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4.xml" ContentType="application/vnd.openxmlformats-officedocument.drawingml.chartshape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5.xml" ContentType="application/vnd.openxmlformats-officedocument.drawingml.chartshapes+xml"/>
  <Override PartName="/xl/charts/chart15.xml" ContentType="application/vnd.openxmlformats-officedocument.drawingml.chart+xml"/>
  <Override PartName="/xl/drawings/drawing6.xml" ContentType="application/vnd.openxmlformats-officedocument.drawingml.chartshapes+xml"/>
  <Override PartName="/xl/charts/chart16.xml" ContentType="application/vnd.openxmlformats-officedocument.drawingml.chart+xml"/>
  <Override PartName="/xl/drawings/drawing7.xml" ContentType="application/vnd.openxmlformats-officedocument.drawingml.chartshapes+xml"/>
  <Override PartName="/xl/charts/chart17.xml" ContentType="application/vnd.openxmlformats-officedocument.drawingml.chart+xml"/>
  <Override PartName="/xl/drawings/drawing8.xml" ContentType="application/vnd.openxmlformats-officedocument.drawingml.chartshapes+xml"/>
  <Override PartName="/xl/charts/chart1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codeName="DieseArbeitsmappe" defaultThemeVersion="124226"/>
  <mc:AlternateContent xmlns:mc="http://schemas.openxmlformats.org/markup-compatibility/2006">
    <mc:Choice Requires="x15">
      <x15ac:absPath xmlns:x15ac="http://schemas.microsoft.com/office/spreadsheetml/2010/11/ac" url="C:\Users\jmannhardt\Desktop\02-ZEN\InputOutputRepo\Input_data\NUTS0_Source_Data\07-monetary\0-Potencia\"/>
    </mc:Choice>
  </mc:AlternateContent>
  <xr:revisionPtr revIDLastSave="0" documentId="13_ncr:1_{CCBA98AA-9975-41AE-A4C4-EBEA54DEF06B}" xr6:coauthVersionLast="47" xr6:coauthVersionMax="47" xr10:uidLastSave="{00000000-0000-0000-0000-000000000000}"/>
  <bookViews>
    <workbookView xWindow="-110" yWindow="-110" windowWidth="38620" windowHeight="21220" activeTab="1" xr2:uid="{00000000-000D-0000-FFFF-FFFF00000000}"/>
  </bookViews>
  <sheets>
    <sheet name="Cover" sheetId="9" r:id="rId1"/>
    <sheet name="tech_base" sheetId="1" r:id="rId2"/>
    <sheet name="tech_proj" sheetId="5" r:id="rId3"/>
    <sheet name="tech_cost" sheetId="3" r:id="rId4"/>
    <sheet name="visuD" sheetId="4" r:id="rId5"/>
    <sheet name="fuel_costs" sheetId="7" r:id="rId6"/>
  </sheets>
  <definedNames>
    <definedName name="_xlnm._FilterDatabase" localSheetId="1" hidden="1">tech_base!$A$1:$P$273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1" l="1"/>
  <c r="C3" i="1"/>
  <c r="B5" i="1"/>
  <c r="B6" i="1" s="1"/>
  <c r="C5" i="1"/>
  <c r="C6" i="1" s="1"/>
  <c r="A3" i="1"/>
  <c r="A4" i="1" s="1"/>
  <c r="A5" i="1" s="1"/>
  <c r="A6" i="1" s="1"/>
  <c r="A7" i="1" s="1"/>
  <c r="A8" i="1" s="1"/>
  <c r="B8" i="1"/>
  <c r="C8" i="1"/>
  <c r="C10" i="1"/>
  <c r="C12" i="1"/>
  <c r="C14" i="1"/>
  <c r="B10" i="1"/>
  <c r="B11" i="1" s="1"/>
  <c r="B12" i="1" s="1"/>
  <c r="B13" i="1" s="1"/>
  <c r="B14" i="1" s="1"/>
  <c r="B15" i="1" s="1"/>
  <c r="B16" i="1" s="1"/>
  <c r="C16" i="1"/>
  <c r="C18" i="1"/>
  <c r="C20" i="1"/>
  <c r="C22" i="1"/>
  <c r="B18" i="1"/>
  <c r="B19" i="1" s="1"/>
  <c r="B20" i="1" s="1"/>
  <c r="B21" i="1" s="1"/>
  <c r="B22" i="1" s="1"/>
  <c r="B23" i="1" s="1"/>
  <c r="B24" i="1" s="1"/>
  <c r="C24" i="1"/>
  <c r="C26" i="1"/>
  <c r="C27" i="1" s="1"/>
  <c r="C29" i="1"/>
  <c r="C30" i="1" s="1"/>
  <c r="C32" i="1"/>
  <c r="B26" i="1"/>
  <c r="B27" i="1" s="1"/>
  <c r="B28" i="1" s="1"/>
  <c r="B29" i="1" s="1"/>
  <c r="B30" i="1" s="1"/>
  <c r="B31" i="1" s="1"/>
  <c r="B32" i="1" s="1"/>
  <c r="B33" i="1" s="1"/>
  <c r="B34" i="1" s="1"/>
  <c r="C34" i="1"/>
  <c r="A10" i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B36" i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C36" i="1"/>
  <c r="C37" i="1" s="1"/>
  <c r="C38" i="1" s="1"/>
  <c r="C40" i="1"/>
  <c r="C41" i="1"/>
  <c r="C42" i="1" s="1"/>
  <c r="C44" i="1"/>
  <c r="C46" i="1"/>
  <c r="C48" i="1"/>
  <c r="C50" i="1"/>
  <c r="C52" i="1"/>
  <c r="B48" i="1"/>
  <c r="B49" i="1" s="1"/>
  <c r="B50" i="1" s="1"/>
  <c r="B51" i="1" s="1"/>
  <c r="B52" i="1" s="1"/>
  <c r="B53" i="1" s="1"/>
  <c r="B54" i="1" s="1"/>
  <c r="C54" i="1"/>
  <c r="C56" i="1"/>
  <c r="C58" i="1"/>
  <c r="C60" i="1"/>
  <c r="B56" i="1"/>
  <c r="B57" i="1"/>
  <c r="B58" i="1" s="1"/>
  <c r="B59" i="1" s="1"/>
  <c r="B60" i="1" s="1"/>
  <c r="B61" i="1" s="1"/>
  <c r="B62" i="1" s="1"/>
  <c r="C62" i="1"/>
  <c r="C64" i="1"/>
  <c r="C65" i="1" s="1"/>
  <c r="C67" i="1"/>
  <c r="C68" i="1" s="1"/>
  <c r="C70" i="1"/>
  <c r="B64" i="1"/>
  <c r="B65" i="1" s="1"/>
  <c r="B66" i="1" s="1"/>
  <c r="B67" i="1" s="1"/>
  <c r="B68" i="1" s="1"/>
  <c r="B69" i="1" s="1"/>
  <c r="B70" i="1" s="1"/>
  <c r="B71" i="1" s="1"/>
  <c r="B72" i="1" s="1"/>
  <c r="C72" i="1"/>
  <c r="A48" i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B74" i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C74" i="1"/>
  <c r="C75" i="1" s="1"/>
  <c r="C76" i="1" s="1"/>
  <c r="C78" i="1"/>
  <c r="C79" i="1" s="1"/>
  <c r="C80" i="1" s="1"/>
  <c r="C82" i="1"/>
  <c r="C84" i="1"/>
  <c r="C86" i="1"/>
  <c r="C87" i="1" s="1"/>
  <c r="C88" i="1" s="1"/>
  <c r="C90" i="1"/>
  <c r="C91" i="1" s="1"/>
  <c r="C92" i="1" s="1"/>
  <c r="C94" i="1"/>
  <c r="B86" i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C96" i="1"/>
  <c r="C98" i="1"/>
  <c r="C99" i="1"/>
  <c r="B98" i="1"/>
  <c r="B99" i="1" s="1"/>
  <c r="B100" i="1" s="1"/>
  <c r="B101" i="1" s="1"/>
  <c r="B102" i="1" s="1"/>
  <c r="C101" i="1"/>
  <c r="C102" i="1" s="1"/>
  <c r="C104" i="1"/>
  <c r="C105" i="1" s="1"/>
  <c r="C106" i="1" s="1"/>
  <c r="C108" i="1"/>
  <c r="C109" i="1" s="1"/>
  <c r="C110" i="1" s="1"/>
  <c r="C112" i="1"/>
  <c r="B104" i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C114" i="1"/>
  <c r="A86" i="1"/>
  <c r="A87" i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B116" i="1"/>
  <c r="C116" i="1"/>
  <c r="B117" i="1"/>
  <c r="B118" i="1" s="1"/>
  <c r="C118" i="1"/>
  <c r="A120" i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B120" i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C120" i="1"/>
  <c r="C121" i="1" s="1"/>
  <c r="C122" i="1" s="1"/>
  <c r="C124" i="1"/>
  <c r="C125" i="1" s="1"/>
  <c r="C126" i="1" s="1"/>
  <c r="C128" i="1"/>
  <c r="C130" i="1"/>
  <c r="A132" i="1"/>
  <c r="A133" i="1" s="1"/>
  <c r="A134" i="1" s="1"/>
  <c r="A135" i="1" s="1"/>
  <c r="A136" i="1" s="1"/>
  <c r="A137" i="1" s="1"/>
  <c r="A138" i="1" s="1"/>
  <c r="A139" i="1" s="1"/>
  <c r="A140" i="1" s="1"/>
  <c r="B132" i="1"/>
  <c r="B133" i="1" s="1"/>
  <c r="B134" i="1" s="1"/>
  <c r="B135" i="1" s="1"/>
  <c r="B136" i="1" s="1"/>
  <c r="B137" i="1" s="1"/>
  <c r="B138" i="1" s="1"/>
  <c r="B139" i="1" s="1"/>
  <c r="B140" i="1" s="1"/>
  <c r="C132" i="1"/>
  <c r="C133" i="1" s="1"/>
  <c r="C135" i="1"/>
  <c r="C136" i="1" s="1"/>
  <c r="C138" i="1"/>
  <c r="C140" i="1"/>
  <c r="C142" i="1"/>
  <c r="C144" i="1"/>
  <c r="C146" i="1"/>
  <c r="B142" i="1"/>
  <c r="B143" i="1" s="1"/>
  <c r="B144" i="1" s="1"/>
  <c r="B145" i="1" s="1"/>
  <c r="B146" i="1" s="1"/>
  <c r="B147" i="1" s="1"/>
  <c r="B148" i="1" s="1"/>
  <c r="C148" i="1"/>
  <c r="C150" i="1"/>
  <c r="C151" i="1" s="1"/>
  <c r="C152" i="1" s="1"/>
  <c r="C154" i="1"/>
  <c r="C155" i="1" s="1"/>
  <c r="C156" i="1" s="1"/>
  <c r="C158" i="1"/>
  <c r="B150" i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C160" i="1"/>
  <c r="C162" i="1"/>
  <c r="C163" i="1" s="1"/>
  <c r="C165" i="1"/>
  <c r="C166" i="1" s="1"/>
  <c r="C168" i="1"/>
  <c r="B162" i="1"/>
  <c r="B163" i="1"/>
  <c r="B164" i="1" s="1"/>
  <c r="B165" i="1" s="1"/>
  <c r="B166" i="1" s="1"/>
  <c r="B167" i="1" s="1"/>
  <c r="B168" i="1" s="1"/>
  <c r="B169" i="1" s="1"/>
  <c r="B170" i="1" s="1"/>
  <c r="C170" i="1"/>
  <c r="A142" i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B172" i="1"/>
  <c r="B173" i="1" s="1"/>
  <c r="B174" i="1" s="1"/>
  <c r="C172" i="1"/>
  <c r="C174" i="1"/>
  <c r="C176" i="1"/>
  <c r="C178" i="1"/>
  <c r="C180" i="1"/>
  <c r="B176" i="1"/>
  <c r="B177" i="1" s="1"/>
  <c r="B178" i="1" s="1"/>
  <c r="B179" i="1" s="1"/>
  <c r="B180" i="1" s="1"/>
  <c r="B181" i="1" s="1"/>
  <c r="B182" i="1" s="1"/>
  <c r="C182" i="1"/>
  <c r="C184" i="1"/>
  <c r="C186" i="1"/>
  <c r="C188" i="1"/>
  <c r="B184" i="1"/>
  <c r="B185" i="1" s="1"/>
  <c r="B186" i="1" s="1"/>
  <c r="B187" i="1" s="1"/>
  <c r="B188" i="1" s="1"/>
  <c r="B189" i="1" s="1"/>
  <c r="B190" i="1" s="1"/>
  <c r="C190" i="1"/>
  <c r="A176" i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B192" i="1"/>
  <c r="B193" i="1" s="1"/>
  <c r="B194" i="1" s="1"/>
  <c r="B195" i="1" s="1"/>
  <c r="B196" i="1" s="1"/>
  <c r="B197" i="1" s="1"/>
  <c r="B198" i="1" s="1"/>
  <c r="B199" i="1" s="1"/>
  <c r="B200" i="1" s="1"/>
  <c r="B201" i="1" s="1"/>
  <c r="B202" i="1" s="1"/>
  <c r="C192" i="1"/>
  <c r="C193" i="1" s="1"/>
  <c r="C194" i="1" s="1"/>
  <c r="C196" i="1"/>
  <c r="C197" i="1" s="1"/>
  <c r="C198" i="1" s="1"/>
  <c r="C200" i="1"/>
  <c r="C202" i="1"/>
  <c r="C204" i="1"/>
  <c r="C206" i="1"/>
  <c r="C208" i="1"/>
  <c r="B204" i="1"/>
  <c r="B205" i="1" s="1"/>
  <c r="B206" i="1" s="1"/>
  <c r="B207" i="1" s="1"/>
  <c r="B208" i="1" s="1"/>
  <c r="B209" i="1" s="1"/>
  <c r="B210" i="1" s="1"/>
  <c r="C210" i="1"/>
  <c r="C212" i="1"/>
  <c r="C213" i="1" s="1"/>
  <c r="C214" i="1" s="1"/>
  <c r="C216" i="1"/>
  <c r="C217" i="1" s="1"/>
  <c r="C218" i="1" s="1"/>
  <c r="C220" i="1"/>
  <c r="B212" i="1"/>
  <c r="B213" i="1" s="1"/>
  <c r="B214" i="1" s="1"/>
  <c r="B215" i="1" s="1"/>
  <c r="B216" i="1" s="1"/>
  <c r="B217" i="1" s="1"/>
  <c r="B218" i="1" s="1"/>
  <c r="B219" i="1" s="1"/>
  <c r="B220" i="1" s="1"/>
  <c r="B221" i="1" s="1"/>
  <c r="B222" i="1" s="1"/>
  <c r="C222" i="1"/>
  <c r="A204" i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B224" i="1"/>
  <c r="B225" i="1" s="1"/>
  <c r="B226" i="1" s="1"/>
  <c r="B227" i="1" s="1"/>
  <c r="B228" i="1" s="1"/>
  <c r="B229" i="1" s="1"/>
  <c r="B230" i="1" s="1"/>
  <c r="B231" i="1" s="1"/>
  <c r="B232" i="1" s="1"/>
  <c r="B233" i="1" s="1"/>
  <c r="B234" i="1" s="1"/>
  <c r="C224" i="1"/>
  <c r="C225" i="1" s="1"/>
  <c r="C226" i="1" s="1"/>
  <c r="C228" i="1"/>
  <c r="C229" i="1" s="1"/>
  <c r="C230" i="1" s="1"/>
  <c r="C232" i="1"/>
  <c r="C234" i="1"/>
  <c r="B236" i="1"/>
  <c r="C236" i="1"/>
  <c r="C237" i="1" s="1"/>
  <c r="B237" i="1"/>
  <c r="A236" i="1"/>
  <c r="A237" i="1" s="1"/>
  <c r="A238" i="1" s="1"/>
  <c r="A239" i="1" s="1"/>
  <c r="A240" i="1" s="1"/>
  <c r="B239" i="1"/>
  <c r="B240" i="1" s="1"/>
  <c r="C239" i="1"/>
  <c r="C240" i="1" s="1"/>
  <c r="B242" i="1"/>
  <c r="B243" i="1" s="1"/>
  <c r="B244" i="1" s="1"/>
  <c r="C242" i="1"/>
  <c r="C243" i="1" s="1"/>
  <c r="C244" i="1" s="1"/>
  <c r="A242" i="1"/>
  <c r="A243" i="1" s="1"/>
  <c r="A244" i="1" s="1"/>
  <c r="A245" i="1" s="1"/>
  <c r="A246" i="1" s="1"/>
  <c r="A247" i="1" s="1"/>
  <c r="A248" i="1" s="1"/>
  <c r="B246" i="1"/>
  <c r="B247" i="1" s="1"/>
  <c r="B248" i="1" s="1"/>
  <c r="C246" i="1"/>
  <c r="C247" i="1" s="1"/>
  <c r="C248" i="1" s="1"/>
  <c r="A250" i="1"/>
  <c r="A251" i="1" s="1"/>
  <c r="A252" i="1" s="1"/>
  <c r="B250" i="1"/>
  <c r="B251" i="1" s="1"/>
  <c r="B252" i="1" s="1"/>
  <c r="C250" i="1"/>
  <c r="C251" i="1" s="1"/>
  <c r="C252" i="1" s="1"/>
  <c r="A254" i="1"/>
  <c r="A255" i="1" s="1"/>
  <c r="A256" i="1" s="1"/>
  <c r="B254" i="1"/>
  <c r="C254" i="1"/>
  <c r="B255" i="1"/>
  <c r="B256" i="1" s="1"/>
  <c r="C255" i="1"/>
  <c r="C256" i="1" s="1"/>
  <c r="A258" i="1"/>
  <c r="A259" i="1" s="1"/>
  <c r="B258" i="1"/>
  <c r="B259" i="1" s="1"/>
  <c r="C258" i="1"/>
  <c r="C259" i="1" s="1"/>
  <c r="A261" i="1"/>
  <c r="B263" i="1"/>
  <c r="B264" i="1" s="1"/>
  <c r="B265" i="1" s="1"/>
  <c r="C263" i="1"/>
  <c r="C264" i="1" s="1"/>
  <c r="C265" i="1" s="1"/>
  <c r="A263" i="1"/>
  <c r="A264" i="1" s="1"/>
  <c r="A265" i="1" s="1"/>
  <c r="A266" i="1" s="1"/>
  <c r="A267" i="1" s="1"/>
  <c r="A268" i="1" s="1"/>
  <c r="A269" i="1" s="1"/>
  <c r="B267" i="1"/>
  <c r="B268" i="1" s="1"/>
  <c r="B269" i="1" s="1"/>
  <c r="C267" i="1"/>
  <c r="C268" i="1" s="1"/>
  <c r="C269" i="1" s="1"/>
  <c r="A271" i="1"/>
  <c r="A272" i="1" s="1"/>
  <c r="A273" i="1" s="1"/>
  <c r="B271" i="1"/>
  <c r="B272" i="1" s="1"/>
  <c r="B273" i="1" s="1"/>
  <c r="C271" i="1"/>
  <c r="C272" i="1" s="1"/>
  <c r="C273" i="1" s="1"/>
  <c r="AP16" i="7" l="1"/>
  <c r="AO16" i="7"/>
  <c r="AN16" i="7"/>
  <c r="AM16" i="7"/>
  <c r="AL16" i="7"/>
  <c r="AK16" i="7"/>
  <c r="AJ16" i="7"/>
  <c r="AI16" i="7"/>
  <c r="AH16" i="7"/>
  <c r="AG16" i="7"/>
  <c r="AF16" i="7"/>
  <c r="AE16" i="7"/>
  <c r="AD16" i="7"/>
  <c r="AC16" i="7"/>
  <c r="AB16" i="7"/>
  <c r="AA16" i="7"/>
  <c r="Z16" i="7"/>
  <c r="Y16" i="7"/>
  <c r="X16" i="7"/>
  <c r="W16" i="7"/>
  <c r="V16" i="7"/>
  <c r="U16" i="7"/>
  <c r="T16" i="7"/>
  <c r="S16" i="7"/>
  <c r="R16" i="7"/>
  <c r="Q16" i="7"/>
  <c r="P16" i="7"/>
  <c r="O16" i="7"/>
  <c r="N16" i="7"/>
  <c r="M16" i="7"/>
  <c r="L16" i="7"/>
  <c r="K16" i="7"/>
  <c r="J16" i="7"/>
  <c r="I16" i="7"/>
  <c r="H16" i="7"/>
  <c r="G16" i="7"/>
  <c r="F16" i="7"/>
  <c r="E16" i="7"/>
  <c r="D16" i="7"/>
  <c r="C16" i="7"/>
  <c r="B16" i="7"/>
  <c r="N59" i="3" l="1"/>
  <c r="M59" i="3"/>
  <c r="L59" i="3"/>
  <c r="J59" i="3"/>
  <c r="N103" i="3"/>
  <c r="M103" i="3"/>
  <c r="L67" i="3"/>
  <c r="J103" i="3"/>
  <c r="O75" i="3"/>
  <c r="M75" i="3"/>
  <c r="L75" i="3"/>
  <c r="K42" i="3"/>
  <c r="M50" i="3"/>
  <c r="F13" i="7" l="1"/>
  <c r="F15" i="7"/>
  <c r="F14" i="7"/>
  <c r="E14" i="7"/>
  <c r="E13" i="7"/>
  <c r="E15" i="7"/>
  <c r="C12" i="7"/>
  <c r="C9" i="7"/>
  <c r="E9" i="7"/>
  <c r="E12" i="7"/>
  <c r="C15" i="7"/>
  <c r="C14" i="7"/>
  <c r="C13" i="7"/>
  <c r="D15" i="7"/>
  <c r="D14" i="7"/>
  <c r="D13" i="7"/>
  <c r="B17" i="7"/>
  <c r="B11" i="7"/>
  <c r="D11" i="7"/>
  <c r="D17" i="7"/>
  <c r="F17" i="7"/>
  <c r="F11" i="7"/>
  <c r="B12" i="7"/>
  <c r="B9" i="7"/>
  <c r="D9" i="7"/>
  <c r="D12" i="7"/>
  <c r="F12" i="7"/>
  <c r="F9" i="7"/>
  <c r="B13" i="7"/>
  <c r="B15" i="7"/>
  <c r="B14" i="7"/>
  <c r="C11" i="7"/>
  <c r="C17" i="7"/>
  <c r="E17" i="7"/>
  <c r="E11" i="7"/>
  <c r="O42" i="3"/>
  <c r="M18" i="3"/>
  <c r="M67" i="3"/>
  <c r="M34" i="3"/>
  <c r="K75" i="3"/>
  <c r="K83" i="3"/>
  <c r="K50" i="3"/>
  <c r="O83" i="3"/>
  <c r="O50" i="3"/>
  <c r="J75" i="3"/>
  <c r="J42" i="3"/>
  <c r="N75" i="3"/>
  <c r="N42" i="3"/>
  <c r="K67" i="3"/>
  <c r="K34" i="3"/>
  <c r="K18" i="3"/>
  <c r="O67" i="3"/>
  <c r="O34" i="3"/>
  <c r="O18" i="3"/>
  <c r="O10" i="3"/>
  <c r="K59" i="3"/>
  <c r="L83" i="3"/>
  <c r="L50" i="3"/>
  <c r="O59" i="3"/>
  <c r="M83" i="3"/>
  <c r="K26" i="3"/>
  <c r="K103" i="3"/>
  <c r="J83" i="3"/>
  <c r="J50" i="3"/>
  <c r="N83" i="3"/>
  <c r="N50" i="3"/>
  <c r="K10" i="3"/>
  <c r="O26" i="3"/>
  <c r="O103" i="3"/>
  <c r="L10" i="3"/>
  <c r="J18" i="3"/>
  <c r="N18" i="3"/>
  <c r="L26" i="3"/>
  <c r="J34" i="3"/>
  <c r="N34" i="3"/>
  <c r="L42" i="3"/>
  <c r="J67" i="3"/>
  <c r="N67" i="3"/>
  <c r="L103" i="3"/>
  <c r="M10" i="3"/>
  <c r="M26" i="3"/>
  <c r="M42" i="3"/>
  <c r="J10" i="3"/>
  <c r="N10" i="3"/>
  <c r="L18" i="3"/>
  <c r="J26" i="3"/>
  <c r="N26" i="3"/>
  <c r="L34" i="3"/>
  <c r="K36" i="5"/>
  <c r="J36" i="5"/>
  <c r="N28" i="5"/>
  <c r="K28" i="5"/>
  <c r="J28" i="5"/>
  <c r="N20" i="5"/>
  <c r="M20" i="5"/>
  <c r="L20" i="5"/>
  <c r="J20" i="5"/>
  <c r="N12" i="5"/>
  <c r="L12" i="5"/>
  <c r="M36" i="5"/>
  <c r="L28" i="5"/>
  <c r="J12" i="5"/>
  <c r="M28" i="5" l="1"/>
  <c r="K12" i="5"/>
  <c r="M12" i="5"/>
  <c r="M6" i="5"/>
  <c r="L36" i="5"/>
  <c r="K6" i="5"/>
  <c r="K20" i="5"/>
  <c r="N36" i="5"/>
  <c r="L2026" i="3"/>
  <c r="L906" i="3" s="1"/>
  <c r="L6" i="5"/>
  <c r="J6" i="5"/>
  <c r="J2026" i="3"/>
  <c r="N6" i="5"/>
  <c r="N2026" i="3"/>
  <c r="N906" i="3" s="1"/>
  <c r="M2026" i="3"/>
  <c r="K2026" i="3"/>
  <c r="J906" i="3" l="1"/>
  <c r="M906" i="3"/>
  <c r="K906" i="3"/>
  <c r="J13" i="7" l="1"/>
  <c r="J15" i="7"/>
  <c r="J14" i="7"/>
  <c r="R13" i="7"/>
  <c r="R15" i="7"/>
  <c r="R14" i="7"/>
  <c r="V13" i="7"/>
  <c r="V15" i="7"/>
  <c r="V14" i="7"/>
  <c r="Z13" i="7"/>
  <c r="Z15" i="7"/>
  <c r="Z14" i="7"/>
  <c r="AD13" i="7"/>
  <c r="AD15" i="7"/>
  <c r="AD14" i="7"/>
  <c r="AH13" i="7"/>
  <c r="AH15" i="7"/>
  <c r="AH14" i="7"/>
  <c r="AL13" i="7"/>
  <c r="AL15" i="7"/>
  <c r="AL14" i="7"/>
  <c r="AP13" i="7"/>
  <c r="AP15" i="7"/>
  <c r="AP14" i="7"/>
  <c r="J17" i="7"/>
  <c r="J11" i="7"/>
  <c r="N17" i="7"/>
  <c r="N11" i="7"/>
  <c r="R17" i="7"/>
  <c r="R11" i="7"/>
  <c r="V17" i="7"/>
  <c r="V11" i="7"/>
  <c r="Z17" i="7"/>
  <c r="Z11" i="7"/>
  <c r="AD17" i="7"/>
  <c r="AD11" i="7"/>
  <c r="AH17" i="7"/>
  <c r="AH11" i="7"/>
  <c r="AL17" i="7"/>
  <c r="AL11" i="7"/>
  <c r="AP17" i="7"/>
  <c r="AP11" i="7"/>
  <c r="J12" i="7"/>
  <c r="J9" i="7"/>
  <c r="N12" i="7"/>
  <c r="N9" i="7"/>
  <c r="R12" i="7"/>
  <c r="R9" i="7"/>
  <c r="V12" i="7"/>
  <c r="V9" i="7"/>
  <c r="Z12" i="7"/>
  <c r="Z9" i="7"/>
  <c r="AD12" i="7"/>
  <c r="AD9" i="7"/>
  <c r="AH12" i="7"/>
  <c r="AH9" i="7"/>
  <c r="AL12" i="7"/>
  <c r="AL9" i="7"/>
  <c r="AP12" i="7"/>
  <c r="AP9" i="7"/>
  <c r="N13" i="7"/>
  <c r="N15" i="7"/>
  <c r="N14" i="7"/>
  <c r="O15" i="7"/>
  <c r="O14" i="7"/>
  <c r="O13" i="7"/>
  <c r="AA15" i="7"/>
  <c r="AA14" i="7"/>
  <c r="AA13" i="7"/>
  <c r="AE15" i="7"/>
  <c r="AE14" i="7"/>
  <c r="AE13" i="7"/>
  <c r="AI15" i="7"/>
  <c r="AI14" i="7"/>
  <c r="AI13" i="7"/>
  <c r="AM15" i="7"/>
  <c r="AM14" i="7"/>
  <c r="AM13" i="7"/>
  <c r="G11" i="7"/>
  <c r="G17" i="7"/>
  <c r="K11" i="7"/>
  <c r="K17" i="7"/>
  <c r="O11" i="7"/>
  <c r="O17" i="7"/>
  <c r="S11" i="7"/>
  <c r="S17" i="7"/>
  <c r="W11" i="7"/>
  <c r="W17" i="7"/>
  <c r="AA11" i="7"/>
  <c r="AA17" i="7"/>
  <c r="AE11" i="7"/>
  <c r="AE17" i="7"/>
  <c r="AI11" i="7"/>
  <c r="AI17" i="7"/>
  <c r="AM11" i="7"/>
  <c r="AM17" i="7"/>
  <c r="G12" i="7"/>
  <c r="G9" i="7"/>
  <c r="K12" i="7"/>
  <c r="K9" i="7"/>
  <c r="O12" i="7"/>
  <c r="O9" i="7"/>
  <c r="S12" i="7"/>
  <c r="S9" i="7"/>
  <c r="W12" i="7"/>
  <c r="W9" i="7"/>
  <c r="AA12" i="7"/>
  <c r="AA9" i="7"/>
  <c r="AE12" i="7"/>
  <c r="AE9" i="7"/>
  <c r="AI12" i="7"/>
  <c r="AI9" i="7"/>
  <c r="AM12" i="7"/>
  <c r="AM9" i="7"/>
  <c r="G15" i="7"/>
  <c r="G14" i="7"/>
  <c r="G13" i="7"/>
  <c r="W15" i="7"/>
  <c r="W14" i="7"/>
  <c r="W13" i="7"/>
  <c r="H15" i="7"/>
  <c r="H14" i="7"/>
  <c r="H13" i="7"/>
  <c r="L15" i="7"/>
  <c r="L14" i="7"/>
  <c r="L13" i="7"/>
  <c r="P15" i="7"/>
  <c r="P14" i="7"/>
  <c r="P13" i="7"/>
  <c r="T15" i="7"/>
  <c r="T14" i="7"/>
  <c r="T13" i="7"/>
  <c r="X15" i="7"/>
  <c r="X14" i="7"/>
  <c r="X13" i="7"/>
  <c r="AB15" i="7"/>
  <c r="AB14" i="7"/>
  <c r="AB13" i="7"/>
  <c r="AF15" i="7"/>
  <c r="AF14" i="7"/>
  <c r="AF13" i="7"/>
  <c r="AJ15" i="7"/>
  <c r="AJ14" i="7"/>
  <c r="AJ13" i="7"/>
  <c r="AN15" i="7"/>
  <c r="AN14" i="7"/>
  <c r="AN13" i="7"/>
  <c r="H11" i="7"/>
  <c r="H17" i="7"/>
  <c r="L11" i="7"/>
  <c r="L17" i="7"/>
  <c r="P11" i="7"/>
  <c r="P17" i="7"/>
  <c r="T11" i="7"/>
  <c r="T17" i="7"/>
  <c r="X11" i="7"/>
  <c r="X17" i="7"/>
  <c r="AB11" i="7"/>
  <c r="AB17" i="7"/>
  <c r="AF11" i="7"/>
  <c r="AF17" i="7"/>
  <c r="AJ11" i="7"/>
  <c r="AJ17" i="7"/>
  <c r="AN11" i="7"/>
  <c r="AN17" i="7"/>
  <c r="H9" i="7"/>
  <c r="H12" i="7"/>
  <c r="L9" i="7"/>
  <c r="L12" i="7"/>
  <c r="P9" i="7"/>
  <c r="P12" i="7"/>
  <c r="T9" i="7"/>
  <c r="T12" i="7"/>
  <c r="X9" i="7"/>
  <c r="X12" i="7"/>
  <c r="AB9" i="7"/>
  <c r="AB12" i="7"/>
  <c r="AF9" i="7"/>
  <c r="AF12" i="7"/>
  <c r="AJ9" i="7"/>
  <c r="AJ12" i="7"/>
  <c r="AN9" i="7"/>
  <c r="AN12" i="7"/>
  <c r="K15" i="7"/>
  <c r="K14" i="7"/>
  <c r="K13" i="7"/>
  <c r="S15" i="7"/>
  <c r="S14" i="7"/>
  <c r="S13" i="7"/>
  <c r="I14" i="7"/>
  <c r="I13" i="7"/>
  <c r="I15" i="7"/>
  <c r="M14" i="7"/>
  <c r="M13" i="7"/>
  <c r="M15" i="7"/>
  <c r="Q14" i="7"/>
  <c r="Q13" i="7"/>
  <c r="Q15" i="7"/>
  <c r="U14" i="7"/>
  <c r="U13" i="7"/>
  <c r="U15" i="7"/>
  <c r="Y14" i="7"/>
  <c r="Y13" i="7"/>
  <c r="Y15" i="7"/>
  <c r="AC14" i="7"/>
  <c r="AC13" i="7"/>
  <c r="AC15" i="7"/>
  <c r="AG14" i="7"/>
  <c r="AG13" i="7"/>
  <c r="AG15" i="7"/>
  <c r="AK14" i="7"/>
  <c r="AK13" i="7"/>
  <c r="AK15" i="7"/>
  <c r="AO14" i="7"/>
  <c r="AO13" i="7"/>
  <c r="AO15" i="7"/>
  <c r="I17" i="7"/>
  <c r="I11" i="7"/>
  <c r="M17" i="7"/>
  <c r="M11" i="7"/>
  <c r="Q17" i="7"/>
  <c r="Q11" i="7"/>
  <c r="U17" i="7"/>
  <c r="U11" i="7"/>
  <c r="Y17" i="7"/>
  <c r="Y11" i="7"/>
  <c r="AC17" i="7"/>
  <c r="AC11" i="7"/>
  <c r="AG17" i="7"/>
  <c r="AG11" i="7"/>
  <c r="AK17" i="7"/>
  <c r="AK11" i="7"/>
  <c r="AO17" i="7"/>
  <c r="AO11" i="7"/>
  <c r="I9" i="7"/>
  <c r="I12" i="7"/>
  <c r="M9" i="7"/>
  <c r="M12" i="7"/>
  <c r="Q9" i="7"/>
  <c r="Q12" i="7"/>
  <c r="U9" i="7"/>
  <c r="U12" i="7"/>
  <c r="Y9" i="7"/>
  <c r="Y12" i="7"/>
  <c r="AC9" i="7"/>
  <c r="AC12" i="7"/>
  <c r="AG9" i="7"/>
  <c r="AG12" i="7"/>
  <c r="AK9" i="7"/>
  <c r="AK12" i="7"/>
  <c r="AO9" i="7"/>
  <c r="AO12" i="7"/>
  <c r="O2294" i="3" l="1"/>
  <c r="L2294" i="3"/>
  <c r="N2294" i="3"/>
  <c r="J2294" i="3"/>
  <c r="K2294" i="3"/>
  <c r="M2294" i="3"/>
  <c r="O2290" i="3"/>
  <c r="M2290" i="3"/>
  <c r="N2290" i="3"/>
  <c r="L2290" i="3"/>
  <c r="K2290" i="3"/>
  <c r="J2290" i="3"/>
  <c r="O2286" i="3"/>
  <c r="K2286" i="3"/>
  <c r="M2286" i="3"/>
  <c r="J2286" i="3"/>
  <c r="L2286" i="3"/>
  <c r="N2286" i="3"/>
  <c r="O2282" i="3"/>
  <c r="N2282" i="3"/>
  <c r="L2282" i="3"/>
  <c r="J2282" i="3"/>
  <c r="K2282" i="3"/>
  <c r="M2282" i="3"/>
  <c r="N2278" i="3"/>
  <c r="O2278" i="3"/>
  <c r="K2278" i="3"/>
  <c r="J2278" i="3"/>
  <c r="L2278" i="3"/>
  <c r="M2278" i="3"/>
  <c r="O2274" i="3"/>
  <c r="M2274" i="3"/>
  <c r="N2274" i="3"/>
  <c r="L2274" i="3"/>
  <c r="J2274" i="3"/>
  <c r="K2274" i="3"/>
  <c r="O2270" i="3"/>
  <c r="K2270" i="3"/>
  <c r="L2270" i="3"/>
  <c r="M2270" i="3"/>
  <c r="J2270" i="3"/>
  <c r="N2270" i="3"/>
  <c r="J2266" i="3"/>
  <c r="O2266" i="3"/>
  <c r="N2266" i="3"/>
  <c r="N1146" i="3" s="1"/>
  <c r="K2266" i="3"/>
  <c r="M2266" i="3"/>
  <c r="L2266" i="3"/>
  <c r="L1702" i="3"/>
  <c r="N1982" i="3"/>
  <c r="J1982" i="3"/>
  <c r="L1982" i="3"/>
  <c r="O1982" i="3"/>
  <c r="K1982" i="3"/>
  <c r="M1982" i="3"/>
  <c r="O2262" i="3"/>
  <c r="M582" i="3"/>
  <c r="L862" i="3"/>
  <c r="K1142" i="3"/>
  <c r="N1142" i="3"/>
  <c r="M1142" i="3"/>
  <c r="M1422" i="3"/>
  <c r="O1702" i="3"/>
  <c r="L582" i="3"/>
  <c r="J582" i="3"/>
  <c r="O582" i="3"/>
  <c r="N862" i="3"/>
  <c r="K862" i="3"/>
  <c r="K1422" i="3"/>
  <c r="J1422" i="3"/>
  <c r="J1702" i="3"/>
  <c r="N582" i="3"/>
  <c r="K582" i="3"/>
  <c r="J862" i="3"/>
  <c r="O862" i="3"/>
  <c r="J1142" i="3"/>
  <c r="N1422" i="3"/>
  <c r="L1422" i="3"/>
  <c r="J2262" i="3"/>
  <c r="M862" i="3"/>
  <c r="M1702" i="3"/>
  <c r="L2262" i="3"/>
  <c r="O1142" i="3"/>
  <c r="K1702" i="3"/>
  <c r="K2262" i="3"/>
  <c r="L1142" i="3"/>
  <c r="M2262" i="3"/>
  <c r="N2262" i="3"/>
  <c r="O1422" i="3"/>
  <c r="N1702" i="3"/>
  <c r="N1978" i="3"/>
  <c r="J1978" i="3"/>
  <c r="L1978" i="3"/>
  <c r="O1978" i="3"/>
  <c r="K1978" i="3"/>
  <c r="M1978" i="3"/>
  <c r="O2258" i="3"/>
  <c r="K578" i="3"/>
  <c r="N858" i="3"/>
  <c r="O858" i="3"/>
  <c r="L1418" i="3"/>
  <c r="J578" i="3"/>
  <c r="M858" i="3"/>
  <c r="L858" i="3"/>
  <c r="J1138" i="3"/>
  <c r="L1138" i="3"/>
  <c r="N1138" i="3"/>
  <c r="O1138" i="3"/>
  <c r="O1418" i="3"/>
  <c r="N1418" i="3"/>
  <c r="M1698" i="3"/>
  <c r="J1698" i="3"/>
  <c r="M578" i="3"/>
  <c r="O578" i="3"/>
  <c r="J858" i="3"/>
  <c r="K1138" i="3"/>
  <c r="J1418" i="3"/>
  <c r="M1418" i="3"/>
  <c r="K1698" i="3"/>
  <c r="O1698" i="3"/>
  <c r="N578" i="3"/>
  <c r="M1138" i="3"/>
  <c r="L1698" i="3"/>
  <c r="M2258" i="3"/>
  <c r="J2258" i="3"/>
  <c r="K858" i="3"/>
  <c r="N1698" i="3"/>
  <c r="N2258" i="3"/>
  <c r="L578" i="3"/>
  <c r="K2258" i="3"/>
  <c r="L2258" i="3"/>
  <c r="K1418" i="3"/>
  <c r="J846" i="3"/>
  <c r="L1966" i="3"/>
  <c r="N1966" i="3"/>
  <c r="J1966" i="3"/>
  <c r="M1966" i="3"/>
  <c r="O1966" i="3"/>
  <c r="K1966" i="3"/>
  <c r="N2246" i="3"/>
  <c r="O2246" i="3"/>
  <c r="M566" i="3"/>
  <c r="N566" i="3"/>
  <c r="K1126" i="3"/>
  <c r="N1126" i="3"/>
  <c r="M1406" i="3"/>
  <c r="K1686" i="3"/>
  <c r="L566" i="3"/>
  <c r="M846" i="3"/>
  <c r="K846" i="3"/>
  <c r="L1126" i="3"/>
  <c r="K1406" i="3"/>
  <c r="L1406" i="3"/>
  <c r="J566" i="3"/>
  <c r="N846" i="3"/>
  <c r="O846" i="3"/>
  <c r="L846" i="3"/>
  <c r="J1126" i="3"/>
  <c r="M1126" i="3"/>
  <c r="J1406" i="3"/>
  <c r="J1686" i="3"/>
  <c r="O1126" i="3"/>
  <c r="O1406" i="3"/>
  <c r="O1686" i="3"/>
  <c r="O566" i="3"/>
  <c r="N1406" i="3"/>
  <c r="N1686" i="3"/>
  <c r="L1686" i="3"/>
  <c r="J2246" i="3"/>
  <c r="K566" i="3"/>
  <c r="M1686" i="3"/>
  <c r="K2246" i="3"/>
  <c r="M2246" i="3"/>
  <c r="L2246" i="3"/>
  <c r="J1674" i="3"/>
  <c r="O1954" i="3"/>
  <c r="K1954" i="3"/>
  <c r="J1954" i="3"/>
  <c r="N1954" i="3"/>
  <c r="M1954" i="3"/>
  <c r="L1954" i="3"/>
  <c r="J2234" i="3"/>
  <c r="O2234" i="3"/>
  <c r="L554" i="3"/>
  <c r="O554" i="3"/>
  <c r="K834" i="3"/>
  <c r="L834" i="3"/>
  <c r="O1114" i="3"/>
  <c r="O1674" i="3"/>
  <c r="J554" i="3"/>
  <c r="N554" i="3"/>
  <c r="O834" i="3"/>
  <c r="K1114" i="3"/>
  <c r="K1394" i="3"/>
  <c r="O1394" i="3"/>
  <c r="N1394" i="3"/>
  <c r="K554" i="3"/>
  <c r="M834" i="3"/>
  <c r="J834" i="3"/>
  <c r="J1114" i="3"/>
  <c r="L1394" i="3"/>
  <c r="M1394" i="3"/>
  <c r="M554" i="3"/>
  <c r="L1114" i="3"/>
  <c r="N834" i="3"/>
  <c r="K1674" i="3"/>
  <c r="L1674" i="3"/>
  <c r="K2234" i="3"/>
  <c r="M1114" i="3"/>
  <c r="J1394" i="3"/>
  <c r="N1674" i="3"/>
  <c r="M2234" i="3"/>
  <c r="L2234" i="3"/>
  <c r="N1114" i="3"/>
  <c r="M1674" i="3"/>
  <c r="N2234" i="3"/>
  <c r="M1946" i="3"/>
  <c r="L1946" i="3"/>
  <c r="O1946" i="3"/>
  <c r="K1946" i="3"/>
  <c r="N1946" i="3"/>
  <c r="J1946" i="3"/>
  <c r="J2226" i="3"/>
  <c r="O2226" i="3"/>
  <c r="M546" i="3"/>
  <c r="K546" i="3"/>
  <c r="J826" i="3"/>
  <c r="O1106" i="3"/>
  <c r="L1386" i="3"/>
  <c r="K1666" i="3"/>
  <c r="L546" i="3"/>
  <c r="N826" i="3"/>
  <c r="J1106" i="3"/>
  <c r="K1106" i="3"/>
  <c r="L1106" i="3"/>
  <c r="N1106" i="3"/>
  <c r="J1386" i="3"/>
  <c r="M1666" i="3"/>
  <c r="O546" i="3"/>
  <c r="O826" i="3"/>
  <c r="L826" i="3"/>
  <c r="M1106" i="3"/>
  <c r="K1386" i="3"/>
  <c r="O1386" i="3"/>
  <c r="M826" i="3"/>
  <c r="K826" i="3"/>
  <c r="N546" i="3"/>
  <c r="J1666" i="3"/>
  <c r="J546" i="3"/>
  <c r="M1386" i="3"/>
  <c r="O1666" i="3"/>
  <c r="K2226" i="3"/>
  <c r="L1666" i="3"/>
  <c r="N2226" i="3"/>
  <c r="N1666" i="3"/>
  <c r="L2226" i="3"/>
  <c r="N1386" i="3"/>
  <c r="M2226" i="3"/>
  <c r="L1934" i="3"/>
  <c r="O1934" i="3"/>
  <c r="K1934" i="3"/>
  <c r="N1934" i="3"/>
  <c r="J1934" i="3"/>
  <c r="M1934" i="3"/>
  <c r="O2214" i="3"/>
  <c r="O534" i="3"/>
  <c r="M814" i="3"/>
  <c r="L814" i="3"/>
  <c r="M534" i="3"/>
  <c r="J534" i="3"/>
  <c r="N534" i="3"/>
  <c r="N1094" i="3"/>
  <c r="O1094" i="3"/>
  <c r="N1374" i="3"/>
  <c r="K1654" i="3"/>
  <c r="L534" i="3"/>
  <c r="K534" i="3"/>
  <c r="N814" i="3"/>
  <c r="K814" i="3"/>
  <c r="O814" i="3"/>
  <c r="J1094" i="3"/>
  <c r="K1094" i="3"/>
  <c r="M1094" i="3"/>
  <c r="L1374" i="3"/>
  <c r="M1374" i="3"/>
  <c r="O1654" i="3"/>
  <c r="M1654" i="3"/>
  <c r="J1654" i="3"/>
  <c r="M2214" i="3"/>
  <c r="L1094" i="3"/>
  <c r="K1374" i="3"/>
  <c r="O1374" i="3"/>
  <c r="L1654" i="3"/>
  <c r="J2214" i="3"/>
  <c r="N1654" i="3"/>
  <c r="N2214" i="3"/>
  <c r="K2214" i="3"/>
  <c r="L2214" i="3"/>
  <c r="J1374" i="3"/>
  <c r="J814" i="3"/>
  <c r="L1926" i="3"/>
  <c r="O1926" i="3"/>
  <c r="K1926" i="3"/>
  <c r="N1926" i="3"/>
  <c r="J1926" i="3"/>
  <c r="M1926" i="3"/>
  <c r="N2206" i="3"/>
  <c r="O2206" i="3"/>
  <c r="K526" i="3"/>
  <c r="J1086" i="3"/>
  <c r="N1086" i="3"/>
  <c r="O1366" i="3"/>
  <c r="L1366" i="3"/>
  <c r="M806" i="3"/>
  <c r="J806" i="3"/>
  <c r="L1086" i="3"/>
  <c r="M1086" i="3"/>
  <c r="K1366" i="3"/>
  <c r="M1366" i="3"/>
  <c r="J1366" i="3"/>
  <c r="O1646" i="3"/>
  <c r="M1646" i="3"/>
  <c r="M526" i="3"/>
  <c r="O526" i="3"/>
  <c r="L806" i="3"/>
  <c r="K1086" i="3"/>
  <c r="O1086" i="3"/>
  <c r="K1646" i="3"/>
  <c r="N1366" i="3"/>
  <c r="K2206" i="3"/>
  <c r="L2206" i="3"/>
  <c r="J1646" i="3"/>
  <c r="N1646" i="3"/>
  <c r="M2206" i="3"/>
  <c r="N526" i="3"/>
  <c r="J2206" i="3"/>
  <c r="N806" i="3"/>
  <c r="O806" i="3"/>
  <c r="J526" i="3"/>
  <c r="L526" i="3"/>
  <c r="L1646" i="3"/>
  <c r="K806" i="3"/>
  <c r="J794" i="3"/>
  <c r="L1914" i="3"/>
  <c r="O1914" i="3"/>
  <c r="K1914" i="3"/>
  <c r="N1914" i="3"/>
  <c r="J1914" i="3"/>
  <c r="M1914" i="3"/>
  <c r="L2194" i="3"/>
  <c r="O2194" i="3"/>
  <c r="L514" i="3"/>
  <c r="O514" i="3"/>
  <c r="L794" i="3"/>
  <c r="O794" i="3"/>
  <c r="O1074" i="3"/>
  <c r="O1354" i="3"/>
  <c r="M1354" i="3"/>
  <c r="K1634" i="3"/>
  <c r="J514" i="3"/>
  <c r="N514" i="3"/>
  <c r="K794" i="3"/>
  <c r="N1354" i="3"/>
  <c r="K514" i="3"/>
  <c r="M1074" i="3"/>
  <c r="K1354" i="3"/>
  <c r="L1354" i="3"/>
  <c r="M1634" i="3"/>
  <c r="M794" i="3"/>
  <c r="J1354" i="3"/>
  <c r="O1634" i="3"/>
  <c r="N1634" i="3"/>
  <c r="N2194" i="3"/>
  <c r="M514" i="3"/>
  <c r="N1074" i="3"/>
  <c r="L1634" i="3"/>
  <c r="J2194" i="3"/>
  <c r="N794" i="3"/>
  <c r="J1074" i="3"/>
  <c r="L1074" i="3"/>
  <c r="K1074" i="3"/>
  <c r="M2194" i="3"/>
  <c r="J1634" i="3"/>
  <c r="K2194" i="3"/>
  <c r="N1622" i="3"/>
  <c r="J1622" i="3"/>
  <c r="L782" i="3"/>
  <c r="N1902" i="3"/>
  <c r="J1902" i="3"/>
  <c r="M1902" i="3"/>
  <c r="L1902" i="3"/>
  <c r="O1902" i="3"/>
  <c r="K1902" i="3"/>
  <c r="O2182" i="3"/>
  <c r="M502" i="3"/>
  <c r="J502" i="3"/>
  <c r="N502" i="3"/>
  <c r="K1062" i="3"/>
  <c r="J1062" i="3"/>
  <c r="O1342" i="3"/>
  <c r="J1342" i="3"/>
  <c r="N1342" i="3"/>
  <c r="O1622" i="3"/>
  <c r="L502" i="3"/>
  <c r="K502" i="3"/>
  <c r="M1342" i="3"/>
  <c r="K1622" i="3"/>
  <c r="M1622" i="3"/>
  <c r="J782" i="3"/>
  <c r="N782" i="3"/>
  <c r="K782" i="3"/>
  <c r="L1062" i="3"/>
  <c r="M1062" i="3"/>
  <c r="O502" i="3"/>
  <c r="O782" i="3"/>
  <c r="L1342" i="3"/>
  <c r="L1622" i="3"/>
  <c r="J2182" i="3"/>
  <c r="K2182" i="3"/>
  <c r="M782" i="3"/>
  <c r="O1062" i="3"/>
  <c r="M2182" i="3"/>
  <c r="N2182" i="3"/>
  <c r="N1062" i="3"/>
  <c r="K1342" i="3"/>
  <c r="L2182" i="3"/>
  <c r="M1050" i="3"/>
  <c r="L770" i="3"/>
  <c r="K1050" i="3"/>
  <c r="L1610" i="3"/>
  <c r="N1890" i="3"/>
  <c r="J1890" i="3"/>
  <c r="M1890" i="3"/>
  <c r="L1890" i="3"/>
  <c r="O1890" i="3"/>
  <c r="K1890" i="3"/>
  <c r="O2170" i="3"/>
  <c r="L2170" i="3"/>
  <c r="K770" i="3"/>
  <c r="J1050" i="3"/>
  <c r="L1050" i="3"/>
  <c r="K1330" i="3"/>
  <c r="M1610" i="3"/>
  <c r="M490" i="3"/>
  <c r="O490" i="3"/>
  <c r="M770" i="3"/>
  <c r="O770" i="3"/>
  <c r="N1050" i="3"/>
  <c r="O1330" i="3"/>
  <c r="L1330" i="3"/>
  <c r="K1610" i="3"/>
  <c r="O1610" i="3"/>
  <c r="L490" i="3"/>
  <c r="J490" i="3"/>
  <c r="N490" i="3"/>
  <c r="O1050" i="3"/>
  <c r="M1330" i="3"/>
  <c r="J1330" i="3"/>
  <c r="N1330" i="3"/>
  <c r="N770" i="3"/>
  <c r="M2170" i="3"/>
  <c r="J2170" i="3"/>
  <c r="K490" i="3"/>
  <c r="N1610" i="3"/>
  <c r="K2170" i="3"/>
  <c r="J1610" i="3"/>
  <c r="J770" i="3"/>
  <c r="N2170" i="3"/>
  <c r="L762" i="3"/>
  <c r="M1882" i="3"/>
  <c r="L1882" i="3"/>
  <c r="O1882" i="3"/>
  <c r="K1882" i="3"/>
  <c r="N1882" i="3"/>
  <c r="J1882" i="3"/>
  <c r="L2162" i="3"/>
  <c r="O2162" i="3"/>
  <c r="J482" i="3"/>
  <c r="N482" i="3"/>
  <c r="J762" i="3"/>
  <c r="N762" i="3"/>
  <c r="O1042" i="3"/>
  <c r="J1322" i="3"/>
  <c r="N1322" i="3"/>
  <c r="K482" i="3"/>
  <c r="J1042" i="3"/>
  <c r="N1042" i="3"/>
  <c r="M1042" i="3"/>
  <c r="K1322" i="3"/>
  <c r="M1322" i="3"/>
  <c r="J1602" i="3"/>
  <c r="M482" i="3"/>
  <c r="K762" i="3"/>
  <c r="L1042" i="3"/>
  <c r="O1322" i="3"/>
  <c r="L482" i="3"/>
  <c r="K1042" i="3"/>
  <c r="M1602" i="3"/>
  <c r="N2162" i="3"/>
  <c r="O482" i="3"/>
  <c r="O762" i="3"/>
  <c r="L1322" i="3"/>
  <c r="K1602" i="3"/>
  <c r="L1602" i="3"/>
  <c r="J2162" i="3"/>
  <c r="M762" i="3"/>
  <c r="M2162" i="3"/>
  <c r="K2162" i="3"/>
  <c r="O1602" i="3"/>
  <c r="N1602" i="3"/>
  <c r="M1314" i="3"/>
  <c r="L754" i="3"/>
  <c r="L1594" i="3"/>
  <c r="O474" i="3"/>
  <c r="M1874" i="3"/>
  <c r="L1874" i="3"/>
  <c r="O1874" i="3"/>
  <c r="K1874" i="3"/>
  <c r="N1874" i="3"/>
  <c r="J1874" i="3"/>
  <c r="L2154" i="3"/>
  <c r="O2154" i="3"/>
  <c r="M754" i="3"/>
  <c r="O754" i="3"/>
  <c r="K1034" i="3"/>
  <c r="K1314" i="3"/>
  <c r="J474" i="3"/>
  <c r="N474" i="3"/>
  <c r="J754" i="3"/>
  <c r="N754" i="3"/>
  <c r="O1314" i="3"/>
  <c r="L1314" i="3"/>
  <c r="J1314" i="3"/>
  <c r="N1314" i="3"/>
  <c r="K1594" i="3"/>
  <c r="K474" i="3"/>
  <c r="L474" i="3"/>
  <c r="O1034" i="3"/>
  <c r="L1034" i="3"/>
  <c r="N1034" i="3"/>
  <c r="J1034" i="3"/>
  <c r="O1594" i="3"/>
  <c r="M1594" i="3"/>
  <c r="J1594" i="3"/>
  <c r="N1594" i="3"/>
  <c r="M2154" i="3"/>
  <c r="K754" i="3"/>
  <c r="M1034" i="3"/>
  <c r="N2154" i="3"/>
  <c r="M474" i="3"/>
  <c r="J2154" i="3"/>
  <c r="K2154" i="3"/>
  <c r="O458" i="3"/>
  <c r="M1298" i="3"/>
  <c r="L1578" i="3"/>
  <c r="M1858" i="3"/>
  <c r="L1858" i="3"/>
  <c r="O1858" i="3"/>
  <c r="K1858" i="3"/>
  <c r="N1858" i="3"/>
  <c r="J1858" i="3"/>
  <c r="L2138" i="3"/>
  <c r="O2138" i="3"/>
  <c r="N738" i="3"/>
  <c r="O738" i="3"/>
  <c r="O1018" i="3"/>
  <c r="J1018" i="3"/>
  <c r="M1578" i="3"/>
  <c r="J1578" i="3"/>
  <c r="M458" i="3"/>
  <c r="K1018" i="3"/>
  <c r="L1018" i="3"/>
  <c r="M1018" i="3"/>
  <c r="K458" i="3"/>
  <c r="M738" i="3"/>
  <c r="J738" i="3"/>
  <c r="L1298" i="3"/>
  <c r="K1298" i="3"/>
  <c r="L458" i="3"/>
  <c r="O1298" i="3"/>
  <c r="J2138" i="3"/>
  <c r="N458" i="3"/>
  <c r="L738" i="3"/>
  <c r="O1578" i="3"/>
  <c r="J458" i="3"/>
  <c r="K738" i="3"/>
  <c r="J1298" i="3"/>
  <c r="N1298" i="3"/>
  <c r="K1578" i="3"/>
  <c r="N1578" i="3"/>
  <c r="M2138" i="3"/>
  <c r="N1018" i="3"/>
  <c r="K2138" i="3"/>
  <c r="N2138" i="3"/>
  <c r="J1278" i="3"/>
  <c r="O438" i="3"/>
  <c r="N1278" i="3"/>
  <c r="O1838" i="3"/>
  <c r="K1838" i="3"/>
  <c r="N1838" i="3"/>
  <c r="J1838" i="3"/>
  <c r="M1838" i="3"/>
  <c r="L1838" i="3"/>
  <c r="O2118" i="3"/>
  <c r="M438" i="3"/>
  <c r="O718" i="3"/>
  <c r="L998" i="3"/>
  <c r="K998" i="3"/>
  <c r="K438" i="3"/>
  <c r="M718" i="3"/>
  <c r="J718" i="3"/>
  <c r="N718" i="3"/>
  <c r="O998" i="3"/>
  <c r="M998" i="3"/>
  <c r="M1278" i="3"/>
  <c r="O1558" i="3"/>
  <c r="J438" i="3"/>
  <c r="N438" i="3"/>
  <c r="J998" i="3"/>
  <c r="N998" i="3"/>
  <c r="O1278" i="3"/>
  <c r="K718" i="3"/>
  <c r="L1278" i="3"/>
  <c r="J1558" i="3"/>
  <c r="L1558" i="3"/>
  <c r="K2118" i="3"/>
  <c r="L718" i="3"/>
  <c r="K1278" i="3"/>
  <c r="M1558" i="3"/>
  <c r="N1558" i="3"/>
  <c r="J2118" i="3"/>
  <c r="K1558" i="3"/>
  <c r="N2118" i="3"/>
  <c r="M2118" i="3"/>
  <c r="L438" i="3"/>
  <c r="L2118" i="3"/>
  <c r="O426" i="3"/>
  <c r="N1266" i="3"/>
  <c r="J1266" i="3"/>
  <c r="L1546" i="3"/>
  <c r="O1826" i="3"/>
  <c r="K1826" i="3"/>
  <c r="N1826" i="3"/>
  <c r="J1826" i="3"/>
  <c r="M1826" i="3"/>
  <c r="L1826" i="3"/>
  <c r="J2106" i="3"/>
  <c r="O2106" i="3"/>
  <c r="J426" i="3"/>
  <c r="N426" i="3"/>
  <c r="L426" i="3"/>
  <c r="K706" i="3"/>
  <c r="O1266" i="3"/>
  <c r="L1266" i="3"/>
  <c r="O706" i="3"/>
  <c r="L706" i="3"/>
  <c r="J986" i="3"/>
  <c r="K1266" i="3"/>
  <c r="K1546" i="3"/>
  <c r="J1546" i="3"/>
  <c r="M426" i="3"/>
  <c r="K426" i="3"/>
  <c r="M706" i="3"/>
  <c r="M986" i="3"/>
  <c r="O1546" i="3"/>
  <c r="M1546" i="3"/>
  <c r="K986" i="3"/>
  <c r="L2106" i="3"/>
  <c r="J706" i="3"/>
  <c r="O986" i="3"/>
  <c r="M1266" i="3"/>
  <c r="N2106" i="3"/>
  <c r="N706" i="3"/>
  <c r="L986" i="3"/>
  <c r="N986" i="3"/>
  <c r="M2106" i="3"/>
  <c r="K2106" i="3"/>
  <c r="N1546" i="3"/>
  <c r="O414" i="3"/>
  <c r="K414" i="3"/>
  <c r="J414" i="3"/>
  <c r="J1254" i="3"/>
  <c r="L1534" i="3"/>
  <c r="N1254" i="3"/>
  <c r="O1814" i="3"/>
  <c r="K1814" i="3"/>
  <c r="N1814" i="3"/>
  <c r="J1814" i="3"/>
  <c r="M1814" i="3"/>
  <c r="O2094" i="3"/>
  <c r="J2094" i="3"/>
  <c r="L1814" i="3"/>
  <c r="L2094" i="3"/>
  <c r="M414" i="3"/>
  <c r="N414" i="3"/>
  <c r="J694" i="3"/>
  <c r="N694" i="3"/>
  <c r="K694" i="3"/>
  <c r="K974" i="3"/>
  <c r="L974" i="3"/>
  <c r="M974" i="3"/>
  <c r="O974" i="3"/>
  <c r="N974" i="3"/>
  <c r="M1254" i="3"/>
  <c r="L1254" i="3"/>
  <c r="K1534" i="3"/>
  <c r="M1534" i="3"/>
  <c r="O694" i="3"/>
  <c r="J974" i="3"/>
  <c r="O1254" i="3"/>
  <c r="O1534" i="3"/>
  <c r="L414" i="3"/>
  <c r="M694" i="3"/>
  <c r="M2094" i="3"/>
  <c r="J1534" i="3"/>
  <c r="N1534" i="3"/>
  <c r="L694" i="3"/>
  <c r="K1254" i="3"/>
  <c r="K2094" i="3"/>
  <c r="N2094" i="3"/>
  <c r="O406" i="3"/>
  <c r="K406" i="3"/>
  <c r="J406" i="3"/>
  <c r="N1246" i="3"/>
  <c r="J1246" i="3"/>
  <c r="O1806" i="3"/>
  <c r="K1806" i="3"/>
  <c r="N1806" i="3"/>
  <c r="J1806" i="3"/>
  <c r="M1806" i="3"/>
  <c r="L1806" i="3"/>
  <c r="O2086" i="3"/>
  <c r="L2086" i="3"/>
  <c r="J2086" i="3"/>
  <c r="O686" i="3"/>
  <c r="L686" i="3"/>
  <c r="K686" i="3"/>
  <c r="K1246" i="3"/>
  <c r="M406" i="3"/>
  <c r="L406" i="3"/>
  <c r="M686" i="3"/>
  <c r="K966" i="3"/>
  <c r="J966" i="3"/>
  <c r="L966" i="3"/>
  <c r="O966" i="3"/>
  <c r="N966" i="3"/>
  <c r="K1526" i="3"/>
  <c r="O1526" i="3"/>
  <c r="N406" i="3"/>
  <c r="J686" i="3"/>
  <c r="N686" i="3"/>
  <c r="M1246" i="3"/>
  <c r="K2086" i="3"/>
  <c r="M1526" i="3"/>
  <c r="O1246" i="3"/>
  <c r="L1246" i="3"/>
  <c r="L1526" i="3"/>
  <c r="J1526" i="3"/>
  <c r="M2086" i="3"/>
  <c r="N2086" i="3"/>
  <c r="M966" i="3"/>
  <c r="N1526" i="3"/>
  <c r="N398" i="3"/>
  <c r="K398" i="3"/>
  <c r="J398" i="3"/>
  <c r="N1238" i="3"/>
  <c r="J1238" i="3"/>
  <c r="O398" i="3"/>
  <c r="O1798" i="3"/>
  <c r="K1798" i="3"/>
  <c r="N1798" i="3"/>
  <c r="J1798" i="3"/>
  <c r="M1798" i="3"/>
  <c r="O2078" i="3"/>
  <c r="J2078" i="3"/>
  <c r="L1798" i="3"/>
  <c r="L2078" i="3"/>
  <c r="M398" i="3"/>
  <c r="J678" i="3"/>
  <c r="N678" i="3"/>
  <c r="J958" i="3"/>
  <c r="M1238" i="3"/>
  <c r="L1238" i="3"/>
  <c r="O678" i="3"/>
  <c r="K678" i="3"/>
  <c r="K958" i="3"/>
  <c r="L958" i="3"/>
  <c r="M958" i="3"/>
  <c r="O958" i="3"/>
  <c r="N958" i="3"/>
  <c r="O1238" i="3"/>
  <c r="M1518" i="3"/>
  <c r="M678" i="3"/>
  <c r="L678" i="3"/>
  <c r="K1238" i="3"/>
  <c r="O1518" i="3"/>
  <c r="L1518" i="3"/>
  <c r="J1518" i="3"/>
  <c r="M2078" i="3"/>
  <c r="N1518" i="3"/>
  <c r="N2078" i="3"/>
  <c r="L398" i="3"/>
  <c r="K2078" i="3"/>
  <c r="K1518" i="3"/>
  <c r="N394" i="3"/>
  <c r="K394" i="3"/>
  <c r="J394" i="3"/>
  <c r="M954" i="3"/>
  <c r="O394" i="3"/>
  <c r="L954" i="3"/>
  <c r="N1234" i="3"/>
  <c r="L1234" i="3"/>
  <c r="O1794" i="3"/>
  <c r="K1794" i="3"/>
  <c r="N1794" i="3"/>
  <c r="J1794" i="3"/>
  <c r="M1794" i="3"/>
  <c r="O2074" i="3"/>
  <c r="L1794" i="3"/>
  <c r="L2074" i="3"/>
  <c r="N2074" i="3"/>
  <c r="L674" i="3"/>
  <c r="J954" i="3"/>
  <c r="K1234" i="3"/>
  <c r="L394" i="3"/>
  <c r="N954" i="3"/>
  <c r="J1234" i="3"/>
  <c r="M1234" i="3"/>
  <c r="K1514" i="3"/>
  <c r="O1514" i="3"/>
  <c r="M394" i="3"/>
  <c r="J674" i="3"/>
  <c r="N674" i="3"/>
  <c r="O674" i="3"/>
  <c r="K674" i="3"/>
  <c r="K954" i="3"/>
  <c r="O954" i="3"/>
  <c r="M2074" i="3"/>
  <c r="M674" i="3"/>
  <c r="M1514" i="3"/>
  <c r="L1514" i="3"/>
  <c r="J1514" i="3"/>
  <c r="J2074" i="3"/>
  <c r="N1514" i="3"/>
  <c r="O1234" i="3"/>
  <c r="K2074" i="3"/>
  <c r="N390" i="3"/>
  <c r="K390" i="3"/>
  <c r="J390" i="3"/>
  <c r="O390" i="3"/>
  <c r="N1230" i="3"/>
  <c r="L1230" i="3"/>
  <c r="O1790" i="3"/>
  <c r="K1790" i="3"/>
  <c r="N1790" i="3"/>
  <c r="J1790" i="3"/>
  <c r="M1790" i="3"/>
  <c r="L1790" i="3"/>
  <c r="O2070" i="3"/>
  <c r="L2070" i="3"/>
  <c r="J2070" i="3"/>
  <c r="O670" i="3"/>
  <c r="K670" i="3"/>
  <c r="L670" i="3"/>
  <c r="L950" i="3"/>
  <c r="O1230" i="3"/>
  <c r="M1510" i="3"/>
  <c r="M670" i="3"/>
  <c r="N950" i="3"/>
  <c r="K950" i="3"/>
  <c r="O950" i="3"/>
  <c r="J950" i="3"/>
  <c r="K1230" i="3"/>
  <c r="L390" i="3"/>
  <c r="M950" i="3"/>
  <c r="K1510" i="3"/>
  <c r="O1510" i="3"/>
  <c r="N670" i="3"/>
  <c r="M1230" i="3"/>
  <c r="J1230" i="3"/>
  <c r="N1510" i="3"/>
  <c r="N2070" i="3"/>
  <c r="K2070" i="3"/>
  <c r="M390" i="3"/>
  <c r="M2070" i="3"/>
  <c r="L1510" i="3"/>
  <c r="J670" i="3"/>
  <c r="J1510" i="3"/>
  <c r="N378" i="3"/>
  <c r="M938" i="3"/>
  <c r="K378" i="3"/>
  <c r="L938" i="3"/>
  <c r="J378" i="3"/>
  <c r="L1218" i="3"/>
  <c r="M1498" i="3"/>
  <c r="O378" i="3"/>
  <c r="N1218" i="3"/>
  <c r="O1778" i="3"/>
  <c r="K1778" i="3"/>
  <c r="N1778" i="3"/>
  <c r="J1778" i="3"/>
  <c r="M1778" i="3"/>
  <c r="O2058" i="3"/>
  <c r="L1778" i="3"/>
  <c r="L2058" i="3"/>
  <c r="N2058" i="3"/>
  <c r="L378" i="3"/>
  <c r="O658" i="3"/>
  <c r="K1498" i="3"/>
  <c r="O1498" i="3"/>
  <c r="M378" i="3"/>
  <c r="J658" i="3"/>
  <c r="N658" i="3"/>
  <c r="M658" i="3"/>
  <c r="J938" i="3"/>
  <c r="M1218" i="3"/>
  <c r="K658" i="3"/>
  <c r="O1218" i="3"/>
  <c r="J1218" i="3"/>
  <c r="K1218" i="3"/>
  <c r="K938" i="3"/>
  <c r="L1498" i="3"/>
  <c r="J1498" i="3"/>
  <c r="M2058" i="3"/>
  <c r="K2058" i="3"/>
  <c r="L658" i="3"/>
  <c r="N938" i="3"/>
  <c r="O938" i="3"/>
  <c r="N1498" i="3"/>
  <c r="J2058" i="3"/>
  <c r="N366" i="3"/>
  <c r="N646" i="3"/>
  <c r="K366" i="3"/>
  <c r="M646" i="3"/>
  <c r="J366" i="3"/>
  <c r="J646" i="3"/>
  <c r="L1206" i="3"/>
  <c r="J1486" i="3"/>
  <c r="O366" i="3"/>
  <c r="N1206" i="3"/>
  <c r="N1486" i="3"/>
  <c r="O1766" i="3"/>
  <c r="K1766" i="3"/>
  <c r="N1766" i="3"/>
  <c r="J1766" i="3"/>
  <c r="M1766" i="3"/>
  <c r="L2046" i="3"/>
  <c r="J2046" i="3"/>
  <c r="L1766" i="3"/>
  <c r="O2046" i="3"/>
  <c r="M366" i="3"/>
  <c r="L646" i="3"/>
  <c r="M1206" i="3"/>
  <c r="K646" i="3"/>
  <c r="O1206" i="3"/>
  <c r="J1206" i="3"/>
  <c r="M1486" i="3"/>
  <c r="O646" i="3"/>
  <c r="K926" i="3"/>
  <c r="N926" i="3"/>
  <c r="O926" i="3"/>
  <c r="K1206" i="3"/>
  <c r="L366" i="3"/>
  <c r="L926" i="3"/>
  <c r="L1486" i="3"/>
  <c r="M2046" i="3"/>
  <c r="K1486" i="3"/>
  <c r="J926" i="3"/>
  <c r="O1486" i="3"/>
  <c r="K2046" i="3"/>
  <c r="M926" i="3"/>
  <c r="N2046" i="3"/>
  <c r="N358" i="3"/>
  <c r="J638" i="3"/>
  <c r="K358" i="3"/>
  <c r="J358" i="3"/>
  <c r="N638" i="3"/>
  <c r="O358" i="3"/>
  <c r="J1478" i="3"/>
  <c r="M638" i="3"/>
  <c r="M1198" i="3"/>
  <c r="L1198" i="3"/>
  <c r="N1478" i="3"/>
  <c r="M1478" i="3"/>
  <c r="N1758" i="3"/>
  <c r="J1758" i="3"/>
  <c r="K1758" i="3"/>
  <c r="M1758" i="3"/>
  <c r="L2038" i="3"/>
  <c r="O1758" i="3"/>
  <c r="L1758" i="3"/>
  <c r="J2038" i="3"/>
  <c r="O2038" i="3"/>
  <c r="O638" i="3"/>
  <c r="K918" i="3"/>
  <c r="J918" i="3"/>
  <c r="O918" i="3"/>
  <c r="K1198" i="3"/>
  <c r="L358" i="3"/>
  <c r="N918" i="3"/>
  <c r="M918" i="3"/>
  <c r="O1198" i="3"/>
  <c r="M358" i="3"/>
  <c r="L638" i="3"/>
  <c r="J1198" i="3"/>
  <c r="K1478" i="3"/>
  <c r="N1198" i="3"/>
  <c r="O1478" i="3"/>
  <c r="K638" i="3"/>
  <c r="L1478" i="3"/>
  <c r="M2038" i="3"/>
  <c r="N2038" i="3"/>
  <c r="L918" i="3"/>
  <c r="K2038" i="3"/>
  <c r="N350" i="3"/>
  <c r="N630" i="3"/>
  <c r="M910" i="3"/>
  <c r="K350" i="3"/>
  <c r="M630" i="3"/>
  <c r="L910" i="3"/>
  <c r="J350" i="3"/>
  <c r="J630" i="3"/>
  <c r="J1470" i="3"/>
  <c r="M1190" i="3"/>
  <c r="O350" i="3"/>
  <c r="L1190" i="3"/>
  <c r="N1470" i="3"/>
  <c r="M1470" i="3"/>
  <c r="N1750" i="3"/>
  <c r="J1750" i="3"/>
  <c r="M1750" i="3"/>
  <c r="O1750" i="3"/>
  <c r="J2030" i="3"/>
  <c r="L1750" i="3"/>
  <c r="L2030" i="3"/>
  <c r="O2030" i="3"/>
  <c r="K1750" i="3"/>
  <c r="M350" i="3"/>
  <c r="L630" i="3"/>
  <c r="J1190" i="3"/>
  <c r="K630" i="3"/>
  <c r="K910" i="3"/>
  <c r="N1190" i="3"/>
  <c r="O1470" i="3"/>
  <c r="O630" i="3"/>
  <c r="J910" i="3"/>
  <c r="O910" i="3"/>
  <c r="K1190" i="3"/>
  <c r="K1470" i="3"/>
  <c r="L1470" i="3"/>
  <c r="M2030" i="3"/>
  <c r="L350" i="3"/>
  <c r="O1190" i="3"/>
  <c r="N2030" i="3"/>
  <c r="N910" i="3"/>
  <c r="K2030" i="3"/>
  <c r="K2297" i="3"/>
  <c r="L2297" i="3"/>
  <c r="O2297" i="3"/>
  <c r="M2297" i="3"/>
  <c r="J2297" i="3"/>
  <c r="N2297" i="3"/>
  <c r="O2293" i="3"/>
  <c r="K2293" i="3"/>
  <c r="L2293" i="3"/>
  <c r="J2293" i="3"/>
  <c r="M2293" i="3"/>
  <c r="N2293" i="3"/>
  <c r="O2289" i="3"/>
  <c r="N2289" i="3"/>
  <c r="K2289" i="3"/>
  <c r="M2289" i="3"/>
  <c r="L2289" i="3"/>
  <c r="J2289" i="3"/>
  <c r="O2285" i="3"/>
  <c r="M2285" i="3"/>
  <c r="K2285" i="3"/>
  <c r="J2285" i="3"/>
  <c r="N2285" i="3"/>
  <c r="L2285" i="3"/>
  <c r="O2281" i="3"/>
  <c r="L2281" i="3"/>
  <c r="J2281" i="3"/>
  <c r="K2281" i="3"/>
  <c r="N2281" i="3"/>
  <c r="M2281" i="3"/>
  <c r="O2277" i="3"/>
  <c r="K2277" i="3"/>
  <c r="M2277" i="3"/>
  <c r="L2277" i="3"/>
  <c r="J2277" i="3"/>
  <c r="N2277" i="3"/>
  <c r="O2273" i="3"/>
  <c r="M2273" i="3"/>
  <c r="N2273" i="3"/>
  <c r="K2273" i="3"/>
  <c r="L2273" i="3"/>
  <c r="J2273" i="3"/>
  <c r="O2269" i="3"/>
  <c r="J2269" i="3"/>
  <c r="N2269" i="3"/>
  <c r="M2269" i="3"/>
  <c r="K2269" i="3"/>
  <c r="L2269" i="3"/>
  <c r="O2265" i="3"/>
  <c r="L2265" i="3"/>
  <c r="M2265" i="3"/>
  <c r="J2265" i="3"/>
  <c r="N2265" i="3"/>
  <c r="K2265" i="3"/>
  <c r="O1981" i="3"/>
  <c r="K1981" i="3"/>
  <c r="M1981" i="3"/>
  <c r="L1981" i="3"/>
  <c r="N1981" i="3"/>
  <c r="J1981" i="3"/>
  <c r="O2261" i="3"/>
  <c r="N581" i="3"/>
  <c r="K581" i="3"/>
  <c r="M861" i="3"/>
  <c r="N861" i="3"/>
  <c r="K861" i="3"/>
  <c r="M1141" i="3"/>
  <c r="O1421" i="3"/>
  <c r="L1421" i="3"/>
  <c r="J1421" i="3"/>
  <c r="O861" i="3"/>
  <c r="L861" i="3"/>
  <c r="L1141" i="3"/>
  <c r="N1141" i="3"/>
  <c r="N1421" i="3"/>
  <c r="K1701" i="3"/>
  <c r="O1701" i="3"/>
  <c r="M581" i="3"/>
  <c r="J861" i="3"/>
  <c r="J1141" i="3"/>
  <c r="O1141" i="3"/>
  <c r="K1421" i="3"/>
  <c r="M1701" i="3"/>
  <c r="J1701" i="3"/>
  <c r="K1141" i="3"/>
  <c r="L1701" i="3"/>
  <c r="K2261" i="3"/>
  <c r="L2261" i="3"/>
  <c r="M1421" i="3"/>
  <c r="J2261" i="3"/>
  <c r="L581" i="3"/>
  <c r="J581" i="3"/>
  <c r="O581" i="3"/>
  <c r="M2261" i="3"/>
  <c r="N1701" i="3"/>
  <c r="N2261" i="3"/>
  <c r="O1977" i="3"/>
  <c r="K1977" i="3"/>
  <c r="M1977" i="3"/>
  <c r="L1977" i="3"/>
  <c r="J1977" i="3"/>
  <c r="N1977" i="3"/>
  <c r="O2257" i="3"/>
  <c r="L577" i="3"/>
  <c r="L1137" i="3"/>
  <c r="K1417" i="3"/>
  <c r="J1697" i="3"/>
  <c r="J577" i="3"/>
  <c r="O577" i="3"/>
  <c r="N857" i="3"/>
  <c r="K1137" i="3"/>
  <c r="O1137" i="3"/>
  <c r="M1417" i="3"/>
  <c r="J1417" i="3"/>
  <c r="M1697" i="3"/>
  <c r="N577" i="3"/>
  <c r="K577" i="3"/>
  <c r="M857" i="3"/>
  <c r="K857" i="3"/>
  <c r="L857" i="3"/>
  <c r="J1137" i="3"/>
  <c r="N1137" i="3"/>
  <c r="M1137" i="3"/>
  <c r="O1417" i="3"/>
  <c r="N1417" i="3"/>
  <c r="O857" i="3"/>
  <c r="N2257" i="3"/>
  <c r="K1697" i="3"/>
  <c r="L1697" i="3"/>
  <c r="J857" i="3"/>
  <c r="O1697" i="3"/>
  <c r="N1697" i="3"/>
  <c r="M2257" i="3"/>
  <c r="L2257" i="3"/>
  <c r="M577" i="3"/>
  <c r="L1417" i="3"/>
  <c r="J2257" i="3"/>
  <c r="K2257" i="3"/>
  <c r="L1125" i="3"/>
  <c r="N1685" i="3"/>
  <c r="M1965" i="3"/>
  <c r="O1965" i="3"/>
  <c r="K1965" i="3"/>
  <c r="N1965" i="3"/>
  <c r="J1965" i="3"/>
  <c r="L1965" i="3"/>
  <c r="O2245" i="3"/>
  <c r="M565" i="3"/>
  <c r="N565" i="3"/>
  <c r="K565" i="3"/>
  <c r="M845" i="3"/>
  <c r="J845" i="3"/>
  <c r="K845" i="3"/>
  <c r="O845" i="3"/>
  <c r="M1125" i="3"/>
  <c r="O1405" i="3"/>
  <c r="L565" i="3"/>
  <c r="J1125" i="3"/>
  <c r="K1125" i="3"/>
  <c r="N1125" i="3"/>
  <c r="L1405" i="3"/>
  <c r="K1685" i="3"/>
  <c r="O1685" i="3"/>
  <c r="N845" i="3"/>
  <c r="K1405" i="3"/>
  <c r="J1405" i="3"/>
  <c r="J565" i="3"/>
  <c r="O565" i="3"/>
  <c r="N1405" i="3"/>
  <c r="M2245" i="3"/>
  <c r="K2245" i="3"/>
  <c r="L2245" i="3"/>
  <c r="J2245" i="3"/>
  <c r="M1685" i="3"/>
  <c r="J1685" i="3"/>
  <c r="L1685" i="3"/>
  <c r="N2245" i="3"/>
  <c r="O1125" i="3"/>
  <c r="M1405" i="3"/>
  <c r="L845" i="3"/>
  <c r="N1953" i="3"/>
  <c r="J1953" i="3"/>
  <c r="M1953" i="3"/>
  <c r="L1953" i="3"/>
  <c r="O1953" i="3"/>
  <c r="K1953" i="3"/>
  <c r="O2233" i="3"/>
  <c r="N553" i="3"/>
  <c r="K553" i="3"/>
  <c r="M833" i="3"/>
  <c r="J833" i="3"/>
  <c r="L833" i="3"/>
  <c r="L1113" i="3"/>
  <c r="O1113" i="3"/>
  <c r="K1393" i="3"/>
  <c r="J1393" i="3"/>
  <c r="N1393" i="3"/>
  <c r="M1673" i="3"/>
  <c r="J1673" i="3"/>
  <c r="M553" i="3"/>
  <c r="K833" i="3"/>
  <c r="N1113" i="3"/>
  <c r="M1113" i="3"/>
  <c r="O1393" i="3"/>
  <c r="M1393" i="3"/>
  <c r="L553" i="3"/>
  <c r="O833" i="3"/>
  <c r="K1113" i="3"/>
  <c r="L1393" i="3"/>
  <c r="O1673" i="3"/>
  <c r="J553" i="3"/>
  <c r="O553" i="3"/>
  <c r="K2233" i="3"/>
  <c r="L2233" i="3"/>
  <c r="M2233" i="3"/>
  <c r="J2233" i="3"/>
  <c r="L1673" i="3"/>
  <c r="N2233" i="3"/>
  <c r="J1113" i="3"/>
  <c r="N1673" i="3"/>
  <c r="N833" i="3"/>
  <c r="K1673" i="3"/>
  <c r="N1945" i="3"/>
  <c r="J1945" i="3"/>
  <c r="M1945" i="3"/>
  <c r="L1945" i="3"/>
  <c r="O1945" i="3"/>
  <c r="K1945" i="3"/>
  <c r="O2225" i="3"/>
  <c r="L545" i="3"/>
  <c r="J545" i="3"/>
  <c r="K1105" i="3"/>
  <c r="L1385" i="3"/>
  <c r="O1665" i="3"/>
  <c r="M1665" i="3"/>
  <c r="K545" i="3"/>
  <c r="O545" i="3"/>
  <c r="M825" i="3"/>
  <c r="N825" i="3"/>
  <c r="J1105" i="3"/>
  <c r="O1105" i="3"/>
  <c r="M1105" i="3"/>
  <c r="K1385" i="3"/>
  <c r="O1385" i="3"/>
  <c r="N545" i="3"/>
  <c r="J825" i="3"/>
  <c r="K825" i="3"/>
  <c r="L825" i="3"/>
  <c r="L1105" i="3"/>
  <c r="M1385" i="3"/>
  <c r="J1385" i="3"/>
  <c r="N1385" i="3"/>
  <c r="J1665" i="3"/>
  <c r="M545" i="3"/>
  <c r="N1105" i="3"/>
  <c r="K1665" i="3"/>
  <c r="N1665" i="3"/>
  <c r="L2225" i="3"/>
  <c r="J2225" i="3"/>
  <c r="K2225" i="3"/>
  <c r="L1665" i="3"/>
  <c r="M2225" i="3"/>
  <c r="O825" i="3"/>
  <c r="N2225" i="3"/>
  <c r="O533" i="3"/>
  <c r="N533" i="3"/>
  <c r="M1933" i="3"/>
  <c r="L1933" i="3"/>
  <c r="O1933" i="3"/>
  <c r="K1933" i="3"/>
  <c r="N1933" i="3"/>
  <c r="J1933" i="3"/>
  <c r="O2213" i="3"/>
  <c r="J813" i="3"/>
  <c r="O813" i="3"/>
  <c r="O1093" i="3"/>
  <c r="M1093" i="3"/>
  <c r="K1373" i="3"/>
  <c r="J1373" i="3"/>
  <c r="N1373" i="3"/>
  <c r="J1653" i="3"/>
  <c r="M533" i="3"/>
  <c r="J533" i="3"/>
  <c r="K813" i="3"/>
  <c r="L533" i="3"/>
  <c r="K533" i="3"/>
  <c r="M813" i="3"/>
  <c r="N1093" i="3"/>
  <c r="L1373" i="3"/>
  <c r="O1373" i="3"/>
  <c r="O1653" i="3"/>
  <c r="M1653" i="3"/>
  <c r="N813" i="3"/>
  <c r="J1093" i="3"/>
  <c r="M1373" i="3"/>
  <c r="M2213" i="3"/>
  <c r="L1093" i="3"/>
  <c r="J2213" i="3"/>
  <c r="L813" i="3"/>
  <c r="K1093" i="3"/>
  <c r="L1653" i="3"/>
  <c r="K2213" i="3"/>
  <c r="N2213" i="3"/>
  <c r="K1653" i="3"/>
  <c r="N1653" i="3"/>
  <c r="L2213" i="3"/>
  <c r="O525" i="3"/>
  <c r="N525" i="3"/>
  <c r="O1085" i="3"/>
  <c r="M1925" i="3"/>
  <c r="L1925" i="3"/>
  <c r="O1925" i="3"/>
  <c r="K1925" i="3"/>
  <c r="N1925" i="3"/>
  <c r="J1925" i="3"/>
  <c r="O2205" i="3"/>
  <c r="L525" i="3"/>
  <c r="L805" i="3"/>
  <c r="N1085" i="3"/>
  <c r="L1365" i="3"/>
  <c r="K1645" i="3"/>
  <c r="O1645" i="3"/>
  <c r="N805" i="3"/>
  <c r="M805" i="3"/>
  <c r="J1085" i="3"/>
  <c r="L1085" i="3"/>
  <c r="M1085" i="3"/>
  <c r="O1365" i="3"/>
  <c r="M1365" i="3"/>
  <c r="J1365" i="3"/>
  <c r="M1645" i="3"/>
  <c r="J525" i="3"/>
  <c r="J805" i="3"/>
  <c r="O805" i="3"/>
  <c r="K1365" i="3"/>
  <c r="N1365" i="3"/>
  <c r="J1645" i="3"/>
  <c r="N2205" i="3"/>
  <c r="M2205" i="3"/>
  <c r="K2205" i="3"/>
  <c r="M525" i="3"/>
  <c r="N1645" i="3"/>
  <c r="L2205" i="3"/>
  <c r="K525" i="3"/>
  <c r="K805" i="3"/>
  <c r="L1645" i="3"/>
  <c r="J2205" i="3"/>
  <c r="K1085" i="3"/>
  <c r="O1073" i="3"/>
  <c r="L1633" i="3"/>
  <c r="M1913" i="3"/>
  <c r="L1913" i="3"/>
  <c r="O1913" i="3"/>
  <c r="K1913" i="3"/>
  <c r="N1913" i="3"/>
  <c r="J1913" i="3"/>
  <c r="O2193" i="3"/>
  <c r="K513" i="3"/>
  <c r="J793" i="3"/>
  <c r="O793" i="3"/>
  <c r="K1073" i="3"/>
  <c r="M1073" i="3"/>
  <c r="J1633" i="3"/>
  <c r="M513" i="3"/>
  <c r="O513" i="3"/>
  <c r="O1353" i="3"/>
  <c r="M1353" i="3"/>
  <c r="K1633" i="3"/>
  <c r="L513" i="3"/>
  <c r="N513" i="3"/>
  <c r="M793" i="3"/>
  <c r="K793" i="3"/>
  <c r="L793" i="3"/>
  <c r="N1073" i="3"/>
  <c r="L1353" i="3"/>
  <c r="J1353" i="3"/>
  <c r="N1353" i="3"/>
  <c r="K1353" i="3"/>
  <c r="O1633" i="3"/>
  <c r="M1633" i="3"/>
  <c r="J513" i="3"/>
  <c r="N793" i="3"/>
  <c r="J1073" i="3"/>
  <c r="K2193" i="3"/>
  <c r="N2193" i="3"/>
  <c r="M2193" i="3"/>
  <c r="L1073" i="3"/>
  <c r="N1633" i="3"/>
  <c r="L2193" i="3"/>
  <c r="J2193" i="3"/>
  <c r="J781" i="3"/>
  <c r="O501" i="3"/>
  <c r="N501" i="3"/>
  <c r="O1901" i="3"/>
  <c r="K1901" i="3"/>
  <c r="N1901" i="3"/>
  <c r="J1901" i="3"/>
  <c r="M1901" i="3"/>
  <c r="L1901" i="3"/>
  <c r="O2181" i="3"/>
  <c r="M501" i="3"/>
  <c r="J501" i="3"/>
  <c r="N781" i="3"/>
  <c r="L1061" i="3"/>
  <c r="O1061" i="3"/>
  <c r="N1341" i="3"/>
  <c r="L501" i="3"/>
  <c r="K501" i="3"/>
  <c r="O781" i="3"/>
  <c r="N1061" i="3"/>
  <c r="L1341" i="3"/>
  <c r="M1341" i="3"/>
  <c r="J1341" i="3"/>
  <c r="O1621" i="3"/>
  <c r="M781" i="3"/>
  <c r="J1061" i="3"/>
  <c r="O1341" i="3"/>
  <c r="L781" i="3"/>
  <c r="J1621" i="3"/>
  <c r="L1621" i="3"/>
  <c r="K1061" i="3"/>
  <c r="K1621" i="3"/>
  <c r="N2181" i="3"/>
  <c r="K2181" i="3"/>
  <c r="K1341" i="3"/>
  <c r="N1621" i="3"/>
  <c r="J2181" i="3"/>
  <c r="M2181" i="3"/>
  <c r="L2181" i="3"/>
  <c r="K781" i="3"/>
  <c r="M1061" i="3"/>
  <c r="M1621" i="3"/>
  <c r="N1609" i="3"/>
  <c r="J1609" i="3"/>
  <c r="J769" i="3"/>
  <c r="O1889" i="3"/>
  <c r="K1889" i="3"/>
  <c r="N1889" i="3"/>
  <c r="J1889" i="3"/>
  <c r="M1889" i="3"/>
  <c r="L1889" i="3"/>
  <c r="O2169" i="3"/>
  <c r="M769" i="3"/>
  <c r="L769" i="3"/>
  <c r="N769" i="3"/>
  <c r="J1049" i="3"/>
  <c r="J489" i="3"/>
  <c r="O489" i="3"/>
  <c r="K769" i="3"/>
  <c r="O1049" i="3"/>
  <c r="L1049" i="3"/>
  <c r="M1609" i="3"/>
  <c r="M489" i="3"/>
  <c r="N489" i="3"/>
  <c r="K489" i="3"/>
  <c r="M1329" i="3"/>
  <c r="N1329" i="3"/>
  <c r="K1609" i="3"/>
  <c r="O1609" i="3"/>
  <c r="O769" i="3"/>
  <c r="K1049" i="3"/>
  <c r="O1329" i="3"/>
  <c r="N2169" i="3"/>
  <c r="M2169" i="3"/>
  <c r="L1609" i="3"/>
  <c r="J2169" i="3"/>
  <c r="L2169" i="3"/>
  <c r="N1049" i="3"/>
  <c r="J1329" i="3"/>
  <c r="K1329" i="3"/>
  <c r="K2169" i="3"/>
  <c r="L489" i="3"/>
  <c r="L1329" i="3"/>
  <c r="M1049" i="3"/>
  <c r="J761" i="3"/>
  <c r="N1881" i="3"/>
  <c r="J1881" i="3"/>
  <c r="M1881" i="3"/>
  <c r="L1881" i="3"/>
  <c r="O1881" i="3"/>
  <c r="K1881" i="3"/>
  <c r="O2161" i="3"/>
  <c r="M481" i="3"/>
  <c r="N481" i="3"/>
  <c r="K1041" i="3"/>
  <c r="N1321" i="3"/>
  <c r="K1601" i="3"/>
  <c r="M1601" i="3"/>
  <c r="L481" i="3"/>
  <c r="O761" i="3"/>
  <c r="L761" i="3"/>
  <c r="L1041" i="3"/>
  <c r="N1041" i="3"/>
  <c r="L1321" i="3"/>
  <c r="J1321" i="3"/>
  <c r="K1321" i="3"/>
  <c r="O1601" i="3"/>
  <c r="J481" i="3"/>
  <c r="M761" i="3"/>
  <c r="N761" i="3"/>
  <c r="J1041" i="3"/>
  <c r="O1041" i="3"/>
  <c r="M1041" i="3"/>
  <c r="O1321" i="3"/>
  <c r="K481" i="3"/>
  <c r="K761" i="3"/>
  <c r="J1601" i="3"/>
  <c r="O481" i="3"/>
  <c r="N1601" i="3"/>
  <c r="M2161" i="3"/>
  <c r="N2161" i="3"/>
  <c r="J2161" i="3"/>
  <c r="K2161" i="3"/>
  <c r="L1601" i="3"/>
  <c r="M1321" i="3"/>
  <c r="L2161" i="3"/>
  <c r="N473" i="3"/>
  <c r="J753" i="3"/>
  <c r="M473" i="3"/>
  <c r="N1313" i="3"/>
  <c r="N1593" i="3"/>
  <c r="J1593" i="3"/>
  <c r="N1873" i="3"/>
  <c r="J1873" i="3"/>
  <c r="M1873" i="3"/>
  <c r="L1873" i="3"/>
  <c r="O1873" i="3"/>
  <c r="K1873" i="3"/>
  <c r="O2153" i="3"/>
  <c r="K473" i="3"/>
  <c r="K753" i="3"/>
  <c r="M1033" i="3"/>
  <c r="K1313" i="3"/>
  <c r="M1313" i="3"/>
  <c r="J473" i="3"/>
  <c r="N753" i="3"/>
  <c r="K1033" i="3"/>
  <c r="O1033" i="3"/>
  <c r="L473" i="3"/>
  <c r="O473" i="3"/>
  <c r="O753" i="3"/>
  <c r="L753" i="3"/>
  <c r="J1033" i="3"/>
  <c r="L1033" i="3"/>
  <c r="O1313" i="3"/>
  <c r="L1313" i="3"/>
  <c r="K1593" i="3"/>
  <c r="O1593" i="3"/>
  <c r="L1593" i="3"/>
  <c r="N2153" i="3"/>
  <c r="K2153" i="3"/>
  <c r="L2153" i="3"/>
  <c r="J2153" i="3"/>
  <c r="N1033" i="3"/>
  <c r="M2153" i="3"/>
  <c r="M753" i="3"/>
  <c r="J1313" i="3"/>
  <c r="M1593" i="3"/>
  <c r="N457" i="3"/>
  <c r="M457" i="3"/>
  <c r="L737" i="3"/>
  <c r="N1297" i="3"/>
  <c r="N1577" i="3"/>
  <c r="J1577" i="3"/>
  <c r="N1857" i="3"/>
  <c r="J1857" i="3"/>
  <c r="M1857" i="3"/>
  <c r="L1857" i="3"/>
  <c r="O1857" i="3"/>
  <c r="K1857" i="3"/>
  <c r="O2137" i="3"/>
  <c r="L457" i="3"/>
  <c r="O457" i="3"/>
  <c r="M737" i="3"/>
  <c r="O737" i="3"/>
  <c r="J1017" i="3"/>
  <c r="O1297" i="3"/>
  <c r="L1297" i="3"/>
  <c r="J1297" i="3"/>
  <c r="K1577" i="3"/>
  <c r="O1577" i="3"/>
  <c r="N1017" i="3"/>
  <c r="M1577" i="3"/>
  <c r="K457" i="3"/>
  <c r="J457" i="3"/>
  <c r="K737" i="3"/>
  <c r="M1017" i="3"/>
  <c r="K1297" i="3"/>
  <c r="M1297" i="3"/>
  <c r="J737" i="3"/>
  <c r="K1017" i="3"/>
  <c r="L1017" i="3"/>
  <c r="O1017" i="3"/>
  <c r="J2137" i="3"/>
  <c r="L2137" i="3"/>
  <c r="N737" i="3"/>
  <c r="L1577" i="3"/>
  <c r="K2137" i="3"/>
  <c r="N2137" i="3"/>
  <c r="M2137" i="3"/>
  <c r="N437" i="3"/>
  <c r="M437" i="3"/>
  <c r="L1277" i="3"/>
  <c r="M997" i="3"/>
  <c r="J1557" i="3"/>
  <c r="L997" i="3"/>
  <c r="L1837" i="3"/>
  <c r="O1837" i="3"/>
  <c r="K1837" i="3"/>
  <c r="N1837" i="3"/>
  <c r="J1837" i="3"/>
  <c r="M1837" i="3"/>
  <c r="O2117" i="3"/>
  <c r="K717" i="3"/>
  <c r="K997" i="3"/>
  <c r="N997" i="3"/>
  <c r="O1277" i="3"/>
  <c r="K437" i="3"/>
  <c r="J717" i="3"/>
  <c r="L717" i="3"/>
  <c r="O997" i="3"/>
  <c r="K1557" i="3"/>
  <c r="J437" i="3"/>
  <c r="N717" i="3"/>
  <c r="O717" i="3"/>
  <c r="N1277" i="3"/>
  <c r="M1277" i="3"/>
  <c r="J1277" i="3"/>
  <c r="O1557" i="3"/>
  <c r="M1557" i="3"/>
  <c r="J997" i="3"/>
  <c r="K1277" i="3"/>
  <c r="N2117" i="3"/>
  <c r="L437" i="3"/>
  <c r="O437" i="3"/>
  <c r="L1557" i="3"/>
  <c r="J2117" i="3"/>
  <c r="M2117" i="3"/>
  <c r="L2117" i="3"/>
  <c r="N1557" i="3"/>
  <c r="K2117" i="3"/>
  <c r="M717" i="3"/>
  <c r="L985" i="3"/>
  <c r="N425" i="3"/>
  <c r="M425" i="3"/>
  <c r="O985" i="3"/>
  <c r="N1545" i="3"/>
  <c r="J1545" i="3"/>
  <c r="L1265" i="3"/>
  <c r="L1825" i="3"/>
  <c r="O1825" i="3"/>
  <c r="K1825" i="3"/>
  <c r="N1825" i="3"/>
  <c r="J1825" i="3"/>
  <c r="M1825" i="3"/>
  <c r="O2105" i="3"/>
  <c r="N705" i="3"/>
  <c r="M705" i="3"/>
  <c r="J985" i="3"/>
  <c r="M1265" i="3"/>
  <c r="L425" i="3"/>
  <c r="O425" i="3"/>
  <c r="K705" i="3"/>
  <c r="K985" i="3"/>
  <c r="M985" i="3"/>
  <c r="K1265" i="3"/>
  <c r="O1265" i="3"/>
  <c r="K1545" i="3"/>
  <c r="O1545" i="3"/>
  <c r="J705" i="3"/>
  <c r="M1545" i="3"/>
  <c r="N2105" i="3"/>
  <c r="L2105" i="3"/>
  <c r="K425" i="3"/>
  <c r="J425" i="3"/>
  <c r="O705" i="3"/>
  <c r="L705" i="3"/>
  <c r="M2105" i="3"/>
  <c r="J2105" i="3"/>
  <c r="N1265" i="3"/>
  <c r="L1545" i="3"/>
  <c r="N985" i="3"/>
  <c r="J1265" i="3"/>
  <c r="K2105" i="3"/>
  <c r="O973" i="3"/>
  <c r="J413" i="3"/>
  <c r="L973" i="3"/>
  <c r="L1253" i="3"/>
  <c r="L1813" i="3"/>
  <c r="O1813" i="3"/>
  <c r="K1813" i="3"/>
  <c r="N1813" i="3"/>
  <c r="J1813" i="3"/>
  <c r="M1813" i="3"/>
  <c r="O2093" i="3"/>
  <c r="L413" i="3"/>
  <c r="O693" i="3"/>
  <c r="K973" i="3"/>
  <c r="O1253" i="3"/>
  <c r="N1253" i="3"/>
  <c r="J1253" i="3"/>
  <c r="K1533" i="3"/>
  <c r="M1533" i="3"/>
  <c r="K413" i="3"/>
  <c r="J693" i="3"/>
  <c r="M693" i="3"/>
  <c r="L693" i="3"/>
  <c r="N973" i="3"/>
  <c r="M413" i="3"/>
  <c r="K693" i="3"/>
  <c r="N693" i="3"/>
  <c r="J973" i="3"/>
  <c r="M1253" i="3"/>
  <c r="J1533" i="3"/>
  <c r="N413" i="3"/>
  <c r="K1253" i="3"/>
  <c r="L1533" i="3"/>
  <c r="N2093" i="3"/>
  <c r="M2093" i="3"/>
  <c r="O413" i="3"/>
  <c r="O1533" i="3"/>
  <c r="K2093" i="3"/>
  <c r="L2093" i="3"/>
  <c r="M973" i="3"/>
  <c r="N1533" i="3"/>
  <c r="J2093" i="3"/>
  <c r="O965" i="3"/>
  <c r="L965" i="3"/>
  <c r="L1245" i="3"/>
  <c r="L1805" i="3"/>
  <c r="O1805" i="3"/>
  <c r="K1805" i="3"/>
  <c r="N1805" i="3"/>
  <c r="J1805" i="3"/>
  <c r="O2085" i="3"/>
  <c r="M1805" i="3"/>
  <c r="N405" i="3"/>
  <c r="K405" i="3"/>
  <c r="K685" i="3"/>
  <c r="K1245" i="3"/>
  <c r="K1525" i="3"/>
  <c r="O1525" i="3"/>
  <c r="L405" i="3"/>
  <c r="O405" i="3"/>
  <c r="N965" i="3"/>
  <c r="O1245" i="3"/>
  <c r="J685" i="3"/>
  <c r="L685" i="3"/>
  <c r="J965" i="3"/>
  <c r="K965" i="3"/>
  <c r="J1245" i="3"/>
  <c r="M405" i="3"/>
  <c r="M965" i="3"/>
  <c r="J1525" i="3"/>
  <c r="L2085" i="3"/>
  <c r="M685" i="3"/>
  <c r="O685" i="3"/>
  <c r="N1525" i="3"/>
  <c r="L1525" i="3"/>
  <c r="J2085" i="3"/>
  <c r="K2085" i="3"/>
  <c r="N685" i="3"/>
  <c r="N1245" i="3"/>
  <c r="M1245" i="3"/>
  <c r="J405" i="3"/>
  <c r="M1525" i="3"/>
  <c r="N2085" i="3"/>
  <c r="M2085" i="3"/>
  <c r="O957" i="3"/>
  <c r="L1237" i="3"/>
  <c r="L1797" i="3"/>
  <c r="O1797" i="3"/>
  <c r="K1797" i="3"/>
  <c r="N1797" i="3"/>
  <c r="J1797" i="3"/>
  <c r="M1797" i="3"/>
  <c r="O2077" i="3"/>
  <c r="J677" i="3"/>
  <c r="M677" i="3"/>
  <c r="O677" i="3"/>
  <c r="L677" i="3"/>
  <c r="L957" i="3"/>
  <c r="N957" i="3"/>
  <c r="N1237" i="3"/>
  <c r="M397" i="3"/>
  <c r="J397" i="3"/>
  <c r="K677" i="3"/>
  <c r="N677" i="3"/>
  <c r="J957" i="3"/>
  <c r="M1237" i="3"/>
  <c r="M1517" i="3"/>
  <c r="N397" i="3"/>
  <c r="K397" i="3"/>
  <c r="K1237" i="3"/>
  <c r="K1517" i="3"/>
  <c r="O1517" i="3"/>
  <c r="K2077" i="3"/>
  <c r="M957" i="3"/>
  <c r="J1237" i="3"/>
  <c r="N2077" i="3"/>
  <c r="M2077" i="3"/>
  <c r="O1237" i="3"/>
  <c r="J1517" i="3"/>
  <c r="L2077" i="3"/>
  <c r="K957" i="3"/>
  <c r="L1517" i="3"/>
  <c r="O397" i="3"/>
  <c r="N1517" i="3"/>
  <c r="L397" i="3"/>
  <c r="J2077" i="3"/>
  <c r="L953" i="3"/>
  <c r="L1233" i="3"/>
  <c r="J1233" i="3"/>
  <c r="L1793" i="3"/>
  <c r="O1793" i="3"/>
  <c r="K1793" i="3"/>
  <c r="N1793" i="3"/>
  <c r="J1793" i="3"/>
  <c r="M1793" i="3"/>
  <c r="O2073" i="3"/>
  <c r="N393" i="3"/>
  <c r="K393" i="3"/>
  <c r="O953" i="3"/>
  <c r="K1233" i="3"/>
  <c r="N1233" i="3"/>
  <c r="K1513" i="3"/>
  <c r="O1513" i="3"/>
  <c r="L393" i="3"/>
  <c r="O393" i="3"/>
  <c r="M673" i="3"/>
  <c r="O673" i="3"/>
  <c r="J673" i="3"/>
  <c r="M953" i="3"/>
  <c r="K673" i="3"/>
  <c r="L673" i="3"/>
  <c r="J393" i="3"/>
  <c r="J953" i="3"/>
  <c r="M1513" i="3"/>
  <c r="J1513" i="3"/>
  <c r="J2073" i="3"/>
  <c r="K953" i="3"/>
  <c r="N1513" i="3"/>
  <c r="L1513" i="3"/>
  <c r="N953" i="3"/>
  <c r="M2073" i="3"/>
  <c r="N2073" i="3"/>
  <c r="N673" i="3"/>
  <c r="M1233" i="3"/>
  <c r="O1233" i="3"/>
  <c r="M393" i="3"/>
  <c r="L2073" i="3"/>
  <c r="K2073" i="3"/>
  <c r="N669" i="3"/>
  <c r="O949" i="3"/>
  <c r="L1229" i="3"/>
  <c r="J1229" i="3"/>
  <c r="L1789" i="3"/>
  <c r="O1789" i="3"/>
  <c r="K1789" i="3"/>
  <c r="N1789" i="3"/>
  <c r="J1789" i="3"/>
  <c r="O2069" i="3"/>
  <c r="M1789" i="3"/>
  <c r="L389" i="3"/>
  <c r="J389" i="3"/>
  <c r="J949" i="3"/>
  <c r="K949" i="3"/>
  <c r="M1229" i="3"/>
  <c r="M1509" i="3"/>
  <c r="N389" i="3"/>
  <c r="K389" i="3"/>
  <c r="N949" i="3"/>
  <c r="O1229" i="3"/>
  <c r="K1509" i="3"/>
  <c r="O1509" i="3"/>
  <c r="M389" i="3"/>
  <c r="O389" i="3"/>
  <c r="J669" i="3"/>
  <c r="N1229" i="3"/>
  <c r="K1229" i="3"/>
  <c r="L669" i="3"/>
  <c r="M669" i="3"/>
  <c r="L2069" i="3"/>
  <c r="J1509" i="3"/>
  <c r="J2069" i="3"/>
  <c r="M949" i="3"/>
  <c r="N1509" i="3"/>
  <c r="L1509" i="3"/>
  <c r="O669" i="3"/>
  <c r="K2069" i="3"/>
  <c r="M2069" i="3"/>
  <c r="K669" i="3"/>
  <c r="N2069" i="3"/>
  <c r="L949" i="3"/>
  <c r="J657" i="3"/>
  <c r="L937" i="3"/>
  <c r="L1217" i="3"/>
  <c r="N657" i="3"/>
  <c r="J1217" i="3"/>
  <c r="O1497" i="3"/>
  <c r="L1777" i="3"/>
  <c r="O1777" i="3"/>
  <c r="K1777" i="3"/>
  <c r="N1777" i="3"/>
  <c r="J1777" i="3"/>
  <c r="M1777" i="3"/>
  <c r="O2057" i="3"/>
  <c r="M377" i="3"/>
  <c r="O377" i="3"/>
  <c r="K937" i="3"/>
  <c r="N1217" i="3"/>
  <c r="K657" i="3"/>
  <c r="L657" i="3"/>
  <c r="J937" i="3"/>
  <c r="M937" i="3"/>
  <c r="K1217" i="3"/>
  <c r="L377" i="3"/>
  <c r="J377" i="3"/>
  <c r="M657" i="3"/>
  <c r="O937" i="3"/>
  <c r="O1217" i="3"/>
  <c r="M1217" i="3"/>
  <c r="M1497" i="3"/>
  <c r="K1497" i="3"/>
  <c r="N1497" i="3"/>
  <c r="L1497" i="3"/>
  <c r="N2057" i="3"/>
  <c r="N937" i="3"/>
  <c r="N377" i="3"/>
  <c r="J2057" i="3"/>
  <c r="K2057" i="3"/>
  <c r="M2057" i="3"/>
  <c r="L2057" i="3"/>
  <c r="K377" i="3"/>
  <c r="J1497" i="3"/>
  <c r="O657" i="3"/>
  <c r="O925" i="3"/>
  <c r="L1205" i="3"/>
  <c r="O1485" i="3"/>
  <c r="J1205" i="3"/>
  <c r="L1765" i="3"/>
  <c r="O1765" i="3"/>
  <c r="K1765" i="3"/>
  <c r="N1765" i="3"/>
  <c r="J1765" i="3"/>
  <c r="M1765" i="3"/>
  <c r="O2045" i="3"/>
  <c r="M2045" i="3"/>
  <c r="M645" i="3"/>
  <c r="M925" i="3"/>
  <c r="K1205" i="3"/>
  <c r="M365" i="3"/>
  <c r="J365" i="3"/>
  <c r="K925" i="3"/>
  <c r="J925" i="3"/>
  <c r="M1205" i="3"/>
  <c r="O1205" i="3"/>
  <c r="M1485" i="3"/>
  <c r="K1485" i="3"/>
  <c r="N365" i="3"/>
  <c r="K365" i="3"/>
  <c r="J645" i="3"/>
  <c r="K645" i="3"/>
  <c r="L645" i="3"/>
  <c r="L925" i="3"/>
  <c r="N925" i="3"/>
  <c r="N645" i="3"/>
  <c r="L365" i="3"/>
  <c r="O365" i="3"/>
  <c r="O645" i="3"/>
  <c r="N1205" i="3"/>
  <c r="J1485" i="3"/>
  <c r="N2045" i="3"/>
  <c r="K2045" i="3"/>
  <c r="L2045" i="3"/>
  <c r="N1485" i="3"/>
  <c r="L1485" i="3"/>
  <c r="J2045" i="3"/>
  <c r="O917" i="3"/>
  <c r="M1477" i="3"/>
  <c r="O1757" i="3"/>
  <c r="K1757" i="3"/>
  <c r="M2037" i="3"/>
  <c r="N1757" i="3"/>
  <c r="J1757" i="3"/>
  <c r="M1757" i="3"/>
  <c r="L1757" i="3"/>
  <c r="O2037" i="3"/>
  <c r="N357" i="3"/>
  <c r="K357" i="3"/>
  <c r="J637" i="3"/>
  <c r="L637" i="3"/>
  <c r="J917" i="3"/>
  <c r="N917" i="3"/>
  <c r="K1197" i="3"/>
  <c r="J1197" i="3"/>
  <c r="L357" i="3"/>
  <c r="O357" i="3"/>
  <c r="N637" i="3"/>
  <c r="O1197" i="3"/>
  <c r="L1197" i="3"/>
  <c r="N1197" i="3"/>
  <c r="O1477" i="3"/>
  <c r="K1477" i="3"/>
  <c r="M637" i="3"/>
  <c r="K637" i="3"/>
  <c r="L917" i="3"/>
  <c r="M917" i="3"/>
  <c r="O637" i="3"/>
  <c r="J1477" i="3"/>
  <c r="J2037" i="3"/>
  <c r="L2037" i="3"/>
  <c r="M357" i="3"/>
  <c r="K917" i="3"/>
  <c r="N1477" i="3"/>
  <c r="L1477" i="3"/>
  <c r="K2037" i="3"/>
  <c r="J357" i="3"/>
  <c r="M1197" i="3"/>
  <c r="N2037" i="3"/>
  <c r="O2296" i="3"/>
  <c r="M2296" i="3"/>
  <c r="N2296" i="3"/>
  <c r="K2296" i="3"/>
  <c r="L2296" i="3"/>
  <c r="J2296" i="3"/>
  <c r="O2292" i="3"/>
  <c r="N2292" i="3"/>
  <c r="M2292" i="3"/>
  <c r="J2292" i="3"/>
  <c r="K2292" i="3"/>
  <c r="L2292" i="3"/>
  <c r="O2288" i="3"/>
  <c r="L2288" i="3"/>
  <c r="J2288" i="3"/>
  <c r="M2288" i="3"/>
  <c r="N2288" i="3"/>
  <c r="K2288" i="3"/>
  <c r="O2284" i="3"/>
  <c r="K2284" i="3"/>
  <c r="N2284" i="3"/>
  <c r="J2284" i="3"/>
  <c r="M2284" i="3"/>
  <c r="L2284" i="3"/>
  <c r="O2280" i="3"/>
  <c r="M2280" i="3"/>
  <c r="J2280" i="3"/>
  <c r="K2280" i="3"/>
  <c r="L2280" i="3"/>
  <c r="N2280" i="3"/>
  <c r="O2276" i="3"/>
  <c r="M2276" i="3"/>
  <c r="N2276" i="3"/>
  <c r="K2276" i="3"/>
  <c r="K1156" i="3" s="1"/>
  <c r="J2276" i="3"/>
  <c r="L2276" i="3"/>
  <c r="L2272" i="3"/>
  <c r="O2272" i="3"/>
  <c r="N2272" i="3"/>
  <c r="M2272" i="3"/>
  <c r="J2272" i="3"/>
  <c r="K2272" i="3"/>
  <c r="O2268" i="3"/>
  <c r="J2268" i="3"/>
  <c r="K2268" i="3"/>
  <c r="L2268" i="3"/>
  <c r="M2268" i="3"/>
  <c r="N2268" i="3"/>
  <c r="N1704" i="3"/>
  <c r="N1984" i="3"/>
  <c r="J1984" i="3"/>
  <c r="K1984" i="3"/>
  <c r="M1984" i="3"/>
  <c r="L1984" i="3"/>
  <c r="O1984" i="3"/>
  <c r="O2264" i="3"/>
  <c r="L584" i="3"/>
  <c r="O584" i="3"/>
  <c r="J864" i="3"/>
  <c r="N864" i="3"/>
  <c r="K864" i="3"/>
  <c r="J1144" i="3"/>
  <c r="K1424" i="3"/>
  <c r="J1704" i="3"/>
  <c r="J584" i="3"/>
  <c r="N584" i="3"/>
  <c r="O864" i="3"/>
  <c r="L864" i="3"/>
  <c r="N1144" i="3"/>
  <c r="M1144" i="3"/>
  <c r="N1424" i="3"/>
  <c r="K584" i="3"/>
  <c r="M864" i="3"/>
  <c r="O1144" i="3"/>
  <c r="O1424" i="3"/>
  <c r="L1424" i="3"/>
  <c r="J1424" i="3"/>
  <c r="K1704" i="3"/>
  <c r="M1704" i="3"/>
  <c r="L1144" i="3"/>
  <c r="M1424" i="3"/>
  <c r="M2264" i="3"/>
  <c r="M584" i="3"/>
  <c r="N2264" i="3"/>
  <c r="K2264" i="3"/>
  <c r="K1144" i="3"/>
  <c r="L1704" i="3"/>
  <c r="J2264" i="3"/>
  <c r="O1704" i="3"/>
  <c r="L2264" i="3"/>
  <c r="N1420" i="3"/>
  <c r="O580" i="3"/>
  <c r="N860" i="3"/>
  <c r="N580" i="3"/>
  <c r="J1700" i="3"/>
  <c r="L1980" i="3"/>
  <c r="N1980" i="3"/>
  <c r="J1980" i="3"/>
  <c r="M1980" i="3"/>
  <c r="O1980" i="3"/>
  <c r="K1980" i="3"/>
  <c r="O2260" i="3"/>
  <c r="M860" i="3"/>
  <c r="N1140" i="3"/>
  <c r="O1140" i="3"/>
  <c r="O1420" i="3"/>
  <c r="J1420" i="3"/>
  <c r="M1700" i="3"/>
  <c r="M580" i="3"/>
  <c r="K1140" i="3"/>
  <c r="L1140" i="3"/>
  <c r="J1140" i="3"/>
  <c r="M1420" i="3"/>
  <c r="O1700" i="3"/>
  <c r="L580" i="3"/>
  <c r="J580" i="3"/>
  <c r="J860" i="3"/>
  <c r="K860" i="3"/>
  <c r="L860" i="3"/>
  <c r="K1420" i="3"/>
  <c r="K1700" i="3"/>
  <c r="N2260" i="3"/>
  <c r="L2260" i="3"/>
  <c r="K580" i="3"/>
  <c r="O860" i="3"/>
  <c r="M2260" i="3"/>
  <c r="J2260" i="3"/>
  <c r="L1420" i="3"/>
  <c r="N1700" i="3"/>
  <c r="L1700" i="3"/>
  <c r="K2260" i="3"/>
  <c r="M1140" i="3"/>
  <c r="L1976" i="3"/>
  <c r="N1976" i="3"/>
  <c r="J1976" i="3"/>
  <c r="M1976" i="3"/>
  <c r="K1976" i="3"/>
  <c r="O1976" i="3"/>
  <c r="O2256" i="3"/>
  <c r="L576" i="3"/>
  <c r="K576" i="3"/>
  <c r="N856" i="3"/>
  <c r="K856" i="3"/>
  <c r="K1416" i="3"/>
  <c r="L1416" i="3"/>
  <c r="O1696" i="3"/>
  <c r="O576" i="3"/>
  <c r="J856" i="3"/>
  <c r="O856" i="3"/>
  <c r="L1136" i="3"/>
  <c r="M1136" i="3"/>
  <c r="N1416" i="3"/>
  <c r="K1696" i="3"/>
  <c r="N576" i="3"/>
  <c r="M856" i="3"/>
  <c r="J1136" i="3"/>
  <c r="O1136" i="3"/>
  <c r="O1416" i="3"/>
  <c r="M1696" i="3"/>
  <c r="J1696" i="3"/>
  <c r="N1696" i="3"/>
  <c r="J2256" i="3"/>
  <c r="J576" i="3"/>
  <c r="L856" i="3"/>
  <c r="M1416" i="3"/>
  <c r="M576" i="3"/>
  <c r="M2256" i="3"/>
  <c r="N2256" i="3"/>
  <c r="L2256" i="3"/>
  <c r="K2256" i="3"/>
  <c r="J1416" i="3"/>
  <c r="N1136" i="3"/>
  <c r="K1136" i="3"/>
  <c r="L1696" i="3"/>
  <c r="N564" i="3"/>
  <c r="N1404" i="3"/>
  <c r="O564" i="3"/>
  <c r="N1964" i="3"/>
  <c r="J1964" i="3"/>
  <c r="L1964" i="3"/>
  <c r="O1964" i="3"/>
  <c r="K1964" i="3"/>
  <c r="M1964" i="3"/>
  <c r="O2244" i="3"/>
  <c r="J564" i="3"/>
  <c r="L844" i="3"/>
  <c r="J1124" i="3"/>
  <c r="O1124" i="3"/>
  <c r="O1404" i="3"/>
  <c r="M1684" i="3"/>
  <c r="M564" i="3"/>
  <c r="K564" i="3"/>
  <c r="J844" i="3"/>
  <c r="N844" i="3"/>
  <c r="K1124" i="3"/>
  <c r="L1124" i="3"/>
  <c r="L1404" i="3"/>
  <c r="M1404" i="3"/>
  <c r="J1404" i="3"/>
  <c r="O1684" i="3"/>
  <c r="L564" i="3"/>
  <c r="M844" i="3"/>
  <c r="K844" i="3"/>
  <c r="M1124" i="3"/>
  <c r="K1404" i="3"/>
  <c r="K1684" i="3"/>
  <c r="L1684" i="3"/>
  <c r="M2244" i="3"/>
  <c r="L2244" i="3"/>
  <c r="O844" i="3"/>
  <c r="J1684" i="3"/>
  <c r="N1684" i="3"/>
  <c r="N2244" i="3"/>
  <c r="K2244" i="3"/>
  <c r="N1124" i="3"/>
  <c r="J2244" i="3"/>
  <c r="O1952" i="3"/>
  <c r="K1952" i="3"/>
  <c r="N1952" i="3"/>
  <c r="J1952" i="3"/>
  <c r="M1952" i="3"/>
  <c r="L1952" i="3"/>
  <c r="O2232" i="3"/>
  <c r="M552" i="3"/>
  <c r="N832" i="3"/>
  <c r="K832" i="3"/>
  <c r="J1112" i="3"/>
  <c r="J1392" i="3"/>
  <c r="M1672" i="3"/>
  <c r="L552" i="3"/>
  <c r="O552" i="3"/>
  <c r="L832" i="3"/>
  <c r="O1112" i="3"/>
  <c r="M1392" i="3"/>
  <c r="J552" i="3"/>
  <c r="N552" i="3"/>
  <c r="K1112" i="3"/>
  <c r="N1112" i="3"/>
  <c r="L1112" i="3"/>
  <c r="O1392" i="3"/>
  <c r="N1392" i="3"/>
  <c r="K1672" i="3"/>
  <c r="M832" i="3"/>
  <c r="O832" i="3"/>
  <c r="M1112" i="3"/>
  <c r="K1392" i="3"/>
  <c r="O1672" i="3"/>
  <c r="N1672" i="3"/>
  <c r="M2232" i="3"/>
  <c r="L2232" i="3"/>
  <c r="J832" i="3"/>
  <c r="J1672" i="3"/>
  <c r="N2232" i="3"/>
  <c r="K2232" i="3"/>
  <c r="K552" i="3"/>
  <c r="L1672" i="3"/>
  <c r="J2232" i="3"/>
  <c r="L1392" i="3"/>
  <c r="O1944" i="3"/>
  <c r="K1944" i="3"/>
  <c r="N1944" i="3"/>
  <c r="J1944" i="3"/>
  <c r="M1944" i="3"/>
  <c r="L1944" i="3"/>
  <c r="O2224" i="3"/>
  <c r="L544" i="3"/>
  <c r="J544" i="3"/>
  <c r="N544" i="3"/>
  <c r="M824" i="3"/>
  <c r="N1104" i="3"/>
  <c r="L1104" i="3"/>
  <c r="M1104" i="3"/>
  <c r="K1384" i="3"/>
  <c r="N1384" i="3"/>
  <c r="J1664" i="3"/>
  <c r="K544" i="3"/>
  <c r="J824" i="3"/>
  <c r="O824" i="3"/>
  <c r="K824" i="3"/>
  <c r="O1104" i="3"/>
  <c r="L1384" i="3"/>
  <c r="O1664" i="3"/>
  <c r="N824" i="3"/>
  <c r="J1104" i="3"/>
  <c r="K1104" i="3"/>
  <c r="J1384" i="3"/>
  <c r="M1664" i="3"/>
  <c r="L824" i="3"/>
  <c r="K1664" i="3"/>
  <c r="N1664" i="3"/>
  <c r="L1664" i="3"/>
  <c r="M2224" i="3"/>
  <c r="L2224" i="3"/>
  <c r="J2224" i="3"/>
  <c r="K2224" i="3"/>
  <c r="M544" i="3"/>
  <c r="O544" i="3"/>
  <c r="O1384" i="3"/>
  <c r="N2224" i="3"/>
  <c r="M1384" i="3"/>
  <c r="O1092" i="3"/>
  <c r="N1652" i="3"/>
  <c r="N1932" i="3"/>
  <c r="J1932" i="3"/>
  <c r="M1932" i="3"/>
  <c r="L1932" i="3"/>
  <c r="O1932" i="3"/>
  <c r="K1932" i="3"/>
  <c r="O2212" i="3"/>
  <c r="L532" i="3"/>
  <c r="L1092" i="3"/>
  <c r="K1372" i="3"/>
  <c r="M1372" i="3"/>
  <c r="J1372" i="3"/>
  <c r="M1652" i="3"/>
  <c r="O532" i="3"/>
  <c r="M812" i="3"/>
  <c r="O812" i="3"/>
  <c r="L812" i="3"/>
  <c r="J532" i="3"/>
  <c r="N532" i="3"/>
  <c r="K812" i="3"/>
  <c r="N812" i="3"/>
  <c r="N1092" i="3"/>
  <c r="N1372" i="3"/>
  <c r="J1092" i="3"/>
  <c r="M1092" i="3"/>
  <c r="N2212" i="3"/>
  <c r="K2212" i="3"/>
  <c r="L2212" i="3"/>
  <c r="J812" i="3"/>
  <c r="L1372" i="3"/>
  <c r="K1652" i="3"/>
  <c r="O1652" i="3"/>
  <c r="J1652" i="3"/>
  <c r="L1652" i="3"/>
  <c r="M2212" i="3"/>
  <c r="J2212" i="3"/>
  <c r="M532" i="3"/>
  <c r="K1092" i="3"/>
  <c r="O1372" i="3"/>
  <c r="K532" i="3"/>
  <c r="N804" i="3"/>
  <c r="J1644" i="3"/>
  <c r="N1924" i="3"/>
  <c r="J1924" i="3"/>
  <c r="M1924" i="3"/>
  <c r="L1924" i="3"/>
  <c r="O1924" i="3"/>
  <c r="K1924" i="3"/>
  <c r="O2204" i="3"/>
  <c r="J524" i="3"/>
  <c r="N524" i="3"/>
  <c r="J804" i="3"/>
  <c r="M1084" i="3"/>
  <c r="N1084" i="3"/>
  <c r="L1364" i="3"/>
  <c r="N1364" i="3"/>
  <c r="K1644" i="3"/>
  <c r="K524" i="3"/>
  <c r="O1644" i="3"/>
  <c r="M524" i="3"/>
  <c r="K804" i="3"/>
  <c r="J1084" i="3"/>
  <c r="L1084" i="3"/>
  <c r="O1084" i="3"/>
  <c r="K1364" i="3"/>
  <c r="M1364" i="3"/>
  <c r="J1364" i="3"/>
  <c r="M1644" i="3"/>
  <c r="L1644" i="3"/>
  <c r="L524" i="3"/>
  <c r="M804" i="3"/>
  <c r="L804" i="3"/>
  <c r="K1084" i="3"/>
  <c r="O1364" i="3"/>
  <c r="N1644" i="3"/>
  <c r="M2204" i="3"/>
  <c r="K2204" i="3"/>
  <c r="L2204" i="3"/>
  <c r="J2204" i="3"/>
  <c r="N2204" i="3"/>
  <c r="O524" i="3"/>
  <c r="O804" i="3"/>
  <c r="N1912" i="3"/>
  <c r="J1912" i="3"/>
  <c r="M1912" i="3"/>
  <c r="L1912" i="3"/>
  <c r="K1912" i="3"/>
  <c r="O1912" i="3"/>
  <c r="O2192" i="3"/>
  <c r="N2192" i="3"/>
  <c r="M792" i="3"/>
  <c r="K792" i="3"/>
  <c r="L1072" i="3"/>
  <c r="M1352" i="3"/>
  <c r="O512" i="3"/>
  <c r="N792" i="3"/>
  <c r="O792" i="3"/>
  <c r="L792" i="3"/>
  <c r="K1072" i="3"/>
  <c r="M1072" i="3"/>
  <c r="O1072" i="3"/>
  <c r="O1352" i="3"/>
  <c r="L1352" i="3"/>
  <c r="J1632" i="3"/>
  <c r="M512" i="3"/>
  <c r="J512" i="3"/>
  <c r="N512" i="3"/>
  <c r="K1352" i="3"/>
  <c r="J1352" i="3"/>
  <c r="N1352" i="3"/>
  <c r="K1632" i="3"/>
  <c r="L512" i="3"/>
  <c r="K512" i="3"/>
  <c r="M1632" i="3"/>
  <c r="N1632" i="3"/>
  <c r="J792" i="3"/>
  <c r="O1632" i="3"/>
  <c r="N1072" i="3"/>
  <c r="L1632" i="3"/>
  <c r="M2192" i="3"/>
  <c r="L2192" i="3"/>
  <c r="J2192" i="3"/>
  <c r="J1072" i="3"/>
  <c r="K2192" i="3"/>
  <c r="M1064" i="3"/>
  <c r="L1904" i="3"/>
  <c r="O1904" i="3"/>
  <c r="K1904" i="3"/>
  <c r="N1904" i="3"/>
  <c r="J1904" i="3"/>
  <c r="M1904" i="3"/>
  <c r="N2184" i="3"/>
  <c r="O2184" i="3"/>
  <c r="K504" i="3"/>
  <c r="J784" i="3"/>
  <c r="J1064" i="3"/>
  <c r="O1624" i="3"/>
  <c r="M1624" i="3"/>
  <c r="M504" i="3"/>
  <c r="N784" i="3"/>
  <c r="L784" i="3"/>
  <c r="K784" i="3"/>
  <c r="N1064" i="3"/>
  <c r="L1064" i="3"/>
  <c r="L504" i="3"/>
  <c r="O504" i="3"/>
  <c r="M784" i="3"/>
  <c r="O784" i="3"/>
  <c r="K1064" i="3"/>
  <c r="O1064" i="3"/>
  <c r="O1344" i="3"/>
  <c r="L1344" i="3"/>
  <c r="K1624" i="3"/>
  <c r="J1624" i="3"/>
  <c r="J504" i="3"/>
  <c r="J1344" i="3"/>
  <c r="N1344" i="3"/>
  <c r="M2184" i="3"/>
  <c r="J2184" i="3"/>
  <c r="K2184" i="3"/>
  <c r="N1624" i="3"/>
  <c r="M1344" i="3"/>
  <c r="N504" i="3"/>
  <c r="K1344" i="3"/>
  <c r="L1624" i="3"/>
  <c r="L2184" i="3"/>
  <c r="M1052" i="3"/>
  <c r="M1332" i="3"/>
  <c r="N1612" i="3"/>
  <c r="L1892" i="3"/>
  <c r="O1892" i="3"/>
  <c r="K1892" i="3"/>
  <c r="N1892" i="3"/>
  <c r="J1892" i="3"/>
  <c r="M1892" i="3"/>
  <c r="J2172" i="3"/>
  <c r="O2172" i="3"/>
  <c r="O492" i="3"/>
  <c r="M772" i="3"/>
  <c r="O772" i="3"/>
  <c r="J1052" i="3"/>
  <c r="K1332" i="3"/>
  <c r="L1332" i="3"/>
  <c r="M1612" i="3"/>
  <c r="J492" i="3"/>
  <c r="N492" i="3"/>
  <c r="J772" i="3"/>
  <c r="L772" i="3"/>
  <c r="N1052" i="3"/>
  <c r="O1052" i="3"/>
  <c r="J1332" i="3"/>
  <c r="N1332" i="3"/>
  <c r="O1612" i="3"/>
  <c r="K492" i="3"/>
  <c r="M492" i="3"/>
  <c r="N772" i="3"/>
  <c r="K1052" i="3"/>
  <c r="L492" i="3"/>
  <c r="K772" i="3"/>
  <c r="K1612" i="3"/>
  <c r="L1612" i="3"/>
  <c r="K2172" i="3"/>
  <c r="N2172" i="3"/>
  <c r="J1612" i="3"/>
  <c r="O1332" i="3"/>
  <c r="L1052" i="3"/>
  <c r="M2172" i="3"/>
  <c r="L2172" i="3"/>
  <c r="M1324" i="3"/>
  <c r="L1604" i="3"/>
  <c r="O1884" i="3"/>
  <c r="K1884" i="3"/>
  <c r="N1884" i="3"/>
  <c r="J1884" i="3"/>
  <c r="M1884" i="3"/>
  <c r="L1884" i="3"/>
  <c r="O2164" i="3"/>
  <c r="J2164" i="3"/>
  <c r="K484" i="3"/>
  <c r="M484" i="3"/>
  <c r="O1044" i="3"/>
  <c r="M1044" i="3"/>
  <c r="O1324" i="3"/>
  <c r="K1604" i="3"/>
  <c r="J1604" i="3"/>
  <c r="L484" i="3"/>
  <c r="K764" i="3"/>
  <c r="J1044" i="3"/>
  <c r="L1044" i="3"/>
  <c r="K1324" i="3"/>
  <c r="O484" i="3"/>
  <c r="M764" i="3"/>
  <c r="J764" i="3"/>
  <c r="O764" i="3"/>
  <c r="N1044" i="3"/>
  <c r="L1324" i="3"/>
  <c r="O1604" i="3"/>
  <c r="M1604" i="3"/>
  <c r="N484" i="3"/>
  <c r="N764" i="3"/>
  <c r="L2164" i="3"/>
  <c r="J484" i="3"/>
  <c r="K1044" i="3"/>
  <c r="J1324" i="3"/>
  <c r="N1324" i="3"/>
  <c r="M2164" i="3"/>
  <c r="L764" i="3"/>
  <c r="N1604" i="3"/>
  <c r="N2164" i="3"/>
  <c r="K2164" i="3"/>
  <c r="O1032" i="3"/>
  <c r="K472" i="3"/>
  <c r="O1872" i="3"/>
  <c r="K1872" i="3"/>
  <c r="N1872" i="3"/>
  <c r="J1872" i="3"/>
  <c r="M1872" i="3"/>
  <c r="L1872" i="3"/>
  <c r="O2152" i="3"/>
  <c r="N2152" i="3"/>
  <c r="M472" i="3"/>
  <c r="L472" i="3"/>
  <c r="N752" i="3"/>
  <c r="K752" i="3"/>
  <c r="J1032" i="3"/>
  <c r="M752" i="3"/>
  <c r="L752" i="3"/>
  <c r="O752" i="3"/>
  <c r="K1032" i="3"/>
  <c r="O1312" i="3"/>
  <c r="M1312" i="3"/>
  <c r="K1592" i="3"/>
  <c r="J472" i="3"/>
  <c r="N472" i="3"/>
  <c r="N1032" i="3"/>
  <c r="M1032" i="3"/>
  <c r="K1312" i="3"/>
  <c r="J1312" i="3"/>
  <c r="N1312" i="3"/>
  <c r="O472" i="3"/>
  <c r="J752" i="3"/>
  <c r="L1592" i="3"/>
  <c r="M2152" i="3"/>
  <c r="J2152" i="3"/>
  <c r="L1312" i="3"/>
  <c r="O1592" i="3"/>
  <c r="N1592" i="3"/>
  <c r="M1592" i="3"/>
  <c r="L2152" i="3"/>
  <c r="L1032" i="3"/>
  <c r="K2152" i="3"/>
  <c r="J1592" i="3"/>
  <c r="O1016" i="3"/>
  <c r="L736" i="3"/>
  <c r="K456" i="3"/>
  <c r="O1856" i="3"/>
  <c r="K1856" i="3"/>
  <c r="N1856" i="3"/>
  <c r="J1856" i="3"/>
  <c r="M1856" i="3"/>
  <c r="L1856" i="3"/>
  <c r="N2136" i="3"/>
  <c r="O2136" i="3"/>
  <c r="J456" i="3"/>
  <c r="N456" i="3"/>
  <c r="N1016" i="3"/>
  <c r="M1016" i="3"/>
  <c r="K1296" i="3"/>
  <c r="O1296" i="3"/>
  <c r="J1296" i="3"/>
  <c r="N1296" i="3"/>
  <c r="K1576" i="3"/>
  <c r="O456" i="3"/>
  <c r="L1296" i="3"/>
  <c r="O1576" i="3"/>
  <c r="M1576" i="3"/>
  <c r="J1576" i="3"/>
  <c r="M456" i="3"/>
  <c r="N736" i="3"/>
  <c r="J736" i="3"/>
  <c r="L1016" i="3"/>
  <c r="J1016" i="3"/>
  <c r="O736" i="3"/>
  <c r="M1296" i="3"/>
  <c r="J2136" i="3"/>
  <c r="L2136" i="3"/>
  <c r="L456" i="3"/>
  <c r="L1576" i="3"/>
  <c r="K736" i="3"/>
  <c r="M2136" i="3"/>
  <c r="K1016" i="3"/>
  <c r="N1576" i="3"/>
  <c r="M736" i="3"/>
  <c r="K2136" i="3"/>
  <c r="N1280" i="3"/>
  <c r="K440" i="3"/>
  <c r="J1280" i="3"/>
  <c r="O1000" i="3"/>
  <c r="M1840" i="3"/>
  <c r="L1840" i="3"/>
  <c r="O1840" i="3"/>
  <c r="K1840" i="3"/>
  <c r="J1840" i="3"/>
  <c r="N1840" i="3"/>
  <c r="N2120" i="3"/>
  <c r="O2120" i="3"/>
  <c r="J720" i="3"/>
  <c r="N720" i="3"/>
  <c r="M720" i="3"/>
  <c r="L1280" i="3"/>
  <c r="M1280" i="3"/>
  <c r="O1560" i="3"/>
  <c r="M1560" i="3"/>
  <c r="J440" i="3"/>
  <c r="N440" i="3"/>
  <c r="K720" i="3"/>
  <c r="O720" i="3"/>
  <c r="J1000" i="3"/>
  <c r="N1000" i="3"/>
  <c r="O1280" i="3"/>
  <c r="L440" i="3"/>
  <c r="L720" i="3"/>
  <c r="M1000" i="3"/>
  <c r="K1000" i="3"/>
  <c r="K1280" i="3"/>
  <c r="K1560" i="3"/>
  <c r="J1560" i="3"/>
  <c r="L1000" i="3"/>
  <c r="N1560" i="3"/>
  <c r="J2120" i="3"/>
  <c r="O440" i="3"/>
  <c r="L1560" i="3"/>
  <c r="M2120" i="3"/>
  <c r="L2120" i="3"/>
  <c r="K2120" i="3"/>
  <c r="M440" i="3"/>
  <c r="M988" i="3"/>
  <c r="K428" i="3"/>
  <c r="N1268" i="3"/>
  <c r="J1268" i="3"/>
  <c r="M1828" i="3"/>
  <c r="L1828" i="3"/>
  <c r="O1828" i="3"/>
  <c r="K1828" i="3"/>
  <c r="N1828" i="3"/>
  <c r="J1828" i="3"/>
  <c r="J2108" i="3"/>
  <c r="O2108" i="3"/>
  <c r="O428" i="3"/>
  <c r="L708" i="3"/>
  <c r="J988" i="3"/>
  <c r="K1268" i="3"/>
  <c r="O1548" i="3"/>
  <c r="J1548" i="3"/>
  <c r="M428" i="3"/>
  <c r="L428" i="3"/>
  <c r="M708" i="3"/>
  <c r="L1268" i="3"/>
  <c r="M1548" i="3"/>
  <c r="J708" i="3"/>
  <c r="N708" i="3"/>
  <c r="K708" i="3"/>
  <c r="O708" i="3"/>
  <c r="K988" i="3"/>
  <c r="N988" i="3"/>
  <c r="L988" i="3"/>
  <c r="O988" i="3"/>
  <c r="M1268" i="3"/>
  <c r="K1548" i="3"/>
  <c r="L2108" i="3"/>
  <c r="O1268" i="3"/>
  <c r="L1548" i="3"/>
  <c r="M2108" i="3"/>
  <c r="N428" i="3"/>
  <c r="N1548" i="3"/>
  <c r="K2108" i="3"/>
  <c r="N2108" i="3"/>
  <c r="J428" i="3"/>
  <c r="N416" i="3"/>
  <c r="J416" i="3"/>
  <c r="N1256" i="3"/>
  <c r="J1256" i="3"/>
  <c r="O416" i="3"/>
  <c r="M976" i="3"/>
  <c r="M1816" i="3"/>
  <c r="L1816" i="3"/>
  <c r="O1816" i="3"/>
  <c r="K1816" i="3"/>
  <c r="N2096" i="3"/>
  <c r="N1816" i="3"/>
  <c r="J2096" i="3"/>
  <c r="J1816" i="3"/>
  <c r="O2096" i="3"/>
  <c r="J696" i="3"/>
  <c r="N696" i="3"/>
  <c r="K976" i="3"/>
  <c r="L976" i="3"/>
  <c r="O976" i="3"/>
  <c r="M1256" i="3"/>
  <c r="O1536" i="3"/>
  <c r="M1536" i="3"/>
  <c r="K416" i="3"/>
  <c r="O1256" i="3"/>
  <c r="L416" i="3"/>
  <c r="M696" i="3"/>
  <c r="L696" i="3"/>
  <c r="J976" i="3"/>
  <c r="K1256" i="3"/>
  <c r="L1256" i="3"/>
  <c r="J1536" i="3"/>
  <c r="M416" i="3"/>
  <c r="N1536" i="3"/>
  <c r="L2096" i="3"/>
  <c r="N976" i="3"/>
  <c r="K2096" i="3"/>
  <c r="K696" i="3"/>
  <c r="K1536" i="3"/>
  <c r="M2096" i="3"/>
  <c r="O696" i="3"/>
  <c r="L1536" i="3"/>
  <c r="N404" i="3"/>
  <c r="K404" i="3"/>
  <c r="J404" i="3"/>
  <c r="M964" i="3"/>
  <c r="O404" i="3"/>
  <c r="N1244" i="3"/>
  <c r="J1244" i="3"/>
  <c r="M1804" i="3"/>
  <c r="L1804" i="3"/>
  <c r="O1804" i="3"/>
  <c r="K1804" i="3"/>
  <c r="N1804" i="3"/>
  <c r="N2084" i="3"/>
  <c r="J1804" i="3"/>
  <c r="J2084" i="3"/>
  <c r="O2084" i="3"/>
  <c r="N964" i="3"/>
  <c r="J964" i="3"/>
  <c r="O1244" i="3"/>
  <c r="M1524" i="3"/>
  <c r="L684" i="3"/>
  <c r="K1244" i="3"/>
  <c r="L404" i="3"/>
  <c r="K684" i="3"/>
  <c r="M684" i="3"/>
  <c r="K964" i="3"/>
  <c r="L964" i="3"/>
  <c r="O964" i="3"/>
  <c r="L1244" i="3"/>
  <c r="K1524" i="3"/>
  <c r="O1524" i="3"/>
  <c r="M404" i="3"/>
  <c r="N1524" i="3"/>
  <c r="K2084" i="3"/>
  <c r="M2084" i="3"/>
  <c r="J684" i="3"/>
  <c r="O684" i="3"/>
  <c r="M1244" i="3"/>
  <c r="L2084" i="3"/>
  <c r="N684" i="3"/>
  <c r="J1524" i="3"/>
  <c r="L1524" i="3"/>
  <c r="N396" i="3"/>
  <c r="K396" i="3"/>
  <c r="J396" i="3"/>
  <c r="J1236" i="3"/>
  <c r="L956" i="3"/>
  <c r="O396" i="3"/>
  <c r="N1236" i="3"/>
  <c r="M1796" i="3"/>
  <c r="L1796" i="3"/>
  <c r="O1796" i="3"/>
  <c r="K1796" i="3"/>
  <c r="N2076" i="3"/>
  <c r="J2076" i="3"/>
  <c r="N1796" i="3"/>
  <c r="O2076" i="3"/>
  <c r="J1796" i="3"/>
  <c r="L396" i="3"/>
  <c r="O676" i="3"/>
  <c r="K1516" i="3"/>
  <c r="O1516" i="3"/>
  <c r="M396" i="3"/>
  <c r="J676" i="3"/>
  <c r="N676" i="3"/>
  <c r="M1236" i="3"/>
  <c r="J956" i="3"/>
  <c r="K956" i="3"/>
  <c r="O956" i="3"/>
  <c r="O1236" i="3"/>
  <c r="M1516" i="3"/>
  <c r="K676" i="3"/>
  <c r="M676" i="3"/>
  <c r="L2076" i="3"/>
  <c r="M956" i="3"/>
  <c r="L1236" i="3"/>
  <c r="L1516" i="3"/>
  <c r="J1516" i="3"/>
  <c r="N956" i="3"/>
  <c r="N1516" i="3"/>
  <c r="K2076" i="3"/>
  <c r="L676" i="3"/>
  <c r="K1236" i="3"/>
  <c r="M2076" i="3"/>
  <c r="N388" i="3"/>
  <c r="K388" i="3"/>
  <c r="L668" i="3"/>
  <c r="L948" i="3"/>
  <c r="J388" i="3"/>
  <c r="J1228" i="3"/>
  <c r="O388" i="3"/>
  <c r="M1228" i="3"/>
  <c r="L1228" i="3"/>
  <c r="M1788" i="3"/>
  <c r="L1788" i="3"/>
  <c r="O1788" i="3"/>
  <c r="K1788" i="3"/>
  <c r="N1788" i="3"/>
  <c r="N2068" i="3"/>
  <c r="J1788" i="3"/>
  <c r="J2068" i="3"/>
  <c r="O2068" i="3"/>
  <c r="M388" i="3"/>
  <c r="O668" i="3"/>
  <c r="J668" i="3"/>
  <c r="N668" i="3"/>
  <c r="N948" i="3"/>
  <c r="K668" i="3"/>
  <c r="O1228" i="3"/>
  <c r="N1228" i="3"/>
  <c r="M1508" i="3"/>
  <c r="M668" i="3"/>
  <c r="K948" i="3"/>
  <c r="M948" i="3"/>
  <c r="O948" i="3"/>
  <c r="K1228" i="3"/>
  <c r="K1508" i="3"/>
  <c r="L1508" i="3"/>
  <c r="J1508" i="3"/>
  <c r="K2068" i="3"/>
  <c r="O1508" i="3"/>
  <c r="N1508" i="3"/>
  <c r="M2068" i="3"/>
  <c r="L2068" i="3"/>
  <c r="J948" i="3"/>
  <c r="L388" i="3"/>
  <c r="N376" i="3"/>
  <c r="L936" i="3"/>
  <c r="K376" i="3"/>
  <c r="L656" i="3"/>
  <c r="J376" i="3"/>
  <c r="O376" i="3"/>
  <c r="M936" i="3"/>
  <c r="J1216" i="3"/>
  <c r="M1776" i="3"/>
  <c r="L1776" i="3"/>
  <c r="O1776" i="3"/>
  <c r="K1776" i="3"/>
  <c r="J1776" i="3"/>
  <c r="N2056" i="3"/>
  <c r="J2056" i="3"/>
  <c r="N1776" i="3"/>
  <c r="O2056" i="3"/>
  <c r="O656" i="3"/>
  <c r="K936" i="3"/>
  <c r="J936" i="3"/>
  <c r="O936" i="3"/>
  <c r="K1216" i="3"/>
  <c r="L1216" i="3"/>
  <c r="L376" i="3"/>
  <c r="M656" i="3"/>
  <c r="K1496" i="3"/>
  <c r="O1496" i="3"/>
  <c r="M1496" i="3"/>
  <c r="M376" i="3"/>
  <c r="J656" i="3"/>
  <c r="N656" i="3"/>
  <c r="K656" i="3"/>
  <c r="N936" i="3"/>
  <c r="O1216" i="3"/>
  <c r="M1216" i="3"/>
  <c r="M2056" i="3"/>
  <c r="K2056" i="3"/>
  <c r="L1496" i="3"/>
  <c r="J1496" i="3"/>
  <c r="L2056" i="3"/>
  <c r="N1496" i="3"/>
  <c r="N1216" i="3"/>
  <c r="N368" i="3"/>
  <c r="K368" i="3"/>
  <c r="J368" i="3"/>
  <c r="M928" i="3"/>
  <c r="N1488" i="3"/>
  <c r="O368" i="3"/>
  <c r="J1208" i="3"/>
  <c r="J1488" i="3"/>
  <c r="L928" i="3"/>
  <c r="L648" i="3"/>
  <c r="M1768" i="3"/>
  <c r="L1768" i="3"/>
  <c r="O1768" i="3"/>
  <c r="K1768" i="3"/>
  <c r="O2048" i="3"/>
  <c r="N1768" i="3"/>
  <c r="J2048" i="3"/>
  <c r="J1768" i="3"/>
  <c r="N2048" i="3"/>
  <c r="K648" i="3"/>
  <c r="N928" i="3"/>
  <c r="O1208" i="3"/>
  <c r="N1208" i="3"/>
  <c r="K928" i="3"/>
  <c r="J928" i="3"/>
  <c r="O928" i="3"/>
  <c r="K1208" i="3"/>
  <c r="L368" i="3"/>
  <c r="O648" i="3"/>
  <c r="L1208" i="3"/>
  <c r="M1208" i="3"/>
  <c r="K1488" i="3"/>
  <c r="O1488" i="3"/>
  <c r="M1488" i="3"/>
  <c r="J648" i="3"/>
  <c r="L2048" i="3"/>
  <c r="N648" i="3"/>
  <c r="M648" i="3"/>
  <c r="M368" i="3"/>
  <c r="M2048" i="3"/>
  <c r="K2048" i="3"/>
  <c r="L1488" i="3"/>
  <c r="N360" i="3"/>
  <c r="M640" i="3"/>
  <c r="K360" i="3"/>
  <c r="J640" i="3"/>
  <c r="J360" i="3"/>
  <c r="M920" i="3"/>
  <c r="N640" i="3"/>
  <c r="L1200" i="3"/>
  <c r="J1480" i="3"/>
  <c r="N1480" i="3"/>
  <c r="O360" i="3"/>
  <c r="L920" i="3"/>
  <c r="M1200" i="3"/>
  <c r="M1480" i="3"/>
  <c r="M1760" i="3"/>
  <c r="L1760" i="3"/>
  <c r="O1760" i="3"/>
  <c r="K1760" i="3"/>
  <c r="J1760" i="3"/>
  <c r="J2040" i="3"/>
  <c r="O2040" i="3"/>
  <c r="N1760" i="3"/>
  <c r="N2040" i="3"/>
  <c r="L360" i="3"/>
  <c r="O1200" i="3"/>
  <c r="O1480" i="3"/>
  <c r="K1480" i="3"/>
  <c r="M360" i="3"/>
  <c r="L640" i="3"/>
  <c r="J920" i="3"/>
  <c r="J1200" i="3"/>
  <c r="K640" i="3"/>
  <c r="N920" i="3"/>
  <c r="N1200" i="3"/>
  <c r="M2040" i="3"/>
  <c r="L1480" i="3"/>
  <c r="K920" i="3"/>
  <c r="O640" i="3"/>
  <c r="O920" i="3"/>
  <c r="L2040" i="3"/>
  <c r="K1200" i="3"/>
  <c r="K2040" i="3"/>
  <c r="N352" i="3"/>
  <c r="K352" i="3"/>
  <c r="N632" i="3"/>
  <c r="J352" i="3"/>
  <c r="M632" i="3"/>
  <c r="M912" i="3"/>
  <c r="L912" i="3"/>
  <c r="L1192" i="3"/>
  <c r="J1472" i="3"/>
  <c r="O352" i="3"/>
  <c r="J632" i="3"/>
  <c r="N1472" i="3"/>
  <c r="M1192" i="3"/>
  <c r="M1472" i="3"/>
  <c r="L1752" i="3"/>
  <c r="J2032" i="3"/>
  <c r="O2032" i="3"/>
  <c r="O1752" i="3"/>
  <c r="K1752" i="3"/>
  <c r="M1752" i="3"/>
  <c r="N1752" i="3"/>
  <c r="J1752" i="3"/>
  <c r="K632" i="3"/>
  <c r="N1192" i="3"/>
  <c r="K1472" i="3"/>
  <c r="O632" i="3"/>
  <c r="K912" i="3"/>
  <c r="J912" i="3"/>
  <c r="O912" i="3"/>
  <c r="K1192" i="3"/>
  <c r="L352" i="3"/>
  <c r="N912" i="3"/>
  <c r="O1192" i="3"/>
  <c r="O1472" i="3"/>
  <c r="K2032" i="3"/>
  <c r="L2032" i="3"/>
  <c r="L632" i="3"/>
  <c r="M352" i="3"/>
  <c r="N2032" i="3"/>
  <c r="J1192" i="3"/>
  <c r="L1472" i="3"/>
  <c r="M2032" i="3"/>
  <c r="O2295" i="3"/>
  <c r="M2295" i="3"/>
  <c r="J2295" i="3"/>
  <c r="K2295" i="3"/>
  <c r="N2295" i="3"/>
  <c r="L2295" i="3"/>
  <c r="O2291" i="3"/>
  <c r="N2291" i="3"/>
  <c r="L2291" i="3"/>
  <c r="M2291" i="3"/>
  <c r="K2291" i="3"/>
  <c r="J2291" i="3"/>
  <c r="O2287" i="3"/>
  <c r="J2287" i="3"/>
  <c r="K2287" i="3"/>
  <c r="N2287" i="3"/>
  <c r="L2287" i="3"/>
  <c r="M2287" i="3"/>
  <c r="O2283" i="3"/>
  <c r="M2283" i="3"/>
  <c r="K2283" i="3"/>
  <c r="J2283" i="3"/>
  <c r="N2283" i="3"/>
  <c r="L2283" i="3"/>
  <c r="O2279" i="3"/>
  <c r="M2279" i="3"/>
  <c r="K2279" i="3"/>
  <c r="J2279" i="3"/>
  <c r="N2279" i="3"/>
  <c r="L2279" i="3"/>
  <c r="O2275" i="3"/>
  <c r="N2275" i="3"/>
  <c r="M2275" i="3"/>
  <c r="L2275" i="3"/>
  <c r="K2275" i="3"/>
  <c r="J2275" i="3"/>
  <c r="O2271" i="3"/>
  <c r="M2271" i="3"/>
  <c r="J2271" i="3"/>
  <c r="N2271" i="3"/>
  <c r="L2271" i="3"/>
  <c r="K2271" i="3"/>
  <c r="O2267" i="3"/>
  <c r="M2267" i="3"/>
  <c r="J2267" i="3"/>
  <c r="N2267" i="3"/>
  <c r="K2267" i="3"/>
  <c r="L2267" i="3"/>
  <c r="M1983" i="3"/>
  <c r="O1983" i="3"/>
  <c r="K1983" i="3"/>
  <c r="N1983" i="3"/>
  <c r="J1983" i="3"/>
  <c r="L1983" i="3"/>
  <c r="O2263" i="3"/>
  <c r="O863" i="3"/>
  <c r="K1143" i="3"/>
  <c r="N1143" i="3"/>
  <c r="J1423" i="3"/>
  <c r="K1703" i="3"/>
  <c r="O1703" i="3"/>
  <c r="M583" i="3"/>
  <c r="J863" i="3"/>
  <c r="L863" i="3"/>
  <c r="J1143" i="3"/>
  <c r="K1423" i="3"/>
  <c r="N1423" i="3"/>
  <c r="J1703" i="3"/>
  <c r="J583" i="3"/>
  <c r="L583" i="3"/>
  <c r="O583" i="3"/>
  <c r="L1143" i="3"/>
  <c r="O1143" i="3"/>
  <c r="M1423" i="3"/>
  <c r="M1703" i="3"/>
  <c r="L1423" i="3"/>
  <c r="M1143" i="3"/>
  <c r="O1423" i="3"/>
  <c r="N583" i="3"/>
  <c r="M863" i="3"/>
  <c r="N863" i="3"/>
  <c r="N1703" i="3"/>
  <c r="M2263" i="3"/>
  <c r="J2263" i="3"/>
  <c r="L1703" i="3"/>
  <c r="K2263" i="3"/>
  <c r="K583" i="3"/>
  <c r="K863" i="3"/>
  <c r="N2263" i="3"/>
  <c r="L2263" i="3"/>
  <c r="M1979" i="3"/>
  <c r="O1979" i="3"/>
  <c r="K1979" i="3"/>
  <c r="N1979" i="3"/>
  <c r="J1979" i="3"/>
  <c r="L1979" i="3"/>
  <c r="O2259" i="3"/>
  <c r="J579" i="3"/>
  <c r="O579" i="3"/>
  <c r="N859" i="3"/>
  <c r="N1139" i="3"/>
  <c r="M1419" i="3"/>
  <c r="J1699" i="3"/>
  <c r="M579" i="3"/>
  <c r="N579" i="3"/>
  <c r="K579" i="3"/>
  <c r="M859" i="3"/>
  <c r="K859" i="3"/>
  <c r="M1139" i="3"/>
  <c r="O1419" i="3"/>
  <c r="J1419" i="3"/>
  <c r="M1699" i="3"/>
  <c r="L579" i="3"/>
  <c r="J859" i="3"/>
  <c r="O859" i="3"/>
  <c r="J1139" i="3"/>
  <c r="L1139" i="3"/>
  <c r="O1139" i="3"/>
  <c r="L1419" i="3"/>
  <c r="N1419" i="3"/>
  <c r="K1699" i="3"/>
  <c r="O1699" i="3"/>
  <c r="K1139" i="3"/>
  <c r="N1699" i="3"/>
  <c r="L1699" i="3"/>
  <c r="N2259" i="3"/>
  <c r="L2259" i="3"/>
  <c r="K1419" i="3"/>
  <c r="L859" i="3"/>
  <c r="J2259" i="3"/>
  <c r="M2259" i="3"/>
  <c r="K2259" i="3"/>
  <c r="L1415" i="3"/>
  <c r="L855" i="3"/>
  <c r="L1695" i="3"/>
  <c r="M1975" i="3"/>
  <c r="O1975" i="3"/>
  <c r="K1975" i="3"/>
  <c r="N1975" i="3"/>
  <c r="J1975" i="3"/>
  <c r="L1975" i="3"/>
  <c r="O2255" i="3"/>
  <c r="O855" i="3"/>
  <c r="K1695" i="3"/>
  <c r="O1695" i="3"/>
  <c r="M575" i="3"/>
  <c r="N855" i="3"/>
  <c r="K1415" i="3"/>
  <c r="L575" i="3"/>
  <c r="J575" i="3"/>
  <c r="O575" i="3"/>
  <c r="K1135" i="3"/>
  <c r="N1135" i="3"/>
  <c r="L1135" i="3"/>
  <c r="M1415" i="3"/>
  <c r="J1415" i="3"/>
  <c r="K575" i="3"/>
  <c r="J855" i="3"/>
  <c r="K855" i="3"/>
  <c r="J2255" i="3"/>
  <c r="K2255" i="3"/>
  <c r="O1135" i="3"/>
  <c r="M1695" i="3"/>
  <c r="J1695" i="3"/>
  <c r="M2255" i="3"/>
  <c r="N2255" i="3"/>
  <c r="L2255" i="3"/>
  <c r="M1135" i="3"/>
  <c r="O1415" i="3"/>
  <c r="N1415" i="3"/>
  <c r="N1695" i="3"/>
  <c r="M855" i="3"/>
  <c r="J1135" i="3"/>
  <c r="N575" i="3"/>
  <c r="L1683" i="3"/>
  <c r="O1963" i="3"/>
  <c r="K1963" i="3"/>
  <c r="M1963" i="3"/>
  <c r="L1963" i="3"/>
  <c r="J1963" i="3"/>
  <c r="N1963" i="3"/>
  <c r="O2243" i="3"/>
  <c r="J563" i="3"/>
  <c r="O563" i="3"/>
  <c r="J1123" i="3"/>
  <c r="K1123" i="3"/>
  <c r="M1403" i="3"/>
  <c r="N1403" i="3"/>
  <c r="N563" i="3"/>
  <c r="K563" i="3"/>
  <c r="M843" i="3"/>
  <c r="O843" i="3"/>
  <c r="L843" i="3"/>
  <c r="M1123" i="3"/>
  <c r="O1403" i="3"/>
  <c r="M563" i="3"/>
  <c r="J843" i="3"/>
  <c r="N843" i="3"/>
  <c r="L1123" i="3"/>
  <c r="K1683" i="3"/>
  <c r="O1683" i="3"/>
  <c r="M1683" i="3"/>
  <c r="J1683" i="3"/>
  <c r="N1123" i="3"/>
  <c r="O1123" i="3"/>
  <c r="J1403" i="3"/>
  <c r="N2243" i="3"/>
  <c r="L2243" i="3"/>
  <c r="L1403" i="3"/>
  <c r="N1683" i="3"/>
  <c r="K2243" i="3"/>
  <c r="M2243" i="3"/>
  <c r="L563" i="3"/>
  <c r="K843" i="3"/>
  <c r="K1403" i="3"/>
  <c r="J2243" i="3"/>
  <c r="L1951" i="3"/>
  <c r="O1951" i="3"/>
  <c r="K1951" i="3"/>
  <c r="N1951" i="3"/>
  <c r="J1951" i="3"/>
  <c r="M1951" i="3"/>
  <c r="O2231" i="3"/>
  <c r="N831" i="3"/>
  <c r="K831" i="3"/>
  <c r="M831" i="3"/>
  <c r="O1671" i="3"/>
  <c r="J831" i="3"/>
  <c r="L831" i="3"/>
  <c r="J1391" i="3"/>
  <c r="N1391" i="3"/>
  <c r="M1671" i="3"/>
  <c r="J1671" i="3"/>
  <c r="M551" i="3"/>
  <c r="O551" i="3"/>
  <c r="K551" i="3"/>
  <c r="O831" i="3"/>
  <c r="J1111" i="3"/>
  <c r="K1111" i="3"/>
  <c r="N1111" i="3"/>
  <c r="M1111" i="3"/>
  <c r="O1391" i="3"/>
  <c r="K1391" i="3"/>
  <c r="O1111" i="3"/>
  <c r="L551" i="3"/>
  <c r="N1671" i="3"/>
  <c r="M2231" i="3"/>
  <c r="L1111" i="3"/>
  <c r="L1391" i="3"/>
  <c r="M1391" i="3"/>
  <c r="J551" i="3"/>
  <c r="L1671" i="3"/>
  <c r="J2231" i="3"/>
  <c r="N551" i="3"/>
  <c r="K1671" i="3"/>
  <c r="N2231" i="3"/>
  <c r="L2231" i="3"/>
  <c r="K2231" i="3"/>
  <c r="L1663" i="3"/>
  <c r="L1943" i="3"/>
  <c r="O1943" i="3"/>
  <c r="K1943" i="3"/>
  <c r="N1943" i="3"/>
  <c r="J1943" i="3"/>
  <c r="M1943" i="3"/>
  <c r="O2223" i="3"/>
  <c r="N2223" i="3"/>
  <c r="M543" i="3"/>
  <c r="N543" i="3"/>
  <c r="K543" i="3"/>
  <c r="N1103" i="3"/>
  <c r="O1103" i="3"/>
  <c r="J1103" i="3"/>
  <c r="K1383" i="3"/>
  <c r="M1383" i="3"/>
  <c r="K1663" i="3"/>
  <c r="L543" i="3"/>
  <c r="J543" i="3"/>
  <c r="K823" i="3"/>
  <c r="L1383" i="3"/>
  <c r="O1663" i="3"/>
  <c r="N823" i="3"/>
  <c r="L1103" i="3"/>
  <c r="M1103" i="3"/>
  <c r="L2223" i="3"/>
  <c r="J1383" i="3"/>
  <c r="N1383" i="3"/>
  <c r="M2223" i="3"/>
  <c r="O543" i="3"/>
  <c r="O823" i="3"/>
  <c r="L823" i="3"/>
  <c r="K1103" i="3"/>
  <c r="M1663" i="3"/>
  <c r="J1663" i="3"/>
  <c r="N1663" i="3"/>
  <c r="J2223" i="3"/>
  <c r="K2223" i="3"/>
  <c r="M823" i="3"/>
  <c r="J823" i="3"/>
  <c r="O1383" i="3"/>
  <c r="J531" i="3"/>
  <c r="K531" i="3"/>
  <c r="O1931" i="3"/>
  <c r="K1931" i="3"/>
  <c r="N1931" i="3"/>
  <c r="J1931" i="3"/>
  <c r="M1931" i="3"/>
  <c r="L1931" i="3"/>
  <c r="J2211" i="3"/>
  <c r="O2211" i="3"/>
  <c r="O531" i="3"/>
  <c r="N811" i="3"/>
  <c r="L811" i="3"/>
  <c r="J1091" i="3"/>
  <c r="L1091" i="3"/>
  <c r="O1371" i="3"/>
  <c r="M1371" i="3"/>
  <c r="N1371" i="3"/>
  <c r="J1371" i="3"/>
  <c r="N531" i="3"/>
  <c r="J811" i="3"/>
  <c r="K1091" i="3"/>
  <c r="O1091" i="3"/>
  <c r="K1371" i="3"/>
  <c r="K1651" i="3"/>
  <c r="M1651" i="3"/>
  <c r="J1651" i="3"/>
  <c r="M531" i="3"/>
  <c r="M811" i="3"/>
  <c r="O811" i="3"/>
  <c r="N1091" i="3"/>
  <c r="N1651" i="3"/>
  <c r="K2211" i="3"/>
  <c r="L531" i="3"/>
  <c r="M2211" i="3"/>
  <c r="N2211" i="3"/>
  <c r="L2211" i="3"/>
  <c r="K811" i="3"/>
  <c r="M1091" i="3"/>
  <c r="L1371" i="3"/>
  <c r="O1651" i="3"/>
  <c r="L1651" i="3"/>
  <c r="J523" i="3"/>
  <c r="L1083" i="3"/>
  <c r="J1363" i="3"/>
  <c r="M1083" i="3"/>
  <c r="K523" i="3"/>
  <c r="O1923" i="3"/>
  <c r="K1923" i="3"/>
  <c r="N1923" i="3"/>
  <c r="J1923" i="3"/>
  <c r="M1923" i="3"/>
  <c r="L1923" i="3"/>
  <c r="O2203" i="3"/>
  <c r="M523" i="3"/>
  <c r="M803" i="3"/>
  <c r="K803" i="3"/>
  <c r="K1083" i="3"/>
  <c r="L523" i="3"/>
  <c r="O523" i="3"/>
  <c r="N1083" i="3"/>
  <c r="L1363" i="3"/>
  <c r="N1363" i="3"/>
  <c r="K1643" i="3"/>
  <c r="N523" i="3"/>
  <c r="N803" i="3"/>
  <c r="L803" i="3"/>
  <c r="J1083" i="3"/>
  <c r="O1643" i="3"/>
  <c r="J803" i="3"/>
  <c r="M1643" i="3"/>
  <c r="L1643" i="3"/>
  <c r="N2203" i="3"/>
  <c r="K2203" i="3"/>
  <c r="M2203" i="3"/>
  <c r="O803" i="3"/>
  <c r="K1363" i="3"/>
  <c r="N1643" i="3"/>
  <c r="J2203" i="3"/>
  <c r="L2203" i="3"/>
  <c r="M1363" i="3"/>
  <c r="O1363" i="3"/>
  <c r="O1083" i="3"/>
  <c r="J1643" i="3"/>
  <c r="M1071" i="3"/>
  <c r="O1911" i="3"/>
  <c r="K1911" i="3"/>
  <c r="N1911" i="3"/>
  <c r="J1911" i="3"/>
  <c r="M1911" i="3"/>
  <c r="L1911" i="3"/>
  <c r="O2191" i="3"/>
  <c r="K511" i="3"/>
  <c r="N791" i="3"/>
  <c r="K791" i="3"/>
  <c r="J1071" i="3"/>
  <c r="L1071" i="3"/>
  <c r="J511" i="3"/>
  <c r="M791" i="3"/>
  <c r="J791" i="3"/>
  <c r="K1071" i="3"/>
  <c r="K1351" i="3"/>
  <c r="O1351" i="3"/>
  <c r="M1351" i="3"/>
  <c r="J1631" i="3"/>
  <c r="M511" i="3"/>
  <c r="O511" i="3"/>
  <c r="O1071" i="3"/>
  <c r="N1351" i="3"/>
  <c r="N511" i="3"/>
  <c r="K1631" i="3"/>
  <c r="N1631" i="3"/>
  <c r="N1071" i="3"/>
  <c r="J1351" i="3"/>
  <c r="N2191" i="3"/>
  <c r="L2191" i="3"/>
  <c r="L511" i="3"/>
  <c r="O791" i="3"/>
  <c r="L1351" i="3"/>
  <c r="M1631" i="3"/>
  <c r="J2191" i="3"/>
  <c r="K2191" i="3"/>
  <c r="L791" i="3"/>
  <c r="L1631" i="3"/>
  <c r="O1631" i="3"/>
  <c r="M2191" i="3"/>
  <c r="N783" i="3"/>
  <c r="M1903" i="3"/>
  <c r="L1903" i="3"/>
  <c r="O1903" i="3"/>
  <c r="K1903" i="3"/>
  <c r="N1903" i="3"/>
  <c r="J1903" i="3"/>
  <c r="O2183" i="3"/>
  <c r="L503" i="3"/>
  <c r="N503" i="3"/>
  <c r="J503" i="3"/>
  <c r="O783" i="3"/>
  <c r="N1063" i="3"/>
  <c r="M1063" i="3"/>
  <c r="K1343" i="3"/>
  <c r="L1343" i="3"/>
  <c r="O1343" i="3"/>
  <c r="J1343" i="3"/>
  <c r="K1623" i="3"/>
  <c r="O1623" i="3"/>
  <c r="M783" i="3"/>
  <c r="L783" i="3"/>
  <c r="J1063" i="3"/>
  <c r="L1063" i="3"/>
  <c r="K1063" i="3"/>
  <c r="K783" i="3"/>
  <c r="J783" i="3"/>
  <c r="M1343" i="3"/>
  <c r="M1623" i="3"/>
  <c r="J1623" i="3"/>
  <c r="O1063" i="3"/>
  <c r="M2183" i="3"/>
  <c r="J2183" i="3"/>
  <c r="N1623" i="3"/>
  <c r="M503" i="3"/>
  <c r="K503" i="3"/>
  <c r="N1343" i="3"/>
  <c r="K2183" i="3"/>
  <c r="L2183" i="3"/>
  <c r="L1623" i="3"/>
  <c r="O503" i="3"/>
  <c r="N2183" i="3"/>
  <c r="J491" i="3"/>
  <c r="N771" i="3"/>
  <c r="K491" i="3"/>
  <c r="M1891" i="3"/>
  <c r="L1891" i="3"/>
  <c r="O1891" i="3"/>
  <c r="K1891" i="3"/>
  <c r="N1891" i="3"/>
  <c r="J1891" i="3"/>
  <c r="O2171" i="3"/>
  <c r="O491" i="3"/>
  <c r="K771" i="3"/>
  <c r="L1051" i="3"/>
  <c r="O1331" i="3"/>
  <c r="K1611" i="3"/>
  <c r="O1611" i="3"/>
  <c r="J1611" i="3"/>
  <c r="M491" i="3"/>
  <c r="N491" i="3"/>
  <c r="O1051" i="3"/>
  <c r="K1331" i="3"/>
  <c r="N1331" i="3"/>
  <c r="M1611" i="3"/>
  <c r="L491" i="3"/>
  <c r="O771" i="3"/>
  <c r="L771" i="3"/>
  <c r="N1051" i="3"/>
  <c r="M1051" i="3"/>
  <c r="L1331" i="3"/>
  <c r="J1331" i="3"/>
  <c r="M1331" i="3"/>
  <c r="K2171" i="3"/>
  <c r="J771" i="3"/>
  <c r="M771" i="3"/>
  <c r="J1051" i="3"/>
  <c r="K1051" i="3"/>
  <c r="L1611" i="3"/>
  <c r="N2171" i="3"/>
  <c r="L2171" i="3"/>
  <c r="N1611" i="3"/>
  <c r="J2171" i="3"/>
  <c r="M2171" i="3"/>
  <c r="N763" i="3"/>
  <c r="K1043" i="3"/>
  <c r="K483" i="3"/>
  <c r="J483" i="3"/>
  <c r="L1043" i="3"/>
  <c r="N1603" i="3"/>
  <c r="L1883" i="3"/>
  <c r="O1883" i="3"/>
  <c r="K1883" i="3"/>
  <c r="N1883" i="3"/>
  <c r="J1883" i="3"/>
  <c r="M1883" i="3"/>
  <c r="O2163" i="3"/>
  <c r="L483" i="3"/>
  <c r="O763" i="3"/>
  <c r="N1043" i="3"/>
  <c r="M1043" i="3"/>
  <c r="L1323" i="3"/>
  <c r="M1323" i="3"/>
  <c r="K1323" i="3"/>
  <c r="J1323" i="3"/>
  <c r="K1603" i="3"/>
  <c r="O483" i="3"/>
  <c r="M763" i="3"/>
  <c r="J1043" i="3"/>
  <c r="N483" i="3"/>
  <c r="J763" i="3"/>
  <c r="K763" i="3"/>
  <c r="O1323" i="3"/>
  <c r="L763" i="3"/>
  <c r="O1043" i="3"/>
  <c r="M1603" i="3"/>
  <c r="M2163" i="3"/>
  <c r="N2163" i="3"/>
  <c r="L2163" i="3"/>
  <c r="O1603" i="3"/>
  <c r="J2163" i="3"/>
  <c r="L1603" i="3"/>
  <c r="K2163" i="3"/>
  <c r="N1323" i="3"/>
  <c r="M483" i="3"/>
  <c r="J1603" i="3"/>
  <c r="J1311" i="3"/>
  <c r="N751" i="3"/>
  <c r="L1031" i="3"/>
  <c r="K1031" i="3"/>
  <c r="J471" i="3"/>
  <c r="L1871" i="3"/>
  <c r="O1871" i="3"/>
  <c r="K1871" i="3"/>
  <c r="N1871" i="3"/>
  <c r="J1871" i="3"/>
  <c r="M1871" i="3"/>
  <c r="O2151" i="3"/>
  <c r="N471" i="3"/>
  <c r="M751" i="3"/>
  <c r="L751" i="3"/>
  <c r="J751" i="3"/>
  <c r="N1031" i="3"/>
  <c r="M1591" i="3"/>
  <c r="K471" i="3"/>
  <c r="K751" i="3"/>
  <c r="K1591" i="3"/>
  <c r="O1031" i="3"/>
  <c r="O1591" i="3"/>
  <c r="L471" i="3"/>
  <c r="O471" i="3"/>
  <c r="M1031" i="3"/>
  <c r="K1311" i="3"/>
  <c r="L1311" i="3"/>
  <c r="J1591" i="3"/>
  <c r="M2151" i="3"/>
  <c r="K2151" i="3"/>
  <c r="J2151" i="3"/>
  <c r="O751" i="3"/>
  <c r="M1311" i="3"/>
  <c r="O1311" i="3"/>
  <c r="L1591" i="3"/>
  <c r="L2151" i="3"/>
  <c r="M471" i="3"/>
  <c r="N1311" i="3"/>
  <c r="N1591" i="3"/>
  <c r="N2151" i="3"/>
  <c r="J1031" i="3"/>
  <c r="J455" i="3"/>
  <c r="L1015" i="3"/>
  <c r="K1015" i="3"/>
  <c r="J1295" i="3"/>
  <c r="L1855" i="3"/>
  <c r="O1855" i="3"/>
  <c r="K1855" i="3"/>
  <c r="N1855" i="3"/>
  <c r="J1855" i="3"/>
  <c r="M1855" i="3"/>
  <c r="O2135" i="3"/>
  <c r="M455" i="3"/>
  <c r="N1295" i="3"/>
  <c r="L455" i="3"/>
  <c r="O455" i="3"/>
  <c r="N455" i="3"/>
  <c r="O735" i="3"/>
  <c r="M735" i="3"/>
  <c r="L735" i="3"/>
  <c r="J1015" i="3"/>
  <c r="M1015" i="3"/>
  <c r="K1295" i="3"/>
  <c r="L1295" i="3"/>
  <c r="M1295" i="3"/>
  <c r="K1575" i="3"/>
  <c r="M1575" i="3"/>
  <c r="J735" i="3"/>
  <c r="N1015" i="3"/>
  <c r="O1295" i="3"/>
  <c r="K455" i="3"/>
  <c r="N735" i="3"/>
  <c r="K735" i="3"/>
  <c r="M2135" i="3"/>
  <c r="L2135" i="3"/>
  <c r="O1015" i="3"/>
  <c r="J1575" i="3"/>
  <c r="K2135" i="3"/>
  <c r="N2135" i="3"/>
  <c r="N1575" i="3"/>
  <c r="J2135" i="3"/>
  <c r="O1575" i="3"/>
  <c r="L1575" i="3"/>
  <c r="L999" i="3"/>
  <c r="K999" i="3"/>
  <c r="J439" i="3"/>
  <c r="L1279" i="3"/>
  <c r="N1839" i="3"/>
  <c r="J1839" i="3"/>
  <c r="M1839" i="3"/>
  <c r="L1839" i="3"/>
  <c r="O1839" i="3"/>
  <c r="K1839" i="3"/>
  <c r="O2119" i="3"/>
  <c r="K439" i="3"/>
  <c r="N439" i="3"/>
  <c r="J719" i="3"/>
  <c r="L719" i="3"/>
  <c r="M719" i="3"/>
  <c r="O999" i="3"/>
  <c r="N1279" i="3"/>
  <c r="O1559" i="3"/>
  <c r="N719" i="3"/>
  <c r="M1279" i="3"/>
  <c r="L439" i="3"/>
  <c r="M439" i="3"/>
  <c r="O439" i="3"/>
  <c r="O719" i="3"/>
  <c r="J999" i="3"/>
  <c r="K1279" i="3"/>
  <c r="K1559" i="3"/>
  <c r="M1559" i="3"/>
  <c r="O1279" i="3"/>
  <c r="J1279" i="3"/>
  <c r="L1559" i="3"/>
  <c r="K2119" i="3"/>
  <c r="J2119" i="3"/>
  <c r="M999" i="3"/>
  <c r="N1559" i="3"/>
  <c r="L2119" i="3"/>
  <c r="J1559" i="3"/>
  <c r="M2119" i="3"/>
  <c r="K719" i="3"/>
  <c r="N999" i="3"/>
  <c r="N2119" i="3"/>
  <c r="L1267" i="3"/>
  <c r="L987" i="3"/>
  <c r="K987" i="3"/>
  <c r="J427" i="3"/>
  <c r="N1827" i="3"/>
  <c r="J1827" i="3"/>
  <c r="M1827" i="3"/>
  <c r="L1827" i="3"/>
  <c r="O1827" i="3"/>
  <c r="K1827" i="3"/>
  <c r="O2107" i="3"/>
  <c r="J2107" i="3"/>
  <c r="L427" i="3"/>
  <c r="O427" i="3"/>
  <c r="K707" i="3"/>
  <c r="M987" i="3"/>
  <c r="K1267" i="3"/>
  <c r="J1267" i="3"/>
  <c r="N427" i="3"/>
  <c r="M707" i="3"/>
  <c r="O1267" i="3"/>
  <c r="N1267" i="3"/>
  <c r="O1547" i="3"/>
  <c r="K427" i="3"/>
  <c r="J707" i="3"/>
  <c r="L707" i="3"/>
  <c r="N987" i="3"/>
  <c r="M1547" i="3"/>
  <c r="K1547" i="3"/>
  <c r="J1547" i="3"/>
  <c r="N2107" i="3"/>
  <c r="L2107" i="3"/>
  <c r="M427" i="3"/>
  <c r="O707" i="3"/>
  <c r="N707" i="3"/>
  <c r="M1267" i="3"/>
  <c r="K2107" i="3"/>
  <c r="J987" i="3"/>
  <c r="L1547" i="3"/>
  <c r="M2107" i="3"/>
  <c r="O987" i="3"/>
  <c r="N1547" i="3"/>
  <c r="L975" i="3"/>
  <c r="K975" i="3"/>
  <c r="N415" i="3"/>
  <c r="L1255" i="3"/>
  <c r="N1535" i="3"/>
  <c r="J415" i="3"/>
  <c r="J1535" i="3"/>
  <c r="N1815" i="3"/>
  <c r="J1815" i="3"/>
  <c r="M1815" i="3"/>
  <c r="L1815" i="3"/>
  <c r="K1815" i="3"/>
  <c r="O1815" i="3"/>
  <c r="O2095" i="3"/>
  <c r="L415" i="3"/>
  <c r="K415" i="3"/>
  <c r="O695" i="3"/>
  <c r="J695" i="3"/>
  <c r="L695" i="3"/>
  <c r="N975" i="3"/>
  <c r="K1535" i="3"/>
  <c r="M1535" i="3"/>
  <c r="M415" i="3"/>
  <c r="N695" i="3"/>
  <c r="K695" i="3"/>
  <c r="J975" i="3"/>
  <c r="J1255" i="3"/>
  <c r="M1255" i="3"/>
  <c r="O1535" i="3"/>
  <c r="O415" i="3"/>
  <c r="M695" i="3"/>
  <c r="O975" i="3"/>
  <c r="M975" i="3"/>
  <c r="K1255" i="3"/>
  <c r="N1255" i="3"/>
  <c r="L1535" i="3"/>
  <c r="O1255" i="3"/>
  <c r="J2095" i="3"/>
  <c r="K2095" i="3"/>
  <c r="L2095" i="3"/>
  <c r="N2095" i="3"/>
  <c r="M2095" i="3"/>
  <c r="K963" i="3"/>
  <c r="L963" i="3"/>
  <c r="L1243" i="3"/>
  <c r="N1803" i="3"/>
  <c r="J1803" i="3"/>
  <c r="M1803" i="3"/>
  <c r="L1803" i="3"/>
  <c r="K1803" i="3"/>
  <c r="O2083" i="3"/>
  <c r="O1803" i="3"/>
  <c r="L403" i="3"/>
  <c r="J403" i="3"/>
  <c r="N683" i="3"/>
  <c r="M963" i="3"/>
  <c r="M1243" i="3"/>
  <c r="M1523" i="3"/>
  <c r="N403" i="3"/>
  <c r="K403" i="3"/>
  <c r="K683" i="3"/>
  <c r="O963" i="3"/>
  <c r="K1243" i="3"/>
  <c r="J1243" i="3"/>
  <c r="N1243" i="3"/>
  <c r="K1523" i="3"/>
  <c r="O1523" i="3"/>
  <c r="M403" i="3"/>
  <c r="O403" i="3"/>
  <c r="M683" i="3"/>
  <c r="N963" i="3"/>
  <c r="O1243" i="3"/>
  <c r="M2083" i="3"/>
  <c r="J963" i="3"/>
  <c r="J1523" i="3"/>
  <c r="K2083" i="3"/>
  <c r="J2083" i="3"/>
  <c r="L2083" i="3"/>
  <c r="J683" i="3"/>
  <c r="N1523" i="3"/>
  <c r="L1523" i="3"/>
  <c r="N2083" i="3"/>
  <c r="O683" i="3"/>
  <c r="L683" i="3"/>
  <c r="L955" i="3"/>
  <c r="K955" i="3"/>
  <c r="L1235" i="3"/>
  <c r="N1795" i="3"/>
  <c r="J1795" i="3"/>
  <c r="M1795" i="3"/>
  <c r="L1795" i="3"/>
  <c r="O1795" i="3"/>
  <c r="O2075" i="3"/>
  <c r="K1795" i="3"/>
  <c r="M395" i="3"/>
  <c r="O395" i="3"/>
  <c r="O675" i="3"/>
  <c r="M955" i="3"/>
  <c r="O1235" i="3"/>
  <c r="J675" i="3"/>
  <c r="L675" i="3"/>
  <c r="J955" i="3"/>
  <c r="L395" i="3"/>
  <c r="J395" i="3"/>
  <c r="N675" i="3"/>
  <c r="K675" i="3"/>
  <c r="N955" i="3"/>
  <c r="O955" i="3"/>
  <c r="J1235" i="3"/>
  <c r="M1235" i="3"/>
  <c r="N1235" i="3"/>
  <c r="M1515" i="3"/>
  <c r="N1515" i="3"/>
  <c r="L1515" i="3"/>
  <c r="N2075" i="3"/>
  <c r="N395" i="3"/>
  <c r="M675" i="3"/>
  <c r="K395" i="3"/>
  <c r="K1235" i="3"/>
  <c r="K1515" i="3"/>
  <c r="J2075" i="3"/>
  <c r="O1515" i="3"/>
  <c r="J1515" i="3"/>
  <c r="K2075" i="3"/>
  <c r="M2075" i="3"/>
  <c r="L2075" i="3"/>
  <c r="J667" i="3"/>
  <c r="L947" i="3"/>
  <c r="K947" i="3"/>
  <c r="N1227" i="3"/>
  <c r="L1227" i="3"/>
  <c r="N1787" i="3"/>
  <c r="J1787" i="3"/>
  <c r="M1787" i="3"/>
  <c r="L1787" i="3"/>
  <c r="O1787" i="3"/>
  <c r="K1787" i="3"/>
  <c r="O2067" i="3"/>
  <c r="K667" i="3"/>
  <c r="L667" i="3"/>
  <c r="M947" i="3"/>
  <c r="O1227" i="3"/>
  <c r="K1227" i="3"/>
  <c r="M387" i="3"/>
  <c r="J387" i="3"/>
  <c r="N667" i="3"/>
  <c r="N947" i="3"/>
  <c r="M1227" i="3"/>
  <c r="M1507" i="3"/>
  <c r="N387" i="3"/>
  <c r="K387" i="3"/>
  <c r="M667" i="3"/>
  <c r="J947" i="3"/>
  <c r="K1507" i="3"/>
  <c r="O1507" i="3"/>
  <c r="O387" i="3"/>
  <c r="O947" i="3"/>
  <c r="O667" i="3"/>
  <c r="K2067" i="3"/>
  <c r="J2067" i="3"/>
  <c r="L2067" i="3"/>
  <c r="L387" i="3"/>
  <c r="J1507" i="3"/>
  <c r="N2067" i="3"/>
  <c r="M2067" i="3"/>
  <c r="L1507" i="3"/>
  <c r="J1227" i="3"/>
  <c r="N1507" i="3"/>
  <c r="L935" i="3"/>
  <c r="J655" i="3"/>
  <c r="N1215" i="3"/>
  <c r="K1495" i="3"/>
  <c r="N1775" i="3"/>
  <c r="J1775" i="3"/>
  <c r="M1775" i="3"/>
  <c r="L1775" i="3"/>
  <c r="O2055" i="3"/>
  <c r="O1775" i="3"/>
  <c r="K1775" i="3"/>
  <c r="N375" i="3"/>
  <c r="K375" i="3"/>
  <c r="M655" i="3"/>
  <c r="N655" i="3"/>
  <c r="O935" i="3"/>
  <c r="O1495" i="3"/>
  <c r="L375" i="3"/>
  <c r="O375" i="3"/>
  <c r="K655" i="3"/>
  <c r="J935" i="3"/>
  <c r="K1215" i="3"/>
  <c r="J1215" i="3"/>
  <c r="L655" i="3"/>
  <c r="M935" i="3"/>
  <c r="O1215" i="3"/>
  <c r="M1215" i="3"/>
  <c r="J1495" i="3"/>
  <c r="L2055" i="3"/>
  <c r="J375" i="3"/>
  <c r="K935" i="3"/>
  <c r="N935" i="3"/>
  <c r="M1495" i="3"/>
  <c r="N1495" i="3"/>
  <c r="L1495" i="3"/>
  <c r="K2055" i="3"/>
  <c r="M2055" i="3"/>
  <c r="M375" i="3"/>
  <c r="O655" i="3"/>
  <c r="L1215" i="3"/>
  <c r="J2055" i="3"/>
  <c r="N2055" i="3"/>
  <c r="L927" i="3"/>
  <c r="N1207" i="3"/>
  <c r="K1487" i="3"/>
  <c r="N1767" i="3"/>
  <c r="J1767" i="3"/>
  <c r="M1767" i="3"/>
  <c r="L1767" i="3"/>
  <c r="K1767" i="3"/>
  <c r="O2047" i="3"/>
  <c r="O1767" i="3"/>
  <c r="L367" i="3"/>
  <c r="J367" i="3"/>
  <c r="K647" i="3"/>
  <c r="K927" i="3"/>
  <c r="K1207" i="3"/>
  <c r="M1207" i="3"/>
  <c r="M1487" i="3"/>
  <c r="N367" i="3"/>
  <c r="K367" i="3"/>
  <c r="J647" i="3"/>
  <c r="O647" i="3"/>
  <c r="L1207" i="3"/>
  <c r="M367" i="3"/>
  <c r="O367" i="3"/>
  <c r="N647" i="3"/>
  <c r="N927" i="3"/>
  <c r="J927" i="3"/>
  <c r="J1207" i="3"/>
  <c r="M647" i="3"/>
  <c r="O927" i="3"/>
  <c r="L1487" i="3"/>
  <c r="J2047" i="3"/>
  <c r="J1487" i="3"/>
  <c r="N2047" i="3"/>
  <c r="L647" i="3"/>
  <c r="O1207" i="3"/>
  <c r="N1487" i="3"/>
  <c r="L2047" i="3"/>
  <c r="M927" i="3"/>
  <c r="M2047" i="3"/>
  <c r="O1487" i="3"/>
  <c r="K2047" i="3"/>
  <c r="L919" i="3"/>
  <c r="M1479" i="3"/>
  <c r="M1759" i="3"/>
  <c r="L1759" i="3"/>
  <c r="O2039" i="3"/>
  <c r="J1759" i="3"/>
  <c r="O1759" i="3"/>
  <c r="K1759" i="3"/>
  <c r="N1759" i="3"/>
  <c r="M359" i="3"/>
  <c r="O359" i="3"/>
  <c r="N639" i="3"/>
  <c r="K639" i="3"/>
  <c r="K919" i="3"/>
  <c r="N919" i="3"/>
  <c r="J919" i="3"/>
  <c r="L1199" i="3"/>
  <c r="M639" i="3"/>
  <c r="O639" i="3"/>
  <c r="L639" i="3"/>
  <c r="O919" i="3"/>
  <c r="M919" i="3"/>
  <c r="L359" i="3"/>
  <c r="J359" i="3"/>
  <c r="K1199" i="3"/>
  <c r="M1199" i="3"/>
  <c r="J1199" i="3"/>
  <c r="O1479" i="3"/>
  <c r="K359" i="3"/>
  <c r="N1479" i="3"/>
  <c r="L2039" i="3"/>
  <c r="N1199" i="3"/>
  <c r="J2039" i="3"/>
  <c r="M2039" i="3"/>
  <c r="O1199" i="3"/>
  <c r="L1479" i="3"/>
  <c r="N2039" i="3"/>
  <c r="K2039" i="3"/>
  <c r="K1479" i="3"/>
  <c r="N359" i="3"/>
  <c r="J639" i="3"/>
  <c r="J1479" i="3"/>
  <c r="M1471" i="3"/>
  <c r="M1751" i="3"/>
  <c r="N1751" i="3"/>
  <c r="L1751" i="3"/>
  <c r="J2031" i="3"/>
  <c r="O2031" i="3"/>
  <c r="J1751" i="3"/>
  <c r="O1751" i="3"/>
  <c r="K1751" i="3"/>
  <c r="L351" i="3"/>
  <c r="J351" i="3"/>
  <c r="K631" i="3"/>
  <c r="L911" i="3"/>
  <c r="K911" i="3"/>
  <c r="M1191" i="3"/>
  <c r="O1471" i="3"/>
  <c r="N351" i="3"/>
  <c r="K351" i="3"/>
  <c r="J631" i="3"/>
  <c r="O631" i="3"/>
  <c r="O911" i="3"/>
  <c r="M351" i="3"/>
  <c r="O351" i="3"/>
  <c r="N631" i="3"/>
  <c r="K1191" i="3"/>
  <c r="L1191" i="3"/>
  <c r="J1191" i="3"/>
  <c r="N911" i="3"/>
  <c r="N1191" i="3"/>
  <c r="L1471" i="3"/>
  <c r="M631" i="3"/>
  <c r="L631" i="3"/>
  <c r="J911" i="3"/>
  <c r="O1191" i="3"/>
  <c r="J1471" i="3"/>
  <c r="M911" i="3"/>
  <c r="K1471" i="3"/>
  <c r="N1471" i="3"/>
  <c r="M2031" i="3"/>
  <c r="N2031" i="3"/>
  <c r="L2031" i="3"/>
  <c r="K2031" i="3"/>
  <c r="L1173" i="3"/>
  <c r="L1153" i="3"/>
  <c r="N1145" i="3"/>
  <c r="L1145" i="3"/>
  <c r="M2249" i="3"/>
  <c r="N2197" i="3"/>
  <c r="J2149" i="3"/>
  <c r="L1148" i="3"/>
  <c r="L2252" i="3"/>
  <c r="N2176" i="3"/>
  <c r="N2148" i="3"/>
  <c r="J2148" i="3"/>
  <c r="J1028" i="3" s="1"/>
  <c r="J2128" i="3"/>
  <c r="J2092" i="3"/>
  <c r="J2080" i="3"/>
  <c r="N2254" i="3"/>
  <c r="L2250" i="3"/>
  <c r="N2250" i="3"/>
  <c r="J2238" i="3"/>
  <c r="J2230" i="3"/>
  <c r="J2222" i="3"/>
  <c r="N2218" i="3"/>
  <c r="J2218" i="3"/>
  <c r="J2202" i="3"/>
  <c r="L2198" i="3"/>
  <c r="L2178" i="3"/>
  <c r="J2174" i="3"/>
  <c r="J2166" i="3"/>
  <c r="L2166" i="3"/>
  <c r="N2158" i="3"/>
  <c r="N2146" i="3"/>
  <c r="L2114" i="3"/>
  <c r="L994" i="3" s="1"/>
  <c r="J2102" i="3"/>
  <c r="J982" i="3" s="1"/>
  <c r="L2082" i="3"/>
  <c r="N2082" i="3"/>
  <c r="L2066" i="3"/>
  <c r="L946" i="3" s="1"/>
  <c r="L2062" i="3"/>
  <c r="J2042" i="3"/>
  <c r="J922" i="3" s="1"/>
  <c r="J2241" i="3"/>
  <c r="M2241" i="3"/>
  <c r="M2229" i="3"/>
  <c r="M2165" i="3"/>
  <c r="M2157" i="3"/>
  <c r="M2101" i="3"/>
  <c r="M2081" i="3"/>
  <c r="M2033" i="3"/>
  <c r="K1152" i="3"/>
  <c r="N2248" i="3"/>
  <c r="N2236" i="3"/>
  <c r="N2196" i="3"/>
  <c r="N2132" i="3"/>
  <c r="J2132" i="3"/>
  <c r="L2088" i="3"/>
  <c r="L968" i="3" s="1"/>
  <c r="L2072" i="3"/>
  <c r="L952" i="3" s="1"/>
  <c r="J2060" i="3"/>
  <c r="M2235" i="3"/>
  <c r="N2215" i="3"/>
  <c r="J2195" i="3"/>
  <c r="M2179" i="3"/>
  <c r="M2159" i="3"/>
  <c r="K2155" i="3"/>
  <c r="M2131" i="3"/>
  <c r="K2131" i="3"/>
  <c r="M2127" i="3"/>
  <c r="N2123" i="3"/>
  <c r="K2123" i="3"/>
  <c r="K2091" i="3"/>
  <c r="K971" i="3" s="1"/>
  <c r="K2059" i="3"/>
  <c r="M2059" i="3"/>
  <c r="I1737" i="3"/>
  <c r="H1737" i="3"/>
  <c r="G1737" i="3"/>
  <c r="F1737" i="3"/>
  <c r="E1737" i="3"/>
  <c r="I1736" i="3"/>
  <c r="H1736" i="3"/>
  <c r="G1736" i="3"/>
  <c r="F1736" i="3"/>
  <c r="E1736" i="3"/>
  <c r="I1735" i="3"/>
  <c r="H1735" i="3"/>
  <c r="G1735" i="3"/>
  <c r="F1735" i="3"/>
  <c r="E1735" i="3"/>
  <c r="I1734" i="3"/>
  <c r="H1734" i="3"/>
  <c r="G1734" i="3"/>
  <c r="F1734" i="3"/>
  <c r="E1734" i="3"/>
  <c r="I1733" i="3"/>
  <c r="H1733" i="3"/>
  <c r="G1733" i="3"/>
  <c r="F1733" i="3"/>
  <c r="E1733" i="3"/>
  <c r="I1732" i="3"/>
  <c r="H1732" i="3"/>
  <c r="G1732" i="3"/>
  <c r="F1732" i="3"/>
  <c r="E1732" i="3"/>
  <c r="I1731" i="3"/>
  <c r="H1731" i="3"/>
  <c r="G1731" i="3"/>
  <c r="F1731" i="3"/>
  <c r="E1731" i="3"/>
  <c r="I1730" i="3"/>
  <c r="H1730" i="3"/>
  <c r="G1730" i="3"/>
  <c r="F1730" i="3"/>
  <c r="E1730" i="3"/>
  <c r="I1729" i="3"/>
  <c r="H1729" i="3"/>
  <c r="G1729" i="3"/>
  <c r="F1729" i="3"/>
  <c r="E1729" i="3"/>
  <c r="I1728" i="3"/>
  <c r="H1728" i="3"/>
  <c r="G1728" i="3"/>
  <c r="F1728" i="3"/>
  <c r="E1728" i="3"/>
  <c r="I1727" i="3"/>
  <c r="H1727" i="3"/>
  <c r="G1727" i="3"/>
  <c r="F1727" i="3"/>
  <c r="E1727" i="3"/>
  <c r="I1726" i="3"/>
  <c r="H1726" i="3"/>
  <c r="G1726" i="3"/>
  <c r="F1726" i="3"/>
  <c r="E1726" i="3"/>
  <c r="I1725" i="3"/>
  <c r="H1725" i="3"/>
  <c r="G1725" i="3"/>
  <c r="F1725" i="3"/>
  <c r="E1725" i="3"/>
  <c r="I1724" i="3"/>
  <c r="H1724" i="3"/>
  <c r="G1724" i="3"/>
  <c r="F1724" i="3"/>
  <c r="E1724" i="3"/>
  <c r="I1723" i="3"/>
  <c r="H1723" i="3"/>
  <c r="G1723" i="3"/>
  <c r="F1723" i="3"/>
  <c r="E1723" i="3"/>
  <c r="I1722" i="3"/>
  <c r="H1722" i="3"/>
  <c r="G1722" i="3"/>
  <c r="F1722" i="3"/>
  <c r="E1722" i="3"/>
  <c r="I1721" i="3"/>
  <c r="H1721" i="3"/>
  <c r="G1721" i="3"/>
  <c r="F1721" i="3"/>
  <c r="E1721" i="3"/>
  <c r="I1720" i="3"/>
  <c r="H1720" i="3"/>
  <c r="G1720" i="3"/>
  <c r="F1720" i="3"/>
  <c r="E1720" i="3"/>
  <c r="I1719" i="3"/>
  <c r="H1719" i="3"/>
  <c r="G1719" i="3"/>
  <c r="F1719" i="3"/>
  <c r="E1719" i="3"/>
  <c r="I1718" i="3"/>
  <c r="H1718" i="3"/>
  <c r="G1718" i="3"/>
  <c r="F1718" i="3"/>
  <c r="E1718" i="3"/>
  <c r="I1717" i="3"/>
  <c r="H1717" i="3"/>
  <c r="G1717" i="3"/>
  <c r="F1717" i="3"/>
  <c r="E1717" i="3"/>
  <c r="I1716" i="3"/>
  <c r="H1716" i="3"/>
  <c r="G1716" i="3"/>
  <c r="F1716" i="3"/>
  <c r="E1716" i="3"/>
  <c r="I1715" i="3"/>
  <c r="H1715" i="3"/>
  <c r="G1715" i="3"/>
  <c r="F1715" i="3"/>
  <c r="E1715" i="3"/>
  <c r="I1714" i="3"/>
  <c r="H1714" i="3"/>
  <c r="G1714" i="3"/>
  <c r="F1714" i="3"/>
  <c r="E1714" i="3"/>
  <c r="I1713" i="3"/>
  <c r="H1713" i="3"/>
  <c r="G1713" i="3"/>
  <c r="F1713" i="3"/>
  <c r="E1713" i="3"/>
  <c r="I1712" i="3"/>
  <c r="H1712" i="3"/>
  <c r="G1712" i="3"/>
  <c r="F1712" i="3"/>
  <c r="E1712" i="3"/>
  <c r="I1711" i="3"/>
  <c r="H1711" i="3"/>
  <c r="G1711" i="3"/>
  <c r="F1711" i="3"/>
  <c r="E1711" i="3"/>
  <c r="I1710" i="3"/>
  <c r="H1710" i="3"/>
  <c r="G1710" i="3"/>
  <c r="F1710" i="3"/>
  <c r="E1710" i="3"/>
  <c r="I1709" i="3"/>
  <c r="H1709" i="3"/>
  <c r="G1709" i="3"/>
  <c r="F1709" i="3"/>
  <c r="E1709" i="3"/>
  <c r="I1708" i="3"/>
  <c r="H1708" i="3"/>
  <c r="G1708" i="3"/>
  <c r="F1708" i="3"/>
  <c r="E1708" i="3"/>
  <c r="I1707" i="3"/>
  <c r="H1707" i="3"/>
  <c r="G1707" i="3"/>
  <c r="F1707" i="3"/>
  <c r="E1707" i="3"/>
  <c r="I1706" i="3"/>
  <c r="H1706" i="3"/>
  <c r="G1706" i="3"/>
  <c r="F1706" i="3"/>
  <c r="E1706" i="3"/>
  <c r="I1705" i="3"/>
  <c r="H1705" i="3"/>
  <c r="G1705" i="3"/>
  <c r="F1705" i="3"/>
  <c r="E1705" i="3"/>
  <c r="I1704" i="3"/>
  <c r="H1704" i="3"/>
  <c r="G1704" i="3"/>
  <c r="F1704" i="3"/>
  <c r="E1704" i="3"/>
  <c r="I1703" i="3"/>
  <c r="H1703" i="3"/>
  <c r="G1703" i="3"/>
  <c r="F1703" i="3"/>
  <c r="E1703" i="3"/>
  <c r="I1702" i="3"/>
  <c r="H1702" i="3"/>
  <c r="G1702" i="3"/>
  <c r="F1702" i="3"/>
  <c r="E1702" i="3"/>
  <c r="I1701" i="3"/>
  <c r="H1701" i="3"/>
  <c r="G1701" i="3"/>
  <c r="F1701" i="3"/>
  <c r="E1701" i="3"/>
  <c r="I1700" i="3"/>
  <c r="H1700" i="3"/>
  <c r="G1700" i="3"/>
  <c r="F1700" i="3"/>
  <c r="E1700" i="3"/>
  <c r="I1699" i="3"/>
  <c r="H1699" i="3"/>
  <c r="G1699" i="3"/>
  <c r="F1699" i="3"/>
  <c r="E1699" i="3"/>
  <c r="I1698" i="3"/>
  <c r="H1698" i="3"/>
  <c r="G1698" i="3"/>
  <c r="F1698" i="3"/>
  <c r="E1698" i="3"/>
  <c r="I1697" i="3"/>
  <c r="H1697" i="3"/>
  <c r="G1697" i="3"/>
  <c r="F1697" i="3"/>
  <c r="E1697" i="3"/>
  <c r="I1696" i="3"/>
  <c r="H1696" i="3"/>
  <c r="G1696" i="3"/>
  <c r="F1696" i="3"/>
  <c r="E1696" i="3"/>
  <c r="I1695" i="3"/>
  <c r="H1695" i="3"/>
  <c r="G1695" i="3"/>
  <c r="F1695" i="3"/>
  <c r="E1695" i="3"/>
  <c r="I1694" i="3"/>
  <c r="H1694" i="3"/>
  <c r="G1694" i="3"/>
  <c r="F1694" i="3"/>
  <c r="E1694" i="3"/>
  <c r="I1693" i="3"/>
  <c r="H1693" i="3"/>
  <c r="G1693" i="3"/>
  <c r="F1693" i="3"/>
  <c r="E1693" i="3"/>
  <c r="I1692" i="3"/>
  <c r="H1692" i="3"/>
  <c r="G1692" i="3"/>
  <c r="F1692" i="3"/>
  <c r="E1692" i="3"/>
  <c r="I1691" i="3"/>
  <c r="H1691" i="3"/>
  <c r="G1691" i="3"/>
  <c r="F1691" i="3"/>
  <c r="E1691" i="3"/>
  <c r="I1690" i="3"/>
  <c r="H1690" i="3"/>
  <c r="G1690" i="3"/>
  <c r="F1690" i="3"/>
  <c r="E1690" i="3"/>
  <c r="I1689" i="3"/>
  <c r="H1689" i="3"/>
  <c r="G1689" i="3"/>
  <c r="F1689" i="3"/>
  <c r="E1689" i="3"/>
  <c r="I1688" i="3"/>
  <c r="H1688" i="3"/>
  <c r="G1688" i="3"/>
  <c r="F1688" i="3"/>
  <c r="E1688" i="3"/>
  <c r="I1687" i="3"/>
  <c r="H1687" i="3"/>
  <c r="G1687" i="3"/>
  <c r="F1687" i="3"/>
  <c r="E1687" i="3"/>
  <c r="I1686" i="3"/>
  <c r="H1686" i="3"/>
  <c r="G1686" i="3"/>
  <c r="F1686" i="3"/>
  <c r="E1686" i="3"/>
  <c r="I1685" i="3"/>
  <c r="H1685" i="3"/>
  <c r="G1685" i="3"/>
  <c r="F1685" i="3"/>
  <c r="E1685" i="3"/>
  <c r="I1684" i="3"/>
  <c r="H1684" i="3"/>
  <c r="G1684" i="3"/>
  <c r="F1684" i="3"/>
  <c r="E1684" i="3"/>
  <c r="I1683" i="3"/>
  <c r="H1683" i="3"/>
  <c r="G1683" i="3"/>
  <c r="F1683" i="3"/>
  <c r="E1683" i="3"/>
  <c r="I1682" i="3"/>
  <c r="H1682" i="3"/>
  <c r="G1682" i="3"/>
  <c r="F1682" i="3"/>
  <c r="E1682" i="3"/>
  <c r="I1681" i="3"/>
  <c r="H1681" i="3"/>
  <c r="G1681" i="3"/>
  <c r="F1681" i="3"/>
  <c r="E1681" i="3"/>
  <c r="I1680" i="3"/>
  <c r="H1680" i="3"/>
  <c r="G1680" i="3"/>
  <c r="F1680" i="3"/>
  <c r="E1680" i="3"/>
  <c r="I1679" i="3"/>
  <c r="H1679" i="3"/>
  <c r="G1679" i="3"/>
  <c r="F1679" i="3"/>
  <c r="E1679" i="3"/>
  <c r="I1678" i="3"/>
  <c r="H1678" i="3"/>
  <c r="G1678" i="3"/>
  <c r="F1678" i="3"/>
  <c r="E1678" i="3"/>
  <c r="I1677" i="3"/>
  <c r="H1677" i="3"/>
  <c r="G1677" i="3"/>
  <c r="F1677" i="3"/>
  <c r="E1677" i="3"/>
  <c r="I1676" i="3"/>
  <c r="H1676" i="3"/>
  <c r="G1676" i="3"/>
  <c r="F1676" i="3"/>
  <c r="E1676" i="3"/>
  <c r="I1675" i="3"/>
  <c r="H1675" i="3"/>
  <c r="G1675" i="3"/>
  <c r="F1675" i="3"/>
  <c r="E1675" i="3"/>
  <c r="I1674" i="3"/>
  <c r="H1674" i="3"/>
  <c r="G1674" i="3"/>
  <c r="F1674" i="3"/>
  <c r="E1674" i="3"/>
  <c r="I1673" i="3"/>
  <c r="H1673" i="3"/>
  <c r="G1673" i="3"/>
  <c r="F1673" i="3"/>
  <c r="E1673" i="3"/>
  <c r="I1672" i="3"/>
  <c r="H1672" i="3"/>
  <c r="G1672" i="3"/>
  <c r="F1672" i="3"/>
  <c r="E1672" i="3"/>
  <c r="I1671" i="3"/>
  <c r="H1671" i="3"/>
  <c r="G1671" i="3"/>
  <c r="F1671" i="3"/>
  <c r="E1671" i="3"/>
  <c r="I1670" i="3"/>
  <c r="H1670" i="3"/>
  <c r="G1670" i="3"/>
  <c r="F1670" i="3"/>
  <c r="E1670" i="3"/>
  <c r="I1669" i="3"/>
  <c r="H1669" i="3"/>
  <c r="G1669" i="3"/>
  <c r="F1669" i="3"/>
  <c r="E1669" i="3"/>
  <c r="I1668" i="3"/>
  <c r="H1668" i="3"/>
  <c r="G1668" i="3"/>
  <c r="F1668" i="3"/>
  <c r="E1668" i="3"/>
  <c r="I1667" i="3"/>
  <c r="H1667" i="3"/>
  <c r="G1667" i="3"/>
  <c r="F1667" i="3"/>
  <c r="E1667" i="3"/>
  <c r="I1666" i="3"/>
  <c r="H1666" i="3"/>
  <c r="G1666" i="3"/>
  <c r="F1666" i="3"/>
  <c r="E1666" i="3"/>
  <c r="I1665" i="3"/>
  <c r="H1665" i="3"/>
  <c r="G1665" i="3"/>
  <c r="F1665" i="3"/>
  <c r="E1665" i="3"/>
  <c r="I1664" i="3"/>
  <c r="H1664" i="3"/>
  <c r="G1664" i="3"/>
  <c r="F1664" i="3"/>
  <c r="E1664" i="3"/>
  <c r="I1663" i="3"/>
  <c r="H1663" i="3"/>
  <c r="G1663" i="3"/>
  <c r="F1663" i="3"/>
  <c r="E1663" i="3"/>
  <c r="I1662" i="3"/>
  <c r="H1662" i="3"/>
  <c r="G1662" i="3"/>
  <c r="F1662" i="3"/>
  <c r="E1662" i="3"/>
  <c r="I1661" i="3"/>
  <c r="H1661" i="3"/>
  <c r="G1661" i="3"/>
  <c r="F1661" i="3"/>
  <c r="E1661" i="3"/>
  <c r="I1660" i="3"/>
  <c r="H1660" i="3"/>
  <c r="G1660" i="3"/>
  <c r="F1660" i="3"/>
  <c r="E1660" i="3"/>
  <c r="I1659" i="3"/>
  <c r="H1659" i="3"/>
  <c r="G1659" i="3"/>
  <c r="F1659" i="3"/>
  <c r="E1659" i="3"/>
  <c r="I1658" i="3"/>
  <c r="H1658" i="3"/>
  <c r="G1658" i="3"/>
  <c r="F1658" i="3"/>
  <c r="E1658" i="3"/>
  <c r="I1657" i="3"/>
  <c r="H1657" i="3"/>
  <c r="G1657" i="3"/>
  <c r="F1657" i="3"/>
  <c r="E1657" i="3"/>
  <c r="I1656" i="3"/>
  <c r="H1656" i="3"/>
  <c r="G1656" i="3"/>
  <c r="F1656" i="3"/>
  <c r="E1656" i="3"/>
  <c r="I1655" i="3"/>
  <c r="H1655" i="3"/>
  <c r="G1655" i="3"/>
  <c r="F1655" i="3"/>
  <c r="E1655" i="3"/>
  <c r="I1654" i="3"/>
  <c r="H1654" i="3"/>
  <c r="G1654" i="3"/>
  <c r="F1654" i="3"/>
  <c r="E1654" i="3"/>
  <c r="I1653" i="3"/>
  <c r="H1653" i="3"/>
  <c r="G1653" i="3"/>
  <c r="F1653" i="3"/>
  <c r="E1653" i="3"/>
  <c r="I1652" i="3"/>
  <c r="H1652" i="3"/>
  <c r="G1652" i="3"/>
  <c r="F1652" i="3"/>
  <c r="E1652" i="3"/>
  <c r="I1651" i="3"/>
  <c r="H1651" i="3"/>
  <c r="G1651" i="3"/>
  <c r="F1651" i="3"/>
  <c r="E1651" i="3"/>
  <c r="I1650" i="3"/>
  <c r="H1650" i="3"/>
  <c r="G1650" i="3"/>
  <c r="F1650" i="3"/>
  <c r="E1650" i="3"/>
  <c r="I1649" i="3"/>
  <c r="H1649" i="3"/>
  <c r="G1649" i="3"/>
  <c r="F1649" i="3"/>
  <c r="E1649" i="3"/>
  <c r="I1648" i="3"/>
  <c r="H1648" i="3"/>
  <c r="G1648" i="3"/>
  <c r="F1648" i="3"/>
  <c r="E1648" i="3"/>
  <c r="I1647" i="3"/>
  <c r="H1647" i="3"/>
  <c r="G1647" i="3"/>
  <c r="F1647" i="3"/>
  <c r="E1647" i="3"/>
  <c r="I1646" i="3"/>
  <c r="H1646" i="3"/>
  <c r="G1646" i="3"/>
  <c r="F1646" i="3"/>
  <c r="E1646" i="3"/>
  <c r="I1645" i="3"/>
  <c r="H1645" i="3"/>
  <c r="G1645" i="3"/>
  <c r="F1645" i="3"/>
  <c r="E1645" i="3"/>
  <c r="I1644" i="3"/>
  <c r="H1644" i="3"/>
  <c r="G1644" i="3"/>
  <c r="F1644" i="3"/>
  <c r="E1644" i="3"/>
  <c r="I1643" i="3"/>
  <c r="H1643" i="3"/>
  <c r="G1643" i="3"/>
  <c r="F1643" i="3"/>
  <c r="E1643" i="3"/>
  <c r="I1642" i="3"/>
  <c r="H1642" i="3"/>
  <c r="G1642" i="3"/>
  <c r="F1642" i="3"/>
  <c r="E1642" i="3"/>
  <c r="I1641" i="3"/>
  <c r="H1641" i="3"/>
  <c r="G1641" i="3"/>
  <c r="F1641" i="3"/>
  <c r="E1641" i="3"/>
  <c r="I1640" i="3"/>
  <c r="H1640" i="3"/>
  <c r="G1640" i="3"/>
  <c r="F1640" i="3"/>
  <c r="E1640" i="3"/>
  <c r="I1639" i="3"/>
  <c r="H1639" i="3"/>
  <c r="G1639" i="3"/>
  <c r="F1639" i="3"/>
  <c r="E1639" i="3"/>
  <c r="I1638" i="3"/>
  <c r="H1638" i="3"/>
  <c r="G1638" i="3"/>
  <c r="F1638" i="3"/>
  <c r="E1638" i="3"/>
  <c r="I1637" i="3"/>
  <c r="H1637" i="3"/>
  <c r="G1637" i="3"/>
  <c r="F1637" i="3"/>
  <c r="E1637" i="3"/>
  <c r="I1636" i="3"/>
  <c r="H1636" i="3"/>
  <c r="G1636" i="3"/>
  <c r="F1636" i="3"/>
  <c r="E1636" i="3"/>
  <c r="I1635" i="3"/>
  <c r="H1635" i="3"/>
  <c r="G1635" i="3"/>
  <c r="F1635" i="3"/>
  <c r="E1635" i="3"/>
  <c r="I1634" i="3"/>
  <c r="H1634" i="3"/>
  <c r="G1634" i="3"/>
  <c r="F1634" i="3"/>
  <c r="E1634" i="3"/>
  <c r="I1633" i="3"/>
  <c r="H1633" i="3"/>
  <c r="G1633" i="3"/>
  <c r="F1633" i="3"/>
  <c r="E1633" i="3"/>
  <c r="I1632" i="3"/>
  <c r="H1632" i="3"/>
  <c r="G1632" i="3"/>
  <c r="F1632" i="3"/>
  <c r="E1632" i="3"/>
  <c r="I1631" i="3"/>
  <c r="H1631" i="3"/>
  <c r="G1631" i="3"/>
  <c r="F1631" i="3"/>
  <c r="E1631" i="3"/>
  <c r="I1630" i="3"/>
  <c r="H1630" i="3"/>
  <c r="G1630" i="3"/>
  <c r="F1630" i="3"/>
  <c r="E1630" i="3"/>
  <c r="I1629" i="3"/>
  <c r="H1629" i="3"/>
  <c r="G1629" i="3"/>
  <c r="F1629" i="3"/>
  <c r="E1629" i="3"/>
  <c r="I1628" i="3"/>
  <c r="H1628" i="3"/>
  <c r="G1628" i="3"/>
  <c r="F1628" i="3"/>
  <c r="E1628" i="3"/>
  <c r="I1627" i="3"/>
  <c r="H1627" i="3"/>
  <c r="G1627" i="3"/>
  <c r="F1627" i="3"/>
  <c r="E1627" i="3"/>
  <c r="I1626" i="3"/>
  <c r="H1626" i="3"/>
  <c r="G1626" i="3"/>
  <c r="F1626" i="3"/>
  <c r="E1626" i="3"/>
  <c r="I1625" i="3"/>
  <c r="H1625" i="3"/>
  <c r="G1625" i="3"/>
  <c r="F1625" i="3"/>
  <c r="E1625" i="3"/>
  <c r="I1624" i="3"/>
  <c r="H1624" i="3"/>
  <c r="G1624" i="3"/>
  <c r="F1624" i="3"/>
  <c r="E1624" i="3"/>
  <c r="I1623" i="3"/>
  <c r="H1623" i="3"/>
  <c r="G1623" i="3"/>
  <c r="F1623" i="3"/>
  <c r="E1623" i="3"/>
  <c r="I1622" i="3"/>
  <c r="H1622" i="3"/>
  <c r="G1622" i="3"/>
  <c r="F1622" i="3"/>
  <c r="E1622" i="3"/>
  <c r="I1621" i="3"/>
  <c r="H1621" i="3"/>
  <c r="G1621" i="3"/>
  <c r="F1621" i="3"/>
  <c r="E1621" i="3"/>
  <c r="I1620" i="3"/>
  <c r="H1620" i="3"/>
  <c r="G1620" i="3"/>
  <c r="F1620" i="3"/>
  <c r="E1620" i="3"/>
  <c r="I1619" i="3"/>
  <c r="H1619" i="3"/>
  <c r="G1619" i="3"/>
  <c r="F1619" i="3"/>
  <c r="E1619" i="3"/>
  <c r="I1618" i="3"/>
  <c r="H1618" i="3"/>
  <c r="G1618" i="3"/>
  <c r="F1618" i="3"/>
  <c r="E1618" i="3"/>
  <c r="I1617" i="3"/>
  <c r="H1617" i="3"/>
  <c r="G1617" i="3"/>
  <c r="F1617" i="3"/>
  <c r="E1617" i="3"/>
  <c r="I1616" i="3"/>
  <c r="H1616" i="3"/>
  <c r="G1616" i="3"/>
  <c r="F1616" i="3"/>
  <c r="E1616" i="3"/>
  <c r="I1615" i="3"/>
  <c r="H1615" i="3"/>
  <c r="G1615" i="3"/>
  <c r="F1615" i="3"/>
  <c r="E1615" i="3"/>
  <c r="I1614" i="3"/>
  <c r="H1614" i="3"/>
  <c r="G1614" i="3"/>
  <c r="F1614" i="3"/>
  <c r="E1614" i="3"/>
  <c r="I1613" i="3"/>
  <c r="H1613" i="3"/>
  <c r="G1613" i="3"/>
  <c r="F1613" i="3"/>
  <c r="E1613" i="3"/>
  <c r="I1612" i="3"/>
  <c r="H1612" i="3"/>
  <c r="G1612" i="3"/>
  <c r="F1612" i="3"/>
  <c r="E1612" i="3"/>
  <c r="I1611" i="3"/>
  <c r="H1611" i="3"/>
  <c r="G1611" i="3"/>
  <c r="F1611" i="3"/>
  <c r="E1611" i="3"/>
  <c r="I1610" i="3"/>
  <c r="H1610" i="3"/>
  <c r="G1610" i="3"/>
  <c r="F1610" i="3"/>
  <c r="E1610" i="3"/>
  <c r="I1609" i="3"/>
  <c r="H1609" i="3"/>
  <c r="G1609" i="3"/>
  <c r="F1609" i="3"/>
  <c r="E1609" i="3"/>
  <c r="I1608" i="3"/>
  <c r="H1608" i="3"/>
  <c r="G1608" i="3"/>
  <c r="F1608" i="3"/>
  <c r="E1608" i="3"/>
  <c r="I1607" i="3"/>
  <c r="H1607" i="3"/>
  <c r="G1607" i="3"/>
  <c r="F1607" i="3"/>
  <c r="E1607" i="3"/>
  <c r="I1606" i="3"/>
  <c r="H1606" i="3"/>
  <c r="G1606" i="3"/>
  <c r="F1606" i="3"/>
  <c r="E1606" i="3"/>
  <c r="I1605" i="3"/>
  <c r="H1605" i="3"/>
  <c r="G1605" i="3"/>
  <c r="F1605" i="3"/>
  <c r="E1605" i="3"/>
  <c r="I1604" i="3"/>
  <c r="H1604" i="3"/>
  <c r="G1604" i="3"/>
  <c r="F1604" i="3"/>
  <c r="E1604" i="3"/>
  <c r="I1603" i="3"/>
  <c r="H1603" i="3"/>
  <c r="G1603" i="3"/>
  <c r="F1603" i="3"/>
  <c r="E1603" i="3"/>
  <c r="I1602" i="3"/>
  <c r="H1602" i="3"/>
  <c r="G1602" i="3"/>
  <c r="F1602" i="3"/>
  <c r="E1602" i="3"/>
  <c r="I1601" i="3"/>
  <c r="H1601" i="3"/>
  <c r="G1601" i="3"/>
  <c r="F1601" i="3"/>
  <c r="E1601" i="3"/>
  <c r="I1600" i="3"/>
  <c r="H1600" i="3"/>
  <c r="G1600" i="3"/>
  <c r="F1600" i="3"/>
  <c r="E1600" i="3"/>
  <c r="I1599" i="3"/>
  <c r="H1599" i="3"/>
  <c r="G1599" i="3"/>
  <c r="F1599" i="3"/>
  <c r="E1599" i="3"/>
  <c r="I1598" i="3"/>
  <c r="H1598" i="3"/>
  <c r="G1598" i="3"/>
  <c r="F1598" i="3"/>
  <c r="E1598" i="3"/>
  <c r="I1597" i="3"/>
  <c r="H1597" i="3"/>
  <c r="G1597" i="3"/>
  <c r="F1597" i="3"/>
  <c r="E1597" i="3"/>
  <c r="I1596" i="3"/>
  <c r="H1596" i="3"/>
  <c r="G1596" i="3"/>
  <c r="F1596" i="3"/>
  <c r="E1596" i="3"/>
  <c r="I1595" i="3"/>
  <c r="H1595" i="3"/>
  <c r="G1595" i="3"/>
  <c r="F1595" i="3"/>
  <c r="E1595" i="3"/>
  <c r="I1594" i="3"/>
  <c r="H1594" i="3"/>
  <c r="G1594" i="3"/>
  <c r="F1594" i="3"/>
  <c r="E1594" i="3"/>
  <c r="I1593" i="3"/>
  <c r="H1593" i="3"/>
  <c r="G1593" i="3"/>
  <c r="F1593" i="3"/>
  <c r="E1593" i="3"/>
  <c r="I1592" i="3"/>
  <c r="H1592" i="3"/>
  <c r="G1592" i="3"/>
  <c r="F1592" i="3"/>
  <c r="E1592" i="3"/>
  <c r="I1591" i="3"/>
  <c r="H1591" i="3"/>
  <c r="G1591" i="3"/>
  <c r="F1591" i="3"/>
  <c r="E1591" i="3"/>
  <c r="I1590" i="3"/>
  <c r="H1590" i="3"/>
  <c r="G1590" i="3"/>
  <c r="F1590" i="3"/>
  <c r="E1590" i="3"/>
  <c r="I1589" i="3"/>
  <c r="H1589" i="3"/>
  <c r="G1589" i="3"/>
  <c r="F1589" i="3"/>
  <c r="E1589" i="3"/>
  <c r="I1588" i="3"/>
  <c r="H1588" i="3"/>
  <c r="G1588" i="3"/>
  <c r="F1588" i="3"/>
  <c r="E1588" i="3"/>
  <c r="I1587" i="3"/>
  <c r="H1587" i="3"/>
  <c r="G1587" i="3"/>
  <c r="F1587" i="3"/>
  <c r="E1587" i="3"/>
  <c r="I1586" i="3"/>
  <c r="H1586" i="3"/>
  <c r="G1586" i="3"/>
  <c r="F1586" i="3"/>
  <c r="E1586" i="3"/>
  <c r="I1585" i="3"/>
  <c r="H1585" i="3"/>
  <c r="G1585" i="3"/>
  <c r="F1585" i="3"/>
  <c r="E1585" i="3"/>
  <c r="I1584" i="3"/>
  <c r="H1584" i="3"/>
  <c r="G1584" i="3"/>
  <c r="F1584" i="3"/>
  <c r="E1584" i="3"/>
  <c r="I1583" i="3"/>
  <c r="H1583" i="3"/>
  <c r="G1583" i="3"/>
  <c r="F1583" i="3"/>
  <c r="E1583" i="3"/>
  <c r="I1582" i="3"/>
  <c r="H1582" i="3"/>
  <c r="G1582" i="3"/>
  <c r="F1582" i="3"/>
  <c r="E1582" i="3"/>
  <c r="I1581" i="3"/>
  <c r="H1581" i="3"/>
  <c r="G1581" i="3"/>
  <c r="F1581" i="3"/>
  <c r="E1581" i="3"/>
  <c r="I1580" i="3"/>
  <c r="H1580" i="3"/>
  <c r="G1580" i="3"/>
  <c r="F1580" i="3"/>
  <c r="E1580" i="3"/>
  <c r="I1579" i="3"/>
  <c r="H1579" i="3"/>
  <c r="G1579" i="3"/>
  <c r="F1579" i="3"/>
  <c r="E1579" i="3"/>
  <c r="I1578" i="3"/>
  <c r="H1578" i="3"/>
  <c r="G1578" i="3"/>
  <c r="F1578" i="3"/>
  <c r="E1578" i="3"/>
  <c r="I1577" i="3"/>
  <c r="H1577" i="3"/>
  <c r="G1577" i="3"/>
  <c r="F1577" i="3"/>
  <c r="E1577" i="3"/>
  <c r="I1576" i="3"/>
  <c r="H1576" i="3"/>
  <c r="G1576" i="3"/>
  <c r="F1576" i="3"/>
  <c r="E1576" i="3"/>
  <c r="I1575" i="3"/>
  <c r="H1575" i="3"/>
  <c r="G1575" i="3"/>
  <c r="F1575" i="3"/>
  <c r="E1575" i="3"/>
  <c r="I1574" i="3"/>
  <c r="H1574" i="3"/>
  <c r="G1574" i="3"/>
  <c r="F1574" i="3"/>
  <c r="E1574" i="3"/>
  <c r="I1573" i="3"/>
  <c r="H1573" i="3"/>
  <c r="G1573" i="3"/>
  <c r="F1573" i="3"/>
  <c r="E1573" i="3"/>
  <c r="I1572" i="3"/>
  <c r="H1572" i="3"/>
  <c r="G1572" i="3"/>
  <c r="F1572" i="3"/>
  <c r="E1572" i="3"/>
  <c r="I1571" i="3"/>
  <c r="H1571" i="3"/>
  <c r="G1571" i="3"/>
  <c r="F1571" i="3"/>
  <c r="E1571" i="3"/>
  <c r="I1570" i="3"/>
  <c r="H1570" i="3"/>
  <c r="G1570" i="3"/>
  <c r="F1570" i="3"/>
  <c r="E1570" i="3"/>
  <c r="I1569" i="3"/>
  <c r="H1569" i="3"/>
  <c r="G1569" i="3"/>
  <c r="F1569" i="3"/>
  <c r="E1569" i="3"/>
  <c r="I1568" i="3"/>
  <c r="H1568" i="3"/>
  <c r="G1568" i="3"/>
  <c r="F1568" i="3"/>
  <c r="E1568" i="3"/>
  <c r="I1567" i="3"/>
  <c r="H1567" i="3"/>
  <c r="G1567" i="3"/>
  <c r="F1567" i="3"/>
  <c r="E1567" i="3"/>
  <c r="I1566" i="3"/>
  <c r="H1566" i="3"/>
  <c r="G1566" i="3"/>
  <c r="F1566" i="3"/>
  <c r="E1566" i="3"/>
  <c r="I1565" i="3"/>
  <c r="H1565" i="3"/>
  <c r="G1565" i="3"/>
  <c r="F1565" i="3"/>
  <c r="E1565" i="3"/>
  <c r="I1564" i="3"/>
  <c r="H1564" i="3"/>
  <c r="G1564" i="3"/>
  <c r="F1564" i="3"/>
  <c r="E1564" i="3"/>
  <c r="I1563" i="3"/>
  <c r="H1563" i="3"/>
  <c r="G1563" i="3"/>
  <c r="F1563" i="3"/>
  <c r="E1563" i="3"/>
  <c r="I1562" i="3"/>
  <c r="H1562" i="3"/>
  <c r="G1562" i="3"/>
  <c r="F1562" i="3"/>
  <c r="E1562" i="3"/>
  <c r="I1561" i="3"/>
  <c r="H1561" i="3"/>
  <c r="G1561" i="3"/>
  <c r="F1561" i="3"/>
  <c r="E1561" i="3"/>
  <c r="I1560" i="3"/>
  <c r="H1560" i="3"/>
  <c r="G1560" i="3"/>
  <c r="F1560" i="3"/>
  <c r="E1560" i="3"/>
  <c r="I1559" i="3"/>
  <c r="H1559" i="3"/>
  <c r="G1559" i="3"/>
  <c r="F1559" i="3"/>
  <c r="E1559" i="3"/>
  <c r="I1558" i="3"/>
  <c r="H1558" i="3"/>
  <c r="G1558" i="3"/>
  <c r="F1558" i="3"/>
  <c r="E1558" i="3"/>
  <c r="I1557" i="3"/>
  <c r="H1557" i="3"/>
  <c r="G1557" i="3"/>
  <c r="F1557" i="3"/>
  <c r="E1557" i="3"/>
  <c r="I1556" i="3"/>
  <c r="H1556" i="3"/>
  <c r="G1556" i="3"/>
  <c r="F1556" i="3"/>
  <c r="E1556" i="3"/>
  <c r="I1555" i="3"/>
  <c r="H1555" i="3"/>
  <c r="G1555" i="3"/>
  <c r="F1555" i="3"/>
  <c r="E1555" i="3"/>
  <c r="I1554" i="3"/>
  <c r="H1554" i="3"/>
  <c r="G1554" i="3"/>
  <c r="F1554" i="3"/>
  <c r="E1554" i="3"/>
  <c r="I1553" i="3"/>
  <c r="H1553" i="3"/>
  <c r="G1553" i="3"/>
  <c r="F1553" i="3"/>
  <c r="E1553" i="3"/>
  <c r="I1552" i="3"/>
  <c r="H1552" i="3"/>
  <c r="G1552" i="3"/>
  <c r="F1552" i="3"/>
  <c r="E1552" i="3"/>
  <c r="I1551" i="3"/>
  <c r="H1551" i="3"/>
  <c r="G1551" i="3"/>
  <c r="F1551" i="3"/>
  <c r="E1551" i="3"/>
  <c r="I1550" i="3"/>
  <c r="H1550" i="3"/>
  <c r="G1550" i="3"/>
  <c r="F1550" i="3"/>
  <c r="E1550" i="3"/>
  <c r="I1549" i="3"/>
  <c r="H1549" i="3"/>
  <c r="G1549" i="3"/>
  <c r="F1549" i="3"/>
  <c r="E1549" i="3"/>
  <c r="I1548" i="3"/>
  <c r="H1548" i="3"/>
  <c r="G1548" i="3"/>
  <c r="F1548" i="3"/>
  <c r="E1548" i="3"/>
  <c r="I1547" i="3"/>
  <c r="H1547" i="3"/>
  <c r="G1547" i="3"/>
  <c r="F1547" i="3"/>
  <c r="E1547" i="3"/>
  <c r="I1546" i="3"/>
  <c r="H1546" i="3"/>
  <c r="G1546" i="3"/>
  <c r="F1546" i="3"/>
  <c r="E1546" i="3"/>
  <c r="I1545" i="3"/>
  <c r="H1545" i="3"/>
  <c r="G1545" i="3"/>
  <c r="F1545" i="3"/>
  <c r="E1545" i="3"/>
  <c r="I1544" i="3"/>
  <c r="H1544" i="3"/>
  <c r="G1544" i="3"/>
  <c r="F1544" i="3"/>
  <c r="E1544" i="3"/>
  <c r="I1543" i="3"/>
  <c r="H1543" i="3"/>
  <c r="G1543" i="3"/>
  <c r="F1543" i="3"/>
  <c r="E1543" i="3"/>
  <c r="I1542" i="3"/>
  <c r="H1542" i="3"/>
  <c r="G1542" i="3"/>
  <c r="F1542" i="3"/>
  <c r="E1542" i="3"/>
  <c r="I1541" i="3"/>
  <c r="H1541" i="3"/>
  <c r="G1541" i="3"/>
  <c r="F1541" i="3"/>
  <c r="E1541" i="3"/>
  <c r="I1540" i="3"/>
  <c r="H1540" i="3"/>
  <c r="G1540" i="3"/>
  <c r="F1540" i="3"/>
  <c r="E1540" i="3"/>
  <c r="I1539" i="3"/>
  <c r="H1539" i="3"/>
  <c r="G1539" i="3"/>
  <c r="F1539" i="3"/>
  <c r="E1539" i="3"/>
  <c r="I1538" i="3"/>
  <c r="H1538" i="3"/>
  <c r="G1538" i="3"/>
  <c r="F1538" i="3"/>
  <c r="E1538" i="3"/>
  <c r="I1537" i="3"/>
  <c r="H1537" i="3"/>
  <c r="G1537" i="3"/>
  <c r="F1537" i="3"/>
  <c r="E1537" i="3"/>
  <c r="I1536" i="3"/>
  <c r="H1536" i="3"/>
  <c r="G1536" i="3"/>
  <c r="F1536" i="3"/>
  <c r="E1536" i="3"/>
  <c r="I1535" i="3"/>
  <c r="H1535" i="3"/>
  <c r="G1535" i="3"/>
  <c r="F1535" i="3"/>
  <c r="E1535" i="3"/>
  <c r="I1534" i="3"/>
  <c r="H1534" i="3"/>
  <c r="G1534" i="3"/>
  <c r="F1534" i="3"/>
  <c r="E1534" i="3"/>
  <c r="I1533" i="3"/>
  <c r="H1533" i="3"/>
  <c r="G1533" i="3"/>
  <c r="F1533" i="3"/>
  <c r="E1533" i="3"/>
  <c r="I1532" i="3"/>
  <c r="H1532" i="3"/>
  <c r="G1532" i="3"/>
  <c r="F1532" i="3"/>
  <c r="E1532" i="3"/>
  <c r="I1531" i="3"/>
  <c r="H1531" i="3"/>
  <c r="G1531" i="3"/>
  <c r="F1531" i="3"/>
  <c r="E1531" i="3"/>
  <c r="I1530" i="3"/>
  <c r="H1530" i="3"/>
  <c r="G1530" i="3"/>
  <c r="F1530" i="3"/>
  <c r="E1530" i="3"/>
  <c r="I1529" i="3"/>
  <c r="H1529" i="3"/>
  <c r="G1529" i="3"/>
  <c r="F1529" i="3"/>
  <c r="E1529" i="3"/>
  <c r="I1528" i="3"/>
  <c r="H1528" i="3"/>
  <c r="G1528" i="3"/>
  <c r="F1528" i="3"/>
  <c r="E1528" i="3"/>
  <c r="I1527" i="3"/>
  <c r="H1527" i="3"/>
  <c r="G1527" i="3"/>
  <c r="F1527" i="3"/>
  <c r="E1527" i="3"/>
  <c r="I1526" i="3"/>
  <c r="H1526" i="3"/>
  <c r="G1526" i="3"/>
  <c r="F1526" i="3"/>
  <c r="E1526" i="3"/>
  <c r="I1525" i="3"/>
  <c r="H1525" i="3"/>
  <c r="G1525" i="3"/>
  <c r="F1525" i="3"/>
  <c r="E1525" i="3"/>
  <c r="I1524" i="3"/>
  <c r="H1524" i="3"/>
  <c r="G1524" i="3"/>
  <c r="F1524" i="3"/>
  <c r="E1524" i="3"/>
  <c r="I1523" i="3"/>
  <c r="H1523" i="3"/>
  <c r="G1523" i="3"/>
  <c r="F1523" i="3"/>
  <c r="E1523" i="3"/>
  <c r="I1522" i="3"/>
  <c r="H1522" i="3"/>
  <c r="G1522" i="3"/>
  <c r="F1522" i="3"/>
  <c r="E1522" i="3"/>
  <c r="I1521" i="3"/>
  <c r="H1521" i="3"/>
  <c r="G1521" i="3"/>
  <c r="F1521" i="3"/>
  <c r="E1521" i="3"/>
  <c r="I1520" i="3"/>
  <c r="H1520" i="3"/>
  <c r="G1520" i="3"/>
  <c r="F1520" i="3"/>
  <c r="E1520" i="3"/>
  <c r="I1519" i="3"/>
  <c r="H1519" i="3"/>
  <c r="G1519" i="3"/>
  <c r="F1519" i="3"/>
  <c r="E1519" i="3"/>
  <c r="I1518" i="3"/>
  <c r="H1518" i="3"/>
  <c r="G1518" i="3"/>
  <c r="F1518" i="3"/>
  <c r="E1518" i="3"/>
  <c r="I1517" i="3"/>
  <c r="H1517" i="3"/>
  <c r="G1517" i="3"/>
  <c r="F1517" i="3"/>
  <c r="E1517" i="3"/>
  <c r="I1516" i="3"/>
  <c r="H1516" i="3"/>
  <c r="G1516" i="3"/>
  <c r="F1516" i="3"/>
  <c r="E1516" i="3"/>
  <c r="I1515" i="3"/>
  <c r="H1515" i="3"/>
  <c r="G1515" i="3"/>
  <c r="F1515" i="3"/>
  <c r="E1515" i="3"/>
  <c r="I1514" i="3"/>
  <c r="H1514" i="3"/>
  <c r="G1514" i="3"/>
  <c r="F1514" i="3"/>
  <c r="E1514" i="3"/>
  <c r="I1513" i="3"/>
  <c r="H1513" i="3"/>
  <c r="G1513" i="3"/>
  <c r="F1513" i="3"/>
  <c r="E1513" i="3"/>
  <c r="I1512" i="3"/>
  <c r="H1512" i="3"/>
  <c r="G1512" i="3"/>
  <c r="F1512" i="3"/>
  <c r="E1512" i="3"/>
  <c r="I1511" i="3"/>
  <c r="H1511" i="3"/>
  <c r="G1511" i="3"/>
  <c r="F1511" i="3"/>
  <c r="E1511" i="3"/>
  <c r="I1510" i="3"/>
  <c r="H1510" i="3"/>
  <c r="G1510" i="3"/>
  <c r="F1510" i="3"/>
  <c r="E1510" i="3"/>
  <c r="I1509" i="3"/>
  <c r="H1509" i="3"/>
  <c r="G1509" i="3"/>
  <c r="F1509" i="3"/>
  <c r="E1509" i="3"/>
  <c r="I1508" i="3"/>
  <c r="H1508" i="3"/>
  <c r="G1508" i="3"/>
  <c r="F1508" i="3"/>
  <c r="E1508" i="3"/>
  <c r="I1507" i="3"/>
  <c r="H1507" i="3"/>
  <c r="G1507" i="3"/>
  <c r="F1507" i="3"/>
  <c r="E1507" i="3"/>
  <c r="I1506" i="3"/>
  <c r="H1506" i="3"/>
  <c r="G1506" i="3"/>
  <c r="F1506" i="3"/>
  <c r="E1506" i="3"/>
  <c r="I1505" i="3"/>
  <c r="H1505" i="3"/>
  <c r="G1505" i="3"/>
  <c r="F1505" i="3"/>
  <c r="E1505" i="3"/>
  <c r="I1504" i="3"/>
  <c r="H1504" i="3"/>
  <c r="G1504" i="3"/>
  <c r="F1504" i="3"/>
  <c r="E1504" i="3"/>
  <c r="I1503" i="3"/>
  <c r="H1503" i="3"/>
  <c r="G1503" i="3"/>
  <c r="F1503" i="3"/>
  <c r="E1503" i="3"/>
  <c r="I1502" i="3"/>
  <c r="H1502" i="3"/>
  <c r="G1502" i="3"/>
  <c r="F1502" i="3"/>
  <c r="E1502" i="3"/>
  <c r="I1501" i="3"/>
  <c r="H1501" i="3"/>
  <c r="G1501" i="3"/>
  <c r="F1501" i="3"/>
  <c r="E1501" i="3"/>
  <c r="I1500" i="3"/>
  <c r="H1500" i="3"/>
  <c r="G1500" i="3"/>
  <c r="F1500" i="3"/>
  <c r="E1500" i="3"/>
  <c r="I1499" i="3"/>
  <c r="H1499" i="3"/>
  <c r="G1499" i="3"/>
  <c r="F1499" i="3"/>
  <c r="E1499" i="3"/>
  <c r="I1498" i="3"/>
  <c r="H1498" i="3"/>
  <c r="G1498" i="3"/>
  <c r="F1498" i="3"/>
  <c r="E1498" i="3"/>
  <c r="I1497" i="3"/>
  <c r="H1497" i="3"/>
  <c r="G1497" i="3"/>
  <c r="F1497" i="3"/>
  <c r="E1497" i="3"/>
  <c r="I1496" i="3"/>
  <c r="H1496" i="3"/>
  <c r="G1496" i="3"/>
  <c r="F1496" i="3"/>
  <c r="E1496" i="3"/>
  <c r="I1495" i="3"/>
  <c r="H1495" i="3"/>
  <c r="G1495" i="3"/>
  <c r="F1495" i="3"/>
  <c r="E1495" i="3"/>
  <c r="I1494" i="3"/>
  <c r="H1494" i="3"/>
  <c r="G1494" i="3"/>
  <c r="F1494" i="3"/>
  <c r="E1494" i="3"/>
  <c r="I1493" i="3"/>
  <c r="H1493" i="3"/>
  <c r="G1493" i="3"/>
  <c r="F1493" i="3"/>
  <c r="E1493" i="3"/>
  <c r="I1492" i="3"/>
  <c r="H1492" i="3"/>
  <c r="G1492" i="3"/>
  <c r="F1492" i="3"/>
  <c r="E1492" i="3"/>
  <c r="I1491" i="3"/>
  <c r="H1491" i="3"/>
  <c r="G1491" i="3"/>
  <c r="F1491" i="3"/>
  <c r="E1491" i="3"/>
  <c r="I1490" i="3"/>
  <c r="H1490" i="3"/>
  <c r="G1490" i="3"/>
  <c r="F1490" i="3"/>
  <c r="E1490" i="3"/>
  <c r="I1489" i="3"/>
  <c r="H1489" i="3"/>
  <c r="G1489" i="3"/>
  <c r="F1489" i="3"/>
  <c r="E1489" i="3"/>
  <c r="I1488" i="3"/>
  <c r="H1488" i="3"/>
  <c r="G1488" i="3"/>
  <c r="F1488" i="3"/>
  <c r="E1488" i="3"/>
  <c r="I1487" i="3"/>
  <c r="H1487" i="3"/>
  <c r="G1487" i="3"/>
  <c r="F1487" i="3"/>
  <c r="E1487" i="3"/>
  <c r="I1486" i="3"/>
  <c r="H1486" i="3"/>
  <c r="G1486" i="3"/>
  <c r="F1486" i="3"/>
  <c r="E1486" i="3"/>
  <c r="I1485" i="3"/>
  <c r="H1485" i="3"/>
  <c r="G1485" i="3"/>
  <c r="F1485" i="3"/>
  <c r="E1485" i="3"/>
  <c r="I1484" i="3"/>
  <c r="H1484" i="3"/>
  <c r="G1484" i="3"/>
  <c r="F1484" i="3"/>
  <c r="E1484" i="3"/>
  <c r="I1483" i="3"/>
  <c r="H1483" i="3"/>
  <c r="G1483" i="3"/>
  <c r="F1483" i="3"/>
  <c r="E1483" i="3"/>
  <c r="I1482" i="3"/>
  <c r="H1482" i="3"/>
  <c r="G1482" i="3"/>
  <c r="F1482" i="3"/>
  <c r="E1482" i="3"/>
  <c r="I1481" i="3"/>
  <c r="H1481" i="3"/>
  <c r="G1481" i="3"/>
  <c r="F1481" i="3"/>
  <c r="E1481" i="3"/>
  <c r="I1480" i="3"/>
  <c r="H1480" i="3"/>
  <c r="G1480" i="3"/>
  <c r="F1480" i="3"/>
  <c r="E1480" i="3"/>
  <c r="I1479" i="3"/>
  <c r="H1479" i="3"/>
  <c r="G1479" i="3"/>
  <c r="F1479" i="3"/>
  <c r="E1479" i="3"/>
  <c r="I1478" i="3"/>
  <c r="H1478" i="3"/>
  <c r="G1478" i="3"/>
  <c r="F1478" i="3"/>
  <c r="E1478" i="3"/>
  <c r="I1477" i="3"/>
  <c r="H1477" i="3"/>
  <c r="G1477" i="3"/>
  <c r="F1477" i="3"/>
  <c r="E1477" i="3"/>
  <c r="I1476" i="3"/>
  <c r="H1476" i="3"/>
  <c r="G1476" i="3"/>
  <c r="F1476" i="3"/>
  <c r="E1476" i="3"/>
  <c r="I1475" i="3"/>
  <c r="H1475" i="3"/>
  <c r="G1475" i="3"/>
  <c r="F1475" i="3"/>
  <c r="E1475" i="3"/>
  <c r="I1474" i="3"/>
  <c r="H1474" i="3"/>
  <c r="G1474" i="3"/>
  <c r="F1474" i="3"/>
  <c r="E1474" i="3"/>
  <c r="I1473" i="3"/>
  <c r="H1473" i="3"/>
  <c r="G1473" i="3"/>
  <c r="F1473" i="3"/>
  <c r="E1473" i="3"/>
  <c r="I1472" i="3"/>
  <c r="H1472" i="3"/>
  <c r="G1472" i="3"/>
  <c r="F1472" i="3"/>
  <c r="E1472" i="3"/>
  <c r="I1471" i="3"/>
  <c r="H1471" i="3"/>
  <c r="G1471" i="3"/>
  <c r="F1471" i="3"/>
  <c r="E1471" i="3"/>
  <c r="I1470" i="3"/>
  <c r="H1470" i="3"/>
  <c r="G1470" i="3"/>
  <c r="F1470" i="3"/>
  <c r="E1470" i="3"/>
  <c r="I1469" i="3"/>
  <c r="H1469" i="3"/>
  <c r="G1469" i="3"/>
  <c r="F1469" i="3"/>
  <c r="E1469" i="3"/>
  <c r="I1468" i="3"/>
  <c r="H1468" i="3"/>
  <c r="G1468" i="3"/>
  <c r="F1468" i="3"/>
  <c r="E1468" i="3"/>
  <c r="I1467" i="3"/>
  <c r="H1467" i="3"/>
  <c r="G1467" i="3"/>
  <c r="F1467" i="3"/>
  <c r="E1467" i="3"/>
  <c r="I1466" i="3"/>
  <c r="H1466" i="3"/>
  <c r="G1466" i="3"/>
  <c r="F1466" i="3"/>
  <c r="E1466" i="3"/>
  <c r="I2017" i="3"/>
  <c r="H2017" i="3"/>
  <c r="G2017" i="3"/>
  <c r="F2017" i="3"/>
  <c r="E2017" i="3"/>
  <c r="I2016" i="3"/>
  <c r="H2016" i="3"/>
  <c r="G2016" i="3"/>
  <c r="F2016" i="3"/>
  <c r="E2016" i="3"/>
  <c r="I2015" i="3"/>
  <c r="H2015" i="3"/>
  <c r="G2015" i="3"/>
  <c r="F2015" i="3"/>
  <c r="E2015" i="3"/>
  <c r="I2014" i="3"/>
  <c r="H2014" i="3"/>
  <c r="G2014" i="3"/>
  <c r="F2014" i="3"/>
  <c r="E2014" i="3"/>
  <c r="I2013" i="3"/>
  <c r="H2013" i="3"/>
  <c r="G2013" i="3"/>
  <c r="F2013" i="3"/>
  <c r="E2013" i="3"/>
  <c r="I2012" i="3"/>
  <c r="H2012" i="3"/>
  <c r="G2012" i="3"/>
  <c r="F2012" i="3"/>
  <c r="E2012" i="3"/>
  <c r="I2011" i="3"/>
  <c r="H2011" i="3"/>
  <c r="G2011" i="3"/>
  <c r="F2011" i="3"/>
  <c r="E2011" i="3"/>
  <c r="I2010" i="3"/>
  <c r="H2010" i="3"/>
  <c r="G2010" i="3"/>
  <c r="F2010" i="3"/>
  <c r="E2010" i="3"/>
  <c r="I2009" i="3"/>
  <c r="H2009" i="3"/>
  <c r="G2009" i="3"/>
  <c r="F2009" i="3"/>
  <c r="E2009" i="3"/>
  <c r="I2008" i="3"/>
  <c r="H2008" i="3"/>
  <c r="G2008" i="3"/>
  <c r="F2008" i="3"/>
  <c r="E2008" i="3"/>
  <c r="I2007" i="3"/>
  <c r="H2007" i="3"/>
  <c r="G2007" i="3"/>
  <c r="F2007" i="3"/>
  <c r="E2007" i="3"/>
  <c r="I2006" i="3"/>
  <c r="H2006" i="3"/>
  <c r="G2006" i="3"/>
  <c r="F2006" i="3"/>
  <c r="E2006" i="3"/>
  <c r="I2005" i="3"/>
  <c r="H2005" i="3"/>
  <c r="G2005" i="3"/>
  <c r="F2005" i="3"/>
  <c r="E2005" i="3"/>
  <c r="I2004" i="3"/>
  <c r="H2004" i="3"/>
  <c r="G2004" i="3"/>
  <c r="F2004" i="3"/>
  <c r="E2004" i="3"/>
  <c r="I2003" i="3"/>
  <c r="H2003" i="3"/>
  <c r="G2003" i="3"/>
  <c r="F2003" i="3"/>
  <c r="E2003" i="3"/>
  <c r="I2002" i="3"/>
  <c r="H2002" i="3"/>
  <c r="G2002" i="3"/>
  <c r="F2002" i="3"/>
  <c r="E2002" i="3"/>
  <c r="I2001" i="3"/>
  <c r="H2001" i="3"/>
  <c r="G2001" i="3"/>
  <c r="F2001" i="3"/>
  <c r="E2001" i="3"/>
  <c r="I2000" i="3"/>
  <c r="H2000" i="3"/>
  <c r="G2000" i="3"/>
  <c r="F2000" i="3"/>
  <c r="E2000" i="3"/>
  <c r="I1999" i="3"/>
  <c r="H1999" i="3"/>
  <c r="G1999" i="3"/>
  <c r="F1999" i="3"/>
  <c r="E1999" i="3"/>
  <c r="I1998" i="3"/>
  <c r="H1998" i="3"/>
  <c r="G1998" i="3"/>
  <c r="F1998" i="3"/>
  <c r="E1998" i="3"/>
  <c r="I1997" i="3"/>
  <c r="H1997" i="3"/>
  <c r="G1997" i="3"/>
  <c r="F1997" i="3"/>
  <c r="E1997" i="3"/>
  <c r="I1996" i="3"/>
  <c r="H1996" i="3"/>
  <c r="G1996" i="3"/>
  <c r="F1996" i="3"/>
  <c r="E1996" i="3"/>
  <c r="I1995" i="3"/>
  <c r="H1995" i="3"/>
  <c r="G1995" i="3"/>
  <c r="F1995" i="3"/>
  <c r="E1995" i="3"/>
  <c r="I1994" i="3"/>
  <c r="H1994" i="3"/>
  <c r="G1994" i="3"/>
  <c r="F1994" i="3"/>
  <c r="E1994" i="3"/>
  <c r="I1993" i="3"/>
  <c r="H1993" i="3"/>
  <c r="G1993" i="3"/>
  <c r="F1993" i="3"/>
  <c r="E1993" i="3"/>
  <c r="I1992" i="3"/>
  <c r="H1992" i="3"/>
  <c r="G1992" i="3"/>
  <c r="F1992" i="3"/>
  <c r="E1992" i="3"/>
  <c r="I1991" i="3"/>
  <c r="H1991" i="3"/>
  <c r="G1991" i="3"/>
  <c r="F1991" i="3"/>
  <c r="E1991" i="3"/>
  <c r="I1990" i="3"/>
  <c r="H1990" i="3"/>
  <c r="G1990" i="3"/>
  <c r="F1990" i="3"/>
  <c r="E1990" i="3"/>
  <c r="I1989" i="3"/>
  <c r="H1989" i="3"/>
  <c r="G1989" i="3"/>
  <c r="F1989" i="3"/>
  <c r="E1989" i="3"/>
  <c r="I1988" i="3"/>
  <c r="H1988" i="3"/>
  <c r="G1988" i="3"/>
  <c r="F1988" i="3"/>
  <c r="E1988" i="3"/>
  <c r="I1987" i="3"/>
  <c r="H1987" i="3"/>
  <c r="G1987" i="3"/>
  <c r="F1987" i="3"/>
  <c r="E1987" i="3"/>
  <c r="I1986" i="3"/>
  <c r="H1986" i="3"/>
  <c r="G1986" i="3"/>
  <c r="F1986" i="3"/>
  <c r="E1986" i="3"/>
  <c r="I1985" i="3"/>
  <c r="H1985" i="3"/>
  <c r="G1985" i="3"/>
  <c r="F1985" i="3"/>
  <c r="E1985" i="3"/>
  <c r="I1984" i="3"/>
  <c r="H1984" i="3"/>
  <c r="G1984" i="3"/>
  <c r="F1984" i="3"/>
  <c r="E1984" i="3"/>
  <c r="I1983" i="3"/>
  <c r="H1983" i="3"/>
  <c r="G1983" i="3"/>
  <c r="F1983" i="3"/>
  <c r="E1983" i="3"/>
  <c r="I1982" i="3"/>
  <c r="H1982" i="3"/>
  <c r="G1982" i="3"/>
  <c r="F1982" i="3"/>
  <c r="E1982" i="3"/>
  <c r="I1981" i="3"/>
  <c r="H1981" i="3"/>
  <c r="G1981" i="3"/>
  <c r="F1981" i="3"/>
  <c r="E1981" i="3"/>
  <c r="I1980" i="3"/>
  <c r="H1980" i="3"/>
  <c r="G1980" i="3"/>
  <c r="F1980" i="3"/>
  <c r="E1980" i="3"/>
  <c r="I1979" i="3"/>
  <c r="H1979" i="3"/>
  <c r="G1979" i="3"/>
  <c r="F1979" i="3"/>
  <c r="E1979" i="3"/>
  <c r="I1978" i="3"/>
  <c r="H1978" i="3"/>
  <c r="G1978" i="3"/>
  <c r="F1978" i="3"/>
  <c r="E1978" i="3"/>
  <c r="I1977" i="3"/>
  <c r="H1977" i="3"/>
  <c r="G1977" i="3"/>
  <c r="F1977" i="3"/>
  <c r="E1977" i="3"/>
  <c r="I1976" i="3"/>
  <c r="H1976" i="3"/>
  <c r="G1976" i="3"/>
  <c r="F1976" i="3"/>
  <c r="E1976" i="3"/>
  <c r="I1975" i="3"/>
  <c r="H1975" i="3"/>
  <c r="G1975" i="3"/>
  <c r="F1975" i="3"/>
  <c r="E1975" i="3"/>
  <c r="I1974" i="3"/>
  <c r="H1974" i="3"/>
  <c r="G1974" i="3"/>
  <c r="F1974" i="3"/>
  <c r="E1974" i="3"/>
  <c r="I1973" i="3"/>
  <c r="H1973" i="3"/>
  <c r="G1973" i="3"/>
  <c r="F1973" i="3"/>
  <c r="E1973" i="3"/>
  <c r="I1972" i="3"/>
  <c r="H1972" i="3"/>
  <c r="G1972" i="3"/>
  <c r="F1972" i="3"/>
  <c r="E1972" i="3"/>
  <c r="I1971" i="3"/>
  <c r="H1971" i="3"/>
  <c r="G1971" i="3"/>
  <c r="F1971" i="3"/>
  <c r="E1971" i="3"/>
  <c r="I1970" i="3"/>
  <c r="H1970" i="3"/>
  <c r="G1970" i="3"/>
  <c r="F1970" i="3"/>
  <c r="E1970" i="3"/>
  <c r="I1969" i="3"/>
  <c r="H1969" i="3"/>
  <c r="G1969" i="3"/>
  <c r="F1969" i="3"/>
  <c r="E1969" i="3"/>
  <c r="I1968" i="3"/>
  <c r="H1968" i="3"/>
  <c r="G1968" i="3"/>
  <c r="F1968" i="3"/>
  <c r="E1968" i="3"/>
  <c r="I1967" i="3"/>
  <c r="H1967" i="3"/>
  <c r="G1967" i="3"/>
  <c r="F1967" i="3"/>
  <c r="E1967" i="3"/>
  <c r="I1966" i="3"/>
  <c r="H1966" i="3"/>
  <c r="G1966" i="3"/>
  <c r="F1966" i="3"/>
  <c r="E1966" i="3"/>
  <c r="I1965" i="3"/>
  <c r="H1965" i="3"/>
  <c r="G1965" i="3"/>
  <c r="F1965" i="3"/>
  <c r="E1965" i="3"/>
  <c r="I1964" i="3"/>
  <c r="H1964" i="3"/>
  <c r="G1964" i="3"/>
  <c r="F1964" i="3"/>
  <c r="E1964" i="3"/>
  <c r="I1963" i="3"/>
  <c r="H1963" i="3"/>
  <c r="G1963" i="3"/>
  <c r="F1963" i="3"/>
  <c r="E1963" i="3"/>
  <c r="I1962" i="3"/>
  <c r="H1962" i="3"/>
  <c r="G1962" i="3"/>
  <c r="F1962" i="3"/>
  <c r="E1962" i="3"/>
  <c r="I1961" i="3"/>
  <c r="H1961" i="3"/>
  <c r="G1961" i="3"/>
  <c r="F1961" i="3"/>
  <c r="E1961" i="3"/>
  <c r="I1960" i="3"/>
  <c r="H1960" i="3"/>
  <c r="G1960" i="3"/>
  <c r="F1960" i="3"/>
  <c r="E1960" i="3"/>
  <c r="I1959" i="3"/>
  <c r="H1959" i="3"/>
  <c r="G1959" i="3"/>
  <c r="F1959" i="3"/>
  <c r="E1959" i="3"/>
  <c r="I1958" i="3"/>
  <c r="H1958" i="3"/>
  <c r="G1958" i="3"/>
  <c r="F1958" i="3"/>
  <c r="E1958" i="3"/>
  <c r="I1957" i="3"/>
  <c r="H1957" i="3"/>
  <c r="G1957" i="3"/>
  <c r="F1957" i="3"/>
  <c r="E1957" i="3"/>
  <c r="I1956" i="3"/>
  <c r="H1956" i="3"/>
  <c r="G1956" i="3"/>
  <c r="F1956" i="3"/>
  <c r="E1956" i="3"/>
  <c r="I1955" i="3"/>
  <c r="H1955" i="3"/>
  <c r="G1955" i="3"/>
  <c r="F1955" i="3"/>
  <c r="E1955" i="3"/>
  <c r="I1954" i="3"/>
  <c r="H1954" i="3"/>
  <c r="G1954" i="3"/>
  <c r="F1954" i="3"/>
  <c r="E1954" i="3"/>
  <c r="I1953" i="3"/>
  <c r="H1953" i="3"/>
  <c r="G1953" i="3"/>
  <c r="F1953" i="3"/>
  <c r="E1953" i="3"/>
  <c r="I1952" i="3"/>
  <c r="H1952" i="3"/>
  <c r="G1952" i="3"/>
  <c r="F1952" i="3"/>
  <c r="E1952" i="3"/>
  <c r="I1951" i="3"/>
  <c r="H1951" i="3"/>
  <c r="G1951" i="3"/>
  <c r="F1951" i="3"/>
  <c r="E1951" i="3"/>
  <c r="I1950" i="3"/>
  <c r="H1950" i="3"/>
  <c r="G1950" i="3"/>
  <c r="F1950" i="3"/>
  <c r="E1950" i="3"/>
  <c r="I1949" i="3"/>
  <c r="H1949" i="3"/>
  <c r="G1949" i="3"/>
  <c r="F1949" i="3"/>
  <c r="E1949" i="3"/>
  <c r="I1948" i="3"/>
  <c r="H1948" i="3"/>
  <c r="G1948" i="3"/>
  <c r="F1948" i="3"/>
  <c r="E1948" i="3"/>
  <c r="I1947" i="3"/>
  <c r="H1947" i="3"/>
  <c r="G1947" i="3"/>
  <c r="F1947" i="3"/>
  <c r="E1947" i="3"/>
  <c r="I1946" i="3"/>
  <c r="H1946" i="3"/>
  <c r="G1946" i="3"/>
  <c r="F1946" i="3"/>
  <c r="E1946" i="3"/>
  <c r="I1945" i="3"/>
  <c r="H1945" i="3"/>
  <c r="G1945" i="3"/>
  <c r="F1945" i="3"/>
  <c r="E1945" i="3"/>
  <c r="I1944" i="3"/>
  <c r="H1944" i="3"/>
  <c r="G1944" i="3"/>
  <c r="F1944" i="3"/>
  <c r="E1944" i="3"/>
  <c r="I1943" i="3"/>
  <c r="H1943" i="3"/>
  <c r="G1943" i="3"/>
  <c r="F1943" i="3"/>
  <c r="E1943" i="3"/>
  <c r="I1942" i="3"/>
  <c r="H1942" i="3"/>
  <c r="G1942" i="3"/>
  <c r="F1942" i="3"/>
  <c r="E1942" i="3"/>
  <c r="I1941" i="3"/>
  <c r="H1941" i="3"/>
  <c r="G1941" i="3"/>
  <c r="F1941" i="3"/>
  <c r="E1941" i="3"/>
  <c r="I1940" i="3"/>
  <c r="H1940" i="3"/>
  <c r="G1940" i="3"/>
  <c r="F1940" i="3"/>
  <c r="E1940" i="3"/>
  <c r="I1939" i="3"/>
  <c r="H1939" i="3"/>
  <c r="G1939" i="3"/>
  <c r="F1939" i="3"/>
  <c r="E1939" i="3"/>
  <c r="I1938" i="3"/>
  <c r="H1938" i="3"/>
  <c r="G1938" i="3"/>
  <c r="F1938" i="3"/>
  <c r="E1938" i="3"/>
  <c r="I1937" i="3"/>
  <c r="H1937" i="3"/>
  <c r="G1937" i="3"/>
  <c r="F1937" i="3"/>
  <c r="E1937" i="3"/>
  <c r="I1936" i="3"/>
  <c r="H1936" i="3"/>
  <c r="G1936" i="3"/>
  <c r="F1936" i="3"/>
  <c r="E1936" i="3"/>
  <c r="I1935" i="3"/>
  <c r="H1935" i="3"/>
  <c r="G1935" i="3"/>
  <c r="F1935" i="3"/>
  <c r="E1935" i="3"/>
  <c r="I1934" i="3"/>
  <c r="H1934" i="3"/>
  <c r="G1934" i="3"/>
  <c r="F1934" i="3"/>
  <c r="E1934" i="3"/>
  <c r="I1933" i="3"/>
  <c r="H1933" i="3"/>
  <c r="G1933" i="3"/>
  <c r="F1933" i="3"/>
  <c r="E1933" i="3"/>
  <c r="I1932" i="3"/>
  <c r="H1932" i="3"/>
  <c r="G1932" i="3"/>
  <c r="F1932" i="3"/>
  <c r="E1932" i="3"/>
  <c r="I1931" i="3"/>
  <c r="H1931" i="3"/>
  <c r="G1931" i="3"/>
  <c r="F1931" i="3"/>
  <c r="E1931" i="3"/>
  <c r="I1930" i="3"/>
  <c r="H1930" i="3"/>
  <c r="G1930" i="3"/>
  <c r="F1930" i="3"/>
  <c r="E1930" i="3"/>
  <c r="I1929" i="3"/>
  <c r="H1929" i="3"/>
  <c r="G1929" i="3"/>
  <c r="F1929" i="3"/>
  <c r="E1929" i="3"/>
  <c r="I1928" i="3"/>
  <c r="H1928" i="3"/>
  <c r="G1928" i="3"/>
  <c r="F1928" i="3"/>
  <c r="E1928" i="3"/>
  <c r="I1927" i="3"/>
  <c r="H1927" i="3"/>
  <c r="G1927" i="3"/>
  <c r="F1927" i="3"/>
  <c r="E1927" i="3"/>
  <c r="I1926" i="3"/>
  <c r="H1926" i="3"/>
  <c r="G1926" i="3"/>
  <c r="F1926" i="3"/>
  <c r="E1926" i="3"/>
  <c r="I1925" i="3"/>
  <c r="H1925" i="3"/>
  <c r="G1925" i="3"/>
  <c r="F1925" i="3"/>
  <c r="E1925" i="3"/>
  <c r="I1924" i="3"/>
  <c r="H1924" i="3"/>
  <c r="G1924" i="3"/>
  <c r="F1924" i="3"/>
  <c r="E1924" i="3"/>
  <c r="I1923" i="3"/>
  <c r="H1923" i="3"/>
  <c r="G1923" i="3"/>
  <c r="F1923" i="3"/>
  <c r="E1923" i="3"/>
  <c r="I1922" i="3"/>
  <c r="H1922" i="3"/>
  <c r="G1922" i="3"/>
  <c r="F1922" i="3"/>
  <c r="E1922" i="3"/>
  <c r="I1921" i="3"/>
  <c r="H1921" i="3"/>
  <c r="G1921" i="3"/>
  <c r="F1921" i="3"/>
  <c r="E1921" i="3"/>
  <c r="I1920" i="3"/>
  <c r="H1920" i="3"/>
  <c r="G1920" i="3"/>
  <c r="F1920" i="3"/>
  <c r="E1920" i="3"/>
  <c r="I1919" i="3"/>
  <c r="H1919" i="3"/>
  <c r="G1919" i="3"/>
  <c r="F1919" i="3"/>
  <c r="E1919" i="3"/>
  <c r="I1918" i="3"/>
  <c r="H1918" i="3"/>
  <c r="G1918" i="3"/>
  <c r="F1918" i="3"/>
  <c r="E1918" i="3"/>
  <c r="I1917" i="3"/>
  <c r="H1917" i="3"/>
  <c r="G1917" i="3"/>
  <c r="F1917" i="3"/>
  <c r="E1917" i="3"/>
  <c r="I1916" i="3"/>
  <c r="H1916" i="3"/>
  <c r="G1916" i="3"/>
  <c r="F1916" i="3"/>
  <c r="E1916" i="3"/>
  <c r="I1915" i="3"/>
  <c r="H1915" i="3"/>
  <c r="G1915" i="3"/>
  <c r="F1915" i="3"/>
  <c r="E1915" i="3"/>
  <c r="I1914" i="3"/>
  <c r="H1914" i="3"/>
  <c r="G1914" i="3"/>
  <c r="F1914" i="3"/>
  <c r="E1914" i="3"/>
  <c r="I1913" i="3"/>
  <c r="H1913" i="3"/>
  <c r="G1913" i="3"/>
  <c r="F1913" i="3"/>
  <c r="E1913" i="3"/>
  <c r="I1912" i="3"/>
  <c r="H1912" i="3"/>
  <c r="G1912" i="3"/>
  <c r="F1912" i="3"/>
  <c r="E1912" i="3"/>
  <c r="I1911" i="3"/>
  <c r="H1911" i="3"/>
  <c r="G1911" i="3"/>
  <c r="F1911" i="3"/>
  <c r="E1911" i="3"/>
  <c r="I1910" i="3"/>
  <c r="H1910" i="3"/>
  <c r="G1910" i="3"/>
  <c r="F1910" i="3"/>
  <c r="E1910" i="3"/>
  <c r="I1909" i="3"/>
  <c r="H1909" i="3"/>
  <c r="G1909" i="3"/>
  <c r="F1909" i="3"/>
  <c r="E1909" i="3"/>
  <c r="I1908" i="3"/>
  <c r="H1908" i="3"/>
  <c r="G1908" i="3"/>
  <c r="F1908" i="3"/>
  <c r="E1908" i="3"/>
  <c r="I1907" i="3"/>
  <c r="H1907" i="3"/>
  <c r="G1907" i="3"/>
  <c r="F1907" i="3"/>
  <c r="E1907" i="3"/>
  <c r="I1906" i="3"/>
  <c r="H1906" i="3"/>
  <c r="G1906" i="3"/>
  <c r="F1906" i="3"/>
  <c r="E1906" i="3"/>
  <c r="I1905" i="3"/>
  <c r="H1905" i="3"/>
  <c r="G1905" i="3"/>
  <c r="F1905" i="3"/>
  <c r="E1905" i="3"/>
  <c r="I1904" i="3"/>
  <c r="H1904" i="3"/>
  <c r="G1904" i="3"/>
  <c r="F1904" i="3"/>
  <c r="E1904" i="3"/>
  <c r="I1903" i="3"/>
  <c r="H1903" i="3"/>
  <c r="G1903" i="3"/>
  <c r="F1903" i="3"/>
  <c r="E1903" i="3"/>
  <c r="I1902" i="3"/>
  <c r="H1902" i="3"/>
  <c r="G1902" i="3"/>
  <c r="F1902" i="3"/>
  <c r="E1902" i="3"/>
  <c r="I1901" i="3"/>
  <c r="H1901" i="3"/>
  <c r="G1901" i="3"/>
  <c r="F1901" i="3"/>
  <c r="E1901" i="3"/>
  <c r="I1900" i="3"/>
  <c r="H1900" i="3"/>
  <c r="G1900" i="3"/>
  <c r="F1900" i="3"/>
  <c r="E1900" i="3"/>
  <c r="I1899" i="3"/>
  <c r="H1899" i="3"/>
  <c r="G1899" i="3"/>
  <c r="F1899" i="3"/>
  <c r="E1899" i="3"/>
  <c r="I1898" i="3"/>
  <c r="H1898" i="3"/>
  <c r="G1898" i="3"/>
  <c r="F1898" i="3"/>
  <c r="E1898" i="3"/>
  <c r="I1897" i="3"/>
  <c r="H1897" i="3"/>
  <c r="G1897" i="3"/>
  <c r="F1897" i="3"/>
  <c r="E1897" i="3"/>
  <c r="I1896" i="3"/>
  <c r="H1896" i="3"/>
  <c r="G1896" i="3"/>
  <c r="F1896" i="3"/>
  <c r="E1896" i="3"/>
  <c r="I1895" i="3"/>
  <c r="H1895" i="3"/>
  <c r="G1895" i="3"/>
  <c r="F1895" i="3"/>
  <c r="E1895" i="3"/>
  <c r="I1894" i="3"/>
  <c r="H1894" i="3"/>
  <c r="G1894" i="3"/>
  <c r="F1894" i="3"/>
  <c r="E1894" i="3"/>
  <c r="I1893" i="3"/>
  <c r="H1893" i="3"/>
  <c r="G1893" i="3"/>
  <c r="F1893" i="3"/>
  <c r="E1893" i="3"/>
  <c r="I1892" i="3"/>
  <c r="H1892" i="3"/>
  <c r="G1892" i="3"/>
  <c r="F1892" i="3"/>
  <c r="E1892" i="3"/>
  <c r="I1891" i="3"/>
  <c r="H1891" i="3"/>
  <c r="G1891" i="3"/>
  <c r="F1891" i="3"/>
  <c r="E1891" i="3"/>
  <c r="I1890" i="3"/>
  <c r="H1890" i="3"/>
  <c r="G1890" i="3"/>
  <c r="F1890" i="3"/>
  <c r="E1890" i="3"/>
  <c r="I1889" i="3"/>
  <c r="H1889" i="3"/>
  <c r="G1889" i="3"/>
  <c r="F1889" i="3"/>
  <c r="E1889" i="3"/>
  <c r="I1888" i="3"/>
  <c r="H1888" i="3"/>
  <c r="G1888" i="3"/>
  <c r="F1888" i="3"/>
  <c r="E1888" i="3"/>
  <c r="I1887" i="3"/>
  <c r="H1887" i="3"/>
  <c r="G1887" i="3"/>
  <c r="F1887" i="3"/>
  <c r="E1887" i="3"/>
  <c r="I1886" i="3"/>
  <c r="H1886" i="3"/>
  <c r="G1886" i="3"/>
  <c r="F1886" i="3"/>
  <c r="E1886" i="3"/>
  <c r="I1885" i="3"/>
  <c r="H1885" i="3"/>
  <c r="G1885" i="3"/>
  <c r="F1885" i="3"/>
  <c r="E1885" i="3"/>
  <c r="I1884" i="3"/>
  <c r="H1884" i="3"/>
  <c r="G1884" i="3"/>
  <c r="F1884" i="3"/>
  <c r="E1884" i="3"/>
  <c r="I1883" i="3"/>
  <c r="H1883" i="3"/>
  <c r="G1883" i="3"/>
  <c r="F1883" i="3"/>
  <c r="E1883" i="3"/>
  <c r="I1882" i="3"/>
  <c r="H1882" i="3"/>
  <c r="G1882" i="3"/>
  <c r="F1882" i="3"/>
  <c r="E1882" i="3"/>
  <c r="I1881" i="3"/>
  <c r="H1881" i="3"/>
  <c r="G1881" i="3"/>
  <c r="F1881" i="3"/>
  <c r="E1881" i="3"/>
  <c r="I1880" i="3"/>
  <c r="H1880" i="3"/>
  <c r="G1880" i="3"/>
  <c r="F1880" i="3"/>
  <c r="E1880" i="3"/>
  <c r="I1879" i="3"/>
  <c r="H1879" i="3"/>
  <c r="G1879" i="3"/>
  <c r="F1879" i="3"/>
  <c r="E1879" i="3"/>
  <c r="I1878" i="3"/>
  <c r="H1878" i="3"/>
  <c r="G1878" i="3"/>
  <c r="F1878" i="3"/>
  <c r="E1878" i="3"/>
  <c r="I1877" i="3"/>
  <c r="H1877" i="3"/>
  <c r="G1877" i="3"/>
  <c r="F1877" i="3"/>
  <c r="E1877" i="3"/>
  <c r="I1876" i="3"/>
  <c r="H1876" i="3"/>
  <c r="G1876" i="3"/>
  <c r="F1876" i="3"/>
  <c r="E1876" i="3"/>
  <c r="I1875" i="3"/>
  <c r="H1875" i="3"/>
  <c r="G1875" i="3"/>
  <c r="F1875" i="3"/>
  <c r="E1875" i="3"/>
  <c r="I1874" i="3"/>
  <c r="H1874" i="3"/>
  <c r="G1874" i="3"/>
  <c r="F1874" i="3"/>
  <c r="E1874" i="3"/>
  <c r="I1873" i="3"/>
  <c r="H1873" i="3"/>
  <c r="G1873" i="3"/>
  <c r="F1873" i="3"/>
  <c r="E1873" i="3"/>
  <c r="I1872" i="3"/>
  <c r="H1872" i="3"/>
  <c r="G1872" i="3"/>
  <c r="F1872" i="3"/>
  <c r="E1872" i="3"/>
  <c r="I1871" i="3"/>
  <c r="H1871" i="3"/>
  <c r="G1871" i="3"/>
  <c r="F1871" i="3"/>
  <c r="E1871" i="3"/>
  <c r="I1870" i="3"/>
  <c r="H1870" i="3"/>
  <c r="G1870" i="3"/>
  <c r="F1870" i="3"/>
  <c r="E1870" i="3"/>
  <c r="I1869" i="3"/>
  <c r="H1869" i="3"/>
  <c r="G1869" i="3"/>
  <c r="F1869" i="3"/>
  <c r="E1869" i="3"/>
  <c r="I1868" i="3"/>
  <c r="H1868" i="3"/>
  <c r="G1868" i="3"/>
  <c r="F1868" i="3"/>
  <c r="E1868" i="3"/>
  <c r="I1867" i="3"/>
  <c r="H1867" i="3"/>
  <c r="G1867" i="3"/>
  <c r="F1867" i="3"/>
  <c r="E1867" i="3"/>
  <c r="I1866" i="3"/>
  <c r="H1866" i="3"/>
  <c r="G1866" i="3"/>
  <c r="F1866" i="3"/>
  <c r="E1866" i="3"/>
  <c r="I1865" i="3"/>
  <c r="H1865" i="3"/>
  <c r="G1865" i="3"/>
  <c r="F1865" i="3"/>
  <c r="E1865" i="3"/>
  <c r="I1864" i="3"/>
  <c r="H1864" i="3"/>
  <c r="G1864" i="3"/>
  <c r="F1864" i="3"/>
  <c r="E1864" i="3"/>
  <c r="I1863" i="3"/>
  <c r="H1863" i="3"/>
  <c r="G1863" i="3"/>
  <c r="F1863" i="3"/>
  <c r="E1863" i="3"/>
  <c r="I1862" i="3"/>
  <c r="H1862" i="3"/>
  <c r="G1862" i="3"/>
  <c r="F1862" i="3"/>
  <c r="E1862" i="3"/>
  <c r="I1861" i="3"/>
  <c r="H1861" i="3"/>
  <c r="G1861" i="3"/>
  <c r="F1861" i="3"/>
  <c r="E1861" i="3"/>
  <c r="I1860" i="3"/>
  <c r="H1860" i="3"/>
  <c r="G1860" i="3"/>
  <c r="F1860" i="3"/>
  <c r="E1860" i="3"/>
  <c r="I1859" i="3"/>
  <c r="H1859" i="3"/>
  <c r="G1859" i="3"/>
  <c r="F1859" i="3"/>
  <c r="E1859" i="3"/>
  <c r="I1858" i="3"/>
  <c r="H1858" i="3"/>
  <c r="G1858" i="3"/>
  <c r="F1858" i="3"/>
  <c r="E1858" i="3"/>
  <c r="I1857" i="3"/>
  <c r="H1857" i="3"/>
  <c r="G1857" i="3"/>
  <c r="F1857" i="3"/>
  <c r="E1857" i="3"/>
  <c r="I1856" i="3"/>
  <c r="H1856" i="3"/>
  <c r="G1856" i="3"/>
  <c r="F1856" i="3"/>
  <c r="E1856" i="3"/>
  <c r="I1855" i="3"/>
  <c r="H1855" i="3"/>
  <c r="G1855" i="3"/>
  <c r="F1855" i="3"/>
  <c r="E1855" i="3"/>
  <c r="I1854" i="3"/>
  <c r="H1854" i="3"/>
  <c r="G1854" i="3"/>
  <c r="F1854" i="3"/>
  <c r="E1854" i="3"/>
  <c r="I1853" i="3"/>
  <c r="H1853" i="3"/>
  <c r="G1853" i="3"/>
  <c r="F1853" i="3"/>
  <c r="E1853" i="3"/>
  <c r="I1852" i="3"/>
  <c r="H1852" i="3"/>
  <c r="G1852" i="3"/>
  <c r="F1852" i="3"/>
  <c r="E1852" i="3"/>
  <c r="I1851" i="3"/>
  <c r="H1851" i="3"/>
  <c r="G1851" i="3"/>
  <c r="F1851" i="3"/>
  <c r="E1851" i="3"/>
  <c r="I1850" i="3"/>
  <c r="H1850" i="3"/>
  <c r="G1850" i="3"/>
  <c r="F1850" i="3"/>
  <c r="E1850" i="3"/>
  <c r="I1849" i="3"/>
  <c r="H1849" i="3"/>
  <c r="G1849" i="3"/>
  <c r="F1849" i="3"/>
  <c r="E1849" i="3"/>
  <c r="I1848" i="3"/>
  <c r="H1848" i="3"/>
  <c r="G1848" i="3"/>
  <c r="F1848" i="3"/>
  <c r="E1848" i="3"/>
  <c r="I1847" i="3"/>
  <c r="H1847" i="3"/>
  <c r="G1847" i="3"/>
  <c r="F1847" i="3"/>
  <c r="E1847" i="3"/>
  <c r="I1846" i="3"/>
  <c r="H1846" i="3"/>
  <c r="G1846" i="3"/>
  <c r="F1846" i="3"/>
  <c r="E1846" i="3"/>
  <c r="I1845" i="3"/>
  <c r="H1845" i="3"/>
  <c r="G1845" i="3"/>
  <c r="F1845" i="3"/>
  <c r="E1845" i="3"/>
  <c r="I1844" i="3"/>
  <c r="H1844" i="3"/>
  <c r="G1844" i="3"/>
  <c r="F1844" i="3"/>
  <c r="E1844" i="3"/>
  <c r="I1843" i="3"/>
  <c r="H1843" i="3"/>
  <c r="G1843" i="3"/>
  <c r="F1843" i="3"/>
  <c r="E1843" i="3"/>
  <c r="I1842" i="3"/>
  <c r="H1842" i="3"/>
  <c r="G1842" i="3"/>
  <c r="F1842" i="3"/>
  <c r="E1842" i="3"/>
  <c r="I1841" i="3"/>
  <c r="H1841" i="3"/>
  <c r="G1841" i="3"/>
  <c r="F1841" i="3"/>
  <c r="E1841" i="3"/>
  <c r="I1840" i="3"/>
  <c r="H1840" i="3"/>
  <c r="G1840" i="3"/>
  <c r="F1840" i="3"/>
  <c r="E1840" i="3"/>
  <c r="I1839" i="3"/>
  <c r="H1839" i="3"/>
  <c r="G1839" i="3"/>
  <c r="F1839" i="3"/>
  <c r="E1839" i="3"/>
  <c r="I1838" i="3"/>
  <c r="H1838" i="3"/>
  <c r="G1838" i="3"/>
  <c r="F1838" i="3"/>
  <c r="E1838" i="3"/>
  <c r="I1837" i="3"/>
  <c r="H1837" i="3"/>
  <c r="G1837" i="3"/>
  <c r="F1837" i="3"/>
  <c r="E1837" i="3"/>
  <c r="I1836" i="3"/>
  <c r="H1836" i="3"/>
  <c r="G1836" i="3"/>
  <c r="F1836" i="3"/>
  <c r="E1836" i="3"/>
  <c r="I1835" i="3"/>
  <c r="H1835" i="3"/>
  <c r="G1835" i="3"/>
  <c r="F1835" i="3"/>
  <c r="E1835" i="3"/>
  <c r="I1834" i="3"/>
  <c r="H1834" i="3"/>
  <c r="G1834" i="3"/>
  <c r="F1834" i="3"/>
  <c r="E1834" i="3"/>
  <c r="I1833" i="3"/>
  <c r="H1833" i="3"/>
  <c r="G1833" i="3"/>
  <c r="F1833" i="3"/>
  <c r="E1833" i="3"/>
  <c r="I1832" i="3"/>
  <c r="H1832" i="3"/>
  <c r="G1832" i="3"/>
  <c r="F1832" i="3"/>
  <c r="E1832" i="3"/>
  <c r="I1831" i="3"/>
  <c r="H1831" i="3"/>
  <c r="G1831" i="3"/>
  <c r="F1831" i="3"/>
  <c r="E1831" i="3"/>
  <c r="I1830" i="3"/>
  <c r="H1830" i="3"/>
  <c r="G1830" i="3"/>
  <c r="F1830" i="3"/>
  <c r="E1830" i="3"/>
  <c r="I1829" i="3"/>
  <c r="H1829" i="3"/>
  <c r="G1829" i="3"/>
  <c r="F1829" i="3"/>
  <c r="E1829" i="3"/>
  <c r="I1828" i="3"/>
  <c r="H1828" i="3"/>
  <c r="G1828" i="3"/>
  <c r="F1828" i="3"/>
  <c r="E1828" i="3"/>
  <c r="I1827" i="3"/>
  <c r="H1827" i="3"/>
  <c r="G1827" i="3"/>
  <c r="F1827" i="3"/>
  <c r="E1827" i="3"/>
  <c r="I1826" i="3"/>
  <c r="H1826" i="3"/>
  <c r="G1826" i="3"/>
  <c r="F1826" i="3"/>
  <c r="E1826" i="3"/>
  <c r="I1825" i="3"/>
  <c r="H1825" i="3"/>
  <c r="G1825" i="3"/>
  <c r="F1825" i="3"/>
  <c r="E1825" i="3"/>
  <c r="I1824" i="3"/>
  <c r="H1824" i="3"/>
  <c r="G1824" i="3"/>
  <c r="F1824" i="3"/>
  <c r="E1824" i="3"/>
  <c r="I1823" i="3"/>
  <c r="H1823" i="3"/>
  <c r="G1823" i="3"/>
  <c r="F1823" i="3"/>
  <c r="E1823" i="3"/>
  <c r="I1822" i="3"/>
  <c r="H1822" i="3"/>
  <c r="G1822" i="3"/>
  <c r="F1822" i="3"/>
  <c r="E1822" i="3"/>
  <c r="I1821" i="3"/>
  <c r="H1821" i="3"/>
  <c r="G1821" i="3"/>
  <c r="F1821" i="3"/>
  <c r="E1821" i="3"/>
  <c r="I1820" i="3"/>
  <c r="H1820" i="3"/>
  <c r="G1820" i="3"/>
  <c r="F1820" i="3"/>
  <c r="E1820" i="3"/>
  <c r="I1819" i="3"/>
  <c r="H1819" i="3"/>
  <c r="G1819" i="3"/>
  <c r="F1819" i="3"/>
  <c r="E1819" i="3"/>
  <c r="I1818" i="3"/>
  <c r="H1818" i="3"/>
  <c r="G1818" i="3"/>
  <c r="F1818" i="3"/>
  <c r="E1818" i="3"/>
  <c r="I1817" i="3"/>
  <c r="H1817" i="3"/>
  <c r="G1817" i="3"/>
  <c r="F1817" i="3"/>
  <c r="E1817" i="3"/>
  <c r="I1816" i="3"/>
  <c r="H1816" i="3"/>
  <c r="G1816" i="3"/>
  <c r="F1816" i="3"/>
  <c r="E1816" i="3"/>
  <c r="I1815" i="3"/>
  <c r="H1815" i="3"/>
  <c r="G1815" i="3"/>
  <c r="F1815" i="3"/>
  <c r="E1815" i="3"/>
  <c r="I1814" i="3"/>
  <c r="H1814" i="3"/>
  <c r="G1814" i="3"/>
  <c r="F1814" i="3"/>
  <c r="E1814" i="3"/>
  <c r="I1813" i="3"/>
  <c r="H1813" i="3"/>
  <c r="G1813" i="3"/>
  <c r="F1813" i="3"/>
  <c r="E1813" i="3"/>
  <c r="I1812" i="3"/>
  <c r="H1812" i="3"/>
  <c r="G1812" i="3"/>
  <c r="F1812" i="3"/>
  <c r="E1812" i="3"/>
  <c r="I1811" i="3"/>
  <c r="H1811" i="3"/>
  <c r="G1811" i="3"/>
  <c r="F1811" i="3"/>
  <c r="E1811" i="3"/>
  <c r="I1810" i="3"/>
  <c r="H1810" i="3"/>
  <c r="G1810" i="3"/>
  <c r="F1810" i="3"/>
  <c r="E1810" i="3"/>
  <c r="I1809" i="3"/>
  <c r="H1809" i="3"/>
  <c r="G1809" i="3"/>
  <c r="F1809" i="3"/>
  <c r="E1809" i="3"/>
  <c r="I1808" i="3"/>
  <c r="H1808" i="3"/>
  <c r="G1808" i="3"/>
  <c r="F1808" i="3"/>
  <c r="E1808" i="3"/>
  <c r="I1807" i="3"/>
  <c r="H1807" i="3"/>
  <c r="G1807" i="3"/>
  <c r="F1807" i="3"/>
  <c r="E1807" i="3"/>
  <c r="I1806" i="3"/>
  <c r="H1806" i="3"/>
  <c r="G1806" i="3"/>
  <c r="F1806" i="3"/>
  <c r="E1806" i="3"/>
  <c r="I1805" i="3"/>
  <c r="H1805" i="3"/>
  <c r="G1805" i="3"/>
  <c r="F1805" i="3"/>
  <c r="E1805" i="3"/>
  <c r="I1804" i="3"/>
  <c r="H1804" i="3"/>
  <c r="G1804" i="3"/>
  <c r="F1804" i="3"/>
  <c r="E1804" i="3"/>
  <c r="I1803" i="3"/>
  <c r="H1803" i="3"/>
  <c r="G1803" i="3"/>
  <c r="F1803" i="3"/>
  <c r="E1803" i="3"/>
  <c r="I1802" i="3"/>
  <c r="H1802" i="3"/>
  <c r="G1802" i="3"/>
  <c r="F1802" i="3"/>
  <c r="E1802" i="3"/>
  <c r="I1801" i="3"/>
  <c r="H1801" i="3"/>
  <c r="G1801" i="3"/>
  <c r="F1801" i="3"/>
  <c r="E1801" i="3"/>
  <c r="I1800" i="3"/>
  <c r="H1800" i="3"/>
  <c r="G1800" i="3"/>
  <c r="F1800" i="3"/>
  <c r="E1800" i="3"/>
  <c r="I1799" i="3"/>
  <c r="H1799" i="3"/>
  <c r="G1799" i="3"/>
  <c r="F1799" i="3"/>
  <c r="E1799" i="3"/>
  <c r="I1798" i="3"/>
  <c r="H1798" i="3"/>
  <c r="G1798" i="3"/>
  <c r="F1798" i="3"/>
  <c r="E1798" i="3"/>
  <c r="I1797" i="3"/>
  <c r="H1797" i="3"/>
  <c r="G1797" i="3"/>
  <c r="F1797" i="3"/>
  <c r="E1797" i="3"/>
  <c r="I1796" i="3"/>
  <c r="H1796" i="3"/>
  <c r="G1796" i="3"/>
  <c r="F1796" i="3"/>
  <c r="E1796" i="3"/>
  <c r="I1795" i="3"/>
  <c r="H1795" i="3"/>
  <c r="G1795" i="3"/>
  <c r="F1795" i="3"/>
  <c r="E1795" i="3"/>
  <c r="I1794" i="3"/>
  <c r="H1794" i="3"/>
  <c r="G1794" i="3"/>
  <c r="F1794" i="3"/>
  <c r="E1794" i="3"/>
  <c r="I1793" i="3"/>
  <c r="H1793" i="3"/>
  <c r="G1793" i="3"/>
  <c r="F1793" i="3"/>
  <c r="E1793" i="3"/>
  <c r="I1792" i="3"/>
  <c r="H1792" i="3"/>
  <c r="G1792" i="3"/>
  <c r="F1792" i="3"/>
  <c r="E1792" i="3"/>
  <c r="I1791" i="3"/>
  <c r="H1791" i="3"/>
  <c r="G1791" i="3"/>
  <c r="F1791" i="3"/>
  <c r="E1791" i="3"/>
  <c r="I1790" i="3"/>
  <c r="H1790" i="3"/>
  <c r="G1790" i="3"/>
  <c r="F1790" i="3"/>
  <c r="E1790" i="3"/>
  <c r="I1789" i="3"/>
  <c r="H1789" i="3"/>
  <c r="G1789" i="3"/>
  <c r="F1789" i="3"/>
  <c r="E1789" i="3"/>
  <c r="I1788" i="3"/>
  <c r="H1788" i="3"/>
  <c r="G1788" i="3"/>
  <c r="F1788" i="3"/>
  <c r="E1788" i="3"/>
  <c r="I1787" i="3"/>
  <c r="H1787" i="3"/>
  <c r="G1787" i="3"/>
  <c r="F1787" i="3"/>
  <c r="E1787" i="3"/>
  <c r="I1786" i="3"/>
  <c r="H1786" i="3"/>
  <c r="G1786" i="3"/>
  <c r="F1786" i="3"/>
  <c r="E1786" i="3"/>
  <c r="I1785" i="3"/>
  <c r="H1785" i="3"/>
  <c r="G1785" i="3"/>
  <c r="F1785" i="3"/>
  <c r="E1785" i="3"/>
  <c r="I1784" i="3"/>
  <c r="H1784" i="3"/>
  <c r="G1784" i="3"/>
  <c r="F1784" i="3"/>
  <c r="E1784" i="3"/>
  <c r="I1783" i="3"/>
  <c r="H1783" i="3"/>
  <c r="G1783" i="3"/>
  <c r="F1783" i="3"/>
  <c r="E1783" i="3"/>
  <c r="I1782" i="3"/>
  <c r="H1782" i="3"/>
  <c r="G1782" i="3"/>
  <c r="F1782" i="3"/>
  <c r="E1782" i="3"/>
  <c r="I1781" i="3"/>
  <c r="H1781" i="3"/>
  <c r="G1781" i="3"/>
  <c r="F1781" i="3"/>
  <c r="E1781" i="3"/>
  <c r="I1780" i="3"/>
  <c r="H1780" i="3"/>
  <c r="G1780" i="3"/>
  <c r="F1780" i="3"/>
  <c r="E1780" i="3"/>
  <c r="I1779" i="3"/>
  <c r="H1779" i="3"/>
  <c r="G1779" i="3"/>
  <c r="F1779" i="3"/>
  <c r="E1779" i="3"/>
  <c r="I1778" i="3"/>
  <c r="H1778" i="3"/>
  <c r="G1778" i="3"/>
  <c r="F1778" i="3"/>
  <c r="E1778" i="3"/>
  <c r="I1777" i="3"/>
  <c r="H1777" i="3"/>
  <c r="G1777" i="3"/>
  <c r="F1777" i="3"/>
  <c r="E1777" i="3"/>
  <c r="I1776" i="3"/>
  <c r="H1776" i="3"/>
  <c r="G1776" i="3"/>
  <c r="F1776" i="3"/>
  <c r="E1776" i="3"/>
  <c r="I1775" i="3"/>
  <c r="H1775" i="3"/>
  <c r="G1775" i="3"/>
  <c r="F1775" i="3"/>
  <c r="E1775" i="3"/>
  <c r="I1774" i="3"/>
  <c r="H1774" i="3"/>
  <c r="G1774" i="3"/>
  <c r="F1774" i="3"/>
  <c r="E1774" i="3"/>
  <c r="I1773" i="3"/>
  <c r="H1773" i="3"/>
  <c r="G1773" i="3"/>
  <c r="F1773" i="3"/>
  <c r="E1773" i="3"/>
  <c r="I1772" i="3"/>
  <c r="H1772" i="3"/>
  <c r="G1772" i="3"/>
  <c r="F1772" i="3"/>
  <c r="E1772" i="3"/>
  <c r="I1771" i="3"/>
  <c r="H1771" i="3"/>
  <c r="G1771" i="3"/>
  <c r="F1771" i="3"/>
  <c r="E1771" i="3"/>
  <c r="I1770" i="3"/>
  <c r="H1770" i="3"/>
  <c r="G1770" i="3"/>
  <c r="F1770" i="3"/>
  <c r="E1770" i="3"/>
  <c r="I1769" i="3"/>
  <c r="H1769" i="3"/>
  <c r="G1769" i="3"/>
  <c r="F1769" i="3"/>
  <c r="E1769" i="3"/>
  <c r="I1768" i="3"/>
  <c r="H1768" i="3"/>
  <c r="G1768" i="3"/>
  <c r="F1768" i="3"/>
  <c r="E1768" i="3"/>
  <c r="I1767" i="3"/>
  <c r="H1767" i="3"/>
  <c r="G1767" i="3"/>
  <c r="F1767" i="3"/>
  <c r="E1767" i="3"/>
  <c r="I1766" i="3"/>
  <c r="H1766" i="3"/>
  <c r="G1766" i="3"/>
  <c r="F1766" i="3"/>
  <c r="E1766" i="3"/>
  <c r="I1765" i="3"/>
  <c r="H1765" i="3"/>
  <c r="G1765" i="3"/>
  <c r="F1765" i="3"/>
  <c r="E1765" i="3"/>
  <c r="I1764" i="3"/>
  <c r="H1764" i="3"/>
  <c r="G1764" i="3"/>
  <c r="F1764" i="3"/>
  <c r="E1764" i="3"/>
  <c r="I1763" i="3"/>
  <c r="H1763" i="3"/>
  <c r="G1763" i="3"/>
  <c r="F1763" i="3"/>
  <c r="E1763" i="3"/>
  <c r="I1762" i="3"/>
  <c r="H1762" i="3"/>
  <c r="G1762" i="3"/>
  <c r="F1762" i="3"/>
  <c r="E1762" i="3"/>
  <c r="I1761" i="3"/>
  <c r="H1761" i="3"/>
  <c r="G1761" i="3"/>
  <c r="F1761" i="3"/>
  <c r="E1761" i="3"/>
  <c r="I1760" i="3"/>
  <c r="H1760" i="3"/>
  <c r="G1760" i="3"/>
  <c r="F1760" i="3"/>
  <c r="E1760" i="3"/>
  <c r="I1759" i="3"/>
  <c r="H1759" i="3"/>
  <c r="G1759" i="3"/>
  <c r="F1759" i="3"/>
  <c r="E1759" i="3"/>
  <c r="I1758" i="3"/>
  <c r="H1758" i="3"/>
  <c r="G1758" i="3"/>
  <c r="F1758" i="3"/>
  <c r="E1758" i="3"/>
  <c r="I1757" i="3"/>
  <c r="H1757" i="3"/>
  <c r="G1757" i="3"/>
  <c r="F1757" i="3"/>
  <c r="E1757" i="3"/>
  <c r="I1756" i="3"/>
  <c r="H1756" i="3"/>
  <c r="G1756" i="3"/>
  <c r="F1756" i="3"/>
  <c r="E1756" i="3"/>
  <c r="I1755" i="3"/>
  <c r="H1755" i="3"/>
  <c r="G1755" i="3"/>
  <c r="F1755" i="3"/>
  <c r="E1755" i="3"/>
  <c r="I1754" i="3"/>
  <c r="H1754" i="3"/>
  <c r="G1754" i="3"/>
  <c r="F1754" i="3"/>
  <c r="E1754" i="3"/>
  <c r="I1753" i="3"/>
  <c r="H1753" i="3"/>
  <c r="G1753" i="3"/>
  <c r="F1753" i="3"/>
  <c r="E1753" i="3"/>
  <c r="I1752" i="3"/>
  <c r="H1752" i="3"/>
  <c r="G1752" i="3"/>
  <c r="F1752" i="3"/>
  <c r="E1752" i="3"/>
  <c r="I1751" i="3"/>
  <c r="H1751" i="3"/>
  <c r="G1751" i="3"/>
  <c r="F1751" i="3"/>
  <c r="E1751" i="3"/>
  <c r="I1750" i="3"/>
  <c r="H1750" i="3"/>
  <c r="G1750" i="3"/>
  <c r="F1750" i="3"/>
  <c r="E1750" i="3"/>
  <c r="I1749" i="3"/>
  <c r="H1749" i="3"/>
  <c r="G1749" i="3"/>
  <c r="F1749" i="3"/>
  <c r="E1749" i="3"/>
  <c r="I1748" i="3"/>
  <c r="H1748" i="3"/>
  <c r="G1748" i="3"/>
  <c r="F1748" i="3"/>
  <c r="E1748" i="3"/>
  <c r="I1747" i="3"/>
  <c r="H1747" i="3"/>
  <c r="G1747" i="3"/>
  <c r="F1747" i="3"/>
  <c r="E1747" i="3"/>
  <c r="I1746" i="3"/>
  <c r="H1746" i="3"/>
  <c r="G1746" i="3"/>
  <c r="F1746" i="3"/>
  <c r="E1746" i="3"/>
  <c r="AH1751" i="3"/>
  <c r="AE1752" i="3"/>
  <c r="AD1767" i="3"/>
  <c r="AC1944" i="3"/>
  <c r="Y1815" i="3"/>
  <c r="U1932" i="3"/>
  <c r="T1984" i="3"/>
  <c r="Q1856" i="3"/>
  <c r="L1761" i="3" l="1"/>
  <c r="N2150" i="3"/>
  <c r="N1030" i="3" s="1"/>
  <c r="N1038" i="3"/>
  <c r="J1046" i="3"/>
  <c r="J1054" i="3"/>
  <c r="M2202" i="3"/>
  <c r="M2218" i="3"/>
  <c r="M1098" i="3" s="1"/>
  <c r="N2230" i="3"/>
  <c r="J2250" i="3"/>
  <c r="J2064" i="3"/>
  <c r="J944" i="3" s="1"/>
  <c r="N2112" i="3"/>
  <c r="N992" i="3" s="1"/>
  <c r="N2128" i="3"/>
  <c r="N1008" i="3" s="1"/>
  <c r="M2121" i="3"/>
  <c r="M1001" i="3" s="1"/>
  <c r="L1147" i="3"/>
  <c r="J1146" i="3"/>
  <c r="L2155" i="3"/>
  <c r="L1035" i="3" s="1"/>
  <c r="J1167" i="3"/>
  <c r="L2230" i="3"/>
  <c r="L1110" i="3" s="1"/>
  <c r="N2228" i="3"/>
  <c r="N1108" i="3" s="1"/>
  <c r="N2124" i="3"/>
  <c r="L2111" i="3"/>
  <c r="L991" i="3" s="1"/>
  <c r="M2187" i="3"/>
  <c r="M1067" i="3" s="1"/>
  <c r="M2219" i="3"/>
  <c r="M1099" i="3" s="1"/>
  <c r="K2251" i="3"/>
  <c r="N2088" i="3"/>
  <c r="M2089" i="3"/>
  <c r="J2190" i="3"/>
  <c r="J1070" i="3" s="1"/>
  <c r="L2208" i="3"/>
  <c r="M1779" i="3"/>
  <c r="J1863" i="3"/>
  <c r="J2063" i="3"/>
  <c r="J943" i="3" s="1"/>
  <c r="K1159" i="3"/>
  <c r="L2044" i="3"/>
  <c r="L924" i="3" s="1"/>
  <c r="N2156" i="3"/>
  <c r="N1036" i="3" s="1"/>
  <c r="L2210" i="3"/>
  <c r="L1090" i="3" s="1"/>
  <c r="J2176" i="3"/>
  <c r="J1056" i="3" s="1"/>
  <c r="L2200" i="3"/>
  <c r="L1080" i="3" s="1"/>
  <c r="M1148" i="3"/>
  <c r="L2149" i="3"/>
  <c r="L1029" i="3" s="1"/>
  <c r="N1077" i="3"/>
  <c r="J1755" i="3"/>
  <c r="M1875" i="3"/>
  <c r="M1919" i="3"/>
  <c r="J1987" i="3"/>
  <c r="L2007" i="3"/>
  <c r="L2011" i="3"/>
  <c r="M2051" i="3"/>
  <c r="M931" i="3" s="1"/>
  <c r="K2072" i="3"/>
  <c r="K952" i="3" s="1"/>
  <c r="K2104" i="3"/>
  <c r="K984" i="3" s="1"/>
  <c r="N2116" i="3"/>
  <c r="N996" i="3" s="1"/>
  <c r="M2124" i="3"/>
  <c r="M1004" i="3" s="1"/>
  <c r="J2180" i="3"/>
  <c r="J1060" i="3" s="1"/>
  <c r="N2220" i="3"/>
  <c r="N1100" i="3" s="1"/>
  <c r="L2248" i="3"/>
  <c r="L1128" i="3" s="1"/>
  <c r="N1764" i="3"/>
  <c r="K1808" i="3"/>
  <c r="M1820" i="3"/>
  <c r="K1876" i="3"/>
  <c r="L1928" i="3"/>
  <c r="K1936" i="3"/>
  <c r="J1992" i="3"/>
  <c r="N1996" i="3"/>
  <c r="K2000" i="3"/>
  <c r="K2111" i="3"/>
  <c r="K991" i="3" s="1"/>
  <c r="N1095" i="3"/>
  <c r="M2247" i="3"/>
  <c r="M1127" i="3" s="1"/>
  <c r="K2044" i="3"/>
  <c r="K924" i="3" s="1"/>
  <c r="L2156" i="3"/>
  <c r="L1036" i="3" s="1"/>
  <c r="J2156" i="3"/>
  <c r="J1036" i="3" s="1"/>
  <c r="N2101" i="3"/>
  <c r="N981" i="3" s="1"/>
  <c r="J2165" i="3"/>
  <c r="J1045" i="3" s="1"/>
  <c r="N2177" i="3"/>
  <c r="N1057" i="3" s="1"/>
  <c r="M2189" i="3"/>
  <c r="M1069" i="3" s="1"/>
  <c r="N2126" i="3"/>
  <c r="N1006" i="3" s="1"/>
  <c r="N2134" i="3"/>
  <c r="N1014" i="3" s="1"/>
  <c r="J2146" i="3"/>
  <c r="J1026" i="3" s="1"/>
  <c r="L2186" i="3"/>
  <c r="L1066" i="3" s="1"/>
  <c r="M2080" i="3"/>
  <c r="M960" i="3" s="1"/>
  <c r="L1176" i="3"/>
  <c r="M1011" i="3"/>
  <c r="J2027" i="3"/>
  <c r="J907" i="3" s="1"/>
  <c r="N2071" i="3"/>
  <c r="N951" i="3" s="1"/>
  <c r="L2079" i="3"/>
  <c r="L959" i="3" s="1"/>
  <c r="K2087" i="3"/>
  <c r="K967" i="3" s="1"/>
  <c r="J2099" i="3"/>
  <c r="J979" i="3" s="1"/>
  <c r="K2115" i="3"/>
  <c r="K995" i="3" s="1"/>
  <c r="J2115" i="3"/>
  <c r="J995" i="3" s="1"/>
  <c r="M2143" i="3"/>
  <c r="M1023" i="3" s="1"/>
  <c r="J2247" i="3"/>
  <c r="J1127" i="3" s="1"/>
  <c r="L2251" i="3"/>
  <c r="L1131" i="3" s="1"/>
  <c r="N2251" i="3"/>
  <c r="N1131" i="3" s="1"/>
  <c r="M1860" i="3"/>
  <c r="J1988" i="3"/>
  <c r="J2004" i="3"/>
  <c r="L2008" i="3"/>
  <c r="N2012" i="3"/>
  <c r="L2016" i="3"/>
  <c r="M2027" i="3"/>
  <c r="M907" i="3" s="1"/>
  <c r="K2051" i="3"/>
  <c r="K931" i="3" s="1"/>
  <c r="K2103" i="3"/>
  <c r="K983" i="3" s="1"/>
  <c r="K2127" i="3"/>
  <c r="K1007" i="3" s="1"/>
  <c r="J2131" i="3"/>
  <c r="J1011" i="3" s="1"/>
  <c r="N2155" i="3"/>
  <c r="N1035" i="3" s="1"/>
  <c r="K2159" i="3"/>
  <c r="K1039" i="3" s="1"/>
  <c r="J2159" i="3"/>
  <c r="J1039" i="3" s="1"/>
  <c r="K2179" i="3"/>
  <c r="K1059" i="3" s="1"/>
  <c r="K2199" i="3"/>
  <c r="K1079" i="3" s="1"/>
  <c r="M2227" i="3"/>
  <c r="M1107" i="3" s="1"/>
  <c r="K2239" i="3"/>
  <c r="K1119" i="3" s="1"/>
  <c r="K2247" i="3"/>
  <c r="K1127" i="3" s="1"/>
  <c r="K1151" i="3"/>
  <c r="L2060" i="3"/>
  <c r="L940" i="3" s="1"/>
  <c r="N2072" i="3"/>
  <c r="N952" i="3" s="1"/>
  <c r="L2116" i="3"/>
  <c r="L996" i="3" s="1"/>
  <c r="L2196" i="3"/>
  <c r="L1076" i="3" s="1"/>
  <c r="L2220" i="3"/>
  <c r="L1100" i="3" s="1"/>
  <c r="J2133" i="3"/>
  <c r="J1013" i="3" s="1"/>
  <c r="L2133" i="3"/>
  <c r="L1013" i="3" s="1"/>
  <c r="N2133" i="3"/>
  <c r="N1013" i="3" s="1"/>
  <c r="J2062" i="3"/>
  <c r="J942" i="3" s="1"/>
  <c r="N2114" i="3"/>
  <c r="N994" i="3" s="1"/>
  <c r="N2122" i="3"/>
  <c r="N1002" i="3" s="1"/>
  <c r="M2126" i="3"/>
  <c r="M1006" i="3" s="1"/>
  <c r="J2134" i="3"/>
  <c r="J1014" i="3" s="1"/>
  <c r="M2142" i="3"/>
  <c r="M1022" i="3" s="1"/>
  <c r="N1026" i="3"/>
  <c r="L2150" i="3"/>
  <c r="L1030" i="3" s="1"/>
  <c r="J2150" i="3"/>
  <c r="J1030" i="3" s="1"/>
  <c r="L2174" i="3"/>
  <c r="L1054" i="3" s="1"/>
  <c r="L1078" i="3"/>
  <c r="L2222" i="3"/>
  <c r="L1102" i="3" s="1"/>
  <c r="N2238" i="3"/>
  <c r="N1118" i="3" s="1"/>
  <c r="J1162" i="3"/>
  <c r="N2140" i="3"/>
  <c r="N1020" i="3" s="1"/>
  <c r="L2228" i="3"/>
  <c r="L1108" i="3" s="1"/>
  <c r="J2240" i="3"/>
  <c r="J1120" i="3" s="1"/>
  <c r="M2240" i="3"/>
  <c r="M1120" i="3" s="1"/>
  <c r="M2252" i="3"/>
  <c r="M1132" i="3" s="1"/>
  <c r="K1148" i="3"/>
  <c r="M1168" i="3"/>
  <c r="M2149" i="3"/>
  <c r="M1029" i="3" s="1"/>
  <c r="M2237" i="3"/>
  <c r="M1117" i="3" s="1"/>
  <c r="N2027" i="3"/>
  <c r="N907" i="3" s="1"/>
  <c r="K2043" i="3"/>
  <c r="K923" i="3" s="1"/>
  <c r="M2063" i="3"/>
  <c r="M943" i="3" s="1"/>
  <c r="K2099" i="3"/>
  <c r="K979" i="3" s="1"/>
  <c r="K2195" i="3"/>
  <c r="K1075" i="3" s="1"/>
  <c r="K2207" i="3"/>
  <c r="K1087" i="3" s="1"/>
  <c r="N2235" i="3"/>
  <c r="N1115" i="3" s="1"/>
  <c r="L1167" i="3"/>
  <c r="L2132" i="3"/>
  <c r="L1012" i="3" s="1"/>
  <c r="N2210" i="3"/>
  <c r="N1090" i="3" s="1"/>
  <c r="N2052" i="3"/>
  <c r="N932" i="3" s="1"/>
  <c r="J2100" i="3"/>
  <c r="J980" i="3" s="1"/>
  <c r="K2100" i="3"/>
  <c r="K980" i="3" s="1"/>
  <c r="K2140" i="3"/>
  <c r="K1020" i="3" s="1"/>
  <c r="N1056" i="3"/>
  <c r="J2200" i="3"/>
  <c r="J1080" i="3" s="1"/>
  <c r="L2240" i="3"/>
  <c r="L1120" i="3" s="1"/>
  <c r="L2121" i="3"/>
  <c r="L1001" i="3" s="1"/>
  <c r="M2221" i="3"/>
  <c r="M1101" i="3" s="1"/>
  <c r="N2237" i="3"/>
  <c r="N1117" i="3" s="1"/>
  <c r="J1173" i="3"/>
  <c r="J1986" i="3"/>
  <c r="J1990" i="3"/>
  <c r="K2035" i="3"/>
  <c r="K915" i="3" s="1"/>
  <c r="M2071" i="3"/>
  <c r="M951" i="3" s="1"/>
  <c r="L2143" i="3"/>
  <c r="L1023" i="3" s="1"/>
  <c r="M2175" i="3"/>
  <c r="M1055" i="3" s="1"/>
  <c r="J2175" i="3"/>
  <c r="J1055" i="3" s="1"/>
  <c r="J1147" i="3"/>
  <c r="L1151" i="3"/>
  <c r="N2202" i="3"/>
  <c r="N1082" i="3" s="1"/>
  <c r="J2160" i="3"/>
  <c r="J1040" i="3" s="1"/>
  <c r="N2252" i="3"/>
  <c r="N1132" i="3" s="1"/>
  <c r="N2185" i="3"/>
  <c r="N1065" i="3" s="1"/>
  <c r="N2043" i="3"/>
  <c r="N923" i="3" s="1"/>
  <c r="M2087" i="3"/>
  <c r="M967" i="3" s="1"/>
  <c r="N2159" i="3"/>
  <c r="N1039" i="3" s="1"/>
  <c r="N2187" i="3"/>
  <c r="N1067" i="3" s="1"/>
  <c r="J2235" i="3"/>
  <c r="J1115" i="3" s="1"/>
  <c r="N1151" i="3"/>
  <c r="AC1775" i="3"/>
  <c r="N2063" i="3"/>
  <c r="N943" i="3" s="1"/>
  <c r="M2088" i="3"/>
  <c r="M968" i="3" s="1"/>
  <c r="M2132" i="3"/>
  <c r="M1012" i="3" s="1"/>
  <c r="M2158" i="3"/>
  <c r="M1038" i="3" s="1"/>
  <c r="J2051" i="3"/>
  <c r="J931" i="3" s="1"/>
  <c r="N2143" i="3"/>
  <c r="N1023" i="3" s="1"/>
  <c r="K2236" i="3"/>
  <c r="K1116" i="3" s="1"/>
  <c r="K2033" i="3"/>
  <c r="K913" i="3" s="1"/>
  <c r="M2250" i="3"/>
  <c r="M1130" i="3" s="1"/>
  <c r="J2041" i="3"/>
  <c r="J921" i="3" s="1"/>
  <c r="K2060" i="3"/>
  <c r="K940" i="3" s="1"/>
  <c r="N1160" i="3"/>
  <c r="M1160" i="3"/>
  <c r="N1128" i="3"/>
  <c r="J940" i="3"/>
  <c r="K1035" i="3"/>
  <c r="M1039" i="3"/>
  <c r="M1783" i="3"/>
  <c r="L2147" i="3"/>
  <c r="L1027" i="3" s="1"/>
  <c r="M1784" i="3"/>
  <c r="K1784" i="3"/>
  <c r="R1984" i="3"/>
  <c r="R1980" i="3"/>
  <c r="R1775" i="3"/>
  <c r="R1944" i="3"/>
  <c r="R1912" i="3"/>
  <c r="Z1964" i="3"/>
  <c r="Z1932" i="3"/>
  <c r="Z1872" i="3"/>
  <c r="Z1975" i="3"/>
  <c r="Z1855" i="3"/>
  <c r="Z1795" i="3"/>
  <c r="N2227" i="3"/>
  <c r="N1107" i="3" s="1"/>
  <c r="K2176" i="3"/>
  <c r="K1056" i="3" s="1"/>
  <c r="M1749" i="3"/>
  <c r="L1753" i="3"/>
  <c r="M1753" i="3"/>
  <c r="J1985" i="3"/>
  <c r="J1993" i="3"/>
  <c r="S1796" i="3"/>
  <c r="S1951" i="3"/>
  <c r="S1775" i="3"/>
  <c r="W1804" i="3"/>
  <c r="W1751" i="3"/>
  <c r="AA1891" i="3"/>
  <c r="AA1903" i="3"/>
  <c r="AA1765" i="3"/>
  <c r="L2027" i="3"/>
  <c r="L907" i="3" s="1"/>
  <c r="J2035" i="3"/>
  <c r="J915" i="3" s="1"/>
  <c r="L2035" i="3"/>
  <c r="L915" i="3" s="1"/>
  <c r="M2043" i="3"/>
  <c r="M923" i="3" s="1"/>
  <c r="K939" i="3"/>
  <c r="N2059" i="3"/>
  <c r="N939" i="3" s="1"/>
  <c r="K2063" i="3"/>
  <c r="K943" i="3" s="1"/>
  <c r="K2071" i="3"/>
  <c r="K951" i="3" s="1"/>
  <c r="M2079" i="3"/>
  <c r="M959" i="3" s="1"/>
  <c r="K2143" i="3"/>
  <c r="K1023" i="3" s="1"/>
  <c r="N2175" i="3"/>
  <c r="N1055" i="3" s="1"/>
  <c r="M1059" i="3"/>
  <c r="J2187" i="3"/>
  <c r="J1067" i="3" s="1"/>
  <c r="M2195" i="3"/>
  <c r="M1075" i="3" s="1"/>
  <c r="K2215" i="3"/>
  <c r="K1095" i="3" s="1"/>
  <c r="M2239" i="3"/>
  <c r="M1119" i="3" s="1"/>
  <c r="J2239" i="3"/>
  <c r="J1119" i="3" s="1"/>
  <c r="N2247" i="3"/>
  <c r="N1127" i="3" s="1"/>
  <c r="K1155" i="3"/>
  <c r="L2036" i="3"/>
  <c r="L916" i="3" s="1"/>
  <c r="M2036" i="3"/>
  <c r="M916" i="3" s="1"/>
  <c r="N2104" i="3"/>
  <c r="N984" i="3" s="1"/>
  <c r="J2116" i="3"/>
  <c r="J996" i="3" s="1"/>
  <c r="N2168" i="3"/>
  <c r="N1048" i="3" s="1"/>
  <c r="N2180" i="3"/>
  <c r="N1060" i="3" s="1"/>
  <c r="M2196" i="3"/>
  <c r="M1076" i="3" s="1"/>
  <c r="N2208" i="3"/>
  <c r="N1088" i="3" s="1"/>
  <c r="M2208" i="3"/>
  <c r="M1088" i="3" s="1"/>
  <c r="N1116" i="3"/>
  <c r="J2248" i="3"/>
  <c r="J1128" i="3" s="1"/>
  <c r="J1156" i="3"/>
  <c r="M913" i="3"/>
  <c r="M2061" i="3"/>
  <c r="M941" i="3" s="1"/>
  <c r="N2081" i="3"/>
  <c r="N961" i="3" s="1"/>
  <c r="L2089" i="3"/>
  <c r="L969" i="3" s="1"/>
  <c r="L2160" i="3"/>
  <c r="L1040" i="3" s="1"/>
  <c r="AD1983" i="3"/>
  <c r="M1155" i="3"/>
  <c r="S1816" i="3"/>
  <c r="L1900" i="3"/>
  <c r="N1900" i="3"/>
  <c r="V1856" i="3"/>
  <c r="V1816" i="3"/>
  <c r="V1765" i="3"/>
  <c r="V1891" i="3"/>
  <c r="V1903" i="3"/>
  <c r="M2035" i="3"/>
  <c r="M915" i="3" s="1"/>
  <c r="L1763" i="3"/>
  <c r="L2051" i="3"/>
  <c r="L931" i="3" s="1"/>
  <c r="L2059" i="3"/>
  <c r="L939" i="3" s="1"/>
  <c r="J1779" i="3"/>
  <c r="L2063" i="3"/>
  <c r="L943" i="3" s="1"/>
  <c r="L1791" i="3"/>
  <c r="N2079" i="3"/>
  <c r="N959" i="3" s="1"/>
  <c r="K2079" i="3"/>
  <c r="K959" i="3" s="1"/>
  <c r="L2087" i="3"/>
  <c r="L967" i="3" s="1"/>
  <c r="J2103" i="3"/>
  <c r="J983" i="3" s="1"/>
  <c r="K1011" i="3"/>
  <c r="M2167" i="3"/>
  <c r="M1047" i="3" s="1"/>
  <c r="L2179" i="3"/>
  <c r="L1059" i="3" s="1"/>
  <c r="K1131" i="3"/>
  <c r="N1147" i="3"/>
  <c r="M1151" i="3"/>
  <c r="J1991" i="3"/>
  <c r="V1751" i="3"/>
  <c r="J1159" i="3"/>
  <c r="AD1815" i="3"/>
  <c r="AD1787" i="3"/>
  <c r="AD1951" i="3"/>
  <c r="L1747" i="3"/>
  <c r="L1755" i="3"/>
  <c r="M1763" i="3"/>
  <c r="J1763" i="3"/>
  <c r="J1771" i="3"/>
  <c r="N1783" i="3"/>
  <c r="M1791" i="3"/>
  <c r="J1791" i="3"/>
  <c r="J1939" i="3"/>
  <c r="U1855" i="3"/>
  <c r="U1795" i="3"/>
  <c r="U1751" i="3"/>
  <c r="U1964" i="3"/>
  <c r="U1872" i="3"/>
  <c r="U1768" i="3"/>
  <c r="U1760" i="3"/>
  <c r="Y1787" i="3"/>
  <c r="Y1963" i="3"/>
  <c r="Y1951" i="3"/>
  <c r="Y1767" i="3"/>
  <c r="AC1912" i="3"/>
  <c r="AC1828" i="3"/>
  <c r="K2027" i="3"/>
  <c r="K907" i="3" s="1"/>
  <c r="N2035" i="3"/>
  <c r="N915" i="3" s="1"/>
  <c r="J2043" i="3"/>
  <c r="J923" i="3" s="1"/>
  <c r="N2051" i="3"/>
  <c r="N931" i="3" s="1"/>
  <c r="M939" i="3"/>
  <c r="J2071" i="3"/>
  <c r="J951" i="3" s="1"/>
  <c r="J2079" i="3"/>
  <c r="J959" i="3" s="1"/>
  <c r="L2099" i="3"/>
  <c r="L979" i="3" s="1"/>
  <c r="M2115" i="3"/>
  <c r="M995" i="3" s="1"/>
  <c r="N1003" i="3"/>
  <c r="N2139" i="3"/>
  <c r="N1019" i="3" s="1"/>
  <c r="M2155" i="3"/>
  <c r="M1035" i="3" s="1"/>
  <c r="K2167" i="3"/>
  <c r="K1047" i="3" s="1"/>
  <c r="K2187" i="3"/>
  <c r="K1067" i="3" s="1"/>
  <c r="J1075" i="3"/>
  <c r="N2207" i="3"/>
  <c r="N1087" i="3" s="1"/>
  <c r="K2219" i="3"/>
  <c r="K1099" i="3" s="1"/>
  <c r="M2251" i="3"/>
  <c r="M1131" i="3" s="1"/>
  <c r="M1147" i="3"/>
  <c r="N1155" i="3"/>
  <c r="L1159" i="3"/>
  <c r="J1163" i="3"/>
  <c r="J1175" i="3"/>
  <c r="J2088" i="3"/>
  <c r="J968" i="3" s="1"/>
  <c r="M2116" i="3"/>
  <c r="M996" i="3" s="1"/>
  <c r="N2144" i="3"/>
  <c r="N1024" i="3" s="1"/>
  <c r="K2144" i="3"/>
  <c r="K1024" i="3" s="1"/>
  <c r="K2168" i="3"/>
  <c r="K1048" i="3" s="1"/>
  <c r="N1076" i="3"/>
  <c r="J2220" i="3"/>
  <c r="J1100" i="3" s="1"/>
  <c r="M2248" i="3"/>
  <c r="M1128" i="3" s="1"/>
  <c r="N2034" i="3"/>
  <c r="N914" i="3" s="1"/>
  <c r="J2066" i="3"/>
  <c r="J946" i="3" s="1"/>
  <c r="L962" i="3"/>
  <c r="L2090" i="3"/>
  <c r="L970" i="3" s="1"/>
  <c r="L2130" i="3"/>
  <c r="L1010" i="3" s="1"/>
  <c r="L1046" i="3"/>
  <c r="M2198" i="3"/>
  <c r="M1078" i="3" s="1"/>
  <c r="AA1787" i="3"/>
  <c r="Q1943" i="3"/>
  <c r="M2125" i="3"/>
  <c r="M1005" i="3" s="1"/>
  <c r="N2165" i="3"/>
  <c r="N1045" i="3" s="1"/>
  <c r="M1045" i="3"/>
  <c r="N2217" i="3"/>
  <c r="N1097" i="3" s="1"/>
  <c r="M2253" i="3"/>
  <c r="M1133" i="3" s="1"/>
  <c r="M2050" i="3"/>
  <c r="M930" i="3" s="1"/>
  <c r="M2054" i="3"/>
  <c r="M934" i="3" s="1"/>
  <c r="J2082" i="3"/>
  <c r="J962" i="3" s="1"/>
  <c r="N2098" i="3"/>
  <c r="N978" i="3" s="1"/>
  <c r="M2098" i="3"/>
  <c r="M978" i="3" s="1"/>
  <c r="L2102" i="3"/>
  <c r="L982" i="3" s="1"/>
  <c r="L2110" i="3"/>
  <c r="L990" i="3" s="1"/>
  <c r="J2110" i="3"/>
  <c r="J990" i="3" s="1"/>
  <c r="N2110" i="3"/>
  <c r="N990" i="3" s="1"/>
  <c r="L2122" i="3"/>
  <c r="L1002" i="3" s="1"/>
  <c r="L2126" i="3"/>
  <c r="L1006" i="3" s="1"/>
  <c r="J2130" i="3"/>
  <c r="J1010" i="3" s="1"/>
  <c r="L2134" i="3"/>
  <c r="L1014" i="3" s="1"/>
  <c r="L2142" i="3"/>
  <c r="L1022" i="3" s="1"/>
  <c r="L2146" i="3"/>
  <c r="L1026" i="3" s="1"/>
  <c r="N2174" i="3"/>
  <c r="N1054" i="3" s="1"/>
  <c r="L2190" i="3"/>
  <c r="L1070" i="3" s="1"/>
  <c r="J2198" i="3"/>
  <c r="J1078" i="3" s="1"/>
  <c r="N2198" i="3"/>
  <c r="N1078" i="3" s="1"/>
  <c r="M1150" i="3"/>
  <c r="L2064" i="3"/>
  <c r="L944" i="3" s="1"/>
  <c r="L2092" i="3"/>
  <c r="L972" i="3" s="1"/>
  <c r="L2112" i="3"/>
  <c r="L992" i="3" s="1"/>
  <c r="M2029" i="3"/>
  <c r="M909" i="3" s="1"/>
  <c r="J2029" i="3"/>
  <c r="J909" i="3" s="1"/>
  <c r="N2129" i="3"/>
  <c r="N1009" i="3" s="1"/>
  <c r="N2141" i="3"/>
  <c r="N1021" i="3" s="1"/>
  <c r="J1145" i="3"/>
  <c r="J2036" i="3"/>
  <c r="J916" i="3" s="1"/>
  <c r="N2044" i="3"/>
  <c r="N924" i="3" s="1"/>
  <c r="J2072" i="3"/>
  <c r="J952" i="3" s="1"/>
  <c r="N968" i="3"/>
  <c r="J2104" i="3"/>
  <c r="J984" i="3" s="1"/>
  <c r="L2124" i="3"/>
  <c r="L1004" i="3" s="1"/>
  <c r="J2124" i="3"/>
  <c r="J1004" i="3" s="1"/>
  <c r="K2124" i="3"/>
  <c r="K1004" i="3" s="1"/>
  <c r="J1012" i="3"/>
  <c r="J2144" i="3"/>
  <c r="J1024" i="3" s="1"/>
  <c r="L2144" i="3"/>
  <c r="L1024" i="3" s="1"/>
  <c r="M2144" i="3"/>
  <c r="M1024" i="3" s="1"/>
  <c r="K2156" i="3"/>
  <c r="K1036" i="3" s="1"/>
  <c r="L2168" i="3"/>
  <c r="L1048" i="3" s="1"/>
  <c r="M2168" i="3"/>
  <c r="M1048" i="3" s="1"/>
  <c r="L2180" i="3"/>
  <c r="L1060" i="3" s="1"/>
  <c r="J2208" i="3"/>
  <c r="J1088" i="3" s="1"/>
  <c r="L2236" i="3"/>
  <c r="L1116" i="3" s="1"/>
  <c r="M2236" i="3"/>
  <c r="M1116" i="3" s="1"/>
  <c r="J1152" i="3"/>
  <c r="K1176" i="3"/>
  <c r="N2033" i="3"/>
  <c r="N913" i="3" s="1"/>
  <c r="K2061" i="3"/>
  <c r="K941" i="3" s="1"/>
  <c r="J2089" i="3"/>
  <c r="J969" i="3" s="1"/>
  <c r="N2089" i="3"/>
  <c r="N969" i="3" s="1"/>
  <c r="M981" i="3"/>
  <c r="N2113" i="3"/>
  <c r="N993" i="3" s="1"/>
  <c r="L2113" i="3"/>
  <c r="L993" i="3" s="1"/>
  <c r="L2125" i="3"/>
  <c r="L1005" i="3" s="1"/>
  <c r="J2145" i="3"/>
  <c r="J1025" i="3" s="1"/>
  <c r="M1037" i="3"/>
  <c r="J2157" i="3"/>
  <c r="J1037" i="3" s="1"/>
  <c r="M2177" i="3"/>
  <c r="M1057" i="3" s="1"/>
  <c r="K2177" i="3"/>
  <c r="K1057" i="3" s="1"/>
  <c r="K2189" i="3"/>
  <c r="K1069" i="3" s="1"/>
  <c r="M2201" i="3"/>
  <c r="M1081" i="3" s="1"/>
  <c r="J2201" i="3"/>
  <c r="J1081" i="3" s="1"/>
  <c r="N2201" i="3"/>
  <c r="N1081" i="3" s="1"/>
  <c r="J2217" i="3"/>
  <c r="J1097" i="3" s="1"/>
  <c r="M1109" i="3"/>
  <c r="N2229" i="3"/>
  <c r="N1109" i="3" s="1"/>
  <c r="K2253" i="3"/>
  <c r="K1133" i="3" s="1"/>
  <c r="L1149" i="3"/>
  <c r="N1149" i="3"/>
  <c r="M1149" i="3"/>
  <c r="K1149" i="3"/>
  <c r="N1989" i="3"/>
  <c r="K1169" i="3"/>
  <c r="J1177" i="3"/>
  <c r="J2034" i="3"/>
  <c r="J914" i="3" s="1"/>
  <c r="M2034" i="3"/>
  <c r="M914" i="3" s="1"/>
  <c r="N2042" i="3"/>
  <c r="N922" i="3" s="1"/>
  <c r="L2050" i="3"/>
  <c r="L930" i="3" s="1"/>
  <c r="J2054" i="3"/>
  <c r="J934" i="3" s="1"/>
  <c r="L942" i="3"/>
  <c r="N962" i="3"/>
  <c r="M2082" i="3"/>
  <c r="M962" i="3" s="1"/>
  <c r="N2090" i="3"/>
  <c r="N970" i="3" s="1"/>
  <c r="M2090" i="3"/>
  <c r="M970" i="3" s="1"/>
  <c r="L2098" i="3"/>
  <c r="L978" i="3" s="1"/>
  <c r="M2110" i="3"/>
  <c r="M990" i="3" s="1"/>
  <c r="K2110" i="3"/>
  <c r="K990" i="3" s="1"/>
  <c r="J2122" i="3"/>
  <c r="J1002" i="3" s="1"/>
  <c r="M2122" i="3"/>
  <c r="M1002" i="3" s="1"/>
  <c r="N2130" i="3"/>
  <c r="N1010" i="3" s="1"/>
  <c r="M2130" i="3"/>
  <c r="M1010" i="3" s="1"/>
  <c r="N2142" i="3"/>
  <c r="N1022" i="3" s="1"/>
  <c r="M2150" i="3"/>
  <c r="M1030" i="3" s="1"/>
  <c r="M2166" i="3"/>
  <c r="M1046" i="3" s="1"/>
  <c r="M2174" i="3"/>
  <c r="M1054" i="3" s="1"/>
  <c r="J2178" i="3"/>
  <c r="J1058" i="3" s="1"/>
  <c r="N2186" i="3"/>
  <c r="N1066" i="3" s="1"/>
  <c r="N2190" i="3"/>
  <c r="N1070" i="3" s="1"/>
  <c r="K2190" i="3"/>
  <c r="K1070" i="3" s="1"/>
  <c r="K1171" i="3"/>
  <c r="K1157" i="3"/>
  <c r="K1161" i="3"/>
  <c r="K1154" i="3"/>
  <c r="J1158" i="3"/>
  <c r="M1162" i="3"/>
  <c r="J1166" i="3"/>
  <c r="J1170" i="3"/>
  <c r="M1170" i="3"/>
  <c r="J1174" i="3"/>
  <c r="N1098" i="3"/>
  <c r="M2222" i="3"/>
  <c r="M1102" i="3" s="1"/>
  <c r="K2230" i="3"/>
  <c r="K1110" i="3" s="1"/>
  <c r="L2238" i="3"/>
  <c r="L1118" i="3" s="1"/>
  <c r="J2242" i="3"/>
  <c r="J1122" i="3" s="1"/>
  <c r="N1130" i="3"/>
  <c r="L1150" i="3"/>
  <c r="L2028" i="3"/>
  <c r="L908" i="3" s="1"/>
  <c r="J2028" i="3"/>
  <c r="J908" i="3" s="1"/>
  <c r="N2028" i="3"/>
  <c r="N908" i="3" s="1"/>
  <c r="L2052" i="3"/>
  <c r="L932" i="3" s="1"/>
  <c r="K2052" i="3"/>
  <c r="K932" i="3" s="1"/>
  <c r="M2064" i="3"/>
  <c r="M944" i="3" s="1"/>
  <c r="N2064" i="3"/>
  <c r="N944" i="3" s="1"/>
  <c r="J960" i="3"/>
  <c r="K2092" i="3"/>
  <c r="K972" i="3" s="1"/>
  <c r="J1008" i="3"/>
  <c r="L2148" i="3"/>
  <c r="L1028" i="3" s="1"/>
  <c r="K2148" i="3"/>
  <c r="K1028" i="3" s="1"/>
  <c r="N2188" i="3"/>
  <c r="N1068" i="3" s="1"/>
  <c r="M2188" i="3"/>
  <c r="M1068" i="3" s="1"/>
  <c r="K2200" i="3"/>
  <c r="K1080" i="3" s="1"/>
  <c r="J1936" i="3"/>
  <c r="M2228" i="3"/>
  <c r="M1108" i="3" s="1"/>
  <c r="J2252" i="3"/>
  <c r="J1132" i="3" s="1"/>
  <c r="K2252" i="3"/>
  <c r="K1132" i="3" s="1"/>
  <c r="J1148" i="3"/>
  <c r="L1168" i="3"/>
  <c r="M1172" i="3"/>
  <c r="K2029" i="3"/>
  <c r="K909" i="3" s="1"/>
  <c r="M2041" i="3"/>
  <c r="M921" i="3" s="1"/>
  <c r="L2041" i="3"/>
  <c r="L921" i="3" s="1"/>
  <c r="N2041" i="3"/>
  <c r="N921" i="3" s="1"/>
  <c r="L2065" i="3"/>
  <c r="L945" i="3" s="1"/>
  <c r="M2097" i="3"/>
  <c r="M977" i="3" s="1"/>
  <c r="K2097" i="3"/>
  <c r="K977" i="3" s="1"/>
  <c r="L2129" i="3"/>
  <c r="L1009" i="3" s="1"/>
  <c r="M2141" i="3"/>
  <c r="M1021" i="3" s="1"/>
  <c r="J2185" i="3"/>
  <c r="J1065" i="3" s="1"/>
  <c r="J2197" i="3"/>
  <c r="J1077" i="3" s="1"/>
  <c r="M2197" i="3"/>
  <c r="M1077" i="3" s="1"/>
  <c r="L2221" i="3"/>
  <c r="L1101" i="3" s="1"/>
  <c r="N2221" i="3"/>
  <c r="N1101" i="3" s="1"/>
  <c r="L2237" i="3"/>
  <c r="L1117" i="3" s="1"/>
  <c r="J2237" i="3"/>
  <c r="J1117" i="3" s="1"/>
  <c r="N2249" i="3"/>
  <c r="N1129" i="3" s="1"/>
  <c r="K2249" i="3"/>
  <c r="K1129" i="3" s="1"/>
  <c r="K1145" i="3"/>
  <c r="K1985" i="3"/>
  <c r="N1153" i="3"/>
  <c r="N1993" i="3"/>
  <c r="N1161" i="3"/>
  <c r="N1173" i="3"/>
  <c r="M1163" i="3"/>
  <c r="N1167" i="3"/>
  <c r="J1172" i="3"/>
  <c r="L2218" i="3"/>
  <c r="L1098" i="3" s="1"/>
  <c r="N2222" i="3"/>
  <c r="N1102" i="3" s="1"/>
  <c r="N2242" i="3"/>
  <c r="N1122" i="3" s="1"/>
  <c r="J2254" i="3"/>
  <c r="J1134" i="3" s="1"/>
  <c r="M1146" i="3"/>
  <c r="M1154" i="3"/>
  <c r="J1154" i="3"/>
  <c r="M1158" i="3"/>
  <c r="L1162" i="3"/>
  <c r="K2028" i="3"/>
  <c r="K908" i="3" s="1"/>
  <c r="J2052" i="3"/>
  <c r="J932" i="3" s="1"/>
  <c r="K2064" i="3"/>
  <c r="K944" i="3" s="1"/>
  <c r="N2080" i="3"/>
  <c r="N960" i="3" s="1"/>
  <c r="L2080" i="3"/>
  <c r="L960" i="3" s="1"/>
  <c r="N2100" i="3"/>
  <c r="N980" i="3" s="1"/>
  <c r="J2112" i="3"/>
  <c r="J992" i="3" s="1"/>
  <c r="K2112" i="3"/>
  <c r="K992" i="3" s="1"/>
  <c r="M2140" i="3"/>
  <c r="M1020" i="3" s="1"/>
  <c r="M2160" i="3"/>
  <c r="M1040" i="3" s="1"/>
  <c r="M2176" i="3"/>
  <c r="M1056" i="3" s="1"/>
  <c r="L2188" i="3"/>
  <c r="L1068" i="3" s="1"/>
  <c r="J2188" i="3"/>
  <c r="J1068" i="3" s="1"/>
  <c r="K2188" i="3"/>
  <c r="K1068" i="3" s="1"/>
  <c r="L2216" i="3"/>
  <c r="L1096" i="3" s="1"/>
  <c r="J2228" i="3"/>
  <c r="J1108" i="3" s="1"/>
  <c r="L1160" i="3"/>
  <c r="M2053" i="3"/>
  <c r="M933" i="3" s="1"/>
  <c r="L2053" i="3"/>
  <c r="L933" i="3" s="1"/>
  <c r="N2065" i="3"/>
  <c r="N945" i="3" s="1"/>
  <c r="J2065" i="3"/>
  <c r="J945" i="3" s="1"/>
  <c r="N2097" i="3"/>
  <c r="N977" i="3" s="1"/>
  <c r="J2221" i="3"/>
  <c r="J1101" i="3" s="1"/>
  <c r="K1167" i="3"/>
  <c r="M1176" i="3"/>
  <c r="K1746" i="3"/>
  <c r="J1746" i="3"/>
  <c r="L1746" i="3"/>
  <c r="N1746" i="3"/>
  <c r="M1746" i="3"/>
  <c r="M1762" i="3"/>
  <c r="N1762" i="3"/>
  <c r="J1762" i="3"/>
  <c r="L1762" i="3"/>
  <c r="K1762" i="3"/>
  <c r="M1782" i="3"/>
  <c r="N1782" i="3"/>
  <c r="J1782" i="3"/>
  <c r="L1782" i="3"/>
  <c r="K1782" i="3"/>
  <c r="N1802" i="3"/>
  <c r="J1802" i="3"/>
  <c r="K1802" i="3"/>
  <c r="L1802" i="3"/>
  <c r="M1802" i="3"/>
  <c r="M1822" i="3"/>
  <c r="N1822" i="3"/>
  <c r="J1822" i="3"/>
  <c r="K1822" i="3"/>
  <c r="L1822" i="3"/>
  <c r="K1842" i="3"/>
  <c r="M1842" i="3"/>
  <c r="N1842" i="3"/>
  <c r="L1842" i="3"/>
  <c r="J1842" i="3"/>
  <c r="L1854" i="3"/>
  <c r="N1854" i="3"/>
  <c r="J1854" i="3"/>
  <c r="M1854" i="3"/>
  <c r="K1854" i="3"/>
  <c r="J1878" i="3"/>
  <c r="M1878" i="3"/>
  <c r="K1878" i="3"/>
  <c r="L1878" i="3"/>
  <c r="N1878" i="3"/>
  <c r="J1898" i="3"/>
  <c r="L1898" i="3"/>
  <c r="M1898" i="3"/>
  <c r="K1898" i="3"/>
  <c r="N1898" i="3"/>
  <c r="L1918" i="3"/>
  <c r="N1918" i="3"/>
  <c r="J1918" i="3"/>
  <c r="M1918" i="3"/>
  <c r="K1918" i="3"/>
  <c r="J1938" i="3"/>
  <c r="K1938" i="3"/>
  <c r="M1938" i="3"/>
  <c r="L1938" i="3"/>
  <c r="N1938" i="3"/>
  <c r="N1958" i="3"/>
  <c r="K1958" i="3"/>
  <c r="J1958" i="3"/>
  <c r="M1958" i="3"/>
  <c r="L1958" i="3"/>
  <c r="M1974" i="3"/>
  <c r="L1974" i="3"/>
  <c r="N1974" i="3"/>
  <c r="J1974" i="3"/>
  <c r="K1974" i="3"/>
  <c r="N1994" i="3"/>
  <c r="J1994" i="3"/>
  <c r="L1994" i="3"/>
  <c r="K1994" i="3"/>
  <c r="M1994" i="3"/>
  <c r="N2006" i="3"/>
  <c r="K2006" i="3"/>
  <c r="L2006" i="3"/>
  <c r="J2006" i="3"/>
  <c r="M2006" i="3"/>
  <c r="P1966" i="3"/>
  <c r="P1946" i="3"/>
  <c r="P1934" i="3"/>
  <c r="P1926" i="3"/>
  <c r="P1902" i="3"/>
  <c r="P1874" i="3"/>
  <c r="P1858" i="3"/>
  <c r="P1838" i="3"/>
  <c r="P1766" i="3"/>
  <c r="P1913" i="3"/>
  <c r="P1901" i="3"/>
  <c r="P1837" i="3"/>
  <c r="P1813" i="3"/>
  <c r="P1797" i="3"/>
  <c r="P1982" i="3"/>
  <c r="P1882" i="3"/>
  <c r="P1826" i="3"/>
  <c r="P1794" i="3"/>
  <c r="P1758" i="3"/>
  <c r="P1977" i="3"/>
  <c r="P1945" i="3"/>
  <c r="P1978" i="3"/>
  <c r="P1954" i="3"/>
  <c r="P1806" i="3"/>
  <c r="P1798" i="3"/>
  <c r="P1750" i="3"/>
  <c r="P1953" i="3"/>
  <c r="P1933" i="3"/>
  <c r="P1889" i="3"/>
  <c r="P1881" i="3"/>
  <c r="P1805" i="3"/>
  <c r="P1789" i="3"/>
  <c r="P1777" i="3"/>
  <c r="P1765" i="3"/>
  <c r="P1914" i="3"/>
  <c r="P1890" i="3"/>
  <c r="P1814" i="3"/>
  <c r="P1790" i="3"/>
  <c r="P1778" i="3"/>
  <c r="P1981" i="3"/>
  <c r="P1965" i="3"/>
  <c r="P1925" i="3"/>
  <c r="P1873" i="3"/>
  <c r="P1857" i="3"/>
  <c r="P1825" i="3"/>
  <c r="P1793" i="3"/>
  <c r="P1964" i="3"/>
  <c r="P1912" i="3"/>
  <c r="P1828" i="3"/>
  <c r="P1776" i="3"/>
  <c r="P1752" i="3"/>
  <c r="P1903" i="3"/>
  <c r="P1891" i="3"/>
  <c r="P1827" i="3"/>
  <c r="P1757" i="3"/>
  <c r="P1980" i="3"/>
  <c r="P1952" i="3"/>
  <c r="P1904" i="3"/>
  <c r="P1856" i="3"/>
  <c r="P1840" i="3"/>
  <c r="P1923" i="3"/>
  <c r="P1911" i="3"/>
  <c r="P1883" i="3"/>
  <c r="P1855" i="3"/>
  <c r="P1976" i="3"/>
  <c r="P1944" i="3"/>
  <c r="P1932" i="3"/>
  <c r="P1884" i="3"/>
  <c r="P1872" i="3"/>
  <c r="P1816" i="3"/>
  <c r="P1796" i="3"/>
  <c r="P1768" i="3"/>
  <c r="P1760" i="3"/>
  <c r="P1983" i="3"/>
  <c r="P1951" i="3"/>
  <c r="P1943" i="3"/>
  <c r="P1931" i="3"/>
  <c r="P1871" i="3"/>
  <c r="P1839" i="3"/>
  <c r="AB1914" i="3"/>
  <c r="AB1890" i="3"/>
  <c r="AB1838" i="3"/>
  <c r="AB1806" i="3"/>
  <c r="AB1790" i="3"/>
  <c r="AB1778" i="3"/>
  <c r="AB1766" i="3"/>
  <c r="AB1925" i="3"/>
  <c r="AB1873" i="3"/>
  <c r="AB1857" i="3"/>
  <c r="AB1825" i="3"/>
  <c r="AB1966" i="3"/>
  <c r="AB1954" i="3"/>
  <c r="AB1946" i="3"/>
  <c r="AB1934" i="3"/>
  <c r="AB1926" i="3"/>
  <c r="AB1902" i="3"/>
  <c r="AB1874" i="3"/>
  <c r="AB1858" i="3"/>
  <c r="AB1826" i="3"/>
  <c r="AB1798" i="3"/>
  <c r="AB1913" i="3"/>
  <c r="AB1901" i="3"/>
  <c r="AB1837" i="3"/>
  <c r="AB1813" i="3"/>
  <c r="AB1797" i="3"/>
  <c r="AB1982" i="3"/>
  <c r="AB1882" i="3"/>
  <c r="AB1814" i="3"/>
  <c r="AB1758" i="3"/>
  <c r="AB1977" i="3"/>
  <c r="AB1945" i="3"/>
  <c r="AB1978" i="3"/>
  <c r="AB1965" i="3"/>
  <c r="AB1953" i="3"/>
  <c r="AB1933" i="3"/>
  <c r="AB1889" i="3"/>
  <c r="AB1881" i="3"/>
  <c r="AB1805" i="3"/>
  <c r="AB1789" i="3"/>
  <c r="AB1777" i="3"/>
  <c r="AB1757" i="3"/>
  <c r="AB1944" i="3"/>
  <c r="AB1924" i="3"/>
  <c r="AB1892" i="3"/>
  <c r="AB1884" i="3"/>
  <c r="AB1804" i="3"/>
  <c r="AB1788" i="3"/>
  <c r="AB1983" i="3"/>
  <c r="AB1963" i="3"/>
  <c r="AB1931" i="3"/>
  <c r="AB1815" i="3"/>
  <c r="AB1803" i="3"/>
  <c r="AB1964" i="3"/>
  <c r="AB1912" i="3"/>
  <c r="AB1828" i="3"/>
  <c r="AB1776" i="3"/>
  <c r="AB1752" i="3"/>
  <c r="AB1979" i="3"/>
  <c r="AB1975" i="3"/>
  <c r="AB1903" i="3"/>
  <c r="AB1891" i="3"/>
  <c r="AB1827" i="3"/>
  <c r="AB1765" i="3"/>
  <c r="AB1980" i="3"/>
  <c r="AB1952" i="3"/>
  <c r="AB1904" i="3"/>
  <c r="AB1856" i="3"/>
  <c r="AB1840" i="3"/>
  <c r="AB1883" i="3"/>
  <c r="AB1855" i="3"/>
  <c r="K2114" i="3"/>
  <c r="K994" i="3" s="1"/>
  <c r="K2142" i="3"/>
  <c r="K1022" i="3" s="1"/>
  <c r="J1110" i="3"/>
  <c r="K2238" i="3"/>
  <c r="K1118" i="3" s="1"/>
  <c r="M1145" i="3"/>
  <c r="L2043" i="3"/>
  <c r="L923" i="3" s="1"/>
  <c r="P1767" i="3"/>
  <c r="L1771" i="3"/>
  <c r="J2059" i="3"/>
  <c r="J939" i="3" s="1"/>
  <c r="L1779" i="3"/>
  <c r="P1787" i="3"/>
  <c r="AB1795" i="3"/>
  <c r="T1827" i="3"/>
  <c r="P1963" i="3"/>
  <c r="M1175" i="3"/>
  <c r="L1748" i="3"/>
  <c r="T1776" i="3"/>
  <c r="J1896" i="3"/>
  <c r="X1904" i="3"/>
  <c r="T1964" i="3"/>
  <c r="N1799" i="3"/>
  <c r="J1799" i="3"/>
  <c r="M1807" i="3"/>
  <c r="K1807" i="3"/>
  <c r="N1807" i="3"/>
  <c r="J1807" i="3"/>
  <c r="L1807" i="3"/>
  <c r="N1811" i="3"/>
  <c r="K1811" i="3"/>
  <c r="J1811" i="3"/>
  <c r="L1811" i="3"/>
  <c r="M1819" i="3"/>
  <c r="N1819" i="3"/>
  <c r="K1819" i="3"/>
  <c r="J1819" i="3"/>
  <c r="L1819" i="3"/>
  <c r="N1823" i="3"/>
  <c r="J1823" i="3"/>
  <c r="L1823" i="3"/>
  <c r="K1823" i="3"/>
  <c r="M1831" i="3"/>
  <c r="N1831" i="3"/>
  <c r="K1831" i="3"/>
  <c r="N1835" i="3"/>
  <c r="J1835" i="3"/>
  <c r="L1835" i="3"/>
  <c r="K1835" i="3"/>
  <c r="N1843" i="3"/>
  <c r="J1843" i="3"/>
  <c r="L1843" i="3"/>
  <c r="M1847" i="3"/>
  <c r="N1847" i="3"/>
  <c r="K1847" i="3"/>
  <c r="L1851" i="3"/>
  <c r="J1851" i="3"/>
  <c r="M1851" i="3"/>
  <c r="L1859" i="3"/>
  <c r="N1859" i="3"/>
  <c r="J1859" i="3"/>
  <c r="K1859" i="3"/>
  <c r="K1863" i="3"/>
  <c r="M1863" i="3"/>
  <c r="L1863" i="3"/>
  <c r="N1863" i="3"/>
  <c r="L1867" i="3"/>
  <c r="N1867" i="3"/>
  <c r="J1867" i="3"/>
  <c r="K1867" i="3"/>
  <c r="L1875" i="3"/>
  <c r="N1875" i="3"/>
  <c r="J1875" i="3"/>
  <c r="K1875" i="3"/>
  <c r="K1879" i="3"/>
  <c r="M1879" i="3"/>
  <c r="L1879" i="3"/>
  <c r="N1879" i="3"/>
  <c r="L1887" i="3"/>
  <c r="N1887" i="3"/>
  <c r="J1887" i="3"/>
  <c r="M1887" i="3"/>
  <c r="K1887" i="3"/>
  <c r="L1895" i="3"/>
  <c r="N1895" i="3"/>
  <c r="J1895" i="3"/>
  <c r="M1895" i="3"/>
  <c r="K1895" i="3"/>
  <c r="M1899" i="3"/>
  <c r="K1899" i="3"/>
  <c r="L1899" i="3"/>
  <c r="N1899" i="3"/>
  <c r="M1907" i="3"/>
  <c r="K1907" i="3"/>
  <c r="L1907" i="3"/>
  <c r="N1907" i="3"/>
  <c r="K1915" i="3"/>
  <c r="M1915" i="3"/>
  <c r="N1915" i="3"/>
  <c r="N1919" i="3"/>
  <c r="J1919" i="3"/>
  <c r="K1919" i="3"/>
  <c r="L1919" i="3"/>
  <c r="N1927" i="3"/>
  <c r="J1927" i="3"/>
  <c r="K1927" i="3"/>
  <c r="N1935" i="3"/>
  <c r="J1935" i="3"/>
  <c r="K1935" i="3"/>
  <c r="L1935" i="3"/>
  <c r="K1939" i="3"/>
  <c r="M1939" i="3"/>
  <c r="N1939" i="3"/>
  <c r="L1947" i="3"/>
  <c r="N1947" i="3"/>
  <c r="J1947" i="3"/>
  <c r="M1947" i="3"/>
  <c r="M1955" i="3"/>
  <c r="L1955" i="3"/>
  <c r="N1955" i="3"/>
  <c r="K1955" i="3"/>
  <c r="M1959" i="3"/>
  <c r="N1959" i="3"/>
  <c r="L1959" i="3"/>
  <c r="J1959" i="3"/>
  <c r="K1959" i="3"/>
  <c r="M1967" i="3"/>
  <c r="N1967" i="3"/>
  <c r="K1967" i="3"/>
  <c r="L1967" i="3"/>
  <c r="J1967" i="3"/>
  <c r="L1971" i="3"/>
  <c r="N1971" i="3"/>
  <c r="M1971" i="3"/>
  <c r="J1971" i="3"/>
  <c r="K1971" i="3"/>
  <c r="N1995" i="3"/>
  <c r="M1995" i="3"/>
  <c r="J1995" i="3"/>
  <c r="M1999" i="3"/>
  <c r="J1999" i="3"/>
  <c r="N1999" i="3"/>
  <c r="K1999" i="3"/>
  <c r="L1999" i="3"/>
  <c r="M2003" i="3"/>
  <c r="J2003" i="3"/>
  <c r="K2003" i="3"/>
  <c r="L2003" i="3"/>
  <c r="K2007" i="3"/>
  <c r="N2007" i="3"/>
  <c r="J2007" i="3"/>
  <c r="M2007" i="3"/>
  <c r="M2011" i="3"/>
  <c r="J2011" i="3"/>
  <c r="N2011" i="3"/>
  <c r="N2015" i="3"/>
  <c r="J2015" i="3"/>
  <c r="L2015" i="3"/>
  <c r="K2015" i="3"/>
  <c r="Q1982" i="3"/>
  <c r="Q1978" i="3"/>
  <c r="Q1926" i="3"/>
  <c r="Q1914" i="3"/>
  <c r="Q1766" i="3"/>
  <c r="Q1750" i="3"/>
  <c r="Q1953" i="3"/>
  <c r="Q1933" i="3"/>
  <c r="Q1889" i="3"/>
  <c r="Q1881" i="3"/>
  <c r="Q1825" i="3"/>
  <c r="Q1793" i="3"/>
  <c r="Q1966" i="3"/>
  <c r="Q1890" i="3"/>
  <c r="Q1838" i="3"/>
  <c r="Q1826" i="3"/>
  <c r="Q1806" i="3"/>
  <c r="Q1798" i="3"/>
  <c r="Q1794" i="3"/>
  <c r="Q1790" i="3"/>
  <c r="Q1981" i="3"/>
  <c r="Q1925" i="3"/>
  <c r="Q1873" i="3"/>
  <c r="Q1857" i="3"/>
  <c r="Q1797" i="3"/>
  <c r="Q1789" i="3"/>
  <c r="Q1946" i="3"/>
  <c r="Q1902" i="3"/>
  <c r="Q1874" i="3"/>
  <c r="Q1858" i="3"/>
  <c r="Q1913" i="3"/>
  <c r="Q1901" i="3"/>
  <c r="Q1813" i="3"/>
  <c r="Q1805" i="3"/>
  <c r="Q1954" i="3"/>
  <c r="Q1934" i="3"/>
  <c r="Q1882" i="3"/>
  <c r="Q1814" i="3"/>
  <c r="Q1778" i="3"/>
  <c r="Q1758" i="3"/>
  <c r="Q1977" i="3"/>
  <c r="Q1965" i="3"/>
  <c r="Q1945" i="3"/>
  <c r="Q1837" i="3"/>
  <c r="Q1777" i="3"/>
  <c r="Q1984" i="3"/>
  <c r="Q1932" i="3"/>
  <c r="Q1904" i="3"/>
  <c r="Q1884" i="3"/>
  <c r="Q1872" i="3"/>
  <c r="Q1816" i="3"/>
  <c r="Q1796" i="3"/>
  <c r="Q1768" i="3"/>
  <c r="Q1760" i="3"/>
  <c r="Q1979" i="3"/>
  <c r="Q1883" i="3"/>
  <c r="Q1855" i="3"/>
  <c r="Q1839" i="3"/>
  <c r="Q1765" i="3"/>
  <c r="Q1924" i="3"/>
  <c r="Q1804" i="3"/>
  <c r="Q1788" i="3"/>
  <c r="Q1975" i="3"/>
  <c r="Q1963" i="3"/>
  <c r="Q1951" i="3"/>
  <c r="Q1923" i="3"/>
  <c r="Q1871" i="3"/>
  <c r="Q1815" i="3"/>
  <c r="Q1803" i="3"/>
  <c r="Q1757" i="3"/>
  <c r="Q1980" i="3"/>
  <c r="Q1964" i="3"/>
  <c r="Q1944" i="3"/>
  <c r="Q1912" i="3"/>
  <c r="Q1892" i="3"/>
  <c r="Q1828" i="3"/>
  <c r="Q1776" i="3"/>
  <c r="Q1752" i="3"/>
  <c r="Q1983" i="3"/>
  <c r="Q1931" i="3"/>
  <c r="Q1903" i="3"/>
  <c r="Q1891" i="3"/>
  <c r="Q1827" i="3"/>
  <c r="U1978" i="3"/>
  <c r="U1966" i="3"/>
  <c r="U1934" i="3"/>
  <c r="U1890" i="3"/>
  <c r="U1838" i="3"/>
  <c r="U1826" i="3"/>
  <c r="U1806" i="3"/>
  <c r="U1798" i="3"/>
  <c r="U1790" i="3"/>
  <c r="U1981" i="3"/>
  <c r="U1925" i="3"/>
  <c r="U1873" i="3"/>
  <c r="U1857" i="3"/>
  <c r="U1837" i="3"/>
  <c r="U1825" i="3"/>
  <c r="U1813" i="3"/>
  <c r="U1797" i="3"/>
  <c r="U1777" i="3"/>
  <c r="U1982" i="3"/>
  <c r="U1954" i="3"/>
  <c r="U1946" i="3"/>
  <c r="U1926" i="3"/>
  <c r="U1914" i="3"/>
  <c r="U1902" i="3"/>
  <c r="U1874" i="3"/>
  <c r="U1858" i="3"/>
  <c r="U1913" i="3"/>
  <c r="U1901" i="3"/>
  <c r="U1882" i="3"/>
  <c r="U1814" i="3"/>
  <c r="U1778" i="3"/>
  <c r="U1758" i="3"/>
  <c r="U1977" i="3"/>
  <c r="U1965" i="3"/>
  <c r="U1945" i="3"/>
  <c r="U1805" i="3"/>
  <c r="U1789" i="3"/>
  <c r="U1766" i="3"/>
  <c r="U1750" i="3"/>
  <c r="U1953" i="3"/>
  <c r="U1933" i="3"/>
  <c r="U1889" i="3"/>
  <c r="U1881" i="3"/>
  <c r="U1765" i="3"/>
  <c r="U1924" i="3"/>
  <c r="U1804" i="3"/>
  <c r="U1788" i="3"/>
  <c r="U1975" i="3"/>
  <c r="U1963" i="3"/>
  <c r="U1951" i="3"/>
  <c r="U1923" i="3"/>
  <c r="U1871" i="3"/>
  <c r="U1815" i="3"/>
  <c r="U1803" i="3"/>
  <c r="U1757" i="3"/>
  <c r="U1980" i="3"/>
  <c r="U1944" i="3"/>
  <c r="U1912" i="3"/>
  <c r="U1892" i="3"/>
  <c r="U1828" i="3"/>
  <c r="U1776" i="3"/>
  <c r="U1983" i="3"/>
  <c r="U1943" i="3"/>
  <c r="U1931" i="3"/>
  <c r="U1903" i="3"/>
  <c r="U1891" i="3"/>
  <c r="U1827" i="3"/>
  <c r="U1984" i="3"/>
  <c r="U1976" i="3"/>
  <c r="U1952" i="3"/>
  <c r="U1884" i="3"/>
  <c r="U1856" i="3"/>
  <c r="U1840" i="3"/>
  <c r="U1752" i="3"/>
  <c r="U1911" i="3"/>
  <c r="Y1954" i="3"/>
  <c r="Y1946" i="3"/>
  <c r="Y1934" i="3"/>
  <c r="Y1902" i="3"/>
  <c r="Y1874" i="3"/>
  <c r="Y1858" i="3"/>
  <c r="Y1913" i="3"/>
  <c r="Y1901" i="3"/>
  <c r="Y1813" i="3"/>
  <c r="Y1797" i="3"/>
  <c r="Y1982" i="3"/>
  <c r="Y1882" i="3"/>
  <c r="Y1814" i="3"/>
  <c r="Y1778" i="3"/>
  <c r="Y1758" i="3"/>
  <c r="Y1977" i="3"/>
  <c r="Y1965" i="3"/>
  <c r="Y1945" i="3"/>
  <c r="Y1825" i="3"/>
  <c r="Y1978" i="3"/>
  <c r="Y1766" i="3"/>
  <c r="Y1953" i="3"/>
  <c r="Y1933" i="3"/>
  <c r="Y1889" i="3"/>
  <c r="Y1881" i="3"/>
  <c r="Y1777" i="3"/>
  <c r="Y1966" i="3"/>
  <c r="Y1926" i="3"/>
  <c r="Y1914" i="3"/>
  <c r="Y1890" i="3"/>
  <c r="Y1838" i="3"/>
  <c r="Y1826" i="3"/>
  <c r="Y1806" i="3"/>
  <c r="Y1798" i="3"/>
  <c r="Y1790" i="3"/>
  <c r="Y1981" i="3"/>
  <c r="Y1925" i="3"/>
  <c r="Y1873" i="3"/>
  <c r="Y1857" i="3"/>
  <c r="Y1837" i="3"/>
  <c r="Y1805" i="3"/>
  <c r="Y1789" i="3"/>
  <c r="Y1765" i="3"/>
  <c r="Y1757" i="3"/>
  <c r="Y1980" i="3"/>
  <c r="Y1944" i="3"/>
  <c r="Y1912" i="3"/>
  <c r="Y1892" i="3"/>
  <c r="Y1828" i="3"/>
  <c r="Y1776" i="3"/>
  <c r="Y1983" i="3"/>
  <c r="Y1943" i="3"/>
  <c r="Y1931" i="3"/>
  <c r="Y1903" i="3"/>
  <c r="Y1891" i="3"/>
  <c r="Y1827" i="3"/>
  <c r="Y1984" i="3"/>
  <c r="Y1976" i="3"/>
  <c r="Y1964" i="3"/>
  <c r="Y1952" i="3"/>
  <c r="Y1884" i="3"/>
  <c r="Y1856" i="3"/>
  <c r="Y1840" i="3"/>
  <c r="Y1911" i="3"/>
  <c r="Y1932" i="3"/>
  <c r="Y1904" i="3"/>
  <c r="Y1872" i="3"/>
  <c r="Y1816" i="3"/>
  <c r="Y1796" i="3"/>
  <c r="Y1768" i="3"/>
  <c r="Y1760" i="3"/>
  <c r="Y1752" i="3"/>
  <c r="Y1979" i="3"/>
  <c r="Y1883" i="3"/>
  <c r="Y1855" i="3"/>
  <c r="Y1839" i="3"/>
  <c r="AC1926" i="3"/>
  <c r="AC1882" i="3"/>
  <c r="AC1814" i="3"/>
  <c r="AC1778" i="3"/>
  <c r="AC1758" i="3"/>
  <c r="AC1977" i="3"/>
  <c r="AC1965" i="3"/>
  <c r="AC1945" i="3"/>
  <c r="AC1813" i="3"/>
  <c r="AC1797" i="3"/>
  <c r="AC1934" i="3"/>
  <c r="AC1766" i="3"/>
  <c r="AC1953" i="3"/>
  <c r="AC1933" i="3"/>
  <c r="AC1889" i="3"/>
  <c r="AC1881" i="3"/>
  <c r="AC1837" i="3"/>
  <c r="AC1789" i="3"/>
  <c r="AC1777" i="3"/>
  <c r="AC1982" i="3"/>
  <c r="AC1966" i="3"/>
  <c r="AC1954" i="3"/>
  <c r="AC1914" i="3"/>
  <c r="AC1890" i="3"/>
  <c r="AC1838" i="3"/>
  <c r="AC1826" i="3"/>
  <c r="AC1806" i="3"/>
  <c r="AC1798" i="3"/>
  <c r="AC1790" i="3"/>
  <c r="AC1925" i="3"/>
  <c r="AC1873" i="3"/>
  <c r="AC1857" i="3"/>
  <c r="AC1825" i="3"/>
  <c r="AC1805" i="3"/>
  <c r="AC1978" i="3"/>
  <c r="AC1946" i="3"/>
  <c r="AC1902" i="3"/>
  <c r="AC1874" i="3"/>
  <c r="AC1858" i="3"/>
  <c r="AC1913" i="3"/>
  <c r="AC1901" i="3"/>
  <c r="AC1765" i="3"/>
  <c r="AC1976" i="3"/>
  <c r="AC1964" i="3"/>
  <c r="AC1952" i="3"/>
  <c r="AC1884" i="3"/>
  <c r="AC1856" i="3"/>
  <c r="AC1840" i="3"/>
  <c r="AC1911" i="3"/>
  <c r="AC1932" i="3"/>
  <c r="AC1904" i="3"/>
  <c r="AC1872" i="3"/>
  <c r="AC1816" i="3"/>
  <c r="AC1796" i="3"/>
  <c r="AC1768" i="3"/>
  <c r="AC1760" i="3"/>
  <c r="AC1752" i="3"/>
  <c r="AC1983" i="3"/>
  <c r="AC1979" i="3"/>
  <c r="AC1943" i="3"/>
  <c r="AC1883" i="3"/>
  <c r="AC1855" i="3"/>
  <c r="AC1839" i="3"/>
  <c r="AC1924" i="3"/>
  <c r="AC1804" i="3"/>
  <c r="AC1788" i="3"/>
  <c r="AC1975" i="3"/>
  <c r="AC1963" i="3"/>
  <c r="AC1951" i="3"/>
  <c r="AC1923" i="3"/>
  <c r="AC1871" i="3"/>
  <c r="AC1815" i="3"/>
  <c r="AC1803" i="3"/>
  <c r="AG1752" i="3"/>
  <c r="J2087" i="3"/>
  <c r="J967" i="3" s="1"/>
  <c r="M2091" i="3"/>
  <c r="M971" i="3" s="1"/>
  <c r="J2111" i="3"/>
  <c r="J991" i="3" s="1"/>
  <c r="K1003" i="3"/>
  <c r="L2123" i="3"/>
  <c r="L1003" i="3" s="1"/>
  <c r="J2127" i="3"/>
  <c r="J1007" i="3" s="1"/>
  <c r="N2131" i="3"/>
  <c r="N1011" i="3" s="1"/>
  <c r="J2143" i="3"/>
  <c r="J1023" i="3" s="1"/>
  <c r="K2147" i="3"/>
  <c r="K1027" i="3" s="1"/>
  <c r="M2147" i="3"/>
  <c r="M1027" i="3" s="1"/>
  <c r="L2159" i="3"/>
  <c r="L1039" i="3" s="1"/>
  <c r="N2167" i="3"/>
  <c r="N1047" i="3" s="1"/>
  <c r="K2175" i="3"/>
  <c r="K1055" i="3" s="1"/>
  <c r="J2179" i="3"/>
  <c r="J1059" i="3" s="1"/>
  <c r="N2179" i="3"/>
  <c r="N1059" i="3" s="1"/>
  <c r="N2195" i="3"/>
  <c r="N1075" i="3" s="1"/>
  <c r="M2199" i="3"/>
  <c r="M1079" i="3" s="1"/>
  <c r="N2199" i="3"/>
  <c r="N1079" i="3" s="1"/>
  <c r="M2215" i="3"/>
  <c r="M1095" i="3" s="1"/>
  <c r="L2215" i="3"/>
  <c r="L1095" i="3" s="1"/>
  <c r="L2219" i="3"/>
  <c r="L1099" i="3" s="1"/>
  <c r="N2219" i="3"/>
  <c r="N1099" i="3" s="1"/>
  <c r="K1987" i="3"/>
  <c r="L1987" i="3"/>
  <c r="K1991" i="3"/>
  <c r="M1991" i="3"/>
  <c r="K2036" i="3"/>
  <c r="K916" i="3" s="1"/>
  <c r="J2044" i="3"/>
  <c r="J924" i="3" s="1"/>
  <c r="N2060" i="3"/>
  <c r="N940" i="3" s="1"/>
  <c r="M2060" i="3"/>
  <c r="M940" i="3" s="1"/>
  <c r="M2156" i="3"/>
  <c r="M1036" i="3" s="1"/>
  <c r="J2168" i="3"/>
  <c r="J1048" i="3" s="1"/>
  <c r="K2208" i="3"/>
  <c r="K1088" i="3" s="1"/>
  <c r="K2220" i="3"/>
  <c r="K1100" i="3" s="1"/>
  <c r="L1992" i="3"/>
  <c r="L1152" i="3"/>
  <c r="M1992" i="3"/>
  <c r="J2033" i="3"/>
  <c r="J913" i="3" s="1"/>
  <c r="M2049" i="3"/>
  <c r="M929" i="3" s="1"/>
  <c r="N2049" i="3"/>
  <c r="N929" i="3" s="1"/>
  <c r="N2061" i="3"/>
  <c r="N941" i="3" s="1"/>
  <c r="M961" i="3"/>
  <c r="L2081" i="3"/>
  <c r="L961" i="3" s="1"/>
  <c r="L2101" i="3"/>
  <c r="L981" i="3" s="1"/>
  <c r="J2113" i="3"/>
  <c r="J993" i="3" s="1"/>
  <c r="J2125" i="3"/>
  <c r="J1005" i="3" s="1"/>
  <c r="K2145" i="3"/>
  <c r="K1025" i="3" s="1"/>
  <c r="K2157" i="3"/>
  <c r="K1037" i="3" s="1"/>
  <c r="K2165" i="3"/>
  <c r="K1045" i="3" s="1"/>
  <c r="N2189" i="3"/>
  <c r="N1069" i="3" s="1"/>
  <c r="L2217" i="3"/>
  <c r="L1097" i="3" s="1"/>
  <c r="L2229" i="3"/>
  <c r="L1109" i="3" s="1"/>
  <c r="J2229" i="3"/>
  <c r="J1109" i="3" s="1"/>
  <c r="K2241" i="3"/>
  <c r="K1121" i="3" s="1"/>
  <c r="L1989" i="3"/>
  <c r="K1989" i="3"/>
  <c r="M1177" i="3"/>
  <c r="K2034" i="3"/>
  <c r="K914" i="3" s="1"/>
  <c r="L2042" i="3"/>
  <c r="L922" i="3" s="1"/>
  <c r="M2042" i="3"/>
  <c r="M922" i="3" s="1"/>
  <c r="L2054" i="3"/>
  <c r="L934" i="3" s="1"/>
  <c r="N2054" i="3"/>
  <c r="N934" i="3" s="1"/>
  <c r="K2054" i="3"/>
  <c r="K934" i="3" s="1"/>
  <c r="K2066" i="3"/>
  <c r="K946" i="3" s="1"/>
  <c r="K2090" i="3"/>
  <c r="K970" i="3" s="1"/>
  <c r="K2098" i="3"/>
  <c r="K978" i="3" s="1"/>
  <c r="J2114" i="3"/>
  <c r="J994" i="3" s="1"/>
  <c r="K2122" i="3"/>
  <c r="K1002" i="3" s="1"/>
  <c r="K2130" i="3"/>
  <c r="K1010" i="3" s="1"/>
  <c r="K2146" i="3"/>
  <c r="K1026" i="3" s="1"/>
  <c r="L2158" i="3"/>
  <c r="L1038" i="3" s="1"/>
  <c r="K2158" i="3"/>
  <c r="K1038" i="3" s="1"/>
  <c r="N2178" i="3"/>
  <c r="N1058" i="3" s="1"/>
  <c r="M2178" i="3"/>
  <c r="M1058" i="3" s="1"/>
  <c r="K2178" i="3"/>
  <c r="K1058" i="3" s="1"/>
  <c r="M2190" i="3"/>
  <c r="M1070" i="3" s="1"/>
  <c r="K2198" i="3"/>
  <c r="K1078" i="3" s="1"/>
  <c r="L2202" i="3"/>
  <c r="L1082" i="3" s="1"/>
  <c r="K2202" i="3"/>
  <c r="K1082" i="3" s="1"/>
  <c r="K2218" i="3"/>
  <c r="K1098" i="3" s="1"/>
  <c r="J1102" i="3"/>
  <c r="M2242" i="3"/>
  <c r="M1122" i="3" s="1"/>
  <c r="L1130" i="3"/>
  <c r="K2254" i="3"/>
  <c r="K1134" i="3" s="1"/>
  <c r="L1146" i="3"/>
  <c r="K1150" i="3"/>
  <c r="M1990" i="3"/>
  <c r="M2052" i="3"/>
  <c r="M932" i="3" s="1"/>
  <c r="L2128" i="3"/>
  <c r="L1008" i="3" s="1"/>
  <c r="M2128" i="3"/>
  <c r="M1008" i="3" s="1"/>
  <c r="N2160" i="3"/>
  <c r="N1040" i="3" s="1"/>
  <c r="L1132" i="3"/>
  <c r="N1988" i="3"/>
  <c r="K1988" i="3"/>
  <c r="J1168" i="3"/>
  <c r="L2029" i="3"/>
  <c r="L909" i="3" s="1"/>
  <c r="J2053" i="3"/>
  <c r="J933" i="3" s="1"/>
  <c r="L2097" i="3"/>
  <c r="L977" i="3" s="1"/>
  <c r="N2109" i="3"/>
  <c r="N989" i="3" s="1"/>
  <c r="J2109" i="3"/>
  <c r="J989" i="3" s="1"/>
  <c r="K2121" i="3"/>
  <c r="K1001" i="3" s="1"/>
  <c r="J2129" i="3"/>
  <c r="J1009" i="3" s="1"/>
  <c r="K2141" i="3"/>
  <c r="K1021" i="3" s="1"/>
  <c r="N2149" i="3"/>
  <c r="N1029" i="3" s="1"/>
  <c r="M2173" i="3"/>
  <c r="M1053" i="3" s="1"/>
  <c r="N2173" i="3"/>
  <c r="N1053" i="3" s="1"/>
  <c r="J2173" i="3"/>
  <c r="J1053" i="3" s="1"/>
  <c r="M2209" i="3"/>
  <c r="M1089" i="3" s="1"/>
  <c r="K2209" i="3"/>
  <c r="K1089" i="3" s="1"/>
  <c r="J2249" i="3"/>
  <c r="J1129" i="3" s="1"/>
  <c r="N1985" i="3"/>
  <c r="N1747" i="3"/>
  <c r="M1747" i="3"/>
  <c r="R1751" i="3"/>
  <c r="AA1751" i="3"/>
  <c r="AD1751" i="3"/>
  <c r="AB1751" i="3"/>
  <c r="Y1751" i="3"/>
  <c r="M1755" i="3"/>
  <c r="S1759" i="3"/>
  <c r="P1759" i="3"/>
  <c r="Q1759" i="3"/>
  <c r="AB1759" i="3"/>
  <c r="AD1759" i="3"/>
  <c r="N1763" i="3"/>
  <c r="S1767" i="3"/>
  <c r="W1767" i="3"/>
  <c r="AA1767" i="3"/>
  <c r="T1767" i="3"/>
  <c r="AC1767" i="3"/>
  <c r="R1767" i="3"/>
  <c r="N1771" i="3"/>
  <c r="AA1775" i="3"/>
  <c r="X1775" i="3"/>
  <c r="Q1775" i="3"/>
  <c r="V1775" i="3"/>
  <c r="K1779" i="3"/>
  <c r="N1779" i="3"/>
  <c r="W1787" i="3"/>
  <c r="T1787" i="3"/>
  <c r="AC1787" i="3"/>
  <c r="R1787" i="3"/>
  <c r="L2071" i="3"/>
  <c r="L951" i="3" s="1"/>
  <c r="K1791" i="3"/>
  <c r="N1791" i="3"/>
  <c r="W1795" i="3"/>
  <c r="AA1795" i="3"/>
  <c r="P1795" i="3"/>
  <c r="Y1795" i="3"/>
  <c r="AD1795" i="3"/>
  <c r="L1799" i="3"/>
  <c r="M1799" i="3"/>
  <c r="M1823" i="3"/>
  <c r="L1831" i="3"/>
  <c r="U1839" i="3"/>
  <c r="Z1839" i="3"/>
  <c r="K1843" i="3"/>
  <c r="M1843" i="3"/>
  <c r="M1867" i="3"/>
  <c r="Y1871" i="3"/>
  <c r="AD1871" i="3"/>
  <c r="S1871" i="3"/>
  <c r="X1883" i="3"/>
  <c r="Q1911" i="3"/>
  <c r="AB1923" i="3"/>
  <c r="Y1923" i="3"/>
  <c r="AD1923" i="3"/>
  <c r="S1923" i="3"/>
  <c r="L1927" i="3"/>
  <c r="K1947" i="3"/>
  <c r="AD1963" i="3"/>
  <c r="T1979" i="3"/>
  <c r="AA1983" i="3"/>
  <c r="J1151" i="3"/>
  <c r="J1155" i="3"/>
  <c r="N1163" i="3"/>
  <c r="M1167" i="3"/>
  <c r="M1171" i="3"/>
  <c r="K2011" i="3"/>
  <c r="N1175" i="3"/>
  <c r="T1752" i="3"/>
  <c r="AB1760" i="3"/>
  <c r="AB1768" i="3"/>
  <c r="AA1776" i="3"/>
  <c r="V1796" i="3"/>
  <c r="T1828" i="3"/>
  <c r="Q1840" i="3"/>
  <c r="X1856" i="3"/>
  <c r="AA1856" i="3"/>
  <c r="AB1872" i="3"/>
  <c r="L1880" i="3"/>
  <c r="U1904" i="3"/>
  <c r="Z1904" i="3"/>
  <c r="T1912" i="3"/>
  <c r="P1924" i="3"/>
  <c r="Y1924" i="3"/>
  <c r="AD1924" i="3"/>
  <c r="AB1932" i="3"/>
  <c r="W1944" i="3"/>
  <c r="Q1952" i="3"/>
  <c r="AA1964" i="3"/>
  <c r="W1976" i="3"/>
  <c r="Q1976" i="3"/>
  <c r="AB1976" i="3"/>
  <c r="AA1757" i="3"/>
  <c r="N1761" i="3"/>
  <c r="J1754" i="3"/>
  <c r="M1754" i="3"/>
  <c r="L1754" i="3"/>
  <c r="K1754" i="3"/>
  <c r="N1754" i="3"/>
  <c r="K1774" i="3"/>
  <c r="L1774" i="3"/>
  <c r="M1774" i="3"/>
  <c r="N1774" i="3"/>
  <c r="J1774" i="3"/>
  <c r="K1818" i="3"/>
  <c r="M1818" i="3"/>
  <c r="N1818" i="3"/>
  <c r="J1818" i="3"/>
  <c r="L1818" i="3"/>
  <c r="M1830" i="3"/>
  <c r="L1830" i="3"/>
  <c r="N1830" i="3"/>
  <c r="J1830" i="3"/>
  <c r="K1830" i="3"/>
  <c r="N1846" i="3"/>
  <c r="J1846" i="3"/>
  <c r="K1846" i="3"/>
  <c r="M1846" i="3"/>
  <c r="L1846" i="3"/>
  <c r="L1862" i="3"/>
  <c r="N1862" i="3"/>
  <c r="J1862" i="3"/>
  <c r="M1862" i="3"/>
  <c r="K1862" i="3"/>
  <c r="L1866" i="3"/>
  <c r="N1866" i="3"/>
  <c r="J1866" i="3"/>
  <c r="M1866" i="3"/>
  <c r="K1866" i="3"/>
  <c r="M1886" i="3"/>
  <c r="K1886" i="3"/>
  <c r="N1886" i="3"/>
  <c r="J1886" i="3"/>
  <c r="L1886" i="3"/>
  <c r="J1906" i="3"/>
  <c r="L1906" i="3"/>
  <c r="M1906" i="3"/>
  <c r="K1906" i="3"/>
  <c r="N1906" i="3"/>
  <c r="J1922" i="3"/>
  <c r="K1922" i="3"/>
  <c r="M1922" i="3"/>
  <c r="L1922" i="3"/>
  <c r="N1922" i="3"/>
  <c r="J1942" i="3"/>
  <c r="N1942" i="3"/>
  <c r="M1942" i="3"/>
  <c r="K1942" i="3"/>
  <c r="L1942" i="3"/>
  <c r="N1962" i="3"/>
  <c r="J1962" i="3"/>
  <c r="K1962" i="3"/>
  <c r="L1962" i="3"/>
  <c r="M1962" i="3"/>
  <c r="L2002" i="3"/>
  <c r="M2002" i="3"/>
  <c r="N2002" i="3"/>
  <c r="K2002" i="3"/>
  <c r="J2002" i="3"/>
  <c r="N2010" i="3"/>
  <c r="J2010" i="3"/>
  <c r="L2010" i="3"/>
  <c r="M2010" i="3"/>
  <c r="K2010" i="3"/>
  <c r="T1982" i="3"/>
  <c r="T1882" i="3"/>
  <c r="T1806" i="3"/>
  <c r="T1798" i="3"/>
  <c r="T1790" i="3"/>
  <c r="T1758" i="3"/>
  <c r="T1977" i="3"/>
  <c r="T1945" i="3"/>
  <c r="T1978" i="3"/>
  <c r="T1954" i="3"/>
  <c r="T1838" i="3"/>
  <c r="T1750" i="3"/>
  <c r="T1965" i="3"/>
  <c r="T1953" i="3"/>
  <c r="T1933" i="3"/>
  <c r="T1889" i="3"/>
  <c r="T1881" i="3"/>
  <c r="T1805" i="3"/>
  <c r="T1789" i="3"/>
  <c r="T1777" i="3"/>
  <c r="T1914" i="3"/>
  <c r="T1890" i="3"/>
  <c r="T1826" i="3"/>
  <c r="T1814" i="3"/>
  <c r="T1981" i="3"/>
  <c r="T1925" i="3"/>
  <c r="T1873" i="3"/>
  <c r="T1857" i="3"/>
  <c r="T1825" i="3"/>
  <c r="T1966" i="3"/>
  <c r="T1946" i="3"/>
  <c r="T1934" i="3"/>
  <c r="T1926" i="3"/>
  <c r="T1902" i="3"/>
  <c r="T1874" i="3"/>
  <c r="T1858" i="3"/>
  <c r="T1778" i="3"/>
  <c r="T1766" i="3"/>
  <c r="T1913" i="3"/>
  <c r="T1901" i="3"/>
  <c r="T1837" i="3"/>
  <c r="T1813" i="3"/>
  <c r="T1797" i="3"/>
  <c r="T1980" i="3"/>
  <c r="T1952" i="3"/>
  <c r="T1904" i="3"/>
  <c r="T1856" i="3"/>
  <c r="T1840" i="3"/>
  <c r="T1975" i="3"/>
  <c r="T1883" i="3"/>
  <c r="T1855" i="3"/>
  <c r="T1757" i="3"/>
  <c r="T1976" i="3"/>
  <c r="T1932" i="3"/>
  <c r="T1872" i="3"/>
  <c r="T1816" i="3"/>
  <c r="T1796" i="3"/>
  <c r="T1768" i="3"/>
  <c r="T1760" i="3"/>
  <c r="T1951" i="3"/>
  <c r="T1943" i="3"/>
  <c r="T1931" i="3"/>
  <c r="T1871" i="3"/>
  <c r="T1839" i="3"/>
  <c r="T1924" i="3"/>
  <c r="T1892" i="3"/>
  <c r="T1884" i="3"/>
  <c r="T1804" i="3"/>
  <c r="T1788" i="3"/>
  <c r="T1963" i="3"/>
  <c r="T1923" i="3"/>
  <c r="T1911" i="3"/>
  <c r="T1815" i="3"/>
  <c r="T1803" i="3"/>
  <c r="AF1982" i="3"/>
  <c r="AF1752" i="3"/>
  <c r="N2115" i="3"/>
  <c r="N995" i="3" s="1"/>
  <c r="L2165" i="3"/>
  <c r="L1045" i="3" s="1"/>
  <c r="L1986" i="3"/>
  <c r="L2141" i="3"/>
  <c r="L1021" i="3" s="1"/>
  <c r="X1751" i="3"/>
  <c r="T1775" i="3"/>
  <c r="P1815" i="3"/>
  <c r="J2216" i="3"/>
  <c r="J1096" i="3" s="1"/>
  <c r="J1149" i="3"/>
  <c r="N1157" i="3"/>
  <c r="M1169" i="3"/>
  <c r="N1162" i="3"/>
  <c r="N1748" i="3"/>
  <c r="J1748" i="3"/>
  <c r="K1748" i="3"/>
  <c r="M1748" i="3"/>
  <c r="J1756" i="3"/>
  <c r="M1756" i="3"/>
  <c r="L1756" i="3"/>
  <c r="K1756" i="3"/>
  <c r="J1764" i="3"/>
  <c r="M1764" i="3"/>
  <c r="K1764" i="3"/>
  <c r="N1772" i="3"/>
  <c r="J1772" i="3"/>
  <c r="M1772" i="3"/>
  <c r="K1772" i="3"/>
  <c r="J1780" i="3"/>
  <c r="M1780" i="3"/>
  <c r="K1780" i="3"/>
  <c r="N1780" i="3"/>
  <c r="L1784" i="3"/>
  <c r="J1784" i="3"/>
  <c r="N1784" i="3"/>
  <c r="L1792" i="3"/>
  <c r="N1792" i="3"/>
  <c r="J1792" i="3"/>
  <c r="M1792" i="3"/>
  <c r="K1792" i="3"/>
  <c r="L1800" i="3"/>
  <c r="M1800" i="3"/>
  <c r="K1800" i="3"/>
  <c r="N1800" i="3"/>
  <c r="J1800" i="3"/>
  <c r="N1808" i="3"/>
  <c r="L1808" i="3"/>
  <c r="J1808" i="3"/>
  <c r="L1812" i="3"/>
  <c r="J1812" i="3"/>
  <c r="N1812" i="3"/>
  <c r="M1812" i="3"/>
  <c r="K1812" i="3"/>
  <c r="L1820" i="3"/>
  <c r="J1820" i="3"/>
  <c r="N1820" i="3"/>
  <c r="L1824" i="3"/>
  <c r="N1824" i="3"/>
  <c r="J1824" i="3"/>
  <c r="M1824" i="3"/>
  <c r="K1824" i="3"/>
  <c r="M1832" i="3"/>
  <c r="K1832" i="3"/>
  <c r="J1832" i="3"/>
  <c r="L1832" i="3"/>
  <c r="N1832" i="3"/>
  <c r="L1836" i="3"/>
  <c r="J1836" i="3"/>
  <c r="N1836" i="3"/>
  <c r="M1836" i="3"/>
  <c r="K1836" i="3"/>
  <c r="L1844" i="3"/>
  <c r="J1844" i="3"/>
  <c r="M1844" i="3"/>
  <c r="K1844" i="3"/>
  <c r="N1844" i="3"/>
  <c r="M1848" i="3"/>
  <c r="K1848" i="3"/>
  <c r="J1848" i="3"/>
  <c r="L1848" i="3"/>
  <c r="N1848" i="3"/>
  <c r="N1852" i="3"/>
  <c r="J1852" i="3"/>
  <c r="L1852" i="3"/>
  <c r="K1852" i="3"/>
  <c r="N1860" i="3"/>
  <c r="J1860" i="3"/>
  <c r="L1860" i="3"/>
  <c r="K1860" i="3"/>
  <c r="M1864" i="3"/>
  <c r="N1864" i="3"/>
  <c r="J1864" i="3"/>
  <c r="L1864" i="3"/>
  <c r="K1868" i="3"/>
  <c r="M1868" i="3"/>
  <c r="N1868" i="3"/>
  <c r="M1876" i="3"/>
  <c r="N1876" i="3"/>
  <c r="J1876" i="3"/>
  <c r="L1876" i="3"/>
  <c r="K1880" i="3"/>
  <c r="M1880" i="3"/>
  <c r="N1880" i="3"/>
  <c r="J1888" i="3"/>
  <c r="K1888" i="3"/>
  <c r="M1888" i="3"/>
  <c r="K1896" i="3"/>
  <c r="M1896" i="3"/>
  <c r="L1896" i="3"/>
  <c r="N1896" i="3"/>
  <c r="J1900" i="3"/>
  <c r="K1900" i="3"/>
  <c r="M1900" i="3"/>
  <c r="K1908" i="3"/>
  <c r="M1908" i="3"/>
  <c r="L1908" i="3"/>
  <c r="N1908" i="3"/>
  <c r="M1916" i="3"/>
  <c r="K1916" i="3"/>
  <c r="N1916" i="3"/>
  <c r="J1916" i="3"/>
  <c r="L1916" i="3"/>
  <c r="J1920" i="3"/>
  <c r="L1920" i="3"/>
  <c r="K1920" i="3"/>
  <c r="M1920" i="3"/>
  <c r="M1928" i="3"/>
  <c r="N1928" i="3"/>
  <c r="K1928" i="3"/>
  <c r="M1936" i="3"/>
  <c r="N1936" i="3"/>
  <c r="L1940" i="3"/>
  <c r="K1940" i="3"/>
  <c r="N1940" i="3"/>
  <c r="M1940" i="3"/>
  <c r="J1940" i="3"/>
  <c r="J1948" i="3"/>
  <c r="L1948" i="3"/>
  <c r="K1948" i="3"/>
  <c r="M1948" i="3"/>
  <c r="L1956" i="3"/>
  <c r="N1956" i="3"/>
  <c r="K1956" i="3"/>
  <c r="M1956" i="3"/>
  <c r="J1956" i="3"/>
  <c r="L1960" i="3"/>
  <c r="N1960" i="3"/>
  <c r="J1960" i="3"/>
  <c r="K1960" i="3"/>
  <c r="M1960" i="3"/>
  <c r="L1968" i="3"/>
  <c r="N1968" i="3"/>
  <c r="M1968" i="3"/>
  <c r="J1972" i="3"/>
  <c r="L1972" i="3"/>
  <c r="M1972" i="3"/>
  <c r="K1972" i="3"/>
  <c r="J1996" i="3"/>
  <c r="K1996" i="3"/>
  <c r="M1996" i="3"/>
  <c r="L1996" i="3"/>
  <c r="M2000" i="3"/>
  <c r="L2000" i="3"/>
  <c r="N2000" i="3"/>
  <c r="N2008" i="3"/>
  <c r="J2008" i="3"/>
  <c r="K2008" i="3"/>
  <c r="M2008" i="3"/>
  <c r="J2012" i="3"/>
  <c r="K2012" i="3"/>
  <c r="M2012" i="3"/>
  <c r="L2012" i="3"/>
  <c r="M2016" i="3"/>
  <c r="K2016" i="3"/>
  <c r="N2016" i="3"/>
  <c r="R1954" i="3"/>
  <c r="R1946" i="3"/>
  <c r="R1934" i="3"/>
  <c r="R1926" i="3"/>
  <c r="R1874" i="3"/>
  <c r="R1858" i="3"/>
  <c r="R1814" i="3"/>
  <c r="R1778" i="3"/>
  <c r="R1758" i="3"/>
  <c r="R1977" i="3"/>
  <c r="R1945" i="3"/>
  <c r="R1933" i="3"/>
  <c r="R1837" i="3"/>
  <c r="R1813" i="3"/>
  <c r="R1797" i="3"/>
  <c r="R1882" i="3"/>
  <c r="R1766" i="3"/>
  <c r="R1953" i="3"/>
  <c r="R1889" i="3"/>
  <c r="R1881" i="3"/>
  <c r="R1982" i="3"/>
  <c r="R1966" i="3"/>
  <c r="R1890" i="3"/>
  <c r="R1838" i="3"/>
  <c r="R1826" i="3"/>
  <c r="R1806" i="3"/>
  <c r="R1798" i="3"/>
  <c r="R1794" i="3"/>
  <c r="R1790" i="3"/>
  <c r="R1750" i="3"/>
  <c r="R1981" i="3"/>
  <c r="R1913" i="3"/>
  <c r="R1873" i="3"/>
  <c r="R1857" i="3"/>
  <c r="R1805" i="3"/>
  <c r="R1789" i="3"/>
  <c r="R1777" i="3"/>
  <c r="R1978" i="3"/>
  <c r="R1914" i="3"/>
  <c r="R1902" i="3"/>
  <c r="R1965" i="3"/>
  <c r="R1925" i="3"/>
  <c r="R1901" i="3"/>
  <c r="R1825" i="3"/>
  <c r="R1793" i="3"/>
  <c r="R1765" i="3"/>
  <c r="R1976" i="3"/>
  <c r="R1952" i="3"/>
  <c r="R1856" i="3"/>
  <c r="R1840" i="3"/>
  <c r="R1828" i="3"/>
  <c r="R1816" i="3"/>
  <c r="R1796" i="3"/>
  <c r="R1788" i="3"/>
  <c r="R1768" i="3"/>
  <c r="R1752" i="3"/>
  <c r="R1979" i="3"/>
  <c r="R1911" i="3"/>
  <c r="R1903" i="3"/>
  <c r="R1891" i="3"/>
  <c r="R1964" i="3"/>
  <c r="R1932" i="3"/>
  <c r="R1904" i="3"/>
  <c r="R1872" i="3"/>
  <c r="R1760" i="3"/>
  <c r="R1975" i="3"/>
  <c r="R1963" i="3"/>
  <c r="R1883" i="3"/>
  <c r="R1855" i="3"/>
  <c r="R1839" i="3"/>
  <c r="R1924" i="3"/>
  <c r="R1884" i="3"/>
  <c r="R1951" i="3"/>
  <c r="R1943" i="3"/>
  <c r="R1923" i="3"/>
  <c r="R1871" i="3"/>
  <c r="R1815" i="3"/>
  <c r="R1803" i="3"/>
  <c r="V1882" i="3"/>
  <c r="V1766" i="3"/>
  <c r="V1953" i="3"/>
  <c r="V1925" i="3"/>
  <c r="V1889" i="3"/>
  <c r="V1881" i="3"/>
  <c r="V1982" i="3"/>
  <c r="V1966" i="3"/>
  <c r="V1946" i="3"/>
  <c r="V1890" i="3"/>
  <c r="V1838" i="3"/>
  <c r="V1826" i="3"/>
  <c r="V1806" i="3"/>
  <c r="V1798" i="3"/>
  <c r="V1790" i="3"/>
  <c r="V1750" i="3"/>
  <c r="V1977" i="3"/>
  <c r="V1933" i="3"/>
  <c r="V1873" i="3"/>
  <c r="V1857" i="3"/>
  <c r="V1805" i="3"/>
  <c r="V1789" i="3"/>
  <c r="V1777" i="3"/>
  <c r="V1978" i="3"/>
  <c r="V1954" i="3"/>
  <c r="V1914" i="3"/>
  <c r="V1902" i="3"/>
  <c r="V1981" i="3"/>
  <c r="V1965" i="3"/>
  <c r="V1913" i="3"/>
  <c r="V1901" i="3"/>
  <c r="V1825" i="3"/>
  <c r="V1934" i="3"/>
  <c r="V1926" i="3"/>
  <c r="V1874" i="3"/>
  <c r="V1858" i="3"/>
  <c r="V1814" i="3"/>
  <c r="V1778" i="3"/>
  <c r="V1758" i="3"/>
  <c r="V1945" i="3"/>
  <c r="V1837" i="3"/>
  <c r="V1813" i="3"/>
  <c r="V1797" i="3"/>
  <c r="V1964" i="3"/>
  <c r="V1932" i="3"/>
  <c r="V1904" i="3"/>
  <c r="V1872" i="3"/>
  <c r="V1975" i="3"/>
  <c r="V1883" i="3"/>
  <c r="V1855" i="3"/>
  <c r="V1839" i="3"/>
  <c r="V1924" i="3"/>
  <c r="V1884" i="3"/>
  <c r="V1840" i="3"/>
  <c r="V1828" i="3"/>
  <c r="V1788" i="3"/>
  <c r="V1760" i="3"/>
  <c r="V1963" i="3"/>
  <c r="V1951" i="3"/>
  <c r="V1943" i="3"/>
  <c r="V1923" i="3"/>
  <c r="V1871" i="3"/>
  <c r="V1815" i="3"/>
  <c r="V1803" i="3"/>
  <c r="V1757" i="3"/>
  <c r="V1984" i="3"/>
  <c r="V1980" i="3"/>
  <c r="V1944" i="3"/>
  <c r="V1912" i="3"/>
  <c r="V1892" i="3"/>
  <c r="V1804" i="3"/>
  <c r="V1776" i="3"/>
  <c r="V1983" i="3"/>
  <c r="V1931" i="3"/>
  <c r="V1827" i="3"/>
  <c r="Z1982" i="3"/>
  <c r="Z1966" i="3"/>
  <c r="Z1954" i="3"/>
  <c r="Z1946" i="3"/>
  <c r="Z1890" i="3"/>
  <c r="Z1838" i="3"/>
  <c r="Z1826" i="3"/>
  <c r="Z1806" i="3"/>
  <c r="Z1798" i="3"/>
  <c r="Z1790" i="3"/>
  <c r="Z1977" i="3"/>
  <c r="Z1925" i="3"/>
  <c r="Z1873" i="3"/>
  <c r="Z1857" i="3"/>
  <c r="Z1805" i="3"/>
  <c r="Z1789" i="3"/>
  <c r="Z1777" i="3"/>
  <c r="Z1978" i="3"/>
  <c r="Z1914" i="3"/>
  <c r="Z1902" i="3"/>
  <c r="Z1965" i="3"/>
  <c r="Z1901" i="3"/>
  <c r="Z1825" i="3"/>
  <c r="Z1934" i="3"/>
  <c r="Z1926" i="3"/>
  <c r="Z1874" i="3"/>
  <c r="Z1858" i="3"/>
  <c r="Z1814" i="3"/>
  <c r="Z1778" i="3"/>
  <c r="Z1758" i="3"/>
  <c r="Z1945" i="3"/>
  <c r="Z1933" i="3"/>
  <c r="Z1837" i="3"/>
  <c r="Z1813" i="3"/>
  <c r="Z1797" i="3"/>
  <c r="Z1882" i="3"/>
  <c r="Z1766" i="3"/>
  <c r="Z1953" i="3"/>
  <c r="Z1913" i="3"/>
  <c r="Z1889" i="3"/>
  <c r="Z1881" i="3"/>
  <c r="Z1924" i="3"/>
  <c r="Z1884" i="3"/>
  <c r="Z1768" i="3"/>
  <c r="Z1951" i="3"/>
  <c r="Z1943" i="3"/>
  <c r="Z1923" i="3"/>
  <c r="Z1871" i="3"/>
  <c r="Z1815" i="3"/>
  <c r="Z1803" i="3"/>
  <c r="Z1757" i="3"/>
  <c r="Z1984" i="3"/>
  <c r="Z1980" i="3"/>
  <c r="Z1944" i="3"/>
  <c r="Z1912" i="3"/>
  <c r="Z1892" i="3"/>
  <c r="Z1816" i="3"/>
  <c r="Z1804" i="3"/>
  <c r="Z1788" i="3"/>
  <c r="Z1776" i="3"/>
  <c r="Z1983" i="3"/>
  <c r="Z1931" i="3"/>
  <c r="Z1827" i="3"/>
  <c r="Z1765" i="3"/>
  <c r="Z1976" i="3"/>
  <c r="Z1952" i="3"/>
  <c r="Z1856" i="3"/>
  <c r="Z1840" i="3"/>
  <c r="Z1828" i="3"/>
  <c r="Z1796" i="3"/>
  <c r="Z1752" i="3"/>
  <c r="Z1979" i="3"/>
  <c r="Z1963" i="3"/>
  <c r="Z1911" i="3"/>
  <c r="Z1903" i="3"/>
  <c r="Z1891" i="3"/>
  <c r="AD1978" i="3"/>
  <c r="AD1914" i="3"/>
  <c r="AD1902" i="3"/>
  <c r="AD1965" i="3"/>
  <c r="AD1913" i="3"/>
  <c r="AD1901" i="3"/>
  <c r="AD1825" i="3"/>
  <c r="AD1934" i="3"/>
  <c r="AD1926" i="3"/>
  <c r="AD1874" i="3"/>
  <c r="AD1858" i="3"/>
  <c r="AD1814" i="3"/>
  <c r="AD1778" i="3"/>
  <c r="AD1758" i="3"/>
  <c r="AD1945" i="3"/>
  <c r="AD1925" i="3"/>
  <c r="AD1837" i="3"/>
  <c r="AD1813" i="3"/>
  <c r="AD1797" i="3"/>
  <c r="AD1946" i="3"/>
  <c r="AD1882" i="3"/>
  <c r="AD1766" i="3"/>
  <c r="AD1977" i="3"/>
  <c r="AD1953" i="3"/>
  <c r="AD1889" i="3"/>
  <c r="AD1881" i="3"/>
  <c r="AD1982" i="3"/>
  <c r="AD1966" i="3"/>
  <c r="AD1954" i="3"/>
  <c r="AD1890" i="3"/>
  <c r="AD1838" i="3"/>
  <c r="AD1826" i="3"/>
  <c r="AD1806" i="3"/>
  <c r="AD1798" i="3"/>
  <c r="AD1790" i="3"/>
  <c r="AD1933" i="3"/>
  <c r="AD1873" i="3"/>
  <c r="AD1857" i="3"/>
  <c r="AD1805" i="3"/>
  <c r="AD1789" i="3"/>
  <c r="AD1777" i="3"/>
  <c r="AD1757" i="3"/>
  <c r="AD1944" i="3"/>
  <c r="AD1912" i="3"/>
  <c r="AD1892" i="3"/>
  <c r="AD1816" i="3"/>
  <c r="AD1804" i="3"/>
  <c r="AD1796" i="3"/>
  <c r="AD1788" i="3"/>
  <c r="AD1768" i="3"/>
  <c r="AD1931" i="3"/>
  <c r="AD1827" i="3"/>
  <c r="AD1765" i="3"/>
  <c r="AD1976" i="3"/>
  <c r="AD1952" i="3"/>
  <c r="AD1856" i="3"/>
  <c r="AD1776" i="3"/>
  <c r="AD1752" i="3"/>
  <c r="AD1979" i="3"/>
  <c r="AD1911" i="3"/>
  <c r="AD1903" i="3"/>
  <c r="AD1891" i="3"/>
  <c r="AD1964" i="3"/>
  <c r="AD1932" i="3"/>
  <c r="AD1904" i="3"/>
  <c r="AD1872" i="3"/>
  <c r="AD1840" i="3"/>
  <c r="AD1828" i="3"/>
  <c r="AD1975" i="3"/>
  <c r="AD1883" i="3"/>
  <c r="AD1855" i="3"/>
  <c r="AD1839" i="3"/>
  <c r="AH1752" i="3"/>
  <c r="N2091" i="3"/>
  <c r="N971" i="3" s="1"/>
  <c r="M2099" i="3"/>
  <c r="M979" i="3" s="1"/>
  <c r="N2103" i="3"/>
  <c r="N983" i="3" s="1"/>
  <c r="M2111" i="3"/>
  <c r="M991" i="3" s="1"/>
  <c r="M2123" i="3"/>
  <c r="M1003" i="3" s="1"/>
  <c r="M1007" i="3"/>
  <c r="M2139" i="3"/>
  <c r="M1019" i="3" s="1"/>
  <c r="L2139" i="3"/>
  <c r="L1019" i="3" s="1"/>
  <c r="K2139" i="3"/>
  <c r="K1019" i="3" s="1"/>
  <c r="J2139" i="3"/>
  <c r="J1019" i="3" s="1"/>
  <c r="J2147" i="3"/>
  <c r="J1027" i="3" s="1"/>
  <c r="N2147" i="3"/>
  <c r="N1027" i="3" s="1"/>
  <c r="J2155" i="3"/>
  <c r="J1035" i="3" s="1"/>
  <c r="L2167" i="3"/>
  <c r="L1047" i="3" s="1"/>
  <c r="L2187" i="3"/>
  <c r="L1067" i="3" s="1"/>
  <c r="L2199" i="3"/>
  <c r="L1079" i="3" s="1"/>
  <c r="L2207" i="3"/>
  <c r="L1087" i="3" s="1"/>
  <c r="J2215" i="3"/>
  <c r="J1095" i="3" s="1"/>
  <c r="J2219" i="3"/>
  <c r="J1099" i="3" s="1"/>
  <c r="J2227" i="3"/>
  <c r="J1107" i="3" s="1"/>
  <c r="L2235" i="3"/>
  <c r="L1115" i="3" s="1"/>
  <c r="L2239" i="3"/>
  <c r="L1119" i="3" s="1"/>
  <c r="N2239" i="3"/>
  <c r="N1119" i="3" s="1"/>
  <c r="L2247" i="3"/>
  <c r="L1127" i="3" s="1"/>
  <c r="N1987" i="3"/>
  <c r="K1147" i="3"/>
  <c r="L1991" i="3"/>
  <c r="N1991" i="3"/>
  <c r="N2036" i="3"/>
  <c r="N916" i="3" s="1"/>
  <c r="M2104" i="3"/>
  <c r="M984" i="3" s="1"/>
  <c r="N1012" i="3"/>
  <c r="M2180" i="3"/>
  <c r="M1060" i="3" s="1"/>
  <c r="K2196" i="3"/>
  <c r="K1076" i="3" s="1"/>
  <c r="M2220" i="3"/>
  <c r="M1100" i="3" s="1"/>
  <c r="M1152" i="3"/>
  <c r="N1992" i="3"/>
  <c r="K1992" i="3"/>
  <c r="M1156" i="3"/>
  <c r="L2049" i="3"/>
  <c r="L929" i="3" s="1"/>
  <c r="L2061" i="3"/>
  <c r="L941" i="3" s="1"/>
  <c r="J2081" i="3"/>
  <c r="J961" i="3" s="1"/>
  <c r="K2089" i="3"/>
  <c r="K969" i="3" s="1"/>
  <c r="J2101" i="3"/>
  <c r="J981" i="3" s="1"/>
  <c r="K2101" i="3"/>
  <c r="K981" i="3" s="1"/>
  <c r="K2113" i="3"/>
  <c r="K993" i="3" s="1"/>
  <c r="K2125" i="3"/>
  <c r="K1005" i="3" s="1"/>
  <c r="K2133" i="3"/>
  <c r="K1013" i="3" s="1"/>
  <c r="N2157" i="3"/>
  <c r="N1037" i="3" s="1"/>
  <c r="L2177" i="3"/>
  <c r="L1057" i="3" s="1"/>
  <c r="L2189" i="3"/>
  <c r="L1069" i="3" s="1"/>
  <c r="K2201" i="3"/>
  <c r="K1081" i="3" s="1"/>
  <c r="M2217" i="3"/>
  <c r="M1097" i="3" s="1"/>
  <c r="K2229" i="3"/>
  <c r="K1109" i="3" s="1"/>
  <c r="M1121" i="3"/>
  <c r="N2241" i="3"/>
  <c r="N1121" i="3" s="1"/>
  <c r="J2253" i="3"/>
  <c r="J1133" i="3" s="1"/>
  <c r="M1989" i="3"/>
  <c r="L2034" i="3"/>
  <c r="L914" i="3" s="1"/>
  <c r="K2042" i="3"/>
  <c r="K922" i="3" s="1"/>
  <c r="J2050" i="3"/>
  <c r="J930" i="3" s="1"/>
  <c r="N2062" i="3"/>
  <c r="N942" i="3" s="1"/>
  <c r="K2062" i="3"/>
  <c r="K942" i="3" s="1"/>
  <c r="N2066" i="3"/>
  <c r="N946" i="3" s="1"/>
  <c r="M2066" i="3"/>
  <c r="M946" i="3" s="1"/>
  <c r="J2090" i="3"/>
  <c r="J970" i="3" s="1"/>
  <c r="J2098" i="3"/>
  <c r="J978" i="3" s="1"/>
  <c r="N2102" i="3"/>
  <c r="N982" i="3" s="1"/>
  <c r="M2114" i="3"/>
  <c r="M994" i="3" s="1"/>
  <c r="J2126" i="3"/>
  <c r="J1006" i="3" s="1"/>
  <c r="M2134" i="3"/>
  <c r="M1014" i="3" s="1"/>
  <c r="J2142" i="3"/>
  <c r="J1022" i="3" s="1"/>
  <c r="M2146" i="3"/>
  <c r="M1026" i="3" s="1"/>
  <c r="N2166" i="3"/>
  <c r="N1046" i="3" s="1"/>
  <c r="L1058" i="3"/>
  <c r="J2186" i="3"/>
  <c r="J1066" i="3" s="1"/>
  <c r="M2186" i="3"/>
  <c r="M1066" i="3" s="1"/>
  <c r="K2186" i="3"/>
  <c r="K1066" i="3" s="1"/>
  <c r="J1082" i="3"/>
  <c r="M1082" i="3"/>
  <c r="J2210" i="3"/>
  <c r="J1090" i="3" s="1"/>
  <c r="K2210" i="3"/>
  <c r="K1090" i="3" s="1"/>
  <c r="J1098" i="3"/>
  <c r="N1110" i="3"/>
  <c r="M2230" i="3"/>
  <c r="M1110" i="3" s="1"/>
  <c r="L2242" i="3"/>
  <c r="L1122" i="3" s="1"/>
  <c r="J1130" i="3"/>
  <c r="K2250" i="3"/>
  <c r="K1130" i="3" s="1"/>
  <c r="L2254" i="3"/>
  <c r="L1134" i="3" s="1"/>
  <c r="M2254" i="3"/>
  <c r="M1134" i="3" s="1"/>
  <c r="M1986" i="3"/>
  <c r="N1990" i="3"/>
  <c r="K1990" i="3"/>
  <c r="K2080" i="3"/>
  <c r="K960" i="3" s="1"/>
  <c r="N2092" i="3"/>
  <c r="N972" i="3" s="1"/>
  <c r="M2092" i="3"/>
  <c r="M972" i="3" s="1"/>
  <c r="L2100" i="3"/>
  <c r="L980" i="3" s="1"/>
  <c r="K2128" i="3"/>
  <c r="K1008" i="3" s="1"/>
  <c r="M2148" i="3"/>
  <c r="M1028" i="3" s="1"/>
  <c r="N2200" i="3"/>
  <c r="N1080" i="3" s="1"/>
  <c r="N2216" i="3"/>
  <c r="N1096" i="3" s="1"/>
  <c r="M2216" i="3"/>
  <c r="M1096" i="3" s="1"/>
  <c r="K2228" i="3"/>
  <c r="K1108" i="3" s="1"/>
  <c r="N2240" i="3"/>
  <c r="N1120" i="3" s="1"/>
  <c r="L1988" i="3"/>
  <c r="M1988" i="3"/>
  <c r="N1172" i="3"/>
  <c r="N2029" i="3"/>
  <c r="N909" i="3" s="1"/>
  <c r="K2041" i="3"/>
  <c r="K921" i="3" s="1"/>
  <c r="K2053" i="3"/>
  <c r="K933" i="3" s="1"/>
  <c r="J2097" i="3"/>
  <c r="J977" i="3" s="1"/>
  <c r="M2109" i="3"/>
  <c r="M989" i="3" s="1"/>
  <c r="L2109" i="3"/>
  <c r="L989" i="3" s="1"/>
  <c r="J2121" i="3"/>
  <c r="J1001" i="3" s="1"/>
  <c r="M2129" i="3"/>
  <c r="M1009" i="3" s="1"/>
  <c r="L2173" i="3"/>
  <c r="L1053" i="3" s="1"/>
  <c r="M2185" i="3"/>
  <c r="M1065" i="3" s="1"/>
  <c r="K2185" i="3"/>
  <c r="K1065" i="3" s="1"/>
  <c r="L2209" i="3"/>
  <c r="L1089" i="3" s="1"/>
  <c r="M1129" i="3"/>
  <c r="L2249" i="3"/>
  <c r="L1129" i="3" s="1"/>
  <c r="M1985" i="3"/>
  <c r="L1985" i="3"/>
  <c r="M1993" i="3"/>
  <c r="K1153" i="3"/>
  <c r="K1993" i="3"/>
  <c r="M1153" i="3"/>
  <c r="Z1751" i="3"/>
  <c r="AE1751" i="3"/>
  <c r="P1751" i="3"/>
  <c r="AF1751" i="3"/>
  <c r="AC1751" i="3"/>
  <c r="N1755" i="3"/>
  <c r="K1755" i="3"/>
  <c r="W1759" i="3"/>
  <c r="V1759" i="3"/>
  <c r="T1759" i="3"/>
  <c r="R1759" i="3"/>
  <c r="U1759" i="3"/>
  <c r="K1763" i="3"/>
  <c r="X1767" i="3"/>
  <c r="Q1767" i="3"/>
  <c r="V1767" i="3"/>
  <c r="K1771" i="3"/>
  <c r="M1771" i="3"/>
  <c r="AB1775" i="3"/>
  <c r="U1775" i="3"/>
  <c r="Z1775" i="3"/>
  <c r="L1783" i="3"/>
  <c r="J1783" i="3"/>
  <c r="S1787" i="3"/>
  <c r="X1787" i="3"/>
  <c r="Q1787" i="3"/>
  <c r="V1787" i="3"/>
  <c r="T1795" i="3"/>
  <c r="AC1795" i="3"/>
  <c r="R1795" i="3"/>
  <c r="AA1803" i="3"/>
  <c r="P1803" i="3"/>
  <c r="Y1803" i="3"/>
  <c r="AD1803" i="3"/>
  <c r="S1815" i="3"/>
  <c r="J1831" i="3"/>
  <c r="AB1839" i="3"/>
  <c r="L1847" i="3"/>
  <c r="N1851" i="3"/>
  <c r="M1859" i="3"/>
  <c r="J1879" i="3"/>
  <c r="U1883" i="3"/>
  <c r="Z1883" i="3"/>
  <c r="AC1891" i="3"/>
  <c r="AC1903" i="3"/>
  <c r="J1907" i="3"/>
  <c r="AB1911" i="3"/>
  <c r="V1911" i="3"/>
  <c r="AA1911" i="3"/>
  <c r="X1931" i="3"/>
  <c r="AC1931" i="3"/>
  <c r="R1931" i="3"/>
  <c r="M1935" i="3"/>
  <c r="AB1943" i="3"/>
  <c r="U1979" i="3"/>
  <c r="R1983" i="3"/>
  <c r="L1995" i="3"/>
  <c r="M1159" i="3"/>
  <c r="L1171" i="3"/>
  <c r="K1175" i="3"/>
  <c r="M2015" i="3"/>
  <c r="S1760" i="3"/>
  <c r="L1764" i="3"/>
  <c r="S1768" i="3"/>
  <c r="L1772" i="3"/>
  <c r="R1776" i="3"/>
  <c r="P1788" i="3"/>
  <c r="Y1788" i="3"/>
  <c r="U1796" i="3"/>
  <c r="R1804" i="3"/>
  <c r="M1808" i="3"/>
  <c r="U1816" i="3"/>
  <c r="AA1828" i="3"/>
  <c r="X1840" i="3"/>
  <c r="M1852" i="3"/>
  <c r="K1864" i="3"/>
  <c r="L1868" i="3"/>
  <c r="J1880" i="3"/>
  <c r="AC1892" i="3"/>
  <c r="R1892" i="3"/>
  <c r="P1892" i="3"/>
  <c r="J1928" i="3"/>
  <c r="T1944" i="3"/>
  <c r="X1952" i="3"/>
  <c r="V1952" i="3"/>
  <c r="AA1952" i="3"/>
  <c r="K1968" i="3"/>
  <c r="N1972" i="3"/>
  <c r="V1976" i="3"/>
  <c r="N1156" i="3"/>
  <c r="K1160" i="3"/>
  <c r="J2000" i="3"/>
  <c r="L1172" i="3"/>
  <c r="J2016" i="3"/>
  <c r="AC1757" i="3"/>
  <c r="T1765" i="3"/>
  <c r="M1770" i="3"/>
  <c r="N1770" i="3"/>
  <c r="J1770" i="3"/>
  <c r="L1770" i="3"/>
  <c r="K1770" i="3"/>
  <c r="J1786" i="3"/>
  <c r="K1786" i="3"/>
  <c r="L1786" i="3"/>
  <c r="M1786" i="3"/>
  <c r="N1786" i="3"/>
  <c r="M1810" i="3"/>
  <c r="L1810" i="3"/>
  <c r="N1810" i="3"/>
  <c r="J1810" i="3"/>
  <c r="K1810" i="3"/>
  <c r="K1834" i="3"/>
  <c r="M1834" i="3"/>
  <c r="N1834" i="3"/>
  <c r="J1834" i="3"/>
  <c r="L1834" i="3"/>
  <c r="K1850" i="3"/>
  <c r="N1850" i="3"/>
  <c r="J1850" i="3"/>
  <c r="M1850" i="3"/>
  <c r="L1850" i="3"/>
  <c r="J1870" i="3"/>
  <c r="M1870" i="3"/>
  <c r="K1870" i="3"/>
  <c r="L1870" i="3"/>
  <c r="N1870" i="3"/>
  <c r="M1894" i="3"/>
  <c r="K1894" i="3"/>
  <c r="N1894" i="3"/>
  <c r="J1894" i="3"/>
  <c r="L1894" i="3"/>
  <c r="L1910" i="3"/>
  <c r="N1910" i="3"/>
  <c r="M1910" i="3"/>
  <c r="J1910" i="3"/>
  <c r="K1910" i="3"/>
  <c r="J1930" i="3"/>
  <c r="K1930" i="3"/>
  <c r="M1930" i="3"/>
  <c r="L1930" i="3"/>
  <c r="N1930" i="3"/>
  <c r="L1950" i="3"/>
  <c r="N1950" i="3"/>
  <c r="J1950" i="3"/>
  <c r="M1950" i="3"/>
  <c r="K1950" i="3"/>
  <c r="J1970" i="3"/>
  <c r="L1970" i="3"/>
  <c r="N1970" i="3"/>
  <c r="M1970" i="3"/>
  <c r="K1970" i="3"/>
  <c r="J1998" i="3"/>
  <c r="L1998" i="3"/>
  <c r="M1998" i="3"/>
  <c r="K1998" i="3"/>
  <c r="N1998" i="3"/>
  <c r="N2014" i="3"/>
  <c r="J2014" i="3"/>
  <c r="K2014" i="3"/>
  <c r="M2014" i="3"/>
  <c r="L2014" i="3"/>
  <c r="X1978" i="3"/>
  <c r="X1826" i="3"/>
  <c r="X1814" i="3"/>
  <c r="X1750" i="3"/>
  <c r="X1953" i="3"/>
  <c r="X1933" i="3"/>
  <c r="X1889" i="3"/>
  <c r="X1881" i="3"/>
  <c r="X1805" i="3"/>
  <c r="X1789" i="3"/>
  <c r="X1777" i="3"/>
  <c r="X1765" i="3"/>
  <c r="X1914" i="3"/>
  <c r="X1890" i="3"/>
  <c r="X1806" i="3"/>
  <c r="X1790" i="3"/>
  <c r="X1981" i="3"/>
  <c r="X1925" i="3"/>
  <c r="X1873" i="3"/>
  <c r="X1857" i="3"/>
  <c r="X1825" i="3"/>
  <c r="X1966" i="3"/>
  <c r="X1946" i="3"/>
  <c r="X1934" i="3"/>
  <c r="X1926" i="3"/>
  <c r="X1902" i="3"/>
  <c r="X1874" i="3"/>
  <c r="X1858" i="3"/>
  <c r="X1798" i="3"/>
  <c r="X1778" i="3"/>
  <c r="X1766" i="3"/>
  <c r="X1913" i="3"/>
  <c r="X1901" i="3"/>
  <c r="X1837" i="3"/>
  <c r="X1813" i="3"/>
  <c r="X1797" i="3"/>
  <c r="X1982" i="3"/>
  <c r="X1954" i="3"/>
  <c r="X1882" i="3"/>
  <c r="X1838" i="3"/>
  <c r="X1758" i="3"/>
  <c r="X1977" i="3"/>
  <c r="X1965" i="3"/>
  <c r="X1945" i="3"/>
  <c r="X1984" i="3"/>
  <c r="X1976" i="3"/>
  <c r="X1932" i="3"/>
  <c r="X1872" i="3"/>
  <c r="X1816" i="3"/>
  <c r="X1796" i="3"/>
  <c r="X1768" i="3"/>
  <c r="X1760" i="3"/>
  <c r="X1983" i="3"/>
  <c r="X1979" i="3"/>
  <c r="X1951" i="3"/>
  <c r="X1943" i="3"/>
  <c r="X1923" i="3"/>
  <c r="X1871" i="3"/>
  <c r="X1839" i="3"/>
  <c r="X1944" i="3"/>
  <c r="X1924" i="3"/>
  <c r="X1892" i="3"/>
  <c r="X1884" i="3"/>
  <c r="X1804" i="3"/>
  <c r="X1788" i="3"/>
  <c r="X1975" i="3"/>
  <c r="X1963" i="3"/>
  <c r="X1815" i="3"/>
  <c r="X1803" i="3"/>
  <c r="X1757" i="3"/>
  <c r="X1964" i="3"/>
  <c r="X1912" i="3"/>
  <c r="X1828" i="3"/>
  <c r="X1776" i="3"/>
  <c r="X1752" i="3"/>
  <c r="X1911" i="3"/>
  <c r="X1903" i="3"/>
  <c r="X1891" i="3"/>
  <c r="X1827" i="3"/>
  <c r="M2207" i="3"/>
  <c r="M1087" i="3" s="1"/>
  <c r="AB1871" i="3"/>
  <c r="L1163" i="3"/>
  <c r="L1175" i="3"/>
  <c r="L1888" i="3"/>
  <c r="X1980" i="3"/>
  <c r="P1984" i="3"/>
  <c r="N1168" i="3"/>
  <c r="K1173" i="3"/>
  <c r="K1749" i="3"/>
  <c r="N1749" i="3"/>
  <c r="L1749" i="3"/>
  <c r="J1749" i="3"/>
  <c r="N1753" i="3"/>
  <c r="J1753" i="3"/>
  <c r="J1761" i="3"/>
  <c r="K1761" i="3"/>
  <c r="M1769" i="3"/>
  <c r="L1769" i="3"/>
  <c r="N1769" i="3"/>
  <c r="J1769" i="3"/>
  <c r="K1769" i="3"/>
  <c r="J1773" i="3"/>
  <c r="K1773" i="3"/>
  <c r="M1773" i="3"/>
  <c r="L1773" i="3"/>
  <c r="N1773" i="3"/>
  <c r="J1781" i="3"/>
  <c r="K1781" i="3"/>
  <c r="L1781" i="3"/>
  <c r="N1781" i="3"/>
  <c r="M1781" i="3"/>
  <c r="L1785" i="3"/>
  <c r="N1785" i="3"/>
  <c r="M1785" i="3"/>
  <c r="J1785" i="3"/>
  <c r="K1785" i="3"/>
  <c r="L1801" i="3"/>
  <c r="N1801" i="3"/>
  <c r="M1801" i="3"/>
  <c r="J1801" i="3"/>
  <c r="K1801" i="3"/>
  <c r="M1809" i="3"/>
  <c r="L1809" i="3"/>
  <c r="N1809" i="3"/>
  <c r="J1809" i="3"/>
  <c r="K1809" i="3"/>
  <c r="N1817" i="3"/>
  <c r="K1817" i="3"/>
  <c r="J1817" i="3"/>
  <c r="M1817" i="3"/>
  <c r="L1817" i="3"/>
  <c r="L1821" i="3"/>
  <c r="N1821" i="3"/>
  <c r="J1821" i="3"/>
  <c r="M1821" i="3"/>
  <c r="K1821" i="3"/>
  <c r="J1829" i="3"/>
  <c r="K1829" i="3"/>
  <c r="L1829" i="3"/>
  <c r="N1829" i="3"/>
  <c r="M1829" i="3"/>
  <c r="M1833" i="3"/>
  <c r="L1833" i="3"/>
  <c r="N1833" i="3"/>
  <c r="J1833" i="3"/>
  <c r="K1833" i="3"/>
  <c r="M1841" i="3"/>
  <c r="L1841" i="3"/>
  <c r="N1841" i="3"/>
  <c r="J1841" i="3"/>
  <c r="K1841" i="3"/>
  <c r="J1845" i="3"/>
  <c r="K1845" i="3"/>
  <c r="L1845" i="3"/>
  <c r="N1845" i="3"/>
  <c r="M1845" i="3"/>
  <c r="L1849" i="3"/>
  <c r="N1849" i="3"/>
  <c r="J1849" i="3"/>
  <c r="K1849" i="3"/>
  <c r="M1849" i="3"/>
  <c r="J1853" i="3"/>
  <c r="L1853" i="3"/>
  <c r="M1853" i="3"/>
  <c r="K1853" i="3"/>
  <c r="N1853" i="3"/>
  <c r="J1861" i="3"/>
  <c r="L1861" i="3"/>
  <c r="M1861" i="3"/>
  <c r="K1861" i="3"/>
  <c r="N1861" i="3"/>
  <c r="M1865" i="3"/>
  <c r="K1865" i="3"/>
  <c r="N1865" i="3"/>
  <c r="J1865" i="3"/>
  <c r="L1865" i="3"/>
  <c r="J1869" i="3"/>
  <c r="L1869" i="3"/>
  <c r="M1869" i="3"/>
  <c r="K1869" i="3"/>
  <c r="N1869" i="3"/>
  <c r="J1877" i="3"/>
  <c r="L1877" i="3"/>
  <c r="M1877" i="3"/>
  <c r="K1877" i="3"/>
  <c r="N1877" i="3"/>
  <c r="M1885" i="3"/>
  <c r="N1885" i="3"/>
  <c r="J1885" i="3"/>
  <c r="L1885" i="3"/>
  <c r="K1885" i="3"/>
  <c r="M1893" i="3"/>
  <c r="N1893" i="3"/>
  <c r="J1893" i="3"/>
  <c r="L1893" i="3"/>
  <c r="K1893" i="3"/>
  <c r="J1897" i="3"/>
  <c r="L1897" i="3"/>
  <c r="K1897" i="3"/>
  <c r="M1897" i="3"/>
  <c r="N1897" i="3"/>
  <c r="J1905" i="3"/>
  <c r="L1905" i="3"/>
  <c r="K1905" i="3"/>
  <c r="M1905" i="3"/>
  <c r="N1905" i="3"/>
  <c r="K1909" i="3"/>
  <c r="N1909" i="3"/>
  <c r="J1909" i="3"/>
  <c r="M1909" i="3"/>
  <c r="L1909" i="3"/>
  <c r="L1917" i="3"/>
  <c r="J1917" i="3"/>
  <c r="N1917" i="3"/>
  <c r="M1917" i="3"/>
  <c r="K1917" i="3"/>
  <c r="J1921" i="3"/>
  <c r="N1921" i="3"/>
  <c r="M1921" i="3"/>
  <c r="K1921" i="3"/>
  <c r="L1921" i="3"/>
  <c r="M1929" i="3"/>
  <c r="K1929" i="3"/>
  <c r="J1929" i="3"/>
  <c r="L1929" i="3"/>
  <c r="N1929" i="3"/>
  <c r="J1937" i="3"/>
  <c r="N1937" i="3"/>
  <c r="M1937" i="3"/>
  <c r="K1937" i="3"/>
  <c r="L1937" i="3"/>
  <c r="J1941" i="3"/>
  <c r="K1941" i="3"/>
  <c r="N1941" i="3"/>
  <c r="L1941" i="3"/>
  <c r="M1941" i="3"/>
  <c r="N1949" i="3"/>
  <c r="J1949" i="3"/>
  <c r="L1949" i="3"/>
  <c r="M1949" i="3"/>
  <c r="K1949" i="3"/>
  <c r="J1957" i="3"/>
  <c r="L1957" i="3"/>
  <c r="N1957" i="3"/>
  <c r="M1957" i="3"/>
  <c r="K1957" i="3"/>
  <c r="M1961" i="3"/>
  <c r="N1961" i="3"/>
  <c r="L1961" i="3"/>
  <c r="J1961" i="3"/>
  <c r="K1961" i="3"/>
  <c r="M1969" i="3"/>
  <c r="N1969" i="3"/>
  <c r="J1969" i="3"/>
  <c r="K1969" i="3"/>
  <c r="L1969" i="3"/>
  <c r="K1973" i="3"/>
  <c r="L1973" i="3"/>
  <c r="J1973" i="3"/>
  <c r="M1973" i="3"/>
  <c r="N1973" i="3"/>
  <c r="J1989" i="3"/>
  <c r="M1997" i="3"/>
  <c r="N1997" i="3"/>
  <c r="J1997" i="3"/>
  <c r="K1997" i="3"/>
  <c r="L1997" i="3"/>
  <c r="J2001" i="3"/>
  <c r="K2001" i="3"/>
  <c r="M2001" i="3"/>
  <c r="N2001" i="3"/>
  <c r="L2001" i="3"/>
  <c r="J2005" i="3"/>
  <c r="M2009" i="3"/>
  <c r="N2009" i="3"/>
  <c r="J2009" i="3"/>
  <c r="K2009" i="3"/>
  <c r="L2009" i="3"/>
  <c r="M2013" i="3"/>
  <c r="N2013" i="3"/>
  <c r="L2013" i="3"/>
  <c r="J2013" i="3"/>
  <c r="K2013" i="3"/>
  <c r="L2017" i="3"/>
  <c r="N2017" i="3"/>
  <c r="J2017" i="3"/>
  <c r="M2017" i="3"/>
  <c r="K2017" i="3"/>
  <c r="S1914" i="3"/>
  <c r="S1890" i="3"/>
  <c r="S1977" i="3"/>
  <c r="S1965" i="3"/>
  <c r="S1945" i="3"/>
  <c r="S1925" i="3"/>
  <c r="S1901" i="3"/>
  <c r="S1873" i="3"/>
  <c r="S1857" i="3"/>
  <c r="S1825" i="3"/>
  <c r="S1793" i="3"/>
  <c r="S1946" i="3"/>
  <c r="S1934" i="3"/>
  <c r="S1926" i="3"/>
  <c r="S1902" i="3"/>
  <c r="S1874" i="3"/>
  <c r="S1858" i="3"/>
  <c r="S1814" i="3"/>
  <c r="S1778" i="3"/>
  <c r="S1913" i="3"/>
  <c r="S1837" i="3"/>
  <c r="S1813" i="3"/>
  <c r="S1797" i="3"/>
  <c r="S1982" i="3"/>
  <c r="S1966" i="3"/>
  <c r="S1882" i="3"/>
  <c r="S1766" i="3"/>
  <c r="S1981" i="3"/>
  <c r="S1889" i="3"/>
  <c r="S1978" i="3"/>
  <c r="S1954" i="3"/>
  <c r="S1838" i="3"/>
  <c r="S1826" i="3"/>
  <c r="S1806" i="3"/>
  <c r="S1798" i="3"/>
  <c r="S1794" i="3"/>
  <c r="S1790" i="3"/>
  <c r="S1758" i="3"/>
  <c r="S1750" i="3"/>
  <c r="S1953" i="3"/>
  <c r="S1933" i="3"/>
  <c r="S1881" i="3"/>
  <c r="S1805" i="3"/>
  <c r="S1789" i="3"/>
  <c r="S1777" i="3"/>
  <c r="S1944" i="3"/>
  <c r="S1912" i="3"/>
  <c r="S1892" i="3"/>
  <c r="S1804" i="3"/>
  <c r="S1788" i="3"/>
  <c r="S1931" i="3"/>
  <c r="S1827" i="3"/>
  <c r="S1765" i="3"/>
  <c r="S1757" i="3"/>
  <c r="S1984" i="3"/>
  <c r="S1964" i="3"/>
  <c r="S1952" i="3"/>
  <c r="S1884" i="3"/>
  <c r="S1856" i="3"/>
  <c r="S1828" i="3"/>
  <c r="S1776" i="3"/>
  <c r="S1979" i="3"/>
  <c r="S1911" i="3"/>
  <c r="S1903" i="3"/>
  <c r="S1891" i="3"/>
  <c r="S1839" i="3"/>
  <c r="S1980" i="3"/>
  <c r="S1976" i="3"/>
  <c r="S1924" i="3"/>
  <c r="S1904" i="3"/>
  <c r="S1872" i="3"/>
  <c r="S1840" i="3"/>
  <c r="S1752" i="3"/>
  <c r="S1983" i="3"/>
  <c r="S1975" i="3"/>
  <c r="S1963" i="3"/>
  <c r="S1883" i="3"/>
  <c r="S1855" i="3"/>
  <c r="S1803" i="3"/>
  <c r="W1946" i="3"/>
  <c r="W1934" i="3"/>
  <c r="W1926" i="3"/>
  <c r="W1902" i="3"/>
  <c r="W1874" i="3"/>
  <c r="W1858" i="3"/>
  <c r="W1814" i="3"/>
  <c r="W1778" i="3"/>
  <c r="W1750" i="3"/>
  <c r="W1913" i="3"/>
  <c r="W1837" i="3"/>
  <c r="W1813" i="3"/>
  <c r="W1797" i="3"/>
  <c r="W1982" i="3"/>
  <c r="W1882" i="3"/>
  <c r="W1766" i="3"/>
  <c r="W1758" i="3"/>
  <c r="W1981" i="3"/>
  <c r="W1889" i="3"/>
  <c r="W1978" i="3"/>
  <c r="W1954" i="3"/>
  <c r="W1838" i="3"/>
  <c r="W1826" i="3"/>
  <c r="W1806" i="3"/>
  <c r="W1798" i="3"/>
  <c r="W1790" i="3"/>
  <c r="W1953" i="3"/>
  <c r="W1945" i="3"/>
  <c r="W1933" i="3"/>
  <c r="W1881" i="3"/>
  <c r="W1805" i="3"/>
  <c r="W1789" i="3"/>
  <c r="W1777" i="3"/>
  <c r="W1966" i="3"/>
  <c r="W1914" i="3"/>
  <c r="W1890" i="3"/>
  <c r="W1977" i="3"/>
  <c r="W1965" i="3"/>
  <c r="W1925" i="3"/>
  <c r="W1901" i="3"/>
  <c r="W1873" i="3"/>
  <c r="W1857" i="3"/>
  <c r="W1825" i="3"/>
  <c r="W1765" i="3"/>
  <c r="W1757" i="3"/>
  <c r="W1980" i="3"/>
  <c r="W1964" i="3"/>
  <c r="W1952" i="3"/>
  <c r="W1924" i="3"/>
  <c r="W1856" i="3"/>
  <c r="W1828" i="3"/>
  <c r="W1776" i="3"/>
  <c r="W1979" i="3"/>
  <c r="W1911" i="3"/>
  <c r="W1903" i="3"/>
  <c r="W1891" i="3"/>
  <c r="W1815" i="3"/>
  <c r="W1932" i="3"/>
  <c r="W1904" i="3"/>
  <c r="W1884" i="3"/>
  <c r="W1872" i="3"/>
  <c r="W1840" i="3"/>
  <c r="W1752" i="3"/>
  <c r="W1983" i="3"/>
  <c r="W1975" i="3"/>
  <c r="W1963" i="3"/>
  <c r="W1883" i="3"/>
  <c r="W1855" i="3"/>
  <c r="W1827" i="3"/>
  <c r="W1912" i="3"/>
  <c r="W1816" i="3"/>
  <c r="W1796" i="3"/>
  <c r="W1768" i="3"/>
  <c r="W1760" i="3"/>
  <c r="W1951" i="3"/>
  <c r="W1943" i="3"/>
  <c r="W1923" i="3"/>
  <c r="W1871" i="3"/>
  <c r="W1839" i="3"/>
  <c r="W1803" i="3"/>
  <c r="AA1982" i="3"/>
  <c r="AA1882" i="3"/>
  <c r="AA1766" i="3"/>
  <c r="AA1889" i="3"/>
  <c r="AA1978" i="3"/>
  <c r="AA1954" i="3"/>
  <c r="AA1838" i="3"/>
  <c r="AA1826" i="3"/>
  <c r="AA1806" i="3"/>
  <c r="AA1798" i="3"/>
  <c r="AA1790" i="3"/>
  <c r="AA1953" i="3"/>
  <c r="AA1933" i="3"/>
  <c r="AA1881" i="3"/>
  <c r="AA1805" i="3"/>
  <c r="AA1789" i="3"/>
  <c r="AA1777" i="3"/>
  <c r="AA1914" i="3"/>
  <c r="AA1890" i="3"/>
  <c r="AA1977" i="3"/>
  <c r="AA1965" i="3"/>
  <c r="AA1925" i="3"/>
  <c r="AA1901" i="3"/>
  <c r="AA1873" i="3"/>
  <c r="AA1857" i="3"/>
  <c r="AA1825" i="3"/>
  <c r="AA1966" i="3"/>
  <c r="AA1946" i="3"/>
  <c r="AA1934" i="3"/>
  <c r="AA1926" i="3"/>
  <c r="AA1902" i="3"/>
  <c r="AA1874" i="3"/>
  <c r="AA1858" i="3"/>
  <c r="AA1814" i="3"/>
  <c r="AA1778" i="3"/>
  <c r="AA1758" i="3"/>
  <c r="AA1945" i="3"/>
  <c r="AA1913" i="3"/>
  <c r="AA1837" i="3"/>
  <c r="AA1813" i="3"/>
  <c r="AA1797" i="3"/>
  <c r="AA1980" i="3"/>
  <c r="AA1976" i="3"/>
  <c r="AA1932" i="3"/>
  <c r="AA1904" i="3"/>
  <c r="AA1884" i="3"/>
  <c r="AA1872" i="3"/>
  <c r="AA1840" i="3"/>
  <c r="AA1752" i="3"/>
  <c r="AA1975" i="3"/>
  <c r="AA1963" i="3"/>
  <c r="AA1883" i="3"/>
  <c r="AA1855" i="3"/>
  <c r="AA1984" i="3"/>
  <c r="AA1924" i="3"/>
  <c r="AA1816" i="3"/>
  <c r="AA1796" i="3"/>
  <c r="AA1768" i="3"/>
  <c r="AA1760" i="3"/>
  <c r="AA1951" i="3"/>
  <c r="AA1943" i="3"/>
  <c r="AA1923" i="3"/>
  <c r="AA1871" i="3"/>
  <c r="AA1944" i="3"/>
  <c r="AA1892" i="3"/>
  <c r="AA1804" i="3"/>
  <c r="AA1788" i="3"/>
  <c r="AA1931" i="3"/>
  <c r="AA1839" i="3"/>
  <c r="AA1827" i="3"/>
  <c r="AA1815" i="3"/>
  <c r="AE1982" i="3"/>
  <c r="N2087" i="3"/>
  <c r="N967" i="3" s="1"/>
  <c r="L2091" i="3"/>
  <c r="L971" i="3" s="1"/>
  <c r="J2091" i="3"/>
  <c r="J971" i="3" s="1"/>
  <c r="N2099" i="3"/>
  <c r="N979" i="3" s="1"/>
  <c r="M2103" i="3"/>
  <c r="M983" i="3" s="1"/>
  <c r="L2103" i="3"/>
  <c r="L983" i="3" s="1"/>
  <c r="N2111" i="3"/>
  <c r="N991" i="3" s="1"/>
  <c r="L2115" i="3"/>
  <c r="L995" i="3" s="1"/>
  <c r="J2123" i="3"/>
  <c r="J1003" i="3" s="1"/>
  <c r="L2127" i="3"/>
  <c r="L1007" i="3" s="1"/>
  <c r="N2127" i="3"/>
  <c r="N1007" i="3" s="1"/>
  <c r="L2131" i="3"/>
  <c r="L1011" i="3" s="1"/>
  <c r="J2167" i="3"/>
  <c r="J1047" i="3" s="1"/>
  <c r="L2175" i="3"/>
  <c r="L1055" i="3" s="1"/>
  <c r="L2195" i="3"/>
  <c r="L1075" i="3" s="1"/>
  <c r="J2199" i="3"/>
  <c r="J1079" i="3" s="1"/>
  <c r="J2207" i="3"/>
  <c r="J1087" i="3" s="1"/>
  <c r="K2227" i="3"/>
  <c r="K1107" i="3" s="1"/>
  <c r="L2227" i="3"/>
  <c r="L1107" i="3" s="1"/>
  <c r="K2235" i="3"/>
  <c r="K1115" i="3" s="1"/>
  <c r="M1115" i="3"/>
  <c r="J2251" i="3"/>
  <c r="J1131" i="3" s="1"/>
  <c r="M1987" i="3"/>
  <c r="M2044" i="3"/>
  <c r="M924" i="3" s="1"/>
  <c r="M2072" i="3"/>
  <c r="M952" i="3" s="1"/>
  <c r="K2088" i="3"/>
  <c r="K968" i="3" s="1"/>
  <c r="L2104" i="3"/>
  <c r="L984" i="3" s="1"/>
  <c r="K2116" i="3"/>
  <c r="K996" i="3" s="1"/>
  <c r="N1004" i="3"/>
  <c r="K2132" i="3"/>
  <c r="K1012" i="3" s="1"/>
  <c r="K2180" i="3"/>
  <c r="K1060" i="3" s="1"/>
  <c r="J2196" i="3"/>
  <c r="J1076" i="3" s="1"/>
  <c r="L1088" i="3"/>
  <c r="J2236" i="3"/>
  <c r="J1116" i="3" s="1"/>
  <c r="K2248" i="3"/>
  <c r="K1128" i="3" s="1"/>
  <c r="N1152" i="3"/>
  <c r="L2033" i="3"/>
  <c r="L913" i="3" s="1"/>
  <c r="K2049" i="3"/>
  <c r="K929" i="3" s="1"/>
  <c r="J2049" i="3"/>
  <c r="J929" i="3" s="1"/>
  <c r="J2061" i="3"/>
  <c r="J941" i="3" s="1"/>
  <c r="K2081" i="3"/>
  <c r="K961" i="3" s="1"/>
  <c r="M969" i="3"/>
  <c r="M2113" i="3"/>
  <c r="M993" i="3" s="1"/>
  <c r="N2125" i="3"/>
  <c r="N1005" i="3" s="1"/>
  <c r="M2133" i="3"/>
  <c r="M1013" i="3" s="1"/>
  <c r="M2145" i="3"/>
  <c r="M1025" i="3" s="1"/>
  <c r="N2145" i="3"/>
  <c r="N1025" i="3" s="1"/>
  <c r="L2145" i="3"/>
  <c r="L1025" i="3" s="1"/>
  <c r="L2157" i="3"/>
  <c r="L1037" i="3" s="1"/>
  <c r="J2177" i="3"/>
  <c r="J1057" i="3" s="1"/>
  <c r="J2189" i="3"/>
  <c r="J1069" i="3" s="1"/>
  <c r="L2201" i="3"/>
  <c r="L1081" i="3" s="1"/>
  <c r="K2217" i="3"/>
  <c r="K1097" i="3" s="1"/>
  <c r="J1121" i="3"/>
  <c r="L2241" i="3"/>
  <c r="L1121" i="3" s="1"/>
  <c r="L2253" i="3"/>
  <c r="L1133" i="3" s="1"/>
  <c r="N2253" i="3"/>
  <c r="N1133" i="3" s="1"/>
  <c r="N2050" i="3"/>
  <c r="N930" i="3" s="1"/>
  <c r="K2050" i="3"/>
  <c r="K930" i="3" s="1"/>
  <c r="M2062" i="3"/>
  <c r="M942" i="3" s="1"/>
  <c r="K2082" i="3"/>
  <c r="K962" i="3" s="1"/>
  <c r="M2102" i="3"/>
  <c r="M982" i="3" s="1"/>
  <c r="K2102" i="3"/>
  <c r="K982" i="3" s="1"/>
  <c r="K2126" i="3"/>
  <c r="K1006" i="3" s="1"/>
  <c r="K2134" i="3"/>
  <c r="K1014" i="3" s="1"/>
  <c r="K2150" i="3"/>
  <c r="K1030" i="3" s="1"/>
  <c r="J2158" i="3"/>
  <c r="J1038" i="3" s="1"/>
  <c r="K2166" i="3"/>
  <c r="K1046" i="3" s="1"/>
  <c r="K2174" i="3"/>
  <c r="K1054" i="3" s="1"/>
  <c r="M2210" i="3"/>
  <c r="M1090" i="3" s="1"/>
  <c r="K2222" i="3"/>
  <c r="K1102" i="3" s="1"/>
  <c r="J1118" i="3"/>
  <c r="M2238" i="3"/>
  <c r="M1118" i="3" s="1"/>
  <c r="K2242" i="3"/>
  <c r="K1122" i="3" s="1"/>
  <c r="N1134" i="3"/>
  <c r="K1146" i="3"/>
  <c r="N1986" i="3"/>
  <c r="K1986" i="3"/>
  <c r="L1990" i="3"/>
  <c r="N1150" i="3"/>
  <c r="K1170" i="3"/>
  <c r="M2028" i="3"/>
  <c r="M908" i="3" s="1"/>
  <c r="J972" i="3"/>
  <c r="M2100" i="3"/>
  <c r="M980" i="3" s="1"/>
  <c r="M2112" i="3"/>
  <c r="M992" i="3" s="1"/>
  <c r="L2140" i="3"/>
  <c r="L1020" i="3" s="1"/>
  <c r="J2140" i="3"/>
  <c r="J1020" i="3" s="1"/>
  <c r="N1028" i="3"/>
  <c r="K2160" i="3"/>
  <c r="K1040" i="3" s="1"/>
  <c r="L2176" i="3"/>
  <c r="L1056" i="3" s="1"/>
  <c r="M2200" i="3"/>
  <c r="M1080" i="3" s="1"/>
  <c r="K2216" i="3"/>
  <c r="K1096" i="3" s="1"/>
  <c r="K2240" i="3"/>
  <c r="K1120" i="3" s="1"/>
  <c r="N1148" i="3"/>
  <c r="N2053" i="3"/>
  <c r="N933" i="3" s="1"/>
  <c r="M2065" i="3"/>
  <c r="M945" i="3" s="1"/>
  <c r="K2065" i="3"/>
  <c r="K945" i="3" s="1"/>
  <c r="K2109" i="3"/>
  <c r="K989" i="3" s="1"/>
  <c r="N2121" i="3"/>
  <c r="N1001" i="3" s="1"/>
  <c r="K2129" i="3"/>
  <c r="K1009" i="3" s="1"/>
  <c r="J2141" i="3"/>
  <c r="J1021" i="3" s="1"/>
  <c r="J1029" i="3"/>
  <c r="K2149" i="3"/>
  <c r="K1029" i="3" s="1"/>
  <c r="K2173" i="3"/>
  <c r="K1053" i="3" s="1"/>
  <c r="L2185" i="3"/>
  <c r="L1065" i="3" s="1"/>
  <c r="L2197" i="3"/>
  <c r="L1077" i="3" s="1"/>
  <c r="K2197" i="3"/>
  <c r="K1077" i="3" s="1"/>
  <c r="N2209" i="3"/>
  <c r="N1089" i="3" s="1"/>
  <c r="J2209" i="3"/>
  <c r="J1089" i="3" s="1"/>
  <c r="K2221" i="3"/>
  <c r="K1101" i="3" s="1"/>
  <c r="K2237" i="3"/>
  <c r="K1117" i="3" s="1"/>
  <c r="L1993" i="3"/>
  <c r="M1173" i="3"/>
  <c r="J1747" i="3"/>
  <c r="K1747" i="3"/>
  <c r="S1751" i="3"/>
  <c r="T1751" i="3"/>
  <c r="Q1751" i="3"/>
  <c r="AG1751" i="3"/>
  <c r="AA1759" i="3"/>
  <c r="X1759" i="3"/>
  <c r="Z1759" i="3"/>
  <c r="Y1759" i="3"/>
  <c r="AC1759" i="3"/>
  <c r="AB1767" i="3"/>
  <c r="U1767" i="3"/>
  <c r="Z1767" i="3"/>
  <c r="W1775" i="3"/>
  <c r="P1775" i="3"/>
  <c r="Y1775" i="3"/>
  <c r="AD1775" i="3"/>
  <c r="K1783" i="3"/>
  <c r="AB1787" i="3"/>
  <c r="U1787" i="3"/>
  <c r="Z1787" i="3"/>
  <c r="S1795" i="3"/>
  <c r="X1795" i="3"/>
  <c r="Q1795" i="3"/>
  <c r="V1795" i="3"/>
  <c r="K1799" i="3"/>
  <c r="M1811" i="3"/>
  <c r="AC1827" i="3"/>
  <c r="R1827" i="3"/>
  <c r="M1835" i="3"/>
  <c r="J1847" i="3"/>
  <c r="K1851" i="3"/>
  <c r="X1855" i="3"/>
  <c r="T1891" i="3"/>
  <c r="J1899" i="3"/>
  <c r="T1903" i="3"/>
  <c r="L1915" i="3"/>
  <c r="J1915" i="3"/>
  <c r="M1927" i="3"/>
  <c r="W1931" i="3"/>
  <c r="L1939" i="3"/>
  <c r="AD1943" i="3"/>
  <c r="S1943" i="3"/>
  <c r="AB1951" i="3"/>
  <c r="J1955" i="3"/>
  <c r="P1975" i="3"/>
  <c r="Y1975" i="3"/>
  <c r="P1979" i="3"/>
  <c r="V1979" i="3"/>
  <c r="AA1979" i="3"/>
  <c r="T1983" i="3"/>
  <c r="L1155" i="3"/>
  <c r="K1995" i="3"/>
  <c r="N1159" i="3"/>
  <c r="K1163" i="3"/>
  <c r="N2003" i="3"/>
  <c r="J1171" i="3"/>
  <c r="N1171" i="3"/>
  <c r="V1752" i="3"/>
  <c r="N1756" i="3"/>
  <c r="AD1760" i="3"/>
  <c r="Z1760" i="3"/>
  <c r="V1768" i="3"/>
  <c r="AC1776" i="3"/>
  <c r="L1780" i="3"/>
  <c r="W1788" i="3"/>
  <c r="AB1796" i="3"/>
  <c r="P1804" i="3"/>
  <c r="Y1804" i="3"/>
  <c r="AB1816" i="3"/>
  <c r="K1820" i="3"/>
  <c r="J1868" i="3"/>
  <c r="AD1884" i="3"/>
  <c r="N1888" i="3"/>
  <c r="W1892" i="3"/>
  <c r="J1908" i="3"/>
  <c r="AA1912" i="3"/>
  <c r="N1920" i="3"/>
  <c r="S1932" i="3"/>
  <c r="L1936" i="3"/>
  <c r="N1948" i="3"/>
  <c r="J1968" i="3"/>
  <c r="W1984" i="3"/>
  <c r="L1156" i="3"/>
  <c r="J1160" i="3"/>
  <c r="K1168" i="3"/>
  <c r="K1172" i="3"/>
  <c r="J1176" i="3"/>
  <c r="N1176" i="3"/>
  <c r="K1753" i="3"/>
  <c r="R1757" i="3"/>
  <c r="M1761" i="3"/>
  <c r="J1157" i="3"/>
  <c r="J1161" i="3"/>
  <c r="K1158" i="3"/>
  <c r="K1162" i="3"/>
  <c r="M1166" i="3"/>
  <c r="N1174" i="3"/>
  <c r="J1153" i="3"/>
  <c r="L1157" i="3"/>
  <c r="M1161" i="3"/>
  <c r="L1161" i="3"/>
  <c r="J1169" i="3"/>
  <c r="N1169" i="3"/>
  <c r="N1177" i="3"/>
  <c r="L1177" i="3"/>
  <c r="L1154" i="3"/>
  <c r="N1166" i="3"/>
  <c r="K1166" i="3"/>
  <c r="L1170" i="3"/>
  <c r="M1174" i="3"/>
  <c r="L1174" i="3"/>
  <c r="M1157" i="3"/>
  <c r="L1169" i="3"/>
  <c r="K1177" i="3"/>
  <c r="J1150" i="3"/>
  <c r="N1154" i="3"/>
  <c r="L1158" i="3"/>
  <c r="N1158" i="3"/>
  <c r="L1166" i="3"/>
  <c r="N1170" i="3"/>
  <c r="K1174" i="3"/>
  <c r="S1704" i="3"/>
  <c r="S1703" i="3"/>
  <c r="S1702" i="3"/>
  <c r="S1701" i="3"/>
  <c r="S1700" i="3"/>
  <c r="S1699" i="3"/>
  <c r="S1698" i="3"/>
  <c r="S1673" i="3"/>
  <c r="S1686" i="3"/>
  <c r="S1674" i="3"/>
  <c r="S1652" i="3"/>
  <c r="S1696" i="3"/>
  <c r="S1684" i="3"/>
  <c r="S1672" i="3"/>
  <c r="S1646" i="3"/>
  <c r="S1645" i="3"/>
  <c r="S1644" i="3"/>
  <c r="S1643" i="3"/>
  <c r="S1634" i="3"/>
  <c r="S1633" i="3"/>
  <c r="S1632" i="3"/>
  <c r="S1631" i="3"/>
  <c r="S1624" i="3"/>
  <c r="S1623" i="3"/>
  <c r="S1622" i="3"/>
  <c r="S1621" i="3"/>
  <c r="S1612" i="3"/>
  <c r="S1611" i="3"/>
  <c r="S1610" i="3"/>
  <c r="S1609" i="3"/>
  <c r="S1604" i="3"/>
  <c r="S1603" i="3"/>
  <c r="S1602" i="3"/>
  <c r="S1601" i="3"/>
  <c r="S1685" i="3"/>
  <c r="S1665" i="3"/>
  <c r="S1653" i="3"/>
  <c r="S1594" i="3"/>
  <c r="S1593" i="3"/>
  <c r="S1592" i="3"/>
  <c r="S1591" i="3"/>
  <c r="S1578" i="3"/>
  <c r="S1577" i="3"/>
  <c r="S1576" i="3"/>
  <c r="S1575" i="3"/>
  <c r="S1560" i="3"/>
  <c r="S1559" i="3"/>
  <c r="S1697" i="3"/>
  <c r="S1671" i="3"/>
  <c r="S1663" i="3"/>
  <c r="S1664" i="3"/>
  <c r="S1557" i="3"/>
  <c r="S1683" i="3"/>
  <c r="S1654" i="3"/>
  <c r="S1558" i="3"/>
  <c r="S1548" i="3"/>
  <c r="S1536" i="3"/>
  <c r="S1524" i="3"/>
  <c r="S1516" i="3"/>
  <c r="S1508" i="3"/>
  <c r="S1496" i="3"/>
  <c r="S1488" i="3"/>
  <c r="S1480" i="3"/>
  <c r="S1472" i="3"/>
  <c r="S1546" i="3"/>
  <c r="S1534" i="3"/>
  <c r="S1526" i="3"/>
  <c r="S1518" i="3"/>
  <c r="S1514" i="3"/>
  <c r="S1510" i="3"/>
  <c r="S1498" i="3"/>
  <c r="S1486" i="3"/>
  <c r="S1478" i="3"/>
  <c r="S1470" i="3"/>
  <c r="S1547" i="3"/>
  <c r="S1523" i="3"/>
  <c r="S1515" i="3"/>
  <c r="S1507" i="3"/>
  <c r="S1651" i="3"/>
  <c r="S1535" i="3"/>
  <c r="S1495" i="3"/>
  <c r="S1487" i="3"/>
  <c r="S1479" i="3"/>
  <c r="S1471" i="3"/>
  <c r="S1695" i="3"/>
  <c r="S1533" i="3"/>
  <c r="S1517" i="3"/>
  <c r="S1485" i="3"/>
  <c r="S1666" i="3"/>
  <c r="S1545" i="3"/>
  <c r="S1513" i="3"/>
  <c r="S1497" i="3"/>
  <c r="S1525" i="3"/>
  <c r="S1509" i="3"/>
  <c r="S1477" i="3"/>
  <c r="W1704" i="3"/>
  <c r="W1703" i="3"/>
  <c r="W1702" i="3"/>
  <c r="W1701" i="3"/>
  <c r="W1700" i="3"/>
  <c r="W1699" i="3"/>
  <c r="W1698" i="3"/>
  <c r="W1672" i="3"/>
  <c r="W1697" i="3"/>
  <c r="W1685" i="3"/>
  <c r="W1651" i="3"/>
  <c r="W1695" i="3"/>
  <c r="W1683" i="3"/>
  <c r="W1646" i="3"/>
  <c r="W1645" i="3"/>
  <c r="W1644" i="3"/>
  <c r="W1643" i="3"/>
  <c r="W1634" i="3"/>
  <c r="W1633" i="3"/>
  <c r="W1632" i="3"/>
  <c r="W1631" i="3"/>
  <c r="W1624" i="3"/>
  <c r="W1623" i="3"/>
  <c r="W1622" i="3"/>
  <c r="W1621" i="3"/>
  <c r="W1612" i="3"/>
  <c r="W1611" i="3"/>
  <c r="W1610" i="3"/>
  <c r="W1609" i="3"/>
  <c r="W1604" i="3"/>
  <c r="W1603" i="3"/>
  <c r="W1602" i="3"/>
  <c r="W1601" i="3"/>
  <c r="W1684" i="3"/>
  <c r="W1664" i="3"/>
  <c r="W1652" i="3"/>
  <c r="W1594" i="3"/>
  <c r="W1593" i="3"/>
  <c r="W1592" i="3"/>
  <c r="W1591" i="3"/>
  <c r="W1578" i="3"/>
  <c r="W1577" i="3"/>
  <c r="W1576" i="3"/>
  <c r="W1575" i="3"/>
  <c r="W1560" i="3"/>
  <c r="W1559" i="3"/>
  <c r="W1696" i="3"/>
  <c r="W1666" i="3"/>
  <c r="W1654" i="3"/>
  <c r="W1671" i="3"/>
  <c r="W1663" i="3"/>
  <c r="W1674" i="3"/>
  <c r="W1558" i="3"/>
  <c r="W1673" i="3"/>
  <c r="W1653" i="3"/>
  <c r="W1557" i="3"/>
  <c r="W1686" i="3"/>
  <c r="W1665" i="3"/>
  <c r="W1547" i="3"/>
  <c r="W1535" i="3"/>
  <c r="W1523" i="3"/>
  <c r="W1515" i="3"/>
  <c r="W1507" i="3"/>
  <c r="W1495" i="3"/>
  <c r="W1487" i="3"/>
  <c r="W1479" i="3"/>
  <c r="W1471" i="3"/>
  <c r="W1545" i="3"/>
  <c r="W1533" i="3"/>
  <c r="W1525" i="3"/>
  <c r="W1517" i="3"/>
  <c r="W1509" i="3"/>
  <c r="W1497" i="3"/>
  <c r="W1485" i="3"/>
  <c r="W1477" i="3"/>
  <c r="W1546" i="3"/>
  <c r="W1498" i="3"/>
  <c r="W1534" i="3"/>
  <c r="W1526" i="3"/>
  <c r="W1518" i="3"/>
  <c r="W1510" i="3"/>
  <c r="W1486" i="3"/>
  <c r="W1478" i="3"/>
  <c r="W1470" i="3"/>
  <c r="W1496" i="3"/>
  <c r="W1480" i="3"/>
  <c r="W1524" i="3"/>
  <c r="W1508" i="3"/>
  <c r="W1536" i="3"/>
  <c r="W1488" i="3"/>
  <c r="W1472" i="3"/>
  <c r="W1548" i="3"/>
  <c r="W1516" i="3"/>
  <c r="AA1704" i="3"/>
  <c r="AA1703" i="3"/>
  <c r="AA1702" i="3"/>
  <c r="AA1700" i="3"/>
  <c r="AA1699" i="3"/>
  <c r="AA1698" i="3"/>
  <c r="AA1673" i="3"/>
  <c r="AA1696" i="3"/>
  <c r="AA1684" i="3"/>
  <c r="AA1686" i="3"/>
  <c r="AA1674" i="3"/>
  <c r="AA1652" i="3"/>
  <c r="AA1646" i="3"/>
  <c r="AA1645" i="3"/>
  <c r="AA1644" i="3"/>
  <c r="AA1643" i="3"/>
  <c r="AA1634" i="3"/>
  <c r="AA1633" i="3"/>
  <c r="AA1632" i="3"/>
  <c r="AA1631" i="3"/>
  <c r="AA1624" i="3"/>
  <c r="AA1623" i="3"/>
  <c r="AA1622" i="3"/>
  <c r="AA1621" i="3"/>
  <c r="AA1612" i="3"/>
  <c r="AA1611" i="3"/>
  <c r="AA1610" i="3"/>
  <c r="AA1609" i="3"/>
  <c r="AA1604" i="3"/>
  <c r="AA1603" i="3"/>
  <c r="AA1602" i="3"/>
  <c r="AA1601" i="3"/>
  <c r="AA1683" i="3"/>
  <c r="AA1671" i="3"/>
  <c r="AA1663" i="3"/>
  <c r="AA1651" i="3"/>
  <c r="AA1594" i="3"/>
  <c r="AA1593" i="3"/>
  <c r="AA1592" i="3"/>
  <c r="AA1591" i="3"/>
  <c r="AA1578" i="3"/>
  <c r="AA1577" i="3"/>
  <c r="AA1576" i="3"/>
  <c r="AA1575" i="3"/>
  <c r="AA1560" i="3"/>
  <c r="AA1559" i="3"/>
  <c r="AA1695" i="3"/>
  <c r="AA1665" i="3"/>
  <c r="AA1653" i="3"/>
  <c r="AA1672" i="3"/>
  <c r="AA1654" i="3"/>
  <c r="AA1697" i="3"/>
  <c r="AA1666" i="3"/>
  <c r="AA1557" i="3"/>
  <c r="AA1685" i="3"/>
  <c r="AA1546" i="3"/>
  <c r="AA1534" i="3"/>
  <c r="AA1526" i="3"/>
  <c r="AA1518" i="3"/>
  <c r="AA1510" i="3"/>
  <c r="AA1498" i="3"/>
  <c r="AA1486" i="3"/>
  <c r="AA1478" i="3"/>
  <c r="AA1548" i="3"/>
  <c r="AA1536" i="3"/>
  <c r="AA1524" i="3"/>
  <c r="AA1516" i="3"/>
  <c r="AA1508" i="3"/>
  <c r="AA1496" i="3"/>
  <c r="AA1488" i="3"/>
  <c r="AA1480" i="3"/>
  <c r="AA1472" i="3"/>
  <c r="AA1545" i="3"/>
  <c r="AA1497" i="3"/>
  <c r="AA1664" i="3"/>
  <c r="AA1558" i="3"/>
  <c r="AA1533" i="3"/>
  <c r="AA1525" i="3"/>
  <c r="AA1517" i="3"/>
  <c r="AA1509" i="3"/>
  <c r="AA1485" i="3"/>
  <c r="AA1477" i="3"/>
  <c r="AA1535" i="3"/>
  <c r="AA1487" i="3"/>
  <c r="AA1471" i="3"/>
  <c r="AA1547" i="3"/>
  <c r="AA1515" i="3"/>
  <c r="AA1495" i="3"/>
  <c r="AA1479" i="3"/>
  <c r="AA1523" i="3"/>
  <c r="AA1507" i="3"/>
  <c r="AE1702" i="3"/>
  <c r="AE1471" i="3"/>
  <c r="AE1472" i="3"/>
  <c r="P1703" i="3"/>
  <c r="P1701" i="3"/>
  <c r="P1700" i="3"/>
  <c r="P1704" i="3"/>
  <c r="P1702" i="3"/>
  <c r="P1698" i="3"/>
  <c r="P1697" i="3"/>
  <c r="P1696" i="3"/>
  <c r="P1695" i="3"/>
  <c r="P1686" i="3"/>
  <c r="P1685" i="3"/>
  <c r="P1684" i="3"/>
  <c r="P1683" i="3"/>
  <c r="P1674" i="3"/>
  <c r="P1673" i="3"/>
  <c r="P1672" i="3"/>
  <c r="P1671" i="3"/>
  <c r="P1666" i="3"/>
  <c r="P1665" i="3"/>
  <c r="P1664" i="3"/>
  <c r="P1663" i="3"/>
  <c r="P1654" i="3"/>
  <c r="P1653" i="3"/>
  <c r="P1652" i="3"/>
  <c r="P1651" i="3"/>
  <c r="P1646" i="3"/>
  <c r="P1644" i="3"/>
  <c r="P1634" i="3"/>
  <c r="P1632" i="3"/>
  <c r="P1624" i="3"/>
  <c r="P1622" i="3"/>
  <c r="P1612" i="3"/>
  <c r="P1610" i="3"/>
  <c r="P1604" i="3"/>
  <c r="P1602" i="3"/>
  <c r="P1645" i="3"/>
  <c r="P1643" i="3"/>
  <c r="P1633" i="3"/>
  <c r="P1631" i="3"/>
  <c r="P1623" i="3"/>
  <c r="P1621" i="3"/>
  <c r="P1611" i="3"/>
  <c r="P1609" i="3"/>
  <c r="P1603" i="3"/>
  <c r="P1601" i="3"/>
  <c r="P1557" i="3"/>
  <c r="P1548" i="3"/>
  <c r="P1547" i="3"/>
  <c r="P1546" i="3"/>
  <c r="P1545" i="3"/>
  <c r="P1536" i="3"/>
  <c r="P1535" i="3"/>
  <c r="P1534" i="3"/>
  <c r="P1533" i="3"/>
  <c r="P1526" i="3"/>
  <c r="P1525" i="3"/>
  <c r="P1524" i="3"/>
  <c r="P1523" i="3"/>
  <c r="P1518" i="3"/>
  <c r="P1517" i="3"/>
  <c r="P1516" i="3"/>
  <c r="P1515" i="3"/>
  <c r="P1514" i="3"/>
  <c r="P1513" i="3"/>
  <c r="P1510" i="3"/>
  <c r="P1509" i="3"/>
  <c r="P1508" i="3"/>
  <c r="P1507" i="3"/>
  <c r="P1498" i="3"/>
  <c r="P1497" i="3"/>
  <c r="P1496" i="3"/>
  <c r="P1495" i="3"/>
  <c r="P1488" i="3"/>
  <c r="P1487" i="3"/>
  <c r="P1486" i="3"/>
  <c r="P1485" i="3"/>
  <c r="P1480" i="3"/>
  <c r="P1479" i="3"/>
  <c r="P1478" i="3"/>
  <c r="P1477" i="3"/>
  <c r="P1472" i="3"/>
  <c r="P1471" i="3"/>
  <c r="P1470" i="3"/>
  <c r="P1591" i="3"/>
  <c r="P1575" i="3"/>
  <c r="P1559" i="3"/>
  <c r="P1593" i="3"/>
  <c r="P1577" i="3"/>
  <c r="P1594" i="3"/>
  <c r="P1578" i="3"/>
  <c r="P1699" i="3"/>
  <c r="P1592" i="3"/>
  <c r="P1576" i="3"/>
  <c r="P1560" i="3"/>
  <c r="P1558" i="3"/>
  <c r="T1704" i="3"/>
  <c r="T1702" i="3"/>
  <c r="T1699" i="3"/>
  <c r="T1703" i="3"/>
  <c r="T1701" i="3"/>
  <c r="T1697" i="3"/>
  <c r="T1696" i="3"/>
  <c r="T1695" i="3"/>
  <c r="T1686" i="3"/>
  <c r="T1685" i="3"/>
  <c r="T1684" i="3"/>
  <c r="T1683" i="3"/>
  <c r="T1674" i="3"/>
  <c r="T1673" i="3"/>
  <c r="T1672" i="3"/>
  <c r="T1700" i="3"/>
  <c r="T1671" i="3"/>
  <c r="T1666" i="3"/>
  <c r="T1665" i="3"/>
  <c r="T1664" i="3"/>
  <c r="T1663" i="3"/>
  <c r="T1654" i="3"/>
  <c r="T1653" i="3"/>
  <c r="T1652" i="3"/>
  <c r="T1651" i="3"/>
  <c r="T1645" i="3"/>
  <c r="T1643" i="3"/>
  <c r="T1633" i="3"/>
  <c r="T1631" i="3"/>
  <c r="T1623" i="3"/>
  <c r="T1621" i="3"/>
  <c r="T1611" i="3"/>
  <c r="T1609" i="3"/>
  <c r="T1603" i="3"/>
  <c r="T1601" i="3"/>
  <c r="T1698" i="3"/>
  <c r="T1646" i="3"/>
  <c r="T1644" i="3"/>
  <c r="T1634" i="3"/>
  <c r="T1632" i="3"/>
  <c r="T1624" i="3"/>
  <c r="T1622" i="3"/>
  <c r="T1612" i="3"/>
  <c r="T1610" i="3"/>
  <c r="T1604" i="3"/>
  <c r="T1602" i="3"/>
  <c r="T1558" i="3"/>
  <c r="T1548" i="3"/>
  <c r="T1547" i="3"/>
  <c r="T1546" i="3"/>
  <c r="T1545" i="3"/>
  <c r="T1536" i="3"/>
  <c r="T1535" i="3"/>
  <c r="T1534" i="3"/>
  <c r="T1533" i="3"/>
  <c r="T1526" i="3"/>
  <c r="T1525" i="3"/>
  <c r="T1524" i="3"/>
  <c r="T1523" i="3"/>
  <c r="T1518" i="3"/>
  <c r="T1517" i="3"/>
  <c r="T1516" i="3"/>
  <c r="T1515" i="3"/>
  <c r="T1510" i="3"/>
  <c r="T1509" i="3"/>
  <c r="T1508" i="3"/>
  <c r="T1507" i="3"/>
  <c r="T1498" i="3"/>
  <c r="T1497" i="3"/>
  <c r="T1496" i="3"/>
  <c r="T1495" i="3"/>
  <c r="T1488" i="3"/>
  <c r="T1487" i="3"/>
  <c r="T1486" i="3"/>
  <c r="T1485" i="3"/>
  <c r="T1480" i="3"/>
  <c r="T1479" i="3"/>
  <c r="T1478" i="3"/>
  <c r="T1477" i="3"/>
  <c r="T1472" i="3"/>
  <c r="T1471" i="3"/>
  <c r="T1470" i="3"/>
  <c r="T1594" i="3"/>
  <c r="T1578" i="3"/>
  <c r="T1592" i="3"/>
  <c r="T1576" i="3"/>
  <c r="T1560" i="3"/>
  <c r="T1593" i="3"/>
  <c r="T1577" i="3"/>
  <c r="T1591" i="3"/>
  <c r="T1575" i="3"/>
  <c r="T1559" i="3"/>
  <c r="T1557" i="3"/>
  <c r="X1703" i="3"/>
  <c r="X1701" i="3"/>
  <c r="X1698" i="3"/>
  <c r="X1704" i="3"/>
  <c r="X1702" i="3"/>
  <c r="X1700" i="3"/>
  <c r="X1697" i="3"/>
  <c r="X1696" i="3"/>
  <c r="X1695" i="3"/>
  <c r="X1686" i="3"/>
  <c r="X1685" i="3"/>
  <c r="X1684" i="3"/>
  <c r="X1683" i="3"/>
  <c r="X1674" i="3"/>
  <c r="X1673" i="3"/>
  <c r="X1672" i="3"/>
  <c r="X1699" i="3"/>
  <c r="X1671" i="3"/>
  <c r="X1666" i="3"/>
  <c r="X1665" i="3"/>
  <c r="X1664" i="3"/>
  <c r="X1663" i="3"/>
  <c r="X1654" i="3"/>
  <c r="X1653" i="3"/>
  <c r="X1652" i="3"/>
  <c r="X1651" i="3"/>
  <c r="X1646" i="3"/>
  <c r="X1644" i="3"/>
  <c r="X1634" i="3"/>
  <c r="X1632" i="3"/>
  <c r="X1624" i="3"/>
  <c r="X1622" i="3"/>
  <c r="X1612" i="3"/>
  <c r="X1610" i="3"/>
  <c r="X1604" i="3"/>
  <c r="X1602" i="3"/>
  <c r="X1645" i="3"/>
  <c r="X1643" i="3"/>
  <c r="X1633" i="3"/>
  <c r="X1631" i="3"/>
  <c r="X1623" i="3"/>
  <c r="X1621" i="3"/>
  <c r="X1611" i="3"/>
  <c r="X1609" i="3"/>
  <c r="X1603" i="3"/>
  <c r="X1601" i="3"/>
  <c r="X1557" i="3"/>
  <c r="X1548" i="3"/>
  <c r="X1547" i="3"/>
  <c r="X1546" i="3"/>
  <c r="X1545" i="3"/>
  <c r="X1536" i="3"/>
  <c r="X1535" i="3"/>
  <c r="X1534" i="3"/>
  <c r="X1533" i="3"/>
  <c r="X1526" i="3"/>
  <c r="X1525" i="3"/>
  <c r="X1524" i="3"/>
  <c r="X1523" i="3"/>
  <c r="X1518" i="3"/>
  <c r="X1517" i="3"/>
  <c r="X1516" i="3"/>
  <c r="X1515" i="3"/>
  <c r="X1510" i="3"/>
  <c r="X1509" i="3"/>
  <c r="X1508" i="3"/>
  <c r="X1507" i="3"/>
  <c r="X1498" i="3"/>
  <c r="X1497" i="3"/>
  <c r="X1496" i="3"/>
  <c r="X1495" i="3"/>
  <c r="X1488" i="3"/>
  <c r="X1487" i="3"/>
  <c r="X1486" i="3"/>
  <c r="X1485" i="3"/>
  <c r="X1480" i="3"/>
  <c r="X1479" i="3"/>
  <c r="X1478" i="3"/>
  <c r="X1477" i="3"/>
  <c r="X1472" i="3"/>
  <c r="X1471" i="3"/>
  <c r="X1470" i="3"/>
  <c r="X1593" i="3"/>
  <c r="X1577" i="3"/>
  <c r="X1558" i="3"/>
  <c r="X1591" i="3"/>
  <c r="X1575" i="3"/>
  <c r="X1559" i="3"/>
  <c r="X1592" i="3"/>
  <c r="X1576" i="3"/>
  <c r="X1560" i="3"/>
  <c r="X1594" i="3"/>
  <c r="X1578" i="3"/>
  <c r="AB1702" i="3"/>
  <c r="AB1703" i="3"/>
  <c r="AB1699" i="3"/>
  <c r="AB1697" i="3"/>
  <c r="AB1696" i="3"/>
  <c r="AB1695" i="3"/>
  <c r="AB1686" i="3"/>
  <c r="AB1685" i="3"/>
  <c r="AB1684" i="3"/>
  <c r="AB1683" i="3"/>
  <c r="AB1674" i="3"/>
  <c r="AB1673" i="3"/>
  <c r="AB1672" i="3"/>
  <c r="AB1698" i="3"/>
  <c r="AB1671" i="3"/>
  <c r="AB1666" i="3"/>
  <c r="AB1665" i="3"/>
  <c r="AB1664" i="3"/>
  <c r="AB1663" i="3"/>
  <c r="AB1654" i="3"/>
  <c r="AB1653" i="3"/>
  <c r="AB1652" i="3"/>
  <c r="AB1651" i="3"/>
  <c r="AB1700" i="3"/>
  <c r="AB1645" i="3"/>
  <c r="AB1643" i="3"/>
  <c r="AB1633" i="3"/>
  <c r="AB1631" i="3"/>
  <c r="AB1623" i="3"/>
  <c r="AB1621" i="3"/>
  <c r="AB1611" i="3"/>
  <c r="AB1609" i="3"/>
  <c r="AB1603" i="3"/>
  <c r="AB1601" i="3"/>
  <c r="AB1646" i="3"/>
  <c r="AB1644" i="3"/>
  <c r="AB1634" i="3"/>
  <c r="AB1632" i="3"/>
  <c r="AB1624" i="3"/>
  <c r="AB1622" i="3"/>
  <c r="AB1612" i="3"/>
  <c r="AB1610" i="3"/>
  <c r="AB1604" i="3"/>
  <c r="AB1602" i="3"/>
  <c r="AB1558" i="3"/>
  <c r="AB1548" i="3"/>
  <c r="AB1547" i="3"/>
  <c r="AB1546" i="3"/>
  <c r="AB1545" i="3"/>
  <c r="AB1536" i="3"/>
  <c r="AB1535" i="3"/>
  <c r="AB1534" i="3"/>
  <c r="AB1533" i="3"/>
  <c r="AB1526" i="3"/>
  <c r="AB1525" i="3"/>
  <c r="AB1524" i="3"/>
  <c r="AB1523" i="3"/>
  <c r="AB1518" i="3"/>
  <c r="AB1517" i="3"/>
  <c r="AB1516" i="3"/>
  <c r="AB1515" i="3"/>
  <c r="AB1510" i="3"/>
  <c r="AB1509" i="3"/>
  <c r="AB1508" i="3"/>
  <c r="AB1507" i="3"/>
  <c r="AB1498" i="3"/>
  <c r="AB1497" i="3"/>
  <c r="AB1496" i="3"/>
  <c r="AB1495" i="3"/>
  <c r="AB1488" i="3"/>
  <c r="AB1487" i="3"/>
  <c r="AB1486" i="3"/>
  <c r="AB1485" i="3"/>
  <c r="AB1480" i="3"/>
  <c r="AB1479" i="3"/>
  <c r="AB1478" i="3"/>
  <c r="AB1477" i="3"/>
  <c r="AB1472" i="3"/>
  <c r="AB1471" i="3"/>
  <c r="AB1592" i="3"/>
  <c r="AB1576" i="3"/>
  <c r="AB1560" i="3"/>
  <c r="AB1557" i="3"/>
  <c r="AB1594" i="3"/>
  <c r="AB1578" i="3"/>
  <c r="AB1591" i="3"/>
  <c r="AB1575" i="3"/>
  <c r="AB1559" i="3"/>
  <c r="AB1593" i="3"/>
  <c r="AB1577" i="3"/>
  <c r="AF1702" i="3"/>
  <c r="AF1472" i="3"/>
  <c r="AF1471" i="3"/>
  <c r="Q1704" i="3"/>
  <c r="Q1703" i="3"/>
  <c r="Q1702" i="3"/>
  <c r="Q1701" i="3"/>
  <c r="Q1699" i="3"/>
  <c r="Q1698" i="3"/>
  <c r="Q1697" i="3"/>
  <c r="Q1695" i="3"/>
  <c r="Q1685" i="3"/>
  <c r="Q1683" i="3"/>
  <c r="Q1673" i="3"/>
  <c r="Q1696" i="3"/>
  <c r="Q1686" i="3"/>
  <c r="Q1684" i="3"/>
  <c r="Q1674" i="3"/>
  <c r="Q1700" i="3"/>
  <c r="Q1666" i="3"/>
  <c r="Q1664" i="3"/>
  <c r="Q1654" i="3"/>
  <c r="Q1646" i="3"/>
  <c r="Q1645" i="3"/>
  <c r="Q1644" i="3"/>
  <c r="Q1643" i="3"/>
  <c r="Q1634" i="3"/>
  <c r="Q1633" i="3"/>
  <c r="Q1632" i="3"/>
  <c r="Q1631" i="3"/>
  <c r="Q1624" i="3"/>
  <c r="Q1623" i="3"/>
  <c r="Q1622" i="3"/>
  <c r="Q1621" i="3"/>
  <c r="Q1612" i="3"/>
  <c r="Q1611" i="3"/>
  <c r="Q1610" i="3"/>
  <c r="Q1609" i="3"/>
  <c r="Q1604" i="3"/>
  <c r="Q1603" i="3"/>
  <c r="Q1602" i="3"/>
  <c r="Q1601" i="3"/>
  <c r="Q1671" i="3"/>
  <c r="Q1665" i="3"/>
  <c r="Q1663" i="3"/>
  <c r="Q1652" i="3"/>
  <c r="Q1651" i="3"/>
  <c r="Q1594" i="3"/>
  <c r="Q1593" i="3"/>
  <c r="Q1592" i="3"/>
  <c r="Q1591" i="3"/>
  <c r="Q1578" i="3"/>
  <c r="Q1577" i="3"/>
  <c r="Q1576" i="3"/>
  <c r="Q1575" i="3"/>
  <c r="Q1560" i="3"/>
  <c r="Q1559" i="3"/>
  <c r="Q1558" i="3"/>
  <c r="Q1557" i="3"/>
  <c r="Q1653" i="3"/>
  <c r="Q1547" i="3"/>
  <c r="Q1545" i="3"/>
  <c r="Q1535" i="3"/>
  <c r="Q1533" i="3"/>
  <c r="Q1525" i="3"/>
  <c r="Q1523" i="3"/>
  <c r="Q1517" i="3"/>
  <c r="Q1515" i="3"/>
  <c r="Q1513" i="3"/>
  <c r="Q1509" i="3"/>
  <c r="Q1507" i="3"/>
  <c r="Q1497" i="3"/>
  <c r="Q1495" i="3"/>
  <c r="Q1487" i="3"/>
  <c r="Q1485" i="3"/>
  <c r="Q1479" i="3"/>
  <c r="Q1477" i="3"/>
  <c r="Q1471" i="3"/>
  <c r="Q1672" i="3"/>
  <c r="Q1548" i="3"/>
  <c r="Q1546" i="3"/>
  <c r="Q1536" i="3"/>
  <c r="Q1534" i="3"/>
  <c r="Q1526" i="3"/>
  <c r="Q1524" i="3"/>
  <c r="Q1518" i="3"/>
  <c r="Q1516" i="3"/>
  <c r="Q1514" i="3"/>
  <c r="Q1510" i="3"/>
  <c r="Q1508" i="3"/>
  <c r="Q1498" i="3"/>
  <c r="Q1496" i="3"/>
  <c r="Q1488" i="3"/>
  <c r="Q1486" i="3"/>
  <c r="Q1480" i="3"/>
  <c r="Q1478" i="3"/>
  <c r="Q1472" i="3"/>
  <c r="Q1470" i="3"/>
  <c r="U1704" i="3"/>
  <c r="U1703" i="3"/>
  <c r="U1702" i="3"/>
  <c r="U1701" i="3"/>
  <c r="U1700" i="3"/>
  <c r="U1698" i="3"/>
  <c r="U1696" i="3"/>
  <c r="U1686" i="3"/>
  <c r="U1684" i="3"/>
  <c r="U1674" i="3"/>
  <c r="U1672" i="3"/>
  <c r="U1697" i="3"/>
  <c r="U1695" i="3"/>
  <c r="U1685" i="3"/>
  <c r="U1683" i="3"/>
  <c r="U1673" i="3"/>
  <c r="U1671" i="3"/>
  <c r="U1665" i="3"/>
  <c r="U1663" i="3"/>
  <c r="U1653" i="3"/>
  <c r="U1646" i="3"/>
  <c r="U1645" i="3"/>
  <c r="U1644" i="3"/>
  <c r="U1643" i="3"/>
  <c r="U1634" i="3"/>
  <c r="U1633" i="3"/>
  <c r="U1632" i="3"/>
  <c r="U1631" i="3"/>
  <c r="U1624" i="3"/>
  <c r="U1623" i="3"/>
  <c r="U1622" i="3"/>
  <c r="U1621" i="3"/>
  <c r="U1612" i="3"/>
  <c r="U1611" i="3"/>
  <c r="U1610" i="3"/>
  <c r="U1609" i="3"/>
  <c r="U1604" i="3"/>
  <c r="U1603" i="3"/>
  <c r="U1602" i="3"/>
  <c r="U1601" i="3"/>
  <c r="U1699" i="3"/>
  <c r="U1666" i="3"/>
  <c r="U1664" i="3"/>
  <c r="U1654" i="3"/>
  <c r="U1651" i="3"/>
  <c r="U1594" i="3"/>
  <c r="U1593" i="3"/>
  <c r="U1592" i="3"/>
  <c r="U1591" i="3"/>
  <c r="U1578" i="3"/>
  <c r="U1577" i="3"/>
  <c r="U1576" i="3"/>
  <c r="U1575" i="3"/>
  <c r="U1560" i="3"/>
  <c r="U1559" i="3"/>
  <c r="U1558" i="3"/>
  <c r="U1557" i="3"/>
  <c r="U1652" i="3"/>
  <c r="U1548" i="3"/>
  <c r="U1546" i="3"/>
  <c r="U1536" i="3"/>
  <c r="U1534" i="3"/>
  <c r="U1526" i="3"/>
  <c r="U1524" i="3"/>
  <c r="U1518" i="3"/>
  <c r="U1516" i="3"/>
  <c r="U1510" i="3"/>
  <c r="U1508" i="3"/>
  <c r="U1498" i="3"/>
  <c r="U1496" i="3"/>
  <c r="U1488" i="3"/>
  <c r="U1486" i="3"/>
  <c r="U1480" i="3"/>
  <c r="U1478" i="3"/>
  <c r="U1472" i="3"/>
  <c r="U1470" i="3"/>
  <c r="U1547" i="3"/>
  <c r="U1545" i="3"/>
  <c r="U1535" i="3"/>
  <c r="U1533" i="3"/>
  <c r="U1525" i="3"/>
  <c r="U1523" i="3"/>
  <c r="U1517" i="3"/>
  <c r="U1515" i="3"/>
  <c r="U1509" i="3"/>
  <c r="U1507" i="3"/>
  <c r="U1497" i="3"/>
  <c r="U1495" i="3"/>
  <c r="U1487" i="3"/>
  <c r="U1485" i="3"/>
  <c r="U1479" i="3"/>
  <c r="U1477" i="3"/>
  <c r="U1471" i="3"/>
  <c r="Y1704" i="3"/>
  <c r="Y1703" i="3"/>
  <c r="Y1702" i="3"/>
  <c r="Y1701" i="3"/>
  <c r="Y1699" i="3"/>
  <c r="Y1697" i="3"/>
  <c r="Y1695" i="3"/>
  <c r="Y1685" i="3"/>
  <c r="Y1683" i="3"/>
  <c r="Y1700" i="3"/>
  <c r="Y1696" i="3"/>
  <c r="Y1686" i="3"/>
  <c r="Y1684" i="3"/>
  <c r="Y1674" i="3"/>
  <c r="Y1673" i="3"/>
  <c r="Y1698" i="3"/>
  <c r="Y1672" i="3"/>
  <c r="Y1666" i="3"/>
  <c r="Y1664" i="3"/>
  <c r="Y1654" i="3"/>
  <c r="Y1652" i="3"/>
  <c r="Y1646" i="3"/>
  <c r="Y1645" i="3"/>
  <c r="Y1644" i="3"/>
  <c r="Y1643" i="3"/>
  <c r="Y1634" i="3"/>
  <c r="Y1633" i="3"/>
  <c r="Y1632" i="3"/>
  <c r="Y1631" i="3"/>
  <c r="Y1624" i="3"/>
  <c r="Y1623" i="3"/>
  <c r="Y1622" i="3"/>
  <c r="Y1621" i="3"/>
  <c r="Y1612" i="3"/>
  <c r="Y1611" i="3"/>
  <c r="Y1610" i="3"/>
  <c r="Y1609" i="3"/>
  <c r="Y1604" i="3"/>
  <c r="Y1603" i="3"/>
  <c r="Y1602" i="3"/>
  <c r="Y1601" i="3"/>
  <c r="Y1671" i="3"/>
  <c r="Y1665" i="3"/>
  <c r="Y1663" i="3"/>
  <c r="Y1653" i="3"/>
  <c r="Y1594" i="3"/>
  <c r="Y1593" i="3"/>
  <c r="Y1592" i="3"/>
  <c r="Y1591" i="3"/>
  <c r="Y1578" i="3"/>
  <c r="Y1577" i="3"/>
  <c r="Y1576" i="3"/>
  <c r="Y1575" i="3"/>
  <c r="Y1560" i="3"/>
  <c r="Y1559" i="3"/>
  <c r="Y1558" i="3"/>
  <c r="Y1557" i="3"/>
  <c r="Y1651" i="3"/>
  <c r="Y1547" i="3"/>
  <c r="Y1545" i="3"/>
  <c r="Y1535" i="3"/>
  <c r="Y1533" i="3"/>
  <c r="Y1525" i="3"/>
  <c r="Y1523" i="3"/>
  <c r="Y1517" i="3"/>
  <c r="Y1515" i="3"/>
  <c r="Y1509" i="3"/>
  <c r="Y1507" i="3"/>
  <c r="Y1497" i="3"/>
  <c r="Y1495" i="3"/>
  <c r="Y1487" i="3"/>
  <c r="Y1485" i="3"/>
  <c r="Y1479" i="3"/>
  <c r="Y1477" i="3"/>
  <c r="Y1471" i="3"/>
  <c r="Y1548" i="3"/>
  <c r="Y1546" i="3"/>
  <c r="Y1536" i="3"/>
  <c r="Y1534" i="3"/>
  <c r="Y1526" i="3"/>
  <c r="Y1524" i="3"/>
  <c r="Y1518" i="3"/>
  <c r="Y1516" i="3"/>
  <c r="Y1510" i="3"/>
  <c r="Y1508" i="3"/>
  <c r="Y1498" i="3"/>
  <c r="Y1496" i="3"/>
  <c r="Y1488" i="3"/>
  <c r="Y1486" i="3"/>
  <c r="Y1480" i="3"/>
  <c r="Y1478" i="3"/>
  <c r="Y1472" i="3"/>
  <c r="AC1703" i="3"/>
  <c r="AC1702" i="3"/>
  <c r="AC1698" i="3"/>
  <c r="AC1696" i="3"/>
  <c r="AC1686" i="3"/>
  <c r="AC1684" i="3"/>
  <c r="AC1674" i="3"/>
  <c r="AC1699" i="3"/>
  <c r="AC1697" i="3"/>
  <c r="AC1695" i="3"/>
  <c r="AC1685" i="3"/>
  <c r="AC1683" i="3"/>
  <c r="AC1672" i="3"/>
  <c r="AC1671" i="3"/>
  <c r="AC1665" i="3"/>
  <c r="AC1663" i="3"/>
  <c r="AC1653" i="3"/>
  <c r="AC1651" i="3"/>
  <c r="AC1646" i="3"/>
  <c r="AC1645" i="3"/>
  <c r="AC1644" i="3"/>
  <c r="AC1643" i="3"/>
  <c r="AC1634" i="3"/>
  <c r="AC1633" i="3"/>
  <c r="AC1632" i="3"/>
  <c r="AC1631" i="3"/>
  <c r="AC1624" i="3"/>
  <c r="AC1623" i="3"/>
  <c r="AC1622" i="3"/>
  <c r="AC1621" i="3"/>
  <c r="AC1612" i="3"/>
  <c r="AC1611" i="3"/>
  <c r="AC1610" i="3"/>
  <c r="AC1609" i="3"/>
  <c r="AC1604" i="3"/>
  <c r="AC1603" i="3"/>
  <c r="AC1602" i="3"/>
  <c r="AC1601" i="3"/>
  <c r="AC1666" i="3"/>
  <c r="AC1664" i="3"/>
  <c r="AC1654" i="3"/>
  <c r="AC1673" i="3"/>
  <c r="AC1652" i="3"/>
  <c r="AC1594" i="3"/>
  <c r="AC1593" i="3"/>
  <c r="AC1592" i="3"/>
  <c r="AC1591" i="3"/>
  <c r="AC1578" i="3"/>
  <c r="AC1577" i="3"/>
  <c r="AC1576" i="3"/>
  <c r="AC1575" i="3"/>
  <c r="AC1560" i="3"/>
  <c r="AC1559" i="3"/>
  <c r="AC1558" i="3"/>
  <c r="AC1557" i="3"/>
  <c r="AC1548" i="3"/>
  <c r="AC1546" i="3"/>
  <c r="AC1536" i="3"/>
  <c r="AC1534" i="3"/>
  <c r="AC1526" i="3"/>
  <c r="AC1524" i="3"/>
  <c r="AC1518" i="3"/>
  <c r="AC1516" i="3"/>
  <c r="AC1510" i="3"/>
  <c r="AC1508" i="3"/>
  <c r="AC1498" i="3"/>
  <c r="AC1496" i="3"/>
  <c r="AC1488" i="3"/>
  <c r="AC1486" i="3"/>
  <c r="AC1480" i="3"/>
  <c r="AC1478" i="3"/>
  <c r="AC1472" i="3"/>
  <c r="AC1547" i="3"/>
  <c r="AC1545" i="3"/>
  <c r="AC1535" i="3"/>
  <c r="AC1533" i="3"/>
  <c r="AC1525" i="3"/>
  <c r="AC1523" i="3"/>
  <c r="AC1517" i="3"/>
  <c r="AC1515" i="3"/>
  <c r="AC1509" i="3"/>
  <c r="AC1507" i="3"/>
  <c r="AC1497" i="3"/>
  <c r="AC1495" i="3"/>
  <c r="AC1487" i="3"/>
  <c r="AC1485" i="3"/>
  <c r="AC1479" i="3"/>
  <c r="AC1477" i="3"/>
  <c r="AC1471" i="3"/>
  <c r="AG1471" i="3"/>
  <c r="AG1472" i="3"/>
  <c r="R1698" i="3"/>
  <c r="R1697" i="3"/>
  <c r="R1696" i="3"/>
  <c r="R1695" i="3"/>
  <c r="R1686" i="3"/>
  <c r="R1685" i="3"/>
  <c r="R1684" i="3"/>
  <c r="R1683" i="3"/>
  <c r="R1674" i="3"/>
  <c r="R1700" i="3"/>
  <c r="R1702" i="3"/>
  <c r="R1671" i="3"/>
  <c r="R1666" i="3"/>
  <c r="R1665" i="3"/>
  <c r="R1664" i="3"/>
  <c r="R1663" i="3"/>
  <c r="R1654" i="3"/>
  <c r="R1704" i="3"/>
  <c r="R1699" i="3"/>
  <c r="R1672" i="3"/>
  <c r="R1651" i="3"/>
  <c r="R1701" i="3"/>
  <c r="R1653" i="3"/>
  <c r="R1703" i="3"/>
  <c r="R1673" i="3"/>
  <c r="R1652" i="3"/>
  <c r="R1645" i="3"/>
  <c r="R1633" i="3"/>
  <c r="R1621" i="3"/>
  <c r="R1609" i="3"/>
  <c r="R1601" i="3"/>
  <c r="R1593" i="3"/>
  <c r="R1591" i="3"/>
  <c r="R1577" i="3"/>
  <c r="R1575" i="3"/>
  <c r="R1559" i="3"/>
  <c r="R1548" i="3"/>
  <c r="R1547" i="3"/>
  <c r="R1546" i="3"/>
  <c r="R1545" i="3"/>
  <c r="R1536" i="3"/>
  <c r="R1535" i="3"/>
  <c r="R1534" i="3"/>
  <c r="R1533" i="3"/>
  <c r="R1526" i="3"/>
  <c r="R1525" i="3"/>
  <c r="R1524" i="3"/>
  <c r="R1523" i="3"/>
  <c r="R1518" i="3"/>
  <c r="R1517" i="3"/>
  <c r="R1516" i="3"/>
  <c r="R1515" i="3"/>
  <c r="R1514" i="3"/>
  <c r="R1513" i="3"/>
  <c r="R1510" i="3"/>
  <c r="R1509" i="3"/>
  <c r="R1508" i="3"/>
  <c r="R1507" i="3"/>
  <c r="R1498" i="3"/>
  <c r="R1497" i="3"/>
  <c r="R1496" i="3"/>
  <c r="R1495" i="3"/>
  <c r="R1488" i="3"/>
  <c r="R1487" i="3"/>
  <c r="R1486" i="3"/>
  <c r="R1485" i="3"/>
  <c r="R1480" i="3"/>
  <c r="R1479" i="3"/>
  <c r="R1478" i="3"/>
  <c r="R1477" i="3"/>
  <c r="R1472" i="3"/>
  <c r="R1471" i="3"/>
  <c r="R1470" i="3"/>
  <c r="R1643" i="3"/>
  <c r="R1631" i="3"/>
  <c r="R1623" i="3"/>
  <c r="R1611" i="3"/>
  <c r="R1603" i="3"/>
  <c r="R1594" i="3"/>
  <c r="R1592" i="3"/>
  <c r="R1578" i="3"/>
  <c r="R1576" i="3"/>
  <c r="R1560" i="3"/>
  <c r="R1558" i="3"/>
  <c r="R1632" i="3"/>
  <c r="R1624" i="3"/>
  <c r="R1557" i="3"/>
  <c r="R1644" i="3"/>
  <c r="R1612" i="3"/>
  <c r="R1604" i="3"/>
  <c r="R1646" i="3"/>
  <c r="R1622" i="3"/>
  <c r="R1610" i="3"/>
  <c r="R1634" i="3"/>
  <c r="R1602" i="3"/>
  <c r="V1697" i="3"/>
  <c r="V1696" i="3"/>
  <c r="V1695" i="3"/>
  <c r="V1686" i="3"/>
  <c r="V1685" i="3"/>
  <c r="V1684" i="3"/>
  <c r="V1683" i="3"/>
  <c r="V1674" i="3"/>
  <c r="V1699" i="3"/>
  <c r="V1701" i="3"/>
  <c r="V1673" i="3"/>
  <c r="V1671" i="3"/>
  <c r="V1666" i="3"/>
  <c r="V1665" i="3"/>
  <c r="V1664" i="3"/>
  <c r="V1663" i="3"/>
  <c r="V1654" i="3"/>
  <c r="V1653" i="3"/>
  <c r="V1703" i="3"/>
  <c r="V1698" i="3"/>
  <c r="V1704" i="3"/>
  <c r="V1652" i="3"/>
  <c r="V1702" i="3"/>
  <c r="V1672" i="3"/>
  <c r="V1651" i="3"/>
  <c r="V1644" i="3"/>
  <c r="V1632" i="3"/>
  <c r="V1624" i="3"/>
  <c r="V1612" i="3"/>
  <c r="V1604" i="3"/>
  <c r="V1594" i="3"/>
  <c r="V1592" i="3"/>
  <c r="V1578" i="3"/>
  <c r="V1576" i="3"/>
  <c r="V1560" i="3"/>
  <c r="V1548" i="3"/>
  <c r="V1547" i="3"/>
  <c r="V1546" i="3"/>
  <c r="V1545" i="3"/>
  <c r="V1536" i="3"/>
  <c r="V1535" i="3"/>
  <c r="V1534" i="3"/>
  <c r="V1533" i="3"/>
  <c r="V1526" i="3"/>
  <c r="V1525" i="3"/>
  <c r="V1524" i="3"/>
  <c r="V1523" i="3"/>
  <c r="V1518" i="3"/>
  <c r="V1517" i="3"/>
  <c r="V1516" i="3"/>
  <c r="V1515" i="3"/>
  <c r="V1510" i="3"/>
  <c r="V1509" i="3"/>
  <c r="V1508" i="3"/>
  <c r="V1507" i="3"/>
  <c r="V1498" i="3"/>
  <c r="V1497" i="3"/>
  <c r="V1496" i="3"/>
  <c r="V1495" i="3"/>
  <c r="V1488" i="3"/>
  <c r="V1487" i="3"/>
  <c r="V1486" i="3"/>
  <c r="V1485" i="3"/>
  <c r="V1480" i="3"/>
  <c r="V1479" i="3"/>
  <c r="V1478" i="3"/>
  <c r="V1477" i="3"/>
  <c r="V1472" i="3"/>
  <c r="V1471" i="3"/>
  <c r="V1470" i="3"/>
  <c r="V1646" i="3"/>
  <c r="V1634" i="3"/>
  <c r="V1622" i="3"/>
  <c r="V1610" i="3"/>
  <c r="V1602" i="3"/>
  <c r="V1593" i="3"/>
  <c r="V1591" i="3"/>
  <c r="V1577" i="3"/>
  <c r="V1575" i="3"/>
  <c r="V1559" i="3"/>
  <c r="V1557" i="3"/>
  <c r="V1631" i="3"/>
  <c r="V1623" i="3"/>
  <c r="V1700" i="3"/>
  <c r="V1643" i="3"/>
  <c r="V1611" i="3"/>
  <c r="V1603" i="3"/>
  <c r="V1621" i="3"/>
  <c r="V1645" i="3"/>
  <c r="V1558" i="3"/>
  <c r="V1633" i="3"/>
  <c r="V1601" i="3"/>
  <c r="V1609" i="3"/>
  <c r="Z1700" i="3"/>
  <c r="Z1697" i="3"/>
  <c r="Z1696" i="3"/>
  <c r="Z1695" i="3"/>
  <c r="Z1686" i="3"/>
  <c r="Z1685" i="3"/>
  <c r="Z1684" i="3"/>
  <c r="Z1683" i="3"/>
  <c r="Z1674" i="3"/>
  <c r="Z1698" i="3"/>
  <c r="Z1704" i="3"/>
  <c r="Z1672" i="3"/>
  <c r="Z1671" i="3"/>
  <c r="Z1666" i="3"/>
  <c r="Z1665" i="3"/>
  <c r="Z1664" i="3"/>
  <c r="Z1663" i="3"/>
  <c r="Z1654" i="3"/>
  <c r="Z1653" i="3"/>
  <c r="Z1702" i="3"/>
  <c r="Z1703" i="3"/>
  <c r="Z1673" i="3"/>
  <c r="Z1651" i="3"/>
  <c r="Z1699" i="3"/>
  <c r="Z1643" i="3"/>
  <c r="Z1631" i="3"/>
  <c r="Z1623" i="3"/>
  <c r="Z1611" i="3"/>
  <c r="Z1603" i="3"/>
  <c r="Z1593" i="3"/>
  <c r="Z1591" i="3"/>
  <c r="Z1577" i="3"/>
  <c r="Z1575" i="3"/>
  <c r="Z1559" i="3"/>
  <c r="Z1558" i="3"/>
  <c r="Z1548" i="3"/>
  <c r="Z1547" i="3"/>
  <c r="Z1546" i="3"/>
  <c r="Z1545" i="3"/>
  <c r="Z1536" i="3"/>
  <c r="Z1535" i="3"/>
  <c r="Z1534" i="3"/>
  <c r="Z1533" i="3"/>
  <c r="Z1526" i="3"/>
  <c r="Z1525" i="3"/>
  <c r="Z1524" i="3"/>
  <c r="Z1523" i="3"/>
  <c r="Z1518" i="3"/>
  <c r="Z1517" i="3"/>
  <c r="Z1516" i="3"/>
  <c r="Z1515" i="3"/>
  <c r="Z1510" i="3"/>
  <c r="Z1509" i="3"/>
  <c r="Z1508" i="3"/>
  <c r="Z1507" i="3"/>
  <c r="Z1498" i="3"/>
  <c r="Z1497" i="3"/>
  <c r="Z1496" i="3"/>
  <c r="Z1495" i="3"/>
  <c r="Z1488" i="3"/>
  <c r="Z1487" i="3"/>
  <c r="Z1486" i="3"/>
  <c r="Z1485" i="3"/>
  <c r="Z1480" i="3"/>
  <c r="Z1479" i="3"/>
  <c r="Z1478" i="3"/>
  <c r="Z1477" i="3"/>
  <c r="Z1472" i="3"/>
  <c r="Z1471" i="3"/>
  <c r="Z1645" i="3"/>
  <c r="Z1633" i="3"/>
  <c r="Z1621" i="3"/>
  <c r="Z1609" i="3"/>
  <c r="Z1601" i="3"/>
  <c r="Z1594" i="3"/>
  <c r="Z1592" i="3"/>
  <c r="Z1578" i="3"/>
  <c r="Z1576" i="3"/>
  <c r="Z1560" i="3"/>
  <c r="Z1646" i="3"/>
  <c r="Z1622" i="3"/>
  <c r="Z1634" i="3"/>
  <c r="Z1610" i="3"/>
  <c r="Z1602" i="3"/>
  <c r="Z1644" i="3"/>
  <c r="Z1612" i="3"/>
  <c r="Z1557" i="3"/>
  <c r="Z1604" i="3"/>
  <c r="Z1624" i="3"/>
  <c r="Z1632" i="3"/>
  <c r="Z1652" i="3"/>
  <c r="AD1699" i="3"/>
  <c r="AD1697" i="3"/>
  <c r="AD1696" i="3"/>
  <c r="AD1695" i="3"/>
  <c r="AD1686" i="3"/>
  <c r="AD1685" i="3"/>
  <c r="AD1684" i="3"/>
  <c r="AD1683" i="3"/>
  <c r="AD1674" i="3"/>
  <c r="AD1703" i="3"/>
  <c r="AD1671" i="3"/>
  <c r="AD1666" i="3"/>
  <c r="AD1665" i="3"/>
  <c r="AD1664" i="3"/>
  <c r="AD1663" i="3"/>
  <c r="AD1654" i="3"/>
  <c r="AD1653" i="3"/>
  <c r="AD1673" i="3"/>
  <c r="AD1702" i="3"/>
  <c r="AD1652" i="3"/>
  <c r="AD1672" i="3"/>
  <c r="AD1698" i="3"/>
  <c r="AD1646" i="3"/>
  <c r="AD1634" i="3"/>
  <c r="AD1622" i="3"/>
  <c r="AD1610" i="3"/>
  <c r="AD1602" i="3"/>
  <c r="AD1594" i="3"/>
  <c r="AD1592" i="3"/>
  <c r="AD1578" i="3"/>
  <c r="AD1576" i="3"/>
  <c r="AD1560" i="3"/>
  <c r="AD1557" i="3"/>
  <c r="AD1548" i="3"/>
  <c r="AD1547" i="3"/>
  <c r="AD1546" i="3"/>
  <c r="AD1545" i="3"/>
  <c r="AD1536" i="3"/>
  <c r="AD1535" i="3"/>
  <c r="AD1534" i="3"/>
  <c r="AD1533" i="3"/>
  <c r="AD1526" i="3"/>
  <c r="AD1525" i="3"/>
  <c r="AD1524" i="3"/>
  <c r="AD1523" i="3"/>
  <c r="AD1518" i="3"/>
  <c r="AD1517" i="3"/>
  <c r="AD1516" i="3"/>
  <c r="AD1515" i="3"/>
  <c r="AD1510" i="3"/>
  <c r="AD1509" i="3"/>
  <c r="AD1508" i="3"/>
  <c r="AD1507" i="3"/>
  <c r="AD1498" i="3"/>
  <c r="AD1497" i="3"/>
  <c r="AD1496" i="3"/>
  <c r="AD1495" i="3"/>
  <c r="AD1488" i="3"/>
  <c r="AD1487" i="3"/>
  <c r="AD1486" i="3"/>
  <c r="AD1485" i="3"/>
  <c r="AD1480" i="3"/>
  <c r="AD1479" i="3"/>
  <c r="AD1478" i="3"/>
  <c r="AD1477" i="3"/>
  <c r="AD1472" i="3"/>
  <c r="AD1471" i="3"/>
  <c r="AD1644" i="3"/>
  <c r="AD1632" i="3"/>
  <c r="AD1624" i="3"/>
  <c r="AD1612" i="3"/>
  <c r="AD1604" i="3"/>
  <c r="AD1593" i="3"/>
  <c r="AD1591" i="3"/>
  <c r="AD1577" i="3"/>
  <c r="AD1575" i="3"/>
  <c r="AD1559" i="3"/>
  <c r="AD1645" i="3"/>
  <c r="AD1621" i="3"/>
  <c r="AD1651" i="3"/>
  <c r="AD1633" i="3"/>
  <c r="AD1609" i="3"/>
  <c r="AD1601" i="3"/>
  <c r="AD1558" i="3"/>
  <c r="AD1603" i="3"/>
  <c r="AD1643" i="3"/>
  <c r="AD1611" i="3"/>
  <c r="AD1631" i="3"/>
  <c r="AD1623" i="3"/>
  <c r="AH1472" i="3"/>
  <c r="AH1471" i="3"/>
  <c r="J112" i="3"/>
  <c r="N112" i="3"/>
  <c r="I957" i="5"/>
  <c r="H957" i="5"/>
  <c r="G957" i="5"/>
  <c r="F957" i="5"/>
  <c r="E957" i="5"/>
  <c r="I956" i="5"/>
  <c r="H956" i="5"/>
  <c r="G956" i="5"/>
  <c r="F956" i="5"/>
  <c r="E956" i="5"/>
  <c r="I955" i="5"/>
  <c r="H955" i="5"/>
  <c r="G955" i="5"/>
  <c r="F955" i="5"/>
  <c r="E955" i="5"/>
  <c r="I954" i="5"/>
  <c r="H954" i="5"/>
  <c r="G954" i="5"/>
  <c r="F954" i="5"/>
  <c r="E954" i="5"/>
  <c r="I953" i="5"/>
  <c r="H953" i="5"/>
  <c r="G953" i="5"/>
  <c r="F953" i="5"/>
  <c r="E953" i="5"/>
  <c r="I952" i="5"/>
  <c r="H952" i="5"/>
  <c r="G952" i="5"/>
  <c r="F952" i="5"/>
  <c r="E952" i="5"/>
  <c r="I951" i="5"/>
  <c r="H951" i="5"/>
  <c r="G951" i="5"/>
  <c r="F951" i="5"/>
  <c r="E951" i="5"/>
  <c r="I950" i="5"/>
  <c r="H950" i="5"/>
  <c r="G950" i="5"/>
  <c r="F950" i="5"/>
  <c r="E950" i="5"/>
  <c r="I949" i="5"/>
  <c r="H949" i="5"/>
  <c r="G949" i="5"/>
  <c r="F949" i="5"/>
  <c r="E949" i="5"/>
  <c r="I948" i="5"/>
  <c r="H948" i="5"/>
  <c r="G948" i="5"/>
  <c r="F948" i="5"/>
  <c r="E948" i="5"/>
  <c r="I947" i="5"/>
  <c r="H947" i="5"/>
  <c r="G947" i="5"/>
  <c r="F947" i="5"/>
  <c r="E947" i="5"/>
  <c r="I946" i="5"/>
  <c r="H946" i="5"/>
  <c r="G946" i="5"/>
  <c r="F946" i="5"/>
  <c r="E946" i="5"/>
  <c r="I945" i="5"/>
  <c r="H945" i="5"/>
  <c r="G945" i="5"/>
  <c r="F945" i="5"/>
  <c r="E945" i="5"/>
  <c r="I944" i="5"/>
  <c r="H944" i="5"/>
  <c r="G944" i="5"/>
  <c r="F944" i="5"/>
  <c r="E944" i="5"/>
  <c r="I943" i="5"/>
  <c r="H943" i="5"/>
  <c r="G943" i="5"/>
  <c r="F943" i="5"/>
  <c r="E943" i="5"/>
  <c r="I942" i="5"/>
  <c r="H942" i="5"/>
  <c r="G942" i="5"/>
  <c r="F942" i="5"/>
  <c r="E942" i="5"/>
  <c r="I941" i="5"/>
  <c r="H941" i="5"/>
  <c r="G941" i="5"/>
  <c r="F941" i="5"/>
  <c r="E941" i="5"/>
  <c r="I940" i="5"/>
  <c r="H940" i="5"/>
  <c r="G940" i="5"/>
  <c r="F940" i="5"/>
  <c r="E940" i="5"/>
  <c r="I939" i="5"/>
  <c r="H939" i="5"/>
  <c r="G939" i="5"/>
  <c r="F939" i="5"/>
  <c r="E939" i="5"/>
  <c r="I938" i="5"/>
  <c r="H938" i="5"/>
  <c r="G938" i="5"/>
  <c r="F938" i="5"/>
  <c r="E938" i="5"/>
  <c r="I937" i="5"/>
  <c r="H937" i="5"/>
  <c r="G937" i="5"/>
  <c r="F937" i="5"/>
  <c r="E937" i="5"/>
  <c r="I936" i="5"/>
  <c r="H936" i="5"/>
  <c r="G936" i="5"/>
  <c r="F936" i="5"/>
  <c r="E936" i="5"/>
  <c r="I935" i="5"/>
  <c r="H935" i="5"/>
  <c r="G935" i="5"/>
  <c r="F935" i="5"/>
  <c r="E935" i="5"/>
  <c r="I934" i="5"/>
  <c r="H934" i="5"/>
  <c r="G934" i="5"/>
  <c r="F934" i="5"/>
  <c r="E934" i="5"/>
  <c r="I933" i="5"/>
  <c r="H933" i="5"/>
  <c r="G933" i="5"/>
  <c r="F933" i="5"/>
  <c r="E933" i="5"/>
  <c r="I932" i="5"/>
  <c r="H932" i="5"/>
  <c r="G932" i="5"/>
  <c r="F932" i="5"/>
  <c r="E932" i="5"/>
  <c r="I931" i="5"/>
  <c r="H931" i="5"/>
  <c r="G931" i="5"/>
  <c r="F931" i="5"/>
  <c r="E931" i="5"/>
  <c r="I930" i="5"/>
  <c r="H930" i="5"/>
  <c r="G930" i="5"/>
  <c r="F930" i="5"/>
  <c r="E930" i="5"/>
  <c r="I929" i="5"/>
  <c r="H929" i="5"/>
  <c r="G929" i="5"/>
  <c r="F929" i="5"/>
  <c r="E929" i="5"/>
  <c r="I928" i="5"/>
  <c r="H928" i="5"/>
  <c r="G928" i="5"/>
  <c r="F928" i="5"/>
  <c r="E928" i="5"/>
  <c r="I927" i="5"/>
  <c r="H927" i="5"/>
  <c r="G927" i="5"/>
  <c r="F927" i="5"/>
  <c r="E927" i="5"/>
  <c r="I926" i="5"/>
  <c r="H926" i="5"/>
  <c r="G926" i="5"/>
  <c r="F926" i="5"/>
  <c r="E926" i="5"/>
  <c r="I925" i="5"/>
  <c r="H925" i="5"/>
  <c r="G925" i="5"/>
  <c r="F925" i="5"/>
  <c r="E925" i="5"/>
  <c r="I924" i="5"/>
  <c r="H924" i="5"/>
  <c r="G924" i="5"/>
  <c r="F924" i="5"/>
  <c r="E924" i="5"/>
  <c r="I923" i="5"/>
  <c r="H923" i="5"/>
  <c r="G923" i="5"/>
  <c r="F923" i="5"/>
  <c r="E923" i="5"/>
  <c r="I922" i="5"/>
  <c r="H922" i="5"/>
  <c r="G922" i="5"/>
  <c r="F922" i="5"/>
  <c r="E922" i="5"/>
  <c r="I921" i="5"/>
  <c r="H921" i="5"/>
  <c r="G921" i="5"/>
  <c r="F921" i="5"/>
  <c r="E921" i="5"/>
  <c r="I920" i="5"/>
  <c r="H920" i="5"/>
  <c r="G920" i="5"/>
  <c r="F920" i="5"/>
  <c r="E920" i="5"/>
  <c r="I919" i="5"/>
  <c r="H919" i="5"/>
  <c r="G919" i="5"/>
  <c r="F919" i="5"/>
  <c r="E919" i="5"/>
  <c r="I918" i="5"/>
  <c r="H918" i="5"/>
  <c r="G918" i="5"/>
  <c r="F918" i="5"/>
  <c r="E918" i="5"/>
  <c r="I917" i="5"/>
  <c r="H917" i="5"/>
  <c r="G917" i="5"/>
  <c r="F917" i="5"/>
  <c r="E917" i="5"/>
  <c r="I916" i="5"/>
  <c r="H916" i="5"/>
  <c r="G916" i="5"/>
  <c r="F916" i="5"/>
  <c r="E916" i="5"/>
  <c r="I915" i="5"/>
  <c r="H915" i="5"/>
  <c r="G915" i="5"/>
  <c r="F915" i="5"/>
  <c r="E915" i="5"/>
  <c r="I914" i="5"/>
  <c r="H914" i="5"/>
  <c r="G914" i="5"/>
  <c r="F914" i="5"/>
  <c r="E914" i="5"/>
  <c r="I913" i="5"/>
  <c r="H913" i="5"/>
  <c r="G913" i="5"/>
  <c r="F913" i="5"/>
  <c r="E913" i="5"/>
  <c r="I912" i="5"/>
  <c r="H912" i="5"/>
  <c r="G912" i="5"/>
  <c r="F912" i="5"/>
  <c r="E912" i="5"/>
  <c r="I911" i="5"/>
  <c r="H911" i="5"/>
  <c r="G911" i="5"/>
  <c r="F911" i="5"/>
  <c r="E911" i="5"/>
  <c r="I910" i="5"/>
  <c r="H910" i="5"/>
  <c r="G910" i="5"/>
  <c r="F910" i="5"/>
  <c r="E910" i="5"/>
  <c r="I909" i="5"/>
  <c r="H909" i="5"/>
  <c r="G909" i="5"/>
  <c r="F909" i="5"/>
  <c r="E909" i="5"/>
  <c r="I908" i="5"/>
  <c r="H908" i="5"/>
  <c r="G908" i="5"/>
  <c r="F908" i="5"/>
  <c r="E908" i="5"/>
  <c r="I907" i="5"/>
  <c r="H907" i="5"/>
  <c r="G907" i="5"/>
  <c r="F907" i="5"/>
  <c r="E907" i="5"/>
  <c r="I906" i="5"/>
  <c r="H906" i="5"/>
  <c r="G906" i="5"/>
  <c r="F906" i="5"/>
  <c r="E906" i="5"/>
  <c r="I905" i="5"/>
  <c r="H905" i="5"/>
  <c r="G905" i="5"/>
  <c r="F905" i="5"/>
  <c r="E905" i="5"/>
  <c r="I904" i="5"/>
  <c r="H904" i="5"/>
  <c r="G904" i="5"/>
  <c r="F904" i="5"/>
  <c r="E904" i="5"/>
  <c r="I903" i="5"/>
  <c r="H903" i="5"/>
  <c r="G903" i="5"/>
  <c r="F903" i="5"/>
  <c r="E903" i="5"/>
  <c r="I902" i="5"/>
  <c r="H902" i="5"/>
  <c r="G902" i="5"/>
  <c r="F902" i="5"/>
  <c r="E902" i="5"/>
  <c r="I901" i="5"/>
  <c r="H901" i="5"/>
  <c r="G901" i="5"/>
  <c r="F901" i="5"/>
  <c r="E901" i="5"/>
  <c r="I900" i="5"/>
  <c r="H900" i="5"/>
  <c r="G900" i="5"/>
  <c r="F900" i="5"/>
  <c r="E900" i="5"/>
  <c r="I899" i="5"/>
  <c r="H899" i="5"/>
  <c r="G899" i="5"/>
  <c r="F899" i="5"/>
  <c r="E899" i="5"/>
  <c r="I898" i="5"/>
  <c r="H898" i="5"/>
  <c r="G898" i="5"/>
  <c r="F898" i="5"/>
  <c r="E898" i="5"/>
  <c r="I897" i="5"/>
  <c r="H897" i="5"/>
  <c r="G897" i="5"/>
  <c r="F897" i="5"/>
  <c r="E897" i="5"/>
  <c r="I896" i="5"/>
  <c r="H896" i="5"/>
  <c r="G896" i="5"/>
  <c r="F896" i="5"/>
  <c r="E896" i="5"/>
  <c r="I895" i="5"/>
  <c r="H895" i="5"/>
  <c r="G895" i="5"/>
  <c r="F895" i="5"/>
  <c r="E895" i="5"/>
  <c r="I894" i="5"/>
  <c r="H894" i="5"/>
  <c r="G894" i="5"/>
  <c r="F894" i="5"/>
  <c r="E894" i="5"/>
  <c r="I893" i="5"/>
  <c r="H893" i="5"/>
  <c r="G893" i="5"/>
  <c r="F893" i="5"/>
  <c r="E893" i="5"/>
  <c r="I892" i="5"/>
  <c r="H892" i="5"/>
  <c r="G892" i="5"/>
  <c r="F892" i="5"/>
  <c r="E892" i="5"/>
  <c r="I891" i="5"/>
  <c r="H891" i="5"/>
  <c r="G891" i="5"/>
  <c r="F891" i="5"/>
  <c r="E891" i="5"/>
  <c r="I890" i="5"/>
  <c r="H890" i="5"/>
  <c r="G890" i="5"/>
  <c r="F890" i="5"/>
  <c r="E890" i="5"/>
  <c r="I889" i="5"/>
  <c r="H889" i="5"/>
  <c r="G889" i="5"/>
  <c r="F889" i="5"/>
  <c r="E889" i="5"/>
  <c r="I888" i="5"/>
  <c r="H888" i="5"/>
  <c r="G888" i="5"/>
  <c r="F888" i="5"/>
  <c r="E888" i="5"/>
  <c r="I887" i="5"/>
  <c r="H887" i="5"/>
  <c r="G887" i="5"/>
  <c r="F887" i="5"/>
  <c r="E887" i="5"/>
  <c r="I886" i="5"/>
  <c r="H886" i="5"/>
  <c r="G886" i="5"/>
  <c r="F886" i="5"/>
  <c r="E886" i="5"/>
  <c r="I885" i="5"/>
  <c r="H885" i="5"/>
  <c r="G885" i="5"/>
  <c r="F885" i="5"/>
  <c r="E885" i="5"/>
  <c r="I884" i="5"/>
  <c r="H884" i="5"/>
  <c r="G884" i="5"/>
  <c r="F884" i="5"/>
  <c r="E884" i="5"/>
  <c r="I883" i="5"/>
  <c r="H883" i="5"/>
  <c r="G883" i="5"/>
  <c r="F883" i="5"/>
  <c r="E883" i="5"/>
  <c r="I882" i="5"/>
  <c r="H882" i="5"/>
  <c r="G882" i="5"/>
  <c r="F882" i="5"/>
  <c r="E882" i="5"/>
  <c r="I881" i="5"/>
  <c r="H881" i="5"/>
  <c r="G881" i="5"/>
  <c r="F881" i="5"/>
  <c r="E881" i="5"/>
  <c r="I880" i="5"/>
  <c r="H880" i="5"/>
  <c r="G880" i="5"/>
  <c r="F880" i="5"/>
  <c r="E880" i="5"/>
  <c r="I879" i="5"/>
  <c r="H879" i="5"/>
  <c r="G879" i="5"/>
  <c r="F879" i="5"/>
  <c r="E879" i="5"/>
  <c r="I878" i="5"/>
  <c r="H878" i="5"/>
  <c r="G878" i="5"/>
  <c r="F878" i="5"/>
  <c r="E878" i="5"/>
  <c r="I877" i="5"/>
  <c r="H877" i="5"/>
  <c r="G877" i="5"/>
  <c r="F877" i="5"/>
  <c r="E877" i="5"/>
  <c r="I876" i="5"/>
  <c r="H876" i="5"/>
  <c r="G876" i="5"/>
  <c r="F876" i="5"/>
  <c r="E876" i="5"/>
  <c r="I875" i="5"/>
  <c r="H875" i="5"/>
  <c r="G875" i="5"/>
  <c r="F875" i="5"/>
  <c r="E875" i="5"/>
  <c r="I874" i="5"/>
  <c r="H874" i="5"/>
  <c r="G874" i="5"/>
  <c r="F874" i="5"/>
  <c r="E874" i="5"/>
  <c r="I873" i="5"/>
  <c r="H873" i="5"/>
  <c r="G873" i="5"/>
  <c r="F873" i="5"/>
  <c r="E873" i="5"/>
  <c r="I872" i="5"/>
  <c r="H872" i="5"/>
  <c r="G872" i="5"/>
  <c r="F872" i="5"/>
  <c r="E872" i="5"/>
  <c r="I871" i="5"/>
  <c r="H871" i="5"/>
  <c r="G871" i="5"/>
  <c r="F871" i="5"/>
  <c r="E871" i="5"/>
  <c r="I870" i="5"/>
  <c r="H870" i="5"/>
  <c r="G870" i="5"/>
  <c r="F870" i="5"/>
  <c r="E870" i="5"/>
  <c r="I869" i="5"/>
  <c r="H869" i="5"/>
  <c r="G869" i="5"/>
  <c r="F869" i="5"/>
  <c r="E869" i="5"/>
  <c r="I868" i="5"/>
  <c r="H868" i="5"/>
  <c r="G868" i="5"/>
  <c r="F868" i="5"/>
  <c r="E868" i="5"/>
  <c r="I867" i="5"/>
  <c r="H867" i="5"/>
  <c r="G867" i="5"/>
  <c r="F867" i="5"/>
  <c r="E867" i="5"/>
  <c r="I866" i="5"/>
  <c r="H866" i="5"/>
  <c r="G866" i="5"/>
  <c r="F866" i="5"/>
  <c r="E866" i="5"/>
  <c r="I865" i="5"/>
  <c r="H865" i="5"/>
  <c r="G865" i="5"/>
  <c r="F865" i="5"/>
  <c r="E865" i="5"/>
  <c r="I864" i="5"/>
  <c r="H864" i="5"/>
  <c r="G864" i="5"/>
  <c r="F864" i="5"/>
  <c r="E864" i="5"/>
  <c r="I863" i="5"/>
  <c r="H863" i="5"/>
  <c r="G863" i="5"/>
  <c r="F863" i="5"/>
  <c r="E863" i="5"/>
  <c r="I862" i="5"/>
  <c r="H862" i="5"/>
  <c r="G862" i="5"/>
  <c r="F862" i="5"/>
  <c r="E862" i="5"/>
  <c r="I861" i="5"/>
  <c r="H861" i="5"/>
  <c r="G861" i="5"/>
  <c r="F861" i="5"/>
  <c r="E861" i="5"/>
  <c r="I860" i="5"/>
  <c r="H860" i="5"/>
  <c r="G860" i="5"/>
  <c r="F860" i="5"/>
  <c r="E860" i="5"/>
  <c r="I859" i="5"/>
  <c r="H859" i="5"/>
  <c r="G859" i="5"/>
  <c r="F859" i="5"/>
  <c r="E859" i="5"/>
  <c r="I858" i="5"/>
  <c r="H858" i="5"/>
  <c r="G858" i="5"/>
  <c r="F858" i="5"/>
  <c r="E858" i="5"/>
  <c r="I857" i="5"/>
  <c r="H857" i="5"/>
  <c r="G857" i="5"/>
  <c r="F857" i="5"/>
  <c r="E857" i="5"/>
  <c r="I856" i="5"/>
  <c r="H856" i="5"/>
  <c r="G856" i="5"/>
  <c r="F856" i="5"/>
  <c r="E856" i="5"/>
  <c r="I855" i="5"/>
  <c r="H855" i="5"/>
  <c r="G855" i="5"/>
  <c r="F855" i="5"/>
  <c r="E855" i="5"/>
  <c r="I854" i="5"/>
  <c r="H854" i="5"/>
  <c r="G854" i="5"/>
  <c r="F854" i="5"/>
  <c r="E854" i="5"/>
  <c r="I853" i="5"/>
  <c r="H853" i="5"/>
  <c r="G853" i="5"/>
  <c r="F853" i="5"/>
  <c r="E853" i="5"/>
  <c r="I852" i="5"/>
  <c r="H852" i="5"/>
  <c r="G852" i="5"/>
  <c r="F852" i="5"/>
  <c r="E852" i="5"/>
  <c r="I851" i="5"/>
  <c r="H851" i="5"/>
  <c r="G851" i="5"/>
  <c r="F851" i="5"/>
  <c r="E851" i="5"/>
  <c r="I850" i="5"/>
  <c r="H850" i="5"/>
  <c r="G850" i="5"/>
  <c r="F850" i="5"/>
  <c r="E850" i="5"/>
  <c r="I849" i="5"/>
  <c r="H849" i="5"/>
  <c r="G849" i="5"/>
  <c r="F849" i="5"/>
  <c r="E849" i="5"/>
  <c r="I848" i="5"/>
  <c r="H848" i="5"/>
  <c r="G848" i="5"/>
  <c r="F848" i="5"/>
  <c r="E848" i="5"/>
  <c r="I847" i="5"/>
  <c r="H847" i="5"/>
  <c r="G847" i="5"/>
  <c r="F847" i="5"/>
  <c r="E847" i="5"/>
  <c r="I846" i="5"/>
  <c r="H846" i="5"/>
  <c r="G846" i="5"/>
  <c r="F846" i="5"/>
  <c r="E846" i="5"/>
  <c r="I845" i="5"/>
  <c r="H845" i="5"/>
  <c r="G845" i="5"/>
  <c r="F845" i="5"/>
  <c r="E845" i="5"/>
  <c r="I844" i="5"/>
  <c r="H844" i="5"/>
  <c r="G844" i="5"/>
  <c r="F844" i="5"/>
  <c r="E844" i="5"/>
  <c r="I843" i="5"/>
  <c r="H843" i="5"/>
  <c r="G843" i="5"/>
  <c r="F843" i="5"/>
  <c r="E843" i="5"/>
  <c r="I842" i="5"/>
  <c r="H842" i="5"/>
  <c r="G842" i="5"/>
  <c r="F842" i="5"/>
  <c r="E842" i="5"/>
  <c r="I841" i="5"/>
  <c r="H841" i="5"/>
  <c r="G841" i="5"/>
  <c r="F841" i="5"/>
  <c r="E841" i="5"/>
  <c r="I840" i="5"/>
  <c r="H840" i="5"/>
  <c r="G840" i="5"/>
  <c r="F840" i="5"/>
  <c r="E840" i="5"/>
  <c r="I839" i="5"/>
  <c r="H839" i="5"/>
  <c r="G839" i="5"/>
  <c r="F839" i="5"/>
  <c r="E839" i="5"/>
  <c r="I838" i="5"/>
  <c r="H838" i="5"/>
  <c r="G838" i="5"/>
  <c r="F838" i="5"/>
  <c r="E838" i="5"/>
  <c r="I837" i="5"/>
  <c r="H837" i="5"/>
  <c r="G837" i="5"/>
  <c r="F837" i="5"/>
  <c r="E837" i="5"/>
  <c r="I836" i="5"/>
  <c r="H836" i="5"/>
  <c r="G836" i="5"/>
  <c r="F836" i="5"/>
  <c r="E836" i="5"/>
  <c r="I835" i="5"/>
  <c r="H835" i="5"/>
  <c r="G835" i="5"/>
  <c r="F835" i="5"/>
  <c r="E835" i="5"/>
  <c r="I834" i="5"/>
  <c r="H834" i="5"/>
  <c r="G834" i="5"/>
  <c r="F834" i="5"/>
  <c r="E834" i="5"/>
  <c r="I833" i="5"/>
  <c r="H833" i="5"/>
  <c r="G833" i="5"/>
  <c r="F833" i="5"/>
  <c r="E833" i="5"/>
  <c r="I832" i="5"/>
  <c r="H832" i="5"/>
  <c r="G832" i="5"/>
  <c r="F832" i="5"/>
  <c r="E832" i="5"/>
  <c r="I831" i="5"/>
  <c r="H831" i="5"/>
  <c r="G831" i="5"/>
  <c r="F831" i="5"/>
  <c r="E831" i="5"/>
  <c r="I830" i="5"/>
  <c r="H830" i="5"/>
  <c r="G830" i="5"/>
  <c r="F830" i="5"/>
  <c r="E830" i="5"/>
  <c r="I829" i="5"/>
  <c r="H829" i="5"/>
  <c r="G829" i="5"/>
  <c r="F829" i="5"/>
  <c r="E829" i="5"/>
  <c r="I828" i="5"/>
  <c r="H828" i="5"/>
  <c r="G828" i="5"/>
  <c r="F828" i="5"/>
  <c r="E828" i="5"/>
  <c r="I827" i="5"/>
  <c r="H827" i="5"/>
  <c r="G827" i="5"/>
  <c r="F827" i="5"/>
  <c r="E827" i="5"/>
  <c r="I826" i="5"/>
  <c r="H826" i="5"/>
  <c r="G826" i="5"/>
  <c r="F826" i="5"/>
  <c r="E826" i="5"/>
  <c r="I825" i="5"/>
  <c r="H825" i="5"/>
  <c r="G825" i="5"/>
  <c r="F825" i="5"/>
  <c r="E825" i="5"/>
  <c r="I824" i="5"/>
  <c r="H824" i="5"/>
  <c r="G824" i="5"/>
  <c r="F824" i="5"/>
  <c r="E824" i="5"/>
  <c r="I823" i="5"/>
  <c r="H823" i="5"/>
  <c r="G823" i="5"/>
  <c r="F823" i="5"/>
  <c r="E823" i="5"/>
  <c r="I822" i="5"/>
  <c r="H822" i="5"/>
  <c r="G822" i="5"/>
  <c r="F822" i="5"/>
  <c r="E822" i="5"/>
  <c r="I821" i="5"/>
  <c r="H821" i="5"/>
  <c r="G821" i="5"/>
  <c r="F821" i="5"/>
  <c r="E821" i="5"/>
  <c r="I820" i="5"/>
  <c r="H820" i="5"/>
  <c r="G820" i="5"/>
  <c r="F820" i="5"/>
  <c r="E820" i="5"/>
  <c r="I819" i="5"/>
  <c r="H819" i="5"/>
  <c r="G819" i="5"/>
  <c r="F819" i="5"/>
  <c r="E819" i="5"/>
  <c r="I818" i="5"/>
  <c r="H818" i="5"/>
  <c r="G818" i="5"/>
  <c r="F818" i="5"/>
  <c r="E818" i="5"/>
  <c r="I817" i="5"/>
  <c r="H817" i="5"/>
  <c r="G817" i="5"/>
  <c r="F817" i="5"/>
  <c r="E817" i="5"/>
  <c r="I816" i="5"/>
  <c r="H816" i="5"/>
  <c r="G816" i="5"/>
  <c r="F816" i="5"/>
  <c r="E816" i="5"/>
  <c r="I815" i="5"/>
  <c r="H815" i="5"/>
  <c r="G815" i="5"/>
  <c r="F815" i="5"/>
  <c r="E815" i="5"/>
  <c r="I814" i="5"/>
  <c r="H814" i="5"/>
  <c r="G814" i="5"/>
  <c r="F814" i="5"/>
  <c r="E814" i="5"/>
  <c r="I813" i="5"/>
  <c r="H813" i="5"/>
  <c r="G813" i="5"/>
  <c r="F813" i="5"/>
  <c r="E813" i="5"/>
  <c r="I812" i="5"/>
  <c r="H812" i="5"/>
  <c r="G812" i="5"/>
  <c r="F812" i="5"/>
  <c r="E812" i="5"/>
  <c r="I811" i="5"/>
  <c r="H811" i="5"/>
  <c r="G811" i="5"/>
  <c r="F811" i="5"/>
  <c r="E811" i="5"/>
  <c r="I810" i="5"/>
  <c r="H810" i="5"/>
  <c r="G810" i="5"/>
  <c r="F810" i="5"/>
  <c r="E810" i="5"/>
  <c r="I809" i="5"/>
  <c r="H809" i="5"/>
  <c r="G809" i="5"/>
  <c r="F809" i="5"/>
  <c r="E809" i="5"/>
  <c r="I808" i="5"/>
  <c r="H808" i="5"/>
  <c r="G808" i="5"/>
  <c r="F808" i="5"/>
  <c r="E808" i="5"/>
  <c r="I807" i="5"/>
  <c r="H807" i="5"/>
  <c r="G807" i="5"/>
  <c r="F807" i="5"/>
  <c r="E807" i="5"/>
  <c r="I806" i="5"/>
  <c r="H806" i="5"/>
  <c r="G806" i="5"/>
  <c r="F806" i="5"/>
  <c r="E806" i="5"/>
  <c r="I805" i="5"/>
  <c r="H805" i="5"/>
  <c r="G805" i="5"/>
  <c r="F805" i="5"/>
  <c r="E805" i="5"/>
  <c r="I804" i="5"/>
  <c r="H804" i="5"/>
  <c r="G804" i="5"/>
  <c r="F804" i="5"/>
  <c r="E804" i="5"/>
  <c r="I803" i="5"/>
  <c r="H803" i="5"/>
  <c r="G803" i="5"/>
  <c r="F803" i="5"/>
  <c r="E803" i="5"/>
  <c r="I802" i="5"/>
  <c r="H802" i="5"/>
  <c r="G802" i="5"/>
  <c r="F802" i="5"/>
  <c r="E802" i="5"/>
  <c r="I801" i="5"/>
  <c r="H801" i="5"/>
  <c r="G801" i="5"/>
  <c r="F801" i="5"/>
  <c r="E801" i="5"/>
  <c r="I800" i="5"/>
  <c r="H800" i="5"/>
  <c r="G800" i="5"/>
  <c r="F800" i="5"/>
  <c r="E800" i="5"/>
  <c r="I799" i="5"/>
  <c r="H799" i="5"/>
  <c r="G799" i="5"/>
  <c r="F799" i="5"/>
  <c r="E799" i="5"/>
  <c r="I798" i="5"/>
  <c r="H798" i="5"/>
  <c r="G798" i="5"/>
  <c r="F798" i="5"/>
  <c r="E798" i="5"/>
  <c r="I797" i="5"/>
  <c r="H797" i="5"/>
  <c r="G797" i="5"/>
  <c r="F797" i="5"/>
  <c r="E797" i="5"/>
  <c r="I796" i="5"/>
  <c r="H796" i="5"/>
  <c r="G796" i="5"/>
  <c r="F796" i="5"/>
  <c r="E796" i="5"/>
  <c r="I795" i="5"/>
  <c r="H795" i="5"/>
  <c r="G795" i="5"/>
  <c r="F795" i="5"/>
  <c r="E795" i="5"/>
  <c r="I794" i="5"/>
  <c r="H794" i="5"/>
  <c r="G794" i="5"/>
  <c r="F794" i="5"/>
  <c r="E794" i="5"/>
  <c r="I793" i="5"/>
  <c r="H793" i="5"/>
  <c r="G793" i="5"/>
  <c r="F793" i="5"/>
  <c r="E793" i="5"/>
  <c r="I792" i="5"/>
  <c r="H792" i="5"/>
  <c r="G792" i="5"/>
  <c r="F792" i="5"/>
  <c r="E792" i="5"/>
  <c r="I791" i="5"/>
  <c r="H791" i="5"/>
  <c r="G791" i="5"/>
  <c r="F791" i="5"/>
  <c r="E791" i="5"/>
  <c r="I790" i="5"/>
  <c r="H790" i="5"/>
  <c r="G790" i="5"/>
  <c r="F790" i="5"/>
  <c r="E790" i="5"/>
  <c r="I789" i="5"/>
  <c r="H789" i="5"/>
  <c r="G789" i="5"/>
  <c r="F789" i="5"/>
  <c r="E789" i="5"/>
  <c r="I788" i="5"/>
  <c r="H788" i="5"/>
  <c r="G788" i="5"/>
  <c r="F788" i="5"/>
  <c r="E788" i="5"/>
  <c r="I787" i="5"/>
  <c r="H787" i="5"/>
  <c r="G787" i="5"/>
  <c r="F787" i="5"/>
  <c r="E787" i="5"/>
  <c r="I786" i="5"/>
  <c r="H786" i="5"/>
  <c r="G786" i="5"/>
  <c r="F786" i="5"/>
  <c r="E786" i="5"/>
  <c r="I785" i="5"/>
  <c r="H785" i="5"/>
  <c r="G785" i="5"/>
  <c r="F785" i="5"/>
  <c r="E785" i="5"/>
  <c r="I784" i="5"/>
  <c r="H784" i="5"/>
  <c r="G784" i="5"/>
  <c r="F784" i="5"/>
  <c r="E784" i="5"/>
  <c r="I783" i="5"/>
  <c r="H783" i="5"/>
  <c r="G783" i="5"/>
  <c r="F783" i="5"/>
  <c r="E783" i="5"/>
  <c r="I782" i="5"/>
  <c r="H782" i="5"/>
  <c r="G782" i="5"/>
  <c r="F782" i="5"/>
  <c r="E782" i="5"/>
  <c r="I781" i="5"/>
  <c r="H781" i="5"/>
  <c r="G781" i="5"/>
  <c r="F781" i="5"/>
  <c r="E781" i="5"/>
  <c r="I780" i="5"/>
  <c r="H780" i="5"/>
  <c r="G780" i="5"/>
  <c r="F780" i="5"/>
  <c r="E780" i="5"/>
  <c r="I779" i="5"/>
  <c r="H779" i="5"/>
  <c r="G779" i="5"/>
  <c r="F779" i="5"/>
  <c r="E779" i="5"/>
  <c r="I778" i="5"/>
  <c r="H778" i="5"/>
  <c r="G778" i="5"/>
  <c r="F778" i="5"/>
  <c r="E778" i="5"/>
  <c r="I777" i="5"/>
  <c r="H777" i="5"/>
  <c r="G777" i="5"/>
  <c r="F777" i="5"/>
  <c r="E777" i="5"/>
  <c r="I776" i="5"/>
  <c r="H776" i="5"/>
  <c r="G776" i="5"/>
  <c r="F776" i="5"/>
  <c r="E776" i="5"/>
  <c r="I775" i="5"/>
  <c r="H775" i="5"/>
  <c r="G775" i="5"/>
  <c r="F775" i="5"/>
  <c r="E775" i="5"/>
  <c r="I774" i="5"/>
  <c r="H774" i="5"/>
  <c r="G774" i="5"/>
  <c r="F774" i="5"/>
  <c r="E774" i="5"/>
  <c r="I773" i="5"/>
  <c r="H773" i="5"/>
  <c r="G773" i="5"/>
  <c r="F773" i="5"/>
  <c r="E773" i="5"/>
  <c r="I772" i="5"/>
  <c r="H772" i="5"/>
  <c r="G772" i="5"/>
  <c r="F772" i="5"/>
  <c r="E772" i="5"/>
  <c r="I771" i="5"/>
  <c r="H771" i="5"/>
  <c r="G771" i="5"/>
  <c r="F771" i="5"/>
  <c r="E771" i="5"/>
  <c r="I770" i="5"/>
  <c r="H770" i="5"/>
  <c r="G770" i="5"/>
  <c r="F770" i="5"/>
  <c r="E770" i="5"/>
  <c r="I769" i="5"/>
  <c r="H769" i="5"/>
  <c r="G769" i="5"/>
  <c r="F769" i="5"/>
  <c r="E769" i="5"/>
  <c r="I768" i="5"/>
  <c r="H768" i="5"/>
  <c r="G768" i="5"/>
  <c r="F768" i="5"/>
  <c r="E768" i="5"/>
  <c r="I767" i="5"/>
  <c r="H767" i="5"/>
  <c r="G767" i="5"/>
  <c r="F767" i="5"/>
  <c r="E767" i="5"/>
  <c r="I766" i="5"/>
  <c r="H766" i="5"/>
  <c r="G766" i="5"/>
  <c r="F766" i="5"/>
  <c r="E766" i="5"/>
  <c r="I765" i="5"/>
  <c r="H765" i="5"/>
  <c r="G765" i="5"/>
  <c r="F765" i="5"/>
  <c r="E765" i="5"/>
  <c r="I764" i="5"/>
  <c r="H764" i="5"/>
  <c r="G764" i="5"/>
  <c r="F764" i="5"/>
  <c r="E764" i="5"/>
  <c r="I763" i="5"/>
  <c r="H763" i="5"/>
  <c r="G763" i="5"/>
  <c r="F763" i="5"/>
  <c r="E763" i="5"/>
  <c r="I762" i="5"/>
  <c r="H762" i="5"/>
  <c r="G762" i="5"/>
  <c r="F762" i="5"/>
  <c r="E762" i="5"/>
  <c r="I761" i="5"/>
  <c r="H761" i="5"/>
  <c r="G761" i="5"/>
  <c r="F761" i="5"/>
  <c r="E761" i="5"/>
  <c r="I760" i="5"/>
  <c r="H760" i="5"/>
  <c r="G760" i="5"/>
  <c r="F760" i="5"/>
  <c r="E760" i="5"/>
  <c r="I759" i="5"/>
  <c r="H759" i="5"/>
  <c r="G759" i="5"/>
  <c r="F759" i="5"/>
  <c r="E759" i="5"/>
  <c r="I758" i="5"/>
  <c r="H758" i="5"/>
  <c r="G758" i="5"/>
  <c r="F758" i="5"/>
  <c r="E758" i="5"/>
  <c r="I757" i="5"/>
  <c r="H757" i="5"/>
  <c r="G757" i="5"/>
  <c r="F757" i="5"/>
  <c r="E757" i="5"/>
  <c r="I756" i="5"/>
  <c r="H756" i="5"/>
  <c r="G756" i="5"/>
  <c r="F756" i="5"/>
  <c r="E756" i="5"/>
  <c r="I755" i="5"/>
  <c r="H755" i="5"/>
  <c r="G755" i="5"/>
  <c r="F755" i="5"/>
  <c r="E755" i="5"/>
  <c r="I754" i="5"/>
  <c r="H754" i="5"/>
  <c r="G754" i="5"/>
  <c r="F754" i="5"/>
  <c r="E754" i="5"/>
  <c r="I753" i="5"/>
  <c r="H753" i="5"/>
  <c r="G753" i="5"/>
  <c r="F753" i="5"/>
  <c r="E753" i="5"/>
  <c r="I752" i="5"/>
  <c r="H752" i="5"/>
  <c r="G752" i="5"/>
  <c r="F752" i="5"/>
  <c r="E752" i="5"/>
  <c r="I751" i="5"/>
  <c r="H751" i="5"/>
  <c r="G751" i="5"/>
  <c r="F751" i="5"/>
  <c r="E751" i="5"/>
  <c r="I750" i="5"/>
  <c r="H750" i="5"/>
  <c r="G750" i="5"/>
  <c r="F750" i="5"/>
  <c r="E750" i="5"/>
  <c r="I749" i="5"/>
  <c r="H749" i="5"/>
  <c r="G749" i="5"/>
  <c r="F749" i="5"/>
  <c r="E749" i="5"/>
  <c r="I748" i="5"/>
  <c r="H748" i="5"/>
  <c r="G748" i="5"/>
  <c r="F748" i="5"/>
  <c r="E748" i="5"/>
  <c r="I747" i="5"/>
  <c r="H747" i="5"/>
  <c r="G747" i="5"/>
  <c r="F747" i="5"/>
  <c r="E747" i="5"/>
  <c r="I746" i="5"/>
  <c r="H746" i="5"/>
  <c r="G746" i="5"/>
  <c r="F746" i="5"/>
  <c r="E746" i="5"/>
  <c r="I745" i="5"/>
  <c r="H745" i="5"/>
  <c r="G745" i="5"/>
  <c r="F745" i="5"/>
  <c r="E745" i="5"/>
  <c r="I744" i="5"/>
  <c r="H744" i="5"/>
  <c r="G744" i="5"/>
  <c r="F744" i="5"/>
  <c r="E744" i="5"/>
  <c r="I743" i="5"/>
  <c r="H743" i="5"/>
  <c r="G743" i="5"/>
  <c r="F743" i="5"/>
  <c r="E743" i="5"/>
  <c r="I742" i="5"/>
  <c r="H742" i="5"/>
  <c r="G742" i="5"/>
  <c r="F742" i="5"/>
  <c r="E742" i="5"/>
  <c r="I741" i="5"/>
  <c r="H741" i="5"/>
  <c r="G741" i="5"/>
  <c r="F741" i="5"/>
  <c r="E741" i="5"/>
  <c r="I740" i="5"/>
  <c r="H740" i="5"/>
  <c r="G740" i="5"/>
  <c r="F740" i="5"/>
  <c r="E740" i="5"/>
  <c r="I739" i="5"/>
  <c r="H739" i="5"/>
  <c r="G739" i="5"/>
  <c r="F739" i="5"/>
  <c r="E739" i="5"/>
  <c r="I738" i="5"/>
  <c r="H738" i="5"/>
  <c r="G738" i="5"/>
  <c r="F738" i="5"/>
  <c r="E738" i="5"/>
  <c r="I737" i="5"/>
  <c r="H737" i="5"/>
  <c r="G737" i="5"/>
  <c r="F737" i="5"/>
  <c r="E737" i="5"/>
  <c r="I736" i="5"/>
  <c r="H736" i="5"/>
  <c r="G736" i="5"/>
  <c r="F736" i="5"/>
  <c r="E736" i="5"/>
  <c r="I735" i="5"/>
  <c r="H735" i="5"/>
  <c r="G735" i="5"/>
  <c r="F735" i="5"/>
  <c r="E735" i="5"/>
  <c r="I734" i="5"/>
  <c r="H734" i="5"/>
  <c r="G734" i="5"/>
  <c r="F734" i="5"/>
  <c r="E734" i="5"/>
  <c r="I733" i="5"/>
  <c r="H733" i="5"/>
  <c r="G733" i="5"/>
  <c r="F733" i="5"/>
  <c r="E733" i="5"/>
  <c r="I732" i="5"/>
  <c r="H732" i="5"/>
  <c r="G732" i="5"/>
  <c r="F732" i="5"/>
  <c r="E732" i="5"/>
  <c r="I731" i="5"/>
  <c r="H731" i="5"/>
  <c r="G731" i="5"/>
  <c r="F731" i="5"/>
  <c r="E731" i="5"/>
  <c r="I730" i="5"/>
  <c r="H730" i="5"/>
  <c r="G730" i="5"/>
  <c r="F730" i="5"/>
  <c r="E730" i="5"/>
  <c r="I729" i="5"/>
  <c r="H729" i="5"/>
  <c r="G729" i="5"/>
  <c r="F729" i="5"/>
  <c r="E729" i="5"/>
  <c r="I728" i="5"/>
  <c r="H728" i="5"/>
  <c r="G728" i="5"/>
  <c r="F728" i="5"/>
  <c r="E728" i="5"/>
  <c r="I727" i="5"/>
  <c r="H727" i="5"/>
  <c r="G727" i="5"/>
  <c r="F727" i="5"/>
  <c r="E727" i="5"/>
  <c r="I726" i="5"/>
  <c r="H726" i="5"/>
  <c r="G726" i="5"/>
  <c r="F726" i="5"/>
  <c r="E726" i="5"/>
  <c r="I725" i="5"/>
  <c r="H725" i="5"/>
  <c r="G725" i="5"/>
  <c r="F725" i="5"/>
  <c r="E725" i="5"/>
  <c r="I724" i="5"/>
  <c r="H724" i="5"/>
  <c r="G724" i="5"/>
  <c r="F724" i="5"/>
  <c r="E724" i="5"/>
  <c r="I723" i="5"/>
  <c r="H723" i="5"/>
  <c r="G723" i="5"/>
  <c r="F723" i="5"/>
  <c r="E723" i="5"/>
  <c r="I722" i="5"/>
  <c r="H722" i="5"/>
  <c r="G722" i="5"/>
  <c r="F722" i="5"/>
  <c r="E722" i="5"/>
  <c r="I721" i="5"/>
  <c r="H721" i="5"/>
  <c r="G721" i="5"/>
  <c r="F721" i="5"/>
  <c r="E721" i="5"/>
  <c r="I720" i="5"/>
  <c r="H720" i="5"/>
  <c r="G720" i="5"/>
  <c r="F720" i="5"/>
  <c r="E720" i="5"/>
  <c r="I719" i="5"/>
  <c r="H719" i="5"/>
  <c r="G719" i="5"/>
  <c r="F719" i="5"/>
  <c r="E719" i="5"/>
  <c r="I718" i="5"/>
  <c r="H718" i="5"/>
  <c r="G718" i="5"/>
  <c r="F718" i="5"/>
  <c r="E718" i="5"/>
  <c r="I717" i="5"/>
  <c r="H717" i="5"/>
  <c r="G717" i="5"/>
  <c r="F717" i="5"/>
  <c r="E717" i="5"/>
  <c r="I716" i="5"/>
  <c r="H716" i="5"/>
  <c r="G716" i="5"/>
  <c r="F716" i="5"/>
  <c r="E716" i="5"/>
  <c r="I715" i="5"/>
  <c r="H715" i="5"/>
  <c r="G715" i="5"/>
  <c r="F715" i="5"/>
  <c r="E715" i="5"/>
  <c r="I714" i="5"/>
  <c r="H714" i="5"/>
  <c r="G714" i="5"/>
  <c r="F714" i="5"/>
  <c r="E714" i="5"/>
  <c r="I713" i="5"/>
  <c r="H713" i="5"/>
  <c r="G713" i="5"/>
  <c r="F713" i="5"/>
  <c r="E713" i="5"/>
  <c r="I712" i="5"/>
  <c r="H712" i="5"/>
  <c r="G712" i="5"/>
  <c r="F712" i="5"/>
  <c r="E712" i="5"/>
  <c r="I711" i="5"/>
  <c r="H711" i="5"/>
  <c r="G711" i="5"/>
  <c r="F711" i="5"/>
  <c r="E711" i="5"/>
  <c r="I710" i="5"/>
  <c r="H710" i="5"/>
  <c r="G710" i="5"/>
  <c r="F710" i="5"/>
  <c r="E710" i="5"/>
  <c r="I709" i="5"/>
  <c r="H709" i="5"/>
  <c r="G709" i="5"/>
  <c r="F709" i="5"/>
  <c r="E709" i="5"/>
  <c r="I708" i="5"/>
  <c r="H708" i="5"/>
  <c r="G708" i="5"/>
  <c r="F708" i="5"/>
  <c r="E708" i="5"/>
  <c r="I707" i="5"/>
  <c r="H707" i="5"/>
  <c r="G707" i="5"/>
  <c r="F707" i="5"/>
  <c r="E707" i="5"/>
  <c r="I706" i="5"/>
  <c r="H706" i="5"/>
  <c r="G706" i="5"/>
  <c r="F706" i="5"/>
  <c r="E706" i="5"/>
  <c r="I705" i="5"/>
  <c r="H705" i="5"/>
  <c r="G705" i="5"/>
  <c r="F705" i="5"/>
  <c r="E705" i="5"/>
  <c r="I704" i="5"/>
  <c r="H704" i="5"/>
  <c r="G704" i="5"/>
  <c r="F704" i="5"/>
  <c r="E704" i="5"/>
  <c r="I703" i="5"/>
  <c r="H703" i="5"/>
  <c r="G703" i="5"/>
  <c r="F703" i="5"/>
  <c r="E703" i="5"/>
  <c r="I702" i="5"/>
  <c r="H702" i="5"/>
  <c r="G702" i="5"/>
  <c r="F702" i="5"/>
  <c r="E702" i="5"/>
  <c r="I701" i="5"/>
  <c r="H701" i="5"/>
  <c r="G701" i="5"/>
  <c r="F701" i="5"/>
  <c r="E701" i="5"/>
  <c r="I700" i="5"/>
  <c r="H700" i="5"/>
  <c r="G700" i="5"/>
  <c r="F700" i="5"/>
  <c r="E700" i="5"/>
  <c r="I699" i="5"/>
  <c r="H699" i="5"/>
  <c r="G699" i="5"/>
  <c r="F699" i="5"/>
  <c r="E699" i="5"/>
  <c r="I698" i="5"/>
  <c r="H698" i="5"/>
  <c r="G698" i="5"/>
  <c r="F698" i="5"/>
  <c r="E698" i="5"/>
  <c r="I697" i="5"/>
  <c r="H697" i="5"/>
  <c r="G697" i="5"/>
  <c r="F697" i="5"/>
  <c r="E697" i="5"/>
  <c r="I696" i="5"/>
  <c r="H696" i="5"/>
  <c r="G696" i="5"/>
  <c r="F696" i="5"/>
  <c r="E696" i="5"/>
  <c r="I695" i="5"/>
  <c r="H695" i="5"/>
  <c r="G695" i="5"/>
  <c r="F695" i="5"/>
  <c r="E695" i="5"/>
  <c r="I694" i="5"/>
  <c r="H694" i="5"/>
  <c r="G694" i="5"/>
  <c r="F694" i="5"/>
  <c r="E694" i="5"/>
  <c r="I693" i="5"/>
  <c r="H693" i="5"/>
  <c r="G693" i="5"/>
  <c r="F693" i="5"/>
  <c r="E693" i="5"/>
  <c r="I692" i="5"/>
  <c r="H692" i="5"/>
  <c r="G692" i="5"/>
  <c r="F692" i="5"/>
  <c r="E692" i="5"/>
  <c r="I691" i="5"/>
  <c r="H691" i="5"/>
  <c r="G691" i="5"/>
  <c r="F691" i="5"/>
  <c r="E691" i="5"/>
  <c r="I690" i="5"/>
  <c r="H690" i="5"/>
  <c r="G690" i="5"/>
  <c r="F690" i="5"/>
  <c r="E690" i="5"/>
  <c r="I689" i="5"/>
  <c r="H689" i="5"/>
  <c r="G689" i="5"/>
  <c r="F689" i="5"/>
  <c r="E689" i="5"/>
  <c r="I688" i="5"/>
  <c r="H688" i="5"/>
  <c r="G688" i="5"/>
  <c r="F688" i="5"/>
  <c r="E688" i="5"/>
  <c r="I687" i="5"/>
  <c r="H687" i="5"/>
  <c r="G687" i="5"/>
  <c r="F687" i="5"/>
  <c r="E687" i="5"/>
  <c r="I686" i="5"/>
  <c r="H686" i="5"/>
  <c r="G686" i="5"/>
  <c r="F686" i="5"/>
  <c r="E686" i="5"/>
  <c r="I677" i="5" l="1"/>
  <c r="H677" i="5"/>
  <c r="G677" i="5"/>
  <c r="F677" i="5"/>
  <c r="E677" i="5"/>
  <c r="I676" i="5"/>
  <c r="H676" i="5"/>
  <c r="G676" i="5"/>
  <c r="F676" i="5"/>
  <c r="E676" i="5"/>
  <c r="I675" i="5"/>
  <c r="H675" i="5"/>
  <c r="G675" i="5"/>
  <c r="F675" i="5"/>
  <c r="E675" i="5"/>
  <c r="I674" i="5"/>
  <c r="H674" i="5"/>
  <c r="G674" i="5"/>
  <c r="F674" i="5"/>
  <c r="E674" i="5"/>
  <c r="I673" i="5"/>
  <c r="H673" i="5"/>
  <c r="G673" i="5"/>
  <c r="F673" i="5"/>
  <c r="E673" i="5"/>
  <c r="I672" i="5"/>
  <c r="H672" i="5"/>
  <c r="G672" i="5"/>
  <c r="F672" i="5"/>
  <c r="E672" i="5"/>
  <c r="I671" i="5"/>
  <c r="H671" i="5"/>
  <c r="G671" i="5"/>
  <c r="F671" i="5"/>
  <c r="E671" i="5"/>
  <c r="I670" i="5"/>
  <c r="H670" i="5"/>
  <c r="G670" i="5"/>
  <c r="F670" i="5"/>
  <c r="E670" i="5"/>
  <c r="I669" i="5"/>
  <c r="H669" i="5"/>
  <c r="G669" i="5"/>
  <c r="F669" i="5"/>
  <c r="E669" i="5"/>
  <c r="I668" i="5"/>
  <c r="H668" i="5"/>
  <c r="G668" i="5"/>
  <c r="F668" i="5"/>
  <c r="E668" i="5"/>
  <c r="I667" i="5"/>
  <c r="H667" i="5"/>
  <c r="G667" i="5"/>
  <c r="F667" i="5"/>
  <c r="E667" i="5"/>
  <c r="I666" i="5"/>
  <c r="H666" i="5"/>
  <c r="G666" i="5"/>
  <c r="F666" i="5"/>
  <c r="E666" i="5"/>
  <c r="I665" i="5"/>
  <c r="H665" i="5"/>
  <c r="G665" i="5"/>
  <c r="F665" i="5"/>
  <c r="E665" i="5"/>
  <c r="I664" i="5"/>
  <c r="H664" i="5"/>
  <c r="G664" i="5"/>
  <c r="F664" i="5"/>
  <c r="E664" i="5"/>
  <c r="I663" i="5"/>
  <c r="H663" i="5"/>
  <c r="G663" i="5"/>
  <c r="F663" i="5"/>
  <c r="E663" i="5"/>
  <c r="I662" i="5"/>
  <c r="H662" i="5"/>
  <c r="G662" i="5"/>
  <c r="F662" i="5"/>
  <c r="E662" i="5"/>
  <c r="I661" i="5"/>
  <c r="H661" i="5"/>
  <c r="G661" i="5"/>
  <c r="F661" i="5"/>
  <c r="E661" i="5"/>
  <c r="I660" i="5"/>
  <c r="H660" i="5"/>
  <c r="G660" i="5"/>
  <c r="F660" i="5"/>
  <c r="E660" i="5"/>
  <c r="I659" i="5"/>
  <c r="H659" i="5"/>
  <c r="G659" i="5"/>
  <c r="F659" i="5"/>
  <c r="E659" i="5"/>
  <c r="I658" i="5"/>
  <c r="H658" i="5"/>
  <c r="G658" i="5"/>
  <c r="F658" i="5"/>
  <c r="E658" i="5"/>
  <c r="I657" i="5"/>
  <c r="H657" i="5"/>
  <c r="G657" i="5"/>
  <c r="F657" i="5"/>
  <c r="E657" i="5"/>
  <c r="I656" i="5"/>
  <c r="H656" i="5"/>
  <c r="G656" i="5"/>
  <c r="F656" i="5"/>
  <c r="E656" i="5"/>
  <c r="I655" i="5"/>
  <c r="H655" i="5"/>
  <c r="G655" i="5"/>
  <c r="F655" i="5"/>
  <c r="E655" i="5"/>
  <c r="I654" i="5"/>
  <c r="H654" i="5"/>
  <c r="G654" i="5"/>
  <c r="F654" i="5"/>
  <c r="E654" i="5"/>
  <c r="I653" i="5"/>
  <c r="H653" i="5"/>
  <c r="G653" i="5"/>
  <c r="F653" i="5"/>
  <c r="E653" i="5"/>
  <c r="I652" i="5"/>
  <c r="H652" i="5"/>
  <c r="G652" i="5"/>
  <c r="F652" i="5"/>
  <c r="E652" i="5"/>
  <c r="I651" i="5"/>
  <c r="H651" i="5"/>
  <c r="G651" i="5"/>
  <c r="F651" i="5"/>
  <c r="E651" i="5"/>
  <c r="I650" i="5"/>
  <c r="H650" i="5"/>
  <c r="G650" i="5"/>
  <c r="F650" i="5"/>
  <c r="E650" i="5"/>
  <c r="I649" i="5"/>
  <c r="H649" i="5"/>
  <c r="G649" i="5"/>
  <c r="F649" i="5"/>
  <c r="E649" i="5"/>
  <c r="I648" i="5"/>
  <c r="H648" i="5"/>
  <c r="G648" i="5"/>
  <c r="F648" i="5"/>
  <c r="E648" i="5"/>
  <c r="I647" i="5"/>
  <c r="H647" i="5"/>
  <c r="G647" i="5"/>
  <c r="F647" i="5"/>
  <c r="E647" i="5"/>
  <c r="I646" i="5"/>
  <c r="H646" i="5"/>
  <c r="G646" i="5"/>
  <c r="F646" i="5"/>
  <c r="E646" i="5"/>
  <c r="I645" i="5"/>
  <c r="H645" i="5"/>
  <c r="G645" i="5"/>
  <c r="F645" i="5"/>
  <c r="E645" i="5"/>
  <c r="I644" i="5"/>
  <c r="H644" i="5"/>
  <c r="G644" i="5"/>
  <c r="F644" i="5"/>
  <c r="E644" i="5"/>
  <c r="I643" i="5"/>
  <c r="H643" i="5"/>
  <c r="G643" i="5"/>
  <c r="F643" i="5"/>
  <c r="E643" i="5"/>
  <c r="I642" i="5"/>
  <c r="H642" i="5"/>
  <c r="G642" i="5"/>
  <c r="F642" i="5"/>
  <c r="E642" i="5"/>
  <c r="I641" i="5"/>
  <c r="H641" i="5"/>
  <c r="G641" i="5"/>
  <c r="F641" i="5"/>
  <c r="E641" i="5"/>
  <c r="I640" i="5"/>
  <c r="H640" i="5"/>
  <c r="G640" i="5"/>
  <c r="F640" i="5"/>
  <c r="E640" i="5"/>
  <c r="I639" i="5"/>
  <c r="H639" i="5"/>
  <c r="G639" i="5"/>
  <c r="F639" i="5"/>
  <c r="E639" i="5"/>
  <c r="I638" i="5"/>
  <c r="H638" i="5"/>
  <c r="G638" i="5"/>
  <c r="F638" i="5"/>
  <c r="E638" i="5"/>
  <c r="I637" i="5"/>
  <c r="H637" i="5"/>
  <c r="G637" i="5"/>
  <c r="F637" i="5"/>
  <c r="E637" i="5"/>
  <c r="I636" i="5"/>
  <c r="H636" i="5"/>
  <c r="G636" i="5"/>
  <c r="F636" i="5"/>
  <c r="E636" i="5"/>
  <c r="I635" i="5"/>
  <c r="H635" i="5"/>
  <c r="G635" i="5"/>
  <c r="F635" i="5"/>
  <c r="E635" i="5"/>
  <c r="I634" i="5"/>
  <c r="H634" i="5"/>
  <c r="G634" i="5"/>
  <c r="F634" i="5"/>
  <c r="E634" i="5"/>
  <c r="I633" i="5"/>
  <c r="H633" i="5"/>
  <c r="G633" i="5"/>
  <c r="F633" i="5"/>
  <c r="E633" i="5"/>
  <c r="I632" i="5"/>
  <c r="H632" i="5"/>
  <c r="G632" i="5"/>
  <c r="F632" i="5"/>
  <c r="E632" i="5"/>
  <c r="I631" i="5"/>
  <c r="H631" i="5"/>
  <c r="G631" i="5"/>
  <c r="F631" i="5"/>
  <c r="E631" i="5"/>
  <c r="I630" i="5"/>
  <c r="H630" i="5"/>
  <c r="G630" i="5"/>
  <c r="F630" i="5"/>
  <c r="E630" i="5"/>
  <c r="I629" i="5"/>
  <c r="H629" i="5"/>
  <c r="G629" i="5"/>
  <c r="F629" i="5"/>
  <c r="E629" i="5"/>
  <c r="I628" i="5"/>
  <c r="H628" i="5"/>
  <c r="G628" i="5"/>
  <c r="F628" i="5"/>
  <c r="E628" i="5"/>
  <c r="I627" i="5"/>
  <c r="H627" i="5"/>
  <c r="G627" i="5"/>
  <c r="F627" i="5"/>
  <c r="E627" i="5"/>
  <c r="I626" i="5"/>
  <c r="H626" i="5"/>
  <c r="G626" i="5"/>
  <c r="F626" i="5"/>
  <c r="E626" i="5"/>
  <c r="I625" i="5"/>
  <c r="H625" i="5"/>
  <c r="G625" i="5"/>
  <c r="F625" i="5"/>
  <c r="E625" i="5"/>
  <c r="I624" i="5"/>
  <c r="H624" i="5"/>
  <c r="G624" i="5"/>
  <c r="F624" i="5"/>
  <c r="E624" i="5"/>
  <c r="I623" i="5"/>
  <c r="H623" i="5"/>
  <c r="G623" i="5"/>
  <c r="F623" i="5"/>
  <c r="E623" i="5"/>
  <c r="I622" i="5"/>
  <c r="H622" i="5"/>
  <c r="G622" i="5"/>
  <c r="F622" i="5"/>
  <c r="E622" i="5"/>
  <c r="I621" i="5"/>
  <c r="H621" i="5"/>
  <c r="G621" i="5"/>
  <c r="F621" i="5"/>
  <c r="E621" i="5"/>
  <c r="I620" i="5"/>
  <c r="H620" i="5"/>
  <c r="G620" i="5"/>
  <c r="F620" i="5"/>
  <c r="E620" i="5"/>
  <c r="I619" i="5"/>
  <c r="H619" i="5"/>
  <c r="G619" i="5"/>
  <c r="F619" i="5"/>
  <c r="E619" i="5"/>
  <c r="I618" i="5"/>
  <c r="H618" i="5"/>
  <c r="G618" i="5"/>
  <c r="F618" i="5"/>
  <c r="E618" i="5"/>
  <c r="I617" i="5"/>
  <c r="H617" i="5"/>
  <c r="G617" i="5"/>
  <c r="F617" i="5"/>
  <c r="E617" i="5"/>
  <c r="I616" i="5"/>
  <c r="H616" i="5"/>
  <c r="G616" i="5"/>
  <c r="F616" i="5"/>
  <c r="E616" i="5"/>
  <c r="I615" i="5"/>
  <c r="H615" i="5"/>
  <c r="G615" i="5"/>
  <c r="F615" i="5"/>
  <c r="E615" i="5"/>
  <c r="I614" i="5"/>
  <c r="H614" i="5"/>
  <c r="G614" i="5"/>
  <c r="F614" i="5"/>
  <c r="E614" i="5"/>
  <c r="I613" i="5"/>
  <c r="H613" i="5"/>
  <c r="G613" i="5"/>
  <c r="F613" i="5"/>
  <c r="E613" i="5"/>
  <c r="I612" i="5"/>
  <c r="H612" i="5"/>
  <c r="G612" i="5"/>
  <c r="F612" i="5"/>
  <c r="E612" i="5"/>
  <c r="I611" i="5"/>
  <c r="H611" i="5"/>
  <c r="G611" i="5"/>
  <c r="F611" i="5"/>
  <c r="E611" i="5"/>
  <c r="I610" i="5"/>
  <c r="H610" i="5"/>
  <c r="G610" i="5"/>
  <c r="F610" i="5"/>
  <c r="E610" i="5"/>
  <c r="I609" i="5"/>
  <c r="H609" i="5"/>
  <c r="G609" i="5"/>
  <c r="F609" i="5"/>
  <c r="E609" i="5"/>
  <c r="I608" i="5"/>
  <c r="H608" i="5"/>
  <c r="G608" i="5"/>
  <c r="F608" i="5"/>
  <c r="E608" i="5"/>
  <c r="I607" i="5"/>
  <c r="H607" i="5"/>
  <c r="G607" i="5"/>
  <c r="F607" i="5"/>
  <c r="E607" i="5"/>
  <c r="I606" i="5"/>
  <c r="H606" i="5"/>
  <c r="G606" i="5"/>
  <c r="F606" i="5"/>
  <c r="E606" i="5"/>
  <c r="I605" i="5"/>
  <c r="H605" i="5"/>
  <c r="G605" i="5"/>
  <c r="F605" i="5"/>
  <c r="E605" i="5"/>
  <c r="I604" i="5"/>
  <c r="H604" i="5"/>
  <c r="G604" i="5"/>
  <c r="F604" i="5"/>
  <c r="E604" i="5"/>
  <c r="I603" i="5"/>
  <c r="H603" i="5"/>
  <c r="G603" i="5"/>
  <c r="F603" i="5"/>
  <c r="E603" i="5"/>
  <c r="I602" i="5"/>
  <c r="H602" i="5"/>
  <c r="G602" i="5"/>
  <c r="F602" i="5"/>
  <c r="E602" i="5"/>
  <c r="I601" i="5"/>
  <c r="H601" i="5"/>
  <c r="G601" i="5"/>
  <c r="F601" i="5"/>
  <c r="E601" i="5"/>
  <c r="I600" i="5"/>
  <c r="H600" i="5"/>
  <c r="G600" i="5"/>
  <c r="F600" i="5"/>
  <c r="E600" i="5"/>
  <c r="I599" i="5"/>
  <c r="H599" i="5"/>
  <c r="G599" i="5"/>
  <c r="F599" i="5"/>
  <c r="E599" i="5"/>
  <c r="I598" i="5"/>
  <c r="H598" i="5"/>
  <c r="G598" i="5"/>
  <c r="F598" i="5"/>
  <c r="E598" i="5"/>
  <c r="I597" i="5"/>
  <c r="H597" i="5"/>
  <c r="G597" i="5"/>
  <c r="F597" i="5"/>
  <c r="E597" i="5"/>
  <c r="I596" i="5"/>
  <c r="H596" i="5"/>
  <c r="G596" i="5"/>
  <c r="F596" i="5"/>
  <c r="E596" i="5"/>
  <c r="I595" i="5"/>
  <c r="H595" i="5"/>
  <c r="G595" i="5"/>
  <c r="F595" i="5"/>
  <c r="E595" i="5"/>
  <c r="I594" i="5"/>
  <c r="H594" i="5"/>
  <c r="G594" i="5"/>
  <c r="F594" i="5"/>
  <c r="E594" i="5"/>
  <c r="I593" i="5"/>
  <c r="H593" i="5"/>
  <c r="G593" i="5"/>
  <c r="F593" i="5"/>
  <c r="E593" i="5"/>
  <c r="I592" i="5"/>
  <c r="H592" i="5"/>
  <c r="G592" i="5"/>
  <c r="F592" i="5"/>
  <c r="E592" i="5"/>
  <c r="I591" i="5"/>
  <c r="H591" i="5"/>
  <c r="G591" i="5"/>
  <c r="F591" i="5"/>
  <c r="E591" i="5"/>
  <c r="I590" i="5"/>
  <c r="H590" i="5"/>
  <c r="G590" i="5"/>
  <c r="F590" i="5"/>
  <c r="E590" i="5"/>
  <c r="I589" i="5"/>
  <c r="H589" i="5"/>
  <c r="G589" i="5"/>
  <c r="F589" i="5"/>
  <c r="E589" i="5"/>
  <c r="I588" i="5"/>
  <c r="H588" i="5"/>
  <c r="G588" i="5"/>
  <c r="F588" i="5"/>
  <c r="E588" i="5"/>
  <c r="I587" i="5"/>
  <c r="H587" i="5"/>
  <c r="G587" i="5"/>
  <c r="F587" i="5"/>
  <c r="E587" i="5"/>
  <c r="I586" i="5"/>
  <c r="H586" i="5"/>
  <c r="G586" i="5"/>
  <c r="F586" i="5"/>
  <c r="E586" i="5"/>
  <c r="I585" i="5"/>
  <c r="H585" i="5"/>
  <c r="G585" i="5"/>
  <c r="F585" i="5"/>
  <c r="E585" i="5"/>
  <c r="I584" i="5"/>
  <c r="H584" i="5"/>
  <c r="G584" i="5"/>
  <c r="F584" i="5"/>
  <c r="E584" i="5"/>
  <c r="I583" i="5"/>
  <c r="H583" i="5"/>
  <c r="G583" i="5"/>
  <c r="F583" i="5"/>
  <c r="E583" i="5"/>
  <c r="I582" i="5"/>
  <c r="H582" i="5"/>
  <c r="G582" i="5"/>
  <c r="F582" i="5"/>
  <c r="E582" i="5"/>
  <c r="I581" i="5"/>
  <c r="H581" i="5"/>
  <c r="G581" i="5"/>
  <c r="F581" i="5"/>
  <c r="E581" i="5"/>
  <c r="I580" i="5"/>
  <c r="H580" i="5"/>
  <c r="G580" i="5"/>
  <c r="F580" i="5"/>
  <c r="E580" i="5"/>
  <c r="I579" i="5"/>
  <c r="H579" i="5"/>
  <c r="G579" i="5"/>
  <c r="F579" i="5"/>
  <c r="E579" i="5"/>
  <c r="I578" i="5"/>
  <c r="H578" i="5"/>
  <c r="G578" i="5"/>
  <c r="F578" i="5"/>
  <c r="E578" i="5"/>
  <c r="I577" i="5"/>
  <c r="H577" i="5"/>
  <c r="G577" i="5"/>
  <c r="F577" i="5"/>
  <c r="E577" i="5"/>
  <c r="I576" i="5"/>
  <c r="H576" i="5"/>
  <c r="G576" i="5"/>
  <c r="F576" i="5"/>
  <c r="E576" i="5"/>
  <c r="I575" i="5"/>
  <c r="H575" i="5"/>
  <c r="G575" i="5"/>
  <c r="F575" i="5"/>
  <c r="E575" i="5"/>
  <c r="I574" i="5"/>
  <c r="H574" i="5"/>
  <c r="G574" i="5"/>
  <c r="F574" i="5"/>
  <c r="E574" i="5"/>
  <c r="I573" i="5"/>
  <c r="H573" i="5"/>
  <c r="G573" i="5"/>
  <c r="F573" i="5"/>
  <c r="E573" i="5"/>
  <c r="I572" i="5"/>
  <c r="H572" i="5"/>
  <c r="G572" i="5"/>
  <c r="F572" i="5"/>
  <c r="E572" i="5"/>
  <c r="I571" i="5"/>
  <c r="H571" i="5"/>
  <c r="G571" i="5"/>
  <c r="F571" i="5"/>
  <c r="E571" i="5"/>
  <c r="I570" i="5"/>
  <c r="H570" i="5"/>
  <c r="G570" i="5"/>
  <c r="F570" i="5"/>
  <c r="E570" i="5"/>
  <c r="I569" i="5"/>
  <c r="H569" i="5"/>
  <c r="G569" i="5"/>
  <c r="F569" i="5"/>
  <c r="E569" i="5"/>
  <c r="I568" i="5"/>
  <c r="H568" i="5"/>
  <c r="G568" i="5"/>
  <c r="F568" i="5"/>
  <c r="E568" i="5"/>
  <c r="I567" i="5"/>
  <c r="H567" i="5"/>
  <c r="G567" i="5"/>
  <c r="F567" i="5"/>
  <c r="E567" i="5"/>
  <c r="I566" i="5"/>
  <c r="H566" i="5"/>
  <c r="G566" i="5"/>
  <c r="F566" i="5"/>
  <c r="E566" i="5"/>
  <c r="I565" i="5"/>
  <c r="H565" i="5"/>
  <c r="G565" i="5"/>
  <c r="F565" i="5"/>
  <c r="E565" i="5"/>
  <c r="I564" i="5"/>
  <c r="H564" i="5"/>
  <c r="G564" i="5"/>
  <c r="F564" i="5"/>
  <c r="E564" i="5"/>
  <c r="I563" i="5"/>
  <c r="H563" i="5"/>
  <c r="G563" i="5"/>
  <c r="F563" i="5"/>
  <c r="E563" i="5"/>
  <c r="I562" i="5"/>
  <c r="H562" i="5"/>
  <c r="G562" i="5"/>
  <c r="F562" i="5"/>
  <c r="E562" i="5"/>
  <c r="I561" i="5"/>
  <c r="H561" i="5"/>
  <c r="G561" i="5"/>
  <c r="F561" i="5"/>
  <c r="E561" i="5"/>
  <c r="I560" i="5"/>
  <c r="H560" i="5"/>
  <c r="G560" i="5"/>
  <c r="F560" i="5"/>
  <c r="E560" i="5"/>
  <c r="I559" i="5"/>
  <c r="H559" i="5"/>
  <c r="G559" i="5"/>
  <c r="F559" i="5"/>
  <c r="E559" i="5"/>
  <c r="I558" i="5"/>
  <c r="H558" i="5"/>
  <c r="G558" i="5"/>
  <c r="F558" i="5"/>
  <c r="E558" i="5"/>
  <c r="I557" i="5"/>
  <c r="H557" i="5"/>
  <c r="G557" i="5"/>
  <c r="F557" i="5"/>
  <c r="E557" i="5"/>
  <c r="I556" i="5"/>
  <c r="H556" i="5"/>
  <c r="G556" i="5"/>
  <c r="F556" i="5"/>
  <c r="E556" i="5"/>
  <c r="I555" i="5"/>
  <c r="H555" i="5"/>
  <c r="G555" i="5"/>
  <c r="F555" i="5"/>
  <c r="E555" i="5"/>
  <c r="I554" i="5"/>
  <c r="H554" i="5"/>
  <c r="G554" i="5"/>
  <c r="F554" i="5"/>
  <c r="E554" i="5"/>
  <c r="I553" i="5"/>
  <c r="H553" i="5"/>
  <c r="G553" i="5"/>
  <c r="F553" i="5"/>
  <c r="E553" i="5"/>
  <c r="I552" i="5"/>
  <c r="H552" i="5"/>
  <c r="G552" i="5"/>
  <c r="F552" i="5"/>
  <c r="E552" i="5"/>
  <c r="I551" i="5"/>
  <c r="H551" i="5"/>
  <c r="G551" i="5"/>
  <c r="F551" i="5"/>
  <c r="E551" i="5"/>
  <c r="I550" i="5"/>
  <c r="H550" i="5"/>
  <c r="G550" i="5"/>
  <c r="F550" i="5"/>
  <c r="E550" i="5"/>
  <c r="I549" i="5"/>
  <c r="H549" i="5"/>
  <c r="G549" i="5"/>
  <c r="F549" i="5"/>
  <c r="E549" i="5"/>
  <c r="I548" i="5"/>
  <c r="H548" i="5"/>
  <c r="G548" i="5"/>
  <c r="F548" i="5"/>
  <c r="E548" i="5"/>
  <c r="I547" i="5"/>
  <c r="H547" i="5"/>
  <c r="G547" i="5"/>
  <c r="F547" i="5"/>
  <c r="E547" i="5"/>
  <c r="I546" i="5"/>
  <c r="H546" i="5"/>
  <c r="G546" i="5"/>
  <c r="F546" i="5"/>
  <c r="E546" i="5"/>
  <c r="I545" i="5"/>
  <c r="H545" i="5"/>
  <c r="G545" i="5"/>
  <c r="F545" i="5"/>
  <c r="E545" i="5"/>
  <c r="I544" i="5"/>
  <c r="H544" i="5"/>
  <c r="G544" i="5"/>
  <c r="F544" i="5"/>
  <c r="E544" i="5"/>
  <c r="I543" i="5"/>
  <c r="H543" i="5"/>
  <c r="G543" i="5"/>
  <c r="F543" i="5"/>
  <c r="E543" i="5"/>
  <c r="I542" i="5"/>
  <c r="H542" i="5"/>
  <c r="G542" i="5"/>
  <c r="F542" i="5"/>
  <c r="E542" i="5"/>
  <c r="I541" i="5"/>
  <c r="H541" i="5"/>
  <c r="G541" i="5"/>
  <c r="F541" i="5"/>
  <c r="E541" i="5"/>
  <c r="I540" i="5"/>
  <c r="H540" i="5"/>
  <c r="G540" i="5"/>
  <c r="F540" i="5"/>
  <c r="E540" i="5"/>
  <c r="I539" i="5"/>
  <c r="H539" i="5"/>
  <c r="G539" i="5"/>
  <c r="F539" i="5"/>
  <c r="E539" i="5"/>
  <c r="I538" i="5"/>
  <c r="H538" i="5"/>
  <c r="G538" i="5"/>
  <c r="F538" i="5"/>
  <c r="E538" i="5"/>
  <c r="I537" i="5"/>
  <c r="H537" i="5"/>
  <c r="G537" i="5"/>
  <c r="F537" i="5"/>
  <c r="E537" i="5"/>
  <c r="I536" i="5"/>
  <c r="H536" i="5"/>
  <c r="G536" i="5"/>
  <c r="F536" i="5"/>
  <c r="E536" i="5"/>
  <c r="I535" i="5"/>
  <c r="H535" i="5"/>
  <c r="G535" i="5"/>
  <c r="F535" i="5"/>
  <c r="E535" i="5"/>
  <c r="I534" i="5"/>
  <c r="H534" i="5"/>
  <c r="G534" i="5"/>
  <c r="F534" i="5"/>
  <c r="E534" i="5"/>
  <c r="I533" i="5"/>
  <c r="H533" i="5"/>
  <c r="G533" i="5"/>
  <c r="F533" i="5"/>
  <c r="E533" i="5"/>
  <c r="I532" i="5"/>
  <c r="H532" i="5"/>
  <c r="G532" i="5"/>
  <c r="F532" i="5"/>
  <c r="E532" i="5"/>
  <c r="I531" i="5"/>
  <c r="H531" i="5"/>
  <c r="G531" i="5"/>
  <c r="F531" i="5"/>
  <c r="E531" i="5"/>
  <c r="I530" i="5"/>
  <c r="H530" i="5"/>
  <c r="G530" i="5"/>
  <c r="F530" i="5"/>
  <c r="E530" i="5"/>
  <c r="I529" i="5"/>
  <c r="H529" i="5"/>
  <c r="G529" i="5"/>
  <c r="F529" i="5"/>
  <c r="E529" i="5"/>
  <c r="I528" i="5"/>
  <c r="H528" i="5"/>
  <c r="G528" i="5"/>
  <c r="F528" i="5"/>
  <c r="E528" i="5"/>
  <c r="I527" i="5"/>
  <c r="H527" i="5"/>
  <c r="G527" i="5"/>
  <c r="F527" i="5"/>
  <c r="E527" i="5"/>
  <c r="I526" i="5"/>
  <c r="H526" i="5"/>
  <c r="G526" i="5"/>
  <c r="F526" i="5"/>
  <c r="E526" i="5"/>
  <c r="I525" i="5"/>
  <c r="H525" i="5"/>
  <c r="G525" i="5"/>
  <c r="F525" i="5"/>
  <c r="E525" i="5"/>
  <c r="I524" i="5"/>
  <c r="H524" i="5"/>
  <c r="G524" i="5"/>
  <c r="F524" i="5"/>
  <c r="E524" i="5"/>
  <c r="I523" i="5"/>
  <c r="H523" i="5"/>
  <c r="G523" i="5"/>
  <c r="F523" i="5"/>
  <c r="E523" i="5"/>
  <c r="I522" i="5"/>
  <c r="H522" i="5"/>
  <c r="G522" i="5"/>
  <c r="F522" i="5"/>
  <c r="E522" i="5"/>
  <c r="I521" i="5"/>
  <c r="H521" i="5"/>
  <c r="G521" i="5"/>
  <c r="F521" i="5"/>
  <c r="E521" i="5"/>
  <c r="I520" i="5"/>
  <c r="H520" i="5"/>
  <c r="G520" i="5"/>
  <c r="F520" i="5"/>
  <c r="E520" i="5"/>
  <c r="I519" i="5"/>
  <c r="H519" i="5"/>
  <c r="G519" i="5"/>
  <c r="F519" i="5"/>
  <c r="E519" i="5"/>
  <c r="I518" i="5"/>
  <c r="H518" i="5"/>
  <c r="G518" i="5"/>
  <c r="F518" i="5"/>
  <c r="E518" i="5"/>
  <c r="I517" i="5"/>
  <c r="H517" i="5"/>
  <c r="G517" i="5"/>
  <c r="F517" i="5"/>
  <c r="E517" i="5"/>
  <c r="I516" i="5"/>
  <c r="H516" i="5"/>
  <c r="G516" i="5"/>
  <c r="F516" i="5"/>
  <c r="E516" i="5"/>
  <c r="I515" i="5"/>
  <c r="H515" i="5"/>
  <c r="G515" i="5"/>
  <c r="F515" i="5"/>
  <c r="E515" i="5"/>
  <c r="I514" i="5"/>
  <c r="H514" i="5"/>
  <c r="G514" i="5"/>
  <c r="F514" i="5"/>
  <c r="E514" i="5"/>
  <c r="I513" i="5"/>
  <c r="H513" i="5"/>
  <c r="G513" i="5"/>
  <c r="F513" i="5"/>
  <c r="E513" i="5"/>
  <c r="I512" i="5"/>
  <c r="H512" i="5"/>
  <c r="G512" i="5"/>
  <c r="F512" i="5"/>
  <c r="E512" i="5"/>
  <c r="I511" i="5"/>
  <c r="H511" i="5"/>
  <c r="G511" i="5"/>
  <c r="F511" i="5"/>
  <c r="E511" i="5"/>
  <c r="I510" i="5"/>
  <c r="H510" i="5"/>
  <c r="G510" i="5"/>
  <c r="F510" i="5"/>
  <c r="E510" i="5"/>
  <c r="I509" i="5"/>
  <c r="H509" i="5"/>
  <c r="G509" i="5"/>
  <c r="F509" i="5"/>
  <c r="E509" i="5"/>
  <c r="I508" i="5"/>
  <c r="H508" i="5"/>
  <c r="G508" i="5"/>
  <c r="F508" i="5"/>
  <c r="E508" i="5"/>
  <c r="I507" i="5"/>
  <c r="H507" i="5"/>
  <c r="G507" i="5"/>
  <c r="F507" i="5"/>
  <c r="E507" i="5"/>
  <c r="I506" i="5"/>
  <c r="H506" i="5"/>
  <c r="G506" i="5"/>
  <c r="F506" i="5"/>
  <c r="E506" i="5"/>
  <c r="I505" i="5"/>
  <c r="H505" i="5"/>
  <c r="G505" i="5"/>
  <c r="F505" i="5"/>
  <c r="E505" i="5"/>
  <c r="I504" i="5"/>
  <c r="H504" i="5"/>
  <c r="G504" i="5"/>
  <c r="F504" i="5"/>
  <c r="E504" i="5"/>
  <c r="I503" i="5"/>
  <c r="H503" i="5"/>
  <c r="G503" i="5"/>
  <c r="F503" i="5"/>
  <c r="E503" i="5"/>
  <c r="I502" i="5"/>
  <c r="H502" i="5"/>
  <c r="G502" i="5"/>
  <c r="F502" i="5"/>
  <c r="E502" i="5"/>
  <c r="I501" i="5"/>
  <c r="H501" i="5"/>
  <c r="G501" i="5"/>
  <c r="F501" i="5"/>
  <c r="E501" i="5"/>
  <c r="I500" i="5"/>
  <c r="H500" i="5"/>
  <c r="G500" i="5"/>
  <c r="F500" i="5"/>
  <c r="E500" i="5"/>
  <c r="I499" i="5"/>
  <c r="H499" i="5"/>
  <c r="G499" i="5"/>
  <c r="F499" i="5"/>
  <c r="E499" i="5"/>
  <c r="I498" i="5"/>
  <c r="H498" i="5"/>
  <c r="G498" i="5"/>
  <c r="F498" i="5"/>
  <c r="E498" i="5"/>
  <c r="I497" i="5"/>
  <c r="H497" i="5"/>
  <c r="G497" i="5"/>
  <c r="F497" i="5"/>
  <c r="E497" i="5"/>
  <c r="I496" i="5"/>
  <c r="H496" i="5"/>
  <c r="G496" i="5"/>
  <c r="F496" i="5"/>
  <c r="E496" i="5"/>
  <c r="I495" i="5"/>
  <c r="H495" i="5"/>
  <c r="G495" i="5"/>
  <c r="F495" i="5"/>
  <c r="E495" i="5"/>
  <c r="I494" i="5"/>
  <c r="H494" i="5"/>
  <c r="G494" i="5"/>
  <c r="F494" i="5"/>
  <c r="E494" i="5"/>
  <c r="I493" i="5"/>
  <c r="H493" i="5"/>
  <c r="G493" i="5"/>
  <c r="F493" i="5"/>
  <c r="E493" i="5"/>
  <c r="I492" i="5"/>
  <c r="H492" i="5"/>
  <c r="G492" i="5"/>
  <c r="F492" i="5"/>
  <c r="E492" i="5"/>
  <c r="I491" i="5"/>
  <c r="H491" i="5"/>
  <c r="G491" i="5"/>
  <c r="F491" i="5"/>
  <c r="E491" i="5"/>
  <c r="I490" i="5"/>
  <c r="H490" i="5"/>
  <c r="G490" i="5"/>
  <c r="F490" i="5"/>
  <c r="E490" i="5"/>
  <c r="I489" i="5"/>
  <c r="H489" i="5"/>
  <c r="G489" i="5"/>
  <c r="F489" i="5"/>
  <c r="E489" i="5"/>
  <c r="I488" i="5"/>
  <c r="H488" i="5"/>
  <c r="G488" i="5"/>
  <c r="F488" i="5"/>
  <c r="E488" i="5"/>
  <c r="I487" i="5"/>
  <c r="H487" i="5"/>
  <c r="G487" i="5"/>
  <c r="F487" i="5"/>
  <c r="E487" i="5"/>
  <c r="I486" i="5"/>
  <c r="H486" i="5"/>
  <c r="G486" i="5"/>
  <c r="F486" i="5"/>
  <c r="E486" i="5"/>
  <c r="I485" i="5"/>
  <c r="H485" i="5"/>
  <c r="G485" i="5"/>
  <c r="F485" i="5"/>
  <c r="E485" i="5"/>
  <c r="I484" i="5"/>
  <c r="H484" i="5"/>
  <c r="G484" i="5"/>
  <c r="F484" i="5"/>
  <c r="E484" i="5"/>
  <c r="I483" i="5"/>
  <c r="H483" i="5"/>
  <c r="G483" i="5"/>
  <c r="F483" i="5"/>
  <c r="E483" i="5"/>
  <c r="I482" i="5"/>
  <c r="H482" i="5"/>
  <c r="G482" i="5"/>
  <c r="F482" i="5"/>
  <c r="E482" i="5"/>
  <c r="I481" i="5"/>
  <c r="H481" i="5"/>
  <c r="G481" i="5"/>
  <c r="F481" i="5"/>
  <c r="E481" i="5"/>
  <c r="I480" i="5"/>
  <c r="H480" i="5"/>
  <c r="G480" i="5"/>
  <c r="F480" i="5"/>
  <c r="E480" i="5"/>
  <c r="I479" i="5"/>
  <c r="H479" i="5"/>
  <c r="G479" i="5"/>
  <c r="F479" i="5"/>
  <c r="E479" i="5"/>
  <c r="I478" i="5"/>
  <c r="H478" i="5"/>
  <c r="G478" i="5"/>
  <c r="F478" i="5"/>
  <c r="E478" i="5"/>
  <c r="I477" i="5"/>
  <c r="H477" i="5"/>
  <c r="G477" i="5"/>
  <c r="F477" i="5"/>
  <c r="E477" i="5"/>
  <c r="I476" i="5"/>
  <c r="H476" i="5"/>
  <c r="G476" i="5"/>
  <c r="F476" i="5"/>
  <c r="E476" i="5"/>
  <c r="I475" i="5"/>
  <c r="H475" i="5"/>
  <c r="G475" i="5"/>
  <c r="F475" i="5"/>
  <c r="E475" i="5"/>
  <c r="I474" i="5"/>
  <c r="H474" i="5"/>
  <c r="G474" i="5"/>
  <c r="F474" i="5"/>
  <c r="E474" i="5"/>
  <c r="I473" i="5"/>
  <c r="H473" i="5"/>
  <c r="G473" i="5"/>
  <c r="F473" i="5"/>
  <c r="E473" i="5"/>
  <c r="I472" i="5"/>
  <c r="H472" i="5"/>
  <c r="G472" i="5"/>
  <c r="F472" i="5"/>
  <c r="E472" i="5"/>
  <c r="I471" i="5"/>
  <c r="H471" i="5"/>
  <c r="G471" i="5"/>
  <c r="F471" i="5"/>
  <c r="E471" i="5"/>
  <c r="I470" i="5"/>
  <c r="H470" i="5"/>
  <c r="G470" i="5"/>
  <c r="F470" i="5"/>
  <c r="E470" i="5"/>
  <c r="I469" i="5"/>
  <c r="H469" i="5"/>
  <c r="G469" i="5"/>
  <c r="F469" i="5"/>
  <c r="E469" i="5"/>
  <c r="I468" i="5"/>
  <c r="H468" i="5"/>
  <c r="G468" i="5"/>
  <c r="F468" i="5"/>
  <c r="E468" i="5"/>
  <c r="I467" i="5"/>
  <c r="H467" i="5"/>
  <c r="G467" i="5"/>
  <c r="F467" i="5"/>
  <c r="E467" i="5"/>
  <c r="I466" i="5"/>
  <c r="H466" i="5"/>
  <c r="G466" i="5"/>
  <c r="F466" i="5"/>
  <c r="E466" i="5"/>
  <c r="I465" i="5"/>
  <c r="H465" i="5"/>
  <c r="G465" i="5"/>
  <c r="F465" i="5"/>
  <c r="E465" i="5"/>
  <c r="I464" i="5"/>
  <c r="H464" i="5"/>
  <c r="G464" i="5"/>
  <c r="F464" i="5"/>
  <c r="E464" i="5"/>
  <c r="I463" i="5"/>
  <c r="H463" i="5"/>
  <c r="G463" i="5"/>
  <c r="F463" i="5"/>
  <c r="E463" i="5"/>
  <c r="I462" i="5"/>
  <c r="H462" i="5"/>
  <c r="G462" i="5"/>
  <c r="F462" i="5"/>
  <c r="E462" i="5"/>
  <c r="I461" i="5"/>
  <c r="H461" i="5"/>
  <c r="G461" i="5"/>
  <c r="F461" i="5"/>
  <c r="E461" i="5"/>
  <c r="I460" i="5"/>
  <c r="H460" i="5"/>
  <c r="G460" i="5"/>
  <c r="F460" i="5"/>
  <c r="E460" i="5"/>
  <c r="I459" i="5"/>
  <c r="H459" i="5"/>
  <c r="G459" i="5"/>
  <c r="F459" i="5"/>
  <c r="E459" i="5"/>
  <c r="I458" i="5"/>
  <c r="H458" i="5"/>
  <c r="G458" i="5"/>
  <c r="F458" i="5"/>
  <c r="E458" i="5"/>
  <c r="I457" i="5"/>
  <c r="H457" i="5"/>
  <c r="G457" i="5"/>
  <c r="F457" i="5"/>
  <c r="E457" i="5"/>
  <c r="I456" i="5"/>
  <c r="H456" i="5"/>
  <c r="G456" i="5"/>
  <c r="F456" i="5"/>
  <c r="E456" i="5"/>
  <c r="I455" i="5"/>
  <c r="H455" i="5"/>
  <c r="G455" i="5"/>
  <c r="F455" i="5"/>
  <c r="E455" i="5"/>
  <c r="I454" i="5"/>
  <c r="H454" i="5"/>
  <c r="G454" i="5"/>
  <c r="F454" i="5"/>
  <c r="E454" i="5"/>
  <c r="I453" i="5"/>
  <c r="H453" i="5"/>
  <c r="G453" i="5"/>
  <c r="F453" i="5"/>
  <c r="E453" i="5"/>
  <c r="I452" i="5"/>
  <c r="H452" i="5"/>
  <c r="G452" i="5"/>
  <c r="F452" i="5"/>
  <c r="E452" i="5"/>
  <c r="I451" i="5"/>
  <c r="H451" i="5"/>
  <c r="G451" i="5"/>
  <c r="F451" i="5"/>
  <c r="E451" i="5"/>
  <c r="I450" i="5"/>
  <c r="H450" i="5"/>
  <c r="G450" i="5"/>
  <c r="F450" i="5"/>
  <c r="E450" i="5"/>
  <c r="I449" i="5"/>
  <c r="H449" i="5"/>
  <c r="G449" i="5"/>
  <c r="F449" i="5"/>
  <c r="E449" i="5"/>
  <c r="I448" i="5"/>
  <c r="H448" i="5"/>
  <c r="G448" i="5"/>
  <c r="F448" i="5"/>
  <c r="E448" i="5"/>
  <c r="I447" i="5"/>
  <c r="H447" i="5"/>
  <c r="G447" i="5"/>
  <c r="F447" i="5"/>
  <c r="E447" i="5"/>
  <c r="I446" i="5"/>
  <c r="H446" i="5"/>
  <c r="G446" i="5"/>
  <c r="F446" i="5"/>
  <c r="E446" i="5"/>
  <c r="I445" i="5"/>
  <c r="H445" i="5"/>
  <c r="G445" i="5"/>
  <c r="F445" i="5"/>
  <c r="E445" i="5"/>
  <c r="I444" i="5"/>
  <c r="H444" i="5"/>
  <c r="G444" i="5"/>
  <c r="F444" i="5"/>
  <c r="E444" i="5"/>
  <c r="I443" i="5"/>
  <c r="H443" i="5"/>
  <c r="G443" i="5"/>
  <c r="F443" i="5"/>
  <c r="E443" i="5"/>
  <c r="I442" i="5"/>
  <c r="H442" i="5"/>
  <c r="G442" i="5"/>
  <c r="F442" i="5"/>
  <c r="E442" i="5"/>
  <c r="I441" i="5"/>
  <c r="H441" i="5"/>
  <c r="G441" i="5"/>
  <c r="F441" i="5"/>
  <c r="E441" i="5"/>
  <c r="I440" i="5"/>
  <c r="H440" i="5"/>
  <c r="G440" i="5"/>
  <c r="F440" i="5"/>
  <c r="E440" i="5"/>
  <c r="I439" i="5"/>
  <c r="H439" i="5"/>
  <c r="G439" i="5"/>
  <c r="F439" i="5"/>
  <c r="E439" i="5"/>
  <c r="I438" i="5"/>
  <c r="H438" i="5"/>
  <c r="G438" i="5"/>
  <c r="F438" i="5"/>
  <c r="E438" i="5"/>
  <c r="I437" i="5"/>
  <c r="H437" i="5"/>
  <c r="G437" i="5"/>
  <c r="F437" i="5"/>
  <c r="E437" i="5"/>
  <c r="I436" i="5"/>
  <c r="H436" i="5"/>
  <c r="G436" i="5"/>
  <c r="F436" i="5"/>
  <c r="E436" i="5"/>
  <c r="I435" i="5"/>
  <c r="H435" i="5"/>
  <c r="G435" i="5"/>
  <c r="F435" i="5"/>
  <c r="E435" i="5"/>
  <c r="I434" i="5"/>
  <c r="H434" i="5"/>
  <c r="G434" i="5"/>
  <c r="F434" i="5"/>
  <c r="E434" i="5"/>
  <c r="I433" i="5"/>
  <c r="H433" i="5"/>
  <c r="G433" i="5"/>
  <c r="F433" i="5"/>
  <c r="E433" i="5"/>
  <c r="I432" i="5"/>
  <c r="H432" i="5"/>
  <c r="G432" i="5"/>
  <c r="F432" i="5"/>
  <c r="E432" i="5"/>
  <c r="I431" i="5"/>
  <c r="H431" i="5"/>
  <c r="G431" i="5"/>
  <c r="F431" i="5"/>
  <c r="E431" i="5"/>
  <c r="I430" i="5"/>
  <c r="H430" i="5"/>
  <c r="G430" i="5"/>
  <c r="F430" i="5"/>
  <c r="E430" i="5"/>
  <c r="I429" i="5"/>
  <c r="H429" i="5"/>
  <c r="G429" i="5"/>
  <c r="F429" i="5"/>
  <c r="E429" i="5"/>
  <c r="I428" i="5"/>
  <c r="H428" i="5"/>
  <c r="G428" i="5"/>
  <c r="F428" i="5"/>
  <c r="E428" i="5"/>
  <c r="I427" i="5"/>
  <c r="H427" i="5"/>
  <c r="G427" i="5"/>
  <c r="F427" i="5"/>
  <c r="E427" i="5"/>
  <c r="I426" i="5"/>
  <c r="H426" i="5"/>
  <c r="G426" i="5"/>
  <c r="F426" i="5"/>
  <c r="E426" i="5"/>
  <c r="I425" i="5"/>
  <c r="H425" i="5"/>
  <c r="G425" i="5"/>
  <c r="F425" i="5"/>
  <c r="E425" i="5"/>
  <c r="I424" i="5"/>
  <c r="H424" i="5"/>
  <c r="G424" i="5"/>
  <c r="F424" i="5"/>
  <c r="E424" i="5"/>
  <c r="I423" i="5"/>
  <c r="H423" i="5"/>
  <c r="G423" i="5"/>
  <c r="F423" i="5"/>
  <c r="E423" i="5"/>
  <c r="I422" i="5"/>
  <c r="H422" i="5"/>
  <c r="G422" i="5"/>
  <c r="F422" i="5"/>
  <c r="E422" i="5"/>
  <c r="I421" i="5"/>
  <c r="H421" i="5"/>
  <c r="G421" i="5"/>
  <c r="F421" i="5"/>
  <c r="E421" i="5"/>
  <c r="I420" i="5"/>
  <c r="H420" i="5"/>
  <c r="G420" i="5"/>
  <c r="F420" i="5"/>
  <c r="E420" i="5"/>
  <c r="I419" i="5"/>
  <c r="H419" i="5"/>
  <c r="G419" i="5"/>
  <c r="F419" i="5"/>
  <c r="E419" i="5"/>
  <c r="I418" i="5"/>
  <c r="H418" i="5"/>
  <c r="G418" i="5"/>
  <c r="F418" i="5"/>
  <c r="E418" i="5"/>
  <c r="I417" i="5"/>
  <c r="H417" i="5"/>
  <c r="G417" i="5"/>
  <c r="F417" i="5"/>
  <c r="E417" i="5"/>
  <c r="I416" i="5"/>
  <c r="H416" i="5"/>
  <c r="G416" i="5"/>
  <c r="F416" i="5"/>
  <c r="E416" i="5"/>
  <c r="I415" i="5"/>
  <c r="H415" i="5"/>
  <c r="G415" i="5"/>
  <c r="F415" i="5"/>
  <c r="E415" i="5"/>
  <c r="I414" i="5"/>
  <c r="H414" i="5"/>
  <c r="G414" i="5"/>
  <c r="F414" i="5"/>
  <c r="E414" i="5"/>
  <c r="I413" i="5"/>
  <c r="H413" i="5"/>
  <c r="G413" i="5"/>
  <c r="F413" i="5"/>
  <c r="E413" i="5"/>
  <c r="I412" i="5"/>
  <c r="H412" i="5"/>
  <c r="G412" i="5"/>
  <c r="F412" i="5"/>
  <c r="E412" i="5"/>
  <c r="I411" i="5"/>
  <c r="H411" i="5"/>
  <c r="G411" i="5"/>
  <c r="F411" i="5"/>
  <c r="E411" i="5"/>
  <c r="I410" i="5"/>
  <c r="H410" i="5"/>
  <c r="G410" i="5"/>
  <c r="F410" i="5"/>
  <c r="E410" i="5"/>
  <c r="I409" i="5"/>
  <c r="H409" i="5"/>
  <c r="G409" i="5"/>
  <c r="F409" i="5"/>
  <c r="E409" i="5"/>
  <c r="I408" i="5"/>
  <c r="H408" i="5"/>
  <c r="G408" i="5"/>
  <c r="F408" i="5"/>
  <c r="E408" i="5"/>
  <c r="I407" i="5"/>
  <c r="H407" i="5"/>
  <c r="G407" i="5"/>
  <c r="F407" i="5"/>
  <c r="E407" i="5"/>
  <c r="I406" i="5"/>
  <c r="H406" i="5"/>
  <c r="G406" i="5"/>
  <c r="F406" i="5"/>
  <c r="E406" i="5"/>
  <c r="N110" i="3" l="1"/>
  <c r="J110" i="3"/>
  <c r="L110" i="3" l="1"/>
  <c r="A93" i="3"/>
  <c r="A83" i="3"/>
  <c r="A75" i="3"/>
  <c r="A67" i="3"/>
  <c r="A59" i="3"/>
  <c r="A50" i="3"/>
  <c r="A42" i="3"/>
  <c r="A34" i="3"/>
  <c r="A26" i="3"/>
  <c r="A22" i="3"/>
  <c r="A21" i="3"/>
  <c r="A20" i="3"/>
  <c r="A19" i="3"/>
  <c r="A134" i="3"/>
  <c r="B134" i="3"/>
  <c r="A135" i="3"/>
  <c r="B135" i="3"/>
  <c r="A136" i="3"/>
  <c r="B136" i="3"/>
  <c r="A137" i="3"/>
  <c r="B137" i="3"/>
  <c r="A138" i="3"/>
  <c r="A139" i="3"/>
  <c r="A140" i="3"/>
  <c r="A141" i="3"/>
  <c r="A142" i="3"/>
  <c r="A143" i="3"/>
  <c r="A144" i="3"/>
  <c r="A145" i="3"/>
  <c r="A146" i="3"/>
  <c r="A147" i="3"/>
  <c r="A148" i="3"/>
  <c r="A149" i="3"/>
  <c r="A150" i="3"/>
  <c r="A11" i="3"/>
  <c r="A104" i="3" s="1"/>
  <c r="M92" i="3" l="1"/>
  <c r="L92" i="3"/>
  <c r="O92" i="3"/>
  <c r="K92" i="3"/>
  <c r="N92" i="3"/>
  <c r="J92" i="3"/>
  <c r="AV92" i="3"/>
  <c r="B132" i="3"/>
  <c r="AC92" i="3"/>
  <c r="AO92" i="3"/>
  <c r="AS92" i="3"/>
  <c r="Y92" i="3"/>
  <c r="AG92" i="3"/>
  <c r="U92" i="3"/>
  <c r="AK92" i="3"/>
  <c r="Q92" i="3"/>
  <c r="AW92" i="3"/>
  <c r="V92" i="3"/>
  <c r="AD92" i="3"/>
  <c r="AT92" i="3"/>
  <c r="S92" i="3"/>
  <c r="W92" i="3"/>
  <c r="AA92" i="3"/>
  <c r="AE92" i="3"/>
  <c r="AI92" i="3"/>
  <c r="AM92" i="3"/>
  <c r="AQ92" i="3"/>
  <c r="AU92" i="3"/>
  <c r="R92" i="3"/>
  <c r="Z92" i="3"/>
  <c r="AH92" i="3"/>
  <c r="AL92" i="3"/>
  <c r="AP92" i="3"/>
  <c r="AX92" i="3"/>
  <c r="P92" i="3"/>
  <c r="T92" i="3"/>
  <c r="X92" i="3"/>
  <c r="AB92" i="3"/>
  <c r="AF92" i="3"/>
  <c r="AJ92" i="3"/>
  <c r="AN92" i="3"/>
  <c r="AR92" i="3"/>
  <c r="I2637" i="5"/>
  <c r="H2637" i="5"/>
  <c r="G2637" i="5"/>
  <c r="F2637" i="5"/>
  <c r="E2637" i="5"/>
  <c r="I2636" i="5"/>
  <c r="H2636" i="5"/>
  <c r="G2636" i="5"/>
  <c r="F2636" i="5"/>
  <c r="E2636" i="5"/>
  <c r="I2635" i="5"/>
  <c r="H2635" i="5"/>
  <c r="G2635" i="5"/>
  <c r="F2635" i="5"/>
  <c r="E2635" i="5"/>
  <c r="I2634" i="5"/>
  <c r="H2634" i="5"/>
  <c r="G2634" i="5"/>
  <c r="F2634" i="5"/>
  <c r="E2634" i="5"/>
  <c r="I2633" i="5"/>
  <c r="H2633" i="5"/>
  <c r="G2633" i="5"/>
  <c r="F2633" i="5"/>
  <c r="E2633" i="5"/>
  <c r="I2632" i="5"/>
  <c r="H2632" i="5"/>
  <c r="G2632" i="5"/>
  <c r="F2632" i="5"/>
  <c r="E2632" i="5"/>
  <c r="I2631" i="5"/>
  <c r="H2631" i="5"/>
  <c r="G2631" i="5"/>
  <c r="F2631" i="5"/>
  <c r="E2631" i="5"/>
  <c r="I2630" i="5"/>
  <c r="H2630" i="5"/>
  <c r="G2630" i="5"/>
  <c r="F2630" i="5"/>
  <c r="E2630" i="5"/>
  <c r="I2629" i="5"/>
  <c r="H2629" i="5"/>
  <c r="G2629" i="5"/>
  <c r="F2629" i="5"/>
  <c r="E2629" i="5"/>
  <c r="I2628" i="5"/>
  <c r="H2628" i="5"/>
  <c r="G2628" i="5"/>
  <c r="F2628" i="5"/>
  <c r="E2628" i="5"/>
  <c r="I2627" i="5"/>
  <c r="H2627" i="5"/>
  <c r="G2627" i="5"/>
  <c r="F2627" i="5"/>
  <c r="E2627" i="5"/>
  <c r="I2626" i="5"/>
  <c r="H2626" i="5"/>
  <c r="G2626" i="5"/>
  <c r="F2626" i="5"/>
  <c r="E2626" i="5"/>
  <c r="I2625" i="5"/>
  <c r="H2625" i="5"/>
  <c r="G2625" i="5"/>
  <c r="F2625" i="5"/>
  <c r="E2625" i="5"/>
  <c r="I2624" i="5"/>
  <c r="H2624" i="5"/>
  <c r="G2624" i="5"/>
  <c r="F2624" i="5"/>
  <c r="E2624" i="5"/>
  <c r="I2623" i="5"/>
  <c r="H2623" i="5"/>
  <c r="G2623" i="5"/>
  <c r="F2623" i="5"/>
  <c r="E2623" i="5"/>
  <c r="I2622" i="5"/>
  <c r="H2622" i="5"/>
  <c r="G2622" i="5"/>
  <c r="F2622" i="5"/>
  <c r="E2622" i="5"/>
  <c r="I2621" i="5"/>
  <c r="H2621" i="5"/>
  <c r="G2621" i="5"/>
  <c r="F2621" i="5"/>
  <c r="E2621" i="5"/>
  <c r="I2620" i="5"/>
  <c r="H2620" i="5"/>
  <c r="G2620" i="5"/>
  <c r="F2620" i="5"/>
  <c r="E2620" i="5"/>
  <c r="I2619" i="5"/>
  <c r="H2619" i="5"/>
  <c r="G2619" i="5"/>
  <c r="F2619" i="5"/>
  <c r="E2619" i="5"/>
  <c r="I2618" i="5"/>
  <c r="H2618" i="5"/>
  <c r="G2618" i="5"/>
  <c r="F2618" i="5"/>
  <c r="E2618" i="5"/>
  <c r="I2617" i="5"/>
  <c r="H2617" i="5"/>
  <c r="G2617" i="5"/>
  <c r="F2617" i="5"/>
  <c r="E2617" i="5"/>
  <c r="I2616" i="5"/>
  <c r="H2616" i="5"/>
  <c r="G2616" i="5"/>
  <c r="F2616" i="5"/>
  <c r="E2616" i="5"/>
  <c r="I2615" i="5"/>
  <c r="H2615" i="5"/>
  <c r="G2615" i="5"/>
  <c r="F2615" i="5"/>
  <c r="E2615" i="5"/>
  <c r="I2614" i="5"/>
  <c r="H2614" i="5"/>
  <c r="G2614" i="5"/>
  <c r="F2614" i="5"/>
  <c r="E2614" i="5"/>
  <c r="I2613" i="5"/>
  <c r="H2613" i="5"/>
  <c r="G2613" i="5"/>
  <c r="F2613" i="5"/>
  <c r="E2613" i="5"/>
  <c r="I2612" i="5"/>
  <c r="H2612" i="5"/>
  <c r="G2612" i="5"/>
  <c r="F2612" i="5"/>
  <c r="E2612" i="5"/>
  <c r="I2611" i="5"/>
  <c r="H2611" i="5"/>
  <c r="G2611" i="5"/>
  <c r="F2611" i="5"/>
  <c r="E2611" i="5"/>
  <c r="I2610" i="5"/>
  <c r="H2610" i="5"/>
  <c r="G2610" i="5"/>
  <c r="F2610" i="5"/>
  <c r="E2610" i="5"/>
  <c r="I2609" i="5"/>
  <c r="H2609" i="5"/>
  <c r="G2609" i="5"/>
  <c r="F2609" i="5"/>
  <c r="E2609" i="5"/>
  <c r="I2608" i="5"/>
  <c r="H2608" i="5"/>
  <c r="G2608" i="5"/>
  <c r="F2608" i="5"/>
  <c r="E2608" i="5"/>
  <c r="I2607" i="5"/>
  <c r="H2607" i="5"/>
  <c r="G2607" i="5"/>
  <c r="F2607" i="5"/>
  <c r="E2607" i="5"/>
  <c r="I2606" i="5"/>
  <c r="H2606" i="5"/>
  <c r="G2606" i="5"/>
  <c r="F2606" i="5"/>
  <c r="E2606" i="5"/>
  <c r="I2605" i="5"/>
  <c r="H2605" i="5"/>
  <c r="G2605" i="5"/>
  <c r="F2605" i="5"/>
  <c r="E2605" i="5"/>
  <c r="I2604" i="5"/>
  <c r="H2604" i="5"/>
  <c r="G2604" i="5"/>
  <c r="F2604" i="5"/>
  <c r="E2604" i="5"/>
  <c r="I2603" i="5"/>
  <c r="H2603" i="5"/>
  <c r="G2603" i="5"/>
  <c r="F2603" i="5"/>
  <c r="E2603" i="5"/>
  <c r="I2602" i="5"/>
  <c r="H2602" i="5"/>
  <c r="G2602" i="5"/>
  <c r="F2602" i="5"/>
  <c r="E2602" i="5"/>
  <c r="I2601" i="5"/>
  <c r="H2601" i="5"/>
  <c r="G2601" i="5"/>
  <c r="F2601" i="5"/>
  <c r="E2601" i="5"/>
  <c r="I2600" i="5"/>
  <c r="H2600" i="5"/>
  <c r="G2600" i="5"/>
  <c r="F2600" i="5"/>
  <c r="E2600" i="5"/>
  <c r="I2599" i="5"/>
  <c r="H2599" i="5"/>
  <c r="G2599" i="5"/>
  <c r="F2599" i="5"/>
  <c r="E2599" i="5"/>
  <c r="I2598" i="5"/>
  <c r="H2598" i="5"/>
  <c r="G2598" i="5"/>
  <c r="F2598" i="5"/>
  <c r="E2598" i="5"/>
  <c r="I2597" i="5"/>
  <c r="H2597" i="5"/>
  <c r="G2597" i="5"/>
  <c r="F2597" i="5"/>
  <c r="E2597" i="5"/>
  <c r="I2596" i="5"/>
  <c r="H2596" i="5"/>
  <c r="G2596" i="5"/>
  <c r="F2596" i="5"/>
  <c r="E2596" i="5"/>
  <c r="I2595" i="5"/>
  <c r="H2595" i="5"/>
  <c r="G2595" i="5"/>
  <c r="F2595" i="5"/>
  <c r="E2595" i="5"/>
  <c r="I2594" i="5"/>
  <c r="H2594" i="5"/>
  <c r="G2594" i="5"/>
  <c r="F2594" i="5"/>
  <c r="E2594" i="5"/>
  <c r="I2593" i="5"/>
  <c r="H2593" i="5"/>
  <c r="G2593" i="5"/>
  <c r="F2593" i="5"/>
  <c r="E2593" i="5"/>
  <c r="I2592" i="5"/>
  <c r="H2592" i="5"/>
  <c r="G2592" i="5"/>
  <c r="F2592" i="5"/>
  <c r="E2592" i="5"/>
  <c r="I2591" i="5"/>
  <c r="H2591" i="5"/>
  <c r="G2591" i="5"/>
  <c r="F2591" i="5"/>
  <c r="E2591" i="5"/>
  <c r="I2590" i="5"/>
  <c r="H2590" i="5"/>
  <c r="G2590" i="5"/>
  <c r="F2590" i="5"/>
  <c r="E2590" i="5"/>
  <c r="I2589" i="5"/>
  <c r="H2589" i="5"/>
  <c r="G2589" i="5"/>
  <c r="F2589" i="5"/>
  <c r="E2589" i="5"/>
  <c r="I2588" i="5"/>
  <c r="H2588" i="5"/>
  <c r="G2588" i="5"/>
  <c r="F2588" i="5"/>
  <c r="E2588" i="5"/>
  <c r="I2587" i="5"/>
  <c r="H2587" i="5"/>
  <c r="G2587" i="5"/>
  <c r="F2587" i="5"/>
  <c r="E2587" i="5"/>
  <c r="I2586" i="5"/>
  <c r="H2586" i="5"/>
  <c r="G2586" i="5"/>
  <c r="F2586" i="5"/>
  <c r="E2586" i="5"/>
  <c r="I2585" i="5"/>
  <c r="H2585" i="5"/>
  <c r="G2585" i="5"/>
  <c r="F2585" i="5"/>
  <c r="E2585" i="5"/>
  <c r="I2584" i="5"/>
  <c r="H2584" i="5"/>
  <c r="G2584" i="5"/>
  <c r="F2584" i="5"/>
  <c r="E2584" i="5"/>
  <c r="I2583" i="5"/>
  <c r="H2583" i="5"/>
  <c r="G2583" i="5"/>
  <c r="F2583" i="5"/>
  <c r="E2583" i="5"/>
  <c r="I2582" i="5"/>
  <c r="H2582" i="5"/>
  <c r="G2582" i="5"/>
  <c r="F2582" i="5"/>
  <c r="E2582" i="5"/>
  <c r="I2581" i="5"/>
  <c r="H2581" i="5"/>
  <c r="G2581" i="5"/>
  <c r="F2581" i="5"/>
  <c r="E2581" i="5"/>
  <c r="I2580" i="5"/>
  <c r="H2580" i="5"/>
  <c r="G2580" i="5"/>
  <c r="F2580" i="5"/>
  <c r="E2580" i="5"/>
  <c r="I2579" i="5"/>
  <c r="H2579" i="5"/>
  <c r="G2579" i="5"/>
  <c r="F2579" i="5"/>
  <c r="E2579" i="5"/>
  <c r="I2578" i="5"/>
  <c r="H2578" i="5"/>
  <c r="G2578" i="5"/>
  <c r="F2578" i="5"/>
  <c r="E2578" i="5"/>
  <c r="I2577" i="5"/>
  <c r="H2577" i="5"/>
  <c r="G2577" i="5"/>
  <c r="F2577" i="5"/>
  <c r="E2577" i="5"/>
  <c r="I2576" i="5"/>
  <c r="H2576" i="5"/>
  <c r="G2576" i="5"/>
  <c r="F2576" i="5"/>
  <c r="E2576" i="5"/>
  <c r="I2575" i="5"/>
  <c r="H2575" i="5"/>
  <c r="G2575" i="5"/>
  <c r="F2575" i="5"/>
  <c r="E2575" i="5"/>
  <c r="I2574" i="5"/>
  <c r="H2574" i="5"/>
  <c r="G2574" i="5"/>
  <c r="F2574" i="5"/>
  <c r="E2574" i="5"/>
  <c r="I2573" i="5"/>
  <c r="H2573" i="5"/>
  <c r="G2573" i="5"/>
  <c r="F2573" i="5"/>
  <c r="E2573" i="5"/>
  <c r="I2572" i="5"/>
  <c r="H2572" i="5"/>
  <c r="G2572" i="5"/>
  <c r="F2572" i="5"/>
  <c r="E2572" i="5"/>
  <c r="I2571" i="5"/>
  <c r="H2571" i="5"/>
  <c r="G2571" i="5"/>
  <c r="F2571" i="5"/>
  <c r="E2571" i="5"/>
  <c r="I2570" i="5"/>
  <c r="H2570" i="5"/>
  <c r="G2570" i="5"/>
  <c r="F2570" i="5"/>
  <c r="E2570" i="5"/>
  <c r="I2569" i="5"/>
  <c r="H2569" i="5"/>
  <c r="G2569" i="5"/>
  <c r="F2569" i="5"/>
  <c r="E2569" i="5"/>
  <c r="I2568" i="5"/>
  <c r="H2568" i="5"/>
  <c r="G2568" i="5"/>
  <c r="F2568" i="5"/>
  <c r="E2568" i="5"/>
  <c r="I2567" i="5"/>
  <c r="H2567" i="5"/>
  <c r="G2567" i="5"/>
  <c r="F2567" i="5"/>
  <c r="E2567" i="5"/>
  <c r="I2566" i="5"/>
  <c r="H2566" i="5"/>
  <c r="G2566" i="5"/>
  <c r="F2566" i="5"/>
  <c r="E2566" i="5"/>
  <c r="I2565" i="5"/>
  <c r="H2565" i="5"/>
  <c r="G2565" i="5"/>
  <c r="F2565" i="5"/>
  <c r="E2565" i="5"/>
  <c r="I2564" i="5"/>
  <c r="H2564" i="5"/>
  <c r="G2564" i="5"/>
  <c r="F2564" i="5"/>
  <c r="E2564" i="5"/>
  <c r="I2563" i="5"/>
  <c r="H2563" i="5"/>
  <c r="G2563" i="5"/>
  <c r="F2563" i="5"/>
  <c r="E2563" i="5"/>
  <c r="I2562" i="5"/>
  <c r="H2562" i="5"/>
  <c r="G2562" i="5"/>
  <c r="F2562" i="5"/>
  <c r="E2562" i="5"/>
  <c r="I2561" i="5"/>
  <c r="H2561" i="5"/>
  <c r="G2561" i="5"/>
  <c r="F2561" i="5"/>
  <c r="E2561" i="5"/>
  <c r="I2560" i="5"/>
  <c r="H2560" i="5"/>
  <c r="G2560" i="5"/>
  <c r="F2560" i="5"/>
  <c r="E2560" i="5"/>
  <c r="I2559" i="5"/>
  <c r="H2559" i="5"/>
  <c r="G2559" i="5"/>
  <c r="F2559" i="5"/>
  <c r="E2559" i="5"/>
  <c r="I2558" i="5"/>
  <c r="H2558" i="5"/>
  <c r="G2558" i="5"/>
  <c r="F2558" i="5"/>
  <c r="E2558" i="5"/>
  <c r="I2557" i="5"/>
  <c r="H2557" i="5"/>
  <c r="G2557" i="5"/>
  <c r="F2557" i="5"/>
  <c r="E2557" i="5"/>
  <c r="I2556" i="5"/>
  <c r="H2556" i="5"/>
  <c r="G2556" i="5"/>
  <c r="F2556" i="5"/>
  <c r="E2556" i="5"/>
  <c r="I2555" i="5"/>
  <c r="H2555" i="5"/>
  <c r="G2555" i="5"/>
  <c r="F2555" i="5"/>
  <c r="E2555" i="5"/>
  <c r="I2554" i="5"/>
  <c r="H2554" i="5"/>
  <c r="G2554" i="5"/>
  <c r="F2554" i="5"/>
  <c r="E2554" i="5"/>
  <c r="I2553" i="5"/>
  <c r="H2553" i="5"/>
  <c r="G2553" i="5"/>
  <c r="F2553" i="5"/>
  <c r="E2553" i="5"/>
  <c r="I2552" i="5"/>
  <c r="H2552" i="5"/>
  <c r="G2552" i="5"/>
  <c r="F2552" i="5"/>
  <c r="E2552" i="5"/>
  <c r="I2551" i="5"/>
  <c r="H2551" i="5"/>
  <c r="G2551" i="5"/>
  <c r="F2551" i="5"/>
  <c r="E2551" i="5"/>
  <c r="I2550" i="5"/>
  <c r="H2550" i="5"/>
  <c r="G2550" i="5"/>
  <c r="F2550" i="5"/>
  <c r="E2550" i="5"/>
  <c r="I2549" i="5"/>
  <c r="H2549" i="5"/>
  <c r="G2549" i="5"/>
  <c r="F2549" i="5"/>
  <c r="E2549" i="5"/>
  <c r="I2548" i="5"/>
  <c r="H2548" i="5"/>
  <c r="G2548" i="5"/>
  <c r="F2548" i="5"/>
  <c r="E2548" i="5"/>
  <c r="I2547" i="5"/>
  <c r="H2547" i="5"/>
  <c r="G2547" i="5"/>
  <c r="F2547" i="5"/>
  <c r="E2547" i="5"/>
  <c r="I2546" i="5"/>
  <c r="H2546" i="5"/>
  <c r="G2546" i="5"/>
  <c r="F2546" i="5"/>
  <c r="E2546" i="5"/>
  <c r="I2545" i="5"/>
  <c r="H2545" i="5"/>
  <c r="G2545" i="5"/>
  <c r="F2545" i="5"/>
  <c r="E2545" i="5"/>
  <c r="I2544" i="5"/>
  <c r="H2544" i="5"/>
  <c r="G2544" i="5"/>
  <c r="F2544" i="5"/>
  <c r="E2544" i="5"/>
  <c r="I2543" i="5"/>
  <c r="H2543" i="5"/>
  <c r="G2543" i="5"/>
  <c r="F2543" i="5"/>
  <c r="E2543" i="5"/>
  <c r="I2542" i="5"/>
  <c r="H2542" i="5"/>
  <c r="G2542" i="5"/>
  <c r="F2542" i="5"/>
  <c r="E2542" i="5"/>
  <c r="I2541" i="5"/>
  <c r="H2541" i="5"/>
  <c r="G2541" i="5"/>
  <c r="F2541" i="5"/>
  <c r="E2541" i="5"/>
  <c r="I2540" i="5"/>
  <c r="H2540" i="5"/>
  <c r="G2540" i="5"/>
  <c r="F2540" i="5"/>
  <c r="E2540" i="5"/>
  <c r="I2539" i="5"/>
  <c r="H2539" i="5"/>
  <c r="G2539" i="5"/>
  <c r="F2539" i="5"/>
  <c r="E2539" i="5"/>
  <c r="I2538" i="5"/>
  <c r="H2538" i="5"/>
  <c r="G2538" i="5"/>
  <c r="F2538" i="5"/>
  <c r="E2538" i="5"/>
  <c r="I2537" i="5"/>
  <c r="H2537" i="5"/>
  <c r="G2537" i="5"/>
  <c r="F2537" i="5"/>
  <c r="E2537" i="5"/>
  <c r="I2536" i="5"/>
  <c r="H2536" i="5"/>
  <c r="G2536" i="5"/>
  <c r="F2536" i="5"/>
  <c r="E2536" i="5"/>
  <c r="I2535" i="5"/>
  <c r="H2535" i="5"/>
  <c r="G2535" i="5"/>
  <c r="F2535" i="5"/>
  <c r="E2535" i="5"/>
  <c r="I2534" i="5"/>
  <c r="H2534" i="5"/>
  <c r="G2534" i="5"/>
  <c r="F2534" i="5"/>
  <c r="E2534" i="5"/>
  <c r="I2533" i="5"/>
  <c r="H2533" i="5"/>
  <c r="G2533" i="5"/>
  <c r="F2533" i="5"/>
  <c r="E2533" i="5"/>
  <c r="I2532" i="5"/>
  <c r="H2532" i="5"/>
  <c r="G2532" i="5"/>
  <c r="F2532" i="5"/>
  <c r="E2532" i="5"/>
  <c r="I2531" i="5"/>
  <c r="H2531" i="5"/>
  <c r="G2531" i="5"/>
  <c r="F2531" i="5"/>
  <c r="E2531" i="5"/>
  <c r="I2530" i="5"/>
  <c r="H2530" i="5"/>
  <c r="G2530" i="5"/>
  <c r="F2530" i="5"/>
  <c r="E2530" i="5"/>
  <c r="I2529" i="5"/>
  <c r="H2529" i="5"/>
  <c r="G2529" i="5"/>
  <c r="F2529" i="5"/>
  <c r="E2529" i="5"/>
  <c r="I2528" i="5"/>
  <c r="H2528" i="5"/>
  <c r="G2528" i="5"/>
  <c r="F2528" i="5"/>
  <c r="E2528" i="5"/>
  <c r="I2527" i="5"/>
  <c r="H2527" i="5"/>
  <c r="G2527" i="5"/>
  <c r="F2527" i="5"/>
  <c r="E2527" i="5"/>
  <c r="I2526" i="5"/>
  <c r="H2526" i="5"/>
  <c r="G2526" i="5"/>
  <c r="F2526" i="5"/>
  <c r="E2526" i="5"/>
  <c r="I2525" i="5"/>
  <c r="H2525" i="5"/>
  <c r="G2525" i="5"/>
  <c r="F2525" i="5"/>
  <c r="E2525" i="5"/>
  <c r="I2524" i="5"/>
  <c r="H2524" i="5"/>
  <c r="G2524" i="5"/>
  <c r="F2524" i="5"/>
  <c r="E2524" i="5"/>
  <c r="I2523" i="5"/>
  <c r="H2523" i="5"/>
  <c r="G2523" i="5"/>
  <c r="F2523" i="5"/>
  <c r="E2523" i="5"/>
  <c r="I2522" i="5"/>
  <c r="H2522" i="5"/>
  <c r="G2522" i="5"/>
  <c r="F2522" i="5"/>
  <c r="E2522" i="5"/>
  <c r="I2521" i="5"/>
  <c r="H2521" i="5"/>
  <c r="G2521" i="5"/>
  <c r="F2521" i="5"/>
  <c r="E2521" i="5"/>
  <c r="I2520" i="5"/>
  <c r="H2520" i="5"/>
  <c r="G2520" i="5"/>
  <c r="F2520" i="5"/>
  <c r="E2520" i="5"/>
  <c r="I2519" i="5"/>
  <c r="H2519" i="5"/>
  <c r="G2519" i="5"/>
  <c r="F2519" i="5"/>
  <c r="E2519" i="5"/>
  <c r="I2518" i="5"/>
  <c r="H2518" i="5"/>
  <c r="G2518" i="5"/>
  <c r="F2518" i="5"/>
  <c r="E2518" i="5"/>
  <c r="I2517" i="5"/>
  <c r="H2517" i="5"/>
  <c r="G2517" i="5"/>
  <c r="F2517" i="5"/>
  <c r="E2517" i="5"/>
  <c r="I2516" i="5"/>
  <c r="H2516" i="5"/>
  <c r="G2516" i="5"/>
  <c r="F2516" i="5"/>
  <c r="E2516" i="5"/>
  <c r="I2515" i="5"/>
  <c r="H2515" i="5"/>
  <c r="G2515" i="5"/>
  <c r="F2515" i="5"/>
  <c r="E2515" i="5"/>
  <c r="I2514" i="5"/>
  <c r="H2514" i="5"/>
  <c r="G2514" i="5"/>
  <c r="F2514" i="5"/>
  <c r="E2514" i="5"/>
  <c r="I2513" i="5"/>
  <c r="H2513" i="5"/>
  <c r="G2513" i="5"/>
  <c r="F2513" i="5"/>
  <c r="E2513" i="5"/>
  <c r="I2512" i="5"/>
  <c r="H2512" i="5"/>
  <c r="G2512" i="5"/>
  <c r="F2512" i="5"/>
  <c r="E2512" i="5"/>
  <c r="I2511" i="5"/>
  <c r="H2511" i="5"/>
  <c r="G2511" i="5"/>
  <c r="F2511" i="5"/>
  <c r="E2511" i="5"/>
  <c r="I2510" i="5"/>
  <c r="H2510" i="5"/>
  <c r="G2510" i="5"/>
  <c r="F2510" i="5"/>
  <c r="E2510" i="5"/>
  <c r="I2509" i="5"/>
  <c r="H2509" i="5"/>
  <c r="G2509" i="5"/>
  <c r="F2509" i="5"/>
  <c r="E2509" i="5"/>
  <c r="I2508" i="5"/>
  <c r="H2508" i="5"/>
  <c r="G2508" i="5"/>
  <c r="F2508" i="5"/>
  <c r="E2508" i="5"/>
  <c r="I2507" i="5"/>
  <c r="H2507" i="5"/>
  <c r="G2507" i="5"/>
  <c r="F2507" i="5"/>
  <c r="E2507" i="5"/>
  <c r="I2506" i="5"/>
  <c r="H2506" i="5"/>
  <c r="G2506" i="5"/>
  <c r="F2506" i="5"/>
  <c r="E2506" i="5"/>
  <c r="I2505" i="5"/>
  <c r="H2505" i="5"/>
  <c r="G2505" i="5"/>
  <c r="F2505" i="5"/>
  <c r="E2505" i="5"/>
  <c r="I2504" i="5"/>
  <c r="H2504" i="5"/>
  <c r="G2504" i="5"/>
  <c r="F2504" i="5"/>
  <c r="E2504" i="5"/>
  <c r="I2503" i="5"/>
  <c r="H2503" i="5"/>
  <c r="G2503" i="5"/>
  <c r="F2503" i="5"/>
  <c r="E2503" i="5"/>
  <c r="I2502" i="5"/>
  <c r="H2502" i="5"/>
  <c r="G2502" i="5"/>
  <c r="F2502" i="5"/>
  <c r="E2502" i="5"/>
  <c r="I2501" i="5"/>
  <c r="H2501" i="5"/>
  <c r="G2501" i="5"/>
  <c r="F2501" i="5"/>
  <c r="E2501" i="5"/>
  <c r="I2500" i="5"/>
  <c r="H2500" i="5"/>
  <c r="G2500" i="5"/>
  <c r="F2500" i="5"/>
  <c r="E2500" i="5"/>
  <c r="I2499" i="5"/>
  <c r="H2499" i="5"/>
  <c r="G2499" i="5"/>
  <c r="F2499" i="5"/>
  <c r="E2499" i="5"/>
  <c r="I2498" i="5"/>
  <c r="H2498" i="5"/>
  <c r="G2498" i="5"/>
  <c r="F2498" i="5"/>
  <c r="E2498" i="5"/>
  <c r="I2497" i="5"/>
  <c r="H2497" i="5"/>
  <c r="G2497" i="5"/>
  <c r="F2497" i="5"/>
  <c r="E2497" i="5"/>
  <c r="I2496" i="5"/>
  <c r="H2496" i="5"/>
  <c r="G2496" i="5"/>
  <c r="F2496" i="5"/>
  <c r="E2496" i="5"/>
  <c r="I2495" i="5"/>
  <c r="H2495" i="5"/>
  <c r="G2495" i="5"/>
  <c r="F2495" i="5"/>
  <c r="E2495" i="5"/>
  <c r="I2494" i="5"/>
  <c r="H2494" i="5"/>
  <c r="G2494" i="5"/>
  <c r="F2494" i="5"/>
  <c r="E2494" i="5"/>
  <c r="I2493" i="5"/>
  <c r="H2493" i="5"/>
  <c r="G2493" i="5"/>
  <c r="F2493" i="5"/>
  <c r="E2493" i="5"/>
  <c r="I2492" i="5"/>
  <c r="H2492" i="5"/>
  <c r="G2492" i="5"/>
  <c r="F2492" i="5"/>
  <c r="E2492" i="5"/>
  <c r="I2491" i="5"/>
  <c r="H2491" i="5"/>
  <c r="G2491" i="5"/>
  <c r="F2491" i="5"/>
  <c r="E2491" i="5"/>
  <c r="I2490" i="5"/>
  <c r="H2490" i="5"/>
  <c r="G2490" i="5"/>
  <c r="F2490" i="5"/>
  <c r="E2490" i="5"/>
  <c r="I2489" i="5"/>
  <c r="H2489" i="5"/>
  <c r="G2489" i="5"/>
  <c r="F2489" i="5"/>
  <c r="E2489" i="5"/>
  <c r="I2488" i="5"/>
  <c r="H2488" i="5"/>
  <c r="G2488" i="5"/>
  <c r="F2488" i="5"/>
  <c r="E2488" i="5"/>
  <c r="I2487" i="5"/>
  <c r="H2487" i="5"/>
  <c r="G2487" i="5"/>
  <c r="F2487" i="5"/>
  <c r="E2487" i="5"/>
  <c r="I2486" i="5"/>
  <c r="H2486" i="5"/>
  <c r="G2486" i="5"/>
  <c r="F2486" i="5"/>
  <c r="E2486" i="5"/>
  <c r="I2485" i="5"/>
  <c r="H2485" i="5"/>
  <c r="G2485" i="5"/>
  <c r="F2485" i="5"/>
  <c r="E2485" i="5"/>
  <c r="I2484" i="5"/>
  <c r="H2484" i="5"/>
  <c r="G2484" i="5"/>
  <c r="F2484" i="5"/>
  <c r="E2484" i="5"/>
  <c r="I2483" i="5"/>
  <c r="H2483" i="5"/>
  <c r="G2483" i="5"/>
  <c r="F2483" i="5"/>
  <c r="E2483" i="5"/>
  <c r="I2482" i="5"/>
  <c r="H2482" i="5"/>
  <c r="G2482" i="5"/>
  <c r="F2482" i="5"/>
  <c r="E2482" i="5"/>
  <c r="I2481" i="5"/>
  <c r="H2481" i="5"/>
  <c r="G2481" i="5"/>
  <c r="F2481" i="5"/>
  <c r="E2481" i="5"/>
  <c r="I2480" i="5"/>
  <c r="H2480" i="5"/>
  <c r="G2480" i="5"/>
  <c r="F2480" i="5"/>
  <c r="E2480" i="5"/>
  <c r="I2479" i="5"/>
  <c r="H2479" i="5"/>
  <c r="G2479" i="5"/>
  <c r="F2479" i="5"/>
  <c r="E2479" i="5"/>
  <c r="I2478" i="5"/>
  <c r="H2478" i="5"/>
  <c r="G2478" i="5"/>
  <c r="F2478" i="5"/>
  <c r="E2478" i="5"/>
  <c r="I2477" i="5"/>
  <c r="H2477" i="5"/>
  <c r="G2477" i="5"/>
  <c r="F2477" i="5"/>
  <c r="E2477" i="5"/>
  <c r="I2476" i="5"/>
  <c r="H2476" i="5"/>
  <c r="G2476" i="5"/>
  <c r="F2476" i="5"/>
  <c r="E2476" i="5"/>
  <c r="I2475" i="5"/>
  <c r="H2475" i="5"/>
  <c r="G2475" i="5"/>
  <c r="F2475" i="5"/>
  <c r="E2475" i="5"/>
  <c r="I2474" i="5"/>
  <c r="H2474" i="5"/>
  <c r="G2474" i="5"/>
  <c r="F2474" i="5"/>
  <c r="E2474" i="5"/>
  <c r="I2473" i="5"/>
  <c r="H2473" i="5"/>
  <c r="G2473" i="5"/>
  <c r="F2473" i="5"/>
  <c r="E2473" i="5"/>
  <c r="I2472" i="5"/>
  <c r="H2472" i="5"/>
  <c r="G2472" i="5"/>
  <c r="F2472" i="5"/>
  <c r="E2472" i="5"/>
  <c r="I2471" i="5"/>
  <c r="H2471" i="5"/>
  <c r="G2471" i="5"/>
  <c r="F2471" i="5"/>
  <c r="E2471" i="5"/>
  <c r="I2470" i="5"/>
  <c r="H2470" i="5"/>
  <c r="G2470" i="5"/>
  <c r="F2470" i="5"/>
  <c r="E2470" i="5"/>
  <c r="I2469" i="5"/>
  <c r="H2469" i="5"/>
  <c r="G2469" i="5"/>
  <c r="F2469" i="5"/>
  <c r="E2469" i="5"/>
  <c r="I2468" i="5"/>
  <c r="H2468" i="5"/>
  <c r="G2468" i="5"/>
  <c r="F2468" i="5"/>
  <c r="E2468" i="5"/>
  <c r="I2467" i="5"/>
  <c r="H2467" i="5"/>
  <c r="G2467" i="5"/>
  <c r="F2467" i="5"/>
  <c r="E2467" i="5"/>
  <c r="I2466" i="5"/>
  <c r="H2466" i="5"/>
  <c r="G2466" i="5"/>
  <c r="F2466" i="5"/>
  <c r="E2466" i="5"/>
  <c r="I2465" i="5"/>
  <c r="H2465" i="5"/>
  <c r="G2465" i="5"/>
  <c r="F2465" i="5"/>
  <c r="E2465" i="5"/>
  <c r="I2464" i="5"/>
  <c r="H2464" i="5"/>
  <c r="G2464" i="5"/>
  <c r="F2464" i="5"/>
  <c r="E2464" i="5"/>
  <c r="I2463" i="5"/>
  <c r="H2463" i="5"/>
  <c r="G2463" i="5"/>
  <c r="F2463" i="5"/>
  <c r="E2463" i="5"/>
  <c r="I2462" i="5"/>
  <c r="H2462" i="5"/>
  <c r="G2462" i="5"/>
  <c r="F2462" i="5"/>
  <c r="E2462" i="5"/>
  <c r="I2461" i="5"/>
  <c r="H2461" i="5"/>
  <c r="G2461" i="5"/>
  <c r="F2461" i="5"/>
  <c r="E2461" i="5"/>
  <c r="I2460" i="5"/>
  <c r="H2460" i="5"/>
  <c r="G2460" i="5"/>
  <c r="F2460" i="5"/>
  <c r="E2460" i="5"/>
  <c r="I2459" i="5"/>
  <c r="H2459" i="5"/>
  <c r="G2459" i="5"/>
  <c r="F2459" i="5"/>
  <c r="E2459" i="5"/>
  <c r="I2458" i="5"/>
  <c r="H2458" i="5"/>
  <c r="G2458" i="5"/>
  <c r="F2458" i="5"/>
  <c r="E2458" i="5"/>
  <c r="I2457" i="5"/>
  <c r="H2457" i="5"/>
  <c r="G2457" i="5"/>
  <c r="F2457" i="5"/>
  <c r="E2457" i="5"/>
  <c r="I2456" i="5"/>
  <c r="H2456" i="5"/>
  <c r="G2456" i="5"/>
  <c r="F2456" i="5"/>
  <c r="E2456" i="5"/>
  <c r="I2455" i="5"/>
  <c r="H2455" i="5"/>
  <c r="G2455" i="5"/>
  <c r="F2455" i="5"/>
  <c r="E2455" i="5"/>
  <c r="I2454" i="5"/>
  <c r="H2454" i="5"/>
  <c r="G2454" i="5"/>
  <c r="F2454" i="5"/>
  <c r="E2454" i="5"/>
  <c r="I2453" i="5"/>
  <c r="H2453" i="5"/>
  <c r="G2453" i="5"/>
  <c r="F2453" i="5"/>
  <c r="E2453" i="5"/>
  <c r="I2452" i="5"/>
  <c r="H2452" i="5"/>
  <c r="G2452" i="5"/>
  <c r="F2452" i="5"/>
  <c r="E2452" i="5"/>
  <c r="I2451" i="5"/>
  <c r="H2451" i="5"/>
  <c r="G2451" i="5"/>
  <c r="F2451" i="5"/>
  <c r="E2451" i="5"/>
  <c r="I2450" i="5"/>
  <c r="H2450" i="5"/>
  <c r="G2450" i="5"/>
  <c r="F2450" i="5"/>
  <c r="E2450" i="5"/>
  <c r="I2449" i="5"/>
  <c r="H2449" i="5"/>
  <c r="G2449" i="5"/>
  <c r="F2449" i="5"/>
  <c r="E2449" i="5"/>
  <c r="I2448" i="5"/>
  <c r="H2448" i="5"/>
  <c r="G2448" i="5"/>
  <c r="F2448" i="5"/>
  <c r="E2448" i="5"/>
  <c r="I2447" i="5"/>
  <c r="H2447" i="5"/>
  <c r="G2447" i="5"/>
  <c r="F2447" i="5"/>
  <c r="E2447" i="5"/>
  <c r="I2446" i="5"/>
  <c r="H2446" i="5"/>
  <c r="G2446" i="5"/>
  <c r="F2446" i="5"/>
  <c r="E2446" i="5"/>
  <c r="I2445" i="5"/>
  <c r="H2445" i="5"/>
  <c r="G2445" i="5"/>
  <c r="F2445" i="5"/>
  <c r="E2445" i="5"/>
  <c r="I2444" i="5"/>
  <c r="H2444" i="5"/>
  <c r="G2444" i="5"/>
  <c r="F2444" i="5"/>
  <c r="E2444" i="5"/>
  <c r="I2443" i="5"/>
  <c r="H2443" i="5"/>
  <c r="G2443" i="5"/>
  <c r="F2443" i="5"/>
  <c r="E2443" i="5"/>
  <c r="I2442" i="5"/>
  <c r="H2442" i="5"/>
  <c r="G2442" i="5"/>
  <c r="F2442" i="5"/>
  <c r="E2442" i="5"/>
  <c r="I2441" i="5"/>
  <c r="H2441" i="5"/>
  <c r="G2441" i="5"/>
  <c r="F2441" i="5"/>
  <c r="E2441" i="5"/>
  <c r="I2440" i="5"/>
  <c r="H2440" i="5"/>
  <c r="G2440" i="5"/>
  <c r="F2440" i="5"/>
  <c r="E2440" i="5"/>
  <c r="I2439" i="5"/>
  <c r="H2439" i="5"/>
  <c r="G2439" i="5"/>
  <c r="F2439" i="5"/>
  <c r="E2439" i="5"/>
  <c r="I2438" i="5"/>
  <c r="H2438" i="5"/>
  <c r="G2438" i="5"/>
  <c r="F2438" i="5"/>
  <c r="E2438" i="5"/>
  <c r="I2437" i="5"/>
  <c r="H2437" i="5"/>
  <c r="G2437" i="5"/>
  <c r="F2437" i="5"/>
  <c r="E2437" i="5"/>
  <c r="I2436" i="5"/>
  <c r="H2436" i="5"/>
  <c r="G2436" i="5"/>
  <c r="F2436" i="5"/>
  <c r="E2436" i="5"/>
  <c r="I2435" i="5"/>
  <c r="H2435" i="5"/>
  <c r="G2435" i="5"/>
  <c r="F2435" i="5"/>
  <c r="E2435" i="5"/>
  <c r="I2434" i="5"/>
  <c r="H2434" i="5"/>
  <c r="G2434" i="5"/>
  <c r="F2434" i="5"/>
  <c r="E2434" i="5"/>
  <c r="I2433" i="5"/>
  <c r="H2433" i="5"/>
  <c r="G2433" i="5"/>
  <c r="F2433" i="5"/>
  <c r="E2433" i="5"/>
  <c r="I2432" i="5"/>
  <c r="H2432" i="5"/>
  <c r="G2432" i="5"/>
  <c r="F2432" i="5"/>
  <c r="E2432" i="5"/>
  <c r="I2431" i="5"/>
  <c r="H2431" i="5"/>
  <c r="G2431" i="5"/>
  <c r="F2431" i="5"/>
  <c r="E2431" i="5"/>
  <c r="I2430" i="5"/>
  <c r="H2430" i="5"/>
  <c r="G2430" i="5"/>
  <c r="F2430" i="5"/>
  <c r="E2430" i="5"/>
  <c r="I2429" i="5"/>
  <c r="H2429" i="5"/>
  <c r="G2429" i="5"/>
  <c r="F2429" i="5"/>
  <c r="E2429" i="5"/>
  <c r="I2428" i="5"/>
  <c r="H2428" i="5"/>
  <c r="G2428" i="5"/>
  <c r="F2428" i="5"/>
  <c r="E2428" i="5"/>
  <c r="I2427" i="5"/>
  <c r="H2427" i="5"/>
  <c r="G2427" i="5"/>
  <c r="F2427" i="5"/>
  <c r="E2427" i="5"/>
  <c r="I2426" i="5"/>
  <c r="H2426" i="5"/>
  <c r="G2426" i="5"/>
  <c r="F2426" i="5"/>
  <c r="E2426" i="5"/>
  <c r="I2425" i="5"/>
  <c r="H2425" i="5"/>
  <c r="G2425" i="5"/>
  <c r="F2425" i="5"/>
  <c r="E2425" i="5"/>
  <c r="I2424" i="5"/>
  <c r="H2424" i="5"/>
  <c r="G2424" i="5"/>
  <c r="F2424" i="5"/>
  <c r="E2424" i="5"/>
  <c r="I2423" i="5"/>
  <c r="H2423" i="5"/>
  <c r="G2423" i="5"/>
  <c r="F2423" i="5"/>
  <c r="E2423" i="5"/>
  <c r="I2422" i="5"/>
  <c r="H2422" i="5"/>
  <c r="G2422" i="5"/>
  <c r="F2422" i="5"/>
  <c r="E2422" i="5"/>
  <c r="I2421" i="5"/>
  <c r="H2421" i="5"/>
  <c r="G2421" i="5"/>
  <c r="F2421" i="5"/>
  <c r="E2421" i="5"/>
  <c r="I2420" i="5"/>
  <c r="H2420" i="5"/>
  <c r="G2420" i="5"/>
  <c r="F2420" i="5"/>
  <c r="E2420" i="5"/>
  <c r="I2419" i="5"/>
  <c r="H2419" i="5"/>
  <c r="G2419" i="5"/>
  <c r="F2419" i="5"/>
  <c r="E2419" i="5"/>
  <c r="I2418" i="5"/>
  <c r="H2418" i="5"/>
  <c r="G2418" i="5"/>
  <c r="F2418" i="5"/>
  <c r="E2418" i="5"/>
  <c r="I2417" i="5"/>
  <c r="H2417" i="5"/>
  <c r="G2417" i="5"/>
  <c r="F2417" i="5"/>
  <c r="E2417" i="5"/>
  <c r="I2416" i="5"/>
  <c r="H2416" i="5"/>
  <c r="G2416" i="5"/>
  <c r="F2416" i="5"/>
  <c r="E2416" i="5"/>
  <c r="I2415" i="5"/>
  <c r="H2415" i="5"/>
  <c r="G2415" i="5"/>
  <c r="F2415" i="5"/>
  <c r="E2415" i="5"/>
  <c r="I2414" i="5"/>
  <c r="H2414" i="5"/>
  <c r="G2414" i="5"/>
  <c r="F2414" i="5"/>
  <c r="E2414" i="5"/>
  <c r="I2413" i="5"/>
  <c r="H2413" i="5"/>
  <c r="G2413" i="5"/>
  <c r="F2413" i="5"/>
  <c r="E2413" i="5"/>
  <c r="I2412" i="5"/>
  <c r="H2412" i="5"/>
  <c r="G2412" i="5"/>
  <c r="F2412" i="5"/>
  <c r="E2412" i="5"/>
  <c r="I2411" i="5"/>
  <c r="H2411" i="5"/>
  <c r="G2411" i="5"/>
  <c r="F2411" i="5"/>
  <c r="E2411" i="5"/>
  <c r="I2410" i="5"/>
  <c r="H2410" i="5"/>
  <c r="G2410" i="5"/>
  <c r="F2410" i="5"/>
  <c r="E2410" i="5"/>
  <c r="I2409" i="5"/>
  <c r="H2409" i="5"/>
  <c r="G2409" i="5"/>
  <c r="F2409" i="5"/>
  <c r="E2409" i="5"/>
  <c r="I2408" i="5"/>
  <c r="H2408" i="5"/>
  <c r="G2408" i="5"/>
  <c r="F2408" i="5"/>
  <c r="E2408" i="5"/>
  <c r="I2407" i="5"/>
  <c r="H2407" i="5"/>
  <c r="G2407" i="5"/>
  <c r="F2407" i="5"/>
  <c r="E2407" i="5"/>
  <c r="I2406" i="5"/>
  <c r="H2406" i="5"/>
  <c r="G2406" i="5"/>
  <c r="F2406" i="5"/>
  <c r="E2406" i="5"/>
  <c r="I2405" i="5"/>
  <c r="H2405" i="5"/>
  <c r="G2405" i="5"/>
  <c r="F2405" i="5"/>
  <c r="E2405" i="5"/>
  <c r="I2404" i="5"/>
  <c r="H2404" i="5"/>
  <c r="G2404" i="5"/>
  <c r="F2404" i="5"/>
  <c r="E2404" i="5"/>
  <c r="I2403" i="5"/>
  <c r="H2403" i="5"/>
  <c r="G2403" i="5"/>
  <c r="F2403" i="5"/>
  <c r="E2403" i="5"/>
  <c r="I2402" i="5"/>
  <c r="H2402" i="5"/>
  <c r="G2402" i="5"/>
  <c r="F2402" i="5"/>
  <c r="E2402" i="5"/>
  <c r="I2401" i="5"/>
  <c r="H2401" i="5"/>
  <c r="G2401" i="5"/>
  <c r="F2401" i="5"/>
  <c r="E2401" i="5"/>
  <c r="I2400" i="5"/>
  <c r="H2400" i="5"/>
  <c r="G2400" i="5"/>
  <c r="F2400" i="5"/>
  <c r="E2400" i="5"/>
  <c r="I2399" i="5"/>
  <c r="H2399" i="5"/>
  <c r="G2399" i="5"/>
  <c r="F2399" i="5"/>
  <c r="E2399" i="5"/>
  <c r="I2398" i="5"/>
  <c r="H2398" i="5"/>
  <c r="G2398" i="5"/>
  <c r="F2398" i="5"/>
  <c r="E2398" i="5"/>
  <c r="I2397" i="5"/>
  <c r="H2397" i="5"/>
  <c r="G2397" i="5"/>
  <c r="F2397" i="5"/>
  <c r="E2397" i="5"/>
  <c r="I2396" i="5"/>
  <c r="H2396" i="5"/>
  <c r="G2396" i="5"/>
  <c r="F2396" i="5"/>
  <c r="E2396" i="5"/>
  <c r="I2395" i="5"/>
  <c r="H2395" i="5"/>
  <c r="G2395" i="5"/>
  <c r="F2395" i="5"/>
  <c r="E2395" i="5"/>
  <c r="I2394" i="5"/>
  <c r="H2394" i="5"/>
  <c r="G2394" i="5"/>
  <c r="F2394" i="5"/>
  <c r="E2394" i="5"/>
  <c r="I2393" i="5"/>
  <c r="H2393" i="5"/>
  <c r="G2393" i="5"/>
  <c r="F2393" i="5"/>
  <c r="E2393" i="5"/>
  <c r="I2392" i="5"/>
  <c r="H2392" i="5"/>
  <c r="G2392" i="5"/>
  <c r="F2392" i="5"/>
  <c r="E2392" i="5"/>
  <c r="I2391" i="5"/>
  <c r="H2391" i="5"/>
  <c r="G2391" i="5"/>
  <c r="F2391" i="5"/>
  <c r="E2391" i="5"/>
  <c r="I2390" i="5"/>
  <c r="H2390" i="5"/>
  <c r="G2390" i="5"/>
  <c r="F2390" i="5"/>
  <c r="E2390" i="5"/>
  <c r="I2389" i="5"/>
  <c r="H2389" i="5"/>
  <c r="G2389" i="5"/>
  <c r="F2389" i="5"/>
  <c r="E2389" i="5"/>
  <c r="I2388" i="5"/>
  <c r="H2388" i="5"/>
  <c r="G2388" i="5"/>
  <c r="F2388" i="5"/>
  <c r="E2388" i="5"/>
  <c r="I2387" i="5"/>
  <c r="H2387" i="5"/>
  <c r="G2387" i="5"/>
  <c r="F2387" i="5"/>
  <c r="E2387" i="5"/>
  <c r="I2386" i="5"/>
  <c r="H2386" i="5"/>
  <c r="G2386" i="5"/>
  <c r="F2386" i="5"/>
  <c r="E2386" i="5"/>
  <c r="I2385" i="5"/>
  <c r="H2385" i="5"/>
  <c r="G2385" i="5"/>
  <c r="F2385" i="5"/>
  <c r="E2385" i="5"/>
  <c r="I2384" i="5"/>
  <c r="H2384" i="5"/>
  <c r="G2384" i="5"/>
  <c r="F2384" i="5"/>
  <c r="E2384" i="5"/>
  <c r="I2383" i="5"/>
  <c r="H2383" i="5"/>
  <c r="G2383" i="5"/>
  <c r="F2383" i="5"/>
  <c r="E2383" i="5"/>
  <c r="I2382" i="5"/>
  <c r="H2382" i="5"/>
  <c r="G2382" i="5"/>
  <c r="F2382" i="5"/>
  <c r="E2382" i="5"/>
  <c r="I2381" i="5"/>
  <c r="H2381" i="5"/>
  <c r="G2381" i="5"/>
  <c r="F2381" i="5"/>
  <c r="E2381" i="5"/>
  <c r="I2380" i="5"/>
  <c r="H2380" i="5"/>
  <c r="G2380" i="5"/>
  <c r="F2380" i="5"/>
  <c r="E2380" i="5"/>
  <c r="I2379" i="5"/>
  <c r="H2379" i="5"/>
  <c r="G2379" i="5"/>
  <c r="F2379" i="5"/>
  <c r="E2379" i="5"/>
  <c r="I2378" i="5"/>
  <c r="H2378" i="5"/>
  <c r="G2378" i="5"/>
  <c r="F2378" i="5"/>
  <c r="E2378" i="5"/>
  <c r="I2377" i="5"/>
  <c r="H2377" i="5"/>
  <c r="G2377" i="5"/>
  <c r="F2377" i="5"/>
  <c r="E2377" i="5"/>
  <c r="I2376" i="5"/>
  <c r="H2376" i="5"/>
  <c r="G2376" i="5"/>
  <c r="F2376" i="5"/>
  <c r="E2376" i="5"/>
  <c r="I2375" i="5"/>
  <c r="H2375" i="5"/>
  <c r="G2375" i="5"/>
  <c r="F2375" i="5"/>
  <c r="E2375" i="5"/>
  <c r="I2374" i="5"/>
  <c r="H2374" i="5"/>
  <c r="G2374" i="5"/>
  <c r="F2374" i="5"/>
  <c r="E2374" i="5"/>
  <c r="I2373" i="5"/>
  <c r="H2373" i="5"/>
  <c r="G2373" i="5"/>
  <c r="F2373" i="5"/>
  <c r="E2373" i="5"/>
  <c r="I2372" i="5"/>
  <c r="H2372" i="5"/>
  <c r="G2372" i="5"/>
  <c r="F2372" i="5"/>
  <c r="E2372" i="5"/>
  <c r="I2371" i="5"/>
  <c r="H2371" i="5"/>
  <c r="G2371" i="5"/>
  <c r="F2371" i="5"/>
  <c r="E2371" i="5"/>
  <c r="I2370" i="5"/>
  <c r="H2370" i="5"/>
  <c r="G2370" i="5"/>
  <c r="F2370" i="5"/>
  <c r="E2370" i="5"/>
  <c r="I2369" i="5"/>
  <c r="H2369" i="5"/>
  <c r="G2369" i="5"/>
  <c r="F2369" i="5"/>
  <c r="E2369" i="5"/>
  <c r="I2368" i="5"/>
  <c r="H2368" i="5"/>
  <c r="G2368" i="5"/>
  <c r="F2368" i="5"/>
  <c r="E2368" i="5"/>
  <c r="I2367" i="5"/>
  <c r="H2367" i="5"/>
  <c r="G2367" i="5"/>
  <c r="F2367" i="5"/>
  <c r="E2367" i="5"/>
  <c r="I2366" i="5"/>
  <c r="H2366" i="5"/>
  <c r="G2366" i="5"/>
  <c r="F2366" i="5"/>
  <c r="E2366" i="5"/>
  <c r="I2357" i="5"/>
  <c r="H2357" i="5"/>
  <c r="G2357" i="5"/>
  <c r="F2357" i="5"/>
  <c r="E2357" i="5"/>
  <c r="I2356" i="5"/>
  <c r="H2356" i="5"/>
  <c r="G2356" i="5"/>
  <c r="F2356" i="5"/>
  <c r="E2356" i="5"/>
  <c r="I2355" i="5"/>
  <c r="H2355" i="5"/>
  <c r="G2355" i="5"/>
  <c r="F2355" i="5"/>
  <c r="E2355" i="5"/>
  <c r="I2354" i="5"/>
  <c r="H2354" i="5"/>
  <c r="G2354" i="5"/>
  <c r="F2354" i="5"/>
  <c r="E2354" i="5"/>
  <c r="I2353" i="5"/>
  <c r="H2353" i="5"/>
  <c r="G2353" i="5"/>
  <c r="F2353" i="5"/>
  <c r="E2353" i="5"/>
  <c r="I2352" i="5"/>
  <c r="H2352" i="5"/>
  <c r="G2352" i="5"/>
  <c r="F2352" i="5"/>
  <c r="E2352" i="5"/>
  <c r="I2351" i="5"/>
  <c r="H2351" i="5"/>
  <c r="G2351" i="5"/>
  <c r="F2351" i="5"/>
  <c r="E2351" i="5"/>
  <c r="I2350" i="5"/>
  <c r="H2350" i="5"/>
  <c r="G2350" i="5"/>
  <c r="F2350" i="5"/>
  <c r="E2350" i="5"/>
  <c r="I2349" i="5"/>
  <c r="H2349" i="5"/>
  <c r="G2349" i="5"/>
  <c r="F2349" i="5"/>
  <c r="E2349" i="5"/>
  <c r="I2348" i="5"/>
  <c r="H2348" i="5"/>
  <c r="G2348" i="5"/>
  <c r="F2348" i="5"/>
  <c r="E2348" i="5"/>
  <c r="I2347" i="5"/>
  <c r="H2347" i="5"/>
  <c r="G2347" i="5"/>
  <c r="F2347" i="5"/>
  <c r="E2347" i="5"/>
  <c r="I2346" i="5"/>
  <c r="H2346" i="5"/>
  <c r="G2346" i="5"/>
  <c r="F2346" i="5"/>
  <c r="E2346" i="5"/>
  <c r="I2345" i="5"/>
  <c r="H2345" i="5"/>
  <c r="G2345" i="5"/>
  <c r="F2345" i="5"/>
  <c r="E2345" i="5"/>
  <c r="I2344" i="5"/>
  <c r="H2344" i="5"/>
  <c r="G2344" i="5"/>
  <c r="F2344" i="5"/>
  <c r="E2344" i="5"/>
  <c r="I2343" i="5"/>
  <c r="H2343" i="5"/>
  <c r="G2343" i="5"/>
  <c r="F2343" i="5"/>
  <c r="E2343" i="5"/>
  <c r="I2342" i="5"/>
  <c r="H2342" i="5"/>
  <c r="G2342" i="5"/>
  <c r="F2342" i="5"/>
  <c r="E2342" i="5"/>
  <c r="I2341" i="5"/>
  <c r="H2341" i="5"/>
  <c r="G2341" i="5"/>
  <c r="F2341" i="5"/>
  <c r="E2341" i="5"/>
  <c r="I2340" i="5"/>
  <c r="H2340" i="5"/>
  <c r="G2340" i="5"/>
  <c r="F2340" i="5"/>
  <c r="E2340" i="5"/>
  <c r="I2339" i="5"/>
  <c r="H2339" i="5"/>
  <c r="G2339" i="5"/>
  <c r="F2339" i="5"/>
  <c r="E2339" i="5"/>
  <c r="I2338" i="5"/>
  <c r="H2338" i="5"/>
  <c r="G2338" i="5"/>
  <c r="F2338" i="5"/>
  <c r="E2338" i="5"/>
  <c r="I2337" i="5"/>
  <c r="H2337" i="5"/>
  <c r="G2337" i="5"/>
  <c r="F2337" i="5"/>
  <c r="E2337" i="5"/>
  <c r="I2336" i="5"/>
  <c r="H2336" i="5"/>
  <c r="G2336" i="5"/>
  <c r="F2336" i="5"/>
  <c r="E2336" i="5"/>
  <c r="I2335" i="5"/>
  <c r="H2335" i="5"/>
  <c r="G2335" i="5"/>
  <c r="F2335" i="5"/>
  <c r="E2335" i="5"/>
  <c r="I2334" i="5"/>
  <c r="H2334" i="5"/>
  <c r="G2334" i="5"/>
  <c r="F2334" i="5"/>
  <c r="E2334" i="5"/>
  <c r="I2333" i="5"/>
  <c r="H2333" i="5"/>
  <c r="G2333" i="5"/>
  <c r="F2333" i="5"/>
  <c r="E2333" i="5"/>
  <c r="I2332" i="5"/>
  <c r="H2332" i="5"/>
  <c r="G2332" i="5"/>
  <c r="F2332" i="5"/>
  <c r="E2332" i="5"/>
  <c r="I2331" i="5"/>
  <c r="H2331" i="5"/>
  <c r="G2331" i="5"/>
  <c r="F2331" i="5"/>
  <c r="E2331" i="5"/>
  <c r="I2330" i="5"/>
  <c r="H2330" i="5"/>
  <c r="G2330" i="5"/>
  <c r="F2330" i="5"/>
  <c r="E2330" i="5"/>
  <c r="I2329" i="5"/>
  <c r="H2329" i="5"/>
  <c r="G2329" i="5"/>
  <c r="F2329" i="5"/>
  <c r="E2329" i="5"/>
  <c r="I2328" i="5"/>
  <c r="H2328" i="5"/>
  <c r="G2328" i="5"/>
  <c r="F2328" i="5"/>
  <c r="E2328" i="5"/>
  <c r="I2327" i="5"/>
  <c r="H2327" i="5"/>
  <c r="G2327" i="5"/>
  <c r="F2327" i="5"/>
  <c r="E2327" i="5"/>
  <c r="I2326" i="5"/>
  <c r="H2326" i="5"/>
  <c r="G2326" i="5"/>
  <c r="F2326" i="5"/>
  <c r="E2326" i="5"/>
  <c r="I2325" i="5"/>
  <c r="H2325" i="5"/>
  <c r="G2325" i="5"/>
  <c r="F2325" i="5"/>
  <c r="E2325" i="5"/>
  <c r="I2324" i="5"/>
  <c r="H2324" i="5"/>
  <c r="G2324" i="5"/>
  <c r="F2324" i="5"/>
  <c r="E2324" i="5"/>
  <c r="I2323" i="5"/>
  <c r="H2323" i="5"/>
  <c r="G2323" i="5"/>
  <c r="F2323" i="5"/>
  <c r="E2323" i="5"/>
  <c r="I2322" i="5"/>
  <c r="H2322" i="5"/>
  <c r="G2322" i="5"/>
  <c r="F2322" i="5"/>
  <c r="E2322" i="5"/>
  <c r="I2321" i="5"/>
  <c r="H2321" i="5"/>
  <c r="G2321" i="5"/>
  <c r="F2321" i="5"/>
  <c r="E2321" i="5"/>
  <c r="I2320" i="5"/>
  <c r="H2320" i="5"/>
  <c r="G2320" i="5"/>
  <c r="F2320" i="5"/>
  <c r="E2320" i="5"/>
  <c r="I2319" i="5"/>
  <c r="H2319" i="5"/>
  <c r="G2319" i="5"/>
  <c r="F2319" i="5"/>
  <c r="E2319" i="5"/>
  <c r="I2318" i="5"/>
  <c r="H2318" i="5"/>
  <c r="G2318" i="5"/>
  <c r="F2318" i="5"/>
  <c r="E2318" i="5"/>
  <c r="I2317" i="5"/>
  <c r="H2317" i="5"/>
  <c r="G2317" i="5"/>
  <c r="F2317" i="5"/>
  <c r="E2317" i="5"/>
  <c r="I2316" i="5"/>
  <c r="H2316" i="5"/>
  <c r="G2316" i="5"/>
  <c r="F2316" i="5"/>
  <c r="E2316" i="5"/>
  <c r="I2315" i="5"/>
  <c r="H2315" i="5"/>
  <c r="G2315" i="5"/>
  <c r="F2315" i="5"/>
  <c r="E2315" i="5"/>
  <c r="I2314" i="5"/>
  <c r="H2314" i="5"/>
  <c r="G2314" i="5"/>
  <c r="F2314" i="5"/>
  <c r="E2314" i="5"/>
  <c r="I2313" i="5"/>
  <c r="H2313" i="5"/>
  <c r="G2313" i="5"/>
  <c r="F2313" i="5"/>
  <c r="E2313" i="5"/>
  <c r="I2312" i="5"/>
  <c r="H2312" i="5"/>
  <c r="G2312" i="5"/>
  <c r="F2312" i="5"/>
  <c r="E2312" i="5"/>
  <c r="I2311" i="5"/>
  <c r="H2311" i="5"/>
  <c r="G2311" i="5"/>
  <c r="F2311" i="5"/>
  <c r="E2311" i="5"/>
  <c r="I2310" i="5"/>
  <c r="H2310" i="5"/>
  <c r="G2310" i="5"/>
  <c r="F2310" i="5"/>
  <c r="E2310" i="5"/>
  <c r="I2309" i="5"/>
  <c r="H2309" i="5"/>
  <c r="G2309" i="5"/>
  <c r="F2309" i="5"/>
  <c r="E2309" i="5"/>
  <c r="I2308" i="5"/>
  <c r="H2308" i="5"/>
  <c r="G2308" i="5"/>
  <c r="F2308" i="5"/>
  <c r="E2308" i="5"/>
  <c r="I2307" i="5"/>
  <c r="H2307" i="5"/>
  <c r="G2307" i="5"/>
  <c r="F2307" i="5"/>
  <c r="E2307" i="5"/>
  <c r="I2306" i="5"/>
  <c r="H2306" i="5"/>
  <c r="G2306" i="5"/>
  <c r="F2306" i="5"/>
  <c r="E2306" i="5"/>
  <c r="I2305" i="5"/>
  <c r="H2305" i="5"/>
  <c r="G2305" i="5"/>
  <c r="F2305" i="5"/>
  <c r="E2305" i="5"/>
  <c r="I2304" i="5"/>
  <c r="H2304" i="5"/>
  <c r="G2304" i="5"/>
  <c r="F2304" i="5"/>
  <c r="E2304" i="5"/>
  <c r="I2303" i="5"/>
  <c r="H2303" i="5"/>
  <c r="G2303" i="5"/>
  <c r="F2303" i="5"/>
  <c r="E2303" i="5"/>
  <c r="I2302" i="5"/>
  <c r="H2302" i="5"/>
  <c r="G2302" i="5"/>
  <c r="F2302" i="5"/>
  <c r="E2302" i="5"/>
  <c r="I2301" i="5"/>
  <c r="H2301" i="5"/>
  <c r="G2301" i="5"/>
  <c r="F2301" i="5"/>
  <c r="E2301" i="5"/>
  <c r="I2300" i="5"/>
  <c r="H2300" i="5"/>
  <c r="G2300" i="5"/>
  <c r="F2300" i="5"/>
  <c r="E2300" i="5"/>
  <c r="I2299" i="5"/>
  <c r="H2299" i="5"/>
  <c r="G2299" i="5"/>
  <c r="F2299" i="5"/>
  <c r="E2299" i="5"/>
  <c r="I2298" i="5"/>
  <c r="H2298" i="5"/>
  <c r="G2298" i="5"/>
  <c r="F2298" i="5"/>
  <c r="E2298" i="5"/>
  <c r="I2297" i="5"/>
  <c r="H2297" i="5"/>
  <c r="G2297" i="5"/>
  <c r="F2297" i="5"/>
  <c r="E2297" i="5"/>
  <c r="I2296" i="5"/>
  <c r="H2296" i="5"/>
  <c r="G2296" i="5"/>
  <c r="F2296" i="5"/>
  <c r="E2296" i="5"/>
  <c r="I2295" i="5"/>
  <c r="H2295" i="5"/>
  <c r="G2295" i="5"/>
  <c r="F2295" i="5"/>
  <c r="E2295" i="5"/>
  <c r="I2294" i="5"/>
  <c r="H2294" i="5"/>
  <c r="G2294" i="5"/>
  <c r="F2294" i="5"/>
  <c r="E2294" i="5"/>
  <c r="I2293" i="5"/>
  <c r="H2293" i="5"/>
  <c r="G2293" i="5"/>
  <c r="F2293" i="5"/>
  <c r="E2293" i="5"/>
  <c r="I2292" i="5"/>
  <c r="H2292" i="5"/>
  <c r="G2292" i="5"/>
  <c r="F2292" i="5"/>
  <c r="E2292" i="5"/>
  <c r="I2291" i="5"/>
  <c r="H2291" i="5"/>
  <c r="G2291" i="5"/>
  <c r="F2291" i="5"/>
  <c r="E2291" i="5"/>
  <c r="I2290" i="5"/>
  <c r="H2290" i="5"/>
  <c r="G2290" i="5"/>
  <c r="F2290" i="5"/>
  <c r="E2290" i="5"/>
  <c r="I2289" i="5"/>
  <c r="H2289" i="5"/>
  <c r="G2289" i="5"/>
  <c r="F2289" i="5"/>
  <c r="E2289" i="5"/>
  <c r="I2288" i="5"/>
  <c r="H2288" i="5"/>
  <c r="G2288" i="5"/>
  <c r="F2288" i="5"/>
  <c r="E2288" i="5"/>
  <c r="I2287" i="5"/>
  <c r="H2287" i="5"/>
  <c r="G2287" i="5"/>
  <c r="F2287" i="5"/>
  <c r="E2287" i="5"/>
  <c r="I2286" i="5"/>
  <c r="H2286" i="5"/>
  <c r="G2286" i="5"/>
  <c r="F2286" i="5"/>
  <c r="E2286" i="5"/>
  <c r="I2285" i="5"/>
  <c r="H2285" i="5"/>
  <c r="G2285" i="5"/>
  <c r="F2285" i="5"/>
  <c r="E2285" i="5"/>
  <c r="I2284" i="5"/>
  <c r="H2284" i="5"/>
  <c r="G2284" i="5"/>
  <c r="F2284" i="5"/>
  <c r="E2284" i="5"/>
  <c r="I2283" i="5"/>
  <c r="H2283" i="5"/>
  <c r="G2283" i="5"/>
  <c r="F2283" i="5"/>
  <c r="E2283" i="5"/>
  <c r="I2282" i="5"/>
  <c r="H2282" i="5"/>
  <c r="G2282" i="5"/>
  <c r="F2282" i="5"/>
  <c r="E2282" i="5"/>
  <c r="I2281" i="5"/>
  <c r="H2281" i="5"/>
  <c r="G2281" i="5"/>
  <c r="F2281" i="5"/>
  <c r="E2281" i="5"/>
  <c r="I2280" i="5"/>
  <c r="H2280" i="5"/>
  <c r="G2280" i="5"/>
  <c r="F2280" i="5"/>
  <c r="E2280" i="5"/>
  <c r="I2279" i="5"/>
  <c r="H2279" i="5"/>
  <c r="G2279" i="5"/>
  <c r="F2279" i="5"/>
  <c r="E2279" i="5"/>
  <c r="I2278" i="5"/>
  <c r="H2278" i="5"/>
  <c r="G2278" i="5"/>
  <c r="F2278" i="5"/>
  <c r="E2278" i="5"/>
  <c r="I2277" i="5"/>
  <c r="H2277" i="5"/>
  <c r="G2277" i="5"/>
  <c r="F2277" i="5"/>
  <c r="E2277" i="5"/>
  <c r="I2276" i="5"/>
  <c r="H2276" i="5"/>
  <c r="G2276" i="5"/>
  <c r="F2276" i="5"/>
  <c r="E2276" i="5"/>
  <c r="I2275" i="5"/>
  <c r="H2275" i="5"/>
  <c r="G2275" i="5"/>
  <c r="F2275" i="5"/>
  <c r="E2275" i="5"/>
  <c r="I2274" i="5"/>
  <c r="H2274" i="5"/>
  <c r="G2274" i="5"/>
  <c r="F2274" i="5"/>
  <c r="E2274" i="5"/>
  <c r="I2273" i="5"/>
  <c r="H2273" i="5"/>
  <c r="G2273" i="5"/>
  <c r="F2273" i="5"/>
  <c r="E2273" i="5"/>
  <c r="I2272" i="5"/>
  <c r="H2272" i="5"/>
  <c r="G2272" i="5"/>
  <c r="F2272" i="5"/>
  <c r="E2272" i="5"/>
  <c r="I2271" i="5"/>
  <c r="H2271" i="5"/>
  <c r="G2271" i="5"/>
  <c r="F2271" i="5"/>
  <c r="E2271" i="5"/>
  <c r="I2270" i="5"/>
  <c r="H2270" i="5"/>
  <c r="G2270" i="5"/>
  <c r="F2270" i="5"/>
  <c r="E2270" i="5"/>
  <c r="I2269" i="5"/>
  <c r="H2269" i="5"/>
  <c r="G2269" i="5"/>
  <c r="F2269" i="5"/>
  <c r="E2269" i="5"/>
  <c r="I2268" i="5"/>
  <c r="H2268" i="5"/>
  <c r="G2268" i="5"/>
  <c r="F2268" i="5"/>
  <c r="E2268" i="5"/>
  <c r="I2267" i="5"/>
  <c r="H2267" i="5"/>
  <c r="G2267" i="5"/>
  <c r="F2267" i="5"/>
  <c r="E2267" i="5"/>
  <c r="I2266" i="5"/>
  <c r="H2266" i="5"/>
  <c r="G2266" i="5"/>
  <c r="F2266" i="5"/>
  <c r="E2266" i="5"/>
  <c r="I2265" i="5"/>
  <c r="H2265" i="5"/>
  <c r="G2265" i="5"/>
  <c r="F2265" i="5"/>
  <c r="E2265" i="5"/>
  <c r="I2264" i="5"/>
  <c r="H2264" i="5"/>
  <c r="G2264" i="5"/>
  <c r="F2264" i="5"/>
  <c r="E2264" i="5"/>
  <c r="I2263" i="5"/>
  <c r="H2263" i="5"/>
  <c r="G2263" i="5"/>
  <c r="F2263" i="5"/>
  <c r="E2263" i="5"/>
  <c r="I2262" i="5"/>
  <c r="H2262" i="5"/>
  <c r="G2262" i="5"/>
  <c r="F2262" i="5"/>
  <c r="E2262" i="5"/>
  <c r="I2261" i="5"/>
  <c r="H2261" i="5"/>
  <c r="G2261" i="5"/>
  <c r="F2261" i="5"/>
  <c r="E2261" i="5"/>
  <c r="I2260" i="5"/>
  <c r="H2260" i="5"/>
  <c r="G2260" i="5"/>
  <c r="F2260" i="5"/>
  <c r="E2260" i="5"/>
  <c r="I2259" i="5"/>
  <c r="H2259" i="5"/>
  <c r="G2259" i="5"/>
  <c r="F2259" i="5"/>
  <c r="E2259" i="5"/>
  <c r="I2258" i="5"/>
  <c r="H2258" i="5"/>
  <c r="G2258" i="5"/>
  <c r="F2258" i="5"/>
  <c r="E2258" i="5"/>
  <c r="I2257" i="5"/>
  <c r="H2257" i="5"/>
  <c r="G2257" i="5"/>
  <c r="F2257" i="5"/>
  <c r="E2257" i="5"/>
  <c r="I2256" i="5"/>
  <c r="H2256" i="5"/>
  <c r="G2256" i="5"/>
  <c r="F2256" i="5"/>
  <c r="E2256" i="5"/>
  <c r="I2255" i="5"/>
  <c r="H2255" i="5"/>
  <c r="G2255" i="5"/>
  <c r="F2255" i="5"/>
  <c r="E2255" i="5"/>
  <c r="I2254" i="5"/>
  <c r="H2254" i="5"/>
  <c r="G2254" i="5"/>
  <c r="F2254" i="5"/>
  <c r="E2254" i="5"/>
  <c r="I2253" i="5"/>
  <c r="H2253" i="5"/>
  <c r="G2253" i="5"/>
  <c r="F2253" i="5"/>
  <c r="E2253" i="5"/>
  <c r="I2252" i="5"/>
  <c r="H2252" i="5"/>
  <c r="G2252" i="5"/>
  <c r="F2252" i="5"/>
  <c r="E2252" i="5"/>
  <c r="I2251" i="5"/>
  <c r="H2251" i="5"/>
  <c r="G2251" i="5"/>
  <c r="F2251" i="5"/>
  <c r="E2251" i="5"/>
  <c r="I2250" i="5"/>
  <c r="H2250" i="5"/>
  <c r="G2250" i="5"/>
  <c r="F2250" i="5"/>
  <c r="E2250" i="5"/>
  <c r="I2249" i="5"/>
  <c r="H2249" i="5"/>
  <c r="G2249" i="5"/>
  <c r="F2249" i="5"/>
  <c r="E2249" i="5"/>
  <c r="I2248" i="5"/>
  <c r="H2248" i="5"/>
  <c r="G2248" i="5"/>
  <c r="F2248" i="5"/>
  <c r="E2248" i="5"/>
  <c r="I2247" i="5"/>
  <c r="H2247" i="5"/>
  <c r="G2247" i="5"/>
  <c r="F2247" i="5"/>
  <c r="E2247" i="5"/>
  <c r="I2246" i="5"/>
  <c r="H2246" i="5"/>
  <c r="G2246" i="5"/>
  <c r="F2246" i="5"/>
  <c r="E2246" i="5"/>
  <c r="I2245" i="5"/>
  <c r="H2245" i="5"/>
  <c r="G2245" i="5"/>
  <c r="F2245" i="5"/>
  <c r="E2245" i="5"/>
  <c r="I2244" i="5"/>
  <c r="H2244" i="5"/>
  <c r="G2244" i="5"/>
  <c r="F2244" i="5"/>
  <c r="E2244" i="5"/>
  <c r="I2243" i="5"/>
  <c r="H2243" i="5"/>
  <c r="G2243" i="5"/>
  <c r="F2243" i="5"/>
  <c r="E2243" i="5"/>
  <c r="I2242" i="5"/>
  <c r="H2242" i="5"/>
  <c r="G2242" i="5"/>
  <c r="F2242" i="5"/>
  <c r="E2242" i="5"/>
  <c r="I2241" i="5"/>
  <c r="H2241" i="5"/>
  <c r="G2241" i="5"/>
  <c r="F2241" i="5"/>
  <c r="E2241" i="5"/>
  <c r="I2240" i="5"/>
  <c r="H2240" i="5"/>
  <c r="G2240" i="5"/>
  <c r="F2240" i="5"/>
  <c r="E2240" i="5"/>
  <c r="I2239" i="5"/>
  <c r="H2239" i="5"/>
  <c r="G2239" i="5"/>
  <c r="F2239" i="5"/>
  <c r="E2239" i="5"/>
  <c r="I2238" i="5"/>
  <c r="H2238" i="5"/>
  <c r="G2238" i="5"/>
  <c r="F2238" i="5"/>
  <c r="E2238" i="5"/>
  <c r="I2237" i="5"/>
  <c r="H2237" i="5"/>
  <c r="G2237" i="5"/>
  <c r="F2237" i="5"/>
  <c r="E2237" i="5"/>
  <c r="I2236" i="5"/>
  <c r="H2236" i="5"/>
  <c r="G2236" i="5"/>
  <c r="F2236" i="5"/>
  <c r="E2236" i="5"/>
  <c r="I2235" i="5"/>
  <c r="H2235" i="5"/>
  <c r="G2235" i="5"/>
  <c r="F2235" i="5"/>
  <c r="E2235" i="5"/>
  <c r="I2234" i="5"/>
  <c r="H2234" i="5"/>
  <c r="G2234" i="5"/>
  <c r="F2234" i="5"/>
  <c r="E2234" i="5"/>
  <c r="I2233" i="5"/>
  <c r="H2233" i="5"/>
  <c r="G2233" i="5"/>
  <c r="F2233" i="5"/>
  <c r="E2233" i="5"/>
  <c r="I2232" i="5"/>
  <c r="H2232" i="5"/>
  <c r="G2232" i="5"/>
  <c r="F2232" i="5"/>
  <c r="E2232" i="5"/>
  <c r="I2231" i="5"/>
  <c r="H2231" i="5"/>
  <c r="G2231" i="5"/>
  <c r="F2231" i="5"/>
  <c r="E2231" i="5"/>
  <c r="I2230" i="5"/>
  <c r="H2230" i="5"/>
  <c r="G2230" i="5"/>
  <c r="F2230" i="5"/>
  <c r="E2230" i="5"/>
  <c r="I2229" i="5"/>
  <c r="H2229" i="5"/>
  <c r="G2229" i="5"/>
  <c r="F2229" i="5"/>
  <c r="E2229" i="5"/>
  <c r="I2228" i="5"/>
  <c r="H2228" i="5"/>
  <c r="G2228" i="5"/>
  <c r="F2228" i="5"/>
  <c r="E2228" i="5"/>
  <c r="I2227" i="5"/>
  <c r="H2227" i="5"/>
  <c r="G2227" i="5"/>
  <c r="F2227" i="5"/>
  <c r="E2227" i="5"/>
  <c r="I2226" i="5"/>
  <c r="H2226" i="5"/>
  <c r="G2226" i="5"/>
  <c r="F2226" i="5"/>
  <c r="E2226" i="5"/>
  <c r="I2225" i="5"/>
  <c r="H2225" i="5"/>
  <c r="G2225" i="5"/>
  <c r="F2225" i="5"/>
  <c r="E2225" i="5"/>
  <c r="I2224" i="5"/>
  <c r="H2224" i="5"/>
  <c r="G2224" i="5"/>
  <c r="F2224" i="5"/>
  <c r="E2224" i="5"/>
  <c r="I2223" i="5"/>
  <c r="H2223" i="5"/>
  <c r="G2223" i="5"/>
  <c r="F2223" i="5"/>
  <c r="E2223" i="5"/>
  <c r="I2222" i="5"/>
  <c r="H2222" i="5"/>
  <c r="G2222" i="5"/>
  <c r="F2222" i="5"/>
  <c r="E2222" i="5"/>
  <c r="I2221" i="5"/>
  <c r="H2221" i="5"/>
  <c r="G2221" i="5"/>
  <c r="F2221" i="5"/>
  <c r="E2221" i="5"/>
  <c r="I2220" i="5"/>
  <c r="H2220" i="5"/>
  <c r="G2220" i="5"/>
  <c r="F2220" i="5"/>
  <c r="E2220" i="5"/>
  <c r="I2219" i="5"/>
  <c r="H2219" i="5"/>
  <c r="G2219" i="5"/>
  <c r="F2219" i="5"/>
  <c r="E2219" i="5"/>
  <c r="I2218" i="5"/>
  <c r="H2218" i="5"/>
  <c r="G2218" i="5"/>
  <c r="F2218" i="5"/>
  <c r="E2218" i="5"/>
  <c r="I2217" i="5"/>
  <c r="H2217" i="5"/>
  <c r="G2217" i="5"/>
  <c r="F2217" i="5"/>
  <c r="E2217" i="5"/>
  <c r="I2216" i="5"/>
  <c r="H2216" i="5"/>
  <c r="G2216" i="5"/>
  <c r="F2216" i="5"/>
  <c r="E2216" i="5"/>
  <c r="I2215" i="5"/>
  <c r="H2215" i="5"/>
  <c r="G2215" i="5"/>
  <c r="F2215" i="5"/>
  <c r="E2215" i="5"/>
  <c r="I2214" i="5"/>
  <c r="H2214" i="5"/>
  <c r="G2214" i="5"/>
  <c r="F2214" i="5"/>
  <c r="E2214" i="5"/>
  <c r="I2213" i="5"/>
  <c r="H2213" i="5"/>
  <c r="G2213" i="5"/>
  <c r="F2213" i="5"/>
  <c r="E2213" i="5"/>
  <c r="I2212" i="5"/>
  <c r="H2212" i="5"/>
  <c r="G2212" i="5"/>
  <c r="F2212" i="5"/>
  <c r="E2212" i="5"/>
  <c r="I2211" i="5"/>
  <c r="H2211" i="5"/>
  <c r="G2211" i="5"/>
  <c r="F2211" i="5"/>
  <c r="E2211" i="5"/>
  <c r="I2210" i="5"/>
  <c r="H2210" i="5"/>
  <c r="G2210" i="5"/>
  <c r="F2210" i="5"/>
  <c r="E2210" i="5"/>
  <c r="I2209" i="5"/>
  <c r="H2209" i="5"/>
  <c r="G2209" i="5"/>
  <c r="F2209" i="5"/>
  <c r="E2209" i="5"/>
  <c r="I2208" i="5"/>
  <c r="H2208" i="5"/>
  <c r="G2208" i="5"/>
  <c r="F2208" i="5"/>
  <c r="E2208" i="5"/>
  <c r="I2207" i="5"/>
  <c r="H2207" i="5"/>
  <c r="G2207" i="5"/>
  <c r="F2207" i="5"/>
  <c r="E2207" i="5"/>
  <c r="I2206" i="5"/>
  <c r="H2206" i="5"/>
  <c r="G2206" i="5"/>
  <c r="F2206" i="5"/>
  <c r="E2206" i="5"/>
  <c r="I2205" i="5"/>
  <c r="H2205" i="5"/>
  <c r="G2205" i="5"/>
  <c r="F2205" i="5"/>
  <c r="E2205" i="5"/>
  <c r="I2204" i="5"/>
  <c r="H2204" i="5"/>
  <c r="G2204" i="5"/>
  <c r="F2204" i="5"/>
  <c r="E2204" i="5"/>
  <c r="I2203" i="5"/>
  <c r="H2203" i="5"/>
  <c r="G2203" i="5"/>
  <c r="F2203" i="5"/>
  <c r="E2203" i="5"/>
  <c r="I2202" i="5"/>
  <c r="H2202" i="5"/>
  <c r="G2202" i="5"/>
  <c r="F2202" i="5"/>
  <c r="E2202" i="5"/>
  <c r="I2201" i="5"/>
  <c r="H2201" i="5"/>
  <c r="G2201" i="5"/>
  <c r="F2201" i="5"/>
  <c r="E2201" i="5"/>
  <c r="I2200" i="5"/>
  <c r="H2200" i="5"/>
  <c r="G2200" i="5"/>
  <c r="F2200" i="5"/>
  <c r="E2200" i="5"/>
  <c r="I2199" i="5"/>
  <c r="H2199" i="5"/>
  <c r="G2199" i="5"/>
  <c r="F2199" i="5"/>
  <c r="E2199" i="5"/>
  <c r="I2198" i="5"/>
  <c r="H2198" i="5"/>
  <c r="G2198" i="5"/>
  <c r="F2198" i="5"/>
  <c r="E2198" i="5"/>
  <c r="I2197" i="5"/>
  <c r="H2197" i="5"/>
  <c r="G2197" i="5"/>
  <c r="F2197" i="5"/>
  <c r="E2197" i="5"/>
  <c r="I2196" i="5"/>
  <c r="H2196" i="5"/>
  <c r="G2196" i="5"/>
  <c r="F2196" i="5"/>
  <c r="E2196" i="5"/>
  <c r="I2195" i="5"/>
  <c r="H2195" i="5"/>
  <c r="G2195" i="5"/>
  <c r="F2195" i="5"/>
  <c r="E2195" i="5"/>
  <c r="I2194" i="5"/>
  <c r="H2194" i="5"/>
  <c r="G2194" i="5"/>
  <c r="F2194" i="5"/>
  <c r="E2194" i="5"/>
  <c r="I2193" i="5"/>
  <c r="H2193" i="5"/>
  <c r="G2193" i="5"/>
  <c r="F2193" i="5"/>
  <c r="E2193" i="5"/>
  <c r="I2192" i="5"/>
  <c r="H2192" i="5"/>
  <c r="G2192" i="5"/>
  <c r="F2192" i="5"/>
  <c r="E2192" i="5"/>
  <c r="I2191" i="5"/>
  <c r="H2191" i="5"/>
  <c r="G2191" i="5"/>
  <c r="F2191" i="5"/>
  <c r="E2191" i="5"/>
  <c r="I2190" i="5"/>
  <c r="H2190" i="5"/>
  <c r="G2190" i="5"/>
  <c r="F2190" i="5"/>
  <c r="E2190" i="5"/>
  <c r="I2189" i="5"/>
  <c r="H2189" i="5"/>
  <c r="G2189" i="5"/>
  <c r="F2189" i="5"/>
  <c r="E2189" i="5"/>
  <c r="I2188" i="5"/>
  <c r="H2188" i="5"/>
  <c r="G2188" i="5"/>
  <c r="F2188" i="5"/>
  <c r="E2188" i="5"/>
  <c r="I2187" i="5"/>
  <c r="H2187" i="5"/>
  <c r="G2187" i="5"/>
  <c r="F2187" i="5"/>
  <c r="E2187" i="5"/>
  <c r="I2186" i="5"/>
  <c r="H2186" i="5"/>
  <c r="G2186" i="5"/>
  <c r="F2186" i="5"/>
  <c r="E2186" i="5"/>
  <c r="I2185" i="5"/>
  <c r="H2185" i="5"/>
  <c r="G2185" i="5"/>
  <c r="F2185" i="5"/>
  <c r="E2185" i="5"/>
  <c r="I2184" i="5"/>
  <c r="H2184" i="5"/>
  <c r="G2184" i="5"/>
  <c r="F2184" i="5"/>
  <c r="E2184" i="5"/>
  <c r="I2183" i="5"/>
  <c r="H2183" i="5"/>
  <c r="G2183" i="5"/>
  <c r="F2183" i="5"/>
  <c r="E2183" i="5"/>
  <c r="I2182" i="5"/>
  <c r="H2182" i="5"/>
  <c r="G2182" i="5"/>
  <c r="F2182" i="5"/>
  <c r="E2182" i="5"/>
  <c r="I2181" i="5"/>
  <c r="H2181" i="5"/>
  <c r="G2181" i="5"/>
  <c r="F2181" i="5"/>
  <c r="E2181" i="5"/>
  <c r="I2180" i="5"/>
  <c r="H2180" i="5"/>
  <c r="G2180" i="5"/>
  <c r="F2180" i="5"/>
  <c r="E2180" i="5"/>
  <c r="I2179" i="5"/>
  <c r="H2179" i="5"/>
  <c r="G2179" i="5"/>
  <c r="F2179" i="5"/>
  <c r="E2179" i="5"/>
  <c r="I2178" i="5"/>
  <c r="H2178" i="5"/>
  <c r="G2178" i="5"/>
  <c r="F2178" i="5"/>
  <c r="E2178" i="5"/>
  <c r="I2177" i="5"/>
  <c r="H2177" i="5"/>
  <c r="G2177" i="5"/>
  <c r="F2177" i="5"/>
  <c r="E2177" i="5"/>
  <c r="I2176" i="5"/>
  <c r="H2176" i="5"/>
  <c r="G2176" i="5"/>
  <c r="F2176" i="5"/>
  <c r="E2176" i="5"/>
  <c r="I2175" i="5"/>
  <c r="H2175" i="5"/>
  <c r="G2175" i="5"/>
  <c r="F2175" i="5"/>
  <c r="E2175" i="5"/>
  <c r="I2174" i="5"/>
  <c r="H2174" i="5"/>
  <c r="G2174" i="5"/>
  <c r="F2174" i="5"/>
  <c r="E2174" i="5"/>
  <c r="I2173" i="5"/>
  <c r="H2173" i="5"/>
  <c r="G2173" i="5"/>
  <c r="F2173" i="5"/>
  <c r="E2173" i="5"/>
  <c r="I2172" i="5"/>
  <c r="H2172" i="5"/>
  <c r="G2172" i="5"/>
  <c r="F2172" i="5"/>
  <c r="E2172" i="5"/>
  <c r="I2171" i="5"/>
  <c r="H2171" i="5"/>
  <c r="G2171" i="5"/>
  <c r="F2171" i="5"/>
  <c r="E2171" i="5"/>
  <c r="I2170" i="5"/>
  <c r="H2170" i="5"/>
  <c r="G2170" i="5"/>
  <c r="F2170" i="5"/>
  <c r="E2170" i="5"/>
  <c r="I2169" i="5"/>
  <c r="H2169" i="5"/>
  <c r="G2169" i="5"/>
  <c r="F2169" i="5"/>
  <c r="E2169" i="5"/>
  <c r="I2168" i="5"/>
  <c r="H2168" i="5"/>
  <c r="G2168" i="5"/>
  <c r="F2168" i="5"/>
  <c r="E2168" i="5"/>
  <c r="I2167" i="5"/>
  <c r="H2167" i="5"/>
  <c r="G2167" i="5"/>
  <c r="F2167" i="5"/>
  <c r="E2167" i="5"/>
  <c r="I2166" i="5"/>
  <c r="H2166" i="5"/>
  <c r="G2166" i="5"/>
  <c r="F2166" i="5"/>
  <c r="E2166" i="5"/>
  <c r="I2165" i="5"/>
  <c r="H2165" i="5"/>
  <c r="G2165" i="5"/>
  <c r="F2165" i="5"/>
  <c r="E2165" i="5"/>
  <c r="I2164" i="5"/>
  <c r="H2164" i="5"/>
  <c r="G2164" i="5"/>
  <c r="F2164" i="5"/>
  <c r="E2164" i="5"/>
  <c r="I2163" i="5"/>
  <c r="H2163" i="5"/>
  <c r="G2163" i="5"/>
  <c r="F2163" i="5"/>
  <c r="E2163" i="5"/>
  <c r="I2162" i="5"/>
  <c r="H2162" i="5"/>
  <c r="G2162" i="5"/>
  <c r="F2162" i="5"/>
  <c r="E2162" i="5"/>
  <c r="I2161" i="5"/>
  <c r="H2161" i="5"/>
  <c r="G2161" i="5"/>
  <c r="F2161" i="5"/>
  <c r="E2161" i="5"/>
  <c r="I2160" i="5"/>
  <c r="H2160" i="5"/>
  <c r="G2160" i="5"/>
  <c r="F2160" i="5"/>
  <c r="E2160" i="5"/>
  <c r="I2159" i="5"/>
  <c r="H2159" i="5"/>
  <c r="G2159" i="5"/>
  <c r="F2159" i="5"/>
  <c r="E2159" i="5"/>
  <c r="I2158" i="5"/>
  <c r="H2158" i="5"/>
  <c r="G2158" i="5"/>
  <c r="F2158" i="5"/>
  <c r="E2158" i="5"/>
  <c r="I2157" i="5"/>
  <c r="H2157" i="5"/>
  <c r="G2157" i="5"/>
  <c r="F2157" i="5"/>
  <c r="E2157" i="5"/>
  <c r="I2156" i="5"/>
  <c r="H2156" i="5"/>
  <c r="G2156" i="5"/>
  <c r="F2156" i="5"/>
  <c r="E2156" i="5"/>
  <c r="I2155" i="5"/>
  <c r="H2155" i="5"/>
  <c r="G2155" i="5"/>
  <c r="F2155" i="5"/>
  <c r="E2155" i="5"/>
  <c r="I2154" i="5"/>
  <c r="H2154" i="5"/>
  <c r="G2154" i="5"/>
  <c r="F2154" i="5"/>
  <c r="E2154" i="5"/>
  <c r="I2153" i="5"/>
  <c r="H2153" i="5"/>
  <c r="G2153" i="5"/>
  <c r="F2153" i="5"/>
  <c r="E2153" i="5"/>
  <c r="I2152" i="5"/>
  <c r="H2152" i="5"/>
  <c r="G2152" i="5"/>
  <c r="F2152" i="5"/>
  <c r="E2152" i="5"/>
  <c r="I2151" i="5"/>
  <c r="H2151" i="5"/>
  <c r="G2151" i="5"/>
  <c r="F2151" i="5"/>
  <c r="E2151" i="5"/>
  <c r="I2150" i="5"/>
  <c r="H2150" i="5"/>
  <c r="G2150" i="5"/>
  <c r="F2150" i="5"/>
  <c r="E2150" i="5"/>
  <c r="I2149" i="5"/>
  <c r="H2149" i="5"/>
  <c r="G2149" i="5"/>
  <c r="F2149" i="5"/>
  <c r="E2149" i="5"/>
  <c r="I2148" i="5"/>
  <c r="H2148" i="5"/>
  <c r="G2148" i="5"/>
  <c r="F2148" i="5"/>
  <c r="E2148" i="5"/>
  <c r="I2147" i="5"/>
  <c r="H2147" i="5"/>
  <c r="G2147" i="5"/>
  <c r="F2147" i="5"/>
  <c r="E2147" i="5"/>
  <c r="I2146" i="5"/>
  <c r="H2146" i="5"/>
  <c r="G2146" i="5"/>
  <c r="F2146" i="5"/>
  <c r="E2146" i="5"/>
  <c r="I2145" i="5"/>
  <c r="H2145" i="5"/>
  <c r="G2145" i="5"/>
  <c r="F2145" i="5"/>
  <c r="E2145" i="5"/>
  <c r="I2144" i="5"/>
  <c r="H2144" i="5"/>
  <c r="G2144" i="5"/>
  <c r="F2144" i="5"/>
  <c r="E2144" i="5"/>
  <c r="I2143" i="5"/>
  <c r="H2143" i="5"/>
  <c r="G2143" i="5"/>
  <c r="F2143" i="5"/>
  <c r="E2143" i="5"/>
  <c r="I2142" i="5"/>
  <c r="H2142" i="5"/>
  <c r="G2142" i="5"/>
  <c r="F2142" i="5"/>
  <c r="E2142" i="5"/>
  <c r="I2141" i="5"/>
  <c r="H2141" i="5"/>
  <c r="G2141" i="5"/>
  <c r="F2141" i="5"/>
  <c r="E2141" i="5"/>
  <c r="I2140" i="5"/>
  <c r="H2140" i="5"/>
  <c r="G2140" i="5"/>
  <c r="F2140" i="5"/>
  <c r="E2140" i="5"/>
  <c r="I2139" i="5"/>
  <c r="H2139" i="5"/>
  <c r="G2139" i="5"/>
  <c r="F2139" i="5"/>
  <c r="E2139" i="5"/>
  <c r="I2138" i="5"/>
  <c r="H2138" i="5"/>
  <c r="G2138" i="5"/>
  <c r="F2138" i="5"/>
  <c r="E2138" i="5"/>
  <c r="I2137" i="5"/>
  <c r="H2137" i="5"/>
  <c r="G2137" i="5"/>
  <c r="F2137" i="5"/>
  <c r="E2137" i="5"/>
  <c r="I2136" i="5"/>
  <c r="H2136" i="5"/>
  <c r="G2136" i="5"/>
  <c r="F2136" i="5"/>
  <c r="E2136" i="5"/>
  <c r="I2135" i="5"/>
  <c r="H2135" i="5"/>
  <c r="G2135" i="5"/>
  <c r="F2135" i="5"/>
  <c r="E2135" i="5"/>
  <c r="I2134" i="5"/>
  <c r="H2134" i="5"/>
  <c r="G2134" i="5"/>
  <c r="F2134" i="5"/>
  <c r="E2134" i="5"/>
  <c r="I2133" i="5"/>
  <c r="H2133" i="5"/>
  <c r="G2133" i="5"/>
  <c r="F2133" i="5"/>
  <c r="E2133" i="5"/>
  <c r="I2132" i="5"/>
  <c r="H2132" i="5"/>
  <c r="G2132" i="5"/>
  <c r="F2132" i="5"/>
  <c r="E2132" i="5"/>
  <c r="I2131" i="5"/>
  <c r="H2131" i="5"/>
  <c r="G2131" i="5"/>
  <c r="F2131" i="5"/>
  <c r="E2131" i="5"/>
  <c r="I2130" i="5"/>
  <c r="H2130" i="5"/>
  <c r="G2130" i="5"/>
  <c r="F2130" i="5"/>
  <c r="E2130" i="5"/>
  <c r="I2129" i="5"/>
  <c r="H2129" i="5"/>
  <c r="G2129" i="5"/>
  <c r="F2129" i="5"/>
  <c r="E2129" i="5"/>
  <c r="I2128" i="5"/>
  <c r="H2128" i="5"/>
  <c r="G2128" i="5"/>
  <c r="F2128" i="5"/>
  <c r="E2128" i="5"/>
  <c r="I2127" i="5"/>
  <c r="H2127" i="5"/>
  <c r="G2127" i="5"/>
  <c r="F2127" i="5"/>
  <c r="E2127" i="5"/>
  <c r="I2126" i="5"/>
  <c r="H2126" i="5"/>
  <c r="G2126" i="5"/>
  <c r="F2126" i="5"/>
  <c r="E2126" i="5"/>
  <c r="I2125" i="5"/>
  <c r="H2125" i="5"/>
  <c r="G2125" i="5"/>
  <c r="F2125" i="5"/>
  <c r="E2125" i="5"/>
  <c r="I2124" i="5"/>
  <c r="H2124" i="5"/>
  <c r="G2124" i="5"/>
  <c r="F2124" i="5"/>
  <c r="E2124" i="5"/>
  <c r="I2123" i="5"/>
  <c r="H2123" i="5"/>
  <c r="G2123" i="5"/>
  <c r="F2123" i="5"/>
  <c r="E2123" i="5"/>
  <c r="I2122" i="5"/>
  <c r="H2122" i="5"/>
  <c r="G2122" i="5"/>
  <c r="F2122" i="5"/>
  <c r="E2122" i="5"/>
  <c r="I2121" i="5"/>
  <c r="H2121" i="5"/>
  <c r="G2121" i="5"/>
  <c r="F2121" i="5"/>
  <c r="E2121" i="5"/>
  <c r="I2120" i="5"/>
  <c r="H2120" i="5"/>
  <c r="G2120" i="5"/>
  <c r="F2120" i="5"/>
  <c r="E2120" i="5"/>
  <c r="I2119" i="5"/>
  <c r="H2119" i="5"/>
  <c r="G2119" i="5"/>
  <c r="F2119" i="5"/>
  <c r="E2119" i="5"/>
  <c r="I2118" i="5"/>
  <c r="H2118" i="5"/>
  <c r="G2118" i="5"/>
  <c r="F2118" i="5"/>
  <c r="E2118" i="5"/>
  <c r="I2117" i="5"/>
  <c r="H2117" i="5"/>
  <c r="G2117" i="5"/>
  <c r="F2117" i="5"/>
  <c r="E2117" i="5"/>
  <c r="I2116" i="5"/>
  <c r="H2116" i="5"/>
  <c r="G2116" i="5"/>
  <c r="F2116" i="5"/>
  <c r="E2116" i="5"/>
  <c r="I2115" i="5"/>
  <c r="H2115" i="5"/>
  <c r="G2115" i="5"/>
  <c r="F2115" i="5"/>
  <c r="E2115" i="5"/>
  <c r="I2114" i="5"/>
  <c r="H2114" i="5"/>
  <c r="G2114" i="5"/>
  <c r="F2114" i="5"/>
  <c r="E2114" i="5"/>
  <c r="I2113" i="5"/>
  <c r="H2113" i="5"/>
  <c r="G2113" i="5"/>
  <c r="F2113" i="5"/>
  <c r="E2113" i="5"/>
  <c r="I2112" i="5"/>
  <c r="H2112" i="5"/>
  <c r="G2112" i="5"/>
  <c r="F2112" i="5"/>
  <c r="E2112" i="5"/>
  <c r="I2111" i="5"/>
  <c r="H2111" i="5"/>
  <c r="G2111" i="5"/>
  <c r="F2111" i="5"/>
  <c r="E2111" i="5"/>
  <c r="I2110" i="5"/>
  <c r="H2110" i="5"/>
  <c r="G2110" i="5"/>
  <c r="F2110" i="5"/>
  <c r="E2110" i="5"/>
  <c r="I2109" i="5"/>
  <c r="H2109" i="5"/>
  <c r="G2109" i="5"/>
  <c r="F2109" i="5"/>
  <c r="E2109" i="5"/>
  <c r="I2108" i="5"/>
  <c r="H2108" i="5"/>
  <c r="G2108" i="5"/>
  <c r="F2108" i="5"/>
  <c r="E2108" i="5"/>
  <c r="I2107" i="5"/>
  <c r="H2107" i="5"/>
  <c r="G2107" i="5"/>
  <c r="F2107" i="5"/>
  <c r="E2107" i="5"/>
  <c r="I2106" i="5"/>
  <c r="H2106" i="5"/>
  <c r="G2106" i="5"/>
  <c r="F2106" i="5"/>
  <c r="E2106" i="5"/>
  <c r="I2105" i="5"/>
  <c r="H2105" i="5"/>
  <c r="G2105" i="5"/>
  <c r="F2105" i="5"/>
  <c r="E2105" i="5"/>
  <c r="I2104" i="5"/>
  <c r="H2104" i="5"/>
  <c r="G2104" i="5"/>
  <c r="F2104" i="5"/>
  <c r="E2104" i="5"/>
  <c r="I2103" i="5"/>
  <c r="H2103" i="5"/>
  <c r="G2103" i="5"/>
  <c r="F2103" i="5"/>
  <c r="E2103" i="5"/>
  <c r="I2102" i="5"/>
  <c r="H2102" i="5"/>
  <c r="G2102" i="5"/>
  <c r="F2102" i="5"/>
  <c r="E2102" i="5"/>
  <c r="I2101" i="5"/>
  <c r="H2101" i="5"/>
  <c r="G2101" i="5"/>
  <c r="F2101" i="5"/>
  <c r="E2101" i="5"/>
  <c r="I2100" i="5"/>
  <c r="H2100" i="5"/>
  <c r="G2100" i="5"/>
  <c r="F2100" i="5"/>
  <c r="E2100" i="5"/>
  <c r="I2099" i="5"/>
  <c r="H2099" i="5"/>
  <c r="G2099" i="5"/>
  <c r="F2099" i="5"/>
  <c r="E2099" i="5"/>
  <c r="I2098" i="5"/>
  <c r="H2098" i="5"/>
  <c r="G2098" i="5"/>
  <c r="F2098" i="5"/>
  <c r="E2098" i="5"/>
  <c r="I2097" i="5"/>
  <c r="H2097" i="5"/>
  <c r="G2097" i="5"/>
  <c r="F2097" i="5"/>
  <c r="E2097" i="5"/>
  <c r="I2096" i="5"/>
  <c r="H2096" i="5"/>
  <c r="G2096" i="5"/>
  <c r="F2096" i="5"/>
  <c r="E2096" i="5"/>
  <c r="I2095" i="5"/>
  <c r="H2095" i="5"/>
  <c r="G2095" i="5"/>
  <c r="F2095" i="5"/>
  <c r="E2095" i="5"/>
  <c r="I2094" i="5"/>
  <c r="H2094" i="5"/>
  <c r="G2094" i="5"/>
  <c r="F2094" i="5"/>
  <c r="E2094" i="5"/>
  <c r="I2093" i="5"/>
  <c r="H2093" i="5"/>
  <c r="G2093" i="5"/>
  <c r="F2093" i="5"/>
  <c r="E2093" i="5"/>
  <c r="I2092" i="5"/>
  <c r="H2092" i="5"/>
  <c r="G2092" i="5"/>
  <c r="F2092" i="5"/>
  <c r="E2092" i="5"/>
  <c r="I2091" i="5"/>
  <c r="H2091" i="5"/>
  <c r="G2091" i="5"/>
  <c r="F2091" i="5"/>
  <c r="E2091" i="5"/>
  <c r="I2090" i="5"/>
  <c r="H2090" i="5"/>
  <c r="G2090" i="5"/>
  <c r="F2090" i="5"/>
  <c r="E2090" i="5"/>
  <c r="I2089" i="5"/>
  <c r="H2089" i="5"/>
  <c r="G2089" i="5"/>
  <c r="F2089" i="5"/>
  <c r="E2089" i="5"/>
  <c r="I2088" i="5"/>
  <c r="H2088" i="5"/>
  <c r="G2088" i="5"/>
  <c r="F2088" i="5"/>
  <c r="E2088" i="5"/>
  <c r="I2087" i="5"/>
  <c r="H2087" i="5"/>
  <c r="G2087" i="5"/>
  <c r="F2087" i="5"/>
  <c r="E2087" i="5"/>
  <c r="I2086" i="5"/>
  <c r="H2086" i="5"/>
  <c r="G2086" i="5"/>
  <c r="F2086" i="5"/>
  <c r="E2086" i="5"/>
  <c r="I2077" i="5"/>
  <c r="H2077" i="5"/>
  <c r="G2077" i="5"/>
  <c r="F2077" i="5"/>
  <c r="E2077" i="5"/>
  <c r="I2076" i="5"/>
  <c r="H2076" i="5"/>
  <c r="G2076" i="5"/>
  <c r="F2076" i="5"/>
  <c r="E2076" i="5"/>
  <c r="I2075" i="5"/>
  <c r="H2075" i="5"/>
  <c r="G2075" i="5"/>
  <c r="F2075" i="5"/>
  <c r="E2075" i="5"/>
  <c r="I2074" i="5"/>
  <c r="H2074" i="5"/>
  <c r="G2074" i="5"/>
  <c r="F2074" i="5"/>
  <c r="E2074" i="5"/>
  <c r="I2073" i="5"/>
  <c r="H2073" i="5"/>
  <c r="G2073" i="5"/>
  <c r="F2073" i="5"/>
  <c r="E2073" i="5"/>
  <c r="I2072" i="5"/>
  <c r="H2072" i="5"/>
  <c r="G2072" i="5"/>
  <c r="F2072" i="5"/>
  <c r="E2072" i="5"/>
  <c r="I2071" i="5"/>
  <c r="H2071" i="5"/>
  <c r="G2071" i="5"/>
  <c r="F2071" i="5"/>
  <c r="E2071" i="5"/>
  <c r="I2070" i="5"/>
  <c r="H2070" i="5"/>
  <c r="G2070" i="5"/>
  <c r="F2070" i="5"/>
  <c r="E2070" i="5"/>
  <c r="I2069" i="5"/>
  <c r="H2069" i="5"/>
  <c r="G2069" i="5"/>
  <c r="F2069" i="5"/>
  <c r="E2069" i="5"/>
  <c r="I2068" i="5"/>
  <c r="H2068" i="5"/>
  <c r="G2068" i="5"/>
  <c r="F2068" i="5"/>
  <c r="E2068" i="5"/>
  <c r="I2067" i="5"/>
  <c r="H2067" i="5"/>
  <c r="G2067" i="5"/>
  <c r="F2067" i="5"/>
  <c r="E2067" i="5"/>
  <c r="I2066" i="5"/>
  <c r="H2066" i="5"/>
  <c r="G2066" i="5"/>
  <c r="F2066" i="5"/>
  <c r="E2066" i="5"/>
  <c r="I2065" i="5"/>
  <c r="H2065" i="5"/>
  <c r="G2065" i="5"/>
  <c r="F2065" i="5"/>
  <c r="E2065" i="5"/>
  <c r="I2064" i="5"/>
  <c r="H2064" i="5"/>
  <c r="G2064" i="5"/>
  <c r="F2064" i="5"/>
  <c r="E2064" i="5"/>
  <c r="I2063" i="5"/>
  <c r="H2063" i="5"/>
  <c r="G2063" i="5"/>
  <c r="F2063" i="5"/>
  <c r="E2063" i="5"/>
  <c r="I2062" i="5"/>
  <c r="H2062" i="5"/>
  <c r="G2062" i="5"/>
  <c r="F2062" i="5"/>
  <c r="E2062" i="5"/>
  <c r="I2061" i="5"/>
  <c r="H2061" i="5"/>
  <c r="G2061" i="5"/>
  <c r="F2061" i="5"/>
  <c r="E2061" i="5"/>
  <c r="I2060" i="5"/>
  <c r="H2060" i="5"/>
  <c r="G2060" i="5"/>
  <c r="F2060" i="5"/>
  <c r="E2060" i="5"/>
  <c r="I2059" i="5"/>
  <c r="H2059" i="5"/>
  <c r="G2059" i="5"/>
  <c r="F2059" i="5"/>
  <c r="E2059" i="5"/>
  <c r="I2058" i="5"/>
  <c r="H2058" i="5"/>
  <c r="G2058" i="5"/>
  <c r="F2058" i="5"/>
  <c r="E2058" i="5"/>
  <c r="I2057" i="5"/>
  <c r="H2057" i="5"/>
  <c r="G2057" i="5"/>
  <c r="F2057" i="5"/>
  <c r="E2057" i="5"/>
  <c r="I2056" i="5"/>
  <c r="H2056" i="5"/>
  <c r="G2056" i="5"/>
  <c r="F2056" i="5"/>
  <c r="E2056" i="5"/>
  <c r="I2055" i="5"/>
  <c r="H2055" i="5"/>
  <c r="G2055" i="5"/>
  <c r="F2055" i="5"/>
  <c r="E2055" i="5"/>
  <c r="I2054" i="5"/>
  <c r="H2054" i="5"/>
  <c r="G2054" i="5"/>
  <c r="F2054" i="5"/>
  <c r="E2054" i="5"/>
  <c r="I2053" i="5"/>
  <c r="H2053" i="5"/>
  <c r="G2053" i="5"/>
  <c r="F2053" i="5"/>
  <c r="E2053" i="5"/>
  <c r="I2052" i="5"/>
  <c r="H2052" i="5"/>
  <c r="G2052" i="5"/>
  <c r="F2052" i="5"/>
  <c r="E2052" i="5"/>
  <c r="I2051" i="5"/>
  <c r="H2051" i="5"/>
  <c r="G2051" i="5"/>
  <c r="F2051" i="5"/>
  <c r="E2051" i="5"/>
  <c r="I2050" i="5"/>
  <c r="H2050" i="5"/>
  <c r="G2050" i="5"/>
  <c r="F2050" i="5"/>
  <c r="E2050" i="5"/>
  <c r="I2049" i="5"/>
  <c r="H2049" i="5"/>
  <c r="G2049" i="5"/>
  <c r="F2049" i="5"/>
  <c r="E2049" i="5"/>
  <c r="I2048" i="5"/>
  <c r="H2048" i="5"/>
  <c r="G2048" i="5"/>
  <c r="F2048" i="5"/>
  <c r="E2048" i="5"/>
  <c r="I2047" i="5"/>
  <c r="H2047" i="5"/>
  <c r="G2047" i="5"/>
  <c r="F2047" i="5"/>
  <c r="E2047" i="5"/>
  <c r="I2046" i="5"/>
  <c r="H2046" i="5"/>
  <c r="G2046" i="5"/>
  <c r="F2046" i="5"/>
  <c r="E2046" i="5"/>
  <c r="I2045" i="5"/>
  <c r="H2045" i="5"/>
  <c r="G2045" i="5"/>
  <c r="F2045" i="5"/>
  <c r="E2045" i="5"/>
  <c r="I2044" i="5"/>
  <c r="H2044" i="5"/>
  <c r="G2044" i="5"/>
  <c r="F2044" i="5"/>
  <c r="E2044" i="5"/>
  <c r="I2043" i="5"/>
  <c r="H2043" i="5"/>
  <c r="G2043" i="5"/>
  <c r="F2043" i="5"/>
  <c r="E2043" i="5"/>
  <c r="I2042" i="5"/>
  <c r="H2042" i="5"/>
  <c r="G2042" i="5"/>
  <c r="F2042" i="5"/>
  <c r="E2042" i="5"/>
  <c r="I2041" i="5"/>
  <c r="H2041" i="5"/>
  <c r="G2041" i="5"/>
  <c r="F2041" i="5"/>
  <c r="E2041" i="5"/>
  <c r="I2040" i="5"/>
  <c r="H2040" i="5"/>
  <c r="G2040" i="5"/>
  <c r="F2040" i="5"/>
  <c r="E2040" i="5"/>
  <c r="I2039" i="5"/>
  <c r="H2039" i="5"/>
  <c r="G2039" i="5"/>
  <c r="F2039" i="5"/>
  <c r="E2039" i="5"/>
  <c r="I2038" i="5"/>
  <c r="H2038" i="5"/>
  <c r="G2038" i="5"/>
  <c r="F2038" i="5"/>
  <c r="E2038" i="5"/>
  <c r="I2037" i="5"/>
  <c r="H2037" i="5"/>
  <c r="G2037" i="5"/>
  <c r="F2037" i="5"/>
  <c r="E2037" i="5"/>
  <c r="I2036" i="5"/>
  <c r="H2036" i="5"/>
  <c r="G2036" i="5"/>
  <c r="F2036" i="5"/>
  <c r="E2036" i="5"/>
  <c r="I2035" i="5"/>
  <c r="H2035" i="5"/>
  <c r="G2035" i="5"/>
  <c r="F2035" i="5"/>
  <c r="E2035" i="5"/>
  <c r="I2034" i="5"/>
  <c r="H2034" i="5"/>
  <c r="G2034" i="5"/>
  <c r="F2034" i="5"/>
  <c r="E2034" i="5"/>
  <c r="I2033" i="5"/>
  <c r="H2033" i="5"/>
  <c r="G2033" i="5"/>
  <c r="F2033" i="5"/>
  <c r="E2033" i="5"/>
  <c r="I2032" i="5"/>
  <c r="H2032" i="5"/>
  <c r="G2032" i="5"/>
  <c r="F2032" i="5"/>
  <c r="E2032" i="5"/>
  <c r="I2031" i="5"/>
  <c r="H2031" i="5"/>
  <c r="G2031" i="5"/>
  <c r="F2031" i="5"/>
  <c r="E2031" i="5"/>
  <c r="I2030" i="5"/>
  <c r="H2030" i="5"/>
  <c r="G2030" i="5"/>
  <c r="F2030" i="5"/>
  <c r="E2030" i="5"/>
  <c r="I2029" i="5"/>
  <c r="H2029" i="5"/>
  <c r="G2029" i="5"/>
  <c r="F2029" i="5"/>
  <c r="E2029" i="5"/>
  <c r="I2028" i="5"/>
  <c r="H2028" i="5"/>
  <c r="G2028" i="5"/>
  <c r="F2028" i="5"/>
  <c r="E2028" i="5"/>
  <c r="I2027" i="5"/>
  <c r="H2027" i="5"/>
  <c r="G2027" i="5"/>
  <c r="F2027" i="5"/>
  <c r="E2027" i="5"/>
  <c r="I2026" i="5"/>
  <c r="H2026" i="5"/>
  <c r="G2026" i="5"/>
  <c r="F2026" i="5"/>
  <c r="E2026" i="5"/>
  <c r="I2025" i="5"/>
  <c r="H2025" i="5"/>
  <c r="G2025" i="5"/>
  <c r="F2025" i="5"/>
  <c r="E2025" i="5"/>
  <c r="I2024" i="5"/>
  <c r="H2024" i="5"/>
  <c r="G2024" i="5"/>
  <c r="F2024" i="5"/>
  <c r="E2024" i="5"/>
  <c r="I2023" i="5"/>
  <c r="H2023" i="5"/>
  <c r="G2023" i="5"/>
  <c r="F2023" i="5"/>
  <c r="E2023" i="5"/>
  <c r="I2022" i="5"/>
  <c r="H2022" i="5"/>
  <c r="G2022" i="5"/>
  <c r="F2022" i="5"/>
  <c r="E2022" i="5"/>
  <c r="I2021" i="5"/>
  <c r="H2021" i="5"/>
  <c r="G2021" i="5"/>
  <c r="F2021" i="5"/>
  <c r="E2021" i="5"/>
  <c r="I2020" i="5"/>
  <c r="H2020" i="5"/>
  <c r="G2020" i="5"/>
  <c r="F2020" i="5"/>
  <c r="E2020" i="5"/>
  <c r="I2019" i="5"/>
  <c r="H2019" i="5"/>
  <c r="G2019" i="5"/>
  <c r="F2019" i="5"/>
  <c r="E2019" i="5"/>
  <c r="I2018" i="5"/>
  <c r="H2018" i="5"/>
  <c r="G2018" i="5"/>
  <c r="F2018" i="5"/>
  <c r="E2018" i="5"/>
  <c r="I2017" i="5"/>
  <c r="H2017" i="5"/>
  <c r="G2017" i="5"/>
  <c r="F2017" i="5"/>
  <c r="E2017" i="5"/>
  <c r="I2016" i="5"/>
  <c r="H2016" i="5"/>
  <c r="G2016" i="5"/>
  <c r="F2016" i="5"/>
  <c r="E2016" i="5"/>
  <c r="I2015" i="5"/>
  <c r="H2015" i="5"/>
  <c r="G2015" i="5"/>
  <c r="F2015" i="5"/>
  <c r="E2015" i="5"/>
  <c r="I2014" i="5"/>
  <c r="H2014" i="5"/>
  <c r="G2014" i="5"/>
  <c r="F2014" i="5"/>
  <c r="E2014" i="5"/>
  <c r="I2013" i="5"/>
  <c r="H2013" i="5"/>
  <c r="G2013" i="5"/>
  <c r="F2013" i="5"/>
  <c r="E2013" i="5"/>
  <c r="I2012" i="5"/>
  <c r="H2012" i="5"/>
  <c r="G2012" i="5"/>
  <c r="F2012" i="5"/>
  <c r="E2012" i="5"/>
  <c r="I2011" i="5"/>
  <c r="H2011" i="5"/>
  <c r="G2011" i="5"/>
  <c r="F2011" i="5"/>
  <c r="E2011" i="5"/>
  <c r="I2010" i="5"/>
  <c r="H2010" i="5"/>
  <c r="G2010" i="5"/>
  <c r="F2010" i="5"/>
  <c r="E2010" i="5"/>
  <c r="I2009" i="5"/>
  <c r="H2009" i="5"/>
  <c r="G2009" i="5"/>
  <c r="F2009" i="5"/>
  <c r="E2009" i="5"/>
  <c r="I2008" i="5"/>
  <c r="H2008" i="5"/>
  <c r="G2008" i="5"/>
  <c r="F2008" i="5"/>
  <c r="E2008" i="5"/>
  <c r="I2007" i="5"/>
  <c r="H2007" i="5"/>
  <c r="G2007" i="5"/>
  <c r="F2007" i="5"/>
  <c r="E2007" i="5"/>
  <c r="I2006" i="5"/>
  <c r="H2006" i="5"/>
  <c r="G2006" i="5"/>
  <c r="F2006" i="5"/>
  <c r="E2006" i="5"/>
  <c r="I2005" i="5"/>
  <c r="H2005" i="5"/>
  <c r="G2005" i="5"/>
  <c r="F2005" i="5"/>
  <c r="E2005" i="5"/>
  <c r="I2004" i="5"/>
  <c r="H2004" i="5"/>
  <c r="G2004" i="5"/>
  <c r="F2004" i="5"/>
  <c r="E2004" i="5"/>
  <c r="I2003" i="5"/>
  <c r="H2003" i="5"/>
  <c r="G2003" i="5"/>
  <c r="F2003" i="5"/>
  <c r="E2003" i="5"/>
  <c r="I2002" i="5"/>
  <c r="H2002" i="5"/>
  <c r="G2002" i="5"/>
  <c r="F2002" i="5"/>
  <c r="E2002" i="5"/>
  <c r="I2001" i="5"/>
  <c r="H2001" i="5"/>
  <c r="G2001" i="5"/>
  <c r="F2001" i="5"/>
  <c r="E2001" i="5"/>
  <c r="I2000" i="5"/>
  <c r="H2000" i="5"/>
  <c r="G2000" i="5"/>
  <c r="F2000" i="5"/>
  <c r="E2000" i="5"/>
  <c r="I1999" i="5"/>
  <c r="H1999" i="5"/>
  <c r="G1999" i="5"/>
  <c r="F1999" i="5"/>
  <c r="E1999" i="5"/>
  <c r="I1998" i="5"/>
  <c r="H1998" i="5"/>
  <c r="G1998" i="5"/>
  <c r="F1998" i="5"/>
  <c r="E1998" i="5"/>
  <c r="I1997" i="5"/>
  <c r="H1997" i="5"/>
  <c r="G1997" i="5"/>
  <c r="F1997" i="5"/>
  <c r="E1997" i="5"/>
  <c r="I1996" i="5"/>
  <c r="H1996" i="5"/>
  <c r="G1996" i="5"/>
  <c r="F1996" i="5"/>
  <c r="E1996" i="5"/>
  <c r="I1995" i="5"/>
  <c r="H1995" i="5"/>
  <c r="G1995" i="5"/>
  <c r="F1995" i="5"/>
  <c r="E1995" i="5"/>
  <c r="I1994" i="5"/>
  <c r="H1994" i="5"/>
  <c r="G1994" i="5"/>
  <c r="F1994" i="5"/>
  <c r="E1994" i="5"/>
  <c r="I1993" i="5"/>
  <c r="H1993" i="5"/>
  <c r="G1993" i="5"/>
  <c r="F1993" i="5"/>
  <c r="E1993" i="5"/>
  <c r="I1992" i="5"/>
  <c r="H1992" i="5"/>
  <c r="G1992" i="5"/>
  <c r="F1992" i="5"/>
  <c r="E1992" i="5"/>
  <c r="I1991" i="5"/>
  <c r="H1991" i="5"/>
  <c r="G1991" i="5"/>
  <c r="F1991" i="5"/>
  <c r="E1991" i="5"/>
  <c r="I1990" i="5"/>
  <c r="H1990" i="5"/>
  <c r="G1990" i="5"/>
  <c r="F1990" i="5"/>
  <c r="E1990" i="5"/>
  <c r="I1989" i="5"/>
  <c r="H1989" i="5"/>
  <c r="G1989" i="5"/>
  <c r="F1989" i="5"/>
  <c r="E1989" i="5"/>
  <c r="I1988" i="5"/>
  <c r="H1988" i="5"/>
  <c r="G1988" i="5"/>
  <c r="F1988" i="5"/>
  <c r="E1988" i="5"/>
  <c r="I1987" i="5"/>
  <c r="H1987" i="5"/>
  <c r="G1987" i="5"/>
  <c r="F1987" i="5"/>
  <c r="E1987" i="5"/>
  <c r="I1986" i="5"/>
  <c r="H1986" i="5"/>
  <c r="G1986" i="5"/>
  <c r="F1986" i="5"/>
  <c r="E1986" i="5"/>
  <c r="I1985" i="5"/>
  <c r="H1985" i="5"/>
  <c r="G1985" i="5"/>
  <c r="F1985" i="5"/>
  <c r="E1985" i="5"/>
  <c r="I1984" i="5"/>
  <c r="H1984" i="5"/>
  <c r="G1984" i="5"/>
  <c r="F1984" i="5"/>
  <c r="E1984" i="5"/>
  <c r="I1983" i="5"/>
  <c r="H1983" i="5"/>
  <c r="G1983" i="5"/>
  <c r="F1983" i="5"/>
  <c r="E1983" i="5"/>
  <c r="I1982" i="5"/>
  <c r="H1982" i="5"/>
  <c r="G1982" i="5"/>
  <c r="F1982" i="5"/>
  <c r="E1982" i="5"/>
  <c r="I1981" i="5"/>
  <c r="H1981" i="5"/>
  <c r="G1981" i="5"/>
  <c r="F1981" i="5"/>
  <c r="E1981" i="5"/>
  <c r="I1980" i="5"/>
  <c r="H1980" i="5"/>
  <c r="G1980" i="5"/>
  <c r="F1980" i="5"/>
  <c r="E1980" i="5"/>
  <c r="I1979" i="5"/>
  <c r="H1979" i="5"/>
  <c r="G1979" i="5"/>
  <c r="F1979" i="5"/>
  <c r="E1979" i="5"/>
  <c r="I1978" i="5"/>
  <c r="H1978" i="5"/>
  <c r="G1978" i="5"/>
  <c r="F1978" i="5"/>
  <c r="E1978" i="5"/>
  <c r="I1977" i="5"/>
  <c r="H1977" i="5"/>
  <c r="G1977" i="5"/>
  <c r="F1977" i="5"/>
  <c r="E1977" i="5"/>
  <c r="I1976" i="5"/>
  <c r="H1976" i="5"/>
  <c r="G1976" i="5"/>
  <c r="F1976" i="5"/>
  <c r="E1976" i="5"/>
  <c r="I1975" i="5"/>
  <c r="H1975" i="5"/>
  <c r="G1975" i="5"/>
  <c r="F1975" i="5"/>
  <c r="E1975" i="5"/>
  <c r="I1974" i="5"/>
  <c r="H1974" i="5"/>
  <c r="G1974" i="5"/>
  <c r="F1974" i="5"/>
  <c r="E1974" i="5"/>
  <c r="I1973" i="5"/>
  <c r="H1973" i="5"/>
  <c r="G1973" i="5"/>
  <c r="F1973" i="5"/>
  <c r="E1973" i="5"/>
  <c r="I1972" i="5"/>
  <c r="H1972" i="5"/>
  <c r="G1972" i="5"/>
  <c r="F1972" i="5"/>
  <c r="E1972" i="5"/>
  <c r="I1971" i="5"/>
  <c r="H1971" i="5"/>
  <c r="G1971" i="5"/>
  <c r="F1971" i="5"/>
  <c r="E1971" i="5"/>
  <c r="I1970" i="5"/>
  <c r="H1970" i="5"/>
  <c r="G1970" i="5"/>
  <c r="F1970" i="5"/>
  <c r="E1970" i="5"/>
  <c r="I1969" i="5"/>
  <c r="H1969" i="5"/>
  <c r="G1969" i="5"/>
  <c r="F1969" i="5"/>
  <c r="E1969" i="5"/>
  <c r="I1968" i="5"/>
  <c r="H1968" i="5"/>
  <c r="G1968" i="5"/>
  <c r="F1968" i="5"/>
  <c r="E1968" i="5"/>
  <c r="I1967" i="5"/>
  <c r="H1967" i="5"/>
  <c r="G1967" i="5"/>
  <c r="F1967" i="5"/>
  <c r="E1967" i="5"/>
  <c r="I1966" i="5"/>
  <c r="H1966" i="5"/>
  <c r="G1966" i="5"/>
  <c r="F1966" i="5"/>
  <c r="E1966" i="5"/>
  <c r="I1965" i="5"/>
  <c r="H1965" i="5"/>
  <c r="G1965" i="5"/>
  <c r="F1965" i="5"/>
  <c r="E1965" i="5"/>
  <c r="I1964" i="5"/>
  <c r="H1964" i="5"/>
  <c r="G1964" i="5"/>
  <c r="F1964" i="5"/>
  <c r="E1964" i="5"/>
  <c r="I1963" i="5"/>
  <c r="H1963" i="5"/>
  <c r="G1963" i="5"/>
  <c r="F1963" i="5"/>
  <c r="E1963" i="5"/>
  <c r="I1962" i="5"/>
  <c r="H1962" i="5"/>
  <c r="G1962" i="5"/>
  <c r="F1962" i="5"/>
  <c r="E1962" i="5"/>
  <c r="I1961" i="5"/>
  <c r="H1961" i="5"/>
  <c r="G1961" i="5"/>
  <c r="F1961" i="5"/>
  <c r="E1961" i="5"/>
  <c r="I1960" i="5"/>
  <c r="H1960" i="5"/>
  <c r="G1960" i="5"/>
  <c r="F1960" i="5"/>
  <c r="E1960" i="5"/>
  <c r="I1959" i="5"/>
  <c r="H1959" i="5"/>
  <c r="G1959" i="5"/>
  <c r="F1959" i="5"/>
  <c r="E1959" i="5"/>
  <c r="I1958" i="5"/>
  <c r="H1958" i="5"/>
  <c r="G1958" i="5"/>
  <c r="F1958" i="5"/>
  <c r="E1958" i="5"/>
  <c r="I1957" i="5"/>
  <c r="H1957" i="5"/>
  <c r="G1957" i="5"/>
  <c r="F1957" i="5"/>
  <c r="E1957" i="5"/>
  <c r="I1956" i="5"/>
  <c r="H1956" i="5"/>
  <c r="G1956" i="5"/>
  <c r="F1956" i="5"/>
  <c r="E1956" i="5"/>
  <c r="I1955" i="5"/>
  <c r="H1955" i="5"/>
  <c r="G1955" i="5"/>
  <c r="F1955" i="5"/>
  <c r="E1955" i="5"/>
  <c r="I1954" i="5"/>
  <c r="H1954" i="5"/>
  <c r="G1954" i="5"/>
  <c r="F1954" i="5"/>
  <c r="E1954" i="5"/>
  <c r="I1953" i="5"/>
  <c r="H1953" i="5"/>
  <c r="G1953" i="5"/>
  <c r="F1953" i="5"/>
  <c r="E1953" i="5"/>
  <c r="I1952" i="5"/>
  <c r="H1952" i="5"/>
  <c r="G1952" i="5"/>
  <c r="F1952" i="5"/>
  <c r="E1952" i="5"/>
  <c r="I1951" i="5"/>
  <c r="H1951" i="5"/>
  <c r="G1951" i="5"/>
  <c r="F1951" i="5"/>
  <c r="E1951" i="5"/>
  <c r="I1950" i="5"/>
  <c r="H1950" i="5"/>
  <c r="G1950" i="5"/>
  <c r="F1950" i="5"/>
  <c r="E1950" i="5"/>
  <c r="I1949" i="5"/>
  <c r="H1949" i="5"/>
  <c r="G1949" i="5"/>
  <c r="F1949" i="5"/>
  <c r="E1949" i="5"/>
  <c r="I1948" i="5"/>
  <c r="H1948" i="5"/>
  <c r="G1948" i="5"/>
  <c r="F1948" i="5"/>
  <c r="E1948" i="5"/>
  <c r="I1947" i="5"/>
  <c r="H1947" i="5"/>
  <c r="G1947" i="5"/>
  <c r="F1947" i="5"/>
  <c r="E1947" i="5"/>
  <c r="I1946" i="5"/>
  <c r="H1946" i="5"/>
  <c r="G1946" i="5"/>
  <c r="F1946" i="5"/>
  <c r="E1946" i="5"/>
  <c r="I1945" i="5"/>
  <c r="H1945" i="5"/>
  <c r="G1945" i="5"/>
  <c r="F1945" i="5"/>
  <c r="E1945" i="5"/>
  <c r="I1944" i="5"/>
  <c r="H1944" i="5"/>
  <c r="G1944" i="5"/>
  <c r="F1944" i="5"/>
  <c r="E1944" i="5"/>
  <c r="I1943" i="5"/>
  <c r="H1943" i="5"/>
  <c r="G1943" i="5"/>
  <c r="F1943" i="5"/>
  <c r="E1943" i="5"/>
  <c r="I1942" i="5"/>
  <c r="H1942" i="5"/>
  <c r="G1942" i="5"/>
  <c r="F1942" i="5"/>
  <c r="E1942" i="5"/>
  <c r="I1941" i="5"/>
  <c r="H1941" i="5"/>
  <c r="G1941" i="5"/>
  <c r="F1941" i="5"/>
  <c r="E1941" i="5"/>
  <c r="I1940" i="5"/>
  <c r="H1940" i="5"/>
  <c r="G1940" i="5"/>
  <c r="F1940" i="5"/>
  <c r="E1940" i="5"/>
  <c r="I1939" i="5"/>
  <c r="H1939" i="5"/>
  <c r="G1939" i="5"/>
  <c r="F1939" i="5"/>
  <c r="E1939" i="5"/>
  <c r="I1938" i="5"/>
  <c r="H1938" i="5"/>
  <c r="G1938" i="5"/>
  <c r="F1938" i="5"/>
  <c r="E1938" i="5"/>
  <c r="I1937" i="5"/>
  <c r="H1937" i="5"/>
  <c r="G1937" i="5"/>
  <c r="F1937" i="5"/>
  <c r="E1937" i="5"/>
  <c r="I1936" i="5"/>
  <c r="H1936" i="5"/>
  <c r="G1936" i="5"/>
  <c r="F1936" i="5"/>
  <c r="E1936" i="5"/>
  <c r="I1935" i="5"/>
  <c r="H1935" i="5"/>
  <c r="G1935" i="5"/>
  <c r="F1935" i="5"/>
  <c r="E1935" i="5"/>
  <c r="I1934" i="5"/>
  <c r="H1934" i="5"/>
  <c r="G1934" i="5"/>
  <c r="F1934" i="5"/>
  <c r="E1934" i="5"/>
  <c r="I1933" i="5"/>
  <c r="H1933" i="5"/>
  <c r="G1933" i="5"/>
  <c r="F1933" i="5"/>
  <c r="E1933" i="5"/>
  <c r="I1932" i="5"/>
  <c r="H1932" i="5"/>
  <c r="G1932" i="5"/>
  <c r="F1932" i="5"/>
  <c r="E1932" i="5"/>
  <c r="I1931" i="5"/>
  <c r="H1931" i="5"/>
  <c r="G1931" i="5"/>
  <c r="F1931" i="5"/>
  <c r="E1931" i="5"/>
  <c r="I1930" i="5"/>
  <c r="H1930" i="5"/>
  <c r="G1930" i="5"/>
  <c r="F1930" i="5"/>
  <c r="E1930" i="5"/>
  <c r="I1929" i="5"/>
  <c r="H1929" i="5"/>
  <c r="G1929" i="5"/>
  <c r="F1929" i="5"/>
  <c r="E1929" i="5"/>
  <c r="I1928" i="5"/>
  <c r="H1928" i="5"/>
  <c r="G1928" i="5"/>
  <c r="F1928" i="5"/>
  <c r="E1928" i="5"/>
  <c r="I1927" i="5"/>
  <c r="H1927" i="5"/>
  <c r="G1927" i="5"/>
  <c r="F1927" i="5"/>
  <c r="E1927" i="5"/>
  <c r="I1926" i="5"/>
  <c r="H1926" i="5"/>
  <c r="G1926" i="5"/>
  <c r="F1926" i="5"/>
  <c r="E1926" i="5"/>
  <c r="I1925" i="5"/>
  <c r="H1925" i="5"/>
  <c r="G1925" i="5"/>
  <c r="F1925" i="5"/>
  <c r="E1925" i="5"/>
  <c r="I1924" i="5"/>
  <c r="H1924" i="5"/>
  <c r="G1924" i="5"/>
  <c r="F1924" i="5"/>
  <c r="E1924" i="5"/>
  <c r="I1923" i="5"/>
  <c r="H1923" i="5"/>
  <c r="G1923" i="5"/>
  <c r="F1923" i="5"/>
  <c r="E1923" i="5"/>
  <c r="I1922" i="5"/>
  <c r="H1922" i="5"/>
  <c r="G1922" i="5"/>
  <c r="F1922" i="5"/>
  <c r="E1922" i="5"/>
  <c r="I1921" i="5"/>
  <c r="H1921" i="5"/>
  <c r="G1921" i="5"/>
  <c r="F1921" i="5"/>
  <c r="E1921" i="5"/>
  <c r="I1920" i="5"/>
  <c r="H1920" i="5"/>
  <c r="G1920" i="5"/>
  <c r="F1920" i="5"/>
  <c r="E1920" i="5"/>
  <c r="I1919" i="5"/>
  <c r="H1919" i="5"/>
  <c r="G1919" i="5"/>
  <c r="F1919" i="5"/>
  <c r="E1919" i="5"/>
  <c r="I1918" i="5"/>
  <c r="H1918" i="5"/>
  <c r="G1918" i="5"/>
  <c r="F1918" i="5"/>
  <c r="E1918" i="5"/>
  <c r="I1917" i="5"/>
  <c r="H1917" i="5"/>
  <c r="G1917" i="5"/>
  <c r="F1917" i="5"/>
  <c r="E1917" i="5"/>
  <c r="I1916" i="5"/>
  <c r="H1916" i="5"/>
  <c r="G1916" i="5"/>
  <c r="F1916" i="5"/>
  <c r="E1916" i="5"/>
  <c r="I1915" i="5"/>
  <c r="H1915" i="5"/>
  <c r="G1915" i="5"/>
  <c r="F1915" i="5"/>
  <c r="E1915" i="5"/>
  <c r="I1914" i="5"/>
  <c r="H1914" i="5"/>
  <c r="G1914" i="5"/>
  <c r="F1914" i="5"/>
  <c r="E1914" i="5"/>
  <c r="I1913" i="5"/>
  <c r="H1913" i="5"/>
  <c r="G1913" i="5"/>
  <c r="F1913" i="5"/>
  <c r="E1913" i="5"/>
  <c r="I1912" i="5"/>
  <c r="H1912" i="5"/>
  <c r="G1912" i="5"/>
  <c r="F1912" i="5"/>
  <c r="E1912" i="5"/>
  <c r="I1911" i="5"/>
  <c r="H1911" i="5"/>
  <c r="G1911" i="5"/>
  <c r="F1911" i="5"/>
  <c r="E1911" i="5"/>
  <c r="I1910" i="5"/>
  <c r="H1910" i="5"/>
  <c r="G1910" i="5"/>
  <c r="F1910" i="5"/>
  <c r="E1910" i="5"/>
  <c r="I1909" i="5"/>
  <c r="H1909" i="5"/>
  <c r="G1909" i="5"/>
  <c r="F1909" i="5"/>
  <c r="E1909" i="5"/>
  <c r="I1908" i="5"/>
  <c r="H1908" i="5"/>
  <c r="G1908" i="5"/>
  <c r="F1908" i="5"/>
  <c r="E1908" i="5"/>
  <c r="I1907" i="5"/>
  <c r="H1907" i="5"/>
  <c r="G1907" i="5"/>
  <c r="F1907" i="5"/>
  <c r="E1907" i="5"/>
  <c r="I1906" i="5"/>
  <c r="H1906" i="5"/>
  <c r="G1906" i="5"/>
  <c r="F1906" i="5"/>
  <c r="E1906" i="5"/>
  <c r="I1905" i="5"/>
  <c r="H1905" i="5"/>
  <c r="G1905" i="5"/>
  <c r="F1905" i="5"/>
  <c r="E1905" i="5"/>
  <c r="I1904" i="5"/>
  <c r="H1904" i="5"/>
  <c r="G1904" i="5"/>
  <c r="F1904" i="5"/>
  <c r="E1904" i="5"/>
  <c r="I1903" i="5"/>
  <c r="H1903" i="5"/>
  <c r="G1903" i="5"/>
  <c r="F1903" i="5"/>
  <c r="E1903" i="5"/>
  <c r="I1902" i="5"/>
  <c r="H1902" i="5"/>
  <c r="G1902" i="5"/>
  <c r="F1902" i="5"/>
  <c r="E1902" i="5"/>
  <c r="I1901" i="5"/>
  <c r="H1901" i="5"/>
  <c r="G1901" i="5"/>
  <c r="F1901" i="5"/>
  <c r="E1901" i="5"/>
  <c r="I1900" i="5"/>
  <c r="H1900" i="5"/>
  <c r="G1900" i="5"/>
  <c r="F1900" i="5"/>
  <c r="E1900" i="5"/>
  <c r="I1899" i="5"/>
  <c r="H1899" i="5"/>
  <c r="G1899" i="5"/>
  <c r="F1899" i="5"/>
  <c r="E1899" i="5"/>
  <c r="I1898" i="5"/>
  <c r="H1898" i="5"/>
  <c r="G1898" i="5"/>
  <c r="F1898" i="5"/>
  <c r="E1898" i="5"/>
  <c r="I1897" i="5"/>
  <c r="H1897" i="5"/>
  <c r="G1897" i="5"/>
  <c r="F1897" i="5"/>
  <c r="E1897" i="5"/>
  <c r="I1896" i="5"/>
  <c r="H1896" i="5"/>
  <c r="G1896" i="5"/>
  <c r="F1896" i="5"/>
  <c r="E1896" i="5"/>
  <c r="I1895" i="5"/>
  <c r="H1895" i="5"/>
  <c r="G1895" i="5"/>
  <c r="F1895" i="5"/>
  <c r="E1895" i="5"/>
  <c r="I1894" i="5"/>
  <c r="H1894" i="5"/>
  <c r="G1894" i="5"/>
  <c r="F1894" i="5"/>
  <c r="E1894" i="5"/>
  <c r="I1893" i="5"/>
  <c r="H1893" i="5"/>
  <c r="G1893" i="5"/>
  <c r="F1893" i="5"/>
  <c r="E1893" i="5"/>
  <c r="I1892" i="5"/>
  <c r="H1892" i="5"/>
  <c r="G1892" i="5"/>
  <c r="F1892" i="5"/>
  <c r="E1892" i="5"/>
  <c r="I1891" i="5"/>
  <c r="H1891" i="5"/>
  <c r="G1891" i="5"/>
  <c r="F1891" i="5"/>
  <c r="E1891" i="5"/>
  <c r="I1890" i="5"/>
  <c r="H1890" i="5"/>
  <c r="G1890" i="5"/>
  <c r="F1890" i="5"/>
  <c r="E1890" i="5"/>
  <c r="I1889" i="5"/>
  <c r="H1889" i="5"/>
  <c r="G1889" i="5"/>
  <c r="F1889" i="5"/>
  <c r="E1889" i="5"/>
  <c r="I1888" i="5"/>
  <c r="H1888" i="5"/>
  <c r="G1888" i="5"/>
  <c r="F1888" i="5"/>
  <c r="E1888" i="5"/>
  <c r="I1887" i="5"/>
  <c r="H1887" i="5"/>
  <c r="G1887" i="5"/>
  <c r="F1887" i="5"/>
  <c r="E1887" i="5"/>
  <c r="I1886" i="5"/>
  <c r="H1886" i="5"/>
  <c r="G1886" i="5"/>
  <c r="F1886" i="5"/>
  <c r="E1886" i="5"/>
  <c r="I1885" i="5"/>
  <c r="H1885" i="5"/>
  <c r="G1885" i="5"/>
  <c r="F1885" i="5"/>
  <c r="E1885" i="5"/>
  <c r="I1884" i="5"/>
  <c r="H1884" i="5"/>
  <c r="G1884" i="5"/>
  <c r="F1884" i="5"/>
  <c r="E1884" i="5"/>
  <c r="I1883" i="5"/>
  <c r="H1883" i="5"/>
  <c r="G1883" i="5"/>
  <c r="F1883" i="5"/>
  <c r="E1883" i="5"/>
  <c r="I1882" i="5"/>
  <c r="H1882" i="5"/>
  <c r="G1882" i="5"/>
  <c r="F1882" i="5"/>
  <c r="E1882" i="5"/>
  <c r="I1881" i="5"/>
  <c r="H1881" i="5"/>
  <c r="G1881" i="5"/>
  <c r="F1881" i="5"/>
  <c r="E1881" i="5"/>
  <c r="I1880" i="5"/>
  <c r="H1880" i="5"/>
  <c r="G1880" i="5"/>
  <c r="F1880" i="5"/>
  <c r="E1880" i="5"/>
  <c r="I1879" i="5"/>
  <c r="H1879" i="5"/>
  <c r="G1879" i="5"/>
  <c r="F1879" i="5"/>
  <c r="E1879" i="5"/>
  <c r="I1878" i="5"/>
  <c r="H1878" i="5"/>
  <c r="G1878" i="5"/>
  <c r="F1878" i="5"/>
  <c r="E1878" i="5"/>
  <c r="I1877" i="5"/>
  <c r="H1877" i="5"/>
  <c r="G1877" i="5"/>
  <c r="F1877" i="5"/>
  <c r="E1877" i="5"/>
  <c r="I1876" i="5"/>
  <c r="H1876" i="5"/>
  <c r="G1876" i="5"/>
  <c r="F1876" i="5"/>
  <c r="E1876" i="5"/>
  <c r="I1875" i="5"/>
  <c r="H1875" i="5"/>
  <c r="G1875" i="5"/>
  <c r="F1875" i="5"/>
  <c r="E1875" i="5"/>
  <c r="I1874" i="5"/>
  <c r="H1874" i="5"/>
  <c r="G1874" i="5"/>
  <c r="F1874" i="5"/>
  <c r="E1874" i="5"/>
  <c r="I1873" i="5"/>
  <c r="H1873" i="5"/>
  <c r="G1873" i="5"/>
  <c r="F1873" i="5"/>
  <c r="E1873" i="5"/>
  <c r="I1872" i="5"/>
  <c r="H1872" i="5"/>
  <c r="G1872" i="5"/>
  <c r="F1872" i="5"/>
  <c r="E1872" i="5"/>
  <c r="I1871" i="5"/>
  <c r="H1871" i="5"/>
  <c r="G1871" i="5"/>
  <c r="F1871" i="5"/>
  <c r="E1871" i="5"/>
  <c r="I1870" i="5"/>
  <c r="H1870" i="5"/>
  <c r="G1870" i="5"/>
  <c r="F1870" i="5"/>
  <c r="E1870" i="5"/>
  <c r="I1869" i="5"/>
  <c r="H1869" i="5"/>
  <c r="G1869" i="5"/>
  <c r="F1869" i="5"/>
  <c r="E1869" i="5"/>
  <c r="I1868" i="5"/>
  <c r="H1868" i="5"/>
  <c r="G1868" i="5"/>
  <c r="F1868" i="5"/>
  <c r="E1868" i="5"/>
  <c r="I1867" i="5"/>
  <c r="H1867" i="5"/>
  <c r="G1867" i="5"/>
  <c r="F1867" i="5"/>
  <c r="E1867" i="5"/>
  <c r="I1866" i="5"/>
  <c r="H1866" i="5"/>
  <c r="G1866" i="5"/>
  <c r="F1866" i="5"/>
  <c r="E1866" i="5"/>
  <c r="I1865" i="5"/>
  <c r="H1865" i="5"/>
  <c r="G1865" i="5"/>
  <c r="F1865" i="5"/>
  <c r="E1865" i="5"/>
  <c r="I1864" i="5"/>
  <c r="H1864" i="5"/>
  <c r="G1864" i="5"/>
  <c r="F1864" i="5"/>
  <c r="E1864" i="5"/>
  <c r="I1863" i="5"/>
  <c r="H1863" i="5"/>
  <c r="G1863" i="5"/>
  <c r="F1863" i="5"/>
  <c r="E1863" i="5"/>
  <c r="I1862" i="5"/>
  <c r="H1862" i="5"/>
  <c r="G1862" i="5"/>
  <c r="F1862" i="5"/>
  <c r="E1862" i="5"/>
  <c r="I1861" i="5"/>
  <c r="H1861" i="5"/>
  <c r="G1861" i="5"/>
  <c r="F1861" i="5"/>
  <c r="E1861" i="5"/>
  <c r="I1860" i="5"/>
  <c r="H1860" i="5"/>
  <c r="G1860" i="5"/>
  <c r="F1860" i="5"/>
  <c r="E1860" i="5"/>
  <c r="I1859" i="5"/>
  <c r="H1859" i="5"/>
  <c r="G1859" i="5"/>
  <c r="F1859" i="5"/>
  <c r="E1859" i="5"/>
  <c r="I1858" i="5"/>
  <c r="H1858" i="5"/>
  <c r="G1858" i="5"/>
  <c r="F1858" i="5"/>
  <c r="E1858" i="5"/>
  <c r="I1857" i="5"/>
  <c r="H1857" i="5"/>
  <c r="G1857" i="5"/>
  <c r="F1857" i="5"/>
  <c r="E1857" i="5"/>
  <c r="I1856" i="5"/>
  <c r="H1856" i="5"/>
  <c r="G1856" i="5"/>
  <c r="F1856" i="5"/>
  <c r="E1856" i="5"/>
  <c r="I1855" i="5"/>
  <c r="H1855" i="5"/>
  <c r="G1855" i="5"/>
  <c r="F1855" i="5"/>
  <c r="E1855" i="5"/>
  <c r="I1854" i="5"/>
  <c r="H1854" i="5"/>
  <c r="G1854" i="5"/>
  <c r="F1854" i="5"/>
  <c r="E1854" i="5"/>
  <c r="I1853" i="5"/>
  <c r="H1853" i="5"/>
  <c r="G1853" i="5"/>
  <c r="F1853" i="5"/>
  <c r="E1853" i="5"/>
  <c r="I1852" i="5"/>
  <c r="H1852" i="5"/>
  <c r="G1852" i="5"/>
  <c r="F1852" i="5"/>
  <c r="E1852" i="5"/>
  <c r="I1851" i="5"/>
  <c r="H1851" i="5"/>
  <c r="G1851" i="5"/>
  <c r="F1851" i="5"/>
  <c r="E1851" i="5"/>
  <c r="I1850" i="5"/>
  <c r="H1850" i="5"/>
  <c r="G1850" i="5"/>
  <c r="F1850" i="5"/>
  <c r="E1850" i="5"/>
  <c r="I1849" i="5"/>
  <c r="H1849" i="5"/>
  <c r="G1849" i="5"/>
  <c r="F1849" i="5"/>
  <c r="E1849" i="5"/>
  <c r="I1848" i="5"/>
  <c r="H1848" i="5"/>
  <c r="G1848" i="5"/>
  <c r="F1848" i="5"/>
  <c r="E1848" i="5"/>
  <c r="I1847" i="5"/>
  <c r="H1847" i="5"/>
  <c r="G1847" i="5"/>
  <c r="F1847" i="5"/>
  <c r="E1847" i="5"/>
  <c r="I1846" i="5"/>
  <c r="H1846" i="5"/>
  <c r="G1846" i="5"/>
  <c r="F1846" i="5"/>
  <c r="E1846" i="5"/>
  <c r="I1845" i="5"/>
  <c r="H1845" i="5"/>
  <c r="G1845" i="5"/>
  <c r="F1845" i="5"/>
  <c r="E1845" i="5"/>
  <c r="I1844" i="5"/>
  <c r="H1844" i="5"/>
  <c r="G1844" i="5"/>
  <c r="F1844" i="5"/>
  <c r="E1844" i="5"/>
  <c r="I1843" i="5"/>
  <c r="H1843" i="5"/>
  <c r="G1843" i="5"/>
  <c r="F1843" i="5"/>
  <c r="E1843" i="5"/>
  <c r="I1842" i="5"/>
  <c r="H1842" i="5"/>
  <c r="G1842" i="5"/>
  <c r="F1842" i="5"/>
  <c r="E1842" i="5"/>
  <c r="I1841" i="5"/>
  <c r="H1841" i="5"/>
  <c r="G1841" i="5"/>
  <c r="F1841" i="5"/>
  <c r="E1841" i="5"/>
  <c r="I1840" i="5"/>
  <c r="H1840" i="5"/>
  <c r="G1840" i="5"/>
  <c r="F1840" i="5"/>
  <c r="E1840" i="5"/>
  <c r="I1839" i="5"/>
  <c r="H1839" i="5"/>
  <c r="G1839" i="5"/>
  <c r="F1839" i="5"/>
  <c r="E1839" i="5"/>
  <c r="I1838" i="5"/>
  <c r="H1838" i="5"/>
  <c r="G1838" i="5"/>
  <c r="F1838" i="5"/>
  <c r="E1838" i="5"/>
  <c r="I1837" i="5"/>
  <c r="H1837" i="5"/>
  <c r="G1837" i="5"/>
  <c r="F1837" i="5"/>
  <c r="E1837" i="5"/>
  <c r="I1836" i="5"/>
  <c r="H1836" i="5"/>
  <c r="G1836" i="5"/>
  <c r="F1836" i="5"/>
  <c r="E1836" i="5"/>
  <c r="I1835" i="5"/>
  <c r="H1835" i="5"/>
  <c r="G1835" i="5"/>
  <c r="F1835" i="5"/>
  <c r="E1835" i="5"/>
  <c r="I1834" i="5"/>
  <c r="H1834" i="5"/>
  <c r="G1834" i="5"/>
  <c r="F1834" i="5"/>
  <c r="E1834" i="5"/>
  <c r="I1833" i="5"/>
  <c r="H1833" i="5"/>
  <c r="G1833" i="5"/>
  <c r="F1833" i="5"/>
  <c r="E1833" i="5"/>
  <c r="I1832" i="5"/>
  <c r="H1832" i="5"/>
  <c r="G1832" i="5"/>
  <c r="F1832" i="5"/>
  <c r="E1832" i="5"/>
  <c r="I1831" i="5"/>
  <c r="H1831" i="5"/>
  <c r="G1831" i="5"/>
  <c r="F1831" i="5"/>
  <c r="E1831" i="5"/>
  <c r="I1830" i="5"/>
  <c r="H1830" i="5"/>
  <c r="G1830" i="5"/>
  <c r="F1830" i="5"/>
  <c r="E1830" i="5"/>
  <c r="I1829" i="5"/>
  <c r="H1829" i="5"/>
  <c r="G1829" i="5"/>
  <c r="F1829" i="5"/>
  <c r="E1829" i="5"/>
  <c r="I1828" i="5"/>
  <c r="H1828" i="5"/>
  <c r="G1828" i="5"/>
  <c r="F1828" i="5"/>
  <c r="E1828" i="5"/>
  <c r="I1827" i="5"/>
  <c r="H1827" i="5"/>
  <c r="G1827" i="5"/>
  <c r="F1827" i="5"/>
  <c r="E1827" i="5"/>
  <c r="I1826" i="5"/>
  <c r="H1826" i="5"/>
  <c r="G1826" i="5"/>
  <c r="F1826" i="5"/>
  <c r="E1826" i="5"/>
  <c r="I1825" i="5"/>
  <c r="H1825" i="5"/>
  <c r="G1825" i="5"/>
  <c r="F1825" i="5"/>
  <c r="E1825" i="5"/>
  <c r="I1824" i="5"/>
  <c r="H1824" i="5"/>
  <c r="G1824" i="5"/>
  <c r="F1824" i="5"/>
  <c r="E1824" i="5"/>
  <c r="I1823" i="5"/>
  <c r="H1823" i="5"/>
  <c r="G1823" i="5"/>
  <c r="F1823" i="5"/>
  <c r="E1823" i="5"/>
  <c r="I1822" i="5"/>
  <c r="H1822" i="5"/>
  <c r="G1822" i="5"/>
  <c r="F1822" i="5"/>
  <c r="E1822" i="5"/>
  <c r="I1821" i="5"/>
  <c r="H1821" i="5"/>
  <c r="G1821" i="5"/>
  <c r="F1821" i="5"/>
  <c r="E1821" i="5"/>
  <c r="I1820" i="5"/>
  <c r="H1820" i="5"/>
  <c r="G1820" i="5"/>
  <c r="F1820" i="5"/>
  <c r="E1820" i="5"/>
  <c r="I1819" i="5"/>
  <c r="H1819" i="5"/>
  <c r="G1819" i="5"/>
  <c r="F1819" i="5"/>
  <c r="E1819" i="5"/>
  <c r="I1818" i="5"/>
  <c r="H1818" i="5"/>
  <c r="G1818" i="5"/>
  <c r="F1818" i="5"/>
  <c r="E1818" i="5"/>
  <c r="I1817" i="5"/>
  <c r="H1817" i="5"/>
  <c r="G1817" i="5"/>
  <c r="F1817" i="5"/>
  <c r="E1817" i="5"/>
  <c r="I1816" i="5"/>
  <c r="H1816" i="5"/>
  <c r="G1816" i="5"/>
  <c r="F1816" i="5"/>
  <c r="E1816" i="5"/>
  <c r="I1815" i="5"/>
  <c r="H1815" i="5"/>
  <c r="G1815" i="5"/>
  <c r="F1815" i="5"/>
  <c r="E1815" i="5"/>
  <c r="I1814" i="5"/>
  <c r="H1814" i="5"/>
  <c r="G1814" i="5"/>
  <c r="F1814" i="5"/>
  <c r="E1814" i="5"/>
  <c r="I1813" i="5"/>
  <c r="H1813" i="5"/>
  <c r="G1813" i="5"/>
  <c r="F1813" i="5"/>
  <c r="E1813" i="5"/>
  <c r="I1812" i="5"/>
  <c r="H1812" i="5"/>
  <c r="G1812" i="5"/>
  <c r="F1812" i="5"/>
  <c r="E1812" i="5"/>
  <c r="I1811" i="5"/>
  <c r="H1811" i="5"/>
  <c r="G1811" i="5"/>
  <c r="F1811" i="5"/>
  <c r="E1811" i="5"/>
  <c r="I1810" i="5"/>
  <c r="H1810" i="5"/>
  <c r="G1810" i="5"/>
  <c r="F1810" i="5"/>
  <c r="E1810" i="5"/>
  <c r="I1809" i="5"/>
  <c r="H1809" i="5"/>
  <c r="G1809" i="5"/>
  <c r="F1809" i="5"/>
  <c r="E1809" i="5"/>
  <c r="I1808" i="5"/>
  <c r="H1808" i="5"/>
  <c r="G1808" i="5"/>
  <c r="F1808" i="5"/>
  <c r="E1808" i="5"/>
  <c r="I1807" i="5"/>
  <c r="H1807" i="5"/>
  <c r="G1807" i="5"/>
  <c r="F1807" i="5"/>
  <c r="E1807" i="5"/>
  <c r="I1806" i="5"/>
  <c r="H1806" i="5"/>
  <c r="G1806" i="5"/>
  <c r="F1806" i="5"/>
  <c r="E1806" i="5"/>
  <c r="I2297" i="3" l="1"/>
  <c r="H2297" i="3"/>
  <c r="G2297" i="3"/>
  <c r="F2297" i="3"/>
  <c r="E2297" i="3"/>
  <c r="I2296" i="3"/>
  <c r="H2296" i="3"/>
  <c r="G2296" i="3"/>
  <c r="F2296" i="3"/>
  <c r="E2296" i="3"/>
  <c r="I2295" i="3"/>
  <c r="H2295" i="3"/>
  <c r="G2295" i="3"/>
  <c r="F2295" i="3"/>
  <c r="E2295" i="3"/>
  <c r="I2294" i="3"/>
  <c r="H2294" i="3"/>
  <c r="G2294" i="3"/>
  <c r="F2294" i="3"/>
  <c r="E2294" i="3"/>
  <c r="I2293" i="3"/>
  <c r="H2293" i="3"/>
  <c r="G2293" i="3"/>
  <c r="F2293" i="3"/>
  <c r="E2293" i="3"/>
  <c r="I2292" i="3"/>
  <c r="H2292" i="3"/>
  <c r="G2292" i="3"/>
  <c r="F2292" i="3"/>
  <c r="E2292" i="3"/>
  <c r="I2291" i="3"/>
  <c r="H2291" i="3"/>
  <c r="G2291" i="3"/>
  <c r="F2291" i="3"/>
  <c r="E2291" i="3"/>
  <c r="I2290" i="3"/>
  <c r="H2290" i="3"/>
  <c r="G2290" i="3"/>
  <c r="F2290" i="3"/>
  <c r="E2290" i="3"/>
  <c r="I2289" i="3"/>
  <c r="H2289" i="3"/>
  <c r="G2289" i="3"/>
  <c r="F2289" i="3"/>
  <c r="E2289" i="3"/>
  <c r="I2288" i="3"/>
  <c r="H2288" i="3"/>
  <c r="G2288" i="3"/>
  <c r="F2288" i="3"/>
  <c r="E2288" i="3"/>
  <c r="I2287" i="3"/>
  <c r="H2287" i="3"/>
  <c r="G2287" i="3"/>
  <c r="F2287" i="3"/>
  <c r="E2287" i="3"/>
  <c r="I2286" i="3"/>
  <c r="H2286" i="3"/>
  <c r="G2286" i="3"/>
  <c r="F2286" i="3"/>
  <c r="E2286" i="3"/>
  <c r="I2285" i="3"/>
  <c r="H2285" i="3"/>
  <c r="G2285" i="3"/>
  <c r="F2285" i="3"/>
  <c r="E2285" i="3"/>
  <c r="I2284" i="3"/>
  <c r="H2284" i="3"/>
  <c r="G2284" i="3"/>
  <c r="F2284" i="3"/>
  <c r="E2284" i="3"/>
  <c r="I2283" i="3"/>
  <c r="H2283" i="3"/>
  <c r="G2283" i="3"/>
  <c r="F2283" i="3"/>
  <c r="E2283" i="3"/>
  <c r="I2282" i="3"/>
  <c r="H2282" i="3"/>
  <c r="G2282" i="3"/>
  <c r="F2282" i="3"/>
  <c r="E2282" i="3"/>
  <c r="I2281" i="3"/>
  <c r="H2281" i="3"/>
  <c r="G2281" i="3"/>
  <c r="F2281" i="3"/>
  <c r="E2281" i="3"/>
  <c r="I2280" i="3"/>
  <c r="H2280" i="3"/>
  <c r="G2280" i="3"/>
  <c r="F2280" i="3"/>
  <c r="E2280" i="3"/>
  <c r="I2279" i="3"/>
  <c r="H2279" i="3"/>
  <c r="G2279" i="3"/>
  <c r="F2279" i="3"/>
  <c r="E2279" i="3"/>
  <c r="I2278" i="3"/>
  <c r="H2278" i="3"/>
  <c r="G2278" i="3"/>
  <c r="F2278" i="3"/>
  <c r="E2278" i="3"/>
  <c r="I2277" i="3"/>
  <c r="H2277" i="3"/>
  <c r="G2277" i="3"/>
  <c r="F2277" i="3"/>
  <c r="E2277" i="3"/>
  <c r="I2276" i="3"/>
  <c r="H2276" i="3"/>
  <c r="G2276" i="3"/>
  <c r="F2276" i="3"/>
  <c r="E2276" i="3"/>
  <c r="I2275" i="3"/>
  <c r="H2275" i="3"/>
  <c r="G2275" i="3"/>
  <c r="F2275" i="3"/>
  <c r="E2275" i="3"/>
  <c r="I2274" i="3"/>
  <c r="H2274" i="3"/>
  <c r="G2274" i="3"/>
  <c r="F2274" i="3"/>
  <c r="E2274" i="3"/>
  <c r="I2273" i="3"/>
  <c r="H2273" i="3"/>
  <c r="G2273" i="3"/>
  <c r="F2273" i="3"/>
  <c r="E2273" i="3"/>
  <c r="I2272" i="3"/>
  <c r="H2272" i="3"/>
  <c r="G2272" i="3"/>
  <c r="F2272" i="3"/>
  <c r="E2272" i="3"/>
  <c r="I2271" i="3"/>
  <c r="H2271" i="3"/>
  <c r="G2271" i="3"/>
  <c r="F2271" i="3"/>
  <c r="E2271" i="3"/>
  <c r="I2270" i="3"/>
  <c r="H2270" i="3"/>
  <c r="G2270" i="3"/>
  <c r="F2270" i="3"/>
  <c r="E2270" i="3"/>
  <c r="I2269" i="3"/>
  <c r="H2269" i="3"/>
  <c r="G2269" i="3"/>
  <c r="F2269" i="3"/>
  <c r="E2269" i="3"/>
  <c r="I2268" i="3"/>
  <c r="H2268" i="3"/>
  <c r="G2268" i="3"/>
  <c r="F2268" i="3"/>
  <c r="E2268" i="3"/>
  <c r="I2267" i="3"/>
  <c r="H2267" i="3"/>
  <c r="G2267" i="3"/>
  <c r="F2267" i="3"/>
  <c r="E2267" i="3"/>
  <c r="I2266" i="3"/>
  <c r="H2266" i="3"/>
  <c r="G2266" i="3"/>
  <c r="F2266" i="3"/>
  <c r="E2266" i="3"/>
  <c r="I2265" i="3"/>
  <c r="H2265" i="3"/>
  <c r="G2265" i="3"/>
  <c r="F2265" i="3"/>
  <c r="E2265" i="3"/>
  <c r="I2264" i="3"/>
  <c r="H2264" i="3"/>
  <c r="G2264" i="3"/>
  <c r="F2264" i="3"/>
  <c r="E2264" i="3"/>
  <c r="I2263" i="3"/>
  <c r="H2263" i="3"/>
  <c r="G2263" i="3"/>
  <c r="F2263" i="3"/>
  <c r="E2263" i="3"/>
  <c r="I2262" i="3"/>
  <c r="H2262" i="3"/>
  <c r="G2262" i="3"/>
  <c r="F2262" i="3"/>
  <c r="E2262" i="3"/>
  <c r="I2261" i="3"/>
  <c r="H2261" i="3"/>
  <c r="G2261" i="3"/>
  <c r="F2261" i="3"/>
  <c r="E2261" i="3"/>
  <c r="I2260" i="3"/>
  <c r="H2260" i="3"/>
  <c r="G2260" i="3"/>
  <c r="F2260" i="3"/>
  <c r="E2260" i="3"/>
  <c r="I2259" i="3"/>
  <c r="H2259" i="3"/>
  <c r="G2259" i="3"/>
  <c r="F2259" i="3"/>
  <c r="E2259" i="3"/>
  <c r="I2258" i="3"/>
  <c r="H2258" i="3"/>
  <c r="G2258" i="3"/>
  <c r="F2258" i="3"/>
  <c r="E2258" i="3"/>
  <c r="I2257" i="3"/>
  <c r="H2257" i="3"/>
  <c r="G2257" i="3"/>
  <c r="F2257" i="3"/>
  <c r="E2257" i="3"/>
  <c r="I2256" i="3"/>
  <c r="H2256" i="3"/>
  <c r="G2256" i="3"/>
  <c r="F2256" i="3"/>
  <c r="E2256" i="3"/>
  <c r="I2255" i="3"/>
  <c r="H2255" i="3"/>
  <c r="G2255" i="3"/>
  <c r="F2255" i="3"/>
  <c r="E2255" i="3"/>
  <c r="I2254" i="3"/>
  <c r="H2254" i="3"/>
  <c r="G2254" i="3"/>
  <c r="F2254" i="3"/>
  <c r="E2254" i="3"/>
  <c r="I2253" i="3"/>
  <c r="H2253" i="3"/>
  <c r="G2253" i="3"/>
  <c r="F2253" i="3"/>
  <c r="E2253" i="3"/>
  <c r="I2252" i="3"/>
  <c r="H2252" i="3"/>
  <c r="G2252" i="3"/>
  <c r="F2252" i="3"/>
  <c r="E2252" i="3"/>
  <c r="I2251" i="3"/>
  <c r="H2251" i="3"/>
  <c r="G2251" i="3"/>
  <c r="F2251" i="3"/>
  <c r="E2251" i="3"/>
  <c r="I2250" i="3"/>
  <c r="H2250" i="3"/>
  <c r="G2250" i="3"/>
  <c r="F2250" i="3"/>
  <c r="E2250" i="3"/>
  <c r="I2249" i="3"/>
  <c r="H2249" i="3"/>
  <c r="G2249" i="3"/>
  <c r="F2249" i="3"/>
  <c r="E2249" i="3"/>
  <c r="I2248" i="3"/>
  <c r="H2248" i="3"/>
  <c r="G2248" i="3"/>
  <c r="F2248" i="3"/>
  <c r="E2248" i="3"/>
  <c r="I2247" i="3"/>
  <c r="H2247" i="3"/>
  <c r="G2247" i="3"/>
  <c r="F2247" i="3"/>
  <c r="E2247" i="3"/>
  <c r="I2246" i="3"/>
  <c r="H2246" i="3"/>
  <c r="G2246" i="3"/>
  <c r="F2246" i="3"/>
  <c r="E2246" i="3"/>
  <c r="I2245" i="3"/>
  <c r="H2245" i="3"/>
  <c r="G2245" i="3"/>
  <c r="F2245" i="3"/>
  <c r="E2245" i="3"/>
  <c r="I2244" i="3"/>
  <c r="H2244" i="3"/>
  <c r="G2244" i="3"/>
  <c r="F2244" i="3"/>
  <c r="E2244" i="3"/>
  <c r="I2243" i="3"/>
  <c r="H2243" i="3"/>
  <c r="G2243" i="3"/>
  <c r="F2243" i="3"/>
  <c r="E2243" i="3"/>
  <c r="I2242" i="3"/>
  <c r="H2242" i="3"/>
  <c r="G2242" i="3"/>
  <c r="F2242" i="3"/>
  <c r="E2242" i="3"/>
  <c r="I2241" i="3"/>
  <c r="H2241" i="3"/>
  <c r="G2241" i="3"/>
  <c r="F2241" i="3"/>
  <c r="E2241" i="3"/>
  <c r="I2240" i="3"/>
  <c r="H2240" i="3"/>
  <c r="G2240" i="3"/>
  <c r="F2240" i="3"/>
  <c r="E2240" i="3"/>
  <c r="I2239" i="3"/>
  <c r="H2239" i="3"/>
  <c r="G2239" i="3"/>
  <c r="F2239" i="3"/>
  <c r="E2239" i="3"/>
  <c r="I2238" i="3"/>
  <c r="H2238" i="3"/>
  <c r="G2238" i="3"/>
  <c r="F2238" i="3"/>
  <c r="E2238" i="3"/>
  <c r="I2237" i="3"/>
  <c r="H2237" i="3"/>
  <c r="G2237" i="3"/>
  <c r="F2237" i="3"/>
  <c r="E2237" i="3"/>
  <c r="I2236" i="3"/>
  <c r="H2236" i="3"/>
  <c r="G2236" i="3"/>
  <c r="F2236" i="3"/>
  <c r="E2236" i="3"/>
  <c r="I2235" i="3"/>
  <c r="H2235" i="3"/>
  <c r="G2235" i="3"/>
  <c r="F2235" i="3"/>
  <c r="E2235" i="3"/>
  <c r="I2234" i="3"/>
  <c r="H2234" i="3"/>
  <c r="G2234" i="3"/>
  <c r="F2234" i="3"/>
  <c r="E2234" i="3"/>
  <c r="I2233" i="3"/>
  <c r="H2233" i="3"/>
  <c r="G2233" i="3"/>
  <c r="F2233" i="3"/>
  <c r="E2233" i="3"/>
  <c r="I2232" i="3"/>
  <c r="H2232" i="3"/>
  <c r="G2232" i="3"/>
  <c r="F2232" i="3"/>
  <c r="E2232" i="3"/>
  <c r="I2231" i="3"/>
  <c r="H2231" i="3"/>
  <c r="G2231" i="3"/>
  <c r="F2231" i="3"/>
  <c r="E2231" i="3"/>
  <c r="I2230" i="3"/>
  <c r="H2230" i="3"/>
  <c r="G2230" i="3"/>
  <c r="F2230" i="3"/>
  <c r="E2230" i="3"/>
  <c r="I2229" i="3"/>
  <c r="H2229" i="3"/>
  <c r="G2229" i="3"/>
  <c r="F2229" i="3"/>
  <c r="E2229" i="3"/>
  <c r="I2228" i="3"/>
  <c r="H2228" i="3"/>
  <c r="G2228" i="3"/>
  <c r="F2228" i="3"/>
  <c r="E2228" i="3"/>
  <c r="I2227" i="3"/>
  <c r="H2227" i="3"/>
  <c r="G2227" i="3"/>
  <c r="F2227" i="3"/>
  <c r="E2227" i="3"/>
  <c r="I2226" i="3"/>
  <c r="H2226" i="3"/>
  <c r="G2226" i="3"/>
  <c r="F2226" i="3"/>
  <c r="E2226" i="3"/>
  <c r="I2225" i="3"/>
  <c r="H2225" i="3"/>
  <c r="G2225" i="3"/>
  <c r="F2225" i="3"/>
  <c r="E2225" i="3"/>
  <c r="I2224" i="3"/>
  <c r="H2224" i="3"/>
  <c r="G2224" i="3"/>
  <c r="F2224" i="3"/>
  <c r="E2224" i="3"/>
  <c r="I2223" i="3"/>
  <c r="H2223" i="3"/>
  <c r="G2223" i="3"/>
  <c r="F2223" i="3"/>
  <c r="E2223" i="3"/>
  <c r="I2222" i="3"/>
  <c r="H2222" i="3"/>
  <c r="G2222" i="3"/>
  <c r="F2222" i="3"/>
  <c r="E2222" i="3"/>
  <c r="I2221" i="3"/>
  <c r="H2221" i="3"/>
  <c r="G2221" i="3"/>
  <c r="F2221" i="3"/>
  <c r="E2221" i="3"/>
  <c r="I2220" i="3"/>
  <c r="H2220" i="3"/>
  <c r="G2220" i="3"/>
  <c r="F2220" i="3"/>
  <c r="E2220" i="3"/>
  <c r="I2219" i="3"/>
  <c r="H2219" i="3"/>
  <c r="G2219" i="3"/>
  <c r="F2219" i="3"/>
  <c r="E2219" i="3"/>
  <c r="I2218" i="3"/>
  <c r="H2218" i="3"/>
  <c r="G2218" i="3"/>
  <c r="F2218" i="3"/>
  <c r="E2218" i="3"/>
  <c r="I2217" i="3"/>
  <c r="H2217" i="3"/>
  <c r="G2217" i="3"/>
  <c r="F2217" i="3"/>
  <c r="E2217" i="3"/>
  <c r="I2216" i="3"/>
  <c r="H2216" i="3"/>
  <c r="G2216" i="3"/>
  <c r="F2216" i="3"/>
  <c r="E2216" i="3"/>
  <c r="I2215" i="3"/>
  <c r="H2215" i="3"/>
  <c r="G2215" i="3"/>
  <c r="F2215" i="3"/>
  <c r="E2215" i="3"/>
  <c r="I2214" i="3"/>
  <c r="H2214" i="3"/>
  <c r="G2214" i="3"/>
  <c r="F2214" i="3"/>
  <c r="E2214" i="3"/>
  <c r="I2213" i="3"/>
  <c r="H2213" i="3"/>
  <c r="G2213" i="3"/>
  <c r="F2213" i="3"/>
  <c r="E2213" i="3"/>
  <c r="I2212" i="3"/>
  <c r="H2212" i="3"/>
  <c r="G2212" i="3"/>
  <c r="F2212" i="3"/>
  <c r="E2212" i="3"/>
  <c r="I2211" i="3"/>
  <c r="H2211" i="3"/>
  <c r="G2211" i="3"/>
  <c r="F2211" i="3"/>
  <c r="E2211" i="3"/>
  <c r="I2210" i="3"/>
  <c r="H2210" i="3"/>
  <c r="G2210" i="3"/>
  <c r="F2210" i="3"/>
  <c r="E2210" i="3"/>
  <c r="I2209" i="3"/>
  <c r="H2209" i="3"/>
  <c r="G2209" i="3"/>
  <c r="F2209" i="3"/>
  <c r="E2209" i="3"/>
  <c r="I2208" i="3"/>
  <c r="H2208" i="3"/>
  <c r="G2208" i="3"/>
  <c r="F2208" i="3"/>
  <c r="E2208" i="3"/>
  <c r="I2207" i="3"/>
  <c r="H2207" i="3"/>
  <c r="G2207" i="3"/>
  <c r="F2207" i="3"/>
  <c r="E2207" i="3"/>
  <c r="I2206" i="3"/>
  <c r="H2206" i="3"/>
  <c r="G2206" i="3"/>
  <c r="F2206" i="3"/>
  <c r="E2206" i="3"/>
  <c r="I2205" i="3"/>
  <c r="H2205" i="3"/>
  <c r="G2205" i="3"/>
  <c r="F2205" i="3"/>
  <c r="E2205" i="3"/>
  <c r="I2204" i="3"/>
  <c r="H2204" i="3"/>
  <c r="G2204" i="3"/>
  <c r="F2204" i="3"/>
  <c r="E2204" i="3"/>
  <c r="I2203" i="3"/>
  <c r="H2203" i="3"/>
  <c r="G2203" i="3"/>
  <c r="F2203" i="3"/>
  <c r="E2203" i="3"/>
  <c r="I2202" i="3"/>
  <c r="H2202" i="3"/>
  <c r="G2202" i="3"/>
  <c r="F2202" i="3"/>
  <c r="E2202" i="3"/>
  <c r="I2201" i="3"/>
  <c r="H2201" i="3"/>
  <c r="G2201" i="3"/>
  <c r="F2201" i="3"/>
  <c r="E2201" i="3"/>
  <c r="I2200" i="3"/>
  <c r="H2200" i="3"/>
  <c r="G2200" i="3"/>
  <c r="F2200" i="3"/>
  <c r="E2200" i="3"/>
  <c r="I2199" i="3"/>
  <c r="H2199" i="3"/>
  <c r="G2199" i="3"/>
  <c r="F2199" i="3"/>
  <c r="E2199" i="3"/>
  <c r="I2198" i="3"/>
  <c r="H2198" i="3"/>
  <c r="G2198" i="3"/>
  <c r="F2198" i="3"/>
  <c r="E2198" i="3"/>
  <c r="I2197" i="3"/>
  <c r="H2197" i="3"/>
  <c r="G2197" i="3"/>
  <c r="F2197" i="3"/>
  <c r="E2197" i="3"/>
  <c r="I2196" i="3"/>
  <c r="H2196" i="3"/>
  <c r="G2196" i="3"/>
  <c r="F2196" i="3"/>
  <c r="E2196" i="3"/>
  <c r="I2195" i="3"/>
  <c r="H2195" i="3"/>
  <c r="G2195" i="3"/>
  <c r="F2195" i="3"/>
  <c r="E2195" i="3"/>
  <c r="I2194" i="3"/>
  <c r="H2194" i="3"/>
  <c r="G2194" i="3"/>
  <c r="F2194" i="3"/>
  <c r="E2194" i="3"/>
  <c r="I2193" i="3"/>
  <c r="H2193" i="3"/>
  <c r="G2193" i="3"/>
  <c r="F2193" i="3"/>
  <c r="E2193" i="3"/>
  <c r="I2192" i="3"/>
  <c r="H2192" i="3"/>
  <c r="G2192" i="3"/>
  <c r="F2192" i="3"/>
  <c r="E2192" i="3"/>
  <c r="I2191" i="3"/>
  <c r="H2191" i="3"/>
  <c r="G2191" i="3"/>
  <c r="F2191" i="3"/>
  <c r="E2191" i="3"/>
  <c r="I2190" i="3"/>
  <c r="H2190" i="3"/>
  <c r="G2190" i="3"/>
  <c r="F2190" i="3"/>
  <c r="E2190" i="3"/>
  <c r="I2189" i="3"/>
  <c r="H2189" i="3"/>
  <c r="G2189" i="3"/>
  <c r="F2189" i="3"/>
  <c r="E2189" i="3"/>
  <c r="I2188" i="3"/>
  <c r="H2188" i="3"/>
  <c r="G2188" i="3"/>
  <c r="F2188" i="3"/>
  <c r="E2188" i="3"/>
  <c r="I2187" i="3"/>
  <c r="H2187" i="3"/>
  <c r="G2187" i="3"/>
  <c r="F2187" i="3"/>
  <c r="E2187" i="3"/>
  <c r="I2186" i="3"/>
  <c r="H2186" i="3"/>
  <c r="G2186" i="3"/>
  <c r="F2186" i="3"/>
  <c r="E2186" i="3"/>
  <c r="I2185" i="3"/>
  <c r="H2185" i="3"/>
  <c r="G2185" i="3"/>
  <c r="F2185" i="3"/>
  <c r="E2185" i="3"/>
  <c r="I2184" i="3"/>
  <c r="H2184" i="3"/>
  <c r="G2184" i="3"/>
  <c r="F2184" i="3"/>
  <c r="E2184" i="3"/>
  <c r="I2183" i="3"/>
  <c r="H2183" i="3"/>
  <c r="G2183" i="3"/>
  <c r="F2183" i="3"/>
  <c r="E2183" i="3"/>
  <c r="I2182" i="3"/>
  <c r="H2182" i="3"/>
  <c r="G2182" i="3"/>
  <c r="F2182" i="3"/>
  <c r="E2182" i="3"/>
  <c r="I2181" i="3"/>
  <c r="H2181" i="3"/>
  <c r="G2181" i="3"/>
  <c r="F2181" i="3"/>
  <c r="E2181" i="3"/>
  <c r="I2180" i="3"/>
  <c r="H2180" i="3"/>
  <c r="G2180" i="3"/>
  <c r="F2180" i="3"/>
  <c r="E2180" i="3"/>
  <c r="I2179" i="3"/>
  <c r="H2179" i="3"/>
  <c r="G2179" i="3"/>
  <c r="F2179" i="3"/>
  <c r="E2179" i="3"/>
  <c r="I2178" i="3"/>
  <c r="H2178" i="3"/>
  <c r="G2178" i="3"/>
  <c r="F2178" i="3"/>
  <c r="E2178" i="3"/>
  <c r="I2177" i="3"/>
  <c r="H2177" i="3"/>
  <c r="G2177" i="3"/>
  <c r="F2177" i="3"/>
  <c r="E2177" i="3"/>
  <c r="I2176" i="3"/>
  <c r="H2176" i="3"/>
  <c r="G2176" i="3"/>
  <c r="F2176" i="3"/>
  <c r="E2176" i="3"/>
  <c r="I2175" i="3"/>
  <c r="H2175" i="3"/>
  <c r="G2175" i="3"/>
  <c r="F2175" i="3"/>
  <c r="E2175" i="3"/>
  <c r="I2174" i="3"/>
  <c r="H2174" i="3"/>
  <c r="G2174" i="3"/>
  <c r="F2174" i="3"/>
  <c r="E2174" i="3"/>
  <c r="I2173" i="3"/>
  <c r="H2173" i="3"/>
  <c r="G2173" i="3"/>
  <c r="F2173" i="3"/>
  <c r="E2173" i="3"/>
  <c r="I2172" i="3"/>
  <c r="H2172" i="3"/>
  <c r="G2172" i="3"/>
  <c r="F2172" i="3"/>
  <c r="E2172" i="3"/>
  <c r="I2171" i="3"/>
  <c r="H2171" i="3"/>
  <c r="G2171" i="3"/>
  <c r="F2171" i="3"/>
  <c r="E2171" i="3"/>
  <c r="I2170" i="3"/>
  <c r="H2170" i="3"/>
  <c r="G2170" i="3"/>
  <c r="F2170" i="3"/>
  <c r="E2170" i="3"/>
  <c r="I2169" i="3"/>
  <c r="H2169" i="3"/>
  <c r="G2169" i="3"/>
  <c r="F2169" i="3"/>
  <c r="E2169" i="3"/>
  <c r="I2168" i="3"/>
  <c r="H2168" i="3"/>
  <c r="G2168" i="3"/>
  <c r="F2168" i="3"/>
  <c r="E2168" i="3"/>
  <c r="I2167" i="3"/>
  <c r="H2167" i="3"/>
  <c r="G2167" i="3"/>
  <c r="F2167" i="3"/>
  <c r="E2167" i="3"/>
  <c r="I2166" i="3"/>
  <c r="H2166" i="3"/>
  <c r="G2166" i="3"/>
  <c r="F2166" i="3"/>
  <c r="E2166" i="3"/>
  <c r="I2165" i="3"/>
  <c r="H2165" i="3"/>
  <c r="G2165" i="3"/>
  <c r="F2165" i="3"/>
  <c r="E2165" i="3"/>
  <c r="I2164" i="3"/>
  <c r="H2164" i="3"/>
  <c r="G2164" i="3"/>
  <c r="F2164" i="3"/>
  <c r="E2164" i="3"/>
  <c r="I2163" i="3"/>
  <c r="H2163" i="3"/>
  <c r="G2163" i="3"/>
  <c r="F2163" i="3"/>
  <c r="E2163" i="3"/>
  <c r="I2162" i="3"/>
  <c r="H2162" i="3"/>
  <c r="G2162" i="3"/>
  <c r="F2162" i="3"/>
  <c r="E2162" i="3"/>
  <c r="I2161" i="3"/>
  <c r="H2161" i="3"/>
  <c r="G2161" i="3"/>
  <c r="F2161" i="3"/>
  <c r="E2161" i="3"/>
  <c r="I2160" i="3"/>
  <c r="H2160" i="3"/>
  <c r="G2160" i="3"/>
  <c r="F2160" i="3"/>
  <c r="E2160" i="3"/>
  <c r="I2159" i="3"/>
  <c r="H2159" i="3"/>
  <c r="G2159" i="3"/>
  <c r="F2159" i="3"/>
  <c r="E2159" i="3"/>
  <c r="I2158" i="3"/>
  <c r="H2158" i="3"/>
  <c r="G2158" i="3"/>
  <c r="F2158" i="3"/>
  <c r="E2158" i="3"/>
  <c r="I2157" i="3"/>
  <c r="H2157" i="3"/>
  <c r="G2157" i="3"/>
  <c r="F2157" i="3"/>
  <c r="E2157" i="3"/>
  <c r="I2156" i="3"/>
  <c r="H2156" i="3"/>
  <c r="G2156" i="3"/>
  <c r="F2156" i="3"/>
  <c r="E2156" i="3"/>
  <c r="I2155" i="3"/>
  <c r="H2155" i="3"/>
  <c r="G2155" i="3"/>
  <c r="F2155" i="3"/>
  <c r="E2155" i="3"/>
  <c r="I2154" i="3"/>
  <c r="H2154" i="3"/>
  <c r="G2154" i="3"/>
  <c r="F2154" i="3"/>
  <c r="E2154" i="3"/>
  <c r="I2153" i="3"/>
  <c r="H2153" i="3"/>
  <c r="G2153" i="3"/>
  <c r="F2153" i="3"/>
  <c r="E2153" i="3"/>
  <c r="I2152" i="3"/>
  <c r="H2152" i="3"/>
  <c r="G2152" i="3"/>
  <c r="F2152" i="3"/>
  <c r="E2152" i="3"/>
  <c r="I2151" i="3"/>
  <c r="H2151" i="3"/>
  <c r="G2151" i="3"/>
  <c r="F2151" i="3"/>
  <c r="E2151" i="3"/>
  <c r="I2150" i="3"/>
  <c r="H2150" i="3"/>
  <c r="G2150" i="3"/>
  <c r="F2150" i="3"/>
  <c r="E2150" i="3"/>
  <c r="I2149" i="3"/>
  <c r="H2149" i="3"/>
  <c r="G2149" i="3"/>
  <c r="F2149" i="3"/>
  <c r="E2149" i="3"/>
  <c r="I2148" i="3"/>
  <c r="H2148" i="3"/>
  <c r="G2148" i="3"/>
  <c r="F2148" i="3"/>
  <c r="E2148" i="3"/>
  <c r="I2147" i="3"/>
  <c r="H2147" i="3"/>
  <c r="G2147" i="3"/>
  <c r="F2147" i="3"/>
  <c r="E2147" i="3"/>
  <c r="I2146" i="3"/>
  <c r="H2146" i="3"/>
  <c r="G2146" i="3"/>
  <c r="F2146" i="3"/>
  <c r="E2146" i="3"/>
  <c r="I2145" i="3"/>
  <c r="H2145" i="3"/>
  <c r="G2145" i="3"/>
  <c r="F2145" i="3"/>
  <c r="E2145" i="3"/>
  <c r="I2144" i="3"/>
  <c r="H2144" i="3"/>
  <c r="G2144" i="3"/>
  <c r="F2144" i="3"/>
  <c r="E2144" i="3"/>
  <c r="I2143" i="3"/>
  <c r="H2143" i="3"/>
  <c r="G2143" i="3"/>
  <c r="F2143" i="3"/>
  <c r="E2143" i="3"/>
  <c r="I2142" i="3"/>
  <c r="H2142" i="3"/>
  <c r="G2142" i="3"/>
  <c r="F2142" i="3"/>
  <c r="E2142" i="3"/>
  <c r="I2141" i="3"/>
  <c r="H2141" i="3"/>
  <c r="G2141" i="3"/>
  <c r="F2141" i="3"/>
  <c r="E2141" i="3"/>
  <c r="I2140" i="3"/>
  <c r="H2140" i="3"/>
  <c r="G2140" i="3"/>
  <c r="F2140" i="3"/>
  <c r="E2140" i="3"/>
  <c r="I2139" i="3"/>
  <c r="H2139" i="3"/>
  <c r="G2139" i="3"/>
  <c r="F2139" i="3"/>
  <c r="E2139" i="3"/>
  <c r="I2138" i="3"/>
  <c r="H2138" i="3"/>
  <c r="G2138" i="3"/>
  <c r="F2138" i="3"/>
  <c r="E2138" i="3"/>
  <c r="I2137" i="3"/>
  <c r="H2137" i="3"/>
  <c r="G2137" i="3"/>
  <c r="F2137" i="3"/>
  <c r="E2137" i="3"/>
  <c r="I2136" i="3"/>
  <c r="H2136" i="3"/>
  <c r="G2136" i="3"/>
  <c r="F2136" i="3"/>
  <c r="E2136" i="3"/>
  <c r="I2135" i="3"/>
  <c r="H2135" i="3"/>
  <c r="G2135" i="3"/>
  <c r="F2135" i="3"/>
  <c r="E2135" i="3"/>
  <c r="I2134" i="3"/>
  <c r="H2134" i="3"/>
  <c r="G2134" i="3"/>
  <c r="F2134" i="3"/>
  <c r="E2134" i="3"/>
  <c r="I2133" i="3"/>
  <c r="H2133" i="3"/>
  <c r="G2133" i="3"/>
  <c r="F2133" i="3"/>
  <c r="E2133" i="3"/>
  <c r="I2132" i="3"/>
  <c r="H2132" i="3"/>
  <c r="G2132" i="3"/>
  <c r="F2132" i="3"/>
  <c r="E2132" i="3"/>
  <c r="I2131" i="3"/>
  <c r="H2131" i="3"/>
  <c r="G2131" i="3"/>
  <c r="F2131" i="3"/>
  <c r="E2131" i="3"/>
  <c r="I2130" i="3"/>
  <c r="H2130" i="3"/>
  <c r="G2130" i="3"/>
  <c r="F2130" i="3"/>
  <c r="E2130" i="3"/>
  <c r="I2129" i="3"/>
  <c r="H2129" i="3"/>
  <c r="G2129" i="3"/>
  <c r="F2129" i="3"/>
  <c r="E2129" i="3"/>
  <c r="I2128" i="3"/>
  <c r="H2128" i="3"/>
  <c r="G2128" i="3"/>
  <c r="F2128" i="3"/>
  <c r="E2128" i="3"/>
  <c r="I2127" i="3"/>
  <c r="H2127" i="3"/>
  <c r="G2127" i="3"/>
  <c r="F2127" i="3"/>
  <c r="E2127" i="3"/>
  <c r="I2126" i="3"/>
  <c r="H2126" i="3"/>
  <c r="G2126" i="3"/>
  <c r="F2126" i="3"/>
  <c r="E2126" i="3"/>
  <c r="I2125" i="3"/>
  <c r="H2125" i="3"/>
  <c r="G2125" i="3"/>
  <c r="F2125" i="3"/>
  <c r="E2125" i="3"/>
  <c r="I2124" i="3"/>
  <c r="H2124" i="3"/>
  <c r="G2124" i="3"/>
  <c r="F2124" i="3"/>
  <c r="E2124" i="3"/>
  <c r="I2123" i="3"/>
  <c r="H2123" i="3"/>
  <c r="G2123" i="3"/>
  <c r="F2123" i="3"/>
  <c r="E2123" i="3"/>
  <c r="I2122" i="3"/>
  <c r="H2122" i="3"/>
  <c r="G2122" i="3"/>
  <c r="F2122" i="3"/>
  <c r="E2122" i="3"/>
  <c r="I2121" i="3"/>
  <c r="H2121" i="3"/>
  <c r="G2121" i="3"/>
  <c r="F2121" i="3"/>
  <c r="E2121" i="3"/>
  <c r="I2120" i="3"/>
  <c r="H2120" i="3"/>
  <c r="G2120" i="3"/>
  <c r="F2120" i="3"/>
  <c r="E2120" i="3"/>
  <c r="I2119" i="3"/>
  <c r="H2119" i="3"/>
  <c r="G2119" i="3"/>
  <c r="F2119" i="3"/>
  <c r="E2119" i="3"/>
  <c r="I2118" i="3"/>
  <c r="H2118" i="3"/>
  <c r="G2118" i="3"/>
  <c r="F2118" i="3"/>
  <c r="E2118" i="3"/>
  <c r="I2117" i="3"/>
  <c r="H2117" i="3"/>
  <c r="G2117" i="3"/>
  <c r="F2117" i="3"/>
  <c r="E2117" i="3"/>
  <c r="I2116" i="3"/>
  <c r="H2116" i="3"/>
  <c r="G2116" i="3"/>
  <c r="F2116" i="3"/>
  <c r="E2116" i="3"/>
  <c r="I2115" i="3"/>
  <c r="H2115" i="3"/>
  <c r="G2115" i="3"/>
  <c r="F2115" i="3"/>
  <c r="E2115" i="3"/>
  <c r="I2114" i="3"/>
  <c r="H2114" i="3"/>
  <c r="G2114" i="3"/>
  <c r="F2114" i="3"/>
  <c r="E2114" i="3"/>
  <c r="I2113" i="3"/>
  <c r="H2113" i="3"/>
  <c r="G2113" i="3"/>
  <c r="F2113" i="3"/>
  <c r="E2113" i="3"/>
  <c r="I2112" i="3"/>
  <c r="H2112" i="3"/>
  <c r="G2112" i="3"/>
  <c r="F2112" i="3"/>
  <c r="E2112" i="3"/>
  <c r="I2111" i="3"/>
  <c r="H2111" i="3"/>
  <c r="G2111" i="3"/>
  <c r="F2111" i="3"/>
  <c r="E2111" i="3"/>
  <c r="I2110" i="3"/>
  <c r="H2110" i="3"/>
  <c r="G2110" i="3"/>
  <c r="F2110" i="3"/>
  <c r="E2110" i="3"/>
  <c r="I2109" i="3"/>
  <c r="H2109" i="3"/>
  <c r="G2109" i="3"/>
  <c r="F2109" i="3"/>
  <c r="E2109" i="3"/>
  <c r="I2108" i="3"/>
  <c r="H2108" i="3"/>
  <c r="G2108" i="3"/>
  <c r="F2108" i="3"/>
  <c r="E2108" i="3"/>
  <c r="I2107" i="3"/>
  <c r="H2107" i="3"/>
  <c r="G2107" i="3"/>
  <c r="F2107" i="3"/>
  <c r="E2107" i="3"/>
  <c r="I2106" i="3"/>
  <c r="H2106" i="3"/>
  <c r="G2106" i="3"/>
  <c r="F2106" i="3"/>
  <c r="E2106" i="3"/>
  <c r="I2105" i="3"/>
  <c r="H2105" i="3"/>
  <c r="G2105" i="3"/>
  <c r="F2105" i="3"/>
  <c r="E2105" i="3"/>
  <c r="I2104" i="3"/>
  <c r="H2104" i="3"/>
  <c r="G2104" i="3"/>
  <c r="F2104" i="3"/>
  <c r="E2104" i="3"/>
  <c r="I2103" i="3"/>
  <c r="H2103" i="3"/>
  <c r="G2103" i="3"/>
  <c r="F2103" i="3"/>
  <c r="E2103" i="3"/>
  <c r="I2102" i="3"/>
  <c r="H2102" i="3"/>
  <c r="G2102" i="3"/>
  <c r="F2102" i="3"/>
  <c r="E2102" i="3"/>
  <c r="I2101" i="3"/>
  <c r="H2101" i="3"/>
  <c r="G2101" i="3"/>
  <c r="F2101" i="3"/>
  <c r="E2101" i="3"/>
  <c r="I2100" i="3"/>
  <c r="H2100" i="3"/>
  <c r="G2100" i="3"/>
  <c r="F2100" i="3"/>
  <c r="E2100" i="3"/>
  <c r="I2099" i="3"/>
  <c r="H2099" i="3"/>
  <c r="G2099" i="3"/>
  <c r="F2099" i="3"/>
  <c r="E2099" i="3"/>
  <c r="I2098" i="3"/>
  <c r="H2098" i="3"/>
  <c r="G2098" i="3"/>
  <c r="F2098" i="3"/>
  <c r="E2098" i="3"/>
  <c r="I2097" i="3"/>
  <c r="H2097" i="3"/>
  <c r="G2097" i="3"/>
  <c r="F2097" i="3"/>
  <c r="E2097" i="3"/>
  <c r="I2096" i="3"/>
  <c r="H2096" i="3"/>
  <c r="G2096" i="3"/>
  <c r="F2096" i="3"/>
  <c r="E2096" i="3"/>
  <c r="I2095" i="3"/>
  <c r="H2095" i="3"/>
  <c r="G2095" i="3"/>
  <c r="F2095" i="3"/>
  <c r="E2095" i="3"/>
  <c r="I2094" i="3"/>
  <c r="H2094" i="3"/>
  <c r="G2094" i="3"/>
  <c r="F2094" i="3"/>
  <c r="E2094" i="3"/>
  <c r="I2093" i="3"/>
  <c r="H2093" i="3"/>
  <c r="G2093" i="3"/>
  <c r="F2093" i="3"/>
  <c r="E2093" i="3"/>
  <c r="I2092" i="3"/>
  <c r="H2092" i="3"/>
  <c r="G2092" i="3"/>
  <c r="F2092" i="3"/>
  <c r="E2092" i="3"/>
  <c r="I2091" i="3"/>
  <c r="H2091" i="3"/>
  <c r="G2091" i="3"/>
  <c r="F2091" i="3"/>
  <c r="E2091" i="3"/>
  <c r="I2090" i="3"/>
  <c r="H2090" i="3"/>
  <c r="G2090" i="3"/>
  <c r="F2090" i="3"/>
  <c r="E2090" i="3"/>
  <c r="I2089" i="3"/>
  <c r="H2089" i="3"/>
  <c r="G2089" i="3"/>
  <c r="F2089" i="3"/>
  <c r="E2089" i="3"/>
  <c r="I2088" i="3"/>
  <c r="H2088" i="3"/>
  <c r="G2088" i="3"/>
  <c r="F2088" i="3"/>
  <c r="E2088" i="3"/>
  <c r="I2087" i="3"/>
  <c r="H2087" i="3"/>
  <c r="G2087" i="3"/>
  <c r="F2087" i="3"/>
  <c r="E2087" i="3"/>
  <c r="I2086" i="3"/>
  <c r="H2086" i="3"/>
  <c r="G2086" i="3"/>
  <c r="F2086" i="3"/>
  <c r="E2086" i="3"/>
  <c r="I2085" i="3"/>
  <c r="H2085" i="3"/>
  <c r="G2085" i="3"/>
  <c r="F2085" i="3"/>
  <c r="E2085" i="3"/>
  <c r="I2084" i="3"/>
  <c r="H2084" i="3"/>
  <c r="G2084" i="3"/>
  <c r="F2084" i="3"/>
  <c r="E2084" i="3"/>
  <c r="I2083" i="3"/>
  <c r="H2083" i="3"/>
  <c r="G2083" i="3"/>
  <c r="F2083" i="3"/>
  <c r="E2083" i="3"/>
  <c r="I2082" i="3"/>
  <c r="H2082" i="3"/>
  <c r="G2082" i="3"/>
  <c r="F2082" i="3"/>
  <c r="E2082" i="3"/>
  <c r="I2081" i="3"/>
  <c r="H2081" i="3"/>
  <c r="G2081" i="3"/>
  <c r="F2081" i="3"/>
  <c r="E2081" i="3"/>
  <c r="I2080" i="3"/>
  <c r="H2080" i="3"/>
  <c r="G2080" i="3"/>
  <c r="F2080" i="3"/>
  <c r="E2080" i="3"/>
  <c r="I2079" i="3"/>
  <c r="H2079" i="3"/>
  <c r="G2079" i="3"/>
  <c r="F2079" i="3"/>
  <c r="E2079" i="3"/>
  <c r="I2078" i="3"/>
  <c r="H2078" i="3"/>
  <c r="G2078" i="3"/>
  <c r="F2078" i="3"/>
  <c r="E2078" i="3"/>
  <c r="I2077" i="3"/>
  <c r="H2077" i="3"/>
  <c r="G2077" i="3"/>
  <c r="F2077" i="3"/>
  <c r="E2077" i="3"/>
  <c r="I2076" i="3"/>
  <c r="H2076" i="3"/>
  <c r="G2076" i="3"/>
  <c r="F2076" i="3"/>
  <c r="E2076" i="3"/>
  <c r="I2075" i="3"/>
  <c r="H2075" i="3"/>
  <c r="G2075" i="3"/>
  <c r="F2075" i="3"/>
  <c r="E2075" i="3"/>
  <c r="I2074" i="3"/>
  <c r="H2074" i="3"/>
  <c r="G2074" i="3"/>
  <c r="F2074" i="3"/>
  <c r="E2074" i="3"/>
  <c r="I2073" i="3"/>
  <c r="H2073" i="3"/>
  <c r="G2073" i="3"/>
  <c r="F2073" i="3"/>
  <c r="E2073" i="3"/>
  <c r="I2072" i="3"/>
  <c r="H2072" i="3"/>
  <c r="G2072" i="3"/>
  <c r="F2072" i="3"/>
  <c r="E2072" i="3"/>
  <c r="I2071" i="3"/>
  <c r="H2071" i="3"/>
  <c r="G2071" i="3"/>
  <c r="F2071" i="3"/>
  <c r="E2071" i="3"/>
  <c r="I2070" i="3"/>
  <c r="H2070" i="3"/>
  <c r="G2070" i="3"/>
  <c r="F2070" i="3"/>
  <c r="E2070" i="3"/>
  <c r="I2069" i="3"/>
  <c r="H2069" i="3"/>
  <c r="G2069" i="3"/>
  <c r="F2069" i="3"/>
  <c r="E2069" i="3"/>
  <c r="I2068" i="3"/>
  <c r="H2068" i="3"/>
  <c r="G2068" i="3"/>
  <c r="F2068" i="3"/>
  <c r="E2068" i="3"/>
  <c r="I2067" i="3"/>
  <c r="H2067" i="3"/>
  <c r="G2067" i="3"/>
  <c r="F2067" i="3"/>
  <c r="E2067" i="3"/>
  <c r="I2066" i="3"/>
  <c r="H2066" i="3"/>
  <c r="G2066" i="3"/>
  <c r="F2066" i="3"/>
  <c r="E2066" i="3"/>
  <c r="I2065" i="3"/>
  <c r="H2065" i="3"/>
  <c r="G2065" i="3"/>
  <c r="F2065" i="3"/>
  <c r="E2065" i="3"/>
  <c r="I2064" i="3"/>
  <c r="H2064" i="3"/>
  <c r="G2064" i="3"/>
  <c r="F2064" i="3"/>
  <c r="E2064" i="3"/>
  <c r="I2063" i="3"/>
  <c r="H2063" i="3"/>
  <c r="G2063" i="3"/>
  <c r="F2063" i="3"/>
  <c r="E2063" i="3"/>
  <c r="I2062" i="3"/>
  <c r="H2062" i="3"/>
  <c r="G2062" i="3"/>
  <c r="F2062" i="3"/>
  <c r="E2062" i="3"/>
  <c r="I2061" i="3"/>
  <c r="H2061" i="3"/>
  <c r="G2061" i="3"/>
  <c r="F2061" i="3"/>
  <c r="E2061" i="3"/>
  <c r="I2060" i="3"/>
  <c r="H2060" i="3"/>
  <c r="G2060" i="3"/>
  <c r="F2060" i="3"/>
  <c r="E2060" i="3"/>
  <c r="I2059" i="3"/>
  <c r="H2059" i="3"/>
  <c r="G2059" i="3"/>
  <c r="F2059" i="3"/>
  <c r="E2059" i="3"/>
  <c r="I2058" i="3"/>
  <c r="H2058" i="3"/>
  <c r="G2058" i="3"/>
  <c r="F2058" i="3"/>
  <c r="E2058" i="3"/>
  <c r="I2057" i="3"/>
  <c r="H2057" i="3"/>
  <c r="G2057" i="3"/>
  <c r="F2057" i="3"/>
  <c r="E2057" i="3"/>
  <c r="I2056" i="3"/>
  <c r="H2056" i="3"/>
  <c r="G2056" i="3"/>
  <c r="F2056" i="3"/>
  <c r="E2056" i="3"/>
  <c r="I2055" i="3"/>
  <c r="H2055" i="3"/>
  <c r="G2055" i="3"/>
  <c r="F2055" i="3"/>
  <c r="E2055" i="3"/>
  <c r="I2054" i="3"/>
  <c r="H2054" i="3"/>
  <c r="G2054" i="3"/>
  <c r="F2054" i="3"/>
  <c r="E2054" i="3"/>
  <c r="I2053" i="3"/>
  <c r="H2053" i="3"/>
  <c r="G2053" i="3"/>
  <c r="F2053" i="3"/>
  <c r="E2053" i="3"/>
  <c r="I2052" i="3"/>
  <c r="H2052" i="3"/>
  <c r="G2052" i="3"/>
  <c r="F2052" i="3"/>
  <c r="E2052" i="3"/>
  <c r="I2051" i="3"/>
  <c r="H2051" i="3"/>
  <c r="G2051" i="3"/>
  <c r="F2051" i="3"/>
  <c r="E2051" i="3"/>
  <c r="I2050" i="3"/>
  <c r="H2050" i="3"/>
  <c r="G2050" i="3"/>
  <c r="F2050" i="3"/>
  <c r="E2050" i="3"/>
  <c r="I2049" i="3"/>
  <c r="H2049" i="3"/>
  <c r="G2049" i="3"/>
  <c r="F2049" i="3"/>
  <c r="E2049" i="3"/>
  <c r="I2048" i="3"/>
  <c r="H2048" i="3"/>
  <c r="G2048" i="3"/>
  <c r="F2048" i="3"/>
  <c r="E2048" i="3"/>
  <c r="I2047" i="3"/>
  <c r="H2047" i="3"/>
  <c r="G2047" i="3"/>
  <c r="F2047" i="3"/>
  <c r="E2047" i="3"/>
  <c r="I2046" i="3"/>
  <c r="H2046" i="3"/>
  <c r="G2046" i="3"/>
  <c r="F2046" i="3"/>
  <c r="E2046" i="3"/>
  <c r="I2045" i="3"/>
  <c r="H2045" i="3"/>
  <c r="G2045" i="3"/>
  <c r="F2045" i="3"/>
  <c r="E2045" i="3"/>
  <c r="I2044" i="3"/>
  <c r="H2044" i="3"/>
  <c r="G2044" i="3"/>
  <c r="F2044" i="3"/>
  <c r="E2044" i="3"/>
  <c r="I2043" i="3"/>
  <c r="H2043" i="3"/>
  <c r="G2043" i="3"/>
  <c r="F2043" i="3"/>
  <c r="E2043" i="3"/>
  <c r="I2042" i="3"/>
  <c r="H2042" i="3"/>
  <c r="G2042" i="3"/>
  <c r="F2042" i="3"/>
  <c r="E2042" i="3"/>
  <c r="I2041" i="3"/>
  <c r="H2041" i="3"/>
  <c r="G2041" i="3"/>
  <c r="F2041" i="3"/>
  <c r="E2041" i="3"/>
  <c r="I2040" i="3"/>
  <c r="H2040" i="3"/>
  <c r="G2040" i="3"/>
  <c r="F2040" i="3"/>
  <c r="E2040" i="3"/>
  <c r="I2039" i="3"/>
  <c r="H2039" i="3"/>
  <c r="G2039" i="3"/>
  <c r="F2039" i="3"/>
  <c r="E2039" i="3"/>
  <c r="I2038" i="3"/>
  <c r="H2038" i="3"/>
  <c r="G2038" i="3"/>
  <c r="F2038" i="3"/>
  <c r="E2038" i="3"/>
  <c r="I2037" i="3"/>
  <c r="H2037" i="3"/>
  <c r="G2037" i="3"/>
  <c r="F2037" i="3"/>
  <c r="E2037" i="3"/>
  <c r="I2036" i="3"/>
  <c r="H2036" i="3"/>
  <c r="G2036" i="3"/>
  <c r="F2036" i="3"/>
  <c r="E2036" i="3"/>
  <c r="I2035" i="3"/>
  <c r="H2035" i="3"/>
  <c r="G2035" i="3"/>
  <c r="F2035" i="3"/>
  <c r="E2035" i="3"/>
  <c r="I2034" i="3"/>
  <c r="H2034" i="3"/>
  <c r="G2034" i="3"/>
  <c r="F2034" i="3"/>
  <c r="E2034" i="3"/>
  <c r="I2033" i="3"/>
  <c r="H2033" i="3"/>
  <c r="G2033" i="3"/>
  <c r="F2033" i="3"/>
  <c r="E2033" i="3"/>
  <c r="I2032" i="3"/>
  <c r="H2032" i="3"/>
  <c r="G2032" i="3"/>
  <c r="F2032" i="3"/>
  <c r="E2032" i="3"/>
  <c r="I2031" i="3"/>
  <c r="H2031" i="3"/>
  <c r="G2031" i="3"/>
  <c r="F2031" i="3"/>
  <c r="E2031" i="3"/>
  <c r="I2030" i="3"/>
  <c r="H2030" i="3"/>
  <c r="G2030" i="3"/>
  <c r="F2030" i="3"/>
  <c r="E2030" i="3"/>
  <c r="I2029" i="3"/>
  <c r="H2029" i="3"/>
  <c r="G2029" i="3"/>
  <c r="F2029" i="3"/>
  <c r="E2029" i="3"/>
  <c r="I2028" i="3"/>
  <c r="H2028" i="3"/>
  <c r="G2028" i="3"/>
  <c r="F2028" i="3"/>
  <c r="E2028" i="3"/>
  <c r="I2027" i="3"/>
  <c r="H2027" i="3"/>
  <c r="G2027" i="3"/>
  <c r="F2027" i="3"/>
  <c r="E2027" i="3"/>
  <c r="I2026" i="3"/>
  <c r="H2026" i="3"/>
  <c r="G2026" i="3"/>
  <c r="F2026" i="3"/>
  <c r="E2026" i="3"/>
  <c r="J1476" i="3" l="1"/>
  <c r="J1196" i="3" s="1"/>
  <c r="N1476" i="3"/>
  <c r="N1196" i="3" s="1"/>
  <c r="L1476" i="3"/>
  <c r="L1196" i="3" s="1"/>
  <c r="K1476" i="3"/>
  <c r="K1196" i="3" s="1"/>
  <c r="M1476" i="3"/>
  <c r="M1196" i="3" s="1"/>
  <c r="K1512" i="3"/>
  <c r="K1232" i="3" s="1"/>
  <c r="J1512" i="3"/>
  <c r="J1232" i="3" s="1"/>
  <c r="M1512" i="3"/>
  <c r="M1232" i="3" s="1"/>
  <c r="N1512" i="3"/>
  <c r="N1232" i="3" s="1"/>
  <c r="L1512" i="3"/>
  <c r="L1232" i="3" s="1"/>
  <c r="L1532" i="3"/>
  <c r="L1252" i="3" s="1"/>
  <c r="N1532" i="3"/>
  <c r="N1252" i="3" s="1"/>
  <c r="J1532" i="3"/>
  <c r="J1252" i="3" s="1"/>
  <c r="K1532" i="3"/>
  <c r="K1252" i="3" s="1"/>
  <c r="M1532" i="3"/>
  <c r="M1252" i="3" s="1"/>
  <c r="N1552" i="3"/>
  <c r="N1272" i="3" s="1"/>
  <c r="L1552" i="3"/>
  <c r="L1272" i="3" s="1"/>
  <c r="J1552" i="3"/>
  <c r="J1272" i="3" s="1"/>
  <c r="M1552" i="3"/>
  <c r="M1272" i="3" s="1"/>
  <c r="K1552" i="3"/>
  <c r="K1272" i="3" s="1"/>
  <c r="M1568" i="3"/>
  <c r="M1288" i="3" s="1"/>
  <c r="J1568" i="3"/>
  <c r="J1288" i="3" s="1"/>
  <c r="K1568" i="3"/>
  <c r="K1288" i="3" s="1"/>
  <c r="N1568" i="3"/>
  <c r="N1288" i="3" s="1"/>
  <c r="L1568" i="3"/>
  <c r="L1288" i="3" s="1"/>
  <c r="K1588" i="3"/>
  <c r="K1308" i="3" s="1"/>
  <c r="L1588" i="3"/>
  <c r="L1308" i="3" s="1"/>
  <c r="M1588" i="3"/>
  <c r="M1308" i="3" s="1"/>
  <c r="N1588" i="3"/>
  <c r="N1308" i="3" s="1"/>
  <c r="J1588" i="3"/>
  <c r="J1308" i="3" s="1"/>
  <c r="L1608" i="3"/>
  <c r="L1328" i="3" s="1"/>
  <c r="N1608" i="3"/>
  <c r="N1328" i="3" s="1"/>
  <c r="J1608" i="3"/>
  <c r="J1328" i="3" s="1"/>
  <c r="K1608" i="3"/>
  <c r="K1328" i="3" s="1"/>
  <c r="M1608" i="3"/>
  <c r="M1328" i="3" s="1"/>
  <c r="N1636" i="3"/>
  <c r="N1356" i="3" s="1"/>
  <c r="M1636" i="3"/>
  <c r="M1356" i="3" s="1"/>
  <c r="K1636" i="3"/>
  <c r="K1356" i="3" s="1"/>
  <c r="J1636" i="3"/>
  <c r="J1356" i="3" s="1"/>
  <c r="L1636" i="3"/>
  <c r="L1356" i="3" s="1"/>
  <c r="M1668" i="3"/>
  <c r="M1388" i="3" s="1"/>
  <c r="L1668" i="3"/>
  <c r="L1388" i="3" s="1"/>
  <c r="J1668" i="3"/>
  <c r="J1388" i="3" s="1"/>
  <c r="K1668" i="3"/>
  <c r="K1388" i="3" s="1"/>
  <c r="N1668" i="3"/>
  <c r="N1388" i="3" s="1"/>
  <c r="K1680" i="3"/>
  <c r="K1400" i="3" s="1"/>
  <c r="J1680" i="3"/>
  <c r="J1400" i="3" s="1"/>
  <c r="L1680" i="3"/>
  <c r="L1400" i="3" s="1"/>
  <c r="N1680" i="3"/>
  <c r="N1400" i="3" s="1"/>
  <c r="M1680" i="3"/>
  <c r="M1400" i="3" s="1"/>
  <c r="K1692" i="3"/>
  <c r="K1412" i="3" s="1"/>
  <c r="M1692" i="3"/>
  <c r="M1412" i="3" s="1"/>
  <c r="J1692" i="3"/>
  <c r="J1412" i="3" s="1"/>
  <c r="L1692" i="3"/>
  <c r="L1412" i="3" s="1"/>
  <c r="N1692" i="3"/>
  <c r="N1412" i="3" s="1"/>
  <c r="M1708" i="3"/>
  <c r="M1428" i="3" s="1"/>
  <c r="K1708" i="3"/>
  <c r="K1428" i="3" s="1"/>
  <c r="L1708" i="3"/>
  <c r="L1428" i="3" s="1"/>
  <c r="N1708" i="3"/>
  <c r="N1428" i="3" s="1"/>
  <c r="J1708" i="3"/>
  <c r="J1428" i="3" s="1"/>
  <c r="J1724" i="3"/>
  <c r="J1444" i="3" s="1"/>
  <c r="K1466" i="3"/>
  <c r="K1186" i="3" s="1"/>
  <c r="J1466" i="3"/>
  <c r="J1186" i="3" s="1"/>
  <c r="M1466" i="3"/>
  <c r="M1186" i="3" s="1"/>
  <c r="L1466" i="3"/>
  <c r="L1186" i="3" s="1"/>
  <c r="N1466" i="3"/>
  <c r="N1186" i="3" s="1"/>
  <c r="J1474" i="3"/>
  <c r="J1194" i="3" s="1"/>
  <c r="N1474" i="3"/>
  <c r="N1194" i="3" s="1"/>
  <c r="M1474" i="3"/>
  <c r="M1194" i="3" s="1"/>
  <c r="K1474" i="3"/>
  <c r="K1194" i="3" s="1"/>
  <c r="L1474" i="3"/>
  <c r="L1194" i="3" s="1"/>
  <c r="M1482" i="3"/>
  <c r="M1202" i="3" s="1"/>
  <c r="K1482" i="3"/>
  <c r="K1202" i="3" s="1"/>
  <c r="L1482" i="3"/>
  <c r="L1202" i="3" s="1"/>
  <c r="J1482" i="3"/>
  <c r="J1202" i="3" s="1"/>
  <c r="N1482" i="3"/>
  <c r="N1202" i="3" s="1"/>
  <c r="L1490" i="3"/>
  <c r="L1210" i="3" s="1"/>
  <c r="K1490" i="3"/>
  <c r="K1210" i="3" s="1"/>
  <c r="N1490" i="3"/>
  <c r="N1210" i="3" s="1"/>
  <c r="J1490" i="3"/>
  <c r="J1210" i="3" s="1"/>
  <c r="M1490" i="3"/>
  <c r="M1210" i="3" s="1"/>
  <c r="J1494" i="3"/>
  <c r="J1214" i="3" s="1"/>
  <c r="K1494" i="3"/>
  <c r="K1214" i="3" s="1"/>
  <c r="L1494" i="3"/>
  <c r="L1214" i="3" s="1"/>
  <c r="N1494" i="3"/>
  <c r="N1214" i="3" s="1"/>
  <c r="M1494" i="3"/>
  <c r="M1214" i="3" s="1"/>
  <c r="K1502" i="3"/>
  <c r="K1222" i="3" s="1"/>
  <c r="L1502" i="3"/>
  <c r="L1222" i="3" s="1"/>
  <c r="N1502" i="3"/>
  <c r="N1222" i="3" s="1"/>
  <c r="J1502" i="3"/>
  <c r="J1222" i="3" s="1"/>
  <c r="M1502" i="3"/>
  <c r="M1222" i="3" s="1"/>
  <c r="K1506" i="3"/>
  <c r="K1226" i="3" s="1"/>
  <c r="M1506" i="3"/>
  <c r="M1226" i="3" s="1"/>
  <c r="N1506" i="3"/>
  <c r="N1226" i="3" s="1"/>
  <c r="J1506" i="3"/>
  <c r="J1226" i="3" s="1"/>
  <c r="L1506" i="3"/>
  <c r="L1226" i="3" s="1"/>
  <c r="N1522" i="3"/>
  <c r="N1242" i="3" s="1"/>
  <c r="M1522" i="3"/>
  <c r="M1242" i="3" s="1"/>
  <c r="J1522" i="3"/>
  <c r="J1242" i="3" s="1"/>
  <c r="K1522" i="3"/>
  <c r="K1242" i="3" s="1"/>
  <c r="L1522" i="3"/>
  <c r="L1242" i="3" s="1"/>
  <c r="N1530" i="3"/>
  <c r="N1250" i="3" s="1"/>
  <c r="L1530" i="3"/>
  <c r="L1250" i="3" s="1"/>
  <c r="M1530" i="3"/>
  <c r="M1250" i="3" s="1"/>
  <c r="K1530" i="3"/>
  <c r="K1250" i="3" s="1"/>
  <c r="J1530" i="3"/>
  <c r="J1250" i="3" s="1"/>
  <c r="N1538" i="3"/>
  <c r="N1258" i="3" s="1"/>
  <c r="J1538" i="3"/>
  <c r="J1258" i="3" s="1"/>
  <c r="L1538" i="3"/>
  <c r="L1258" i="3" s="1"/>
  <c r="K1538" i="3"/>
  <c r="K1258" i="3" s="1"/>
  <c r="M1538" i="3"/>
  <c r="M1258" i="3" s="1"/>
  <c r="K1542" i="3"/>
  <c r="K1262" i="3" s="1"/>
  <c r="M1542" i="3"/>
  <c r="M1262" i="3" s="1"/>
  <c r="L1542" i="3"/>
  <c r="L1262" i="3" s="1"/>
  <c r="N1542" i="3"/>
  <c r="N1262" i="3" s="1"/>
  <c r="J1542" i="3"/>
  <c r="J1262" i="3" s="1"/>
  <c r="M1550" i="3"/>
  <c r="M1270" i="3" s="1"/>
  <c r="N1550" i="3"/>
  <c r="N1270" i="3" s="1"/>
  <c r="K1550" i="3"/>
  <c r="K1270" i="3" s="1"/>
  <c r="L1550" i="3"/>
  <c r="L1270" i="3" s="1"/>
  <c r="J1550" i="3"/>
  <c r="J1270" i="3" s="1"/>
  <c r="K1554" i="3"/>
  <c r="K1274" i="3" s="1"/>
  <c r="J1554" i="3"/>
  <c r="J1274" i="3" s="1"/>
  <c r="L1554" i="3"/>
  <c r="L1274" i="3" s="1"/>
  <c r="M1554" i="3"/>
  <c r="M1274" i="3" s="1"/>
  <c r="N1554" i="3"/>
  <c r="N1274" i="3" s="1"/>
  <c r="L1562" i="3"/>
  <c r="L1282" i="3" s="1"/>
  <c r="M1562" i="3"/>
  <c r="M1282" i="3" s="1"/>
  <c r="N1562" i="3"/>
  <c r="N1282" i="3" s="1"/>
  <c r="J1562" i="3"/>
  <c r="J1282" i="3" s="1"/>
  <c r="K1562" i="3"/>
  <c r="K1282" i="3" s="1"/>
  <c r="K1566" i="3"/>
  <c r="K1286" i="3" s="1"/>
  <c r="M1566" i="3"/>
  <c r="M1286" i="3" s="1"/>
  <c r="L1566" i="3"/>
  <c r="L1286" i="3" s="1"/>
  <c r="J1566" i="3"/>
  <c r="J1286" i="3" s="1"/>
  <c r="N1566" i="3"/>
  <c r="N1286" i="3" s="1"/>
  <c r="M1570" i="3"/>
  <c r="M1290" i="3" s="1"/>
  <c r="K1570" i="3"/>
  <c r="K1290" i="3" s="1"/>
  <c r="N1570" i="3"/>
  <c r="N1290" i="3" s="1"/>
  <c r="J1570" i="3"/>
  <c r="J1290" i="3" s="1"/>
  <c r="L1570" i="3"/>
  <c r="L1290" i="3" s="1"/>
  <c r="M1574" i="3"/>
  <c r="M1294" i="3" s="1"/>
  <c r="N1574" i="3"/>
  <c r="N1294" i="3" s="1"/>
  <c r="J1574" i="3"/>
  <c r="J1294" i="3" s="1"/>
  <c r="L1574" i="3"/>
  <c r="L1294" i="3" s="1"/>
  <c r="K1574" i="3"/>
  <c r="K1294" i="3" s="1"/>
  <c r="L1582" i="3"/>
  <c r="L1302" i="3" s="1"/>
  <c r="J1582" i="3"/>
  <c r="J1302" i="3" s="1"/>
  <c r="N1582" i="3"/>
  <c r="N1302" i="3" s="1"/>
  <c r="K1582" i="3"/>
  <c r="K1302" i="3" s="1"/>
  <c r="M1582" i="3"/>
  <c r="M1302" i="3" s="1"/>
  <c r="L1586" i="3"/>
  <c r="L1306" i="3" s="1"/>
  <c r="K1586" i="3"/>
  <c r="K1306" i="3" s="1"/>
  <c r="J1586" i="3"/>
  <c r="J1306" i="3" s="1"/>
  <c r="M1586" i="3"/>
  <c r="M1306" i="3" s="1"/>
  <c r="N1586" i="3"/>
  <c r="N1306" i="3" s="1"/>
  <c r="M1590" i="3"/>
  <c r="M1310" i="3" s="1"/>
  <c r="L1590" i="3"/>
  <c r="L1310" i="3" s="1"/>
  <c r="K1590" i="3"/>
  <c r="K1310" i="3" s="1"/>
  <c r="J1590" i="3"/>
  <c r="J1310" i="3" s="1"/>
  <c r="N1590" i="3"/>
  <c r="N1310" i="3" s="1"/>
  <c r="N1598" i="3"/>
  <c r="N1318" i="3" s="1"/>
  <c r="L1598" i="3"/>
  <c r="L1318" i="3" s="1"/>
  <c r="J1598" i="3"/>
  <c r="J1318" i="3" s="1"/>
  <c r="M1598" i="3"/>
  <c r="M1318" i="3" s="1"/>
  <c r="K1598" i="3"/>
  <c r="K1318" i="3" s="1"/>
  <c r="J1606" i="3"/>
  <c r="J1326" i="3" s="1"/>
  <c r="N1606" i="3"/>
  <c r="N1326" i="3" s="1"/>
  <c r="K1606" i="3"/>
  <c r="K1326" i="3" s="1"/>
  <c r="M1606" i="3"/>
  <c r="M1326" i="3" s="1"/>
  <c r="L1606" i="3"/>
  <c r="L1326" i="3" s="1"/>
  <c r="M1614" i="3"/>
  <c r="M1334" i="3" s="1"/>
  <c r="L1614" i="3"/>
  <c r="L1334" i="3" s="1"/>
  <c r="K1614" i="3"/>
  <c r="K1334" i="3" s="1"/>
  <c r="N1614" i="3"/>
  <c r="N1334" i="3" s="1"/>
  <c r="J1614" i="3"/>
  <c r="J1334" i="3" s="1"/>
  <c r="J1618" i="3"/>
  <c r="J1338" i="3" s="1"/>
  <c r="M1618" i="3"/>
  <c r="M1338" i="3" s="1"/>
  <c r="N1618" i="3"/>
  <c r="N1338" i="3" s="1"/>
  <c r="K1618" i="3"/>
  <c r="K1338" i="3" s="1"/>
  <c r="L1618" i="3"/>
  <c r="L1338" i="3" s="1"/>
  <c r="J1626" i="3"/>
  <c r="J1346" i="3" s="1"/>
  <c r="N1626" i="3"/>
  <c r="N1346" i="3" s="1"/>
  <c r="L1626" i="3"/>
  <c r="L1346" i="3" s="1"/>
  <c r="K1626" i="3"/>
  <c r="K1346" i="3" s="1"/>
  <c r="M1626" i="3"/>
  <c r="M1346" i="3" s="1"/>
  <c r="L1630" i="3"/>
  <c r="L1350" i="3" s="1"/>
  <c r="N1630" i="3"/>
  <c r="N1350" i="3" s="1"/>
  <c r="K1630" i="3"/>
  <c r="K1350" i="3" s="1"/>
  <c r="J1630" i="3"/>
  <c r="J1350" i="3" s="1"/>
  <c r="M1630" i="3"/>
  <c r="M1350" i="3" s="1"/>
  <c r="M1638" i="3"/>
  <c r="M1358" i="3" s="1"/>
  <c r="J1638" i="3"/>
  <c r="J1358" i="3" s="1"/>
  <c r="K1638" i="3"/>
  <c r="K1358" i="3" s="1"/>
  <c r="N1638" i="3"/>
  <c r="N1358" i="3" s="1"/>
  <c r="L1638" i="3"/>
  <c r="L1358" i="3" s="1"/>
  <c r="K1642" i="3"/>
  <c r="K1362" i="3" s="1"/>
  <c r="J1642" i="3"/>
  <c r="J1362" i="3" s="1"/>
  <c r="N1642" i="3"/>
  <c r="N1362" i="3" s="1"/>
  <c r="L1642" i="3"/>
  <c r="L1362" i="3" s="1"/>
  <c r="M1642" i="3"/>
  <c r="M1362" i="3" s="1"/>
  <c r="N1650" i="3"/>
  <c r="N1370" i="3" s="1"/>
  <c r="L1650" i="3"/>
  <c r="L1370" i="3" s="1"/>
  <c r="M1650" i="3"/>
  <c r="M1370" i="3" s="1"/>
  <c r="K1650" i="3"/>
  <c r="K1370" i="3" s="1"/>
  <c r="J1650" i="3"/>
  <c r="J1370" i="3" s="1"/>
  <c r="J1658" i="3"/>
  <c r="J1378" i="3" s="1"/>
  <c r="K1658" i="3"/>
  <c r="K1378" i="3" s="1"/>
  <c r="L1658" i="3"/>
  <c r="L1378" i="3" s="1"/>
  <c r="M1658" i="3"/>
  <c r="M1378" i="3" s="1"/>
  <c r="N1658" i="3"/>
  <c r="N1378" i="3" s="1"/>
  <c r="L1662" i="3"/>
  <c r="L1382" i="3" s="1"/>
  <c r="M1662" i="3"/>
  <c r="M1382" i="3" s="1"/>
  <c r="N1662" i="3"/>
  <c r="N1382" i="3" s="1"/>
  <c r="J1662" i="3"/>
  <c r="J1382" i="3" s="1"/>
  <c r="K1662" i="3"/>
  <c r="K1382" i="3" s="1"/>
  <c r="L1670" i="3"/>
  <c r="L1390" i="3" s="1"/>
  <c r="M1670" i="3"/>
  <c r="M1390" i="3" s="1"/>
  <c r="K1670" i="3"/>
  <c r="K1390" i="3" s="1"/>
  <c r="N1670" i="3"/>
  <c r="N1390" i="3" s="1"/>
  <c r="J1670" i="3"/>
  <c r="J1390" i="3" s="1"/>
  <c r="L1678" i="3"/>
  <c r="L1398" i="3" s="1"/>
  <c r="N1678" i="3"/>
  <c r="N1398" i="3" s="1"/>
  <c r="K1678" i="3"/>
  <c r="K1398" i="3" s="1"/>
  <c r="J1678" i="3"/>
  <c r="J1398" i="3" s="1"/>
  <c r="M1678" i="3"/>
  <c r="M1398" i="3" s="1"/>
  <c r="J1682" i="3"/>
  <c r="J1402" i="3" s="1"/>
  <c r="L1682" i="3"/>
  <c r="L1402" i="3" s="1"/>
  <c r="N1682" i="3"/>
  <c r="N1402" i="3" s="1"/>
  <c r="M1682" i="3"/>
  <c r="M1402" i="3" s="1"/>
  <c r="K1682" i="3"/>
  <c r="K1402" i="3" s="1"/>
  <c r="M1690" i="3"/>
  <c r="M1410" i="3" s="1"/>
  <c r="J1690" i="3"/>
  <c r="J1410" i="3" s="1"/>
  <c r="L1690" i="3"/>
  <c r="L1410" i="3" s="1"/>
  <c r="K1690" i="3"/>
  <c r="K1410" i="3" s="1"/>
  <c r="N1690" i="3"/>
  <c r="N1410" i="3" s="1"/>
  <c r="M1694" i="3"/>
  <c r="M1414" i="3" s="1"/>
  <c r="K1694" i="3"/>
  <c r="K1414" i="3" s="1"/>
  <c r="J1694" i="3"/>
  <c r="J1414" i="3" s="1"/>
  <c r="N1694" i="3"/>
  <c r="N1414" i="3" s="1"/>
  <c r="L1694" i="3"/>
  <c r="L1414" i="3" s="1"/>
  <c r="M1706" i="3"/>
  <c r="M1426" i="3" s="1"/>
  <c r="L1706" i="3"/>
  <c r="L1426" i="3" s="1"/>
  <c r="J1706" i="3"/>
  <c r="J1426" i="3" s="1"/>
  <c r="K1706" i="3"/>
  <c r="K1426" i="3" s="1"/>
  <c r="N1706" i="3"/>
  <c r="N1426" i="3" s="1"/>
  <c r="K1710" i="3"/>
  <c r="K1430" i="3" s="1"/>
  <c r="L1710" i="3"/>
  <c r="L1430" i="3" s="1"/>
  <c r="J1710" i="3"/>
  <c r="J1430" i="3" s="1"/>
  <c r="N1710" i="3"/>
  <c r="N1430" i="3" s="1"/>
  <c r="M1710" i="3"/>
  <c r="M1430" i="3" s="1"/>
  <c r="K1714" i="3"/>
  <c r="K1434" i="3" s="1"/>
  <c r="N1714" i="3"/>
  <c r="N1434" i="3" s="1"/>
  <c r="M1714" i="3"/>
  <c r="M1434" i="3" s="1"/>
  <c r="J1714" i="3"/>
  <c r="J1434" i="3" s="1"/>
  <c r="L1714" i="3"/>
  <c r="L1434" i="3" s="1"/>
  <c r="N1718" i="3"/>
  <c r="N1438" i="3" s="1"/>
  <c r="J1718" i="3"/>
  <c r="J1438" i="3" s="1"/>
  <c r="K1718" i="3"/>
  <c r="K1438" i="3" s="1"/>
  <c r="M1718" i="3"/>
  <c r="M1438" i="3" s="1"/>
  <c r="L1718" i="3"/>
  <c r="L1438" i="3" s="1"/>
  <c r="L1722" i="3"/>
  <c r="L1442" i="3" s="1"/>
  <c r="J1722" i="3"/>
  <c r="J1442" i="3" s="1"/>
  <c r="K1722" i="3"/>
  <c r="K1442" i="3" s="1"/>
  <c r="N1722" i="3"/>
  <c r="N1442" i="3" s="1"/>
  <c r="M1722" i="3"/>
  <c r="M1442" i="3" s="1"/>
  <c r="J1726" i="3"/>
  <c r="J1446" i="3" s="1"/>
  <c r="K1726" i="3"/>
  <c r="K1446" i="3" s="1"/>
  <c r="N1726" i="3"/>
  <c r="N1446" i="3" s="1"/>
  <c r="M1726" i="3"/>
  <c r="M1446" i="3" s="1"/>
  <c r="L1726" i="3"/>
  <c r="L1446" i="3" s="1"/>
  <c r="K1730" i="3"/>
  <c r="K1450" i="3" s="1"/>
  <c r="L1730" i="3"/>
  <c r="L1450" i="3" s="1"/>
  <c r="J1730" i="3"/>
  <c r="J1450" i="3" s="1"/>
  <c r="N1730" i="3"/>
  <c r="N1450" i="3" s="1"/>
  <c r="M1730" i="3"/>
  <c r="M1450" i="3" s="1"/>
  <c r="K1734" i="3"/>
  <c r="K1454" i="3" s="1"/>
  <c r="M1734" i="3"/>
  <c r="M1454" i="3" s="1"/>
  <c r="N1734" i="3"/>
  <c r="N1454" i="3" s="1"/>
  <c r="J1734" i="3"/>
  <c r="J1454" i="3" s="1"/>
  <c r="L1734" i="3"/>
  <c r="L1454" i="3" s="1"/>
  <c r="K1492" i="3"/>
  <c r="K1212" i="3" s="1"/>
  <c r="J1492" i="3"/>
  <c r="J1212" i="3" s="1"/>
  <c r="M1492" i="3"/>
  <c r="M1212" i="3" s="1"/>
  <c r="L1492" i="3"/>
  <c r="L1212" i="3" s="1"/>
  <c r="N1492" i="3"/>
  <c r="N1212" i="3" s="1"/>
  <c r="N1620" i="3"/>
  <c r="N1340" i="3" s="1"/>
  <c r="J1620" i="3"/>
  <c r="J1340" i="3" s="1"/>
  <c r="K1620" i="3"/>
  <c r="K1340" i="3" s="1"/>
  <c r="M1620" i="3"/>
  <c r="M1340" i="3" s="1"/>
  <c r="L1620" i="3"/>
  <c r="L1340" i="3" s="1"/>
  <c r="K1640" i="3"/>
  <c r="K1360" i="3" s="1"/>
  <c r="J1640" i="3"/>
  <c r="J1360" i="3" s="1"/>
  <c r="L1640" i="3"/>
  <c r="L1360" i="3" s="1"/>
  <c r="M1640" i="3"/>
  <c r="M1360" i="3" s="1"/>
  <c r="N1640" i="3"/>
  <c r="N1360" i="3" s="1"/>
  <c r="K1660" i="3"/>
  <c r="K1380" i="3" s="1"/>
  <c r="M1660" i="3"/>
  <c r="M1380" i="3" s="1"/>
  <c r="J1660" i="3"/>
  <c r="J1380" i="3" s="1"/>
  <c r="N1660" i="3"/>
  <c r="N1380" i="3" s="1"/>
  <c r="L1660" i="3"/>
  <c r="L1380" i="3" s="1"/>
  <c r="K1716" i="3"/>
  <c r="K1436" i="3" s="1"/>
  <c r="L1716" i="3"/>
  <c r="L1436" i="3" s="1"/>
  <c r="J1716" i="3"/>
  <c r="J1436" i="3" s="1"/>
  <c r="N1716" i="3"/>
  <c r="N1436" i="3" s="1"/>
  <c r="M1716" i="3"/>
  <c r="M1436" i="3" s="1"/>
  <c r="N1732" i="3"/>
  <c r="N1452" i="3" s="1"/>
  <c r="J1732" i="3"/>
  <c r="J1452" i="3" s="1"/>
  <c r="K1732" i="3"/>
  <c r="K1452" i="3" s="1"/>
  <c r="M1732" i="3"/>
  <c r="M1452" i="3" s="1"/>
  <c r="L1732" i="3"/>
  <c r="L1452" i="3" s="1"/>
  <c r="M1467" i="3"/>
  <c r="M1187" i="3" s="1"/>
  <c r="K1467" i="3"/>
  <c r="K1187" i="3" s="1"/>
  <c r="J1467" i="3"/>
  <c r="J1187" i="3" s="1"/>
  <c r="L1467" i="3"/>
  <c r="L1187" i="3" s="1"/>
  <c r="N1467" i="3"/>
  <c r="N1187" i="3" s="1"/>
  <c r="M1475" i="3"/>
  <c r="M1195" i="3" s="1"/>
  <c r="N1475" i="3"/>
  <c r="N1195" i="3" s="1"/>
  <c r="K1475" i="3"/>
  <c r="K1195" i="3" s="1"/>
  <c r="J1475" i="3"/>
  <c r="J1195" i="3" s="1"/>
  <c r="L1475" i="3"/>
  <c r="L1195" i="3" s="1"/>
  <c r="M1483" i="3"/>
  <c r="M1203" i="3" s="1"/>
  <c r="J1483" i="3"/>
  <c r="J1203" i="3" s="1"/>
  <c r="L1483" i="3"/>
  <c r="L1203" i="3" s="1"/>
  <c r="K1483" i="3"/>
  <c r="K1203" i="3" s="1"/>
  <c r="N1483" i="3"/>
  <c r="N1203" i="3" s="1"/>
  <c r="M1491" i="3"/>
  <c r="M1211" i="3" s="1"/>
  <c r="N1491" i="3"/>
  <c r="N1211" i="3" s="1"/>
  <c r="J1491" i="3"/>
  <c r="J1211" i="3" s="1"/>
  <c r="K1491" i="3"/>
  <c r="K1211" i="3" s="1"/>
  <c r="L1491" i="3"/>
  <c r="L1211" i="3" s="1"/>
  <c r="K1499" i="3"/>
  <c r="K1219" i="3" s="1"/>
  <c r="N1499" i="3"/>
  <c r="N1219" i="3" s="1"/>
  <c r="L1499" i="3"/>
  <c r="L1219" i="3" s="1"/>
  <c r="M1499" i="3"/>
  <c r="M1219" i="3" s="1"/>
  <c r="J1499" i="3"/>
  <c r="J1219" i="3" s="1"/>
  <c r="L1503" i="3"/>
  <c r="L1223" i="3" s="1"/>
  <c r="N1503" i="3"/>
  <c r="N1223" i="3" s="1"/>
  <c r="K1503" i="3"/>
  <c r="K1223" i="3" s="1"/>
  <c r="J1503" i="3"/>
  <c r="J1223" i="3" s="1"/>
  <c r="M1503" i="3"/>
  <c r="M1223" i="3" s="1"/>
  <c r="N1511" i="3"/>
  <c r="N1231" i="3" s="1"/>
  <c r="K1511" i="3"/>
  <c r="K1231" i="3" s="1"/>
  <c r="M1511" i="3"/>
  <c r="M1231" i="3" s="1"/>
  <c r="J1511" i="3"/>
  <c r="J1231" i="3" s="1"/>
  <c r="L1511" i="3"/>
  <c r="L1231" i="3" s="1"/>
  <c r="M1519" i="3"/>
  <c r="M1239" i="3" s="1"/>
  <c r="J1519" i="3"/>
  <c r="J1239" i="3" s="1"/>
  <c r="K1519" i="3"/>
  <c r="K1239" i="3" s="1"/>
  <c r="N1519" i="3"/>
  <c r="N1239" i="3" s="1"/>
  <c r="L1519" i="3"/>
  <c r="L1239" i="3" s="1"/>
  <c r="K1527" i="3"/>
  <c r="K1247" i="3" s="1"/>
  <c r="L1527" i="3"/>
  <c r="L1247" i="3" s="1"/>
  <c r="N1527" i="3"/>
  <c r="N1247" i="3" s="1"/>
  <c r="J1527" i="3"/>
  <c r="J1247" i="3" s="1"/>
  <c r="M1527" i="3"/>
  <c r="M1247" i="3" s="1"/>
  <c r="N1531" i="3"/>
  <c r="N1251" i="3" s="1"/>
  <c r="M1531" i="3"/>
  <c r="M1251" i="3" s="1"/>
  <c r="J1531" i="3"/>
  <c r="J1251" i="3" s="1"/>
  <c r="L1531" i="3"/>
  <c r="L1251" i="3" s="1"/>
  <c r="K1531" i="3"/>
  <c r="K1251" i="3" s="1"/>
  <c r="J1539" i="3"/>
  <c r="J1259" i="3" s="1"/>
  <c r="L1539" i="3"/>
  <c r="L1259" i="3" s="1"/>
  <c r="N1539" i="3"/>
  <c r="N1259" i="3" s="1"/>
  <c r="K1539" i="3"/>
  <c r="K1259" i="3" s="1"/>
  <c r="M1539" i="3"/>
  <c r="M1259" i="3" s="1"/>
  <c r="L1543" i="3"/>
  <c r="L1263" i="3" s="1"/>
  <c r="K1543" i="3"/>
  <c r="K1263" i="3" s="1"/>
  <c r="M1543" i="3"/>
  <c r="M1263" i="3" s="1"/>
  <c r="N1543" i="3"/>
  <c r="N1263" i="3" s="1"/>
  <c r="J1543" i="3"/>
  <c r="J1263" i="3" s="1"/>
  <c r="J1551" i="3"/>
  <c r="J1271" i="3" s="1"/>
  <c r="M1551" i="3"/>
  <c r="M1271" i="3" s="1"/>
  <c r="N1551" i="3"/>
  <c r="N1271" i="3" s="1"/>
  <c r="K1551" i="3"/>
  <c r="K1271" i="3" s="1"/>
  <c r="L1551" i="3"/>
  <c r="L1271" i="3" s="1"/>
  <c r="N1555" i="3"/>
  <c r="N1275" i="3" s="1"/>
  <c r="M1555" i="3"/>
  <c r="M1275" i="3" s="1"/>
  <c r="K1555" i="3"/>
  <c r="K1275" i="3" s="1"/>
  <c r="J1555" i="3"/>
  <c r="J1275" i="3" s="1"/>
  <c r="L1555" i="3"/>
  <c r="L1275" i="3" s="1"/>
  <c r="K1563" i="3"/>
  <c r="K1283" i="3" s="1"/>
  <c r="N1563" i="3"/>
  <c r="N1283" i="3" s="1"/>
  <c r="L1563" i="3"/>
  <c r="L1283" i="3" s="1"/>
  <c r="M1563" i="3"/>
  <c r="M1283" i="3" s="1"/>
  <c r="J1563" i="3"/>
  <c r="J1283" i="3" s="1"/>
  <c r="J1567" i="3"/>
  <c r="J1287" i="3" s="1"/>
  <c r="M1567" i="3"/>
  <c r="M1287" i="3" s="1"/>
  <c r="L1567" i="3"/>
  <c r="L1287" i="3" s="1"/>
  <c r="K1567" i="3"/>
  <c r="K1287" i="3" s="1"/>
  <c r="N1567" i="3"/>
  <c r="N1287" i="3" s="1"/>
  <c r="L1571" i="3"/>
  <c r="L1291" i="3" s="1"/>
  <c r="M1571" i="3"/>
  <c r="M1291" i="3" s="1"/>
  <c r="K1571" i="3"/>
  <c r="K1291" i="3" s="1"/>
  <c r="N1571" i="3"/>
  <c r="N1291" i="3" s="1"/>
  <c r="J1571" i="3"/>
  <c r="J1291" i="3" s="1"/>
  <c r="J1579" i="3"/>
  <c r="J1299" i="3" s="1"/>
  <c r="L1579" i="3"/>
  <c r="L1299" i="3" s="1"/>
  <c r="M1579" i="3"/>
  <c r="M1299" i="3" s="1"/>
  <c r="K1579" i="3"/>
  <c r="K1299" i="3" s="1"/>
  <c r="N1579" i="3"/>
  <c r="N1299" i="3" s="1"/>
  <c r="K1583" i="3"/>
  <c r="K1303" i="3" s="1"/>
  <c r="L1583" i="3"/>
  <c r="L1303" i="3" s="1"/>
  <c r="M1583" i="3"/>
  <c r="M1303" i="3" s="1"/>
  <c r="N1583" i="3"/>
  <c r="N1303" i="3" s="1"/>
  <c r="J1583" i="3"/>
  <c r="J1303" i="3" s="1"/>
  <c r="J1587" i="3"/>
  <c r="J1307" i="3" s="1"/>
  <c r="L1587" i="3"/>
  <c r="L1307" i="3" s="1"/>
  <c r="N1587" i="3"/>
  <c r="N1307" i="3" s="1"/>
  <c r="K1587" i="3"/>
  <c r="K1307" i="3" s="1"/>
  <c r="M1587" i="3"/>
  <c r="M1307" i="3" s="1"/>
  <c r="M1595" i="3"/>
  <c r="M1315" i="3" s="1"/>
  <c r="L1595" i="3"/>
  <c r="L1315" i="3" s="1"/>
  <c r="K1595" i="3"/>
  <c r="K1315" i="3" s="1"/>
  <c r="J1595" i="3"/>
  <c r="J1315" i="3" s="1"/>
  <c r="N1595" i="3"/>
  <c r="N1315" i="3" s="1"/>
  <c r="N1599" i="3"/>
  <c r="N1319" i="3" s="1"/>
  <c r="K1599" i="3"/>
  <c r="K1319" i="3" s="1"/>
  <c r="L1599" i="3"/>
  <c r="L1319" i="3" s="1"/>
  <c r="J1599" i="3"/>
  <c r="J1319" i="3" s="1"/>
  <c r="M1599" i="3"/>
  <c r="M1319" i="3" s="1"/>
  <c r="K1607" i="3"/>
  <c r="K1327" i="3" s="1"/>
  <c r="N1607" i="3"/>
  <c r="N1327" i="3" s="1"/>
  <c r="M1607" i="3"/>
  <c r="M1327" i="3" s="1"/>
  <c r="J1607" i="3"/>
  <c r="J1327" i="3" s="1"/>
  <c r="L1607" i="3"/>
  <c r="L1327" i="3" s="1"/>
  <c r="N1615" i="3"/>
  <c r="N1335" i="3" s="1"/>
  <c r="M1615" i="3"/>
  <c r="M1335" i="3" s="1"/>
  <c r="K1615" i="3"/>
  <c r="K1335" i="3" s="1"/>
  <c r="L1615" i="3"/>
  <c r="L1335" i="3" s="1"/>
  <c r="J1615" i="3"/>
  <c r="J1335" i="3" s="1"/>
  <c r="L1619" i="3"/>
  <c r="L1339" i="3" s="1"/>
  <c r="N1619" i="3"/>
  <c r="N1339" i="3" s="1"/>
  <c r="K1619" i="3"/>
  <c r="K1339" i="3" s="1"/>
  <c r="M1619" i="3"/>
  <c r="M1339" i="3" s="1"/>
  <c r="J1619" i="3"/>
  <c r="J1339" i="3" s="1"/>
  <c r="N1627" i="3"/>
  <c r="N1347" i="3" s="1"/>
  <c r="L1627" i="3"/>
  <c r="L1347" i="3" s="1"/>
  <c r="M1627" i="3"/>
  <c r="M1347" i="3" s="1"/>
  <c r="J1627" i="3"/>
  <c r="J1347" i="3" s="1"/>
  <c r="K1627" i="3"/>
  <c r="K1347" i="3" s="1"/>
  <c r="J1635" i="3"/>
  <c r="J1355" i="3" s="1"/>
  <c r="M1635" i="3"/>
  <c r="M1355" i="3" s="1"/>
  <c r="L1635" i="3"/>
  <c r="L1355" i="3" s="1"/>
  <c r="N1635" i="3"/>
  <c r="N1355" i="3" s="1"/>
  <c r="K1635" i="3"/>
  <c r="K1355" i="3" s="1"/>
  <c r="K1639" i="3"/>
  <c r="K1359" i="3" s="1"/>
  <c r="M1639" i="3"/>
  <c r="M1359" i="3" s="1"/>
  <c r="N1639" i="3"/>
  <c r="N1359" i="3" s="1"/>
  <c r="L1639" i="3"/>
  <c r="L1359" i="3" s="1"/>
  <c r="J1639" i="3"/>
  <c r="J1359" i="3" s="1"/>
  <c r="K1647" i="3"/>
  <c r="K1367" i="3" s="1"/>
  <c r="M1647" i="3"/>
  <c r="M1367" i="3" s="1"/>
  <c r="N1647" i="3"/>
  <c r="N1367" i="3" s="1"/>
  <c r="J1647" i="3"/>
  <c r="J1367" i="3" s="1"/>
  <c r="L1647" i="3"/>
  <c r="L1367" i="3" s="1"/>
  <c r="L1655" i="3"/>
  <c r="L1375" i="3" s="1"/>
  <c r="M1655" i="3"/>
  <c r="M1375" i="3" s="1"/>
  <c r="J1655" i="3"/>
  <c r="J1375" i="3" s="1"/>
  <c r="N1655" i="3"/>
  <c r="N1375" i="3" s="1"/>
  <c r="K1655" i="3"/>
  <c r="K1375" i="3" s="1"/>
  <c r="M1659" i="3"/>
  <c r="M1379" i="3" s="1"/>
  <c r="J1659" i="3"/>
  <c r="J1379" i="3" s="1"/>
  <c r="L1659" i="3"/>
  <c r="L1379" i="3" s="1"/>
  <c r="N1659" i="3"/>
  <c r="N1379" i="3" s="1"/>
  <c r="K1659" i="3"/>
  <c r="K1379" i="3" s="1"/>
  <c r="M1667" i="3"/>
  <c r="M1387" i="3" s="1"/>
  <c r="J1667" i="3"/>
  <c r="J1387" i="3" s="1"/>
  <c r="K1667" i="3"/>
  <c r="K1387" i="3" s="1"/>
  <c r="L1667" i="3"/>
  <c r="L1387" i="3" s="1"/>
  <c r="N1667" i="3"/>
  <c r="N1387" i="3" s="1"/>
  <c r="N1675" i="3"/>
  <c r="N1395" i="3" s="1"/>
  <c r="J1675" i="3"/>
  <c r="J1395" i="3" s="1"/>
  <c r="L1675" i="3"/>
  <c r="L1395" i="3" s="1"/>
  <c r="M1675" i="3"/>
  <c r="M1395" i="3" s="1"/>
  <c r="K1675" i="3"/>
  <c r="K1395" i="3" s="1"/>
  <c r="L1679" i="3"/>
  <c r="L1399" i="3" s="1"/>
  <c r="N1679" i="3"/>
  <c r="N1399" i="3" s="1"/>
  <c r="M1679" i="3"/>
  <c r="M1399" i="3" s="1"/>
  <c r="K1679" i="3"/>
  <c r="K1399" i="3" s="1"/>
  <c r="J1679" i="3"/>
  <c r="J1399" i="3" s="1"/>
  <c r="N1687" i="3"/>
  <c r="N1407" i="3" s="1"/>
  <c r="L1687" i="3"/>
  <c r="L1407" i="3" s="1"/>
  <c r="M1687" i="3"/>
  <c r="M1407" i="3" s="1"/>
  <c r="K1687" i="3"/>
  <c r="K1407" i="3" s="1"/>
  <c r="J1687" i="3"/>
  <c r="J1407" i="3" s="1"/>
  <c r="M1691" i="3"/>
  <c r="M1411" i="3" s="1"/>
  <c r="N1691" i="3"/>
  <c r="N1411" i="3" s="1"/>
  <c r="L1691" i="3"/>
  <c r="L1411" i="3" s="1"/>
  <c r="K1691" i="3"/>
  <c r="K1411" i="3" s="1"/>
  <c r="J1691" i="3"/>
  <c r="J1411" i="3" s="1"/>
  <c r="K1707" i="3"/>
  <c r="K1427" i="3" s="1"/>
  <c r="M1707" i="3"/>
  <c r="M1427" i="3" s="1"/>
  <c r="J1707" i="3"/>
  <c r="J1427" i="3" s="1"/>
  <c r="N1707" i="3"/>
  <c r="N1427" i="3" s="1"/>
  <c r="L1707" i="3"/>
  <c r="L1427" i="3" s="1"/>
  <c r="L1711" i="3"/>
  <c r="L1431" i="3" s="1"/>
  <c r="N1711" i="3"/>
  <c r="N1431" i="3" s="1"/>
  <c r="J1711" i="3"/>
  <c r="J1431" i="3" s="1"/>
  <c r="M1711" i="3"/>
  <c r="M1431" i="3" s="1"/>
  <c r="K1711" i="3"/>
  <c r="K1431" i="3" s="1"/>
  <c r="M1715" i="3"/>
  <c r="M1435" i="3" s="1"/>
  <c r="L1715" i="3"/>
  <c r="L1435" i="3" s="1"/>
  <c r="K1715" i="3"/>
  <c r="K1435" i="3" s="1"/>
  <c r="J1715" i="3"/>
  <c r="J1435" i="3" s="1"/>
  <c r="N1715" i="3"/>
  <c r="N1435" i="3" s="1"/>
  <c r="M1719" i="3"/>
  <c r="M1439" i="3" s="1"/>
  <c r="K1719" i="3"/>
  <c r="K1439" i="3" s="1"/>
  <c r="L1719" i="3"/>
  <c r="L1439" i="3" s="1"/>
  <c r="N1719" i="3"/>
  <c r="N1439" i="3" s="1"/>
  <c r="J1719" i="3"/>
  <c r="J1439" i="3" s="1"/>
  <c r="K1723" i="3"/>
  <c r="K1443" i="3" s="1"/>
  <c r="M1723" i="3"/>
  <c r="M1443" i="3" s="1"/>
  <c r="L1723" i="3"/>
  <c r="L1443" i="3" s="1"/>
  <c r="J1723" i="3"/>
  <c r="J1443" i="3" s="1"/>
  <c r="N1723" i="3"/>
  <c r="N1443" i="3" s="1"/>
  <c r="K1727" i="3"/>
  <c r="K1447" i="3" s="1"/>
  <c r="N1727" i="3"/>
  <c r="N1447" i="3" s="1"/>
  <c r="L1727" i="3"/>
  <c r="L1447" i="3" s="1"/>
  <c r="J1727" i="3"/>
  <c r="J1447" i="3" s="1"/>
  <c r="M1727" i="3"/>
  <c r="M1447" i="3" s="1"/>
  <c r="J1731" i="3"/>
  <c r="J1451" i="3" s="1"/>
  <c r="K1731" i="3"/>
  <c r="K1451" i="3" s="1"/>
  <c r="M1731" i="3"/>
  <c r="M1451" i="3" s="1"/>
  <c r="L1731" i="3"/>
  <c r="L1451" i="3" s="1"/>
  <c r="N1731" i="3"/>
  <c r="N1451" i="3" s="1"/>
  <c r="J1735" i="3"/>
  <c r="J1455" i="3" s="1"/>
  <c r="K1735" i="3"/>
  <c r="K1455" i="3" s="1"/>
  <c r="L1735" i="3"/>
  <c r="L1455" i="3" s="1"/>
  <c r="M1735" i="3"/>
  <c r="M1455" i="3" s="1"/>
  <c r="N1735" i="3"/>
  <c r="N1455" i="3" s="1"/>
  <c r="M1468" i="3"/>
  <c r="M1188" i="3" s="1"/>
  <c r="J1468" i="3"/>
  <c r="J1188" i="3" s="1"/>
  <c r="K1468" i="3"/>
  <c r="K1188" i="3" s="1"/>
  <c r="N1468" i="3"/>
  <c r="N1188" i="3" s="1"/>
  <c r="L1468" i="3"/>
  <c r="L1188" i="3" s="1"/>
  <c r="K1484" i="3"/>
  <c r="K1204" i="3" s="1"/>
  <c r="N1484" i="3"/>
  <c r="N1204" i="3" s="1"/>
  <c r="J1484" i="3"/>
  <c r="J1204" i="3" s="1"/>
  <c r="M1484" i="3"/>
  <c r="M1204" i="3" s="1"/>
  <c r="L1484" i="3"/>
  <c r="L1204" i="3" s="1"/>
  <c r="J1504" i="3"/>
  <c r="J1224" i="3" s="1"/>
  <c r="M1504" i="3"/>
  <c r="M1224" i="3" s="1"/>
  <c r="N1504" i="3"/>
  <c r="N1224" i="3" s="1"/>
  <c r="L1504" i="3"/>
  <c r="L1224" i="3" s="1"/>
  <c r="K1504" i="3"/>
  <c r="K1224" i="3" s="1"/>
  <c r="L1528" i="3"/>
  <c r="L1248" i="3" s="1"/>
  <c r="K1528" i="3"/>
  <c r="K1248" i="3" s="1"/>
  <c r="N1528" i="3"/>
  <c r="N1248" i="3" s="1"/>
  <c r="J1528" i="3"/>
  <c r="J1248" i="3" s="1"/>
  <c r="M1528" i="3"/>
  <c r="M1248" i="3" s="1"/>
  <c r="L1556" i="3"/>
  <c r="L1276" i="3" s="1"/>
  <c r="M1556" i="3"/>
  <c r="M1276" i="3" s="1"/>
  <c r="J1556" i="3"/>
  <c r="J1276" i="3" s="1"/>
  <c r="K1556" i="3"/>
  <c r="K1276" i="3" s="1"/>
  <c r="N1556" i="3"/>
  <c r="N1276" i="3" s="1"/>
  <c r="J1572" i="3"/>
  <c r="J1292" i="3" s="1"/>
  <c r="K1572" i="3"/>
  <c r="K1292" i="3" s="1"/>
  <c r="M1572" i="3"/>
  <c r="M1292" i="3" s="1"/>
  <c r="N1572" i="3"/>
  <c r="N1292" i="3" s="1"/>
  <c r="L1572" i="3"/>
  <c r="L1292" i="3" s="1"/>
  <c r="N1584" i="3"/>
  <c r="N1304" i="3" s="1"/>
  <c r="J1584" i="3"/>
  <c r="J1304" i="3" s="1"/>
  <c r="L1584" i="3"/>
  <c r="L1304" i="3" s="1"/>
  <c r="M1584" i="3"/>
  <c r="M1304" i="3" s="1"/>
  <c r="K1584" i="3"/>
  <c r="K1304" i="3" s="1"/>
  <c r="K1596" i="3"/>
  <c r="K1316" i="3" s="1"/>
  <c r="L1596" i="3"/>
  <c r="L1316" i="3" s="1"/>
  <c r="J1596" i="3"/>
  <c r="J1316" i="3" s="1"/>
  <c r="N1596" i="3"/>
  <c r="N1316" i="3" s="1"/>
  <c r="M1596" i="3"/>
  <c r="M1316" i="3" s="1"/>
  <c r="L1628" i="3"/>
  <c r="L1348" i="3" s="1"/>
  <c r="K1628" i="3"/>
  <c r="K1348" i="3" s="1"/>
  <c r="M1628" i="3"/>
  <c r="M1348" i="3" s="1"/>
  <c r="N1628" i="3"/>
  <c r="N1348" i="3" s="1"/>
  <c r="J1628" i="3"/>
  <c r="J1348" i="3" s="1"/>
  <c r="L1648" i="3"/>
  <c r="L1368" i="3" s="1"/>
  <c r="K1648" i="3"/>
  <c r="K1368" i="3" s="1"/>
  <c r="N1648" i="3"/>
  <c r="N1368" i="3" s="1"/>
  <c r="M1648" i="3"/>
  <c r="M1368" i="3" s="1"/>
  <c r="J1648" i="3"/>
  <c r="J1368" i="3" s="1"/>
  <c r="N1688" i="3"/>
  <c r="N1408" i="3" s="1"/>
  <c r="K1688" i="3"/>
  <c r="K1408" i="3" s="1"/>
  <c r="L1688" i="3"/>
  <c r="L1408" i="3" s="1"/>
  <c r="J1688" i="3"/>
  <c r="J1408" i="3" s="1"/>
  <c r="M1688" i="3"/>
  <c r="M1408" i="3" s="1"/>
  <c r="L1720" i="3"/>
  <c r="L1440" i="3" s="1"/>
  <c r="J1720" i="3"/>
  <c r="J1440" i="3" s="1"/>
  <c r="N1720" i="3"/>
  <c r="N1440" i="3" s="1"/>
  <c r="M1720" i="3"/>
  <c r="M1440" i="3" s="1"/>
  <c r="K1720" i="3"/>
  <c r="K1440" i="3" s="1"/>
  <c r="J1736" i="3"/>
  <c r="J1456" i="3" s="1"/>
  <c r="L1736" i="3"/>
  <c r="L1456" i="3" s="1"/>
  <c r="M1736" i="3"/>
  <c r="M1456" i="3" s="1"/>
  <c r="K1736" i="3"/>
  <c r="K1456" i="3" s="1"/>
  <c r="N1736" i="3"/>
  <c r="N1456" i="3" s="1"/>
  <c r="J1500" i="3"/>
  <c r="J1220" i="3" s="1"/>
  <c r="M1500" i="3"/>
  <c r="M1220" i="3" s="1"/>
  <c r="L1500" i="3"/>
  <c r="L1220" i="3" s="1"/>
  <c r="K1500" i="3"/>
  <c r="K1220" i="3" s="1"/>
  <c r="N1500" i="3"/>
  <c r="N1220" i="3" s="1"/>
  <c r="M1520" i="3"/>
  <c r="M1240" i="3" s="1"/>
  <c r="N1520" i="3"/>
  <c r="N1240" i="3" s="1"/>
  <c r="J1520" i="3"/>
  <c r="J1240" i="3" s="1"/>
  <c r="K1520" i="3"/>
  <c r="K1240" i="3" s="1"/>
  <c r="L1520" i="3"/>
  <c r="L1240" i="3" s="1"/>
  <c r="N1540" i="3"/>
  <c r="N1260" i="3" s="1"/>
  <c r="M1540" i="3"/>
  <c r="M1260" i="3" s="1"/>
  <c r="K1540" i="3"/>
  <c r="K1260" i="3" s="1"/>
  <c r="L1540" i="3"/>
  <c r="L1260" i="3" s="1"/>
  <c r="J1540" i="3"/>
  <c r="J1260" i="3" s="1"/>
  <c r="L1544" i="3"/>
  <c r="L1264" i="3" s="1"/>
  <c r="N1544" i="3"/>
  <c r="N1264" i="3" s="1"/>
  <c r="J1544" i="3"/>
  <c r="J1264" i="3" s="1"/>
  <c r="M1544" i="3"/>
  <c r="M1264" i="3" s="1"/>
  <c r="K1544" i="3"/>
  <c r="K1264" i="3" s="1"/>
  <c r="N1564" i="3"/>
  <c r="N1284" i="3" s="1"/>
  <c r="J1564" i="3"/>
  <c r="J1284" i="3" s="1"/>
  <c r="L1564" i="3"/>
  <c r="L1284" i="3" s="1"/>
  <c r="K1564" i="3"/>
  <c r="K1284" i="3" s="1"/>
  <c r="M1564" i="3"/>
  <c r="M1284" i="3" s="1"/>
  <c r="K1580" i="3"/>
  <c r="K1300" i="3" s="1"/>
  <c r="N1580" i="3"/>
  <c r="N1300" i="3" s="1"/>
  <c r="L1580" i="3"/>
  <c r="L1300" i="3" s="1"/>
  <c r="M1580" i="3"/>
  <c r="M1300" i="3" s="1"/>
  <c r="J1580" i="3"/>
  <c r="J1300" i="3" s="1"/>
  <c r="K1600" i="3"/>
  <c r="K1320" i="3" s="1"/>
  <c r="L1600" i="3"/>
  <c r="L1320" i="3" s="1"/>
  <c r="J1600" i="3"/>
  <c r="J1320" i="3" s="1"/>
  <c r="N1600" i="3"/>
  <c r="N1320" i="3" s="1"/>
  <c r="M1600" i="3"/>
  <c r="M1320" i="3" s="1"/>
  <c r="J1616" i="3"/>
  <c r="J1336" i="3" s="1"/>
  <c r="M1616" i="3"/>
  <c r="M1336" i="3" s="1"/>
  <c r="K1616" i="3"/>
  <c r="K1336" i="3" s="1"/>
  <c r="N1616" i="3"/>
  <c r="N1336" i="3" s="1"/>
  <c r="L1616" i="3"/>
  <c r="L1336" i="3" s="1"/>
  <c r="M1656" i="3"/>
  <c r="M1376" i="3" s="1"/>
  <c r="J1656" i="3"/>
  <c r="J1376" i="3" s="1"/>
  <c r="N1656" i="3"/>
  <c r="N1376" i="3" s="1"/>
  <c r="K1656" i="3"/>
  <c r="K1376" i="3" s="1"/>
  <c r="L1656" i="3"/>
  <c r="L1376" i="3" s="1"/>
  <c r="N1676" i="3"/>
  <c r="N1396" i="3" s="1"/>
  <c r="J1676" i="3"/>
  <c r="J1396" i="3" s="1"/>
  <c r="K1676" i="3"/>
  <c r="K1396" i="3" s="1"/>
  <c r="M1676" i="3"/>
  <c r="M1396" i="3" s="1"/>
  <c r="L1676" i="3"/>
  <c r="L1396" i="3" s="1"/>
  <c r="K1712" i="3"/>
  <c r="K1432" i="3" s="1"/>
  <c r="M1712" i="3"/>
  <c r="M1432" i="3" s="1"/>
  <c r="J1712" i="3"/>
  <c r="J1432" i="3" s="1"/>
  <c r="L1712" i="3"/>
  <c r="L1432" i="3" s="1"/>
  <c r="N1712" i="3"/>
  <c r="N1432" i="3" s="1"/>
  <c r="M1728" i="3"/>
  <c r="M1448" i="3" s="1"/>
  <c r="N1728" i="3"/>
  <c r="N1448" i="3" s="1"/>
  <c r="L1728" i="3"/>
  <c r="L1448" i="3" s="1"/>
  <c r="K1728" i="3"/>
  <c r="K1448" i="3" s="1"/>
  <c r="J1728" i="3"/>
  <c r="J1448" i="3" s="1"/>
  <c r="J1469" i="3"/>
  <c r="J1189" i="3" s="1"/>
  <c r="L1469" i="3"/>
  <c r="L1189" i="3" s="1"/>
  <c r="M1469" i="3"/>
  <c r="M1189" i="3" s="1"/>
  <c r="K1469" i="3"/>
  <c r="K1189" i="3" s="1"/>
  <c r="N1469" i="3"/>
  <c r="N1189" i="3" s="1"/>
  <c r="J1473" i="3"/>
  <c r="J1193" i="3" s="1"/>
  <c r="K1473" i="3"/>
  <c r="K1193" i="3" s="1"/>
  <c r="N1473" i="3"/>
  <c r="N1193" i="3" s="1"/>
  <c r="M1473" i="3"/>
  <c r="M1193" i="3" s="1"/>
  <c r="L1473" i="3"/>
  <c r="L1193" i="3" s="1"/>
  <c r="M1481" i="3"/>
  <c r="M1201" i="3" s="1"/>
  <c r="L1481" i="3"/>
  <c r="L1201" i="3" s="1"/>
  <c r="N1481" i="3"/>
  <c r="N1201" i="3" s="1"/>
  <c r="K1481" i="3"/>
  <c r="K1201" i="3" s="1"/>
  <c r="J1481" i="3"/>
  <c r="J1201" i="3" s="1"/>
  <c r="K1489" i="3"/>
  <c r="K1209" i="3" s="1"/>
  <c r="J1489" i="3"/>
  <c r="J1209" i="3" s="1"/>
  <c r="L1489" i="3"/>
  <c r="L1209" i="3" s="1"/>
  <c r="N1489" i="3"/>
  <c r="N1209" i="3" s="1"/>
  <c r="M1489" i="3"/>
  <c r="M1209" i="3" s="1"/>
  <c r="K1493" i="3"/>
  <c r="K1213" i="3" s="1"/>
  <c r="N1493" i="3"/>
  <c r="N1213" i="3" s="1"/>
  <c r="J1493" i="3"/>
  <c r="J1213" i="3" s="1"/>
  <c r="M1493" i="3"/>
  <c r="M1213" i="3" s="1"/>
  <c r="L1493" i="3"/>
  <c r="L1213" i="3" s="1"/>
  <c r="J1501" i="3"/>
  <c r="J1221" i="3" s="1"/>
  <c r="M1501" i="3"/>
  <c r="M1221" i="3" s="1"/>
  <c r="L1501" i="3"/>
  <c r="L1221" i="3" s="1"/>
  <c r="N1501" i="3"/>
  <c r="N1221" i="3" s="1"/>
  <c r="K1501" i="3"/>
  <c r="K1221" i="3" s="1"/>
  <c r="K1505" i="3"/>
  <c r="K1225" i="3" s="1"/>
  <c r="N1505" i="3"/>
  <c r="N1225" i="3" s="1"/>
  <c r="J1505" i="3"/>
  <c r="J1225" i="3" s="1"/>
  <c r="L1505" i="3"/>
  <c r="L1225" i="3" s="1"/>
  <c r="M1505" i="3"/>
  <c r="M1225" i="3" s="1"/>
  <c r="N1521" i="3"/>
  <c r="N1241" i="3" s="1"/>
  <c r="J1521" i="3"/>
  <c r="J1241" i="3" s="1"/>
  <c r="M1521" i="3"/>
  <c r="M1241" i="3" s="1"/>
  <c r="K1521" i="3"/>
  <c r="K1241" i="3" s="1"/>
  <c r="L1521" i="3"/>
  <c r="L1241" i="3" s="1"/>
  <c r="M1529" i="3"/>
  <c r="M1249" i="3" s="1"/>
  <c r="N1529" i="3"/>
  <c r="N1249" i="3" s="1"/>
  <c r="L1529" i="3"/>
  <c r="L1249" i="3" s="1"/>
  <c r="J1529" i="3"/>
  <c r="J1249" i="3" s="1"/>
  <c r="K1529" i="3"/>
  <c r="K1249" i="3" s="1"/>
  <c r="N1537" i="3"/>
  <c r="N1257" i="3" s="1"/>
  <c r="M1537" i="3"/>
  <c r="M1257" i="3" s="1"/>
  <c r="K1537" i="3"/>
  <c r="K1257" i="3" s="1"/>
  <c r="L1537" i="3"/>
  <c r="L1257" i="3" s="1"/>
  <c r="J1537" i="3"/>
  <c r="J1257" i="3" s="1"/>
  <c r="J1541" i="3"/>
  <c r="J1261" i="3" s="1"/>
  <c r="N1541" i="3"/>
  <c r="N1261" i="3" s="1"/>
  <c r="M1541" i="3"/>
  <c r="M1261" i="3" s="1"/>
  <c r="L1541" i="3"/>
  <c r="L1261" i="3" s="1"/>
  <c r="K1541" i="3"/>
  <c r="K1261" i="3" s="1"/>
  <c r="J1549" i="3"/>
  <c r="J1269" i="3" s="1"/>
  <c r="L1549" i="3"/>
  <c r="L1269" i="3" s="1"/>
  <c r="K1549" i="3"/>
  <c r="K1269" i="3" s="1"/>
  <c r="N1549" i="3"/>
  <c r="N1269" i="3" s="1"/>
  <c r="M1549" i="3"/>
  <c r="M1269" i="3" s="1"/>
  <c r="K1553" i="3"/>
  <c r="K1273" i="3" s="1"/>
  <c r="N1553" i="3"/>
  <c r="N1273" i="3" s="1"/>
  <c r="L1553" i="3"/>
  <c r="L1273" i="3" s="1"/>
  <c r="M1553" i="3"/>
  <c r="M1273" i="3" s="1"/>
  <c r="J1553" i="3"/>
  <c r="J1273" i="3" s="1"/>
  <c r="M1561" i="3"/>
  <c r="M1281" i="3" s="1"/>
  <c r="L1561" i="3"/>
  <c r="L1281" i="3" s="1"/>
  <c r="J1561" i="3"/>
  <c r="J1281" i="3" s="1"/>
  <c r="N1561" i="3"/>
  <c r="N1281" i="3" s="1"/>
  <c r="K1561" i="3"/>
  <c r="K1281" i="3" s="1"/>
  <c r="L1565" i="3"/>
  <c r="L1285" i="3" s="1"/>
  <c r="M1565" i="3"/>
  <c r="M1285" i="3" s="1"/>
  <c r="J1565" i="3"/>
  <c r="J1285" i="3" s="1"/>
  <c r="K1565" i="3"/>
  <c r="K1285" i="3" s="1"/>
  <c r="N1565" i="3"/>
  <c r="N1285" i="3" s="1"/>
  <c r="M1569" i="3"/>
  <c r="M1289" i="3" s="1"/>
  <c r="J1569" i="3"/>
  <c r="J1289" i="3" s="1"/>
  <c r="L1569" i="3"/>
  <c r="L1289" i="3" s="1"/>
  <c r="K1569" i="3"/>
  <c r="K1289" i="3" s="1"/>
  <c r="N1569" i="3"/>
  <c r="N1289" i="3" s="1"/>
  <c r="L1573" i="3"/>
  <c r="L1293" i="3" s="1"/>
  <c r="K1573" i="3"/>
  <c r="K1293" i="3" s="1"/>
  <c r="M1573" i="3"/>
  <c r="M1293" i="3" s="1"/>
  <c r="J1573" i="3"/>
  <c r="J1293" i="3" s="1"/>
  <c r="N1573" i="3"/>
  <c r="N1293" i="3" s="1"/>
  <c r="M1581" i="3"/>
  <c r="M1301" i="3" s="1"/>
  <c r="N1581" i="3"/>
  <c r="N1301" i="3" s="1"/>
  <c r="K1581" i="3"/>
  <c r="K1301" i="3" s="1"/>
  <c r="J1581" i="3"/>
  <c r="J1301" i="3" s="1"/>
  <c r="L1581" i="3"/>
  <c r="L1301" i="3" s="1"/>
  <c r="M1585" i="3"/>
  <c r="M1305" i="3" s="1"/>
  <c r="J1585" i="3"/>
  <c r="J1305" i="3" s="1"/>
  <c r="L1585" i="3"/>
  <c r="L1305" i="3" s="1"/>
  <c r="K1585" i="3"/>
  <c r="K1305" i="3" s="1"/>
  <c r="N1585" i="3"/>
  <c r="N1305" i="3" s="1"/>
  <c r="J1589" i="3"/>
  <c r="J1309" i="3" s="1"/>
  <c r="K1589" i="3"/>
  <c r="K1309" i="3" s="1"/>
  <c r="N1589" i="3"/>
  <c r="N1309" i="3" s="1"/>
  <c r="M1589" i="3"/>
  <c r="M1309" i="3" s="1"/>
  <c r="L1589" i="3"/>
  <c r="L1309" i="3" s="1"/>
  <c r="N1597" i="3"/>
  <c r="N1317" i="3" s="1"/>
  <c r="K1597" i="3"/>
  <c r="K1317" i="3" s="1"/>
  <c r="L1597" i="3"/>
  <c r="L1317" i="3" s="1"/>
  <c r="J1597" i="3"/>
  <c r="J1317" i="3" s="1"/>
  <c r="M1597" i="3"/>
  <c r="M1317" i="3" s="1"/>
  <c r="K1605" i="3"/>
  <c r="K1325" i="3" s="1"/>
  <c r="M1605" i="3"/>
  <c r="M1325" i="3" s="1"/>
  <c r="N1605" i="3"/>
  <c r="N1325" i="3" s="1"/>
  <c r="J1605" i="3"/>
  <c r="J1325" i="3" s="1"/>
  <c r="L1605" i="3"/>
  <c r="L1325" i="3" s="1"/>
  <c r="J1613" i="3"/>
  <c r="J1333" i="3" s="1"/>
  <c r="M1613" i="3"/>
  <c r="M1333" i="3" s="1"/>
  <c r="K1613" i="3"/>
  <c r="K1333" i="3" s="1"/>
  <c r="N1613" i="3"/>
  <c r="N1333" i="3" s="1"/>
  <c r="L1613" i="3"/>
  <c r="L1333" i="3" s="1"/>
  <c r="L1617" i="3"/>
  <c r="L1337" i="3" s="1"/>
  <c r="K1617" i="3"/>
  <c r="K1337" i="3" s="1"/>
  <c r="N1617" i="3"/>
  <c r="N1337" i="3" s="1"/>
  <c r="M1617" i="3"/>
  <c r="M1337" i="3" s="1"/>
  <c r="J1617" i="3"/>
  <c r="J1337" i="3" s="1"/>
  <c r="K1625" i="3"/>
  <c r="K1345" i="3" s="1"/>
  <c r="J1625" i="3"/>
  <c r="J1345" i="3" s="1"/>
  <c r="L1625" i="3"/>
  <c r="L1345" i="3" s="1"/>
  <c r="M1625" i="3"/>
  <c r="M1345" i="3" s="1"/>
  <c r="N1625" i="3"/>
  <c r="N1345" i="3" s="1"/>
  <c r="N1629" i="3"/>
  <c r="N1349" i="3" s="1"/>
  <c r="K1629" i="3"/>
  <c r="K1349" i="3" s="1"/>
  <c r="L1629" i="3"/>
  <c r="L1349" i="3" s="1"/>
  <c r="J1629" i="3"/>
  <c r="J1349" i="3" s="1"/>
  <c r="M1629" i="3"/>
  <c r="M1349" i="3" s="1"/>
  <c r="M1637" i="3"/>
  <c r="M1357" i="3" s="1"/>
  <c r="N1637" i="3"/>
  <c r="N1357" i="3" s="1"/>
  <c r="K1637" i="3"/>
  <c r="K1357" i="3" s="1"/>
  <c r="L1637" i="3"/>
  <c r="L1357" i="3" s="1"/>
  <c r="J1637" i="3"/>
  <c r="J1357" i="3" s="1"/>
  <c r="M1641" i="3"/>
  <c r="M1361" i="3" s="1"/>
  <c r="N1641" i="3"/>
  <c r="N1361" i="3" s="1"/>
  <c r="L1641" i="3"/>
  <c r="L1361" i="3" s="1"/>
  <c r="J1641" i="3"/>
  <c r="J1361" i="3" s="1"/>
  <c r="K1641" i="3"/>
  <c r="K1361" i="3" s="1"/>
  <c r="L1649" i="3"/>
  <c r="L1369" i="3" s="1"/>
  <c r="N1649" i="3"/>
  <c r="N1369" i="3" s="1"/>
  <c r="M1649" i="3"/>
  <c r="M1369" i="3" s="1"/>
  <c r="K1649" i="3"/>
  <c r="K1369" i="3" s="1"/>
  <c r="J1649" i="3"/>
  <c r="J1369" i="3" s="1"/>
  <c r="K1657" i="3"/>
  <c r="K1377" i="3" s="1"/>
  <c r="J1657" i="3"/>
  <c r="J1377" i="3" s="1"/>
  <c r="L1657" i="3"/>
  <c r="L1377" i="3" s="1"/>
  <c r="N1657" i="3"/>
  <c r="N1377" i="3" s="1"/>
  <c r="M1657" i="3"/>
  <c r="M1377" i="3" s="1"/>
  <c r="M1661" i="3"/>
  <c r="M1381" i="3" s="1"/>
  <c r="J1661" i="3"/>
  <c r="J1381" i="3" s="1"/>
  <c r="L1661" i="3"/>
  <c r="L1381" i="3" s="1"/>
  <c r="N1661" i="3"/>
  <c r="N1381" i="3" s="1"/>
  <c r="K1661" i="3"/>
  <c r="K1381" i="3" s="1"/>
  <c r="J1669" i="3"/>
  <c r="J1389" i="3" s="1"/>
  <c r="N1669" i="3"/>
  <c r="N1389" i="3" s="1"/>
  <c r="K1669" i="3"/>
  <c r="K1389" i="3" s="1"/>
  <c r="M1669" i="3"/>
  <c r="M1389" i="3" s="1"/>
  <c r="L1669" i="3"/>
  <c r="L1389" i="3" s="1"/>
  <c r="K1677" i="3"/>
  <c r="K1397" i="3" s="1"/>
  <c r="N1677" i="3"/>
  <c r="N1397" i="3" s="1"/>
  <c r="M1677" i="3"/>
  <c r="M1397" i="3" s="1"/>
  <c r="J1677" i="3"/>
  <c r="J1397" i="3" s="1"/>
  <c r="L1677" i="3"/>
  <c r="L1397" i="3" s="1"/>
  <c r="J1681" i="3"/>
  <c r="J1401" i="3" s="1"/>
  <c r="N1681" i="3"/>
  <c r="N1401" i="3" s="1"/>
  <c r="K1681" i="3"/>
  <c r="K1401" i="3" s="1"/>
  <c r="L1681" i="3"/>
  <c r="L1401" i="3" s="1"/>
  <c r="M1681" i="3"/>
  <c r="M1401" i="3" s="1"/>
  <c r="N1689" i="3"/>
  <c r="N1409" i="3" s="1"/>
  <c r="J1689" i="3"/>
  <c r="J1409" i="3" s="1"/>
  <c r="M1689" i="3"/>
  <c r="M1409" i="3" s="1"/>
  <c r="L1689" i="3"/>
  <c r="L1409" i="3" s="1"/>
  <c r="K1689" i="3"/>
  <c r="K1409" i="3" s="1"/>
  <c r="M1693" i="3"/>
  <c r="M1413" i="3" s="1"/>
  <c r="L1693" i="3"/>
  <c r="L1413" i="3" s="1"/>
  <c r="K1693" i="3"/>
  <c r="K1413" i="3" s="1"/>
  <c r="N1693" i="3"/>
  <c r="N1413" i="3" s="1"/>
  <c r="J1693" i="3"/>
  <c r="J1413" i="3" s="1"/>
  <c r="J1705" i="3"/>
  <c r="J1425" i="3" s="1"/>
  <c r="K1705" i="3"/>
  <c r="K1425" i="3" s="1"/>
  <c r="M1705" i="3"/>
  <c r="M1425" i="3" s="1"/>
  <c r="N1705" i="3"/>
  <c r="N1425" i="3" s="1"/>
  <c r="L1705" i="3"/>
  <c r="L1425" i="3" s="1"/>
  <c r="M1709" i="3"/>
  <c r="M1429" i="3" s="1"/>
  <c r="L1709" i="3"/>
  <c r="L1429" i="3" s="1"/>
  <c r="J1709" i="3"/>
  <c r="J1429" i="3" s="1"/>
  <c r="K1709" i="3"/>
  <c r="K1429" i="3" s="1"/>
  <c r="N1709" i="3"/>
  <c r="N1429" i="3" s="1"/>
  <c r="L1713" i="3"/>
  <c r="L1433" i="3" s="1"/>
  <c r="J1713" i="3"/>
  <c r="J1433" i="3" s="1"/>
  <c r="K1713" i="3"/>
  <c r="K1433" i="3" s="1"/>
  <c r="M1713" i="3"/>
  <c r="M1433" i="3" s="1"/>
  <c r="N1713" i="3"/>
  <c r="N1433" i="3" s="1"/>
  <c r="N1717" i="3"/>
  <c r="N1437" i="3" s="1"/>
  <c r="K1717" i="3"/>
  <c r="K1437" i="3" s="1"/>
  <c r="J1717" i="3"/>
  <c r="J1437" i="3" s="1"/>
  <c r="L1717" i="3"/>
  <c r="L1437" i="3" s="1"/>
  <c r="M1717" i="3"/>
  <c r="M1437" i="3" s="1"/>
  <c r="K1721" i="3"/>
  <c r="K1441" i="3" s="1"/>
  <c r="M1721" i="3"/>
  <c r="M1441" i="3" s="1"/>
  <c r="L1721" i="3"/>
  <c r="L1441" i="3" s="1"/>
  <c r="N1721" i="3"/>
  <c r="N1441" i="3" s="1"/>
  <c r="J1721" i="3"/>
  <c r="J1441" i="3" s="1"/>
  <c r="J1725" i="3"/>
  <c r="J1445" i="3" s="1"/>
  <c r="M1729" i="3"/>
  <c r="M1449" i="3" s="1"/>
  <c r="J1729" i="3"/>
  <c r="J1449" i="3" s="1"/>
  <c r="L1729" i="3"/>
  <c r="L1449" i="3" s="1"/>
  <c r="N1729" i="3"/>
  <c r="N1449" i="3" s="1"/>
  <c r="K1729" i="3"/>
  <c r="K1449" i="3" s="1"/>
  <c r="J1733" i="3"/>
  <c r="J1453" i="3" s="1"/>
  <c r="L1733" i="3"/>
  <c r="L1453" i="3" s="1"/>
  <c r="K1733" i="3"/>
  <c r="K1453" i="3" s="1"/>
  <c r="N1733" i="3"/>
  <c r="N1453" i="3" s="1"/>
  <c r="M1733" i="3"/>
  <c r="M1453" i="3" s="1"/>
  <c r="J1737" i="3"/>
  <c r="J1457" i="3" s="1"/>
  <c r="M1737" i="3"/>
  <c r="M1457" i="3" s="1"/>
  <c r="L1737" i="3"/>
  <c r="L1457" i="3" s="1"/>
  <c r="N1737" i="3"/>
  <c r="N1457" i="3" s="1"/>
  <c r="K1737" i="3"/>
  <c r="K1457" i="3" s="1"/>
  <c r="T2297" i="3"/>
  <c r="T2293" i="3"/>
  <c r="T2289" i="3"/>
  <c r="T2285" i="3"/>
  <c r="T2281" i="3"/>
  <c r="T2277" i="3"/>
  <c r="T2273" i="3"/>
  <c r="T2269" i="3"/>
  <c r="T2265" i="3"/>
  <c r="T2295" i="3"/>
  <c r="T2291" i="3"/>
  <c r="T2287" i="3"/>
  <c r="T2283" i="3"/>
  <c r="T2279" i="3"/>
  <c r="T2275" i="3"/>
  <c r="T2271" i="3"/>
  <c r="T2267" i="3"/>
  <c r="T2263" i="3"/>
  <c r="T2290" i="3"/>
  <c r="T2282" i="3"/>
  <c r="T2274" i="3"/>
  <c r="T2266" i="3"/>
  <c r="T2258" i="3"/>
  <c r="T2246" i="3"/>
  <c r="T2234" i="3"/>
  <c r="T2226" i="3"/>
  <c r="T2214" i="3"/>
  <c r="T2206" i="3"/>
  <c r="T2194" i="3"/>
  <c r="T2182" i="3"/>
  <c r="T2170" i="3"/>
  <c r="T2162" i="3"/>
  <c r="T2154" i="3"/>
  <c r="T2138" i="3"/>
  <c r="T2118" i="3"/>
  <c r="T2106" i="3"/>
  <c r="T2094" i="3"/>
  <c r="T2086" i="3"/>
  <c r="T2078" i="3"/>
  <c r="T2070" i="3"/>
  <c r="T2058" i="3"/>
  <c r="T2046" i="3"/>
  <c r="T2038" i="3"/>
  <c r="T2030" i="3"/>
  <c r="T2294" i="3"/>
  <c r="T2286" i="3"/>
  <c r="T2278" i="3"/>
  <c r="T2270" i="3"/>
  <c r="T2262" i="3"/>
  <c r="T2260" i="3"/>
  <c r="T2256" i="3"/>
  <c r="T2244" i="3"/>
  <c r="T2232" i="3"/>
  <c r="T2224" i="3"/>
  <c r="T2212" i="3"/>
  <c r="T2204" i="3"/>
  <c r="T2192" i="3"/>
  <c r="T2184" i="3"/>
  <c r="T2172" i="3"/>
  <c r="T2164" i="3"/>
  <c r="T2152" i="3"/>
  <c r="T2136" i="3"/>
  <c r="T2120" i="3"/>
  <c r="T2108" i="3"/>
  <c r="T2096" i="3"/>
  <c r="T2084" i="3"/>
  <c r="T2076" i="3"/>
  <c r="T2068" i="3"/>
  <c r="T2056" i="3"/>
  <c r="T2048" i="3"/>
  <c r="T2040" i="3"/>
  <c r="T2032" i="3"/>
  <c r="T2296" i="3"/>
  <c r="T2280" i="3"/>
  <c r="T2264" i="3"/>
  <c r="T2257" i="3"/>
  <c r="T2233" i="3"/>
  <c r="T2225" i="3"/>
  <c r="T2193" i="3"/>
  <c r="T2169" i="3"/>
  <c r="T2161" i="3"/>
  <c r="T2153" i="3"/>
  <c r="T2137" i="3"/>
  <c r="T2105" i="3"/>
  <c r="T2057" i="3"/>
  <c r="T2284" i="3"/>
  <c r="T2268" i="3"/>
  <c r="T2259" i="3"/>
  <c r="T2243" i="3"/>
  <c r="T2211" i="3"/>
  <c r="T2203" i="3"/>
  <c r="T2171" i="3"/>
  <c r="T2163" i="3"/>
  <c r="T2107" i="3"/>
  <c r="T2083" i="3"/>
  <c r="T2075" i="3"/>
  <c r="T2067" i="3"/>
  <c r="T2031" i="3"/>
  <c r="T2288" i="3"/>
  <c r="T2272" i="3"/>
  <c r="T2261" i="3"/>
  <c r="T2245" i="3"/>
  <c r="T2213" i="3"/>
  <c r="T2205" i="3"/>
  <c r="T2181" i="3"/>
  <c r="T2117" i="3"/>
  <c r="T2093" i="3"/>
  <c r="T2085" i="3"/>
  <c r="T2077" i="3"/>
  <c r="T2069" i="3"/>
  <c r="T2045" i="3"/>
  <c r="T2037" i="3"/>
  <c r="T2292" i="3"/>
  <c r="T2276" i="3"/>
  <c r="T2255" i="3"/>
  <c r="T2231" i="3"/>
  <c r="T2223" i="3"/>
  <c r="T2191" i="3"/>
  <c r="T2183" i="3"/>
  <c r="T2151" i="3"/>
  <c r="T2135" i="3"/>
  <c r="T2119" i="3"/>
  <c r="T2095" i="3"/>
  <c r="T2055" i="3"/>
  <c r="T2047" i="3"/>
  <c r="T2039" i="3"/>
  <c r="AB2297" i="3"/>
  <c r="AB2293" i="3"/>
  <c r="AB2289" i="3"/>
  <c r="AB2285" i="3"/>
  <c r="AB2281" i="3"/>
  <c r="AB2277" i="3"/>
  <c r="AB2273" i="3"/>
  <c r="AB2269" i="3"/>
  <c r="AB2265" i="3"/>
  <c r="AB2295" i="3"/>
  <c r="AB2291" i="3"/>
  <c r="AB2287" i="3"/>
  <c r="AB2283" i="3"/>
  <c r="AB2279" i="3"/>
  <c r="AB2275" i="3"/>
  <c r="AB2271" i="3"/>
  <c r="AB2267" i="3"/>
  <c r="AB2263" i="3"/>
  <c r="AB2290" i="3"/>
  <c r="AB2282" i="3"/>
  <c r="AB2274" i="3"/>
  <c r="AB2266" i="3"/>
  <c r="AB2258" i="3"/>
  <c r="AB2246" i="3"/>
  <c r="AB2234" i="3"/>
  <c r="AB2226" i="3"/>
  <c r="AB2214" i="3"/>
  <c r="AB2206" i="3"/>
  <c r="AB2194" i="3"/>
  <c r="AB2182" i="3"/>
  <c r="AB2170" i="3"/>
  <c r="AB2162" i="3"/>
  <c r="AB2154" i="3"/>
  <c r="AB2138" i="3"/>
  <c r="AB2118" i="3"/>
  <c r="AB2106" i="3"/>
  <c r="AB2094" i="3"/>
  <c r="AB2086" i="3"/>
  <c r="AB2078" i="3"/>
  <c r="AB2070" i="3"/>
  <c r="AB2058" i="3"/>
  <c r="AB2046" i="3"/>
  <c r="AB2038" i="3"/>
  <c r="AB2294" i="3"/>
  <c r="AB2286" i="3"/>
  <c r="AB2278" i="3"/>
  <c r="AB2270" i="3"/>
  <c r="AB2262" i="3"/>
  <c r="AB2260" i="3"/>
  <c r="AB2256" i="3"/>
  <c r="AB2244" i="3"/>
  <c r="AB2232" i="3"/>
  <c r="AB2224" i="3"/>
  <c r="AB2212" i="3"/>
  <c r="AB2204" i="3"/>
  <c r="AB2192" i="3"/>
  <c r="AB2184" i="3"/>
  <c r="AB2172" i="3"/>
  <c r="AB2164" i="3"/>
  <c r="AB2152" i="3"/>
  <c r="AB2136" i="3"/>
  <c r="AB2120" i="3"/>
  <c r="AB2108" i="3"/>
  <c r="AB2096" i="3"/>
  <c r="AB2084" i="3"/>
  <c r="AB2076" i="3"/>
  <c r="AB2068" i="3"/>
  <c r="AB2056" i="3"/>
  <c r="AB2048" i="3"/>
  <c r="AB2040" i="3"/>
  <c r="AB2032" i="3"/>
  <c r="AB2288" i="3"/>
  <c r="AB2272" i="3"/>
  <c r="AB2257" i="3"/>
  <c r="AB2233" i="3"/>
  <c r="AB2225" i="3"/>
  <c r="AB2193" i="3"/>
  <c r="AB2169" i="3"/>
  <c r="AB2161" i="3"/>
  <c r="AB2153" i="3"/>
  <c r="AB2137" i="3"/>
  <c r="AB2105" i="3"/>
  <c r="AB2057" i="3"/>
  <c r="AB2292" i="3"/>
  <c r="AB2276" i="3"/>
  <c r="AB2259" i="3"/>
  <c r="AB2243" i="3"/>
  <c r="AB2211" i="3"/>
  <c r="AB2203" i="3"/>
  <c r="AB2171" i="3"/>
  <c r="AB2163" i="3"/>
  <c r="AB2107" i="3"/>
  <c r="AB2083" i="3"/>
  <c r="AB2075" i="3"/>
  <c r="AB2067" i="3"/>
  <c r="AB2296" i="3"/>
  <c r="AB2280" i="3"/>
  <c r="AB2245" i="3"/>
  <c r="AB2213" i="3"/>
  <c r="AB2205" i="3"/>
  <c r="AB2181" i="3"/>
  <c r="AB2117" i="3"/>
  <c r="AB2093" i="3"/>
  <c r="AB2085" i="3"/>
  <c r="AB2077" i="3"/>
  <c r="AB2069" i="3"/>
  <c r="AB2045" i="3"/>
  <c r="AB2037" i="3"/>
  <c r="AB2284" i="3"/>
  <c r="AB2268" i="3"/>
  <c r="AB2255" i="3"/>
  <c r="AB2231" i="3"/>
  <c r="AB2223" i="3"/>
  <c r="AB2191" i="3"/>
  <c r="AB2183" i="3"/>
  <c r="AB2151" i="3"/>
  <c r="AB2135" i="3"/>
  <c r="AB2119" i="3"/>
  <c r="AB2095" i="3"/>
  <c r="AB2055" i="3"/>
  <c r="AB2047" i="3"/>
  <c r="AB2039" i="3"/>
  <c r="AB2031" i="3"/>
  <c r="AF2297" i="3"/>
  <c r="AF2293" i="3"/>
  <c r="AF2289" i="3"/>
  <c r="AF2285" i="3"/>
  <c r="AF2281" i="3"/>
  <c r="AF2277" i="3"/>
  <c r="AF2273" i="3"/>
  <c r="AF2269" i="3"/>
  <c r="AF2265" i="3"/>
  <c r="AF2295" i="3"/>
  <c r="AF2291" i="3"/>
  <c r="AF2287" i="3"/>
  <c r="AF2283" i="3"/>
  <c r="AF2279" i="3"/>
  <c r="AF2275" i="3"/>
  <c r="AF2271" i="3"/>
  <c r="AF2267" i="3"/>
  <c r="AF2294" i="3"/>
  <c r="AF2286" i="3"/>
  <c r="AF2278" i="3"/>
  <c r="AF2270" i="3"/>
  <c r="AF2262" i="3"/>
  <c r="AF2290" i="3"/>
  <c r="AF2282" i="3"/>
  <c r="AF2274" i="3"/>
  <c r="AF2266" i="3"/>
  <c r="AF2032" i="3"/>
  <c r="AF2292" i="3"/>
  <c r="AF2276" i="3"/>
  <c r="AF2296" i="3"/>
  <c r="AF2280" i="3"/>
  <c r="AF2031" i="3"/>
  <c r="AF2284" i="3"/>
  <c r="AF2268" i="3"/>
  <c r="AF2288" i="3"/>
  <c r="AF2272" i="3"/>
  <c r="AN2297" i="3"/>
  <c r="AN2293" i="3"/>
  <c r="AN2289" i="3"/>
  <c r="AN2285" i="3"/>
  <c r="AN2281" i="3"/>
  <c r="AN2277" i="3"/>
  <c r="AN2273" i="3"/>
  <c r="AN2269" i="3"/>
  <c r="AN2265" i="3"/>
  <c r="AN2295" i="3"/>
  <c r="AN2291" i="3"/>
  <c r="AN2287" i="3"/>
  <c r="AN2283" i="3"/>
  <c r="AN2279" i="3"/>
  <c r="AN2275" i="3"/>
  <c r="AN2271" i="3"/>
  <c r="AN2267" i="3"/>
  <c r="AN2294" i="3"/>
  <c r="AN2286" i="3"/>
  <c r="AN2278" i="3"/>
  <c r="AN2270" i="3"/>
  <c r="AN2290" i="3"/>
  <c r="AN2282" i="3"/>
  <c r="AN2274" i="3"/>
  <c r="AN2266" i="3"/>
  <c r="AN2284" i="3"/>
  <c r="AN2268" i="3"/>
  <c r="AN2288" i="3"/>
  <c r="AN2272" i="3"/>
  <c r="AN2292" i="3"/>
  <c r="AN2276" i="3"/>
  <c r="AN2296" i="3"/>
  <c r="AN2280" i="3"/>
  <c r="AR2297" i="3"/>
  <c r="AR2293" i="3"/>
  <c r="AR2289" i="3"/>
  <c r="AR2285" i="3"/>
  <c r="AR2281" i="3"/>
  <c r="AR2277" i="3"/>
  <c r="AR2273" i="3"/>
  <c r="AR2269" i="3"/>
  <c r="AR2265" i="3"/>
  <c r="AR2295" i="3"/>
  <c r="AR2291" i="3"/>
  <c r="AR2287" i="3"/>
  <c r="AR2283" i="3"/>
  <c r="AR2279" i="3"/>
  <c r="AR2275" i="3"/>
  <c r="AR2271" i="3"/>
  <c r="AR2267" i="3"/>
  <c r="AR2290" i="3"/>
  <c r="AR2282" i="3"/>
  <c r="AR2274" i="3"/>
  <c r="AR2266" i="3"/>
  <c r="AR2294" i="3"/>
  <c r="AR2286" i="3"/>
  <c r="AR2278" i="3"/>
  <c r="AR2270" i="3"/>
  <c r="AR2288" i="3"/>
  <c r="AR2272" i="3"/>
  <c r="AR2292" i="3"/>
  <c r="AR2276" i="3"/>
  <c r="AR2296" i="3"/>
  <c r="AR2280" i="3"/>
  <c r="AR2284" i="3"/>
  <c r="AR2268" i="3"/>
  <c r="R2295" i="3"/>
  <c r="R2291" i="3"/>
  <c r="R2287" i="3"/>
  <c r="R2283" i="3"/>
  <c r="R2279" i="3"/>
  <c r="R2275" i="3"/>
  <c r="R2271" i="3"/>
  <c r="R2267" i="3"/>
  <c r="R2263" i="3"/>
  <c r="R2297" i="3"/>
  <c r="R2293" i="3"/>
  <c r="R2289" i="3"/>
  <c r="R2285" i="3"/>
  <c r="R2281" i="3"/>
  <c r="R2277" i="3"/>
  <c r="R2273" i="3"/>
  <c r="R2269" i="3"/>
  <c r="R2265" i="3"/>
  <c r="R2296" i="3"/>
  <c r="R2288" i="3"/>
  <c r="R2280" i="3"/>
  <c r="R2272" i="3"/>
  <c r="R2264" i="3"/>
  <c r="R2260" i="3"/>
  <c r="R2256" i="3"/>
  <c r="R2244" i="3"/>
  <c r="R2232" i="3"/>
  <c r="R2224" i="3"/>
  <c r="R2212" i="3"/>
  <c r="R2204" i="3"/>
  <c r="R2192" i="3"/>
  <c r="R2184" i="3"/>
  <c r="R2172" i="3"/>
  <c r="R2164" i="3"/>
  <c r="R2152" i="3"/>
  <c r="R2136" i="3"/>
  <c r="R2120" i="3"/>
  <c r="R2108" i="3"/>
  <c r="R2096" i="3"/>
  <c r="R2084" i="3"/>
  <c r="R2076" i="3"/>
  <c r="R2068" i="3"/>
  <c r="R2056" i="3"/>
  <c r="R2048" i="3"/>
  <c r="R2040" i="3"/>
  <c r="R2032" i="3"/>
  <c r="R2292" i="3"/>
  <c r="R2284" i="3"/>
  <c r="R2276" i="3"/>
  <c r="R2268" i="3"/>
  <c r="R2258" i="3"/>
  <c r="R2246" i="3"/>
  <c r="R2234" i="3"/>
  <c r="R2226" i="3"/>
  <c r="R2214" i="3"/>
  <c r="R2206" i="3"/>
  <c r="R2194" i="3"/>
  <c r="R2182" i="3"/>
  <c r="R2170" i="3"/>
  <c r="R2162" i="3"/>
  <c r="R2154" i="3"/>
  <c r="R2138" i="3"/>
  <c r="R2118" i="3"/>
  <c r="R2106" i="3"/>
  <c r="R2094" i="3"/>
  <c r="R2086" i="3"/>
  <c r="R2078" i="3"/>
  <c r="R2074" i="3"/>
  <c r="R2070" i="3"/>
  <c r="R2058" i="3"/>
  <c r="R2046" i="3"/>
  <c r="R2038" i="3"/>
  <c r="R2030" i="3"/>
  <c r="R2286" i="3"/>
  <c r="R2270" i="3"/>
  <c r="R2255" i="3"/>
  <c r="R2231" i="3"/>
  <c r="R2223" i="3"/>
  <c r="R2191" i="3"/>
  <c r="R2183" i="3"/>
  <c r="R2151" i="3"/>
  <c r="R2135" i="3"/>
  <c r="R2119" i="3"/>
  <c r="R2095" i="3"/>
  <c r="R2055" i="3"/>
  <c r="R2047" i="3"/>
  <c r="R2039" i="3"/>
  <c r="R2031" i="3"/>
  <c r="R2290" i="3"/>
  <c r="R2274" i="3"/>
  <c r="R2257" i="3"/>
  <c r="R2233" i="3"/>
  <c r="R2225" i="3"/>
  <c r="R2193" i="3"/>
  <c r="R2169" i="3"/>
  <c r="R2161" i="3"/>
  <c r="R2153" i="3"/>
  <c r="R2137" i="3"/>
  <c r="R2105" i="3"/>
  <c r="R2073" i="3"/>
  <c r="R2057" i="3"/>
  <c r="R2294" i="3"/>
  <c r="R2278" i="3"/>
  <c r="R2262" i="3"/>
  <c r="R2259" i="3"/>
  <c r="R2243" i="3"/>
  <c r="R2211" i="3"/>
  <c r="R2203" i="3"/>
  <c r="R2171" i="3"/>
  <c r="R2163" i="3"/>
  <c r="R2107" i="3"/>
  <c r="R2083" i="3"/>
  <c r="R2075" i="3"/>
  <c r="R2067" i="3"/>
  <c r="R2282" i="3"/>
  <c r="R2266" i="3"/>
  <c r="R2261" i="3"/>
  <c r="R2245" i="3"/>
  <c r="R2213" i="3"/>
  <c r="R2205" i="3"/>
  <c r="R2181" i="3"/>
  <c r="R2117" i="3"/>
  <c r="R2093" i="3"/>
  <c r="R2085" i="3"/>
  <c r="R2077" i="3"/>
  <c r="R2069" i="3"/>
  <c r="R2045" i="3"/>
  <c r="R2037" i="3"/>
  <c r="V2295" i="3"/>
  <c r="V2291" i="3"/>
  <c r="V2287" i="3"/>
  <c r="V2283" i="3"/>
  <c r="V2279" i="3"/>
  <c r="V2275" i="3"/>
  <c r="V2271" i="3"/>
  <c r="V2267" i="3"/>
  <c r="V2263" i="3"/>
  <c r="V2297" i="3"/>
  <c r="V2293" i="3"/>
  <c r="V2289" i="3"/>
  <c r="V2285" i="3"/>
  <c r="V2281" i="3"/>
  <c r="V2277" i="3"/>
  <c r="V2273" i="3"/>
  <c r="V2269" i="3"/>
  <c r="V2265" i="3"/>
  <c r="V2292" i="3"/>
  <c r="V2284" i="3"/>
  <c r="V2276" i="3"/>
  <c r="V2268" i="3"/>
  <c r="V2260" i="3"/>
  <c r="V2256" i="3"/>
  <c r="V2244" i="3"/>
  <c r="V2232" i="3"/>
  <c r="V2224" i="3"/>
  <c r="V2212" i="3"/>
  <c r="V2204" i="3"/>
  <c r="V2192" i="3"/>
  <c r="V2184" i="3"/>
  <c r="V2172" i="3"/>
  <c r="V2164" i="3"/>
  <c r="V2152" i="3"/>
  <c r="V2136" i="3"/>
  <c r="V2120" i="3"/>
  <c r="V2108" i="3"/>
  <c r="V2096" i="3"/>
  <c r="V2084" i="3"/>
  <c r="V2076" i="3"/>
  <c r="V2068" i="3"/>
  <c r="V2056" i="3"/>
  <c r="V2048" i="3"/>
  <c r="V2040" i="3"/>
  <c r="V2032" i="3"/>
  <c r="V2296" i="3"/>
  <c r="V2288" i="3"/>
  <c r="V2280" i="3"/>
  <c r="V2272" i="3"/>
  <c r="V2264" i="3"/>
  <c r="V2258" i="3"/>
  <c r="V2246" i="3"/>
  <c r="V2234" i="3"/>
  <c r="V2226" i="3"/>
  <c r="V2214" i="3"/>
  <c r="V2206" i="3"/>
  <c r="V2194" i="3"/>
  <c r="V2182" i="3"/>
  <c r="V2170" i="3"/>
  <c r="V2162" i="3"/>
  <c r="V2154" i="3"/>
  <c r="V2138" i="3"/>
  <c r="V2118" i="3"/>
  <c r="V2106" i="3"/>
  <c r="V2094" i="3"/>
  <c r="V2086" i="3"/>
  <c r="V2078" i="3"/>
  <c r="V2070" i="3"/>
  <c r="V2058" i="3"/>
  <c r="V2046" i="3"/>
  <c r="V2038" i="3"/>
  <c r="V2030" i="3"/>
  <c r="V2290" i="3"/>
  <c r="V2274" i="3"/>
  <c r="V2259" i="3"/>
  <c r="V2243" i="3"/>
  <c r="V2211" i="3"/>
  <c r="V2203" i="3"/>
  <c r="V2171" i="3"/>
  <c r="V2163" i="3"/>
  <c r="V2107" i="3"/>
  <c r="V2083" i="3"/>
  <c r="V2075" i="3"/>
  <c r="V2067" i="3"/>
  <c r="V2294" i="3"/>
  <c r="V2278" i="3"/>
  <c r="V2262" i="3"/>
  <c r="V2261" i="3"/>
  <c r="V2245" i="3"/>
  <c r="V2213" i="3"/>
  <c r="V2205" i="3"/>
  <c r="V2181" i="3"/>
  <c r="V2117" i="3"/>
  <c r="V2093" i="3"/>
  <c r="V2085" i="3"/>
  <c r="V2077" i="3"/>
  <c r="V2069" i="3"/>
  <c r="V2045" i="3"/>
  <c r="V2037" i="3"/>
  <c r="V2282" i="3"/>
  <c r="V2266" i="3"/>
  <c r="V2255" i="3"/>
  <c r="V2231" i="3"/>
  <c r="V2223" i="3"/>
  <c r="V2191" i="3"/>
  <c r="V2183" i="3"/>
  <c r="V2151" i="3"/>
  <c r="V2135" i="3"/>
  <c r="V2119" i="3"/>
  <c r="V2095" i="3"/>
  <c r="V2055" i="3"/>
  <c r="V2047" i="3"/>
  <c r="V2039" i="3"/>
  <c r="V2031" i="3"/>
  <c r="V2286" i="3"/>
  <c r="V2270" i="3"/>
  <c r="V2257" i="3"/>
  <c r="V2233" i="3"/>
  <c r="V2225" i="3"/>
  <c r="V2193" i="3"/>
  <c r="V2169" i="3"/>
  <c r="V2161" i="3"/>
  <c r="V2153" i="3"/>
  <c r="V2137" i="3"/>
  <c r="V2105" i="3"/>
  <c r="V2057" i="3"/>
  <c r="Z2295" i="3"/>
  <c r="Z2291" i="3"/>
  <c r="Z2287" i="3"/>
  <c r="Z2283" i="3"/>
  <c r="Z2279" i="3"/>
  <c r="Z2275" i="3"/>
  <c r="Z2271" i="3"/>
  <c r="Z2267" i="3"/>
  <c r="Z2263" i="3"/>
  <c r="Z2297" i="3"/>
  <c r="Z2293" i="3"/>
  <c r="Z2289" i="3"/>
  <c r="Z2285" i="3"/>
  <c r="Z2281" i="3"/>
  <c r="Z2277" i="3"/>
  <c r="Z2273" i="3"/>
  <c r="Z2269" i="3"/>
  <c r="Z2265" i="3"/>
  <c r="Z2296" i="3"/>
  <c r="Z2288" i="3"/>
  <c r="Z2280" i="3"/>
  <c r="Z2272" i="3"/>
  <c r="Z2264" i="3"/>
  <c r="Z2260" i="3"/>
  <c r="Z2256" i="3"/>
  <c r="Z2244" i="3"/>
  <c r="Z2232" i="3"/>
  <c r="Z2224" i="3"/>
  <c r="Z2212" i="3"/>
  <c r="Z2204" i="3"/>
  <c r="Z2192" i="3"/>
  <c r="Z2184" i="3"/>
  <c r="Z2172" i="3"/>
  <c r="Z2164" i="3"/>
  <c r="Z2152" i="3"/>
  <c r="Z2136" i="3"/>
  <c r="Z2120" i="3"/>
  <c r="Z2108" i="3"/>
  <c r="Z2096" i="3"/>
  <c r="Z2084" i="3"/>
  <c r="Z2076" i="3"/>
  <c r="Z2068" i="3"/>
  <c r="Z2056" i="3"/>
  <c r="Z2048" i="3"/>
  <c r="Z2040" i="3"/>
  <c r="Z2032" i="3"/>
  <c r="Z2292" i="3"/>
  <c r="Z2284" i="3"/>
  <c r="Z2276" i="3"/>
  <c r="Z2268" i="3"/>
  <c r="Z2258" i="3"/>
  <c r="Z2246" i="3"/>
  <c r="Z2234" i="3"/>
  <c r="Z2226" i="3"/>
  <c r="Z2214" i="3"/>
  <c r="Z2206" i="3"/>
  <c r="Z2194" i="3"/>
  <c r="Z2182" i="3"/>
  <c r="Z2170" i="3"/>
  <c r="Z2162" i="3"/>
  <c r="Z2154" i="3"/>
  <c r="Z2138" i="3"/>
  <c r="Z2118" i="3"/>
  <c r="Z2106" i="3"/>
  <c r="Z2094" i="3"/>
  <c r="Z2086" i="3"/>
  <c r="Z2078" i="3"/>
  <c r="Z2070" i="3"/>
  <c r="Z2058" i="3"/>
  <c r="Z2046" i="3"/>
  <c r="Z2038" i="3"/>
  <c r="Z2294" i="3"/>
  <c r="Z2278" i="3"/>
  <c r="Z2262" i="3"/>
  <c r="Z2255" i="3"/>
  <c r="Z2231" i="3"/>
  <c r="Z2223" i="3"/>
  <c r="Z2191" i="3"/>
  <c r="Z2183" i="3"/>
  <c r="Z2151" i="3"/>
  <c r="Z2135" i="3"/>
  <c r="Z2119" i="3"/>
  <c r="Z2095" i="3"/>
  <c r="Z2055" i="3"/>
  <c r="Z2047" i="3"/>
  <c r="Z2039" i="3"/>
  <c r="Z2031" i="3"/>
  <c r="Z2282" i="3"/>
  <c r="Z2266" i="3"/>
  <c r="Z2257" i="3"/>
  <c r="Z2233" i="3"/>
  <c r="Z2225" i="3"/>
  <c r="Z2193" i="3"/>
  <c r="Z2169" i="3"/>
  <c r="Z2161" i="3"/>
  <c r="Z2153" i="3"/>
  <c r="Z2137" i="3"/>
  <c r="Z2105" i="3"/>
  <c r="Z2057" i="3"/>
  <c r="Z2286" i="3"/>
  <c r="Z2270" i="3"/>
  <c r="Z2259" i="3"/>
  <c r="Z2243" i="3"/>
  <c r="Z2211" i="3"/>
  <c r="Z2203" i="3"/>
  <c r="Z2171" i="3"/>
  <c r="Z2163" i="3"/>
  <c r="Z2107" i="3"/>
  <c r="Z2083" i="3"/>
  <c r="Z2075" i="3"/>
  <c r="Z2067" i="3"/>
  <c r="Z2290" i="3"/>
  <c r="Z2274" i="3"/>
  <c r="Z2245" i="3"/>
  <c r="Z2213" i="3"/>
  <c r="Z2205" i="3"/>
  <c r="Z2181" i="3"/>
  <c r="Z2117" i="3"/>
  <c r="Z2093" i="3"/>
  <c r="Z2085" i="3"/>
  <c r="Z2077" i="3"/>
  <c r="Z2069" i="3"/>
  <c r="Z2045" i="3"/>
  <c r="Z2037" i="3"/>
  <c r="AD2295" i="3"/>
  <c r="AD2291" i="3"/>
  <c r="AD2287" i="3"/>
  <c r="AD2283" i="3"/>
  <c r="AD2279" i="3"/>
  <c r="AD2275" i="3"/>
  <c r="AD2271" i="3"/>
  <c r="AD2267" i="3"/>
  <c r="AD2263" i="3"/>
  <c r="AD2297" i="3"/>
  <c r="AD2293" i="3"/>
  <c r="AD2289" i="3"/>
  <c r="AD2285" i="3"/>
  <c r="AD2281" i="3"/>
  <c r="AD2277" i="3"/>
  <c r="AD2273" i="3"/>
  <c r="AD2269" i="3"/>
  <c r="AD2265" i="3"/>
  <c r="AD2292" i="3"/>
  <c r="AD2284" i="3"/>
  <c r="AD2276" i="3"/>
  <c r="AD2268" i="3"/>
  <c r="AD2256" i="3"/>
  <c r="AD2244" i="3"/>
  <c r="AD2232" i="3"/>
  <c r="AD2224" i="3"/>
  <c r="AD2212" i="3"/>
  <c r="AD2204" i="3"/>
  <c r="AD2192" i="3"/>
  <c r="AD2184" i="3"/>
  <c r="AD2172" i="3"/>
  <c r="AD2164" i="3"/>
  <c r="AD2152" i="3"/>
  <c r="AD2136" i="3"/>
  <c r="AD2120" i="3"/>
  <c r="AD2108" i="3"/>
  <c r="AD2096" i="3"/>
  <c r="AD2084" i="3"/>
  <c r="AD2076" i="3"/>
  <c r="AD2068" i="3"/>
  <c r="AD2056" i="3"/>
  <c r="AD2048" i="3"/>
  <c r="AD2040" i="3"/>
  <c r="AD2032" i="3"/>
  <c r="AD2296" i="3"/>
  <c r="AD2288" i="3"/>
  <c r="AD2280" i="3"/>
  <c r="AD2272" i="3"/>
  <c r="AD2258" i="3"/>
  <c r="AD2246" i="3"/>
  <c r="AD2234" i="3"/>
  <c r="AD2226" i="3"/>
  <c r="AD2214" i="3"/>
  <c r="AD2206" i="3"/>
  <c r="AD2194" i="3"/>
  <c r="AD2182" i="3"/>
  <c r="AD2170" i="3"/>
  <c r="AD2162" i="3"/>
  <c r="AD2154" i="3"/>
  <c r="AD2138" i="3"/>
  <c r="AD2118" i="3"/>
  <c r="AD2106" i="3"/>
  <c r="AD2094" i="3"/>
  <c r="AD2086" i="3"/>
  <c r="AD2078" i="3"/>
  <c r="AD2070" i="3"/>
  <c r="AD2058" i="3"/>
  <c r="AD2046" i="3"/>
  <c r="AD2038" i="3"/>
  <c r="AD2282" i="3"/>
  <c r="AD2266" i="3"/>
  <c r="AD2259" i="3"/>
  <c r="AD2243" i="3"/>
  <c r="AD2211" i="3"/>
  <c r="AD2203" i="3"/>
  <c r="AD2171" i="3"/>
  <c r="AD2163" i="3"/>
  <c r="AD2107" i="3"/>
  <c r="AD2083" i="3"/>
  <c r="AD2075" i="3"/>
  <c r="AD2067" i="3"/>
  <c r="AD2286" i="3"/>
  <c r="AD2270" i="3"/>
  <c r="AD2245" i="3"/>
  <c r="AD2213" i="3"/>
  <c r="AD2205" i="3"/>
  <c r="AD2181" i="3"/>
  <c r="AD2117" i="3"/>
  <c r="AD2093" i="3"/>
  <c r="AD2085" i="3"/>
  <c r="AD2077" i="3"/>
  <c r="AD2069" i="3"/>
  <c r="AD2045" i="3"/>
  <c r="AD2037" i="3"/>
  <c r="AD2290" i="3"/>
  <c r="AD2274" i="3"/>
  <c r="AD2255" i="3"/>
  <c r="AD2231" i="3"/>
  <c r="AD2223" i="3"/>
  <c r="AD2191" i="3"/>
  <c r="AD2183" i="3"/>
  <c r="AD2151" i="3"/>
  <c r="AD2135" i="3"/>
  <c r="AD2119" i="3"/>
  <c r="AD2095" i="3"/>
  <c r="AD2055" i="3"/>
  <c r="AD2047" i="3"/>
  <c r="AD2039" i="3"/>
  <c r="AD2031" i="3"/>
  <c r="AD2294" i="3"/>
  <c r="AD2278" i="3"/>
  <c r="AD2262" i="3"/>
  <c r="AD2257" i="3"/>
  <c r="AD2233" i="3"/>
  <c r="AD2225" i="3"/>
  <c r="AD2193" i="3"/>
  <c r="AD2169" i="3"/>
  <c r="AD2161" i="3"/>
  <c r="AD2153" i="3"/>
  <c r="AD2137" i="3"/>
  <c r="AD2105" i="3"/>
  <c r="AD2057" i="3"/>
  <c r="AH2295" i="3"/>
  <c r="AH2291" i="3"/>
  <c r="AH2287" i="3"/>
  <c r="AH2283" i="3"/>
  <c r="AH2279" i="3"/>
  <c r="AH2275" i="3"/>
  <c r="AH2271" i="3"/>
  <c r="AH2267" i="3"/>
  <c r="AH2297" i="3"/>
  <c r="AH2293" i="3"/>
  <c r="AH2289" i="3"/>
  <c r="AH2285" i="3"/>
  <c r="AH2281" i="3"/>
  <c r="AH2277" i="3"/>
  <c r="AH2273" i="3"/>
  <c r="AH2269" i="3"/>
  <c r="AH2265" i="3"/>
  <c r="AH2296" i="3"/>
  <c r="AH2288" i="3"/>
  <c r="AH2280" i="3"/>
  <c r="AH2272" i="3"/>
  <c r="AH2032" i="3"/>
  <c r="AH2292" i="3"/>
  <c r="AH2284" i="3"/>
  <c r="AH2276" i="3"/>
  <c r="AH2268" i="3"/>
  <c r="AH2286" i="3"/>
  <c r="AH2270" i="3"/>
  <c r="AH2031" i="3"/>
  <c r="AH2290" i="3"/>
  <c r="AH2274" i="3"/>
  <c r="AH2294" i="3"/>
  <c r="AH2278" i="3"/>
  <c r="AH2282" i="3"/>
  <c r="AH2266" i="3"/>
  <c r="AL2295" i="3"/>
  <c r="AL2291" i="3"/>
  <c r="AL2287" i="3"/>
  <c r="AL2283" i="3"/>
  <c r="AL2279" i="3"/>
  <c r="AL2275" i="3"/>
  <c r="AL2271" i="3"/>
  <c r="AL2267" i="3"/>
  <c r="AL2297" i="3"/>
  <c r="AL2293" i="3"/>
  <c r="AL2289" i="3"/>
  <c r="AL2285" i="3"/>
  <c r="AL2281" i="3"/>
  <c r="AL2277" i="3"/>
  <c r="AL2273" i="3"/>
  <c r="AL2269" i="3"/>
  <c r="AL2265" i="3"/>
  <c r="AL2292" i="3"/>
  <c r="AL2284" i="3"/>
  <c r="AL2276" i="3"/>
  <c r="AL2268" i="3"/>
  <c r="AL2296" i="3"/>
  <c r="AL2288" i="3"/>
  <c r="AL2280" i="3"/>
  <c r="AL2272" i="3"/>
  <c r="AL2290" i="3"/>
  <c r="AL2274" i="3"/>
  <c r="AL2294" i="3"/>
  <c r="AL2278" i="3"/>
  <c r="AL2282" i="3"/>
  <c r="AL2266" i="3"/>
  <c r="AL2286" i="3"/>
  <c r="AL2270" i="3"/>
  <c r="AP2295" i="3"/>
  <c r="AP2291" i="3"/>
  <c r="AP2287" i="3"/>
  <c r="AP2283" i="3"/>
  <c r="AP2279" i="3"/>
  <c r="AP2275" i="3"/>
  <c r="AP2271" i="3"/>
  <c r="AP2267" i="3"/>
  <c r="AP2297" i="3"/>
  <c r="AP2293" i="3"/>
  <c r="AP2289" i="3"/>
  <c r="AP2285" i="3"/>
  <c r="AP2281" i="3"/>
  <c r="AP2277" i="3"/>
  <c r="AP2273" i="3"/>
  <c r="AP2269" i="3"/>
  <c r="AP2265" i="3"/>
  <c r="AP2296" i="3"/>
  <c r="AP2288" i="3"/>
  <c r="AP2280" i="3"/>
  <c r="AP2272" i="3"/>
  <c r="AP2292" i="3"/>
  <c r="AP2284" i="3"/>
  <c r="AP2276" i="3"/>
  <c r="AP2268" i="3"/>
  <c r="AP2294" i="3"/>
  <c r="AP2278" i="3"/>
  <c r="AP2282" i="3"/>
  <c r="AP2266" i="3"/>
  <c r="AP2286" i="3"/>
  <c r="AP2270" i="3"/>
  <c r="AP2290" i="3"/>
  <c r="AP2274" i="3"/>
  <c r="AT2295" i="3"/>
  <c r="AT2291" i="3"/>
  <c r="AT2287" i="3"/>
  <c r="AT2283" i="3"/>
  <c r="AT2279" i="3"/>
  <c r="AT2275" i="3"/>
  <c r="AT2271" i="3"/>
  <c r="AT2267" i="3"/>
  <c r="AT2297" i="3"/>
  <c r="AT2293" i="3"/>
  <c r="AT2289" i="3"/>
  <c r="AT2285" i="3"/>
  <c r="AT2281" i="3"/>
  <c r="AT2277" i="3"/>
  <c r="AT2273" i="3"/>
  <c r="AT2269" i="3"/>
  <c r="AT2265" i="3"/>
  <c r="AT2292" i="3"/>
  <c r="AT2284" i="3"/>
  <c r="AT2276" i="3"/>
  <c r="AT2268" i="3"/>
  <c r="AT2296" i="3"/>
  <c r="AT2288" i="3"/>
  <c r="AT2280" i="3"/>
  <c r="AT2272" i="3"/>
  <c r="AT2282" i="3"/>
  <c r="AT2266" i="3"/>
  <c r="AT2286" i="3"/>
  <c r="AT2270" i="3"/>
  <c r="AT2290" i="3"/>
  <c r="AT2274" i="3"/>
  <c r="AT2294" i="3"/>
  <c r="AT2278" i="3"/>
  <c r="AX2295" i="3"/>
  <c r="AX2291" i="3"/>
  <c r="AX2287" i="3"/>
  <c r="AX2283" i="3"/>
  <c r="AX2279" i="3"/>
  <c r="AX2275" i="3"/>
  <c r="AX2271" i="3"/>
  <c r="AX2267" i="3"/>
  <c r="AX2297" i="3"/>
  <c r="AX2293" i="3"/>
  <c r="AX2289" i="3"/>
  <c r="AX2285" i="3"/>
  <c r="AX2281" i="3"/>
  <c r="AX2277" i="3"/>
  <c r="AX2273" i="3"/>
  <c r="AX2269" i="3"/>
  <c r="AX2265" i="3"/>
  <c r="AX2292" i="3"/>
  <c r="AX2284" i="3"/>
  <c r="AX2276" i="3"/>
  <c r="AX2268" i="3"/>
  <c r="AX2290" i="3"/>
  <c r="AX2282" i="3"/>
  <c r="AX2274" i="3"/>
  <c r="AX2266" i="3"/>
  <c r="AX2294" i="3"/>
  <c r="AX2278" i="3"/>
  <c r="AX2270" i="3"/>
  <c r="AX2296" i="3"/>
  <c r="AX2288" i="3"/>
  <c r="AX2280" i="3"/>
  <c r="AX2272" i="3"/>
  <c r="AX2286" i="3"/>
  <c r="S2296" i="3"/>
  <c r="S2292" i="3"/>
  <c r="S2288" i="3"/>
  <c r="S2284" i="3"/>
  <c r="S2280" i="3"/>
  <c r="S2276" i="3"/>
  <c r="S2272" i="3"/>
  <c r="S2268" i="3"/>
  <c r="S2264" i="3"/>
  <c r="S2294" i="3"/>
  <c r="S2290" i="3"/>
  <c r="S2286" i="3"/>
  <c r="S2282" i="3"/>
  <c r="S2278" i="3"/>
  <c r="S2274" i="3"/>
  <c r="S2270" i="3"/>
  <c r="S2266" i="3"/>
  <c r="S2262" i="3"/>
  <c r="S2293" i="3"/>
  <c r="S2285" i="3"/>
  <c r="S2277" i="3"/>
  <c r="S2269" i="3"/>
  <c r="S2261" i="3"/>
  <c r="S2257" i="3"/>
  <c r="S2245" i="3"/>
  <c r="S2233" i="3"/>
  <c r="S2225" i="3"/>
  <c r="S2213" i="3"/>
  <c r="S2205" i="3"/>
  <c r="S2193" i="3"/>
  <c r="S2181" i="3"/>
  <c r="S2169" i="3"/>
  <c r="S2161" i="3"/>
  <c r="S2153" i="3"/>
  <c r="S2137" i="3"/>
  <c r="S2117" i="3"/>
  <c r="S2105" i="3"/>
  <c r="S2093" i="3"/>
  <c r="S2085" i="3"/>
  <c r="S2077" i="3"/>
  <c r="S2073" i="3"/>
  <c r="S2069" i="3"/>
  <c r="S2057" i="3"/>
  <c r="S2045" i="3"/>
  <c r="S2037" i="3"/>
  <c r="S2297" i="3"/>
  <c r="S2289" i="3"/>
  <c r="S2281" i="3"/>
  <c r="S2273" i="3"/>
  <c r="S2265" i="3"/>
  <c r="S2259" i="3"/>
  <c r="S2255" i="3"/>
  <c r="S2243" i="3"/>
  <c r="S2231" i="3"/>
  <c r="S2223" i="3"/>
  <c r="S2211" i="3"/>
  <c r="S2203" i="3"/>
  <c r="S2191" i="3"/>
  <c r="S2183" i="3"/>
  <c r="S2171" i="3"/>
  <c r="S2163" i="3"/>
  <c r="S2151" i="3"/>
  <c r="S2135" i="3"/>
  <c r="S2119" i="3"/>
  <c r="S2107" i="3"/>
  <c r="S2095" i="3"/>
  <c r="S2083" i="3"/>
  <c r="S2075" i="3"/>
  <c r="S2067" i="3"/>
  <c r="S2055" i="3"/>
  <c r="S2047" i="3"/>
  <c r="S2039" i="3"/>
  <c r="S2031" i="3"/>
  <c r="S2291" i="3"/>
  <c r="S2275" i="3"/>
  <c r="S2260" i="3"/>
  <c r="S2244" i="3"/>
  <c r="S2212" i="3"/>
  <c r="S2204" i="3"/>
  <c r="S2172" i="3"/>
  <c r="S2164" i="3"/>
  <c r="S2108" i="3"/>
  <c r="S2084" i="3"/>
  <c r="S2076" i="3"/>
  <c r="S2068" i="3"/>
  <c r="S2295" i="3"/>
  <c r="S2279" i="3"/>
  <c r="S2263" i="3"/>
  <c r="S2246" i="3"/>
  <c r="S2214" i="3"/>
  <c r="S2206" i="3"/>
  <c r="S2182" i="3"/>
  <c r="S2118" i="3"/>
  <c r="S2094" i="3"/>
  <c r="S2086" i="3"/>
  <c r="S2078" i="3"/>
  <c r="S2070" i="3"/>
  <c r="S2046" i="3"/>
  <c r="S2038" i="3"/>
  <c r="S2030" i="3"/>
  <c r="S2283" i="3"/>
  <c r="S2267" i="3"/>
  <c r="S2256" i="3"/>
  <c r="S2232" i="3"/>
  <c r="S2224" i="3"/>
  <c r="S2192" i="3"/>
  <c r="S2184" i="3"/>
  <c r="S2152" i="3"/>
  <c r="S2136" i="3"/>
  <c r="S2120" i="3"/>
  <c r="S2096" i="3"/>
  <c r="S2056" i="3"/>
  <c r="S2048" i="3"/>
  <c r="S2040" i="3"/>
  <c r="S2032" i="3"/>
  <c r="S2287" i="3"/>
  <c r="S2271" i="3"/>
  <c r="S2258" i="3"/>
  <c r="S2234" i="3"/>
  <c r="S2226" i="3"/>
  <c r="S2194" i="3"/>
  <c r="S2170" i="3"/>
  <c r="S2162" i="3"/>
  <c r="S2154" i="3"/>
  <c r="S2138" i="3"/>
  <c r="S2106" i="3"/>
  <c r="S2074" i="3"/>
  <c r="S2058" i="3"/>
  <c r="W2296" i="3"/>
  <c r="W2292" i="3"/>
  <c r="W2288" i="3"/>
  <c r="W2284" i="3"/>
  <c r="W2280" i="3"/>
  <c r="W2276" i="3"/>
  <c r="W2272" i="3"/>
  <c r="W2268" i="3"/>
  <c r="W2264" i="3"/>
  <c r="W2294" i="3"/>
  <c r="W2290" i="3"/>
  <c r="W2286" i="3"/>
  <c r="W2282" i="3"/>
  <c r="W2278" i="3"/>
  <c r="W2274" i="3"/>
  <c r="W2270" i="3"/>
  <c r="W2266" i="3"/>
  <c r="W2262" i="3"/>
  <c r="W2297" i="3"/>
  <c r="W2289" i="3"/>
  <c r="W2281" i="3"/>
  <c r="W2273" i="3"/>
  <c r="W2265" i="3"/>
  <c r="W2261" i="3"/>
  <c r="W2257" i="3"/>
  <c r="W2245" i="3"/>
  <c r="W2233" i="3"/>
  <c r="W2225" i="3"/>
  <c r="W2213" i="3"/>
  <c r="W2205" i="3"/>
  <c r="W2193" i="3"/>
  <c r="W2181" i="3"/>
  <c r="W2169" i="3"/>
  <c r="W2161" i="3"/>
  <c r="W2153" i="3"/>
  <c r="W2137" i="3"/>
  <c r="W2117" i="3"/>
  <c r="W2105" i="3"/>
  <c r="W2093" i="3"/>
  <c r="W2085" i="3"/>
  <c r="W2077" i="3"/>
  <c r="W2069" i="3"/>
  <c r="W2057" i="3"/>
  <c r="W2045" i="3"/>
  <c r="W2037" i="3"/>
  <c r="W2293" i="3"/>
  <c r="W2285" i="3"/>
  <c r="W2277" i="3"/>
  <c r="W2269" i="3"/>
  <c r="W2259" i="3"/>
  <c r="W2255" i="3"/>
  <c r="W2243" i="3"/>
  <c r="W2231" i="3"/>
  <c r="W2223" i="3"/>
  <c r="W2211" i="3"/>
  <c r="W2203" i="3"/>
  <c r="W2191" i="3"/>
  <c r="W2183" i="3"/>
  <c r="W2171" i="3"/>
  <c r="W2163" i="3"/>
  <c r="W2151" i="3"/>
  <c r="W2135" i="3"/>
  <c r="W2119" i="3"/>
  <c r="W2107" i="3"/>
  <c r="W2095" i="3"/>
  <c r="W2083" i="3"/>
  <c r="W2075" i="3"/>
  <c r="W2067" i="3"/>
  <c r="W2055" i="3"/>
  <c r="W2047" i="3"/>
  <c r="W2039" i="3"/>
  <c r="W2031" i="3"/>
  <c r="W2295" i="3"/>
  <c r="W2279" i="3"/>
  <c r="W2263" i="3"/>
  <c r="W2256" i="3"/>
  <c r="W2232" i="3"/>
  <c r="W2224" i="3"/>
  <c r="W2192" i="3"/>
  <c r="W2184" i="3"/>
  <c r="W2152" i="3"/>
  <c r="W2136" i="3"/>
  <c r="W2120" i="3"/>
  <c r="W2096" i="3"/>
  <c r="W2056" i="3"/>
  <c r="W2048" i="3"/>
  <c r="W2040" i="3"/>
  <c r="W2032" i="3"/>
  <c r="W2283" i="3"/>
  <c r="W2267" i="3"/>
  <c r="W2258" i="3"/>
  <c r="W2234" i="3"/>
  <c r="W2226" i="3"/>
  <c r="W2194" i="3"/>
  <c r="W2170" i="3"/>
  <c r="W2162" i="3"/>
  <c r="W2154" i="3"/>
  <c r="W2138" i="3"/>
  <c r="W2106" i="3"/>
  <c r="W2058" i="3"/>
  <c r="W2030" i="3"/>
  <c r="W2287" i="3"/>
  <c r="W2271" i="3"/>
  <c r="W2260" i="3"/>
  <c r="W2244" i="3"/>
  <c r="W2212" i="3"/>
  <c r="W2204" i="3"/>
  <c r="W2172" i="3"/>
  <c r="W2164" i="3"/>
  <c r="W2108" i="3"/>
  <c r="W2084" i="3"/>
  <c r="W2076" i="3"/>
  <c r="W2068" i="3"/>
  <c r="W2291" i="3"/>
  <c r="W2275" i="3"/>
  <c r="W2246" i="3"/>
  <c r="W2214" i="3"/>
  <c r="W2206" i="3"/>
  <c r="W2182" i="3"/>
  <c r="W2118" i="3"/>
  <c r="W2094" i="3"/>
  <c r="W2086" i="3"/>
  <c r="W2078" i="3"/>
  <c r="W2070" i="3"/>
  <c r="W2046" i="3"/>
  <c r="W2038" i="3"/>
  <c r="AA2296" i="3"/>
  <c r="AA2292" i="3"/>
  <c r="AA2288" i="3"/>
  <c r="AA2284" i="3"/>
  <c r="AA2280" i="3"/>
  <c r="AA2276" i="3"/>
  <c r="AA2272" i="3"/>
  <c r="AA2268" i="3"/>
  <c r="AA2264" i="3"/>
  <c r="AA2294" i="3"/>
  <c r="AA2290" i="3"/>
  <c r="AA2286" i="3"/>
  <c r="AA2282" i="3"/>
  <c r="AA2278" i="3"/>
  <c r="AA2274" i="3"/>
  <c r="AA2270" i="3"/>
  <c r="AA2266" i="3"/>
  <c r="AA2262" i="3"/>
  <c r="AA2293" i="3"/>
  <c r="AA2285" i="3"/>
  <c r="AA2277" i="3"/>
  <c r="AA2269" i="3"/>
  <c r="AA2257" i="3"/>
  <c r="AA2245" i="3"/>
  <c r="AA2233" i="3"/>
  <c r="AA2225" i="3"/>
  <c r="AA2213" i="3"/>
  <c r="AA2205" i="3"/>
  <c r="AA2193" i="3"/>
  <c r="AA2181" i="3"/>
  <c r="AA2169" i="3"/>
  <c r="AA2161" i="3"/>
  <c r="AA2153" i="3"/>
  <c r="AA2137" i="3"/>
  <c r="AA2117" i="3"/>
  <c r="AA2105" i="3"/>
  <c r="AA2093" i="3"/>
  <c r="AA2085" i="3"/>
  <c r="AA2077" i="3"/>
  <c r="AA2069" i="3"/>
  <c r="AA2057" i="3"/>
  <c r="AA2045" i="3"/>
  <c r="AA2037" i="3"/>
  <c r="AA2297" i="3"/>
  <c r="AA2289" i="3"/>
  <c r="AA2281" i="3"/>
  <c r="AA2273" i="3"/>
  <c r="AA2265" i="3"/>
  <c r="AA2259" i="3"/>
  <c r="AA2255" i="3"/>
  <c r="AA2243" i="3"/>
  <c r="AA2231" i="3"/>
  <c r="AA2223" i="3"/>
  <c r="AA2211" i="3"/>
  <c r="AA2203" i="3"/>
  <c r="AA2191" i="3"/>
  <c r="AA2183" i="3"/>
  <c r="AA2171" i="3"/>
  <c r="AA2163" i="3"/>
  <c r="AA2151" i="3"/>
  <c r="AA2135" i="3"/>
  <c r="AA2119" i="3"/>
  <c r="AA2107" i="3"/>
  <c r="AA2095" i="3"/>
  <c r="AA2083" i="3"/>
  <c r="AA2075" i="3"/>
  <c r="AA2067" i="3"/>
  <c r="AA2055" i="3"/>
  <c r="AA2047" i="3"/>
  <c r="AA2039" i="3"/>
  <c r="AA2031" i="3"/>
  <c r="AA2283" i="3"/>
  <c r="AA2267" i="3"/>
  <c r="AA2260" i="3"/>
  <c r="AA2244" i="3"/>
  <c r="AA2212" i="3"/>
  <c r="AA2204" i="3"/>
  <c r="AA2172" i="3"/>
  <c r="AA2164" i="3"/>
  <c r="AA2108" i="3"/>
  <c r="AA2084" i="3"/>
  <c r="AA2076" i="3"/>
  <c r="AA2068" i="3"/>
  <c r="AA2287" i="3"/>
  <c r="AA2271" i="3"/>
  <c r="AA2246" i="3"/>
  <c r="AA2214" i="3"/>
  <c r="AA2206" i="3"/>
  <c r="AA2182" i="3"/>
  <c r="AA2118" i="3"/>
  <c r="AA2094" i="3"/>
  <c r="AA2086" i="3"/>
  <c r="AA2078" i="3"/>
  <c r="AA2070" i="3"/>
  <c r="AA2046" i="3"/>
  <c r="AA2038" i="3"/>
  <c r="AA2291" i="3"/>
  <c r="AA2275" i="3"/>
  <c r="AA2256" i="3"/>
  <c r="AA2232" i="3"/>
  <c r="AA2224" i="3"/>
  <c r="AA2192" i="3"/>
  <c r="AA2184" i="3"/>
  <c r="AA2152" i="3"/>
  <c r="AA2136" i="3"/>
  <c r="AA2120" i="3"/>
  <c r="AA2096" i="3"/>
  <c r="AA2056" i="3"/>
  <c r="AA2048" i="3"/>
  <c r="AA2040" i="3"/>
  <c r="AA2032" i="3"/>
  <c r="AA2295" i="3"/>
  <c r="AA2279" i="3"/>
  <c r="AA2263" i="3"/>
  <c r="AA2258" i="3"/>
  <c r="AA2234" i="3"/>
  <c r="AA2226" i="3"/>
  <c r="AA2194" i="3"/>
  <c r="AA2170" i="3"/>
  <c r="AA2162" i="3"/>
  <c r="AA2154" i="3"/>
  <c r="AA2138" i="3"/>
  <c r="AA2106" i="3"/>
  <c r="AA2058" i="3"/>
  <c r="AE2296" i="3"/>
  <c r="AE2292" i="3"/>
  <c r="AE2288" i="3"/>
  <c r="AE2284" i="3"/>
  <c r="AE2280" i="3"/>
  <c r="AE2276" i="3"/>
  <c r="AE2272" i="3"/>
  <c r="AE2268" i="3"/>
  <c r="AE2294" i="3"/>
  <c r="AE2290" i="3"/>
  <c r="AE2286" i="3"/>
  <c r="AE2282" i="3"/>
  <c r="AE2278" i="3"/>
  <c r="AE2274" i="3"/>
  <c r="AE2270" i="3"/>
  <c r="AE2266" i="3"/>
  <c r="AE2262" i="3"/>
  <c r="AE2297" i="3"/>
  <c r="AE2289" i="3"/>
  <c r="AE2281" i="3"/>
  <c r="AE2273" i="3"/>
  <c r="AE2265" i="3"/>
  <c r="AE2293" i="3"/>
  <c r="AE2285" i="3"/>
  <c r="AE2277" i="3"/>
  <c r="AE2269" i="3"/>
  <c r="AE2031" i="3"/>
  <c r="AE2287" i="3"/>
  <c r="AE2271" i="3"/>
  <c r="AE2032" i="3"/>
  <c r="AE2291" i="3"/>
  <c r="AE2275" i="3"/>
  <c r="AE2295" i="3"/>
  <c r="AE2279" i="3"/>
  <c r="AE2283" i="3"/>
  <c r="AE2267" i="3"/>
  <c r="AI2296" i="3"/>
  <c r="AI2292" i="3"/>
  <c r="AI2288" i="3"/>
  <c r="AI2284" i="3"/>
  <c r="AI2280" i="3"/>
  <c r="AI2276" i="3"/>
  <c r="AI2272" i="3"/>
  <c r="AI2268" i="3"/>
  <c r="AI2294" i="3"/>
  <c r="AI2290" i="3"/>
  <c r="AI2286" i="3"/>
  <c r="AI2282" i="3"/>
  <c r="AI2278" i="3"/>
  <c r="AI2274" i="3"/>
  <c r="AI2270" i="3"/>
  <c r="AI2266" i="3"/>
  <c r="AI2293" i="3"/>
  <c r="AI2285" i="3"/>
  <c r="AI2277" i="3"/>
  <c r="AI2269" i="3"/>
  <c r="AI2297" i="3"/>
  <c r="AI2289" i="3"/>
  <c r="AI2281" i="3"/>
  <c r="AI2273" i="3"/>
  <c r="AI2265" i="3"/>
  <c r="AI2291" i="3"/>
  <c r="AI2275" i="3"/>
  <c r="AI2295" i="3"/>
  <c r="AI2279" i="3"/>
  <c r="AI2283" i="3"/>
  <c r="AI2267" i="3"/>
  <c r="AI2287" i="3"/>
  <c r="AI2271" i="3"/>
  <c r="AM2296" i="3"/>
  <c r="AM2292" i="3"/>
  <c r="AM2288" i="3"/>
  <c r="AM2284" i="3"/>
  <c r="AM2280" i="3"/>
  <c r="AM2276" i="3"/>
  <c r="AM2272" i="3"/>
  <c r="AM2268" i="3"/>
  <c r="AM2294" i="3"/>
  <c r="AM2290" i="3"/>
  <c r="AM2286" i="3"/>
  <c r="AM2282" i="3"/>
  <c r="AM2278" i="3"/>
  <c r="AM2274" i="3"/>
  <c r="AM2270" i="3"/>
  <c r="AM2266" i="3"/>
  <c r="AM2297" i="3"/>
  <c r="AM2289" i="3"/>
  <c r="AM2281" i="3"/>
  <c r="AM2273" i="3"/>
  <c r="AM2265" i="3"/>
  <c r="AM2293" i="3"/>
  <c r="AM2285" i="3"/>
  <c r="AM2277" i="3"/>
  <c r="AM2269" i="3"/>
  <c r="AM2295" i="3"/>
  <c r="AM2279" i="3"/>
  <c r="AM2283" i="3"/>
  <c r="AM2267" i="3"/>
  <c r="AM2287" i="3"/>
  <c r="AM2271" i="3"/>
  <c r="AM2291" i="3"/>
  <c r="AM2275" i="3"/>
  <c r="AQ2296" i="3"/>
  <c r="AQ2292" i="3"/>
  <c r="AQ2288" i="3"/>
  <c r="AQ2284" i="3"/>
  <c r="AQ2280" i="3"/>
  <c r="AQ2276" i="3"/>
  <c r="AQ2272" i="3"/>
  <c r="AQ2268" i="3"/>
  <c r="AQ2294" i="3"/>
  <c r="AQ2290" i="3"/>
  <c r="AQ2286" i="3"/>
  <c r="AQ2282" i="3"/>
  <c r="AQ2278" i="3"/>
  <c r="AQ2274" i="3"/>
  <c r="AQ2270" i="3"/>
  <c r="AQ2266" i="3"/>
  <c r="AQ2293" i="3"/>
  <c r="AQ2285" i="3"/>
  <c r="AQ2277" i="3"/>
  <c r="AQ2269" i="3"/>
  <c r="AQ2297" i="3"/>
  <c r="AQ2289" i="3"/>
  <c r="AQ2281" i="3"/>
  <c r="AQ2273" i="3"/>
  <c r="AQ2265" i="3"/>
  <c r="AQ2283" i="3"/>
  <c r="AQ2267" i="3"/>
  <c r="AQ2287" i="3"/>
  <c r="AQ2271" i="3"/>
  <c r="AQ2291" i="3"/>
  <c r="AQ2275" i="3"/>
  <c r="AQ2295" i="3"/>
  <c r="AQ2279" i="3"/>
  <c r="AU2296" i="3"/>
  <c r="AU2292" i="3"/>
  <c r="AU2288" i="3"/>
  <c r="AU2284" i="3"/>
  <c r="AU2280" i="3"/>
  <c r="AU2276" i="3"/>
  <c r="AU2272" i="3"/>
  <c r="AU2268" i="3"/>
  <c r="AU2294" i="3"/>
  <c r="AU2290" i="3"/>
  <c r="AU2286" i="3"/>
  <c r="AU2282" i="3"/>
  <c r="AU2278" i="3"/>
  <c r="AU2274" i="3"/>
  <c r="AU2270" i="3"/>
  <c r="AU2266" i="3"/>
  <c r="AU2297" i="3"/>
  <c r="AU2289" i="3"/>
  <c r="AU2281" i="3"/>
  <c r="AU2273" i="3"/>
  <c r="AU2265" i="3"/>
  <c r="AU2293" i="3"/>
  <c r="AU2285" i="3"/>
  <c r="AU2277" i="3"/>
  <c r="AU2269" i="3"/>
  <c r="AU2287" i="3"/>
  <c r="AU2271" i="3"/>
  <c r="AU2291" i="3"/>
  <c r="AU2275" i="3"/>
  <c r="AU2295" i="3"/>
  <c r="AU2279" i="3"/>
  <c r="AU2283" i="3"/>
  <c r="AU2267" i="3"/>
  <c r="P2297" i="3"/>
  <c r="P2293" i="3"/>
  <c r="P2289" i="3"/>
  <c r="P2285" i="3"/>
  <c r="P2281" i="3"/>
  <c r="P2277" i="3"/>
  <c r="P2273" i="3"/>
  <c r="P2269" i="3"/>
  <c r="P2265" i="3"/>
  <c r="P2295" i="3"/>
  <c r="P2291" i="3"/>
  <c r="P2287" i="3"/>
  <c r="P2283" i="3"/>
  <c r="P2279" i="3"/>
  <c r="P2275" i="3"/>
  <c r="P2271" i="3"/>
  <c r="P2267" i="3"/>
  <c r="P2263" i="3"/>
  <c r="P2294" i="3"/>
  <c r="P2286" i="3"/>
  <c r="P2278" i="3"/>
  <c r="P2270" i="3"/>
  <c r="P2262" i="3"/>
  <c r="P2258" i="3"/>
  <c r="P2246" i="3"/>
  <c r="P2234" i="3"/>
  <c r="P2226" i="3"/>
  <c r="P2214" i="3"/>
  <c r="P2206" i="3"/>
  <c r="P2194" i="3"/>
  <c r="P2182" i="3"/>
  <c r="P2170" i="3"/>
  <c r="P2162" i="3"/>
  <c r="P2154" i="3"/>
  <c r="P2138" i="3"/>
  <c r="P2118" i="3"/>
  <c r="P2106" i="3"/>
  <c r="P2094" i="3"/>
  <c r="P2086" i="3"/>
  <c r="P2078" i="3"/>
  <c r="P2074" i="3"/>
  <c r="P2070" i="3"/>
  <c r="P2058" i="3"/>
  <c r="P2046" i="3"/>
  <c r="P2038" i="3"/>
  <c r="P2030" i="3"/>
  <c r="P2290" i="3"/>
  <c r="P2282" i="3"/>
  <c r="P2274" i="3"/>
  <c r="P2266" i="3"/>
  <c r="P2260" i="3"/>
  <c r="P2256" i="3"/>
  <c r="P2244" i="3"/>
  <c r="P2232" i="3"/>
  <c r="P2224" i="3"/>
  <c r="P2212" i="3"/>
  <c r="P2204" i="3"/>
  <c r="P2192" i="3"/>
  <c r="P2184" i="3"/>
  <c r="P2172" i="3"/>
  <c r="P2164" i="3"/>
  <c r="P2152" i="3"/>
  <c r="P2136" i="3"/>
  <c r="P2120" i="3"/>
  <c r="P2108" i="3"/>
  <c r="P2096" i="3"/>
  <c r="P2084" i="3"/>
  <c r="P2076" i="3"/>
  <c r="P2068" i="3"/>
  <c r="P2056" i="3"/>
  <c r="P2048" i="3"/>
  <c r="P2040" i="3"/>
  <c r="P2032" i="3"/>
  <c r="P2292" i="3"/>
  <c r="P2276" i="3"/>
  <c r="P2261" i="3"/>
  <c r="P2245" i="3"/>
  <c r="P2213" i="3"/>
  <c r="P2205" i="3"/>
  <c r="P2181" i="3"/>
  <c r="P2117" i="3"/>
  <c r="P2093" i="3"/>
  <c r="P2085" i="3"/>
  <c r="P2077" i="3"/>
  <c r="P2069" i="3"/>
  <c r="P2045" i="3"/>
  <c r="P2037" i="3"/>
  <c r="P2296" i="3"/>
  <c r="P2280" i="3"/>
  <c r="P2264" i="3"/>
  <c r="P2255" i="3"/>
  <c r="P2231" i="3"/>
  <c r="P2223" i="3"/>
  <c r="P2191" i="3"/>
  <c r="P2183" i="3"/>
  <c r="P2151" i="3"/>
  <c r="P2135" i="3"/>
  <c r="P2119" i="3"/>
  <c r="P2095" i="3"/>
  <c r="P2055" i="3"/>
  <c r="P2047" i="3"/>
  <c r="P2039" i="3"/>
  <c r="P2031" i="3"/>
  <c r="P2284" i="3"/>
  <c r="P2268" i="3"/>
  <c r="P2257" i="3"/>
  <c r="P2233" i="3"/>
  <c r="P2225" i="3"/>
  <c r="P2193" i="3"/>
  <c r="P2169" i="3"/>
  <c r="P2161" i="3"/>
  <c r="P2153" i="3"/>
  <c r="P2137" i="3"/>
  <c r="P2105" i="3"/>
  <c r="P2073" i="3"/>
  <c r="P2057" i="3"/>
  <c r="P2288" i="3"/>
  <c r="P2272" i="3"/>
  <c r="P2259" i="3"/>
  <c r="P2243" i="3"/>
  <c r="P2211" i="3"/>
  <c r="P2203" i="3"/>
  <c r="P2171" i="3"/>
  <c r="P2163" i="3"/>
  <c r="P2107" i="3"/>
  <c r="P2083" i="3"/>
  <c r="P2075" i="3"/>
  <c r="P2067" i="3"/>
  <c r="X2297" i="3"/>
  <c r="X2293" i="3"/>
  <c r="X2289" i="3"/>
  <c r="X2285" i="3"/>
  <c r="X2281" i="3"/>
  <c r="X2277" i="3"/>
  <c r="X2273" i="3"/>
  <c r="X2269" i="3"/>
  <c r="X2265" i="3"/>
  <c r="X2295" i="3"/>
  <c r="X2291" i="3"/>
  <c r="X2287" i="3"/>
  <c r="X2283" i="3"/>
  <c r="X2279" i="3"/>
  <c r="X2275" i="3"/>
  <c r="X2271" i="3"/>
  <c r="X2267" i="3"/>
  <c r="X2263" i="3"/>
  <c r="X2294" i="3"/>
  <c r="X2286" i="3"/>
  <c r="X2278" i="3"/>
  <c r="X2270" i="3"/>
  <c r="X2262" i="3"/>
  <c r="X2258" i="3"/>
  <c r="X2246" i="3"/>
  <c r="X2234" i="3"/>
  <c r="X2226" i="3"/>
  <c r="X2214" i="3"/>
  <c r="X2206" i="3"/>
  <c r="X2194" i="3"/>
  <c r="X2182" i="3"/>
  <c r="X2170" i="3"/>
  <c r="X2162" i="3"/>
  <c r="X2154" i="3"/>
  <c r="X2138" i="3"/>
  <c r="X2118" i="3"/>
  <c r="X2106" i="3"/>
  <c r="X2094" i="3"/>
  <c r="X2086" i="3"/>
  <c r="X2078" i="3"/>
  <c r="X2070" i="3"/>
  <c r="X2058" i="3"/>
  <c r="X2046" i="3"/>
  <c r="X2038" i="3"/>
  <c r="X2030" i="3"/>
  <c r="X2290" i="3"/>
  <c r="X2282" i="3"/>
  <c r="X2274" i="3"/>
  <c r="X2266" i="3"/>
  <c r="X2260" i="3"/>
  <c r="X2256" i="3"/>
  <c r="X2244" i="3"/>
  <c r="X2232" i="3"/>
  <c r="X2224" i="3"/>
  <c r="X2212" i="3"/>
  <c r="X2204" i="3"/>
  <c r="X2192" i="3"/>
  <c r="X2184" i="3"/>
  <c r="X2172" i="3"/>
  <c r="X2164" i="3"/>
  <c r="X2152" i="3"/>
  <c r="X2136" i="3"/>
  <c r="X2120" i="3"/>
  <c r="X2108" i="3"/>
  <c r="X2096" i="3"/>
  <c r="X2084" i="3"/>
  <c r="X2076" i="3"/>
  <c r="X2068" i="3"/>
  <c r="X2056" i="3"/>
  <c r="X2048" i="3"/>
  <c r="X2040" i="3"/>
  <c r="X2032" i="3"/>
  <c r="X2284" i="3"/>
  <c r="X2268" i="3"/>
  <c r="X2261" i="3"/>
  <c r="X2245" i="3"/>
  <c r="X2213" i="3"/>
  <c r="X2205" i="3"/>
  <c r="X2181" i="3"/>
  <c r="X2117" i="3"/>
  <c r="X2093" i="3"/>
  <c r="X2085" i="3"/>
  <c r="X2077" i="3"/>
  <c r="X2069" i="3"/>
  <c r="X2045" i="3"/>
  <c r="X2037" i="3"/>
  <c r="X2288" i="3"/>
  <c r="X2272" i="3"/>
  <c r="X2255" i="3"/>
  <c r="X2231" i="3"/>
  <c r="X2223" i="3"/>
  <c r="X2191" i="3"/>
  <c r="X2183" i="3"/>
  <c r="X2151" i="3"/>
  <c r="X2135" i="3"/>
  <c r="X2119" i="3"/>
  <c r="X2095" i="3"/>
  <c r="X2055" i="3"/>
  <c r="X2047" i="3"/>
  <c r="X2039" i="3"/>
  <c r="X2031" i="3"/>
  <c r="X2292" i="3"/>
  <c r="X2276" i="3"/>
  <c r="X2257" i="3"/>
  <c r="X2233" i="3"/>
  <c r="X2225" i="3"/>
  <c r="X2193" i="3"/>
  <c r="X2169" i="3"/>
  <c r="X2161" i="3"/>
  <c r="X2153" i="3"/>
  <c r="X2137" i="3"/>
  <c r="X2105" i="3"/>
  <c r="X2057" i="3"/>
  <c r="X2296" i="3"/>
  <c r="X2280" i="3"/>
  <c r="X2264" i="3"/>
  <c r="X2259" i="3"/>
  <c r="X2243" i="3"/>
  <c r="X2211" i="3"/>
  <c r="X2203" i="3"/>
  <c r="X2171" i="3"/>
  <c r="X2163" i="3"/>
  <c r="X2107" i="3"/>
  <c r="X2083" i="3"/>
  <c r="X2075" i="3"/>
  <c r="X2067" i="3"/>
  <c r="AJ2297" i="3"/>
  <c r="AJ2293" i="3"/>
  <c r="AJ2289" i="3"/>
  <c r="AJ2285" i="3"/>
  <c r="AJ2281" i="3"/>
  <c r="AJ2277" i="3"/>
  <c r="AJ2273" i="3"/>
  <c r="AJ2269" i="3"/>
  <c r="AJ2265" i="3"/>
  <c r="AJ2295" i="3"/>
  <c r="AJ2291" i="3"/>
  <c r="AJ2287" i="3"/>
  <c r="AJ2283" i="3"/>
  <c r="AJ2279" i="3"/>
  <c r="AJ2275" i="3"/>
  <c r="AJ2271" i="3"/>
  <c r="AJ2267" i="3"/>
  <c r="AJ2290" i="3"/>
  <c r="AJ2282" i="3"/>
  <c r="AJ2274" i="3"/>
  <c r="AJ2266" i="3"/>
  <c r="AJ2294" i="3"/>
  <c r="AJ2286" i="3"/>
  <c r="AJ2278" i="3"/>
  <c r="AJ2270" i="3"/>
  <c r="AJ2296" i="3"/>
  <c r="AJ2280" i="3"/>
  <c r="AJ2284" i="3"/>
  <c r="AJ2268" i="3"/>
  <c r="AJ2288" i="3"/>
  <c r="AJ2272" i="3"/>
  <c r="AJ2292" i="3"/>
  <c r="AJ2276" i="3"/>
  <c r="AV2297" i="3"/>
  <c r="AV2293" i="3"/>
  <c r="AV2289" i="3"/>
  <c r="AV2285" i="3"/>
  <c r="AV2281" i="3"/>
  <c r="AV2277" i="3"/>
  <c r="AV2273" i="3"/>
  <c r="AV2269" i="3"/>
  <c r="AV2265" i="3"/>
  <c r="AV2295" i="3"/>
  <c r="AV2291" i="3"/>
  <c r="AV2287" i="3"/>
  <c r="AV2283" i="3"/>
  <c r="AV2279" i="3"/>
  <c r="AV2275" i="3"/>
  <c r="AV2271" i="3"/>
  <c r="AV2267" i="3"/>
  <c r="AV2294" i="3"/>
  <c r="AV2286" i="3"/>
  <c r="AV2278" i="3"/>
  <c r="AV2270" i="3"/>
  <c r="AV2290" i="3"/>
  <c r="AV2282" i="3"/>
  <c r="AV2274" i="3"/>
  <c r="AV2266" i="3"/>
  <c r="AV2292" i="3"/>
  <c r="AV2276" i="3"/>
  <c r="AV2296" i="3"/>
  <c r="AV2280" i="3"/>
  <c r="AV2284" i="3"/>
  <c r="AV2268" i="3"/>
  <c r="AV2288" i="3"/>
  <c r="AV2272" i="3"/>
  <c r="Q2294" i="3"/>
  <c r="Q2290" i="3"/>
  <c r="Q2286" i="3"/>
  <c r="Q2282" i="3"/>
  <c r="Q2278" i="3"/>
  <c r="Q2274" i="3"/>
  <c r="Q2270" i="3"/>
  <c r="Q2266" i="3"/>
  <c r="Q2262" i="3"/>
  <c r="Q2296" i="3"/>
  <c r="Q2292" i="3"/>
  <c r="Q2288" i="3"/>
  <c r="Q2284" i="3"/>
  <c r="Q2280" i="3"/>
  <c r="Q2276" i="3"/>
  <c r="Q2272" i="3"/>
  <c r="Q2268" i="3"/>
  <c r="Q2264" i="3"/>
  <c r="Q2291" i="3"/>
  <c r="Q2283" i="3"/>
  <c r="Q2275" i="3"/>
  <c r="Q2267" i="3"/>
  <c r="Q2259" i="3"/>
  <c r="Q2255" i="3"/>
  <c r="Q2243" i="3"/>
  <c r="Q2231" i="3"/>
  <c r="Q2223" i="3"/>
  <c r="Q2211" i="3"/>
  <c r="Q2203" i="3"/>
  <c r="Q2191" i="3"/>
  <c r="Q2183" i="3"/>
  <c r="Q2171" i="3"/>
  <c r="Q2163" i="3"/>
  <c r="Q2151" i="3"/>
  <c r="Q2135" i="3"/>
  <c r="Q2119" i="3"/>
  <c r="Q2107" i="3"/>
  <c r="Q2095" i="3"/>
  <c r="Q2083" i="3"/>
  <c r="Q2075" i="3"/>
  <c r="Q2067" i="3"/>
  <c r="Q2055" i="3"/>
  <c r="Q2047" i="3"/>
  <c r="Q2039" i="3"/>
  <c r="Q2031" i="3"/>
  <c r="Q2295" i="3"/>
  <c r="Q2287" i="3"/>
  <c r="Q2279" i="3"/>
  <c r="Q2271" i="3"/>
  <c r="Q2263" i="3"/>
  <c r="Q2261" i="3"/>
  <c r="Q2257" i="3"/>
  <c r="Q2245" i="3"/>
  <c r="Q2233" i="3"/>
  <c r="Q2225" i="3"/>
  <c r="Q2213" i="3"/>
  <c r="Q2205" i="3"/>
  <c r="Q2193" i="3"/>
  <c r="Q2181" i="3"/>
  <c r="Q2169" i="3"/>
  <c r="Q2161" i="3"/>
  <c r="Q2153" i="3"/>
  <c r="Q2137" i="3"/>
  <c r="Q2117" i="3"/>
  <c r="Q2105" i="3"/>
  <c r="Q2093" i="3"/>
  <c r="Q2085" i="3"/>
  <c r="Q2077" i="3"/>
  <c r="Q2073" i="3"/>
  <c r="Q2069" i="3"/>
  <c r="Q2057" i="3"/>
  <c r="Q2045" i="3"/>
  <c r="Q2037" i="3"/>
  <c r="Q2297" i="3"/>
  <c r="Q2281" i="3"/>
  <c r="Q2265" i="3"/>
  <c r="Q2258" i="3"/>
  <c r="Q2234" i="3"/>
  <c r="Q2226" i="3"/>
  <c r="Q2194" i="3"/>
  <c r="Q2170" i="3"/>
  <c r="Q2162" i="3"/>
  <c r="Q2154" i="3"/>
  <c r="Q2138" i="3"/>
  <c r="Q2106" i="3"/>
  <c r="Q2074" i="3"/>
  <c r="Q2058" i="3"/>
  <c r="Q2285" i="3"/>
  <c r="Q2269" i="3"/>
  <c r="Q2260" i="3"/>
  <c r="Q2244" i="3"/>
  <c r="Q2212" i="3"/>
  <c r="Q2204" i="3"/>
  <c r="Q2172" i="3"/>
  <c r="Q2164" i="3"/>
  <c r="Q2108" i="3"/>
  <c r="Q2084" i="3"/>
  <c r="Q2076" i="3"/>
  <c r="Q2068" i="3"/>
  <c r="Q2032" i="3"/>
  <c r="Q2289" i="3"/>
  <c r="Q2273" i="3"/>
  <c r="Q2246" i="3"/>
  <c r="Q2214" i="3"/>
  <c r="Q2206" i="3"/>
  <c r="Q2182" i="3"/>
  <c r="Q2118" i="3"/>
  <c r="Q2094" i="3"/>
  <c r="Q2086" i="3"/>
  <c r="Q2078" i="3"/>
  <c r="Q2070" i="3"/>
  <c r="Q2046" i="3"/>
  <c r="Q2038" i="3"/>
  <c r="Q2030" i="3"/>
  <c r="Q2293" i="3"/>
  <c r="Q2277" i="3"/>
  <c r="Q2256" i="3"/>
  <c r="Q2232" i="3"/>
  <c r="Q2224" i="3"/>
  <c r="Q2192" i="3"/>
  <c r="Q2184" i="3"/>
  <c r="Q2152" i="3"/>
  <c r="Q2136" i="3"/>
  <c r="Q2120" i="3"/>
  <c r="Q2096" i="3"/>
  <c r="Q2056" i="3"/>
  <c r="Q2048" i="3"/>
  <c r="Q2040" i="3"/>
  <c r="U2294" i="3"/>
  <c r="U2290" i="3"/>
  <c r="U2286" i="3"/>
  <c r="U2282" i="3"/>
  <c r="U2278" i="3"/>
  <c r="U2274" i="3"/>
  <c r="U2270" i="3"/>
  <c r="U2266" i="3"/>
  <c r="U2262" i="3"/>
  <c r="U2296" i="3"/>
  <c r="U2292" i="3"/>
  <c r="U2288" i="3"/>
  <c r="U2284" i="3"/>
  <c r="U2280" i="3"/>
  <c r="U2276" i="3"/>
  <c r="U2272" i="3"/>
  <c r="U2268" i="3"/>
  <c r="U2264" i="3"/>
  <c r="U2295" i="3"/>
  <c r="U2287" i="3"/>
  <c r="U2279" i="3"/>
  <c r="U2271" i="3"/>
  <c r="U2263" i="3"/>
  <c r="U2259" i="3"/>
  <c r="U2255" i="3"/>
  <c r="U2243" i="3"/>
  <c r="U2231" i="3"/>
  <c r="U2223" i="3"/>
  <c r="U2211" i="3"/>
  <c r="U2203" i="3"/>
  <c r="U2191" i="3"/>
  <c r="U2183" i="3"/>
  <c r="U2171" i="3"/>
  <c r="U2163" i="3"/>
  <c r="U2151" i="3"/>
  <c r="U2135" i="3"/>
  <c r="U2119" i="3"/>
  <c r="U2107" i="3"/>
  <c r="U2095" i="3"/>
  <c r="U2083" i="3"/>
  <c r="U2075" i="3"/>
  <c r="U2067" i="3"/>
  <c r="U2055" i="3"/>
  <c r="U2047" i="3"/>
  <c r="U2039" i="3"/>
  <c r="U2031" i="3"/>
  <c r="U2291" i="3"/>
  <c r="U2283" i="3"/>
  <c r="U2275" i="3"/>
  <c r="U2267" i="3"/>
  <c r="U2261" i="3"/>
  <c r="U2257" i="3"/>
  <c r="U2245" i="3"/>
  <c r="U2233" i="3"/>
  <c r="U2225" i="3"/>
  <c r="U2213" i="3"/>
  <c r="U2205" i="3"/>
  <c r="U2193" i="3"/>
  <c r="U2181" i="3"/>
  <c r="U2169" i="3"/>
  <c r="U2161" i="3"/>
  <c r="U2153" i="3"/>
  <c r="U2137" i="3"/>
  <c r="U2117" i="3"/>
  <c r="U2105" i="3"/>
  <c r="U2093" i="3"/>
  <c r="U2085" i="3"/>
  <c r="U2077" i="3"/>
  <c r="U2069" i="3"/>
  <c r="U2057" i="3"/>
  <c r="U2045" i="3"/>
  <c r="U2037" i="3"/>
  <c r="U2285" i="3"/>
  <c r="U2269" i="3"/>
  <c r="U2246" i="3"/>
  <c r="U2214" i="3"/>
  <c r="U2206" i="3"/>
  <c r="U2182" i="3"/>
  <c r="U2118" i="3"/>
  <c r="U2094" i="3"/>
  <c r="U2086" i="3"/>
  <c r="U2078" i="3"/>
  <c r="U2070" i="3"/>
  <c r="U2046" i="3"/>
  <c r="U2038" i="3"/>
  <c r="U2030" i="3"/>
  <c r="U2289" i="3"/>
  <c r="U2273" i="3"/>
  <c r="U2256" i="3"/>
  <c r="U2232" i="3"/>
  <c r="U2224" i="3"/>
  <c r="U2192" i="3"/>
  <c r="U2184" i="3"/>
  <c r="U2152" i="3"/>
  <c r="U2136" i="3"/>
  <c r="U2120" i="3"/>
  <c r="U2096" i="3"/>
  <c r="U2056" i="3"/>
  <c r="U2048" i="3"/>
  <c r="U2040" i="3"/>
  <c r="U2032" i="3"/>
  <c r="U2293" i="3"/>
  <c r="U2277" i="3"/>
  <c r="U2258" i="3"/>
  <c r="U2234" i="3"/>
  <c r="U2226" i="3"/>
  <c r="U2194" i="3"/>
  <c r="U2170" i="3"/>
  <c r="U2162" i="3"/>
  <c r="U2154" i="3"/>
  <c r="U2138" i="3"/>
  <c r="U2106" i="3"/>
  <c r="U2058" i="3"/>
  <c r="U2297" i="3"/>
  <c r="U2281" i="3"/>
  <c r="U2265" i="3"/>
  <c r="U2260" i="3"/>
  <c r="U2244" i="3"/>
  <c r="U2212" i="3"/>
  <c r="U2204" i="3"/>
  <c r="U2172" i="3"/>
  <c r="U2164" i="3"/>
  <c r="U2108" i="3"/>
  <c r="U2084" i="3"/>
  <c r="U2076" i="3"/>
  <c r="U2068" i="3"/>
  <c r="Y2294" i="3"/>
  <c r="Y2290" i="3"/>
  <c r="Y2286" i="3"/>
  <c r="Y2282" i="3"/>
  <c r="Y2278" i="3"/>
  <c r="Y2274" i="3"/>
  <c r="Y2270" i="3"/>
  <c r="Y2266" i="3"/>
  <c r="Y2262" i="3"/>
  <c r="Y2296" i="3"/>
  <c r="Y2292" i="3"/>
  <c r="Y2288" i="3"/>
  <c r="Y2284" i="3"/>
  <c r="Y2280" i="3"/>
  <c r="Y2276" i="3"/>
  <c r="Y2272" i="3"/>
  <c r="Y2268" i="3"/>
  <c r="Y2264" i="3"/>
  <c r="Y2291" i="3"/>
  <c r="Y2283" i="3"/>
  <c r="Y2275" i="3"/>
  <c r="Y2267" i="3"/>
  <c r="Y2259" i="3"/>
  <c r="Y2255" i="3"/>
  <c r="Y2243" i="3"/>
  <c r="Y2231" i="3"/>
  <c r="Y2223" i="3"/>
  <c r="Y2211" i="3"/>
  <c r="Y2203" i="3"/>
  <c r="Y2191" i="3"/>
  <c r="Y2183" i="3"/>
  <c r="Y2171" i="3"/>
  <c r="Y2163" i="3"/>
  <c r="Y2151" i="3"/>
  <c r="Y2135" i="3"/>
  <c r="Y2119" i="3"/>
  <c r="Y2107" i="3"/>
  <c r="Y2095" i="3"/>
  <c r="Y2083" i="3"/>
  <c r="Y2075" i="3"/>
  <c r="Y2067" i="3"/>
  <c r="Y2055" i="3"/>
  <c r="Y2047" i="3"/>
  <c r="Y2039" i="3"/>
  <c r="Y2031" i="3"/>
  <c r="Y2295" i="3"/>
  <c r="Y2287" i="3"/>
  <c r="Y2279" i="3"/>
  <c r="Y2271" i="3"/>
  <c r="Y2263" i="3"/>
  <c r="Y2261" i="3"/>
  <c r="Y2257" i="3"/>
  <c r="Y2245" i="3"/>
  <c r="Y2233" i="3"/>
  <c r="Y2225" i="3"/>
  <c r="Y2213" i="3"/>
  <c r="Y2205" i="3"/>
  <c r="Y2193" i="3"/>
  <c r="Y2181" i="3"/>
  <c r="Y2169" i="3"/>
  <c r="Y2161" i="3"/>
  <c r="Y2153" i="3"/>
  <c r="Y2137" i="3"/>
  <c r="Y2117" i="3"/>
  <c r="Y2105" i="3"/>
  <c r="Y2093" i="3"/>
  <c r="Y2085" i="3"/>
  <c r="Y2077" i="3"/>
  <c r="Y2069" i="3"/>
  <c r="Y2057" i="3"/>
  <c r="Y2045" i="3"/>
  <c r="Y2037" i="3"/>
  <c r="Y2289" i="3"/>
  <c r="Y2273" i="3"/>
  <c r="Y2258" i="3"/>
  <c r="Y2234" i="3"/>
  <c r="Y2226" i="3"/>
  <c r="Y2194" i="3"/>
  <c r="Y2170" i="3"/>
  <c r="Y2162" i="3"/>
  <c r="Y2154" i="3"/>
  <c r="Y2138" i="3"/>
  <c r="Y2106" i="3"/>
  <c r="Y2058" i="3"/>
  <c r="Y2293" i="3"/>
  <c r="Y2277" i="3"/>
  <c r="Y2260" i="3"/>
  <c r="Y2244" i="3"/>
  <c r="Y2212" i="3"/>
  <c r="Y2204" i="3"/>
  <c r="Y2172" i="3"/>
  <c r="Y2164" i="3"/>
  <c r="Y2108" i="3"/>
  <c r="Y2084" i="3"/>
  <c r="Y2076" i="3"/>
  <c r="Y2068" i="3"/>
  <c r="Y2297" i="3"/>
  <c r="Y2281" i="3"/>
  <c r="Y2265" i="3"/>
  <c r="Y2246" i="3"/>
  <c r="Y2214" i="3"/>
  <c r="Y2206" i="3"/>
  <c r="Y2182" i="3"/>
  <c r="Y2118" i="3"/>
  <c r="Y2094" i="3"/>
  <c r="Y2086" i="3"/>
  <c r="Y2078" i="3"/>
  <c r="Y2070" i="3"/>
  <c r="Y2046" i="3"/>
  <c r="Y2038" i="3"/>
  <c r="Y2285" i="3"/>
  <c r="Y2269" i="3"/>
  <c r="Y2256" i="3"/>
  <c r="Y2232" i="3"/>
  <c r="Y2224" i="3"/>
  <c r="Y2192" i="3"/>
  <c r="Y2184" i="3"/>
  <c r="Y2152" i="3"/>
  <c r="Y2136" i="3"/>
  <c r="Y2120" i="3"/>
  <c r="Y2096" i="3"/>
  <c r="Y2056" i="3"/>
  <c r="Y2048" i="3"/>
  <c r="Y2040" i="3"/>
  <c r="Y2032" i="3"/>
  <c r="AC2294" i="3"/>
  <c r="AC2290" i="3"/>
  <c r="AC2286" i="3"/>
  <c r="AC2282" i="3"/>
  <c r="AC2278" i="3"/>
  <c r="AC2274" i="3"/>
  <c r="AC2270" i="3"/>
  <c r="AC2266" i="3"/>
  <c r="AC2262" i="3"/>
  <c r="AC2296" i="3"/>
  <c r="AC2292" i="3"/>
  <c r="AC2288" i="3"/>
  <c r="AC2284" i="3"/>
  <c r="AC2280" i="3"/>
  <c r="AC2276" i="3"/>
  <c r="AC2272" i="3"/>
  <c r="AC2268" i="3"/>
  <c r="AC2295" i="3"/>
  <c r="AC2287" i="3"/>
  <c r="AC2279" i="3"/>
  <c r="AC2271" i="3"/>
  <c r="AC2263" i="3"/>
  <c r="AC2259" i="3"/>
  <c r="AC2255" i="3"/>
  <c r="AC2243" i="3"/>
  <c r="AC2231" i="3"/>
  <c r="AC2223" i="3"/>
  <c r="AC2211" i="3"/>
  <c r="AC2203" i="3"/>
  <c r="AC2191" i="3"/>
  <c r="AC2183" i="3"/>
  <c r="AC2171" i="3"/>
  <c r="AC2163" i="3"/>
  <c r="AC2151" i="3"/>
  <c r="AC2135" i="3"/>
  <c r="AC2119" i="3"/>
  <c r="AC2107" i="3"/>
  <c r="AC2095" i="3"/>
  <c r="AC2083" i="3"/>
  <c r="AC2075" i="3"/>
  <c r="AC2067" i="3"/>
  <c r="AC2055" i="3"/>
  <c r="AC2047" i="3"/>
  <c r="AC2039" i="3"/>
  <c r="AC2031" i="3"/>
  <c r="AC2291" i="3"/>
  <c r="AC2283" i="3"/>
  <c r="AC2275" i="3"/>
  <c r="AC2267" i="3"/>
  <c r="AC2257" i="3"/>
  <c r="AC2245" i="3"/>
  <c r="AC2233" i="3"/>
  <c r="AC2225" i="3"/>
  <c r="AC2213" i="3"/>
  <c r="AC2205" i="3"/>
  <c r="AC2193" i="3"/>
  <c r="AC2181" i="3"/>
  <c r="AC2169" i="3"/>
  <c r="AC2161" i="3"/>
  <c r="AC2153" i="3"/>
  <c r="AC2137" i="3"/>
  <c r="AC2117" i="3"/>
  <c r="AC2105" i="3"/>
  <c r="AC2093" i="3"/>
  <c r="AC2085" i="3"/>
  <c r="AC2077" i="3"/>
  <c r="AC2069" i="3"/>
  <c r="AC2057" i="3"/>
  <c r="AC2045" i="3"/>
  <c r="AC2037" i="3"/>
  <c r="AC2293" i="3"/>
  <c r="AC2277" i="3"/>
  <c r="AC2246" i="3"/>
  <c r="AC2214" i="3"/>
  <c r="AC2206" i="3"/>
  <c r="AC2182" i="3"/>
  <c r="AC2118" i="3"/>
  <c r="AC2094" i="3"/>
  <c r="AC2086" i="3"/>
  <c r="AC2078" i="3"/>
  <c r="AC2070" i="3"/>
  <c r="AC2046" i="3"/>
  <c r="AC2038" i="3"/>
  <c r="AC2297" i="3"/>
  <c r="AC2281" i="3"/>
  <c r="AC2265" i="3"/>
  <c r="AC2256" i="3"/>
  <c r="AC2232" i="3"/>
  <c r="AC2224" i="3"/>
  <c r="AC2192" i="3"/>
  <c r="AC2184" i="3"/>
  <c r="AC2152" i="3"/>
  <c r="AC2136" i="3"/>
  <c r="AC2120" i="3"/>
  <c r="AC2096" i="3"/>
  <c r="AC2056" i="3"/>
  <c r="AC2048" i="3"/>
  <c r="AC2040" i="3"/>
  <c r="AC2032" i="3"/>
  <c r="AC2285" i="3"/>
  <c r="AC2269" i="3"/>
  <c r="AC2258" i="3"/>
  <c r="AC2234" i="3"/>
  <c r="AC2226" i="3"/>
  <c r="AC2194" i="3"/>
  <c r="AC2170" i="3"/>
  <c r="AC2162" i="3"/>
  <c r="AC2154" i="3"/>
  <c r="AC2138" i="3"/>
  <c r="AC2106" i="3"/>
  <c r="AC2058" i="3"/>
  <c r="AC2289" i="3"/>
  <c r="AC2273" i="3"/>
  <c r="AC2244" i="3"/>
  <c r="AC2212" i="3"/>
  <c r="AC2204" i="3"/>
  <c r="AC2172" i="3"/>
  <c r="AC2164" i="3"/>
  <c r="AC2108" i="3"/>
  <c r="AC2084" i="3"/>
  <c r="AC2076" i="3"/>
  <c r="AC2068" i="3"/>
  <c r="AG2294" i="3"/>
  <c r="AG2290" i="3"/>
  <c r="AG2286" i="3"/>
  <c r="AG2282" i="3"/>
  <c r="AG2278" i="3"/>
  <c r="AG2274" i="3"/>
  <c r="AG2270" i="3"/>
  <c r="AG2266" i="3"/>
  <c r="AG2296" i="3"/>
  <c r="AG2292" i="3"/>
  <c r="AG2288" i="3"/>
  <c r="AG2284" i="3"/>
  <c r="AG2280" i="3"/>
  <c r="AG2276" i="3"/>
  <c r="AG2272" i="3"/>
  <c r="AG2268" i="3"/>
  <c r="AG2291" i="3"/>
  <c r="AG2283" i="3"/>
  <c r="AG2275" i="3"/>
  <c r="AG2267" i="3"/>
  <c r="AG2031" i="3"/>
  <c r="AG2295" i="3"/>
  <c r="AG2287" i="3"/>
  <c r="AG2279" i="3"/>
  <c r="AG2271" i="3"/>
  <c r="AG2297" i="3"/>
  <c r="AG2281" i="3"/>
  <c r="AG2265" i="3"/>
  <c r="AG2285" i="3"/>
  <c r="AG2269" i="3"/>
  <c r="AG2032" i="3"/>
  <c r="AG2289" i="3"/>
  <c r="AG2273" i="3"/>
  <c r="AG2293" i="3"/>
  <c r="AG2277" i="3"/>
  <c r="AK2294" i="3"/>
  <c r="AK2290" i="3"/>
  <c r="AK2286" i="3"/>
  <c r="AK2282" i="3"/>
  <c r="AK2278" i="3"/>
  <c r="AK2274" i="3"/>
  <c r="AK2270" i="3"/>
  <c r="AK2266" i="3"/>
  <c r="AK2296" i="3"/>
  <c r="AK2292" i="3"/>
  <c r="AK2288" i="3"/>
  <c r="AK2284" i="3"/>
  <c r="AK2280" i="3"/>
  <c r="AK2276" i="3"/>
  <c r="AK2272" i="3"/>
  <c r="AK2268" i="3"/>
  <c r="AK2295" i="3"/>
  <c r="AK2287" i="3"/>
  <c r="AK2279" i="3"/>
  <c r="AK2271" i="3"/>
  <c r="AK2291" i="3"/>
  <c r="AK2283" i="3"/>
  <c r="AK2275" i="3"/>
  <c r="AK2267" i="3"/>
  <c r="AK2285" i="3"/>
  <c r="AK2269" i="3"/>
  <c r="AK2289" i="3"/>
  <c r="AK2273" i="3"/>
  <c r="AK2293" i="3"/>
  <c r="AK2277" i="3"/>
  <c r="AK2297" i="3"/>
  <c r="AK2281" i="3"/>
  <c r="AK2265" i="3"/>
  <c r="AO2294" i="3"/>
  <c r="AO2290" i="3"/>
  <c r="AO2286" i="3"/>
  <c r="AO2282" i="3"/>
  <c r="AO2278" i="3"/>
  <c r="AO2274" i="3"/>
  <c r="AO2270" i="3"/>
  <c r="AO2266" i="3"/>
  <c r="AO2296" i="3"/>
  <c r="AO2292" i="3"/>
  <c r="AO2288" i="3"/>
  <c r="AO2284" i="3"/>
  <c r="AO2280" i="3"/>
  <c r="AO2276" i="3"/>
  <c r="AO2272" i="3"/>
  <c r="AO2268" i="3"/>
  <c r="AO2291" i="3"/>
  <c r="AO2283" i="3"/>
  <c r="AO2275" i="3"/>
  <c r="AO2267" i="3"/>
  <c r="AO2295" i="3"/>
  <c r="AO2287" i="3"/>
  <c r="AO2279" i="3"/>
  <c r="AO2271" i="3"/>
  <c r="AO2289" i="3"/>
  <c r="AO2273" i="3"/>
  <c r="AO2293" i="3"/>
  <c r="AO2277" i="3"/>
  <c r="AO2297" i="3"/>
  <c r="AO2281" i="3"/>
  <c r="AO2265" i="3"/>
  <c r="AO2285" i="3"/>
  <c r="AO2269" i="3"/>
  <c r="AS2294" i="3"/>
  <c r="AS2290" i="3"/>
  <c r="AS2286" i="3"/>
  <c r="AS2282" i="3"/>
  <c r="AS2278" i="3"/>
  <c r="AS2274" i="3"/>
  <c r="AS2270" i="3"/>
  <c r="AS2266" i="3"/>
  <c r="AS2296" i="3"/>
  <c r="AS2292" i="3"/>
  <c r="AS2288" i="3"/>
  <c r="AS2284" i="3"/>
  <c r="AS2280" i="3"/>
  <c r="AS2276" i="3"/>
  <c r="AS2272" i="3"/>
  <c r="AS2268" i="3"/>
  <c r="AS2295" i="3"/>
  <c r="AS2287" i="3"/>
  <c r="AS2279" i="3"/>
  <c r="AS2271" i="3"/>
  <c r="AS2291" i="3"/>
  <c r="AS2283" i="3"/>
  <c r="AS2275" i="3"/>
  <c r="AS2267" i="3"/>
  <c r="AS2293" i="3"/>
  <c r="AS2277" i="3"/>
  <c r="AS2297" i="3"/>
  <c r="AS2281" i="3"/>
  <c r="AS2265" i="3"/>
  <c r="AS2285" i="3"/>
  <c r="AS2269" i="3"/>
  <c r="AS2289" i="3"/>
  <c r="AS2273" i="3"/>
  <c r="AW2294" i="3"/>
  <c r="AW2290" i="3"/>
  <c r="AW2286" i="3"/>
  <c r="AW2282" i="3"/>
  <c r="AW2278" i="3"/>
  <c r="AW2274" i="3"/>
  <c r="AW2270" i="3"/>
  <c r="AW2266" i="3"/>
  <c r="AW2296" i="3"/>
  <c r="AW2292" i="3"/>
  <c r="AW2288" i="3"/>
  <c r="AW2284" i="3"/>
  <c r="AW2280" i="3"/>
  <c r="AW2276" i="3"/>
  <c r="AW2272" i="3"/>
  <c r="AW2268" i="3"/>
  <c r="AW2291" i="3"/>
  <c r="AW2283" i="3"/>
  <c r="AW2275" i="3"/>
  <c r="AW2267" i="3"/>
  <c r="AW2295" i="3"/>
  <c r="AW2287" i="3"/>
  <c r="AW2279" i="3"/>
  <c r="AW2271" i="3"/>
  <c r="AW2297" i="3"/>
  <c r="AW2281" i="3"/>
  <c r="AW2265" i="3"/>
  <c r="AW2285" i="3"/>
  <c r="AW2269" i="3"/>
  <c r="AW2289" i="3"/>
  <c r="AW2273" i="3"/>
  <c r="AW2293" i="3"/>
  <c r="AW2277" i="3"/>
  <c r="I617" i="3" l="1"/>
  <c r="H617" i="3"/>
  <c r="G617" i="3"/>
  <c r="F617" i="3"/>
  <c r="E617" i="3"/>
  <c r="I616" i="3"/>
  <c r="H616" i="3"/>
  <c r="G616" i="3"/>
  <c r="F616" i="3"/>
  <c r="E616" i="3"/>
  <c r="I615" i="3"/>
  <c r="H615" i="3"/>
  <c r="G615" i="3"/>
  <c r="F615" i="3"/>
  <c r="E615" i="3"/>
  <c r="I614" i="3"/>
  <c r="H614" i="3"/>
  <c r="G614" i="3"/>
  <c r="F614" i="3"/>
  <c r="E614" i="3"/>
  <c r="I613" i="3"/>
  <c r="H613" i="3"/>
  <c r="G613" i="3"/>
  <c r="F613" i="3"/>
  <c r="E613" i="3"/>
  <c r="I612" i="3"/>
  <c r="H612" i="3"/>
  <c r="G612" i="3"/>
  <c r="F612" i="3"/>
  <c r="E612" i="3"/>
  <c r="I611" i="3"/>
  <c r="H611" i="3"/>
  <c r="G611" i="3"/>
  <c r="F611" i="3"/>
  <c r="E611" i="3"/>
  <c r="I610" i="3"/>
  <c r="H610" i="3"/>
  <c r="G610" i="3"/>
  <c r="F610" i="3"/>
  <c r="E610" i="3"/>
  <c r="I609" i="3"/>
  <c r="H609" i="3"/>
  <c r="G609" i="3"/>
  <c r="F609" i="3"/>
  <c r="E609" i="3"/>
  <c r="I608" i="3"/>
  <c r="H608" i="3"/>
  <c r="G608" i="3"/>
  <c r="F608" i="3"/>
  <c r="E608" i="3"/>
  <c r="I607" i="3"/>
  <c r="H607" i="3"/>
  <c r="G607" i="3"/>
  <c r="F607" i="3"/>
  <c r="E607" i="3"/>
  <c r="I606" i="3"/>
  <c r="H606" i="3"/>
  <c r="G606" i="3"/>
  <c r="F606" i="3"/>
  <c r="E606" i="3"/>
  <c r="I605" i="3"/>
  <c r="H605" i="3"/>
  <c r="G605" i="3"/>
  <c r="F605" i="3"/>
  <c r="E605" i="3"/>
  <c r="I604" i="3"/>
  <c r="H604" i="3"/>
  <c r="G604" i="3"/>
  <c r="F604" i="3"/>
  <c r="E604" i="3"/>
  <c r="I603" i="3"/>
  <c r="H603" i="3"/>
  <c r="G603" i="3"/>
  <c r="F603" i="3"/>
  <c r="E603" i="3"/>
  <c r="I602" i="3"/>
  <c r="H602" i="3"/>
  <c r="G602" i="3"/>
  <c r="F602" i="3"/>
  <c r="E602" i="3"/>
  <c r="I601" i="3"/>
  <c r="H601" i="3"/>
  <c r="G601" i="3"/>
  <c r="F601" i="3"/>
  <c r="E601" i="3"/>
  <c r="I600" i="3"/>
  <c r="H600" i="3"/>
  <c r="G600" i="3"/>
  <c r="F600" i="3"/>
  <c r="E600" i="3"/>
  <c r="I599" i="3"/>
  <c r="H599" i="3"/>
  <c r="G599" i="3"/>
  <c r="F599" i="3"/>
  <c r="E599" i="3"/>
  <c r="I598" i="3"/>
  <c r="H598" i="3"/>
  <c r="G598" i="3"/>
  <c r="F598" i="3"/>
  <c r="E598" i="3"/>
  <c r="I597" i="3"/>
  <c r="H597" i="3"/>
  <c r="G597" i="3"/>
  <c r="F597" i="3"/>
  <c r="E597" i="3"/>
  <c r="I596" i="3"/>
  <c r="H596" i="3"/>
  <c r="G596" i="3"/>
  <c r="F596" i="3"/>
  <c r="E596" i="3"/>
  <c r="I595" i="3"/>
  <c r="H595" i="3"/>
  <c r="G595" i="3"/>
  <c r="F595" i="3"/>
  <c r="E595" i="3"/>
  <c r="I594" i="3"/>
  <c r="H594" i="3"/>
  <c r="G594" i="3"/>
  <c r="F594" i="3"/>
  <c r="E594" i="3"/>
  <c r="I593" i="3"/>
  <c r="H593" i="3"/>
  <c r="G593" i="3"/>
  <c r="F593" i="3"/>
  <c r="E593" i="3"/>
  <c r="I592" i="3"/>
  <c r="H592" i="3"/>
  <c r="G592" i="3"/>
  <c r="F592" i="3"/>
  <c r="E592" i="3"/>
  <c r="I591" i="3"/>
  <c r="H591" i="3"/>
  <c r="G591" i="3"/>
  <c r="F591" i="3"/>
  <c r="E591" i="3"/>
  <c r="I590" i="3"/>
  <c r="H590" i="3"/>
  <c r="G590" i="3"/>
  <c r="F590" i="3"/>
  <c r="E590" i="3"/>
  <c r="I589" i="3"/>
  <c r="H589" i="3"/>
  <c r="G589" i="3"/>
  <c r="F589" i="3"/>
  <c r="E589" i="3"/>
  <c r="I588" i="3"/>
  <c r="H588" i="3"/>
  <c r="G588" i="3"/>
  <c r="F588" i="3"/>
  <c r="E588" i="3"/>
  <c r="I587" i="3"/>
  <c r="H587" i="3"/>
  <c r="G587" i="3"/>
  <c r="F587" i="3"/>
  <c r="E587" i="3"/>
  <c r="I586" i="3"/>
  <c r="H586" i="3"/>
  <c r="G586" i="3"/>
  <c r="F586" i="3"/>
  <c r="E586" i="3"/>
  <c r="I585" i="3"/>
  <c r="H585" i="3"/>
  <c r="G585" i="3"/>
  <c r="F585" i="3"/>
  <c r="E585" i="3"/>
  <c r="I584" i="3"/>
  <c r="H584" i="3"/>
  <c r="G584" i="3"/>
  <c r="F584" i="3"/>
  <c r="E584" i="3"/>
  <c r="I583" i="3"/>
  <c r="H583" i="3"/>
  <c r="G583" i="3"/>
  <c r="F583" i="3"/>
  <c r="E583" i="3"/>
  <c r="I582" i="3"/>
  <c r="H582" i="3"/>
  <c r="G582" i="3"/>
  <c r="F582" i="3"/>
  <c r="E582" i="3"/>
  <c r="I581" i="3"/>
  <c r="H581" i="3"/>
  <c r="G581" i="3"/>
  <c r="F581" i="3"/>
  <c r="E581" i="3"/>
  <c r="I580" i="3"/>
  <c r="H580" i="3"/>
  <c r="G580" i="3"/>
  <c r="F580" i="3"/>
  <c r="E580" i="3"/>
  <c r="I579" i="3"/>
  <c r="H579" i="3"/>
  <c r="G579" i="3"/>
  <c r="F579" i="3"/>
  <c r="E579" i="3"/>
  <c r="I578" i="3"/>
  <c r="H578" i="3"/>
  <c r="G578" i="3"/>
  <c r="F578" i="3"/>
  <c r="E578" i="3"/>
  <c r="I577" i="3"/>
  <c r="H577" i="3"/>
  <c r="G577" i="3"/>
  <c r="F577" i="3"/>
  <c r="E577" i="3"/>
  <c r="I576" i="3"/>
  <c r="H576" i="3"/>
  <c r="G576" i="3"/>
  <c r="F576" i="3"/>
  <c r="E576" i="3"/>
  <c r="I575" i="3"/>
  <c r="H575" i="3"/>
  <c r="G575" i="3"/>
  <c r="F575" i="3"/>
  <c r="E575" i="3"/>
  <c r="I574" i="3"/>
  <c r="H574" i="3"/>
  <c r="G574" i="3"/>
  <c r="F574" i="3"/>
  <c r="E574" i="3"/>
  <c r="I573" i="3"/>
  <c r="H573" i="3"/>
  <c r="G573" i="3"/>
  <c r="F573" i="3"/>
  <c r="E573" i="3"/>
  <c r="I572" i="3"/>
  <c r="H572" i="3"/>
  <c r="G572" i="3"/>
  <c r="F572" i="3"/>
  <c r="E572" i="3"/>
  <c r="I571" i="3"/>
  <c r="H571" i="3"/>
  <c r="G571" i="3"/>
  <c r="F571" i="3"/>
  <c r="E571" i="3"/>
  <c r="I570" i="3"/>
  <c r="H570" i="3"/>
  <c r="G570" i="3"/>
  <c r="F570" i="3"/>
  <c r="E570" i="3"/>
  <c r="I569" i="3"/>
  <c r="H569" i="3"/>
  <c r="G569" i="3"/>
  <c r="F569" i="3"/>
  <c r="E569" i="3"/>
  <c r="I568" i="3"/>
  <c r="H568" i="3"/>
  <c r="G568" i="3"/>
  <c r="F568" i="3"/>
  <c r="E568" i="3"/>
  <c r="I567" i="3"/>
  <c r="H567" i="3"/>
  <c r="G567" i="3"/>
  <c r="F567" i="3"/>
  <c r="E567" i="3"/>
  <c r="I566" i="3"/>
  <c r="H566" i="3"/>
  <c r="G566" i="3"/>
  <c r="F566" i="3"/>
  <c r="E566" i="3"/>
  <c r="I565" i="3"/>
  <c r="H565" i="3"/>
  <c r="G565" i="3"/>
  <c r="F565" i="3"/>
  <c r="E565" i="3"/>
  <c r="I564" i="3"/>
  <c r="H564" i="3"/>
  <c r="G564" i="3"/>
  <c r="F564" i="3"/>
  <c r="E564" i="3"/>
  <c r="I563" i="3"/>
  <c r="H563" i="3"/>
  <c r="G563" i="3"/>
  <c r="F563" i="3"/>
  <c r="E563" i="3"/>
  <c r="I562" i="3"/>
  <c r="H562" i="3"/>
  <c r="G562" i="3"/>
  <c r="F562" i="3"/>
  <c r="E562" i="3"/>
  <c r="I561" i="3"/>
  <c r="H561" i="3"/>
  <c r="G561" i="3"/>
  <c r="F561" i="3"/>
  <c r="E561" i="3"/>
  <c r="I560" i="3"/>
  <c r="H560" i="3"/>
  <c r="G560" i="3"/>
  <c r="F560" i="3"/>
  <c r="E560" i="3"/>
  <c r="I559" i="3"/>
  <c r="H559" i="3"/>
  <c r="G559" i="3"/>
  <c r="F559" i="3"/>
  <c r="E559" i="3"/>
  <c r="I558" i="3"/>
  <c r="H558" i="3"/>
  <c r="G558" i="3"/>
  <c r="F558" i="3"/>
  <c r="E558" i="3"/>
  <c r="I557" i="3"/>
  <c r="H557" i="3"/>
  <c r="G557" i="3"/>
  <c r="F557" i="3"/>
  <c r="E557" i="3"/>
  <c r="I556" i="3"/>
  <c r="H556" i="3"/>
  <c r="G556" i="3"/>
  <c r="F556" i="3"/>
  <c r="E556" i="3"/>
  <c r="I555" i="3"/>
  <c r="H555" i="3"/>
  <c r="G555" i="3"/>
  <c r="F555" i="3"/>
  <c r="E555" i="3"/>
  <c r="I554" i="3"/>
  <c r="H554" i="3"/>
  <c r="G554" i="3"/>
  <c r="F554" i="3"/>
  <c r="E554" i="3"/>
  <c r="I553" i="3"/>
  <c r="H553" i="3"/>
  <c r="G553" i="3"/>
  <c r="F553" i="3"/>
  <c r="E553" i="3"/>
  <c r="I552" i="3"/>
  <c r="H552" i="3"/>
  <c r="G552" i="3"/>
  <c r="F552" i="3"/>
  <c r="E552" i="3"/>
  <c r="I551" i="3"/>
  <c r="H551" i="3"/>
  <c r="G551" i="3"/>
  <c r="F551" i="3"/>
  <c r="E551" i="3"/>
  <c r="I550" i="3"/>
  <c r="H550" i="3"/>
  <c r="G550" i="3"/>
  <c r="F550" i="3"/>
  <c r="E550" i="3"/>
  <c r="I549" i="3"/>
  <c r="H549" i="3"/>
  <c r="G549" i="3"/>
  <c r="F549" i="3"/>
  <c r="E549" i="3"/>
  <c r="I548" i="3"/>
  <c r="H548" i="3"/>
  <c r="G548" i="3"/>
  <c r="F548" i="3"/>
  <c r="E548" i="3"/>
  <c r="I547" i="3"/>
  <c r="H547" i="3"/>
  <c r="G547" i="3"/>
  <c r="F547" i="3"/>
  <c r="E547" i="3"/>
  <c r="I546" i="3"/>
  <c r="H546" i="3"/>
  <c r="G546" i="3"/>
  <c r="F546" i="3"/>
  <c r="E546" i="3"/>
  <c r="I545" i="3"/>
  <c r="H545" i="3"/>
  <c r="G545" i="3"/>
  <c r="F545" i="3"/>
  <c r="E545" i="3"/>
  <c r="I544" i="3"/>
  <c r="H544" i="3"/>
  <c r="G544" i="3"/>
  <c r="F544" i="3"/>
  <c r="E544" i="3"/>
  <c r="I543" i="3"/>
  <c r="H543" i="3"/>
  <c r="G543" i="3"/>
  <c r="F543" i="3"/>
  <c r="E543" i="3"/>
  <c r="I542" i="3"/>
  <c r="H542" i="3"/>
  <c r="G542" i="3"/>
  <c r="F542" i="3"/>
  <c r="E542" i="3"/>
  <c r="I541" i="3"/>
  <c r="H541" i="3"/>
  <c r="G541" i="3"/>
  <c r="F541" i="3"/>
  <c r="E541" i="3"/>
  <c r="I540" i="3"/>
  <c r="H540" i="3"/>
  <c r="G540" i="3"/>
  <c r="F540" i="3"/>
  <c r="E540" i="3"/>
  <c r="I539" i="3"/>
  <c r="H539" i="3"/>
  <c r="G539" i="3"/>
  <c r="F539" i="3"/>
  <c r="E539" i="3"/>
  <c r="I538" i="3"/>
  <c r="H538" i="3"/>
  <c r="G538" i="3"/>
  <c r="F538" i="3"/>
  <c r="E538" i="3"/>
  <c r="I537" i="3"/>
  <c r="H537" i="3"/>
  <c r="G537" i="3"/>
  <c r="F537" i="3"/>
  <c r="E537" i="3"/>
  <c r="I536" i="3"/>
  <c r="H536" i="3"/>
  <c r="G536" i="3"/>
  <c r="F536" i="3"/>
  <c r="E536" i="3"/>
  <c r="I535" i="3"/>
  <c r="H535" i="3"/>
  <c r="G535" i="3"/>
  <c r="F535" i="3"/>
  <c r="E535" i="3"/>
  <c r="I534" i="3"/>
  <c r="H534" i="3"/>
  <c r="G534" i="3"/>
  <c r="F534" i="3"/>
  <c r="E534" i="3"/>
  <c r="I533" i="3"/>
  <c r="H533" i="3"/>
  <c r="G533" i="3"/>
  <c r="F533" i="3"/>
  <c r="E533" i="3"/>
  <c r="I532" i="3"/>
  <c r="H532" i="3"/>
  <c r="G532" i="3"/>
  <c r="F532" i="3"/>
  <c r="E532" i="3"/>
  <c r="I531" i="3"/>
  <c r="H531" i="3"/>
  <c r="G531" i="3"/>
  <c r="F531" i="3"/>
  <c r="E531" i="3"/>
  <c r="I530" i="3"/>
  <c r="H530" i="3"/>
  <c r="G530" i="3"/>
  <c r="F530" i="3"/>
  <c r="E530" i="3"/>
  <c r="I529" i="3"/>
  <c r="H529" i="3"/>
  <c r="G529" i="3"/>
  <c r="F529" i="3"/>
  <c r="E529" i="3"/>
  <c r="I528" i="3"/>
  <c r="H528" i="3"/>
  <c r="G528" i="3"/>
  <c r="F528" i="3"/>
  <c r="E528" i="3"/>
  <c r="I527" i="3"/>
  <c r="H527" i="3"/>
  <c r="G527" i="3"/>
  <c r="F527" i="3"/>
  <c r="E527" i="3"/>
  <c r="I526" i="3"/>
  <c r="H526" i="3"/>
  <c r="G526" i="3"/>
  <c r="F526" i="3"/>
  <c r="E526" i="3"/>
  <c r="I525" i="3"/>
  <c r="H525" i="3"/>
  <c r="G525" i="3"/>
  <c r="F525" i="3"/>
  <c r="E525" i="3"/>
  <c r="I524" i="3"/>
  <c r="H524" i="3"/>
  <c r="G524" i="3"/>
  <c r="F524" i="3"/>
  <c r="E524" i="3"/>
  <c r="I523" i="3"/>
  <c r="H523" i="3"/>
  <c r="G523" i="3"/>
  <c r="F523" i="3"/>
  <c r="E523" i="3"/>
  <c r="I522" i="3"/>
  <c r="H522" i="3"/>
  <c r="G522" i="3"/>
  <c r="F522" i="3"/>
  <c r="E522" i="3"/>
  <c r="I521" i="3"/>
  <c r="H521" i="3"/>
  <c r="G521" i="3"/>
  <c r="F521" i="3"/>
  <c r="E521" i="3"/>
  <c r="I520" i="3"/>
  <c r="H520" i="3"/>
  <c r="G520" i="3"/>
  <c r="F520" i="3"/>
  <c r="E520" i="3"/>
  <c r="I519" i="3"/>
  <c r="H519" i="3"/>
  <c r="G519" i="3"/>
  <c r="F519" i="3"/>
  <c r="E519" i="3"/>
  <c r="I518" i="3"/>
  <c r="H518" i="3"/>
  <c r="G518" i="3"/>
  <c r="F518" i="3"/>
  <c r="E518" i="3"/>
  <c r="I517" i="3"/>
  <c r="H517" i="3"/>
  <c r="G517" i="3"/>
  <c r="F517" i="3"/>
  <c r="E517" i="3"/>
  <c r="I516" i="3"/>
  <c r="H516" i="3"/>
  <c r="G516" i="3"/>
  <c r="F516" i="3"/>
  <c r="E516" i="3"/>
  <c r="I515" i="3"/>
  <c r="H515" i="3"/>
  <c r="G515" i="3"/>
  <c r="F515" i="3"/>
  <c r="E515" i="3"/>
  <c r="I514" i="3"/>
  <c r="H514" i="3"/>
  <c r="G514" i="3"/>
  <c r="F514" i="3"/>
  <c r="E514" i="3"/>
  <c r="I513" i="3"/>
  <c r="H513" i="3"/>
  <c r="G513" i="3"/>
  <c r="F513" i="3"/>
  <c r="E513" i="3"/>
  <c r="I512" i="3"/>
  <c r="H512" i="3"/>
  <c r="G512" i="3"/>
  <c r="F512" i="3"/>
  <c r="E512" i="3"/>
  <c r="I511" i="3"/>
  <c r="H511" i="3"/>
  <c r="G511" i="3"/>
  <c r="F511" i="3"/>
  <c r="E511" i="3"/>
  <c r="I510" i="3"/>
  <c r="H510" i="3"/>
  <c r="G510" i="3"/>
  <c r="F510" i="3"/>
  <c r="E510" i="3"/>
  <c r="I509" i="3"/>
  <c r="H509" i="3"/>
  <c r="G509" i="3"/>
  <c r="F509" i="3"/>
  <c r="E509" i="3"/>
  <c r="I508" i="3"/>
  <c r="H508" i="3"/>
  <c r="G508" i="3"/>
  <c r="F508" i="3"/>
  <c r="E508" i="3"/>
  <c r="I507" i="3"/>
  <c r="H507" i="3"/>
  <c r="G507" i="3"/>
  <c r="F507" i="3"/>
  <c r="E507" i="3"/>
  <c r="I506" i="3"/>
  <c r="H506" i="3"/>
  <c r="G506" i="3"/>
  <c r="F506" i="3"/>
  <c r="E506" i="3"/>
  <c r="I505" i="3"/>
  <c r="H505" i="3"/>
  <c r="G505" i="3"/>
  <c r="F505" i="3"/>
  <c r="E505" i="3"/>
  <c r="I504" i="3"/>
  <c r="H504" i="3"/>
  <c r="G504" i="3"/>
  <c r="F504" i="3"/>
  <c r="E504" i="3"/>
  <c r="I503" i="3"/>
  <c r="H503" i="3"/>
  <c r="G503" i="3"/>
  <c r="F503" i="3"/>
  <c r="E503" i="3"/>
  <c r="I502" i="3"/>
  <c r="H502" i="3"/>
  <c r="G502" i="3"/>
  <c r="F502" i="3"/>
  <c r="E502" i="3"/>
  <c r="I501" i="3"/>
  <c r="H501" i="3"/>
  <c r="G501" i="3"/>
  <c r="F501" i="3"/>
  <c r="E501" i="3"/>
  <c r="I500" i="3"/>
  <c r="H500" i="3"/>
  <c r="G500" i="3"/>
  <c r="F500" i="3"/>
  <c r="E500" i="3"/>
  <c r="I499" i="3"/>
  <c r="H499" i="3"/>
  <c r="G499" i="3"/>
  <c r="F499" i="3"/>
  <c r="E499" i="3"/>
  <c r="I498" i="3"/>
  <c r="H498" i="3"/>
  <c r="G498" i="3"/>
  <c r="F498" i="3"/>
  <c r="E498" i="3"/>
  <c r="I497" i="3"/>
  <c r="H497" i="3"/>
  <c r="G497" i="3"/>
  <c r="F497" i="3"/>
  <c r="E497" i="3"/>
  <c r="I496" i="3"/>
  <c r="H496" i="3"/>
  <c r="G496" i="3"/>
  <c r="F496" i="3"/>
  <c r="E496" i="3"/>
  <c r="I495" i="3"/>
  <c r="H495" i="3"/>
  <c r="G495" i="3"/>
  <c r="F495" i="3"/>
  <c r="E495" i="3"/>
  <c r="I494" i="3"/>
  <c r="H494" i="3"/>
  <c r="G494" i="3"/>
  <c r="F494" i="3"/>
  <c r="E494" i="3"/>
  <c r="I493" i="3"/>
  <c r="H493" i="3"/>
  <c r="G493" i="3"/>
  <c r="F493" i="3"/>
  <c r="E493" i="3"/>
  <c r="I492" i="3"/>
  <c r="H492" i="3"/>
  <c r="G492" i="3"/>
  <c r="F492" i="3"/>
  <c r="E492" i="3"/>
  <c r="I491" i="3"/>
  <c r="H491" i="3"/>
  <c r="G491" i="3"/>
  <c r="F491" i="3"/>
  <c r="E491" i="3"/>
  <c r="I490" i="3"/>
  <c r="H490" i="3"/>
  <c r="G490" i="3"/>
  <c r="F490" i="3"/>
  <c r="E490" i="3"/>
  <c r="I489" i="3"/>
  <c r="H489" i="3"/>
  <c r="G489" i="3"/>
  <c r="F489" i="3"/>
  <c r="E489" i="3"/>
  <c r="I488" i="3"/>
  <c r="H488" i="3"/>
  <c r="G488" i="3"/>
  <c r="F488" i="3"/>
  <c r="E488" i="3"/>
  <c r="I487" i="3"/>
  <c r="H487" i="3"/>
  <c r="G487" i="3"/>
  <c r="F487" i="3"/>
  <c r="E487" i="3"/>
  <c r="I486" i="3"/>
  <c r="H486" i="3"/>
  <c r="G486" i="3"/>
  <c r="F486" i="3"/>
  <c r="E486" i="3"/>
  <c r="I485" i="3"/>
  <c r="H485" i="3"/>
  <c r="G485" i="3"/>
  <c r="F485" i="3"/>
  <c r="E485" i="3"/>
  <c r="I484" i="3"/>
  <c r="H484" i="3"/>
  <c r="G484" i="3"/>
  <c r="F484" i="3"/>
  <c r="E484" i="3"/>
  <c r="I483" i="3"/>
  <c r="H483" i="3"/>
  <c r="G483" i="3"/>
  <c r="F483" i="3"/>
  <c r="E483" i="3"/>
  <c r="I482" i="3"/>
  <c r="H482" i="3"/>
  <c r="G482" i="3"/>
  <c r="F482" i="3"/>
  <c r="E482" i="3"/>
  <c r="I481" i="3"/>
  <c r="H481" i="3"/>
  <c r="G481" i="3"/>
  <c r="F481" i="3"/>
  <c r="E481" i="3"/>
  <c r="I480" i="3"/>
  <c r="H480" i="3"/>
  <c r="G480" i="3"/>
  <c r="F480" i="3"/>
  <c r="E480" i="3"/>
  <c r="I479" i="3"/>
  <c r="H479" i="3"/>
  <c r="G479" i="3"/>
  <c r="F479" i="3"/>
  <c r="E479" i="3"/>
  <c r="I478" i="3"/>
  <c r="H478" i="3"/>
  <c r="G478" i="3"/>
  <c r="F478" i="3"/>
  <c r="E478" i="3"/>
  <c r="I477" i="3"/>
  <c r="H477" i="3"/>
  <c r="G477" i="3"/>
  <c r="F477" i="3"/>
  <c r="E477" i="3"/>
  <c r="I476" i="3"/>
  <c r="H476" i="3"/>
  <c r="G476" i="3"/>
  <c r="F476" i="3"/>
  <c r="E476" i="3"/>
  <c r="I475" i="3"/>
  <c r="H475" i="3"/>
  <c r="G475" i="3"/>
  <c r="F475" i="3"/>
  <c r="E475" i="3"/>
  <c r="I474" i="3"/>
  <c r="H474" i="3"/>
  <c r="G474" i="3"/>
  <c r="F474" i="3"/>
  <c r="E474" i="3"/>
  <c r="I473" i="3"/>
  <c r="H473" i="3"/>
  <c r="G473" i="3"/>
  <c r="F473" i="3"/>
  <c r="E473" i="3"/>
  <c r="I472" i="3"/>
  <c r="H472" i="3"/>
  <c r="G472" i="3"/>
  <c r="F472" i="3"/>
  <c r="E472" i="3"/>
  <c r="I471" i="3"/>
  <c r="H471" i="3"/>
  <c r="G471" i="3"/>
  <c r="F471" i="3"/>
  <c r="E471" i="3"/>
  <c r="I470" i="3"/>
  <c r="H470" i="3"/>
  <c r="G470" i="3"/>
  <c r="F470" i="3"/>
  <c r="E470" i="3"/>
  <c r="I469" i="3"/>
  <c r="H469" i="3"/>
  <c r="G469" i="3"/>
  <c r="F469" i="3"/>
  <c r="E469" i="3"/>
  <c r="I468" i="3"/>
  <c r="H468" i="3"/>
  <c r="G468" i="3"/>
  <c r="F468" i="3"/>
  <c r="E468" i="3"/>
  <c r="I467" i="3"/>
  <c r="H467" i="3"/>
  <c r="G467" i="3"/>
  <c r="F467" i="3"/>
  <c r="E467" i="3"/>
  <c r="I466" i="3"/>
  <c r="H466" i="3"/>
  <c r="G466" i="3"/>
  <c r="F466" i="3"/>
  <c r="E466" i="3"/>
  <c r="I465" i="3"/>
  <c r="H465" i="3"/>
  <c r="G465" i="3"/>
  <c r="F465" i="3"/>
  <c r="E465" i="3"/>
  <c r="I464" i="3"/>
  <c r="H464" i="3"/>
  <c r="G464" i="3"/>
  <c r="F464" i="3"/>
  <c r="E464" i="3"/>
  <c r="I463" i="3"/>
  <c r="H463" i="3"/>
  <c r="G463" i="3"/>
  <c r="F463" i="3"/>
  <c r="E463" i="3"/>
  <c r="I462" i="3"/>
  <c r="H462" i="3"/>
  <c r="G462" i="3"/>
  <c r="F462" i="3"/>
  <c r="E462" i="3"/>
  <c r="I461" i="3"/>
  <c r="H461" i="3"/>
  <c r="G461" i="3"/>
  <c r="F461" i="3"/>
  <c r="E461" i="3"/>
  <c r="I460" i="3"/>
  <c r="H460" i="3"/>
  <c r="G460" i="3"/>
  <c r="F460" i="3"/>
  <c r="E460" i="3"/>
  <c r="I459" i="3"/>
  <c r="H459" i="3"/>
  <c r="G459" i="3"/>
  <c r="F459" i="3"/>
  <c r="E459" i="3"/>
  <c r="I458" i="3"/>
  <c r="H458" i="3"/>
  <c r="G458" i="3"/>
  <c r="F458" i="3"/>
  <c r="E458" i="3"/>
  <c r="I457" i="3"/>
  <c r="H457" i="3"/>
  <c r="G457" i="3"/>
  <c r="F457" i="3"/>
  <c r="E457" i="3"/>
  <c r="I456" i="3"/>
  <c r="H456" i="3"/>
  <c r="G456" i="3"/>
  <c r="F456" i="3"/>
  <c r="E456" i="3"/>
  <c r="I455" i="3"/>
  <c r="H455" i="3"/>
  <c r="G455" i="3"/>
  <c r="F455" i="3"/>
  <c r="E455" i="3"/>
  <c r="I454" i="3"/>
  <c r="H454" i="3"/>
  <c r="G454" i="3"/>
  <c r="F454" i="3"/>
  <c r="E454" i="3"/>
  <c r="I453" i="3"/>
  <c r="H453" i="3"/>
  <c r="G453" i="3"/>
  <c r="F453" i="3"/>
  <c r="E453" i="3"/>
  <c r="I452" i="3"/>
  <c r="H452" i="3"/>
  <c r="G452" i="3"/>
  <c r="F452" i="3"/>
  <c r="E452" i="3"/>
  <c r="I451" i="3"/>
  <c r="H451" i="3"/>
  <c r="G451" i="3"/>
  <c r="F451" i="3"/>
  <c r="E451" i="3"/>
  <c r="I450" i="3"/>
  <c r="H450" i="3"/>
  <c r="G450" i="3"/>
  <c r="F450" i="3"/>
  <c r="E450" i="3"/>
  <c r="I449" i="3"/>
  <c r="H449" i="3"/>
  <c r="G449" i="3"/>
  <c r="F449" i="3"/>
  <c r="E449" i="3"/>
  <c r="I448" i="3"/>
  <c r="H448" i="3"/>
  <c r="G448" i="3"/>
  <c r="F448" i="3"/>
  <c r="E448" i="3"/>
  <c r="I447" i="3"/>
  <c r="H447" i="3"/>
  <c r="G447" i="3"/>
  <c r="F447" i="3"/>
  <c r="E447" i="3"/>
  <c r="I446" i="3"/>
  <c r="H446" i="3"/>
  <c r="G446" i="3"/>
  <c r="F446" i="3"/>
  <c r="E446" i="3"/>
  <c r="I445" i="3"/>
  <c r="H445" i="3"/>
  <c r="G445" i="3"/>
  <c r="F445" i="3"/>
  <c r="E445" i="3"/>
  <c r="I444" i="3"/>
  <c r="H444" i="3"/>
  <c r="G444" i="3"/>
  <c r="F444" i="3"/>
  <c r="E444" i="3"/>
  <c r="I443" i="3"/>
  <c r="H443" i="3"/>
  <c r="G443" i="3"/>
  <c r="F443" i="3"/>
  <c r="E443" i="3"/>
  <c r="I442" i="3"/>
  <c r="H442" i="3"/>
  <c r="G442" i="3"/>
  <c r="F442" i="3"/>
  <c r="E442" i="3"/>
  <c r="I441" i="3"/>
  <c r="H441" i="3"/>
  <c r="G441" i="3"/>
  <c r="F441" i="3"/>
  <c r="E441" i="3"/>
  <c r="I440" i="3"/>
  <c r="H440" i="3"/>
  <c r="G440" i="3"/>
  <c r="F440" i="3"/>
  <c r="E440" i="3"/>
  <c r="I439" i="3"/>
  <c r="H439" i="3"/>
  <c r="G439" i="3"/>
  <c r="F439" i="3"/>
  <c r="E439" i="3"/>
  <c r="I438" i="3"/>
  <c r="H438" i="3"/>
  <c r="G438" i="3"/>
  <c r="F438" i="3"/>
  <c r="E438" i="3"/>
  <c r="I437" i="3"/>
  <c r="H437" i="3"/>
  <c r="G437" i="3"/>
  <c r="F437" i="3"/>
  <c r="E437" i="3"/>
  <c r="I436" i="3"/>
  <c r="H436" i="3"/>
  <c r="G436" i="3"/>
  <c r="F436" i="3"/>
  <c r="E436" i="3"/>
  <c r="I435" i="3"/>
  <c r="H435" i="3"/>
  <c r="G435" i="3"/>
  <c r="F435" i="3"/>
  <c r="E435" i="3"/>
  <c r="I434" i="3"/>
  <c r="H434" i="3"/>
  <c r="G434" i="3"/>
  <c r="F434" i="3"/>
  <c r="E434" i="3"/>
  <c r="I433" i="3"/>
  <c r="H433" i="3"/>
  <c r="G433" i="3"/>
  <c r="F433" i="3"/>
  <c r="E433" i="3"/>
  <c r="I432" i="3"/>
  <c r="H432" i="3"/>
  <c r="G432" i="3"/>
  <c r="F432" i="3"/>
  <c r="E432" i="3"/>
  <c r="I431" i="3"/>
  <c r="H431" i="3"/>
  <c r="G431" i="3"/>
  <c r="F431" i="3"/>
  <c r="E431" i="3"/>
  <c r="I430" i="3"/>
  <c r="H430" i="3"/>
  <c r="G430" i="3"/>
  <c r="F430" i="3"/>
  <c r="E430" i="3"/>
  <c r="I429" i="3"/>
  <c r="H429" i="3"/>
  <c r="G429" i="3"/>
  <c r="F429" i="3"/>
  <c r="E429" i="3"/>
  <c r="I428" i="3"/>
  <c r="H428" i="3"/>
  <c r="G428" i="3"/>
  <c r="F428" i="3"/>
  <c r="E428" i="3"/>
  <c r="I427" i="3"/>
  <c r="H427" i="3"/>
  <c r="G427" i="3"/>
  <c r="F427" i="3"/>
  <c r="E427" i="3"/>
  <c r="I426" i="3"/>
  <c r="H426" i="3"/>
  <c r="G426" i="3"/>
  <c r="F426" i="3"/>
  <c r="E426" i="3"/>
  <c r="I425" i="3"/>
  <c r="H425" i="3"/>
  <c r="G425" i="3"/>
  <c r="F425" i="3"/>
  <c r="E425" i="3"/>
  <c r="I424" i="3"/>
  <c r="H424" i="3"/>
  <c r="G424" i="3"/>
  <c r="F424" i="3"/>
  <c r="E424" i="3"/>
  <c r="I423" i="3"/>
  <c r="H423" i="3"/>
  <c r="G423" i="3"/>
  <c r="F423" i="3"/>
  <c r="E423" i="3"/>
  <c r="I422" i="3"/>
  <c r="H422" i="3"/>
  <c r="G422" i="3"/>
  <c r="F422" i="3"/>
  <c r="E422" i="3"/>
  <c r="I421" i="3"/>
  <c r="H421" i="3"/>
  <c r="G421" i="3"/>
  <c r="F421" i="3"/>
  <c r="E421" i="3"/>
  <c r="I420" i="3"/>
  <c r="H420" i="3"/>
  <c r="G420" i="3"/>
  <c r="F420" i="3"/>
  <c r="E420" i="3"/>
  <c r="I419" i="3"/>
  <c r="H419" i="3"/>
  <c r="G419" i="3"/>
  <c r="F419" i="3"/>
  <c r="E419" i="3"/>
  <c r="I418" i="3"/>
  <c r="H418" i="3"/>
  <c r="G418" i="3"/>
  <c r="F418" i="3"/>
  <c r="E418" i="3"/>
  <c r="I417" i="3"/>
  <c r="H417" i="3"/>
  <c r="G417" i="3"/>
  <c r="F417" i="3"/>
  <c r="E417" i="3"/>
  <c r="I416" i="3"/>
  <c r="H416" i="3"/>
  <c r="G416" i="3"/>
  <c r="F416" i="3"/>
  <c r="E416" i="3"/>
  <c r="I415" i="3"/>
  <c r="H415" i="3"/>
  <c r="G415" i="3"/>
  <c r="F415" i="3"/>
  <c r="E415" i="3"/>
  <c r="I414" i="3"/>
  <c r="H414" i="3"/>
  <c r="G414" i="3"/>
  <c r="F414" i="3"/>
  <c r="E414" i="3"/>
  <c r="I413" i="3"/>
  <c r="H413" i="3"/>
  <c r="G413" i="3"/>
  <c r="F413" i="3"/>
  <c r="E413" i="3"/>
  <c r="I412" i="3"/>
  <c r="H412" i="3"/>
  <c r="G412" i="3"/>
  <c r="F412" i="3"/>
  <c r="E412" i="3"/>
  <c r="I411" i="3"/>
  <c r="H411" i="3"/>
  <c r="G411" i="3"/>
  <c r="F411" i="3"/>
  <c r="E411" i="3"/>
  <c r="I410" i="3"/>
  <c r="H410" i="3"/>
  <c r="G410" i="3"/>
  <c r="F410" i="3"/>
  <c r="E410" i="3"/>
  <c r="I409" i="3"/>
  <c r="H409" i="3"/>
  <c r="G409" i="3"/>
  <c r="F409" i="3"/>
  <c r="E409" i="3"/>
  <c r="I408" i="3"/>
  <c r="H408" i="3"/>
  <c r="G408" i="3"/>
  <c r="F408" i="3"/>
  <c r="E408" i="3"/>
  <c r="I407" i="3"/>
  <c r="H407" i="3"/>
  <c r="G407" i="3"/>
  <c r="F407" i="3"/>
  <c r="E407" i="3"/>
  <c r="I406" i="3"/>
  <c r="H406" i="3"/>
  <c r="G406" i="3"/>
  <c r="F406" i="3"/>
  <c r="E406" i="3"/>
  <c r="I405" i="3"/>
  <c r="H405" i="3"/>
  <c r="G405" i="3"/>
  <c r="F405" i="3"/>
  <c r="E405" i="3"/>
  <c r="I404" i="3"/>
  <c r="H404" i="3"/>
  <c r="G404" i="3"/>
  <c r="F404" i="3"/>
  <c r="E404" i="3"/>
  <c r="I403" i="3"/>
  <c r="H403" i="3"/>
  <c r="G403" i="3"/>
  <c r="F403" i="3"/>
  <c r="E403" i="3"/>
  <c r="I402" i="3"/>
  <c r="H402" i="3"/>
  <c r="G402" i="3"/>
  <c r="F402" i="3"/>
  <c r="E402" i="3"/>
  <c r="I401" i="3"/>
  <c r="H401" i="3"/>
  <c r="G401" i="3"/>
  <c r="F401" i="3"/>
  <c r="E401" i="3"/>
  <c r="I400" i="3"/>
  <c r="H400" i="3"/>
  <c r="G400" i="3"/>
  <c r="F400" i="3"/>
  <c r="E400" i="3"/>
  <c r="I399" i="3"/>
  <c r="H399" i="3"/>
  <c r="G399" i="3"/>
  <c r="F399" i="3"/>
  <c r="E399" i="3"/>
  <c r="I398" i="3"/>
  <c r="H398" i="3"/>
  <c r="G398" i="3"/>
  <c r="F398" i="3"/>
  <c r="E398" i="3"/>
  <c r="I397" i="3"/>
  <c r="H397" i="3"/>
  <c r="G397" i="3"/>
  <c r="F397" i="3"/>
  <c r="E397" i="3"/>
  <c r="I396" i="3"/>
  <c r="H396" i="3"/>
  <c r="G396" i="3"/>
  <c r="F396" i="3"/>
  <c r="E396" i="3"/>
  <c r="I395" i="3"/>
  <c r="H395" i="3"/>
  <c r="G395" i="3"/>
  <c r="F395" i="3"/>
  <c r="E395" i="3"/>
  <c r="I394" i="3"/>
  <c r="H394" i="3"/>
  <c r="G394" i="3"/>
  <c r="F394" i="3"/>
  <c r="E394" i="3"/>
  <c r="I393" i="3"/>
  <c r="H393" i="3"/>
  <c r="G393" i="3"/>
  <c r="F393" i="3"/>
  <c r="E393" i="3"/>
  <c r="I392" i="3"/>
  <c r="H392" i="3"/>
  <c r="G392" i="3"/>
  <c r="F392" i="3"/>
  <c r="E392" i="3"/>
  <c r="I391" i="3"/>
  <c r="H391" i="3"/>
  <c r="G391" i="3"/>
  <c r="F391" i="3"/>
  <c r="E391" i="3"/>
  <c r="I390" i="3"/>
  <c r="H390" i="3"/>
  <c r="G390" i="3"/>
  <c r="F390" i="3"/>
  <c r="E390" i="3"/>
  <c r="I389" i="3"/>
  <c r="H389" i="3"/>
  <c r="G389" i="3"/>
  <c r="F389" i="3"/>
  <c r="E389" i="3"/>
  <c r="I388" i="3"/>
  <c r="H388" i="3"/>
  <c r="G388" i="3"/>
  <c r="F388" i="3"/>
  <c r="E388" i="3"/>
  <c r="I387" i="3"/>
  <c r="H387" i="3"/>
  <c r="G387" i="3"/>
  <c r="F387" i="3"/>
  <c r="E387" i="3"/>
  <c r="I386" i="3"/>
  <c r="H386" i="3"/>
  <c r="G386" i="3"/>
  <c r="F386" i="3"/>
  <c r="E386" i="3"/>
  <c r="I385" i="3"/>
  <c r="H385" i="3"/>
  <c r="G385" i="3"/>
  <c r="F385" i="3"/>
  <c r="E385" i="3"/>
  <c r="I384" i="3"/>
  <c r="H384" i="3"/>
  <c r="G384" i="3"/>
  <c r="F384" i="3"/>
  <c r="E384" i="3"/>
  <c r="I383" i="3"/>
  <c r="H383" i="3"/>
  <c r="G383" i="3"/>
  <c r="F383" i="3"/>
  <c r="E383" i="3"/>
  <c r="I382" i="3"/>
  <c r="H382" i="3"/>
  <c r="G382" i="3"/>
  <c r="F382" i="3"/>
  <c r="E382" i="3"/>
  <c r="I381" i="3"/>
  <c r="H381" i="3"/>
  <c r="G381" i="3"/>
  <c r="F381" i="3"/>
  <c r="E381" i="3"/>
  <c r="I380" i="3"/>
  <c r="H380" i="3"/>
  <c r="G380" i="3"/>
  <c r="F380" i="3"/>
  <c r="E380" i="3"/>
  <c r="I379" i="3"/>
  <c r="H379" i="3"/>
  <c r="G379" i="3"/>
  <c r="F379" i="3"/>
  <c r="E379" i="3"/>
  <c r="I378" i="3"/>
  <c r="H378" i="3"/>
  <c r="G378" i="3"/>
  <c r="F378" i="3"/>
  <c r="E378" i="3"/>
  <c r="I377" i="3"/>
  <c r="H377" i="3"/>
  <c r="G377" i="3"/>
  <c r="F377" i="3"/>
  <c r="E377" i="3"/>
  <c r="I376" i="3"/>
  <c r="H376" i="3"/>
  <c r="G376" i="3"/>
  <c r="F376" i="3"/>
  <c r="E376" i="3"/>
  <c r="I375" i="3"/>
  <c r="H375" i="3"/>
  <c r="G375" i="3"/>
  <c r="F375" i="3"/>
  <c r="E375" i="3"/>
  <c r="I374" i="3"/>
  <c r="H374" i="3"/>
  <c r="G374" i="3"/>
  <c r="F374" i="3"/>
  <c r="E374" i="3"/>
  <c r="I373" i="3"/>
  <c r="H373" i="3"/>
  <c r="G373" i="3"/>
  <c r="F373" i="3"/>
  <c r="E373" i="3"/>
  <c r="I372" i="3"/>
  <c r="H372" i="3"/>
  <c r="G372" i="3"/>
  <c r="F372" i="3"/>
  <c r="E372" i="3"/>
  <c r="I371" i="3"/>
  <c r="H371" i="3"/>
  <c r="G371" i="3"/>
  <c r="F371" i="3"/>
  <c r="E371" i="3"/>
  <c r="I370" i="3"/>
  <c r="H370" i="3"/>
  <c r="G370" i="3"/>
  <c r="F370" i="3"/>
  <c r="E370" i="3"/>
  <c r="I369" i="3"/>
  <c r="H369" i="3"/>
  <c r="G369" i="3"/>
  <c r="F369" i="3"/>
  <c r="E369" i="3"/>
  <c r="I368" i="3"/>
  <c r="H368" i="3"/>
  <c r="G368" i="3"/>
  <c r="F368" i="3"/>
  <c r="E368" i="3"/>
  <c r="I367" i="3"/>
  <c r="H367" i="3"/>
  <c r="G367" i="3"/>
  <c r="F367" i="3"/>
  <c r="E367" i="3"/>
  <c r="I366" i="3"/>
  <c r="H366" i="3"/>
  <c r="G366" i="3"/>
  <c r="F366" i="3"/>
  <c r="E366" i="3"/>
  <c r="I365" i="3"/>
  <c r="H365" i="3"/>
  <c r="G365" i="3"/>
  <c r="F365" i="3"/>
  <c r="E365" i="3"/>
  <c r="I364" i="3"/>
  <c r="H364" i="3"/>
  <c r="G364" i="3"/>
  <c r="F364" i="3"/>
  <c r="E364" i="3"/>
  <c r="I363" i="3"/>
  <c r="H363" i="3"/>
  <c r="G363" i="3"/>
  <c r="F363" i="3"/>
  <c r="E363" i="3"/>
  <c r="I362" i="3"/>
  <c r="H362" i="3"/>
  <c r="G362" i="3"/>
  <c r="F362" i="3"/>
  <c r="E362" i="3"/>
  <c r="I361" i="3"/>
  <c r="H361" i="3"/>
  <c r="G361" i="3"/>
  <c r="F361" i="3"/>
  <c r="E361" i="3"/>
  <c r="I360" i="3"/>
  <c r="H360" i="3"/>
  <c r="G360" i="3"/>
  <c r="F360" i="3"/>
  <c r="E360" i="3"/>
  <c r="I359" i="3"/>
  <c r="H359" i="3"/>
  <c r="G359" i="3"/>
  <c r="F359" i="3"/>
  <c r="E359" i="3"/>
  <c r="I358" i="3"/>
  <c r="H358" i="3"/>
  <c r="G358" i="3"/>
  <c r="F358" i="3"/>
  <c r="E358" i="3"/>
  <c r="I357" i="3"/>
  <c r="H357" i="3"/>
  <c r="G357" i="3"/>
  <c r="F357" i="3"/>
  <c r="E357" i="3"/>
  <c r="I356" i="3"/>
  <c r="H356" i="3"/>
  <c r="G356" i="3"/>
  <c r="F356" i="3"/>
  <c r="E356" i="3"/>
  <c r="I355" i="3"/>
  <c r="H355" i="3"/>
  <c r="G355" i="3"/>
  <c r="F355" i="3"/>
  <c r="E355" i="3"/>
  <c r="I354" i="3"/>
  <c r="H354" i="3"/>
  <c r="G354" i="3"/>
  <c r="F354" i="3"/>
  <c r="E354" i="3"/>
  <c r="I353" i="3"/>
  <c r="H353" i="3"/>
  <c r="G353" i="3"/>
  <c r="F353" i="3"/>
  <c r="E353" i="3"/>
  <c r="I352" i="3"/>
  <c r="H352" i="3"/>
  <c r="G352" i="3"/>
  <c r="F352" i="3"/>
  <c r="E352" i="3"/>
  <c r="I351" i="3"/>
  <c r="H351" i="3"/>
  <c r="G351" i="3"/>
  <c r="F351" i="3"/>
  <c r="E351" i="3"/>
  <c r="I350" i="3"/>
  <c r="H350" i="3"/>
  <c r="G350" i="3"/>
  <c r="F350" i="3"/>
  <c r="E350" i="3"/>
  <c r="I349" i="3"/>
  <c r="H349" i="3"/>
  <c r="G349" i="3"/>
  <c r="F349" i="3"/>
  <c r="E349" i="3"/>
  <c r="I348" i="3"/>
  <c r="H348" i="3"/>
  <c r="G348" i="3"/>
  <c r="F348" i="3"/>
  <c r="E348" i="3"/>
  <c r="I347" i="3"/>
  <c r="H347" i="3"/>
  <c r="G347" i="3"/>
  <c r="F347" i="3"/>
  <c r="E347" i="3"/>
  <c r="I346" i="3"/>
  <c r="H346" i="3"/>
  <c r="G346" i="3"/>
  <c r="F346" i="3"/>
  <c r="E346" i="3"/>
  <c r="I1797" i="5"/>
  <c r="H1797" i="5"/>
  <c r="G1797" i="5"/>
  <c r="F1797" i="5"/>
  <c r="E1797" i="5"/>
  <c r="I1796" i="5"/>
  <c r="H1796" i="5"/>
  <c r="G1796" i="5"/>
  <c r="F1796" i="5"/>
  <c r="E1796" i="5"/>
  <c r="I1795" i="5"/>
  <c r="H1795" i="5"/>
  <c r="G1795" i="5"/>
  <c r="F1795" i="5"/>
  <c r="E1795" i="5"/>
  <c r="I1794" i="5"/>
  <c r="H1794" i="5"/>
  <c r="G1794" i="5"/>
  <c r="F1794" i="5"/>
  <c r="E1794" i="5"/>
  <c r="I1793" i="5"/>
  <c r="H1793" i="5"/>
  <c r="G1793" i="5"/>
  <c r="F1793" i="5"/>
  <c r="E1793" i="5"/>
  <c r="I1792" i="5"/>
  <c r="H1792" i="5"/>
  <c r="G1792" i="5"/>
  <c r="F1792" i="5"/>
  <c r="E1792" i="5"/>
  <c r="I1791" i="5"/>
  <c r="H1791" i="5"/>
  <c r="G1791" i="5"/>
  <c r="F1791" i="5"/>
  <c r="E1791" i="5"/>
  <c r="I1790" i="5"/>
  <c r="H1790" i="5"/>
  <c r="G1790" i="5"/>
  <c r="F1790" i="5"/>
  <c r="E1790" i="5"/>
  <c r="I1789" i="5"/>
  <c r="H1789" i="5"/>
  <c r="G1789" i="5"/>
  <c r="F1789" i="5"/>
  <c r="E1789" i="5"/>
  <c r="I1788" i="5"/>
  <c r="H1788" i="5"/>
  <c r="G1788" i="5"/>
  <c r="F1788" i="5"/>
  <c r="E1788" i="5"/>
  <c r="I1787" i="5"/>
  <c r="H1787" i="5"/>
  <c r="G1787" i="5"/>
  <c r="F1787" i="5"/>
  <c r="E1787" i="5"/>
  <c r="I1786" i="5"/>
  <c r="H1786" i="5"/>
  <c r="G1786" i="5"/>
  <c r="F1786" i="5"/>
  <c r="E1786" i="5"/>
  <c r="I1785" i="5"/>
  <c r="H1785" i="5"/>
  <c r="G1785" i="5"/>
  <c r="F1785" i="5"/>
  <c r="E1785" i="5"/>
  <c r="I1784" i="5"/>
  <c r="H1784" i="5"/>
  <c r="G1784" i="5"/>
  <c r="F1784" i="5"/>
  <c r="E1784" i="5"/>
  <c r="I1783" i="5"/>
  <c r="H1783" i="5"/>
  <c r="G1783" i="5"/>
  <c r="F1783" i="5"/>
  <c r="E1783" i="5"/>
  <c r="I1782" i="5"/>
  <c r="H1782" i="5"/>
  <c r="G1782" i="5"/>
  <c r="F1782" i="5"/>
  <c r="E1782" i="5"/>
  <c r="I1781" i="5"/>
  <c r="H1781" i="5"/>
  <c r="G1781" i="5"/>
  <c r="F1781" i="5"/>
  <c r="E1781" i="5"/>
  <c r="I1780" i="5"/>
  <c r="H1780" i="5"/>
  <c r="G1780" i="5"/>
  <c r="F1780" i="5"/>
  <c r="E1780" i="5"/>
  <c r="I1779" i="5"/>
  <c r="H1779" i="5"/>
  <c r="G1779" i="5"/>
  <c r="F1779" i="5"/>
  <c r="E1779" i="5"/>
  <c r="I1778" i="5"/>
  <c r="H1778" i="5"/>
  <c r="G1778" i="5"/>
  <c r="F1778" i="5"/>
  <c r="E1778" i="5"/>
  <c r="I1777" i="5"/>
  <c r="H1777" i="5"/>
  <c r="G1777" i="5"/>
  <c r="F1777" i="5"/>
  <c r="E1777" i="5"/>
  <c r="I1776" i="5"/>
  <c r="H1776" i="5"/>
  <c r="G1776" i="5"/>
  <c r="F1776" i="5"/>
  <c r="E1776" i="5"/>
  <c r="I1775" i="5"/>
  <c r="H1775" i="5"/>
  <c r="G1775" i="5"/>
  <c r="F1775" i="5"/>
  <c r="E1775" i="5"/>
  <c r="I1774" i="5"/>
  <c r="H1774" i="5"/>
  <c r="G1774" i="5"/>
  <c r="F1774" i="5"/>
  <c r="E1774" i="5"/>
  <c r="I1773" i="5"/>
  <c r="H1773" i="5"/>
  <c r="G1773" i="5"/>
  <c r="F1773" i="5"/>
  <c r="E1773" i="5"/>
  <c r="I1772" i="5"/>
  <c r="H1772" i="5"/>
  <c r="G1772" i="5"/>
  <c r="F1772" i="5"/>
  <c r="E1772" i="5"/>
  <c r="I1771" i="5"/>
  <c r="H1771" i="5"/>
  <c r="G1771" i="5"/>
  <c r="F1771" i="5"/>
  <c r="E1771" i="5"/>
  <c r="I1770" i="5"/>
  <c r="H1770" i="5"/>
  <c r="G1770" i="5"/>
  <c r="F1770" i="5"/>
  <c r="E1770" i="5"/>
  <c r="I1769" i="5"/>
  <c r="H1769" i="5"/>
  <c r="G1769" i="5"/>
  <c r="F1769" i="5"/>
  <c r="E1769" i="5"/>
  <c r="I1768" i="5"/>
  <c r="H1768" i="5"/>
  <c r="G1768" i="5"/>
  <c r="F1768" i="5"/>
  <c r="E1768" i="5"/>
  <c r="I1767" i="5"/>
  <c r="H1767" i="5"/>
  <c r="G1767" i="5"/>
  <c r="F1767" i="5"/>
  <c r="E1767" i="5"/>
  <c r="I1766" i="5"/>
  <c r="H1766" i="5"/>
  <c r="G1766" i="5"/>
  <c r="F1766" i="5"/>
  <c r="E1766" i="5"/>
  <c r="I1765" i="5"/>
  <c r="H1765" i="5"/>
  <c r="G1765" i="5"/>
  <c r="F1765" i="5"/>
  <c r="E1765" i="5"/>
  <c r="I1764" i="5"/>
  <c r="H1764" i="5"/>
  <c r="G1764" i="5"/>
  <c r="F1764" i="5"/>
  <c r="E1764" i="5"/>
  <c r="I1763" i="5"/>
  <c r="H1763" i="5"/>
  <c r="G1763" i="5"/>
  <c r="F1763" i="5"/>
  <c r="E1763" i="5"/>
  <c r="I1762" i="5"/>
  <c r="H1762" i="5"/>
  <c r="G1762" i="5"/>
  <c r="F1762" i="5"/>
  <c r="E1762" i="5"/>
  <c r="I1761" i="5"/>
  <c r="H1761" i="5"/>
  <c r="G1761" i="5"/>
  <c r="F1761" i="5"/>
  <c r="E1761" i="5"/>
  <c r="I1760" i="5"/>
  <c r="H1760" i="5"/>
  <c r="G1760" i="5"/>
  <c r="F1760" i="5"/>
  <c r="E1760" i="5"/>
  <c r="I1759" i="5"/>
  <c r="H1759" i="5"/>
  <c r="G1759" i="5"/>
  <c r="F1759" i="5"/>
  <c r="E1759" i="5"/>
  <c r="I1758" i="5"/>
  <c r="H1758" i="5"/>
  <c r="G1758" i="5"/>
  <c r="F1758" i="5"/>
  <c r="E1758" i="5"/>
  <c r="I1757" i="5"/>
  <c r="H1757" i="5"/>
  <c r="G1757" i="5"/>
  <c r="F1757" i="5"/>
  <c r="E1757" i="5"/>
  <c r="I1756" i="5"/>
  <c r="H1756" i="5"/>
  <c r="G1756" i="5"/>
  <c r="F1756" i="5"/>
  <c r="E1756" i="5"/>
  <c r="I1755" i="5"/>
  <c r="H1755" i="5"/>
  <c r="G1755" i="5"/>
  <c r="F1755" i="5"/>
  <c r="E1755" i="5"/>
  <c r="I1754" i="5"/>
  <c r="H1754" i="5"/>
  <c r="G1754" i="5"/>
  <c r="F1754" i="5"/>
  <c r="E1754" i="5"/>
  <c r="I1753" i="5"/>
  <c r="H1753" i="5"/>
  <c r="G1753" i="5"/>
  <c r="F1753" i="5"/>
  <c r="E1753" i="5"/>
  <c r="I1752" i="5"/>
  <c r="H1752" i="5"/>
  <c r="G1752" i="5"/>
  <c r="F1752" i="5"/>
  <c r="E1752" i="5"/>
  <c r="I1751" i="5"/>
  <c r="H1751" i="5"/>
  <c r="G1751" i="5"/>
  <c r="F1751" i="5"/>
  <c r="E1751" i="5"/>
  <c r="I1750" i="5"/>
  <c r="H1750" i="5"/>
  <c r="G1750" i="5"/>
  <c r="F1750" i="5"/>
  <c r="E1750" i="5"/>
  <c r="I1749" i="5"/>
  <c r="H1749" i="5"/>
  <c r="G1749" i="5"/>
  <c r="F1749" i="5"/>
  <c r="E1749" i="5"/>
  <c r="I1748" i="5"/>
  <c r="H1748" i="5"/>
  <c r="G1748" i="5"/>
  <c r="F1748" i="5"/>
  <c r="E1748" i="5"/>
  <c r="I1747" i="5"/>
  <c r="H1747" i="5"/>
  <c r="G1747" i="5"/>
  <c r="F1747" i="5"/>
  <c r="E1747" i="5"/>
  <c r="I1746" i="5"/>
  <c r="H1746" i="5"/>
  <c r="G1746" i="5"/>
  <c r="F1746" i="5"/>
  <c r="E1746" i="5"/>
  <c r="I1745" i="5"/>
  <c r="H1745" i="5"/>
  <c r="G1745" i="5"/>
  <c r="F1745" i="5"/>
  <c r="E1745" i="5"/>
  <c r="I1744" i="5"/>
  <c r="H1744" i="5"/>
  <c r="G1744" i="5"/>
  <c r="F1744" i="5"/>
  <c r="E1744" i="5"/>
  <c r="I1743" i="5"/>
  <c r="H1743" i="5"/>
  <c r="G1743" i="5"/>
  <c r="F1743" i="5"/>
  <c r="E1743" i="5"/>
  <c r="I1742" i="5"/>
  <c r="H1742" i="5"/>
  <c r="G1742" i="5"/>
  <c r="F1742" i="5"/>
  <c r="E1742" i="5"/>
  <c r="I1741" i="5"/>
  <c r="H1741" i="5"/>
  <c r="G1741" i="5"/>
  <c r="F1741" i="5"/>
  <c r="E1741" i="5"/>
  <c r="I1740" i="5"/>
  <c r="H1740" i="5"/>
  <c r="G1740" i="5"/>
  <c r="F1740" i="5"/>
  <c r="E1740" i="5"/>
  <c r="I1739" i="5"/>
  <c r="H1739" i="5"/>
  <c r="G1739" i="5"/>
  <c r="F1739" i="5"/>
  <c r="E1739" i="5"/>
  <c r="I1738" i="5"/>
  <c r="H1738" i="5"/>
  <c r="G1738" i="5"/>
  <c r="F1738" i="5"/>
  <c r="E1738" i="5"/>
  <c r="I1737" i="5"/>
  <c r="H1737" i="5"/>
  <c r="G1737" i="5"/>
  <c r="F1737" i="5"/>
  <c r="E1737" i="5"/>
  <c r="I1736" i="5"/>
  <c r="H1736" i="5"/>
  <c r="G1736" i="5"/>
  <c r="F1736" i="5"/>
  <c r="E1736" i="5"/>
  <c r="I1735" i="5"/>
  <c r="H1735" i="5"/>
  <c r="G1735" i="5"/>
  <c r="F1735" i="5"/>
  <c r="E1735" i="5"/>
  <c r="I1734" i="5"/>
  <c r="H1734" i="5"/>
  <c r="G1734" i="5"/>
  <c r="F1734" i="5"/>
  <c r="E1734" i="5"/>
  <c r="I1733" i="5"/>
  <c r="H1733" i="5"/>
  <c r="G1733" i="5"/>
  <c r="F1733" i="5"/>
  <c r="E1733" i="5"/>
  <c r="I1732" i="5"/>
  <c r="H1732" i="5"/>
  <c r="G1732" i="5"/>
  <c r="F1732" i="5"/>
  <c r="E1732" i="5"/>
  <c r="I1731" i="5"/>
  <c r="H1731" i="5"/>
  <c r="G1731" i="5"/>
  <c r="F1731" i="5"/>
  <c r="E1731" i="5"/>
  <c r="I1730" i="5"/>
  <c r="H1730" i="5"/>
  <c r="G1730" i="5"/>
  <c r="F1730" i="5"/>
  <c r="E1730" i="5"/>
  <c r="I1729" i="5"/>
  <c r="H1729" i="5"/>
  <c r="G1729" i="5"/>
  <c r="F1729" i="5"/>
  <c r="E1729" i="5"/>
  <c r="I1728" i="5"/>
  <c r="H1728" i="5"/>
  <c r="G1728" i="5"/>
  <c r="F1728" i="5"/>
  <c r="E1728" i="5"/>
  <c r="I1727" i="5"/>
  <c r="H1727" i="5"/>
  <c r="G1727" i="5"/>
  <c r="F1727" i="5"/>
  <c r="E1727" i="5"/>
  <c r="I1726" i="5"/>
  <c r="H1726" i="5"/>
  <c r="G1726" i="5"/>
  <c r="F1726" i="5"/>
  <c r="E1726" i="5"/>
  <c r="I1725" i="5"/>
  <c r="H1725" i="5"/>
  <c r="G1725" i="5"/>
  <c r="F1725" i="5"/>
  <c r="E1725" i="5"/>
  <c r="I1724" i="5"/>
  <c r="H1724" i="5"/>
  <c r="G1724" i="5"/>
  <c r="F1724" i="5"/>
  <c r="E1724" i="5"/>
  <c r="I1723" i="5"/>
  <c r="H1723" i="5"/>
  <c r="G1723" i="5"/>
  <c r="F1723" i="5"/>
  <c r="E1723" i="5"/>
  <c r="I1722" i="5"/>
  <c r="H1722" i="5"/>
  <c r="G1722" i="5"/>
  <c r="F1722" i="5"/>
  <c r="E1722" i="5"/>
  <c r="I1721" i="5"/>
  <c r="H1721" i="5"/>
  <c r="G1721" i="5"/>
  <c r="F1721" i="5"/>
  <c r="E1721" i="5"/>
  <c r="I1720" i="5"/>
  <c r="H1720" i="5"/>
  <c r="G1720" i="5"/>
  <c r="F1720" i="5"/>
  <c r="E1720" i="5"/>
  <c r="I1719" i="5"/>
  <c r="H1719" i="5"/>
  <c r="G1719" i="5"/>
  <c r="F1719" i="5"/>
  <c r="E1719" i="5"/>
  <c r="I1718" i="5"/>
  <c r="H1718" i="5"/>
  <c r="G1718" i="5"/>
  <c r="F1718" i="5"/>
  <c r="E1718" i="5"/>
  <c r="I1717" i="5"/>
  <c r="H1717" i="5"/>
  <c r="G1717" i="5"/>
  <c r="F1717" i="5"/>
  <c r="E1717" i="5"/>
  <c r="I1716" i="5"/>
  <c r="H1716" i="5"/>
  <c r="G1716" i="5"/>
  <c r="F1716" i="5"/>
  <c r="E1716" i="5"/>
  <c r="I1715" i="5"/>
  <c r="H1715" i="5"/>
  <c r="G1715" i="5"/>
  <c r="F1715" i="5"/>
  <c r="E1715" i="5"/>
  <c r="I1714" i="5"/>
  <c r="H1714" i="5"/>
  <c r="G1714" i="5"/>
  <c r="F1714" i="5"/>
  <c r="E1714" i="5"/>
  <c r="I1713" i="5"/>
  <c r="H1713" i="5"/>
  <c r="G1713" i="5"/>
  <c r="F1713" i="5"/>
  <c r="E1713" i="5"/>
  <c r="I1712" i="5"/>
  <c r="H1712" i="5"/>
  <c r="G1712" i="5"/>
  <c r="F1712" i="5"/>
  <c r="E1712" i="5"/>
  <c r="I1711" i="5"/>
  <c r="H1711" i="5"/>
  <c r="G1711" i="5"/>
  <c r="F1711" i="5"/>
  <c r="E1711" i="5"/>
  <c r="I1710" i="5"/>
  <c r="H1710" i="5"/>
  <c r="G1710" i="5"/>
  <c r="F1710" i="5"/>
  <c r="E1710" i="5"/>
  <c r="I1709" i="5"/>
  <c r="H1709" i="5"/>
  <c r="G1709" i="5"/>
  <c r="F1709" i="5"/>
  <c r="E1709" i="5"/>
  <c r="I1708" i="5"/>
  <c r="H1708" i="5"/>
  <c r="G1708" i="5"/>
  <c r="F1708" i="5"/>
  <c r="E1708" i="5"/>
  <c r="I1707" i="5"/>
  <c r="H1707" i="5"/>
  <c r="G1707" i="5"/>
  <c r="F1707" i="5"/>
  <c r="E1707" i="5"/>
  <c r="I1706" i="5"/>
  <c r="H1706" i="5"/>
  <c r="G1706" i="5"/>
  <c r="F1706" i="5"/>
  <c r="E1706" i="5"/>
  <c r="I1705" i="5"/>
  <c r="H1705" i="5"/>
  <c r="G1705" i="5"/>
  <c r="F1705" i="5"/>
  <c r="E1705" i="5"/>
  <c r="I1704" i="5"/>
  <c r="H1704" i="5"/>
  <c r="G1704" i="5"/>
  <c r="F1704" i="5"/>
  <c r="E1704" i="5"/>
  <c r="I1703" i="5"/>
  <c r="H1703" i="5"/>
  <c r="G1703" i="5"/>
  <c r="F1703" i="5"/>
  <c r="E1703" i="5"/>
  <c r="I1702" i="5"/>
  <c r="H1702" i="5"/>
  <c r="G1702" i="5"/>
  <c r="F1702" i="5"/>
  <c r="E1702" i="5"/>
  <c r="I1701" i="5"/>
  <c r="H1701" i="5"/>
  <c r="G1701" i="5"/>
  <c r="F1701" i="5"/>
  <c r="E1701" i="5"/>
  <c r="I1700" i="5"/>
  <c r="H1700" i="5"/>
  <c r="G1700" i="5"/>
  <c r="F1700" i="5"/>
  <c r="E1700" i="5"/>
  <c r="I1699" i="5"/>
  <c r="H1699" i="5"/>
  <c r="G1699" i="5"/>
  <c r="F1699" i="5"/>
  <c r="E1699" i="5"/>
  <c r="I1698" i="5"/>
  <c r="H1698" i="5"/>
  <c r="G1698" i="5"/>
  <c r="F1698" i="5"/>
  <c r="E1698" i="5"/>
  <c r="I1697" i="5"/>
  <c r="H1697" i="5"/>
  <c r="G1697" i="5"/>
  <c r="F1697" i="5"/>
  <c r="E1697" i="5"/>
  <c r="I1696" i="5"/>
  <c r="H1696" i="5"/>
  <c r="G1696" i="5"/>
  <c r="F1696" i="5"/>
  <c r="E1696" i="5"/>
  <c r="I1695" i="5"/>
  <c r="H1695" i="5"/>
  <c r="G1695" i="5"/>
  <c r="F1695" i="5"/>
  <c r="E1695" i="5"/>
  <c r="I1694" i="5"/>
  <c r="H1694" i="5"/>
  <c r="G1694" i="5"/>
  <c r="F1694" i="5"/>
  <c r="E1694" i="5"/>
  <c r="I1693" i="5"/>
  <c r="H1693" i="5"/>
  <c r="G1693" i="5"/>
  <c r="F1693" i="5"/>
  <c r="E1693" i="5"/>
  <c r="I1692" i="5"/>
  <c r="H1692" i="5"/>
  <c r="G1692" i="5"/>
  <c r="F1692" i="5"/>
  <c r="E1692" i="5"/>
  <c r="I1691" i="5"/>
  <c r="H1691" i="5"/>
  <c r="G1691" i="5"/>
  <c r="F1691" i="5"/>
  <c r="E1691" i="5"/>
  <c r="I1690" i="5"/>
  <c r="H1690" i="5"/>
  <c r="G1690" i="5"/>
  <c r="F1690" i="5"/>
  <c r="E1690" i="5"/>
  <c r="I1689" i="5"/>
  <c r="H1689" i="5"/>
  <c r="G1689" i="5"/>
  <c r="F1689" i="5"/>
  <c r="E1689" i="5"/>
  <c r="I1688" i="5"/>
  <c r="H1688" i="5"/>
  <c r="G1688" i="5"/>
  <c r="F1688" i="5"/>
  <c r="E1688" i="5"/>
  <c r="I1687" i="5"/>
  <c r="H1687" i="5"/>
  <c r="G1687" i="5"/>
  <c r="F1687" i="5"/>
  <c r="E1687" i="5"/>
  <c r="I1686" i="5"/>
  <c r="H1686" i="5"/>
  <c r="G1686" i="5"/>
  <c r="F1686" i="5"/>
  <c r="E1686" i="5"/>
  <c r="I1685" i="5"/>
  <c r="H1685" i="5"/>
  <c r="G1685" i="5"/>
  <c r="F1685" i="5"/>
  <c r="E1685" i="5"/>
  <c r="I1684" i="5"/>
  <c r="H1684" i="5"/>
  <c r="G1684" i="5"/>
  <c r="F1684" i="5"/>
  <c r="E1684" i="5"/>
  <c r="I1683" i="5"/>
  <c r="H1683" i="5"/>
  <c r="G1683" i="5"/>
  <c r="F1683" i="5"/>
  <c r="E1683" i="5"/>
  <c r="I1682" i="5"/>
  <c r="H1682" i="5"/>
  <c r="G1682" i="5"/>
  <c r="F1682" i="5"/>
  <c r="E1682" i="5"/>
  <c r="I1681" i="5"/>
  <c r="H1681" i="5"/>
  <c r="G1681" i="5"/>
  <c r="F1681" i="5"/>
  <c r="E1681" i="5"/>
  <c r="I1680" i="5"/>
  <c r="H1680" i="5"/>
  <c r="G1680" i="5"/>
  <c r="F1680" i="5"/>
  <c r="E1680" i="5"/>
  <c r="I1679" i="5"/>
  <c r="H1679" i="5"/>
  <c r="G1679" i="5"/>
  <c r="F1679" i="5"/>
  <c r="E1679" i="5"/>
  <c r="I1678" i="5"/>
  <c r="H1678" i="5"/>
  <c r="G1678" i="5"/>
  <c r="F1678" i="5"/>
  <c r="E1678" i="5"/>
  <c r="I1677" i="5"/>
  <c r="H1677" i="5"/>
  <c r="G1677" i="5"/>
  <c r="F1677" i="5"/>
  <c r="E1677" i="5"/>
  <c r="I1676" i="5"/>
  <c r="H1676" i="5"/>
  <c r="G1676" i="5"/>
  <c r="F1676" i="5"/>
  <c r="E1676" i="5"/>
  <c r="I1675" i="5"/>
  <c r="H1675" i="5"/>
  <c r="G1675" i="5"/>
  <c r="F1675" i="5"/>
  <c r="E1675" i="5"/>
  <c r="I1674" i="5"/>
  <c r="H1674" i="5"/>
  <c r="G1674" i="5"/>
  <c r="F1674" i="5"/>
  <c r="E1674" i="5"/>
  <c r="I1673" i="5"/>
  <c r="H1673" i="5"/>
  <c r="G1673" i="5"/>
  <c r="F1673" i="5"/>
  <c r="E1673" i="5"/>
  <c r="I1672" i="5"/>
  <c r="H1672" i="5"/>
  <c r="G1672" i="5"/>
  <c r="F1672" i="5"/>
  <c r="E1672" i="5"/>
  <c r="I1671" i="5"/>
  <c r="H1671" i="5"/>
  <c r="G1671" i="5"/>
  <c r="F1671" i="5"/>
  <c r="E1671" i="5"/>
  <c r="I1670" i="5"/>
  <c r="H1670" i="5"/>
  <c r="G1670" i="5"/>
  <c r="F1670" i="5"/>
  <c r="E1670" i="5"/>
  <c r="I1669" i="5"/>
  <c r="H1669" i="5"/>
  <c r="G1669" i="5"/>
  <c r="F1669" i="5"/>
  <c r="E1669" i="5"/>
  <c r="I1668" i="5"/>
  <c r="H1668" i="5"/>
  <c r="G1668" i="5"/>
  <c r="F1668" i="5"/>
  <c r="E1668" i="5"/>
  <c r="I1667" i="5"/>
  <c r="H1667" i="5"/>
  <c r="G1667" i="5"/>
  <c r="F1667" i="5"/>
  <c r="E1667" i="5"/>
  <c r="I1666" i="5"/>
  <c r="H1666" i="5"/>
  <c r="G1666" i="5"/>
  <c r="F1666" i="5"/>
  <c r="E1666" i="5"/>
  <c r="I1665" i="5"/>
  <c r="H1665" i="5"/>
  <c r="G1665" i="5"/>
  <c r="F1665" i="5"/>
  <c r="E1665" i="5"/>
  <c r="I1664" i="5"/>
  <c r="H1664" i="5"/>
  <c r="G1664" i="5"/>
  <c r="F1664" i="5"/>
  <c r="E1664" i="5"/>
  <c r="I1663" i="5"/>
  <c r="H1663" i="5"/>
  <c r="G1663" i="5"/>
  <c r="F1663" i="5"/>
  <c r="E1663" i="5"/>
  <c r="I1662" i="5"/>
  <c r="H1662" i="5"/>
  <c r="G1662" i="5"/>
  <c r="F1662" i="5"/>
  <c r="E1662" i="5"/>
  <c r="I1661" i="5"/>
  <c r="H1661" i="5"/>
  <c r="G1661" i="5"/>
  <c r="F1661" i="5"/>
  <c r="E1661" i="5"/>
  <c r="I1660" i="5"/>
  <c r="H1660" i="5"/>
  <c r="G1660" i="5"/>
  <c r="F1660" i="5"/>
  <c r="E1660" i="5"/>
  <c r="I1659" i="5"/>
  <c r="H1659" i="5"/>
  <c r="G1659" i="5"/>
  <c r="F1659" i="5"/>
  <c r="E1659" i="5"/>
  <c r="I1658" i="5"/>
  <c r="H1658" i="5"/>
  <c r="G1658" i="5"/>
  <c r="F1658" i="5"/>
  <c r="E1658" i="5"/>
  <c r="I1657" i="5"/>
  <c r="H1657" i="5"/>
  <c r="G1657" i="5"/>
  <c r="F1657" i="5"/>
  <c r="E1657" i="5"/>
  <c r="I1656" i="5"/>
  <c r="H1656" i="5"/>
  <c r="G1656" i="5"/>
  <c r="F1656" i="5"/>
  <c r="E1656" i="5"/>
  <c r="I1655" i="5"/>
  <c r="H1655" i="5"/>
  <c r="G1655" i="5"/>
  <c r="F1655" i="5"/>
  <c r="E1655" i="5"/>
  <c r="I1654" i="5"/>
  <c r="H1654" i="5"/>
  <c r="G1654" i="5"/>
  <c r="F1654" i="5"/>
  <c r="E1654" i="5"/>
  <c r="I1653" i="5"/>
  <c r="H1653" i="5"/>
  <c r="G1653" i="5"/>
  <c r="F1653" i="5"/>
  <c r="E1653" i="5"/>
  <c r="I1652" i="5"/>
  <c r="H1652" i="5"/>
  <c r="G1652" i="5"/>
  <c r="F1652" i="5"/>
  <c r="E1652" i="5"/>
  <c r="I1651" i="5"/>
  <c r="H1651" i="5"/>
  <c r="G1651" i="5"/>
  <c r="F1651" i="5"/>
  <c r="E1651" i="5"/>
  <c r="I1650" i="5"/>
  <c r="H1650" i="5"/>
  <c r="G1650" i="5"/>
  <c r="F1650" i="5"/>
  <c r="E1650" i="5"/>
  <c r="I1649" i="5"/>
  <c r="H1649" i="5"/>
  <c r="G1649" i="5"/>
  <c r="F1649" i="5"/>
  <c r="E1649" i="5"/>
  <c r="I1648" i="5"/>
  <c r="H1648" i="5"/>
  <c r="G1648" i="5"/>
  <c r="F1648" i="5"/>
  <c r="E1648" i="5"/>
  <c r="I1647" i="5"/>
  <c r="H1647" i="5"/>
  <c r="G1647" i="5"/>
  <c r="F1647" i="5"/>
  <c r="E1647" i="5"/>
  <c r="I1646" i="5"/>
  <c r="H1646" i="5"/>
  <c r="G1646" i="5"/>
  <c r="F1646" i="5"/>
  <c r="E1646" i="5"/>
  <c r="I1645" i="5"/>
  <c r="H1645" i="5"/>
  <c r="G1645" i="5"/>
  <c r="F1645" i="5"/>
  <c r="E1645" i="5"/>
  <c r="I1644" i="5"/>
  <c r="H1644" i="5"/>
  <c r="G1644" i="5"/>
  <c r="F1644" i="5"/>
  <c r="E1644" i="5"/>
  <c r="I1643" i="5"/>
  <c r="H1643" i="5"/>
  <c r="G1643" i="5"/>
  <c r="F1643" i="5"/>
  <c r="E1643" i="5"/>
  <c r="I1642" i="5"/>
  <c r="H1642" i="5"/>
  <c r="G1642" i="5"/>
  <c r="F1642" i="5"/>
  <c r="E1642" i="5"/>
  <c r="I1641" i="5"/>
  <c r="H1641" i="5"/>
  <c r="G1641" i="5"/>
  <c r="F1641" i="5"/>
  <c r="E1641" i="5"/>
  <c r="I1640" i="5"/>
  <c r="H1640" i="5"/>
  <c r="G1640" i="5"/>
  <c r="F1640" i="5"/>
  <c r="E1640" i="5"/>
  <c r="I1639" i="5"/>
  <c r="H1639" i="5"/>
  <c r="G1639" i="5"/>
  <c r="F1639" i="5"/>
  <c r="E1639" i="5"/>
  <c r="I1638" i="5"/>
  <c r="H1638" i="5"/>
  <c r="G1638" i="5"/>
  <c r="F1638" i="5"/>
  <c r="E1638" i="5"/>
  <c r="I1637" i="5"/>
  <c r="H1637" i="5"/>
  <c r="G1637" i="5"/>
  <c r="F1637" i="5"/>
  <c r="E1637" i="5"/>
  <c r="I1636" i="5"/>
  <c r="H1636" i="5"/>
  <c r="G1636" i="5"/>
  <c r="F1636" i="5"/>
  <c r="E1636" i="5"/>
  <c r="I1635" i="5"/>
  <c r="H1635" i="5"/>
  <c r="G1635" i="5"/>
  <c r="F1635" i="5"/>
  <c r="E1635" i="5"/>
  <c r="I1634" i="5"/>
  <c r="H1634" i="5"/>
  <c r="G1634" i="5"/>
  <c r="F1634" i="5"/>
  <c r="E1634" i="5"/>
  <c r="I1633" i="5"/>
  <c r="H1633" i="5"/>
  <c r="G1633" i="5"/>
  <c r="F1633" i="5"/>
  <c r="E1633" i="5"/>
  <c r="I1632" i="5"/>
  <c r="H1632" i="5"/>
  <c r="G1632" i="5"/>
  <c r="F1632" i="5"/>
  <c r="E1632" i="5"/>
  <c r="I1631" i="5"/>
  <c r="H1631" i="5"/>
  <c r="G1631" i="5"/>
  <c r="F1631" i="5"/>
  <c r="E1631" i="5"/>
  <c r="I1630" i="5"/>
  <c r="H1630" i="5"/>
  <c r="G1630" i="5"/>
  <c r="F1630" i="5"/>
  <c r="E1630" i="5"/>
  <c r="I1629" i="5"/>
  <c r="H1629" i="5"/>
  <c r="G1629" i="5"/>
  <c r="F1629" i="5"/>
  <c r="E1629" i="5"/>
  <c r="I1628" i="5"/>
  <c r="H1628" i="5"/>
  <c r="G1628" i="5"/>
  <c r="F1628" i="5"/>
  <c r="E1628" i="5"/>
  <c r="I1627" i="5"/>
  <c r="H1627" i="5"/>
  <c r="G1627" i="5"/>
  <c r="F1627" i="5"/>
  <c r="E1627" i="5"/>
  <c r="I1626" i="5"/>
  <c r="H1626" i="5"/>
  <c r="G1626" i="5"/>
  <c r="F1626" i="5"/>
  <c r="E1626" i="5"/>
  <c r="I1625" i="5"/>
  <c r="H1625" i="5"/>
  <c r="G1625" i="5"/>
  <c r="F1625" i="5"/>
  <c r="E1625" i="5"/>
  <c r="I1624" i="5"/>
  <c r="H1624" i="5"/>
  <c r="G1624" i="5"/>
  <c r="F1624" i="5"/>
  <c r="E1624" i="5"/>
  <c r="I1623" i="5"/>
  <c r="H1623" i="5"/>
  <c r="G1623" i="5"/>
  <c r="F1623" i="5"/>
  <c r="E1623" i="5"/>
  <c r="I1622" i="5"/>
  <c r="H1622" i="5"/>
  <c r="G1622" i="5"/>
  <c r="F1622" i="5"/>
  <c r="E1622" i="5"/>
  <c r="I1621" i="5"/>
  <c r="H1621" i="5"/>
  <c r="G1621" i="5"/>
  <c r="F1621" i="5"/>
  <c r="E1621" i="5"/>
  <c r="I1620" i="5"/>
  <c r="H1620" i="5"/>
  <c r="G1620" i="5"/>
  <c r="F1620" i="5"/>
  <c r="E1620" i="5"/>
  <c r="I1619" i="5"/>
  <c r="H1619" i="5"/>
  <c r="G1619" i="5"/>
  <c r="F1619" i="5"/>
  <c r="E1619" i="5"/>
  <c r="I1618" i="5"/>
  <c r="H1618" i="5"/>
  <c r="G1618" i="5"/>
  <c r="F1618" i="5"/>
  <c r="E1618" i="5"/>
  <c r="I1617" i="5"/>
  <c r="H1617" i="5"/>
  <c r="G1617" i="5"/>
  <c r="F1617" i="5"/>
  <c r="E1617" i="5"/>
  <c r="I1616" i="5"/>
  <c r="H1616" i="5"/>
  <c r="G1616" i="5"/>
  <c r="F1616" i="5"/>
  <c r="E1616" i="5"/>
  <c r="I1615" i="5"/>
  <c r="H1615" i="5"/>
  <c r="G1615" i="5"/>
  <c r="F1615" i="5"/>
  <c r="E1615" i="5"/>
  <c r="I1614" i="5"/>
  <c r="H1614" i="5"/>
  <c r="G1614" i="5"/>
  <c r="F1614" i="5"/>
  <c r="E1614" i="5"/>
  <c r="I1613" i="5"/>
  <c r="H1613" i="5"/>
  <c r="G1613" i="5"/>
  <c r="F1613" i="5"/>
  <c r="E1613" i="5"/>
  <c r="I1612" i="5"/>
  <c r="H1612" i="5"/>
  <c r="G1612" i="5"/>
  <c r="F1612" i="5"/>
  <c r="E1612" i="5"/>
  <c r="I1611" i="5"/>
  <c r="H1611" i="5"/>
  <c r="G1611" i="5"/>
  <c r="F1611" i="5"/>
  <c r="E1611" i="5"/>
  <c r="I1610" i="5"/>
  <c r="H1610" i="5"/>
  <c r="G1610" i="5"/>
  <c r="F1610" i="5"/>
  <c r="E1610" i="5"/>
  <c r="I1609" i="5"/>
  <c r="H1609" i="5"/>
  <c r="G1609" i="5"/>
  <c r="F1609" i="5"/>
  <c r="E1609" i="5"/>
  <c r="I1608" i="5"/>
  <c r="H1608" i="5"/>
  <c r="G1608" i="5"/>
  <c r="F1608" i="5"/>
  <c r="E1608" i="5"/>
  <c r="I1607" i="5"/>
  <c r="H1607" i="5"/>
  <c r="G1607" i="5"/>
  <c r="F1607" i="5"/>
  <c r="E1607" i="5"/>
  <c r="I1606" i="5"/>
  <c r="H1606" i="5"/>
  <c r="G1606" i="5"/>
  <c r="F1606" i="5"/>
  <c r="E1606" i="5"/>
  <c r="I1605" i="5"/>
  <c r="H1605" i="5"/>
  <c r="G1605" i="5"/>
  <c r="F1605" i="5"/>
  <c r="E1605" i="5"/>
  <c r="I1604" i="5"/>
  <c r="H1604" i="5"/>
  <c r="G1604" i="5"/>
  <c r="F1604" i="5"/>
  <c r="E1604" i="5"/>
  <c r="I1603" i="5"/>
  <c r="H1603" i="5"/>
  <c r="G1603" i="5"/>
  <c r="F1603" i="5"/>
  <c r="E1603" i="5"/>
  <c r="I1602" i="5"/>
  <c r="H1602" i="5"/>
  <c r="G1602" i="5"/>
  <c r="F1602" i="5"/>
  <c r="E1602" i="5"/>
  <c r="I1601" i="5"/>
  <c r="H1601" i="5"/>
  <c r="G1601" i="5"/>
  <c r="F1601" i="5"/>
  <c r="E1601" i="5"/>
  <c r="I1600" i="5"/>
  <c r="H1600" i="5"/>
  <c r="G1600" i="5"/>
  <c r="F1600" i="5"/>
  <c r="E1600" i="5"/>
  <c r="I1599" i="5"/>
  <c r="H1599" i="5"/>
  <c r="G1599" i="5"/>
  <c r="F1599" i="5"/>
  <c r="E1599" i="5"/>
  <c r="I1598" i="5"/>
  <c r="H1598" i="5"/>
  <c r="G1598" i="5"/>
  <c r="F1598" i="5"/>
  <c r="E1598" i="5"/>
  <c r="I1597" i="5"/>
  <c r="H1597" i="5"/>
  <c r="G1597" i="5"/>
  <c r="F1597" i="5"/>
  <c r="E1597" i="5"/>
  <c r="I1596" i="5"/>
  <c r="H1596" i="5"/>
  <c r="G1596" i="5"/>
  <c r="F1596" i="5"/>
  <c r="E1596" i="5"/>
  <c r="I1595" i="5"/>
  <c r="H1595" i="5"/>
  <c r="G1595" i="5"/>
  <c r="F1595" i="5"/>
  <c r="E1595" i="5"/>
  <c r="I1594" i="5"/>
  <c r="H1594" i="5"/>
  <c r="G1594" i="5"/>
  <c r="F1594" i="5"/>
  <c r="E1594" i="5"/>
  <c r="I1593" i="5"/>
  <c r="H1593" i="5"/>
  <c r="G1593" i="5"/>
  <c r="F1593" i="5"/>
  <c r="E1593" i="5"/>
  <c r="I1592" i="5"/>
  <c r="H1592" i="5"/>
  <c r="G1592" i="5"/>
  <c r="F1592" i="5"/>
  <c r="E1592" i="5"/>
  <c r="I1591" i="5"/>
  <c r="H1591" i="5"/>
  <c r="G1591" i="5"/>
  <c r="F1591" i="5"/>
  <c r="E1591" i="5"/>
  <c r="I1590" i="5"/>
  <c r="H1590" i="5"/>
  <c r="G1590" i="5"/>
  <c r="F1590" i="5"/>
  <c r="E1590" i="5"/>
  <c r="I1589" i="5"/>
  <c r="H1589" i="5"/>
  <c r="G1589" i="5"/>
  <c r="F1589" i="5"/>
  <c r="E1589" i="5"/>
  <c r="I1588" i="5"/>
  <c r="H1588" i="5"/>
  <c r="G1588" i="5"/>
  <c r="F1588" i="5"/>
  <c r="E1588" i="5"/>
  <c r="I1587" i="5"/>
  <c r="H1587" i="5"/>
  <c r="G1587" i="5"/>
  <c r="F1587" i="5"/>
  <c r="E1587" i="5"/>
  <c r="I1586" i="5"/>
  <c r="H1586" i="5"/>
  <c r="G1586" i="5"/>
  <c r="F1586" i="5"/>
  <c r="E1586" i="5"/>
  <c r="I1585" i="5"/>
  <c r="H1585" i="5"/>
  <c r="G1585" i="5"/>
  <c r="F1585" i="5"/>
  <c r="E1585" i="5"/>
  <c r="I1584" i="5"/>
  <c r="H1584" i="5"/>
  <c r="G1584" i="5"/>
  <c r="F1584" i="5"/>
  <c r="E1584" i="5"/>
  <c r="I1583" i="5"/>
  <c r="H1583" i="5"/>
  <c r="G1583" i="5"/>
  <c r="F1583" i="5"/>
  <c r="E1583" i="5"/>
  <c r="I1582" i="5"/>
  <c r="H1582" i="5"/>
  <c r="G1582" i="5"/>
  <c r="F1582" i="5"/>
  <c r="E1582" i="5"/>
  <c r="I1581" i="5"/>
  <c r="H1581" i="5"/>
  <c r="G1581" i="5"/>
  <c r="F1581" i="5"/>
  <c r="E1581" i="5"/>
  <c r="I1580" i="5"/>
  <c r="H1580" i="5"/>
  <c r="G1580" i="5"/>
  <c r="F1580" i="5"/>
  <c r="E1580" i="5"/>
  <c r="I1579" i="5"/>
  <c r="H1579" i="5"/>
  <c r="G1579" i="5"/>
  <c r="F1579" i="5"/>
  <c r="E1579" i="5"/>
  <c r="I1578" i="5"/>
  <c r="H1578" i="5"/>
  <c r="G1578" i="5"/>
  <c r="F1578" i="5"/>
  <c r="E1578" i="5"/>
  <c r="I1577" i="5"/>
  <c r="H1577" i="5"/>
  <c r="G1577" i="5"/>
  <c r="F1577" i="5"/>
  <c r="E1577" i="5"/>
  <c r="I1576" i="5"/>
  <c r="H1576" i="5"/>
  <c r="G1576" i="5"/>
  <c r="F1576" i="5"/>
  <c r="E1576" i="5"/>
  <c r="I1575" i="5"/>
  <c r="H1575" i="5"/>
  <c r="G1575" i="5"/>
  <c r="F1575" i="5"/>
  <c r="E1575" i="5"/>
  <c r="I1574" i="5"/>
  <c r="H1574" i="5"/>
  <c r="G1574" i="5"/>
  <c r="F1574" i="5"/>
  <c r="E1574" i="5"/>
  <c r="I1573" i="5"/>
  <c r="H1573" i="5"/>
  <c r="G1573" i="5"/>
  <c r="F1573" i="5"/>
  <c r="E1573" i="5"/>
  <c r="I1572" i="5"/>
  <c r="H1572" i="5"/>
  <c r="G1572" i="5"/>
  <c r="F1572" i="5"/>
  <c r="E1572" i="5"/>
  <c r="I1571" i="5"/>
  <c r="H1571" i="5"/>
  <c r="G1571" i="5"/>
  <c r="F1571" i="5"/>
  <c r="E1571" i="5"/>
  <c r="I1570" i="5"/>
  <c r="H1570" i="5"/>
  <c r="G1570" i="5"/>
  <c r="F1570" i="5"/>
  <c r="E1570" i="5"/>
  <c r="I1569" i="5"/>
  <c r="H1569" i="5"/>
  <c r="G1569" i="5"/>
  <c r="F1569" i="5"/>
  <c r="E1569" i="5"/>
  <c r="I1568" i="5"/>
  <c r="H1568" i="5"/>
  <c r="G1568" i="5"/>
  <c r="F1568" i="5"/>
  <c r="E1568" i="5"/>
  <c r="I1567" i="5"/>
  <c r="H1567" i="5"/>
  <c r="G1567" i="5"/>
  <c r="F1567" i="5"/>
  <c r="E1567" i="5"/>
  <c r="I1566" i="5"/>
  <c r="H1566" i="5"/>
  <c r="G1566" i="5"/>
  <c r="F1566" i="5"/>
  <c r="E1566" i="5"/>
  <c r="I1565" i="5"/>
  <c r="H1565" i="5"/>
  <c r="G1565" i="5"/>
  <c r="F1565" i="5"/>
  <c r="E1565" i="5"/>
  <c r="I1564" i="5"/>
  <c r="H1564" i="5"/>
  <c r="G1564" i="5"/>
  <c r="F1564" i="5"/>
  <c r="E1564" i="5"/>
  <c r="I1563" i="5"/>
  <c r="H1563" i="5"/>
  <c r="G1563" i="5"/>
  <c r="F1563" i="5"/>
  <c r="E1563" i="5"/>
  <c r="I1562" i="5"/>
  <c r="H1562" i="5"/>
  <c r="G1562" i="5"/>
  <c r="F1562" i="5"/>
  <c r="E1562" i="5"/>
  <c r="I1561" i="5"/>
  <c r="H1561" i="5"/>
  <c r="G1561" i="5"/>
  <c r="F1561" i="5"/>
  <c r="E1561" i="5"/>
  <c r="I1560" i="5"/>
  <c r="H1560" i="5"/>
  <c r="G1560" i="5"/>
  <c r="F1560" i="5"/>
  <c r="E1560" i="5"/>
  <c r="I1559" i="5"/>
  <c r="H1559" i="5"/>
  <c r="G1559" i="5"/>
  <c r="F1559" i="5"/>
  <c r="E1559" i="5"/>
  <c r="I1558" i="5"/>
  <c r="H1558" i="5"/>
  <c r="G1558" i="5"/>
  <c r="F1558" i="5"/>
  <c r="E1558" i="5"/>
  <c r="I1557" i="5"/>
  <c r="H1557" i="5"/>
  <c r="G1557" i="5"/>
  <c r="F1557" i="5"/>
  <c r="E1557" i="5"/>
  <c r="I1556" i="5"/>
  <c r="H1556" i="5"/>
  <c r="G1556" i="5"/>
  <c r="F1556" i="5"/>
  <c r="E1556" i="5"/>
  <c r="I1555" i="5"/>
  <c r="H1555" i="5"/>
  <c r="G1555" i="5"/>
  <c r="F1555" i="5"/>
  <c r="E1555" i="5"/>
  <c r="I1554" i="5"/>
  <c r="H1554" i="5"/>
  <c r="G1554" i="5"/>
  <c r="F1554" i="5"/>
  <c r="E1554" i="5"/>
  <c r="I1553" i="5"/>
  <c r="H1553" i="5"/>
  <c r="G1553" i="5"/>
  <c r="F1553" i="5"/>
  <c r="E1553" i="5"/>
  <c r="I1552" i="5"/>
  <c r="H1552" i="5"/>
  <c r="G1552" i="5"/>
  <c r="F1552" i="5"/>
  <c r="E1552" i="5"/>
  <c r="I1551" i="5"/>
  <c r="H1551" i="5"/>
  <c r="G1551" i="5"/>
  <c r="F1551" i="5"/>
  <c r="E1551" i="5"/>
  <c r="I1550" i="5"/>
  <c r="H1550" i="5"/>
  <c r="G1550" i="5"/>
  <c r="F1550" i="5"/>
  <c r="E1550" i="5"/>
  <c r="I1549" i="5"/>
  <c r="H1549" i="5"/>
  <c r="G1549" i="5"/>
  <c r="F1549" i="5"/>
  <c r="E1549" i="5"/>
  <c r="I1548" i="5"/>
  <c r="H1548" i="5"/>
  <c r="G1548" i="5"/>
  <c r="F1548" i="5"/>
  <c r="E1548" i="5"/>
  <c r="I1547" i="5"/>
  <c r="H1547" i="5"/>
  <c r="G1547" i="5"/>
  <c r="F1547" i="5"/>
  <c r="E1547" i="5"/>
  <c r="I1546" i="5"/>
  <c r="H1546" i="5"/>
  <c r="G1546" i="5"/>
  <c r="F1546" i="5"/>
  <c r="E1546" i="5"/>
  <c r="I1545" i="5"/>
  <c r="H1545" i="5"/>
  <c r="G1545" i="5"/>
  <c r="F1545" i="5"/>
  <c r="E1545" i="5"/>
  <c r="I1544" i="5"/>
  <c r="H1544" i="5"/>
  <c r="G1544" i="5"/>
  <c r="F1544" i="5"/>
  <c r="E1544" i="5"/>
  <c r="I1543" i="5"/>
  <c r="H1543" i="5"/>
  <c r="G1543" i="5"/>
  <c r="F1543" i="5"/>
  <c r="E1543" i="5"/>
  <c r="I1542" i="5"/>
  <c r="H1542" i="5"/>
  <c r="G1542" i="5"/>
  <c r="F1542" i="5"/>
  <c r="E1542" i="5"/>
  <c r="I1541" i="5"/>
  <c r="H1541" i="5"/>
  <c r="G1541" i="5"/>
  <c r="F1541" i="5"/>
  <c r="E1541" i="5"/>
  <c r="I1540" i="5"/>
  <c r="H1540" i="5"/>
  <c r="G1540" i="5"/>
  <c r="F1540" i="5"/>
  <c r="E1540" i="5"/>
  <c r="I1539" i="5"/>
  <c r="H1539" i="5"/>
  <c r="G1539" i="5"/>
  <c r="F1539" i="5"/>
  <c r="E1539" i="5"/>
  <c r="I1538" i="5"/>
  <c r="H1538" i="5"/>
  <c r="G1538" i="5"/>
  <c r="F1538" i="5"/>
  <c r="E1538" i="5"/>
  <c r="I1537" i="5"/>
  <c r="H1537" i="5"/>
  <c r="G1537" i="5"/>
  <c r="F1537" i="5"/>
  <c r="E1537" i="5"/>
  <c r="I1536" i="5"/>
  <c r="H1536" i="5"/>
  <c r="G1536" i="5"/>
  <c r="F1536" i="5"/>
  <c r="E1536" i="5"/>
  <c r="I1535" i="5"/>
  <c r="H1535" i="5"/>
  <c r="G1535" i="5"/>
  <c r="F1535" i="5"/>
  <c r="E1535" i="5"/>
  <c r="I1534" i="5"/>
  <c r="H1534" i="5"/>
  <c r="G1534" i="5"/>
  <c r="F1534" i="5"/>
  <c r="E1534" i="5"/>
  <c r="I1533" i="5"/>
  <c r="H1533" i="5"/>
  <c r="G1533" i="5"/>
  <c r="F1533" i="5"/>
  <c r="E1533" i="5"/>
  <c r="I1532" i="5"/>
  <c r="H1532" i="5"/>
  <c r="G1532" i="5"/>
  <c r="F1532" i="5"/>
  <c r="E1532" i="5"/>
  <c r="I1531" i="5"/>
  <c r="H1531" i="5"/>
  <c r="G1531" i="5"/>
  <c r="F1531" i="5"/>
  <c r="E1531" i="5"/>
  <c r="I1530" i="5"/>
  <c r="H1530" i="5"/>
  <c r="G1530" i="5"/>
  <c r="F1530" i="5"/>
  <c r="E1530" i="5"/>
  <c r="I1529" i="5"/>
  <c r="H1529" i="5"/>
  <c r="G1529" i="5"/>
  <c r="F1529" i="5"/>
  <c r="E1529" i="5"/>
  <c r="I1528" i="5"/>
  <c r="H1528" i="5"/>
  <c r="G1528" i="5"/>
  <c r="F1528" i="5"/>
  <c r="E1528" i="5"/>
  <c r="I1527" i="5"/>
  <c r="H1527" i="5"/>
  <c r="G1527" i="5"/>
  <c r="F1527" i="5"/>
  <c r="E1527" i="5"/>
  <c r="I1526" i="5"/>
  <c r="H1526" i="5"/>
  <c r="G1526" i="5"/>
  <c r="F1526" i="5"/>
  <c r="E1526" i="5"/>
  <c r="I1517" i="5"/>
  <c r="H1517" i="5"/>
  <c r="G1517" i="5"/>
  <c r="F1517" i="5"/>
  <c r="E1517" i="5"/>
  <c r="I1516" i="5"/>
  <c r="H1516" i="5"/>
  <c r="G1516" i="5"/>
  <c r="F1516" i="5"/>
  <c r="E1516" i="5"/>
  <c r="I1515" i="5"/>
  <c r="H1515" i="5"/>
  <c r="G1515" i="5"/>
  <c r="F1515" i="5"/>
  <c r="E1515" i="5"/>
  <c r="I1514" i="5"/>
  <c r="H1514" i="5"/>
  <c r="G1514" i="5"/>
  <c r="F1514" i="5"/>
  <c r="E1514" i="5"/>
  <c r="I1513" i="5"/>
  <c r="H1513" i="5"/>
  <c r="G1513" i="5"/>
  <c r="F1513" i="5"/>
  <c r="E1513" i="5"/>
  <c r="I1512" i="5"/>
  <c r="H1512" i="5"/>
  <c r="G1512" i="5"/>
  <c r="F1512" i="5"/>
  <c r="E1512" i="5"/>
  <c r="I1511" i="5"/>
  <c r="H1511" i="5"/>
  <c r="G1511" i="5"/>
  <c r="F1511" i="5"/>
  <c r="E1511" i="5"/>
  <c r="I1510" i="5"/>
  <c r="H1510" i="5"/>
  <c r="G1510" i="5"/>
  <c r="F1510" i="5"/>
  <c r="E1510" i="5"/>
  <c r="I1509" i="5"/>
  <c r="H1509" i="5"/>
  <c r="G1509" i="5"/>
  <c r="F1509" i="5"/>
  <c r="E1509" i="5"/>
  <c r="I1508" i="5"/>
  <c r="H1508" i="5"/>
  <c r="G1508" i="5"/>
  <c r="F1508" i="5"/>
  <c r="E1508" i="5"/>
  <c r="I1507" i="5"/>
  <c r="H1507" i="5"/>
  <c r="G1507" i="5"/>
  <c r="F1507" i="5"/>
  <c r="E1507" i="5"/>
  <c r="I1506" i="5"/>
  <c r="H1506" i="5"/>
  <c r="G1506" i="5"/>
  <c r="F1506" i="5"/>
  <c r="E1506" i="5"/>
  <c r="I1505" i="5"/>
  <c r="H1505" i="5"/>
  <c r="G1505" i="5"/>
  <c r="F1505" i="5"/>
  <c r="E1505" i="5"/>
  <c r="I1504" i="5"/>
  <c r="H1504" i="5"/>
  <c r="G1504" i="5"/>
  <c r="F1504" i="5"/>
  <c r="E1504" i="5"/>
  <c r="I1503" i="5"/>
  <c r="H1503" i="5"/>
  <c r="G1503" i="5"/>
  <c r="F1503" i="5"/>
  <c r="E1503" i="5"/>
  <c r="I1502" i="5"/>
  <c r="H1502" i="5"/>
  <c r="G1502" i="5"/>
  <c r="F1502" i="5"/>
  <c r="E1502" i="5"/>
  <c r="I1501" i="5"/>
  <c r="H1501" i="5"/>
  <c r="G1501" i="5"/>
  <c r="F1501" i="5"/>
  <c r="E1501" i="5"/>
  <c r="I1500" i="5"/>
  <c r="H1500" i="5"/>
  <c r="G1500" i="5"/>
  <c r="F1500" i="5"/>
  <c r="E1500" i="5"/>
  <c r="I1499" i="5"/>
  <c r="H1499" i="5"/>
  <c r="G1499" i="5"/>
  <c r="F1499" i="5"/>
  <c r="E1499" i="5"/>
  <c r="I1498" i="5"/>
  <c r="H1498" i="5"/>
  <c r="G1498" i="5"/>
  <c r="F1498" i="5"/>
  <c r="E1498" i="5"/>
  <c r="I1497" i="5"/>
  <c r="H1497" i="5"/>
  <c r="G1497" i="5"/>
  <c r="F1497" i="5"/>
  <c r="E1497" i="5"/>
  <c r="I1496" i="5"/>
  <c r="H1496" i="5"/>
  <c r="G1496" i="5"/>
  <c r="F1496" i="5"/>
  <c r="E1496" i="5"/>
  <c r="I1495" i="5"/>
  <c r="H1495" i="5"/>
  <c r="G1495" i="5"/>
  <c r="F1495" i="5"/>
  <c r="E1495" i="5"/>
  <c r="I1494" i="5"/>
  <c r="H1494" i="5"/>
  <c r="G1494" i="5"/>
  <c r="F1494" i="5"/>
  <c r="E1494" i="5"/>
  <c r="I1493" i="5"/>
  <c r="H1493" i="5"/>
  <c r="G1493" i="5"/>
  <c r="F1493" i="5"/>
  <c r="E1493" i="5"/>
  <c r="I1492" i="5"/>
  <c r="H1492" i="5"/>
  <c r="G1492" i="5"/>
  <c r="F1492" i="5"/>
  <c r="E1492" i="5"/>
  <c r="I1491" i="5"/>
  <c r="H1491" i="5"/>
  <c r="G1491" i="5"/>
  <c r="F1491" i="5"/>
  <c r="E1491" i="5"/>
  <c r="I1490" i="5"/>
  <c r="H1490" i="5"/>
  <c r="G1490" i="5"/>
  <c r="F1490" i="5"/>
  <c r="E1490" i="5"/>
  <c r="I1489" i="5"/>
  <c r="H1489" i="5"/>
  <c r="G1489" i="5"/>
  <c r="F1489" i="5"/>
  <c r="E1489" i="5"/>
  <c r="I1488" i="5"/>
  <c r="H1488" i="5"/>
  <c r="G1488" i="5"/>
  <c r="F1488" i="5"/>
  <c r="E1488" i="5"/>
  <c r="I1487" i="5"/>
  <c r="H1487" i="5"/>
  <c r="G1487" i="5"/>
  <c r="F1487" i="5"/>
  <c r="E1487" i="5"/>
  <c r="I1486" i="5"/>
  <c r="H1486" i="5"/>
  <c r="G1486" i="5"/>
  <c r="F1486" i="5"/>
  <c r="E1486" i="5"/>
  <c r="I1485" i="5"/>
  <c r="H1485" i="5"/>
  <c r="G1485" i="5"/>
  <c r="F1485" i="5"/>
  <c r="E1485" i="5"/>
  <c r="I1484" i="5"/>
  <c r="H1484" i="5"/>
  <c r="G1484" i="5"/>
  <c r="F1484" i="5"/>
  <c r="E1484" i="5"/>
  <c r="I1483" i="5"/>
  <c r="H1483" i="5"/>
  <c r="G1483" i="5"/>
  <c r="F1483" i="5"/>
  <c r="E1483" i="5"/>
  <c r="I1482" i="5"/>
  <c r="H1482" i="5"/>
  <c r="G1482" i="5"/>
  <c r="F1482" i="5"/>
  <c r="E1482" i="5"/>
  <c r="I1481" i="5"/>
  <c r="H1481" i="5"/>
  <c r="G1481" i="5"/>
  <c r="F1481" i="5"/>
  <c r="E1481" i="5"/>
  <c r="I1480" i="5"/>
  <c r="H1480" i="5"/>
  <c r="G1480" i="5"/>
  <c r="F1480" i="5"/>
  <c r="E1480" i="5"/>
  <c r="I1479" i="5"/>
  <c r="H1479" i="5"/>
  <c r="G1479" i="5"/>
  <c r="F1479" i="5"/>
  <c r="E1479" i="5"/>
  <c r="I1478" i="5"/>
  <c r="H1478" i="5"/>
  <c r="G1478" i="5"/>
  <c r="F1478" i="5"/>
  <c r="E1478" i="5"/>
  <c r="I1477" i="5"/>
  <c r="H1477" i="5"/>
  <c r="G1477" i="5"/>
  <c r="F1477" i="5"/>
  <c r="E1477" i="5"/>
  <c r="I1476" i="5"/>
  <c r="H1476" i="5"/>
  <c r="G1476" i="5"/>
  <c r="F1476" i="5"/>
  <c r="E1476" i="5"/>
  <c r="I1475" i="5"/>
  <c r="H1475" i="5"/>
  <c r="G1475" i="5"/>
  <c r="F1475" i="5"/>
  <c r="E1475" i="5"/>
  <c r="I1474" i="5"/>
  <c r="H1474" i="5"/>
  <c r="G1474" i="5"/>
  <c r="F1474" i="5"/>
  <c r="E1474" i="5"/>
  <c r="I1473" i="5"/>
  <c r="H1473" i="5"/>
  <c r="G1473" i="5"/>
  <c r="F1473" i="5"/>
  <c r="E1473" i="5"/>
  <c r="I1472" i="5"/>
  <c r="H1472" i="5"/>
  <c r="G1472" i="5"/>
  <c r="F1472" i="5"/>
  <c r="E1472" i="5"/>
  <c r="I1471" i="5"/>
  <c r="H1471" i="5"/>
  <c r="G1471" i="5"/>
  <c r="F1471" i="5"/>
  <c r="E1471" i="5"/>
  <c r="I1470" i="5"/>
  <c r="H1470" i="5"/>
  <c r="G1470" i="5"/>
  <c r="F1470" i="5"/>
  <c r="E1470" i="5"/>
  <c r="I1469" i="5"/>
  <c r="H1469" i="5"/>
  <c r="G1469" i="5"/>
  <c r="F1469" i="5"/>
  <c r="E1469" i="5"/>
  <c r="I1468" i="5"/>
  <c r="H1468" i="5"/>
  <c r="G1468" i="5"/>
  <c r="F1468" i="5"/>
  <c r="E1468" i="5"/>
  <c r="I1467" i="5"/>
  <c r="H1467" i="5"/>
  <c r="G1467" i="5"/>
  <c r="F1467" i="5"/>
  <c r="E1467" i="5"/>
  <c r="I1466" i="5"/>
  <c r="H1466" i="5"/>
  <c r="G1466" i="5"/>
  <c r="F1466" i="5"/>
  <c r="E1466" i="5"/>
  <c r="I1465" i="5"/>
  <c r="H1465" i="5"/>
  <c r="G1465" i="5"/>
  <c r="F1465" i="5"/>
  <c r="E1465" i="5"/>
  <c r="I1464" i="5"/>
  <c r="H1464" i="5"/>
  <c r="G1464" i="5"/>
  <c r="F1464" i="5"/>
  <c r="E1464" i="5"/>
  <c r="I1463" i="5"/>
  <c r="H1463" i="5"/>
  <c r="G1463" i="5"/>
  <c r="F1463" i="5"/>
  <c r="E1463" i="5"/>
  <c r="I1462" i="5"/>
  <c r="H1462" i="5"/>
  <c r="G1462" i="5"/>
  <c r="F1462" i="5"/>
  <c r="E1462" i="5"/>
  <c r="I1461" i="5"/>
  <c r="H1461" i="5"/>
  <c r="G1461" i="5"/>
  <c r="F1461" i="5"/>
  <c r="E1461" i="5"/>
  <c r="I1460" i="5"/>
  <c r="H1460" i="5"/>
  <c r="G1460" i="5"/>
  <c r="F1460" i="5"/>
  <c r="E1460" i="5"/>
  <c r="I1459" i="5"/>
  <c r="H1459" i="5"/>
  <c r="G1459" i="5"/>
  <c r="F1459" i="5"/>
  <c r="E1459" i="5"/>
  <c r="I1458" i="5"/>
  <c r="H1458" i="5"/>
  <c r="G1458" i="5"/>
  <c r="F1458" i="5"/>
  <c r="E1458" i="5"/>
  <c r="I1457" i="5"/>
  <c r="H1457" i="5"/>
  <c r="G1457" i="5"/>
  <c r="F1457" i="5"/>
  <c r="E1457" i="5"/>
  <c r="I1456" i="5"/>
  <c r="H1456" i="5"/>
  <c r="G1456" i="5"/>
  <c r="F1456" i="5"/>
  <c r="E1456" i="5"/>
  <c r="I1455" i="5"/>
  <c r="H1455" i="5"/>
  <c r="G1455" i="5"/>
  <c r="F1455" i="5"/>
  <c r="E1455" i="5"/>
  <c r="I1454" i="5"/>
  <c r="H1454" i="5"/>
  <c r="G1454" i="5"/>
  <c r="F1454" i="5"/>
  <c r="E1454" i="5"/>
  <c r="I1453" i="5"/>
  <c r="H1453" i="5"/>
  <c r="G1453" i="5"/>
  <c r="F1453" i="5"/>
  <c r="E1453" i="5"/>
  <c r="I1452" i="5"/>
  <c r="H1452" i="5"/>
  <c r="G1452" i="5"/>
  <c r="F1452" i="5"/>
  <c r="E1452" i="5"/>
  <c r="I1451" i="5"/>
  <c r="H1451" i="5"/>
  <c r="G1451" i="5"/>
  <c r="F1451" i="5"/>
  <c r="E1451" i="5"/>
  <c r="I1450" i="5"/>
  <c r="H1450" i="5"/>
  <c r="G1450" i="5"/>
  <c r="F1450" i="5"/>
  <c r="E1450" i="5"/>
  <c r="I1449" i="5"/>
  <c r="H1449" i="5"/>
  <c r="G1449" i="5"/>
  <c r="F1449" i="5"/>
  <c r="E1449" i="5"/>
  <c r="I1448" i="5"/>
  <c r="H1448" i="5"/>
  <c r="G1448" i="5"/>
  <c r="F1448" i="5"/>
  <c r="E1448" i="5"/>
  <c r="I1447" i="5"/>
  <c r="H1447" i="5"/>
  <c r="G1447" i="5"/>
  <c r="F1447" i="5"/>
  <c r="E1447" i="5"/>
  <c r="I1446" i="5"/>
  <c r="H1446" i="5"/>
  <c r="G1446" i="5"/>
  <c r="F1446" i="5"/>
  <c r="E1446" i="5"/>
  <c r="I1445" i="5"/>
  <c r="H1445" i="5"/>
  <c r="G1445" i="5"/>
  <c r="F1445" i="5"/>
  <c r="E1445" i="5"/>
  <c r="I1444" i="5"/>
  <c r="H1444" i="5"/>
  <c r="G1444" i="5"/>
  <c r="F1444" i="5"/>
  <c r="E1444" i="5"/>
  <c r="I1443" i="5"/>
  <c r="H1443" i="5"/>
  <c r="G1443" i="5"/>
  <c r="F1443" i="5"/>
  <c r="E1443" i="5"/>
  <c r="I1442" i="5"/>
  <c r="H1442" i="5"/>
  <c r="G1442" i="5"/>
  <c r="F1442" i="5"/>
  <c r="E1442" i="5"/>
  <c r="I1441" i="5"/>
  <c r="H1441" i="5"/>
  <c r="G1441" i="5"/>
  <c r="F1441" i="5"/>
  <c r="E1441" i="5"/>
  <c r="I1440" i="5"/>
  <c r="H1440" i="5"/>
  <c r="G1440" i="5"/>
  <c r="F1440" i="5"/>
  <c r="E1440" i="5"/>
  <c r="I1439" i="5"/>
  <c r="H1439" i="5"/>
  <c r="G1439" i="5"/>
  <c r="F1439" i="5"/>
  <c r="E1439" i="5"/>
  <c r="I1438" i="5"/>
  <c r="H1438" i="5"/>
  <c r="G1438" i="5"/>
  <c r="F1438" i="5"/>
  <c r="E1438" i="5"/>
  <c r="I1437" i="5"/>
  <c r="H1437" i="5"/>
  <c r="G1437" i="5"/>
  <c r="F1437" i="5"/>
  <c r="E1437" i="5"/>
  <c r="I1436" i="5"/>
  <c r="H1436" i="5"/>
  <c r="G1436" i="5"/>
  <c r="F1436" i="5"/>
  <c r="E1436" i="5"/>
  <c r="I1435" i="5"/>
  <c r="H1435" i="5"/>
  <c r="G1435" i="5"/>
  <c r="F1435" i="5"/>
  <c r="E1435" i="5"/>
  <c r="I1434" i="5"/>
  <c r="H1434" i="5"/>
  <c r="G1434" i="5"/>
  <c r="F1434" i="5"/>
  <c r="E1434" i="5"/>
  <c r="I1433" i="5"/>
  <c r="H1433" i="5"/>
  <c r="G1433" i="5"/>
  <c r="F1433" i="5"/>
  <c r="E1433" i="5"/>
  <c r="I1432" i="5"/>
  <c r="H1432" i="5"/>
  <c r="G1432" i="5"/>
  <c r="F1432" i="5"/>
  <c r="E1432" i="5"/>
  <c r="I1431" i="5"/>
  <c r="H1431" i="5"/>
  <c r="G1431" i="5"/>
  <c r="F1431" i="5"/>
  <c r="E1431" i="5"/>
  <c r="I1430" i="5"/>
  <c r="H1430" i="5"/>
  <c r="G1430" i="5"/>
  <c r="F1430" i="5"/>
  <c r="E1430" i="5"/>
  <c r="I1429" i="5"/>
  <c r="H1429" i="5"/>
  <c r="G1429" i="5"/>
  <c r="F1429" i="5"/>
  <c r="E1429" i="5"/>
  <c r="I1428" i="5"/>
  <c r="H1428" i="5"/>
  <c r="G1428" i="5"/>
  <c r="F1428" i="5"/>
  <c r="E1428" i="5"/>
  <c r="I1427" i="5"/>
  <c r="H1427" i="5"/>
  <c r="G1427" i="5"/>
  <c r="F1427" i="5"/>
  <c r="E1427" i="5"/>
  <c r="I1426" i="5"/>
  <c r="H1426" i="5"/>
  <c r="G1426" i="5"/>
  <c r="F1426" i="5"/>
  <c r="E1426" i="5"/>
  <c r="I1425" i="5"/>
  <c r="H1425" i="5"/>
  <c r="G1425" i="5"/>
  <c r="F1425" i="5"/>
  <c r="E1425" i="5"/>
  <c r="I1424" i="5"/>
  <c r="H1424" i="5"/>
  <c r="G1424" i="5"/>
  <c r="F1424" i="5"/>
  <c r="E1424" i="5"/>
  <c r="I1423" i="5"/>
  <c r="H1423" i="5"/>
  <c r="G1423" i="5"/>
  <c r="F1423" i="5"/>
  <c r="E1423" i="5"/>
  <c r="I1422" i="5"/>
  <c r="H1422" i="5"/>
  <c r="G1422" i="5"/>
  <c r="F1422" i="5"/>
  <c r="E1422" i="5"/>
  <c r="I1421" i="5"/>
  <c r="H1421" i="5"/>
  <c r="G1421" i="5"/>
  <c r="F1421" i="5"/>
  <c r="E1421" i="5"/>
  <c r="I1420" i="5"/>
  <c r="H1420" i="5"/>
  <c r="G1420" i="5"/>
  <c r="F1420" i="5"/>
  <c r="E1420" i="5"/>
  <c r="I1419" i="5"/>
  <c r="H1419" i="5"/>
  <c r="G1419" i="5"/>
  <c r="F1419" i="5"/>
  <c r="E1419" i="5"/>
  <c r="I1418" i="5"/>
  <c r="H1418" i="5"/>
  <c r="G1418" i="5"/>
  <c r="F1418" i="5"/>
  <c r="E1418" i="5"/>
  <c r="I1417" i="5"/>
  <c r="H1417" i="5"/>
  <c r="G1417" i="5"/>
  <c r="F1417" i="5"/>
  <c r="E1417" i="5"/>
  <c r="I1416" i="5"/>
  <c r="H1416" i="5"/>
  <c r="G1416" i="5"/>
  <c r="F1416" i="5"/>
  <c r="E1416" i="5"/>
  <c r="I1415" i="5"/>
  <c r="H1415" i="5"/>
  <c r="G1415" i="5"/>
  <c r="F1415" i="5"/>
  <c r="E1415" i="5"/>
  <c r="I1414" i="5"/>
  <c r="H1414" i="5"/>
  <c r="G1414" i="5"/>
  <c r="F1414" i="5"/>
  <c r="E1414" i="5"/>
  <c r="I1413" i="5"/>
  <c r="H1413" i="5"/>
  <c r="G1413" i="5"/>
  <c r="F1413" i="5"/>
  <c r="E1413" i="5"/>
  <c r="I1412" i="5"/>
  <c r="H1412" i="5"/>
  <c r="G1412" i="5"/>
  <c r="F1412" i="5"/>
  <c r="E1412" i="5"/>
  <c r="I1411" i="5"/>
  <c r="H1411" i="5"/>
  <c r="G1411" i="5"/>
  <c r="F1411" i="5"/>
  <c r="E1411" i="5"/>
  <c r="I1410" i="5"/>
  <c r="H1410" i="5"/>
  <c r="G1410" i="5"/>
  <c r="F1410" i="5"/>
  <c r="E1410" i="5"/>
  <c r="I1409" i="5"/>
  <c r="H1409" i="5"/>
  <c r="G1409" i="5"/>
  <c r="F1409" i="5"/>
  <c r="E1409" i="5"/>
  <c r="I1408" i="5"/>
  <c r="H1408" i="5"/>
  <c r="G1408" i="5"/>
  <c r="F1408" i="5"/>
  <c r="E1408" i="5"/>
  <c r="I1407" i="5"/>
  <c r="H1407" i="5"/>
  <c r="G1407" i="5"/>
  <c r="F1407" i="5"/>
  <c r="E1407" i="5"/>
  <c r="I1406" i="5"/>
  <c r="H1406" i="5"/>
  <c r="G1406" i="5"/>
  <c r="F1406" i="5"/>
  <c r="E1406" i="5"/>
  <c r="I1405" i="5"/>
  <c r="H1405" i="5"/>
  <c r="G1405" i="5"/>
  <c r="F1405" i="5"/>
  <c r="E1405" i="5"/>
  <c r="I1404" i="5"/>
  <c r="H1404" i="5"/>
  <c r="G1404" i="5"/>
  <c r="F1404" i="5"/>
  <c r="E1404" i="5"/>
  <c r="I1403" i="5"/>
  <c r="H1403" i="5"/>
  <c r="G1403" i="5"/>
  <c r="F1403" i="5"/>
  <c r="E1403" i="5"/>
  <c r="I1402" i="5"/>
  <c r="H1402" i="5"/>
  <c r="G1402" i="5"/>
  <c r="F1402" i="5"/>
  <c r="E1402" i="5"/>
  <c r="I1401" i="5"/>
  <c r="H1401" i="5"/>
  <c r="G1401" i="5"/>
  <c r="F1401" i="5"/>
  <c r="E1401" i="5"/>
  <c r="I1400" i="5"/>
  <c r="H1400" i="5"/>
  <c r="G1400" i="5"/>
  <c r="F1400" i="5"/>
  <c r="E1400" i="5"/>
  <c r="I1399" i="5"/>
  <c r="H1399" i="5"/>
  <c r="G1399" i="5"/>
  <c r="F1399" i="5"/>
  <c r="E1399" i="5"/>
  <c r="I1398" i="5"/>
  <c r="H1398" i="5"/>
  <c r="G1398" i="5"/>
  <c r="F1398" i="5"/>
  <c r="E1398" i="5"/>
  <c r="I1397" i="5"/>
  <c r="H1397" i="5"/>
  <c r="G1397" i="5"/>
  <c r="F1397" i="5"/>
  <c r="E1397" i="5"/>
  <c r="I1396" i="5"/>
  <c r="H1396" i="5"/>
  <c r="G1396" i="5"/>
  <c r="F1396" i="5"/>
  <c r="E1396" i="5"/>
  <c r="I1395" i="5"/>
  <c r="H1395" i="5"/>
  <c r="G1395" i="5"/>
  <c r="F1395" i="5"/>
  <c r="E1395" i="5"/>
  <c r="I1394" i="5"/>
  <c r="H1394" i="5"/>
  <c r="G1394" i="5"/>
  <c r="F1394" i="5"/>
  <c r="E1394" i="5"/>
  <c r="I1393" i="5"/>
  <c r="H1393" i="5"/>
  <c r="G1393" i="5"/>
  <c r="F1393" i="5"/>
  <c r="E1393" i="5"/>
  <c r="I1392" i="5"/>
  <c r="H1392" i="5"/>
  <c r="G1392" i="5"/>
  <c r="F1392" i="5"/>
  <c r="E1392" i="5"/>
  <c r="I1391" i="5"/>
  <c r="H1391" i="5"/>
  <c r="G1391" i="5"/>
  <c r="F1391" i="5"/>
  <c r="E1391" i="5"/>
  <c r="I1390" i="5"/>
  <c r="H1390" i="5"/>
  <c r="G1390" i="5"/>
  <c r="F1390" i="5"/>
  <c r="E1390" i="5"/>
  <c r="I1389" i="5"/>
  <c r="H1389" i="5"/>
  <c r="G1389" i="5"/>
  <c r="F1389" i="5"/>
  <c r="E1389" i="5"/>
  <c r="I1388" i="5"/>
  <c r="H1388" i="5"/>
  <c r="G1388" i="5"/>
  <c r="F1388" i="5"/>
  <c r="E1388" i="5"/>
  <c r="I1387" i="5"/>
  <c r="H1387" i="5"/>
  <c r="G1387" i="5"/>
  <c r="F1387" i="5"/>
  <c r="E1387" i="5"/>
  <c r="I1386" i="5"/>
  <c r="H1386" i="5"/>
  <c r="G1386" i="5"/>
  <c r="F1386" i="5"/>
  <c r="E1386" i="5"/>
  <c r="I1385" i="5"/>
  <c r="H1385" i="5"/>
  <c r="G1385" i="5"/>
  <c r="F1385" i="5"/>
  <c r="E1385" i="5"/>
  <c r="I1384" i="5"/>
  <c r="H1384" i="5"/>
  <c r="G1384" i="5"/>
  <c r="F1384" i="5"/>
  <c r="E1384" i="5"/>
  <c r="I1383" i="5"/>
  <c r="H1383" i="5"/>
  <c r="G1383" i="5"/>
  <c r="F1383" i="5"/>
  <c r="E1383" i="5"/>
  <c r="I1382" i="5"/>
  <c r="H1382" i="5"/>
  <c r="G1382" i="5"/>
  <c r="F1382" i="5"/>
  <c r="E1382" i="5"/>
  <c r="I1381" i="5"/>
  <c r="H1381" i="5"/>
  <c r="G1381" i="5"/>
  <c r="F1381" i="5"/>
  <c r="E1381" i="5"/>
  <c r="I1380" i="5"/>
  <c r="H1380" i="5"/>
  <c r="G1380" i="5"/>
  <c r="F1380" i="5"/>
  <c r="E1380" i="5"/>
  <c r="I1379" i="5"/>
  <c r="H1379" i="5"/>
  <c r="G1379" i="5"/>
  <c r="F1379" i="5"/>
  <c r="E1379" i="5"/>
  <c r="I1378" i="5"/>
  <c r="H1378" i="5"/>
  <c r="G1378" i="5"/>
  <c r="F1378" i="5"/>
  <c r="E1378" i="5"/>
  <c r="I1377" i="5"/>
  <c r="H1377" i="5"/>
  <c r="G1377" i="5"/>
  <c r="F1377" i="5"/>
  <c r="E1377" i="5"/>
  <c r="I1376" i="5"/>
  <c r="H1376" i="5"/>
  <c r="G1376" i="5"/>
  <c r="F1376" i="5"/>
  <c r="E1376" i="5"/>
  <c r="I1375" i="5"/>
  <c r="H1375" i="5"/>
  <c r="G1375" i="5"/>
  <c r="F1375" i="5"/>
  <c r="E1375" i="5"/>
  <c r="I1374" i="5"/>
  <c r="H1374" i="5"/>
  <c r="G1374" i="5"/>
  <c r="F1374" i="5"/>
  <c r="E1374" i="5"/>
  <c r="I1373" i="5"/>
  <c r="H1373" i="5"/>
  <c r="G1373" i="5"/>
  <c r="F1373" i="5"/>
  <c r="E1373" i="5"/>
  <c r="I1372" i="5"/>
  <c r="H1372" i="5"/>
  <c r="G1372" i="5"/>
  <c r="F1372" i="5"/>
  <c r="E1372" i="5"/>
  <c r="I1371" i="5"/>
  <c r="H1371" i="5"/>
  <c r="G1371" i="5"/>
  <c r="F1371" i="5"/>
  <c r="E1371" i="5"/>
  <c r="I1370" i="5"/>
  <c r="H1370" i="5"/>
  <c r="G1370" i="5"/>
  <c r="F1370" i="5"/>
  <c r="E1370" i="5"/>
  <c r="I1369" i="5"/>
  <c r="H1369" i="5"/>
  <c r="G1369" i="5"/>
  <c r="F1369" i="5"/>
  <c r="E1369" i="5"/>
  <c r="I1368" i="5"/>
  <c r="H1368" i="5"/>
  <c r="G1368" i="5"/>
  <c r="F1368" i="5"/>
  <c r="E1368" i="5"/>
  <c r="I1367" i="5"/>
  <c r="H1367" i="5"/>
  <c r="G1367" i="5"/>
  <c r="F1367" i="5"/>
  <c r="E1367" i="5"/>
  <c r="I1366" i="5"/>
  <c r="H1366" i="5"/>
  <c r="G1366" i="5"/>
  <c r="F1366" i="5"/>
  <c r="E1366" i="5"/>
  <c r="I1365" i="5"/>
  <c r="H1365" i="5"/>
  <c r="G1365" i="5"/>
  <c r="F1365" i="5"/>
  <c r="E1365" i="5"/>
  <c r="I1364" i="5"/>
  <c r="H1364" i="5"/>
  <c r="G1364" i="5"/>
  <c r="F1364" i="5"/>
  <c r="E1364" i="5"/>
  <c r="I1363" i="5"/>
  <c r="H1363" i="5"/>
  <c r="G1363" i="5"/>
  <c r="F1363" i="5"/>
  <c r="E1363" i="5"/>
  <c r="I1362" i="5"/>
  <c r="H1362" i="5"/>
  <c r="G1362" i="5"/>
  <c r="F1362" i="5"/>
  <c r="E1362" i="5"/>
  <c r="I1361" i="5"/>
  <c r="H1361" i="5"/>
  <c r="G1361" i="5"/>
  <c r="F1361" i="5"/>
  <c r="E1361" i="5"/>
  <c r="I1360" i="5"/>
  <c r="H1360" i="5"/>
  <c r="G1360" i="5"/>
  <c r="F1360" i="5"/>
  <c r="E1360" i="5"/>
  <c r="I1359" i="5"/>
  <c r="H1359" i="5"/>
  <c r="G1359" i="5"/>
  <c r="F1359" i="5"/>
  <c r="E1359" i="5"/>
  <c r="I1358" i="5"/>
  <c r="H1358" i="5"/>
  <c r="G1358" i="5"/>
  <c r="F1358" i="5"/>
  <c r="E1358" i="5"/>
  <c r="I1357" i="5"/>
  <c r="H1357" i="5"/>
  <c r="G1357" i="5"/>
  <c r="F1357" i="5"/>
  <c r="E1357" i="5"/>
  <c r="I1356" i="5"/>
  <c r="H1356" i="5"/>
  <c r="G1356" i="5"/>
  <c r="F1356" i="5"/>
  <c r="E1356" i="5"/>
  <c r="I1355" i="5"/>
  <c r="H1355" i="5"/>
  <c r="G1355" i="5"/>
  <c r="F1355" i="5"/>
  <c r="E1355" i="5"/>
  <c r="I1354" i="5"/>
  <c r="H1354" i="5"/>
  <c r="G1354" i="5"/>
  <c r="F1354" i="5"/>
  <c r="E1354" i="5"/>
  <c r="I1353" i="5"/>
  <c r="H1353" i="5"/>
  <c r="G1353" i="5"/>
  <c r="F1353" i="5"/>
  <c r="E1353" i="5"/>
  <c r="I1352" i="5"/>
  <c r="H1352" i="5"/>
  <c r="G1352" i="5"/>
  <c r="F1352" i="5"/>
  <c r="E1352" i="5"/>
  <c r="I1351" i="5"/>
  <c r="H1351" i="5"/>
  <c r="G1351" i="5"/>
  <c r="F1351" i="5"/>
  <c r="E1351" i="5"/>
  <c r="I1350" i="5"/>
  <c r="H1350" i="5"/>
  <c r="G1350" i="5"/>
  <c r="F1350" i="5"/>
  <c r="E1350" i="5"/>
  <c r="I1349" i="5"/>
  <c r="H1349" i="5"/>
  <c r="G1349" i="5"/>
  <c r="F1349" i="5"/>
  <c r="E1349" i="5"/>
  <c r="I1348" i="5"/>
  <c r="H1348" i="5"/>
  <c r="G1348" i="5"/>
  <c r="F1348" i="5"/>
  <c r="E1348" i="5"/>
  <c r="I1347" i="5"/>
  <c r="H1347" i="5"/>
  <c r="G1347" i="5"/>
  <c r="F1347" i="5"/>
  <c r="E1347" i="5"/>
  <c r="I1346" i="5"/>
  <c r="H1346" i="5"/>
  <c r="G1346" i="5"/>
  <c r="F1346" i="5"/>
  <c r="E1346" i="5"/>
  <c r="I1345" i="5"/>
  <c r="H1345" i="5"/>
  <c r="G1345" i="5"/>
  <c r="F1345" i="5"/>
  <c r="E1345" i="5"/>
  <c r="I1344" i="5"/>
  <c r="H1344" i="5"/>
  <c r="G1344" i="5"/>
  <c r="F1344" i="5"/>
  <c r="E1344" i="5"/>
  <c r="I1343" i="5"/>
  <c r="H1343" i="5"/>
  <c r="G1343" i="5"/>
  <c r="F1343" i="5"/>
  <c r="E1343" i="5"/>
  <c r="I1342" i="5"/>
  <c r="H1342" i="5"/>
  <c r="G1342" i="5"/>
  <c r="F1342" i="5"/>
  <c r="E1342" i="5"/>
  <c r="I1341" i="5"/>
  <c r="H1341" i="5"/>
  <c r="G1341" i="5"/>
  <c r="F1341" i="5"/>
  <c r="E1341" i="5"/>
  <c r="I1340" i="5"/>
  <c r="H1340" i="5"/>
  <c r="G1340" i="5"/>
  <c r="F1340" i="5"/>
  <c r="E1340" i="5"/>
  <c r="I1339" i="5"/>
  <c r="H1339" i="5"/>
  <c r="G1339" i="5"/>
  <c r="F1339" i="5"/>
  <c r="E1339" i="5"/>
  <c r="I1338" i="5"/>
  <c r="H1338" i="5"/>
  <c r="G1338" i="5"/>
  <c r="F1338" i="5"/>
  <c r="E1338" i="5"/>
  <c r="I1337" i="5"/>
  <c r="H1337" i="5"/>
  <c r="G1337" i="5"/>
  <c r="F1337" i="5"/>
  <c r="E1337" i="5"/>
  <c r="I1336" i="5"/>
  <c r="H1336" i="5"/>
  <c r="G1336" i="5"/>
  <c r="F1336" i="5"/>
  <c r="E1336" i="5"/>
  <c r="I1335" i="5"/>
  <c r="H1335" i="5"/>
  <c r="G1335" i="5"/>
  <c r="F1335" i="5"/>
  <c r="E1335" i="5"/>
  <c r="I1334" i="5"/>
  <c r="H1334" i="5"/>
  <c r="G1334" i="5"/>
  <c r="F1334" i="5"/>
  <c r="E1334" i="5"/>
  <c r="I1333" i="5"/>
  <c r="H1333" i="5"/>
  <c r="G1333" i="5"/>
  <c r="F1333" i="5"/>
  <c r="E1333" i="5"/>
  <c r="I1332" i="5"/>
  <c r="H1332" i="5"/>
  <c r="G1332" i="5"/>
  <c r="F1332" i="5"/>
  <c r="E1332" i="5"/>
  <c r="I1331" i="5"/>
  <c r="H1331" i="5"/>
  <c r="G1331" i="5"/>
  <c r="F1331" i="5"/>
  <c r="E1331" i="5"/>
  <c r="I1330" i="5"/>
  <c r="H1330" i="5"/>
  <c r="G1330" i="5"/>
  <c r="F1330" i="5"/>
  <c r="E1330" i="5"/>
  <c r="I1329" i="5"/>
  <c r="H1329" i="5"/>
  <c r="G1329" i="5"/>
  <c r="F1329" i="5"/>
  <c r="E1329" i="5"/>
  <c r="I1328" i="5"/>
  <c r="H1328" i="5"/>
  <c r="G1328" i="5"/>
  <c r="F1328" i="5"/>
  <c r="E1328" i="5"/>
  <c r="I1327" i="5"/>
  <c r="H1327" i="5"/>
  <c r="G1327" i="5"/>
  <c r="F1327" i="5"/>
  <c r="E1327" i="5"/>
  <c r="I1326" i="5"/>
  <c r="H1326" i="5"/>
  <c r="G1326" i="5"/>
  <c r="F1326" i="5"/>
  <c r="E1326" i="5"/>
  <c r="I1325" i="5"/>
  <c r="H1325" i="5"/>
  <c r="G1325" i="5"/>
  <c r="F1325" i="5"/>
  <c r="E1325" i="5"/>
  <c r="I1324" i="5"/>
  <c r="H1324" i="5"/>
  <c r="G1324" i="5"/>
  <c r="F1324" i="5"/>
  <c r="E1324" i="5"/>
  <c r="I1323" i="5"/>
  <c r="H1323" i="5"/>
  <c r="G1323" i="5"/>
  <c r="F1323" i="5"/>
  <c r="E1323" i="5"/>
  <c r="I1322" i="5"/>
  <c r="H1322" i="5"/>
  <c r="G1322" i="5"/>
  <c r="F1322" i="5"/>
  <c r="E1322" i="5"/>
  <c r="I1321" i="5"/>
  <c r="H1321" i="5"/>
  <c r="G1321" i="5"/>
  <c r="F1321" i="5"/>
  <c r="E1321" i="5"/>
  <c r="I1320" i="5"/>
  <c r="H1320" i="5"/>
  <c r="G1320" i="5"/>
  <c r="F1320" i="5"/>
  <c r="E1320" i="5"/>
  <c r="I1319" i="5"/>
  <c r="H1319" i="5"/>
  <c r="G1319" i="5"/>
  <c r="F1319" i="5"/>
  <c r="E1319" i="5"/>
  <c r="I1318" i="5"/>
  <c r="H1318" i="5"/>
  <c r="G1318" i="5"/>
  <c r="F1318" i="5"/>
  <c r="E1318" i="5"/>
  <c r="I1317" i="5"/>
  <c r="H1317" i="5"/>
  <c r="G1317" i="5"/>
  <c r="F1317" i="5"/>
  <c r="E1317" i="5"/>
  <c r="I1316" i="5"/>
  <c r="H1316" i="5"/>
  <c r="G1316" i="5"/>
  <c r="F1316" i="5"/>
  <c r="E1316" i="5"/>
  <c r="I1315" i="5"/>
  <c r="H1315" i="5"/>
  <c r="G1315" i="5"/>
  <c r="F1315" i="5"/>
  <c r="E1315" i="5"/>
  <c r="I1314" i="5"/>
  <c r="H1314" i="5"/>
  <c r="G1314" i="5"/>
  <c r="F1314" i="5"/>
  <c r="E1314" i="5"/>
  <c r="I1313" i="5"/>
  <c r="H1313" i="5"/>
  <c r="G1313" i="5"/>
  <c r="F1313" i="5"/>
  <c r="E1313" i="5"/>
  <c r="I1312" i="5"/>
  <c r="H1312" i="5"/>
  <c r="G1312" i="5"/>
  <c r="F1312" i="5"/>
  <c r="E1312" i="5"/>
  <c r="I1311" i="5"/>
  <c r="H1311" i="5"/>
  <c r="G1311" i="5"/>
  <c r="F1311" i="5"/>
  <c r="E1311" i="5"/>
  <c r="I1310" i="5"/>
  <c r="H1310" i="5"/>
  <c r="G1310" i="5"/>
  <c r="F1310" i="5"/>
  <c r="E1310" i="5"/>
  <c r="I1309" i="5"/>
  <c r="H1309" i="5"/>
  <c r="G1309" i="5"/>
  <c r="F1309" i="5"/>
  <c r="E1309" i="5"/>
  <c r="I1308" i="5"/>
  <c r="H1308" i="5"/>
  <c r="G1308" i="5"/>
  <c r="F1308" i="5"/>
  <c r="E1308" i="5"/>
  <c r="I1307" i="5"/>
  <c r="H1307" i="5"/>
  <c r="G1307" i="5"/>
  <c r="F1307" i="5"/>
  <c r="E1307" i="5"/>
  <c r="I1306" i="5"/>
  <c r="H1306" i="5"/>
  <c r="G1306" i="5"/>
  <c r="F1306" i="5"/>
  <c r="E1306" i="5"/>
  <c r="I1305" i="5"/>
  <c r="H1305" i="5"/>
  <c r="G1305" i="5"/>
  <c r="F1305" i="5"/>
  <c r="E1305" i="5"/>
  <c r="I1304" i="5"/>
  <c r="H1304" i="5"/>
  <c r="G1304" i="5"/>
  <c r="F1304" i="5"/>
  <c r="E1304" i="5"/>
  <c r="I1303" i="5"/>
  <c r="H1303" i="5"/>
  <c r="G1303" i="5"/>
  <c r="F1303" i="5"/>
  <c r="E1303" i="5"/>
  <c r="I1302" i="5"/>
  <c r="H1302" i="5"/>
  <c r="G1302" i="5"/>
  <c r="F1302" i="5"/>
  <c r="E1302" i="5"/>
  <c r="I1301" i="5"/>
  <c r="H1301" i="5"/>
  <c r="G1301" i="5"/>
  <c r="F1301" i="5"/>
  <c r="E1301" i="5"/>
  <c r="I1300" i="5"/>
  <c r="H1300" i="5"/>
  <c r="G1300" i="5"/>
  <c r="F1300" i="5"/>
  <c r="E1300" i="5"/>
  <c r="I1299" i="5"/>
  <c r="H1299" i="5"/>
  <c r="G1299" i="5"/>
  <c r="F1299" i="5"/>
  <c r="E1299" i="5"/>
  <c r="I1298" i="5"/>
  <c r="H1298" i="5"/>
  <c r="G1298" i="5"/>
  <c r="F1298" i="5"/>
  <c r="E1298" i="5"/>
  <c r="I1297" i="5"/>
  <c r="H1297" i="5"/>
  <c r="G1297" i="5"/>
  <c r="F1297" i="5"/>
  <c r="E1297" i="5"/>
  <c r="I1296" i="5"/>
  <c r="H1296" i="5"/>
  <c r="G1296" i="5"/>
  <c r="F1296" i="5"/>
  <c r="E1296" i="5"/>
  <c r="I1295" i="5"/>
  <c r="H1295" i="5"/>
  <c r="G1295" i="5"/>
  <c r="F1295" i="5"/>
  <c r="E1295" i="5"/>
  <c r="I1294" i="5"/>
  <c r="H1294" i="5"/>
  <c r="G1294" i="5"/>
  <c r="F1294" i="5"/>
  <c r="E1294" i="5"/>
  <c r="I1293" i="5"/>
  <c r="H1293" i="5"/>
  <c r="G1293" i="5"/>
  <c r="F1293" i="5"/>
  <c r="E1293" i="5"/>
  <c r="I1292" i="5"/>
  <c r="H1292" i="5"/>
  <c r="G1292" i="5"/>
  <c r="F1292" i="5"/>
  <c r="E1292" i="5"/>
  <c r="I1291" i="5"/>
  <c r="H1291" i="5"/>
  <c r="G1291" i="5"/>
  <c r="F1291" i="5"/>
  <c r="E1291" i="5"/>
  <c r="I1290" i="5"/>
  <c r="H1290" i="5"/>
  <c r="G1290" i="5"/>
  <c r="F1290" i="5"/>
  <c r="E1290" i="5"/>
  <c r="I1289" i="5"/>
  <c r="H1289" i="5"/>
  <c r="G1289" i="5"/>
  <c r="F1289" i="5"/>
  <c r="E1289" i="5"/>
  <c r="I1288" i="5"/>
  <c r="H1288" i="5"/>
  <c r="G1288" i="5"/>
  <c r="F1288" i="5"/>
  <c r="E1288" i="5"/>
  <c r="I1287" i="5"/>
  <c r="H1287" i="5"/>
  <c r="G1287" i="5"/>
  <c r="F1287" i="5"/>
  <c r="E1287" i="5"/>
  <c r="I1286" i="5"/>
  <c r="H1286" i="5"/>
  <c r="G1286" i="5"/>
  <c r="F1286" i="5"/>
  <c r="E1286" i="5"/>
  <c r="I1285" i="5"/>
  <c r="H1285" i="5"/>
  <c r="G1285" i="5"/>
  <c r="F1285" i="5"/>
  <c r="E1285" i="5"/>
  <c r="I1284" i="5"/>
  <c r="H1284" i="5"/>
  <c r="G1284" i="5"/>
  <c r="F1284" i="5"/>
  <c r="E1284" i="5"/>
  <c r="I1283" i="5"/>
  <c r="H1283" i="5"/>
  <c r="G1283" i="5"/>
  <c r="F1283" i="5"/>
  <c r="E1283" i="5"/>
  <c r="I1282" i="5"/>
  <c r="H1282" i="5"/>
  <c r="G1282" i="5"/>
  <c r="F1282" i="5"/>
  <c r="E1282" i="5"/>
  <c r="I1281" i="5"/>
  <c r="H1281" i="5"/>
  <c r="G1281" i="5"/>
  <c r="F1281" i="5"/>
  <c r="E1281" i="5"/>
  <c r="I1280" i="5"/>
  <c r="H1280" i="5"/>
  <c r="G1280" i="5"/>
  <c r="F1280" i="5"/>
  <c r="E1280" i="5"/>
  <c r="I1279" i="5"/>
  <c r="H1279" i="5"/>
  <c r="G1279" i="5"/>
  <c r="F1279" i="5"/>
  <c r="E1279" i="5"/>
  <c r="I1278" i="5"/>
  <c r="H1278" i="5"/>
  <c r="G1278" i="5"/>
  <c r="F1278" i="5"/>
  <c r="E1278" i="5"/>
  <c r="I1277" i="5"/>
  <c r="H1277" i="5"/>
  <c r="G1277" i="5"/>
  <c r="F1277" i="5"/>
  <c r="E1277" i="5"/>
  <c r="I1276" i="5"/>
  <c r="H1276" i="5"/>
  <c r="G1276" i="5"/>
  <c r="F1276" i="5"/>
  <c r="E1276" i="5"/>
  <c r="I1275" i="5"/>
  <c r="H1275" i="5"/>
  <c r="G1275" i="5"/>
  <c r="F1275" i="5"/>
  <c r="E1275" i="5"/>
  <c r="I1274" i="5"/>
  <c r="H1274" i="5"/>
  <c r="G1274" i="5"/>
  <c r="F1274" i="5"/>
  <c r="E1274" i="5"/>
  <c r="I1273" i="5"/>
  <c r="H1273" i="5"/>
  <c r="G1273" i="5"/>
  <c r="F1273" i="5"/>
  <c r="E1273" i="5"/>
  <c r="I1272" i="5"/>
  <c r="H1272" i="5"/>
  <c r="G1272" i="5"/>
  <c r="F1272" i="5"/>
  <c r="E1272" i="5"/>
  <c r="I1271" i="5"/>
  <c r="H1271" i="5"/>
  <c r="G1271" i="5"/>
  <c r="F1271" i="5"/>
  <c r="E1271" i="5"/>
  <c r="I1270" i="5"/>
  <c r="H1270" i="5"/>
  <c r="G1270" i="5"/>
  <c r="F1270" i="5"/>
  <c r="E1270" i="5"/>
  <c r="I1269" i="5"/>
  <c r="H1269" i="5"/>
  <c r="G1269" i="5"/>
  <c r="F1269" i="5"/>
  <c r="E1269" i="5"/>
  <c r="I1268" i="5"/>
  <c r="H1268" i="5"/>
  <c r="G1268" i="5"/>
  <c r="F1268" i="5"/>
  <c r="E1268" i="5"/>
  <c r="I1267" i="5"/>
  <c r="H1267" i="5"/>
  <c r="G1267" i="5"/>
  <c r="F1267" i="5"/>
  <c r="E1267" i="5"/>
  <c r="I1266" i="5"/>
  <c r="H1266" i="5"/>
  <c r="G1266" i="5"/>
  <c r="F1266" i="5"/>
  <c r="E1266" i="5"/>
  <c r="I1265" i="5"/>
  <c r="H1265" i="5"/>
  <c r="G1265" i="5"/>
  <c r="F1265" i="5"/>
  <c r="E1265" i="5"/>
  <c r="I1264" i="5"/>
  <c r="H1264" i="5"/>
  <c r="G1264" i="5"/>
  <c r="F1264" i="5"/>
  <c r="E1264" i="5"/>
  <c r="I1263" i="5"/>
  <c r="H1263" i="5"/>
  <c r="G1263" i="5"/>
  <c r="F1263" i="5"/>
  <c r="E1263" i="5"/>
  <c r="I1262" i="5"/>
  <c r="H1262" i="5"/>
  <c r="G1262" i="5"/>
  <c r="F1262" i="5"/>
  <c r="E1262" i="5"/>
  <c r="I1261" i="5"/>
  <c r="H1261" i="5"/>
  <c r="G1261" i="5"/>
  <c r="F1261" i="5"/>
  <c r="E1261" i="5"/>
  <c r="I1260" i="5"/>
  <c r="H1260" i="5"/>
  <c r="G1260" i="5"/>
  <c r="F1260" i="5"/>
  <c r="E1260" i="5"/>
  <c r="I1259" i="5"/>
  <c r="H1259" i="5"/>
  <c r="G1259" i="5"/>
  <c r="F1259" i="5"/>
  <c r="E1259" i="5"/>
  <c r="I1258" i="5"/>
  <c r="H1258" i="5"/>
  <c r="G1258" i="5"/>
  <c r="F1258" i="5"/>
  <c r="E1258" i="5"/>
  <c r="I1257" i="5"/>
  <c r="H1257" i="5"/>
  <c r="G1257" i="5"/>
  <c r="F1257" i="5"/>
  <c r="E1257" i="5"/>
  <c r="I1256" i="5"/>
  <c r="H1256" i="5"/>
  <c r="G1256" i="5"/>
  <c r="F1256" i="5"/>
  <c r="E1256" i="5"/>
  <c r="I1255" i="5"/>
  <c r="H1255" i="5"/>
  <c r="G1255" i="5"/>
  <c r="F1255" i="5"/>
  <c r="E1255" i="5"/>
  <c r="I1254" i="5"/>
  <c r="H1254" i="5"/>
  <c r="G1254" i="5"/>
  <c r="F1254" i="5"/>
  <c r="E1254" i="5"/>
  <c r="I1253" i="5"/>
  <c r="H1253" i="5"/>
  <c r="G1253" i="5"/>
  <c r="F1253" i="5"/>
  <c r="E1253" i="5"/>
  <c r="I1252" i="5"/>
  <c r="H1252" i="5"/>
  <c r="G1252" i="5"/>
  <c r="F1252" i="5"/>
  <c r="E1252" i="5"/>
  <c r="I1251" i="5"/>
  <c r="H1251" i="5"/>
  <c r="G1251" i="5"/>
  <c r="F1251" i="5"/>
  <c r="E1251" i="5"/>
  <c r="I1250" i="5"/>
  <c r="H1250" i="5"/>
  <c r="G1250" i="5"/>
  <c r="F1250" i="5"/>
  <c r="E1250" i="5"/>
  <c r="I1249" i="5"/>
  <c r="H1249" i="5"/>
  <c r="G1249" i="5"/>
  <c r="F1249" i="5"/>
  <c r="E1249" i="5"/>
  <c r="I1248" i="5"/>
  <c r="H1248" i="5"/>
  <c r="G1248" i="5"/>
  <c r="F1248" i="5"/>
  <c r="E1248" i="5"/>
  <c r="I1247" i="5"/>
  <c r="H1247" i="5"/>
  <c r="G1247" i="5"/>
  <c r="F1247" i="5"/>
  <c r="E1247" i="5"/>
  <c r="I1246" i="5"/>
  <c r="H1246" i="5"/>
  <c r="G1246" i="5"/>
  <c r="F1246" i="5"/>
  <c r="E1246" i="5"/>
  <c r="R28" i="5"/>
  <c r="I1237" i="5"/>
  <c r="H1237" i="5"/>
  <c r="G1237" i="5"/>
  <c r="F1237" i="5"/>
  <c r="E1237" i="5"/>
  <c r="I1236" i="5"/>
  <c r="H1236" i="5"/>
  <c r="G1236" i="5"/>
  <c r="F1236" i="5"/>
  <c r="E1236" i="5"/>
  <c r="I1235" i="5"/>
  <c r="H1235" i="5"/>
  <c r="G1235" i="5"/>
  <c r="F1235" i="5"/>
  <c r="E1235" i="5"/>
  <c r="I1234" i="5"/>
  <c r="H1234" i="5"/>
  <c r="G1234" i="5"/>
  <c r="F1234" i="5"/>
  <c r="E1234" i="5"/>
  <c r="I1233" i="5"/>
  <c r="H1233" i="5"/>
  <c r="G1233" i="5"/>
  <c r="F1233" i="5"/>
  <c r="E1233" i="5"/>
  <c r="I1232" i="5"/>
  <c r="H1232" i="5"/>
  <c r="G1232" i="5"/>
  <c r="F1232" i="5"/>
  <c r="E1232" i="5"/>
  <c r="I1231" i="5"/>
  <c r="H1231" i="5"/>
  <c r="G1231" i="5"/>
  <c r="F1231" i="5"/>
  <c r="E1231" i="5"/>
  <c r="I1230" i="5"/>
  <c r="H1230" i="5"/>
  <c r="G1230" i="5"/>
  <c r="F1230" i="5"/>
  <c r="E1230" i="5"/>
  <c r="I1229" i="5"/>
  <c r="H1229" i="5"/>
  <c r="G1229" i="5"/>
  <c r="F1229" i="5"/>
  <c r="E1229" i="5"/>
  <c r="I1228" i="5"/>
  <c r="H1228" i="5"/>
  <c r="G1228" i="5"/>
  <c r="F1228" i="5"/>
  <c r="E1228" i="5"/>
  <c r="I1227" i="5"/>
  <c r="H1227" i="5"/>
  <c r="G1227" i="5"/>
  <c r="F1227" i="5"/>
  <c r="E1227" i="5"/>
  <c r="I1226" i="5"/>
  <c r="H1226" i="5"/>
  <c r="G1226" i="5"/>
  <c r="F1226" i="5"/>
  <c r="E1226" i="5"/>
  <c r="I1225" i="5"/>
  <c r="H1225" i="5"/>
  <c r="G1225" i="5"/>
  <c r="F1225" i="5"/>
  <c r="E1225" i="5"/>
  <c r="I1224" i="5"/>
  <c r="H1224" i="5"/>
  <c r="G1224" i="5"/>
  <c r="F1224" i="5"/>
  <c r="E1224" i="5"/>
  <c r="I1223" i="5"/>
  <c r="H1223" i="5"/>
  <c r="G1223" i="5"/>
  <c r="F1223" i="5"/>
  <c r="E1223" i="5"/>
  <c r="I1222" i="5"/>
  <c r="H1222" i="5"/>
  <c r="G1222" i="5"/>
  <c r="F1222" i="5"/>
  <c r="E1222" i="5"/>
  <c r="I1221" i="5"/>
  <c r="H1221" i="5"/>
  <c r="G1221" i="5"/>
  <c r="F1221" i="5"/>
  <c r="E1221" i="5"/>
  <c r="I1220" i="5"/>
  <c r="H1220" i="5"/>
  <c r="G1220" i="5"/>
  <c r="F1220" i="5"/>
  <c r="E1220" i="5"/>
  <c r="I1219" i="5"/>
  <c r="H1219" i="5"/>
  <c r="G1219" i="5"/>
  <c r="F1219" i="5"/>
  <c r="E1219" i="5"/>
  <c r="I1218" i="5"/>
  <c r="H1218" i="5"/>
  <c r="G1218" i="5"/>
  <c r="F1218" i="5"/>
  <c r="E1218" i="5"/>
  <c r="I1217" i="5"/>
  <c r="H1217" i="5"/>
  <c r="G1217" i="5"/>
  <c r="F1217" i="5"/>
  <c r="E1217" i="5"/>
  <c r="I1216" i="5"/>
  <c r="H1216" i="5"/>
  <c r="G1216" i="5"/>
  <c r="F1216" i="5"/>
  <c r="E1216" i="5"/>
  <c r="I1215" i="5"/>
  <c r="H1215" i="5"/>
  <c r="G1215" i="5"/>
  <c r="F1215" i="5"/>
  <c r="E1215" i="5"/>
  <c r="I1214" i="5"/>
  <c r="H1214" i="5"/>
  <c r="G1214" i="5"/>
  <c r="F1214" i="5"/>
  <c r="E1214" i="5"/>
  <c r="I1213" i="5"/>
  <c r="H1213" i="5"/>
  <c r="G1213" i="5"/>
  <c r="F1213" i="5"/>
  <c r="E1213" i="5"/>
  <c r="I1212" i="5"/>
  <c r="H1212" i="5"/>
  <c r="G1212" i="5"/>
  <c r="F1212" i="5"/>
  <c r="E1212" i="5"/>
  <c r="I1211" i="5"/>
  <c r="H1211" i="5"/>
  <c r="G1211" i="5"/>
  <c r="F1211" i="5"/>
  <c r="E1211" i="5"/>
  <c r="I1210" i="5"/>
  <c r="H1210" i="5"/>
  <c r="G1210" i="5"/>
  <c r="F1210" i="5"/>
  <c r="E1210" i="5"/>
  <c r="I1209" i="5"/>
  <c r="H1209" i="5"/>
  <c r="G1209" i="5"/>
  <c r="F1209" i="5"/>
  <c r="E1209" i="5"/>
  <c r="I1208" i="5"/>
  <c r="H1208" i="5"/>
  <c r="G1208" i="5"/>
  <c r="F1208" i="5"/>
  <c r="E1208" i="5"/>
  <c r="I1207" i="5"/>
  <c r="H1207" i="5"/>
  <c r="G1207" i="5"/>
  <c r="F1207" i="5"/>
  <c r="E1207" i="5"/>
  <c r="I1206" i="5"/>
  <c r="H1206" i="5"/>
  <c r="G1206" i="5"/>
  <c r="F1206" i="5"/>
  <c r="E1206" i="5"/>
  <c r="I1205" i="5"/>
  <c r="H1205" i="5"/>
  <c r="G1205" i="5"/>
  <c r="F1205" i="5"/>
  <c r="E1205" i="5"/>
  <c r="I1204" i="5"/>
  <c r="H1204" i="5"/>
  <c r="G1204" i="5"/>
  <c r="F1204" i="5"/>
  <c r="E1204" i="5"/>
  <c r="I1203" i="5"/>
  <c r="H1203" i="5"/>
  <c r="G1203" i="5"/>
  <c r="F1203" i="5"/>
  <c r="E1203" i="5"/>
  <c r="I1202" i="5"/>
  <c r="H1202" i="5"/>
  <c r="G1202" i="5"/>
  <c r="F1202" i="5"/>
  <c r="E1202" i="5"/>
  <c r="I1201" i="5"/>
  <c r="H1201" i="5"/>
  <c r="G1201" i="5"/>
  <c r="F1201" i="5"/>
  <c r="E1201" i="5"/>
  <c r="I1200" i="5"/>
  <c r="H1200" i="5"/>
  <c r="G1200" i="5"/>
  <c r="F1200" i="5"/>
  <c r="E1200" i="5"/>
  <c r="I1199" i="5"/>
  <c r="H1199" i="5"/>
  <c r="G1199" i="5"/>
  <c r="F1199" i="5"/>
  <c r="E1199" i="5"/>
  <c r="I1198" i="5"/>
  <c r="H1198" i="5"/>
  <c r="G1198" i="5"/>
  <c r="F1198" i="5"/>
  <c r="E1198" i="5"/>
  <c r="I1197" i="5"/>
  <c r="H1197" i="5"/>
  <c r="G1197" i="5"/>
  <c r="F1197" i="5"/>
  <c r="E1197" i="5"/>
  <c r="I1196" i="5"/>
  <c r="H1196" i="5"/>
  <c r="G1196" i="5"/>
  <c r="F1196" i="5"/>
  <c r="E1196" i="5"/>
  <c r="I1195" i="5"/>
  <c r="H1195" i="5"/>
  <c r="G1195" i="5"/>
  <c r="F1195" i="5"/>
  <c r="E1195" i="5"/>
  <c r="I1194" i="5"/>
  <c r="H1194" i="5"/>
  <c r="G1194" i="5"/>
  <c r="F1194" i="5"/>
  <c r="E1194" i="5"/>
  <c r="I1193" i="5"/>
  <c r="H1193" i="5"/>
  <c r="G1193" i="5"/>
  <c r="F1193" i="5"/>
  <c r="E1193" i="5"/>
  <c r="I1192" i="5"/>
  <c r="H1192" i="5"/>
  <c r="G1192" i="5"/>
  <c r="F1192" i="5"/>
  <c r="E1192" i="5"/>
  <c r="I1191" i="5"/>
  <c r="H1191" i="5"/>
  <c r="G1191" i="5"/>
  <c r="F1191" i="5"/>
  <c r="E1191" i="5"/>
  <c r="I1190" i="5"/>
  <c r="H1190" i="5"/>
  <c r="G1190" i="5"/>
  <c r="F1190" i="5"/>
  <c r="E1190" i="5"/>
  <c r="I1189" i="5"/>
  <c r="H1189" i="5"/>
  <c r="G1189" i="5"/>
  <c r="F1189" i="5"/>
  <c r="E1189" i="5"/>
  <c r="I1188" i="5"/>
  <c r="H1188" i="5"/>
  <c r="G1188" i="5"/>
  <c r="F1188" i="5"/>
  <c r="E1188" i="5"/>
  <c r="I1187" i="5"/>
  <c r="H1187" i="5"/>
  <c r="G1187" i="5"/>
  <c r="F1187" i="5"/>
  <c r="E1187" i="5"/>
  <c r="I1186" i="5"/>
  <c r="H1186" i="5"/>
  <c r="G1186" i="5"/>
  <c r="F1186" i="5"/>
  <c r="E1186" i="5"/>
  <c r="I1185" i="5"/>
  <c r="H1185" i="5"/>
  <c r="G1185" i="5"/>
  <c r="F1185" i="5"/>
  <c r="E1185" i="5"/>
  <c r="I1184" i="5"/>
  <c r="H1184" i="5"/>
  <c r="G1184" i="5"/>
  <c r="F1184" i="5"/>
  <c r="E1184" i="5"/>
  <c r="I1183" i="5"/>
  <c r="H1183" i="5"/>
  <c r="G1183" i="5"/>
  <c r="F1183" i="5"/>
  <c r="E1183" i="5"/>
  <c r="I1182" i="5"/>
  <c r="H1182" i="5"/>
  <c r="G1182" i="5"/>
  <c r="F1182" i="5"/>
  <c r="E1182" i="5"/>
  <c r="I1181" i="5"/>
  <c r="H1181" i="5"/>
  <c r="G1181" i="5"/>
  <c r="F1181" i="5"/>
  <c r="E1181" i="5"/>
  <c r="I1180" i="5"/>
  <c r="H1180" i="5"/>
  <c r="G1180" i="5"/>
  <c r="F1180" i="5"/>
  <c r="E1180" i="5"/>
  <c r="I1179" i="5"/>
  <c r="H1179" i="5"/>
  <c r="G1179" i="5"/>
  <c r="F1179" i="5"/>
  <c r="E1179" i="5"/>
  <c r="I1178" i="5"/>
  <c r="H1178" i="5"/>
  <c r="G1178" i="5"/>
  <c r="F1178" i="5"/>
  <c r="E1178" i="5"/>
  <c r="I1177" i="5"/>
  <c r="H1177" i="5"/>
  <c r="G1177" i="5"/>
  <c r="F1177" i="5"/>
  <c r="E1177" i="5"/>
  <c r="I1176" i="5"/>
  <c r="H1176" i="5"/>
  <c r="G1176" i="5"/>
  <c r="F1176" i="5"/>
  <c r="E1176" i="5"/>
  <c r="I1175" i="5"/>
  <c r="H1175" i="5"/>
  <c r="G1175" i="5"/>
  <c r="F1175" i="5"/>
  <c r="E1175" i="5"/>
  <c r="I1174" i="5"/>
  <c r="H1174" i="5"/>
  <c r="G1174" i="5"/>
  <c r="F1174" i="5"/>
  <c r="E1174" i="5"/>
  <c r="I1173" i="5"/>
  <c r="H1173" i="5"/>
  <c r="G1173" i="5"/>
  <c r="F1173" i="5"/>
  <c r="E1173" i="5"/>
  <c r="I1172" i="5"/>
  <c r="H1172" i="5"/>
  <c r="G1172" i="5"/>
  <c r="F1172" i="5"/>
  <c r="E1172" i="5"/>
  <c r="I1171" i="5"/>
  <c r="H1171" i="5"/>
  <c r="G1171" i="5"/>
  <c r="F1171" i="5"/>
  <c r="E1171" i="5"/>
  <c r="I1170" i="5"/>
  <c r="H1170" i="5"/>
  <c r="G1170" i="5"/>
  <c r="F1170" i="5"/>
  <c r="E1170" i="5"/>
  <c r="I1169" i="5"/>
  <c r="H1169" i="5"/>
  <c r="G1169" i="5"/>
  <c r="F1169" i="5"/>
  <c r="E1169" i="5"/>
  <c r="I1168" i="5"/>
  <c r="H1168" i="5"/>
  <c r="G1168" i="5"/>
  <c r="F1168" i="5"/>
  <c r="E1168" i="5"/>
  <c r="I1167" i="5"/>
  <c r="H1167" i="5"/>
  <c r="G1167" i="5"/>
  <c r="F1167" i="5"/>
  <c r="E1167" i="5"/>
  <c r="I1166" i="5"/>
  <c r="H1166" i="5"/>
  <c r="G1166" i="5"/>
  <c r="F1166" i="5"/>
  <c r="E1166" i="5"/>
  <c r="I1165" i="5"/>
  <c r="H1165" i="5"/>
  <c r="G1165" i="5"/>
  <c r="F1165" i="5"/>
  <c r="E1165" i="5"/>
  <c r="I1164" i="5"/>
  <c r="H1164" i="5"/>
  <c r="G1164" i="5"/>
  <c r="F1164" i="5"/>
  <c r="E1164" i="5"/>
  <c r="I1163" i="5"/>
  <c r="H1163" i="5"/>
  <c r="G1163" i="5"/>
  <c r="F1163" i="5"/>
  <c r="E1163" i="5"/>
  <c r="I1162" i="5"/>
  <c r="H1162" i="5"/>
  <c r="G1162" i="5"/>
  <c r="F1162" i="5"/>
  <c r="E1162" i="5"/>
  <c r="I1161" i="5"/>
  <c r="H1161" i="5"/>
  <c r="G1161" i="5"/>
  <c r="F1161" i="5"/>
  <c r="E1161" i="5"/>
  <c r="I1160" i="5"/>
  <c r="H1160" i="5"/>
  <c r="G1160" i="5"/>
  <c r="F1160" i="5"/>
  <c r="E1160" i="5"/>
  <c r="I1159" i="5"/>
  <c r="H1159" i="5"/>
  <c r="G1159" i="5"/>
  <c r="F1159" i="5"/>
  <c r="E1159" i="5"/>
  <c r="I1158" i="5"/>
  <c r="H1158" i="5"/>
  <c r="G1158" i="5"/>
  <c r="F1158" i="5"/>
  <c r="E1158" i="5"/>
  <c r="I1157" i="5"/>
  <c r="H1157" i="5"/>
  <c r="G1157" i="5"/>
  <c r="F1157" i="5"/>
  <c r="E1157" i="5"/>
  <c r="I1156" i="5"/>
  <c r="H1156" i="5"/>
  <c r="G1156" i="5"/>
  <c r="F1156" i="5"/>
  <c r="E1156" i="5"/>
  <c r="I1155" i="5"/>
  <c r="H1155" i="5"/>
  <c r="G1155" i="5"/>
  <c r="F1155" i="5"/>
  <c r="E1155" i="5"/>
  <c r="I1154" i="5"/>
  <c r="H1154" i="5"/>
  <c r="G1154" i="5"/>
  <c r="F1154" i="5"/>
  <c r="E1154" i="5"/>
  <c r="I1153" i="5"/>
  <c r="H1153" i="5"/>
  <c r="G1153" i="5"/>
  <c r="F1153" i="5"/>
  <c r="E1153" i="5"/>
  <c r="I1152" i="5"/>
  <c r="H1152" i="5"/>
  <c r="G1152" i="5"/>
  <c r="F1152" i="5"/>
  <c r="E1152" i="5"/>
  <c r="I1151" i="5"/>
  <c r="H1151" i="5"/>
  <c r="G1151" i="5"/>
  <c r="F1151" i="5"/>
  <c r="E1151" i="5"/>
  <c r="I1150" i="5"/>
  <c r="H1150" i="5"/>
  <c r="G1150" i="5"/>
  <c r="F1150" i="5"/>
  <c r="E1150" i="5"/>
  <c r="I1149" i="5"/>
  <c r="H1149" i="5"/>
  <c r="G1149" i="5"/>
  <c r="F1149" i="5"/>
  <c r="E1149" i="5"/>
  <c r="I1148" i="5"/>
  <c r="H1148" i="5"/>
  <c r="G1148" i="5"/>
  <c r="F1148" i="5"/>
  <c r="E1148" i="5"/>
  <c r="I1147" i="5"/>
  <c r="H1147" i="5"/>
  <c r="G1147" i="5"/>
  <c r="F1147" i="5"/>
  <c r="E1147" i="5"/>
  <c r="I1146" i="5"/>
  <c r="H1146" i="5"/>
  <c r="G1146" i="5"/>
  <c r="F1146" i="5"/>
  <c r="E1146" i="5"/>
  <c r="I1145" i="5"/>
  <c r="H1145" i="5"/>
  <c r="G1145" i="5"/>
  <c r="F1145" i="5"/>
  <c r="E1145" i="5"/>
  <c r="I1144" i="5"/>
  <c r="H1144" i="5"/>
  <c r="G1144" i="5"/>
  <c r="F1144" i="5"/>
  <c r="E1144" i="5"/>
  <c r="I1143" i="5"/>
  <c r="H1143" i="5"/>
  <c r="G1143" i="5"/>
  <c r="F1143" i="5"/>
  <c r="E1143" i="5"/>
  <c r="I1142" i="5"/>
  <c r="H1142" i="5"/>
  <c r="G1142" i="5"/>
  <c r="F1142" i="5"/>
  <c r="E1142" i="5"/>
  <c r="I1141" i="5"/>
  <c r="H1141" i="5"/>
  <c r="G1141" i="5"/>
  <c r="F1141" i="5"/>
  <c r="E1141" i="5"/>
  <c r="I1140" i="5"/>
  <c r="H1140" i="5"/>
  <c r="G1140" i="5"/>
  <c r="F1140" i="5"/>
  <c r="E1140" i="5"/>
  <c r="I1139" i="5"/>
  <c r="H1139" i="5"/>
  <c r="G1139" i="5"/>
  <c r="F1139" i="5"/>
  <c r="E1139" i="5"/>
  <c r="I1138" i="5"/>
  <c r="H1138" i="5"/>
  <c r="G1138" i="5"/>
  <c r="F1138" i="5"/>
  <c r="E1138" i="5"/>
  <c r="I1137" i="5"/>
  <c r="H1137" i="5"/>
  <c r="G1137" i="5"/>
  <c r="F1137" i="5"/>
  <c r="E1137" i="5"/>
  <c r="I1136" i="5"/>
  <c r="H1136" i="5"/>
  <c r="G1136" i="5"/>
  <c r="F1136" i="5"/>
  <c r="E1136" i="5"/>
  <c r="I1135" i="5"/>
  <c r="H1135" i="5"/>
  <c r="G1135" i="5"/>
  <c r="F1135" i="5"/>
  <c r="E1135" i="5"/>
  <c r="I1134" i="5"/>
  <c r="H1134" i="5"/>
  <c r="G1134" i="5"/>
  <c r="F1134" i="5"/>
  <c r="E1134" i="5"/>
  <c r="I1133" i="5"/>
  <c r="H1133" i="5"/>
  <c r="G1133" i="5"/>
  <c r="F1133" i="5"/>
  <c r="E1133" i="5"/>
  <c r="I1132" i="5"/>
  <c r="H1132" i="5"/>
  <c r="G1132" i="5"/>
  <c r="F1132" i="5"/>
  <c r="E1132" i="5"/>
  <c r="I1131" i="5"/>
  <c r="H1131" i="5"/>
  <c r="G1131" i="5"/>
  <c r="F1131" i="5"/>
  <c r="E1131" i="5"/>
  <c r="I1130" i="5"/>
  <c r="H1130" i="5"/>
  <c r="G1130" i="5"/>
  <c r="F1130" i="5"/>
  <c r="E1130" i="5"/>
  <c r="I1129" i="5"/>
  <c r="H1129" i="5"/>
  <c r="G1129" i="5"/>
  <c r="F1129" i="5"/>
  <c r="E1129" i="5"/>
  <c r="I1128" i="5"/>
  <c r="H1128" i="5"/>
  <c r="G1128" i="5"/>
  <c r="F1128" i="5"/>
  <c r="E1128" i="5"/>
  <c r="I1127" i="5"/>
  <c r="H1127" i="5"/>
  <c r="G1127" i="5"/>
  <c r="F1127" i="5"/>
  <c r="E1127" i="5"/>
  <c r="I1126" i="5"/>
  <c r="H1126" i="5"/>
  <c r="G1126" i="5"/>
  <c r="F1126" i="5"/>
  <c r="E1126" i="5"/>
  <c r="I1125" i="5"/>
  <c r="H1125" i="5"/>
  <c r="G1125" i="5"/>
  <c r="F1125" i="5"/>
  <c r="E1125" i="5"/>
  <c r="I1124" i="5"/>
  <c r="H1124" i="5"/>
  <c r="G1124" i="5"/>
  <c r="F1124" i="5"/>
  <c r="E1124" i="5"/>
  <c r="I1123" i="5"/>
  <c r="H1123" i="5"/>
  <c r="G1123" i="5"/>
  <c r="F1123" i="5"/>
  <c r="E1123" i="5"/>
  <c r="I1122" i="5"/>
  <c r="H1122" i="5"/>
  <c r="G1122" i="5"/>
  <c r="F1122" i="5"/>
  <c r="E1122" i="5"/>
  <c r="I1121" i="5"/>
  <c r="H1121" i="5"/>
  <c r="G1121" i="5"/>
  <c r="F1121" i="5"/>
  <c r="E1121" i="5"/>
  <c r="I1120" i="5"/>
  <c r="H1120" i="5"/>
  <c r="G1120" i="5"/>
  <c r="F1120" i="5"/>
  <c r="E1120" i="5"/>
  <c r="I1119" i="5"/>
  <c r="H1119" i="5"/>
  <c r="G1119" i="5"/>
  <c r="F1119" i="5"/>
  <c r="E1119" i="5"/>
  <c r="I1118" i="5"/>
  <c r="H1118" i="5"/>
  <c r="G1118" i="5"/>
  <c r="F1118" i="5"/>
  <c r="E1118" i="5"/>
  <c r="I1117" i="5"/>
  <c r="H1117" i="5"/>
  <c r="G1117" i="5"/>
  <c r="F1117" i="5"/>
  <c r="E1117" i="5"/>
  <c r="I1116" i="5"/>
  <c r="H1116" i="5"/>
  <c r="G1116" i="5"/>
  <c r="F1116" i="5"/>
  <c r="E1116" i="5"/>
  <c r="I1115" i="5"/>
  <c r="H1115" i="5"/>
  <c r="G1115" i="5"/>
  <c r="F1115" i="5"/>
  <c r="E1115" i="5"/>
  <c r="I1114" i="5"/>
  <c r="H1114" i="5"/>
  <c r="G1114" i="5"/>
  <c r="F1114" i="5"/>
  <c r="E1114" i="5"/>
  <c r="I1113" i="5"/>
  <c r="H1113" i="5"/>
  <c r="G1113" i="5"/>
  <c r="F1113" i="5"/>
  <c r="E1113" i="5"/>
  <c r="I1112" i="5"/>
  <c r="H1112" i="5"/>
  <c r="G1112" i="5"/>
  <c r="F1112" i="5"/>
  <c r="E1112" i="5"/>
  <c r="I1111" i="5"/>
  <c r="H1111" i="5"/>
  <c r="G1111" i="5"/>
  <c r="F1111" i="5"/>
  <c r="E1111" i="5"/>
  <c r="I1110" i="5"/>
  <c r="H1110" i="5"/>
  <c r="G1110" i="5"/>
  <c r="F1110" i="5"/>
  <c r="E1110" i="5"/>
  <c r="I1109" i="5"/>
  <c r="H1109" i="5"/>
  <c r="G1109" i="5"/>
  <c r="F1109" i="5"/>
  <c r="E1109" i="5"/>
  <c r="I1108" i="5"/>
  <c r="H1108" i="5"/>
  <c r="G1108" i="5"/>
  <c r="F1108" i="5"/>
  <c r="E1108" i="5"/>
  <c r="I1107" i="5"/>
  <c r="H1107" i="5"/>
  <c r="G1107" i="5"/>
  <c r="F1107" i="5"/>
  <c r="E1107" i="5"/>
  <c r="I1106" i="5"/>
  <c r="H1106" i="5"/>
  <c r="G1106" i="5"/>
  <c r="F1106" i="5"/>
  <c r="E1106" i="5"/>
  <c r="I1105" i="5"/>
  <c r="H1105" i="5"/>
  <c r="G1105" i="5"/>
  <c r="F1105" i="5"/>
  <c r="E1105" i="5"/>
  <c r="I1104" i="5"/>
  <c r="H1104" i="5"/>
  <c r="G1104" i="5"/>
  <c r="F1104" i="5"/>
  <c r="E1104" i="5"/>
  <c r="I1103" i="5"/>
  <c r="H1103" i="5"/>
  <c r="G1103" i="5"/>
  <c r="F1103" i="5"/>
  <c r="E1103" i="5"/>
  <c r="I1102" i="5"/>
  <c r="H1102" i="5"/>
  <c r="G1102" i="5"/>
  <c r="F1102" i="5"/>
  <c r="E1102" i="5"/>
  <c r="I1101" i="5"/>
  <c r="H1101" i="5"/>
  <c r="G1101" i="5"/>
  <c r="F1101" i="5"/>
  <c r="E1101" i="5"/>
  <c r="I1100" i="5"/>
  <c r="H1100" i="5"/>
  <c r="G1100" i="5"/>
  <c r="F1100" i="5"/>
  <c r="E1100" i="5"/>
  <c r="I1099" i="5"/>
  <c r="H1099" i="5"/>
  <c r="G1099" i="5"/>
  <c r="F1099" i="5"/>
  <c r="E1099" i="5"/>
  <c r="I1098" i="5"/>
  <c r="H1098" i="5"/>
  <c r="G1098" i="5"/>
  <c r="F1098" i="5"/>
  <c r="E1098" i="5"/>
  <c r="I1097" i="5"/>
  <c r="H1097" i="5"/>
  <c r="G1097" i="5"/>
  <c r="F1097" i="5"/>
  <c r="E1097" i="5"/>
  <c r="I1096" i="5"/>
  <c r="H1096" i="5"/>
  <c r="G1096" i="5"/>
  <c r="F1096" i="5"/>
  <c r="E1096" i="5"/>
  <c r="I1095" i="5"/>
  <c r="H1095" i="5"/>
  <c r="G1095" i="5"/>
  <c r="F1095" i="5"/>
  <c r="E1095" i="5"/>
  <c r="I1094" i="5"/>
  <c r="H1094" i="5"/>
  <c r="G1094" i="5"/>
  <c r="F1094" i="5"/>
  <c r="E1094" i="5"/>
  <c r="I1093" i="5"/>
  <c r="H1093" i="5"/>
  <c r="G1093" i="5"/>
  <c r="F1093" i="5"/>
  <c r="E1093" i="5"/>
  <c r="I1092" i="5"/>
  <c r="H1092" i="5"/>
  <c r="G1092" i="5"/>
  <c r="F1092" i="5"/>
  <c r="E1092" i="5"/>
  <c r="I1091" i="5"/>
  <c r="H1091" i="5"/>
  <c r="G1091" i="5"/>
  <c r="F1091" i="5"/>
  <c r="E1091" i="5"/>
  <c r="I1090" i="5"/>
  <c r="H1090" i="5"/>
  <c r="G1090" i="5"/>
  <c r="F1090" i="5"/>
  <c r="E1090" i="5"/>
  <c r="I1089" i="5"/>
  <c r="H1089" i="5"/>
  <c r="G1089" i="5"/>
  <c r="F1089" i="5"/>
  <c r="E1089" i="5"/>
  <c r="I1088" i="5"/>
  <c r="H1088" i="5"/>
  <c r="G1088" i="5"/>
  <c r="F1088" i="5"/>
  <c r="E1088" i="5"/>
  <c r="I1087" i="5"/>
  <c r="H1087" i="5"/>
  <c r="G1087" i="5"/>
  <c r="F1087" i="5"/>
  <c r="E1087" i="5"/>
  <c r="I1086" i="5"/>
  <c r="H1086" i="5"/>
  <c r="G1086" i="5"/>
  <c r="F1086" i="5"/>
  <c r="E1086" i="5"/>
  <c r="I1085" i="5"/>
  <c r="H1085" i="5"/>
  <c r="G1085" i="5"/>
  <c r="F1085" i="5"/>
  <c r="E1085" i="5"/>
  <c r="I1084" i="5"/>
  <c r="H1084" i="5"/>
  <c r="G1084" i="5"/>
  <c r="F1084" i="5"/>
  <c r="E1084" i="5"/>
  <c r="I1083" i="5"/>
  <c r="H1083" i="5"/>
  <c r="G1083" i="5"/>
  <c r="F1083" i="5"/>
  <c r="E1083" i="5"/>
  <c r="I1082" i="5"/>
  <c r="H1082" i="5"/>
  <c r="G1082" i="5"/>
  <c r="F1082" i="5"/>
  <c r="E1082" i="5"/>
  <c r="I1081" i="5"/>
  <c r="H1081" i="5"/>
  <c r="G1081" i="5"/>
  <c r="F1081" i="5"/>
  <c r="E1081" i="5"/>
  <c r="I1080" i="5"/>
  <c r="H1080" i="5"/>
  <c r="G1080" i="5"/>
  <c r="F1080" i="5"/>
  <c r="E1080" i="5"/>
  <c r="I1079" i="5"/>
  <c r="H1079" i="5"/>
  <c r="G1079" i="5"/>
  <c r="F1079" i="5"/>
  <c r="E1079" i="5"/>
  <c r="I1078" i="5"/>
  <c r="H1078" i="5"/>
  <c r="G1078" i="5"/>
  <c r="F1078" i="5"/>
  <c r="E1078" i="5"/>
  <c r="I1077" i="5"/>
  <c r="H1077" i="5"/>
  <c r="G1077" i="5"/>
  <c r="F1077" i="5"/>
  <c r="E1077" i="5"/>
  <c r="I1076" i="5"/>
  <c r="H1076" i="5"/>
  <c r="G1076" i="5"/>
  <c r="F1076" i="5"/>
  <c r="E1076" i="5"/>
  <c r="I1075" i="5"/>
  <c r="H1075" i="5"/>
  <c r="G1075" i="5"/>
  <c r="F1075" i="5"/>
  <c r="E1075" i="5"/>
  <c r="I1074" i="5"/>
  <c r="H1074" i="5"/>
  <c r="G1074" i="5"/>
  <c r="F1074" i="5"/>
  <c r="E1074" i="5"/>
  <c r="I1073" i="5"/>
  <c r="H1073" i="5"/>
  <c r="G1073" i="5"/>
  <c r="F1073" i="5"/>
  <c r="E1073" i="5"/>
  <c r="I1072" i="5"/>
  <c r="H1072" i="5"/>
  <c r="G1072" i="5"/>
  <c r="F1072" i="5"/>
  <c r="E1072" i="5"/>
  <c r="I1071" i="5"/>
  <c r="H1071" i="5"/>
  <c r="G1071" i="5"/>
  <c r="F1071" i="5"/>
  <c r="E1071" i="5"/>
  <c r="I1070" i="5"/>
  <c r="H1070" i="5"/>
  <c r="G1070" i="5"/>
  <c r="F1070" i="5"/>
  <c r="E1070" i="5"/>
  <c r="I1069" i="5"/>
  <c r="H1069" i="5"/>
  <c r="G1069" i="5"/>
  <c r="F1069" i="5"/>
  <c r="E1069" i="5"/>
  <c r="I1068" i="5"/>
  <c r="H1068" i="5"/>
  <c r="G1068" i="5"/>
  <c r="F1068" i="5"/>
  <c r="E1068" i="5"/>
  <c r="I1067" i="5"/>
  <c r="H1067" i="5"/>
  <c r="G1067" i="5"/>
  <c r="F1067" i="5"/>
  <c r="E1067" i="5"/>
  <c r="I1066" i="5"/>
  <c r="H1066" i="5"/>
  <c r="G1066" i="5"/>
  <c r="F1066" i="5"/>
  <c r="E1066" i="5"/>
  <c r="I1065" i="5"/>
  <c r="H1065" i="5"/>
  <c r="G1065" i="5"/>
  <c r="F1065" i="5"/>
  <c r="E1065" i="5"/>
  <c r="I1064" i="5"/>
  <c r="H1064" i="5"/>
  <c r="G1064" i="5"/>
  <c r="F1064" i="5"/>
  <c r="E1064" i="5"/>
  <c r="I1063" i="5"/>
  <c r="H1063" i="5"/>
  <c r="G1063" i="5"/>
  <c r="F1063" i="5"/>
  <c r="E1063" i="5"/>
  <c r="I1062" i="5"/>
  <c r="H1062" i="5"/>
  <c r="G1062" i="5"/>
  <c r="F1062" i="5"/>
  <c r="E1062" i="5"/>
  <c r="I1061" i="5"/>
  <c r="H1061" i="5"/>
  <c r="G1061" i="5"/>
  <c r="F1061" i="5"/>
  <c r="E1061" i="5"/>
  <c r="I1060" i="5"/>
  <c r="H1060" i="5"/>
  <c r="G1060" i="5"/>
  <c r="F1060" i="5"/>
  <c r="E1060" i="5"/>
  <c r="I1059" i="5"/>
  <c r="H1059" i="5"/>
  <c r="G1059" i="5"/>
  <c r="F1059" i="5"/>
  <c r="E1059" i="5"/>
  <c r="I1058" i="5"/>
  <c r="H1058" i="5"/>
  <c r="G1058" i="5"/>
  <c r="F1058" i="5"/>
  <c r="E1058" i="5"/>
  <c r="I1057" i="5"/>
  <c r="H1057" i="5"/>
  <c r="G1057" i="5"/>
  <c r="F1057" i="5"/>
  <c r="E1057" i="5"/>
  <c r="I1056" i="5"/>
  <c r="H1056" i="5"/>
  <c r="G1056" i="5"/>
  <c r="F1056" i="5"/>
  <c r="E1056" i="5"/>
  <c r="I1055" i="5"/>
  <c r="H1055" i="5"/>
  <c r="G1055" i="5"/>
  <c r="F1055" i="5"/>
  <c r="E1055" i="5"/>
  <c r="I1054" i="5"/>
  <c r="H1054" i="5"/>
  <c r="G1054" i="5"/>
  <c r="F1054" i="5"/>
  <c r="E1054" i="5"/>
  <c r="I1053" i="5"/>
  <c r="H1053" i="5"/>
  <c r="G1053" i="5"/>
  <c r="F1053" i="5"/>
  <c r="E1053" i="5"/>
  <c r="I1052" i="5"/>
  <c r="H1052" i="5"/>
  <c r="G1052" i="5"/>
  <c r="F1052" i="5"/>
  <c r="E1052" i="5"/>
  <c r="I1051" i="5"/>
  <c r="H1051" i="5"/>
  <c r="G1051" i="5"/>
  <c r="F1051" i="5"/>
  <c r="E1051" i="5"/>
  <c r="I1050" i="5"/>
  <c r="H1050" i="5"/>
  <c r="G1050" i="5"/>
  <c r="F1050" i="5"/>
  <c r="E1050" i="5"/>
  <c r="I1049" i="5"/>
  <c r="H1049" i="5"/>
  <c r="G1049" i="5"/>
  <c r="F1049" i="5"/>
  <c r="E1049" i="5"/>
  <c r="I1048" i="5"/>
  <c r="H1048" i="5"/>
  <c r="G1048" i="5"/>
  <c r="F1048" i="5"/>
  <c r="E1048" i="5"/>
  <c r="I1047" i="5"/>
  <c r="H1047" i="5"/>
  <c r="G1047" i="5"/>
  <c r="F1047" i="5"/>
  <c r="E1047" i="5"/>
  <c r="I1046" i="5"/>
  <c r="H1046" i="5"/>
  <c r="G1046" i="5"/>
  <c r="F1046" i="5"/>
  <c r="E1046" i="5"/>
  <c r="I1045" i="5"/>
  <c r="H1045" i="5"/>
  <c r="G1045" i="5"/>
  <c r="F1045" i="5"/>
  <c r="E1045" i="5"/>
  <c r="I1044" i="5"/>
  <c r="H1044" i="5"/>
  <c r="G1044" i="5"/>
  <c r="F1044" i="5"/>
  <c r="E1044" i="5"/>
  <c r="I1043" i="5"/>
  <c r="H1043" i="5"/>
  <c r="G1043" i="5"/>
  <c r="F1043" i="5"/>
  <c r="E1043" i="5"/>
  <c r="I1042" i="5"/>
  <c r="H1042" i="5"/>
  <c r="G1042" i="5"/>
  <c r="F1042" i="5"/>
  <c r="E1042" i="5"/>
  <c r="I1041" i="5"/>
  <c r="H1041" i="5"/>
  <c r="G1041" i="5"/>
  <c r="F1041" i="5"/>
  <c r="E1041" i="5"/>
  <c r="I1040" i="5"/>
  <c r="H1040" i="5"/>
  <c r="G1040" i="5"/>
  <c r="F1040" i="5"/>
  <c r="E1040" i="5"/>
  <c r="I1039" i="5"/>
  <c r="H1039" i="5"/>
  <c r="G1039" i="5"/>
  <c r="F1039" i="5"/>
  <c r="E1039" i="5"/>
  <c r="I1038" i="5"/>
  <c r="H1038" i="5"/>
  <c r="G1038" i="5"/>
  <c r="F1038" i="5"/>
  <c r="E1038" i="5"/>
  <c r="I1037" i="5"/>
  <c r="H1037" i="5"/>
  <c r="G1037" i="5"/>
  <c r="F1037" i="5"/>
  <c r="E1037" i="5"/>
  <c r="I1036" i="5"/>
  <c r="H1036" i="5"/>
  <c r="G1036" i="5"/>
  <c r="F1036" i="5"/>
  <c r="E1036" i="5"/>
  <c r="I1035" i="5"/>
  <c r="H1035" i="5"/>
  <c r="G1035" i="5"/>
  <c r="F1035" i="5"/>
  <c r="E1035" i="5"/>
  <c r="I1034" i="5"/>
  <c r="H1034" i="5"/>
  <c r="G1034" i="5"/>
  <c r="F1034" i="5"/>
  <c r="E1034" i="5"/>
  <c r="I1033" i="5"/>
  <c r="H1033" i="5"/>
  <c r="G1033" i="5"/>
  <c r="F1033" i="5"/>
  <c r="E1033" i="5"/>
  <c r="I1032" i="5"/>
  <c r="H1032" i="5"/>
  <c r="G1032" i="5"/>
  <c r="F1032" i="5"/>
  <c r="E1032" i="5"/>
  <c r="I1031" i="5"/>
  <c r="H1031" i="5"/>
  <c r="G1031" i="5"/>
  <c r="F1031" i="5"/>
  <c r="E1031" i="5"/>
  <c r="I1030" i="5"/>
  <c r="H1030" i="5"/>
  <c r="G1030" i="5"/>
  <c r="F1030" i="5"/>
  <c r="E1030" i="5"/>
  <c r="I1029" i="5"/>
  <c r="H1029" i="5"/>
  <c r="G1029" i="5"/>
  <c r="F1029" i="5"/>
  <c r="E1029" i="5"/>
  <c r="I1028" i="5"/>
  <c r="H1028" i="5"/>
  <c r="G1028" i="5"/>
  <c r="F1028" i="5"/>
  <c r="E1028" i="5"/>
  <c r="I1027" i="5"/>
  <c r="H1027" i="5"/>
  <c r="G1027" i="5"/>
  <c r="F1027" i="5"/>
  <c r="E1027" i="5"/>
  <c r="I1026" i="5"/>
  <c r="H1026" i="5"/>
  <c r="G1026" i="5"/>
  <c r="F1026" i="5"/>
  <c r="E1026" i="5"/>
  <c r="I1025" i="5"/>
  <c r="H1025" i="5"/>
  <c r="G1025" i="5"/>
  <c r="F1025" i="5"/>
  <c r="E1025" i="5"/>
  <c r="I1024" i="5"/>
  <c r="H1024" i="5"/>
  <c r="G1024" i="5"/>
  <c r="F1024" i="5"/>
  <c r="E1024" i="5"/>
  <c r="I1023" i="5"/>
  <c r="H1023" i="5"/>
  <c r="G1023" i="5"/>
  <c r="F1023" i="5"/>
  <c r="E1023" i="5"/>
  <c r="I1022" i="5"/>
  <c r="H1022" i="5"/>
  <c r="G1022" i="5"/>
  <c r="F1022" i="5"/>
  <c r="E1022" i="5"/>
  <c r="I1021" i="5"/>
  <c r="H1021" i="5"/>
  <c r="G1021" i="5"/>
  <c r="F1021" i="5"/>
  <c r="E1021" i="5"/>
  <c r="I1020" i="5"/>
  <c r="H1020" i="5"/>
  <c r="G1020" i="5"/>
  <c r="F1020" i="5"/>
  <c r="E1020" i="5"/>
  <c r="I1019" i="5"/>
  <c r="H1019" i="5"/>
  <c r="G1019" i="5"/>
  <c r="F1019" i="5"/>
  <c r="E1019" i="5"/>
  <c r="I1018" i="5"/>
  <c r="H1018" i="5"/>
  <c r="G1018" i="5"/>
  <c r="F1018" i="5"/>
  <c r="E1018" i="5"/>
  <c r="I1017" i="5"/>
  <c r="H1017" i="5"/>
  <c r="G1017" i="5"/>
  <c r="F1017" i="5"/>
  <c r="E1017" i="5"/>
  <c r="I1016" i="5"/>
  <c r="H1016" i="5"/>
  <c r="G1016" i="5"/>
  <c r="F1016" i="5"/>
  <c r="E1016" i="5"/>
  <c r="I1015" i="5"/>
  <c r="H1015" i="5"/>
  <c r="G1015" i="5"/>
  <c r="F1015" i="5"/>
  <c r="E1015" i="5"/>
  <c r="I1014" i="5"/>
  <c r="H1014" i="5"/>
  <c r="G1014" i="5"/>
  <c r="F1014" i="5"/>
  <c r="E1014" i="5"/>
  <c r="I1013" i="5"/>
  <c r="H1013" i="5"/>
  <c r="G1013" i="5"/>
  <c r="F1013" i="5"/>
  <c r="E1013" i="5"/>
  <c r="I1012" i="5"/>
  <c r="H1012" i="5"/>
  <c r="G1012" i="5"/>
  <c r="F1012" i="5"/>
  <c r="E1012" i="5"/>
  <c r="I1011" i="5"/>
  <c r="H1011" i="5"/>
  <c r="G1011" i="5"/>
  <c r="F1011" i="5"/>
  <c r="E1011" i="5"/>
  <c r="I1010" i="5"/>
  <c r="H1010" i="5"/>
  <c r="G1010" i="5"/>
  <c r="F1010" i="5"/>
  <c r="E1010" i="5"/>
  <c r="I1009" i="5"/>
  <c r="H1009" i="5"/>
  <c r="G1009" i="5"/>
  <c r="F1009" i="5"/>
  <c r="E1009" i="5"/>
  <c r="I1008" i="5"/>
  <c r="H1008" i="5"/>
  <c r="G1008" i="5"/>
  <c r="F1008" i="5"/>
  <c r="E1008" i="5"/>
  <c r="I1007" i="5"/>
  <c r="H1007" i="5"/>
  <c r="G1007" i="5"/>
  <c r="F1007" i="5"/>
  <c r="E1007" i="5"/>
  <c r="I1006" i="5"/>
  <c r="H1006" i="5"/>
  <c r="G1006" i="5"/>
  <c r="F1006" i="5"/>
  <c r="E1006" i="5"/>
  <c r="I1005" i="5"/>
  <c r="H1005" i="5"/>
  <c r="G1005" i="5"/>
  <c r="F1005" i="5"/>
  <c r="E1005" i="5"/>
  <c r="I1004" i="5"/>
  <c r="H1004" i="5"/>
  <c r="G1004" i="5"/>
  <c r="F1004" i="5"/>
  <c r="E1004" i="5"/>
  <c r="I1003" i="5"/>
  <c r="H1003" i="5"/>
  <c r="G1003" i="5"/>
  <c r="F1003" i="5"/>
  <c r="E1003" i="5"/>
  <c r="I1002" i="5"/>
  <c r="H1002" i="5"/>
  <c r="G1002" i="5"/>
  <c r="F1002" i="5"/>
  <c r="E1002" i="5"/>
  <c r="I1001" i="5"/>
  <c r="H1001" i="5"/>
  <c r="G1001" i="5"/>
  <c r="F1001" i="5"/>
  <c r="E1001" i="5"/>
  <c r="I1000" i="5"/>
  <c r="H1000" i="5"/>
  <c r="G1000" i="5"/>
  <c r="F1000" i="5"/>
  <c r="E1000" i="5"/>
  <c r="I999" i="5"/>
  <c r="H999" i="5"/>
  <c r="G999" i="5"/>
  <c r="F999" i="5"/>
  <c r="E999" i="5"/>
  <c r="I998" i="5"/>
  <c r="H998" i="5"/>
  <c r="G998" i="5"/>
  <c r="F998" i="5"/>
  <c r="E998" i="5"/>
  <c r="I997" i="5"/>
  <c r="H997" i="5"/>
  <c r="G997" i="5"/>
  <c r="F997" i="5"/>
  <c r="E997" i="5"/>
  <c r="I996" i="5"/>
  <c r="H996" i="5"/>
  <c r="G996" i="5"/>
  <c r="F996" i="5"/>
  <c r="E996" i="5"/>
  <c r="I995" i="5"/>
  <c r="H995" i="5"/>
  <c r="G995" i="5"/>
  <c r="F995" i="5"/>
  <c r="E995" i="5"/>
  <c r="I994" i="5"/>
  <c r="H994" i="5"/>
  <c r="G994" i="5"/>
  <c r="F994" i="5"/>
  <c r="E994" i="5"/>
  <c r="I993" i="5"/>
  <c r="H993" i="5"/>
  <c r="G993" i="5"/>
  <c r="F993" i="5"/>
  <c r="E993" i="5"/>
  <c r="I992" i="5"/>
  <c r="H992" i="5"/>
  <c r="G992" i="5"/>
  <c r="F992" i="5"/>
  <c r="E992" i="5"/>
  <c r="I991" i="5"/>
  <c r="H991" i="5"/>
  <c r="G991" i="5"/>
  <c r="F991" i="5"/>
  <c r="E991" i="5"/>
  <c r="I990" i="5"/>
  <c r="H990" i="5"/>
  <c r="G990" i="5"/>
  <c r="F990" i="5"/>
  <c r="E990" i="5"/>
  <c r="I989" i="5"/>
  <c r="H989" i="5"/>
  <c r="G989" i="5"/>
  <c r="F989" i="5"/>
  <c r="E989" i="5"/>
  <c r="I988" i="5"/>
  <c r="H988" i="5"/>
  <c r="G988" i="5"/>
  <c r="F988" i="5"/>
  <c r="E988" i="5"/>
  <c r="I987" i="5"/>
  <c r="H987" i="5"/>
  <c r="G987" i="5"/>
  <c r="F987" i="5"/>
  <c r="E987" i="5"/>
  <c r="I986" i="5"/>
  <c r="H986" i="5"/>
  <c r="G986" i="5"/>
  <c r="F986" i="5"/>
  <c r="E986" i="5"/>
  <c r="I985" i="5"/>
  <c r="H985" i="5"/>
  <c r="G985" i="5"/>
  <c r="F985" i="5"/>
  <c r="E985" i="5"/>
  <c r="I984" i="5"/>
  <c r="H984" i="5"/>
  <c r="G984" i="5"/>
  <c r="F984" i="5"/>
  <c r="E984" i="5"/>
  <c r="I983" i="5"/>
  <c r="H983" i="5"/>
  <c r="G983" i="5"/>
  <c r="F983" i="5"/>
  <c r="E983" i="5"/>
  <c r="I982" i="5"/>
  <c r="H982" i="5"/>
  <c r="G982" i="5"/>
  <c r="F982" i="5"/>
  <c r="E982" i="5"/>
  <c r="I981" i="5"/>
  <c r="H981" i="5"/>
  <c r="G981" i="5"/>
  <c r="F981" i="5"/>
  <c r="E981" i="5"/>
  <c r="I980" i="5"/>
  <c r="H980" i="5"/>
  <c r="G980" i="5"/>
  <c r="F980" i="5"/>
  <c r="E980" i="5"/>
  <c r="I979" i="5"/>
  <c r="H979" i="5"/>
  <c r="G979" i="5"/>
  <c r="F979" i="5"/>
  <c r="E979" i="5"/>
  <c r="I978" i="5"/>
  <c r="H978" i="5"/>
  <c r="G978" i="5"/>
  <c r="F978" i="5"/>
  <c r="E978" i="5"/>
  <c r="I977" i="5"/>
  <c r="H977" i="5"/>
  <c r="G977" i="5"/>
  <c r="F977" i="5"/>
  <c r="E977" i="5"/>
  <c r="I976" i="5"/>
  <c r="H976" i="5"/>
  <c r="G976" i="5"/>
  <c r="F976" i="5"/>
  <c r="E976" i="5"/>
  <c r="I975" i="5"/>
  <c r="H975" i="5"/>
  <c r="G975" i="5"/>
  <c r="F975" i="5"/>
  <c r="E975" i="5"/>
  <c r="I974" i="5"/>
  <c r="H974" i="5"/>
  <c r="G974" i="5"/>
  <c r="F974" i="5"/>
  <c r="E974" i="5"/>
  <c r="I973" i="5"/>
  <c r="H973" i="5"/>
  <c r="G973" i="5"/>
  <c r="F973" i="5"/>
  <c r="E973" i="5"/>
  <c r="I972" i="5"/>
  <c r="H972" i="5"/>
  <c r="G972" i="5"/>
  <c r="F972" i="5"/>
  <c r="E972" i="5"/>
  <c r="I971" i="5"/>
  <c r="H971" i="5"/>
  <c r="G971" i="5"/>
  <c r="F971" i="5"/>
  <c r="E971" i="5"/>
  <c r="I970" i="5"/>
  <c r="H970" i="5"/>
  <c r="G970" i="5"/>
  <c r="F970" i="5"/>
  <c r="E970" i="5"/>
  <c r="I969" i="5"/>
  <c r="H969" i="5"/>
  <c r="G969" i="5"/>
  <c r="F969" i="5"/>
  <c r="E969" i="5"/>
  <c r="I968" i="5"/>
  <c r="H968" i="5"/>
  <c r="G968" i="5"/>
  <c r="F968" i="5"/>
  <c r="E968" i="5"/>
  <c r="I967" i="5"/>
  <c r="H967" i="5"/>
  <c r="G967" i="5"/>
  <c r="F967" i="5"/>
  <c r="E967" i="5"/>
  <c r="I966" i="5"/>
  <c r="H966" i="5"/>
  <c r="G966" i="5"/>
  <c r="F966" i="5"/>
  <c r="E966" i="5"/>
  <c r="I397" i="5"/>
  <c r="H397" i="5"/>
  <c r="G397" i="5"/>
  <c r="F397" i="5"/>
  <c r="E397" i="5"/>
  <c r="I396" i="5"/>
  <c r="H396" i="5"/>
  <c r="G396" i="5"/>
  <c r="F396" i="5"/>
  <c r="E396" i="5"/>
  <c r="I395" i="5"/>
  <c r="H395" i="5"/>
  <c r="G395" i="5"/>
  <c r="F395" i="5"/>
  <c r="E395" i="5"/>
  <c r="I394" i="5"/>
  <c r="H394" i="5"/>
  <c r="G394" i="5"/>
  <c r="F394" i="5"/>
  <c r="E394" i="5"/>
  <c r="I393" i="5"/>
  <c r="H393" i="5"/>
  <c r="G393" i="5"/>
  <c r="F393" i="5"/>
  <c r="E393" i="5"/>
  <c r="I392" i="5"/>
  <c r="H392" i="5"/>
  <c r="G392" i="5"/>
  <c r="F392" i="5"/>
  <c r="E392" i="5"/>
  <c r="I391" i="5"/>
  <c r="H391" i="5"/>
  <c r="G391" i="5"/>
  <c r="F391" i="5"/>
  <c r="E391" i="5"/>
  <c r="I390" i="5"/>
  <c r="H390" i="5"/>
  <c r="G390" i="5"/>
  <c r="F390" i="5"/>
  <c r="E390" i="5"/>
  <c r="I389" i="5"/>
  <c r="H389" i="5"/>
  <c r="G389" i="5"/>
  <c r="F389" i="5"/>
  <c r="E389" i="5"/>
  <c r="I388" i="5"/>
  <c r="H388" i="5"/>
  <c r="G388" i="5"/>
  <c r="F388" i="5"/>
  <c r="E388" i="5"/>
  <c r="I387" i="5"/>
  <c r="H387" i="5"/>
  <c r="G387" i="5"/>
  <c r="F387" i="5"/>
  <c r="E387" i="5"/>
  <c r="I386" i="5"/>
  <c r="H386" i="5"/>
  <c r="G386" i="5"/>
  <c r="F386" i="5"/>
  <c r="E386" i="5"/>
  <c r="I385" i="5"/>
  <c r="H385" i="5"/>
  <c r="G385" i="5"/>
  <c r="F385" i="5"/>
  <c r="E385" i="5"/>
  <c r="I384" i="5"/>
  <c r="H384" i="5"/>
  <c r="G384" i="5"/>
  <c r="F384" i="5"/>
  <c r="E384" i="5"/>
  <c r="I383" i="5"/>
  <c r="H383" i="5"/>
  <c r="G383" i="5"/>
  <c r="F383" i="5"/>
  <c r="E383" i="5"/>
  <c r="I382" i="5"/>
  <c r="H382" i="5"/>
  <c r="G382" i="5"/>
  <c r="F382" i="5"/>
  <c r="E382" i="5"/>
  <c r="I381" i="5"/>
  <c r="H381" i="5"/>
  <c r="G381" i="5"/>
  <c r="F381" i="5"/>
  <c r="E381" i="5"/>
  <c r="I380" i="5"/>
  <c r="H380" i="5"/>
  <c r="G380" i="5"/>
  <c r="F380" i="5"/>
  <c r="E380" i="5"/>
  <c r="I379" i="5"/>
  <c r="H379" i="5"/>
  <c r="G379" i="5"/>
  <c r="F379" i="5"/>
  <c r="E379" i="5"/>
  <c r="I378" i="5"/>
  <c r="H378" i="5"/>
  <c r="G378" i="5"/>
  <c r="F378" i="5"/>
  <c r="E378" i="5"/>
  <c r="I377" i="5"/>
  <c r="H377" i="5"/>
  <c r="G377" i="5"/>
  <c r="F377" i="5"/>
  <c r="E377" i="5"/>
  <c r="I376" i="5"/>
  <c r="H376" i="5"/>
  <c r="G376" i="5"/>
  <c r="F376" i="5"/>
  <c r="E376" i="5"/>
  <c r="I375" i="5"/>
  <c r="H375" i="5"/>
  <c r="G375" i="5"/>
  <c r="F375" i="5"/>
  <c r="E375" i="5"/>
  <c r="I374" i="5"/>
  <c r="H374" i="5"/>
  <c r="G374" i="5"/>
  <c r="F374" i="5"/>
  <c r="E374" i="5"/>
  <c r="I373" i="5"/>
  <c r="H373" i="5"/>
  <c r="G373" i="5"/>
  <c r="F373" i="5"/>
  <c r="E373" i="5"/>
  <c r="I372" i="5"/>
  <c r="H372" i="5"/>
  <c r="G372" i="5"/>
  <c r="F372" i="5"/>
  <c r="E372" i="5"/>
  <c r="I371" i="5"/>
  <c r="H371" i="5"/>
  <c r="G371" i="5"/>
  <c r="F371" i="5"/>
  <c r="E371" i="5"/>
  <c r="I370" i="5"/>
  <c r="H370" i="5"/>
  <c r="G370" i="5"/>
  <c r="F370" i="5"/>
  <c r="E370" i="5"/>
  <c r="I369" i="5"/>
  <c r="H369" i="5"/>
  <c r="G369" i="5"/>
  <c r="F369" i="5"/>
  <c r="E369" i="5"/>
  <c r="I368" i="5"/>
  <c r="H368" i="5"/>
  <c r="G368" i="5"/>
  <c r="F368" i="5"/>
  <c r="E368" i="5"/>
  <c r="I367" i="5"/>
  <c r="H367" i="5"/>
  <c r="G367" i="5"/>
  <c r="F367" i="5"/>
  <c r="E367" i="5"/>
  <c r="I366" i="5"/>
  <c r="H366" i="5"/>
  <c r="G366" i="5"/>
  <c r="F366" i="5"/>
  <c r="E366" i="5"/>
  <c r="I365" i="5"/>
  <c r="H365" i="5"/>
  <c r="G365" i="5"/>
  <c r="F365" i="5"/>
  <c r="E365" i="5"/>
  <c r="I364" i="5"/>
  <c r="H364" i="5"/>
  <c r="G364" i="5"/>
  <c r="F364" i="5"/>
  <c r="E364" i="5"/>
  <c r="I363" i="5"/>
  <c r="H363" i="5"/>
  <c r="G363" i="5"/>
  <c r="F363" i="5"/>
  <c r="E363" i="5"/>
  <c r="I362" i="5"/>
  <c r="H362" i="5"/>
  <c r="G362" i="5"/>
  <c r="F362" i="5"/>
  <c r="E362" i="5"/>
  <c r="I361" i="5"/>
  <c r="H361" i="5"/>
  <c r="G361" i="5"/>
  <c r="F361" i="5"/>
  <c r="E361" i="5"/>
  <c r="I360" i="5"/>
  <c r="H360" i="5"/>
  <c r="G360" i="5"/>
  <c r="F360" i="5"/>
  <c r="E360" i="5"/>
  <c r="I359" i="5"/>
  <c r="H359" i="5"/>
  <c r="G359" i="5"/>
  <c r="F359" i="5"/>
  <c r="E359" i="5"/>
  <c r="I358" i="5"/>
  <c r="H358" i="5"/>
  <c r="G358" i="5"/>
  <c r="F358" i="5"/>
  <c r="E358" i="5"/>
  <c r="I357" i="5"/>
  <c r="H357" i="5"/>
  <c r="G357" i="5"/>
  <c r="F357" i="5"/>
  <c r="E357" i="5"/>
  <c r="I356" i="5"/>
  <c r="H356" i="5"/>
  <c r="G356" i="5"/>
  <c r="F356" i="5"/>
  <c r="E356" i="5"/>
  <c r="I355" i="5"/>
  <c r="H355" i="5"/>
  <c r="G355" i="5"/>
  <c r="F355" i="5"/>
  <c r="E355" i="5"/>
  <c r="I354" i="5"/>
  <c r="H354" i="5"/>
  <c r="G354" i="5"/>
  <c r="F354" i="5"/>
  <c r="E354" i="5"/>
  <c r="I353" i="5"/>
  <c r="H353" i="5"/>
  <c r="G353" i="5"/>
  <c r="F353" i="5"/>
  <c r="E353" i="5"/>
  <c r="I352" i="5"/>
  <c r="H352" i="5"/>
  <c r="G352" i="5"/>
  <c r="F352" i="5"/>
  <c r="E352" i="5"/>
  <c r="I351" i="5"/>
  <c r="H351" i="5"/>
  <c r="G351" i="5"/>
  <c r="F351" i="5"/>
  <c r="E351" i="5"/>
  <c r="I350" i="5"/>
  <c r="H350" i="5"/>
  <c r="G350" i="5"/>
  <c r="F350" i="5"/>
  <c r="E350" i="5"/>
  <c r="I349" i="5"/>
  <c r="H349" i="5"/>
  <c r="G349" i="5"/>
  <c r="F349" i="5"/>
  <c r="E349" i="5"/>
  <c r="I348" i="5"/>
  <c r="H348" i="5"/>
  <c r="G348" i="5"/>
  <c r="F348" i="5"/>
  <c r="E348" i="5"/>
  <c r="I347" i="5"/>
  <c r="H347" i="5"/>
  <c r="G347" i="5"/>
  <c r="F347" i="5"/>
  <c r="E347" i="5"/>
  <c r="I346" i="5"/>
  <c r="H346" i="5"/>
  <c r="G346" i="5"/>
  <c r="F346" i="5"/>
  <c r="E346" i="5"/>
  <c r="I345" i="5"/>
  <c r="H345" i="5"/>
  <c r="G345" i="5"/>
  <c r="F345" i="5"/>
  <c r="E345" i="5"/>
  <c r="I344" i="5"/>
  <c r="H344" i="5"/>
  <c r="G344" i="5"/>
  <c r="F344" i="5"/>
  <c r="E344" i="5"/>
  <c r="I343" i="5"/>
  <c r="H343" i="5"/>
  <c r="G343" i="5"/>
  <c r="F343" i="5"/>
  <c r="E343" i="5"/>
  <c r="I342" i="5"/>
  <c r="H342" i="5"/>
  <c r="G342" i="5"/>
  <c r="F342" i="5"/>
  <c r="E342" i="5"/>
  <c r="I341" i="5"/>
  <c r="H341" i="5"/>
  <c r="G341" i="5"/>
  <c r="F341" i="5"/>
  <c r="E341" i="5"/>
  <c r="I340" i="5"/>
  <c r="H340" i="5"/>
  <c r="G340" i="5"/>
  <c r="F340" i="5"/>
  <c r="E340" i="5"/>
  <c r="I339" i="5"/>
  <c r="H339" i="5"/>
  <c r="G339" i="5"/>
  <c r="F339" i="5"/>
  <c r="E339" i="5"/>
  <c r="I338" i="5"/>
  <c r="H338" i="5"/>
  <c r="G338" i="5"/>
  <c r="F338" i="5"/>
  <c r="E338" i="5"/>
  <c r="I337" i="5"/>
  <c r="H337" i="5"/>
  <c r="G337" i="5"/>
  <c r="F337" i="5"/>
  <c r="E337" i="5"/>
  <c r="I336" i="5"/>
  <c r="H336" i="5"/>
  <c r="G336" i="5"/>
  <c r="F336" i="5"/>
  <c r="E336" i="5"/>
  <c r="I335" i="5"/>
  <c r="H335" i="5"/>
  <c r="G335" i="5"/>
  <c r="F335" i="5"/>
  <c r="E335" i="5"/>
  <c r="I334" i="5"/>
  <c r="H334" i="5"/>
  <c r="G334" i="5"/>
  <c r="F334" i="5"/>
  <c r="E334" i="5"/>
  <c r="I333" i="5"/>
  <c r="H333" i="5"/>
  <c r="G333" i="5"/>
  <c r="F333" i="5"/>
  <c r="E333" i="5"/>
  <c r="I332" i="5"/>
  <c r="H332" i="5"/>
  <c r="G332" i="5"/>
  <c r="F332" i="5"/>
  <c r="E332" i="5"/>
  <c r="I331" i="5"/>
  <c r="H331" i="5"/>
  <c r="G331" i="5"/>
  <c r="F331" i="5"/>
  <c r="E331" i="5"/>
  <c r="I330" i="5"/>
  <c r="H330" i="5"/>
  <c r="G330" i="5"/>
  <c r="F330" i="5"/>
  <c r="E330" i="5"/>
  <c r="I329" i="5"/>
  <c r="H329" i="5"/>
  <c r="G329" i="5"/>
  <c r="F329" i="5"/>
  <c r="E329" i="5"/>
  <c r="I328" i="5"/>
  <c r="H328" i="5"/>
  <c r="G328" i="5"/>
  <c r="F328" i="5"/>
  <c r="E328" i="5"/>
  <c r="I327" i="5"/>
  <c r="H327" i="5"/>
  <c r="G327" i="5"/>
  <c r="F327" i="5"/>
  <c r="E327" i="5"/>
  <c r="I326" i="5"/>
  <c r="H326" i="5"/>
  <c r="G326" i="5"/>
  <c r="F326" i="5"/>
  <c r="E326" i="5"/>
  <c r="I325" i="5"/>
  <c r="H325" i="5"/>
  <c r="G325" i="5"/>
  <c r="F325" i="5"/>
  <c r="E325" i="5"/>
  <c r="I324" i="5"/>
  <c r="H324" i="5"/>
  <c r="G324" i="5"/>
  <c r="F324" i="5"/>
  <c r="E324" i="5"/>
  <c r="I323" i="5"/>
  <c r="H323" i="5"/>
  <c r="G323" i="5"/>
  <c r="F323" i="5"/>
  <c r="E323" i="5"/>
  <c r="I322" i="5"/>
  <c r="H322" i="5"/>
  <c r="G322" i="5"/>
  <c r="F322" i="5"/>
  <c r="E322" i="5"/>
  <c r="I321" i="5"/>
  <c r="H321" i="5"/>
  <c r="G321" i="5"/>
  <c r="F321" i="5"/>
  <c r="E321" i="5"/>
  <c r="I320" i="5"/>
  <c r="H320" i="5"/>
  <c r="G320" i="5"/>
  <c r="F320" i="5"/>
  <c r="E320" i="5"/>
  <c r="I319" i="5"/>
  <c r="H319" i="5"/>
  <c r="G319" i="5"/>
  <c r="F319" i="5"/>
  <c r="E319" i="5"/>
  <c r="I318" i="5"/>
  <c r="H318" i="5"/>
  <c r="G318" i="5"/>
  <c r="F318" i="5"/>
  <c r="E318" i="5"/>
  <c r="I317" i="5"/>
  <c r="H317" i="5"/>
  <c r="G317" i="5"/>
  <c r="F317" i="5"/>
  <c r="E317" i="5"/>
  <c r="I316" i="5"/>
  <c r="H316" i="5"/>
  <c r="G316" i="5"/>
  <c r="F316" i="5"/>
  <c r="E316" i="5"/>
  <c r="I315" i="5"/>
  <c r="H315" i="5"/>
  <c r="G315" i="5"/>
  <c r="F315" i="5"/>
  <c r="E315" i="5"/>
  <c r="I314" i="5"/>
  <c r="H314" i="5"/>
  <c r="G314" i="5"/>
  <c r="F314" i="5"/>
  <c r="E314" i="5"/>
  <c r="I313" i="5"/>
  <c r="H313" i="5"/>
  <c r="G313" i="5"/>
  <c r="F313" i="5"/>
  <c r="E313" i="5"/>
  <c r="I312" i="5"/>
  <c r="H312" i="5"/>
  <c r="G312" i="5"/>
  <c r="F312" i="5"/>
  <c r="E312" i="5"/>
  <c r="I311" i="5"/>
  <c r="H311" i="5"/>
  <c r="G311" i="5"/>
  <c r="F311" i="5"/>
  <c r="E311" i="5"/>
  <c r="I310" i="5"/>
  <c r="H310" i="5"/>
  <c r="G310" i="5"/>
  <c r="F310" i="5"/>
  <c r="E310" i="5"/>
  <c r="I309" i="5"/>
  <c r="H309" i="5"/>
  <c r="G309" i="5"/>
  <c r="F309" i="5"/>
  <c r="E309" i="5"/>
  <c r="I308" i="5"/>
  <c r="H308" i="5"/>
  <c r="G308" i="5"/>
  <c r="F308" i="5"/>
  <c r="E308" i="5"/>
  <c r="I307" i="5"/>
  <c r="H307" i="5"/>
  <c r="G307" i="5"/>
  <c r="F307" i="5"/>
  <c r="E307" i="5"/>
  <c r="I306" i="5"/>
  <c r="H306" i="5"/>
  <c r="G306" i="5"/>
  <c r="F306" i="5"/>
  <c r="E306" i="5"/>
  <c r="I305" i="5"/>
  <c r="H305" i="5"/>
  <c r="G305" i="5"/>
  <c r="F305" i="5"/>
  <c r="E305" i="5"/>
  <c r="I304" i="5"/>
  <c r="H304" i="5"/>
  <c r="G304" i="5"/>
  <c r="F304" i="5"/>
  <c r="E304" i="5"/>
  <c r="I303" i="5"/>
  <c r="H303" i="5"/>
  <c r="G303" i="5"/>
  <c r="F303" i="5"/>
  <c r="E303" i="5"/>
  <c r="I302" i="5"/>
  <c r="H302" i="5"/>
  <c r="G302" i="5"/>
  <c r="F302" i="5"/>
  <c r="E302" i="5"/>
  <c r="I301" i="5"/>
  <c r="H301" i="5"/>
  <c r="G301" i="5"/>
  <c r="F301" i="5"/>
  <c r="E301" i="5"/>
  <c r="I300" i="5"/>
  <c r="H300" i="5"/>
  <c r="G300" i="5"/>
  <c r="F300" i="5"/>
  <c r="E300" i="5"/>
  <c r="I299" i="5"/>
  <c r="H299" i="5"/>
  <c r="G299" i="5"/>
  <c r="F299" i="5"/>
  <c r="E299" i="5"/>
  <c r="I298" i="5"/>
  <c r="H298" i="5"/>
  <c r="G298" i="5"/>
  <c r="F298" i="5"/>
  <c r="E298" i="5"/>
  <c r="I297" i="5"/>
  <c r="H297" i="5"/>
  <c r="G297" i="5"/>
  <c r="F297" i="5"/>
  <c r="E297" i="5"/>
  <c r="I296" i="5"/>
  <c r="H296" i="5"/>
  <c r="G296" i="5"/>
  <c r="F296" i="5"/>
  <c r="E296" i="5"/>
  <c r="I295" i="5"/>
  <c r="H295" i="5"/>
  <c r="G295" i="5"/>
  <c r="F295" i="5"/>
  <c r="E295" i="5"/>
  <c r="I294" i="5"/>
  <c r="H294" i="5"/>
  <c r="G294" i="5"/>
  <c r="F294" i="5"/>
  <c r="E294" i="5"/>
  <c r="I293" i="5"/>
  <c r="H293" i="5"/>
  <c r="G293" i="5"/>
  <c r="F293" i="5"/>
  <c r="E293" i="5"/>
  <c r="I292" i="5"/>
  <c r="H292" i="5"/>
  <c r="G292" i="5"/>
  <c r="F292" i="5"/>
  <c r="E292" i="5"/>
  <c r="I291" i="5"/>
  <c r="H291" i="5"/>
  <c r="G291" i="5"/>
  <c r="F291" i="5"/>
  <c r="E291" i="5"/>
  <c r="I290" i="5"/>
  <c r="H290" i="5"/>
  <c r="G290" i="5"/>
  <c r="F290" i="5"/>
  <c r="E290" i="5"/>
  <c r="I289" i="5"/>
  <c r="H289" i="5"/>
  <c r="G289" i="5"/>
  <c r="F289" i="5"/>
  <c r="E289" i="5"/>
  <c r="I288" i="5"/>
  <c r="H288" i="5"/>
  <c r="G288" i="5"/>
  <c r="F288" i="5"/>
  <c r="E288" i="5"/>
  <c r="I287" i="5"/>
  <c r="H287" i="5"/>
  <c r="G287" i="5"/>
  <c r="F287" i="5"/>
  <c r="E287" i="5"/>
  <c r="I286" i="5"/>
  <c r="H286" i="5"/>
  <c r="G286" i="5"/>
  <c r="F286" i="5"/>
  <c r="E286" i="5"/>
  <c r="I285" i="5"/>
  <c r="H285" i="5"/>
  <c r="G285" i="5"/>
  <c r="F285" i="5"/>
  <c r="E285" i="5"/>
  <c r="I284" i="5"/>
  <c r="H284" i="5"/>
  <c r="G284" i="5"/>
  <c r="F284" i="5"/>
  <c r="E284" i="5"/>
  <c r="I283" i="5"/>
  <c r="H283" i="5"/>
  <c r="G283" i="5"/>
  <c r="F283" i="5"/>
  <c r="E283" i="5"/>
  <c r="I282" i="5"/>
  <c r="H282" i="5"/>
  <c r="G282" i="5"/>
  <c r="F282" i="5"/>
  <c r="E282" i="5"/>
  <c r="I281" i="5"/>
  <c r="H281" i="5"/>
  <c r="G281" i="5"/>
  <c r="F281" i="5"/>
  <c r="E281" i="5"/>
  <c r="I280" i="5"/>
  <c r="H280" i="5"/>
  <c r="G280" i="5"/>
  <c r="F280" i="5"/>
  <c r="E280" i="5"/>
  <c r="I279" i="5"/>
  <c r="H279" i="5"/>
  <c r="G279" i="5"/>
  <c r="F279" i="5"/>
  <c r="E279" i="5"/>
  <c r="I278" i="5"/>
  <c r="H278" i="5"/>
  <c r="G278" i="5"/>
  <c r="F278" i="5"/>
  <c r="E278" i="5"/>
  <c r="I277" i="5"/>
  <c r="H277" i="5"/>
  <c r="G277" i="5"/>
  <c r="F277" i="5"/>
  <c r="E277" i="5"/>
  <c r="I276" i="5"/>
  <c r="H276" i="5"/>
  <c r="G276" i="5"/>
  <c r="F276" i="5"/>
  <c r="E276" i="5"/>
  <c r="I275" i="5"/>
  <c r="H275" i="5"/>
  <c r="G275" i="5"/>
  <c r="F275" i="5"/>
  <c r="E275" i="5"/>
  <c r="I274" i="5"/>
  <c r="H274" i="5"/>
  <c r="G274" i="5"/>
  <c r="F274" i="5"/>
  <c r="E274" i="5"/>
  <c r="I273" i="5"/>
  <c r="H273" i="5"/>
  <c r="G273" i="5"/>
  <c r="F273" i="5"/>
  <c r="E273" i="5"/>
  <c r="I272" i="5"/>
  <c r="H272" i="5"/>
  <c r="G272" i="5"/>
  <c r="F272" i="5"/>
  <c r="E272" i="5"/>
  <c r="I271" i="5"/>
  <c r="H271" i="5"/>
  <c r="G271" i="5"/>
  <c r="F271" i="5"/>
  <c r="E271" i="5"/>
  <c r="I270" i="5"/>
  <c r="H270" i="5"/>
  <c r="G270" i="5"/>
  <c r="F270" i="5"/>
  <c r="E270" i="5"/>
  <c r="I269" i="5"/>
  <c r="H269" i="5"/>
  <c r="G269" i="5"/>
  <c r="F269" i="5"/>
  <c r="E269" i="5"/>
  <c r="I268" i="5"/>
  <c r="H268" i="5"/>
  <c r="G268" i="5"/>
  <c r="F268" i="5"/>
  <c r="E268" i="5"/>
  <c r="I267" i="5"/>
  <c r="H267" i="5"/>
  <c r="G267" i="5"/>
  <c r="F267" i="5"/>
  <c r="E267" i="5"/>
  <c r="I266" i="5"/>
  <c r="H266" i="5"/>
  <c r="G266" i="5"/>
  <c r="F266" i="5"/>
  <c r="E266" i="5"/>
  <c r="I265" i="5"/>
  <c r="H265" i="5"/>
  <c r="G265" i="5"/>
  <c r="F265" i="5"/>
  <c r="E265" i="5"/>
  <c r="I264" i="5"/>
  <c r="H264" i="5"/>
  <c r="G264" i="5"/>
  <c r="F264" i="5"/>
  <c r="E264" i="5"/>
  <c r="I263" i="5"/>
  <c r="H263" i="5"/>
  <c r="G263" i="5"/>
  <c r="F263" i="5"/>
  <c r="E263" i="5"/>
  <c r="I262" i="5"/>
  <c r="H262" i="5"/>
  <c r="G262" i="5"/>
  <c r="F262" i="5"/>
  <c r="E262" i="5"/>
  <c r="I261" i="5"/>
  <c r="H261" i="5"/>
  <c r="G261" i="5"/>
  <c r="F261" i="5"/>
  <c r="E261" i="5"/>
  <c r="I260" i="5"/>
  <c r="H260" i="5"/>
  <c r="G260" i="5"/>
  <c r="F260" i="5"/>
  <c r="E260" i="5"/>
  <c r="I259" i="5"/>
  <c r="H259" i="5"/>
  <c r="G259" i="5"/>
  <c r="F259" i="5"/>
  <c r="E259" i="5"/>
  <c r="I258" i="5"/>
  <c r="H258" i="5"/>
  <c r="G258" i="5"/>
  <c r="F258" i="5"/>
  <c r="E258" i="5"/>
  <c r="I257" i="5"/>
  <c r="H257" i="5"/>
  <c r="G257" i="5"/>
  <c r="F257" i="5"/>
  <c r="E257" i="5"/>
  <c r="I256" i="5"/>
  <c r="H256" i="5"/>
  <c r="G256" i="5"/>
  <c r="F256" i="5"/>
  <c r="E256" i="5"/>
  <c r="I255" i="5"/>
  <c r="H255" i="5"/>
  <c r="G255" i="5"/>
  <c r="F255" i="5"/>
  <c r="E255" i="5"/>
  <c r="I254" i="5"/>
  <c r="H254" i="5"/>
  <c r="G254" i="5"/>
  <c r="F254" i="5"/>
  <c r="E254" i="5"/>
  <c r="I253" i="5"/>
  <c r="H253" i="5"/>
  <c r="G253" i="5"/>
  <c r="F253" i="5"/>
  <c r="E253" i="5"/>
  <c r="I252" i="5"/>
  <c r="H252" i="5"/>
  <c r="G252" i="5"/>
  <c r="F252" i="5"/>
  <c r="E252" i="5"/>
  <c r="I251" i="5"/>
  <c r="H251" i="5"/>
  <c r="G251" i="5"/>
  <c r="F251" i="5"/>
  <c r="E251" i="5"/>
  <c r="I250" i="5"/>
  <c r="H250" i="5"/>
  <c r="G250" i="5"/>
  <c r="F250" i="5"/>
  <c r="E250" i="5"/>
  <c r="I249" i="5"/>
  <c r="H249" i="5"/>
  <c r="G249" i="5"/>
  <c r="F249" i="5"/>
  <c r="E249" i="5"/>
  <c r="I248" i="5"/>
  <c r="H248" i="5"/>
  <c r="G248" i="5"/>
  <c r="F248" i="5"/>
  <c r="E248" i="5"/>
  <c r="I247" i="5"/>
  <c r="H247" i="5"/>
  <c r="G247" i="5"/>
  <c r="F247" i="5"/>
  <c r="E247" i="5"/>
  <c r="I246" i="5"/>
  <c r="H246" i="5"/>
  <c r="G246" i="5"/>
  <c r="F246" i="5"/>
  <c r="E246" i="5"/>
  <c r="I245" i="5"/>
  <c r="H245" i="5"/>
  <c r="G245" i="5"/>
  <c r="F245" i="5"/>
  <c r="E245" i="5"/>
  <c r="I244" i="5"/>
  <c r="H244" i="5"/>
  <c r="G244" i="5"/>
  <c r="F244" i="5"/>
  <c r="E244" i="5"/>
  <c r="I243" i="5"/>
  <c r="H243" i="5"/>
  <c r="G243" i="5"/>
  <c r="F243" i="5"/>
  <c r="E243" i="5"/>
  <c r="I242" i="5"/>
  <c r="H242" i="5"/>
  <c r="G242" i="5"/>
  <c r="F242" i="5"/>
  <c r="E242" i="5"/>
  <c r="I241" i="5"/>
  <c r="H241" i="5"/>
  <c r="G241" i="5"/>
  <c r="F241" i="5"/>
  <c r="E241" i="5"/>
  <c r="I240" i="5"/>
  <c r="H240" i="5"/>
  <c r="G240" i="5"/>
  <c r="F240" i="5"/>
  <c r="E240" i="5"/>
  <c r="I239" i="5"/>
  <c r="H239" i="5"/>
  <c r="G239" i="5"/>
  <c r="F239" i="5"/>
  <c r="E239" i="5"/>
  <c r="I238" i="5"/>
  <c r="H238" i="5"/>
  <c r="G238" i="5"/>
  <c r="F238" i="5"/>
  <c r="E238" i="5"/>
  <c r="I237" i="5"/>
  <c r="H237" i="5"/>
  <c r="G237" i="5"/>
  <c r="F237" i="5"/>
  <c r="E237" i="5"/>
  <c r="I236" i="5"/>
  <c r="H236" i="5"/>
  <c r="G236" i="5"/>
  <c r="F236" i="5"/>
  <c r="E236" i="5"/>
  <c r="I235" i="5"/>
  <c r="H235" i="5"/>
  <c r="G235" i="5"/>
  <c r="F235" i="5"/>
  <c r="E235" i="5"/>
  <c r="I234" i="5"/>
  <c r="H234" i="5"/>
  <c r="G234" i="5"/>
  <c r="F234" i="5"/>
  <c r="E234" i="5"/>
  <c r="I233" i="5"/>
  <c r="H233" i="5"/>
  <c r="G233" i="5"/>
  <c r="F233" i="5"/>
  <c r="E233" i="5"/>
  <c r="I232" i="5"/>
  <c r="H232" i="5"/>
  <c r="G232" i="5"/>
  <c r="F232" i="5"/>
  <c r="E232" i="5"/>
  <c r="I231" i="5"/>
  <c r="H231" i="5"/>
  <c r="G231" i="5"/>
  <c r="F231" i="5"/>
  <c r="E231" i="5"/>
  <c r="I230" i="5"/>
  <c r="H230" i="5"/>
  <c r="G230" i="5"/>
  <c r="F230" i="5"/>
  <c r="E230" i="5"/>
  <c r="I229" i="5"/>
  <c r="H229" i="5"/>
  <c r="G229" i="5"/>
  <c r="F229" i="5"/>
  <c r="E229" i="5"/>
  <c r="I228" i="5"/>
  <c r="H228" i="5"/>
  <c r="G228" i="5"/>
  <c r="F228" i="5"/>
  <c r="E228" i="5"/>
  <c r="I227" i="5"/>
  <c r="H227" i="5"/>
  <c r="G227" i="5"/>
  <c r="F227" i="5"/>
  <c r="E227" i="5"/>
  <c r="I226" i="5"/>
  <c r="H226" i="5"/>
  <c r="G226" i="5"/>
  <c r="F226" i="5"/>
  <c r="E226" i="5"/>
  <c r="I225" i="5"/>
  <c r="H225" i="5"/>
  <c r="G225" i="5"/>
  <c r="F225" i="5"/>
  <c r="E225" i="5"/>
  <c r="I224" i="5"/>
  <c r="H224" i="5"/>
  <c r="G224" i="5"/>
  <c r="F224" i="5"/>
  <c r="E224" i="5"/>
  <c r="I223" i="5"/>
  <c r="H223" i="5"/>
  <c r="G223" i="5"/>
  <c r="F223" i="5"/>
  <c r="E223" i="5"/>
  <c r="I222" i="5"/>
  <c r="H222" i="5"/>
  <c r="G222" i="5"/>
  <c r="F222" i="5"/>
  <c r="E222" i="5"/>
  <c r="I221" i="5"/>
  <c r="H221" i="5"/>
  <c r="G221" i="5"/>
  <c r="F221" i="5"/>
  <c r="E221" i="5"/>
  <c r="I220" i="5"/>
  <c r="H220" i="5"/>
  <c r="G220" i="5"/>
  <c r="F220" i="5"/>
  <c r="E220" i="5"/>
  <c r="I219" i="5"/>
  <c r="H219" i="5"/>
  <c r="G219" i="5"/>
  <c r="F219" i="5"/>
  <c r="E219" i="5"/>
  <c r="I218" i="5"/>
  <c r="H218" i="5"/>
  <c r="G218" i="5"/>
  <c r="F218" i="5"/>
  <c r="E218" i="5"/>
  <c r="I217" i="5"/>
  <c r="H217" i="5"/>
  <c r="G217" i="5"/>
  <c r="F217" i="5"/>
  <c r="E217" i="5"/>
  <c r="I216" i="5"/>
  <c r="H216" i="5"/>
  <c r="G216" i="5"/>
  <c r="F216" i="5"/>
  <c r="E216" i="5"/>
  <c r="I215" i="5"/>
  <c r="H215" i="5"/>
  <c r="G215" i="5"/>
  <c r="F215" i="5"/>
  <c r="E215" i="5"/>
  <c r="I214" i="5"/>
  <c r="H214" i="5"/>
  <c r="G214" i="5"/>
  <c r="F214" i="5"/>
  <c r="E214" i="5"/>
  <c r="I213" i="5"/>
  <c r="H213" i="5"/>
  <c r="G213" i="5"/>
  <c r="F213" i="5"/>
  <c r="E213" i="5"/>
  <c r="I212" i="5"/>
  <c r="H212" i="5"/>
  <c r="G212" i="5"/>
  <c r="F212" i="5"/>
  <c r="E212" i="5"/>
  <c r="I211" i="5"/>
  <c r="H211" i="5"/>
  <c r="G211" i="5"/>
  <c r="F211" i="5"/>
  <c r="E211" i="5"/>
  <c r="I210" i="5"/>
  <c r="H210" i="5"/>
  <c r="G210" i="5"/>
  <c r="F210" i="5"/>
  <c r="E210" i="5"/>
  <c r="I209" i="5"/>
  <c r="H209" i="5"/>
  <c r="G209" i="5"/>
  <c r="F209" i="5"/>
  <c r="E209" i="5"/>
  <c r="I208" i="5"/>
  <c r="H208" i="5"/>
  <c r="G208" i="5"/>
  <c r="F208" i="5"/>
  <c r="E208" i="5"/>
  <c r="I207" i="5"/>
  <c r="H207" i="5"/>
  <c r="G207" i="5"/>
  <c r="F207" i="5"/>
  <c r="E207" i="5"/>
  <c r="I206" i="5"/>
  <c r="H206" i="5"/>
  <c r="G206" i="5"/>
  <c r="F206" i="5"/>
  <c r="E206" i="5"/>
  <c r="I205" i="5"/>
  <c r="H205" i="5"/>
  <c r="G205" i="5"/>
  <c r="F205" i="5"/>
  <c r="E205" i="5"/>
  <c r="I204" i="5"/>
  <c r="H204" i="5"/>
  <c r="G204" i="5"/>
  <c r="F204" i="5"/>
  <c r="E204" i="5"/>
  <c r="I203" i="5"/>
  <c r="H203" i="5"/>
  <c r="G203" i="5"/>
  <c r="F203" i="5"/>
  <c r="E203" i="5"/>
  <c r="I202" i="5"/>
  <c r="H202" i="5"/>
  <c r="G202" i="5"/>
  <c r="F202" i="5"/>
  <c r="E202" i="5"/>
  <c r="I201" i="5"/>
  <c r="H201" i="5"/>
  <c r="G201" i="5"/>
  <c r="F201" i="5"/>
  <c r="E201" i="5"/>
  <c r="I200" i="5"/>
  <c r="H200" i="5"/>
  <c r="G200" i="5"/>
  <c r="F200" i="5"/>
  <c r="E200" i="5"/>
  <c r="I199" i="5"/>
  <c r="H199" i="5"/>
  <c r="G199" i="5"/>
  <c r="F199" i="5"/>
  <c r="E199" i="5"/>
  <c r="I198" i="5"/>
  <c r="H198" i="5"/>
  <c r="G198" i="5"/>
  <c r="F198" i="5"/>
  <c r="E198" i="5"/>
  <c r="I197" i="5"/>
  <c r="H197" i="5"/>
  <c r="G197" i="5"/>
  <c r="F197" i="5"/>
  <c r="E197" i="5"/>
  <c r="I196" i="5"/>
  <c r="H196" i="5"/>
  <c r="G196" i="5"/>
  <c r="F196" i="5"/>
  <c r="E196" i="5"/>
  <c r="I195" i="5"/>
  <c r="H195" i="5"/>
  <c r="G195" i="5"/>
  <c r="F195" i="5"/>
  <c r="E195" i="5"/>
  <c r="I194" i="5"/>
  <c r="H194" i="5"/>
  <c r="G194" i="5"/>
  <c r="F194" i="5"/>
  <c r="E194" i="5"/>
  <c r="I193" i="5"/>
  <c r="H193" i="5"/>
  <c r="G193" i="5"/>
  <c r="F193" i="5"/>
  <c r="E193" i="5"/>
  <c r="I192" i="5"/>
  <c r="H192" i="5"/>
  <c r="G192" i="5"/>
  <c r="F192" i="5"/>
  <c r="E192" i="5"/>
  <c r="I191" i="5"/>
  <c r="H191" i="5"/>
  <c r="G191" i="5"/>
  <c r="F191" i="5"/>
  <c r="E191" i="5"/>
  <c r="I190" i="5"/>
  <c r="H190" i="5"/>
  <c r="G190" i="5"/>
  <c r="F190" i="5"/>
  <c r="E190" i="5"/>
  <c r="I189" i="5"/>
  <c r="H189" i="5"/>
  <c r="G189" i="5"/>
  <c r="F189" i="5"/>
  <c r="E189" i="5"/>
  <c r="I188" i="5"/>
  <c r="H188" i="5"/>
  <c r="G188" i="5"/>
  <c r="F188" i="5"/>
  <c r="E188" i="5"/>
  <c r="I187" i="5"/>
  <c r="H187" i="5"/>
  <c r="G187" i="5"/>
  <c r="F187" i="5"/>
  <c r="E187" i="5"/>
  <c r="I186" i="5"/>
  <c r="H186" i="5"/>
  <c r="G186" i="5"/>
  <c r="F186" i="5"/>
  <c r="E186" i="5"/>
  <c r="I185" i="5"/>
  <c r="H185" i="5"/>
  <c r="G185" i="5"/>
  <c r="F185" i="5"/>
  <c r="E185" i="5"/>
  <c r="I184" i="5"/>
  <c r="H184" i="5"/>
  <c r="G184" i="5"/>
  <c r="F184" i="5"/>
  <c r="E184" i="5"/>
  <c r="I183" i="5"/>
  <c r="H183" i="5"/>
  <c r="G183" i="5"/>
  <c r="F183" i="5"/>
  <c r="E183" i="5"/>
  <c r="I182" i="5"/>
  <c r="H182" i="5"/>
  <c r="G182" i="5"/>
  <c r="F182" i="5"/>
  <c r="E182" i="5"/>
  <c r="I181" i="5"/>
  <c r="H181" i="5"/>
  <c r="G181" i="5"/>
  <c r="F181" i="5"/>
  <c r="E181" i="5"/>
  <c r="I180" i="5"/>
  <c r="H180" i="5"/>
  <c r="G180" i="5"/>
  <c r="F180" i="5"/>
  <c r="E180" i="5"/>
  <c r="I179" i="5"/>
  <c r="H179" i="5"/>
  <c r="G179" i="5"/>
  <c r="F179" i="5"/>
  <c r="E179" i="5"/>
  <c r="I178" i="5"/>
  <c r="H178" i="5"/>
  <c r="G178" i="5"/>
  <c r="F178" i="5"/>
  <c r="E178" i="5"/>
  <c r="I177" i="5"/>
  <c r="H177" i="5"/>
  <c r="G177" i="5"/>
  <c r="F177" i="5"/>
  <c r="E177" i="5"/>
  <c r="I176" i="5"/>
  <c r="H176" i="5"/>
  <c r="G176" i="5"/>
  <c r="F176" i="5"/>
  <c r="E176" i="5"/>
  <c r="I175" i="5"/>
  <c r="H175" i="5"/>
  <c r="G175" i="5"/>
  <c r="F175" i="5"/>
  <c r="E175" i="5"/>
  <c r="I174" i="5"/>
  <c r="H174" i="5"/>
  <c r="G174" i="5"/>
  <c r="F174" i="5"/>
  <c r="E174" i="5"/>
  <c r="I173" i="5"/>
  <c r="H173" i="5"/>
  <c r="G173" i="5"/>
  <c r="F173" i="5"/>
  <c r="E173" i="5"/>
  <c r="I172" i="5"/>
  <c r="H172" i="5"/>
  <c r="G172" i="5"/>
  <c r="F172" i="5"/>
  <c r="E172" i="5"/>
  <c r="I171" i="5"/>
  <c r="H171" i="5"/>
  <c r="G171" i="5"/>
  <c r="F171" i="5"/>
  <c r="E171" i="5"/>
  <c r="I170" i="5"/>
  <c r="H170" i="5"/>
  <c r="G170" i="5"/>
  <c r="F170" i="5"/>
  <c r="E170" i="5"/>
  <c r="I169" i="5"/>
  <c r="H169" i="5"/>
  <c r="G169" i="5"/>
  <c r="F169" i="5"/>
  <c r="E169" i="5"/>
  <c r="I168" i="5"/>
  <c r="H168" i="5"/>
  <c r="G168" i="5"/>
  <c r="F168" i="5"/>
  <c r="E168" i="5"/>
  <c r="I167" i="5"/>
  <c r="H167" i="5"/>
  <c r="G167" i="5"/>
  <c r="F167" i="5"/>
  <c r="E167" i="5"/>
  <c r="I166" i="5"/>
  <c r="H166" i="5"/>
  <c r="G166" i="5"/>
  <c r="F166" i="5"/>
  <c r="E166" i="5"/>
  <c r="I165" i="5"/>
  <c r="H165" i="5"/>
  <c r="G165" i="5"/>
  <c r="F165" i="5"/>
  <c r="E165" i="5"/>
  <c r="I164" i="5"/>
  <c r="H164" i="5"/>
  <c r="G164" i="5"/>
  <c r="F164" i="5"/>
  <c r="E164" i="5"/>
  <c r="I163" i="5"/>
  <c r="H163" i="5"/>
  <c r="G163" i="5"/>
  <c r="F163" i="5"/>
  <c r="E163" i="5"/>
  <c r="I162" i="5"/>
  <c r="H162" i="5"/>
  <c r="G162" i="5"/>
  <c r="F162" i="5"/>
  <c r="E162" i="5"/>
  <c r="I161" i="5"/>
  <c r="H161" i="5"/>
  <c r="G161" i="5"/>
  <c r="F161" i="5"/>
  <c r="E161" i="5"/>
  <c r="I160" i="5"/>
  <c r="H160" i="5"/>
  <c r="G160" i="5"/>
  <c r="F160" i="5"/>
  <c r="E160" i="5"/>
  <c r="I159" i="5"/>
  <c r="H159" i="5"/>
  <c r="G159" i="5"/>
  <c r="F159" i="5"/>
  <c r="E159" i="5"/>
  <c r="I158" i="5"/>
  <c r="H158" i="5"/>
  <c r="G158" i="5"/>
  <c r="F158" i="5"/>
  <c r="E158" i="5"/>
  <c r="I157" i="5"/>
  <c r="H157" i="5"/>
  <c r="G157" i="5"/>
  <c r="F157" i="5"/>
  <c r="E157" i="5"/>
  <c r="I156" i="5"/>
  <c r="H156" i="5"/>
  <c r="G156" i="5"/>
  <c r="F156" i="5"/>
  <c r="E156" i="5"/>
  <c r="I155" i="5"/>
  <c r="H155" i="5"/>
  <c r="G155" i="5"/>
  <c r="F155" i="5"/>
  <c r="E155" i="5"/>
  <c r="I154" i="5"/>
  <c r="H154" i="5"/>
  <c r="G154" i="5"/>
  <c r="F154" i="5"/>
  <c r="E154" i="5"/>
  <c r="I153" i="5"/>
  <c r="H153" i="5"/>
  <c r="G153" i="5"/>
  <c r="F153" i="5"/>
  <c r="E153" i="5"/>
  <c r="I152" i="5"/>
  <c r="H152" i="5"/>
  <c r="G152" i="5"/>
  <c r="F152" i="5"/>
  <c r="E152" i="5"/>
  <c r="I151" i="5"/>
  <c r="H151" i="5"/>
  <c r="G151" i="5"/>
  <c r="F151" i="5"/>
  <c r="E151" i="5"/>
  <c r="I150" i="5"/>
  <c r="H150" i="5"/>
  <c r="G150" i="5"/>
  <c r="F150" i="5"/>
  <c r="E150" i="5"/>
  <c r="I149" i="5"/>
  <c r="H149" i="5"/>
  <c r="G149" i="5"/>
  <c r="F149" i="5"/>
  <c r="E149" i="5"/>
  <c r="I148" i="5"/>
  <c r="H148" i="5"/>
  <c r="G148" i="5"/>
  <c r="F148" i="5"/>
  <c r="E148" i="5"/>
  <c r="I147" i="5"/>
  <c r="H147" i="5"/>
  <c r="G147" i="5"/>
  <c r="F147" i="5"/>
  <c r="E147" i="5"/>
  <c r="I146" i="5"/>
  <c r="H146" i="5"/>
  <c r="G146" i="5"/>
  <c r="F146" i="5"/>
  <c r="E146" i="5"/>
  <c r="I145" i="5"/>
  <c r="H145" i="5"/>
  <c r="G145" i="5"/>
  <c r="F145" i="5"/>
  <c r="E145" i="5"/>
  <c r="I144" i="5"/>
  <c r="H144" i="5"/>
  <c r="G144" i="5"/>
  <c r="F144" i="5"/>
  <c r="E144" i="5"/>
  <c r="I143" i="5"/>
  <c r="H143" i="5"/>
  <c r="G143" i="5"/>
  <c r="F143" i="5"/>
  <c r="E143" i="5"/>
  <c r="I142" i="5"/>
  <c r="H142" i="5"/>
  <c r="G142" i="5"/>
  <c r="F142" i="5"/>
  <c r="E142" i="5"/>
  <c r="I141" i="5"/>
  <c r="H141" i="5"/>
  <c r="G141" i="5"/>
  <c r="F141" i="5"/>
  <c r="E141" i="5"/>
  <c r="I140" i="5"/>
  <c r="H140" i="5"/>
  <c r="G140" i="5"/>
  <c r="F140" i="5"/>
  <c r="E140" i="5"/>
  <c r="I139" i="5"/>
  <c r="H139" i="5"/>
  <c r="G139" i="5"/>
  <c r="F139" i="5"/>
  <c r="E139" i="5"/>
  <c r="I138" i="5"/>
  <c r="H138" i="5"/>
  <c r="G138" i="5"/>
  <c r="F138" i="5"/>
  <c r="E138" i="5"/>
  <c r="I137" i="5"/>
  <c r="H137" i="5"/>
  <c r="G137" i="5"/>
  <c r="F137" i="5"/>
  <c r="E137" i="5"/>
  <c r="I136" i="5"/>
  <c r="H136" i="5"/>
  <c r="G136" i="5"/>
  <c r="F136" i="5"/>
  <c r="E136" i="5"/>
  <c r="I135" i="5"/>
  <c r="H135" i="5"/>
  <c r="G135" i="5"/>
  <c r="F135" i="5"/>
  <c r="E135" i="5"/>
  <c r="I134" i="5"/>
  <c r="H134" i="5"/>
  <c r="G134" i="5"/>
  <c r="F134" i="5"/>
  <c r="E134" i="5"/>
  <c r="I133" i="5"/>
  <c r="H133" i="5"/>
  <c r="G133" i="5"/>
  <c r="F133" i="5"/>
  <c r="E133" i="5"/>
  <c r="I132" i="5"/>
  <c r="H132" i="5"/>
  <c r="G132" i="5"/>
  <c r="F132" i="5"/>
  <c r="E132" i="5"/>
  <c r="I131" i="5"/>
  <c r="H131" i="5"/>
  <c r="G131" i="5"/>
  <c r="F131" i="5"/>
  <c r="E131" i="5"/>
  <c r="I130" i="5"/>
  <c r="H130" i="5"/>
  <c r="G130" i="5"/>
  <c r="F130" i="5"/>
  <c r="E130" i="5"/>
  <c r="I129" i="5"/>
  <c r="H129" i="5"/>
  <c r="G129" i="5"/>
  <c r="F129" i="5"/>
  <c r="E129" i="5"/>
  <c r="I128" i="5"/>
  <c r="H128" i="5"/>
  <c r="G128" i="5"/>
  <c r="F128" i="5"/>
  <c r="E128" i="5"/>
  <c r="I127" i="5"/>
  <c r="H127" i="5"/>
  <c r="G127" i="5"/>
  <c r="F127" i="5"/>
  <c r="E127" i="5"/>
  <c r="I126" i="5"/>
  <c r="H126" i="5"/>
  <c r="G126" i="5"/>
  <c r="F126" i="5"/>
  <c r="E126" i="5"/>
  <c r="A65" i="5"/>
  <c r="A64" i="5"/>
  <c r="A63" i="5"/>
  <c r="A62" i="5"/>
  <c r="A61" i="5"/>
  <c r="A60" i="5"/>
  <c r="A59" i="5"/>
  <c r="A58" i="5"/>
  <c r="A57" i="5"/>
  <c r="A56" i="5"/>
  <c r="A55" i="5"/>
  <c r="A54" i="5"/>
  <c r="A53" i="5"/>
  <c r="B52" i="5"/>
  <c r="A52" i="5"/>
  <c r="B51" i="5"/>
  <c r="A51" i="5"/>
  <c r="B50" i="5"/>
  <c r="A50" i="5"/>
  <c r="B49" i="5"/>
  <c r="A49" i="5"/>
  <c r="A36" i="5"/>
  <c r="A28" i="5"/>
  <c r="A20" i="5"/>
  <c r="A12" i="5"/>
  <c r="A10" i="5"/>
  <c r="A9" i="5"/>
  <c r="A8" i="5"/>
  <c r="A7" i="5"/>
  <c r="A14" i="3"/>
  <c r="A107" i="3" s="1"/>
  <c r="A13" i="3"/>
  <c r="A106" i="3" s="1"/>
  <c r="A12" i="3"/>
  <c r="A105" i="3" s="1"/>
  <c r="I1457" i="3"/>
  <c r="H1457" i="3"/>
  <c r="G1457" i="3"/>
  <c r="F1457" i="3"/>
  <c r="E1457" i="3"/>
  <c r="I1456" i="3"/>
  <c r="H1456" i="3"/>
  <c r="G1456" i="3"/>
  <c r="F1456" i="3"/>
  <c r="E1456" i="3"/>
  <c r="I1455" i="3"/>
  <c r="H1455" i="3"/>
  <c r="G1455" i="3"/>
  <c r="F1455" i="3"/>
  <c r="E1455" i="3"/>
  <c r="I1454" i="3"/>
  <c r="H1454" i="3"/>
  <c r="G1454" i="3"/>
  <c r="F1454" i="3"/>
  <c r="E1454" i="3"/>
  <c r="I1453" i="3"/>
  <c r="H1453" i="3"/>
  <c r="G1453" i="3"/>
  <c r="F1453" i="3"/>
  <c r="E1453" i="3"/>
  <c r="I1452" i="3"/>
  <c r="H1452" i="3"/>
  <c r="G1452" i="3"/>
  <c r="F1452" i="3"/>
  <c r="E1452" i="3"/>
  <c r="I1451" i="3"/>
  <c r="H1451" i="3"/>
  <c r="G1451" i="3"/>
  <c r="F1451" i="3"/>
  <c r="E1451" i="3"/>
  <c r="I1450" i="3"/>
  <c r="H1450" i="3"/>
  <c r="G1450" i="3"/>
  <c r="F1450" i="3"/>
  <c r="E1450" i="3"/>
  <c r="I1449" i="3"/>
  <c r="H1449" i="3"/>
  <c r="G1449" i="3"/>
  <c r="F1449" i="3"/>
  <c r="E1449" i="3"/>
  <c r="I1448" i="3"/>
  <c r="H1448" i="3"/>
  <c r="G1448" i="3"/>
  <c r="F1448" i="3"/>
  <c r="E1448" i="3"/>
  <c r="I1447" i="3"/>
  <c r="H1447" i="3"/>
  <c r="G1447" i="3"/>
  <c r="F1447" i="3"/>
  <c r="E1447" i="3"/>
  <c r="I1446" i="3"/>
  <c r="H1446" i="3"/>
  <c r="G1446" i="3"/>
  <c r="F1446" i="3"/>
  <c r="E1446" i="3"/>
  <c r="I1445" i="3"/>
  <c r="H1445" i="3"/>
  <c r="G1445" i="3"/>
  <c r="F1445" i="3"/>
  <c r="E1445" i="3"/>
  <c r="I1444" i="3"/>
  <c r="H1444" i="3"/>
  <c r="G1444" i="3"/>
  <c r="F1444" i="3"/>
  <c r="E1444" i="3"/>
  <c r="I1443" i="3"/>
  <c r="H1443" i="3"/>
  <c r="G1443" i="3"/>
  <c r="F1443" i="3"/>
  <c r="E1443" i="3"/>
  <c r="I1442" i="3"/>
  <c r="H1442" i="3"/>
  <c r="G1442" i="3"/>
  <c r="F1442" i="3"/>
  <c r="E1442" i="3"/>
  <c r="I1441" i="3"/>
  <c r="H1441" i="3"/>
  <c r="G1441" i="3"/>
  <c r="F1441" i="3"/>
  <c r="E1441" i="3"/>
  <c r="I1440" i="3"/>
  <c r="H1440" i="3"/>
  <c r="G1440" i="3"/>
  <c r="F1440" i="3"/>
  <c r="E1440" i="3"/>
  <c r="I1439" i="3"/>
  <c r="H1439" i="3"/>
  <c r="G1439" i="3"/>
  <c r="F1439" i="3"/>
  <c r="E1439" i="3"/>
  <c r="I1438" i="3"/>
  <c r="H1438" i="3"/>
  <c r="G1438" i="3"/>
  <c r="F1438" i="3"/>
  <c r="E1438" i="3"/>
  <c r="I1437" i="3"/>
  <c r="H1437" i="3"/>
  <c r="G1437" i="3"/>
  <c r="F1437" i="3"/>
  <c r="E1437" i="3"/>
  <c r="I1436" i="3"/>
  <c r="H1436" i="3"/>
  <c r="G1436" i="3"/>
  <c r="F1436" i="3"/>
  <c r="E1436" i="3"/>
  <c r="I1435" i="3"/>
  <c r="H1435" i="3"/>
  <c r="G1435" i="3"/>
  <c r="F1435" i="3"/>
  <c r="E1435" i="3"/>
  <c r="I1434" i="3"/>
  <c r="H1434" i="3"/>
  <c r="G1434" i="3"/>
  <c r="F1434" i="3"/>
  <c r="E1434" i="3"/>
  <c r="I1433" i="3"/>
  <c r="H1433" i="3"/>
  <c r="G1433" i="3"/>
  <c r="F1433" i="3"/>
  <c r="E1433" i="3"/>
  <c r="I1432" i="3"/>
  <c r="H1432" i="3"/>
  <c r="G1432" i="3"/>
  <c r="F1432" i="3"/>
  <c r="E1432" i="3"/>
  <c r="I1431" i="3"/>
  <c r="H1431" i="3"/>
  <c r="G1431" i="3"/>
  <c r="F1431" i="3"/>
  <c r="E1431" i="3"/>
  <c r="I1430" i="3"/>
  <c r="H1430" i="3"/>
  <c r="G1430" i="3"/>
  <c r="F1430" i="3"/>
  <c r="E1430" i="3"/>
  <c r="I1429" i="3"/>
  <c r="H1429" i="3"/>
  <c r="G1429" i="3"/>
  <c r="F1429" i="3"/>
  <c r="E1429" i="3"/>
  <c r="I1428" i="3"/>
  <c r="H1428" i="3"/>
  <c r="G1428" i="3"/>
  <c r="F1428" i="3"/>
  <c r="E1428" i="3"/>
  <c r="I1427" i="3"/>
  <c r="H1427" i="3"/>
  <c r="G1427" i="3"/>
  <c r="F1427" i="3"/>
  <c r="E1427" i="3"/>
  <c r="I1426" i="3"/>
  <c r="H1426" i="3"/>
  <c r="G1426" i="3"/>
  <c r="F1426" i="3"/>
  <c r="E1426" i="3"/>
  <c r="I1425" i="3"/>
  <c r="H1425" i="3"/>
  <c r="G1425" i="3"/>
  <c r="F1425" i="3"/>
  <c r="E1425" i="3"/>
  <c r="I1424" i="3"/>
  <c r="H1424" i="3"/>
  <c r="G1424" i="3"/>
  <c r="F1424" i="3"/>
  <c r="E1424" i="3"/>
  <c r="I1423" i="3"/>
  <c r="H1423" i="3"/>
  <c r="G1423" i="3"/>
  <c r="F1423" i="3"/>
  <c r="E1423" i="3"/>
  <c r="I1422" i="3"/>
  <c r="H1422" i="3"/>
  <c r="G1422" i="3"/>
  <c r="F1422" i="3"/>
  <c r="E1422" i="3"/>
  <c r="I1421" i="3"/>
  <c r="H1421" i="3"/>
  <c r="G1421" i="3"/>
  <c r="F1421" i="3"/>
  <c r="E1421" i="3"/>
  <c r="I1420" i="3"/>
  <c r="H1420" i="3"/>
  <c r="G1420" i="3"/>
  <c r="F1420" i="3"/>
  <c r="E1420" i="3"/>
  <c r="I1419" i="3"/>
  <c r="H1419" i="3"/>
  <c r="G1419" i="3"/>
  <c r="F1419" i="3"/>
  <c r="E1419" i="3"/>
  <c r="I1418" i="3"/>
  <c r="H1418" i="3"/>
  <c r="G1418" i="3"/>
  <c r="F1418" i="3"/>
  <c r="E1418" i="3"/>
  <c r="I1417" i="3"/>
  <c r="H1417" i="3"/>
  <c r="G1417" i="3"/>
  <c r="F1417" i="3"/>
  <c r="E1417" i="3"/>
  <c r="I1416" i="3"/>
  <c r="H1416" i="3"/>
  <c r="G1416" i="3"/>
  <c r="F1416" i="3"/>
  <c r="E1416" i="3"/>
  <c r="I1415" i="3"/>
  <c r="H1415" i="3"/>
  <c r="G1415" i="3"/>
  <c r="F1415" i="3"/>
  <c r="E1415" i="3"/>
  <c r="I1414" i="3"/>
  <c r="H1414" i="3"/>
  <c r="G1414" i="3"/>
  <c r="F1414" i="3"/>
  <c r="E1414" i="3"/>
  <c r="I1413" i="3"/>
  <c r="H1413" i="3"/>
  <c r="G1413" i="3"/>
  <c r="F1413" i="3"/>
  <c r="E1413" i="3"/>
  <c r="I1412" i="3"/>
  <c r="H1412" i="3"/>
  <c r="G1412" i="3"/>
  <c r="F1412" i="3"/>
  <c r="E1412" i="3"/>
  <c r="I1411" i="3"/>
  <c r="H1411" i="3"/>
  <c r="G1411" i="3"/>
  <c r="F1411" i="3"/>
  <c r="E1411" i="3"/>
  <c r="I1410" i="3"/>
  <c r="H1410" i="3"/>
  <c r="G1410" i="3"/>
  <c r="F1410" i="3"/>
  <c r="E1410" i="3"/>
  <c r="I1409" i="3"/>
  <c r="H1409" i="3"/>
  <c r="G1409" i="3"/>
  <c r="F1409" i="3"/>
  <c r="E1409" i="3"/>
  <c r="I1408" i="3"/>
  <c r="H1408" i="3"/>
  <c r="G1408" i="3"/>
  <c r="F1408" i="3"/>
  <c r="E1408" i="3"/>
  <c r="I1407" i="3"/>
  <c r="H1407" i="3"/>
  <c r="G1407" i="3"/>
  <c r="F1407" i="3"/>
  <c r="E1407" i="3"/>
  <c r="I1406" i="3"/>
  <c r="H1406" i="3"/>
  <c r="G1406" i="3"/>
  <c r="F1406" i="3"/>
  <c r="E1406" i="3"/>
  <c r="I1405" i="3"/>
  <c r="H1405" i="3"/>
  <c r="G1405" i="3"/>
  <c r="F1405" i="3"/>
  <c r="E1405" i="3"/>
  <c r="I1404" i="3"/>
  <c r="H1404" i="3"/>
  <c r="G1404" i="3"/>
  <c r="F1404" i="3"/>
  <c r="E1404" i="3"/>
  <c r="I1403" i="3"/>
  <c r="H1403" i="3"/>
  <c r="G1403" i="3"/>
  <c r="F1403" i="3"/>
  <c r="E1403" i="3"/>
  <c r="I1402" i="3"/>
  <c r="H1402" i="3"/>
  <c r="G1402" i="3"/>
  <c r="F1402" i="3"/>
  <c r="E1402" i="3"/>
  <c r="I1401" i="3"/>
  <c r="H1401" i="3"/>
  <c r="G1401" i="3"/>
  <c r="F1401" i="3"/>
  <c r="E1401" i="3"/>
  <c r="I1400" i="3"/>
  <c r="H1400" i="3"/>
  <c r="G1400" i="3"/>
  <c r="F1400" i="3"/>
  <c r="E1400" i="3"/>
  <c r="I1399" i="3"/>
  <c r="H1399" i="3"/>
  <c r="G1399" i="3"/>
  <c r="F1399" i="3"/>
  <c r="E1399" i="3"/>
  <c r="I1398" i="3"/>
  <c r="H1398" i="3"/>
  <c r="G1398" i="3"/>
  <c r="F1398" i="3"/>
  <c r="E1398" i="3"/>
  <c r="I1397" i="3"/>
  <c r="H1397" i="3"/>
  <c r="G1397" i="3"/>
  <c r="F1397" i="3"/>
  <c r="E1397" i="3"/>
  <c r="I1396" i="3"/>
  <c r="H1396" i="3"/>
  <c r="G1396" i="3"/>
  <c r="F1396" i="3"/>
  <c r="E1396" i="3"/>
  <c r="I1395" i="3"/>
  <c r="H1395" i="3"/>
  <c r="G1395" i="3"/>
  <c r="F1395" i="3"/>
  <c r="E1395" i="3"/>
  <c r="I1394" i="3"/>
  <c r="H1394" i="3"/>
  <c r="G1394" i="3"/>
  <c r="F1394" i="3"/>
  <c r="E1394" i="3"/>
  <c r="I1393" i="3"/>
  <c r="H1393" i="3"/>
  <c r="G1393" i="3"/>
  <c r="F1393" i="3"/>
  <c r="E1393" i="3"/>
  <c r="I1392" i="3"/>
  <c r="H1392" i="3"/>
  <c r="G1392" i="3"/>
  <c r="F1392" i="3"/>
  <c r="E1392" i="3"/>
  <c r="I1391" i="3"/>
  <c r="H1391" i="3"/>
  <c r="G1391" i="3"/>
  <c r="F1391" i="3"/>
  <c r="E1391" i="3"/>
  <c r="I1390" i="3"/>
  <c r="H1390" i="3"/>
  <c r="G1390" i="3"/>
  <c r="F1390" i="3"/>
  <c r="E1390" i="3"/>
  <c r="I1389" i="3"/>
  <c r="H1389" i="3"/>
  <c r="G1389" i="3"/>
  <c r="F1389" i="3"/>
  <c r="E1389" i="3"/>
  <c r="I1388" i="3"/>
  <c r="H1388" i="3"/>
  <c r="G1388" i="3"/>
  <c r="F1388" i="3"/>
  <c r="E1388" i="3"/>
  <c r="I1387" i="3"/>
  <c r="H1387" i="3"/>
  <c r="G1387" i="3"/>
  <c r="F1387" i="3"/>
  <c r="E1387" i="3"/>
  <c r="I1386" i="3"/>
  <c r="H1386" i="3"/>
  <c r="G1386" i="3"/>
  <c r="F1386" i="3"/>
  <c r="E1386" i="3"/>
  <c r="I1385" i="3"/>
  <c r="H1385" i="3"/>
  <c r="G1385" i="3"/>
  <c r="F1385" i="3"/>
  <c r="E1385" i="3"/>
  <c r="I1384" i="3"/>
  <c r="H1384" i="3"/>
  <c r="G1384" i="3"/>
  <c r="F1384" i="3"/>
  <c r="E1384" i="3"/>
  <c r="I1383" i="3"/>
  <c r="H1383" i="3"/>
  <c r="G1383" i="3"/>
  <c r="F1383" i="3"/>
  <c r="E1383" i="3"/>
  <c r="I1382" i="3"/>
  <c r="H1382" i="3"/>
  <c r="G1382" i="3"/>
  <c r="F1382" i="3"/>
  <c r="E1382" i="3"/>
  <c r="I1381" i="3"/>
  <c r="H1381" i="3"/>
  <c r="G1381" i="3"/>
  <c r="F1381" i="3"/>
  <c r="E1381" i="3"/>
  <c r="I1380" i="3"/>
  <c r="H1380" i="3"/>
  <c r="G1380" i="3"/>
  <c r="F1380" i="3"/>
  <c r="E1380" i="3"/>
  <c r="I1379" i="3"/>
  <c r="H1379" i="3"/>
  <c r="G1379" i="3"/>
  <c r="F1379" i="3"/>
  <c r="E1379" i="3"/>
  <c r="I1378" i="3"/>
  <c r="H1378" i="3"/>
  <c r="G1378" i="3"/>
  <c r="F1378" i="3"/>
  <c r="E1378" i="3"/>
  <c r="I1377" i="3"/>
  <c r="H1377" i="3"/>
  <c r="G1377" i="3"/>
  <c r="F1377" i="3"/>
  <c r="E1377" i="3"/>
  <c r="I1376" i="3"/>
  <c r="H1376" i="3"/>
  <c r="G1376" i="3"/>
  <c r="F1376" i="3"/>
  <c r="E1376" i="3"/>
  <c r="I1375" i="3"/>
  <c r="H1375" i="3"/>
  <c r="G1375" i="3"/>
  <c r="F1375" i="3"/>
  <c r="E1375" i="3"/>
  <c r="I1374" i="3"/>
  <c r="H1374" i="3"/>
  <c r="G1374" i="3"/>
  <c r="F1374" i="3"/>
  <c r="E1374" i="3"/>
  <c r="I1373" i="3"/>
  <c r="H1373" i="3"/>
  <c r="G1373" i="3"/>
  <c r="F1373" i="3"/>
  <c r="E1373" i="3"/>
  <c r="I1372" i="3"/>
  <c r="H1372" i="3"/>
  <c r="G1372" i="3"/>
  <c r="F1372" i="3"/>
  <c r="E1372" i="3"/>
  <c r="I1371" i="3"/>
  <c r="H1371" i="3"/>
  <c r="G1371" i="3"/>
  <c r="F1371" i="3"/>
  <c r="E1371" i="3"/>
  <c r="I1370" i="3"/>
  <c r="H1370" i="3"/>
  <c r="G1370" i="3"/>
  <c r="F1370" i="3"/>
  <c r="E1370" i="3"/>
  <c r="I1369" i="3"/>
  <c r="H1369" i="3"/>
  <c r="G1369" i="3"/>
  <c r="F1369" i="3"/>
  <c r="E1369" i="3"/>
  <c r="I1368" i="3"/>
  <c r="H1368" i="3"/>
  <c r="G1368" i="3"/>
  <c r="F1368" i="3"/>
  <c r="E1368" i="3"/>
  <c r="I1367" i="3"/>
  <c r="H1367" i="3"/>
  <c r="G1367" i="3"/>
  <c r="F1367" i="3"/>
  <c r="E1367" i="3"/>
  <c r="I1366" i="3"/>
  <c r="H1366" i="3"/>
  <c r="G1366" i="3"/>
  <c r="F1366" i="3"/>
  <c r="E1366" i="3"/>
  <c r="I1365" i="3"/>
  <c r="H1365" i="3"/>
  <c r="G1365" i="3"/>
  <c r="F1365" i="3"/>
  <c r="E1365" i="3"/>
  <c r="I1364" i="3"/>
  <c r="H1364" i="3"/>
  <c r="G1364" i="3"/>
  <c r="F1364" i="3"/>
  <c r="E1364" i="3"/>
  <c r="I1363" i="3"/>
  <c r="H1363" i="3"/>
  <c r="G1363" i="3"/>
  <c r="F1363" i="3"/>
  <c r="E1363" i="3"/>
  <c r="I1362" i="3"/>
  <c r="H1362" i="3"/>
  <c r="G1362" i="3"/>
  <c r="F1362" i="3"/>
  <c r="E1362" i="3"/>
  <c r="I1361" i="3"/>
  <c r="H1361" i="3"/>
  <c r="G1361" i="3"/>
  <c r="F1361" i="3"/>
  <c r="E1361" i="3"/>
  <c r="I1360" i="3"/>
  <c r="H1360" i="3"/>
  <c r="G1360" i="3"/>
  <c r="F1360" i="3"/>
  <c r="E1360" i="3"/>
  <c r="I1359" i="3"/>
  <c r="H1359" i="3"/>
  <c r="G1359" i="3"/>
  <c r="F1359" i="3"/>
  <c r="E1359" i="3"/>
  <c r="I1358" i="3"/>
  <c r="H1358" i="3"/>
  <c r="G1358" i="3"/>
  <c r="F1358" i="3"/>
  <c r="E1358" i="3"/>
  <c r="I1357" i="3"/>
  <c r="H1357" i="3"/>
  <c r="G1357" i="3"/>
  <c r="F1357" i="3"/>
  <c r="E1357" i="3"/>
  <c r="I1356" i="3"/>
  <c r="H1356" i="3"/>
  <c r="G1356" i="3"/>
  <c r="F1356" i="3"/>
  <c r="E1356" i="3"/>
  <c r="I1355" i="3"/>
  <c r="H1355" i="3"/>
  <c r="G1355" i="3"/>
  <c r="F1355" i="3"/>
  <c r="E1355" i="3"/>
  <c r="I1354" i="3"/>
  <c r="H1354" i="3"/>
  <c r="G1354" i="3"/>
  <c r="F1354" i="3"/>
  <c r="E1354" i="3"/>
  <c r="I1353" i="3"/>
  <c r="H1353" i="3"/>
  <c r="G1353" i="3"/>
  <c r="F1353" i="3"/>
  <c r="E1353" i="3"/>
  <c r="I1352" i="3"/>
  <c r="H1352" i="3"/>
  <c r="G1352" i="3"/>
  <c r="F1352" i="3"/>
  <c r="E1352" i="3"/>
  <c r="I1351" i="3"/>
  <c r="H1351" i="3"/>
  <c r="G1351" i="3"/>
  <c r="F1351" i="3"/>
  <c r="E1351" i="3"/>
  <c r="I1350" i="3"/>
  <c r="H1350" i="3"/>
  <c r="G1350" i="3"/>
  <c r="F1350" i="3"/>
  <c r="E1350" i="3"/>
  <c r="I1349" i="3"/>
  <c r="H1349" i="3"/>
  <c r="G1349" i="3"/>
  <c r="F1349" i="3"/>
  <c r="E1349" i="3"/>
  <c r="I1348" i="3"/>
  <c r="H1348" i="3"/>
  <c r="G1348" i="3"/>
  <c r="F1348" i="3"/>
  <c r="E1348" i="3"/>
  <c r="I1347" i="3"/>
  <c r="H1347" i="3"/>
  <c r="G1347" i="3"/>
  <c r="F1347" i="3"/>
  <c r="E1347" i="3"/>
  <c r="I1346" i="3"/>
  <c r="H1346" i="3"/>
  <c r="G1346" i="3"/>
  <c r="F1346" i="3"/>
  <c r="E1346" i="3"/>
  <c r="I1345" i="3"/>
  <c r="H1345" i="3"/>
  <c r="G1345" i="3"/>
  <c r="F1345" i="3"/>
  <c r="E1345" i="3"/>
  <c r="I1344" i="3"/>
  <c r="H1344" i="3"/>
  <c r="G1344" i="3"/>
  <c r="F1344" i="3"/>
  <c r="E1344" i="3"/>
  <c r="I1343" i="3"/>
  <c r="H1343" i="3"/>
  <c r="G1343" i="3"/>
  <c r="F1343" i="3"/>
  <c r="E1343" i="3"/>
  <c r="I1342" i="3"/>
  <c r="H1342" i="3"/>
  <c r="G1342" i="3"/>
  <c r="F1342" i="3"/>
  <c r="E1342" i="3"/>
  <c r="I1341" i="3"/>
  <c r="H1341" i="3"/>
  <c r="G1341" i="3"/>
  <c r="F1341" i="3"/>
  <c r="E1341" i="3"/>
  <c r="I1340" i="3"/>
  <c r="H1340" i="3"/>
  <c r="G1340" i="3"/>
  <c r="F1340" i="3"/>
  <c r="E1340" i="3"/>
  <c r="I1339" i="3"/>
  <c r="H1339" i="3"/>
  <c r="G1339" i="3"/>
  <c r="F1339" i="3"/>
  <c r="E1339" i="3"/>
  <c r="I1338" i="3"/>
  <c r="H1338" i="3"/>
  <c r="G1338" i="3"/>
  <c r="F1338" i="3"/>
  <c r="E1338" i="3"/>
  <c r="I1337" i="3"/>
  <c r="H1337" i="3"/>
  <c r="G1337" i="3"/>
  <c r="F1337" i="3"/>
  <c r="E1337" i="3"/>
  <c r="I1336" i="3"/>
  <c r="H1336" i="3"/>
  <c r="G1336" i="3"/>
  <c r="F1336" i="3"/>
  <c r="E1336" i="3"/>
  <c r="I1335" i="3"/>
  <c r="H1335" i="3"/>
  <c r="G1335" i="3"/>
  <c r="F1335" i="3"/>
  <c r="E1335" i="3"/>
  <c r="I1334" i="3"/>
  <c r="H1334" i="3"/>
  <c r="G1334" i="3"/>
  <c r="F1334" i="3"/>
  <c r="E1334" i="3"/>
  <c r="I1333" i="3"/>
  <c r="H1333" i="3"/>
  <c r="G1333" i="3"/>
  <c r="F1333" i="3"/>
  <c r="E1333" i="3"/>
  <c r="I1332" i="3"/>
  <c r="H1332" i="3"/>
  <c r="G1332" i="3"/>
  <c r="F1332" i="3"/>
  <c r="E1332" i="3"/>
  <c r="I1331" i="3"/>
  <c r="H1331" i="3"/>
  <c r="G1331" i="3"/>
  <c r="F1331" i="3"/>
  <c r="E1331" i="3"/>
  <c r="I1330" i="3"/>
  <c r="H1330" i="3"/>
  <c r="G1330" i="3"/>
  <c r="F1330" i="3"/>
  <c r="E1330" i="3"/>
  <c r="I1329" i="3"/>
  <c r="H1329" i="3"/>
  <c r="G1329" i="3"/>
  <c r="F1329" i="3"/>
  <c r="E1329" i="3"/>
  <c r="I1328" i="3"/>
  <c r="H1328" i="3"/>
  <c r="G1328" i="3"/>
  <c r="F1328" i="3"/>
  <c r="E1328" i="3"/>
  <c r="I1327" i="3"/>
  <c r="H1327" i="3"/>
  <c r="G1327" i="3"/>
  <c r="F1327" i="3"/>
  <c r="E1327" i="3"/>
  <c r="I1326" i="3"/>
  <c r="H1326" i="3"/>
  <c r="G1326" i="3"/>
  <c r="F1326" i="3"/>
  <c r="E1326" i="3"/>
  <c r="I1325" i="3"/>
  <c r="H1325" i="3"/>
  <c r="G1325" i="3"/>
  <c r="F1325" i="3"/>
  <c r="E1325" i="3"/>
  <c r="I1324" i="3"/>
  <c r="H1324" i="3"/>
  <c r="G1324" i="3"/>
  <c r="F1324" i="3"/>
  <c r="E1324" i="3"/>
  <c r="I1323" i="3"/>
  <c r="H1323" i="3"/>
  <c r="G1323" i="3"/>
  <c r="F1323" i="3"/>
  <c r="E1323" i="3"/>
  <c r="I1322" i="3"/>
  <c r="H1322" i="3"/>
  <c r="G1322" i="3"/>
  <c r="F1322" i="3"/>
  <c r="E1322" i="3"/>
  <c r="I1321" i="3"/>
  <c r="H1321" i="3"/>
  <c r="G1321" i="3"/>
  <c r="F1321" i="3"/>
  <c r="E1321" i="3"/>
  <c r="I1320" i="3"/>
  <c r="H1320" i="3"/>
  <c r="G1320" i="3"/>
  <c r="F1320" i="3"/>
  <c r="E1320" i="3"/>
  <c r="I1319" i="3"/>
  <c r="H1319" i="3"/>
  <c r="G1319" i="3"/>
  <c r="F1319" i="3"/>
  <c r="E1319" i="3"/>
  <c r="I1318" i="3"/>
  <c r="H1318" i="3"/>
  <c r="G1318" i="3"/>
  <c r="F1318" i="3"/>
  <c r="E1318" i="3"/>
  <c r="I1317" i="3"/>
  <c r="H1317" i="3"/>
  <c r="G1317" i="3"/>
  <c r="F1317" i="3"/>
  <c r="E1317" i="3"/>
  <c r="I1316" i="3"/>
  <c r="H1316" i="3"/>
  <c r="G1316" i="3"/>
  <c r="F1316" i="3"/>
  <c r="E1316" i="3"/>
  <c r="I1315" i="3"/>
  <c r="H1315" i="3"/>
  <c r="G1315" i="3"/>
  <c r="F1315" i="3"/>
  <c r="E1315" i="3"/>
  <c r="I1314" i="3"/>
  <c r="H1314" i="3"/>
  <c r="G1314" i="3"/>
  <c r="F1314" i="3"/>
  <c r="E1314" i="3"/>
  <c r="I1313" i="3"/>
  <c r="H1313" i="3"/>
  <c r="G1313" i="3"/>
  <c r="F1313" i="3"/>
  <c r="E1313" i="3"/>
  <c r="I1312" i="3"/>
  <c r="H1312" i="3"/>
  <c r="G1312" i="3"/>
  <c r="F1312" i="3"/>
  <c r="E1312" i="3"/>
  <c r="I1311" i="3"/>
  <c r="H1311" i="3"/>
  <c r="G1311" i="3"/>
  <c r="F1311" i="3"/>
  <c r="E1311" i="3"/>
  <c r="I1310" i="3"/>
  <c r="H1310" i="3"/>
  <c r="G1310" i="3"/>
  <c r="F1310" i="3"/>
  <c r="E1310" i="3"/>
  <c r="I1309" i="3"/>
  <c r="H1309" i="3"/>
  <c r="G1309" i="3"/>
  <c r="F1309" i="3"/>
  <c r="E1309" i="3"/>
  <c r="I1308" i="3"/>
  <c r="H1308" i="3"/>
  <c r="G1308" i="3"/>
  <c r="F1308" i="3"/>
  <c r="E1308" i="3"/>
  <c r="I1307" i="3"/>
  <c r="H1307" i="3"/>
  <c r="G1307" i="3"/>
  <c r="F1307" i="3"/>
  <c r="E1307" i="3"/>
  <c r="I1306" i="3"/>
  <c r="H1306" i="3"/>
  <c r="G1306" i="3"/>
  <c r="F1306" i="3"/>
  <c r="E1306" i="3"/>
  <c r="I1305" i="3"/>
  <c r="H1305" i="3"/>
  <c r="G1305" i="3"/>
  <c r="F1305" i="3"/>
  <c r="E1305" i="3"/>
  <c r="I1304" i="3"/>
  <c r="H1304" i="3"/>
  <c r="G1304" i="3"/>
  <c r="F1304" i="3"/>
  <c r="E1304" i="3"/>
  <c r="I1303" i="3"/>
  <c r="H1303" i="3"/>
  <c r="G1303" i="3"/>
  <c r="F1303" i="3"/>
  <c r="E1303" i="3"/>
  <c r="I1302" i="3"/>
  <c r="H1302" i="3"/>
  <c r="G1302" i="3"/>
  <c r="F1302" i="3"/>
  <c r="E1302" i="3"/>
  <c r="I1301" i="3"/>
  <c r="H1301" i="3"/>
  <c r="G1301" i="3"/>
  <c r="F1301" i="3"/>
  <c r="E1301" i="3"/>
  <c r="I1300" i="3"/>
  <c r="H1300" i="3"/>
  <c r="G1300" i="3"/>
  <c r="F1300" i="3"/>
  <c r="E1300" i="3"/>
  <c r="I1299" i="3"/>
  <c r="H1299" i="3"/>
  <c r="G1299" i="3"/>
  <c r="F1299" i="3"/>
  <c r="E1299" i="3"/>
  <c r="I1298" i="3"/>
  <c r="H1298" i="3"/>
  <c r="G1298" i="3"/>
  <c r="F1298" i="3"/>
  <c r="E1298" i="3"/>
  <c r="I1297" i="3"/>
  <c r="H1297" i="3"/>
  <c r="G1297" i="3"/>
  <c r="F1297" i="3"/>
  <c r="E1297" i="3"/>
  <c r="I1296" i="3"/>
  <c r="H1296" i="3"/>
  <c r="G1296" i="3"/>
  <c r="F1296" i="3"/>
  <c r="E1296" i="3"/>
  <c r="I1295" i="3"/>
  <c r="H1295" i="3"/>
  <c r="G1295" i="3"/>
  <c r="F1295" i="3"/>
  <c r="E1295" i="3"/>
  <c r="I1294" i="3"/>
  <c r="H1294" i="3"/>
  <c r="G1294" i="3"/>
  <c r="F1294" i="3"/>
  <c r="E1294" i="3"/>
  <c r="I1293" i="3"/>
  <c r="H1293" i="3"/>
  <c r="G1293" i="3"/>
  <c r="F1293" i="3"/>
  <c r="E1293" i="3"/>
  <c r="I1292" i="3"/>
  <c r="H1292" i="3"/>
  <c r="G1292" i="3"/>
  <c r="F1292" i="3"/>
  <c r="E1292" i="3"/>
  <c r="I1291" i="3"/>
  <c r="H1291" i="3"/>
  <c r="G1291" i="3"/>
  <c r="F1291" i="3"/>
  <c r="E1291" i="3"/>
  <c r="I1290" i="3"/>
  <c r="H1290" i="3"/>
  <c r="G1290" i="3"/>
  <c r="F1290" i="3"/>
  <c r="E1290" i="3"/>
  <c r="I1289" i="3"/>
  <c r="H1289" i="3"/>
  <c r="G1289" i="3"/>
  <c r="F1289" i="3"/>
  <c r="E1289" i="3"/>
  <c r="I1288" i="3"/>
  <c r="H1288" i="3"/>
  <c r="G1288" i="3"/>
  <c r="F1288" i="3"/>
  <c r="E1288" i="3"/>
  <c r="I1287" i="3"/>
  <c r="H1287" i="3"/>
  <c r="G1287" i="3"/>
  <c r="F1287" i="3"/>
  <c r="E1287" i="3"/>
  <c r="I1286" i="3"/>
  <c r="H1286" i="3"/>
  <c r="G1286" i="3"/>
  <c r="F1286" i="3"/>
  <c r="E1286" i="3"/>
  <c r="I1285" i="3"/>
  <c r="H1285" i="3"/>
  <c r="G1285" i="3"/>
  <c r="F1285" i="3"/>
  <c r="E1285" i="3"/>
  <c r="I1284" i="3"/>
  <c r="H1284" i="3"/>
  <c r="G1284" i="3"/>
  <c r="F1284" i="3"/>
  <c r="E1284" i="3"/>
  <c r="I1283" i="3"/>
  <c r="H1283" i="3"/>
  <c r="G1283" i="3"/>
  <c r="F1283" i="3"/>
  <c r="E1283" i="3"/>
  <c r="I1282" i="3"/>
  <c r="H1282" i="3"/>
  <c r="G1282" i="3"/>
  <c r="F1282" i="3"/>
  <c r="E1282" i="3"/>
  <c r="I1281" i="3"/>
  <c r="H1281" i="3"/>
  <c r="G1281" i="3"/>
  <c r="F1281" i="3"/>
  <c r="E1281" i="3"/>
  <c r="I1280" i="3"/>
  <c r="H1280" i="3"/>
  <c r="G1280" i="3"/>
  <c r="F1280" i="3"/>
  <c r="E1280" i="3"/>
  <c r="I1279" i="3"/>
  <c r="H1279" i="3"/>
  <c r="G1279" i="3"/>
  <c r="F1279" i="3"/>
  <c r="E1279" i="3"/>
  <c r="I1278" i="3"/>
  <c r="H1278" i="3"/>
  <c r="G1278" i="3"/>
  <c r="F1278" i="3"/>
  <c r="E1278" i="3"/>
  <c r="I1277" i="3"/>
  <c r="H1277" i="3"/>
  <c r="G1277" i="3"/>
  <c r="F1277" i="3"/>
  <c r="E1277" i="3"/>
  <c r="I1276" i="3"/>
  <c r="H1276" i="3"/>
  <c r="G1276" i="3"/>
  <c r="F1276" i="3"/>
  <c r="E1276" i="3"/>
  <c r="I1275" i="3"/>
  <c r="H1275" i="3"/>
  <c r="G1275" i="3"/>
  <c r="F1275" i="3"/>
  <c r="E1275" i="3"/>
  <c r="I1274" i="3"/>
  <c r="H1274" i="3"/>
  <c r="G1274" i="3"/>
  <c r="F1274" i="3"/>
  <c r="E1274" i="3"/>
  <c r="I1273" i="3"/>
  <c r="H1273" i="3"/>
  <c r="G1273" i="3"/>
  <c r="F1273" i="3"/>
  <c r="E1273" i="3"/>
  <c r="I1272" i="3"/>
  <c r="H1272" i="3"/>
  <c r="G1272" i="3"/>
  <c r="F1272" i="3"/>
  <c r="E1272" i="3"/>
  <c r="I1271" i="3"/>
  <c r="H1271" i="3"/>
  <c r="G1271" i="3"/>
  <c r="F1271" i="3"/>
  <c r="E1271" i="3"/>
  <c r="I1270" i="3"/>
  <c r="H1270" i="3"/>
  <c r="G1270" i="3"/>
  <c r="F1270" i="3"/>
  <c r="E1270" i="3"/>
  <c r="I1269" i="3"/>
  <c r="H1269" i="3"/>
  <c r="G1269" i="3"/>
  <c r="F1269" i="3"/>
  <c r="E1269" i="3"/>
  <c r="I1268" i="3"/>
  <c r="H1268" i="3"/>
  <c r="G1268" i="3"/>
  <c r="F1268" i="3"/>
  <c r="E1268" i="3"/>
  <c r="I1267" i="3"/>
  <c r="H1267" i="3"/>
  <c r="G1267" i="3"/>
  <c r="F1267" i="3"/>
  <c r="E1267" i="3"/>
  <c r="I1266" i="3"/>
  <c r="H1266" i="3"/>
  <c r="G1266" i="3"/>
  <c r="F1266" i="3"/>
  <c r="E1266" i="3"/>
  <c r="I1265" i="3"/>
  <c r="H1265" i="3"/>
  <c r="G1265" i="3"/>
  <c r="F1265" i="3"/>
  <c r="E1265" i="3"/>
  <c r="I1264" i="3"/>
  <c r="H1264" i="3"/>
  <c r="G1264" i="3"/>
  <c r="F1264" i="3"/>
  <c r="E1264" i="3"/>
  <c r="I1263" i="3"/>
  <c r="H1263" i="3"/>
  <c r="G1263" i="3"/>
  <c r="F1263" i="3"/>
  <c r="E1263" i="3"/>
  <c r="I1262" i="3"/>
  <c r="H1262" i="3"/>
  <c r="G1262" i="3"/>
  <c r="F1262" i="3"/>
  <c r="E1262" i="3"/>
  <c r="I1261" i="3"/>
  <c r="H1261" i="3"/>
  <c r="G1261" i="3"/>
  <c r="F1261" i="3"/>
  <c r="E1261" i="3"/>
  <c r="I1260" i="3"/>
  <c r="H1260" i="3"/>
  <c r="G1260" i="3"/>
  <c r="F1260" i="3"/>
  <c r="E1260" i="3"/>
  <c r="I1259" i="3"/>
  <c r="H1259" i="3"/>
  <c r="G1259" i="3"/>
  <c r="F1259" i="3"/>
  <c r="E1259" i="3"/>
  <c r="I1258" i="3"/>
  <c r="H1258" i="3"/>
  <c r="G1258" i="3"/>
  <c r="F1258" i="3"/>
  <c r="E1258" i="3"/>
  <c r="I1257" i="3"/>
  <c r="H1257" i="3"/>
  <c r="G1257" i="3"/>
  <c r="F1257" i="3"/>
  <c r="E1257" i="3"/>
  <c r="I1256" i="3"/>
  <c r="H1256" i="3"/>
  <c r="G1256" i="3"/>
  <c r="F1256" i="3"/>
  <c r="E1256" i="3"/>
  <c r="I1255" i="3"/>
  <c r="H1255" i="3"/>
  <c r="G1255" i="3"/>
  <c r="F1255" i="3"/>
  <c r="E1255" i="3"/>
  <c r="I1254" i="3"/>
  <c r="H1254" i="3"/>
  <c r="G1254" i="3"/>
  <c r="F1254" i="3"/>
  <c r="E1254" i="3"/>
  <c r="I1253" i="3"/>
  <c r="H1253" i="3"/>
  <c r="G1253" i="3"/>
  <c r="F1253" i="3"/>
  <c r="E1253" i="3"/>
  <c r="I1252" i="3"/>
  <c r="H1252" i="3"/>
  <c r="G1252" i="3"/>
  <c r="F1252" i="3"/>
  <c r="E1252" i="3"/>
  <c r="I1251" i="3"/>
  <c r="H1251" i="3"/>
  <c r="G1251" i="3"/>
  <c r="F1251" i="3"/>
  <c r="E1251" i="3"/>
  <c r="I1250" i="3"/>
  <c r="H1250" i="3"/>
  <c r="G1250" i="3"/>
  <c r="F1250" i="3"/>
  <c r="E1250" i="3"/>
  <c r="I1249" i="3"/>
  <c r="H1249" i="3"/>
  <c r="G1249" i="3"/>
  <c r="F1249" i="3"/>
  <c r="E1249" i="3"/>
  <c r="I1248" i="3"/>
  <c r="H1248" i="3"/>
  <c r="G1248" i="3"/>
  <c r="F1248" i="3"/>
  <c r="E1248" i="3"/>
  <c r="I1247" i="3"/>
  <c r="H1247" i="3"/>
  <c r="G1247" i="3"/>
  <c r="F1247" i="3"/>
  <c r="E1247" i="3"/>
  <c r="I1246" i="3"/>
  <c r="H1246" i="3"/>
  <c r="G1246" i="3"/>
  <c r="F1246" i="3"/>
  <c r="E1246" i="3"/>
  <c r="I1245" i="3"/>
  <c r="H1245" i="3"/>
  <c r="G1245" i="3"/>
  <c r="F1245" i="3"/>
  <c r="E1245" i="3"/>
  <c r="I1244" i="3"/>
  <c r="H1244" i="3"/>
  <c r="G1244" i="3"/>
  <c r="F1244" i="3"/>
  <c r="E1244" i="3"/>
  <c r="I1243" i="3"/>
  <c r="H1243" i="3"/>
  <c r="G1243" i="3"/>
  <c r="F1243" i="3"/>
  <c r="E1243" i="3"/>
  <c r="I1242" i="3"/>
  <c r="H1242" i="3"/>
  <c r="G1242" i="3"/>
  <c r="F1242" i="3"/>
  <c r="E1242" i="3"/>
  <c r="I1241" i="3"/>
  <c r="H1241" i="3"/>
  <c r="G1241" i="3"/>
  <c r="F1241" i="3"/>
  <c r="E1241" i="3"/>
  <c r="I1240" i="3"/>
  <c r="H1240" i="3"/>
  <c r="G1240" i="3"/>
  <c r="F1240" i="3"/>
  <c r="E1240" i="3"/>
  <c r="I1239" i="3"/>
  <c r="H1239" i="3"/>
  <c r="G1239" i="3"/>
  <c r="F1239" i="3"/>
  <c r="E1239" i="3"/>
  <c r="I1238" i="3"/>
  <c r="H1238" i="3"/>
  <c r="G1238" i="3"/>
  <c r="F1238" i="3"/>
  <c r="E1238" i="3"/>
  <c r="I1237" i="3"/>
  <c r="H1237" i="3"/>
  <c r="G1237" i="3"/>
  <c r="F1237" i="3"/>
  <c r="E1237" i="3"/>
  <c r="I1236" i="3"/>
  <c r="H1236" i="3"/>
  <c r="G1236" i="3"/>
  <c r="F1236" i="3"/>
  <c r="E1236" i="3"/>
  <c r="I1235" i="3"/>
  <c r="H1235" i="3"/>
  <c r="G1235" i="3"/>
  <c r="F1235" i="3"/>
  <c r="E1235" i="3"/>
  <c r="I1234" i="3"/>
  <c r="H1234" i="3"/>
  <c r="G1234" i="3"/>
  <c r="F1234" i="3"/>
  <c r="E1234" i="3"/>
  <c r="I1233" i="3"/>
  <c r="H1233" i="3"/>
  <c r="G1233" i="3"/>
  <c r="F1233" i="3"/>
  <c r="E1233" i="3"/>
  <c r="I1232" i="3"/>
  <c r="H1232" i="3"/>
  <c r="G1232" i="3"/>
  <c r="F1232" i="3"/>
  <c r="E1232" i="3"/>
  <c r="I1231" i="3"/>
  <c r="H1231" i="3"/>
  <c r="G1231" i="3"/>
  <c r="F1231" i="3"/>
  <c r="E1231" i="3"/>
  <c r="I1230" i="3"/>
  <c r="H1230" i="3"/>
  <c r="G1230" i="3"/>
  <c r="F1230" i="3"/>
  <c r="E1230" i="3"/>
  <c r="I1229" i="3"/>
  <c r="H1229" i="3"/>
  <c r="G1229" i="3"/>
  <c r="F1229" i="3"/>
  <c r="E1229" i="3"/>
  <c r="I1228" i="3"/>
  <c r="H1228" i="3"/>
  <c r="G1228" i="3"/>
  <c r="F1228" i="3"/>
  <c r="E1228" i="3"/>
  <c r="I1227" i="3"/>
  <c r="H1227" i="3"/>
  <c r="G1227" i="3"/>
  <c r="F1227" i="3"/>
  <c r="E1227" i="3"/>
  <c r="I1226" i="3"/>
  <c r="H1226" i="3"/>
  <c r="G1226" i="3"/>
  <c r="F1226" i="3"/>
  <c r="E1226" i="3"/>
  <c r="I1225" i="3"/>
  <c r="H1225" i="3"/>
  <c r="G1225" i="3"/>
  <c r="F1225" i="3"/>
  <c r="E1225" i="3"/>
  <c r="I1224" i="3"/>
  <c r="H1224" i="3"/>
  <c r="G1224" i="3"/>
  <c r="F1224" i="3"/>
  <c r="E1224" i="3"/>
  <c r="I1223" i="3"/>
  <c r="H1223" i="3"/>
  <c r="G1223" i="3"/>
  <c r="F1223" i="3"/>
  <c r="E1223" i="3"/>
  <c r="I1222" i="3"/>
  <c r="H1222" i="3"/>
  <c r="G1222" i="3"/>
  <c r="F1222" i="3"/>
  <c r="E1222" i="3"/>
  <c r="I1221" i="3"/>
  <c r="H1221" i="3"/>
  <c r="G1221" i="3"/>
  <c r="F1221" i="3"/>
  <c r="E1221" i="3"/>
  <c r="I1220" i="3"/>
  <c r="H1220" i="3"/>
  <c r="G1220" i="3"/>
  <c r="F1220" i="3"/>
  <c r="E1220" i="3"/>
  <c r="I1219" i="3"/>
  <c r="H1219" i="3"/>
  <c r="G1219" i="3"/>
  <c r="F1219" i="3"/>
  <c r="E1219" i="3"/>
  <c r="I1218" i="3"/>
  <c r="H1218" i="3"/>
  <c r="G1218" i="3"/>
  <c r="F1218" i="3"/>
  <c r="E1218" i="3"/>
  <c r="I1217" i="3"/>
  <c r="H1217" i="3"/>
  <c r="G1217" i="3"/>
  <c r="F1217" i="3"/>
  <c r="E1217" i="3"/>
  <c r="I1216" i="3"/>
  <c r="H1216" i="3"/>
  <c r="G1216" i="3"/>
  <c r="F1216" i="3"/>
  <c r="E1216" i="3"/>
  <c r="I1215" i="3"/>
  <c r="H1215" i="3"/>
  <c r="G1215" i="3"/>
  <c r="F1215" i="3"/>
  <c r="E1215" i="3"/>
  <c r="I1214" i="3"/>
  <c r="H1214" i="3"/>
  <c r="G1214" i="3"/>
  <c r="F1214" i="3"/>
  <c r="E1214" i="3"/>
  <c r="I1213" i="3"/>
  <c r="H1213" i="3"/>
  <c r="G1213" i="3"/>
  <c r="F1213" i="3"/>
  <c r="E1213" i="3"/>
  <c r="I1212" i="3"/>
  <c r="H1212" i="3"/>
  <c r="G1212" i="3"/>
  <c r="F1212" i="3"/>
  <c r="E1212" i="3"/>
  <c r="I1211" i="3"/>
  <c r="H1211" i="3"/>
  <c r="G1211" i="3"/>
  <c r="F1211" i="3"/>
  <c r="E1211" i="3"/>
  <c r="I1210" i="3"/>
  <c r="H1210" i="3"/>
  <c r="G1210" i="3"/>
  <c r="F1210" i="3"/>
  <c r="E1210" i="3"/>
  <c r="I1209" i="3"/>
  <c r="H1209" i="3"/>
  <c r="G1209" i="3"/>
  <c r="F1209" i="3"/>
  <c r="E1209" i="3"/>
  <c r="I1208" i="3"/>
  <c r="H1208" i="3"/>
  <c r="G1208" i="3"/>
  <c r="F1208" i="3"/>
  <c r="E1208" i="3"/>
  <c r="I1207" i="3"/>
  <c r="H1207" i="3"/>
  <c r="G1207" i="3"/>
  <c r="F1207" i="3"/>
  <c r="E1207" i="3"/>
  <c r="I1206" i="3"/>
  <c r="H1206" i="3"/>
  <c r="G1206" i="3"/>
  <c r="F1206" i="3"/>
  <c r="E1206" i="3"/>
  <c r="I1205" i="3"/>
  <c r="H1205" i="3"/>
  <c r="G1205" i="3"/>
  <c r="F1205" i="3"/>
  <c r="E1205" i="3"/>
  <c r="I1204" i="3"/>
  <c r="H1204" i="3"/>
  <c r="G1204" i="3"/>
  <c r="F1204" i="3"/>
  <c r="E1204" i="3"/>
  <c r="I1203" i="3"/>
  <c r="H1203" i="3"/>
  <c r="G1203" i="3"/>
  <c r="F1203" i="3"/>
  <c r="E1203" i="3"/>
  <c r="I1202" i="3"/>
  <c r="H1202" i="3"/>
  <c r="G1202" i="3"/>
  <c r="F1202" i="3"/>
  <c r="E1202" i="3"/>
  <c r="I1201" i="3"/>
  <c r="H1201" i="3"/>
  <c r="G1201" i="3"/>
  <c r="F1201" i="3"/>
  <c r="E1201" i="3"/>
  <c r="I1200" i="3"/>
  <c r="H1200" i="3"/>
  <c r="G1200" i="3"/>
  <c r="F1200" i="3"/>
  <c r="E1200" i="3"/>
  <c r="I1199" i="3"/>
  <c r="H1199" i="3"/>
  <c r="G1199" i="3"/>
  <c r="F1199" i="3"/>
  <c r="E1199" i="3"/>
  <c r="I1198" i="3"/>
  <c r="H1198" i="3"/>
  <c r="G1198" i="3"/>
  <c r="F1198" i="3"/>
  <c r="E1198" i="3"/>
  <c r="I1197" i="3"/>
  <c r="H1197" i="3"/>
  <c r="G1197" i="3"/>
  <c r="F1197" i="3"/>
  <c r="E1197" i="3"/>
  <c r="I1196" i="3"/>
  <c r="H1196" i="3"/>
  <c r="G1196" i="3"/>
  <c r="F1196" i="3"/>
  <c r="E1196" i="3"/>
  <c r="I1195" i="3"/>
  <c r="H1195" i="3"/>
  <c r="G1195" i="3"/>
  <c r="F1195" i="3"/>
  <c r="E1195" i="3"/>
  <c r="I1194" i="3"/>
  <c r="H1194" i="3"/>
  <c r="G1194" i="3"/>
  <c r="F1194" i="3"/>
  <c r="E1194" i="3"/>
  <c r="I1193" i="3"/>
  <c r="H1193" i="3"/>
  <c r="G1193" i="3"/>
  <c r="F1193" i="3"/>
  <c r="E1193" i="3"/>
  <c r="I1192" i="3"/>
  <c r="H1192" i="3"/>
  <c r="G1192" i="3"/>
  <c r="F1192" i="3"/>
  <c r="E1192" i="3"/>
  <c r="I1191" i="3"/>
  <c r="H1191" i="3"/>
  <c r="G1191" i="3"/>
  <c r="F1191" i="3"/>
  <c r="E1191" i="3"/>
  <c r="I1190" i="3"/>
  <c r="H1190" i="3"/>
  <c r="G1190" i="3"/>
  <c r="F1190" i="3"/>
  <c r="E1190" i="3"/>
  <c r="I1189" i="3"/>
  <c r="H1189" i="3"/>
  <c r="G1189" i="3"/>
  <c r="F1189" i="3"/>
  <c r="E1189" i="3"/>
  <c r="I1188" i="3"/>
  <c r="H1188" i="3"/>
  <c r="G1188" i="3"/>
  <c r="F1188" i="3"/>
  <c r="E1188" i="3"/>
  <c r="I1187" i="3"/>
  <c r="H1187" i="3"/>
  <c r="G1187" i="3"/>
  <c r="F1187" i="3"/>
  <c r="E1187" i="3"/>
  <c r="I1186" i="3"/>
  <c r="H1186" i="3"/>
  <c r="G1186" i="3"/>
  <c r="F1186" i="3"/>
  <c r="E1186" i="3"/>
  <c r="I1177" i="3"/>
  <c r="H1177" i="3"/>
  <c r="G1177" i="3"/>
  <c r="F1177" i="3"/>
  <c r="E1177" i="3"/>
  <c r="I1176" i="3"/>
  <c r="H1176" i="3"/>
  <c r="G1176" i="3"/>
  <c r="F1176" i="3"/>
  <c r="E1176" i="3"/>
  <c r="I1175" i="3"/>
  <c r="H1175" i="3"/>
  <c r="G1175" i="3"/>
  <c r="F1175" i="3"/>
  <c r="E1175" i="3"/>
  <c r="I1174" i="3"/>
  <c r="H1174" i="3"/>
  <c r="G1174" i="3"/>
  <c r="F1174" i="3"/>
  <c r="E1174" i="3"/>
  <c r="I1173" i="3"/>
  <c r="H1173" i="3"/>
  <c r="G1173" i="3"/>
  <c r="F1173" i="3"/>
  <c r="E1173" i="3"/>
  <c r="I1172" i="3"/>
  <c r="H1172" i="3"/>
  <c r="G1172" i="3"/>
  <c r="F1172" i="3"/>
  <c r="E1172" i="3"/>
  <c r="I1171" i="3"/>
  <c r="H1171" i="3"/>
  <c r="G1171" i="3"/>
  <c r="F1171" i="3"/>
  <c r="E1171" i="3"/>
  <c r="I1170" i="3"/>
  <c r="H1170" i="3"/>
  <c r="G1170" i="3"/>
  <c r="F1170" i="3"/>
  <c r="E1170" i="3"/>
  <c r="I1169" i="3"/>
  <c r="H1169" i="3"/>
  <c r="G1169" i="3"/>
  <c r="F1169" i="3"/>
  <c r="E1169" i="3"/>
  <c r="I1168" i="3"/>
  <c r="H1168" i="3"/>
  <c r="G1168" i="3"/>
  <c r="F1168" i="3"/>
  <c r="E1168" i="3"/>
  <c r="I1167" i="3"/>
  <c r="H1167" i="3"/>
  <c r="G1167" i="3"/>
  <c r="F1167" i="3"/>
  <c r="E1167" i="3"/>
  <c r="I1166" i="3"/>
  <c r="H1166" i="3"/>
  <c r="G1166" i="3"/>
  <c r="F1166" i="3"/>
  <c r="E1166" i="3"/>
  <c r="I1165" i="3"/>
  <c r="H1165" i="3"/>
  <c r="G1165" i="3"/>
  <c r="F1165" i="3"/>
  <c r="E1165" i="3"/>
  <c r="I1164" i="3"/>
  <c r="H1164" i="3"/>
  <c r="G1164" i="3"/>
  <c r="F1164" i="3"/>
  <c r="E1164" i="3"/>
  <c r="I1163" i="3"/>
  <c r="H1163" i="3"/>
  <c r="G1163" i="3"/>
  <c r="F1163" i="3"/>
  <c r="E1163" i="3"/>
  <c r="I1162" i="3"/>
  <c r="H1162" i="3"/>
  <c r="G1162" i="3"/>
  <c r="F1162" i="3"/>
  <c r="E1162" i="3"/>
  <c r="I1161" i="3"/>
  <c r="H1161" i="3"/>
  <c r="G1161" i="3"/>
  <c r="F1161" i="3"/>
  <c r="E1161" i="3"/>
  <c r="I1160" i="3"/>
  <c r="H1160" i="3"/>
  <c r="G1160" i="3"/>
  <c r="F1160" i="3"/>
  <c r="E1160" i="3"/>
  <c r="I1159" i="3"/>
  <c r="H1159" i="3"/>
  <c r="G1159" i="3"/>
  <c r="F1159" i="3"/>
  <c r="E1159" i="3"/>
  <c r="I1158" i="3"/>
  <c r="H1158" i="3"/>
  <c r="G1158" i="3"/>
  <c r="F1158" i="3"/>
  <c r="E1158" i="3"/>
  <c r="I1157" i="3"/>
  <c r="H1157" i="3"/>
  <c r="G1157" i="3"/>
  <c r="F1157" i="3"/>
  <c r="E1157" i="3"/>
  <c r="I1156" i="3"/>
  <c r="H1156" i="3"/>
  <c r="G1156" i="3"/>
  <c r="F1156" i="3"/>
  <c r="E1156" i="3"/>
  <c r="I1155" i="3"/>
  <c r="H1155" i="3"/>
  <c r="G1155" i="3"/>
  <c r="F1155" i="3"/>
  <c r="E1155" i="3"/>
  <c r="I1154" i="3"/>
  <c r="H1154" i="3"/>
  <c r="G1154" i="3"/>
  <c r="F1154" i="3"/>
  <c r="E1154" i="3"/>
  <c r="I1153" i="3"/>
  <c r="H1153" i="3"/>
  <c r="G1153" i="3"/>
  <c r="F1153" i="3"/>
  <c r="E1153" i="3"/>
  <c r="I1152" i="3"/>
  <c r="H1152" i="3"/>
  <c r="G1152" i="3"/>
  <c r="F1152" i="3"/>
  <c r="E1152" i="3"/>
  <c r="I1151" i="3"/>
  <c r="H1151" i="3"/>
  <c r="G1151" i="3"/>
  <c r="F1151" i="3"/>
  <c r="E1151" i="3"/>
  <c r="I1150" i="3"/>
  <c r="H1150" i="3"/>
  <c r="G1150" i="3"/>
  <c r="F1150" i="3"/>
  <c r="E1150" i="3"/>
  <c r="I1149" i="3"/>
  <c r="H1149" i="3"/>
  <c r="G1149" i="3"/>
  <c r="F1149" i="3"/>
  <c r="E1149" i="3"/>
  <c r="I1148" i="3"/>
  <c r="H1148" i="3"/>
  <c r="G1148" i="3"/>
  <c r="F1148" i="3"/>
  <c r="E1148" i="3"/>
  <c r="I1147" i="3"/>
  <c r="H1147" i="3"/>
  <c r="G1147" i="3"/>
  <c r="F1147" i="3"/>
  <c r="E1147" i="3"/>
  <c r="I1146" i="3"/>
  <c r="H1146" i="3"/>
  <c r="G1146" i="3"/>
  <c r="F1146" i="3"/>
  <c r="E1146" i="3"/>
  <c r="I1145" i="3"/>
  <c r="H1145" i="3"/>
  <c r="G1145" i="3"/>
  <c r="F1145" i="3"/>
  <c r="E1145" i="3"/>
  <c r="I1144" i="3"/>
  <c r="H1144" i="3"/>
  <c r="G1144" i="3"/>
  <c r="F1144" i="3"/>
  <c r="E1144" i="3"/>
  <c r="I1143" i="3"/>
  <c r="H1143" i="3"/>
  <c r="G1143" i="3"/>
  <c r="F1143" i="3"/>
  <c r="E1143" i="3"/>
  <c r="I1142" i="3"/>
  <c r="H1142" i="3"/>
  <c r="G1142" i="3"/>
  <c r="F1142" i="3"/>
  <c r="E1142" i="3"/>
  <c r="I1141" i="3"/>
  <c r="H1141" i="3"/>
  <c r="G1141" i="3"/>
  <c r="F1141" i="3"/>
  <c r="E1141" i="3"/>
  <c r="I1140" i="3"/>
  <c r="H1140" i="3"/>
  <c r="G1140" i="3"/>
  <c r="F1140" i="3"/>
  <c r="E1140" i="3"/>
  <c r="I1139" i="3"/>
  <c r="H1139" i="3"/>
  <c r="G1139" i="3"/>
  <c r="F1139" i="3"/>
  <c r="E1139" i="3"/>
  <c r="I1138" i="3"/>
  <c r="H1138" i="3"/>
  <c r="G1138" i="3"/>
  <c r="F1138" i="3"/>
  <c r="E1138" i="3"/>
  <c r="I1137" i="3"/>
  <c r="H1137" i="3"/>
  <c r="G1137" i="3"/>
  <c r="F1137" i="3"/>
  <c r="E1137" i="3"/>
  <c r="I1136" i="3"/>
  <c r="H1136" i="3"/>
  <c r="G1136" i="3"/>
  <c r="F1136" i="3"/>
  <c r="E1136" i="3"/>
  <c r="I1135" i="3"/>
  <c r="H1135" i="3"/>
  <c r="G1135" i="3"/>
  <c r="F1135" i="3"/>
  <c r="E1135" i="3"/>
  <c r="I1134" i="3"/>
  <c r="H1134" i="3"/>
  <c r="G1134" i="3"/>
  <c r="F1134" i="3"/>
  <c r="E1134" i="3"/>
  <c r="I1133" i="3"/>
  <c r="H1133" i="3"/>
  <c r="G1133" i="3"/>
  <c r="F1133" i="3"/>
  <c r="E1133" i="3"/>
  <c r="I1132" i="3"/>
  <c r="H1132" i="3"/>
  <c r="G1132" i="3"/>
  <c r="F1132" i="3"/>
  <c r="E1132" i="3"/>
  <c r="I1131" i="3"/>
  <c r="H1131" i="3"/>
  <c r="G1131" i="3"/>
  <c r="F1131" i="3"/>
  <c r="E1131" i="3"/>
  <c r="I1130" i="3"/>
  <c r="H1130" i="3"/>
  <c r="G1130" i="3"/>
  <c r="F1130" i="3"/>
  <c r="E1130" i="3"/>
  <c r="I1129" i="3"/>
  <c r="H1129" i="3"/>
  <c r="G1129" i="3"/>
  <c r="F1129" i="3"/>
  <c r="E1129" i="3"/>
  <c r="I1128" i="3"/>
  <c r="H1128" i="3"/>
  <c r="G1128" i="3"/>
  <c r="F1128" i="3"/>
  <c r="E1128" i="3"/>
  <c r="I1127" i="3"/>
  <c r="H1127" i="3"/>
  <c r="G1127" i="3"/>
  <c r="F1127" i="3"/>
  <c r="E1127" i="3"/>
  <c r="I1126" i="3"/>
  <c r="H1126" i="3"/>
  <c r="G1126" i="3"/>
  <c r="F1126" i="3"/>
  <c r="E1126" i="3"/>
  <c r="I1125" i="3"/>
  <c r="H1125" i="3"/>
  <c r="G1125" i="3"/>
  <c r="F1125" i="3"/>
  <c r="E1125" i="3"/>
  <c r="I1124" i="3"/>
  <c r="H1124" i="3"/>
  <c r="G1124" i="3"/>
  <c r="F1124" i="3"/>
  <c r="E1124" i="3"/>
  <c r="I1123" i="3"/>
  <c r="H1123" i="3"/>
  <c r="G1123" i="3"/>
  <c r="F1123" i="3"/>
  <c r="E1123" i="3"/>
  <c r="I1122" i="3"/>
  <c r="H1122" i="3"/>
  <c r="G1122" i="3"/>
  <c r="F1122" i="3"/>
  <c r="E1122" i="3"/>
  <c r="I1121" i="3"/>
  <c r="H1121" i="3"/>
  <c r="G1121" i="3"/>
  <c r="F1121" i="3"/>
  <c r="E1121" i="3"/>
  <c r="I1120" i="3"/>
  <c r="H1120" i="3"/>
  <c r="G1120" i="3"/>
  <c r="F1120" i="3"/>
  <c r="E1120" i="3"/>
  <c r="I1119" i="3"/>
  <c r="H1119" i="3"/>
  <c r="G1119" i="3"/>
  <c r="F1119" i="3"/>
  <c r="E1119" i="3"/>
  <c r="I1118" i="3"/>
  <c r="H1118" i="3"/>
  <c r="G1118" i="3"/>
  <c r="F1118" i="3"/>
  <c r="E1118" i="3"/>
  <c r="I1117" i="3"/>
  <c r="H1117" i="3"/>
  <c r="G1117" i="3"/>
  <c r="F1117" i="3"/>
  <c r="E1117" i="3"/>
  <c r="I1116" i="3"/>
  <c r="H1116" i="3"/>
  <c r="G1116" i="3"/>
  <c r="F1116" i="3"/>
  <c r="E1116" i="3"/>
  <c r="I1115" i="3"/>
  <c r="H1115" i="3"/>
  <c r="G1115" i="3"/>
  <c r="F1115" i="3"/>
  <c r="E1115" i="3"/>
  <c r="I1114" i="3"/>
  <c r="H1114" i="3"/>
  <c r="G1114" i="3"/>
  <c r="F1114" i="3"/>
  <c r="E1114" i="3"/>
  <c r="I1113" i="3"/>
  <c r="H1113" i="3"/>
  <c r="G1113" i="3"/>
  <c r="F1113" i="3"/>
  <c r="E1113" i="3"/>
  <c r="I1112" i="3"/>
  <c r="H1112" i="3"/>
  <c r="G1112" i="3"/>
  <c r="F1112" i="3"/>
  <c r="E1112" i="3"/>
  <c r="I1111" i="3"/>
  <c r="H1111" i="3"/>
  <c r="G1111" i="3"/>
  <c r="F1111" i="3"/>
  <c r="E1111" i="3"/>
  <c r="I1110" i="3"/>
  <c r="H1110" i="3"/>
  <c r="G1110" i="3"/>
  <c r="F1110" i="3"/>
  <c r="E1110" i="3"/>
  <c r="I1109" i="3"/>
  <c r="H1109" i="3"/>
  <c r="G1109" i="3"/>
  <c r="F1109" i="3"/>
  <c r="E1109" i="3"/>
  <c r="I1108" i="3"/>
  <c r="H1108" i="3"/>
  <c r="G1108" i="3"/>
  <c r="F1108" i="3"/>
  <c r="E1108" i="3"/>
  <c r="I1107" i="3"/>
  <c r="H1107" i="3"/>
  <c r="G1107" i="3"/>
  <c r="F1107" i="3"/>
  <c r="E1107" i="3"/>
  <c r="I1106" i="3"/>
  <c r="H1106" i="3"/>
  <c r="G1106" i="3"/>
  <c r="F1106" i="3"/>
  <c r="E1106" i="3"/>
  <c r="I1105" i="3"/>
  <c r="H1105" i="3"/>
  <c r="G1105" i="3"/>
  <c r="F1105" i="3"/>
  <c r="E1105" i="3"/>
  <c r="I1104" i="3"/>
  <c r="H1104" i="3"/>
  <c r="G1104" i="3"/>
  <c r="F1104" i="3"/>
  <c r="E1104" i="3"/>
  <c r="I1103" i="3"/>
  <c r="H1103" i="3"/>
  <c r="G1103" i="3"/>
  <c r="F1103" i="3"/>
  <c r="E1103" i="3"/>
  <c r="I1102" i="3"/>
  <c r="H1102" i="3"/>
  <c r="G1102" i="3"/>
  <c r="F1102" i="3"/>
  <c r="E1102" i="3"/>
  <c r="I1101" i="3"/>
  <c r="H1101" i="3"/>
  <c r="G1101" i="3"/>
  <c r="F1101" i="3"/>
  <c r="E1101" i="3"/>
  <c r="I1100" i="3"/>
  <c r="H1100" i="3"/>
  <c r="G1100" i="3"/>
  <c r="F1100" i="3"/>
  <c r="E1100" i="3"/>
  <c r="I1099" i="3"/>
  <c r="H1099" i="3"/>
  <c r="G1099" i="3"/>
  <c r="F1099" i="3"/>
  <c r="E1099" i="3"/>
  <c r="I1098" i="3"/>
  <c r="H1098" i="3"/>
  <c r="G1098" i="3"/>
  <c r="F1098" i="3"/>
  <c r="E1098" i="3"/>
  <c r="I1097" i="3"/>
  <c r="H1097" i="3"/>
  <c r="G1097" i="3"/>
  <c r="F1097" i="3"/>
  <c r="E1097" i="3"/>
  <c r="I1096" i="3"/>
  <c r="H1096" i="3"/>
  <c r="G1096" i="3"/>
  <c r="F1096" i="3"/>
  <c r="E1096" i="3"/>
  <c r="I1095" i="3"/>
  <c r="H1095" i="3"/>
  <c r="G1095" i="3"/>
  <c r="F1095" i="3"/>
  <c r="E1095" i="3"/>
  <c r="I1094" i="3"/>
  <c r="H1094" i="3"/>
  <c r="G1094" i="3"/>
  <c r="F1094" i="3"/>
  <c r="E1094" i="3"/>
  <c r="I1093" i="3"/>
  <c r="H1093" i="3"/>
  <c r="G1093" i="3"/>
  <c r="F1093" i="3"/>
  <c r="E1093" i="3"/>
  <c r="I1092" i="3"/>
  <c r="H1092" i="3"/>
  <c r="G1092" i="3"/>
  <c r="F1092" i="3"/>
  <c r="E1092" i="3"/>
  <c r="I1091" i="3"/>
  <c r="H1091" i="3"/>
  <c r="G1091" i="3"/>
  <c r="F1091" i="3"/>
  <c r="E1091" i="3"/>
  <c r="I1090" i="3"/>
  <c r="H1090" i="3"/>
  <c r="G1090" i="3"/>
  <c r="F1090" i="3"/>
  <c r="E1090" i="3"/>
  <c r="I1089" i="3"/>
  <c r="H1089" i="3"/>
  <c r="G1089" i="3"/>
  <c r="F1089" i="3"/>
  <c r="E1089" i="3"/>
  <c r="I1088" i="3"/>
  <c r="H1088" i="3"/>
  <c r="G1088" i="3"/>
  <c r="F1088" i="3"/>
  <c r="E1088" i="3"/>
  <c r="I1087" i="3"/>
  <c r="H1087" i="3"/>
  <c r="G1087" i="3"/>
  <c r="F1087" i="3"/>
  <c r="E1087" i="3"/>
  <c r="I1086" i="3"/>
  <c r="H1086" i="3"/>
  <c r="G1086" i="3"/>
  <c r="F1086" i="3"/>
  <c r="E1086" i="3"/>
  <c r="I1085" i="3"/>
  <c r="H1085" i="3"/>
  <c r="G1085" i="3"/>
  <c r="F1085" i="3"/>
  <c r="E1085" i="3"/>
  <c r="I1084" i="3"/>
  <c r="H1084" i="3"/>
  <c r="G1084" i="3"/>
  <c r="F1084" i="3"/>
  <c r="E1084" i="3"/>
  <c r="I1083" i="3"/>
  <c r="H1083" i="3"/>
  <c r="G1083" i="3"/>
  <c r="F1083" i="3"/>
  <c r="E1083" i="3"/>
  <c r="I1082" i="3"/>
  <c r="H1082" i="3"/>
  <c r="G1082" i="3"/>
  <c r="F1082" i="3"/>
  <c r="E1082" i="3"/>
  <c r="I1081" i="3"/>
  <c r="H1081" i="3"/>
  <c r="G1081" i="3"/>
  <c r="F1081" i="3"/>
  <c r="E1081" i="3"/>
  <c r="I1080" i="3"/>
  <c r="H1080" i="3"/>
  <c r="G1080" i="3"/>
  <c r="F1080" i="3"/>
  <c r="E1080" i="3"/>
  <c r="I1079" i="3"/>
  <c r="H1079" i="3"/>
  <c r="G1079" i="3"/>
  <c r="F1079" i="3"/>
  <c r="E1079" i="3"/>
  <c r="I1078" i="3"/>
  <c r="H1078" i="3"/>
  <c r="G1078" i="3"/>
  <c r="F1078" i="3"/>
  <c r="E1078" i="3"/>
  <c r="I1077" i="3"/>
  <c r="H1077" i="3"/>
  <c r="G1077" i="3"/>
  <c r="F1077" i="3"/>
  <c r="E1077" i="3"/>
  <c r="I1076" i="3"/>
  <c r="H1076" i="3"/>
  <c r="G1076" i="3"/>
  <c r="F1076" i="3"/>
  <c r="E1076" i="3"/>
  <c r="I1075" i="3"/>
  <c r="H1075" i="3"/>
  <c r="G1075" i="3"/>
  <c r="F1075" i="3"/>
  <c r="E1075" i="3"/>
  <c r="I1074" i="3"/>
  <c r="H1074" i="3"/>
  <c r="G1074" i="3"/>
  <c r="F1074" i="3"/>
  <c r="E1074" i="3"/>
  <c r="I1073" i="3"/>
  <c r="H1073" i="3"/>
  <c r="G1073" i="3"/>
  <c r="F1073" i="3"/>
  <c r="E1073" i="3"/>
  <c r="I1072" i="3"/>
  <c r="H1072" i="3"/>
  <c r="G1072" i="3"/>
  <c r="F1072" i="3"/>
  <c r="E1072" i="3"/>
  <c r="I1071" i="3"/>
  <c r="H1071" i="3"/>
  <c r="G1071" i="3"/>
  <c r="F1071" i="3"/>
  <c r="E1071" i="3"/>
  <c r="I1070" i="3"/>
  <c r="H1070" i="3"/>
  <c r="G1070" i="3"/>
  <c r="F1070" i="3"/>
  <c r="E1070" i="3"/>
  <c r="I1069" i="3"/>
  <c r="H1069" i="3"/>
  <c r="G1069" i="3"/>
  <c r="F1069" i="3"/>
  <c r="E1069" i="3"/>
  <c r="I1068" i="3"/>
  <c r="H1068" i="3"/>
  <c r="G1068" i="3"/>
  <c r="F1068" i="3"/>
  <c r="E1068" i="3"/>
  <c r="I1067" i="3"/>
  <c r="H1067" i="3"/>
  <c r="G1067" i="3"/>
  <c r="F1067" i="3"/>
  <c r="E1067" i="3"/>
  <c r="I1066" i="3"/>
  <c r="H1066" i="3"/>
  <c r="G1066" i="3"/>
  <c r="F1066" i="3"/>
  <c r="E1066" i="3"/>
  <c r="I1065" i="3"/>
  <c r="H1065" i="3"/>
  <c r="G1065" i="3"/>
  <c r="F1065" i="3"/>
  <c r="E1065" i="3"/>
  <c r="I1064" i="3"/>
  <c r="H1064" i="3"/>
  <c r="G1064" i="3"/>
  <c r="F1064" i="3"/>
  <c r="E1064" i="3"/>
  <c r="I1063" i="3"/>
  <c r="H1063" i="3"/>
  <c r="G1063" i="3"/>
  <c r="F1063" i="3"/>
  <c r="E1063" i="3"/>
  <c r="I1062" i="3"/>
  <c r="H1062" i="3"/>
  <c r="G1062" i="3"/>
  <c r="F1062" i="3"/>
  <c r="E1062" i="3"/>
  <c r="I1061" i="3"/>
  <c r="H1061" i="3"/>
  <c r="G1061" i="3"/>
  <c r="F1061" i="3"/>
  <c r="E1061" i="3"/>
  <c r="I1060" i="3"/>
  <c r="H1060" i="3"/>
  <c r="G1060" i="3"/>
  <c r="F1060" i="3"/>
  <c r="E1060" i="3"/>
  <c r="I1059" i="3"/>
  <c r="H1059" i="3"/>
  <c r="G1059" i="3"/>
  <c r="F1059" i="3"/>
  <c r="E1059" i="3"/>
  <c r="I1058" i="3"/>
  <c r="H1058" i="3"/>
  <c r="G1058" i="3"/>
  <c r="F1058" i="3"/>
  <c r="E1058" i="3"/>
  <c r="I1057" i="3"/>
  <c r="H1057" i="3"/>
  <c r="G1057" i="3"/>
  <c r="F1057" i="3"/>
  <c r="E1057" i="3"/>
  <c r="I1056" i="3"/>
  <c r="H1056" i="3"/>
  <c r="G1056" i="3"/>
  <c r="F1056" i="3"/>
  <c r="E1056" i="3"/>
  <c r="I1055" i="3"/>
  <c r="H1055" i="3"/>
  <c r="G1055" i="3"/>
  <c r="F1055" i="3"/>
  <c r="E1055" i="3"/>
  <c r="I1054" i="3"/>
  <c r="H1054" i="3"/>
  <c r="G1054" i="3"/>
  <c r="F1054" i="3"/>
  <c r="E1054" i="3"/>
  <c r="I1053" i="3"/>
  <c r="H1053" i="3"/>
  <c r="G1053" i="3"/>
  <c r="F1053" i="3"/>
  <c r="E1053" i="3"/>
  <c r="I1052" i="3"/>
  <c r="H1052" i="3"/>
  <c r="G1052" i="3"/>
  <c r="F1052" i="3"/>
  <c r="E1052" i="3"/>
  <c r="I1051" i="3"/>
  <c r="H1051" i="3"/>
  <c r="G1051" i="3"/>
  <c r="F1051" i="3"/>
  <c r="E1051" i="3"/>
  <c r="I1050" i="3"/>
  <c r="H1050" i="3"/>
  <c r="G1050" i="3"/>
  <c r="F1050" i="3"/>
  <c r="E1050" i="3"/>
  <c r="I1049" i="3"/>
  <c r="H1049" i="3"/>
  <c r="G1049" i="3"/>
  <c r="F1049" i="3"/>
  <c r="E1049" i="3"/>
  <c r="I1048" i="3"/>
  <c r="H1048" i="3"/>
  <c r="G1048" i="3"/>
  <c r="F1048" i="3"/>
  <c r="E1048" i="3"/>
  <c r="I1047" i="3"/>
  <c r="H1047" i="3"/>
  <c r="G1047" i="3"/>
  <c r="F1047" i="3"/>
  <c r="E1047" i="3"/>
  <c r="I1046" i="3"/>
  <c r="H1046" i="3"/>
  <c r="G1046" i="3"/>
  <c r="F1046" i="3"/>
  <c r="E1046" i="3"/>
  <c r="I1045" i="3"/>
  <c r="H1045" i="3"/>
  <c r="G1045" i="3"/>
  <c r="F1045" i="3"/>
  <c r="E1045" i="3"/>
  <c r="I1044" i="3"/>
  <c r="H1044" i="3"/>
  <c r="G1044" i="3"/>
  <c r="F1044" i="3"/>
  <c r="E1044" i="3"/>
  <c r="I1043" i="3"/>
  <c r="H1043" i="3"/>
  <c r="G1043" i="3"/>
  <c r="F1043" i="3"/>
  <c r="E1043" i="3"/>
  <c r="I1042" i="3"/>
  <c r="H1042" i="3"/>
  <c r="G1042" i="3"/>
  <c r="F1042" i="3"/>
  <c r="E1042" i="3"/>
  <c r="I1041" i="3"/>
  <c r="H1041" i="3"/>
  <c r="G1041" i="3"/>
  <c r="F1041" i="3"/>
  <c r="E1041" i="3"/>
  <c r="I1040" i="3"/>
  <c r="H1040" i="3"/>
  <c r="G1040" i="3"/>
  <c r="F1040" i="3"/>
  <c r="E1040" i="3"/>
  <c r="I1039" i="3"/>
  <c r="H1039" i="3"/>
  <c r="G1039" i="3"/>
  <c r="F1039" i="3"/>
  <c r="E1039" i="3"/>
  <c r="I1038" i="3"/>
  <c r="H1038" i="3"/>
  <c r="G1038" i="3"/>
  <c r="F1038" i="3"/>
  <c r="E1038" i="3"/>
  <c r="I1037" i="3"/>
  <c r="H1037" i="3"/>
  <c r="G1037" i="3"/>
  <c r="F1037" i="3"/>
  <c r="E1037" i="3"/>
  <c r="I1036" i="3"/>
  <c r="H1036" i="3"/>
  <c r="G1036" i="3"/>
  <c r="F1036" i="3"/>
  <c r="E1036" i="3"/>
  <c r="I1035" i="3"/>
  <c r="H1035" i="3"/>
  <c r="G1035" i="3"/>
  <c r="F1035" i="3"/>
  <c r="E1035" i="3"/>
  <c r="I1034" i="3"/>
  <c r="H1034" i="3"/>
  <c r="G1034" i="3"/>
  <c r="F1034" i="3"/>
  <c r="E1034" i="3"/>
  <c r="I1033" i="3"/>
  <c r="H1033" i="3"/>
  <c r="G1033" i="3"/>
  <c r="F1033" i="3"/>
  <c r="E1033" i="3"/>
  <c r="I1032" i="3"/>
  <c r="H1032" i="3"/>
  <c r="G1032" i="3"/>
  <c r="F1032" i="3"/>
  <c r="E1032" i="3"/>
  <c r="I1031" i="3"/>
  <c r="H1031" i="3"/>
  <c r="G1031" i="3"/>
  <c r="F1031" i="3"/>
  <c r="E1031" i="3"/>
  <c r="I1030" i="3"/>
  <c r="H1030" i="3"/>
  <c r="G1030" i="3"/>
  <c r="F1030" i="3"/>
  <c r="E1030" i="3"/>
  <c r="I1029" i="3"/>
  <c r="H1029" i="3"/>
  <c r="G1029" i="3"/>
  <c r="F1029" i="3"/>
  <c r="E1029" i="3"/>
  <c r="I1028" i="3"/>
  <c r="H1028" i="3"/>
  <c r="G1028" i="3"/>
  <c r="F1028" i="3"/>
  <c r="E1028" i="3"/>
  <c r="I1027" i="3"/>
  <c r="H1027" i="3"/>
  <c r="G1027" i="3"/>
  <c r="F1027" i="3"/>
  <c r="E1027" i="3"/>
  <c r="I1026" i="3"/>
  <c r="H1026" i="3"/>
  <c r="G1026" i="3"/>
  <c r="F1026" i="3"/>
  <c r="E1026" i="3"/>
  <c r="I1025" i="3"/>
  <c r="H1025" i="3"/>
  <c r="G1025" i="3"/>
  <c r="F1025" i="3"/>
  <c r="E1025" i="3"/>
  <c r="I1024" i="3"/>
  <c r="H1024" i="3"/>
  <c r="G1024" i="3"/>
  <c r="F1024" i="3"/>
  <c r="E1024" i="3"/>
  <c r="I1023" i="3"/>
  <c r="H1023" i="3"/>
  <c r="G1023" i="3"/>
  <c r="F1023" i="3"/>
  <c r="E1023" i="3"/>
  <c r="I1022" i="3"/>
  <c r="H1022" i="3"/>
  <c r="G1022" i="3"/>
  <c r="F1022" i="3"/>
  <c r="E1022" i="3"/>
  <c r="I1021" i="3"/>
  <c r="H1021" i="3"/>
  <c r="G1021" i="3"/>
  <c r="F1021" i="3"/>
  <c r="E1021" i="3"/>
  <c r="I1020" i="3"/>
  <c r="H1020" i="3"/>
  <c r="G1020" i="3"/>
  <c r="F1020" i="3"/>
  <c r="E1020" i="3"/>
  <c r="I1019" i="3"/>
  <c r="H1019" i="3"/>
  <c r="G1019" i="3"/>
  <c r="F1019" i="3"/>
  <c r="E1019" i="3"/>
  <c r="I1018" i="3"/>
  <c r="H1018" i="3"/>
  <c r="G1018" i="3"/>
  <c r="F1018" i="3"/>
  <c r="E1018" i="3"/>
  <c r="I1017" i="3"/>
  <c r="H1017" i="3"/>
  <c r="G1017" i="3"/>
  <c r="F1017" i="3"/>
  <c r="E1017" i="3"/>
  <c r="I1016" i="3"/>
  <c r="H1016" i="3"/>
  <c r="G1016" i="3"/>
  <c r="F1016" i="3"/>
  <c r="E1016" i="3"/>
  <c r="I1015" i="3"/>
  <c r="H1015" i="3"/>
  <c r="G1015" i="3"/>
  <c r="F1015" i="3"/>
  <c r="E1015" i="3"/>
  <c r="I1014" i="3"/>
  <c r="H1014" i="3"/>
  <c r="G1014" i="3"/>
  <c r="F1014" i="3"/>
  <c r="E1014" i="3"/>
  <c r="I1013" i="3"/>
  <c r="H1013" i="3"/>
  <c r="G1013" i="3"/>
  <c r="F1013" i="3"/>
  <c r="E1013" i="3"/>
  <c r="I1012" i="3"/>
  <c r="H1012" i="3"/>
  <c r="G1012" i="3"/>
  <c r="F1012" i="3"/>
  <c r="E1012" i="3"/>
  <c r="I1011" i="3"/>
  <c r="H1011" i="3"/>
  <c r="G1011" i="3"/>
  <c r="F1011" i="3"/>
  <c r="E1011" i="3"/>
  <c r="I1010" i="3"/>
  <c r="H1010" i="3"/>
  <c r="G1010" i="3"/>
  <c r="F1010" i="3"/>
  <c r="E1010" i="3"/>
  <c r="I1009" i="3"/>
  <c r="H1009" i="3"/>
  <c r="G1009" i="3"/>
  <c r="F1009" i="3"/>
  <c r="E1009" i="3"/>
  <c r="I1008" i="3"/>
  <c r="H1008" i="3"/>
  <c r="G1008" i="3"/>
  <c r="F1008" i="3"/>
  <c r="E1008" i="3"/>
  <c r="I1007" i="3"/>
  <c r="H1007" i="3"/>
  <c r="G1007" i="3"/>
  <c r="F1007" i="3"/>
  <c r="E1007" i="3"/>
  <c r="I1006" i="3"/>
  <c r="H1006" i="3"/>
  <c r="G1006" i="3"/>
  <c r="F1006" i="3"/>
  <c r="E1006" i="3"/>
  <c r="I1005" i="3"/>
  <c r="H1005" i="3"/>
  <c r="G1005" i="3"/>
  <c r="F1005" i="3"/>
  <c r="E1005" i="3"/>
  <c r="I1004" i="3"/>
  <c r="H1004" i="3"/>
  <c r="G1004" i="3"/>
  <c r="F1004" i="3"/>
  <c r="E1004" i="3"/>
  <c r="I1003" i="3"/>
  <c r="H1003" i="3"/>
  <c r="G1003" i="3"/>
  <c r="F1003" i="3"/>
  <c r="E1003" i="3"/>
  <c r="I1002" i="3"/>
  <c r="H1002" i="3"/>
  <c r="G1002" i="3"/>
  <c r="F1002" i="3"/>
  <c r="E1002" i="3"/>
  <c r="I1001" i="3"/>
  <c r="H1001" i="3"/>
  <c r="G1001" i="3"/>
  <c r="F1001" i="3"/>
  <c r="E1001" i="3"/>
  <c r="I1000" i="3"/>
  <c r="H1000" i="3"/>
  <c r="G1000" i="3"/>
  <c r="F1000" i="3"/>
  <c r="E1000" i="3"/>
  <c r="I999" i="3"/>
  <c r="H999" i="3"/>
  <c r="G999" i="3"/>
  <c r="F999" i="3"/>
  <c r="E999" i="3"/>
  <c r="I998" i="3"/>
  <c r="H998" i="3"/>
  <c r="G998" i="3"/>
  <c r="F998" i="3"/>
  <c r="E998" i="3"/>
  <c r="I997" i="3"/>
  <c r="H997" i="3"/>
  <c r="G997" i="3"/>
  <c r="F997" i="3"/>
  <c r="E997" i="3"/>
  <c r="I996" i="3"/>
  <c r="H996" i="3"/>
  <c r="G996" i="3"/>
  <c r="F996" i="3"/>
  <c r="E996" i="3"/>
  <c r="I995" i="3"/>
  <c r="H995" i="3"/>
  <c r="G995" i="3"/>
  <c r="F995" i="3"/>
  <c r="E995" i="3"/>
  <c r="I994" i="3"/>
  <c r="H994" i="3"/>
  <c r="G994" i="3"/>
  <c r="F994" i="3"/>
  <c r="E994" i="3"/>
  <c r="I993" i="3"/>
  <c r="H993" i="3"/>
  <c r="G993" i="3"/>
  <c r="F993" i="3"/>
  <c r="E993" i="3"/>
  <c r="I992" i="3"/>
  <c r="H992" i="3"/>
  <c r="G992" i="3"/>
  <c r="F992" i="3"/>
  <c r="E992" i="3"/>
  <c r="I991" i="3"/>
  <c r="H991" i="3"/>
  <c r="G991" i="3"/>
  <c r="F991" i="3"/>
  <c r="E991" i="3"/>
  <c r="I990" i="3"/>
  <c r="H990" i="3"/>
  <c r="G990" i="3"/>
  <c r="F990" i="3"/>
  <c r="E990" i="3"/>
  <c r="I989" i="3"/>
  <c r="H989" i="3"/>
  <c r="G989" i="3"/>
  <c r="F989" i="3"/>
  <c r="E989" i="3"/>
  <c r="I988" i="3"/>
  <c r="H988" i="3"/>
  <c r="G988" i="3"/>
  <c r="F988" i="3"/>
  <c r="E988" i="3"/>
  <c r="I987" i="3"/>
  <c r="H987" i="3"/>
  <c r="G987" i="3"/>
  <c r="F987" i="3"/>
  <c r="E987" i="3"/>
  <c r="I986" i="3"/>
  <c r="H986" i="3"/>
  <c r="G986" i="3"/>
  <c r="F986" i="3"/>
  <c r="E986" i="3"/>
  <c r="I985" i="3"/>
  <c r="H985" i="3"/>
  <c r="G985" i="3"/>
  <c r="F985" i="3"/>
  <c r="E985" i="3"/>
  <c r="I984" i="3"/>
  <c r="H984" i="3"/>
  <c r="G984" i="3"/>
  <c r="F984" i="3"/>
  <c r="E984" i="3"/>
  <c r="I983" i="3"/>
  <c r="H983" i="3"/>
  <c r="G983" i="3"/>
  <c r="F983" i="3"/>
  <c r="E983" i="3"/>
  <c r="I982" i="3"/>
  <c r="H982" i="3"/>
  <c r="G982" i="3"/>
  <c r="F982" i="3"/>
  <c r="E982" i="3"/>
  <c r="I981" i="3"/>
  <c r="H981" i="3"/>
  <c r="G981" i="3"/>
  <c r="F981" i="3"/>
  <c r="E981" i="3"/>
  <c r="I980" i="3"/>
  <c r="H980" i="3"/>
  <c r="G980" i="3"/>
  <c r="F980" i="3"/>
  <c r="E980" i="3"/>
  <c r="I979" i="3"/>
  <c r="H979" i="3"/>
  <c r="G979" i="3"/>
  <c r="F979" i="3"/>
  <c r="E979" i="3"/>
  <c r="I978" i="3"/>
  <c r="H978" i="3"/>
  <c r="G978" i="3"/>
  <c r="F978" i="3"/>
  <c r="E978" i="3"/>
  <c r="I977" i="3"/>
  <c r="H977" i="3"/>
  <c r="G977" i="3"/>
  <c r="F977" i="3"/>
  <c r="E977" i="3"/>
  <c r="I976" i="3"/>
  <c r="H976" i="3"/>
  <c r="G976" i="3"/>
  <c r="F976" i="3"/>
  <c r="E976" i="3"/>
  <c r="I975" i="3"/>
  <c r="H975" i="3"/>
  <c r="G975" i="3"/>
  <c r="F975" i="3"/>
  <c r="E975" i="3"/>
  <c r="I974" i="3"/>
  <c r="H974" i="3"/>
  <c r="G974" i="3"/>
  <c r="F974" i="3"/>
  <c r="E974" i="3"/>
  <c r="I973" i="3"/>
  <c r="H973" i="3"/>
  <c r="G973" i="3"/>
  <c r="F973" i="3"/>
  <c r="E973" i="3"/>
  <c r="I972" i="3"/>
  <c r="H972" i="3"/>
  <c r="G972" i="3"/>
  <c r="F972" i="3"/>
  <c r="E972" i="3"/>
  <c r="I971" i="3"/>
  <c r="H971" i="3"/>
  <c r="G971" i="3"/>
  <c r="F971" i="3"/>
  <c r="E971" i="3"/>
  <c r="I970" i="3"/>
  <c r="H970" i="3"/>
  <c r="G970" i="3"/>
  <c r="F970" i="3"/>
  <c r="E970" i="3"/>
  <c r="I969" i="3"/>
  <c r="H969" i="3"/>
  <c r="G969" i="3"/>
  <c r="F969" i="3"/>
  <c r="E969" i="3"/>
  <c r="I968" i="3"/>
  <c r="H968" i="3"/>
  <c r="G968" i="3"/>
  <c r="F968" i="3"/>
  <c r="E968" i="3"/>
  <c r="I967" i="3"/>
  <c r="H967" i="3"/>
  <c r="G967" i="3"/>
  <c r="F967" i="3"/>
  <c r="E967" i="3"/>
  <c r="I966" i="3"/>
  <c r="H966" i="3"/>
  <c r="G966" i="3"/>
  <c r="F966" i="3"/>
  <c r="E966" i="3"/>
  <c r="I965" i="3"/>
  <c r="H965" i="3"/>
  <c r="G965" i="3"/>
  <c r="F965" i="3"/>
  <c r="E965" i="3"/>
  <c r="I964" i="3"/>
  <c r="H964" i="3"/>
  <c r="G964" i="3"/>
  <c r="F964" i="3"/>
  <c r="E964" i="3"/>
  <c r="I963" i="3"/>
  <c r="H963" i="3"/>
  <c r="G963" i="3"/>
  <c r="F963" i="3"/>
  <c r="E963" i="3"/>
  <c r="I962" i="3"/>
  <c r="H962" i="3"/>
  <c r="G962" i="3"/>
  <c r="F962" i="3"/>
  <c r="E962" i="3"/>
  <c r="I961" i="3"/>
  <c r="H961" i="3"/>
  <c r="G961" i="3"/>
  <c r="F961" i="3"/>
  <c r="E961" i="3"/>
  <c r="I960" i="3"/>
  <c r="H960" i="3"/>
  <c r="G960" i="3"/>
  <c r="F960" i="3"/>
  <c r="E960" i="3"/>
  <c r="I959" i="3"/>
  <c r="H959" i="3"/>
  <c r="G959" i="3"/>
  <c r="F959" i="3"/>
  <c r="E959" i="3"/>
  <c r="I958" i="3"/>
  <c r="H958" i="3"/>
  <c r="G958" i="3"/>
  <c r="F958" i="3"/>
  <c r="E958" i="3"/>
  <c r="I957" i="3"/>
  <c r="H957" i="3"/>
  <c r="G957" i="3"/>
  <c r="F957" i="3"/>
  <c r="E957" i="3"/>
  <c r="I956" i="3"/>
  <c r="H956" i="3"/>
  <c r="G956" i="3"/>
  <c r="F956" i="3"/>
  <c r="E956" i="3"/>
  <c r="I955" i="3"/>
  <c r="H955" i="3"/>
  <c r="G955" i="3"/>
  <c r="F955" i="3"/>
  <c r="E955" i="3"/>
  <c r="I954" i="3"/>
  <c r="H954" i="3"/>
  <c r="G954" i="3"/>
  <c r="F954" i="3"/>
  <c r="E954" i="3"/>
  <c r="I953" i="3"/>
  <c r="H953" i="3"/>
  <c r="G953" i="3"/>
  <c r="F953" i="3"/>
  <c r="E953" i="3"/>
  <c r="I952" i="3"/>
  <c r="H952" i="3"/>
  <c r="G952" i="3"/>
  <c r="F952" i="3"/>
  <c r="E952" i="3"/>
  <c r="I951" i="3"/>
  <c r="H951" i="3"/>
  <c r="G951" i="3"/>
  <c r="F951" i="3"/>
  <c r="E951" i="3"/>
  <c r="I950" i="3"/>
  <c r="H950" i="3"/>
  <c r="G950" i="3"/>
  <c r="F950" i="3"/>
  <c r="E950" i="3"/>
  <c r="I949" i="3"/>
  <c r="H949" i="3"/>
  <c r="G949" i="3"/>
  <c r="F949" i="3"/>
  <c r="E949" i="3"/>
  <c r="I948" i="3"/>
  <c r="H948" i="3"/>
  <c r="G948" i="3"/>
  <c r="F948" i="3"/>
  <c r="E948" i="3"/>
  <c r="I947" i="3"/>
  <c r="H947" i="3"/>
  <c r="G947" i="3"/>
  <c r="F947" i="3"/>
  <c r="E947" i="3"/>
  <c r="I946" i="3"/>
  <c r="H946" i="3"/>
  <c r="G946" i="3"/>
  <c r="F946" i="3"/>
  <c r="E946" i="3"/>
  <c r="I945" i="3"/>
  <c r="H945" i="3"/>
  <c r="G945" i="3"/>
  <c r="F945" i="3"/>
  <c r="E945" i="3"/>
  <c r="I944" i="3"/>
  <c r="H944" i="3"/>
  <c r="G944" i="3"/>
  <c r="F944" i="3"/>
  <c r="E944" i="3"/>
  <c r="I943" i="3"/>
  <c r="H943" i="3"/>
  <c r="G943" i="3"/>
  <c r="F943" i="3"/>
  <c r="E943" i="3"/>
  <c r="I942" i="3"/>
  <c r="H942" i="3"/>
  <c r="G942" i="3"/>
  <c r="F942" i="3"/>
  <c r="E942" i="3"/>
  <c r="I941" i="3"/>
  <c r="H941" i="3"/>
  <c r="G941" i="3"/>
  <c r="F941" i="3"/>
  <c r="E941" i="3"/>
  <c r="I940" i="3"/>
  <c r="H940" i="3"/>
  <c r="G940" i="3"/>
  <c r="F940" i="3"/>
  <c r="E940" i="3"/>
  <c r="I939" i="3"/>
  <c r="H939" i="3"/>
  <c r="G939" i="3"/>
  <c r="F939" i="3"/>
  <c r="E939" i="3"/>
  <c r="I938" i="3"/>
  <c r="H938" i="3"/>
  <c r="G938" i="3"/>
  <c r="F938" i="3"/>
  <c r="E938" i="3"/>
  <c r="I937" i="3"/>
  <c r="H937" i="3"/>
  <c r="G937" i="3"/>
  <c r="F937" i="3"/>
  <c r="E937" i="3"/>
  <c r="I936" i="3"/>
  <c r="H936" i="3"/>
  <c r="G936" i="3"/>
  <c r="F936" i="3"/>
  <c r="E936" i="3"/>
  <c r="I935" i="3"/>
  <c r="H935" i="3"/>
  <c r="G935" i="3"/>
  <c r="F935" i="3"/>
  <c r="E935" i="3"/>
  <c r="I934" i="3"/>
  <c r="H934" i="3"/>
  <c r="G934" i="3"/>
  <c r="F934" i="3"/>
  <c r="E934" i="3"/>
  <c r="I933" i="3"/>
  <c r="H933" i="3"/>
  <c r="G933" i="3"/>
  <c r="F933" i="3"/>
  <c r="E933" i="3"/>
  <c r="I932" i="3"/>
  <c r="H932" i="3"/>
  <c r="G932" i="3"/>
  <c r="F932" i="3"/>
  <c r="E932" i="3"/>
  <c r="I931" i="3"/>
  <c r="H931" i="3"/>
  <c r="G931" i="3"/>
  <c r="F931" i="3"/>
  <c r="E931" i="3"/>
  <c r="I930" i="3"/>
  <c r="H930" i="3"/>
  <c r="G930" i="3"/>
  <c r="F930" i="3"/>
  <c r="E930" i="3"/>
  <c r="I929" i="3"/>
  <c r="H929" i="3"/>
  <c r="G929" i="3"/>
  <c r="F929" i="3"/>
  <c r="E929" i="3"/>
  <c r="I928" i="3"/>
  <c r="H928" i="3"/>
  <c r="G928" i="3"/>
  <c r="F928" i="3"/>
  <c r="E928" i="3"/>
  <c r="I927" i="3"/>
  <c r="H927" i="3"/>
  <c r="G927" i="3"/>
  <c r="F927" i="3"/>
  <c r="E927" i="3"/>
  <c r="I926" i="3"/>
  <c r="H926" i="3"/>
  <c r="G926" i="3"/>
  <c r="F926" i="3"/>
  <c r="E926" i="3"/>
  <c r="I925" i="3"/>
  <c r="H925" i="3"/>
  <c r="G925" i="3"/>
  <c r="F925" i="3"/>
  <c r="E925" i="3"/>
  <c r="I924" i="3"/>
  <c r="H924" i="3"/>
  <c r="G924" i="3"/>
  <c r="F924" i="3"/>
  <c r="E924" i="3"/>
  <c r="I923" i="3"/>
  <c r="H923" i="3"/>
  <c r="G923" i="3"/>
  <c r="F923" i="3"/>
  <c r="E923" i="3"/>
  <c r="I922" i="3"/>
  <c r="H922" i="3"/>
  <c r="G922" i="3"/>
  <c r="F922" i="3"/>
  <c r="E922" i="3"/>
  <c r="I921" i="3"/>
  <c r="H921" i="3"/>
  <c r="G921" i="3"/>
  <c r="F921" i="3"/>
  <c r="E921" i="3"/>
  <c r="I920" i="3"/>
  <c r="H920" i="3"/>
  <c r="G920" i="3"/>
  <c r="F920" i="3"/>
  <c r="E920" i="3"/>
  <c r="I919" i="3"/>
  <c r="H919" i="3"/>
  <c r="G919" i="3"/>
  <c r="F919" i="3"/>
  <c r="E919" i="3"/>
  <c r="I918" i="3"/>
  <c r="H918" i="3"/>
  <c r="G918" i="3"/>
  <c r="F918" i="3"/>
  <c r="E918" i="3"/>
  <c r="I917" i="3"/>
  <c r="H917" i="3"/>
  <c r="G917" i="3"/>
  <c r="F917" i="3"/>
  <c r="E917" i="3"/>
  <c r="I916" i="3"/>
  <c r="H916" i="3"/>
  <c r="G916" i="3"/>
  <c r="F916" i="3"/>
  <c r="E916" i="3"/>
  <c r="I915" i="3"/>
  <c r="H915" i="3"/>
  <c r="G915" i="3"/>
  <c r="F915" i="3"/>
  <c r="E915" i="3"/>
  <c r="I914" i="3"/>
  <c r="H914" i="3"/>
  <c r="G914" i="3"/>
  <c r="F914" i="3"/>
  <c r="E914" i="3"/>
  <c r="I913" i="3"/>
  <c r="H913" i="3"/>
  <c r="G913" i="3"/>
  <c r="F913" i="3"/>
  <c r="E913" i="3"/>
  <c r="I912" i="3"/>
  <c r="H912" i="3"/>
  <c r="G912" i="3"/>
  <c r="F912" i="3"/>
  <c r="E912" i="3"/>
  <c r="I911" i="3"/>
  <c r="H911" i="3"/>
  <c r="G911" i="3"/>
  <c r="F911" i="3"/>
  <c r="E911" i="3"/>
  <c r="I910" i="3"/>
  <c r="H910" i="3"/>
  <c r="G910" i="3"/>
  <c r="F910" i="3"/>
  <c r="E910" i="3"/>
  <c r="I909" i="3"/>
  <c r="H909" i="3"/>
  <c r="G909" i="3"/>
  <c r="F909" i="3"/>
  <c r="E909" i="3"/>
  <c r="I908" i="3"/>
  <c r="H908" i="3"/>
  <c r="G908" i="3"/>
  <c r="F908" i="3"/>
  <c r="E908" i="3"/>
  <c r="I907" i="3"/>
  <c r="H907" i="3"/>
  <c r="G907" i="3"/>
  <c r="F907" i="3"/>
  <c r="E907" i="3"/>
  <c r="I906" i="3"/>
  <c r="H906" i="3"/>
  <c r="G906" i="3"/>
  <c r="F906" i="3"/>
  <c r="E906" i="3"/>
  <c r="E897" i="3"/>
  <c r="E896" i="3"/>
  <c r="E895" i="3"/>
  <c r="E894" i="3"/>
  <c r="E893" i="3"/>
  <c r="E892" i="3"/>
  <c r="E891" i="3"/>
  <c r="E890" i="3"/>
  <c r="E889" i="3"/>
  <c r="E888" i="3"/>
  <c r="E887" i="3"/>
  <c r="E886" i="3"/>
  <c r="E885" i="3"/>
  <c r="E884" i="3"/>
  <c r="E883" i="3"/>
  <c r="E882" i="3"/>
  <c r="E881" i="3"/>
  <c r="E880" i="3"/>
  <c r="E879" i="3"/>
  <c r="E878" i="3"/>
  <c r="E877" i="3"/>
  <c r="E876" i="3"/>
  <c r="E875" i="3"/>
  <c r="E874" i="3"/>
  <c r="E873" i="3"/>
  <c r="E872" i="3"/>
  <c r="E871" i="3"/>
  <c r="E870" i="3"/>
  <c r="E869" i="3"/>
  <c r="E868" i="3"/>
  <c r="E867" i="3"/>
  <c r="E866" i="3"/>
  <c r="E865" i="3"/>
  <c r="E864" i="3"/>
  <c r="E863" i="3"/>
  <c r="E862" i="3"/>
  <c r="E861" i="3"/>
  <c r="E860" i="3"/>
  <c r="E859" i="3"/>
  <c r="E858" i="3"/>
  <c r="E857" i="3"/>
  <c r="E856" i="3"/>
  <c r="E855" i="3"/>
  <c r="E854" i="3"/>
  <c r="E853" i="3"/>
  <c r="E852" i="3"/>
  <c r="E851" i="3"/>
  <c r="E850" i="3"/>
  <c r="E849" i="3"/>
  <c r="E848" i="3"/>
  <c r="E847" i="3"/>
  <c r="E846" i="3"/>
  <c r="E845" i="3"/>
  <c r="E844" i="3"/>
  <c r="E843" i="3"/>
  <c r="E842" i="3"/>
  <c r="E841" i="3"/>
  <c r="E840" i="3"/>
  <c r="E839" i="3"/>
  <c r="E838" i="3"/>
  <c r="E837" i="3"/>
  <c r="E836" i="3"/>
  <c r="E835" i="3"/>
  <c r="E834" i="3"/>
  <c r="E833" i="3"/>
  <c r="E832" i="3"/>
  <c r="E831" i="3"/>
  <c r="E830" i="3"/>
  <c r="E829" i="3"/>
  <c r="E828" i="3"/>
  <c r="E827" i="3"/>
  <c r="E826" i="3"/>
  <c r="E825" i="3"/>
  <c r="E824" i="3"/>
  <c r="E823" i="3"/>
  <c r="E822" i="3"/>
  <c r="E821" i="3"/>
  <c r="E820" i="3"/>
  <c r="E819" i="3"/>
  <c r="E818" i="3"/>
  <c r="E817" i="3"/>
  <c r="E816" i="3"/>
  <c r="E815" i="3"/>
  <c r="E814" i="3"/>
  <c r="E813" i="3"/>
  <c r="E812" i="3"/>
  <c r="E811" i="3"/>
  <c r="E810" i="3"/>
  <c r="E809" i="3"/>
  <c r="E808" i="3"/>
  <c r="E807" i="3"/>
  <c r="E806" i="3"/>
  <c r="E805" i="3"/>
  <c r="E804" i="3"/>
  <c r="E803" i="3"/>
  <c r="E802" i="3"/>
  <c r="E801" i="3"/>
  <c r="E800" i="3"/>
  <c r="E799" i="3"/>
  <c r="E798" i="3"/>
  <c r="E797" i="3"/>
  <c r="E796" i="3"/>
  <c r="E795" i="3"/>
  <c r="E794" i="3"/>
  <c r="E793" i="3"/>
  <c r="E792" i="3"/>
  <c r="E791" i="3"/>
  <c r="E790" i="3"/>
  <c r="E789" i="3"/>
  <c r="E788" i="3"/>
  <c r="E787" i="3"/>
  <c r="E786" i="3"/>
  <c r="E785" i="3"/>
  <c r="E784" i="3"/>
  <c r="E783" i="3"/>
  <c r="E782" i="3"/>
  <c r="E781" i="3"/>
  <c r="E780" i="3"/>
  <c r="E779" i="3"/>
  <c r="E778" i="3"/>
  <c r="E777" i="3"/>
  <c r="E776" i="3"/>
  <c r="E775" i="3"/>
  <c r="E774" i="3"/>
  <c r="E773" i="3"/>
  <c r="E772" i="3"/>
  <c r="E771" i="3"/>
  <c r="E770" i="3"/>
  <c r="E769" i="3"/>
  <c r="E768" i="3"/>
  <c r="E767" i="3"/>
  <c r="E766" i="3"/>
  <c r="E765" i="3"/>
  <c r="E764" i="3"/>
  <c r="E763" i="3"/>
  <c r="E762" i="3"/>
  <c r="E761" i="3"/>
  <c r="E760" i="3"/>
  <c r="E759" i="3"/>
  <c r="E758" i="3"/>
  <c r="E757" i="3"/>
  <c r="E756" i="3"/>
  <c r="E755" i="3"/>
  <c r="E754" i="3"/>
  <c r="E753" i="3"/>
  <c r="E752" i="3"/>
  <c r="E751" i="3"/>
  <c r="E750" i="3"/>
  <c r="E749" i="3"/>
  <c r="E748" i="3"/>
  <c r="E747" i="3"/>
  <c r="E746" i="3"/>
  <c r="E745" i="3"/>
  <c r="E744" i="3"/>
  <c r="E743" i="3"/>
  <c r="E742" i="3"/>
  <c r="E741" i="3"/>
  <c r="E740" i="3"/>
  <c r="E739" i="3"/>
  <c r="E738" i="3"/>
  <c r="E737" i="3"/>
  <c r="E736" i="3"/>
  <c r="E735" i="3"/>
  <c r="E734" i="3"/>
  <c r="E733" i="3"/>
  <c r="E732" i="3"/>
  <c r="E731" i="3"/>
  <c r="E730" i="3"/>
  <c r="E729" i="3"/>
  <c r="E728" i="3"/>
  <c r="E727" i="3"/>
  <c r="E726" i="3"/>
  <c r="E725" i="3"/>
  <c r="E724" i="3"/>
  <c r="E723" i="3"/>
  <c r="E722" i="3"/>
  <c r="E721" i="3"/>
  <c r="E720" i="3"/>
  <c r="E719" i="3"/>
  <c r="E718" i="3"/>
  <c r="E717" i="3"/>
  <c r="E716" i="3"/>
  <c r="E715" i="3"/>
  <c r="E714" i="3"/>
  <c r="E713" i="3"/>
  <c r="E712" i="3"/>
  <c r="E711" i="3"/>
  <c r="E710" i="3"/>
  <c r="E709" i="3"/>
  <c r="E708" i="3"/>
  <c r="E707" i="3"/>
  <c r="E706" i="3"/>
  <c r="E705" i="3"/>
  <c r="E704" i="3"/>
  <c r="E703" i="3"/>
  <c r="E702" i="3"/>
  <c r="E701" i="3"/>
  <c r="E700" i="3"/>
  <c r="E699" i="3"/>
  <c r="E698" i="3"/>
  <c r="E697" i="3"/>
  <c r="E696" i="3"/>
  <c r="E695" i="3"/>
  <c r="E694" i="3"/>
  <c r="E693" i="3"/>
  <c r="E692" i="3"/>
  <c r="E691" i="3"/>
  <c r="E690" i="3"/>
  <c r="E689" i="3"/>
  <c r="E688" i="3"/>
  <c r="E687" i="3"/>
  <c r="E686" i="3"/>
  <c r="E685" i="3"/>
  <c r="E684" i="3"/>
  <c r="E683" i="3"/>
  <c r="E682" i="3"/>
  <c r="E681" i="3"/>
  <c r="E680" i="3"/>
  <c r="E679" i="3"/>
  <c r="E678" i="3"/>
  <c r="E677" i="3"/>
  <c r="E676" i="3"/>
  <c r="E675" i="3"/>
  <c r="E674" i="3"/>
  <c r="E673" i="3"/>
  <c r="E672" i="3"/>
  <c r="E671" i="3"/>
  <c r="E670" i="3"/>
  <c r="E669" i="3"/>
  <c r="E668" i="3"/>
  <c r="E667" i="3"/>
  <c r="E666" i="3"/>
  <c r="E665" i="3"/>
  <c r="E664" i="3"/>
  <c r="E663" i="3"/>
  <c r="E662" i="3"/>
  <c r="E661" i="3"/>
  <c r="E660" i="3"/>
  <c r="E659" i="3"/>
  <c r="E658" i="3"/>
  <c r="E657" i="3"/>
  <c r="E656" i="3"/>
  <c r="E655" i="3"/>
  <c r="E654" i="3"/>
  <c r="E653" i="3"/>
  <c r="E652" i="3"/>
  <c r="E651" i="3"/>
  <c r="E650" i="3"/>
  <c r="E649" i="3"/>
  <c r="E648" i="3"/>
  <c r="E647" i="3"/>
  <c r="E646" i="3"/>
  <c r="E645" i="3"/>
  <c r="E644" i="3"/>
  <c r="E643" i="3"/>
  <c r="E642" i="3"/>
  <c r="E641" i="3"/>
  <c r="E640" i="3"/>
  <c r="E639" i="3"/>
  <c r="E638" i="3"/>
  <c r="E637" i="3"/>
  <c r="E636" i="3"/>
  <c r="E635" i="3"/>
  <c r="E634" i="3"/>
  <c r="E633" i="3"/>
  <c r="E632" i="3"/>
  <c r="E631" i="3"/>
  <c r="E630" i="3"/>
  <c r="E629" i="3"/>
  <c r="E628" i="3"/>
  <c r="E627" i="3"/>
  <c r="E626" i="3"/>
  <c r="F626" i="3"/>
  <c r="G626" i="3"/>
  <c r="H626" i="3"/>
  <c r="I626" i="3"/>
  <c r="F627" i="3"/>
  <c r="G627" i="3"/>
  <c r="H627" i="3"/>
  <c r="I627" i="3"/>
  <c r="F628" i="3"/>
  <c r="G628" i="3"/>
  <c r="H628" i="3"/>
  <c r="I628" i="3"/>
  <c r="F629" i="3"/>
  <c r="G629" i="3"/>
  <c r="H629" i="3"/>
  <c r="I629" i="3"/>
  <c r="F630" i="3"/>
  <c r="G630" i="3"/>
  <c r="H630" i="3"/>
  <c r="I630" i="3"/>
  <c r="F631" i="3"/>
  <c r="G631" i="3"/>
  <c r="H631" i="3"/>
  <c r="I631" i="3"/>
  <c r="F632" i="3"/>
  <c r="G632" i="3"/>
  <c r="H632" i="3"/>
  <c r="I632" i="3"/>
  <c r="F633" i="3"/>
  <c r="G633" i="3"/>
  <c r="H633" i="3"/>
  <c r="I633" i="3"/>
  <c r="F634" i="3"/>
  <c r="G634" i="3"/>
  <c r="H634" i="3"/>
  <c r="I634" i="3"/>
  <c r="F635" i="3"/>
  <c r="G635" i="3"/>
  <c r="H635" i="3"/>
  <c r="I635" i="3"/>
  <c r="F636" i="3"/>
  <c r="G636" i="3"/>
  <c r="H636" i="3"/>
  <c r="I636" i="3"/>
  <c r="F637" i="3"/>
  <c r="G637" i="3"/>
  <c r="H637" i="3"/>
  <c r="I637" i="3"/>
  <c r="F638" i="3"/>
  <c r="G638" i="3"/>
  <c r="H638" i="3"/>
  <c r="I638" i="3"/>
  <c r="F639" i="3"/>
  <c r="G639" i="3"/>
  <c r="H639" i="3"/>
  <c r="I639" i="3"/>
  <c r="F640" i="3"/>
  <c r="G640" i="3"/>
  <c r="H640" i="3"/>
  <c r="I640" i="3"/>
  <c r="F641" i="3"/>
  <c r="G641" i="3"/>
  <c r="H641" i="3"/>
  <c r="I641" i="3"/>
  <c r="F642" i="3"/>
  <c r="G642" i="3"/>
  <c r="H642" i="3"/>
  <c r="I642" i="3"/>
  <c r="F643" i="3"/>
  <c r="G643" i="3"/>
  <c r="H643" i="3"/>
  <c r="I643" i="3"/>
  <c r="F644" i="3"/>
  <c r="G644" i="3"/>
  <c r="H644" i="3"/>
  <c r="I644" i="3"/>
  <c r="F645" i="3"/>
  <c r="G645" i="3"/>
  <c r="H645" i="3"/>
  <c r="I645" i="3"/>
  <c r="F646" i="3"/>
  <c r="G646" i="3"/>
  <c r="H646" i="3"/>
  <c r="I646" i="3"/>
  <c r="F647" i="3"/>
  <c r="G647" i="3"/>
  <c r="H647" i="3"/>
  <c r="I647" i="3"/>
  <c r="F648" i="3"/>
  <c r="G648" i="3"/>
  <c r="H648" i="3"/>
  <c r="I648" i="3"/>
  <c r="F649" i="3"/>
  <c r="G649" i="3"/>
  <c r="H649" i="3"/>
  <c r="I649" i="3"/>
  <c r="F650" i="3"/>
  <c r="G650" i="3"/>
  <c r="H650" i="3"/>
  <c r="I650" i="3"/>
  <c r="F651" i="3"/>
  <c r="G651" i="3"/>
  <c r="H651" i="3"/>
  <c r="I651" i="3"/>
  <c r="F652" i="3"/>
  <c r="G652" i="3"/>
  <c r="H652" i="3"/>
  <c r="I652" i="3"/>
  <c r="F653" i="3"/>
  <c r="G653" i="3"/>
  <c r="H653" i="3"/>
  <c r="I653" i="3"/>
  <c r="F654" i="3"/>
  <c r="G654" i="3"/>
  <c r="H654" i="3"/>
  <c r="I654" i="3"/>
  <c r="F655" i="3"/>
  <c r="G655" i="3"/>
  <c r="H655" i="3"/>
  <c r="I655" i="3"/>
  <c r="F656" i="3"/>
  <c r="G656" i="3"/>
  <c r="H656" i="3"/>
  <c r="I656" i="3"/>
  <c r="F657" i="3"/>
  <c r="G657" i="3"/>
  <c r="H657" i="3"/>
  <c r="I657" i="3"/>
  <c r="F658" i="3"/>
  <c r="G658" i="3"/>
  <c r="H658" i="3"/>
  <c r="I658" i="3"/>
  <c r="F659" i="3"/>
  <c r="G659" i="3"/>
  <c r="H659" i="3"/>
  <c r="I659" i="3"/>
  <c r="F660" i="3"/>
  <c r="G660" i="3"/>
  <c r="H660" i="3"/>
  <c r="I660" i="3"/>
  <c r="F661" i="3"/>
  <c r="G661" i="3"/>
  <c r="H661" i="3"/>
  <c r="I661" i="3"/>
  <c r="F662" i="3"/>
  <c r="G662" i="3"/>
  <c r="H662" i="3"/>
  <c r="I662" i="3"/>
  <c r="F663" i="3"/>
  <c r="G663" i="3"/>
  <c r="H663" i="3"/>
  <c r="I663" i="3"/>
  <c r="F664" i="3"/>
  <c r="G664" i="3"/>
  <c r="H664" i="3"/>
  <c r="I664" i="3"/>
  <c r="F665" i="3"/>
  <c r="G665" i="3"/>
  <c r="H665" i="3"/>
  <c r="I665" i="3"/>
  <c r="F666" i="3"/>
  <c r="G666" i="3"/>
  <c r="H666" i="3"/>
  <c r="I666" i="3"/>
  <c r="F667" i="3"/>
  <c r="G667" i="3"/>
  <c r="H667" i="3"/>
  <c r="I667" i="3"/>
  <c r="F668" i="3"/>
  <c r="G668" i="3"/>
  <c r="H668" i="3"/>
  <c r="I668" i="3"/>
  <c r="F669" i="3"/>
  <c r="G669" i="3"/>
  <c r="H669" i="3"/>
  <c r="I669" i="3"/>
  <c r="F670" i="3"/>
  <c r="G670" i="3"/>
  <c r="H670" i="3"/>
  <c r="I670" i="3"/>
  <c r="F671" i="3"/>
  <c r="G671" i="3"/>
  <c r="H671" i="3"/>
  <c r="I671" i="3"/>
  <c r="F672" i="3"/>
  <c r="G672" i="3"/>
  <c r="H672" i="3"/>
  <c r="I672" i="3"/>
  <c r="F673" i="3"/>
  <c r="G673" i="3"/>
  <c r="H673" i="3"/>
  <c r="I673" i="3"/>
  <c r="F674" i="3"/>
  <c r="G674" i="3"/>
  <c r="H674" i="3"/>
  <c r="I674" i="3"/>
  <c r="F675" i="3"/>
  <c r="G675" i="3"/>
  <c r="H675" i="3"/>
  <c r="I675" i="3"/>
  <c r="F676" i="3"/>
  <c r="G676" i="3"/>
  <c r="H676" i="3"/>
  <c r="I676" i="3"/>
  <c r="F677" i="3"/>
  <c r="G677" i="3"/>
  <c r="H677" i="3"/>
  <c r="I677" i="3"/>
  <c r="F678" i="3"/>
  <c r="G678" i="3"/>
  <c r="H678" i="3"/>
  <c r="I678" i="3"/>
  <c r="F679" i="3"/>
  <c r="G679" i="3"/>
  <c r="H679" i="3"/>
  <c r="I679" i="3"/>
  <c r="F680" i="3"/>
  <c r="G680" i="3"/>
  <c r="H680" i="3"/>
  <c r="I680" i="3"/>
  <c r="F681" i="3"/>
  <c r="G681" i="3"/>
  <c r="H681" i="3"/>
  <c r="I681" i="3"/>
  <c r="F682" i="3"/>
  <c r="G682" i="3"/>
  <c r="H682" i="3"/>
  <c r="I682" i="3"/>
  <c r="F683" i="3"/>
  <c r="G683" i="3"/>
  <c r="H683" i="3"/>
  <c r="I683" i="3"/>
  <c r="F684" i="3"/>
  <c r="G684" i="3"/>
  <c r="H684" i="3"/>
  <c r="I684" i="3"/>
  <c r="F685" i="3"/>
  <c r="G685" i="3"/>
  <c r="H685" i="3"/>
  <c r="I685" i="3"/>
  <c r="F686" i="3"/>
  <c r="G686" i="3"/>
  <c r="H686" i="3"/>
  <c r="I686" i="3"/>
  <c r="F687" i="3"/>
  <c r="G687" i="3"/>
  <c r="H687" i="3"/>
  <c r="I687" i="3"/>
  <c r="F688" i="3"/>
  <c r="G688" i="3"/>
  <c r="H688" i="3"/>
  <c r="I688" i="3"/>
  <c r="F689" i="3"/>
  <c r="G689" i="3"/>
  <c r="H689" i="3"/>
  <c r="I689" i="3"/>
  <c r="F690" i="3"/>
  <c r="G690" i="3"/>
  <c r="H690" i="3"/>
  <c r="I690" i="3"/>
  <c r="F691" i="3"/>
  <c r="G691" i="3"/>
  <c r="H691" i="3"/>
  <c r="I691" i="3"/>
  <c r="F692" i="3"/>
  <c r="G692" i="3"/>
  <c r="H692" i="3"/>
  <c r="I692" i="3"/>
  <c r="F693" i="3"/>
  <c r="G693" i="3"/>
  <c r="H693" i="3"/>
  <c r="I693" i="3"/>
  <c r="F694" i="3"/>
  <c r="G694" i="3"/>
  <c r="H694" i="3"/>
  <c r="I694" i="3"/>
  <c r="F695" i="3"/>
  <c r="G695" i="3"/>
  <c r="H695" i="3"/>
  <c r="I695" i="3"/>
  <c r="F696" i="3"/>
  <c r="G696" i="3"/>
  <c r="H696" i="3"/>
  <c r="I696" i="3"/>
  <c r="F697" i="3"/>
  <c r="G697" i="3"/>
  <c r="H697" i="3"/>
  <c r="I697" i="3"/>
  <c r="F698" i="3"/>
  <c r="G698" i="3"/>
  <c r="H698" i="3"/>
  <c r="I698" i="3"/>
  <c r="F699" i="3"/>
  <c r="G699" i="3"/>
  <c r="H699" i="3"/>
  <c r="I699" i="3"/>
  <c r="F700" i="3"/>
  <c r="G700" i="3"/>
  <c r="H700" i="3"/>
  <c r="I700" i="3"/>
  <c r="F701" i="3"/>
  <c r="G701" i="3"/>
  <c r="H701" i="3"/>
  <c r="I701" i="3"/>
  <c r="F702" i="3"/>
  <c r="G702" i="3"/>
  <c r="H702" i="3"/>
  <c r="I702" i="3"/>
  <c r="F703" i="3"/>
  <c r="G703" i="3"/>
  <c r="H703" i="3"/>
  <c r="I703" i="3"/>
  <c r="F704" i="3"/>
  <c r="G704" i="3"/>
  <c r="H704" i="3"/>
  <c r="I704" i="3"/>
  <c r="F705" i="3"/>
  <c r="G705" i="3"/>
  <c r="H705" i="3"/>
  <c r="I705" i="3"/>
  <c r="F706" i="3"/>
  <c r="G706" i="3"/>
  <c r="H706" i="3"/>
  <c r="I706" i="3"/>
  <c r="F707" i="3"/>
  <c r="G707" i="3"/>
  <c r="H707" i="3"/>
  <c r="I707" i="3"/>
  <c r="F708" i="3"/>
  <c r="G708" i="3"/>
  <c r="H708" i="3"/>
  <c r="I708" i="3"/>
  <c r="F709" i="3"/>
  <c r="G709" i="3"/>
  <c r="H709" i="3"/>
  <c r="I709" i="3"/>
  <c r="F710" i="3"/>
  <c r="G710" i="3"/>
  <c r="H710" i="3"/>
  <c r="I710" i="3"/>
  <c r="F711" i="3"/>
  <c r="G711" i="3"/>
  <c r="H711" i="3"/>
  <c r="I711" i="3"/>
  <c r="F712" i="3"/>
  <c r="G712" i="3"/>
  <c r="H712" i="3"/>
  <c r="I712" i="3"/>
  <c r="F713" i="3"/>
  <c r="G713" i="3"/>
  <c r="H713" i="3"/>
  <c r="I713" i="3"/>
  <c r="F714" i="3"/>
  <c r="G714" i="3"/>
  <c r="H714" i="3"/>
  <c r="I714" i="3"/>
  <c r="F715" i="3"/>
  <c r="G715" i="3"/>
  <c r="H715" i="3"/>
  <c r="I715" i="3"/>
  <c r="F716" i="3"/>
  <c r="G716" i="3"/>
  <c r="H716" i="3"/>
  <c r="I716" i="3"/>
  <c r="F717" i="3"/>
  <c r="G717" i="3"/>
  <c r="H717" i="3"/>
  <c r="I717" i="3"/>
  <c r="F718" i="3"/>
  <c r="G718" i="3"/>
  <c r="H718" i="3"/>
  <c r="I718" i="3"/>
  <c r="F719" i="3"/>
  <c r="G719" i="3"/>
  <c r="H719" i="3"/>
  <c r="I719" i="3"/>
  <c r="F720" i="3"/>
  <c r="G720" i="3"/>
  <c r="H720" i="3"/>
  <c r="I720" i="3"/>
  <c r="F721" i="3"/>
  <c r="G721" i="3"/>
  <c r="H721" i="3"/>
  <c r="I721" i="3"/>
  <c r="F722" i="3"/>
  <c r="G722" i="3"/>
  <c r="H722" i="3"/>
  <c r="I722" i="3"/>
  <c r="F723" i="3"/>
  <c r="G723" i="3"/>
  <c r="H723" i="3"/>
  <c r="I723" i="3"/>
  <c r="F724" i="3"/>
  <c r="G724" i="3"/>
  <c r="H724" i="3"/>
  <c r="I724" i="3"/>
  <c r="F725" i="3"/>
  <c r="G725" i="3"/>
  <c r="H725" i="3"/>
  <c r="I725" i="3"/>
  <c r="F726" i="3"/>
  <c r="G726" i="3"/>
  <c r="H726" i="3"/>
  <c r="I726" i="3"/>
  <c r="F727" i="3"/>
  <c r="G727" i="3"/>
  <c r="H727" i="3"/>
  <c r="I727" i="3"/>
  <c r="F728" i="3"/>
  <c r="G728" i="3"/>
  <c r="H728" i="3"/>
  <c r="I728" i="3"/>
  <c r="F729" i="3"/>
  <c r="G729" i="3"/>
  <c r="H729" i="3"/>
  <c r="I729" i="3"/>
  <c r="F730" i="3"/>
  <c r="G730" i="3"/>
  <c r="H730" i="3"/>
  <c r="I730" i="3"/>
  <c r="F731" i="3"/>
  <c r="G731" i="3"/>
  <c r="H731" i="3"/>
  <c r="I731" i="3"/>
  <c r="F732" i="3"/>
  <c r="G732" i="3"/>
  <c r="H732" i="3"/>
  <c r="I732" i="3"/>
  <c r="F733" i="3"/>
  <c r="G733" i="3"/>
  <c r="H733" i="3"/>
  <c r="I733" i="3"/>
  <c r="F734" i="3"/>
  <c r="G734" i="3"/>
  <c r="H734" i="3"/>
  <c r="I734" i="3"/>
  <c r="F735" i="3"/>
  <c r="G735" i="3"/>
  <c r="H735" i="3"/>
  <c r="I735" i="3"/>
  <c r="F736" i="3"/>
  <c r="G736" i="3"/>
  <c r="H736" i="3"/>
  <c r="I736" i="3"/>
  <c r="F737" i="3"/>
  <c r="G737" i="3"/>
  <c r="H737" i="3"/>
  <c r="I737" i="3"/>
  <c r="F738" i="3"/>
  <c r="G738" i="3"/>
  <c r="H738" i="3"/>
  <c r="I738" i="3"/>
  <c r="F739" i="3"/>
  <c r="G739" i="3"/>
  <c r="H739" i="3"/>
  <c r="I739" i="3"/>
  <c r="F740" i="3"/>
  <c r="G740" i="3"/>
  <c r="H740" i="3"/>
  <c r="I740" i="3"/>
  <c r="F741" i="3"/>
  <c r="G741" i="3"/>
  <c r="H741" i="3"/>
  <c r="I741" i="3"/>
  <c r="F742" i="3"/>
  <c r="G742" i="3"/>
  <c r="H742" i="3"/>
  <c r="I742" i="3"/>
  <c r="F743" i="3"/>
  <c r="G743" i="3"/>
  <c r="H743" i="3"/>
  <c r="I743" i="3"/>
  <c r="F744" i="3"/>
  <c r="G744" i="3"/>
  <c r="H744" i="3"/>
  <c r="I744" i="3"/>
  <c r="F745" i="3"/>
  <c r="G745" i="3"/>
  <c r="H745" i="3"/>
  <c r="I745" i="3"/>
  <c r="F746" i="3"/>
  <c r="G746" i="3"/>
  <c r="H746" i="3"/>
  <c r="I746" i="3"/>
  <c r="F747" i="3"/>
  <c r="G747" i="3"/>
  <c r="H747" i="3"/>
  <c r="I747" i="3"/>
  <c r="F748" i="3"/>
  <c r="G748" i="3"/>
  <c r="H748" i="3"/>
  <c r="I748" i="3"/>
  <c r="F749" i="3"/>
  <c r="G749" i="3"/>
  <c r="H749" i="3"/>
  <c r="I749" i="3"/>
  <c r="F750" i="3"/>
  <c r="G750" i="3"/>
  <c r="H750" i="3"/>
  <c r="I750" i="3"/>
  <c r="F751" i="3"/>
  <c r="G751" i="3"/>
  <c r="H751" i="3"/>
  <c r="I751" i="3"/>
  <c r="F752" i="3"/>
  <c r="G752" i="3"/>
  <c r="H752" i="3"/>
  <c r="I752" i="3"/>
  <c r="F753" i="3"/>
  <c r="G753" i="3"/>
  <c r="H753" i="3"/>
  <c r="I753" i="3"/>
  <c r="F754" i="3"/>
  <c r="G754" i="3"/>
  <c r="H754" i="3"/>
  <c r="I754" i="3"/>
  <c r="F755" i="3"/>
  <c r="G755" i="3"/>
  <c r="H755" i="3"/>
  <c r="I755" i="3"/>
  <c r="F756" i="3"/>
  <c r="G756" i="3"/>
  <c r="H756" i="3"/>
  <c r="I756" i="3"/>
  <c r="F757" i="3"/>
  <c r="G757" i="3"/>
  <c r="H757" i="3"/>
  <c r="I757" i="3"/>
  <c r="F758" i="3"/>
  <c r="G758" i="3"/>
  <c r="H758" i="3"/>
  <c r="I758" i="3"/>
  <c r="F759" i="3"/>
  <c r="G759" i="3"/>
  <c r="H759" i="3"/>
  <c r="I759" i="3"/>
  <c r="F760" i="3"/>
  <c r="G760" i="3"/>
  <c r="H760" i="3"/>
  <c r="I760" i="3"/>
  <c r="F761" i="3"/>
  <c r="G761" i="3"/>
  <c r="H761" i="3"/>
  <c r="I761" i="3"/>
  <c r="F762" i="3"/>
  <c r="G762" i="3"/>
  <c r="H762" i="3"/>
  <c r="I762" i="3"/>
  <c r="F763" i="3"/>
  <c r="G763" i="3"/>
  <c r="H763" i="3"/>
  <c r="I763" i="3"/>
  <c r="F764" i="3"/>
  <c r="G764" i="3"/>
  <c r="H764" i="3"/>
  <c r="I764" i="3"/>
  <c r="F765" i="3"/>
  <c r="G765" i="3"/>
  <c r="H765" i="3"/>
  <c r="I765" i="3"/>
  <c r="F766" i="3"/>
  <c r="G766" i="3"/>
  <c r="H766" i="3"/>
  <c r="I766" i="3"/>
  <c r="F767" i="3"/>
  <c r="G767" i="3"/>
  <c r="H767" i="3"/>
  <c r="I767" i="3"/>
  <c r="F768" i="3"/>
  <c r="G768" i="3"/>
  <c r="H768" i="3"/>
  <c r="I768" i="3"/>
  <c r="F769" i="3"/>
  <c r="G769" i="3"/>
  <c r="H769" i="3"/>
  <c r="I769" i="3"/>
  <c r="F770" i="3"/>
  <c r="G770" i="3"/>
  <c r="H770" i="3"/>
  <c r="I770" i="3"/>
  <c r="F771" i="3"/>
  <c r="G771" i="3"/>
  <c r="H771" i="3"/>
  <c r="I771" i="3"/>
  <c r="F772" i="3"/>
  <c r="G772" i="3"/>
  <c r="H772" i="3"/>
  <c r="I772" i="3"/>
  <c r="F773" i="3"/>
  <c r="G773" i="3"/>
  <c r="H773" i="3"/>
  <c r="I773" i="3"/>
  <c r="F774" i="3"/>
  <c r="G774" i="3"/>
  <c r="H774" i="3"/>
  <c r="I774" i="3"/>
  <c r="F775" i="3"/>
  <c r="G775" i="3"/>
  <c r="H775" i="3"/>
  <c r="I775" i="3"/>
  <c r="F776" i="3"/>
  <c r="G776" i="3"/>
  <c r="H776" i="3"/>
  <c r="I776" i="3"/>
  <c r="F777" i="3"/>
  <c r="G777" i="3"/>
  <c r="H777" i="3"/>
  <c r="I777" i="3"/>
  <c r="F778" i="3"/>
  <c r="G778" i="3"/>
  <c r="H778" i="3"/>
  <c r="I778" i="3"/>
  <c r="F779" i="3"/>
  <c r="G779" i="3"/>
  <c r="H779" i="3"/>
  <c r="I779" i="3"/>
  <c r="F780" i="3"/>
  <c r="G780" i="3"/>
  <c r="H780" i="3"/>
  <c r="I780" i="3"/>
  <c r="F781" i="3"/>
  <c r="G781" i="3"/>
  <c r="H781" i="3"/>
  <c r="I781" i="3"/>
  <c r="F782" i="3"/>
  <c r="G782" i="3"/>
  <c r="H782" i="3"/>
  <c r="I782" i="3"/>
  <c r="F783" i="3"/>
  <c r="G783" i="3"/>
  <c r="H783" i="3"/>
  <c r="I783" i="3"/>
  <c r="F784" i="3"/>
  <c r="G784" i="3"/>
  <c r="H784" i="3"/>
  <c r="I784" i="3"/>
  <c r="F785" i="3"/>
  <c r="G785" i="3"/>
  <c r="H785" i="3"/>
  <c r="I785" i="3"/>
  <c r="F786" i="3"/>
  <c r="G786" i="3"/>
  <c r="H786" i="3"/>
  <c r="I786" i="3"/>
  <c r="F787" i="3"/>
  <c r="G787" i="3"/>
  <c r="H787" i="3"/>
  <c r="I787" i="3"/>
  <c r="F788" i="3"/>
  <c r="G788" i="3"/>
  <c r="H788" i="3"/>
  <c r="I788" i="3"/>
  <c r="F789" i="3"/>
  <c r="G789" i="3"/>
  <c r="H789" i="3"/>
  <c r="I789" i="3"/>
  <c r="F790" i="3"/>
  <c r="G790" i="3"/>
  <c r="H790" i="3"/>
  <c r="I790" i="3"/>
  <c r="F791" i="3"/>
  <c r="G791" i="3"/>
  <c r="H791" i="3"/>
  <c r="I791" i="3"/>
  <c r="F792" i="3"/>
  <c r="G792" i="3"/>
  <c r="H792" i="3"/>
  <c r="I792" i="3"/>
  <c r="F793" i="3"/>
  <c r="G793" i="3"/>
  <c r="H793" i="3"/>
  <c r="I793" i="3"/>
  <c r="F794" i="3"/>
  <c r="G794" i="3"/>
  <c r="H794" i="3"/>
  <c r="I794" i="3"/>
  <c r="F795" i="3"/>
  <c r="G795" i="3"/>
  <c r="H795" i="3"/>
  <c r="I795" i="3"/>
  <c r="F796" i="3"/>
  <c r="G796" i="3"/>
  <c r="H796" i="3"/>
  <c r="I796" i="3"/>
  <c r="F797" i="3"/>
  <c r="G797" i="3"/>
  <c r="H797" i="3"/>
  <c r="I797" i="3"/>
  <c r="F798" i="3"/>
  <c r="G798" i="3"/>
  <c r="H798" i="3"/>
  <c r="I798" i="3"/>
  <c r="F799" i="3"/>
  <c r="G799" i="3"/>
  <c r="H799" i="3"/>
  <c r="I799" i="3"/>
  <c r="F800" i="3"/>
  <c r="G800" i="3"/>
  <c r="H800" i="3"/>
  <c r="I800" i="3"/>
  <c r="F801" i="3"/>
  <c r="G801" i="3"/>
  <c r="H801" i="3"/>
  <c r="I801" i="3"/>
  <c r="F802" i="3"/>
  <c r="G802" i="3"/>
  <c r="H802" i="3"/>
  <c r="I802" i="3"/>
  <c r="F803" i="3"/>
  <c r="G803" i="3"/>
  <c r="H803" i="3"/>
  <c r="I803" i="3"/>
  <c r="F804" i="3"/>
  <c r="G804" i="3"/>
  <c r="H804" i="3"/>
  <c r="I804" i="3"/>
  <c r="F805" i="3"/>
  <c r="G805" i="3"/>
  <c r="H805" i="3"/>
  <c r="I805" i="3"/>
  <c r="F806" i="3"/>
  <c r="G806" i="3"/>
  <c r="H806" i="3"/>
  <c r="I806" i="3"/>
  <c r="F807" i="3"/>
  <c r="G807" i="3"/>
  <c r="H807" i="3"/>
  <c r="I807" i="3"/>
  <c r="F808" i="3"/>
  <c r="G808" i="3"/>
  <c r="H808" i="3"/>
  <c r="I808" i="3"/>
  <c r="F809" i="3"/>
  <c r="G809" i="3"/>
  <c r="H809" i="3"/>
  <c r="I809" i="3"/>
  <c r="F810" i="3"/>
  <c r="G810" i="3"/>
  <c r="H810" i="3"/>
  <c r="I810" i="3"/>
  <c r="F811" i="3"/>
  <c r="G811" i="3"/>
  <c r="H811" i="3"/>
  <c r="I811" i="3"/>
  <c r="F812" i="3"/>
  <c r="G812" i="3"/>
  <c r="H812" i="3"/>
  <c r="I812" i="3"/>
  <c r="F813" i="3"/>
  <c r="G813" i="3"/>
  <c r="H813" i="3"/>
  <c r="I813" i="3"/>
  <c r="F814" i="3"/>
  <c r="G814" i="3"/>
  <c r="H814" i="3"/>
  <c r="I814" i="3"/>
  <c r="F815" i="3"/>
  <c r="G815" i="3"/>
  <c r="H815" i="3"/>
  <c r="I815" i="3"/>
  <c r="F816" i="3"/>
  <c r="G816" i="3"/>
  <c r="H816" i="3"/>
  <c r="I816" i="3"/>
  <c r="F817" i="3"/>
  <c r="G817" i="3"/>
  <c r="H817" i="3"/>
  <c r="I817" i="3"/>
  <c r="F818" i="3"/>
  <c r="G818" i="3"/>
  <c r="H818" i="3"/>
  <c r="I818" i="3"/>
  <c r="F819" i="3"/>
  <c r="G819" i="3"/>
  <c r="H819" i="3"/>
  <c r="I819" i="3"/>
  <c r="F820" i="3"/>
  <c r="G820" i="3"/>
  <c r="H820" i="3"/>
  <c r="I820" i="3"/>
  <c r="F821" i="3"/>
  <c r="G821" i="3"/>
  <c r="H821" i="3"/>
  <c r="I821" i="3"/>
  <c r="F822" i="3"/>
  <c r="G822" i="3"/>
  <c r="H822" i="3"/>
  <c r="I822" i="3"/>
  <c r="F823" i="3"/>
  <c r="G823" i="3"/>
  <c r="H823" i="3"/>
  <c r="I823" i="3"/>
  <c r="F824" i="3"/>
  <c r="G824" i="3"/>
  <c r="H824" i="3"/>
  <c r="I824" i="3"/>
  <c r="F825" i="3"/>
  <c r="G825" i="3"/>
  <c r="H825" i="3"/>
  <c r="I825" i="3"/>
  <c r="F826" i="3"/>
  <c r="G826" i="3"/>
  <c r="H826" i="3"/>
  <c r="I826" i="3"/>
  <c r="F827" i="3"/>
  <c r="G827" i="3"/>
  <c r="H827" i="3"/>
  <c r="I827" i="3"/>
  <c r="F828" i="3"/>
  <c r="G828" i="3"/>
  <c r="H828" i="3"/>
  <c r="I828" i="3"/>
  <c r="F829" i="3"/>
  <c r="G829" i="3"/>
  <c r="H829" i="3"/>
  <c r="I829" i="3"/>
  <c r="F830" i="3"/>
  <c r="G830" i="3"/>
  <c r="H830" i="3"/>
  <c r="I830" i="3"/>
  <c r="F831" i="3"/>
  <c r="G831" i="3"/>
  <c r="H831" i="3"/>
  <c r="I831" i="3"/>
  <c r="F832" i="3"/>
  <c r="G832" i="3"/>
  <c r="H832" i="3"/>
  <c r="I832" i="3"/>
  <c r="F833" i="3"/>
  <c r="G833" i="3"/>
  <c r="H833" i="3"/>
  <c r="I833" i="3"/>
  <c r="F834" i="3"/>
  <c r="G834" i="3"/>
  <c r="H834" i="3"/>
  <c r="I834" i="3"/>
  <c r="F835" i="3"/>
  <c r="G835" i="3"/>
  <c r="H835" i="3"/>
  <c r="I835" i="3"/>
  <c r="F836" i="3"/>
  <c r="G836" i="3"/>
  <c r="H836" i="3"/>
  <c r="I836" i="3"/>
  <c r="F837" i="3"/>
  <c r="G837" i="3"/>
  <c r="H837" i="3"/>
  <c r="I837" i="3"/>
  <c r="F838" i="3"/>
  <c r="G838" i="3"/>
  <c r="H838" i="3"/>
  <c r="I838" i="3"/>
  <c r="F839" i="3"/>
  <c r="G839" i="3"/>
  <c r="H839" i="3"/>
  <c r="I839" i="3"/>
  <c r="F840" i="3"/>
  <c r="G840" i="3"/>
  <c r="H840" i="3"/>
  <c r="I840" i="3"/>
  <c r="F841" i="3"/>
  <c r="G841" i="3"/>
  <c r="H841" i="3"/>
  <c r="I841" i="3"/>
  <c r="F842" i="3"/>
  <c r="G842" i="3"/>
  <c r="H842" i="3"/>
  <c r="I842" i="3"/>
  <c r="F843" i="3"/>
  <c r="G843" i="3"/>
  <c r="H843" i="3"/>
  <c r="I843" i="3"/>
  <c r="F844" i="3"/>
  <c r="G844" i="3"/>
  <c r="H844" i="3"/>
  <c r="I844" i="3"/>
  <c r="F845" i="3"/>
  <c r="G845" i="3"/>
  <c r="H845" i="3"/>
  <c r="I845" i="3"/>
  <c r="F846" i="3"/>
  <c r="G846" i="3"/>
  <c r="H846" i="3"/>
  <c r="I846" i="3"/>
  <c r="F847" i="3"/>
  <c r="G847" i="3"/>
  <c r="H847" i="3"/>
  <c r="I847" i="3"/>
  <c r="F848" i="3"/>
  <c r="G848" i="3"/>
  <c r="H848" i="3"/>
  <c r="I848" i="3"/>
  <c r="F849" i="3"/>
  <c r="G849" i="3"/>
  <c r="H849" i="3"/>
  <c r="I849" i="3"/>
  <c r="F850" i="3"/>
  <c r="G850" i="3"/>
  <c r="H850" i="3"/>
  <c r="I850" i="3"/>
  <c r="F851" i="3"/>
  <c r="G851" i="3"/>
  <c r="H851" i="3"/>
  <c r="I851" i="3"/>
  <c r="F852" i="3"/>
  <c r="G852" i="3"/>
  <c r="H852" i="3"/>
  <c r="I852" i="3"/>
  <c r="F853" i="3"/>
  <c r="G853" i="3"/>
  <c r="H853" i="3"/>
  <c r="I853" i="3"/>
  <c r="F854" i="3"/>
  <c r="G854" i="3"/>
  <c r="H854" i="3"/>
  <c r="I854" i="3"/>
  <c r="F855" i="3"/>
  <c r="G855" i="3"/>
  <c r="H855" i="3"/>
  <c r="I855" i="3"/>
  <c r="F856" i="3"/>
  <c r="G856" i="3"/>
  <c r="H856" i="3"/>
  <c r="I856" i="3"/>
  <c r="F857" i="3"/>
  <c r="G857" i="3"/>
  <c r="H857" i="3"/>
  <c r="I857" i="3"/>
  <c r="F858" i="3"/>
  <c r="G858" i="3"/>
  <c r="H858" i="3"/>
  <c r="I858" i="3"/>
  <c r="F859" i="3"/>
  <c r="G859" i="3"/>
  <c r="H859" i="3"/>
  <c r="I859" i="3"/>
  <c r="F860" i="3"/>
  <c r="G860" i="3"/>
  <c r="H860" i="3"/>
  <c r="I860" i="3"/>
  <c r="F861" i="3"/>
  <c r="G861" i="3"/>
  <c r="H861" i="3"/>
  <c r="I861" i="3"/>
  <c r="F862" i="3"/>
  <c r="G862" i="3"/>
  <c r="H862" i="3"/>
  <c r="I862" i="3"/>
  <c r="F863" i="3"/>
  <c r="G863" i="3"/>
  <c r="H863" i="3"/>
  <c r="I863" i="3"/>
  <c r="F864" i="3"/>
  <c r="G864" i="3"/>
  <c r="H864" i="3"/>
  <c r="I864" i="3"/>
  <c r="F865" i="3"/>
  <c r="G865" i="3"/>
  <c r="H865" i="3"/>
  <c r="I865" i="3"/>
  <c r="F866" i="3"/>
  <c r="G866" i="3"/>
  <c r="H866" i="3"/>
  <c r="I866" i="3"/>
  <c r="F867" i="3"/>
  <c r="G867" i="3"/>
  <c r="H867" i="3"/>
  <c r="I867" i="3"/>
  <c r="F868" i="3"/>
  <c r="G868" i="3"/>
  <c r="H868" i="3"/>
  <c r="I868" i="3"/>
  <c r="F869" i="3"/>
  <c r="G869" i="3"/>
  <c r="H869" i="3"/>
  <c r="I869" i="3"/>
  <c r="F870" i="3"/>
  <c r="G870" i="3"/>
  <c r="H870" i="3"/>
  <c r="I870" i="3"/>
  <c r="F871" i="3"/>
  <c r="G871" i="3"/>
  <c r="H871" i="3"/>
  <c r="I871" i="3"/>
  <c r="F872" i="3"/>
  <c r="G872" i="3"/>
  <c r="H872" i="3"/>
  <c r="I872" i="3"/>
  <c r="F873" i="3"/>
  <c r="G873" i="3"/>
  <c r="H873" i="3"/>
  <c r="I873" i="3"/>
  <c r="F874" i="3"/>
  <c r="G874" i="3"/>
  <c r="H874" i="3"/>
  <c r="I874" i="3"/>
  <c r="F875" i="3"/>
  <c r="G875" i="3"/>
  <c r="H875" i="3"/>
  <c r="I875" i="3"/>
  <c r="F876" i="3"/>
  <c r="G876" i="3"/>
  <c r="H876" i="3"/>
  <c r="I876" i="3"/>
  <c r="F877" i="3"/>
  <c r="G877" i="3"/>
  <c r="H877" i="3"/>
  <c r="I877" i="3"/>
  <c r="F878" i="3"/>
  <c r="G878" i="3"/>
  <c r="H878" i="3"/>
  <c r="I878" i="3"/>
  <c r="F879" i="3"/>
  <c r="G879" i="3"/>
  <c r="H879" i="3"/>
  <c r="I879" i="3"/>
  <c r="F880" i="3"/>
  <c r="G880" i="3"/>
  <c r="H880" i="3"/>
  <c r="I880" i="3"/>
  <c r="F881" i="3"/>
  <c r="G881" i="3"/>
  <c r="H881" i="3"/>
  <c r="I881" i="3"/>
  <c r="F882" i="3"/>
  <c r="G882" i="3"/>
  <c r="H882" i="3"/>
  <c r="I882" i="3"/>
  <c r="F883" i="3"/>
  <c r="G883" i="3"/>
  <c r="H883" i="3"/>
  <c r="I883" i="3"/>
  <c r="F884" i="3"/>
  <c r="G884" i="3"/>
  <c r="H884" i="3"/>
  <c r="I884" i="3"/>
  <c r="F885" i="3"/>
  <c r="G885" i="3"/>
  <c r="H885" i="3"/>
  <c r="I885" i="3"/>
  <c r="F886" i="3"/>
  <c r="G886" i="3"/>
  <c r="H886" i="3"/>
  <c r="I886" i="3"/>
  <c r="F887" i="3"/>
  <c r="G887" i="3"/>
  <c r="H887" i="3"/>
  <c r="I887" i="3"/>
  <c r="F888" i="3"/>
  <c r="G888" i="3"/>
  <c r="H888" i="3"/>
  <c r="I888" i="3"/>
  <c r="F889" i="3"/>
  <c r="G889" i="3"/>
  <c r="H889" i="3"/>
  <c r="I889" i="3"/>
  <c r="F890" i="3"/>
  <c r="G890" i="3"/>
  <c r="H890" i="3"/>
  <c r="I890" i="3"/>
  <c r="F891" i="3"/>
  <c r="G891" i="3"/>
  <c r="H891" i="3"/>
  <c r="I891" i="3"/>
  <c r="F892" i="3"/>
  <c r="G892" i="3"/>
  <c r="H892" i="3"/>
  <c r="I892" i="3"/>
  <c r="F893" i="3"/>
  <c r="G893" i="3"/>
  <c r="H893" i="3"/>
  <c r="I893" i="3"/>
  <c r="F894" i="3"/>
  <c r="G894" i="3"/>
  <c r="H894" i="3"/>
  <c r="I894" i="3"/>
  <c r="F895" i="3"/>
  <c r="G895" i="3"/>
  <c r="H895" i="3"/>
  <c r="I895" i="3"/>
  <c r="F896" i="3"/>
  <c r="G896" i="3"/>
  <c r="H896" i="3"/>
  <c r="I896" i="3"/>
  <c r="F897" i="3"/>
  <c r="G897" i="3"/>
  <c r="H897" i="3"/>
  <c r="I897" i="3"/>
  <c r="H161" i="4"/>
  <c r="H160" i="4"/>
  <c r="H159" i="4"/>
  <c r="H158" i="4"/>
  <c r="H157" i="4"/>
  <c r="H156" i="4"/>
  <c r="H155" i="4"/>
  <c r="H154" i="4"/>
  <c r="H153" i="4"/>
  <c r="H152" i="4"/>
  <c r="H151" i="4"/>
  <c r="H150" i="4"/>
  <c r="H149" i="4"/>
  <c r="H148" i="4"/>
  <c r="H147" i="4"/>
  <c r="H146" i="4"/>
  <c r="H145" i="4"/>
  <c r="H144" i="4"/>
  <c r="H143" i="4"/>
  <c r="H142" i="4"/>
  <c r="H141" i="4"/>
  <c r="H140" i="4"/>
  <c r="H139" i="4"/>
  <c r="H138" i="4"/>
  <c r="H137" i="4"/>
  <c r="H136" i="4"/>
  <c r="H135" i="4"/>
  <c r="H134" i="4"/>
  <c r="H133" i="4"/>
  <c r="H132" i="4"/>
  <c r="H131" i="4"/>
  <c r="H130" i="4"/>
  <c r="H129" i="4"/>
  <c r="H128" i="4"/>
  <c r="H127" i="4"/>
  <c r="H126" i="4"/>
  <c r="H125" i="4"/>
  <c r="H124" i="4"/>
  <c r="H123" i="4"/>
  <c r="H122" i="4"/>
  <c r="H121" i="4"/>
  <c r="H120" i="4"/>
  <c r="H119" i="4"/>
  <c r="H118" i="4"/>
  <c r="H117" i="4"/>
  <c r="H116" i="4"/>
  <c r="H115" i="4"/>
  <c r="H114" i="4"/>
  <c r="H113" i="4"/>
  <c r="H112" i="4"/>
  <c r="H111" i="4"/>
  <c r="H110" i="4"/>
  <c r="H109" i="4"/>
  <c r="H108" i="4"/>
  <c r="H107" i="4"/>
  <c r="H106" i="4"/>
  <c r="H105" i="4"/>
  <c r="H104" i="4"/>
  <c r="H103" i="4"/>
  <c r="H102" i="4"/>
  <c r="H101" i="4"/>
  <c r="H100" i="4"/>
  <c r="H99" i="4"/>
  <c r="H98" i="4"/>
  <c r="H97" i="4"/>
  <c r="H96" i="4"/>
  <c r="H95" i="4"/>
  <c r="H94" i="4"/>
  <c r="H93" i="4"/>
  <c r="H92" i="4"/>
  <c r="H91" i="4"/>
  <c r="H90" i="4"/>
  <c r="H89" i="4"/>
  <c r="H88" i="4"/>
  <c r="H87" i="4"/>
  <c r="H86" i="4"/>
  <c r="H85" i="4"/>
  <c r="H84" i="4"/>
  <c r="H83" i="4"/>
  <c r="H82" i="4"/>
  <c r="H81" i="4"/>
  <c r="H80" i="4"/>
  <c r="H79" i="4"/>
  <c r="H78" i="4"/>
  <c r="H77" i="4"/>
  <c r="H76" i="4"/>
  <c r="H75" i="4"/>
  <c r="H74" i="4"/>
  <c r="H73" i="4"/>
  <c r="H72" i="4"/>
  <c r="H71" i="4"/>
  <c r="H70" i="4"/>
  <c r="H69" i="4"/>
  <c r="H68" i="4"/>
  <c r="H67" i="4"/>
  <c r="H66" i="4"/>
  <c r="H65" i="4"/>
  <c r="H64" i="4"/>
  <c r="H63" i="4"/>
  <c r="H62" i="4"/>
  <c r="H61" i="4"/>
  <c r="H60" i="4"/>
  <c r="H59" i="4"/>
  <c r="H58" i="4"/>
  <c r="H56" i="4"/>
  <c r="H55" i="4"/>
  <c r="H54" i="4"/>
  <c r="H53" i="4"/>
  <c r="H52" i="4"/>
  <c r="H51" i="4"/>
  <c r="H50" i="4"/>
  <c r="H49" i="4"/>
  <c r="H48" i="4"/>
  <c r="H47" i="4"/>
  <c r="H46" i="4"/>
  <c r="H45" i="4"/>
  <c r="H44" i="4"/>
  <c r="H43" i="4"/>
  <c r="H42" i="4"/>
  <c r="H41" i="4"/>
  <c r="H40" i="4"/>
  <c r="H39" i="4"/>
  <c r="H38" i="4"/>
  <c r="H37" i="4"/>
  <c r="H36" i="4"/>
  <c r="H35" i="4"/>
  <c r="H34" i="4"/>
  <c r="H33" i="4"/>
  <c r="H32" i="4"/>
  <c r="H31" i="4"/>
  <c r="H30" i="4"/>
  <c r="H29" i="4"/>
  <c r="H28" i="4"/>
  <c r="H27" i="4"/>
  <c r="H26" i="4"/>
  <c r="H25" i="4"/>
  <c r="H24" i="4"/>
  <c r="H23" i="4"/>
  <c r="H22" i="4"/>
  <c r="H21" i="4"/>
  <c r="H20" i="4"/>
  <c r="H19" i="4"/>
  <c r="H17" i="4"/>
  <c r="H16" i="4"/>
  <c r="H15" i="4"/>
  <c r="H14" i="4"/>
  <c r="H13" i="4"/>
  <c r="H12" i="4"/>
  <c r="H11" i="4"/>
  <c r="B133" i="3" s="1"/>
  <c r="H10" i="4"/>
  <c r="H9" i="4"/>
  <c r="H8" i="4"/>
  <c r="H7" i="4"/>
  <c r="H6" i="4"/>
  <c r="H5" i="4"/>
  <c r="H4" i="4"/>
  <c r="B48" i="5" s="1"/>
  <c r="H3" i="4"/>
  <c r="H2" i="4"/>
  <c r="B117" i="3"/>
  <c r="B116" i="3"/>
  <c r="B115" i="3"/>
  <c r="B114" i="3"/>
  <c r="A130" i="3"/>
  <c r="A129" i="3"/>
  <c r="A128" i="3"/>
  <c r="A127" i="3"/>
  <c r="A126" i="3"/>
  <c r="A125" i="3"/>
  <c r="A124" i="3"/>
  <c r="A123" i="3"/>
  <c r="A122" i="3"/>
  <c r="A121" i="3"/>
  <c r="A120" i="3"/>
  <c r="A119" i="3"/>
  <c r="A118" i="3"/>
  <c r="A117" i="3"/>
  <c r="A116" i="3"/>
  <c r="A115" i="3"/>
  <c r="A114" i="3"/>
  <c r="C133" i="3" l="1"/>
  <c r="C136" i="3"/>
  <c r="C135" i="3"/>
  <c r="C132" i="3" s="1"/>
  <c r="D134" i="3" s="1"/>
  <c r="C137" i="3"/>
  <c r="C134" i="3"/>
  <c r="K897" i="3"/>
  <c r="K617" i="3" s="1"/>
  <c r="J897" i="3"/>
  <c r="J617" i="3" s="1"/>
  <c r="L897" i="3"/>
  <c r="L617" i="3" s="1"/>
  <c r="N897" i="3"/>
  <c r="N617" i="3" s="1"/>
  <c r="M897" i="3"/>
  <c r="M617" i="3" s="1"/>
  <c r="J893" i="3"/>
  <c r="J613" i="3" s="1"/>
  <c r="L893" i="3"/>
  <c r="L613" i="3" s="1"/>
  <c r="M893" i="3"/>
  <c r="M613" i="3" s="1"/>
  <c r="N893" i="3"/>
  <c r="N613" i="3" s="1"/>
  <c r="K893" i="3"/>
  <c r="K613" i="3" s="1"/>
  <c r="N889" i="3"/>
  <c r="N609" i="3" s="1"/>
  <c r="J889" i="3"/>
  <c r="J609" i="3" s="1"/>
  <c r="M889" i="3"/>
  <c r="M609" i="3" s="1"/>
  <c r="L889" i="3"/>
  <c r="L609" i="3" s="1"/>
  <c r="K889" i="3"/>
  <c r="K609" i="3" s="1"/>
  <c r="K881" i="3"/>
  <c r="K601" i="3" s="1"/>
  <c r="N881" i="3"/>
  <c r="N601" i="3" s="1"/>
  <c r="J881" i="3"/>
  <c r="J601" i="3" s="1"/>
  <c r="M881" i="3"/>
  <c r="M601" i="3" s="1"/>
  <c r="L881" i="3"/>
  <c r="L601" i="3" s="1"/>
  <c r="L877" i="3"/>
  <c r="L597" i="3" s="1"/>
  <c r="N877" i="3"/>
  <c r="N597" i="3" s="1"/>
  <c r="M877" i="3"/>
  <c r="M597" i="3" s="1"/>
  <c r="K877" i="3"/>
  <c r="K597" i="3" s="1"/>
  <c r="J877" i="3"/>
  <c r="J597" i="3" s="1"/>
  <c r="K873" i="3"/>
  <c r="K593" i="3" s="1"/>
  <c r="M873" i="3"/>
  <c r="M593" i="3" s="1"/>
  <c r="J873" i="3"/>
  <c r="J593" i="3" s="1"/>
  <c r="L873" i="3"/>
  <c r="L593" i="3" s="1"/>
  <c r="N873" i="3"/>
  <c r="N593" i="3" s="1"/>
  <c r="L869" i="3"/>
  <c r="M869" i="3"/>
  <c r="N869" i="3"/>
  <c r="J869" i="3"/>
  <c r="K869" i="3"/>
  <c r="M865" i="3"/>
  <c r="M585" i="3" s="1"/>
  <c r="N865" i="3"/>
  <c r="N585" i="3" s="1"/>
  <c r="L865" i="3"/>
  <c r="L585" i="3" s="1"/>
  <c r="K865" i="3"/>
  <c r="K585" i="3" s="1"/>
  <c r="J865" i="3"/>
  <c r="J585" i="3" s="1"/>
  <c r="J853" i="3"/>
  <c r="J573" i="3" s="1"/>
  <c r="M853" i="3"/>
  <c r="M573" i="3" s="1"/>
  <c r="K853" i="3"/>
  <c r="K573" i="3" s="1"/>
  <c r="L853" i="3"/>
  <c r="L573" i="3" s="1"/>
  <c r="N853" i="3"/>
  <c r="N573" i="3" s="1"/>
  <c r="N849" i="3"/>
  <c r="N569" i="3" s="1"/>
  <c r="L849" i="3"/>
  <c r="L569" i="3" s="1"/>
  <c r="J849" i="3"/>
  <c r="J569" i="3" s="1"/>
  <c r="K849" i="3"/>
  <c r="K569" i="3" s="1"/>
  <c r="M849" i="3"/>
  <c r="M569" i="3" s="1"/>
  <c r="J841" i="3"/>
  <c r="J561" i="3" s="1"/>
  <c r="M841" i="3"/>
  <c r="M561" i="3" s="1"/>
  <c r="L841" i="3"/>
  <c r="L561" i="3" s="1"/>
  <c r="N841" i="3"/>
  <c r="N561" i="3" s="1"/>
  <c r="K841" i="3"/>
  <c r="K561" i="3" s="1"/>
  <c r="L837" i="3"/>
  <c r="L557" i="3" s="1"/>
  <c r="K837" i="3"/>
  <c r="K557" i="3" s="1"/>
  <c r="J837" i="3"/>
  <c r="J557" i="3" s="1"/>
  <c r="N837" i="3"/>
  <c r="N557" i="3" s="1"/>
  <c r="M837" i="3"/>
  <c r="M557" i="3" s="1"/>
  <c r="M829" i="3"/>
  <c r="M549" i="3" s="1"/>
  <c r="N829" i="3"/>
  <c r="N549" i="3" s="1"/>
  <c r="J829" i="3"/>
  <c r="J549" i="3" s="1"/>
  <c r="L829" i="3"/>
  <c r="L549" i="3" s="1"/>
  <c r="K829" i="3"/>
  <c r="K549" i="3" s="1"/>
  <c r="M821" i="3"/>
  <c r="M541" i="3" s="1"/>
  <c r="K821" i="3"/>
  <c r="K541" i="3" s="1"/>
  <c r="N821" i="3"/>
  <c r="N541" i="3" s="1"/>
  <c r="J821" i="3"/>
  <c r="J541" i="3" s="1"/>
  <c r="L821" i="3"/>
  <c r="L541" i="3" s="1"/>
  <c r="K817" i="3"/>
  <c r="K537" i="3" s="1"/>
  <c r="N817" i="3"/>
  <c r="N537" i="3" s="1"/>
  <c r="M817" i="3"/>
  <c r="M537" i="3" s="1"/>
  <c r="J817" i="3"/>
  <c r="J537" i="3" s="1"/>
  <c r="L817" i="3"/>
  <c r="L537" i="3" s="1"/>
  <c r="K809" i="3"/>
  <c r="K529" i="3" s="1"/>
  <c r="N809" i="3"/>
  <c r="N529" i="3" s="1"/>
  <c r="J809" i="3"/>
  <c r="J529" i="3" s="1"/>
  <c r="L809" i="3"/>
  <c r="L529" i="3" s="1"/>
  <c r="M809" i="3"/>
  <c r="M529" i="3" s="1"/>
  <c r="L801" i="3"/>
  <c r="L521" i="3" s="1"/>
  <c r="M801" i="3"/>
  <c r="M521" i="3" s="1"/>
  <c r="J801" i="3"/>
  <c r="J521" i="3" s="1"/>
  <c r="N801" i="3"/>
  <c r="N521" i="3" s="1"/>
  <c r="K801" i="3"/>
  <c r="K521" i="3" s="1"/>
  <c r="N797" i="3"/>
  <c r="N517" i="3" s="1"/>
  <c r="J797" i="3"/>
  <c r="J517" i="3" s="1"/>
  <c r="M797" i="3"/>
  <c r="M517" i="3" s="1"/>
  <c r="L797" i="3"/>
  <c r="L517" i="3" s="1"/>
  <c r="K797" i="3"/>
  <c r="K517" i="3" s="1"/>
  <c r="L789" i="3"/>
  <c r="L509" i="3" s="1"/>
  <c r="K789" i="3"/>
  <c r="K509" i="3" s="1"/>
  <c r="M789" i="3"/>
  <c r="M509" i="3" s="1"/>
  <c r="J789" i="3"/>
  <c r="J509" i="3" s="1"/>
  <c r="N789" i="3"/>
  <c r="N509" i="3" s="1"/>
  <c r="L785" i="3"/>
  <c r="L505" i="3" s="1"/>
  <c r="M785" i="3"/>
  <c r="M505" i="3" s="1"/>
  <c r="K785" i="3"/>
  <c r="K505" i="3" s="1"/>
  <c r="J785" i="3"/>
  <c r="J505" i="3" s="1"/>
  <c r="N785" i="3"/>
  <c r="N505" i="3" s="1"/>
  <c r="K777" i="3"/>
  <c r="K497" i="3" s="1"/>
  <c r="M777" i="3"/>
  <c r="M497" i="3" s="1"/>
  <c r="N777" i="3"/>
  <c r="N497" i="3" s="1"/>
  <c r="J777" i="3"/>
  <c r="J497" i="3" s="1"/>
  <c r="L777" i="3"/>
  <c r="L497" i="3" s="1"/>
  <c r="K773" i="3"/>
  <c r="K493" i="3" s="1"/>
  <c r="N773" i="3"/>
  <c r="N493" i="3" s="1"/>
  <c r="J773" i="3"/>
  <c r="J493" i="3" s="1"/>
  <c r="L773" i="3"/>
  <c r="L493" i="3" s="1"/>
  <c r="M773" i="3"/>
  <c r="M493" i="3" s="1"/>
  <c r="J765" i="3"/>
  <c r="J485" i="3" s="1"/>
  <c r="N765" i="3"/>
  <c r="N485" i="3" s="1"/>
  <c r="K765" i="3"/>
  <c r="K485" i="3" s="1"/>
  <c r="L765" i="3"/>
  <c r="L485" i="3" s="1"/>
  <c r="M765" i="3"/>
  <c r="M485" i="3" s="1"/>
  <c r="J757" i="3"/>
  <c r="J477" i="3" s="1"/>
  <c r="M757" i="3"/>
  <c r="M477" i="3" s="1"/>
  <c r="K757" i="3"/>
  <c r="K477" i="3" s="1"/>
  <c r="L757" i="3"/>
  <c r="L477" i="3" s="1"/>
  <c r="N757" i="3"/>
  <c r="N477" i="3" s="1"/>
  <c r="K749" i="3"/>
  <c r="K469" i="3" s="1"/>
  <c r="M749" i="3"/>
  <c r="M469" i="3" s="1"/>
  <c r="J749" i="3"/>
  <c r="J469" i="3" s="1"/>
  <c r="L749" i="3"/>
  <c r="L469" i="3" s="1"/>
  <c r="N749" i="3"/>
  <c r="N469" i="3" s="1"/>
  <c r="M745" i="3"/>
  <c r="M465" i="3" s="1"/>
  <c r="K745" i="3"/>
  <c r="K465" i="3" s="1"/>
  <c r="J745" i="3"/>
  <c r="J465" i="3" s="1"/>
  <c r="L745" i="3"/>
  <c r="L465" i="3" s="1"/>
  <c r="N745" i="3"/>
  <c r="N465" i="3" s="1"/>
  <c r="K741" i="3"/>
  <c r="K461" i="3" s="1"/>
  <c r="L741" i="3"/>
  <c r="L461" i="3" s="1"/>
  <c r="N741" i="3"/>
  <c r="N461" i="3" s="1"/>
  <c r="M741" i="3"/>
  <c r="M461" i="3" s="1"/>
  <c r="J741" i="3"/>
  <c r="J461" i="3" s="1"/>
  <c r="N733" i="3"/>
  <c r="N453" i="3" s="1"/>
  <c r="L733" i="3"/>
  <c r="L453" i="3" s="1"/>
  <c r="M733" i="3"/>
  <c r="M453" i="3" s="1"/>
  <c r="J733" i="3"/>
  <c r="J453" i="3" s="1"/>
  <c r="K733" i="3"/>
  <c r="K453" i="3" s="1"/>
  <c r="L729" i="3"/>
  <c r="L449" i="3" s="1"/>
  <c r="M729" i="3"/>
  <c r="M449" i="3" s="1"/>
  <c r="K729" i="3"/>
  <c r="K449" i="3" s="1"/>
  <c r="J729" i="3"/>
  <c r="J449" i="3" s="1"/>
  <c r="N729" i="3"/>
  <c r="N449" i="3" s="1"/>
  <c r="M725" i="3"/>
  <c r="M445" i="3" s="1"/>
  <c r="N725" i="3"/>
  <c r="N445" i="3" s="1"/>
  <c r="K725" i="3"/>
  <c r="K445" i="3" s="1"/>
  <c r="L725" i="3"/>
  <c r="L445" i="3" s="1"/>
  <c r="J725" i="3"/>
  <c r="J445" i="3" s="1"/>
  <c r="J721" i="3"/>
  <c r="J441" i="3" s="1"/>
  <c r="K721" i="3"/>
  <c r="K441" i="3" s="1"/>
  <c r="N721" i="3"/>
  <c r="N441" i="3" s="1"/>
  <c r="M721" i="3"/>
  <c r="M441" i="3" s="1"/>
  <c r="L721" i="3"/>
  <c r="L441" i="3" s="1"/>
  <c r="M713" i="3"/>
  <c r="M433" i="3" s="1"/>
  <c r="J713" i="3"/>
  <c r="J433" i="3" s="1"/>
  <c r="L713" i="3"/>
  <c r="L433" i="3" s="1"/>
  <c r="K713" i="3"/>
  <c r="K433" i="3" s="1"/>
  <c r="N713" i="3"/>
  <c r="N433" i="3" s="1"/>
  <c r="J709" i="3"/>
  <c r="J429" i="3" s="1"/>
  <c r="N709" i="3"/>
  <c r="N429" i="3" s="1"/>
  <c r="M709" i="3"/>
  <c r="M429" i="3" s="1"/>
  <c r="L709" i="3"/>
  <c r="L429" i="3" s="1"/>
  <c r="K709" i="3"/>
  <c r="K429" i="3" s="1"/>
  <c r="N701" i="3"/>
  <c r="N421" i="3" s="1"/>
  <c r="J701" i="3"/>
  <c r="J421" i="3" s="1"/>
  <c r="M701" i="3"/>
  <c r="M421" i="3" s="1"/>
  <c r="K701" i="3"/>
  <c r="K421" i="3" s="1"/>
  <c r="L701" i="3"/>
  <c r="L421" i="3" s="1"/>
  <c r="M697" i="3"/>
  <c r="M417" i="3" s="1"/>
  <c r="L697" i="3"/>
  <c r="L417" i="3" s="1"/>
  <c r="K697" i="3"/>
  <c r="K417" i="3" s="1"/>
  <c r="N697" i="3"/>
  <c r="N417" i="3" s="1"/>
  <c r="J697" i="3"/>
  <c r="J417" i="3" s="1"/>
  <c r="L689" i="3"/>
  <c r="L409" i="3" s="1"/>
  <c r="J689" i="3"/>
  <c r="J409" i="3" s="1"/>
  <c r="N689" i="3"/>
  <c r="N409" i="3" s="1"/>
  <c r="K689" i="3"/>
  <c r="K409" i="3" s="1"/>
  <c r="M689" i="3"/>
  <c r="M409" i="3" s="1"/>
  <c r="K681" i="3"/>
  <c r="K401" i="3" s="1"/>
  <c r="L681" i="3"/>
  <c r="L401" i="3" s="1"/>
  <c r="J681" i="3"/>
  <c r="J401" i="3" s="1"/>
  <c r="N681" i="3"/>
  <c r="N401" i="3" s="1"/>
  <c r="M681" i="3"/>
  <c r="M401" i="3" s="1"/>
  <c r="M665" i="3"/>
  <c r="M385" i="3" s="1"/>
  <c r="K665" i="3"/>
  <c r="K385" i="3" s="1"/>
  <c r="J665" i="3"/>
  <c r="J385" i="3" s="1"/>
  <c r="L665" i="3"/>
  <c r="L385" i="3" s="1"/>
  <c r="N665" i="3"/>
  <c r="N385" i="3" s="1"/>
  <c r="K661" i="3"/>
  <c r="K381" i="3" s="1"/>
  <c r="M661" i="3"/>
  <c r="M381" i="3" s="1"/>
  <c r="N661" i="3"/>
  <c r="N381" i="3" s="1"/>
  <c r="J661" i="3"/>
  <c r="J381" i="3" s="1"/>
  <c r="L661" i="3"/>
  <c r="L381" i="3" s="1"/>
  <c r="M653" i="3"/>
  <c r="M373" i="3" s="1"/>
  <c r="N653" i="3"/>
  <c r="N373" i="3" s="1"/>
  <c r="L653" i="3"/>
  <c r="L373" i="3" s="1"/>
  <c r="J653" i="3"/>
  <c r="J373" i="3" s="1"/>
  <c r="K653" i="3"/>
  <c r="K373" i="3" s="1"/>
  <c r="M649" i="3"/>
  <c r="M369" i="3" s="1"/>
  <c r="L649" i="3"/>
  <c r="L369" i="3" s="1"/>
  <c r="K649" i="3"/>
  <c r="K369" i="3" s="1"/>
  <c r="N649" i="3"/>
  <c r="N369" i="3" s="1"/>
  <c r="J649" i="3"/>
  <c r="J369" i="3" s="1"/>
  <c r="K641" i="3"/>
  <c r="K361" i="3" s="1"/>
  <c r="M641" i="3"/>
  <c r="M361" i="3" s="1"/>
  <c r="N641" i="3"/>
  <c r="N361" i="3" s="1"/>
  <c r="J641" i="3"/>
  <c r="J361" i="3" s="1"/>
  <c r="L641" i="3"/>
  <c r="L361" i="3" s="1"/>
  <c r="M633" i="3"/>
  <c r="M353" i="3" s="1"/>
  <c r="J633" i="3"/>
  <c r="J353" i="3" s="1"/>
  <c r="L633" i="3"/>
  <c r="L353" i="3" s="1"/>
  <c r="K633" i="3"/>
  <c r="K353" i="3" s="1"/>
  <c r="N633" i="3"/>
  <c r="N353" i="3" s="1"/>
  <c r="K629" i="3"/>
  <c r="K349" i="3" s="1"/>
  <c r="L629" i="3"/>
  <c r="L349" i="3" s="1"/>
  <c r="N629" i="3"/>
  <c r="N349" i="3" s="1"/>
  <c r="J629" i="3"/>
  <c r="J349" i="3" s="1"/>
  <c r="M629" i="3"/>
  <c r="M349" i="3" s="1"/>
  <c r="M895" i="3"/>
  <c r="M615" i="3" s="1"/>
  <c r="J895" i="3"/>
  <c r="J615" i="3" s="1"/>
  <c r="L895" i="3"/>
  <c r="L615" i="3" s="1"/>
  <c r="N895" i="3"/>
  <c r="N615" i="3" s="1"/>
  <c r="K895" i="3"/>
  <c r="K615" i="3" s="1"/>
  <c r="N896" i="3"/>
  <c r="N616" i="3" s="1"/>
  <c r="L896" i="3"/>
  <c r="L616" i="3" s="1"/>
  <c r="J896" i="3"/>
  <c r="J616" i="3" s="1"/>
  <c r="K896" i="3"/>
  <c r="K616" i="3" s="1"/>
  <c r="M896" i="3"/>
  <c r="M616" i="3" s="1"/>
  <c r="J892" i="3"/>
  <c r="J612" i="3" s="1"/>
  <c r="M892" i="3"/>
  <c r="M612" i="3" s="1"/>
  <c r="L892" i="3"/>
  <c r="L612" i="3" s="1"/>
  <c r="K892" i="3"/>
  <c r="K612" i="3" s="1"/>
  <c r="N892" i="3"/>
  <c r="N612" i="3" s="1"/>
  <c r="M888" i="3"/>
  <c r="M608" i="3" s="1"/>
  <c r="L888" i="3"/>
  <c r="L608" i="3" s="1"/>
  <c r="N888" i="3"/>
  <c r="N608" i="3" s="1"/>
  <c r="K888" i="3"/>
  <c r="K608" i="3" s="1"/>
  <c r="J888" i="3"/>
  <c r="J608" i="3" s="1"/>
  <c r="L880" i="3"/>
  <c r="L600" i="3" s="1"/>
  <c r="J880" i="3"/>
  <c r="J600" i="3" s="1"/>
  <c r="M880" i="3"/>
  <c r="M600" i="3" s="1"/>
  <c r="N880" i="3"/>
  <c r="N600" i="3" s="1"/>
  <c r="K880" i="3"/>
  <c r="K600" i="3" s="1"/>
  <c r="N876" i="3"/>
  <c r="N596" i="3" s="1"/>
  <c r="M876" i="3"/>
  <c r="M596" i="3" s="1"/>
  <c r="K876" i="3"/>
  <c r="K596" i="3" s="1"/>
  <c r="L876" i="3"/>
  <c r="L596" i="3" s="1"/>
  <c r="J876" i="3"/>
  <c r="J596" i="3" s="1"/>
  <c r="L872" i="3"/>
  <c r="L592" i="3" s="1"/>
  <c r="K872" i="3"/>
  <c r="K592" i="3" s="1"/>
  <c r="N872" i="3"/>
  <c r="N592" i="3" s="1"/>
  <c r="J872" i="3"/>
  <c r="J592" i="3" s="1"/>
  <c r="M872" i="3"/>
  <c r="M592" i="3" s="1"/>
  <c r="N868" i="3"/>
  <c r="N588" i="3" s="1"/>
  <c r="M868" i="3"/>
  <c r="M588" i="3" s="1"/>
  <c r="J868" i="3"/>
  <c r="J588" i="3" s="1"/>
  <c r="L868" i="3"/>
  <c r="L588" i="3" s="1"/>
  <c r="K868" i="3"/>
  <c r="K588" i="3" s="1"/>
  <c r="J852" i="3"/>
  <c r="J572" i="3" s="1"/>
  <c r="N852" i="3"/>
  <c r="N572" i="3" s="1"/>
  <c r="M852" i="3"/>
  <c r="M572" i="3" s="1"/>
  <c r="K852" i="3"/>
  <c r="K572" i="3" s="1"/>
  <c r="L852" i="3"/>
  <c r="L572" i="3" s="1"/>
  <c r="K848" i="3"/>
  <c r="K568" i="3" s="1"/>
  <c r="M848" i="3"/>
  <c r="M568" i="3" s="1"/>
  <c r="N848" i="3"/>
  <c r="N568" i="3" s="1"/>
  <c r="L848" i="3"/>
  <c r="L568" i="3" s="1"/>
  <c r="J848" i="3"/>
  <c r="J568" i="3" s="1"/>
  <c r="N840" i="3"/>
  <c r="N560" i="3" s="1"/>
  <c r="M840" i="3"/>
  <c r="M560" i="3" s="1"/>
  <c r="J840" i="3"/>
  <c r="J560" i="3" s="1"/>
  <c r="L840" i="3"/>
  <c r="L560" i="3" s="1"/>
  <c r="K840" i="3"/>
  <c r="K560" i="3" s="1"/>
  <c r="J836" i="3"/>
  <c r="J556" i="3" s="1"/>
  <c r="M836" i="3"/>
  <c r="M556" i="3" s="1"/>
  <c r="L836" i="3"/>
  <c r="L556" i="3" s="1"/>
  <c r="K836" i="3"/>
  <c r="K556" i="3" s="1"/>
  <c r="N836" i="3"/>
  <c r="N556" i="3" s="1"/>
  <c r="J828" i="3"/>
  <c r="J548" i="3" s="1"/>
  <c r="N828" i="3"/>
  <c r="N548" i="3" s="1"/>
  <c r="M828" i="3"/>
  <c r="M548" i="3" s="1"/>
  <c r="L828" i="3"/>
  <c r="L548" i="3" s="1"/>
  <c r="K828" i="3"/>
  <c r="K548" i="3" s="1"/>
  <c r="M820" i="3"/>
  <c r="M540" i="3" s="1"/>
  <c r="N820" i="3"/>
  <c r="N540" i="3" s="1"/>
  <c r="J820" i="3"/>
  <c r="J540" i="3" s="1"/>
  <c r="L820" i="3"/>
  <c r="L540" i="3" s="1"/>
  <c r="K820" i="3"/>
  <c r="K540" i="3" s="1"/>
  <c r="M816" i="3"/>
  <c r="M536" i="3" s="1"/>
  <c r="J816" i="3"/>
  <c r="J536" i="3" s="1"/>
  <c r="L816" i="3"/>
  <c r="L536" i="3" s="1"/>
  <c r="N816" i="3"/>
  <c r="N536" i="3" s="1"/>
  <c r="K816" i="3"/>
  <c r="K536" i="3" s="1"/>
  <c r="J808" i="3"/>
  <c r="J528" i="3" s="1"/>
  <c r="K808" i="3"/>
  <c r="K528" i="3" s="1"/>
  <c r="L808" i="3"/>
  <c r="L528" i="3" s="1"/>
  <c r="N808" i="3"/>
  <c r="N528" i="3" s="1"/>
  <c r="M808" i="3"/>
  <c r="M528" i="3" s="1"/>
  <c r="N800" i="3"/>
  <c r="N520" i="3" s="1"/>
  <c r="J800" i="3"/>
  <c r="J520" i="3" s="1"/>
  <c r="L800" i="3"/>
  <c r="L520" i="3" s="1"/>
  <c r="K800" i="3"/>
  <c r="K520" i="3" s="1"/>
  <c r="M800" i="3"/>
  <c r="M520" i="3" s="1"/>
  <c r="L796" i="3"/>
  <c r="L516" i="3" s="1"/>
  <c r="J796" i="3"/>
  <c r="J516" i="3" s="1"/>
  <c r="K796" i="3"/>
  <c r="K516" i="3" s="1"/>
  <c r="M796" i="3"/>
  <c r="M516" i="3" s="1"/>
  <c r="N796" i="3"/>
  <c r="N516" i="3" s="1"/>
  <c r="J788" i="3"/>
  <c r="J508" i="3" s="1"/>
  <c r="M788" i="3"/>
  <c r="M508" i="3" s="1"/>
  <c r="L788" i="3"/>
  <c r="L508" i="3" s="1"/>
  <c r="K788" i="3"/>
  <c r="K508" i="3" s="1"/>
  <c r="N788" i="3"/>
  <c r="N508" i="3" s="1"/>
  <c r="L780" i="3"/>
  <c r="L500" i="3" s="1"/>
  <c r="N780" i="3"/>
  <c r="N500" i="3" s="1"/>
  <c r="M780" i="3"/>
  <c r="M500" i="3" s="1"/>
  <c r="K780" i="3"/>
  <c r="K500" i="3" s="1"/>
  <c r="J780" i="3"/>
  <c r="J500" i="3" s="1"/>
  <c r="M776" i="3"/>
  <c r="M496" i="3" s="1"/>
  <c r="L776" i="3"/>
  <c r="L496" i="3" s="1"/>
  <c r="N776" i="3"/>
  <c r="N496" i="3" s="1"/>
  <c r="K776" i="3"/>
  <c r="K496" i="3" s="1"/>
  <c r="J776" i="3"/>
  <c r="J496" i="3" s="1"/>
  <c r="K768" i="3"/>
  <c r="K488" i="3" s="1"/>
  <c r="J768" i="3"/>
  <c r="J488" i="3" s="1"/>
  <c r="N768" i="3"/>
  <c r="N488" i="3" s="1"/>
  <c r="L768" i="3"/>
  <c r="L488" i="3" s="1"/>
  <c r="M768" i="3"/>
  <c r="M488" i="3" s="1"/>
  <c r="K760" i="3"/>
  <c r="K480" i="3" s="1"/>
  <c r="J760" i="3"/>
  <c r="J480" i="3" s="1"/>
  <c r="L760" i="3"/>
  <c r="L480" i="3" s="1"/>
  <c r="N760" i="3"/>
  <c r="N480" i="3" s="1"/>
  <c r="M760" i="3"/>
  <c r="M480" i="3" s="1"/>
  <c r="N756" i="3"/>
  <c r="N476" i="3" s="1"/>
  <c r="L756" i="3"/>
  <c r="L476" i="3" s="1"/>
  <c r="M756" i="3"/>
  <c r="M476" i="3" s="1"/>
  <c r="K756" i="3"/>
  <c r="K476" i="3" s="1"/>
  <c r="J756" i="3"/>
  <c r="J476" i="3" s="1"/>
  <c r="K748" i="3"/>
  <c r="K468" i="3" s="1"/>
  <c r="J748" i="3"/>
  <c r="J468" i="3" s="1"/>
  <c r="N748" i="3"/>
  <c r="N468" i="3" s="1"/>
  <c r="L748" i="3"/>
  <c r="L468" i="3" s="1"/>
  <c r="M748" i="3"/>
  <c r="M468" i="3" s="1"/>
  <c r="K744" i="3"/>
  <c r="K464" i="3" s="1"/>
  <c r="N744" i="3"/>
  <c r="N464" i="3" s="1"/>
  <c r="M744" i="3"/>
  <c r="M464" i="3" s="1"/>
  <c r="J744" i="3"/>
  <c r="J464" i="3" s="1"/>
  <c r="L744" i="3"/>
  <c r="L464" i="3" s="1"/>
  <c r="J740" i="3"/>
  <c r="J460" i="3" s="1"/>
  <c r="K740" i="3"/>
  <c r="K460" i="3" s="1"/>
  <c r="N740" i="3"/>
  <c r="N460" i="3" s="1"/>
  <c r="M740" i="3"/>
  <c r="M460" i="3" s="1"/>
  <c r="L740" i="3"/>
  <c r="L460" i="3" s="1"/>
  <c r="N732" i="3"/>
  <c r="N452" i="3" s="1"/>
  <c r="K732" i="3"/>
  <c r="K452" i="3" s="1"/>
  <c r="J732" i="3"/>
  <c r="J452" i="3" s="1"/>
  <c r="L732" i="3"/>
  <c r="L452" i="3" s="1"/>
  <c r="M732" i="3"/>
  <c r="M452" i="3" s="1"/>
  <c r="N728" i="3"/>
  <c r="N448" i="3" s="1"/>
  <c r="K728" i="3"/>
  <c r="K448" i="3" s="1"/>
  <c r="M728" i="3"/>
  <c r="M448" i="3" s="1"/>
  <c r="J728" i="3"/>
  <c r="J448" i="3" s="1"/>
  <c r="L728" i="3"/>
  <c r="L448" i="3" s="1"/>
  <c r="K724" i="3"/>
  <c r="K444" i="3" s="1"/>
  <c r="J724" i="3"/>
  <c r="J444" i="3" s="1"/>
  <c r="L724" i="3"/>
  <c r="L444" i="3" s="1"/>
  <c r="M724" i="3"/>
  <c r="M444" i="3" s="1"/>
  <c r="N724" i="3"/>
  <c r="N444" i="3" s="1"/>
  <c r="N716" i="3"/>
  <c r="N436" i="3" s="1"/>
  <c r="K716" i="3"/>
  <c r="K436" i="3" s="1"/>
  <c r="L716" i="3"/>
  <c r="L436" i="3" s="1"/>
  <c r="M716" i="3"/>
  <c r="M436" i="3" s="1"/>
  <c r="J716" i="3"/>
  <c r="J436" i="3" s="1"/>
  <c r="M712" i="3"/>
  <c r="M432" i="3" s="1"/>
  <c r="J712" i="3"/>
  <c r="J432" i="3" s="1"/>
  <c r="L712" i="3"/>
  <c r="L432" i="3" s="1"/>
  <c r="N712" i="3"/>
  <c r="N432" i="3" s="1"/>
  <c r="K712" i="3"/>
  <c r="K432" i="3" s="1"/>
  <c r="N704" i="3"/>
  <c r="N424" i="3" s="1"/>
  <c r="J704" i="3"/>
  <c r="J424" i="3" s="1"/>
  <c r="K704" i="3"/>
  <c r="K424" i="3" s="1"/>
  <c r="M704" i="3"/>
  <c r="M424" i="3" s="1"/>
  <c r="L704" i="3"/>
  <c r="L424" i="3" s="1"/>
  <c r="K700" i="3"/>
  <c r="K420" i="3" s="1"/>
  <c r="M700" i="3"/>
  <c r="M420" i="3" s="1"/>
  <c r="L700" i="3"/>
  <c r="L420" i="3" s="1"/>
  <c r="N700" i="3"/>
  <c r="N420" i="3" s="1"/>
  <c r="J700" i="3"/>
  <c r="J420" i="3" s="1"/>
  <c r="K692" i="3"/>
  <c r="K412" i="3" s="1"/>
  <c r="N692" i="3"/>
  <c r="N412" i="3" s="1"/>
  <c r="M692" i="3"/>
  <c r="M412" i="3" s="1"/>
  <c r="J692" i="3"/>
  <c r="J412" i="3" s="1"/>
  <c r="L692" i="3"/>
  <c r="L412" i="3" s="1"/>
  <c r="N688" i="3"/>
  <c r="N408" i="3" s="1"/>
  <c r="J688" i="3"/>
  <c r="J408" i="3" s="1"/>
  <c r="K688" i="3"/>
  <c r="K408" i="3" s="1"/>
  <c r="L688" i="3"/>
  <c r="L408" i="3" s="1"/>
  <c r="M688" i="3"/>
  <c r="M408" i="3" s="1"/>
  <c r="J680" i="3"/>
  <c r="J400" i="3" s="1"/>
  <c r="L680" i="3"/>
  <c r="L400" i="3" s="1"/>
  <c r="K680" i="3"/>
  <c r="K400" i="3" s="1"/>
  <c r="M680" i="3"/>
  <c r="M400" i="3" s="1"/>
  <c r="N680" i="3"/>
  <c r="N400" i="3" s="1"/>
  <c r="K672" i="3"/>
  <c r="K392" i="3" s="1"/>
  <c r="N672" i="3"/>
  <c r="N392" i="3" s="1"/>
  <c r="J672" i="3"/>
  <c r="J392" i="3" s="1"/>
  <c r="M672" i="3"/>
  <c r="M392" i="3" s="1"/>
  <c r="L672" i="3"/>
  <c r="L392" i="3" s="1"/>
  <c r="N664" i="3"/>
  <c r="N384" i="3" s="1"/>
  <c r="M664" i="3"/>
  <c r="M384" i="3" s="1"/>
  <c r="L664" i="3"/>
  <c r="L384" i="3" s="1"/>
  <c r="J664" i="3"/>
  <c r="J384" i="3" s="1"/>
  <c r="K664" i="3"/>
  <c r="K384" i="3" s="1"/>
  <c r="L660" i="3"/>
  <c r="L380" i="3" s="1"/>
  <c r="M660" i="3"/>
  <c r="M380" i="3" s="1"/>
  <c r="N660" i="3"/>
  <c r="N380" i="3" s="1"/>
  <c r="K660" i="3"/>
  <c r="K380" i="3" s="1"/>
  <c r="J660" i="3"/>
  <c r="J380" i="3" s="1"/>
  <c r="N652" i="3"/>
  <c r="N372" i="3" s="1"/>
  <c r="K652" i="3"/>
  <c r="K372" i="3" s="1"/>
  <c r="L652" i="3"/>
  <c r="L372" i="3" s="1"/>
  <c r="M652" i="3"/>
  <c r="M372" i="3" s="1"/>
  <c r="J652" i="3"/>
  <c r="J372" i="3" s="1"/>
  <c r="J644" i="3"/>
  <c r="J364" i="3" s="1"/>
  <c r="N644" i="3"/>
  <c r="N364" i="3" s="1"/>
  <c r="L644" i="3"/>
  <c r="L364" i="3" s="1"/>
  <c r="K644" i="3"/>
  <c r="K364" i="3" s="1"/>
  <c r="M644" i="3"/>
  <c r="M364" i="3" s="1"/>
  <c r="L636" i="3"/>
  <c r="L356" i="3" s="1"/>
  <c r="N636" i="3"/>
  <c r="N356" i="3" s="1"/>
  <c r="J636" i="3"/>
  <c r="J356" i="3" s="1"/>
  <c r="K636" i="3"/>
  <c r="K356" i="3" s="1"/>
  <c r="M636" i="3"/>
  <c r="M356" i="3" s="1"/>
  <c r="N628" i="3"/>
  <c r="N348" i="3" s="1"/>
  <c r="J628" i="3"/>
  <c r="J348" i="3" s="1"/>
  <c r="K628" i="3"/>
  <c r="K348" i="3" s="1"/>
  <c r="L628" i="3"/>
  <c r="L348" i="3" s="1"/>
  <c r="M628" i="3"/>
  <c r="M348" i="3" s="1"/>
  <c r="J887" i="3"/>
  <c r="J607" i="3" s="1"/>
  <c r="K887" i="3"/>
  <c r="K607" i="3" s="1"/>
  <c r="M887" i="3"/>
  <c r="M607" i="3" s="1"/>
  <c r="L887" i="3"/>
  <c r="L607" i="3" s="1"/>
  <c r="N887" i="3"/>
  <c r="N607" i="3" s="1"/>
  <c r="N883" i="3"/>
  <c r="N603" i="3" s="1"/>
  <c r="K883" i="3"/>
  <c r="K603" i="3" s="1"/>
  <c r="L883" i="3"/>
  <c r="L603" i="3" s="1"/>
  <c r="M883" i="3"/>
  <c r="M603" i="3" s="1"/>
  <c r="J883" i="3"/>
  <c r="J603" i="3" s="1"/>
  <c r="J879" i="3"/>
  <c r="J599" i="3" s="1"/>
  <c r="K879" i="3"/>
  <c r="K599" i="3" s="1"/>
  <c r="L879" i="3"/>
  <c r="L599" i="3" s="1"/>
  <c r="M879" i="3"/>
  <c r="M599" i="3" s="1"/>
  <c r="N879" i="3"/>
  <c r="N599" i="3" s="1"/>
  <c r="M875" i="3"/>
  <c r="M595" i="3" s="1"/>
  <c r="N875" i="3"/>
  <c r="N595" i="3" s="1"/>
  <c r="K875" i="3"/>
  <c r="K595" i="3" s="1"/>
  <c r="J875" i="3"/>
  <c r="J595" i="3" s="1"/>
  <c r="L875" i="3"/>
  <c r="L595" i="3" s="1"/>
  <c r="K871" i="3"/>
  <c r="M871" i="3"/>
  <c r="L871" i="3"/>
  <c r="J871" i="3"/>
  <c r="N871" i="3"/>
  <c r="J867" i="3"/>
  <c r="J587" i="3" s="1"/>
  <c r="K867" i="3"/>
  <c r="K587" i="3" s="1"/>
  <c r="L867" i="3"/>
  <c r="L587" i="3" s="1"/>
  <c r="M867" i="3"/>
  <c r="M587" i="3" s="1"/>
  <c r="N867" i="3"/>
  <c r="N587" i="3" s="1"/>
  <c r="M851" i="3"/>
  <c r="M571" i="3" s="1"/>
  <c r="L851" i="3"/>
  <c r="L571" i="3" s="1"/>
  <c r="K851" i="3"/>
  <c r="K571" i="3" s="1"/>
  <c r="J851" i="3"/>
  <c r="J571" i="3" s="1"/>
  <c r="N851" i="3"/>
  <c r="N571" i="3" s="1"/>
  <c r="J847" i="3"/>
  <c r="J567" i="3" s="1"/>
  <c r="K847" i="3"/>
  <c r="K567" i="3" s="1"/>
  <c r="M847" i="3"/>
  <c r="M567" i="3" s="1"/>
  <c r="L847" i="3"/>
  <c r="L567" i="3" s="1"/>
  <c r="N847" i="3"/>
  <c r="N567" i="3" s="1"/>
  <c r="N839" i="3"/>
  <c r="N559" i="3" s="1"/>
  <c r="K839" i="3"/>
  <c r="K559" i="3" s="1"/>
  <c r="L839" i="3"/>
  <c r="L559" i="3" s="1"/>
  <c r="M839" i="3"/>
  <c r="M559" i="3" s="1"/>
  <c r="J839" i="3"/>
  <c r="J559" i="3" s="1"/>
  <c r="L835" i="3"/>
  <c r="L555" i="3" s="1"/>
  <c r="K835" i="3"/>
  <c r="K555" i="3" s="1"/>
  <c r="N835" i="3"/>
  <c r="N555" i="3" s="1"/>
  <c r="M835" i="3"/>
  <c r="M555" i="3" s="1"/>
  <c r="J835" i="3"/>
  <c r="J555" i="3" s="1"/>
  <c r="J827" i="3"/>
  <c r="J547" i="3" s="1"/>
  <c r="L827" i="3"/>
  <c r="L547" i="3" s="1"/>
  <c r="M827" i="3"/>
  <c r="M547" i="3" s="1"/>
  <c r="K827" i="3"/>
  <c r="K547" i="3" s="1"/>
  <c r="N827" i="3"/>
  <c r="N547" i="3" s="1"/>
  <c r="N819" i="3"/>
  <c r="N539" i="3" s="1"/>
  <c r="M819" i="3"/>
  <c r="M539" i="3" s="1"/>
  <c r="J819" i="3"/>
  <c r="J539" i="3" s="1"/>
  <c r="L819" i="3"/>
  <c r="L539" i="3" s="1"/>
  <c r="K819" i="3"/>
  <c r="K539" i="3" s="1"/>
  <c r="K815" i="3"/>
  <c r="K535" i="3" s="1"/>
  <c r="L815" i="3"/>
  <c r="L535" i="3" s="1"/>
  <c r="N815" i="3"/>
  <c r="N535" i="3" s="1"/>
  <c r="M815" i="3"/>
  <c r="M535" i="3" s="1"/>
  <c r="J815" i="3"/>
  <c r="J535" i="3" s="1"/>
  <c r="L807" i="3"/>
  <c r="L527" i="3" s="1"/>
  <c r="K807" i="3"/>
  <c r="K527" i="3" s="1"/>
  <c r="N807" i="3"/>
  <c r="N527" i="3" s="1"/>
  <c r="J807" i="3"/>
  <c r="J527" i="3" s="1"/>
  <c r="M807" i="3"/>
  <c r="M527" i="3" s="1"/>
  <c r="L799" i="3"/>
  <c r="L519" i="3" s="1"/>
  <c r="M799" i="3"/>
  <c r="M519" i="3" s="1"/>
  <c r="N799" i="3"/>
  <c r="N519" i="3" s="1"/>
  <c r="K799" i="3"/>
  <c r="K519" i="3" s="1"/>
  <c r="J799" i="3"/>
  <c r="J519" i="3" s="1"/>
  <c r="J795" i="3"/>
  <c r="J515" i="3" s="1"/>
  <c r="M795" i="3"/>
  <c r="M515" i="3" s="1"/>
  <c r="L795" i="3"/>
  <c r="L515" i="3" s="1"/>
  <c r="N795" i="3"/>
  <c r="N515" i="3" s="1"/>
  <c r="K795" i="3"/>
  <c r="K515" i="3" s="1"/>
  <c r="M787" i="3"/>
  <c r="M507" i="3" s="1"/>
  <c r="J787" i="3"/>
  <c r="J507" i="3" s="1"/>
  <c r="N787" i="3"/>
  <c r="N507" i="3" s="1"/>
  <c r="K787" i="3"/>
  <c r="K507" i="3" s="1"/>
  <c r="L787" i="3"/>
  <c r="L507" i="3" s="1"/>
  <c r="L779" i="3"/>
  <c r="L499" i="3" s="1"/>
  <c r="N779" i="3"/>
  <c r="N499" i="3" s="1"/>
  <c r="J779" i="3"/>
  <c r="J499" i="3" s="1"/>
  <c r="M779" i="3"/>
  <c r="M499" i="3" s="1"/>
  <c r="K779" i="3"/>
  <c r="K499" i="3" s="1"/>
  <c r="K775" i="3"/>
  <c r="K495" i="3" s="1"/>
  <c r="M775" i="3"/>
  <c r="M495" i="3" s="1"/>
  <c r="N775" i="3"/>
  <c r="N495" i="3" s="1"/>
  <c r="J775" i="3"/>
  <c r="J495" i="3" s="1"/>
  <c r="L775" i="3"/>
  <c r="L495" i="3" s="1"/>
  <c r="N767" i="3"/>
  <c r="N487" i="3" s="1"/>
  <c r="J767" i="3"/>
  <c r="J487" i="3" s="1"/>
  <c r="K767" i="3"/>
  <c r="K487" i="3" s="1"/>
  <c r="L767" i="3"/>
  <c r="L487" i="3" s="1"/>
  <c r="M767" i="3"/>
  <c r="M487" i="3" s="1"/>
  <c r="J759" i="3"/>
  <c r="J479" i="3" s="1"/>
  <c r="K759" i="3"/>
  <c r="K479" i="3" s="1"/>
  <c r="N759" i="3"/>
  <c r="N479" i="3" s="1"/>
  <c r="M759" i="3"/>
  <c r="M479" i="3" s="1"/>
  <c r="L759" i="3"/>
  <c r="L479" i="3" s="1"/>
  <c r="M755" i="3"/>
  <c r="M475" i="3" s="1"/>
  <c r="L755" i="3"/>
  <c r="L475" i="3" s="1"/>
  <c r="K755" i="3"/>
  <c r="K475" i="3" s="1"/>
  <c r="N755" i="3"/>
  <c r="N475" i="3" s="1"/>
  <c r="J755" i="3"/>
  <c r="J475" i="3" s="1"/>
  <c r="J747" i="3"/>
  <c r="J467" i="3" s="1"/>
  <c r="L747" i="3"/>
  <c r="L467" i="3" s="1"/>
  <c r="K747" i="3"/>
  <c r="K467" i="3" s="1"/>
  <c r="N747" i="3"/>
  <c r="N467" i="3" s="1"/>
  <c r="M747" i="3"/>
  <c r="M467" i="3" s="1"/>
  <c r="K743" i="3"/>
  <c r="K463" i="3" s="1"/>
  <c r="M743" i="3"/>
  <c r="M463" i="3" s="1"/>
  <c r="J743" i="3"/>
  <c r="J463" i="3" s="1"/>
  <c r="N743" i="3"/>
  <c r="N463" i="3" s="1"/>
  <c r="L743" i="3"/>
  <c r="L463" i="3" s="1"/>
  <c r="M739" i="3"/>
  <c r="M459" i="3" s="1"/>
  <c r="N739" i="3"/>
  <c r="N459" i="3" s="1"/>
  <c r="K739" i="3"/>
  <c r="K459" i="3" s="1"/>
  <c r="L739" i="3"/>
  <c r="L459" i="3" s="1"/>
  <c r="J739" i="3"/>
  <c r="J459" i="3" s="1"/>
  <c r="J731" i="3"/>
  <c r="J451" i="3" s="1"/>
  <c r="K731" i="3"/>
  <c r="K451" i="3" s="1"/>
  <c r="M731" i="3"/>
  <c r="M451" i="3" s="1"/>
  <c r="N731" i="3"/>
  <c r="N451" i="3" s="1"/>
  <c r="L731" i="3"/>
  <c r="L451" i="3" s="1"/>
  <c r="J727" i="3"/>
  <c r="J447" i="3" s="1"/>
  <c r="L727" i="3"/>
  <c r="L447" i="3" s="1"/>
  <c r="K727" i="3"/>
  <c r="K447" i="3" s="1"/>
  <c r="N727" i="3"/>
  <c r="N447" i="3" s="1"/>
  <c r="M727" i="3"/>
  <c r="M447" i="3" s="1"/>
  <c r="N723" i="3"/>
  <c r="N443" i="3" s="1"/>
  <c r="M723" i="3"/>
  <c r="M443" i="3" s="1"/>
  <c r="L723" i="3"/>
  <c r="L443" i="3" s="1"/>
  <c r="K723" i="3"/>
  <c r="K443" i="3" s="1"/>
  <c r="J723" i="3"/>
  <c r="J443" i="3" s="1"/>
  <c r="N715" i="3"/>
  <c r="N435" i="3" s="1"/>
  <c r="K715" i="3"/>
  <c r="K435" i="3" s="1"/>
  <c r="J715" i="3"/>
  <c r="J435" i="3" s="1"/>
  <c r="M715" i="3"/>
  <c r="M435" i="3" s="1"/>
  <c r="L715" i="3"/>
  <c r="L435" i="3" s="1"/>
  <c r="L711" i="3"/>
  <c r="L431" i="3" s="1"/>
  <c r="N711" i="3"/>
  <c r="N431" i="3" s="1"/>
  <c r="M711" i="3"/>
  <c r="M431" i="3" s="1"/>
  <c r="J711" i="3"/>
  <c r="J431" i="3" s="1"/>
  <c r="K711" i="3"/>
  <c r="K431" i="3" s="1"/>
  <c r="J703" i="3"/>
  <c r="J423" i="3" s="1"/>
  <c r="L703" i="3"/>
  <c r="L423" i="3" s="1"/>
  <c r="N703" i="3"/>
  <c r="N423" i="3" s="1"/>
  <c r="M703" i="3"/>
  <c r="M423" i="3" s="1"/>
  <c r="K703" i="3"/>
  <c r="K423" i="3" s="1"/>
  <c r="J699" i="3"/>
  <c r="J419" i="3" s="1"/>
  <c r="N699" i="3"/>
  <c r="N419" i="3" s="1"/>
  <c r="K699" i="3"/>
  <c r="K419" i="3" s="1"/>
  <c r="L699" i="3"/>
  <c r="L419" i="3" s="1"/>
  <c r="M699" i="3"/>
  <c r="M419" i="3" s="1"/>
  <c r="L691" i="3"/>
  <c r="L411" i="3" s="1"/>
  <c r="M691" i="3"/>
  <c r="M411" i="3" s="1"/>
  <c r="J691" i="3"/>
  <c r="J411" i="3" s="1"/>
  <c r="N691" i="3"/>
  <c r="N411" i="3" s="1"/>
  <c r="K691" i="3"/>
  <c r="K411" i="3" s="1"/>
  <c r="K687" i="3"/>
  <c r="K407" i="3" s="1"/>
  <c r="L687" i="3"/>
  <c r="L407" i="3" s="1"/>
  <c r="N687" i="3"/>
  <c r="N407" i="3" s="1"/>
  <c r="M687" i="3"/>
  <c r="M407" i="3" s="1"/>
  <c r="J687" i="3"/>
  <c r="J407" i="3" s="1"/>
  <c r="J679" i="3"/>
  <c r="J399" i="3" s="1"/>
  <c r="N679" i="3"/>
  <c r="N399" i="3" s="1"/>
  <c r="L679" i="3"/>
  <c r="L399" i="3" s="1"/>
  <c r="M679" i="3"/>
  <c r="M399" i="3" s="1"/>
  <c r="K679" i="3"/>
  <c r="K399" i="3" s="1"/>
  <c r="L671" i="3"/>
  <c r="L391" i="3" s="1"/>
  <c r="N671" i="3"/>
  <c r="N391" i="3" s="1"/>
  <c r="M671" i="3"/>
  <c r="M391" i="3" s="1"/>
  <c r="K671" i="3"/>
  <c r="K391" i="3" s="1"/>
  <c r="J671" i="3"/>
  <c r="J391" i="3" s="1"/>
  <c r="J663" i="3"/>
  <c r="J383" i="3" s="1"/>
  <c r="L663" i="3"/>
  <c r="L383" i="3" s="1"/>
  <c r="M663" i="3"/>
  <c r="M383" i="3" s="1"/>
  <c r="N663" i="3"/>
  <c r="N383" i="3" s="1"/>
  <c r="K663" i="3"/>
  <c r="K383" i="3" s="1"/>
  <c r="M659" i="3"/>
  <c r="M379" i="3" s="1"/>
  <c r="N659" i="3"/>
  <c r="N379" i="3" s="1"/>
  <c r="K659" i="3"/>
  <c r="K379" i="3" s="1"/>
  <c r="L659" i="3"/>
  <c r="L379" i="3" s="1"/>
  <c r="J659" i="3"/>
  <c r="J379" i="3" s="1"/>
  <c r="J651" i="3"/>
  <c r="J371" i="3" s="1"/>
  <c r="L651" i="3"/>
  <c r="L371" i="3" s="1"/>
  <c r="K651" i="3"/>
  <c r="K371" i="3" s="1"/>
  <c r="N651" i="3"/>
  <c r="N371" i="3" s="1"/>
  <c r="M651" i="3"/>
  <c r="M371" i="3" s="1"/>
  <c r="L643" i="3"/>
  <c r="L363" i="3" s="1"/>
  <c r="J643" i="3"/>
  <c r="J363" i="3" s="1"/>
  <c r="N643" i="3"/>
  <c r="N363" i="3" s="1"/>
  <c r="M643" i="3"/>
  <c r="M363" i="3" s="1"/>
  <c r="K643" i="3"/>
  <c r="K363" i="3" s="1"/>
  <c r="L635" i="3"/>
  <c r="L355" i="3" s="1"/>
  <c r="J635" i="3"/>
  <c r="J355" i="3" s="1"/>
  <c r="N635" i="3"/>
  <c r="N355" i="3" s="1"/>
  <c r="M635" i="3"/>
  <c r="M355" i="3" s="1"/>
  <c r="K635" i="3"/>
  <c r="K355" i="3" s="1"/>
  <c r="K627" i="3"/>
  <c r="K347" i="3" s="1"/>
  <c r="L627" i="3"/>
  <c r="L347" i="3" s="1"/>
  <c r="N627" i="3"/>
  <c r="N347" i="3" s="1"/>
  <c r="J627" i="3"/>
  <c r="J347" i="3" s="1"/>
  <c r="M627" i="3"/>
  <c r="M347" i="3" s="1"/>
  <c r="N891" i="3"/>
  <c r="N611" i="3" s="1"/>
  <c r="J891" i="3"/>
  <c r="J611" i="3" s="1"/>
  <c r="M891" i="3"/>
  <c r="M611" i="3" s="1"/>
  <c r="K891" i="3"/>
  <c r="K611" i="3" s="1"/>
  <c r="L891" i="3"/>
  <c r="L611" i="3" s="1"/>
  <c r="N894" i="3"/>
  <c r="N614" i="3" s="1"/>
  <c r="L894" i="3"/>
  <c r="L614" i="3" s="1"/>
  <c r="M894" i="3"/>
  <c r="M614" i="3" s="1"/>
  <c r="K894" i="3"/>
  <c r="K614" i="3" s="1"/>
  <c r="J894" i="3"/>
  <c r="J614" i="3" s="1"/>
  <c r="K890" i="3"/>
  <c r="K610" i="3" s="1"/>
  <c r="M890" i="3"/>
  <c r="M610" i="3" s="1"/>
  <c r="N890" i="3"/>
  <c r="N610" i="3" s="1"/>
  <c r="L890" i="3"/>
  <c r="L610" i="3" s="1"/>
  <c r="J890" i="3"/>
  <c r="J610" i="3" s="1"/>
  <c r="J886" i="3"/>
  <c r="J606" i="3" s="1"/>
  <c r="K886" i="3"/>
  <c r="K606" i="3" s="1"/>
  <c r="M886" i="3"/>
  <c r="M606" i="3" s="1"/>
  <c r="N886" i="3"/>
  <c r="N606" i="3" s="1"/>
  <c r="L886" i="3"/>
  <c r="L606" i="3" s="1"/>
  <c r="K882" i="3"/>
  <c r="K602" i="3" s="1"/>
  <c r="M882" i="3"/>
  <c r="M602" i="3" s="1"/>
  <c r="J882" i="3"/>
  <c r="J602" i="3" s="1"/>
  <c r="N882" i="3"/>
  <c r="N602" i="3" s="1"/>
  <c r="L882" i="3"/>
  <c r="L602" i="3" s="1"/>
  <c r="M878" i="3"/>
  <c r="M598" i="3" s="1"/>
  <c r="J878" i="3"/>
  <c r="J598" i="3" s="1"/>
  <c r="L878" i="3"/>
  <c r="L598" i="3" s="1"/>
  <c r="K878" i="3"/>
  <c r="K598" i="3" s="1"/>
  <c r="N878" i="3"/>
  <c r="N598" i="3" s="1"/>
  <c r="K874" i="3"/>
  <c r="K594" i="3" s="1"/>
  <c r="L874" i="3"/>
  <c r="L594" i="3" s="1"/>
  <c r="N874" i="3"/>
  <c r="N594" i="3" s="1"/>
  <c r="M874" i="3"/>
  <c r="M594" i="3" s="1"/>
  <c r="J874" i="3"/>
  <c r="J594" i="3" s="1"/>
  <c r="J870" i="3"/>
  <c r="M870" i="3"/>
  <c r="L870" i="3"/>
  <c r="K870" i="3"/>
  <c r="N870" i="3"/>
  <c r="L866" i="3"/>
  <c r="L586" i="3" s="1"/>
  <c r="K866" i="3"/>
  <c r="K586" i="3" s="1"/>
  <c r="N866" i="3"/>
  <c r="N586" i="3" s="1"/>
  <c r="J866" i="3"/>
  <c r="J586" i="3" s="1"/>
  <c r="M866" i="3"/>
  <c r="M586" i="3" s="1"/>
  <c r="J854" i="3"/>
  <c r="J574" i="3" s="1"/>
  <c r="M854" i="3"/>
  <c r="M574" i="3" s="1"/>
  <c r="L854" i="3"/>
  <c r="L574" i="3" s="1"/>
  <c r="N854" i="3"/>
  <c r="N574" i="3" s="1"/>
  <c r="K854" i="3"/>
  <c r="K574" i="3" s="1"/>
  <c r="M850" i="3"/>
  <c r="M570" i="3" s="1"/>
  <c r="N850" i="3"/>
  <c r="N570" i="3" s="1"/>
  <c r="L850" i="3"/>
  <c r="L570" i="3" s="1"/>
  <c r="J850" i="3"/>
  <c r="J570" i="3" s="1"/>
  <c r="K850" i="3"/>
  <c r="K570" i="3" s="1"/>
  <c r="L842" i="3"/>
  <c r="L562" i="3" s="1"/>
  <c r="J842" i="3"/>
  <c r="J562" i="3" s="1"/>
  <c r="M842" i="3"/>
  <c r="M562" i="3" s="1"/>
  <c r="K842" i="3"/>
  <c r="K562" i="3" s="1"/>
  <c r="N842" i="3"/>
  <c r="N562" i="3" s="1"/>
  <c r="J838" i="3"/>
  <c r="J558" i="3" s="1"/>
  <c r="K838" i="3"/>
  <c r="K558" i="3" s="1"/>
  <c r="L838" i="3"/>
  <c r="L558" i="3" s="1"/>
  <c r="M838" i="3"/>
  <c r="M558" i="3" s="1"/>
  <c r="N838" i="3"/>
  <c r="N558" i="3" s="1"/>
  <c r="J830" i="3"/>
  <c r="J550" i="3" s="1"/>
  <c r="N830" i="3"/>
  <c r="N550" i="3" s="1"/>
  <c r="M830" i="3"/>
  <c r="M550" i="3" s="1"/>
  <c r="L830" i="3"/>
  <c r="L550" i="3" s="1"/>
  <c r="K830" i="3"/>
  <c r="K550" i="3" s="1"/>
  <c r="K822" i="3"/>
  <c r="K542" i="3" s="1"/>
  <c r="N822" i="3"/>
  <c r="N542" i="3" s="1"/>
  <c r="M822" i="3"/>
  <c r="M542" i="3" s="1"/>
  <c r="J822" i="3"/>
  <c r="J542" i="3" s="1"/>
  <c r="L822" i="3"/>
  <c r="L542" i="3" s="1"/>
  <c r="M818" i="3"/>
  <c r="M538" i="3" s="1"/>
  <c r="K818" i="3"/>
  <c r="K538" i="3" s="1"/>
  <c r="L818" i="3"/>
  <c r="L538" i="3" s="1"/>
  <c r="N818" i="3"/>
  <c r="N538" i="3" s="1"/>
  <c r="J818" i="3"/>
  <c r="J538" i="3" s="1"/>
  <c r="J810" i="3"/>
  <c r="J530" i="3" s="1"/>
  <c r="K810" i="3"/>
  <c r="K530" i="3" s="1"/>
  <c r="L810" i="3"/>
  <c r="L530" i="3" s="1"/>
  <c r="M810" i="3"/>
  <c r="M530" i="3" s="1"/>
  <c r="N810" i="3"/>
  <c r="N530" i="3" s="1"/>
  <c r="K802" i="3"/>
  <c r="K522" i="3" s="1"/>
  <c r="N802" i="3"/>
  <c r="N522" i="3" s="1"/>
  <c r="J802" i="3"/>
  <c r="J522" i="3" s="1"/>
  <c r="M802" i="3"/>
  <c r="M522" i="3" s="1"/>
  <c r="L802" i="3"/>
  <c r="L522" i="3" s="1"/>
  <c r="K798" i="3"/>
  <c r="K518" i="3" s="1"/>
  <c r="J798" i="3"/>
  <c r="J518" i="3" s="1"/>
  <c r="M798" i="3"/>
  <c r="M518" i="3" s="1"/>
  <c r="L798" i="3"/>
  <c r="L518" i="3" s="1"/>
  <c r="N798" i="3"/>
  <c r="N518" i="3" s="1"/>
  <c r="K790" i="3"/>
  <c r="K510" i="3" s="1"/>
  <c r="J790" i="3"/>
  <c r="J510" i="3" s="1"/>
  <c r="M790" i="3"/>
  <c r="M510" i="3" s="1"/>
  <c r="L790" i="3"/>
  <c r="L510" i="3" s="1"/>
  <c r="N790" i="3"/>
  <c r="N510" i="3" s="1"/>
  <c r="M786" i="3"/>
  <c r="M506" i="3" s="1"/>
  <c r="L786" i="3"/>
  <c r="L506" i="3" s="1"/>
  <c r="K786" i="3"/>
  <c r="K506" i="3" s="1"/>
  <c r="N786" i="3"/>
  <c r="N506" i="3" s="1"/>
  <c r="J786" i="3"/>
  <c r="J506" i="3" s="1"/>
  <c r="K778" i="3"/>
  <c r="K498" i="3" s="1"/>
  <c r="L778" i="3"/>
  <c r="L498" i="3" s="1"/>
  <c r="N778" i="3"/>
  <c r="N498" i="3" s="1"/>
  <c r="M778" i="3"/>
  <c r="M498" i="3" s="1"/>
  <c r="J778" i="3"/>
  <c r="J498" i="3" s="1"/>
  <c r="J774" i="3"/>
  <c r="J494" i="3" s="1"/>
  <c r="K774" i="3"/>
  <c r="K494" i="3" s="1"/>
  <c r="M774" i="3"/>
  <c r="M494" i="3" s="1"/>
  <c r="N774" i="3"/>
  <c r="N494" i="3" s="1"/>
  <c r="L774" i="3"/>
  <c r="L494" i="3" s="1"/>
  <c r="M766" i="3"/>
  <c r="M486" i="3" s="1"/>
  <c r="N766" i="3"/>
  <c r="N486" i="3" s="1"/>
  <c r="L766" i="3"/>
  <c r="L486" i="3" s="1"/>
  <c r="K766" i="3"/>
  <c r="K486" i="3" s="1"/>
  <c r="J766" i="3"/>
  <c r="J486" i="3" s="1"/>
  <c r="J758" i="3"/>
  <c r="J478" i="3" s="1"/>
  <c r="K758" i="3"/>
  <c r="K478" i="3" s="1"/>
  <c r="N758" i="3"/>
  <c r="N478" i="3" s="1"/>
  <c r="L758" i="3"/>
  <c r="L478" i="3" s="1"/>
  <c r="M758" i="3"/>
  <c r="M478" i="3" s="1"/>
  <c r="L750" i="3"/>
  <c r="L470" i="3" s="1"/>
  <c r="N750" i="3"/>
  <c r="N470" i="3" s="1"/>
  <c r="M750" i="3"/>
  <c r="M470" i="3" s="1"/>
  <c r="J750" i="3"/>
  <c r="J470" i="3" s="1"/>
  <c r="K750" i="3"/>
  <c r="K470" i="3" s="1"/>
  <c r="M746" i="3"/>
  <c r="M466" i="3" s="1"/>
  <c r="N746" i="3"/>
  <c r="N466" i="3" s="1"/>
  <c r="K746" i="3"/>
  <c r="K466" i="3" s="1"/>
  <c r="J746" i="3"/>
  <c r="J466" i="3" s="1"/>
  <c r="L746" i="3"/>
  <c r="L466" i="3" s="1"/>
  <c r="M742" i="3"/>
  <c r="M462" i="3" s="1"/>
  <c r="N742" i="3"/>
  <c r="N462" i="3" s="1"/>
  <c r="K742" i="3"/>
  <c r="K462" i="3" s="1"/>
  <c r="J742" i="3"/>
  <c r="J462" i="3" s="1"/>
  <c r="L742" i="3"/>
  <c r="L462" i="3" s="1"/>
  <c r="L734" i="3"/>
  <c r="L454" i="3" s="1"/>
  <c r="J734" i="3"/>
  <c r="J454" i="3" s="1"/>
  <c r="N734" i="3"/>
  <c r="N454" i="3" s="1"/>
  <c r="K734" i="3"/>
  <c r="K454" i="3" s="1"/>
  <c r="M734" i="3"/>
  <c r="M454" i="3" s="1"/>
  <c r="K730" i="3"/>
  <c r="K450" i="3" s="1"/>
  <c r="M730" i="3"/>
  <c r="M450" i="3" s="1"/>
  <c r="J730" i="3"/>
  <c r="J450" i="3" s="1"/>
  <c r="L730" i="3"/>
  <c r="L450" i="3" s="1"/>
  <c r="N730" i="3"/>
  <c r="N450" i="3" s="1"/>
  <c r="L726" i="3"/>
  <c r="L446" i="3" s="1"/>
  <c r="J726" i="3"/>
  <c r="J446" i="3" s="1"/>
  <c r="N726" i="3"/>
  <c r="N446" i="3" s="1"/>
  <c r="M726" i="3"/>
  <c r="M446" i="3" s="1"/>
  <c r="K726" i="3"/>
  <c r="K446" i="3" s="1"/>
  <c r="M722" i="3"/>
  <c r="M442" i="3" s="1"/>
  <c r="L722" i="3"/>
  <c r="L442" i="3" s="1"/>
  <c r="N722" i="3"/>
  <c r="N442" i="3" s="1"/>
  <c r="J722" i="3"/>
  <c r="J442" i="3" s="1"/>
  <c r="K722" i="3"/>
  <c r="K442" i="3" s="1"/>
  <c r="L714" i="3"/>
  <c r="L434" i="3" s="1"/>
  <c r="J714" i="3"/>
  <c r="J434" i="3" s="1"/>
  <c r="K714" i="3"/>
  <c r="K434" i="3" s="1"/>
  <c r="N714" i="3"/>
  <c r="N434" i="3" s="1"/>
  <c r="M714" i="3"/>
  <c r="M434" i="3" s="1"/>
  <c r="L710" i="3"/>
  <c r="L430" i="3" s="1"/>
  <c r="K710" i="3"/>
  <c r="K430" i="3" s="1"/>
  <c r="N710" i="3"/>
  <c r="N430" i="3" s="1"/>
  <c r="J710" i="3"/>
  <c r="J430" i="3" s="1"/>
  <c r="M710" i="3"/>
  <c r="M430" i="3" s="1"/>
  <c r="J702" i="3"/>
  <c r="J422" i="3" s="1"/>
  <c r="L702" i="3"/>
  <c r="L422" i="3" s="1"/>
  <c r="M702" i="3"/>
  <c r="M422" i="3" s="1"/>
  <c r="N702" i="3"/>
  <c r="N422" i="3" s="1"/>
  <c r="K702" i="3"/>
  <c r="K422" i="3" s="1"/>
  <c r="N698" i="3"/>
  <c r="N418" i="3" s="1"/>
  <c r="M698" i="3"/>
  <c r="M418" i="3" s="1"/>
  <c r="L698" i="3"/>
  <c r="L418" i="3" s="1"/>
  <c r="J698" i="3"/>
  <c r="J418" i="3" s="1"/>
  <c r="K698" i="3"/>
  <c r="K418" i="3" s="1"/>
  <c r="N690" i="3"/>
  <c r="N410" i="3" s="1"/>
  <c r="J690" i="3"/>
  <c r="J410" i="3" s="1"/>
  <c r="K690" i="3"/>
  <c r="K410" i="3" s="1"/>
  <c r="L690" i="3"/>
  <c r="L410" i="3" s="1"/>
  <c r="M690" i="3"/>
  <c r="M410" i="3" s="1"/>
  <c r="M682" i="3"/>
  <c r="M402" i="3" s="1"/>
  <c r="N682" i="3"/>
  <c r="N402" i="3" s="1"/>
  <c r="K682" i="3"/>
  <c r="K402" i="3" s="1"/>
  <c r="L682" i="3"/>
  <c r="L402" i="3" s="1"/>
  <c r="J682" i="3"/>
  <c r="J402" i="3" s="1"/>
  <c r="K666" i="3"/>
  <c r="K386" i="3" s="1"/>
  <c r="J666" i="3"/>
  <c r="J386" i="3" s="1"/>
  <c r="L666" i="3"/>
  <c r="L386" i="3" s="1"/>
  <c r="N666" i="3"/>
  <c r="N386" i="3" s="1"/>
  <c r="M666" i="3"/>
  <c r="M386" i="3" s="1"/>
  <c r="N662" i="3"/>
  <c r="N382" i="3" s="1"/>
  <c r="M662" i="3"/>
  <c r="M382" i="3" s="1"/>
  <c r="K662" i="3"/>
  <c r="K382" i="3" s="1"/>
  <c r="J662" i="3"/>
  <c r="J382" i="3" s="1"/>
  <c r="L662" i="3"/>
  <c r="L382" i="3" s="1"/>
  <c r="N654" i="3"/>
  <c r="N374" i="3" s="1"/>
  <c r="L654" i="3"/>
  <c r="L374" i="3" s="1"/>
  <c r="M654" i="3"/>
  <c r="M374" i="3" s="1"/>
  <c r="J654" i="3"/>
  <c r="J374" i="3" s="1"/>
  <c r="K654" i="3"/>
  <c r="K374" i="3" s="1"/>
  <c r="L650" i="3"/>
  <c r="L370" i="3" s="1"/>
  <c r="N650" i="3"/>
  <c r="N370" i="3" s="1"/>
  <c r="K650" i="3"/>
  <c r="K370" i="3" s="1"/>
  <c r="M650" i="3"/>
  <c r="M370" i="3" s="1"/>
  <c r="J650" i="3"/>
  <c r="J370" i="3" s="1"/>
  <c r="J642" i="3"/>
  <c r="J362" i="3" s="1"/>
  <c r="M642" i="3"/>
  <c r="M362" i="3" s="1"/>
  <c r="L642" i="3"/>
  <c r="L362" i="3" s="1"/>
  <c r="N642" i="3"/>
  <c r="N362" i="3" s="1"/>
  <c r="K642" i="3"/>
  <c r="K362" i="3" s="1"/>
  <c r="K634" i="3"/>
  <c r="K354" i="3" s="1"/>
  <c r="J634" i="3"/>
  <c r="J354" i="3" s="1"/>
  <c r="M634" i="3"/>
  <c r="M354" i="3" s="1"/>
  <c r="L634" i="3"/>
  <c r="L354" i="3" s="1"/>
  <c r="N634" i="3"/>
  <c r="N354" i="3" s="1"/>
  <c r="J626" i="3"/>
  <c r="J346" i="3" s="1"/>
  <c r="K626" i="3"/>
  <c r="K346" i="3" s="1"/>
  <c r="L626" i="3"/>
  <c r="L346" i="3" s="1"/>
  <c r="N626" i="3"/>
  <c r="N346" i="3" s="1"/>
  <c r="M626" i="3"/>
  <c r="M346" i="3" s="1"/>
  <c r="AX83" i="3"/>
  <c r="AT83" i="3"/>
  <c r="AP83" i="3"/>
  <c r="AL83" i="3"/>
  <c r="AH83" i="3"/>
  <c r="AH1192" i="3"/>
  <c r="AH1191" i="3"/>
  <c r="AD83" i="3"/>
  <c r="AD1423" i="3"/>
  <c r="AD1422" i="3"/>
  <c r="AD1419" i="3"/>
  <c r="AD1418" i="3"/>
  <c r="AD1417" i="3"/>
  <c r="AD1416" i="3"/>
  <c r="AD1415" i="3"/>
  <c r="AD1406" i="3"/>
  <c r="AD1405" i="3"/>
  <c r="AD1404" i="3"/>
  <c r="AD1403" i="3"/>
  <c r="AD1394" i="3"/>
  <c r="AD1393" i="3"/>
  <c r="AD1392" i="3"/>
  <c r="AD1391" i="3"/>
  <c r="AD1386" i="3"/>
  <c r="AD1385" i="3"/>
  <c r="AD1384" i="3"/>
  <c r="AD1383" i="3"/>
  <c r="AD1374" i="3"/>
  <c r="AD1373" i="3"/>
  <c r="AD1372" i="3"/>
  <c r="AD1371" i="3"/>
  <c r="AD1366" i="3"/>
  <c r="AD1365" i="3"/>
  <c r="AD1364" i="3"/>
  <c r="AD1363" i="3"/>
  <c r="AD1354" i="3"/>
  <c r="AD1353" i="3"/>
  <c r="AD1352" i="3"/>
  <c r="AD1351" i="3"/>
  <c r="AD1344" i="3"/>
  <c r="AD1343" i="3"/>
  <c r="AD1342" i="3"/>
  <c r="AD1341" i="3"/>
  <c r="AD1332" i="3"/>
  <c r="AD1331" i="3"/>
  <c r="AD1330" i="3"/>
  <c r="AD1329" i="3"/>
  <c r="AD1324" i="3"/>
  <c r="AD1323" i="3"/>
  <c r="AD1322" i="3"/>
  <c r="AD1321" i="3"/>
  <c r="AD1314" i="3"/>
  <c r="AD1313" i="3"/>
  <c r="AD1312" i="3"/>
  <c r="AD1311" i="3"/>
  <c r="AD1298" i="3"/>
  <c r="AD1297" i="3"/>
  <c r="AD1296" i="3"/>
  <c r="AD1295" i="3"/>
  <c r="AD1280" i="3"/>
  <c r="AD1279" i="3"/>
  <c r="AD1278" i="3"/>
  <c r="AD1277" i="3"/>
  <c r="AD1268" i="3"/>
  <c r="AD1267" i="3"/>
  <c r="AD1266" i="3"/>
  <c r="AD1265" i="3"/>
  <c r="AD1256" i="3"/>
  <c r="AD1255" i="3"/>
  <c r="AD1254" i="3"/>
  <c r="AD1253" i="3"/>
  <c r="AD1246" i="3"/>
  <c r="AD1245" i="3"/>
  <c r="AD1244" i="3"/>
  <c r="AD1243" i="3"/>
  <c r="AD1238" i="3"/>
  <c r="AD1237" i="3"/>
  <c r="AD1236" i="3"/>
  <c r="AD1235" i="3"/>
  <c r="AD1230" i="3"/>
  <c r="AD1229" i="3"/>
  <c r="AD1228" i="3"/>
  <c r="AD1227" i="3"/>
  <c r="AD1218" i="3"/>
  <c r="AD1217" i="3"/>
  <c r="AD1216" i="3"/>
  <c r="AD1215" i="3"/>
  <c r="AD1208" i="3"/>
  <c r="AD1207" i="3"/>
  <c r="AD1206" i="3"/>
  <c r="AD1205" i="3"/>
  <c r="AD1200" i="3"/>
  <c r="AD1199" i="3"/>
  <c r="AD1198" i="3"/>
  <c r="AD1197" i="3"/>
  <c r="AD1192" i="3"/>
  <c r="AD1191" i="3"/>
  <c r="Z83" i="3"/>
  <c r="Z1424" i="3"/>
  <c r="Z1423" i="3"/>
  <c r="Z1422" i="3"/>
  <c r="Z1420" i="3"/>
  <c r="Z1419" i="3"/>
  <c r="Z1418" i="3"/>
  <c r="Z1417" i="3"/>
  <c r="Z1416" i="3"/>
  <c r="Z1415" i="3"/>
  <c r="Z1406" i="3"/>
  <c r="Z1405" i="3"/>
  <c r="Z1404" i="3"/>
  <c r="Z1403" i="3"/>
  <c r="Z1394" i="3"/>
  <c r="Z1393" i="3"/>
  <c r="Z1392" i="3"/>
  <c r="Z1391" i="3"/>
  <c r="Z1386" i="3"/>
  <c r="Z1385" i="3"/>
  <c r="Z1384" i="3"/>
  <c r="Z1383" i="3"/>
  <c r="Z1374" i="3"/>
  <c r="Z1373" i="3"/>
  <c r="Z1372" i="3"/>
  <c r="Z1371" i="3"/>
  <c r="Z1366" i="3"/>
  <c r="Z1365" i="3"/>
  <c r="Z1364" i="3"/>
  <c r="Z1363" i="3"/>
  <c r="Z1354" i="3"/>
  <c r="Z1353" i="3"/>
  <c r="Z1352" i="3"/>
  <c r="Z1351" i="3"/>
  <c r="Z1344" i="3"/>
  <c r="Z1343" i="3"/>
  <c r="Z1342" i="3"/>
  <c r="Z1341" i="3"/>
  <c r="Z1332" i="3"/>
  <c r="Z1331" i="3"/>
  <c r="Z1330" i="3"/>
  <c r="Z1329" i="3"/>
  <c r="Z1324" i="3"/>
  <c r="Z1323" i="3"/>
  <c r="Z1322" i="3"/>
  <c r="Z1321" i="3"/>
  <c r="Z1314" i="3"/>
  <c r="Z1313" i="3"/>
  <c r="Z1312" i="3"/>
  <c r="Z1311" i="3"/>
  <c r="Z1298" i="3"/>
  <c r="Z1297" i="3"/>
  <c r="Z1296" i="3"/>
  <c r="Z1295" i="3"/>
  <c r="Z1280" i="3"/>
  <c r="Z1279" i="3"/>
  <c r="Z1278" i="3"/>
  <c r="Z1277" i="3"/>
  <c r="Z1268" i="3"/>
  <c r="Z1267" i="3"/>
  <c r="Z1266" i="3"/>
  <c r="Z1265" i="3"/>
  <c r="Z1256" i="3"/>
  <c r="Z1255" i="3"/>
  <c r="Z1254" i="3"/>
  <c r="Z1253" i="3"/>
  <c r="Z1246" i="3"/>
  <c r="Z1245" i="3"/>
  <c r="Z1244" i="3"/>
  <c r="Z1243" i="3"/>
  <c r="Z1238" i="3"/>
  <c r="Z1237" i="3"/>
  <c r="Z1236" i="3"/>
  <c r="Z1235" i="3"/>
  <c r="Z1230" i="3"/>
  <c r="Z1229" i="3"/>
  <c r="Z1228" i="3"/>
  <c r="Z1227" i="3"/>
  <c r="Z1218" i="3"/>
  <c r="Z1217" i="3"/>
  <c r="Z1216" i="3"/>
  <c r="Z1215" i="3"/>
  <c r="Z1208" i="3"/>
  <c r="Z1207" i="3"/>
  <c r="Z1206" i="3"/>
  <c r="Z1205" i="3"/>
  <c r="Z1200" i="3"/>
  <c r="Z1199" i="3"/>
  <c r="Z1198" i="3"/>
  <c r="Z1197" i="3"/>
  <c r="Z1192" i="3"/>
  <c r="Z1191" i="3"/>
  <c r="V83" i="3"/>
  <c r="V1424" i="3"/>
  <c r="V1423" i="3"/>
  <c r="V1422" i="3"/>
  <c r="V1421" i="3"/>
  <c r="V1420" i="3"/>
  <c r="V1419" i="3"/>
  <c r="V1418" i="3"/>
  <c r="V1417" i="3"/>
  <c r="V1416" i="3"/>
  <c r="V1415" i="3"/>
  <c r="V1406" i="3"/>
  <c r="V1405" i="3"/>
  <c r="V1404" i="3"/>
  <c r="V1403" i="3"/>
  <c r="V1394" i="3"/>
  <c r="V1393" i="3"/>
  <c r="V1392" i="3"/>
  <c r="V1391" i="3"/>
  <c r="V1386" i="3"/>
  <c r="V1385" i="3"/>
  <c r="V1384" i="3"/>
  <c r="V1383" i="3"/>
  <c r="V1374" i="3"/>
  <c r="V1373" i="3"/>
  <c r="V1372" i="3"/>
  <c r="V1371" i="3"/>
  <c r="V1366" i="3"/>
  <c r="V1365" i="3"/>
  <c r="V1364" i="3"/>
  <c r="V1363" i="3"/>
  <c r="V1354" i="3"/>
  <c r="V1353" i="3"/>
  <c r="V1352" i="3"/>
  <c r="V1351" i="3"/>
  <c r="V1344" i="3"/>
  <c r="V1343" i="3"/>
  <c r="V1342" i="3"/>
  <c r="V1341" i="3"/>
  <c r="V1332" i="3"/>
  <c r="V1331" i="3"/>
  <c r="V1330" i="3"/>
  <c r="V1329" i="3"/>
  <c r="V1324" i="3"/>
  <c r="V1323" i="3"/>
  <c r="V1322" i="3"/>
  <c r="V1321" i="3"/>
  <c r="V1314" i="3"/>
  <c r="V1313" i="3"/>
  <c r="V1312" i="3"/>
  <c r="V1311" i="3"/>
  <c r="V1298" i="3"/>
  <c r="V1297" i="3"/>
  <c r="V1296" i="3"/>
  <c r="V1295" i="3"/>
  <c r="V1280" i="3"/>
  <c r="V1279" i="3"/>
  <c r="V1278" i="3"/>
  <c r="V1277" i="3"/>
  <c r="V1268" i="3"/>
  <c r="V1267" i="3"/>
  <c r="V1266" i="3"/>
  <c r="V1265" i="3"/>
  <c r="V1256" i="3"/>
  <c r="V1255" i="3"/>
  <c r="V1254" i="3"/>
  <c r="V1253" i="3"/>
  <c r="V1246" i="3"/>
  <c r="V1245" i="3"/>
  <c r="V1244" i="3"/>
  <c r="V1243" i="3"/>
  <c r="V1238" i="3"/>
  <c r="V1237" i="3"/>
  <c r="V1236" i="3"/>
  <c r="V1235" i="3"/>
  <c r="V1230" i="3"/>
  <c r="V1229" i="3"/>
  <c r="V1228" i="3"/>
  <c r="V1227" i="3"/>
  <c r="V1218" i="3"/>
  <c r="V1217" i="3"/>
  <c r="V1216" i="3"/>
  <c r="V1215" i="3"/>
  <c r="V1208" i="3"/>
  <c r="V1207" i="3"/>
  <c r="V1206" i="3"/>
  <c r="V1205" i="3"/>
  <c r="V1200" i="3"/>
  <c r="V1199" i="3"/>
  <c r="V1198" i="3"/>
  <c r="V1197" i="3"/>
  <c r="V1192" i="3"/>
  <c r="V1191" i="3"/>
  <c r="V1190" i="3"/>
  <c r="R83" i="3"/>
  <c r="R1424" i="3"/>
  <c r="R1423" i="3"/>
  <c r="R1422" i="3"/>
  <c r="R1421" i="3"/>
  <c r="R1420" i="3"/>
  <c r="R1419" i="3"/>
  <c r="R1418" i="3"/>
  <c r="R1417" i="3"/>
  <c r="R1416" i="3"/>
  <c r="R1415" i="3"/>
  <c r="R1406" i="3"/>
  <c r="R1405" i="3"/>
  <c r="R1404" i="3"/>
  <c r="R1403" i="3"/>
  <c r="R1394" i="3"/>
  <c r="R1393" i="3"/>
  <c r="R1392" i="3"/>
  <c r="R1391" i="3"/>
  <c r="R1386" i="3"/>
  <c r="R1385" i="3"/>
  <c r="R1384" i="3"/>
  <c r="R1383" i="3"/>
  <c r="R1374" i="3"/>
  <c r="R1373" i="3"/>
  <c r="R1372" i="3"/>
  <c r="R1371" i="3"/>
  <c r="R1366" i="3"/>
  <c r="R1365" i="3"/>
  <c r="R1364" i="3"/>
  <c r="R1363" i="3"/>
  <c r="R1354" i="3"/>
  <c r="R1353" i="3"/>
  <c r="R1352" i="3"/>
  <c r="R1351" i="3"/>
  <c r="R1344" i="3"/>
  <c r="R1343" i="3"/>
  <c r="R1342" i="3"/>
  <c r="R1341" i="3"/>
  <c r="R1332" i="3"/>
  <c r="R1331" i="3"/>
  <c r="R1330" i="3"/>
  <c r="R1329" i="3"/>
  <c r="R1324" i="3"/>
  <c r="R1323" i="3"/>
  <c r="R1322" i="3"/>
  <c r="R1321" i="3"/>
  <c r="R1314" i="3"/>
  <c r="R1313" i="3"/>
  <c r="R1312" i="3"/>
  <c r="R1311" i="3"/>
  <c r="R1298" i="3"/>
  <c r="R1297" i="3"/>
  <c r="R1296" i="3"/>
  <c r="R1295" i="3"/>
  <c r="R1280" i="3"/>
  <c r="R1279" i="3"/>
  <c r="R1278" i="3"/>
  <c r="R1277" i="3"/>
  <c r="R1268" i="3"/>
  <c r="R1267" i="3"/>
  <c r="R1266" i="3"/>
  <c r="R1265" i="3"/>
  <c r="R1256" i="3"/>
  <c r="R1255" i="3"/>
  <c r="R1254" i="3"/>
  <c r="R1253" i="3"/>
  <c r="R1246" i="3"/>
  <c r="R1245" i="3"/>
  <c r="R1244" i="3"/>
  <c r="R1243" i="3"/>
  <c r="R1238" i="3"/>
  <c r="R1237" i="3"/>
  <c r="R1236" i="3"/>
  <c r="R1235" i="3"/>
  <c r="R1234" i="3"/>
  <c r="R1233" i="3"/>
  <c r="R1230" i="3"/>
  <c r="R1229" i="3"/>
  <c r="R1228" i="3"/>
  <c r="R1227" i="3"/>
  <c r="R1218" i="3"/>
  <c r="R1217" i="3"/>
  <c r="R1216" i="3"/>
  <c r="R1215" i="3"/>
  <c r="R1208" i="3"/>
  <c r="R1207" i="3"/>
  <c r="R1206" i="3"/>
  <c r="R1205" i="3"/>
  <c r="R1200" i="3"/>
  <c r="R1199" i="3"/>
  <c r="R1198" i="3"/>
  <c r="R1197" i="3"/>
  <c r="R1192" i="3"/>
  <c r="R1191" i="3"/>
  <c r="R1190" i="3"/>
  <c r="AX75" i="3"/>
  <c r="AT75" i="3"/>
  <c r="AP75" i="3"/>
  <c r="AL75" i="3"/>
  <c r="AH75" i="3"/>
  <c r="AH912" i="3"/>
  <c r="AH911" i="3"/>
  <c r="AD75" i="3"/>
  <c r="AD1143" i="3"/>
  <c r="AD1142" i="3"/>
  <c r="AD1139" i="3"/>
  <c r="AD1138" i="3"/>
  <c r="AD1137" i="3"/>
  <c r="AD1136" i="3"/>
  <c r="AD1135" i="3"/>
  <c r="AD1126" i="3"/>
  <c r="AD1125" i="3"/>
  <c r="AD1124" i="3"/>
  <c r="AD1123" i="3"/>
  <c r="AD1114" i="3"/>
  <c r="AD1113" i="3"/>
  <c r="AD1112" i="3"/>
  <c r="AD1111" i="3"/>
  <c r="AD1106" i="3"/>
  <c r="AD1105" i="3"/>
  <c r="AD1104" i="3"/>
  <c r="AD1103" i="3"/>
  <c r="AD1094" i="3"/>
  <c r="AD1093" i="3"/>
  <c r="AD1092" i="3"/>
  <c r="AD1091" i="3"/>
  <c r="AD1086" i="3"/>
  <c r="AD1085" i="3"/>
  <c r="AD1084" i="3"/>
  <c r="AD1083" i="3"/>
  <c r="AD1074" i="3"/>
  <c r="AD1073" i="3"/>
  <c r="AD1072" i="3"/>
  <c r="AD1071" i="3"/>
  <c r="AD1064" i="3"/>
  <c r="AD1063" i="3"/>
  <c r="AD1062" i="3"/>
  <c r="AD1061" i="3"/>
  <c r="AD1052" i="3"/>
  <c r="AD1051" i="3"/>
  <c r="AD1050" i="3"/>
  <c r="AD1049" i="3"/>
  <c r="AD1044" i="3"/>
  <c r="AD1043" i="3"/>
  <c r="AD1042" i="3"/>
  <c r="AD1041" i="3"/>
  <c r="AD1034" i="3"/>
  <c r="AD1033" i="3"/>
  <c r="AD1032" i="3"/>
  <c r="AD1031" i="3"/>
  <c r="AD1018" i="3"/>
  <c r="AD1017" i="3"/>
  <c r="AD1016" i="3"/>
  <c r="AD1015" i="3"/>
  <c r="AD1000" i="3"/>
  <c r="AD999" i="3"/>
  <c r="AD998" i="3"/>
  <c r="AD997" i="3"/>
  <c r="AD988" i="3"/>
  <c r="AD987" i="3"/>
  <c r="AD986" i="3"/>
  <c r="AD985" i="3"/>
  <c r="AD976" i="3"/>
  <c r="AD975" i="3"/>
  <c r="AD974" i="3"/>
  <c r="AD973" i="3"/>
  <c r="AD966" i="3"/>
  <c r="AD965" i="3"/>
  <c r="AD964" i="3"/>
  <c r="AD963" i="3"/>
  <c r="AD958" i="3"/>
  <c r="AD957" i="3"/>
  <c r="AD956" i="3"/>
  <c r="AD955" i="3"/>
  <c r="AD950" i="3"/>
  <c r="AD949" i="3"/>
  <c r="AD948" i="3"/>
  <c r="AD947" i="3"/>
  <c r="AD938" i="3"/>
  <c r="AD937" i="3"/>
  <c r="AD936" i="3"/>
  <c r="AD935" i="3"/>
  <c r="AD928" i="3"/>
  <c r="AD927" i="3"/>
  <c r="AD926" i="3"/>
  <c r="AD925" i="3"/>
  <c r="AD920" i="3"/>
  <c r="AD919" i="3"/>
  <c r="AD918" i="3"/>
  <c r="AD917" i="3"/>
  <c r="AD912" i="3"/>
  <c r="AD911" i="3"/>
  <c r="Z75" i="3"/>
  <c r="Z1144" i="3"/>
  <c r="Z1143" i="3"/>
  <c r="Z1142" i="3"/>
  <c r="Z1140" i="3"/>
  <c r="Z1139" i="3"/>
  <c r="Z1138" i="3"/>
  <c r="Z1137" i="3"/>
  <c r="Z1136" i="3"/>
  <c r="Z1135" i="3"/>
  <c r="Z1126" i="3"/>
  <c r="Z1125" i="3"/>
  <c r="Z1124" i="3"/>
  <c r="Z1123" i="3"/>
  <c r="Z1114" i="3"/>
  <c r="Z1113" i="3"/>
  <c r="Z1112" i="3"/>
  <c r="Z1111" i="3"/>
  <c r="Z1106" i="3"/>
  <c r="Z1105" i="3"/>
  <c r="Z1104" i="3"/>
  <c r="Z1103" i="3"/>
  <c r="Z1094" i="3"/>
  <c r="Z1093" i="3"/>
  <c r="Z1092" i="3"/>
  <c r="Z1091" i="3"/>
  <c r="Z1086" i="3"/>
  <c r="Z1085" i="3"/>
  <c r="Z1084" i="3"/>
  <c r="Z1083" i="3"/>
  <c r="Z1074" i="3"/>
  <c r="Z1073" i="3"/>
  <c r="Z1072" i="3"/>
  <c r="Z1071" i="3"/>
  <c r="Z1064" i="3"/>
  <c r="Z1063" i="3"/>
  <c r="Z1062" i="3"/>
  <c r="Z1061" i="3"/>
  <c r="Z1052" i="3"/>
  <c r="Z1051" i="3"/>
  <c r="Z1050" i="3"/>
  <c r="Z1049" i="3"/>
  <c r="Z1044" i="3"/>
  <c r="Z1043" i="3"/>
  <c r="Z1042" i="3"/>
  <c r="Z1041" i="3"/>
  <c r="Z1034" i="3"/>
  <c r="Z1033" i="3"/>
  <c r="Z1032" i="3"/>
  <c r="Z1031" i="3"/>
  <c r="Z1018" i="3"/>
  <c r="Z1017" i="3"/>
  <c r="Z1016" i="3"/>
  <c r="Z1015" i="3"/>
  <c r="Z1000" i="3"/>
  <c r="Z999" i="3"/>
  <c r="Z998" i="3"/>
  <c r="Z997" i="3"/>
  <c r="Z988" i="3"/>
  <c r="Z987" i="3"/>
  <c r="Z986" i="3"/>
  <c r="Z985" i="3"/>
  <c r="Z976" i="3"/>
  <c r="Z975" i="3"/>
  <c r="Z974" i="3"/>
  <c r="Z973" i="3"/>
  <c r="Z966" i="3"/>
  <c r="Z965" i="3"/>
  <c r="Z964" i="3"/>
  <c r="Z963" i="3"/>
  <c r="Z958" i="3"/>
  <c r="Z957" i="3"/>
  <c r="Z956" i="3"/>
  <c r="Z955" i="3"/>
  <c r="Z950" i="3"/>
  <c r="Z949" i="3"/>
  <c r="Z948" i="3"/>
  <c r="Z947" i="3"/>
  <c r="Z938" i="3"/>
  <c r="Z937" i="3"/>
  <c r="Z936" i="3"/>
  <c r="Z935" i="3"/>
  <c r="Z928" i="3"/>
  <c r="Z927" i="3"/>
  <c r="Z926" i="3"/>
  <c r="Z925" i="3"/>
  <c r="Z920" i="3"/>
  <c r="Z919" i="3"/>
  <c r="Z918" i="3"/>
  <c r="Z917" i="3"/>
  <c r="Z912" i="3"/>
  <c r="Z911" i="3"/>
  <c r="V75" i="3"/>
  <c r="V1144" i="3"/>
  <c r="V1143" i="3"/>
  <c r="V1142" i="3"/>
  <c r="V1141" i="3"/>
  <c r="V1140" i="3"/>
  <c r="V1139" i="3"/>
  <c r="V1138" i="3"/>
  <c r="V1137" i="3"/>
  <c r="V1136" i="3"/>
  <c r="V1135" i="3"/>
  <c r="V1126" i="3"/>
  <c r="V1125" i="3"/>
  <c r="V1124" i="3"/>
  <c r="V1123" i="3"/>
  <c r="V1114" i="3"/>
  <c r="V1113" i="3"/>
  <c r="V1112" i="3"/>
  <c r="V1111" i="3"/>
  <c r="V1106" i="3"/>
  <c r="V1105" i="3"/>
  <c r="V1104" i="3"/>
  <c r="V1103" i="3"/>
  <c r="V1094" i="3"/>
  <c r="V1093" i="3"/>
  <c r="V1092" i="3"/>
  <c r="V1091" i="3"/>
  <c r="V1086" i="3"/>
  <c r="V1085" i="3"/>
  <c r="V1084" i="3"/>
  <c r="V1083" i="3"/>
  <c r="V1074" i="3"/>
  <c r="V1073" i="3"/>
  <c r="V1072" i="3"/>
  <c r="V1071" i="3"/>
  <c r="V1064" i="3"/>
  <c r="V1063" i="3"/>
  <c r="V1062" i="3"/>
  <c r="V1061" i="3"/>
  <c r="V1052" i="3"/>
  <c r="V1051" i="3"/>
  <c r="V1050" i="3"/>
  <c r="V1049" i="3"/>
  <c r="V1044" i="3"/>
  <c r="V1043" i="3"/>
  <c r="V1042" i="3"/>
  <c r="V1041" i="3"/>
  <c r="V1034" i="3"/>
  <c r="V1033" i="3"/>
  <c r="V1032" i="3"/>
  <c r="V1031" i="3"/>
  <c r="V1018" i="3"/>
  <c r="V1017" i="3"/>
  <c r="V1016" i="3"/>
  <c r="V1015" i="3"/>
  <c r="V1000" i="3"/>
  <c r="V999" i="3"/>
  <c r="V998" i="3"/>
  <c r="V997" i="3"/>
  <c r="V988" i="3"/>
  <c r="V987" i="3"/>
  <c r="V986" i="3"/>
  <c r="V985" i="3"/>
  <c r="V976" i="3"/>
  <c r="V975" i="3"/>
  <c r="V974" i="3"/>
  <c r="V973" i="3"/>
  <c r="V966" i="3"/>
  <c r="V965" i="3"/>
  <c r="V964" i="3"/>
  <c r="V963" i="3"/>
  <c r="V958" i="3"/>
  <c r="V957" i="3"/>
  <c r="V956" i="3"/>
  <c r="V955" i="3"/>
  <c r="V950" i="3"/>
  <c r="V949" i="3"/>
  <c r="V948" i="3"/>
  <c r="V947" i="3"/>
  <c r="V938" i="3"/>
  <c r="V937" i="3"/>
  <c r="V936" i="3"/>
  <c r="V935" i="3"/>
  <c r="V928" i="3"/>
  <c r="V927" i="3"/>
  <c r="V926" i="3"/>
  <c r="V925" i="3"/>
  <c r="V920" i="3"/>
  <c r="V919" i="3"/>
  <c r="V918" i="3"/>
  <c r="V917" i="3"/>
  <c r="V912" i="3"/>
  <c r="V911" i="3"/>
  <c r="V910" i="3"/>
  <c r="R75" i="3"/>
  <c r="R1144" i="3"/>
  <c r="R1143" i="3"/>
  <c r="R1142" i="3"/>
  <c r="R1141" i="3"/>
  <c r="R1140" i="3"/>
  <c r="R1139" i="3"/>
  <c r="R1138" i="3"/>
  <c r="R1137" i="3"/>
  <c r="R1136" i="3"/>
  <c r="R1135" i="3"/>
  <c r="R1126" i="3"/>
  <c r="R1125" i="3"/>
  <c r="R1124" i="3"/>
  <c r="R1123" i="3"/>
  <c r="R1114" i="3"/>
  <c r="R1113" i="3"/>
  <c r="R1112" i="3"/>
  <c r="R1111" i="3"/>
  <c r="R1106" i="3"/>
  <c r="R1105" i="3"/>
  <c r="R1104" i="3"/>
  <c r="R1103" i="3"/>
  <c r="R1094" i="3"/>
  <c r="R1093" i="3"/>
  <c r="R1092" i="3"/>
  <c r="R1091" i="3"/>
  <c r="R1086" i="3"/>
  <c r="R1085" i="3"/>
  <c r="R1084" i="3"/>
  <c r="R1083" i="3"/>
  <c r="R1074" i="3"/>
  <c r="R1073" i="3"/>
  <c r="R1072" i="3"/>
  <c r="R1071" i="3"/>
  <c r="R1064" i="3"/>
  <c r="R1063" i="3"/>
  <c r="R1062" i="3"/>
  <c r="R1061" i="3"/>
  <c r="R1052" i="3"/>
  <c r="R1051" i="3"/>
  <c r="R1050" i="3"/>
  <c r="R1049" i="3"/>
  <c r="R1044" i="3"/>
  <c r="R1043" i="3"/>
  <c r="R1042" i="3"/>
  <c r="R1041" i="3"/>
  <c r="R1034" i="3"/>
  <c r="R1033" i="3"/>
  <c r="R1032" i="3"/>
  <c r="R1031" i="3"/>
  <c r="R1018" i="3"/>
  <c r="R1017" i="3"/>
  <c r="R1016" i="3"/>
  <c r="R1015" i="3"/>
  <c r="R1000" i="3"/>
  <c r="R999" i="3"/>
  <c r="R998" i="3"/>
  <c r="R997" i="3"/>
  <c r="R988" i="3"/>
  <c r="R987" i="3"/>
  <c r="R986" i="3"/>
  <c r="R985" i="3"/>
  <c r="R976" i="3"/>
  <c r="R975" i="3"/>
  <c r="R974" i="3"/>
  <c r="R973" i="3"/>
  <c r="R966" i="3"/>
  <c r="R965" i="3"/>
  <c r="R964" i="3"/>
  <c r="R963" i="3"/>
  <c r="R958" i="3"/>
  <c r="R957" i="3"/>
  <c r="R956" i="3"/>
  <c r="R955" i="3"/>
  <c r="R954" i="3"/>
  <c r="R953" i="3"/>
  <c r="R950" i="3"/>
  <c r="R949" i="3"/>
  <c r="R948" i="3"/>
  <c r="R947" i="3"/>
  <c r="R938" i="3"/>
  <c r="R937" i="3"/>
  <c r="R936" i="3"/>
  <c r="R935" i="3"/>
  <c r="R928" i="3"/>
  <c r="R927" i="3"/>
  <c r="R926" i="3"/>
  <c r="R925" i="3"/>
  <c r="R920" i="3"/>
  <c r="R919" i="3"/>
  <c r="R918" i="3"/>
  <c r="R917" i="3"/>
  <c r="R912" i="3"/>
  <c r="R911" i="3"/>
  <c r="R910" i="3"/>
  <c r="AW83" i="3"/>
  <c r="AS83" i="3"/>
  <c r="AO83" i="3"/>
  <c r="AK83" i="3"/>
  <c r="AG83" i="3"/>
  <c r="AG1192" i="3"/>
  <c r="AG1191" i="3"/>
  <c r="AC83" i="3"/>
  <c r="AC1423" i="3"/>
  <c r="AC1419" i="3"/>
  <c r="AC1415" i="3"/>
  <c r="AC1403" i="3"/>
  <c r="AC1391" i="3"/>
  <c r="AC1383" i="3"/>
  <c r="AC1371" i="3"/>
  <c r="AC1363" i="3"/>
  <c r="AC1351" i="3"/>
  <c r="AC1343" i="3"/>
  <c r="AC1331" i="3"/>
  <c r="AC1323" i="3"/>
  <c r="AC1311" i="3"/>
  <c r="AC1295" i="3"/>
  <c r="AC1279" i="3"/>
  <c r="AC1267" i="3"/>
  <c r="AC1255" i="3"/>
  <c r="AC1243" i="3"/>
  <c r="AC1235" i="3"/>
  <c r="AC1227" i="3"/>
  <c r="AC1215" i="3"/>
  <c r="AC1207" i="3"/>
  <c r="AC1417" i="3"/>
  <c r="AC1405" i="3"/>
  <c r="AC1393" i="3"/>
  <c r="AC1385" i="3"/>
  <c r="AC1373" i="3"/>
  <c r="AC1365" i="3"/>
  <c r="AC1353" i="3"/>
  <c r="AC1341" i="3"/>
  <c r="AC1329" i="3"/>
  <c r="AC1321" i="3"/>
  <c r="AC1313" i="3"/>
  <c r="AC1297" i="3"/>
  <c r="AC1277" i="3"/>
  <c r="AC1265" i="3"/>
  <c r="AC1253" i="3"/>
  <c r="AC1245" i="3"/>
  <c r="AC1237" i="3"/>
  <c r="AC1229" i="3"/>
  <c r="AC1217" i="3"/>
  <c r="AC1422" i="3"/>
  <c r="AC1406" i="3"/>
  <c r="AC1374" i="3"/>
  <c r="AC1366" i="3"/>
  <c r="AC1342" i="3"/>
  <c r="AC1278" i="3"/>
  <c r="AC1254" i="3"/>
  <c r="AC1246" i="3"/>
  <c r="AC1238" i="3"/>
  <c r="AC1230" i="3"/>
  <c r="AC1206" i="3"/>
  <c r="AC1198" i="3"/>
  <c r="AC1404" i="3"/>
  <c r="AC1372" i="3"/>
  <c r="AC1364" i="3"/>
  <c r="AC1332" i="3"/>
  <c r="AC1324" i="3"/>
  <c r="AC1268" i="3"/>
  <c r="AC1244" i="3"/>
  <c r="AC1236" i="3"/>
  <c r="AC1228" i="3"/>
  <c r="AC1205" i="3"/>
  <c r="AC1197" i="3"/>
  <c r="AC1418" i="3"/>
  <c r="AC1394" i="3"/>
  <c r="AC1386" i="3"/>
  <c r="AC1354" i="3"/>
  <c r="AC1330" i="3"/>
  <c r="AC1322" i="3"/>
  <c r="AC1314" i="3"/>
  <c r="AC1298" i="3"/>
  <c r="AC1266" i="3"/>
  <c r="AC1218" i="3"/>
  <c r="AC1200" i="3"/>
  <c r="AC1192" i="3"/>
  <c r="AC1416" i="3"/>
  <c r="AC1392" i="3"/>
  <c r="AC1384" i="3"/>
  <c r="AC1352" i="3"/>
  <c r="AC1344" i="3"/>
  <c r="AC1312" i="3"/>
  <c r="AC1296" i="3"/>
  <c r="AC1280" i="3"/>
  <c r="AC1256" i="3"/>
  <c r="AC1216" i="3"/>
  <c r="AC1208" i="3"/>
  <c r="AC1199" i="3"/>
  <c r="AC1191" i="3"/>
  <c r="Y83" i="3"/>
  <c r="Y1424" i="3"/>
  <c r="Y1420" i="3"/>
  <c r="Y1416" i="3"/>
  <c r="Y1404" i="3"/>
  <c r="Y1392" i="3"/>
  <c r="Y1384" i="3"/>
  <c r="Y1372" i="3"/>
  <c r="Y1364" i="3"/>
  <c r="Y1352" i="3"/>
  <c r="Y1344" i="3"/>
  <c r="Y1332" i="3"/>
  <c r="Y1324" i="3"/>
  <c r="Y1312" i="3"/>
  <c r="Y1296" i="3"/>
  <c r="Y1280" i="3"/>
  <c r="Y1268" i="3"/>
  <c r="Y1256" i="3"/>
  <c r="Y1244" i="3"/>
  <c r="Y1236" i="3"/>
  <c r="Y1228" i="3"/>
  <c r="Y1216" i="3"/>
  <c r="Y1208" i="3"/>
  <c r="Y1422" i="3"/>
  <c r="Y1418" i="3"/>
  <c r="Y1406" i="3"/>
  <c r="Y1394" i="3"/>
  <c r="Y1386" i="3"/>
  <c r="Y1374" i="3"/>
  <c r="Y1366" i="3"/>
  <c r="Y1354" i="3"/>
  <c r="Y1342" i="3"/>
  <c r="Y1330" i="3"/>
  <c r="Y1322" i="3"/>
  <c r="Y1314" i="3"/>
  <c r="Y1298" i="3"/>
  <c r="Y1278" i="3"/>
  <c r="Y1266" i="3"/>
  <c r="Y1254" i="3"/>
  <c r="Y1246" i="3"/>
  <c r="Y1238" i="3"/>
  <c r="Y1230" i="3"/>
  <c r="Y1218" i="3"/>
  <c r="Y1423" i="3"/>
  <c r="Y1415" i="3"/>
  <c r="Y1391" i="3"/>
  <c r="Y1383" i="3"/>
  <c r="Y1351" i="3"/>
  <c r="Y1343" i="3"/>
  <c r="Y1311" i="3"/>
  <c r="Y1295" i="3"/>
  <c r="Y1279" i="3"/>
  <c r="Y1255" i="3"/>
  <c r="Y1215" i="3"/>
  <c r="Y1207" i="3"/>
  <c r="Y1199" i="3"/>
  <c r="Y1191" i="3"/>
  <c r="Y1421" i="3"/>
  <c r="Y1405" i="3"/>
  <c r="Y1373" i="3"/>
  <c r="Y1365" i="3"/>
  <c r="Y1341" i="3"/>
  <c r="Y1277" i="3"/>
  <c r="Y1253" i="3"/>
  <c r="Y1245" i="3"/>
  <c r="Y1237" i="3"/>
  <c r="Y1229" i="3"/>
  <c r="Y1206" i="3"/>
  <c r="Y1198" i="3"/>
  <c r="Y1419" i="3"/>
  <c r="Y1403" i="3"/>
  <c r="Y1371" i="3"/>
  <c r="Y1363" i="3"/>
  <c r="Y1331" i="3"/>
  <c r="Y1323" i="3"/>
  <c r="Y1267" i="3"/>
  <c r="Y1243" i="3"/>
  <c r="Y1235" i="3"/>
  <c r="Y1227" i="3"/>
  <c r="Y1205" i="3"/>
  <c r="Y1197" i="3"/>
  <c r="Y1417" i="3"/>
  <c r="Y1393" i="3"/>
  <c r="Y1385" i="3"/>
  <c r="Y1353" i="3"/>
  <c r="Y1329" i="3"/>
  <c r="Y1321" i="3"/>
  <c r="Y1313" i="3"/>
  <c r="Y1297" i="3"/>
  <c r="Y1265" i="3"/>
  <c r="Y1217" i="3"/>
  <c r="Y1200" i="3"/>
  <c r="Y1192" i="3"/>
  <c r="U83" i="3"/>
  <c r="U1421" i="3"/>
  <c r="U1417" i="3"/>
  <c r="U1405" i="3"/>
  <c r="U1393" i="3"/>
  <c r="U1385" i="3"/>
  <c r="U1373" i="3"/>
  <c r="U1365" i="3"/>
  <c r="U1353" i="3"/>
  <c r="U1341" i="3"/>
  <c r="U1329" i="3"/>
  <c r="U1321" i="3"/>
  <c r="U1313" i="3"/>
  <c r="U1297" i="3"/>
  <c r="U1277" i="3"/>
  <c r="U1265" i="3"/>
  <c r="U1253" i="3"/>
  <c r="U1245" i="3"/>
  <c r="U1237" i="3"/>
  <c r="U1229" i="3"/>
  <c r="U1217" i="3"/>
  <c r="U1423" i="3"/>
  <c r="U1419" i="3"/>
  <c r="U1415" i="3"/>
  <c r="U1403" i="3"/>
  <c r="U1391" i="3"/>
  <c r="U1383" i="3"/>
  <c r="U1371" i="3"/>
  <c r="U1363" i="3"/>
  <c r="U1351" i="3"/>
  <c r="U1343" i="3"/>
  <c r="U1331" i="3"/>
  <c r="U1323" i="3"/>
  <c r="U1311" i="3"/>
  <c r="U1295" i="3"/>
  <c r="U1279" i="3"/>
  <c r="U1267" i="3"/>
  <c r="U1255" i="3"/>
  <c r="U1243" i="3"/>
  <c r="U1235" i="3"/>
  <c r="U1227" i="3"/>
  <c r="U1215" i="3"/>
  <c r="U1424" i="3"/>
  <c r="U1416" i="3"/>
  <c r="U1392" i="3"/>
  <c r="U1384" i="3"/>
  <c r="U1352" i="3"/>
  <c r="U1344" i="3"/>
  <c r="U1312" i="3"/>
  <c r="U1296" i="3"/>
  <c r="U1280" i="3"/>
  <c r="U1256" i="3"/>
  <c r="U1216" i="3"/>
  <c r="U1208" i="3"/>
  <c r="U1200" i="3"/>
  <c r="U1192" i="3"/>
  <c r="U1422" i="3"/>
  <c r="U1406" i="3"/>
  <c r="U1374" i="3"/>
  <c r="U1366" i="3"/>
  <c r="U1342" i="3"/>
  <c r="U1278" i="3"/>
  <c r="U1254" i="3"/>
  <c r="U1246" i="3"/>
  <c r="U1238" i="3"/>
  <c r="U1230" i="3"/>
  <c r="U1207" i="3"/>
  <c r="U1199" i="3"/>
  <c r="U1191" i="3"/>
  <c r="U1420" i="3"/>
  <c r="U1404" i="3"/>
  <c r="U1372" i="3"/>
  <c r="U1364" i="3"/>
  <c r="U1332" i="3"/>
  <c r="U1324" i="3"/>
  <c r="U1268" i="3"/>
  <c r="U1244" i="3"/>
  <c r="U1236" i="3"/>
  <c r="U1228" i="3"/>
  <c r="U1206" i="3"/>
  <c r="U1198" i="3"/>
  <c r="U1190" i="3"/>
  <c r="U1418" i="3"/>
  <c r="U1394" i="3"/>
  <c r="U1386" i="3"/>
  <c r="U1354" i="3"/>
  <c r="U1330" i="3"/>
  <c r="U1322" i="3"/>
  <c r="U1314" i="3"/>
  <c r="U1298" i="3"/>
  <c r="U1266" i="3"/>
  <c r="U1218" i="3"/>
  <c r="U1205" i="3"/>
  <c r="U1197" i="3"/>
  <c r="Q83" i="3"/>
  <c r="Q1422" i="3"/>
  <c r="Q1418" i="3"/>
  <c r="Q1406" i="3"/>
  <c r="Q1394" i="3"/>
  <c r="Q1386" i="3"/>
  <c r="Q1374" i="3"/>
  <c r="Q1366" i="3"/>
  <c r="Q1354" i="3"/>
  <c r="Q1342" i="3"/>
  <c r="Q1330" i="3"/>
  <c r="Q1322" i="3"/>
  <c r="Q1314" i="3"/>
  <c r="Q1298" i="3"/>
  <c r="Q1278" i="3"/>
  <c r="Q1266" i="3"/>
  <c r="Q1254" i="3"/>
  <c r="Q1246" i="3"/>
  <c r="Q1238" i="3"/>
  <c r="Q1234" i="3"/>
  <c r="Q1230" i="3"/>
  <c r="Q1218" i="3"/>
  <c r="Q1424" i="3"/>
  <c r="Q1420" i="3"/>
  <c r="Q1416" i="3"/>
  <c r="Q1404" i="3"/>
  <c r="Q1392" i="3"/>
  <c r="Q1384" i="3"/>
  <c r="Q1372" i="3"/>
  <c r="Q1364" i="3"/>
  <c r="Q1352" i="3"/>
  <c r="Q1344" i="3"/>
  <c r="Q1332" i="3"/>
  <c r="Q1324" i="3"/>
  <c r="Q1312" i="3"/>
  <c r="Q1296" i="3"/>
  <c r="Q1280" i="3"/>
  <c r="Q1268" i="3"/>
  <c r="Q1256" i="3"/>
  <c r="Q1244" i="3"/>
  <c r="Q1236" i="3"/>
  <c r="Q1228" i="3"/>
  <c r="Q1216" i="3"/>
  <c r="Q1208" i="3"/>
  <c r="Q1417" i="3"/>
  <c r="Q1393" i="3"/>
  <c r="Q1385" i="3"/>
  <c r="Q1353" i="3"/>
  <c r="Q1329" i="3"/>
  <c r="Q1321" i="3"/>
  <c r="Q1313" i="3"/>
  <c r="Q1297" i="3"/>
  <c r="Q1265" i="3"/>
  <c r="Q1233" i="3"/>
  <c r="Q1217" i="3"/>
  <c r="Q1205" i="3"/>
  <c r="Q1197" i="3"/>
  <c r="Q1423" i="3"/>
  <c r="Q1415" i="3"/>
  <c r="Q1391" i="3"/>
  <c r="Q1383" i="3"/>
  <c r="Q1351" i="3"/>
  <c r="Q1343" i="3"/>
  <c r="Q1311" i="3"/>
  <c r="Q1295" i="3"/>
  <c r="Q1279" i="3"/>
  <c r="Q1255" i="3"/>
  <c r="Q1215" i="3"/>
  <c r="Q1200" i="3"/>
  <c r="Q1192" i="3"/>
  <c r="Q1421" i="3"/>
  <c r="Q1405" i="3"/>
  <c r="Q1373" i="3"/>
  <c r="Q1365" i="3"/>
  <c r="Q1341" i="3"/>
  <c r="Q1277" i="3"/>
  <c r="Q1253" i="3"/>
  <c r="Q1245" i="3"/>
  <c r="Q1237" i="3"/>
  <c r="Q1229" i="3"/>
  <c r="Q1207" i="3"/>
  <c r="Q1199" i="3"/>
  <c r="Q1191" i="3"/>
  <c r="Q1419" i="3"/>
  <c r="Q1403" i="3"/>
  <c r="Q1371" i="3"/>
  <c r="Q1363" i="3"/>
  <c r="Q1331" i="3"/>
  <c r="Q1323" i="3"/>
  <c r="Q1267" i="3"/>
  <c r="Q1243" i="3"/>
  <c r="Q1235" i="3"/>
  <c r="Q1227" i="3"/>
  <c r="Q1206" i="3"/>
  <c r="Q1198" i="3"/>
  <c r="Q1190" i="3"/>
  <c r="AW75" i="3"/>
  <c r="AS75" i="3"/>
  <c r="AO75" i="3"/>
  <c r="AK75" i="3"/>
  <c r="AG75" i="3"/>
  <c r="AG911" i="3"/>
  <c r="AG912" i="3"/>
  <c r="AC75" i="3"/>
  <c r="AC1072" i="3"/>
  <c r="AC1064" i="3"/>
  <c r="AC1052" i="3"/>
  <c r="AC1062" i="3"/>
  <c r="AC1050" i="3"/>
  <c r="AC1142" i="3"/>
  <c r="AC1138" i="3"/>
  <c r="AC1126" i="3"/>
  <c r="AC1114" i="3"/>
  <c r="AC1106" i="3"/>
  <c r="AC1094" i="3"/>
  <c r="AC1086" i="3"/>
  <c r="AC1074" i="3"/>
  <c r="AC1061" i="3"/>
  <c r="AC1044" i="3"/>
  <c r="AC1042" i="3"/>
  <c r="AC1034" i="3"/>
  <c r="AC1032" i="3"/>
  <c r="AC1018" i="3"/>
  <c r="AC1016" i="3"/>
  <c r="AC1000" i="3"/>
  <c r="AC998" i="3"/>
  <c r="AC988" i="3"/>
  <c r="AC986" i="3"/>
  <c r="AC976" i="3"/>
  <c r="AC974" i="3"/>
  <c r="AC966" i="3"/>
  <c r="AC964" i="3"/>
  <c r="AC958" i="3"/>
  <c r="AC956" i="3"/>
  <c r="AC950" i="3"/>
  <c r="AC948" i="3"/>
  <c r="AC938" i="3"/>
  <c r="AC936" i="3"/>
  <c r="AC928" i="3"/>
  <c r="AC926" i="3"/>
  <c r="AC920" i="3"/>
  <c r="AC918" i="3"/>
  <c r="AC912" i="3"/>
  <c r="AC1137" i="3"/>
  <c r="AC1125" i="3"/>
  <c r="AC1113" i="3"/>
  <c r="AC1105" i="3"/>
  <c r="AC1093" i="3"/>
  <c r="AC1136" i="3"/>
  <c r="AC1124" i="3"/>
  <c r="AC1112" i="3"/>
  <c r="AC1104" i="3"/>
  <c r="AC1092" i="3"/>
  <c r="AC1084" i="3"/>
  <c r="AC1073" i="3"/>
  <c r="AC1049" i="3"/>
  <c r="AC1043" i="3"/>
  <c r="AC1041" i="3"/>
  <c r="AC1033" i="3"/>
  <c r="AC1031" i="3"/>
  <c r="AC1017" i="3"/>
  <c r="AC1015" i="3"/>
  <c r="AC999" i="3"/>
  <c r="AC997" i="3"/>
  <c r="AC987" i="3"/>
  <c r="AC985" i="3"/>
  <c r="AC975" i="3"/>
  <c r="AC973" i="3"/>
  <c r="AC965" i="3"/>
  <c r="AC963" i="3"/>
  <c r="AC957" i="3"/>
  <c r="AC955" i="3"/>
  <c r="AC949" i="3"/>
  <c r="AC947" i="3"/>
  <c r="AC937" i="3"/>
  <c r="AC935" i="3"/>
  <c r="AC927" i="3"/>
  <c r="AC925" i="3"/>
  <c r="AC919" i="3"/>
  <c r="AC917" i="3"/>
  <c r="AC911" i="3"/>
  <c r="AC1143" i="3"/>
  <c r="AC1139" i="3"/>
  <c r="AC1135" i="3"/>
  <c r="AC1123" i="3"/>
  <c r="AC1111" i="3"/>
  <c r="AC1103" i="3"/>
  <c r="AC1091" i="3"/>
  <c r="AC1051" i="3"/>
  <c r="AC1071" i="3"/>
  <c r="AC1085" i="3"/>
  <c r="AC1083" i="3"/>
  <c r="AC1063" i="3"/>
  <c r="Y75" i="3"/>
  <c r="Y1073" i="3"/>
  <c r="Y1061" i="3"/>
  <c r="Y1049" i="3"/>
  <c r="Y1071" i="3"/>
  <c r="Y1063" i="3"/>
  <c r="Y1051" i="3"/>
  <c r="Y1143" i="3"/>
  <c r="Y1139" i="3"/>
  <c r="Y1135" i="3"/>
  <c r="Y1123" i="3"/>
  <c r="Y1111" i="3"/>
  <c r="Y1103" i="3"/>
  <c r="Y1091" i="3"/>
  <c r="Y1083" i="3"/>
  <c r="Y1062" i="3"/>
  <c r="Y1043" i="3"/>
  <c r="Y1041" i="3"/>
  <c r="Y1033" i="3"/>
  <c r="Y1031" i="3"/>
  <c r="Y1017" i="3"/>
  <c r="Y1015" i="3"/>
  <c r="Y999" i="3"/>
  <c r="Y997" i="3"/>
  <c r="Y987" i="3"/>
  <c r="Y985" i="3"/>
  <c r="Y975" i="3"/>
  <c r="Y973" i="3"/>
  <c r="Y965" i="3"/>
  <c r="Y963" i="3"/>
  <c r="Y957" i="3"/>
  <c r="Y955" i="3"/>
  <c r="Y949" i="3"/>
  <c r="Y947" i="3"/>
  <c r="Y937" i="3"/>
  <c r="Y935" i="3"/>
  <c r="Y927" i="3"/>
  <c r="Y925" i="3"/>
  <c r="Y919" i="3"/>
  <c r="Y917" i="3"/>
  <c r="Y911" i="3"/>
  <c r="Y1142" i="3"/>
  <c r="Y1138" i="3"/>
  <c r="Y1126" i="3"/>
  <c r="Y1114" i="3"/>
  <c r="Y1106" i="3"/>
  <c r="Y1094" i="3"/>
  <c r="Y1141" i="3"/>
  <c r="Y1137" i="3"/>
  <c r="Y1125" i="3"/>
  <c r="Y1113" i="3"/>
  <c r="Y1105" i="3"/>
  <c r="Y1093" i="3"/>
  <c r="Y1085" i="3"/>
  <c r="Y1050" i="3"/>
  <c r="Y1044" i="3"/>
  <c r="Y1042" i="3"/>
  <c r="Y1034" i="3"/>
  <c r="Y1032" i="3"/>
  <c r="Y1018" i="3"/>
  <c r="Y1016" i="3"/>
  <c r="Y1000" i="3"/>
  <c r="Y998" i="3"/>
  <c r="Y988" i="3"/>
  <c r="Y986" i="3"/>
  <c r="Y976" i="3"/>
  <c r="Y974" i="3"/>
  <c r="Y966" i="3"/>
  <c r="Y964" i="3"/>
  <c r="Y958" i="3"/>
  <c r="Y956" i="3"/>
  <c r="Y950" i="3"/>
  <c r="Y948" i="3"/>
  <c r="Y938" i="3"/>
  <c r="Y936" i="3"/>
  <c r="Y928" i="3"/>
  <c r="Y926" i="3"/>
  <c r="Y920" i="3"/>
  <c r="Y918" i="3"/>
  <c r="Y912" i="3"/>
  <c r="Y1144" i="3"/>
  <c r="Y1140" i="3"/>
  <c r="Y1136" i="3"/>
  <c r="Y1124" i="3"/>
  <c r="Y1112" i="3"/>
  <c r="Y1104" i="3"/>
  <c r="Y1092" i="3"/>
  <c r="Y1086" i="3"/>
  <c r="Y1064" i="3"/>
  <c r="Y1084" i="3"/>
  <c r="Y1052" i="3"/>
  <c r="Y1074" i="3"/>
  <c r="Y1072" i="3"/>
  <c r="U75" i="3"/>
  <c r="U1062" i="3"/>
  <c r="U1050" i="3"/>
  <c r="U1072" i="3"/>
  <c r="U1064" i="3"/>
  <c r="U1052" i="3"/>
  <c r="U1144" i="3"/>
  <c r="U1140" i="3"/>
  <c r="U1136" i="3"/>
  <c r="U1124" i="3"/>
  <c r="U1112" i="3"/>
  <c r="U1104" i="3"/>
  <c r="U1092" i="3"/>
  <c r="U1084" i="3"/>
  <c r="U1071" i="3"/>
  <c r="U1063" i="3"/>
  <c r="U1044" i="3"/>
  <c r="U1042" i="3"/>
  <c r="U1034" i="3"/>
  <c r="U1032" i="3"/>
  <c r="U1018" i="3"/>
  <c r="U1016" i="3"/>
  <c r="U1000" i="3"/>
  <c r="U998" i="3"/>
  <c r="U988" i="3"/>
  <c r="U986" i="3"/>
  <c r="U976" i="3"/>
  <c r="U974" i="3"/>
  <c r="U966" i="3"/>
  <c r="U964" i="3"/>
  <c r="U958" i="3"/>
  <c r="U956" i="3"/>
  <c r="U950" i="3"/>
  <c r="U948" i="3"/>
  <c r="U938" i="3"/>
  <c r="U936" i="3"/>
  <c r="U928" i="3"/>
  <c r="U926" i="3"/>
  <c r="U920" i="3"/>
  <c r="U918" i="3"/>
  <c r="U912" i="3"/>
  <c r="U910" i="3"/>
  <c r="U1143" i="3"/>
  <c r="U1139" i="3"/>
  <c r="U1135" i="3"/>
  <c r="U1123" i="3"/>
  <c r="U1111" i="3"/>
  <c r="U1103" i="3"/>
  <c r="U1091" i="3"/>
  <c r="U1142" i="3"/>
  <c r="U1138" i="3"/>
  <c r="U1126" i="3"/>
  <c r="U1114" i="3"/>
  <c r="U1106" i="3"/>
  <c r="U1094" i="3"/>
  <c r="U1086" i="3"/>
  <c r="U1074" i="3"/>
  <c r="U1051" i="3"/>
  <c r="U1043" i="3"/>
  <c r="U1041" i="3"/>
  <c r="U1033" i="3"/>
  <c r="U1031" i="3"/>
  <c r="U1017" i="3"/>
  <c r="U1015" i="3"/>
  <c r="U999" i="3"/>
  <c r="U997" i="3"/>
  <c r="U987" i="3"/>
  <c r="U985" i="3"/>
  <c r="U975" i="3"/>
  <c r="U973" i="3"/>
  <c r="U965" i="3"/>
  <c r="U963" i="3"/>
  <c r="U957" i="3"/>
  <c r="U955" i="3"/>
  <c r="U949" i="3"/>
  <c r="U947" i="3"/>
  <c r="U937" i="3"/>
  <c r="U935" i="3"/>
  <c r="U927" i="3"/>
  <c r="U925" i="3"/>
  <c r="U919" i="3"/>
  <c r="U917" i="3"/>
  <c r="U911" i="3"/>
  <c r="U1141" i="3"/>
  <c r="U1137" i="3"/>
  <c r="U1125" i="3"/>
  <c r="U1113" i="3"/>
  <c r="U1105" i="3"/>
  <c r="U1093" i="3"/>
  <c r="U1085" i="3"/>
  <c r="U1073" i="3"/>
  <c r="U1061" i="3"/>
  <c r="U1083" i="3"/>
  <c r="U1049" i="3"/>
  <c r="Q75" i="3"/>
  <c r="Q1071" i="3"/>
  <c r="Q1063" i="3"/>
  <c r="Q1051" i="3"/>
  <c r="Q1073" i="3"/>
  <c r="Q1061" i="3"/>
  <c r="Q1049" i="3"/>
  <c r="Q1141" i="3"/>
  <c r="Q1137" i="3"/>
  <c r="Q1125" i="3"/>
  <c r="Q1113" i="3"/>
  <c r="Q1105" i="3"/>
  <c r="Q1093" i="3"/>
  <c r="Q1085" i="3"/>
  <c r="Q1072" i="3"/>
  <c r="Q1064" i="3"/>
  <c r="Q1043" i="3"/>
  <c r="Q1041" i="3"/>
  <c r="Q1033" i="3"/>
  <c r="Q1031" i="3"/>
  <c r="Q1017" i="3"/>
  <c r="Q1015" i="3"/>
  <c r="Q999" i="3"/>
  <c r="Q997" i="3"/>
  <c r="Q987" i="3"/>
  <c r="Q985" i="3"/>
  <c r="Q975" i="3"/>
  <c r="Q973" i="3"/>
  <c r="Q965" i="3"/>
  <c r="Q963" i="3"/>
  <c r="Q957" i="3"/>
  <c r="Q955" i="3"/>
  <c r="Q953" i="3"/>
  <c r="Q949" i="3"/>
  <c r="Q947" i="3"/>
  <c r="Q937" i="3"/>
  <c r="Q935" i="3"/>
  <c r="Q927" i="3"/>
  <c r="Q925" i="3"/>
  <c r="Q919" i="3"/>
  <c r="Q917" i="3"/>
  <c r="Q911" i="3"/>
  <c r="Q1144" i="3"/>
  <c r="Q1140" i="3"/>
  <c r="Q1136" i="3"/>
  <c r="Q1124" i="3"/>
  <c r="Q1112" i="3"/>
  <c r="Q1104" i="3"/>
  <c r="Q1092" i="3"/>
  <c r="Q1143" i="3"/>
  <c r="Q1139" i="3"/>
  <c r="Q1135" i="3"/>
  <c r="Q1123" i="3"/>
  <c r="Q1111" i="3"/>
  <c r="Q1103" i="3"/>
  <c r="Q1091" i="3"/>
  <c r="Q1083" i="3"/>
  <c r="Q1052" i="3"/>
  <c r="Q1044" i="3"/>
  <c r="Q1042" i="3"/>
  <c r="Q1034" i="3"/>
  <c r="Q1032" i="3"/>
  <c r="Q1018" i="3"/>
  <c r="Q1016" i="3"/>
  <c r="Q1000" i="3"/>
  <c r="Q998" i="3"/>
  <c r="Q988" i="3"/>
  <c r="Q986" i="3"/>
  <c r="Q976" i="3"/>
  <c r="Q974" i="3"/>
  <c r="Q966" i="3"/>
  <c r="Q964" i="3"/>
  <c r="Q958" i="3"/>
  <c r="Q956" i="3"/>
  <c r="Q954" i="3"/>
  <c r="Q950" i="3"/>
  <c r="Q948" i="3"/>
  <c r="Q938" i="3"/>
  <c r="Q936" i="3"/>
  <c r="Q928" i="3"/>
  <c r="Q926" i="3"/>
  <c r="Q920" i="3"/>
  <c r="Q918" i="3"/>
  <c r="Q912" i="3"/>
  <c r="Q910" i="3"/>
  <c r="Q1142" i="3"/>
  <c r="Q1138" i="3"/>
  <c r="Q1126" i="3"/>
  <c r="Q1114" i="3"/>
  <c r="Q1106" i="3"/>
  <c r="Q1094" i="3"/>
  <c r="Q1086" i="3"/>
  <c r="Q1074" i="3"/>
  <c r="Q1062" i="3"/>
  <c r="Q1050" i="3"/>
  <c r="Q1084" i="3"/>
  <c r="AV83" i="3"/>
  <c r="AR83" i="3"/>
  <c r="AN83" i="3"/>
  <c r="AJ83" i="3"/>
  <c r="AF83" i="3"/>
  <c r="AF1422" i="3"/>
  <c r="AF1192" i="3"/>
  <c r="AF1191" i="3"/>
  <c r="AB83" i="3"/>
  <c r="AB1423" i="3"/>
  <c r="AB1422" i="3"/>
  <c r="AB1420" i="3"/>
  <c r="AB1419" i="3"/>
  <c r="AB1418" i="3"/>
  <c r="AB1417" i="3"/>
  <c r="AB1416" i="3"/>
  <c r="AB1415" i="3"/>
  <c r="AB1406" i="3"/>
  <c r="AB1405" i="3"/>
  <c r="AB1404" i="3"/>
  <c r="AB1403" i="3"/>
  <c r="AB1394" i="3"/>
  <c r="AB1393" i="3"/>
  <c r="AB1392" i="3"/>
  <c r="AB1391" i="3"/>
  <c r="AB1386" i="3"/>
  <c r="AB1385" i="3"/>
  <c r="AB1384" i="3"/>
  <c r="AB1383" i="3"/>
  <c r="AB1374" i="3"/>
  <c r="AB1373" i="3"/>
  <c r="AB1372" i="3"/>
  <c r="AB1371" i="3"/>
  <c r="AB1366" i="3"/>
  <c r="AB1365" i="3"/>
  <c r="AB1364" i="3"/>
  <c r="AB1363" i="3"/>
  <c r="AB1354" i="3"/>
  <c r="AB1353" i="3"/>
  <c r="AB1352" i="3"/>
  <c r="AB1351" i="3"/>
  <c r="AB1344" i="3"/>
  <c r="AB1343" i="3"/>
  <c r="AB1342" i="3"/>
  <c r="AB1341" i="3"/>
  <c r="AB1332" i="3"/>
  <c r="AB1331" i="3"/>
  <c r="AB1330" i="3"/>
  <c r="AB1329" i="3"/>
  <c r="AB1324" i="3"/>
  <c r="AB1323" i="3"/>
  <c r="AB1322" i="3"/>
  <c r="AB1321" i="3"/>
  <c r="AB1314" i="3"/>
  <c r="AB1313" i="3"/>
  <c r="AB1312" i="3"/>
  <c r="AB1311" i="3"/>
  <c r="AB1298" i="3"/>
  <c r="AB1297" i="3"/>
  <c r="AB1296" i="3"/>
  <c r="AB1295" i="3"/>
  <c r="AB1280" i="3"/>
  <c r="AB1279" i="3"/>
  <c r="AB1278" i="3"/>
  <c r="AB1277" i="3"/>
  <c r="AB1268" i="3"/>
  <c r="AB1267" i="3"/>
  <c r="AB1266" i="3"/>
  <c r="AB1265" i="3"/>
  <c r="AB1256" i="3"/>
  <c r="AB1255" i="3"/>
  <c r="AB1254" i="3"/>
  <c r="AB1253" i="3"/>
  <c r="AB1246" i="3"/>
  <c r="AB1245" i="3"/>
  <c r="AB1244" i="3"/>
  <c r="AB1243" i="3"/>
  <c r="AB1238" i="3"/>
  <c r="AB1237" i="3"/>
  <c r="AB1236" i="3"/>
  <c r="AB1235" i="3"/>
  <c r="AB1230" i="3"/>
  <c r="AB1229" i="3"/>
  <c r="AB1228" i="3"/>
  <c r="AB1227" i="3"/>
  <c r="AB1218" i="3"/>
  <c r="AB1217" i="3"/>
  <c r="AB1216" i="3"/>
  <c r="AB1215" i="3"/>
  <c r="AB1208" i="3"/>
  <c r="AB1207" i="3"/>
  <c r="AB1206" i="3"/>
  <c r="AB1205" i="3"/>
  <c r="AB1200" i="3"/>
  <c r="AB1199" i="3"/>
  <c r="AB1198" i="3"/>
  <c r="AB1197" i="3"/>
  <c r="AB1192" i="3"/>
  <c r="AB1191" i="3"/>
  <c r="X83" i="3"/>
  <c r="X1424" i="3"/>
  <c r="X1423" i="3"/>
  <c r="X1422" i="3"/>
  <c r="X1421" i="3"/>
  <c r="X1420" i="3"/>
  <c r="X1419" i="3"/>
  <c r="X1418" i="3"/>
  <c r="X1417" i="3"/>
  <c r="X1416" i="3"/>
  <c r="X1415" i="3"/>
  <c r="X1406" i="3"/>
  <c r="X1405" i="3"/>
  <c r="X1404" i="3"/>
  <c r="X1403" i="3"/>
  <c r="X1394" i="3"/>
  <c r="X1393" i="3"/>
  <c r="X1392" i="3"/>
  <c r="X1391" i="3"/>
  <c r="X1386" i="3"/>
  <c r="X1385" i="3"/>
  <c r="X1384" i="3"/>
  <c r="X1383" i="3"/>
  <c r="X1374" i="3"/>
  <c r="X1373" i="3"/>
  <c r="X1372" i="3"/>
  <c r="X1371" i="3"/>
  <c r="X1366" i="3"/>
  <c r="X1365" i="3"/>
  <c r="X1364" i="3"/>
  <c r="X1363" i="3"/>
  <c r="X1354" i="3"/>
  <c r="X1353" i="3"/>
  <c r="X1352" i="3"/>
  <c r="X1351" i="3"/>
  <c r="X1344" i="3"/>
  <c r="X1343" i="3"/>
  <c r="X1342" i="3"/>
  <c r="X1341" i="3"/>
  <c r="X1332" i="3"/>
  <c r="X1331" i="3"/>
  <c r="X1330" i="3"/>
  <c r="X1329" i="3"/>
  <c r="X1324" i="3"/>
  <c r="X1323" i="3"/>
  <c r="X1322" i="3"/>
  <c r="X1321" i="3"/>
  <c r="X1314" i="3"/>
  <c r="X1313" i="3"/>
  <c r="X1312" i="3"/>
  <c r="X1311" i="3"/>
  <c r="X1298" i="3"/>
  <c r="X1297" i="3"/>
  <c r="X1296" i="3"/>
  <c r="X1295" i="3"/>
  <c r="X1280" i="3"/>
  <c r="X1279" i="3"/>
  <c r="X1278" i="3"/>
  <c r="X1277" i="3"/>
  <c r="X1268" i="3"/>
  <c r="X1267" i="3"/>
  <c r="X1266" i="3"/>
  <c r="X1265" i="3"/>
  <c r="X1256" i="3"/>
  <c r="X1255" i="3"/>
  <c r="X1254" i="3"/>
  <c r="X1253" i="3"/>
  <c r="X1246" i="3"/>
  <c r="X1245" i="3"/>
  <c r="X1244" i="3"/>
  <c r="X1243" i="3"/>
  <c r="X1238" i="3"/>
  <c r="X1237" i="3"/>
  <c r="X1236" i="3"/>
  <c r="X1235" i="3"/>
  <c r="X1230" i="3"/>
  <c r="X1229" i="3"/>
  <c r="X1228" i="3"/>
  <c r="X1227" i="3"/>
  <c r="X1218" i="3"/>
  <c r="X1217" i="3"/>
  <c r="X1216" i="3"/>
  <c r="X1215" i="3"/>
  <c r="X1208" i="3"/>
  <c r="X1207" i="3"/>
  <c r="X1206" i="3"/>
  <c r="X1205" i="3"/>
  <c r="X1200" i="3"/>
  <c r="X1199" i="3"/>
  <c r="X1198" i="3"/>
  <c r="X1197" i="3"/>
  <c r="X1192" i="3"/>
  <c r="X1191" i="3"/>
  <c r="X1190" i="3"/>
  <c r="T83" i="3"/>
  <c r="T1424" i="3"/>
  <c r="T1423" i="3"/>
  <c r="T1422" i="3"/>
  <c r="T1421" i="3"/>
  <c r="T1420" i="3"/>
  <c r="T1419" i="3"/>
  <c r="T1418" i="3"/>
  <c r="T1417" i="3"/>
  <c r="T1416" i="3"/>
  <c r="T1415" i="3"/>
  <c r="T1406" i="3"/>
  <c r="T1405" i="3"/>
  <c r="T1404" i="3"/>
  <c r="T1403" i="3"/>
  <c r="T1394" i="3"/>
  <c r="T1393" i="3"/>
  <c r="T1392" i="3"/>
  <c r="T1391" i="3"/>
  <c r="T1386" i="3"/>
  <c r="T1385" i="3"/>
  <c r="T1384" i="3"/>
  <c r="T1383" i="3"/>
  <c r="T1374" i="3"/>
  <c r="T1373" i="3"/>
  <c r="T1372" i="3"/>
  <c r="T1371" i="3"/>
  <c r="T1366" i="3"/>
  <c r="T1365" i="3"/>
  <c r="T1364" i="3"/>
  <c r="T1363" i="3"/>
  <c r="T1354" i="3"/>
  <c r="T1353" i="3"/>
  <c r="T1352" i="3"/>
  <c r="T1351" i="3"/>
  <c r="T1344" i="3"/>
  <c r="T1343" i="3"/>
  <c r="T1342" i="3"/>
  <c r="T1341" i="3"/>
  <c r="T1332" i="3"/>
  <c r="T1331" i="3"/>
  <c r="T1330" i="3"/>
  <c r="T1329" i="3"/>
  <c r="T1324" i="3"/>
  <c r="T1323" i="3"/>
  <c r="T1322" i="3"/>
  <c r="T1321" i="3"/>
  <c r="T1314" i="3"/>
  <c r="T1313" i="3"/>
  <c r="T1312" i="3"/>
  <c r="T1311" i="3"/>
  <c r="T1298" i="3"/>
  <c r="T1297" i="3"/>
  <c r="T1296" i="3"/>
  <c r="T1295" i="3"/>
  <c r="T1280" i="3"/>
  <c r="T1279" i="3"/>
  <c r="T1278" i="3"/>
  <c r="T1277" i="3"/>
  <c r="T1268" i="3"/>
  <c r="T1267" i="3"/>
  <c r="T1266" i="3"/>
  <c r="T1265" i="3"/>
  <c r="T1256" i="3"/>
  <c r="T1255" i="3"/>
  <c r="T1254" i="3"/>
  <c r="T1253" i="3"/>
  <c r="T1246" i="3"/>
  <c r="T1245" i="3"/>
  <c r="T1244" i="3"/>
  <c r="T1243" i="3"/>
  <c r="T1238" i="3"/>
  <c r="T1237" i="3"/>
  <c r="T1236" i="3"/>
  <c r="T1235" i="3"/>
  <c r="T1230" i="3"/>
  <c r="T1229" i="3"/>
  <c r="T1228" i="3"/>
  <c r="T1227" i="3"/>
  <c r="T1218" i="3"/>
  <c r="T1217" i="3"/>
  <c r="T1216" i="3"/>
  <c r="T1215" i="3"/>
  <c r="T1208" i="3"/>
  <c r="T1207" i="3"/>
  <c r="T1206" i="3"/>
  <c r="T1205" i="3"/>
  <c r="T1200" i="3"/>
  <c r="T1199" i="3"/>
  <c r="T1198" i="3"/>
  <c r="T1197" i="3"/>
  <c r="T1192" i="3"/>
  <c r="T1191" i="3"/>
  <c r="T1190" i="3"/>
  <c r="P83" i="3"/>
  <c r="P1424" i="3"/>
  <c r="P1423" i="3"/>
  <c r="P1422" i="3"/>
  <c r="P1421" i="3"/>
  <c r="P1420" i="3"/>
  <c r="P1419" i="3"/>
  <c r="P1418" i="3"/>
  <c r="P1417" i="3"/>
  <c r="P1416" i="3"/>
  <c r="P1415" i="3"/>
  <c r="P1406" i="3"/>
  <c r="P1405" i="3"/>
  <c r="P1404" i="3"/>
  <c r="P1403" i="3"/>
  <c r="P1394" i="3"/>
  <c r="P1393" i="3"/>
  <c r="P1392" i="3"/>
  <c r="P1391" i="3"/>
  <c r="P1386" i="3"/>
  <c r="P1385" i="3"/>
  <c r="P1384" i="3"/>
  <c r="P1383" i="3"/>
  <c r="P1374" i="3"/>
  <c r="P1373" i="3"/>
  <c r="P1372" i="3"/>
  <c r="P1371" i="3"/>
  <c r="P1366" i="3"/>
  <c r="P1365" i="3"/>
  <c r="P1364" i="3"/>
  <c r="P1363" i="3"/>
  <c r="P1354" i="3"/>
  <c r="P1353" i="3"/>
  <c r="P1352" i="3"/>
  <c r="P1351" i="3"/>
  <c r="P1344" i="3"/>
  <c r="P1343" i="3"/>
  <c r="P1342" i="3"/>
  <c r="P1341" i="3"/>
  <c r="P1332" i="3"/>
  <c r="P1331" i="3"/>
  <c r="P1330" i="3"/>
  <c r="P1329" i="3"/>
  <c r="P1324" i="3"/>
  <c r="P1323" i="3"/>
  <c r="P1322" i="3"/>
  <c r="P1321" i="3"/>
  <c r="P1314" i="3"/>
  <c r="P1313" i="3"/>
  <c r="P1312" i="3"/>
  <c r="P1311" i="3"/>
  <c r="P1298" i="3"/>
  <c r="P1297" i="3"/>
  <c r="P1296" i="3"/>
  <c r="P1295" i="3"/>
  <c r="P1280" i="3"/>
  <c r="P1279" i="3"/>
  <c r="P1278" i="3"/>
  <c r="P1277" i="3"/>
  <c r="P1268" i="3"/>
  <c r="P1267" i="3"/>
  <c r="P1266" i="3"/>
  <c r="P1265" i="3"/>
  <c r="P1256" i="3"/>
  <c r="P1255" i="3"/>
  <c r="P1254" i="3"/>
  <c r="P1253" i="3"/>
  <c r="P1246" i="3"/>
  <c r="P1245" i="3"/>
  <c r="P1244" i="3"/>
  <c r="P1243" i="3"/>
  <c r="P1238" i="3"/>
  <c r="P1237" i="3"/>
  <c r="P1236" i="3"/>
  <c r="P1235" i="3"/>
  <c r="P1234" i="3"/>
  <c r="P1233" i="3"/>
  <c r="P1230" i="3"/>
  <c r="P1229" i="3"/>
  <c r="P1228" i="3"/>
  <c r="P1227" i="3"/>
  <c r="P1218" i="3"/>
  <c r="P1217" i="3"/>
  <c r="P1216" i="3"/>
  <c r="P1215" i="3"/>
  <c r="P1208" i="3"/>
  <c r="P1207" i="3"/>
  <c r="P1206" i="3"/>
  <c r="P1205" i="3"/>
  <c r="P1200" i="3"/>
  <c r="P1199" i="3"/>
  <c r="P1198" i="3"/>
  <c r="P1197" i="3"/>
  <c r="P1192" i="3"/>
  <c r="P1191" i="3"/>
  <c r="P1190" i="3"/>
  <c r="AV75" i="3"/>
  <c r="AR75" i="3"/>
  <c r="AN75" i="3"/>
  <c r="AJ75" i="3"/>
  <c r="AF75" i="3"/>
  <c r="AF1142" i="3"/>
  <c r="AF912" i="3"/>
  <c r="AF911" i="3"/>
  <c r="AB75" i="3"/>
  <c r="AB1143" i="3"/>
  <c r="AB1142" i="3"/>
  <c r="AB1140" i="3"/>
  <c r="AB1139" i="3"/>
  <c r="AB1138" i="3"/>
  <c r="AB1137" i="3"/>
  <c r="AB1136" i="3"/>
  <c r="AB1135" i="3"/>
  <c r="AB1126" i="3"/>
  <c r="AB1125" i="3"/>
  <c r="AB1124" i="3"/>
  <c r="AB1123" i="3"/>
  <c r="AB1114" i="3"/>
  <c r="AB1113" i="3"/>
  <c r="AB1112" i="3"/>
  <c r="AB1111" i="3"/>
  <c r="AB1106" i="3"/>
  <c r="AB1105" i="3"/>
  <c r="AB1104" i="3"/>
  <c r="AB1103" i="3"/>
  <c r="AB1094" i="3"/>
  <c r="AB1093" i="3"/>
  <c r="AB1092" i="3"/>
  <c r="AB1091" i="3"/>
  <c r="AB1086" i="3"/>
  <c r="AB1085" i="3"/>
  <c r="AB1084" i="3"/>
  <c r="AB1083" i="3"/>
  <c r="AB1074" i="3"/>
  <c r="AB1071" i="3"/>
  <c r="AB1063" i="3"/>
  <c r="AB1051" i="3"/>
  <c r="AB1073" i="3"/>
  <c r="AB1061" i="3"/>
  <c r="AB1049" i="3"/>
  <c r="AB1044" i="3"/>
  <c r="AB1043" i="3"/>
  <c r="AB1042" i="3"/>
  <c r="AB1041" i="3"/>
  <c r="AB1034" i="3"/>
  <c r="AB1033" i="3"/>
  <c r="AB1032" i="3"/>
  <c r="AB1031" i="3"/>
  <c r="AB1018" i="3"/>
  <c r="AB1017" i="3"/>
  <c r="AB1016" i="3"/>
  <c r="AB1015" i="3"/>
  <c r="AB1000" i="3"/>
  <c r="AB999" i="3"/>
  <c r="AB998" i="3"/>
  <c r="AB997" i="3"/>
  <c r="AB988" i="3"/>
  <c r="AB987" i="3"/>
  <c r="AB986" i="3"/>
  <c r="AB985" i="3"/>
  <c r="AB976" i="3"/>
  <c r="AB975" i="3"/>
  <c r="AB974" i="3"/>
  <c r="AB973" i="3"/>
  <c r="AB966" i="3"/>
  <c r="AB965" i="3"/>
  <c r="AB964" i="3"/>
  <c r="AB963" i="3"/>
  <c r="AB958" i="3"/>
  <c r="AB957" i="3"/>
  <c r="AB956" i="3"/>
  <c r="AB955" i="3"/>
  <c r="AB950" i="3"/>
  <c r="AB949" i="3"/>
  <c r="AB948" i="3"/>
  <c r="AB947" i="3"/>
  <c r="AB938" i="3"/>
  <c r="AB937" i="3"/>
  <c r="AB936" i="3"/>
  <c r="AB935" i="3"/>
  <c r="AB928" i="3"/>
  <c r="AB927" i="3"/>
  <c r="AB926" i="3"/>
  <c r="AB925" i="3"/>
  <c r="AB920" i="3"/>
  <c r="AB919" i="3"/>
  <c r="AB918" i="3"/>
  <c r="AB917" i="3"/>
  <c r="AB912" i="3"/>
  <c r="AB911" i="3"/>
  <c r="AB1072" i="3"/>
  <c r="AB1064" i="3"/>
  <c r="AB1052" i="3"/>
  <c r="AB1062" i="3"/>
  <c r="AB1050" i="3"/>
  <c r="X75" i="3"/>
  <c r="X1144" i="3"/>
  <c r="X1143" i="3"/>
  <c r="X1142" i="3"/>
  <c r="X1141" i="3"/>
  <c r="X1140" i="3"/>
  <c r="X1139" i="3"/>
  <c r="X1138" i="3"/>
  <c r="X1137" i="3"/>
  <c r="X1136" i="3"/>
  <c r="X1135" i="3"/>
  <c r="X1126" i="3"/>
  <c r="X1125" i="3"/>
  <c r="X1124" i="3"/>
  <c r="X1123" i="3"/>
  <c r="X1114" i="3"/>
  <c r="X1113" i="3"/>
  <c r="X1112" i="3"/>
  <c r="X1111" i="3"/>
  <c r="X1106" i="3"/>
  <c r="X1105" i="3"/>
  <c r="X1104" i="3"/>
  <c r="X1103" i="3"/>
  <c r="X1094" i="3"/>
  <c r="X1093" i="3"/>
  <c r="X1092" i="3"/>
  <c r="X1091" i="3"/>
  <c r="X1086" i="3"/>
  <c r="X1085" i="3"/>
  <c r="X1084" i="3"/>
  <c r="X1083" i="3"/>
  <c r="X1074" i="3"/>
  <c r="X1072" i="3"/>
  <c r="X1064" i="3"/>
  <c r="X1052" i="3"/>
  <c r="X1062" i="3"/>
  <c r="X1050" i="3"/>
  <c r="X1044" i="3"/>
  <c r="X1043" i="3"/>
  <c r="X1042" i="3"/>
  <c r="X1041" i="3"/>
  <c r="X1034" i="3"/>
  <c r="X1033" i="3"/>
  <c r="X1032" i="3"/>
  <c r="X1031" i="3"/>
  <c r="X1018" i="3"/>
  <c r="X1017" i="3"/>
  <c r="X1016" i="3"/>
  <c r="X1015" i="3"/>
  <c r="X1000" i="3"/>
  <c r="X999" i="3"/>
  <c r="X998" i="3"/>
  <c r="X997" i="3"/>
  <c r="X988" i="3"/>
  <c r="X987" i="3"/>
  <c r="X986" i="3"/>
  <c r="X985" i="3"/>
  <c r="X976" i="3"/>
  <c r="X975" i="3"/>
  <c r="X974" i="3"/>
  <c r="X973" i="3"/>
  <c r="X966" i="3"/>
  <c r="X965" i="3"/>
  <c r="X964" i="3"/>
  <c r="X963" i="3"/>
  <c r="X958" i="3"/>
  <c r="X957" i="3"/>
  <c r="X956" i="3"/>
  <c r="X955" i="3"/>
  <c r="X950" i="3"/>
  <c r="X949" i="3"/>
  <c r="X948" i="3"/>
  <c r="X947" i="3"/>
  <c r="X938" i="3"/>
  <c r="X937" i="3"/>
  <c r="X936" i="3"/>
  <c r="X935" i="3"/>
  <c r="X928" i="3"/>
  <c r="X927" i="3"/>
  <c r="X926" i="3"/>
  <c r="X925" i="3"/>
  <c r="X920" i="3"/>
  <c r="X919" i="3"/>
  <c r="X918" i="3"/>
  <c r="X917" i="3"/>
  <c r="X912" i="3"/>
  <c r="X911" i="3"/>
  <c r="X910" i="3"/>
  <c r="X1073" i="3"/>
  <c r="X1049" i="3"/>
  <c r="X1061" i="3"/>
  <c r="X1063" i="3"/>
  <c r="X1051" i="3"/>
  <c r="X1071" i="3"/>
  <c r="T75" i="3"/>
  <c r="T1144" i="3"/>
  <c r="T1143" i="3"/>
  <c r="T1142" i="3"/>
  <c r="T1141" i="3"/>
  <c r="T1140" i="3"/>
  <c r="T1139" i="3"/>
  <c r="T1138" i="3"/>
  <c r="T1137" i="3"/>
  <c r="T1136" i="3"/>
  <c r="T1135" i="3"/>
  <c r="T1126" i="3"/>
  <c r="T1125" i="3"/>
  <c r="T1124" i="3"/>
  <c r="T1123" i="3"/>
  <c r="T1114" i="3"/>
  <c r="T1113" i="3"/>
  <c r="T1112" i="3"/>
  <c r="T1111" i="3"/>
  <c r="T1106" i="3"/>
  <c r="T1105" i="3"/>
  <c r="T1104" i="3"/>
  <c r="T1103" i="3"/>
  <c r="T1094" i="3"/>
  <c r="T1093" i="3"/>
  <c r="T1092" i="3"/>
  <c r="T1091" i="3"/>
  <c r="T1086" i="3"/>
  <c r="T1085" i="3"/>
  <c r="T1084" i="3"/>
  <c r="T1083" i="3"/>
  <c r="T1074" i="3"/>
  <c r="T1073" i="3"/>
  <c r="T1061" i="3"/>
  <c r="T1049" i="3"/>
  <c r="T1071" i="3"/>
  <c r="T1063" i="3"/>
  <c r="T1051" i="3"/>
  <c r="T1044" i="3"/>
  <c r="T1043" i="3"/>
  <c r="T1042" i="3"/>
  <c r="T1041" i="3"/>
  <c r="T1034" i="3"/>
  <c r="T1033" i="3"/>
  <c r="T1032" i="3"/>
  <c r="T1031" i="3"/>
  <c r="T1018" i="3"/>
  <c r="T1017" i="3"/>
  <c r="T1016" i="3"/>
  <c r="T1015" i="3"/>
  <c r="T1000" i="3"/>
  <c r="T999" i="3"/>
  <c r="T998" i="3"/>
  <c r="T997" i="3"/>
  <c r="T988" i="3"/>
  <c r="T987" i="3"/>
  <c r="T986" i="3"/>
  <c r="T985" i="3"/>
  <c r="T976" i="3"/>
  <c r="T975" i="3"/>
  <c r="T974" i="3"/>
  <c r="T973" i="3"/>
  <c r="T966" i="3"/>
  <c r="T965" i="3"/>
  <c r="T964" i="3"/>
  <c r="T963" i="3"/>
  <c r="T958" i="3"/>
  <c r="T957" i="3"/>
  <c r="T956" i="3"/>
  <c r="T955" i="3"/>
  <c r="T950" i="3"/>
  <c r="T949" i="3"/>
  <c r="T948" i="3"/>
  <c r="T947" i="3"/>
  <c r="T938" i="3"/>
  <c r="T937" i="3"/>
  <c r="T936" i="3"/>
  <c r="T935" i="3"/>
  <c r="T928" i="3"/>
  <c r="T927" i="3"/>
  <c r="T926" i="3"/>
  <c r="T925" i="3"/>
  <c r="T920" i="3"/>
  <c r="T919" i="3"/>
  <c r="T918" i="3"/>
  <c r="T917" i="3"/>
  <c r="T912" i="3"/>
  <c r="T911" i="3"/>
  <c r="T910" i="3"/>
  <c r="T1050" i="3"/>
  <c r="T1062" i="3"/>
  <c r="T1072" i="3"/>
  <c r="T1064" i="3"/>
  <c r="T1052" i="3"/>
  <c r="P75" i="3"/>
  <c r="P1144" i="3"/>
  <c r="P1143" i="3"/>
  <c r="P1142" i="3"/>
  <c r="P1141" i="3"/>
  <c r="P1140" i="3"/>
  <c r="P1139" i="3"/>
  <c r="P1138" i="3"/>
  <c r="P1137" i="3"/>
  <c r="P1136" i="3"/>
  <c r="P1135" i="3"/>
  <c r="P1126" i="3"/>
  <c r="P1125" i="3"/>
  <c r="P1124" i="3"/>
  <c r="P1123" i="3"/>
  <c r="P1114" i="3"/>
  <c r="P1113" i="3"/>
  <c r="P1112" i="3"/>
  <c r="P1111" i="3"/>
  <c r="P1106" i="3"/>
  <c r="P1105" i="3"/>
  <c r="P1104" i="3"/>
  <c r="P1103" i="3"/>
  <c r="P1094" i="3"/>
  <c r="P1093" i="3"/>
  <c r="P1092" i="3"/>
  <c r="P1091" i="3"/>
  <c r="P1086" i="3"/>
  <c r="P1085" i="3"/>
  <c r="P1084" i="3"/>
  <c r="P1083" i="3"/>
  <c r="P1074" i="3"/>
  <c r="P1062" i="3"/>
  <c r="P1050" i="3"/>
  <c r="P1072" i="3"/>
  <c r="P1064" i="3"/>
  <c r="P1052" i="3"/>
  <c r="P1044" i="3"/>
  <c r="P1043" i="3"/>
  <c r="P1042" i="3"/>
  <c r="P1041" i="3"/>
  <c r="P1034" i="3"/>
  <c r="P1033" i="3"/>
  <c r="P1032" i="3"/>
  <c r="P1031" i="3"/>
  <c r="P1018" i="3"/>
  <c r="P1017" i="3"/>
  <c r="P1016" i="3"/>
  <c r="P1015" i="3"/>
  <c r="P1000" i="3"/>
  <c r="P999" i="3"/>
  <c r="P998" i="3"/>
  <c r="P997" i="3"/>
  <c r="P988" i="3"/>
  <c r="P987" i="3"/>
  <c r="P986" i="3"/>
  <c r="P985" i="3"/>
  <c r="P976" i="3"/>
  <c r="P975" i="3"/>
  <c r="P974" i="3"/>
  <c r="P973" i="3"/>
  <c r="P966" i="3"/>
  <c r="P965" i="3"/>
  <c r="P964" i="3"/>
  <c r="P963" i="3"/>
  <c r="P958" i="3"/>
  <c r="P957" i="3"/>
  <c r="P956" i="3"/>
  <c r="P955" i="3"/>
  <c r="P954" i="3"/>
  <c r="P953" i="3"/>
  <c r="P950" i="3"/>
  <c r="P949" i="3"/>
  <c r="P948" i="3"/>
  <c r="P947" i="3"/>
  <c r="P938" i="3"/>
  <c r="P937" i="3"/>
  <c r="P936" i="3"/>
  <c r="P935" i="3"/>
  <c r="P928" i="3"/>
  <c r="P927" i="3"/>
  <c r="P926" i="3"/>
  <c r="P925" i="3"/>
  <c r="P920" i="3"/>
  <c r="P919" i="3"/>
  <c r="P918" i="3"/>
  <c r="P917" i="3"/>
  <c r="P912" i="3"/>
  <c r="P911" i="3"/>
  <c r="P910" i="3"/>
  <c r="P1051" i="3"/>
  <c r="P1071" i="3"/>
  <c r="P1063" i="3"/>
  <c r="P1049" i="3"/>
  <c r="P1073" i="3"/>
  <c r="P1061" i="3"/>
  <c r="AU83" i="3"/>
  <c r="AQ83" i="3"/>
  <c r="AM83" i="3"/>
  <c r="AI83" i="3"/>
  <c r="AE83" i="3"/>
  <c r="AE1422" i="3"/>
  <c r="AE1192" i="3"/>
  <c r="AE1191" i="3"/>
  <c r="AA83" i="3"/>
  <c r="AA1424" i="3"/>
  <c r="AA1422" i="3"/>
  <c r="AA1420" i="3"/>
  <c r="AA1418" i="3"/>
  <c r="AA1416" i="3"/>
  <c r="AA1406" i="3"/>
  <c r="AA1404" i="3"/>
  <c r="AA1394" i="3"/>
  <c r="AA1392" i="3"/>
  <c r="AA1386" i="3"/>
  <c r="AA1384" i="3"/>
  <c r="AA1374" i="3"/>
  <c r="AA1372" i="3"/>
  <c r="AA1366" i="3"/>
  <c r="AA1364" i="3"/>
  <c r="AA1354" i="3"/>
  <c r="AA1352" i="3"/>
  <c r="AA1344" i="3"/>
  <c r="AA1342" i="3"/>
  <c r="AA1332" i="3"/>
  <c r="AA1330" i="3"/>
  <c r="AA1324" i="3"/>
  <c r="AA1322" i="3"/>
  <c r="AA1314" i="3"/>
  <c r="AA1312" i="3"/>
  <c r="AA1298" i="3"/>
  <c r="AA1296" i="3"/>
  <c r="AA1280" i="3"/>
  <c r="AA1278" i="3"/>
  <c r="AA1268" i="3"/>
  <c r="AA1266" i="3"/>
  <c r="AA1256" i="3"/>
  <c r="AA1254" i="3"/>
  <c r="AA1246" i="3"/>
  <c r="AA1244" i="3"/>
  <c r="AA1238" i="3"/>
  <c r="AA1236" i="3"/>
  <c r="AA1230" i="3"/>
  <c r="AA1228" i="3"/>
  <c r="AA1218" i="3"/>
  <c r="AA1216" i="3"/>
  <c r="AA1208" i="3"/>
  <c r="AA1423" i="3"/>
  <c r="AA1419" i="3"/>
  <c r="AA1417" i="3"/>
  <c r="AA1415" i="3"/>
  <c r="AA1405" i="3"/>
  <c r="AA1403" i="3"/>
  <c r="AA1393" i="3"/>
  <c r="AA1391" i="3"/>
  <c r="AA1385" i="3"/>
  <c r="AA1383" i="3"/>
  <c r="AA1373" i="3"/>
  <c r="AA1371" i="3"/>
  <c r="AA1365" i="3"/>
  <c r="AA1363" i="3"/>
  <c r="AA1353" i="3"/>
  <c r="AA1351" i="3"/>
  <c r="AA1343" i="3"/>
  <c r="AA1341" i="3"/>
  <c r="AA1331" i="3"/>
  <c r="AA1329" i="3"/>
  <c r="AA1323" i="3"/>
  <c r="AA1321" i="3"/>
  <c r="AA1313" i="3"/>
  <c r="AA1311" i="3"/>
  <c r="AA1297" i="3"/>
  <c r="AA1295" i="3"/>
  <c r="AA1279" i="3"/>
  <c r="AA1277" i="3"/>
  <c r="AA1267" i="3"/>
  <c r="AA1265" i="3"/>
  <c r="AA1255" i="3"/>
  <c r="AA1253" i="3"/>
  <c r="AA1245" i="3"/>
  <c r="AA1243" i="3"/>
  <c r="AA1237" i="3"/>
  <c r="AA1235" i="3"/>
  <c r="AA1229" i="3"/>
  <c r="AA1227" i="3"/>
  <c r="AA1217" i="3"/>
  <c r="AA1215" i="3"/>
  <c r="AA1207" i="3"/>
  <c r="AA1205" i="3"/>
  <c r="AA1199" i="3"/>
  <c r="AA1197" i="3"/>
  <c r="AA1191" i="3"/>
  <c r="AA1206" i="3"/>
  <c r="AA1200" i="3"/>
  <c r="AA1198" i="3"/>
  <c r="AA1192" i="3"/>
  <c r="W83" i="3"/>
  <c r="W1423" i="3"/>
  <c r="W1421" i="3"/>
  <c r="W1419" i="3"/>
  <c r="W1417" i="3"/>
  <c r="W1415" i="3"/>
  <c r="W1405" i="3"/>
  <c r="W1403" i="3"/>
  <c r="W1393" i="3"/>
  <c r="W1391" i="3"/>
  <c r="W1385" i="3"/>
  <c r="W1383" i="3"/>
  <c r="W1373" i="3"/>
  <c r="W1371" i="3"/>
  <c r="W1365" i="3"/>
  <c r="W1363" i="3"/>
  <c r="W1353" i="3"/>
  <c r="W1351" i="3"/>
  <c r="W1343" i="3"/>
  <c r="W1341" i="3"/>
  <c r="W1331" i="3"/>
  <c r="W1329" i="3"/>
  <c r="W1323" i="3"/>
  <c r="W1321" i="3"/>
  <c r="W1313" i="3"/>
  <c r="W1311" i="3"/>
  <c r="W1297" i="3"/>
  <c r="W1295" i="3"/>
  <c r="W1279" i="3"/>
  <c r="W1277" i="3"/>
  <c r="W1267" i="3"/>
  <c r="W1265" i="3"/>
  <c r="W1255" i="3"/>
  <c r="W1253" i="3"/>
  <c r="W1245" i="3"/>
  <c r="W1243" i="3"/>
  <c r="W1237" i="3"/>
  <c r="W1235" i="3"/>
  <c r="W1229" i="3"/>
  <c r="W1227" i="3"/>
  <c r="W1217" i="3"/>
  <c r="W1215" i="3"/>
  <c r="W1424" i="3"/>
  <c r="W1422" i="3"/>
  <c r="W1420" i="3"/>
  <c r="W1418" i="3"/>
  <c r="W1416" i="3"/>
  <c r="W1406" i="3"/>
  <c r="W1404" i="3"/>
  <c r="W1394" i="3"/>
  <c r="W1392" i="3"/>
  <c r="W1386" i="3"/>
  <c r="W1384" i="3"/>
  <c r="W1374" i="3"/>
  <c r="W1372" i="3"/>
  <c r="W1366" i="3"/>
  <c r="W1364" i="3"/>
  <c r="W1354" i="3"/>
  <c r="W1352" i="3"/>
  <c r="W1344" i="3"/>
  <c r="W1342" i="3"/>
  <c r="W1332" i="3"/>
  <c r="W1330" i="3"/>
  <c r="W1324" i="3"/>
  <c r="W1322" i="3"/>
  <c r="W1314" i="3"/>
  <c r="W1312" i="3"/>
  <c r="W1298" i="3"/>
  <c r="W1296" i="3"/>
  <c r="W1280" i="3"/>
  <c r="W1278" i="3"/>
  <c r="W1268" i="3"/>
  <c r="W1266" i="3"/>
  <c r="W1256" i="3"/>
  <c r="W1254" i="3"/>
  <c r="W1246" i="3"/>
  <c r="W1244" i="3"/>
  <c r="W1238" i="3"/>
  <c r="W1236" i="3"/>
  <c r="W1230" i="3"/>
  <c r="W1228" i="3"/>
  <c r="W1218" i="3"/>
  <c r="W1216" i="3"/>
  <c r="W1208" i="3"/>
  <c r="W1206" i="3"/>
  <c r="W1200" i="3"/>
  <c r="W1198" i="3"/>
  <c r="W1192" i="3"/>
  <c r="W1190" i="3"/>
  <c r="W1207" i="3"/>
  <c r="W1205" i="3"/>
  <c r="W1199" i="3"/>
  <c r="W1197" i="3"/>
  <c r="W1191" i="3"/>
  <c r="S83" i="3"/>
  <c r="S1424" i="3"/>
  <c r="S1422" i="3"/>
  <c r="S1420" i="3"/>
  <c r="S1418" i="3"/>
  <c r="S1416" i="3"/>
  <c r="S1406" i="3"/>
  <c r="S1404" i="3"/>
  <c r="S1394" i="3"/>
  <c r="S1392" i="3"/>
  <c r="S1386" i="3"/>
  <c r="S1384" i="3"/>
  <c r="S1374" i="3"/>
  <c r="S1372" i="3"/>
  <c r="S1366" i="3"/>
  <c r="S1364" i="3"/>
  <c r="S1354" i="3"/>
  <c r="S1352" i="3"/>
  <c r="S1344" i="3"/>
  <c r="S1342" i="3"/>
  <c r="S1332" i="3"/>
  <c r="S1330" i="3"/>
  <c r="S1324" i="3"/>
  <c r="S1322" i="3"/>
  <c r="S1314" i="3"/>
  <c r="S1312" i="3"/>
  <c r="S1298" i="3"/>
  <c r="S1296" i="3"/>
  <c r="S1280" i="3"/>
  <c r="S1278" i="3"/>
  <c r="S1268" i="3"/>
  <c r="S1266" i="3"/>
  <c r="S1256" i="3"/>
  <c r="S1254" i="3"/>
  <c r="S1246" i="3"/>
  <c r="S1244" i="3"/>
  <c r="S1238" i="3"/>
  <c r="S1236" i="3"/>
  <c r="S1234" i="3"/>
  <c r="S1230" i="3"/>
  <c r="S1228" i="3"/>
  <c r="S1218" i="3"/>
  <c r="S1216" i="3"/>
  <c r="S1208" i="3"/>
  <c r="S1423" i="3"/>
  <c r="S1421" i="3"/>
  <c r="S1419" i="3"/>
  <c r="S1417" i="3"/>
  <c r="S1415" i="3"/>
  <c r="S1405" i="3"/>
  <c r="S1403" i="3"/>
  <c r="S1393" i="3"/>
  <c r="S1391" i="3"/>
  <c r="S1385" i="3"/>
  <c r="S1383" i="3"/>
  <c r="S1373" i="3"/>
  <c r="S1371" i="3"/>
  <c r="S1365" i="3"/>
  <c r="S1363" i="3"/>
  <c r="S1353" i="3"/>
  <c r="S1351" i="3"/>
  <c r="S1343" i="3"/>
  <c r="S1341" i="3"/>
  <c r="S1331" i="3"/>
  <c r="S1329" i="3"/>
  <c r="S1323" i="3"/>
  <c r="S1321" i="3"/>
  <c r="S1313" i="3"/>
  <c r="S1311" i="3"/>
  <c r="S1297" i="3"/>
  <c r="S1295" i="3"/>
  <c r="S1279" i="3"/>
  <c r="S1277" i="3"/>
  <c r="S1267" i="3"/>
  <c r="S1265" i="3"/>
  <c r="S1255" i="3"/>
  <c r="S1253" i="3"/>
  <c r="S1245" i="3"/>
  <c r="S1243" i="3"/>
  <c r="S1237" i="3"/>
  <c r="S1235" i="3"/>
  <c r="S1233" i="3"/>
  <c r="S1229" i="3"/>
  <c r="S1227" i="3"/>
  <c r="S1217" i="3"/>
  <c r="S1215" i="3"/>
  <c r="S1207" i="3"/>
  <c r="S1205" i="3"/>
  <c r="S1199" i="3"/>
  <c r="S1197" i="3"/>
  <c r="S1191" i="3"/>
  <c r="S1206" i="3"/>
  <c r="S1200" i="3"/>
  <c r="S1198" i="3"/>
  <c r="S1192" i="3"/>
  <c r="S1190" i="3"/>
  <c r="AU75" i="3"/>
  <c r="AQ75" i="3"/>
  <c r="AM75" i="3"/>
  <c r="AI75" i="3"/>
  <c r="AE75" i="3"/>
  <c r="AE1142" i="3"/>
  <c r="AE912" i="3"/>
  <c r="AE911" i="3"/>
  <c r="AA75" i="3"/>
  <c r="AA1143" i="3"/>
  <c r="AA1139" i="3"/>
  <c r="AA1137" i="3"/>
  <c r="AA1135" i="3"/>
  <c r="AA1125" i="3"/>
  <c r="AA1123" i="3"/>
  <c r="AA1113" i="3"/>
  <c r="AA1111" i="3"/>
  <c r="AA1105" i="3"/>
  <c r="AA1103" i="3"/>
  <c r="AA1093" i="3"/>
  <c r="AA1091" i="3"/>
  <c r="AA1085" i="3"/>
  <c r="AA1083" i="3"/>
  <c r="AA1062" i="3"/>
  <c r="AA1050" i="3"/>
  <c r="AA1144" i="3"/>
  <c r="AA1142" i="3"/>
  <c r="AA1140" i="3"/>
  <c r="AA1138" i="3"/>
  <c r="AA1136" i="3"/>
  <c r="AA1126" i="3"/>
  <c r="AA1124" i="3"/>
  <c r="AA1114" i="3"/>
  <c r="AA1112" i="3"/>
  <c r="AA1106" i="3"/>
  <c r="AA1104" i="3"/>
  <c r="AA1094" i="3"/>
  <c r="AA1092" i="3"/>
  <c r="AA1086" i="3"/>
  <c r="AA1084" i="3"/>
  <c r="AA1074" i="3"/>
  <c r="AA1072" i="3"/>
  <c r="AA1064" i="3"/>
  <c r="AA1052" i="3"/>
  <c r="AA1051" i="3"/>
  <c r="AA1071" i="3"/>
  <c r="AA1063" i="3"/>
  <c r="AA1073" i="3"/>
  <c r="AA1043" i="3"/>
  <c r="AA1031" i="3"/>
  <c r="AA1015" i="3"/>
  <c r="AA999" i="3"/>
  <c r="AA987" i="3"/>
  <c r="AA975" i="3"/>
  <c r="AA963" i="3"/>
  <c r="AA955" i="3"/>
  <c r="AA947" i="3"/>
  <c r="AA935" i="3"/>
  <c r="AA927" i="3"/>
  <c r="AA919" i="3"/>
  <c r="AA911" i="3"/>
  <c r="AA1061" i="3"/>
  <c r="AA1042" i="3"/>
  <c r="AA1034" i="3"/>
  <c r="AA1018" i="3"/>
  <c r="AA998" i="3"/>
  <c r="AA986" i="3"/>
  <c r="AA974" i="3"/>
  <c r="AA966" i="3"/>
  <c r="AA958" i="3"/>
  <c r="AA950" i="3"/>
  <c r="AA938" i="3"/>
  <c r="AA926" i="3"/>
  <c r="AA918" i="3"/>
  <c r="AA1049" i="3"/>
  <c r="AA1041" i="3"/>
  <c r="AA1033" i="3"/>
  <c r="AA1017" i="3"/>
  <c r="AA997" i="3"/>
  <c r="AA985" i="3"/>
  <c r="AA973" i="3"/>
  <c r="AA965" i="3"/>
  <c r="AA957" i="3"/>
  <c r="AA949" i="3"/>
  <c r="AA937" i="3"/>
  <c r="AA925" i="3"/>
  <c r="AA917" i="3"/>
  <c r="AA1044" i="3"/>
  <c r="AA1032" i="3"/>
  <c r="AA1016" i="3"/>
  <c r="AA1000" i="3"/>
  <c r="AA988" i="3"/>
  <c r="AA976" i="3"/>
  <c r="AA964" i="3"/>
  <c r="AA956" i="3"/>
  <c r="AA948" i="3"/>
  <c r="AA936" i="3"/>
  <c r="AA928" i="3"/>
  <c r="AA920" i="3"/>
  <c r="AA912" i="3"/>
  <c r="W75" i="3"/>
  <c r="W1144" i="3"/>
  <c r="W1142" i="3"/>
  <c r="W1140" i="3"/>
  <c r="W1138" i="3"/>
  <c r="W1136" i="3"/>
  <c r="W1126" i="3"/>
  <c r="W1124" i="3"/>
  <c r="W1114" i="3"/>
  <c r="W1112" i="3"/>
  <c r="W1106" i="3"/>
  <c r="W1104" i="3"/>
  <c r="W1094" i="3"/>
  <c r="W1092" i="3"/>
  <c r="W1086" i="3"/>
  <c r="W1084" i="3"/>
  <c r="W1074" i="3"/>
  <c r="W1071" i="3"/>
  <c r="W1063" i="3"/>
  <c r="W1051" i="3"/>
  <c r="W1143" i="3"/>
  <c r="W1141" i="3"/>
  <c r="W1139" i="3"/>
  <c r="W1137" i="3"/>
  <c r="W1135" i="3"/>
  <c r="W1125" i="3"/>
  <c r="W1123" i="3"/>
  <c r="W1113" i="3"/>
  <c r="W1111" i="3"/>
  <c r="W1105" i="3"/>
  <c r="W1103" i="3"/>
  <c r="W1093" i="3"/>
  <c r="W1091" i="3"/>
  <c r="W1085" i="3"/>
  <c r="W1083" i="3"/>
  <c r="W1073" i="3"/>
  <c r="W1061" i="3"/>
  <c r="W1049" i="3"/>
  <c r="W1052" i="3"/>
  <c r="W1072" i="3"/>
  <c r="W1064" i="3"/>
  <c r="W1050" i="3"/>
  <c r="W1044" i="3"/>
  <c r="W1032" i="3"/>
  <c r="W1016" i="3"/>
  <c r="W1000" i="3"/>
  <c r="W988" i="3"/>
  <c r="W976" i="3"/>
  <c r="W964" i="3"/>
  <c r="W956" i="3"/>
  <c r="W948" i="3"/>
  <c r="W936" i="3"/>
  <c r="W928" i="3"/>
  <c r="W920" i="3"/>
  <c r="W912" i="3"/>
  <c r="W1043" i="3"/>
  <c r="W1031" i="3"/>
  <c r="W1015" i="3"/>
  <c r="W999" i="3"/>
  <c r="W987" i="3"/>
  <c r="W975" i="3"/>
  <c r="W963" i="3"/>
  <c r="W955" i="3"/>
  <c r="W947" i="3"/>
  <c r="W935" i="3"/>
  <c r="W927" i="3"/>
  <c r="W919" i="3"/>
  <c r="W911" i="3"/>
  <c r="W1042" i="3"/>
  <c r="W1034" i="3"/>
  <c r="W1018" i="3"/>
  <c r="W998" i="3"/>
  <c r="W986" i="3"/>
  <c r="W974" i="3"/>
  <c r="W966" i="3"/>
  <c r="W958" i="3"/>
  <c r="W950" i="3"/>
  <c r="W938" i="3"/>
  <c r="W926" i="3"/>
  <c r="W918" i="3"/>
  <c r="W910" i="3"/>
  <c r="W1062" i="3"/>
  <c r="W1041" i="3"/>
  <c r="W1033" i="3"/>
  <c r="W1017" i="3"/>
  <c r="W997" i="3"/>
  <c r="W985" i="3"/>
  <c r="W973" i="3"/>
  <c r="W965" i="3"/>
  <c r="W957" i="3"/>
  <c r="W949" i="3"/>
  <c r="W937" i="3"/>
  <c r="W925" i="3"/>
  <c r="W917" i="3"/>
  <c r="S75" i="3"/>
  <c r="S1143" i="3"/>
  <c r="S1141" i="3"/>
  <c r="S1139" i="3"/>
  <c r="S1137" i="3"/>
  <c r="S1135" i="3"/>
  <c r="S1125" i="3"/>
  <c r="S1123" i="3"/>
  <c r="S1113" i="3"/>
  <c r="S1111" i="3"/>
  <c r="S1105" i="3"/>
  <c r="S1103" i="3"/>
  <c r="S1093" i="3"/>
  <c r="S1091" i="3"/>
  <c r="S1085" i="3"/>
  <c r="S1083" i="3"/>
  <c r="S1072" i="3"/>
  <c r="S1064" i="3"/>
  <c r="S1052" i="3"/>
  <c r="S1144" i="3"/>
  <c r="S1142" i="3"/>
  <c r="S1140" i="3"/>
  <c r="S1138" i="3"/>
  <c r="S1136" i="3"/>
  <c r="S1126" i="3"/>
  <c r="S1124" i="3"/>
  <c r="S1114" i="3"/>
  <c r="S1112" i="3"/>
  <c r="S1106" i="3"/>
  <c r="S1104" i="3"/>
  <c r="S1094" i="3"/>
  <c r="S1092" i="3"/>
  <c r="S1086" i="3"/>
  <c r="S1084" i="3"/>
  <c r="S1074" i="3"/>
  <c r="S1062" i="3"/>
  <c r="S1050" i="3"/>
  <c r="S1061" i="3"/>
  <c r="S1073" i="3"/>
  <c r="S1049" i="3"/>
  <c r="S1041" i="3"/>
  <c r="S1033" i="3"/>
  <c r="S1017" i="3"/>
  <c r="S997" i="3"/>
  <c r="S985" i="3"/>
  <c r="S973" i="3"/>
  <c r="S965" i="3"/>
  <c r="S957" i="3"/>
  <c r="S953" i="3"/>
  <c r="S949" i="3"/>
  <c r="S937" i="3"/>
  <c r="S925" i="3"/>
  <c r="S917" i="3"/>
  <c r="S1063" i="3"/>
  <c r="S1044" i="3"/>
  <c r="S1032" i="3"/>
  <c r="S1016" i="3"/>
  <c r="S1000" i="3"/>
  <c r="S988" i="3"/>
  <c r="S976" i="3"/>
  <c r="S964" i="3"/>
  <c r="S956" i="3"/>
  <c r="S948" i="3"/>
  <c r="S936" i="3"/>
  <c r="S928" i="3"/>
  <c r="S920" i="3"/>
  <c r="S912" i="3"/>
  <c r="S1051" i="3"/>
  <c r="S1043" i="3"/>
  <c r="S1031" i="3"/>
  <c r="S1015" i="3"/>
  <c r="S999" i="3"/>
  <c r="S987" i="3"/>
  <c r="S975" i="3"/>
  <c r="S963" i="3"/>
  <c r="S955" i="3"/>
  <c r="S947" i="3"/>
  <c r="S935" i="3"/>
  <c r="S927" i="3"/>
  <c r="S919" i="3"/>
  <c r="S911" i="3"/>
  <c r="S1071" i="3"/>
  <c r="S1042" i="3"/>
  <c r="S1034" i="3"/>
  <c r="S1018" i="3"/>
  <c r="S998" i="3"/>
  <c r="S986" i="3"/>
  <c r="S974" i="3"/>
  <c r="S966" i="3"/>
  <c r="S958" i="3"/>
  <c r="S954" i="3"/>
  <c r="S950" i="3"/>
  <c r="S938" i="3"/>
  <c r="S926" i="3"/>
  <c r="S918" i="3"/>
  <c r="S910" i="3"/>
  <c r="AG631" i="3"/>
  <c r="AG632" i="3"/>
  <c r="AC863" i="3"/>
  <c r="AC862" i="3"/>
  <c r="AC859" i="3"/>
  <c r="AC858" i="3"/>
  <c r="AC857" i="3"/>
  <c r="AC856" i="3"/>
  <c r="AC855" i="3"/>
  <c r="AC846" i="3"/>
  <c r="AC845" i="3"/>
  <c r="AC844" i="3"/>
  <c r="AC843" i="3"/>
  <c r="AC834" i="3"/>
  <c r="AC826" i="3"/>
  <c r="AC831" i="3"/>
  <c r="AC823" i="3"/>
  <c r="AC814" i="3"/>
  <c r="AC813" i="3"/>
  <c r="AC812" i="3"/>
  <c r="AC811" i="3"/>
  <c r="AC806" i="3"/>
  <c r="AC832" i="3"/>
  <c r="AC824" i="3"/>
  <c r="AC833" i="3"/>
  <c r="AC825" i="3"/>
  <c r="AC804" i="3"/>
  <c r="AC803" i="3"/>
  <c r="AC794" i="3"/>
  <c r="AC793" i="3"/>
  <c r="AC792" i="3"/>
  <c r="AC791" i="3"/>
  <c r="AC784" i="3"/>
  <c r="AC783" i="3"/>
  <c r="AC782" i="3"/>
  <c r="AC781" i="3"/>
  <c r="AC772" i="3"/>
  <c r="AC764" i="3"/>
  <c r="AC805" i="3"/>
  <c r="AC771" i="3"/>
  <c r="AC763" i="3"/>
  <c r="AC770" i="3"/>
  <c r="AC762" i="3"/>
  <c r="AC751" i="3"/>
  <c r="AC735" i="3"/>
  <c r="AC720" i="3"/>
  <c r="AC708" i="3"/>
  <c r="AC696" i="3"/>
  <c r="AC769" i="3"/>
  <c r="AC754" i="3"/>
  <c r="AC738" i="3"/>
  <c r="AC717" i="3"/>
  <c r="AC705" i="3"/>
  <c r="AC693" i="3"/>
  <c r="AC753" i="3"/>
  <c r="AC737" i="3"/>
  <c r="AC718" i="3"/>
  <c r="AC706" i="3"/>
  <c r="AC694" i="3"/>
  <c r="AC686" i="3"/>
  <c r="AC685" i="3"/>
  <c r="AC684" i="3"/>
  <c r="AC683" i="3"/>
  <c r="AC678" i="3"/>
  <c r="AC677" i="3"/>
  <c r="AC676" i="3"/>
  <c r="AC675" i="3"/>
  <c r="AC670" i="3"/>
  <c r="AC669" i="3"/>
  <c r="AC668" i="3"/>
  <c r="AC667" i="3"/>
  <c r="AC695" i="3"/>
  <c r="AC656" i="3"/>
  <c r="AC761" i="3"/>
  <c r="AC655" i="3"/>
  <c r="AC648" i="3"/>
  <c r="AC647" i="3"/>
  <c r="AC639" i="3"/>
  <c r="AC637" i="3"/>
  <c r="AC632" i="3"/>
  <c r="AC657" i="3"/>
  <c r="AC645" i="3"/>
  <c r="AC640" i="3"/>
  <c r="AC638" i="3"/>
  <c r="AC752" i="3"/>
  <c r="AC736" i="3"/>
  <c r="AC719" i="3"/>
  <c r="AC658" i="3"/>
  <c r="AC707" i="3"/>
  <c r="AC646" i="3"/>
  <c r="AC631" i="3"/>
  <c r="Q864" i="3"/>
  <c r="Q863" i="3"/>
  <c r="Q862" i="3"/>
  <c r="Q861" i="3"/>
  <c r="Q860" i="3"/>
  <c r="Q859" i="3"/>
  <c r="Q858" i="3"/>
  <c r="Q857" i="3"/>
  <c r="Q856" i="3"/>
  <c r="Q855" i="3"/>
  <c r="Q846" i="3"/>
  <c r="Q845" i="3"/>
  <c r="Q844" i="3"/>
  <c r="Q843" i="3"/>
  <c r="Q833" i="3"/>
  <c r="Q825" i="3"/>
  <c r="Q834" i="3"/>
  <c r="Q826" i="3"/>
  <c r="Q823" i="3"/>
  <c r="Q814" i="3"/>
  <c r="Q813" i="3"/>
  <c r="Q812" i="3"/>
  <c r="Q811" i="3"/>
  <c r="Q831" i="3"/>
  <c r="Q805" i="3"/>
  <c r="Q832" i="3"/>
  <c r="Q806" i="3"/>
  <c r="Q804" i="3"/>
  <c r="Q803" i="3"/>
  <c r="Q794" i="3"/>
  <c r="Q793" i="3"/>
  <c r="Q792" i="3"/>
  <c r="Q791" i="3"/>
  <c r="Q784" i="3"/>
  <c r="Q783" i="3"/>
  <c r="Q782" i="3"/>
  <c r="Q781" i="3"/>
  <c r="Q824" i="3"/>
  <c r="Q771" i="3"/>
  <c r="Q763" i="3"/>
  <c r="Q770" i="3"/>
  <c r="Q762" i="3"/>
  <c r="Q769" i="3"/>
  <c r="Q761" i="3"/>
  <c r="Q754" i="3"/>
  <c r="Q738" i="3"/>
  <c r="Q719" i="3"/>
  <c r="Q707" i="3"/>
  <c r="Q695" i="3"/>
  <c r="Q764" i="3"/>
  <c r="Q753" i="3"/>
  <c r="Q737" i="3"/>
  <c r="Q720" i="3"/>
  <c r="Q708" i="3"/>
  <c r="Q696" i="3"/>
  <c r="Q752" i="3"/>
  <c r="Q736" i="3"/>
  <c r="Q717" i="3"/>
  <c r="Q705" i="3"/>
  <c r="Q693" i="3"/>
  <c r="Q686" i="3"/>
  <c r="Q685" i="3"/>
  <c r="Q684" i="3"/>
  <c r="Q683" i="3"/>
  <c r="Q678" i="3"/>
  <c r="Q677" i="3"/>
  <c r="Q676" i="3"/>
  <c r="Q675" i="3"/>
  <c r="Q674" i="3"/>
  <c r="Q673" i="3"/>
  <c r="Q670" i="3"/>
  <c r="Q669" i="3"/>
  <c r="Q668" i="3"/>
  <c r="Q706" i="3"/>
  <c r="Q667" i="3"/>
  <c r="Q655" i="3"/>
  <c r="Q658" i="3"/>
  <c r="Q648" i="3"/>
  <c r="Q647" i="3"/>
  <c r="Q632" i="3"/>
  <c r="Q630" i="3"/>
  <c r="Q772" i="3"/>
  <c r="Q751" i="3"/>
  <c r="Q735" i="3"/>
  <c r="Q694" i="3"/>
  <c r="Q656" i="3"/>
  <c r="Q718" i="3"/>
  <c r="Q640" i="3"/>
  <c r="Q631" i="3"/>
  <c r="Q657" i="3"/>
  <c r="Q646" i="3"/>
  <c r="Q645" i="3"/>
  <c r="Q639" i="3"/>
  <c r="Q638" i="3"/>
  <c r="Q637" i="3"/>
  <c r="AF862" i="3"/>
  <c r="AF632" i="3"/>
  <c r="AF631" i="3"/>
  <c r="AB863" i="3"/>
  <c r="AB862" i="3"/>
  <c r="AB860" i="3"/>
  <c r="AB859" i="3"/>
  <c r="AB858" i="3"/>
  <c r="AB857" i="3"/>
  <c r="AB856" i="3"/>
  <c r="AB855" i="3"/>
  <c r="AB846" i="3"/>
  <c r="AB845" i="3"/>
  <c r="AB844" i="3"/>
  <c r="AB843" i="3"/>
  <c r="AB833" i="3"/>
  <c r="AB825" i="3"/>
  <c r="AB834" i="3"/>
  <c r="AB826" i="3"/>
  <c r="AB831" i="3"/>
  <c r="AB823" i="3"/>
  <c r="AB814" i="3"/>
  <c r="AB813" i="3"/>
  <c r="AB812" i="3"/>
  <c r="AB811" i="3"/>
  <c r="AB806" i="3"/>
  <c r="AB805" i="3"/>
  <c r="AB824" i="3"/>
  <c r="AB803" i="3"/>
  <c r="AB791" i="3"/>
  <c r="AB783" i="3"/>
  <c r="AB772" i="3"/>
  <c r="AB771" i="3"/>
  <c r="AB770" i="3"/>
  <c r="AB769" i="3"/>
  <c r="AB764" i="3"/>
  <c r="AB763" i="3"/>
  <c r="AB762" i="3"/>
  <c r="AB761" i="3"/>
  <c r="AB792" i="3"/>
  <c r="AB784" i="3"/>
  <c r="AB793" i="3"/>
  <c r="AB781" i="3"/>
  <c r="AB754" i="3"/>
  <c r="AB753" i="3"/>
  <c r="AB752" i="3"/>
  <c r="AB751" i="3"/>
  <c r="AB738" i="3"/>
  <c r="AB737" i="3"/>
  <c r="AB736" i="3"/>
  <c r="AB735" i="3"/>
  <c r="AB794" i="3"/>
  <c r="AB832" i="3"/>
  <c r="AB782" i="3"/>
  <c r="AB719" i="3"/>
  <c r="AB707" i="3"/>
  <c r="AB695" i="3"/>
  <c r="AB804" i="3"/>
  <c r="AB720" i="3"/>
  <c r="AB708" i="3"/>
  <c r="AB696" i="3"/>
  <c r="AB717" i="3"/>
  <c r="AB705" i="3"/>
  <c r="AB693" i="3"/>
  <c r="AB684" i="3"/>
  <c r="AB676" i="3"/>
  <c r="AB668" i="3"/>
  <c r="AB655" i="3"/>
  <c r="AB648" i="3"/>
  <c r="AB647" i="3"/>
  <c r="AB646" i="3"/>
  <c r="AB645" i="3"/>
  <c r="AB640" i="3"/>
  <c r="AB639" i="3"/>
  <c r="AB638" i="3"/>
  <c r="AB637" i="3"/>
  <c r="AB632" i="3"/>
  <c r="AB631" i="3"/>
  <c r="AB685" i="3"/>
  <c r="AB669" i="3"/>
  <c r="AB658" i="3"/>
  <c r="AB718" i="3"/>
  <c r="AB683" i="3"/>
  <c r="AB675" i="3"/>
  <c r="AB667" i="3"/>
  <c r="AB656" i="3"/>
  <c r="AB706" i="3"/>
  <c r="AB686" i="3"/>
  <c r="AB678" i="3"/>
  <c r="AB670" i="3"/>
  <c r="AB657" i="3"/>
  <c r="AB694" i="3"/>
  <c r="AB677" i="3"/>
  <c r="X864" i="3"/>
  <c r="X863" i="3"/>
  <c r="X862" i="3"/>
  <c r="X861" i="3"/>
  <c r="X860" i="3"/>
  <c r="X859" i="3"/>
  <c r="X858" i="3"/>
  <c r="X856" i="3"/>
  <c r="X855" i="3"/>
  <c r="X846" i="3"/>
  <c r="X845" i="3"/>
  <c r="X844" i="3"/>
  <c r="X843" i="3"/>
  <c r="X857" i="3"/>
  <c r="X834" i="3"/>
  <c r="X826" i="3"/>
  <c r="X831" i="3"/>
  <c r="X832" i="3"/>
  <c r="X824" i="3"/>
  <c r="X823" i="3"/>
  <c r="X814" i="3"/>
  <c r="X813" i="3"/>
  <c r="X812" i="3"/>
  <c r="X811" i="3"/>
  <c r="X806" i="3"/>
  <c r="X833" i="3"/>
  <c r="X805" i="3"/>
  <c r="X804" i="3"/>
  <c r="X792" i="3"/>
  <c r="X784" i="3"/>
  <c r="X772" i="3"/>
  <c r="X771" i="3"/>
  <c r="X770" i="3"/>
  <c r="X769" i="3"/>
  <c r="X764" i="3"/>
  <c r="X763" i="3"/>
  <c r="X762" i="3"/>
  <c r="X761" i="3"/>
  <c r="X803" i="3"/>
  <c r="X793" i="3"/>
  <c r="X781" i="3"/>
  <c r="X794" i="3"/>
  <c r="X782" i="3"/>
  <c r="X783" i="3"/>
  <c r="X754" i="3"/>
  <c r="X753" i="3"/>
  <c r="X752" i="3"/>
  <c r="X751" i="3"/>
  <c r="X738" i="3"/>
  <c r="X737" i="3"/>
  <c r="X736" i="3"/>
  <c r="X735" i="3"/>
  <c r="X825" i="3"/>
  <c r="X791" i="3"/>
  <c r="X720" i="3"/>
  <c r="X708" i="3"/>
  <c r="X696" i="3"/>
  <c r="X717" i="3"/>
  <c r="X705" i="3"/>
  <c r="X693" i="3"/>
  <c r="X718" i="3"/>
  <c r="X706" i="3"/>
  <c r="X694" i="3"/>
  <c r="X707" i="3"/>
  <c r="X685" i="3"/>
  <c r="X677" i="3"/>
  <c r="X669" i="3"/>
  <c r="X656" i="3"/>
  <c r="X648" i="3"/>
  <c r="X647" i="3"/>
  <c r="X646" i="3"/>
  <c r="X645" i="3"/>
  <c r="X640" i="3"/>
  <c r="X639" i="3"/>
  <c r="X638" i="3"/>
  <c r="X637" i="3"/>
  <c r="X632" i="3"/>
  <c r="X631" i="3"/>
  <c r="X630" i="3"/>
  <c r="X686" i="3"/>
  <c r="X678" i="3"/>
  <c r="X670" i="3"/>
  <c r="X695" i="3"/>
  <c r="X684" i="3"/>
  <c r="X676" i="3"/>
  <c r="X668" i="3"/>
  <c r="X657" i="3"/>
  <c r="X667" i="3"/>
  <c r="X683" i="3"/>
  <c r="X675" i="3"/>
  <c r="X658" i="3"/>
  <c r="X719" i="3"/>
  <c r="X655" i="3"/>
  <c r="T864" i="3"/>
  <c r="T863" i="3"/>
  <c r="T862" i="3"/>
  <c r="T861" i="3"/>
  <c r="T860" i="3"/>
  <c r="T859" i="3"/>
  <c r="T858" i="3"/>
  <c r="T857" i="3"/>
  <c r="T856" i="3"/>
  <c r="T855" i="3"/>
  <c r="T846" i="3"/>
  <c r="T845" i="3"/>
  <c r="T844" i="3"/>
  <c r="T843" i="3"/>
  <c r="T831" i="3"/>
  <c r="T832" i="3"/>
  <c r="T824" i="3"/>
  <c r="T833" i="3"/>
  <c r="T825" i="3"/>
  <c r="T823" i="3"/>
  <c r="T814" i="3"/>
  <c r="T813" i="3"/>
  <c r="T812" i="3"/>
  <c r="T811" i="3"/>
  <c r="T826" i="3"/>
  <c r="T805" i="3"/>
  <c r="T834" i="3"/>
  <c r="T793" i="3"/>
  <c r="T781" i="3"/>
  <c r="T772" i="3"/>
  <c r="T771" i="3"/>
  <c r="T770" i="3"/>
  <c r="T769" i="3"/>
  <c r="T764" i="3"/>
  <c r="T763" i="3"/>
  <c r="T762" i="3"/>
  <c r="T761" i="3"/>
  <c r="T804" i="3"/>
  <c r="T794" i="3"/>
  <c r="T782" i="3"/>
  <c r="T806" i="3"/>
  <c r="T803" i="3"/>
  <c r="T791" i="3"/>
  <c r="T783" i="3"/>
  <c r="T792" i="3"/>
  <c r="T754" i="3"/>
  <c r="T753" i="3"/>
  <c r="T752" i="3"/>
  <c r="T751" i="3"/>
  <c r="T738" i="3"/>
  <c r="T737" i="3"/>
  <c r="T736" i="3"/>
  <c r="T735" i="3"/>
  <c r="T784" i="3"/>
  <c r="T717" i="3"/>
  <c r="T705" i="3"/>
  <c r="T693" i="3"/>
  <c r="T718" i="3"/>
  <c r="T706" i="3"/>
  <c r="T694" i="3"/>
  <c r="T719" i="3"/>
  <c r="T707" i="3"/>
  <c r="T695" i="3"/>
  <c r="T686" i="3"/>
  <c r="T678" i="3"/>
  <c r="T670" i="3"/>
  <c r="T657" i="3"/>
  <c r="T648" i="3"/>
  <c r="T647" i="3"/>
  <c r="T646" i="3"/>
  <c r="T645" i="3"/>
  <c r="T640" i="3"/>
  <c r="T639" i="3"/>
  <c r="T638" i="3"/>
  <c r="T637" i="3"/>
  <c r="T632" i="3"/>
  <c r="T631" i="3"/>
  <c r="T630" i="3"/>
  <c r="T683" i="3"/>
  <c r="T675" i="3"/>
  <c r="T720" i="3"/>
  <c r="T685" i="3"/>
  <c r="T677" i="3"/>
  <c r="T669" i="3"/>
  <c r="T658" i="3"/>
  <c r="T656" i="3"/>
  <c r="T708" i="3"/>
  <c r="T684" i="3"/>
  <c r="T676" i="3"/>
  <c r="T668" i="3"/>
  <c r="T667" i="3"/>
  <c r="T655" i="3"/>
  <c r="T696" i="3"/>
  <c r="P864" i="3"/>
  <c r="P863" i="3"/>
  <c r="P862" i="3"/>
  <c r="P861" i="3"/>
  <c r="P860" i="3"/>
  <c r="P859" i="3"/>
  <c r="P858" i="3"/>
  <c r="P856" i="3"/>
  <c r="P855" i="3"/>
  <c r="P846" i="3"/>
  <c r="P845" i="3"/>
  <c r="P844" i="3"/>
  <c r="P843" i="3"/>
  <c r="P857" i="3"/>
  <c r="P832" i="3"/>
  <c r="P824" i="3"/>
  <c r="P833" i="3"/>
  <c r="P825" i="3"/>
  <c r="P834" i="3"/>
  <c r="P826" i="3"/>
  <c r="P823" i="3"/>
  <c r="P814" i="3"/>
  <c r="P813" i="3"/>
  <c r="P812" i="3"/>
  <c r="P811" i="3"/>
  <c r="P831" i="3"/>
  <c r="P805" i="3"/>
  <c r="P806" i="3"/>
  <c r="P794" i="3"/>
  <c r="P782" i="3"/>
  <c r="P772" i="3"/>
  <c r="P771" i="3"/>
  <c r="P770" i="3"/>
  <c r="P769" i="3"/>
  <c r="P764" i="3"/>
  <c r="P763" i="3"/>
  <c r="P762" i="3"/>
  <c r="P761" i="3"/>
  <c r="P791" i="3"/>
  <c r="P783" i="3"/>
  <c r="P804" i="3"/>
  <c r="P792" i="3"/>
  <c r="P784" i="3"/>
  <c r="P754" i="3"/>
  <c r="P753" i="3"/>
  <c r="P752" i="3"/>
  <c r="P751" i="3"/>
  <c r="P738" i="3"/>
  <c r="P737" i="3"/>
  <c r="P736" i="3"/>
  <c r="P735" i="3"/>
  <c r="P803" i="3"/>
  <c r="P793" i="3"/>
  <c r="P718" i="3"/>
  <c r="P706" i="3"/>
  <c r="P694" i="3"/>
  <c r="P781" i="3"/>
  <c r="P719" i="3"/>
  <c r="P707" i="3"/>
  <c r="P695" i="3"/>
  <c r="P720" i="3"/>
  <c r="P708" i="3"/>
  <c r="P696" i="3"/>
  <c r="P693" i="3"/>
  <c r="P683" i="3"/>
  <c r="P675" i="3"/>
  <c r="P658" i="3"/>
  <c r="P648" i="3"/>
  <c r="P647" i="3"/>
  <c r="P646" i="3"/>
  <c r="P645" i="3"/>
  <c r="P640" i="3"/>
  <c r="P639" i="3"/>
  <c r="P638" i="3"/>
  <c r="P637" i="3"/>
  <c r="P632" i="3"/>
  <c r="P631" i="3"/>
  <c r="P630" i="3"/>
  <c r="P684" i="3"/>
  <c r="P676" i="3"/>
  <c r="P668" i="3"/>
  <c r="P686" i="3"/>
  <c r="P678" i="3"/>
  <c r="P674" i="3"/>
  <c r="P670" i="3"/>
  <c r="P667" i="3"/>
  <c r="P655" i="3"/>
  <c r="P705" i="3"/>
  <c r="P657" i="3"/>
  <c r="P717" i="3"/>
  <c r="P685" i="3"/>
  <c r="P677" i="3"/>
  <c r="P673" i="3"/>
  <c r="P669" i="3"/>
  <c r="P656" i="3"/>
  <c r="Y864" i="3"/>
  <c r="Y863" i="3"/>
  <c r="Y862" i="3"/>
  <c r="Y861" i="3"/>
  <c r="Y860" i="3"/>
  <c r="Y859" i="3"/>
  <c r="Y858" i="3"/>
  <c r="Y857" i="3"/>
  <c r="Y856" i="3"/>
  <c r="Y855" i="3"/>
  <c r="Y846" i="3"/>
  <c r="Y845" i="3"/>
  <c r="Y844" i="3"/>
  <c r="Y843" i="3"/>
  <c r="Y831" i="3"/>
  <c r="Y832" i="3"/>
  <c r="Y824" i="3"/>
  <c r="Y823" i="3"/>
  <c r="Y814" i="3"/>
  <c r="Y813" i="3"/>
  <c r="Y812" i="3"/>
  <c r="Y811" i="3"/>
  <c r="Y833" i="3"/>
  <c r="Y825" i="3"/>
  <c r="Y826" i="3"/>
  <c r="Y834" i="3"/>
  <c r="Y805" i="3"/>
  <c r="Y804" i="3"/>
  <c r="Y803" i="3"/>
  <c r="Y794" i="3"/>
  <c r="Y793" i="3"/>
  <c r="Y792" i="3"/>
  <c r="Y791" i="3"/>
  <c r="Y784" i="3"/>
  <c r="Y783" i="3"/>
  <c r="Y782" i="3"/>
  <c r="Y781" i="3"/>
  <c r="Y806" i="3"/>
  <c r="Y769" i="3"/>
  <c r="Y761" i="3"/>
  <c r="Y772" i="3"/>
  <c r="Y764" i="3"/>
  <c r="Y771" i="3"/>
  <c r="Y763" i="3"/>
  <c r="Y752" i="3"/>
  <c r="Y736" i="3"/>
  <c r="Y717" i="3"/>
  <c r="Y705" i="3"/>
  <c r="Y693" i="3"/>
  <c r="Y762" i="3"/>
  <c r="Y751" i="3"/>
  <c r="Y735" i="3"/>
  <c r="Y718" i="3"/>
  <c r="Y706" i="3"/>
  <c r="Y694" i="3"/>
  <c r="Y754" i="3"/>
  <c r="Y738" i="3"/>
  <c r="Y719" i="3"/>
  <c r="Y707" i="3"/>
  <c r="Y695" i="3"/>
  <c r="Y686" i="3"/>
  <c r="Y685" i="3"/>
  <c r="Y684" i="3"/>
  <c r="Y683" i="3"/>
  <c r="Y678" i="3"/>
  <c r="Y677" i="3"/>
  <c r="Y676" i="3"/>
  <c r="Y675" i="3"/>
  <c r="Y670" i="3"/>
  <c r="Y669" i="3"/>
  <c r="Y668" i="3"/>
  <c r="Y753" i="3"/>
  <c r="Y737" i="3"/>
  <c r="Y720" i="3"/>
  <c r="Y657" i="3"/>
  <c r="Y648" i="3"/>
  <c r="Y640" i="3"/>
  <c r="Y638" i="3"/>
  <c r="Y632" i="3"/>
  <c r="Y631" i="3"/>
  <c r="Y708" i="3"/>
  <c r="Y658" i="3"/>
  <c r="Y647" i="3"/>
  <c r="Y646" i="3"/>
  <c r="Y639" i="3"/>
  <c r="Y770" i="3"/>
  <c r="Y696" i="3"/>
  <c r="Y667" i="3"/>
  <c r="Y655" i="3"/>
  <c r="Y656" i="3"/>
  <c r="Y645" i="3"/>
  <c r="Y637" i="3"/>
  <c r="AE862" i="3"/>
  <c r="AE632" i="3"/>
  <c r="AE631" i="3"/>
  <c r="AA864" i="3"/>
  <c r="AA863" i="3"/>
  <c r="AA862" i="3"/>
  <c r="AA860" i="3"/>
  <c r="AA859" i="3"/>
  <c r="AA858" i="3"/>
  <c r="AA857" i="3"/>
  <c r="AA856" i="3"/>
  <c r="AA855" i="3"/>
  <c r="AA846" i="3"/>
  <c r="AA845" i="3"/>
  <c r="AA844" i="3"/>
  <c r="AA843" i="3"/>
  <c r="AA834" i="3"/>
  <c r="AA833" i="3"/>
  <c r="AA832" i="3"/>
  <c r="AA831" i="3"/>
  <c r="AA826" i="3"/>
  <c r="AA825" i="3"/>
  <c r="AA824" i="3"/>
  <c r="AA812" i="3"/>
  <c r="AA804" i="3"/>
  <c r="AA803" i="3"/>
  <c r="AA823" i="3"/>
  <c r="AA811" i="3"/>
  <c r="AA805" i="3"/>
  <c r="AA814" i="3"/>
  <c r="AA806" i="3"/>
  <c r="AA794" i="3"/>
  <c r="AA782" i="3"/>
  <c r="AA813" i="3"/>
  <c r="AA791" i="3"/>
  <c r="AA783" i="3"/>
  <c r="AA772" i="3"/>
  <c r="AA771" i="3"/>
  <c r="AA770" i="3"/>
  <c r="AA769" i="3"/>
  <c r="AA764" i="3"/>
  <c r="AA763" i="3"/>
  <c r="AA762" i="3"/>
  <c r="AA761" i="3"/>
  <c r="AA792" i="3"/>
  <c r="AA784" i="3"/>
  <c r="AA793" i="3"/>
  <c r="AA781" i="3"/>
  <c r="AA754" i="3"/>
  <c r="AA753" i="3"/>
  <c r="AA752" i="3"/>
  <c r="AA751" i="3"/>
  <c r="AA738" i="3"/>
  <c r="AA737" i="3"/>
  <c r="AA736" i="3"/>
  <c r="AA735" i="3"/>
  <c r="AA718" i="3"/>
  <c r="AA706" i="3"/>
  <c r="AA694" i="3"/>
  <c r="AA686" i="3"/>
  <c r="AA685" i="3"/>
  <c r="AA684" i="3"/>
  <c r="AA683" i="3"/>
  <c r="AA678" i="3"/>
  <c r="AA677" i="3"/>
  <c r="AA676" i="3"/>
  <c r="AA675" i="3"/>
  <c r="AA670" i="3"/>
  <c r="AA669" i="3"/>
  <c r="AA668" i="3"/>
  <c r="AA667" i="3"/>
  <c r="AA658" i="3"/>
  <c r="AA657" i="3"/>
  <c r="AA656" i="3"/>
  <c r="AA655" i="3"/>
  <c r="AA719" i="3"/>
  <c r="AA707" i="3"/>
  <c r="AA695" i="3"/>
  <c r="AA720" i="3"/>
  <c r="AA708" i="3"/>
  <c r="AA696" i="3"/>
  <c r="AA717" i="3"/>
  <c r="AA638" i="3"/>
  <c r="AA637" i="3"/>
  <c r="AA632" i="3"/>
  <c r="AA631" i="3"/>
  <c r="AA705" i="3"/>
  <c r="AA648" i="3"/>
  <c r="AA647" i="3"/>
  <c r="AA646" i="3"/>
  <c r="AA645" i="3"/>
  <c r="AA640" i="3"/>
  <c r="AA639" i="3"/>
  <c r="AA693" i="3"/>
  <c r="W864" i="3"/>
  <c r="W863" i="3"/>
  <c r="W862" i="3"/>
  <c r="W861" i="3"/>
  <c r="W860" i="3"/>
  <c r="W859" i="3"/>
  <c r="W858" i="3"/>
  <c r="W857" i="3"/>
  <c r="W856" i="3"/>
  <c r="W855" i="3"/>
  <c r="W846" i="3"/>
  <c r="W845" i="3"/>
  <c r="W844" i="3"/>
  <c r="W843" i="3"/>
  <c r="W834" i="3"/>
  <c r="W833" i="3"/>
  <c r="W832" i="3"/>
  <c r="W831" i="3"/>
  <c r="W826" i="3"/>
  <c r="W825" i="3"/>
  <c r="W824" i="3"/>
  <c r="W813" i="3"/>
  <c r="W805" i="3"/>
  <c r="W804" i="3"/>
  <c r="W803" i="3"/>
  <c r="W812" i="3"/>
  <c r="W806" i="3"/>
  <c r="W823" i="3"/>
  <c r="W811" i="3"/>
  <c r="W791" i="3"/>
  <c r="W783" i="3"/>
  <c r="W792" i="3"/>
  <c r="W784" i="3"/>
  <c r="W772" i="3"/>
  <c r="W771" i="3"/>
  <c r="W770" i="3"/>
  <c r="W769" i="3"/>
  <c r="W764" i="3"/>
  <c r="W763" i="3"/>
  <c r="W762" i="3"/>
  <c r="W761" i="3"/>
  <c r="W793" i="3"/>
  <c r="W781" i="3"/>
  <c r="W754" i="3"/>
  <c r="W753" i="3"/>
  <c r="W752" i="3"/>
  <c r="W751" i="3"/>
  <c r="W738" i="3"/>
  <c r="W737" i="3"/>
  <c r="W736" i="3"/>
  <c r="W735" i="3"/>
  <c r="W794" i="3"/>
  <c r="W719" i="3"/>
  <c r="W707" i="3"/>
  <c r="W695" i="3"/>
  <c r="W686" i="3"/>
  <c r="W685" i="3"/>
  <c r="W684" i="3"/>
  <c r="W683" i="3"/>
  <c r="W678" i="3"/>
  <c r="W677" i="3"/>
  <c r="W676" i="3"/>
  <c r="W675" i="3"/>
  <c r="W670" i="3"/>
  <c r="W669" i="3"/>
  <c r="W668" i="3"/>
  <c r="W667" i="3"/>
  <c r="W658" i="3"/>
  <c r="W657" i="3"/>
  <c r="W656" i="3"/>
  <c r="W655" i="3"/>
  <c r="W720" i="3"/>
  <c r="W708" i="3"/>
  <c r="W696" i="3"/>
  <c r="W717" i="3"/>
  <c r="W705" i="3"/>
  <c r="W693" i="3"/>
  <c r="W814" i="3"/>
  <c r="W782" i="3"/>
  <c r="W694" i="3"/>
  <c r="W640" i="3"/>
  <c r="W639" i="3"/>
  <c r="W631" i="3"/>
  <c r="W630" i="3"/>
  <c r="W706" i="3"/>
  <c r="W648" i="3"/>
  <c r="W647" i="3"/>
  <c r="W646" i="3"/>
  <c r="W645" i="3"/>
  <c r="W638" i="3"/>
  <c r="W637" i="3"/>
  <c r="W632" i="3"/>
  <c r="W718" i="3"/>
  <c r="S864" i="3"/>
  <c r="S863" i="3"/>
  <c r="S862" i="3"/>
  <c r="S861" i="3"/>
  <c r="S860" i="3"/>
  <c r="S859" i="3"/>
  <c r="S858" i="3"/>
  <c r="S857" i="3"/>
  <c r="S856" i="3"/>
  <c r="S855" i="3"/>
  <c r="S846" i="3"/>
  <c r="S845" i="3"/>
  <c r="S844" i="3"/>
  <c r="S843" i="3"/>
  <c r="S834" i="3"/>
  <c r="S833" i="3"/>
  <c r="S832" i="3"/>
  <c r="S831" i="3"/>
  <c r="S826" i="3"/>
  <c r="S825" i="3"/>
  <c r="S824" i="3"/>
  <c r="S814" i="3"/>
  <c r="S806" i="3"/>
  <c r="S804" i="3"/>
  <c r="S803" i="3"/>
  <c r="S813" i="3"/>
  <c r="S812" i="3"/>
  <c r="S792" i="3"/>
  <c r="S784" i="3"/>
  <c r="S805" i="3"/>
  <c r="S793" i="3"/>
  <c r="S781" i="3"/>
  <c r="S772" i="3"/>
  <c r="S771" i="3"/>
  <c r="S770" i="3"/>
  <c r="S769" i="3"/>
  <c r="S764" i="3"/>
  <c r="S763" i="3"/>
  <c r="S762" i="3"/>
  <c r="S761" i="3"/>
  <c r="S811" i="3"/>
  <c r="S794" i="3"/>
  <c r="S782" i="3"/>
  <c r="S783" i="3"/>
  <c r="S754" i="3"/>
  <c r="S753" i="3"/>
  <c r="S752" i="3"/>
  <c r="S751" i="3"/>
  <c r="S738" i="3"/>
  <c r="S737" i="3"/>
  <c r="S736" i="3"/>
  <c r="S735" i="3"/>
  <c r="S823" i="3"/>
  <c r="S791" i="3"/>
  <c r="S720" i="3"/>
  <c r="S708" i="3"/>
  <c r="S696" i="3"/>
  <c r="S686" i="3"/>
  <c r="S685" i="3"/>
  <c r="S684" i="3"/>
  <c r="S683" i="3"/>
  <c r="S678" i="3"/>
  <c r="S677" i="3"/>
  <c r="S676" i="3"/>
  <c r="S675" i="3"/>
  <c r="S674" i="3"/>
  <c r="S673" i="3"/>
  <c r="S670" i="3"/>
  <c r="S669" i="3"/>
  <c r="S668" i="3"/>
  <c r="S667" i="3"/>
  <c r="S658" i="3"/>
  <c r="S657" i="3"/>
  <c r="S656" i="3"/>
  <c r="S655" i="3"/>
  <c r="S717" i="3"/>
  <c r="S705" i="3"/>
  <c r="S693" i="3"/>
  <c r="S718" i="3"/>
  <c r="S706" i="3"/>
  <c r="S694" i="3"/>
  <c r="S719" i="3"/>
  <c r="S640" i="3"/>
  <c r="S639" i="3"/>
  <c r="S638" i="3"/>
  <c r="S637" i="3"/>
  <c r="S632" i="3"/>
  <c r="S630" i="3"/>
  <c r="S707" i="3"/>
  <c r="S648" i="3"/>
  <c r="S647" i="3"/>
  <c r="S646" i="3"/>
  <c r="S645" i="3"/>
  <c r="S631" i="3"/>
  <c r="S695" i="3"/>
  <c r="U864" i="3"/>
  <c r="U863" i="3"/>
  <c r="U862" i="3"/>
  <c r="U861" i="3"/>
  <c r="U860" i="3"/>
  <c r="U859" i="3"/>
  <c r="U858" i="3"/>
  <c r="U857" i="3"/>
  <c r="U856" i="3"/>
  <c r="U855" i="3"/>
  <c r="U846" i="3"/>
  <c r="U845" i="3"/>
  <c r="U844" i="3"/>
  <c r="U843" i="3"/>
  <c r="U832" i="3"/>
  <c r="U824" i="3"/>
  <c r="U833" i="3"/>
  <c r="U825" i="3"/>
  <c r="U823" i="3"/>
  <c r="U814" i="3"/>
  <c r="U813" i="3"/>
  <c r="U812" i="3"/>
  <c r="U811" i="3"/>
  <c r="U834" i="3"/>
  <c r="U826" i="3"/>
  <c r="U805" i="3"/>
  <c r="U806" i="3"/>
  <c r="U804" i="3"/>
  <c r="U803" i="3"/>
  <c r="U794" i="3"/>
  <c r="U793" i="3"/>
  <c r="U792" i="3"/>
  <c r="U791" i="3"/>
  <c r="U784" i="3"/>
  <c r="U783" i="3"/>
  <c r="U782" i="3"/>
  <c r="U781" i="3"/>
  <c r="U831" i="3"/>
  <c r="U770" i="3"/>
  <c r="U762" i="3"/>
  <c r="U769" i="3"/>
  <c r="U761" i="3"/>
  <c r="U772" i="3"/>
  <c r="U764" i="3"/>
  <c r="U753" i="3"/>
  <c r="U737" i="3"/>
  <c r="U718" i="3"/>
  <c r="U706" i="3"/>
  <c r="U694" i="3"/>
  <c r="U771" i="3"/>
  <c r="U752" i="3"/>
  <c r="U736" i="3"/>
  <c r="U719" i="3"/>
  <c r="U707" i="3"/>
  <c r="U695" i="3"/>
  <c r="U751" i="3"/>
  <c r="U735" i="3"/>
  <c r="U720" i="3"/>
  <c r="U708" i="3"/>
  <c r="U696" i="3"/>
  <c r="U686" i="3"/>
  <c r="U685" i="3"/>
  <c r="U684" i="3"/>
  <c r="U683" i="3"/>
  <c r="U678" i="3"/>
  <c r="U677" i="3"/>
  <c r="U676" i="3"/>
  <c r="U675" i="3"/>
  <c r="U670" i="3"/>
  <c r="U669" i="3"/>
  <c r="U668" i="3"/>
  <c r="U658" i="3"/>
  <c r="U646" i="3"/>
  <c r="U645" i="3"/>
  <c r="U640" i="3"/>
  <c r="U639" i="3"/>
  <c r="U638" i="3"/>
  <c r="U637" i="3"/>
  <c r="U631" i="3"/>
  <c r="U717" i="3"/>
  <c r="U667" i="3"/>
  <c r="U655" i="3"/>
  <c r="U693" i="3"/>
  <c r="U648" i="3"/>
  <c r="U630" i="3"/>
  <c r="U763" i="3"/>
  <c r="U754" i="3"/>
  <c r="U738" i="3"/>
  <c r="U705" i="3"/>
  <c r="U656" i="3"/>
  <c r="U657" i="3"/>
  <c r="U647" i="3"/>
  <c r="U632" i="3"/>
  <c r="AH632" i="3"/>
  <c r="AH631" i="3"/>
  <c r="AD857" i="3"/>
  <c r="AD863" i="3"/>
  <c r="AD859" i="3"/>
  <c r="AD862" i="3"/>
  <c r="AD845" i="3"/>
  <c r="AD831" i="3"/>
  <c r="AD823" i="3"/>
  <c r="AD814" i="3"/>
  <c r="AD813" i="3"/>
  <c r="AD812" i="3"/>
  <c r="AD811" i="3"/>
  <c r="AD806" i="3"/>
  <c r="AD805" i="3"/>
  <c r="AD858" i="3"/>
  <c r="AD856" i="3"/>
  <c r="AD844" i="3"/>
  <c r="AD832" i="3"/>
  <c r="AD824" i="3"/>
  <c r="AD855" i="3"/>
  <c r="AD843" i="3"/>
  <c r="AD833" i="3"/>
  <c r="AD825" i="3"/>
  <c r="AD846" i="3"/>
  <c r="AD834" i="3"/>
  <c r="AD804" i="3"/>
  <c r="AD803" i="3"/>
  <c r="AD792" i="3"/>
  <c r="AD784" i="3"/>
  <c r="AD826" i="3"/>
  <c r="AD793" i="3"/>
  <c r="AD781" i="3"/>
  <c r="AD794" i="3"/>
  <c r="AD782" i="3"/>
  <c r="AD772" i="3"/>
  <c r="AD771" i="3"/>
  <c r="AD770" i="3"/>
  <c r="AD769" i="3"/>
  <c r="AD764" i="3"/>
  <c r="AD763" i="3"/>
  <c r="AD762" i="3"/>
  <c r="AD761" i="3"/>
  <c r="AD791" i="3"/>
  <c r="AD754" i="3"/>
  <c r="AD753" i="3"/>
  <c r="AD752" i="3"/>
  <c r="AD751" i="3"/>
  <c r="AD738" i="3"/>
  <c r="AD737" i="3"/>
  <c r="AD736" i="3"/>
  <c r="AD735" i="3"/>
  <c r="AD720" i="3"/>
  <c r="AD719" i="3"/>
  <c r="AD718" i="3"/>
  <c r="AD717" i="3"/>
  <c r="AD708" i="3"/>
  <c r="AD707" i="3"/>
  <c r="AD706" i="3"/>
  <c r="AD705" i="3"/>
  <c r="AD696" i="3"/>
  <c r="AD695" i="3"/>
  <c r="AD694" i="3"/>
  <c r="AD693" i="3"/>
  <c r="AD783" i="3"/>
  <c r="AD686" i="3"/>
  <c r="AD685" i="3"/>
  <c r="AD684" i="3"/>
  <c r="AD683" i="3"/>
  <c r="AD678" i="3"/>
  <c r="AD677" i="3"/>
  <c r="AD676" i="3"/>
  <c r="AD675" i="3"/>
  <c r="AD670" i="3"/>
  <c r="AD669" i="3"/>
  <c r="AD668" i="3"/>
  <c r="AD667" i="3"/>
  <c r="AD657" i="3"/>
  <c r="AD631" i="3"/>
  <c r="AD656" i="3"/>
  <c r="AD658" i="3"/>
  <c r="AD632" i="3"/>
  <c r="AD655" i="3"/>
  <c r="AD648" i="3"/>
  <c r="AD647" i="3"/>
  <c r="AD646" i="3"/>
  <c r="AD645" i="3"/>
  <c r="AD640" i="3"/>
  <c r="AD639" i="3"/>
  <c r="AD638" i="3"/>
  <c r="AD637" i="3"/>
  <c r="Z862" i="3"/>
  <c r="Z858" i="3"/>
  <c r="Z857" i="3"/>
  <c r="Z864" i="3"/>
  <c r="Z860" i="3"/>
  <c r="Z846" i="3"/>
  <c r="Z832" i="3"/>
  <c r="Z824" i="3"/>
  <c r="Z823" i="3"/>
  <c r="Z814" i="3"/>
  <c r="Z813" i="3"/>
  <c r="Z812" i="3"/>
  <c r="Z811" i="3"/>
  <c r="Z806" i="3"/>
  <c r="Z805" i="3"/>
  <c r="Z845" i="3"/>
  <c r="Z833" i="3"/>
  <c r="Z825" i="3"/>
  <c r="Z863" i="3"/>
  <c r="Z856" i="3"/>
  <c r="Z844" i="3"/>
  <c r="Z834" i="3"/>
  <c r="Z826" i="3"/>
  <c r="Z859" i="3"/>
  <c r="Z843" i="3"/>
  <c r="Z855" i="3"/>
  <c r="Z804" i="3"/>
  <c r="Z803" i="3"/>
  <c r="Z831" i="3"/>
  <c r="Z793" i="3"/>
  <c r="Z781" i="3"/>
  <c r="Z794" i="3"/>
  <c r="Z782" i="3"/>
  <c r="Z791" i="3"/>
  <c r="Z783" i="3"/>
  <c r="Z772" i="3"/>
  <c r="Z771" i="3"/>
  <c r="Z770" i="3"/>
  <c r="Z769" i="3"/>
  <c r="Z764" i="3"/>
  <c r="Z763" i="3"/>
  <c r="Z762" i="3"/>
  <c r="Z761" i="3"/>
  <c r="Z784" i="3"/>
  <c r="Z754" i="3"/>
  <c r="Z753" i="3"/>
  <c r="Z752" i="3"/>
  <c r="Z751" i="3"/>
  <c r="Z738" i="3"/>
  <c r="Z737" i="3"/>
  <c r="Z736" i="3"/>
  <c r="Z735" i="3"/>
  <c r="Z720" i="3"/>
  <c r="Z719" i="3"/>
  <c r="Z718" i="3"/>
  <c r="Z717" i="3"/>
  <c r="Z708" i="3"/>
  <c r="Z707" i="3"/>
  <c r="Z706" i="3"/>
  <c r="Z705" i="3"/>
  <c r="Z696" i="3"/>
  <c r="Z695" i="3"/>
  <c r="Z694" i="3"/>
  <c r="Z693" i="3"/>
  <c r="Z686" i="3"/>
  <c r="Z685" i="3"/>
  <c r="Z684" i="3"/>
  <c r="Z683" i="3"/>
  <c r="Z678" i="3"/>
  <c r="Z677" i="3"/>
  <c r="Z676" i="3"/>
  <c r="Z675" i="3"/>
  <c r="Z670" i="3"/>
  <c r="Z669" i="3"/>
  <c r="Z668" i="3"/>
  <c r="Z667" i="3"/>
  <c r="Z792" i="3"/>
  <c r="Z658" i="3"/>
  <c r="Z632" i="3"/>
  <c r="Z657" i="3"/>
  <c r="Z655" i="3"/>
  <c r="Z631" i="3"/>
  <c r="Z656" i="3"/>
  <c r="Z648" i="3"/>
  <c r="Z647" i="3"/>
  <c r="Z646" i="3"/>
  <c r="Z645" i="3"/>
  <c r="Z640" i="3"/>
  <c r="Z639" i="3"/>
  <c r="Z638" i="3"/>
  <c r="Z637" i="3"/>
  <c r="V863" i="3"/>
  <c r="V859" i="3"/>
  <c r="V862" i="3"/>
  <c r="V858" i="3"/>
  <c r="V861" i="3"/>
  <c r="V864" i="3"/>
  <c r="V857" i="3"/>
  <c r="V855" i="3"/>
  <c r="V843" i="3"/>
  <c r="V833" i="3"/>
  <c r="V825" i="3"/>
  <c r="V823" i="3"/>
  <c r="V814" i="3"/>
  <c r="V813" i="3"/>
  <c r="V812" i="3"/>
  <c r="V811" i="3"/>
  <c r="V806" i="3"/>
  <c r="V805" i="3"/>
  <c r="V860" i="3"/>
  <c r="V846" i="3"/>
  <c r="V834" i="3"/>
  <c r="V826" i="3"/>
  <c r="V845" i="3"/>
  <c r="V831" i="3"/>
  <c r="V832" i="3"/>
  <c r="V804" i="3"/>
  <c r="V803" i="3"/>
  <c r="V844" i="3"/>
  <c r="V824" i="3"/>
  <c r="V794" i="3"/>
  <c r="V782" i="3"/>
  <c r="V791" i="3"/>
  <c r="V783" i="3"/>
  <c r="V856" i="3"/>
  <c r="V792" i="3"/>
  <c r="V784" i="3"/>
  <c r="V772" i="3"/>
  <c r="V771" i="3"/>
  <c r="V770" i="3"/>
  <c r="V769" i="3"/>
  <c r="V764" i="3"/>
  <c r="V763" i="3"/>
  <c r="V762" i="3"/>
  <c r="V761" i="3"/>
  <c r="V793" i="3"/>
  <c r="V781" i="3"/>
  <c r="V754" i="3"/>
  <c r="V753" i="3"/>
  <c r="V752" i="3"/>
  <c r="V751" i="3"/>
  <c r="V738" i="3"/>
  <c r="V737" i="3"/>
  <c r="V736" i="3"/>
  <c r="V735" i="3"/>
  <c r="V720" i="3"/>
  <c r="V719" i="3"/>
  <c r="V718" i="3"/>
  <c r="V717" i="3"/>
  <c r="V708" i="3"/>
  <c r="V707" i="3"/>
  <c r="V706" i="3"/>
  <c r="V705" i="3"/>
  <c r="V696" i="3"/>
  <c r="V695" i="3"/>
  <c r="V694" i="3"/>
  <c r="V693" i="3"/>
  <c r="V686" i="3"/>
  <c r="V685" i="3"/>
  <c r="V684" i="3"/>
  <c r="V683" i="3"/>
  <c r="V678" i="3"/>
  <c r="V677" i="3"/>
  <c r="V676" i="3"/>
  <c r="V675" i="3"/>
  <c r="V670" i="3"/>
  <c r="V669" i="3"/>
  <c r="V668" i="3"/>
  <c r="V667" i="3"/>
  <c r="V655" i="3"/>
  <c r="V656" i="3"/>
  <c r="V630" i="3"/>
  <c r="V658" i="3"/>
  <c r="V657" i="3"/>
  <c r="V648" i="3"/>
  <c r="V647" i="3"/>
  <c r="V646" i="3"/>
  <c r="V645" i="3"/>
  <c r="V640" i="3"/>
  <c r="V639" i="3"/>
  <c r="V638" i="3"/>
  <c r="V637" i="3"/>
  <c r="V632" i="3"/>
  <c r="V631" i="3"/>
  <c r="R864" i="3"/>
  <c r="R860" i="3"/>
  <c r="R863" i="3"/>
  <c r="R859" i="3"/>
  <c r="R857" i="3"/>
  <c r="R862" i="3"/>
  <c r="R858" i="3"/>
  <c r="R856" i="3"/>
  <c r="R844" i="3"/>
  <c r="R834" i="3"/>
  <c r="R826" i="3"/>
  <c r="R823" i="3"/>
  <c r="R814" i="3"/>
  <c r="R813" i="3"/>
  <c r="R812" i="3"/>
  <c r="R811" i="3"/>
  <c r="R806" i="3"/>
  <c r="R805" i="3"/>
  <c r="R855" i="3"/>
  <c r="R843" i="3"/>
  <c r="R831" i="3"/>
  <c r="R846" i="3"/>
  <c r="R832" i="3"/>
  <c r="R824" i="3"/>
  <c r="R845" i="3"/>
  <c r="R825" i="3"/>
  <c r="R804" i="3"/>
  <c r="R803" i="3"/>
  <c r="R833" i="3"/>
  <c r="R791" i="3"/>
  <c r="R783" i="3"/>
  <c r="R861" i="3"/>
  <c r="R792" i="3"/>
  <c r="R784" i="3"/>
  <c r="R793" i="3"/>
  <c r="R781" i="3"/>
  <c r="R772" i="3"/>
  <c r="R771" i="3"/>
  <c r="R770" i="3"/>
  <c r="R769" i="3"/>
  <c r="R764" i="3"/>
  <c r="R763" i="3"/>
  <c r="R762" i="3"/>
  <c r="R761" i="3"/>
  <c r="R782" i="3"/>
  <c r="R754" i="3"/>
  <c r="R753" i="3"/>
  <c r="R752" i="3"/>
  <c r="R751" i="3"/>
  <c r="R738" i="3"/>
  <c r="R737" i="3"/>
  <c r="R736" i="3"/>
  <c r="R735" i="3"/>
  <c r="R720" i="3"/>
  <c r="R719" i="3"/>
  <c r="R718" i="3"/>
  <c r="R717" i="3"/>
  <c r="R708" i="3"/>
  <c r="R707" i="3"/>
  <c r="R706" i="3"/>
  <c r="R705" i="3"/>
  <c r="R696" i="3"/>
  <c r="R695" i="3"/>
  <c r="R694" i="3"/>
  <c r="R693" i="3"/>
  <c r="R686" i="3"/>
  <c r="R685" i="3"/>
  <c r="R684" i="3"/>
  <c r="R683" i="3"/>
  <c r="R678" i="3"/>
  <c r="R677" i="3"/>
  <c r="R676" i="3"/>
  <c r="R675" i="3"/>
  <c r="R674" i="3"/>
  <c r="R673" i="3"/>
  <c r="R670" i="3"/>
  <c r="R669" i="3"/>
  <c r="R668" i="3"/>
  <c r="R656" i="3"/>
  <c r="R631" i="3"/>
  <c r="R630" i="3"/>
  <c r="R794" i="3"/>
  <c r="R667" i="3"/>
  <c r="R657" i="3"/>
  <c r="R632" i="3"/>
  <c r="R655" i="3"/>
  <c r="R658" i="3"/>
  <c r="R648" i="3"/>
  <c r="R647" i="3"/>
  <c r="R646" i="3"/>
  <c r="R645" i="3"/>
  <c r="R640" i="3"/>
  <c r="R639" i="3"/>
  <c r="R638" i="3"/>
  <c r="R637" i="3"/>
  <c r="Q59" i="3"/>
  <c r="Q563" i="3"/>
  <c r="Q565" i="3"/>
  <c r="Q553" i="3"/>
  <c r="Q545" i="3"/>
  <c r="Q525" i="3"/>
  <c r="Q513" i="3"/>
  <c r="Q501" i="3"/>
  <c r="Q489" i="3"/>
  <c r="Q481" i="3"/>
  <c r="Q437" i="3"/>
  <c r="Q580" i="3"/>
  <c r="Q576" i="3"/>
  <c r="Q564" i="3"/>
  <c r="Q552" i="3"/>
  <c r="Q524" i="3"/>
  <c r="Q512" i="3"/>
  <c r="Q504" i="3"/>
  <c r="Q492" i="3"/>
  <c r="Q484" i="3"/>
  <c r="Q575" i="3"/>
  <c r="Q579" i="3"/>
  <c r="Q473" i="3"/>
  <c r="Q457" i="3"/>
  <c r="Q425" i="3"/>
  <c r="Q413" i="3"/>
  <c r="Q405" i="3"/>
  <c r="Q397" i="3"/>
  <c r="Q393" i="3"/>
  <c r="Q389" i="3"/>
  <c r="Q377" i="3"/>
  <c r="Q365" i="3"/>
  <c r="Q357" i="3"/>
  <c r="Q472" i="3"/>
  <c r="Q456" i="3"/>
  <c r="Q440" i="3"/>
  <c r="Q416" i="3"/>
  <c r="Q404" i="3"/>
  <c r="Q396" i="3"/>
  <c r="Q388" i="3"/>
  <c r="Q376" i="3"/>
  <c r="Q368" i="3"/>
  <c r="Q360" i="3"/>
  <c r="Q352" i="3"/>
  <c r="Q531" i="3"/>
  <c r="Q577" i="3"/>
  <c r="Q533" i="3"/>
  <c r="Q584" i="3"/>
  <c r="Q532" i="3"/>
  <c r="Q427" i="3"/>
  <c r="Q428" i="3"/>
  <c r="Q511" i="3"/>
  <c r="Q503" i="3"/>
  <c r="Q491" i="3"/>
  <c r="Q483" i="3"/>
  <c r="Q581" i="3"/>
  <c r="Q551" i="3"/>
  <c r="Q523" i="3"/>
  <c r="Q578" i="3"/>
  <c r="Q546" i="3"/>
  <c r="Q534" i="3"/>
  <c r="Q544" i="3"/>
  <c r="Q543" i="3"/>
  <c r="Q415" i="3"/>
  <c r="Q403" i="3"/>
  <c r="Q395" i="3"/>
  <c r="Q387" i="3"/>
  <c r="Q375" i="3"/>
  <c r="Q367" i="3"/>
  <c r="Q359" i="3"/>
  <c r="Q351" i="3"/>
  <c r="Q474" i="3"/>
  <c r="Q458" i="3"/>
  <c r="Q438" i="3"/>
  <c r="Q583" i="3"/>
  <c r="Q471" i="3"/>
  <c r="Q455" i="3"/>
  <c r="Q439" i="3"/>
  <c r="Q566" i="3"/>
  <c r="Q554" i="3"/>
  <c r="Q526" i="3"/>
  <c r="Q514" i="3"/>
  <c r="Q502" i="3"/>
  <c r="Q490" i="3"/>
  <c r="Q482" i="3"/>
  <c r="Q582" i="3"/>
  <c r="Q426" i="3"/>
  <c r="Q414" i="3"/>
  <c r="Q406" i="3"/>
  <c r="Q398" i="3"/>
  <c r="Q394" i="3"/>
  <c r="Q390" i="3"/>
  <c r="Q378" i="3"/>
  <c r="Q366" i="3"/>
  <c r="Q358" i="3"/>
  <c r="Q350" i="3"/>
  <c r="U59" i="3"/>
  <c r="U577" i="3"/>
  <c r="U545" i="3"/>
  <c r="U533" i="3"/>
  <c r="U584" i="3"/>
  <c r="U544" i="3"/>
  <c r="U437" i="3"/>
  <c r="U425" i="3"/>
  <c r="U413" i="3"/>
  <c r="U405" i="3"/>
  <c r="U397" i="3"/>
  <c r="U389" i="3"/>
  <c r="U377" i="3"/>
  <c r="U365" i="3"/>
  <c r="U357" i="3"/>
  <c r="U532" i="3"/>
  <c r="U472" i="3"/>
  <c r="U456" i="3"/>
  <c r="U440" i="3"/>
  <c r="U428" i="3"/>
  <c r="U543" i="3"/>
  <c r="U583" i="3"/>
  <c r="U511" i="3"/>
  <c r="U503" i="3"/>
  <c r="U491" i="3"/>
  <c r="U483" i="3"/>
  <c r="U427" i="3"/>
  <c r="U566" i="3"/>
  <c r="U554" i="3"/>
  <c r="U526" i="3"/>
  <c r="U514" i="3"/>
  <c r="U502" i="3"/>
  <c r="U490" i="3"/>
  <c r="U482" i="3"/>
  <c r="U580" i="3"/>
  <c r="U551" i="3"/>
  <c r="U531" i="3"/>
  <c r="U523" i="3"/>
  <c r="U581" i="3"/>
  <c r="U473" i="3"/>
  <c r="U457" i="3"/>
  <c r="U416" i="3"/>
  <c r="U404" i="3"/>
  <c r="U396" i="3"/>
  <c r="U388" i="3"/>
  <c r="U376" i="3"/>
  <c r="U368" i="3"/>
  <c r="U360" i="3"/>
  <c r="U352" i="3"/>
  <c r="U471" i="3"/>
  <c r="U455" i="3"/>
  <c r="U439" i="3"/>
  <c r="U546" i="3"/>
  <c r="U426" i="3"/>
  <c r="U414" i="3"/>
  <c r="U406" i="3"/>
  <c r="U398" i="3"/>
  <c r="U390" i="3"/>
  <c r="U378" i="3"/>
  <c r="U366" i="3"/>
  <c r="U358" i="3"/>
  <c r="U350" i="3"/>
  <c r="U579" i="3"/>
  <c r="U563" i="3"/>
  <c r="U565" i="3"/>
  <c r="U553" i="3"/>
  <c r="U525" i="3"/>
  <c r="U513" i="3"/>
  <c r="U501" i="3"/>
  <c r="U489" i="3"/>
  <c r="U481" i="3"/>
  <c r="U576" i="3"/>
  <c r="U564" i="3"/>
  <c r="U552" i="3"/>
  <c r="U524" i="3"/>
  <c r="U512" i="3"/>
  <c r="U504" i="3"/>
  <c r="U484" i="3"/>
  <c r="U582" i="3"/>
  <c r="U415" i="3"/>
  <c r="U492" i="3"/>
  <c r="U403" i="3"/>
  <c r="U395" i="3"/>
  <c r="U387" i="3"/>
  <c r="U375" i="3"/>
  <c r="U367" i="3"/>
  <c r="U359" i="3"/>
  <c r="U351" i="3"/>
  <c r="U534" i="3"/>
  <c r="U474" i="3"/>
  <c r="U458" i="3"/>
  <c r="U438" i="3"/>
  <c r="U575" i="3"/>
  <c r="U578" i="3"/>
  <c r="Y59" i="3"/>
  <c r="Y437" i="3"/>
  <c r="Y544" i="3"/>
  <c r="Y428" i="3"/>
  <c r="Y583" i="3"/>
  <c r="Y563" i="3"/>
  <c r="Y565" i="3"/>
  <c r="Y553" i="3"/>
  <c r="Y545" i="3"/>
  <c r="Y525" i="3"/>
  <c r="Y513" i="3"/>
  <c r="Y501" i="3"/>
  <c r="Y489" i="3"/>
  <c r="Y481" i="3"/>
  <c r="Y584" i="3"/>
  <c r="Y576" i="3"/>
  <c r="Y564" i="3"/>
  <c r="Y552" i="3"/>
  <c r="Y532" i="3"/>
  <c r="Y524" i="3"/>
  <c r="Y512" i="3"/>
  <c r="Y504" i="3"/>
  <c r="Y492" i="3"/>
  <c r="Y484" i="3"/>
  <c r="Y575" i="3"/>
  <c r="Y523" i="3"/>
  <c r="Y473" i="3"/>
  <c r="Y457" i="3"/>
  <c r="Y416" i="3"/>
  <c r="Y404" i="3"/>
  <c r="Y396" i="3"/>
  <c r="Y388" i="3"/>
  <c r="Y376" i="3"/>
  <c r="Y368" i="3"/>
  <c r="Y360" i="3"/>
  <c r="Y352" i="3"/>
  <c r="Y546" i="3"/>
  <c r="Y534" i="3"/>
  <c r="Y533" i="3"/>
  <c r="Y580" i="3"/>
  <c r="Y551" i="3"/>
  <c r="Y543" i="3"/>
  <c r="Y579" i="3"/>
  <c r="Y425" i="3"/>
  <c r="Y413" i="3"/>
  <c r="Y405" i="3"/>
  <c r="Y397" i="3"/>
  <c r="Y389" i="3"/>
  <c r="Y377" i="3"/>
  <c r="Y365" i="3"/>
  <c r="Y357" i="3"/>
  <c r="Y472" i="3"/>
  <c r="Y456" i="3"/>
  <c r="Y440" i="3"/>
  <c r="Y531" i="3"/>
  <c r="Y471" i="3"/>
  <c r="Y455" i="3"/>
  <c r="Y439" i="3"/>
  <c r="Y415" i="3"/>
  <c r="Y403" i="3"/>
  <c r="Y395" i="3"/>
  <c r="Y387" i="3"/>
  <c r="Y375" i="3"/>
  <c r="Y367" i="3"/>
  <c r="Y359" i="3"/>
  <c r="Y351" i="3"/>
  <c r="Y474" i="3"/>
  <c r="Y458" i="3"/>
  <c r="Y438" i="3"/>
  <c r="Y426" i="3"/>
  <c r="Y414" i="3"/>
  <c r="Y406" i="3"/>
  <c r="Y398" i="3"/>
  <c r="Y390" i="3"/>
  <c r="Y378" i="3"/>
  <c r="Y366" i="3"/>
  <c r="Y358" i="3"/>
  <c r="Y581" i="3"/>
  <c r="Y577" i="3"/>
  <c r="Y511" i="3"/>
  <c r="Y503" i="3"/>
  <c r="Y578" i="3"/>
  <c r="Y566" i="3"/>
  <c r="Y554" i="3"/>
  <c r="Y526" i="3"/>
  <c r="Y514" i="3"/>
  <c r="Y502" i="3"/>
  <c r="Y490" i="3"/>
  <c r="Y482" i="3"/>
  <c r="Y582" i="3"/>
  <c r="Y491" i="3"/>
  <c r="Y483" i="3"/>
  <c r="Y427" i="3"/>
  <c r="AC59" i="3"/>
  <c r="AC473" i="3"/>
  <c r="AC457" i="3"/>
  <c r="AC428" i="3"/>
  <c r="AC416" i="3"/>
  <c r="AC404" i="3"/>
  <c r="AC396" i="3"/>
  <c r="AC388" i="3"/>
  <c r="AC376" i="3"/>
  <c r="AC368" i="3"/>
  <c r="AC360" i="3"/>
  <c r="AC352" i="3"/>
  <c r="AC577" i="3"/>
  <c r="AC545" i="3"/>
  <c r="AC533" i="3"/>
  <c r="AC437" i="3"/>
  <c r="AC583" i="3"/>
  <c r="AC425" i="3"/>
  <c r="AC413" i="3"/>
  <c r="AC405" i="3"/>
  <c r="AC397" i="3"/>
  <c r="AC389" i="3"/>
  <c r="AC377" i="3"/>
  <c r="AC365" i="3"/>
  <c r="AC357" i="3"/>
  <c r="AC532" i="3"/>
  <c r="AC472" i="3"/>
  <c r="AC456" i="3"/>
  <c r="AC440" i="3"/>
  <c r="AC523" i="3"/>
  <c r="AC579" i="3"/>
  <c r="AC551" i="3"/>
  <c r="AC471" i="3"/>
  <c r="AC455" i="3"/>
  <c r="AC439" i="3"/>
  <c r="AC563" i="3"/>
  <c r="AC565" i="3"/>
  <c r="AC553" i="3"/>
  <c r="AC525" i="3"/>
  <c r="AC513" i="3"/>
  <c r="AC501" i="3"/>
  <c r="AC489" i="3"/>
  <c r="AC481" i="3"/>
  <c r="AC576" i="3"/>
  <c r="AC564" i="3"/>
  <c r="AC552" i="3"/>
  <c r="AC544" i="3"/>
  <c r="AC524" i="3"/>
  <c r="AC512" i="3"/>
  <c r="AC504" i="3"/>
  <c r="AC492" i="3"/>
  <c r="AC484" i="3"/>
  <c r="AC575" i="3"/>
  <c r="AC531" i="3"/>
  <c r="AC511" i="3"/>
  <c r="AC503" i="3"/>
  <c r="AC491" i="3"/>
  <c r="AC483" i="3"/>
  <c r="AC415" i="3"/>
  <c r="AC403" i="3"/>
  <c r="AC395" i="3"/>
  <c r="AC387" i="3"/>
  <c r="AC375" i="3"/>
  <c r="AC367" i="3"/>
  <c r="AC359" i="3"/>
  <c r="AC351" i="3"/>
  <c r="AC566" i="3"/>
  <c r="AC554" i="3"/>
  <c r="AC546" i="3"/>
  <c r="AC526" i="3"/>
  <c r="AC514" i="3"/>
  <c r="AC502" i="3"/>
  <c r="AC490" i="3"/>
  <c r="AC482" i="3"/>
  <c r="AC474" i="3"/>
  <c r="AC458" i="3"/>
  <c r="AC438" i="3"/>
  <c r="AC534" i="3"/>
  <c r="AC543" i="3"/>
  <c r="AC578" i="3"/>
  <c r="AC582" i="3"/>
  <c r="AC406" i="3"/>
  <c r="AC390" i="3"/>
  <c r="AC358" i="3"/>
  <c r="AC398" i="3"/>
  <c r="AC366" i="3"/>
  <c r="AC427" i="3"/>
  <c r="AC426" i="3"/>
  <c r="AC414" i="3"/>
  <c r="AC378" i="3"/>
  <c r="AG59" i="3"/>
  <c r="AG352" i="3"/>
  <c r="AG351" i="3"/>
  <c r="AK59" i="3"/>
  <c r="AO59" i="3"/>
  <c r="AS59" i="3"/>
  <c r="AW59" i="3"/>
  <c r="AB1929" i="3"/>
  <c r="AB1833" i="3"/>
  <c r="AB1928" i="3"/>
  <c r="AB1920" i="3"/>
  <c r="AB1900" i="3"/>
  <c r="AB1896" i="3"/>
  <c r="AB1880" i="3"/>
  <c r="AB1836" i="3"/>
  <c r="AB2015" i="3"/>
  <c r="AB2007" i="3"/>
  <c r="AB1999" i="3"/>
  <c r="AB1991" i="3"/>
  <c r="AB1987" i="3"/>
  <c r="AB2017" i="3"/>
  <c r="AB2013" i="3"/>
  <c r="AB2009" i="3"/>
  <c r="AB1989" i="3"/>
  <c r="AB1985" i="3"/>
  <c r="AB1973" i="3"/>
  <c r="AB1961" i="3"/>
  <c r="AB1957" i="3"/>
  <c r="AB1897" i="3"/>
  <c r="AB2016" i="3"/>
  <c r="AB2012" i="3"/>
  <c r="AB2008" i="3"/>
  <c r="AB2000" i="3"/>
  <c r="AB1992" i="3"/>
  <c r="AB1968" i="3"/>
  <c r="AB1876" i="3"/>
  <c r="AB1868" i="3"/>
  <c r="AB1864" i="3"/>
  <c r="AB1860" i="3"/>
  <c r="AB1852" i="3"/>
  <c r="AB1848" i="3"/>
  <c r="AB1844" i="3"/>
  <c r="AB1824" i="3"/>
  <c r="AB1820" i="3"/>
  <c r="AB1812" i="3"/>
  <c r="AB1808" i="3"/>
  <c r="AB1800" i="3"/>
  <c r="AB1792" i="3"/>
  <c r="AB1784" i="3"/>
  <c r="AB1780" i="3"/>
  <c r="AB1772" i="3"/>
  <c r="AB1764" i="3"/>
  <c r="AB1756" i="3"/>
  <c r="AB1748" i="3"/>
  <c r="AB2011" i="3"/>
  <c r="AB2003" i="3"/>
  <c r="AB1959" i="3"/>
  <c r="AB1971" i="3"/>
  <c r="AB1955" i="3"/>
  <c r="AB2001" i="3"/>
  <c r="AB1997" i="3"/>
  <c r="AB1981" i="3"/>
  <c r="AB1969" i="3"/>
  <c r="AB1949" i="3"/>
  <c r="AB1941" i="3"/>
  <c r="AB1937" i="3"/>
  <c r="AB1988" i="3"/>
  <c r="AB1984" i="3"/>
  <c r="AB1972" i="3"/>
  <c r="AB1960" i="3"/>
  <c r="AB1956" i="3"/>
  <c r="AB1948" i="3"/>
  <c r="AB1940" i="3"/>
  <c r="AB1936" i="3"/>
  <c r="AB1967" i="3"/>
  <c r="AB1947" i="3"/>
  <c r="AB1939" i="3"/>
  <c r="AB1915" i="3"/>
  <c r="AB1899" i="3"/>
  <c r="AB1895" i="3"/>
  <c r="AB1879" i="3"/>
  <c r="AB1875" i="3"/>
  <c r="AB1835" i="3"/>
  <c r="AB1906" i="3"/>
  <c r="AB1886" i="3"/>
  <c r="AB1829" i="3"/>
  <c r="AB1821" i="3"/>
  <c r="AB1817" i="3"/>
  <c r="AB1809" i="3"/>
  <c r="AB1801" i="3"/>
  <c r="AB1793" i="3"/>
  <c r="AB1785" i="3"/>
  <c r="AB1781" i="3"/>
  <c r="AB1773" i="3"/>
  <c r="AB1769" i="3"/>
  <c r="AB1761" i="3"/>
  <c r="AB1753" i="3"/>
  <c r="AB1749" i="3"/>
  <c r="AB1832" i="3"/>
  <c r="AB1907" i="3"/>
  <c r="AB1887" i="3"/>
  <c r="AB1831" i="3"/>
  <c r="AB1917" i="3"/>
  <c r="AB1869" i="3"/>
  <c r="AB1865" i="3"/>
  <c r="AB1861" i="3"/>
  <c r="AB1853" i="3"/>
  <c r="AB1849" i="3"/>
  <c r="AB1845" i="3"/>
  <c r="AB1841" i="3"/>
  <c r="AB1927" i="3"/>
  <c r="AB1919" i="3"/>
  <c r="AB1867" i="3"/>
  <c r="AB1859" i="3"/>
  <c r="AB1851" i="3"/>
  <c r="AB1843" i="3"/>
  <c r="AB2006" i="3"/>
  <c r="AB1974" i="3"/>
  <c r="AB1962" i="3"/>
  <c r="AB1958" i="3"/>
  <c r="AB1950" i="3"/>
  <c r="AB1942" i="3"/>
  <c r="AB1938" i="3"/>
  <c r="AB1834" i="3"/>
  <c r="AB1830" i="3"/>
  <c r="AB1921" i="3"/>
  <c r="AB1909" i="3"/>
  <c r="AB1905" i="3"/>
  <c r="AB1893" i="3"/>
  <c r="AB1885" i="3"/>
  <c r="AB1877" i="3"/>
  <c r="AB1916" i="3"/>
  <c r="AB1908" i="3"/>
  <c r="AB1863" i="3"/>
  <c r="AB1847" i="3"/>
  <c r="AB1870" i="3"/>
  <c r="AB1866" i="3"/>
  <c r="AB1862" i="3"/>
  <c r="AB1854" i="3"/>
  <c r="AB1850" i="3"/>
  <c r="AB1846" i="3"/>
  <c r="AB1842" i="3"/>
  <c r="AB1819" i="3"/>
  <c r="AB1811" i="3"/>
  <c r="AB1930" i="3"/>
  <c r="AB1922" i="3"/>
  <c r="AB1918" i="3"/>
  <c r="AB1910" i="3"/>
  <c r="AB1898" i="3"/>
  <c r="AB1894" i="3"/>
  <c r="AB1878" i="3"/>
  <c r="AB1935" i="3"/>
  <c r="AB1807" i="3"/>
  <c r="AB1799" i="3"/>
  <c r="AB1791" i="3"/>
  <c r="AB1783" i="3"/>
  <c r="AB1779" i="3"/>
  <c r="AB1771" i="3"/>
  <c r="AB1763" i="3"/>
  <c r="AB1755" i="3"/>
  <c r="AB1747" i="3"/>
  <c r="AB2014" i="3"/>
  <c r="AB2010" i="3"/>
  <c r="AB2002" i="3"/>
  <c r="AB1998" i="3"/>
  <c r="AB1990" i="3"/>
  <c r="AB1986" i="3"/>
  <c r="AB1970" i="3"/>
  <c r="AB1822" i="3"/>
  <c r="AB1818" i="3"/>
  <c r="AB1810" i="3"/>
  <c r="AB1802" i="3"/>
  <c r="AB1794" i="3"/>
  <c r="AB1786" i="3"/>
  <c r="AB1782" i="3"/>
  <c r="AB1774" i="3"/>
  <c r="AB1770" i="3"/>
  <c r="AB1762" i="3"/>
  <c r="AB1754" i="3"/>
  <c r="AB1750" i="3"/>
  <c r="AB1746" i="3"/>
  <c r="AB1888" i="3"/>
  <c r="AB1823" i="3"/>
  <c r="AJ59" i="3"/>
  <c r="R2015" i="3"/>
  <c r="R2007" i="3"/>
  <c r="R1999" i="3"/>
  <c r="R1991" i="3"/>
  <c r="R1987" i="3"/>
  <c r="R2017" i="3"/>
  <c r="R2013" i="3"/>
  <c r="R2009" i="3"/>
  <c r="R1989" i="3"/>
  <c r="R1985" i="3"/>
  <c r="R1973" i="3"/>
  <c r="R1921" i="3"/>
  <c r="R1909" i="3"/>
  <c r="R1905" i="3"/>
  <c r="R1897" i="3"/>
  <c r="R1893" i="3"/>
  <c r="R1877" i="3"/>
  <c r="R1869" i="3"/>
  <c r="R1861" i="3"/>
  <c r="R1853" i="3"/>
  <c r="R1845" i="3"/>
  <c r="R2016" i="3"/>
  <c r="R2012" i="3"/>
  <c r="R2008" i="3"/>
  <c r="R2000" i="3"/>
  <c r="R1992" i="3"/>
  <c r="R1900" i="3"/>
  <c r="R1888" i="3"/>
  <c r="R1876" i="3"/>
  <c r="R1868" i="3"/>
  <c r="R1864" i="3"/>
  <c r="R1860" i="3"/>
  <c r="R1852" i="3"/>
  <c r="R1848" i="3"/>
  <c r="R1844" i="3"/>
  <c r="R2011" i="3"/>
  <c r="R1959" i="3"/>
  <c r="R1949" i="3"/>
  <c r="R1972" i="3"/>
  <c r="R1940" i="3"/>
  <c r="R1936" i="3"/>
  <c r="R1916" i="3"/>
  <c r="R1939" i="3"/>
  <c r="R1935" i="3"/>
  <c r="R1929" i="3"/>
  <c r="R1928" i="3"/>
  <c r="R1920" i="3"/>
  <c r="R1915" i="3"/>
  <c r="R1835" i="3"/>
  <c r="R1823" i="3"/>
  <c r="R1819" i="3"/>
  <c r="R1811" i="3"/>
  <c r="R1807" i="3"/>
  <c r="R1799" i="3"/>
  <c r="R1791" i="3"/>
  <c r="R1783" i="3"/>
  <c r="R1779" i="3"/>
  <c r="R1771" i="3"/>
  <c r="R1763" i="3"/>
  <c r="R1755" i="3"/>
  <c r="R1747" i="3"/>
  <c r="R2006" i="3"/>
  <c r="R1986" i="3"/>
  <c r="R1974" i="3"/>
  <c r="R1962" i="3"/>
  <c r="R1958" i="3"/>
  <c r="R1950" i="3"/>
  <c r="R1830" i="3"/>
  <c r="R1971" i="3"/>
  <c r="R1955" i="3"/>
  <c r="R2001" i="3"/>
  <c r="R1997" i="3"/>
  <c r="R1969" i="3"/>
  <c r="R1961" i="3"/>
  <c r="R1957" i="3"/>
  <c r="R1941" i="3"/>
  <c r="R1937" i="3"/>
  <c r="R1865" i="3"/>
  <c r="R1849" i="3"/>
  <c r="R1841" i="3"/>
  <c r="R1833" i="3"/>
  <c r="R1829" i="3"/>
  <c r="R1821" i="3"/>
  <c r="R1817" i="3"/>
  <c r="R1809" i="3"/>
  <c r="R1801" i="3"/>
  <c r="R1785" i="3"/>
  <c r="R1781" i="3"/>
  <c r="R1773" i="3"/>
  <c r="R1769" i="3"/>
  <c r="R1761" i="3"/>
  <c r="R1753" i="3"/>
  <c r="R1749" i="3"/>
  <c r="R1988" i="3"/>
  <c r="R1968" i="3"/>
  <c r="R1960" i="3"/>
  <c r="R1956" i="3"/>
  <c r="R1948" i="3"/>
  <c r="R1836" i="3"/>
  <c r="R1832" i="3"/>
  <c r="R1824" i="3"/>
  <c r="R1820" i="3"/>
  <c r="R1812" i="3"/>
  <c r="R1808" i="3"/>
  <c r="R1800" i="3"/>
  <c r="R1792" i="3"/>
  <c r="R1784" i="3"/>
  <c r="R1780" i="3"/>
  <c r="R1772" i="3"/>
  <c r="R1764" i="3"/>
  <c r="R1756" i="3"/>
  <c r="R1748" i="3"/>
  <c r="R2003" i="3"/>
  <c r="R1967" i="3"/>
  <c r="R1927" i="3"/>
  <c r="R1919" i="3"/>
  <c r="R1907" i="3"/>
  <c r="R1895" i="3"/>
  <c r="R1879" i="3"/>
  <c r="R1867" i="3"/>
  <c r="R1863" i="3"/>
  <c r="R1859" i="3"/>
  <c r="R1851" i="3"/>
  <c r="R1847" i="3"/>
  <c r="R1843" i="3"/>
  <c r="R1831" i="3"/>
  <c r="R1885" i="3"/>
  <c r="R1908" i="3"/>
  <c r="R1896" i="3"/>
  <c r="R1880" i="3"/>
  <c r="R1899" i="3"/>
  <c r="R1887" i="3"/>
  <c r="R1875" i="3"/>
  <c r="R1930" i="3"/>
  <c r="R1922" i="3"/>
  <c r="R1918" i="3"/>
  <c r="R1910" i="3"/>
  <c r="R1906" i="3"/>
  <c r="R1894" i="3"/>
  <c r="R1878" i="3"/>
  <c r="R1917" i="3"/>
  <c r="R1947" i="3"/>
  <c r="R1942" i="3"/>
  <c r="R1938" i="3"/>
  <c r="R1822" i="3"/>
  <c r="R1818" i="3"/>
  <c r="R1810" i="3"/>
  <c r="R1802" i="3"/>
  <c r="R1786" i="3"/>
  <c r="R1782" i="3"/>
  <c r="R1774" i="3"/>
  <c r="R1770" i="3"/>
  <c r="R1762" i="3"/>
  <c r="R1754" i="3"/>
  <c r="R1746" i="3"/>
  <c r="R2010" i="3"/>
  <c r="R1990" i="3"/>
  <c r="R1898" i="3"/>
  <c r="R1866" i="3"/>
  <c r="R1850" i="3"/>
  <c r="R1834" i="3"/>
  <c r="R1870" i="3"/>
  <c r="R1846" i="3"/>
  <c r="R2014" i="3"/>
  <c r="R1886" i="3"/>
  <c r="R1862" i="3"/>
  <c r="R2002" i="3"/>
  <c r="R1970" i="3"/>
  <c r="R1998" i="3"/>
  <c r="R1854" i="3"/>
  <c r="R1842" i="3"/>
  <c r="V1929" i="3"/>
  <c r="V1917" i="3"/>
  <c r="V1885" i="3"/>
  <c r="V1928" i="3"/>
  <c r="V1920" i="3"/>
  <c r="V1908" i="3"/>
  <c r="V1896" i="3"/>
  <c r="V1880" i="3"/>
  <c r="V1971" i="3"/>
  <c r="V1955" i="3"/>
  <c r="V2001" i="3"/>
  <c r="V1997" i="3"/>
  <c r="V1969" i="3"/>
  <c r="V1961" i="3"/>
  <c r="V1957" i="3"/>
  <c r="V1941" i="3"/>
  <c r="V1937" i="3"/>
  <c r="V1865" i="3"/>
  <c r="V1849" i="3"/>
  <c r="V1841" i="3"/>
  <c r="V1833" i="3"/>
  <c r="V1829" i="3"/>
  <c r="V1821" i="3"/>
  <c r="V1817" i="3"/>
  <c r="V1809" i="3"/>
  <c r="V1801" i="3"/>
  <c r="V1793" i="3"/>
  <c r="V1785" i="3"/>
  <c r="V1781" i="3"/>
  <c r="V1773" i="3"/>
  <c r="V1769" i="3"/>
  <c r="V1761" i="3"/>
  <c r="V1753" i="3"/>
  <c r="V1749" i="3"/>
  <c r="V1988" i="3"/>
  <c r="V1968" i="3"/>
  <c r="V1960" i="3"/>
  <c r="V1956" i="3"/>
  <c r="V1948" i="3"/>
  <c r="V1836" i="3"/>
  <c r="V1832" i="3"/>
  <c r="V1824" i="3"/>
  <c r="V1820" i="3"/>
  <c r="V1812" i="3"/>
  <c r="V1808" i="3"/>
  <c r="V1800" i="3"/>
  <c r="V1792" i="3"/>
  <c r="V1784" i="3"/>
  <c r="V1780" i="3"/>
  <c r="V1772" i="3"/>
  <c r="V1764" i="3"/>
  <c r="V1756" i="3"/>
  <c r="V1748" i="3"/>
  <c r="V2003" i="3"/>
  <c r="V1967" i="3"/>
  <c r="V1949" i="3"/>
  <c r="V1972" i="3"/>
  <c r="V1940" i="3"/>
  <c r="V1936" i="3"/>
  <c r="V1927" i="3"/>
  <c r="V1919" i="3"/>
  <c r="V1907" i="3"/>
  <c r="V1895" i="3"/>
  <c r="V1879" i="3"/>
  <c r="V1867" i="3"/>
  <c r="V1863" i="3"/>
  <c r="V1859" i="3"/>
  <c r="V1851" i="3"/>
  <c r="V1847" i="3"/>
  <c r="V1843" i="3"/>
  <c r="V1831" i="3"/>
  <c r="V2014" i="3"/>
  <c r="V2010" i="3"/>
  <c r="V2002" i="3"/>
  <c r="V1998" i="3"/>
  <c r="V1990" i="3"/>
  <c r="V1970" i="3"/>
  <c r="V1898" i="3"/>
  <c r="V1886" i="3"/>
  <c r="V1870" i="3"/>
  <c r="V1866" i="3"/>
  <c r="V1862" i="3"/>
  <c r="V1854" i="3"/>
  <c r="V1850" i="3"/>
  <c r="V1846" i="3"/>
  <c r="V1842" i="3"/>
  <c r="V1834" i="3"/>
  <c r="V2015" i="3"/>
  <c r="V2007" i="3"/>
  <c r="V1999" i="3"/>
  <c r="V1991" i="3"/>
  <c r="V1987" i="3"/>
  <c r="V2017" i="3"/>
  <c r="V2013" i="3"/>
  <c r="V2009" i="3"/>
  <c r="V1989" i="3"/>
  <c r="V1985" i="3"/>
  <c r="V1973" i="3"/>
  <c r="V1909" i="3"/>
  <c r="V1905" i="3"/>
  <c r="V1897" i="3"/>
  <c r="V1893" i="3"/>
  <c r="V1877" i="3"/>
  <c r="V1869" i="3"/>
  <c r="V1861" i="3"/>
  <c r="V1853" i="3"/>
  <c r="V1845" i="3"/>
  <c r="V2016" i="3"/>
  <c r="V2012" i="3"/>
  <c r="V2008" i="3"/>
  <c r="V2000" i="3"/>
  <c r="V1992" i="3"/>
  <c r="V1900" i="3"/>
  <c r="V1888" i="3"/>
  <c r="V1876" i="3"/>
  <c r="V1868" i="3"/>
  <c r="V1864" i="3"/>
  <c r="V1860" i="3"/>
  <c r="V1852" i="3"/>
  <c r="V1848" i="3"/>
  <c r="V1844" i="3"/>
  <c r="V2011" i="3"/>
  <c r="V1959" i="3"/>
  <c r="V1935" i="3"/>
  <c r="V1915" i="3"/>
  <c r="V1899" i="3"/>
  <c r="V1887" i="3"/>
  <c r="V1875" i="3"/>
  <c r="V1947" i="3"/>
  <c r="V1942" i="3"/>
  <c r="V1938" i="3"/>
  <c r="V1822" i="3"/>
  <c r="V1818" i="3"/>
  <c r="V1810" i="3"/>
  <c r="V1802" i="3"/>
  <c r="V1794" i="3"/>
  <c r="V1786" i="3"/>
  <c r="V1782" i="3"/>
  <c r="V1774" i="3"/>
  <c r="V1770" i="3"/>
  <c r="V1762" i="3"/>
  <c r="V1754" i="3"/>
  <c r="V1746" i="3"/>
  <c r="V1921" i="3"/>
  <c r="V1916" i="3"/>
  <c r="V1835" i="3"/>
  <c r="V1819" i="3"/>
  <c r="V1930" i="3"/>
  <c r="V1922" i="3"/>
  <c r="V1918" i="3"/>
  <c r="V1811" i="3"/>
  <c r="V1807" i="3"/>
  <c r="V1799" i="3"/>
  <c r="V1791" i="3"/>
  <c r="V1783" i="3"/>
  <c r="V1779" i="3"/>
  <c r="V1771" i="3"/>
  <c r="V1763" i="3"/>
  <c r="V1755" i="3"/>
  <c r="V1747" i="3"/>
  <c r="V2006" i="3"/>
  <c r="V1986" i="3"/>
  <c r="V1974" i="3"/>
  <c r="V1962" i="3"/>
  <c r="V1958" i="3"/>
  <c r="V1950" i="3"/>
  <c r="V1830" i="3"/>
  <c r="V1939" i="3"/>
  <c r="V1823" i="3"/>
  <c r="V1910" i="3"/>
  <c r="V1878" i="3"/>
  <c r="V1906" i="3"/>
  <c r="V1894" i="3"/>
  <c r="Z1949" i="3"/>
  <c r="Z1972" i="3"/>
  <c r="Z1940" i="3"/>
  <c r="Z1936" i="3"/>
  <c r="Z2015" i="3"/>
  <c r="Z2007" i="3"/>
  <c r="Z1999" i="3"/>
  <c r="Z1991" i="3"/>
  <c r="Z1987" i="3"/>
  <c r="Z2017" i="3"/>
  <c r="Z2013" i="3"/>
  <c r="Z2009" i="3"/>
  <c r="Z1989" i="3"/>
  <c r="Z1985" i="3"/>
  <c r="Z1973" i="3"/>
  <c r="Z1921" i="3"/>
  <c r="Z1917" i="3"/>
  <c r="Z1909" i="3"/>
  <c r="Z1905" i="3"/>
  <c r="Z1897" i="3"/>
  <c r="Z1893" i="3"/>
  <c r="Z1877" i="3"/>
  <c r="Z1869" i="3"/>
  <c r="Z1861" i="3"/>
  <c r="Z1853" i="3"/>
  <c r="Z1845" i="3"/>
  <c r="Z2016" i="3"/>
  <c r="Z2012" i="3"/>
  <c r="Z2008" i="3"/>
  <c r="Z2000" i="3"/>
  <c r="Z1992" i="3"/>
  <c r="Z1900" i="3"/>
  <c r="Z1888" i="3"/>
  <c r="Z1876" i="3"/>
  <c r="Z1868" i="3"/>
  <c r="Z1864" i="3"/>
  <c r="Z1860" i="3"/>
  <c r="Z1852" i="3"/>
  <c r="Z1848" i="3"/>
  <c r="Z1844" i="3"/>
  <c r="Z2011" i="3"/>
  <c r="Z1959" i="3"/>
  <c r="Z1971" i="3"/>
  <c r="Z1955" i="3"/>
  <c r="Z2001" i="3"/>
  <c r="Z1997" i="3"/>
  <c r="Z1981" i="3"/>
  <c r="Z1969" i="3"/>
  <c r="Z1961" i="3"/>
  <c r="Z1957" i="3"/>
  <c r="Z1941" i="3"/>
  <c r="Z1937" i="3"/>
  <c r="Z1865" i="3"/>
  <c r="Z1849" i="3"/>
  <c r="Z1841" i="3"/>
  <c r="Z1833" i="3"/>
  <c r="Z1829" i="3"/>
  <c r="Z1821" i="3"/>
  <c r="Z1817" i="3"/>
  <c r="Z1809" i="3"/>
  <c r="Z1801" i="3"/>
  <c r="Z1793" i="3"/>
  <c r="Z1785" i="3"/>
  <c r="Z1781" i="3"/>
  <c r="Z1773" i="3"/>
  <c r="Z1769" i="3"/>
  <c r="Z1761" i="3"/>
  <c r="Z1753" i="3"/>
  <c r="Z1749" i="3"/>
  <c r="Z1988" i="3"/>
  <c r="Z1968" i="3"/>
  <c r="Z1960" i="3"/>
  <c r="Z1956" i="3"/>
  <c r="Z1948" i="3"/>
  <c r="Z1836" i="3"/>
  <c r="Z1832" i="3"/>
  <c r="Z1824" i="3"/>
  <c r="Z1820" i="3"/>
  <c r="Z1812" i="3"/>
  <c r="Z1808" i="3"/>
  <c r="Z1800" i="3"/>
  <c r="Z1792" i="3"/>
  <c r="Z1784" i="3"/>
  <c r="Z1780" i="3"/>
  <c r="Z1772" i="3"/>
  <c r="Z1764" i="3"/>
  <c r="Z1756" i="3"/>
  <c r="Z1748" i="3"/>
  <c r="Z2003" i="3"/>
  <c r="Z1967" i="3"/>
  <c r="Z1935" i="3"/>
  <c r="Z1899" i="3"/>
  <c r="Z1887" i="3"/>
  <c r="Z1875" i="3"/>
  <c r="Z1930" i="3"/>
  <c r="Z1922" i="3"/>
  <c r="Z1918" i="3"/>
  <c r="Z1910" i="3"/>
  <c r="Z1906" i="3"/>
  <c r="Z1894" i="3"/>
  <c r="Z1878" i="3"/>
  <c r="Z1885" i="3"/>
  <c r="Z1908" i="3"/>
  <c r="Z1896" i="3"/>
  <c r="Z1880" i="3"/>
  <c r="Z1947" i="3"/>
  <c r="Z1939" i="3"/>
  <c r="Z1835" i="3"/>
  <c r="Z1823" i="3"/>
  <c r="Z1819" i="3"/>
  <c r="Z1811" i="3"/>
  <c r="Z1807" i="3"/>
  <c r="Z1799" i="3"/>
  <c r="Z1791" i="3"/>
  <c r="Z1783" i="3"/>
  <c r="Z1779" i="3"/>
  <c r="Z1771" i="3"/>
  <c r="Z1763" i="3"/>
  <c r="Z1755" i="3"/>
  <c r="Z1747" i="3"/>
  <c r="Z2006" i="3"/>
  <c r="Z1986" i="3"/>
  <c r="Z1974" i="3"/>
  <c r="Z1962" i="3"/>
  <c r="Z1958" i="3"/>
  <c r="Z1950" i="3"/>
  <c r="Z1830" i="3"/>
  <c r="Z1929" i="3"/>
  <c r="Z1928" i="3"/>
  <c r="Z1920" i="3"/>
  <c r="Z1916" i="3"/>
  <c r="Z1907" i="3"/>
  <c r="Z1867" i="3"/>
  <c r="Z1859" i="3"/>
  <c r="Z1851" i="3"/>
  <c r="Z1843" i="3"/>
  <c r="Z1942" i="3"/>
  <c r="Z1938" i="3"/>
  <c r="Z1822" i="3"/>
  <c r="Z1818" i="3"/>
  <c r="Z1810" i="3"/>
  <c r="Z1802" i="3"/>
  <c r="Z1794" i="3"/>
  <c r="Z1786" i="3"/>
  <c r="Z1782" i="3"/>
  <c r="Z1774" i="3"/>
  <c r="Z1770" i="3"/>
  <c r="Z1762" i="3"/>
  <c r="Z1754" i="3"/>
  <c r="Z1750" i="3"/>
  <c r="Z1746" i="3"/>
  <c r="Z1919" i="3"/>
  <c r="Z1915" i="3"/>
  <c r="Z2014" i="3"/>
  <c r="Z2010" i="3"/>
  <c r="Z2002" i="3"/>
  <c r="Z1998" i="3"/>
  <c r="Z1990" i="3"/>
  <c r="Z1970" i="3"/>
  <c r="Z1898" i="3"/>
  <c r="Z1886" i="3"/>
  <c r="Z1870" i="3"/>
  <c r="Z1866" i="3"/>
  <c r="Z1862" i="3"/>
  <c r="Z1854" i="3"/>
  <c r="Z1850" i="3"/>
  <c r="Z1846" i="3"/>
  <c r="Z1842" i="3"/>
  <c r="Z1834" i="3"/>
  <c r="Z1927" i="3"/>
  <c r="Z1895" i="3"/>
  <c r="Z1879" i="3"/>
  <c r="Z1863" i="3"/>
  <c r="Z1831" i="3"/>
  <c r="Z1847" i="3"/>
  <c r="AD1971" i="3"/>
  <c r="AD1955" i="3"/>
  <c r="AD2001" i="3"/>
  <c r="AD1997" i="3"/>
  <c r="AD1981" i="3"/>
  <c r="AD1969" i="3"/>
  <c r="AD1961" i="3"/>
  <c r="AD1957" i="3"/>
  <c r="AD1941" i="3"/>
  <c r="AD1937" i="3"/>
  <c r="AD1865" i="3"/>
  <c r="AD1849" i="3"/>
  <c r="AD1841" i="3"/>
  <c r="AD1833" i="3"/>
  <c r="AD1829" i="3"/>
  <c r="AD1821" i="3"/>
  <c r="AD1817" i="3"/>
  <c r="AD1809" i="3"/>
  <c r="AD1801" i="3"/>
  <c r="AD1793" i="3"/>
  <c r="AD1785" i="3"/>
  <c r="AD1781" i="3"/>
  <c r="AD1773" i="3"/>
  <c r="AD1769" i="3"/>
  <c r="AD1761" i="3"/>
  <c r="AD1753" i="3"/>
  <c r="AD1749" i="3"/>
  <c r="AD1988" i="3"/>
  <c r="AD1984" i="3"/>
  <c r="AD1968" i="3"/>
  <c r="AD1960" i="3"/>
  <c r="AD1956" i="3"/>
  <c r="AD1948" i="3"/>
  <c r="AD1916" i="3"/>
  <c r="AD1836" i="3"/>
  <c r="AD1832" i="3"/>
  <c r="AD1824" i="3"/>
  <c r="AD1820" i="3"/>
  <c r="AD1812" i="3"/>
  <c r="AD1808" i="3"/>
  <c r="AD1800" i="3"/>
  <c r="AD1792" i="3"/>
  <c r="AD1784" i="3"/>
  <c r="AD1780" i="3"/>
  <c r="AD1772" i="3"/>
  <c r="AD1764" i="3"/>
  <c r="AD1756" i="3"/>
  <c r="AD1748" i="3"/>
  <c r="AD2003" i="3"/>
  <c r="AD1967" i="3"/>
  <c r="AD1929" i="3"/>
  <c r="AD1885" i="3"/>
  <c r="AD1928" i="3"/>
  <c r="AD1920" i="3"/>
  <c r="AD1908" i="3"/>
  <c r="AD1896" i="3"/>
  <c r="AD1880" i="3"/>
  <c r="AD1947" i="3"/>
  <c r="AD1927" i="3"/>
  <c r="AD1919" i="3"/>
  <c r="AD2015" i="3"/>
  <c r="AD2007" i="3"/>
  <c r="AD1999" i="3"/>
  <c r="AD1991" i="3"/>
  <c r="AD1987" i="3"/>
  <c r="AD2017" i="3"/>
  <c r="AD2013" i="3"/>
  <c r="AD2009" i="3"/>
  <c r="AD1989" i="3"/>
  <c r="AD1985" i="3"/>
  <c r="AD1973" i="3"/>
  <c r="AD1909" i="3"/>
  <c r="AD1905" i="3"/>
  <c r="AD1897" i="3"/>
  <c r="AD1893" i="3"/>
  <c r="AD1877" i="3"/>
  <c r="AD1869" i="3"/>
  <c r="AD1861" i="3"/>
  <c r="AD1853" i="3"/>
  <c r="AD1845" i="3"/>
  <c r="AD2016" i="3"/>
  <c r="AD2012" i="3"/>
  <c r="AD2008" i="3"/>
  <c r="AD2000" i="3"/>
  <c r="AD1992" i="3"/>
  <c r="AD1980" i="3"/>
  <c r="AD1900" i="3"/>
  <c r="AD1888" i="3"/>
  <c r="AD1876" i="3"/>
  <c r="AD1868" i="3"/>
  <c r="AD1864" i="3"/>
  <c r="AD1860" i="3"/>
  <c r="AD1852" i="3"/>
  <c r="AD1848" i="3"/>
  <c r="AD1844" i="3"/>
  <c r="AD2011" i="3"/>
  <c r="AD1959" i="3"/>
  <c r="AD1915" i="3"/>
  <c r="AD1942" i="3"/>
  <c r="AD1938" i="3"/>
  <c r="AD1822" i="3"/>
  <c r="AD1818" i="3"/>
  <c r="AD1810" i="3"/>
  <c r="AD1802" i="3"/>
  <c r="AD1794" i="3"/>
  <c r="AD1786" i="3"/>
  <c r="AD1782" i="3"/>
  <c r="AD1774" i="3"/>
  <c r="AD1770" i="3"/>
  <c r="AD1762" i="3"/>
  <c r="AD1754" i="3"/>
  <c r="AD1750" i="3"/>
  <c r="AD1746" i="3"/>
  <c r="AD1939" i="3"/>
  <c r="AD1835" i="3"/>
  <c r="AD1823" i="3"/>
  <c r="AD1819" i="3"/>
  <c r="AD1921" i="3"/>
  <c r="AD1917" i="3"/>
  <c r="AD1907" i="3"/>
  <c r="AD1895" i="3"/>
  <c r="AD1879" i="3"/>
  <c r="AD1867" i="3"/>
  <c r="AD1863" i="3"/>
  <c r="AD1859" i="3"/>
  <c r="AD1851" i="3"/>
  <c r="AD1847" i="3"/>
  <c r="AD1843" i="3"/>
  <c r="AD1831" i="3"/>
  <c r="AD2014" i="3"/>
  <c r="AD2010" i="3"/>
  <c r="AD2002" i="3"/>
  <c r="AD1998" i="3"/>
  <c r="AD1990" i="3"/>
  <c r="AD1970" i="3"/>
  <c r="AD1898" i="3"/>
  <c r="AD1886" i="3"/>
  <c r="AD1870" i="3"/>
  <c r="AD1866" i="3"/>
  <c r="AD1862" i="3"/>
  <c r="AD1854" i="3"/>
  <c r="AD1850" i="3"/>
  <c r="AD1846" i="3"/>
  <c r="AD1842" i="3"/>
  <c r="AD1834" i="3"/>
  <c r="AD1949" i="3"/>
  <c r="AD1972" i="3"/>
  <c r="AD1940" i="3"/>
  <c r="AD1936" i="3"/>
  <c r="AD1935" i="3"/>
  <c r="AD1930" i="3"/>
  <c r="AD1922" i="3"/>
  <c r="AD1918" i="3"/>
  <c r="AD1899" i="3"/>
  <c r="AD1875" i="3"/>
  <c r="AD1811" i="3"/>
  <c r="AD1807" i="3"/>
  <c r="AD1799" i="3"/>
  <c r="AD1791" i="3"/>
  <c r="AD1783" i="3"/>
  <c r="AD1779" i="3"/>
  <c r="AD1771" i="3"/>
  <c r="AD1763" i="3"/>
  <c r="AD1755" i="3"/>
  <c r="AD1747" i="3"/>
  <c r="AD2006" i="3"/>
  <c r="AD1986" i="3"/>
  <c r="AD1974" i="3"/>
  <c r="AD1962" i="3"/>
  <c r="AD1958" i="3"/>
  <c r="AD1950" i="3"/>
  <c r="AD1830" i="3"/>
  <c r="AD1910" i="3"/>
  <c r="AD1906" i="3"/>
  <c r="AD1894" i="3"/>
  <c r="AD1878" i="3"/>
  <c r="AD1887" i="3"/>
  <c r="AH2015" i="3"/>
  <c r="AH2007" i="3"/>
  <c r="AH1999" i="3"/>
  <c r="AH1991" i="3"/>
  <c r="AH1987" i="3"/>
  <c r="AH1963" i="3"/>
  <c r="AH2017" i="3"/>
  <c r="AH2013" i="3"/>
  <c r="AH2009" i="3"/>
  <c r="AH1989" i="3"/>
  <c r="AH1985" i="3"/>
  <c r="AH1977" i="3"/>
  <c r="AH1973" i="3"/>
  <c r="AH1921" i="3"/>
  <c r="AH1917" i="3"/>
  <c r="AH1913" i="3"/>
  <c r="AH1909" i="3"/>
  <c r="AH1905" i="3"/>
  <c r="AH1897" i="3"/>
  <c r="AH1893" i="3"/>
  <c r="AH1889" i="3"/>
  <c r="AH1881" i="3"/>
  <c r="AH1877" i="3"/>
  <c r="AH1869" i="3"/>
  <c r="AH1861" i="3"/>
  <c r="AH1853" i="3"/>
  <c r="AH1845" i="3"/>
  <c r="AH1837" i="3"/>
  <c r="AH2016" i="3"/>
  <c r="AH2012" i="3"/>
  <c r="AH2008" i="3"/>
  <c r="AH2000" i="3"/>
  <c r="AH1992" i="3"/>
  <c r="AH1980" i="3"/>
  <c r="AH1904" i="3"/>
  <c r="AH1900" i="3"/>
  <c r="AH1888" i="3"/>
  <c r="AH1884" i="3"/>
  <c r="AH1876" i="3"/>
  <c r="AH1872" i="3"/>
  <c r="AH1868" i="3"/>
  <c r="AH1864" i="3"/>
  <c r="AH1860" i="3"/>
  <c r="AH1856" i="3"/>
  <c r="AH1852" i="3"/>
  <c r="AH1848" i="3"/>
  <c r="AH1844" i="3"/>
  <c r="AH1840" i="3"/>
  <c r="AH1828" i="3"/>
  <c r="AH2011" i="3"/>
  <c r="AH1983" i="3"/>
  <c r="AH1959" i="3"/>
  <c r="AH1949" i="3"/>
  <c r="AH1945" i="3"/>
  <c r="AH1972" i="3"/>
  <c r="AH1964" i="3"/>
  <c r="AH1940" i="3"/>
  <c r="AH1936" i="3"/>
  <c r="AH1943" i="3"/>
  <c r="AH1939" i="3"/>
  <c r="AH1935" i="3"/>
  <c r="AH1901" i="3"/>
  <c r="AH1885" i="3"/>
  <c r="AH1912" i="3"/>
  <c r="AH1908" i="3"/>
  <c r="AH1896" i="3"/>
  <c r="AH1892" i="3"/>
  <c r="AH1880" i="3"/>
  <c r="AH1947" i="3"/>
  <c r="AH1915" i="3"/>
  <c r="AH1835" i="3"/>
  <c r="AH1827" i="3"/>
  <c r="AH1823" i="3"/>
  <c r="AH1819" i="3"/>
  <c r="AH1815" i="3"/>
  <c r="AH1811" i="3"/>
  <c r="AH1807" i="3"/>
  <c r="AH1799" i="3"/>
  <c r="AH1791" i="3"/>
  <c r="AH1787" i="3"/>
  <c r="AH1783" i="3"/>
  <c r="AH1779" i="3"/>
  <c r="AH1775" i="3"/>
  <c r="AH1771" i="3"/>
  <c r="AH1763" i="3"/>
  <c r="AH1759" i="3"/>
  <c r="AH1755" i="3"/>
  <c r="AH1747" i="3"/>
  <c r="AH2006" i="3"/>
  <c r="AH1986" i="3"/>
  <c r="AH1978" i="3"/>
  <c r="AH1974" i="3"/>
  <c r="AH1962" i="3"/>
  <c r="AH1958" i="3"/>
  <c r="AH1950" i="3"/>
  <c r="AH1946" i="3"/>
  <c r="AH1830" i="3"/>
  <c r="AH1911" i="3"/>
  <c r="AH1907" i="3"/>
  <c r="AH1895" i="3"/>
  <c r="AH1891" i="3"/>
  <c r="AH1879" i="3"/>
  <c r="AH1871" i="3"/>
  <c r="AH1867" i="3"/>
  <c r="AH1863" i="3"/>
  <c r="AH1859" i="3"/>
  <c r="AH1855" i="3"/>
  <c r="AH1851" i="3"/>
  <c r="AH1847" i="3"/>
  <c r="AH1843" i="3"/>
  <c r="AH1839" i="3"/>
  <c r="AH1831" i="3"/>
  <c r="AH1929" i="3"/>
  <c r="AH1928" i="3"/>
  <c r="AH1920" i="3"/>
  <c r="AH1927" i="3"/>
  <c r="AH1919" i="3"/>
  <c r="AH1903" i="3"/>
  <c r="AH1899" i="3"/>
  <c r="AH1887" i="3"/>
  <c r="AH1883" i="3"/>
  <c r="AH1875" i="3"/>
  <c r="AH1930" i="3"/>
  <c r="AH1922" i="3"/>
  <c r="AH1918" i="3"/>
  <c r="AH1910" i="3"/>
  <c r="AH1906" i="3"/>
  <c r="AH1894" i="3"/>
  <c r="AH1890" i="3"/>
  <c r="AH1878" i="3"/>
  <c r="AH1979" i="3"/>
  <c r="AH1971" i="3"/>
  <c r="AH1955" i="3"/>
  <c r="AH2001" i="3"/>
  <c r="AH1997" i="3"/>
  <c r="AH1981" i="3"/>
  <c r="AH1969" i="3"/>
  <c r="AH1965" i="3"/>
  <c r="AH1961" i="3"/>
  <c r="AH1957" i="3"/>
  <c r="AH1941" i="3"/>
  <c r="AH1937" i="3"/>
  <c r="AH1873" i="3"/>
  <c r="AH1865" i="3"/>
  <c r="AH1857" i="3"/>
  <c r="AH1849" i="3"/>
  <c r="AH1841" i="3"/>
  <c r="AH1833" i="3"/>
  <c r="AH1829" i="3"/>
  <c r="AH1825" i="3"/>
  <c r="AH1821" i="3"/>
  <c r="AH1817" i="3"/>
  <c r="AH1813" i="3"/>
  <c r="AH1809" i="3"/>
  <c r="AH1801" i="3"/>
  <c r="AH1793" i="3"/>
  <c r="AH1789" i="3"/>
  <c r="AH1785" i="3"/>
  <c r="AH1781" i="3"/>
  <c r="AH1777" i="3"/>
  <c r="AH1773" i="3"/>
  <c r="AH1769" i="3"/>
  <c r="AH1761" i="3"/>
  <c r="AH1757" i="3"/>
  <c r="AH1753" i="3"/>
  <c r="AH1749" i="3"/>
  <c r="AH1988" i="3"/>
  <c r="AH1984" i="3"/>
  <c r="AH1976" i="3"/>
  <c r="AH1968" i="3"/>
  <c r="AH1960" i="3"/>
  <c r="AH1956" i="3"/>
  <c r="AH1948" i="3"/>
  <c r="AH1944" i="3"/>
  <c r="AH1916" i="3"/>
  <c r="AH1824" i="3"/>
  <c r="AH1808" i="3"/>
  <c r="AH1792" i="3"/>
  <c r="AH1776" i="3"/>
  <c r="AH1760" i="3"/>
  <c r="AH2003" i="3"/>
  <c r="AH1967" i="3"/>
  <c r="AH1942" i="3"/>
  <c r="AH1938" i="3"/>
  <c r="AH1826" i="3"/>
  <c r="AH1822" i="3"/>
  <c r="AH1818" i="3"/>
  <c r="AH1814" i="3"/>
  <c r="AH1810" i="3"/>
  <c r="AH1802" i="3"/>
  <c r="AH1794" i="3"/>
  <c r="AH1790" i="3"/>
  <c r="AH1786" i="3"/>
  <c r="AH1782" i="3"/>
  <c r="AH1778" i="3"/>
  <c r="AH1774" i="3"/>
  <c r="AH1770" i="3"/>
  <c r="AH1762" i="3"/>
  <c r="AH1758" i="3"/>
  <c r="AH1754" i="3"/>
  <c r="AH1750" i="3"/>
  <c r="AH1746" i="3"/>
  <c r="AH1836" i="3"/>
  <c r="AH1820" i="3"/>
  <c r="AH1788" i="3"/>
  <c r="AH1772" i="3"/>
  <c r="AH1756" i="3"/>
  <c r="AH2014" i="3"/>
  <c r="AH2010" i="3"/>
  <c r="AH2002" i="3"/>
  <c r="AH1998" i="3"/>
  <c r="AH1990" i="3"/>
  <c r="AH1982" i="3"/>
  <c r="AH1970" i="3"/>
  <c r="AH1966" i="3"/>
  <c r="AH1914" i="3"/>
  <c r="AH1902" i="3"/>
  <c r="AH1898" i="3"/>
  <c r="AH1886" i="3"/>
  <c r="AH1882" i="3"/>
  <c r="AH1874" i="3"/>
  <c r="AH1870" i="3"/>
  <c r="AH1866" i="3"/>
  <c r="AH1862" i="3"/>
  <c r="AH1858" i="3"/>
  <c r="AH1854" i="3"/>
  <c r="AH1850" i="3"/>
  <c r="AH1846" i="3"/>
  <c r="AH1842" i="3"/>
  <c r="AH1838" i="3"/>
  <c r="AH1834" i="3"/>
  <c r="AH1832" i="3"/>
  <c r="AH1816" i="3"/>
  <c r="AH1800" i="3"/>
  <c r="AH1784" i="3"/>
  <c r="AH1812" i="3"/>
  <c r="AH1748" i="3"/>
  <c r="AH1975" i="3"/>
  <c r="AH1780" i="3"/>
  <c r="AH1764" i="3"/>
  <c r="AL1929" i="3"/>
  <c r="AL1901" i="3"/>
  <c r="AL1885" i="3"/>
  <c r="AL1928" i="3"/>
  <c r="AL1920" i="3"/>
  <c r="AL1912" i="3"/>
  <c r="AL1908" i="3"/>
  <c r="AL1896" i="3"/>
  <c r="AL1892" i="3"/>
  <c r="AL1880" i="3"/>
  <c r="AL1979" i="3"/>
  <c r="AL1971" i="3"/>
  <c r="AL1955" i="3"/>
  <c r="AL2001" i="3"/>
  <c r="AL1997" i="3"/>
  <c r="AL1981" i="3"/>
  <c r="AL1969" i="3"/>
  <c r="AL1965" i="3"/>
  <c r="AL1961" i="3"/>
  <c r="AL1957" i="3"/>
  <c r="AL1941" i="3"/>
  <c r="AL1937" i="3"/>
  <c r="AL1873" i="3"/>
  <c r="AL1865" i="3"/>
  <c r="AL1857" i="3"/>
  <c r="AL1849" i="3"/>
  <c r="AL1841" i="3"/>
  <c r="AL1833" i="3"/>
  <c r="AL1829" i="3"/>
  <c r="AL1825" i="3"/>
  <c r="AL1821" i="3"/>
  <c r="AL1817" i="3"/>
  <c r="AL1813" i="3"/>
  <c r="AL1809" i="3"/>
  <c r="AL1801" i="3"/>
  <c r="AL1793" i="3"/>
  <c r="AL1789" i="3"/>
  <c r="AL1785" i="3"/>
  <c r="AL1781" i="3"/>
  <c r="AL1777" i="3"/>
  <c r="AL1773" i="3"/>
  <c r="AL1769" i="3"/>
  <c r="AL1761" i="3"/>
  <c r="AL1757" i="3"/>
  <c r="AL1753" i="3"/>
  <c r="AL1749" i="3"/>
  <c r="AL1988" i="3"/>
  <c r="AL1984" i="3"/>
  <c r="AL1976" i="3"/>
  <c r="AL1968" i="3"/>
  <c r="AL1960" i="3"/>
  <c r="AL1956" i="3"/>
  <c r="AL1948" i="3"/>
  <c r="AL1944" i="3"/>
  <c r="AL1836" i="3"/>
  <c r="AL1832" i="3"/>
  <c r="AL1824" i="3"/>
  <c r="AL1820" i="3"/>
  <c r="AL1816" i="3"/>
  <c r="AL1812" i="3"/>
  <c r="AL1808" i="3"/>
  <c r="AL1800" i="3"/>
  <c r="AL1792" i="3"/>
  <c r="AL1788" i="3"/>
  <c r="AL1784" i="3"/>
  <c r="AL1780" i="3"/>
  <c r="AL1776" i="3"/>
  <c r="AL1772" i="3"/>
  <c r="AL1764" i="3"/>
  <c r="AL1760" i="3"/>
  <c r="AL1756" i="3"/>
  <c r="AL1752" i="3"/>
  <c r="AL1748" i="3"/>
  <c r="AL2003" i="3"/>
  <c r="AL1975" i="3"/>
  <c r="AL1967" i="3"/>
  <c r="AL1939" i="3"/>
  <c r="AL1911" i="3"/>
  <c r="AL1907" i="3"/>
  <c r="AL1895" i="3"/>
  <c r="AL1891" i="3"/>
  <c r="AL1879" i="3"/>
  <c r="AL1871" i="3"/>
  <c r="AL1867" i="3"/>
  <c r="AL1863" i="3"/>
  <c r="AL1859" i="3"/>
  <c r="AL1855" i="3"/>
  <c r="AL1851" i="3"/>
  <c r="AL1847" i="3"/>
  <c r="AL1843" i="3"/>
  <c r="AL1839" i="3"/>
  <c r="AL1831" i="3"/>
  <c r="AL2014" i="3"/>
  <c r="AL2010" i="3"/>
  <c r="AL2002" i="3"/>
  <c r="AL1998" i="3"/>
  <c r="AL1990" i="3"/>
  <c r="AL1982" i="3"/>
  <c r="AL1970" i="3"/>
  <c r="AL1966" i="3"/>
  <c r="AL1914" i="3"/>
  <c r="AL1902" i="3"/>
  <c r="AL1898" i="3"/>
  <c r="AL1886" i="3"/>
  <c r="AL1882" i="3"/>
  <c r="AL1874" i="3"/>
  <c r="AL1870" i="3"/>
  <c r="AL1866" i="3"/>
  <c r="AL1862" i="3"/>
  <c r="AL1858" i="3"/>
  <c r="AL1854" i="3"/>
  <c r="AL1850" i="3"/>
  <c r="AL1846" i="3"/>
  <c r="AL1842" i="3"/>
  <c r="AL1838" i="3"/>
  <c r="AL1834" i="3"/>
  <c r="AL1921" i="3"/>
  <c r="AL1917" i="3"/>
  <c r="AL1927" i="3"/>
  <c r="AL1919" i="3"/>
  <c r="AL1903" i="3"/>
  <c r="AL1899" i="3"/>
  <c r="AL1887" i="3"/>
  <c r="AL1883" i="3"/>
  <c r="AL1875" i="3"/>
  <c r="AL1949" i="3"/>
  <c r="AL1945" i="3"/>
  <c r="AL1972" i="3"/>
  <c r="AL1964" i="3"/>
  <c r="AL1940" i="3"/>
  <c r="AL1936" i="3"/>
  <c r="AL1943" i="3"/>
  <c r="AL1935" i="3"/>
  <c r="AL1915" i="3"/>
  <c r="AL1942" i="3"/>
  <c r="AL1938" i="3"/>
  <c r="AL1826" i="3"/>
  <c r="AL1822" i="3"/>
  <c r="AL1818" i="3"/>
  <c r="AL1814" i="3"/>
  <c r="AL1810" i="3"/>
  <c r="AL1802" i="3"/>
  <c r="AL1794" i="3"/>
  <c r="AL1790" i="3"/>
  <c r="AL1786" i="3"/>
  <c r="AL1782" i="3"/>
  <c r="AL1778" i="3"/>
  <c r="AL1774" i="3"/>
  <c r="AL1770" i="3"/>
  <c r="AL1762" i="3"/>
  <c r="AL1758" i="3"/>
  <c r="AL1754" i="3"/>
  <c r="AL1750" i="3"/>
  <c r="AL1746" i="3"/>
  <c r="AL2015" i="3"/>
  <c r="AL2007" i="3"/>
  <c r="AL1999" i="3"/>
  <c r="AL1991" i="3"/>
  <c r="AL1987" i="3"/>
  <c r="AL1963" i="3"/>
  <c r="AL2017" i="3"/>
  <c r="AL2013" i="3"/>
  <c r="AL2009" i="3"/>
  <c r="AL1989" i="3"/>
  <c r="AL1985" i="3"/>
  <c r="AL1977" i="3"/>
  <c r="AL1973" i="3"/>
  <c r="AL1913" i="3"/>
  <c r="AL1909" i="3"/>
  <c r="AL1905" i="3"/>
  <c r="AL1897" i="3"/>
  <c r="AL1893" i="3"/>
  <c r="AL1889" i="3"/>
  <c r="AL1881" i="3"/>
  <c r="AL1877" i="3"/>
  <c r="AL1869" i="3"/>
  <c r="AL1861" i="3"/>
  <c r="AL1853" i="3"/>
  <c r="AL1845" i="3"/>
  <c r="AL1837" i="3"/>
  <c r="AL2016" i="3"/>
  <c r="AL2012" i="3"/>
  <c r="AL2008" i="3"/>
  <c r="AL2000" i="3"/>
  <c r="AL1992" i="3"/>
  <c r="AL1980" i="3"/>
  <c r="AL1916" i="3"/>
  <c r="AL1904" i="3"/>
  <c r="AL1888" i="3"/>
  <c r="AL1872" i="3"/>
  <c r="AL1856" i="3"/>
  <c r="AL1840" i="3"/>
  <c r="AL1835" i="3"/>
  <c r="AL1827" i="3"/>
  <c r="AL1819" i="3"/>
  <c r="AL1811" i="3"/>
  <c r="AL1807" i="3"/>
  <c r="AL1799" i="3"/>
  <c r="AL1791" i="3"/>
  <c r="AL1787" i="3"/>
  <c r="AL1783" i="3"/>
  <c r="AL1779" i="3"/>
  <c r="AL1775" i="3"/>
  <c r="AL1771" i="3"/>
  <c r="AL1763" i="3"/>
  <c r="AL1759" i="3"/>
  <c r="AL1755" i="3"/>
  <c r="AL1751" i="3"/>
  <c r="AL1747" i="3"/>
  <c r="AL2006" i="3"/>
  <c r="AL1986" i="3"/>
  <c r="AL1978" i="3"/>
  <c r="AL1974" i="3"/>
  <c r="AL1962" i="3"/>
  <c r="AL1958" i="3"/>
  <c r="AL1950" i="3"/>
  <c r="AL1946" i="3"/>
  <c r="AL1830" i="3"/>
  <c r="AL1900" i="3"/>
  <c r="AL1884" i="3"/>
  <c r="AL1868" i="3"/>
  <c r="AL1852" i="3"/>
  <c r="AL1959" i="3"/>
  <c r="AL1910" i="3"/>
  <c r="AL1906" i="3"/>
  <c r="AL1894" i="3"/>
  <c r="AL1890" i="3"/>
  <c r="AL1878" i="3"/>
  <c r="AL1864" i="3"/>
  <c r="AL1848" i="3"/>
  <c r="AL1983" i="3"/>
  <c r="AL1823" i="3"/>
  <c r="AL1815" i="3"/>
  <c r="AL1876" i="3"/>
  <c r="AL1860" i="3"/>
  <c r="AL1828" i="3"/>
  <c r="AL2011" i="3"/>
  <c r="AL1947" i="3"/>
  <c r="AL1844" i="3"/>
  <c r="AL1922" i="3"/>
  <c r="AL1918" i="3"/>
  <c r="AL1930" i="3"/>
  <c r="AP1949" i="3"/>
  <c r="AP1945" i="3"/>
  <c r="AP1972" i="3"/>
  <c r="AP1964" i="3"/>
  <c r="AP1940" i="3"/>
  <c r="AP1936" i="3"/>
  <c r="AP1916" i="3"/>
  <c r="AP2015" i="3"/>
  <c r="AP2007" i="3"/>
  <c r="AP1999" i="3"/>
  <c r="AP1991" i="3"/>
  <c r="AP1987" i="3"/>
  <c r="AP1963" i="3"/>
  <c r="AP2017" i="3"/>
  <c r="AP2013" i="3"/>
  <c r="AP2009" i="3"/>
  <c r="AP1989" i="3"/>
  <c r="AP1985" i="3"/>
  <c r="AP1977" i="3"/>
  <c r="AP1973" i="3"/>
  <c r="AP1921" i="3"/>
  <c r="AP1917" i="3"/>
  <c r="AP1913" i="3"/>
  <c r="AP1909" i="3"/>
  <c r="AP1905" i="3"/>
  <c r="AP1897" i="3"/>
  <c r="AP1893" i="3"/>
  <c r="AP1889" i="3"/>
  <c r="AP1881" i="3"/>
  <c r="AP1877" i="3"/>
  <c r="AP1869" i="3"/>
  <c r="AP1861" i="3"/>
  <c r="AP1853" i="3"/>
  <c r="AP1845" i="3"/>
  <c r="AP1837" i="3"/>
  <c r="AP2016" i="3"/>
  <c r="AP2012" i="3"/>
  <c r="AP2008" i="3"/>
  <c r="AP2000" i="3"/>
  <c r="AP1992" i="3"/>
  <c r="AP1980" i="3"/>
  <c r="AP1904" i="3"/>
  <c r="AP1900" i="3"/>
  <c r="AP1888" i="3"/>
  <c r="AP1884" i="3"/>
  <c r="AP1876" i="3"/>
  <c r="AP1872" i="3"/>
  <c r="AP1868" i="3"/>
  <c r="AP1864" i="3"/>
  <c r="AP1860" i="3"/>
  <c r="AP1856" i="3"/>
  <c r="AP1852" i="3"/>
  <c r="AP1848" i="3"/>
  <c r="AP1844" i="3"/>
  <c r="AP1840" i="3"/>
  <c r="AP1828" i="3"/>
  <c r="AP2011" i="3"/>
  <c r="AP1983" i="3"/>
  <c r="AP1959" i="3"/>
  <c r="AP1927" i="3"/>
  <c r="AP1919" i="3"/>
  <c r="AP1903" i="3"/>
  <c r="AP1899" i="3"/>
  <c r="AP1887" i="3"/>
  <c r="AP1883" i="3"/>
  <c r="AP1875" i="3"/>
  <c r="AP1930" i="3"/>
  <c r="AP1922" i="3"/>
  <c r="AP1918" i="3"/>
  <c r="AP1910" i="3"/>
  <c r="AP1906" i="3"/>
  <c r="AP1894" i="3"/>
  <c r="AP1890" i="3"/>
  <c r="AP1878" i="3"/>
  <c r="AP1929" i="3"/>
  <c r="AP1928" i="3"/>
  <c r="AP1920" i="3"/>
  <c r="AP1943" i="3"/>
  <c r="AP1935" i="3"/>
  <c r="AP1979" i="3"/>
  <c r="AP1971" i="3"/>
  <c r="AP1955" i="3"/>
  <c r="AP2001" i="3"/>
  <c r="AP1997" i="3"/>
  <c r="AP1981" i="3"/>
  <c r="AP1969" i="3"/>
  <c r="AP1965" i="3"/>
  <c r="AP1961" i="3"/>
  <c r="AP1957" i="3"/>
  <c r="AP1941" i="3"/>
  <c r="AP1937" i="3"/>
  <c r="AP1873" i="3"/>
  <c r="AP1865" i="3"/>
  <c r="AP1857" i="3"/>
  <c r="AP1849" i="3"/>
  <c r="AP1841" i="3"/>
  <c r="AP1833" i="3"/>
  <c r="AP1829" i="3"/>
  <c r="AP1825" i="3"/>
  <c r="AP1821" i="3"/>
  <c r="AP1817" i="3"/>
  <c r="AP1813" i="3"/>
  <c r="AP1809" i="3"/>
  <c r="AP1801" i="3"/>
  <c r="AP1793" i="3"/>
  <c r="AP1789" i="3"/>
  <c r="AP1785" i="3"/>
  <c r="AP1781" i="3"/>
  <c r="AP1777" i="3"/>
  <c r="AP1773" i="3"/>
  <c r="AP1769" i="3"/>
  <c r="AP1761" i="3"/>
  <c r="AP1757" i="3"/>
  <c r="AP1753" i="3"/>
  <c r="AP1749" i="3"/>
  <c r="AP1988" i="3"/>
  <c r="AP1984" i="3"/>
  <c r="AP1976" i="3"/>
  <c r="AP1968" i="3"/>
  <c r="AP1960" i="3"/>
  <c r="AP1956" i="3"/>
  <c r="AP1948" i="3"/>
  <c r="AP1944" i="3"/>
  <c r="AP1836" i="3"/>
  <c r="AP1832" i="3"/>
  <c r="AP1824" i="3"/>
  <c r="AP1820" i="3"/>
  <c r="AP1816" i="3"/>
  <c r="AP1812" i="3"/>
  <c r="AP1808" i="3"/>
  <c r="AP1800" i="3"/>
  <c r="AP1792" i="3"/>
  <c r="AP1788" i="3"/>
  <c r="AP1784" i="3"/>
  <c r="AP1780" i="3"/>
  <c r="AP1776" i="3"/>
  <c r="AP1772" i="3"/>
  <c r="AP1764" i="3"/>
  <c r="AP1760" i="3"/>
  <c r="AP1756" i="3"/>
  <c r="AP1752" i="3"/>
  <c r="AP1748" i="3"/>
  <c r="AP2003" i="3"/>
  <c r="AP1975" i="3"/>
  <c r="AP1967" i="3"/>
  <c r="AP1947" i="3"/>
  <c r="AP1915" i="3"/>
  <c r="AP1835" i="3"/>
  <c r="AP1827" i="3"/>
  <c r="AP1823" i="3"/>
  <c r="AP1819" i="3"/>
  <c r="AP1815" i="3"/>
  <c r="AP1811" i="3"/>
  <c r="AP1807" i="3"/>
  <c r="AP1799" i="3"/>
  <c r="AP1791" i="3"/>
  <c r="AP1787" i="3"/>
  <c r="AP1783" i="3"/>
  <c r="AP1779" i="3"/>
  <c r="AP1775" i="3"/>
  <c r="AP1771" i="3"/>
  <c r="AP1763" i="3"/>
  <c r="AP1759" i="3"/>
  <c r="AP1755" i="3"/>
  <c r="AP1751" i="3"/>
  <c r="AP1747" i="3"/>
  <c r="AP2006" i="3"/>
  <c r="AP1986" i="3"/>
  <c r="AP1978" i="3"/>
  <c r="AP1974" i="3"/>
  <c r="AP1962" i="3"/>
  <c r="AP1958" i="3"/>
  <c r="AP1950" i="3"/>
  <c r="AP1946" i="3"/>
  <c r="AP1830" i="3"/>
  <c r="AP1901" i="3"/>
  <c r="AP1885" i="3"/>
  <c r="AP1912" i="3"/>
  <c r="AP1908" i="3"/>
  <c r="AP1907" i="3"/>
  <c r="AP1891" i="3"/>
  <c r="AP1867" i="3"/>
  <c r="AP1859" i="3"/>
  <c r="AP1851" i="3"/>
  <c r="AP1843" i="3"/>
  <c r="AP2014" i="3"/>
  <c r="AP2010" i="3"/>
  <c r="AP2002" i="3"/>
  <c r="AP1998" i="3"/>
  <c r="AP1990" i="3"/>
  <c r="AP1982" i="3"/>
  <c r="AP1970" i="3"/>
  <c r="AP1966" i="3"/>
  <c r="AP1914" i="3"/>
  <c r="AP1902" i="3"/>
  <c r="AP1898" i="3"/>
  <c r="AP1886" i="3"/>
  <c r="AP1882" i="3"/>
  <c r="AP1874" i="3"/>
  <c r="AP1870" i="3"/>
  <c r="AP1866" i="3"/>
  <c r="AP1862" i="3"/>
  <c r="AP1858" i="3"/>
  <c r="AP1854" i="3"/>
  <c r="AP1850" i="3"/>
  <c r="AP1846" i="3"/>
  <c r="AP1842" i="3"/>
  <c r="AP1838" i="3"/>
  <c r="AP1834" i="3"/>
  <c r="AP1896" i="3"/>
  <c r="AP1880" i="3"/>
  <c r="AP1939" i="3"/>
  <c r="AP1911" i="3"/>
  <c r="AP1895" i="3"/>
  <c r="AP1879" i="3"/>
  <c r="AP1871" i="3"/>
  <c r="AP1863" i="3"/>
  <c r="AP1855" i="3"/>
  <c r="AP1847" i="3"/>
  <c r="AP1839" i="3"/>
  <c r="AP1831" i="3"/>
  <c r="AP1892" i="3"/>
  <c r="AP1942" i="3"/>
  <c r="AP1938" i="3"/>
  <c r="AP1814" i="3"/>
  <c r="AP1822" i="3"/>
  <c r="AP1802" i="3"/>
  <c r="AP1786" i="3"/>
  <c r="AP1770" i="3"/>
  <c r="AP1754" i="3"/>
  <c r="AP1826" i="3"/>
  <c r="AP1810" i="3"/>
  <c r="AP1794" i="3"/>
  <c r="AP1778" i="3"/>
  <c r="AP1762" i="3"/>
  <c r="AP1746" i="3"/>
  <c r="AP1818" i="3"/>
  <c r="AP1790" i="3"/>
  <c r="AP1774" i="3"/>
  <c r="AP1758" i="3"/>
  <c r="AP1782" i="3"/>
  <c r="AP1750" i="3"/>
  <c r="AT1979" i="3"/>
  <c r="AT1971" i="3"/>
  <c r="AT1955" i="3"/>
  <c r="AT2001" i="3"/>
  <c r="AT1997" i="3"/>
  <c r="AT1981" i="3"/>
  <c r="AT1969" i="3"/>
  <c r="AT1965" i="3"/>
  <c r="AT1961" i="3"/>
  <c r="AT1957" i="3"/>
  <c r="AT1941" i="3"/>
  <c r="AT1937" i="3"/>
  <c r="AT1873" i="3"/>
  <c r="AT1865" i="3"/>
  <c r="AT1857" i="3"/>
  <c r="AT1849" i="3"/>
  <c r="AT1841" i="3"/>
  <c r="AT1833" i="3"/>
  <c r="AT1829" i="3"/>
  <c r="AT1825" i="3"/>
  <c r="AT1821" i="3"/>
  <c r="AT1817" i="3"/>
  <c r="AT1813" i="3"/>
  <c r="AT1809" i="3"/>
  <c r="AT1801" i="3"/>
  <c r="AT1793" i="3"/>
  <c r="AT1789" i="3"/>
  <c r="AT1785" i="3"/>
  <c r="AT1781" i="3"/>
  <c r="AT1777" i="3"/>
  <c r="AT1773" i="3"/>
  <c r="AT1769" i="3"/>
  <c r="AT1761" i="3"/>
  <c r="AT1757" i="3"/>
  <c r="AT1753" i="3"/>
  <c r="AT1749" i="3"/>
  <c r="AT1988" i="3"/>
  <c r="AT1984" i="3"/>
  <c r="AT1976" i="3"/>
  <c r="AT1968" i="3"/>
  <c r="AT1960" i="3"/>
  <c r="AT1956" i="3"/>
  <c r="AT1948" i="3"/>
  <c r="AT1944" i="3"/>
  <c r="AT1836" i="3"/>
  <c r="AT1832" i="3"/>
  <c r="AT1824" i="3"/>
  <c r="AT1820" i="3"/>
  <c r="AT1816" i="3"/>
  <c r="AT1812" i="3"/>
  <c r="AT1808" i="3"/>
  <c r="AT1800" i="3"/>
  <c r="AT1792" i="3"/>
  <c r="AT1788" i="3"/>
  <c r="AT1784" i="3"/>
  <c r="AT1780" i="3"/>
  <c r="AT1776" i="3"/>
  <c r="AT1772" i="3"/>
  <c r="AT1764" i="3"/>
  <c r="AT1760" i="3"/>
  <c r="AT1756" i="3"/>
  <c r="AT1752" i="3"/>
  <c r="AT1748" i="3"/>
  <c r="AT2003" i="3"/>
  <c r="AT1975" i="3"/>
  <c r="AT1967" i="3"/>
  <c r="AT1929" i="3"/>
  <c r="AT1901" i="3"/>
  <c r="AT1885" i="3"/>
  <c r="AT1928" i="3"/>
  <c r="AT1920" i="3"/>
  <c r="AT1916" i="3"/>
  <c r="AT1912" i="3"/>
  <c r="AT1908" i="3"/>
  <c r="AT1896" i="3"/>
  <c r="AT1892" i="3"/>
  <c r="AT1880" i="3"/>
  <c r="AT1947" i="3"/>
  <c r="AT1927" i="3"/>
  <c r="AT1919" i="3"/>
  <c r="AT1921" i="3"/>
  <c r="AT1917" i="3"/>
  <c r="AT1943" i="3"/>
  <c r="AT1935" i="3"/>
  <c r="AT1942" i="3"/>
  <c r="AT1938" i="3"/>
  <c r="AT1826" i="3"/>
  <c r="AT1822" i="3"/>
  <c r="AT1818" i="3"/>
  <c r="AT1814" i="3"/>
  <c r="AT1810" i="3"/>
  <c r="AT1802" i="3"/>
  <c r="AT1794" i="3"/>
  <c r="AT1790" i="3"/>
  <c r="AT1786" i="3"/>
  <c r="AT1782" i="3"/>
  <c r="AT1778" i="3"/>
  <c r="AT1774" i="3"/>
  <c r="AT1770" i="3"/>
  <c r="AT1762" i="3"/>
  <c r="AT1758" i="3"/>
  <c r="AT1754" i="3"/>
  <c r="AT1750" i="3"/>
  <c r="AT1746" i="3"/>
  <c r="AT1949" i="3"/>
  <c r="AT1945" i="3"/>
  <c r="AT1972" i="3"/>
  <c r="AT1964" i="3"/>
  <c r="AT1940" i="3"/>
  <c r="AT1936" i="3"/>
  <c r="AT1915" i="3"/>
  <c r="AT1835" i="3"/>
  <c r="AT1827" i="3"/>
  <c r="AT1823" i="3"/>
  <c r="AT1819" i="3"/>
  <c r="AT1815" i="3"/>
  <c r="AT1811" i="3"/>
  <c r="AT2015" i="3"/>
  <c r="AT2007" i="3"/>
  <c r="AT1999" i="3"/>
  <c r="AT1991" i="3"/>
  <c r="AT1987" i="3"/>
  <c r="AT1963" i="3"/>
  <c r="AT2017" i="3"/>
  <c r="AT2013" i="3"/>
  <c r="AT2009" i="3"/>
  <c r="AT1989" i="3"/>
  <c r="AT1985" i="3"/>
  <c r="AT1977" i="3"/>
  <c r="AT1973" i="3"/>
  <c r="AT1913" i="3"/>
  <c r="AT1909" i="3"/>
  <c r="AT1905" i="3"/>
  <c r="AT1897" i="3"/>
  <c r="AT1893" i="3"/>
  <c r="AT1889" i="3"/>
  <c r="AT1881" i="3"/>
  <c r="AT1877" i="3"/>
  <c r="AT1869" i="3"/>
  <c r="AT1861" i="3"/>
  <c r="AT1853" i="3"/>
  <c r="AT1845" i="3"/>
  <c r="AT1837" i="3"/>
  <c r="AT2016" i="3"/>
  <c r="AT2012" i="3"/>
  <c r="AT2008" i="3"/>
  <c r="AT2000" i="3"/>
  <c r="AT1992" i="3"/>
  <c r="AT1980" i="3"/>
  <c r="AT1904" i="3"/>
  <c r="AT1900" i="3"/>
  <c r="AT1888" i="3"/>
  <c r="AT1884" i="3"/>
  <c r="AT1876" i="3"/>
  <c r="AT1872" i="3"/>
  <c r="AT1868" i="3"/>
  <c r="AT1864" i="3"/>
  <c r="AT1860" i="3"/>
  <c r="AT1856" i="3"/>
  <c r="AT1852" i="3"/>
  <c r="AT1848" i="3"/>
  <c r="AT1844" i="3"/>
  <c r="AT1840" i="3"/>
  <c r="AT1828" i="3"/>
  <c r="AT2011" i="3"/>
  <c r="AT1983" i="3"/>
  <c r="AT1959" i="3"/>
  <c r="AT1939" i="3"/>
  <c r="AT1911" i="3"/>
  <c r="AT1907" i="3"/>
  <c r="AT1895" i="3"/>
  <c r="AT1891" i="3"/>
  <c r="AT1879" i="3"/>
  <c r="AT1871" i="3"/>
  <c r="AT1867" i="3"/>
  <c r="AT1863" i="3"/>
  <c r="AT1859" i="3"/>
  <c r="AT1855" i="3"/>
  <c r="AT1851" i="3"/>
  <c r="AT1847" i="3"/>
  <c r="AT1843" i="3"/>
  <c r="AT1839" i="3"/>
  <c r="AT1831" i="3"/>
  <c r="AT2014" i="3"/>
  <c r="AT2010" i="3"/>
  <c r="AT2002" i="3"/>
  <c r="AT1998" i="3"/>
  <c r="AT1990" i="3"/>
  <c r="AT1982" i="3"/>
  <c r="AT1970" i="3"/>
  <c r="AT1966" i="3"/>
  <c r="AT1914" i="3"/>
  <c r="AT1902" i="3"/>
  <c r="AT1898" i="3"/>
  <c r="AT1886" i="3"/>
  <c r="AT1882" i="3"/>
  <c r="AT1874" i="3"/>
  <c r="AT1870" i="3"/>
  <c r="AT1866" i="3"/>
  <c r="AT1862" i="3"/>
  <c r="AT1858" i="3"/>
  <c r="AT1854" i="3"/>
  <c r="AT1850" i="3"/>
  <c r="AT1846" i="3"/>
  <c r="AT1842" i="3"/>
  <c r="AT1838" i="3"/>
  <c r="AT1834" i="3"/>
  <c r="AT1899" i="3"/>
  <c r="AT1883" i="3"/>
  <c r="AT1875" i="3"/>
  <c r="AT1910" i="3"/>
  <c r="AT1906" i="3"/>
  <c r="AT1894" i="3"/>
  <c r="AT1890" i="3"/>
  <c r="AT1878" i="3"/>
  <c r="AT1903" i="3"/>
  <c r="AT1887" i="3"/>
  <c r="AT1930" i="3"/>
  <c r="AT1922" i="3"/>
  <c r="AT1918" i="3"/>
  <c r="AT1787" i="3"/>
  <c r="AT1771" i="3"/>
  <c r="AT1755" i="3"/>
  <c r="AT2006" i="3"/>
  <c r="AT1974" i="3"/>
  <c r="AT1958" i="3"/>
  <c r="AT1799" i="3"/>
  <c r="AT1783" i="3"/>
  <c r="AT1751" i="3"/>
  <c r="AT1986" i="3"/>
  <c r="AT1830" i="3"/>
  <c r="AT1779" i="3"/>
  <c r="AT1747" i="3"/>
  <c r="AT1950" i="3"/>
  <c r="AT1807" i="3"/>
  <c r="AT1775" i="3"/>
  <c r="AT1978" i="3"/>
  <c r="AT1946" i="3"/>
  <c r="AT1763" i="3"/>
  <c r="AT1791" i="3"/>
  <c r="AT1759" i="3"/>
  <c r="AT1962" i="3"/>
  <c r="AX2015" i="3"/>
  <c r="AX2007" i="3"/>
  <c r="AX1999" i="3"/>
  <c r="AX1991" i="3"/>
  <c r="AX1987" i="3"/>
  <c r="AX1963" i="3"/>
  <c r="AX2017" i="3"/>
  <c r="AX2013" i="3"/>
  <c r="AX2009" i="3"/>
  <c r="AX1989" i="3"/>
  <c r="AX1985" i="3"/>
  <c r="AX1977" i="3"/>
  <c r="AX1973" i="3"/>
  <c r="AX1921" i="3"/>
  <c r="AX1917" i="3"/>
  <c r="AX1913" i="3"/>
  <c r="AX1909" i="3"/>
  <c r="AX1905" i="3"/>
  <c r="AX1897" i="3"/>
  <c r="AX1893" i="3"/>
  <c r="AX1889" i="3"/>
  <c r="AX1881" i="3"/>
  <c r="AX1877" i="3"/>
  <c r="AX1869" i="3"/>
  <c r="AX1861" i="3"/>
  <c r="AX1853" i="3"/>
  <c r="AX1845" i="3"/>
  <c r="AX1837" i="3"/>
  <c r="AX2016" i="3"/>
  <c r="AX2012" i="3"/>
  <c r="AX2008" i="3"/>
  <c r="AX2000" i="3"/>
  <c r="AX1992" i="3"/>
  <c r="AX1980" i="3"/>
  <c r="AX1916" i="3"/>
  <c r="AX1904" i="3"/>
  <c r="AX1900" i="3"/>
  <c r="AX1888" i="3"/>
  <c r="AX1884" i="3"/>
  <c r="AX1876" i="3"/>
  <c r="AX1872" i="3"/>
  <c r="AX1868" i="3"/>
  <c r="AX1864" i="3"/>
  <c r="AX1860" i="3"/>
  <c r="AX1856" i="3"/>
  <c r="AX1852" i="3"/>
  <c r="AX1848" i="3"/>
  <c r="AX1844" i="3"/>
  <c r="AX1840" i="3"/>
  <c r="AX1828" i="3"/>
  <c r="AX2011" i="3"/>
  <c r="AX1983" i="3"/>
  <c r="AX1959" i="3"/>
  <c r="AX1949" i="3"/>
  <c r="AX1945" i="3"/>
  <c r="AX1972" i="3"/>
  <c r="AX1964" i="3"/>
  <c r="AX1940" i="3"/>
  <c r="AX1936" i="3"/>
  <c r="AX1943" i="3"/>
  <c r="AX1939" i="3"/>
  <c r="AX1935" i="3"/>
  <c r="AX1929" i="3"/>
  <c r="AX1928" i="3"/>
  <c r="AX1920" i="3"/>
  <c r="AX1835" i="3"/>
  <c r="AX1827" i="3"/>
  <c r="AX1823" i="3"/>
  <c r="AX1819" i="3"/>
  <c r="AX1815" i="3"/>
  <c r="AX1811" i="3"/>
  <c r="AX1807" i="3"/>
  <c r="AX1799" i="3"/>
  <c r="AX1791" i="3"/>
  <c r="AX1787" i="3"/>
  <c r="AX1783" i="3"/>
  <c r="AX1779" i="3"/>
  <c r="AX1775" i="3"/>
  <c r="AX1771" i="3"/>
  <c r="AX1763" i="3"/>
  <c r="AX1759" i="3"/>
  <c r="AX1755" i="3"/>
  <c r="AX1751" i="3"/>
  <c r="AX1747" i="3"/>
  <c r="AX2006" i="3"/>
  <c r="AX1986" i="3"/>
  <c r="AX1978" i="3"/>
  <c r="AX1974" i="3"/>
  <c r="AX1962" i="3"/>
  <c r="AX1958" i="3"/>
  <c r="AX1950" i="3"/>
  <c r="AX1946" i="3"/>
  <c r="AX1830" i="3"/>
  <c r="AX1979" i="3"/>
  <c r="AX1971" i="3"/>
  <c r="AX1955" i="3"/>
  <c r="AX2001" i="3"/>
  <c r="AX1997" i="3"/>
  <c r="AX1981" i="3"/>
  <c r="AX1969" i="3"/>
  <c r="AX1965" i="3"/>
  <c r="AX1961" i="3"/>
  <c r="AX1957" i="3"/>
  <c r="AX1941" i="3"/>
  <c r="AX1937" i="3"/>
  <c r="AX1873" i="3"/>
  <c r="AX1865" i="3"/>
  <c r="AX1857" i="3"/>
  <c r="AX1849" i="3"/>
  <c r="AX1841" i="3"/>
  <c r="AX1833" i="3"/>
  <c r="AX1829" i="3"/>
  <c r="AX1825" i="3"/>
  <c r="AX1821" i="3"/>
  <c r="AX1817" i="3"/>
  <c r="AX1813" i="3"/>
  <c r="AX1809" i="3"/>
  <c r="AX1801" i="3"/>
  <c r="AX1793" i="3"/>
  <c r="AX1789" i="3"/>
  <c r="AX1785" i="3"/>
  <c r="AX1781" i="3"/>
  <c r="AX1777" i="3"/>
  <c r="AX1773" i="3"/>
  <c r="AX1769" i="3"/>
  <c r="AX1761" i="3"/>
  <c r="AX1757" i="3"/>
  <c r="AX1753" i="3"/>
  <c r="AX1749" i="3"/>
  <c r="AX1988" i="3"/>
  <c r="AX1984" i="3"/>
  <c r="AX1976" i="3"/>
  <c r="AX1968" i="3"/>
  <c r="AX1960" i="3"/>
  <c r="AX1956" i="3"/>
  <c r="AX1948" i="3"/>
  <c r="AX1944" i="3"/>
  <c r="AX1836" i="3"/>
  <c r="AX1832" i="3"/>
  <c r="AX1824" i="3"/>
  <c r="AX1820" i="3"/>
  <c r="AX1816" i="3"/>
  <c r="AX1812" i="3"/>
  <c r="AX1808" i="3"/>
  <c r="AX1800" i="3"/>
  <c r="AX1792" i="3"/>
  <c r="AX1788" i="3"/>
  <c r="AX1784" i="3"/>
  <c r="AX1780" i="3"/>
  <c r="AX1776" i="3"/>
  <c r="AX1772" i="3"/>
  <c r="AX1764" i="3"/>
  <c r="AX1760" i="3"/>
  <c r="AX1756" i="3"/>
  <c r="AX1752" i="3"/>
  <c r="AX1748" i="3"/>
  <c r="AX2003" i="3"/>
  <c r="AX1975" i="3"/>
  <c r="AX1967" i="3"/>
  <c r="AX1947" i="3"/>
  <c r="AX1915" i="3"/>
  <c r="AX1911" i="3"/>
  <c r="AX1907" i="3"/>
  <c r="AX1895" i="3"/>
  <c r="AX1891" i="3"/>
  <c r="AX1879" i="3"/>
  <c r="AX1871" i="3"/>
  <c r="AX1867" i="3"/>
  <c r="AX1863" i="3"/>
  <c r="AX1859" i="3"/>
  <c r="AX1855" i="3"/>
  <c r="AX1851" i="3"/>
  <c r="AX1847" i="3"/>
  <c r="AX1843" i="3"/>
  <c r="AX1839" i="3"/>
  <c r="AX1831" i="3"/>
  <c r="AX1901" i="3"/>
  <c r="AX1885" i="3"/>
  <c r="AX1912" i="3"/>
  <c r="AX1908" i="3"/>
  <c r="AX1896" i="3"/>
  <c r="AX1892" i="3"/>
  <c r="AX1880" i="3"/>
  <c r="AX1903" i="3"/>
  <c r="AX1899" i="3"/>
  <c r="AX1887" i="3"/>
  <c r="AX1883" i="3"/>
  <c r="AX1875" i="3"/>
  <c r="AX1930" i="3"/>
  <c r="AX1922" i="3"/>
  <c r="AX1918" i="3"/>
  <c r="AX1910" i="3"/>
  <c r="AX1906" i="3"/>
  <c r="AX1894" i="3"/>
  <c r="AX1890" i="3"/>
  <c r="AX1878" i="3"/>
  <c r="AX1919" i="3"/>
  <c r="AX1927" i="3"/>
  <c r="AX1942" i="3"/>
  <c r="AX1938" i="3"/>
  <c r="AX1826" i="3"/>
  <c r="AX1822" i="3"/>
  <c r="AX1818" i="3"/>
  <c r="AX1814" i="3"/>
  <c r="AX1810" i="3"/>
  <c r="AX1802" i="3"/>
  <c r="AX1794" i="3"/>
  <c r="AX1790" i="3"/>
  <c r="AX1786" i="3"/>
  <c r="AX1782" i="3"/>
  <c r="AX1778" i="3"/>
  <c r="AX1774" i="3"/>
  <c r="AX1770" i="3"/>
  <c r="AX1762" i="3"/>
  <c r="AX1758" i="3"/>
  <c r="AX1754" i="3"/>
  <c r="AX1750" i="3"/>
  <c r="AX1746" i="3"/>
  <c r="AX1990" i="3"/>
  <c r="AX2002" i="3"/>
  <c r="AX1970" i="3"/>
  <c r="AX1862" i="3"/>
  <c r="AX1846" i="3"/>
  <c r="AX2014" i="3"/>
  <c r="AX1982" i="3"/>
  <c r="AX1898" i="3"/>
  <c r="AX1886" i="3"/>
  <c r="AX1874" i="3"/>
  <c r="AX1834" i="3"/>
  <c r="AX2010" i="3"/>
  <c r="AX1914" i="3"/>
  <c r="AX1902" i="3"/>
  <c r="AX1850" i="3"/>
  <c r="AX1838" i="3"/>
  <c r="AX1998" i="3"/>
  <c r="AX1966" i="3"/>
  <c r="AX1866" i="3"/>
  <c r="AX1854" i="3"/>
  <c r="AX1842" i="3"/>
  <c r="AX1882" i="3"/>
  <c r="AX1870" i="3"/>
  <c r="AX1858" i="3"/>
  <c r="R59" i="3"/>
  <c r="R579" i="3"/>
  <c r="R501" i="3"/>
  <c r="R473" i="3"/>
  <c r="R457" i="3"/>
  <c r="R425" i="3"/>
  <c r="R413" i="3"/>
  <c r="R405" i="3"/>
  <c r="R397" i="3"/>
  <c r="R393" i="3"/>
  <c r="R389" i="3"/>
  <c r="R377" i="3"/>
  <c r="R365" i="3"/>
  <c r="R357" i="3"/>
  <c r="R580" i="3"/>
  <c r="R472" i="3"/>
  <c r="R456" i="3"/>
  <c r="R440" i="3"/>
  <c r="R416" i="3"/>
  <c r="R404" i="3"/>
  <c r="R396" i="3"/>
  <c r="R388" i="3"/>
  <c r="R376" i="3"/>
  <c r="R368" i="3"/>
  <c r="R360" i="3"/>
  <c r="R352" i="3"/>
  <c r="R437" i="3"/>
  <c r="R552" i="3"/>
  <c r="R532" i="3"/>
  <c r="R428" i="3"/>
  <c r="R551" i="3"/>
  <c r="R523" i="3"/>
  <c r="R581" i="3"/>
  <c r="R545" i="3"/>
  <c r="R533" i="3"/>
  <c r="R584" i="3"/>
  <c r="R576" i="3"/>
  <c r="R564" i="3"/>
  <c r="R544" i="3"/>
  <c r="R583" i="3"/>
  <c r="R427" i="3"/>
  <c r="R526" i="3"/>
  <c r="R514" i="3"/>
  <c r="R502" i="3"/>
  <c r="R490" i="3"/>
  <c r="R482" i="3"/>
  <c r="R525" i="3"/>
  <c r="R489" i="3"/>
  <c r="R511" i="3"/>
  <c r="R503" i="3"/>
  <c r="R471" i="3"/>
  <c r="R455" i="3"/>
  <c r="R439" i="3"/>
  <c r="R415" i="3"/>
  <c r="R563" i="3"/>
  <c r="R513" i="3"/>
  <c r="R481" i="3"/>
  <c r="R524" i="3"/>
  <c r="R512" i="3"/>
  <c r="R504" i="3"/>
  <c r="R492" i="3"/>
  <c r="R484" i="3"/>
  <c r="R575" i="3"/>
  <c r="R531" i="3"/>
  <c r="R491" i="3"/>
  <c r="R483" i="3"/>
  <c r="R582" i="3"/>
  <c r="R566" i="3"/>
  <c r="R546" i="3"/>
  <c r="R534" i="3"/>
  <c r="R577" i="3"/>
  <c r="R565" i="3"/>
  <c r="R553" i="3"/>
  <c r="R543" i="3"/>
  <c r="R403" i="3"/>
  <c r="R395" i="3"/>
  <c r="R387" i="3"/>
  <c r="R375" i="3"/>
  <c r="R367" i="3"/>
  <c r="R359" i="3"/>
  <c r="R351" i="3"/>
  <c r="R578" i="3"/>
  <c r="R554" i="3"/>
  <c r="R458" i="3"/>
  <c r="R438" i="3"/>
  <c r="R426" i="3"/>
  <c r="R414" i="3"/>
  <c r="R406" i="3"/>
  <c r="R398" i="3"/>
  <c r="R394" i="3"/>
  <c r="R390" i="3"/>
  <c r="R378" i="3"/>
  <c r="R366" i="3"/>
  <c r="R358" i="3"/>
  <c r="R350" i="3"/>
  <c r="R474" i="3"/>
  <c r="V59" i="3"/>
  <c r="V581" i="3"/>
  <c r="V577" i="3"/>
  <c r="V553" i="3"/>
  <c r="V545" i="3"/>
  <c r="V533" i="3"/>
  <c r="V584" i="3"/>
  <c r="V544" i="3"/>
  <c r="V512" i="3"/>
  <c r="V492" i="3"/>
  <c r="V583" i="3"/>
  <c r="V525" i="3"/>
  <c r="V513" i="3"/>
  <c r="V501" i="3"/>
  <c r="V489" i="3"/>
  <c r="V481" i="3"/>
  <c r="V576" i="3"/>
  <c r="V564" i="3"/>
  <c r="V552" i="3"/>
  <c r="V484" i="3"/>
  <c r="V575" i="3"/>
  <c r="V565" i="3"/>
  <c r="V524" i="3"/>
  <c r="V428" i="3"/>
  <c r="V471" i="3"/>
  <c r="V455" i="3"/>
  <c r="V439" i="3"/>
  <c r="V415" i="3"/>
  <c r="V403" i="3"/>
  <c r="V395" i="3"/>
  <c r="V387" i="3"/>
  <c r="V375" i="3"/>
  <c r="V367" i="3"/>
  <c r="V359" i="3"/>
  <c r="V351" i="3"/>
  <c r="V578" i="3"/>
  <c r="V458" i="3"/>
  <c r="V438" i="3"/>
  <c r="V426" i="3"/>
  <c r="V414" i="3"/>
  <c r="V406" i="3"/>
  <c r="V398" i="3"/>
  <c r="V390" i="3"/>
  <c r="V378" i="3"/>
  <c r="V366" i="3"/>
  <c r="V358" i="3"/>
  <c r="V350" i="3"/>
  <c r="V563" i="3"/>
  <c r="V437" i="3"/>
  <c r="V531" i="3"/>
  <c r="V523" i="3"/>
  <c r="V511" i="3"/>
  <c r="V503" i="3"/>
  <c r="V491" i="3"/>
  <c r="V483" i="3"/>
  <c r="V532" i="3"/>
  <c r="V504" i="3"/>
  <c r="V551" i="3"/>
  <c r="V543" i="3"/>
  <c r="V514" i="3"/>
  <c r="V490" i="3"/>
  <c r="V482" i="3"/>
  <c r="V474" i="3"/>
  <c r="V579" i="3"/>
  <c r="V473" i="3"/>
  <c r="V457" i="3"/>
  <c r="V425" i="3"/>
  <c r="V413" i="3"/>
  <c r="V405" i="3"/>
  <c r="V397" i="3"/>
  <c r="V389" i="3"/>
  <c r="V377" i="3"/>
  <c r="V365" i="3"/>
  <c r="V357" i="3"/>
  <c r="V580" i="3"/>
  <c r="V404" i="3"/>
  <c r="V388" i="3"/>
  <c r="V416" i="3"/>
  <c r="V368" i="3"/>
  <c r="V352" i="3"/>
  <c r="V582" i="3"/>
  <c r="V546" i="3"/>
  <c r="V534" i="3"/>
  <c r="V526" i="3"/>
  <c r="V502" i="3"/>
  <c r="V396" i="3"/>
  <c r="V472" i="3"/>
  <c r="V456" i="3"/>
  <c r="V360" i="3"/>
  <c r="V440" i="3"/>
  <c r="V376" i="3"/>
  <c r="V554" i="3"/>
  <c r="V566" i="3"/>
  <c r="V427" i="3"/>
  <c r="Z59" i="3"/>
  <c r="Z565" i="3"/>
  <c r="Z553" i="3"/>
  <c r="Z513" i="3"/>
  <c r="Z489" i="3"/>
  <c r="Z481" i="3"/>
  <c r="Z564" i="3"/>
  <c r="Z532" i="3"/>
  <c r="Z579" i="3"/>
  <c r="Z473" i="3"/>
  <c r="Z457" i="3"/>
  <c r="Z437" i="3"/>
  <c r="Z425" i="3"/>
  <c r="Z413" i="3"/>
  <c r="Z405" i="3"/>
  <c r="Z397" i="3"/>
  <c r="Z389" i="3"/>
  <c r="Z377" i="3"/>
  <c r="Z365" i="3"/>
  <c r="Z357" i="3"/>
  <c r="Z580" i="3"/>
  <c r="Z472" i="3"/>
  <c r="Z456" i="3"/>
  <c r="Z440" i="3"/>
  <c r="Z416" i="3"/>
  <c r="Z404" i="3"/>
  <c r="Z396" i="3"/>
  <c r="Z388" i="3"/>
  <c r="Z376" i="3"/>
  <c r="Z368" i="3"/>
  <c r="Z360" i="3"/>
  <c r="Z352" i="3"/>
  <c r="Z551" i="3"/>
  <c r="Z531" i="3"/>
  <c r="Z582" i="3"/>
  <c r="Z546" i="3"/>
  <c r="Z534" i="3"/>
  <c r="Z543" i="3"/>
  <c r="Z503" i="3"/>
  <c r="Z483" i="3"/>
  <c r="Z577" i="3"/>
  <c r="Z428" i="3"/>
  <c r="Z511" i="3"/>
  <c r="Z427" i="3"/>
  <c r="Z563" i="3"/>
  <c r="Z545" i="3"/>
  <c r="Z533" i="3"/>
  <c r="Z525" i="3"/>
  <c r="Z501" i="3"/>
  <c r="Z584" i="3"/>
  <c r="Z576" i="3"/>
  <c r="Z552" i="3"/>
  <c r="Z544" i="3"/>
  <c r="Z524" i="3"/>
  <c r="Z512" i="3"/>
  <c r="Z471" i="3"/>
  <c r="Z455" i="3"/>
  <c r="Z439" i="3"/>
  <c r="Z415" i="3"/>
  <c r="Z403" i="3"/>
  <c r="Z395" i="3"/>
  <c r="Z387" i="3"/>
  <c r="Z375" i="3"/>
  <c r="Z367" i="3"/>
  <c r="Z359" i="3"/>
  <c r="Z351" i="3"/>
  <c r="Z578" i="3"/>
  <c r="Z458" i="3"/>
  <c r="Z438" i="3"/>
  <c r="Z426" i="3"/>
  <c r="Z414" i="3"/>
  <c r="Z406" i="3"/>
  <c r="Z398" i="3"/>
  <c r="Z390" i="3"/>
  <c r="Z378" i="3"/>
  <c r="Z366" i="3"/>
  <c r="Z358" i="3"/>
  <c r="Z492" i="3"/>
  <c r="Z491" i="3"/>
  <c r="Z474" i="3"/>
  <c r="Z504" i="3"/>
  <c r="Z575" i="3"/>
  <c r="Z566" i="3"/>
  <c r="Z484" i="3"/>
  <c r="Z583" i="3"/>
  <c r="Z523" i="3"/>
  <c r="Z502" i="3"/>
  <c r="Z554" i="3"/>
  <c r="Z490" i="3"/>
  <c r="Z482" i="3"/>
  <c r="Z526" i="3"/>
  <c r="Z514" i="3"/>
  <c r="AD59" i="3"/>
  <c r="AD525" i="3"/>
  <c r="AD513" i="3"/>
  <c r="AD501" i="3"/>
  <c r="AD489" i="3"/>
  <c r="AD481" i="3"/>
  <c r="AD576" i="3"/>
  <c r="AD564" i="3"/>
  <c r="AD552" i="3"/>
  <c r="AD524" i="3"/>
  <c r="AD492" i="3"/>
  <c r="AD484" i="3"/>
  <c r="AD428" i="3"/>
  <c r="AD575" i="3"/>
  <c r="AD565" i="3"/>
  <c r="AD553" i="3"/>
  <c r="AD545" i="3"/>
  <c r="AD533" i="3"/>
  <c r="AD544" i="3"/>
  <c r="AD583" i="3"/>
  <c r="AD543" i="3"/>
  <c r="AD523" i="3"/>
  <c r="AD563" i="3"/>
  <c r="AD512" i="3"/>
  <c r="AD504" i="3"/>
  <c r="AD531" i="3"/>
  <c r="AD474" i="3"/>
  <c r="AD577" i="3"/>
  <c r="AD532" i="3"/>
  <c r="AD427" i="3"/>
  <c r="AD579" i="3"/>
  <c r="AD473" i="3"/>
  <c r="AD457" i="3"/>
  <c r="AD437" i="3"/>
  <c r="AD425" i="3"/>
  <c r="AD413" i="3"/>
  <c r="AD405" i="3"/>
  <c r="AD397" i="3"/>
  <c r="AD389" i="3"/>
  <c r="AD377" i="3"/>
  <c r="AD365" i="3"/>
  <c r="AD357" i="3"/>
  <c r="AD472" i="3"/>
  <c r="AD456" i="3"/>
  <c r="AD440" i="3"/>
  <c r="AD416" i="3"/>
  <c r="AD404" i="3"/>
  <c r="AD396" i="3"/>
  <c r="AD388" i="3"/>
  <c r="AD376" i="3"/>
  <c r="AD368" i="3"/>
  <c r="AD360" i="3"/>
  <c r="AD352" i="3"/>
  <c r="AD471" i="3"/>
  <c r="AD455" i="3"/>
  <c r="AD439" i="3"/>
  <c r="AD415" i="3"/>
  <c r="AD403" i="3"/>
  <c r="AD395" i="3"/>
  <c r="AD387" i="3"/>
  <c r="AD375" i="3"/>
  <c r="AD367" i="3"/>
  <c r="AD359" i="3"/>
  <c r="AD351" i="3"/>
  <c r="AD578" i="3"/>
  <c r="AD526" i="3"/>
  <c r="AD502" i="3"/>
  <c r="AD458" i="3"/>
  <c r="AD438" i="3"/>
  <c r="AD426" i="3"/>
  <c r="AD414" i="3"/>
  <c r="AD406" i="3"/>
  <c r="AD398" i="3"/>
  <c r="AD390" i="3"/>
  <c r="AD378" i="3"/>
  <c r="AD366" i="3"/>
  <c r="AD358" i="3"/>
  <c r="AD551" i="3"/>
  <c r="AD491" i="3"/>
  <c r="AD483" i="3"/>
  <c r="AD582" i="3"/>
  <c r="AD566" i="3"/>
  <c r="AD554" i="3"/>
  <c r="AD546" i="3"/>
  <c r="AD534" i="3"/>
  <c r="AD511" i="3"/>
  <c r="AD503" i="3"/>
  <c r="AD514" i="3"/>
  <c r="AD482" i="3"/>
  <c r="AD490" i="3"/>
  <c r="AH59" i="3"/>
  <c r="AH352" i="3"/>
  <c r="AH351" i="3"/>
  <c r="AL59" i="3"/>
  <c r="AP59" i="3"/>
  <c r="AT59" i="3"/>
  <c r="AX59" i="3"/>
  <c r="P1971" i="3"/>
  <c r="P1955" i="3"/>
  <c r="P2001" i="3"/>
  <c r="P1997" i="3"/>
  <c r="P1969" i="3"/>
  <c r="P1949" i="3"/>
  <c r="P1941" i="3"/>
  <c r="P1937" i="3"/>
  <c r="P1917" i="3"/>
  <c r="P1869" i="3"/>
  <c r="P1865" i="3"/>
  <c r="P1861" i="3"/>
  <c r="P1853" i="3"/>
  <c r="P1849" i="3"/>
  <c r="P1845" i="3"/>
  <c r="P1841" i="3"/>
  <c r="P1988" i="3"/>
  <c r="P1972" i="3"/>
  <c r="P1960" i="3"/>
  <c r="P1956" i="3"/>
  <c r="P1948" i="3"/>
  <c r="P1940" i="3"/>
  <c r="P1936" i="3"/>
  <c r="P1967" i="3"/>
  <c r="P1993" i="3"/>
  <c r="P1921" i="3"/>
  <c r="P1909" i="3"/>
  <c r="P1905" i="3"/>
  <c r="P1893" i="3"/>
  <c r="P1885" i="3"/>
  <c r="P1877" i="3"/>
  <c r="P1829" i="3"/>
  <c r="P1821" i="3"/>
  <c r="P1817" i="3"/>
  <c r="P1809" i="3"/>
  <c r="P1801" i="3"/>
  <c r="P1785" i="3"/>
  <c r="P1781" i="3"/>
  <c r="P1773" i="3"/>
  <c r="P1769" i="3"/>
  <c r="P1761" i="3"/>
  <c r="P1753" i="3"/>
  <c r="P1749" i="3"/>
  <c r="P1916" i="3"/>
  <c r="P1908" i="3"/>
  <c r="P1888" i="3"/>
  <c r="P1832" i="3"/>
  <c r="P1897" i="3"/>
  <c r="P1876" i="3"/>
  <c r="P1868" i="3"/>
  <c r="P1864" i="3"/>
  <c r="P1860" i="3"/>
  <c r="P1852" i="3"/>
  <c r="P1848" i="3"/>
  <c r="P1844" i="3"/>
  <c r="P1959" i="3"/>
  <c r="P1927" i="3"/>
  <c r="P1919" i="3"/>
  <c r="P1907" i="3"/>
  <c r="P1887" i="3"/>
  <c r="P1831" i="3"/>
  <c r="P1930" i="3"/>
  <c r="P1922" i="3"/>
  <c r="P1918" i="3"/>
  <c r="P1910" i="3"/>
  <c r="P1898" i="3"/>
  <c r="P1894" i="3"/>
  <c r="P1878" i="3"/>
  <c r="P1929" i="3"/>
  <c r="P1928" i="3"/>
  <c r="P1920" i="3"/>
  <c r="P1900" i="3"/>
  <c r="P1896" i="3"/>
  <c r="P1880" i="3"/>
  <c r="P1935" i="3"/>
  <c r="P1867" i="3"/>
  <c r="P1859" i="3"/>
  <c r="P1851" i="3"/>
  <c r="P1843" i="3"/>
  <c r="P2015" i="3"/>
  <c r="P2007" i="3"/>
  <c r="P1999" i="3"/>
  <c r="P1991" i="3"/>
  <c r="P1987" i="3"/>
  <c r="P2017" i="3"/>
  <c r="P2013" i="3"/>
  <c r="P2009" i="3"/>
  <c r="P1989" i="3"/>
  <c r="P1985" i="3"/>
  <c r="P1973" i="3"/>
  <c r="P1961" i="3"/>
  <c r="P1957" i="3"/>
  <c r="P2016" i="3"/>
  <c r="P2012" i="3"/>
  <c r="P2008" i="3"/>
  <c r="P2000" i="3"/>
  <c r="P1996" i="3"/>
  <c r="P1992" i="3"/>
  <c r="P1968" i="3"/>
  <c r="P1824" i="3"/>
  <c r="P1820" i="3"/>
  <c r="P1812" i="3"/>
  <c r="P1808" i="3"/>
  <c r="P1800" i="3"/>
  <c r="P1792" i="3"/>
  <c r="P1784" i="3"/>
  <c r="P1780" i="3"/>
  <c r="P1772" i="3"/>
  <c r="P1764" i="3"/>
  <c r="P1756" i="3"/>
  <c r="P1748" i="3"/>
  <c r="P2011" i="3"/>
  <c r="P2003" i="3"/>
  <c r="P1995" i="3"/>
  <c r="P1947" i="3"/>
  <c r="P1939" i="3"/>
  <c r="P1863" i="3"/>
  <c r="P1847" i="3"/>
  <c r="P1823" i="3"/>
  <c r="P1819" i="3"/>
  <c r="P1811" i="3"/>
  <c r="P1807" i="3"/>
  <c r="P1799" i="3"/>
  <c r="P1791" i="3"/>
  <c r="P1783" i="3"/>
  <c r="P1779" i="3"/>
  <c r="P1771" i="3"/>
  <c r="P1763" i="3"/>
  <c r="P1755" i="3"/>
  <c r="P1747" i="3"/>
  <c r="P2014" i="3"/>
  <c r="P2010" i="3"/>
  <c r="P2002" i="3"/>
  <c r="P1998" i="3"/>
  <c r="P1994" i="3"/>
  <c r="P1990" i="3"/>
  <c r="P1986" i="3"/>
  <c r="P1970" i="3"/>
  <c r="P1870" i="3"/>
  <c r="P1866" i="3"/>
  <c r="P1862" i="3"/>
  <c r="P1854" i="3"/>
  <c r="P1850" i="3"/>
  <c r="P1846" i="3"/>
  <c r="P1842" i="3"/>
  <c r="P1822" i="3"/>
  <c r="P1818" i="3"/>
  <c r="P1810" i="3"/>
  <c r="P1802" i="3"/>
  <c r="P1786" i="3"/>
  <c r="P1782" i="3"/>
  <c r="P1774" i="3"/>
  <c r="P1770" i="3"/>
  <c r="P1762" i="3"/>
  <c r="P1754" i="3"/>
  <c r="P1746" i="3"/>
  <c r="P1833" i="3"/>
  <c r="P1836" i="3"/>
  <c r="P1895" i="3"/>
  <c r="P1879" i="3"/>
  <c r="P1834" i="3"/>
  <c r="P1830" i="3"/>
  <c r="P1835" i="3"/>
  <c r="P1906" i="3"/>
  <c r="P1886" i="3"/>
  <c r="P1915" i="3"/>
  <c r="P1899" i="3"/>
  <c r="P1950" i="3"/>
  <c r="P1962" i="3"/>
  <c r="P1875" i="3"/>
  <c r="P1958" i="3"/>
  <c r="P2006" i="3"/>
  <c r="P1974" i="3"/>
  <c r="P1942" i="3"/>
  <c r="P1938" i="3"/>
  <c r="T2015" i="3"/>
  <c r="T2007" i="3"/>
  <c r="T1999" i="3"/>
  <c r="T1991" i="3"/>
  <c r="T1987" i="3"/>
  <c r="T2017" i="3"/>
  <c r="T2013" i="3"/>
  <c r="T2009" i="3"/>
  <c r="T1989" i="3"/>
  <c r="T1985" i="3"/>
  <c r="T1973" i="3"/>
  <c r="T1961" i="3"/>
  <c r="T1957" i="3"/>
  <c r="T1897" i="3"/>
  <c r="T2016" i="3"/>
  <c r="T2012" i="3"/>
  <c r="T2008" i="3"/>
  <c r="T2000" i="3"/>
  <c r="T1992" i="3"/>
  <c r="T1968" i="3"/>
  <c r="T1876" i="3"/>
  <c r="T1868" i="3"/>
  <c r="T1864" i="3"/>
  <c r="T1860" i="3"/>
  <c r="T1852" i="3"/>
  <c r="T1848" i="3"/>
  <c r="T1844" i="3"/>
  <c r="T1824" i="3"/>
  <c r="T1820" i="3"/>
  <c r="T1812" i="3"/>
  <c r="T1808" i="3"/>
  <c r="T1800" i="3"/>
  <c r="T1792" i="3"/>
  <c r="T1784" i="3"/>
  <c r="T1780" i="3"/>
  <c r="T1772" i="3"/>
  <c r="T1764" i="3"/>
  <c r="T1756" i="3"/>
  <c r="T1748" i="3"/>
  <c r="T2011" i="3"/>
  <c r="T2003" i="3"/>
  <c r="T1929" i="3"/>
  <c r="T1833" i="3"/>
  <c r="T1928" i="3"/>
  <c r="T1920" i="3"/>
  <c r="T1900" i="3"/>
  <c r="T1896" i="3"/>
  <c r="T1880" i="3"/>
  <c r="T1836" i="3"/>
  <c r="T1947" i="3"/>
  <c r="T1939" i="3"/>
  <c r="T1927" i="3"/>
  <c r="T1919" i="3"/>
  <c r="T1921" i="3"/>
  <c r="T1909" i="3"/>
  <c r="T1905" i="3"/>
  <c r="T1893" i="3"/>
  <c r="T1885" i="3"/>
  <c r="T1877" i="3"/>
  <c r="T1916" i="3"/>
  <c r="T1908" i="3"/>
  <c r="T1888" i="3"/>
  <c r="T1935" i="3"/>
  <c r="T1867" i="3"/>
  <c r="T1859" i="3"/>
  <c r="T1851" i="3"/>
  <c r="T1843" i="3"/>
  <c r="T2006" i="3"/>
  <c r="T1974" i="3"/>
  <c r="T1962" i="3"/>
  <c r="T1958" i="3"/>
  <c r="T1950" i="3"/>
  <c r="T1942" i="3"/>
  <c r="T1938" i="3"/>
  <c r="T1834" i="3"/>
  <c r="T1830" i="3"/>
  <c r="T1971" i="3"/>
  <c r="T1955" i="3"/>
  <c r="T2001" i="3"/>
  <c r="T1997" i="3"/>
  <c r="T1969" i="3"/>
  <c r="T1949" i="3"/>
  <c r="T1941" i="3"/>
  <c r="T1937" i="3"/>
  <c r="T1988" i="3"/>
  <c r="T1972" i="3"/>
  <c r="T1960" i="3"/>
  <c r="T1956" i="3"/>
  <c r="T1948" i="3"/>
  <c r="T1940" i="3"/>
  <c r="T1936" i="3"/>
  <c r="T1967" i="3"/>
  <c r="T1863" i="3"/>
  <c r="T1847" i="3"/>
  <c r="T1823" i="3"/>
  <c r="T1819" i="3"/>
  <c r="T1811" i="3"/>
  <c r="T1829" i="3"/>
  <c r="T1821" i="3"/>
  <c r="T1817" i="3"/>
  <c r="T1809" i="3"/>
  <c r="T1801" i="3"/>
  <c r="T1793" i="3"/>
  <c r="T1785" i="3"/>
  <c r="T1781" i="3"/>
  <c r="T1773" i="3"/>
  <c r="T1769" i="3"/>
  <c r="T1761" i="3"/>
  <c r="T1753" i="3"/>
  <c r="T1749" i="3"/>
  <c r="T1832" i="3"/>
  <c r="T1915" i="3"/>
  <c r="T1899" i="3"/>
  <c r="T1895" i="3"/>
  <c r="T1879" i="3"/>
  <c r="T1875" i="3"/>
  <c r="T1835" i="3"/>
  <c r="T1906" i="3"/>
  <c r="T1886" i="3"/>
  <c r="T1917" i="3"/>
  <c r="T1869" i="3"/>
  <c r="T1865" i="3"/>
  <c r="T1861" i="3"/>
  <c r="T1853" i="3"/>
  <c r="T1849" i="3"/>
  <c r="T1845" i="3"/>
  <c r="T1841" i="3"/>
  <c r="T1831" i="3"/>
  <c r="T1887" i="3"/>
  <c r="T1870" i="3"/>
  <c r="T1866" i="3"/>
  <c r="T1862" i="3"/>
  <c r="T1854" i="3"/>
  <c r="T1850" i="3"/>
  <c r="T1846" i="3"/>
  <c r="T1842" i="3"/>
  <c r="T1930" i="3"/>
  <c r="T1922" i="3"/>
  <c r="T1918" i="3"/>
  <c r="T1910" i="3"/>
  <c r="T1898" i="3"/>
  <c r="T1894" i="3"/>
  <c r="T1878" i="3"/>
  <c r="T1959" i="3"/>
  <c r="T1907" i="3"/>
  <c r="T1799" i="3"/>
  <c r="T1783" i="3"/>
  <c r="T2014" i="3"/>
  <c r="T1998" i="3"/>
  <c r="T1779" i="3"/>
  <c r="T1763" i="3"/>
  <c r="T1747" i="3"/>
  <c r="T2010" i="3"/>
  <c r="T1807" i="3"/>
  <c r="T1990" i="3"/>
  <c r="T1782" i="3"/>
  <c r="T1771" i="3"/>
  <c r="T1986" i="3"/>
  <c r="T1810" i="3"/>
  <c r="T1794" i="3"/>
  <c r="T1746" i="3"/>
  <c r="T1791" i="3"/>
  <c r="T1818" i="3"/>
  <c r="T1774" i="3"/>
  <c r="T1755" i="3"/>
  <c r="T2002" i="3"/>
  <c r="T1970" i="3"/>
  <c r="T1822" i="3"/>
  <c r="T1802" i="3"/>
  <c r="T1786" i="3"/>
  <c r="T1770" i="3"/>
  <c r="T1754" i="3"/>
  <c r="T1762" i="3"/>
  <c r="X1921" i="3"/>
  <c r="X1909" i="3"/>
  <c r="X1905" i="3"/>
  <c r="X1893" i="3"/>
  <c r="X1885" i="3"/>
  <c r="X1877" i="3"/>
  <c r="X1829" i="3"/>
  <c r="X1821" i="3"/>
  <c r="X1817" i="3"/>
  <c r="X1809" i="3"/>
  <c r="X1801" i="3"/>
  <c r="X1793" i="3"/>
  <c r="X1785" i="3"/>
  <c r="X1781" i="3"/>
  <c r="X1773" i="3"/>
  <c r="X1769" i="3"/>
  <c r="X1761" i="3"/>
  <c r="X1753" i="3"/>
  <c r="X1749" i="3"/>
  <c r="X1916" i="3"/>
  <c r="X1908" i="3"/>
  <c r="X1888" i="3"/>
  <c r="X1832" i="3"/>
  <c r="X1971" i="3"/>
  <c r="X1955" i="3"/>
  <c r="X2001" i="3"/>
  <c r="X1997" i="3"/>
  <c r="X1969" i="3"/>
  <c r="X1949" i="3"/>
  <c r="X1941" i="3"/>
  <c r="X1937" i="3"/>
  <c r="X1917" i="3"/>
  <c r="X1869" i="3"/>
  <c r="X1865" i="3"/>
  <c r="X1861" i="3"/>
  <c r="X1853" i="3"/>
  <c r="X1849" i="3"/>
  <c r="X1845" i="3"/>
  <c r="X1841" i="3"/>
  <c r="X1988" i="3"/>
  <c r="X1972" i="3"/>
  <c r="X1960" i="3"/>
  <c r="X1956" i="3"/>
  <c r="X1948" i="3"/>
  <c r="X1940" i="3"/>
  <c r="X1936" i="3"/>
  <c r="X1967" i="3"/>
  <c r="X1935" i="3"/>
  <c r="X1929" i="3"/>
  <c r="X1928" i="3"/>
  <c r="X1920" i="3"/>
  <c r="X1900" i="3"/>
  <c r="X1896" i="3"/>
  <c r="X1880" i="3"/>
  <c r="X1863" i="3"/>
  <c r="X1847" i="3"/>
  <c r="X1823" i="3"/>
  <c r="X1819" i="3"/>
  <c r="X1811" i="3"/>
  <c r="X1807" i="3"/>
  <c r="X1799" i="3"/>
  <c r="X1791" i="3"/>
  <c r="X1783" i="3"/>
  <c r="X1779" i="3"/>
  <c r="X1771" i="3"/>
  <c r="X1763" i="3"/>
  <c r="X1755" i="3"/>
  <c r="X1747" i="3"/>
  <c r="X2014" i="3"/>
  <c r="X2010" i="3"/>
  <c r="X2002" i="3"/>
  <c r="X1998" i="3"/>
  <c r="X1990" i="3"/>
  <c r="X1986" i="3"/>
  <c r="X1970" i="3"/>
  <c r="X1870" i="3"/>
  <c r="X1866" i="3"/>
  <c r="X1862" i="3"/>
  <c r="X1854" i="3"/>
  <c r="X1850" i="3"/>
  <c r="X1846" i="3"/>
  <c r="X1842" i="3"/>
  <c r="X1822" i="3"/>
  <c r="X1818" i="3"/>
  <c r="X1810" i="3"/>
  <c r="X1802" i="3"/>
  <c r="X1794" i="3"/>
  <c r="X1786" i="3"/>
  <c r="X1782" i="3"/>
  <c r="X1774" i="3"/>
  <c r="X1770" i="3"/>
  <c r="X1762" i="3"/>
  <c r="X1754" i="3"/>
  <c r="X1746" i="3"/>
  <c r="X2015" i="3"/>
  <c r="X2007" i="3"/>
  <c r="X1999" i="3"/>
  <c r="X1991" i="3"/>
  <c r="X1987" i="3"/>
  <c r="X2017" i="3"/>
  <c r="X2013" i="3"/>
  <c r="X2009" i="3"/>
  <c r="X1989" i="3"/>
  <c r="X1985" i="3"/>
  <c r="X1973" i="3"/>
  <c r="X1961" i="3"/>
  <c r="X1957" i="3"/>
  <c r="X2016" i="3"/>
  <c r="X2012" i="3"/>
  <c r="X2008" i="3"/>
  <c r="X2000" i="3"/>
  <c r="X1992" i="3"/>
  <c r="X1968" i="3"/>
  <c r="X1824" i="3"/>
  <c r="X1820" i="3"/>
  <c r="X1812" i="3"/>
  <c r="X1808" i="3"/>
  <c r="X1800" i="3"/>
  <c r="X1792" i="3"/>
  <c r="X1784" i="3"/>
  <c r="X1780" i="3"/>
  <c r="X1772" i="3"/>
  <c r="X1764" i="3"/>
  <c r="X1756" i="3"/>
  <c r="X1748" i="3"/>
  <c r="X2011" i="3"/>
  <c r="X2003" i="3"/>
  <c r="X1947" i="3"/>
  <c r="X1939" i="3"/>
  <c r="X1915" i="3"/>
  <c r="X1899" i="3"/>
  <c r="X1895" i="3"/>
  <c r="X1879" i="3"/>
  <c r="X1875" i="3"/>
  <c r="X1835" i="3"/>
  <c r="X1833" i="3"/>
  <c r="X1836" i="3"/>
  <c r="X1959" i="3"/>
  <c r="X1907" i="3"/>
  <c r="X1887" i="3"/>
  <c r="X1831" i="3"/>
  <c r="X1930" i="3"/>
  <c r="X1922" i="3"/>
  <c r="X1918" i="3"/>
  <c r="X1910" i="3"/>
  <c r="X1898" i="3"/>
  <c r="X1894" i="3"/>
  <c r="X1878" i="3"/>
  <c r="X1897" i="3"/>
  <c r="X1868" i="3"/>
  <c r="X1852" i="3"/>
  <c r="X1919" i="3"/>
  <c r="X1834" i="3"/>
  <c r="X1830" i="3"/>
  <c r="X1864" i="3"/>
  <c r="X1848" i="3"/>
  <c r="X1927" i="3"/>
  <c r="X1906" i="3"/>
  <c r="X1886" i="3"/>
  <c r="X1876" i="3"/>
  <c r="X1860" i="3"/>
  <c r="X1844" i="3"/>
  <c r="X1867" i="3"/>
  <c r="X1859" i="3"/>
  <c r="X1851" i="3"/>
  <c r="X1843" i="3"/>
  <c r="X2006" i="3"/>
  <c r="X1974" i="3"/>
  <c r="X1962" i="3"/>
  <c r="X1958" i="3"/>
  <c r="X1950" i="3"/>
  <c r="X1942" i="3"/>
  <c r="X1938" i="3"/>
  <c r="AF1971" i="3"/>
  <c r="AF1955" i="3"/>
  <c r="AF2001" i="3"/>
  <c r="AF1997" i="3"/>
  <c r="AF1981" i="3"/>
  <c r="AF1969" i="3"/>
  <c r="AF1965" i="3"/>
  <c r="AF1949" i="3"/>
  <c r="AF1945" i="3"/>
  <c r="AF1941" i="3"/>
  <c r="AF1937" i="3"/>
  <c r="AF1917" i="3"/>
  <c r="AF1873" i="3"/>
  <c r="AF1869" i="3"/>
  <c r="AF1865" i="3"/>
  <c r="AF1861" i="3"/>
  <c r="AF1857" i="3"/>
  <c r="AF1853" i="3"/>
  <c r="AF1849" i="3"/>
  <c r="AF1845" i="3"/>
  <c r="AF1841" i="3"/>
  <c r="AF1837" i="3"/>
  <c r="AF1988" i="3"/>
  <c r="AF1984" i="3"/>
  <c r="AF1976" i="3"/>
  <c r="AF1972" i="3"/>
  <c r="AF1964" i="3"/>
  <c r="AF1960" i="3"/>
  <c r="AF1956" i="3"/>
  <c r="AF1948" i="3"/>
  <c r="AF1944" i="3"/>
  <c r="AF1940" i="3"/>
  <c r="AF1936" i="3"/>
  <c r="AF1967" i="3"/>
  <c r="AF1921" i="3"/>
  <c r="AF1909" i="3"/>
  <c r="AF1905" i="3"/>
  <c r="AF1901" i="3"/>
  <c r="AF1893" i="3"/>
  <c r="AF1889" i="3"/>
  <c r="AF1885" i="3"/>
  <c r="AF1877" i="3"/>
  <c r="AF1829" i="3"/>
  <c r="AF1825" i="3"/>
  <c r="AF1821" i="3"/>
  <c r="AF1817" i="3"/>
  <c r="AF1813" i="3"/>
  <c r="AF1809" i="3"/>
  <c r="AF1801" i="3"/>
  <c r="AF1793" i="3"/>
  <c r="AF1789" i="3"/>
  <c r="AF1785" i="3"/>
  <c r="AF1781" i="3"/>
  <c r="AF1777" i="3"/>
  <c r="AF1773" i="3"/>
  <c r="AF1769" i="3"/>
  <c r="AF1761" i="3"/>
  <c r="AF1757" i="3"/>
  <c r="AF1753" i="3"/>
  <c r="AF1749" i="3"/>
  <c r="AF1916" i="3"/>
  <c r="AF1908" i="3"/>
  <c r="AF1904" i="3"/>
  <c r="AF1892" i="3"/>
  <c r="AF1888" i="3"/>
  <c r="AF1832" i="3"/>
  <c r="AF2015" i="3"/>
  <c r="AF2007" i="3"/>
  <c r="AF1999" i="3"/>
  <c r="AF1991" i="3"/>
  <c r="AF1987" i="3"/>
  <c r="AF1979" i="3"/>
  <c r="AF1963" i="3"/>
  <c r="AF2017" i="3"/>
  <c r="AF2013" i="3"/>
  <c r="AF2009" i="3"/>
  <c r="AF1989" i="3"/>
  <c r="AF1985" i="3"/>
  <c r="AF1977" i="3"/>
  <c r="AF1973" i="3"/>
  <c r="AF1961" i="3"/>
  <c r="AF1957" i="3"/>
  <c r="AF2016" i="3"/>
  <c r="AF2012" i="3"/>
  <c r="AF2008" i="3"/>
  <c r="AF2000" i="3"/>
  <c r="AF1992" i="3"/>
  <c r="AF1980" i="3"/>
  <c r="AF1968" i="3"/>
  <c r="AF1824" i="3"/>
  <c r="AF1820" i="3"/>
  <c r="AF1816" i="3"/>
  <c r="AF1812" i="3"/>
  <c r="AF1808" i="3"/>
  <c r="AF1800" i="3"/>
  <c r="AF1792" i="3"/>
  <c r="AF1788" i="3"/>
  <c r="AF1784" i="3"/>
  <c r="AF1780" i="3"/>
  <c r="AF1776" i="3"/>
  <c r="AF1772" i="3"/>
  <c r="AF1764" i="3"/>
  <c r="AF1760" i="3"/>
  <c r="AF1756" i="3"/>
  <c r="AF1748" i="3"/>
  <c r="AF2011" i="3"/>
  <c r="AF2003" i="3"/>
  <c r="AF1983" i="3"/>
  <c r="AF1975" i="3"/>
  <c r="AF1907" i="3"/>
  <c r="AF1903" i="3"/>
  <c r="AF1891" i="3"/>
  <c r="AF1887" i="3"/>
  <c r="AF1831" i="3"/>
  <c r="AF1930" i="3"/>
  <c r="AF1922" i="3"/>
  <c r="AF1918" i="3"/>
  <c r="AF1914" i="3"/>
  <c r="AF1910" i="3"/>
  <c r="AF1898" i="3"/>
  <c r="AF1894" i="3"/>
  <c r="AF1882" i="3"/>
  <c r="AF1878" i="3"/>
  <c r="AF1833" i="3"/>
  <c r="AF1836" i="3"/>
  <c r="AF1828" i="3"/>
  <c r="AF1959" i="3"/>
  <c r="AF1927" i="3"/>
  <c r="AF1919" i="3"/>
  <c r="AF1867" i="3"/>
  <c r="AF1859" i="3"/>
  <c r="AF1851" i="3"/>
  <c r="AF1843" i="3"/>
  <c r="AF1913" i="3"/>
  <c r="AF1897" i="3"/>
  <c r="AF1881" i="3"/>
  <c r="AF1876" i="3"/>
  <c r="AF1872" i="3"/>
  <c r="AF1868" i="3"/>
  <c r="AF1864" i="3"/>
  <c r="AF1860" i="3"/>
  <c r="AF1856" i="3"/>
  <c r="AF1852" i="3"/>
  <c r="AF1848" i="3"/>
  <c r="AF1844" i="3"/>
  <c r="AF1840" i="3"/>
  <c r="AF1943" i="3"/>
  <c r="AF1935" i="3"/>
  <c r="AF1871" i="3"/>
  <c r="AF1863" i="3"/>
  <c r="AF1855" i="3"/>
  <c r="AF1847" i="3"/>
  <c r="AF1839" i="3"/>
  <c r="AF1823" i="3"/>
  <c r="AF1819" i="3"/>
  <c r="AF1815" i="3"/>
  <c r="AF1811" i="3"/>
  <c r="AF1807" i="3"/>
  <c r="AF1799" i="3"/>
  <c r="AF1791" i="3"/>
  <c r="AF1787" i="3"/>
  <c r="AF1783" i="3"/>
  <c r="AF1779" i="3"/>
  <c r="AF1775" i="3"/>
  <c r="AF1771" i="3"/>
  <c r="AF1763" i="3"/>
  <c r="AF1759" i="3"/>
  <c r="AF1755" i="3"/>
  <c r="AF1747" i="3"/>
  <c r="AF2014" i="3"/>
  <c r="AF2010" i="3"/>
  <c r="AF2002" i="3"/>
  <c r="AF1998" i="3"/>
  <c r="AF1990" i="3"/>
  <c r="AF1986" i="3"/>
  <c r="AF1970" i="3"/>
  <c r="AF1966" i="3"/>
  <c r="AF1874" i="3"/>
  <c r="AF1870" i="3"/>
  <c r="AF1866" i="3"/>
  <c r="AF1862" i="3"/>
  <c r="AF1858" i="3"/>
  <c r="AF1854" i="3"/>
  <c r="AF1850" i="3"/>
  <c r="AF1846" i="3"/>
  <c r="AF1842" i="3"/>
  <c r="AF1838" i="3"/>
  <c r="AF1826" i="3"/>
  <c r="AF1822" i="3"/>
  <c r="AF1818" i="3"/>
  <c r="AF1814" i="3"/>
  <c r="AF1810" i="3"/>
  <c r="AF1802" i="3"/>
  <c r="AF1794" i="3"/>
  <c r="AF1790" i="3"/>
  <c r="AF1786" i="3"/>
  <c r="AF1782" i="3"/>
  <c r="AF1778" i="3"/>
  <c r="AF1774" i="3"/>
  <c r="AF1770" i="3"/>
  <c r="AF1762" i="3"/>
  <c r="AF1758" i="3"/>
  <c r="AF1754" i="3"/>
  <c r="AF1750" i="3"/>
  <c r="AF1746" i="3"/>
  <c r="AF1929" i="3"/>
  <c r="AF1928" i="3"/>
  <c r="AF1920" i="3"/>
  <c r="AF1912" i="3"/>
  <c r="AF1900" i="3"/>
  <c r="AF1884" i="3"/>
  <c r="AF1939" i="3"/>
  <c r="AF1911" i="3"/>
  <c r="AF1895" i="3"/>
  <c r="AF1879" i="3"/>
  <c r="AF1906" i="3"/>
  <c r="AF1902" i="3"/>
  <c r="AF1890" i="3"/>
  <c r="AF1886" i="3"/>
  <c r="AF1896" i="3"/>
  <c r="AF1880" i="3"/>
  <c r="AF1947" i="3"/>
  <c r="AF1835" i="3"/>
  <c r="AF1827" i="3"/>
  <c r="AF2006" i="3"/>
  <c r="AF1978" i="3"/>
  <c r="AF1974" i="3"/>
  <c r="AF1962" i="3"/>
  <c r="AF1958" i="3"/>
  <c r="AF1950" i="3"/>
  <c r="AF1946" i="3"/>
  <c r="AF1942" i="3"/>
  <c r="AF1938" i="3"/>
  <c r="AF1915" i="3"/>
  <c r="AF1899" i="3"/>
  <c r="AF1883" i="3"/>
  <c r="AF1875" i="3"/>
  <c r="AF1830" i="3"/>
  <c r="AF1834" i="3"/>
  <c r="AJ2015" i="3"/>
  <c r="AJ2007" i="3"/>
  <c r="AJ1999" i="3"/>
  <c r="AJ1991" i="3"/>
  <c r="AJ1987" i="3"/>
  <c r="AJ1979" i="3"/>
  <c r="AJ1963" i="3"/>
  <c r="AJ2017" i="3"/>
  <c r="AJ2013" i="3"/>
  <c r="AJ2009" i="3"/>
  <c r="AJ1989" i="3"/>
  <c r="AJ1985" i="3"/>
  <c r="AJ1977" i="3"/>
  <c r="AJ1973" i="3"/>
  <c r="AJ1961" i="3"/>
  <c r="AJ1957" i="3"/>
  <c r="AJ1913" i="3"/>
  <c r="AJ1897" i="3"/>
  <c r="AJ1881" i="3"/>
  <c r="AJ2016" i="3"/>
  <c r="AJ2012" i="3"/>
  <c r="AJ2008" i="3"/>
  <c r="AJ2000" i="3"/>
  <c r="AJ1992" i="3"/>
  <c r="AJ1980" i="3"/>
  <c r="AJ1968" i="3"/>
  <c r="AJ1876" i="3"/>
  <c r="AJ1872" i="3"/>
  <c r="AJ1868" i="3"/>
  <c r="AJ1864" i="3"/>
  <c r="AJ1860" i="3"/>
  <c r="AJ1856" i="3"/>
  <c r="AJ1852" i="3"/>
  <c r="AJ1848" i="3"/>
  <c r="AJ1844" i="3"/>
  <c r="AJ1840" i="3"/>
  <c r="AJ1824" i="3"/>
  <c r="AJ1820" i="3"/>
  <c r="AJ1816" i="3"/>
  <c r="AJ1812" i="3"/>
  <c r="AJ1808" i="3"/>
  <c r="AJ1800" i="3"/>
  <c r="AJ1792" i="3"/>
  <c r="AJ1788" i="3"/>
  <c r="AJ1784" i="3"/>
  <c r="AJ1780" i="3"/>
  <c r="AJ1776" i="3"/>
  <c r="AJ1772" i="3"/>
  <c r="AJ1764" i="3"/>
  <c r="AJ1760" i="3"/>
  <c r="AJ1756" i="3"/>
  <c r="AJ1752" i="3"/>
  <c r="AJ1748" i="3"/>
  <c r="AJ2011" i="3"/>
  <c r="AJ2003" i="3"/>
  <c r="AJ1983" i="3"/>
  <c r="AJ1975" i="3"/>
  <c r="AJ1929" i="3"/>
  <c r="AJ1833" i="3"/>
  <c r="AJ1928" i="3"/>
  <c r="AJ1920" i="3"/>
  <c r="AJ1912" i="3"/>
  <c r="AJ1900" i="3"/>
  <c r="AJ1896" i="3"/>
  <c r="AJ1884" i="3"/>
  <c r="AJ1880" i="3"/>
  <c r="AJ1836" i="3"/>
  <c r="AJ1828" i="3"/>
  <c r="AJ1947" i="3"/>
  <c r="AJ1939" i="3"/>
  <c r="AJ1927" i="3"/>
  <c r="AJ1919" i="3"/>
  <c r="AJ1829" i="3"/>
  <c r="AJ1825" i="3"/>
  <c r="AJ1821" i="3"/>
  <c r="AJ1817" i="3"/>
  <c r="AJ1813" i="3"/>
  <c r="AJ1809" i="3"/>
  <c r="AJ1801" i="3"/>
  <c r="AJ1793" i="3"/>
  <c r="AJ1789" i="3"/>
  <c r="AJ1785" i="3"/>
  <c r="AJ1781" i="3"/>
  <c r="AJ1777" i="3"/>
  <c r="AJ1773" i="3"/>
  <c r="AJ1769" i="3"/>
  <c r="AJ1761" i="3"/>
  <c r="AJ1757" i="3"/>
  <c r="AJ1753" i="3"/>
  <c r="AJ1749" i="3"/>
  <c r="AJ1832" i="3"/>
  <c r="AJ1959" i="3"/>
  <c r="AJ1867" i="3"/>
  <c r="AJ1859" i="3"/>
  <c r="AJ1851" i="3"/>
  <c r="AJ1843" i="3"/>
  <c r="AJ2006" i="3"/>
  <c r="AJ1978" i="3"/>
  <c r="AJ1974" i="3"/>
  <c r="AJ1962" i="3"/>
  <c r="AJ1958" i="3"/>
  <c r="AJ1950" i="3"/>
  <c r="AJ1946" i="3"/>
  <c r="AJ1942" i="3"/>
  <c r="AJ1938" i="3"/>
  <c r="AJ1834" i="3"/>
  <c r="AJ1830" i="3"/>
  <c r="AJ1917" i="3"/>
  <c r="AJ1873" i="3"/>
  <c r="AJ1869" i="3"/>
  <c r="AJ1865" i="3"/>
  <c r="AJ1861" i="3"/>
  <c r="AJ1857" i="3"/>
  <c r="AJ1853" i="3"/>
  <c r="AJ1849" i="3"/>
  <c r="AJ1845" i="3"/>
  <c r="AJ1841" i="3"/>
  <c r="AJ1837" i="3"/>
  <c r="AJ1943" i="3"/>
  <c r="AJ1935" i="3"/>
  <c r="AJ1871" i="3"/>
  <c r="AJ1863" i="3"/>
  <c r="AJ1855" i="3"/>
  <c r="AJ1847" i="3"/>
  <c r="AJ1839" i="3"/>
  <c r="AJ1823" i="3"/>
  <c r="AJ1819" i="3"/>
  <c r="AJ1815" i="3"/>
  <c r="AJ1811" i="3"/>
  <c r="AJ1921" i="3"/>
  <c r="AJ1909" i="3"/>
  <c r="AJ1905" i="3"/>
  <c r="AJ1901" i="3"/>
  <c r="AJ1893" i="3"/>
  <c r="AJ1889" i="3"/>
  <c r="AJ1885" i="3"/>
  <c r="AJ1877" i="3"/>
  <c r="AJ1916" i="3"/>
  <c r="AJ1908" i="3"/>
  <c r="AJ1904" i="3"/>
  <c r="AJ1892" i="3"/>
  <c r="AJ1888" i="3"/>
  <c r="AJ1915" i="3"/>
  <c r="AJ1911" i="3"/>
  <c r="AJ1899" i="3"/>
  <c r="AJ1895" i="3"/>
  <c r="AJ1883" i="3"/>
  <c r="AJ1879" i="3"/>
  <c r="AJ1875" i="3"/>
  <c r="AJ1835" i="3"/>
  <c r="AJ1827" i="3"/>
  <c r="AJ1906" i="3"/>
  <c r="AJ1902" i="3"/>
  <c r="AJ1890" i="3"/>
  <c r="AJ1886" i="3"/>
  <c r="AJ1971" i="3"/>
  <c r="AJ1955" i="3"/>
  <c r="AJ2001" i="3"/>
  <c r="AJ1997" i="3"/>
  <c r="AJ1981" i="3"/>
  <c r="AJ1969" i="3"/>
  <c r="AJ1965" i="3"/>
  <c r="AJ1949" i="3"/>
  <c r="AJ1945" i="3"/>
  <c r="AJ1941" i="3"/>
  <c r="AJ1937" i="3"/>
  <c r="AJ1988" i="3"/>
  <c r="AJ1984" i="3"/>
  <c r="AJ1976" i="3"/>
  <c r="AJ1972" i="3"/>
  <c r="AJ1964" i="3"/>
  <c r="AJ1960" i="3"/>
  <c r="AJ1956" i="3"/>
  <c r="AJ1948" i="3"/>
  <c r="AJ1944" i="3"/>
  <c r="AJ1940" i="3"/>
  <c r="AJ1936" i="3"/>
  <c r="AJ1903" i="3"/>
  <c r="AJ1887" i="3"/>
  <c r="AJ1930" i="3"/>
  <c r="AJ1922" i="3"/>
  <c r="AJ1918" i="3"/>
  <c r="AJ1914" i="3"/>
  <c r="AJ1910" i="3"/>
  <c r="AJ1898" i="3"/>
  <c r="AJ1894" i="3"/>
  <c r="AJ1882" i="3"/>
  <c r="AJ1878" i="3"/>
  <c r="AJ1967" i="3"/>
  <c r="AJ1807" i="3"/>
  <c r="AJ1799" i="3"/>
  <c r="AJ1791" i="3"/>
  <c r="AJ1787" i="3"/>
  <c r="AJ1783" i="3"/>
  <c r="AJ1779" i="3"/>
  <c r="AJ1775" i="3"/>
  <c r="AJ1771" i="3"/>
  <c r="AJ1763" i="3"/>
  <c r="AJ1759" i="3"/>
  <c r="AJ1755" i="3"/>
  <c r="AJ1751" i="3"/>
  <c r="AJ1747" i="3"/>
  <c r="AJ2014" i="3"/>
  <c r="AJ2010" i="3"/>
  <c r="AJ2002" i="3"/>
  <c r="AJ1998" i="3"/>
  <c r="AJ1990" i="3"/>
  <c r="AJ1986" i="3"/>
  <c r="AJ1982" i="3"/>
  <c r="AJ1970" i="3"/>
  <c r="AJ1966" i="3"/>
  <c r="AJ1826" i="3"/>
  <c r="AJ1822" i="3"/>
  <c r="AJ1818" i="3"/>
  <c r="AJ1814" i="3"/>
  <c r="AJ1810" i="3"/>
  <c r="AJ1802" i="3"/>
  <c r="AJ1794" i="3"/>
  <c r="AJ1790" i="3"/>
  <c r="AJ1786" i="3"/>
  <c r="AJ1782" i="3"/>
  <c r="AJ1778" i="3"/>
  <c r="AJ1774" i="3"/>
  <c r="AJ1770" i="3"/>
  <c r="AJ1762" i="3"/>
  <c r="AJ1758" i="3"/>
  <c r="AJ1754" i="3"/>
  <c r="AJ1750" i="3"/>
  <c r="AJ1746" i="3"/>
  <c r="AJ1907" i="3"/>
  <c r="AJ1891" i="3"/>
  <c r="AJ1874" i="3"/>
  <c r="AJ1858" i="3"/>
  <c r="AJ1842" i="3"/>
  <c r="AJ1862" i="3"/>
  <c r="AJ1850" i="3"/>
  <c r="AJ1838" i="3"/>
  <c r="AJ1831" i="3"/>
  <c r="AJ1866" i="3"/>
  <c r="AJ1854" i="3"/>
  <c r="AJ1870" i="3"/>
  <c r="AJ1846" i="3"/>
  <c r="AN1921" i="3"/>
  <c r="AN1909" i="3"/>
  <c r="AN1905" i="3"/>
  <c r="AN1901" i="3"/>
  <c r="AN1893" i="3"/>
  <c r="AN1889" i="3"/>
  <c r="AN1885" i="3"/>
  <c r="AN1877" i="3"/>
  <c r="AN1829" i="3"/>
  <c r="AN1825" i="3"/>
  <c r="AN1821" i="3"/>
  <c r="AN1817" i="3"/>
  <c r="AN1813" i="3"/>
  <c r="AN1809" i="3"/>
  <c r="AN1801" i="3"/>
  <c r="AN1793" i="3"/>
  <c r="AN1789" i="3"/>
  <c r="AN1785" i="3"/>
  <c r="AN1781" i="3"/>
  <c r="AN1777" i="3"/>
  <c r="AN1773" i="3"/>
  <c r="AN1769" i="3"/>
  <c r="AN1761" i="3"/>
  <c r="AN1757" i="3"/>
  <c r="AN1753" i="3"/>
  <c r="AN1749" i="3"/>
  <c r="AN1916" i="3"/>
  <c r="AN1908" i="3"/>
  <c r="AN1904" i="3"/>
  <c r="AN1892" i="3"/>
  <c r="AN1888" i="3"/>
  <c r="AN1832" i="3"/>
  <c r="AN1971" i="3"/>
  <c r="AN1955" i="3"/>
  <c r="AN2001" i="3"/>
  <c r="AN1997" i="3"/>
  <c r="AN1981" i="3"/>
  <c r="AN1969" i="3"/>
  <c r="AN1965" i="3"/>
  <c r="AN1949" i="3"/>
  <c r="AN1945" i="3"/>
  <c r="AN1941" i="3"/>
  <c r="AN1937" i="3"/>
  <c r="AN1917" i="3"/>
  <c r="AN1873" i="3"/>
  <c r="AN1869" i="3"/>
  <c r="AN1865" i="3"/>
  <c r="AN1861" i="3"/>
  <c r="AN1857" i="3"/>
  <c r="AN1853" i="3"/>
  <c r="AN1849" i="3"/>
  <c r="AN1845" i="3"/>
  <c r="AN1841" i="3"/>
  <c r="AN1837" i="3"/>
  <c r="AN1988" i="3"/>
  <c r="AN1984" i="3"/>
  <c r="AN1976" i="3"/>
  <c r="AN1972" i="3"/>
  <c r="AN1964" i="3"/>
  <c r="AN1960" i="3"/>
  <c r="AN1956" i="3"/>
  <c r="AN1948" i="3"/>
  <c r="AN1944" i="3"/>
  <c r="AN1940" i="3"/>
  <c r="AN1936" i="3"/>
  <c r="AN1967" i="3"/>
  <c r="AN1943" i="3"/>
  <c r="AN1935" i="3"/>
  <c r="AN1833" i="3"/>
  <c r="AN1836" i="3"/>
  <c r="AN1828" i="3"/>
  <c r="AN1927" i="3"/>
  <c r="AN1919" i="3"/>
  <c r="AN1871" i="3"/>
  <c r="AN1863" i="3"/>
  <c r="AN1855" i="3"/>
  <c r="AN1847" i="3"/>
  <c r="AN1839" i="3"/>
  <c r="AN1823" i="3"/>
  <c r="AN1819" i="3"/>
  <c r="AN1815" i="3"/>
  <c r="AN1811" i="3"/>
  <c r="AN1807" i="3"/>
  <c r="AN1799" i="3"/>
  <c r="AN1791" i="3"/>
  <c r="AN1787" i="3"/>
  <c r="AN1783" i="3"/>
  <c r="AN1779" i="3"/>
  <c r="AN1775" i="3"/>
  <c r="AN1771" i="3"/>
  <c r="AN1763" i="3"/>
  <c r="AN1759" i="3"/>
  <c r="AN1755" i="3"/>
  <c r="AN1751" i="3"/>
  <c r="AN1747" i="3"/>
  <c r="AN2014" i="3"/>
  <c r="AN2010" i="3"/>
  <c r="AN2002" i="3"/>
  <c r="AN1998" i="3"/>
  <c r="AN1990" i="3"/>
  <c r="AN1986" i="3"/>
  <c r="AN1982" i="3"/>
  <c r="AN1970" i="3"/>
  <c r="AN1966" i="3"/>
  <c r="AN1874" i="3"/>
  <c r="AN1870" i="3"/>
  <c r="AN1866" i="3"/>
  <c r="AN1862" i="3"/>
  <c r="AN1858" i="3"/>
  <c r="AN1854" i="3"/>
  <c r="AN1850" i="3"/>
  <c r="AN1846" i="3"/>
  <c r="AN1842" i="3"/>
  <c r="AN1838" i="3"/>
  <c r="AN1826" i="3"/>
  <c r="AN1822" i="3"/>
  <c r="AN1818" i="3"/>
  <c r="AN1814" i="3"/>
  <c r="AN1810" i="3"/>
  <c r="AN1802" i="3"/>
  <c r="AN1794" i="3"/>
  <c r="AN1790" i="3"/>
  <c r="AN1786" i="3"/>
  <c r="AN1782" i="3"/>
  <c r="AN1778" i="3"/>
  <c r="AN1774" i="3"/>
  <c r="AN1770" i="3"/>
  <c r="AN1762" i="3"/>
  <c r="AN1758" i="3"/>
  <c r="AN1754" i="3"/>
  <c r="AN1750" i="3"/>
  <c r="AN1746" i="3"/>
  <c r="AN1913" i="3"/>
  <c r="AN1897" i="3"/>
  <c r="AN1881" i="3"/>
  <c r="AN1876" i="3"/>
  <c r="AN1872" i="3"/>
  <c r="AN1868" i="3"/>
  <c r="AN1864" i="3"/>
  <c r="AN1860" i="3"/>
  <c r="AN1856" i="3"/>
  <c r="AN1852" i="3"/>
  <c r="AN1848" i="3"/>
  <c r="AN1844" i="3"/>
  <c r="AN1840" i="3"/>
  <c r="AN1915" i="3"/>
  <c r="AN1911" i="3"/>
  <c r="AN1899" i="3"/>
  <c r="AN1895" i="3"/>
  <c r="AN1883" i="3"/>
  <c r="AN1879" i="3"/>
  <c r="AN1875" i="3"/>
  <c r="AN1835" i="3"/>
  <c r="AN1827" i="3"/>
  <c r="AN1929" i="3"/>
  <c r="AN1928" i="3"/>
  <c r="AN1920" i="3"/>
  <c r="AN1912" i="3"/>
  <c r="AN1900" i="3"/>
  <c r="AN1896" i="3"/>
  <c r="AN1884" i="3"/>
  <c r="AN1880" i="3"/>
  <c r="AN1947" i="3"/>
  <c r="AN1939" i="3"/>
  <c r="AN1907" i="3"/>
  <c r="AN1903" i="3"/>
  <c r="AN1891" i="3"/>
  <c r="AN1887" i="3"/>
  <c r="AN1831" i="3"/>
  <c r="AN1930" i="3"/>
  <c r="AN1922" i="3"/>
  <c r="AN1918" i="3"/>
  <c r="AN1914" i="3"/>
  <c r="AN1910" i="3"/>
  <c r="AN1898" i="3"/>
  <c r="AN1894" i="3"/>
  <c r="AN1882" i="3"/>
  <c r="AN1878" i="3"/>
  <c r="AN2015" i="3"/>
  <c r="AN2007" i="3"/>
  <c r="AN1999" i="3"/>
  <c r="AN1991" i="3"/>
  <c r="AN1987" i="3"/>
  <c r="AN1979" i="3"/>
  <c r="AN1963" i="3"/>
  <c r="AN2017" i="3"/>
  <c r="AN2013" i="3"/>
  <c r="AN2009" i="3"/>
  <c r="AN1989" i="3"/>
  <c r="AN1985" i="3"/>
  <c r="AN1977" i="3"/>
  <c r="AN1973" i="3"/>
  <c r="AN1961" i="3"/>
  <c r="AN1957" i="3"/>
  <c r="AN2016" i="3"/>
  <c r="AN2012" i="3"/>
  <c r="AN2008" i="3"/>
  <c r="AN2000" i="3"/>
  <c r="AN1992" i="3"/>
  <c r="AN1980" i="3"/>
  <c r="AN1968" i="3"/>
  <c r="AN1816" i="3"/>
  <c r="AN1800" i="3"/>
  <c r="AN1784" i="3"/>
  <c r="AN1752" i="3"/>
  <c r="AN2011" i="3"/>
  <c r="AN1975" i="3"/>
  <c r="AN2006" i="3"/>
  <c r="AN1978" i="3"/>
  <c r="AN1974" i="3"/>
  <c r="AN1962" i="3"/>
  <c r="AN1958" i="3"/>
  <c r="AN1950" i="3"/>
  <c r="AN1946" i="3"/>
  <c r="AN1942" i="3"/>
  <c r="AN1938" i="3"/>
  <c r="AN1812" i="3"/>
  <c r="AN1780" i="3"/>
  <c r="AN1764" i="3"/>
  <c r="AN1748" i="3"/>
  <c r="AN2003" i="3"/>
  <c r="AN1867" i="3"/>
  <c r="AN1859" i="3"/>
  <c r="AN1851" i="3"/>
  <c r="AN1843" i="3"/>
  <c r="AN1824" i="3"/>
  <c r="AN1808" i="3"/>
  <c r="AN1792" i="3"/>
  <c r="AN1776" i="3"/>
  <c r="AN1760" i="3"/>
  <c r="AN1959" i="3"/>
  <c r="AN1834" i="3"/>
  <c r="AN1830" i="3"/>
  <c r="AN1788" i="3"/>
  <c r="AN1983" i="3"/>
  <c r="AN1820" i="3"/>
  <c r="AN1772" i="3"/>
  <c r="AN1756" i="3"/>
  <c r="AN1906" i="3"/>
  <c r="AN1890" i="3"/>
  <c r="AN1902" i="3"/>
  <c r="AN1886" i="3"/>
  <c r="AR1929" i="3"/>
  <c r="AR1833" i="3"/>
  <c r="AR1928" i="3"/>
  <c r="AR1920" i="3"/>
  <c r="AR1912" i="3"/>
  <c r="AR1900" i="3"/>
  <c r="AR1896" i="3"/>
  <c r="AR1884" i="3"/>
  <c r="AR1880" i="3"/>
  <c r="AR1836" i="3"/>
  <c r="AR1828" i="3"/>
  <c r="AR2015" i="3"/>
  <c r="AR2007" i="3"/>
  <c r="AR1999" i="3"/>
  <c r="AR1991" i="3"/>
  <c r="AR1987" i="3"/>
  <c r="AR1979" i="3"/>
  <c r="AR1963" i="3"/>
  <c r="AR2017" i="3"/>
  <c r="AR2013" i="3"/>
  <c r="AR2009" i="3"/>
  <c r="AR1989" i="3"/>
  <c r="AR1985" i="3"/>
  <c r="AR1977" i="3"/>
  <c r="AR1973" i="3"/>
  <c r="AR1961" i="3"/>
  <c r="AR1957" i="3"/>
  <c r="AR1913" i="3"/>
  <c r="AR1897" i="3"/>
  <c r="AR1881" i="3"/>
  <c r="AR2016" i="3"/>
  <c r="AR2012" i="3"/>
  <c r="AR2008" i="3"/>
  <c r="AR2000" i="3"/>
  <c r="AR1992" i="3"/>
  <c r="AR1980" i="3"/>
  <c r="AR1968" i="3"/>
  <c r="AR1876" i="3"/>
  <c r="AR1872" i="3"/>
  <c r="AR1868" i="3"/>
  <c r="AR1864" i="3"/>
  <c r="AR1860" i="3"/>
  <c r="AR1856" i="3"/>
  <c r="AR1852" i="3"/>
  <c r="AR1848" i="3"/>
  <c r="AR1844" i="3"/>
  <c r="AR1840" i="3"/>
  <c r="AR1824" i="3"/>
  <c r="AR1820" i="3"/>
  <c r="AR1816" i="3"/>
  <c r="AR1812" i="3"/>
  <c r="AR1808" i="3"/>
  <c r="AR1800" i="3"/>
  <c r="AR1792" i="3"/>
  <c r="AR1788" i="3"/>
  <c r="AR1784" i="3"/>
  <c r="AR1780" i="3"/>
  <c r="AR1776" i="3"/>
  <c r="AR1772" i="3"/>
  <c r="AR1764" i="3"/>
  <c r="AR1760" i="3"/>
  <c r="AR1756" i="3"/>
  <c r="AR1752" i="3"/>
  <c r="AR1748" i="3"/>
  <c r="AR2011" i="3"/>
  <c r="AR2003" i="3"/>
  <c r="AR1983" i="3"/>
  <c r="AR1975" i="3"/>
  <c r="AR1959" i="3"/>
  <c r="AR1917" i="3"/>
  <c r="AR1873" i="3"/>
  <c r="AR1869" i="3"/>
  <c r="AR1865" i="3"/>
  <c r="AR1861" i="3"/>
  <c r="AR1857" i="3"/>
  <c r="AR1853" i="3"/>
  <c r="AR1849" i="3"/>
  <c r="AR1845" i="3"/>
  <c r="AR1841" i="3"/>
  <c r="AR1837" i="3"/>
  <c r="AR1943" i="3"/>
  <c r="AR1935" i="3"/>
  <c r="AR1915" i="3"/>
  <c r="AR1911" i="3"/>
  <c r="AR1899" i="3"/>
  <c r="AR1895" i="3"/>
  <c r="AR1883" i="3"/>
  <c r="AR1879" i="3"/>
  <c r="AR1875" i="3"/>
  <c r="AR1835" i="3"/>
  <c r="AR1827" i="3"/>
  <c r="AR1906" i="3"/>
  <c r="AR1902" i="3"/>
  <c r="AR1890" i="3"/>
  <c r="AR1886" i="3"/>
  <c r="AR1921" i="3"/>
  <c r="AR1909" i="3"/>
  <c r="AR1905" i="3"/>
  <c r="AR1901" i="3"/>
  <c r="AR1893" i="3"/>
  <c r="AR1889" i="3"/>
  <c r="AR1885" i="3"/>
  <c r="AR1877" i="3"/>
  <c r="AR1916" i="3"/>
  <c r="AR1908" i="3"/>
  <c r="AR1904" i="3"/>
  <c r="AR1892" i="3"/>
  <c r="AR1888" i="3"/>
  <c r="AR1947" i="3"/>
  <c r="AR1939" i="3"/>
  <c r="AR1907" i="3"/>
  <c r="AR1903" i="3"/>
  <c r="AR1891" i="3"/>
  <c r="AR1887" i="3"/>
  <c r="AR1831" i="3"/>
  <c r="AR1971" i="3"/>
  <c r="AR1955" i="3"/>
  <c r="AR2001" i="3"/>
  <c r="AR1997" i="3"/>
  <c r="AR1981" i="3"/>
  <c r="AR1969" i="3"/>
  <c r="AR1965" i="3"/>
  <c r="AR1949" i="3"/>
  <c r="AR1945" i="3"/>
  <c r="AR1941" i="3"/>
  <c r="AR1937" i="3"/>
  <c r="AR1988" i="3"/>
  <c r="AR1984" i="3"/>
  <c r="AR1976" i="3"/>
  <c r="AR1972" i="3"/>
  <c r="AR1964" i="3"/>
  <c r="AR1960" i="3"/>
  <c r="AR1956" i="3"/>
  <c r="AR1948" i="3"/>
  <c r="AR1944" i="3"/>
  <c r="AR1940" i="3"/>
  <c r="AR1936" i="3"/>
  <c r="AR1967" i="3"/>
  <c r="AR1867" i="3"/>
  <c r="AR1859" i="3"/>
  <c r="AR1851" i="3"/>
  <c r="AR1843" i="3"/>
  <c r="AR2006" i="3"/>
  <c r="AR1978" i="3"/>
  <c r="AR1974" i="3"/>
  <c r="AR1962" i="3"/>
  <c r="AR1958" i="3"/>
  <c r="AR1950" i="3"/>
  <c r="AR1946" i="3"/>
  <c r="AR1942" i="3"/>
  <c r="AR1938" i="3"/>
  <c r="AR1834" i="3"/>
  <c r="AR1830" i="3"/>
  <c r="AR1829" i="3"/>
  <c r="AR1825" i="3"/>
  <c r="AR1821" i="3"/>
  <c r="AR1817" i="3"/>
  <c r="AR1813" i="3"/>
  <c r="AR1809" i="3"/>
  <c r="AR1801" i="3"/>
  <c r="AR1793" i="3"/>
  <c r="AR1789" i="3"/>
  <c r="AR1785" i="3"/>
  <c r="AR1781" i="3"/>
  <c r="AR1777" i="3"/>
  <c r="AR1773" i="3"/>
  <c r="AR1769" i="3"/>
  <c r="AR1761" i="3"/>
  <c r="AR1757" i="3"/>
  <c r="AR1753" i="3"/>
  <c r="AR1749" i="3"/>
  <c r="AR1832" i="3"/>
  <c r="AR1927" i="3"/>
  <c r="AR1819" i="3"/>
  <c r="AR1811" i="3"/>
  <c r="AR1807" i="3"/>
  <c r="AR1799" i="3"/>
  <c r="AR1791" i="3"/>
  <c r="AR1787" i="3"/>
  <c r="AR1783" i="3"/>
  <c r="AR1779" i="3"/>
  <c r="AR1775" i="3"/>
  <c r="AR1771" i="3"/>
  <c r="AR1763" i="3"/>
  <c r="AR1759" i="3"/>
  <c r="AR1755" i="3"/>
  <c r="AR1751" i="3"/>
  <c r="AR1747" i="3"/>
  <c r="AR2014" i="3"/>
  <c r="AR2010" i="3"/>
  <c r="AR2002" i="3"/>
  <c r="AR1998" i="3"/>
  <c r="AR1990" i="3"/>
  <c r="AR1986" i="3"/>
  <c r="AR1982" i="3"/>
  <c r="AR1970" i="3"/>
  <c r="AR1966" i="3"/>
  <c r="AR1826" i="3"/>
  <c r="AR1822" i="3"/>
  <c r="AR1818" i="3"/>
  <c r="AR1814" i="3"/>
  <c r="AR1810" i="3"/>
  <c r="AR1802" i="3"/>
  <c r="AR1794" i="3"/>
  <c r="AR1790" i="3"/>
  <c r="AR1786" i="3"/>
  <c r="AR1782" i="3"/>
  <c r="AR1778" i="3"/>
  <c r="AR1774" i="3"/>
  <c r="AR1770" i="3"/>
  <c r="AR1762" i="3"/>
  <c r="AR1758" i="3"/>
  <c r="AR1754" i="3"/>
  <c r="AR1750" i="3"/>
  <c r="AR1746" i="3"/>
  <c r="AR1823" i="3"/>
  <c r="AR1815" i="3"/>
  <c r="AR1874" i="3"/>
  <c r="AR1870" i="3"/>
  <c r="AR1866" i="3"/>
  <c r="AR1862" i="3"/>
  <c r="AR1858" i="3"/>
  <c r="AR1854" i="3"/>
  <c r="AR1850" i="3"/>
  <c r="AR1846" i="3"/>
  <c r="AR1842" i="3"/>
  <c r="AR1838" i="3"/>
  <c r="AR1919" i="3"/>
  <c r="AR1855" i="3"/>
  <c r="AR1930" i="3"/>
  <c r="AR1847" i="3"/>
  <c r="AR1839" i="3"/>
  <c r="AR1922" i="3"/>
  <c r="AR1914" i="3"/>
  <c r="AR1878" i="3"/>
  <c r="AR1871" i="3"/>
  <c r="AR1918" i="3"/>
  <c r="AR1894" i="3"/>
  <c r="AR1882" i="3"/>
  <c r="AR1863" i="3"/>
  <c r="AR1910" i="3"/>
  <c r="AR1898" i="3"/>
  <c r="AV1971" i="3"/>
  <c r="AV1955" i="3"/>
  <c r="AV2001" i="3"/>
  <c r="AV1997" i="3"/>
  <c r="AV1981" i="3"/>
  <c r="AV1969" i="3"/>
  <c r="AV1965" i="3"/>
  <c r="AV1949" i="3"/>
  <c r="AV1945" i="3"/>
  <c r="AV1941" i="3"/>
  <c r="AV1937" i="3"/>
  <c r="AV1917" i="3"/>
  <c r="AV1873" i="3"/>
  <c r="AV1869" i="3"/>
  <c r="AV1865" i="3"/>
  <c r="AV1861" i="3"/>
  <c r="AV1857" i="3"/>
  <c r="AV1853" i="3"/>
  <c r="AV1849" i="3"/>
  <c r="AV1845" i="3"/>
  <c r="AV1841" i="3"/>
  <c r="AV1837" i="3"/>
  <c r="AV1988" i="3"/>
  <c r="AV1984" i="3"/>
  <c r="AV1976" i="3"/>
  <c r="AV1972" i="3"/>
  <c r="AV1964" i="3"/>
  <c r="AV1960" i="3"/>
  <c r="AV1956" i="3"/>
  <c r="AV1948" i="3"/>
  <c r="AV1944" i="3"/>
  <c r="AV1940" i="3"/>
  <c r="AV1936" i="3"/>
  <c r="AV1967" i="3"/>
  <c r="AV1921" i="3"/>
  <c r="AV1909" i="3"/>
  <c r="AV1905" i="3"/>
  <c r="AV1901" i="3"/>
  <c r="AV1893" i="3"/>
  <c r="AV1889" i="3"/>
  <c r="AV1885" i="3"/>
  <c r="AV1877" i="3"/>
  <c r="AV1829" i="3"/>
  <c r="AV1825" i="3"/>
  <c r="AV1821" i="3"/>
  <c r="AV1817" i="3"/>
  <c r="AV1813" i="3"/>
  <c r="AV1809" i="3"/>
  <c r="AV1801" i="3"/>
  <c r="AV1793" i="3"/>
  <c r="AV1789" i="3"/>
  <c r="AV1785" i="3"/>
  <c r="AV1781" i="3"/>
  <c r="AV1777" i="3"/>
  <c r="AV1773" i="3"/>
  <c r="AV1769" i="3"/>
  <c r="AV1761" i="3"/>
  <c r="AV1757" i="3"/>
  <c r="AV1753" i="3"/>
  <c r="AV1749" i="3"/>
  <c r="AV1916" i="3"/>
  <c r="AV1908" i="3"/>
  <c r="AV1904" i="3"/>
  <c r="AV1892" i="3"/>
  <c r="AV1888" i="3"/>
  <c r="AV1832" i="3"/>
  <c r="AV1913" i="3"/>
  <c r="AV1897" i="3"/>
  <c r="AV1881" i="3"/>
  <c r="AV1876" i="3"/>
  <c r="AV1872" i="3"/>
  <c r="AV1868" i="3"/>
  <c r="AV1864" i="3"/>
  <c r="AV1860" i="3"/>
  <c r="AV1856" i="3"/>
  <c r="AV1852" i="3"/>
  <c r="AV1848" i="3"/>
  <c r="AV1844" i="3"/>
  <c r="AV1840" i="3"/>
  <c r="AV1947" i="3"/>
  <c r="AV1939" i="3"/>
  <c r="AV1907" i="3"/>
  <c r="AV1903" i="3"/>
  <c r="AV1891" i="3"/>
  <c r="AV1887" i="3"/>
  <c r="AV1831" i="3"/>
  <c r="AV1930" i="3"/>
  <c r="AV1922" i="3"/>
  <c r="AV1918" i="3"/>
  <c r="AV1914" i="3"/>
  <c r="AV1910" i="3"/>
  <c r="AV1898" i="3"/>
  <c r="AV1894" i="3"/>
  <c r="AV1882" i="3"/>
  <c r="AV1878" i="3"/>
  <c r="AV1929" i="3"/>
  <c r="AV1928" i="3"/>
  <c r="AV1920" i="3"/>
  <c r="AV1912" i="3"/>
  <c r="AV1900" i="3"/>
  <c r="AV1896" i="3"/>
  <c r="AV1884" i="3"/>
  <c r="AV1880" i="3"/>
  <c r="AV1867" i="3"/>
  <c r="AV1859" i="3"/>
  <c r="AV1851" i="3"/>
  <c r="AV1843" i="3"/>
  <c r="AV2015" i="3"/>
  <c r="AV2007" i="3"/>
  <c r="AV1999" i="3"/>
  <c r="AV1991" i="3"/>
  <c r="AV1987" i="3"/>
  <c r="AV1979" i="3"/>
  <c r="AV1963" i="3"/>
  <c r="AV2017" i="3"/>
  <c r="AV2013" i="3"/>
  <c r="AV2009" i="3"/>
  <c r="AV1989" i="3"/>
  <c r="AV1985" i="3"/>
  <c r="AV1977" i="3"/>
  <c r="AV1973" i="3"/>
  <c r="AV1961" i="3"/>
  <c r="AV1957" i="3"/>
  <c r="AV2016" i="3"/>
  <c r="AV2012" i="3"/>
  <c r="AV2008" i="3"/>
  <c r="AV2000" i="3"/>
  <c r="AV1992" i="3"/>
  <c r="AV1980" i="3"/>
  <c r="AV1968" i="3"/>
  <c r="AV1824" i="3"/>
  <c r="AV1820" i="3"/>
  <c r="AV1816" i="3"/>
  <c r="AV1812" i="3"/>
  <c r="AV1808" i="3"/>
  <c r="AV1800" i="3"/>
  <c r="AV1792" i="3"/>
  <c r="AV1788" i="3"/>
  <c r="AV1784" i="3"/>
  <c r="AV1780" i="3"/>
  <c r="AV1776" i="3"/>
  <c r="AV1772" i="3"/>
  <c r="AV1764" i="3"/>
  <c r="AV1760" i="3"/>
  <c r="AV1756" i="3"/>
  <c r="AV1752" i="3"/>
  <c r="AV1748" i="3"/>
  <c r="AV2011" i="3"/>
  <c r="AV2003" i="3"/>
  <c r="AV1983" i="3"/>
  <c r="AV1975" i="3"/>
  <c r="AV1959" i="3"/>
  <c r="AV1927" i="3"/>
  <c r="AV1919" i="3"/>
  <c r="AV1871" i="3"/>
  <c r="AV1863" i="3"/>
  <c r="AV1855" i="3"/>
  <c r="AV1847" i="3"/>
  <c r="AV1839" i="3"/>
  <c r="AV1823" i="3"/>
  <c r="AV1819" i="3"/>
  <c r="AV1815" i="3"/>
  <c r="AV1811" i="3"/>
  <c r="AV1807" i="3"/>
  <c r="AV1799" i="3"/>
  <c r="AV1791" i="3"/>
  <c r="AV1787" i="3"/>
  <c r="AV1783" i="3"/>
  <c r="AV1779" i="3"/>
  <c r="AV1775" i="3"/>
  <c r="AV1771" i="3"/>
  <c r="AV1763" i="3"/>
  <c r="AV1759" i="3"/>
  <c r="AV1755" i="3"/>
  <c r="AV1751" i="3"/>
  <c r="AV1747" i="3"/>
  <c r="AV2014" i="3"/>
  <c r="AV2010" i="3"/>
  <c r="AV2002" i="3"/>
  <c r="AV1998" i="3"/>
  <c r="AV1990" i="3"/>
  <c r="AV1986" i="3"/>
  <c r="AV1982" i="3"/>
  <c r="AV1970" i="3"/>
  <c r="AV1966" i="3"/>
  <c r="AV1874" i="3"/>
  <c r="AV1870" i="3"/>
  <c r="AV1866" i="3"/>
  <c r="AV1862" i="3"/>
  <c r="AV1858" i="3"/>
  <c r="AV1854" i="3"/>
  <c r="AV1850" i="3"/>
  <c r="AV1846" i="3"/>
  <c r="AV1842" i="3"/>
  <c r="AV1838" i="3"/>
  <c r="AV1826" i="3"/>
  <c r="AV1822" i="3"/>
  <c r="AV1818" i="3"/>
  <c r="AV1814" i="3"/>
  <c r="AV1810" i="3"/>
  <c r="AV1802" i="3"/>
  <c r="AV1794" i="3"/>
  <c r="AV1790" i="3"/>
  <c r="AV1786" i="3"/>
  <c r="AV1782" i="3"/>
  <c r="AV1778" i="3"/>
  <c r="AV1774" i="3"/>
  <c r="AV1770" i="3"/>
  <c r="AV1762" i="3"/>
  <c r="AV1758" i="3"/>
  <c r="AV1754" i="3"/>
  <c r="AV1750" i="3"/>
  <c r="AV1746" i="3"/>
  <c r="AV1833" i="3"/>
  <c r="AV1835" i="3"/>
  <c r="AV1827" i="3"/>
  <c r="AV1828" i="3"/>
  <c r="AV1935" i="3"/>
  <c r="AV1915" i="3"/>
  <c r="AV1899" i="3"/>
  <c r="AV1883" i="3"/>
  <c r="AV1875" i="3"/>
  <c r="AV1834" i="3"/>
  <c r="AV1830" i="3"/>
  <c r="AV1943" i="3"/>
  <c r="AV1906" i="3"/>
  <c r="AV1902" i="3"/>
  <c r="AV1890" i="3"/>
  <c r="AV1886" i="3"/>
  <c r="AV1911" i="3"/>
  <c r="AV1895" i="3"/>
  <c r="AV1879" i="3"/>
  <c r="AV1836" i="3"/>
  <c r="AV1978" i="3"/>
  <c r="AV1962" i="3"/>
  <c r="AV1946" i="3"/>
  <c r="AV2006" i="3"/>
  <c r="AV1974" i="3"/>
  <c r="AV1958" i="3"/>
  <c r="AV1942" i="3"/>
  <c r="AV1950" i="3"/>
  <c r="AV1938" i="3"/>
  <c r="P59" i="3"/>
  <c r="P581" i="3"/>
  <c r="P545" i="3"/>
  <c r="P533" i="3"/>
  <c r="P584" i="3"/>
  <c r="P544" i="3"/>
  <c r="P428" i="3"/>
  <c r="P583" i="3"/>
  <c r="P579" i="3"/>
  <c r="P563" i="3"/>
  <c r="P565" i="3"/>
  <c r="P553" i="3"/>
  <c r="P525" i="3"/>
  <c r="P513" i="3"/>
  <c r="P501" i="3"/>
  <c r="P489" i="3"/>
  <c r="P481" i="3"/>
  <c r="P576" i="3"/>
  <c r="P564" i="3"/>
  <c r="P552" i="3"/>
  <c r="P524" i="3"/>
  <c r="P512" i="3"/>
  <c r="P504" i="3"/>
  <c r="P492" i="3"/>
  <c r="P484" i="3"/>
  <c r="P575" i="3"/>
  <c r="P523" i="3"/>
  <c r="P473" i="3"/>
  <c r="P457" i="3"/>
  <c r="P425" i="3"/>
  <c r="P413" i="3"/>
  <c r="P405" i="3"/>
  <c r="P397" i="3"/>
  <c r="P393" i="3"/>
  <c r="P389" i="3"/>
  <c r="P377" i="3"/>
  <c r="P365" i="3"/>
  <c r="P357" i="3"/>
  <c r="P472" i="3"/>
  <c r="P456" i="3"/>
  <c r="P440" i="3"/>
  <c r="P416" i="3"/>
  <c r="P404" i="3"/>
  <c r="P396" i="3"/>
  <c r="P388" i="3"/>
  <c r="P376" i="3"/>
  <c r="P368" i="3"/>
  <c r="P360" i="3"/>
  <c r="P352" i="3"/>
  <c r="P543" i="3"/>
  <c r="P531" i="3"/>
  <c r="P427" i="3"/>
  <c r="P577" i="3"/>
  <c r="P532" i="3"/>
  <c r="P580" i="3"/>
  <c r="P551" i="3"/>
  <c r="P471" i="3"/>
  <c r="P455" i="3"/>
  <c r="P439" i="3"/>
  <c r="P415" i="3"/>
  <c r="P403" i="3"/>
  <c r="P395" i="3"/>
  <c r="P387" i="3"/>
  <c r="P375" i="3"/>
  <c r="P367" i="3"/>
  <c r="P359" i="3"/>
  <c r="P351" i="3"/>
  <c r="P578" i="3"/>
  <c r="P458" i="3"/>
  <c r="P438" i="3"/>
  <c r="P426" i="3"/>
  <c r="P414" i="3"/>
  <c r="P406" i="3"/>
  <c r="P398" i="3"/>
  <c r="P394" i="3"/>
  <c r="P390" i="3"/>
  <c r="P378" i="3"/>
  <c r="P366" i="3"/>
  <c r="P358" i="3"/>
  <c r="P350" i="3"/>
  <c r="P437" i="3"/>
  <c r="P511" i="3"/>
  <c r="P503" i="3"/>
  <c r="P566" i="3"/>
  <c r="P554" i="3"/>
  <c r="P582" i="3"/>
  <c r="P546" i="3"/>
  <c r="P534" i="3"/>
  <c r="P491" i="3"/>
  <c r="P483" i="3"/>
  <c r="P526" i="3"/>
  <c r="P514" i="3"/>
  <c r="P502" i="3"/>
  <c r="P490" i="3"/>
  <c r="P482" i="3"/>
  <c r="P474" i="3"/>
  <c r="T59" i="3"/>
  <c r="T473" i="3"/>
  <c r="T457" i="3"/>
  <c r="T425" i="3"/>
  <c r="T413" i="3"/>
  <c r="T405" i="3"/>
  <c r="T397" i="3"/>
  <c r="T389" i="3"/>
  <c r="T377" i="3"/>
  <c r="T365" i="3"/>
  <c r="T357" i="3"/>
  <c r="T472" i="3"/>
  <c r="T456" i="3"/>
  <c r="T440" i="3"/>
  <c r="T416" i="3"/>
  <c r="T404" i="3"/>
  <c r="T396" i="3"/>
  <c r="T388" i="3"/>
  <c r="T376" i="3"/>
  <c r="T368" i="3"/>
  <c r="T360" i="3"/>
  <c r="T352" i="3"/>
  <c r="T579" i="3"/>
  <c r="T577" i="3"/>
  <c r="T525" i="3"/>
  <c r="T513" i="3"/>
  <c r="T501" i="3"/>
  <c r="T489" i="3"/>
  <c r="T481" i="3"/>
  <c r="T437" i="3"/>
  <c r="T576" i="3"/>
  <c r="T564" i="3"/>
  <c r="T552" i="3"/>
  <c r="T532" i="3"/>
  <c r="T531" i="3"/>
  <c r="T523" i="3"/>
  <c r="T551" i="3"/>
  <c r="T582" i="3"/>
  <c r="T546" i="3"/>
  <c r="T534" i="3"/>
  <c r="T471" i="3"/>
  <c r="T455" i="3"/>
  <c r="T439" i="3"/>
  <c r="T415" i="3"/>
  <c r="T563" i="3"/>
  <c r="T565" i="3"/>
  <c r="T553" i="3"/>
  <c r="T524" i="3"/>
  <c r="T512" i="3"/>
  <c r="T504" i="3"/>
  <c r="T492" i="3"/>
  <c r="T484" i="3"/>
  <c r="T575" i="3"/>
  <c r="T578" i="3"/>
  <c r="T526" i="3"/>
  <c r="T514" i="3"/>
  <c r="T502" i="3"/>
  <c r="T490" i="3"/>
  <c r="T482" i="3"/>
  <c r="T474" i="3"/>
  <c r="T581" i="3"/>
  <c r="T545" i="3"/>
  <c r="T533" i="3"/>
  <c r="T584" i="3"/>
  <c r="T580" i="3"/>
  <c r="T544" i="3"/>
  <c r="T511" i="3"/>
  <c r="T503" i="3"/>
  <c r="T427" i="3"/>
  <c r="T403" i="3"/>
  <c r="T395" i="3"/>
  <c r="T387" i="3"/>
  <c r="T375" i="3"/>
  <c r="T367" i="3"/>
  <c r="T359" i="3"/>
  <c r="T351" i="3"/>
  <c r="T458" i="3"/>
  <c r="T438" i="3"/>
  <c r="T426" i="3"/>
  <c r="T414" i="3"/>
  <c r="T406" i="3"/>
  <c r="T398" i="3"/>
  <c r="T390" i="3"/>
  <c r="T378" i="3"/>
  <c r="T366" i="3"/>
  <c r="T358" i="3"/>
  <c r="T350" i="3"/>
  <c r="T428" i="3"/>
  <c r="T583" i="3"/>
  <c r="T566" i="3"/>
  <c r="T554" i="3"/>
  <c r="T543" i="3"/>
  <c r="T491" i="3"/>
  <c r="T483" i="3"/>
  <c r="X59" i="3"/>
  <c r="X581" i="3"/>
  <c r="X577" i="3"/>
  <c r="X545" i="3"/>
  <c r="X533" i="3"/>
  <c r="X584" i="3"/>
  <c r="X580" i="3"/>
  <c r="X544" i="3"/>
  <c r="X428" i="3"/>
  <c r="X583" i="3"/>
  <c r="X543" i="3"/>
  <c r="X579" i="3"/>
  <c r="X563" i="3"/>
  <c r="X565" i="3"/>
  <c r="X553" i="3"/>
  <c r="X524" i="3"/>
  <c r="X512" i="3"/>
  <c r="X504" i="3"/>
  <c r="X492" i="3"/>
  <c r="X484" i="3"/>
  <c r="X575" i="3"/>
  <c r="X523" i="3"/>
  <c r="X471" i="3"/>
  <c r="X455" i="3"/>
  <c r="X439" i="3"/>
  <c r="X415" i="3"/>
  <c r="X403" i="3"/>
  <c r="X395" i="3"/>
  <c r="X387" i="3"/>
  <c r="X375" i="3"/>
  <c r="X367" i="3"/>
  <c r="X359" i="3"/>
  <c r="X351" i="3"/>
  <c r="X458" i="3"/>
  <c r="X438" i="3"/>
  <c r="X426" i="3"/>
  <c r="X414" i="3"/>
  <c r="X406" i="3"/>
  <c r="X398" i="3"/>
  <c r="X390" i="3"/>
  <c r="X378" i="3"/>
  <c r="X366" i="3"/>
  <c r="X358" i="3"/>
  <c r="X350" i="3"/>
  <c r="X531" i="3"/>
  <c r="X525" i="3"/>
  <c r="X513" i="3"/>
  <c r="X501" i="3"/>
  <c r="X489" i="3"/>
  <c r="X481" i="3"/>
  <c r="X437" i="3"/>
  <c r="X576" i="3"/>
  <c r="X564" i="3"/>
  <c r="X552" i="3"/>
  <c r="X551" i="3"/>
  <c r="X511" i="3"/>
  <c r="X503" i="3"/>
  <c r="X491" i="3"/>
  <c r="X483" i="3"/>
  <c r="X427" i="3"/>
  <c r="X578" i="3"/>
  <c r="X566" i="3"/>
  <c r="X554" i="3"/>
  <c r="X526" i="3"/>
  <c r="X514" i="3"/>
  <c r="X502" i="3"/>
  <c r="X490" i="3"/>
  <c r="X482" i="3"/>
  <c r="X473" i="3"/>
  <c r="X457" i="3"/>
  <c r="X425" i="3"/>
  <c r="X413" i="3"/>
  <c r="X405" i="3"/>
  <c r="X397" i="3"/>
  <c r="X389" i="3"/>
  <c r="X377" i="3"/>
  <c r="X365" i="3"/>
  <c r="X357" i="3"/>
  <c r="X532" i="3"/>
  <c r="X472" i="3"/>
  <c r="X456" i="3"/>
  <c r="X440" i="3"/>
  <c r="X376" i="3"/>
  <c r="X360" i="3"/>
  <c r="X582" i="3"/>
  <c r="X546" i="3"/>
  <c r="X534" i="3"/>
  <c r="X404" i="3"/>
  <c r="X388" i="3"/>
  <c r="X474" i="3"/>
  <c r="X416" i="3"/>
  <c r="X368" i="3"/>
  <c r="X352" i="3"/>
  <c r="X396" i="3"/>
  <c r="AB59" i="3"/>
  <c r="AB579" i="3"/>
  <c r="AB563" i="3"/>
  <c r="AB565" i="3"/>
  <c r="AB553" i="3"/>
  <c r="AB437" i="3"/>
  <c r="AB524" i="3"/>
  <c r="AB512" i="3"/>
  <c r="AB504" i="3"/>
  <c r="AB492" i="3"/>
  <c r="AB484" i="3"/>
  <c r="AB575" i="3"/>
  <c r="AB473" i="3"/>
  <c r="AB457" i="3"/>
  <c r="AB425" i="3"/>
  <c r="AB413" i="3"/>
  <c r="AB405" i="3"/>
  <c r="AB397" i="3"/>
  <c r="AB389" i="3"/>
  <c r="AB377" i="3"/>
  <c r="AB365" i="3"/>
  <c r="AB357" i="3"/>
  <c r="AB472" i="3"/>
  <c r="AB456" i="3"/>
  <c r="AB440" i="3"/>
  <c r="AB416" i="3"/>
  <c r="AB404" i="3"/>
  <c r="AB396" i="3"/>
  <c r="AB388" i="3"/>
  <c r="AB376" i="3"/>
  <c r="AB368" i="3"/>
  <c r="AB360" i="3"/>
  <c r="AB352" i="3"/>
  <c r="AB525" i="3"/>
  <c r="AB513" i="3"/>
  <c r="AB501" i="3"/>
  <c r="AB489" i="3"/>
  <c r="AB481" i="3"/>
  <c r="AB576" i="3"/>
  <c r="AB564" i="3"/>
  <c r="AB552" i="3"/>
  <c r="AB474" i="3"/>
  <c r="AB427" i="3"/>
  <c r="AB577" i="3"/>
  <c r="AB545" i="3"/>
  <c r="AB533" i="3"/>
  <c r="AB580" i="3"/>
  <c r="AB544" i="3"/>
  <c r="AB532" i="3"/>
  <c r="AB428" i="3"/>
  <c r="AB583" i="3"/>
  <c r="AB543" i="3"/>
  <c r="AB511" i="3"/>
  <c r="AB503" i="3"/>
  <c r="AB491" i="3"/>
  <c r="AB483" i="3"/>
  <c r="AB582" i="3"/>
  <c r="AB566" i="3"/>
  <c r="AB554" i="3"/>
  <c r="AB546" i="3"/>
  <c r="AB534" i="3"/>
  <c r="AB403" i="3"/>
  <c r="AB395" i="3"/>
  <c r="AB387" i="3"/>
  <c r="AB375" i="3"/>
  <c r="AB367" i="3"/>
  <c r="AB359" i="3"/>
  <c r="AB351" i="3"/>
  <c r="AB458" i="3"/>
  <c r="AB438" i="3"/>
  <c r="AB426" i="3"/>
  <c r="AB414" i="3"/>
  <c r="AB406" i="3"/>
  <c r="AB398" i="3"/>
  <c r="AB390" i="3"/>
  <c r="AB378" i="3"/>
  <c r="AB366" i="3"/>
  <c r="AB358" i="3"/>
  <c r="AB551" i="3"/>
  <c r="AB578" i="3"/>
  <c r="AB531" i="3"/>
  <c r="AB523" i="3"/>
  <c r="AB471" i="3"/>
  <c r="AB455" i="3"/>
  <c r="AB439" i="3"/>
  <c r="AB415" i="3"/>
  <c r="AB514" i="3"/>
  <c r="AB482" i="3"/>
  <c r="AB526" i="3"/>
  <c r="AB502" i="3"/>
  <c r="AB490" i="3"/>
  <c r="AF59" i="3"/>
  <c r="AF352" i="3"/>
  <c r="AF351" i="3"/>
  <c r="AF582" i="3"/>
  <c r="AN59" i="3"/>
  <c r="AR59" i="3"/>
  <c r="AV59" i="3"/>
  <c r="Q1993" i="3"/>
  <c r="Q1929" i="3"/>
  <c r="Q1921" i="3"/>
  <c r="Q1749" i="3"/>
  <c r="Q2015" i="3"/>
  <c r="Q2007" i="3"/>
  <c r="Q1999" i="3"/>
  <c r="Q1991" i="3"/>
  <c r="Q1987" i="3"/>
  <c r="Q2017" i="3"/>
  <c r="Q2013" i="3"/>
  <c r="Q2009" i="3"/>
  <c r="Q1989" i="3"/>
  <c r="Q1985" i="3"/>
  <c r="Q1973" i="3"/>
  <c r="Q1961" i="3"/>
  <c r="Q1957" i="3"/>
  <c r="Q1937" i="3"/>
  <c r="Q1909" i="3"/>
  <c r="Q1905" i="3"/>
  <c r="Q1897" i="3"/>
  <c r="Q1893" i="3"/>
  <c r="Q1885" i="3"/>
  <c r="Q1877" i="3"/>
  <c r="Q1869" i="3"/>
  <c r="Q1865" i="3"/>
  <c r="Q1861" i="3"/>
  <c r="Q1853" i="3"/>
  <c r="Q1849" i="3"/>
  <c r="Q1845" i="3"/>
  <c r="Q1841" i="3"/>
  <c r="Q1833" i="3"/>
  <c r="Q1829" i="3"/>
  <c r="Q1821" i="3"/>
  <c r="Q1817" i="3"/>
  <c r="Q1809" i="3"/>
  <c r="Q1801" i="3"/>
  <c r="Q1785" i="3"/>
  <c r="Q1781" i="3"/>
  <c r="Q1773" i="3"/>
  <c r="Q1769" i="3"/>
  <c r="Q2016" i="3"/>
  <c r="Q2012" i="3"/>
  <c r="Q2008" i="3"/>
  <c r="Q2000" i="3"/>
  <c r="Q1996" i="3"/>
  <c r="Q1992" i="3"/>
  <c r="Q1988" i="3"/>
  <c r="Q1972" i="3"/>
  <c r="Q1968" i="3"/>
  <c r="Q1956" i="3"/>
  <c r="Q1940" i="3"/>
  <c r="Q1936" i="3"/>
  <c r="Q1928" i="3"/>
  <c r="Q1908" i="3"/>
  <c r="Q1900" i="3"/>
  <c r="Q1896" i="3"/>
  <c r="Q1888" i="3"/>
  <c r="Q1880" i="3"/>
  <c r="Q1876" i="3"/>
  <c r="Q1868" i="3"/>
  <c r="Q1864" i="3"/>
  <c r="Q1860" i="3"/>
  <c r="Q1852" i="3"/>
  <c r="Q1848" i="3"/>
  <c r="Q1844" i="3"/>
  <c r="Q1836" i="3"/>
  <c r="Q1832" i="3"/>
  <c r="Q1824" i="3"/>
  <c r="Q1820" i="3"/>
  <c r="Q1812" i="3"/>
  <c r="Q1808" i="3"/>
  <c r="Q1800" i="3"/>
  <c r="Q1792" i="3"/>
  <c r="Q1784" i="3"/>
  <c r="Q1780" i="3"/>
  <c r="Q1772" i="3"/>
  <c r="Q1764" i="3"/>
  <c r="Q1756" i="3"/>
  <c r="Q1748" i="3"/>
  <c r="Q2011" i="3"/>
  <c r="Q2003" i="3"/>
  <c r="Q1995" i="3"/>
  <c r="Q1959" i="3"/>
  <c r="Q1971" i="3"/>
  <c r="Q1955" i="3"/>
  <c r="Q2001" i="3"/>
  <c r="Q1997" i="3"/>
  <c r="Q1969" i="3"/>
  <c r="Q1949" i="3"/>
  <c r="Q1941" i="3"/>
  <c r="Q1916" i="3"/>
  <c r="Q1967" i="3"/>
  <c r="Q1927" i="3"/>
  <c r="Q1761" i="3"/>
  <c r="Q1935" i="3"/>
  <c r="Q1919" i="3"/>
  <c r="Q1917" i="3"/>
  <c r="Q1753" i="3"/>
  <c r="Q1960" i="3"/>
  <c r="Q1948" i="3"/>
  <c r="Q1920" i="3"/>
  <c r="Q1939" i="3"/>
  <c r="Q1915" i="3"/>
  <c r="Q1755" i="3"/>
  <c r="Q1747" i="3"/>
  <c r="Q1974" i="3"/>
  <c r="Q1938" i="3"/>
  <c r="Q1918" i="3"/>
  <c r="Q2014" i="3"/>
  <c r="Q2010" i="3"/>
  <c r="Q2006" i="3"/>
  <c r="Q2002" i="3"/>
  <c r="Q1998" i="3"/>
  <c r="Q1994" i="3"/>
  <c r="Q1962" i="3"/>
  <c r="Q1958" i="3"/>
  <c r="Q1950" i="3"/>
  <c r="Q1942" i="3"/>
  <c r="Q1930" i="3"/>
  <c r="Q1922" i="3"/>
  <c r="Q1907" i="3"/>
  <c r="Q1899" i="3"/>
  <c r="Q1875" i="3"/>
  <c r="Q1867" i="3"/>
  <c r="Q1859" i="3"/>
  <c r="Q1851" i="3"/>
  <c r="Q1843" i="3"/>
  <c r="Q1835" i="3"/>
  <c r="Q1819" i="3"/>
  <c r="Q1970" i="3"/>
  <c r="Q1811" i="3"/>
  <c r="Q1807" i="3"/>
  <c r="Q1799" i="3"/>
  <c r="Q1791" i="3"/>
  <c r="Q1783" i="3"/>
  <c r="Q1779" i="3"/>
  <c r="Q1771" i="3"/>
  <c r="Q1763" i="3"/>
  <c r="Q1990" i="3"/>
  <c r="Q1986" i="3"/>
  <c r="Q1910" i="3"/>
  <c r="Q1906" i="3"/>
  <c r="Q1898" i="3"/>
  <c r="Q1894" i="3"/>
  <c r="Q1886" i="3"/>
  <c r="Q1878" i="3"/>
  <c r="Q1870" i="3"/>
  <c r="Q1866" i="3"/>
  <c r="Q1862" i="3"/>
  <c r="Q1854" i="3"/>
  <c r="Q1850" i="3"/>
  <c r="Q1846" i="3"/>
  <c r="Q1842" i="3"/>
  <c r="Q1834" i="3"/>
  <c r="Q1830" i="3"/>
  <c r="Q1822" i="3"/>
  <c r="Q1818" i="3"/>
  <c r="Q1810" i="3"/>
  <c r="Q1802" i="3"/>
  <c r="Q1786" i="3"/>
  <c r="Q1782" i="3"/>
  <c r="Q1774" i="3"/>
  <c r="Q1770" i="3"/>
  <c r="Q1762" i="3"/>
  <c r="Q1754" i="3"/>
  <c r="Q1746" i="3"/>
  <c r="Q1895" i="3"/>
  <c r="Q1879" i="3"/>
  <c r="Q1947" i="3"/>
  <c r="Q1887" i="3"/>
  <c r="Q1863" i="3"/>
  <c r="Q1831" i="3"/>
  <c r="Q1847" i="3"/>
  <c r="Q1823" i="3"/>
  <c r="U1917" i="3"/>
  <c r="U1988" i="3"/>
  <c r="U1960" i="3"/>
  <c r="U1956" i="3"/>
  <c r="U1948" i="3"/>
  <c r="U1936" i="3"/>
  <c r="U1928" i="3"/>
  <c r="U1916" i="3"/>
  <c r="U2015" i="3"/>
  <c r="U2007" i="3"/>
  <c r="U1999" i="3"/>
  <c r="U1955" i="3"/>
  <c r="U2017" i="3"/>
  <c r="U2013" i="3"/>
  <c r="U2009" i="3"/>
  <c r="U1997" i="3"/>
  <c r="U1969" i="3"/>
  <c r="U1961" i="3"/>
  <c r="U1957" i="3"/>
  <c r="U1949" i="3"/>
  <c r="U1937" i="3"/>
  <c r="U2011" i="3"/>
  <c r="U2003" i="3"/>
  <c r="U1959" i="3"/>
  <c r="U1947" i="3"/>
  <c r="U1939" i="3"/>
  <c r="U1935" i="3"/>
  <c r="U1919" i="3"/>
  <c r="U1909" i="3"/>
  <c r="U1905" i="3"/>
  <c r="U1897" i="3"/>
  <c r="U1893" i="3"/>
  <c r="U1885" i="3"/>
  <c r="U1877" i="3"/>
  <c r="U1869" i="3"/>
  <c r="U1865" i="3"/>
  <c r="U1861" i="3"/>
  <c r="U1853" i="3"/>
  <c r="U1849" i="3"/>
  <c r="U1845" i="3"/>
  <c r="U1841" i="3"/>
  <c r="U1833" i="3"/>
  <c r="U1829" i="3"/>
  <c r="U1821" i="3"/>
  <c r="U1817" i="3"/>
  <c r="U1809" i="3"/>
  <c r="U1801" i="3"/>
  <c r="U1793" i="3"/>
  <c r="U1785" i="3"/>
  <c r="U1781" i="3"/>
  <c r="U1773" i="3"/>
  <c r="U1769" i="3"/>
  <c r="U1761" i="3"/>
  <c r="U1753" i="3"/>
  <c r="U1749" i="3"/>
  <c r="U2016" i="3"/>
  <c r="U2012" i="3"/>
  <c r="U2008" i="3"/>
  <c r="U2000" i="3"/>
  <c r="U1992" i="3"/>
  <c r="U1972" i="3"/>
  <c r="U1968" i="3"/>
  <c r="U1940" i="3"/>
  <c r="U1927" i="3"/>
  <c r="U1915" i="3"/>
  <c r="U1922" i="3"/>
  <c r="U1918" i="3"/>
  <c r="U1910" i="3"/>
  <c r="U1906" i="3"/>
  <c r="U1898" i="3"/>
  <c r="U1894" i="3"/>
  <c r="U1886" i="3"/>
  <c r="U1878" i="3"/>
  <c r="U1870" i="3"/>
  <c r="U1866" i="3"/>
  <c r="U1862" i="3"/>
  <c r="U1854" i="3"/>
  <c r="U1850" i="3"/>
  <c r="U1846" i="3"/>
  <c r="U1842" i="3"/>
  <c r="U1834" i="3"/>
  <c r="U1830" i="3"/>
  <c r="U1822" i="3"/>
  <c r="U1818" i="3"/>
  <c r="U1810" i="3"/>
  <c r="U1802" i="3"/>
  <c r="U1794" i="3"/>
  <c r="U1786" i="3"/>
  <c r="U1782" i="3"/>
  <c r="U1774" i="3"/>
  <c r="U1770" i="3"/>
  <c r="U1762" i="3"/>
  <c r="U1991" i="3"/>
  <c r="U1987" i="3"/>
  <c r="U1971" i="3"/>
  <c r="U1989" i="3"/>
  <c r="U1985" i="3"/>
  <c r="U1973" i="3"/>
  <c r="U1908" i="3"/>
  <c r="U1900" i="3"/>
  <c r="U1896" i="3"/>
  <c r="U1888" i="3"/>
  <c r="U1880" i="3"/>
  <c r="U1876" i="3"/>
  <c r="U1868" i="3"/>
  <c r="U1864" i="3"/>
  <c r="U1860" i="3"/>
  <c r="U1852" i="3"/>
  <c r="U1848" i="3"/>
  <c r="U1844" i="3"/>
  <c r="U1836" i="3"/>
  <c r="U1832" i="3"/>
  <c r="U1824" i="3"/>
  <c r="U1820" i="3"/>
  <c r="U1812" i="3"/>
  <c r="U1808" i="3"/>
  <c r="U1800" i="3"/>
  <c r="U1792" i="3"/>
  <c r="U1784" i="3"/>
  <c r="U1780" i="3"/>
  <c r="U1772" i="3"/>
  <c r="U1764" i="3"/>
  <c r="U2001" i="3"/>
  <c r="U1941" i="3"/>
  <c r="U1929" i="3"/>
  <c r="U1921" i="3"/>
  <c r="U1756" i="3"/>
  <c r="U1748" i="3"/>
  <c r="U1967" i="3"/>
  <c r="U1907" i="3"/>
  <c r="U1899" i="3"/>
  <c r="U1895" i="3"/>
  <c r="U1887" i="3"/>
  <c r="U1879" i="3"/>
  <c r="U1875" i="3"/>
  <c r="U1867" i="3"/>
  <c r="U1863" i="3"/>
  <c r="U1859" i="3"/>
  <c r="U1851" i="3"/>
  <c r="U1847" i="3"/>
  <c r="U1843" i="3"/>
  <c r="U1835" i="3"/>
  <c r="U1831" i="3"/>
  <c r="U1823" i="3"/>
  <c r="U1819" i="3"/>
  <c r="U1811" i="3"/>
  <c r="U1807" i="3"/>
  <c r="U1799" i="3"/>
  <c r="U1791" i="3"/>
  <c r="U1783" i="3"/>
  <c r="U1779" i="3"/>
  <c r="U1771" i="3"/>
  <c r="U1763" i="3"/>
  <c r="U1755" i="3"/>
  <c r="U1747" i="3"/>
  <c r="U2014" i="3"/>
  <c r="U2010" i="3"/>
  <c r="U2006" i="3"/>
  <c r="U2002" i="3"/>
  <c r="U1998" i="3"/>
  <c r="U1990" i="3"/>
  <c r="U1986" i="3"/>
  <c r="U1970" i="3"/>
  <c r="U1958" i="3"/>
  <c r="U1754" i="3"/>
  <c r="U1746" i="3"/>
  <c r="U1920" i="3"/>
  <c r="U1974" i="3"/>
  <c r="U1962" i="3"/>
  <c r="U1950" i="3"/>
  <c r="U1942" i="3"/>
  <c r="U1938" i="3"/>
  <c r="U1930" i="3"/>
  <c r="Y1971" i="3"/>
  <c r="Y1955" i="3"/>
  <c r="Y2001" i="3"/>
  <c r="Y1997" i="3"/>
  <c r="Y1969" i="3"/>
  <c r="Y1949" i="3"/>
  <c r="Y1941" i="3"/>
  <c r="Y1753" i="3"/>
  <c r="Y1960" i="3"/>
  <c r="Y1948" i="3"/>
  <c r="Y1920" i="3"/>
  <c r="Y1916" i="3"/>
  <c r="Y1967" i="3"/>
  <c r="Y1761" i="3"/>
  <c r="Y2015" i="3"/>
  <c r="Y2007" i="3"/>
  <c r="Y1999" i="3"/>
  <c r="Y1991" i="3"/>
  <c r="Y1987" i="3"/>
  <c r="Y2017" i="3"/>
  <c r="Y2013" i="3"/>
  <c r="Y2009" i="3"/>
  <c r="Y1989" i="3"/>
  <c r="Y1985" i="3"/>
  <c r="Y1973" i="3"/>
  <c r="Y1961" i="3"/>
  <c r="Y1957" i="3"/>
  <c r="Y1937" i="3"/>
  <c r="Y1909" i="3"/>
  <c r="Y1905" i="3"/>
  <c r="Y1897" i="3"/>
  <c r="Y1893" i="3"/>
  <c r="Y1885" i="3"/>
  <c r="Y1877" i="3"/>
  <c r="Y1869" i="3"/>
  <c r="Y1865" i="3"/>
  <c r="Y1861" i="3"/>
  <c r="Y1853" i="3"/>
  <c r="Y1849" i="3"/>
  <c r="Y1845" i="3"/>
  <c r="Y1841" i="3"/>
  <c r="Y1833" i="3"/>
  <c r="Y1829" i="3"/>
  <c r="Y1821" i="3"/>
  <c r="Y1817" i="3"/>
  <c r="Y1809" i="3"/>
  <c r="Y1801" i="3"/>
  <c r="Y1793" i="3"/>
  <c r="Y1785" i="3"/>
  <c r="Y1781" i="3"/>
  <c r="Y1773" i="3"/>
  <c r="Y1769" i="3"/>
  <c r="Y1992" i="3"/>
  <c r="Y1988" i="3"/>
  <c r="Y1972" i="3"/>
  <c r="Y1908" i="3"/>
  <c r="Y1900" i="3"/>
  <c r="Y1896" i="3"/>
  <c r="Y1888" i="3"/>
  <c r="Y1880" i="3"/>
  <c r="Y1876" i="3"/>
  <c r="Y1868" i="3"/>
  <c r="Y1864" i="3"/>
  <c r="Y1860" i="3"/>
  <c r="Y1852" i="3"/>
  <c r="Y1848" i="3"/>
  <c r="Y1844" i="3"/>
  <c r="Y1836" i="3"/>
  <c r="Y1832" i="3"/>
  <c r="Y1824" i="3"/>
  <c r="Y1820" i="3"/>
  <c r="Y1812" i="3"/>
  <c r="Y1808" i="3"/>
  <c r="Y1800" i="3"/>
  <c r="Y1792" i="3"/>
  <c r="Y1784" i="3"/>
  <c r="Y1780" i="3"/>
  <c r="Y1772" i="3"/>
  <c r="Y1764" i="3"/>
  <c r="Y1756" i="3"/>
  <c r="Y1748" i="3"/>
  <c r="Y2011" i="3"/>
  <c r="Y2003" i="3"/>
  <c r="Y1935" i="3"/>
  <c r="Y1919" i="3"/>
  <c r="Y1970" i="3"/>
  <c r="Y1749" i="3"/>
  <c r="Y1939" i="3"/>
  <c r="Y1915" i="3"/>
  <c r="Y1917" i="3"/>
  <c r="Y2016" i="3"/>
  <c r="Y2012" i="3"/>
  <c r="Y2008" i="3"/>
  <c r="Y2000" i="3"/>
  <c r="Y1968" i="3"/>
  <c r="Y1956" i="3"/>
  <c r="Y1940" i="3"/>
  <c r="Y1936" i="3"/>
  <c r="Y1928" i="3"/>
  <c r="Y1947" i="3"/>
  <c r="Y1907" i="3"/>
  <c r="Y1899" i="3"/>
  <c r="Y1895" i="3"/>
  <c r="Y1887" i="3"/>
  <c r="Y1879" i="3"/>
  <c r="Y1875" i="3"/>
  <c r="Y1867" i="3"/>
  <c r="Y1863" i="3"/>
  <c r="Y1859" i="3"/>
  <c r="Y1851" i="3"/>
  <c r="Y1847" i="3"/>
  <c r="Y1843" i="3"/>
  <c r="Y1835" i="3"/>
  <c r="Y1831" i="3"/>
  <c r="Y1823" i="3"/>
  <c r="Y1819" i="3"/>
  <c r="Y1811" i="3"/>
  <c r="Y1807" i="3"/>
  <c r="Y1799" i="3"/>
  <c r="Y1791" i="3"/>
  <c r="Y1783" i="3"/>
  <c r="Y1779" i="3"/>
  <c r="Y1771" i="3"/>
  <c r="Y1763" i="3"/>
  <c r="Y2014" i="3"/>
  <c r="Y2010" i="3"/>
  <c r="Y2006" i="3"/>
  <c r="Y2002" i="3"/>
  <c r="Y1998" i="3"/>
  <c r="Y1990" i="3"/>
  <c r="Y1986" i="3"/>
  <c r="Y1962" i="3"/>
  <c r="Y1958" i="3"/>
  <c r="Y1950" i="3"/>
  <c r="Y1942" i="3"/>
  <c r="Y1930" i="3"/>
  <c r="Y1922" i="3"/>
  <c r="Y1910" i="3"/>
  <c r="Y1906" i="3"/>
  <c r="Y1898" i="3"/>
  <c r="Y1894" i="3"/>
  <c r="Y1886" i="3"/>
  <c r="Y1878" i="3"/>
  <c r="Y1870" i="3"/>
  <c r="Y1866" i="3"/>
  <c r="Y1862" i="3"/>
  <c r="Y1854" i="3"/>
  <c r="Y1850" i="3"/>
  <c r="Y1846" i="3"/>
  <c r="Y1842" i="3"/>
  <c r="Y1834" i="3"/>
  <c r="Y1830" i="3"/>
  <c r="Y1822" i="3"/>
  <c r="Y1818" i="3"/>
  <c r="Y1810" i="3"/>
  <c r="Y1802" i="3"/>
  <c r="Y1794" i="3"/>
  <c r="Y1786" i="3"/>
  <c r="Y1782" i="3"/>
  <c r="Y1774" i="3"/>
  <c r="Y1770" i="3"/>
  <c r="Y1762" i="3"/>
  <c r="Y1754" i="3"/>
  <c r="Y1750" i="3"/>
  <c r="Y1746" i="3"/>
  <c r="Y1929" i="3"/>
  <c r="Y1921" i="3"/>
  <c r="Y1959" i="3"/>
  <c r="Y1974" i="3"/>
  <c r="Y1927" i="3"/>
  <c r="Y1938" i="3"/>
  <c r="Y1747" i="3"/>
  <c r="Y1918" i="3"/>
  <c r="Y1755" i="3"/>
  <c r="AC2001" i="3"/>
  <c r="AC1941" i="3"/>
  <c r="AC1929" i="3"/>
  <c r="AC1921" i="3"/>
  <c r="AC1909" i="3"/>
  <c r="AC1905" i="3"/>
  <c r="AC1897" i="3"/>
  <c r="AC1893" i="3"/>
  <c r="AC1885" i="3"/>
  <c r="AC1877" i="3"/>
  <c r="AC1869" i="3"/>
  <c r="AC1865" i="3"/>
  <c r="AC1861" i="3"/>
  <c r="AC1853" i="3"/>
  <c r="AC1849" i="3"/>
  <c r="AC1845" i="3"/>
  <c r="AC1841" i="3"/>
  <c r="AC1833" i="3"/>
  <c r="AC1829" i="3"/>
  <c r="AC1821" i="3"/>
  <c r="AC1817" i="3"/>
  <c r="AC1809" i="3"/>
  <c r="AC1801" i="3"/>
  <c r="AC1793" i="3"/>
  <c r="AC1785" i="3"/>
  <c r="AC1781" i="3"/>
  <c r="AC1773" i="3"/>
  <c r="AC1769" i="3"/>
  <c r="AC1761" i="3"/>
  <c r="AC1753" i="3"/>
  <c r="AC1749" i="3"/>
  <c r="AC2016" i="3"/>
  <c r="AC2012" i="3"/>
  <c r="AC2008" i="3"/>
  <c r="AC2000" i="3"/>
  <c r="AC1992" i="3"/>
  <c r="AC1980" i="3"/>
  <c r="AC1972" i="3"/>
  <c r="AC1968" i="3"/>
  <c r="AC1940" i="3"/>
  <c r="AC1916" i="3"/>
  <c r="AC1756" i="3"/>
  <c r="AC1748" i="3"/>
  <c r="AC1967" i="3"/>
  <c r="AC1991" i="3"/>
  <c r="AC1987" i="3"/>
  <c r="AC1971" i="3"/>
  <c r="AC1989" i="3"/>
  <c r="AC1985" i="3"/>
  <c r="AC1981" i="3"/>
  <c r="AC1973" i="3"/>
  <c r="AC1920" i="3"/>
  <c r="AC1908" i="3"/>
  <c r="AC1900" i="3"/>
  <c r="AC1896" i="3"/>
  <c r="AC1888" i="3"/>
  <c r="AC1880" i="3"/>
  <c r="AC1876" i="3"/>
  <c r="AC1868" i="3"/>
  <c r="AC1864" i="3"/>
  <c r="AC1860" i="3"/>
  <c r="AC1852" i="3"/>
  <c r="AC1848" i="3"/>
  <c r="AC1844" i="3"/>
  <c r="AC1836" i="3"/>
  <c r="AC1832" i="3"/>
  <c r="AC1824" i="3"/>
  <c r="AC1820" i="3"/>
  <c r="AC1812" i="3"/>
  <c r="AC1808" i="3"/>
  <c r="AC1800" i="3"/>
  <c r="AC1792" i="3"/>
  <c r="AC1784" i="3"/>
  <c r="AC1780" i="3"/>
  <c r="AC1772" i="3"/>
  <c r="AC1764" i="3"/>
  <c r="AC1935" i="3"/>
  <c r="AC1919" i="3"/>
  <c r="AC1974" i="3"/>
  <c r="AC1962" i="3"/>
  <c r="AC1950" i="3"/>
  <c r="AC1942" i="3"/>
  <c r="AC1938" i="3"/>
  <c r="AC1930" i="3"/>
  <c r="AC1917" i="3"/>
  <c r="AC1907" i="3"/>
  <c r="AC1899" i="3"/>
  <c r="AC1895" i="3"/>
  <c r="AC1887" i="3"/>
  <c r="AC1879" i="3"/>
  <c r="AC1875" i="3"/>
  <c r="AC1867" i="3"/>
  <c r="AC1863" i="3"/>
  <c r="AC1859" i="3"/>
  <c r="AC1851" i="3"/>
  <c r="AC1847" i="3"/>
  <c r="AC1843" i="3"/>
  <c r="AC1835" i="3"/>
  <c r="AC1831" i="3"/>
  <c r="AC1823" i="3"/>
  <c r="AC1819" i="3"/>
  <c r="AC2015" i="3"/>
  <c r="AC2007" i="3"/>
  <c r="AC1999" i="3"/>
  <c r="AC1955" i="3"/>
  <c r="AC2017" i="3"/>
  <c r="AC2013" i="3"/>
  <c r="AC2009" i="3"/>
  <c r="AC1997" i="3"/>
  <c r="AC1969" i="3"/>
  <c r="AC1961" i="3"/>
  <c r="AC1957" i="3"/>
  <c r="AC1949" i="3"/>
  <c r="AC1937" i="3"/>
  <c r="AC2011" i="3"/>
  <c r="AC2003" i="3"/>
  <c r="AC1959" i="3"/>
  <c r="AC1947" i="3"/>
  <c r="AC1939" i="3"/>
  <c r="AC1988" i="3"/>
  <c r="AC1984" i="3"/>
  <c r="AC1960" i="3"/>
  <c r="AC1956" i="3"/>
  <c r="AC1948" i="3"/>
  <c r="AC1936" i="3"/>
  <c r="AC1928" i="3"/>
  <c r="AC1922" i="3"/>
  <c r="AC1918" i="3"/>
  <c r="AC1915" i="3"/>
  <c r="AC1811" i="3"/>
  <c r="AC1807" i="3"/>
  <c r="AC1799" i="3"/>
  <c r="AC1791" i="3"/>
  <c r="AC1783" i="3"/>
  <c r="AC1779" i="3"/>
  <c r="AC1771" i="3"/>
  <c r="AC1763" i="3"/>
  <c r="AC1755" i="3"/>
  <c r="AC1747" i="3"/>
  <c r="AC2014" i="3"/>
  <c r="AC2010" i="3"/>
  <c r="AC2006" i="3"/>
  <c r="AC2002" i="3"/>
  <c r="AC1998" i="3"/>
  <c r="AC1990" i="3"/>
  <c r="AC1986" i="3"/>
  <c r="AC1970" i="3"/>
  <c r="AC1958" i="3"/>
  <c r="AC1910" i="3"/>
  <c r="AC1906" i="3"/>
  <c r="AC1898" i="3"/>
  <c r="AC1894" i="3"/>
  <c r="AC1886" i="3"/>
  <c r="AC1878" i="3"/>
  <c r="AC1870" i="3"/>
  <c r="AC1866" i="3"/>
  <c r="AC1862" i="3"/>
  <c r="AC1854" i="3"/>
  <c r="AC1850" i="3"/>
  <c r="AC1846" i="3"/>
  <c r="AC1842" i="3"/>
  <c r="AC1834" i="3"/>
  <c r="AC1830" i="3"/>
  <c r="AC1822" i="3"/>
  <c r="AC1818" i="3"/>
  <c r="AC1810" i="3"/>
  <c r="AC1802" i="3"/>
  <c r="AC1794" i="3"/>
  <c r="AC1786" i="3"/>
  <c r="AC1782" i="3"/>
  <c r="AC1774" i="3"/>
  <c r="AC1770" i="3"/>
  <c r="AC1762" i="3"/>
  <c r="AC1927" i="3"/>
  <c r="AC1750" i="3"/>
  <c r="AC1754" i="3"/>
  <c r="AC1746" i="3"/>
  <c r="AG2015" i="3"/>
  <c r="AG2007" i="3"/>
  <c r="AG1999" i="3"/>
  <c r="AG1991" i="3"/>
  <c r="AG1987" i="3"/>
  <c r="AG1979" i="3"/>
  <c r="AG1963" i="3"/>
  <c r="AG2017" i="3"/>
  <c r="AG2013" i="3"/>
  <c r="AG2009" i="3"/>
  <c r="AG1989" i="3"/>
  <c r="AG1985" i="3"/>
  <c r="AG1981" i="3"/>
  <c r="AG1977" i="3"/>
  <c r="AG1973" i="3"/>
  <c r="AG1965" i="3"/>
  <c r="AG1961" i="3"/>
  <c r="AG1957" i="3"/>
  <c r="AG1937" i="3"/>
  <c r="AG1917" i="3"/>
  <c r="AG1913" i="3"/>
  <c r="AG1909" i="3"/>
  <c r="AG1905" i="3"/>
  <c r="AG1901" i="3"/>
  <c r="AG1897" i="3"/>
  <c r="AG1893" i="3"/>
  <c r="AG1889" i="3"/>
  <c r="AG1885" i="3"/>
  <c r="AG1881" i="3"/>
  <c r="AG1877" i="3"/>
  <c r="AG1873" i="3"/>
  <c r="AG1869" i="3"/>
  <c r="AG1865" i="3"/>
  <c r="AG1861" i="3"/>
  <c r="AG1857" i="3"/>
  <c r="AG1853" i="3"/>
  <c r="AG1849" i="3"/>
  <c r="AG1845" i="3"/>
  <c r="AG1841" i="3"/>
  <c r="AG1837" i="3"/>
  <c r="AG1833" i="3"/>
  <c r="AG1829" i="3"/>
  <c r="AG1825" i="3"/>
  <c r="AG1821" i="3"/>
  <c r="AG1817" i="3"/>
  <c r="AG1813" i="3"/>
  <c r="AG1809" i="3"/>
  <c r="AG1801" i="3"/>
  <c r="AG1793" i="3"/>
  <c r="AG1789" i="3"/>
  <c r="AG1785" i="3"/>
  <c r="AG1781" i="3"/>
  <c r="AG1777" i="3"/>
  <c r="AG1773" i="3"/>
  <c r="AG1769" i="3"/>
  <c r="AG2016" i="3"/>
  <c r="AG2012" i="3"/>
  <c r="AG2008" i="3"/>
  <c r="AG2000" i="3"/>
  <c r="AG1992" i="3"/>
  <c r="AG1988" i="3"/>
  <c r="AG1980" i="3"/>
  <c r="AG1976" i="3"/>
  <c r="AG1972" i="3"/>
  <c r="AG1968" i="3"/>
  <c r="AG1964" i="3"/>
  <c r="AG1956" i="3"/>
  <c r="AG1944" i="3"/>
  <c r="AG1940" i="3"/>
  <c r="AG1936" i="3"/>
  <c r="AG1928" i="3"/>
  <c r="AG1912" i="3"/>
  <c r="AG1908" i="3"/>
  <c r="AG1904" i="3"/>
  <c r="AG1900" i="3"/>
  <c r="AG1896" i="3"/>
  <c r="AG1892" i="3"/>
  <c r="AG1888" i="3"/>
  <c r="AG1884" i="3"/>
  <c r="AG1880" i="3"/>
  <c r="AG1876" i="3"/>
  <c r="AG1872" i="3"/>
  <c r="AG1868" i="3"/>
  <c r="AG1864" i="3"/>
  <c r="AG1860" i="3"/>
  <c r="AG1856" i="3"/>
  <c r="AG1852" i="3"/>
  <c r="AG1848" i="3"/>
  <c r="AG1844" i="3"/>
  <c r="AG1840" i="3"/>
  <c r="AG1836" i="3"/>
  <c r="AG1832" i="3"/>
  <c r="AG1828" i="3"/>
  <c r="AG1824" i="3"/>
  <c r="AG1820" i="3"/>
  <c r="AG1816" i="3"/>
  <c r="AG1812" i="3"/>
  <c r="AG1808" i="3"/>
  <c r="AG1800" i="3"/>
  <c r="AG1792" i="3"/>
  <c r="AG1788" i="3"/>
  <c r="AG1784" i="3"/>
  <c r="AG1780" i="3"/>
  <c r="AG1776" i="3"/>
  <c r="AG1772" i="3"/>
  <c r="AG1764" i="3"/>
  <c r="AG1760" i="3"/>
  <c r="AG1756" i="3"/>
  <c r="AG1748" i="3"/>
  <c r="AG2011" i="3"/>
  <c r="AG2003" i="3"/>
  <c r="AG1983" i="3"/>
  <c r="AG1975" i="3"/>
  <c r="AG1929" i="3"/>
  <c r="AG1921" i="3"/>
  <c r="AG1757" i="3"/>
  <c r="AG1749" i="3"/>
  <c r="AG1916" i="3"/>
  <c r="AG1939" i="3"/>
  <c r="AG1927" i="3"/>
  <c r="AG1761" i="3"/>
  <c r="AG1755" i="3"/>
  <c r="AG1747" i="3"/>
  <c r="AG1974" i="3"/>
  <c r="AG1938" i="3"/>
  <c r="AG1918" i="3"/>
  <c r="AG1753" i="3"/>
  <c r="AG1960" i="3"/>
  <c r="AG1948" i="3"/>
  <c r="AG1920" i="3"/>
  <c r="AG1947" i="3"/>
  <c r="AG1911" i="3"/>
  <c r="AG1907" i="3"/>
  <c r="AG1903" i="3"/>
  <c r="AG1899" i="3"/>
  <c r="AG1895" i="3"/>
  <c r="AG1891" i="3"/>
  <c r="AG1887" i="3"/>
  <c r="AG1883" i="3"/>
  <c r="AG1879" i="3"/>
  <c r="AG1875" i="3"/>
  <c r="AG1871" i="3"/>
  <c r="AG1867" i="3"/>
  <c r="AG1863" i="3"/>
  <c r="AG1859" i="3"/>
  <c r="AG1855" i="3"/>
  <c r="AG1851" i="3"/>
  <c r="AG1847" i="3"/>
  <c r="AG1843" i="3"/>
  <c r="AG1839" i="3"/>
  <c r="AG1835" i="3"/>
  <c r="AG1831" i="3"/>
  <c r="AG1827" i="3"/>
  <c r="AG1823" i="3"/>
  <c r="AG1819" i="3"/>
  <c r="AG1815" i="3"/>
  <c r="AG1959" i="3"/>
  <c r="AG1971" i="3"/>
  <c r="AG1955" i="3"/>
  <c r="AG2001" i="3"/>
  <c r="AG1997" i="3"/>
  <c r="AG1969" i="3"/>
  <c r="AG1949" i="3"/>
  <c r="AG1945" i="3"/>
  <c r="AG1941" i="3"/>
  <c r="AG1984" i="3"/>
  <c r="AG1943" i="3"/>
  <c r="AG1915" i="3"/>
  <c r="AG1970" i="3"/>
  <c r="AG1919" i="3"/>
  <c r="AG1811" i="3"/>
  <c r="AG1807" i="3"/>
  <c r="AG1799" i="3"/>
  <c r="AG1791" i="3"/>
  <c r="AG1787" i="3"/>
  <c r="AG1783" i="3"/>
  <c r="AG1779" i="3"/>
  <c r="AG1775" i="3"/>
  <c r="AG1771" i="3"/>
  <c r="AG1763" i="3"/>
  <c r="AG1990" i="3"/>
  <c r="AG1986" i="3"/>
  <c r="AG1982" i="3"/>
  <c r="AG1978" i="3"/>
  <c r="AG1914" i="3"/>
  <c r="AG1910" i="3"/>
  <c r="AG1906" i="3"/>
  <c r="AG1902" i="3"/>
  <c r="AG1898" i="3"/>
  <c r="AG1894" i="3"/>
  <c r="AG1890" i="3"/>
  <c r="AG1886" i="3"/>
  <c r="AG1882" i="3"/>
  <c r="AG1878" i="3"/>
  <c r="AG1874" i="3"/>
  <c r="AG1870" i="3"/>
  <c r="AG1866" i="3"/>
  <c r="AG1862" i="3"/>
  <c r="AG1858" i="3"/>
  <c r="AG1854" i="3"/>
  <c r="AG1850" i="3"/>
  <c r="AG1846" i="3"/>
  <c r="AG1842" i="3"/>
  <c r="AG1838" i="3"/>
  <c r="AG1834" i="3"/>
  <c r="AG1830" i="3"/>
  <c r="AG1826" i="3"/>
  <c r="AG1822" i="3"/>
  <c r="AG1818" i="3"/>
  <c r="AG1814" i="3"/>
  <c r="AG1810" i="3"/>
  <c r="AG1802" i="3"/>
  <c r="AG1794" i="3"/>
  <c r="AG1790" i="3"/>
  <c r="AG1786" i="3"/>
  <c r="AG1782" i="3"/>
  <c r="AG1778" i="3"/>
  <c r="AG1774" i="3"/>
  <c r="AG1770" i="3"/>
  <c r="AG1762" i="3"/>
  <c r="AG1758" i="3"/>
  <c r="AG1754" i="3"/>
  <c r="AG1750" i="3"/>
  <c r="AG1746" i="3"/>
  <c r="AG1967" i="3"/>
  <c r="AG1759" i="3"/>
  <c r="AG1935" i="3"/>
  <c r="AG2002" i="3"/>
  <c r="AG1922" i="3"/>
  <c r="AG2014" i="3"/>
  <c r="AG1998" i="3"/>
  <c r="AG1966" i="3"/>
  <c r="AG1950" i="3"/>
  <c r="AG1962" i="3"/>
  <c r="AG1930" i="3"/>
  <c r="AG1958" i="3"/>
  <c r="AG2010" i="3"/>
  <c r="AG1946" i="3"/>
  <c r="AG2006" i="3"/>
  <c r="AG1942" i="3"/>
  <c r="AK2015" i="3"/>
  <c r="AK2007" i="3"/>
  <c r="AK1999" i="3"/>
  <c r="AK1963" i="3"/>
  <c r="AK1955" i="3"/>
  <c r="AK2017" i="3"/>
  <c r="AK2013" i="3"/>
  <c r="AK2009" i="3"/>
  <c r="AK1997" i="3"/>
  <c r="AK1969" i="3"/>
  <c r="AK1965" i="3"/>
  <c r="AK1961" i="3"/>
  <c r="AK1957" i="3"/>
  <c r="AK1949" i="3"/>
  <c r="AK1937" i="3"/>
  <c r="AK2011" i="3"/>
  <c r="AK2003" i="3"/>
  <c r="AK1917" i="3"/>
  <c r="AK1988" i="3"/>
  <c r="AK1984" i="3"/>
  <c r="AK1976" i="3"/>
  <c r="AK1964" i="3"/>
  <c r="AK1960" i="3"/>
  <c r="AK1956" i="3"/>
  <c r="AK1948" i="3"/>
  <c r="AK1936" i="3"/>
  <c r="AK1928" i="3"/>
  <c r="AK1991" i="3"/>
  <c r="AK1987" i="3"/>
  <c r="AK1979" i="3"/>
  <c r="AK1971" i="3"/>
  <c r="AK1989" i="3"/>
  <c r="AK1985" i="3"/>
  <c r="AK1981" i="3"/>
  <c r="AK1977" i="3"/>
  <c r="AK1973" i="3"/>
  <c r="AK1912" i="3"/>
  <c r="AK1908" i="3"/>
  <c r="AK1904" i="3"/>
  <c r="AK1900" i="3"/>
  <c r="AK1896" i="3"/>
  <c r="AK1892" i="3"/>
  <c r="AK1888" i="3"/>
  <c r="AK1884" i="3"/>
  <c r="AK1880" i="3"/>
  <c r="AK1876" i="3"/>
  <c r="AK1872" i="3"/>
  <c r="AK1868" i="3"/>
  <c r="AK1864" i="3"/>
  <c r="AK1860" i="3"/>
  <c r="AK1856" i="3"/>
  <c r="AK1852" i="3"/>
  <c r="AK1848" i="3"/>
  <c r="AK1844" i="3"/>
  <c r="AK1840" i="3"/>
  <c r="AK1836" i="3"/>
  <c r="AK1832" i="3"/>
  <c r="AK1828" i="3"/>
  <c r="AK1824" i="3"/>
  <c r="AK1820" i="3"/>
  <c r="AK1816" i="3"/>
  <c r="AK1812" i="3"/>
  <c r="AK1808" i="3"/>
  <c r="AK1800" i="3"/>
  <c r="AK1792" i="3"/>
  <c r="AK1788" i="3"/>
  <c r="AK1784" i="3"/>
  <c r="AK1780" i="3"/>
  <c r="AK1776" i="3"/>
  <c r="AK1772" i="3"/>
  <c r="AK1764" i="3"/>
  <c r="AK1760" i="3"/>
  <c r="AK1983" i="3"/>
  <c r="AK1975" i="3"/>
  <c r="AK1911" i="3"/>
  <c r="AK1907" i="3"/>
  <c r="AK1903" i="3"/>
  <c r="AK1899" i="3"/>
  <c r="AK1895" i="3"/>
  <c r="AK1891" i="3"/>
  <c r="AK1887" i="3"/>
  <c r="AK1883" i="3"/>
  <c r="AK1879" i="3"/>
  <c r="AK1875" i="3"/>
  <c r="AK1871" i="3"/>
  <c r="AK1867" i="3"/>
  <c r="AK1863" i="3"/>
  <c r="AK1859" i="3"/>
  <c r="AK1855" i="3"/>
  <c r="AK1851" i="3"/>
  <c r="AK1847" i="3"/>
  <c r="AK1843" i="3"/>
  <c r="AK1839" i="3"/>
  <c r="AK1835" i="3"/>
  <c r="AK1831" i="3"/>
  <c r="AK1827" i="3"/>
  <c r="AK1823" i="3"/>
  <c r="AK1819" i="3"/>
  <c r="AK1815" i="3"/>
  <c r="AK1811" i="3"/>
  <c r="AK1807" i="3"/>
  <c r="AK1799" i="3"/>
  <c r="AK1791" i="3"/>
  <c r="AK1787" i="3"/>
  <c r="AK1783" i="3"/>
  <c r="AK1779" i="3"/>
  <c r="AK1775" i="3"/>
  <c r="AK1771" i="3"/>
  <c r="AK1763" i="3"/>
  <c r="AK1759" i="3"/>
  <c r="AK1755" i="3"/>
  <c r="AK1751" i="3"/>
  <c r="AK1747" i="3"/>
  <c r="AK2014" i="3"/>
  <c r="AK2010" i="3"/>
  <c r="AK2006" i="3"/>
  <c r="AK2002" i="3"/>
  <c r="AK1998" i="3"/>
  <c r="AK1990" i="3"/>
  <c r="AK1986" i="3"/>
  <c r="AK1982" i="3"/>
  <c r="AK1970" i="3"/>
  <c r="AK1966" i="3"/>
  <c r="AK1958" i="3"/>
  <c r="AK1754" i="3"/>
  <c r="AK1750" i="3"/>
  <c r="AK1746" i="3"/>
  <c r="AK2001" i="3"/>
  <c r="AK1945" i="3"/>
  <c r="AK1941" i="3"/>
  <c r="AK1929" i="3"/>
  <c r="AK1921" i="3"/>
  <c r="AK1756" i="3"/>
  <c r="AK1752" i="3"/>
  <c r="AK1748" i="3"/>
  <c r="AK1967" i="3"/>
  <c r="AK1959" i="3"/>
  <c r="AK1947" i="3"/>
  <c r="AK1939" i="3"/>
  <c r="AK1920" i="3"/>
  <c r="AK1916" i="3"/>
  <c r="AK1927" i="3"/>
  <c r="AK1915" i="3"/>
  <c r="AK1922" i="3"/>
  <c r="AK1918" i="3"/>
  <c r="AK1914" i="3"/>
  <c r="AK1910" i="3"/>
  <c r="AK1906" i="3"/>
  <c r="AK1902" i="3"/>
  <c r="AK1898" i="3"/>
  <c r="AK1894" i="3"/>
  <c r="AK1890" i="3"/>
  <c r="AK1886" i="3"/>
  <c r="AK1882" i="3"/>
  <c r="AK1878" i="3"/>
  <c r="AK1874" i="3"/>
  <c r="AK1870" i="3"/>
  <c r="AK1866" i="3"/>
  <c r="AK1862" i="3"/>
  <c r="AK1858" i="3"/>
  <c r="AK1854" i="3"/>
  <c r="AK1850" i="3"/>
  <c r="AK1846" i="3"/>
  <c r="AK1842" i="3"/>
  <c r="AK1838" i="3"/>
  <c r="AK1834" i="3"/>
  <c r="AK1830" i="3"/>
  <c r="AK1826" i="3"/>
  <c r="AK1822" i="3"/>
  <c r="AK1818" i="3"/>
  <c r="AK1814" i="3"/>
  <c r="AK1810" i="3"/>
  <c r="AK1802" i="3"/>
  <c r="AK1794" i="3"/>
  <c r="AK1790" i="3"/>
  <c r="AK1786" i="3"/>
  <c r="AK1782" i="3"/>
  <c r="AK1778" i="3"/>
  <c r="AK1774" i="3"/>
  <c r="AK1770" i="3"/>
  <c r="AK1762" i="3"/>
  <c r="AK1913" i="3"/>
  <c r="AK1909" i="3"/>
  <c r="AK1905" i="3"/>
  <c r="AK1901" i="3"/>
  <c r="AK1897" i="3"/>
  <c r="AK1893" i="3"/>
  <c r="AK1889" i="3"/>
  <c r="AK1885" i="3"/>
  <c r="AK1881" i="3"/>
  <c r="AK1877" i="3"/>
  <c r="AK1873" i="3"/>
  <c r="AK1869" i="3"/>
  <c r="AK1865" i="3"/>
  <c r="AK1861" i="3"/>
  <c r="AK1857" i="3"/>
  <c r="AK1853" i="3"/>
  <c r="AK1849" i="3"/>
  <c r="AK1845" i="3"/>
  <c r="AK1841" i="3"/>
  <c r="AK1837" i="3"/>
  <c r="AK1833" i="3"/>
  <c r="AK1829" i="3"/>
  <c r="AK1825" i="3"/>
  <c r="AK1821" i="3"/>
  <c r="AK1817" i="3"/>
  <c r="AK1813" i="3"/>
  <c r="AK1809" i="3"/>
  <c r="AK1801" i="3"/>
  <c r="AK1793" i="3"/>
  <c r="AK1789" i="3"/>
  <c r="AK1785" i="3"/>
  <c r="AK1781" i="3"/>
  <c r="AK1777" i="3"/>
  <c r="AK1773" i="3"/>
  <c r="AK1769" i="3"/>
  <c r="AK1761" i="3"/>
  <c r="AK1757" i="3"/>
  <c r="AK1753" i="3"/>
  <c r="AK1749" i="3"/>
  <c r="AK2016" i="3"/>
  <c r="AK2012" i="3"/>
  <c r="AK2008" i="3"/>
  <c r="AK2000" i="3"/>
  <c r="AK1992" i="3"/>
  <c r="AK1980" i="3"/>
  <c r="AK1972" i="3"/>
  <c r="AK1968" i="3"/>
  <c r="AK1944" i="3"/>
  <c r="AK1940" i="3"/>
  <c r="AK1935" i="3"/>
  <c r="AK1978" i="3"/>
  <c r="AK1974" i="3"/>
  <c r="AK1962" i="3"/>
  <c r="AK1950" i="3"/>
  <c r="AK1946" i="3"/>
  <c r="AK1942" i="3"/>
  <c r="AK1938" i="3"/>
  <c r="AK1930" i="3"/>
  <c r="AK1943" i="3"/>
  <c r="AK1919" i="3"/>
  <c r="AK1758" i="3"/>
  <c r="AO1761" i="3"/>
  <c r="AO1971" i="3"/>
  <c r="AO1955" i="3"/>
  <c r="AO2001" i="3"/>
  <c r="AO1997" i="3"/>
  <c r="AO1969" i="3"/>
  <c r="AO1949" i="3"/>
  <c r="AO1945" i="3"/>
  <c r="AO1941" i="3"/>
  <c r="AO1753" i="3"/>
  <c r="AO1984" i="3"/>
  <c r="AO1960" i="3"/>
  <c r="AO1948" i="3"/>
  <c r="AO1920" i="3"/>
  <c r="AO1967" i="3"/>
  <c r="AO1947" i="3"/>
  <c r="AO1943" i="3"/>
  <c r="AO1935" i="3"/>
  <c r="AO1919" i="3"/>
  <c r="AO1757" i="3"/>
  <c r="AO1749" i="3"/>
  <c r="AO1939" i="3"/>
  <c r="AO1911" i="3"/>
  <c r="AO1907" i="3"/>
  <c r="AO1903" i="3"/>
  <c r="AO1899" i="3"/>
  <c r="AO1895" i="3"/>
  <c r="AO1891" i="3"/>
  <c r="AO1887" i="3"/>
  <c r="AO1883" i="3"/>
  <c r="AO1879" i="3"/>
  <c r="AO1875" i="3"/>
  <c r="AO1871" i="3"/>
  <c r="AO1867" i="3"/>
  <c r="AO1863" i="3"/>
  <c r="AO1859" i="3"/>
  <c r="AO1855" i="3"/>
  <c r="AO1851" i="3"/>
  <c r="AO1847" i="3"/>
  <c r="AO1843" i="3"/>
  <c r="AO1839" i="3"/>
  <c r="AO1835" i="3"/>
  <c r="AO1831" i="3"/>
  <c r="AO1827" i="3"/>
  <c r="AO1823" i="3"/>
  <c r="AO1819" i="3"/>
  <c r="AO1815" i="3"/>
  <c r="AO1811" i="3"/>
  <c r="AO1807" i="3"/>
  <c r="AO1799" i="3"/>
  <c r="AO1791" i="3"/>
  <c r="AO1787" i="3"/>
  <c r="AO1783" i="3"/>
  <c r="AO1779" i="3"/>
  <c r="AO1775" i="3"/>
  <c r="AO1771" i="3"/>
  <c r="AO1763" i="3"/>
  <c r="AO2014" i="3"/>
  <c r="AO2010" i="3"/>
  <c r="AO2006" i="3"/>
  <c r="AO2002" i="3"/>
  <c r="AO1998" i="3"/>
  <c r="AO1990" i="3"/>
  <c r="AO1986" i="3"/>
  <c r="AO1982" i="3"/>
  <c r="AO1978" i="3"/>
  <c r="AO1966" i="3"/>
  <c r="AO1962" i="3"/>
  <c r="AO1958" i="3"/>
  <c r="AO1950" i="3"/>
  <c r="AO1946" i="3"/>
  <c r="AO1942" i="3"/>
  <c r="AO1930" i="3"/>
  <c r="AO1922" i="3"/>
  <c r="AO1914" i="3"/>
  <c r="AO1910" i="3"/>
  <c r="AO1906" i="3"/>
  <c r="AO1902" i="3"/>
  <c r="AO1898" i="3"/>
  <c r="AO1894" i="3"/>
  <c r="AO1890" i="3"/>
  <c r="AO1886" i="3"/>
  <c r="AO1882" i="3"/>
  <c r="AO1878" i="3"/>
  <c r="AO1874" i="3"/>
  <c r="AO1870" i="3"/>
  <c r="AO1866" i="3"/>
  <c r="AO1862" i="3"/>
  <c r="AO1858" i="3"/>
  <c r="AO1854" i="3"/>
  <c r="AO1850" i="3"/>
  <c r="AO1846" i="3"/>
  <c r="AO1842" i="3"/>
  <c r="AO1838" i="3"/>
  <c r="AO1834" i="3"/>
  <c r="AO1830" i="3"/>
  <c r="AO1826" i="3"/>
  <c r="AO1822" i="3"/>
  <c r="AO1818" i="3"/>
  <c r="AO1814" i="3"/>
  <c r="AO1810" i="3"/>
  <c r="AO1802" i="3"/>
  <c r="AO1794" i="3"/>
  <c r="AO1790" i="3"/>
  <c r="AO1786" i="3"/>
  <c r="AO1782" i="3"/>
  <c r="AO1778" i="3"/>
  <c r="AO1774" i="3"/>
  <c r="AO1770" i="3"/>
  <c r="AO1762" i="3"/>
  <c r="AO1758" i="3"/>
  <c r="AO1754" i="3"/>
  <c r="AO1750" i="3"/>
  <c r="AO1746" i="3"/>
  <c r="AO1917" i="3"/>
  <c r="AO2016" i="3"/>
  <c r="AO2012" i="3"/>
  <c r="AO2008" i="3"/>
  <c r="AO2000" i="3"/>
  <c r="AO1968" i="3"/>
  <c r="AO1964" i="3"/>
  <c r="AO1956" i="3"/>
  <c r="AO1944" i="3"/>
  <c r="AO1940" i="3"/>
  <c r="AO1936" i="3"/>
  <c r="AO1928" i="3"/>
  <c r="AO1916" i="3"/>
  <c r="AO1959" i="3"/>
  <c r="AO1929" i="3"/>
  <c r="AO1921" i="3"/>
  <c r="AO1927" i="3"/>
  <c r="AO1915" i="3"/>
  <c r="AO1759" i="3"/>
  <c r="AO1970" i="3"/>
  <c r="AO2015" i="3"/>
  <c r="AO2007" i="3"/>
  <c r="AO1999" i="3"/>
  <c r="AO1991" i="3"/>
  <c r="AO1987" i="3"/>
  <c r="AO1979" i="3"/>
  <c r="AO1963" i="3"/>
  <c r="AO2017" i="3"/>
  <c r="AO2013" i="3"/>
  <c r="AO2009" i="3"/>
  <c r="AO1989" i="3"/>
  <c r="AO1985" i="3"/>
  <c r="AO1981" i="3"/>
  <c r="AO1977" i="3"/>
  <c r="AO1973" i="3"/>
  <c r="AO1965" i="3"/>
  <c r="AO1961" i="3"/>
  <c r="AO1957" i="3"/>
  <c r="AO1937" i="3"/>
  <c r="AO1913" i="3"/>
  <c r="AO1909" i="3"/>
  <c r="AO1905" i="3"/>
  <c r="AO1901" i="3"/>
  <c r="AO1897" i="3"/>
  <c r="AO1893" i="3"/>
  <c r="AO1889" i="3"/>
  <c r="AO1885" i="3"/>
  <c r="AO1881" i="3"/>
  <c r="AO1877" i="3"/>
  <c r="AO1873" i="3"/>
  <c r="AO1869" i="3"/>
  <c r="AO1865" i="3"/>
  <c r="AO1861" i="3"/>
  <c r="AO1857" i="3"/>
  <c r="AO1853" i="3"/>
  <c r="AO1849" i="3"/>
  <c r="AO1845" i="3"/>
  <c r="AO1841" i="3"/>
  <c r="AO1837" i="3"/>
  <c r="AO1833" i="3"/>
  <c r="AO1829" i="3"/>
  <c r="AO1825" i="3"/>
  <c r="AO1821" i="3"/>
  <c r="AO1817" i="3"/>
  <c r="AO1813" i="3"/>
  <c r="AO1809" i="3"/>
  <c r="AO1801" i="3"/>
  <c r="AO1793" i="3"/>
  <c r="AO1789" i="3"/>
  <c r="AO1785" i="3"/>
  <c r="AO1781" i="3"/>
  <c r="AO1777" i="3"/>
  <c r="AO1773" i="3"/>
  <c r="AO1769" i="3"/>
  <c r="AO1992" i="3"/>
  <c r="AO1988" i="3"/>
  <c r="AO1980" i="3"/>
  <c r="AO1976" i="3"/>
  <c r="AO1972" i="3"/>
  <c r="AO1912" i="3"/>
  <c r="AO1908" i="3"/>
  <c r="AO1892" i="3"/>
  <c r="AO1876" i="3"/>
  <c r="AO1860" i="3"/>
  <c r="AO1844" i="3"/>
  <c r="AO1828" i="3"/>
  <c r="AO1812" i="3"/>
  <c r="AO1780" i="3"/>
  <c r="AO1764" i="3"/>
  <c r="AO1748" i="3"/>
  <c r="AO1983" i="3"/>
  <c r="AO1974" i="3"/>
  <c r="AO1904" i="3"/>
  <c r="AO1888" i="3"/>
  <c r="AO1872" i="3"/>
  <c r="AO1856" i="3"/>
  <c r="AO1840" i="3"/>
  <c r="AO1824" i="3"/>
  <c r="AO1808" i="3"/>
  <c r="AO1792" i="3"/>
  <c r="AO1776" i="3"/>
  <c r="AO1760" i="3"/>
  <c r="AO2011" i="3"/>
  <c r="AO1975" i="3"/>
  <c r="AO1900" i="3"/>
  <c r="AO1884" i="3"/>
  <c r="AO1868" i="3"/>
  <c r="AO1852" i="3"/>
  <c r="AO1836" i="3"/>
  <c r="AO1820" i="3"/>
  <c r="AO1788" i="3"/>
  <c r="AO1772" i="3"/>
  <c r="AO1756" i="3"/>
  <c r="AO2003" i="3"/>
  <c r="AO1755" i="3"/>
  <c r="AO1751" i="3"/>
  <c r="AO1747" i="3"/>
  <c r="AO1938" i="3"/>
  <c r="AO1918" i="3"/>
  <c r="AO1896" i="3"/>
  <c r="AO1880" i="3"/>
  <c r="AO1864" i="3"/>
  <c r="AO1816" i="3"/>
  <c r="AO1800" i="3"/>
  <c r="AO1752" i="3"/>
  <c r="AO1848" i="3"/>
  <c r="AO1832" i="3"/>
  <c r="AO1784" i="3"/>
  <c r="AS1991" i="3"/>
  <c r="AS1987" i="3"/>
  <c r="AS1979" i="3"/>
  <c r="AS1971" i="3"/>
  <c r="AS1989" i="3"/>
  <c r="AS1985" i="3"/>
  <c r="AS1981" i="3"/>
  <c r="AS1977" i="3"/>
  <c r="AS1973" i="3"/>
  <c r="AS1920" i="3"/>
  <c r="AS1912" i="3"/>
  <c r="AS1908" i="3"/>
  <c r="AS1904" i="3"/>
  <c r="AS1900" i="3"/>
  <c r="AS1896" i="3"/>
  <c r="AS1892" i="3"/>
  <c r="AS1888" i="3"/>
  <c r="AS1884" i="3"/>
  <c r="AS1880" i="3"/>
  <c r="AS1876" i="3"/>
  <c r="AS1872" i="3"/>
  <c r="AS1868" i="3"/>
  <c r="AS1864" i="3"/>
  <c r="AS1860" i="3"/>
  <c r="AS1856" i="3"/>
  <c r="AS1852" i="3"/>
  <c r="AS1848" i="3"/>
  <c r="AS1844" i="3"/>
  <c r="AS1840" i="3"/>
  <c r="AS1836" i="3"/>
  <c r="AS1832" i="3"/>
  <c r="AS1828" i="3"/>
  <c r="AS1824" i="3"/>
  <c r="AS1820" i="3"/>
  <c r="AS1816" i="3"/>
  <c r="AS1812" i="3"/>
  <c r="AS1808" i="3"/>
  <c r="AS1800" i="3"/>
  <c r="AS1792" i="3"/>
  <c r="AS1788" i="3"/>
  <c r="AS1784" i="3"/>
  <c r="AS1780" i="3"/>
  <c r="AS1776" i="3"/>
  <c r="AS1772" i="3"/>
  <c r="AS1764" i="3"/>
  <c r="AS1760" i="3"/>
  <c r="AS1983" i="3"/>
  <c r="AS1975" i="3"/>
  <c r="AS2001" i="3"/>
  <c r="AS1945" i="3"/>
  <c r="AS1941" i="3"/>
  <c r="AS1929" i="3"/>
  <c r="AS1921" i="3"/>
  <c r="AS1913" i="3"/>
  <c r="AS1909" i="3"/>
  <c r="AS1905" i="3"/>
  <c r="AS1901" i="3"/>
  <c r="AS1897" i="3"/>
  <c r="AS1893" i="3"/>
  <c r="AS1889" i="3"/>
  <c r="AS1885" i="3"/>
  <c r="AS1881" i="3"/>
  <c r="AS1877" i="3"/>
  <c r="AS1873" i="3"/>
  <c r="AS1869" i="3"/>
  <c r="AS1865" i="3"/>
  <c r="AS1861" i="3"/>
  <c r="AS1857" i="3"/>
  <c r="AS1853" i="3"/>
  <c r="AS1849" i="3"/>
  <c r="AS1845" i="3"/>
  <c r="AS1841" i="3"/>
  <c r="AS1837" i="3"/>
  <c r="AS1833" i="3"/>
  <c r="AS1829" i="3"/>
  <c r="AS1825" i="3"/>
  <c r="AS1821" i="3"/>
  <c r="AS1817" i="3"/>
  <c r="AS1813" i="3"/>
  <c r="AS1809" i="3"/>
  <c r="AS1801" i="3"/>
  <c r="AS1793" i="3"/>
  <c r="AS1789" i="3"/>
  <c r="AS1785" i="3"/>
  <c r="AS1781" i="3"/>
  <c r="AS1777" i="3"/>
  <c r="AS1773" i="3"/>
  <c r="AS1769" i="3"/>
  <c r="AS1761" i="3"/>
  <c r="AS1757" i="3"/>
  <c r="AS1753" i="3"/>
  <c r="AS1749" i="3"/>
  <c r="AS2016" i="3"/>
  <c r="AS2012" i="3"/>
  <c r="AS2008" i="3"/>
  <c r="AS2000" i="3"/>
  <c r="AS1992" i="3"/>
  <c r="AS1980" i="3"/>
  <c r="AS1972" i="3"/>
  <c r="AS1968" i="3"/>
  <c r="AS1944" i="3"/>
  <c r="AS1940" i="3"/>
  <c r="AS1756" i="3"/>
  <c r="AS1752" i="3"/>
  <c r="AS1748" i="3"/>
  <c r="AS1967" i="3"/>
  <c r="AS1927" i="3"/>
  <c r="AS1917" i="3"/>
  <c r="AS1959" i="3"/>
  <c r="AS1947" i="3"/>
  <c r="AS1939" i="3"/>
  <c r="AS1758" i="3"/>
  <c r="AS2015" i="3"/>
  <c r="AS2007" i="3"/>
  <c r="AS1999" i="3"/>
  <c r="AS1963" i="3"/>
  <c r="AS1955" i="3"/>
  <c r="AS2017" i="3"/>
  <c r="AS2013" i="3"/>
  <c r="AS2009" i="3"/>
  <c r="AS1997" i="3"/>
  <c r="AS1969" i="3"/>
  <c r="AS1965" i="3"/>
  <c r="AS1961" i="3"/>
  <c r="AS1957" i="3"/>
  <c r="AS1949" i="3"/>
  <c r="AS1937" i="3"/>
  <c r="AS2011" i="3"/>
  <c r="AS2003" i="3"/>
  <c r="AS1988" i="3"/>
  <c r="AS1984" i="3"/>
  <c r="AS1976" i="3"/>
  <c r="AS1964" i="3"/>
  <c r="AS1960" i="3"/>
  <c r="AS1956" i="3"/>
  <c r="AS1948" i="3"/>
  <c r="AS1936" i="3"/>
  <c r="AS1928" i="3"/>
  <c r="AS1916" i="3"/>
  <c r="AS1943" i="3"/>
  <c r="AS1935" i="3"/>
  <c r="AS1919" i="3"/>
  <c r="AS1978" i="3"/>
  <c r="AS1974" i="3"/>
  <c r="AS1962" i="3"/>
  <c r="AS1950" i="3"/>
  <c r="AS1946" i="3"/>
  <c r="AS1942" i="3"/>
  <c r="AS1938" i="3"/>
  <c r="AS1930" i="3"/>
  <c r="AS1911" i="3"/>
  <c r="AS1903" i="3"/>
  <c r="AS1895" i="3"/>
  <c r="AS1887" i="3"/>
  <c r="AS1879" i="3"/>
  <c r="AS1871" i="3"/>
  <c r="AS1863" i="3"/>
  <c r="AS1855" i="3"/>
  <c r="AS1847" i="3"/>
  <c r="AS1839" i="3"/>
  <c r="AS1831" i="3"/>
  <c r="AS1823" i="3"/>
  <c r="AS1815" i="3"/>
  <c r="AS1811" i="3"/>
  <c r="AS1807" i="3"/>
  <c r="AS1799" i="3"/>
  <c r="AS1791" i="3"/>
  <c r="AS1787" i="3"/>
  <c r="AS1783" i="3"/>
  <c r="AS1779" i="3"/>
  <c r="AS1775" i="3"/>
  <c r="AS1771" i="3"/>
  <c r="AS1763" i="3"/>
  <c r="AS1759" i="3"/>
  <c r="AS1755" i="3"/>
  <c r="AS1751" i="3"/>
  <c r="AS1747" i="3"/>
  <c r="AS2014" i="3"/>
  <c r="AS2010" i="3"/>
  <c r="AS2006" i="3"/>
  <c r="AS2002" i="3"/>
  <c r="AS1998" i="3"/>
  <c r="AS1990" i="3"/>
  <c r="AS1986" i="3"/>
  <c r="AS1982" i="3"/>
  <c r="AS1970" i="3"/>
  <c r="AS1966" i="3"/>
  <c r="AS1958" i="3"/>
  <c r="AS1914" i="3"/>
  <c r="AS1910" i="3"/>
  <c r="AS1906" i="3"/>
  <c r="AS1902" i="3"/>
  <c r="AS1898" i="3"/>
  <c r="AS1894" i="3"/>
  <c r="AS1890" i="3"/>
  <c r="AS1886" i="3"/>
  <c r="AS1882" i="3"/>
  <c r="AS1878" i="3"/>
  <c r="AS1874" i="3"/>
  <c r="AS1870" i="3"/>
  <c r="AS1866" i="3"/>
  <c r="AS1862" i="3"/>
  <c r="AS1858" i="3"/>
  <c r="AS1854" i="3"/>
  <c r="AS1850" i="3"/>
  <c r="AS1846" i="3"/>
  <c r="AS1842" i="3"/>
  <c r="AS1838" i="3"/>
  <c r="AS1834" i="3"/>
  <c r="AS1830" i="3"/>
  <c r="AS1826" i="3"/>
  <c r="AS1822" i="3"/>
  <c r="AS1818" i="3"/>
  <c r="AS1814" i="3"/>
  <c r="AS1810" i="3"/>
  <c r="AS1802" i="3"/>
  <c r="AS1794" i="3"/>
  <c r="AS1790" i="3"/>
  <c r="AS1786" i="3"/>
  <c r="AS1782" i="3"/>
  <c r="AS1778" i="3"/>
  <c r="AS1774" i="3"/>
  <c r="AS1770" i="3"/>
  <c r="AS1762" i="3"/>
  <c r="AS1907" i="3"/>
  <c r="AS1899" i="3"/>
  <c r="AS1891" i="3"/>
  <c r="AS1883" i="3"/>
  <c r="AS1875" i="3"/>
  <c r="AS1867" i="3"/>
  <c r="AS1859" i="3"/>
  <c r="AS1851" i="3"/>
  <c r="AS1843" i="3"/>
  <c r="AS1835" i="3"/>
  <c r="AS1827" i="3"/>
  <c r="AS1819" i="3"/>
  <c r="AS1754" i="3"/>
  <c r="AS1750" i="3"/>
  <c r="AS1746" i="3"/>
  <c r="AS1915" i="3"/>
  <c r="AS1922" i="3"/>
  <c r="AS1918" i="3"/>
  <c r="AW1929" i="3"/>
  <c r="AW1921" i="3"/>
  <c r="AW1757" i="3"/>
  <c r="AW1749" i="3"/>
  <c r="AW2015" i="3"/>
  <c r="AW2007" i="3"/>
  <c r="AW1999" i="3"/>
  <c r="AW1991" i="3"/>
  <c r="AW1987" i="3"/>
  <c r="AW1979" i="3"/>
  <c r="AW1963" i="3"/>
  <c r="AW2017" i="3"/>
  <c r="AW2013" i="3"/>
  <c r="AW2009" i="3"/>
  <c r="AW1989" i="3"/>
  <c r="AW1985" i="3"/>
  <c r="AW1981" i="3"/>
  <c r="AW1977" i="3"/>
  <c r="AW1973" i="3"/>
  <c r="AW1965" i="3"/>
  <c r="AW1961" i="3"/>
  <c r="AW1957" i="3"/>
  <c r="AW1937" i="3"/>
  <c r="AW1917" i="3"/>
  <c r="AW1913" i="3"/>
  <c r="AW1909" i="3"/>
  <c r="AW1905" i="3"/>
  <c r="AW1901" i="3"/>
  <c r="AW1897" i="3"/>
  <c r="AW1893" i="3"/>
  <c r="AW1889" i="3"/>
  <c r="AW1885" i="3"/>
  <c r="AW1881" i="3"/>
  <c r="AW1877" i="3"/>
  <c r="AW1873" i="3"/>
  <c r="AW1869" i="3"/>
  <c r="AW1865" i="3"/>
  <c r="AW1861" i="3"/>
  <c r="AW1857" i="3"/>
  <c r="AW1853" i="3"/>
  <c r="AW1849" i="3"/>
  <c r="AW1845" i="3"/>
  <c r="AW1841" i="3"/>
  <c r="AW1837" i="3"/>
  <c r="AW1833" i="3"/>
  <c r="AW1829" i="3"/>
  <c r="AW1825" i="3"/>
  <c r="AW1821" i="3"/>
  <c r="AW1817" i="3"/>
  <c r="AW1813" i="3"/>
  <c r="AW1809" i="3"/>
  <c r="AW1801" i="3"/>
  <c r="AW1793" i="3"/>
  <c r="AW1789" i="3"/>
  <c r="AW1785" i="3"/>
  <c r="AW1781" i="3"/>
  <c r="AW1777" i="3"/>
  <c r="AW1773" i="3"/>
  <c r="AW1769" i="3"/>
  <c r="AW2016" i="3"/>
  <c r="AW2012" i="3"/>
  <c r="AW2008" i="3"/>
  <c r="AW2000" i="3"/>
  <c r="AW1992" i="3"/>
  <c r="AW1988" i="3"/>
  <c r="AW1980" i="3"/>
  <c r="AW1976" i="3"/>
  <c r="AW1972" i="3"/>
  <c r="AW1968" i="3"/>
  <c r="AW1964" i="3"/>
  <c r="AW1956" i="3"/>
  <c r="AW1944" i="3"/>
  <c r="AW1940" i="3"/>
  <c r="AW1936" i="3"/>
  <c r="AW1928" i="3"/>
  <c r="AW1916" i="3"/>
  <c r="AW1912" i="3"/>
  <c r="AW1908" i="3"/>
  <c r="AW1904" i="3"/>
  <c r="AW1900" i="3"/>
  <c r="AW1896" i="3"/>
  <c r="AW1892" i="3"/>
  <c r="AW1888" i="3"/>
  <c r="AW1884" i="3"/>
  <c r="AW1880" i="3"/>
  <c r="AW1876" i="3"/>
  <c r="AW1872" i="3"/>
  <c r="AW1868" i="3"/>
  <c r="AW1864" i="3"/>
  <c r="AW1860" i="3"/>
  <c r="AW1856" i="3"/>
  <c r="AW1852" i="3"/>
  <c r="AW1848" i="3"/>
  <c r="AW1844" i="3"/>
  <c r="AW1840" i="3"/>
  <c r="AW1836" i="3"/>
  <c r="AW1832" i="3"/>
  <c r="AW1828" i="3"/>
  <c r="AW1824" i="3"/>
  <c r="AW1820" i="3"/>
  <c r="AW1816" i="3"/>
  <c r="AW1812" i="3"/>
  <c r="AW1808" i="3"/>
  <c r="AW1800" i="3"/>
  <c r="AW1792" i="3"/>
  <c r="AW1788" i="3"/>
  <c r="AW1784" i="3"/>
  <c r="AW1780" i="3"/>
  <c r="AW1776" i="3"/>
  <c r="AW1772" i="3"/>
  <c r="AW1764" i="3"/>
  <c r="AW1760" i="3"/>
  <c r="AW1756" i="3"/>
  <c r="AW1752" i="3"/>
  <c r="AW1748" i="3"/>
  <c r="AW2011" i="3"/>
  <c r="AW2003" i="3"/>
  <c r="AW1983" i="3"/>
  <c r="AW1975" i="3"/>
  <c r="AW1959" i="3"/>
  <c r="AW1753" i="3"/>
  <c r="AW1960" i="3"/>
  <c r="AW1948" i="3"/>
  <c r="AW1920" i="3"/>
  <c r="AW1947" i="3"/>
  <c r="AW1915" i="3"/>
  <c r="AW1927" i="3"/>
  <c r="AW1971" i="3"/>
  <c r="AW1955" i="3"/>
  <c r="AW2001" i="3"/>
  <c r="AW1997" i="3"/>
  <c r="AW1969" i="3"/>
  <c r="AW1949" i="3"/>
  <c r="AW1945" i="3"/>
  <c r="AW1941" i="3"/>
  <c r="AW1984" i="3"/>
  <c r="AW1967" i="3"/>
  <c r="AW1943" i="3"/>
  <c r="AW1935" i="3"/>
  <c r="AW1919" i="3"/>
  <c r="AW1755" i="3"/>
  <c r="AW1751" i="3"/>
  <c r="AW1747" i="3"/>
  <c r="AW1974" i="3"/>
  <c r="AW1938" i="3"/>
  <c r="AW1918" i="3"/>
  <c r="AW1761" i="3"/>
  <c r="AW1907" i="3"/>
  <c r="AW1899" i="3"/>
  <c r="AW1891" i="3"/>
  <c r="AW1883" i="3"/>
  <c r="AW1875" i="3"/>
  <c r="AW1867" i="3"/>
  <c r="AW1859" i="3"/>
  <c r="AW1851" i="3"/>
  <c r="AW1843" i="3"/>
  <c r="AW1835" i="3"/>
  <c r="AW1827" i="3"/>
  <c r="AW1819" i="3"/>
  <c r="AW1811" i="3"/>
  <c r="AW1807" i="3"/>
  <c r="AW1799" i="3"/>
  <c r="AW1791" i="3"/>
  <c r="AW1787" i="3"/>
  <c r="AW1783" i="3"/>
  <c r="AW1779" i="3"/>
  <c r="AW1775" i="3"/>
  <c r="AW1771" i="3"/>
  <c r="AW1763" i="3"/>
  <c r="AW1990" i="3"/>
  <c r="AW1986" i="3"/>
  <c r="AW1982" i="3"/>
  <c r="AW1978" i="3"/>
  <c r="AW1914" i="3"/>
  <c r="AW1910" i="3"/>
  <c r="AW1906" i="3"/>
  <c r="AW1902" i="3"/>
  <c r="AW1898" i="3"/>
  <c r="AW1894" i="3"/>
  <c r="AW1890" i="3"/>
  <c r="AW1886" i="3"/>
  <c r="AW1882" i="3"/>
  <c r="AW1878" i="3"/>
  <c r="AW1874" i="3"/>
  <c r="AW1870" i="3"/>
  <c r="AW1866" i="3"/>
  <c r="AW1862" i="3"/>
  <c r="AW1858" i="3"/>
  <c r="AW1854" i="3"/>
  <c r="AW1850" i="3"/>
  <c r="AW1846" i="3"/>
  <c r="AW1842" i="3"/>
  <c r="AW1838" i="3"/>
  <c r="AW1834" i="3"/>
  <c r="AW1830" i="3"/>
  <c r="AW1826" i="3"/>
  <c r="AW1822" i="3"/>
  <c r="AW1818" i="3"/>
  <c r="AW1814" i="3"/>
  <c r="AW1810" i="3"/>
  <c r="AW1802" i="3"/>
  <c r="AW1794" i="3"/>
  <c r="AW1790" i="3"/>
  <c r="AW1786" i="3"/>
  <c r="AW1782" i="3"/>
  <c r="AW1778" i="3"/>
  <c r="AW1774" i="3"/>
  <c r="AW1770" i="3"/>
  <c r="AW1762" i="3"/>
  <c r="AW1758" i="3"/>
  <c r="AW1754" i="3"/>
  <c r="AW1750" i="3"/>
  <c r="AW1746" i="3"/>
  <c r="AW1939" i="3"/>
  <c r="AW1759" i="3"/>
  <c r="AW1911" i="3"/>
  <c r="AW1903" i="3"/>
  <c r="AW1895" i="3"/>
  <c r="AW1887" i="3"/>
  <c r="AW1879" i="3"/>
  <c r="AW1871" i="3"/>
  <c r="AW1863" i="3"/>
  <c r="AW1855" i="3"/>
  <c r="AW1847" i="3"/>
  <c r="AW1839" i="3"/>
  <c r="AW1831" i="3"/>
  <c r="AW1823" i="3"/>
  <c r="AW1815" i="3"/>
  <c r="AW2014" i="3"/>
  <c r="AW2010" i="3"/>
  <c r="AW2006" i="3"/>
  <c r="AW2002" i="3"/>
  <c r="AW1998" i="3"/>
  <c r="AW1966" i="3"/>
  <c r="AW1962" i="3"/>
  <c r="AW1958" i="3"/>
  <c r="AW1950" i="3"/>
  <c r="AW1946" i="3"/>
  <c r="AW1942" i="3"/>
  <c r="AW1930" i="3"/>
  <c r="AW1922" i="3"/>
  <c r="AW1970" i="3"/>
  <c r="S1949" i="3"/>
  <c r="S1941" i="3"/>
  <c r="S1937" i="3"/>
  <c r="S1929" i="3"/>
  <c r="S1921" i="3"/>
  <c r="S2016" i="3"/>
  <c r="S2012" i="3"/>
  <c r="S2008" i="3"/>
  <c r="S2000" i="3"/>
  <c r="S1988" i="3"/>
  <c r="S1956" i="3"/>
  <c r="S2015" i="3"/>
  <c r="S2007" i="3"/>
  <c r="S1999" i="3"/>
  <c r="S1955" i="3"/>
  <c r="S1969" i="3"/>
  <c r="S1961" i="3"/>
  <c r="S1957" i="3"/>
  <c r="S1917" i="3"/>
  <c r="S1968" i="3"/>
  <c r="S1960" i="3"/>
  <c r="S2011" i="3"/>
  <c r="S2003" i="3"/>
  <c r="S1967" i="3"/>
  <c r="S1959" i="3"/>
  <c r="S1947" i="3"/>
  <c r="S1939" i="3"/>
  <c r="S1970" i="3"/>
  <c r="S1958" i="3"/>
  <c r="S1910" i="3"/>
  <c r="S1906" i="3"/>
  <c r="S1898" i="3"/>
  <c r="S1894" i="3"/>
  <c r="S1886" i="3"/>
  <c r="S1878" i="3"/>
  <c r="S1870" i="3"/>
  <c r="S1866" i="3"/>
  <c r="S1862" i="3"/>
  <c r="S1854" i="3"/>
  <c r="S1850" i="3"/>
  <c r="S1846" i="3"/>
  <c r="S1842" i="3"/>
  <c r="S1834" i="3"/>
  <c r="S1830" i="3"/>
  <c r="S1822" i="3"/>
  <c r="S1818" i="3"/>
  <c r="S1810" i="3"/>
  <c r="S1802" i="3"/>
  <c r="S1786" i="3"/>
  <c r="S1782" i="3"/>
  <c r="S1774" i="3"/>
  <c r="S1770" i="3"/>
  <c r="S1762" i="3"/>
  <c r="S1754" i="3"/>
  <c r="S1746" i="3"/>
  <c r="S1909" i="3"/>
  <c r="S1905" i="3"/>
  <c r="S1897" i="3"/>
  <c r="S1893" i="3"/>
  <c r="S1885" i="3"/>
  <c r="S1877" i="3"/>
  <c r="S1869" i="3"/>
  <c r="S1865" i="3"/>
  <c r="S1861" i="3"/>
  <c r="S1853" i="3"/>
  <c r="S1849" i="3"/>
  <c r="S1845" i="3"/>
  <c r="S1841" i="3"/>
  <c r="S1833" i="3"/>
  <c r="S1829" i="3"/>
  <c r="S1821" i="3"/>
  <c r="S1817" i="3"/>
  <c r="S1809" i="3"/>
  <c r="S1801" i="3"/>
  <c r="S1785" i="3"/>
  <c r="S1781" i="3"/>
  <c r="S1773" i="3"/>
  <c r="S1769" i="3"/>
  <c r="S1761" i="3"/>
  <c r="S1753" i="3"/>
  <c r="S1749" i="3"/>
  <c r="S1992" i="3"/>
  <c r="S1972" i="3"/>
  <c r="S1916" i="3"/>
  <c r="S1935" i="3"/>
  <c r="S1927" i="3"/>
  <c r="S1919" i="3"/>
  <c r="S1915" i="3"/>
  <c r="S1907" i="3"/>
  <c r="S1899" i="3"/>
  <c r="S1895" i="3"/>
  <c r="S1887" i="3"/>
  <c r="S1879" i="3"/>
  <c r="S1875" i="3"/>
  <c r="S1867" i="3"/>
  <c r="S1863" i="3"/>
  <c r="S1859" i="3"/>
  <c r="S1851" i="3"/>
  <c r="S1847" i="3"/>
  <c r="S1843" i="3"/>
  <c r="S1835" i="3"/>
  <c r="S1831" i="3"/>
  <c r="S1823" i="3"/>
  <c r="S1819" i="3"/>
  <c r="S1811" i="3"/>
  <c r="S1807" i="3"/>
  <c r="S1799" i="3"/>
  <c r="S1791" i="3"/>
  <c r="S1783" i="3"/>
  <c r="S1779" i="3"/>
  <c r="S1771" i="3"/>
  <c r="S1763" i="3"/>
  <c r="S1755" i="3"/>
  <c r="S1747" i="3"/>
  <c r="S1990" i="3"/>
  <c r="S1986" i="3"/>
  <c r="S1962" i="3"/>
  <c r="S1991" i="3"/>
  <c r="S1987" i="3"/>
  <c r="S1971" i="3"/>
  <c r="S2017" i="3"/>
  <c r="S2013" i="3"/>
  <c r="S2009" i="3"/>
  <c r="S2001" i="3"/>
  <c r="S1997" i="3"/>
  <c r="S1989" i="3"/>
  <c r="S1985" i="3"/>
  <c r="S1973" i="3"/>
  <c r="S1948" i="3"/>
  <c r="S1940" i="3"/>
  <c r="S1936" i="3"/>
  <c r="S1928" i="3"/>
  <c r="S1920" i="3"/>
  <c r="S1908" i="3"/>
  <c r="S1900" i="3"/>
  <c r="S1868" i="3"/>
  <c r="S1852" i="3"/>
  <c r="S1836" i="3"/>
  <c r="S1820" i="3"/>
  <c r="S1772" i="3"/>
  <c r="S1756" i="3"/>
  <c r="S1896" i="3"/>
  <c r="S1880" i="3"/>
  <c r="S1864" i="3"/>
  <c r="S1848" i="3"/>
  <c r="S1832" i="3"/>
  <c r="S1800" i="3"/>
  <c r="S1784" i="3"/>
  <c r="S1876" i="3"/>
  <c r="S1860" i="3"/>
  <c r="S1844" i="3"/>
  <c r="S1812" i="3"/>
  <c r="S1780" i="3"/>
  <c r="S1764" i="3"/>
  <c r="S1748" i="3"/>
  <c r="S1950" i="3"/>
  <c r="S1942" i="3"/>
  <c r="S1938" i="3"/>
  <c r="S1930" i="3"/>
  <c r="S1922" i="3"/>
  <c r="S1918" i="3"/>
  <c r="S1888" i="3"/>
  <c r="S1824" i="3"/>
  <c r="S1808" i="3"/>
  <c r="S1792" i="3"/>
  <c r="S2006" i="3"/>
  <c r="S2002" i="3"/>
  <c r="S1998" i="3"/>
  <c r="S2014" i="3"/>
  <c r="S2010" i="3"/>
  <c r="S1974" i="3"/>
  <c r="W2015" i="3"/>
  <c r="W2007" i="3"/>
  <c r="W1999" i="3"/>
  <c r="W1969" i="3"/>
  <c r="W1961" i="3"/>
  <c r="W2011" i="3"/>
  <c r="W2003" i="3"/>
  <c r="W1991" i="3"/>
  <c r="W1987" i="3"/>
  <c r="W1971" i="3"/>
  <c r="W1989" i="3"/>
  <c r="W1985" i="3"/>
  <c r="W1973" i="3"/>
  <c r="W1949" i="3"/>
  <c r="W1941" i="3"/>
  <c r="W1937" i="3"/>
  <c r="W1929" i="3"/>
  <c r="W1921" i="3"/>
  <c r="W1917" i="3"/>
  <c r="W1909" i="3"/>
  <c r="W1905" i="3"/>
  <c r="W1897" i="3"/>
  <c r="W1893" i="3"/>
  <c r="W1885" i="3"/>
  <c r="W1877" i="3"/>
  <c r="W1869" i="3"/>
  <c r="W1865" i="3"/>
  <c r="W1861" i="3"/>
  <c r="W1853" i="3"/>
  <c r="W1849" i="3"/>
  <c r="W1845" i="3"/>
  <c r="W1841" i="3"/>
  <c r="W1833" i="3"/>
  <c r="W1829" i="3"/>
  <c r="W1821" i="3"/>
  <c r="W1817" i="3"/>
  <c r="W1809" i="3"/>
  <c r="W1801" i="3"/>
  <c r="W1793" i="3"/>
  <c r="W1785" i="3"/>
  <c r="W1781" i="3"/>
  <c r="W1773" i="3"/>
  <c r="W1769" i="3"/>
  <c r="W1761" i="3"/>
  <c r="W1992" i="3"/>
  <c r="W1988" i="3"/>
  <c r="W1972" i="3"/>
  <c r="W1968" i="3"/>
  <c r="W1960" i="3"/>
  <c r="W1956" i="3"/>
  <c r="W1908" i="3"/>
  <c r="W1900" i="3"/>
  <c r="W1896" i="3"/>
  <c r="W1888" i="3"/>
  <c r="W1880" i="3"/>
  <c r="W1876" i="3"/>
  <c r="W1868" i="3"/>
  <c r="W1864" i="3"/>
  <c r="W1860" i="3"/>
  <c r="W1852" i="3"/>
  <c r="W1848" i="3"/>
  <c r="W1844" i="3"/>
  <c r="W1836" i="3"/>
  <c r="W1832" i="3"/>
  <c r="W1824" i="3"/>
  <c r="W1820" i="3"/>
  <c r="W1812" i="3"/>
  <c r="W1808" i="3"/>
  <c r="W1800" i="3"/>
  <c r="W1792" i="3"/>
  <c r="W1784" i="3"/>
  <c r="W1780" i="3"/>
  <c r="W1772" i="3"/>
  <c r="W1764" i="3"/>
  <c r="W1756" i="3"/>
  <c r="W1748" i="3"/>
  <c r="W1916" i="3"/>
  <c r="W1959" i="3"/>
  <c r="W1919" i="3"/>
  <c r="W1955" i="3"/>
  <c r="W1947" i="3"/>
  <c r="W1939" i="3"/>
  <c r="W1915" i="3"/>
  <c r="W2017" i="3"/>
  <c r="W2013" i="3"/>
  <c r="W2009" i="3"/>
  <c r="W2001" i="3"/>
  <c r="W1997" i="3"/>
  <c r="W1948" i="3"/>
  <c r="W1940" i="3"/>
  <c r="W1936" i="3"/>
  <c r="W1928" i="3"/>
  <c r="W1920" i="3"/>
  <c r="W1967" i="3"/>
  <c r="W1957" i="3"/>
  <c r="W1753" i="3"/>
  <c r="W1749" i="3"/>
  <c r="W2016" i="3"/>
  <c r="W2012" i="3"/>
  <c r="W2008" i="3"/>
  <c r="W2000" i="3"/>
  <c r="W1895" i="3"/>
  <c r="W1887" i="3"/>
  <c r="W1879" i="3"/>
  <c r="W1863" i="3"/>
  <c r="W1847" i="3"/>
  <c r="W1831" i="3"/>
  <c r="W1823" i="3"/>
  <c r="W1811" i="3"/>
  <c r="W1807" i="3"/>
  <c r="W1799" i="3"/>
  <c r="W1791" i="3"/>
  <c r="W1783" i="3"/>
  <c r="W1779" i="3"/>
  <c r="W1771" i="3"/>
  <c r="W1763" i="3"/>
  <c r="W1990" i="3"/>
  <c r="W1986" i="3"/>
  <c r="W1974" i="3"/>
  <c r="W1910" i="3"/>
  <c r="W1906" i="3"/>
  <c r="W1898" i="3"/>
  <c r="W1894" i="3"/>
  <c r="W1886" i="3"/>
  <c r="W1878" i="3"/>
  <c r="W1870" i="3"/>
  <c r="W1866" i="3"/>
  <c r="W1862" i="3"/>
  <c r="W1854" i="3"/>
  <c r="W1850" i="3"/>
  <c r="W1846" i="3"/>
  <c r="W1842" i="3"/>
  <c r="W1834" i="3"/>
  <c r="W1830" i="3"/>
  <c r="W1822" i="3"/>
  <c r="W1818" i="3"/>
  <c r="W1810" i="3"/>
  <c r="W1802" i="3"/>
  <c r="W1794" i="3"/>
  <c r="W1786" i="3"/>
  <c r="W1782" i="3"/>
  <c r="W1774" i="3"/>
  <c r="W1770" i="3"/>
  <c r="W1762" i="3"/>
  <c r="W1754" i="3"/>
  <c r="W1746" i="3"/>
  <c r="W1927" i="3"/>
  <c r="W1755" i="3"/>
  <c r="W1747" i="3"/>
  <c r="W1950" i="3"/>
  <c r="W1942" i="3"/>
  <c r="W1938" i="3"/>
  <c r="W1930" i="3"/>
  <c r="W1922" i="3"/>
  <c r="W1918" i="3"/>
  <c r="W1935" i="3"/>
  <c r="W1907" i="3"/>
  <c r="W1899" i="3"/>
  <c r="W1875" i="3"/>
  <c r="W1867" i="3"/>
  <c r="W1859" i="3"/>
  <c r="W1851" i="3"/>
  <c r="W1843" i="3"/>
  <c r="W1835" i="3"/>
  <c r="W1819" i="3"/>
  <c r="W2014" i="3"/>
  <c r="W2010" i="3"/>
  <c r="W2006" i="3"/>
  <c r="W2002" i="3"/>
  <c r="W1998" i="3"/>
  <c r="W1962" i="3"/>
  <c r="W1958" i="3"/>
  <c r="W1970" i="3"/>
  <c r="AA1949" i="3"/>
  <c r="AA1941" i="3"/>
  <c r="AA1937" i="3"/>
  <c r="AA1929" i="3"/>
  <c r="AA1921" i="3"/>
  <c r="AA1909" i="3"/>
  <c r="AA1905" i="3"/>
  <c r="AA1897" i="3"/>
  <c r="AA1893" i="3"/>
  <c r="AA1885" i="3"/>
  <c r="AA1877" i="3"/>
  <c r="AA1869" i="3"/>
  <c r="AA1865" i="3"/>
  <c r="AA1861" i="3"/>
  <c r="AA1853" i="3"/>
  <c r="AA1849" i="3"/>
  <c r="AA1845" i="3"/>
  <c r="AA1841" i="3"/>
  <c r="AA1833" i="3"/>
  <c r="AA1829" i="3"/>
  <c r="AA1821" i="3"/>
  <c r="AA1817" i="3"/>
  <c r="AA1809" i="3"/>
  <c r="AA1801" i="3"/>
  <c r="AA1793" i="3"/>
  <c r="AA1785" i="3"/>
  <c r="AA1781" i="3"/>
  <c r="AA1773" i="3"/>
  <c r="AA1769" i="3"/>
  <c r="AA1761" i="3"/>
  <c r="AA1753" i="3"/>
  <c r="AA1749" i="3"/>
  <c r="AA1992" i="3"/>
  <c r="AA1972" i="3"/>
  <c r="AA1916" i="3"/>
  <c r="AA1991" i="3"/>
  <c r="AA1987" i="3"/>
  <c r="AA1971" i="3"/>
  <c r="AA1989" i="3"/>
  <c r="AA1985" i="3"/>
  <c r="AA1981" i="3"/>
  <c r="AA1973" i="3"/>
  <c r="AA1908" i="3"/>
  <c r="AA1900" i="3"/>
  <c r="AA1896" i="3"/>
  <c r="AA1888" i="3"/>
  <c r="AA1880" i="3"/>
  <c r="AA1876" i="3"/>
  <c r="AA1868" i="3"/>
  <c r="AA1864" i="3"/>
  <c r="AA1860" i="3"/>
  <c r="AA1852" i="3"/>
  <c r="AA1848" i="3"/>
  <c r="AA1844" i="3"/>
  <c r="AA1836" i="3"/>
  <c r="AA1832" i="3"/>
  <c r="AA1824" i="3"/>
  <c r="AA1820" i="3"/>
  <c r="AA1812" i="3"/>
  <c r="AA1808" i="3"/>
  <c r="AA1800" i="3"/>
  <c r="AA1792" i="3"/>
  <c r="AA1784" i="3"/>
  <c r="AA1780" i="3"/>
  <c r="AA1772" i="3"/>
  <c r="AA1764" i="3"/>
  <c r="AA1955" i="3"/>
  <c r="AA1969" i="3"/>
  <c r="AA1961" i="3"/>
  <c r="AA1957" i="3"/>
  <c r="AA1756" i="3"/>
  <c r="AA1748" i="3"/>
  <c r="AA1967" i="3"/>
  <c r="AA1947" i="3"/>
  <c r="AA1939" i="3"/>
  <c r="AA1915" i="3"/>
  <c r="AA1974" i="3"/>
  <c r="AA1950" i="3"/>
  <c r="AA1942" i="3"/>
  <c r="AA1938" i="3"/>
  <c r="AA1930" i="3"/>
  <c r="AA1922" i="3"/>
  <c r="AA1918" i="3"/>
  <c r="AA1750" i="3"/>
  <c r="AA2017" i="3"/>
  <c r="AA2013" i="3"/>
  <c r="AA2009" i="3"/>
  <c r="AA2001" i="3"/>
  <c r="AA1997" i="3"/>
  <c r="AA1988" i="3"/>
  <c r="AA1948" i="3"/>
  <c r="AA1940" i="3"/>
  <c r="AA1936" i="3"/>
  <c r="AA1928" i="3"/>
  <c r="AA1920" i="3"/>
  <c r="AA1959" i="3"/>
  <c r="AA1907" i="3"/>
  <c r="AA1899" i="3"/>
  <c r="AA1895" i="3"/>
  <c r="AA1887" i="3"/>
  <c r="AA1879" i="3"/>
  <c r="AA1875" i="3"/>
  <c r="AA1867" i="3"/>
  <c r="AA1863" i="3"/>
  <c r="AA1859" i="3"/>
  <c r="AA1851" i="3"/>
  <c r="AA1847" i="3"/>
  <c r="AA1843" i="3"/>
  <c r="AA1835" i="3"/>
  <c r="AA1831" i="3"/>
  <c r="AA1823" i="3"/>
  <c r="AA1819" i="3"/>
  <c r="AA2016" i="3"/>
  <c r="AA2012" i="3"/>
  <c r="AA2008" i="3"/>
  <c r="AA2000" i="3"/>
  <c r="AA1968" i="3"/>
  <c r="AA1960" i="3"/>
  <c r="AA1935" i="3"/>
  <c r="AA1927" i="3"/>
  <c r="AA1919" i="3"/>
  <c r="AA1754" i="3"/>
  <c r="AA1746" i="3"/>
  <c r="AA2015" i="3"/>
  <c r="AA2007" i="3"/>
  <c r="AA1999" i="3"/>
  <c r="AA1917" i="3"/>
  <c r="AA1956" i="3"/>
  <c r="AA2003" i="3"/>
  <c r="AA1970" i="3"/>
  <c r="AA1958" i="3"/>
  <c r="AA1910" i="3"/>
  <c r="AA1906" i="3"/>
  <c r="AA1898" i="3"/>
  <c r="AA1894" i="3"/>
  <c r="AA1886" i="3"/>
  <c r="AA1878" i="3"/>
  <c r="AA1870" i="3"/>
  <c r="AA1866" i="3"/>
  <c r="AA1862" i="3"/>
  <c r="AA1854" i="3"/>
  <c r="AA1850" i="3"/>
  <c r="AA1846" i="3"/>
  <c r="AA1842" i="3"/>
  <c r="AA1834" i="3"/>
  <c r="AA1830" i="3"/>
  <c r="AA1822" i="3"/>
  <c r="AA1818" i="3"/>
  <c r="AA1810" i="3"/>
  <c r="AA1802" i="3"/>
  <c r="AA1794" i="3"/>
  <c r="AA1786" i="3"/>
  <c r="AA1782" i="3"/>
  <c r="AA1774" i="3"/>
  <c r="AA1770" i="3"/>
  <c r="AA1762" i="3"/>
  <c r="AA2014" i="3"/>
  <c r="AA2010" i="3"/>
  <c r="AA2006" i="3"/>
  <c r="AA2002" i="3"/>
  <c r="AA1998" i="3"/>
  <c r="AA2011" i="3"/>
  <c r="AA1811" i="3"/>
  <c r="AA1779" i="3"/>
  <c r="AA1763" i="3"/>
  <c r="AA1747" i="3"/>
  <c r="AA1986" i="3"/>
  <c r="AA1807" i="3"/>
  <c r="AA1791" i="3"/>
  <c r="AA1755" i="3"/>
  <c r="AA1783" i="3"/>
  <c r="AA1990" i="3"/>
  <c r="AA1962" i="3"/>
  <c r="AA1771" i="3"/>
  <c r="AA1799" i="3"/>
  <c r="AE2015" i="3"/>
  <c r="AE2007" i="3"/>
  <c r="AE1999" i="3"/>
  <c r="AE2017" i="3"/>
  <c r="AE2013" i="3"/>
  <c r="AE2009" i="3"/>
  <c r="AE2001" i="3"/>
  <c r="AE1997" i="3"/>
  <c r="AE1948" i="3"/>
  <c r="AE1944" i="3"/>
  <c r="AE1940" i="3"/>
  <c r="AE1936" i="3"/>
  <c r="AE1928" i="3"/>
  <c r="AE1920" i="3"/>
  <c r="AE2011" i="3"/>
  <c r="AE2003" i="3"/>
  <c r="AE1967" i="3"/>
  <c r="AE1965" i="3"/>
  <c r="AE1957" i="3"/>
  <c r="AE1949" i="3"/>
  <c r="AE1945" i="3"/>
  <c r="AE1941" i="3"/>
  <c r="AE1937" i="3"/>
  <c r="AE1929" i="3"/>
  <c r="AE1921" i="3"/>
  <c r="AE1917" i="3"/>
  <c r="AE1761" i="3"/>
  <c r="AE1757" i="3"/>
  <c r="AE1749" i="3"/>
  <c r="AE2016" i="3"/>
  <c r="AE2012" i="3"/>
  <c r="AE2008" i="3"/>
  <c r="AE2000" i="3"/>
  <c r="AE1916" i="3"/>
  <c r="AE1947" i="3"/>
  <c r="AE1943" i="3"/>
  <c r="AE1939" i="3"/>
  <c r="AE1935" i="3"/>
  <c r="AE1927" i="3"/>
  <c r="AE1919" i="3"/>
  <c r="AE1968" i="3"/>
  <c r="AE1964" i="3"/>
  <c r="AE1960" i="3"/>
  <c r="AE1956" i="3"/>
  <c r="AE1755" i="3"/>
  <c r="AE1747" i="3"/>
  <c r="AE1970" i="3"/>
  <c r="AE1969" i="3"/>
  <c r="AE1961" i="3"/>
  <c r="AE1991" i="3"/>
  <c r="AE1987" i="3"/>
  <c r="AE1979" i="3"/>
  <c r="AE1971" i="3"/>
  <c r="AE1989" i="3"/>
  <c r="AE1985" i="3"/>
  <c r="AE1981" i="3"/>
  <c r="AE1977" i="3"/>
  <c r="AE1973" i="3"/>
  <c r="AE1913" i="3"/>
  <c r="AE1909" i="3"/>
  <c r="AE1905" i="3"/>
  <c r="AE1901" i="3"/>
  <c r="AE1897" i="3"/>
  <c r="AE1893" i="3"/>
  <c r="AE1889" i="3"/>
  <c r="AE1885" i="3"/>
  <c r="AE1881" i="3"/>
  <c r="AE1877" i="3"/>
  <c r="AE1873" i="3"/>
  <c r="AE1869" i="3"/>
  <c r="AE1865" i="3"/>
  <c r="AE1861" i="3"/>
  <c r="AE1857" i="3"/>
  <c r="AE1853" i="3"/>
  <c r="AE1849" i="3"/>
  <c r="AE1845" i="3"/>
  <c r="AE1841" i="3"/>
  <c r="AE1837" i="3"/>
  <c r="AE1833" i="3"/>
  <c r="AE1829" i="3"/>
  <c r="AE1825" i="3"/>
  <c r="AE1821" i="3"/>
  <c r="AE1817" i="3"/>
  <c r="AE1813" i="3"/>
  <c r="AE1809" i="3"/>
  <c r="AE1801" i="3"/>
  <c r="AE1793" i="3"/>
  <c r="AE1789" i="3"/>
  <c r="AE1785" i="3"/>
  <c r="AE1781" i="3"/>
  <c r="AE1777" i="3"/>
  <c r="AE1773" i="3"/>
  <c r="AE1769" i="3"/>
  <c r="AE1992" i="3"/>
  <c r="AE1988" i="3"/>
  <c r="AE1984" i="3"/>
  <c r="AE1980" i="3"/>
  <c r="AE1976" i="3"/>
  <c r="AE1972" i="3"/>
  <c r="AE1912" i="3"/>
  <c r="AE1908" i="3"/>
  <c r="AE1904" i="3"/>
  <c r="AE1900" i="3"/>
  <c r="AE1896" i="3"/>
  <c r="AE1892" i="3"/>
  <c r="AE1888" i="3"/>
  <c r="AE1884" i="3"/>
  <c r="AE1880" i="3"/>
  <c r="AE1876" i="3"/>
  <c r="AE1872" i="3"/>
  <c r="AE1868" i="3"/>
  <c r="AE1864" i="3"/>
  <c r="AE1860" i="3"/>
  <c r="AE1856" i="3"/>
  <c r="AE1852" i="3"/>
  <c r="AE1848" i="3"/>
  <c r="AE1844" i="3"/>
  <c r="AE1840" i="3"/>
  <c r="AE1836" i="3"/>
  <c r="AE1832" i="3"/>
  <c r="AE1828" i="3"/>
  <c r="AE1824" i="3"/>
  <c r="AE1820" i="3"/>
  <c r="AE1816" i="3"/>
  <c r="AE1812" i="3"/>
  <c r="AE1808" i="3"/>
  <c r="AE1800" i="3"/>
  <c r="AE1792" i="3"/>
  <c r="AE1788" i="3"/>
  <c r="AE1784" i="3"/>
  <c r="AE1780" i="3"/>
  <c r="AE1776" i="3"/>
  <c r="AE1772" i="3"/>
  <c r="AE1764" i="3"/>
  <c r="AE1760" i="3"/>
  <c r="AE1756" i="3"/>
  <c r="AE1748" i="3"/>
  <c r="AE1983" i="3"/>
  <c r="AE1975" i="3"/>
  <c r="AE1911" i="3"/>
  <c r="AE1907" i="3"/>
  <c r="AE1903" i="3"/>
  <c r="AE1899" i="3"/>
  <c r="AE1895" i="3"/>
  <c r="AE1891" i="3"/>
  <c r="AE1887" i="3"/>
  <c r="AE1883" i="3"/>
  <c r="AE1879" i="3"/>
  <c r="AE1875" i="3"/>
  <c r="AE1871" i="3"/>
  <c r="AE1867" i="3"/>
  <c r="AE1863" i="3"/>
  <c r="AE1859" i="3"/>
  <c r="AE1855" i="3"/>
  <c r="AE1851" i="3"/>
  <c r="AE1847" i="3"/>
  <c r="AE1843" i="3"/>
  <c r="AE1839" i="3"/>
  <c r="AE1835" i="3"/>
  <c r="AE1831" i="3"/>
  <c r="AE1827" i="3"/>
  <c r="AE1823" i="3"/>
  <c r="AE1819" i="3"/>
  <c r="AE1815" i="3"/>
  <c r="AE1811" i="3"/>
  <c r="AE1807" i="3"/>
  <c r="AE1799" i="3"/>
  <c r="AE1791" i="3"/>
  <c r="AE1787" i="3"/>
  <c r="AE1783" i="3"/>
  <c r="AE1779" i="3"/>
  <c r="AE1775" i="3"/>
  <c r="AE1771" i="3"/>
  <c r="AE1763" i="3"/>
  <c r="AE1990" i="3"/>
  <c r="AE1986" i="3"/>
  <c r="AE1978" i="3"/>
  <c r="AE1974" i="3"/>
  <c r="AE1966" i="3"/>
  <c r="AE1962" i="3"/>
  <c r="AE1958" i="3"/>
  <c r="AE1914" i="3"/>
  <c r="AE1910" i="3"/>
  <c r="AE1906" i="3"/>
  <c r="AE1902" i="3"/>
  <c r="AE1898" i="3"/>
  <c r="AE1894" i="3"/>
  <c r="AE1890" i="3"/>
  <c r="AE1886" i="3"/>
  <c r="AE1882" i="3"/>
  <c r="AE1878" i="3"/>
  <c r="AE1874" i="3"/>
  <c r="AE1870" i="3"/>
  <c r="AE1866" i="3"/>
  <c r="AE1862" i="3"/>
  <c r="AE1858" i="3"/>
  <c r="AE1854" i="3"/>
  <c r="AE1850" i="3"/>
  <c r="AE1846" i="3"/>
  <c r="AE1842" i="3"/>
  <c r="AE1838" i="3"/>
  <c r="AE1834" i="3"/>
  <c r="AE1830" i="3"/>
  <c r="AE1826" i="3"/>
  <c r="AE1822" i="3"/>
  <c r="AE1818" i="3"/>
  <c r="AE1814" i="3"/>
  <c r="AE1810" i="3"/>
  <c r="AE1802" i="3"/>
  <c r="AE1794" i="3"/>
  <c r="AE1790" i="3"/>
  <c r="AE1786" i="3"/>
  <c r="AE1782" i="3"/>
  <c r="AE1778" i="3"/>
  <c r="AE1774" i="3"/>
  <c r="AE1770" i="3"/>
  <c r="AE1762" i="3"/>
  <c r="AE1758" i="3"/>
  <c r="AE1754" i="3"/>
  <c r="AE1750" i="3"/>
  <c r="AE1746" i="3"/>
  <c r="AE1963" i="3"/>
  <c r="AE1955" i="3"/>
  <c r="AE1753" i="3"/>
  <c r="AE1915" i="3"/>
  <c r="AE1759" i="3"/>
  <c r="AE2014" i="3"/>
  <c r="AE2010" i="3"/>
  <c r="AE2006" i="3"/>
  <c r="AE2002" i="3"/>
  <c r="AE1998" i="3"/>
  <c r="AE1959" i="3"/>
  <c r="AE1942" i="3"/>
  <c r="AE1938" i="3"/>
  <c r="AE1922" i="3"/>
  <c r="AE1918" i="3"/>
  <c r="AE1930" i="3"/>
  <c r="AE1950" i="3"/>
  <c r="AE1946" i="3"/>
  <c r="AI1963" i="3"/>
  <c r="AI1955" i="3"/>
  <c r="AI1969" i="3"/>
  <c r="AI1965" i="3"/>
  <c r="AI1961" i="3"/>
  <c r="AI1957" i="3"/>
  <c r="AI1968" i="3"/>
  <c r="AI1960" i="3"/>
  <c r="AI1967" i="3"/>
  <c r="AI2017" i="3"/>
  <c r="AI2013" i="3"/>
  <c r="AI2009" i="3"/>
  <c r="AI2001" i="3"/>
  <c r="AI1997" i="3"/>
  <c r="AI1988" i="3"/>
  <c r="AI1984" i="3"/>
  <c r="AI1976" i="3"/>
  <c r="AI1964" i="3"/>
  <c r="AI1956" i="3"/>
  <c r="AI1948" i="3"/>
  <c r="AI1944" i="3"/>
  <c r="AI1940" i="3"/>
  <c r="AI1936" i="3"/>
  <c r="AI1928" i="3"/>
  <c r="AI1920" i="3"/>
  <c r="AI1756" i="3"/>
  <c r="AI1752" i="3"/>
  <c r="AI1748" i="3"/>
  <c r="AI2015" i="3"/>
  <c r="AI2007" i="3"/>
  <c r="AI1999" i="3"/>
  <c r="AI2011" i="3"/>
  <c r="AI2003" i="3"/>
  <c r="AI1959" i="3"/>
  <c r="AI1911" i="3"/>
  <c r="AI1907" i="3"/>
  <c r="AI1903" i="3"/>
  <c r="AI1899" i="3"/>
  <c r="AI1895" i="3"/>
  <c r="AI1891" i="3"/>
  <c r="AI1887" i="3"/>
  <c r="AI1883" i="3"/>
  <c r="AI1879" i="3"/>
  <c r="AI1875" i="3"/>
  <c r="AI1871" i="3"/>
  <c r="AI1867" i="3"/>
  <c r="AI1863" i="3"/>
  <c r="AI1859" i="3"/>
  <c r="AI1855" i="3"/>
  <c r="AI1851" i="3"/>
  <c r="AI1847" i="3"/>
  <c r="AI1843" i="3"/>
  <c r="AI1839" i="3"/>
  <c r="AI1835" i="3"/>
  <c r="AI1831" i="3"/>
  <c r="AI1827" i="3"/>
  <c r="AI1823" i="3"/>
  <c r="AI1819" i="3"/>
  <c r="AI1815" i="3"/>
  <c r="AI1811" i="3"/>
  <c r="AI1807" i="3"/>
  <c r="AI1799" i="3"/>
  <c r="AI1791" i="3"/>
  <c r="AI1787" i="3"/>
  <c r="AI1783" i="3"/>
  <c r="AI1779" i="3"/>
  <c r="AI1775" i="3"/>
  <c r="AI1771" i="3"/>
  <c r="AI1763" i="3"/>
  <c r="AI1759" i="3"/>
  <c r="AI1755" i="3"/>
  <c r="AI1751" i="3"/>
  <c r="AI1747" i="3"/>
  <c r="AI2014" i="3"/>
  <c r="AI2010" i="3"/>
  <c r="AI2006" i="3"/>
  <c r="AI2002" i="3"/>
  <c r="AI1998" i="3"/>
  <c r="AI1990" i="3"/>
  <c r="AI1986" i="3"/>
  <c r="AI1982" i="3"/>
  <c r="AI1978" i="3"/>
  <c r="AI1970" i="3"/>
  <c r="AI1962" i="3"/>
  <c r="AI1758" i="3"/>
  <c r="AI1949" i="3"/>
  <c r="AI1945" i="3"/>
  <c r="AI1941" i="3"/>
  <c r="AI1937" i="3"/>
  <c r="AI1929" i="3"/>
  <c r="AI1921" i="3"/>
  <c r="AI1917" i="3"/>
  <c r="AI1913" i="3"/>
  <c r="AI1909" i="3"/>
  <c r="AI1905" i="3"/>
  <c r="AI1901" i="3"/>
  <c r="AI1897" i="3"/>
  <c r="AI1893" i="3"/>
  <c r="AI1889" i="3"/>
  <c r="AI1885" i="3"/>
  <c r="AI1881" i="3"/>
  <c r="AI1877" i="3"/>
  <c r="AI1873" i="3"/>
  <c r="AI1869" i="3"/>
  <c r="AI1865" i="3"/>
  <c r="AI1861" i="3"/>
  <c r="AI1857" i="3"/>
  <c r="AI1853" i="3"/>
  <c r="AI1849" i="3"/>
  <c r="AI1845" i="3"/>
  <c r="AI1841" i="3"/>
  <c r="AI1837" i="3"/>
  <c r="AI1833" i="3"/>
  <c r="AI1829" i="3"/>
  <c r="AI1825" i="3"/>
  <c r="AI1821" i="3"/>
  <c r="AI1817" i="3"/>
  <c r="AI1813" i="3"/>
  <c r="AI1809" i="3"/>
  <c r="AI1801" i="3"/>
  <c r="AI1793" i="3"/>
  <c r="AI1789" i="3"/>
  <c r="AI1785" i="3"/>
  <c r="AI1781" i="3"/>
  <c r="AI1777" i="3"/>
  <c r="AI1773" i="3"/>
  <c r="AI1769" i="3"/>
  <c r="AI1761" i="3"/>
  <c r="AI1757" i="3"/>
  <c r="AI1753" i="3"/>
  <c r="AI1749" i="3"/>
  <c r="AI1992" i="3"/>
  <c r="AI1980" i="3"/>
  <c r="AI1972" i="3"/>
  <c r="AI1916" i="3"/>
  <c r="AI1943" i="3"/>
  <c r="AI1935" i="3"/>
  <c r="AI1927" i="3"/>
  <c r="AI1919" i="3"/>
  <c r="AI1991" i="3"/>
  <c r="AI1987" i="3"/>
  <c r="AI1979" i="3"/>
  <c r="AI1971" i="3"/>
  <c r="AI1989" i="3"/>
  <c r="AI1985" i="3"/>
  <c r="AI1981" i="3"/>
  <c r="AI1977" i="3"/>
  <c r="AI1973" i="3"/>
  <c r="AI1912" i="3"/>
  <c r="AI1908" i="3"/>
  <c r="AI1904" i="3"/>
  <c r="AI1900" i="3"/>
  <c r="AI1896" i="3"/>
  <c r="AI1892" i="3"/>
  <c r="AI1888" i="3"/>
  <c r="AI1884" i="3"/>
  <c r="AI1880" i="3"/>
  <c r="AI1876" i="3"/>
  <c r="AI1872" i="3"/>
  <c r="AI1868" i="3"/>
  <c r="AI1864" i="3"/>
  <c r="AI1860" i="3"/>
  <c r="AI1856" i="3"/>
  <c r="AI1852" i="3"/>
  <c r="AI1848" i="3"/>
  <c r="AI1844" i="3"/>
  <c r="AI1840" i="3"/>
  <c r="AI1836" i="3"/>
  <c r="AI1832" i="3"/>
  <c r="AI1828" i="3"/>
  <c r="AI1824" i="3"/>
  <c r="AI1820" i="3"/>
  <c r="AI1816" i="3"/>
  <c r="AI1812" i="3"/>
  <c r="AI1808" i="3"/>
  <c r="AI1800" i="3"/>
  <c r="AI1792" i="3"/>
  <c r="AI1788" i="3"/>
  <c r="AI1784" i="3"/>
  <c r="AI1780" i="3"/>
  <c r="AI1776" i="3"/>
  <c r="AI1772" i="3"/>
  <c r="AI1764" i="3"/>
  <c r="AI1760" i="3"/>
  <c r="AI1983" i="3"/>
  <c r="AI1975" i="3"/>
  <c r="AI1966" i="3"/>
  <c r="AI1958" i="3"/>
  <c r="AI1950" i="3"/>
  <c r="AI1946" i="3"/>
  <c r="AI1942" i="3"/>
  <c r="AI1938" i="3"/>
  <c r="AI1930" i="3"/>
  <c r="AI1922" i="3"/>
  <c r="AI1918" i="3"/>
  <c r="AI1914" i="3"/>
  <c r="AI1910" i="3"/>
  <c r="AI1906" i="3"/>
  <c r="AI1902" i="3"/>
  <c r="AI1898" i="3"/>
  <c r="AI1894" i="3"/>
  <c r="AI1890" i="3"/>
  <c r="AI1886" i="3"/>
  <c r="AI1882" i="3"/>
  <c r="AI1878" i="3"/>
  <c r="AI1874" i="3"/>
  <c r="AI1870" i="3"/>
  <c r="AI1866" i="3"/>
  <c r="AI1862" i="3"/>
  <c r="AI1858" i="3"/>
  <c r="AI1854" i="3"/>
  <c r="AI1850" i="3"/>
  <c r="AI1846" i="3"/>
  <c r="AI1842" i="3"/>
  <c r="AI1838" i="3"/>
  <c r="AI1834" i="3"/>
  <c r="AI1830" i="3"/>
  <c r="AI1826" i="3"/>
  <c r="AI1822" i="3"/>
  <c r="AI1818" i="3"/>
  <c r="AI1814" i="3"/>
  <c r="AI1810" i="3"/>
  <c r="AI1802" i="3"/>
  <c r="AI1794" i="3"/>
  <c r="AI1790" i="3"/>
  <c r="AI1786" i="3"/>
  <c r="AI1782" i="3"/>
  <c r="AI1778" i="3"/>
  <c r="AI1774" i="3"/>
  <c r="AI1770" i="3"/>
  <c r="AI1762" i="3"/>
  <c r="AI2016" i="3"/>
  <c r="AI2012" i="3"/>
  <c r="AI2008" i="3"/>
  <c r="AI2000" i="3"/>
  <c r="AI1947" i="3"/>
  <c r="AI1754" i="3"/>
  <c r="AI1746" i="3"/>
  <c r="AI1750" i="3"/>
  <c r="AI1915" i="3"/>
  <c r="AI1974" i="3"/>
  <c r="AI1939" i="3"/>
  <c r="AM1991" i="3"/>
  <c r="AM1987" i="3"/>
  <c r="AM1979" i="3"/>
  <c r="AM1971" i="3"/>
  <c r="AM2017" i="3"/>
  <c r="AM2013" i="3"/>
  <c r="AM2009" i="3"/>
  <c r="AM2001" i="3"/>
  <c r="AM1997" i="3"/>
  <c r="AM1989" i="3"/>
  <c r="AM1985" i="3"/>
  <c r="AM1981" i="3"/>
  <c r="AM1977" i="3"/>
  <c r="AM1973" i="3"/>
  <c r="AM1913" i="3"/>
  <c r="AM1909" i="3"/>
  <c r="AM1905" i="3"/>
  <c r="AM1901" i="3"/>
  <c r="AM1897" i="3"/>
  <c r="AM1893" i="3"/>
  <c r="AM1889" i="3"/>
  <c r="AM1885" i="3"/>
  <c r="AM1881" i="3"/>
  <c r="AM1877" i="3"/>
  <c r="AM1873" i="3"/>
  <c r="AM1869" i="3"/>
  <c r="AM1865" i="3"/>
  <c r="AM1861" i="3"/>
  <c r="AM1857" i="3"/>
  <c r="AM1853" i="3"/>
  <c r="AM1849" i="3"/>
  <c r="AM1845" i="3"/>
  <c r="AM1841" i="3"/>
  <c r="AM1837" i="3"/>
  <c r="AM1833" i="3"/>
  <c r="AM1829" i="3"/>
  <c r="AM1825" i="3"/>
  <c r="AM1821" i="3"/>
  <c r="AM1817" i="3"/>
  <c r="AM1813" i="3"/>
  <c r="AM1809" i="3"/>
  <c r="AM1801" i="3"/>
  <c r="AM1793" i="3"/>
  <c r="AM1789" i="3"/>
  <c r="AM1785" i="3"/>
  <c r="AM1781" i="3"/>
  <c r="AM1777" i="3"/>
  <c r="AM1773" i="3"/>
  <c r="AM1769" i="3"/>
  <c r="AM1992" i="3"/>
  <c r="AM1988" i="3"/>
  <c r="AM1984" i="3"/>
  <c r="AM1980" i="3"/>
  <c r="AM1976" i="3"/>
  <c r="AM1972" i="3"/>
  <c r="AM1968" i="3"/>
  <c r="AM1964" i="3"/>
  <c r="AM1960" i="3"/>
  <c r="AM1956" i="3"/>
  <c r="AM1948" i="3"/>
  <c r="AM1944" i="3"/>
  <c r="AM1940" i="3"/>
  <c r="AM1936" i="3"/>
  <c r="AM1928" i="3"/>
  <c r="AM1920" i="3"/>
  <c r="AM1912" i="3"/>
  <c r="AM1908" i="3"/>
  <c r="AM1904" i="3"/>
  <c r="AM1900" i="3"/>
  <c r="AM1896" i="3"/>
  <c r="AM1892" i="3"/>
  <c r="AM1888" i="3"/>
  <c r="AM1884" i="3"/>
  <c r="AM1880" i="3"/>
  <c r="AM1876" i="3"/>
  <c r="AM1872" i="3"/>
  <c r="AM1868" i="3"/>
  <c r="AM1864" i="3"/>
  <c r="AM1860" i="3"/>
  <c r="AM1856" i="3"/>
  <c r="AM1852" i="3"/>
  <c r="AM1848" i="3"/>
  <c r="AM1844" i="3"/>
  <c r="AM1840" i="3"/>
  <c r="AM1836" i="3"/>
  <c r="AM1832" i="3"/>
  <c r="AM1828" i="3"/>
  <c r="AM1824" i="3"/>
  <c r="AM1820" i="3"/>
  <c r="AM1816" i="3"/>
  <c r="AM1812" i="3"/>
  <c r="AM1808" i="3"/>
  <c r="AM1800" i="3"/>
  <c r="AM1792" i="3"/>
  <c r="AM1788" i="3"/>
  <c r="AM1784" i="3"/>
  <c r="AM1780" i="3"/>
  <c r="AM1776" i="3"/>
  <c r="AM1772" i="3"/>
  <c r="AM1764" i="3"/>
  <c r="AM1760" i="3"/>
  <c r="AM1756" i="3"/>
  <c r="AM1752" i="3"/>
  <c r="AM1748" i="3"/>
  <c r="AM1983" i="3"/>
  <c r="AM1975" i="3"/>
  <c r="AM1963" i="3"/>
  <c r="AM1955" i="3"/>
  <c r="AM1757" i="3"/>
  <c r="AM1753" i="3"/>
  <c r="AM1749" i="3"/>
  <c r="AM2016" i="3"/>
  <c r="AM2012" i="3"/>
  <c r="AM2008" i="3"/>
  <c r="AM2000" i="3"/>
  <c r="AM1916" i="3"/>
  <c r="AM1947" i="3"/>
  <c r="AM1943" i="3"/>
  <c r="AM1939" i="3"/>
  <c r="AM1935" i="3"/>
  <c r="AM1927" i="3"/>
  <c r="AM1949" i="3"/>
  <c r="AM1945" i="3"/>
  <c r="AM1941" i="3"/>
  <c r="AM1937" i="3"/>
  <c r="AM1929" i="3"/>
  <c r="AM1921" i="3"/>
  <c r="AM1917" i="3"/>
  <c r="AM1950" i="3"/>
  <c r="AM1946" i="3"/>
  <c r="AM1942" i="3"/>
  <c r="AM1938" i="3"/>
  <c r="AM1930" i="3"/>
  <c r="AM1922" i="3"/>
  <c r="AM1918" i="3"/>
  <c r="AM1967" i="3"/>
  <c r="AM1911" i="3"/>
  <c r="AM1907" i="3"/>
  <c r="AM1903" i="3"/>
  <c r="AM1899" i="3"/>
  <c r="AM1895" i="3"/>
  <c r="AM1891" i="3"/>
  <c r="AM1887" i="3"/>
  <c r="AM1883" i="3"/>
  <c r="AM1879" i="3"/>
  <c r="AM1875" i="3"/>
  <c r="AM1871" i="3"/>
  <c r="AM1867" i="3"/>
  <c r="AM1863" i="3"/>
  <c r="AM1859" i="3"/>
  <c r="AM1855" i="3"/>
  <c r="AM1851" i="3"/>
  <c r="AM1847" i="3"/>
  <c r="AM1843" i="3"/>
  <c r="AM1839" i="3"/>
  <c r="AM1835" i="3"/>
  <c r="AM1831" i="3"/>
  <c r="AM1827" i="3"/>
  <c r="AM1823" i="3"/>
  <c r="AM1819" i="3"/>
  <c r="AM1815" i="3"/>
  <c r="AM1965" i="3"/>
  <c r="AM1957" i="3"/>
  <c r="AM1761" i="3"/>
  <c r="AM1959" i="3"/>
  <c r="AM1915" i="3"/>
  <c r="AM1759" i="3"/>
  <c r="AM2014" i="3"/>
  <c r="AM2010" i="3"/>
  <c r="AM2006" i="3"/>
  <c r="AM2002" i="3"/>
  <c r="AM1998" i="3"/>
  <c r="AM2015" i="3"/>
  <c r="AM2007" i="3"/>
  <c r="AM1999" i="3"/>
  <c r="AM1969" i="3"/>
  <c r="AM1961" i="3"/>
  <c r="AM1919" i="3"/>
  <c r="AM1755" i="3"/>
  <c r="AM1751" i="3"/>
  <c r="AM1747" i="3"/>
  <c r="AM1966" i="3"/>
  <c r="AM1962" i="3"/>
  <c r="AM1958" i="3"/>
  <c r="AM2011" i="3"/>
  <c r="AM1970" i="3"/>
  <c r="AM2003" i="3"/>
  <c r="AM1799" i="3"/>
  <c r="AM1783" i="3"/>
  <c r="AM1990" i="3"/>
  <c r="AM1974" i="3"/>
  <c r="AM1811" i="3"/>
  <c r="AM1779" i="3"/>
  <c r="AM1763" i="3"/>
  <c r="AM1986" i="3"/>
  <c r="AM1902" i="3"/>
  <c r="AM1886" i="3"/>
  <c r="AM1870" i="3"/>
  <c r="AM1854" i="3"/>
  <c r="AM1838" i="3"/>
  <c r="AM1822" i="3"/>
  <c r="AM1791" i="3"/>
  <c r="AM1906" i="3"/>
  <c r="AM1894" i="3"/>
  <c r="AM1882" i="3"/>
  <c r="AM1842" i="3"/>
  <c r="AM1830" i="3"/>
  <c r="AM1818" i="3"/>
  <c r="AM1810" i="3"/>
  <c r="AM1794" i="3"/>
  <c r="AM1778" i="3"/>
  <c r="AM1762" i="3"/>
  <c r="AM1746" i="3"/>
  <c r="AM1787" i="3"/>
  <c r="AM1910" i="3"/>
  <c r="AM1898" i="3"/>
  <c r="AM1858" i="3"/>
  <c r="AM1846" i="3"/>
  <c r="AM1834" i="3"/>
  <c r="AM1807" i="3"/>
  <c r="AM1775" i="3"/>
  <c r="AM1982" i="3"/>
  <c r="AM1914" i="3"/>
  <c r="AM1874" i="3"/>
  <c r="AM1862" i="3"/>
  <c r="AM1850" i="3"/>
  <c r="AM1802" i="3"/>
  <c r="AM1786" i="3"/>
  <c r="AM1770" i="3"/>
  <c r="AM1754" i="3"/>
  <c r="AM1771" i="3"/>
  <c r="AM1978" i="3"/>
  <c r="AM1890" i="3"/>
  <c r="AM1878" i="3"/>
  <c r="AM1866" i="3"/>
  <c r="AM1826" i="3"/>
  <c r="AM1814" i="3"/>
  <c r="AM1782" i="3"/>
  <c r="AM1750" i="3"/>
  <c r="AM1790" i="3"/>
  <c r="AM1774" i="3"/>
  <c r="AM1758" i="3"/>
  <c r="AQ1991" i="3"/>
  <c r="AQ1987" i="3"/>
  <c r="AQ1979" i="3"/>
  <c r="AQ1971" i="3"/>
  <c r="AQ1989" i="3"/>
  <c r="AQ1985" i="3"/>
  <c r="AQ1981" i="3"/>
  <c r="AQ1977" i="3"/>
  <c r="AQ1973" i="3"/>
  <c r="AQ2016" i="3"/>
  <c r="AQ2012" i="3"/>
  <c r="AQ2008" i="3"/>
  <c r="AQ2000" i="3"/>
  <c r="AQ1912" i="3"/>
  <c r="AQ1908" i="3"/>
  <c r="AQ1904" i="3"/>
  <c r="AQ1900" i="3"/>
  <c r="AQ1896" i="3"/>
  <c r="AQ1892" i="3"/>
  <c r="AQ1888" i="3"/>
  <c r="AQ1884" i="3"/>
  <c r="AQ1880" i="3"/>
  <c r="AQ1876" i="3"/>
  <c r="AQ1872" i="3"/>
  <c r="AQ1868" i="3"/>
  <c r="AQ1864" i="3"/>
  <c r="AQ1860" i="3"/>
  <c r="AQ1856" i="3"/>
  <c r="AQ1852" i="3"/>
  <c r="AQ1848" i="3"/>
  <c r="AQ1844" i="3"/>
  <c r="AQ1840" i="3"/>
  <c r="AQ1836" i="3"/>
  <c r="AQ1832" i="3"/>
  <c r="AQ1828" i="3"/>
  <c r="AQ1824" i="3"/>
  <c r="AQ1820" i="3"/>
  <c r="AQ1816" i="3"/>
  <c r="AQ1812" i="3"/>
  <c r="AQ1808" i="3"/>
  <c r="AQ1800" i="3"/>
  <c r="AQ1792" i="3"/>
  <c r="AQ1788" i="3"/>
  <c r="AQ1784" i="3"/>
  <c r="AQ1780" i="3"/>
  <c r="AQ1776" i="3"/>
  <c r="AQ1772" i="3"/>
  <c r="AQ1764" i="3"/>
  <c r="AQ1760" i="3"/>
  <c r="AQ1756" i="3"/>
  <c r="AQ1752" i="3"/>
  <c r="AQ1748" i="3"/>
  <c r="AQ1983" i="3"/>
  <c r="AQ1975" i="3"/>
  <c r="AQ2015" i="3"/>
  <c r="AQ2007" i="3"/>
  <c r="AQ1999" i="3"/>
  <c r="AQ2017" i="3"/>
  <c r="AQ2013" i="3"/>
  <c r="AQ2009" i="3"/>
  <c r="AQ2001" i="3"/>
  <c r="AQ1997" i="3"/>
  <c r="AQ1917" i="3"/>
  <c r="AQ1913" i="3"/>
  <c r="AQ1909" i="3"/>
  <c r="AQ1905" i="3"/>
  <c r="AQ1901" i="3"/>
  <c r="AQ1897" i="3"/>
  <c r="AQ1893" i="3"/>
  <c r="AQ1889" i="3"/>
  <c r="AQ1885" i="3"/>
  <c r="AQ1881" i="3"/>
  <c r="AQ1877" i="3"/>
  <c r="AQ1873" i="3"/>
  <c r="AQ1869" i="3"/>
  <c r="AQ1865" i="3"/>
  <c r="AQ1861" i="3"/>
  <c r="AQ1857" i="3"/>
  <c r="AQ1853" i="3"/>
  <c r="AQ1849" i="3"/>
  <c r="AQ1845" i="3"/>
  <c r="AQ1841" i="3"/>
  <c r="AQ1837" i="3"/>
  <c r="AQ1833" i="3"/>
  <c r="AQ1829" i="3"/>
  <c r="AQ1825" i="3"/>
  <c r="AQ1821" i="3"/>
  <c r="AQ1817" i="3"/>
  <c r="AQ1813" i="3"/>
  <c r="AQ1809" i="3"/>
  <c r="AQ1801" i="3"/>
  <c r="AQ1793" i="3"/>
  <c r="AQ1789" i="3"/>
  <c r="AQ1785" i="3"/>
  <c r="AQ1781" i="3"/>
  <c r="AQ1777" i="3"/>
  <c r="AQ1773" i="3"/>
  <c r="AQ1769" i="3"/>
  <c r="AQ1761" i="3"/>
  <c r="AQ1757" i="3"/>
  <c r="AQ1753" i="3"/>
  <c r="AQ1749" i="3"/>
  <c r="AQ1992" i="3"/>
  <c r="AQ1980" i="3"/>
  <c r="AQ1972" i="3"/>
  <c r="AQ1948" i="3"/>
  <c r="AQ1944" i="3"/>
  <c r="AQ1940" i="3"/>
  <c r="AQ1936" i="3"/>
  <c r="AQ1928" i="3"/>
  <c r="AQ1920" i="3"/>
  <c r="AQ2011" i="3"/>
  <c r="AQ2003" i="3"/>
  <c r="AQ1988" i="3"/>
  <c r="AQ1984" i="3"/>
  <c r="AQ1976" i="3"/>
  <c r="AQ2014" i="3"/>
  <c r="AQ2010" i="3"/>
  <c r="AQ2006" i="3"/>
  <c r="AQ2002" i="3"/>
  <c r="AQ1998" i="3"/>
  <c r="AQ1943" i="3"/>
  <c r="AQ1935" i="3"/>
  <c r="AQ1927" i="3"/>
  <c r="AQ1919" i="3"/>
  <c r="AQ1915" i="3"/>
  <c r="AQ1964" i="3"/>
  <c r="AQ1956" i="3"/>
  <c r="AQ1916" i="3"/>
  <c r="AQ1974" i="3"/>
  <c r="AQ1963" i="3"/>
  <c r="AQ1955" i="3"/>
  <c r="AQ1969" i="3"/>
  <c r="AQ1965" i="3"/>
  <c r="AQ1961" i="3"/>
  <c r="AQ1957" i="3"/>
  <c r="AQ1949" i="3"/>
  <c r="AQ1945" i="3"/>
  <c r="AQ1941" i="3"/>
  <c r="AQ1937" i="3"/>
  <c r="AQ1929" i="3"/>
  <c r="AQ1921" i="3"/>
  <c r="AQ1968" i="3"/>
  <c r="AQ1960" i="3"/>
  <c r="AQ1939" i="3"/>
  <c r="AQ1962" i="3"/>
  <c r="AQ1950" i="3"/>
  <c r="AQ1946" i="3"/>
  <c r="AQ1942" i="3"/>
  <c r="AQ1938" i="3"/>
  <c r="AQ1930" i="3"/>
  <c r="AQ1922" i="3"/>
  <c r="AQ1918" i="3"/>
  <c r="AQ1750" i="3"/>
  <c r="AQ1959" i="3"/>
  <c r="AQ1947" i="3"/>
  <c r="AQ1911" i="3"/>
  <c r="AQ1903" i="3"/>
  <c r="AQ1895" i="3"/>
  <c r="AQ1887" i="3"/>
  <c r="AQ1879" i="3"/>
  <c r="AQ1871" i="3"/>
  <c r="AQ1863" i="3"/>
  <c r="AQ1855" i="3"/>
  <c r="AQ1847" i="3"/>
  <c r="AQ1839" i="3"/>
  <c r="AQ1831" i="3"/>
  <c r="AQ1823" i="3"/>
  <c r="AQ1815" i="3"/>
  <c r="AQ1758" i="3"/>
  <c r="AQ1754" i="3"/>
  <c r="AQ1746" i="3"/>
  <c r="AQ1811" i="3"/>
  <c r="AQ1807" i="3"/>
  <c r="AQ1799" i="3"/>
  <c r="AQ1791" i="3"/>
  <c r="AQ1787" i="3"/>
  <c r="AQ1783" i="3"/>
  <c r="AQ1779" i="3"/>
  <c r="AQ1775" i="3"/>
  <c r="AQ1771" i="3"/>
  <c r="AQ1763" i="3"/>
  <c r="AQ1759" i="3"/>
  <c r="AQ1755" i="3"/>
  <c r="AQ1751" i="3"/>
  <c r="AQ1747" i="3"/>
  <c r="AQ1990" i="3"/>
  <c r="AQ1986" i="3"/>
  <c r="AQ1982" i="3"/>
  <c r="AQ1978" i="3"/>
  <c r="AQ1970" i="3"/>
  <c r="AQ1907" i="3"/>
  <c r="AQ1899" i="3"/>
  <c r="AQ1891" i="3"/>
  <c r="AQ1967" i="3"/>
  <c r="AQ1883" i="3"/>
  <c r="AQ1867" i="3"/>
  <c r="AQ1835" i="3"/>
  <c r="AQ1958" i="3"/>
  <c r="AQ1859" i="3"/>
  <c r="AQ1827" i="3"/>
  <c r="AQ1906" i="3"/>
  <c r="AQ1890" i="3"/>
  <c r="AQ1874" i="3"/>
  <c r="AQ1858" i="3"/>
  <c r="AQ1842" i="3"/>
  <c r="AQ1826" i="3"/>
  <c r="AQ1819" i="3"/>
  <c r="AQ1966" i="3"/>
  <c r="AQ1878" i="3"/>
  <c r="AQ1866" i="3"/>
  <c r="AQ1854" i="3"/>
  <c r="AQ1814" i="3"/>
  <c r="AQ1782" i="3"/>
  <c r="AQ1875" i="3"/>
  <c r="AQ1894" i="3"/>
  <c r="AQ1882" i="3"/>
  <c r="AQ1870" i="3"/>
  <c r="AQ1818" i="3"/>
  <c r="AQ1762" i="3"/>
  <c r="AQ1851" i="3"/>
  <c r="AQ1910" i="3"/>
  <c r="AQ1898" i="3"/>
  <c r="AQ1886" i="3"/>
  <c r="AQ1846" i="3"/>
  <c r="AQ1834" i="3"/>
  <c r="AQ1822" i="3"/>
  <c r="AQ1790" i="3"/>
  <c r="AQ1774" i="3"/>
  <c r="AQ1843" i="3"/>
  <c r="AQ1914" i="3"/>
  <c r="AQ1902" i="3"/>
  <c r="AQ1862" i="3"/>
  <c r="AQ1850" i="3"/>
  <c r="AQ1838" i="3"/>
  <c r="AQ1802" i="3"/>
  <c r="AQ1786" i="3"/>
  <c r="AQ1770" i="3"/>
  <c r="AQ1830" i="3"/>
  <c r="AQ1810" i="3"/>
  <c r="AQ1794" i="3"/>
  <c r="AQ1778" i="3"/>
  <c r="AU1963" i="3"/>
  <c r="AU1955" i="3"/>
  <c r="AU1761" i="3"/>
  <c r="AU1753" i="3"/>
  <c r="AU1967" i="3"/>
  <c r="AU1959" i="3"/>
  <c r="AU2016" i="3"/>
  <c r="AU2012" i="3"/>
  <c r="AU2008" i="3"/>
  <c r="AU2000" i="3"/>
  <c r="AU1911" i="3"/>
  <c r="AU1907" i="3"/>
  <c r="AU1903" i="3"/>
  <c r="AU1899" i="3"/>
  <c r="AU1895" i="3"/>
  <c r="AU1891" i="3"/>
  <c r="AU1887" i="3"/>
  <c r="AU1883" i="3"/>
  <c r="AU1879" i="3"/>
  <c r="AU1875" i="3"/>
  <c r="AU1871" i="3"/>
  <c r="AU1867" i="3"/>
  <c r="AU1863" i="3"/>
  <c r="AU1859" i="3"/>
  <c r="AU1855" i="3"/>
  <c r="AU1851" i="3"/>
  <c r="AU1847" i="3"/>
  <c r="AU1843" i="3"/>
  <c r="AU1839" i="3"/>
  <c r="AU1835" i="3"/>
  <c r="AU1831" i="3"/>
  <c r="AU1827" i="3"/>
  <c r="AU1823" i="3"/>
  <c r="AU1819" i="3"/>
  <c r="AU1815" i="3"/>
  <c r="AU1811" i="3"/>
  <c r="AU1807" i="3"/>
  <c r="AU1799" i="3"/>
  <c r="AU1791" i="3"/>
  <c r="AU1787" i="3"/>
  <c r="AU1783" i="3"/>
  <c r="AU1779" i="3"/>
  <c r="AU1775" i="3"/>
  <c r="AU1771" i="3"/>
  <c r="AU1763" i="3"/>
  <c r="AU1990" i="3"/>
  <c r="AU1986" i="3"/>
  <c r="AU1982" i="3"/>
  <c r="AU1978" i="3"/>
  <c r="AU1974" i="3"/>
  <c r="AU1966" i="3"/>
  <c r="AU1962" i="3"/>
  <c r="AU1958" i="3"/>
  <c r="AU1950" i="3"/>
  <c r="AU1946" i="3"/>
  <c r="AU1942" i="3"/>
  <c r="AU1938" i="3"/>
  <c r="AU1930" i="3"/>
  <c r="AU1922" i="3"/>
  <c r="AU1918" i="3"/>
  <c r="AU1914" i="3"/>
  <c r="AU1910" i="3"/>
  <c r="AU1906" i="3"/>
  <c r="AU1902" i="3"/>
  <c r="AU1898" i="3"/>
  <c r="AU1894" i="3"/>
  <c r="AU1890" i="3"/>
  <c r="AU1886" i="3"/>
  <c r="AU1882" i="3"/>
  <c r="AU1878" i="3"/>
  <c r="AU1874" i="3"/>
  <c r="AU1870" i="3"/>
  <c r="AU1866" i="3"/>
  <c r="AU1862" i="3"/>
  <c r="AU1858" i="3"/>
  <c r="AU1854" i="3"/>
  <c r="AU1850" i="3"/>
  <c r="AU1846" i="3"/>
  <c r="AU1842" i="3"/>
  <c r="AU1838" i="3"/>
  <c r="AU1834" i="3"/>
  <c r="AU1830" i="3"/>
  <c r="AU1826" i="3"/>
  <c r="AU1822" i="3"/>
  <c r="AU1818" i="3"/>
  <c r="AU1814" i="3"/>
  <c r="AU1810" i="3"/>
  <c r="AU1802" i="3"/>
  <c r="AU1794" i="3"/>
  <c r="AU1790" i="3"/>
  <c r="AU1786" i="3"/>
  <c r="AU1782" i="3"/>
  <c r="AU1778" i="3"/>
  <c r="AU1774" i="3"/>
  <c r="AU1770" i="3"/>
  <c r="AU1762" i="3"/>
  <c r="AU1758" i="3"/>
  <c r="AU1754" i="3"/>
  <c r="AU1750" i="3"/>
  <c r="AU1746" i="3"/>
  <c r="AU2015" i="3"/>
  <c r="AU2007" i="3"/>
  <c r="AU1999" i="3"/>
  <c r="AU1991" i="3"/>
  <c r="AU1987" i="3"/>
  <c r="AU1979" i="3"/>
  <c r="AU1971" i="3"/>
  <c r="AU1989" i="3"/>
  <c r="AU1985" i="3"/>
  <c r="AU1981" i="3"/>
  <c r="AU1977" i="3"/>
  <c r="AU1973" i="3"/>
  <c r="AU1965" i="3"/>
  <c r="AU1957" i="3"/>
  <c r="AU1913" i="3"/>
  <c r="AU1909" i="3"/>
  <c r="AU1905" i="3"/>
  <c r="AU1901" i="3"/>
  <c r="AU1897" i="3"/>
  <c r="AU1893" i="3"/>
  <c r="AU1889" i="3"/>
  <c r="AU1885" i="3"/>
  <c r="AU1881" i="3"/>
  <c r="AU1877" i="3"/>
  <c r="AU1873" i="3"/>
  <c r="AU1869" i="3"/>
  <c r="AU1865" i="3"/>
  <c r="AU1861" i="3"/>
  <c r="AU1857" i="3"/>
  <c r="AU1853" i="3"/>
  <c r="AU1849" i="3"/>
  <c r="AU1845" i="3"/>
  <c r="AU1841" i="3"/>
  <c r="AU1837" i="3"/>
  <c r="AU1833" i="3"/>
  <c r="AU1829" i="3"/>
  <c r="AU1825" i="3"/>
  <c r="AU1821" i="3"/>
  <c r="AU1817" i="3"/>
  <c r="AU1813" i="3"/>
  <c r="AU1809" i="3"/>
  <c r="AU1801" i="3"/>
  <c r="AU1793" i="3"/>
  <c r="AU1789" i="3"/>
  <c r="AU1785" i="3"/>
  <c r="AU1781" i="3"/>
  <c r="AU1777" i="3"/>
  <c r="AU1773" i="3"/>
  <c r="AU1769" i="3"/>
  <c r="AU1992" i="3"/>
  <c r="AU1988" i="3"/>
  <c r="AU1984" i="3"/>
  <c r="AU1980" i="3"/>
  <c r="AU1976" i="3"/>
  <c r="AU1972" i="3"/>
  <c r="AU1916" i="3"/>
  <c r="AU1912" i="3"/>
  <c r="AU1908" i="3"/>
  <c r="AU1904" i="3"/>
  <c r="AU1900" i="3"/>
  <c r="AU1896" i="3"/>
  <c r="AU1892" i="3"/>
  <c r="AU1888" i="3"/>
  <c r="AU1884" i="3"/>
  <c r="AU1880" i="3"/>
  <c r="AU1876" i="3"/>
  <c r="AU1872" i="3"/>
  <c r="AU1868" i="3"/>
  <c r="AU1864" i="3"/>
  <c r="AU1860" i="3"/>
  <c r="AU1856" i="3"/>
  <c r="AU1852" i="3"/>
  <c r="AU1848" i="3"/>
  <c r="AU1844" i="3"/>
  <c r="AU1840" i="3"/>
  <c r="AU1836" i="3"/>
  <c r="AU1832" i="3"/>
  <c r="AU1828" i="3"/>
  <c r="AU1824" i="3"/>
  <c r="AU1820" i="3"/>
  <c r="AU1816" i="3"/>
  <c r="AU1812" i="3"/>
  <c r="AU1808" i="3"/>
  <c r="AU1800" i="3"/>
  <c r="AU1792" i="3"/>
  <c r="AU1788" i="3"/>
  <c r="AU1784" i="3"/>
  <c r="AU1780" i="3"/>
  <c r="AU1776" i="3"/>
  <c r="AU1772" i="3"/>
  <c r="AU1764" i="3"/>
  <c r="AU1760" i="3"/>
  <c r="AU1756" i="3"/>
  <c r="AU1752" i="3"/>
  <c r="AU1748" i="3"/>
  <c r="AU2011" i="3"/>
  <c r="AU2003" i="3"/>
  <c r="AU1983" i="3"/>
  <c r="AU1975" i="3"/>
  <c r="AU1947" i="3"/>
  <c r="AU1939" i="3"/>
  <c r="AU1915" i="3"/>
  <c r="AU1969" i="3"/>
  <c r="AU1961" i="3"/>
  <c r="AU1949" i="3"/>
  <c r="AU1945" i="3"/>
  <c r="AU1941" i="3"/>
  <c r="AU1937" i="3"/>
  <c r="AU1929" i="3"/>
  <c r="AU1921" i="3"/>
  <c r="AU1917" i="3"/>
  <c r="AU1757" i="3"/>
  <c r="AU1749" i="3"/>
  <c r="AU2014" i="3"/>
  <c r="AU2010" i="3"/>
  <c r="AU2006" i="3"/>
  <c r="AU2002" i="3"/>
  <c r="AU1998" i="3"/>
  <c r="AU1970" i="3"/>
  <c r="AU2017" i="3"/>
  <c r="AU2013" i="3"/>
  <c r="AU2009" i="3"/>
  <c r="AU2001" i="3"/>
  <c r="AU1997" i="3"/>
  <c r="AU1968" i="3"/>
  <c r="AU1964" i="3"/>
  <c r="AU1960" i="3"/>
  <c r="AU1956" i="3"/>
  <c r="AU1948" i="3"/>
  <c r="AU1944" i="3"/>
  <c r="AU1940" i="3"/>
  <c r="AU1936" i="3"/>
  <c r="AU1928" i="3"/>
  <c r="AU1920" i="3"/>
  <c r="AU1927" i="3"/>
  <c r="AU1759" i="3"/>
  <c r="AU1755" i="3"/>
  <c r="AU1751" i="3"/>
  <c r="AU1747" i="3"/>
  <c r="AU1935" i="3"/>
  <c r="AU1943" i="3"/>
  <c r="AU1919" i="3"/>
  <c r="S59" i="3"/>
  <c r="S579" i="3"/>
  <c r="S563" i="3"/>
  <c r="S565" i="3"/>
  <c r="S553" i="3"/>
  <c r="S525" i="3"/>
  <c r="S513" i="3"/>
  <c r="S501" i="3"/>
  <c r="S489" i="3"/>
  <c r="S481" i="3"/>
  <c r="S576" i="3"/>
  <c r="S564" i="3"/>
  <c r="S552" i="3"/>
  <c r="S532" i="3"/>
  <c r="S524" i="3"/>
  <c r="S512" i="3"/>
  <c r="S504" i="3"/>
  <c r="S492" i="3"/>
  <c r="S484" i="3"/>
  <c r="S416" i="3"/>
  <c r="S404" i="3"/>
  <c r="S396" i="3"/>
  <c r="S388" i="3"/>
  <c r="S376" i="3"/>
  <c r="S368" i="3"/>
  <c r="S360" i="3"/>
  <c r="S352" i="3"/>
  <c r="S575" i="3"/>
  <c r="S545" i="3"/>
  <c r="S533" i="3"/>
  <c r="S473" i="3"/>
  <c r="S457" i="3"/>
  <c r="S584" i="3"/>
  <c r="S551" i="3"/>
  <c r="S543" i="3"/>
  <c r="S577" i="3"/>
  <c r="S437" i="3"/>
  <c r="S580" i="3"/>
  <c r="S428" i="3"/>
  <c r="S523" i="3"/>
  <c r="S415" i="3"/>
  <c r="S403" i="3"/>
  <c r="S395" i="3"/>
  <c r="S387" i="3"/>
  <c r="S375" i="3"/>
  <c r="S367" i="3"/>
  <c r="S359" i="3"/>
  <c r="S351" i="3"/>
  <c r="S474" i="3"/>
  <c r="S458" i="3"/>
  <c r="S511" i="3"/>
  <c r="S503" i="3"/>
  <c r="S491" i="3"/>
  <c r="S483" i="3"/>
  <c r="S471" i="3"/>
  <c r="S455" i="3"/>
  <c r="S439" i="3"/>
  <c r="S427" i="3"/>
  <c r="S581" i="3"/>
  <c r="S425" i="3"/>
  <c r="S413" i="3"/>
  <c r="S405" i="3"/>
  <c r="S397" i="3"/>
  <c r="S393" i="3"/>
  <c r="S389" i="3"/>
  <c r="S377" i="3"/>
  <c r="S365" i="3"/>
  <c r="S357" i="3"/>
  <c r="S544" i="3"/>
  <c r="S472" i="3"/>
  <c r="S456" i="3"/>
  <c r="S440" i="3"/>
  <c r="S583" i="3"/>
  <c r="S546" i="3"/>
  <c r="S534" i="3"/>
  <c r="S426" i="3"/>
  <c r="S414" i="3"/>
  <c r="S406" i="3"/>
  <c r="S398" i="3"/>
  <c r="S394" i="3"/>
  <c r="S390" i="3"/>
  <c r="S378" i="3"/>
  <c r="S366" i="3"/>
  <c r="S358" i="3"/>
  <c r="S350" i="3"/>
  <c r="S578" i="3"/>
  <c r="S566" i="3"/>
  <c r="S554" i="3"/>
  <c r="S526" i="3"/>
  <c r="S514" i="3"/>
  <c r="S502" i="3"/>
  <c r="S490" i="3"/>
  <c r="S482" i="3"/>
  <c r="S438" i="3"/>
  <c r="S582" i="3"/>
  <c r="S531" i="3"/>
  <c r="W59" i="3"/>
  <c r="W577" i="3"/>
  <c r="W580" i="3"/>
  <c r="W532" i="3"/>
  <c r="W473" i="3"/>
  <c r="W457" i="3"/>
  <c r="W425" i="3"/>
  <c r="W413" i="3"/>
  <c r="W405" i="3"/>
  <c r="W397" i="3"/>
  <c r="W389" i="3"/>
  <c r="W377" i="3"/>
  <c r="W365" i="3"/>
  <c r="W357" i="3"/>
  <c r="W581" i="3"/>
  <c r="W544" i="3"/>
  <c r="W583" i="3"/>
  <c r="W531" i="3"/>
  <c r="W511" i="3"/>
  <c r="W503" i="3"/>
  <c r="W491" i="3"/>
  <c r="W483" i="3"/>
  <c r="W566" i="3"/>
  <c r="W554" i="3"/>
  <c r="W526" i="3"/>
  <c r="W514" i="3"/>
  <c r="W502" i="3"/>
  <c r="W490" i="3"/>
  <c r="W482" i="3"/>
  <c r="W426" i="3"/>
  <c r="W414" i="3"/>
  <c r="W406" i="3"/>
  <c r="W398" i="3"/>
  <c r="W390" i="3"/>
  <c r="W378" i="3"/>
  <c r="W366" i="3"/>
  <c r="W358" i="3"/>
  <c r="W350" i="3"/>
  <c r="W551" i="3"/>
  <c r="W415" i="3"/>
  <c r="W579" i="3"/>
  <c r="W545" i="3"/>
  <c r="W533" i="3"/>
  <c r="W584" i="3"/>
  <c r="W428" i="3"/>
  <c r="W416" i="3"/>
  <c r="W404" i="3"/>
  <c r="W396" i="3"/>
  <c r="W388" i="3"/>
  <c r="W376" i="3"/>
  <c r="W368" i="3"/>
  <c r="W360" i="3"/>
  <c r="W352" i="3"/>
  <c r="W543" i="3"/>
  <c r="W471" i="3"/>
  <c r="W455" i="3"/>
  <c r="W439" i="3"/>
  <c r="W427" i="3"/>
  <c r="W582" i="3"/>
  <c r="W546" i="3"/>
  <c r="W534" i="3"/>
  <c r="W563" i="3"/>
  <c r="W565" i="3"/>
  <c r="W553" i="3"/>
  <c r="W525" i="3"/>
  <c r="W513" i="3"/>
  <c r="W501" i="3"/>
  <c r="W489" i="3"/>
  <c r="W481" i="3"/>
  <c r="W437" i="3"/>
  <c r="W576" i="3"/>
  <c r="W564" i="3"/>
  <c r="W552" i="3"/>
  <c r="W524" i="3"/>
  <c r="W512" i="3"/>
  <c r="W504" i="3"/>
  <c r="W575" i="3"/>
  <c r="W523" i="3"/>
  <c r="W484" i="3"/>
  <c r="W472" i="3"/>
  <c r="W456" i="3"/>
  <c r="W440" i="3"/>
  <c r="W492" i="3"/>
  <c r="W395" i="3"/>
  <c r="W375" i="3"/>
  <c r="W359" i="3"/>
  <c r="W438" i="3"/>
  <c r="W403" i="3"/>
  <c r="W578" i="3"/>
  <c r="W387" i="3"/>
  <c r="W458" i="3"/>
  <c r="W351" i="3"/>
  <c r="W474" i="3"/>
  <c r="W367" i="3"/>
  <c r="AA59" i="3"/>
  <c r="AA579" i="3"/>
  <c r="AA473" i="3"/>
  <c r="AA457" i="3"/>
  <c r="AA425" i="3"/>
  <c r="AA413" i="3"/>
  <c r="AA405" i="3"/>
  <c r="AA397" i="3"/>
  <c r="AA389" i="3"/>
  <c r="AA377" i="3"/>
  <c r="AA365" i="3"/>
  <c r="AA357" i="3"/>
  <c r="AA580" i="3"/>
  <c r="AA544" i="3"/>
  <c r="AA583" i="3"/>
  <c r="AA563" i="3"/>
  <c r="AA565" i="3"/>
  <c r="AA553" i="3"/>
  <c r="AA525" i="3"/>
  <c r="AA513" i="3"/>
  <c r="AA501" i="3"/>
  <c r="AA489" i="3"/>
  <c r="AA481" i="3"/>
  <c r="AA576" i="3"/>
  <c r="AA564" i="3"/>
  <c r="AA552" i="3"/>
  <c r="AA524" i="3"/>
  <c r="AA512" i="3"/>
  <c r="AA504" i="3"/>
  <c r="AA492" i="3"/>
  <c r="AA484" i="3"/>
  <c r="AA428" i="3"/>
  <c r="AA416" i="3"/>
  <c r="AA404" i="3"/>
  <c r="AA396" i="3"/>
  <c r="AA388" i="3"/>
  <c r="AA376" i="3"/>
  <c r="AA368" i="3"/>
  <c r="AA360" i="3"/>
  <c r="AA352" i="3"/>
  <c r="AA575" i="3"/>
  <c r="AA531" i="3"/>
  <c r="AA523" i="3"/>
  <c r="AA545" i="3"/>
  <c r="AA533" i="3"/>
  <c r="AA584" i="3"/>
  <c r="AA532" i="3"/>
  <c r="AA551" i="3"/>
  <c r="AA578" i="3"/>
  <c r="AA437" i="3"/>
  <c r="AA472" i="3"/>
  <c r="AA456" i="3"/>
  <c r="AA440" i="3"/>
  <c r="AA543" i="3"/>
  <c r="AA427" i="3"/>
  <c r="AA415" i="3"/>
  <c r="AA403" i="3"/>
  <c r="AA395" i="3"/>
  <c r="AA387" i="3"/>
  <c r="AA375" i="3"/>
  <c r="AA367" i="3"/>
  <c r="AA359" i="3"/>
  <c r="AA351" i="3"/>
  <c r="AA582" i="3"/>
  <c r="AA438" i="3"/>
  <c r="AA577" i="3"/>
  <c r="AA491" i="3"/>
  <c r="AA483" i="3"/>
  <c r="AA566" i="3"/>
  <c r="AA554" i="3"/>
  <c r="AA526" i="3"/>
  <c r="AA514" i="3"/>
  <c r="AA502" i="3"/>
  <c r="AA490" i="3"/>
  <c r="AA482" i="3"/>
  <c r="AA511" i="3"/>
  <c r="AA503" i="3"/>
  <c r="AA471" i="3"/>
  <c r="AA455" i="3"/>
  <c r="AA439" i="3"/>
  <c r="AA474" i="3"/>
  <c r="AA458" i="3"/>
  <c r="AA534" i="3"/>
  <c r="AA546" i="3"/>
  <c r="AA426" i="3"/>
  <c r="AA414" i="3"/>
  <c r="AA378" i="3"/>
  <c r="AA406" i="3"/>
  <c r="AA390" i="3"/>
  <c r="AA358" i="3"/>
  <c r="AA398" i="3"/>
  <c r="AA366" i="3"/>
  <c r="AE59" i="3"/>
  <c r="AE351" i="3"/>
  <c r="AE352" i="3"/>
  <c r="AE582" i="3"/>
  <c r="AI59" i="3"/>
  <c r="AM59" i="3"/>
  <c r="AQ59" i="3"/>
  <c r="AU59" i="3"/>
  <c r="S36" i="5"/>
  <c r="S1172" i="3"/>
  <c r="S1168" i="3"/>
  <c r="S1176" i="3"/>
  <c r="S1173" i="3"/>
  <c r="S1169" i="3"/>
  <c r="S1170" i="3"/>
  <c r="S1167" i="3"/>
  <c r="S1163" i="3"/>
  <c r="S1175" i="3"/>
  <c r="S1160" i="3"/>
  <c r="S1162" i="3"/>
  <c r="S1152" i="3"/>
  <c r="S1151" i="3"/>
  <c r="S1150" i="3"/>
  <c r="S1149" i="3"/>
  <c r="S1148" i="3"/>
  <c r="S1147" i="3"/>
  <c r="S1146" i="3"/>
  <c r="S1145" i="3"/>
  <c r="S1174" i="3"/>
  <c r="S1158" i="3"/>
  <c r="S1177" i="3"/>
  <c r="S1166" i="3"/>
  <c r="S1157" i="3"/>
  <c r="S1161" i="3"/>
  <c r="S1159" i="3"/>
  <c r="S1171" i="3"/>
  <c r="AE36" i="5"/>
  <c r="AE1173" i="3"/>
  <c r="AE1169" i="3"/>
  <c r="AE1168" i="3"/>
  <c r="AE1167" i="3"/>
  <c r="AE1177" i="3"/>
  <c r="AE1175" i="3"/>
  <c r="AE1174" i="3"/>
  <c r="AE1170" i="3"/>
  <c r="AE1160" i="3"/>
  <c r="AE1176" i="3"/>
  <c r="AE1172" i="3"/>
  <c r="AE1161" i="3"/>
  <c r="AE1171" i="3"/>
  <c r="AE1162" i="3"/>
  <c r="AE1152" i="3"/>
  <c r="AE1151" i="3"/>
  <c r="AE1150" i="3"/>
  <c r="AE1149" i="3"/>
  <c r="AE1148" i="3"/>
  <c r="AE1147" i="3"/>
  <c r="AE1146" i="3"/>
  <c r="AE1145" i="3"/>
  <c r="AE1157" i="3"/>
  <c r="AE1158" i="3"/>
  <c r="AE1163" i="3"/>
  <c r="AE1166" i="3"/>
  <c r="AE1159" i="3"/>
  <c r="AM36" i="5"/>
  <c r="AM1171" i="3"/>
  <c r="AM1167" i="3"/>
  <c r="AM1177" i="3"/>
  <c r="AM1175" i="3"/>
  <c r="AM1172" i="3"/>
  <c r="AM1168" i="3"/>
  <c r="AM1173" i="3"/>
  <c r="AM1166" i="3"/>
  <c r="AM1162" i="3"/>
  <c r="AM1170" i="3"/>
  <c r="AM1163" i="3"/>
  <c r="AM1159" i="3"/>
  <c r="AM1169" i="3"/>
  <c r="AM1160" i="3"/>
  <c r="AM1157" i="3"/>
  <c r="AM1176" i="3"/>
  <c r="AM1152" i="3"/>
  <c r="AM1151" i="3"/>
  <c r="AM1150" i="3"/>
  <c r="AM1149" i="3"/>
  <c r="AM1148" i="3"/>
  <c r="AM1147" i="3"/>
  <c r="AM1146" i="3"/>
  <c r="AM1145" i="3"/>
  <c r="AM1174" i="3"/>
  <c r="AM1161" i="3"/>
  <c r="AM1158" i="3"/>
  <c r="AU36" i="5"/>
  <c r="AU1173" i="3"/>
  <c r="AU1169" i="3"/>
  <c r="AU1167" i="3"/>
  <c r="AU1177" i="3"/>
  <c r="AU1175" i="3"/>
  <c r="AU1174" i="3"/>
  <c r="AU1170" i="3"/>
  <c r="AU1171" i="3"/>
  <c r="AU1160" i="3"/>
  <c r="AU1176" i="3"/>
  <c r="AU1168" i="3"/>
  <c r="AU1161" i="3"/>
  <c r="AU1157" i="3"/>
  <c r="AU1166" i="3"/>
  <c r="AU1163" i="3"/>
  <c r="AU1152" i="3"/>
  <c r="AU1151" i="3"/>
  <c r="AU1150" i="3"/>
  <c r="AU1149" i="3"/>
  <c r="AU1148" i="3"/>
  <c r="AU1147" i="3"/>
  <c r="AU1146" i="3"/>
  <c r="AU1145" i="3"/>
  <c r="AU1158" i="3"/>
  <c r="AU1172" i="3"/>
  <c r="AU1159" i="3"/>
  <c r="AU1162" i="3"/>
  <c r="T36" i="5"/>
  <c r="T1176" i="3"/>
  <c r="T1173" i="3"/>
  <c r="T1169" i="3"/>
  <c r="T1174" i="3"/>
  <c r="T1170" i="3"/>
  <c r="T1175" i="3"/>
  <c r="T1160" i="3"/>
  <c r="T1172" i="3"/>
  <c r="T1168" i="3"/>
  <c r="T1161" i="3"/>
  <c r="T1162" i="3"/>
  <c r="T1152" i="3"/>
  <c r="T1151" i="3"/>
  <c r="T1150" i="3"/>
  <c r="T1149" i="3"/>
  <c r="T1148" i="3"/>
  <c r="T1147" i="3"/>
  <c r="T1146" i="3"/>
  <c r="T1145" i="3"/>
  <c r="T1167" i="3"/>
  <c r="T1159" i="3"/>
  <c r="T1158" i="3"/>
  <c r="T1177" i="3"/>
  <c r="T1166" i="3"/>
  <c r="T1157" i="3"/>
  <c r="T1163" i="3"/>
  <c r="T1171" i="3"/>
  <c r="AB36" i="5"/>
  <c r="AB1176" i="3"/>
  <c r="AB1171" i="3"/>
  <c r="AB1172" i="3"/>
  <c r="AB1177" i="3"/>
  <c r="AB1173" i="3"/>
  <c r="AB1166" i="3"/>
  <c r="AB1162" i="3"/>
  <c r="AB1170" i="3"/>
  <c r="AB1168" i="3"/>
  <c r="AB1163" i="3"/>
  <c r="AB1159" i="3"/>
  <c r="AB1160" i="3"/>
  <c r="AB1157" i="3"/>
  <c r="AB1152" i="3"/>
  <c r="AB1151" i="3"/>
  <c r="AB1150" i="3"/>
  <c r="AB1149" i="3"/>
  <c r="AB1148" i="3"/>
  <c r="AB1147" i="3"/>
  <c r="AB1146" i="3"/>
  <c r="AB1145" i="3"/>
  <c r="AB1174" i="3"/>
  <c r="AB1158" i="3"/>
  <c r="AB1175" i="3"/>
  <c r="AB1169" i="3"/>
  <c r="AB1167" i="3"/>
  <c r="AB1161" i="3"/>
  <c r="AN36" i="5"/>
  <c r="AN1177" i="3"/>
  <c r="AN1175" i="3"/>
  <c r="AN1172" i="3"/>
  <c r="AN1168" i="3"/>
  <c r="AN1173" i="3"/>
  <c r="AN1169" i="3"/>
  <c r="AN1170" i="3"/>
  <c r="AN1163" i="3"/>
  <c r="AN1167" i="3"/>
  <c r="AN1160" i="3"/>
  <c r="AN1176" i="3"/>
  <c r="AN1152" i="3"/>
  <c r="AN1151" i="3"/>
  <c r="AN1150" i="3"/>
  <c r="AN1149" i="3"/>
  <c r="AN1148" i="3"/>
  <c r="AN1147" i="3"/>
  <c r="AN1146" i="3"/>
  <c r="AN1145" i="3"/>
  <c r="AN1162" i="3"/>
  <c r="AN1159" i="3"/>
  <c r="AN1171" i="3"/>
  <c r="AN1166" i="3"/>
  <c r="AN1157" i="3"/>
  <c r="AN1174" i="3"/>
  <c r="AN1161" i="3"/>
  <c r="AN1158" i="3"/>
  <c r="AR36" i="5"/>
  <c r="AR1176" i="3"/>
  <c r="AR1171" i="3"/>
  <c r="AR1172" i="3"/>
  <c r="AR1168" i="3"/>
  <c r="AR1177" i="3"/>
  <c r="AR1169" i="3"/>
  <c r="AR1166" i="3"/>
  <c r="AR1162" i="3"/>
  <c r="AR1174" i="3"/>
  <c r="AR1163" i="3"/>
  <c r="AR1159" i="3"/>
  <c r="AR1175" i="3"/>
  <c r="AR1173" i="3"/>
  <c r="AR1158" i="3"/>
  <c r="AR1157" i="3"/>
  <c r="AR1152" i="3"/>
  <c r="AR1151" i="3"/>
  <c r="AR1150" i="3"/>
  <c r="AR1149" i="3"/>
  <c r="AR1148" i="3"/>
  <c r="AR1147" i="3"/>
  <c r="AR1146" i="3"/>
  <c r="AR1145" i="3"/>
  <c r="AR1170" i="3"/>
  <c r="AR1161" i="3"/>
  <c r="AR1160" i="3"/>
  <c r="AR1167" i="3"/>
  <c r="Q36" i="5"/>
  <c r="Q1177" i="3"/>
  <c r="Q1176" i="3"/>
  <c r="Q1175" i="3"/>
  <c r="Q1174" i="3"/>
  <c r="Q1173" i="3"/>
  <c r="Q1172" i="3"/>
  <c r="Q1171" i="3"/>
  <c r="Q1170" i="3"/>
  <c r="Q1169" i="3"/>
  <c r="Q1166" i="3"/>
  <c r="Q1162" i="3"/>
  <c r="Q1167" i="3"/>
  <c r="Q1163" i="3"/>
  <c r="Q1159" i="3"/>
  <c r="Q1168" i="3"/>
  <c r="Q1160" i="3"/>
  <c r="Q1157" i="3"/>
  <c r="Q1158" i="3"/>
  <c r="Q1155" i="3"/>
  <c r="Q1153" i="3"/>
  <c r="Q1151" i="3"/>
  <c r="Q1149" i="3"/>
  <c r="Q1147" i="3"/>
  <c r="Q1145" i="3"/>
  <c r="Q1161" i="3"/>
  <c r="Q1154" i="3"/>
  <c r="Q1150" i="3"/>
  <c r="Q1146" i="3"/>
  <c r="Q1152" i="3"/>
  <c r="Q1148" i="3"/>
  <c r="Q1156" i="3"/>
  <c r="U36" i="5"/>
  <c r="U1177" i="3"/>
  <c r="U1176" i="3"/>
  <c r="U1175" i="3"/>
  <c r="U1174" i="3"/>
  <c r="U1173" i="3"/>
  <c r="U1172" i="3"/>
  <c r="U1171" i="3"/>
  <c r="U1170" i="3"/>
  <c r="U1169" i="3"/>
  <c r="U1168" i="3"/>
  <c r="U1161" i="3"/>
  <c r="U1166" i="3"/>
  <c r="U1162" i="3"/>
  <c r="U1158" i="3"/>
  <c r="U1167" i="3"/>
  <c r="U1159" i="3"/>
  <c r="U1157" i="3"/>
  <c r="U1163" i="3"/>
  <c r="U1160" i="3"/>
  <c r="U1152" i="3"/>
  <c r="U1150" i="3"/>
  <c r="U1148" i="3"/>
  <c r="U1146" i="3"/>
  <c r="U1149" i="3"/>
  <c r="U1145" i="3"/>
  <c r="U1151" i="3"/>
  <c r="U1147" i="3"/>
  <c r="Y36" i="5"/>
  <c r="Y1177" i="3"/>
  <c r="Y1176" i="3"/>
  <c r="Y1175" i="3"/>
  <c r="Y1174" i="3"/>
  <c r="Y1173" i="3"/>
  <c r="Y1172" i="3"/>
  <c r="Y1171" i="3"/>
  <c r="Y1170" i="3"/>
  <c r="Y1169" i="3"/>
  <c r="Y1167" i="3"/>
  <c r="Y1160" i="3"/>
  <c r="Y1161" i="3"/>
  <c r="Y1166" i="3"/>
  <c r="Y1163" i="3"/>
  <c r="Y1168" i="3"/>
  <c r="Y1159" i="3"/>
  <c r="Y1151" i="3"/>
  <c r="Y1149" i="3"/>
  <c r="Y1147" i="3"/>
  <c r="Y1145" i="3"/>
  <c r="Y1162" i="3"/>
  <c r="Y1158" i="3"/>
  <c r="Y1152" i="3"/>
  <c r="Y1148" i="3"/>
  <c r="Y1150" i="3"/>
  <c r="Y1157" i="3"/>
  <c r="Y1146" i="3"/>
  <c r="AC36" i="5"/>
  <c r="AC1177" i="3"/>
  <c r="AC1176" i="3"/>
  <c r="AC1175" i="3"/>
  <c r="AC1174" i="3"/>
  <c r="AC1173" i="3"/>
  <c r="AC1172" i="3"/>
  <c r="AC1171" i="3"/>
  <c r="AC1170" i="3"/>
  <c r="AC1169" i="3"/>
  <c r="AC1168" i="3"/>
  <c r="AC1163" i="3"/>
  <c r="AC1160" i="3"/>
  <c r="AC1159" i="3"/>
  <c r="AC1158" i="3"/>
  <c r="AC1162" i="3"/>
  <c r="AC1167" i="3"/>
  <c r="AC1161" i="3"/>
  <c r="AC1157" i="3"/>
  <c r="AC1152" i="3"/>
  <c r="AC1150" i="3"/>
  <c r="AC1148" i="3"/>
  <c r="AC1146" i="3"/>
  <c r="AC1151" i="3"/>
  <c r="AC1147" i="3"/>
  <c r="AC1166" i="3"/>
  <c r="AC1149" i="3"/>
  <c r="AC1145" i="3"/>
  <c r="AG36" i="5"/>
  <c r="AG1177" i="3"/>
  <c r="AG1176" i="3"/>
  <c r="AG1175" i="3"/>
  <c r="AG1174" i="3"/>
  <c r="AG1173" i="3"/>
  <c r="AG1172" i="3"/>
  <c r="AG1171" i="3"/>
  <c r="AG1170" i="3"/>
  <c r="AG1169" i="3"/>
  <c r="AG1167" i="3"/>
  <c r="AG1166" i="3"/>
  <c r="AG1162" i="3"/>
  <c r="AG1163" i="3"/>
  <c r="AG1159" i="3"/>
  <c r="AG1168" i="3"/>
  <c r="AG1157" i="3"/>
  <c r="AG1161" i="3"/>
  <c r="AG1158" i="3"/>
  <c r="AG1151" i="3"/>
  <c r="AG1149" i="3"/>
  <c r="AG1147" i="3"/>
  <c r="AG1145" i="3"/>
  <c r="AG1150" i="3"/>
  <c r="AG1146" i="3"/>
  <c r="AG1148" i="3"/>
  <c r="AG1160" i="3"/>
  <c r="AG1152" i="3"/>
  <c r="AK36" i="5"/>
  <c r="AK1177" i="3"/>
  <c r="AK1176" i="3"/>
  <c r="AK1175" i="3"/>
  <c r="AK1174" i="3"/>
  <c r="AK1173" i="3"/>
  <c r="AK1172" i="3"/>
  <c r="AK1171" i="3"/>
  <c r="AK1170" i="3"/>
  <c r="AK1169" i="3"/>
  <c r="AK1168" i="3"/>
  <c r="AK1161" i="3"/>
  <c r="AK1166" i="3"/>
  <c r="AK1162" i="3"/>
  <c r="AK1158" i="3"/>
  <c r="AK1167" i="3"/>
  <c r="AK1163" i="3"/>
  <c r="AK1160" i="3"/>
  <c r="AK1157" i="3"/>
  <c r="AK1159" i="3"/>
  <c r="AK1152" i="3"/>
  <c r="AK1150" i="3"/>
  <c r="AK1148" i="3"/>
  <c r="AK1146" i="3"/>
  <c r="AK1149" i="3"/>
  <c r="AK1145" i="3"/>
  <c r="AK1147" i="3"/>
  <c r="AK1151" i="3"/>
  <c r="AO36" i="5"/>
  <c r="AO1177" i="3"/>
  <c r="AO1176" i="3"/>
  <c r="AO1175" i="3"/>
  <c r="AO1174" i="3"/>
  <c r="AO1173" i="3"/>
  <c r="AO1172" i="3"/>
  <c r="AO1171" i="3"/>
  <c r="AO1170" i="3"/>
  <c r="AO1169" i="3"/>
  <c r="AO1168" i="3"/>
  <c r="AO1167" i="3"/>
  <c r="AO1160" i="3"/>
  <c r="AO1161" i="3"/>
  <c r="AO1162" i="3"/>
  <c r="AO1159" i="3"/>
  <c r="AO1158" i="3"/>
  <c r="AO1166" i="3"/>
  <c r="AO1157" i="3"/>
  <c r="AO1163" i="3"/>
  <c r="AO1151" i="3"/>
  <c r="AO1149" i="3"/>
  <c r="AO1147" i="3"/>
  <c r="AO1145" i="3"/>
  <c r="AO1152" i="3"/>
  <c r="AO1148" i="3"/>
  <c r="AO1146" i="3"/>
  <c r="AO1150" i="3"/>
  <c r="AS36" i="5"/>
  <c r="AS1177" i="3"/>
  <c r="AS1176" i="3"/>
  <c r="AS1175" i="3"/>
  <c r="AS1174" i="3"/>
  <c r="AS1173" i="3"/>
  <c r="AS1172" i="3"/>
  <c r="AS1171" i="3"/>
  <c r="AS1170" i="3"/>
  <c r="AS1169" i="3"/>
  <c r="AS1168" i="3"/>
  <c r="AS1163" i="3"/>
  <c r="AS1159" i="3"/>
  <c r="AS1160" i="3"/>
  <c r="AS1161" i="3"/>
  <c r="AS1166" i="3"/>
  <c r="AS1158" i="3"/>
  <c r="AS1152" i="3"/>
  <c r="AS1150" i="3"/>
  <c r="AS1148" i="3"/>
  <c r="AS1146" i="3"/>
  <c r="AS1151" i="3"/>
  <c r="AS1147" i="3"/>
  <c r="AS1157" i="3"/>
  <c r="AS1145" i="3"/>
  <c r="AS1149" i="3"/>
  <c r="AS1167" i="3"/>
  <c r="AS1162" i="3"/>
  <c r="AW36" i="5"/>
  <c r="AW1177" i="3"/>
  <c r="AW1176" i="3"/>
  <c r="AW1175" i="3"/>
  <c r="AW1174" i="3"/>
  <c r="AW1173" i="3"/>
  <c r="AW1172" i="3"/>
  <c r="AW1171" i="3"/>
  <c r="AW1170" i="3"/>
  <c r="AW1169" i="3"/>
  <c r="AW1168" i="3"/>
  <c r="AW1167" i="3"/>
  <c r="AW1166" i="3"/>
  <c r="AW1162" i="3"/>
  <c r="AW1163" i="3"/>
  <c r="AW1159" i="3"/>
  <c r="AW1160" i="3"/>
  <c r="AW1158" i="3"/>
  <c r="AW1157" i="3"/>
  <c r="AW1161" i="3"/>
  <c r="AW1151" i="3"/>
  <c r="AW1149" i="3"/>
  <c r="AW1147" i="3"/>
  <c r="AW1145" i="3"/>
  <c r="AW1150" i="3"/>
  <c r="AW1146" i="3"/>
  <c r="AW1152" i="3"/>
  <c r="AW1148" i="3"/>
  <c r="O1173" i="3"/>
  <c r="O1169" i="3"/>
  <c r="O1168" i="3"/>
  <c r="O1177" i="3"/>
  <c r="O1174" i="3"/>
  <c r="O1170" i="3"/>
  <c r="O1171" i="3"/>
  <c r="O1160" i="3"/>
  <c r="O1176" i="3"/>
  <c r="O1161" i="3"/>
  <c r="O1175" i="3"/>
  <c r="O1166" i="3"/>
  <c r="O1159" i="3"/>
  <c r="O1158" i="3"/>
  <c r="O1172" i="3"/>
  <c r="O1163" i="3"/>
  <c r="O1156" i="3"/>
  <c r="O1155" i="3"/>
  <c r="O1154" i="3"/>
  <c r="O1153" i="3"/>
  <c r="O1152" i="3"/>
  <c r="O1151" i="3"/>
  <c r="O1150" i="3"/>
  <c r="O1149" i="3"/>
  <c r="O1148" i="3"/>
  <c r="O1147" i="3"/>
  <c r="O1146" i="3"/>
  <c r="O1145" i="3"/>
  <c r="O1162" i="3"/>
  <c r="O1157" i="3"/>
  <c r="O1167" i="3"/>
  <c r="W36" i="5"/>
  <c r="W1171" i="3"/>
  <c r="W1168" i="3"/>
  <c r="W1167" i="3"/>
  <c r="W1177" i="3"/>
  <c r="W1175" i="3"/>
  <c r="W1172" i="3"/>
  <c r="W1169" i="3"/>
  <c r="W1166" i="3"/>
  <c r="W1162" i="3"/>
  <c r="W1174" i="3"/>
  <c r="W1163" i="3"/>
  <c r="W1159" i="3"/>
  <c r="W1173" i="3"/>
  <c r="W1158" i="3"/>
  <c r="W1157" i="3"/>
  <c r="W1170" i="3"/>
  <c r="W1161" i="3"/>
  <c r="W1152" i="3"/>
  <c r="W1151" i="3"/>
  <c r="W1150" i="3"/>
  <c r="W1149" i="3"/>
  <c r="W1148" i="3"/>
  <c r="W1147" i="3"/>
  <c r="W1146" i="3"/>
  <c r="W1145" i="3"/>
  <c r="W1160" i="3"/>
  <c r="W1176" i="3"/>
  <c r="AA36" i="5"/>
  <c r="AA1174" i="3"/>
  <c r="AA1170" i="3"/>
  <c r="AA1168" i="3"/>
  <c r="AA1167" i="3"/>
  <c r="AA1176" i="3"/>
  <c r="AA1171" i="3"/>
  <c r="AA1161" i="3"/>
  <c r="AA1177" i="3"/>
  <c r="AA1173" i="3"/>
  <c r="AA1166" i="3"/>
  <c r="AA1162" i="3"/>
  <c r="AA1158" i="3"/>
  <c r="AA1163" i="3"/>
  <c r="AA1160" i="3"/>
  <c r="AA1159" i="3"/>
  <c r="AA1157" i="3"/>
  <c r="AA1152" i="3"/>
  <c r="AA1151" i="3"/>
  <c r="AA1150" i="3"/>
  <c r="AA1149" i="3"/>
  <c r="AA1148" i="3"/>
  <c r="AA1147" i="3"/>
  <c r="AA1146" i="3"/>
  <c r="AA1145" i="3"/>
  <c r="AA1175" i="3"/>
  <c r="AA1169" i="3"/>
  <c r="AA1172" i="3"/>
  <c r="AI36" i="5"/>
  <c r="AI1172" i="3"/>
  <c r="AI1168" i="3"/>
  <c r="AI1167" i="3"/>
  <c r="AI1176" i="3"/>
  <c r="AI1173" i="3"/>
  <c r="AI1169" i="3"/>
  <c r="AI1174" i="3"/>
  <c r="AI1163" i="3"/>
  <c r="AI1175" i="3"/>
  <c r="AI1171" i="3"/>
  <c r="AI1160" i="3"/>
  <c r="AI1161" i="3"/>
  <c r="AI1177" i="3"/>
  <c r="AI1166" i="3"/>
  <c r="AI1159" i="3"/>
  <c r="AI1158" i="3"/>
  <c r="AI1152" i="3"/>
  <c r="AI1151" i="3"/>
  <c r="AI1150" i="3"/>
  <c r="AI1149" i="3"/>
  <c r="AI1148" i="3"/>
  <c r="AI1147" i="3"/>
  <c r="AI1146" i="3"/>
  <c r="AI1145" i="3"/>
  <c r="AI1170" i="3"/>
  <c r="AI1162" i="3"/>
  <c r="AI1157" i="3"/>
  <c r="AQ36" i="5"/>
  <c r="AQ1174" i="3"/>
  <c r="AQ1170" i="3"/>
  <c r="AQ1167" i="3"/>
  <c r="AQ1176" i="3"/>
  <c r="AQ1171" i="3"/>
  <c r="AQ1172" i="3"/>
  <c r="AQ1161" i="3"/>
  <c r="AQ1177" i="3"/>
  <c r="AQ1169" i="3"/>
  <c r="AQ1166" i="3"/>
  <c r="AQ1162" i="3"/>
  <c r="AQ1158" i="3"/>
  <c r="AQ1159" i="3"/>
  <c r="AQ1175" i="3"/>
  <c r="AQ1173" i="3"/>
  <c r="AQ1157" i="3"/>
  <c r="AQ1152" i="3"/>
  <c r="AQ1151" i="3"/>
  <c r="AQ1150" i="3"/>
  <c r="AQ1149" i="3"/>
  <c r="AQ1148" i="3"/>
  <c r="AQ1147" i="3"/>
  <c r="AQ1146" i="3"/>
  <c r="AQ1145" i="3"/>
  <c r="AQ1163" i="3"/>
  <c r="AQ1160" i="3"/>
  <c r="AQ1168" i="3"/>
  <c r="P36" i="5"/>
  <c r="P1177" i="3"/>
  <c r="P1174" i="3"/>
  <c r="P1170" i="3"/>
  <c r="P1175" i="3"/>
  <c r="P1171" i="3"/>
  <c r="P1176" i="3"/>
  <c r="P1161" i="3"/>
  <c r="P1173" i="3"/>
  <c r="P1166" i="3"/>
  <c r="P1162" i="3"/>
  <c r="P1158" i="3"/>
  <c r="P1172" i="3"/>
  <c r="P1163" i="3"/>
  <c r="P1156" i="3"/>
  <c r="P1155" i="3"/>
  <c r="P1154" i="3"/>
  <c r="P1153" i="3"/>
  <c r="P1152" i="3"/>
  <c r="P1151" i="3"/>
  <c r="P1150" i="3"/>
  <c r="P1149" i="3"/>
  <c r="P1148" i="3"/>
  <c r="P1147" i="3"/>
  <c r="P1146" i="3"/>
  <c r="P1145" i="3"/>
  <c r="P1169" i="3"/>
  <c r="P1168" i="3"/>
  <c r="P1160" i="3"/>
  <c r="P1157" i="3"/>
  <c r="P1167" i="3"/>
  <c r="P1159" i="3"/>
  <c r="X36" i="5"/>
  <c r="X1177" i="3"/>
  <c r="X1175" i="3"/>
  <c r="X1172" i="3"/>
  <c r="X1173" i="3"/>
  <c r="X1169" i="3"/>
  <c r="X1174" i="3"/>
  <c r="X1163" i="3"/>
  <c r="X1171" i="3"/>
  <c r="X1167" i="3"/>
  <c r="X1160" i="3"/>
  <c r="X1170" i="3"/>
  <c r="X1161" i="3"/>
  <c r="X1152" i="3"/>
  <c r="X1151" i="3"/>
  <c r="X1150" i="3"/>
  <c r="X1149" i="3"/>
  <c r="X1148" i="3"/>
  <c r="X1147" i="3"/>
  <c r="X1146" i="3"/>
  <c r="X1145" i="3"/>
  <c r="X1166" i="3"/>
  <c r="X1168" i="3"/>
  <c r="X1159" i="3"/>
  <c r="X1176" i="3"/>
  <c r="X1162" i="3"/>
  <c r="X1158" i="3"/>
  <c r="X1157" i="3"/>
  <c r="AF36" i="5"/>
  <c r="AF1177" i="3"/>
  <c r="AF1175" i="3"/>
  <c r="AF1174" i="3"/>
  <c r="AF1170" i="3"/>
  <c r="AF1171" i="3"/>
  <c r="AF1176" i="3"/>
  <c r="AF1172" i="3"/>
  <c r="AF1161" i="3"/>
  <c r="AF1169" i="3"/>
  <c r="AF1167" i="3"/>
  <c r="AF1166" i="3"/>
  <c r="AF1162" i="3"/>
  <c r="AF1158" i="3"/>
  <c r="AF1152" i="3"/>
  <c r="AF1151" i="3"/>
  <c r="AF1150" i="3"/>
  <c r="AF1149" i="3"/>
  <c r="AF1148" i="3"/>
  <c r="AF1147" i="3"/>
  <c r="AF1146" i="3"/>
  <c r="AF1145" i="3"/>
  <c r="AF1168" i="3"/>
  <c r="AF1157" i="3"/>
  <c r="AF1163" i="3"/>
  <c r="AF1173" i="3"/>
  <c r="AF1159" i="3"/>
  <c r="AF1160" i="3"/>
  <c r="AJ36" i="5"/>
  <c r="AJ1176" i="3"/>
  <c r="AJ1173" i="3"/>
  <c r="AJ1169" i="3"/>
  <c r="AJ1174" i="3"/>
  <c r="AJ1170" i="3"/>
  <c r="AJ1175" i="3"/>
  <c r="AJ1171" i="3"/>
  <c r="AJ1160" i="3"/>
  <c r="AJ1168" i="3"/>
  <c r="AJ1161" i="3"/>
  <c r="AJ1177" i="3"/>
  <c r="AJ1166" i="3"/>
  <c r="AJ1159" i="3"/>
  <c r="AJ1158" i="3"/>
  <c r="AJ1152" i="3"/>
  <c r="AJ1151" i="3"/>
  <c r="AJ1150" i="3"/>
  <c r="AJ1149" i="3"/>
  <c r="AJ1148" i="3"/>
  <c r="AJ1147" i="3"/>
  <c r="AJ1146" i="3"/>
  <c r="AJ1145" i="3"/>
  <c r="AJ1172" i="3"/>
  <c r="AJ1167" i="3"/>
  <c r="AJ1163" i="3"/>
  <c r="AJ1162" i="3"/>
  <c r="AJ1157" i="3"/>
  <c r="AV36" i="5"/>
  <c r="AV1177" i="3"/>
  <c r="AV1175" i="3"/>
  <c r="AV1174" i="3"/>
  <c r="AV1170" i="3"/>
  <c r="AV1171" i="3"/>
  <c r="AV1176" i="3"/>
  <c r="AV1168" i="3"/>
  <c r="AV1161" i="3"/>
  <c r="AV1173" i="3"/>
  <c r="AV1167" i="3"/>
  <c r="AV1166" i="3"/>
  <c r="AV1162" i="3"/>
  <c r="AV1158" i="3"/>
  <c r="AV1163" i="3"/>
  <c r="AV1152" i="3"/>
  <c r="AV1151" i="3"/>
  <c r="AV1150" i="3"/>
  <c r="AV1149" i="3"/>
  <c r="AV1148" i="3"/>
  <c r="AV1147" i="3"/>
  <c r="AV1146" i="3"/>
  <c r="AV1145" i="3"/>
  <c r="AV1160" i="3"/>
  <c r="AV1172" i="3"/>
  <c r="AV1159" i="3"/>
  <c r="AV1157" i="3"/>
  <c r="AV1169" i="3"/>
  <c r="R36" i="5"/>
  <c r="R1177" i="3"/>
  <c r="R1176" i="3"/>
  <c r="R1175" i="3"/>
  <c r="R1171" i="3"/>
  <c r="R1172" i="3"/>
  <c r="R1168" i="3"/>
  <c r="R1167" i="3"/>
  <c r="R1166" i="3"/>
  <c r="R1163" i="3"/>
  <c r="R1162" i="3"/>
  <c r="R1161" i="3"/>
  <c r="R1160" i="3"/>
  <c r="R1159" i="3"/>
  <c r="R1158" i="3"/>
  <c r="R1157" i="3"/>
  <c r="R1173" i="3"/>
  <c r="R1170" i="3"/>
  <c r="R1169" i="3"/>
  <c r="R1151" i="3"/>
  <c r="R1149" i="3"/>
  <c r="R1147" i="3"/>
  <c r="R1145" i="3"/>
  <c r="R1174" i="3"/>
  <c r="R1150" i="3"/>
  <c r="R1146" i="3"/>
  <c r="R1152" i="3"/>
  <c r="R1148" i="3"/>
  <c r="V36" i="5"/>
  <c r="V1177" i="3"/>
  <c r="V1176" i="3"/>
  <c r="V1175" i="3"/>
  <c r="V1174" i="3"/>
  <c r="V1170" i="3"/>
  <c r="V1171" i="3"/>
  <c r="V1168" i="3"/>
  <c r="V1167" i="3"/>
  <c r="V1166" i="3"/>
  <c r="V1163" i="3"/>
  <c r="V1162" i="3"/>
  <c r="V1161" i="3"/>
  <c r="V1160" i="3"/>
  <c r="V1159" i="3"/>
  <c r="V1158" i="3"/>
  <c r="V1157" i="3"/>
  <c r="V1172" i="3"/>
  <c r="V1169" i="3"/>
  <c r="V1173" i="3"/>
  <c r="V1152" i="3"/>
  <c r="V1150" i="3"/>
  <c r="V1148" i="3"/>
  <c r="V1146" i="3"/>
  <c r="V1149" i="3"/>
  <c r="V1145" i="3"/>
  <c r="V1151" i="3"/>
  <c r="V1147" i="3"/>
  <c r="Z36" i="5"/>
  <c r="Z1177" i="3"/>
  <c r="Z1176" i="3"/>
  <c r="Z1175" i="3"/>
  <c r="Z1173" i="3"/>
  <c r="Z1169" i="3"/>
  <c r="Z1174" i="3"/>
  <c r="Z1170" i="3"/>
  <c r="Z1168" i="3"/>
  <c r="Z1167" i="3"/>
  <c r="Z1166" i="3"/>
  <c r="Z1163" i="3"/>
  <c r="Z1162" i="3"/>
  <c r="Z1161" i="3"/>
  <c r="Z1160" i="3"/>
  <c r="Z1159" i="3"/>
  <c r="Z1158" i="3"/>
  <c r="Z1157" i="3"/>
  <c r="Z1171" i="3"/>
  <c r="Z1151" i="3"/>
  <c r="Z1149" i="3"/>
  <c r="Z1147" i="3"/>
  <c r="Z1145" i="3"/>
  <c r="Z1152" i="3"/>
  <c r="Z1148" i="3"/>
  <c r="Z1150" i="3"/>
  <c r="Z1146" i="3"/>
  <c r="Z1172" i="3"/>
  <c r="AD36" i="5"/>
  <c r="AD1177" i="3"/>
  <c r="AD1176" i="3"/>
  <c r="AD1175" i="3"/>
  <c r="AD1172" i="3"/>
  <c r="AD1173" i="3"/>
  <c r="AD1169" i="3"/>
  <c r="AD1168" i="3"/>
  <c r="AD1167" i="3"/>
  <c r="AD1166" i="3"/>
  <c r="AD1163" i="3"/>
  <c r="AD1162" i="3"/>
  <c r="AD1161" i="3"/>
  <c r="AD1160" i="3"/>
  <c r="AD1159" i="3"/>
  <c r="AD1158" i="3"/>
  <c r="AD1157" i="3"/>
  <c r="AD1170" i="3"/>
  <c r="AD1174" i="3"/>
  <c r="AD1171" i="3"/>
  <c r="AD1152" i="3"/>
  <c r="AD1150" i="3"/>
  <c r="AD1148" i="3"/>
  <c r="AD1146" i="3"/>
  <c r="AD1151" i="3"/>
  <c r="AD1147" i="3"/>
  <c r="AD1149" i="3"/>
  <c r="AD1145" i="3"/>
  <c r="AH36" i="5"/>
  <c r="AH1177" i="3"/>
  <c r="AH1176" i="3"/>
  <c r="AH1175" i="3"/>
  <c r="AH1171" i="3"/>
  <c r="AH1172" i="3"/>
  <c r="AH1168" i="3"/>
  <c r="AH1167" i="3"/>
  <c r="AH1166" i="3"/>
  <c r="AH1163" i="3"/>
  <c r="AH1162" i="3"/>
  <c r="AH1161" i="3"/>
  <c r="AH1160" i="3"/>
  <c r="AH1159" i="3"/>
  <c r="AH1158" i="3"/>
  <c r="AH1157" i="3"/>
  <c r="AH1169" i="3"/>
  <c r="AH1174" i="3"/>
  <c r="AH1151" i="3"/>
  <c r="AH1149" i="3"/>
  <c r="AH1147" i="3"/>
  <c r="AH1145" i="3"/>
  <c r="AH1170" i="3"/>
  <c r="AH1173" i="3"/>
  <c r="AH1150" i="3"/>
  <c r="AH1146" i="3"/>
  <c r="AH1148" i="3"/>
  <c r="AH1152" i="3"/>
  <c r="AL36" i="5"/>
  <c r="AL1177" i="3"/>
  <c r="AL1176" i="3"/>
  <c r="AL1175" i="3"/>
  <c r="AL1174" i="3"/>
  <c r="AL1170" i="3"/>
  <c r="AL1171" i="3"/>
  <c r="AL1167" i="3"/>
  <c r="AL1166" i="3"/>
  <c r="AL1163" i="3"/>
  <c r="AL1162" i="3"/>
  <c r="AL1161" i="3"/>
  <c r="AL1160" i="3"/>
  <c r="AL1159" i="3"/>
  <c r="AL1158" i="3"/>
  <c r="AL1157" i="3"/>
  <c r="AL1168" i="3"/>
  <c r="AL1173" i="3"/>
  <c r="AL1172" i="3"/>
  <c r="AL1169" i="3"/>
  <c r="AL1152" i="3"/>
  <c r="AL1150" i="3"/>
  <c r="AL1148" i="3"/>
  <c r="AL1146" i="3"/>
  <c r="AL1149" i="3"/>
  <c r="AL1145" i="3"/>
  <c r="AL1147" i="3"/>
  <c r="AL1151" i="3"/>
  <c r="AP36" i="5"/>
  <c r="AP1177" i="3"/>
  <c r="AP1176" i="3"/>
  <c r="AP1175" i="3"/>
  <c r="AP1173" i="3"/>
  <c r="AP1169" i="3"/>
  <c r="AP1174" i="3"/>
  <c r="AP1170" i="3"/>
  <c r="AP1167" i="3"/>
  <c r="AP1166" i="3"/>
  <c r="AP1163" i="3"/>
  <c r="AP1162" i="3"/>
  <c r="AP1161" i="3"/>
  <c r="AP1160" i="3"/>
  <c r="AP1159" i="3"/>
  <c r="AP1158" i="3"/>
  <c r="AP1157" i="3"/>
  <c r="AP1172" i="3"/>
  <c r="AP1171" i="3"/>
  <c r="AP1151" i="3"/>
  <c r="AP1149" i="3"/>
  <c r="AP1147" i="3"/>
  <c r="AP1145" i="3"/>
  <c r="AP1152" i="3"/>
  <c r="AP1148" i="3"/>
  <c r="AP1168" i="3"/>
  <c r="AP1146" i="3"/>
  <c r="AP1150" i="3"/>
  <c r="AT36" i="5"/>
  <c r="AT1177" i="3"/>
  <c r="AT1176" i="3"/>
  <c r="AT1175" i="3"/>
  <c r="AT1172" i="3"/>
  <c r="AT1168" i="3"/>
  <c r="AT1173" i="3"/>
  <c r="AT1169" i="3"/>
  <c r="AT1167" i="3"/>
  <c r="AT1166" i="3"/>
  <c r="AT1163" i="3"/>
  <c r="AT1162" i="3"/>
  <c r="AT1161" i="3"/>
  <c r="AT1160" i="3"/>
  <c r="AT1159" i="3"/>
  <c r="AT1158" i="3"/>
  <c r="AT1157" i="3"/>
  <c r="AT1174" i="3"/>
  <c r="AT1171" i="3"/>
  <c r="AT1170" i="3"/>
  <c r="AT1152" i="3"/>
  <c r="AT1150" i="3"/>
  <c r="AT1148" i="3"/>
  <c r="AT1146" i="3"/>
  <c r="AT1151" i="3"/>
  <c r="AT1147" i="3"/>
  <c r="AT1145" i="3"/>
  <c r="AT1149" i="3"/>
  <c r="AX36" i="5"/>
  <c r="AX1177" i="3"/>
  <c r="AX1176" i="3"/>
  <c r="AX1175" i="3"/>
  <c r="AX1171" i="3"/>
  <c r="AX1172" i="3"/>
  <c r="AX1168" i="3"/>
  <c r="AX1167" i="3"/>
  <c r="AX1166" i="3"/>
  <c r="AX1163" i="3"/>
  <c r="AX1162" i="3"/>
  <c r="AX1161" i="3"/>
  <c r="AX1160" i="3"/>
  <c r="AX1159" i="3"/>
  <c r="AX1158" i="3"/>
  <c r="AX1157" i="3"/>
  <c r="AX1173" i="3"/>
  <c r="AX1170" i="3"/>
  <c r="AX1174" i="3"/>
  <c r="AX1151" i="3"/>
  <c r="AX1149" i="3"/>
  <c r="AX1147" i="3"/>
  <c r="AX1145" i="3"/>
  <c r="AX1150" i="3"/>
  <c r="AX1146" i="3"/>
  <c r="AX1169" i="3"/>
  <c r="AX1152" i="3"/>
  <c r="AX1148" i="3"/>
  <c r="P28" i="5"/>
  <c r="T28" i="5"/>
  <c r="X28" i="5"/>
  <c r="AB28" i="5"/>
  <c r="AF28" i="5"/>
  <c r="AJ28" i="5"/>
  <c r="AN28" i="5"/>
  <c r="AR28" i="5"/>
  <c r="AV28" i="5"/>
  <c r="Q28" i="5"/>
  <c r="U28" i="5"/>
  <c r="Y28" i="5"/>
  <c r="AC28" i="5"/>
  <c r="AG28" i="5"/>
  <c r="AK28" i="5"/>
  <c r="AO28" i="5"/>
  <c r="AS28" i="5"/>
  <c r="AW28" i="5"/>
  <c r="V28" i="5"/>
  <c r="Z28" i="5"/>
  <c r="AD28" i="5"/>
  <c r="AH28" i="5"/>
  <c r="AL28" i="5"/>
  <c r="AP28" i="5"/>
  <c r="AT28" i="5"/>
  <c r="AX28" i="5"/>
  <c r="O28" i="5"/>
  <c r="S28" i="5"/>
  <c r="W28" i="5"/>
  <c r="AA28" i="5"/>
  <c r="AE28" i="5"/>
  <c r="AI28" i="5"/>
  <c r="AM28" i="5"/>
  <c r="AQ28" i="5"/>
  <c r="AU28" i="5"/>
  <c r="O36" i="5"/>
  <c r="O20" i="5"/>
  <c r="O890" i="3"/>
  <c r="O815" i="3"/>
  <c r="O807" i="3"/>
  <c r="O799" i="3"/>
  <c r="O767" i="3"/>
  <c r="O759" i="3"/>
  <c r="O755" i="3"/>
  <c r="O747" i="3"/>
  <c r="O743" i="3"/>
  <c r="O739" i="3"/>
  <c r="O731" i="3"/>
  <c r="O727" i="3"/>
  <c r="O723" i="3"/>
  <c r="O715" i="3"/>
  <c r="O711" i="3"/>
  <c r="O703" i="3"/>
  <c r="O699" i="3"/>
  <c r="O691" i="3"/>
  <c r="O687" i="3"/>
  <c r="O671" i="3"/>
  <c r="O663" i="3"/>
  <c r="W20" i="5"/>
  <c r="W882" i="3"/>
  <c r="W881" i="3"/>
  <c r="W878" i="3"/>
  <c r="W872" i="3"/>
  <c r="W836" i="3"/>
  <c r="W839" i="3"/>
  <c r="W838" i="3"/>
  <c r="W768" i="3"/>
  <c r="W767" i="3"/>
  <c r="W766" i="3"/>
  <c r="W765" i="3"/>
  <c r="W760" i="3"/>
  <c r="W759" i="3"/>
  <c r="W758" i="3"/>
  <c r="W757" i="3"/>
  <c r="W750" i="3"/>
  <c r="W749" i="3"/>
  <c r="W746" i="3"/>
  <c r="W744" i="3"/>
  <c r="W743" i="3"/>
  <c r="W837" i="3"/>
  <c r="W734" i="3"/>
  <c r="W733" i="3"/>
  <c r="W730" i="3"/>
  <c r="W728" i="3"/>
  <c r="W727" i="3"/>
  <c r="W726" i="3"/>
  <c r="W725" i="3"/>
  <c r="W722" i="3"/>
  <c r="W714" i="3"/>
  <c r="W712" i="3"/>
  <c r="W711" i="3"/>
  <c r="W710" i="3"/>
  <c r="W709" i="3"/>
  <c r="W704" i="3"/>
  <c r="W703" i="3"/>
  <c r="W702" i="3"/>
  <c r="W701" i="3"/>
  <c r="W698" i="3"/>
  <c r="W690" i="3"/>
  <c r="W688" i="3"/>
  <c r="W687" i="3"/>
  <c r="W674" i="3"/>
  <c r="W673" i="3"/>
  <c r="W672" i="3"/>
  <c r="W671" i="3"/>
  <c r="W666" i="3"/>
  <c r="W665" i="3"/>
  <c r="W664" i="3"/>
  <c r="W663" i="3"/>
  <c r="W662" i="3"/>
  <c r="W661" i="3"/>
  <c r="W660" i="3"/>
  <c r="W659" i="3"/>
  <c r="W654" i="3"/>
  <c r="W653" i="3"/>
  <c r="W652" i="3"/>
  <c r="W651" i="3"/>
  <c r="W650" i="3"/>
  <c r="W649" i="3"/>
  <c r="W633" i="3"/>
  <c r="W642" i="3"/>
  <c r="AE20" i="5"/>
  <c r="AE840" i="3"/>
  <c r="AE796" i="3"/>
  <c r="AE794" i="3"/>
  <c r="AE792" i="3"/>
  <c r="AE790" i="3"/>
  <c r="AE788" i="3"/>
  <c r="AE786" i="3"/>
  <c r="AE784" i="3"/>
  <c r="AE782" i="3"/>
  <c r="AE780" i="3"/>
  <c r="AE778" i="3"/>
  <c r="AE776" i="3"/>
  <c r="AE774" i="3"/>
  <c r="AE772" i="3"/>
  <c r="AE769" i="3"/>
  <c r="AE765" i="3"/>
  <c r="AE761" i="3"/>
  <c r="AE757" i="3"/>
  <c r="AE753" i="3"/>
  <c r="AE749" i="3"/>
  <c r="AE745" i="3"/>
  <c r="AE741" i="3"/>
  <c r="AE737" i="3"/>
  <c r="AE733" i="3"/>
  <c r="AE729" i="3"/>
  <c r="AE725" i="3"/>
  <c r="AE721" i="3"/>
  <c r="AE717" i="3"/>
  <c r="AE713" i="3"/>
  <c r="AE709" i="3"/>
  <c r="AE705" i="3"/>
  <c r="AE701" i="3"/>
  <c r="AE697" i="3"/>
  <c r="AE693" i="3"/>
  <c r="AE689" i="3"/>
  <c r="AE638" i="3"/>
  <c r="AI20" i="5"/>
  <c r="AI839" i="3"/>
  <c r="AI736" i="3"/>
  <c r="AI732" i="3"/>
  <c r="AI728" i="3"/>
  <c r="AI724" i="3"/>
  <c r="AI720" i="3"/>
  <c r="AI716" i="3"/>
  <c r="AI712" i="3"/>
  <c r="AI708" i="3"/>
  <c r="AI704" i="3"/>
  <c r="AI700" i="3"/>
  <c r="AI696" i="3"/>
  <c r="AI692" i="3"/>
  <c r="AI688" i="3"/>
  <c r="AI644" i="3"/>
  <c r="AI633" i="3"/>
  <c r="AQ20" i="5"/>
  <c r="AQ897" i="3"/>
  <c r="AQ892" i="3"/>
  <c r="AQ869" i="3"/>
  <c r="AQ868" i="3"/>
  <c r="AQ867" i="3"/>
  <c r="AQ866" i="3"/>
  <c r="AQ865" i="3"/>
  <c r="AQ864" i="3"/>
  <c r="AQ863" i="3"/>
  <c r="AQ862" i="3"/>
  <c r="AQ861" i="3"/>
  <c r="AQ860" i="3"/>
  <c r="AQ859" i="3"/>
  <c r="AQ858" i="3"/>
  <c r="AQ857" i="3"/>
  <c r="AQ856" i="3"/>
  <c r="AQ855" i="3"/>
  <c r="AQ854" i="3"/>
  <c r="AQ853" i="3"/>
  <c r="AQ852" i="3"/>
  <c r="AQ851" i="3"/>
  <c r="AQ850" i="3"/>
  <c r="AQ849" i="3"/>
  <c r="AQ848" i="3"/>
  <c r="AQ847" i="3"/>
  <c r="AQ846" i="3"/>
  <c r="AQ845" i="3"/>
  <c r="AQ839" i="3"/>
  <c r="AQ837" i="3"/>
  <c r="AQ770" i="3"/>
  <c r="AQ739" i="3"/>
  <c r="AQ681" i="3"/>
  <c r="AQ674" i="3"/>
  <c r="AQ666" i="3"/>
  <c r="AQ658" i="3"/>
  <c r="AQ650" i="3"/>
  <c r="AQ635" i="3"/>
  <c r="P20" i="5"/>
  <c r="P894" i="3"/>
  <c r="P892" i="3"/>
  <c r="P890" i="3"/>
  <c r="P886" i="3"/>
  <c r="P852" i="3"/>
  <c r="P848" i="3"/>
  <c r="P849" i="3"/>
  <c r="P818" i="3"/>
  <c r="P802" i="3"/>
  <c r="P796" i="3"/>
  <c r="P788" i="3"/>
  <c r="P780" i="3"/>
  <c r="P776" i="3"/>
  <c r="P809" i="3"/>
  <c r="P800" i="3"/>
  <c r="P820" i="3"/>
  <c r="P816" i="3"/>
  <c r="P745" i="3"/>
  <c r="P815" i="3"/>
  <c r="P732" i="3"/>
  <c r="P728" i="3"/>
  <c r="P724" i="3"/>
  <c r="P716" i="3"/>
  <c r="P712" i="3"/>
  <c r="P704" i="3"/>
  <c r="P700" i="3"/>
  <c r="P692" i="3"/>
  <c r="P687" i="3"/>
  <c r="P680" i="3"/>
  <c r="P671" i="3"/>
  <c r="P665" i="3"/>
  <c r="P663" i="3"/>
  <c r="P661" i="3"/>
  <c r="P653" i="3"/>
  <c r="P649" i="3"/>
  <c r="P688" i="3"/>
  <c r="P634" i="3"/>
  <c r="P644" i="3"/>
  <c r="P628" i="3"/>
  <c r="AB20" i="5"/>
  <c r="AB896" i="3"/>
  <c r="AB888" i="3"/>
  <c r="AB881" i="3"/>
  <c r="AB879" i="3"/>
  <c r="AB887" i="3"/>
  <c r="AB861" i="3"/>
  <c r="AB853" i="3"/>
  <c r="AB872" i="3"/>
  <c r="AB849" i="3"/>
  <c r="AB842" i="3"/>
  <c r="AB786" i="3"/>
  <c r="AB778" i="3"/>
  <c r="AB818" i="3"/>
  <c r="AB802" i="3"/>
  <c r="AB799" i="3"/>
  <c r="AB821" i="3"/>
  <c r="AB817" i="3"/>
  <c r="AB801" i="3"/>
  <c r="AB808" i="3"/>
  <c r="AB765" i="3"/>
  <c r="AB757" i="3"/>
  <c r="AB749" i="3"/>
  <c r="AB745" i="3"/>
  <c r="AB741" i="3"/>
  <c r="AB733" i="3"/>
  <c r="AB729" i="3"/>
  <c r="AB725" i="3"/>
  <c r="AB721" i="3"/>
  <c r="AB713" i="3"/>
  <c r="AB709" i="3"/>
  <c r="AB701" i="3"/>
  <c r="AB697" i="3"/>
  <c r="AB689" i="3"/>
  <c r="AB673" i="3"/>
  <c r="AB665" i="3"/>
  <c r="AB661" i="3"/>
  <c r="AB653" i="3"/>
  <c r="AB649" i="3"/>
  <c r="AB630" i="3"/>
  <c r="AB633" i="3"/>
  <c r="AB634" i="3"/>
  <c r="AR20" i="5"/>
  <c r="AR895" i="3"/>
  <c r="AR891" i="3"/>
  <c r="AR877" i="3"/>
  <c r="AR863" i="3"/>
  <c r="AR861" i="3"/>
  <c r="AR857" i="3"/>
  <c r="AR853" i="3"/>
  <c r="AR849" i="3"/>
  <c r="AR850" i="3"/>
  <c r="AR841" i="3"/>
  <c r="AR837" i="3"/>
  <c r="AR829" i="3"/>
  <c r="AR827" i="3"/>
  <c r="AR807" i="3"/>
  <c r="AR794" i="3"/>
  <c r="AR792" i="3"/>
  <c r="AR790" i="3"/>
  <c r="AR786" i="3"/>
  <c r="AR784" i="3"/>
  <c r="AR782" i="3"/>
  <c r="AR778" i="3"/>
  <c r="AR776" i="3"/>
  <c r="AR774" i="3"/>
  <c r="AR817" i="3"/>
  <c r="AR809" i="3"/>
  <c r="AR738" i="3"/>
  <c r="AR737" i="3"/>
  <c r="AR736" i="3"/>
  <c r="AR733" i="3"/>
  <c r="AR731" i="3"/>
  <c r="AR730" i="3"/>
  <c r="AR729" i="3"/>
  <c r="AR728" i="3"/>
  <c r="AR725" i="3"/>
  <c r="AR723" i="3"/>
  <c r="AR722" i="3"/>
  <c r="AR721" i="3"/>
  <c r="AR720" i="3"/>
  <c r="AR717" i="3"/>
  <c r="AR715" i="3"/>
  <c r="AR714" i="3"/>
  <c r="AR713" i="3"/>
  <c r="AR712" i="3"/>
  <c r="AR709" i="3"/>
  <c r="AR707" i="3"/>
  <c r="AR706" i="3"/>
  <c r="AR705" i="3"/>
  <c r="AR704" i="3"/>
  <c r="AR701" i="3"/>
  <c r="AR699" i="3"/>
  <c r="AR698" i="3"/>
  <c r="AR697" i="3"/>
  <c r="AR696" i="3"/>
  <c r="AR693" i="3"/>
  <c r="AR691" i="3"/>
  <c r="AR690" i="3"/>
  <c r="AR689" i="3"/>
  <c r="AR688" i="3"/>
  <c r="AR673" i="3"/>
  <c r="AR669" i="3"/>
  <c r="AR665" i="3"/>
  <c r="AR661" i="3"/>
  <c r="AR657" i="3"/>
  <c r="AR653" i="3"/>
  <c r="AR649" i="3"/>
  <c r="AR639" i="3"/>
  <c r="AR641" i="3"/>
  <c r="AR629" i="3"/>
  <c r="T20" i="5"/>
  <c r="T896" i="3"/>
  <c r="T894" i="3"/>
  <c r="T890" i="3"/>
  <c r="T888" i="3"/>
  <c r="T881" i="3"/>
  <c r="T879" i="3"/>
  <c r="T887" i="3"/>
  <c r="T851" i="3"/>
  <c r="T849" i="3"/>
  <c r="T839" i="3"/>
  <c r="T835" i="3"/>
  <c r="T821" i="3"/>
  <c r="T796" i="3"/>
  <c r="T788" i="3"/>
  <c r="T786" i="3"/>
  <c r="T780" i="3"/>
  <c r="T778" i="3"/>
  <c r="T776" i="3"/>
  <c r="T828" i="3"/>
  <c r="T827" i="3"/>
  <c r="T815" i="3"/>
  <c r="T799" i="3"/>
  <c r="T739" i="3"/>
  <c r="T733" i="3"/>
  <c r="T731" i="3"/>
  <c r="T729" i="3"/>
  <c r="T727" i="3"/>
  <c r="T725" i="3"/>
  <c r="T723" i="3"/>
  <c r="T721" i="3"/>
  <c r="T715" i="3"/>
  <c r="T713" i="3"/>
  <c r="T711" i="3"/>
  <c r="T709" i="3"/>
  <c r="T703" i="3"/>
  <c r="T701" i="3"/>
  <c r="T699" i="3"/>
  <c r="T697" i="3"/>
  <c r="T691" i="3"/>
  <c r="T689" i="3"/>
  <c r="T679" i="3"/>
  <c r="T671" i="3"/>
  <c r="T663" i="3"/>
  <c r="T659" i="3"/>
  <c r="T651" i="3"/>
  <c r="T680" i="3"/>
  <c r="T687" i="3"/>
  <c r="T681" i="3"/>
  <c r="T628" i="3"/>
  <c r="T635" i="3"/>
  <c r="AF20" i="5"/>
  <c r="AF894" i="3"/>
  <c r="AF892" i="3"/>
  <c r="AF890" i="3"/>
  <c r="AF848" i="3"/>
  <c r="AF846" i="3"/>
  <c r="AF844" i="3"/>
  <c r="AF840" i="3"/>
  <c r="AF838" i="3"/>
  <c r="AF836" i="3"/>
  <c r="AF818" i="3"/>
  <c r="AF828" i="3"/>
  <c r="AF816" i="3"/>
  <c r="AF808" i="3"/>
  <c r="AF768" i="3"/>
  <c r="AF764" i="3"/>
  <c r="AF760" i="3"/>
  <c r="AF756" i="3"/>
  <c r="AF752" i="3"/>
  <c r="AF748" i="3"/>
  <c r="AF744" i="3"/>
  <c r="AF740" i="3"/>
  <c r="AF738" i="3"/>
  <c r="AF736" i="3"/>
  <c r="AF732" i="3"/>
  <c r="AF730" i="3"/>
  <c r="AF728" i="3"/>
  <c r="AF724" i="3"/>
  <c r="AF722" i="3"/>
  <c r="AF720" i="3"/>
  <c r="AF716" i="3"/>
  <c r="AF714" i="3"/>
  <c r="AF712" i="3"/>
  <c r="AF708" i="3"/>
  <c r="AF706" i="3"/>
  <c r="AF704" i="3"/>
  <c r="AF700" i="3"/>
  <c r="AF698" i="3"/>
  <c r="AF696" i="3"/>
  <c r="AF692" i="3"/>
  <c r="AF690" i="3"/>
  <c r="AF680" i="3"/>
  <c r="AF674" i="3"/>
  <c r="AF672" i="3"/>
  <c r="AF670" i="3"/>
  <c r="AF668" i="3"/>
  <c r="AF666" i="3"/>
  <c r="AF664" i="3"/>
  <c r="AF662" i="3"/>
  <c r="AF659" i="3"/>
  <c r="AF655" i="3"/>
  <c r="AF651" i="3"/>
  <c r="AF688" i="3"/>
  <c r="AF682" i="3"/>
  <c r="AF643" i="3"/>
  <c r="AF627" i="3"/>
  <c r="AF644" i="3"/>
  <c r="AF628" i="3"/>
  <c r="AV20" i="5"/>
  <c r="AV880" i="3"/>
  <c r="AV886" i="3"/>
  <c r="AV864" i="3"/>
  <c r="AV860" i="3"/>
  <c r="AV857" i="3"/>
  <c r="AV853" i="3"/>
  <c r="AV847" i="3"/>
  <c r="AV795" i="3"/>
  <c r="AV793" i="3"/>
  <c r="AV789" i="3"/>
  <c r="AV787" i="3"/>
  <c r="AV785" i="3"/>
  <c r="AV781" i="3"/>
  <c r="AV779" i="3"/>
  <c r="AV777" i="3"/>
  <c r="AV773" i="3"/>
  <c r="AV817" i="3"/>
  <c r="AV824" i="3"/>
  <c r="AV820" i="3"/>
  <c r="AV800" i="3"/>
  <c r="AV768" i="3"/>
  <c r="AV765" i="3"/>
  <c r="AV764" i="3"/>
  <c r="AV760" i="3"/>
  <c r="AV757" i="3"/>
  <c r="AV756" i="3"/>
  <c r="AV752" i="3"/>
  <c r="AV749" i="3"/>
  <c r="AV748" i="3"/>
  <c r="AV744" i="3"/>
  <c r="AV741" i="3"/>
  <c r="AV740" i="3"/>
  <c r="AV680" i="3"/>
  <c r="AV674" i="3"/>
  <c r="AV672" i="3"/>
  <c r="AV670" i="3"/>
  <c r="AV668" i="3"/>
  <c r="AV666" i="3"/>
  <c r="AV664" i="3"/>
  <c r="AV662" i="3"/>
  <c r="AV660" i="3"/>
  <c r="AV658" i="3"/>
  <c r="AV656" i="3"/>
  <c r="AV654" i="3"/>
  <c r="AV652" i="3"/>
  <c r="AV650" i="3"/>
  <c r="AV642" i="3"/>
  <c r="AV626" i="3"/>
  <c r="AV643" i="3"/>
  <c r="AV637" i="3"/>
  <c r="AV644" i="3"/>
  <c r="AV632" i="3"/>
  <c r="AV628" i="3"/>
  <c r="Q20" i="5"/>
  <c r="Q875" i="3"/>
  <c r="Q879" i="3"/>
  <c r="Q847" i="3"/>
  <c r="Q852" i="3"/>
  <c r="Q848" i="3"/>
  <c r="Q790" i="3"/>
  <c r="Q778" i="3"/>
  <c r="Q774" i="3"/>
  <c r="Q767" i="3"/>
  <c r="Q755" i="3"/>
  <c r="Q739" i="3"/>
  <c r="Q731" i="3"/>
  <c r="Q727" i="3"/>
  <c r="Q723" i="3"/>
  <c r="Q715" i="3"/>
  <c r="Q711" i="3"/>
  <c r="Q703" i="3"/>
  <c r="Q699" i="3"/>
  <c r="Q691" i="3"/>
  <c r="Q687" i="3"/>
  <c r="Q679" i="3"/>
  <c r="Q766" i="3"/>
  <c r="Q750" i="3"/>
  <c r="Q798" i="3"/>
  <c r="Q789" i="3"/>
  <c r="Q757" i="3"/>
  <c r="Q744" i="3"/>
  <c r="Q661" i="3"/>
  <c r="Q635" i="3"/>
  <c r="Q666" i="3"/>
  <c r="Q664" i="3"/>
  <c r="Q671" i="3"/>
  <c r="Q651" i="3"/>
  <c r="U20" i="5"/>
  <c r="U888" i="3"/>
  <c r="U886" i="3"/>
  <c r="U878" i="3"/>
  <c r="U853" i="3"/>
  <c r="U882" i="3"/>
  <c r="U822" i="3"/>
  <c r="U818" i="3"/>
  <c r="U810" i="3"/>
  <c r="U802" i="3"/>
  <c r="U798" i="3"/>
  <c r="U795" i="3"/>
  <c r="U779" i="3"/>
  <c r="U778" i="3"/>
  <c r="U797" i="3"/>
  <c r="U758" i="3"/>
  <c r="U742" i="3"/>
  <c r="U749" i="3"/>
  <c r="U768" i="3"/>
  <c r="U755" i="3"/>
  <c r="U660" i="3"/>
  <c r="U634" i="3"/>
  <c r="U673" i="3"/>
  <c r="U633" i="3"/>
  <c r="U666" i="3"/>
  <c r="U654" i="3"/>
  <c r="U650" i="3"/>
  <c r="U644" i="3"/>
  <c r="U628" i="3"/>
  <c r="U649" i="3"/>
  <c r="Y20" i="5"/>
  <c r="Y881" i="3"/>
  <c r="Y853" i="3"/>
  <c r="Y849" i="3"/>
  <c r="Y797" i="3"/>
  <c r="Y785" i="3"/>
  <c r="Y796" i="3"/>
  <c r="Y780" i="3"/>
  <c r="Y757" i="3"/>
  <c r="Y745" i="3"/>
  <c r="Y741" i="3"/>
  <c r="Y748" i="3"/>
  <c r="Y747" i="3"/>
  <c r="Y740" i="3"/>
  <c r="Y671" i="3"/>
  <c r="Y641" i="3"/>
  <c r="Y629" i="3"/>
  <c r="Y662" i="3"/>
  <c r="Y630" i="3"/>
  <c r="Y652" i="3"/>
  <c r="Y665" i="3"/>
  <c r="Y661" i="3"/>
  <c r="Y649" i="3"/>
  <c r="Y627" i="3"/>
  <c r="AC20" i="5"/>
  <c r="AC883" i="3"/>
  <c r="AC864" i="3"/>
  <c r="AC848" i="3"/>
  <c r="AC880" i="3"/>
  <c r="AC828" i="3"/>
  <c r="AC820" i="3"/>
  <c r="AC816" i="3"/>
  <c r="AC808" i="3"/>
  <c r="AC800" i="3"/>
  <c r="AC853" i="3"/>
  <c r="AC777" i="3"/>
  <c r="AC788" i="3"/>
  <c r="AC795" i="3"/>
  <c r="AC768" i="3"/>
  <c r="AC756" i="3"/>
  <c r="AC778" i="3"/>
  <c r="AC740" i="3"/>
  <c r="AC790" i="3"/>
  <c r="AC765" i="3"/>
  <c r="AC745" i="3"/>
  <c r="AC644" i="3"/>
  <c r="AC628" i="3"/>
  <c r="AC671" i="3"/>
  <c r="AC664" i="3"/>
  <c r="AC652" i="3"/>
  <c r="AG20" i="5"/>
  <c r="AG863" i="3"/>
  <c r="AG881" i="3"/>
  <c r="AG858" i="3"/>
  <c r="AG859" i="3"/>
  <c r="AG855" i="3"/>
  <c r="AG847" i="3"/>
  <c r="AG845" i="3"/>
  <c r="AG844" i="3"/>
  <c r="AG843" i="3"/>
  <c r="AG842" i="3"/>
  <c r="AG839" i="3"/>
  <c r="AG837" i="3"/>
  <c r="AG836" i="3"/>
  <c r="AG835" i="3"/>
  <c r="AG830" i="3"/>
  <c r="AG852" i="3"/>
  <c r="AG846" i="3"/>
  <c r="AG772" i="3"/>
  <c r="AG795" i="3"/>
  <c r="AG791" i="3"/>
  <c r="AG779" i="3"/>
  <c r="AG775" i="3"/>
  <c r="AG790" i="3"/>
  <c r="AG774" i="3"/>
  <c r="AG793" i="3"/>
  <c r="AG767" i="3"/>
  <c r="AG763" i="3"/>
  <c r="AG751" i="3"/>
  <c r="AG747" i="3"/>
  <c r="AG738" i="3"/>
  <c r="AG737" i="3"/>
  <c r="AG736" i="3"/>
  <c r="AG735" i="3"/>
  <c r="AG734" i="3"/>
  <c r="AG733" i="3"/>
  <c r="AG732" i="3"/>
  <c r="AG731" i="3"/>
  <c r="AG730" i="3"/>
  <c r="AG729" i="3"/>
  <c r="AG728" i="3"/>
  <c r="AG727" i="3"/>
  <c r="AG726" i="3"/>
  <c r="AG725" i="3"/>
  <c r="AG724" i="3"/>
  <c r="AG723" i="3"/>
  <c r="AG722" i="3"/>
  <c r="AG721" i="3"/>
  <c r="AG720" i="3"/>
  <c r="AG719" i="3"/>
  <c r="AG718" i="3"/>
  <c r="AG717" i="3"/>
  <c r="AG716" i="3"/>
  <c r="AG715" i="3"/>
  <c r="AG714" i="3"/>
  <c r="AG713" i="3"/>
  <c r="AG712" i="3"/>
  <c r="AG711" i="3"/>
  <c r="AG710" i="3"/>
  <c r="AG709" i="3"/>
  <c r="AG708" i="3"/>
  <c r="AG707" i="3"/>
  <c r="AG706" i="3"/>
  <c r="AG705" i="3"/>
  <c r="AG704" i="3"/>
  <c r="AG703" i="3"/>
  <c r="AG702" i="3"/>
  <c r="AG701" i="3"/>
  <c r="AG700" i="3"/>
  <c r="AG699" i="3"/>
  <c r="AG698" i="3"/>
  <c r="AG697" i="3"/>
  <c r="AG696" i="3"/>
  <c r="AG695" i="3"/>
  <c r="AG694" i="3"/>
  <c r="AG693" i="3"/>
  <c r="AG692" i="3"/>
  <c r="AG691" i="3"/>
  <c r="AG690" i="3"/>
  <c r="AG689" i="3"/>
  <c r="AG688" i="3"/>
  <c r="AG687" i="3"/>
  <c r="AG682" i="3"/>
  <c r="AG681" i="3"/>
  <c r="AG680" i="3"/>
  <c r="AG679" i="3"/>
  <c r="AG758" i="3"/>
  <c r="AG769" i="3"/>
  <c r="AG753" i="3"/>
  <c r="AG742" i="3"/>
  <c r="AG744" i="3"/>
  <c r="AG781" i="3"/>
  <c r="AG768" i="3"/>
  <c r="AG739" i="3"/>
  <c r="AG665" i="3"/>
  <c r="AG649" i="3"/>
  <c r="AG639" i="3"/>
  <c r="AG635" i="3"/>
  <c r="AG672" i="3"/>
  <c r="AG656" i="3"/>
  <c r="AG663" i="3"/>
  <c r="AG659" i="3"/>
  <c r="AK20" i="5"/>
  <c r="AK886" i="3"/>
  <c r="AK861" i="3"/>
  <c r="AK862" i="3"/>
  <c r="AK854" i="3"/>
  <c r="AK846" i="3"/>
  <c r="AK842" i="3"/>
  <c r="AK840" i="3"/>
  <c r="AK839" i="3"/>
  <c r="AK838" i="3"/>
  <c r="AK837" i="3"/>
  <c r="AK830" i="3"/>
  <c r="AK856" i="3"/>
  <c r="AK783" i="3"/>
  <c r="AK786" i="3"/>
  <c r="AK782" i="3"/>
  <c r="AK793" i="3"/>
  <c r="AK777" i="3"/>
  <c r="AK766" i="3"/>
  <c r="AK754" i="3"/>
  <c r="AK750" i="3"/>
  <c r="AK738" i="3"/>
  <c r="AK734" i="3"/>
  <c r="AK730" i="3"/>
  <c r="AK726" i="3"/>
  <c r="AK722" i="3"/>
  <c r="AK718" i="3"/>
  <c r="AK714" i="3"/>
  <c r="AK710" i="3"/>
  <c r="AK706" i="3"/>
  <c r="AK702" i="3"/>
  <c r="AK698" i="3"/>
  <c r="AK694" i="3"/>
  <c r="AK690" i="3"/>
  <c r="AK682" i="3"/>
  <c r="AK780" i="3"/>
  <c r="AK761" i="3"/>
  <c r="AK745" i="3"/>
  <c r="AK740" i="3"/>
  <c r="AK764" i="3"/>
  <c r="AK748" i="3"/>
  <c r="AK751" i="3"/>
  <c r="AK788" i="3"/>
  <c r="AK660" i="3"/>
  <c r="AK642" i="3"/>
  <c r="AK630" i="3"/>
  <c r="AK626" i="3"/>
  <c r="AK659" i="3"/>
  <c r="AK627" i="3"/>
  <c r="AK649" i="3"/>
  <c r="AK666" i="3"/>
  <c r="AK662" i="3"/>
  <c r="AK650" i="3"/>
  <c r="AK640" i="3"/>
  <c r="AK657" i="3"/>
  <c r="AO20" i="5"/>
  <c r="AO887" i="3"/>
  <c r="AO861" i="3"/>
  <c r="AO859" i="3"/>
  <c r="AO853" i="3"/>
  <c r="AO856" i="3"/>
  <c r="AO845" i="3"/>
  <c r="AO841" i="3"/>
  <c r="AO837" i="3"/>
  <c r="AO829" i="3"/>
  <c r="AO848" i="3"/>
  <c r="AO797" i="3"/>
  <c r="AO794" i="3"/>
  <c r="AO785" i="3"/>
  <c r="AO781" i="3"/>
  <c r="AO796" i="3"/>
  <c r="AO780" i="3"/>
  <c r="AO765" i="3"/>
  <c r="AO761" i="3"/>
  <c r="AO749" i="3"/>
  <c r="AO745" i="3"/>
  <c r="AO738" i="3"/>
  <c r="AO737" i="3"/>
  <c r="AO736" i="3"/>
  <c r="AO735" i="3"/>
  <c r="AO734" i="3"/>
  <c r="AO733" i="3"/>
  <c r="AO732" i="3"/>
  <c r="AO731" i="3"/>
  <c r="AO730" i="3"/>
  <c r="AO729" i="3"/>
  <c r="AO728" i="3"/>
  <c r="AO727" i="3"/>
  <c r="AO726" i="3"/>
  <c r="AO725" i="3"/>
  <c r="AO724" i="3"/>
  <c r="AO723" i="3"/>
  <c r="AO722" i="3"/>
  <c r="AO721" i="3"/>
  <c r="AO720" i="3"/>
  <c r="AO719" i="3"/>
  <c r="AO718" i="3"/>
  <c r="AO717" i="3"/>
  <c r="AO716" i="3"/>
  <c r="AO715" i="3"/>
  <c r="AO714" i="3"/>
  <c r="AO713" i="3"/>
  <c r="AO712" i="3"/>
  <c r="AO711" i="3"/>
  <c r="AO710" i="3"/>
  <c r="AO709" i="3"/>
  <c r="AO708" i="3"/>
  <c r="AO707" i="3"/>
  <c r="AO706" i="3"/>
  <c r="AO705" i="3"/>
  <c r="AO704" i="3"/>
  <c r="AO703" i="3"/>
  <c r="AO702" i="3"/>
  <c r="AO701" i="3"/>
  <c r="AO700" i="3"/>
  <c r="AO699" i="3"/>
  <c r="AO698" i="3"/>
  <c r="AO697" i="3"/>
  <c r="AO696" i="3"/>
  <c r="AO695" i="3"/>
  <c r="AO694" i="3"/>
  <c r="AO693" i="3"/>
  <c r="AO692" i="3"/>
  <c r="AO691" i="3"/>
  <c r="AO690" i="3"/>
  <c r="AO689" i="3"/>
  <c r="AO688" i="3"/>
  <c r="AO687" i="3"/>
  <c r="AO682" i="3"/>
  <c r="AO681" i="3"/>
  <c r="AO680" i="3"/>
  <c r="AO679" i="3"/>
  <c r="AO764" i="3"/>
  <c r="AO748" i="3"/>
  <c r="AO747" i="3"/>
  <c r="AO671" i="3"/>
  <c r="AO655" i="3"/>
  <c r="AO641" i="3"/>
  <c r="AO637" i="3"/>
  <c r="AO662" i="3"/>
  <c r="AO673" i="3"/>
  <c r="AO669" i="3"/>
  <c r="AO657" i="3"/>
  <c r="AO653" i="3"/>
  <c r="AS20" i="5"/>
  <c r="AS864" i="3"/>
  <c r="AS859" i="3"/>
  <c r="AS860" i="3"/>
  <c r="AS851" i="3"/>
  <c r="AS850" i="3"/>
  <c r="AS844" i="3"/>
  <c r="AS840" i="3"/>
  <c r="AS836" i="3"/>
  <c r="AS857" i="3"/>
  <c r="AS793" i="3"/>
  <c r="AS777" i="3"/>
  <c r="AS788" i="3"/>
  <c r="AS784" i="3"/>
  <c r="AS772" i="3"/>
  <c r="AS795" i="3"/>
  <c r="AS768" i="3"/>
  <c r="AS764" i="3"/>
  <c r="AS752" i="3"/>
  <c r="AS748" i="3"/>
  <c r="AS736" i="3"/>
  <c r="AS732" i="3"/>
  <c r="AS728" i="3"/>
  <c r="AS724" i="3"/>
  <c r="AS720" i="3"/>
  <c r="AS716" i="3"/>
  <c r="AS712" i="3"/>
  <c r="AS708" i="3"/>
  <c r="AS704" i="3"/>
  <c r="AS700" i="3"/>
  <c r="AS696" i="3"/>
  <c r="AS692" i="3"/>
  <c r="AS688" i="3"/>
  <c r="AS680" i="3"/>
  <c r="AS767" i="3"/>
  <c r="AS751" i="3"/>
  <c r="AS754" i="3"/>
  <c r="AS745" i="3"/>
  <c r="AS740" i="3"/>
  <c r="AS786" i="3"/>
  <c r="AS769" i="3"/>
  <c r="AS670" i="3"/>
  <c r="AS644" i="3"/>
  <c r="AS640" i="3"/>
  <c r="AS628" i="3"/>
  <c r="AS671" i="3"/>
  <c r="AS673" i="3"/>
  <c r="AS657" i="3"/>
  <c r="AS668" i="3"/>
  <c r="AS664" i="3"/>
  <c r="AS652" i="3"/>
  <c r="AS638" i="3"/>
  <c r="AS635" i="3"/>
  <c r="AW20" i="5"/>
  <c r="AW863" i="3"/>
  <c r="AW877" i="3"/>
  <c r="AW879" i="3"/>
  <c r="AW859" i="3"/>
  <c r="AW855" i="3"/>
  <c r="AW847" i="3"/>
  <c r="AW843" i="3"/>
  <c r="AW841" i="3"/>
  <c r="AW840" i="3"/>
  <c r="AW839" i="3"/>
  <c r="AW838" i="3"/>
  <c r="AW835" i="3"/>
  <c r="AW829" i="3"/>
  <c r="AW827" i="3"/>
  <c r="AW826" i="3"/>
  <c r="AW825" i="3"/>
  <c r="AW824" i="3"/>
  <c r="AW823" i="3"/>
  <c r="AW822" i="3"/>
  <c r="AW821" i="3"/>
  <c r="AW820" i="3"/>
  <c r="AW819" i="3"/>
  <c r="AW818" i="3"/>
  <c r="AW817" i="3"/>
  <c r="AW816" i="3"/>
  <c r="AW815" i="3"/>
  <c r="AW810" i="3"/>
  <c r="AW809" i="3"/>
  <c r="AW808" i="3"/>
  <c r="AW807" i="3"/>
  <c r="AW802" i="3"/>
  <c r="AW801" i="3"/>
  <c r="AW800" i="3"/>
  <c r="AW799" i="3"/>
  <c r="AW788" i="3"/>
  <c r="AW772" i="3"/>
  <c r="AW795" i="3"/>
  <c r="AW783" i="3"/>
  <c r="AW779" i="3"/>
  <c r="AW794" i="3"/>
  <c r="AW778" i="3"/>
  <c r="AW767" i="3"/>
  <c r="AW755" i="3"/>
  <c r="AW751" i="3"/>
  <c r="AW735" i="3"/>
  <c r="AW731" i="3"/>
  <c r="AW727" i="3"/>
  <c r="AW723" i="3"/>
  <c r="AW719" i="3"/>
  <c r="AW715" i="3"/>
  <c r="AW711" i="3"/>
  <c r="AW707" i="3"/>
  <c r="AW703" i="3"/>
  <c r="AW699" i="3"/>
  <c r="AW695" i="3"/>
  <c r="AW691" i="3"/>
  <c r="AW687" i="3"/>
  <c r="AW679" i="3"/>
  <c r="AW785" i="3"/>
  <c r="AW758" i="3"/>
  <c r="AW781" i="3"/>
  <c r="AW757" i="3"/>
  <c r="AW777" i="3"/>
  <c r="AW756" i="3"/>
  <c r="AW748" i="3"/>
  <c r="AW661" i="3"/>
  <c r="AW635" i="3"/>
  <c r="AW631" i="3"/>
  <c r="AW656" i="3"/>
  <c r="AW640" i="3"/>
  <c r="AW663" i="3"/>
  <c r="AW659" i="3"/>
  <c r="AW633" i="3"/>
  <c r="AW739" i="3"/>
  <c r="AW674" i="3"/>
  <c r="AW642" i="3"/>
  <c r="S20" i="5"/>
  <c r="S895" i="3"/>
  <c r="S888" i="3"/>
  <c r="S883" i="3"/>
  <c r="S893" i="3"/>
  <c r="S889" i="3"/>
  <c r="S837" i="3"/>
  <c r="S827" i="3"/>
  <c r="S819" i="3"/>
  <c r="S815" i="3"/>
  <c r="S807" i="3"/>
  <c r="S799" i="3"/>
  <c r="S839" i="3"/>
  <c r="S838" i="3"/>
  <c r="S829" i="3"/>
  <c r="S795" i="3"/>
  <c r="S787" i="3"/>
  <c r="S779" i="3"/>
  <c r="S775" i="3"/>
  <c r="S739" i="3"/>
  <c r="S731" i="3"/>
  <c r="S727" i="3"/>
  <c r="S723" i="3"/>
  <c r="S715" i="3"/>
  <c r="S711" i="3"/>
  <c r="S703" i="3"/>
  <c r="S699" i="3"/>
  <c r="S691" i="3"/>
  <c r="S687" i="3"/>
  <c r="S682" i="3"/>
  <c r="S679" i="3"/>
  <c r="S671" i="3"/>
  <c r="S663" i="3"/>
  <c r="S659" i="3"/>
  <c r="S651" i="3"/>
  <c r="S627" i="3"/>
  <c r="S741" i="3"/>
  <c r="S643" i="3"/>
  <c r="AA20" i="5"/>
  <c r="AA887" i="3"/>
  <c r="AA895" i="3"/>
  <c r="AA881" i="3"/>
  <c r="AA877" i="3"/>
  <c r="AA891" i="3"/>
  <c r="AA835" i="3"/>
  <c r="AA822" i="3"/>
  <c r="AA818" i="3"/>
  <c r="AA810" i="3"/>
  <c r="AA802" i="3"/>
  <c r="AA798" i="3"/>
  <c r="AA837" i="3"/>
  <c r="AA797" i="3"/>
  <c r="AA789" i="3"/>
  <c r="AA785" i="3"/>
  <c r="AA777" i="3"/>
  <c r="AA773" i="3"/>
  <c r="AA765" i="3"/>
  <c r="AA757" i="3"/>
  <c r="AA755" i="3"/>
  <c r="AA749" i="3"/>
  <c r="AA747" i="3"/>
  <c r="AA745" i="3"/>
  <c r="AA733" i="3"/>
  <c r="AA729" i="3"/>
  <c r="AA725" i="3"/>
  <c r="AA721" i="3"/>
  <c r="AA713" i="3"/>
  <c r="AA709" i="3"/>
  <c r="AA701" i="3"/>
  <c r="AA697" i="3"/>
  <c r="AA689" i="3"/>
  <c r="AA681" i="3"/>
  <c r="AA673" i="3"/>
  <c r="AA671" i="3"/>
  <c r="AA665" i="3"/>
  <c r="AA663" i="3"/>
  <c r="AA661" i="3"/>
  <c r="AA659" i="3"/>
  <c r="AA653" i="3"/>
  <c r="AA651" i="3"/>
  <c r="AA649" i="3"/>
  <c r="AA641" i="3"/>
  <c r="AM20" i="5"/>
  <c r="AM897" i="3"/>
  <c r="AM879" i="3"/>
  <c r="AM864" i="3"/>
  <c r="AM862" i="3"/>
  <c r="AM860" i="3"/>
  <c r="AM858" i="3"/>
  <c r="AM856" i="3"/>
  <c r="AM854" i="3"/>
  <c r="AM852" i="3"/>
  <c r="AM850" i="3"/>
  <c r="AM848" i="3"/>
  <c r="AM846" i="3"/>
  <c r="AM828" i="3"/>
  <c r="AM826" i="3"/>
  <c r="AM824" i="3"/>
  <c r="AM822" i="3"/>
  <c r="AM820" i="3"/>
  <c r="AM818" i="3"/>
  <c r="AM816" i="3"/>
  <c r="AM810" i="3"/>
  <c r="AM808" i="3"/>
  <c r="AM802" i="3"/>
  <c r="AM800" i="3"/>
  <c r="AM798" i="3"/>
  <c r="AM835" i="3"/>
  <c r="AM829" i="3"/>
  <c r="AM791" i="3"/>
  <c r="AM783" i="3"/>
  <c r="AM775" i="3"/>
  <c r="AM830" i="3"/>
  <c r="AM770" i="3"/>
  <c r="AM766" i="3"/>
  <c r="AM762" i="3"/>
  <c r="AM758" i="3"/>
  <c r="AM754" i="3"/>
  <c r="AM750" i="3"/>
  <c r="AM746" i="3"/>
  <c r="AM742" i="3"/>
  <c r="AM738" i="3"/>
  <c r="AM736" i="3"/>
  <c r="AM734" i="3"/>
  <c r="AM732" i="3"/>
  <c r="AM730" i="3"/>
  <c r="AM728" i="3"/>
  <c r="AM726" i="3"/>
  <c r="AM724" i="3"/>
  <c r="AM722" i="3"/>
  <c r="AM720" i="3"/>
  <c r="AM718" i="3"/>
  <c r="AM716" i="3"/>
  <c r="AM714" i="3"/>
  <c r="AM712" i="3"/>
  <c r="AM710" i="3"/>
  <c r="AM708" i="3"/>
  <c r="AM706" i="3"/>
  <c r="AM704" i="3"/>
  <c r="AM702" i="3"/>
  <c r="AM700" i="3"/>
  <c r="AM698" i="3"/>
  <c r="AM696" i="3"/>
  <c r="AM694" i="3"/>
  <c r="AM692" i="3"/>
  <c r="AM690" i="3"/>
  <c r="AM688" i="3"/>
  <c r="AM682" i="3"/>
  <c r="AM636" i="3"/>
  <c r="AM642" i="3"/>
  <c r="AM626" i="3"/>
  <c r="AM641" i="3"/>
  <c r="AM630" i="3"/>
  <c r="AU20" i="5"/>
  <c r="AU893" i="3"/>
  <c r="AU886" i="3"/>
  <c r="AU888" i="3"/>
  <c r="AU880" i="3"/>
  <c r="AU878" i="3"/>
  <c r="AU877" i="3"/>
  <c r="AU872" i="3"/>
  <c r="AU871" i="3"/>
  <c r="AU842" i="3"/>
  <c r="AU828" i="3"/>
  <c r="AU824" i="3"/>
  <c r="AU822" i="3"/>
  <c r="AU820" i="3"/>
  <c r="AU816" i="3"/>
  <c r="AU810" i="3"/>
  <c r="AU808" i="3"/>
  <c r="AU800" i="3"/>
  <c r="AU798" i="3"/>
  <c r="AU840" i="3"/>
  <c r="AU836" i="3"/>
  <c r="AU796" i="3"/>
  <c r="AU792" i="3"/>
  <c r="AU788" i="3"/>
  <c r="AU784" i="3"/>
  <c r="AU780" i="3"/>
  <c r="AU776" i="3"/>
  <c r="AU772" i="3"/>
  <c r="AU768" i="3"/>
  <c r="AU764" i="3"/>
  <c r="AU760" i="3"/>
  <c r="AU756" i="3"/>
  <c r="AU752" i="3"/>
  <c r="AU748" i="3"/>
  <c r="AU744" i="3"/>
  <c r="AU736" i="3"/>
  <c r="AU732" i="3"/>
  <c r="AU728" i="3"/>
  <c r="AU724" i="3"/>
  <c r="AU720" i="3"/>
  <c r="AU716" i="3"/>
  <c r="AU712" i="3"/>
  <c r="AU708" i="3"/>
  <c r="AU704" i="3"/>
  <c r="AU700" i="3"/>
  <c r="AU696" i="3"/>
  <c r="AU692" i="3"/>
  <c r="AU688" i="3"/>
  <c r="AU680" i="3"/>
  <c r="AU672" i="3"/>
  <c r="AU670" i="3"/>
  <c r="AU668" i="3"/>
  <c r="AU664" i="3"/>
  <c r="AU662" i="3"/>
  <c r="AU660" i="3"/>
  <c r="AU656" i="3"/>
  <c r="AU654" i="3"/>
  <c r="AU652" i="3"/>
  <c r="AU681" i="3"/>
  <c r="AU641" i="3"/>
  <c r="AU632" i="3"/>
  <c r="AU634" i="3"/>
  <c r="AU644" i="3"/>
  <c r="AU639" i="3"/>
  <c r="X20" i="5"/>
  <c r="X896" i="3"/>
  <c r="X892" i="3"/>
  <c r="X883" i="3"/>
  <c r="X882" i="3"/>
  <c r="X881" i="3"/>
  <c r="X878" i="3"/>
  <c r="X847" i="3"/>
  <c r="X842" i="3"/>
  <c r="X838" i="3"/>
  <c r="X830" i="3"/>
  <c r="X808" i="3"/>
  <c r="X790" i="3"/>
  <c r="X786" i="3"/>
  <c r="X778" i="3"/>
  <c r="X774" i="3"/>
  <c r="X818" i="3"/>
  <c r="X810" i="3"/>
  <c r="X802" i="3"/>
  <c r="X798" i="3"/>
  <c r="X817" i="3"/>
  <c r="X768" i="3"/>
  <c r="X767" i="3"/>
  <c r="X766" i="3"/>
  <c r="X765" i="3"/>
  <c r="X760" i="3"/>
  <c r="X759" i="3"/>
  <c r="X758" i="3"/>
  <c r="X757" i="3"/>
  <c r="X750" i="3"/>
  <c r="X749" i="3"/>
  <c r="X746" i="3"/>
  <c r="X744" i="3"/>
  <c r="X743" i="3"/>
  <c r="X742" i="3"/>
  <c r="X741" i="3"/>
  <c r="X674" i="3"/>
  <c r="X673" i="3"/>
  <c r="X672" i="3"/>
  <c r="X671" i="3"/>
  <c r="X666" i="3"/>
  <c r="X665" i="3"/>
  <c r="X664" i="3"/>
  <c r="X663" i="3"/>
  <c r="X662" i="3"/>
  <c r="X661" i="3"/>
  <c r="X660" i="3"/>
  <c r="X659" i="3"/>
  <c r="X654" i="3"/>
  <c r="X653" i="3"/>
  <c r="X652" i="3"/>
  <c r="X651" i="3"/>
  <c r="X650" i="3"/>
  <c r="X649" i="3"/>
  <c r="X680" i="3"/>
  <c r="X634" i="3"/>
  <c r="AJ20" i="5"/>
  <c r="AJ897" i="3"/>
  <c r="AJ893" i="3"/>
  <c r="AJ889" i="3"/>
  <c r="AJ886" i="3"/>
  <c r="AJ863" i="3"/>
  <c r="AJ859" i="3"/>
  <c r="AJ857" i="3"/>
  <c r="AJ855" i="3"/>
  <c r="AJ851" i="3"/>
  <c r="AJ849" i="3"/>
  <c r="AJ850" i="3"/>
  <c r="AJ843" i="3"/>
  <c r="AJ839" i="3"/>
  <c r="AJ835" i="3"/>
  <c r="AJ820" i="3"/>
  <c r="AJ799" i="3"/>
  <c r="AJ827" i="3"/>
  <c r="AJ823" i="3"/>
  <c r="AJ819" i="3"/>
  <c r="AJ807" i="3"/>
  <c r="AJ771" i="3"/>
  <c r="AJ769" i="3"/>
  <c r="AJ767" i="3"/>
  <c r="AJ765" i="3"/>
  <c r="AJ763" i="3"/>
  <c r="AJ761" i="3"/>
  <c r="AJ759" i="3"/>
  <c r="AJ757" i="3"/>
  <c r="AJ755" i="3"/>
  <c r="AJ753" i="3"/>
  <c r="AJ751" i="3"/>
  <c r="AJ749" i="3"/>
  <c r="AJ747" i="3"/>
  <c r="AJ745" i="3"/>
  <c r="AJ743" i="3"/>
  <c r="AJ741" i="3"/>
  <c r="AJ739" i="3"/>
  <c r="AJ802" i="3"/>
  <c r="AJ770" i="3"/>
  <c r="AJ735" i="3"/>
  <c r="AJ731" i="3"/>
  <c r="AJ727" i="3"/>
  <c r="AJ723" i="3"/>
  <c r="AJ719" i="3"/>
  <c r="AJ715" i="3"/>
  <c r="AJ711" i="3"/>
  <c r="AJ707" i="3"/>
  <c r="AJ703" i="3"/>
  <c r="AJ699" i="3"/>
  <c r="AJ695" i="3"/>
  <c r="AJ691" i="3"/>
  <c r="AJ679" i="3"/>
  <c r="AJ674" i="3"/>
  <c r="AJ671" i="3"/>
  <c r="AJ668" i="3"/>
  <c r="AJ667" i="3"/>
  <c r="AJ666" i="3"/>
  <c r="AJ663" i="3"/>
  <c r="AJ660" i="3"/>
  <c r="AJ659" i="3"/>
  <c r="AJ658" i="3"/>
  <c r="AJ655" i="3"/>
  <c r="AJ652" i="3"/>
  <c r="AJ651" i="3"/>
  <c r="AJ650" i="3"/>
  <c r="AJ687" i="3"/>
  <c r="AJ681" i="3"/>
  <c r="AJ629" i="3"/>
  <c r="AJ643" i="3"/>
  <c r="AJ639" i="3"/>
  <c r="AJ631" i="3"/>
  <c r="AJ627" i="3"/>
  <c r="AN20" i="5"/>
  <c r="AN896" i="3"/>
  <c r="AN892" i="3"/>
  <c r="AN888" i="3"/>
  <c r="AN882" i="3"/>
  <c r="AN880" i="3"/>
  <c r="AN878" i="3"/>
  <c r="AN862" i="3"/>
  <c r="AN858" i="3"/>
  <c r="AN854" i="3"/>
  <c r="AN850" i="3"/>
  <c r="AN846" i="3"/>
  <c r="AN843" i="3"/>
  <c r="AN842" i="3"/>
  <c r="AN838" i="3"/>
  <c r="AN835" i="3"/>
  <c r="AN830" i="3"/>
  <c r="AN816" i="3"/>
  <c r="AN794" i="3"/>
  <c r="AN790" i="3"/>
  <c r="AN786" i="3"/>
  <c r="AN782" i="3"/>
  <c r="AN778" i="3"/>
  <c r="AN774" i="3"/>
  <c r="AN815" i="3"/>
  <c r="AN826" i="3"/>
  <c r="AN822" i="3"/>
  <c r="AN810" i="3"/>
  <c r="AN802" i="3"/>
  <c r="AN798" i="3"/>
  <c r="AN799" i="3"/>
  <c r="AN738" i="3"/>
  <c r="AN736" i="3"/>
  <c r="AN735" i="3"/>
  <c r="AN734" i="3"/>
  <c r="AN733" i="3"/>
  <c r="AN730" i="3"/>
  <c r="AN728" i="3"/>
  <c r="AN727" i="3"/>
  <c r="AN726" i="3"/>
  <c r="AN725" i="3"/>
  <c r="AN722" i="3"/>
  <c r="AN720" i="3"/>
  <c r="AN719" i="3"/>
  <c r="AN718" i="3"/>
  <c r="AN717" i="3"/>
  <c r="AN714" i="3"/>
  <c r="AN712" i="3"/>
  <c r="AN711" i="3"/>
  <c r="AN710" i="3"/>
  <c r="AN709" i="3"/>
  <c r="AN706" i="3"/>
  <c r="AN704" i="3"/>
  <c r="AN703" i="3"/>
  <c r="AN702" i="3"/>
  <c r="AN701" i="3"/>
  <c r="AN698" i="3"/>
  <c r="AN696" i="3"/>
  <c r="AN695" i="3"/>
  <c r="AN694" i="3"/>
  <c r="AN693" i="3"/>
  <c r="AN690" i="3"/>
  <c r="AN688" i="3"/>
  <c r="AN682" i="3"/>
  <c r="AN644" i="3"/>
  <c r="AN628" i="3"/>
  <c r="AN633" i="3"/>
  <c r="AN643" i="3"/>
  <c r="AN627" i="3"/>
  <c r="AN642" i="3"/>
  <c r="AN634" i="3"/>
  <c r="AN630" i="3"/>
  <c r="AN626" i="3"/>
  <c r="R20" i="5"/>
  <c r="R895" i="3"/>
  <c r="R888" i="3"/>
  <c r="R889" i="3"/>
  <c r="R881" i="3"/>
  <c r="R877" i="3"/>
  <c r="R853" i="3"/>
  <c r="R849" i="3"/>
  <c r="R841" i="3"/>
  <c r="R837" i="3"/>
  <c r="R818" i="3"/>
  <c r="R810" i="3"/>
  <c r="R802" i="3"/>
  <c r="R797" i="3"/>
  <c r="R795" i="3"/>
  <c r="R789" i="3"/>
  <c r="R787" i="3"/>
  <c r="R785" i="3"/>
  <c r="R779" i="3"/>
  <c r="R777" i="3"/>
  <c r="R775" i="3"/>
  <c r="R773" i="3"/>
  <c r="R765" i="3"/>
  <c r="R757" i="3"/>
  <c r="R749" i="3"/>
  <c r="R745" i="3"/>
  <c r="R741" i="3"/>
  <c r="R731" i="3"/>
  <c r="R715" i="3"/>
  <c r="R699" i="3"/>
  <c r="R730" i="3"/>
  <c r="R714" i="3"/>
  <c r="R698" i="3"/>
  <c r="R671" i="3"/>
  <c r="R665" i="3"/>
  <c r="R663" i="3"/>
  <c r="R661" i="3"/>
  <c r="R659" i="3"/>
  <c r="R653" i="3"/>
  <c r="R651" i="3"/>
  <c r="R649" i="3"/>
  <c r="R643" i="3"/>
  <c r="R641" i="3"/>
  <c r="R635" i="3"/>
  <c r="R633" i="3"/>
  <c r="R629" i="3"/>
  <c r="R627" i="3"/>
  <c r="R725" i="3"/>
  <c r="R709" i="3"/>
  <c r="R680" i="3"/>
  <c r="R721" i="3"/>
  <c r="R701" i="3"/>
  <c r="R697" i="3"/>
  <c r="V20" i="5"/>
  <c r="V894" i="3"/>
  <c r="V880" i="3"/>
  <c r="V872" i="3"/>
  <c r="V869" i="3"/>
  <c r="V852" i="3"/>
  <c r="V848" i="3"/>
  <c r="V837" i="3"/>
  <c r="V821" i="3"/>
  <c r="V796" i="3"/>
  <c r="V790" i="3"/>
  <c r="V788" i="3"/>
  <c r="V786" i="3"/>
  <c r="V780" i="3"/>
  <c r="V778" i="3"/>
  <c r="V776" i="3"/>
  <c r="V774" i="3"/>
  <c r="V798" i="3"/>
  <c r="V768" i="3"/>
  <c r="V760" i="3"/>
  <c r="V756" i="3"/>
  <c r="V748" i="3"/>
  <c r="V744" i="3"/>
  <c r="V740" i="3"/>
  <c r="V734" i="3"/>
  <c r="V702" i="3"/>
  <c r="V725" i="3"/>
  <c r="V709" i="3"/>
  <c r="V700" i="3"/>
  <c r="V688" i="3"/>
  <c r="V692" i="3"/>
  <c r="Z20" i="5"/>
  <c r="Z897" i="3"/>
  <c r="Z886" i="3"/>
  <c r="Z893" i="3"/>
  <c r="Z889" i="3"/>
  <c r="Z879" i="3"/>
  <c r="Z841" i="3"/>
  <c r="Z839" i="3"/>
  <c r="Z835" i="3"/>
  <c r="Z795" i="3"/>
  <c r="Z787" i="3"/>
  <c r="Z779" i="3"/>
  <c r="Z775" i="3"/>
  <c r="Z767" i="3"/>
  <c r="Z759" i="3"/>
  <c r="Z755" i="3"/>
  <c r="Z747" i="3"/>
  <c r="Z743" i="3"/>
  <c r="Z739" i="3"/>
  <c r="Z740" i="3"/>
  <c r="Z679" i="3"/>
  <c r="Z721" i="3"/>
  <c r="Z689" i="3"/>
  <c r="Z716" i="3"/>
  <c r="Z671" i="3"/>
  <c r="Z663" i="3"/>
  <c r="Z659" i="3"/>
  <c r="Z651" i="3"/>
  <c r="Z643" i="3"/>
  <c r="Z635" i="3"/>
  <c r="Z627" i="3"/>
  <c r="Z691" i="3"/>
  <c r="Z731" i="3"/>
  <c r="Z727" i="3"/>
  <c r="Z711" i="3"/>
  <c r="AD20" i="5"/>
  <c r="AD896" i="3"/>
  <c r="AD892" i="3"/>
  <c r="AD882" i="3"/>
  <c r="AD878" i="3"/>
  <c r="AD860" i="3"/>
  <c r="AD854" i="3"/>
  <c r="AD850" i="3"/>
  <c r="AD842" i="3"/>
  <c r="AD838" i="3"/>
  <c r="AD798" i="3"/>
  <c r="AD790" i="3"/>
  <c r="AD786" i="3"/>
  <c r="AD778" i="3"/>
  <c r="AD774" i="3"/>
  <c r="AD766" i="3"/>
  <c r="AD758" i="3"/>
  <c r="AD750" i="3"/>
  <c r="AD746" i="3"/>
  <c r="AD742" i="3"/>
  <c r="AD729" i="3"/>
  <c r="AD697" i="3"/>
  <c r="AD728" i="3"/>
  <c r="AD730" i="3"/>
  <c r="AD714" i="3"/>
  <c r="AD726" i="3"/>
  <c r="AD710" i="3"/>
  <c r="AD734" i="3"/>
  <c r="AD702" i="3"/>
  <c r="AD690" i="3"/>
  <c r="AH20" i="5"/>
  <c r="AH895" i="3"/>
  <c r="AH881" i="3"/>
  <c r="AH877" i="3"/>
  <c r="AH861" i="3"/>
  <c r="AH857" i="3"/>
  <c r="AH855" i="3"/>
  <c r="AH853" i="3"/>
  <c r="AH849" i="3"/>
  <c r="AH847" i="3"/>
  <c r="AH845" i="3"/>
  <c r="AH838" i="3"/>
  <c r="AH858" i="3"/>
  <c r="AH829" i="3"/>
  <c r="AH827" i="3"/>
  <c r="AH825" i="3"/>
  <c r="AH823" i="3"/>
  <c r="AH821" i="3"/>
  <c r="AH819" i="3"/>
  <c r="AH817" i="3"/>
  <c r="AH815" i="3"/>
  <c r="AH809" i="3"/>
  <c r="AH807" i="3"/>
  <c r="AH801" i="3"/>
  <c r="AH797" i="3"/>
  <c r="AH793" i="3"/>
  <c r="AH789" i="3"/>
  <c r="AH785" i="3"/>
  <c r="AH781" i="3"/>
  <c r="AH777" i="3"/>
  <c r="AH773" i="3"/>
  <c r="AH769" i="3"/>
  <c r="AH765" i="3"/>
  <c r="AH761" i="3"/>
  <c r="AH757" i="3"/>
  <c r="AH753" i="3"/>
  <c r="AH749" i="3"/>
  <c r="AH745" i="3"/>
  <c r="AH741" i="3"/>
  <c r="AH739" i="3"/>
  <c r="AH720" i="3"/>
  <c r="AH711" i="3"/>
  <c r="AH726" i="3"/>
  <c r="AH694" i="3"/>
  <c r="AH674" i="3"/>
  <c r="AH673" i="3"/>
  <c r="AH672" i="3"/>
  <c r="AH669" i="3"/>
  <c r="AH666" i="3"/>
  <c r="AH665" i="3"/>
  <c r="AH664" i="3"/>
  <c r="AH661" i="3"/>
  <c r="AH658" i="3"/>
  <c r="AH657" i="3"/>
  <c r="AH656" i="3"/>
  <c r="AH653" i="3"/>
  <c r="AH650" i="3"/>
  <c r="AH649" i="3"/>
  <c r="AH644" i="3"/>
  <c r="AH641" i="3"/>
  <c r="AH638" i="3"/>
  <c r="AH637" i="3"/>
  <c r="AH636" i="3"/>
  <c r="AH633" i="3"/>
  <c r="AH630" i="3"/>
  <c r="AH629" i="3"/>
  <c r="AH628" i="3"/>
  <c r="AH737" i="3"/>
  <c r="AH689" i="3"/>
  <c r="AH733" i="3"/>
  <c r="AH693" i="3"/>
  <c r="AH729" i="3"/>
  <c r="AH713" i="3"/>
  <c r="AH709" i="3"/>
  <c r="AL20" i="5"/>
  <c r="AL894" i="3"/>
  <c r="AL887" i="3"/>
  <c r="AL880" i="3"/>
  <c r="AL872" i="3"/>
  <c r="AL860" i="3"/>
  <c r="AL856" i="3"/>
  <c r="AL852" i="3"/>
  <c r="AL848" i="3"/>
  <c r="AL841" i="3"/>
  <c r="AL830" i="3"/>
  <c r="AL821" i="3"/>
  <c r="AL809" i="3"/>
  <c r="AL864" i="3"/>
  <c r="AL829" i="3"/>
  <c r="AL796" i="3"/>
  <c r="AL794" i="3"/>
  <c r="AL792" i="3"/>
  <c r="AL790" i="3"/>
  <c r="AL788" i="3"/>
  <c r="AL786" i="3"/>
  <c r="AL784" i="3"/>
  <c r="AL782" i="3"/>
  <c r="AL780" i="3"/>
  <c r="AL778" i="3"/>
  <c r="AL776" i="3"/>
  <c r="AL774" i="3"/>
  <c r="AL772" i="3"/>
  <c r="AL770" i="3"/>
  <c r="AL768" i="3"/>
  <c r="AL766" i="3"/>
  <c r="AL764" i="3"/>
  <c r="AL762" i="3"/>
  <c r="AL760" i="3"/>
  <c r="AL758" i="3"/>
  <c r="AL756" i="3"/>
  <c r="AL754" i="3"/>
  <c r="AL752" i="3"/>
  <c r="AL750" i="3"/>
  <c r="AL748" i="3"/>
  <c r="AL746" i="3"/>
  <c r="AL744" i="3"/>
  <c r="AL742" i="3"/>
  <c r="AL740" i="3"/>
  <c r="AL731" i="3"/>
  <c r="AL699" i="3"/>
  <c r="AL730" i="3"/>
  <c r="AL698" i="3"/>
  <c r="AL681" i="3"/>
  <c r="AL713" i="3"/>
  <c r="AL696" i="3"/>
  <c r="AL724" i="3"/>
  <c r="AL736" i="3"/>
  <c r="AL688" i="3"/>
  <c r="AL732" i="3"/>
  <c r="AP20" i="5"/>
  <c r="AP897" i="3"/>
  <c r="AP893" i="3"/>
  <c r="AP889" i="3"/>
  <c r="AP879" i="3"/>
  <c r="AP859" i="3"/>
  <c r="AP868" i="3"/>
  <c r="AP855" i="3"/>
  <c r="AP851" i="3"/>
  <c r="AP847" i="3"/>
  <c r="AP860" i="3"/>
  <c r="AP863" i="3"/>
  <c r="AP829" i="3"/>
  <c r="AP827" i="3"/>
  <c r="AP825" i="3"/>
  <c r="AP823" i="3"/>
  <c r="AP821" i="3"/>
  <c r="AP819" i="3"/>
  <c r="AP817" i="3"/>
  <c r="AP815" i="3"/>
  <c r="AP809" i="3"/>
  <c r="AP807" i="3"/>
  <c r="AP801" i="3"/>
  <c r="AP795" i="3"/>
  <c r="AP793" i="3"/>
  <c r="AP791" i="3"/>
  <c r="AP789" i="3"/>
  <c r="AP787" i="3"/>
  <c r="AP785" i="3"/>
  <c r="AP783" i="3"/>
  <c r="AP781" i="3"/>
  <c r="AP779" i="3"/>
  <c r="AP777" i="3"/>
  <c r="AP775" i="3"/>
  <c r="AP773" i="3"/>
  <c r="AP771" i="3"/>
  <c r="AP767" i="3"/>
  <c r="AP763" i="3"/>
  <c r="AP759" i="3"/>
  <c r="AP755" i="3"/>
  <c r="AP751" i="3"/>
  <c r="AP747" i="3"/>
  <c r="AP743" i="3"/>
  <c r="AP739" i="3"/>
  <c r="AP740" i="3"/>
  <c r="AP718" i="3"/>
  <c r="AP729" i="3"/>
  <c r="AP713" i="3"/>
  <c r="AP697" i="3"/>
  <c r="AP724" i="3"/>
  <c r="AP692" i="3"/>
  <c r="AP735" i="3"/>
  <c r="AP731" i="3"/>
  <c r="AP715" i="3"/>
  <c r="AP711" i="3"/>
  <c r="AP695" i="3"/>
  <c r="AP723" i="3"/>
  <c r="AP707" i="3"/>
  <c r="AT20" i="5"/>
  <c r="AT896" i="3"/>
  <c r="AT883" i="3"/>
  <c r="AT892" i="3"/>
  <c r="AT888" i="3"/>
  <c r="AT878" i="3"/>
  <c r="AT856" i="3"/>
  <c r="AT854" i="3"/>
  <c r="AT850" i="3"/>
  <c r="AT848" i="3"/>
  <c r="AT846" i="3"/>
  <c r="AT842" i="3"/>
  <c r="AT838" i="3"/>
  <c r="AT830" i="3"/>
  <c r="AT827" i="3"/>
  <c r="AT819" i="3"/>
  <c r="AT807" i="3"/>
  <c r="AT862" i="3"/>
  <c r="AT794" i="3"/>
  <c r="AT790" i="3"/>
  <c r="AT786" i="3"/>
  <c r="AT782" i="3"/>
  <c r="AT778" i="3"/>
  <c r="AT774" i="3"/>
  <c r="AT770" i="3"/>
  <c r="AT766" i="3"/>
  <c r="AT762" i="3"/>
  <c r="AT758" i="3"/>
  <c r="AT754" i="3"/>
  <c r="AT750" i="3"/>
  <c r="AT746" i="3"/>
  <c r="AT742" i="3"/>
  <c r="AT729" i="3"/>
  <c r="AT697" i="3"/>
  <c r="AT724" i="3"/>
  <c r="AT708" i="3"/>
  <c r="AT692" i="3"/>
  <c r="AT723" i="3"/>
  <c r="AT707" i="3"/>
  <c r="AT691" i="3"/>
  <c r="AT680" i="3"/>
  <c r="AT726" i="3"/>
  <c r="AT710" i="3"/>
  <c r="AT738" i="3"/>
  <c r="AT722" i="3"/>
  <c r="AT698" i="3"/>
  <c r="AT734" i="3"/>
  <c r="AT730" i="3"/>
  <c r="AT714" i="3"/>
  <c r="AX20" i="5"/>
  <c r="AX895" i="3"/>
  <c r="AX888" i="3"/>
  <c r="AX893" i="3"/>
  <c r="AX891" i="3"/>
  <c r="AX881" i="3"/>
  <c r="AX877" i="3"/>
  <c r="AX861" i="3"/>
  <c r="AX857" i="3"/>
  <c r="AX853" i="3"/>
  <c r="AX849" i="3"/>
  <c r="AX845" i="3"/>
  <c r="AX822" i="3"/>
  <c r="AX810" i="3"/>
  <c r="AX798" i="3"/>
  <c r="AX793" i="3"/>
  <c r="AX789" i="3"/>
  <c r="AX785" i="3"/>
  <c r="AX781" i="3"/>
  <c r="AX777" i="3"/>
  <c r="AX773" i="3"/>
  <c r="AX769" i="3"/>
  <c r="AX765" i="3"/>
  <c r="AX761" i="3"/>
  <c r="AX757" i="3"/>
  <c r="AX753" i="3"/>
  <c r="AX749" i="3"/>
  <c r="AX745" i="3"/>
  <c r="AX741" i="3"/>
  <c r="AX739" i="3"/>
  <c r="AX740" i="3"/>
  <c r="AX708" i="3"/>
  <c r="AX681" i="3"/>
  <c r="AX735" i="3"/>
  <c r="AX719" i="3"/>
  <c r="AX703" i="3"/>
  <c r="AX682" i="3"/>
  <c r="AX714" i="3"/>
  <c r="AX701" i="3"/>
  <c r="AX737" i="3"/>
  <c r="AX697" i="3"/>
  <c r="AX709" i="3"/>
  <c r="AX693" i="3"/>
  <c r="AX705" i="3"/>
  <c r="S12" i="5"/>
  <c r="AE12" i="5"/>
  <c r="AU12" i="5"/>
  <c r="P12" i="5"/>
  <c r="T12" i="5"/>
  <c r="X12" i="5"/>
  <c r="AB12" i="5"/>
  <c r="AF12" i="5"/>
  <c r="AJ12" i="5"/>
  <c r="AN12" i="5"/>
  <c r="AR12" i="5"/>
  <c r="AV12" i="5"/>
  <c r="W12" i="5"/>
  <c r="AI12" i="5"/>
  <c r="AQ12" i="5"/>
  <c r="Q6" i="5"/>
  <c r="U6" i="5"/>
  <c r="Y6" i="5"/>
  <c r="AC6" i="5"/>
  <c r="AG6" i="5"/>
  <c r="AK6" i="5"/>
  <c r="AO6" i="5"/>
  <c r="AS6" i="5"/>
  <c r="AW6" i="5"/>
  <c r="AA12" i="5"/>
  <c r="AM12" i="5"/>
  <c r="R6" i="5"/>
  <c r="V6" i="5"/>
  <c r="Z12" i="5"/>
  <c r="AD12" i="5"/>
  <c r="AH6" i="5"/>
  <c r="AL6" i="5"/>
  <c r="AP12" i="5"/>
  <c r="AT6" i="5"/>
  <c r="AX6" i="5"/>
  <c r="O12" i="5"/>
  <c r="AQ67" i="3"/>
  <c r="AQ103" i="3"/>
  <c r="AE67" i="3"/>
  <c r="AE103" i="3"/>
  <c r="W67" i="3"/>
  <c r="W103" i="3"/>
  <c r="AX67" i="3"/>
  <c r="AX103" i="3"/>
  <c r="AT67" i="3"/>
  <c r="AT103" i="3"/>
  <c r="AP67" i="3"/>
  <c r="AP103" i="3"/>
  <c r="AL67" i="3"/>
  <c r="AL103" i="3"/>
  <c r="AH67" i="3"/>
  <c r="AH103" i="3"/>
  <c r="AD67" i="3"/>
  <c r="AD103" i="3"/>
  <c r="Z67" i="3"/>
  <c r="Z103" i="3"/>
  <c r="V67" i="3"/>
  <c r="V103" i="3"/>
  <c r="R67" i="3"/>
  <c r="R103" i="3"/>
  <c r="AM67" i="3"/>
  <c r="AM103" i="3"/>
  <c r="AA67" i="3"/>
  <c r="AA103" i="3"/>
  <c r="AW67" i="3"/>
  <c r="AW103" i="3"/>
  <c r="AS67" i="3"/>
  <c r="AS103" i="3"/>
  <c r="AO67" i="3"/>
  <c r="AO103" i="3"/>
  <c r="AK67" i="3"/>
  <c r="AK103" i="3"/>
  <c r="AG67" i="3"/>
  <c r="AG103" i="3"/>
  <c r="AC67" i="3"/>
  <c r="AC103" i="3"/>
  <c r="Y67" i="3"/>
  <c r="Y103" i="3"/>
  <c r="U67" i="3"/>
  <c r="U103" i="3"/>
  <c r="Q67" i="3"/>
  <c r="Q103" i="3"/>
  <c r="AU67" i="3"/>
  <c r="AU103" i="3"/>
  <c r="AI67" i="3"/>
  <c r="AI103" i="3"/>
  <c r="S67" i="3"/>
  <c r="S103" i="3"/>
  <c r="AV67" i="3"/>
  <c r="AV103" i="3"/>
  <c r="AR67" i="3"/>
  <c r="AR103" i="3"/>
  <c r="AN67" i="3"/>
  <c r="AN103" i="3"/>
  <c r="AJ67" i="3"/>
  <c r="AJ103" i="3"/>
  <c r="AF67" i="3"/>
  <c r="AF103" i="3"/>
  <c r="AB67" i="3"/>
  <c r="AB103" i="3"/>
  <c r="X67" i="3"/>
  <c r="X103" i="3"/>
  <c r="T67" i="3"/>
  <c r="T103" i="3"/>
  <c r="P67" i="3"/>
  <c r="P103" i="3"/>
  <c r="B112" i="3"/>
  <c r="B47" i="5"/>
  <c r="C49" i="5" s="1"/>
  <c r="AU50" i="3"/>
  <c r="AM50" i="3"/>
  <c r="AA50" i="3"/>
  <c r="AM42" i="3"/>
  <c r="AE42" i="3"/>
  <c r="W42" i="3"/>
  <c r="AQ18" i="3"/>
  <c r="AI18" i="3"/>
  <c r="AE18" i="3"/>
  <c r="W18" i="3"/>
  <c r="S18" i="3"/>
  <c r="W26" i="3"/>
  <c r="AA26" i="3"/>
  <c r="AI26" i="3"/>
  <c r="AU26" i="3"/>
  <c r="AX50" i="3"/>
  <c r="AP50" i="3"/>
  <c r="AL50" i="3"/>
  <c r="AD50" i="3"/>
  <c r="V50" i="3"/>
  <c r="AX42" i="3"/>
  <c r="AT42" i="3"/>
  <c r="AL42" i="3"/>
  <c r="AD42" i="3"/>
  <c r="V42" i="3"/>
  <c r="AX18" i="3"/>
  <c r="AT18" i="3"/>
  <c r="AL18" i="3"/>
  <c r="AH18" i="3"/>
  <c r="Z18" i="3"/>
  <c r="R18" i="3"/>
  <c r="T26" i="3"/>
  <c r="AB26" i="3"/>
  <c r="AN26" i="3"/>
  <c r="AV26" i="3"/>
  <c r="AW50" i="3"/>
  <c r="AS50" i="3"/>
  <c r="AO50" i="3"/>
  <c r="AK50" i="3"/>
  <c r="AG50" i="3"/>
  <c r="AC50" i="3"/>
  <c r="Y50" i="3"/>
  <c r="U50" i="3"/>
  <c r="Q50" i="3"/>
  <c r="AW42" i="3"/>
  <c r="AS42" i="3"/>
  <c r="AO42" i="3"/>
  <c r="AK42" i="3"/>
  <c r="AG42" i="3"/>
  <c r="AC42" i="3"/>
  <c r="Y42" i="3"/>
  <c r="U42" i="3"/>
  <c r="Q42" i="3"/>
  <c r="AW18" i="3"/>
  <c r="AS18" i="3"/>
  <c r="AO18" i="3"/>
  <c r="AK18" i="3"/>
  <c r="AG18" i="3"/>
  <c r="AC18" i="3"/>
  <c r="Y18" i="3"/>
  <c r="U18" i="3"/>
  <c r="Q18" i="3"/>
  <c r="Q26" i="3"/>
  <c r="U26" i="3"/>
  <c r="Y26" i="3"/>
  <c r="AC26" i="3"/>
  <c r="AG26" i="3"/>
  <c r="AK26" i="3"/>
  <c r="AO26" i="3"/>
  <c r="AS26" i="3"/>
  <c r="AW26" i="3"/>
  <c r="AQ50" i="3"/>
  <c r="AI50" i="3"/>
  <c r="AE50" i="3"/>
  <c r="W50" i="3"/>
  <c r="S50" i="3"/>
  <c r="AU42" i="3"/>
  <c r="AQ42" i="3"/>
  <c r="AI42" i="3"/>
  <c r="AA42" i="3"/>
  <c r="S42" i="3"/>
  <c r="AU18" i="3"/>
  <c r="AM18" i="3"/>
  <c r="AA18" i="3"/>
  <c r="S26" i="3"/>
  <c r="AE26" i="3"/>
  <c r="AM26" i="3"/>
  <c r="AQ26" i="3"/>
  <c r="AT50" i="3"/>
  <c r="AH50" i="3"/>
  <c r="Z50" i="3"/>
  <c r="R50" i="3"/>
  <c r="AP42" i="3"/>
  <c r="AH42" i="3"/>
  <c r="Z42" i="3"/>
  <c r="R42" i="3"/>
  <c r="AP18" i="3"/>
  <c r="AD18" i="3"/>
  <c r="V18" i="3"/>
  <c r="P26" i="3"/>
  <c r="X26" i="3"/>
  <c r="AF26" i="3"/>
  <c r="AJ26" i="3"/>
  <c r="AR26" i="3"/>
  <c r="AV50" i="3"/>
  <c r="AR50" i="3"/>
  <c r="AN50" i="3"/>
  <c r="AJ50" i="3"/>
  <c r="AF50" i="3"/>
  <c r="AB50" i="3"/>
  <c r="X50" i="3"/>
  <c r="T50" i="3"/>
  <c r="P50" i="3"/>
  <c r="AV42" i="3"/>
  <c r="AR42" i="3"/>
  <c r="AN42" i="3"/>
  <c r="AJ42" i="3"/>
  <c r="AF42" i="3"/>
  <c r="AB42" i="3"/>
  <c r="X42" i="3"/>
  <c r="T42" i="3"/>
  <c r="P42" i="3"/>
  <c r="AV18" i="3"/>
  <c r="AR18" i="3"/>
  <c r="AN18" i="3"/>
  <c r="AJ18" i="3"/>
  <c r="AF18" i="3"/>
  <c r="AB18" i="3"/>
  <c r="X18" i="3"/>
  <c r="T18" i="3"/>
  <c r="P18" i="3"/>
  <c r="R26" i="3"/>
  <c r="V26" i="3"/>
  <c r="Z26" i="3"/>
  <c r="AD26" i="3"/>
  <c r="AH26" i="3"/>
  <c r="AL26" i="3"/>
  <c r="AP26" i="3"/>
  <c r="AT26" i="3"/>
  <c r="AX26" i="3"/>
  <c r="AQ34" i="3"/>
  <c r="AI34" i="3"/>
  <c r="AA34" i="3"/>
  <c r="W34" i="3"/>
  <c r="S34" i="3"/>
  <c r="AX34" i="3"/>
  <c r="AP34" i="3"/>
  <c r="AH34" i="3"/>
  <c r="Z34" i="3"/>
  <c r="R34" i="3"/>
  <c r="AV34" i="3"/>
  <c r="AR34" i="3"/>
  <c r="AN34" i="3"/>
  <c r="AJ34" i="3"/>
  <c r="AF34" i="3"/>
  <c r="AB34" i="3"/>
  <c r="X34" i="3"/>
  <c r="T34" i="3"/>
  <c r="P34" i="3"/>
  <c r="AU34" i="3"/>
  <c r="AM34" i="3"/>
  <c r="AE34" i="3"/>
  <c r="AT34" i="3"/>
  <c r="AL34" i="3"/>
  <c r="AD34" i="3"/>
  <c r="V34" i="3"/>
  <c r="AW34" i="3"/>
  <c r="AS34" i="3"/>
  <c r="AO34" i="3"/>
  <c r="AK34" i="3"/>
  <c r="AG34" i="3"/>
  <c r="AC34" i="3"/>
  <c r="Y34" i="3"/>
  <c r="U34" i="3"/>
  <c r="Q34" i="3"/>
  <c r="Z6" i="5"/>
  <c r="AL12" i="5"/>
  <c r="R12" i="5"/>
  <c r="AT12" i="5"/>
  <c r="AP6" i="5"/>
  <c r="V12" i="5"/>
  <c r="AX12" i="5"/>
  <c r="AH12" i="5"/>
  <c r="X6" i="5"/>
  <c r="AC12" i="5"/>
  <c r="AD6" i="5"/>
  <c r="P6" i="5"/>
  <c r="AV6" i="5"/>
  <c r="U12" i="5"/>
  <c r="AS12" i="5"/>
  <c r="AN6" i="5"/>
  <c r="AF6" i="5"/>
  <c r="AK12" i="5"/>
  <c r="Q12" i="5"/>
  <c r="Y12" i="5"/>
  <c r="AG12" i="5"/>
  <c r="AO12" i="5"/>
  <c r="AW12" i="5"/>
  <c r="T6" i="5"/>
  <c r="AB6" i="5"/>
  <c r="AJ6" i="5"/>
  <c r="AR6" i="5"/>
  <c r="O6" i="5"/>
  <c r="S6" i="5"/>
  <c r="W6" i="5"/>
  <c r="AA6" i="5"/>
  <c r="AE6" i="5"/>
  <c r="AI6" i="5"/>
  <c r="AM6" i="5"/>
  <c r="AQ6" i="5"/>
  <c r="AU6" i="5"/>
  <c r="AB10" i="3"/>
  <c r="AJ10" i="3"/>
  <c r="T10" i="3"/>
  <c r="AR10" i="3"/>
  <c r="AE10" i="3"/>
  <c r="AU10" i="3"/>
  <c r="S10" i="3"/>
  <c r="AA10" i="3"/>
  <c r="AI10" i="3"/>
  <c r="AQ10" i="3"/>
  <c r="W10" i="3"/>
  <c r="AM10" i="3"/>
  <c r="P10" i="3"/>
  <c r="X10" i="3"/>
  <c r="AF10" i="3"/>
  <c r="AN10" i="3"/>
  <c r="AV10" i="3"/>
  <c r="Q10" i="3"/>
  <c r="U10" i="3"/>
  <c r="Y10" i="3"/>
  <c r="AC10" i="3"/>
  <c r="AG10" i="3"/>
  <c r="AK10" i="3"/>
  <c r="AO10" i="3"/>
  <c r="AS10" i="3"/>
  <c r="AW10" i="3"/>
  <c r="R10" i="3"/>
  <c r="V10" i="3"/>
  <c r="Z10" i="3"/>
  <c r="AD10" i="3"/>
  <c r="AH10" i="3"/>
  <c r="AL10" i="3"/>
  <c r="AP10" i="3"/>
  <c r="AT10" i="3"/>
  <c r="AX10" i="3"/>
  <c r="B113" i="3"/>
  <c r="D137" i="3" l="1"/>
  <c r="D136" i="3"/>
  <c r="D133" i="3"/>
  <c r="D140" i="3" s="1"/>
  <c r="D135" i="3"/>
  <c r="AX687" i="3"/>
  <c r="AX691" i="3"/>
  <c r="AX843" i="3"/>
  <c r="AT628" i="3"/>
  <c r="AT636" i="3"/>
  <c r="AT644" i="3"/>
  <c r="AT656" i="3"/>
  <c r="AT668" i="3"/>
  <c r="AT808" i="3"/>
  <c r="AT828" i="3"/>
  <c r="AP629" i="3"/>
  <c r="AP637" i="3"/>
  <c r="AP649" i="3"/>
  <c r="AP657" i="3"/>
  <c r="AP665" i="3"/>
  <c r="AP673" i="3"/>
  <c r="AP733" i="3"/>
  <c r="AP837" i="3"/>
  <c r="AL630" i="3"/>
  <c r="AL638" i="3"/>
  <c r="AL650" i="3"/>
  <c r="AL658" i="3"/>
  <c r="AL666" i="3"/>
  <c r="AL674" i="3"/>
  <c r="AL702" i="3"/>
  <c r="AL734" i="3"/>
  <c r="AL798" i="3"/>
  <c r="AL822" i="3"/>
  <c r="AL888" i="3"/>
  <c r="AH699" i="3"/>
  <c r="AH731" i="3"/>
  <c r="AH859" i="3"/>
  <c r="AD628" i="3"/>
  <c r="AD636" i="3"/>
  <c r="AD660" i="3"/>
  <c r="AD680" i="3"/>
  <c r="AD700" i="3"/>
  <c r="AD732" i="3"/>
  <c r="AD828" i="3"/>
  <c r="Z817" i="3"/>
  <c r="Z853" i="3"/>
  <c r="V662" i="3"/>
  <c r="V722" i="3"/>
  <c r="AX723" i="3"/>
  <c r="AX835" i="3"/>
  <c r="AX859" i="3"/>
  <c r="AT632" i="3"/>
  <c r="AT640" i="3"/>
  <c r="AT652" i="3"/>
  <c r="AT660" i="3"/>
  <c r="AT664" i="3"/>
  <c r="AT672" i="3"/>
  <c r="AT712" i="3"/>
  <c r="AT820" i="3"/>
  <c r="AT860" i="3"/>
  <c r="AP633" i="3"/>
  <c r="AP641" i="3"/>
  <c r="AP653" i="3"/>
  <c r="AP661" i="3"/>
  <c r="AP669" i="3"/>
  <c r="AP701" i="3"/>
  <c r="AL626" i="3"/>
  <c r="AL634" i="3"/>
  <c r="AL642" i="3"/>
  <c r="AL654" i="3"/>
  <c r="AL662" i="3"/>
  <c r="AL670" i="3"/>
  <c r="AL718" i="3"/>
  <c r="AL810" i="3"/>
  <c r="AL858" i="3"/>
  <c r="AH715" i="3"/>
  <c r="AH893" i="3"/>
  <c r="AD644" i="3"/>
  <c r="AD652" i="3"/>
  <c r="AD716" i="3"/>
  <c r="AD820" i="3"/>
  <c r="Z709" i="3"/>
  <c r="Z801" i="3"/>
  <c r="Z809" i="3"/>
  <c r="Z849" i="3"/>
  <c r="Z861" i="3"/>
  <c r="V654" i="3"/>
  <c r="V690" i="3"/>
  <c r="V830" i="3"/>
  <c r="V892" i="3"/>
  <c r="R679" i="3"/>
  <c r="R703" i="3"/>
  <c r="AX699" i="3"/>
  <c r="AX731" i="3"/>
  <c r="AX743" i="3"/>
  <c r="AX747" i="3"/>
  <c r="AX751" i="3"/>
  <c r="AX755" i="3"/>
  <c r="AX759" i="3"/>
  <c r="AX763" i="3"/>
  <c r="AX767" i="3"/>
  <c r="AX771" i="3"/>
  <c r="AX775" i="3"/>
  <c r="AX779" i="3"/>
  <c r="AX783" i="3"/>
  <c r="AX787" i="3"/>
  <c r="AX791" i="3"/>
  <c r="AX795" i="3"/>
  <c r="AX851" i="3"/>
  <c r="AX879" i="3"/>
  <c r="AX889" i="3"/>
  <c r="AX897" i="3"/>
  <c r="AT688" i="3"/>
  <c r="AT720" i="3"/>
  <c r="AT744" i="3"/>
  <c r="AT748" i="3"/>
  <c r="AT752" i="3"/>
  <c r="AT756" i="3"/>
  <c r="AT760" i="3"/>
  <c r="AT764" i="3"/>
  <c r="AT768" i="3"/>
  <c r="AT772" i="3"/>
  <c r="AT776" i="3"/>
  <c r="AT780" i="3"/>
  <c r="AT784" i="3"/>
  <c r="AT788" i="3"/>
  <c r="AT792" i="3"/>
  <c r="AT796" i="3"/>
  <c r="AT840" i="3"/>
  <c r="AT880" i="3"/>
  <c r="AT894" i="3"/>
  <c r="AP709" i="3"/>
  <c r="AP741" i="3"/>
  <c r="AP745" i="3"/>
  <c r="AP749" i="3"/>
  <c r="AP753" i="3"/>
  <c r="AP757" i="3"/>
  <c r="AP761" i="3"/>
  <c r="AP765" i="3"/>
  <c r="AP769" i="3"/>
  <c r="AP845" i="3"/>
  <c r="AP853" i="3"/>
  <c r="AP861" i="3"/>
  <c r="AP877" i="3"/>
  <c r="AP881" i="3"/>
  <c r="AP891" i="3"/>
  <c r="AP895" i="3"/>
  <c r="AL694" i="3"/>
  <c r="AL710" i="3"/>
  <c r="AL726" i="3"/>
  <c r="AL850" i="3"/>
  <c r="AL878" i="3"/>
  <c r="AL882" i="3"/>
  <c r="AL896" i="3"/>
  <c r="AH627" i="3"/>
  <c r="AH635" i="3"/>
  <c r="AH639" i="3"/>
  <c r="AH643" i="3"/>
  <c r="AH651" i="3"/>
  <c r="AH655" i="3"/>
  <c r="AH659" i="3"/>
  <c r="AH663" i="3"/>
  <c r="AH667" i="3"/>
  <c r="AH671" i="3"/>
  <c r="AH679" i="3"/>
  <c r="AH691" i="3"/>
  <c r="AH707" i="3"/>
  <c r="AH723" i="3"/>
  <c r="AH743" i="3"/>
  <c r="AH747" i="3"/>
  <c r="AH751" i="3"/>
  <c r="AH755" i="3"/>
  <c r="AH759" i="3"/>
  <c r="AH763" i="3"/>
  <c r="AH767" i="3"/>
  <c r="AH771" i="3"/>
  <c r="AH775" i="3"/>
  <c r="AH779" i="3"/>
  <c r="AH783" i="3"/>
  <c r="AH787" i="3"/>
  <c r="AH791" i="3"/>
  <c r="AH795" i="3"/>
  <c r="AH799" i="3"/>
  <c r="AH863" i="3"/>
  <c r="AH879" i="3"/>
  <c r="AH897" i="3"/>
  <c r="AD692" i="3"/>
  <c r="AD724" i="3"/>
  <c r="AD744" i="3"/>
  <c r="AD748" i="3"/>
  <c r="AD756" i="3"/>
  <c r="AD760" i="3"/>
  <c r="AD768" i="3"/>
  <c r="AD776" i="3"/>
  <c r="AD780" i="3"/>
  <c r="AD788" i="3"/>
  <c r="AD796" i="3"/>
  <c r="AD836" i="3"/>
  <c r="AD852" i="3"/>
  <c r="AD880" i="3"/>
  <c r="AD890" i="3"/>
  <c r="AD894" i="3"/>
  <c r="Z629" i="3"/>
  <c r="Z633" i="3"/>
  <c r="Z641" i="3"/>
  <c r="Z649" i="3"/>
  <c r="Z653" i="3"/>
  <c r="Z661" i="3"/>
  <c r="Z665" i="3"/>
  <c r="Z673" i="3"/>
  <c r="Z741" i="3"/>
  <c r="Z745" i="3"/>
  <c r="Z749" i="3"/>
  <c r="Z757" i="3"/>
  <c r="Z765" i="3"/>
  <c r="Z773" i="3"/>
  <c r="Z777" i="3"/>
  <c r="Z785" i="3"/>
  <c r="Z789" i="3"/>
  <c r="Z797" i="3"/>
  <c r="Z877" i="3"/>
  <c r="Z881" i="3"/>
  <c r="Z895" i="3"/>
  <c r="V698" i="3"/>
  <c r="V730" i="3"/>
  <c r="V742" i="3"/>
  <c r="V746" i="3"/>
  <c r="V750" i="3"/>
  <c r="V758" i="3"/>
  <c r="V766" i="3"/>
  <c r="V854" i="3"/>
  <c r="V878" i="3"/>
  <c r="V882" i="3"/>
  <c r="V896" i="3"/>
  <c r="R711" i="3"/>
  <c r="R743" i="3"/>
  <c r="R747" i="3"/>
  <c r="R755" i="3"/>
  <c r="R759" i="3"/>
  <c r="R767" i="3"/>
  <c r="AN632" i="3"/>
  <c r="AN772" i="3"/>
  <c r="AN780" i="3"/>
  <c r="AN788" i="3"/>
  <c r="AN796" i="3"/>
  <c r="AN856" i="3"/>
  <c r="AN864" i="3"/>
  <c r="AJ781" i="3"/>
  <c r="AJ789" i="3"/>
  <c r="AJ797" i="3"/>
  <c r="AJ821" i="3"/>
  <c r="AJ881" i="3"/>
  <c r="X628" i="3"/>
  <c r="X780" i="3"/>
  <c r="X796" i="3"/>
  <c r="X840" i="3"/>
  <c r="X894" i="3"/>
  <c r="AM776" i="3"/>
  <c r="AM792" i="3"/>
  <c r="AM836" i="3"/>
  <c r="AM890" i="3"/>
  <c r="AA627" i="3"/>
  <c r="AA851" i="3"/>
  <c r="AA897" i="3"/>
  <c r="S641" i="3"/>
  <c r="S881" i="3"/>
  <c r="AW891" i="3"/>
  <c r="AS674" i="3"/>
  <c r="AS742" i="3"/>
  <c r="AS770" i="3"/>
  <c r="AS854" i="3"/>
  <c r="AS858" i="3"/>
  <c r="AS878" i="3"/>
  <c r="AS888" i="3"/>
  <c r="AS892" i="3"/>
  <c r="AS896" i="3"/>
  <c r="AO751" i="3"/>
  <c r="AO767" i="3"/>
  <c r="AO775" i="3"/>
  <c r="AO863" i="3"/>
  <c r="AO889" i="3"/>
  <c r="AO893" i="3"/>
  <c r="AO897" i="3"/>
  <c r="AK644" i="3"/>
  <c r="AK664" i="3"/>
  <c r="AK772" i="3"/>
  <c r="AK752" i="3"/>
  <c r="AK796" i="3"/>
  <c r="AK860" i="3"/>
  <c r="AK890" i="3"/>
  <c r="AK894" i="3"/>
  <c r="AG637" i="3"/>
  <c r="AG653" i="3"/>
  <c r="AG785" i="3"/>
  <c r="AG789" i="3"/>
  <c r="AG801" i="3"/>
  <c r="AG809" i="3"/>
  <c r="AG817" i="3"/>
  <c r="AG821" i="3"/>
  <c r="AG825" i="3"/>
  <c r="AG877" i="3"/>
  <c r="AG891" i="3"/>
  <c r="AG895" i="3"/>
  <c r="AC634" i="3"/>
  <c r="AC674" i="3"/>
  <c r="AC774" i="3"/>
  <c r="AC682" i="3"/>
  <c r="AC690" i="3"/>
  <c r="AC698" i="3"/>
  <c r="AC714" i="3"/>
  <c r="AC722" i="3"/>
  <c r="AC730" i="3"/>
  <c r="AC798" i="3"/>
  <c r="AC830" i="3"/>
  <c r="AC838" i="3"/>
  <c r="AC842" i="3"/>
  <c r="AC878" i="3"/>
  <c r="AC892" i="3"/>
  <c r="AC896" i="3"/>
  <c r="Y767" i="3"/>
  <c r="Y679" i="3"/>
  <c r="Y687" i="3"/>
  <c r="Y703" i="3"/>
  <c r="Y711" i="3"/>
  <c r="Y727" i="3"/>
  <c r="AN776" i="3"/>
  <c r="AN784" i="3"/>
  <c r="AN792" i="3"/>
  <c r="AN852" i="3"/>
  <c r="AN860" i="3"/>
  <c r="AN886" i="3"/>
  <c r="AJ633" i="3"/>
  <c r="AJ773" i="3"/>
  <c r="AJ777" i="3"/>
  <c r="AJ785" i="3"/>
  <c r="AJ793" i="3"/>
  <c r="AJ887" i="3"/>
  <c r="X776" i="3"/>
  <c r="X788" i="3"/>
  <c r="X828" i="3"/>
  <c r="X836" i="3"/>
  <c r="X890" i="3"/>
  <c r="AU892" i="3"/>
  <c r="AM640" i="3"/>
  <c r="AM784" i="3"/>
  <c r="AM886" i="3"/>
  <c r="AA643" i="3"/>
  <c r="AA739" i="3"/>
  <c r="AA839" i="3"/>
  <c r="AW637" i="3"/>
  <c r="AW665" i="3"/>
  <c r="AW761" i="3"/>
  <c r="AW895" i="3"/>
  <c r="AS642" i="3"/>
  <c r="AS658" i="3"/>
  <c r="AS774" i="3"/>
  <c r="AO635" i="3"/>
  <c r="AX627" i="3"/>
  <c r="AX635" i="3"/>
  <c r="AX643" i="3"/>
  <c r="AX655" i="3"/>
  <c r="AX663" i="3"/>
  <c r="AX671" i="3"/>
  <c r="AX695" i="3"/>
  <c r="AX711" i="3"/>
  <c r="AX727" i="3"/>
  <c r="AX799" i="3"/>
  <c r="AX815" i="3"/>
  <c r="AX823" i="3"/>
  <c r="AT700" i="3"/>
  <c r="AT716" i="3"/>
  <c r="AT732" i="3"/>
  <c r="AT740" i="3"/>
  <c r="AT864" i="3"/>
  <c r="AT886" i="3"/>
  <c r="AP689" i="3"/>
  <c r="AP705" i="3"/>
  <c r="AP721" i="3"/>
  <c r="AP737" i="3"/>
  <c r="AL682" i="3"/>
  <c r="AL842" i="3"/>
  <c r="AH839" i="3"/>
  <c r="AH883" i="3"/>
  <c r="AD740" i="3"/>
  <c r="R835" i="3"/>
  <c r="R851" i="3"/>
  <c r="R879" i="3"/>
  <c r="R897" i="3"/>
  <c r="AN640" i="3"/>
  <c r="AN808" i="3"/>
  <c r="AN836" i="3"/>
  <c r="AN844" i="3"/>
  <c r="AN890" i="3"/>
  <c r="AJ641" i="3"/>
  <c r="AJ649" i="3"/>
  <c r="AJ653" i="3"/>
  <c r="AJ657" i="3"/>
  <c r="AJ661" i="3"/>
  <c r="AJ665" i="3"/>
  <c r="AJ669" i="3"/>
  <c r="AJ673" i="3"/>
  <c r="AJ693" i="3"/>
  <c r="AJ701" i="3"/>
  <c r="AJ709" i="3"/>
  <c r="AJ717" i="3"/>
  <c r="AJ725" i="3"/>
  <c r="AJ733" i="3"/>
  <c r="AJ809" i="3"/>
  <c r="AJ829" i="3"/>
  <c r="AJ841" i="3"/>
  <c r="AJ877" i="3"/>
  <c r="AJ895" i="3"/>
  <c r="X636" i="3"/>
  <c r="X688" i="3"/>
  <c r="X848" i="3"/>
  <c r="X886" i="3"/>
  <c r="X880" i="3"/>
  <c r="AU630" i="3"/>
  <c r="AU682" i="3"/>
  <c r="AU694" i="3"/>
  <c r="AU702" i="3"/>
  <c r="AU710" i="3"/>
  <c r="AU718" i="3"/>
  <c r="AU726" i="3"/>
  <c r="AU734" i="3"/>
  <c r="AU742" i="3"/>
  <c r="AU750" i="3"/>
  <c r="AU758" i="3"/>
  <c r="AU766" i="3"/>
  <c r="AU774" i="3"/>
  <c r="AU782" i="3"/>
  <c r="AU790" i="3"/>
  <c r="AU838" i="3"/>
  <c r="AU882" i="3"/>
  <c r="AM744" i="3"/>
  <c r="AM748" i="3"/>
  <c r="AM752" i="3"/>
  <c r="AM756" i="3"/>
  <c r="AM760" i="3"/>
  <c r="AM764" i="3"/>
  <c r="AM768" i="3"/>
  <c r="AM844" i="3"/>
  <c r="AA635" i="3"/>
  <c r="AA691" i="3"/>
  <c r="AA699" i="3"/>
  <c r="AA715" i="3"/>
  <c r="AA723" i="3"/>
  <c r="AA731" i="3"/>
  <c r="AA779" i="3"/>
  <c r="AA787" i="3"/>
  <c r="AA795" i="3"/>
  <c r="AA879" i="3"/>
  <c r="AA889" i="3"/>
  <c r="AA883" i="3"/>
  <c r="S681" i="3"/>
  <c r="S653" i="3"/>
  <c r="S661" i="3"/>
  <c r="S689" i="3"/>
  <c r="S697" i="3"/>
  <c r="S701" i="3"/>
  <c r="S709" i="3"/>
  <c r="S713" i="3"/>
  <c r="S721" i="3"/>
  <c r="S725" i="3"/>
  <c r="S729" i="3"/>
  <c r="S733" i="3"/>
  <c r="S773" i="3"/>
  <c r="S777" i="3"/>
  <c r="S785" i="3"/>
  <c r="S789" i="3"/>
  <c r="S797" i="3"/>
  <c r="S821" i="3"/>
  <c r="S891" i="3"/>
  <c r="AW673" i="3"/>
  <c r="AW769" i="3"/>
  <c r="AW681" i="3"/>
  <c r="AW689" i="3"/>
  <c r="AW693" i="3"/>
  <c r="AW697" i="3"/>
  <c r="AW701" i="3"/>
  <c r="AW705" i="3"/>
  <c r="AW709" i="3"/>
  <c r="AW713" i="3"/>
  <c r="AW717" i="3"/>
  <c r="AW721" i="3"/>
  <c r="AW725" i="3"/>
  <c r="AW729" i="3"/>
  <c r="AW733" i="3"/>
  <c r="AW737" i="3"/>
  <c r="AW789" i="3"/>
  <c r="AW797" i="3"/>
  <c r="AW857" i="3"/>
  <c r="AS650" i="3"/>
  <c r="AS666" i="3"/>
  <c r="AS750" i="3"/>
  <c r="AS794" i="3"/>
  <c r="AS690" i="3"/>
  <c r="AS698" i="3"/>
  <c r="AS706" i="3"/>
  <c r="AS714" i="3"/>
  <c r="AS722" i="3"/>
  <c r="AS730" i="3"/>
  <c r="AS738" i="3"/>
  <c r="AS782" i="3"/>
  <c r="AS838" i="3"/>
  <c r="AS862" i="3"/>
  <c r="AO627" i="3"/>
  <c r="AO643" i="3"/>
  <c r="AO651" i="3"/>
  <c r="AO779" i="3"/>
  <c r="AO743" i="3"/>
  <c r="AO759" i="3"/>
  <c r="AO739" i="3"/>
  <c r="AO787" i="3"/>
  <c r="AO851" i="3"/>
  <c r="AO835" i="3"/>
  <c r="AO843" i="3"/>
  <c r="AK672" i="3"/>
  <c r="AK760" i="3"/>
  <c r="AK680" i="3"/>
  <c r="AK692" i="3"/>
  <c r="AK700" i="3"/>
  <c r="AK708" i="3"/>
  <c r="AK716" i="3"/>
  <c r="AK724" i="3"/>
  <c r="AK732" i="3"/>
  <c r="AK852" i="3"/>
  <c r="AG629" i="3"/>
  <c r="AG661" i="3"/>
  <c r="AG749" i="3"/>
  <c r="AG741" i="3"/>
  <c r="AG777" i="3"/>
  <c r="AG861" i="3"/>
  <c r="AC626" i="3"/>
  <c r="AC642" i="3"/>
  <c r="AC650" i="3"/>
  <c r="AC666" i="3"/>
  <c r="AC750" i="3"/>
  <c r="AC786" i="3"/>
  <c r="AC802" i="3"/>
  <c r="AC810" i="3"/>
  <c r="AC818" i="3"/>
  <c r="AC822" i="3"/>
  <c r="AC888" i="3"/>
  <c r="Y651" i="3"/>
  <c r="Y743" i="3"/>
  <c r="Y759" i="3"/>
  <c r="Y739" i="3"/>
  <c r="Y847" i="3"/>
  <c r="Y889" i="3"/>
  <c r="Y893" i="3"/>
  <c r="Y897" i="3"/>
  <c r="U664" i="3"/>
  <c r="U756" i="3"/>
  <c r="U780" i="3"/>
  <c r="U836" i="3"/>
  <c r="U840" i="3"/>
  <c r="U880" i="3"/>
  <c r="U890" i="3"/>
  <c r="U894" i="3"/>
  <c r="Q633" i="3"/>
  <c r="Q649" i="3"/>
  <c r="Q665" i="3"/>
  <c r="Q745" i="3"/>
  <c r="Q776" i="3"/>
  <c r="Q800" i="3"/>
  <c r="Q808" i="3"/>
  <c r="Q829" i="3"/>
  <c r="Q837" i="3"/>
  <c r="Q841" i="3"/>
  <c r="Q881" i="3"/>
  <c r="Q891" i="3"/>
  <c r="Q895" i="3"/>
  <c r="AV682" i="3"/>
  <c r="AV798" i="3"/>
  <c r="AV822" i="3"/>
  <c r="AV830" i="3"/>
  <c r="AV838" i="3"/>
  <c r="AV842" i="3"/>
  <c r="AV850" i="3"/>
  <c r="AV888" i="3"/>
  <c r="AV892" i="3"/>
  <c r="AV896" i="3"/>
  <c r="AF774" i="3"/>
  <c r="AF778" i="3"/>
  <c r="AF782" i="3"/>
  <c r="AF786" i="3"/>
  <c r="AF790" i="3"/>
  <c r="AF794" i="3"/>
  <c r="AF798" i="3"/>
  <c r="AF888" i="3"/>
  <c r="T641" i="3"/>
  <c r="T741" i="3"/>
  <c r="T745" i="3"/>
  <c r="T749" i="3"/>
  <c r="T757" i="3"/>
  <c r="T765" i="3"/>
  <c r="T809" i="3"/>
  <c r="AR643" i="3"/>
  <c r="AR771" i="3"/>
  <c r="AR799" i="3"/>
  <c r="AR815" i="3"/>
  <c r="AR847" i="3"/>
  <c r="AR879" i="3"/>
  <c r="AB635" i="3"/>
  <c r="AB819" i="3"/>
  <c r="AB883" i="3"/>
  <c r="P830" i="3"/>
  <c r="P838" i="3"/>
  <c r="P842" i="3"/>
  <c r="AE845" i="3"/>
  <c r="AE849" i="3"/>
  <c r="AE853" i="3"/>
  <c r="AE857" i="3"/>
  <c r="AE861" i="3"/>
  <c r="AE869" i="3"/>
  <c r="AE877" i="3"/>
  <c r="AE881" i="3"/>
  <c r="O873" i="3"/>
  <c r="O881" i="3"/>
  <c r="Z681" i="3"/>
  <c r="Z697" i="3"/>
  <c r="Z713" i="3"/>
  <c r="Z729" i="3"/>
  <c r="Z865" i="3"/>
  <c r="Z887" i="3"/>
  <c r="V710" i="3"/>
  <c r="V726" i="3"/>
  <c r="V822" i="3"/>
  <c r="V838" i="3"/>
  <c r="R691" i="3"/>
  <c r="R723" i="3"/>
  <c r="R739" i="3"/>
  <c r="R819" i="3"/>
  <c r="R827" i="3"/>
  <c r="AN636" i="3"/>
  <c r="AN656" i="3"/>
  <c r="AN664" i="3"/>
  <c r="AN672" i="3"/>
  <c r="AN744" i="3"/>
  <c r="AN752" i="3"/>
  <c r="AN760" i="3"/>
  <c r="AN768" i="3"/>
  <c r="AN800" i="3"/>
  <c r="AN824" i="3"/>
  <c r="X704" i="3"/>
  <c r="X712" i="3"/>
  <c r="X728" i="3"/>
  <c r="X800" i="3"/>
  <c r="X816" i="3"/>
  <c r="X872" i="3"/>
  <c r="AU626" i="3"/>
  <c r="AU642" i="3"/>
  <c r="AU830" i="3"/>
  <c r="AU850" i="3"/>
  <c r="AU858" i="3"/>
  <c r="AU896" i="3"/>
  <c r="AM628" i="3"/>
  <c r="AM644" i="3"/>
  <c r="AM656" i="3"/>
  <c r="AM664" i="3"/>
  <c r="AM672" i="3"/>
  <c r="AM880" i="3"/>
  <c r="AA819" i="3"/>
  <c r="AA827" i="3"/>
  <c r="S629" i="3"/>
  <c r="S749" i="3"/>
  <c r="S757" i="3"/>
  <c r="S765" i="3"/>
  <c r="S853" i="3"/>
  <c r="AW641" i="3"/>
  <c r="AW653" i="3"/>
  <c r="AW669" i="3"/>
  <c r="AW749" i="3"/>
  <c r="AW765" i="3"/>
  <c r="AW741" i="3"/>
  <c r="AW773" i="3"/>
  <c r="AW849" i="3"/>
  <c r="AW887" i="3"/>
  <c r="AS630" i="3"/>
  <c r="AS746" i="3"/>
  <c r="AS762" i="3"/>
  <c r="AS778" i="3"/>
  <c r="AS802" i="3"/>
  <c r="AS818" i="3"/>
  <c r="AS826" i="3"/>
  <c r="AS846" i="3"/>
  <c r="AS882" i="3"/>
  <c r="AO663" i="3"/>
  <c r="AO783" i="3"/>
  <c r="AO791" i="3"/>
  <c r="AO799" i="3"/>
  <c r="AO815" i="3"/>
  <c r="AO823" i="3"/>
  <c r="AO879" i="3"/>
  <c r="AK632" i="3"/>
  <c r="AK652" i="3"/>
  <c r="AK668" i="3"/>
  <c r="AK756" i="3"/>
  <c r="AK808" i="3"/>
  <c r="AK820" i="3"/>
  <c r="AK828" i="3"/>
  <c r="AK848" i="3"/>
  <c r="Y775" i="3"/>
  <c r="Y851" i="3"/>
  <c r="Y883" i="3"/>
  <c r="U672" i="3"/>
  <c r="U748" i="3"/>
  <c r="U740" i="3"/>
  <c r="U800" i="3"/>
  <c r="U808" i="3"/>
  <c r="U816" i="3"/>
  <c r="U820" i="3"/>
  <c r="U828" i="3"/>
  <c r="U852" i="3"/>
  <c r="Q641" i="3"/>
  <c r="Q741" i="3"/>
  <c r="Q681" i="3"/>
  <c r="Q689" i="3"/>
  <c r="Q697" i="3"/>
  <c r="Q713" i="3"/>
  <c r="Q721" i="3"/>
  <c r="Q729" i="3"/>
  <c r="AV770" i="3"/>
  <c r="AV742" i="3"/>
  <c r="AV750" i="3"/>
  <c r="AV758" i="3"/>
  <c r="AV766" i="3"/>
  <c r="AV810" i="3"/>
  <c r="AV846" i="3"/>
  <c r="AV858" i="3"/>
  <c r="AV862" i="3"/>
  <c r="AV878" i="3"/>
  <c r="AF637" i="3"/>
  <c r="AF649" i="3"/>
  <c r="AF653" i="3"/>
  <c r="AF657" i="3"/>
  <c r="AF746" i="3"/>
  <c r="AF754" i="3"/>
  <c r="AF762" i="3"/>
  <c r="AF810" i="3"/>
  <c r="T649" i="3"/>
  <c r="T653" i="3"/>
  <c r="T661" i="3"/>
  <c r="T665" i="3"/>
  <c r="T673" i="3"/>
  <c r="T817" i="3"/>
  <c r="T829" i="3"/>
  <c r="T837" i="3"/>
  <c r="T841" i="3"/>
  <c r="T853" i="3"/>
  <c r="AR687" i="3"/>
  <c r="AR651" i="3"/>
  <c r="AR655" i="3"/>
  <c r="AR659" i="3"/>
  <c r="AR663" i="3"/>
  <c r="AR667" i="3"/>
  <c r="AR671" i="3"/>
  <c r="AR823" i="3"/>
  <c r="AR839" i="3"/>
  <c r="AR855" i="3"/>
  <c r="AR893" i="3"/>
  <c r="AB627" i="3"/>
  <c r="AB643" i="3"/>
  <c r="AB651" i="3"/>
  <c r="AB659" i="3"/>
  <c r="AB691" i="3"/>
  <c r="AB699" i="3"/>
  <c r="AB715" i="3"/>
  <c r="AB723" i="3"/>
  <c r="AB731" i="3"/>
  <c r="AB739" i="3"/>
  <c r="AB747" i="3"/>
  <c r="AB755" i="3"/>
  <c r="AB827" i="3"/>
  <c r="P682" i="3"/>
  <c r="P690" i="3"/>
  <c r="P698" i="3"/>
  <c r="P702" i="3"/>
  <c r="P710" i="3"/>
  <c r="P714" i="3"/>
  <c r="P722" i="3"/>
  <c r="P726" i="3"/>
  <c r="P730" i="3"/>
  <c r="P734" i="3"/>
  <c r="P778" i="3"/>
  <c r="P786" i="3"/>
  <c r="P854" i="3"/>
  <c r="AK872" i="3"/>
  <c r="AK864" i="3"/>
  <c r="AG657" i="3"/>
  <c r="AG673" i="3"/>
  <c r="AG745" i="3"/>
  <c r="AG761" i="3"/>
  <c r="AG853" i="3"/>
  <c r="AC746" i="3"/>
  <c r="AC850" i="3"/>
  <c r="Y663" i="3"/>
  <c r="Y799" i="3"/>
  <c r="Y807" i="3"/>
  <c r="Y815" i="3"/>
  <c r="Y839" i="3"/>
  <c r="U636" i="3"/>
  <c r="U652" i="3"/>
  <c r="U796" i="3"/>
  <c r="U692" i="3"/>
  <c r="U700" i="3"/>
  <c r="U716" i="3"/>
  <c r="U724" i="3"/>
  <c r="U732" i="3"/>
  <c r="U788" i="3"/>
  <c r="Q817" i="3"/>
  <c r="Q849" i="3"/>
  <c r="AV634" i="3"/>
  <c r="AV694" i="3"/>
  <c r="AV702" i="3"/>
  <c r="AV710" i="3"/>
  <c r="AV718" i="3"/>
  <c r="AV726" i="3"/>
  <c r="AV734" i="3"/>
  <c r="AV774" i="3"/>
  <c r="AV782" i="3"/>
  <c r="AV790" i="3"/>
  <c r="AF629" i="3"/>
  <c r="AF770" i="3"/>
  <c r="AF802" i="3"/>
  <c r="AF826" i="3"/>
  <c r="AF854" i="3"/>
  <c r="AF882" i="3"/>
  <c r="T629" i="3"/>
  <c r="T773" i="3"/>
  <c r="T789" i="3"/>
  <c r="T797" i="3"/>
  <c r="T891" i="3"/>
  <c r="AR631" i="3"/>
  <c r="AR679" i="3"/>
  <c r="AR650" i="3"/>
  <c r="AR658" i="3"/>
  <c r="AR666" i="3"/>
  <c r="AR674" i="3"/>
  <c r="AR739" i="3"/>
  <c r="AR747" i="3"/>
  <c r="AR755" i="3"/>
  <c r="AR763" i="3"/>
  <c r="AR779" i="3"/>
  <c r="AR787" i="3"/>
  <c r="AR795" i="3"/>
  <c r="AR819" i="3"/>
  <c r="AR883" i="3"/>
  <c r="AB779" i="3"/>
  <c r="AB787" i="3"/>
  <c r="AB795" i="3"/>
  <c r="AB835" i="3"/>
  <c r="AB851" i="3"/>
  <c r="AB889" i="3"/>
  <c r="AB897" i="3"/>
  <c r="P626" i="3"/>
  <c r="P642" i="3"/>
  <c r="P650" i="3"/>
  <c r="P666" i="3"/>
  <c r="P746" i="3"/>
  <c r="P810" i="3"/>
  <c r="P850" i="3"/>
  <c r="P874" i="3"/>
  <c r="P882" i="3"/>
  <c r="AI840" i="3"/>
  <c r="AI808" i="3"/>
  <c r="AI820" i="3"/>
  <c r="AI828" i="3"/>
  <c r="AE637" i="3"/>
  <c r="AE801" i="3"/>
  <c r="AE817" i="3"/>
  <c r="AE825" i="3"/>
  <c r="AQ747" i="3"/>
  <c r="AQ755" i="3"/>
  <c r="AQ763" i="3"/>
  <c r="AQ807" i="3"/>
  <c r="AQ819" i="3"/>
  <c r="AQ827" i="3"/>
  <c r="AI637" i="3"/>
  <c r="AI745" i="3"/>
  <c r="AI749" i="3"/>
  <c r="AI753" i="3"/>
  <c r="AI757" i="3"/>
  <c r="AI761" i="3"/>
  <c r="AI765" i="3"/>
  <c r="AI769" i="3"/>
  <c r="AI845" i="3"/>
  <c r="AI849" i="3"/>
  <c r="AI853" i="3"/>
  <c r="AI857" i="3"/>
  <c r="AI861" i="3"/>
  <c r="AE626" i="3"/>
  <c r="AE896" i="3"/>
  <c r="W776" i="3"/>
  <c r="W780" i="3"/>
  <c r="W788" i="3"/>
  <c r="W796" i="3"/>
  <c r="W840" i="3"/>
  <c r="W894" i="3"/>
  <c r="O778" i="3"/>
  <c r="O786" i="3"/>
  <c r="O842" i="3"/>
  <c r="AQ651" i="3"/>
  <c r="AQ659" i="3"/>
  <c r="AQ667" i="3"/>
  <c r="AI741" i="3"/>
  <c r="AI693" i="3"/>
  <c r="AI701" i="3"/>
  <c r="AI709" i="3"/>
  <c r="AI717" i="3"/>
  <c r="AI725" i="3"/>
  <c r="AI733" i="3"/>
  <c r="AI829" i="3"/>
  <c r="AE690" i="3"/>
  <c r="AE698" i="3"/>
  <c r="AE706" i="3"/>
  <c r="AE714" i="3"/>
  <c r="AE722" i="3"/>
  <c r="AE730" i="3"/>
  <c r="AE738" i="3"/>
  <c r="AE746" i="3"/>
  <c r="AE754" i="3"/>
  <c r="AE762" i="3"/>
  <c r="AE838" i="3"/>
  <c r="AE846" i="3"/>
  <c r="AE854" i="3"/>
  <c r="AE870" i="3"/>
  <c r="AE882" i="3"/>
  <c r="O626" i="3"/>
  <c r="O642" i="3"/>
  <c r="O682" i="3"/>
  <c r="O874" i="3"/>
  <c r="O882" i="3"/>
  <c r="AQ631" i="3"/>
  <c r="AQ771" i="3"/>
  <c r="AQ779" i="3"/>
  <c r="AQ787" i="3"/>
  <c r="AQ795" i="3"/>
  <c r="AQ835" i="3"/>
  <c r="AQ893" i="3"/>
  <c r="AI649" i="3"/>
  <c r="AI653" i="3"/>
  <c r="AI657" i="3"/>
  <c r="AI661" i="3"/>
  <c r="AI665" i="3"/>
  <c r="AI669" i="3"/>
  <c r="AI673" i="3"/>
  <c r="AI801" i="3"/>
  <c r="AI809" i="3"/>
  <c r="AI817" i="3"/>
  <c r="AI821" i="3"/>
  <c r="AI825" i="3"/>
  <c r="AI877" i="3"/>
  <c r="AI881" i="3"/>
  <c r="AI887" i="3"/>
  <c r="AI895" i="3"/>
  <c r="AE634" i="3"/>
  <c r="AE650" i="3"/>
  <c r="AE654" i="3"/>
  <c r="AE658" i="3"/>
  <c r="AE662" i="3"/>
  <c r="AE666" i="3"/>
  <c r="AE670" i="3"/>
  <c r="AE674" i="3"/>
  <c r="AE770" i="3"/>
  <c r="AE798" i="3"/>
  <c r="AE802" i="3"/>
  <c r="AE810" i="3"/>
  <c r="AE818" i="3"/>
  <c r="AE822" i="3"/>
  <c r="AE826" i="3"/>
  <c r="AE842" i="3"/>
  <c r="AE892" i="3"/>
  <c r="W680" i="3"/>
  <c r="W800" i="3"/>
  <c r="W808" i="3"/>
  <c r="W816" i="3"/>
  <c r="W820" i="3"/>
  <c r="W828" i="3"/>
  <c r="W890" i="3"/>
  <c r="W886" i="3"/>
  <c r="O850" i="3"/>
  <c r="O854" i="3"/>
  <c r="O892" i="3"/>
  <c r="AX824" i="3"/>
  <c r="AL835" i="3"/>
  <c r="AX816" i="3"/>
  <c r="AT887" i="3"/>
  <c r="AX800" i="3"/>
  <c r="AH886" i="3"/>
  <c r="V815" i="3"/>
  <c r="R820" i="3"/>
  <c r="R868" i="3"/>
  <c r="AM787" i="3"/>
  <c r="Q874" i="3"/>
  <c r="AV743" i="3"/>
  <c r="AL867" i="3"/>
  <c r="AH840" i="3"/>
  <c r="V839" i="3"/>
  <c r="AF871" i="3"/>
  <c r="AB788" i="3"/>
  <c r="AB796" i="3"/>
  <c r="P747" i="3"/>
  <c r="AT823" i="3"/>
  <c r="AL817" i="3"/>
  <c r="AN825" i="3"/>
  <c r="AM779" i="3"/>
  <c r="AV751" i="3"/>
  <c r="AR642" i="3"/>
  <c r="AX730" i="3"/>
  <c r="AX802" i="3"/>
  <c r="AX826" i="3"/>
  <c r="AX882" i="3"/>
  <c r="AT728" i="3"/>
  <c r="AT800" i="3"/>
  <c r="AT816" i="3"/>
  <c r="AT824" i="3"/>
  <c r="AP708" i="3"/>
  <c r="AP717" i="3"/>
  <c r="AP841" i="3"/>
  <c r="AP886" i="3"/>
  <c r="AL697" i="3"/>
  <c r="AL729" i="3"/>
  <c r="AL802" i="3"/>
  <c r="AL818" i="3"/>
  <c r="AL826" i="3"/>
  <c r="AL837" i="3"/>
  <c r="AL861" i="3"/>
  <c r="AH710" i="3"/>
  <c r="AH842" i="3"/>
  <c r="AH888" i="3"/>
  <c r="AD664" i="3"/>
  <c r="AD672" i="3"/>
  <c r="AD703" i="3"/>
  <c r="AD800" i="3"/>
  <c r="AD808" i="3"/>
  <c r="AD816" i="3"/>
  <c r="AD886" i="3"/>
  <c r="Z700" i="3"/>
  <c r="Z732" i="3"/>
  <c r="Z725" i="3"/>
  <c r="Z821" i="3"/>
  <c r="Z829" i="3"/>
  <c r="V626" i="3"/>
  <c r="V634" i="3"/>
  <c r="V642" i="3"/>
  <c r="V650" i="3"/>
  <c r="V666" i="3"/>
  <c r="V674" i="3"/>
  <c r="V801" i="3"/>
  <c r="V809" i="3"/>
  <c r="V817" i="3"/>
  <c r="V888" i="3"/>
  <c r="R830" i="3"/>
  <c r="AN705" i="3"/>
  <c r="AN729" i="3"/>
  <c r="AN820" i="3"/>
  <c r="AU638" i="3"/>
  <c r="AM788" i="3"/>
  <c r="AM893" i="3"/>
  <c r="S877" i="3"/>
  <c r="AW745" i="3"/>
  <c r="AW842" i="3"/>
  <c r="AS631" i="3"/>
  <c r="AS758" i="3"/>
  <c r="AO636" i="3"/>
  <c r="AG669" i="3"/>
  <c r="AG757" i="3"/>
  <c r="AG838" i="3"/>
  <c r="AC758" i="3"/>
  <c r="AC726" i="3"/>
  <c r="AC851" i="3"/>
  <c r="Y691" i="3"/>
  <c r="Y731" i="3"/>
  <c r="AV630" i="3"/>
  <c r="AV882" i="3"/>
  <c r="AF849" i="3"/>
  <c r="AR627" i="3"/>
  <c r="AR700" i="3"/>
  <c r="AR716" i="3"/>
  <c r="AB774" i="3"/>
  <c r="AD829" i="3"/>
  <c r="R716" i="3"/>
  <c r="R828" i="3"/>
  <c r="AJ682" i="3"/>
  <c r="AB836" i="3"/>
  <c r="AB890" i="3"/>
  <c r="AT815" i="3"/>
  <c r="AL825" i="3"/>
  <c r="AM795" i="3"/>
  <c r="AV767" i="3"/>
  <c r="AX707" i="3"/>
  <c r="AX839" i="3"/>
  <c r="V841" i="3"/>
  <c r="R822" i="3"/>
  <c r="R893" i="3"/>
  <c r="AN680" i="3"/>
  <c r="AN689" i="3"/>
  <c r="AN713" i="3"/>
  <c r="AN737" i="3"/>
  <c r="AU879" i="3"/>
  <c r="AM772" i="3"/>
  <c r="AM796" i="3"/>
  <c r="AM871" i="3"/>
  <c r="AA847" i="3"/>
  <c r="S841" i="3"/>
  <c r="AW649" i="3"/>
  <c r="AW742" i="3"/>
  <c r="AS626" i="3"/>
  <c r="AK768" i="3"/>
  <c r="AK841" i="3"/>
  <c r="AC635" i="3"/>
  <c r="AC643" i="3"/>
  <c r="AC702" i="3"/>
  <c r="AC779" i="3"/>
  <c r="Y659" i="3"/>
  <c r="Y715" i="3"/>
  <c r="U765" i="3"/>
  <c r="AF822" i="3"/>
  <c r="AR692" i="3"/>
  <c r="AR724" i="3"/>
  <c r="AB687" i="3"/>
  <c r="AB790" i="3"/>
  <c r="AB838" i="3"/>
  <c r="AB892" i="3"/>
  <c r="P741" i="3"/>
  <c r="AL843" i="3"/>
  <c r="Z888" i="3"/>
  <c r="V703" i="3"/>
  <c r="V807" i="3"/>
  <c r="AF679" i="3"/>
  <c r="T822" i="3"/>
  <c r="AB780" i="3"/>
  <c r="P755" i="3"/>
  <c r="AL801" i="3"/>
  <c r="AM771" i="3"/>
  <c r="AS641" i="3"/>
  <c r="AV759" i="3"/>
  <c r="AX698" i="3"/>
  <c r="AX818" i="3"/>
  <c r="AT696" i="3"/>
  <c r="AN697" i="3"/>
  <c r="AN721" i="3"/>
  <c r="X644" i="3"/>
  <c r="X745" i="3"/>
  <c r="AM780" i="3"/>
  <c r="S894" i="3"/>
  <c r="AW672" i="3"/>
  <c r="AW830" i="3"/>
  <c r="AS779" i="3"/>
  <c r="AO659" i="3"/>
  <c r="AK628" i="3"/>
  <c r="AK829" i="3"/>
  <c r="AK857" i="3"/>
  <c r="AG658" i="3"/>
  <c r="AC755" i="3"/>
  <c r="AC710" i="3"/>
  <c r="AC734" i="3"/>
  <c r="Y699" i="3"/>
  <c r="Y723" i="3"/>
  <c r="U741" i="3"/>
  <c r="AV627" i="3"/>
  <c r="AR708" i="3"/>
  <c r="AR732" i="3"/>
  <c r="AR822" i="3"/>
  <c r="AR886" i="3"/>
  <c r="AB830" i="3"/>
  <c r="AX631" i="3"/>
  <c r="AX639" i="3"/>
  <c r="AX651" i="3"/>
  <c r="AX659" i="3"/>
  <c r="AX667" i="3"/>
  <c r="AX679" i="3"/>
  <c r="AT687" i="3"/>
  <c r="AT809" i="3"/>
  <c r="AT821" i="3"/>
  <c r="AL690" i="3"/>
  <c r="AL722" i="3"/>
  <c r="AL815" i="3"/>
  <c r="AL823" i="3"/>
  <c r="AL859" i="3"/>
  <c r="AH626" i="3"/>
  <c r="AH634" i="3"/>
  <c r="AH642" i="3"/>
  <c r="AH654" i="3"/>
  <c r="AH662" i="3"/>
  <c r="AH670" i="3"/>
  <c r="AH703" i="3"/>
  <c r="AH735" i="3"/>
  <c r="AN652" i="3"/>
  <c r="AN660" i="3"/>
  <c r="AN668" i="3"/>
  <c r="AJ656" i="3"/>
  <c r="AJ664" i="3"/>
  <c r="AJ672" i="3"/>
  <c r="AJ825" i="3"/>
  <c r="AJ845" i="3"/>
  <c r="X692" i="3"/>
  <c r="X700" i="3"/>
  <c r="X716" i="3"/>
  <c r="X724" i="3"/>
  <c r="X732" i="3"/>
  <c r="X852" i="3"/>
  <c r="X868" i="3"/>
  <c r="X879" i="3"/>
  <c r="AU770" i="3"/>
  <c r="AM740" i="3"/>
  <c r="AM777" i="3"/>
  <c r="AM785" i="3"/>
  <c r="AM793" i="3"/>
  <c r="AA799" i="3"/>
  <c r="AA807" i="3"/>
  <c r="AA815" i="3"/>
  <c r="S745" i="3"/>
  <c r="S849" i="3"/>
  <c r="AW853" i="3"/>
  <c r="AS662" i="3"/>
  <c r="AS790" i="3"/>
  <c r="AS810" i="3"/>
  <c r="AS822" i="3"/>
  <c r="AO639" i="3"/>
  <c r="AO807" i="3"/>
  <c r="AO819" i="3"/>
  <c r="AO827" i="3"/>
  <c r="AK784" i="3"/>
  <c r="AK800" i="3"/>
  <c r="AK816" i="3"/>
  <c r="AK824" i="3"/>
  <c r="AG641" i="3"/>
  <c r="AG674" i="3"/>
  <c r="P757" i="3"/>
  <c r="AQ654" i="3"/>
  <c r="AQ743" i="3"/>
  <c r="AQ759" i="3"/>
  <c r="AQ823" i="3"/>
  <c r="AI628" i="3"/>
  <c r="AI891" i="3"/>
  <c r="AE888" i="3"/>
  <c r="W697" i="3"/>
  <c r="W729" i="3"/>
  <c r="O790" i="3"/>
  <c r="O877" i="3"/>
  <c r="AX807" i="3"/>
  <c r="AX819" i="3"/>
  <c r="AX827" i="3"/>
  <c r="AX883" i="3"/>
  <c r="AT801" i="3"/>
  <c r="AT817" i="3"/>
  <c r="AT825" i="3"/>
  <c r="AP887" i="3"/>
  <c r="AL706" i="3"/>
  <c r="AL738" i="3"/>
  <c r="AL807" i="3"/>
  <c r="AL819" i="3"/>
  <c r="AL827" i="3"/>
  <c r="AL838" i="3"/>
  <c r="AL892" i="3"/>
  <c r="AH719" i="3"/>
  <c r="AH835" i="3"/>
  <c r="AH843" i="3"/>
  <c r="AD688" i="3"/>
  <c r="AD704" i="3"/>
  <c r="AD864" i="3"/>
  <c r="V802" i="3"/>
  <c r="V810" i="3"/>
  <c r="V818" i="3"/>
  <c r="V842" i="3"/>
  <c r="R687" i="3"/>
  <c r="R807" i="3"/>
  <c r="R815" i="3"/>
  <c r="R883" i="3"/>
  <c r="AN740" i="3"/>
  <c r="AN748" i="3"/>
  <c r="AN756" i="3"/>
  <c r="AN764" i="3"/>
  <c r="AN839" i="3"/>
  <c r="AJ637" i="3"/>
  <c r="AJ801" i="3"/>
  <c r="AU846" i="3"/>
  <c r="AU854" i="3"/>
  <c r="AU862" i="3"/>
  <c r="AM639" i="3"/>
  <c r="AM652" i="3"/>
  <c r="AM660" i="3"/>
  <c r="AM668" i="3"/>
  <c r="AM773" i="3"/>
  <c r="AM781" i="3"/>
  <c r="AM789" i="3"/>
  <c r="AM841" i="3"/>
  <c r="AM840" i="3"/>
  <c r="AM872" i="3"/>
  <c r="AM894" i="3"/>
  <c r="AW793" i="3"/>
  <c r="AO630" i="3"/>
  <c r="AO795" i="3"/>
  <c r="AO755" i="3"/>
  <c r="AO771" i="3"/>
  <c r="AO847" i="3"/>
  <c r="AK776" i="3"/>
  <c r="AG640" i="3"/>
  <c r="AG797" i="3"/>
  <c r="AG849" i="3"/>
  <c r="P765" i="3"/>
  <c r="AQ662" i="3"/>
  <c r="AQ767" i="3"/>
  <c r="AQ799" i="3"/>
  <c r="AQ843" i="3"/>
  <c r="AE642" i="3"/>
  <c r="W740" i="3"/>
  <c r="W721" i="3"/>
  <c r="W877" i="3"/>
  <c r="O635" i="3"/>
  <c r="O659" i="3"/>
  <c r="O830" i="3"/>
  <c r="O819" i="3"/>
  <c r="O883" i="3"/>
  <c r="AX692" i="3"/>
  <c r="AX724" i="3"/>
  <c r="AX820" i="3"/>
  <c r="AX855" i="3"/>
  <c r="AX863" i="3"/>
  <c r="AX886" i="3"/>
  <c r="AT704" i="3"/>
  <c r="AT736" i="3"/>
  <c r="AT713" i="3"/>
  <c r="AT836" i="3"/>
  <c r="AT844" i="3"/>
  <c r="AT890" i="3"/>
  <c r="AP682" i="3"/>
  <c r="AP681" i="3"/>
  <c r="AP693" i="3"/>
  <c r="AP725" i="3"/>
  <c r="AP702" i="3"/>
  <c r="AP734" i="3"/>
  <c r="AP849" i="3"/>
  <c r="AP857" i="3"/>
  <c r="AP866" i="3"/>
  <c r="AP888" i="3"/>
  <c r="AL715" i="3"/>
  <c r="AL839" i="3"/>
  <c r="AL846" i="3"/>
  <c r="AL854" i="3"/>
  <c r="AL862" i="3"/>
  <c r="AL883" i="3"/>
  <c r="AH740" i="3"/>
  <c r="AH704" i="3"/>
  <c r="AH736" i="3"/>
  <c r="AH836" i="3"/>
  <c r="AH844" i="3"/>
  <c r="AD713" i="3"/>
  <c r="AD861" i="3"/>
  <c r="AD840" i="3"/>
  <c r="AD848" i="3"/>
  <c r="Z701" i="3"/>
  <c r="Z733" i="3"/>
  <c r="Z702" i="3"/>
  <c r="Z734" i="3"/>
  <c r="Z830" i="3"/>
  <c r="Z891" i="3"/>
  <c r="V679" i="3"/>
  <c r="V682" i="3"/>
  <c r="V714" i="3"/>
  <c r="V819" i="3"/>
  <c r="V827" i="3"/>
  <c r="V835" i="3"/>
  <c r="V850" i="3"/>
  <c r="V867" i="3"/>
  <c r="R727" i="3"/>
  <c r="R700" i="3"/>
  <c r="R732" i="3"/>
  <c r="R799" i="3"/>
  <c r="R808" i="3"/>
  <c r="R816" i="3"/>
  <c r="R839" i="3"/>
  <c r="R847" i="3"/>
  <c r="R886" i="3"/>
  <c r="AN681" i="3"/>
  <c r="AN691" i="3"/>
  <c r="AN699" i="3"/>
  <c r="AN707" i="3"/>
  <c r="AN715" i="3"/>
  <c r="AN723" i="3"/>
  <c r="AN731" i="3"/>
  <c r="AN828" i="3"/>
  <c r="AN840" i="3"/>
  <c r="AN894" i="3"/>
  <c r="AJ642" i="3"/>
  <c r="AJ689" i="3"/>
  <c r="AJ697" i="3"/>
  <c r="AJ705" i="3"/>
  <c r="AJ713" i="3"/>
  <c r="AJ721" i="3"/>
  <c r="AJ729" i="3"/>
  <c r="AJ737" i="3"/>
  <c r="AJ837" i="3"/>
  <c r="AJ891" i="3"/>
  <c r="X739" i="3"/>
  <c r="X747" i="3"/>
  <c r="X755" i="3"/>
  <c r="X819" i="3"/>
  <c r="X820" i="3"/>
  <c r="AU690" i="3"/>
  <c r="AU698" i="3"/>
  <c r="AU706" i="3"/>
  <c r="AU714" i="3"/>
  <c r="AU722" i="3"/>
  <c r="AU730" i="3"/>
  <c r="AU738" i="3"/>
  <c r="AU746" i="3"/>
  <c r="AU754" i="3"/>
  <c r="AU762" i="3"/>
  <c r="AU778" i="3"/>
  <c r="AU786" i="3"/>
  <c r="AU794" i="3"/>
  <c r="AU881" i="3"/>
  <c r="AM632" i="3"/>
  <c r="AA679" i="3"/>
  <c r="AA687" i="3"/>
  <c r="AA703" i="3"/>
  <c r="AA711" i="3"/>
  <c r="AA727" i="3"/>
  <c r="AA775" i="3"/>
  <c r="S633" i="3"/>
  <c r="S649" i="3"/>
  <c r="S665" i="3"/>
  <c r="S801" i="3"/>
  <c r="S809" i="3"/>
  <c r="S817" i="3"/>
  <c r="S886" i="3"/>
  <c r="AW629" i="3"/>
  <c r="AW657" i="3"/>
  <c r="AW753" i="3"/>
  <c r="AW836" i="3"/>
  <c r="AW844" i="3"/>
  <c r="AW861" i="3"/>
  <c r="AW881" i="3"/>
  <c r="AS634" i="3"/>
  <c r="AS766" i="3"/>
  <c r="AS682" i="3"/>
  <c r="AS694" i="3"/>
  <c r="AS702" i="3"/>
  <c r="AS710" i="3"/>
  <c r="AS718" i="3"/>
  <c r="AS726" i="3"/>
  <c r="AS734" i="3"/>
  <c r="AS830" i="3"/>
  <c r="AS842" i="3"/>
  <c r="AO667" i="3"/>
  <c r="AO754" i="3"/>
  <c r="AO778" i="3"/>
  <c r="AO839" i="3"/>
  <c r="AO883" i="3"/>
  <c r="AK636" i="3"/>
  <c r="AK643" i="3"/>
  <c r="AK656" i="3"/>
  <c r="AK759" i="3"/>
  <c r="AK744" i="3"/>
  <c r="AK792" i="3"/>
  <c r="AK688" i="3"/>
  <c r="AK696" i="3"/>
  <c r="AK704" i="3"/>
  <c r="AK712" i="3"/>
  <c r="AK720" i="3"/>
  <c r="AK728" i="3"/>
  <c r="AK736" i="3"/>
  <c r="AK851" i="3"/>
  <c r="AK835" i="3"/>
  <c r="AK843" i="3"/>
  <c r="AG638" i="3"/>
  <c r="AG748" i="3"/>
  <c r="AG765" i="3"/>
  <c r="AG788" i="3"/>
  <c r="P749" i="3"/>
  <c r="P822" i="3"/>
  <c r="AQ670" i="3"/>
  <c r="AQ751" i="3"/>
  <c r="AQ815" i="3"/>
  <c r="AQ896" i="3"/>
  <c r="AI890" i="3"/>
  <c r="W689" i="3"/>
  <c r="W713" i="3"/>
  <c r="W745" i="3"/>
  <c r="W897" i="3"/>
  <c r="O651" i="3"/>
  <c r="O774" i="3"/>
  <c r="O827" i="3"/>
  <c r="AX715" i="3"/>
  <c r="AX808" i="3"/>
  <c r="AX860" i="3"/>
  <c r="AX847" i="3"/>
  <c r="AT852" i="3"/>
  <c r="AP797" i="3"/>
  <c r="AL714" i="3"/>
  <c r="AH687" i="3"/>
  <c r="AH640" i="3"/>
  <c r="AH652" i="3"/>
  <c r="AH660" i="3"/>
  <c r="AH668" i="3"/>
  <c r="AH695" i="3"/>
  <c r="AH727" i="3"/>
  <c r="AH851" i="3"/>
  <c r="AH889" i="3"/>
  <c r="AD712" i="3"/>
  <c r="Z837" i="3"/>
  <c r="AN692" i="3"/>
  <c r="AN700" i="3"/>
  <c r="AN708" i="3"/>
  <c r="AN716" i="3"/>
  <c r="AN724" i="3"/>
  <c r="AN732" i="3"/>
  <c r="AN848" i="3"/>
  <c r="AN872" i="3"/>
  <c r="AJ628" i="3"/>
  <c r="AJ654" i="3"/>
  <c r="AJ662" i="3"/>
  <c r="AJ670" i="3"/>
  <c r="AJ817" i="3"/>
  <c r="AJ853" i="3"/>
  <c r="AJ861" i="3"/>
  <c r="X740" i="3"/>
  <c r="X748" i="3"/>
  <c r="X756" i="3"/>
  <c r="AU650" i="3"/>
  <c r="AU658" i="3"/>
  <c r="AU666" i="3"/>
  <c r="AU674" i="3"/>
  <c r="AU802" i="3"/>
  <c r="AU818" i="3"/>
  <c r="AU826" i="3"/>
  <c r="AM680" i="3"/>
  <c r="AA743" i="3"/>
  <c r="AA759" i="3"/>
  <c r="AA767" i="3"/>
  <c r="AA893" i="3"/>
  <c r="S887" i="3"/>
  <c r="AW837" i="3"/>
  <c r="AW845" i="3"/>
  <c r="AS654" i="3"/>
  <c r="AS798" i="3"/>
  <c r="AO631" i="3"/>
  <c r="AO763" i="3"/>
  <c r="AO855" i="3"/>
  <c r="AK836" i="3"/>
  <c r="AK844" i="3"/>
  <c r="AK880" i="3"/>
  <c r="AG633" i="3"/>
  <c r="AG773" i="3"/>
  <c r="AC662" i="3"/>
  <c r="AC742" i="3"/>
  <c r="Y787" i="3"/>
  <c r="Y819" i="3"/>
  <c r="Y827" i="3"/>
  <c r="Y879" i="3"/>
  <c r="U776" i="3"/>
  <c r="U760" i="3"/>
  <c r="U872" i="3"/>
  <c r="U883" i="3"/>
  <c r="Q653" i="3"/>
  <c r="Q749" i="3"/>
  <c r="Q796" i="3"/>
  <c r="Q821" i="3"/>
  <c r="AV690" i="3"/>
  <c r="AV698" i="3"/>
  <c r="AV706" i="3"/>
  <c r="AV714" i="3"/>
  <c r="AV722" i="3"/>
  <c r="AV730" i="3"/>
  <c r="AV738" i="3"/>
  <c r="AV778" i="3"/>
  <c r="AV786" i="3"/>
  <c r="AV794" i="3"/>
  <c r="AV826" i="3"/>
  <c r="AV854" i="3"/>
  <c r="AV881" i="3"/>
  <c r="AF823" i="3"/>
  <c r="AF850" i="3"/>
  <c r="AF858" i="3"/>
  <c r="AF878" i="3"/>
  <c r="T777" i="3"/>
  <c r="T785" i="3"/>
  <c r="T877" i="3"/>
  <c r="T895" i="3"/>
  <c r="AR680" i="3"/>
  <c r="AR654" i="3"/>
  <c r="AR662" i="3"/>
  <c r="AR670" i="3"/>
  <c r="AR775" i="3"/>
  <c r="AR783" i="3"/>
  <c r="AR791" i="3"/>
  <c r="AB679" i="3"/>
  <c r="P654" i="3"/>
  <c r="P662" i="3"/>
  <c r="P888" i="3"/>
  <c r="AQ627" i="3"/>
  <c r="AQ889" i="3"/>
  <c r="AI630" i="3"/>
  <c r="AI689" i="3"/>
  <c r="AI697" i="3"/>
  <c r="AI705" i="3"/>
  <c r="AI713" i="3"/>
  <c r="AI721" i="3"/>
  <c r="AI729" i="3"/>
  <c r="AI737" i="3"/>
  <c r="AI800" i="3"/>
  <c r="AI816" i="3"/>
  <c r="AI824" i="3"/>
  <c r="AE694" i="3"/>
  <c r="AE702" i="3"/>
  <c r="AE710" i="3"/>
  <c r="AE718" i="3"/>
  <c r="AE726" i="3"/>
  <c r="AE734" i="3"/>
  <c r="AE750" i="3"/>
  <c r="AE758" i="3"/>
  <c r="AE766" i="3"/>
  <c r="AE841" i="3"/>
  <c r="AE809" i="3"/>
  <c r="AE821" i="3"/>
  <c r="AE850" i="3"/>
  <c r="AE858" i="3"/>
  <c r="AE866" i="3"/>
  <c r="AE878" i="3"/>
  <c r="AC882" i="3"/>
  <c r="Y635" i="3"/>
  <c r="Y755" i="3"/>
  <c r="Y779" i="3"/>
  <c r="Y835" i="3"/>
  <c r="U744" i="3"/>
  <c r="U680" i="3"/>
  <c r="U688" i="3"/>
  <c r="U704" i="3"/>
  <c r="U712" i="3"/>
  <c r="U728" i="3"/>
  <c r="Q765" i="3"/>
  <c r="Q780" i="3"/>
  <c r="Q877" i="3"/>
  <c r="AV745" i="3"/>
  <c r="AV753" i="3"/>
  <c r="AV761" i="3"/>
  <c r="AV769" i="3"/>
  <c r="AV802" i="3"/>
  <c r="AF626" i="3"/>
  <c r="AR640" i="3"/>
  <c r="AR743" i="3"/>
  <c r="AR751" i="3"/>
  <c r="AR759" i="3"/>
  <c r="AR767" i="3"/>
  <c r="AB775" i="3"/>
  <c r="AB807" i="3"/>
  <c r="AB839" i="3"/>
  <c r="AB893" i="3"/>
  <c r="P742" i="3"/>
  <c r="P750" i="3"/>
  <c r="P758" i="3"/>
  <c r="P766" i="3"/>
  <c r="AQ643" i="3"/>
  <c r="AQ655" i="3"/>
  <c r="AQ663" i="3"/>
  <c r="AQ671" i="3"/>
  <c r="AE639" i="3"/>
  <c r="AE830" i="3"/>
  <c r="O878" i="3"/>
  <c r="AG857" i="3"/>
  <c r="AG840" i="3"/>
  <c r="AC629" i="3"/>
  <c r="AC661" i="3"/>
  <c r="AC766" i="3"/>
  <c r="AC854" i="3"/>
  <c r="Y746" i="3"/>
  <c r="Y795" i="3"/>
  <c r="Y778" i="3"/>
  <c r="U671" i="3"/>
  <c r="U848" i="3"/>
  <c r="Q701" i="3"/>
  <c r="Q709" i="3"/>
  <c r="Q725" i="3"/>
  <c r="Q733" i="3"/>
  <c r="Q853" i="3"/>
  <c r="AV638" i="3"/>
  <c r="AV746" i="3"/>
  <c r="AV754" i="3"/>
  <c r="AV762" i="3"/>
  <c r="AV801" i="3"/>
  <c r="AV775" i="3"/>
  <c r="AV783" i="3"/>
  <c r="AV791" i="3"/>
  <c r="AF742" i="3"/>
  <c r="AF750" i="3"/>
  <c r="AF758" i="3"/>
  <c r="AF766" i="3"/>
  <c r="T633" i="3"/>
  <c r="T774" i="3"/>
  <c r="T790" i="3"/>
  <c r="T801" i="3"/>
  <c r="T892" i="3"/>
  <c r="AR635" i="3"/>
  <c r="AR694" i="3"/>
  <c r="AR702" i="3"/>
  <c r="AR710" i="3"/>
  <c r="AR718" i="3"/>
  <c r="AR726" i="3"/>
  <c r="AR734" i="3"/>
  <c r="AR772" i="3"/>
  <c r="AR780" i="3"/>
  <c r="AR788" i="3"/>
  <c r="AR796" i="3"/>
  <c r="AR835" i="3"/>
  <c r="AR843" i="3"/>
  <c r="AR851" i="3"/>
  <c r="AR889" i="3"/>
  <c r="AR897" i="3"/>
  <c r="AB663" i="3"/>
  <c r="AB671" i="3"/>
  <c r="AB688" i="3"/>
  <c r="AB703" i="3"/>
  <c r="AB711" i="3"/>
  <c r="AB727" i="3"/>
  <c r="AB743" i="3"/>
  <c r="AB759" i="3"/>
  <c r="AB767" i="3"/>
  <c r="AB776" i="3"/>
  <c r="AB840" i="3"/>
  <c r="AB894" i="3"/>
  <c r="P651" i="3"/>
  <c r="P659" i="3"/>
  <c r="P743" i="3"/>
  <c r="P759" i="3"/>
  <c r="P767" i="3"/>
  <c r="P774" i="3"/>
  <c r="P790" i="3"/>
  <c r="P798" i="3"/>
  <c r="P875" i="3"/>
  <c r="AQ775" i="3"/>
  <c r="AQ783" i="3"/>
  <c r="AQ791" i="3"/>
  <c r="AI629" i="3"/>
  <c r="AI837" i="3"/>
  <c r="W691" i="3"/>
  <c r="W699" i="3"/>
  <c r="W715" i="3"/>
  <c r="W723" i="3"/>
  <c r="W731" i="3"/>
  <c r="W739" i="3"/>
  <c r="W747" i="3"/>
  <c r="W755" i="3"/>
  <c r="W879" i="3"/>
  <c r="O887" i="3"/>
  <c r="AG829" i="3"/>
  <c r="AG841" i="3"/>
  <c r="AG887" i="3"/>
  <c r="AC630" i="3"/>
  <c r="AC654" i="3"/>
  <c r="Y643" i="3"/>
  <c r="U877" i="3"/>
  <c r="Q629" i="3"/>
  <c r="Q773" i="3"/>
  <c r="Q788" i="3"/>
  <c r="Q887" i="3"/>
  <c r="AV739" i="3"/>
  <c r="AV747" i="3"/>
  <c r="AV755" i="3"/>
  <c r="AV763" i="3"/>
  <c r="AV799" i="3"/>
  <c r="AV818" i="3"/>
  <c r="AV879" i="3"/>
  <c r="AF633" i="3"/>
  <c r="AF641" i="3"/>
  <c r="AF634" i="3"/>
  <c r="AF694" i="3"/>
  <c r="AF702" i="3"/>
  <c r="AF710" i="3"/>
  <c r="AF718" i="3"/>
  <c r="AF726" i="3"/>
  <c r="AF734" i="3"/>
  <c r="AF830" i="3"/>
  <c r="AF842" i="3"/>
  <c r="AF896" i="3"/>
  <c r="AR626" i="3"/>
  <c r="AR695" i="3"/>
  <c r="AR703" i="3"/>
  <c r="AR711" i="3"/>
  <c r="AR719" i="3"/>
  <c r="AR727" i="3"/>
  <c r="AR735" i="3"/>
  <c r="AR859" i="3"/>
  <c r="AB815" i="3"/>
  <c r="AB847" i="3"/>
  <c r="P878" i="3"/>
  <c r="P896" i="3"/>
  <c r="W636" i="3"/>
  <c r="W692" i="3"/>
  <c r="W700" i="3"/>
  <c r="W716" i="3"/>
  <c r="W724" i="3"/>
  <c r="W732" i="3"/>
  <c r="W748" i="3"/>
  <c r="W756" i="3"/>
  <c r="W880" i="3"/>
  <c r="AQ741" i="3"/>
  <c r="AQ829" i="3"/>
  <c r="AQ773" i="3"/>
  <c r="AQ777" i="3"/>
  <c r="AQ781" i="3"/>
  <c r="AQ785" i="3"/>
  <c r="AQ789" i="3"/>
  <c r="AQ793" i="3"/>
  <c r="AQ891" i="3"/>
  <c r="AI651" i="3"/>
  <c r="AI655" i="3"/>
  <c r="AI659" i="3"/>
  <c r="AI663" i="3"/>
  <c r="AI667" i="3"/>
  <c r="AI671" i="3"/>
  <c r="AI679" i="3"/>
  <c r="AI739" i="3"/>
  <c r="AI835" i="3"/>
  <c r="AI799" i="3"/>
  <c r="AI807" i="3"/>
  <c r="AI815" i="3"/>
  <c r="AI819" i="3"/>
  <c r="AI823" i="3"/>
  <c r="AI827" i="3"/>
  <c r="AI879" i="3"/>
  <c r="AI883" i="3"/>
  <c r="AE636" i="3"/>
  <c r="AE652" i="3"/>
  <c r="AE656" i="3"/>
  <c r="AE660" i="3"/>
  <c r="AE664" i="3"/>
  <c r="AE668" i="3"/>
  <c r="AE672" i="3"/>
  <c r="AE800" i="3"/>
  <c r="AE808" i="3"/>
  <c r="AE816" i="3"/>
  <c r="AE820" i="3"/>
  <c r="AE824" i="3"/>
  <c r="AE828" i="3"/>
  <c r="W798" i="3"/>
  <c r="W802" i="3"/>
  <c r="W810" i="3"/>
  <c r="W818" i="3"/>
  <c r="W822" i="3"/>
  <c r="W888" i="3"/>
  <c r="O644" i="3"/>
  <c r="O840" i="3"/>
  <c r="O848" i="3"/>
  <c r="O852" i="3"/>
  <c r="AX721" i="3"/>
  <c r="AX717" i="3"/>
  <c r="AX837" i="3"/>
  <c r="AT702" i="3"/>
  <c r="AT630" i="3"/>
  <c r="AT638" i="3"/>
  <c r="AT650" i="3"/>
  <c r="AT654" i="3"/>
  <c r="AT662" i="3"/>
  <c r="AT674" i="3"/>
  <c r="AT802" i="3"/>
  <c r="AT818" i="3"/>
  <c r="AT826" i="3"/>
  <c r="AP727" i="3"/>
  <c r="AP627" i="3"/>
  <c r="AP635" i="3"/>
  <c r="AP643" i="3"/>
  <c r="AP655" i="3"/>
  <c r="AP663" i="3"/>
  <c r="AP671" i="3"/>
  <c r="AP835" i="3"/>
  <c r="AP843" i="3"/>
  <c r="AL700" i="3"/>
  <c r="AL692" i="3"/>
  <c r="AL628" i="3"/>
  <c r="AL636" i="3"/>
  <c r="AL640" i="3"/>
  <c r="AL656" i="3"/>
  <c r="AL664" i="3"/>
  <c r="AL672" i="3"/>
  <c r="AL800" i="3"/>
  <c r="AL816" i="3"/>
  <c r="AL820" i="3"/>
  <c r="AL828" i="3"/>
  <c r="AH705" i="3"/>
  <c r="AH891" i="3"/>
  <c r="AD626" i="3"/>
  <c r="AD634" i="3"/>
  <c r="AD650" i="3"/>
  <c r="AD662" i="3"/>
  <c r="AD674" i="3"/>
  <c r="AD810" i="3"/>
  <c r="AD822" i="3"/>
  <c r="AD830" i="3"/>
  <c r="AD888" i="3"/>
  <c r="Z699" i="3"/>
  <c r="Z815" i="3"/>
  <c r="Z827" i="3"/>
  <c r="Z847" i="3"/>
  <c r="V712" i="3"/>
  <c r="V628" i="3"/>
  <c r="V652" i="3"/>
  <c r="V664" i="3"/>
  <c r="V680" i="3"/>
  <c r="R689" i="3"/>
  <c r="AJ779" i="3"/>
  <c r="AJ787" i="3"/>
  <c r="AJ795" i="3"/>
  <c r="AJ879" i="3"/>
  <c r="AU636" i="3"/>
  <c r="AU844" i="3"/>
  <c r="AU890" i="3"/>
  <c r="AM634" i="3"/>
  <c r="AM774" i="3"/>
  <c r="AM778" i="3"/>
  <c r="AM782" i="3"/>
  <c r="AM786" i="3"/>
  <c r="AM790" i="3"/>
  <c r="AM794" i="3"/>
  <c r="AM838" i="3"/>
  <c r="AM892" i="3"/>
  <c r="AM877" i="3"/>
  <c r="AM881" i="3"/>
  <c r="AA680" i="3"/>
  <c r="AA829" i="3"/>
  <c r="AA841" i="3"/>
  <c r="AA800" i="3"/>
  <c r="AA808" i="3"/>
  <c r="AA816" i="3"/>
  <c r="AA820" i="3"/>
  <c r="AA828" i="3"/>
  <c r="AA849" i="3"/>
  <c r="AA853" i="3"/>
  <c r="AA861" i="3"/>
  <c r="AA890" i="3"/>
  <c r="S635" i="3"/>
  <c r="S896" i="3"/>
  <c r="S879" i="3"/>
  <c r="AW651" i="3"/>
  <c r="AW667" i="3"/>
  <c r="AW639" i="3"/>
  <c r="AW743" i="3"/>
  <c r="AW759" i="3"/>
  <c r="AW771" i="3"/>
  <c r="AW787" i="3"/>
  <c r="AW883" i="3"/>
  <c r="AW889" i="3"/>
  <c r="AW893" i="3"/>
  <c r="AW897" i="3"/>
  <c r="AS656" i="3"/>
  <c r="AS672" i="3"/>
  <c r="AS632" i="3"/>
  <c r="AS756" i="3"/>
  <c r="AS776" i="3"/>
  <c r="AS792" i="3"/>
  <c r="AS848" i="3"/>
  <c r="AS852" i="3"/>
  <c r="AS880" i="3"/>
  <c r="AS890" i="3"/>
  <c r="AS894" i="3"/>
  <c r="AO661" i="3"/>
  <c r="AO629" i="3"/>
  <c r="AO753" i="3"/>
  <c r="AO769" i="3"/>
  <c r="AO773" i="3"/>
  <c r="AO789" i="3"/>
  <c r="AO849" i="3"/>
  <c r="AO857" i="3"/>
  <c r="AX725" i="3"/>
  <c r="AX713" i="3"/>
  <c r="AX797" i="3"/>
  <c r="AX841" i="3"/>
  <c r="AT690" i="3"/>
  <c r="AT626" i="3"/>
  <c r="AT634" i="3"/>
  <c r="AT642" i="3"/>
  <c r="AT658" i="3"/>
  <c r="AT666" i="3"/>
  <c r="AT670" i="3"/>
  <c r="AT810" i="3"/>
  <c r="AT822" i="3"/>
  <c r="AP703" i="3"/>
  <c r="AP631" i="3"/>
  <c r="AP639" i="3"/>
  <c r="AP651" i="3"/>
  <c r="AP659" i="3"/>
  <c r="AP667" i="3"/>
  <c r="AP679" i="3"/>
  <c r="AP839" i="3"/>
  <c r="AL704" i="3"/>
  <c r="AL712" i="3"/>
  <c r="AL632" i="3"/>
  <c r="AL644" i="3"/>
  <c r="AL652" i="3"/>
  <c r="AL660" i="3"/>
  <c r="AL668" i="3"/>
  <c r="AL808" i="3"/>
  <c r="AL824" i="3"/>
  <c r="AH725" i="3"/>
  <c r="AH701" i="3"/>
  <c r="AH681" i="3"/>
  <c r="AD722" i="3"/>
  <c r="AD630" i="3"/>
  <c r="AD642" i="3"/>
  <c r="AD654" i="3"/>
  <c r="AD666" i="3"/>
  <c r="AD802" i="3"/>
  <c r="AD818" i="3"/>
  <c r="Z723" i="3"/>
  <c r="Z807" i="3"/>
  <c r="Z819" i="3"/>
  <c r="Z851" i="3"/>
  <c r="V724" i="3"/>
  <c r="V716" i="3"/>
  <c r="V636" i="3"/>
  <c r="V644" i="3"/>
  <c r="V660" i="3"/>
  <c r="V672" i="3"/>
  <c r="V886" i="3"/>
  <c r="R713" i="3"/>
  <c r="R891" i="3"/>
  <c r="AJ775" i="3"/>
  <c r="AJ783" i="3"/>
  <c r="AJ791" i="3"/>
  <c r="AJ847" i="3"/>
  <c r="AX689" i="3"/>
  <c r="AX729" i="3"/>
  <c r="AX733" i="3"/>
  <c r="AX629" i="3"/>
  <c r="AX633" i="3"/>
  <c r="AX637" i="3"/>
  <c r="AX641" i="3"/>
  <c r="AX649" i="3"/>
  <c r="AX653" i="3"/>
  <c r="AX657" i="3"/>
  <c r="AX661" i="3"/>
  <c r="AX665" i="3"/>
  <c r="AX669" i="3"/>
  <c r="AX673" i="3"/>
  <c r="AX869" i="3"/>
  <c r="AX801" i="3"/>
  <c r="AX809" i="3"/>
  <c r="AX817" i="3"/>
  <c r="AX821" i="3"/>
  <c r="AX825" i="3"/>
  <c r="AX829" i="3"/>
  <c r="AX887" i="3"/>
  <c r="AT718" i="3"/>
  <c r="AT706" i="3"/>
  <c r="AT694" i="3"/>
  <c r="AT682" i="3"/>
  <c r="AT798" i="3"/>
  <c r="AT858" i="3"/>
  <c r="AT882" i="3"/>
  <c r="AP691" i="3"/>
  <c r="AP687" i="3"/>
  <c r="AP699" i="3"/>
  <c r="AP719" i="3"/>
  <c r="AP799" i="3"/>
  <c r="AP883" i="3"/>
  <c r="AL716" i="3"/>
  <c r="AL720" i="3"/>
  <c r="AL708" i="3"/>
  <c r="AL728" i="3"/>
  <c r="AL680" i="3"/>
  <c r="AL836" i="3"/>
  <c r="AL840" i="3"/>
  <c r="AL844" i="3"/>
  <c r="AL890" i="3"/>
  <c r="AL886" i="3"/>
  <c r="AH697" i="3"/>
  <c r="AH717" i="3"/>
  <c r="AH721" i="3"/>
  <c r="AH837" i="3"/>
  <c r="AH841" i="3"/>
  <c r="AH887" i="3"/>
  <c r="AD698" i="3"/>
  <c r="AD682" i="3"/>
  <c r="Z715" i="3"/>
  <c r="Z703" i="3"/>
  <c r="Z687" i="3"/>
  <c r="Z799" i="3"/>
  <c r="Z871" i="3"/>
  <c r="Z883" i="3"/>
  <c r="V704" i="3"/>
  <c r="V728" i="3"/>
  <c r="V732" i="3"/>
  <c r="V800" i="3"/>
  <c r="V808" i="3"/>
  <c r="V816" i="3"/>
  <c r="V820" i="3"/>
  <c r="V828" i="3"/>
  <c r="V836" i="3"/>
  <c r="V840" i="3"/>
  <c r="V890" i="3"/>
  <c r="R729" i="3"/>
  <c r="R733" i="3"/>
  <c r="R681" i="3"/>
  <c r="R801" i="3"/>
  <c r="R809" i="3"/>
  <c r="R817" i="3"/>
  <c r="R821" i="3"/>
  <c r="R829" i="3"/>
  <c r="R869" i="3"/>
  <c r="R887" i="3"/>
  <c r="AN638" i="3"/>
  <c r="AN650" i="3"/>
  <c r="AN654" i="3"/>
  <c r="AO877" i="3"/>
  <c r="AO891" i="3"/>
  <c r="AO895" i="3"/>
  <c r="AK654" i="3"/>
  <c r="AK670" i="3"/>
  <c r="AK634" i="3"/>
  <c r="AK742" i="3"/>
  <c r="AK758" i="3"/>
  <c r="AK770" i="3"/>
  <c r="AK774" i="3"/>
  <c r="AK790" i="3"/>
  <c r="AK850" i="3"/>
  <c r="AK878" i="3"/>
  <c r="AK882" i="3"/>
  <c r="AK888" i="3"/>
  <c r="AK892" i="3"/>
  <c r="AK896" i="3"/>
  <c r="AG651" i="3"/>
  <c r="AG667" i="3"/>
  <c r="AG627" i="3"/>
  <c r="AG643" i="3"/>
  <c r="AG755" i="3"/>
  <c r="AG783" i="3"/>
  <c r="AG799" i="3"/>
  <c r="AG807" i="3"/>
  <c r="AG815" i="3"/>
  <c r="AG819" i="3"/>
  <c r="AG823" i="3"/>
  <c r="AG827" i="3"/>
  <c r="AG851" i="3"/>
  <c r="AG883" i="3"/>
  <c r="AG889" i="3"/>
  <c r="AG893" i="3"/>
  <c r="AG897" i="3"/>
  <c r="AC672" i="3"/>
  <c r="AC680" i="3"/>
  <c r="AC688" i="3"/>
  <c r="AC692" i="3"/>
  <c r="AC700" i="3"/>
  <c r="AC704" i="3"/>
  <c r="AC712" i="3"/>
  <c r="AC716" i="3"/>
  <c r="AC724" i="3"/>
  <c r="AC728" i="3"/>
  <c r="AC732" i="3"/>
  <c r="AC744" i="3"/>
  <c r="AC760" i="3"/>
  <c r="AC776" i="3"/>
  <c r="AC836" i="3"/>
  <c r="AC840" i="3"/>
  <c r="AC860" i="3"/>
  <c r="AC886" i="3"/>
  <c r="AC890" i="3"/>
  <c r="AC894" i="3"/>
  <c r="Y653" i="3"/>
  <c r="Y633" i="3"/>
  <c r="Y681" i="3"/>
  <c r="Y689" i="3"/>
  <c r="Y697" i="3"/>
  <c r="Y701" i="3"/>
  <c r="Y709" i="3"/>
  <c r="Y713" i="3"/>
  <c r="Y721" i="3"/>
  <c r="Y725" i="3"/>
  <c r="Y729" i="3"/>
  <c r="Y733" i="3"/>
  <c r="Y749" i="3"/>
  <c r="Y765" i="3"/>
  <c r="Y773" i="3"/>
  <c r="Y789" i="3"/>
  <c r="Y877" i="3"/>
  <c r="Y887" i="3"/>
  <c r="Y891" i="3"/>
  <c r="Y895" i="3"/>
  <c r="U674" i="3"/>
  <c r="U626" i="3"/>
  <c r="U642" i="3"/>
  <c r="U746" i="3"/>
  <c r="U786" i="3"/>
  <c r="U830" i="3"/>
  <c r="U838" i="3"/>
  <c r="U842" i="3"/>
  <c r="U854" i="3"/>
  <c r="U892" i="3"/>
  <c r="U896" i="3"/>
  <c r="Q659" i="3"/>
  <c r="Q627" i="3"/>
  <c r="Q643" i="3"/>
  <c r="Q743" i="3"/>
  <c r="Q759" i="3"/>
  <c r="Q775" i="3"/>
  <c r="Q802" i="3"/>
  <c r="Q810" i="3"/>
  <c r="Q835" i="3"/>
  <c r="Q839" i="3"/>
  <c r="Q851" i="3"/>
  <c r="Q889" i="3"/>
  <c r="Q893" i="3"/>
  <c r="Q897" i="3"/>
  <c r="AV636" i="3"/>
  <c r="AV808" i="3"/>
  <c r="AV828" i="3"/>
  <c r="AV836" i="3"/>
  <c r="AV840" i="3"/>
  <c r="AV844" i="3"/>
  <c r="AV890" i="3"/>
  <c r="AV894" i="3"/>
  <c r="AF635" i="3"/>
  <c r="AF820" i="3"/>
  <c r="AF772" i="3"/>
  <c r="AF776" i="3"/>
  <c r="AF780" i="3"/>
  <c r="AF784" i="3"/>
  <c r="AF788" i="3"/>
  <c r="AF792" i="3"/>
  <c r="AF796" i="3"/>
  <c r="T743" i="3"/>
  <c r="T747" i="3"/>
  <c r="T755" i="3"/>
  <c r="T759" i="3"/>
  <c r="T767" i="3"/>
  <c r="T819" i="3"/>
  <c r="T847" i="3"/>
  <c r="T883" i="3"/>
  <c r="AR633" i="3"/>
  <c r="AR681" i="3"/>
  <c r="AR797" i="3"/>
  <c r="AR821" i="3"/>
  <c r="AR887" i="3"/>
  <c r="AR881" i="3"/>
  <c r="AB641" i="3"/>
  <c r="AB809" i="3"/>
  <c r="P808" i="3"/>
  <c r="P836" i="3"/>
  <c r="P840" i="3"/>
  <c r="P876" i="3"/>
  <c r="AQ629" i="3"/>
  <c r="AQ633" i="3"/>
  <c r="AQ652" i="3"/>
  <c r="AQ656" i="3"/>
  <c r="AQ660" i="3"/>
  <c r="AQ664" i="3"/>
  <c r="AQ668" i="3"/>
  <c r="AQ672" i="3"/>
  <c r="AQ745" i="3"/>
  <c r="AQ749" i="3"/>
  <c r="AQ753" i="3"/>
  <c r="AQ757" i="3"/>
  <c r="AQ761" i="3"/>
  <c r="AQ765" i="3"/>
  <c r="AQ769" i="3"/>
  <c r="AQ841" i="3"/>
  <c r="AQ797" i="3"/>
  <c r="AQ801" i="3"/>
  <c r="AQ809" i="3"/>
  <c r="AQ817" i="3"/>
  <c r="AQ821" i="3"/>
  <c r="AQ825" i="3"/>
  <c r="AN658" i="3"/>
  <c r="AN662" i="3"/>
  <c r="AN666" i="3"/>
  <c r="AN670" i="3"/>
  <c r="AN674" i="3"/>
  <c r="AN742" i="3"/>
  <c r="AN746" i="3"/>
  <c r="AN750" i="3"/>
  <c r="AN754" i="3"/>
  <c r="AN758" i="3"/>
  <c r="AN762" i="3"/>
  <c r="AN766" i="3"/>
  <c r="AN770" i="3"/>
  <c r="AN818" i="3"/>
  <c r="AJ635" i="3"/>
  <c r="AJ815" i="3"/>
  <c r="AJ883" i="3"/>
  <c r="X626" i="3"/>
  <c r="X642" i="3"/>
  <c r="X682" i="3"/>
  <c r="X690" i="3"/>
  <c r="X698" i="3"/>
  <c r="X702" i="3"/>
  <c r="X710" i="3"/>
  <c r="X714" i="3"/>
  <c r="X722" i="3"/>
  <c r="X726" i="3"/>
  <c r="X730" i="3"/>
  <c r="X734" i="3"/>
  <c r="X822" i="3"/>
  <c r="X850" i="3"/>
  <c r="X854" i="3"/>
  <c r="X888" i="3"/>
  <c r="AU640" i="3"/>
  <c r="AU628" i="3"/>
  <c r="AU740" i="3"/>
  <c r="AU848" i="3"/>
  <c r="AU852" i="3"/>
  <c r="AU856" i="3"/>
  <c r="AU860" i="3"/>
  <c r="AU864" i="3"/>
  <c r="AU894" i="3"/>
  <c r="AM638" i="3"/>
  <c r="AM650" i="3"/>
  <c r="AM654" i="3"/>
  <c r="AM658" i="3"/>
  <c r="AM662" i="3"/>
  <c r="AM666" i="3"/>
  <c r="AM670" i="3"/>
  <c r="AM674" i="3"/>
  <c r="AM842" i="3"/>
  <c r="AM888" i="3"/>
  <c r="AM896" i="3"/>
  <c r="AM878" i="3"/>
  <c r="AM882" i="3"/>
  <c r="AA629" i="3"/>
  <c r="AA633" i="3"/>
  <c r="AA741" i="3"/>
  <c r="AA801" i="3"/>
  <c r="AA809" i="3"/>
  <c r="AA817" i="3"/>
  <c r="AA821" i="3"/>
  <c r="S743" i="3"/>
  <c r="S747" i="3"/>
  <c r="S755" i="3"/>
  <c r="S759" i="3"/>
  <c r="S767" i="3"/>
  <c r="S835" i="3"/>
  <c r="S847" i="3"/>
  <c r="S851" i="3"/>
  <c r="S897" i="3"/>
  <c r="AW655" i="3"/>
  <c r="AW671" i="3"/>
  <c r="AW627" i="3"/>
  <c r="AW643" i="3"/>
  <c r="AW747" i="3"/>
  <c r="AW763" i="3"/>
  <c r="AW775" i="3"/>
  <c r="AW791" i="3"/>
  <c r="AW851" i="3"/>
  <c r="AW858" i="3"/>
  <c r="AW882" i="3"/>
  <c r="AS660" i="3"/>
  <c r="AS636" i="3"/>
  <c r="AS744" i="3"/>
  <c r="AS760" i="3"/>
  <c r="AS780" i="3"/>
  <c r="AS796" i="3"/>
  <c r="AS800" i="3"/>
  <c r="AS808" i="3"/>
  <c r="AS816" i="3"/>
  <c r="AS820" i="3"/>
  <c r="AS824" i="3"/>
  <c r="AS828" i="3"/>
  <c r="AS856" i="3"/>
  <c r="AS886" i="3"/>
  <c r="AO649" i="3"/>
  <c r="AO665" i="3"/>
  <c r="AO660" i="3"/>
  <c r="AO633" i="3"/>
  <c r="AO741" i="3"/>
  <c r="AO757" i="3"/>
  <c r="AO777" i="3"/>
  <c r="AO793" i="3"/>
  <c r="AO801" i="3"/>
  <c r="AO809" i="3"/>
  <c r="AO817" i="3"/>
  <c r="AO821" i="3"/>
  <c r="AO825" i="3"/>
  <c r="AO881" i="3"/>
  <c r="AK658" i="3"/>
  <c r="AK674" i="3"/>
  <c r="AK638" i="3"/>
  <c r="AK746" i="3"/>
  <c r="AK762" i="3"/>
  <c r="AK778" i="3"/>
  <c r="AK794" i="3"/>
  <c r="AK798" i="3"/>
  <c r="AK802" i="3"/>
  <c r="AK810" i="3"/>
  <c r="AK818" i="3"/>
  <c r="AK822" i="3"/>
  <c r="AK826" i="3"/>
  <c r="AK858" i="3"/>
  <c r="AG655" i="3"/>
  <c r="AG671" i="3"/>
  <c r="AG743" i="3"/>
  <c r="AG759" i="3"/>
  <c r="AG771" i="3"/>
  <c r="AG787" i="3"/>
  <c r="AG879" i="3"/>
  <c r="AC660" i="3"/>
  <c r="AC636" i="3"/>
  <c r="AC748" i="3"/>
  <c r="AC780" i="3"/>
  <c r="AC796" i="3"/>
  <c r="AC852" i="3"/>
  <c r="Y673" i="3"/>
  <c r="Y777" i="3"/>
  <c r="Y801" i="3"/>
  <c r="Y809" i="3"/>
  <c r="Y817" i="3"/>
  <c r="Y821" i="3"/>
  <c r="Y829" i="3"/>
  <c r="Y837" i="3"/>
  <c r="Y841" i="3"/>
  <c r="U662" i="3"/>
  <c r="U682" i="3"/>
  <c r="U690" i="3"/>
  <c r="U698" i="3"/>
  <c r="U702" i="3"/>
  <c r="U710" i="3"/>
  <c r="U714" i="3"/>
  <c r="U722" i="3"/>
  <c r="U726" i="3"/>
  <c r="U730" i="3"/>
  <c r="U734" i="3"/>
  <c r="U750" i="3"/>
  <c r="U766" i="3"/>
  <c r="U774" i="3"/>
  <c r="U790" i="3"/>
  <c r="U850" i="3"/>
  <c r="Q663" i="3"/>
  <c r="Q747" i="3"/>
  <c r="Q786" i="3"/>
  <c r="Q815" i="3"/>
  <c r="Q819" i="3"/>
  <c r="Q827" i="3"/>
  <c r="Q883" i="3"/>
  <c r="AV640" i="3"/>
  <c r="AI631" i="3"/>
  <c r="AI635" i="3"/>
  <c r="AI682" i="3"/>
  <c r="AI690" i="3"/>
  <c r="AI694" i="3"/>
  <c r="AI698" i="3"/>
  <c r="AI702" i="3"/>
  <c r="AI706" i="3"/>
  <c r="AI710" i="3"/>
  <c r="AI714" i="3"/>
  <c r="AI718" i="3"/>
  <c r="AI722" i="3"/>
  <c r="AI726" i="3"/>
  <c r="AI730" i="3"/>
  <c r="AI734" i="3"/>
  <c r="AI738" i="3"/>
  <c r="AI743" i="3"/>
  <c r="AI747" i="3"/>
  <c r="AI751" i="3"/>
  <c r="AI755" i="3"/>
  <c r="AI759" i="3"/>
  <c r="AI763" i="3"/>
  <c r="AI767" i="3"/>
  <c r="AI770" i="3"/>
  <c r="AI843" i="3"/>
  <c r="AI847" i="3"/>
  <c r="AI851" i="3"/>
  <c r="AI855" i="3"/>
  <c r="AI859" i="3"/>
  <c r="AI863" i="3"/>
  <c r="AI889" i="3"/>
  <c r="AI897" i="3"/>
  <c r="AE687" i="3"/>
  <c r="AE691" i="3"/>
  <c r="AE695" i="3"/>
  <c r="AE699" i="3"/>
  <c r="AE703" i="3"/>
  <c r="AE707" i="3"/>
  <c r="AE711" i="3"/>
  <c r="AE715" i="3"/>
  <c r="AE719" i="3"/>
  <c r="AE723" i="3"/>
  <c r="AE727" i="3"/>
  <c r="AE731" i="3"/>
  <c r="AE735" i="3"/>
  <c r="AE743" i="3"/>
  <c r="AE747" i="3"/>
  <c r="AE751" i="3"/>
  <c r="AE755" i="3"/>
  <c r="AE759" i="3"/>
  <c r="AE763" i="3"/>
  <c r="AE767" i="3"/>
  <c r="AE835" i="3"/>
  <c r="AE844" i="3"/>
  <c r="AE847" i="3"/>
  <c r="AE851" i="3"/>
  <c r="AE855" i="3"/>
  <c r="AE859" i="3"/>
  <c r="AE863" i="3"/>
  <c r="AE867" i="3"/>
  <c r="AE871" i="3"/>
  <c r="AE879" i="3"/>
  <c r="AE886" i="3"/>
  <c r="W634" i="3"/>
  <c r="W742" i="3"/>
  <c r="W774" i="3"/>
  <c r="W778" i="3"/>
  <c r="W786" i="3"/>
  <c r="W790" i="3"/>
  <c r="W830" i="3"/>
  <c r="W842" i="3"/>
  <c r="W895" i="3"/>
  <c r="O628" i="3"/>
  <c r="O627" i="3"/>
  <c r="O643" i="3"/>
  <c r="O680" i="3"/>
  <c r="O740" i="3"/>
  <c r="O776" i="3"/>
  <c r="O780" i="3"/>
  <c r="O788" i="3"/>
  <c r="O796" i="3"/>
  <c r="O835" i="3"/>
  <c r="O875" i="3"/>
  <c r="O879" i="3"/>
  <c r="O893" i="3"/>
  <c r="AV688" i="3"/>
  <c r="AV692" i="3"/>
  <c r="AV696" i="3"/>
  <c r="AV700" i="3"/>
  <c r="AV704" i="3"/>
  <c r="AV708" i="3"/>
  <c r="AV712" i="3"/>
  <c r="AV716" i="3"/>
  <c r="AV720" i="3"/>
  <c r="AV724" i="3"/>
  <c r="AV728" i="3"/>
  <c r="AV732" i="3"/>
  <c r="AV736" i="3"/>
  <c r="AV816" i="3"/>
  <c r="AV772" i="3"/>
  <c r="AV776" i="3"/>
  <c r="AV780" i="3"/>
  <c r="AV784" i="3"/>
  <c r="AV788" i="3"/>
  <c r="AV792" i="3"/>
  <c r="AV796" i="3"/>
  <c r="AV848" i="3"/>
  <c r="AV852" i="3"/>
  <c r="AV856" i="3"/>
  <c r="AF639" i="3"/>
  <c r="AF800" i="3"/>
  <c r="AF824" i="3"/>
  <c r="AF852" i="3"/>
  <c r="AF856" i="3"/>
  <c r="AF860" i="3"/>
  <c r="AF864" i="3"/>
  <c r="AF886" i="3"/>
  <c r="AF880" i="3"/>
  <c r="T627" i="3"/>
  <c r="T643" i="3"/>
  <c r="T807" i="3"/>
  <c r="T775" i="3"/>
  <c r="T779" i="3"/>
  <c r="T787" i="3"/>
  <c r="T795" i="3"/>
  <c r="T889" i="3"/>
  <c r="T893" i="3"/>
  <c r="T897" i="3"/>
  <c r="AR637" i="3"/>
  <c r="AR652" i="3"/>
  <c r="AR656" i="3"/>
  <c r="AR660" i="3"/>
  <c r="AR664" i="3"/>
  <c r="AR668" i="3"/>
  <c r="AR672" i="3"/>
  <c r="AR800" i="3"/>
  <c r="AR741" i="3"/>
  <c r="AR745" i="3"/>
  <c r="AR749" i="3"/>
  <c r="AR753" i="3"/>
  <c r="AR757" i="3"/>
  <c r="AR761" i="3"/>
  <c r="AR765" i="3"/>
  <c r="AR769" i="3"/>
  <c r="AR801" i="3"/>
  <c r="AR825" i="3"/>
  <c r="AR773" i="3"/>
  <c r="AR777" i="3"/>
  <c r="AR781" i="3"/>
  <c r="AR785" i="3"/>
  <c r="AR789" i="3"/>
  <c r="AR793" i="3"/>
  <c r="AR845" i="3"/>
  <c r="AB629" i="3"/>
  <c r="AB681" i="3"/>
  <c r="AB773" i="3"/>
  <c r="AB777" i="3"/>
  <c r="AB785" i="3"/>
  <c r="AB789" i="3"/>
  <c r="AB797" i="3"/>
  <c r="AB829" i="3"/>
  <c r="AB837" i="3"/>
  <c r="AB841" i="3"/>
  <c r="AB877" i="3"/>
  <c r="AB891" i="3"/>
  <c r="AB895" i="3"/>
  <c r="P636" i="3"/>
  <c r="P652" i="3"/>
  <c r="P660" i="3"/>
  <c r="P664" i="3"/>
  <c r="P672" i="3"/>
  <c r="P740" i="3"/>
  <c r="P744" i="3"/>
  <c r="P748" i="3"/>
  <c r="P756" i="3"/>
  <c r="P760" i="3"/>
  <c r="P768" i="3"/>
  <c r="P828" i="3"/>
  <c r="P880" i="3"/>
  <c r="AQ628" i="3"/>
  <c r="AQ644" i="3"/>
  <c r="AQ637" i="3"/>
  <c r="AQ634" i="3"/>
  <c r="AQ649" i="3"/>
  <c r="AQ653" i="3"/>
  <c r="AQ657" i="3"/>
  <c r="AQ661" i="3"/>
  <c r="AQ665" i="3"/>
  <c r="AQ669" i="3"/>
  <c r="AQ673" i="3"/>
  <c r="AQ830" i="3"/>
  <c r="AQ895" i="3"/>
  <c r="AI643" i="3"/>
  <c r="AI639" i="3"/>
  <c r="AI687" i="3"/>
  <c r="AI691" i="3"/>
  <c r="AI695" i="3"/>
  <c r="AI699" i="3"/>
  <c r="AI703" i="3"/>
  <c r="AI707" i="3"/>
  <c r="AI711" i="3"/>
  <c r="AI715" i="3"/>
  <c r="AI719" i="3"/>
  <c r="AI723" i="3"/>
  <c r="AI727" i="3"/>
  <c r="AI731" i="3"/>
  <c r="AI735" i="3"/>
  <c r="AI798" i="3"/>
  <c r="AI802" i="3"/>
  <c r="AI810" i="3"/>
  <c r="AI818" i="3"/>
  <c r="AI822" i="3"/>
  <c r="AI826" i="3"/>
  <c r="AE680" i="3"/>
  <c r="AE688" i="3"/>
  <c r="AE692" i="3"/>
  <c r="AE696" i="3"/>
  <c r="AE700" i="3"/>
  <c r="AE704" i="3"/>
  <c r="AE708" i="3"/>
  <c r="AE712" i="3"/>
  <c r="AE716" i="3"/>
  <c r="AE720" i="3"/>
  <c r="AE724" i="3"/>
  <c r="AE728" i="3"/>
  <c r="AE732" i="3"/>
  <c r="AE736" i="3"/>
  <c r="AE740" i="3"/>
  <c r="AE744" i="3"/>
  <c r="AE748" i="3"/>
  <c r="AE752" i="3"/>
  <c r="AE756" i="3"/>
  <c r="AE760" i="3"/>
  <c r="AE764" i="3"/>
  <c r="AE768" i="3"/>
  <c r="AE829" i="3"/>
  <c r="AE799" i="3"/>
  <c r="AE807" i="3"/>
  <c r="AE815" i="3"/>
  <c r="AE819" i="3"/>
  <c r="AE823" i="3"/>
  <c r="AE827" i="3"/>
  <c r="AE848" i="3"/>
  <c r="AE852" i="3"/>
  <c r="AE856" i="3"/>
  <c r="AE860" i="3"/>
  <c r="AE864" i="3"/>
  <c r="AE868" i="3"/>
  <c r="AE872" i="3"/>
  <c r="AE880" i="3"/>
  <c r="W892" i="3"/>
  <c r="W896" i="3"/>
  <c r="O636" i="3"/>
  <c r="O836" i="3"/>
  <c r="O872" i="3"/>
  <c r="O876" i="3"/>
  <c r="O880" i="3"/>
  <c r="AE865" i="3"/>
  <c r="AQ641" i="3"/>
  <c r="AQ689" i="3"/>
  <c r="AQ693" i="3"/>
  <c r="AQ697" i="3"/>
  <c r="AQ701" i="3"/>
  <c r="AQ705" i="3"/>
  <c r="AQ709" i="3"/>
  <c r="AQ713" i="3"/>
  <c r="AQ717" i="3"/>
  <c r="AQ721" i="3"/>
  <c r="AQ725" i="3"/>
  <c r="AQ729" i="3"/>
  <c r="AQ733" i="3"/>
  <c r="AQ737" i="3"/>
  <c r="AQ877" i="3"/>
  <c r="AQ881" i="3"/>
  <c r="AI627" i="3"/>
  <c r="AI771" i="3"/>
  <c r="AI783" i="3"/>
  <c r="AI791" i="3"/>
  <c r="AQ870" i="3"/>
  <c r="X871" i="3"/>
  <c r="O871" i="3"/>
  <c r="AL870" i="3"/>
  <c r="V870" i="3"/>
  <c r="AN870" i="3"/>
  <c r="Y871" i="3"/>
  <c r="U870" i="3"/>
  <c r="AB871" i="3"/>
  <c r="X870" i="3"/>
  <c r="AV872" i="3"/>
  <c r="X867" i="3"/>
  <c r="O867" i="3"/>
  <c r="X866" i="3"/>
  <c r="AQ679" i="3"/>
  <c r="AQ639" i="3"/>
  <c r="AQ687" i="3"/>
  <c r="AQ691" i="3"/>
  <c r="AQ695" i="3"/>
  <c r="AQ699" i="3"/>
  <c r="AQ703" i="3"/>
  <c r="AQ707" i="3"/>
  <c r="AQ711" i="3"/>
  <c r="AQ715" i="3"/>
  <c r="AQ719" i="3"/>
  <c r="AQ723" i="3"/>
  <c r="AQ727" i="3"/>
  <c r="AQ731" i="3"/>
  <c r="AQ735" i="3"/>
  <c r="AQ879" i="3"/>
  <c r="AQ883" i="3"/>
  <c r="AQ887" i="3"/>
  <c r="AI681" i="3"/>
  <c r="AI641" i="3"/>
  <c r="AI773" i="3"/>
  <c r="AI777" i="3"/>
  <c r="AI781" i="3"/>
  <c r="AI785" i="3"/>
  <c r="AI789" i="3"/>
  <c r="AI793" i="3"/>
  <c r="AI797" i="3"/>
  <c r="AI841" i="3"/>
  <c r="AI893" i="3"/>
  <c r="AE644" i="3"/>
  <c r="AE628" i="3"/>
  <c r="AE640" i="3"/>
  <c r="AE836" i="3"/>
  <c r="W626" i="3"/>
  <c r="W682" i="3"/>
  <c r="W850" i="3"/>
  <c r="W854" i="3"/>
  <c r="O652" i="3"/>
  <c r="O660" i="3"/>
  <c r="O664" i="3"/>
  <c r="O672" i="3"/>
  <c r="O688" i="3"/>
  <c r="O692" i="3"/>
  <c r="O700" i="3"/>
  <c r="O704" i="3"/>
  <c r="O712" i="3"/>
  <c r="O716" i="3"/>
  <c r="O724" i="3"/>
  <c r="O728" i="3"/>
  <c r="O732" i="3"/>
  <c r="O744" i="3"/>
  <c r="O748" i="3"/>
  <c r="O756" i="3"/>
  <c r="O760" i="3"/>
  <c r="O768" i="3"/>
  <c r="O800" i="3"/>
  <c r="O808" i="3"/>
  <c r="O816" i="3"/>
  <c r="O820" i="3"/>
  <c r="O828" i="3"/>
  <c r="O888" i="3"/>
  <c r="O896" i="3"/>
  <c r="X865" i="3"/>
  <c r="AO882" i="3"/>
  <c r="Y882" i="3"/>
  <c r="AV851" i="3"/>
  <c r="AV855" i="3"/>
  <c r="X853" i="3"/>
  <c r="X869" i="3"/>
  <c r="AN829" i="3"/>
  <c r="AN837" i="3"/>
  <c r="AN841" i="3"/>
  <c r="AN845" i="3"/>
  <c r="AJ872" i="3"/>
  <c r="O634" i="3"/>
  <c r="O742" i="3"/>
  <c r="O650" i="3"/>
  <c r="O654" i="3"/>
  <c r="O662" i="3"/>
  <c r="O666" i="3"/>
  <c r="O679" i="3"/>
  <c r="O690" i="3"/>
  <c r="O698" i="3"/>
  <c r="O702" i="3"/>
  <c r="O710" i="3"/>
  <c r="O714" i="3"/>
  <c r="O722" i="3"/>
  <c r="O726" i="3"/>
  <c r="O730" i="3"/>
  <c r="O734" i="3"/>
  <c r="O839" i="3"/>
  <c r="O746" i="3"/>
  <c r="O750" i="3"/>
  <c r="O758" i="3"/>
  <c r="O766" i="3"/>
  <c r="O798" i="3"/>
  <c r="O802" i="3"/>
  <c r="O810" i="3"/>
  <c r="O818" i="3"/>
  <c r="O822" i="3"/>
  <c r="O838" i="3"/>
  <c r="O847" i="3"/>
  <c r="O851" i="3"/>
  <c r="O894" i="3"/>
  <c r="O895" i="3"/>
  <c r="O886" i="3"/>
  <c r="O891" i="3"/>
  <c r="AX700" i="3"/>
  <c r="AX828" i="3"/>
  <c r="AX892" i="3"/>
  <c r="AT627" i="3"/>
  <c r="AT635" i="3"/>
  <c r="AT643" i="3"/>
  <c r="AT651" i="3"/>
  <c r="AT655" i="3"/>
  <c r="AT667" i="3"/>
  <c r="AT671" i="3"/>
  <c r="AT715" i="3"/>
  <c r="AT739" i="3"/>
  <c r="AT799" i="3"/>
  <c r="AT851" i="3"/>
  <c r="AT891" i="3"/>
  <c r="AP626" i="3"/>
  <c r="AP634" i="3"/>
  <c r="AP642" i="3"/>
  <c r="AP650" i="3"/>
  <c r="AP662" i="3"/>
  <c r="AP670" i="3"/>
  <c r="AP674" i="3"/>
  <c r="AP694" i="3"/>
  <c r="AP726" i="3"/>
  <c r="AP770" i="3"/>
  <c r="AP778" i="3"/>
  <c r="AP786" i="3"/>
  <c r="AP794" i="3"/>
  <c r="AP802" i="3"/>
  <c r="AP810" i="3"/>
  <c r="AP818" i="3"/>
  <c r="AP826" i="3"/>
  <c r="AL629" i="3"/>
  <c r="AL641" i="3"/>
  <c r="AL649" i="3"/>
  <c r="AL657" i="3"/>
  <c r="AL665" i="3"/>
  <c r="AL673" i="3"/>
  <c r="AL705" i="3"/>
  <c r="AL737" i="3"/>
  <c r="AL741" i="3"/>
  <c r="AL749" i="3"/>
  <c r="AL761" i="3"/>
  <c r="AL769" i="3"/>
  <c r="AL777" i="3"/>
  <c r="AL785" i="3"/>
  <c r="AL793" i="3"/>
  <c r="AH688" i="3"/>
  <c r="AH712" i="3"/>
  <c r="AH852" i="3"/>
  <c r="AH892" i="3"/>
  <c r="AD711" i="3"/>
  <c r="AD679" i="3"/>
  <c r="AD891" i="3"/>
  <c r="Z798" i="3"/>
  <c r="Z838" i="3"/>
  <c r="V701" i="3"/>
  <c r="V777" i="3"/>
  <c r="V785" i="3"/>
  <c r="V797" i="3"/>
  <c r="R636" i="3"/>
  <c r="R652" i="3"/>
  <c r="R664" i="3"/>
  <c r="R688" i="3"/>
  <c r="R692" i="3"/>
  <c r="R776" i="3"/>
  <c r="R788" i="3"/>
  <c r="R796" i="3"/>
  <c r="R892" i="3"/>
  <c r="AN817" i="3"/>
  <c r="AN797" i="3"/>
  <c r="AN877" i="3"/>
  <c r="AN857" i="3"/>
  <c r="AJ864" i="3"/>
  <c r="X821" i="3"/>
  <c r="X697" i="3"/>
  <c r="X713" i="3"/>
  <c r="X721" i="3"/>
  <c r="X729" i="3"/>
  <c r="AU653" i="3"/>
  <c r="AU665" i="3"/>
  <c r="AU673" i="3"/>
  <c r="AU741" i="3"/>
  <c r="AU845" i="3"/>
  <c r="AU857" i="3"/>
  <c r="AU897" i="3"/>
  <c r="AM631" i="3"/>
  <c r="AM651" i="3"/>
  <c r="AM663" i="3"/>
  <c r="AM671" i="3"/>
  <c r="AM687" i="3"/>
  <c r="AM699" i="3"/>
  <c r="AM711" i="3"/>
  <c r="AM723" i="3"/>
  <c r="AM735" i="3"/>
  <c r="AM847" i="3"/>
  <c r="AM855" i="3"/>
  <c r="AA660" i="3"/>
  <c r="AA744" i="3"/>
  <c r="AA756" i="3"/>
  <c r="S750" i="3"/>
  <c r="S766" i="3"/>
  <c r="S850" i="3"/>
  <c r="AW752" i="3"/>
  <c r="AW740" i="3"/>
  <c r="AW848" i="3"/>
  <c r="AW852" i="3"/>
  <c r="AS663" i="3"/>
  <c r="AS759" i="3"/>
  <c r="AS799" i="3"/>
  <c r="AS807" i="3"/>
  <c r="AS815" i="3"/>
  <c r="AS819" i="3"/>
  <c r="AS823" i="3"/>
  <c r="AS827" i="3"/>
  <c r="AO638" i="3"/>
  <c r="AO654" i="3"/>
  <c r="AO670" i="3"/>
  <c r="AO626" i="3"/>
  <c r="AO746" i="3"/>
  <c r="AO766" i="3"/>
  <c r="AO758" i="3"/>
  <c r="AO850" i="3"/>
  <c r="AO786" i="3"/>
  <c r="AO802" i="3"/>
  <c r="AO810" i="3"/>
  <c r="AO818" i="3"/>
  <c r="AO822" i="3"/>
  <c r="AO826" i="3"/>
  <c r="AO886" i="3"/>
  <c r="AK637" i="3"/>
  <c r="AK669" i="3"/>
  <c r="AK629" i="3"/>
  <c r="AK753" i="3"/>
  <c r="AK769" i="3"/>
  <c r="AK785" i="3"/>
  <c r="AK801" i="3"/>
  <c r="AK809" i="3"/>
  <c r="AK817" i="3"/>
  <c r="AK821" i="3"/>
  <c r="AK825" i="3"/>
  <c r="AK845" i="3"/>
  <c r="AK877" i="3"/>
  <c r="AG664" i="3"/>
  <c r="AG756" i="3"/>
  <c r="AG780" i="3"/>
  <c r="AG796" i="3"/>
  <c r="AG856" i="3"/>
  <c r="AG864" i="3"/>
  <c r="AC627" i="3"/>
  <c r="AC659" i="3"/>
  <c r="AC747" i="3"/>
  <c r="AC787" i="3"/>
  <c r="AC879" i="3"/>
  <c r="AC887" i="3"/>
  <c r="Y654" i="3"/>
  <c r="Y626" i="3"/>
  <c r="Y750" i="3"/>
  <c r="Y758" i="3"/>
  <c r="Y786" i="3"/>
  <c r="AX716" i="3"/>
  <c r="AX732" i="3"/>
  <c r="AX864" i="3"/>
  <c r="AT631" i="3"/>
  <c r="AT639" i="3"/>
  <c r="AT659" i="3"/>
  <c r="AT663" i="3"/>
  <c r="AT699" i="3"/>
  <c r="AT731" i="3"/>
  <c r="AT847" i="3"/>
  <c r="AT855" i="3"/>
  <c r="AP630" i="3"/>
  <c r="AP638" i="3"/>
  <c r="AP654" i="3"/>
  <c r="AP658" i="3"/>
  <c r="AP666" i="3"/>
  <c r="AP710" i="3"/>
  <c r="AP774" i="3"/>
  <c r="AP782" i="3"/>
  <c r="AP790" i="3"/>
  <c r="AP798" i="3"/>
  <c r="AP822" i="3"/>
  <c r="AL633" i="3"/>
  <c r="AL637" i="3"/>
  <c r="AL653" i="3"/>
  <c r="AL661" i="3"/>
  <c r="AL669" i="3"/>
  <c r="AL689" i="3"/>
  <c r="AL721" i="3"/>
  <c r="AL745" i="3"/>
  <c r="AL753" i="3"/>
  <c r="AL757" i="3"/>
  <c r="AL765" i="3"/>
  <c r="AL773" i="3"/>
  <c r="AL781" i="3"/>
  <c r="AL789" i="3"/>
  <c r="AL797" i="3"/>
  <c r="AH696" i="3"/>
  <c r="AH728" i="3"/>
  <c r="AH848" i="3"/>
  <c r="AH856" i="3"/>
  <c r="AH864" i="3"/>
  <c r="AD727" i="3"/>
  <c r="AD739" i="3"/>
  <c r="Z710" i="3"/>
  <c r="Z726" i="3"/>
  <c r="Z842" i="3"/>
  <c r="V733" i="3"/>
  <c r="V773" i="3"/>
  <c r="V789" i="3"/>
  <c r="V829" i="3"/>
  <c r="R628" i="3"/>
  <c r="R644" i="3"/>
  <c r="R660" i="3"/>
  <c r="R672" i="3"/>
  <c r="R724" i="3"/>
  <c r="R780" i="3"/>
  <c r="AN641" i="3"/>
  <c r="AN801" i="3"/>
  <c r="AN849" i="3"/>
  <c r="AN853" i="3"/>
  <c r="AJ640" i="3"/>
  <c r="AJ644" i="3"/>
  <c r="AJ828" i="3"/>
  <c r="AJ860" i="3"/>
  <c r="AJ880" i="3"/>
  <c r="X629" i="3"/>
  <c r="X689" i="3"/>
  <c r="X701" i="3"/>
  <c r="X709" i="3"/>
  <c r="X725" i="3"/>
  <c r="X733" i="3"/>
  <c r="AU633" i="3"/>
  <c r="AU649" i="3"/>
  <c r="AU657" i="3"/>
  <c r="AU661" i="3"/>
  <c r="AU669" i="3"/>
  <c r="AU829" i="3"/>
  <c r="AU841" i="3"/>
  <c r="AU849" i="3"/>
  <c r="AU853" i="3"/>
  <c r="AU861" i="3"/>
  <c r="AU889" i="3"/>
  <c r="AM655" i="3"/>
  <c r="AM659" i="3"/>
  <c r="AM667" i="3"/>
  <c r="AM691" i="3"/>
  <c r="AM695" i="3"/>
  <c r="AM703" i="3"/>
  <c r="AM707" i="3"/>
  <c r="AM715" i="3"/>
  <c r="AM719" i="3"/>
  <c r="AM727" i="3"/>
  <c r="AM731" i="3"/>
  <c r="AM739" i="3"/>
  <c r="AM843" i="3"/>
  <c r="AM851" i="3"/>
  <c r="AM859" i="3"/>
  <c r="AM863" i="3"/>
  <c r="AA652" i="3"/>
  <c r="AA664" i="3"/>
  <c r="AA672" i="3"/>
  <c r="AA740" i="3"/>
  <c r="AA748" i="3"/>
  <c r="AA760" i="3"/>
  <c r="AA768" i="3"/>
  <c r="S742" i="3"/>
  <c r="S746" i="3"/>
  <c r="S758" i="3"/>
  <c r="S842" i="3"/>
  <c r="S830" i="3"/>
  <c r="S854" i="3"/>
  <c r="AW632" i="3"/>
  <c r="AW664" i="3"/>
  <c r="AW760" i="3"/>
  <c r="AW780" i="3"/>
  <c r="AW796" i="3"/>
  <c r="AW864" i="3"/>
  <c r="AS651" i="3"/>
  <c r="AS655" i="3"/>
  <c r="AS739" i="3"/>
  <c r="AS743" i="3"/>
  <c r="AS787" i="3"/>
  <c r="O641" i="3"/>
  <c r="O681" i="3"/>
  <c r="O741" i="3"/>
  <c r="O775" i="3"/>
  <c r="O779" i="3"/>
  <c r="O787" i="3"/>
  <c r="O795" i="3"/>
  <c r="O837" i="3"/>
  <c r="O849" i="3"/>
  <c r="O853" i="3"/>
  <c r="Y802" i="3"/>
  <c r="Y810" i="3"/>
  <c r="Y818" i="3"/>
  <c r="Y822" i="3"/>
  <c r="Y850" i="3"/>
  <c r="Y830" i="3"/>
  <c r="Y838" i="3"/>
  <c r="Y842" i="3"/>
  <c r="Y886" i="3"/>
  <c r="U665" i="3"/>
  <c r="U661" i="3"/>
  <c r="U757" i="3"/>
  <c r="U681" i="3"/>
  <c r="U689" i="3"/>
  <c r="U697" i="3"/>
  <c r="U701" i="3"/>
  <c r="U709" i="3"/>
  <c r="U713" i="3"/>
  <c r="U721" i="3"/>
  <c r="U725" i="3"/>
  <c r="U729" i="3"/>
  <c r="U733" i="3"/>
  <c r="U773" i="3"/>
  <c r="U789" i="3"/>
  <c r="Q672" i="3"/>
  <c r="Q768" i="3"/>
  <c r="Q748" i="3"/>
  <c r="Q816" i="3"/>
  <c r="Q820" i="3"/>
  <c r="Q828" i="3"/>
  <c r="AV635" i="3"/>
  <c r="AV679" i="3"/>
  <c r="AV815" i="3"/>
  <c r="AV691" i="3"/>
  <c r="AV695" i="3"/>
  <c r="AV699" i="3"/>
  <c r="AV703" i="3"/>
  <c r="AV707" i="3"/>
  <c r="AV711" i="3"/>
  <c r="AV715" i="3"/>
  <c r="AV719" i="3"/>
  <c r="AV723" i="3"/>
  <c r="AV727" i="3"/>
  <c r="AV731" i="3"/>
  <c r="AV735" i="3"/>
  <c r="AV807" i="3"/>
  <c r="AV827" i="3"/>
  <c r="AF642" i="3"/>
  <c r="AF650" i="3"/>
  <c r="AF654" i="3"/>
  <c r="AF658" i="3"/>
  <c r="AF691" i="3"/>
  <c r="AF695" i="3"/>
  <c r="AF699" i="3"/>
  <c r="AF703" i="3"/>
  <c r="AF707" i="3"/>
  <c r="AF711" i="3"/>
  <c r="AF715" i="3"/>
  <c r="AF719" i="3"/>
  <c r="AF723" i="3"/>
  <c r="AF727" i="3"/>
  <c r="AF731" i="3"/>
  <c r="AF735" i="3"/>
  <c r="AF799" i="3"/>
  <c r="AF827" i="3"/>
  <c r="AF815" i="3"/>
  <c r="AF835" i="3"/>
  <c r="AF839" i="3"/>
  <c r="AF843" i="3"/>
  <c r="AF859" i="3"/>
  <c r="AF863" i="3"/>
  <c r="AF891" i="3"/>
  <c r="AF895" i="3"/>
  <c r="T636" i="3"/>
  <c r="T800" i="3"/>
  <c r="T692" i="3"/>
  <c r="T700" i="3"/>
  <c r="T704" i="3"/>
  <c r="T712" i="3"/>
  <c r="T716" i="3"/>
  <c r="T724" i="3"/>
  <c r="T728" i="3"/>
  <c r="T732" i="3"/>
  <c r="T820" i="3"/>
  <c r="AR634" i="3"/>
  <c r="AR798" i="3"/>
  <c r="AR846" i="3"/>
  <c r="AR858" i="3"/>
  <c r="AR862" i="3"/>
  <c r="AR878" i="3"/>
  <c r="AR882" i="3"/>
  <c r="AB682" i="3"/>
  <c r="AB810" i="3"/>
  <c r="AB854" i="3"/>
  <c r="P627" i="3"/>
  <c r="P807" i="3"/>
  <c r="P819" i="3"/>
  <c r="P799" i="3"/>
  <c r="P891" i="3"/>
  <c r="P895" i="3"/>
  <c r="AQ636" i="3"/>
  <c r="AQ680" i="3"/>
  <c r="AQ688" i="3"/>
  <c r="AQ692" i="3"/>
  <c r="AQ696" i="3"/>
  <c r="AQ700" i="3"/>
  <c r="AQ704" i="3"/>
  <c r="AQ708" i="3"/>
  <c r="AQ712" i="3"/>
  <c r="AQ716" i="3"/>
  <c r="AQ720" i="3"/>
  <c r="AQ724" i="3"/>
  <c r="AQ728" i="3"/>
  <c r="AQ732" i="3"/>
  <c r="AQ736" i="3"/>
  <c r="AQ836" i="3"/>
  <c r="AQ880" i="3"/>
  <c r="AQ888" i="3"/>
  <c r="AI638" i="3"/>
  <c r="AI774" i="3"/>
  <c r="AI778" i="3"/>
  <c r="AI782" i="3"/>
  <c r="AI786" i="3"/>
  <c r="AI790" i="3"/>
  <c r="AI794" i="3"/>
  <c r="AE629" i="3"/>
  <c r="W679" i="3"/>
  <c r="W847" i="3"/>
  <c r="W851" i="3"/>
  <c r="W891" i="3"/>
  <c r="O629" i="3"/>
  <c r="O649" i="3"/>
  <c r="O653" i="3"/>
  <c r="O661" i="3"/>
  <c r="O665" i="3"/>
  <c r="O689" i="3"/>
  <c r="O697" i="3"/>
  <c r="O701" i="3"/>
  <c r="O709" i="3"/>
  <c r="O713" i="3"/>
  <c r="O721" i="3"/>
  <c r="O725" i="3"/>
  <c r="O729" i="3"/>
  <c r="O733" i="3"/>
  <c r="O745" i="3"/>
  <c r="O749" i="3"/>
  <c r="O757" i="3"/>
  <c r="O765" i="3"/>
  <c r="O829" i="3"/>
  <c r="O841" i="3"/>
  <c r="O801" i="3"/>
  <c r="O809" i="3"/>
  <c r="O817" i="3"/>
  <c r="O821" i="3"/>
  <c r="O897" i="3"/>
  <c r="O889" i="3"/>
  <c r="O633" i="3"/>
  <c r="O773" i="3"/>
  <c r="O777" i="3"/>
  <c r="O785" i="3"/>
  <c r="O789" i="3"/>
  <c r="O797" i="3"/>
  <c r="O1756" i="3"/>
  <c r="O2036" i="3"/>
  <c r="O916" i="3" s="1"/>
  <c r="O1476" i="3"/>
  <c r="O1764" i="3"/>
  <c r="O2044" i="3"/>
  <c r="O924" i="3" s="1"/>
  <c r="O1484" i="3"/>
  <c r="O1784" i="3"/>
  <c r="O2064" i="3"/>
  <c r="O944" i="3" s="1"/>
  <c r="O1504" i="3"/>
  <c r="O1848" i="3"/>
  <c r="O2128" i="3"/>
  <c r="O1008" i="3" s="1"/>
  <c r="O1568" i="3"/>
  <c r="O1908" i="3"/>
  <c r="O2188" i="3"/>
  <c r="O1068" i="3" s="1"/>
  <c r="O1628" i="3"/>
  <c r="O2029" i="3"/>
  <c r="O909" i="3" s="1"/>
  <c r="O1749" i="3"/>
  <c r="O1469" i="3"/>
  <c r="O1769" i="3"/>
  <c r="O2049" i="3"/>
  <c r="O929" i="3" s="1"/>
  <c r="O1489" i="3"/>
  <c r="O1785" i="3"/>
  <c r="O2065" i="3"/>
  <c r="O945" i="3" s="1"/>
  <c r="O1505" i="3"/>
  <c r="O2081" i="3"/>
  <c r="O961" i="3" s="1"/>
  <c r="O1801" i="3"/>
  <c r="O1521" i="3"/>
  <c r="O2097" i="3"/>
  <c r="O977" i="3" s="1"/>
  <c r="O1817" i="3"/>
  <c r="O1537" i="3"/>
  <c r="O1833" i="3"/>
  <c r="O2113" i="3"/>
  <c r="O993" i="3" s="1"/>
  <c r="O1553" i="3"/>
  <c r="O1849" i="3"/>
  <c r="O2129" i="3"/>
  <c r="O1009" i="3" s="1"/>
  <c r="O1569" i="3"/>
  <c r="O1865" i="3"/>
  <c r="O2145" i="3"/>
  <c r="O1025" i="3" s="1"/>
  <c r="O1585" i="3"/>
  <c r="O1897" i="3"/>
  <c r="O2177" i="3"/>
  <c r="O1057" i="3" s="1"/>
  <c r="O1617" i="3"/>
  <c r="O2229" i="3"/>
  <c r="O1109" i="3" s="1"/>
  <c r="O1949" i="3"/>
  <c r="O1669" i="3"/>
  <c r="O1922" i="3"/>
  <c r="O2202" i="3"/>
  <c r="O1082" i="3" s="1"/>
  <c r="O1642" i="3"/>
  <c r="O1938" i="3"/>
  <c r="O2218" i="3"/>
  <c r="O1098" i="3" s="1"/>
  <c r="O1658" i="3"/>
  <c r="O1939" i="3"/>
  <c r="O2219" i="3"/>
  <c r="O1099" i="3" s="1"/>
  <c r="O1659" i="3"/>
  <c r="O2011" i="3"/>
  <c r="O1731" i="3"/>
  <c r="O2007" i="3"/>
  <c r="O1727" i="3"/>
  <c r="O2240" i="3"/>
  <c r="O1120" i="3" s="1"/>
  <c r="O1960" i="3"/>
  <c r="O1680" i="3"/>
  <c r="O2000" i="3"/>
  <c r="O1720" i="3"/>
  <c r="O2016" i="3"/>
  <c r="O1736" i="3"/>
  <c r="O1754" i="3"/>
  <c r="O2034" i="3"/>
  <c r="O914" i="3" s="1"/>
  <c r="O1474" i="3"/>
  <c r="O1770" i="3"/>
  <c r="O2050" i="3"/>
  <c r="O930" i="3" s="1"/>
  <c r="O1490" i="3"/>
  <c r="O1786" i="3"/>
  <c r="O2066" i="3"/>
  <c r="O946" i="3" s="1"/>
  <c r="O1506" i="3"/>
  <c r="O2082" i="3"/>
  <c r="O962" i="3" s="1"/>
  <c r="O1802" i="3"/>
  <c r="O1522" i="3"/>
  <c r="O2098" i="3"/>
  <c r="O978" i="3" s="1"/>
  <c r="O1818" i="3"/>
  <c r="O1538" i="3"/>
  <c r="O1834" i="3"/>
  <c r="O2114" i="3"/>
  <c r="O994" i="3" s="1"/>
  <c r="O1554" i="3"/>
  <c r="O1850" i="3"/>
  <c r="O2130" i="3"/>
  <c r="O1010" i="3" s="1"/>
  <c r="O1570" i="3"/>
  <c r="O1866" i="3"/>
  <c r="O2146" i="3"/>
  <c r="O1026" i="3" s="1"/>
  <c r="O1586" i="3"/>
  <c r="O1898" i="3"/>
  <c r="O2178" i="3"/>
  <c r="O1058" i="3" s="1"/>
  <c r="O1618" i="3"/>
  <c r="O2254" i="3"/>
  <c r="O1134" i="3" s="1"/>
  <c r="O1974" i="3"/>
  <c r="O1694" i="3"/>
  <c r="O2006" i="3"/>
  <c r="O1726" i="3"/>
  <c r="O1755" i="3"/>
  <c r="O2035" i="3"/>
  <c r="O915" i="3" s="1"/>
  <c r="O1475" i="3"/>
  <c r="O1771" i="3"/>
  <c r="O2051" i="3"/>
  <c r="O931" i="3" s="1"/>
  <c r="O1491" i="3"/>
  <c r="O2099" i="3"/>
  <c r="O979" i="3" s="1"/>
  <c r="O1819" i="3"/>
  <c r="O1539" i="3"/>
  <c r="O1835" i="3"/>
  <c r="O2115" i="3"/>
  <c r="O995" i="3" s="1"/>
  <c r="O1555" i="3"/>
  <c r="O1851" i="3"/>
  <c r="O2131" i="3"/>
  <c r="O1011" i="3" s="1"/>
  <c r="O1571" i="3"/>
  <c r="O1867" i="3"/>
  <c r="O2147" i="3"/>
  <c r="O1027" i="3" s="1"/>
  <c r="O1587" i="3"/>
  <c r="O1899" i="3"/>
  <c r="O2179" i="3"/>
  <c r="O1059" i="3" s="1"/>
  <c r="O1619" i="3"/>
  <c r="O1915" i="3"/>
  <c r="O2195" i="3"/>
  <c r="O1075" i="3" s="1"/>
  <c r="O1635" i="3"/>
  <c r="O1940" i="3"/>
  <c r="O2220" i="3"/>
  <c r="O1100" i="3" s="1"/>
  <c r="O1660" i="3"/>
  <c r="O1997" i="3"/>
  <c r="O1717" i="3"/>
  <c r="O2013" i="3"/>
  <c r="O1733" i="3"/>
  <c r="O1753" i="3"/>
  <c r="O2033" i="3"/>
  <c r="O913" i="3" s="1"/>
  <c r="O1473" i="3"/>
  <c r="N590" i="3"/>
  <c r="J590" i="3"/>
  <c r="M591" i="3"/>
  <c r="K589" i="3"/>
  <c r="K68" i="3"/>
  <c r="L589" i="3"/>
  <c r="L68" i="3"/>
  <c r="O1772" i="3"/>
  <c r="O2052" i="3"/>
  <c r="O932" i="3" s="1"/>
  <c r="O1492" i="3"/>
  <c r="O1900" i="3"/>
  <c r="O2180" i="3"/>
  <c r="O1060" i="3" s="1"/>
  <c r="O1620" i="3"/>
  <c r="O2072" i="3"/>
  <c r="O952" i="3" s="1"/>
  <c r="O1792" i="3"/>
  <c r="O1512" i="3"/>
  <c r="O1780" i="3"/>
  <c r="O2060" i="3"/>
  <c r="O940" i="3" s="1"/>
  <c r="O1500" i="3"/>
  <c r="O1844" i="3"/>
  <c r="O2124" i="3"/>
  <c r="O1004" i="3" s="1"/>
  <c r="O1564" i="3"/>
  <c r="O2247" i="3"/>
  <c r="O1127" i="3" s="1"/>
  <c r="O1967" i="3"/>
  <c r="O1687" i="3"/>
  <c r="O2080" i="3"/>
  <c r="O960" i="3" s="1"/>
  <c r="O1800" i="3"/>
  <c r="O1520" i="3"/>
  <c r="O1864" i="3"/>
  <c r="O2144" i="3"/>
  <c r="O1024" i="3" s="1"/>
  <c r="O1584" i="3"/>
  <c r="O1773" i="3"/>
  <c r="O2053" i="3"/>
  <c r="O933" i="3" s="1"/>
  <c r="O1493" i="3"/>
  <c r="O2101" i="3"/>
  <c r="O981" i="3" s="1"/>
  <c r="O1821" i="3"/>
  <c r="O1541" i="3"/>
  <c r="O1853" i="3"/>
  <c r="O2133" i="3"/>
  <c r="O1013" i="3" s="1"/>
  <c r="O1573" i="3"/>
  <c r="O1869" i="3"/>
  <c r="O2149" i="3"/>
  <c r="O1029" i="3" s="1"/>
  <c r="O1589" i="3"/>
  <c r="O1885" i="3"/>
  <c r="O2165" i="3"/>
  <c r="O1045" i="3" s="1"/>
  <c r="O1605" i="3"/>
  <c r="O1921" i="3"/>
  <c r="O2201" i="3"/>
  <c r="O1081" i="3" s="1"/>
  <c r="O1641" i="3"/>
  <c r="O1937" i="3"/>
  <c r="O2217" i="3"/>
  <c r="O1097" i="3" s="1"/>
  <c r="O1657" i="3"/>
  <c r="O1942" i="3"/>
  <c r="O2222" i="3"/>
  <c r="O1102" i="3" s="1"/>
  <c r="O1662" i="3"/>
  <c r="O2250" i="3"/>
  <c r="O1130" i="3" s="1"/>
  <c r="O1970" i="3"/>
  <c r="O1690" i="3"/>
  <c r="O2227" i="3"/>
  <c r="O1107" i="3" s="1"/>
  <c r="O1947" i="3"/>
  <c r="O1667" i="3"/>
  <c r="O2235" i="3"/>
  <c r="O1115" i="3" s="1"/>
  <c r="O1955" i="3"/>
  <c r="O1675" i="3"/>
  <c r="O2015" i="3"/>
  <c r="O1735" i="3"/>
  <c r="O1774" i="3"/>
  <c r="O2054" i="3"/>
  <c r="O934" i="3" s="1"/>
  <c r="O1494" i="3"/>
  <c r="O2102" i="3"/>
  <c r="O982" i="3" s="1"/>
  <c r="O1822" i="3"/>
  <c r="O1542" i="3"/>
  <c r="O1854" i="3"/>
  <c r="O2134" i="3"/>
  <c r="O1014" i="3" s="1"/>
  <c r="O1574" i="3"/>
  <c r="O1870" i="3"/>
  <c r="O2150" i="3"/>
  <c r="O1030" i="3" s="1"/>
  <c r="O1590" i="3"/>
  <c r="O1886" i="3"/>
  <c r="O2166" i="3"/>
  <c r="O1046" i="3" s="1"/>
  <c r="O1606" i="3"/>
  <c r="O2238" i="3"/>
  <c r="O1118" i="3" s="1"/>
  <c r="O1958" i="3"/>
  <c r="O1678" i="3"/>
  <c r="O1994" i="3"/>
  <c r="O1714" i="3"/>
  <c r="O2010" i="3"/>
  <c r="O1730" i="3"/>
  <c r="O2071" i="3"/>
  <c r="O951" i="3" s="1"/>
  <c r="O1791" i="3"/>
  <c r="O1511" i="3"/>
  <c r="O2087" i="3"/>
  <c r="O967" i="3" s="1"/>
  <c r="O1807" i="3"/>
  <c r="O1527" i="3"/>
  <c r="O2103" i="3"/>
  <c r="O983" i="3" s="1"/>
  <c r="O1823" i="3"/>
  <c r="O1543" i="3"/>
  <c r="O1887" i="3"/>
  <c r="O2167" i="3"/>
  <c r="O1047" i="3" s="1"/>
  <c r="O1607" i="3"/>
  <c r="O1919" i="3"/>
  <c r="O2199" i="3"/>
  <c r="O1079" i="3" s="1"/>
  <c r="O1639" i="3"/>
  <c r="O1928" i="3"/>
  <c r="O2208" i="3"/>
  <c r="O1088" i="3" s="1"/>
  <c r="O1648" i="3"/>
  <c r="O2001" i="3"/>
  <c r="O1721" i="3"/>
  <c r="O2017" i="3"/>
  <c r="O1737" i="3"/>
  <c r="O1917" i="3"/>
  <c r="O2197" i="3"/>
  <c r="O1077" i="3" s="1"/>
  <c r="O1637" i="3"/>
  <c r="K590" i="3"/>
  <c r="N591" i="3"/>
  <c r="K591" i="3"/>
  <c r="J589" i="3"/>
  <c r="J68" i="3"/>
  <c r="O1836" i="3"/>
  <c r="O2116" i="3"/>
  <c r="O996" i="3" s="1"/>
  <c r="O1556" i="3"/>
  <c r="O2100" i="3"/>
  <c r="O980" i="3" s="1"/>
  <c r="O1820" i="3"/>
  <c r="O1540" i="3"/>
  <c r="O2088" i="3"/>
  <c r="O968" i="3" s="1"/>
  <c r="O1808" i="3"/>
  <c r="O1528" i="3"/>
  <c r="O1860" i="3"/>
  <c r="O2140" i="3"/>
  <c r="O1020" i="3" s="1"/>
  <c r="O1580" i="3"/>
  <c r="O1880" i="3"/>
  <c r="O2160" i="3"/>
  <c r="O1040" i="3" s="1"/>
  <c r="O1600" i="3"/>
  <c r="O2252" i="3"/>
  <c r="O1132" i="3" s="1"/>
  <c r="O1972" i="3"/>
  <c r="O1692" i="3"/>
  <c r="O1761" i="3"/>
  <c r="O2041" i="3"/>
  <c r="O921" i="3" s="1"/>
  <c r="O1481" i="3"/>
  <c r="O2089" i="3"/>
  <c r="O969" i="3" s="1"/>
  <c r="O1809" i="3"/>
  <c r="O1529" i="3"/>
  <c r="O1841" i="3"/>
  <c r="O2121" i="3"/>
  <c r="O1001" i="3" s="1"/>
  <c r="O1561" i="3"/>
  <c r="O1905" i="3"/>
  <c r="O2185" i="3"/>
  <c r="O1065" i="3" s="1"/>
  <c r="O1625" i="3"/>
  <c r="O1941" i="3"/>
  <c r="O2221" i="3"/>
  <c r="O1101" i="3" s="1"/>
  <c r="O1661" i="3"/>
  <c r="O2253" i="3"/>
  <c r="O1133" i="3" s="1"/>
  <c r="O1973" i="3"/>
  <c r="O1693" i="3"/>
  <c r="O1930" i="3"/>
  <c r="O2210" i="3"/>
  <c r="O1090" i="3" s="1"/>
  <c r="O1650" i="3"/>
  <c r="O1995" i="3"/>
  <c r="O1715" i="3"/>
  <c r="O2239" i="3"/>
  <c r="O1119" i="3" s="1"/>
  <c r="O1959" i="3"/>
  <c r="O1679" i="3"/>
  <c r="O2248" i="3"/>
  <c r="O1128" i="3" s="1"/>
  <c r="O1968" i="3"/>
  <c r="O1688" i="3"/>
  <c r="O2008" i="3"/>
  <c r="O1728" i="3"/>
  <c r="O2026" i="3"/>
  <c r="O906" i="3" s="1"/>
  <c r="O1746" i="3"/>
  <c r="O1466" i="3"/>
  <c r="O1762" i="3"/>
  <c r="O2042" i="3"/>
  <c r="O922" i="3" s="1"/>
  <c r="O1482" i="3"/>
  <c r="O2090" i="3"/>
  <c r="O970" i="3" s="1"/>
  <c r="O1810" i="3"/>
  <c r="O1530" i="3"/>
  <c r="O1842" i="3"/>
  <c r="O2122" i="3"/>
  <c r="O1002" i="3" s="1"/>
  <c r="O1562" i="3"/>
  <c r="O1906" i="3"/>
  <c r="O2186" i="3"/>
  <c r="O1066" i="3" s="1"/>
  <c r="O1626" i="3"/>
  <c r="O2242" i="3"/>
  <c r="O1122" i="3" s="1"/>
  <c r="O1962" i="3"/>
  <c r="O1682" i="3"/>
  <c r="O1998" i="3"/>
  <c r="O1718" i="3"/>
  <c r="O2014" i="3"/>
  <c r="O1734" i="3"/>
  <c r="O1763" i="3"/>
  <c r="O2043" i="3"/>
  <c r="O923" i="3" s="1"/>
  <c r="O1483" i="3"/>
  <c r="O1779" i="3"/>
  <c r="O2059" i="3"/>
  <c r="O939" i="3" s="1"/>
  <c r="O1499" i="3"/>
  <c r="O2091" i="3"/>
  <c r="O971" i="3" s="1"/>
  <c r="O1811" i="3"/>
  <c r="O1531" i="3"/>
  <c r="O1843" i="3"/>
  <c r="O2123" i="3"/>
  <c r="O1003" i="3" s="1"/>
  <c r="O1563" i="3"/>
  <c r="O1859" i="3"/>
  <c r="O2139" i="3"/>
  <c r="O1019" i="3" s="1"/>
  <c r="O1579" i="3"/>
  <c r="O1875" i="3"/>
  <c r="O2155" i="3"/>
  <c r="O1035" i="3" s="1"/>
  <c r="O1595" i="3"/>
  <c r="O1907" i="3"/>
  <c r="O2187" i="3"/>
  <c r="O1067" i="3" s="1"/>
  <c r="O1627" i="3"/>
  <c r="O1927" i="3"/>
  <c r="O2207" i="3"/>
  <c r="O1087" i="3" s="1"/>
  <c r="O1647" i="3"/>
  <c r="O1916" i="3"/>
  <c r="O2196" i="3"/>
  <c r="O1076" i="3" s="1"/>
  <c r="O1636" i="3"/>
  <c r="O2228" i="3"/>
  <c r="O1108" i="3" s="1"/>
  <c r="O1948" i="3"/>
  <c r="O1668" i="3"/>
  <c r="O2241" i="3"/>
  <c r="O1121" i="3" s="1"/>
  <c r="O1961" i="3"/>
  <c r="O1681" i="3"/>
  <c r="O2237" i="3"/>
  <c r="O1117" i="3" s="1"/>
  <c r="O1957" i="3"/>
  <c r="O1677" i="3"/>
  <c r="L590" i="3"/>
  <c r="J591" i="3"/>
  <c r="N589" i="3"/>
  <c r="N68" i="3"/>
  <c r="O1852" i="3"/>
  <c r="O2132" i="3"/>
  <c r="O1012" i="3" s="1"/>
  <c r="O1572" i="3"/>
  <c r="O1868" i="3"/>
  <c r="O2148" i="3"/>
  <c r="O1028" i="3" s="1"/>
  <c r="O1588" i="3"/>
  <c r="O2104" i="3"/>
  <c r="O984" i="3" s="1"/>
  <c r="O1824" i="3"/>
  <c r="O1544" i="3"/>
  <c r="O1888" i="3"/>
  <c r="O2168" i="3"/>
  <c r="O1048" i="3" s="1"/>
  <c r="O1608" i="3"/>
  <c r="O2028" i="3"/>
  <c r="O908" i="3" s="1"/>
  <c r="O1748" i="3"/>
  <c r="O1468" i="3"/>
  <c r="O2092" i="3"/>
  <c r="O972" i="3" s="1"/>
  <c r="O1812" i="3"/>
  <c r="O1532" i="3"/>
  <c r="O1876" i="3"/>
  <c r="O2156" i="3"/>
  <c r="O1036" i="3" s="1"/>
  <c r="O1596" i="3"/>
  <c r="O1832" i="3"/>
  <c r="O2112" i="3"/>
  <c r="O992" i="3" s="1"/>
  <c r="O1552" i="3"/>
  <c r="O1896" i="3"/>
  <c r="O2176" i="3"/>
  <c r="O1056" i="3" s="1"/>
  <c r="O1616" i="3"/>
  <c r="O1781" i="3"/>
  <c r="O2061" i="3"/>
  <c r="O941" i="3" s="1"/>
  <c r="O1501" i="3"/>
  <c r="O1829" i="3"/>
  <c r="O2109" i="3"/>
  <c r="O989" i="3" s="1"/>
  <c r="O1549" i="3"/>
  <c r="O1845" i="3"/>
  <c r="O2125" i="3"/>
  <c r="O1005" i="3" s="1"/>
  <c r="O1565" i="3"/>
  <c r="O1861" i="3"/>
  <c r="O2141" i="3"/>
  <c r="O1021" i="3" s="1"/>
  <c r="O1581" i="3"/>
  <c r="O1877" i="3"/>
  <c r="O2157" i="3"/>
  <c r="O1037" i="3" s="1"/>
  <c r="O1597" i="3"/>
  <c r="O1893" i="3"/>
  <c r="O2173" i="3"/>
  <c r="O1053" i="3" s="1"/>
  <c r="O1613" i="3"/>
  <c r="O1909" i="3"/>
  <c r="O2189" i="3"/>
  <c r="O1069" i="3" s="1"/>
  <c r="O1629" i="3"/>
  <c r="O1929" i="3"/>
  <c r="O2209" i="3"/>
  <c r="O1089" i="3" s="1"/>
  <c r="O1649" i="3"/>
  <c r="O2251" i="3"/>
  <c r="O1131" i="3" s="1"/>
  <c r="O1971" i="3"/>
  <c r="O1691" i="3"/>
  <c r="O1918" i="3"/>
  <c r="O2198" i="3"/>
  <c r="O1078" i="3" s="1"/>
  <c r="O1638" i="3"/>
  <c r="O2230" i="3"/>
  <c r="O1110" i="3" s="1"/>
  <c r="O1950" i="3"/>
  <c r="O1670" i="3"/>
  <c r="O2003" i="3"/>
  <c r="O1723" i="3"/>
  <c r="O1999" i="3"/>
  <c r="O1719" i="3"/>
  <c r="O2236" i="3"/>
  <c r="O1116" i="3" s="1"/>
  <c r="O1956" i="3"/>
  <c r="O1676" i="3"/>
  <c r="O1996" i="3"/>
  <c r="O1716" i="3"/>
  <c r="O2012" i="3"/>
  <c r="O1732" i="3"/>
  <c r="O1782" i="3"/>
  <c r="O2062" i="3"/>
  <c r="O942" i="3" s="1"/>
  <c r="O1502" i="3"/>
  <c r="O1830" i="3"/>
  <c r="O2110" i="3"/>
  <c r="O990" i="3" s="1"/>
  <c r="O1550" i="3"/>
  <c r="O1846" i="3"/>
  <c r="O2126" i="3"/>
  <c r="O1006" i="3" s="1"/>
  <c r="O1566" i="3"/>
  <c r="O1862" i="3"/>
  <c r="O2142" i="3"/>
  <c r="O1022" i="3" s="1"/>
  <c r="O1582" i="3"/>
  <c r="O1878" i="3"/>
  <c r="O2158" i="3"/>
  <c r="O1038" i="3" s="1"/>
  <c r="O1598" i="3"/>
  <c r="O1894" i="3"/>
  <c r="O2174" i="3"/>
  <c r="O1054" i="3" s="1"/>
  <c r="O1614" i="3"/>
  <c r="O1910" i="3"/>
  <c r="O2190" i="3"/>
  <c r="O1070" i="3" s="1"/>
  <c r="O1630" i="3"/>
  <c r="O2002" i="3"/>
  <c r="O1722" i="3"/>
  <c r="O1747" i="3"/>
  <c r="O2027" i="3"/>
  <c r="O907" i="3" s="1"/>
  <c r="O1467" i="3"/>
  <c r="O1783" i="3"/>
  <c r="O2063" i="3"/>
  <c r="O943" i="3" s="1"/>
  <c r="O1503" i="3"/>
  <c r="O2079" i="3"/>
  <c r="O959" i="3" s="1"/>
  <c r="O1799" i="3"/>
  <c r="O1519" i="3"/>
  <c r="O1831" i="3"/>
  <c r="O2111" i="3"/>
  <c r="O991" i="3" s="1"/>
  <c r="O1551" i="3"/>
  <c r="O1847" i="3"/>
  <c r="O2127" i="3"/>
  <c r="O1007" i="3" s="1"/>
  <c r="O1567" i="3"/>
  <c r="O1863" i="3"/>
  <c r="O2143" i="3"/>
  <c r="O1023" i="3" s="1"/>
  <c r="O1583" i="3"/>
  <c r="O1879" i="3"/>
  <c r="O2159" i="3"/>
  <c r="O1039" i="3" s="1"/>
  <c r="O1599" i="3"/>
  <c r="O1895" i="3"/>
  <c r="O2175" i="3"/>
  <c r="O1055" i="3" s="1"/>
  <c r="O1615" i="3"/>
  <c r="O1935" i="3"/>
  <c r="O2215" i="3"/>
  <c r="O1095" i="3" s="1"/>
  <c r="O1655" i="3"/>
  <c r="O1920" i="3"/>
  <c r="O2200" i="3"/>
  <c r="O1080" i="3" s="1"/>
  <c r="O1640" i="3"/>
  <c r="O1936" i="3"/>
  <c r="O2216" i="3"/>
  <c r="O1096" i="3" s="1"/>
  <c r="O1656" i="3"/>
  <c r="O2009" i="3"/>
  <c r="O1729" i="3"/>
  <c r="O2249" i="3"/>
  <c r="O1129" i="3" s="1"/>
  <c r="O1969" i="3"/>
  <c r="O1689" i="3"/>
  <c r="M590" i="3"/>
  <c r="L591" i="3"/>
  <c r="M589" i="3"/>
  <c r="M68" i="3"/>
  <c r="AX871" i="3"/>
  <c r="AH871" i="3"/>
  <c r="Q871" i="3"/>
  <c r="AJ871" i="3"/>
  <c r="AW871" i="3"/>
  <c r="AG871" i="3"/>
  <c r="AQ871" i="3"/>
  <c r="R871" i="3"/>
  <c r="AA871" i="3"/>
  <c r="T871" i="3"/>
  <c r="AT870" i="3"/>
  <c r="AD870" i="3"/>
  <c r="AM870" i="3"/>
  <c r="AC870" i="3"/>
  <c r="AF870" i="3"/>
  <c r="AS870" i="3"/>
  <c r="AV870" i="3"/>
  <c r="P870" i="3"/>
  <c r="W870" i="3"/>
  <c r="S869" i="3"/>
  <c r="AR869" i="3"/>
  <c r="Z869" i="3"/>
  <c r="Q873" i="3"/>
  <c r="O1993" i="3"/>
  <c r="O1713" i="3"/>
  <c r="AA869" i="3"/>
  <c r="T869" i="3"/>
  <c r="AP869" i="3"/>
  <c r="AO869" i="3"/>
  <c r="Y869" i="3"/>
  <c r="AB869" i="3"/>
  <c r="AU870" i="3"/>
  <c r="S871" i="3"/>
  <c r="AO871" i="3"/>
  <c r="AR871" i="3"/>
  <c r="O870" i="3"/>
  <c r="O1992" i="3"/>
  <c r="O1712" i="3"/>
  <c r="O1990" i="3"/>
  <c r="O1710" i="3"/>
  <c r="AT872" i="3"/>
  <c r="AP871" i="3"/>
  <c r="AD872" i="3"/>
  <c r="Z870" i="3"/>
  <c r="S870" i="3"/>
  <c r="AS872" i="3"/>
  <c r="AK870" i="3"/>
  <c r="AC872" i="3"/>
  <c r="AC871" i="3"/>
  <c r="AF872" i="3"/>
  <c r="AR870" i="3"/>
  <c r="P872" i="3"/>
  <c r="AQ872" i="3"/>
  <c r="AI871" i="3"/>
  <c r="O1991" i="3"/>
  <c r="O1711" i="3"/>
  <c r="AJ869" i="3"/>
  <c r="AW869" i="3"/>
  <c r="AG869" i="3"/>
  <c r="O76" i="3"/>
  <c r="AH869" i="3"/>
  <c r="AU869" i="3"/>
  <c r="Q869" i="3"/>
  <c r="AI869" i="3"/>
  <c r="O869" i="3"/>
  <c r="O1989" i="3"/>
  <c r="O1709" i="3"/>
  <c r="AP867" i="3"/>
  <c r="AL866" i="3"/>
  <c r="V866" i="3"/>
  <c r="AU866" i="3"/>
  <c r="AM868" i="3"/>
  <c r="S867" i="3"/>
  <c r="AC868" i="3"/>
  <c r="AF868" i="3"/>
  <c r="AR867" i="3"/>
  <c r="O866" i="3"/>
  <c r="Z867" i="3"/>
  <c r="AO867" i="3"/>
  <c r="Y867" i="3"/>
  <c r="AB867" i="3"/>
  <c r="AI867" i="3"/>
  <c r="W868" i="3"/>
  <c r="AT868" i="3"/>
  <c r="AD868" i="3"/>
  <c r="AS868" i="3"/>
  <c r="AV868" i="3"/>
  <c r="P868" i="3"/>
  <c r="AN866" i="3"/>
  <c r="U866" i="3"/>
  <c r="AK866" i="3"/>
  <c r="AT867" i="3"/>
  <c r="AJ868" i="3"/>
  <c r="AM867" i="3"/>
  <c r="S866" i="3"/>
  <c r="AW868" i="3"/>
  <c r="AG868" i="3"/>
  <c r="AC867" i="3"/>
  <c r="AF867" i="3"/>
  <c r="AR866" i="3"/>
  <c r="O1986" i="3"/>
  <c r="O1706" i="3"/>
  <c r="AT866" i="3"/>
  <c r="AS866" i="3"/>
  <c r="AK868" i="3"/>
  <c r="Q867" i="3"/>
  <c r="AV866" i="3"/>
  <c r="P866" i="3"/>
  <c r="AX867" i="3"/>
  <c r="AL868" i="3"/>
  <c r="AH867" i="3"/>
  <c r="AD866" i="3"/>
  <c r="R867" i="3"/>
  <c r="AJ867" i="3"/>
  <c r="AU868" i="3"/>
  <c r="AM866" i="3"/>
  <c r="AW867" i="3"/>
  <c r="AG867" i="3"/>
  <c r="AC866" i="3"/>
  <c r="AF866" i="3"/>
  <c r="O868" i="3"/>
  <c r="O1987" i="3"/>
  <c r="O1707" i="3"/>
  <c r="V868" i="3"/>
  <c r="AN868" i="3"/>
  <c r="AA867" i="3"/>
  <c r="U868" i="3"/>
  <c r="T867" i="3"/>
  <c r="W866" i="3"/>
  <c r="O1988" i="3"/>
  <c r="O1708" i="3"/>
  <c r="AJ865" i="3"/>
  <c r="AW865" i="3"/>
  <c r="AG865" i="3"/>
  <c r="AX865" i="3"/>
  <c r="AH865" i="3"/>
  <c r="R865" i="3"/>
  <c r="AA865" i="3"/>
  <c r="T865" i="3"/>
  <c r="Q865" i="3"/>
  <c r="AP865" i="3"/>
  <c r="S865" i="3"/>
  <c r="AR865" i="3"/>
  <c r="AL865" i="3"/>
  <c r="AU865" i="3"/>
  <c r="AO865" i="3"/>
  <c r="Y865" i="3"/>
  <c r="AB865" i="3"/>
  <c r="AI865" i="3"/>
  <c r="O865" i="3"/>
  <c r="O1985" i="3"/>
  <c r="O1705" i="3"/>
  <c r="AI775" i="3"/>
  <c r="AI779" i="3"/>
  <c r="AI787" i="3"/>
  <c r="AI795" i="3"/>
  <c r="AX628" i="3"/>
  <c r="AX632" i="3"/>
  <c r="AX636" i="3"/>
  <c r="AX640" i="3"/>
  <c r="AX644" i="3"/>
  <c r="AX652" i="3"/>
  <c r="AX656" i="3"/>
  <c r="AX660" i="3"/>
  <c r="AX664" i="3"/>
  <c r="AX668" i="3"/>
  <c r="AX672" i="3"/>
  <c r="AX688" i="3"/>
  <c r="AX704" i="3"/>
  <c r="AX720" i="3"/>
  <c r="AX736" i="3"/>
  <c r="AX836" i="3"/>
  <c r="AX840" i="3"/>
  <c r="AX868" i="3"/>
  <c r="AT703" i="3"/>
  <c r="AT719" i="3"/>
  <c r="AT735" i="3"/>
  <c r="AT859" i="3"/>
  <c r="AP698" i="3"/>
  <c r="AP714" i="3"/>
  <c r="AP730" i="3"/>
  <c r="AP830" i="3"/>
  <c r="AP858" i="3"/>
  <c r="AP838" i="3"/>
  <c r="AP842" i="3"/>
  <c r="AP862" i="3"/>
  <c r="AP890" i="3"/>
  <c r="AL693" i="3"/>
  <c r="AL709" i="3"/>
  <c r="AL725" i="3"/>
  <c r="AL869" i="3"/>
  <c r="AL889" i="3"/>
  <c r="AH680" i="3"/>
  <c r="AH700" i="3"/>
  <c r="AH716" i="3"/>
  <c r="AH732" i="3"/>
  <c r="AH800" i="3"/>
  <c r="AH808" i="3"/>
  <c r="AH816" i="3"/>
  <c r="AH820" i="3"/>
  <c r="AH824" i="3"/>
  <c r="AH828" i="3"/>
  <c r="AH860" i="3"/>
  <c r="AH868" i="3"/>
  <c r="AD627" i="3"/>
  <c r="AD635" i="3"/>
  <c r="AD643" i="3"/>
  <c r="AD651" i="3"/>
  <c r="AD659" i="3"/>
  <c r="AD663" i="3"/>
  <c r="AD671" i="3"/>
  <c r="AD699" i="3"/>
  <c r="AD715" i="3"/>
  <c r="AD731" i="3"/>
  <c r="AD807" i="3"/>
  <c r="AD815" i="3"/>
  <c r="AD819" i="3"/>
  <c r="AD827" i="3"/>
  <c r="AD883" i="3"/>
  <c r="AD887" i="3"/>
  <c r="Z682" i="3"/>
  <c r="Z698" i="3"/>
  <c r="Z714" i="3"/>
  <c r="Z730" i="3"/>
  <c r="Z802" i="3"/>
  <c r="Z810" i="3"/>
  <c r="Z818" i="3"/>
  <c r="Z822" i="3"/>
  <c r="Z850" i="3"/>
  <c r="Z854" i="3"/>
  <c r="Z890" i="3"/>
  <c r="V629" i="3"/>
  <c r="V633" i="3"/>
  <c r="V641" i="3"/>
  <c r="V649" i="3"/>
  <c r="V653" i="3"/>
  <c r="V661" i="3"/>
  <c r="V665" i="3"/>
  <c r="V673" i="3"/>
  <c r="V689" i="3"/>
  <c r="V721" i="3"/>
  <c r="V865" i="3"/>
  <c r="V889" i="3"/>
  <c r="R712" i="3"/>
  <c r="R728" i="3"/>
  <c r="AN629" i="3"/>
  <c r="AN649" i="3"/>
  <c r="AN653" i="3"/>
  <c r="AN657" i="3"/>
  <c r="AN661" i="3"/>
  <c r="AN665" i="3"/>
  <c r="AN669" i="3"/>
  <c r="AN673" i="3"/>
  <c r="AN809" i="3"/>
  <c r="AN741" i="3"/>
  <c r="AN745" i="3"/>
  <c r="AN749" i="3"/>
  <c r="AN753" i="3"/>
  <c r="AN757" i="3"/>
  <c r="AN761" i="3"/>
  <c r="AN765" i="3"/>
  <c r="AN769" i="3"/>
  <c r="AN773" i="3"/>
  <c r="AN777" i="3"/>
  <c r="AN781" i="3"/>
  <c r="AN785" i="3"/>
  <c r="AN789" i="3"/>
  <c r="AN793" i="3"/>
  <c r="AN861" i="3"/>
  <c r="AN865" i="3"/>
  <c r="AN869" i="3"/>
  <c r="AN889" i="3"/>
  <c r="AN893" i="3"/>
  <c r="AN897" i="3"/>
  <c r="AJ680" i="3"/>
  <c r="AJ688" i="3"/>
  <c r="AJ692" i="3"/>
  <c r="AJ696" i="3"/>
  <c r="AJ700" i="3"/>
  <c r="AJ704" i="3"/>
  <c r="AJ708" i="3"/>
  <c r="AJ712" i="3"/>
  <c r="AJ716" i="3"/>
  <c r="AJ720" i="3"/>
  <c r="AJ724" i="3"/>
  <c r="AJ728" i="3"/>
  <c r="AJ732" i="3"/>
  <c r="AJ736" i="3"/>
  <c r="AJ800" i="3"/>
  <c r="AJ816" i="3"/>
  <c r="AJ772" i="3"/>
  <c r="AJ776" i="3"/>
  <c r="AJ780" i="3"/>
  <c r="AJ784" i="3"/>
  <c r="AJ788" i="3"/>
  <c r="AJ792" i="3"/>
  <c r="AJ796" i="3"/>
  <c r="AJ836" i="3"/>
  <c r="AJ840" i="3"/>
  <c r="AJ844" i="3"/>
  <c r="AJ888" i="3"/>
  <c r="AJ892" i="3"/>
  <c r="AJ896" i="3"/>
  <c r="X633" i="3"/>
  <c r="X809" i="3"/>
  <c r="X801" i="3"/>
  <c r="X849" i="3"/>
  <c r="AU637" i="3"/>
  <c r="AU689" i="3"/>
  <c r="AU693" i="3"/>
  <c r="AU697" i="3"/>
  <c r="AU701" i="3"/>
  <c r="AU705" i="3"/>
  <c r="AU709" i="3"/>
  <c r="AU713" i="3"/>
  <c r="AU717" i="3"/>
  <c r="AU721" i="3"/>
  <c r="AU725" i="3"/>
  <c r="AU729" i="3"/>
  <c r="AU733" i="3"/>
  <c r="AU737" i="3"/>
  <c r="AU745" i="3"/>
  <c r="AU749" i="3"/>
  <c r="AU753" i="3"/>
  <c r="AU757" i="3"/>
  <c r="AU761" i="3"/>
  <c r="AU765" i="3"/>
  <c r="AU769" i="3"/>
  <c r="AU773" i="3"/>
  <c r="AU777" i="3"/>
  <c r="AU781" i="3"/>
  <c r="AU785" i="3"/>
  <c r="AU789" i="3"/>
  <c r="AU793" i="3"/>
  <c r="AU797" i="3"/>
  <c r="AU801" i="3"/>
  <c r="AU809" i="3"/>
  <c r="AU817" i="3"/>
  <c r="AU821" i="3"/>
  <c r="AU825" i="3"/>
  <c r="AM635" i="3"/>
  <c r="AM883" i="3"/>
  <c r="AM887" i="3"/>
  <c r="AA628" i="3"/>
  <c r="AA644" i="3"/>
  <c r="AA836" i="3"/>
  <c r="AA848" i="3"/>
  <c r="AA852" i="3"/>
  <c r="AA868" i="3"/>
  <c r="AA896" i="3"/>
  <c r="AA892" i="3"/>
  <c r="S626" i="3"/>
  <c r="S642" i="3"/>
  <c r="S650" i="3"/>
  <c r="S654" i="3"/>
  <c r="S662" i="3"/>
  <c r="S666" i="3"/>
  <c r="S690" i="3"/>
  <c r="S698" i="3"/>
  <c r="S702" i="3"/>
  <c r="S710" i="3"/>
  <c r="S714" i="3"/>
  <c r="S722" i="3"/>
  <c r="S726" i="3"/>
  <c r="S730" i="3"/>
  <c r="S734" i="3"/>
  <c r="S774" i="3"/>
  <c r="S778" i="3"/>
  <c r="S786" i="3"/>
  <c r="S790" i="3"/>
  <c r="S798" i="3"/>
  <c r="S802" i="3"/>
  <c r="S810" i="3"/>
  <c r="S818" i="3"/>
  <c r="S822" i="3"/>
  <c r="S890" i="3"/>
  <c r="AW636" i="3"/>
  <c r="AW652" i="3"/>
  <c r="AW668" i="3"/>
  <c r="AW768" i="3"/>
  <c r="AW680" i="3"/>
  <c r="AW688" i="3"/>
  <c r="AW692" i="3"/>
  <c r="AW696" i="3"/>
  <c r="AW700" i="3"/>
  <c r="AW704" i="3"/>
  <c r="AW708" i="3"/>
  <c r="AW712" i="3"/>
  <c r="AW716" i="3"/>
  <c r="AW720" i="3"/>
  <c r="AW724" i="3"/>
  <c r="AW728" i="3"/>
  <c r="AW732" i="3"/>
  <c r="AW736" i="3"/>
  <c r="AW784" i="3"/>
  <c r="AW856" i="3"/>
  <c r="AW860" i="3"/>
  <c r="AS659" i="3"/>
  <c r="AS627" i="3"/>
  <c r="AS667" i="3"/>
  <c r="AS771" i="3"/>
  <c r="AS747" i="3"/>
  <c r="AS763" i="3"/>
  <c r="AS679" i="3"/>
  <c r="AS687" i="3"/>
  <c r="AS691" i="3"/>
  <c r="AS695" i="3"/>
  <c r="AS699" i="3"/>
  <c r="AS703" i="3"/>
  <c r="AS707" i="3"/>
  <c r="AS711" i="3"/>
  <c r="AS715" i="3"/>
  <c r="AS719" i="3"/>
  <c r="AS723" i="3"/>
  <c r="AS727" i="3"/>
  <c r="AS731" i="3"/>
  <c r="AS735" i="3"/>
  <c r="AS775" i="3"/>
  <c r="AS791" i="3"/>
  <c r="AS847" i="3"/>
  <c r="AS835" i="3"/>
  <c r="AS839" i="3"/>
  <c r="AS843" i="3"/>
  <c r="AS883" i="3"/>
  <c r="AO642" i="3"/>
  <c r="AO658" i="3"/>
  <c r="AO674" i="3"/>
  <c r="AO762" i="3"/>
  <c r="AO774" i="3"/>
  <c r="AO790" i="3"/>
  <c r="AO854" i="3"/>
  <c r="AO830" i="3"/>
  <c r="AO838" i="3"/>
  <c r="AO842" i="3"/>
  <c r="AO858" i="3"/>
  <c r="AO878" i="3"/>
  <c r="AO862" i="3"/>
  <c r="AO866" i="3"/>
  <c r="AO870" i="3"/>
  <c r="AK641" i="3"/>
  <c r="AK673" i="3"/>
  <c r="AK633" i="3"/>
  <c r="AK757" i="3"/>
  <c r="AK681" i="3"/>
  <c r="AK689" i="3"/>
  <c r="AK693" i="3"/>
  <c r="AK697" i="3"/>
  <c r="AK701" i="3"/>
  <c r="AK705" i="3"/>
  <c r="AK709" i="3"/>
  <c r="AK713" i="3"/>
  <c r="AK717" i="3"/>
  <c r="AK721" i="3"/>
  <c r="AK725" i="3"/>
  <c r="AK729" i="3"/>
  <c r="AK733" i="3"/>
  <c r="AK737" i="3"/>
  <c r="AK773" i="3"/>
  <c r="AK789" i="3"/>
  <c r="AK853" i="3"/>
  <c r="AK881" i="3"/>
  <c r="AG636" i="3"/>
  <c r="AG652" i="3"/>
  <c r="AG668" i="3"/>
  <c r="AG752" i="3"/>
  <c r="AG740" i="3"/>
  <c r="AG784" i="3"/>
  <c r="AG848" i="3"/>
  <c r="AG860" i="3"/>
  <c r="AC663" i="3"/>
  <c r="AC739" i="3"/>
  <c r="AC767" i="3"/>
  <c r="AC775" i="3"/>
  <c r="AC799" i="3"/>
  <c r="AC807" i="3"/>
  <c r="AC815" i="3"/>
  <c r="AC819" i="3"/>
  <c r="AC827" i="3"/>
  <c r="Y642" i="3"/>
  <c r="Y674" i="3"/>
  <c r="Y766" i="3"/>
  <c r="Y742" i="3"/>
  <c r="Y774" i="3"/>
  <c r="Y790" i="3"/>
  <c r="Y854" i="3"/>
  <c r="Y878" i="3"/>
  <c r="Y866" i="3"/>
  <c r="Y870" i="3"/>
  <c r="U641" i="3"/>
  <c r="U629" i="3"/>
  <c r="U745" i="3"/>
  <c r="U777" i="3"/>
  <c r="U801" i="3"/>
  <c r="U809" i="3"/>
  <c r="U817" i="3"/>
  <c r="U821" i="3"/>
  <c r="U849" i="3"/>
  <c r="U865" i="3"/>
  <c r="U869" i="3"/>
  <c r="Q628" i="3"/>
  <c r="Q644" i="3"/>
  <c r="Q660" i="3"/>
  <c r="Q756" i="3"/>
  <c r="Q680" i="3"/>
  <c r="Q688" i="3"/>
  <c r="Q692" i="3"/>
  <c r="Q700" i="3"/>
  <c r="Q704" i="3"/>
  <c r="Q712" i="3"/>
  <c r="Q716" i="3"/>
  <c r="Q724" i="3"/>
  <c r="Q728" i="3"/>
  <c r="Q732" i="3"/>
  <c r="Q740" i="3"/>
  <c r="Q787" i="3"/>
  <c r="AE630" i="3"/>
  <c r="AE682" i="3"/>
  <c r="AE742" i="3"/>
  <c r="AE890" i="3"/>
  <c r="AE894" i="3"/>
  <c r="W628" i="3"/>
  <c r="W644" i="3"/>
  <c r="W848" i="3"/>
  <c r="W852" i="3"/>
  <c r="AX680" i="3"/>
  <c r="AX696" i="3"/>
  <c r="AX712" i="3"/>
  <c r="AX728" i="3"/>
  <c r="AX744" i="3"/>
  <c r="AX748" i="3"/>
  <c r="AX752" i="3"/>
  <c r="AX756" i="3"/>
  <c r="AX760" i="3"/>
  <c r="AX764" i="3"/>
  <c r="AX768" i="3"/>
  <c r="AX772" i="3"/>
  <c r="AX776" i="3"/>
  <c r="AX780" i="3"/>
  <c r="AX784" i="3"/>
  <c r="AX788" i="3"/>
  <c r="AX792" i="3"/>
  <c r="AX796" i="3"/>
  <c r="AX844" i="3"/>
  <c r="AX848" i="3"/>
  <c r="AX852" i="3"/>
  <c r="AX856" i="3"/>
  <c r="AX872" i="3"/>
  <c r="AX880" i="3"/>
  <c r="AX896" i="3"/>
  <c r="AT695" i="3"/>
  <c r="AT711" i="3"/>
  <c r="AT727" i="3"/>
  <c r="AT679" i="3"/>
  <c r="AT743" i="3"/>
  <c r="AT747" i="3"/>
  <c r="AT751" i="3"/>
  <c r="AT755" i="3"/>
  <c r="AT759" i="3"/>
  <c r="AT763" i="3"/>
  <c r="AT767" i="3"/>
  <c r="AT771" i="3"/>
  <c r="AT775" i="3"/>
  <c r="AT779" i="3"/>
  <c r="AT783" i="3"/>
  <c r="AT787" i="3"/>
  <c r="AT791" i="3"/>
  <c r="AT795" i="3"/>
  <c r="AT835" i="3"/>
  <c r="AT839" i="3"/>
  <c r="AT843" i="3"/>
  <c r="AT863" i="3"/>
  <c r="AT871" i="3"/>
  <c r="AT879" i="3"/>
  <c r="AT895" i="3"/>
  <c r="AP690" i="3"/>
  <c r="AP706" i="3"/>
  <c r="AP722" i="3"/>
  <c r="AP738" i="3"/>
  <c r="AP742" i="3"/>
  <c r="AP746" i="3"/>
  <c r="AP750" i="3"/>
  <c r="AP754" i="3"/>
  <c r="AP758" i="3"/>
  <c r="AP762" i="3"/>
  <c r="AP766" i="3"/>
  <c r="AP846" i="3"/>
  <c r="AP850" i="3"/>
  <c r="AP854" i="3"/>
  <c r="AP870" i="3"/>
  <c r="AP878" i="3"/>
  <c r="AP882" i="3"/>
  <c r="AP894" i="3"/>
  <c r="AL701" i="3"/>
  <c r="AL717" i="3"/>
  <c r="AL733" i="3"/>
  <c r="AL845" i="3"/>
  <c r="AL849" i="3"/>
  <c r="AL853" i="3"/>
  <c r="AL857" i="3"/>
  <c r="AL877" i="3"/>
  <c r="AL881" i="3"/>
  <c r="AL893" i="3"/>
  <c r="AL897" i="3"/>
  <c r="AH692" i="3"/>
  <c r="AH708" i="3"/>
  <c r="AH724" i="3"/>
  <c r="AH744" i="3"/>
  <c r="AH748" i="3"/>
  <c r="AH752" i="3"/>
  <c r="AH756" i="3"/>
  <c r="AH760" i="3"/>
  <c r="AH764" i="3"/>
  <c r="AH768" i="3"/>
  <c r="AH772" i="3"/>
  <c r="AH776" i="3"/>
  <c r="AH780" i="3"/>
  <c r="AH784" i="3"/>
  <c r="AH788" i="3"/>
  <c r="AH792" i="3"/>
  <c r="AH796" i="3"/>
  <c r="AH872" i="3"/>
  <c r="AH880" i="3"/>
  <c r="AH896" i="3"/>
  <c r="AD691" i="3"/>
  <c r="AD723" i="3"/>
  <c r="AD687" i="3"/>
  <c r="AD743" i="3"/>
  <c r="AD747" i="3"/>
  <c r="AD755" i="3"/>
  <c r="AD759" i="3"/>
  <c r="AD767" i="3"/>
  <c r="AD775" i="3"/>
  <c r="AD779" i="3"/>
  <c r="AD787" i="3"/>
  <c r="AD795" i="3"/>
  <c r="AD799" i="3"/>
  <c r="AD835" i="3"/>
  <c r="AD839" i="3"/>
  <c r="AD847" i="3"/>
  <c r="AD851" i="3"/>
  <c r="AD867" i="3"/>
  <c r="AD871" i="3"/>
  <c r="AD879" i="3"/>
  <c r="AD895" i="3"/>
  <c r="Z626" i="3"/>
  <c r="Z630" i="3"/>
  <c r="Z634" i="3"/>
  <c r="Z642" i="3"/>
  <c r="Z650" i="3"/>
  <c r="Z654" i="3"/>
  <c r="Z662" i="3"/>
  <c r="Z666" i="3"/>
  <c r="Z674" i="3"/>
  <c r="Z690" i="3"/>
  <c r="Z722" i="3"/>
  <c r="Z742" i="3"/>
  <c r="Z746" i="3"/>
  <c r="Z750" i="3"/>
  <c r="Z758" i="3"/>
  <c r="Z766" i="3"/>
  <c r="Z774" i="3"/>
  <c r="Z778" i="3"/>
  <c r="Z786" i="3"/>
  <c r="Z790" i="3"/>
  <c r="Z866" i="3"/>
  <c r="Z878" i="3"/>
  <c r="Z882" i="3"/>
  <c r="Z894" i="3"/>
  <c r="V697" i="3"/>
  <c r="V713" i="3"/>
  <c r="V729" i="3"/>
  <c r="V681" i="3"/>
  <c r="V741" i="3"/>
  <c r="V745" i="3"/>
  <c r="V749" i="3"/>
  <c r="V757" i="3"/>
  <c r="V765" i="3"/>
  <c r="V849" i="3"/>
  <c r="V853" i="3"/>
  <c r="V877" i="3"/>
  <c r="V881" i="3"/>
  <c r="V893" i="3"/>
  <c r="V897" i="3"/>
  <c r="R740" i="3"/>
  <c r="R704" i="3"/>
  <c r="R744" i="3"/>
  <c r="R748" i="3"/>
  <c r="R756" i="3"/>
  <c r="R760" i="3"/>
  <c r="R768" i="3"/>
  <c r="R800" i="3"/>
  <c r="R836" i="3"/>
  <c r="R840" i="3"/>
  <c r="R848" i="3"/>
  <c r="R852" i="3"/>
  <c r="R872" i="3"/>
  <c r="R880" i="3"/>
  <c r="R896" i="3"/>
  <c r="AN637" i="3"/>
  <c r="AN821" i="3"/>
  <c r="AN881" i="3"/>
  <c r="AJ632" i="3"/>
  <c r="AJ636" i="3"/>
  <c r="AJ740" i="3"/>
  <c r="AJ744" i="3"/>
  <c r="AJ748" i="3"/>
  <c r="AJ752" i="3"/>
  <c r="AJ756" i="3"/>
  <c r="AJ760" i="3"/>
  <c r="AJ764" i="3"/>
  <c r="AJ768" i="3"/>
  <c r="AJ808" i="3"/>
  <c r="AJ824" i="3"/>
  <c r="AJ848" i="3"/>
  <c r="AJ852" i="3"/>
  <c r="AJ856" i="3"/>
  <c r="X641" i="3"/>
  <c r="X681" i="3"/>
  <c r="X773" i="3"/>
  <c r="X777" i="3"/>
  <c r="X785" i="3"/>
  <c r="X789" i="3"/>
  <c r="X797" i="3"/>
  <c r="X829" i="3"/>
  <c r="X837" i="3"/>
  <c r="X841" i="3"/>
  <c r="X877" i="3"/>
  <c r="X889" i="3"/>
  <c r="X893" i="3"/>
  <c r="X897" i="3"/>
  <c r="AU629" i="3"/>
  <c r="AU837" i="3"/>
  <c r="AM627" i="3"/>
  <c r="AM643" i="3"/>
  <c r="AM679" i="3"/>
  <c r="AM743" i="3"/>
  <c r="AM747" i="3"/>
  <c r="AM751" i="3"/>
  <c r="AM755" i="3"/>
  <c r="AM759" i="3"/>
  <c r="AM763" i="3"/>
  <c r="AM767" i="3"/>
  <c r="AM839" i="3"/>
  <c r="AM799" i="3"/>
  <c r="AM807" i="3"/>
  <c r="AM815" i="3"/>
  <c r="AM819" i="3"/>
  <c r="AM823" i="3"/>
  <c r="AM827" i="3"/>
  <c r="AM895" i="3"/>
  <c r="AM891" i="3"/>
  <c r="AA636" i="3"/>
  <c r="AA688" i="3"/>
  <c r="AA692" i="3"/>
  <c r="AA700" i="3"/>
  <c r="AA704" i="3"/>
  <c r="AA712" i="3"/>
  <c r="AA716" i="3"/>
  <c r="AA724" i="3"/>
  <c r="AA728" i="3"/>
  <c r="AA732" i="3"/>
  <c r="AA776" i="3"/>
  <c r="AA780" i="3"/>
  <c r="AA788" i="3"/>
  <c r="AA796" i="3"/>
  <c r="AA840" i="3"/>
  <c r="AA872" i="3"/>
  <c r="AA880" i="3"/>
  <c r="AA888" i="3"/>
  <c r="S634" i="3"/>
  <c r="S878" i="3"/>
  <c r="S882" i="3"/>
  <c r="AW628" i="3"/>
  <c r="AW644" i="3"/>
  <c r="AW660" i="3"/>
  <c r="AW744" i="3"/>
  <c r="AW764" i="3"/>
  <c r="AW776" i="3"/>
  <c r="AW792" i="3"/>
  <c r="AW828" i="3"/>
  <c r="AW880" i="3"/>
  <c r="AW872" i="3"/>
  <c r="AW888" i="3"/>
  <c r="AW892" i="3"/>
  <c r="AW896" i="3"/>
  <c r="AS639" i="3"/>
  <c r="AS643" i="3"/>
  <c r="AS755" i="3"/>
  <c r="AS783" i="3"/>
  <c r="AS855" i="3"/>
  <c r="AS863" i="3"/>
  <c r="AS867" i="3"/>
  <c r="AS871" i="3"/>
  <c r="AS879" i="3"/>
  <c r="AS887" i="3"/>
  <c r="AS891" i="3"/>
  <c r="AS895" i="3"/>
  <c r="AO634" i="3"/>
  <c r="AO650" i="3"/>
  <c r="AO666" i="3"/>
  <c r="AO750" i="3"/>
  <c r="AO742" i="3"/>
  <c r="AO770" i="3"/>
  <c r="AO782" i="3"/>
  <c r="AO798" i="3"/>
  <c r="AO846" i="3"/>
  <c r="AO890" i="3"/>
  <c r="AO894" i="3"/>
  <c r="AK661" i="3"/>
  <c r="AK665" i="3"/>
  <c r="AK653" i="3"/>
  <c r="AK741" i="3"/>
  <c r="AK749" i="3"/>
  <c r="AK765" i="3"/>
  <c r="AK781" i="3"/>
  <c r="AK797" i="3"/>
  <c r="AK849" i="3"/>
  <c r="AK865" i="3"/>
  <c r="AK869" i="3"/>
  <c r="AK889" i="3"/>
  <c r="AK893" i="3"/>
  <c r="AK897" i="3"/>
  <c r="AG628" i="3"/>
  <c r="AG644" i="3"/>
  <c r="AG660" i="3"/>
  <c r="AG764" i="3"/>
  <c r="AG760" i="3"/>
  <c r="AG776" i="3"/>
  <c r="AG792" i="3"/>
  <c r="AG800" i="3"/>
  <c r="AG808" i="3"/>
  <c r="AG816" i="3"/>
  <c r="AG820" i="3"/>
  <c r="AG824" i="3"/>
  <c r="AG828" i="3"/>
  <c r="AG880" i="3"/>
  <c r="AG872" i="3"/>
  <c r="AG888" i="3"/>
  <c r="AG892" i="3"/>
  <c r="AG896" i="3"/>
  <c r="AC651" i="3"/>
  <c r="AC743" i="3"/>
  <c r="AC759" i="3"/>
  <c r="AC679" i="3"/>
  <c r="AC687" i="3"/>
  <c r="AC691" i="3"/>
  <c r="AC699" i="3"/>
  <c r="AC703" i="3"/>
  <c r="AC711" i="3"/>
  <c r="AC715" i="3"/>
  <c r="AC723" i="3"/>
  <c r="AC727" i="3"/>
  <c r="AC731" i="3"/>
  <c r="AC847" i="3"/>
  <c r="AC835" i="3"/>
  <c r="AC839" i="3"/>
  <c r="AC891" i="3"/>
  <c r="AC895" i="3"/>
  <c r="Y634" i="3"/>
  <c r="Y650" i="3"/>
  <c r="Y666" i="3"/>
  <c r="Y682" i="3"/>
  <c r="Y690" i="3"/>
  <c r="Y698" i="3"/>
  <c r="Y702" i="3"/>
  <c r="Y710" i="3"/>
  <c r="Y714" i="3"/>
  <c r="Y722" i="3"/>
  <c r="Y726" i="3"/>
  <c r="Y730" i="3"/>
  <c r="Y734" i="3"/>
  <c r="Y798" i="3"/>
  <c r="Y890" i="3"/>
  <c r="Y894" i="3"/>
  <c r="U653" i="3"/>
  <c r="U785" i="3"/>
  <c r="U829" i="3"/>
  <c r="U837" i="3"/>
  <c r="U841" i="3"/>
  <c r="Q760" i="3"/>
  <c r="AX702" i="3"/>
  <c r="AX718" i="3"/>
  <c r="AX734" i="3"/>
  <c r="AX742" i="3"/>
  <c r="AX746" i="3"/>
  <c r="AX750" i="3"/>
  <c r="AX754" i="3"/>
  <c r="AX758" i="3"/>
  <c r="AX762" i="3"/>
  <c r="AX766" i="3"/>
  <c r="AX770" i="3"/>
  <c r="AX774" i="3"/>
  <c r="AX778" i="3"/>
  <c r="AX782" i="3"/>
  <c r="AX786" i="3"/>
  <c r="AX790" i="3"/>
  <c r="AX794" i="3"/>
  <c r="AX830" i="3"/>
  <c r="AX858" i="3"/>
  <c r="AX846" i="3"/>
  <c r="AX850" i="3"/>
  <c r="AX854" i="3"/>
  <c r="AX862" i="3"/>
  <c r="AX878" i="3"/>
  <c r="AX894" i="3"/>
  <c r="AT701" i="3"/>
  <c r="AT717" i="3"/>
  <c r="AT733" i="3"/>
  <c r="AT741" i="3"/>
  <c r="AT745" i="3"/>
  <c r="AT749" i="3"/>
  <c r="AT753" i="3"/>
  <c r="AT757" i="3"/>
  <c r="AT761" i="3"/>
  <c r="AT765" i="3"/>
  <c r="AT769" i="3"/>
  <c r="AX690" i="3"/>
  <c r="AX722" i="3"/>
  <c r="AX866" i="3"/>
  <c r="AT629" i="3"/>
  <c r="AT633" i="3"/>
  <c r="AT641" i="3"/>
  <c r="AT649" i="3"/>
  <c r="AT653" i="3"/>
  <c r="AT661" i="3"/>
  <c r="AT669" i="3"/>
  <c r="AT673" i="3"/>
  <c r="AT689" i="3"/>
  <c r="AT705" i="3"/>
  <c r="AT737" i="3"/>
  <c r="AT845" i="3"/>
  <c r="AT853" i="3"/>
  <c r="AT869" i="3"/>
  <c r="AP632" i="3"/>
  <c r="AP640" i="3"/>
  <c r="AP644" i="3"/>
  <c r="AP652" i="3"/>
  <c r="AP656" i="3"/>
  <c r="AP664" i="3"/>
  <c r="AP672" i="3"/>
  <c r="AP716" i="3"/>
  <c r="AP776" i="3"/>
  <c r="AP780" i="3"/>
  <c r="AP788" i="3"/>
  <c r="AP792" i="3"/>
  <c r="AP800" i="3"/>
  <c r="AP808" i="3"/>
  <c r="AP820" i="3"/>
  <c r="AP824" i="3"/>
  <c r="AP892" i="3"/>
  <c r="AL627" i="3"/>
  <c r="AL635" i="3"/>
  <c r="AL639" i="3"/>
  <c r="AL655" i="3"/>
  <c r="AL659" i="3"/>
  <c r="AL667" i="3"/>
  <c r="AL707" i="3"/>
  <c r="AL743" i="3"/>
  <c r="AL751" i="3"/>
  <c r="AL755" i="3"/>
  <c r="AL763" i="3"/>
  <c r="AL771" i="3"/>
  <c r="AL775" i="3"/>
  <c r="AL783" i="3"/>
  <c r="AL791" i="3"/>
  <c r="AL795" i="3"/>
  <c r="AL891" i="3"/>
  <c r="AX706" i="3"/>
  <c r="AX738" i="3"/>
  <c r="AT637" i="3"/>
  <c r="AT657" i="3"/>
  <c r="AT665" i="3"/>
  <c r="AT721" i="3"/>
  <c r="AT849" i="3"/>
  <c r="AT857" i="3"/>
  <c r="AP628" i="3"/>
  <c r="AP636" i="3"/>
  <c r="AP660" i="3"/>
  <c r="AP668" i="3"/>
  <c r="AP700" i="3"/>
  <c r="AP732" i="3"/>
  <c r="AP772" i="3"/>
  <c r="AP784" i="3"/>
  <c r="AP796" i="3"/>
  <c r="AP816" i="3"/>
  <c r="AP828" i="3"/>
  <c r="AL631" i="3"/>
  <c r="AL643" i="3"/>
  <c r="AL651" i="3"/>
  <c r="AL663" i="3"/>
  <c r="AL671" i="3"/>
  <c r="AL691" i="3"/>
  <c r="AL723" i="3"/>
  <c r="AL747" i="3"/>
  <c r="AL759" i="3"/>
  <c r="AL767" i="3"/>
  <c r="AL779" i="3"/>
  <c r="AL787" i="3"/>
  <c r="AT773" i="3"/>
  <c r="AT777" i="3"/>
  <c r="AT781" i="3"/>
  <c r="AT785" i="3"/>
  <c r="AT789" i="3"/>
  <c r="AT793" i="3"/>
  <c r="AT829" i="3"/>
  <c r="AT861" i="3"/>
  <c r="AT837" i="3"/>
  <c r="AT841" i="3"/>
  <c r="AT865" i="3"/>
  <c r="AT877" i="3"/>
  <c r="AT881" i="3"/>
  <c r="AT893" i="3"/>
  <c r="AT897" i="3"/>
  <c r="AP696" i="3"/>
  <c r="AP712" i="3"/>
  <c r="AP728" i="3"/>
  <c r="AP680" i="3"/>
  <c r="AP744" i="3"/>
  <c r="AP748" i="3"/>
  <c r="AP752" i="3"/>
  <c r="AP756" i="3"/>
  <c r="AP760" i="3"/>
  <c r="AP764" i="3"/>
  <c r="AP768" i="3"/>
  <c r="AP848" i="3"/>
  <c r="AP852" i="3"/>
  <c r="AP856" i="3"/>
  <c r="AP872" i="3"/>
  <c r="AP880" i="3"/>
  <c r="AP896" i="3"/>
  <c r="AL679" i="3"/>
  <c r="AL687" i="3"/>
  <c r="AL703" i="3"/>
  <c r="AL719" i="3"/>
  <c r="AL735" i="3"/>
  <c r="AL799" i="3"/>
  <c r="AL847" i="3"/>
  <c r="AL851" i="3"/>
  <c r="AL855" i="3"/>
  <c r="AL871" i="3"/>
  <c r="AL879" i="3"/>
  <c r="AL895" i="3"/>
  <c r="AH698" i="3"/>
  <c r="AH714" i="3"/>
  <c r="AH730" i="3"/>
  <c r="AH682" i="3"/>
  <c r="AH742" i="3"/>
  <c r="AH746" i="3"/>
  <c r="AH750" i="3"/>
  <c r="AH754" i="3"/>
  <c r="AH758" i="3"/>
  <c r="AH762" i="3"/>
  <c r="AH766" i="3"/>
  <c r="AH770" i="3"/>
  <c r="AH774" i="3"/>
  <c r="AH778" i="3"/>
  <c r="AH782" i="3"/>
  <c r="AH786" i="3"/>
  <c r="AH790" i="3"/>
  <c r="AH794" i="3"/>
  <c r="AH798" i="3"/>
  <c r="AH878" i="3"/>
  <c r="AH882" i="3"/>
  <c r="AH894" i="3"/>
  <c r="AD701" i="3"/>
  <c r="AD733" i="3"/>
  <c r="AD741" i="3"/>
  <c r="AD745" i="3"/>
  <c r="AD749" i="3"/>
  <c r="AD757" i="3"/>
  <c r="AD765" i="3"/>
  <c r="AD773" i="3"/>
  <c r="AD777" i="3"/>
  <c r="AD785" i="3"/>
  <c r="AD789" i="3"/>
  <c r="AD797" i="3"/>
  <c r="AD837" i="3"/>
  <c r="AD841" i="3"/>
  <c r="AD849" i="3"/>
  <c r="AD853" i="3"/>
  <c r="AD865" i="3"/>
  <c r="AD877" i="3"/>
  <c r="AD881" i="3"/>
  <c r="AD893" i="3"/>
  <c r="AD897" i="3"/>
  <c r="Z628" i="3"/>
  <c r="Z636" i="3"/>
  <c r="Z644" i="3"/>
  <c r="Z652" i="3"/>
  <c r="Z660" i="3"/>
  <c r="Z664" i="3"/>
  <c r="Z672" i="3"/>
  <c r="Z704" i="3"/>
  <c r="Z744" i="3"/>
  <c r="Z748" i="3"/>
  <c r="Z756" i="3"/>
  <c r="Z760" i="3"/>
  <c r="Z768" i="3"/>
  <c r="Z776" i="3"/>
  <c r="Z780" i="3"/>
  <c r="Z788" i="3"/>
  <c r="Z796" i="3"/>
  <c r="Z800" i="3"/>
  <c r="Z872" i="3"/>
  <c r="Z880" i="3"/>
  <c r="Z896" i="3"/>
  <c r="V687" i="3"/>
  <c r="V691" i="3"/>
  <c r="V723" i="3"/>
  <c r="V739" i="3"/>
  <c r="V743" i="3"/>
  <c r="V747" i="3"/>
  <c r="V755" i="3"/>
  <c r="V759" i="3"/>
  <c r="V767" i="3"/>
  <c r="V847" i="3"/>
  <c r="V851" i="3"/>
  <c r="V871" i="3"/>
  <c r="V879" i="3"/>
  <c r="V895" i="3"/>
  <c r="R702" i="3"/>
  <c r="R734" i="3"/>
  <c r="R682" i="3"/>
  <c r="R742" i="3"/>
  <c r="R746" i="3"/>
  <c r="R750" i="3"/>
  <c r="R758" i="3"/>
  <c r="R766" i="3"/>
  <c r="R838" i="3"/>
  <c r="R842" i="3"/>
  <c r="R850" i="3"/>
  <c r="R854" i="3"/>
  <c r="R878" i="3"/>
  <c r="R882" i="3"/>
  <c r="R894" i="3"/>
  <c r="AN631" i="3"/>
  <c r="AN771" i="3"/>
  <c r="AN819" i="3"/>
  <c r="AN871" i="3"/>
  <c r="AN879" i="3"/>
  <c r="AN883" i="3"/>
  <c r="AJ630" i="3"/>
  <c r="AJ626" i="3"/>
  <c r="AJ810" i="3"/>
  <c r="AJ818" i="3"/>
  <c r="AJ742" i="3"/>
  <c r="AJ746" i="3"/>
  <c r="AJ750" i="3"/>
  <c r="AJ754" i="3"/>
  <c r="AJ758" i="3"/>
  <c r="AJ762" i="3"/>
  <c r="AJ766" i="3"/>
  <c r="AJ854" i="3"/>
  <c r="X635" i="3"/>
  <c r="AH718" i="3"/>
  <c r="AH854" i="3"/>
  <c r="AD689" i="3"/>
  <c r="Z688" i="3"/>
  <c r="Z836" i="3"/>
  <c r="Z892" i="3"/>
  <c r="V711" i="3"/>
  <c r="V787" i="3"/>
  <c r="R626" i="3"/>
  <c r="R650" i="3"/>
  <c r="R666" i="3"/>
  <c r="R774" i="3"/>
  <c r="R798" i="3"/>
  <c r="R866" i="3"/>
  <c r="AN855" i="3"/>
  <c r="AJ826" i="3"/>
  <c r="AJ858" i="3"/>
  <c r="AJ870" i="3"/>
  <c r="AJ882" i="3"/>
  <c r="X699" i="3"/>
  <c r="X711" i="3"/>
  <c r="X723" i="3"/>
  <c r="X799" i="3"/>
  <c r="AU631" i="3"/>
  <c r="AU651" i="3"/>
  <c r="AU663" i="3"/>
  <c r="AU671" i="3"/>
  <c r="AU679" i="3"/>
  <c r="AU847" i="3"/>
  <c r="AU855" i="3"/>
  <c r="AU863" i="3"/>
  <c r="AM653" i="3"/>
  <c r="AM657" i="3"/>
  <c r="AM661" i="3"/>
  <c r="AM673" i="3"/>
  <c r="AM697" i="3"/>
  <c r="AM709" i="3"/>
  <c r="AM717" i="3"/>
  <c r="AM725" i="3"/>
  <c r="AM853" i="3"/>
  <c r="AM861" i="3"/>
  <c r="AM889" i="3"/>
  <c r="AA630" i="3"/>
  <c r="AA654" i="3"/>
  <c r="AA674" i="3"/>
  <c r="AA750" i="3"/>
  <c r="AA838" i="3"/>
  <c r="AA894" i="3"/>
  <c r="S748" i="3"/>
  <c r="S760" i="3"/>
  <c r="S836" i="3"/>
  <c r="S848" i="3"/>
  <c r="S892" i="3"/>
  <c r="AW662" i="3"/>
  <c r="AW750" i="3"/>
  <c r="AW854" i="3"/>
  <c r="AW870" i="3"/>
  <c r="AS633" i="3"/>
  <c r="AS757" i="3"/>
  <c r="AS785" i="3"/>
  <c r="AS825" i="3"/>
  <c r="AO656" i="3"/>
  <c r="AO756" i="3"/>
  <c r="AO772" i="3"/>
  <c r="AO788" i="3"/>
  <c r="AO800" i="3"/>
  <c r="AO808" i="3"/>
  <c r="AO816" i="3"/>
  <c r="AO820" i="3"/>
  <c r="AO824" i="3"/>
  <c r="AO828" i="3"/>
  <c r="AO860" i="3"/>
  <c r="AO872" i="3"/>
  <c r="AK635" i="3"/>
  <c r="AK651" i="3"/>
  <c r="AK667" i="3"/>
  <c r="AK747" i="3"/>
  <c r="AK771" i="3"/>
  <c r="AK775" i="3"/>
  <c r="AK791" i="3"/>
  <c r="AK799" i="3"/>
  <c r="AK807" i="3"/>
  <c r="AK815" i="3"/>
  <c r="AK819" i="3"/>
  <c r="AK823" i="3"/>
  <c r="AK827" i="3"/>
  <c r="AK847" i="3"/>
  <c r="AK879" i="3"/>
  <c r="AG642" i="3"/>
  <c r="AG670" i="3"/>
  <c r="AG654" i="3"/>
  <c r="AG750" i="3"/>
  <c r="AG766" i="3"/>
  <c r="AG782" i="3"/>
  <c r="AG770" i="3"/>
  <c r="AG862" i="3"/>
  <c r="AG866" i="3"/>
  <c r="AG870" i="3"/>
  <c r="AG878" i="3"/>
  <c r="AG886" i="3"/>
  <c r="AC653" i="3"/>
  <c r="AC741" i="3"/>
  <c r="AC785" i="3"/>
  <c r="AC865" i="3"/>
  <c r="AC869" i="3"/>
  <c r="Y756" i="3"/>
  <c r="Y788" i="3"/>
  <c r="Y800" i="3"/>
  <c r="Y808" i="3"/>
  <c r="Y816" i="3"/>
  <c r="Y820" i="3"/>
  <c r="Y828" i="3"/>
  <c r="Y836" i="3"/>
  <c r="Y840" i="3"/>
  <c r="Y880" i="3"/>
  <c r="U663" i="3"/>
  <c r="U759" i="3"/>
  <c r="U767" i="3"/>
  <c r="U679" i="3"/>
  <c r="U687" i="3"/>
  <c r="AH702" i="3"/>
  <c r="AH734" i="3"/>
  <c r="AH846" i="3"/>
  <c r="AH850" i="3"/>
  <c r="AH866" i="3"/>
  <c r="AD681" i="3"/>
  <c r="AD721" i="3"/>
  <c r="AD869" i="3"/>
  <c r="Z692" i="3"/>
  <c r="Z724" i="3"/>
  <c r="Z840" i="3"/>
  <c r="Z868" i="3"/>
  <c r="V727" i="3"/>
  <c r="V775" i="3"/>
  <c r="V779" i="3"/>
  <c r="V795" i="3"/>
  <c r="V891" i="3"/>
  <c r="R634" i="3"/>
  <c r="R642" i="3"/>
  <c r="R654" i="3"/>
  <c r="R662" i="3"/>
  <c r="R690" i="3"/>
  <c r="R722" i="3"/>
  <c r="R778" i="3"/>
  <c r="R786" i="3"/>
  <c r="R790" i="3"/>
  <c r="AN635" i="3"/>
  <c r="AN807" i="3"/>
  <c r="AN823" i="3"/>
  <c r="AN851" i="3"/>
  <c r="AJ634" i="3"/>
  <c r="AJ846" i="3"/>
  <c r="AJ862" i="3"/>
  <c r="AJ866" i="3"/>
  <c r="AJ878" i="3"/>
  <c r="X679" i="3"/>
  <c r="X691" i="3"/>
  <c r="X703" i="3"/>
  <c r="X715" i="3"/>
  <c r="X727" i="3"/>
  <c r="X731" i="3"/>
  <c r="X827" i="3"/>
  <c r="X851" i="3"/>
  <c r="X887" i="3"/>
  <c r="AU655" i="3"/>
  <c r="AU659" i="3"/>
  <c r="AU667" i="3"/>
  <c r="AU835" i="3"/>
  <c r="AU839" i="3"/>
  <c r="AU851" i="3"/>
  <c r="AU859" i="3"/>
  <c r="AU867" i="3"/>
  <c r="AM633" i="3"/>
  <c r="AM649" i="3"/>
  <c r="AM665" i="3"/>
  <c r="AM669" i="3"/>
  <c r="AM689" i="3"/>
  <c r="AM693" i="3"/>
  <c r="AM701" i="3"/>
  <c r="AM705" i="3"/>
  <c r="AM713" i="3"/>
  <c r="AM721" i="3"/>
  <c r="AM729" i="3"/>
  <c r="AM733" i="3"/>
  <c r="AM737" i="3"/>
  <c r="AM845" i="3"/>
  <c r="AM849" i="3"/>
  <c r="AM857" i="3"/>
  <c r="AM865" i="3"/>
  <c r="AM869" i="3"/>
  <c r="AA682" i="3"/>
  <c r="AA650" i="3"/>
  <c r="AA662" i="3"/>
  <c r="AA666" i="3"/>
  <c r="AA746" i="3"/>
  <c r="AA758" i="3"/>
  <c r="AA766" i="3"/>
  <c r="S680" i="3"/>
  <c r="S744" i="3"/>
  <c r="S756" i="3"/>
  <c r="S768" i="3"/>
  <c r="S852" i="3"/>
  <c r="S868" i="3"/>
  <c r="AW634" i="3"/>
  <c r="AW658" i="3"/>
  <c r="AW766" i="3"/>
  <c r="AW786" i="3"/>
  <c r="AW850" i="3"/>
  <c r="AW862" i="3"/>
  <c r="AW866" i="3"/>
  <c r="AW878" i="3"/>
  <c r="AW886" i="3"/>
  <c r="AS649" i="3"/>
  <c r="AS665" i="3"/>
  <c r="AS749" i="3"/>
  <c r="AS797" i="3"/>
  <c r="AS801" i="3"/>
  <c r="AS809" i="3"/>
  <c r="AS817" i="3"/>
  <c r="AS821" i="3"/>
  <c r="AS853" i="3"/>
  <c r="AS877" i="3"/>
  <c r="AO640" i="3"/>
  <c r="AX626" i="3"/>
  <c r="AX630" i="3"/>
  <c r="AX634" i="3"/>
  <c r="AX638" i="3"/>
  <c r="AX642" i="3"/>
  <c r="AX650" i="3"/>
  <c r="AX654" i="3"/>
  <c r="AX658" i="3"/>
  <c r="AX662" i="3"/>
  <c r="AX666" i="3"/>
  <c r="AX670" i="3"/>
  <c r="AX674" i="3"/>
  <c r="AX694" i="3"/>
  <c r="AX710" i="3"/>
  <c r="AX726" i="3"/>
  <c r="AX838" i="3"/>
  <c r="AX842" i="3"/>
  <c r="AX870" i="3"/>
  <c r="AX890" i="3"/>
  <c r="AT681" i="3"/>
  <c r="AT693" i="3"/>
  <c r="AT709" i="3"/>
  <c r="AT725" i="3"/>
  <c r="AT797" i="3"/>
  <c r="AT889" i="3"/>
  <c r="AP688" i="3"/>
  <c r="AP704" i="3"/>
  <c r="AP720" i="3"/>
  <c r="AP736" i="3"/>
  <c r="AP836" i="3"/>
  <c r="AP840" i="3"/>
  <c r="AP844" i="3"/>
  <c r="AP864" i="3"/>
  <c r="AL739" i="3"/>
  <c r="AL695" i="3"/>
  <c r="AL711" i="3"/>
  <c r="AL727" i="3"/>
  <c r="AL863" i="3"/>
  <c r="AH690" i="3"/>
  <c r="AH706" i="3"/>
  <c r="AH722" i="3"/>
  <c r="AH738" i="3"/>
  <c r="AH830" i="3"/>
  <c r="AH802" i="3"/>
  <c r="AH810" i="3"/>
  <c r="AH818" i="3"/>
  <c r="AH822" i="3"/>
  <c r="AH826" i="3"/>
  <c r="AH862" i="3"/>
  <c r="AH870" i="3"/>
  <c r="AH890" i="3"/>
  <c r="AD629" i="3"/>
  <c r="AD633" i="3"/>
  <c r="AD641" i="3"/>
  <c r="AD649" i="3"/>
  <c r="AD653" i="3"/>
  <c r="AD661" i="3"/>
  <c r="AD665" i="3"/>
  <c r="AD673" i="3"/>
  <c r="AD709" i="3"/>
  <c r="AD725" i="3"/>
  <c r="AD801" i="3"/>
  <c r="AD809" i="3"/>
  <c r="AD817" i="3"/>
  <c r="AD821" i="3"/>
  <c r="X807" i="3"/>
  <c r="X775" i="3"/>
  <c r="X779" i="3"/>
  <c r="X787" i="3"/>
  <c r="X795" i="3"/>
  <c r="X835" i="3"/>
  <c r="X839" i="3"/>
  <c r="X891" i="3"/>
  <c r="X895" i="3"/>
  <c r="AU627" i="3"/>
  <c r="AU643" i="3"/>
  <c r="AU739" i="3"/>
  <c r="AU895" i="3"/>
  <c r="AU891" i="3"/>
  <c r="AM629" i="3"/>
  <c r="AM741" i="3"/>
  <c r="AM745" i="3"/>
  <c r="AM749" i="3"/>
  <c r="AM753" i="3"/>
  <c r="AM757" i="3"/>
  <c r="AM761" i="3"/>
  <c r="AM765" i="3"/>
  <c r="AM769" i="3"/>
  <c r="AM837" i="3"/>
  <c r="AM797" i="3"/>
  <c r="AM801" i="3"/>
  <c r="AM809" i="3"/>
  <c r="AM817" i="3"/>
  <c r="AM821" i="3"/>
  <c r="AM825" i="3"/>
  <c r="AA626" i="3"/>
  <c r="AA642" i="3"/>
  <c r="AA690" i="3"/>
  <c r="AA698" i="3"/>
  <c r="AA702" i="3"/>
  <c r="AA710" i="3"/>
  <c r="AA714" i="3"/>
  <c r="AA722" i="3"/>
  <c r="AA726" i="3"/>
  <c r="AA730" i="3"/>
  <c r="AA734" i="3"/>
  <c r="AA774" i="3"/>
  <c r="AA778" i="3"/>
  <c r="AA786" i="3"/>
  <c r="AA790" i="3"/>
  <c r="AA878" i="3"/>
  <c r="AA882" i="3"/>
  <c r="AA886" i="3"/>
  <c r="S636" i="3"/>
  <c r="S872" i="3"/>
  <c r="S880" i="3"/>
  <c r="AW626" i="3"/>
  <c r="AW654" i="3"/>
  <c r="AW650" i="3"/>
  <c r="AW666" i="3"/>
  <c r="AW746" i="3"/>
  <c r="AW762" i="3"/>
  <c r="AW782" i="3"/>
  <c r="AW770" i="3"/>
  <c r="AW798" i="3"/>
  <c r="AW890" i="3"/>
  <c r="AW894" i="3"/>
  <c r="AS629" i="3"/>
  <c r="AS661" i="3"/>
  <c r="AS761" i="3"/>
  <c r="AS741" i="3"/>
  <c r="AS781" i="3"/>
  <c r="AS865" i="3"/>
  <c r="AS869" i="3"/>
  <c r="AS889" i="3"/>
  <c r="AS893" i="3"/>
  <c r="AS897" i="3"/>
  <c r="AO672" i="3"/>
  <c r="AO668" i="3"/>
  <c r="AO652" i="3"/>
  <c r="AO740" i="3"/>
  <c r="AO752" i="3"/>
  <c r="AO768" i="3"/>
  <c r="AO784" i="3"/>
  <c r="AO880" i="3"/>
  <c r="AO888" i="3"/>
  <c r="AO892" i="3"/>
  <c r="AO896" i="3"/>
  <c r="AK631" i="3"/>
  <c r="AK663" i="3"/>
  <c r="AK755" i="3"/>
  <c r="AK767" i="3"/>
  <c r="U691" i="3"/>
  <c r="U699" i="3"/>
  <c r="U703" i="3"/>
  <c r="U711" i="3"/>
  <c r="U715" i="3"/>
  <c r="U723" i="3"/>
  <c r="U727" i="3"/>
  <c r="U731" i="3"/>
  <c r="U739" i="3"/>
  <c r="U787" i="3"/>
  <c r="U851" i="3"/>
  <c r="U887" i="3"/>
  <c r="Q654" i="3"/>
  <c r="Q650" i="3"/>
  <c r="Q785" i="3"/>
  <c r="Q758" i="3"/>
  <c r="Q797" i="3"/>
  <c r="Q818" i="3"/>
  <c r="Q822" i="3"/>
  <c r="Q878" i="3"/>
  <c r="Q886" i="3"/>
  <c r="AV689" i="3"/>
  <c r="AV693" i="3"/>
  <c r="AV697" i="3"/>
  <c r="AV701" i="3"/>
  <c r="AV705" i="3"/>
  <c r="AV709" i="3"/>
  <c r="AV713" i="3"/>
  <c r="AV717" i="3"/>
  <c r="AV721" i="3"/>
  <c r="AV725" i="3"/>
  <c r="AV729" i="3"/>
  <c r="AV733" i="3"/>
  <c r="AV737" i="3"/>
  <c r="AV809" i="3"/>
  <c r="AV825" i="3"/>
  <c r="AF636" i="3"/>
  <c r="AF652" i="3"/>
  <c r="AF656" i="3"/>
  <c r="AF660" i="3"/>
  <c r="AF689" i="3"/>
  <c r="AF693" i="3"/>
  <c r="AF697" i="3"/>
  <c r="AF701" i="3"/>
  <c r="AF705" i="3"/>
  <c r="AF709" i="3"/>
  <c r="AF713" i="3"/>
  <c r="AF717" i="3"/>
  <c r="AF721" i="3"/>
  <c r="AF725" i="3"/>
  <c r="AF729" i="3"/>
  <c r="AF733" i="3"/>
  <c r="AF737" i="3"/>
  <c r="AF821" i="3"/>
  <c r="AF829" i="3"/>
  <c r="AF837" i="3"/>
  <c r="AF841" i="3"/>
  <c r="AF845" i="3"/>
  <c r="AF877" i="3"/>
  <c r="AF861" i="3"/>
  <c r="AF865" i="3"/>
  <c r="AF869" i="3"/>
  <c r="AF889" i="3"/>
  <c r="AF893" i="3"/>
  <c r="AF897" i="3"/>
  <c r="T626" i="3"/>
  <c r="T690" i="3"/>
  <c r="T698" i="3"/>
  <c r="T702" i="3"/>
  <c r="T710" i="3"/>
  <c r="T714" i="3"/>
  <c r="T722" i="3"/>
  <c r="T726" i="3"/>
  <c r="T730" i="3"/>
  <c r="T734" i="3"/>
  <c r="T818" i="3"/>
  <c r="T850" i="3"/>
  <c r="AB680" i="3"/>
  <c r="AD889" i="3"/>
  <c r="Z712" i="3"/>
  <c r="Z728" i="3"/>
  <c r="Z680" i="3"/>
  <c r="Z808" i="3"/>
  <c r="Z816" i="3"/>
  <c r="Z820" i="3"/>
  <c r="Z828" i="3"/>
  <c r="Z848" i="3"/>
  <c r="Z852" i="3"/>
  <c r="V627" i="3"/>
  <c r="V635" i="3"/>
  <c r="V643" i="3"/>
  <c r="V651" i="3"/>
  <c r="V659" i="3"/>
  <c r="V663" i="3"/>
  <c r="V671" i="3"/>
  <c r="V699" i="3"/>
  <c r="V715" i="3"/>
  <c r="V731" i="3"/>
  <c r="V799" i="3"/>
  <c r="V883" i="3"/>
  <c r="V887" i="3"/>
  <c r="R710" i="3"/>
  <c r="R726" i="3"/>
  <c r="R870" i="3"/>
  <c r="R890" i="3"/>
  <c r="AN639" i="3"/>
  <c r="AN679" i="3"/>
  <c r="AN651" i="3"/>
  <c r="AN655" i="3"/>
  <c r="AN659" i="3"/>
  <c r="AN663" i="3"/>
  <c r="AN667" i="3"/>
  <c r="AN671" i="3"/>
  <c r="AN687" i="3"/>
  <c r="AN739" i="3"/>
  <c r="AN743" i="3"/>
  <c r="AN747" i="3"/>
  <c r="AN751" i="3"/>
  <c r="AN755" i="3"/>
  <c r="AN759" i="3"/>
  <c r="AN763" i="3"/>
  <c r="AN767" i="3"/>
  <c r="AN827" i="3"/>
  <c r="AN775" i="3"/>
  <c r="AN779" i="3"/>
  <c r="AN783" i="3"/>
  <c r="AN787" i="3"/>
  <c r="AN791" i="3"/>
  <c r="AN795" i="3"/>
  <c r="AN847" i="3"/>
  <c r="AN859" i="3"/>
  <c r="AN863" i="3"/>
  <c r="AN867" i="3"/>
  <c r="AN887" i="3"/>
  <c r="AN891" i="3"/>
  <c r="AN895" i="3"/>
  <c r="AJ638" i="3"/>
  <c r="AJ690" i="3"/>
  <c r="AJ694" i="3"/>
  <c r="AJ698" i="3"/>
  <c r="AJ702" i="3"/>
  <c r="AJ706" i="3"/>
  <c r="AJ710" i="3"/>
  <c r="AJ714" i="3"/>
  <c r="AJ718" i="3"/>
  <c r="AJ722" i="3"/>
  <c r="AJ726" i="3"/>
  <c r="AJ730" i="3"/>
  <c r="AJ734" i="3"/>
  <c r="AJ738" i="3"/>
  <c r="AJ822" i="3"/>
  <c r="AJ798" i="3"/>
  <c r="AJ774" i="3"/>
  <c r="AJ778" i="3"/>
  <c r="AJ782" i="3"/>
  <c r="AJ786" i="3"/>
  <c r="AJ790" i="3"/>
  <c r="AJ794" i="3"/>
  <c r="AJ830" i="3"/>
  <c r="AJ838" i="3"/>
  <c r="AJ842" i="3"/>
  <c r="AJ890" i="3"/>
  <c r="AJ894" i="3"/>
  <c r="X627" i="3"/>
  <c r="X643" i="3"/>
  <c r="X687" i="3"/>
  <c r="X815" i="3"/>
  <c r="AU635" i="3"/>
  <c r="AU687" i="3"/>
  <c r="AU691" i="3"/>
  <c r="AU695" i="3"/>
  <c r="AU699" i="3"/>
  <c r="AU703" i="3"/>
  <c r="AU707" i="3"/>
  <c r="AU711" i="3"/>
  <c r="AU715" i="3"/>
  <c r="AU719" i="3"/>
  <c r="AU723" i="3"/>
  <c r="AU727" i="3"/>
  <c r="AU731" i="3"/>
  <c r="AU735" i="3"/>
  <c r="AU743" i="3"/>
  <c r="AU747" i="3"/>
  <c r="AU751" i="3"/>
  <c r="AU755" i="3"/>
  <c r="AU759" i="3"/>
  <c r="AU763" i="3"/>
  <c r="AU767" i="3"/>
  <c r="AU771" i="3"/>
  <c r="AU775" i="3"/>
  <c r="AU779" i="3"/>
  <c r="AU783" i="3"/>
  <c r="AU787" i="3"/>
  <c r="AU791" i="3"/>
  <c r="AU795" i="3"/>
  <c r="AU843" i="3"/>
  <c r="AU799" i="3"/>
  <c r="AU807" i="3"/>
  <c r="AU815" i="3"/>
  <c r="AU819" i="3"/>
  <c r="AU823" i="3"/>
  <c r="AU827" i="3"/>
  <c r="AU883" i="3"/>
  <c r="AU887" i="3"/>
  <c r="AM637" i="3"/>
  <c r="AM681" i="3"/>
  <c r="AA634" i="3"/>
  <c r="AA742" i="3"/>
  <c r="AA830" i="3"/>
  <c r="AA842" i="3"/>
  <c r="AA850" i="3"/>
  <c r="AA854" i="3"/>
  <c r="AA866" i="3"/>
  <c r="AA870" i="3"/>
  <c r="S628" i="3"/>
  <c r="S644" i="3"/>
  <c r="S652" i="3"/>
  <c r="S660" i="3"/>
  <c r="S664" i="3"/>
  <c r="S672" i="3"/>
  <c r="S688" i="3"/>
  <c r="S692" i="3"/>
  <c r="S700" i="3"/>
  <c r="S704" i="3"/>
  <c r="S712" i="3"/>
  <c r="S716" i="3"/>
  <c r="S724" i="3"/>
  <c r="S728" i="3"/>
  <c r="S732" i="3"/>
  <c r="S740" i="3"/>
  <c r="S776" i="3"/>
  <c r="S780" i="3"/>
  <c r="S788" i="3"/>
  <c r="S796" i="3"/>
  <c r="S840" i="3"/>
  <c r="S800" i="3"/>
  <c r="S808" i="3"/>
  <c r="S816" i="3"/>
  <c r="S820" i="3"/>
  <c r="S828" i="3"/>
  <c r="AW638" i="3"/>
  <c r="AW670" i="3"/>
  <c r="AW630" i="3"/>
  <c r="AW754" i="3"/>
  <c r="AW682" i="3"/>
  <c r="AW690" i="3"/>
  <c r="AW694" i="3"/>
  <c r="AW698" i="3"/>
  <c r="AW702" i="3"/>
  <c r="AW706" i="3"/>
  <c r="AW710" i="3"/>
  <c r="AW714" i="3"/>
  <c r="AW718" i="3"/>
  <c r="AW722" i="3"/>
  <c r="AW726" i="3"/>
  <c r="AW730" i="3"/>
  <c r="AW734" i="3"/>
  <c r="AW738" i="3"/>
  <c r="AW774" i="3"/>
  <c r="AW790" i="3"/>
  <c r="AW846" i="3"/>
  <c r="AS637" i="3"/>
  <c r="AS653" i="3"/>
  <c r="AS669" i="3"/>
  <c r="AS753" i="3"/>
  <c r="AS765" i="3"/>
  <c r="AS681" i="3"/>
  <c r="AS689" i="3"/>
  <c r="AS693" i="3"/>
  <c r="AK787" i="3"/>
  <c r="AK855" i="3"/>
  <c r="AK859" i="3"/>
  <c r="AK863" i="3"/>
  <c r="AK867" i="3"/>
  <c r="AK871" i="3"/>
  <c r="AK887" i="3"/>
  <c r="AK891" i="3"/>
  <c r="AK895" i="3"/>
  <c r="AG626" i="3"/>
  <c r="AG666" i="3"/>
  <c r="AG630" i="3"/>
  <c r="AG746" i="3"/>
  <c r="AG762" i="3"/>
  <c r="AG778" i="3"/>
  <c r="AG794" i="3"/>
  <c r="AG798" i="3"/>
  <c r="AG802" i="3"/>
  <c r="AG810" i="3"/>
  <c r="AG818" i="3"/>
  <c r="AG822" i="3"/>
  <c r="AG826" i="3"/>
  <c r="AG890" i="3"/>
  <c r="AG894" i="3"/>
  <c r="AC633" i="3"/>
  <c r="AC649" i="3"/>
  <c r="AC665" i="3"/>
  <c r="AC681" i="3"/>
  <c r="AC689" i="3"/>
  <c r="AC697" i="3"/>
  <c r="AC701" i="3"/>
  <c r="AC709" i="3"/>
  <c r="AC713" i="3"/>
  <c r="AC721" i="3"/>
  <c r="AC725" i="3"/>
  <c r="AC729" i="3"/>
  <c r="AC733" i="3"/>
  <c r="AC797" i="3"/>
  <c r="AC849" i="3"/>
  <c r="AC829" i="3"/>
  <c r="AC837" i="3"/>
  <c r="AC841" i="3"/>
  <c r="AC889" i="3"/>
  <c r="AC893" i="3"/>
  <c r="AC897" i="3"/>
  <c r="Y664" i="3"/>
  <c r="Y636" i="3"/>
  <c r="Y672" i="3"/>
  <c r="Y768" i="3"/>
  <c r="Y680" i="3"/>
  <c r="Y688" i="3"/>
  <c r="Y692" i="3"/>
  <c r="Y700" i="3"/>
  <c r="Y704" i="3"/>
  <c r="Y712" i="3"/>
  <c r="Y716" i="3"/>
  <c r="Y724" i="3"/>
  <c r="Y728" i="3"/>
  <c r="Y732" i="3"/>
  <c r="Y888" i="3"/>
  <c r="Y892" i="3"/>
  <c r="Y896" i="3"/>
  <c r="U643" i="3"/>
  <c r="U659" i="3"/>
  <c r="U743" i="3"/>
  <c r="U799" i="3"/>
  <c r="U835" i="3"/>
  <c r="U839" i="3"/>
  <c r="U891" i="3"/>
  <c r="U895" i="3"/>
  <c r="Q634" i="3"/>
  <c r="Q642" i="3"/>
  <c r="Q801" i="3"/>
  <c r="Q809" i="3"/>
  <c r="Q850" i="3"/>
  <c r="Q830" i="3"/>
  <c r="Q838" i="3"/>
  <c r="Q842" i="3"/>
  <c r="Q866" i="3"/>
  <c r="Q870" i="3"/>
  <c r="Q876" i="3"/>
  <c r="Q890" i="3"/>
  <c r="Q894" i="3"/>
  <c r="AV641" i="3"/>
  <c r="AV639" i="3"/>
  <c r="AV629" i="3"/>
  <c r="AV649" i="3"/>
  <c r="AV653" i="3"/>
  <c r="AV657" i="3"/>
  <c r="AV661" i="3"/>
  <c r="AV665" i="3"/>
  <c r="AV669" i="3"/>
  <c r="AV673" i="3"/>
  <c r="AV771" i="3"/>
  <c r="AV823" i="3"/>
  <c r="AV797" i="3"/>
  <c r="AV821" i="3"/>
  <c r="AV829" i="3"/>
  <c r="AV837" i="3"/>
  <c r="AV841" i="3"/>
  <c r="AV845" i="3"/>
  <c r="AV877" i="3"/>
  <c r="AV871" i="3"/>
  <c r="AV861" i="3"/>
  <c r="AV865" i="3"/>
  <c r="AV869" i="3"/>
  <c r="AV883" i="3"/>
  <c r="AV889" i="3"/>
  <c r="AV893" i="3"/>
  <c r="AV897" i="3"/>
  <c r="AS697" i="3"/>
  <c r="AS701" i="3"/>
  <c r="AS705" i="3"/>
  <c r="AS709" i="3"/>
  <c r="AS713" i="3"/>
  <c r="AS717" i="3"/>
  <c r="AS721" i="3"/>
  <c r="AS725" i="3"/>
  <c r="AS729" i="3"/>
  <c r="AS733" i="3"/>
  <c r="AS737" i="3"/>
  <c r="AS773" i="3"/>
  <c r="AS789" i="3"/>
  <c r="AS849" i="3"/>
  <c r="AS845" i="3"/>
  <c r="AS829" i="3"/>
  <c r="AS837" i="3"/>
  <c r="AS841" i="3"/>
  <c r="AS861" i="3"/>
  <c r="AS881" i="3"/>
  <c r="AO628" i="3"/>
  <c r="AO632" i="3"/>
  <c r="AO644" i="3"/>
  <c r="AO664" i="3"/>
  <c r="AO744" i="3"/>
  <c r="AO760" i="3"/>
  <c r="AO776" i="3"/>
  <c r="AO792" i="3"/>
  <c r="AO836" i="3"/>
  <c r="AO840" i="3"/>
  <c r="AO844" i="3"/>
  <c r="AO852" i="3"/>
  <c r="AO864" i="3"/>
  <c r="AO868" i="3"/>
  <c r="AK639" i="3"/>
  <c r="AK655" i="3"/>
  <c r="AK671" i="3"/>
  <c r="AK743" i="3"/>
  <c r="AK763" i="3"/>
  <c r="AK679" i="3"/>
  <c r="AK687" i="3"/>
  <c r="AK691" i="3"/>
  <c r="AK695" i="3"/>
  <c r="AK699" i="3"/>
  <c r="AK703" i="3"/>
  <c r="AK707" i="3"/>
  <c r="AK711" i="3"/>
  <c r="AK715" i="3"/>
  <c r="AK719" i="3"/>
  <c r="AK723" i="3"/>
  <c r="AK727" i="3"/>
  <c r="AK731" i="3"/>
  <c r="AK735" i="3"/>
  <c r="AK739" i="3"/>
  <c r="AK779" i="3"/>
  <c r="AK795" i="3"/>
  <c r="AK883" i="3"/>
  <c r="AG650" i="3"/>
  <c r="AG634" i="3"/>
  <c r="AG662" i="3"/>
  <c r="AG754" i="3"/>
  <c r="AG786" i="3"/>
  <c r="AG850" i="3"/>
  <c r="AG854" i="3"/>
  <c r="AG882" i="3"/>
  <c r="AC641" i="3"/>
  <c r="AC673" i="3"/>
  <c r="AC757" i="3"/>
  <c r="AC749" i="3"/>
  <c r="AC773" i="3"/>
  <c r="AC789" i="3"/>
  <c r="AC801" i="3"/>
  <c r="AC809" i="3"/>
  <c r="AC817" i="3"/>
  <c r="AC821" i="3"/>
  <c r="AC861" i="3"/>
  <c r="AC881" i="3"/>
  <c r="AC877" i="3"/>
  <c r="Y628" i="3"/>
  <c r="Y644" i="3"/>
  <c r="Y660" i="3"/>
  <c r="Y744" i="3"/>
  <c r="Y760" i="3"/>
  <c r="Y776" i="3"/>
  <c r="Y848" i="3"/>
  <c r="Y852" i="3"/>
  <c r="Y868" i="3"/>
  <c r="Y872" i="3"/>
  <c r="U635" i="3"/>
  <c r="U651" i="3"/>
  <c r="U627" i="3"/>
  <c r="U747" i="3"/>
  <c r="U847" i="3"/>
  <c r="U775" i="3"/>
  <c r="U807" i="3"/>
  <c r="U815" i="3"/>
  <c r="U819" i="3"/>
  <c r="U827" i="3"/>
  <c r="U879" i="3"/>
  <c r="U867" i="3"/>
  <c r="U871" i="3"/>
  <c r="U881" i="3"/>
  <c r="U889" i="3"/>
  <c r="U893" i="3"/>
  <c r="U897" i="3"/>
  <c r="Q626" i="3"/>
  <c r="Q662" i="3"/>
  <c r="Q636" i="3"/>
  <c r="Q652" i="3"/>
  <c r="Q742" i="3"/>
  <c r="Q746" i="3"/>
  <c r="Q777" i="3"/>
  <c r="Q682" i="3"/>
  <c r="Q690" i="3"/>
  <c r="Q698" i="3"/>
  <c r="Q702" i="3"/>
  <c r="Q710" i="3"/>
  <c r="Q714" i="3"/>
  <c r="Q722" i="3"/>
  <c r="Q726" i="3"/>
  <c r="Q730" i="3"/>
  <c r="Q734" i="3"/>
  <c r="Q779" i="3"/>
  <c r="Q795" i="3"/>
  <c r="Q799" i="3"/>
  <c r="Q807" i="3"/>
  <c r="Q836" i="3"/>
  <c r="Q840" i="3"/>
  <c r="Q854" i="3"/>
  <c r="Q880" i="3"/>
  <c r="Q868" i="3"/>
  <c r="Q872" i="3"/>
  <c r="Q882" i="3"/>
  <c r="Q888" i="3"/>
  <c r="Q892" i="3"/>
  <c r="Q896" i="3"/>
  <c r="AV633" i="3"/>
  <c r="AV631" i="3"/>
  <c r="AV681" i="3"/>
  <c r="AV651" i="3"/>
  <c r="AV655" i="3"/>
  <c r="AV659" i="3"/>
  <c r="AV663" i="3"/>
  <c r="AV667" i="3"/>
  <c r="AV671" i="3"/>
  <c r="AV687" i="3"/>
  <c r="AV819" i="3"/>
  <c r="AV835" i="3"/>
  <c r="AV839" i="3"/>
  <c r="AV843" i="3"/>
  <c r="AV849" i="3"/>
  <c r="AV859" i="3"/>
  <c r="AV863" i="3"/>
  <c r="AV867" i="3"/>
  <c r="AV887" i="3"/>
  <c r="AV891" i="3"/>
  <c r="AV895" i="3"/>
  <c r="AF640" i="3"/>
  <c r="AF630" i="3"/>
  <c r="AF681" i="3"/>
  <c r="AF663" i="3"/>
  <c r="AF667" i="3"/>
  <c r="AF671" i="3"/>
  <c r="AF687" i="3"/>
  <c r="AF819" i="3"/>
  <c r="AF807" i="3"/>
  <c r="AF739" i="3"/>
  <c r="AF743" i="3"/>
  <c r="AF747" i="3"/>
  <c r="AF751" i="3"/>
  <c r="AF755" i="3"/>
  <c r="AF759" i="3"/>
  <c r="AF763" i="3"/>
  <c r="AF767" i="3"/>
  <c r="AF801" i="3"/>
  <c r="AF817" i="3"/>
  <c r="AF773" i="3"/>
  <c r="AF777" i="3"/>
  <c r="AF781" i="3"/>
  <c r="AF785" i="3"/>
  <c r="AF789" i="3"/>
  <c r="AF793" i="3"/>
  <c r="AF797" i="3"/>
  <c r="AF851" i="3"/>
  <c r="AF853" i="3"/>
  <c r="AF857" i="3"/>
  <c r="AF881" i="3"/>
  <c r="AF887" i="3"/>
  <c r="T634" i="3"/>
  <c r="T644" i="3"/>
  <c r="T650" i="3"/>
  <c r="T654" i="3"/>
  <c r="T662" i="3"/>
  <c r="T666" i="3"/>
  <c r="T674" i="3"/>
  <c r="T802" i="3"/>
  <c r="T740" i="3"/>
  <c r="T744" i="3"/>
  <c r="T748" i="3"/>
  <c r="T756" i="3"/>
  <c r="T760" i="3"/>
  <c r="T768" i="3"/>
  <c r="T810" i="3"/>
  <c r="T808" i="3"/>
  <c r="T830" i="3"/>
  <c r="T838" i="3"/>
  <c r="T842" i="3"/>
  <c r="T848" i="3"/>
  <c r="T852" i="3"/>
  <c r="T868" i="3"/>
  <c r="T880" i="3"/>
  <c r="T886" i="3"/>
  <c r="AR638" i="3"/>
  <c r="AR742" i="3"/>
  <c r="AR746" i="3"/>
  <c r="AR750" i="3"/>
  <c r="AR754" i="3"/>
  <c r="AR758" i="3"/>
  <c r="AR762" i="3"/>
  <c r="AR766" i="3"/>
  <c r="AR802" i="3"/>
  <c r="AR818" i="3"/>
  <c r="AR830" i="3"/>
  <c r="AR838" i="3"/>
  <c r="AR842" i="3"/>
  <c r="AR890" i="3"/>
  <c r="AR894" i="3"/>
  <c r="AB636" i="3"/>
  <c r="AB626" i="3"/>
  <c r="AB652" i="3"/>
  <c r="AB660" i="3"/>
  <c r="AB664" i="3"/>
  <c r="AB672" i="3"/>
  <c r="AB828" i="3"/>
  <c r="AB692" i="3"/>
  <c r="AB700" i="3"/>
  <c r="AB704" i="3"/>
  <c r="AB798" i="3"/>
  <c r="AB866" i="3"/>
  <c r="AB870" i="3"/>
  <c r="AB878" i="3"/>
  <c r="AB882" i="3"/>
  <c r="AF638" i="3"/>
  <c r="AF661" i="3"/>
  <c r="AF665" i="3"/>
  <c r="AF669" i="3"/>
  <c r="AF673" i="3"/>
  <c r="AF771" i="3"/>
  <c r="AF741" i="3"/>
  <c r="AF745" i="3"/>
  <c r="AF749" i="3"/>
  <c r="AF753" i="3"/>
  <c r="AF757" i="3"/>
  <c r="AF761" i="3"/>
  <c r="AF765" i="3"/>
  <c r="AF769" i="3"/>
  <c r="AF809" i="3"/>
  <c r="AF825" i="3"/>
  <c r="AF775" i="3"/>
  <c r="AF779" i="3"/>
  <c r="AF783" i="3"/>
  <c r="AF787" i="3"/>
  <c r="AF791" i="3"/>
  <c r="AF795" i="3"/>
  <c r="AF847" i="3"/>
  <c r="AF855" i="3"/>
  <c r="AF879" i="3"/>
  <c r="AF883" i="3"/>
  <c r="T682" i="3"/>
  <c r="T642" i="3"/>
  <c r="T652" i="3"/>
  <c r="T660" i="3"/>
  <c r="T664" i="3"/>
  <c r="T672" i="3"/>
  <c r="T688" i="3"/>
  <c r="T742" i="3"/>
  <c r="T746" i="3"/>
  <c r="T750" i="3"/>
  <c r="T758" i="3"/>
  <c r="T766" i="3"/>
  <c r="T798" i="3"/>
  <c r="T816" i="3"/>
  <c r="T872" i="3"/>
  <c r="T836" i="3"/>
  <c r="T840" i="3"/>
  <c r="T854" i="3"/>
  <c r="T866" i="3"/>
  <c r="T870" i="3"/>
  <c r="T878" i="3"/>
  <c r="T882" i="3"/>
  <c r="AR630" i="3"/>
  <c r="AR682" i="3"/>
  <c r="AR770" i="3"/>
  <c r="AR810" i="3"/>
  <c r="AR826" i="3"/>
  <c r="AR854" i="3"/>
  <c r="AB628" i="3"/>
  <c r="AB644" i="3"/>
  <c r="AB642" i="3"/>
  <c r="AB650" i="3"/>
  <c r="AB654" i="3"/>
  <c r="AB662" i="3"/>
  <c r="AB666" i="3"/>
  <c r="AB674" i="3"/>
  <c r="AB690" i="3"/>
  <c r="AB698" i="3"/>
  <c r="AB702" i="3"/>
  <c r="AB710" i="3"/>
  <c r="AB714" i="3"/>
  <c r="AB722" i="3"/>
  <c r="AB726" i="3"/>
  <c r="AB730" i="3"/>
  <c r="AB734" i="3"/>
  <c r="AB742" i="3"/>
  <c r="AB746" i="3"/>
  <c r="AB750" i="3"/>
  <c r="AB758" i="3"/>
  <c r="AB766" i="3"/>
  <c r="AB822" i="3"/>
  <c r="AB850" i="3"/>
  <c r="AB886" i="3"/>
  <c r="P635" i="3"/>
  <c r="P689" i="3"/>
  <c r="P697" i="3"/>
  <c r="P701" i="3"/>
  <c r="P709" i="3"/>
  <c r="P827" i="3"/>
  <c r="P835" i="3"/>
  <c r="P839" i="3"/>
  <c r="P851" i="3"/>
  <c r="P887" i="3"/>
  <c r="AQ640" i="3"/>
  <c r="AQ840" i="3"/>
  <c r="AQ772" i="3"/>
  <c r="AQ776" i="3"/>
  <c r="AQ780" i="3"/>
  <c r="AQ784" i="3"/>
  <c r="AQ788" i="3"/>
  <c r="AQ792" i="3"/>
  <c r="AQ796" i="3"/>
  <c r="AI626" i="3"/>
  <c r="AI642" i="3"/>
  <c r="AI650" i="3"/>
  <c r="AI654" i="3"/>
  <c r="AI658" i="3"/>
  <c r="AI662" i="3"/>
  <c r="AI666" i="3"/>
  <c r="AI670" i="3"/>
  <c r="AI674" i="3"/>
  <c r="AI742" i="3"/>
  <c r="AI746" i="3"/>
  <c r="AI750" i="3"/>
  <c r="AI754" i="3"/>
  <c r="AI758" i="3"/>
  <c r="AI762" i="3"/>
  <c r="AI766" i="3"/>
  <c r="AI838" i="3"/>
  <c r="AI830" i="3"/>
  <c r="AI846" i="3"/>
  <c r="AI850" i="3"/>
  <c r="AI854" i="3"/>
  <c r="AI858" i="3"/>
  <c r="AI862" i="3"/>
  <c r="AI866" i="3"/>
  <c r="AI870" i="3"/>
  <c r="AE633" i="3"/>
  <c r="AE649" i="3"/>
  <c r="AE653" i="3"/>
  <c r="AE657" i="3"/>
  <c r="AE661" i="3"/>
  <c r="AE665" i="3"/>
  <c r="AE669" i="3"/>
  <c r="AE673" i="3"/>
  <c r="AE773" i="3"/>
  <c r="AE777" i="3"/>
  <c r="AE781" i="3"/>
  <c r="AE785" i="3"/>
  <c r="AE789" i="3"/>
  <c r="AE793" i="3"/>
  <c r="AE797" i="3"/>
  <c r="AE837" i="3"/>
  <c r="AE889" i="3"/>
  <c r="AE897" i="3"/>
  <c r="W627" i="3"/>
  <c r="W643" i="3"/>
  <c r="W835" i="3"/>
  <c r="W799" i="3"/>
  <c r="W807" i="3"/>
  <c r="W815" i="3"/>
  <c r="W819" i="3"/>
  <c r="W827" i="3"/>
  <c r="W867" i="3"/>
  <c r="W871" i="3"/>
  <c r="W883" i="3"/>
  <c r="W887" i="3"/>
  <c r="P633" i="3"/>
  <c r="P629" i="3"/>
  <c r="P643" i="3"/>
  <c r="P679" i="3"/>
  <c r="P691" i="3"/>
  <c r="P699" i="3"/>
  <c r="P703" i="3"/>
  <c r="P711" i="3"/>
  <c r="P715" i="3"/>
  <c r="P723" i="3"/>
  <c r="P727" i="3"/>
  <c r="P731" i="3"/>
  <c r="P739" i="3"/>
  <c r="P775" i="3"/>
  <c r="P779" i="3"/>
  <c r="P787" i="3"/>
  <c r="P795" i="3"/>
  <c r="P847" i="3"/>
  <c r="P867" i="3"/>
  <c r="P871" i="3"/>
  <c r="P879" i="3"/>
  <c r="P883" i="3"/>
  <c r="AQ632" i="3"/>
  <c r="AQ740" i="3"/>
  <c r="AQ744" i="3"/>
  <c r="AQ748" i="3"/>
  <c r="AQ752" i="3"/>
  <c r="AQ756" i="3"/>
  <c r="AQ760" i="3"/>
  <c r="AQ764" i="3"/>
  <c r="AQ768" i="3"/>
  <c r="AQ844" i="3"/>
  <c r="AQ800" i="3"/>
  <c r="AQ808" i="3"/>
  <c r="AQ816" i="3"/>
  <c r="AQ820" i="3"/>
  <c r="AQ824" i="3"/>
  <c r="AQ828" i="3"/>
  <c r="AI634" i="3"/>
  <c r="AI842" i="3"/>
  <c r="AI878" i="3"/>
  <c r="AI882" i="3"/>
  <c r="AI894" i="3"/>
  <c r="AI886" i="3"/>
  <c r="AE641" i="3"/>
  <c r="AE681" i="3"/>
  <c r="AE893" i="3"/>
  <c r="W635" i="3"/>
  <c r="W775" i="3"/>
  <c r="W779" i="3"/>
  <c r="W787" i="3"/>
  <c r="W795" i="3"/>
  <c r="AR628" i="3"/>
  <c r="AR644" i="3"/>
  <c r="AR816" i="3"/>
  <c r="AR848" i="3"/>
  <c r="AR852" i="3"/>
  <c r="AR856" i="3"/>
  <c r="AR632" i="3"/>
  <c r="AR828" i="3"/>
  <c r="AR860" i="3"/>
  <c r="AR636" i="3"/>
  <c r="AR808" i="3"/>
  <c r="AR824" i="3"/>
  <c r="AR740" i="3"/>
  <c r="AR744" i="3"/>
  <c r="AR748" i="3"/>
  <c r="AR752" i="3"/>
  <c r="AR756" i="3"/>
  <c r="AR760" i="3"/>
  <c r="AR764" i="3"/>
  <c r="AR768" i="3"/>
  <c r="AR820" i="3"/>
  <c r="AR836" i="3"/>
  <c r="AR840" i="3"/>
  <c r="AR844" i="3"/>
  <c r="AR872" i="3"/>
  <c r="AB712" i="3"/>
  <c r="AB716" i="3"/>
  <c r="AB724" i="3"/>
  <c r="AB728" i="3"/>
  <c r="AB732" i="3"/>
  <c r="AB740" i="3"/>
  <c r="AB744" i="3"/>
  <c r="AB748" i="3"/>
  <c r="AB756" i="3"/>
  <c r="AB760" i="3"/>
  <c r="AB768" i="3"/>
  <c r="P713" i="3"/>
  <c r="P721" i="3"/>
  <c r="P725" i="3"/>
  <c r="P729" i="3"/>
  <c r="P733" i="3"/>
  <c r="P773" i="3"/>
  <c r="P777" i="3"/>
  <c r="P785" i="3"/>
  <c r="P789" i="3"/>
  <c r="P797" i="3"/>
  <c r="P853" i="3"/>
  <c r="P865" i="3"/>
  <c r="P869" i="3"/>
  <c r="P881" i="3"/>
  <c r="AQ638" i="3"/>
  <c r="AQ682" i="3"/>
  <c r="AQ742" i="3"/>
  <c r="AQ746" i="3"/>
  <c r="AQ750" i="3"/>
  <c r="AQ754" i="3"/>
  <c r="AQ758" i="3"/>
  <c r="AQ762" i="3"/>
  <c r="AQ766" i="3"/>
  <c r="AQ798" i="3"/>
  <c r="AQ802" i="3"/>
  <c r="AQ810" i="3"/>
  <c r="AQ818" i="3"/>
  <c r="AQ822" i="3"/>
  <c r="AQ826" i="3"/>
  <c r="AQ894" i="3"/>
  <c r="AQ890" i="3"/>
  <c r="AI632" i="3"/>
  <c r="AI844" i="3"/>
  <c r="AI872" i="3"/>
  <c r="AI880" i="3"/>
  <c r="AI896" i="3"/>
  <c r="AI888" i="3"/>
  <c r="AE627" i="3"/>
  <c r="AE643" i="3"/>
  <c r="W773" i="3"/>
  <c r="W777" i="3"/>
  <c r="W785" i="3"/>
  <c r="W789" i="3"/>
  <c r="W797" i="3"/>
  <c r="W893" i="3"/>
  <c r="AR864" i="3"/>
  <c r="AR868" i="3"/>
  <c r="AR880" i="3"/>
  <c r="AB800" i="3"/>
  <c r="AB848" i="3"/>
  <c r="AB852" i="3"/>
  <c r="P641" i="3"/>
  <c r="P801" i="3"/>
  <c r="P817" i="3"/>
  <c r="P873" i="3"/>
  <c r="P889" i="3"/>
  <c r="P893" i="3"/>
  <c r="P897" i="3"/>
  <c r="AQ626" i="3"/>
  <c r="AQ642" i="3"/>
  <c r="AQ690" i="3"/>
  <c r="AQ694" i="3"/>
  <c r="AQ698" i="3"/>
  <c r="AQ702" i="3"/>
  <c r="AQ706" i="3"/>
  <c r="AQ710" i="3"/>
  <c r="AQ714" i="3"/>
  <c r="AQ718" i="3"/>
  <c r="AQ722" i="3"/>
  <c r="AQ726" i="3"/>
  <c r="AQ730" i="3"/>
  <c r="AQ734" i="3"/>
  <c r="AQ738" i="3"/>
  <c r="AQ838" i="3"/>
  <c r="AQ878" i="3"/>
  <c r="AQ882" i="3"/>
  <c r="AQ886" i="3"/>
  <c r="AI636" i="3"/>
  <c r="AI680" i="3"/>
  <c r="AI772" i="3"/>
  <c r="AI776" i="3"/>
  <c r="AI780" i="3"/>
  <c r="AI784" i="3"/>
  <c r="AI788" i="3"/>
  <c r="AI792" i="3"/>
  <c r="AI796" i="3"/>
  <c r="AE839" i="3"/>
  <c r="AE843" i="3"/>
  <c r="AE895" i="3"/>
  <c r="AE891" i="3"/>
  <c r="W641" i="3"/>
  <c r="W681" i="3"/>
  <c r="W841" i="3"/>
  <c r="W849" i="3"/>
  <c r="W853" i="3"/>
  <c r="AR888" i="3"/>
  <c r="AR892" i="3"/>
  <c r="AR896" i="3"/>
  <c r="AB816" i="3"/>
  <c r="AB820" i="3"/>
  <c r="AB864" i="3"/>
  <c r="AB868" i="3"/>
  <c r="AB880" i="3"/>
  <c r="P681" i="3"/>
  <c r="P821" i="3"/>
  <c r="P829" i="3"/>
  <c r="P837" i="3"/>
  <c r="P841" i="3"/>
  <c r="P877" i="3"/>
  <c r="AQ630" i="3"/>
  <c r="AQ774" i="3"/>
  <c r="AQ778" i="3"/>
  <c r="AQ782" i="3"/>
  <c r="AQ786" i="3"/>
  <c r="AQ790" i="3"/>
  <c r="AQ794" i="3"/>
  <c r="AQ842" i="3"/>
  <c r="AI640" i="3"/>
  <c r="AI652" i="3"/>
  <c r="AI656" i="3"/>
  <c r="AI660" i="3"/>
  <c r="AI664" i="3"/>
  <c r="AI668" i="3"/>
  <c r="AI672" i="3"/>
  <c r="AI740" i="3"/>
  <c r="AI744" i="3"/>
  <c r="AI748" i="3"/>
  <c r="AI752" i="3"/>
  <c r="AI756" i="3"/>
  <c r="AI760" i="3"/>
  <c r="AI764" i="3"/>
  <c r="AI768" i="3"/>
  <c r="AI836" i="3"/>
  <c r="AI848" i="3"/>
  <c r="AI852" i="3"/>
  <c r="AI856" i="3"/>
  <c r="AI860" i="3"/>
  <c r="AI864" i="3"/>
  <c r="AI868" i="3"/>
  <c r="AI892" i="3"/>
  <c r="AE635" i="3"/>
  <c r="AE651" i="3"/>
  <c r="AE655" i="3"/>
  <c r="AE659" i="3"/>
  <c r="AE663" i="3"/>
  <c r="AE667" i="3"/>
  <c r="AE671" i="3"/>
  <c r="AE679" i="3"/>
  <c r="AE739" i="3"/>
  <c r="AE771" i="3"/>
  <c r="AE775" i="3"/>
  <c r="AE779" i="3"/>
  <c r="AE783" i="3"/>
  <c r="AE787" i="3"/>
  <c r="AE791" i="3"/>
  <c r="AE795" i="3"/>
  <c r="AE883" i="3"/>
  <c r="AE887" i="3"/>
  <c r="W629" i="3"/>
  <c r="W741" i="3"/>
  <c r="W829" i="3"/>
  <c r="W801" i="3"/>
  <c r="W809" i="3"/>
  <c r="W817" i="3"/>
  <c r="W821" i="3"/>
  <c r="W865" i="3"/>
  <c r="W869" i="3"/>
  <c r="W889" i="3"/>
  <c r="AU1471" i="3"/>
  <c r="AU2031" i="3"/>
  <c r="AU911" i="3" s="1"/>
  <c r="AU1640" i="3"/>
  <c r="AU2200" i="3"/>
  <c r="AU1080" i="3" s="1"/>
  <c r="AU1656" i="3"/>
  <c r="AU2216" i="3"/>
  <c r="AU1096" i="3" s="1"/>
  <c r="AU1688" i="3"/>
  <c r="AU2248" i="3"/>
  <c r="AU1128" i="3" s="1"/>
  <c r="AU1729" i="3"/>
  <c r="AU1730" i="3"/>
  <c r="AU1637" i="3"/>
  <c r="AU2197" i="3"/>
  <c r="AU1077" i="3" s="1"/>
  <c r="AU1669" i="3"/>
  <c r="AU2229" i="3"/>
  <c r="AU1109" i="3" s="1"/>
  <c r="AU1659" i="3"/>
  <c r="AU2219" i="3"/>
  <c r="AU1099" i="3" s="1"/>
  <c r="AU1472" i="3"/>
  <c r="AU2032" i="3"/>
  <c r="AU912" i="3" s="1"/>
  <c r="AU1504" i="3"/>
  <c r="AU2064" i="3"/>
  <c r="AU944" i="3" s="1"/>
  <c r="AU1520" i="3"/>
  <c r="AU2080" i="3"/>
  <c r="AU960" i="3" s="1"/>
  <c r="AU1536" i="3"/>
  <c r="AU2096" i="3"/>
  <c r="AU1552" i="3"/>
  <c r="AU2112" i="3"/>
  <c r="AU992" i="3" s="1"/>
  <c r="AU1568" i="3"/>
  <c r="AU2128" i="3"/>
  <c r="AU1008" i="3" s="1"/>
  <c r="AU1584" i="3"/>
  <c r="AU2144" i="3"/>
  <c r="AU1024" i="3" s="1"/>
  <c r="AU1600" i="3"/>
  <c r="AU2160" i="3"/>
  <c r="AU1040" i="3" s="1"/>
  <c r="AU1616" i="3"/>
  <c r="AU2176" i="3"/>
  <c r="AU1056" i="3" s="1"/>
  <c r="AU1632" i="3"/>
  <c r="AU2192" i="3"/>
  <c r="AU1072" i="3" s="1"/>
  <c r="AU1700" i="3"/>
  <c r="AU2260" i="3"/>
  <c r="AU1140" i="3" s="1"/>
  <c r="AU1501" i="3"/>
  <c r="AU2061" i="3"/>
  <c r="AU941" i="3" s="1"/>
  <c r="AU1533" i="3"/>
  <c r="AU2093" i="3"/>
  <c r="AU1549" i="3"/>
  <c r="AU2109" i="3"/>
  <c r="AU989" i="3" s="1"/>
  <c r="AU1565" i="3"/>
  <c r="AU2125" i="3"/>
  <c r="AU1005" i="3" s="1"/>
  <c r="AU1581" i="3"/>
  <c r="AU2141" i="3"/>
  <c r="AU1021" i="3" s="1"/>
  <c r="AU1597" i="3"/>
  <c r="AU2157" i="3"/>
  <c r="AU1037" i="3" s="1"/>
  <c r="AU1613" i="3"/>
  <c r="AU2173" i="3"/>
  <c r="AU1053" i="3" s="1"/>
  <c r="AU1629" i="3"/>
  <c r="AU2189" i="3"/>
  <c r="AU1069" i="3" s="1"/>
  <c r="AU1693" i="3"/>
  <c r="AU2253" i="3"/>
  <c r="AU1133" i="3" s="1"/>
  <c r="AU1709" i="3"/>
  <c r="AU1711" i="3"/>
  <c r="AU1466" i="3"/>
  <c r="AU2026" i="3"/>
  <c r="AU906" i="3" s="1"/>
  <c r="AU1482" i="3"/>
  <c r="AU2042" i="3"/>
  <c r="AU922" i="3" s="1"/>
  <c r="AU1498" i="3"/>
  <c r="AU2058" i="3"/>
  <c r="AU1514" i="3"/>
  <c r="AU2074" i="3"/>
  <c r="AU954" i="3" s="1"/>
  <c r="AU1530" i="3"/>
  <c r="AU2090" i="3"/>
  <c r="AU970" i="3" s="1"/>
  <c r="AU1546" i="3"/>
  <c r="AU2106" i="3"/>
  <c r="AU986" i="3" s="1"/>
  <c r="AU1562" i="3"/>
  <c r="AU2122" i="3"/>
  <c r="AU1002" i="3" s="1"/>
  <c r="AU1578" i="3"/>
  <c r="AU2138" i="3"/>
  <c r="AU1018" i="3" s="1"/>
  <c r="AU1594" i="3"/>
  <c r="AU2154" i="3"/>
  <c r="AU1034" i="3" s="1"/>
  <c r="AU1610" i="3"/>
  <c r="AU2170" i="3"/>
  <c r="AU1050" i="3" s="1"/>
  <c r="AU1626" i="3"/>
  <c r="AU2186" i="3"/>
  <c r="AU1066" i="3" s="1"/>
  <c r="AU1642" i="3"/>
  <c r="AU2202" i="3"/>
  <c r="AU1082" i="3" s="1"/>
  <c r="AU1658" i="3"/>
  <c r="AU2218" i="3"/>
  <c r="AU1098" i="3" s="1"/>
  <c r="AU1694" i="3"/>
  <c r="AU2254" i="3"/>
  <c r="AU1134" i="3" s="1"/>
  <c r="AU1710" i="3"/>
  <c r="AU1495" i="3"/>
  <c r="AU2055" i="3"/>
  <c r="AU1511" i="3"/>
  <c r="AU2071" i="3"/>
  <c r="AU951" i="3" s="1"/>
  <c r="AU1527" i="3"/>
  <c r="AU2087" i="3"/>
  <c r="AU967" i="3" s="1"/>
  <c r="AU1543" i="3"/>
  <c r="AU2103" i="3"/>
  <c r="AU983" i="3" s="1"/>
  <c r="AU1559" i="3"/>
  <c r="AU2119" i="3"/>
  <c r="AU999" i="3" s="1"/>
  <c r="AU1575" i="3"/>
  <c r="AU2135" i="3"/>
  <c r="AU1015" i="3" s="1"/>
  <c r="AU1591" i="3"/>
  <c r="AU2151" i="3"/>
  <c r="AU1031" i="3" s="1"/>
  <c r="AU1607" i="3"/>
  <c r="AU2167" i="3"/>
  <c r="AU1047" i="3" s="1"/>
  <c r="AU1623" i="3"/>
  <c r="AU2183" i="3"/>
  <c r="AU1063" i="3" s="1"/>
  <c r="AU1720" i="3"/>
  <c r="AU1736" i="3"/>
  <c r="AU1481" i="3"/>
  <c r="AU2041" i="3"/>
  <c r="AU921" i="3" s="1"/>
  <c r="AQ1514" i="3"/>
  <c r="AQ2074" i="3"/>
  <c r="AQ954" i="3" s="1"/>
  <c r="AQ1506" i="3"/>
  <c r="AQ2066" i="3"/>
  <c r="AQ946" i="3" s="1"/>
  <c r="AQ1582" i="3"/>
  <c r="AQ2142" i="3"/>
  <c r="AQ1022" i="3" s="1"/>
  <c r="AQ1494" i="3"/>
  <c r="AQ2054" i="3"/>
  <c r="AQ934" i="3" s="1"/>
  <c r="AQ1554" i="3"/>
  <c r="AQ2114" i="3"/>
  <c r="AQ994" i="3" s="1"/>
  <c r="AQ1630" i="3"/>
  <c r="AQ2190" i="3"/>
  <c r="AQ1070" i="3" s="1"/>
  <c r="AQ1590" i="3"/>
  <c r="AQ2150" i="3"/>
  <c r="AQ1030" i="3" s="1"/>
  <c r="AQ1574" i="3"/>
  <c r="AQ2134" i="3"/>
  <c r="AQ1014" i="3" s="1"/>
  <c r="AQ1539" i="3"/>
  <c r="AQ2099" i="3"/>
  <c r="AQ979" i="3" s="1"/>
  <c r="AQ1594" i="3"/>
  <c r="AQ2154" i="3"/>
  <c r="AQ1034" i="3" s="1"/>
  <c r="AQ1579" i="3"/>
  <c r="AQ2139" i="3"/>
  <c r="AQ1019" i="3" s="1"/>
  <c r="AQ1603" i="3"/>
  <c r="AQ2163" i="3"/>
  <c r="AQ1043" i="3" s="1"/>
  <c r="AQ1619" i="3"/>
  <c r="AQ2179" i="3"/>
  <c r="AQ1059" i="3" s="1"/>
  <c r="AQ1702" i="3"/>
  <c r="AQ2262" i="3"/>
  <c r="AQ1142" i="3" s="1"/>
  <c r="AQ1471" i="3"/>
  <c r="AQ2031" i="3"/>
  <c r="AQ911" i="3" s="1"/>
  <c r="AQ1503" i="3"/>
  <c r="AQ2063" i="3"/>
  <c r="AQ943" i="3" s="1"/>
  <c r="AQ1519" i="3"/>
  <c r="AQ2079" i="3"/>
  <c r="AQ959" i="3" s="1"/>
  <c r="AQ1535" i="3"/>
  <c r="AQ2095" i="3"/>
  <c r="AQ1567" i="3"/>
  <c r="AQ2127" i="3"/>
  <c r="AQ1007" i="3" s="1"/>
  <c r="AQ1599" i="3"/>
  <c r="AQ2159" i="3"/>
  <c r="AQ1039" i="3" s="1"/>
  <c r="AQ1631" i="3"/>
  <c r="AQ2191" i="3"/>
  <c r="AQ1071" i="3" s="1"/>
  <c r="AQ1638" i="3"/>
  <c r="AQ2198" i="3"/>
  <c r="AQ1078" i="3" s="1"/>
  <c r="AQ1670" i="3"/>
  <c r="AQ2230" i="3"/>
  <c r="AQ1110" i="3" s="1"/>
  <c r="AQ1680" i="3"/>
  <c r="AQ2240" i="3"/>
  <c r="AQ1120" i="3" s="1"/>
  <c r="AQ1649" i="3"/>
  <c r="AQ2209" i="3"/>
  <c r="AQ1089" i="3" s="1"/>
  <c r="AQ2225" i="3"/>
  <c r="AQ1105" i="3" s="1"/>
  <c r="AQ1665" i="3"/>
  <c r="AQ1681" i="3"/>
  <c r="AQ2241" i="3"/>
  <c r="AQ1121" i="3" s="1"/>
  <c r="AQ1683" i="3"/>
  <c r="AQ2243" i="3"/>
  <c r="AQ1123" i="3" s="1"/>
  <c r="AQ1684" i="3"/>
  <c r="AQ2244" i="3"/>
  <c r="AQ1124" i="3" s="1"/>
  <c r="AQ1655" i="3"/>
  <c r="AQ2215" i="3"/>
  <c r="AQ1095" i="3" s="1"/>
  <c r="AQ1718" i="3"/>
  <c r="AQ1734" i="3"/>
  <c r="AQ1640" i="3"/>
  <c r="AQ2200" i="3"/>
  <c r="AQ1080" i="3" s="1"/>
  <c r="AQ1656" i="3"/>
  <c r="AQ2216" i="3"/>
  <c r="AQ1096" i="3" s="1"/>
  <c r="AQ1469" i="3"/>
  <c r="AQ2029" i="3"/>
  <c r="AQ909" i="3" s="1"/>
  <c r="AQ1501" i="3"/>
  <c r="AQ2061" i="3"/>
  <c r="AQ941" i="3" s="1"/>
  <c r="AQ1533" i="3"/>
  <c r="AQ2093" i="3"/>
  <c r="AQ1549" i="3"/>
  <c r="AQ2109" i="3"/>
  <c r="AQ989" i="3" s="1"/>
  <c r="AQ1565" i="3"/>
  <c r="AQ2125" i="3"/>
  <c r="AQ1005" i="3" s="1"/>
  <c r="AQ1581" i="3"/>
  <c r="AQ2141" i="3"/>
  <c r="AQ1021" i="3" s="1"/>
  <c r="AQ1597" i="3"/>
  <c r="AQ2157" i="3"/>
  <c r="AQ1037" i="3" s="1"/>
  <c r="AQ1613" i="3"/>
  <c r="AQ2173" i="3"/>
  <c r="AQ1053" i="3" s="1"/>
  <c r="AQ1629" i="3"/>
  <c r="AQ2189" i="3"/>
  <c r="AQ1069" i="3" s="1"/>
  <c r="AQ1721" i="3"/>
  <c r="AQ1737" i="3"/>
  <c r="AQ1695" i="3"/>
  <c r="AQ2255" i="3"/>
  <c r="AQ1135" i="3" s="1"/>
  <c r="AQ1476" i="3"/>
  <c r="AQ2036" i="3"/>
  <c r="AQ916" i="3" s="1"/>
  <c r="AQ1492" i="3"/>
  <c r="AQ2052" i="3"/>
  <c r="AQ932" i="3" s="1"/>
  <c r="AQ1508" i="3"/>
  <c r="AQ2068" i="3"/>
  <c r="AQ948" i="3" s="1"/>
  <c r="AQ1540" i="3"/>
  <c r="AQ2100" i="3"/>
  <c r="AQ980" i="3" s="1"/>
  <c r="AQ1556" i="3"/>
  <c r="AQ2116" i="3"/>
  <c r="AQ996" i="3" s="1"/>
  <c r="AQ1572" i="3"/>
  <c r="AQ2132" i="3"/>
  <c r="AQ1012" i="3" s="1"/>
  <c r="AQ1588" i="3"/>
  <c r="AQ2148" i="3"/>
  <c r="AQ1028" i="3" s="1"/>
  <c r="AQ1604" i="3"/>
  <c r="AQ2164" i="3"/>
  <c r="AQ1044" i="3" s="1"/>
  <c r="AQ1620" i="3"/>
  <c r="AQ2180" i="3"/>
  <c r="AQ1060" i="3" s="1"/>
  <c r="AQ1732" i="3"/>
  <c r="AQ1701" i="3"/>
  <c r="AQ2261" i="3"/>
  <c r="AQ1141" i="3" s="1"/>
  <c r="AQ1699" i="3"/>
  <c r="AQ2259" i="3"/>
  <c r="AQ1139" i="3" s="1"/>
  <c r="AM1494" i="3"/>
  <c r="AM2054" i="3"/>
  <c r="AM934" i="3" s="1"/>
  <c r="AM1546" i="3"/>
  <c r="AM2106" i="3"/>
  <c r="AM986" i="3" s="1"/>
  <c r="AM1698" i="3"/>
  <c r="AM2258" i="3"/>
  <c r="AM1138" i="3" s="1"/>
  <c r="AM1490" i="3"/>
  <c r="AM2050" i="3"/>
  <c r="AM930" i="3" s="1"/>
  <c r="AM1582" i="3"/>
  <c r="AM2142" i="3"/>
  <c r="AM1022" i="3" s="1"/>
  <c r="AM1495" i="3"/>
  <c r="AM2055" i="3"/>
  <c r="AM1578" i="3"/>
  <c r="AM2138" i="3"/>
  <c r="AM1018" i="3" s="1"/>
  <c r="AM1466" i="3"/>
  <c r="AM2026" i="3"/>
  <c r="AM906" i="3" s="1"/>
  <c r="AM1530" i="3"/>
  <c r="AM2090" i="3"/>
  <c r="AM970" i="3" s="1"/>
  <c r="AM1602" i="3"/>
  <c r="AM2162" i="3"/>
  <c r="AM1042" i="3" s="1"/>
  <c r="AM1542" i="3"/>
  <c r="AM2102" i="3"/>
  <c r="AM982" i="3" s="1"/>
  <c r="AM1606" i="3"/>
  <c r="AM2166" i="3"/>
  <c r="AM1046" i="3" s="1"/>
  <c r="AM1499" i="3"/>
  <c r="AM2059" i="3"/>
  <c r="AM939" i="3" s="1"/>
  <c r="AM1710" i="3"/>
  <c r="AM1723" i="3"/>
  <c r="AM1682" i="3"/>
  <c r="AM2242" i="3"/>
  <c r="AM1122" i="3" s="1"/>
  <c r="AM1475" i="3"/>
  <c r="AM2035" i="3"/>
  <c r="AM915" i="3" s="1"/>
  <c r="AM1689" i="3"/>
  <c r="AM2249" i="3"/>
  <c r="AM1129" i="3" s="1"/>
  <c r="AM1730" i="3"/>
  <c r="AM1679" i="3"/>
  <c r="AM2239" i="3"/>
  <c r="AM1119" i="3" s="1"/>
  <c r="AM1535" i="3"/>
  <c r="AM2095" i="3"/>
  <c r="AM1551" i="3"/>
  <c r="AM2111" i="3"/>
  <c r="AM991" i="3" s="1"/>
  <c r="AM1567" i="3"/>
  <c r="AM2127" i="3"/>
  <c r="AM1007" i="3" s="1"/>
  <c r="AM1583" i="3"/>
  <c r="AM2143" i="3"/>
  <c r="AM1023" i="3" s="1"/>
  <c r="AM1599" i="3"/>
  <c r="AM2159" i="3"/>
  <c r="AM1039" i="3" s="1"/>
  <c r="AM1615" i="3"/>
  <c r="AM2175" i="3"/>
  <c r="AM1055" i="3" s="1"/>
  <c r="AM1631" i="3"/>
  <c r="AM2191" i="3"/>
  <c r="AM1071" i="3" s="1"/>
  <c r="AM1662" i="3"/>
  <c r="AM2222" i="3"/>
  <c r="AM1102" i="3" s="1"/>
  <c r="AM1637" i="3"/>
  <c r="AM2197" i="3"/>
  <c r="AM1077" i="3" s="1"/>
  <c r="AM1669" i="3"/>
  <c r="AM2229" i="3"/>
  <c r="AM1109" i="3" s="1"/>
  <c r="AM1667" i="3"/>
  <c r="AM2227" i="3"/>
  <c r="AM1107" i="3" s="1"/>
  <c r="AM1720" i="3"/>
  <c r="AM1736" i="3"/>
  <c r="AM1675" i="3"/>
  <c r="AM2235" i="3"/>
  <c r="AM1115" i="3" s="1"/>
  <c r="AM1468" i="3"/>
  <c r="AM2028" i="3"/>
  <c r="AM908" i="3" s="1"/>
  <c r="AM1484" i="3"/>
  <c r="AM2044" i="3"/>
  <c r="AM924" i="3" s="1"/>
  <c r="AM1500" i="3"/>
  <c r="AM2060" i="3"/>
  <c r="AM940" i="3" s="1"/>
  <c r="AM1532" i="3"/>
  <c r="AM2092" i="3"/>
  <c r="AM972" i="3" s="1"/>
  <c r="AM1548" i="3"/>
  <c r="AM2108" i="3"/>
  <c r="AM988" i="3" s="1"/>
  <c r="AM1564" i="3"/>
  <c r="AM2124" i="3"/>
  <c r="AM1004" i="3" s="1"/>
  <c r="AM1580" i="3"/>
  <c r="AM2140" i="3"/>
  <c r="AM1020" i="3" s="1"/>
  <c r="AM1596" i="3"/>
  <c r="AM2156" i="3"/>
  <c r="AM1036" i="3" s="1"/>
  <c r="AM1612" i="3"/>
  <c r="AM2172" i="3"/>
  <c r="AM1052" i="3" s="1"/>
  <c r="AM1628" i="3"/>
  <c r="AM2188" i="3"/>
  <c r="AM1068" i="3" s="1"/>
  <c r="AM1648" i="3"/>
  <c r="AM2208" i="3"/>
  <c r="AM1088" i="3" s="1"/>
  <c r="AM1664" i="3"/>
  <c r="AM2224" i="3"/>
  <c r="AM1104" i="3" s="1"/>
  <c r="AM1680" i="3"/>
  <c r="AM2240" i="3"/>
  <c r="AM1120" i="3" s="1"/>
  <c r="AM1696" i="3"/>
  <c r="AM2256" i="3"/>
  <c r="AM1136" i="3" s="1"/>
  <c r="AM1712" i="3"/>
  <c r="AM1497" i="3"/>
  <c r="AM2057" i="3"/>
  <c r="AM1513" i="3"/>
  <c r="AM2073" i="3"/>
  <c r="AM953" i="3" s="1"/>
  <c r="AM1529" i="3"/>
  <c r="AM2089" i="3"/>
  <c r="AM969" i="3" s="1"/>
  <c r="AM1545" i="3"/>
  <c r="AM2105" i="3"/>
  <c r="AM985" i="3" s="1"/>
  <c r="AM1561" i="3"/>
  <c r="AM2121" i="3"/>
  <c r="AM1001" i="3" s="1"/>
  <c r="AM1577" i="3"/>
  <c r="AM2137" i="3"/>
  <c r="AM1017" i="3" s="1"/>
  <c r="AM2153" i="3"/>
  <c r="AM1033" i="3" s="1"/>
  <c r="AM1593" i="3"/>
  <c r="AM1609" i="3"/>
  <c r="AM2169" i="3"/>
  <c r="AM1049" i="3" s="1"/>
  <c r="AM1625" i="3"/>
  <c r="AM2185" i="3"/>
  <c r="AM1065" i="3" s="1"/>
  <c r="AM1697" i="3"/>
  <c r="AM2257" i="3"/>
  <c r="AM1137" i="3" s="1"/>
  <c r="AM1729" i="3"/>
  <c r="AM1699" i="3"/>
  <c r="AM2259" i="3"/>
  <c r="AM1139" i="3" s="1"/>
  <c r="AI1694" i="3"/>
  <c r="AI2254" i="3"/>
  <c r="AI1134" i="3" s="1"/>
  <c r="AI1732" i="3"/>
  <c r="AI1490" i="3"/>
  <c r="AI2050" i="3"/>
  <c r="AI930" i="3" s="1"/>
  <c r="AI1506" i="3"/>
  <c r="AI2066" i="3"/>
  <c r="AI946" i="3" s="1"/>
  <c r="AI1522" i="3"/>
  <c r="AI2082" i="3"/>
  <c r="AI962" i="3" s="1"/>
  <c r="AI1538" i="3"/>
  <c r="AI2098" i="3"/>
  <c r="AI978" i="3" s="1"/>
  <c r="AI1554" i="3"/>
  <c r="AI2114" i="3"/>
  <c r="AI994" i="3" s="1"/>
  <c r="AI1570" i="3"/>
  <c r="AI2130" i="3"/>
  <c r="AI1010" i="3" s="1"/>
  <c r="AI1586" i="3"/>
  <c r="AI2146" i="3"/>
  <c r="AI1026" i="3" s="1"/>
  <c r="AI1602" i="3"/>
  <c r="AI2162" i="3"/>
  <c r="AI1042" i="3" s="1"/>
  <c r="AI1618" i="3"/>
  <c r="AI2178" i="3"/>
  <c r="AI1058" i="3" s="1"/>
  <c r="AI1634" i="3"/>
  <c r="AI2194" i="3"/>
  <c r="AI1074" i="3" s="1"/>
  <c r="AI1650" i="3"/>
  <c r="AI2210" i="3"/>
  <c r="AI1090" i="3" s="1"/>
  <c r="AI1666" i="3"/>
  <c r="AI2226" i="3"/>
  <c r="AI1106" i="3" s="1"/>
  <c r="AI1686" i="3"/>
  <c r="AI2246" i="3"/>
  <c r="AI1126" i="3" s="1"/>
  <c r="AI1484" i="3"/>
  <c r="AI2044" i="3"/>
  <c r="AI924" i="3" s="1"/>
  <c r="AI1500" i="3"/>
  <c r="AI2060" i="3"/>
  <c r="AI940" i="3" s="1"/>
  <c r="AI1532" i="3"/>
  <c r="AI2092" i="3"/>
  <c r="AI972" i="3" s="1"/>
  <c r="AI1548" i="3"/>
  <c r="AI2108" i="3"/>
  <c r="AI988" i="3" s="1"/>
  <c r="AI1564" i="3"/>
  <c r="AI2124" i="3"/>
  <c r="AI1004" i="3" s="1"/>
  <c r="AI1580" i="3"/>
  <c r="AI2140" i="3"/>
  <c r="AI1020" i="3" s="1"/>
  <c r="AI1596" i="3"/>
  <c r="AI2156" i="3"/>
  <c r="AI1036" i="3" s="1"/>
  <c r="AI1612" i="3"/>
  <c r="AI2172" i="3"/>
  <c r="AI1052" i="3" s="1"/>
  <c r="AI1628" i="3"/>
  <c r="AI2188" i="3"/>
  <c r="AI1068" i="3" s="1"/>
  <c r="AI1701" i="3"/>
  <c r="AI2261" i="3"/>
  <c r="AI1141" i="3" s="1"/>
  <c r="AI1699" i="3"/>
  <c r="AI2259" i="3"/>
  <c r="AI1139" i="3" s="1"/>
  <c r="AI1647" i="3"/>
  <c r="AI2207" i="3"/>
  <c r="AI1087" i="3" s="1"/>
  <c r="AI1636" i="3"/>
  <c r="AI2196" i="3"/>
  <c r="AI1076" i="3" s="1"/>
  <c r="AI1469" i="3"/>
  <c r="AI2029" i="3"/>
  <c r="AI909" i="3" s="1"/>
  <c r="AI1501" i="3"/>
  <c r="AI2061" i="3"/>
  <c r="AI941" i="3" s="1"/>
  <c r="AI2093" i="3"/>
  <c r="AI1533" i="3"/>
  <c r="AI1549" i="3"/>
  <c r="AI2109" i="3"/>
  <c r="AI989" i="3" s="1"/>
  <c r="AI1565" i="3"/>
  <c r="AI2125" i="3"/>
  <c r="AI1005" i="3" s="1"/>
  <c r="AI1581" i="3"/>
  <c r="AI2141" i="3"/>
  <c r="AI1021" i="3" s="1"/>
  <c r="AI1597" i="3"/>
  <c r="AI2157" i="3"/>
  <c r="AI1037" i="3" s="1"/>
  <c r="AI1613" i="3"/>
  <c r="AI2173" i="3"/>
  <c r="AI1053" i="3" s="1"/>
  <c r="AI1629" i="3"/>
  <c r="AI2189" i="3"/>
  <c r="AI1069" i="3" s="1"/>
  <c r="AI1661" i="3"/>
  <c r="AI2221" i="3"/>
  <c r="AI1101" i="3" s="1"/>
  <c r="AI1478" i="3"/>
  <c r="AI2038" i="3"/>
  <c r="AI918" i="3" s="1"/>
  <c r="AI1702" i="3"/>
  <c r="AI2262" i="3"/>
  <c r="AI1142" i="3" s="1"/>
  <c r="AI1718" i="3"/>
  <c r="AI1734" i="3"/>
  <c r="AI1479" i="3"/>
  <c r="AI2039" i="3"/>
  <c r="AI919" i="3" s="1"/>
  <c r="AI1495" i="3"/>
  <c r="AI2055" i="3"/>
  <c r="AI1511" i="3"/>
  <c r="AI2071" i="3"/>
  <c r="AI951" i="3" s="1"/>
  <c r="AI1527" i="3"/>
  <c r="AI2087" i="3"/>
  <c r="AI967" i="3" s="1"/>
  <c r="AI1543" i="3"/>
  <c r="AI2103" i="3"/>
  <c r="AI983" i="3" s="1"/>
  <c r="AI1559" i="3"/>
  <c r="AI2119" i="3"/>
  <c r="AI999" i="3" s="1"/>
  <c r="AI1575" i="3"/>
  <c r="AI2135" i="3"/>
  <c r="AI1015" i="3" s="1"/>
  <c r="AI1591" i="3"/>
  <c r="AI2151" i="3"/>
  <c r="AI1031" i="3" s="1"/>
  <c r="AI1607" i="3"/>
  <c r="AI2167" i="3"/>
  <c r="AI1047" i="3" s="1"/>
  <c r="AI1623" i="3"/>
  <c r="AI2183" i="3"/>
  <c r="AI1063" i="3" s="1"/>
  <c r="AI1727" i="3"/>
  <c r="AI1476" i="3"/>
  <c r="AI2036" i="3"/>
  <c r="AI916" i="3" s="1"/>
  <c r="AI1668" i="3"/>
  <c r="AI2228" i="3"/>
  <c r="AI1108" i="3" s="1"/>
  <c r="AI1696" i="3"/>
  <c r="AI2256" i="3"/>
  <c r="AI1136" i="3" s="1"/>
  <c r="AI1717" i="3"/>
  <c r="AI1733" i="3"/>
  <c r="AI1688" i="3"/>
  <c r="AI2248" i="3"/>
  <c r="AI1128" i="3" s="1"/>
  <c r="AI1689" i="3"/>
  <c r="AI2249" i="3"/>
  <c r="AI1129" i="3" s="1"/>
  <c r="AE1670" i="3"/>
  <c r="AE2230" i="3"/>
  <c r="AE1110" i="3" s="1"/>
  <c r="AE1642" i="3"/>
  <c r="AE2202" i="3"/>
  <c r="AE1082" i="3" s="1"/>
  <c r="AE1662" i="3"/>
  <c r="AE2222" i="3"/>
  <c r="AE1102" i="3" s="1"/>
  <c r="AE1722" i="3"/>
  <c r="AE1479" i="3"/>
  <c r="AE2039" i="3"/>
  <c r="AE919" i="3" s="1"/>
  <c r="AE1683" i="3"/>
  <c r="AE2243" i="3"/>
  <c r="AE1123" i="3" s="1"/>
  <c r="AE1478" i="3"/>
  <c r="AE2038" i="3"/>
  <c r="AE918" i="3" s="1"/>
  <c r="AE1494" i="3"/>
  <c r="AE2054" i="3"/>
  <c r="AE934" i="3" s="1"/>
  <c r="AE1510" i="3"/>
  <c r="AE2070" i="3"/>
  <c r="AE950" i="3" s="1"/>
  <c r="AE1542" i="3"/>
  <c r="AE2102" i="3"/>
  <c r="AE982" i="3" s="1"/>
  <c r="AE1558" i="3"/>
  <c r="AE2118" i="3"/>
  <c r="AE998" i="3" s="1"/>
  <c r="AE1574" i="3"/>
  <c r="AE2134" i="3"/>
  <c r="AE1014" i="3" s="1"/>
  <c r="AE1590" i="3"/>
  <c r="AE2150" i="3"/>
  <c r="AE1030" i="3" s="1"/>
  <c r="AE1606" i="3"/>
  <c r="AE2166" i="3"/>
  <c r="AE1046" i="3" s="1"/>
  <c r="AE1622" i="3"/>
  <c r="AE2182" i="3"/>
  <c r="AE1062" i="3" s="1"/>
  <c r="AE1678" i="3"/>
  <c r="AE2238" i="3"/>
  <c r="AE1118" i="3" s="1"/>
  <c r="AE1698" i="3"/>
  <c r="AE2258" i="3"/>
  <c r="AE1138" i="3" s="1"/>
  <c r="AE1483" i="3"/>
  <c r="AE2043" i="3"/>
  <c r="AE923" i="3" s="1"/>
  <c r="AE1499" i="3"/>
  <c r="AE2059" i="3"/>
  <c r="AE939" i="3" s="1"/>
  <c r="AE1531" i="3"/>
  <c r="AE2091" i="3"/>
  <c r="AE971" i="3" s="1"/>
  <c r="AE1547" i="3"/>
  <c r="AE2107" i="3"/>
  <c r="AE987" i="3" s="1"/>
  <c r="AE1563" i="3"/>
  <c r="AE2123" i="3"/>
  <c r="AE1003" i="3" s="1"/>
  <c r="AE1579" i="3"/>
  <c r="AE2139" i="3"/>
  <c r="AE1019" i="3" s="1"/>
  <c r="AE1595" i="3"/>
  <c r="AE2155" i="3"/>
  <c r="AE1035" i="3" s="1"/>
  <c r="AE1611" i="3"/>
  <c r="AE2171" i="3"/>
  <c r="AE1051" i="3" s="1"/>
  <c r="AE1627" i="3"/>
  <c r="AE2187" i="3"/>
  <c r="AE1067" i="3" s="1"/>
  <c r="AE1468" i="3"/>
  <c r="AE2028" i="3"/>
  <c r="AE908" i="3" s="1"/>
  <c r="AE1484" i="3"/>
  <c r="AE2044" i="3"/>
  <c r="AE924" i="3" s="1"/>
  <c r="AE1500" i="3"/>
  <c r="AE2060" i="3"/>
  <c r="AE940" i="3" s="1"/>
  <c r="AE1532" i="3"/>
  <c r="AE2092" i="3"/>
  <c r="AE972" i="3" s="1"/>
  <c r="AE1548" i="3"/>
  <c r="AE2108" i="3"/>
  <c r="AE988" i="3" s="1"/>
  <c r="AE1564" i="3"/>
  <c r="AE2124" i="3"/>
  <c r="AE1004" i="3" s="1"/>
  <c r="AE1580" i="3"/>
  <c r="AE2140" i="3"/>
  <c r="AE1020" i="3" s="1"/>
  <c r="AE1596" i="3"/>
  <c r="AE2156" i="3"/>
  <c r="AE1036" i="3" s="1"/>
  <c r="AE1612" i="3"/>
  <c r="AE2172" i="3"/>
  <c r="AE1052" i="3" s="1"/>
  <c r="AE1628" i="3"/>
  <c r="AE2188" i="3"/>
  <c r="AE1068" i="3" s="1"/>
  <c r="AE1700" i="3"/>
  <c r="AE2260" i="3"/>
  <c r="AE1140" i="3" s="1"/>
  <c r="AE1501" i="3"/>
  <c r="AE2061" i="3"/>
  <c r="AE941" i="3" s="1"/>
  <c r="AE1533" i="3"/>
  <c r="AE2093" i="3"/>
  <c r="AE1549" i="3"/>
  <c r="AE2109" i="3"/>
  <c r="AE989" i="3" s="1"/>
  <c r="AE1565" i="3"/>
  <c r="AE2125" i="3"/>
  <c r="AE1005" i="3" s="1"/>
  <c r="AE1581" i="3"/>
  <c r="AE2141" i="3"/>
  <c r="AE1021" i="3" s="1"/>
  <c r="AE1597" i="3"/>
  <c r="AE2157" i="3"/>
  <c r="AE1037" i="3" s="1"/>
  <c r="AE1613" i="3"/>
  <c r="AE2173" i="3"/>
  <c r="AE1053" i="3" s="1"/>
  <c r="AE1629" i="3"/>
  <c r="AE2189" i="3"/>
  <c r="AE1069" i="3" s="1"/>
  <c r="AE1701" i="3"/>
  <c r="AE2261" i="3"/>
  <c r="AE1141" i="3" s="1"/>
  <c r="AE1699" i="3"/>
  <c r="AE2259" i="3"/>
  <c r="AE1139" i="3" s="1"/>
  <c r="AE1689" i="3"/>
  <c r="AE2249" i="3"/>
  <c r="AE1129" i="3" s="1"/>
  <c r="AE1475" i="3"/>
  <c r="AE2035" i="3"/>
  <c r="AE915" i="3" s="1"/>
  <c r="AE1688" i="3"/>
  <c r="AE2248" i="3"/>
  <c r="AE1128" i="3" s="1"/>
  <c r="AE1667" i="3"/>
  <c r="AE2227" i="3"/>
  <c r="AE1107" i="3" s="1"/>
  <c r="AE1720" i="3"/>
  <c r="AE1736" i="3"/>
  <c r="AE1637" i="3"/>
  <c r="AE2197" i="3"/>
  <c r="AE1077" i="3" s="1"/>
  <c r="AE1669" i="3"/>
  <c r="AE2229" i="3"/>
  <c r="AE1109" i="3" s="1"/>
  <c r="AE1731" i="3"/>
  <c r="AE1668" i="3"/>
  <c r="AE2228" i="3"/>
  <c r="AE1108" i="3" s="1"/>
  <c r="AE1719" i="3"/>
  <c r="AA1519" i="3"/>
  <c r="AA2079" i="3"/>
  <c r="AA959" i="3" s="1"/>
  <c r="AA1682" i="3"/>
  <c r="AA2242" i="3"/>
  <c r="AA1122" i="3" s="1"/>
  <c r="AA1475" i="3"/>
  <c r="AA2035" i="3"/>
  <c r="AA915" i="3" s="1"/>
  <c r="AA1467" i="3"/>
  <c r="AA2027" i="3"/>
  <c r="AA907" i="3" s="1"/>
  <c r="AA1531" i="3"/>
  <c r="AA2091" i="3"/>
  <c r="AA971" i="3" s="1"/>
  <c r="AA1722" i="3"/>
  <c r="AA1494" i="3"/>
  <c r="AA2054" i="3"/>
  <c r="AA934" i="3" s="1"/>
  <c r="AA1542" i="3"/>
  <c r="AA2102" i="3"/>
  <c r="AA982" i="3" s="1"/>
  <c r="AA1574" i="3"/>
  <c r="AA2134" i="3"/>
  <c r="AA1014" i="3" s="1"/>
  <c r="AA1590" i="3"/>
  <c r="AA2150" i="3"/>
  <c r="AA1030" i="3" s="1"/>
  <c r="AA1606" i="3"/>
  <c r="AA2166" i="3"/>
  <c r="AA1046" i="3" s="1"/>
  <c r="AA1678" i="3"/>
  <c r="AA2238" i="3"/>
  <c r="AA1118" i="3" s="1"/>
  <c r="AA1676" i="3"/>
  <c r="AA2236" i="3"/>
  <c r="AA1116" i="3" s="1"/>
  <c r="AA1727" i="3"/>
  <c r="AA1732" i="3"/>
  <c r="AA1543" i="3"/>
  <c r="AA2103" i="3"/>
  <c r="AA983" i="3" s="1"/>
  <c r="AA1607" i="3"/>
  <c r="AA2167" i="3"/>
  <c r="AA1047" i="3" s="1"/>
  <c r="AA1640" i="3"/>
  <c r="AA2200" i="3"/>
  <c r="AA1080" i="3" s="1"/>
  <c r="AA1656" i="3"/>
  <c r="AA2216" i="3"/>
  <c r="AA1096" i="3" s="1"/>
  <c r="AA1717" i="3"/>
  <c r="AA1733" i="3"/>
  <c r="AA1642" i="3"/>
  <c r="AA2202" i="3"/>
  <c r="AA1082" i="3" s="1"/>
  <c r="AA1658" i="3"/>
  <c r="AA2218" i="3"/>
  <c r="AA1098" i="3" s="1"/>
  <c r="AA1468" i="3"/>
  <c r="AA2028" i="3"/>
  <c r="AA908" i="3" s="1"/>
  <c r="AA1681" i="3"/>
  <c r="AA2241" i="3"/>
  <c r="AA1121" i="3" s="1"/>
  <c r="AA1484" i="3"/>
  <c r="AA2044" i="3"/>
  <c r="AA924" i="3" s="1"/>
  <c r="AA1500" i="3"/>
  <c r="AA2060" i="3"/>
  <c r="AA940" i="3" s="1"/>
  <c r="AA1532" i="3"/>
  <c r="AA2092" i="3"/>
  <c r="AA972" i="3" s="1"/>
  <c r="AA1564" i="3"/>
  <c r="AA2124" i="3"/>
  <c r="AA1004" i="3" s="1"/>
  <c r="AA1580" i="3"/>
  <c r="AA2140" i="3"/>
  <c r="AA1020" i="3" s="1"/>
  <c r="AA1596" i="3"/>
  <c r="AA2156" i="3"/>
  <c r="AA1036" i="3" s="1"/>
  <c r="AA1628" i="3"/>
  <c r="AA2188" i="3"/>
  <c r="AA1068" i="3" s="1"/>
  <c r="AA1701" i="3"/>
  <c r="AA2261" i="3"/>
  <c r="AA1141" i="3" s="1"/>
  <c r="AA1691" i="3"/>
  <c r="AA2251" i="3"/>
  <c r="AA1131" i="3" s="1"/>
  <c r="AA1636" i="3"/>
  <c r="AA2196" i="3"/>
  <c r="AA1076" i="3" s="1"/>
  <c r="AA1469" i="3"/>
  <c r="AA2029" i="3"/>
  <c r="AA909" i="3" s="1"/>
  <c r="AA1501" i="3"/>
  <c r="AA2061" i="3"/>
  <c r="AA941" i="3" s="1"/>
  <c r="AA1549" i="3"/>
  <c r="AA2109" i="3"/>
  <c r="AA989" i="3" s="1"/>
  <c r="AA2125" i="3"/>
  <c r="AA1005" i="3" s="1"/>
  <c r="AA1565" i="3"/>
  <c r="AA1581" i="3"/>
  <c r="AA2141" i="3"/>
  <c r="AA1021" i="3" s="1"/>
  <c r="AA2157" i="3"/>
  <c r="AA1037" i="3" s="1"/>
  <c r="AA1597" i="3"/>
  <c r="AA1613" i="3"/>
  <c r="AA2173" i="3"/>
  <c r="AA1053" i="3" s="1"/>
  <c r="AA1629" i="3"/>
  <c r="AA2189" i="3"/>
  <c r="AA1069" i="3" s="1"/>
  <c r="AA1649" i="3"/>
  <c r="AA2209" i="3"/>
  <c r="AA1089" i="3" s="1"/>
  <c r="W1730" i="3"/>
  <c r="W1555" i="3"/>
  <c r="W2115" i="3"/>
  <c r="W995" i="3" s="1"/>
  <c r="W1587" i="3"/>
  <c r="W2147" i="3"/>
  <c r="W1027" i="3" s="1"/>
  <c r="W1619" i="3"/>
  <c r="W2179" i="3"/>
  <c r="W1059" i="3" s="1"/>
  <c r="W1642" i="3"/>
  <c r="W2202" i="3"/>
  <c r="W1082" i="3" s="1"/>
  <c r="W1658" i="3"/>
  <c r="W2218" i="3"/>
  <c r="W1098" i="3" s="1"/>
  <c r="W1466" i="3"/>
  <c r="W2026" i="3"/>
  <c r="W906" i="3" s="1"/>
  <c r="W1482" i="3"/>
  <c r="W2042" i="3"/>
  <c r="W922" i="3" s="1"/>
  <c r="W1514" i="3"/>
  <c r="W2074" i="3"/>
  <c r="W954" i="3" s="1"/>
  <c r="W1530" i="3"/>
  <c r="W2090" i="3"/>
  <c r="W970" i="3" s="1"/>
  <c r="W1562" i="3"/>
  <c r="W2122" i="3"/>
  <c r="W1002" i="3" s="1"/>
  <c r="W1626" i="3"/>
  <c r="W2186" i="3"/>
  <c r="W1066" i="3" s="1"/>
  <c r="W1483" i="3"/>
  <c r="W2043" i="3"/>
  <c r="W923" i="3" s="1"/>
  <c r="W1499" i="3"/>
  <c r="W2059" i="3"/>
  <c r="W939" i="3" s="1"/>
  <c r="W1531" i="3"/>
  <c r="W2091" i="3"/>
  <c r="W971" i="3" s="1"/>
  <c r="W1720" i="3"/>
  <c r="W1736" i="3"/>
  <c r="W1677" i="3"/>
  <c r="W2237" i="3"/>
  <c r="W1117" i="3" s="1"/>
  <c r="W1660" i="3"/>
  <c r="W2220" i="3"/>
  <c r="W1100" i="3" s="1"/>
  <c r="W1729" i="3"/>
  <c r="W1675" i="3"/>
  <c r="W2235" i="3"/>
  <c r="W1115" i="3" s="1"/>
  <c r="W1639" i="3"/>
  <c r="W2199" i="3"/>
  <c r="W1079" i="3" s="1"/>
  <c r="W1512" i="3"/>
  <c r="W2072" i="3"/>
  <c r="W952" i="3" s="1"/>
  <c r="W1528" i="3"/>
  <c r="W2088" i="3"/>
  <c r="W968" i="3" s="1"/>
  <c r="W1544" i="3"/>
  <c r="W2104" i="3"/>
  <c r="W984" i="3" s="1"/>
  <c r="W1608" i="3"/>
  <c r="W2168" i="3"/>
  <c r="W1048" i="3" s="1"/>
  <c r="W1680" i="3"/>
  <c r="W2240" i="3"/>
  <c r="W1120" i="3" s="1"/>
  <c r="W1712" i="3"/>
  <c r="W1493" i="3"/>
  <c r="W2053" i="3"/>
  <c r="W933" i="3" s="1"/>
  <c r="W1541" i="3"/>
  <c r="W2101" i="3"/>
  <c r="W981" i="3" s="1"/>
  <c r="W1573" i="3"/>
  <c r="W2133" i="3"/>
  <c r="W1013" i="3" s="1"/>
  <c r="W1589" i="3"/>
  <c r="W2149" i="3"/>
  <c r="W1029" i="3" s="1"/>
  <c r="W1605" i="3"/>
  <c r="W2165" i="3"/>
  <c r="W1045" i="3" s="1"/>
  <c r="W1637" i="3"/>
  <c r="W2197" i="3"/>
  <c r="W1077" i="3" s="1"/>
  <c r="W1669" i="3"/>
  <c r="W2229" i="3"/>
  <c r="W1109" i="3" s="1"/>
  <c r="W1723" i="3"/>
  <c r="W1719" i="3"/>
  <c r="S1730" i="3"/>
  <c r="S1722" i="3"/>
  <c r="S1528" i="3"/>
  <c r="S2088" i="3"/>
  <c r="S968" i="3" s="1"/>
  <c r="S1608" i="3"/>
  <c r="S2168" i="3"/>
  <c r="S1048" i="3" s="1"/>
  <c r="S1662" i="3"/>
  <c r="S2222" i="3"/>
  <c r="S1102" i="3" s="1"/>
  <c r="S1580" i="3"/>
  <c r="S2140" i="3"/>
  <c r="S1020" i="3" s="1"/>
  <c r="S1552" i="3"/>
  <c r="S2112" i="3"/>
  <c r="S992" i="3" s="1"/>
  <c r="S1616" i="3"/>
  <c r="S2176" i="3"/>
  <c r="S1056" i="3" s="1"/>
  <c r="S1588" i="3"/>
  <c r="S2148" i="3"/>
  <c r="S1028" i="3" s="1"/>
  <c r="S1668" i="3"/>
  <c r="S2228" i="3"/>
  <c r="S1108" i="3" s="1"/>
  <c r="S1717" i="3"/>
  <c r="S1733" i="3"/>
  <c r="S1707" i="3"/>
  <c r="S1467" i="3"/>
  <c r="S2027" i="3"/>
  <c r="S907" i="3" s="1"/>
  <c r="S1483" i="3"/>
  <c r="S2043" i="3"/>
  <c r="S923" i="3" s="1"/>
  <c r="S1499" i="3"/>
  <c r="S2059" i="3"/>
  <c r="S939" i="3" s="1"/>
  <c r="S1531" i="3"/>
  <c r="S2091" i="3"/>
  <c r="S971" i="3" s="1"/>
  <c r="S1563" i="3"/>
  <c r="S2123" i="3"/>
  <c r="S1003" i="3" s="1"/>
  <c r="S1579" i="3"/>
  <c r="S2139" i="3"/>
  <c r="S1019" i="3" s="1"/>
  <c r="S1595" i="3"/>
  <c r="S2155" i="3"/>
  <c r="S1035" i="3" s="1"/>
  <c r="S1627" i="3"/>
  <c r="S2187" i="3"/>
  <c r="S1067" i="3" s="1"/>
  <c r="S1647" i="3"/>
  <c r="S2207" i="3"/>
  <c r="S1087" i="3" s="1"/>
  <c r="S1636" i="3"/>
  <c r="S2196" i="3"/>
  <c r="S1076" i="3" s="1"/>
  <c r="S1469" i="3"/>
  <c r="S2029" i="3"/>
  <c r="S909" i="3" s="1"/>
  <c r="S1501" i="3"/>
  <c r="S2061" i="3"/>
  <c r="S941" i="3" s="1"/>
  <c r="S1549" i="3"/>
  <c r="S2109" i="3"/>
  <c r="S989" i="3" s="1"/>
  <c r="S1565" i="3"/>
  <c r="S2125" i="3"/>
  <c r="S1005" i="3" s="1"/>
  <c r="S1581" i="3"/>
  <c r="S2141" i="3"/>
  <c r="S1021" i="3" s="1"/>
  <c r="S1597" i="3"/>
  <c r="S2157" i="3"/>
  <c r="S1037" i="3" s="1"/>
  <c r="S1613" i="3"/>
  <c r="S2173" i="3"/>
  <c r="S1053" i="3" s="1"/>
  <c r="S1629" i="3"/>
  <c r="S2189" i="3"/>
  <c r="S1069" i="3" s="1"/>
  <c r="S1482" i="3"/>
  <c r="S2042" i="3"/>
  <c r="S922" i="3" s="1"/>
  <c r="S1530" i="3"/>
  <c r="S2090" i="3"/>
  <c r="S970" i="3" s="1"/>
  <c r="S1562" i="3"/>
  <c r="S2122" i="3"/>
  <c r="S1002" i="3" s="1"/>
  <c r="S1626" i="3"/>
  <c r="S2186" i="3"/>
  <c r="S1066" i="3" s="1"/>
  <c r="S1659" i="3"/>
  <c r="S2219" i="3"/>
  <c r="S1099" i="3" s="1"/>
  <c r="S1688" i="3"/>
  <c r="S2248" i="3"/>
  <c r="S1128" i="3" s="1"/>
  <c r="S1719" i="3"/>
  <c r="S1732" i="3"/>
  <c r="S1649" i="3"/>
  <c r="S2209" i="3"/>
  <c r="S1089" i="3" s="1"/>
  <c r="AW1642" i="3"/>
  <c r="AW2202" i="3"/>
  <c r="AW1082" i="3" s="1"/>
  <c r="AW1666" i="3"/>
  <c r="AW2226" i="3"/>
  <c r="AW1106" i="3" s="1"/>
  <c r="AW1682" i="3"/>
  <c r="AW2242" i="3"/>
  <c r="AW1122" i="3" s="1"/>
  <c r="AW1722" i="3"/>
  <c r="AW1535" i="3"/>
  <c r="AW2095" i="3"/>
  <c r="AW1567" i="3"/>
  <c r="AW2127" i="3"/>
  <c r="AW1007" i="3" s="1"/>
  <c r="AW1599" i="3"/>
  <c r="AW2159" i="3"/>
  <c r="AW1039" i="3" s="1"/>
  <c r="AW1631" i="3"/>
  <c r="AW2191" i="3"/>
  <c r="AW1071" i="3" s="1"/>
  <c r="AW1470" i="3"/>
  <c r="AW2030" i="3"/>
  <c r="AW910" i="3" s="1"/>
  <c r="AW1502" i="3"/>
  <c r="AW2062" i="3"/>
  <c r="AW942" i="3" s="1"/>
  <c r="AW1534" i="3"/>
  <c r="AW2094" i="3"/>
  <c r="AW1550" i="3"/>
  <c r="AW2110" i="3"/>
  <c r="AW990" i="3" s="1"/>
  <c r="AW1566" i="3"/>
  <c r="AW2126" i="3"/>
  <c r="AW1006" i="3" s="1"/>
  <c r="AW1582" i="3"/>
  <c r="AW2142" i="3"/>
  <c r="AW1022" i="3" s="1"/>
  <c r="AW1598" i="3"/>
  <c r="AW2158" i="3"/>
  <c r="AW1038" i="3" s="1"/>
  <c r="AW1614" i="3"/>
  <c r="AW2174" i="3"/>
  <c r="AW1054" i="3" s="1"/>
  <c r="AW1630" i="3"/>
  <c r="AW2190" i="3"/>
  <c r="AW1070" i="3" s="1"/>
  <c r="AW1706" i="3"/>
  <c r="AW1491" i="3"/>
  <c r="AW2051" i="3"/>
  <c r="AW931" i="3" s="1"/>
  <c r="AW1507" i="3"/>
  <c r="AW2067" i="3"/>
  <c r="AW947" i="3" s="1"/>
  <c r="AW1547" i="3"/>
  <c r="AW2107" i="3"/>
  <c r="AW987" i="3" s="1"/>
  <c r="AW1579" i="3"/>
  <c r="AW2139" i="3"/>
  <c r="AW1019" i="3" s="1"/>
  <c r="AW1611" i="3"/>
  <c r="AW2171" i="3"/>
  <c r="AW1051" i="3" s="1"/>
  <c r="AW1638" i="3"/>
  <c r="AW2198" i="3"/>
  <c r="AW1078" i="3" s="1"/>
  <c r="AW1467" i="3"/>
  <c r="AW2027" i="3"/>
  <c r="AW907" i="3" s="1"/>
  <c r="AW1655" i="3"/>
  <c r="AW2215" i="3"/>
  <c r="AW1095" i="3" s="1"/>
  <c r="AW2221" i="3"/>
  <c r="AW1101" i="3" s="1"/>
  <c r="AW1661" i="3"/>
  <c r="AW1689" i="3"/>
  <c r="AW2249" i="3"/>
  <c r="AW1129" i="3" s="1"/>
  <c r="AW1691" i="3"/>
  <c r="AW2251" i="3"/>
  <c r="AW1131" i="3" s="1"/>
  <c r="AW1668" i="3"/>
  <c r="AW2228" i="3"/>
  <c r="AW1108" i="3" s="1"/>
  <c r="AW1679" i="3"/>
  <c r="AW2239" i="3"/>
  <c r="AW1119" i="3" s="1"/>
  <c r="AW1723" i="3"/>
  <c r="AW1476" i="3"/>
  <c r="AW2036" i="3"/>
  <c r="AW916" i="3" s="1"/>
  <c r="AW1492" i="3"/>
  <c r="AW2052" i="3"/>
  <c r="AW932" i="3" s="1"/>
  <c r="AW1508" i="3"/>
  <c r="AW2068" i="3"/>
  <c r="AW948" i="3" s="1"/>
  <c r="AW1540" i="3"/>
  <c r="AW2100" i="3"/>
  <c r="AW980" i="3" s="1"/>
  <c r="AW1556" i="3"/>
  <c r="AW2116" i="3"/>
  <c r="AW996" i="3" s="1"/>
  <c r="AW1572" i="3"/>
  <c r="AW2132" i="3"/>
  <c r="AW1012" i="3" s="1"/>
  <c r="AW1588" i="3"/>
  <c r="AW2148" i="3"/>
  <c r="AW1028" i="3" s="1"/>
  <c r="AW1604" i="3"/>
  <c r="AW2164" i="3"/>
  <c r="AW1044" i="3" s="1"/>
  <c r="AW1620" i="3"/>
  <c r="AW2180" i="3"/>
  <c r="AW1060" i="3" s="1"/>
  <c r="AW1636" i="3"/>
  <c r="AW2196" i="3"/>
  <c r="AW1076" i="3" s="1"/>
  <c r="AW1656" i="3"/>
  <c r="AW2216" i="3"/>
  <c r="AW1096" i="3" s="1"/>
  <c r="AW1676" i="3"/>
  <c r="AW2236" i="3"/>
  <c r="AW1116" i="3" s="1"/>
  <c r="AW1696" i="3"/>
  <c r="AW2256" i="3"/>
  <c r="AW1136" i="3" s="1"/>
  <c r="AW1732" i="3"/>
  <c r="AW1493" i="3"/>
  <c r="AW2053" i="3"/>
  <c r="AW933" i="3" s="1"/>
  <c r="AW1509" i="3"/>
  <c r="AW2069" i="3"/>
  <c r="AW949" i="3" s="1"/>
  <c r="AW1541" i="3"/>
  <c r="AW2101" i="3"/>
  <c r="AW981" i="3" s="1"/>
  <c r="AW1557" i="3"/>
  <c r="AW2117" i="3"/>
  <c r="AW997" i="3" s="1"/>
  <c r="AW1573" i="3"/>
  <c r="AW2133" i="3"/>
  <c r="AW1013" i="3" s="1"/>
  <c r="AW1589" i="3"/>
  <c r="AW2149" i="3"/>
  <c r="AW1029" i="3" s="1"/>
  <c r="AW1605" i="3"/>
  <c r="AW2165" i="3"/>
  <c r="AW1045" i="3" s="1"/>
  <c r="AW1621" i="3"/>
  <c r="AW2181" i="3"/>
  <c r="AW1061" i="3" s="1"/>
  <c r="AW1637" i="3"/>
  <c r="AW2197" i="3"/>
  <c r="AW1077" i="3" s="1"/>
  <c r="AW1681" i="3"/>
  <c r="AW2241" i="3"/>
  <c r="AW1121" i="3" s="1"/>
  <c r="AW1701" i="3"/>
  <c r="AW2261" i="3"/>
  <c r="AW1141" i="3" s="1"/>
  <c r="AW1729" i="3"/>
  <c r="AW1449" i="3" s="1"/>
  <c r="AW1699" i="3"/>
  <c r="AW2259" i="3"/>
  <c r="AW1139" i="3" s="1"/>
  <c r="AW1727" i="3"/>
  <c r="AW1641" i="3"/>
  <c r="AW2201" i="3"/>
  <c r="AW1081" i="3" s="1"/>
  <c r="AS1642" i="3"/>
  <c r="AS2202" i="3"/>
  <c r="AS1082" i="3" s="1"/>
  <c r="AS1474" i="3"/>
  <c r="AS2034" i="3"/>
  <c r="AS914" i="3" s="1"/>
  <c r="AS1563" i="3"/>
  <c r="AS2123" i="3"/>
  <c r="AS1003" i="3" s="1"/>
  <c r="AS1595" i="3"/>
  <c r="AS2155" i="3"/>
  <c r="AS1035" i="3" s="1"/>
  <c r="AS1627" i="3"/>
  <c r="AS2187" i="3"/>
  <c r="AS1067" i="3" s="1"/>
  <c r="AS1494" i="3"/>
  <c r="AS2054" i="3"/>
  <c r="AS934" i="3" s="1"/>
  <c r="AS1510" i="3"/>
  <c r="AS2070" i="3"/>
  <c r="AS950" i="3" s="1"/>
  <c r="AS1542" i="3"/>
  <c r="AS2102" i="3"/>
  <c r="AS982" i="3" s="1"/>
  <c r="AS1558" i="3"/>
  <c r="AS2118" i="3"/>
  <c r="AS998" i="3" s="1"/>
  <c r="AS1574" i="3"/>
  <c r="AS2134" i="3"/>
  <c r="AS1014" i="3" s="1"/>
  <c r="AS1590" i="3"/>
  <c r="AS2150" i="3"/>
  <c r="AS1030" i="3" s="1"/>
  <c r="AS1606" i="3"/>
  <c r="AS2166" i="3"/>
  <c r="AS1046" i="3" s="1"/>
  <c r="AS1622" i="3"/>
  <c r="AS2182" i="3"/>
  <c r="AS1062" i="3" s="1"/>
  <c r="AS1702" i="3"/>
  <c r="AS2262" i="3"/>
  <c r="AS1142" i="3" s="1"/>
  <c r="AS1718" i="3"/>
  <c r="AS1734" i="3"/>
  <c r="AS1454" i="3" s="1"/>
  <c r="AS1479" i="3"/>
  <c r="AS2039" i="3"/>
  <c r="AS919" i="3" s="1"/>
  <c r="AS1495" i="3"/>
  <c r="AS2055" i="3"/>
  <c r="AS1511" i="3"/>
  <c r="AS2071" i="3"/>
  <c r="AS951" i="3" s="1"/>
  <c r="AS1527" i="3"/>
  <c r="AS2087" i="3"/>
  <c r="AS967" i="3" s="1"/>
  <c r="AS1551" i="3"/>
  <c r="AS2111" i="3"/>
  <c r="AS991" i="3" s="1"/>
  <c r="AS1583" i="3"/>
  <c r="AS2143" i="3"/>
  <c r="AS1023" i="3" s="1"/>
  <c r="AS1615" i="3"/>
  <c r="AS2175" i="3"/>
  <c r="AS1055" i="3" s="1"/>
  <c r="AS1650" i="3"/>
  <c r="AS2210" i="3"/>
  <c r="AS1090" i="3" s="1"/>
  <c r="AS1666" i="3"/>
  <c r="AS2226" i="3"/>
  <c r="AS1106" i="3" s="1"/>
  <c r="AS1698" i="3"/>
  <c r="AS2258" i="3"/>
  <c r="AS1138" i="3" s="1"/>
  <c r="AS1668" i="3"/>
  <c r="AS2228" i="3"/>
  <c r="AS1108" i="3" s="1"/>
  <c r="AS1696" i="3"/>
  <c r="AS2256" i="3"/>
  <c r="AS1136" i="3" s="1"/>
  <c r="AS1723" i="3"/>
  <c r="AS1669" i="3"/>
  <c r="AS2229" i="3"/>
  <c r="AS1109" i="3" s="1"/>
  <c r="AS1689" i="3"/>
  <c r="AS2249" i="3"/>
  <c r="AS1129" i="3" s="1"/>
  <c r="AS1733" i="3"/>
  <c r="AS1719" i="3"/>
  <c r="AS1659" i="3"/>
  <c r="AS2219" i="3"/>
  <c r="AS1099" i="3" s="1"/>
  <c r="AS1468" i="3"/>
  <c r="AS2028" i="3"/>
  <c r="AS908" i="3" s="1"/>
  <c r="AS1664" i="3"/>
  <c r="AS2224" i="3"/>
  <c r="AS1104" i="3" s="1"/>
  <c r="AS1700" i="3"/>
  <c r="AS2260" i="3"/>
  <c r="AS1140" i="3" s="1"/>
  <c r="AS1469" i="3"/>
  <c r="AS2029" i="3"/>
  <c r="AS909" i="3" s="1"/>
  <c r="AS1501" i="3"/>
  <c r="AS2061" i="3"/>
  <c r="AS941" i="3" s="1"/>
  <c r="AS1533" i="3"/>
  <c r="AS2093" i="3"/>
  <c r="AS1549" i="3"/>
  <c r="AS2109" i="3"/>
  <c r="AS989" i="3" s="1"/>
  <c r="AS1565" i="3"/>
  <c r="AS2125" i="3"/>
  <c r="AS1005" i="3" s="1"/>
  <c r="AS1581" i="3"/>
  <c r="AS2141" i="3"/>
  <c r="AS1021" i="3" s="1"/>
  <c r="AS1597" i="3"/>
  <c r="AS2157" i="3"/>
  <c r="AS1037" i="3" s="1"/>
  <c r="AS1613" i="3"/>
  <c r="AS2173" i="3"/>
  <c r="AS1053" i="3" s="1"/>
  <c r="AS1629" i="3"/>
  <c r="AS2189" i="3"/>
  <c r="AS1069" i="3" s="1"/>
  <c r="AS1649" i="3"/>
  <c r="AS2209" i="3"/>
  <c r="AS1089" i="3" s="1"/>
  <c r="AS1721" i="3"/>
  <c r="AS1484" i="3"/>
  <c r="AS2044" i="3"/>
  <c r="AS924" i="3" s="1"/>
  <c r="AS1500" i="3"/>
  <c r="AS2060" i="3"/>
  <c r="AS940" i="3" s="1"/>
  <c r="AS1532" i="3"/>
  <c r="AS2092" i="3"/>
  <c r="AS972" i="3" s="1"/>
  <c r="AS1548" i="3"/>
  <c r="AS2108" i="3"/>
  <c r="AS988" i="3" s="1"/>
  <c r="AS1564" i="3"/>
  <c r="AS2124" i="3"/>
  <c r="AS1004" i="3" s="1"/>
  <c r="AS1580" i="3"/>
  <c r="AS2140" i="3"/>
  <c r="AS1020" i="3" s="1"/>
  <c r="AS1596" i="3"/>
  <c r="AS2156" i="3"/>
  <c r="AS1036" i="3" s="1"/>
  <c r="AS1612" i="3"/>
  <c r="AS2172" i="3"/>
  <c r="AS1052" i="3" s="1"/>
  <c r="AS1628" i="3"/>
  <c r="AS2188" i="3"/>
  <c r="AS1068" i="3" s="1"/>
  <c r="AS1705" i="3"/>
  <c r="AS1699" i="3"/>
  <c r="AS2259" i="3"/>
  <c r="AS1139" i="3" s="1"/>
  <c r="AO1472" i="3"/>
  <c r="AO2032" i="3"/>
  <c r="AO912" i="3" s="1"/>
  <c r="AO1600" i="3"/>
  <c r="AO2160" i="3"/>
  <c r="AO1040" i="3" s="1"/>
  <c r="AO1658" i="3"/>
  <c r="AO2218" i="3"/>
  <c r="AO1098" i="3" s="1"/>
  <c r="AO1723" i="3"/>
  <c r="AO1588" i="3"/>
  <c r="AO2148" i="3"/>
  <c r="AO1028" i="3" s="1"/>
  <c r="AO1695" i="3"/>
  <c r="AO2255" i="3"/>
  <c r="AO1135" i="3" s="1"/>
  <c r="AO1512" i="3"/>
  <c r="AO2072" i="3"/>
  <c r="AO952" i="3" s="1"/>
  <c r="AO1576" i="3"/>
  <c r="AO2136" i="3"/>
  <c r="AO1016" i="3" s="1"/>
  <c r="AO1694" i="3"/>
  <c r="AO2254" i="3"/>
  <c r="AO1134" i="3" s="1"/>
  <c r="AO1500" i="3"/>
  <c r="AO2060" i="3"/>
  <c r="AO940" i="3" s="1"/>
  <c r="AO1564" i="3"/>
  <c r="AO2124" i="3"/>
  <c r="AO1004" i="3" s="1"/>
  <c r="AO1628" i="3"/>
  <c r="AO2188" i="3"/>
  <c r="AO1068" i="3" s="1"/>
  <c r="AO1700" i="3"/>
  <c r="AO2260" i="3"/>
  <c r="AO1140" i="3" s="1"/>
  <c r="AO1489" i="3"/>
  <c r="AO2049" i="3"/>
  <c r="AO929" i="3" s="1"/>
  <c r="AO1505" i="3"/>
  <c r="AO2065" i="3"/>
  <c r="AO945" i="3" s="1"/>
  <c r="AO1521" i="3"/>
  <c r="AO2081" i="3"/>
  <c r="AO961" i="3" s="1"/>
  <c r="AO1537" i="3"/>
  <c r="AO2097" i="3"/>
  <c r="AO977" i="3" s="1"/>
  <c r="AO1553" i="3"/>
  <c r="AO2113" i="3"/>
  <c r="AO993" i="3" s="1"/>
  <c r="AO1569" i="3"/>
  <c r="AO2129" i="3"/>
  <c r="AO1009" i="3" s="1"/>
  <c r="AO1585" i="3"/>
  <c r="AO2145" i="3"/>
  <c r="AO1025" i="3" s="1"/>
  <c r="AO2161" i="3"/>
  <c r="AO1041" i="3" s="1"/>
  <c r="AO1601" i="3"/>
  <c r="AO1617" i="3"/>
  <c r="AO2177" i="3"/>
  <c r="AO1057" i="3" s="1"/>
  <c r="AO1633" i="3"/>
  <c r="AO2193" i="3"/>
  <c r="AO1073" i="3" s="1"/>
  <c r="AO2241" i="3"/>
  <c r="AO1121" i="3" s="1"/>
  <c r="AO1681" i="3"/>
  <c r="AO1701" i="3"/>
  <c r="AO2261" i="3"/>
  <c r="AO1141" i="3" s="1"/>
  <c r="AO1729" i="3"/>
  <c r="AO1699" i="3"/>
  <c r="AO2259" i="3"/>
  <c r="AO1139" i="3" s="1"/>
  <c r="AO1727" i="3"/>
  <c r="AO1635" i="3"/>
  <c r="AO2195" i="3"/>
  <c r="AO1075" i="3" s="1"/>
  <c r="AO1649" i="3"/>
  <c r="AO2209" i="3"/>
  <c r="AO1089" i="3" s="1"/>
  <c r="AO1648" i="3"/>
  <c r="AO2208" i="3"/>
  <c r="AO1088" i="3" s="1"/>
  <c r="AO1664" i="3"/>
  <c r="AO2224" i="3"/>
  <c r="AO1104" i="3" s="1"/>
  <c r="AO1688" i="3"/>
  <c r="AO2248" i="3"/>
  <c r="AO1128" i="3" s="1"/>
  <c r="AO1728" i="3"/>
  <c r="AO1448" i="3" s="1"/>
  <c r="AO1466" i="3"/>
  <c r="AO2026" i="3"/>
  <c r="AO906" i="3" s="1"/>
  <c r="AO1482" i="3"/>
  <c r="AO2042" i="3"/>
  <c r="AO922" i="3" s="1"/>
  <c r="AO1498" i="3"/>
  <c r="AO2058" i="3"/>
  <c r="AO1514" i="3"/>
  <c r="AO2074" i="3"/>
  <c r="AO954" i="3" s="1"/>
  <c r="AO1530" i="3"/>
  <c r="AO2090" i="3"/>
  <c r="AO970" i="3" s="1"/>
  <c r="AO1546" i="3"/>
  <c r="AO2106" i="3"/>
  <c r="AO986" i="3" s="1"/>
  <c r="AO1562" i="3"/>
  <c r="AO2122" i="3"/>
  <c r="AO1002" i="3" s="1"/>
  <c r="AO1578" i="3"/>
  <c r="AO2138" i="3"/>
  <c r="AO1018" i="3" s="1"/>
  <c r="AO1594" i="3"/>
  <c r="AO2154" i="3"/>
  <c r="AO1034" i="3" s="1"/>
  <c r="AO1610" i="3"/>
  <c r="AO2170" i="3"/>
  <c r="AO1050" i="3" s="1"/>
  <c r="AO1626" i="3"/>
  <c r="AO2186" i="3"/>
  <c r="AO1066" i="3" s="1"/>
  <c r="AO1670" i="3"/>
  <c r="AO2230" i="3"/>
  <c r="AO1110" i="3" s="1"/>
  <c r="AO1686" i="3"/>
  <c r="AO2246" i="3"/>
  <c r="AO1126" i="3" s="1"/>
  <c r="AO1710" i="3"/>
  <c r="AO1430" i="3" s="1"/>
  <c r="AO1726" i="3"/>
  <c r="AO1503" i="3"/>
  <c r="AO2063" i="3"/>
  <c r="AO943" i="3" s="1"/>
  <c r="AO1519" i="3"/>
  <c r="AO2079" i="3"/>
  <c r="AO959" i="3" s="1"/>
  <c r="AO1535" i="3"/>
  <c r="AO2095" i="3"/>
  <c r="AO1551" i="3"/>
  <c r="AO2111" i="3"/>
  <c r="AO991" i="3" s="1"/>
  <c r="AO1567" i="3"/>
  <c r="AO2127" i="3"/>
  <c r="AO1007" i="3" s="1"/>
  <c r="AO1583" i="3"/>
  <c r="AO2143" i="3"/>
  <c r="AO1023" i="3" s="1"/>
  <c r="AO1599" i="3"/>
  <c r="AO2159" i="3"/>
  <c r="AO1039" i="3" s="1"/>
  <c r="AO1615" i="3"/>
  <c r="AO2175" i="3"/>
  <c r="AO1055" i="3" s="1"/>
  <c r="AO1631" i="3"/>
  <c r="AO2191" i="3"/>
  <c r="AO1071" i="3" s="1"/>
  <c r="AO1639" i="3"/>
  <c r="AO2199" i="3"/>
  <c r="AO1079" i="3" s="1"/>
  <c r="AO1663" i="3"/>
  <c r="AO2223" i="3"/>
  <c r="AO1103" i="3" s="1"/>
  <c r="AO1668" i="3"/>
  <c r="AO2228" i="3"/>
  <c r="AO1108" i="3" s="1"/>
  <c r="AO1661" i="3"/>
  <c r="AO2221" i="3"/>
  <c r="AO1101" i="3" s="1"/>
  <c r="AO1689" i="3"/>
  <c r="AO2249" i="3"/>
  <c r="AO1129" i="3" s="1"/>
  <c r="AO1691" i="3"/>
  <c r="AO2251" i="3"/>
  <c r="AO1131" i="3" s="1"/>
  <c r="AK1639" i="3"/>
  <c r="AK2199" i="3"/>
  <c r="AK1079" i="3" s="1"/>
  <c r="AK1650" i="3"/>
  <c r="AK2210" i="3"/>
  <c r="AK1090" i="3" s="1"/>
  <c r="AK1666" i="3"/>
  <c r="AK2226" i="3"/>
  <c r="AK1106" i="3" s="1"/>
  <c r="AK1698" i="3"/>
  <c r="AK2258" i="3"/>
  <c r="AK1138" i="3" s="1"/>
  <c r="AK1712" i="3"/>
  <c r="AK1728" i="3"/>
  <c r="AK1473" i="3"/>
  <c r="AK2033" i="3"/>
  <c r="AK913" i="3" s="1"/>
  <c r="AK1489" i="3"/>
  <c r="AK2049" i="3"/>
  <c r="AK929" i="3" s="1"/>
  <c r="AK1505" i="3"/>
  <c r="AK2065" i="3"/>
  <c r="AK945" i="3" s="1"/>
  <c r="AK1521" i="3"/>
  <c r="AK2081" i="3"/>
  <c r="AK961" i="3" s="1"/>
  <c r="AK1537" i="3"/>
  <c r="AK2097" i="3"/>
  <c r="AK977" i="3" s="1"/>
  <c r="AK1553" i="3"/>
  <c r="AK2113" i="3"/>
  <c r="AK993" i="3" s="1"/>
  <c r="AK1569" i="3"/>
  <c r="AK2129" i="3"/>
  <c r="AK1009" i="3" s="1"/>
  <c r="AK1585" i="3"/>
  <c r="AK2145" i="3"/>
  <c r="AK1025" i="3" s="1"/>
  <c r="AK1601" i="3"/>
  <c r="AK2161" i="3"/>
  <c r="AK1041" i="3" s="1"/>
  <c r="AK1617" i="3"/>
  <c r="AK2177" i="3"/>
  <c r="AK1057" i="3" s="1"/>
  <c r="AK1633" i="3"/>
  <c r="AK2193" i="3"/>
  <c r="AK1073" i="3" s="1"/>
  <c r="AK1494" i="3"/>
  <c r="AK2054" i="3"/>
  <c r="AK934" i="3" s="1"/>
  <c r="AK1510" i="3"/>
  <c r="AK2070" i="3"/>
  <c r="AK950" i="3" s="1"/>
  <c r="AK1542" i="3"/>
  <c r="AK2102" i="3"/>
  <c r="AK982" i="3" s="1"/>
  <c r="AK1558" i="3"/>
  <c r="AK2118" i="3"/>
  <c r="AK998" i="3" s="1"/>
  <c r="AK1574" i="3"/>
  <c r="AK2134" i="3"/>
  <c r="AK1014" i="3" s="1"/>
  <c r="AK1590" i="3"/>
  <c r="AK2150" i="3"/>
  <c r="AK1030" i="3" s="1"/>
  <c r="AK1606" i="3"/>
  <c r="AK2166" i="3"/>
  <c r="AK1046" i="3" s="1"/>
  <c r="AK1622" i="3"/>
  <c r="AK2182" i="3"/>
  <c r="AK1062" i="3" s="1"/>
  <c r="AK1638" i="3"/>
  <c r="AK2198" i="3"/>
  <c r="AK1078" i="3" s="1"/>
  <c r="AK1636" i="3"/>
  <c r="AK2196" i="3"/>
  <c r="AK1076" i="3" s="1"/>
  <c r="AK1659" i="3"/>
  <c r="AK2219" i="3"/>
  <c r="AK1099" i="3" s="1"/>
  <c r="AK1468" i="3"/>
  <c r="AK2028" i="3"/>
  <c r="AK908" i="3" s="1"/>
  <c r="AK1474" i="3"/>
  <c r="AK2034" i="3"/>
  <c r="AK914" i="3" s="1"/>
  <c r="AK1690" i="3"/>
  <c r="AK2250" i="3"/>
  <c r="AK1130" i="3" s="1"/>
  <c r="AK1730" i="3"/>
  <c r="AK1475" i="3"/>
  <c r="AK2035" i="3"/>
  <c r="AK915" i="3" s="1"/>
  <c r="AK1491" i="3"/>
  <c r="AK2051" i="3"/>
  <c r="AK931" i="3" s="1"/>
  <c r="AK1507" i="3"/>
  <c r="AK2067" i="3"/>
  <c r="AK947" i="3" s="1"/>
  <c r="AK1539" i="3"/>
  <c r="AK2099" i="3"/>
  <c r="AK979" i="3" s="1"/>
  <c r="AK1555" i="3"/>
  <c r="AK2115" i="3"/>
  <c r="AK995" i="3" s="1"/>
  <c r="AK1571" i="3"/>
  <c r="AK2131" i="3"/>
  <c r="AK1011" i="3" s="1"/>
  <c r="AK1587" i="3"/>
  <c r="AK2147" i="3"/>
  <c r="AK1027" i="3" s="1"/>
  <c r="AK1603" i="3"/>
  <c r="AK2163" i="3"/>
  <c r="AK1043" i="3" s="1"/>
  <c r="AK1619" i="3"/>
  <c r="AK2179" i="3"/>
  <c r="AK1059" i="3" s="1"/>
  <c r="AK1480" i="3"/>
  <c r="AK2040" i="3"/>
  <c r="AK920" i="3" s="1"/>
  <c r="AK1496" i="3"/>
  <c r="AK2056" i="3"/>
  <c r="AK1512" i="3"/>
  <c r="AK2072" i="3"/>
  <c r="AK952" i="3" s="1"/>
  <c r="AK1528" i="3"/>
  <c r="AK2088" i="3"/>
  <c r="AK968" i="3" s="1"/>
  <c r="AK1544" i="3"/>
  <c r="AK2104" i="3"/>
  <c r="AK984" i="3" s="1"/>
  <c r="AK1560" i="3"/>
  <c r="AK2120" i="3"/>
  <c r="AK1000" i="3" s="1"/>
  <c r="AK1576" i="3"/>
  <c r="AK2136" i="3"/>
  <c r="AK1016" i="3" s="1"/>
  <c r="AK1592" i="3"/>
  <c r="AK2152" i="3"/>
  <c r="AK1032" i="3" s="1"/>
  <c r="AK1608" i="3"/>
  <c r="AK2168" i="3"/>
  <c r="AK1048" i="3" s="1"/>
  <c r="AK1624" i="3"/>
  <c r="AK2184" i="3"/>
  <c r="AK1064" i="3" s="1"/>
  <c r="AK1697" i="3"/>
  <c r="AK2257" i="3"/>
  <c r="AK1137" i="3" s="1"/>
  <c r="AK1711" i="3"/>
  <c r="AK1676" i="3"/>
  <c r="AK2236" i="3"/>
  <c r="AK1116" i="3" s="1"/>
  <c r="AK1704" i="3"/>
  <c r="AK2264" i="3"/>
  <c r="AK1144" i="3" s="1"/>
  <c r="AK1723" i="3"/>
  <c r="AK1669" i="3"/>
  <c r="AK2229" i="3"/>
  <c r="AK1109" i="3" s="1"/>
  <c r="AK1689" i="3"/>
  <c r="AK2249" i="3"/>
  <c r="AK1129" i="3" s="1"/>
  <c r="AK1733" i="3"/>
  <c r="AK1719" i="3"/>
  <c r="AG1726" i="3"/>
  <c r="AG1678" i="3"/>
  <c r="AG2238" i="3"/>
  <c r="AG1118" i="3" s="1"/>
  <c r="AG1670" i="3"/>
  <c r="AG2230" i="3"/>
  <c r="AG1110" i="3" s="1"/>
  <c r="AG1642" i="3"/>
  <c r="AG2202" i="3"/>
  <c r="AG1082" i="3" s="1"/>
  <c r="AG1479" i="3"/>
  <c r="AG2039" i="3"/>
  <c r="AG919" i="3" s="1"/>
  <c r="AG1474" i="3"/>
  <c r="AG2034" i="3"/>
  <c r="AG914" i="3" s="1"/>
  <c r="AG1490" i="3"/>
  <c r="AG2050" i="3"/>
  <c r="AG930" i="3" s="1"/>
  <c r="AG1506" i="3"/>
  <c r="AG2066" i="3"/>
  <c r="AG946" i="3" s="1"/>
  <c r="AG1522" i="3"/>
  <c r="AG2082" i="3"/>
  <c r="AG962" i="3" s="1"/>
  <c r="AG1538" i="3"/>
  <c r="AG2098" i="3"/>
  <c r="AG978" i="3" s="1"/>
  <c r="AG1554" i="3"/>
  <c r="AG2114" i="3"/>
  <c r="AG994" i="3" s="1"/>
  <c r="AG1570" i="3"/>
  <c r="AG2130" i="3"/>
  <c r="AG1010" i="3" s="1"/>
  <c r="AG1586" i="3"/>
  <c r="AG2146" i="3"/>
  <c r="AG1026" i="3" s="1"/>
  <c r="AG1602" i="3"/>
  <c r="AG2162" i="3"/>
  <c r="AG1042" i="3" s="1"/>
  <c r="AG1618" i="3"/>
  <c r="AG2178" i="3"/>
  <c r="AG1058" i="3" s="1"/>
  <c r="AG1634" i="3"/>
  <c r="AG2194" i="3"/>
  <c r="AG1074" i="3" s="1"/>
  <c r="AG1710" i="3"/>
  <c r="AG1495" i="3"/>
  <c r="AG2055" i="3"/>
  <c r="AG1511" i="3"/>
  <c r="AG2071" i="3"/>
  <c r="AG951" i="3" s="1"/>
  <c r="AG1527" i="3"/>
  <c r="AG2087" i="3"/>
  <c r="AG967" i="3" s="1"/>
  <c r="AG1635" i="3"/>
  <c r="AG2195" i="3"/>
  <c r="AG1075" i="3" s="1"/>
  <c r="AG1665" i="3"/>
  <c r="AG2225" i="3"/>
  <c r="AG1105" i="3" s="1"/>
  <c r="AG1717" i="3"/>
  <c r="AG1679" i="3"/>
  <c r="AG2239" i="3"/>
  <c r="AG1119" i="3" s="1"/>
  <c r="AG1543" i="3"/>
  <c r="AG2103" i="3"/>
  <c r="AG983" i="3" s="1"/>
  <c r="AG1559" i="3"/>
  <c r="AG2119" i="3"/>
  <c r="AG999" i="3" s="1"/>
  <c r="AG1575" i="3"/>
  <c r="AG2135" i="3"/>
  <c r="AG1015" i="3" s="1"/>
  <c r="AG1591" i="3"/>
  <c r="AG2151" i="3"/>
  <c r="AG1031" i="3" s="1"/>
  <c r="AG1607" i="3"/>
  <c r="AG2167" i="3"/>
  <c r="AG1047" i="3" s="1"/>
  <c r="AG1623" i="3"/>
  <c r="AG2183" i="3"/>
  <c r="AG1063" i="3" s="1"/>
  <c r="AG1680" i="3"/>
  <c r="AG2240" i="3"/>
  <c r="AG1120" i="3" s="1"/>
  <c r="AG1658" i="3"/>
  <c r="AG2218" i="3"/>
  <c r="AG1098" i="3" s="1"/>
  <c r="AG1475" i="3"/>
  <c r="AG2035" i="3"/>
  <c r="AG915" i="3" s="1"/>
  <c r="AG1659" i="3"/>
  <c r="AG2219" i="3"/>
  <c r="AG1099" i="3" s="1"/>
  <c r="AG1641" i="3"/>
  <c r="AG2201" i="3"/>
  <c r="AG1081" i="3" s="1"/>
  <c r="AG1703" i="3"/>
  <c r="AG2263" i="3"/>
  <c r="AG1143" i="3" s="1"/>
  <c r="AG1468" i="3"/>
  <c r="AG2028" i="3"/>
  <c r="AG908" i="3" s="1"/>
  <c r="AG1484" i="3"/>
  <c r="AG2044" i="3"/>
  <c r="AG924" i="3" s="1"/>
  <c r="AG1500" i="3"/>
  <c r="AG2060" i="3"/>
  <c r="AG940" i="3" s="1"/>
  <c r="AG1532" i="3"/>
  <c r="AG2092" i="3"/>
  <c r="AG972" i="3" s="1"/>
  <c r="AG1548" i="3"/>
  <c r="AG2108" i="3"/>
  <c r="AG988" i="3" s="1"/>
  <c r="AG1564" i="3"/>
  <c r="AG2124" i="3"/>
  <c r="AG1004" i="3" s="1"/>
  <c r="AG1580" i="3"/>
  <c r="AG2140" i="3"/>
  <c r="AG1020" i="3" s="1"/>
  <c r="AG1596" i="3"/>
  <c r="AG2156" i="3"/>
  <c r="AG1036" i="3" s="1"/>
  <c r="AG1612" i="3"/>
  <c r="AG2172" i="3"/>
  <c r="AG1052" i="3" s="1"/>
  <c r="AG1628" i="3"/>
  <c r="AG2188" i="3"/>
  <c r="AG1068" i="3" s="1"/>
  <c r="AG1692" i="3"/>
  <c r="AG2252" i="3"/>
  <c r="AG1132" i="3" s="1"/>
  <c r="AG1712" i="3"/>
  <c r="AG1728" i="3"/>
  <c r="AG1489" i="3"/>
  <c r="AG2049" i="3"/>
  <c r="AG929" i="3" s="1"/>
  <c r="AG1505" i="3"/>
  <c r="AG2065" i="3"/>
  <c r="AG945" i="3" s="1"/>
  <c r="AG1521" i="3"/>
  <c r="AG2081" i="3"/>
  <c r="AG961" i="3" s="1"/>
  <c r="AG1537" i="3"/>
  <c r="AG2097" i="3"/>
  <c r="AG977" i="3" s="1"/>
  <c r="AG1553" i="3"/>
  <c r="AG2113" i="3"/>
  <c r="AG993" i="3" s="1"/>
  <c r="AG1569" i="3"/>
  <c r="AG2129" i="3"/>
  <c r="AG1009" i="3" s="1"/>
  <c r="AG1585" i="3"/>
  <c r="AG2145" i="3"/>
  <c r="AG1025" i="3" s="1"/>
  <c r="AG1601" i="3"/>
  <c r="AG2161" i="3"/>
  <c r="AG1041" i="3" s="1"/>
  <c r="AG1617" i="3"/>
  <c r="AG2177" i="3"/>
  <c r="AG1057" i="3" s="1"/>
  <c r="AG1633" i="3"/>
  <c r="AG2193" i="3"/>
  <c r="AG1073" i="3" s="1"/>
  <c r="AG2237" i="3"/>
  <c r="AG1117" i="3" s="1"/>
  <c r="AG1677" i="3"/>
  <c r="AG1397" i="3" s="1"/>
  <c r="AG1697" i="3"/>
  <c r="AG2257" i="3"/>
  <c r="AG1137" i="3" s="1"/>
  <c r="AG1683" i="3"/>
  <c r="AG2243" i="3"/>
  <c r="AG1123" i="3" s="1"/>
  <c r="AG1719" i="3"/>
  <c r="AC1474" i="3"/>
  <c r="AC2034" i="3"/>
  <c r="AC914" i="3" s="1"/>
  <c r="AC1502" i="3"/>
  <c r="AC2062" i="3"/>
  <c r="AC942" i="3" s="1"/>
  <c r="AC1550" i="3"/>
  <c r="AC2110" i="3"/>
  <c r="AC990" i="3" s="1"/>
  <c r="AC1566" i="3"/>
  <c r="AC2126" i="3"/>
  <c r="AC1006" i="3" s="1"/>
  <c r="AC1582" i="3"/>
  <c r="AC2142" i="3"/>
  <c r="AC1022" i="3" s="1"/>
  <c r="AC1598" i="3"/>
  <c r="AC2158" i="3"/>
  <c r="AC1038" i="3" s="1"/>
  <c r="AC1614" i="3"/>
  <c r="AC2174" i="3"/>
  <c r="AC1054" i="3" s="1"/>
  <c r="AC1630" i="3"/>
  <c r="AC2190" i="3"/>
  <c r="AC1070" i="3" s="1"/>
  <c r="AC1710" i="3"/>
  <c r="AC1430" i="3" s="1"/>
  <c r="AC1726" i="3"/>
  <c r="AC1503" i="3"/>
  <c r="AC2063" i="3"/>
  <c r="AC943" i="3" s="1"/>
  <c r="AC1519" i="3"/>
  <c r="AC2079" i="3"/>
  <c r="AC959" i="3" s="1"/>
  <c r="AC1635" i="3"/>
  <c r="AC2195" i="3"/>
  <c r="AC1075" i="3" s="1"/>
  <c r="AC1656" i="3"/>
  <c r="AC2216" i="3"/>
  <c r="AC1096" i="3" s="1"/>
  <c r="AC1657" i="3"/>
  <c r="AC2217" i="3"/>
  <c r="AC1097" i="3" s="1"/>
  <c r="AC1729" i="3"/>
  <c r="AC1551" i="3"/>
  <c r="AC2111" i="3"/>
  <c r="AC991" i="3" s="1"/>
  <c r="AC1567" i="3"/>
  <c r="AC2127" i="3"/>
  <c r="AC1007" i="3" s="1"/>
  <c r="AC1583" i="3"/>
  <c r="AC2143" i="3"/>
  <c r="AC1023" i="3" s="1"/>
  <c r="AC1599" i="3"/>
  <c r="AC2159" i="3"/>
  <c r="AC1039" i="3" s="1"/>
  <c r="AC1615" i="3"/>
  <c r="AC2175" i="3"/>
  <c r="AC1055" i="3" s="1"/>
  <c r="AC1662" i="3"/>
  <c r="AC2222" i="3"/>
  <c r="AC1102" i="3" s="1"/>
  <c r="AC1694" i="3"/>
  <c r="AC2254" i="3"/>
  <c r="AC1134" i="3" s="1"/>
  <c r="AC1512" i="3"/>
  <c r="AC2072" i="3"/>
  <c r="AC952" i="3" s="1"/>
  <c r="AC1528" i="3"/>
  <c r="AC2088" i="3"/>
  <c r="AC968" i="3" s="1"/>
  <c r="AC1544" i="3"/>
  <c r="AC2104" i="3"/>
  <c r="AC984" i="3" s="1"/>
  <c r="AC1608" i="3"/>
  <c r="AC2168" i="3"/>
  <c r="AC1048" i="3" s="1"/>
  <c r="AC1701" i="3"/>
  <c r="AC2261" i="3"/>
  <c r="AC1141" i="3" s="1"/>
  <c r="AC1691" i="3"/>
  <c r="AC2251" i="3"/>
  <c r="AC1131" i="3" s="1"/>
  <c r="AC1687" i="3"/>
  <c r="AC2247" i="3"/>
  <c r="AC1127" i="3" s="1"/>
  <c r="AC1636" i="3"/>
  <c r="AC2196" i="3"/>
  <c r="AC1076" i="3" s="1"/>
  <c r="AC1688" i="3"/>
  <c r="AC2248" i="3"/>
  <c r="AC1128" i="3" s="1"/>
  <c r="AC1732" i="3"/>
  <c r="AC1493" i="3"/>
  <c r="AC2053" i="3"/>
  <c r="AC933" i="3" s="1"/>
  <c r="AC1541" i="3"/>
  <c r="AC2101" i="3"/>
  <c r="AC981" i="3" s="1"/>
  <c r="AC1573" i="3"/>
  <c r="AC2133" i="3"/>
  <c r="AC1013" i="3" s="1"/>
  <c r="AC1589" i="3"/>
  <c r="AC2149" i="3"/>
  <c r="AC1029" i="3" s="1"/>
  <c r="AC1605" i="3"/>
  <c r="AC2165" i="3"/>
  <c r="AC1045" i="3" s="1"/>
  <c r="AC1641" i="3"/>
  <c r="AC2201" i="3"/>
  <c r="AC1081" i="3" s="1"/>
  <c r="Y1638" i="3"/>
  <c r="Y2198" i="3"/>
  <c r="Y1078" i="3" s="1"/>
  <c r="Y1641" i="3"/>
  <c r="Y2201" i="3"/>
  <c r="Y1081" i="3" s="1"/>
  <c r="Y1470" i="3"/>
  <c r="Y2030" i="3"/>
  <c r="Y910" i="3" s="1"/>
  <c r="Y1502" i="3"/>
  <c r="Y2062" i="3"/>
  <c r="Y942" i="3" s="1"/>
  <c r="Y1550" i="3"/>
  <c r="Y2110" i="3"/>
  <c r="Y990" i="3" s="1"/>
  <c r="Y1566" i="3"/>
  <c r="Y2126" i="3"/>
  <c r="Y1006" i="3" s="1"/>
  <c r="Y1582" i="3"/>
  <c r="Y2142" i="3"/>
  <c r="Y1022" i="3" s="1"/>
  <c r="Y1598" i="3"/>
  <c r="Y2158" i="3"/>
  <c r="Y1038" i="3" s="1"/>
  <c r="Y1614" i="3"/>
  <c r="Y2174" i="3"/>
  <c r="Y1054" i="3" s="1"/>
  <c r="Y1630" i="3"/>
  <c r="Y2190" i="3"/>
  <c r="Y1070" i="3" s="1"/>
  <c r="Y1650" i="3"/>
  <c r="Y2210" i="3"/>
  <c r="Y1090" i="3" s="1"/>
  <c r="Y1730" i="3"/>
  <c r="Y1450" i="3" s="1"/>
  <c r="Y1491" i="3"/>
  <c r="Y2051" i="3"/>
  <c r="Y931" i="3" s="1"/>
  <c r="Y1539" i="3"/>
  <c r="Y2099" i="3"/>
  <c r="Y979" i="3" s="1"/>
  <c r="Y1555" i="3"/>
  <c r="Y2115" i="3"/>
  <c r="Y995" i="3" s="1"/>
  <c r="Y1571" i="3"/>
  <c r="Y2131" i="3"/>
  <c r="Y1011" i="3" s="1"/>
  <c r="Y1587" i="3"/>
  <c r="Y2147" i="3"/>
  <c r="Y1027" i="3" s="1"/>
  <c r="Y1619" i="3"/>
  <c r="Y2179" i="3"/>
  <c r="Y1059" i="3" s="1"/>
  <c r="Y1648" i="3"/>
  <c r="Y2208" i="3"/>
  <c r="Y1088" i="3" s="1"/>
  <c r="Y1688" i="3"/>
  <c r="Y2248" i="3"/>
  <c r="Y1128" i="3" s="1"/>
  <c r="Y1728" i="3"/>
  <c r="Y1635" i="3"/>
  <c r="Y2195" i="3"/>
  <c r="Y1075" i="3" s="1"/>
  <c r="Y1655" i="3"/>
  <c r="Y2215" i="3"/>
  <c r="Y1095" i="3" s="1"/>
  <c r="Y1504" i="3"/>
  <c r="Y2064" i="3"/>
  <c r="Y944" i="3" s="1"/>
  <c r="Y1520" i="3"/>
  <c r="Y2080" i="3"/>
  <c r="Y960" i="3" s="1"/>
  <c r="Y1552" i="3"/>
  <c r="Y2112" i="3"/>
  <c r="Y992" i="3" s="1"/>
  <c r="Y1568" i="3"/>
  <c r="Y2128" i="3"/>
  <c r="Y1008" i="3" s="1"/>
  <c r="Y1584" i="3"/>
  <c r="Y2144" i="3"/>
  <c r="Y1024" i="3" s="1"/>
  <c r="Y1600" i="3"/>
  <c r="Y2160" i="3"/>
  <c r="Y1040" i="3" s="1"/>
  <c r="Y1616" i="3"/>
  <c r="Y2176" i="3"/>
  <c r="Y1056" i="3" s="1"/>
  <c r="Y1708" i="3"/>
  <c r="Y1493" i="3"/>
  <c r="Y2053" i="3"/>
  <c r="Y933" i="3" s="1"/>
  <c r="Y1541" i="3"/>
  <c r="Y2101" i="3"/>
  <c r="Y981" i="3" s="1"/>
  <c r="Y1573" i="3"/>
  <c r="Y2133" i="3"/>
  <c r="Y1013" i="3" s="1"/>
  <c r="Y1589" i="3"/>
  <c r="Y2149" i="3"/>
  <c r="Y1029" i="3" s="1"/>
  <c r="Y1605" i="3"/>
  <c r="Y2165" i="3"/>
  <c r="Y1045" i="3" s="1"/>
  <c r="Y1705" i="3"/>
  <c r="Y1733" i="3"/>
  <c r="Y1453" i="3" s="1"/>
  <c r="Y1707" i="3"/>
  <c r="Y1735" i="3"/>
  <c r="Y1455" i="3" s="1"/>
  <c r="Y1636" i="3"/>
  <c r="Y2196" i="3"/>
  <c r="Y1076" i="3" s="1"/>
  <c r="Y1669" i="3"/>
  <c r="Y2229" i="3"/>
  <c r="Y1109" i="3" s="1"/>
  <c r="Y1721" i="3"/>
  <c r="Y1441" i="3" s="1"/>
  <c r="Y601" i="3" s="1"/>
  <c r="U1650" i="3"/>
  <c r="U2210" i="3"/>
  <c r="U1090" i="3" s="1"/>
  <c r="U1474" i="3"/>
  <c r="U2034" i="3"/>
  <c r="U914" i="3" s="1"/>
  <c r="U1690" i="3"/>
  <c r="U2250" i="3"/>
  <c r="U1130" i="3" s="1"/>
  <c r="U1730" i="3"/>
  <c r="U1475" i="3"/>
  <c r="U2035" i="3"/>
  <c r="U915" i="3" s="1"/>
  <c r="U1491" i="3"/>
  <c r="U2051" i="3"/>
  <c r="U931" i="3" s="1"/>
  <c r="U1539" i="3"/>
  <c r="U2099" i="3"/>
  <c r="U979" i="3" s="1"/>
  <c r="U1555" i="3"/>
  <c r="U2115" i="3"/>
  <c r="U995" i="3" s="1"/>
  <c r="U1571" i="3"/>
  <c r="U2131" i="3"/>
  <c r="U1011" i="3" s="1"/>
  <c r="U1587" i="3"/>
  <c r="U2147" i="3"/>
  <c r="U1027" i="3" s="1"/>
  <c r="U1619" i="3"/>
  <c r="U2179" i="3"/>
  <c r="U1059" i="3" s="1"/>
  <c r="U1649" i="3"/>
  <c r="U2209" i="3"/>
  <c r="U1089" i="3" s="1"/>
  <c r="U1721" i="3"/>
  <c r="U1484" i="3"/>
  <c r="U2044" i="3"/>
  <c r="U924" i="3" s="1"/>
  <c r="U1500" i="3"/>
  <c r="U2060" i="3"/>
  <c r="U940" i="3" s="1"/>
  <c r="U1532" i="3"/>
  <c r="U2092" i="3"/>
  <c r="U972" i="3" s="1"/>
  <c r="U1564" i="3"/>
  <c r="U2124" i="3"/>
  <c r="U1004" i="3" s="1"/>
  <c r="U1580" i="3"/>
  <c r="U2140" i="3"/>
  <c r="U1020" i="3" s="1"/>
  <c r="U1596" i="3"/>
  <c r="U2156" i="3"/>
  <c r="U1036" i="3" s="1"/>
  <c r="U1628" i="3"/>
  <c r="U2188" i="3"/>
  <c r="U1068" i="3" s="1"/>
  <c r="U1502" i="3"/>
  <c r="U2062" i="3"/>
  <c r="U942" i="3" s="1"/>
  <c r="U1550" i="3"/>
  <c r="U2110" i="3"/>
  <c r="U990" i="3" s="1"/>
  <c r="U1566" i="3"/>
  <c r="U2126" i="3"/>
  <c r="U1006" i="3" s="1"/>
  <c r="U1582" i="3"/>
  <c r="U2142" i="3"/>
  <c r="U1022" i="3" s="1"/>
  <c r="U1598" i="3"/>
  <c r="U2158" i="3"/>
  <c r="U1038" i="3" s="1"/>
  <c r="U1614" i="3"/>
  <c r="U2174" i="3"/>
  <c r="U1054" i="3" s="1"/>
  <c r="U1630" i="3"/>
  <c r="U2190" i="3"/>
  <c r="U1070" i="3" s="1"/>
  <c r="U1635" i="3"/>
  <c r="U2195" i="3"/>
  <c r="U1075" i="3" s="1"/>
  <c r="U1712" i="3"/>
  <c r="U1728" i="3"/>
  <c r="U1448" i="3" s="1"/>
  <c r="U1473" i="3"/>
  <c r="U2033" i="3"/>
  <c r="U913" i="3" s="1"/>
  <c r="U1489" i="3"/>
  <c r="U2049" i="3"/>
  <c r="U929" i="3" s="1"/>
  <c r="U1505" i="3"/>
  <c r="U2065" i="3"/>
  <c r="U945" i="3" s="1"/>
  <c r="U1521" i="3"/>
  <c r="U2081" i="3"/>
  <c r="U961" i="3" s="1"/>
  <c r="U1537" i="3"/>
  <c r="U2097" i="3"/>
  <c r="U977" i="3" s="1"/>
  <c r="U1553" i="3"/>
  <c r="U2113" i="3"/>
  <c r="U993" i="3" s="1"/>
  <c r="U1569" i="3"/>
  <c r="U2129" i="3"/>
  <c r="U1009" i="3" s="1"/>
  <c r="U1585" i="3"/>
  <c r="U2145" i="3"/>
  <c r="U1025" i="3" s="1"/>
  <c r="U1617" i="3"/>
  <c r="U2177" i="3"/>
  <c r="U1057" i="3" s="1"/>
  <c r="U1657" i="3"/>
  <c r="U2217" i="3"/>
  <c r="U1097" i="3" s="1"/>
  <c r="U1729" i="3"/>
  <c r="U1636" i="3"/>
  <c r="U2196" i="3"/>
  <c r="U1076" i="3" s="1"/>
  <c r="U1676" i="3"/>
  <c r="U2236" i="3"/>
  <c r="U1116" i="3" s="1"/>
  <c r="Q1543" i="3"/>
  <c r="Q2103" i="3"/>
  <c r="Q983" i="3" s="1"/>
  <c r="Q1551" i="3"/>
  <c r="Q2111" i="3"/>
  <c r="Q991" i="3" s="1"/>
  <c r="Q1607" i="3"/>
  <c r="Q2167" i="3"/>
  <c r="Q1047" i="3" s="1"/>
  <c r="Q1615" i="3"/>
  <c r="Q2175" i="3"/>
  <c r="Q1055" i="3" s="1"/>
  <c r="Q1474" i="3"/>
  <c r="Q2034" i="3"/>
  <c r="Q914" i="3" s="1"/>
  <c r="Q1490" i="3"/>
  <c r="Q2050" i="3"/>
  <c r="Q930" i="3" s="1"/>
  <c r="Q1506" i="3"/>
  <c r="Q2066" i="3"/>
  <c r="Q946" i="3" s="1"/>
  <c r="Q1522" i="3"/>
  <c r="Q2082" i="3"/>
  <c r="Q962" i="3" s="1"/>
  <c r="Q1538" i="3"/>
  <c r="Q2098" i="3"/>
  <c r="Q978" i="3" s="1"/>
  <c r="Q1554" i="3"/>
  <c r="Q2114" i="3"/>
  <c r="Q994" i="3" s="1"/>
  <c r="Q1570" i="3"/>
  <c r="Q2130" i="3"/>
  <c r="Q1010" i="3" s="1"/>
  <c r="Q1586" i="3"/>
  <c r="Q2146" i="3"/>
  <c r="Q1026" i="3" s="1"/>
  <c r="Q1618" i="3"/>
  <c r="Q2178" i="3"/>
  <c r="Q1058" i="3" s="1"/>
  <c r="Q1710" i="3"/>
  <c r="Q1511" i="3"/>
  <c r="Q2071" i="3"/>
  <c r="Q951" i="3" s="1"/>
  <c r="Q1527" i="3"/>
  <c r="Q2087" i="3"/>
  <c r="Q967" i="3" s="1"/>
  <c r="Q1579" i="3"/>
  <c r="Q2139" i="3"/>
  <c r="Q1019" i="3" s="1"/>
  <c r="Q1642" i="3"/>
  <c r="Q2202" i="3"/>
  <c r="Q1082" i="3" s="1"/>
  <c r="Q1682" i="3"/>
  <c r="Q2242" i="3"/>
  <c r="Q1122" i="3" s="1"/>
  <c r="Q1722" i="3"/>
  <c r="Q1694" i="3"/>
  <c r="Q2254" i="3"/>
  <c r="Q1134" i="3" s="1"/>
  <c r="Q1635" i="3"/>
  <c r="Q2195" i="3"/>
  <c r="Q1075" i="3" s="1"/>
  <c r="Q1680" i="3"/>
  <c r="Q2240" i="3"/>
  <c r="Q1120" i="3" s="1"/>
  <c r="Q1655" i="3"/>
  <c r="Q2215" i="3"/>
  <c r="Q1095" i="3" s="1"/>
  <c r="Q1687" i="3"/>
  <c r="Q2247" i="3"/>
  <c r="Q1127" i="3" s="1"/>
  <c r="Q1717" i="3"/>
  <c r="Q1715" i="3"/>
  <c r="Q1504" i="3"/>
  <c r="Q2064" i="3"/>
  <c r="Q944" i="3" s="1"/>
  <c r="Q1520" i="3"/>
  <c r="Q2080" i="3"/>
  <c r="Q960" i="3" s="1"/>
  <c r="Q1552" i="3"/>
  <c r="Q2112" i="3"/>
  <c r="Q992" i="3" s="1"/>
  <c r="Q1568" i="3"/>
  <c r="Q2128" i="3"/>
  <c r="Q1008" i="3" s="1"/>
  <c r="Q1584" i="3"/>
  <c r="Q2144" i="3"/>
  <c r="Q1024" i="3" s="1"/>
  <c r="Q1600" i="3"/>
  <c r="Q2160" i="3"/>
  <c r="Q1040" i="3" s="1"/>
  <c r="Q1616" i="3"/>
  <c r="Q2176" i="3"/>
  <c r="Q1056" i="3" s="1"/>
  <c r="Q1656" i="3"/>
  <c r="Q2216" i="3"/>
  <c r="Q1096" i="3" s="1"/>
  <c r="Q1676" i="3"/>
  <c r="Q2236" i="3"/>
  <c r="Q1116" i="3" s="1"/>
  <c r="Q1716" i="3"/>
  <c r="Q1732" i="3"/>
  <c r="Q1452" i="3" s="1"/>
  <c r="Q1493" i="3"/>
  <c r="Q2053" i="3"/>
  <c r="Q933" i="3" s="1"/>
  <c r="Q1541" i="3"/>
  <c r="Q2101" i="3"/>
  <c r="Q981" i="3" s="1"/>
  <c r="Q1573" i="3"/>
  <c r="Q2133" i="3"/>
  <c r="Q1013" i="3" s="1"/>
  <c r="Q1589" i="3"/>
  <c r="Q2149" i="3"/>
  <c r="Q1029" i="3" s="1"/>
  <c r="Q1605" i="3"/>
  <c r="Q2165" i="3"/>
  <c r="Q1045" i="3" s="1"/>
  <c r="Q1705" i="3"/>
  <c r="Q1733" i="3"/>
  <c r="Q1707" i="3"/>
  <c r="Q1735" i="3"/>
  <c r="AV1662" i="3"/>
  <c r="AV2222" i="3"/>
  <c r="AV1102" i="3" s="1"/>
  <c r="AV1666" i="3"/>
  <c r="AV2226" i="3"/>
  <c r="AV1106" i="3" s="1"/>
  <c r="AV1556" i="3"/>
  <c r="AV2116" i="3"/>
  <c r="AV996" i="3" s="1"/>
  <c r="AV1606" i="3"/>
  <c r="AV2166" i="3"/>
  <c r="AV1046" i="3" s="1"/>
  <c r="AV1663" i="3"/>
  <c r="AV2223" i="3"/>
  <c r="AV1103" i="3" s="1"/>
  <c r="AV1603" i="3"/>
  <c r="AV2163" i="3"/>
  <c r="AV1043" i="3" s="1"/>
  <c r="AV1548" i="3"/>
  <c r="AV2108" i="3"/>
  <c r="AV988" i="3" s="1"/>
  <c r="AV1466" i="3"/>
  <c r="AV2026" i="3"/>
  <c r="AV906" i="3" s="1"/>
  <c r="AV1482" i="3"/>
  <c r="AV2042" i="3"/>
  <c r="AV922" i="3" s="1"/>
  <c r="AV1498" i="3"/>
  <c r="AV2058" i="3"/>
  <c r="AV1514" i="3"/>
  <c r="AV2074" i="3"/>
  <c r="AV954" i="3" s="1"/>
  <c r="AV1530" i="3"/>
  <c r="AV2090" i="3"/>
  <c r="AV970" i="3" s="1"/>
  <c r="AV1546" i="3"/>
  <c r="AV2106" i="3"/>
  <c r="AV986" i="3" s="1"/>
  <c r="AV1570" i="3"/>
  <c r="AV2130" i="3"/>
  <c r="AV1010" i="3" s="1"/>
  <c r="AV1586" i="3"/>
  <c r="AV2146" i="3"/>
  <c r="AV1026" i="3" s="1"/>
  <c r="AV1686" i="3"/>
  <c r="AV2246" i="3"/>
  <c r="AV1126" i="3" s="1"/>
  <c r="AV1710" i="3"/>
  <c r="AV1730" i="3"/>
  <c r="AV1475" i="3"/>
  <c r="AV2035" i="3"/>
  <c r="AV915" i="3" s="1"/>
  <c r="AV1491" i="3"/>
  <c r="AV2051" i="3"/>
  <c r="AV931" i="3" s="1"/>
  <c r="AV1507" i="3"/>
  <c r="AV2067" i="3"/>
  <c r="AV947" i="3" s="1"/>
  <c r="AV1539" i="3"/>
  <c r="AV2099" i="3"/>
  <c r="AV979" i="3" s="1"/>
  <c r="AV1575" i="3"/>
  <c r="AV2135" i="3"/>
  <c r="AV1015" i="3" s="1"/>
  <c r="AV1647" i="3"/>
  <c r="AV2207" i="3"/>
  <c r="AV1087" i="3" s="1"/>
  <c r="AV1472" i="3"/>
  <c r="AV2032" i="3"/>
  <c r="AV912" i="3" s="1"/>
  <c r="AV1504" i="3"/>
  <c r="AV2064" i="3"/>
  <c r="AV944" i="3" s="1"/>
  <c r="AV1520" i="3"/>
  <c r="AV2080" i="3"/>
  <c r="AV960" i="3" s="1"/>
  <c r="AV1536" i="3"/>
  <c r="AV2096" i="3"/>
  <c r="AV1688" i="3"/>
  <c r="AV2248" i="3"/>
  <c r="AV1128" i="3" s="1"/>
  <c r="AV1720" i="3"/>
  <c r="AV1736" i="3"/>
  <c r="AV1456" i="3" s="1"/>
  <c r="AV616" i="3" s="1"/>
  <c r="AV2257" i="3"/>
  <c r="AV1137" i="3" s="1"/>
  <c r="AV1697" i="3"/>
  <c r="AV1729" i="3"/>
  <c r="AV1699" i="3"/>
  <c r="AV2259" i="3"/>
  <c r="AV1139" i="3" s="1"/>
  <c r="AV1727" i="3"/>
  <c r="AV1579" i="3"/>
  <c r="AV2139" i="3"/>
  <c r="AV1019" i="3" s="1"/>
  <c r="AV1604" i="3"/>
  <c r="AV2164" i="3"/>
  <c r="AV1044" i="3" s="1"/>
  <c r="AV1640" i="3"/>
  <c r="AV2200" i="3"/>
  <c r="AV1080" i="3" s="1"/>
  <c r="AV1649" i="3"/>
  <c r="AV2209" i="3"/>
  <c r="AV1089" i="3" s="1"/>
  <c r="AV1618" i="3"/>
  <c r="AV2178" i="3"/>
  <c r="AV1058" i="3" s="1"/>
  <c r="AV1642" i="3"/>
  <c r="AV2202" i="3"/>
  <c r="AV1082" i="3" s="1"/>
  <c r="AV2167" i="3"/>
  <c r="AV1047" i="3" s="1"/>
  <c r="AV1607" i="3"/>
  <c r="AV1564" i="3"/>
  <c r="AV2124" i="3"/>
  <c r="AV1004" i="3" s="1"/>
  <c r="AV1580" i="3"/>
  <c r="AV2140" i="3"/>
  <c r="AV1020" i="3" s="1"/>
  <c r="AV1596" i="3"/>
  <c r="AV2156" i="3"/>
  <c r="AV1036" i="3" s="1"/>
  <c r="AV1552" i="3"/>
  <c r="AV2112" i="3"/>
  <c r="AV992" i="3" s="1"/>
  <c r="AV1628" i="3"/>
  <c r="AV2188" i="3"/>
  <c r="AV1068" i="3" s="1"/>
  <c r="AV1477" i="3"/>
  <c r="AV2037" i="3"/>
  <c r="AV917" i="3" s="1"/>
  <c r="AV1493" i="3"/>
  <c r="AV2053" i="3"/>
  <c r="AV933" i="3" s="1"/>
  <c r="AV1509" i="3"/>
  <c r="AV2069" i="3"/>
  <c r="AV949" i="3" s="1"/>
  <c r="AV1541" i="3"/>
  <c r="AV2101" i="3"/>
  <c r="AV981" i="3" s="1"/>
  <c r="AV1605" i="3"/>
  <c r="AV2165" i="3"/>
  <c r="AV1045" i="3" s="1"/>
  <c r="AV1625" i="3"/>
  <c r="AV2185" i="3"/>
  <c r="AV1065" i="3" s="1"/>
  <c r="AV1664" i="3"/>
  <c r="AV2224" i="3"/>
  <c r="AV1104" i="3" s="1"/>
  <c r="AV1684" i="3"/>
  <c r="AV2244" i="3"/>
  <c r="AV1124" i="3" s="1"/>
  <c r="AV1708" i="3"/>
  <c r="AV1428" i="3" s="1"/>
  <c r="AV1569" i="3"/>
  <c r="AV2129" i="3"/>
  <c r="AV1009" i="3" s="1"/>
  <c r="AV1585" i="3"/>
  <c r="AV2145" i="3"/>
  <c r="AV1025" i="3" s="1"/>
  <c r="AV1669" i="3"/>
  <c r="AV2229" i="3"/>
  <c r="AV1109" i="3" s="1"/>
  <c r="AV2261" i="3"/>
  <c r="AV1141" i="3" s="1"/>
  <c r="AV1701" i="3"/>
  <c r="AV1691" i="3"/>
  <c r="AV2251" i="3"/>
  <c r="AV1131" i="3" s="1"/>
  <c r="AR1602" i="3"/>
  <c r="AR2162" i="3"/>
  <c r="AR1042" i="3" s="1"/>
  <c r="AR2158" i="3"/>
  <c r="AR1038" i="3" s="1"/>
  <c r="AR1598" i="3"/>
  <c r="AR1639" i="3"/>
  <c r="AR2199" i="3"/>
  <c r="AR1079" i="3" s="1"/>
  <c r="AR1570" i="3"/>
  <c r="AR2130" i="3"/>
  <c r="AR1010" i="3" s="1"/>
  <c r="AR1586" i="3"/>
  <c r="AR2146" i="3"/>
  <c r="AR1026" i="3" s="1"/>
  <c r="AR1543" i="3"/>
  <c r="AR2103" i="3"/>
  <c r="AR983" i="3" s="1"/>
  <c r="AR1478" i="3"/>
  <c r="AR2038" i="3"/>
  <c r="AR918" i="3" s="1"/>
  <c r="AR1494" i="3"/>
  <c r="AR2054" i="3"/>
  <c r="AR934" i="3" s="1"/>
  <c r="AR1510" i="3"/>
  <c r="AR2070" i="3"/>
  <c r="AR950" i="3" s="1"/>
  <c r="AR1542" i="3"/>
  <c r="AR2102" i="3"/>
  <c r="AR982" i="3" s="1"/>
  <c r="AR1690" i="3"/>
  <c r="AR2250" i="3"/>
  <c r="AR1130" i="3" s="1"/>
  <c r="AR1734" i="3"/>
  <c r="AR1479" i="3"/>
  <c r="AR2039" i="3"/>
  <c r="AR919" i="3" s="1"/>
  <c r="AR1495" i="3"/>
  <c r="AR2055" i="3"/>
  <c r="AR1511" i="3"/>
  <c r="AR2071" i="3"/>
  <c r="AR951" i="3" s="1"/>
  <c r="AR1527" i="3"/>
  <c r="AR2087" i="3"/>
  <c r="AR967" i="3" s="1"/>
  <c r="AR1552" i="3"/>
  <c r="AR2112" i="3"/>
  <c r="AR992" i="3" s="1"/>
  <c r="AR1481" i="3"/>
  <c r="AR2041" i="3"/>
  <c r="AR921" i="3" s="1"/>
  <c r="AR1497" i="3"/>
  <c r="AR2057" i="3"/>
  <c r="AR1513" i="3"/>
  <c r="AR2073" i="3"/>
  <c r="AR953" i="3" s="1"/>
  <c r="AR2089" i="3"/>
  <c r="AR969" i="3" s="1"/>
  <c r="AR1529" i="3"/>
  <c r="AR1249" i="3" s="1"/>
  <c r="AR1545" i="3"/>
  <c r="AR2105" i="3"/>
  <c r="AR985" i="3" s="1"/>
  <c r="AR1670" i="3"/>
  <c r="AR2230" i="3"/>
  <c r="AR1110" i="3" s="1"/>
  <c r="AR1698" i="3"/>
  <c r="AR2258" i="3"/>
  <c r="AR1138" i="3" s="1"/>
  <c r="AR1579" i="3"/>
  <c r="AR2139" i="3"/>
  <c r="AR1019" i="3" s="1"/>
  <c r="AR1656" i="3"/>
  <c r="AR2216" i="3"/>
  <c r="AR1096" i="3" s="1"/>
  <c r="AR1676" i="3"/>
  <c r="AR2236" i="3"/>
  <c r="AR1116" i="3" s="1"/>
  <c r="AR1696" i="3"/>
  <c r="AR2256" i="3"/>
  <c r="AR1136" i="3" s="1"/>
  <c r="AR2217" i="3"/>
  <c r="AR1097" i="3" s="1"/>
  <c r="AR1657" i="3"/>
  <c r="AR1717" i="3"/>
  <c r="AR1437" i="3" s="1"/>
  <c r="AR597" i="3" s="1"/>
  <c r="AR1551" i="3"/>
  <c r="AR2111" i="3"/>
  <c r="AR991" i="3" s="1"/>
  <c r="AR1627" i="3"/>
  <c r="AR2187" i="3"/>
  <c r="AR1067" i="3" s="1"/>
  <c r="AR1608" i="3"/>
  <c r="AR2168" i="3"/>
  <c r="AR1048" i="3" s="1"/>
  <c r="AR1636" i="3"/>
  <c r="AR2196" i="3"/>
  <c r="AR1076" i="3" s="1"/>
  <c r="AR1613" i="3"/>
  <c r="AR2173" i="3"/>
  <c r="AR1053" i="3" s="1"/>
  <c r="AR1641" i="3"/>
  <c r="AR2201" i="3"/>
  <c r="AR1081" i="3" s="1"/>
  <c r="AR1610" i="3"/>
  <c r="AR2170" i="3"/>
  <c r="AR1050" i="3" s="1"/>
  <c r="AR1555" i="3"/>
  <c r="AR2115" i="3"/>
  <c r="AR995" i="3" s="1"/>
  <c r="AR1615" i="3"/>
  <c r="AR2175" i="3"/>
  <c r="AR1055" i="3" s="1"/>
  <c r="AR1655" i="3"/>
  <c r="AR2215" i="3"/>
  <c r="AR1095" i="3" s="1"/>
  <c r="AR1561" i="3"/>
  <c r="AR2121" i="3"/>
  <c r="AR1001" i="3" s="1"/>
  <c r="AR1577" i="3"/>
  <c r="AR2137" i="3"/>
  <c r="AR1017" i="3" s="1"/>
  <c r="AR2153" i="3"/>
  <c r="AR1033" i="3" s="1"/>
  <c r="AR1593" i="3"/>
  <c r="AR1703" i="3"/>
  <c r="AR2263" i="3"/>
  <c r="AR1143" i="3" s="1"/>
  <c r="AR1468" i="3"/>
  <c r="AR2028" i="3"/>
  <c r="AR908" i="3" s="1"/>
  <c r="AR1484" i="3"/>
  <c r="AR2044" i="3"/>
  <c r="AR924" i="3" s="1"/>
  <c r="AR1500" i="3"/>
  <c r="AR2060" i="3"/>
  <c r="AR940" i="3" s="1"/>
  <c r="AR1532" i="3"/>
  <c r="AR2092" i="3"/>
  <c r="AR972" i="3" s="1"/>
  <c r="AR1560" i="3"/>
  <c r="AR2120" i="3"/>
  <c r="AR1000" i="3" s="1"/>
  <c r="AR1576" i="3"/>
  <c r="AR2136" i="3"/>
  <c r="AR1016" i="3" s="1"/>
  <c r="AR1592" i="3"/>
  <c r="AR2152" i="3"/>
  <c r="AR1032" i="3" s="1"/>
  <c r="AR1700" i="3"/>
  <c r="AR2260" i="3"/>
  <c r="AR1140" i="3" s="1"/>
  <c r="AR2161" i="3"/>
  <c r="AR1041" i="3" s="1"/>
  <c r="AR1601" i="3"/>
  <c r="AR1681" i="3"/>
  <c r="AR2241" i="3"/>
  <c r="AR1121" i="3" s="1"/>
  <c r="AR1709" i="3"/>
  <c r="AR1737" i="3"/>
  <c r="AR1711" i="3"/>
  <c r="AR1548" i="3"/>
  <c r="AR2108" i="3"/>
  <c r="AR988" i="3" s="1"/>
  <c r="AR1616" i="3"/>
  <c r="AR2176" i="3"/>
  <c r="AR1056" i="3" s="1"/>
  <c r="AR1649" i="3"/>
  <c r="AR2209" i="3"/>
  <c r="AR1089" i="3" s="1"/>
  <c r="AN1626" i="3"/>
  <c r="AN2186" i="3"/>
  <c r="AN1066" i="3" s="1"/>
  <c r="AN1703" i="3"/>
  <c r="AN2263" i="3"/>
  <c r="AN1143" i="3" s="1"/>
  <c r="AN1554" i="3"/>
  <c r="AN2114" i="3"/>
  <c r="AN994" i="3" s="1"/>
  <c r="AN1496" i="3"/>
  <c r="AN2056" i="3"/>
  <c r="AN1563" i="3"/>
  <c r="AN2123" i="3"/>
  <c r="AN1003" i="3" s="1"/>
  <c r="AN1723" i="3"/>
  <c r="AN1443" i="3" s="1"/>
  <c r="AN1662" i="3"/>
  <c r="AN2222" i="3"/>
  <c r="AN1102" i="3" s="1"/>
  <c r="AN1682" i="3"/>
  <c r="AN2242" i="3"/>
  <c r="AN1122" i="3" s="1"/>
  <c r="AN1695" i="3"/>
  <c r="AN2255" i="3"/>
  <c r="AN1135" i="3" s="1"/>
  <c r="AN1504" i="3"/>
  <c r="AN2064" i="3"/>
  <c r="AN944" i="3" s="1"/>
  <c r="AN1688" i="3"/>
  <c r="AN2248" i="3"/>
  <c r="AN1128" i="3" s="1"/>
  <c r="AN1720" i="3"/>
  <c r="AN1736" i="3"/>
  <c r="AN2257" i="3"/>
  <c r="AN1137" i="3" s="1"/>
  <c r="AN1697" i="3"/>
  <c r="AN1729" i="3"/>
  <c r="AN1699" i="3"/>
  <c r="AN2259" i="3"/>
  <c r="AN1139" i="3" s="1"/>
  <c r="AN1727" i="3"/>
  <c r="AN1614" i="3"/>
  <c r="AN2174" i="3"/>
  <c r="AN1054" i="3" s="1"/>
  <c r="AN1638" i="3"/>
  <c r="AN2198" i="3"/>
  <c r="AN1078" i="3" s="1"/>
  <c r="AN1551" i="3"/>
  <c r="AN2111" i="3"/>
  <c r="AN991" i="3" s="1"/>
  <c r="AN1627" i="3"/>
  <c r="AN2187" i="3"/>
  <c r="AN1067" i="3" s="1"/>
  <c r="AN1600" i="3"/>
  <c r="AN2160" i="3"/>
  <c r="AN1040" i="3" s="1"/>
  <c r="AN1632" i="3"/>
  <c r="AN2192" i="3"/>
  <c r="AN1072" i="3" s="1"/>
  <c r="AN1595" i="3"/>
  <c r="AN2155" i="3"/>
  <c r="AN1035" i="3" s="1"/>
  <c r="AN1619" i="3"/>
  <c r="AN2179" i="3"/>
  <c r="AN1059" i="3" s="1"/>
  <c r="AN1564" i="3"/>
  <c r="AN2124" i="3"/>
  <c r="AN1004" i="3" s="1"/>
  <c r="AN1580" i="3"/>
  <c r="AN2140" i="3"/>
  <c r="AN1020" i="3" s="1"/>
  <c r="AN1596" i="3"/>
  <c r="AN2156" i="3"/>
  <c r="AN1036" i="3" s="1"/>
  <c r="AN1466" i="3"/>
  <c r="AN2026" i="3"/>
  <c r="AN906" i="3" s="1"/>
  <c r="AN1482" i="3"/>
  <c r="AN2042" i="3"/>
  <c r="AN922" i="3" s="1"/>
  <c r="AN1498" i="3"/>
  <c r="AN2058" i="3"/>
  <c r="AN1514" i="3"/>
  <c r="AN2074" i="3"/>
  <c r="AN954" i="3" s="1"/>
  <c r="AN1530" i="3"/>
  <c r="AN2090" i="3"/>
  <c r="AN970" i="3" s="1"/>
  <c r="AN1546" i="3"/>
  <c r="AN2106" i="3"/>
  <c r="AN986" i="3" s="1"/>
  <c r="AN1570" i="3"/>
  <c r="AN2130" i="3"/>
  <c r="AN1010" i="3" s="1"/>
  <c r="AN1586" i="3"/>
  <c r="AN2146" i="3"/>
  <c r="AN1026" i="3" s="1"/>
  <c r="AN1686" i="3"/>
  <c r="AN2246" i="3"/>
  <c r="AN1126" i="3" s="1"/>
  <c r="AN1710" i="3"/>
  <c r="AN1730" i="3"/>
  <c r="AN1475" i="3"/>
  <c r="AN2035" i="3"/>
  <c r="AN915" i="3" s="1"/>
  <c r="AN1491" i="3"/>
  <c r="AN2051" i="3"/>
  <c r="AN931" i="3" s="1"/>
  <c r="AN1507" i="3"/>
  <c r="AN2067" i="3"/>
  <c r="AN947" i="3" s="1"/>
  <c r="AN1539" i="3"/>
  <c r="AN2099" i="3"/>
  <c r="AN979" i="3" s="1"/>
  <c r="AN1575" i="3"/>
  <c r="AN2135" i="3"/>
  <c r="AN1015" i="3" s="1"/>
  <c r="AN1647" i="3"/>
  <c r="AN2207" i="3"/>
  <c r="AN1087" i="3" s="1"/>
  <c r="AN1687" i="3"/>
  <c r="AN2247" i="3"/>
  <c r="AN1127" i="3" s="1"/>
  <c r="AN1668" i="3"/>
  <c r="AN2228" i="3"/>
  <c r="AN1108" i="3" s="1"/>
  <c r="AN1692" i="3"/>
  <c r="AN2252" i="3"/>
  <c r="AN1132" i="3" s="1"/>
  <c r="AN1557" i="3"/>
  <c r="AN2117" i="3"/>
  <c r="AN997" i="3" s="1"/>
  <c r="AN2133" i="3"/>
  <c r="AN1013" i="3" s="1"/>
  <c r="AN1573" i="3"/>
  <c r="AN2149" i="3"/>
  <c r="AN1029" i="3" s="1"/>
  <c r="AN1589" i="3"/>
  <c r="AN1657" i="3"/>
  <c r="AN2217" i="3"/>
  <c r="AN1097" i="3" s="1"/>
  <c r="AN1717" i="3"/>
  <c r="AN1552" i="3"/>
  <c r="AN2112" i="3"/>
  <c r="AN992" i="3" s="1"/>
  <c r="AN1628" i="3"/>
  <c r="AN2188" i="3"/>
  <c r="AN1068" i="3" s="1"/>
  <c r="AN2037" i="3"/>
  <c r="AN917" i="3" s="1"/>
  <c r="AN1477" i="3"/>
  <c r="AN1493" i="3"/>
  <c r="AN2053" i="3"/>
  <c r="AN933" i="3" s="1"/>
  <c r="AN1509" i="3"/>
  <c r="AN2069" i="3"/>
  <c r="AN949" i="3" s="1"/>
  <c r="AN2101" i="3"/>
  <c r="AN981" i="3" s="1"/>
  <c r="AN1541" i="3"/>
  <c r="AN2165" i="3"/>
  <c r="AN1045" i="3" s="1"/>
  <c r="AN1605" i="3"/>
  <c r="AN1625" i="3"/>
  <c r="AN2185" i="3"/>
  <c r="AN1065" i="3" s="1"/>
  <c r="AJ1586" i="3"/>
  <c r="AJ2146" i="3"/>
  <c r="AJ1026" i="3" s="1"/>
  <c r="AJ1582" i="3"/>
  <c r="AJ2142" i="3"/>
  <c r="AJ1022" i="3" s="1"/>
  <c r="AJ1470" i="3"/>
  <c r="AJ2030" i="3"/>
  <c r="AJ910" i="3" s="1"/>
  <c r="AJ1502" i="3"/>
  <c r="AJ2062" i="3"/>
  <c r="AJ942" i="3" s="1"/>
  <c r="AJ1534" i="3"/>
  <c r="AJ2094" i="3"/>
  <c r="AJ1706" i="3"/>
  <c r="AJ1722" i="3"/>
  <c r="AJ1471" i="3"/>
  <c r="AJ2031" i="3"/>
  <c r="AJ911" i="3" s="1"/>
  <c r="AJ1503" i="3"/>
  <c r="AJ2063" i="3"/>
  <c r="AJ943" i="3" s="1"/>
  <c r="AJ1519" i="3"/>
  <c r="AJ2079" i="3"/>
  <c r="AJ959" i="3" s="1"/>
  <c r="AJ1598" i="3"/>
  <c r="AJ2158" i="3"/>
  <c r="AJ1038" i="3" s="1"/>
  <c r="AJ1630" i="3"/>
  <c r="AJ2190" i="3"/>
  <c r="AJ1070" i="3" s="1"/>
  <c r="AJ1656" i="3"/>
  <c r="AJ2216" i="3"/>
  <c r="AJ1096" i="3" s="1"/>
  <c r="AJ1676" i="3"/>
  <c r="AJ2236" i="3"/>
  <c r="AJ1116" i="3" s="1"/>
  <c r="AJ1696" i="3"/>
  <c r="AJ2256" i="3"/>
  <c r="AJ1136" i="3" s="1"/>
  <c r="AJ1657" i="3"/>
  <c r="AJ2217" i="3"/>
  <c r="AJ1097" i="3" s="1"/>
  <c r="AJ1717" i="3"/>
  <c r="AJ1606" i="3"/>
  <c r="AJ2166" i="3"/>
  <c r="AJ1046" i="3" s="1"/>
  <c r="AJ1547" i="3"/>
  <c r="AJ2107" i="3"/>
  <c r="AJ987" i="3" s="1"/>
  <c r="AJ1603" i="3"/>
  <c r="AJ2163" i="3"/>
  <c r="AJ1043" i="3" s="1"/>
  <c r="AJ1635" i="3"/>
  <c r="AJ2195" i="3"/>
  <c r="AJ1075" i="3" s="1"/>
  <c r="AJ1628" i="3"/>
  <c r="AJ2188" i="3"/>
  <c r="AJ1068" i="3" s="1"/>
  <c r="AJ2169" i="3"/>
  <c r="AJ1049" i="3" s="1"/>
  <c r="AJ1609" i="3"/>
  <c r="AJ1629" i="3"/>
  <c r="AJ2189" i="3"/>
  <c r="AJ1069" i="3" s="1"/>
  <c r="AJ1531" i="3"/>
  <c r="AJ2091" i="3"/>
  <c r="AJ971" i="3" s="1"/>
  <c r="AJ1559" i="3"/>
  <c r="AJ2119" i="3"/>
  <c r="AJ999" i="3" s="1"/>
  <c r="AJ1591" i="3"/>
  <c r="AJ2151" i="3"/>
  <c r="AJ1031" i="3" s="1"/>
  <c r="AJ1557" i="3"/>
  <c r="AJ2117" i="3"/>
  <c r="AJ997" i="3" s="1"/>
  <c r="AJ1573" i="3"/>
  <c r="AJ2133" i="3"/>
  <c r="AJ1013" i="3" s="1"/>
  <c r="AJ1589" i="3"/>
  <c r="AJ2149" i="3"/>
  <c r="AJ1029" i="3" s="1"/>
  <c r="AJ1554" i="3"/>
  <c r="AJ2114" i="3"/>
  <c r="AJ994" i="3" s="1"/>
  <c r="AJ1666" i="3"/>
  <c r="AJ2226" i="3"/>
  <c r="AJ1106" i="3" s="1"/>
  <c r="AJ1694" i="3"/>
  <c r="AJ2254" i="3"/>
  <c r="AJ1134" i="3" s="1"/>
  <c r="AJ1571" i="3"/>
  <c r="AJ2131" i="3"/>
  <c r="AJ1011" i="3" s="1"/>
  <c r="AJ1552" i="3"/>
  <c r="AJ2112" i="3"/>
  <c r="AJ992" i="3" s="1"/>
  <c r="AJ1481" i="3"/>
  <c r="AJ2041" i="3"/>
  <c r="AJ921" i="3" s="1"/>
  <c r="AJ1497" i="3"/>
  <c r="AJ2057" i="3"/>
  <c r="AJ1513" i="3"/>
  <c r="AJ2073" i="3"/>
  <c r="AJ953" i="3" s="1"/>
  <c r="AJ1529" i="3"/>
  <c r="AJ2089" i="3"/>
  <c r="AJ969" i="3" s="1"/>
  <c r="AJ1545" i="3"/>
  <c r="AJ2105" i="3"/>
  <c r="AJ985" i="3" s="1"/>
  <c r="AJ1647" i="3"/>
  <c r="AJ2207" i="3"/>
  <c r="AJ1087" i="3" s="1"/>
  <c r="AJ1556" i="3"/>
  <c r="AJ2116" i="3"/>
  <c r="AJ996" i="3" s="1"/>
  <c r="AJ1620" i="3"/>
  <c r="AJ2180" i="3"/>
  <c r="AJ1060" i="3" s="1"/>
  <c r="AJ1648" i="3"/>
  <c r="AJ2208" i="3"/>
  <c r="AJ1088" i="3" s="1"/>
  <c r="AJ1695" i="3"/>
  <c r="AJ2255" i="3"/>
  <c r="AJ1135" i="3" s="1"/>
  <c r="AJ1731" i="3"/>
  <c r="AJ1480" i="3"/>
  <c r="AJ2040" i="3"/>
  <c r="AJ920" i="3" s="1"/>
  <c r="AJ1496" i="3"/>
  <c r="AJ2056" i="3"/>
  <c r="AJ1512" i="3"/>
  <c r="AJ2072" i="3"/>
  <c r="AJ952" i="3" s="1"/>
  <c r="AJ1528" i="3"/>
  <c r="AJ2088" i="3"/>
  <c r="AJ968" i="3" s="1"/>
  <c r="AJ1544" i="3"/>
  <c r="AJ2104" i="3"/>
  <c r="AJ984" i="3" s="1"/>
  <c r="AJ1572" i="3"/>
  <c r="AJ2132" i="3"/>
  <c r="AJ1012" i="3" s="1"/>
  <c r="AJ1588" i="3"/>
  <c r="AJ2148" i="3"/>
  <c r="AJ1028" i="3" s="1"/>
  <c r="AJ1688" i="3"/>
  <c r="AJ2248" i="3"/>
  <c r="AJ1128" i="3" s="1"/>
  <c r="AJ1720" i="3"/>
  <c r="AJ1736" i="3"/>
  <c r="AJ2237" i="3"/>
  <c r="AJ1117" i="3" s="1"/>
  <c r="AJ1677" i="3"/>
  <c r="AJ1705" i="3"/>
  <c r="AJ1733" i="3"/>
  <c r="AJ1707" i="3"/>
  <c r="AJ1735" i="3"/>
  <c r="AF1603" i="3"/>
  <c r="AF2163" i="3"/>
  <c r="AF1043" i="3" s="1"/>
  <c r="AF1670" i="3"/>
  <c r="AF2230" i="3"/>
  <c r="AF1110" i="3" s="1"/>
  <c r="AF1698" i="3"/>
  <c r="AF2258" i="3"/>
  <c r="AF1138" i="3" s="1"/>
  <c r="AF1667" i="3"/>
  <c r="AF2227" i="3"/>
  <c r="AF1107" i="3" s="1"/>
  <c r="AF1610" i="3"/>
  <c r="AF2170" i="3"/>
  <c r="AF1050" i="3" s="1"/>
  <c r="AF1615" i="3"/>
  <c r="AF2175" i="3"/>
  <c r="AF1055" i="3" s="1"/>
  <c r="AF1620" i="3"/>
  <c r="AF2180" i="3"/>
  <c r="AF1060" i="3" s="1"/>
  <c r="AF1648" i="3"/>
  <c r="AF2208" i="3"/>
  <c r="AF1088" i="3" s="1"/>
  <c r="AF1470" i="3"/>
  <c r="AF2030" i="3"/>
  <c r="AF910" i="3" s="1"/>
  <c r="AF1502" i="3"/>
  <c r="AF2062" i="3"/>
  <c r="AF942" i="3" s="1"/>
  <c r="AF1534" i="3"/>
  <c r="AF2094" i="3"/>
  <c r="AF1558" i="3"/>
  <c r="AF2118" i="3"/>
  <c r="AF998" i="3" s="1"/>
  <c r="AF1574" i="3"/>
  <c r="AF2134" i="3"/>
  <c r="AF1014" i="3" s="1"/>
  <c r="AF1590" i="3"/>
  <c r="AF2150" i="3"/>
  <c r="AF1030" i="3" s="1"/>
  <c r="AF1690" i="3"/>
  <c r="AF2250" i="3"/>
  <c r="AF1130" i="3" s="1"/>
  <c r="AF1734" i="3"/>
  <c r="AF1479" i="3"/>
  <c r="AF2039" i="3"/>
  <c r="AF919" i="3" s="1"/>
  <c r="AF1495" i="3"/>
  <c r="AF2055" i="3"/>
  <c r="AF1511" i="3"/>
  <c r="AF2071" i="3"/>
  <c r="AF951" i="3" s="1"/>
  <c r="AF1527" i="3"/>
  <c r="AF2087" i="3"/>
  <c r="AF967" i="3" s="1"/>
  <c r="AF1543" i="3"/>
  <c r="AF2103" i="3"/>
  <c r="AF983" i="3" s="1"/>
  <c r="AF1583" i="3"/>
  <c r="AF2143" i="3"/>
  <c r="AF1023" i="3" s="1"/>
  <c r="AF1572" i="3"/>
  <c r="AF2132" i="3"/>
  <c r="AF1012" i="3" s="1"/>
  <c r="AF1588" i="3"/>
  <c r="AF2148" i="3"/>
  <c r="AF1028" i="3" s="1"/>
  <c r="AF1617" i="3"/>
  <c r="AF2177" i="3"/>
  <c r="AF1057" i="3" s="1"/>
  <c r="AF1579" i="3"/>
  <c r="AF2139" i="3"/>
  <c r="AF1019" i="3" s="1"/>
  <c r="AF1679" i="3"/>
  <c r="AF2239" i="3"/>
  <c r="AF1119" i="3" s="1"/>
  <c r="AF1598" i="3"/>
  <c r="AF2158" i="3"/>
  <c r="AF1038" i="3" s="1"/>
  <c r="AF1630" i="3"/>
  <c r="AF2190" i="3"/>
  <c r="AF1070" i="3" s="1"/>
  <c r="AF1611" i="3"/>
  <c r="AF2171" i="3"/>
  <c r="AF1051" i="3" s="1"/>
  <c r="AF1695" i="3"/>
  <c r="AF2255" i="3"/>
  <c r="AF1135" i="3" s="1"/>
  <c r="AF1731" i="3"/>
  <c r="AF1480" i="3"/>
  <c r="AF2040" i="3"/>
  <c r="AF920" i="3" s="1"/>
  <c r="AF1496" i="3"/>
  <c r="AF2056" i="3"/>
  <c r="AF1512" i="3"/>
  <c r="AF2072" i="3"/>
  <c r="AF952" i="3" s="1"/>
  <c r="AF1528" i="3"/>
  <c r="AF2088" i="3"/>
  <c r="AF968" i="3" s="1"/>
  <c r="AF1544" i="3"/>
  <c r="AF2104" i="3"/>
  <c r="AF984" i="3" s="1"/>
  <c r="AF1712" i="3"/>
  <c r="AF1728" i="3"/>
  <c r="AF1681" i="3"/>
  <c r="AF2241" i="3"/>
  <c r="AF1121" i="3" s="1"/>
  <c r="AF1709" i="3"/>
  <c r="AF1737" i="3"/>
  <c r="AF1711" i="3"/>
  <c r="AF1552" i="3"/>
  <c r="AF2112" i="3"/>
  <c r="AF992" i="3" s="1"/>
  <c r="AF1628" i="3"/>
  <c r="AF2188" i="3"/>
  <c r="AF1068" i="3" s="1"/>
  <c r="AF1477" i="3"/>
  <c r="AF2037" i="3"/>
  <c r="AF917" i="3" s="1"/>
  <c r="AF1493" i="3"/>
  <c r="AF2053" i="3"/>
  <c r="AF933" i="3" s="1"/>
  <c r="AF1509" i="3"/>
  <c r="AF2069" i="3"/>
  <c r="AF949" i="3" s="1"/>
  <c r="AF2101" i="3"/>
  <c r="AF981" i="3" s="1"/>
  <c r="AF1541" i="3"/>
  <c r="AF1261" i="3" s="1"/>
  <c r="AF2165" i="3"/>
  <c r="AF1045" i="3" s="1"/>
  <c r="AF1605" i="3"/>
  <c r="AF1625" i="3"/>
  <c r="AF2185" i="3"/>
  <c r="AF1065" i="3" s="1"/>
  <c r="AF1664" i="3"/>
  <c r="AF2224" i="3"/>
  <c r="AF1104" i="3" s="1"/>
  <c r="AF1684" i="3"/>
  <c r="AF2244" i="3"/>
  <c r="AF1124" i="3" s="1"/>
  <c r="AF1708" i="3"/>
  <c r="AF1428" i="3" s="1"/>
  <c r="AF2129" i="3"/>
  <c r="AF1009" i="3" s="1"/>
  <c r="AF1569" i="3"/>
  <c r="AF1585" i="3"/>
  <c r="AF2145" i="3"/>
  <c r="AF1025" i="3" s="1"/>
  <c r="AF2229" i="3"/>
  <c r="AF1109" i="3" s="1"/>
  <c r="AF1669" i="3"/>
  <c r="AF1389" i="3" s="1"/>
  <c r="AF2261" i="3"/>
  <c r="AF1141" i="3" s="1"/>
  <c r="AF1701" i="3"/>
  <c r="AF1691" i="3"/>
  <c r="AF2251" i="3"/>
  <c r="AF1131" i="3" s="1"/>
  <c r="X1670" i="3"/>
  <c r="X2230" i="3"/>
  <c r="X1110" i="3" s="1"/>
  <c r="X1579" i="3"/>
  <c r="X2139" i="3"/>
  <c r="X1019" i="3" s="1"/>
  <c r="X1596" i="3"/>
  <c r="X2156" i="3"/>
  <c r="X1036" i="3" s="1"/>
  <c r="X1626" i="3"/>
  <c r="X2186" i="3"/>
  <c r="X1066" i="3" s="1"/>
  <c r="X1550" i="3"/>
  <c r="X2110" i="3"/>
  <c r="X990" i="3" s="1"/>
  <c r="X1588" i="3"/>
  <c r="X2148" i="3"/>
  <c r="X1028" i="3" s="1"/>
  <c r="X1598" i="3"/>
  <c r="X2158" i="3"/>
  <c r="X1038" i="3" s="1"/>
  <c r="X1630" i="3"/>
  <c r="X2190" i="3"/>
  <c r="X1070" i="3" s="1"/>
  <c r="X1555" i="3"/>
  <c r="X2115" i="3"/>
  <c r="X995" i="3" s="1"/>
  <c r="X1615" i="3"/>
  <c r="X2175" i="3"/>
  <c r="X1055" i="3" s="1"/>
  <c r="X1468" i="3"/>
  <c r="X2028" i="3"/>
  <c r="X908" i="3" s="1"/>
  <c r="X1484" i="3"/>
  <c r="X2044" i="3"/>
  <c r="X924" i="3" s="1"/>
  <c r="X1500" i="3"/>
  <c r="X2060" i="3"/>
  <c r="X940" i="3" s="1"/>
  <c r="X1532" i="3"/>
  <c r="X2092" i="3"/>
  <c r="X972" i="3" s="1"/>
  <c r="X1732" i="3"/>
  <c r="X1452" i="3" s="1"/>
  <c r="X1693" i="3"/>
  <c r="X2253" i="3"/>
  <c r="X1133" i="3" s="1"/>
  <c r="X1719" i="3"/>
  <c r="X1502" i="3"/>
  <c r="X2062" i="3"/>
  <c r="X942" i="3" s="1"/>
  <c r="X1574" i="3"/>
  <c r="X2134" i="3"/>
  <c r="X1014" i="3" s="1"/>
  <c r="X1590" i="3"/>
  <c r="X2150" i="3"/>
  <c r="X1030" i="3" s="1"/>
  <c r="X1690" i="3"/>
  <c r="X2250" i="3"/>
  <c r="X1130" i="3" s="1"/>
  <c r="X1734" i="3"/>
  <c r="X1511" i="3"/>
  <c r="X2071" i="3"/>
  <c r="X951" i="3" s="1"/>
  <c r="X1527" i="3"/>
  <c r="X2087" i="3"/>
  <c r="X967" i="3" s="1"/>
  <c r="X1543" i="3"/>
  <c r="X2103" i="3"/>
  <c r="X983" i="3" s="1"/>
  <c r="X1583" i="3"/>
  <c r="X2143" i="3"/>
  <c r="X1023" i="3" s="1"/>
  <c r="X1616" i="3"/>
  <c r="X2176" i="3"/>
  <c r="X1056" i="3" s="1"/>
  <c r="X1687" i="3"/>
  <c r="X2247" i="3"/>
  <c r="X1127" i="3" s="1"/>
  <c r="X1668" i="3"/>
  <c r="X2228" i="3"/>
  <c r="X1108" i="3" s="1"/>
  <c r="X1692" i="3"/>
  <c r="X2252" i="3"/>
  <c r="X1132" i="3" s="1"/>
  <c r="X2133" i="3"/>
  <c r="X1013" i="3" s="1"/>
  <c r="X1573" i="3"/>
  <c r="X1589" i="3"/>
  <c r="X2149" i="3"/>
  <c r="X1029" i="3" s="1"/>
  <c r="X1657" i="3"/>
  <c r="X2217" i="3"/>
  <c r="X1097" i="3" s="1"/>
  <c r="X1717" i="3"/>
  <c r="X1552" i="3"/>
  <c r="X2112" i="3"/>
  <c r="X992" i="3" s="1"/>
  <c r="X1628" i="3"/>
  <c r="X2188" i="3"/>
  <c r="X1068" i="3" s="1"/>
  <c r="X1493" i="3"/>
  <c r="X2053" i="3"/>
  <c r="X933" i="3" s="1"/>
  <c r="X1541" i="3"/>
  <c r="X2101" i="3"/>
  <c r="X981" i="3" s="1"/>
  <c r="X1605" i="3"/>
  <c r="X2165" i="3"/>
  <c r="X1045" i="3" s="1"/>
  <c r="X1625" i="3"/>
  <c r="X2185" i="3"/>
  <c r="X1065" i="3" s="1"/>
  <c r="T1506" i="3"/>
  <c r="T2066" i="3"/>
  <c r="T946" i="3" s="1"/>
  <c r="T1722" i="3"/>
  <c r="T1494" i="3"/>
  <c r="T2054" i="3"/>
  <c r="T934" i="3" s="1"/>
  <c r="T1514" i="3"/>
  <c r="T2074" i="3"/>
  <c r="T954" i="3" s="1"/>
  <c r="T1706" i="3"/>
  <c r="T1730" i="3"/>
  <c r="T1734" i="3"/>
  <c r="T1519" i="3"/>
  <c r="T2079" i="3"/>
  <c r="T959" i="3" s="1"/>
  <c r="T1598" i="3"/>
  <c r="T2158" i="3"/>
  <c r="T1038" i="3" s="1"/>
  <c r="T1630" i="3"/>
  <c r="T2190" i="3"/>
  <c r="T1070" i="3" s="1"/>
  <c r="T2126" i="3"/>
  <c r="T1006" i="3" s="1"/>
  <c r="T1566" i="3"/>
  <c r="T1582" i="3"/>
  <c r="T2142" i="3"/>
  <c r="T1022" i="3" s="1"/>
  <c r="T1607" i="3"/>
  <c r="T2167" i="3"/>
  <c r="T1047" i="3" s="1"/>
  <c r="T1561" i="3"/>
  <c r="T2121" i="3"/>
  <c r="T1001" i="3" s="1"/>
  <c r="T1595" i="3"/>
  <c r="T2155" i="3"/>
  <c r="T1035" i="3" s="1"/>
  <c r="T1619" i="3"/>
  <c r="T2179" i="3"/>
  <c r="T1059" i="3" s="1"/>
  <c r="T1552" i="3"/>
  <c r="T2112" i="3"/>
  <c r="T992" i="3" s="1"/>
  <c r="T1481" i="3"/>
  <c r="T2041" i="3"/>
  <c r="T921" i="3" s="1"/>
  <c r="T2073" i="3"/>
  <c r="T953" i="3" s="1"/>
  <c r="T1513" i="3"/>
  <c r="T1529" i="3"/>
  <c r="T2089" i="3"/>
  <c r="T969" i="3" s="1"/>
  <c r="T1539" i="3"/>
  <c r="T2099" i="3"/>
  <c r="T979" i="3" s="1"/>
  <c r="T1656" i="3"/>
  <c r="T2216" i="3"/>
  <c r="T1096" i="3" s="1"/>
  <c r="T1676" i="3"/>
  <c r="T2236" i="3"/>
  <c r="T1116" i="3" s="1"/>
  <c r="T1657" i="3"/>
  <c r="T2217" i="3"/>
  <c r="T1097" i="3" s="1"/>
  <c r="T1717" i="3"/>
  <c r="T1550" i="3"/>
  <c r="T2110" i="3"/>
  <c r="T990" i="3" s="1"/>
  <c r="T1662" i="3"/>
  <c r="T2222" i="3"/>
  <c r="T1102" i="3" s="1"/>
  <c r="T1682" i="3"/>
  <c r="T2242" i="3"/>
  <c r="T1122" i="3" s="1"/>
  <c r="T1563" i="3"/>
  <c r="T2123" i="3"/>
  <c r="T1003" i="3" s="1"/>
  <c r="T1655" i="3"/>
  <c r="T2215" i="3"/>
  <c r="T1095" i="3" s="1"/>
  <c r="T2157" i="3"/>
  <c r="T1037" i="3" s="1"/>
  <c r="T1597" i="3"/>
  <c r="T1647" i="3"/>
  <c r="T2207" i="3"/>
  <c r="T1087" i="3" s="1"/>
  <c r="T1556" i="3"/>
  <c r="T2116" i="3"/>
  <c r="T996" i="3" s="1"/>
  <c r="T1620" i="3"/>
  <c r="T2180" i="3"/>
  <c r="T1060" i="3" s="1"/>
  <c r="T2208" i="3"/>
  <c r="T1088" i="3" s="1"/>
  <c r="T1648" i="3"/>
  <c r="T1731" i="3"/>
  <c r="T2072" i="3"/>
  <c r="T952" i="3" s="1"/>
  <c r="T1512" i="3"/>
  <c r="T1528" i="3"/>
  <c r="T2088" i="3"/>
  <c r="T968" i="3" s="1"/>
  <c r="T1544" i="3"/>
  <c r="T2104" i="3"/>
  <c r="T984" i="3" s="1"/>
  <c r="T1572" i="3"/>
  <c r="T2132" i="3"/>
  <c r="T1012" i="3" s="1"/>
  <c r="T1588" i="3"/>
  <c r="T2148" i="3"/>
  <c r="T1028" i="3" s="1"/>
  <c r="T1688" i="3"/>
  <c r="T2248" i="3"/>
  <c r="T1128" i="3" s="1"/>
  <c r="T1720" i="3"/>
  <c r="T1736" i="3"/>
  <c r="T2237" i="3"/>
  <c r="T1117" i="3" s="1"/>
  <c r="T1677" i="3"/>
  <c r="T1705" i="3"/>
  <c r="T1733" i="3"/>
  <c r="T1707" i="3"/>
  <c r="T1735" i="3"/>
  <c r="P1726" i="3"/>
  <c r="P1682" i="3"/>
  <c r="P2242" i="3"/>
  <c r="P1122" i="3" s="1"/>
  <c r="P1619" i="3"/>
  <c r="P2179" i="3"/>
  <c r="P1059" i="3" s="1"/>
  <c r="P1555" i="3"/>
  <c r="P2115" i="3"/>
  <c r="P995" i="3" s="1"/>
  <c r="P1599" i="3"/>
  <c r="P2159" i="3"/>
  <c r="P1039" i="3" s="1"/>
  <c r="P1556" i="3"/>
  <c r="P2116" i="3"/>
  <c r="P996" i="3" s="1"/>
  <c r="P1474" i="3"/>
  <c r="P2034" i="3"/>
  <c r="P914" i="3" s="1"/>
  <c r="P1490" i="3"/>
  <c r="P2050" i="3"/>
  <c r="P930" i="3" s="1"/>
  <c r="P1506" i="3"/>
  <c r="P2066" i="3"/>
  <c r="P946" i="3" s="1"/>
  <c r="P1522" i="3"/>
  <c r="P2082" i="3"/>
  <c r="P962" i="3" s="1"/>
  <c r="P1538" i="3"/>
  <c r="P2098" i="3"/>
  <c r="P978" i="3" s="1"/>
  <c r="P1562" i="3"/>
  <c r="P2122" i="3"/>
  <c r="P1002" i="3" s="1"/>
  <c r="P1718" i="3"/>
  <c r="P1467" i="3"/>
  <c r="P2027" i="3"/>
  <c r="P907" i="3" s="1"/>
  <c r="P1483" i="3"/>
  <c r="P2043" i="3"/>
  <c r="P923" i="3" s="1"/>
  <c r="P1499" i="3"/>
  <c r="P2059" i="3"/>
  <c r="P939" i="3" s="1"/>
  <c r="P1531" i="3"/>
  <c r="P2091" i="3"/>
  <c r="P971" i="3" s="1"/>
  <c r="P1731" i="3"/>
  <c r="P1451" i="3" s="1"/>
  <c r="P1512" i="3"/>
  <c r="P2072" i="3"/>
  <c r="P952" i="3" s="1"/>
  <c r="P1528" i="3"/>
  <c r="P2088" i="3"/>
  <c r="P968" i="3" s="1"/>
  <c r="P1544" i="3"/>
  <c r="P2104" i="3"/>
  <c r="P984" i="3" s="1"/>
  <c r="P1712" i="3"/>
  <c r="P1728" i="3"/>
  <c r="P1681" i="3"/>
  <c r="P2241" i="3"/>
  <c r="P1121" i="3" s="1"/>
  <c r="P1709" i="3"/>
  <c r="P1737" i="3"/>
  <c r="P1457" i="3" s="1"/>
  <c r="P1711" i="3"/>
  <c r="P1563" i="3"/>
  <c r="P2123" i="3"/>
  <c r="P1003" i="3" s="1"/>
  <c r="P1655" i="3"/>
  <c r="P2215" i="3"/>
  <c r="P1095" i="3" s="1"/>
  <c r="P1640" i="3"/>
  <c r="P2200" i="3"/>
  <c r="P1080" i="3" s="1"/>
  <c r="P1649" i="3"/>
  <c r="P2209" i="3"/>
  <c r="P1089" i="3" s="1"/>
  <c r="P1618" i="3"/>
  <c r="P2178" i="3"/>
  <c r="P1058" i="3" s="1"/>
  <c r="P1642" i="3"/>
  <c r="P2202" i="3"/>
  <c r="P1082" i="3" s="1"/>
  <c r="P1607" i="3"/>
  <c r="P2167" i="3"/>
  <c r="P1047" i="3" s="1"/>
  <c r="P1639" i="3"/>
  <c r="P2199" i="3"/>
  <c r="P1079" i="3" s="1"/>
  <c r="P1564" i="3"/>
  <c r="P2124" i="3"/>
  <c r="P1004" i="3" s="1"/>
  <c r="P1580" i="3"/>
  <c r="P2140" i="3"/>
  <c r="P1020" i="3" s="1"/>
  <c r="P1596" i="3"/>
  <c r="P2156" i="3"/>
  <c r="P1036" i="3" s="1"/>
  <c r="P1552" i="3"/>
  <c r="P2112" i="3"/>
  <c r="P992" i="3" s="1"/>
  <c r="P1628" i="3"/>
  <c r="P2188" i="3"/>
  <c r="P1068" i="3" s="1"/>
  <c r="P1493" i="3"/>
  <c r="P2053" i="3"/>
  <c r="P933" i="3" s="1"/>
  <c r="P1541" i="3"/>
  <c r="P2101" i="3"/>
  <c r="P981" i="3" s="1"/>
  <c r="P1605" i="3"/>
  <c r="P2165" i="3"/>
  <c r="P1045" i="3" s="1"/>
  <c r="P1625" i="3"/>
  <c r="P2185" i="3"/>
  <c r="P1065" i="3" s="1"/>
  <c r="P1713" i="3"/>
  <c r="P1708" i="3"/>
  <c r="P1569" i="3"/>
  <c r="P2129" i="3"/>
  <c r="P1009" i="3" s="1"/>
  <c r="P1585" i="3"/>
  <c r="P2145" i="3"/>
  <c r="P1025" i="3" s="1"/>
  <c r="P1669" i="3"/>
  <c r="P2229" i="3"/>
  <c r="P1109" i="3" s="1"/>
  <c r="P1691" i="3"/>
  <c r="P2251" i="3"/>
  <c r="P1131" i="3" s="1"/>
  <c r="AX1578" i="3"/>
  <c r="AX2138" i="3"/>
  <c r="AX1018" i="3" s="1"/>
  <c r="AX1562" i="3"/>
  <c r="AX2122" i="3"/>
  <c r="AX1002" i="3" s="1"/>
  <c r="AX1718" i="3"/>
  <c r="AX1634" i="3"/>
  <c r="AX2194" i="3"/>
  <c r="AX1074" i="3" s="1"/>
  <c r="AX1606" i="3"/>
  <c r="AX2166" i="3"/>
  <c r="AX1046" i="3" s="1"/>
  <c r="AX1566" i="3"/>
  <c r="AX2126" i="3"/>
  <c r="AX1006" i="3" s="1"/>
  <c r="AX1710" i="3"/>
  <c r="AX1478" i="3"/>
  <c r="AX2038" i="3"/>
  <c r="AX918" i="3" s="1"/>
  <c r="AX1494" i="3"/>
  <c r="AX2054" i="3"/>
  <c r="AX934" i="3" s="1"/>
  <c r="AX1510" i="3"/>
  <c r="AX2070" i="3"/>
  <c r="AX950" i="3" s="1"/>
  <c r="AX1542" i="3"/>
  <c r="AX2102" i="3"/>
  <c r="AX982" i="3" s="1"/>
  <c r="AX1647" i="3"/>
  <c r="AX2207" i="3"/>
  <c r="AX1087" i="3" s="1"/>
  <c r="AX1614" i="3"/>
  <c r="AX2174" i="3"/>
  <c r="AX1054" i="3" s="1"/>
  <c r="AX1642" i="3"/>
  <c r="AX2202" i="3"/>
  <c r="AX1082" i="3" s="1"/>
  <c r="AX1603" i="3"/>
  <c r="AX2163" i="3"/>
  <c r="AX1043" i="3" s="1"/>
  <c r="AX1600" i="3"/>
  <c r="AX2160" i="3"/>
  <c r="AX1040" i="3" s="1"/>
  <c r="AX1632" i="3"/>
  <c r="AX2192" i="3"/>
  <c r="AX1072" i="3" s="1"/>
  <c r="AX1559" i="3"/>
  <c r="AX2119" i="3"/>
  <c r="AX999" i="3" s="1"/>
  <c r="AX1575" i="3"/>
  <c r="AX2135" i="3"/>
  <c r="AX1015" i="3" s="1"/>
  <c r="AX1591" i="3"/>
  <c r="AX2151" i="3"/>
  <c r="AX1031" i="3" s="1"/>
  <c r="AX1627" i="3"/>
  <c r="AX2187" i="3"/>
  <c r="AX1067" i="3" s="1"/>
  <c r="AX1687" i="3"/>
  <c r="AX2247" i="3"/>
  <c r="AX1127" i="3" s="1"/>
  <c r="AX1468" i="3"/>
  <c r="AX2028" i="3"/>
  <c r="AX908" i="3" s="1"/>
  <c r="AX1484" i="3"/>
  <c r="AX2044" i="3"/>
  <c r="AX924" i="3" s="1"/>
  <c r="AX1500" i="3"/>
  <c r="AX2060" i="3"/>
  <c r="AX940" i="3" s="1"/>
  <c r="AX1532" i="3"/>
  <c r="AX2092" i="3"/>
  <c r="AX972" i="3" s="1"/>
  <c r="AX1552" i="3"/>
  <c r="AX2112" i="3"/>
  <c r="AX992" i="3" s="1"/>
  <c r="AX1676" i="3"/>
  <c r="AX2236" i="3"/>
  <c r="AX1116" i="3" s="1"/>
  <c r="AX1704" i="3"/>
  <c r="AX2264" i="3"/>
  <c r="AX1144" i="3" s="1"/>
  <c r="AX1477" i="3"/>
  <c r="AX2037" i="3"/>
  <c r="AX917" i="3" s="1"/>
  <c r="AX1493" i="3"/>
  <c r="AX2053" i="3"/>
  <c r="AX933" i="3" s="1"/>
  <c r="AX1509" i="3"/>
  <c r="AX2069" i="3"/>
  <c r="AX949" i="3" s="1"/>
  <c r="AX1541" i="3"/>
  <c r="AX2101" i="3"/>
  <c r="AX981" i="3" s="1"/>
  <c r="AX1561" i="3"/>
  <c r="AX2121" i="3"/>
  <c r="AX1001" i="3" s="1"/>
  <c r="AX1593" i="3"/>
  <c r="AX2153" i="3"/>
  <c r="AX1033" i="3" s="1"/>
  <c r="AX1677" i="3"/>
  <c r="AX2237" i="3"/>
  <c r="AX1117" i="3" s="1"/>
  <c r="AX1701" i="3"/>
  <c r="AX2261" i="3"/>
  <c r="AX1141" i="3" s="1"/>
  <c r="AX1675" i="3"/>
  <c r="AX2235" i="3"/>
  <c r="AX1115" i="3" s="1"/>
  <c r="AX1678" i="3"/>
  <c r="AX2238" i="3"/>
  <c r="AX1118" i="3" s="1"/>
  <c r="AX1706" i="3"/>
  <c r="AX1475" i="3"/>
  <c r="AX2035" i="3"/>
  <c r="AX915" i="3" s="1"/>
  <c r="AX1491" i="3"/>
  <c r="AX2051" i="3"/>
  <c r="AX931" i="3" s="1"/>
  <c r="AX1507" i="3"/>
  <c r="AX2067" i="3"/>
  <c r="AX947" i="3" s="1"/>
  <c r="AX1539" i="3"/>
  <c r="AX2099" i="3"/>
  <c r="AX979" i="3" s="1"/>
  <c r="AX1649" i="3"/>
  <c r="AX2209" i="3"/>
  <c r="AX1089" i="3" s="1"/>
  <c r="AX1663" i="3"/>
  <c r="AX2223" i="3"/>
  <c r="AX1103" i="3" s="1"/>
  <c r="AX1660" i="3"/>
  <c r="AX2220" i="3"/>
  <c r="AX1100" i="3" s="1"/>
  <c r="AX1665" i="3"/>
  <c r="AX2225" i="3"/>
  <c r="AX1105" i="3" s="1"/>
  <c r="AX1731" i="3"/>
  <c r="AX1568" i="3"/>
  <c r="AX2128" i="3"/>
  <c r="AX1008" i="3" s="1"/>
  <c r="AX1584" i="3"/>
  <c r="AX2144" i="3"/>
  <c r="AX1024" i="3" s="1"/>
  <c r="AX1604" i="3"/>
  <c r="AX2164" i="3"/>
  <c r="AX1044" i="3" s="1"/>
  <c r="AX1636" i="3"/>
  <c r="AX2196" i="3"/>
  <c r="AX1076" i="3" s="1"/>
  <c r="AX1732" i="3"/>
  <c r="AX1573" i="3"/>
  <c r="AX2133" i="3"/>
  <c r="AX1013" i="3" s="1"/>
  <c r="AX1601" i="3"/>
  <c r="AX2161" i="3"/>
  <c r="AX1041" i="3" s="1"/>
  <c r="AX1625" i="3"/>
  <c r="AX2185" i="3"/>
  <c r="AX1065" i="3" s="1"/>
  <c r="AX1641" i="3"/>
  <c r="AX2201" i="3"/>
  <c r="AX1081" i="3" s="1"/>
  <c r="AX1705" i="3"/>
  <c r="AX1425" i="3" s="1"/>
  <c r="AX1733" i="3"/>
  <c r="AX1711" i="3"/>
  <c r="AX1431" i="3" s="1"/>
  <c r="AT1682" i="3"/>
  <c r="AT2242" i="3"/>
  <c r="AT1122" i="3" s="1"/>
  <c r="AT1483" i="3"/>
  <c r="AT2043" i="3"/>
  <c r="AT923" i="3" s="1"/>
  <c r="AT1495" i="3"/>
  <c r="AT2055" i="3"/>
  <c r="AT1499" i="3"/>
  <c r="AT2059" i="3"/>
  <c r="AT939" i="3" s="1"/>
  <c r="AT1471" i="3"/>
  <c r="AT2031" i="3"/>
  <c r="AT911" i="3" s="1"/>
  <c r="AT1678" i="3"/>
  <c r="AT2238" i="3"/>
  <c r="AT1118" i="3" s="1"/>
  <c r="AT1491" i="3"/>
  <c r="AT2051" i="3"/>
  <c r="AT931" i="3" s="1"/>
  <c r="AT1642" i="3"/>
  <c r="AT2202" i="3"/>
  <c r="AT1082" i="3" s="1"/>
  <c r="AT1623" i="3"/>
  <c r="AT2183" i="3"/>
  <c r="AT1063" i="3" s="1"/>
  <c r="AT1626" i="3"/>
  <c r="AT2186" i="3"/>
  <c r="AT1066" i="3" s="1"/>
  <c r="AT1619" i="3"/>
  <c r="AT2179" i="3"/>
  <c r="AT1059" i="3" s="1"/>
  <c r="AT1566" i="3"/>
  <c r="AT2126" i="3"/>
  <c r="AT1006" i="3" s="1"/>
  <c r="AT1582" i="3"/>
  <c r="AT2142" i="3"/>
  <c r="AT1022" i="3" s="1"/>
  <c r="AT1602" i="3"/>
  <c r="AT2162" i="3"/>
  <c r="AT1042" i="3" s="1"/>
  <c r="AT1634" i="3"/>
  <c r="AT2194" i="3"/>
  <c r="AT1074" i="3" s="1"/>
  <c r="AT1710" i="3"/>
  <c r="AT1730" i="3"/>
  <c r="AT1563" i="3"/>
  <c r="AT2123" i="3"/>
  <c r="AT1003" i="3" s="1"/>
  <c r="AT1579" i="3"/>
  <c r="AT2139" i="3"/>
  <c r="AT1019" i="3" s="1"/>
  <c r="AT1599" i="3"/>
  <c r="AT2159" i="3"/>
  <c r="AT1039" i="3" s="1"/>
  <c r="AT1631" i="3"/>
  <c r="AT2191" i="3"/>
  <c r="AT1071" i="3" s="1"/>
  <c r="AT1703" i="3"/>
  <c r="AT2263" i="3"/>
  <c r="AT1143" i="3" s="1"/>
  <c r="AT1564" i="3"/>
  <c r="AT2124" i="3"/>
  <c r="AT1004" i="3" s="1"/>
  <c r="AT1580" i="3"/>
  <c r="AT2140" i="3"/>
  <c r="AT1020" i="3" s="1"/>
  <c r="AT1596" i="3"/>
  <c r="AT2156" i="3"/>
  <c r="AT1036" i="3" s="1"/>
  <c r="AT1624" i="3"/>
  <c r="AT2184" i="3"/>
  <c r="AT1064" i="3" s="1"/>
  <c r="AT1732" i="3"/>
  <c r="AT1452" i="3" s="1"/>
  <c r="AT612" i="3" s="1"/>
  <c r="AT1573" i="3"/>
  <c r="AT2133" i="3"/>
  <c r="AT1013" i="3" s="1"/>
  <c r="AT1601" i="3"/>
  <c r="AT2161" i="3"/>
  <c r="AT1041" i="3" s="1"/>
  <c r="AT1625" i="3"/>
  <c r="AT2185" i="3"/>
  <c r="AT1065" i="3" s="1"/>
  <c r="AT1697" i="3"/>
  <c r="AT2257" i="3"/>
  <c r="AT1137" i="3" s="1"/>
  <c r="AT1729" i="3"/>
  <c r="AT1707" i="3"/>
  <c r="AT1427" i="3" s="1"/>
  <c r="AT1735" i="3"/>
  <c r="AT1543" i="3"/>
  <c r="AT2103" i="3"/>
  <c r="AT983" i="3" s="1"/>
  <c r="AT1684" i="3"/>
  <c r="AT2244" i="3"/>
  <c r="AT1124" i="3" s="1"/>
  <c r="AT1669" i="3"/>
  <c r="AT2229" i="3"/>
  <c r="AT1109" i="3" s="1"/>
  <c r="AT1478" i="3"/>
  <c r="AT2038" i="3"/>
  <c r="AT918" i="3" s="1"/>
  <c r="AT1494" i="3"/>
  <c r="AT2054" i="3"/>
  <c r="AT934" i="3" s="1"/>
  <c r="AT1510" i="3"/>
  <c r="AT2070" i="3"/>
  <c r="AT950" i="3" s="1"/>
  <c r="AT1542" i="3"/>
  <c r="AT2102" i="3"/>
  <c r="AT982" i="3" s="1"/>
  <c r="AT1655" i="3"/>
  <c r="AT2215" i="3"/>
  <c r="AT1095" i="3" s="1"/>
  <c r="AT1641" i="3"/>
  <c r="AT2201" i="3"/>
  <c r="AT1081" i="3" s="1"/>
  <c r="AT1667" i="3"/>
  <c r="AT2227" i="3"/>
  <c r="AT1107" i="3" s="1"/>
  <c r="AT1628" i="3"/>
  <c r="AT2188" i="3"/>
  <c r="AT1068" i="3" s="1"/>
  <c r="AT1649" i="3"/>
  <c r="AT2209" i="3"/>
  <c r="AT1089" i="3" s="1"/>
  <c r="AT1723" i="3"/>
  <c r="AT1480" i="3"/>
  <c r="AT2040" i="3"/>
  <c r="AT920" i="3" s="1"/>
  <c r="AT1496" i="3"/>
  <c r="AT2056" i="3"/>
  <c r="AT1512" i="3"/>
  <c r="AT2072" i="3"/>
  <c r="AT952" i="3" s="1"/>
  <c r="AT1528" i="3"/>
  <c r="AT2088" i="3"/>
  <c r="AT968" i="3" s="1"/>
  <c r="AT1544" i="3"/>
  <c r="AT2104" i="3"/>
  <c r="AT984" i="3" s="1"/>
  <c r="AT1668" i="3"/>
  <c r="AT2228" i="3"/>
  <c r="AT1108" i="3" s="1"/>
  <c r="AT1696" i="3"/>
  <c r="AT2256" i="3"/>
  <c r="AT1136" i="3" s="1"/>
  <c r="AT1473" i="3"/>
  <c r="AT2033" i="3"/>
  <c r="AT913" i="3" s="1"/>
  <c r="AT2049" i="3"/>
  <c r="AT929" i="3" s="1"/>
  <c r="AT1489" i="3"/>
  <c r="AT1209" i="3" s="1"/>
  <c r="AT1505" i="3"/>
  <c r="AT2065" i="3"/>
  <c r="AT945" i="3" s="1"/>
  <c r="AT1521" i="3"/>
  <c r="AT2081" i="3"/>
  <c r="AT961" i="3" s="1"/>
  <c r="AT1537" i="3"/>
  <c r="AT2097" i="3"/>
  <c r="AT977" i="3" s="1"/>
  <c r="AT1553" i="3"/>
  <c r="AT2113" i="3"/>
  <c r="AT993" i="3" s="1"/>
  <c r="AT1585" i="3"/>
  <c r="AT2145" i="3"/>
  <c r="AT1025" i="3" s="1"/>
  <c r="AT1689" i="3"/>
  <c r="AT2249" i="3"/>
  <c r="AT1129" i="3" s="1"/>
  <c r="AT1721" i="3"/>
  <c r="AP1470" i="3"/>
  <c r="AP2030" i="3"/>
  <c r="AP910" i="3" s="1"/>
  <c r="AP1494" i="3"/>
  <c r="AP2054" i="3"/>
  <c r="AP934" i="3" s="1"/>
  <c r="AP1466" i="3"/>
  <c r="AP2026" i="3"/>
  <c r="AP906" i="3" s="1"/>
  <c r="AP1530" i="3"/>
  <c r="AP2090" i="3"/>
  <c r="AP970" i="3" s="1"/>
  <c r="AP1490" i="3"/>
  <c r="AP2050" i="3"/>
  <c r="AP930" i="3" s="1"/>
  <c r="AP1534" i="3"/>
  <c r="AP2094" i="3"/>
  <c r="AP1551" i="3"/>
  <c r="AP2111" i="3"/>
  <c r="AP991" i="3" s="1"/>
  <c r="AP1583" i="3"/>
  <c r="AP2143" i="3"/>
  <c r="AP1023" i="3" s="1"/>
  <c r="AP1631" i="3"/>
  <c r="AP2191" i="3"/>
  <c r="AP1071" i="3" s="1"/>
  <c r="AP1566" i="3"/>
  <c r="AP2126" i="3"/>
  <c r="AP1006" i="3" s="1"/>
  <c r="AP1582" i="3"/>
  <c r="AP2142" i="3"/>
  <c r="AP1022" i="3" s="1"/>
  <c r="AP1602" i="3"/>
  <c r="AP2162" i="3"/>
  <c r="AP1042" i="3" s="1"/>
  <c r="AP1634" i="3"/>
  <c r="AP2194" i="3"/>
  <c r="AP1074" i="3" s="1"/>
  <c r="AP1710" i="3"/>
  <c r="AP1730" i="3"/>
  <c r="AP1579" i="3"/>
  <c r="AP2139" i="3"/>
  <c r="AP1019" i="3" s="1"/>
  <c r="AP1628" i="3"/>
  <c r="AP2188" i="3"/>
  <c r="AP1068" i="3" s="1"/>
  <c r="AP1550" i="3"/>
  <c r="AP2110" i="3"/>
  <c r="AP990" i="3" s="1"/>
  <c r="AP1698" i="3"/>
  <c r="AP2258" i="3"/>
  <c r="AP1138" i="3" s="1"/>
  <c r="AP1471" i="3"/>
  <c r="AP2031" i="3"/>
  <c r="AP911" i="3" s="1"/>
  <c r="AP1503" i="3"/>
  <c r="AP2063" i="3"/>
  <c r="AP943" i="3" s="1"/>
  <c r="AP1519" i="3"/>
  <c r="AP2079" i="3"/>
  <c r="AP959" i="3" s="1"/>
  <c r="AP1535" i="3"/>
  <c r="AP2095" i="3"/>
  <c r="AP1555" i="3"/>
  <c r="AP2115" i="3"/>
  <c r="AP995" i="3" s="1"/>
  <c r="AP1695" i="3"/>
  <c r="AP2255" i="3"/>
  <c r="AP1135" i="3" s="1"/>
  <c r="AP1472" i="3"/>
  <c r="AP2032" i="3"/>
  <c r="AP912" i="3" s="1"/>
  <c r="AP1504" i="3"/>
  <c r="AP2064" i="3"/>
  <c r="AP944" i="3" s="1"/>
  <c r="AP1520" i="3"/>
  <c r="AP2080" i="3"/>
  <c r="AP960" i="3" s="1"/>
  <c r="AP1536" i="3"/>
  <c r="AP2096" i="3"/>
  <c r="AP1556" i="3"/>
  <c r="AP2116" i="3"/>
  <c r="AP996" i="3" s="1"/>
  <c r="AP1680" i="3"/>
  <c r="AP2240" i="3"/>
  <c r="AP1120" i="3" s="1"/>
  <c r="AP1708" i="3"/>
  <c r="AP1428" i="3" s="1"/>
  <c r="AP588" i="3" s="1"/>
  <c r="AP1481" i="3"/>
  <c r="AP2041" i="3"/>
  <c r="AP921" i="3" s="1"/>
  <c r="AP1497" i="3"/>
  <c r="AP2057" i="3"/>
  <c r="AP1513" i="3"/>
  <c r="AP2073" i="3"/>
  <c r="AP953" i="3" s="1"/>
  <c r="AP2089" i="3"/>
  <c r="AP969" i="3" s="1"/>
  <c r="AP1529" i="3"/>
  <c r="AP1249" i="3" s="1"/>
  <c r="AP1545" i="3"/>
  <c r="AP2105" i="3"/>
  <c r="AP985" i="3" s="1"/>
  <c r="AP1569" i="3"/>
  <c r="AP2129" i="3"/>
  <c r="AP1009" i="3" s="1"/>
  <c r="AP2217" i="3"/>
  <c r="AP1097" i="3" s="1"/>
  <c r="AP1657" i="3"/>
  <c r="AP1681" i="3"/>
  <c r="AP2241" i="3"/>
  <c r="AP1121" i="3" s="1"/>
  <c r="AP1691" i="3"/>
  <c r="AP2251" i="3"/>
  <c r="AP1131" i="3" s="1"/>
  <c r="AP1649" i="3"/>
  <c r="AP2209" i="3"/>
  <c r="AP1089" i="3" s="1"/>
  <c r="AP1626" i="3"/>
  <c r="AP2186" i="3"/>
  <c r="AP1066" i="3" s="1"/>
  <c r="AP1607" i="3"/>
  <c r="AP2167" i="3"/>
  <c r="AP1047" i="3" s="1"/>
  <c r="AP1647" i="3"/>
  <c r="AP2207" i="3"/>
  <c r="AP1087" i="3" s="1"/>
  <c r="AP1731" i="3"/>
  <c r="AP1568" i="3"/>
  <c r="AP2128" i="3"/>
  <c r="AP1008" i="3" s="1"/>
  <c r="AP1584" i="3"/>
  <c r="AP2144" i="3"/>
  <c r="AP1024" i="3" s="1"/>
  <c r="AP1604" i="3"/>
  <c r="AP2164" i="3"/>
  <c r="AP1044" i="3" s="1"/>
  <c r="AP1720" i="3"/>
  <c r="AP1736" i="3"/>
  <c r="AP1581" i="3"/>
  <c r="AP2141" i="3"/>
  <c r="AP1021" i="3" s="1"/>
  <c r="AP1609" i="3"/>
  <c r="AP2169" i="3"/>
  <c r="AP1049" i="3" s="1"/>
  <c r="AP1629" i="3"/>
  <c r="AP2189" i="3"/>
  <c r="AP1069" i="3" s="1"/>
  <c r="AP1709" i="3"/>
  <c r="AP1737" i="3"/>
  <c r="AP1719" i="3"/>
  <c r="AP1692" i="3"/>
  <c r="AP2252" i="3"/>
  <c r="AP1132" i="3" s="1"/>
  <c r="AL1650" i="3"/>
  <c r="AL2210" i="3"/>
  <c r="AL1090" i="3" s="1"/>
  <c r="AL1564" i="3"/>
  <c r="AL2124" i="3"/>
  <c r="AL1004" i="3" s="1"/>
  <c r="AL1580" i="3"/>
  <c r="AL2140" i="3"/>
  <c r="AL1020" i="3" s="1"/>
  <c r="AL1703" i="3"/>
  <c r="AL2263" i="3"/>
  <c r="AL1143" i="3" s="1"/>
  <c r="AL1610" i="3"/>
  <c r="AL2170" i="3"/>
  <c r="AL1050" i="3" s="1"/>
  <c r="AL1679" i="3"/>
  <c r="AL2239" i="3"/>
  <c r="AL1119" i="3" s="1"/>
  <c r="AL1620" i="3"/>
  <c r="AL2180" i="3"/>
  <c r="AL1060" i="3" s="1"/>
  <c r="AL1670" i="3"/>
  <c r="AL2230" i="3"/>
  <c r="AL1110" i="3" s="1"/>
  <c r="AL1694" i="3"/>
  <c r="AL2254" i="3"/>
  <c r="AL1134" i="3" s="1"/>
  <c r="AL1467" i="3"/>
  <c r="AL2027" i="3"/>
  <c r="AL907" i="3" s="1"/>
  <c r="AL1483" i="3"/>
  <c r="AL2043" i="3"/>
  <c r="AL923" i="3" s="1"/>
  <c r="AL1499" i="3"/>
  <c r="AL2059" i="3"/>
  <c r="AL939" i="3" s="1"/>
  <c r="AL1531" i="3"/>
  <c r="AL2091" i="3"/>
  <c r="AL971" i="3" s="1"/>
  <c r="AL1560" i="3"/>
  <c r="AL2120" i="3"/>
  <c r="AL1000" i="3" s="1"/>
  <c r="AL1624" i="3"/>
  <c r="AL2184" i="3"/>
  <c r="AL1064" i="3" s="1"/>
  <c r="AL1712" i="3"/>
  <c r="AL1728" i="3"/>
  <c r="AL1565" i="3"/>
  <c r="AL2125" i="3"/>
  <c r="AL1005" i="3" s="1"/>
  <c r="AL1597" i="3"/>
  <c r="AL2157" i="3"/>
  <c r="AL1037" i="3" s="1"/>
  <c r="AL1617" i="3"/>
  <c r="AL2177" i="3"/>
  <c r="AL1057" i="3" s="1"/>
  <c r="AL1693" i="3"/>
  <c r="AL2253" i="3"/>
  <c r="AL1133" i="3" s="1"/>
  <c r="AL1683" i="3"/>
  <c r="AL2243" i="3"/>
  <c r="AL1123" i="3" s="1"/>
  <c r="AL1727" i="3"/>
  <c r="AL1447" i="3" s="1"/>
  <c r="AL1474" i="3"/>
  <c r="AL2034" i="3"/>
  <c r="AL914" i="3" s="1"/>
  <c r="AL1490" i="3"/>
  <c r="AL2050" i="3"/>
  <c r="AL930" i="3" s="1"/>
  <c r="AL1506" i="3"/>
  <c r="AL2066" i="3"/>
  <c r="AL946" i="3" s="1"/>
  <c r="AL1522" i="3"/>
  <c r="AL2082" i="3"/>
  <c r="AL962" i="3" s="1"/>
  <c r="AL1538" i="3"/>
  <c r="AL2098" i="3"/>
  <c r="AL978" i="3" s="1"/>
  <c r="AL1662" i="3"/>
  <c r="AL2222" i="3"/>
  <c r="AL1102" i="3" s="1"/>
  <c r="AL1663" i="3"/>
  <c r="AL2223" i="3"/>
  <c r="AL1103" i="3" s="1"/>
  <c r="AL1660" i="3"/>
  <c r="AL2220" i="3"/>
  <c r="AL1100" i="3" s="1"/>
  <c r="AL1665" i="3"/>
  <c r="AL2225" i="3"/>
  <c r="AL1105" i="3" s="1"/>
  <c r="AL1607" i="3"/>
  <c r="AL2167" i="3"/>
  <c r="AL1047" i="3" s="1"/>
  <c r="AL1647" i="3"/>
  <c r="AL2207" i="3"/>
  <c r="AL1087" i="3" s="1"/>
  <c r="AL1554" i="3"/>
  <c r="AL2114" i="3"/>
  <c r="AL994" i="3" s="1"/>
  <c r="AL1570" i="3"/>
  <c r="AL2130" i="3"/>
  <c r="AL1010" i="3" s="1"/>
  <c r="AL1586" i="3"/>
  <c r="AL2146" i="3"/>
  <c r="AL1026" i="3" s="1"/>
  <c r="AL1606" i="3"/>
  <c r="AL2166" i="3"/>
  <c r="AL1046" i="3" s="1"/>
  <c r="AL1686" i="3"/>
  <c r="AL2246" i="3"/>
  <c r="AL1126" i="3" s="1"/>
  <c r="AL1734" i="3"/>
  <c r="AL1454" i="3" s="1"/>
  <c r="AL1567" i="3"/>
  <c r="AL2127" i="3"/>
  <c r="AL1007" i="3" s="1"/>
  <c r="AL1583" i="3"/>
  <c r="AL2143" i="3"/>
  <c r="AL1023" i="3" s="1"/>
  <c r="AL1611" i="3"/>
  <c r="AL2171" i="3"/>
  <c r="AL1051" i="3" s="1"/>
  <c r="AL1476" i="3"/>
  <c r="AL2036" i="3"/>
  <c r="AL916" i="3" s="1"/>
  <c r="AL1492" i="3"/>
  <c r="AL2052" i="3"/>
  <c r="AL932" i="3" s="1"/>
  <c r="AL1508" i="3"/>
  <c r="AL2068" i="3"/>
  <c r="AL948" i="3" s="1"/>
  <c r="AL1540" i="3"/>
  <c r="AL2100" i="3"/>
  <c r="AL980" i="3" s="1"/>
  <c r="AL1664" i="3"/>
  <c r="AL2224" i="3"/>
  <c r="AL1104" i="3" s="1"/>
  <c r="AL1688" i="3"/>
  <c r="AL2248" i="3"/>
  <c r="AL1128" i="3" s="1"/>
  <c r="AL1469" i="3"/>
  <c r="AL2029" i="3"/>
  <c r="AL909" i="3" s="1"/>
  <c r="AL1501" i="3"/>
  <c r="AL2061" i="3"/>
  <c r="AL941" i="3" s="1"/>
  <c r="AL1533" i="3"/>
  <c r="AL2093" i="3"/>
  <c r="AL1549" i="3"/>
  <c r="AL2109" i="3"/>
  <c r="AL989" i="3" s="1"/>
  <c r="AL1577" i="3"/>
  <c r="AL2137" i="3"/>
  <c r="AL1017" i="3" s="1"/>
  <c r="AL2221" i="3"/>
  <c r="AL1101" i="3" s="1"/>
  <c r="AL1661" i="3"/>
  <c r="AL1685" i="3"/>
  <c r="AL2245" i="3"/>
  <c r="AL1125" i="3" s="1"/>
  <c r="AL1717" i="3"/>
  <c r="AL1437" i="3" s="1"/>
  <c r="AL1699" i="3"/>
  <c r="AL2259" i="3"/>
  <c r="AL1139" i="3" s="1"/>
  <c r="AL1628" i="3"/>
  <c r="AL2188" i="3"/>
  <c r="AL1068" i="3" s="1"/>
  <c r="AL1648" i="3"/>
  <c r="AL2208" i="3"/>
  <c r="AL1088" i="3" s="1"/>
  <c r="AH1484" i="3"/>
  <c r="AH2044" i="3"/>
  <c r="AH924" i="3" s="1"/>
  <c r="AH1504" i="3"/>
  <c r="AH2064" i="3"/>
  <c r="AH944" i="3" s="1"/>
  <c r="AH1554" i="3"/>
  <c r="AH2114" i="3"/>
  <c r="AH994" i="3" s="1"/>
  <c r="AH1570" i="3"/>
  <c r="AH2130" i="3"/>
  <c r="AH1010" i="3" s="1"/>
  <c r="AH1586" i="3"/>
  <c r="AH2146" i="3"/>
  <c r="AH1026" i="3" s="1"/>
  <c r="AH1606" i="3"/>
  <c r="AH2166" i="3"/>
  <c r="AH1046" i="3" s="1"/>
  <c r="AH1686" i="3"/>
  <c r="AH2246" i="3"/>
  <c r="AH1126" i="3" s="1"/>
  <c r="AH1734" i="3"/>
  <c r="AH1508" i="3"/>
  <c r="AH2068" i="3"/>
  <c r="AH948" i="3" s="1"/>
  <c r="AH1466" i="3"/>
  <c r="AH2026" i="3"/>
  <c r="AH906" i="3" s="1"/>
  <c r="AH1482" i="3"/>
  <c r="AH2042" i="3"/>
  <c r="AH922" i="3" s="1"/>
  <c r="AH1498" i="3"/>
  <c r="AH2058" i="3"/>
  <c r="AH1514" i="3"/>
  <c r="AH2074" i="3"/>
  <c r="AH954" i="3" s="1"/>
  <c r="AH1530" i="3"/>
  <c r="AH2090" i="3"/>
  <c r="AH970" i="3" s="1"/>
  <c r="AH1546" i="3"/>
  <c r="AH2106" i="3"/>
  <c r="AH986" i="3" s="1"/>
  <c r="AH1687" i="3"/>
  <c r="AH2247" i="3"/>
  <c r="AH1127" i="3" s="1"/>
  <c r="AH1512" i="3"/>
  <c r="AH2072" i="3"/>
  <c r="AH952" i="3" s="1"/>
  <c r="AH1664" i="3"/>
  <c r="AH2224" i="3"/>
  <c r="AH1104" i="3" s="1"/>
  <c r="AH1688" i="3"/>
  <c r="AH2248" i="3"/>
  <c r="AH1128" i="3" s="1"/>
  <c r="AH1469" i="3"/>
  <c r="AH2029" i="3"/>
  <c r="AH909" i="3" s="1"/>
  <c r="AH1501" i="3"/>
  <c r="AH2061" i="3"/>
  <c r="AH941" i="3" s="1"/>
  <c r="AH1533" i="3"/>
  <c r="AH2093" i="3"/>
  <c r="AH1549" i="3"/>
  <c r="AH2109" i="3"/>
  <c r="AH989" i="3" s="1"/>
  <c r="AH1577" i="3"/>
  <c r="AH2137" i="3"/>
  <c r="AH1017" i="3" s="1"/>
  <c r="AH1661" i="3"/>
  <c r="AH2221" i="3"/>
  <c r="AH1101" i="3" s="1"/>
  <c r="AH1685" i="3"/>
  <c r="AH2245" i="3"/>
  <c r="AH1125" i="3" s="1"/>
  <c r="AH1717" i="3"/>
  <c r="AH1699" i="3"/>
  <c r="AH2259" i="3"/>
  <c r="AH1139" i="3" s="1"/>
  <c r="AH1626" i="3"/>
  <c r="AH2186" i="3"/>
  <c r="AH1066" i="3" s="1"/>
  <c r="AH1607" i="3"/>
  <c r="AH2167" i="3"/>
  <c r="AH1047" i="3" s="1"/>
  <c r="AH1647" i="3"/>
  <c r="AH2207" i="3"/>
  <c r="AH1087" i="3" s="1"/>
  <c r="AH2209" i="3"/>
  <c r="AH1089" i="3" s="1"/>
  <c r="AH1649" i="3"/>
  <c r="AH1567" i="3"/>
  <c r="AH2127" i="3"/>
  <c r="AH1007" i="3" s="1"/>
  <c r="AH1583" i="3"/>
  <c r="AH2143" i="3"/>
  <c r="AH1023" i="3" s="1"/>
  <c r="AH1611" i="3"/>
  <c r="AH2171" i="3"/>
  <c r="AH1051" i="3" s="1"/>
  <c r="AH1550" i="3"/>
  <c r="AH2110" i="3"/>
  <c r="AH990" i="3" s="1"/>
  <c r="AH1698" i="3"/>
  <c r="AH2258" i="3"/>
  <c r="AH1138" i="3" s="1"/>
  <c r="AH1503" i="3"/>
  <c r="AH2063" i="3"/>
  <c r="AH943" i="3" s="1"/>
  <c r="AH1519" i="3"/>
  <c r="AH2079" i="3"/>
  <c r="AH959" i="3" s="1"/>
  <c r="AH1535" i="3"/>
  <c r="AH2095" i="3"/>
  <c r="AH1555" i="3"/>
  <c r="AH2115" i="3"/>
  <c r="AH995" i="3" s="1"/>
  <c r="AH1612" i="3"/>
  <c r="AH2172" i="3"/>
  <c r="AH1052" i="3" s="1"/>
  <c r="AH1605" i="3"/>
  <c r="AH2165" i="3"/>
  <c r="AH1045" i="3" s="1"/>
  <c r="AH1659" i="3"/>
  <c r="AH2219" i="3"/>
  <c r="AH1099" i="3" s="1"/>
  <c r="AH1656" i="3"/>
  <c r="AH2216" i="3"/>
  <c r="AH1096" i="3" s="1"/>
  <c r="AH1703" i="3"/>
  <c r="AH2263" i="3"/>
  <c r="AH1143" i="3" s="1"/>
  <c r="AH1564" i="3"/>
  <c r="AH2124" i="3"/>
  <c r="AH1004" i="3" s="1"/>
  <c r="AH1580" i="3"/>
  <c r="AH2140" i="3"/>
  <c r="AH1020" i="3" s="1"/>
  <c r="AH1596" i="3"/>
  <c r="AH2156" i="3"/>
  <c r="AH1036" i="3" s="1"/>
  <c r="AH1624" i="3"/>
  <c r="AH2184" i="3"/>
  <c r="AH1064" i="3" s="1"/>
  <c r="AH1732" i="3"/>
  <c r="AH1452" i="3" s="1"/>
  <c r="AH1573" i="3"/>
  <c r="AH2133" i="3"/>
  <c r="AH1013" i="3" s="1"/>
  <c r="AH1601" i="3"/>
  <c r="AH2161" i="3"/>
  <c r="AH1041" i="3" s="1"/>
  <c r="AH1625" i="3"/>
  <c r="AH2185" i="3"/>
  <c r="AH1065" i="3" s="1"/>
  <c r="AH1641" i="3"/>
  <c r="AH2201" i="3"/>
  <c r="AH1081" i="3" s="1"/>
  <c r="AH1705" i="3"/>
  <c r="AH1733" i="3"/>
  <c r="AH1453" i="3" s="1"/>
  <c r="AH1711" i="3"/>
  <c r="AD1607" i="3"/>
  <c r="AD2167" i="3"/>
  <c r="AD1047" i="3" s="1"/>
  <c r="AD1614" i="3"/>
  <c r="AD2174" i="3"/>
  <c r="AD1054" i="3" s="1"/>
  <c r="AD1550" i="3"/>
  <c r="AD2110" i="3"/>
  <c r="AD990" i="3" s="1"/>
  <c r="AD1503" i="3"/>
  <c r="AD2063" i="3"/>
  <c r="AD943" i="3" s="1"/>
  <c r="AD1519" i="3"/>
  <c r="AD2079" i="3"/>
  <c r="AD959" i="3" s="1"/>
  <c r="AD1595" i="3"/>
  <c r="AD2155" i="3"/>
  <c r="AD1035" i="3" s="1"/>
  <c r="AD1638" i="3"/>
  <c r="AD2198" i="3"/>
  <c r="AD1078" i="3" s="1"/>
  <c r="AD1655" i="3"/>
  <c r="AD2215" i="3"/>
  <c r="AD1095" i="3" s="1"/>
  <c r="AD1669" i="3"/>
  <c r="AD2229" i="3"/>
  <c r="AD1109" i="3" s="1"/>
  <c r="AD1566" i="3"/>
  <c r="AD2126" i="3"/>
  <c r="AD1006" i="3" s="1"/>
  <c r="AD1582" i="3"/>
  <c r="AD2142" i="3"/>
  <c r="AD1022" i="3" s="1"/>
  <c r="AD1710" i="3"/>
  <c r="AD1730" i="3"/>
  <c r="AD1563" i="3"/>
  <c r="AD2123" i="3"/>
  <c r="AD1003" i="3" s="1"/>
  <c r="AD1579" i="3"/>
  <c r="AD2139" i="3"/>
  <c r="AD1019" i="3" s="1"/>
  <c r="AD1599" i="3"/>
  <c r="AD2159" i="3"/>
  <c r="AD1039" i="3" s="1"/>
  <c r="AD1555" i="3"/>
  <c r="AD2115" i="3"/>
  <c r="AD995" i="3" s="1"/>
  <c r="AD1470" i="3"/>
  <c r="AD2030" i="3"/>
  <c r="AD910" i="3" s="1"/>
  <c r="AD1502" i="3"/>
  <c r="AD2062" i="3"/>
  <c r="AD942" i="3" s="1"/>
  <c r="AD1658" i="3"/>
  <c r="AD2218" i="3"/>
  <c r="AD1098" i="3" s="1"/>
  <c r="AD1679" i="3"/>
  <c r="AD2239" i="3"/>
  <c r="AD1119" i="3" s="1"/>
  <c r="AD1620" i="3"/>
  <c r="AD2180" i="3"/>
  <c r="AD1060" i="3" s="1"/>
  <c r="AD1712" i="3"/>
  <c r="AD1432" i="3" s="1"/>
  <c r="AD1728" i="3"/>
  <c r="AD2125" i="3"/>
  <c r="AD1005" i="3" s="1"/>
  <c r="AD1565" i="3"/>
  <c r="AD2157" i="3"/>
  <c r="AD1037" i="3" s="1"/>
  <c r="AD1597" i="3"/>
  <c r="AD1317" i="3" s="1"/>
  <c r="AD1617" i="3"/>
  <c r="AD2177" i="3"/>
  <c r="AD1057" i="3" s="1"/>
  <c r="AD1693" i="3"/>
  <c r="AD2253" i="3"/>
  <c r="AD1133" i="3" s="1"/>
  <c r="AD1727" i="3"/>
  <c r="AD1667" i="3"/>
  <c r="AD2227" i="3"/>
  <c r="AD1107" i="3" s="1"/>
  <c r="AD1628" i="3"/>
  <c r="AD2188" i="3"/>
  <c r="AD1068" i="3" s="1"/>
  <c r="AD1648" i="3"/>
  <c r="AD2208" i="3"/>
  <c r="AD1088" i="3" s="1"/>
  <c r="AD1687" i="3"/>
  <c r="AD2247" i="3"/>
  <c r="AD1127" i="3" s="1"/>
  <c r="AD1468" i="3"/>
  <c r="AD2028" i="3"/>
  <c r="AD908" i="3" s="1"/>
  <c r="AD1484" i="3"/>
  <c r="AD2044" i="3"/>
  <c r="AD924" i="3" s="1"/>
  <c r="AD1500" i="3"/>
  <c r="AD2060" i="3"/>
  <c r="AD940" i="3" s="1"/>
  <c r="AD1532" i="3"/>
  <c r="AD2092" i="3"/>
  <c r="AD972" i="3" s="1"/>
  <c r="AD1552" i="3"/>
  <c r="AD2112" i="3"/>
  <c r="AD992" i="3" s="1"/>
  <c r="AD1668" i="3"/>
  <c r="AD2228" i="3"/>
  <c r="AD1108" i="3" s="1"/>
  <c r="AD2033" i="3"/>
  <c r="AD913" i="3" s="1"/>
  <c r="AD1473" i="3"/>
  <c r="AD1489" i="3"/>
  <c r="AD2049" i="3"/>
  <c r="AD929" i="3" s="1"/>
  <c r="AD1505" i="3"/>
  <c r="AD2065" i="3"/>
  <c r="AD945" i="3" s="1"/>
  <c r="AD1521" i="3"/>
  <c r="AD2081" i="3"/>
  <c r="AD961" i="3" s="1"/>
  <c r="AD1537" i="3"/>
  <c r="AD2097" i="3"/>
  <c r="AD977" i="3" s="1"/>
  <c r="AD1553" i="3"/>
  <c r="AD2113" i="3"/>
  <c r="AD993" i="3" s="1"/>
  <c r="AD1585" i="3"/>
  <c r="AD2145" i="3"/>
  <c r="AD1025" i="3" s="1"/>
  <c r="AD1689" i="3"/>
  <c r="AD2249" i="3"/>
  <c r="AD1129" i="3" s="1"/>
  <c r="AD1721" i="3"/>
  <c r="Z1551" i="3"/>
  <c r="Z2111" i="3"/>
  <c r="Z991" i="3" s="1"/>
  <c r="Z1562" i="3"/>
  <c r="Z2122" i="3"/>
  <c r="Z1002" i="3" s="1"/>
  <c r="Z1722" i="3"/>
  <c r="Z1639" i="3"/>
  <c r="Z2199" i="3"/>
  <c r="Z1079" i="3" s="1"/>
  <c r="Z1494" i="3"/>
  <c r="Z2054" i="3"/>
  <c r="Z934" i="3" s="1"/>
  <c r="Z1542" i="3"/>
  <c r="Z2102" i="3"/>
  <c r="Z982" i="3" s="1"/>
  <c r="Z1563" i="3"/>
  <c r="Z2123" i="3"/>
  <c r="Z1003" i="3" s="1"/>
  <c r="Z1678" i="3"/>
  <c r="Z2238" i="3"/>
  <c r="Z1118" i="3" s="1"/>
  <c r="Z1706" i="3"/>
  <c r="Z1475" i="3"/>
  <c r="Z2035" i="3"/>
  <c r="Z915" i="3" s="1"/>
  <c r="Z1491" i="3"/>
  <c r="Z2051" i="3"/>
  <c r="Z931" i="3" s="1"/>
  <c r="Z1539" i="3"/>
  <c r="Z2099" i="3"/>
  <c r="Z979" i="3" s="1"/>
  <c r="Z1605" i="3"/>
  <c r="Z2165" i="3"/>
  <c r="Z1045" i="3" s="1"/>
  <c r="Z1614" i="3"/>
  <c r="Z2174" i="3"/>
  <c r="Z1054" i="3" s="1"/>
  <c r="Z1642" i="3"/>
  <c r="Z2202" i="3"/>
  <c r="Z1082" i="3" s="1"/>
  <c r="Z1655" i="3"/>
  <c r="Z2215" i="3"/>
  <c r="Z1095" i="3" s="1"/>
  <c r="Z1504" i="3"/>
  <c r="Z2064" i="3"/>
  <c r="Z944" i="3" s="1"/>
  <c r="Z1520" i="3"/>
  <c r="Z2080" i="3"/>
  <c r="Z960" i="3" s="1"/>
  <c r="Z1556" i="3"/>
  <c r="Z2116" i="3"/>
  <c r="Z996" i="3" s="1"/>
  <c r="Z1680" i="3"/>
  <c r="Z2240" i="3"/>
  <c r="Z1120" i="3" s="1"/>
  <c r="Z1708" i="3"/>
  <c r="Z1481" i="3"/>
  <c r="Z2041" i="3"/>
  <c r="Z921" i="3" s="1"/>
  <c r="Z1513" i="3"/>
  <c r="Z2073" i="3"/>
  <c r="Z953" i="3" s="1"/>
  <c r="Z1529" i="3"/>
  <c r="Z2089" i="3"/>
  <c r="Z969" i="3" s="1"/>
  <c r="Z1569" i="3"/>
  <c r="Z2129" i="3"/>
  <c r="Z1009" i="3" s="1"/>
  <c r="Z1657" i="3"/>
  <c r="Z2217" i="3"/>
  <c r="Z1097" i="3" s="1"/>
  <c r="Z1681" i="3"/>
  <c r="Z2241" i="3"/>
  <c r="Z1121" i="3" s="1"/>
  <c r="Z1691" i="3"/>
  <c r="Z2251" i="3"/>
  <c r="Z1131" i="3" s="1"/>
  <c r="Z1564" i="3"/>
  <c r="Z2124" i="3"/>
  <c r="Z1004" i="3" s="1"/>
  <c r="Z1580" i="3"/>
  <c r="Z2140" i="3"/>
  <c r="Z1020" i="3" s="1"/>
  <c r="Z1596" i="3"/>
  <c r="Z2156" i="3"/>
  <c r="Z1036" i="3" s="1"/>
  <c r="Z1732" i="3"/>
  <c r="Z1573" i="3"/>
  <c r="Z2133" i="3"/>
  <c r="Z1013" i="3" s="1"/>
  <c r="Z1625" i="3"/>
  <c r="Z2185" i="3"/>
  <c r="Z1065" i="3" s="1"/>
  <c r="Z1641" i="3"/>
  <c r="Z2201" i="3"/>
  <c r="Z1081" i="3" s="1"/>
  <c r="Z1705" i="3"/>
  <c r="Z1733" i="3"/>
  <c r="Z1711" i="3"/>
  <c r="Z1692" i="3"/>
  <c r="Z2252" i="3"/>
  <c r="Z1132" i="3" s="1"/>
  <c r="V1614" i="3"/>
  <c r="V2174" i="3"/>
  <c r="V1054" i="3" s="1"/>
  <c r="V1550" i="3"/>
  <c r="V2110" i="3"/>
  <c r="V990" i="3" s="1"/>
  <c r="V1503" i="3"/>
  <c r="V2063" i="3"/>
  <c r="V943" i="3" s="1"/>
  <c r="V1519" i="3"/>
  <c r="V2079" i="3"/>
  <c r="V959" i="3" s="1"/>
  <c r="V1650" i="3"/>
  <c r="V2210" i="3"/>
  <c r="V1090" i="3" s="1"/>
  <c r="V1636" i="3"/>
  <c r="V2196" i="3"/>
  <c r="V1076" i="3" s="1"/>
  <c r="V1502" i="3"/>
  <c r="V2062" i="3"/>
  <c r="V942" i="3" s="1"/>
  <c r="V1658" i="3"/>
  <c r="V2218" i="3"/>
  <c r="V1098" i="3" s="1"/>
  <c r="V1635" i="3"/>
  <c r="V2195" i="3"/>
  <c r="V1075" i="3" s="1"/>
  <c r="V1572" i="3"/>
  <c r="V2132" i="3"/>
  <c r="V1012" i="3" s="1"/>
  <c r="V1588" i="3"/>
  <c r="V2148" i="3"/>
  <c r="V1028" i="3" s="1"/>
  <c r="V1608" i="3"/>
  <c r="V2168" i="3"/>
  <c r="V1048" i="3" s="1"/>
  <c r="V1589" i="3"/>
  <c r="V2149" i="3"/>
  <c r="V1029" i="3" s="1"/>
  <c r="V2173" i="3"/>
  <c r="V1053" i="3" s="1"/>
  <c r="V1613" i="3"/>
  <c r="V1333" i="3" s="1"/>
  <c r="V1709" i="3"/>
  <c r="V1733" i="3"/>
  <c r="V1453" i="3" s="1"/>
  <c r="V1711" i="3"/>
  <c r="V1554" i="3"/>
  <c r="V2114" i="3"/>
  <c r="V994" i="3" s="1"/>
  <c r="V1570" i="3"/>
  <c r="V2130" i="3"/>
  <c r="V1010" i="3" s="1"/>
  <c r="V1586" i="3"/>
  <c r="V2146" i="3"/>
  <c r="V1026" i="3" s="1"/>
  <c r="V1606" i="3"/>
  <c r="V2166" i="3"/>
  <c r="V1046" i="3" s="1"/>
  <c r="V1734" i="3"/>
  <c r="V1567" i="3"/>
  <c r="V2127" i="3"/>
  <c r="V1007" i="3" s="1"/>
  <c r="V1583" i="3"/>
  <c r="V2143" i="3"/>
  <c r="V1023" i="3" s="1"/>
  <c r="V1639" i="3"/>
  <c r="V2199" i="3"/>
  <c r="V1079" i="3" s="1"/>
  <c r="V1660" i="3"/>
  <c r="V2220" i="3"/>
  <c r="V1100" i="3" s="1"/>
  <c r="V1476" i="3"/>
  <c r="V2036" i="3"/>
  <c r="V916" i="3" s="1"/>
  <c r="V1492" i="3"/>
  <c r="V2052" i="3"/>
  <c r="V932" i="3" s="1"/>
  <c r="V1540" i="3"/>
  <c r="V2100" i="3"/>
  <c r="V980" i="3" s="1"/>
  <c r="V1688" i="3"/>
  <c r="V2248" i="3"/>
  <c r="V1128" i="3" s="1"/>
  <c r="V2029" i="3"/>
  <c r="V909" i="3" s="1"/>
  <c r="V1469" i="3"/>
  <c r="V1501" i="3"/>
  <c r="V2061" i="3"/>
  <c r="V941" i="3" s="1"/>
  <c r="V1549" i="3"/>
  <c r="V2109" i="3"/>
  <c r="V989" i="3" s="1"/>
  <c r="V1661" i="3"/>
  <c r="V2221" i="3"/>
  <c r="V1101" i="3" s="1"/>
  <c r="V1721" i="3"/>
  <c r="V1600" i="3"/>
  <c r="V2160" i="3"/>
  <c r="V1040" i="3" s="1"/>
  <c r="V1605" i="3"/>
  <c r="V2165" i="3"/>
  <c r="V1045" i="3" s="1"/>
  <c r="R1562" i="3"/>
  <c r="R2122" i="3"/>
  <c r="R1002" i="3" s="1"/>
  <c r="R1582" i="3"/>
  <c r="R2142" i="3"/>
  <c r="R1022" i="3" s="1"/>
  <c r="R1734" i="3"/>
  <c r="R1454" i="3" s="1"/>
  <c r="R1554" i="3"/>
  <c r="R2114" i="3"/>
  <c r="R994" i="3" s="1"/>
  <c r="R1618" i="3"/>
  <c r="R2178" i="3"/>
  <c r="R1058" i="3" s="1"/>
  <c r="R1730" i="3"/>
  <c r="R1450" i="3" s="1"/>
  <c r="R1494" i="3"/>
  <c r="R2054" i="3"/>
  <c r="R934" i="3" s="1"/>
  <c r="R1542" i="3"/>
  <c r="R2102" i="3"/>
  <c r="R982" i="3" s="1"/>
  <c r="R1667" i="3"/>
  <c r="R2227" i="3"/>
  <c r="R1107" i="3" s="1"/>
  <c r="R1638" i="3"/>
  <c r="R2198" i="3"/>
  <c r="R1078" i="3" s="1"/>
  <c r="R1595" i="3"/>
  <c r="R2155" i="3"/>
  <c r="R1035" i="3" s="1"/>
  <c r="R2176" i="3"/>
  <c r="R1056" i="3" s="1"/>
  <c r="R1616" i="3"/>
  <c r="R1567" i="3"/>
  <c r="R2127" i="3"/>
  <c r="R1007" i="3" s="1"/>
  <c r="R1583" i="3"/>
  <c r="R2143" i="3"/>
  <c r="R1023" i="3" s="1"/>
  <c r="R1639" i="3"/>
  <c r="R2199" i="3"/>
  <c r="R1079" i="3" s="1"/>
  <c r="R1476" i="3"/>
  <c r="R2036" i="3"/>
  <c r="R916" i="3" s="1"/>
  <c r="R2052" i="3"/>
  <c r="R932" i="3" s="1"/>
  <c r="R1492" i="3"/>
  <c r="R1540" i="3"/>
  <c r="R2100" i="3"/>
  <c r="R980" i="3" s="1"/>
  <c r="R1688" i="3"/>
  <c r="R2248" i="3"/>
  <c r="R1128" i="3" s="1"/>
  <c r="R1469" i="3"/>
  <c r="R2029" i="3"/>
  <c r="R909" i="3" s="1"/>
  <c r="R1501" i="3"/>
  <c r="R2061" i="3"/>
  <c r="R941" i="3" s="1"/>
  <c r="R2109" i="3"/>
  <c r="R989" i="3" s="1"/>
  <c r="R1549" i="3"/>
  <c r="R1661" i="3"/>
  <c r="R2221" i="3"/>
  <c r="R1101" i="3" s="1"/>
  <c r="R1721" i="3"/>
  <c r="R1550" i="3"/>
  <c r="R2110" i="3"/>
  <c r="R990" i="3" s="1"/>
  <c r="R1503" i="3"/>
  <c r="R2063" i="3"/>
  <c r="R943" i="3" s="1"/>
  <c r="R1519" i="3"/>
  <c r="R2079" i="3"/>
  <c r="R959" i="3" s="1"/>
  <c r="R1555" i="3"/>
  <c r="R2115" i="3"/>
  <c r="R995" i="3" s="1"/>
  <c r="R1648" i="3"/>
  <c r="R2208" i="3"/>
  <c r="R1088" i="3" s="1"/>
  <c r="R1659" i="3"/>
  <c r="R2219" i="3"/>
  <c r="R1099" i="3" s="1"/>
  <c r="R1692" i="3"/>
  <c r="R2252" i="3"/>
  <c r="R1132" i="3" s="1"/>
  <c r="R1679" i="3"/>
  <c r="R2239" i="3"/>
  <c r="R1119" i="3" s="1"/>
  <c r="R1620" i="3"/>
  <c r="R2180" i="3"/>
  <c r="R1060" i="3" s="1"/>
  <c r="R1712" i="3"/>
  <c r="R1432" i="3" s="1"/>
  <c r="R1728" i="3"/>
  <c r="R2125" i="3"/>
  <c r="R1005" i="3" s="1"/>
  <c r="R1565" i="3"/>
  <c r="R1597" i="3"/>
  <c r="R2157" i="3"/>
  <c r="R1037" i="3" s="1"/>
  <c r="R1617" i="3"/>
  <c r="R2177" i="3"/>
  <c r="R1057" i="3" s="1"/>
  <c r="R1641" i="3"/>
  <c r="R2201" i="3"/>
  <c r="R1081" i="3" s="1"/>
  <c r="R1705" i="3"/>
  <c r="R1733" i="3"/>
  <c r="R1711" i="3"/>
  <c r="R1431" i="3" s="1"/>
  <c r="AB1608" i="3"/>
  <c r="AB2168" i="3"/>
  <c r="AB1048" i="3" s="1"/>
  <c r="AB1474" i="3"/>
  <c r="AB2034" i="3"/>
  <c r="AB914" i="3" s="1"/>
  <c r="AB1490" i="3"/>
  <c r="AB2050" i="3"/>
  <c r="AB930" i="3" s="1"/>
  <c r="AB1506" i="3"/>
  <c r="AB2066" i="3"/>
  <c r="AB946" i="3" s="1"/>
  <c r="AB1522" i="3"/>
  <c r="AB2082" i="3"/>
  <c r="AB962" i="3" s="1"/>
  <c r="AB1538" i="3"/>
  <c r="AB2098" i="3"/>
  <c r="AB978" i="3" s="1"/>
  <c r="AB1710" i="3"/>
  <c r="AB1430" i="3" s="1"/>
  <c r="AB1730" i="3"/>
  <c r="AB1475" i="3"/>
  <c r="AB2035" i="3"/>
  <c r="AB915" i="3" s="1"/>
  <c r="AB1491" i="3"/>
  <c r="AB2051" i="3"/>
  <c r="AB931" i="3" s="1"/>
  <c r="AB1598" i="3"/>
  <c r="AB2158" i="3"/>
  <c r="AB1038" i="3" s="1"/>
  <c r="AB1630" i="3"/>
  <c r="AB2190" i="3"/>
  <c r="AB1070" i="3" s="1"/>
  <c r="AB1574" i="3"/>
  <c r="AB2134" i="3"/>
  <c r="AB1014" i="3" s="1"/>
  <c r="AB1590" i="3"/>
  <c r="AB2150" i="3"/>
  <c r="AB1030" i="3" s="1"/>
  <c r="AB1628" i="3"/>
  <c r="AB2188" i="3"/>
  <c r="AB1068" i="3" s="1"/>
  <c r="AB2189" i="3"/>
  <c r="AB1069" i="3" s="1"/>
  <c r="AB1629" i="3"/>
  <c r="AB2110" i="3"/>
  <c r="AB990" i="3" s="1"/>
  <c r="AB1550" i="3"/>
  <c r="AB1662" i="3"/>
  <c r="AB2222" i="3"/>
  <c r="AB1102" i="3" s="1"/>
  <c r="AB1682" i="3"/>
  <c r="AB2242" i="3"/>
  <c r="AB1122" i="3" s="1"/>
  <c r="AB1563" i="3"/>
  <c r="AB2123" i="3"/>
  <c r="AB1003" i="3" s="1"/>
  <c r="AB1639" i="3"/>
  <c r="AB2199" i="3"/>
  <c r="AB1079" i="3" s="1"/>
  <c r="AB1565" i="3"/>
  <c r="AB2125" i="3"/>
  <c r="AB1005" i="3" s="1"/>
  <c r="AB1581" i="3"/>
  <c r="AB2141" i="3"/>
  <c r="AB1021" i="3" s="1"/>
  <c r="AB1637" i="3"/>
  <c r="AB2197" i="3"/>
  <c r="AB1077" i="3" s="1"/>
  <c r="AB1469" i="3"/>
  <c r="AB2029" i="3"/>
  <c r="AB909" i="3" s="1"/>
  <c r="AB1501" i="3"/>
  <c r="AB2061" i="3"/>
  <c r="AB941" i="3" s="1"/>
  <c r="AB1549" i="3"/>
  <c r="AB2109" i="3"/>
  <c r="AB989" i="3" s="1"/>
  <c r="AB1626" i="3"/>
  <c r="AB2186" i="3"/>
  <c r="AB1066" i="3" s="1"/>
  <c r="AB1599" i="3"/>
  <c r="AB2159" i="3"/>
  <c r="AB1039" i="3" s="1"/>
  <c r="AB1667" i="3"/>
  <c r="AB2227" i="3"/>
  <c r="AB1107" i="3" s="1"/>
  <c r="AB1708" i="3"/>
  <c r="AB2249" i="3"/>
  <c r="AB1129" i="3" s="1"/>
  <c r="AB1689" i="3"/>
  <c r="AB1675" i="3"/>
  <c r="AB2235" i="3"/>
  <c r="AB1115" i="3" s="1"/>
  <c r="AB1468" i="3"/>
  <c r="AB2028" i="3"/>
  <c r="AB908" i="3" s="1"/>
  <c r="AB1484" i="3"/>
  <c r="AB2044" i="3"/>
  <c r="AB924" i="3" s="1"/>
  <c r="AB1500" i="3"/>
  <c r="AB2060" i="3"/>
  <c r="AB940" i="3" s="1"/>
  <c r="AB1532" i="3"/>
  <c r="AB2092" i="3"/>
  <c r="AB972" i="3" s="1"/>
  <c r="AB1681" i="3"/>
  <c r="AB2241" i="3"/>
  <c r="AB1121" i="3" s="1"/>
  <c r="AB1709" i="3"/>
  <c r="AB1737" i="3"/>
  <c r="AB1711" i="3"/>
  <c r="AB2176" i="3"/>
  <c r="AB1056" i="3" s="1"/>
  <c r="AB1616" i="3"/>
  <c r="AB2209" i="3"/>
  <c r="AB1089" i="3" s="1"/>
  <c r="AB1649" i="3"/>
  <c r="AU1663" i="3"/>
  <c r="AU2223" i="3"/>
  <c r="AU1103" i="3" s="1"/>
  <c r="AU1475" i="3"/>
  <c r="AU2035" i="3"/>
  <c r="AU915" i="3" s="1"/>
  <c r="AU1660" i="3"/>
  <c r="AU2220" i="3"/>
  <c r="AU1100" i="3" s="1"/>
  <c r="AU1676" i="3"/>
  <c r="AU2236" i="3"/>
  <c r="AU1116" i="3" s="1"/>
  <c r="AU1717" i="3"/>
  <c r="AU1733" i="3"/>
  <c r="AU1453" i="3" s="1"/>
  <c r="AU1718" i="3"/>
  <c r="AU1734" i="3"/>
  <c r="AU1454" i="3" s="1"/>
  <c r="AU1641" i="3"/>
  <c r="AU2201" i="3"/>
  <c r="AU1081" i="3" s="1"/>
  <c r="AU1657" i="3"/>
  <c r="AU2217" i="3"/>
  <c r="AU1097" i="3" s="1"/>
  <c r="AU1635" i="3"/>
  <c r="AU2195" i="3"/>
  <c r="AU1075" i="3" s="1"/>
  <c r="AU1667" i="3"/>
  <c r="AU2227" i="3"/>
  <c r="AU1107" i="3" s="1"/>
  <c r="AU1723" i="3"/>
  <c r="AU1476" i="3"/>
  <c r="AU2036" i="3"/>
  <c r="AU916" i="3" s="1"/>
  <c r="AU1492" i="3"/>
  <c r="AU2052" i="3"/>
  <c r="AU932" i="3" s="1"/>
  <c r="AU1508" i="3"/>
  <c r="AU2068" i="3"/>
  <c r="AU948" i="3" s="1"/>
  <c r="AU1540" i="3"/>
  <c r="AU2100" i="3"/>
  <c r="AU980" i="3" s="1"/>
  <c r="AU1556" i="3"/>
  <c r="AU2116" i="3"/>
  <c r="AU996" i="3" s="1"/>
  <c r="AU1572" i="3"/>
  <c r="AU2132" i="3"/>
  <c r="AU1012" i="3" s="1"/>
  <c r="AU1588" i="3"/>
  <c r="AU2148" i="3"/>
  <c r="AU1028" i="3" s="1"/>
  <c r="AU1604" i="3"/>
  <c r="AU2164" i="3"/>
  <c r="AU1044" i="3" s="1"/>
  <c r="AU1620" i="3"/>
  <c r="AU2180" i="3"/>
  <c r="AU1060" i="3" s="1"/>
  <c r="AU1636" i="3"/>
  <c r="AU2196" i="3"/>
  <c r="AU1076" i="3" s="1"/>
  <c r="AU1704" i="3"/>
  <c r="AU2264" i="3"/>
  <c r="AU1144" i="3" s="1"/>
  <c r="AU1489" i="3"/>
  <c r="AU2049" i="3"/>
  <c r="AU929" i="3" s="1"/>
  <c r="AU1505" i="3"/>
  <c r="AU2065" i="3"/>
  <c r="AU945" i="3" s="1"/>
  <c r="AU1521" i="3"/>
  <c r="AU2081" i="3"/>
  <c r="AU961" i="3" s="1"/>
  <c r="AU1537" i="3"/>
  <c r="AU2097" i="3"/>
  <c r="AU977" i="3" s="1"/>
  <c r="AU1553" i="3"/>
  <c r="AU2113" i="3"/>
  <c r="AU993" i="3" s="1"/>
  <c r="AU1569" i="3"/>
  <c r="AU2129" i="3"/>
  <c r="AU1009" i="3" s="1"/>
  <c r="AU1585" i="3"/>
  <c r="AU2145" i="3"/>
  <c r="AU1025" i="3" s="1"/>
  <c r="AU1601" i="3"/>
  <c r="AU2161" i="3"/>
  <c r="AU1041" i="3" s="1"/>
  <c r="AU1617" i="3"/>
  <c r="AU2177" i="3"/>
  <c r="AU1057" i="3" s="1"/>
  <c r="AU1633" i="3"/>
  <c r="AU2193" i="3"/>
  <c r="AU1073" i="3" s="1"/>
  <c r="AU1697" i="3"/>
  <c r="AU2257" i="3"/>
  <c r="AU1137" i="3" s="1"/>
  <c r="AU1691" i="3"/>
  <c r="AU2251" i="3"/>
  <c r="AU1131" i="3" s="1"/>
  <c r="AU1719" i="3"/>
  <c r="AU1470" i="3"/>
  <c r="AU2030" i="3"/>
  <c r="AU910" i="3" s="1"/>
  <c r="AU1502" i="3"/>
  <c r="AU2062" i="3"/>
  <c r="AU942" i="3" s="1"/>
  <c r="AU1534" i="3"/>
  <c r="AU2094" i="3"/>
  <c r="AU1550" i="3"/>
  <c r="AU2110" i="3"/>
  <c r="AU990" i="3" s="1"/>
  <c r="AU1566" i="3"/>
  <c r="AU2126" i="3"/>
  <c r="AU1006" i="3" s="1"/>
  <c r="AU1582" i="3"/>
  <c r="AU2142" i="3"/>
  <c r="AU1022" i="3" s="1"/>
  <c r="AU1598" i="3"/>
  <c r="AU2158" i="3"/>
  <c r="AU1038" i="3" s="1"/>
  <c r="AU1614" i="3"/>
  <c r="AU2174" i="3"/>
  <c r="AU1054" i="3" s="1"/>
  <c r="AU1630" i="3"/>
  <c r="AU2190" i="3"/>
  <c r="AU1070" i="3" s="1"/>
  <c r="AU1662" i="3"/>
  <c r="AU2222" i="3"/>
  <c r="AU1102" i="3" s="1"/>
  <c r="AU1678" i="3"/>
  <c r="AU2238" i="3"/>
  <c r="AU1118" i="3" s="1"/>
  <c r="AU1698" i="3"/>
  <c r="AU2258" i="3"/>
  <c r="AU1138" i="3" s="1"/>
  <c r="AU1483" i="3"/>
  <c r="AU2043" i="3"/>
  <c r="AU923" i="3" s="1"/>
  <c r="AU1499" i="3"/>
  <c r="AU2059" i="3"/>
  <c r="AU939" i="3" s="1"/>
  <c r="AU1531" i="3"/>
  <c r="AU2091" i="3"/>
  <c r="AU971" i="3" s="1"/>
  <c r="AU1547" i="3"/>
  <c r="AU2107" i="3"/>
  <c r="AU987" i="3" s="1"/>
  <c r="AU1563" i="3"/>
  <c r="AU2123" i="3"/>
  <c r="AU1003" i="3" s="1"/>
  <c r="AU1579" i="3"/>
  <c r="AU2139" i="3"/>
  <c r="AU1019" i="3" s="1"/>
  <c r="AU1595" i="3"/>
  <c r="AU2155" i="3"/>
  <c r="AU1035" i="3" s="1"/>
  <c r="AU1611" i="3"/>
  <c r="AU2171" i="3"/>
  <c r="AU1051" i="3" s="1"/>
  <c r="AU1627" i="3"/>
  <c r="AU2187" i="3"/>
  <c r="AU1067" i="3" s="1"/>
  <c r="AU1679" i="3"/>
  <c r="AU2239" i="3"/>
  <c r="AU1119" i="3" s="1"/>
  <c r="AU1675" i="3"/>
  <c r="AU2235" i="3"/>
  <c r="AU1115" i="3" s="1"/>
  <c r="AQ1530" i="3"/>
  <c r="AQ2090" i="3"/>
  <c r="AQ970" i="3" s="1"/>
  <c r="AQ1522" i="3"/>
  <c r="AQ2082" i="3"/>
  <c r="AQ962" i="3" s="1"/>
  <c r="AQ1622" i="3"/>
  <c r="AQ2182" i="3"/>
  <c r="AQ1062" i="3" s="1"/>
  <c r="AQ1510" i="3"/>
  <c r="AQ2070" i="3"/>
  <c r="AQ950" i="3" s="1"/>
  <c r="AQ1566" i="3"/>
  <c r="AQ2126" i="3"/>
  <c r="AQ1006" i="3" s="1"/>
  <c r="AQ1571" i="3"/>
  <c r="AQ2131" i="3"/>
  <c r="AQ1011" i="3" s="1"/>
  <c r="AQ1602" i="3"/>
  <c r="AQ2162" i="3"/>
  <c r="AQ1042" i="3" s="1"/>
  <c r="AQ1502" i="3"/>
  <c r="AQ2062" i="3"/>
  <c r="AQ942" i="3" s="1"/>
  <c r="AQ1586" i="3"/>
  <c r="AQ2146" i="3"/>
  <c r="AQ1026" i="3" s="1"/>
  <c r="AQ1546" i="3"/>
  <c r="AQ2106" i="3"/>
  <c r="AQ986" i="3" s="1"/>
  <c r="AQ1610" i="3"/>
  <c r="AQ2170" i="3"/>
  <c r="AQ1050" i="3" s="1"/>
  <c r="AQ1678" i="3"/>
  <c r="AQ2238" i="3"/>
  <c r="AQ1118" i="3" s="1"/>
  <c r="AQ1627" i="3"/>
  <c r="AQ2187" i="3"/>
  <c r="AQ1067" i="3" s="1"/>
  <c r="AQ1706" i="3"/>
  <c r="AQ1475" i="3"/>
  <c r="AQ2035" i="3"/>
  <c r="AQ915" i="3" s="1"/>
  <c r="AQ1491" i="3"/>
  <c r="AQ2051" i="3"/>
  <c r="AQ931" i="3" s="1"/>
  <c r="AQ1507" i="3"/>
  <c r="AQ2067" i="3"/>
  <c r="AQ947" i="3" s="1"/>
  <c r="AQ1466" i="3"/>
  <c r="AQ2026" i="3"/>
  <c r="AQ906" i="3" s="1"/>
  <c r="AQ1543" i="3"/>
  <c r="AQ2103" i="3"/>
  <c r="AQ983" i="3" s="1"/>
  <c r="AQ1575" i="3"/>
  <c r="AQ2135" i="3"/>
  <c r="AQ1015" i="3" s="1"/>
  <c r="AQ1607" i="3"/>
  <c r="AQ2167" i="3"/>
  <c r="AQ1047" i="3" s="1"/>
  <c r="AQ1667" i="3"/>
  <c r="AQ2227" i="3"/>
  <c r="AQ1107" i="3" s="1"/>
  <c r="AQ1642" i="3"/>
  <c r="AQ2202" i="3"/>
  <c r="AQ1082" i="3" s="1"/>
  <c r="AQ1658" i="3"/>
  <c r="AQ2218" i="3"/>
  <c r="AQ1098" i="3" s="1"/>
  <c r="AQ1688" i="3"/>
  <c r="AQ2248" i="3"/>
  <c r="AQ1128" i="3" s="1"/>
  <c r="AQ1669" i="3"/>
  <c r="AQ2229" i="3"/>
  <c r="AQ1109" i="3" s="1"/>
  <c r="AQ1685" i="3"/>
  <c r="AQ2245" i="3"/>
  <c r="AQ1125" i="3" s="1"/>
  <c r="AQ1694" i="3"/>
  <c r="AQ2254" i="3"/>
  <c r="AQ1134" i="3" s="1"/>
  <c r="AQ1635" i="3"/>
  <c r="AQ2195" i="3"/>
  <c r="AQ1075" i="3" s="1"/>
  <c r="AQ1663" i="3"/>
  <c r="AQ2223" i="3"/>
  <c r="AQ1103" i="3" s="1"/>
  <c r="AQ1722" i="3"/>
  <c r="AQ2256" i="3"/>
  <c r="AQ1136" i="3" s="1"/>
  <c r="AQ1696" i="3"/>
  <c r="AQ1416" i="3" s="1"/>
  <c r="AQ1660" i="3"/>
  <c r="AQ2220" i="3"/>
  <c r="AQ1100" i="3" s="1"/>
  <c r="AQ1692" i="3"/>
  <c r="AQ2252" i="3"/>
  <c r="AQ1132" i="3" s="1"/>
  <c r="AQ1473" i="3"/>
  <c r="AQ2033" i="3"/>
  <c r="AQ913" i="3" s="1"/>
  <c r="AQ1489" i="3"/>
  <c r="AQ2049" i="3"/>
  <c r="AQ929" i="3" s="1"/>
  <c r="AQ1505" i="3"/>
  <c r="AQ2065" i="3"/>
  <c r="AQ945" i="3" s="1"/>
  <c r="AQ1521" i="3"/>
  <c r="AQ2081" i="3"/>
  <c r="AQ961" i="3" s="1"/>
  <c r="AQ2097" i="3"/>
  <c r="AQ977" i="3" s="1"/>
  <c r="AQ1537" i="3"/>
  <c r="AQ1553" i="3"/>
  <c r="AQ2113" i="3"/>
  <c r="AQ993" i="3" s="1"/>
  <c r="AQ1569" i="3"/>
  <c r="AQ2129" i="3"/>
  <c r="AQ1009" i="3" s="1"/>
  <c r="AQ1585" i="3"/>
  <c r="AQ2145" i="3"/>
  <c r="AQ1025" i="3" s="1"/>
  <c r="AQ1601" i="3"/>
  <c r="AQ2161" i="3"/>
  <c r="AQ1041" i="3" s="1"/>
  <c r="AQ2177" i="3"/>
  <c r="AQ1057" i="3" s="1"/>
  <c r="AQ1617" i="3"/>
  <c r="AQ2193" i="3"/>
  <c r="AQ1073" i="3" s="1"/>
  <c r="AQ1633" i="3"/>
  <c r="AQ1353" i="3" s="1"/>
  <c r="AQ1719" i="3"/>
  <c r="AQ1439" i="3" s="1"/>
  <c r="AQ1703" i="3"/>
  <c r="AQ2263" i="3"/>
  <c r="AQ1143" i="3" s="1"/>
  <c r="AQ1480" i="3"/>
  <c r="AQ2040" i="3"/>
  <c r="AQ920" i="3" s="1"/>
  <c r="AQ1496" i="3"/>
  <c r="AQ2056" i="3"/>
  <c r="AQ1512" i="3"/>
  <c r="AQ2072" i="3"/>
  <c r="AQ952" i="3" s="1"/>
  <c r="AQ1528" i="3"/>
  <c r="AQ2088" i="3"/>
  <c r="AQ968" i="3" s="1"/>
  <c r="AQ1544" i="3"/>
  <c r="AQ2104" i="3"/>
  <c r="AQ984" i="3" s="1"/>
  <c r="AQ1560" i="3"/>
  <c r="AQ2120" i="3"/>
  <c r="AQ1000" i="3" s="1"/>
  <c r="AQ1576" i="3"/>
  <c r="AQ2136" i="3"/>
  <c r="AQ1016" i="3" s="1"/>
  <c r="AQ1592" i="3"/>
  <c r="AQ2152" i="3"/>
  <c r="AQ1032" i="3" s="1"/>
  <c r="AQ1608" i="3"/>
  <c r="AQ2168" i="3"/>
  <c r="AQ1048" i="3" s="1"/>
  <c r="AQ1624" i="3"/>
  <c r="AQ2184" i="3"/>
  <c r="AQ1064" i="3" s="1"/>
  <c r="AQ1720" i="3"/>
  <c r="AQ1736" i="3"/>
  <c r="AQ1705" i="3"/>
  <c r="AQ1707" i="3"/>
  <c r="AM1510" i="3"/>
  <c r="AM2070" i="3"/>
  <c r="AM950" i="3" s="1"/>
  <c r="AM1502" i="3"/>
  <c r="AM2062" i="3"/>
  <c r="AM942" i="3" s="1"/>
  <c r="AM1586" i="3"/>
  <c r="AM2146" i="3"/>
  <c r="AM1026" i="3" s="1"/>
  <c r="AM1491" i="3"/>
  <c r="AM2051" i="3"/>
  <c r="AM931" i="3" s="1"/>
  <c r="AM1506" i="3"/>
  <c r="AM2066" i="3"/>
  <c r="AM946" i="3" s="1"/>
  <c r="AM1594" i="3"/>
  <c r="AM2154" i="3"/>
  <c r="AM1034" i="3" s="1"/>
  <c r="AM1527" i="3"/>
  <c r="AM2087" i="3"/>
  <c r="AM967" i="3" s="1"/>
  <c r="AM1618" i="3"/>
  <c r="AM2178" i="3"/>
  <c r="AM1058" i="3" s="1"/>
  <c r="AM1482" i="3"/>
  <c r="AM2042" i="3"/>
  <c r="AM922" i="3" s="1"/>
  <c r="AM1538" i="3"/>
  <c r="AM2098" i="3"/>
  <c r="AM978" i="3" s="1"/>
  <c r="AM1614" i="3"/>
  <c r="AM2174" i="3"/>
  <c r="AM1054" i="3" s="1"/>
  <c r="AM1558" i="3"/>
  <c r="AM2118" i="3"/>
  <c r="AM998" i="3" s="1"/>
  <c r="AM1622" i="3"/>
  <c r="AM2182" i="3"/>
  <c r="AM1062" i="3" s="1"/>
  <c r="AM1690" i="3"/>
  <c r="AM2250" i="3"/>
  <c r="AM1130" i="3" s="1"/>
  <c r="AM1686" i="3"/>
  <c r="AM2246" i="3"/>
  <c r="AM1126" i="3" s="1"/>
  <c r="AM1639" i="3"/>
  <c r="AM2199" i="3"/>
  <c r="AM1079" i="3" s="1"/>
  <c r="AM1719" i="3"/>
  <c r="AM1718" i="3"/>
  <c r="AM1734" i="3"/>
  <c r="AM1481" i="3"/>
  <c r="AM2041" i="3"/>
  <c r="AM921" i="3" s="1"/>
  <c r="AM1539" i="3"/>
  <c r="AM2099" i="3"/>
  <c r="AM979" i="3" s="1"/>
  <c r="AM1555" i="3"/>
  <c r="AM2115" i="3"/>
  <c r="AM995" i="3" s="1"/>
  <c r="AM1571" i="3"/>
  <c r="AM2131" i="3"/>
  <c r="AM1011" i="3" s="1"/>
  <c r="AM1587" i="3"/>
  <c r="AM2147" i="3"/>
  <c r="AM1027" i="3" s="1"/>
  <c r="AM1603" i="3"/>
  <c r="AM2163" i="3"/>
  <c r="AM1043" i="3" s="1"/>
  <c r="AM1619" i="3"/>
  <c r="AM2179" i="3"/>
  <c r="AM1059" i="3" s="1"/>
  <c r="AM1687" i="3"/>
  <c r="AM2247" i="3"/>
  <c r="AM1127" i="3" s="1"/>
  <c r="AM1650" i="3"/>
  <c r="AM2210" i="3"/>
  <c r="AM1090" i="3" s="1"/>
  <c r="AM1666" i="3"/>
  <c r="AM2226" i="3"/>
  <c r="AM1106" i="3" s="1"/>
  <c r="AM1641" i="3"/>
  <c r="AM2201" i="3"/>
  <c r="AM1081" i="3" s="1"/>
  <c r="AM1657" i="3"/>
  <c r="AM2217" i="3"/>
  <c r="AM1097" i="3" s="1"/>
  <c r="AM1655" i="3"/>
  <c r="AM2215" i="3"/>
  <c r="AM1095" i="3" s="1"/>
  <c r="AM1469" i="3"/>
  <c r="AM2029" i="3"/>
  <c r="AM909" i="3" s="1"/>
  <c r="AM1683" i="3"/>
  <c r="AM2243" i="3"/>
  <c r="AM1123" i="3" s="1"/>
  <c r="AM1472" i="3"/>
  <c r="AM2032" i="3"/>
  <c r="AM912" i="3" s="1"/>
  <c r="AM1504" i="3"/>
  <c r="AM2064" i="3"/>
  <c r="AM944" i="3" s="1"/>
  <c r="AM1520" i="3"/>
  <c r="AM2080" i="3"/>
  <c r="AM960" i="3" s="1"/>
  <c r="AM1536" i="3"/>
  <c r="AM2096" i="3"/>
  <c r="AM1552" i="3"/>
  <c r="AM2112" i="3"/>
  <c r="AM992" i="3" s="1"/>
  <c r="AM1568" i="3"/>
  <c r="AM2128" i="3"/>
  <c r="AM1008" i="3" s="1"/>
  <c r="AM1584" i="3"/>
  <c r="AM2144" i="3"/>
  <c r="AM1024" i="3" s="1"/>
  <c r="AM1600" i="3"/>
  <c r="AM2160" i="3"/>
  <c r="AM1040" i="3" s="1"/>
  <c r="AM1616" i="3"/>
  <c r="AM2176" i="3"/>
  <c r="AM1056" i="3" s="1"/>
  <c r="AM1632" i="3"/>
  <c r="AM2192" i="3"/>
  <c r="AM1072" i="3" s="1"/>
  <c r="AM1668" i="3"/>
  <c r="AM2228" i="3"/>
  <c r="AM1108" i="3" s="1"/>
  <c r="AM1684" i="3"/>
  <c r="AM2244" i="3"/>
  <c r="AM1124" i="3" s="1"/>
  <c r="AM1700" i="3"/>
  <c r="AM2260" i="3"/>
  <c r="AM1140" i="3" s="1"/>
  <c r="AM1501" i="3"/>
  <c r="AM2061" i="3"/>
  <c r="AM941" i="3" s="1"/>
  <c r="AM1533" i="3"/>
  <c r="AM2093" i="3"/>
  <c r="AM1549" i="3"/>
  <c r="AM2109" i="3"/>
  <c r="AM989" i="3" s="1"/>
  <c r="AM1565" i="3"/>
  <c r="AM2125" i="3"/>
  <c r="AM1005" i="3" s="1"/>
  <c r="AM1581" i="3"/>
  <c r="AM2141" i="3"/>
  <c r="AM1021" i="3" s="1"/>
  <c r="AM1597" i="3"/>
  <c r="AM2157" i="3"/>
  <c r="AM1037" i="3" s="1"/>
  <c r="AM1613" i="3"/>
  <c r="AM2173" i="3"/>
  <c r="AM1053" i="3" s="1"/>
  <c r="AM1629" i="3"/>
  <c r="AM2189" i="3"/>
  <c r="AM1069" i="3" s="1"/>
  <c r="AM1701" i="3"/>
  <c r="AM2261" i="3"/>
  <c r="AM1141" i="3" s="1"/>
  <c r="AM1717" i="3"/>
  <c r="AM1733" i="3"/>
  <c r="AM1453" i="3" s="1"/>
  <c r="AM1707" i="3"/>
  <c r="AI1635" i="3"/>
  <c r="AI2195" i="3"/>
  <c r="AI1075" i="3" s="1"/>
  <c r="AI1466" i="3"/>
  <c r="AI2026" i="3"/>
  <c r="AI906" i="3" s="1"/>
  <c r="AI1720" i="3"/>
  <c r="AI1736" i="3"/>
  <c r="AI1456" i="3" s="1"/>
  <c r="AI1494" i="3"/>
  <c r="AI2054" i="3"/>
  <c r="AI934" i="3" s="1"/>
  <c r="AI1510" i="3"/>
  <c r="AI2070" i="3"/>
  <c r="AI950" i="3" s="1"/>
  <c r="AI1542" i="3"/>
  <c r="AI2102" i="3"/>
  <c r="AI982" i="3" s="1"/>
  <c r="AI1558" i="3"/>
  <c r="AI2118" i="3"/>
  <c r="AI998" i="3" s="1"/>
  <c r="AI1574" i="3"/>
  <c r="AI2134" i="3"/>
  <c r="AI1014" i="3" s="1"/>
  <c r="AI1590" i="3"/>
  <c r="AI2150" i="3"/>
  <c r="AI1030" i="3" s="1"/>
  <c r="AI1606" i="3"/>
  <c r="AI2166" i="3"/>
  <c r="AI1046" i="3" s="1"/>
  <c r="AI1622" i="3"/>
  <c r="AI2182" i="3"/>
  <c r="AI1062" i="3" s="1"/>
  <c r="AI1638" i="3"/>
  <c r="AI2198" i="3"/>
  <c r="AI1078" i="3" s="1"/>
  <c r="AI1670" i="3"/>
  <c r="AI2230" i="3"/>
  <c r="AI1110" i="3" s="1"/>
  <c r="AI1695" i="3"/>
  <c r="AI2255" i="3"/>
  <c r="AI1135" i="3" s="1"/>
  <c r="AI1504" i="3"/>
  <c r="AI2064" i="3"/>
  <c r="AI944" i="3" s="1"/>
  <c r="AI1520" i="3"/>
  <c r="AI2080" i="3"/>
  <c r="AI960" i="3" s="1"/>
  <c r="AI1536" i="3"/>
  <c r="AI2096" i="3"/>
  <c r="AI1552" i="3"/>
  <c r="AI2112" i="3"/>
  <c r="AI992" i="3" s="1"/>
  <c r="AI1568" i="3"/>
  <c r="AI2128" i="3"/>
  <c r="AI1008" i="3" s="1"/>
  <c r="AI1584" i="3"/>
  <c r="AI2144" i="3"/>
  <c r="AI1024" i="3" s="1"/>
  <c r="AI1600" i="3"/>
  <c r="AI2160" i="3"/>
  <c r="AI1040" i="3" s="1"/>
  <c r="AI1616" i="3"/>
  <c r="AI2176" i="3"/>
  <c r="AI1056" i="3" s="1"/>
  <c r="AI1632" i="3"/>
  <c r="AI2192" i="3"/>
  <c r="AI1072" i="3" s="1"/>
  <c r="AI1705" i="3"/>
  <c r="AI1707" i="3"/>
  <c r="AI1655" i="3"/>
  <c r="AI2215" i="3"/>
  <c r="AI1095" i="3" s="1"/>
  <c r="AI1692" i="3"/>
  <c r="AI2252" i="3"/>
  <c r="AI1132" i="3" s="1"/>
  <c r="AI1473" i="3"/>
  <c r="AI2033" i="3"/>
  <c r="AI913" i="3" s="1"/>
  <c r="AI1489" i="3"/>
  <c r="AI2049" i="3"/>
  <c r="AI929" i="3" s="1"/>
  <c r="AI1505" i="3"/>
  <c r="AI2065" i="3"/>
  <c r="AI945" i="3" s="1"/>
  <c r="AI1521" i="3"/>
  <c r="AI2081" i="3"/>
  <c r="AI961" i="3" s="1"/>
  <c r="AI1537" i="3"/>
  <c r="AI2097" i="3"/>
  <c r="AI977" i="3" s="1"/>
  <c r="AI2113" i="3"/>
  <c r="AI993" i="3" s="1"/>
  <c r="AI1553" i="3"/>
  <c r="AI1569" i="3"/>
  <c r="AI2129" i="3"/>
  <c r="AI1009" i="3" s="1"/>
  <c r="AI1585" i="3"/>
  <c r="AI2145" i="3"/>
  <c r="AI1025" i="3" s="1"/>
  <c r="AI1601" i="3"/>
  <c r="AI2161" i="3"/>
  <c r="AI1041" i="3" s="1"/>
  <c r="AI1617" i="3"/>
  <c r="AI2177" i="3"/>
  <c r="AI1057" i="3" s="1"/>
  <c r="AI1633" i="3"/>
  <c r="AI2193" i="3"/>
  <c r="AI1073" i="3" s="1"/>
  <c r="AI1649" i="3"/>
  <c r="AI2209" i="3"/>
  <c r="AI1089" i="3" s="1"/>
  <c r="AI1665" i="3"/>
  <c r="AI2225" i="3"/>
  <c r="AI1105" i="3" s="1"/>
  <c r="AI1682" i="3"/>
  <c r="AI2242" i="3"/>
  <c r="AI1122" i="3" s="1"/>
  <c r="AI1706" i="3"/>
  <c r="AI1722" i="3"/>
  <c r="AI1467" i="3"/>
  <c r="AI2027" i="3"/>
  <c r="AI907" i="3" s="1"/>
  <c r="AI1483" i="3"/>
  <c r="AI2043" i="3"/>
  <c r="AI923" i="3" s="1"/>
  <c r="AI1499" i="3"/>
  <c r="AI2059" i="3"/>
  <c r="AI939" i="3" s="1"/>
  <c r="AI1531" i="3"/>
  <c r="AI2091" i="3"/>
  <c r="AI971" i="3" s="1"/>
  <c r="AI1547" i="3"/>
  <c r="AI2107" i="3"/>
  <c r="AI987" i="3" s="1"/>
  <c r="AI1563" i="3"/>
  <c r="AI2123" i="3"/>
  <c r="AI1003" i="3" s="1"/>
  <c r="AI1579" i="3"/>
  <c r="AI2139" i="3"/>
  <c r="AI1019" i="3" s="1"/>
  <c r="AI1595" i="3"/>
  <c r="AI2155" i="3"/>
  <c r="AI1035" i="3" s="1"/>
  <c r="AI1611" i="3"/>
  <c r="AI2171" i="3"/>
  <c r="AI1051" i="3" s="1"/>
  <c r="AI1627" i="3"/>
  <c r="AI2187" i="3"/>
  <c r="AI1067" i="3" s="1"/>
  <c r="AI1723" i="3"/>
  <c r="AI1735" i="3"/>
  <c r="AI1640" i="3"/>
  <c r="AI2200" i="3"/>
  <c r="AI1080" i="3" s="1"/>
  <c r="AI1656" i="3"/>
  <c r="AI2216" i="3"/>
  <c r="AI1096" i="3" s="1"/>
  <c r="AI1704" i="3"/>
  <c r="AI2264" i="3"/>
  <c r="AI1144" i="3" s="1"/>
  <c r="AI1721" i="3"/>
  <c r="AI1441" i="3" s="1"/>
  <c r="AI1737" i="3"/>
  <c r="AI1677" i="3"/>
  <c r="AI2237" i="3"/>
  <c r="AI1117" i="3" s="1"/>
  <c r="AI1675" i="3"/>
  <c r="AI2235" i="3"/>
  <c r="AI1115" i="3" s="1"/>
  <c r="AE1650" i="3"/>
  <c r="AE2210" i="3"/>
  <c r="AE1090" i="3" s="1"/>
  <c r="AE1658" i="3"/>
  <c r="AE2218" i="3"/>
  <c r="AE1098" i="3" s="1"/>
  <c r="AE1679" i="3"/>
  <c r="AE2239" i="3"/>
  <c r="AE1119" i="3" s="1"/>
  <c r="AE1726" i="3"/>
  <c r="AE1635" i="3"/>
  <c r="AE2195" i="3"/>
  <c r="AE1075" i="3" s="1"/>
  <c r="AE1466" i="3"/>
  <c r="AE2026" i="3"/>
  <c r="AE906" i="3" s="1"/>
  <c r="AE1482" i="3"/>
  <c r="AE2042" i="3"/>
  <c r="AE922" i="3" s="1"/>
  <c r="AE1498" i="3"/>
  <c r="AE2058" i="3"/>
  <c r="AE1514" i="3"/>
  <c r="AE2074" i="3"/>
  <c r="AE954" i="3" s="1"/>
  <c r="AE1530" i="3"/>
  <c r="AE2090" i="3"/>
  <c r="AE970" i="3" s="1"/>
  <c r="AE1546" i="3"/>
  <c r="AE2106" i="3"/>
  <c r="AE986" i="3" s="1"/>
  <c r="AE1562" i="3"/>
  <c r="AE2122" i="3"/>
  <c r="AE1002" i="3" s="1"/>
  <c r="AE1578" i="3"/>
  <c r="AE2138" i="3"/>
  <c r="AE1018" i="3" s="1"/>
  <c r="AE1594" i="3"/>
  <c r="AE2154" i="3"/>
  <c r="AE1034" i="3" s="1"/>
  <c r="AE1610" i="3"/>
  <c r="AE2170" i="3"/>
  <c r="AE1050" i="3" s="1"/>
  <c r="AE1626" i="3"/>
  <c r="AE2186" i="3"/>
  <c r="AE1066" i="3" s="1"/>
  <c r="AE1682" i="3"/>
  <c r="AE2242" i="3"/>
  <c r="AE1122" i="3" s="1"/>
  <c r="AE1503" i="3"/>
  <c r="AE2063" i="3"/>
  <c r="AE943" i="3" s="1"/>
  <c r="AE1519" i="3"/>
  <c r="AE2079" i="3"/>
  <c r="AE959" i="3" s="1"/>
  <c r="AE1535" i="3"/>
  <c r="AE2095" i="3"/>
  <c r="AE1551" i="3"/>
  <c r="AE2111" i="3"/>
  <c r="AE991" i="3" s="1"/>
  <c r="AE1567" i="3"/>
  <c r="AE2127" i="3"/>
  <c r="AE1007" i="3" s="1"/>
  <c r="AE1583" i="3"/>
  <c r="AE2143" i="3"/>
  <c r="AE1023" i="3" s="1"/>
  <c r="AE1599" i="3"/>
  <c r="AE2159" i="3"/>
  <c r="AE1039" i="3" s="1"/>
  <c r="AE1615" i="3"/>
  <c r="AE2175" i="3"/>
  <c r="AE1055" i="3" s="1"/>
  <c r="AE1631" i="3"/>
  <c r="AE2191" i="3"/>
  <c r="AE1071" i="3" s="1"/>
  <c r="AE1504" i="3"/>
  <c r="AE2064" i="3"/>
  <c r="AE944" i="3" s="1"/>
  <c r="AE1520" i="3"/>
  <c r="AE2080" i="3"/>
  <c r="AE960" i="3" s="1"/>
  <c r="AE1536" i="3"/>
  <c r="AE2096" i="3"/>
  <c r="AE1552" i="3"/>
  <c r="AE2112" i="3"/>
  <c r="AE992" i="3" s="1"/>
  <c r="AE1568" i="3"/>
  <c r="AE2128" i="3"/>
  <c r="AE1008" i="3" s="1"/>
  <c r="AE2144" i="3"/>
  <c r="AE1024" i="3" s="1"/>
  <c r="AE1584" i="3"/>
  <c r="AE1600" i="3"/>
  <c r="AE2160" i="3"/>
  <c r="AE1040" i="3" s="1"/>
  <c r="AE1616" i="3"/>
  <c r="AE2176" i="3"/>
  <c r="AE1056" i="3" s="1"/>
  <c r="AE1632" i="3"/>
  <c r="AE2192" i="3"/>
  <c r="AE1072" i="3" s="1"/>
  <c r="AE1704" i="3"/>
  <c r="AE2264" i="3"/>
  <c r="AE1144" i="3" s="1"/>
  <c r="AE1489" i="3"/>
  <c r="AE2049" i="3"/>
  <c r="AE929" i="3" s="1"/>
  <c r="AE1505" i="3"/>
  <c r="AE2065" i="3"/>
  <c r="AE945" i="3" s="1"/>
  <c r="AE1521" i="3"/>
  <c r="AE2081" i="3"/>
  <c r="AE961" i="3" s="1"/>
  <c r="AE1537" i="3"/>
  <c r="AE2097" i="3"/>
  <c r="AE977" i="3" s="1"/>
  <c r="AE1553" i="3"/>
  <c r="AE2113" i="3"/>
  <c r="AE993" i="3" s="1"/>
  <c r="AE1569" i="3"/>
  <c r="AE2129" i="3"/>
  <c r="AE1009" i="3" s="1"/>
  <c r="AE1585" i="3"/>
  <c r="AE2145" i="3"/>
  <c r="AE1025" i="3" s="1"/>
  <c r="AE1601" i="3"/>
  <c r="AE2161" i="3"/>
  <c r="AE1041" i="3" s="1"/>
  <c r="AE1617" i="3"/>
  <c r="AE2177" i="3"/>
  <c r="AE1057" i="3" s="1"/>
  <c r="AE1633" i="3"/>
  <c r="AE2193" i="3"/>
  <c r="AE1073" i="3" s="1"/>
  <c r="AE1705" i="3"/>
  <c r="AE1707" i="3"/>
  <c r="AE1690" i="3"/>
  <c r="AE2250" i="3"/>
  <c r="AE1130" i="3" s="1"/>
  <c r="AE1676" i="3"/>
  <c r="AE2236" i="3"/>
  <c r="AE1116" i="3" s="1"/>
  <c r="AE1639" i="3"/>
  <c r="AE2199" i="3"/>
  <c r="AE1079" i="3" s="1"/>
  <c r="AE1655" i="3"/>
  <c r="AE2215" i="3"/>
  <c r="AE1095" i="3" s="1"/>
  <c r="AE1469" i="3"/>
  <c r="AE2029" i="3"/>
  <c r="AE909" i="3" s="1"/>
  <c r="AE1641" i="3"/>
  <c r="AE2201" i="3"/>
  <c r="AE1081" i="3" s="1"/>
  <c r="AE1657" i="3"/>
  <c r="AE2217" i="3"/>
  <c r="AE1097" i="3" s="1"/>
  <c r="AE1687" i="3"/>
  <c r="AE2247" i="3"/>
  <c r="AE1127" i="3" s="1"/>
  <c r="AE1640" i="3"/>
  <c r="AE2200" i="3"/>
  <c r="AE1080" i="3" s="1"/>
  <c r="AE1656" i="3"/>
  <c r="AE2216" i="3"/>
  <c r="AE1096" i="3" s="1"/>
  <c r="AE1729" i="3"/>
  <c r="AE1727" i="3"/>
  <c r="AE1447" i="3" s="1"/>
  <c r="AA1710" i="3"/>
  <c r="AA1511" i="3"/>
  <c r="AA2071" i="3"/>
  <c r="AA951" i="3" s="1"/>
  <c r="AA1483" i="3"/>
  <c r="AA2043" i="3"/>
  <c r="AA923" i="3" s="1"/>
  <c r="AA1731" i="3"/>
  <c r="AA1726" i="3"/>
  <c r="AA1446" i="3" s="1"/>
  <c r="AA1482" i="3"/>
  <c r="AA2042" i="3"/>
  <c r="AA922" i="3" s="1"/>
  <c r="AA1514" i="3"/>
  <c r="AA2074" i="3"/>
  <c r="AA954" i="3" s="1"/>
  <c r="AA1530" i="3"/>
  <c r="AA2090" i="3"/>
  <c r="AA970" i="3" s="1"/>
  <c r="AA1562" i="3"/>
  <c r="AA2122" i="3"/>
  <c r="AA1002" i="3" s="1"/>
  <c r="AA1626" i="3"/>
  <c r="AA2186" i="3"/>
  <c r="AA1066" i="3" s="1"/>
  <c r="AA1735" i="3"/>
  <c r="AA1639" i="3"/>
  <c r="AA2199" i="3"/>
  <c r="AA1079" i="3" s="1"/>
  <c r="AA1720" i="3"/>
  <c r="AA1736" i="3"/>
  <c r="AA1456" i="3" s="1"/>
  <c r="AA1563" i="3"/>
  <c r="AA2123" i="3"/>
  <c r="AA1003" i="3" s="1"/>
  <c r="AA1579" i="3"/>
  <c r="AA2139" i="3"/>
  <c r="AA1019" i="3" s="1"/>
  <c r="AA1595" i="3"/>
  <c r="AA2155" i="3"/>
  <c r="AA1035" i="3" s="1"/>
  <c r="AA1627" i="3"/>
  <c r="AA2187" i="3"/>
  <c r="AA1067" i="3" s="1"/>
  <c r="AA1660" i="3"/>
  <c r="AA2220" i="3"/>
  <c r="AA1100" i="3" s="1"/>
  <c r="AA1721" i="3"/>
  <c r="AA1737" i="3"/>
  <c r="AA1662" i="3"/>
  <c r="AA2222" i="3"/>
  <c r="AA1102" i="3" s="1"/>
  <c r="AA1694" i="3"/>
  <c r="AA2254" i="3"/>
  <c r="AA1134" i="3" s="1"/>
  <c r="AA1659" i="3"/>
  <c r="AA2219" i="3"/>
  <c r="AA1099" i="3" s="1"/>
  <c r="AA1504" i="3"/>
  <c r="AA2064" i="3"/>
  <c r="AA944" i="3" s="1"/>
  <c r="AA1520" i="3"/>
  <c r="AA2080" i="3"/>
  <c r="AA960" i="3" s="1"/>
  <c r="AA1552" i="3"/>
  <c r="AA2112" i="3"/>
  <c r="AA992" i="3" s="1"/>
  <c r="AA1568" i="3"/>
  <c r="AA2128" i="3"/>
  <c r="AA1008" i="3" s="1"/>
  <c r="AA1584" i="3"/>
  <c r="AA2144" i="3"/>
  <c r="AA1024" i="3" s="1"/>
  <c r="AA1600" i="3"/>
  <c r="AA2160" i="3"/>
  <c r="AA1040" i="3" s="1"/>
  <c r="AA1616" i="3"/>
  <c r="AA2176" i="3"/>
  <c r="AA1056" i="3" s="1"/>
  <c r="AA1705" i="3"/>
  <c r="AA2252" i="3"/>
  <c r="AA1132" i="3" s="1"/>
  <c r="AA1692" i="3"/>
  <c r="AA1473" i="3"/>
  <c r="AA2033" i="3"/>
  <c r="AA913" i="3" s="1"/>
  <c r="AA1489" i="3"/>
  <c r="AA2049" i="3"/>
  <c r="AA929" i="3" s="1"/>
  <c r="AA1505" i="3"/>
  <c r="AA2065" i="3"/>
  <c r="AA945" i="3" s="1"/>
  <c r="AA1521" i="3"/>
  <c r="AA2081" i="3"/>
  <c r="AA961" i="3" s="1"/>
  <c r="AA1537" i="3"/>
  <c r="AA2097" i="3"/>
  <c r="AA977" i="3" s="1"/>
  <c r="AA1553" i="3"/>
  <c r="AA2113" i="3"/>
  <c r="AA993" i="3" s="1"/>
  <c r="AA1569" i="3"/>
  <c r="AA2129" i="3"/>
  <c r="AA1009" i="3" s="1"/>
  <c r="AA1585" i="3"/>
  <c r="AA2145" i="3"/>
  <c r="AA1025" i="3" s="1"/>
  <c r="AA1617" i="3"/>
  <c r="AA2177" i="3"/>
  <c r="AA1057" i="3" s="1"/>
  <c r="AA1669" i="3"/>
  <c r="AA2229" i="3"/>
  <c r="AA1109" i="3" s="1"/>
  <c r="W1678" i="3"/>
  <c r="W2238" i="3"/>
  <c r="W1118" i="3" s="1"/>
  <c r="W1718" i="3"/>
  <c r="W1734" i="3"/>
  <c r="W1563" i="3"/>
  <c r="W2123" i="3"/>
  <c r="W1003" i="3" s="1"/>
  <c r="W1595" i="3"/>
  <c r="W2155" i="3"/>
  <c r="W1035" i="3" s="1"/>
  <c r="W1627" i="3"/>
  <c r="W2187" i="3"/>
  <c r="W1067" i="3" s="1"/>
  <c r="W1662" i="3"/>
  <c r="W2222" i="3"/>
  <c r="W1102" i="3" s="1"/>
  <c r="W1467" i="3"/>
  <c r="W2027" i="3"/>
  <c r="W907" i="3" s="1"/>
  <c r="W1502" i="3"/>
  <c r="W2062" i="3"/>
  <c r="W942" i="3" s="1"/>
  <c r="W1550" i="3"/>
  <c r="W2110" i="3"/>
  <c r="W990" i="3" s="1"/>
  <c r="W1566" i="3"/>
  <c r="W2126" i="3"/>
  <c r="W1006" i="3" s="1"/>
  <c r="W1582" i="3"/>
  <c r="W2142" i="3"/>
  <c r="W1022" i="3" s="1"/>
  <c r="W1598" i="3"/>
  <c r="W2158" i="3"/>
  <c r="W1038" i="3" s="1"/>
  <c r="W1614" i="3"/>
  <c r="W2174" i="3"/>
  <c r="W1054" i="3" s="1"/>
  <c r="W1630" i="3"/>
  <c r="W2190" i="3"/>
  <c r="W1070" i="3" s="1"/>
  <c r="W1503" i="3"/>
  <c r="W2063" i="3"/>
  <c r="W943" i="3" s="1"/>
  <c r="W1519" i="3"/>
  <c r="W2079" i="3"/>
  <c r="W959" i="3" s="1"/>
  <c r="W1567" i="3"/>
  <c r="W2127" i="3"/>
  <c r="W1007" i="3" s="1"/>
  <c r="W1599" i="3"/>
  <c r="W2159" i="3"/>
  <c r="W1039" i="3" s="1"/>
  <c r="W1469" i="3"/>
  <c r="W2029" i="3"/>
  <c r="W909" i="3" s="1"/>
  <c r="W1648" i="3"/>
  <c r="W2208" i="3"/>
  <c r="W1088" i="3" s="1"/>
  <c r="W1717" i="3"/>
  <c r="W1733" i="3"/>
  <c r="W1679" i="3"/>
  <c r="W2239" i="3"/>
  <c r="W1119" i="3" s="1"/>
  <c r="W1468" i="3"/>
  <c r="W2028" i="3"/>
  <c r="W908" i="3" s="1"/>
  <c r="W1484" i="3"/>
  <c r="W2044" i="3"/>
  <c r="W924" i="3" s="1"/>
  <c r="W1500" i="3"/>
  <c r="W2060" i="3"/>
  <c r="W940" i="3" s="1"/>
  <c r="W1532" i="3"/>
  <c r="W2092" i="3"/>
  <c r="W972" i="3" s="1"/>
  <c r="W1564" i="3"/>
  <c r="W2124" i="3"/>
  <c r="W1004" i="3" s="1"/>
  <c r="W1580" i="3"/>
  <c r="W2140" i="3"/>
  <c r="W1020" i="3" s="1"/>
  <c r="W1596" i="3"/>
  <c r="W2156" i="3"/>
  <c r="W1036" i="3" s="1"/>
  <c r="W1628" i="3"/>
  <c r="W2188" i="3"/>
  <c r="W1068" i="3" s="1"/>
  <c r="W1481" i="3"/>
  <c r="W2041" i="3"/>
  <c r="W921" i="3" s="1"/>
  <c r="W1513" i="3"/>
  <c r="W2073" i="3"/>
  <c r="W953" i="3" s="1"/>
  <c r="W1529" i="3"/>
  <c r="W2089" i="3"/>
  <c r="W969" i="3" s="1"/>
  <c r="W1561" i="3"/>
  <c r="W2121" i="3"/>
  <c r="W1001" i="3" s="1"/>
  <c r="W1625" i="3"/>
  <c r="W2185" i="3"/>
  <c r="W1065" i="3" s="1"/>
  <c r="W1641" i="3"/>
  <c r="W2201" i="3"/>
  <c r="W1081" i="3" s="1"/>
  <c r="W1657" i="3"/>
  <c r="W2217" i="3"/>
  <c r="W1097" i="3" s="1"/>
  <c r="W1705" i="3"/>
  <c r="W1707" i="3"/>
  <c r="W1731" i="3"/>
  <c r="W1727" i="3"/>
  <c r="S1734" i="3"/>
  <c r="S1726" i="3"/>
  <c r="S1544" i="3"/>
  <c r="S2104" i="3"/>
  <c r="S984" i="3" s="1"/>
  <c r="S1650" i="3"/>
  <c r="S2210" i="3"/>
  <c r="S1090" i="3" s="1"/>
  <c r="S1468" i="3"/>
  <c r="S2028" i="3"/>
  <c r="S908" i="3" s="1"/>
  <c r="S1532" i="3"/>
  <c r="S2092" i="3"/>
  <c r="S972" i="3" s="1"/>
  <c r="S1596" i="3"/>
  <c r="S2156" i="3"/>
  <c r="S1036" i="3" s="1"/>
  <c r="S1504" i="3"/>
  <c r="S2064" i="3"/>
  <c r="S944" i="3" s="1"/>
  <c r="S1568" i="3"/>
  <c r="S2128" i="3"/>
  <c r="S1008" i="3" s="1"/>
  <c r="S1476" i="3"/>
  <c r="S2036" i="3"/>
  <c r="S916" i="3" s="1"/>
  <c r="S1540" i="3"/>
  <c r="S2100" i="3"/>
  <c r="S980" i="3" s="1"/>
  <c r="S1640" i="3"/>
  <c r="S2200" i="3"/>
  <c r="S1080" i="3" s="1"/>
  <c r="S1656" i="3"/>
  <c r="S2216" i="3"/>
  <c r="S1096" i="3" s="1"/>
  <c r="S1705" i="3"/>
  <c r="S1721" i="3"/>
  <c r="S1441" i="3" s="1"/>
  <c r="S1737" i="3"/>
  <c r="S1711" i="3"/>
  <c r="S1431" i="3" s="1"/>
  <c r="S1503" i="3"/>
  <c r="S2063" i="3"/>
  <c r="S943" i="3" s="1"/>
  <c r="S1519" i="3"/>
  <c r="S2079" i="3"/>
  <c r="S959" i="3" s="1"/>
  <c r="S1551" i="3"/>
  <c r="S2111" i="3"/>
  <c r="S991" i="3" s="1"/>
  <c r="S1567" i="3"/>
  <c r="S2127" i="3"/>
  <c r="S1007" i="3" s="1"/>
  <c r="S1583" i="3"/>
  <c r="S2143" i="3"/>
  <c r="S1023" i="3" s="1"/>
  <c r="S1599" i="3"/>
  <c r="S2159" i="3"/>
  <c r="S1039" i="3" s="1"/>
  <c r="S1615" i="3"/>
  <c r="S2175" i="3"/>
  <c r="S1055" i="3" s="1"/>
  <c r="S1655" i="3"/>
  <c r="S2215" i="3"/>
  <c r="S1095" i="3" s="1"/>
  <c r="S1692" i="3"/>
  <c r="S2252" i="3"/>
  <c r="S1132" i="3" s="1"/>
  <c r="S1473" i="3"/>
  <c r="S2033" i="3"/>
  <c r="S913" i="3" s="1"/>
  <c r="S1489" i="3"/>
  <c r="S2049" i="3"/>
  <c r="S929" i="3" s="1"/>
  <c r="S1505" i="3"/>
  <c r="S2065" i="3"/>
  <c r="S945" i="3" s="1"/>
  <c r="S1521" i="3"/>
  <c r="S2081" i="3"/>
  <c r="S961" i="3" s="1"/>
  <c r="S1537" i="3"/>
  <c r="S2097" i="3"/>
  <c r="S977" i="3" s="1"/>
  <c r="S1553" i="3"/>
  <c r="S2113" i="3"/>
  <c r="S993" i="3" s="1"/>
  <c r="S1569" i="3"/>
  <c r="S2129" i="3"/>
  <c r="S1009" i="3" s="1"/>
  <c r="S1585" i="3"/>
  <c r="S2145" i="3"/>
  <c r="S1025" i="3" s="1"/>
  <c r="S1617" i="3"/>
  <c r="S2177" i="3"/>
  <c r="S1057" i="3" s="1"/>
  <c r="S1502" i="3"/>
  <c r="S2062" i="3"/>
  <c r="S942" i="3" s="1"/>
  <c r="S1550" i="3"/>
  <c r="S2110" i="3"/>
  <c r="S990" i="3" s="1"/>
  <c r="S1566" i="3"/>
  <c r="S2126" i="3"/>
  <c r="S1006" i="3" s="1"/>
  <c r="S1582" i="3"/>
  <c r="S2142" i="3"/>
  <c r="S1022" i="3" s="1"/>
  <c r="S1598" i="3"/>
  <c r="S2158" i="3"/>
  <c r="S1038" i="3" s="1"/>
  <c r="S1614" i="3"/>
  <c r="S2174" i="3"/>
  <c r="S1054" i="3" s="1"/>
  <c r="S1630" i="3"/>
  <c r="S2190" i="3"/>
  <c r="S1070" i="3" s="1"/>
  <c r="S1690" i="3"/>
  <c r="S2250" i="3"/>
  <c r="S1130" i="3" s="1"/>
  <c r="S1667" i="3"/>
  <c r="S2227" i="3"/>
  <c r="S1107" i="3" s="1"/>
  <c r="S1723" i="3"/>
  <c r="S1637" i="3"/>
  <c r="S2197" i="3"/>
  <c r="S1077" i="3" s="1"/>
  <c r="S1689" i="3"/>
  <c r="S2249" i="3"/>
  <c r="S1129" i="3" s="1"/>
  <c r="S1727" i="3"/>
  <c r="S1720" i="3"/>
  <c r="S1736" i="3"/>
  <c r="S1669" i="3"/>
  <c r="S2229" i="3"/>
  <c r="S1109" i="3" s="1"/>
  <c r="AW1670" i="3"/>
  <c r="AW2230" i="3"/>
  <c r="AW1110" i="3" s="1"/>
  <c r="AW1686" i="3"/>
  <c r="AW2246" i="3"/>
  <c r="AW1126" i="3" s="1"/>
  <c r="AW1726" i="3"/>
  <c r="AW1543" i="3"/>
  <c r="AW2103" i="3"/>
  <c r="AW983" i="3" s="1"/>
  <c r="AW1575" i="3"/>
  <c r="AW2135" i="3"/>
  <c r="AW1015" i="3" s="1"/>
  <c r="AW1607" i="3"/>
  <c r="AW2167" i="3"/>
  <c r="AW1047" i="3" s="1"/>
  <c r="AW1479" i="3"/>
  <c r="AW2039" i="3"/>
  <c r="AW919" i="3" s="1"/>
  <c r="AW1474" i="3"/>
  <c r="AW2034" i="3"/>
  <c r="AW914" i="3" s="1"/>
  <c r="AW1490" i="3"/>
  <c r="AW2050" i="3"/>
  <c r="AW930" i="3" s="1"/>
  <c r="AW1506" i="3"/>
  <c r="AW2066" i="3"/>
  <c r="AW946" i="3" s="1"/>
  <c r="AW1522" i="3"/>
  <c r="AW2082" i="3"/>
  <c r="AW962" i="3" s="1"/>
  <c r="AW1538" i="3"/>
  <c r="AW2098" i="3"/>
  <c r="AW978" i="3" s="1"/>
  <c r="AW1554" i="3"/>
  <c r="AW2114" i="3"/>
  <c r="AW994" i="3" s="1"/>
  <c r="AW1570" i="3"/>
  <c r="AW2130" i="3"/>
  <c r="AW1010" i="3" s="1"/>
  <c r="AW1586" i="3"/>
  <c r="AW2146" i="3"/>
  <c r="AW1026" i="3" s="1"/>
  <c r="AW1602" i="3"/>
  <c r="AW2162" i="3"/>
  <c r="AW1042" i="3" s="1"/>
  <c r="AW1618" i="3"/>
  <c r="AW2178" i="3"/>
  <c r="AW1058" i="3" s="1"/>
  <c r="AW1634" i="3"/>
  <c r="AW2194" i="3"/>
  <c r="AW1074" i="3" s="1"/>
  <c r="AW1710" i="3"/>
  <c r="AW1495" i="3"/>
  <c r="AW2055" i="3"/>
  <c r="AW1511" i="3"/>
  <c r="AW2071" i="3"/>
  <c r="AW951" i="3" s="1"/>
  <c r="AW1527" i="3"/>
  <c r="AW2087" i="3"/>
  <c r="AW967" i="3" s="1"/>
  <c r="AW1555" i="3"/>
  <c r="AW2115" i="3"/>
  <c r="AW995" i="3" s="1"/>
  <c r="AW1587" i="3"/>
  <c r="AW2147" i="3"/>
  <c r="AW1027" i="3" s="1"/>
  <c r="AW1619" i="3"/>
  <c r="AW2179" i="3"/>
  <c r="AW1059" i="3" s="1"/>
  <c r="AW1471" i="3"/>
  <c r="AW2031" i="3"/>
  <c r="AW911" i="3" s="1"/>
  <c r="AW1663" i="3"/>
  <c r="AW2223" i="3"/>
  <c r="AW1103" i="3" s="1"/>
  <c r="AW2225" i="3"/>
  <c r="AW1105" i="3" s="1"/>
  <c r="AW1665" i="3"/>
  <c r="AW1717" i="3"/>
  <c r="AW1647" i="3"/>
  <c r="AW2207" i="3"/>
  <c r="AW1087" i="3" s="1"/>
  <c r="AW1680" i="3"/>
  <c r="AW2240" i="3"/>
  <c r="AW1120" i="3" s="1"/>
  <c r="AW1695" i="3"/>
  <c r="AW2255" i="3"/>
  <c r="AW1135" i="3" s="1"/>
  <c r="AW1731" i="3"/>
  <c r="AW1480" i="3"/>
  <c r="AW2040" i="3"/>
  <c r="AW920" i="3" s="1"/>
  <c r="AW1496" i="3"/>
  <c r="AW2056" i="3"/>
  <c r="AW1512" i="3"/>
  <c r="AW2072" i="3"/>
  <c r="AW952" i="3" s="1"/>
  <c r="AW1528" i="3"/>
  <c r="AW2088" i="3"/>
  <c r="AW968" i="3" s="1"/>
  <c r="AW1544" i="3"/>
  <c r="AW2104" i="3"/>
  <c r="AW984" i="3" s="1"/>
  <c r="AW1560" i="3"/>
  <c r="AW2120" i="3"/>
  <c r="AW1000" i="3" s="1"/>
  <c r="AW1576" i="3"/>
  <c r="AW2136" i="3"/>
  <c r="AW1016" i="3" s="1"/>
  <c r="AW1592" i="3"/>
  <c r="AW2152" i="3"/>
  <c r="AW1032" i="3" s="1"/>
  <c r="AW1608" i="3"/>
  <c r="AW2168" i="3"/>
  <c r="AW1048" i="3" s="1"/>
  <c r="AW1624" i="3"/>
  <c r="AW2184" i="3"/>
  <c r="AW1064" i="3" s="1"/>
  <c r="AW1660" i="3"/>
  <c r="AW2220" i="3"/>
  <c r="AW1100" i="3" s="1"/>
  <c r="AW1684" i="3"/>
  <c r="AW2244" i="3"/>
  <c r="AW1124" i="3" s="1"/>
  <c r="AW1700" i="3"/>
  <c r="AW2260" i="3"/>
  <c r="AW1140" i="3" s="1"/>
  <c r="AW1720" i="3"/>
  <c r="AW1736" i="3"/>
  <c r="AW1497" i="3"/>
  <c r="AW2057" i="3"/>
  <c r="AW1513" i="3"/>
  <c r="AW2073" i="3"/>
  <c r="AW953" i="3" s="1"/>
  <c r="AW1529" i="3"/>
  <c r="AW2089" i="3"/>
  <c r="AW969" i="3" s="1"/>
  <c r="AW1545" i="3"/>
  <c r="AW2105" i="3"/>
  <c r="AW985" i="3" s="1"/>
  <c r="AW1561" i="3"/>
  <c r="AW2121" i="3"/>
  <c r="AW1001" i="3" s="1"/>
  <c r="AW1577" i="3"/>
  <c r="AW2137" i="3"/>
  <c r="AW1017" i="3" s="1"/>
  <c r="AW1593" i="3"/>
  <c r="AW2153" i="3"/>
  <c r="AW1033" i="3" s="1"/>
  <c r="AW1609" i="3"/>
  <c r="AW2169" i="3"/>
  <c r="AW1049" i="3" s="1"/>
  <c r="AW1625" i="3"/>
  <c r="AW2185" i="3"/>
  <c r="AW1065" i="3" s="1"/>
  <c r="AW1685" i="3"/>
  <c r="AW2245" i="3"/>
  <c r="AW1125" i="3" s="1"/>
  <c r="AW1705" i="3"/>
  <c r="AW1733" i="3"/>
  <c r="AW1707" i="3"/>
  <c r="AW1735" i="3"/>
  <c r="AS1635" i="3"/>
  <c r="AS2195" i="3"/>
  <c r="AS1075" i="3" s="1"/>
  <c r="AS1539" i="3"/>
  <c r="AS2099" i="3"/>
  <c r="AS979" i="3" s="1"/>
  <c r="AS1571" i="3"/>
  <c r="AS2131" i="3"/>
  <c r="AS1011" i="3" s="1"/>
  <c r="AS1603" i="3"/>
  <c r="AS2163" i="3"/>
  <c r="AS1043" i="3" s="1"/>
  <c r="AS1482" i="3"/>
  <c r="AS2042" i="3"/>
  <c r="AS922" i="3" s="1"/>
  <c r="AS1498" i="3"/>
  <c r="AS2058" i="3"/>
  <c r="AS1514" i="3"/>
  <c r="AS2074" i="3"/>
  <c r="AS954" i="3" s="1"/>
  <c r="AS1530" i="3"/>
  <c r="AS2090" i="3"/>
  <c r="AS970" i="3" s="1"/>
  <c r="AS1546" i="3"/>
  <c r="AS2106" i="3"/>
  <c r="AS986" i="3" s="1"/>
  <c r="AS1562" i="3"/>
  <c r="AS2122" i="3"/>
  <c r="AS1002" i="3" s="1"/>
  <c r="AS1578" i="3"/>
  <c r="AS2138" i="3"/>
  <c r="AS1018" i="3" s="1"/>
  <c r="AS1594" i="3"/>
  <c r="AS2154" i="3"/>
  <c r="AS1034" i="3" s="1"/>
  <c r="AS1610" i="3"/>
  <c r="AS2170" i="3"/>
  <c r="AS1050" i="3" s="1"/>
  <c r="AS1626" i="3"/>
  <c r="AS2186" i="3"/>
  <c r="AS1066" i="3" s="1"/>
  <c r="AS1678" i="3"/>
  <c r="AS2238" i="3"/>
  <c r="AS1118" i="3" s="1"/>
  <c r="AS1706" i="3"/>
  <c r="AS1722" i="3"/>
  <c r="AS1467" i="3"/>
  <c r="AS2027" i="3"/>
  <c r="AS907" i="3" s="1"/>
  <c r="AS1483" i="3"/>
  <c r="AS2043" i="3"/>
  <c r="AS923" i="3" s="1"/>
  <c r="AS1499" i="3"/>
  <c r="AS2059" i="3"/>
  <c r="AS939" i="3" s="1"/>
  <c r="AS1531" i="3"/>
  <c r="AS2091" i="3"/>
  <c r="AS971" i="3" s="1"/>
  <c r="AS1559" i="3"/>
  <c r="AS2119" i="3"/>
  <c r="AS999" i="3" s="1"/>
  <c r="AS1591" i="3"/>
  <c r="AS2151" i="3"/>
  <c r="AS1031" i="3" s="1"/>
  <c r="AS1623" i="3"/>
  <c r="AS2183" i="3"/>
  <c r="AS1063" i="3" s="1"/>
  <c r="AS1670" i="3"/>
  <c r="AS2230" i="3"/>
  <c r="AS1110" i="3" s="1"/>
  <c r="AS1639" i="3"/>
  <c r="AS2199" i="3"/>
  <c r="AS1079" i="3" s="1"/>
  <c r="AS1636" i="3"/>
  <c r="AS2196" i="3"/>
  <c r="AS1076" i="3" s="1"/>
  <c r="AS1676" i="3"/>
  <c r="AS2236" i="3"/>
  <c r="AS1116" i="3" s="1"/>
  <c r="AS1704" i="3"/>
  <c r="AS2264" i="3"/>
  <c r="AS1144" i="3" s="1"/>
  <c r="AS1731" i="3"/>
  <c r="AS1677" i="3"/>
  <c r="AS2237" i="3"/>
  <c r="AS1117" i="3" s="1"/>
  <c r="AS1717" i="3"/>
  <c r="AS1737" i="3"/>
  <c r="AS1727" i="3"/>
  <c r="AS1667" i="3"/>
  <c r="AS2227" i="3"/>
  <c r="AS1107" i="3" s="1"/>
  <c r="AS1647" i="3"/>
  <c r="AS2207" i="3"/>
  <c r="AS1087" i="3" s="1"/>
  <c r="AS1472" i="3"/>
  <c r="AS2032" i="3"/>
  <c r="AS912" i="3" s="1"/>
  <c r="AS1712" i="3"/>
  <c r="AS1728" i="3"/>
  <c r="AS1473" i="3"/>
  <c r="AS2033" i="3"/>
  <c r="AS913" i="3" s="1"/>
  <c r="AS1489" i="3"/>
  <c r="AS2049" i="3"/>
  <c r="AS929" i="3" s="1"/>
  <c r="AS1505" i="3"/>
  <c r="AS2065" i="3"/>
  <c r="AS945" i="3" s="1"/>
  <c r="AS1521" i="3"/>
  <c r="AS2081" i="3"/>
  <c r="AS961" i="3" s="1"/>
  <c r="AS1537" i="3"/>
  <c r="AS2097" i="3"/>
  <c r="AS977" i="3" s="1"/>
  <c r="AS1553" i="3"/>
  <c r="AS2113" i="3"/>
  <c r="AS993" i="3" s="1"/>
  <c r="AS1569" i="3"/>
  <c r="AS2129" i="3"/>
  <c r="AS1009" i="3" s="1"/>
  <c r="AS1585" i="3"/>
  <c r="AS2145" i="3"/>
  <c r="AS1025" i="3" s="1"/>
  <c r="AS1601" i="3"/>
  <c r="AS2161" i="3"/>
  <c r="AS1041" i="3" s="1"/>
  <c r="AS1617" i="3"/>
  <c r="AS2177" i="3"/>
  <c r="AS1057" i="3" s="1"/>
  <c r="AS1633" i="3"/>
  <c r="AS2193" i="3"/>
  <c r="AS1073" i="3" s="1"/>
  <c r="AS1661" i="3"/>
  <c r="AS2221" i="3"/>
  <c r="AS1101" i="3" s="1"/>
  <c r="AS1695" i="3"/>
  <c r="AS2255" i="3"/>
  <c r="AS1135" i="3" s="1"/>
  <c r="AS1504" i="3"/>
  <c r="AS2064" i="3"/>
  <c r="AS944" i="3" s="1"/>
  <c r="AS1520" i="3"/>
  <c r="AS2080" i="3"/>
  <c r="AS960" i="3" s="1"/>
  <c r="AS1536" i="3"/>
  <c r="AS2096" i="3"/>
  <c r="AS1552" i="3"/>
  <c r="AS2112" i="3"/>
  <c r="AS992" i="3" s="1"/>
  <c r="AS1568" i="3"/>
  <c r="AS2128" i="3"/>
  <c r="AS1008" i="3" s="1"/>
  <c r="AS1584" i="3"/>
  <c r="AS2144" i="3"/>
  <c r="AS1024" i="3" s="1"/>
  <c r="AS1600" i="3"/>
  <c r="AS2160" i="3"/>
  <c r="AS1040" i="3" s="1"/>
  <c r="AS1616" i="3"/>
  <c r="AS2176" i="3"/>
  <c r="AS1056" i="3" s="1"/>
  <c r="AS1632" i="3"/>
  <c r="AS2192" i="3"/>
  <c r="AS1072" i="3" s="1"/>
  <c r="AS1693" i="3"/>
  <c r="AS2253" i="3"/>
  <c r="AS1133" i="3" s="1"/>
  <c r="AS1709" i="3"/>
  <c r="AS1707" i="3"/>
  <c r="AO1504" i="3"/>
  <c r="AO2064" i="3"/>
  <c r="AO944" i="3" s="1"/>
  <c r="AO1520" i="3"/>
  <c r="AO2080" i="3"/>
  <c r="AO960" i="3" s="1"/>
  <c r="AO1616" i="3"/>
  <c r="AO2176" i="3"/>
  <c r="AO1056" i="3" s="1"/>
  <c r="AO1467" i="3"/>
  <c r="AO2027" i="3"/>
  <c r="AO907" i="3" s="1"/>
  <c r="AO1476" i="3"/>
  <c r="AO2036" i="3"/>
  <c r="AO916" i="3" s="1"/>
  <c r="AO1540" i="3"/>
  <c r="AO2100" i="3"/>
  <c r="AO980" i="3" s="1"/>
  <c r="AO1604" i="3"/>
  <c r="AO2164" i="3"/>
  <c r="AO1044" i="3" s="1"/>
  <c r="AO1731" i="3"/>
  <c r="AO1528" i="3"/>
  <c r="AO2088" i="3"/>
  <c r="AO968" i="3" s="1"/>
  <c r="AO1592" i="3"/>
  <c r="AO2152" i="3"/>
  <c r="AO1032" i="3" s="1"/>
  <c r="AO1703" i="3"/>
  <c r="AO2263" i="3"/>
  <c r="AO1143" i="3" s="1"/>
  <c r="AO1580" i="3"/>
  <c r="AO2140" i="3"/>
  <c r="AO1020" i="3" s="1"/>
  <c r="AO1632" i="3"/>
  <c r="AO2192" i="3"/>
  <c r="AO1072" i="3" s="1"/>
  <c r="AO1708" i="3"/>
  <c r="AO1493" i="3"/>
  <c r="AO2053" i="3"/>
  <c r="AO933" i="3" s="1"/>
  <c r="AO1509" i="3"/>
  <c r="AO2069" i="3"/>
  <c r="AO949" i="3" s="1"/>
  <c r="AO1541" i="3"/>
  <c r="AO2101" i="3"/>
  <c r="AO981" i="3" s="1"/>
  <c r="AO1557" i="3"/>
  <c r="AO2117" i="3"/>
  <c r="AO997" i="3" s="1"/>
  <c r="AO1573" i="3"/>
  <c r="AO2133" i="3"/>
  <c r="AO1013" i="3" s="1"/>
  <c r="AO1589" i="3"/>
  <c r="AO2149" i="3"/>
  <c r="AO1029" i="3" s="1"/>
  <c r="AO1605" i="3"/>
  <c r="AO2165" i="3"/>
  <c r="AO1045" i="3" s="1"/>
  <c r="AO1621" i="3"/>
  <c r="AO2181" i="3"/>
  <c r="AO1061" i="3" s="1"/>
  <c r="AO1685" i="3"/>
  <c r="AO2245" i="3"/>
  <c r="AO1125" i="3" s="1"/>
  <c r="AO1705" i="3"/>
  <c r="AO1733" i="3"/>
  <c r="AO1707" i="3"/>
  <c r="AO1735" i="3"/>
  <c r="AO1647" i="3"/>
  <c r="AO2207" i="3"/>
  <c r="AO1087" i="3" s="1"/>
  <c r="AO1679" i="3"/>
  <c r="AO2239" i="3"/>
  <c r="AO1119" i="3" s="1"/>
  <c r="AO1732" i="3"/>
  <c r="AO1470" i="3"/>
  <c r="AO2030" i="3"/>
  <c r="AO910" i="3" s="1"/>
  <c r="AO1502" i="3"/>
  <c r="AO2062" i="3"/>
  <c r="AO942" i="3" s="1"/>
  <c r="AO1534" i="3"/>
  <c r="AO2094" i="3"/>
  <c r="AO1550" i="3"/>
  <c r="AO2110" i="3"/>
  <c r="AO990" i="3" s="1"/>
  <c r="AO1566" i="3"/>
  <c r="AO2126" i="3"/>
  <c r="AO1006" i="3" s="1"/>
  <c r="AO1582" i="3"/>
  <c r="AO2142" i="3"/>
  <c r="AO1022" i="3" s="1"/>
  <c r="AO1598" i="3"/>
  <c r="AO2158" i="3"/>
  <c r="AO1038" i="3" s="1"/>
  <c r="AO1614" i="3"/>
  <c r="AO2174" i="3"/>
  <c r="AO1054" i="3" s="1"/>
  <c r="AO1630" i="3"/>
  <c r="AO2190" i="3"/>
  <c r="AO1070" i="3" s="1"/>
  <c r="AO1650" i="3"/>
  <c r="AO2210" i="3"/>
  <c r="AO1090" i="3" s="1"/>
  <c r="AO1698" i="3"/>
  <c r="AO2258" i="3"/>
  <c r="AO1138" i="3" s="1"/>
  <c r="AO1730" i="3"/>
  <c r="AO1491" i="3"/>
  <c r="AO2051" i="3"/>
  <c r="AO931" i="3" s="1"/>
  <c r="AO1507" i="3"/>
  <c r="AO2067" i="3"/>
  <c r="AO947" i="3" s="1"/>
  <c r="AO1539" i="3"/>
  <c r="AO2099" i="3"/>
  <c r="AO979" i="3" s="1"/>
  <c r="AO1555" i="3"/>
  <c r="AO2115" i="3"/>
  <c r="AO995" i="3" s="1"/>
  <c r="AO1571" i="3"/>
  <c r="AO2131" i="3"/>
  <c r="AO1011" i="3" s="1"/>
  <c r="AO1587" i="3"/>
  <c r="AO2147" i="3"/>
  <c r="AO1027" i="3" s="1"/>
  <c r="AO1603" i="3"/>
  <c r="AO2163" i="3"/>
  <c r="AO1043" i="3" s="1"/>
  <c r="AO1619" i="3"/>
  <c r="AO2179" i="3"/>
  <c r="AO1059" i="3" s="1"/>
  <c r="AO1659" i="3"/>
  <c r="AO2219" i="3"/>
  <c r="AO1099" i="3" s="1"/>
  <c r="AO1667" i="3"/>
  <c r="AO2227" i="3"/>
  <c r="AO1107" i="3" s="1"/>
  <c r="AO1680" i="3"/>
  <c r="AO2240" i="3"/>
  <c r="AO1120" i="3" s="1"/>
  <c r="AO1665" i="3"/>
  <c r="AO2225" i="3"/>
  <c r="AO1105" i="3" s="1"/>
  <c r="AO1717" i="3"/>
  <c r="AO1481" i="3"/>
  <c r="AO2041" i="3"/>
  <c r="AO921" i="3" s="1"/>
  <c r="AK1670" i="3"/>
  <c r="AK2230" i="3"/>
  <c r="AK1110" i="3" s="1"/>
  <c r="AK1655" i="3"/>
  <c r="AK2215" i="3"/>
  <c r="AK1095" i="3" s="1"/>
  <c r="AK1688" i="3"/>
  <c r="AK2248" i="3"/>
  <c r="AK1128" i="3" s="1"/>
  <c r="AK1732" i="3"/>
  <c r="AK1477" i="3"/>
  <c r="AK2037" i="3"/>
  <c r="AK917" i="3" s="1"/>
  <c r="AK1493" i="3"/>
  <c r="AK2053" i="3"/>
  <c r="AK933" i="3" s="1"/>
  <c r="AK1509" i="3"/>
  <c r="AK2069" i="3"/>
  <c r="AK949" i="3" s="1"/>
  <c r="AK1541" i="3"/>
  <c r="AK2101" i="3"/>
  <c r="AK981" i="3" s="1"/>
  <c r="AK1557" i="3"/>
  <c r="AK2117" i="3"/>
  <c r="AK997" i="3" s="1"/>
  <c r="AK1573" i="3"/>
  <c r="AK2133" i="3"/>
  <c r="AK1013" i="3" s="1"/>
  <c r="AK1589" i="3"/>
  <c r="AK2149" i="3"/>
  <c r="AK1029" i="3" s="1"/>
  <c r="AK1605" i="3"/>
  <c r="AK2165" i="3"/>
  <c r="AK1045" i="3" s="1"/>
  <c r="AK1621" i="3"/>
  <c r="AK2181" i="3"/>
  <c r="AK1061" i="3" s="1"/>
  <c r="AK1482" i="3"/>
  <c r="AK2042" i="3"/>
  <c r="AK922" i="3" s="1"/>
  <c r="AK1498" i="3"/>
  <c r="AK2058" i="3"/>
  <c r="AK1514" i="3"/>
  <c r="AK2074" i="3"/>
  <c r="AK954" i="3" s="1"/>
  <c r="AK1530" i="3"/>
  <c r="AK2090" i="3"/>
  <c r="AK970" i="3" s="1"/>
  <c r="AK1546" i="3"/>
  <c r="AK2106" i="3"/>
  <c r="AK986" i="3" s="1"/>
  <c r="AK1562" i="3"/>
  <c r="AK2122" i="3"/>
  <c r="AK1002" i="3" s="1"/>
  <c r="AK1578" i="3"/>
  <c r="AK2138" i="3"/>
  <c r="AK1018" i="3" s="1"/>
  <c r="AK1594" i="3"/>
  <c r="AK2154" i="3"/>
  <c r="AK1034" i="3" s="1"/>
  <c r="AK1610" i="3"/>
  <c r="AK2170" i="3"/>
  <c r="AK1050" i="3" s="1"/>
  <c r="AK1626" i="3"/>
  <c r="AK2186" i="3"/>
  <c r="AK1066" i="3" s="1"/>
  <c r="AK1642" i="3"/>
  <c r="AK2202" i="3"/>
  <c r="AK1082" i="3" s="1"/>
  <c r="AK1640" i="3"/>
  <c r="AK2200" i="3"/>
  <c r="AK1080" i="3" s="1"/>
  <c r="AK1667" i="3"/>
  <c r="AK2227" i="3"/>
  <c r="AK1107" i="3" s="1"/>
  <c r="AK1472" i="3"/>
  <c r="AK2032" i="3"/>
  <c r="AK912" i="3" s="1"/>
  <c r="AK1649" i="3"/>
  <c r="AK2209" i="3"/>
  <c r="AK1089" i="3" s="1"/>
  <c r="AK1721" i="3"/>
  <c r="AK1702" i="3"/>
  <c r="AK2262" i="3"/>
  <c r="AK1142" i="3" s="1"/>
  <c r="AK1718" i="3"/>
  <c r="AK1734" i="3"/>
  <c r="AK1479" i="3"/>
  <c r="AK2039" i="3"/>
  <c r="AK919" i="3" s="1"/>
  <c r="AK1495" i="3"/>
  <c r="AK2055" i="3"/>
  <c r="AK1511" i="3"/>
  <c r="AK2071" i="3"/>
  <c r="AK951" i="3" s="1"/>
  <c r="AK1527" i="3"/>
  <c r="AK2087" i="3"/>
  <c r="AK967" i="3" s="1"/>
  <c r="AK1543" i="3"/>
  <c r="AK2103" i="3"/>
  <c r="AK983" i="3" s="1"/>
  <c r="AK1559" i="3"/>
  <c r="AK2119" i="3"/>
  <c r="AK999" i="3" s="1"/>
  <c r="AK1575" i="3"/>
  <c r="AK2135" i="3"/>
  <c r="AK1015" i="3" s="1"/>
  <c r="AK1591" i="3"/>
  <c r="AK2151" i="3"/>
  <c r="AK1031" i="3" s="1"/>
  <c r="AK1607" i="3"/>
  <c r="AK2167" i="3"/>
  <c r="AK1047" i="3" s="1"/>
  <c r="AK1623" i="3"/>
  <c r="AK2183" i="3"/>
  <c r="AK1063" i="3" s="1"/>
  <c r="AK1484" i="3"/>
  <c r="AK2044" i="3"/>
  <c r="AK924" i="3" s="1"/>
  <c r="AK1500" i="3"/>
  <c r="AK2060" i="3"/>
  <c r="AK940" i="3" s="1"/>
  <c r="AK1532" i="3"/>
  <c r="AK2092" i="3"/>
  <c r="AK972" i="3" s="1"/>
  <c r="AK1548" i="3"/>
  <c r="AK2108" i="3"/>
  <c r="AK988" i="3" s="1"/>
  <c r="AK1564" i="3"/>
  <c r="AK2124" i="3"/>
  <c r="AK1004" i="3" s="1"/>
  <c r="AK1580" i="3"/>
  <c r="AK2140" i="3"/>
  <c r="AK1020" i="3" s="1"/>
  <c r="AK1596" i="3"/>
  <c r="AK2156" i="3"/>
  <c r="AK1036" i="3" s="1"/>
  <c r="AK1612" i="3"/>
  <c r="AK2172" i="3"/>
  <c r="AK1052" i="3" s="1"/>
  <c r="AK1628" i="3"/>
  <c r="AK2188" i="3"/>
  <c r="AK1068" i="3" s="1"/>
  <c r="AK1701" i="3"/>
  <c r="AK2261" i="3"/>
  <c r="AK1141" i="3" s="1"/>
  <c r="AK1691" i="3"/>
  <c r="AK2251" i="3"/>
  <c r="AK1131" i="3" s="1"/>
  <c r="AK1648" i="3"/>
  <c r="AK2208" i="3"/>
  <c r="AK1088" i="3" s="1"/>
  <c r="AK1680" i="3"/>
  <c r="AK2240" i="3"/>
  <c r="AK1120" i="3" s="1"/>
  <c r="AK1708" i="3"/>
  <c r="AK1731" i="3"/>
  <c r="AK1677" i="3"/>
  <c r="AK2237" i="3"/>
  <c r="AK1117" i="3" s="1"/>
  <c r="AK1717" i="3"/>
  <c r="AK1737" i="3"/>
  <c r="AK1727" i="3"/>
  <c r="AG1666" i="3"/>
  <c r="AG2226" i="3"/>
  <c r="AG1106" i="3" s="1"/>
  <c r="AG1650" i="3"/>
  <c r="AG2210" i="3"/>
  <c r="AG1090" i="3" s="1"/>
  <c r="AG1686" i="3"/>
  <c r="AG2246" i="3"/>
  <c r="AG1126" i="3" s="1"/>
  <c r="AG1687" i="3"/>
  <c r="AG2247" i="3"/>
  <c r="AG1127" i="3" s="1"/>
  <c r="AG1478" i="3"/>
  <c r="AG2038" i="3"/>
  <c r="AG918" i="3" s="1"/>
  <c r="AG1494" i="3"/>
  <c r="AG2054" i="3"/>
  <c r="AG934" i="3" s="1"/>
  <c r="AG1510" i="3"/>
  <c r="AG2070" i="3"/>
  <c r="AG950" i="3" s="1"/>
  <c r="AG1542" i="3"/>
  <c r="AG2102" i="3"/>
  <c r="AG982" i="3" s="1"/>
  <c r="AG1558" i="3"/>
  <c r="AG2118" i="3"/>
  <c r="AG998" i="3" s="1"/>
  <c r="AG1574" i="3"/>
  <c r="AG2134" i="3"/>
  <c r="AG1014" i="3" s="1"/>
  <c r="AG1590" i="3"/>
  <c r="AG2150" i="3"/>
  <c r="AG1030" i="3" s="1"/>
  <c r="AG1606" i="3"/>
  <c r="AG2166" i="3"/>
  <c r="AG1046" i="3" s="1"/>
  <c r="AG1622" i="3"/>
  <c r="AG2182" i="3"/>
  <c r="AG1062" i="3" s="1"/>
  <c r="AG1698" i="3"/>
  <c r="AG2258" i="3"/>
  <c r="AG1138" i="3" s="1"/>
  <c r="AG1483" i="3"/>
  <c r="AG2043" i="3"/>
  <c r="AG923" i="3" s="1"/>
  <c r="AG1499" i="3"/>
  <c r="AG2059" i="3"/>
  <c r="AG939" i="3" s="1"/>
  <c r="AG1531" i="3"/>
  <c r="AG2091" i="3"/>
  <c r="AG971" i="3" s="1"/>
  <c r="AG1663" i="3"/>
  <c r="AG2223" i="3"/>
  <c r="AG1103" i="3" s="1"/>
  <c r="AG1669" i="3"/>
  <c r="AG2229" i="3"/>
  <c r="AG1109" i="3" s="1"/>
  <c r="AG1721" i="3"/>
  <c r="AG1547" i="3"/>
  <c r="AG2107" i="3"/>
  <c r="AG987" i="3" s="1"/>
  <c r="AG1563" i="3"/>
  <c r="AG2123" i="3"/>
  <c r="AG1003" i="3" s="1"/>
  <c r="AG1579" i="3"/>
  <c r="AG2139" i="3"/>
  <c r="AG1019" i="3" s="1"/>
  <c r="AG1595" i="3"/>
  <c r="AG2155" i="3"/>
  <c r="AG1035" i="3" s="1"/>
  <c r="AG1611" i="3"/>
  <c r="AG2171" i="3"/>
  <c r="AG1051" i="3" s="1"/>
  <c r="AG1627" i="3"/>
  <c r="AG2187" i="3"/>
  <c r="AG1067" i="3" s="1"/>
  <c r="AG1667" i="3"/>
  <c r="AG2227" i="3"/>
  <c r="AG1107" i="3" s="1"/>
  <c r="AG1473" i="3"/>
  <c r="AG2033" i="3"/>
  <c r="AG913" i="3" s="1"/>
  <c r="AG1694" i="3"/>
  <c r="AG2254" i="3"/>
  <c r="AG1134" i="3" s="1"/>
  <c r="AG1636" i="3"/>
  <c r="AG2196" i="3"/>
  <c r="AG1076" i="3" s="1"/>
  <c r="AG1504" i="3"/>
  <c r="AG2064" i="3"/>
  <c r="AG944" i="3" s="1"/>
  <c r="AG1520" i="3"/>
  <c r="AG2080" i="3"/>
  <c r="AG960" i="3" s="1"/>
  <c r="AG1536" i="3"/>
  <c r="AG2096" i="3"/>
  <c r="AG1552" i="3"/>
  <c r="AG2112" i="3"/>
  <c r="AG992" i="3" s="1"/>
  <c r="AG1568" i="3"/>
  <c r="AG2128" i="3"/>
  <c r="AG1008" i="3" s="1"/>
  <c r="AG1584" i="3"/>
  <c r="AG2144" i="3"/>
  <c r="AG1024" i="3" s="1"/>
  <c r="AG1600" i="3"/>
  <c r="AG2160" i="3"/>
  <c r="AG1040" i="3" s="1"/>
  <c r="AG1616" i="3"/>
  <c r="AG2176" i="3"/>
  <c r="AG1056" i="3" s="1"/>
  <c r="AG1632" i="3"/>
  <c r="AG2192" i="3"/>
  <c r="AG1072" i="3" s="1"/>
  <c r="AG1656" i="3"/>
  <c r="AG2216" i="3"/>
  <c r="AG1096" i="3" s="1"/>
  <c r="AG1676" i="3"/>
  <c r="AG2236" i="3"/>
  <c r="AG1116" i="3" s="1"/>
  <c r="AG1696" i="3"/>
  <c r="AG2256" i="3"/>
  <c r="AG1136" i="3" s="1"/>
  <c r="AG1732" i="3"/>
  <c r="AG1493" i="3"/>
  <c r="AG2053" i="3"/>
  <c r="AG933" i="3" s="1"/>
  <c r="AG1509" i="3"/>
  <c r="AG2069" i="3"/>
  <c r="AG949" i="3" s="1"/>
  <c r="AG1541" i="3"/>
  <c r="AG2101" i="3"/>
  <c r="AG981" i="3" s="1"/>
  <c r="AG1557" i="3"/>
  <c r="AG2117" i="3"/>
  <c r="AG997" i="3" s="1"/>
  <c r="AG1573" i="3"/>
  <c r="AG2133" i="3"/>
  <c r="AG1013" i="3" s="1"/>
  <c r="AG1589" i="3"/>
  <c r="AG2149" i="3"/>
  <c r="AG1029" i="3" s="1"/>
  <c r="AG1605" i="3"/>
  <c r="AG2165" i="3"/>
  <c r="AG1045" i="3" s="1"/>
  <c r="AG1621" i="3"/>
  <c r="AG2181" i="3"/>
  <c r="AG1061" i="3" s="1"/>
  <c r="AG1637" i="3"/>
  <c r="AG2197" i="3"/>
  <c r="AG1077" i="3" s="1"/>
  <c r="AG1681" i="3"/>
  <c r="AG2241" i="3"/>
  <c r="AG1121" i="3" s="1"/>
  <c r="AG1701" i="3"/>
  <c r="AG2261" i="3"/>
  <c r="AG1141" i="3" s="1"/>
  <c r="AG1729" i="3"/>
  <c r="AG1699" i="3"/>
  <c r="AG2259" i="3"/>
  <c r="AG1139" i="3" s="1"/>
  <c r="AG1727" i="3"/>
  <c r="AC1470" i="3"/>
  <c r="AC2030" i="3"/>
  <c r="AC910" i="3" s="1"/>
  <c r="AC1490" i="3"/>
  <c r="AC2050" i="3"/>
  <c r="AC930" i="3" s="1"/>
  <c r="AC1506" i="3"/>
  <c r="AC2066" i="3"/>
  <c r="AC946" i="3" s="1"/>
  <c r="AC1522" i="3"/>
  <c r="AC2082" i="3"/>
  <c r="AC962" i="3" s="1"/>
  <c r="AC1538" i="3"/>
  <c r="AC2098" i="3"/>
  <c r="AC978" i="3" s="1"/>
  <c r="AC1554" i="3"/>
  <c r="AC2114" i="3"/>
  <c r="AC994" i="3" s="1"/>
  <c r="AC1570" i="3"/>
  <c r="AC2130" i="3"/>
  <c r="AC1010" i="3" s="1"/>
  <c r="AC1586" i="3"/>
  <c r="AC2146" i="3"/>
  <c r="AC1026" i="3" s="1"/>
  <c r="AC1618" i="3"/>
  <c r="AC2178" i="3"/>
  <c r="AC1058" i="3" s="1"/>
  <c r="AC1690" i="3"/>
  <c r="AC2250" i="3"/>
  <c r="AC1130" i="3" s="1"/>
  <c r="AC1730" i="3"/>
  <c r="AC1475" i="3"/>
  <c r="AC2035" i="3"/>
  <c r="AC915" i="3" s="1"/>
  <c r="AC1491" i="3"/>
  <c r="AC2051" i="3"/>
  <c r="AC931" i="3" s="1"/>
  <c r="AC1638" i="3"/>
  <c r="AC2198" i="3"/>
  <c r="AC1078" i="3" s="1"/>
  <c r="AC1668" i="3"/>
  <c r="AC2228" i="3"/>
  <c r="AC1108" i="3" s="1"/>
  <c r="AC1659" i="3"/>
  <c r="AC2219" i="3"/>
  <c r="AC1099" i="3" s="1"/>
  <c r="AC1723" i="3"/>
  <c r="AC1669" i="3"/>
  <c r="AC2229" i="3"/>
  <c r="AC1109" i="3" s="1"/>
  <c r="AC1689" i="3"/>
  <c r="AC2249" i="3"/>
  <c r="AC1129" i="3" s="1"/>
  <c r="AC1733" i="3"/>
  <c r="AC1719" i="3"/>
  <c r="AC1539" i="3"/>
  <c r="AC2099" i="3"/>
  <c r="AC979" i="3" s="1"/>
  <c r="AC1555" i="3"/>
  <c r="AC2115" i="3"/>
  <c r="AC995" i="3" s="1"/>
  <c r="AC1571" i="3"/>
  <c r="AC2131" i="3"/>
  <c r="AC1011" i="3" s="1"/>
  <c r="AC1587" i="3"/>
  <c r="AC2147" i="3"/>
  <c r="AC1027" i="3" s="1"/>
  <c r="AC1619" i="3"/>
  <c r="AC2179" i="3"/>
  <c r="AC1059" i="3" s="1"/>
  <c r="AC1650" i="3"/>
  <c r="AC2210" i="3"/>
  <c r="AC1090" i="3" s="1"/>
  <c r="AC1484" i="3"/>
  <c r="AC2044" i="3"/>
  <c r="AC924" i="3" s="1"/>
  <c r="AC1500" i="3"/>
  <c r="AC2060" i="3"/>
  <c r="AC940" i="3" s="1"/>
  <c r="AC1532" i="3"/>
  <c r="AC2092" i="3"/>
  <c r="AC972" i="3" s="1"/>
  <c r="AC1564" i="3"/>
  <c r="AC2124" i="3"/>
  <c r="AC1004" i="3" s="1"/>
  <c r="AC1580" i="3"/>
  <c r="AC2140" i="3"/>
  <c r="AC1020" i="3" s="1"/>
  <c r="AC1596" i="3"/>
  <c r="AC2156" i="3"/>
  <c r="AC1036" i="3" s="1"/>
  <c r="AC1628" i="3"/>
  <c r="AC2188" i="3"/>
  <c r="AC1068" i="3" s="1"/>
  <c r="AC1705" i="3"/>
  <c r="AC1468" i="3"/>
  <c r="AC2028" i="3"/>
  <c r="AC908" i="3" s="1"/>
  <c r="AC1660" i="3"/>
  <c r="AC2220" i="3"/>
  <c r="AC1100" i="3" s="1"/>
  <c r="AC1692" i="3"/>
  <c r="AC2252" i="3"/>
  <c r="AC1132" i="3" s="1"/>
  <c r="AC1720" i="3"/>
  <c r="AC1736" i="3"/>
  <c r="AC1481" i="3"/>
  <c r="AC2041" i="3"/>
  <c r="AC921" i="3" s="1"/>
  <c r="AC1513" i="3"/>
  <c r="AC2073" i="3"/>
  <c r="AC953" i="3" s="1"/>
  <c r="AC1529" i="3"/>
  <c r="AC2089" i="3"/>
  <c r="AC969" i="3" s="1"/>
  <c r="AC1561" i="3"/>
  <c r="AC2121" i="3"/>
  <c r="AC1001" i="3" s="1"/>
  <c r="AC1625" i="3"/>
  <c r="AC2185" i="3"/>
  <c r="AC1065" i="3" s="1"/>
  <c r="Y1647" i="3"/>
  <c r="Y2207" i="3"/>
  <c r="Y1087" i="3" s="1"/>
  <c r="Y1474" i="3"/>
  <c r="Y2034" i="3"/>
  <c r="Y914" i="3" s="1"/>
  <c r="Y1490" i="3"/>
  <c r="Y2050" i="3"/>
  <c r="Y930" i="3" s="1"/>
  <c r="Y1506" i="3"/>
  <c r="Y2066" i="3"/>
  <c r="Y946" i="3" s="1"/>
  <c r="Y1522" i="3"/>
  <c r="Y2082" i="3"/>
  <c r="Y962" i="3" s="1"/>
  <c r="Y1538" i="3"/>
  <c r="Y2098" i="3"/>
  <c r="Y978" i="3" s="1"/>
  <c r="Y1554" i="3"/>
  <c r="Y2114" i="3"/>
  <c r="Y994" i="3" s="1"/>
  <c r="Y1570" i="3"/>
  <c r="Y2130" i="3"/>
  <c r="Y1010" i="3" s="1"/>
  <c r="Y1586" i="3"/>
  <c r="Y2146" i="3"/>
  <c r="Y1026" i="3" s="1"/>
  <c r="Y1618" i="3"/>
  <c r="Y2178" i="3"/>
  <c r="Y1058" i="3" s="1"/>
  <c r="Y1662" i="3"/>
  <c r="Y2222" i="3"/>
  <c r="Y1102" i="3" s="1"/>
  <c r="Y1678" i="3"/>
  <c r="Y2238" i="3"/>
  <c r="Y1118" i="3" s="1"/>
  <c r="Y1718" i="3"/>
  <c r="Y1734" i="3"/>
  <c r="Y1511" i="3"/>
  <c r="Y2071" i="3"/>
  <c r="Y951" i="3" s="1"/>
  <c r="Y1527" i="3"/>
  <c r="Y2087" i="3"/>
  <c r="Y967" i="3" s="1"/>
  <c r="Y1543" i="3"/>
  <c r="Y2103" i="3"/>
  <c r="Y983" i="3" s="1"/>
  <c r="Y1607" i="3"/>
  <c r="Y2167" i="3"/>
  <c r="Y1047" i="3" s="1"/>
  <c r="Y1732" i="3"/>
  <c r="Y1659" i="3"/>
  <c r="Y2219" i="3"/>
  <c r="Y1099" i="3" s="1"/>
  <c r="Y1690" i="3"/>
  <c r="Y2250" i="3"/>
  <c r="Y1130" i="3" s="1"/>
  <c r="Y1723" i="3"/>
  <c r="Y1476" i="3"/>
  <c r="Y2036" i="3"/>
  <c r="Y916" i="3" s="1"/>
  <c r="Y1492" i="3"/>
  <c r="Y2052" i="3"/>
  <c r="Y932" i="3" s="1"/>
  <c r="Y1540" i="3"/>
  <c r="Y2100" i="3"/>
  <c r="Y980" i="3" s="1"/>
  <c r="Y1556" i="3"/>
  <c r="Y2116" i="3"/>
  <c r="Y996" i="3" s="1"/>
  <c r="Y1572" i="3"/>
  <c r="Y2132" i="3"/>
  <c r="Y1012" i="3" s="1"/>
  <c r="Y1588" i="3"/>
  <c r="Y2148" i="3"/>
  <c r="Y1028" i="3" s="1"/>
  <c r="Y1620" i="3"/>
  <c r="Y2180" i="3"/>
  <c r="Y1060" i="3" s="1"/>
  <c r="Y1692" i="3"/>
  <c r="Y2252" i="3"/>
  <c r="Y1132" i="3" s="1"/>
  <c r="Y1712" i="3"/>
  <c r="Y1513" i="3"/>
  <c r="Y2073" i="3"/>
  <c r="Y953" i="3" s="1"/>
  <c r="Y1529" i="3"/>
  <c r="Y2089" i="3"/>
  <c r="Y969" i="3" s="1"/>
  <c r="Y1561" i="3"/>
  <c r="Y2121" i="3"/>
  <c r="Y1001" i="3" s="1"/>
  <c r="Y1625" i="3"/>
  <c r="Y2185" i="3"/>
  <c r="Y1065" i="3" s="1"/>
  <c r="Y1657" i="3"/>
  <c r="Y2217" i="3"/>
  <c r="Y1097" i="3" s="1"/>
  <c r="Y1693" i="3"/>
  <c r="Y2253" i="3"/>
  <c r="Y1133" i="3" s="1"/>
  <c r="Y1709" i="3"/>
  <c r="Y1737" i="3"/>
  <c r="Y1711" i="3"/>
  <c r="Y1481" i="3"/>
  <c r="Y2041" i="3"/>
  <c r="Y921" i="3" s="1"/>
  <c r="Y1640" i="3"/>
  <c r="Y2200" i="3"/>
  <c r="Y1080" i="3" s="1"/>
  <c r="Y2033" i="3"/>
  <c r="Y913" i="3" s="1"/>
  <c r="Y1473" i="3"/>
  <c r="Y1675" i="3"/>
  <c r="Y2235" i="3"/>
  <c r="Y1115" i="3" s="1"/>
  <c r="U1670" i="3"/>
  <c r="U2230" i="3"/>
  <c r="U1110" i="3" s="1"/>
  <c r="U1718" i="3"/>
  <c r="U1734" i="3"/>
  <c r="U1511" i="3"/>
  <c r="U2071" i="3"/>
  <c r="U951" i="3" s="1"/>
  <c r="U1527" i="3"/>
  <c r="U2087" i="3"/>
  <c r="U967" i="3" s="1"/>
  <c r="U1543" i="3"/>
  <c r="U2103" i="3"/>
  <c r="U983" i="3" s="1"/>
  <c r="U1607" i="3"/>
  <c r="U2167" i="3"/>
  <c r="U1047" i="3" s="1"/>
  <c r="U1476" i="3"/>
  <c r="U2036" i="3"/>
  <c r="U916" i="3" s="1"/>
  <c r="U1661" i="3"/>
  <c r="U2221" i="3"/>
  <c r="U1101" i="3" s="1"/>
  <c r="U1504" i="3"/>
  <c r="U2064" i="3"/>
  <c r="U944" i="3" s="1"/>
  <c r="U1520" i="3"/>
  <c r="U2080" i="3"/>
  <c r="U960" i="3" s="1"/>
  <c r="U1552" i="3"/>
  <c r="U2112" i="3"/>
  <c r="U992" i="3" s="1"/>
  <c r="U1568" i="3"/>
  <c r="U2128" i="3"/>
  <c r="U1008" i="3" s="1"/>
  <c r="U1584" i="3"/>
  <c r="U2144" i="3"/>
  <c r="U1024" i="3" s="1"/>
  <c r="U1600" i="3"/>
  <c r="U2160" i="3"/>
  <c r="U1040" i="3" s="1"/>
  <c r="U1616" i="3"/>
  <c r="U2176" i="3"/>
  <c r="U1056" i="3" s="1"/>
  <c r="U1705" i="3"/>
  <c r="U1707" i="3"/>
  <c r="U1490" i="3"/>
  <c r="U2050" i="3"/>
  <c r="U930" i="3" s="1"/>
  <c r="U1506" i="3"/>
  <c r="U2066" i="3"/>
  <c r="U946" i="3" s="1"/>
  <c r="U1522" i="3"/>
  <c r="U2082" i="3"/>
  <c r="U962" i="3" s="1"/>
  <c r="U1538" i="3"/>
  <c r="U2098" i="3"/>
  <c r="U978" i="3" s="1"/>
  <c r="U1554" i="3"/>
  <c r="U2114" i="3"/>
  <c r="U994" i="3" s="1"/>
  <c r="U1570" i="3"/>
  <c r="U2130" i="3"/>
  <c r="U1010" i="3" s="1"/>
  <c r="U1586" i="3"/>
  <c r="U2146" i="3"/>
  <c r="U1026" i="3" s="1"/>
  <c r="U1618" i="3"/>
  <c r="U2178" i="3"/>
  <c r="U1058" i="3" s="1"/>
  <c r="U1647" i="3"/>
  <c r="U2207" i="3"/>
  <c r="U1087" i="3" s="1"/>
  <c r="U1688" i="3"/>
  <c r="U2248" i="3"/>
  <c r="U1128" i="3" s="1"/>
  <c r="U1732" i="3"/>
  <c r="U1493" i="3"/>
  <c r="U2053" i="3"/>
  <c r="U933" i="3" s="1"/>
  <c r="U1541" i="3"/>
  <c r="U2101" i="3"/>
  <c r="U981" i="3" s="1"/>
  <c r="U1573" i="3"/>
  <c r="U2133" i="3"/>
  <c r="U1013" i="3" s="1"/>
  <c r="U1589" i="3"/>
  <c r="U2149" i="3"/>
  <c r="U1029" i="3" s="1"/>
  <c r="U1605" i="3"/>
  <c r="U2165" i="3"/>
  <c r="U1045" i="3" s="1"/>
  <c r="U1639" i="3"/>
  <c r="U2199" i="3"/>
  <c r="U1079" i="3" s="1"/>
  <c r="U1667" i="3"/>
  <c r="U2227" i="3"/>
  <c r="U1107" i="3" s="1"/>
  <c r="U1723" i="3"/>
  <c r="U1669" i="3"/>
  <c r="U2229" i="3"/>
  <c r="U1109" i="3" s="1"/>
  <c r="U1689" i="3"/>
  <c r="U2249" i="3"/>
  <c r="U1129" i="3" s="1"/>
  <c r="U1733" i="3"/>
  <c r="U1719" i="3"/>
  <c r="U1648" i="3"/>
  <c r="U2208" i="3"/>
  <c r="U1088" i="3" s="1"/>
  <c r="U1680" i="3"/>
  <c r="U2240" i="3"/>
  <c r="U1120" i="3" s="1"/>
  <c r="U1708" i="3"/>
  <c r="Q1567" i="3"/>
  <c r="Q2127" i="3"/>
  <c r="Q1007" i="3" s="1"/>
  <c r="Q1583" i="3"/>
  <c r="Q2143" i="3"/>
  <c r="Q1023" i="3" s="1"/>
  <c r="Q1494" i="3"/>
  <c r="Q2054" i="3"/>
  <c r="Q934" i="3" s="1"/>
  <c r="Q1542" i="3"/>
  <c r="Q2102" i="3"/>
  <c r="Q982" i="3" s="1"/>
  <c r="Q1574" i="3"/>
  <c r="Q2134" i="3"/>
  <c r="Q1014" i="3" s="1"/>
  <c r="Q1590" i="3"/>
  <c r="Q2150" i="3"/>
  <c r="Q1030" i="3" s="1"/>
  <c r="Q1606" i="3"/>
  <c r="Q2166" i="3"/>
  <c r="Q1046" i="3" s="1"/>
  <c r="Q1483" i="3"/>
  <c r="Q2043" i="3"/>
  <c r="Q923" i="3" s="1"/>
  <c r="Q1499" i="3"/>
  <c r="Q2059" i="3"/>
  <c r="Q939" i="3" s="1"/>
  <c r="Q1531" i="3"/>
  <c r="Q2091" i="3"/>
  <c r="Q971" i="3" s="1"/>
  <c r="Q1555" i="3"/>
  <c r="Q2115" i="3"/>
  <c r="Q995" i="3" s="1"/>
  <c r="Q1587" i="3"/>
  <c r="Q2147" i="3"/>
  <c r="Q1027" i="3" s="1"/>
  <c r="Q1619" i="3"/>
  <c r="Q2179" i="3"/>
  <c r="Q1059" i="3" s="1"/>
  <c r="Q1670" i="3"/>
  <c r="Q2230" i="3"/>
  <c r="Q1110" i="3" s="1"/>
  <c r="Q1726" i="3"/>
  <c r="Q1638" i="3"/>
  <c r="Q2198" i="3"/>
  <c r="Q1078" i="3" s="1"/>
  <c r="Q1467" i="3"/>
  <c r="Q2027" i="3"/>
  <c r="Q907" i="3" s="1"/>
  <c r="Q1659" i="3"/>
  <c r="Q2219" i="3"/>
  <c r="Q1099" i="3" s="1"/>
  <c r="Q1473" i="3"/>
  <c r="Q2033" i="3"/>
  <c r="Q913" i="3" s="1"/>
  <c r="Q1636" i="3"/>
  <c r="Q2196" i="3"/>
  <c r="Q1076" i="3" s="1"/>
  <c r="Q1669" i="3"/>
  <c r="Q2229" i="3"/>
  <c r="Q1109" i="3" s="1"/>
  <c r="Q1721" i="3"/>
  <c r="Q1679" i="3"/>
  <c r="Q2239" i="3"/>
  <c r="Q1119" i="3" s="1"/>
  <c r="Q1723" i="3"/>
  <c r="Q1476" i="3"/>
  <c r="Q2036" i="3"/>
  <c r="Q916" i="3" s="1"/>
  <c r="Q1492" i="3"/>
  <c r="Q2052" i="3"/>
  <c r="Q932" i="3" s="1"/>
  <c r="Q1540" i="3"/>
  <c r="Q2100" i="3"/>
  <c r="Q980" i="3" s="1"/>
  <c r="Q1556" i="3"/>
  <c r="Q2116" i="3"/>
  <c r="Q996" i="3" s="1"/>
  <c r="Q1572" i="3"/>
  <c r="Q2132" i="3"/>
  <c r="Q1012" i="3" s="1"/>
  <c r="Q1588" i="3"/>
  <c r="Q2148" i="3"/>
  <c r="Q1028" i="3" s="1"/>
  <c r="Q1620" i="3"/>
  <c r="Q2180" i="3"/>
  <c r="Q1060" i="3" s="1"/>
  <c r="Q1660" i="3"/>
  <c r="Q2220" i="3"/>
  <c r="Q1100" i="3" s="1"/>
  <c r="Q1720" i="3"/>
  <c r="Q1736" i="3"/>
  <c r="Q1529" i="3"/>
  <c r="Q2089" i="3"/>
  <c r="Q969" i="3" s="1"/>
  <c r="Q1561" i="3"/>
  <c r="Q2121" i="3"/>
  <c r="Q1001" i="3" s="1"/>
  <c r="Q1625" i="3"/>
  <c r="Q2185" i="3"/>
  <c r="Q1065" i="3" s="1"/>
  <c r="Q1657" i="3"/>
  <c r="Q2217" i="3"/>
  <c r="Q1097" i="3" s="1"/>
  <c r="Q1693" i="3"/>
  <c r="Q2253" i="3"/>
  <c r="Q1133" i="3" s="1"/>
  <c r="Q1709" i="3"/>
  <c r="Q1737" i="3"/>
  <c r="Q1711" i="3"/>
  <c r="Q1469" i="3"/>
  <c r="Q2029" i="3"/>
  <c r="Q909" i="3" s="1"/>
  <c r="Q1649" i="3"/>
  <c r="Q2209" i="3"/>
  <c r="Q1089" i="3" s="1"/>
  <c r="AV1678" i="3"/>
  <c r="AV2238" i="3"/>
  <c r="AV1118" i="3" s="1"/>
  <c r="AV1682" i="3"/>
  <c r="AV2242" i="3"/>
  <c r="AV1122" i="3" s="1"/>
  <c r="AV1599" i="3"/>
  <c r="AV2159" i="3"/>
  <c r="AV1039" i="3" s="1"/>
  <c r="AV1610" i="3"/>
  <c r="AV2170" i="3"/>
  <c r="AV1050" i="3" s="1"/>
  <c r="AV1550" i="3"/>
  <c r="AV2110" i="3"/>
  <c r="AV990" i="3" s="1"/>
  <c r="AV1619" i="3"/>
  <c r="AV2179" i="3"/>
  <c r="AV1059" i="3" s="1"/>
  <c r="AV1547" i="3"/>
  <c r="AV2107" i="3"/>
  <c r="AV987" i="3" s="1"/>
  <c r="AV1470" i="3"/>
  <c r="AV2030" i="3"/>
  <c r="AV910" i="3" s="1"/>
  <c r="AV1502" i="3"/>
  <c r="AV2062" i="3"/>
  <c r="AV942" i="3" s="1"/>
  <c r="AV1534" i="3"/>
  <c r="AV2094" i="3"/>
  <c r="AV1558" i="3"/>
  <c r="AV2118" i="3"/>
  <c r="AV998" i="3" s="1"/>
  <c r="AV1574" i="3"/>
  <c r="AV2134" i="3"/>
  <c r="AV1014" i="3" s="1"/>
  <c r="AV1590" i="3"/>
  <c r="AV2150" i="3"/>
  <c r="AV1030" i="3" s="1"/>
  <c r="AV1690" i="3"/>
  <c r="AV2250" i="3"/>
  <c r="AV1130" i="3" s="1"/>
  <c r="AV1734" i="3"/>
  <c r="AV1479" i="3"/>
  <c r="AV2039" i="3"/>
  <c r="AV919" i="3" s="1"/>
  <c r="AV1495" i="3"/>
  <c r="AV2055" i="3"/>
  <c r="AV1511" i="3"/>
  <c r="AV2071" i="3"/>
  <c r="AV951" i="3" s="1"/>
  <c r="AV1527" i="3"/>
  <c r="AV2087" i="3"/>
  <c r="AV967" i="3" s="1"/>
  <c r="AV1543" i="3"/>
  <c r="AV2103" i="3"/>
  <c r="AV983" i="3" s="1"/>
  <c r="AV1583" i="3"/>
  <c r="AV2143" i="3"/>
  <c r="AV1023" i="3" s="1"/>
  <c r="AV1679" i="3"/>
  <c r="AV2239" i="3"/>
  <c r="AV1119" i="3" s="1"/>
  <c r="AV1723" i="3"/>
  <c r="AV1476" i="3"/>
  <c r="AV2036" i="3"/>
  <c r="AV916" i="3" s="1"/>
  <c r="AV1492" i="3"/>
  <c r="AV2052" i="3"/>
  <c r="AV932" i="3" s="1"/>
  <c r="AV1508" i="3"/>
  <c r="AV2068" i="3"/>
  <c r="AV948" i="3" s="1"/>
  <c r="AV1540" i="3"/>
  <c r="AV2100" i="3"/>
  <c r="AV980" i="3" s="1"/>
  <c r="AV1700" i="3"/>
  <c r="AV2260" i="3"/>
  <c r="AV1140" i="3" s="1"/>
  <c r="AV1677" i="3"/>
  <c r="AV2237" i="3"/>
  <c r="AV1117" i="3" s="1"/>
  <c r="AV1705" i="3"/>
  <c r="AV1733" i="3"/>
  <c r="AV1707" i="3"/>
  <c r="AV1735" i="3"/>
  <c r="AV1587" i="3"/>
  <c r="AV2147" i="3"/>
  <c r="AV1027" i="3" s="1"/>
  <c r="AV1616" i="3"/>
  <c r="AV2176" i="3"/>
  <c r="AV1056" i="3" s="1"/>
  <c r="AV1598" i="3"/>
  <c r="AV2158" i="3"/>
  <c r="AV1038" i="3" s="1"/>
  <c r="AV1630" i="3"/>
  <c r="AV2190" i="3"/>
  <c r="AV1070" i="3" s="1"/>
  <c r="AV1611" i="3"/>
  <c r="AV2171" i="3"/>
  <c r="AV1051" i="3" s="1"/>
  <c r="AV1659" i="3"/>
  <c r="AV2219" i="3"/>
  <c r="AV1099" i="3" s="1"/>
  <c r="AV1568" i="3"/>
  <c r="AV2128" i="3"/>
  <c r="AV1008" i="3" s="1"/>
  <c r="AV1584" i="3"/>
  <c r="AV2144" i="3"/>
  <c r="AV1024" i="3" s="1"/>
  <c r="AV1601" i="3"/>
  <c r="AV2161" i="3"/>
  <c r="AV1041" i="3" s="1"/>
  <c r="AV1608" i="3"/>
  <c r="AV2168" i="3"/>
  <c r="AV1048" i="3" s="1"/>
  <c r="AV1636" i="3"/>
  <c r="AV2196" i="3"/>
  <c r="AV1076" i="3" s="1"/>
  <c r="AV1481" i="3"/>
  <c r="AV2041" i="3"/>
  <c r="AV921" i="3" s="1"/>
  <c r="AV1497" i="3"/>
  <c r="AV2057" i="3"/>
  <c r="AV1513" i="3"/>
  <c r="AV2073" i="3"/>
  <c r="AV953" i="3" s="1"/>
  <c r="AV1529" i="3"/>
  <c r="AV2089" i="3"/>
  <c r="AV969" i="3" s="1"/>
  <c r="AV1545" i="3"/>
  <c r="AV2105" i="3"/>
  <c r="AV985" i="3" s="1"/>
  <c r="AV1609" i="3"/>
  <c r="AV2169" i="3"/>
  <c r="AV1049" i="3" s="1"/>
  <c r="AV1629" i="3"/>
  <c r="AV2189" i="3"/>
  <c r="AV1069" i="3" s="1"/>
  <c r="AV1687" i="3"/>
  <c r="AV2247" i="3"/>
  <c r="AV1127" i="3" s="1"/>
  <c r="AV1668" i="3"/>
  <c r="AV2228" i="3"/>
  <c r="AV1108" i="3" s="1"/>
  <c r="AV1692" i="3"/>
  <c r="AV2252" i="3"/>
  <c r="AV1132" i="3" s="1"/>
  <c r="AV1557" i="3"/>
  <c r="AV2117" i="3"/>
  <c r="AV997" i="3" s="1"/>
  <c r="AV1573" i="3"/>
  <c r="AV2133" i="3"/>
  <c r="AV1013" i="3" s="1"/>
  <c r="AV1589" i="3"/>
  <c r="AV2149" i="3"/>
  <c r="AV1029" i="3" s="1"/>
  <c r="AV1657" i="3"/>
  <c r="AV2217" i="3"/>
  <c r="AV1097" i="3" s="1"/>
  <c r="AV1717" i="3"/>
  <c r="AR1618" i="3"/>
  <c r="AR2178" i="3"/>
  <c r="AR1058" i="3" s="1"/>
  <c r="AR2174" i="3"/>
  <c r="AR1054" i="3" s="1"/>
  <c r="AR1614" i="3"/>
  <c r="AR1634" i="3"/>
  <c r="AR2194" i="3"/>
  <c r="AR1074" i="3" s="1"/>
  <c r="AR1567" i="3"/>
  <c r="AR2127" i="3"/>
  <c r="AR1007" i="3" s="1"/>
  <c r="AR1558" i="3"/>
  <c r="AR2118" i="3"/>
  <c r="AR998" i="3" s="1"/>
  <c r="AR1574" i="3"/>
  <c r="AR2134" i="3"/>
  <c r="AR1014" i="3" s="1"/>
  <c r="AR1590" i="3"/>
  <c r="AR2150" i="3"/>
  <c r="AR1030" i="3" s="1"/>
  <c r="AR1466" i="3"/>
  <c r="AR2026" i="3"/>
  <c r="AR906" i="3" s="1"/>
  <c r="AR1482" i="3"/>
  <c r="AR2042" i="3"/>
  <c r="AR922" i="3" s="1"/>
  <c r="AR1498" i="3"/>
  <c r="AR2058" i="3"/>
  <c r="AR1514" i="3"/>
  <c r="AR2074" i="3"/>
  <c r="AR954" i="3" s="1"/>
  <c r="AR1530" i="3"/>
  <c r="AR2090" i="3"/>
  <c r="AR970" i="3" s="1"/>
  <c r="AR1546" i="3"/>
  <c r="AR2106" i="3"/>
  <c r="AR986" i="3" s="1"/>
  <c r="AR1702" i="3"/>
  <c r="AR2262" i="3"/>
  <c r="AR1142" i="3" s="1"/>
  <c r="AR1718" i="3"/>
  <c r="AR1467" i="3"/>
  <c r="AR2027" i="3"/>
  <c r="AR907" i="3" s="1"/>
  <c r="AR1483" i="3"/>
  <c r="AR2043" i="3"/>
  <c r="AR923" i="3" s="1"/>
  <c r="AR1499" i="3"/>
  <c r="AR2059" i="3"/>
  <c r="AR939" i="3" s="1"/>
  <c r="AR1531" i="3"/>
  <c r="AR2091" i="3"/>
  <c r="AR971" i="3" s="1"/>
  <c r="AR1469" i="3"/>
  <c r="AR2029" i="3"/>
  <c r="AR909" i="3" s="1"/>
  <c r="AR1501" i="3"/>
  <c r="AR2061" i="3"/>
  <c r="AR941" i="3" s="1"/>
  <c r="AR1533" i="3"/>
  <c r="AR2093" i="3"/>
  <c r="AR1549" i="3"/>
  <c r="AR2109" i="3"/>
  <c r="AR989" i="3" s="1"/>
  <c r="AR1658" i="3"/>
  <c r="AR2218" i="3"/>
  <c r="AR1098" i="3" s="1"/>
  <c r="AR1678" i="3"/>
  <c r="AR2238" i="3"/>
  <c r="AR1118" i="3" s="1"/>
  <c r="AR1726" i="3"/>
  <c r="AR1587" i="3"/>
  <c r="AR2147" i="3"/>
  <c r="AR1027" i="3" s="1"/>
  <c r="AR1660" i="3"/>
  <c r="AR2220" i="3"/>
  <c r="AR1100" i="3" s="1"/>
  <c r="AR1680" i="3"/>
  <c r="AR2240" i="3"/>
  <c r="AR1120" i="3" s="1"/>
  <c r="AR1704" i="3"/>
  <c r="AR2264" i="3"/>
  <c r="AR1144" i="3" s="1"/>
  <c r="AR2221" i="3"/>
  <c r="AR1101" i="3" s="1"/>
  <c r="AR1661" i="3"/>
  <c r="AR1685" i="3"/>
  <c r="AR2245" i="3"/>
  <c r="AR1125" i="3" s="1"/>
  <c r="AR1721" i="3"/>
  <c r="AR1607" i="3"/>
  <c r="AR2167" i="3"/>
  <c r="AR1047" i="3" s="1"/>
  <c r="AR1612" i="3"/>
  <c r="AR2172" i="3"/>
  <c r="AR1052" i="3" s="1"/>
  <c r="AR2157" i="3"/>
  <c r="AR1037" i="3" s="1"/>
  <c r="AR1597" i="3"/>
  <c r="AR1621" i="3"/>
  <c r="AR2181" i="3"/>
  <c r="AR1061" i="3" s="1"/>
  <c r="AR1622" i="3"/>
  <c r="AR2182" i="3"/>
  <c r="AR1062" i="3" s="1"/>
  <c r="AR1595" i="3"/>
  <c r="AR2155" i="3"/>
  <c r="AR1035" i="3" s="1"/>
  <c r="AR1619" i="3"/>
  <c r="AR2179" i="3"/>
  <c r="AR1059" i="3" s="1"/>
  <c r="AR1663" i="3"/>
  <c r="AR2223" i="3"/>
  <c r="AR1103" i="3" s="1"/>
  <c r="AR1565" i="3"/>
  <c r="AR2125" i="3"/>
  <c r="AR1005" i="3" s="1"/>
  <c r="AR1581" i="3"/>
  <c r="AR2141" i="3"/>
  <c r="AR1021" i="3" s="1"/>
  <c r="AR1637" i="3"/>
  <c r="AR2197" i="3"/>
  <c r="AR1077" i="3" s="1"/>
  <c r="AR1472" i="3"/>
  <c r="AR2032" i="3"/>
  <c r="AR912" i="3" s="1"/>
  <c r="AR1504" i="3"/>
  <c r="AR2064" i="3"/>
  <c r="AR944" i="3" s="1"/>
  <c r="AR1520" i="3"/>
  <c r="AR2080" i="3"/>
  <c r="AR960" i="3" s="1"/>
  <c r="AR1536" i="3"/>
  <c r="AR2096" i="3"/>
  <c r="AR1564" i="3"/>
  <c r="AR2124" i="3"/>
  <c r="AR1004" i="3" s="1"/>
  <c r="AR1580" i="3"/>
  <c r="AR2140" i="3"/>
  <c r="AR1020" i="3" s="1"/>
  <c r="AR1596" i="3"/>
  <c r="AR2156" i="3"/>
  <c r="AR1036" i="3" s="1"/>
  <c r="AR1712" i="3"/>
  <c r="AR1728" i="3"/>
  <c r="AR1617" i="3"/>
  <c r="AR2177" i="3"/>
  <c r="AR1057" i="3" s="1"/>
  <c r="AR2253" i="3"/>
  <c r="AR1133" i="3" s="1"/>
  <c r="AR1693" i="3"/>
  <c r="AR1683" i="3"/>
  <c r="AR2243" i="3"/>
  <c r="AR1123" i="3" s="1"/>
  <c r="AR1719" i="3"/>
  <c r="AR1556" i="3"/>
  <c r="AR2116" i="3"/>
  <c r="AR996" i="3" s="1"/>
  <c r="AR1620" i="3"/>
  <c r="AR2180" i="3"/>
  <c r="AR1060" i="3" s="1"/>
  <c r="AR1648" i="3"/>
  <c r="AR2208" i="3"/>
  <c r="AR1088" i="3" s="1"/>
  <c r="AN1606" i="3"/>
  <c r="AN2166" i="3"/>
  <c r="AN1046" i="3" s="1"/>
  <c r="AN1476" i="3"/>
  <c r="AN2036" i="3"/>
  <c r="AN916" i="3" s="1"/>
  <c r="AN1508" i="3"/>
  <c r="AN2068" i="3"/>
  <c r="AN948" i="3" s="1"/>
  <c r="AN1679" i="3"/>
  <c r="AN2239" i="3"/>
  <c r="AN1119" i="3" s="1"/>
  <c r="AN1512" i="3"/>
  <c r="AN2072" i="3"/>
  <c r="AN952" i="3" s="1"/>
  <c r="AN1571" i="3"/>
  <c r="AN2131" i="3"/>
  <c r="AN1011" i="3" s="1"/>
  <c r="AN1468" i="3"/>
  <c r="AN2028" i="3"/>
  <c r="AN908" i="3" s="1"/>
  <c r="AN1532" i="3"/>
  <c r="AN2092" i="3"/>
  <c r="AN972" i="3" s="1"/>
  <c r="AN1666" i="3"/>
  <c r="AN2226" i="3"/>
  <c r="AN1106" i="3" s="1"/>
  <c r="AN1694" i="3"/>
  <c r="AN2254" i="3"/>
  <c r="AN1134" i="3" s="1"/>
  <c r="AN1731" i="3"/>
  <c r="AN1520" i="3"/>
  <c r="AN2080" i="3"/>
  <c r="AN960" i="3" s="1"/>
  <c r="AN1700" i="3"/>
  <c r="AN2260" i="3"/>
  <c r="AN1140" i="3" s="1"/>
  <c r="AN1677" i="3"/>
  <c r="AN2237" i="3"/>
  <c r="AN1117" i="3" s="1"/>
  <c r="AN1705" i="3"/>
  <c r="AN1733" i="3"/>
  <c r="AN1707" i="3"/>
  <c r="AN1735" i="3"/>
  <c r="AN1618" i="3"/>
  <c r="AN2178" i="3"/>
  <c r="AN1058" i="3" s="1"/>
  <c r="AN1642" i="3"/>
  <c r="AN2202" i="3"/>
  <c r="AN1082" i="3" s="1"/>
  <c r="AN1607" i="3"/>
  <c r="AN2167" i="3"/>
  <c r="AN1047" i="3" s="1"/>
  <c r="AN1604" i="3"/>
  <c r="AN2164" i="3"/>
  <c r="AN1044" i="3" s="1"/>
  <c r="AN1640" i="3"/>
  <c r="AN2200" i="3"/>
  <c r="AN1080" i="3" s="1"/>
  <c r="AN1649" i="3"/>
  <c r="AN2209" i="3"/>
  <c r="AN1089" i="3" s="1"/>
  <c r="AN1599" i="3"/>
  <c r="AN2159" i="3"/>
  <c r="AN1039" i="3" s="1"/>
  <c r="AN1631" i="3"/>
  <c r="AN2191" i="3"/>
  <c r="AN1071" i="3" s="1"/>
  <c r="AN1568" i="3"/>
  <c r="AN2128" i="3"/>
  <c r="AN1008" i="3" s="1"/>
  <c r="AN1584" i="3"/>
  <c r="AN2144" i="3"/>
  <c r="AN1024" i="3" s="1"/>
  <c r="AN1601" i="3"/>
  <c r="AN2161" i="3"/>
  <c r="AN1041" i="3" s="1"/>
  <c r="AN1470" i="3"/>
  <c r="AN2030" i="3"/>
  <c r="AN910" i="3" s="1"/>
  <c r="AN1502" i="3"/>
  <c r="AN2062" i="3"/>
  <c r="AN942" i="3" s="1"/>
  <c r="AN1534" i="3"/>
  <c r="AN2094" i="3"/>
  <c r="AN1558" i="3"/>
  <c r="AN2118" i="3"/>
  <c r="AN998" i="3" s="1"/>
  <c r="AN1574" i="3"/>
  <c r="AN2134" i="3"/>
  <c r="AN1014" i="3" s="1"/>
  <c r="AN1590" i="3"/>
  <c r="AN2150" i="3"/>
  <c r="AN1030" i="3" s="1"/>
  <c r="AN1690" i="3"/>
  <c r="AN2250" i="3"/>
  <c r="AN1130" i="3" s="1"/>
  <c r="AN1734" i="3"/>
  <c r="AN1479" i="3"/>
  <c r="AN2039" i="3"/>
  <c r="AN919" i="3" s="1"/>
  <c r="AN2055" i="3"/>
  <c r="AN1495" i="3"/>
  <c r="AN1511" i="3"/>
  <c r="AN2071" i="3"/>
  <c r="AN951" i="3" s="1"/>
  <c r="AN1527" i="3"/>
  <c r="AN2087" i="3"/>
  <c r="AN967" i="3" s="1"/>
  <c r="AN1543" i="3"/>
  <c r="AN2103" i="3"/>
  <c r="AN983" i="3" s="1"/>
  <c r="AN1583" i="3"/>
  <c r="AN2143" i="3"/>
  <c r="AN1023" i="3" s="1"/>
  <c r="AN1548" i="3"/>
  <c r="AN2108" i="3"/>
  <c r="AN988" i="3" s="1"/>
  <c r="AN1655" i="3"/>
  <c r="AN2215" i="3"/>
  <c r="AN1095" i="3" s="1"/>
  <c r="AN1656" i="3"/>
  <c r="AN2216" i="3"/>
  <c r="AN1096" i="3" s="1"/>
  <c r="AN1676" i="3"/>
  <c r="AN2236" i="3"/>
  <c r="AN1116" i="3" s="1"/>
  <c r="AN2256" i="3"/>
  <c r="AN1136" i="3" s="1"/>
  <c r="AN1696" i="3"/>
  <c r="AN1561" i="3"/>
  <c r="AN2121" i="3"/>
  <c r="AN1001" i="3" s="1"/>
  <c r="AN2137" i="3"/>
  <c r="AN1017" i="3" s="1"/>
  <c r="AN1577" i="3"/>
  <c r="AN1593" i="3"/>
  <c r="AN2153" i="3"/>
  <c r="AN1033" i="3" s="1"/>
  <c r="AN1661" i="3"/>
  <c r="AN2221" i="3"/>
  <c r="AN1101" i="3" s="1"/>
  <c r="AN1685" i="3"/>
  <c r="AN2245" i="3"/>
  <c r="AN1125" i="3" s="1"/>
  <c r="AN1721" i="3"/>
  <c r="AN1608" i="3"/>
  <c r="AN2168" i="3"/>
  <c r="AN1048" i="3" s="1"/>
  <c r="AN1636" i="3"/>
  <c r="AN2196" i="3"/>
  <c r="AN1076" i="3" s="1"/>
  <c r="AN1481" i="3"/>
  <c r="AN2041" i="3"/>
  <c r="AN921" i="3" s="1"/>
  <c r="AN1497" i="3"/>
  <c r="AN2057" i="3"/>
  <c r="AN1513" i="3"/>
  <c r="AN2073" i="3"/>
  <c r="AN953" i="3" s="1"/>
  <c r="AN2089" i="3"/>
  <c r="AN969" i="3" s="1"/>
  <c r="AN1529" i="3"/>
  <c r="AN1545" i="3"/>
  <c r="AN2105" i="3"/>
  <c r="AN985" i="3" s="1"/>
  <c r="AN1609" i="3"/>
  <c r="AN2169" i="3"/>
  <c r="AN1049" i="3" s="1"/>
  <c r="AN1629" i="3"/>
  <c r="AN2189" i="3"/>
  <c r="AN1069" i="3" s="1"/>
  <c r="AJ1566" i="3"/>
  <c r="AJ2126" i="3"/>
  <c r="AJ1006" i="3" s="1"/>
  <c r="AJ1551" i="3"/>
  <c r="AJ2111" i="3"/>
  <c r="AJ991" i="3" s="1"/>
  <c r="AJ1562" i="3"/>
  <c r="AJ2122" i="3"/>
  <c r="AJ1002" i="3" s="1"/>
  <c r="AJ1611" i="3"/>
  <c r="AJ2171" i="3"/>
  <c r="AJ1051" i="3" s="1"/>
  <c r="AJ1474" i="3"/>
  <c r="AJ2034" i="3"/>
  <c r="AJ914" i="3" s="1"/>
  <c r="AJ1490" i="3"/>
  <c r="AJ2050" i="3"/>
  <c r="AJ930" i="3" s="1"/>
  <c r="AJ1506" i="3"/>
  <c r="AJ2066" i="3"/>
  <c r="AJ946" i="3" s="1"/>
  <c r="AJ1522" i="3"/>
  <c r="AJ2082" i="3"/>
  <c r="AJ962" i="3" s="1"/>
  <c r="AJ1538" i="3"/>
  <c r="AJ2098" i="3"/>
  <c r="AJ978" i="3" s="1"/>
  <c r="AJ1686" i="3"/>
  <c r="AJ2246" i="3"/>
  <c r="AJ1126" i="3" s="1"/>
  <c r="AJ1710" i="3"/>
  <c r="AJ1730" i="3"/>
  <c r="AJ1475" i="3"/>
  <c r="AJ2035" i="3"/>
  <c r="AJ915" i="3" s="1"/>
  <c r="AJ1491" i="3"/>
  <c r="AJ2051" i="3"/>
  <c r="AJ931" i="3" s="1"/>
  <c r="AJ1507" i="3"/>
  <c r="AJ2067" i="3"/>
  <c r="AJ947" i="3" s="1"/>
  <c r="AJ1602" i="3"/>
  <c r="AJ2162" i="3"/>
  <c r="AJ1042" i="3" s="1"/>
  <c r="AJ1634" i="3"/>
  <c r="AJ2194" i="3"/>
  <c r="AJ1074" i="3" s="1"/>
  <c r="AJ1650" i="3"/>
  <c r="AJ2210" i="3"/>
  <c r="AJ1090" i="3" s="1"/>
  <c r="AJ1660" i="3"/>
  <c r="AJ2220" i="3"/>
  <c r="AJ1100" i="3" s="1"/>
  <c r="AJ1680" i="3"/>
  <c r="AJ2240" i="3"/>
  <c r="AJ1120" i="3" s="1"/>
  <c r="AJ1704" i="3"/>
  <c r="AJ2264" i="3"/>
  <c r="AJ1144" i="3" s="1"/>
  <c r="AJ1661" i="3"/>
  <c r="AJ2221" i="3"/>
  <c r="AJ1101" i="3" s="1"/>
  <c r="AJ1685" i="3"/>
  <c r="AJ2245" i="3"/>
  <c r="AJ1125" i="3" s="1"/>
  <c r="AJ1721" i="3"/>
  <c r="AJ1610" i="3"/>
  <c r="AJ2170" i="3"/>
  <c r="AJ1050" i="3" s="1"/>
  <c r="AJ1555" i="3"/>
  <c r="AJ2115" i="3"/>
  <c r="AJ995" i="3" s="1"/>
  <c r="AJ1615" i="3"/>
  <c r="AJ2175" i="3"/>
  <c r="AJ1055" i="3" s="1"/>
  <c r="AJ1608" i="3"/>
  <c r="AJ2168" i="3"/>
  <c r="AJ1048" i="3" s="1"/>
  <c r="AJ1636" i="3"/>
  <c r="AJ2196" i="3"/>
  <c r="AJ1076" i="3" s="1"/>
  <c r="AJ1613" i="3"/>
  <c r="AJ2173" i="3"/>
  <c r="AJ1053" i="3" s="1"/>
  <c r="AJ1641" i="3"/>
  <c r="AJ2201" i="3"/>
  <c r="AJ1081" i="3" s="1"/>
  <c r="AJ1535" i="3"/>
  <c r="AJ2095" i="3"/>
  <c r="AJ1567" i="3"/>
  <c r="AJ2127" i="3"/>
  <c r="AJ1007" i="3" s="1"/>
  <c r="AJ1655" i="3"/>
  <c r="AJ2215" i="3"/>
  <c r="AJ1095" i="3" s="1"/>
  <c r="AJ1561" i="3"/>
  <c r="AJ2121" i="3"/>
  <c r="AJ1001" i="3" s="1"/>
  <c r="AJ1577" i="3"/>
  <c r="AJ2137" i="3"/>
  <c r="AJ1017" i="3" s="1"/>
  <c r="AJ1593" i="3"/>
  <c r="AJ2153" i="3"/>
  <c r="AJ1033" i="3" s="1"/>
  <c r="AJ1670" i="3"/>
  <c r="AJ2230" i="3"/>
  <c r="AJ1110" i="3" s="1"/>
  <c r="AJ1698" i="3"/>
  <c r="AJ2258" i="3"/>
  <c r="AJ1138" i="3" s="1"/>
  <c r="AJ1579" i="3"/>
  <c r="AJ2139" i="3"/>
  <c r="AJ1019" i="3" s="1"/>
  <c r="AJ1469" i="3"/>
  <c r="AJ2029" i="3"/>
  <c r="AJ909" i="3" s="1"/>
  <c r="AJ1501" i="3"/>
  <c r="AJ2061" i="3"/>
  <c r="AJ941" i="3" s="1"/>
  <c r="AJ1533" i="3"/>
  <c r="AJ2093" i="3"/>
  <c r="AJ1549" i="3"/>
  <c r="AJ2109" i="3"/>
  <c r="AJ989" i="3" s="1"/>
  <c r="AJ1659" i="3"/>
  <c r="AJ2219" i="3"/>
  <c r="AJ1099" i="3" s="1"/>
  <c r="AJ1600" i="3"/>
  <c r="AJ2160" i="3"/>
  <c r="AJ1040" i="3" s="1"/>
  <c r="AJ2192" i="3"/>
  <c r="AJ1072" i="3" s="1"/>
  <c r="AJ1632" i="3"/>
  <c r="AJ1703" i="3"/>
  <c r="AJ2263" i="3"/>
  <c r="AJ1143" i="3" s="1"/>
  <c r="AJ1468" i="3"/>
  <c r="AJ2028" i="3"/>
  <c r="AJ908" i="3" s="1"/>
  <c r="AJ1484" i="3"/>
  <c r="AJ2044" i="3"/>
  <c r="AJ924" i="3" s="1"/>
  <c r="AJ1500" i="3"/>
  <c r="AJ2060" i="3"/>
  <c r="AJ940" i="3" s="1"/>
  <c r="AJ1532" i="3"/>
  <c r="AJ2092" i="3"/>
  <c r="AJ972" i="3" s="1"/>
  <c r="AJ1560" i="3"/>
  <c r="AJ2120" i="3"/>
  <c r="AJ1000" i="3" s="1"/>
  <c r="AJ1576" i="3"/>
  <c r="AJ2136" i="3"/>
  <c r="AJ1016" i="3" s="1"/>
  <c r="AJ1592" i="3"/>
  <c r="AJ2152" i="3"/>
  <c r="AJ1032" i="3" s="1"/>
  <c r="AJ1700" i="3"/>
  <c r="AJ2260" i="3"/>
  <c r="AJ1140" i="3" s="1"/>
  <c r="AJ1601" i="3"/>
  <c r="AJ2161" i="3"/>
  <c r="AJ1041" i="3" s="1"/>
  <c r="AJ1681" i="3"/>
  <c r="AJ2241" i="3"/>
  <c r="AJ1121" i="3" s="1"/>
  <c r="AJ1709" i="3"/>
  <c r="AJ1737" i="3"/>
  <c r="AJ1711" i="3"/>
  <c r="AF1554" i="3"/>
  <c r="AF2114" i="3"/>
  <c r="AF994" i="3" s="1"/>
  <c r="AF1619" i="3"/>
  <c r="AF2179" i="3"/>
  <c r="AF1059" i="3" s="1"/>
  <c r="AF1658" i="3"/>
  <c r="AF2218" i="3"/>
  <c r="AF1098" i="3" s="1"/>
  <c r="AF1678" i="3"/>
  <c r="AF2238" i="3"/>
  <c r="AF1118" i="3" s="1"/>
  <c r="AF1726" i="3"/>
  <c r="AF1600" i="3"/>
  <c r="AF2160" i="3"/>
  <c r="AF1040" i="3" s="1"/>
  <c r="AF1622" i="3"/>
  <c r="AF2182" i="3"/>
  <c r="AF1062" i="3" s="1"/>
  <c r="AF1631" i="3"/>
  <c r="AF2191" i="3"/>
  <c r="AF1071" i="3" s="1"/>
  <c r="AF1632" i="3"/>
  <c r="AF2192" i="3"/>
  <c r="AF1072" i="3" s="1"/>
  <c r="AF1474" i="3"/>
  <c r="AF2034" i="3"/>
  <c r="AF914" i="3" s="1"/>
  <c r="AF2050" i="3"/>
  <c r="AF930" i="3" s="1"/>
  <c r="AF1490" i="3"/>
  <c r="AF2066" i="3"/>
  <c r="AF946" i="3" s="1"/>
  <c r="AF1506" i="3"/>
  <c r="AF1522" i="3"/>
  <c r="AF2082" i="3"/>
  <c r="AF962" i="3" s="1"/>
  <c r="AF1538" i="3"/>
  <c r="AF2098" i="3"/>
  <c r="AF978" i="3" s="1"/>
  <c r="AF1562" i="3"/>
  <c r="AF2122" i="3"/>
  <c r="AF1002" i="3" s="1"/>
  <c r="AF1578" i="3"/>
  <c r="AF2138" i="3"/>
  <c r="AF1018" i="3" s="1"/>
  <c r="AF1594" i="3"/>
  <c r="AF2154" i="3"/>
  <c r="AF1034" i="3" s="1"/>
  <c r="AF1718" i="3"/>
  <c r="AF1467" i="3"/>
  <c r="AF2027" i="3"/>
  <c r="AF907" i="3" s="1"/>
  <c r="AF1483" i="3"/>
  <c r="AF2043" i="3"/>
  <c r="AF923" i="3" s="1"/>
  <c r="AF1499" i="3"/>
  <c r="AF2059" i="3"/>
  <c r="AF939" i="3" s="1"/>
  <c r="AF1531" i="3"/>
  <c r="AF2091" i="3"/>
  <c r="AF971" i="3" s="1"/>
  <c r="AF1559" i="3"/>
  <c r="AF2119" i="3"/>
  <c r="AF999" i="3" s="1"/>
  <c r="AF1591" i="3"/>
  <c r="AF2151" i="3"/>
  <c r="AF1031" i="3" s="1"/>
  <c r="AF1560" i="3"/>
  <c r="AF2120" i="3"/>
  <c r="AF1000" i="3" s="1"/>
  <c r="AF1576" i="3"/>
  <c r="AF2136" i="3"/>
  <c r="AF1016" i="3" s="1"/>
  <c r="AF1592" i="3"/>
  <c r="AF2152" i="3"/>
  <c r="AF1032" i="3" s="1"/>
  <c r="AF1633" i="3"/>
  <c r="AF2193" i="3"/>
  <c r="AF1073" i="3" s="1"/>
  <c r="AF1587" i="3"/>
  <c r="AF2147" i="3"/>
  <c r="AF1027" i="3" s="1"/>
  <c r="AF1548" i="3"/>
  <c r="AF2108" i="3"/>
  <c r="AF988" i="3" s="1"/>
  <c r="AF1602" i="3"/>
  <c r="AF2162" i="3"/>
  <c r="AF1042" i="3" s="1"/>
  <c r="AF1634" i="3"/>
  <c r="AF2194" i="3"/>
  <c r="AF1074" i="3" s="1"/>
  <c r="AF1650" i="3"/>
  <c r="AF2210" i="3"/>
  <c r="AF1090" i="3" s="1"/>
  <c r="AF1623" i="3"/>
  <c r="AF2183" i="3"/>
  <c r="AF1063" i="3" s="1"/>
  <c r="AF1703" i="3"/>
  <c r="AF2263" i="3"/>
  <c r="AF1143" i="3" s="1"/>
  <c r="AF1468" i="3"/>
  <c r="AF2028" i="3"/>
  <c r="AF908" i="3" s="1"/>
  <c r="AF1484" i="3"/>
  <c r="AF2044" i="3"/>
  <c r="AF924" i="3" s="1"/>
  <c r="AF1500" i="3"/>
  <c r="AF2060" i="3"/>
  <c r="AF940" i="3" s="1"/>
  <c r="AF1532" i="3"/>
  <c r="AF2092" i="3"/>
  <c r="AF972" i="3" s="1"/>
  <c r="AF1732" i="3"/>
  <c r="AF1693" i="3"/>
  <c r="AF2253" i="3"/>
  <c r="AF1133" i="3" s="1"/>
  <c r="AF1683" i="3"/>
  <c r="AF2243" i="3"/>
  <c r="AF1123" i="3" s="1"/>
  <c r="AF1719" i="3"/>
  <c r="AF1608" i="3"/>
  <c r="AF2168" i="3"/>
  <c r="AF1048" i="3" s="1"/>
  <c r="AF1636" i="3"/>
  <c r="AF2196" i="3"/>
  <c r="AF1076" i="3" s="1"/>
  <c r="AF1481" i="3"/>
  <c r="AF2041" i="3"/>
  <c r="AF921" i="3" s="1"/>
  <c r="AF1497" i="3"/>
  <c r="AF2057" i="3"/>
  <c r="AF1513" i="3"/>
  <c r="AF2073" i="3"/>
  <c r="AF953" i="3" s="1"/>
  <c r="AF1529" i="3"/>
  <c r="AF2089" i="3"/>
  <c r="AF969" i="3" s="1"/>
  <c r="AF1545" i="3"/>
  <c r="AF2105" i="3"/>
  <c r="AF985" i="3" s="1"/>
  <c r="AF2169" i="3"/>
  <c r="AF1049" i="3" s="1"/>
  <c r="AF1609" i="3"/>
  <c r="AF2189" i="3"/>
  <c r="AF1069" i="3" s="1"/>
  <c r="AF1629" i="3"/>
  <c r="AF1687" i="3"/>
  <c r="AF2247" i="3"/>
  <c r="AF1127" i="3" s="1"/>
  <c r="AF1668" i="3"/>
  <c r="AF2228" i="3"/>
  <c r="AF1108" i="3" s="1"/>
  <c r="AF1692" i="3"/>
  <c r="AF2252" i="3"/>
  <c r="AF1132" i="3" s="1"/>
  <c r="AF1557" i="3"/>
  <c r="AF2117" i="3"/>
  <c r="AF997" i="3" s="1"/>
  <c r="AF1573" i="3"/>
  <c r="AF2133" i="3"/>
  <c r="AF1013" i="3" s="1"/>
  <c r="AF2149" i="3"/>
  <c r="AF1029" i="3" s="1"/>
  <c r="AF1589" i="3"/>
  <c r="AF2217" i="3"/>
  <c r="AF1097" i="3" s="1"/>
  <c r="AF1657" i="3"/>
  <c r="AF1717" i="3"/>
  <c r="X1658" i="3"/>
  <c r="X2218" i="3"/>
  <c r="X1098" i="3" s="1"/>
  <c r="X1678" i="3"/>
  <c r="X2238" i="3"/>
  <c r="X1118" i="3" s="1"/>
  <c r="X1726" i="3"/>
  <c r="X1587" i="3"/>
  <c r="X2147" i="3"/>
  <c r="X1027" i="3" s="1"/>
  <c r="X1606" i="3"/>
  <c r="X2166" i="3"/>
  <c r="X1046" i="3" s="1"/>
  <c r="X1647" i="3"/>
  <c r="X2207" i="3"/>
  <c r="X1087" i="3" s="1"/>
  <c r="X1554" i="3"/>
  <c r="X2114" i="3"/>
  <c r="X994" i="3" s="1"/>
  <c r="X1650" i="3"/>
  <c r="X2210" i="3"/>
  <c r="X1090" i="3" s="1"/>
  <c r="X1556" i="3"/>
  <c r="X2116" i="3"/>
  <c r="X996" i="3" s="1"/>
  <c r="X1595" i="3"/>
  <c r="X2155" i="3"/>
  <c r="X1035" i="3" s="1"/>
  <c r="X1619" i="3"/>
  <c r="X2179" i="3"/>
  <c r="X1059" i="3" s="1"/>
  <c r="X1659" i="3"/>
  <c r="X2219" i="3"/>
  <c r="X1099" i="3" s="1"/>
  <c r="X1504" i="3"/>
  <c r="X2064" i="3"/>
  <c r="X944" i="3" s="1"/>
  <c r="X1520" i="3"/>
  <c r="X2080" i="3"/>
  <c r="X960" i="3" s="1"/>
  <c r="X1688" i="3"/>
  <c r="X2248" i="3"/>
  <c r="X1128" i="3" s="1"/>
  <c r="X1720" i="3"/>
  <c r="X1736" i="3"/>
  <c r="X1729" i="3"/>
  <c r="X1727" i="3"/>
  <c r="X1474" i="3"/>
  <c r="X2034" i="3"/>
  <c r="X914" i="3" s="1"/>
  <c r="X1490" i="3"/>
  <c r="X2050" i="3"/>
  <c r="X930" i="3" s="1"/>
  <c r="X1506" i="3"/>
  <c r="X2066" i="3"/>
  <c r="X946" i="3" s="1"/>
  <c r="X1522" i="3"/>
  <c r="X2082" i="3"/>
  <c r="X962" i="3" s="1"/>
  <c r="X1538" i="3"/>
  <c r="X2098" i="3"/>
  <c r="X978" i="3" s="1"/>
  <c r="X1562" i="3"/>
  <c r="X2122" i="3"/>
  <c r="X1002" i="3" s="1"/>
  <c r="X1718" i="3"/>
  <c r="X1467" i="3"/>
  <c r="X2027" i="3"/>
  <c r="X907" i="3" s="1"/>
  <c r="X1483" i="3"/>
  <c r="X2043" i="3"/>
  <c r="X923" i="3" s="1"/>
  <c r="X1499" i="3"/>
  <c r="X2059" i="3"/>
  <c r="X939" i="3" s="1"/>
  <c r="X1531" i="3"/>
  <c r="X2091" i="3"/>
  <c r="X971" i="3" s="1"/>
  <c r="X1620" i="3"/>
  <c r="X2180" i="3"/>
  <c r="X1060" i="3" s="1"/>
  <c r="X1648" i="3"/>
  <c r="X2208" i="3"/>
  <c r="X1088" i="3" s="1"/>
  <c r="X1655" i="3"/>
  <c r="X2215" i="3"/>
  <c r="X1095" i="3" s="1"/>
  <c r="X1656" i="3"/>
  <c r="X2216" i="3"/>
  <c r="X1096" i="3" s="1"/>
  <c r="X1676" i="3"/>
  <c r="X2236" i="3"/>
  <c r="X1116" i="3" s="1"/>
  <c r="X1561" i="3"/>
  <c r="X2121" i="3"/>
  <c r="X1001" i="3" s="1"/>
  <c r="X1661" i="3"/>
  <c r="X2221" i="3"/>
  <c r="X1101" i="3" s="1"/>
  <c r="X1721" i="3"/>
  <c r="X1608" i="3"/>
  <c r="X2168" i="3"/>
  <c r="X1048" i="3" s="1"/>
  <c r="X1636" i="3"/>
  <c r="X2196" i="3"/>
  <c r="X1076" i="3" s="1"/>
  <c r="X1481" i="3"/>
  <c r="X2041" i="3"/>
  <c r="X921" i="3" s="1"/>
  <c r="X1513" i="3"/>
  <c r="X2073" i="3"/>
  <c r="X953" i="3" s="1"/>
  <c r="X1529" i="3"/>
  <c r="X2089" i="3"/>
  <c r="X969" i="3" s="1"/>
  <c r="X1629" i="3"/>
  <c r="X2189" i="3"/>
  <c r="X1069" i="3" s="1"/>
  <c r="T1482" i="3"/>
  <c r="T2042" i="3"/>
  <c r="T922" i="3" s="1"/>
  <c r="T1522" i="3"/>
  <c r="T2082" i="3"/>
  <c r="T962" i="3" s="1"/>
  <c r="T1475" i="3"/>
  <c r="T2035" i="3"/>
  <c r="T915" i="3" s="1"/>
  <c r="T1511" i="3"/>
  <c r="T2071" i="3"/>
  <c r="T951" i="3" s="1"/>
  <c r="T2090" i="3"/>
  <c r="T970" i="3" s="1"/>
  <c r="T1530" i="3"/>
  <c r="T1491" i="3"/>
  <c r="T2051" i="3"/>
  <c r="T931" i="3" s="1"/>
  <c r="T1502" i="3"/>
  <c r="T2062" i="3"/>
  <c r="T942" i="3" s="1"/>
  <c r="T1527" i="3"/>
  <c r="T2087" i="3"/>
  <c r="T967" i="3" s="1"/>
  <c r="T1467" i="3"/>
  <c r="T2027" i="3"/>
  <c r="T907" i="3" s="1"/>
  <c r="T1650" i="3"/>
  <c r="T2210" i="3"/>
  <c r="T1090" i="3" s="1"/>
  <c r="T1570" i="3"/>
  <c r="T2130" i="3"/>
  <c r="T1010" i="3" s="1"/>
  <c r="T1586" i="3"/>
  <c r="T2146" i="3"/>
  <c r="T1026" i="3" s="1"/>
  <c r="T1565" i="3"/>
  <c r="T2125" i="3"/>
  <c r="T1005" i="3" s="1"/>
  <c r="T1581" i="3"/>
  <c r="T2141" i="3"/>
  <c r="T1021" i="3" s="1"/>
  <c r="T2197" i="3"/>
  <c r="T1077" i="3" s="1"/>
  <c r="T1637" i="3"/>
  <c r="T1626" i="3"/>
  <c r="T2186" i="3"/>
  <c r="T1066" i="3" s="1"/>
  <c r="T1599" i="3"/>
  <c r="T2159" i="3"/>
  <c r="T1039" i="3" s="1"/>
  <c r="T1469" i="3"/>
  <c r="T2029" i="3"/>
  <c r="T909" i="3" s="1"/>
  <c r="T1501" i="3"/>
  <c r="T2061" i="3"/>
  <c r="T941" i="3" s="1"/>
  <c r="T2109" i="3"/>
  <c r="T989" i="3" s="1"/>
  <c r="T1549" i="3"/>
  <c r="T1543" i="3"/>
  <c r="T2103" i="3"/>
  <c r="T983" i="3" s="1"/>
  <c r="T1583" i="3"/>
  <c r="T2143" i="3"/>
  <c r="T1023" i="3" s="1"/>
  <c r="T1660" i="3"/>
  <c r="T2220" i="3"/>
  <c r="T1100" i="3" s="1"/>
  <c r="T1680" i="3"/>
  <c r="T2240" i="3"/>
  <c r="T1120" i="3" s="1"/>
  <c r="T1661" i="3"/>
  <c r="T2221" i="3"/>
  <c r="T1101" i="3" s="1"/>
  <c r="T1721" i="3"/>
  <c r="T1554" i="3"/>
  <c r="T2114" i="3"/>
  <c r="T994" i="3" s="1"/>
  <c r="T1694" i="3"/>
  <c r="T2254" i="3"/>
  <c r="T1134" i="3" s="1"/>
  <c r="T1571" i="3"/>
  <c r="T2131" i="3"/>
  <c r="T1011" i="3" s="1"/>
  <c r="T1605" i="3"/>
  <c r="T2165" i="3"/>
  <c r="T1045" i="3" s="1"/>
  <c r="T1625" i="3"/>
  <c r="T2185" i="3"/>
  <c r="T1065" i="3" s="1"/>
  <c r="T1659" i="3"/>
  <c r="T2219" i="3"/>
  <c r="T1099" i="3" s="1"/>
  <c r="T1600" i="3"/>
  <c r="T2160" i="3"/>
  <c r="T1040" i="3" s="1"/>
  <c r="T1468" i="3"/>
  <c r="T2028" i="3"/>
  <c r="T908" i="3" s="1"/>
  <c r="T1484" i="3"/>
  <c r="T2044" i="3"/>
  <c r="T924" i="3" s="1"/>
  <c r="T1500" i="3"/>
  <c r="T2060" i="3"/>
  <c r="T940" i="3" s="1"/>
  <c r="T1532" i="3"/>
  <c r="T2092" i="3"/>
  <c r="T972" i="3" s="1"/>
  <c r="T1681" i="3"/>
  <c r="T2241" i="3"/>
  <c r="T1121" i="3" s="1"/>
  <c r="T1709" i="3"/>
  <c r="T1737" i="3"/>
  <c r="T1711" i="3"/>
  <c r="P1658" i="3"/>
  <c r="P2218" i="3"/>
  <c r="P1098" i="3" s="1"/>
  <c r="P1678" i="3"/>
  <c r="P2238" i="3"/>
  <c r="P1118" i="3" s="1"/>
  <c r="P1635" i="3"/>
  <c r="P2195" i="3"/>
  <c r="P1075" i="3" s="1"/>
  <c r="P1615" i="3"/>
  <c r="P2175" i="3"/>
  <c r="P1055" i="3" s="1"/>
  <c r="P1553" i="3"/>
  <c r="P2113" i="3"/>
  <c r="P993" i="3" s="1"/>
  <c r="P1494" i="3"/>
  <c r="P2054" i="3"/>
  <c r="P934" i="3" s="1"/>
  <c r="P1542" i="3"/>
  <c r="P2102" i="3"/>
  <c r="P982" i="3" s="1"/>
  <c r="P1566" i="3"/>
  <c r="P2126" i="3"/>
  <c r="P1006" i="3" s="1"/>
  <c r="P1582" i="3"/>
  <c r="P2142" i="3"/>
  <c r="P1022" i="3" s="1"/>
  <c r="P1706" i="3"/>
  <c r="P1722" i="3"/>
  <c r="P1503" i="3"/>
  <c r="P2063" i="3"/>
  <c r="P943" i="3" s="1"/>
  <c r="P1519" i="3"/>
  <c r="P2079" i="3"/>
  <c r="P959" i="3" s="1"/>
  <c r="P1567" i="3"/>
  <c r="P2127" i="3"/>
  <c r="P1007" i="3" s="1"/>
  <c r="P1468" i="3"/>
  <c r="P2028" i="3"/>
  <c r="P908" i="3" s="1"/>
  <c r="P1484" i="3"/>
  <c r="P2044" i="3"/>
  <c r="P924" i="3" s="1"/>
  <c r="P1500" i="3"/>
  <c r="P2060" i="3"/>
  <c r="P940" i="3" s="1"/>
  <c r="P1532" i="3"/>
  <c r="P2092" i="3"/>
  <c r="P972" i="3" s="1"/>
  <c r="P1716" i="3"/>
  <c r="P1732" i="3"/>
  <c r="P1693" i="3"/>
  <c r="P2253" i="3"/>
  <c r="P1133" i="3" s="1"/>
  <c r="P1719" i="3"/>
  <c r="P1571" i="3"/>
  <c r="P2131" i="3"/>
  <c r="P1011" i="3" s="1"/>
  <c r="P1616" i="3"/>
  <c r="P2176" i="3"/>
  <c r="P1056" i="3" s="1"/>
  <c r="P1598" i="3"/>
  <c r="P2158" i="3"/>
  <c r="P1038" i="3" s="1"/>
  <c r="P1630" i="3"/>
  <c r="P2190" i="3"/>
  <c r="P1070" i="3" s="1"/>
  <c r="P1647" i="3"/>
  <c r="P2207" i="3"/>
  <c r="P1087" i="3" s="1"/>
  <c r="P1568" i="3"/>
  <c r="P2128" i="3"/>
  <c r="P1008" i="3" s="1"/>
  <c r="P1584" i="3"/>
  <c r="P2144" i="3"/>
  <c r="P1024" i="3" s="1"/>
  <c r="P1608" i="3"/>
  <c r="P2168" i="3"/>
  <c r="P1048" i="3" s="1"/>
  <c r="P1636" i="3"/>
  <c r="P2196" i="3"/>
  <c r="P1076" i="3" s="1"/>
  <c r="P1481" i="3"/>
  <c r="P2041" i="3"/>
  <c r="P921" i="3" s="1"/>
  <c r="P1529" i="3"/>
  <c r="P2089" i="3"/>
  <c r="P969" i="3" s="1"/>
  <c r="P1629" i="3"/>
  <c r="P2189" i="3"/>
  <c r="P1069" i="3" s="1"/>
  <c r="P1687" i="3"/>
  <c r="P2247" i="3"/>
  <c r="P1127" i="3" s="1"/>
  <c r="P1668" i="3"/>
  <c r="P2228" i="3"/>
  <c r="P1108" i="3" s="1"/>
  <c r="P1692" i="3"/>
  <c r="P2252" i="3"/>
  <c r="P1132" i="3" s="1"/>
  <c r="P1573" i="3"/>
  <c r="P2133" i="3"/>
  <c r="P1013" i="3" s="1"/>
  <c r="P1589" i="3"/>
  <c r="P2149" i="3"/>
  <c r="P1029" i="3" s="1"/>
  <c r="P1657" i="3"/>
  <c r="P2217" i="3"/>
  <c r="P1097" i="3" s="1"/>
  <c r="P1717" i="3"/>
  <c r="AX1590" i="3"/>
  <c r="AX2150" i="3"/>
  <c r="AX1030" i="3" s="1"/>
  <c r="AX1574" i="3"/>
  <c r="AX2134" i="3"/>
  <c r="AX1014" i="3" s="1"/>
  <c r="AX1558" i="3"/>
  <c r="AX2118" i="3"/>
  <c r="AX998" i="3" s="1"/>
  <c r="AX1730" i="3"/>
  <c r="AX1618" i="3"/>
  <c r="AX2178" i="3"/>
  <c r="AX1058" i="3" s="1"/>
  <c r="AX1582" i="3"/>
  <c r="AX2142" i="3"/>
  <c r="AX1022" i="3" s="1"/>
  <c r="AX1466" i="3"/>
  <c r="AX2026" i="3"/>
  <c r="AX906" i="3" s="1"/>
  <c r="AX1482" i="3"/>
  <c r="AX2042" i="3"/>
  <c r="AX922" i="3" s="1"/>
  <c r="AX1498" i="3"/>
  <c r="AX2058" i="3"/>
  <c r="AX1514" i="3"/>
  <c r="AX2074" i="3"/>
  <c r="AX954" i="3" s="1"/>
  <c r="AX1530" i="3"/>
  <c r="AX2090" i="3"/>
  <c r="AX970" i="3" s="1"/>
  <c r="AX1546" i="3"/>
  <c r="AX2106" i="3"/>
  <c r="AX986" i="3" s="1"/>
  <c r="AX1639" i="3"/>
  <c r="AX2199" i="3"/>
  <c r="AX1079" i="3" s="1"/>
  <c r="AX1626" i="3"/>
  <c r="AX2186" i="3"/>
  <c r="AX1066" i="3" s="1"/>
  <c r="AX1607" i="3"/>
  <c r="AX2167" i="3"/>
  <c r="AX1047" i="3" s="1"/>
  <c r="AX1612" i="3"/>
  <c r="AX2172" i="3"/>
  <c r="AX1052" i="3" s="1"/>
  <c r="AX1605" i="3"/>
  <c r="AX2165" i="3"/>
  <c r="AX1045" i="3" s="1"/>
  <c r="AX1563" i="3"/>
  <c r="AX2123" i="3"/>
  <c r="AX1003" i="3" s="1"/>
  <c r="AX1579" i="3"/>
  <c r="AX2139" i="3"/>
  <c r="AX1019" i="3" s="1"/>
  <c r="AX1599" i="3"/>
  <c r="AX2159" i="3"/>
  <c r="AX1039" i="3" s="1"/>
  <c r="AX1631" i="3"/>
  <c r="AX2191" i="3"/>
  <c r="AX1071" i="3" s="1"/>
  <c r="AX1695" i="3"/>
  <c r="AX2255" i="3"/>
  <c r="AX1135" i="3" s="1"/>
  <c r="AX1472" i="3"/>
  <c r="AX2032" i="3"/>
  <c r="AX912" i="3" s="1"/>
  <c r="AX1504" i="3"/>
  <c r="AX2064" i="3"/>
  <c r="AX944" i="3" s="1"/>
  <c r="AX1520" i="3"/>
  <c r="AX2080" i="3"/>
  <c r="AX960" i="3" s="1"/>
  <c r="AX1536" i="3"/>
  <c r="AX2096" i="3"/>
  <c r="AX1556" i="3"/>
  <c r="AX2116" i="3"/>
  <c r="AX996" i="3" s="1"/>
  <c r="AX1680" i="3"/>
  <c r="AX2240" i="3"/>
  <c r="AX1120" i="3" s="1"/>
  <c r="AX1708" i="3"/>
  <c r="AX1481" i="3"/>
  <c r="AX2041" i="3"/>
  <c r="AX921" i="3" s="1"/>
  <c r="AX1497" i="3"/>
  <c r="AX2057" i="3"/>
  <c r="AX1513" i="3"/>
  <c r="AX2073" i="3"/>
  <c r="AX953" i="3" s="1"/>
  <c r="AX1529" i="3"/>
  <c r="AX2089" i="3"/>
  <c r="AX969" i="3" s="1"/>
  <c r="AX1545" i="3"/>
  <c r="AX2105" i="3"/>
  <c r="AX985" i="3" s="1"/>
  <c r="AX1569" i="3"/>
  <c r="AX2129" i="3"/>
  <c r="AX1009" i="3" s="1"/>
  <c r="AX1657" i="3"/>
  <c r="AX2217" i="3"/>
  <c r="AX1097" i="3" s="1"/>
  <c r="AX1681" i="3"/>
  <c r="AX2241" i="3"/>
  <c r="AX1121" i="3" s="1"/>
  <c r="AX1691" i="3"/>
  <c r="AX2251" i="3"/>
  <c r="AX1131" i="3" s="1"/>
  <c r="AX1666" i="3"/>
  <c r="AX2226" i="3"/>
  <c r="AX1106" i="3" s="1"/>
  <c r="AX1682" i="3"/>
  <c r="AX2242" i="3"/>
  <c r="AX1122" i="3" s="1"/>
  <c r="AX1726" i="3"/>
  <c r="AX1479" i="3"/>
  <c r="AX2039" i="3"/>
  <c r="AX919" i="3" s="1"/>
  <c r="AX1495" i="3"/>
  <c r="AX2055" i="3"/>
  <c r="AX1511" i="3"/>
  <c r="AX2071" i="3"/>
  <c r="AX951" i="3" s="1"/>
  <c r="AX1527" i="3"/>
  <c r="AX2087" i="3"/>
  <c r="AX967" i="3" s="1"/>
  <c r="AX1543" i="3"/>
  <c r="AX2103" i="3"/>
  <c r="AX983" i="3" s="1"/>
  <c r="AX1640" i="3"/>
  <c r="AX2200" i="3"/>
  <c r="AX1080" i="3" s="1"/>
  <c r="AX1684" i="3"/>
  <c r="AX2244" i="3"/>
  <c r="AX1124" i="3" s="1"/>
  <c r="AX1669" i="3"/>
  <c r="AX2229" i="3"/>
  <c r="AX1109" i="3" s="1"/>
  <c r="AX1548" i="3"/>
  <c r="AX2108" i="3"/>
  <c r="AX988" i="3" s="1"/>
  <c r="AX1572" i="3"/>
  <c r="AX2132" i="3"/>
  <c r="AX1012" i="3" s="1"/>
  <c r="AX1588" i="3"/>
  <c r="AX2148" i="3"/>
  <c r="AX1028" i="3" s="1"/>
  <c r="AX1608" i="3"/>
  <c r="AX2168" i="3"/>
  <c r="AX1048" i="3" s="1"/>
  <c r="AX1720" i="3"/>
  <c r="AX1736" i="3"/>
  <c r="AX1581" i="3"/>
  <c r="AX2141" i="3"/>
  <c r="AX1021" i="3" s="1"/>
  <c r="AX1609" i="3"/>
  <c r="AX2169" i="3"/>
  <c r="AX1049" i="3" s="1"/>
  <c r="AX1629" i="3"/>
  <c r="AX2189" i="3"/>
  <c r="AX1069" i="3" s="1"/>
  <c r="AX1709" i="3"/>
  <c r="AX1737" i="3"/>
  <c r="AX1719" i="3"/>
  <c r="AT1479" i="3"/>
  <c r="AT2039" i="3"/>
  <c r="AT919" i="3" s="1"/>
  <c r="AT1527" i="3"/>
  <c r="AT2087" i="3"/>
  <c r="AT967" i="3" s="1"/>
  <c r="AT1550" i="3"/>
  <c r="AT2110" i="3"/>
  <c r="AT990" i="3" s="1"/>
  <c r="AT1694" i="3"/>
  <c r="AT2254" i="3"/>
  <c r="AT1134" i="3" s="1"/>
  <c r="AT1507" i="3"/>
  <c r="AT2067" i="3"/>
  <c r="AT947" i="3" s="1"/>
  <c r="AT1598" i="3"/>
  <c r="AT2158" i="3"/>
  <c r="AT1038" i="3" s="1"/>
  <c r="AT1630" i="3"/>
  <c r="AT2190" i="3"/>
  <c r="AT1070" i="3" s="1"/>
  <c r="AT1554" i="3"/>
  <c r="AT2114" i="3"/>
  <c r="AT994" i="3" s="1"/>
  <c r="AT1570" i="3"/>
  <c r="AT2130" i="3"/>
  <c r="AT1010" i="3" s="1"/>
  <c r="AT1586" i="3"/>
  <c r="AT2146" i="3"/>
  <c r="AT1026" i="3" s="1"/>
  <c r="AT1606" i="3"/>
  <c r="AT2166" i="3"/>
  <c r="AT1046" i="3" s="1"/>
  <c r="AT1686" i="3"/>
  <c r="AT2246" i="3"/>
  <c r="AT1126" i="3" s="1"/>
  <c r="AT1734" i="3"/>
  <c r="AT1567" i="3"/>
  <c r="AT2127" i="3"/>
  <c r="AT1007" i="3" s="1"/>
  <c r="AT1583" i="3"/>
  <c r="AT2143" i="3"/>
  <c r="AT1023" i="3" s="1"/>
  <c r="AT1611" i="3"/>
  <c r="AT2171" i="3"/>
  <c r="AT1051" i="3" s="1"/>
  <c r="AT1731" i="3"/>
  <c r="AT1568" i="3"/>
  <c r="AT2128" i="3"/>
  <c r="AT1008" i="3" s="1"/>
  <c r="AT1584" i="3"/>
  <c r="AT2144" i="3"/>
  <c r="AT1024" i="3" s="1"/>
  <c r="AT1604" i="3"/>
  <c r="AT2164" i="3"/>
  <c r="AT1044" i="3" s="1"/>
  <c r="AT1720" i="3"/>
  <c r="AT1736" i="3"/>
  <c r="AT1581" i="3"/>
  <c r="AT2141" i="3"/>
  <c r="AT1021" i="3" s="1"/>
  <c r="AT1609" i="3"/>
  <c r="AT2169" i="3"/>
  <c r="AT1049" i="3" s="1"/>
  <c r="AT1629" i="3"/>
  <c r="AT2189" i="3"/>
  <c r="AT1069" i="3" s="1"/>
  <c r="AT1705" i="3"/>
  <c r="AT1733" i="3"/>
  <c r="AT1711" i="3"/>
  <c r="AT1531" i="3"/>
  <c r="AT2091" i="3"/>
  <c r="AT971" i="3" s="1"/>
  <c r="AT1547" i="3"/>
  <c r="AT2107" i="3"/>
  <c r="AT987" i="3" s="1"/>
  <c r="AT1692" i="3"/>
  <c r="AT2252" i="3"/>
  <c r="AT1132" i="3" s="1"/>
  <c r="AT1466" i="3"/>
  <c r="AT2026" i="3"/>
  <c r="AT906" i="3" s="1"/>
  <c r="AT1482" i="3"/>
  <c r="AT2042" i="3"/>
  <c r="AT922" i="3" s="1"/>
  <c r="AT1498" i="3"/>
  <c r="AT2058" i="3"/>
  <c r="AT1514" i="3"/>
  <c r="AT2074" i="3"/>
  <c r="AT954" i="3" s="1"/>
  <c r="AT1530" i="3"/>
  <c r="AT2090" i="3"/>
  <c r="AT970" i="3" s="1"/>
  <c r="AT1546" i="3"/>
  <c r="AT2106" i="3"/>
  <c r="AT986" i="3" s="1"/>
  <c r="AT1663" i="3"/>
  <c r="AT2223" i="3"/>
  <c r="AT1103" i="3" s="1"/>
  <c r="AT1600" i="3"/>
  <c r="AT2160" i="3"/>
  <c r="AT1040" i="3" s="1"/>
  <c r="AT1632" i="3"/>
  <c r="AT2192" i="3"/>
  <c r="AT1072" i="3" s="1"/>
  <c r="AT1648" i="3"/>
  <c r="AT2208" i="3"/>
  <c r="AT1088" i="3" s="1"/>
  <c r="AT1687" i="3"/>
  <c r="AT2247" i="3"/>
  <c r="AT1127" i="3" s="1"/>
  <c r="AT1468" i="3"/>
  <c r="AT2028" i="3"/>
  <c r="AT908" i="3" s="1"/>
  <c r="AT1484" i="3"/>
  <c r="AT2044" i="3"/>
  <c r="AT924" i="3" s="1"/>
  <c r="AT1500" i="3"/>
  <c r="AT2060" i="3"/>
  <c r="AT940" i="3" s="1"/>
  <c r="AT1532" i="3"/>
  <c r="AT2092" i="3"/>
  <c r="AT972" i="3" s="1"/>
  <c r="AT1552" i="3"/>
  <c r="AT2112" i="3"/>
  <c r="AT992" i="3" s="1"/>
  <c r="AT1676" i="3"/>
  <c r="AT2236" i="3"/>
  <c r="AT1116" i="3" s="1"/>
  <c r="AT1704" i="3"/>
  <c r="AT2264" i="3"/>
  <c r="AT1144" i="3" s="1"/>
  <c r="AT1477" i="3"/>
  <c r="AT2037" i="3"/>
  <c r="AT917" i="3" s="1"/>
  <c r="AT1493" i="3"/>
  <c r="AT2053" i="3"/>
  <c r="AT933" i="3" s="1"/>
  <c r="AT1509" i="3"/>
  <c r="AT2069" i="3"/>
  <c r="AT949" i="3" s="1"/>
  <c r="AT1541" i="3"/>
  <c r="AT2101" i="3"/>
  <c r="AT981" i="3" s="1"/>
  <c r="AT1561" i="3"/>
  <c r="AT2121" i="3"/>
  <c r="AT1001" i="3" s="1"/>
  <c r="AT1593" i="3"/>
  <c r="AT2153" i="3"/>
  <c r="AT1033" i="3" s="1"/>
  <c r="AT1677" i="3"/>
  <c r="AT2237" i="3"/>
  <c r="AT1117" i="3" s="1"/>
  <c r="AT1701" i="3"/>
  <c r="AT2261" i="3"/>
  <c r="AT1141" i="3" s="1"/>
  <c r="AT1675" i="3"/>
  <c r="AT2235" i="3"/>
  <c r="AT1115" i="3" s="1"/>
  <c r="AP1510" i="3"/>
  <c r="AP2070" i="3"/>
  <c r="AP950" i="3" s="1"/>
  <c r="AP1482" i="3"/>
  <c r="AP2042" i="3"/>
  <c r="AP922" i="3" s="1"/>
  <c r="AP1506" i="3"/>
  <c r="AP2066" i="3"/>
  <c r="AP946" i="3" s="1"/>
  <c r="AP1658" i="3"/>
  <c r="AP2218" i="3"/>
  <c r="AP1098" i="3" s="1"/>
  <c r="AP1559" i="3"/>
  <c r="AP2119" i="3"/>
  <c r="AP999" i="3" s="1"/>
  <c r="AP1591" i="3"/>
  <c r="AP2151" i="3"/>
  <c r="AP1031" i="3" s="1"/>
  <c r="AP1659" i="3"/>
  <c r="AP2219" i="3"/>
  <c r="AP1099" i="3" s="1"/>
  <c r="AP1554" i="3"/>
  <c r="AP2114" i="3"/>
  <c r="AP994" i="3" s="1"/>
  <c r="AP1570" i="3"/>
  <c r="AP2130" i="3"/>
  <c r="AP1010" i="3" s="1"/>
  <c r="AP1586" i="3"/>
  <c r="AP2146" i="3"/>
  <c r="AP1026" i="3" s="1"/>
  <c r="AP1606" i="3"/>
  <c r="AP2166" i="3"/>
  <c r="AP1046" i="3" s="1"/>
  <c r="AP1686" i="3"/>
  <c r="AP2246" i="3"/>
  <c r="AP1126" i="3" s="1"/>
  <c r="AP1734" i="3"/>
  <c r="AP1587" i="3"/>
  <c r="AP2147" i="3"/>
  <c r="AP1027" i="3" s="1"/>
  <c r="AP1632" i="3"/>
  <c r="AP2192" i="3"/>
  <c r="AP1072" i="3" s="1"/>
  <c r="AP1678" i="3"/>
  <c r="AP2238" i="3"/>
  <c r="AP1118" i="3" s="1"/>
  <c r="AP1706" i="3"/>
  <c r="AP1475" i="3"/>
  <c r="AP2035" i="3"/>
  <c r="AP915" i="3" s="1"/>
  <c r="AP1491" i="3"/>
  <c r="AP2051" i="3"/>
  <c r="AP931" i="3" s="1"/>
  <c r="AP1507" i="3"/>
  <c r="AP2067" i="3"/>
  <c r="AP947" i="3" s="1"/>
  <c r="AP1539" i="3"/>
  <c r="AP2099" i="3"/>
  <c r="AP979" i="3" s="1"/>
  <c r="AP1635" i="3"/>
  <c r="AP2195" i="3"/>
  <c r="AP1075" i="3" s="1"/>
  <c r="AP1476" i="3"/>
  <c r="AP2036" i="3"/>
  <c r="AP916" i="3" s="1"/>
  <c r="AP1492" i="3"/>
  <c r="AP2052" i="3"/>
  <c r="AP932" i="3" s="1"/>
  <c r="AP1508" i="3"/>
  <c r="AP2068" i="3"/>
  <c r="AP948" i="3" s="1"/>
  <c r="AP1540" i="3"/>
  <c r="AP2100" i="3"/>
  <c r="AP980" i="3" s="1"/>
  <c r="AP1664" i="3"/>
  <c r="AP2224" i="3"/>
  <c r="AP1104" i="3" s="1"/>
  <c r="AP1688" i="3"/>
  <c r="AP2248" i="3"/>
  <c r="AP1128" i="3" s="1"/>
  <c r="AP1469" i="3"/>
  <c r="AP2029" i="3"/>
  <c r="AP909" i="3" s="1"/>
  <c r="AP1501" i="3"/>
  <c r="AP2061" i="3"/>
  <c r="AP941" i="3" s="1"/>
  <c r="AP1533" i="3"/>
  <c r="AP2093" i="3"/>
  <c r="AP1549" i="3"/>
  <c r="AP2109" i="3"/>
  <c r="AP989" i="3" s="1"/>
  <c r="AP1577" i="3"/>
  <c r="AP2137" i="3"/>
  <c r="AP1017" i="3" s="1"/>
  <c r="AP1661" i="3"/>
  <c r="AP2221" i="3"/>
  <c r="AP1101" i="3" s="1"/>
  <c r="AP1685" i="3"/>
  <c r="AP2245" i="3"/>
  <c r="AP1125" i="3" s="1"/>
  <c r="AP1717" i="3"/>
  <c r="AP1699" i="3"/>
  <c r="AP2259" i="3"/>
  <c r="AP1139" i="3" s="1"/>
  <c r="AP1640" i="3"/>
  <c r="AP2200" i="3"/>
  <c r="AP1080" i="3" s="1"/>
  <c r="AP1598" i="3"/>
  <c r="AP2158" i="3"/>
  <c r="AP1038" i="3" s="1"/>
  <c r="AP1630" i="3"/>
  <c r="AP2190" i="3"/>
  <c r="AP1070" i="3" s="1"/>
  <c r="AP1650" i="3"/>
  <c r="AP2210" i="3"/>
  <c r="AP1090" i="3" s="1"/>
  <c r="AP1619" i="3"/>
  <c r="AP2179" i="3"/>
  <c r="AP1059" i="3" s="1"/>
  <c r="AP1548" i="3"/>
  <c r="AP2108" i="3"/>
  <c r="AP988" i="3" s="1"/>
  <c r="AP1572" i="3"/>
  <c r="AP2132" i="3"/>
  <c r="AP1012" i="3" s="1"/>
  <c r="AP1588" i="3"/>
  <c r="AP2148" i="3"/>
  <c r="AP1028" i="3" s="1"/>
  <c r="AP1608" i="3"/>
  <c r="AP2168" i="3"/>
  <c r="AP1048" i="3" s="1"/>
  <c r="AP1700" i="3"/>
  <c r="AP2260" i="3"/>
  <c r="AP1140" i="3" s="1"/>
  <c r="AP1557" i="3"/>
  <c r="AP2117" i="3"/>
  <c r="AP997" i="3" s="1"/>
  <c r="AP1589" i="3"/>
  <c r="AP2149" i="3"/>
  <c r="AP1029" i="3" s="1"/>
  <c r="AP1613" i="3"/>
  <c r="AP2173" i="3"/>
  <c r="AP1053" i="3" s="1"/>
  <c r="AP2193" i="3"/>
  <c r="AP1073" i="3" s="1"/>
  <c r="AP1633" i="3"/>
  <c r="AP2253" i="3"/>
  <c r="AP1133" i="3" s="1"/>
  <c r="AP1693" i="3"/>
  <c r="AP1683" i="3"/>
  <c r="AP2243" i="3"/>
  <c r="AP1123" i="3" s="1"/>
  <c r="AP1727" i="3"/>
  <c r="AP1656" i="3"/>
  <c r="AP2216" i="3"/>
  <c r="AP1096" i="3" s="1"/>
  <c r="AL1638" i="3"/>
  <c r="AL2198" i="3"/>
  <c r="AL1078" i="3" s="1"/>
  <c r="AL1667" i="3"/>
  <c r="AL2227" i="3"/>
  <c r="AL1107" i="3" s="1"/>
  <c r="AL1596" i="3"/>
  <c r="AL2156" i="3"/>
  <c r="AL1036" i="3" s="1"/>
  <c r="AL1568" i="3"/>
  <c r="AL2128" i="3"/>
  <c r="AL1008" i="3" s="1"/>
  <c r="AL1614" i="3"/>
  <c r="AL2174" i="3"/>
  <c r="AL1054" i="3" s="1"/>
  <c r="AL1572" i="3"/>
  <c r="AL2132" i="3"/>
  <c r="AL1012" i="3" s="1"/>
  <c r="AL1550" i="3"/>
  <c r="AL2110" i="3"/>
  <c r="AL990" i="3" s="1"/>
  <c r="AL1698" i="3"/>
  <c r="AL2258" i="3"/>
  <c r="AL1138" i="3" s="1"/>
  <c r="AL1471" i="3"/>
  <c r="AL2031" i="3"/>
  <c r="AL911" i="3" s="1"/>
  <c r="AL1503" i="3"/>
  <c r="AL2063" i="3"/>
  <c r="AL943" i="3" s="1"/>
  <c r="AL1519" i="3"/>
  <c r="AL2079" i="3"/>
  <c r="AL959" i="3" s="1"/>
  <c r="AL1539" i="3"/>
  <c r="AL2099" i="3"/>
  <c r="AL979" i="3" s="1"/>
  <c r="AL1576" i="3"/>
  <c r="AL2136" i="3"/>
  <c r="AL1016" i="3" s="1"/>
  <c r="AL1636" i="3"/>
  <c r="AL2196" i="3"/>
  <c r="AL1076" i="3" s="1"/>
  <c r="AL1732" i="3"/>
  <c r="AL1573" i="3"/>
  <c r="AL2133" i="3"/>
  <c r="AL1013" i="3" s="1"/>
  <c r="AL1601" i="3"/>
  <c r="AL2161" i="3"/>
  <c r="AL1041" i="3" s="1"/>
  <c r="AL1625" i="3"/>
  <c r="AL2185" i="3"/>
  <c r="AL1065" i="3" s="1"/>
  <c r="AL1697" i="3"/>
  <c r="AL2257" i="3"/>
  <c r="AL1137" i="3" s="1"/>
  <c r="AL1729" i="3"/>
  <c r="AL1707" i="3"/>
  <c r="AL1735" i="3"/>
  <c r="AL1478" i="3"/>
  <c r="AL2038" i="3"/>
  <c r="AL918" i="3" s="1"/>
  <c r="AL1494" i="3"/>
  <c r="AL2054" i="3"/>
  <c r="AL934" i="3" s="1"/>
  <c r="AL1510" i="3"/>
  <c r="AL2070" i="3"/>
  <c r="AL950" i="3" s="1"/>
  <c r="AL1542" i="3"/>
  <c r="AL2102" i="3"/>
  <c r="AL982" i="3" s="1"/>
  <c r="AL1635" i="3"/>
  <c r="AL2195" i="3"/>
  <c r="AL1075" i="3" s="1"/>
  <c r="AL1684" i="3"/>
  <c r="AL2244" i="3"/>
  <c r="AL1124" i="3" s="1"/>
  <c r="AL1669" i="3"/>
  <c r="AL2229" i="3"/>
  <c r="AL1109" i="3" s="1"/>
  <c r="AL1619" i="3"/>
  <c r="AL2179" i="3"/>
  <c r="AL1059" i="3" s="1"/>
  <c r="AL1637" i="3"/>
  <c r="AL2197" i="3"/>
  <c r="AL1077" i="3" s="1"/>
  <c r="AL1558" i="3"/>
  <c r="AL2118" i="3"/>
  <c r="AL998" i="3" s="1"/>
  <c r="AL1574" i="3"/>
  <c r="AL2134" i="3"/>
  <c r="AL1014" i="3" s="1"/>
  <c r="AL1590" i="3"/>
  <c r="AL2150" i="3"/>
  <c r="AL1030" i="3" s="1"/>
  <c r="AL1618" i="3"/>
  <c r="AL2178" i="3"/>
  <c r="AL1058" i="3" s="1"/>
  <c r="AL1690" i="3"/>
  <c r="AL2250" i="3"/>
  <c r="AL1130" i="3" s="1"/>
  <c r="AL1718" i="3"/>
  <c r="AL1551" i="3"/>
  <c r="AL2111" i="3"/>
  <c r="AL991" i="3" s="1"/>
  <c r="AL1571" i="3"/>
  <c r="AL2131" i="3"/>
  <c r="AL1011" i="3" s="1"/>
  <c r="AL1587" i="3"/>
  <c r="AL2147" i="3"/>
  <c r="AL1027" i="3" s="1"/>
  <c r="AL1615" i="3"/>
  <c r="AL2175" i="3"/>
  <c r="AL1055" i="3" s="1"/>
  <c r="AL1659" i="3"/>
  <c r="AL2219" i="3"/>
  <c r="AL1099" i="3" s="1"/>
  <c r="AL1723" i="3"/>
  <c r="AL1480" i="3"/>
  <c r="AL2040" i="3"/>
  <c r="AL920" i="3" s="1"/>
  <c r="AL1496" i="3"/>
  <c r="AL2056" i="3"/>
  <c r="AL1512" i="3"/>
  <c r="AL2072" i="3"/>
  <c r="AL952" i="3" s="1"/>
  <c r="AL1528" i="3"/>
  <c r="AL2088" i="3"/>
  <c r="AL968" i="3" s="1"/>
  <c r="AL1544" i="3"/>
  <c r="AL2104" i="3"/>
  <c r="AL984" i="3" s="1"/>
  <c r="AL1668" i="3"/>
  <c r="AL2228" i="3"/>
  <c r="AL1108" i="3" s="1"/>
  <c r="AL1696" i="3"/>
  <c r="AL2256" i="3"/>
  <c r="AL1136" i="3" s="1"/>
  <c r="AL1473" i="3"/>
  <c r="AL2033" i="3"/>
  <c r="AL913" i="3" s="1"/>
  <c r="AL1489" i="3"/>
  <c r="AL2049" i="3"/>
  <c r="AL929" i="3" s="1"/>
  <c r="AL2065" i="3"/>
  <c r="AL945" i="3" s="1"/>
  <c r="AL1505" i="3"/>
  <c r="AL1521" i="3"/>
  <c r="AL2081" i="3"/>
  <c r="AL961" i="3" s="1"/>
  <c r="AL1537" i="3"/>
  <c r="AL2097" i="3"/>
  <c r="AL977" i="3" s="1"/>
  <c r="AL1553" i="3"/>
  <c r="AL2113" i="3"/>
  <c r="AL993" i="3" s="1"/>
  <c r="AL1585" i="3"/>
  <c r="AL2145" i="3"/>
  <c r="AL1025" i="3" s="1"/>
  <c r="AL1689" i="3"/>
  <c r="AL2249" i="3"/>
  <c r="AL1129" i="3" s="1"/>
  <c r="AL1721" i="3"/>
  <c r="AL1600" i="3"/>
  <c r="AL2160" i="3"/>
  <c r="AL1040" i="3" s="1"/>
  <c r="AL1632" i="3"/>
  <c r="AL2192" i="3"/>
  <c r="AL1072" i="3" s="1"/>
  <c r="AL1605" i="3"/>
  <c r="AL2165" i="3"/>
  <c r="AL1045" i="3" s="1"/>
  <c r="AH1500" i="3"/>
  <c r="AH2060" i="3"/>
  <c r="AH940" i="3" s="1"/>
  <c r="AH1532" i="3"/>
  <c r="AH2092" i="3"/>
  <c r="AH972" i="3" s="1"/>
  <c r="AH1520" i="3"/>
  <c r="AH2080" i="3"/>
  <c r="AH960" i="3" s="1"/>
  <c r="AH1558" i="3"/>
  <c r="AH2118" i="3"/>
  <c r="AH998" i="3" s="1"/>
  <c r="AH1574" i="3"/>
  <c r="AH2134" i="3"/>
  <c r="AH1014" i="3" s="1"/>
  <c r="AH1590" i="3"/>
  <c r="AH2150" i="3"/>
  <c r="AH1030" i="3" s="1"/>
  <c r="AH1618" i="3"/>
  <c r="AH2178" i="3"/>
  <c r="AH1058" i="3" s="1"/>
  <c r="AH1690" i="3"/>
  <c r="AH2250" i="3"/>
  <c r="AH1130" i="3" s="1"/>
  <c r="AH1718" i="3"/>
  <c r="AH1470" i="3"/>
  <c r="AH2030" i="3"/>
  <c r="AH910" i="3" s="1"/>
  <c r="AH1502" i="3"/>
  <c r="AH2062" i="3"/>
  <c r="AH942" i="3" s="1"/>
  <c r="AH1534" i="3"/>
  <c r="AH2094" i="3"/>
  <c r="AH1658" i="3"/>
  <c r="AH2218" i="3"/>
  <c r="AH1098" i="3" s="1"/>
  <c r="AH1723" i="3"/>
  <c r="AH1528" i="3"/>
  <c r="AH2088" i="3"/>
  <c r="AH968" i="3" s="1"/>
  <c r="AH1668" i="3"/>
  <c r="AH2228" i="3"/>
  <c r="AH1108" i="3" s="1"/>
  <c r="AH1696" i="3"/>
  <c r="AH2256" i="3"/>
  <c r="AH1136" i="3" s="1"/>
  <c r="AH1473" i="3"/>
  <c r="AH2033" i="3"/>
  <c r="AH913" i="3" s="1"/>
  <c r="AH1489" i="3"/>
  <c r="AH2049" i="3"/>
  <c r="AH929" i="3" s="1"/>
  <c r="AH1505" i="3"/>
  <c r="AH2065" i="3"/>
  <c r="AH945" i="3" s="1"/>
  <c r="AH1521" i="3"/>
  <c r="AH2081" i="3"/>
  <c r="AH961" i="3" s="1"/>
  <c r="AH1537" i="3"/>
  <c r="AH2097" i="3"/>
  <c r="AH977" i="3" s="1"/>
  <c r="AH1553" i="3"/>
  <c r="AH2113" i="3"/>
  <c r="AH993" i="3" s="1"/>
  <c r="AH1585" i="3"/>
  <c r="AH2145" i="3"/>
  <c r="AH1025" i="3" s="1"/>
  <c r="AH1689" i="3"/>
  <c r="AH2249" i="3"/>
  <c r="AH1129" i="3" s="1"/>
  <c r="AH1721" i="3"/>
  <c r="AH1598" i="3"/>
  <c r="AH2158" i="3"/>
  <c r="AH1038" i="3" s="1"/>
  <c r="AH1630" i="3"/>
  <c r="AH2190" i="3"/>
  <c r="AH1070" i="3" s="1"/>
  <c r="AH1650" i="3"/>
  <c r="AH2210" i="3"/>
  <c r="AH1090" i="3" s="1"/>
  <c r="AH2179" i="3"/>
  <c r="AH1059" i="3" s="1"/>
  <c r="AH1619" i="3"/>
  <c r="AH1640" i="3"/>
  <c r="AH2200" i="3"/>
  <c r="AH1080" i="3" s="1"/>
  <c r="AH1551" i="3"/>
  <c r="AH2111" i="3"/>
  <c r="AH991" i="3" s="1"/>
  <c r="AH1571" i="3"/>
  <c r="AH2131" i="3"/>
  <c r="AH1011" i="3" s="1"/>
  <c r="AH1587" i="3"/>
  <c r="AH2147" i="3"/>
  <c r="AH1027" i="3" s="1"/>
  <c r="AH1615" i="3"/>
  <c r="AH2175" i="3"/>
  <c r="AH1055" i="3" s="1"/>
  <c r="AH1678" i="3"/>
  <c r="AH2238" i="3"/>
  <c r="AH1118" i="3" s="1"/>
  <c r="AH1706" i="3"/>
  <c r="AH1475" i="3"/>
  <c r="AH2035" i="3"/>
  <c r="AH915" i="3" s="1"/>
  <c r="AH1491" i="3"/>
  <c r="AH2051" i="3"/>
  <c r="AH931" i="3" s="1"/>
  <c r="AH1507" i="3"/>
  <c r="AH2067" i="3"/>
  <c r="AH947" i="3" s="1"/>
  <c r="AH1539" i="3"/>
  <c r="AH2099" i="3"/>
  <c r="AH979" i="3" s="1"/>
  <c r="AH1635" i="3"/>
  <c r="AH2195" i="3"/>
  <c r="AH1075" i="3" s="1"/>
  <c r="AH1616" i="3"/>
  <c r="AH2176" i="3"/>
  <c r="AH1056" i="3" s="1"/>
  <c r="AH1621" i="3"/>
  <c r="AH2181" i="3"/>
  <c r="AH1061" i="3" s="1"/>
  <c r="AH1663" i="3"/>
  <c r="AH2223" i="3"/>
  <c r="AH1103" i="3" s="1"/>
  <c r="AH1660" i="3"/>
  <c r="AH2220" i="3"/>
  <c r="AH1100" i="3" s="1"/>
  <c r="AH1665" i="3"/>
  <c r="AH2225" i="3"/>
  <c r="AH1105" i="3" s="1"/>
  <c r="AH1731" i="3"/>
  <c r="AH1568" i="3"/>
  <c r="AH2128" i="3"/>
  <c r="AH1008" i="3" s="1"/>
  <c r="AH1584" i="3"/>
  <c r="AH2144" i="3"/>
  <c r="AH1024" i="3" s="1"/>
  <c r="AH1604" i="3"/>
  <c r="AH2164" i="3"/>
  <c r="AH1044" i="3" s="1"/>
  <c r="AH1720" i="3"/>
  <c r="AH1736" i="3"/>
  <c r="AH1581" i="3"/>
  <c r="AH2141" i="3"/>
  <c r="AH1021" i="3" s="1"/>
  <c r="AH1609" i="3"/>
  <c r="AH2169" i="3"/>
  <c r="AH1049" i="3" s="1"/>
  <c r="AH1629" i="3"/>
  <c r="AH2189" i="3"/>
  <c r="AH1069" i="3" s="1"/>
  <c r="AH1709" i="3"/>
  <c r="AH1737" i="3"/>
  <c r="AH1719" i="3"/>
  <c r="AD1626" i="3"/>
  <c r="AD2186" i="3"/>
  <c r="AD1066" i="3" s="1"/>
  <c r="AD1678" i="3"/>
  <c r="AD2238" i="3"/>
  <c r="AD1118" i="3" s="1"/>
  <c r="AD1706" i="3"/>
  <c r="AD1475" i="3"/>
  <c r="AD2035" i="3"/>
  <c r="AD915" i="3" s="1"/>
  <c r="AD1491" i="3"/>
  <c r="AD2051" i="3"/>
  <c r="AD931" i="3" s="1"/>
  <c r="AD1642" i="3"/>
  <c r="AD2202" i="3"/>
  <c r="AD1082" i="3" s="1"/>
  <c r="AD1692" i="3"/>
  <c r="AD2252" i="3"/>
  <c r="AD1132" i="3" s="1"/>
  <c r="AD1554" i="3"/>
  <c r="AD2114" i="3"/>
  <c r="AD994" i="3" s="1"/>
  <c r="AD1570" i="3"/>
  <c r="AD2130" i="3"/>
  <c r="AD1010" i="3" s="1"/>
  <c r="AD1586" i="3"/>
  <c r="AD2146" i="3"/>
  <c r="AD1026" i="3" s="1"/>
  <c r="AD1606" i="3"/>
  <c r="AD2166" i="3"/>
  <c r="AD1046" i="3" s="1"/>
  <c r="AD1734" i="3"/>
  <c r="AD1567" i="3"/>
  <c r="AD2127" i="3"/>
  <c r="AD1007" i="3" s="1"/>
  <c r="AD1583" i="3"/>
  <c r="AD2143" i="3"/>
  <c r="AD1023" i="3" s="1"/>
  <c r="AD1637" i="3"/>
  <c r="AD2197" i="3"/>
  <c r="AD1077" i="3" s="1"/>
  <c r="AD1539" i="3"/>
  <c r="AD2099" i="3"/>
  <c r="AD979" i="3" s="1"/>
  <c r="AD1474" i="3"/>
  <c r="AD2034" i="3"/>
  <c r="AD914" i="3" s="1"/>
  <c r="AD1490" i="3"/>
  <c r="AD2050" i="3"/>
  <c r="AD930" i="3" s="1"/>
  <c r="AD1506" i="3"/>
  <c r="AD2066" i="3"/>
  <c r="AD946" i="3" s="1"/>
  <c r="AD1522" i="3"/>
  <c r="AD2082" i="3"/>
  <c r="AD962" i="3" s="1"/>
  <c r="AD1538" i="3"/>
  <c r="AD2098" i="3"/>
  <c r="AD978" i="3" s="1"/>
  <c r="AD1662" i="3"/>
  <c r="AD2222" i="3"/>
  <c r="AD1102" i="3" s="1"/>
  <c r="AD1564" i="3"/>
  <c r="AD2124" i="3"/>
  <c r="AD1004" i="3" s="1"/>
  <c r="AD1580" i="3"/>
  <c r="AD2140" i="3"/>
  <c r="AD1020" i="3" s="1"/>
  <c r="AD1596" i="3"/>
  <c r="AD2156" i="3"/>
  <c r="AD1036" i="3" s="1"/>
  <c r="AD1732" i="3"/>
  <c r="AD1573" i="3"/>
  <c r="AD2133" i="3"/>
  <c r="AD1013" i="3" s="1"/>
  <c r="AD1625" i="3"/>
  <c r="AD2185" i="3"/>
  <c r="AD1065" i="3" s="1"/>
  <c r="AD1729" i="3"/>
  <c r="AD1707" i="3"/>
  <c r="AD1735" i="3"/>
  <c r="AD1600" i="3"/>
  <c r="AD2160" i="3"/>
  <c r="AD1040" i="3" s="1"/>
  <c r="AD1605" i="3"/>
  <c r="AD2165" i="3"/>
  <c r="AD1045" i="3" s="1"/>
  <c r="AD1504" i="3"/>
  <c r="AD2064" i="3"/>
  <c r="AD944" i="3" s="1"/>
  <c r="AD1520" i="3"/>
  <c r="AD2080" i="3"/>
  <c r="AD960" i="3" s="1"/>
  <c r="AD1556" i="3"/>
  <c r="AD2116" i="3"/>
  <c r="AD996" i="3" s="1"/>
  <c r="AD1676" i="3"/>
  <c r="AD2236" i="3"/>
  <c r="AD1116" i="3" s="1"/>
  <c r="AD1704" i="3"/>
  <c r="AD2264" i="3"/>
  <c r="AD1144" i="3" s="1"/>
  <c r="AD1493" i="3"/>
  <c r="AD2053" i="3"/>
  <c r="AD933" i="3" s="1"/>
  <c r="AD1541" i="3"/>
  <c r="AD2101" i="3"/>
  <c r="AD981" i="3" s="1"/>
  <c r="AD1561" i="3"/>
  <c r="AD2121" i="3"/>
  <c r="AD1001" i="3" s="1"/>
  <c r="AD1677" i="3"/>
  <c r="AD2237" i="3"/>
  <c r="AD1117" i="3" s="1"/>
  <c r="AD1701" i="3"/>
  <c r="AD2261" i="3"/>
  <c r="AD1141" i="3" s="1"/>
  <c r="AD1675" i="3"/>
  <c r="AD2235" i="3"/>
  <c r="AD1115" i="3" s="1"/>
  <c r="Z1583" i="3"/>
  <c r="Z2143" i="3"/>
  <c r="Z1023" i="3" s="1"/>
  <c r="Z1647" i="3"/>
  <c r="Z2207" i="3"/>
  <c r="Z1087" i="3" s="1"/>
  <c r="Z1566" i="3"/>
  <c r="Z2126" i="3"/>
  <c r="Z1006" i="3" s="1"/>
  <c r="Z1582" i="3"/>
  <c r="Z2142" i="3"/>
  <c r="Z1022" i="3" s="1"/>
  <c r="Z1710" i="3"/>
  <c r="Z1730" i="3"/>
  <c r="Z1466" i="3"/>
  <c r="Z2026" i="3"/>
  <c r="Z906" i="3" s="1"/>
  <c r="Z1482" i="3"/>
  <c r="Z2042" i="3"/>
  <c r="Z922" i="3" s="1"/>
  <c r="Z1514" i="3"/>
  <c r="Z2074" i="3"/>
  <c r="Z954" i="3" s="1"/>
  <c r="Z1530" i="3"/>
  <c r="Z2090" i="3"/>
  <c r="Z970" i="3" s="1"/>
  <c r="Z1571" i="3"/>
  <c r="Z2131" i="3"/>
  <c r="Z1011" i="3" s="1"/>
  <c r="Z1627" i="3"/>
  <c r="Z2187" i="3"/>
  <c r="Z1067" i="3" s="1"/>
  <c r="Z1648" i="3"/>
  <c r="Z2208" i="3"/>
  <c r="Z1088" i="3" s="1"/>
  <c r="Z1682" i="3"/>
  <c r="Z2242" i="3"/>
  <c r="Z1122" i="3" s="1"/>
  <c r="Z1726" i="3"/>
  <c r="Z1511" i="3"/>
  <c r="Z2071" i="3"/>
  <c r="Z951" i="3" s="1"/>
  <c r="Z1527" i="3"/>
  <c r="Z2087" i="3"/>
  <c r="Z967" i="3" s="1"/>
  <c r="Z1543" i="3"/>
  <c r="Z2103" i="3"/>
  <c r="Z983" i="3" s="1"/>
  <c r="Z1659" i="3"/>
  <c r="Z2219" i="3"/>
  <c r="Z1099" i="3" s="1"/>
  <c r="Z1616" i="3"/>
  <c r="Z2176" i="3"/>
  <c r="Z1056" i="3" s="1"/>
  <c r="Z1626" i="3"/>
  <c r="Z2186" i="3"/>
  <c r="Z1066" i="3" s="1"/>
  <c r="Z1607" i="3"/>
  <c r="Z2167" i="3"/>
  <c r="Z1047" i="3" s="1"/>
  <c r="Z1476" i="3"/>
  <c r="Z2036" i="3"/>
  <c r="Z916" i="3" s="1"/>
  <c r="Z1492" i="3"/>
  <c r="Z2052" i="3"/>
  <c r="Z932" i="3" s="1"/>
  <c r="Z1540" i="3"/>
  <c r="Z2100" i="3"/>
  <c r="Z980" i="3" s="1"/>
  <c r="Z1688" i="3"/>
  <c r="Z2248" i="3"/>
  <c r="Z1128" i="3" s="1"/>
  <c r="Z1469" i="3"/>
  <c r="Z2029" i="3"/>
  <c r="Z909" i="3" s="1"/>
  <c r="Z1501" i="3"/>
  <c r="Z2061" i="3"/>
  <c r="Z941" i="3" s="1"/>
  <c r="Z1549" i="3"/>
  <c r="Z2109" i="3"/>
  <c r="Z989" i="3" s="1"/>
  <c r="Z1661" i="3"/>
  <c r="Z2221" i="3"/>
  <c r="Z1101" i="3" s="1"/>
  <c r="Z1717" i="3"/>
  <c r="Z1731" i="3"/>
  <c r="Z1568" i="3"/>
  <c r="Z2128" i="3"/>
  <c r="Z1008" i="3" s="1"/>
  <c r="Z1584" i="3"/>
  <c r="Z2144" i="3"/>
  <c r="Z1024" i="3" s="1"/>
  <c r="Z1720" i="3"/>
  <c r="Z1736" i="3"/>
  <c r="Z1581" i="3"/>
  <c r="Z2141" i="3"/>
  <c r="Z1021" i="3" s="1"/>
  <c r="Z2189" i="3"/>
  <c r="Z1069" i="3" s="1"/>
  <c r="Z1629" i="3"/>
  <c r="Z1709" i="3"/>
  <c r="Z1737" i="3"/>
  <c r="Z1719" i="3"/>
  <c r="Z1656" i="3"/>
  <c r="Z2216" i="3"/>
  <c r="Z1096" i="3" s="1"/>
  <c r="V1626" i="3"/>
  <c r="V2186" i="3"/>
  <c r="V1066" i="3" s="1"/>
  <c r="V1630" i="3"/>
  <c r="V2190" i="3"/>
  <c r="V1070" i="3" s="1"/>
  <c r="V1678" i="3"/>
  <c r="V2238" i="3"/>
  <c r="V1118" i="3" s="1"/>
  <c r="V1706" i="3"/>
  <c r="V1475" i="3"/>
  <c r="V2035" i="3"/>
  <c r="V915" i="3" s="1"/>
  <c r="V1491" i="3"/>
  <c r="V2051" i="3"/>
  <c r="V931" i="3" s="1"/>
  <c r="V1638" i="3"/>
  <c r="V2198" i="3"/>
  <c r="V1078" i="3" s="1"/>
  <c r="V1539" i="3"/>
  <c r="V2099" i="3"/>
  <c r="V979" i="3" s="1"/>
  <c r="V1641" i="3"/>
  <c r="V2201" i="3"/>
  <c r="V1081" i="3" s="1"/>
  <c r="V1474" i="3"/>
  <c r="V2034" i="3"/>
  <c r="V914" i="3" s="1"/>
  <c r="V1490" i="3"/>
  <c r="V2050" i="3"/>
  <c r="V930" i="3" s="1"/>
  <c r="V1506" i="3"/>
  <c r="V2066" i="3"/>
  <c r="V946" i="3" s="1"/>
  <c r="V1522" i="3"/>
  <c r="V2082" i="3"/>
  <c r="V962" i="3" s="1"/>
  <c r="V1538" i="3"/>
  <c r="V2098" i="3"/>
  <c r="V978" i="3" s="1"/>
  <c r="V1662" i="3"/>
  <c r="V2222" i="3"/>
  <c r="V1102" i="3" s="1"/>
  <c r="V1607" i="3"/>
  <c r="V2167" i="3"/>
  <c r="V1047" i="3" s="1"/>
  <c r="V1679" i="3"/>
  <c r="V2239" i="3"/>
  <c r="V1119" i="3" s="1"/>
  <c r="V1620" i="3"/>
  <c r="V2180" i="3"/>
  <c r="V1060" i="3" s="1"/>
  <c r="V1712" i="3"/>
  <c r="V1728" i="3"/>
  <c r="V1565" i="3"/>
  <c r="V2125" i="3"/>
  <c r="V1005" i="3" s="1"/>
  <c r="V1597" i="3"/>
  <c r="V2157" i="3"/>
  <c r="V1037" i="3" s="1"/>
  <c r="V1617" i="3"/>
  <c r="V2177" i="3"/>
  <c r="V1057" i="3" s="1"/>
  <c r="V1693" i="3"/>
  <c r="V2253" i="3"/>
  <c r="V1133" i="3" s="1"/>
  <c r="V1737" i="3"/>
  <c r="V1719" i="3"/>
  <c r="V1574" i="3"/>
  <c r="V2134" i="3"/>
  <c r="V1014" i="3" s="1"/>
  <c r="V1590" i="3"/>
  <c r="V2150" i="3"/>
  <c r="V1030" i="3" s="1"/>
  <c r="V1618" i="3"/>
  <c r="V2178" i="3"/>
  <c r="V1058" i="3" s="1"/>
  <c r="V1690" i="3"/>
  <c r="V2250" i="3"/>
  <c r="V1130" i="3" s="1"/>
  <c r="V1718" i="3"/>
  <c r="V1551" i="3"/>
  <c r="V2111" i="3"/>
  <c r="V991" i="3" s="1"/>
  <c r="V1571" i="3"/>
  <c r="V2131" i="3"/>
  <c r="V1011" i="3" s="1"/>
  <c r="V1587" i="3"/>
  <c r="V2147" i="3"/>
  <c r="V1027" i="3" s="1"/>
  <c r="V1615" i="3"/>
  <c r="V2175" i="3"/>
  <c r="V1055" i="3" s="1"/>
  <c r="V1647" i="3"/>
  <c r="V2207" i="3"/>
  <c r="V1087" i="3" s="1"/>
  <c r="V1669" i="3"/>
  <c r="V2229" i="3"/>
  <c r="V1109" i="3" s="1"/>
  <c r="V1723" i="3"/>
  <c r="V1512" i="3"/>
  <c r="V2072" i="3"/>
  <c r="V952" i="3" s="1"/>
  <c r="V1528" i="3"/>
  <c r="V2088" i="3"/>
  <c r="V968" i="3" s="1"/>
  <c r="V1544" i="3"/>
  <c r="V2104" i="3"/>
  <c r="V984" i="3" s="1"/>
  <c r="V1668" i="3"/>
  <c r="V2228" i="3"/>
  <c r="V1108" i="3" s="1"/>
  <c r="V1473" i="3"/>
  <c r="V2033" i="3"/>
  <c r="V913" i="3" s="1"/>
  <c r="V1489" i="3"/>
  <c r="V2049" i="3"/>
  <c r="V929" i="3" s="1"/>
  <c r="V1505" i="3"/>
  <c r="V2065" i="3"/>
  <c r="V945" i="3" s="1"/>
  <c r="V1521" i="3"/>
  <c r="V2081" i="3"/>
  <c r="V961" i="3" s="1"/>
  <c r="V2097" i="3"/>
  <c r="V977" i="3" s="1"/>
  <c r="V1537" i="3"/>
  <c r="V1553" i="3"/>
  <c r="V2113" i="3"/>
  <c r="V993" i="3" s="1"/>
  <c r="V1585" i="3"/>
  <c r="V2145" i="3"/>
  <c r="V1025" i="3" s="1"/>
  <c r="V1689" i="3"/>
  <c r="V2249" i="3"/>
  <c r="V1129" i="3" s="1"/>
  <c r="V1675" i="3"/>
  <c r="V2235" i="3"/>
  <c r="V1115" i="3" s="1"/>
  <c r="V1640" i="3"/>
  <c r="V2200" i="3"/>
  <c r="V1080" i="3" s="1"/>
  <c r="R1574" i="3"/>
  <c r="R2134" i="3"/>
  <c r="R1014" i="3" s="1"/>
  <c r="R1566" i="3"/>
  <c r="R2126" i="3"/>
  <c r="R1006" i="3" s="1"/>
  <c r="R1570" i="3"/>
  <c r="R2130" i="3"/>
  <c r="R1010" i="3" s="1"/>
  <c r="R1466" i="3"/>
  <c r="R2026" i="3"/>
  <c r="R906" i="3" s="1"/>
  <c r="R1482" i="3"/>
  <c r="R2042" i="3"/>
  <c r="R922" i="3" s="1"/>
  <c r="R1530" i="3"/>
  <c r="R2090" i="3"/>
  <c r="R970" i="3" s="1"/>
  <c r="R1637" i="3"/>
  <c r="R2197" i="3"/>
  <c r="R1077" i="3" s="1"/>
  <c r="R1614" i="3"/>
  <c r="R2174" i="3"/>
  <c r="R1054" i="3" s="1"/>
  <c r="R1642" i="3"/>
  <c r="R2202" i="3"/>
  <c r="R1082" i="3" s="1"/>
  <c r="R1628" i="3"/>
  <c r="R2188" i="3"/>
  <c r="R1068" i="3" s="1"/>
  <c r="R1551" i="3"/>
  <c r="R2111" i="3"/>
  <c r="R991" i="3" s="1"/>
  <c r="R1571" i="3"/>
  <c r="R2131" i="3"/>
  <c r="R1011" i="3" s="1"/>
  <c r="R1587" i="3"/>
  <c r="R2147" i="3"/>
  <c r="R1027" i="3" s="1"/>
  <c r="R1615" i="3"/>
  <c r="R2175" i="3"/>
  <c r="R1055" i="3" s="1"/>
  <c r="R1647" i="3"/>
  <c r="R2207" i="3"/>
  <c r="R1087" i="3" s="1"/>
  <c r="R1723" i="3"/>
  <c r="R1512" i="3"/>
  <c r="R2072" i="3"/>
  <c r="R952" i="3" s="1"/>
  <c r="R1528" i="3"/>
  <c r="R2088" i="3"/>
  <c r="R968" i="3" s="1"/>
  <c r="R1544" i="3"/>
  <c r="R2104" i="3"/>
  <c r="R984" i="3" s="1"/>
  <c r="R1668" i="3"/>
  <c r="R2228" i="3"/>
  <c r="R1108" i="3" s="1"/>
  <c r="R1473" i="3"/>
  <c r="R2033" i="3"/>
  <c r="R913" i="3" s="1"/>
  <c r="R1489" i="3"/>
  <c r="R2049" i="3"/>
  <c r="R929" i="3" s="1"/>
  <c r="R1505" i="3"/>
  <c r="R2065" i="3"/>
  <c r="R945" i="3" s="1"/>
  <c r="R1521" i="3"/>
  <c r="R2081" i="3"/>
  <c r="R961" i="3" s="1"/>
  <c r="R1537" i="3"/>
  <c r="R2097" i="3"/>
  <c r="R977" i="3" s="1"/>
  <c r="R1553" i="3"/>
  <c r="R2113" i="3"/>
  <c r="R993" i="3" s="1"/>
  <c r="R1585" i="3"/>
  <c r="R2145" i="3"/>
  <c r="R1025" i="3" s="1"/>
  <c r="R2249" i="3"/>
  <c r="R1129" i="3" s="1"/>
  <c r="R1689" i="3"/>
  <c r="R1675" i="3"/>
  <c r="R2235" i="3"/>
  <c r="R1115" i="3" s="1"/>
  <c r="R1678" i="3"/>
  <c r="R2238" i="3"/>
  <c r="R1118" i="3" s="1"/>
  <c r="R1706" i="3"/>
  <c r="R1475" i="3"/>
  <c r="R2035" i="3"/>
  <c r="R915" i="3" s="1"/>
  <c r="R1491" i="3"/>
  <c r="R2051" i="3"/>
  <c r="R931" i="3" s="1"/>
  <c r="R1539" i="3"/>
  <c r="R2099" i="3"/>
  <c r="R979" i="3" s="1"/>
  <c r="R1635" i="3"/>
  <c r="R2195" i="3"/>
  <c r="R1075" i="3" s="1"/>
  <c r="R1649" i="3"/>
  <c r="R2209" i="3"/>
  <c r="R1089" i="3" s="1"/>
  <c r="R1656" i="3"/>
  <c r="R2216" i="3"/>
  <c r="R1096" i="3" s="1"/>
  <c r="R1564" i="3"/>
  <c r="R2124" i="3"/>
  <c r="R1004" i="3" s="1"/>
  <c r="R1580" i="3"/>
  <c r="R2140" i="3"/>
  <c r="R1020" i="3" s="1"/>
  <c r="R1596" i="3"/>
  <c r="R2156" i="3"/>
  <c r="R1036" i="3" s="1"/>
  <c r="R1732" i="3"/>
  <c r="R1573" i="3"/>
  <c r="R2133" i="3"/>
  <c r="R1013" i="3" s="1"/>
  <c r="R1625" i="3"/>
  <c r="R2185" i="3"/>
  <c r="R1065" i="3" s="1"/>
  <c r="R1709" i="3"/>
  <c r="R1737" i="3"/>
  <c r="R1719" i="3"/>
  <c r="AB1494" i="3"/>
  <c r="AB2054" i="3"/>
  <c r="AB934" i="3" s="1"/>
  <c r="AB1542" i="3"/>
  <c r="AB2102" i="3"/>
  <c r="AB982" i="3" s="1"/>
  <c r="AB1690" i="3"/>
  <c r="AB2250" i="3"/>
  <c r="AB1130" i="3" s="1"/>
  <c r="AB1734" i="3"/>
  <c r="AB1511" i="3"/>
  <c r="AB2071" i="3"/>
  <c r="AB951" i="3" s="1"/>
  <c r="AB1527" i="3"/>
  <c r="AB2087" i="3"/>
  <c r="AB967" i="3" s="1"/>
  <c r="AB1650" i="3"/>
  <c r="AB2210" i="3"/>
  <c r="AB1090" i="3" s="1"/>
  <c r="AB1562" i="3"/>
  <c r="AB2122" i="3"/>
  <c r="AB1002" i="3" s="1"/>
  <c r="AB1583" i="3"/>
  <c r="AB2143" i="3"/>
  <c r="AB1023" i="3" s="1"/>
  <c r="AB1636" i="3"/>
  <c r="AB2196" i="3"/>
  <c r="AB1076" i="3" s="1"/>
  <c r="AB1613" i="3"/>
  <c r="AB2173" i="3"/>
  <c r="AB1053" i="3" s="1"/>
  <c r="AB1641" i="3"/>
  <c r="AB2201" i="3"/>
  <c r="AB1081" i="3" s="1"/>
  <c r="AB1554" i="3"/>
  <c r="AB2114" i="3"/>
  <c r="AB994" i="3" s="1"/>
  <c r="AB1694" i="3"/>
  <c r="AB2254" i="3"/>
  <c r="AB1134" i="3" s="1"/>
  <c r="AB1571" i="3"/>
  <c r="AB2131" i="3"/>
  <c r="AB1011" i="3" s="1"/>
  <c r="AB1647" i="3"/>
  <c r="AB2207" i="3"/>
  <c r="AB1087" i="3" s="1"/>
  <c r="AB1569" i="3"/>
  <c r="AB2129" i="3"/>
  <c r="AB1009" i="3" s="1"/>
  <c r="AB1585" i="3"/>
  <c r="AB2145" i="3"/>
  <c r="AB1025" i="3" s="1"/>
  <c r="AB1551" i="3"/>
  <c r="AB2111" i="3"/>
  <c r="AB991" i="3" s="1"/>
  <c r="AB1627" i="3"/>
  <c r="AB2187" i="3"/>
  <c r="AB1067" i="3" s="1"/>
  <c r="AB1473" i="3"/>
  <c r="AB2033" i="3"/>
  <c r="AB913" i="3" s="1"/>
  <c r="AB1489" i="3"/>
  <c r="AB2049" i="3"/>
  <c r="AB929" i="3" s="1"/>
  <c r="AB2065" i="3"/>
  <c r="AB945" i="3" s="1"/>
  <c r="AB1505" i="3"/>
  <c r="AB1521" i="3"/>
  <c r="AB2081" i="3"/>
  <c r="AB961" i="3" s="1"/>
  <c r="AB2097" i="3"/>
  <c r="AB977" i="3" s="1"/>
  <c r="AB1537" i="3"/>
  <c r="AB1606" i="3"/>
  <c r="AB2166" i="3"/>
  <c r="AB1046" i="3" s="1"/>
  <c r="AB1635" i="3"/>
  <c r="AB2195" i="3"/>
  <c r="AB1075" i="3" s="1"/>
  <c r="AB2247" i="3"/>
  <c r="AB1127" i="3" s="1"/>
  <c r="AB1687" i="3"/>
  <c r="AB2228" i="3"/>
  <c r="AB1108" i="3" s="1"/>
  <c r="AB1668" i="3"/>
  <c r="AB1692" i="3"/>
  <c r="AB2252" i="3"/>
  <c r="AB1132" i="3" s="1"/>
  <c r="AB2229" i="3"/>
  <c r="AB1109" i="3" s="1"/>
  <c r="AB1669" i="3"/>
  <c r="AB1701" i="3"/>
  <c r="AB2261" i="3"/>
  <c r="AB1141" i="3" s="1"/>
  <c r="AB2251" i="3"/>
  <c r="AB1131" i="3" s="1"/>
  <c r="AB1691" i="3"/>
  <c r="AB1504" i="3"/>
  <c r="AB2064" i="3"/>
  <c r="AB944" i="3" s="1"/>
  <c r="AB1520" i="3"/>
  <c r="AB2080" i="3"/>
  <c r="AB960" i="3" s="1"/>
  <c r="AB1564" i="3"/>
  <c r="AB2124" i="3"/>
  <c r="AB1004" i="3" s="1"/>
  <c r="AB1580" i="3"/>
  <c r="AB2140" i="3"/>
  <c r="AB1020" i="3" s="1"/>
  <c r="AB1596" i="3"/>
  <c r="AB2156" i="3"/>
  <c r="AB1036" i="3" s="1"/>
  <c r="AB1712" i="3"/>
  <c r="AB1728" i="3"/>
  <c r="AB2177" i="3"/>
  <c r="AB1057" i="3" s="1"/>
  <c r="AB1617" i="3"/>
  <c r="AB1693" i="3"/>
  <c r="AB2253" i="3"/>
  <c r="AB1133" i="3" s="1"/>
  <c r="AB1719" i="3"/>
  <c r="AB1556" i="3"/>
  <c r="AB2116" i="3"/>
  <c r="AB996" i="3" s="1"/>
  <c r="AB1620" i="3"/>
  <c r="AB2180" i="3"/>
  <c r="AB1060" i="3" s="1"/>
  <c r="AB2208" i="3"/>
  <c r="AB1088" i="3" s="1"/>
  <c r="AB1648" i="3"/>
  <c r="AU1655" i="3"/>
  <c r="AU2215" i="3"/>
  <c r="AU1095" i="3" s="1"/>
  <c r="AU1479" i="3"/>
  <c r="AU2039" i="3"/>
  <c r="AU919" i="3" s="1"/>
  <c r="AU1648" i="3"/>
  <c r="AU2208" i="3"/>
  <c r="AU1088" i="3" s="1"/>
  <c r="AU1664" i="3"/>
  <c r="AU2224" i="3"/>
  <c r="AU1104" i="3" s="1"/>
  <c r="AU1680" i="3"/>
  <c r="AU2240" i="3"/>
  <c r="AU1120" i="3" s="1"/>
  <c r="AU1721" i="3"/>
  <c r="AU1737" i="3"/>
  <c r="AU1722" i="3"/>
  <c r="AU1469" i="3"/>
  <c r="AU2029" i="3"/>
  <c r="AU909" i="3" s="1"/>
  <c r="AU1661" i="3"/>
  <c r="AU2221" i="3"/>
  <c r="AU1101" i="3" s="1"/>
  <c r="AU1681" i="3"/>
  <c r="AU2241" i="3"/>
  <c r="AU1121" i="3" s="1"/>
  <c r="AU1695" i="3"/>
  <c r="AU2255" i="3"/>
  <c r="AU1135" i="3" s="1"/>
  <c r="AU1731" i="3"/>
  <c r="AU1480" i="3"/>
  <c r="AU2040" i="3"/>
  <c r="AU920" i="3" s="1"/>
  <c r="AU1496" i="3"/>
  <c r="AU2056" i="3"/>
  <c r="AU1512" i="3"/>
  <c r="AU2072" i="3"/>
  <c r="AU952" i="3" s="1"/>
  <c r="AU1528" i="3"/>
  <c r="AU2088" i="3"/>
  <c r="AU968" i="3" s="1"/>
  <c r="AU1544" i="3"/>
  <c r="AU2104" i="3"/>
  <c r="AU984" i="3" s="1"/>
  <c r="AU1560" i="3"/>
  <c r="AU2120" i="3"/>
  <c r="AU1000" i="3" s="1"/>
  <c r="AU1576" i="3"/>
  <c r="AU2136" i="3"/>
  <c r="AU1016" i="3" s="1"/>
  <c r="AU1592" i="3"/>
  <c r="AU2152" i="3"/>
  <c r="AU1032" i="3" s="1"/>
  <c r="AU1608" i="3"/>
  <c r="AU2168" i="3"/>
  <c r="AU1048" i="3" s="1"/>
  <c r="AU1624" i="3"/>
  <c r="AU2184" i="3"/>
  <c r="AU1064" i="3" s="1"/>
  <c r="AU1692" i="3"/>
  <c r="AU2252" i="3"/>
  <c r="AU1132" i="3" s="1"/>
  <c r="AU1708" i="3"/>
  <c r="AU1493" i="3"/>
  <c r="AU2053" i="3"/>
  <c r="AU933" i="3" s="1"/>
  <c r="AU1509" i="3"/>
  <c r="AU2069" i="3"/>
  <c r="AU949" i="3" s="1"/>
  <c r="AU1541" i="3"/>
  <c r="AU2101" i="3"/>
  <c r="AU981" i="3" s="1"/>
  <c r="AU1557" i="3"/>
  <c r="AU2117" i="3"/>
  <c r="AU997" i="3" s="1"/>
  <c r="AU2133" i="3"/>
  <c r="AU1013" i="3" s="1"/>
  <c r="AU1573" i="3"/>
  <c r="AU1589" i="3"/>
  <c r="AU2149" i="3"/>
  <c r="AU1029" i="3" s="1"/>
  <c r="AU1605" i="3"/>
  <c r="AU2165" i="3"/>
  <c r="AU1045" i="3" s="1"/>
  <c r="AU1621" i="3"/>
  <c r="AU2181" i="3"/>
  <c r="AU1061" i="3" s="1"/>
  <c r="AU1677" i="3"/>
  <c r="AU2237" i="3"/>
  <c r="AU1117" i="3" s="1"/>
  <c r="AU2261" i="3"/>
  <c r="AU1141" i="3" s="1"/>
  <c r="AU1701" i="3"/>
  <c r="AU1699" i="3"/>
  <c r="AU2259" i="3"/>
  <c r="AU1139" i="3" s="1"/>
  <c r="AU1727" i="3"/>
  <c r="AU1474" i="3"/>
  <c r="AU2034" i="3"/>
  <c r="AU914" i="3" s="1"/>
  <c r="AU1490" i="3"/>
  <c r="AU2050" i="3"/>
  <c r="AU930" i="3" s="1"/>
  <c r="AU1506" i="3"/>
  <c r="AU2066" i="3"/>
  <c r="AU946" i="3" s="1"/>
  <c r="AU1522" i="3"/>
  <c r="AU2082" i="3"/>
  <c r="AU962" i="3" s="1"/>
  <c r="AU1538" i="3"/>
  <c r="AU2098" i="3"/>
  <c r="AU978" i="3" s="1"/>
  <c r="AU1554" i="3"/>
  <c r="AU2114" i="3"/>
  <c r="AU994" i="3" s="1"/>
  <c r="AU1570" i="3"/>
  <c r="AU2130" i="3"/>
  <c r="AU1010" i="3" s="1"/>
  <c r="AU1586" i="3"/>
  <c r="AU2146" i="3"/>
  <c r="AU1026" i="3" s="1"/>
  <c r="AU1602" i="3"/>
  <c r="AU2162" i="3"/>
  <c r="AU1042" i="3" s="1"/>
  <c r="AU1618" i="3"/>
  <c r="AU2178" i="3"/>
  <c r="AU1058" i="3" s="1"/>
  <c r="AU1634" i="3"/>
  <c r="AU2194" i="3"/>
  <c r="AU1074" i="3" s="1"/>
  <c r="AU1650" i="3"/>
  <c r="AU2210" i="3"/>
  <c r="AU1090" i="3" s="1"/>
  <c r="AU1666" i="3"/>
  <c r="AU2226" i="3"/>
  <c r="AU1106" i="3" s="1"/>
  <c r="AU1682" i="3"/>
  <c r="AU2242" i="3"/>
  <c r="AU1122" i="3" s="1"/>
  <c r="AU1702" i="3"/>
  <c r="AU2262" i="3"/>
  <c r="AU1142" i="3" s="1"/>
  <c r="AU1503" i="3"/>
  <c r="AU2063" i="3"/>
  <c r="AU943" i="3" s="1"/>
  <c r="AU1519" i="3"/>
  <c r="AU2079" i="3"/>
  <c r="AU959" i="3" s="1"/>
  <c r="AU1535" i="3"/>
  <c r="AU2095" i="3"/>
  <c r="AU1551" i="3"/>
  <c r="AU2111" i="3"/>
  <c r="AU991" i="3" s="1"/>
  <c r="AU1567" i="3"/>
  <c r="AU2127" i="3"/>
  <c r="AU1007" i="3" s="1"/>
  <c r="AU1583" i="3"/>
  <c r="AU2143" i="3"/>
  <c r="AU1023" i="3" s="1"/>
  <c r="AU1599" i="3"/>
  <c r="AU2159" i="3"/>
  <c r="AU1039" i="3" s="1"/>
  <c r="AU1615" i="3"/>
  <c r="AU2175" i="3"/>
  <c r="AU1055" i="3" s="1"/>
  <c r="AU1631" i="3"/>
  <c r="AU2191" i="3"/>
  <c r="AU1071" i="3" s="1"/>
  <c r="AU1728" i="3"/>
  <c r="AU1687" i="3"/>
  <c r="AU2247" i="3"/>
  <c r="AU1127" i="3" s="1"/>
  <c r="AU1683" i="3"/>
  <c r="AU2243" i="3"/>
  <c r="AU1123" i="3" s="1"/>
  <c r="AQ1550" i="3"/>
  <c r="AQ2110" i="3"/>
  <c r="AQ990" i="3" s="1"/>
  <c r="AQ1558" i="3"/>
  <c r="AQ2118" i="3"/>
  <c r="AQ998" i="3" s="1"/>
  <c r="AQ1634" i="3"/>
  <c r="AQ2194" i="3"/>
  <c r="AQ1074" i="3" s="1"/>
  <c r="AQ1606" i="3"/>
  <c r="AQ2166" i="3"/>
  <c r="AQ1046" i="3" s="1"/>
  <c r="AQ1482" i="3"/>
  <c r="AQ2042" i="3"/>
  <c r="AQ922" i="3" s="1"/>
  <c r="AQ1614" i="3"/>
  <c r="AQ2174" i="3"/>
  <c r="AQ1054" i="3" s="1"/>
  <c r="AQ1598" i="3"/>
  <c r="AQ2158" i="3"/>
  <c r="AQ1038" i="3" s="1"/>
  <c r="AQ1562" i="3"/>
  <c r="AQ2122" i="3"/>
  <c r="AQ1002" i="3" s="1"/>
  <c r="AQ1626" i="3"/>
  <c r="AQ2186" i="3"/>
  <c r="AQ1066" i="3" s="1"/>
  <c r="AQ1555" i="3"/>
  <c r="AQ2115" i="3"/>
  <c r="AQ995" i="3" s="1"/>
  <c r="AQ1687" i="3"/>
  <c r="AQ2247" i="3"/>
  <c r="AQ1127" i="3" s="1"/>
  <c r="AQ1690" i="3"/>
  <c r="AQ2250" i="3"/>
  <c r="AQ1130" i="3" s="1"/>
  <c r="AQ1710" i="3"/>
  <c r="AQ1479" i="3"/>
  <c r="AQ2039" i="3"/>
  <c r="AQ919" i="3" s="1"/>
  <c r="AQ1495" i="3"/>
  <c r="AQ2055" i="3"/>
  <c r="AQ1511" i="3"/>
  <c r="AQ2071" i="3"/>
  <c r="AQ951" i="3" s="1"/>
  <c r="AQ1527" i="3"/>
  <c r="AQ2087" i="3"/>
  <c r="AQ967" i="3" s="1"/>
  <c r="AQ1474" i="3"/>
  <c r="AQ2034" i="3"/>
  <c r="AQ914" i="3" s="1"/>
  <c r="AQ1551" i="3"/>
  <c r="AQ2111" i="3"/>
  <c r="AQ991" i="3" s="1"/>
  <c r="AQ1583" i="3"/>
  <c r="AQ2143" i="3"/>
  <c r="AQ1023" i="3" s="1"/>
  <c r="AQ1615" i="3"/>
  <c r="AQ2175" i="3"/>
  <c r="AQ1055" i="3" s="1"/>
  <c r="AQ1679" i="3"/>
  <c r="AQ2239" i="3"/>
  <c r="AQ1119" i="3" s="1"/>
  <c r="AQ1662" i="3"/>
  <c r="AQ2222" i="3"/>
  <c r="AQ1102" i="3" s="1"/>
  <c r="AQ1682" i="3"/>
  <c r="AQ2242" i="3"/>
  <c r="AQ1122" i="3" s="1"/>
  <c r="AQ1641" i="3"/>
  <c r="AQ2201" i="3"/>
  <c r="AQ1081" i="3" s="1"/>
  <c r="AQ1657" i="3"/>
  <c r="AQ2217" i="3"/>
  <c r="AQ1097" i="3" s="1"/>
  <c r="AQ1689" i="3"/>
  <c r="AQ2249" i="3"/>
  <c r="AQ1129" i="3" s="1"/>
  <c r="AQ1636" i="3"/>
  <c r="AQ2196" i="3"/>
  <c r="AQ1076" i="3" s="1"/>
  <c r="AQ1639" i="3"/>
  <c r="AQ2199" i="3"/>
  <c r="AQ1079" i="3" s="1"/>
  <c r="AQ1726" i="3"/>
  <c r="AQ1704" i="3"/>
  <c r="AQ2264" i="3"/>
  <c r="AQ1144" i="3" s="1"/>
  <c r="AQ1723" i="3"/>
  <c r="AQ1648" i="3"/>
  <c r="AQ2208" i="3"/>
  <c r="AQ1088" i="3" s="1"/>
  <c r="AQ1664" i="3"/>
  <c r="AQ2224" i="3"/>
  <c r="AQ1104" i="3" s="1"/>
  <c r="AQ1700" i="3"/>
  <c r="AQ2260" i="3"/>
  <c r="AQ1140" i="3" s="1"/>
  <c r="AQ1477" i="3"/>
  <c r="AQ2037" i="3"/>
  <c r="AQ917" i="3" s="1"/>
  <c r="AQ1493" i="3"/>
  <c r="AQ2053" i="3"/>
  <c r="AQ933" i="3" s="1"/>
  <c r="AQ1509" i="3"/>
  <c r="AQ2069" i="3"/>
  <c r="AQ949" i="3" s="1"/>
  <c r="AQ1541" i="3"/>
  <c r="AQ2101" i="3"/>
  <c r="AQ981" i="3" s="1"/>
  <c r="AQ1557" i="3"/>
  <c r="AQ2117" i="3"/>
  <c r="AQ997" i="3" s="1"/>
  <c r="AQ1573" i="3"/>
  <c r="AQ2133" i="3"/>
  <c r="AQ1013" i="3" s="1"/>
  <c r="AQ1589" i="3"/>
  <c r="AQ2149" i="3"/>
  <c r="AQ1029" i="3" s="1"/>
  <c r="AQ1605" i="3"/>
  <c r="AQ2165" i="3"/>
  <c r="AQ1045" i="3" s="1"/>
  <c r="AQ1621" i="3"/>
  <c r="AQ2181" i="3"/>
  <c r="AQ1061" i="3" s="1"/>
  <c r="AQ1637" i="3"/>
  <c r="AQ2197" i="3"/>
  <c r="AQ1077" i="3" s="1"/>
  <c r="AQ1729" i="3"/>
  <c r="AQ1727" i="3"/>
  <c r="AQ1468" i="3"/>
  <c r="AQ2028" i="3"/>
  <c r="AQ908" i="3" s="1"/>
  <c r="AQ1484" i="3"/>
  <c r="AQ2044" i="3"/>
  <c r="AQ924" i="3" s="1"/>
  <c r="AQ1500" i="3"/>
  <c r="AQ2060" i="3"/>
  <c r="AQ940" i="3" s="1"/>
  <c r="AQ1532" i="3"/>
  <c r="AQ2092" i="3"/>
  <c r="AQ972" i="3" s="1"/>
  <c r="AQ1548" i="3"/>
  <c r="AQ2108" i="3"/>
  <c r="AQ988" i="3" s="1"/>
  <c r="AQ1564" i="3"/>
  <c r="AQ2124" i="3"/>
  <c r="AQ1004" i="3" s="1"/>
  <c r="AQ1580" i="3"/>
  <c r="AQ2140" i="3"/>
  <c r="AQ1020" i="3" s="1"/>
  <c r="AQ1596" i="3"/>
  <c r="AQ2156" i="3"/>
  <c r="AQ1036" i="3" s="1"/>
  <c r="AQ1612" i="3"/>
  <c r="AQ2172" i="3"/>
  <c r="AQ1052" i="3" s="1"/>
  <c r="AQ1628" i="3"/>
  <c r="AQ2188" i="3"/>
  <c r="AQ1068" i="3" s="1"/>
  <c r="AQ1693" i="3"/>
  <c r="AQ2253" i="3"/>
  <c r="AQ1133" i="3" s="1"/>
  <c r="AQ1709" i="3"/>
  <c r="AQ1711" i="3"/>
  <c r="AM1598" i="3"/>
  <c r="AM2158" i="3"/>
  <c r="AM1038" i="3" s="1"/>
  <c r="AM1522" i="3"/>
  <c r="AM2082" i="3"/>
  <c r="AM962" i="3" s="1"/>
  <c r="AM1634" i="3"/>
  <c r="AM2194" i="3"/>
  <c r="AM1074" i="3" s="1"/>
  <c r="AM1554" i="3"/>
  <c r="AM2114" i="3"/>
  <c r="AM994" i="3" s="1"/>
  <c r="AM1630" i="3"/>
  <c r="AM2190" i="3"/>
  <c r="AM1070" i="3" s="1"/>
  <c r="AM1498" i="3"/>
  <c r="AM2058" i="3"/>
  <c r="AM1550" i="3"/>
  <c r="AM2110" i="3"/>
  <c r="AM990" i="3" s="1"/>
  <c r="AM1626" i="3"/>
  <c r="AM2186" i="3"/>
  <c r="AM1066" i="3" s="1"/>
  <c r="AM1574" i="3"/>
  <c r="AM2134" i="3"/>
  <c r="AM1014" i="3" s="1"/>
  <c r="AM1706" i="3"/>
  <c r="AM1531" i="3"/>
  <c r="AM2091" i="3"/>
  <c r="AM971" i="3" s="1"/>
  <c r="AM1503" i="3"/>
  <c r="AM2063" i="3"/>
  <c r="AM943" i="3" s="1"/>
  <c r="AM1731" i="3"/>
  <c r="AM1467" i="3"/>
  <c r="AM2027" i="3"/>
  <c r="AM907" i="3" s="1"/>
  <c r="AM1727" i="3"/>
  <c r="AM1722" i="3"/>
  <c r="AM1479" i="3"/>
  <c r="AM2039" i="3"/>
  <c r="AM919" i="3" s="1"/>
  <c r="AM1677" i="3"/>
  <c r="AM2237" i="3"/>
  <c r="AM1117" i="3" s="1"/>
  <c r="AM1543" i="3"/>
  <c r="AM2103" i="3"/>
  <c r="AM983" i="3" s="1"/>
  <c r="AM1559" i="3"/>
  <c r="AM2119" i="3"/>
  <c r="AM999" i="3" s="1"/>
  <c r="AM1575" i="3"/>
  <c r="AM2135" i="3"/>
  <c r="AM1015" i="3" s="1"/>
  <c r="AM1591" i="3"/>
  <c r="AM2151" i="3"/>
  <c r="AM1031" i="3" s="1"/>
  <c r="AM1607" i="3"/>
  <c r="AM2167" i="3"/>
  <c r="AM1047" i="3" s="1"/>
  <c r="AM1623" i="3"/>
  <c r="AM2183" i="3"/>
  <c r="AM1063" i="3" s="1"/>
  <c r="AM1638" i="3"/>
  <c r="AM2198" i="3"/>
  <c r="AM1078" i="3" s="1"/>
  <c r="AM1670" i="3"/>
  <c r="AM2230" i="3"/>
  <c r="AM1110" i="3" s="1"/>
  <c r="AM1661" i="3"/>
  <c r="AM2221" i="3"/>
  <c r="AM1101" i="3" s="1"/>
  <c r="AM1659" i="3"/>
  <c r="AM2219" i="3"/>
  <c r="AM1099" i="3" s="1"/>
  <c r="AM1636" i="3"/>
  <c r="AM2196" i="3"/>
  <c r="AM1076" i="3" s="1"/>
  <c r="AM1728" i="3"/>
  <c r="AM1473" i="3"/>
  <c r="AM2033" i="3"/>
  <c r="AM913" i="3" s="1"/>
  <c r="AM1695" i="3"/>
  <c r="AM2255" i="3"/>
  <c r="AM1135" i="3" s="1"/>
  <c r="AM1476" i="3"/>
  <c r="AM2036" i="3"/>
  <c r="AM916" i="3" s="1"/>
  <c r="AM1492" i="3"/>
  <c r="AM2052" i="3"/>
  <c r="AM932" i="3" s="1"/>
  <c r="AM1508" i="3"/>
  <c r="AM2068" i="3"/>
  <c r="AM948" i="3" s="1"/>
  <c r="AM1540" i="3"/>
  <c r="AM2100" i="3"/>
  <c r="AM980" i="3" s="1"/>
  <c r="AM1556" i="3"/>
  <c r="AM2116" i="3"/>
  <c r="AM996" i="3" s="1"/>
  <c r="AM1572" i="3"/>
  <c r="AM2132" i="3"/>
  <c r="AM1012" i="3" s="1"/>
  <c r="AM1588" i="3"/>
  <c r="AM2148" i="3"/>
  <c r="AM1028" i="3" s="1"/>
  <c r="AM1604" i="3"/>
  <c r="AM2164" i="3"/>
  <c r="AM1044" i="3" s="1"/>
  <c r="AM1620" i="3"/>
  <c r="AM2180" i="3"/>
  <c r="AM1060" i="3" s="1"/>
  <c r="AM1640" i="3"/>
  <c r="AM2200" i="3"/>
  <c r="AM1080" i="3" s="1"/>
  <c r="AM1656" i="3"/>
  <c r="AM2216" i="3"/>
  <c r="AM1096" i="3" s="1"/>
  <c r="AM1688" i="3"/>
  <c r="AM2248" i="3"/>
  <c r="AM1128" i="3" s="1"/>
  <c r="AM1704" i="3"/>
  <c r="AM2264" i="3"/>
  <c r="AM1144" i="3" s="1"/>
  <c r="AM1489" i="3"/>
  <c r="AM2049" i="3"/>
  <c r="AM929" i="3" s="1"/>
  <c r="AM1505" i="3"/>
  <c r="AM2065" i="3"/>
  <c r="AM945" i="3" s="1"/>
  <c r="AM1521" i="3"/>
  <c r="AM2081" i="3"/>
  <c r="AM961" i="3" s="1"/>
  <c r="AM1537" i="3"/>
  <c r="AM2097" i="3"/>
  <c r="AM977" i="3" s="1"/>
  <c r="AM1553" i="3"/>
  <c r="AM2113" i="3"/>
  <c r="AM993" i="3" s="1"/>
  <c r="AM1569" i="3"/>
  <c r="AM2129" i="3"/>
  <c r="AM1009" i="3" s="1"/>
  <c r="AM1585" i="3"/>
  <c r="AM2145" i="3"/>
  <c r="AM1025" i="3" s="1"/>
  <c r="AM1601" i="3"/>
  <c r="AM2161" i="3"/>
  <c r="AM1041" i="3" s="1"/>
  <c r="AM1617" i="3"/>
  <c r="AM2177" i="3"/>
  <c r="AM1057" i="3" s="1"/>
  <c r="AM2193" i="3"/>
  <c r="AM1073" i="3" s="1"/>
  <c r="AM1633" i="3"/>
  <c r="AM1705" i="3"/>
  <c r="AM1721" i="3"/>
  <c r="AM1737" i="3"/>
  <c r="AM1711" i="3"/>
  <c r="AI1474" i="3"/>
  <c r="AI2034" i="3"/>
  <c r="AI914" i="3" s="1"/>
  <c r="AI1482" i="3"/>
  <c r="AI2042" i="3"/>
  <c r="AI922" i="3" s="1"/>
  <c r="AI1498" i="3"/>
  <c r="AI2058" i="3"/>
  <c r="AI1514" i="3"/>
  <c r="AI2074" i="3"/>
  <c r="AI954" i="3" s="1"/>
  <c r="AI1530" i="3"/>
  <c r="AI2090" i="3"/>
  <c r="AI970" i="3" s="1"/>
  <c r="AI1546" i="3"/>
  <c r="AI2106" i="3"/>
  <c r="AI986" i="3" s="1"/>
  <c r="AI1562" i="3"/>
  <c r="AI2122" i="3"/>
  <c r="AI1002" i="3" s="1"/>
  <c r="AI1578" i="3"/>
  <c r="AI2138" i="3"/>
  <c r="AI1018" i="3" s="1"/>
  <c r="AI1594" i="3"/>
  <c r="AI2154" i="3"/>
  <c r="AI1034" i="3" s="1"/>
  <c r="AI1610" i="3"/>
  <c r="AI2170" i="3"/>
  <c r="AI1050" i="3" s="1"/>
  <c r="AI1626" i="3"/>
  <c r="AI2186" i="3"/>
  <c r="AI1066" i="3" s="1"/>
  <c r="AI1642" i="3"/>
  <c r="AI2202" i="3"/>
  <c r="AI1082" i="3" s="1"/>
  <c r="AI1658" i="3"/>
  <c r="AI2218" i="3"/>
  <c r="AI1098" i="3" s="1"/>
  <c r="AI1703" i="3"/>
  <c r="AI2263" i="3"/>
  <c r="AI1143" i="3" s="1"/>
  <c r="AI1492" i="3"/>
  <c r="AI2052" i="3"/>
  <c r="AI932" i="3" s="1"/>
  <c r="AI1508" i="3"/>
  <c r="AI2068" i="3"/>
  <c r="AI948" i="3" s="1"/>
  <c r="AI1540" i="3"/>
  <c r="AI2100" i="3"/>
  <c r="AI980" i="3" s="1"/>
  <c r="AI1556" i="3"/>
  <c r="AI2116" i="3"/>
  <c r="AI996" i="3" s="1"/>
  <c r="AI1572" i="3"/>
  <c r="AI2132" i="3"/>
  <c r="AI1012" i="3" s="1"/>
  <c r="AI1588" i="3"/>
  <c r="AI2148" i="3"/>
  <c r="AI1028" i="3" s="1"/>
  <c r="AI1604" i="3"/>
  <c r="AI2164" i="3"/>
  <c r="AI1044" i="3" s="1"/>
  <c r="AI1620" i="3"/>
  <c r="AI2180" i="3"/>
  <c r="AI1060" i="3" s="1"/>
  <c r="AI1693" i="3"/>
  <c r="AI2253" i="3"/>
  <c r="AI1133" i="3" s="1"/>
  <c r="AI1709" i="3"/>
  <c r="AI1711" i="3"/>
  <c r="AI1663" i="3"/>
  <c r="AI2223" i="3"/>
  <c r="AI1103" i="3" s="1"/>
  <c r="AI1700" i="3"/>
  <c r="AI2260" i="3"/>
  <c r="AI1140" i="3" s="1"/>
  <c r="AI1477" i="3"/>
  <c r="AI2037" i="3"/>
  <c r="AI917" i="3" s="1"/>
  <c r="AI1493" i="3"/>
  <c r="AI2053" i="3"/>
  <c r="AI933" i="3" s="1"/>
  <c r="AI1509" i="3"/>
  <c r="AI2069" i="3"/>
  <c r="AI949" i="3" s="1"/>
  <c r="AI1541" i="3"/>
  <c r="AI2101" i="3"/>
  <c r="AI981" i="3" s="1"/>
  <c r="AI1557" i="3"/>
  <c r="AI2117" i="3"/>
  <c r="AI997" i="3" s="1"/>
  <c r="AI1573" i="3"/>
  <c r="AI2133" i="3"/>
  <c r="AI1013" i="3" s="1"/>
  <c r="AI1589" i="3"/>
  <c r="AI2149" i="3"/>
  <c r="AI1029" i="3" s="1"/>
  <c r="AI1605" i="3"/>
  <c r="AI2165" i="3"/>
  <c r="AI1045" i="3" s="1"/>
  <c r="AI1621" i="3"/>
  <c r="AI2181" i="3"/>
  <c r="AI1061" i="3" s="1"/>
  <c r="AI1637" i="3"/>
  <c r="AI2197" i="3"/>
  <c r="AI1077" i="3" s="1"/>
  <c r="AI1669" i="3"/>
  <c r="AI2229" i="3"/>
  <c r="AI1109" i="3" s="1"/>
  <c r="AI1690" i="3"/>
  <c r="AI2250" i="3"/>
  <c r="AI1130" i="3" s="1"/>
  <c r="AI1710" i="3"/>
  <c r="AI1726" i="3"/>
  <c r="AI1471" i="3"/>
  <c r="AI2031" i="3"/>
  <c r="AI911" i="3" s="1"/>
  <c r="AI1503" i="3"/>
  <c r="AI2063" i="3"/>
  <c r="AI943" i="3" s="1"/>
  <c r="AI1519" i="3"/>
  <c r="AI2079" i="3"/>
  <c r="AI959" i="3" s="1"/>
  <c r="AI1535" i="3"/>
  <c r="AI2095" i="3"/>
  <c r="AI1551" i="3"/>
  <c r="AI2111" i="3"/>
  <c r="AI991" i="3" s="1"/>
  <c r="AI1567" i="3"/>
  <c r="AI2127" i="3"/>
  <c r="AI1007" i="3" s="1"/>
  <c r="AI1583" i="3"/>
  <c r="AI2143" i="3"/>
  <c r="AI1023" i="3" s="1"/>
  <c r="AI1599" i="3"/>
  <c r="AI2159" i="3"/>
  <c r="AI1039" i="3" s="1"/>
  <c r="AI1615" i="3"/>
  <c r="AI2175" i="3"/>
  <c r="AI1055" i="3" s="1"/>
  <c r="AI1631" i="3"/>
  <c r="AI2191" i="3"/>
  <c r="AI1071" i="3" s="1"/>
  <c r="AI1731" i="3"/>
  <c r="AI1468" i="3"/>
  <c r="AI2028" i="3"/>
  <c r="AI908" i="3" s="1"/>
  <c r="AI1660" i="3"/>
  <c r="AI2220" i="3"/>
  <c r="AI1100" i="3" s="1"/>
  <c r="AI1676" i="3"/>
  <c r="AI2236" i="3"/>
  <c r="AI1116" i="3" s="1"/>
  <c r="AI1708" i="3"/>
  <c r="AI1687" i="3"/>
  <c r="AI2247" i="3"/>
  <c r="AI1127" i="3" s="1"/>
  <c r="AI1681" i="3"/>
  <c r="AI2241" i="3"/>
  <c r="AI1121" i="3" s="1"/>
  <c r="AI1683" i="3"/>
  <c r="AI2243" i="3"/>
  <c r="AI1123" i="3" s="1"/>
  <c r="AE1638" i="3"/>
  <c r="AE2198" i="3"/>
  <c r="AE1078" i="3" s="1"/>
  <c r="AE1730" i="3"/>
  <c r="AE1473" i="3"/>
  <c r="AE2033" i="3"/>
  <c r="AE913" i="3" s="1"/>
  <c r="AE1470" i="3"/>
  <c r="AE2030" i="3"/>
  <c r="AE910" i="3" s="1"/>
  <c r="AE1502" i="3"/>
  <c r="AE2062" i="3"/>
  <c r="AE942" i="3" s="1"/>
  <c r="AE1534" i="3"/>
  <c r="AE2094" i="3"/>
  <c r="AE1550" i="3"/>
  <c r="AE2110" i="3"/>
  <c r="AE990" i="3" s="1"/>
  <c r="AE1566" i="3"/>
  <c r="AE2126" i="3"/>
  <c r="AE1006" i="3" s="1"/>
  <c r="AE1582" i="3"/>
  <c r="AE2142" i="3"/>
  <c r="AE1022" i="3" s="1"/>
  <c r="AE1598" i="3"/>
  <c r="AE2158" i="3"/>
  <c r="AE1038" i="3" s="1"/>
  <c r="AE1614" i="3"/>
  <c r="AE2174" i="3"/>
  <c r="AE1054" i="3" s="1"/>
  <c r="AE1630" i="3"/>
  <c r="AE2190" i="3"/>
  <c r="AE1070" i="3" s="1"/>
  <c r="AE1686" i="3"/>
  <c r="AE2246" i="3"/>
  <c r="AE1126" i="3" s="1"/>
  <c r="AE1706" i="3"/>
  <c r="AE1491" i="3"/>
  <c r="AE2051" i="3"/>
  <c r="AE931" i="3" s="1"/>
  <c r="AE1507" i="3"/>
  <c r="AE2067" i="3"/>
  <c r="AE947" i="3" s="1"/>
  <c r="AE1539" i="3"/>
  <c r="AE2099" i="3"/>
  <c r="AE979" i="3" s="1"/>
  <c r="AE1555" i="3"/>
  <c r="AE2115" i="3"/>
  <c r="AE995" i="3" s="1"/>
  <c r="AE1571" i="3"/>
  <c r="AE2131" i="3"/>
  <c r="AE1011" i="3" s="1"/>
  <c r="AE1587" i="3"/>
  <c r="AE2147" i="3"/>
  <c r="AE1027" i="3" s="1"/>
  <c r="AE1603" i="3"/>
  <c r="AE2163" i="3"/>
  <c r="AE1043" i="3" s="1"/>
  <c r="AE1619" i="3"/>
  <c r="AE2179" i="3"/>
  <c r="AE1059" i="3" s="1"/>
  <c r="AE1695" i="3"/>
  <c r="AE2255" i="3"/>
  <c r="AE1135" i="3" s="1"/>
  <c r="AE1476" i="3"/>
  <c r="AE2036" i="3"/>
  <c r="AE916" i="3" s="1"/>
  <c r="AE1492" i="3"/>
  <c r="AE2052" i="3"/>
  <c r="AE932" i="3" s="1"/>
  <c r="AE1508" i="3"/>
  <c r="AE2068" i="3"/>
  <c r="AE948" i="3" s="1"/>
  <c r="AE1540" i="3"/>
  <c r="AE2100" i="3"/>
  <c r="AE980" i="3" s="1"/>
  <c r="AE1556" i="3"/>
  <c r="AE2116" i="3"/>
  <c r="AE996" i="3" s="1"/>
  <c r="AE1572" i="3"/>
  <c r="AE2132" i="3"/>
  <c r="AE1012" i="3" s="1"/>
  <c r="AE1588" i="3"/>
  <c r="AE2148" i="3"/>
  <c r="AE1028" i="3" s="1"/>
  <c r="AE1604" i="3"/>
  <c r="AE2164" i="3"/>
  <c r="AE1044" i="3" s="1"/>
  <c r="AE1620" i="3"/>
  <c r="AE2180" i="3"/>
  <c r="AE1060" i="3" s="1"/>
  <c r="AE1692" i="3"/>
  <c r="AE2252" i="3"/>
  <c r="AE1132" i="3" s="1"/>
  <c r="AE1708" i="3"/>
  <c r="AE1493" i="3"/>
  <c r="AE2053" i="3"/>
  <c r="AE933" i="3" s="1"/>
  <c r="AE1509" i="3"/>
  <c r="AE2069" i="3"/>
  <c r="AE949" i="3" s="1"/>
  <c r="AE1541" i="3"/>
  <c r="AE2101" i="3"/>
  <c r="AE981" i="3" s="1"/>
  <c r="AE1557" i="3"/>
  <c r="AE2117" i="3"/>
  <c r="AE997" i="3" s="1"/>
  <c r="AE1573" i="3"/>
  <c r="AE2133" i="3"/>
  <c r="AE1013" i="3" s="1"/>
  <c r="AE1589" i="3"/>
  <c r="AE2149" i="3"/>
  <c r="AE1029" i="3" s="1"/>
  <c r="AE2165" i="3"/>
  <c r="AE1045" i="3" s="1"/>
  <c r="AE1605" i="3"/>
  <c r="AE1621" i="3"/>
  <c r="AE2181" i="3"/>
  <c r="AE1061" i="3" s="1"/>
  <c r="AE1693" i="3"/>
  <c r="AE2253" i="3"/>
  <c r="AE1133" i="3" s="1"/>
  <c r="AE1709" i="3"/>
  <c r="AE1711" i="3"/>
  <c r="AE1467" i="3"/>
  <c r="AE2027" i="3"/>
  <c r="AE907" i="3" s="1"/>
  <c r="AE1680" i="3"/>
  <c r="AE2240" i="3"/>
  <c r="AE1120" i="3" s="1"/>
  <c r="AE1659" i="3"/>
  <c r="AE2219" i="3"/>
  <c r="AE1099" i="3" s="1"/>
  <c r="AE1636" i="3"/>
  <c r="AE2196" i="3"/>
  <c r="AE1076" i="3" s="1"/>
  <c r="AE1728" i="3"/>
  <c r="AE1477" i="3"/>
  <c r="AE2037" i="3"/>
  <c r="AE917" i="3" s="1"/>
  <c r="AE1661" i="3"/>
  <c r="AE2221" i="3"/>
  <c r="AE1101" i="3" s="1"/>
  <c r="AE1677" i="3"/>
  <c r="AE2237" i="3"/>
  <c r="AE1117" i="3" s="1"/>
  <c r="AE1660" i="3"/>
  <c r="AE2220" i="3"/>
  <c r="AE1100" i="3" s="1"/>
  <c r="AE1717" i="3"/>
  <c r="AE1733" i="3"/>
  <c r="AE1735" i="3"/>
  <c r="AA1491" i="3"/>
  <c r="AA2051" i="3"/>
  <c r="AA931" i="3" s="1"/>
  <c r="AA1527" i="3"/>
  <c r="AA2087" i="3"/>
  <c r="AA967" i="3" s="1"/>
  <c r="AA1499" i="3"/>
  <c r="AA2059" i="3"/>
  <c r="AA939" i="3" s="1"/>
  <c r="AA1730" i="3"/>
  <c r="AA1502" i="3"/>
  <c r="AA2062" i="3"/>
  <c r="AA942" i="3" s="1"/>
  <c r="AA1550" i="3"/>
  <c r="AA2110" i="3"/>
  <c r="AA990" i="3" s="1"/>
  <c r="AA1566" i="3"/>
  <c r="AA2126" i="3"/>
  <c r="AA1006" i="3" s="1"/>
  <c r="AA1582" i="3"/>
  <c r="AA2142" i="3"/>
  <c r="AA1022" i="3" s="1"/>
  <c r="AA1598" i="3"/>
  <c r="AA2158" i="3"/>
  <c r="AA1038" i="3" s="1"/>
  <c r="AA1614" i="3"/>
  <c r="AA2174" i="3"/>
  <c r="AA1054" i="3" s="1"/>
  <c r="AA1630" i="3"/>
  <c r="AA2190" i="3"/>
  <c r="AA1070" i="3" s="1"/>
  <c r="AA1690" i="3"/>
  <c r="AA2250" i="3"/>
  <c r="AA1130" i="3" s="1"/>
  <c r="AA1637" i="3"/>
  <c r="AA2197" i="3"/>
  <c r="AA1077" i="3" s="1"/>
  <c r="AA1466" i="3"/>
  <c r="AA2026" i="3"/>
  <c r="AA906" i="3" s="1"/>
  <c r="AA1647" i="3"/>
  <c r="AA2207" i="3"/>
  <c r="AA1087" i="3" s="1"/>
  <c r="AA1680" i="3"/>
  <c r="AA2240" i="3"/>
  <c r="AA1120" i="3" s="1"/>
  <c r="AA1551" i="3"/>
  <c r="AA2111" i="3"/>
  <c r="AA991" i="3" s="1"/>
  <c r="AA1567" i="3"/>
  <c r="AA2127" i="3"/>
  <c r="AA1007" i="3" s="1"/>
  <c r="AA1583" i="3"/>
  <c r="AA2143" i="3"/>
  <c r="AA1023" i="3" s="1"/>
  <c r="AA1599" i="3"/>
  <c r="AA2159" i="3"/>
  <c r="AA1039" i="3" s="1"/>
  <c r="AA1615" i="3"/>
  <c r="AA2175" i="3"/>
  <c r="AA1055" i="3" s="1"/>
  <c r="AA1648" i="3"/>
  <c r="AA2208" i="3"/>
  <c r="AA1088" i="3" s="1"/>
  <c r="AA1470" i="3"/>
  <c r="AA2030" i="3"/>
  <c r="AA910" i="3" s="1"/>
  <c r="AA1650" i="3"/>
  <c r="AA2210" i="3"/>
  <c r="AA1090" i="3" s="1"/>
  <c r="AA1635" i="3"/>
  <c r="AA2195" i="3"/>
  <c r="AA1075" i="3" s="1"/>
  <c r="AA1667" i="3"/>
  <c r="AA2227" i="3"/>
  <c r="AA1107" i="3" s="1"/>
  <c r="AA1476" i="3"/>
  <c r="AA2036" i="3"/>
  <c r="AA916" i="3" s="1"/>
  <c r="AA1689" i="3"/>
  <c r="AA2249" i="3"/>
  <c r="AA1129" i="3" s="1"/>
  <c r="AA1492" i="3"/>
  <c r="AA2052" i="3"/>
  <c r="AA932" i="3" s="1"/>
  <c r="AA1540" i="3"/>
  <c r="AA2100" i="3"/>
  <c r="AA980" i="3" s="1"/>
  <c r="AA1556" i="3"/>
  <c r="AA2116" i="3"/>
  <c r="AA996" i="3" s="1"/>
  <c r="AA1572" i="3"/>
  <c r="AA2132" i="3"/>
  <c r="AA1012" i="3" s="1"/>
  <c r="AA1588" i="3"/>
  <c r="AA2148" i="3"/>
  <c r="AA1028" i="3" s="1"/>
  <c r="AA1620" i="3"/>
  <c r="AA2180" i="3"/>
  <c r="AA1060" i="3" s="1"/>
  <c r="AA1693" i="3"/>
  <c r="AA2253" i="3"/>
  <c r="AA1133" i="3" s="1"/>
  <c r="AA1709" i="3"/>
  <c r="AA1707" i="3"/>
  <c r="AA1493" i="3"/>
  <c r="AA2053" i="3"/>
  <c r="AA933" i="3" s="1"/>
  <c r="AA1541" i="3"/>
  <c r="AA2101" i="3"/>
  <c r="AA981" i="3" s="1"/>
  <c r="AA1573" i="3"/>
  <c r="AA2133" i="3"/>
  <c r="AA1013" i="3" s="1"/>
  <c r="AA2149" i="3"/>
  <c r="AA1029" i="3" s="1"/>
  <c r="AA1589" i="3"/>
  <c r="AA1605" i="3"/>
  <c r="AA2165" i="3"/>
  <c r="AA1045" i="3" s="1"/>
  <c r="AA1641" i="3"/>
  <c r="AA2201" i="3"/>
  <c r="AA1081" i="3" s="1"/>
  <c r="AA1657" i="3"/>
  <c r="AA2217" i="3"/>
  <c r="AA1097" i="3" s="1"/>
  <c r="W1682" i="3"/>
  <c r="W2242" i="3"/>
  <c r="W1122" i="3" s="1"/>
  <c r="W1722" i="3"/>
  <c r="W1539" i="3"/>
  <c r="W2099" i="3"/>
  <c r="W979" i="3" s="1"/>
  <c r="W1571" i="3"/>
  <c r="W2131" i="3"/>
  <c r="W1011" i="3" s="1"/>
  <c r="W1655" i="3"/>
  <c r="W2215" i="3"/>
  <c r="W1095" i="3" s="1"/>
  <c r="W1650" i="3"/>
  <c r="W2210" i="3"/>
  <c r="W1090" i="3" s="1"/>
  <c r="W1475" i="3"/>
  <c r="W2035" i="3"/>
  <c r="W915" i="3" s="1"/>
  <c r="W1474" i="3"/>
  <c r="W2034" i="3"/>
  <c r="W914" i="3" s="1"/>
  <c r="W1490" i="3"/>
  <c r="W2050" i="3"/>
  <c r="W930" i="3" s="1"/>
  <c r="W1506" i="3"/>
  <c r="W2066" i="3"/>
  <c r="W946" i="3" s="1"/>
  <c r="W1522" i="3"/>
  <c r="W2082" i="3"/>
  <c r="W962" i="3" s="1"/>
  <c r="W1538" i="3"/>
  <c r="W2098" i="3"/>
  <c r="W978" i="3" s="1"/>
  <c r="W1554" i="3"/>
  <c r="W2114" i="3"/>
  <c r="W994" i="3" s="1"/>
  <c r="W1570" i="3"/>
  <c r="W2130" i="3"/>
  <c r="W1010" i="3" s="1"/>
  <c r="W1586" i="3"/>
  <c r="W2146" i="3"/>
  <c r="W1026" i="3" s="1"/>
  <c r="W1618" i="3"/>
  <c r="W2178" i="3"/>
  <c r="W1058" i="3" s="1"/>
  <c r="W1706" i="3"/>
  <c r="W1491" i="3"/>
  <c r="W2051" i="3"/>
  <c r="W931" i="3" s="1"/>
  <c r="W1543" i="3"/>
  <c r="W2103" i="3"/>
  <c r="W983" i="3" s="1"/>
  <c r="W1607" i="3"/>
  <c r="W2167" i="3"/>
  <c r="W1047" i="3" s="1"/>
  <c r="W1728" i="3"/>
  <c r="W1473" i="3"/>
  <c r="W2033" i="3"/>
  <c r="W913" i="3" s="1"/>
  <c r="W1687" i="3"/>
  <c r="W2247" i="3"/>
  <c r="W1127" i="3" s="1"/>
  <c r="W1668" i="3"/>
  <c r="W2228" i="3"/>
  <c r="W1108" i="3" s="1"/>
  <c r="W1721" i="3"/>
  <c r="W1737" i="3"/>
  <c r="W1659" i="3"/>
  <c r="W2219" i="3"/>
  <c r="W1099" i="3" s="1"/>
  <c r="W1636" i="3"/>
  <c r="W2196" i="3"/>
  <c r="W1076" i="3" s="1"/>
  <c r="W1504" i="3"/>
  <c r="W2064" i="3"/>
  <c r="W944" i="3" s="1"/>
  <c r="W1520" i="3"/>
  <c r="W2080" i="3"/>
  <c r="W960" i="3" s="1"/>
  <c r="W1552" i="3"/>
  <c r="W2112" i="3"/>
  <c r="W992" i="3" s="1"/>
  <c r="W1568" i="3"/>
  <c r="W2128" i="3"/>
  <c r="W1008" i="3" s="1"/>
  <c r="W1584" i="3"/>
  <c r="W2144" i="3"/>
  <c r="W1024" i="3" s="1"/>
  <c r="W1600" i="3"/>
  <c r="W2160" i="3"/>
  <c r="W1040" i="3" s="1"/>
  <c r="W1616" i="3"/>
  <c r="W2176" i="3"/>
  <c r="W1056" i="3" s="1"/>
  <c r="W1688" i="3"/>
  <c r="W2248" i="3"/>
  <c r="W1128" i="3" s="1"/>
  <c r="W1501" i="3"/>
  <c r="W2061" i="3"/>
  <c r="W941" i="3" s="1"/>
  <c r="W2109" i="3"/>
  <c r="W989" i="3" s="1"/>
  <c r="W1549" i="3"/>
  <c r="W1565" i="3"/>
  <c r="W2125" i="3"/>
  <c r="W1005" i="3" s="1"/>
  <c r="W2141" i="3"/>
  <c r="W1021" i="3" s="1"/>
  <c r="W1581" i="3"/>
  <c r="W1597" i="3"/>
  <c r="W2157" i="3"/>
  <c r="W1037" i="3" s="1"/>
  <c r="W1613" i="3"/>
  <c r="W2173" i="3"/>
  <c r="W1053" i="3" s="1"/>
  <c r="W1629" i="3"/>
  <c r="W2189" i="3"/>
  <c r="W1069" i="3" s="1"/>
  <c r="W1661" i="3"/>
  <c r="W2221" i="3"/>
  <c r="W1101" i="3" s="1"/>
  <c r="W1693" i="3"/>
  <c r="W2253" i="3"/>
  <c r="W1133" i="3" s="1"/>
  <c r="W1709" i="3"/>
  <c r="W1711" i="3"/>
  <c r="W1681" i="3"/>
  <c r="W2241" i="3"/>
  <c r="W1121" i="3" s="1"/>
  <c r="W1735" i="3"/>
  <c r="S1638" i="3"/>
  <c r="S2198" i="3"/>
  <c r="S1078" i="3" s="1"/>
  <c r="S1670" i="3"/>
  <c r="S2230" i="3"/>
  <c r="S1110" i="3" s="1"/>
  <c r="S1484" i="3"/>
  <c r="S2044" i="3"/>
  <c r="S924" i="3" s="1"/>
  <c r="S1520" i="3"/>
  <c r="S2080" i="3"/>
  <c r="S960" i="3" s="1"/>
  <c r="S1584" i="3"/>
  <c r="S2144" i="3"/>
  <c r="S1024" i="3" s="1"/>
  <c r="S1492" i="3"/>
  <c r="S2052" i="3"/>
  <c r="S932" i="3" s="1"/>
  <c r="S1556" i="3"/>
  <c r="S2116" i="3"/>
  <c r="S996" i="3" s="1"/>
  <c r="S1620" i="3"/>
  <c r="S2180" i="3"/>
  <c r="S1060" i="3" s="1"/>
  <c r="S1660" i="3"/>
  <c r="S2220" i="3"/>
  <c r="S1100" i="3" s="1"/>
  <c r="S1693" i="3"/>
  <c r="S2253" i="3"/>
  <c r="S1133" i="3" s="1"/>
  <c r="S1709" i="3"/>
  <c r="S1691" i="3"/>
  <c r="S2251" i="3"/>
  <c r="S1131" i="3" s="1"/>
  <c r="S1706" i="3"/>
  <c r="S1475" i="3"/>
  <c r="S2035" i="3"/>
  <c r="S915" i="3" s="1"/>
  <c r="S1491" i="3"/>
  <c r="S2051" i="3"/>
  <c r="S931" i="3" s="1"/>
  <c r="S1539" i="3"/>
  <c r="S2099" i="3"/>
  <c r="S979" i="3" s="1"/>
  <c r="S1555" i="3"/>
  <c r="S2115" i="3"/>
  <c r="S995" i="3" s="1"/>
  <c r="S1571" i="3"/>
  <c r="S2131" i="3"/>
  <c r="S1011" i="3" s="1"/>
  <c r="S1587" i="3"/>
  <c r="S2147" i="3"/>
  <c r="S1027" i="3" s="1"/>
  <c r="S1619" i="3"/>
  <c r="S2179" i="3"/>
  <c r="S1059" i="3" s="1"/>
  <c r="S1635" i="3"/>
  <c r="S2195" i="3"/>
  <c r="S1075" i="3" s="1"/>
  <c r="S1493" i="3"/>
  <c r="S2053" i="3"/>
  <c r="S933" i="3" s="1"/>
  <c r="S1541" i="3"/>
  <c r="S2101" i="3"/>
  <c r="S981" i="3" s="1"/>
  <c r="S1573" i="3"/>
  <c r="S2133" i="3"/>
  <c r="S1013" i="3" s="1"/>
  <c r="S1589" i="3"/>
  <c r="S2149" i="3"/>
  <c r="S1029" i="3" s="1"/>
  <c r="S1605" i="3"/>
  <c r="S2165" i="3"/>
  <c r="S1045" i="3" s="1"/>
  <c r="S1466" i="3"/>
  <c r="S2026" i="3"/>
  <c r="S906" i="3" s="1"/>
  <c r="S1490" i="3"/>
  <c r="S2050" i="3"/>
  <c r="S930" i="3" s="1"/>
  <c r="S1506" i="3"/>
  <c r="S2066" i="3"/>
  <c r="S946" i="3" s="1"/>
  <c r="S1522" i="3"/>
  <c r="S2082" i="3"/>
  <c r="S962" i="3" s="1"/>
  <c r="S1538" i="3"/>
  <c r="S2098" i="3"/>
  <c r="S978" i="3" s="1"/>
  <c r="S1554" i="3"/>
  <c r="S2114" i="3"/>
  <c r="S994" i="3" s="1"/>
  <c r="S1570" i="3"/>
  <c r="S2130" i="3"/>
  <c r="S1010" i="3" s="1"/>
  <c r="S1586" i="3"/>
  <c r="S2146" i="3"/>
  <c r="S1026" i="3" s="1"/>
  <c r="S1618" i="3"/>
  <c r="S2178" i="3"/>
  <c r="S1058" i="3" s="1"/>
  <c r="S1679" i="3"/>
  <c r="S2239" i="3"/>
  <c r="S1119" i="3" s="1"/>
  <c r="S1731" i="3"/>
  <c r="S1677" i="3"/>
  <c r="S2237" i="3"/>
  <c r="S1117" i="3" s="1"/>
  <c r="S1675" i="3"/>
  <c r="S2235" i="3"/>
  <c r="S1115" i="3" s="1"/>
  <c r="S1735" i="3"/>
  <c r="S1641" i="3"/>
  <c r="S2201" i="3"/>
  <c r="S1081" i="3" s="1"/>
  <c r="S1657" i="3"/>
  <c r="S2217" i="3"/>
  <c r="S1097" i="3" s="1"/>
  <c r="AW1650" i="3"/>
  <c r="AW2210" i="3"/>
  <c r="AW1090" i="3" s="1"/>
  <c r="AW1730" i="3"/>
  <c r="AW1551" i="3"/>
  <c r="AW2111" i="3"/>
  <c r="AW991" i="3" s="1"/>
  <c r="AW1583" i="3"/>
  <c r="AW2143" i="3"/>
  <c r="AW1023" i="3" s="1"/>
  <c r="AW1615" i="3"/>
  <c r="AW2175" i="3"/>
  <c r="AW1055" i="3" s="1"/>
  <c r="AW1659" i="3"/>
  <c r="AW2219" i="3"/>
  <c r="AW1099" i="3" s="1"/>
  <c r="AW1478" i="3"/>
  <c r="AW2038" i="3"/>
  <c r="AW918" i="3" s="1"/>
  <c r="AW1494" i="3"/>
  <c r="AW2054" i="3"/>
  <c r="AW934" i="3" s="1"/>
  <c r="AW1510" i="3"/>
  <c r="AW2070" i="3"/>
  <c r="AW950" i="3" s="1"/>
  <c r="AW1542" i="3"/>
  <c r="AW2102" i="3"/>
  <c r="AW982" i="3" s="1"/>
  <c r="AW1558" i="3"/>
  <c r="AW2118" i="3"/>
  <c r="AW998" i="3" s="1"/>
  <c r="AW1574" i="3"/>
  <c r="AW2134" i="3"/>
  <c r="AW1014" i="3" s="1"/>
  <c r="AW1590" i="3"/>
  <c r="AW2150" i="3"/>
  <c r="AW1030" i="3" s="1"/>
  <c r="AW1606" i="3"/>
  <c r="AW2166" i="3"/>
  <c r="AW1046" i="3" s="1"/>
  <c r="AW1622" i="3"/>
  <c r="AW2182" i="3"/>
  <c r="AW1062" i="3" s="1"/>
  <c r="AW1698" i="3"/>
  <c r="AW2258" i="3"/>
  <c r="AW1138" i="3" s="1"/>
  <c r="AW1483" i="3"/>
  <c r="AW2043" i="3"/>
  <c r="AW923" i="3" s="1"/>
  <c r="AW1499" i="3"/>
  <c r="AW2059" i="3"/>
  <c r="AW939" i="3" s="1"/>
  <c r="AW1531" i="3"/>
  <c r="AW2091" i="3"/>
  <c r="AW971" i="3" s="1"/>
  <c r="AW1563" i="3"/>
  <c r="AW2123" i="3"/>
  <c r="AW1003" i="3" s="1"/>
  <c r="AW1595" i="3"/>
  <c r="AW2155" i="3"/>
  <c r="AW1035" i="3" s="1"/>
  <c r="AW1627" i="3"/>
  <c r="AW2187" i="3"/>
  <c r="AW1067" i="3" s="1"/>
  <c r="AW1658" i="3"/>
  <c r="AW2218" i="3"/>
  <c r="AW1098" i="3" s="1"/>
  <c r="AW1475" i="3"/>
  <c r="AW2035" i="3"/>
  <c r="AW915" i="3" s="1"/>
  <c r="AW1687" i="3"/>
  <c r="AW2247" i="3"/>
  <c r="AW1127" i="3" s="1"/>
  <c r="AW1669" i="3"/>
  <c r="AW2229" i="3"/>
  <c r="AW1109" i="3" s="1"/>
  <c r="AW1721" i="3"/>
  <c r="AW1667" i="3"/>
  <c r="AW2227" i="3"/>
  <c r="AW1107" i="3" s="1"/>
  <c r="AW1473" i="3"/>
  <c r="AW2033" i="3"/>
  <c r="AW913" i="3" s="1"/>
  <c r="AW1703" i="3"/>
  <c r="AW2263" i="3"/>
  <c r="AW1143" i="3" s="1"/>
  <c r="AW1468" i="3"/>
  <c r="AW2028" i="3"/>
  <c r="AW908" i="3" s="1"/>
  <c r="AW1484" i="3"/>
  <c r="AW2044" i="3"/>
  <c r="AW924" i="3" s="1"/>
  <c r="AW1500" i="3"/>
  <c r="AW2060" i="3"/>
  <c r="AW940" i="3" s="1"/>
  <c r="AW1532" i="3"/>
  <c r="AW2092" i="3"/>
  <c r="AW972" i="3" s="1"/>
  <c r="AW1548" i="3"/>
  <c r="AW2108" i="3"/>
  <c r="AW988" i="3" s="1"/>
  <c r="AW1564" i="3"/>
  <c r="AW2124" i="3"/>
  <c r="AW1004" i="3" s="1"/>
  <c r="AW1580" i="3"/>
  <c r="AW2140" i="3"/>
  <c r="AW1020" i="3" s="1"/>
  <c r="AW1596" i="3"/>
  <c r="AW2156" i="3"/>
  <c r="AW1036" i="3" s="1"/>
  <c r="AW1612" i="3"/>
  <c r="AW2172" i="3"/>
  <c r="AW1052" i="3" s="1"/>
  <c r="AW1628" i="3"/>
  <c r="AW2188" i="3"/>
  <c r="AW1068" i="3" s="1"/>
  <c r="AW1648" i="3"/>
  <c r="AW2208" i="3"/>
  <c r="AW1088" i="3" s="1"/>
  <c r="AW1664" i="3"/>
  <c r="AW2224" i="3"/>
  <c r="AW1104" i="3" s="1"/>
  <c r="AW1688" i="3"/>
  <c r="AW2248" i="3"/>
  <c r="AW1128" i="3" s="1"/>
  <c r="AW1708" i="3"/>
  <c r="AW1501" i="3"/>
  <c r="AW2061" i="3"/>
  <c r="AW941" i="3" s="1"/>
  <c r="AW1533" i="3"/>
  <c r="AW2093" i="3"/>
  <c r="AW1549" i="3"/>
  <c r="AW2109" i="3"/>
  <c r="AW989" i="3" s="1"/>
  <c r="AW1565" i="3"/>
  <c r="AW2125" i="3"/>
  <c r="AW1005" i="3" s="1"/>
  <c r="AW1581" i="3"/>
  <c r="AW2141" i="3"/>
  <c r="AW1021" i="3" s="1"/>
  <c r="AW1597" i="3"/>
  <c r="AW2157" i="3"/>
  <c r="AW1037" i="3" s="1"/>
  <c r="AW1613" i="3"/>
  <c r="AW2173" i="3"/>
  <c r="AW1053" i="3" s="1"/>
  <c r="AW1629" i="3"/>
  <c r="AW2189" i="3"/>
  <c r="AW1069" i="3" s="1"/>
  <c r="AW1657" i="3"/>
  <c r="AW2217" i="3"/>
  <c r="AW1097" i="3" s="1"/>
  <c r="AW1693" i="3"/>
  <c r="AW2253" i="3"/>
  <c r="AW1133" i="3" s="1"/>
  <c r="AW1709" i="3"/>
  <c r="AW1737" i="3"/>
  <c r="AW1711" i="3"/>
  <c r="AW1469" i="3"/>
  <c r="AW2029" i="3"/>
  <c r="AW909" i="3" s="1"/>
  <c r="AW1649" i="3"/>
  <c r="AW2209" i="3"/>
  <c r="AW1089" i="3" s="1"/>
  <c r="AS1466" i="3"/>
  <c r="AS2026" i="3"/>
  <c r="AS906" i="3" s="1"/>
  <c r="AS1547" i="3"/>
  <c r="AS2107" i="3"/>
  <c r="AS987" i="3" s="1"/>
  <c r="AS1579" i="3"/>
  <c r="AS2139" i="3"/>
  <c r="AS1019" i="3" s="1"/>
  <c r="AS1611" i="3"/>
  <c r="AS2171" i="3"/>
  <c r="AS1051" i="3" s="1"/>
  <c r="AS1502" i="3"/>
  <c r="AS2062" i="3"/>
  <c r="AS942" i="3" s="1"/>
  <c r="AS1534" i="3"/>
  <c r="AS2094" i="3"/>
  <c r="AS1550" i="3"/>
  <c r="AS2110" i="3"/>
  <c r="AS990" i="3" s="1"/>
  <c r="AS1566" i="3"/>
  <c r="AS2126" i="3"/>
  <c r="AS1006" i="3" s="1"/>
  <c r="AS1582" i="3"/>
  <c r="AS2142" i="3"/>
  <c r="AS1022" i="3" s="1"/>
  <c r="AS1598" i="3"/>
  <c r="AS2158" i="3"/>
  <c r="AS1038" i="3" s="1"/>
  <c r="AS1614" i="3"/>
  <c r="AS2174" i="3"/>
  <c r="AS1054" i="3" s="1"/>
  <c r="AS1630" i="3"/>
  <c r="AS2190" i="3"/>
  <c r="AS1070" i="3" s="1"/>
  <c r="AS1686" i="3"/>
  <c r="AS2246" i="3"/>
  <c r="AS1126" i="3" s="1"/>
  <c r="AS1710" i="3"/>
  <c r="AS1726" i="3"/>
  <c r="AS1471" i="3"/>
  <c r="AS2031" i="3"/>
  <c r="AS911" i="3" s="1"/>
  <c r="AS1503" i="3"/>
  <c r="AS2063" i="3"/>
  <c r="AS943" i="3" s="1"/>
  <c r="AS1519" i="3"/>
  <c r="AS2079" i="3"/>
  <c r="AS959" i="3" s="1"/>
  <c r="AS1535" i="3"/>
  <c r="AS2095" i="3"/>
  <c r="AS1567" i="3"/>
  <c r="AS2127" i="3"/>
  <c r="AS1007" i="3" s="1"/>
  <c r="AS1599" i="3"/>
  <c r="AS2159" i="3"/>
  <c r="AS1039" i="3" s="1"/>
  <c r="AS1631" i="3"/>
  <c r="AS2191" i="3"/>
  <c r="AS1071" i="3" s="1"/>
  <c r="AS1658" i="3"/>
  <c r="AS2218" i="3"/>
  <c r="AS1098" i="3" s="1"/>
  <c r="AS1682" i="3"/>
  <c r="AS2242" i="3"/>
  <c r="AS1122" i="3" s="1"/>
  <c r="AS1655" i="3"/>
  <c r="AS2215" i="3"/>
  <c r="AS1095" i="3" s="1"/>
  <c r="AS1648" i="3"/>
  <c r="AS2208" i="3"/>
  <c r="AS1088" i="3" s="1"/>
  <c r="AS1680" i="3"/>
  <c r="AS2240" i="3"/>
  <c r="AS1120" i="3" s="1"/>
  <c r="AS1708" i="3"/>
  <c r="AS1681" i="3"/>
  <c r="AS2241" i="3"/>
  <c r="AS1121" i="3" s="1"/>
  <c r="AS1675" i="3"/>
  <c r="AS2235" i="3"/>
  <c r="AS1115" i="3" s="1"/>
  <c r="AS1735" i="3"/>
  <c r="AS1679" i="3"/>
  <c r="AS2239" i="3"/>
  <c r="AS1119" i="3" s="1"/>
  <c r="AS1476" i="3"/>
  <c r="AS2036" i="3"/>
  <c r="AS916" i="3" s="1"/>
  <c r="AS1688" i="3"/>
  <c r="AS2248" i="3"/>
  <c r="AS1128" i="3" s="1"/>
  <c r="AS1732" i="3"/>
  <c r="AS1477" i="3"/>
  <c r="AS2037" i="3"/>
  <c r="AS917" i="3" s="1"/>
  <c r="AS1493" i="3"/>
  <c r="AS2053" i="3"/>
  <c r="AS933" i="3" s="1"/>
  <c r="AS1509" i="3"/>
  <c r="AS2069" i="3"/>
  <c r="AS949" i="3" s="1"/>
  <c r="AS1541" i="3"/>
  <c r="AS2101" i="3"/>
  <c r="AS981" i="3" s="1"/>
  <c r="AS1557" i="3"/>
  <c r="AS2117" i="3"/>
  <c r="AS997" i="3" s="1"/>
  <c r="AS2133" i="3"/>
  <c r="AS1013" i="3" s="1"/>
  <c r="AS1573" i="3"/>
  <c r="AS1589" i="3"/>
  <c r="AS2149" i="3"/>
  <c r="AS1029" i="3" s="1"/>
  <c r="AS1605" i="3"/>
  <c r="AS2165" i="3"/>
  <c r="AS1045" i="3" s="1"/>
  <c r="AS1621" i="3"/>
  <c r="AS2181" i="3"/>
  <c r="AS1061" i="3" s="1"/>
  <c r="AS2201" i="3"/>
  <c r="AS1081" i="3" s="1"/>
  <c r="AS1641" i="3"/>
  <c r="AS1665" i="3"/>
  <c r="AS2225" i="3"/>
  <c r="AS1105" i="3" s="1"/>
  <c r="AS1703" i="3"/>
  <c r="AS2263" i="3"/>
  <c r="AS1143" i="3" s="1"/>
  <c r="AS1492" i="3"/>
  <c r="AS2052" i="3"/>
  <c r="AS932" i="3" s="1"/>
  <c r="AS1508" i="3"/>
  <c r="AS2068" i="3"/>
  <c r="AS948" i="3" s="1"/>
  <c r="AS1540" i="3"/>
  <c r="AS2100" i="3"/>
  <c r="AS980" i="3" s="1"/>
  <c r="AS1556" i="3"/>
  <c r="AS2116" i="3"/>
  <c r="AS996" i="3" s="1"/>
  <c r="AS1572" i="3"/>
  <c r="AS2132" i="3"/>
  <c r="AS1012" i="3" s="1"/>
  <c r="AS1588" i="3"/>
  <c r="AS2148" i="3"/>
  <c r="AS1028" i="3" s="1"/>
  <c r="AS1604" i="3"/>
  <c r="AS2164" i="3"/>
  <c r="AS1044" i="3" s="1"/>
  <c r="AS1620" i="3"/>
  <c r="AS2180" i="3"/>
  <c r="AS1060" i="3" s="1"/>
  <c r="AS1640" i="3"/>
  <c r="AS2200" i="3"/>
  <c r="AS1080" i="3" s="1"/>
  <c r="AS1697" i="3"/>
  <c r="AS2257" i="3"/>
  <c r="AS1137" i="3" s="1"/>
  <c r="AS1711" i="3"/>
  <c r="AO1552" i="3"/>
  <c r="AO2112" i="3"/>
  <c r="AO992" i="3" s="1"/>
  <c r="AO1536" i="3"/>
  <c r="AO2096" i="3"/>
  <c r="AO1638" i="3"/>
  <c r="AO2198" i="3"/>
  <c r="AO1078" i="3" s="1"/>
  <c r="AO1471" i="3"/>
  <c r="AO2031" i="3"/>
  <c r="AO911" i="3" s="1"/>
  <c r="AO1492" i="3"/>
  <c r="AO2052" i="3"/>
  <c r="AO932" i="3" s="1"/>
  <c r="AO1556" i="3"/>
  <c r="AO2116" i="3"/>
  <c r="AO996" i="3" s="1"/>
  <c r="AO1620" i="3"/>
  <c r="AO2180" i="3"/>
  <c r="AO1060" i="3" s="1"/>
  <c r="AO1480" i="3"/>
  <c r="AO2040" i="3"/>
  <c r="AO920" i="3" s="1"/>
  <c r="AO1544" i="3"/>
  <c r="AO2104" i="3"/>
  <c r="AO984" i="3" s="1"/>
  <c r="AO1608" i="3"/>
  <c r="AO2168" i="3"/>
  <c r="AO1048" i="3" s="1"/>
  <c r="AO1468" i="3"/>
  <c r="AO2028" i="3"/>
  <c r="AO908" i="3" s="1"/>
  <c r="AO1532" i="3"/>
  <c r="AO2092" i="3"/>
  <c r="AO972" i="3" s="1"/>
  <c r="AO1596" i="3"/>
  <c r="AO2156" i="3"/>
  <c r="AO1036" i="3" s="1"/>
  <c r="AO1692" i="3"/>
  <c r="AO2252" i="3"/>
  <c r="AO1132" i="3" s="1"/>
  <c r="AO1712" i="3"/>
  <c r="AO1497" i="3"/>
  <c r="AO2057" i="3"/>
  <c r="AO1513" i="3"/>
  <c r="AO2073" i="3"/>
  <c r="AO953" i="3" s="1"/>
  <c r="AO1529" i="3"/>
  <c r="AO2089" i="3"/>
  <c r="AO969" i="3" s="1"/>
  <c r="AO1545" i="3"/>
  <c r="AO2105" i="3"/>
  <c r="AO985" i="3" s="1"/>
  <c r="AO1561" i="3"/>
  <c r="AO2121" i="3"/>
  <c r="AO1001" i="3" s="1"/>
  <c r="AO1577" i="3"/>
  <c r="AO2137" i="3"/>
  <c r="AO1017" i="3" s="1"/>
  <c r="AO1593" i="3"/>
  <c r="AO2153" i="3"/>
  <c r="AO1033" i="3" s="1"/>
  <c r="AO1609" i="3"/>
  <c r="AO2169" i="3"/>
  <c r="AO1049" i="3" s="1"/>
  <c r="AO1625" i="3"/>
  <c r="AO2185" i="3"/>
  <c r="AO1065" i="3" s="1"/>
  <c r="AO1657" i="3"/>
  <c r="AO2217" i="3"/>
  <c r="AO1097" i="3" s="1"/>
  <c r="AO1693" i="3"/>
  <c r="AO2253" i="3"/>
  <c r="AO1133" i="3" s="1"/>
  <c r="AO1709" i="3"/>
  <c r="AO1737" i="3"/>
  <c r="AO1711" i="3"/>
  <c r="AO1690" i="3"/>
  <c r="AO2250" i="3"/>
  <c r="AO1130" i="3" s="1"/>
  <c r="AO1641" i="3"/>
  <c r="AO2201" i="3"/>
  <c r="AO1081" i="3" s="1"/>
  <c r="AO1636" i="3"/>
  <c r="AO2196" i="3"/>
  <c r="AO1076" i="3" s="1"/>
  <c r="AO1656" i="3"/>
  <c r="AO2216" i="3"/>
  <c r="AO1096" i="3" s="1"/>
  <c r="AO1676" i="3"/>
  <c r="AO2236" i="3"/>
  <c r="AO1116" i="3" s="1"/>
  <c r="AO1720" i="3"/>
  <c r="AO1736" i="3"/>
  <c r="AO1474" i="3"/>
  <c r="AO2034" i="3"/>
  <c r="AO914" i="3" s="1"/>
  <c r="AO1490" i="3"/>
  <c r="AO2050" i="3"/>
  <c r="AO930" i="3" s="1"/>
  <c r="AO1506" i="3"/>
  <c r="AO2066" i="3"/>
  <c r="AO946" i="3" s="1"/>
  <c r="AO1522" i="3"/>
  <c r="AO2082" i="3"/>
  <c r="AO962" i="3" s="1"/>
  <c r="AO1538" i="3"/>
  <c r="AO2098" i="3"/>
  <c r="AO978" i="3" s="1"/>
  <c r="AO1554" i="3"/>
  <c r="AO2114" i="3"/>
  <c r="AO994" i="3" s="1"/>
  <c r="AO1570" i="3"/>
  <c r="AO2130" i="3"/>
  <c r="AO1010" i="3" s="1"/>
  <c r="AO1586" i="3"/>
  <c r="AO2146" i="3"/>
  <c r="AO1026" i="3" s="1"/>
  <c r="AO1602" i="3"/>
  <c r="AO2162" i="3"/>
  <c r="AO1042" i="3" s="1"/>
  <c r="AO1618" i="3"/>
  <c r="AO2178" i="3"/>
  <c r="AO1058" i="3" s="1"/>
  <c r="AO1634" i="3"/>
  <c r="AO2194" i="3"/>
  <c r="AO1074" i="3" s="1"/>
  <c r="AO1662" i="3"/>
  <c r="AO2222" i="3"/>
  <c r="AO1102" i="3" s="1"/>
  <c r="AO1678" i="3"/>
  <c r="AO2238" i="3"/>
  <c r="AO1118" i="3" s="1"/>
  <c r="AO1702" i="3"/>
  <c r="AO2262" i="3"/>
  <c r="AO1142" i="3" s="1"/>
  <c r="AO1718" i="3"/>
  <c r="AO1734" i="3"/>
  <c r="AO1495" i="3"/>
  <c r="AO2055" i="3"/>
  <c r="AO1511" i="3"/>
  <c r="AO2071" i="3"/>
  <c r="AO951" i="3" s="1"/>
  <c r="AO1527" i="3"/>
  <c r="AO2087" i="3"/>
  <c r="AO967" i="3" s="1"/>
  <c r="AO1543" i="3"/>
  <c r="AO2103" i="3"/>
  <c r="AO983" i="3" s="1"/>
  <c r="AO1559" i="3"/>
  <c r="AO2119" i="3"/>
  <c r="AO999" i="3" s="1"/>
  <c r="AO1575" i="3"/>
  <c r="AO2135" i="3"/>
  <c r="AO1015" i="3" s="1"/>
  <c r="AO1591" i="3"/>
  <c r="AO2151" i="3"/>
  <c r="AO1031" i="3" s="1"/>
  <c r="AO1607" i="3"/>
  <c r="AO2167" i="3"/>
  <c r="AO1047" i="3" s="1"/>
  <c r="AO1623" i="3"/>
  <c r="AO2183" i="3"/>
  <c r="AO1063" i="3" s="1"/>
  <c r="AO1469" i="3"/>
  <c r="AO2029" i="3"/>
  <c r="AO909" i="3" s="1"/>
  <c r="AO1687" i="3"/>
  <c r="AO2247" i="3"/>
  <c r="AO1127" i="3" s="1"/>
  <c r="AO1704" i="3"/>
  <c r="AO2264" i="3"/>
  <c r="AO1144" i="3" s="1"/>
  <c r="AO1669" i="3"/>
  <c r="AO2229" i="3"/>
  <c r="AO1109" i="3" s="1"/>
  <c r="AO1721" i="3"/>
  <c r="AK1663" i="3"/>
  <c r="AK2223" i="3"/>
  <c r="AK1103" i="3" s="1"/>
  <c r="AK1658" i="3"/>
  <c r="AK2218" i="3"/>
  <c r="AK1098" i="3" s="1"/>
  <c r="AK1682" i="3"/>
  <c r="AK2242" i="3"/>
  <c r="AK1122" i="3" s="1"/>
  <c r="AK1660" i="3"/>
  <c r="AK2220" i="3"/>
  <c r="AK1100" i="3" s="1"/>
  <c r="AK1692" i="3"/>
  <c r="AK2252" i="3"/>
  <c r="AK1132" i="3" s="1"/>
  <c r="AK1720" i="3"/>
  <c r="AK1736" i="3"/>
  <c r="AK1481" i="3"/>
  <c r="AK2041" i="3"/>
  <c r="AK921" i="3" s="1"/>
  <c r="AK1497" i="3"/>
  <c r="AK2057" i="3"/>
  <c r="AK1513" i="3"/>
  <c r="AK2073" i="3"/>
  <c r="AK953" i="3" s="1"/>
  <c r="AK1529" i="3"/>
  <c r="AK2089" i="3"/>
  <c r="AK969" i="3" s="1"/>
  <c r="AK1545" i="3"/>
  <c r="AK2105" i="3"/>
  <c r="AK985" i="3" s="1"/>
  <c r="AK1561" i="3"/>
  <c r="AK2121" i="3"/>
  <c r="AK1001" i="3" s="1"/>
  <c r="AK1577" i="3"/>
  <c r="AK2137" i="3"/>
  <c r="AK1017" i="3" s="1"/>
  <c r="AK1593" i="3"/>
  <c r="AK2153" i="3"/>
  <c r="AK1033" i="3" s="1"/>
  <c r="AK1609" i="3"/>
  <c r="AK2169" i="3"/>
  <c r="AK1049" i="3" s="1"/>
  <c r="AK1625" i="3"/>
  <c r="AK2185" i="3"/>
  <c r="AK1065" i="3" s="1"/>
  <c r="AK1502" i="3"/>
  <c r="AK2062" i="3"/>
  <c r="AK942" i="3" s="1"/>
  <c r="AK1534" i="3"/>
  <c r="AK2094" i="3"/>
  <c r="AK1550" i="3"/>
  <c r="AK2110" i="3"/>
  <c r="AK990" i="3" s="1"/>
  <c r="AK1566" i="3"/>
  <c r="AK2126" i="3"/>
  <c r="AK1006" i="3" s="1"/>
  <c r="AK1582" i="3"/>
  <c r="AK2142" i="3"/>
  <c r="AK1022" i="3" s="1"/>
  <c r="AK1598" i="3"/>
  <c r="AK2158" i="3"/>
  <c r="AK1038" i="3" s="1"/>
  <c r="AK1614" i="3"/>
  <c r="AK2174" i="3"/>
  <c r="AK1054" i="3" s="1"/>
  <c r="AK1630" i="3"/>
  <c r="AK2190" i="3"/>
  <c r="AK1070" i="3" s="1"/>
  <c r="AK1635" i="3"/>
  <c r="AK2195" i="3"/>
  <c r="AK1075" i="3" s="1"/>
  <c r="AK1679" i="3"/>
  <c r="AK2239" i="3"/>
  <c r="AK1119" i="3" s="1"/>
  <c r="AK1476" i="3"/>
  <c r="AK2036" i="3"/>
  <c r="AK916" i="3" s="1"/>
  <c r="AK1661" i="3"/>
  <c r="AK2221" i="3"/>
  <c r="AK1101" i="3" s="1"/>
  <c r="AK1466" i="3"/>
  <c r="AK2026" i="3"/>
  <c r="AK906" i="3" s="1"/>
  <c r="AK1678" i="3"/>
  <c r="AK2238" i="3"/>
  <c r="AK1118" i="3" s="1"/>
  <c r="AK1706" i="3"/>
  <c r="AK1722" i="3"/>
  <c r="AK1467" i="3"/>
  <c r="AK2027" i="3"/>
  <c r="AK907" i="3" s="1"/>
  <c r="AK1483" i="3"/>
  <c r="AK2043" i="3"/>
  <c r="AK923" i="3" s="1"/>
  <c r="AK1499" i="3"/>
  <c r="AK2059" i="3"/>
  <c r="AK939" i="3" s="1"/>
  <c r="AK1531" i="3"/>
  <c r="AK2091" i="3"/>
  <c r="AK971" i="3" s="1"/>
  <c r="AK1547" i="3"/>
  <c r="AK2107" i="3"/>
  <c r="AK987" i="3" s="1"/>
  <c r="AK1563" i="3"/>
  <c r="AK2123" i="3"/>
  <c r="AK1003" i="3" s="1"/>
  <c r="AK1579" i="3"/>
  <c r="AK2139" i="3"/>
  <c r="AK1019" i="3" s="1"/>
  <c r="AK1595" i="3"/>
  <c r="AK2155" i="3"/>
  <c r="AK1035" i="3" s="1"/>
  <c r="AK1611" i="3"/>
  <c r="AK2171" i="3"/>
  <c r="AK1051" i="3" s="1"/>
  <c r="AK1627" i="3"/>
  <c r="AK2187" i="3"/>
  <c r="AK1067" i="3" s="1"/>
  <c r="AK1695" i="3"/>
  <c r="AK2255" i="3"/>
  <c r="AK1135" i="3" s="1"/>
  <c r="AK1504" i="3"/>
  <c r="AK2064" i="3"/>
  <c r="AK944" i="3" s="1"/>
  <c r="AK1520" i="3"/>
  <c r="AK2080" i="3"/>
  <c r="AK960" i="3" s="1"/>
  <c r="AK1536" i="3"/>
  <c r="AK2096" i="3"/>
  <c r="AK1552" i="3"/>
  <c r="AK2112" i="3"/>
  <c r="AK992" i="3" s="1"/>
  <c r="AK1568" i="3"/>
  <c r="AK2128" i="3"/>
  <c r="AK1008" i="3" s="1"/>
  <c r="AK1584" i="3"/>
  <c r="AK2144" i="3"/>
  <c r="AK1024" i="3" s="1"/>
  <c r="AK1600" i="3"/>
  <c r="AK2160" i="3"/>
  <c r="AK1040" i="3" s="1"/>
  <c r="AK1616" i="3"/>
  <c r="AK2176" i="3"/>
  <c r="AK1056" i="3" s="1"/>
  <c r="AK1632" i="3"/>
  <c r="AK2192" i="3"/>
  <c r="AK1072" i="3" s="1"/>
  <c r="AK1705" i="3"/>
  <c r="AK1699" i="3"/>
  <c r="AK2259" i="3"/>
  <c r="AK1139" i="3" s="1"/>
  <c r="AK1656" i="3"/>
  <c r="AK2216" i="3"/>
  <c r="AK1096" i="3" s="1"/>
  <c r="AK1684" i="3"/>
  <c r="AK2244" i="3"/>
  <c r="AK1124" i="3" s="1"/>
  <c r="AK2197" i="3"/>
  <c r="AK1077" i="3" s="1"/>
  <c r="AK1637" i="3"/>
  <c r="AK1681" i="3"/>
  <c r="AK2241" i="3"/>
  <c r="AK1121" i="3" s="1"/>
  <c r="AK1675" i="3"/>
  <c r="AK2235" i="3"/>
  <c r="AK1115" i="3" s="1"/>
  <c r="AK1735" i="3"/>
  <c r="AG1730" i="3"/>
  <c r="AG1682" i="3"/>
  <c r="AG2242" i="3"/>
  <c r="AG1122" i="3" s="1"/>
  <c r="AG1718" i="3"/>
  <c r="AG1722" i="3"/>
  <c r="AG1466" i="3"/>
  <c r="AG2026" i="3"/>
  <c r="AG906" i="3" s="1"/>
  <c r="AG1482" i="3"/>
  <c r="AG2042" i="3"/>
  <c r="AG922" i="3" s="1"/>
  <c r="AG1498" i="3"/>
  <c r="AG2058" i="3"/>
  <c r="AG1514" i="3"/>
  <c r="AG2074" i="3"/>
  <c r="AG954" i="3" s="1"/>
  <c r="AG1530" i="3"/>
  <c r="AG2090" i="3"/>
  <c r="AG970" i="3" s="1"/>
  <c r="AG1546" i="3"/>
  <c r="AG2106" i="3"/>
  <c r="AG986" i="3" s="1"/>
  <c r="AG1562" i="3"/>
  <c r="AG2122" i="3"/>
  <c r="AG1002" i="3" s="1"/>
  <c r="AG1578" i="3"/>
  <c r="AG2138" i="3"/>
  <c r="AG1018" i="3" s="1"/>
  <c r="AG1594" i="3"/>
  <c r="AG2154" i="3"/>
  <c r="AG1034" i="3" s="1"/>
  <c r="AG1610" i="3"/>
  <c r="AG2170" i="3"/>
  <c r="AG1050" i="3" s="1"/>
  <c r="AG1626" i="3"/>
  <c r="AG2186" i="3"/>
  <c r="AG1066" i="3" s="1"/>
  <c r="AG1702" i="3"/>
  <c r="AG2262" i="3"/>
  <c r="AG1142" i="3" s="1"/>
  <c r="AG1503" i="3"/>
  <c r="AG2063" i="3"/>
  <c r="AG943" i="3" s="1"/>
  <c r="AG1519" i="3"/>
  <c r="AG2079" i="3"/>
  <c r="AG959" i="3" s="1"/>
  <c r="AG1639" i="3"/>
  <c r="AG2199" i="3"/>
  <c r="AG1079" i="3" s="1"/>
  <c r="AG1704" i="3"/>
  <c r="AG2264" i="3"/>
  <c r="AG1144" i="3" s="1"/>
  <c r="AG1675" i="3"/>
  <c r="AG2235" i="3"/>
  <c r="AG1115" i="3" s="1"/>
  <c r="AG1535" i="3"/>
  <c r="AG2095" i="3"/>
  <c r="AG1551" i="3"/>
  <c r="AG2111" i="3"/>
  <c r="AG991" i="3" s="1"/>
  <c r="AG1567" i="3"/>
  <c r="AG2127" i="3"/>
  <c r="AG1007" i="3" s="1"/>
  <c r="AG1583" i="3"/>
  <c r="AG2143" i="3"/>
  <c r="AG1023" i="3" s="1"/>
  <c r="AG1599" i="3"/>
  <c r="AG2159" i="3"/>
  <c r="AG1039" i="3" s="1"/>
  <c r="AG1615" i="3"/>
  <c r="AG2175" i="3"/>
  <c r="AG1055" i="3" s="1"/>
  <c r="AG1631" i="3"/>
  <c r="AG2191" i="3"/>
  <c r="AG1071" i="3" s="1"/>
  <c r="AG1640" i="3"/>
  <c r="AG2200" i="3"/>
  <c r="AG1080" i="3" s="1"/>
  <c r="AG1638" i="3"/>
  <c r="AG2198" i="3"/>
  <c r="AG1078" i="3" s="1"/>
  <c r="AG1467" i="3"/>
  <c r="AG2027" i="3"/>
  <c r="AG907" i="3" s="1"/>
  <c r="AG1481" i="3"/>
  <c r="AG2041" i="3"/>
  <c r="AG921" i="3" s="1"/>
  <c r="AG1469" i="3"/>
  <c r="AG2029" i="3"/>
  <c r="AG909" i="3" s="1"/>
  <c r="AG1649" i="3"/>
  <c r="AG2209" i="3"/>
  <c r="AG1089" i="3" s="1"/>
  <c r="AG1723" i="3"/>
  <c r="AG1476" i="3"/>
  <c r="AG2036" i="3"/>
  <c r="AG916" i="3" s="1"/>
  <c r="AG1492" i="3"/>
  <c r="AG2052" i="3"/>
  <c r="AG932" i="3" s="1"/>
  <c r="AG1508" i="3"/>
  <c r="AG2068" i="3"/>
  <c r="AG948" i="3" s="1"/>
  <c r="AG1540" i="3"/>
  <c r="AG2100" i="3"/>
  <c r="AG980" i="3" s="1"/>
  <c r="AG1556" i="3"/>
  <c r="AG2116" i="3"/>
  <c r="AG996" i="3" s="1"/>
  <c r="AG1572" i="3"/>
  <c r="AG2132" i="3"/>
  <c r="AG1012" i="3" s="1"/>
  <c r="AG1588" i="3"/>
  <c r="AG2148" i="3"/>
  <c r="AG1028" i="3" s="1"/>
  <c r="AG1604" i="3"/>
  <c r="AG2164" i="3"/>
  <c r="AG1044" i="3" s="1"/>
  <c r="AG1620" i="3"/>
  <c r="AG2180" i="3"/>
  <c r="AG1060" i="3" s="1"/>
  <c r="AG1660" i="3"/>
  <c r="AG2220" i="3"/>
  <c r="AG1100" i="3" s="1"/>
  <c r="AG1684" i="3"/>
  <c r="AG2244" i="3"/>
  <c r="AG1124" i="3" s="1"/>
  <c r="AG1700" i="3"/>
  <c r="AG2260" i="3"/>
  <c r="AG1140" i="3" s="1"/>
  <c r="AG1720" i="3"/>
  <c r="AG1736" i="3"/>
  <c r="AG1497" i="3"/>
  <c r="AG2057" i="3"/>
  <c r="AG1513" i="3"/>
  <c r="AG2073" i="3"/>
  <c r="AG953" i="3" s="1"/>
  <c r="AG1529" i="3"/>
  <c r="AG2089" i="3"/>
  <c r="AG969" i="3" s="1"/>
  <c r="AG1545" i="3"/>
  <c r="AG2105" i="3"/>
  <c r="AG985" i="3" s="1"/>
  <c r="AG1561" i="3"/>
  <c r="AG2121" i="3"/>
  <c r="AG1001" i="3" s="1"/>
  <c r="AG1577" i="3"/>
  <c r="AG2137" i="3"/>
  <c r="AG1017" i="3" s="1"/>
  <c r="AG1593" i="3"/>
  <c r="AG2153" i="3"/>
  <c r="AG1033" i="3" s="1"/>
  <c r="AG1609" i="3"/>
  <c r="AG2169" i="3"/>
  <c r="AG1049" i="3" s="1"/>
  <c r="AG1625" i="3"/>
  <c r="AG2185" i="3"/>
  <c r="AG1065" i="3" s="1"/>
  <c r="AG1685" i="3"/>
  <c r="AG2245" i="3"/>
  <c r="AG1125" i="3" s="1"/>
  <c r="AG1705" i="3"/>
  <c r="AG1733" i="3"/>
  <c r="AG1707" i="3"/>
  <c r="AG1735" i="3"/>
  <c r="AC1647" i="3"/>
  <c r="AC2207" i="3"/>
  <c r="AC1087" i="3" s="1"/>
  <c r="AC1494" i="3"/>
  <c r="AC2054" i="3"/>
  <c r="AC934" i="3" s="1"/>
  <c r="AC1542" i="3"/>
  <c r="AC2102" i="3"/>
  <c r="AC982" i="3" s="1"/>
  <c r="AC1574" i="3"/>
  <c r="AC2134" i="3"/>
  <c r="AC1014" i="3" s="1"/>
  <c r="AC1590" i="3"/>
  <c r="AC2150" i="3"/>
  <c r="AC1030" i="3" s="1"/>
  <c r="AC1606" i="3"/>
  <c r="AC2166" i="3"/>
  <c r="AC1046" i="3" s="1"/>
  <c r="AC1718" i="3"/>
  <c r="AC1734" i="3"/>
  <c r="AC1511" i="3"/>
  <c r="AC2071" i="3"/>
  <c r="AC951" i="3" s="1"/>
  <c r="AC1527" i="3"/>
  <c r="AC2087" i="3"/>
  <c r="AC967" i="3" s="1"/>
  <c r="AC1642" i="3"/>
  <c r="AC2202" i="3"/>
  <c r="AC1082" i="3" s="1"/>
  <c r="AC1676" i="3"/>
  <c r="AC2236" i="3"/>
  <c r="AC1116" i="3" s="1"/>
  <c r="AC1704" i="3"/>
  <c r="AC2264" i="3"/>
  <c r="AC1144" i="3" s="1"/>
  <c r="AC1667" i="3"/>
  <c r="AC2227" i="3"/>
  <c r="AC1107" i="3" s="1"/>
  <c r="AC1731" i="3"/>
  <c r="AC1677" i="3"/>
  <c r="AC2237" i="3"/>
  <c r="AC1117" i="3" s="1"/>
  <c r="AC1717" i="3"/>
  <c r="AC1737" i="3"/>
  <c r="AC1727" i="3"/>
  <c r="AC1543" i="3"/>
  <c r="AC2103" i="3"/>
  <c r="AC983" i="3" s="1"/>
  <c r="AC1607" i="3"/>
  <c r="AC2167" i="3"/>
  <c r="AC1047" i="3" s="1"/>
  <c r="AC1670" i="3"/>
  <c r="AC2230" i="3"/>
  <c r="AC1110" i="3" s="1"/>
  <c r="AC1639" i="3"/>
  <c r="AC2199" i="3"/>
  <c r="AC1079" i="3" s="1"/>
  <c r="AC1504" i="3"/>
  <c r="AC2064" i="3"/>
  <c r="AC944" i="3" s="1"/>
  <c r="AC1520" i="3"/>
  <c r="AC2080" i="3"/>
  <c r="AC960" i="3" s="1"/>
  <c r="AC1552" i="3"/>
  <c r="AC2112" i="3"/>
  <c r="AC992" i="3" s="1"/>
  <c r="AC1568" i="3"/>
  <c r="AC2128" i="3"/>
  <c r="AC1008" i="3" s="1"/>
  <c r="AC1584" i="3"/>
  <c r="AC2144" i="3"/>
  <c r="AC1024" i="3" s="1"/>
  <c r="AC1600" i="3"/>
  <c r="AC2160" i="3"/>
  <c r="AC1040" i="3" s="1"/>
  <c r="AC1616" i="3"/>
  <c r="AC2176" i="3"/>
  <c r="AC1056" i="3" s="1"/>
  <c r="AC1693" i="3"/>
  <c r="AC2253" i="3"/>
  <c r="AC1133" i="3" s="1"/>
  <c r="AC1709" i="3"/>
  <c r="AC1707" i="3"/>
  <c r="AC1700" i="3"/>
  <c r="AC2260" i="3"/>
  <c r="AC1140" i="3" s="1"/>
  <c r="AC1469" i="3"/>
  <c r="AC2029" i="3"/>
  <c r="AC909" i="3" s="1"/>
  <c r="AC1501" i="3"/>
  <c r="AC2061" i="3"/>
  <c r="AC941" i="3" s="1"/>
  <c r="AC1549" i="3"/>
  <c r="AC2109" i="3"/>
  <c r="AC989" i="3" s="1"/>
  <c r="AC1565" i="3"/>
  <c r="AC2125" i="3"/>
  <c r="AC1005" i="3" s="1"/>
  <c r="AC1581" i="3"/>
  <c r="AC2141" i="3"/>
  <c r="AC1021" i="3" s="1"/>
  <c r="AC1597" i="3"/>
  <c r="AC2157" i="3"/>
  <c r="AC1037" i="3" s="1"/>
  <c r="AC1613" i="3"/>
  <c r="AC2173" i="3"/>
  <c r="AC1053" i="3" s="1"/>
  <c r="AC1629" i="3"/>
  <c r="AC2189" i="3"/>
  <c r="AC1069" i="3" s="1"/>
  <c r="AC1649" i="3"/>
  <c r="AC2209" i="3"/>
  <c r="AC1089" i="3" s="1"/>
  <c r="AC1721" i="3"/>
  <c r="Y1467" i="3"/>
  <c r="Y2027" i="3"/>
  <c r="Y907" i="3" s="1"/>
  <c r="Y1694" i="3"/>
  <c r="Y2254" i="3"/>
  <c r="Y1134" i="3" s="1"/>
  <c r="Y1649" i="3"/>
  <c r="Y2209" i="3"/>
  <c r="Y1089" i="3" s="1"/>
  <c r="Y1494" i="3"/>
  <c r="Y2054" i="3"/>
  <c r="Y934" i="3" s="1"/>
  <c r="Y1542" i="3"/>
  <c r="Y2102" i="3"/>
  <c r="Y982" i="3" s="1"/>
  <c r="Y1574" i="3"/>
  <c r="Y2134" i="3"/>
  <c r="Y1014" i="3" s="1"/>
  <c r="Y1590" i="3"/>
  <c r="Y2150" i="3"/>
  <c r="Y1030" i="3" s="1"/>
  <c r="Y1606" i="3"/>
  <c r="Y2166" i="3"/>
  <c r="Y1046" i="3" s="1"/>
  <c r="Y1642" i="3"/>
  <c r="Y2202" i="3"/>
  <c r="Y1082" i="3" s="1"/>
  <c r="Y1682" i="3"/>
  <c r="Y2242" i="3"/>
  <c r="Y1122" i="3" s="1"/>
  <c r="Y1706" i="3"/>
  <c r="Y1722" i="3"/>
  <c r="Y1483" i="3"/>
  <c r="Y2043" i="3"/>
  <c r="Y923" i="3" s="1"/>
  <c r="Y1499" i="3"/>
  <c r="Y2059" i="3"/>
  <c r="Y939" i="3" s="1"/>
  <c r="Y1531" i="3"/>
  <c r="Y2091" i="3"/>
  <c r="Y971" i="3" s="1"/>
  <c r="Y1563" i="3"/>
  <c r="Y2123" i="3"/>
  <c r="Y1003" i="3" s="1"/>
  <c r="Y1579" i="3"/>
  <c r="Y2139" i="3"/>
  <c r="Y1019" i="3" s="1"/>
  <c r="Y1595" i="3"/>
  <c r="Y2155" i="3"/>
  <c r="Y1035" i="3" s="1"/>
  <c r="Y1627" i="3"/>
  <c r="Y2187" i="3"/>
  <c r="Y1067" i="3" s="1"/>
  <c r="Y1667" i="3"/>
  <c r="Y2227" i="3"/>
  <c r="Y1107" i="3" s="1"/>
  <c r="Y1656" i="3"/>
  <c r="Y2216" i="3"/>
  <c r="Y1096" i="3" s="1"/>
  <c r="Y1676" i="3"/>
  <c r="Y2236" i="3"/>
  <c r="Y1116" i="3" s="1"/>
  <c r="Y1720" i="3"/>
  <c r="Y1736" i="3"/>
  <c r="Y1731" i="3"/>
  <c r="Y1512" i="3"/>
  <c r="Y2072" i="3"/>
  <c r="Y952" i="3" s="1"/>
  <c r="Y1528" i="3"/>
  <c r="Y2088" i="3"/>
  <c r="Y968" i="3" s="1"/>
  <c r="Y1544" i="3"/>
  <c r="Y2104" i="3"/>
  <c r="Y984" i="3" s="1"/>
  <c r="Y1608" i="3"/>
  <c r="Y2168" i="3"/>
  <c r="Y1048" i="3" s="1"/>
  <c r="Y1501" i="3"/>
  <c r="Y2061" i="3"/>
  <c r="Y941" i="3" s="1"/>
  <c r="Y1549" i="3"/>
  <c r="Y2109" i="3"/>
  <c r="Y989" i="3" s="1"/>
  <c r="Y1565" i="3"/>
  <c r="Y2125" i="3"/>
  <c r="Y1005" i="3" s="1"/>
  <c r="Y1581" i="3"/>
  <c r="Y2141" i="3"/>
  <c r="Y1021" i="3" s="1"/>
  <c r="Y1597" i="3"/>
  <c r="Y2157" i="3"/>
  <c r="Y1037" i="3" s="1"/>
  <c r="Y1613" i="3"/>
  <c r="Y2173" i="3"/>
  <c r="Y1053" i="3" s="1"/>
  <c r="Y1629" i="3"/>
  <c r="Y2189" i="3"/>
  <c r="Y1069" i="3" s="1"/>
  <c r="Y1677" i="3"/>
  <c r="Y2237" i="3"/>
  <c r="Y1117" i="3" s="1"/>
  <c r="Y1719" i="3"/>
  <c r="Y1668" i="3"/>
  <c r="Y2228" i="3"/>
  <c r="Y1108" i="3" s="1"/>
  <c r="Y1661" i="3"/>
  <c r="Y2221" i="3"/>
  <c r="Y1101" i="3" s="1"/>
  <c r="Y1689" i="3"/>
  <c r="Y2249" i="3"/>
  <c r="Y1129" i="3" s="1"/>
  <c r="Y1691" i="3"/>
  <c r="Y2251" i="3"/>
  <c r="Y1131" i="3" s="1"/>
  <c r="U1658" i="3"/>
  <c r="U2218" i="3"/>
  <c r="U1098" i="3" s="1"/>
  <c r="U1682" i="3"/>
  <c r="U2242" i="3"/>
  <c r="U1122" i="3" s="1"/>
  <c r="U1640" i="3"/>
  <c r="U2200" i="3"/>
  <c r="U1080" i="3" s="1"/>
  <c r="U1466" i="3"/>
  <c r="U2026" i="3"/>
  <c r="U906" i="3" s="1"/>
  <c r="U1678" i="3"/>
  <c r="U2238" i="3"/>
  <c r="U1118" i="3" s="1"/>
  <c r="U1706" i="3"/>
  <c r="U1722" i="3"/>
  <c r="U1467" i="3"/>
  <c r="U2027" i="3"/>
  <c r="U907" i="3" s="1"/>
  <c r="U1483" i="3"/>
  <c r="U2043" i="3"/>
  <c r="U923" i="3" s="1"/>
  <c r="U1499" i="3"/>
  <c r="U2059" i="3"/>
  <c r="U939" i="3" s="1"/>
  <c r="U1531" i="3"/>
  <c r="U2091" i="3"/>
  <c r="U971" i="3" s="1"/>
  <c r="U1563" i="3"/>
  <c r="U2123" i="3"/>
  <c r="U1003" i="3" s="1"/>
  <c r="U1579" i="3"/>
  <c r="U2139" i="3"/>
  <c r="U1019" i="3" s="1"/>
  <c r="U1595" i="3"/>
  <c r="U2155" i="3"/>
  <c r="U1035" i="3" s="1"/>
  <c r="U1627" i="3"/>
  <c r="U2187" i="3"/>
  <c r="U1067" i="3" s="1"/>
  <c r="U1687" i="3"/>
  <c r="U2247" i="3"/>
  <c r="U1127" i="3" s="1"/>
  <c r="U1641" i="3"/>
  <c r="U2201" i="3"/>
  <c r="U1081" i="3" s="1"/>
  <c r="U1492" i="3"/>
  <c r="U2052" i="3"/>
  <c r="U932" i="3" s="1"/>
  <c r="U1540" i="3"/>
  <c r="U2100" i="3"/>
  <c r="U980" i="3" s="1"/>
  <c r="U1556" i="3"/>
  <c r="U2116" i="3"/>
  <c r="U996" i="3" s="1"/>
  <c r="U1572" i="3"/>
  <c r="U2132" i="3"/>
  <c r="U1012" i="3" s="1"/>
  <c r="U1588" i="3"/>
  <c r="U2148" i="3"/>
  <c r="U1028" i="3" s="1"/>
  <c r="U1620" i="3"/>
  <c r="U2180" i="3"/>
  <c r="U1060" i="3" s="1"/>
  <c r="U1693" i="3"/>
  <c r="U2253" i="3"/>
  <c r="U1133" i="3" s="1"/>
  <c r="U1709" i="3"/>
  <c r="U1711" i="3"/>
  <c r="U1494" i="3"/>
  <c r="U2054" i="3"/>
  <c r="U934" i="3" s="1"/>
  <c r="U1542" i="3"/>
  <c r="U2102" i="3"/>
  <c r="U982" i="3" s="1"/>
  <c r="U1574" i="3"/>
  <c r="U2134" i="3"/>
  <c r="U1014" i="3" s="1"/>
  <c r="U1590" i="3"/>
  <c r="U2150" i="3"/>
  <c r="U1030" i="3" s="1"/>
  <c r="U1606" i="3"/>
  <c r="U2166" i="3"/>
  <c r="U1046" i="3" s="1"/>
  <c r="U1638" i="3"/>
  <c r="U2198" i="3"/>
  <c r="U1078" i="3" s="1"/>
  <c r="U1660" i="3"/>
  <c r="U2220" i="3"/>
  <c r="U1100" i="3" s="1"/>
  <c r="U1692" i="3"/>
  <c r="U2252" i="3"/>
  <c r="U1132" i="3" s="1"/>
  <c r="U1720" i="3"/>
  <c r="U1736" i="3"/>
  <c r="U1481" i="3"/>
  <c r="U2041" i="3"/>
  <c r="U921" i="3" s="1"/>
  <c r="U1513" i="3"/>
  <c r="U2073" i="3"/>
  <c r="U953" i="3" s="1"/>
  <c r="U1529" i="3"/>
  <c r="U2089" i="3"/>
  <c r="U969" i="3" s="1"/>
  <c r="U1561" i="3"/>
  <c r="U2121" i="3"/>
  <c r="U1001" i="3" s="1"/>
  <c r="U1625" i="3"/>
  <c r="U2185" i="3"/>
  <c r="U1065" i="3" s="1"/>
  <c r="U1655" i="3"/>
  <c r="U2215" i="3"/>
  <c r="U1095" i="3" s="1"/>
  <c r="U1731" i="3"/>
  <c r="U1677" i="3"/>
  <c r="U2237" i="3"/>
  <c r="U1117" i="3" s="1"/>
  <c r="U1717" i="3"/>
  <c r="U1737" i="3"/>
  <c r="U1727" i="3"/>
  <c r="U1656" i="3"/>
  <c r="U2216" i="3"/>
  <c r="U1096" i="3" s="1"/>
  <c r="U1637" i="3"/>
  <c r="U2197" i="3"/>
  <c r="U1077" i="3" s="1"/>
  <c r="Q1667" i="3"/>
  <c r="Q2227" i="3"/>
  <c r="Q1107" i="3" s="1"/>
  <c r="Q1466" i="3"/>
  <c r="Q2026" i="3"/>
  <c r="Q906" i="3" s="1"/>
  <c r="Q1482" i="3"/>
  <c r="Q2042" i="3"/>
  <c r="Q922" i="3" s="1"/>
  <c r="Q1530" i="3"/>
  <c r="Q2090" i="3"/>
  <c r="Q970" i="3" s="1"/>
  <c r="Q1562" i="3"/>
  <c r="Q2122" i="3"/>
  <c r="Q1002" i="3" s="1"/>
  <c r="Q1626" i="3"/>
  <c r="Q2186" i="3"/>
  <c r="Q1066" i="3" s="1"/>
  <c r="Q1503" i="3"/>
  <c r="Q2063" i="3"/>
  <c r="Q943" i="3" s="1"/>
  <c r="Q1519" i="3"/>
  <c r="Q2079" i="3"/>
  <c r="Q959" i="3" s="1"/>
  <c r="Q1690" i="3"/>
  <c r="Q2250" i="3"/>
  <c r="Q1130" i="3" s="1"/>
  <c r="Q1563" i="3"/>
  <c r="Q2123" i="3"/>
  <c r="Q1003" i="3" s="1"/>
  <c r="Q1595" i="3"/>
  <c r="Q2155" i="3"/>
  <c r="Q1035" i="3" s="1"/>
  <c r="Q1627" i="3"/>
  <c r="Q2187" i="3"/>
  <c r="Q1067" i="3" s="1"/>
  <c r="Q1650" i="3"/>
  <c r="Q2210" i="3"/>
  <c r="Q1090" i="3" s="1"/>
  <c r="Q1714" i="3"/>
  <c r="Q1730" i="3"/>
  <c r="Q1640" i="3"/>
  <c r="Q2200" i="3"/>
  <c r="Q1080" i="3" s="1"/>
  <c r="Q1637" i="3"/>
  <c r="Q2197" i="3"/>
  <c r="Q1077" i="3" s="1"/>
  <c r="Q1481" i="3"/>
  <c r="Q2041" i="3"/>
  <c r="Q921" i="3" s="1"/>
  <c r="Q1675" i="3"/>
  <c r="Q2235" i="3"/>
  <c r="Q1115" i="3" s="1"/>
  <c r="Q1731" i="3"/>
  <c r="Q1512" i="3"/>
  <c r="Q2072" i="3"/>
  <c r="Q952" i="3" s="1"/>
  <c r="Q1528" i="3"/>
  <c r="Q2088" i="3"/>
  <c r="Q968" i="3" s="1"/>
  <c r="Q1544" i="3"/>
  <c r="Q2104" i="3"/>
  <c r="Q984" i="3" s="1"/>
  <c r="Q1608" i="3"/>
  <c r="Q2168" i="3"/>
  <c r="Q1048" i="3" s="1"/>
  <c r="Q1648" i="3"/>
  <c r="Q2208" i="3"/>
  <c r="Q1088" i="3" s="1"/>
  <c r="Q1688" i="3"/>
  <c r="Q2248" i="3"/>
  <c r="Q1128" i="3" s="1"/>
  <c r="Q1708" i="3"/>
  <c r="Q1501" i="3"/>
  <c r="Q2061" i="3"/>
  <c r="Q941" i="3" s="1"/>
  <c r="Q1549" i="3"/>
  <c r="Q2109" i="3"/>
  <c r="Q989" i="3" s="1"/>
  <c r="Q1565" i="3"/>
  <c r="Q2125" i="3"/>
  <c r="Q1005" i="3" s="1"/>
  <c r="Q1581" i="3"/>
  <c r="Q2141" i="3"/>
  <c r="Q1021" i="3" s="1"/>
  <c r="Q1597" i="3"/>
  <c r="Q2157" i="3"/>
  <c r="Q1037" i="3" s="1"/>
  <c r="Q1613" i="3"/>
  <c r="Q2173" i="3"/>
  <c r="Q1053" i="3" s="1"/>
  <c r="Q1629" i="3"/>
  <c r="Q2189" i="3"/>
  <c r="Q1069" i="3" s="1"/>
  <c r="Q1677" i="3"/>
  <c r="Q2237" i="3"/>
  <c r="Q1117" i="3" s="1"/>
  <c r="Q1719" i="3"/>
  <c r="Q1713" i="3"/>
  <c r="AV1658" i="3"/>
  <c r="AV2218" i="3"/>
  <c r="AV1098" i="3" s="1"/>
  <c r="AV1694" i="3"/>
  <c r="AV2254" i="3"/>
  <c r="AV1134" i="3" s="1"/>
  <c r="AV1698" i="3"/>
  <c r="AV2258" i="3"/>
  <c r="AV1138" i="3" s="1"/>
  <c r="AV1615" i="3"/>
  <c r="AV2175" i="3"/>
  <c r="AV1055" i="3" s="1"/>
  <c r="AV1622" i="3"/>
  <c r="AV2182" i="3"/>
  <c r="AV1062" i="3" s="1"/>
  <c r="AV1554" i="3"/>
  <c r="AV2114" i="3"/>
  <c r="AV994" i="3" s="1"/>
  <c r="AV1635" i="3"/>
  <c r="AV2195" i="3"/>
  <c r="AV1075" i="3" s="1"/>
  <c r="AV1555" i="3"/>
  <c r="AV2115" i="3"/>
  <c r="AV995" i="3" s="1"/>
  <c r="AV1474" i="3"/>
  <c r="AV2034" i="3"/>
  <c r="AV914" i="3" s="1"/>
  <c r="AV1490" i="3"/>
  <c r="AV2050" i="3"/>
  <c r="AV930" i="3" s="1"/>
  <c r="AV1506" i="3"/>
  <c r="AV2066" i="3"/>
  <c r="AV946" i="3" s="1"/>
  <c r="AV1522" i="3"/>
  <c r="AV2082" i="3"/>
  <c r="AV962" i="3" s="1"/>
  <c r="AV1538" i="3"/>
  <c r="AV2098" i="3"/>
  <c r="AV978" i="3" s="1"/>
  <c r="AV1562" i="3"/>
  <c r="AV2122" i="3"/>
  <c r="AV1002" i="3" s="1"/>
  <c r="AV1578" i="3"/>
  <c r="AV2138" i="3"/>
  <c r="AV1018" i="3" s="1"/>
  <c r="AV1594" i="3"/>
  <c r="AV2154" i="3"/>
  <c r="AV1034" i="3" s="1"/>
  <c r="AV1702" i="3"/>
  <c r="AV2262" i="3"/>
  <c r="AV1142" i="3" s="1"/>
  <c r="AV1718" i="3"/>
  <c r="AV1467" i="3"/>
  <c r="AV2027" i="3"/>
  <c r="AV907" i="3" s="1"/>
  <c r="AV1483" i="3"/>
  <c r="AV2043" i="3"/>
  <c r="AV923" i="3" s="1"/>
  <c r="AV1499" i="3"/>
  <c r="AV2059" i="3"/>
  <c r="AV939" i="3" s="1"/>
  <c r="AV1531" i="3"/>
  <c r="AV2091" i="3"/>
  <c r="AV971" i="3" s="1"/>
  <c r="AV1559" i="3"/>
  <c r="AV2119" i="3"/>
  <c r="AV999" i="3" s="1"/>
  <c r="AV1591" i="3"/>
  <c r="AV2151" i="3"/>
  <c r="AV1031" i="3" s="1"/>
  <c r="AV1695" i="3"/>
  <c r="AV2255" i="3"/>
  <c r="AV1135" i="3" s="1"/>
  <c r="AV1731" i="3"/>
  <c r="AV1480" i="3"/>
  <c r="AV2040" i="3"/>
  <c r="AV920" i="3" s="1"/>
  <c r="AV1496" i="3"/>
  <c r="AV2056" i="3"/>
  <c r="AV1512" i="3"/>
  <c r="AV2072" i="3"/>
  <c r="AV952" i="3" s="1"/>
  <c r="AV1528" i="3"/>
  <c r="AV2088" i="3"/>
  <c r="AV968" i="3" s="1"/>
  <c r="AV1544" i="3"/>
  <c r="AV2104" i="3"/>
  <c r="AV984" i="3" s="1"/>
  <c r="AV1712" i="3"/>
  <c r="AV1728" i="3"/>
  <c r="AV1681" i="3"/>
  <c r="AV2241" i="3"/>
  <c r="AV1121" i="3" s="1"/>
  <c r="AV1709" i="3"/>
  <c r="AV1737" i="3"/>
  <c r="AV1711" i="3"/>
  <c r="AV1563" i="3"/>
  <c r="AV2123" i="3"/>
  <c r="AV1003" i="3" s="1"/>
  <c r="AV1620" i="3"/>
  <c r="AV2180" i="3"/>
  <c r="AV1060" i="3" s="1"/>
  <c r="AV1648" i="3"/>
  <c r="AV2208" i="3"/>
  <c r="AV1088" i="3" s="1"/>
  <c r="AV1602" i="3"/>
  <c r="AV2162" i="3"/>
  <c r="AV1042" i="3" s="1"/>
  <c r="AV1634" i="3"/>
  <c r="AV2194" i="3"/>
  <c r="AV1074" i="3" s="1"/>
  <c r="AV1650" i="3"/>
  <c r="AV2210" i="3"/>
  <c r="AV1090" i="3" s="1"/>
  <c r="AV1623" i="3"/>
  <c r="AV2183" i="3"/>
  <c r="AV1063" i="3" s="1"/>
  <c r="AV1667" i="3"/>
  <c r="AV2227" i="3"/>
  <c r="AV1107" i="3" s="1"/>
  <c r="AV1572" i="3"/>
  <c r="AV2132" i="3"/>
  <c r="AV1012" i="3" s="1"/>
  <c r="AV1588" i="3"/>
  <c r="AV2148" i="3"/>
  <c r="AV1028" i="3" s="1"/>
  <c r="AV1617" i="3"/>
  <c r="AV2177" i="3"/>
  <c r="AV1057" i="3" s="1"/>
  <c r="AV1612" i="3"/>
  <c r="AV2172" i="3"/>
  <c r="AV1052" i="3" s="1"/>
  <c r="AV1469" i="3"/>
  <c r="AV2029" i="3"/>
  <c r="AV909" i="3" s="1"/>
  <c r="AV1501" i="3"/>
  <c r="AV2061" i="3"/>
  <c r="AV941" i="3" s="1"/>
  <c r="AV1533" i="3"/>
  <c r="AV2093" i="3"/>
  <c r="AV1549" i="3"/>
  <c r="AV2109" i="3"/>
  <c r="AV989" i="3" s="1"/>
  <c r="AV1613" i="3"/>
  <c r="AV2173" i="3"/>
  <c r="AV1053" i="3" s="1"/>
  <c r="AV1641" i="3"/>
  <c r="AV2201" i="3"/>
  <c r="AV1081" i="3" s="1"/>
  <c r="AV1656" i="3"/>
  <c r="AV2216" i="3"/>
  <c r="AV1096" i="3" s="1"/>
  <c r="AV1676" i="3"/>
  <c r="AV2236" i="3"/>
  <c r="AV1116" i="3" s="1"/>
  <c r="AV1696" i="3"/>
  <c r="AV2256" i="3"/>
  <c r="AV1136" i="3" s="1"/>
  <c r="AV1561" i="3"/>
  <c r="AV2121" i="3"/>
  <c r="AV1001" i="3" s="1"/>
  <c r="AV1577" i="3"/>
  <c r="AV2137" i="3"/>
  <c r="AV1017" i="3" s="1"/>
  <c r="AV1593" i="3"/>
  <c r="AV2153" i="3"/>
  <c r="AV1033" i="3" s="1"/>
  <c r="AV1661" i="3"/>
  <c r="AV2221" i="3"/>
  <c r="AV1101" i="3" s="1"/>
  <c r="AV1685" i="3"/>
  <c r="AV2245" i="3"/>
  <c r="AV1125" i="3" s="1"/>
  <c r="AV1721" i="3"/>
  <c r="AR1630" i="3"/>
  <c r="AR2190" i="3"/>
  <c r="AR1070" i="3" s="1"/>
  <c r="AR1638" i="3"/>
  <c r="AR2198" i="3"/>
  <c r="AR1078" i="3" s="1"/>
  <c r="AR2202" i="3"/>
  <c r="AR1082" i="3" s="1"/>
  <c r="AR1642" i="3"/>
  <c r="AR1650" i="3"/>
  <c r="AR2210" i="3"/>
  <c r="AR1090" i="3" s="1"/>
  <c r="AR1562" i="3"/>
  <c r="AR2122" i="3"/>
  <c r="AR1002" i="3" s="1"/>
  <c r="AR1578" i="3"/>
  <c r="AR2138" i="3"/>
  <c r="AR1018" i="3" s="1"/>
  <c r="AR1594" i="3"/>
  <c r="AR2154" i="3"/>
  <c r="AR1034" i="3" s="1"/>
  <c r="AR1470" i="3"/>
  <c r="AR2030" i="3"/>
  <c r="AR910" i="3" s="1"/>
  <c r="AR1502" i="3"/>
  <c r="AR2062" i="3"/>
  <c r="AR942" i="3" s="1"/>
  <c r="AR1534" i="3"/>
  <c r="AR2094" i="3"/>
  <c r="AR1706" i="3"/>
  <c r="AR1722" i="3"/>
  <c r="AR1471" i="3"/>
  <c r="AR2031" i="3"/>
  <c r="AR911" i="3" s="1"/>
  <c r="AR2063" i="3"/>
  <c r="AR943" i="3" s="1"/>
  <c r="AR1503" i="3"/>
  <c r="AR2079" i="3"/>
  <c r="AR959" i="3" s="1"/>
  <c r="AR1519" i="3"/>
  <c r="AR1539" i="3"/>
  <c r="AR2099" i="3"/>
  <c r="AR979" i="3" s="1"/>
  <c r="AR2033" i="3"/>
  <c r="AR913" i="3" s="1"/>
  <c r="AR1473" i="3"/>
  <c r="AR1489" i="3"/>
  <c r="AR2049" i="3"/>
  <c r="AR929" i="3" s="1"/>
  <c r="AR2065" i="3"/>
  <c r="AR945" i="3" s="1"/>
  <c r="AR1505" i="3"/>
  <c r="AR2081" i="3"/>
  <c r="AR961" i="3" s="1"/>
  <c r="AR1521" i="3"/>
  <c r="AR1537" i="3"/>
  <c r="AR2097" i="3"/>
  <c r="AR977" i="3" s="1"/>
  <c r="AR1550" i="3"/>
  <c r="AR2110" i="3"/>
  <c r="AR990" i="3" s="1"/>
  <c r="AR1662" i="3"/>
  <c r="AR2222" i="3"/>
  <c r="AR1102" i="3" s="1"/>
  <c r="AR1682" i="3"/>
  <c r="AR2242" i="3"/>
  <c r="AR1122" i="3" s="1"/>
  <c r="AR1563" i="3"/>
  <c r="AR2123" i="3"/>
  <c r="AR1003" i="3" s="1"/>
  <c r="AR1664" i="3"/>
  <c r="AR2224" i="3"/>
  <c r="AR1104" i="3" s="1"/>
  <c r="AR1684" i="3"/>
  <c r="AR2244" i="3"/>
  <c r="AR1124" i="3" s="1"/>
  <c r="AR1708" i="3"/>
  <c r="AR2225" i="3"/>
  <c r="AR1105" i="3" s="1"/>
  <c r="AR1665" i="3"/>
  <c r="AR1689" i="3"/>
  <c r="AR2249" i="3"/>
  <c r="AR1129" i="3" s="1"/>
  <c r="AR1675" i="3"/>
  <c r="AR2235" i="3"/>
  <c r="AR1115" i="3" s="1"/>
  <c r="AR1611" i="3"/>
  <c r="AR2171" i="3"/>
  <c r="AR1051" i="3" s="1"/>
  <c r="AR1659" i="3"/>
  <c r="AR2219" i="3"/>
  <c r="AR1099" i="3" s="1"/>
  <c r="AR1624" i="3"/>
  <c r="AR2184" i="3"/>
  <c r="AR1064" i="3" s="1"/>
  <c r="AR1605" i="3"/>
  <c r="AR2165" i="3"/>
  <c r="AR1045" i="3" s="1"/>
  <c r="AR2185" i="3"/>
  <c r="AR1065" i="3" s="1"/>
  <c r="AR1625" i="3"/>
  <c r="AR1626" i="3"/>
  <c r="AR2186" i="3"/>
  <c r="AR1066" i="3" s="1"/>
  <c r="AR1599" i="3"/>
  <c r="AR2159" i="3"/>
  <c r="AR1039" i="3" s="1"/>
  <c r="AR1631" i="3"/>
  <c r="AR2191" i="3"/>
  <c r="AR1071" i="3" s="1"/>
  <c r="AR2129" i="3"/>
  <c r="AR1009" i="3" s="1"/>
  <c r="AR1569" i="3"/>
  <c r="AR1585" i="3"/>
  <c r="AR2145" i="3"/>
  <c r="AR1025" i="3" s="1"/>
  <c r="AR1679" i="3"/>
  <c r="AR2239" i="3"/>
  <c r="AR1119" i="3" s="1"/>
  <c r="AR1723" i="3"/>
  <c r="AR1476" i="3"/>
  <c r="AR2036" i="3"/>
  <c r="AR916" i="3" s="1"/>
  <c r="AR1492" i="3"/>
  <c r="AR2052" i="3"/>
  <c r="AR932" i="3" s="1"/>
  <c r="AR1508" i="3"/>
  <c r="AR2068" i="3"/>
  <c r="AR948" i="3" s="1"/>
  <c r="AR1540" i="3"/>
  <c r="AR2100" i="3"/>
  <c r="AR980" i="3" s="1"/>
  <c r="AR1568" i="3"/>
  <c r="AR2128" i="3"/>
  <c r="AR1008" i="3" s="1"/>
  <c r="AR1584" i="3"/>
  <c r="AR2144" i="3"/>
  <c r="AR1024" i="3" s="1"/>
  <c r="AR1732" i="3"/>
  <c r="AR2193" i="3"/>
  <c r="AR1073" i="3" s="1"/>
  <c r="AR1633" i="3"/>
  <c r="AR1697" i="3"/>
  <c r="AR2257" i="3"/>
  <c r="AR1137" i="3" s="1"/>
  <c r="AR1729" i="3"/>
  <c r="AR1699" i="3"/>
  <c r="AR2259" i="3"/>
  <c r="AR1139" i="3" s="1"/>
  <c r="AR1727" i="3"/>
  <c r="AR1600" i="3"/>
  <c r="AR2160" i="3"/>
  <c r="AR1040" i="3" s="1"/>
  <c r="AR1632" i="3"/>
  <c r="AR2192" i="3"/>
  <c r="AR1072" i="3" s="1"/>
  <c r="AN1622" i="3"/>
  <c r="AN2182" i="3"/>
  <c r="AN1062" i="3" s="1"/>
  <c r="AN1492" i="3"/>
  <c r="AN2052" i="3"/>
  <c r="AN932" i="3" s="1"/>
  <c r="AN1528" i="3"/>
  <c r="AN2088" i="3"/>
  <c r="AN968" i="3" s="1"/>
  <c r="AN1579" i="3"/>
  <c r="AN2139" i="3"/>
  <c r="AN1019" i="3" s="1"/>
  <c r="AN1484" i="3"/>
  <c r="AN2044" i="3"/>
  <c r="AN924" i="3" s="1"/>
  <c r="AN1670" i="3"/>
  <c r="AN2230" i="3"/>
  <c r="AN1110" i="3" s="1"/>
  <c r="AN1698" i="3"/>
  <c r="AN2258" i="3"/>
  <c r="AN1138" i="3" s="1"/>
  <c r="AN1472" i="3"/>
  <c r="AN2032" i="3"/>
  <c r="AN912" i="3" s="1"/>
  <c r="AN1536" i="3"/>
  <c r="AN2096" i="3"/>
  <c r="AN1712" i="3"/>
  <c r="AN1728" i="3"/>
  <c r="AN1681" i="3"/>
  <c r="AN2241" i="3"/>
  <c r="AN1121" i="3" s="1"/>
  <c r="AN1709" i="3"/>
  <c r="AN1737" i="3"/>
  <c r="AN1711" i="3"/>
  <c r="AN1598" i="3"/>
  <c r="AN2158" i="3"/>
  <c r="AN1038" i="3" s="1"/>
  <c r="AN1630" i="3"/>
  <c r="AN2190" i="3"/>
  <c r="AN1070" i="3" s="1"/>
  <c r="AN1611" i="3"/>
  <c r="AN2171" i="3"/>
  <c r="AN1051" i="3" s="1"/>
  <c r="AN1659" i="3"/>
  <c r="AN2219" i="3"/>
  <c r="AN1099" i="3" s="1"/>
  <c r="AN1616" i="3"/>
  <c r="AN2176" i="3"/>
  <c r="AN1056" i="3" s="1"/>
  <c r="AN1547" i="3"/>
  <c r="AN2107" i="3"/>
  <c r="AN987" i="3" s="1"/>
  <c r="AN1603" i="3"/>
  <c r="AN2163" i="3"/>
  <c r="AN1043" i="3" s="1"/>
  <c r="AN1635" i="3"/>
  <c r="AN2195" i="3"/>
  <c r="AN1075" i="3" s="1"/>
  <c r="AN1572" i="3"/>
  <c r="AN2132" i="3"/>
  <c r="AN1012" i="3" s="1"/>
  <c r="AN2148" i="3"/>
  <c r="AN1028" i="3" s="1"/>
  <c r="AN1588" i="3"/>
  <c r="AN2177" i="3"/>
  <c r="AN1057" i="3" s="1"/>
  <c r="AN1617" i="3"/>
  <c r="AN1474" i="3"/>
  <c r="AN2034" i="3"/>
  <c r="AN914" i="3" s="1"/>
  <c r="AN1490" i="3"/>
  <c r="AN2050" i="3"/>
  <c r="AN930" i="3" s="1"/>
  <c r="AN1506" i="3"/>
  <c r="AN2066" i="3"/>
  <c r="AN946" i="3" s="1"/>
  <c r="AN1522" i="3"/>
  <c r="AN2082" i="3"/>
  <c r="AN962" i="3" s="1"/>
  <c r="AN1538" i="3"/>
  <c r="AN2098" i="3"/>
  <c r="AN978" i="3" s="1"/>
  <c r="AN1562" i="3"/>
  <c r="AN2122" i="3"/>
  <c r="AN1002" i="3" s="1"/>
  <c r="AN1578" i="3"/>
  <c r="AN2138" i="3"/>
  <c r="AN1018" i="3" s="1"/>
  <c r="AN1594" i="3"/>
  <c r="AN2154" i="3"/>
  <c r="AN1034" i="3" s="1"/>
  <c r="AN1702" i="3"/>
  <c r="AN2262" i="3"/>
  <c r="AN1142" i="3" s="1"/>
  <c r="AN1718" i="3"/>
  <c r="AN1467" i="3"/>
  <c r="AN2027" i="3"/>
  <c r="AN907" i="3" s="1"/>
  <c r="AN1483" i="3"/>
  <c r="AN2043" i="3"/>
  <c r="AN923" i="3" s="1"/>
  <c r="AN1499" i="3"/>
  <c r="AN2059" i="3"/>
  <c r="AN939" i="3" s="1"/>
  <c r="AN1531" i="3"/>
  <c r="AN2091" i="3"/>
  <c r="AN971" i="3" s="1"/>
  <c r="AN1559" i="3"/>
  <c r="AN2119" i="3"/>
  <c r="AN999" i="3" s="1"/>
  <c r="AN1591" i="3"/>
  <c r="AN2151" i="3"/>
  <c r="AN1031" i="3" s="1"/>
  <c r="AN1556" i="3"/>
  <c r="AN2116" i="3"/>
  <c r="AN996" i="3" s="1"/>
  <c r="AN1663" i="3"/>
  <c r="AN2223" i="3"/>
  <c r="AN1103" i="3" s="1"/>
  <c r="AN1660" i="3"/>
  <c r="AN2220" i="3"/>
  <c r="AN1100" i="3" s="1"/>
  <c r="AN1680" i="3"/>
  <c r="AN2240" i="3"/>
  <c r="AN1120" i="3" s="1"/>
  <c r="AN1704" i="3"/>
  <c r="AN2264" i="3"/>
  <c r="AN1144" i="3" s="1"/>
  <c r="AN1565" i="3"/>
  <c r="AN2125" i="3"/>
  <c r="AN1005" i="3" s="1"/>
  <c r="AN1581" i="3"/>
  <c r="AN2141" i="3"/>
  <c r="AN1021" i="3" s="1"/>
  <c r="AN2197" i="3"/>
  <c r="AN1077" i="3" s="1"/>
  <c r="AN1637" i="3"/>
  <c r="AN1665" i="3"/>
  <c r="AN2225" i="3"/>
  <c r="AN1105" i="3" s="1"/>
  <c r="AN2249" i="3"/>
  <c r="AN1129" i="3" s="1"/>
  <c r="AN1689" i="3"/>
  <c r="AN1675" i="3"/>
  <c r="AN2235" i="3"/>
  <c r="AN1115" i="3" s="1"/>
  <c r="AN1612" i="3"/>
  <c r="AN2172" i="3"/>
  <c r="AN1052" i="3" s="1"/>
  <c r="AN1469" i="3"/>
  <c r="AN2029" i="3"/>
  <c r="AN909" i="3" s="1"/>
  <c r="AN1501" i="3"/>
  <c r="AN2061" i="3"/>
  <c r="AN941" i="3" s="1"/>
  <c r="AN1533" i="3"/>
  <c r="AN2093" i="3"/>
  <c r="AN1549" i="3"/>
  <c r="AN2109" i="3"/>
  <c r="AN989" i="3" s="1"/>
  <c r="AN1613" i="3"/>
  <c r="AN2173" i="3"/>
  <c r="AN1053" i="3" s="1"/>
  <c r="AN1641" i="3"/>
  <c r="AN2201" i="3"/>
  <c r="AN1081" i="3" s="1"/>
  <c r="AJ1590" i="3"/>
  <c r="AJ2150" i="3"/>
  <c r="AJ1030" i="3" s="1"/>
  <c r="AJ1558" i="3"/>
  <c r="AJ2118" i="3"/>
  <c r="AJ998" i="3" s="1"/>
  <c r="AJ1578" i="3"/>
  <c r="AJ2138" i="3"/>
  <c r="AJ1018" i="3" s="1"/>
  <c r="AJ1627" i="3"/>
  <c r="AJ2187" i="3"/>
  <c r="AJ1067" i="3" s="1"/>
  <c r="AJ1478" i="3"/>
  <c r="AJ2038" i="3"/>
  <c r="AJ918" i="3" s="1"/>
  <c r="AJ1494" i="3"/>
  <c r="AJ2054" i="3"/>
  <c r="AJ934" i="3" s="1"/>
  <c r="AJ1510" i="3"/>
  <c r="AJ2070" i="3"/>
  <c r="AJ950" i="3" s="1"/>
  <c r="AJ1542" i="3"/>
  <c r="AJ2102" i="3"/>
  <c r="AJ982" i="3" s="1"/>
  <c r="AJ1690" i="3"/>
  <c r="AJ2250" i="3"/>
  <c r="AJ1130" i="3" s="1"/>
  <c r="AJ1734" i="3"/>
  <c r="AJ1479" i="3"/>
  <c r="AJ2039" i="3"/>
  <c r="AJ919" i="3" s="1"/>
  <c r="AJ1495" i="3"/>
  <c r="AJ2055" i="3"/>
  <c r="AJ1511" i="3"/>
  <c r="AJ2071" i="3"/>
  <c r="AJ951" i="3" s="1"/>
  <c r="AJ1527" i="3"/>
  <c r="AJ2087" i="3"/>
  <c r="AJ967" i="3" s="1"/>
  <c r="AJ1614" i="3"/>
  <c r="AJ2174" i="3"/>
  <c r="AJ1054" i="3" s="1"/>
  <c r="AJ1638" i="3"/>
  <c r="AJ2198" i="3"/>
  <c r="AJ1078" i="3" s="1"/>
  <c r="AJ1607" i="3"/>
  <c r="AJ2167" i="3"/>
  <c r="AJ1047" i="3" s="1"/>
  <c r="AJ1664" i="3"/>
  <c r="AJ2224" i="3"/>
  <c r="AJ1104" i="3" s="1"/>
  <c r="AJ1684" i="3"/>
  <c r="AJ2244" i="3"/>
  <c r="AJ1124" i="3" s="1"/>
  <c r="AJ1708" i="3"/>
  <c r="AJ1665" i="3"/>
  <c r="AJ2225" i="3"/>
  <c r="AJ1105" i="3" s="1"/>
  <c r="AJ1689" i="3"/>
  <c r="AJ2249" i="3"/>
  <c r="AJ1129" i="3" s="1"/>
  <c r="AJ1675" i="3"/>
  <c r="AJ2235" i="3"/>
  <c r="AJ1115" i="3" s="1"/>
  <c r="AJ1622" i="3"/>
  <c r="AJ2182" i="3"/>
  <c r="AJ1062" i="3" s="1"/>
  <c r="AJ1595" i="3"/>
  <c r="AJ2155" i="3"/>
  <c r="AJ1035" i="3" s="1"/>
  <c r="AJ1619" i="3"/>
  <c r="AJ2179" i="3"/>
  <c r="AJ1059" i="3" s="1"/>
  <c r="AJ1612" i="3"/>
  <c r="AJ2172" i="3"/>
  <c r="AJ1052" i="3" s="1"/>
  <c r="AJ1597" i="3"/>
  <c r="AJ2157" i="3"/>
  <c r="AJ1037" i="3" s="1"/>
  <c r="AJ1621" i="3"/>
  <c r="AJ2181" i="3"/>
  <c r="AJ1061" i="3" s="1"/>
  <c r="AJ1539" i="3"/>
  <c r="AJ2099" i="3"/>
  <c r="AJ979" i="3" s="1"/>
  <c r="AJ1575" i="3"/>
  <c r="AJ2135" i="3"/>
  <c r="AJ1015" i="3" s="1"/>
  <c r="AJ1663" i="3"/>
  <c r="AJ2223" i="3"/>
  <c r="AJ1103" i="3" s="1"/>
  <c r="AJ1565" i="3"/>
  <c r="AJ2125" i="3"/>
  <c r="AJ1005" i="3" s="1"/>
  <c r="AJ1581" i="3"/>
  <c r="AJ2141" i="3"/>
  <c r="AJ1021" i="3" s="1"/>
  <c r="AJ1637" i="3"/>
  <c r="AJ2197" i="3"/>
  <c r="AJ1077" i="3" s="1"/>
  <c r="AJ1658" i="3"/>
  <c r="AJ2218" i="3"/>
  <c r="AJ1098" i="3" s="1"/>
  <c r="AJ1678" i="3"/>
  <c r="AJ2238" i="3"/>
  <c r="AJ1118" i="3" s="1"/>
  <c r="AJ1726" i="3"/>
  <c r="AJ1587" i="3"/>
  <c r="AJ2147" i="3"/>
  <c r="AJ1027" i="3" s="1"/>
  <c r="AJ1473" i="3"/>
  <c r="AJ2033" i="3"/>
  <c r="AJ913" i="3" s="1"/>
  <c r="AJ1489" i="3"/>
  <c r="AJ2049" i="3"/>
  <c r="AJ929" i="3" s="1"/>
  <c r="AJ1505" i="3"/>
  <c r="AJ2065" i="3"/>
  <c r="AJ945" i="3" s="1"/>
  <c r="AJ1521" i="3"/>
  <c r="AJ2081" i="3"/>
  <c r="AJ961" i="3" s="1"/>
  <c r="AJ1537" i="3"/>
  <c r="AJ2097" i="3"/>
  <c r="AJ977" i="3" s="1"/>
  <c r="AJ1639" i="3"/>
  <c r="AJ2199" i="3"/>
  <c r="AJ1079" i="3" s="1"/>
  <c r="AJ1667" i="3"/>
  <c r="AJ2227" i="3"/>
  <c r="AJ1107" i="3" s="1"/>
  <c r="AJ1604" i="3"/>
  <c r="AJ2164" i="3"/>
  <c r="AJ1044" i="3" s="1"/>
  <c r="AJ1640" i="3"/>
  <c r="AJ2200" i="3"/>
  <c r="AJ1080" i="3" s="1"/>
  <c r="AJ2113" i="3"/>
  <c r="AJ993" i="3" s="1"/>
  <c r="AJ1553" i="3"/>
  <c r="AJ2032" i="3"/>
  <c r="AJ912" i="3" s="1"/>
  <c r="AJ1472" i="3"/>
  <c r="AJ1504" i="3"/>
  <c r="AJ2064" i="3"/>
  <c r="AJ944" i="3" s="1"/>
  <c r="AJ1520" i="3"/>
  <c r="AJ2080" i="3"/>
  <c r="AJ960" i="3" s="1"/>
  <c r="AJ1536" i="3"/>
  <c r="AJ2096" i="3"/>
  <c r="AJ1564" i="3"/>
  <c r="AJ2124" i="3"/>
  <c r="AJ1004" i="3" s="1"/>
  <c r="AJ1580" i="3"/>
  <c r="AJ2140" i="3"/>
  <c r="AJ1020" i="3" s="1"/>
  <c r="AJ1596" i="3"/>
  <c r="AJ2156" i="3"/>
  <c r="AJ1036" i="3" s="1"/>
  <c r="AJ1712" i="3"/>
  <c r="AJ1728" i="3"/>
  <c r="AJ1617" i="3"/>
  <c r="AJ2177" i="3"/>
  <c r="AJ1057" i="3" s="1"/>
  <c r="AJ1693" i="3"/>
  <c r="AJ2253" i="3"/>
  <c r="AJ1133" i="3" s="1"/>
  <c r="AJ1683" i="3"/>
  <c r="AJ2243" i="3"/>
  <c r="AJ1123" i="3" s="1"/>
  <c r="AJ1719" i="3"/>
  <c r="AF1550" i="3"/>
  <c r="AF2110" i="3"/>
  <c r="AF990" i="3" s="1"/>
  <c r="AF1635" i="3"/>
  <c r="AF2195" i="3"/>
  <c r="AF1075" i="3" s="1"/>
  <c r="AF1662" i="3"/>
  <c r="AF2222" i="3"/>
  <c r="AF1102" i="3" s="1"/>
  <c r="AF1682" i="3"/>
  <c r="AF2242" i="3"/>
  <c r="AF1122" i="3" s="1"/>
  <c r="AF1547" i="3"/>
  <c r="AF2107" i="3"/>
  <c r="AF987" i="3" s="1"/>
  <c r="AF1616" i="3"/>
  <c r="AF2176" i="3"/>
  <c r="AF1056" i="3" s="1"/>
  <c r="AF1626" i="3"/>
  <c r="AF2186" i="3"/>
  <c r="AF1066" i="3" s="1"/>
  <c r="AF2219" i="3"/>
  <c r="AF1099" i="3" s="1"/>
  <c r="AF1659" i="3"/>
  <c r="AF1640" i="3"/>
  <c r="AF2200" i="3"/>
  <c r="AF1080" i="3" s="1"/>
  <c r="AF1649" i="3"/>
  <c r="AF2209" i="3"/>
  <c r="AF1089" i="3" s="1"/>
  <c r="AF1478" i="3"/>
  <c r="AF2038" i="3"/>
  <c r="AF918" i="3" s="1"/>
  <c r="AF1494" i="3"/>
  <c r="AF2054" i="3"/>
  <c r="AF934" i="3" s="1"/>
  <c r="AF1510" i="3"/>
  <c r="AF2070" i="3"/>
  <c r="AF950" i="3" s="1"/>
  <c r="AF1542" i="3"/>
  <c r="AF2102" i="3"/>
  <c r="AF982" i="3" s="1"/>
  <c r="AF1566" i="3"/>
  <c r="AF2126" i="3"/>
  <c r="AF1006" i="3" s="1"/>
  <c r="AF1582" i="3"/>
  <c r="AF2142" i="3"/>
  <c r="AF1022" i="3" s="1"/>
  <c r="AF1706" i="3"/>
  <c r="AF1722" i="3"/>
  <c r="AF1503" i="3"/>
  <c r="AF2063" i="3"/>
  <c r="AF943" i="3" s="1"/>
  <c r="AF1519" i="3"/>
  <c r="AF2079" i="3"/>
  <c r="AF959" i="3" s="1"/>
  <c r="AF1535" i="3"/>
  <c r="AF2095" i="3"/>
  <c r="AF1567" i="3"/>
  <c r="AF2127" i="3"/>
  <c r="AF1007" i="3" s="1"/>
  <c r="AF1655" i="3"/>
  <c r="AF2215" i="3"/>
  <c r="AF1095" i="3" s="1"/>
  <c r="AF1564" i="3"/>
  <c r="AF2124" i="3"/>
  <c r="AF1004" i="3" s="1"/>
  <c r="AF1580" i="3"/>
  <c r="AF2140" i="3"/>
  <c r="AF1020" i="3" s="1"/>
  <c r="AF1596" i="3"/>
  <c r="AF2156" i="3"/>
  <c r="AF1036" i="3" s="1"/>
  <c r="AF1563" i="3"/>
  <c r="AF2123" i="3"/>
  <c r="AF1003" i="3" s="1"/>
  <c r="AF1639" i="3"/>
  <c r="AF2199" i="3"/>
  <c r="AF1079" i="3" s="1"/>
  <c r="AF1556" i="3"/>
  <c r="AF2116" i="3"/>
  <c r="AF996" i="3" s="1"/>
  <c r="AF1614" i="3"/>
  <c r="AF2174" i="3"/>
  <c r="AF1054" i="3" s="1"/>
  <c r="AF1638" i="3"/>
  <c r="AF2198" i="3"/>
  <c r="AF1078" i="3" s="1"/>
  <c r="AF1551" i="3"/>
  <c r="AF2111" i="3"/>
  <c r="AF991" i="3" s="1"/>
  <c r="AF1627" i="3"/>
  <c r="AF2187" i="3"/>
  <c r="AF1067" i="3" s="1"/>
  <c r="AF1504" i="3"/>
  <c r="AF2064" i="3"/>
  <c r="AF944" i="3" s="1"/>
  <c r="AF1520" i="3"/>
  <c r="AF2080" i="3"/>
  <c r="AF960" i="3" s="1"/>
  <c r="AF1536" i="3"/>
  <c r="AF2096" i="3"/>
  <c r="AF1688" i="3"/>
  <c r="AF2248" i="3"/>
  <c r="AF1128" i="3" s="1"/>
  <c r="AF1720" i="3"/>
  <c r="AF1736" i="3"/>
  <c r="AF2257" i="3"/>
  <c r="AF1137" i="3" s="1"/>
  <c r="AF1697" i="3"/>
  <c r="AF1729" i="3"/>
  <c r="AF1699" i="3"/>
  <c r="AF2259" i="3"/>
  <c r="AF1139" i="3" s="1"/>
  <c r="AF1727" i="3"/>
  <c r="AF1612" i="3"/>
  <c r="AF2172" i="3"/>
  <c r="AF1052" i="3" s="1"/>
  <c r="AF1469" i="3"/>
  <c r="AF2029" i="3"/>
  <c r="AF909" i="3" s="1"/>
  <c r="AF2061" i="3"/>
  <c r="AF941" i="3" s="1"/>
  <c r="AF1501" i="3"/>
  <c r="AF2093" i="3"/>
  <c r="AF1533" i="3"/>
  <c r="AF1549" i="3"/>
  <c r="AF2109" i="3"/>
  <c r="AF989" i="3" s="1"/>
  <c r="AF2173" i="3"/>
  <c r="AF1053" i="3" s="1"/>
  <c r="AF1613" i="3"/>
  <c r="AF2201" i="3"/>
  <c r="AF1081" i="3" s="1"/>
  <c r="AF1641" i="3"/>
  <c r="AF1656" i="3"/>
  <c r="AF2216" i="3"/>
  <c r="AF1096" i="3" s="1"/>
  <c r="AF1676" i="3"/>
  <c r="AF2236" i="3"/>
  <c r="AF1116" i="3" s="1"/>
  <c r="AF1696" i="3"/>
  <c r="AF2256" i="3"/>
  <c r="AF1136" i="3" s="1"/>
  <c r="AF1561" i="3"/>
  <c r="AF2121" i="3"/>
  <c r="AF1001" i="3" s="1"/>
  <c r="AF1577" i="3"/>
  <c r="AF2137" i="3"/>
  <c r="AF1017" i="3" s="1"/>
  <c r="AF2153" i="3"/>
  <c r="AF1033" i="3" s="1"/>
  <c r="AF1593" i="3"/>
  <c r="AF1661" i="3"/>
  <c r="AF2221" i="3"/>
  <c r="AF1101" i="3" s="1"/>
  <c r="AF2245" i="3"/>
  <c r="AF1125" i="3" s="1"/>
  <c r="AF1685" i="3"/>
  <c r="AF1721" i="3"/>
  <c r="X1662" i="3"/>
  <c r="X2222" i="3"/>
  <c r="X1102" i="3" s="1"/>
  <c r="X1682" i="3"/>
  <c r="X2242" i="3"/>
  <c r="X1122" i="3" s="1"/>
  <c r="X1563" i="3"/>
  <c r="X2123" i="3"/>
  <c r="X1003" i="3" s="1"/>
  <c r="X1564" i="3"/>
  <c r="X2124" i="3"/>
  <c r="X1004" i="3" s="1"/>
  <c r="X1568" i="3"/>
  <c r="X2128" i="3"/>
  <c r="X1008" i="3" s="1"/>
  <c r="X1639" i="3"/>
  <c r="X2199" i="3"/>
  <c r="X1079" i="3" s="1"/>
  <c r="X1617" i="3"/>
  <c r="X2177" i="3"/>
  <c r="X1057" i="3" s="1"/>
  <c r="X1614" i="3"/>
  <c r="X2174" i="3"/>
  <c r="X1054" i="3" s="1"/>
  <c r="X1638" i="3"/>
  <c r="X2198" i="3"/>
  <c r="X1078" i="3" s="1"/>
  <c r="X1551" i="3"/>
  <c r="X2111" i="3"/>
  <c r="X991" i="3" s="1"/>
  <c r="X1627" i="3"/>
  <c r="X2187" i="3"/>
  <c r="X1067" i="3" s="1"/>
  <c r="X1553" i="3"/>
  <c r="X2113" i="3"/>
  <c r="X993" i="3" s="1"/>
  <c r="X1599" i="3"/>
  <c r="X2159" i="3"/>
  <c r="X1039" i="3" s="1"/>
  <c r="X1667" i="3"/>
  <c r="X2227" i="3"/>
  <c r="X1107" i="3" s="1"/>
  <c r="X1723" i="3"/>
  <c r="X1476" i="3"/>
  <c r="X2036" i="3"/>
  <c r="X916" i="3" s="1"/>
  <c r="X1492" i="3"/>
  <c r="X2052" i="3"/>
  <c r="X932" i="3" s="1"/>
  <c r="X1540" i="3"/>
  <c r="X2100" i="3"/>
  <c r="X980" i="3" s="1"/>
  <c r="X1677" i="3"/>
  <c r="X2237" i="3"/>
  <c r="X1117" i="3" s="1"/>
  <c r="X1705" i="3"/>
  <c r="X1733" i="3"/>
  <c r="X1707" i="3"/>
  <c r="X1735" i="3"/>
  <c r="X1494" i="3"/>
  <c r="X2054" i="3"/>
  <c r="X934" i="3" s="1"/>
  <c r="X1542" i="3"/>
  <c r="X2102" i="3"/>
  <c r="X982" i="3" s="1"/>
  <c r="X1566" i="3"/>
  <c r="X2126" i="3"/>
  <c r="X1006" i="3" s="1"/>
  <c r="X1582" i="3"/>
  <c r="X2142" i="3"/>
  <c r="X1022" i="3" s="1"/>
  <c r="X1706" i="3"/>
  <c r="X1722" i="3"/>
  <c r="X1503" i="3"/>
  <c r="X2063" i="3"/>
  <c r="X943" i="3" s="1"/>
  <c r="X1519" i="3"/>
  <c r="X2079" i="3"/>
  <c r="X959" i="3" s="1"/>
  <c r="X1567" i="3"/>
  <c r="X2127" i="3"/>
  <c r="X1007" i="3" s="1"/>
  <c r="X1600" i="3"/>
  <c r="X2160" i="3"/>
  <c r="X1040" i="3" s="1"/>
  <c r="X1660" i="3"/>
  <c r="X2220" i="3"/>
  <c r="X1100" i="3" s="1"/>
  <c r="X1680" i="3"/>
  <c r="X2240" i="3"/>
  <c r="X1120" i="3" s="1"/>
  <c r="X1565" i="3"/>
  <c r="X2125" i="3"/>
  <c r="X1005" i="3" s="1"/>
  <c r="X1581" i="3"/>
  <c r="X2141" i="3"/>
  <c r="X1021" i="3" s="1"/>
  <c r="X1637" i="3"/>
  <c r="X2197" i="3"/>
  <c r="X1077" i="3" s="1"/>
  <c r="X1689" i="3"/>
  <c r="X2249" i="3"/>
  <c r="X1129" i="3" s="1"/>
  <c r="X1675" i="3"/>
  <c r="X2235" i="3"/>
  <c r="X1115" i="3" s="1"/>
  <c r="X1469" i="3"/>
  <c r="X2029" i="3"/>
  <c r="X909" i="3" s="1"/>
  <c r="X1501" i="3"/>
  <c r="X2061" i="3"/>
  <c r="X941" i="3" s="1"/>
  <c r="X1549" i="3"/>
  <c r="X2109" i="3"/>
  <c r="X989" i="3" s="1"/>
  <c r="X1613" i="3"/>
  <c r="X2173" i="3"/>
  <c r="X1053" i="3" s="1"/>
  <c r="X1641" i="3"/>
  <c r="X2201" i="3"/>
  <c r="X1081" i="3" s="1"/>
  <c r="T1474" i="3"/>
  <c r="T2034" i="3"/>
  <c r="T914" i="3" s="1"/>
  <c r="T1542" i="3"/>
  <c r="T2102" i="3"/>
  <c r="T982" i="3" s="1"/>
  <c r="T1466" i="3"/>
  <c r="T2026" i="3"/>
  <c r="T906" i="3" s="1"/>
  <c r="T1483" i="3"/>
  <c r="T2043" i="3"/>
  <c r="T923" i="3" s="1"/>
  <c r="T1627" i="3"/>
  <c r="T2187" i="3"/>
  <c r="T1067" i="3" s="1"/>
  <c r="T1614" i="3"/>
  <c r="T2174" i="3"/>
  <c r="T1054" i="3" s="1"/>
  <c r="T1638" i="3"/>
  <c r="T2198" i="3"/>
  <c r="T1078" i="3" s="1"/>
  <c r="T1574" i="3"/>
  <c r="T2134" i="3"/>
  <c r="T1014" i="3" s="1"/>
  <c r="T1590" i="3"/>
  <c r="T2150" i="3"/>
  <c r="T1030" i="3" s="1"/>
  <c r="T1551" i="3"/>
  <c r="T2111" i="3"/>
  <c r="T991" i="3" s="1"/>
  <c r="T1569" i="3"/>
  <c r="T2129" i="3"/>
  <c r="T1009" i="3" s="1"/>
  <c r="T1585" i="3"/>
  <c r="T2145" i="3"/>
  <c r="T1025" i="3" s="1"/>
  <c r="T1606" i="3"/>
  <c r="T2166" i="3"/>
  <c r="T1046" i="3" s="1"/>
  <c r="T1635" i="3"/>
  <c r="T2195" i="3"/>
  <c r="T1075" i="3" s="1"/>
  <c r="T1473" i="3"/>
  <c r="T2033" i="3"/>
  <c r="T913" i="3" s="1"/>
  <c r="T1489" i="3"/>
  <c r="T2049" i="3"/>
  <c r="T929" i="3" s="1"/>
  <c r="T1505" i="3"/>
  <c r="T2065" i="3"/>
  <c r="T945" i="3" s="1"/>
  <c r="T1521" i="3"/>
  <c r="T2081" i="3"/>
  <c r="T961" i="3" s="1"/>
  <c r="T2097" i="3"/>
  <c r="T977" i="3" s="1"/>
  <c r="T1537" i="3"/>
  <c r="T1531" i="3"/>
  <c r="T2091" i="3"/>
  <c r="T971" i="3" s="1"/>
  <c r="T1708" i="3"/>
  <c r="T2249" i="3"/>
  <c r="T1129" i="3" s="1"/>
  <c r="T1689" i="3"/>
  <c r="T1675" i="3"/>
  <c r="T2235" i="3"/>
  <c r="T1115" i="3" s="1"/>
  <c r="T1670" i="3"/>
  <c r="T2230" i="3"/>
  <c r="T1110" i="3" s="1"/>
  <c r="T1579" i="3"/>
  <c r="T2139" i="3"/>
  <c r="T1019" i="3" s="1"/>
  <c r="T1628" i="3"/>
  <c r="T2188" i="3"/>
  <c r="T1068" i="3" s="1"/>
  <c r="T1629" i="3"/>
  <c r="T2189" i="3"/>
  <c r="T1069" i="3" s="1"/>
  <c r="T1639" i="3"/>
  <c r="T2199" i="3"/>
  <c r="T1079" i="3" s="1"/>
  <c r="T1667" i="3"/>
  <c r="T2227" i="3"/>
  <c r="T1107" i="3" s="1"/>
  <c r="T1640" i="3"/>
  <c r="T2200" i="3"/>
  <c r="T1080" i="3" s="1"/>
  <c r="T1553" i="3"/>
  <c r="T2113" i="3"/>
  <c r="T993" i="3" s="1"/>
  <c r="T1504" i="3"/>
  <c r="T2064" i="3"/>
  <c r="T944" i="3" s="1"/>
  <c r="T2080" i="3"/>
  <c r="T960" i="3" s="1"/>
  <c r="T1520" i="3"/>
  <c r="T1564" i="3"/>
  <c r="T2124" i="3"/>
  <c r="T1004" i="3" s="1"/>
  <c r="T1580" i="3"/>
  <c r="T2140" i="3"/>
  <c r="T1020" i="3" s="1"/>
  <c r="T2156" i="3"/>
  <c r="T1036" i="3" s="1"/>
  <c r="T1596" i="3"/>
  <c r="T1712" i="3"/>
  <c r="T1728" i="3"/>
  <c r="T1617" i="3"/>
  <c r="T2177" i="3"/>
  <c r="T1057" i="3" s="1"/>
  <c r="T1693" i="3"/>
  <c r="T2253" i="3"/>
  <c r="T1133" i="3" s="1"/>
  <c r="T1719" i="3"/>
  <c r="P1662" i="3"/>
  <c r="P2222" i="3"/>
  <c r="P1102" i="3" s="1"/>
  <c r="P1595" i="3"/>
  <c r="P2155" i="3"/>
  <c r="P1035" i="3" s="1"/>
  <c r="P1626" i="3"/>
  <c r="P2186" i="3"/>
  <c r="P1066" i="3" s="1"/>
  <c r="P1550" i="3"/>
  <c r="P2110" i="3"/>
  <c r="P990" i="3" s="1"/>
  <c r="P1466" i="3"/>
  <c r="P2026" i="3"/>
  <c r="P906" i="3" s="1"/>
  <c r="P1482" i="3"/>
  <c r="P2042" i="3"/>
  <c r="P922" i="3" s="1"/>
  <c r="P1530" i="3"/>
  <c r="P2090" i="3"/>
  <c r="P970" i="3" s="1"/>
  <c r="P1570" i="3"/>
  <c r="P2130" i="3"/>
  <c r="P1010" i="3" s="1"/>
  <c r="P1586" i="3"/>
  <c r="P2146" i="3"/>
  <c r="P1026" i="3" s="1"/>
  <c r="P1710" i="3"/>
  <c r="P1730" i="3"/>
  <c r="P1475" i="3"/>
  <c r="P2035" i="3"/>
  <c r="P915" i="3" s="1"/>
  <c r="P1491" i="3"/>
  <c r="P2051" i="3"/>
  <c r="P931" i="3" s="1"/>
  <c r="P1539" i="3"/>
  <c r="P2099" i="3"/>
  <c r="P979" i="3" s="1"/>
  <c r="P2219" i="3"/>
  <c r="P1099" i="3" s="1"/>
  <c r="P1659" i="3"/>
  <c r="P1715" i="3"/>
  <c r="P1504" i="3"/>
  <c r="P2064" i="3"/>
  <c r="P944" i="3" s="1"/>
  <c r="P1520" i="3"/>
  <c r="P2080" i="3"/>
  <c r="P960" i="3" s="1"/>
  <c r="P1688" i="3"/>
  <c r="P2248" i="3"/>
  <c r="P1128" i="3" s="1"/>
  <c r="P1720" i="3"/>
  <c r="P1736" i="3"/>
  <c r="P1729" i="3"/>
  <c r="P1727" i="3"/>
  <c r="P1579" i="3"/>
  <c r="P2139" i="3"/>
  <c r="P1019" i="3" s="1"/>
  <c r="P1620" i="3"/>
  <c r="P2180" i="3"/>
  <c r="P1060" i="3" s="1"/>
  <c r="P1648" i="3"/>
  <c r="P2208" i="3"/>
  <c r="P1088" i="3" s="1"/>
  <c r="P1650" i="3"/>
  <c r="P2210" i="3"/>
  <c r="P1090" i="3" s="1"/>
  <c r="P1679" i="3"/>
  <c r="P2239" i="3"/>
  <c r="P1119" i="3" s="1"/>
  <c r="P1572" i="3"/>
  <c r="P2132" i="3"/>
  <c r="P1012" i="3" s="1"/>
  <c r="P1588" i="3"/>
  <c r="P2148" i="3"/>
  <c r="P1028" i="3" s="1"/>
  <c r="P1617" i="3"/>
  <c r="P2177" i="3"/>
  <c r="P1057" i="3" s="1"/>
  <c r="P1469" i="3"/>
  <c r="P2029" i="3"/>
  <c r="P909" i="3" s="1"/>
  <c r="P1501" i="3"/>
  <c r="P2061" i="3"/>
  <c r="P941" i="3" s="1"/>
  <c r="P1549" i="3"/>
  <c r="P2109" i="3"/>
  <c r="P989" i="3" s="1"/>
  <c r="P1613" i="3"/>
  <c r="P2173" i="3"/>
  <c r="P1053" i="3" s="1"/>
  <c r="P1641" i="3"/>
  <c r="P2201" i="3"/>
  <c r="P1081" i="3" s="1"/>
  <c r="P1656" i="3"/>
  <c r="P2216" i="3"/>
  <c r="P1096" i="3" s="1"/>
  <c r="P1676" i="3"/>
  <c r="P2236" i="3"/>
  <c r="P1116" i="3" s="1"/>
  <c r="P1561" i="3"/>
  <c r="P2121" i="3"/>
  <c r="P1001" i="3" s="1"/>
  <c r="P1661" i="3"/>
  <c r="P2221" i="3"/>
  <c r="P1101" i="3" s="1"/>
  <c r="P1721" i="3"/>
  <c r="AX1602" i="3"/>
  <c r="AX2162" i="3"/>
  <c r="AX1042" i="3" s="1"/>
  <c r="AX1586" i="3"/>
  <c r="AX2146" i="3"/>
  <c r="AX1026" i="3" s="1"/>
  <c r="AX1570" i="3"/>
  <c r="AX2130" i="3"/>
  <c r="AX1010" i="3" s="1"/>
  <c r="AX1554" i="3"/>
  <c r="AX2114" i="3"/>
  <c r="AX994" i="3" s="1"/>
  <c r="AX1702" i="3"/>
  <c r="AX2262" i="3"/>
  <c r="AX1142" i="3" s="1"/>
  <c r="AX1690" i="3"/>
  <c r="AX2250" i="3"/>
  <c r="AX1130" i="3" s="1"/>
  <c r="AX1470" i="3"/>
  <c r="AX2030" i="3"/>
  <c r="AX910" i="3" s="1"/>
  <c r="AX1502" i="3"/>
  <c r="AX2062" i="3"/>
  <c r="AX942" i="3" s="1"/>
  <c r="AX1534" i="3"/>
  <c r="AX2094" i="3"/>
  <c r="AX1658" i="3"/>
  <c r="AX2218" i="3"/>
  <c r="AX1098" i="3" s="1"/>
  <c r="AX1598" i="3"/>
  <c r="AX2158" i="3"/>
  <c r="AX1038" i="3" s="1"/>
  <c r="AX1630" i="3"/>
  <c r="AX2190" i="3"/>
  <c r="AX1070" i="3" s="1"/>
  <c r="AX1650" i="3"/>
  <c r="AX2210" i="3"/>
  <c r="AX1090" i="3" s="1"/>
  <c r="AX1619" i="3"/>
  <c r="AX2179" i="3"/>
  <c r="AX1059" i="3" s="1"/>
  <c r="AX1616" i="3"/>
  <c r="AX2176" i="3"/>
  <c r="AX1056" i="3" s="1"/>
  <c r="AX1621" i="3"/>
  <c r="AX2181" i="3"/>
  <c r="AX1061" i="3" s="1"/>
  <c r="AX1567" i="3"/>
  <c r="AX2127" i="3"/>
  <c r="AX1007" i="3" s="1"/>
  <c r="AX1583" i="3"/>
  <c r="AX2143" i="3"/>
  <c r="AX1023" i="3" s="1"/>
  <c r="AX1611" i="3"/>
  <c r="AX2171" i="3"/>
  <c r="AX1051" i="3" s="1"/>
  <c r="AX1635" i="3"/>
  <c r="AX2195" i="3"/>
  <c r="AX1075" i="3" s="1"/>
  <c r="AX1476" i="3"/>
  <c r="AX2036" i="3"/>
  <c r="AX916" i="3" s="1"/>
  <c r="AX1492" i="3"/>
  <c r="AX2052" i="3"/>
  <c r="AX932" i="3" s="1"/>
  <c r="AX1508" i="3"/>
  <c r="AX2068" i="3"/>
  <c r="AX948" i="3" s="1"/>
  <c r="AX1540" i="3"/>
  <c r="AX2100" i="3"/>
  <c r="AX980" i="3" s="1"/>
  <c r="AX1664" i="3"/>
  <c r="AX2224" i="3"/>
  <c r="AX1104" i="3" s="1"/>
  <c r="AX1688" i="3"/>
  <c r="AX2248" i="3"/>
  <c r="AX1128" i="3" s="1"/>
  <c r="AX1469" i="3"/>
  <c r="AX2029" i="3"/>
  <c r="AX909" i="3" s="1"/>
  <c r="AX1501" i="3"/>
  <c r="AX2061" i="3"/>
  <c r="AX941" i="3" s="1"/>
  <c r="AX1533" i="3"/>
  <c r="AX2093" i="3"/>
  <c r="AX1549" i="3"/>
  <c r="AX2109" i="3"/>
  <c r="AX989" i="3" s="1"/>
  <c r="AX1577" i="3"/>
  <c r="AX2137" i="3"/>
  <c r="AX1017" i="3" s="1"/>
  <c r="AX1661" i="3"/>
  <c r="AX2221" i="3"/>
  <c r="AX1101" i="3" s="1"/>
  <c r="AX1685" i="3"/>
  <c r="AX2245" i="3"/>
  <c r="AX1125" i="3" s="1"/>
  <c r="AX1717" i="3"/>
  <c r="AX1699" i="3"/>
  <c r="AX2259" i="3"/>
  <c r="AX1139" i="3" s="1"/>
  <c r="AX1670" i="3"/>
  <c r="AX2230" i="3"/>
  <c r="AX1110" i="3" s="1"/>
  <c r="AX1694" i="3"/>
  <c r="AX2254" i="3"/>
  <c r="AX1134" i="3" s="1"/>
  <c r="AX1467" i="3"/>
  <c r="AX2027" i="3"/>
  <c r="AX907" i="3" s="1"/>
  <c r="AX1483" i="3"/>
  <c r="AX2043" i="3"/>
  <c r="AX923" i="3" s="1"/>
  <c r="AX1499" i="3"/>
  <c r="AX2059" i="3"/>
  <c r="AX939" i="3" s="1"/>
  <c r="AX1531" i="3"/>
  <c r="AX2091" i="3"/>
  <c r="AX971" i="3" s="1"/>
  <c r="AX1547" i="3"/>
  <c r="AX2107" i="3"/>
  <c r="AX987" i="3" s="1"/>
  <c r="AX1655" i="3"/>
  <c r="AX2215" i="3"/>
  <c r="AX1095" i="3" s="1"/>
  <c r="AX1692" i="3"/>
  <c r="AX2252" i="3"/>
  <c r="AX1132" i="3" s="1"/>
  <c r="AX1679" i="3"/>
  <c r="AX2239" i="3"/>
  <c r="AX1119" i="3" s="1"/>
  <c r="AX1560" i="3"/>
  <c r="AX2120" i="3"/>
  <c r="AX1000" i="3" s="1"/>
  <c r="AX1576" i="3"/>
  <c r="AX2136" i="3"/>
  <c r="AX1016" i="3" s="1"/>
  <c r="AX1592" i="3"/>
  <c r="AX2152" i="3"/>
  <c r="AX1032" i="3" s="1"/>
  <c r="AX1620" i="3"/>
  <c r="AX2180" i="3"/>
  <c r="AX1060" i="3" s="1"/>
  <c r="AX1700" i="3"/>
  <c r="AX2260" i="3"/>
  <c r="AX1140" i="3" s="1"/>
  <c r="AX1557" i="3"/>
  <c r="AX2117" i="3"/>
  <c r="AX997" i="3" s="1"/>
  <c r="AX1589" i="3"/>
  <c r="AX2149" i="3"/>
  <c r="AX1029" i="3" s="1"/>
  <c r="AX1613" i="3"/>
  <c r="AX2173" i="3"/>
  <c r="AX1053" i="3" s="1"/>
  <c r="AX1633" i="3"/>
  <c r="AX2193" i="3"/>
  <c r="AX1073" i="3" s="1"/>
  <c r="AX1693" i="3"/>
  <c r="AX2253" i="3"/>
  <c r="AX1133" i="3" s="1"/>
  <c r="AX1683" i="3"/>
  <c r="AX2243" i="3"/>
  <c r="AX1123" i="3" s="1"/>
  <c r="AX1727" i="3"/>
  <c r="AT1511" i="3"/>
  <c r="AT2071" i="3"/>
  <c r="AT951" i="3" s="1"/>
  <c r="AT1666" i="3"/>
  <c r="AT2226" i="3"/>
  <c r="AT1106" i="3" s="1"/>
  <c r="AT1670" i="3"/>
  <c r="AT2230" i="3"/>
  <c r="AT1110" i="3" s="1"/>
  <c r="AT1503" i="3"/>
  <c r="AT2063" i="3"/>
  <c r="AT943" i="3" s="1"/>
  <c r="AT1726" i="3"/>
  <c r="AT1650" i="3"/>
  <c r="AT2210" i="3"/>
  <c r="AT1090" i="3" s="1"/>
  <c r="AT1610" i="3"/>
  <c r="AT2170" i="3"/>
  <c r="AT1050" i="3" s="1"/>
  <c r="AT1595" i="3"/>
  <c r="AT2155" i="3"/>
  <c r="AT1035" i="3" s="1"/>
  <c r="AT1558" i="3"/>
  <c r="AT2118" i="3"/>
  <c r="AT998" i="3" s="1"/>
  <c r="AT1574" i="3"/>
  <c r="AT2134" i="3"/>
  <c r="AT1014" i="3" s="1"/>
  <c r="AT1590" i="3"/>
  <c r="AT2150" i="3"/>
  <c r="AT1030" i="3" s="1"/>
  <c r="AT1618" i="3"/>
  <c r="AT2178" i="3"/>
  <c r="AT1058" i="3" s="1"/>
  <c r="AT1690" i="3"/>
  <c r="AT2250" i="3"/>
  <c r="AT1130" i="3" s="1"/>
  <c r="AT1718" i="3"/>
  <c r="AT1551" i="3"/>
  <c r="AT2111" i="3"/>
  <c r="AT991" i="3" s="1"/>
  <c r="AT1571" i="3"/>
  <c r="AT2131" i="3"/>
  <c r="AT1011" i="3" s="1"/>
  <c r="AT1587" i="3"/>
  <c r="AT2147" i="3"/>
  <c r="AT1027" i="3" s="1"/>
  <c r="AT1615" i="3"/>
  <c r="AT2175" i="3"/>
  <c r="AT1055" i="3" s="1"/>
  <c r="AT1659" i="3"/>
  <c r="AT2219" i="3"/>
  <c r="AT1099" i="3" s="1"/>
  <c r="AT1548" i="3"/>
  <c r="AT2108" i="3"/>
  <c r="AT988" i="3" s="1"/>
  <c r="AT1572" i="3"/>
  <c r="AT2132" i="3"/>
  <c r="AT1012" i="3" s="1"/>
  <c r="AT1588" i="3"/>
  <c r="AT2148" i="3"/>
  <c r="AT1028" i="3" s="1"/>
  <c r="AT1608" i="3"/>
  <c r="AT2168" i="3"/>
  <c r="AT1048" i="3" s="1"/>
  <c r="AT1700" i="3"/>
  <c r="AT2260" i="3"/>
  <c r="AT1140" i="3" s="1"/>
  <c r="AT1557" i="3"/>
  <c r="AT2117" i="3"/>
  <c r="AT997" i="3" s="1"/>
  <c r="AT1589" i="3"/>
  <c r="AT2149" i="3"/>
  <c r="AT1029" i="3" s="1"/>
  <c r="AT1613" i="3"/>
  <c r="AT2173" i="3"/>
  <c r="AT1053" i="3" s="1"/>
  <c r="AT1633" i="3"/>
  <c r="AT2193" i="3"/>
  <c r="AT1073" i="3" s="1"/>
  <c r="AT1709" i="3"/>
  <c r="AT1737" i="3"/>
  <c r="AT1719" i="3"/>
  <c r="AT1535" i="3"/>
  <c r="AT2095" i="3"/>
  <c r="AT1555" i="3"/>
  <c r="AT2115" i="3"/>
  <c r="AT995" i="3" s="1"/>
  <c r="AT1656" i="3"/>
  <c r="AT2216" i="3"/>
  <c r="AT1096" i="3" s="1"/>
  <c r="AT1470" i="3"/>
  <c r="AT2030" i="3"/>
  <c r="AT910" i="3" s="1"/>
  <c r="AT1502" i="3"/>
  <c r="AT2062" i="3"/>
  <c r="AT942" i="3" s="1"/>
  <c r="AT1534" i="3"/>
  <c r="AT2094" i="3"/>
  <c r="AT1658" i="3"/>
  <c r="AT2218" i="3"/>
  <c r="AT1098" i="3" s="1"/>
  <c r="AT1639" i="3"/>
  <c r="AT2199" i="3"/>
  <c r="AT1079" i="3" s="1"/>
  <c r="AT1612" i="3"/>
  <c r="AT2172" i="3"/>
  <c r="AT1052" i="3" s="1"/>
  <c r="AT1636" i="3"/>
  <c r="AT2196" i="3"/>
  <c r="AT1076" i="3" s="1"/>
  <c r="AT1605" i="3"/>
  <c r="AT2165" i="3"/>
  <c r="AT1045" i="3" s="1"/>
  <c r="AT1695" i="3"/>
  <c r="AT2255" i="3"/>
  <c r="AT1135" i="3" s="1"/>
  <c r="AT1472" i="3"/>
  <c r="AT2032" i="3"/>
  <c r="AT912" i="3" s="1"/>
  <c r="AT1504" i="3"/>
  <c r="AT2064" i="3"/>
  <c r="AT944" i="3" s="1"/>
  <c r="AT1520" i="3"/>
  <c r="AT2080" i="3"/>
  <c r="AT960" i="3" s="1"/>
  <c r="AT1536" i="3"/>
  <c r="AT2096" i="3"/>
  <c r="AT1556" i="3"/>
  <c r="AT2116" i="3"/>
  <c r="AT996" i="3" s="1"/>
  <c r="AT1680" i="3"/>
  <c r="AT2240" i="3"/>
  <c r="AT1120" i="3" s="1"/>
  <c r="AT1708" i="3"/>
  <c r="AT1481" i="3"/>
  <c r="AT2041" i="3"/>
  <c r="AT921" i="3" s="1"/>
  <c r="AT2057" i="3"/>
  <c r="AT1497" i="3"/>
  <c r="AT1513" i="3"/>
  <c r="AT2073" i="3"/>
  <c r="AT953" i="3" s="1"/>
  <c r="AT1529" i="3"/>
  <c r="AT2089" i="3"/>
  <c r="AT969" i="3" s="1"/>
  <c r="AT1545" i="3"/>
  <c r="AT2105" i="3"/>
  <c r="AT985" i="3" s="1"/>
  <c r="AT1569" i="3"/>
  <c r="AT2129" i="3"/>
  <c r="AT1009" i="3" s="1"/>
  <c r="AT1657" i="3"/>
  <c r="AT2217" i="3"/>
  <c r="AT1097" i="3" s="1"/>
  <c r="AT1681" i="3"/>
  <c r="AT2241" i="3"/>
  <c r="AT1121" i="3" s="1"/>
  <c r="AT1691" i="3"/>
  <c r="AT2251" i="3"/>
  <c r="AT1131" i="3" s="1"/>
  <c r="AP1502" i="3"/>
  <c r="AP2062" i="3"/>
  <c r="AP942" i="3" s="1"/>
  <c r="AP1498" i="3"/>
  <c r="AP2058" i="3"/>
  <c r="AP1546" i="3"/>
  <c r="AP2106" i="3"/>
  <c r="AP986" i="3" s="1"/>
  <c r="AP1522" i="3"/>
  <c r="AP2082" i="3"/>
  <c r="AP962" i="3" s="1"/>
  <c r="AP1662" i="3"/>
  <c r="AP2222" i="3"/>
  <c r="AP1102" i="3" s="1"/>
  <c r="AP1567" i="3"/>
  <c r="AP2127" i="3"/>
  <c r="AP1007" i="3" s="1"/>
  <c r="AP1599" i="3"/>
  <c r="AP2159" i="3"/>
  <c r="AP1039" i="3" s="1"/>
  <c r="AP1600" i="3"/>
  <c r="AP2160" i="3"/>
  <c r="AP1040" i="3" s="1"/>
  <c r="AP1558" i="3"/>
  <c r="AP2118" i="3"/>
  <c r="AP998" i="3" s="1"/>
  <c r="AP1574" i="3"/>
  <c r="AP2134" i="3"/>
  <c r="AP1014" i="3" s="1"/>
  <c r="AP1590" i="3"/>
  <c r="AP2150" i="3"/>
  <c r="AP1030" i="3" s="1"/>
  <c r="AP1618" i="3"/>
  <c r="AP2178" i="3"/>
  <c r="AP1058" i="3" s="1"/>
  <c r="AP1690" i="3"/>
  <c r="AP2250" i="3"/>
  <c r="AP1130" i="3" s="1"/>
  <c r="AP1718" i="3"/>
  <c r="AP1563" i="3"/>
  <c r="AP2123" i="3"/>
  <c r="AP1003" i="3" s="1"/>
  <c r="AP1611" i="3"/>
  <c r="AP2171" i="3"/>
  <c r="AP1051" i="3" s="1"/>
  <c r="AP1605" i="3"/>
  <c r="AP2165" i="3"/>
  <c r="AP1045" i="3" s="1"/>
  <c r="AP1666" i="3"/>
  <c r="AP2226" i="3"/>
  <c r="AP1106" i="3" s="1"/>
  <c r="AP1682" i="3"/>
  <c r="AP2242" i="3"/>
  <c r="AP1122" i="3" s="1"/>
  <c r="AP1726" i="3"/>
  <c r="AP1479" i="3"/>
  <c r="AP2039" i="3"/>
  <c r="AP919" i="3" s="1"/>
  <c r="AP1495" i="3"/>
  <c r="AP2055" i="3"/>
  <c r="AP1511" i="3"/>
  <c r="AP2071" i="3"/>
  <c r="AP951" i="3" s="1"/>
  <c r="AP1527" i="3"/>
  <c r="AP2087" i="3"/>
  <c r="AP967" i="3" s="1"/>
  <c r="AP1543" i="3"/>
  <c r="AP2103" i="3"/>
  <c r="AP983" i="3" s="1"/>
  <c r="AP1667" i="3"/>
  <c r="AP2227" i="3"/>
  <c r="AP1107" i="3" s="1"/>
  <c r="AP1723" i="3"/>
  <c r="AP1480" i="3"/>
  <c r="AP2040" i="3"/>
  <c r="AP920" i="3" s="1"/>
  <c r="AP1496" i="3"/>
  <c r="AP2056" i="3"/>
  <c r="AP1512" i="3"/>
  <c r="AP2072" i="3"/>
  <c r="AP952" i="3" s="1"/>
  <c r="AP1528" i="3"/>
  <c r="AP2088" i="3"/>
  <c r="AP968" i="3" s="1"/>
  <c r="AP1544" i="3"/>
  <c r="AP2104" i="3"/>
  <c r="AP984" i="3" s="1"/>
  <c r="AP1668" i="3"/>
  <c r="AP2228" i="3"/>
  <c r="AP1108" i="3" s="1"/>
  <c r="AP1696" i="3"/>
  <c r="AP2256" i="3"/>
  <c r="AP1136" i="3" s="1"/>
  <c r="AP1473" i="3"/>
  <c r="AP2033" i="3"/>
  <c r="AP913" i="3" s="1"/>
  <c r="AP1489" i="3"/>
  <c r="AP2049" i="3"/>
  <c r="AP929" i="3" s="1"/>
  <c r="AP1505" i="3"/>
  <c r="AP2065" i="3"/>
  <c r="AP945" i="3" s="1"/>
  <c r="AP1521" i="3"/>
  <c r="AP2081" i="3"/>
  <c r="AP961" i="3" s="1"/>
  <c r="AP1537" i="3"/>
  <c r="AP2097" i="3"/>
  <c r="AP977" i="3" s="1"/>
  <c r="AP1553" i="3"/>
  <c r="AP2113" i="3"/>
  <c r="AP993" i="3" s="1"/>
  <c r="AP1585" i="3"/>
  <c r="AP2145" i="3"/>
  <c r="AP1025" i="3" s="1"/>
  <c r="AP1689" i="3"/>
  <c r="AP2249" i="3"/>
  <c r="AP1129" i="3" s="1"/>
  <c r="AP1721" i="3"/>
  <c r="AP1655" i="3"/>
  <c r="AP2215" i="3"/>
  <c r="AP1095" i="3" s="1"/>
  <c r="AP1610" i="3"/>
  <c r="AP2170" i="3"/>
  <c r="AP1050" i="3" s="1"/>
  <c r="AP1638" i="3"/>
  <c r="AP2198" i="3"/>
  <c r="AP1078" i="3" s="1"/>
  <c r="AP1595" i="3"/>
  <c r="AP2155" i="3"/>
  <c r="AP1035" i="3" s="1"/>
  <c r="AP1623" i="3"/>
  <c r="AP2183" i="3"/>
  <c r="AP1063" i="3" s="1"/>
  <c r="AP1679" i="3"/>
  <c r="AP2239" i="3"/>
  <c r="AP1119" i="3" s="1"/>
  <c r="AP1560" i="3"/>
  <c r="AP2120" i="3"/>
  <c r="AP1000" i="3" s="1"/>
  <c r="AP1576" i="3"/>
  <c r="AP2136" i="3"/>
  <c r="AP1016" i="3" s="1"/>
  <c r="AP1592" i="3"/>
  <c r="AP2152" i="3"/>
  <c r="AP1032" i="3" s="1"/>
  <c r="AP1620" i="3"/>
  <c r="AP2180" i="3"/>
  <c r="AP1060" i="3" s="1"/>
  <c r="AP1712" i="3"/>
  <c r="AP1728" i="3"/>
  <c r="AP1565" i="3"/>
  <c r="AP2125" i="3"/>
  <c r="AP1005" i="3" s="1"/>
  <c r="AP1597" i="3"/>
  <c r="AP2157" i="3"/>
  <c r="AP1037" i="3" s="1"/>
  <c r="AP1617" i="3"/>
  <c r="AP2177" i="3"/>
  <c r="AP1057" i="3" s="1"/>
  <c r="AP1637" i="3"/>
  <c r="AP2197" i="3"/>
  <c r="AP1077" i="3" s="1"/>
  <c r="AP1697" i="3"/>
  <c r="AP2257" i="3"/>
  <c r="AP1137" i="3" s="1"/>
  <c r="AP1729" i="3"/>
  <c r="AP1707" i="3"/>
  <c r="AP1735" i="3"/>
  <c r="AP1660" i="3"/>
  <c r="AP2220" i="3"/>
  <c r="AP1100" i="3" s="1"/>
  <c r="AP1665" i="3"/>
  <c r="AP2225" i="3"/>
  <c r="AP1105" i="3" s="1"/>
  <c r="AL1642" i="3"/>
  <c r="AL2202" i="3"/>
  <c r="AL1082" i="3" s="1"/>
  <c r="AL1731" i="3"/>
  <c r="AL1535" i="3"/>
  <c r="AL2095" i="3"/>
  <c r="AL1584" i="3"/>
  <c r="AL2144" i="3"/>
  <c r="AL1024" i="3" s="1"/>
  <c r="AL1626" i="3"/>
  <c r="AL2186" i="3"/>
  <c r="AL1066" i="3" s="1"/>
  <c r="AL1588" i="3"/>
  <c r="AL2148" i="3"/>
  <c r="AL1028" i="3" s="1"/>
  <c r="AL1678" i="3"/>
  <c r="AL2238" i="3"/>
  <c r="AL1118" i="3" s="1"/>
  <c r="AL1706" i="3"/>
  <c r="AL1475" i="3"/>
  <c r="AL2035" i="3"/>
  <c r="AL915" i="3" s="1"/>
  <c r="AL1491" i="3"/>
  <c r="AL2051" i="3"/>
  <c r="AL931" i="3" s="1"/>
  <c r="AL1507" i="3"/>
  <c r="AL2067" i="3"/>
  <c r="AL947" i="3" s="1"/>
  <c r="AL1547" i="3"/>
  <c r="AL2107" i="3"/>
  <c r="AL987" i="3" s="1"/>
  <c r="AL1592" i="3"/>
  <c r="AL2152" i="3"/>
  <c r="AL1032" i="3" s="1"/>
  <c r="AL1720" i="3"/>
  <c r="AL1736" i="3"/>
  <c r="AL1581" i="3"/>
  <c r="AL2141" i="3"/>
  <c r="AL1021" i="3" s="1"/>
  <c r="AL1609" i="3"/>
  <c r="AL2169" i="3"/>
  <c r="AL1049" i="3" s="1"/>
  <c r="AL1629" i="3"/>
  <c r="AL2189" i="3"/>
  <c r="AL1069" i="3" s="1"/>
  <c r="AL1705" i="3"/>
  <c r="AL1733" i="3"/>
  <c r="AL1711" i="3"/>
  <c r="AL1466" i="3"/>
  <c r="AL2026" i="3"/>
  <c r="AL906" i="3" s="1"/>
  <c r="AL1482" i="3"/>
  <c r="AL2042" i="3"/>
  <c r="AL922" i="3" s="1"/>
  <c r="AL1498" i="3"/>
  <c r="AL2058" i="3"/>
  <c r="AL1514" i="3"/>
  <c r="AL2074" i="3"/>
  <c r="AL954" i="3" s="1"/>
  <c r="AL1530" i="3"/>
  <c r="AL2090" i="3"/>
  <c r="AL970" i="3" s="1"/>
  <c r="AL1546" i="3"/>
  <c r="AL2106" i="3"/>
  <c r="AL986" i="3" s="1"/>
  <c r="AL1692" i="3"/>
  <c r="AL2252" i="3"/>
  <c r="AL1132" i="3" s="1"/>
  <c r="AL1595" i="3"/>
  <c r="AL2155" i="3"/>
  <c r="AL1035" i="3" s="1"/>
  <c r="AL1623" i="3"/>
  <c r="AL2183" i="3"/>
  <c r="AL1063" i="3" s="1"/>
  <c r="AL2201" i="3"/>
  <c r="AL1081" i="3" s="1"/>
  <c r="AL1641" i="3"/>
  <c r="AL1562" i="3"/>
  <c r="AL2122" i="3"/>
  <c r="AL1002" i="3" s="1"/>
  <c r="AL1578" i="3"/>
  <c r="AL2138" i="3"/>
  <c r="AL1018" i="3" s="1"/>
  <c r="AL1594" i="3"/>
  <c r="AL2154" i="3"/>
  <c r="AL1034" i="3" s="1"/>
  <c r="AL1622" i="3"/>
  <c r="AL2182" i="3"/>
  <c r="AL1062" i="3" s="1"/>
  <c r="AL1702" i="3"/>
  <c r="AL2262" i="3"/>
  <c r="AL1142" i="3" s="1"/>
  <c r="AL1722" i="3"/>
  <c r="AL1559" i="3"/>
  <c r="AL2119" i="3"/>
  <c r="AL999" i="3" s="1"/>
  <c r="AL1575" i="3"/>
  <c r="AL2135" i="3"/>
  <c r="AL1015" i="3" s="1"/>
  <c r="AL1591" i="3"/>
  <c r="AL2151" i="3"/>
  <c r="AL1031" i="3" s="1"/>
  <c r="AL1627" i="3"/>
  <c r="AL2187" i="3"/>
  <c r="AL1067" i="3" s="1"/>
  <c r="AL1687" i="3"/>
  <c r="AL2247" i="3"/>
  <c r="AL1127" i="3" s="1"/>
  <c r="AL1468" i="3"/>
  <c r="AL2028" i="3"/>
  <c r="AL908" i="3" s="1"/>
  <c r="AL1484" i="3"/>
  <c r="AL2044" i="3"/>
  <c r="AL924" i="3" s="1"/>
  <c r="AL1500" i="3"/>
  <c r="AL2060" i="3"/>
  <c r="AL940" i="3" s="1"/>
  <c r="AL1532" i="3"/>
  <c r="AL2092" i="3"/>
  <c r="AL972" i="3" s="1"/>
  <c r="AL1552" i="3"/>
  <c r="AL2112" i="3"/>
  <c r="AL992" i="3" s="1"/>
  <c r="AL1676" i="3"/>
  <c r="AL2236" i="3"/>
  <c r="AL1116" i="3" s="1"/>
  <c r="AL1704" i="3"/>
  <c r="AL2264" i="3"/>
  <c r="AL1144" i="3" s="1"/>
  <c r="AL1477" i="3"/>
  <c r="AL2037" i="3"/>
  <c r="AL917" i="3" s="1"/>
  <c r="AL1493" i="3"/>
  <c r="AL2053" i="3"/>
  <c r="AL933" i="3" s="1"/>
  <c r="AL1509" i="3"/>
  <c r="AL2069" i="3"/>
  <c r="AL949" i="3" s="1"/>
  <c r="AL1541" i="3"/>
  <c r="AL2101" i="3"/>
  <c r="AL981" i="3" s="1"/>
  <c r="AL1561" i="3"/>
  <c r="AL2121" i="3"/>
  <c r="AL1001" i="3" s="1"/>
  <c r="AL1593" i="3"/>
  <c r="AL2153" i="3"/>
  <c r="AL1033" i="3" s="1"/>
  <c r="AL1677" i="3"/>
  <c r="AL2237" i="3"/>
  <c r="AL1117" i="3" s="1"/>
  <c r="AL1701" i="3"/>
  <c r="AL2261" i="3"/>
  <c r="AL1141" i="3" s="1"/>
  <c r="AL1675" i="3"/>
  <c r="AL2235" i="3"/>
  <c r="AL1115" i="3" s="1"/>
  <c r="AL1612" i="3"/>
  <c r="AL2172" i="3"/>
  <c r="AL1052" i="3" s="1"/>
  <c r="AL1640" i="3"/>
  <c r="AL2200" i="3"/>
  <c r="AL1080" i="3" s="1"/>
  <c r="AL1621" i="3"/>
  <c r="AL2181" i="3"/>
  <c r="AL1061" i="3" s="1"/>
  <c r="AH1695" i="3"/>
  <c r="AH2255" i="3"/>
  <c r="AH1135" i="3" s="1"/>
  <c r="AH1536" i="3"/>
  <c r="AH2096" i="3"/>
  <c r="AH1562" i="3"/>
  <c r="AH2122" i="3"/>
  <c r="AH1002" i="3" s="1"/>
  <c r="AH1578" i="3"/>
  <c r="AH2138" i="3"/>
  <c r="AH1018" i="3" s="1"/>
  <c r="AH1594" i="3"/>
  <c r="AH2154" i="3"/>
  <c r="AH1034" i="3" s="1"/>
  <c r="AH1622" i="3"/>
  <c r="AH2182" i="3"/>
  <c r="AH1062" i="3" s="1"/>
  <c r="AH1702" i="3"/>
  <c r="AH2262" i="3"/>
  <c r="AH1142" i="3" s="1"/>
  <c r="AH1722" i="3"/>
  <c r="AH1476" i="3"/>
  <c r="AH2036" i="3"/>
  <c r="AH916" i="3" s="1"/>
  <c r="AH1540" i="3"/>
  <c r="AH2100" i="3"/>
  <c r="AH980" i="3" s="1"/>
  <c r="AH1474" i="3"/>
  <c r="AH2034" i="3"/>
  <c r="AH914" i="3" s="1"/>
  <c r="AH1490" i="3"/>
  <c r="AH2050" i="3"/>
  <c r="AH930" i="3" s="1"/>
  <c r="AH1506" i="3"/>
  <c r="AH2066" i="3"/>
  <c r="AH946" i="3" s="1"/>
  <c r="AH1522" i="3"/>
  <c r="AH2082" i="3"/>
  <c r="AH962" i="3" s="1"/>
  <c r="AH1538" i="3"/>
  <c r="AH2098" i="3"/>
  <c r="AH978" i="3" s="1"/>
  <c r="AH1662" i="3"/>
  <c r="AH2222" i="3"/>
  <c r="AH1102" i="3" s="1"/>
  <c r="AH1480" i="3"/>
  <c r="AH2040" i="3"/>
  <c r="AH920" i="3" s="1"/>
  <c r="AH1544" i="3"/>
  <c r="AH2104" i="3"/>
  <c r="AH984" i="3" s="1"/>
  <c r="AH1676" i="3"/>
  <c r="AH2236" i="3"/>
  <c r="AH1116" i="3" s="1"/>
  <c r="AH1704" i="3"/>
  <c r="AH2264" i="3"/>
  <c r="AH1144" i="3" s="1"/>
  <c r="AH1477" i="3"/>
  <c r="AH2037" i="3"/>
  <c r="AH917" i="3" s="1"/>
  <c r="AH1493" i="3"/>
  <c r="AH2053" i="3"/>
  <c r="AH933" i="3" s="1"/>
  <c r="AH1509" i="3"/>
  <c r="AH2069" i="3"/>
  <c r="AH949" i="3" s="1"/>
  <c r="AH1541" i="3"/>
  <c r="AH2101" i="3"/>
  <c r="AH981" i="3" s="1"/>
  <c r="AH1561" i="3"/>
  <c r="AH2121" i="3"/>
  <c r="AH1001" i="3" s="1"/>
  <c r="AH1593" i="3"/>
  <c r="AH2153" i="3"/>
  <c r="AH1033" i="3" s="1"/>
  <c r="AH1677" i="3"/>
  <c r="AH2237" i="3"/>
  <c r="AH1117" i="3" s="1"/>
  <c r="AH1701" i="3"/>
  <c r="AH2261" i="3"/>
  <c r="AH1141" i="3" s="1"/>
  <c r="AH1675" i="3"/>
  <c r="AH2235" i="3"/>
  <c r="AH1115" i="3" s="1"/>
  <c r="AH1610" i="3"/>
  <c r="AH2170" i="3"/>
  <c r="AH1050" i="3" s="1"/>
  <c r="AH1638" i="3"/>
  <c r="AH2198" i="3"/>
  <c r="AH1078" i="3" s="1"/>
  <c r="AH1595" i="3"/>
  <c r="AH2155" i="3"/>
  <c r="AH1035" i="3" s="1"/>
  <c r="AH1623" i="3"/>
  <c r="AH2183" i="3"/>
  <c r="AH1063" i="3" s="1"/>
  <c r="AH1559" i="3"/>
  <c r="AH2119" i="3"/>
  <c r="AH999" i="3" s="1"/>
  <c r="AH1575" i="3"/>
  <c r="AH2135" i="3"/>
  <c r="AH1015" i="3" s="1"/>
  <c r="AH1591" i="3"/>
  <c r="AH2151" i="3"/>
  <c r="AH1031" i="3" s="1"/>
  <c r="AH1627" i="3"/>
  <c r="AH2187" i="3"/>
  <c r="AH1067" i="3" s="1"/>
  <c r="AH1666" i="3"/>
  <c r="AH2226" i="3"/>
  <c r="AH1106" i="3" s="1"/>
  <c r="AH1682" i="3"/>
  <c r="AH2242" i="3"/>
  <c r="AH1122" i="3" s="1"/>
  <c r="AH1726" i="3"/>
  <c r="AH1479" i="3"/>
  <c r="AH2039" i="3"/>
  <c r="AH919" i="3" s="1"/>
  <c r="AH1495" i="3"/>
  <c r="AH2055" i="3"/>
  <c r="AH1511" i="3"/>
  <c r="AH2071" i="3"/>
  <c r="AH951" i="3" s="1"/>
  <c r="AH1527" i="3"/>
  <c r="AH2087" i="3"/>
  <c r="AH967" i="3" s="1"/>
  <c r="AH1543" i="3"/>
  <c r="AH2103" i="3"/>
  <c r="AH983" i="3" s="1"/>
  <c r="AH1667" i="3"/>
  <c r="AH2227" i="3"/>
  <c r="AH1107" i="3" s="1"/>
  <c r="AH1628" i="3"/>
  <c r="AH2188" i="3"/>
  <c r="AH1068" i="3" s="1"/>
  <c r="AH1684" i="3"/>
  <c r="AH2244" i="3"/>
  <c r="AH1124" i="3" s="1"/>
  <c r="AH1669" i="3"/>
  <c r="AH2229" i="3"/>
  <c r="AH1109" i="3" s="1"/>
  <c r="AH1548" i="3"/>
  <c r="AH2108" i="3"/>
  <c r="AH988" i="3" s="1"/>
  <c r="AH1572" i="3"/>
  <c r="AH2132" i="3"/>
  <c r="AH1012" i="3" s="1"/>
  <c r="AH1588" i="3"/>
  <c r="AH2148" i="3"/>
  <c r="AH1028" i="3" s="1"/>
  <c r="AH1608" i="3"/>
  <c r="AH2168" i="3"/>
  <c r="AH1048" i="3" s="1"/>
  <c r="AH1700" i="3"/>
  <c r="AH2260" i="3"/>
  <c r="AH1140" i="3" s="1"/>
  <c r="AH1557" i="3"/>
  <c r="AH2117" i="3"/>
  <c r="AH997" i="3" s="1"/>
  <c r="AH1589" i="3"/>
  <c r="AH2149" i="3"/>
  <c r="AH1029" i="3" s="1"/>
  <c r="AH2173" i="3"/>
  <c r="AH1053" i="3" s="1"/>
  <c r="AH1613" i="3"/>
  <c r="AH1633" i="3"/>
  <c r="AH2193" i="3"/>
  <c r="AH1073" i="3" s="1"/>
  <c r="AH1693" i="3"/>
  <c r="AH2253" i="3"/>
  <c r="AH1133" i="3" s="1"/>
  <c r="AH1683" i="3"/>
  <c r="AH2243" i="3"/>
  <c r="AH1123" i="3" s="1"/>
  <c r="AH1727" i="3"/>
  <c r="AD1598" i="3"/>
  <c r="AD2158" i="3"/>
  <c r="AD1038" i="3" s="1"/>
  <c r="AD1630" i="3"/>
  <c r="AD2190" i="3"/>
  <c r="AD1070" i="3" s="1"/>
  <c r="AD1682" i="3"/>
  <c r="AD2242" i="3"/>
  <c r="AD1122" i="3" s="1"/>
  <c r="AD1726" i="3"/>
  <c r="AD1511" i="3"/>
  <c r="AD2071" i="3"/>
  <c r="AD951" i="3" s="1"/>
  <c r="AD1527" i="3"/>
  <c r="AD2087" i="3"/>
  <c r="AD967" i="3" s="1"/>
  <c r="AD1619" i="3"/>
  <c r="AD2179" i="3"/>
  <c r="AD1059" i="3" s="1"/>
  <c r="AD1656" i="3"/>
  <c r="AD2216" i="3"/>
  <c r="AD1096" i="3" s="1"/>
  <c r="AD1574" i="3"/>
  <c r="AD2134" i="3"/>
  <c r="AD1014" i="3" s="1"/>
  <c r="AD1590" i="3"/>
  <c r="AD2150" i="3"/>
  <c r="AD1030" i="3" s="1"/>
  <c r="AD1618" i="3"/>
  <c r="AD2178" i="3"/>
  <c r="AD1058" i="3" s="1"/>
  <c r="AD1690" i="3"/>
  <c r="AD2250" i="3"/>
  <c r="AD1130" i="3" s="1"/>
  <c r="AD1718" i="3"/>
  <c r="AD1551" i="3"/>
  <c r="AD2111" i="3"/>
  <c r="AD991" i="3" s="1"/>
  <c r="AD1571" i="3"/>
  <c r="AD2131" i="3"/>
  <c r="AD1011" i="3" s="1"/>
  <c r="AD1587" i="3"/>
  <c r="AD2147" i="3"/>
  <c r="AD1027" i="3" s="1"/>
  <c r="AD1615" i="3"/>
  <c r="AD2175" i="3"/>
  <c r="AD1055" i="3" s="1"/>
  <c r="AD1641" i="3"/>
  <c r="AD2201" i="3"/>
  <c r="AD1081" i="3" s="1"/>
  <c r="AD1543" i="3"/>
  <c r="AD2103" i="3"/>
  <c r="AD983" i="3" s="1"/>
  <c r="AD1659" i="3"/>
  <c r="AD2219" i="3"/>
  <c r="AD1099" i="3" s="1"/>
  <c r="AD1494" i="3"/>
  <c r="AD2054" i="3"/>
  <c r="AD934" i="3" s="1"/>
  <c r="AD1542" i="3"/>
  <c r="AD2102" i="3"/>
  <c r="AD982" i="3" s="1"/>
  <c r="AD1635" i="3"/>
  <c r="AD2195" i="3"/>
  <c r="AD1075" i="3" s="1"/>
  <c r="AD1731" i="3"/>
  <c r="AD1568" i="3"/>
  <c r="AD2128" i="3"/>
  <c r="AD1008" i="3" s="1"/>
  <c r="AD1584" i="3"/>
  <c r="AD2144" i="3"/>
  <c r="AD1024" i="3" s="1"/>
  <c r="AD1720" i="3"/>
  <c r="AD1736" i="3"/>
  <c r="AD1581" i="3"/>
  <c r="AD2141" i="3"/>
  <c r="AD1021" i="3" s="1"/>
  <c r="AD2189" i="3"/>
  <c r="AD1069" i="3" s="1"/>
  <c r="AD1629" i="3"/>
  <c r="AD1705" i="3"/>
  <c r="AD1733" i="3"/>
  <c r="AD1711" i="3"/>
  <c r="AD1639" i="3"/>
  <c r="AD2199" i="3"/>
  <c r="AD1079" i="3" s="1"/>
  <c r="AD1640" i="3"/>
  <c r="AD2200" i="3"/>
  <c r="AD1080" i="3" s="1"/>
  <c r="AD1476" i="3"/>
  <c r="AD2036" i="3"/>
  <c r="AD916" i="3" s="1"/>
  <c r="AD1492" i="3"/>
  <c r="AD2052" i="3"/>
  <c r="AD932" i="3" s="1"/>
  <c r="AD1540" i="3"/>
  <c r="AD2100" i="3"/>
  <c r="AD980" i="3" s="1"/>
  <c r="AD1636" i="3"/>
  <c r="AD2196" i="3"/>
  <c r="AD1076" i="3" s="1"/>
  <c r="AD1680" i="3"/>
  <c r="AD2240" i="3"/>
  <c r="AD1120" i="3" s="1"/>
  <c r="AD1708" i="3"/>
  <c r="AD1481" i="3"/>
  <c r="AD2041" i="3"/>
  <c r="AD921" i="3" s="1"/>
  <c r="AD1513" i="3"/>
  <c r="AD2073" i="3"/>
  <c r="AD953" i="3" s="1"/>
  <c r="AD1529" i="3"/>
  <c r="AD2089" i="3"/>
  <c r="AD969" i="3" s="1"/>
  <c r="AD1569" i="3"/>
  <c r="AD2129" i="3"/>
  <c r="AD1009" i="3" s="1"/>
  <c r="AD1657" i="3"/>
  <c r="AD2217" i="3"/>
  <c r="AD1097" i="3" s="1"/>
  <c r="AD1681" i="3"/>
  <c r="AD2241" i="3"/>
  <c r="AD1121" i="3" s="1"/>
  <c r="AD1691" i="3"/>
  <c r="AD2251" i="3"/>
  <c r="AD1131" i="3" s="1"/>
  <c r="Z1567" i="3"/>
  <c r="Z2127" i="3"/>
  <c r="Z1007" i="3" s="1"/>
  <c r="Z1599" i="3"/>
  <c r="Z2159" i="3"/>
  <c r="Z1039" i="3" s="1"/>
  <c r="Z1554" i="3"/>
  <c r="Z2114" i="3"/>
  <c r="Z994" i="3" s="1"/>
  <c r="Z1570" i="3"/>
  <c r="Z2130" i="3"/>
  <c r="Z1010" i="3" s="1"/>
  <c r="Z1586" i="3"/>
  <c r="Z2146" i="3"/>
  <c r="Z1026" i="3" s="1"/>
  <c r="Z1606" i="3"/>
  <c r="Z2166" i="3"/>
  <c r="Z1046" i="3" s="1"/>
  <c r="Z1734" i="3"/>
  <c r="Z1470" i="3"/>
  <c r="Z2030" i="3"/>
  <c r="Z910" i="3" s="1"/>
  <c r="Z1502" i="3"/>
  <c r="Z2062" i="3"/>
  <c r="Z942" i="3" s="1"/>
  <c r="Z1658" i="3"/>
  <c r="Z2218" i="3"/>
  <c r="Z1098" i="3" s="1"/>
  <c r="Z1579" i="3"/>
  <c r="Z2139" i="3"/>
  <c r="Z1019" i="3" s="1"/>
  <c r="Z1636" i="3"/>
  <c r="Z2196" i="3"/>
  <c r="Z1076" i="3" s="1"/>
  <c r="Z1649" i="3"/>
  <c r="Z2209" i="3"/>
  <c r="Z1089" i="3" s="1"/>
  <c r="Z1670" i="3"/>
  <c r="Z2230" i="3"/>
  <c r="Z1110" i="3" s="1"/>
  <c r="Z1694" i="3"/>
  <c r="Z2254" i="3"/>
  <c r="Z1134" i="3" s="1"/>
  <c r="Z1467" i="3"/>
  <c r="Z2027" i="3"/>
  <c r="Z907" i="3" s="1"/>
  <c r="Z1483" i="3"/>
  <c r="Z2043" i="3"/>
  <c r="Z923" i="3" s="1"/>
  <c r="Z1499" i="3"/>
  <c r="Z2059" i="3"/>
  <c r="Z939" i="3" s="1"/>
  <c r="Z1531" i="3"/>
  <c r="Z2091" i="3"/>
  <c r="Z971" i="3" s="1"/>
  <c r="Z1667" i="3"/>
  <c r="Z2227" i="3"/>
  <c r="Z1107" i="3" s="1"/>
  <c r="Z1628" i="3"/>
  <c r="Z2188" i="3"/>
  <c r="Z1068" i="3" s="1"/>
  <c r="Z1598" i="3"/>
  <c r="Z2158" i="3"/>
  <c r="Z1038" i="3" s="1"/>
  <c r="Z1630" i="3"/>
  <c r="Z2190" i="3"/>
  <c r="Z1070" i="3" s="1"/>
  <c r="Z1650" i="3"/>
  <c r="Z2210" i="3"/>
  <c r="Z1090" i="3" s="1"/>
  <c r="Z1619" i="3"/>
  <c r="Z2179" i="3"/>
  <c r="Z1059" i="3" s="1"/>
  <c r="Z1723" i="3"/>
  <c r="Z1512" i="3"/>
  <c r="Z2072" i="3"/>
  <c r="Z952" i="3" s="1"/>
  <c r="Z1528" i="3"/>
  <c r="Z2088" i="3"/>
  <c r="Z968" i="3" s="1"/>
  <c r="Z1544" i="3"/>
  <c r="Z2104" i="3"/>
  <c r="Z984" i="3" s="1"/>
  <c r="Z1668" i="3"/>
  <c r="Z2228" i="3"/>
  <c r="Z1108" i="3" s="1"/>
  <c r="Z1473" i="3"/>
  <c r="Z2033" i="3"/>
  <c r="Z913" i="3" s="1"/>
  <c r="Z1489" i="3"/>
  <c r="Z2049" i="3"/>
  <c r="Z929" i="3" s="1"/>
  <c r="Z1505" i="3"/>
  <c r="Z2065" i="3"/>
  <c r="Z945" i="3" s="1"/>
  <c r="Z1521" i="3"/>
  <c r="Z2081" i="3"/>
  <c r="Z961" i="3" s="1"/>
  <c r="Z1537" i="3"/>
  <c r="Z2097" i="3"/>
  <c r="Z977" i="3" s="1"/>
  <c r="Z1553" i="3"/>
  <c r="Z2113" i="3"/>
  <c r="Z993" i="3" s="1"/>
  <c r="Z1585" i="3"/>
  <c r="Z2145" i="3"/>
  <c r="Z1025" i="3" s="1"/>
  <c r="Z2249" i="3"/>
  <c r="Z1129" i="3" s="1"/>
  <c r="Z1689" i="3"/>
  <c r="Z1721" i="3"/>
  <c r="Z1572" i="3"/>
  <c r="Z2132" i="3"/>
  <c r="Z1012" i="3" s="1"/>
  <c r="Z1588" i="3"/>
  <c r="Z2148" i="3"/>
  <c r="Z1028" i="3" s="1"/>
  <c r="Z1608" i="3"/>
  <c r="Z2168" i="3"/>
  <c r="Z1048" i="3" s="1"/>
  <c r="Z1589" i="3"/>
  <c r="Z2149" i="3"/>
  <c r="Z1029" i="3" s="1"/>
  <c r="Z1613" i="3"/>
  <c r="Z2173" i="3"/>
  <c r="Z1053" i="3" s="1"/>
  <c r="Z1693" i="3"/>
  <c r="Z2253" i="3"/>
  <c r="Z1133" i="3" s="1"/>
  <c r="Z1727" i="3"/>
  <c r="Z1660" i="3"/>
  <c r="Z2220" i="3"/>
  <c r="Z1100" i="3" s="1"/>
  <c r="V1598" i="3"/>
  <c r="V2158" i="3"/>
  <c r="V1038" i="3" s="1"/>
  <c r="V1543" i="3"/>
  <c r="V2103" i="3"/>
  <c r="V983" i="3" s="1"/>
  <c r="V1682" i="3"/>
  <c r="V2242" i="3"/>
  <c r="V1122" i="3" s="1"/>
  <c r="V1726" i="3"/>
  <c r="V1511" i="3"/>
  <c r="V2071" i="3"/>
  <c r="V951" i="3" s="1"/>
  <c r="V1527" i="3"/>
  <c r="V2087" i="3"/>
  <c r="V967" i="3" s="1"/>
  <c r="V1642" i="3"/>
  <c r="V2202" i="3"/>
  <c r="V1082" i="3" s="1"/>
  <c r="V1494" i="3"/>
  <c r="V2054" i="3"/>
  <c r="V934" i="3" s="1"/>
  <c r="V1542" i="3"/>
  <c r="V2102" i="3"/>
  <c r="V982" i="3" s="1"/>
  <c r="V1667" i="3"/>
  <c r="V2227" i="3"/>
  <c r="V1107" i="3" s="1"/>
  <c r="V1619" i="3"/>
  <c r="V2179" i="3"/>
  <c r="V1059" i="3" s="1"/>
  <c r="V1655" i="3"/>
  <c r="V2215" i="3"/>
  <c r="V1095" i="3" s="1"/>
  <c r="V1564" i="3"/>
  <c r="V2124" i="3"/>
  <c r="V1004" i="3" s="1"/>
  <c r="V1580" i="3"/>
  <c r="V2140" i="3"/>
  <c r="V1020" i="3" s="1"/>
  <c r="V1596" i="3"/>
  <c r="V2156" i="3"/>
  <c r="V1036" i="3" s="1"/>
  <c r="V1732" i="3"/>
  <c r="V1573" i="3"/>
  <c r="V2133" i="3"/>
  <c r="V1013" i="3" s="1"/>
  <c r="V1625" i="3"/>
  <c r="V2185" i="3"/>
  <c r="V1065" i="3" s="1"/>
  <c r="V1727" i="3"/>
  <c r="V1562" i="3"/>
  <c r="V2122" i="3"/>
  <c r="V1002" i="3" s="1"/>
  <c r="V1722" i="3"/>
  <c r="V1627" i="3"/>
  <c r="V2187" i="3"/>
  <c r="V1067" i="3" s="1"/>
  <c r="V1692" i="3"/>
  <c r="V2252" i="3"/>
  <c r="V1132" i="3" s="1"/>
  <c r="V1687" i="3"/>
  <c r="V2247" i="3"/>
  <c r="V1127" i="3" s="1"/>
  <c r="V1468" i="3"/>
  <c r="V2028" i="3"/>
  <c r="V908" i="3" s="1"/>
  <c r="V1484" i="3"/>
  <c r="V2044" i="3"/>
  <c r="V924" i="3" s="1"/>
  <c r="V1500" i="3"/>
  <c r="V2060" i="3"/>
  <c r="V940" i="3" s="1"/>
  <c r="V1532" i="3"/>
  <c r="V2092" i="3"/>
  <c r="V972" i="3" s="1"/>
  <c r="V1552" i="3"/>
  <c r="V2112" i="3"/>
  <c r="V992" i="3" s="1"/>
  <c r="V1676" i="3"/>
  <c r="V2236" i="3"/>
  <c r="V1116" i="3" s="1"/>
  <c r="V1493" i="3"/>
  <c r="V2053" i="3"/>
  <c r="V933" i="3" s="1"/>
  <c r="V1541" i="3"/>
  <c r="V2101" i="3"/>
  <c r="V981" i="3" s="1"/>
  <c r="V1561" i="3"/>
  <c r="V2121" i="3"/>
  <c r="V1001" i="3" s="1"/>
  <c r="V2237" i="3"/>
  <c r="V1117" i="3" s="1"/>
  <c r="V1677" i="3"/>
  <c r="V1691" i="3"/>
  <c r="V2251" i="3"/>
  <c r="V1131" i="3" s="1"/>
  <c r="V1616" i="3"/>
  <c r="V2176" i="3"/>
  <c r="V1056" i="3" s="1"/>
  <c r="V1637" i="3"/>
  <c r="V2197" i="3"/>
  <c r="V1077" i="3" s="1"/>
  <c r="R1690" i="3"/>
  <c r="R2250" i="3"/>
  <c r="R1130" i="3" s="1"/>
  <c r="R1606" i="3"/>
  <c r="R2166" i="3"/>
  <c r="R1046" i="3" s="1"/>
  <c r="R1586" i="3"/>
  <c r="R2146" i="3"/>
  <c r="R1026" i="3" s="1"/>
  <c r="R1710" i="3"/>
  <c r="R1502" i="3"/>
  <c r="R2062" i="3"/>
  <c r="R942" i="3" s="1"/>
  <c r="R1658" i="3"/>
  <c r="R2218" i="3"/>
  <c r="R1098" i="3" s="1"/>
  <c r="R1626" i="3"/>
  <c r="R2186" i="3"/>
  <c r="R1066" i="3" s="1"/>
  <c r="R1607" i="3"/>
  <c r="R2167" i="3"/>
  <c r="R1047" i="3" s="1"/>
  <c r="R1600" i="3"/>
  <c r="R2160" i="3"/>
  <c r="R1040" i="3" s="1"/>
  <c r="R2187" i="3"/>
  <c r="R1067" i="3" s="1"/>
  <c r="R1627" i="3"/>
  <c r="R1687" i="3"/>
  <c r="R2247" i="3"/>
  <c r="R1127" i="3" s="1"/>
  <c r="R1468" i="3"/>
  <c r="R2028" i="3"/>
  <c r="R908" i="3" s="1"/>
  <c r="R1484" i="3"/>
  <c r="R2044" i="3"/>
  <c r="R924" i="3" s="1"/>
  <c r="R1500" i="3"/>
  <c r="R2060" i="3"/>
  <c r="R940" i="3" s="1"/>
  <c r="R1532" i="3"/>
  <c r="R2092" i="3"/>
  <c r="R972" i="3" s="1"/>
  <c r="R1552" i="3"/>
  <c r="R2112" i="3"/>
  <c r="R992" i="3" s="1"/>
  <c r="R1676" i="3"/>
  <c r="R2236" i="3"/>
  <c r="R1116" i="3" s="1"/>
  <c r="R1493" i="3"/>
  <c r="R2053" i="3"/>
  <c r="R933" i="3" s="1"/>
  <c r="R1541" i="3"/>
  <c r="R2101" i="3"/>
  <c r="R981" i="3" s="1"/>
  <c r="R2121" i="3"/>
  <c r="R1001" i="3" s="1"/>
  <c r="R1561" i="3"/>
  <c r="R1677" i="3"/>
  <c r="R2237" i="3"/>
  <c r="R1117" i="3" s="1"/>
  <c r="R1691" i="3"/>
  <c r="R2251" i="3"/>
  <c r="R1131" i="3" s="1"/>
  <c r="R1682" i="3"/>
  <c r="R2242" i="3"/>
  <c r="R1122" i="3" s="1"/>
  <c r="R1726" i="3"/>
  <c r="R1511" i="3"/>
  <c r="R2071" i="3"/>
  <c r="R951" i="3" s="1"/>
  <c r="R1527" i="3"/>
  <c r="R2087" i="3"/>
  <c r="R967" i="3" s="1"/>
  <c r="R1543" i="3"/>
  <c r="R2103" i="3"/>
  <c r="R983" i="3" s="1"/>
  <c r="R1640" i="3"/>
  <c r="R2200" i="3"/>
  <c r="R1080" i="3" s="1"/>
  <c r="R1660" i="3"/>
  <c r="R2220" i="3"/>
  <c r="R1100" i="3" s="1"/>
  <c r="R1731" i="3"/>
  <c r="R2128" i="3"/>
  <c r="R1008" i="3" s="1"/>
  <c r="R1568" i="3"/>
  <c r="R1584" i="3"/>
  <c r="R2144" i="3"/>
  <c r="R1024" i="3" s="1"/>
  <c r="R1720" i="3"/>
  <c r="R1736" i="3"/>
  <c r="R1581" i="3"/>
  <c r="R2141" i="3"/>
  <c r="R1021" i="3" s="1"/>
  <c r="R2189" i="3"/>
  <c r="R1069" i="3" s="1"/>
  <c r="R1629" i="3"/>
  <c r="R2253" i="3"/>
  <c r="R1133" i="3" s="1"/>
  <c r="R1693" i="3"/>
  <c r="R1727" i="3"/>
  <c r="AB1543" i="3"/>
  <c r="AB2103" i="3"/>
  <c r="AB983" i="3" s="1"/>
  <c r="AB1466" i="3"/>
  <c r="AB2026" i="3"/>
  <c r="AB906" i="3" s="1"/>
  <c r="AB1482" i="3"/>
  <c r="AB2042" i="3"/>
  <c r="AB922" i="3" s="1"/>
  <c r="AB1514" i="3"/>
  <c r="AB2074" i="3"/>
  <c r="AB954" i="3" s="1"/>
  <c r="AB1530" i="3"/>
  <c r="AB2090" i="3"/>
  <c r="AB970" i="3" s="1"/>
  <c r="AB1718" i="3"/>
  <c r="AB1467" i="3"/>
  <c r="AB2027" i="3"/>
  <c r="AB907" i="3" s="1"/>
  <c r="AB1483" i="3"/>
  <c r="AB2043" i="3"/>
  <c r="AB923" i="3" s="1"/>
  <c r="AB1499" i="3"/>
  <c r="AB2059" i="3"/>
  <c r="AB939" i="3" s="1"/>
  <c r="AB1655" i="3"/>
  <c r="AB2215" i="3"/>
  <c r="AB1095" i="3" s="1"/>
  <c r="AB1614" i="3"/>
  <c r="AB2174" i="3"/>
  <c r="AB1054" i="3" s="1"/>
  <c r="AB1638" i="3"/>
  <c r="AB2198" i="3"/>
  <c r="AB1078" i="3" s="1"/>
  <c r="AB1531" i="3"/>
  <c r="AB2091" i="3"/>
  <c r="AB971" i="3" s="1"/>
  <c r="AB1566" i="3"/>
  <c r="AB2126" i="3"/>
  <c r="AB1006" i="3" s="1"/>
  <c r="AB1582" i="3"/>
  <c r="AB2142" i="3"/>
  <c r="AB1022" i="3" s="1"/>
  <c r="AB1597" i="3"/>
  <c r="AB2157" i="3"/>
  <c r="AB1037" i="3" s="1"/>
  <c r="AB1670" i="3"/>
  <c r="AB2230" i="3"/>
  <c r="AB1110" i="3" s="1"/>
  <c r="AB1579" i="3"/>
  <c r="AB2139" i="3"/>
  <c r="AB1019" i="3" s="1"/>
  <c r="AB1573" i="3"/>
  <c r="AB2133" i="3"/>
  <c r="AB1013" i="3" s="1"/>
  <c r="AB1589" i="3"/>
  <c r="AB2149" i="3"/>
  <c r="AB1029" i="3" s="1"/>
  <c r="AB1607" i="3"/>
  <c r="AB2167" i="3"/>
  <c r="AB1047" i="3" s="1"/>
  <c r="AB1493" i="3"/>
  <c r="AB2053" i="3"/>
  <c r="AB933" i="3" s="1"/>
  <c r="AB1541" i="3"/>
  <c r="AB2101" i="3"/>
  <c r="AB981" i="3" s="1"/>
  <c r="AB1555" i="3"/>
  <c r="AB2115" i="3"/>
  <c r="AB995" i="3" s="1"/>
  <c r="AB1615" i="3"/>
  <c r="AB2175" i="3"/>
  <c r="AB1055" i="3" s="1"/>
  <c r="AB1656" i="3"/>
  <c r="AB2216" i="3"/>
  <c r="AB1096" i="3" s="1"/>
  <c r="AB1676" i="3"/>
  <c r="AB2236" i="3"/>
  <c r="AB1116" i="3" s="1"/>
  <c r="AB2217" i="3"/>
  <c r="AB1097" i="3" s="1"/>
  <c r="AB1657" i="3"/>
  <c r="AB1717" i="3"/>
  <c r="AB1679" i="3"/>
  <c r="AB2239" i="3"/>
  <c r="AB1119" i="3" s="1"/>
  <c r="AB1723" i="3"/>
  <c r="AB1476" i="3"/>
  <c r="AB2036" i="3"/>
  <c r="AB916" i="3" s="1"/>
  <c r="AB1492" i="3"/>
  <c r="AB2052" i="3"/>
  <c r="AB932" i="3" s="1"/>
  <c r="AB1540" i="3"/>
  <c r="AB2100" i="3"/>
  <c r="AB980" i="3" s="1"/>
  <c r="AB1568" i="3"/>
  <c r="AB2128" i="3"/>
  <c r="AB1008" i="3" s="1"/>
  <c r="AB2144" i="3"/>
  <c r="AB1024" i="3" s="1"/>
  <c r="AB1584" i="3"/>
  <c r="AB1732" i="3"/>
  <c r="AB1729" i="3"/>
  <c r="AB1727" i="3"/>
  <c r="AB1600" i="3"/>
  <c r="AB2160" i="3"/>
  <c r="AB1040" i="3" s="1"/>
  <c r="AU1639" i="3"/>
  <c r="AU2199" i="3"/>
  <c r="AU1079" i="3" s="1"/>
  <c r="AU1467" i="3"/>
  <c r="AU2027" i="3"/>
  <c r="AU907" i="3" s="1"/>
  <c r="AU1647" i="3"/>
  <c r="AU2207" i="3"/>
  <c r="AU1087" i="3" s="1"/>
  <c r="AU1668" i="3"/>
  <c r="AU2228" i="3"/>
  <c r="AU1108" i="3" s="1"/>
  <c r="AU1684" i="3"/>
  <c r="AU2244" i="3"/>
  <c r="AU1124" i="3" s="1"/>
  <c r="AU1690" i="3"/>
  <c r="AU2250" i="3"/>
  <c r="AU1130" i="3" s="1"/>
  <c r="AU1726" i="3"/>
  <c r="AU1477" i="3"/>
  <c r="AU2037" i="3"/>
  <c r="AU917" i="3" s="1"/>
  <c r="AU1649" i="3"/>
  <c r="AU2209" i="3"/>
  <c r="AU1089" i="3" s="1"/>
  <c r="AU1665" i="3"/>
  <c r="AU2225" i="3"/>
  <c r="AU1105" i="3" s="1"/>
  <c r="AU1689" i="3"/>
  <c r="AU2249" i="3"/>
  <c r="AU1129" i="3" s="1"/>
  <c r="AU1703" i="3"/>
  <c r="AU2263" i="3"/>
  <c r="AU1143" i="3" s="1"/>
  <c r="AU1468" i="3"/>
  <c r="AU2028" i="3"/>
  <c r="AU908" i="3" s="1"/>
  <c r="AU1484" i="3"/>
  <c r="AU2044" i="3"/>
  <c r="AU924" i="3" s="1"/>
  <c r="AU1500" i="3"/>
  <c r="AU2060" i="3"/>
  <c r="AU940" i="3" s="1"/>
  <c r="AU1532" i="3"/>
  <c r="AU2092" i="3"/>
  <c r="AU972" i="3" s="1"/>
  <c r="AU1548" i="3"/>
  <c r="AU2108" i="3"/>
  <c r="AU988" i="3" s="1"/>
  <c r="AU1564" i="3"/>
  <c r="AU2124" i="3"/>
  <c r="AU1004" i="3" s="1"/>
  <c r="AU1580" i="3"/>
  <c r="AU2140" i="3"/>
  <c r="AU1020" i="3" s="1"/>
  <c r="AU1596" i="3"/>
  <c r="AU2156" i="3"/>
  <c r="AU1036" i="3" s="1"/>
  <c r="AU1612" i="3"/>
  <c r="AU2172" i="3"/>
  <c r="AU1052" i="3" s="1"/>
  <c r="AU1628" i="3"/>
  <c r="AU2188" i="3"/>
  <c r="AU1068" i="3" s="1"/>
  <c r="AU1696" i="3"/>
  <c r="AU2256" i="3"/>
  <c r="AU1136" i="3" s="1"/>
  <c r="AU1712" i="3"/>
  <c r="AU1497" i="3"/>
  <c r="AU2057" i="3"/>
  <c r="AU1513" i="3"/>
  <c r="AU2073" i="3"/>
  <c r="AU953" i="3" s="1"/>
  <c r="AU1529" i="3"/>
  <c r="AU2089" i="3"/>
  <c r="AU969" i="3" s="1"/>
  <c r="AU1545" i="3"/>
  <c r="AU2105" i="3"/>
  <c r="AU985" i="3" s="1"/>
  <c r="AU1561" i="3"/>
  <c r="AU2121" i="3"/>
  <c r="AU1001" i="3" s="1"/>
  <c r="AU1577" i="3"/>
  <c r="AU2137" i="3"/>
  <c r="AU1017" i="3" s="1"/>
  <c r="AU1593" i="3"/>
  <c r="AU2153" i="3"/>
  <c r="AU1033" i="3" s="1"/>
  <c r="AU1609" i="3"/>
  <c r="AU2169" i="3"/>
  <c r="AU1049" i="3" s="1"/>
  <c r="AU1625" i="3"/>
  <c r="AU2185" i="3"/>
  <c r="AU1065" i="3" s="1"/>
  <c r="AU1685" i="3"/>
  <c r="AU2245" i="3"/>
  <c r="AU1125" i="3" s="1"/>
  <c r="AU1705" i="3"/>
  <c r="AU1707" i="3"/>
  <c r="AU1735" i="3"/>
  <c r="AU1478" i="3"/>
  <c r="AU2038" i="3"/>
  <c r="AU918" i="3" s="1"/>
  <c r="AU1494" i="3"/>
  <c r="AU2054" i="3"/>
  <c r="AU934" i="3" s="1"/>
  <c r="AU1510" i="3"/>
  <c r="AU2070" i="3"/>
  <c r="AU950" i="3" s="1"/>
  <c r="AU1542" i="3"/>
  <c r="AU2102" i="3"/>
  <c r="AU982" i="3" s="1"/>
  <c r="AU1558" i="3"/>
  <c r="AU2118" i="3"/>
  <c r="AU998" i="3" s="1"/>
  <c r="AU1574" i="3"/>
  <c r="AU2134" i="3"/>
  <c r="AU1014" i="3" s="1"/>
  <c r="AU1590" i="3"/>
  <c r="AU2150" i="3"/>
  <c r="AU1030" i="3" s="1"/>
  <c r="AU1606" i="3"/>
  <c r="AU2166" i="3"/>
  <c r="AU1046" i="3" s="1"/>
  <c r="AU1622" i="3"/>
  <c r="AU2182" i="3"/>
  <c r="AU1062" i="3" s="1"/>
  <c r="AU1638" i="3"/>
  <c r="AU2198" i="3"/>
  <c r="AU1078" i="3" s="1"/>
  <c r="AU1670" i="3"/>
  <c r="AU2230" i="3"/>
  <c r="AU1110" i="3" s="1"/>
  <c r="AU1686" i="3"/>
  <c r="AU2246" i="3"/>
  <c r="AU1126" i="3" s="1"/>
  <c r="AU1706" i="3"/>
  <c r="AU1491" i="3"/>
  <c r="AU2051" i="3"/>
  <c r="AU931" i="3" s="1"/>
  <c r="AU1507" i="3"/>
  <c r="AU2067" i="3"/>
  <c r="AU947" i="3" s="1"/>
  <c r="AU1539" i="3"/>
  <c r="AU2099" i="3"/>
  <c r="AU979" i="3" s="1"/>
  <c r="AU1555" i="3"/>
  <c r="AU2115" i="3"/>
  <c r="AU995" i="3" s="1"/>
  <c r="AU1571" i="3"/>
  <c r="AU2131" i="3"/>
  <c r="AU1011" i="3" s="1"/>
  <c r="AU1587" i="3"/>
  <c r="AU2147" i="3"/>
  <c r="AU1027" i="3" s="1"/>
  <c r="AU1603" i="3"/>
  <c r="AU2163" i="3"/>
  <c r="AU1043" i="3" s="1"/>
  <c r="AU1619" i="3"/>
  <c r="AU2179" i="3"/>
  <c r="AU1059" i="3" s="1"/>
  <c r="AU1732" i="3"/>
  <c r="AU1473" i="3"/>
  <c r="AU2033" i="3"/>
  <c r="AU913" i="3" s="1"/>
  <c r="AQ1498" i="3"/>
  <c r="AQ2058" i="3"/>
  <c r="AQ1490" i="3"/>
  <c r="AQ2050" i="3"/>
  <c r="AQ930" i="3" s="1"/>
  <c r="AQ1570" i="3"/>
  <c r="AQ2130" i="3"/>
  <c r="AQ1010" i="3" s="1"/>
  <c r="AQ1563" i="3"/>
  <c r="AQ2123" i="3"/>
  <c r="AQ1003" i="3" s="1"/>
  <c r="AQ1542" i="3"/>
  <c r="AQ2102" i="3"/>
  <c r="AQ982" i="3" s="1"/>
  <c r="AQ1618" i="3"/>
  <c r="AQ2178" i="3"/>
  <c r="AQ1058" i="3" s="1"/>
  <c r="AQ1538" i="3"/>
  <c r="AQ2098" i="3"/>
  <c r="AQ978" i="3" s="1"/>
  <c r="AQ1595" i="3"/>
  <c r="AQ2155" i="3"/>
  <c r="AQ1035" i="3" s="1"/>
  <c r="AQ1534" i="3"/>
  <c r="AQ2094" i="3"/>
  <c r="AQ1686" i="3"/>
  <c r="AQ2246" i="3"/>
  <c r="AQ1126" i="3" s="1"/>
  <c r="AQ1578" i="3"/>
  <c r="AQ2138" i="3"/>
  <c r="AQ1018" i="3" s="1"/>
  <c r="AQ1547" i="3"/>
  <c r="AQ2107" i="3"/>
  <c r="AQ987" i="3" s="1"/>
  <c r="AQ1587" i="3"/>
  <c r="AQ2147" i="3"/>
  <c r="AQ1027" i="3" s="1"/>
  <c r="AQ1611" i="3"/>
  <c r="AQ2171" i="3"/>
  <c r="AQ1051" i="3" s="1"/>
  <c r="AQ1698" i="3"/>
  <c r="AQ2258" i="3"/>
  <c r="AQ1138" i="3" s="1"/>
  <c r="AQ1467" i="3"/>
  <c r="AQ2027" i="3"/>
  <c r="AQ907" i="3" s="1"/>
  <c r="AQ1483" i="3"/>
  <c r="AQ2043" i="3"/>
  <c r="AQ923" i="3" s="1"/>
  <c r="AQ1499" i="3"/>
  <c r="AQ2059" i="3"/>
  <c r="AQ939" i="3" s="1"/>
  <c r="AQ1531" i="3"/>
  <c r="AQ2091" i="3"/>
  <c r="AQ971" i="3" s="1"/>
  <c r="AQ1478" i="3"/>
  <c r="AQ2038" i="3"/>
  <c r="AQ918" i="3" s="1"/>
  <c r="AQ1559" i="3"/>
  <c r="AQ2119" i="3"/>
  <c r="AQ999" i="3" s="1"/>
  <c r="AQ1591" i="3"/>
  <c r="AQ2151" i="3"/>
  <c r="AQ1031" i="3" s="1"/>
  <c r="AQ1623" i="3"/>
  <c r="AQ2183" i="3"/>
  <c r="AQ1063" i="3" s="1"/>
  <c r="AQ1470" i="3"/>
  <c r="AQ2030" i="3"/>
  <c r="AQ910" i="3" s="1"/>
  <c r="AQ1650" i="3"/>
  <c r="AQ2210" i="3"/>
  <c r="AQ1090" i="3" s="1"/>
  <c r="AQ1666" i="3"/>
  <c r="AQ2226" i="3"/>
  <c r="AQ1106" i="3" s="1"/>
  <c r="AQ1659" i="3"/>
  <c r="AQ2219" i="3"/>
  <c r="AQ1099" i="3" s="1"/>
  <c r="AQ1661" i="3"/>
  <c r="AQ2221" i="3"/>
  <c r="AQ1101" i="3" s="1"/>
  <c r="AQ1677" i="3"/>
  <c r="AQ2237" i="3"/>
  <c r="AQ1117" i="3" s="1"/>
  <c r="AQ1675" i="3"/>
  <c r="AQ2235" i="3"/>
  <c r="AQ1115" i="3" s="1"/>
  <c r="AQ1676" i="3"/>
  <c r="AQ2236" i="3"/>
  <c r="AQ1116" i="3" s="1"/>
  <c r="AQ1647" i="3"/>
  <c r="AQ2207" i="3"/>
  <c r="AQ1087" i="3" s="1"/>
  <c r="AQ1730" i="3"/>
  <c r="AQ1708" i="3"/>
  <c r="AQ1731" i="3"/>
  <c r="AQ1668" i="3"/>
  <c r="AQ2228" i="3"/>
  <c r="AQ1108" i="3" s="1"/>
  <c r="AQ1712" i="3"/>
  <c r="AQ1481" i="3"/>
  <c r="AQ2041" i="3"/>
  <c r="AQ921" i="3" s="1"/>
  <c r="AQ1497" i="3"/>
  <c r="AQ2057" i="3"/>
  <c r="AQ1513" i="3"/>
  <c r="AQ2073" i="3"/>
  <c r="AQ953" i="3" s="1"/>
  <c r="AQ1529" i="3"/>
  <c r="AQ2089" i="3"/>
  <c r="AQ969" i="3" s="1"/>
  <c r="AQ1545" i="3"/>
  <c r="AQ2105" i="3"/>
  <c r="AQ985" i="3" s="1"/>
  <c r="AQ1561" i="3"/>
  <c r="AQ2121" i="3"/>
  <c r="AQ1001" i="3" s="1"/>
  <c r="AQ1577" i="3"/>
  <c r="AQ2137" i="3"/>
  <c r="AQ1017" i="3" s="1"/>
  <c r="AQ1593" i="3"/>
  <c r="AQ2153" i="3"/>
  <c r="AQ1033" i="3" s="1"/>
  <c r="AQ1609" i="3"/>
  <c r="AQ2169" i="3"/>
  <c r="AQ1049" i="3" s="1"/>
  <c r="AQ1625" i="3"/>
  <c r="AQ2185" i="3"/>
  <c r="AQ1065" i="3" s="1"/>
  <c r="AQ1717" i="3"/>
  <c r="AQ1733" i="3"/>
  <c r="AQ1735" i="3"/>
  <c r="AQ1472" i="3"/>
  <c r="AQ2032" i="3"/>
  <c r="AQ912" i="3" s="1"/>
  <c r="AQ1504" i="3"/>
  <c r="AQ2064" i="3"/>
  <c r="AQ944" i="3" s="1"/>
  <c r="AQ1520" i="3"/>
  <c r="AQ2080" i="3"/>
  <c r="AQ960" i="3" s="1"/>
  <c r="AQ1536" i="3"/>
  <c r="AQ2096" i="3"/>
  <c r="AQ1552" i="3"/>
  <c r="AQ2112" i="3"/>
  <c r="AQ992" i="3" s="1"/>
  <c r="AQ1568" i="3"/>
  <c r="AQ2128" i="3"/>
  <c r="AQ1008" i="3" s="1"/>
  <c r="AQ1584" i="3"/>
  <c r="AQ2144" i="3"/>
  <c r="AQ1024" i="3" s="1"/>
  <c r="AQ1600" i="3"/>
  <c r="AQ2160" i="3"/>
  <c r="AQ1040" i="3" s="1"/>
  <c r="AQ1616" i="3"/>
  <c r="AQ2176" i="3"/>
  <c r="AQ1056" i="3" s="1"/>
  <c r="AQ1632" i="3"/>
  <c r="AQ2192" i="3"/>
  <c r="AQ1072" i="3" s="1"/>
  <c r="AQ1728" i="3"/>
  <c r="AQ1697" i="3"/>
  <c r="AQ2257" i="3"/>
  <c r="AQ1137" i="3" s="1"/>
  <c r="AQ1691" i="3"/>
  <c r="AQ2251" i="3"/>
  <c r="AQ1131" i="3" s="1"/>
  <c r="AM1478" i="3"/>
  <c r="AM2038" i="3"/>
  <c r="AM918" i="3" s="1"/>
  <c r="AM1470" i="3"/>
  <c r="AM2030" i="3"/>
  <c r="AM910" i="3" s="1"/>
  <c r="AM1534" i="3"/>
  <c r="AM2094" i="3"/>
  <c r="AM1610" i="3"/>
  <c r="AM2170" i="3"/>
  <c r="AM1050" i="3" s="1"/>
  <c r="AM1474" i="3"/>
  <c r="AM2034" i="3"/>
  <c r="AM914" i="3" s="1"/>
  <c r="AM1570" i="3"/>
  <c r="AM2130" i="3"/>
  <c r="AM1010" i="3" s="1"/>
  <c r="AM1702" i="3"/>
  <c r="AM2262" i="3"/>
  <c r="AM1142" i="3" s="1"/>
  <c r="AM1566" i="3"/>
  <c r="AM2126" i="3"/>
  <c r="AM1006" i="3" s="1"/>
  <c r="AM1507" i="3"/>
  <c r="AM2067" i="3"/>
  <c r="AM947" i="3" s="1"/>
  <c r="AM1514" i="3"/>
  <c r="AM2074" i="3"/>
  <c r="AM954" i="3" s="1"/>
  <c r="AM1562" i="3"/>
  <c r="AM2122" i="3"/>
  <c r="AM1002" i="3" s="1"/>
  <c r="AM1511" i="3"/>
  <c r="AM2071" i="3"/>
  <c r="AM951" i="3" s="1"/>
  <c r="AM1590" i="3"/>
  <c r="AM2150" i="3"/>
  <c r="AM1030" i="3" s="1"/>
  <c r="AM1483" i="3"/>
  <c r="AM2043" i="3"/>
  <c r="AM923" i="3" s="1"/>
  <c r="AM1694" i="3"/>
  <c r="AM2254" i="3"/>
  <c r="AM1134" i="3" s="1"/>
  <c r="AM1519" i="3"/>
  <c r="AM2079" i="3"/>
  <c r="AM959" i="3" s="1"/>
  <c r="AM1678" i="3"/>
  <c r="AM2238" i="3"/>
  <c r="AM1118" i="3" s="1"/>
  <c r="AM1471" i="3"/>
  <c r="AM2031" i="3"/>
  <c r="AM911" i="3" s="1"/>
  <c r="AM1681" i="3"/>
  <c r="AM2241" i="3"/>
  <c r="AM1121" i="3" s="1"/>
  <c r="AM1735" i="3"/>
  <c r="AM1726" i="3"/>
  <c r="AM1635" i="3"/>
  <c r="AM2195" i="3"/>
  <c r="AM1075" i="3" s="1"/>
  <c r="AM1685" i="3"/>
  <c r="AM2245" i="3"/>
  <c r="AM1125" i="3" s="1"/>
  <c r="AM1547" i="3"/>
  <c r="AM2107" i="3"/>
  <c r="AM987" i="3" s="1"/>
  <c r="AM1563" i="3"/>
  <c r="AM2123" i="3"/>
  <c r="AM1003" i="3" s="1"/>
  <c r="AM1579" i="3"/>
  <c r="AM2139" i="3"/>
  <c r="AM1019" i="3" s="1"/>
  <c r="AM1595" i="3"/>
  <c r="AM2155" i="3"/>
  <c r="AM1035" i="3" s="1"/>
  <c r="AM1611" i="3"/>
  <c r="AM2171" i="3"/>
  <c r="AM1051" i="3" s="1"/>
  <c r="AM1627" i="3"/>
  <c r="AM2187" i="3"/>
  <c r="AM1067" i="3" s="1"/>
  <c r="AM1642" i="3"/>
  <c r="AM2202" i="3"/>
  <c r="AM1082" i="3" s="1"/>
  <c r="AM1658" i="3"/>
  <c r="AM2218" i="3"/>
  <c r="AM1098" i="3" s="1"/>
  <c r="AM1649" i="3"/>
  <c r="AM2209" i="3"/>
  <c r="AM1089" i="3" s="1"/>
  <c r="AM1665" i="3"/>
  <c r="AM2225" i="3"/>
  <c r="AM1105" i="3" s="1"/>
  <c r="AM1647" i="3"/>
  <c r="AM2207" i="3"/>
  <c r="AM1087" i="3" s="1"/>
  <c r="AM1663" i="3"/>
  <c r="AM2223" i="3"/>
  <c r="AM1103" i="3" s="1"/>
  <c r="AM1732" i="3"/>
  <c r="AM1477" i="3"/>
  <c r="AM2037" i="3"/>
  <c r="AM917" i="3" s="1"/>
  <c r="AM1703" i="3"/>
  <c r="AM2263" i="3"/>
  <c r="AM1143" i="3" s="1"/>
  <c r="AM1480" i="3"/>
  <c r="AM2040" i="3"/>
  <c r="AM920" i="3" s="1"/>
  <c r="AM1496" i="3"/>
  <c r="AM2056" i="3"/>
  <c r="AM1512" i="3"/>
  <c r="AM2072" i="3"/>
  <c r="AM952" i="3" s="1"/>
  <c r="AM1528" i="3"/>
  <c r="AM2088" i="3"/>
  <c r="AM968" i="3" s="1"/>
  <c r="AM2104" i="3"/>
  <c r="AM984" i="3" s="1"/>
  <c r="AM1544" i="3"/>
  <c r="AM1560" i="3"/>
  <c r="AM2120" i="3"/>
  <c r="AM1000" i="3" s="1"/>
  <c r="AM1576" i="3"/>
  <c r="AM2136" i="3"/>
  <c r="AM1016" i="3" s="1"/>
  <c r="AM1592" i="3"/>
  <c r="AM2152" i="3"/>
  <c r="AM1032" i="3" s="1"/>
  <c r="AM1608" i="3"/>
  <c r="AM2168" i="3"/>
  <c r="AM1048" i="3" s="1"/>
  <c r="AM1624" i="3"/>
  <c r="AM2184" i="3"/>
  <c r="AM1064" i="3" s="1"/>
  <c r="AM1660" i="3"/>
  <c r="AM2220" i="3"/>
  <c r="AM1100" i="3" s="1"/>
  <c r="AM1676" i="3"/>
  <c r="AM2236" i="3"/>
  <c r="AM1116" i="3" s="1"/>
  <c r="AM1692" i="3"/>
  <c r="AM2252" i="3"/>
  <c r="AM1132" i="3" s="1"/>
  <c r="AM1708" i="3"/>
  <c r="AM1493" i="3"/>
  <c r="AM2053" i="3"/>
  <c r="AM933" i="3" s="1"/>
  <c r="AM1509" i="3"/>
  <c r="AM2069" i="3"/>
  <c r="AM949" i="3" s="1"/>
  <c r="AM1541" i="3"/>
  <c r="AM2101" i="3"/>
  <c r="AM981" i="3" s="1"/>
  <c r="AM2117" i="3"/>
  <c r="AM997" i="3" s="1"/>
  <c r="AM1557" i="3"/>
  <c r="AM1573" i="3"/>
  <c r="AM2133" i="3"/>
  <c r="AM1013" i="3" s="1"/>
  <c r="AM1589" i="3"/>
  <c r="AM2149" i="3"/>
  <c r="AM1029" i="3" s="1"/>
  <c r="AM1605" i="3"/>
  <c r="AM2165" i="3"/>
  <c r="AM1045" i="3" s="1"/>
  <c r="AM1621" i="3"/>
  <c r="AM2181" i="3"/>
  <c r="AM1061" i="3" s="1"/>
  <c r="AM1693" i="3"/>
  <c r="AM2253" i="3"/>
  <c r="AM1133" i="3" s="1"/>
  <c r="AM1709" i="3"/>
  <c r="AM1691" i="3"/>
  <c r="AM2251" i="3"/>
  <c r="AM1131" i="3" s="1"/>
  <c r="AI1659" i="3"/>
  <c r="AI2219" i="3"/>
  <c r="AI1099" i="3" s="1"/>
  <c r="AI1470" i="3"/>
  <c r="AI2030" i="3"/>
  <c r="AI910" i="3" s="1"/>
  <c r="AI1667" i="3"/>
  <c r="AI2227" i="3"/>
  <c r="AI1107" i="3" s="1"/>
  <c r="AI1728" i="3"/>
  <c r="AI1502" i="3"/>
  <c r="AI2062" i="3"/>
  <c r="AI942" i="3" s="1"/>
  <c r="AI1534" i="3"/>
  <c r="AI2094" i="3"/>
  <c r="AI1550" i="3"/>
  <c r="AI2110" i="3"/>
  <c r="AI990" i="3" s="1"/>
  <c r="AI1566" i="3"/>
  <c r="AI2126" i="3"/>
  <c r="AI1006" i="3" s="1"/>
  <c r="AI1582" i="3"/>
  <c r="AI2142" i="3"/>
  <c r="AI1022" i="3" s="1"/>
  <c r="AI1598" i="3"/>
  <c r="AI2158" i="3"/>
  <c r="AI1038" i="3" s="1"/>
  <c r="AI1614" i="3"/>
  <c r="AI2174" i="3"/>
  <c r="AI1054" i="3" s="1"/>
  <c r="AI1630" i="3"/>
  <c r="AI2190" i="3"/>
  <c r="AI1070" i="3" s="1"/>
  <c r="AI1662" i="3"/>
  <c r="AI2222" i="3"/>
  <c r="AI1102" i="3" s="1"/>
  <c r="AI1678" i="3"/>
  <c r="AI2238" i="3"/>
  <c r="AI1118" i="3" s="1"/>
  <c r="AI1480" i="3"/>
  <c r="AI2040" i="3"/>
  <c r="AI920" i="3" s="1"/>
  <c r="AI1496" i="3"/>
  <c r="AI2056" i="3"/>
  <c r="AI1512" i="3"/>
  <c r="AI2072" i="3"/>
  <c r="AI952" i="3" s="1"/>
  <c r="AI1528" i="3"/>
  <c r="AI2088" i="3"/>
  <c r="AI968" i="3" s="1"/>
  <c r="AI1544" i="3"/>
  <c r="AI2104" i="3"/>
  <c r="AI984" i="3" s="1"/>
  <c r="AI1560" i="3"/>
  <c r="AI2120" i="3"/>
  <c r="AI1000" i="3" s="1"/>
  <c r="AI2136" i="3"/>
  <c r="AI1016" i="3" s="1"/>
  <c r="AI1576" i="3"/>
  <c r="AI1592" i="3"/>
  <c r="AI2152" i="3"/>
  <c r="AI1032" i="3" s="1"/>
  <c r="AI1608" i="3"/>
  <c r="AI2168" i="3"/>
  <c r="AI1048" i="3" s="1"/>
  <c r="AI1624" i="3"/>
  <c r="AI2184" i="3"/>
  <c r="AI1064" i="3" s="1"/>
  <c r="AI1697" i="3"/>
  <c r="AI2257" i="3"/>
  <c r="AI1137" i="3" s="1"/>
  <c r="AI1691" i="3"/>
  <c r="AI2251" i="3"/>
  <c r="AI1131" i="3" s="1"/>
  <c r="AI1639" i="3"/>
  <c r="AI2199" i="3"/>
  <c r="AI1079" i="3" s="1"/>
  <c r="AI1712" i="3"/>
  <c r="AI1481" i="3"/>
  <c r="AI2041" i="3"/>
  <c r="AI921" i="3" s="1"/>
  <c r="AI1497" i="3"/>
  <c r="AI2057" i="3"/>
  <c r="AI1513" i="3"/>
  <c r="AI2073" i="3"/>
  <c r="AI953" i="3" s="1"/>
  <c r="AI1529" i="3"/>
  <c r="AI2089" i="3"/>
  <c r="AI969" i="3" s="1"/>
  <c r="AI1545" i="3"/>
  <c r="AI2105" i="3"/>
  <c r="AI985" i="3" s="1"/>
  <c r="AI1561" i="3"/>
  <c r="AI2121" i="3"/>
  <c r="AI1001" i="3" s="1"/>
  <c r="AI1577" i="3"/>
  <c r="AI2137" i="3"/>
  <c r="AI1017" i="3" s="1"/>
  <c r="AI1593" i="3"/>
  <c r="AI2153" i="3"/>
  <c r="AI1033" i="3" s="1"/>
  <c r="AI1609" i="3"/>
  <c r="AI2169" i="3"/>
  <c r="AI1049" i="3" s="1"/>
  <c r="AI2185" i="3"/>
  <c r="AI1065" i="3" s="1"/>
  <c r="AI1625" i="3"/>
  <c r="AI2201" i="3"/>
  <c r="AI1081" i="3" s="1"/>
  <c r="AI1641" i="3"/>
  <c r="AI1657" i="3"/>
  <c r="AI2217" i="3"/>
  <c r="AI1097" i="3" s="1"/>
  <c r="AI1698" i="3"/>
  <c r="AI2258" i="3"/>
  <c r="AI1138" i="3" s="1"/>
  <c r="AI1730" i="3"/>
  <c r="AI1475" i="3"/>
  <c r="AI2035" i="3"/>
  <c r="AI915" i="3" s="1"/>
  <c r="AI1491" i="3"/>
  <c r="AI2051" i="3"/>
  <c r="AI931" i="3" s="1"/>
  <c r="AI1507" i="3"/>
  <c r="AI2067" i="3"/>
  <c r="AI947" i="3" s="1"/>
  <c r="AI1539" i="3"/>
  <c r="AI2099" i="3"/>
  <c r="AI979" i="3" s="1"/>
  <c r="AI1555" i="3"/>
  <c r="AI2115" i="3"/>
  <c r="AI995" i="3" s="1"/>
  <c r="AI1571" i="3"/>
  <c r="AI2131" i="3"/>
  <c r="AI1011" i="3" s="1"/>
  <c r="AI1587" i="3"/>
  <c r="AI2147" i="3"/>
  <c r="AI1027" i="3" s="1"/>
  <c r="AI1603" i="3"/>
  <c r="AI2163" i="3"/>
  <c r="AI1043" i="3" s="1"/>
  <c r="AI1619" i="3"/>
  <c r="AI2179" i="3"/>
  <c r="AI1059" i="3" s="1"/>
  <c r="AI1679" i="3"/>
  <c r="AI2239" i="3"/>
  <c r="AI1119" i="3" s="1"/>
  <c r="AI1719" i="3"/>
  <c r="AI1472" i="3"/>
  <c r="AI2032" i="3"/>
  <c r="AI912" i="3" s="1"/>
  <c r="AI1648" i="3"/>
  <c r="AI2208" i="3"/>
  <c r="AI1088" i="3" s="1"/>
  <c r="AI1664" i="3"/>
  <c r="AI2224" i="3"/>
  <c r="AI1104" i="3" s="1"/>
  <c r="AI1684" i="3"/>
  <c r="AI2244" i="3"/>
  <c r="AI1124" i="3" s="1"/>
  <c r="AI1729" i="3"/>
  <c r="AI1680" i="3"/>
  <c r="AI2240" i="3"/>
  <c r="AI1120" i="3" s="1"/>
  <c r="AI1685" i="3"/>
  <c r="AI2245" i="3"/>
  <c r="AI1125" i="3" s="1"/>
  <c r="AE1666" i="3"/>
  <c r="AE2226" i="3"/>
  <c r="AE1106" i="3" s="1"/>
  <c r="AE1718" i="3"/>
  <c r="AE1734" i="3"/>
  <c r="AE1675" i="3"/>
  <c r="AE2235" i="3"/>
  <c r="AE1115" i="3" s="1"/>
  <c r="AE1474" i="3"/>
  <c r="AE2034" i="3"/>
  <c r="AE914" i="3" s="1"/>
  <c r="AE1490" i="3"/>
  <c r="AE2050" i="3"/>
  <c r="AE930" i="3" s="1"/>
  <c r="AE1506" i="3"/>
  <c r="AE2066" i="3"/>
  <c r="AE946" i="3" s="1"/>
  <c r="AE1522" i="3"/>
  <c r="AE2082" i="3"/>
  <c r="AE962" i="3" s="1"/>
  <c r="AE1538" i="3"/>
  <c r="AE2098" i="3"/>
  <c r="AE978" i="3" s="1"/>
  <c r="AE1554" i="3"/>
  <c r="AE2114" i="3"/>
  <c r="AE994" i="3" s="1"/>
  <c r="AE1570" i="3"/>
  <c r="AE2130" i="3"/>
  <c r="AE1010" i="3" s="1"/>
  <c r="AE1586" i="3"/>
  <c r="AE2146" i="3"/>
  <c r="AE1026" i="3" s="1"/>
  <c r="AE1602" i="3"/>
  <c r="AE2162" i="3"/>
  <c r="AE1042" i="3" s="1"/>
  <c r="AE1618" i="3"/>
  <c r="AE2178" i="3"/>
  <c r="AE1058" i="3" s="1"/>
  <c r="AE1634" i="3"/>
  <c r="AE2194" i="3"/>
  <c r="AE1074" i="3" s="1"/>
  <c r="AE1694" i="3"/>
  <c r="AE2254" i="3"/>
  <c r="AE1134" i="3" s="1"/>
  <c r="AE1710" i="3"/>
  <c r="AE1495" i="3"/>
  <c r="AE2055" i="3"/>
  <c r="AE1511" i="3"/>
  <c r="AE2071" i="3"/>
  <c r="AE951" i="3" s="1"/>
  <c r="AE1527" i="3"/>
  <c r="AE2087" i="3"/>
  <c r="AE967" i="3" s="1"/>
  <c r="AE1543" i="3"/>
  <c r="AE2103" i="3"/>
  <c r="AE983" i="3" s="1"/>
  <c r="AE1559" i="3"/>
  <c r="AE2119" i="3"/>
  <c r="AE999" i="3" s="1"/>
  <c r="AE1575" i="3"/>
  <c r="AE2135" i="3"/>
  <c r="AE1015" i="3" s="1"/>
  <c r="AE1591" i="3"/>
  <c r="AE2151" i="3"/>
  <c r="AE1031" i="3" s="1"/>
  <c r="AE1607" i="3"/>
  <c r="AE2167" i="3"/>
  <c r="AE1047" i="3" s="1"/>
  <c r="AE1623" i="3"/>
  <c r="AE2183" i="3"/>
  <c r="AE1063" i="3" s="1"/>
  <c r="AE1703" i="3"/>
  <c r="AE2263" i="3"/>
  <c r="AE1143" i="3" s="1"/>
  <c r="AE1480" i="3"/>
  <c r="AE2040" i="3"/>
  <c r="AE920" i="3" s="1"/>
  <c r="AE1496" i="3"/>
  <c r="AE2056" i="3"/>
  <c r="AE1512" i="3"/>
  <c r="AE2072" i="3"/>
  <c r="AE952" i="3" s="1"/>
  <c r="AE1528" i="3"/>
  <c r="AE2088" i="3"/>
  <c r="AE968" i="3" s="1"/>
  <c r="AE1544" i="3"/>
  <c r="AE2104" i="3"/>
  <c r="AE984" i="3" s="1"/>
  <c r="AE1560" i="3"/>
  <c r="AE2120" i="3"/>
  <c r="AE1000" i="3" s="1"/>
  <c r="AE1576" i="3"/>
  <c r="AE2136" i="3"/>
  <c r="AE1016" i="3" s="1"/>
  <c r="AE1592" i="3"/>
  <c r="AE2152" i="3"/>
  <c r="AE1032" i="3" s="1"/>
  <c r="AE1608" i="3"/>
  <c r="AE2168" i="3"/>
  <c r="AE1048" i="3" s="1"/>
  <c r="AE1624" i="3"/>
  <c r="AE2184" i="3"/>
  <c r="AE1064" i="3" s="1"/>
  <c r="AE1696" i="3"/>
  <c r="AE2256" i="3"/>
  <c r="AE1136" i="3" s="1"/>
  <c r="AE1712" i="3"/>
  <c r="AE1497" i="3"/>
  <c r="AE2057" i="3"/>
  <c r="AE1513" i="3"/>
  <c r="AE2073" i="3"/>
  <c r="AE953" i="3" s="1"/>
  <c r="AE1529" i="3"/>
  <c r="AE2089" i="3"/>
  <c r="AE969" i="3" s="1"/>
  <c r="AE1545" i="3"/>
  <c r="AE2105" i="3"/>
  <c r="AE985" i="3" s="1"/>
  <c r="AE1561" i="3"/>
  <c r="AE2121" i="3"/>
  <c r="AE1001" i="3" s="1"/>
  <c r="AE1577" i="3"/>
  <c r="AE2137" i="3"/>
  <c r="AE1017" i="3" s="1"/>
  <c r="AE1593" i="3"/>
  <c r="AE2153" i="3"/>
  <c r="AE1033" i="3" s="1"/>
  <c r="AE1609" i="3"/>
  <c r="AE2169" i="3"/>
  <c r="AE1049" i="3" s="1"/>
  <c r="AE1625" i="3"/>
  <c r="AE2185" i="3"/>
  <c r="AE1065" i="3" s="1"/>
  <c r="AE1697" i="3"/>
  <c r="AE2257" i="3"/>
  <c r="AE1137" i="3" s="1"/>
  <c r="AE1691" i="3"/>
  <c r="AE2251" i="3"/>
  <c r="AE1131" i="3" s="1"/>
  <c r="AE1681" i="3"/>
  <c r="AE2241" i="3"/>
  <c r="AE1121" i="3" s="1"/>
  <c r="AE1684" i="3"/>
  <c r="AE2244" i="3"/>
  <c r="AE1124" i="3" s="1"/>
  <c r="AE1647" i="3"/>
  <c r="AE2207" i="3"/>
  <c r="AE1087" i="3" s="1"/>
  <c r="AE1663" i="3"/>
  <c r="AE2223" i="3"/>
  <c r="AE1103" i="3" s="1"/>
  <c r="AE1732" i="3"/>
  <c r="AE1481" i="3"/>
  <c r="AE2041" i="3"/>
  <c r="AE921" i="3" s="1"/>
  <c r="AE2209" i="3"/>
  <c r="AE1089" i="3" s="1"/>
  <c r="AE1649" i="3"/>
  <c r="AE1665" i="3"/>
  <c r="AE2225" i="3"/>
  <c r="AE1105" i="3" s="1"/>
  <c r="AE1685" i="3"/>
  <c r="AE2245" i="3"/>
  <c r="AE1125" i="3" s="1"/>
  <c r="AE1723" i="3"/>
  <c r="AE1648" i="3"/>
  <c r="AE2208" i="3"/>
  <c r="AE1088" i="3" s="1"/>
  <c r="AE1664" i="3"/>
  <c r="AE2224" i="3"/>
  <c r="AE1104" i="3" s="1"/>
  <c r="AE1721" i="3"/>
  <c r="AE1737" i="3"/>
  <c r="AA1503" i="3"/>
  <c r="AA2063" i="3"/>
  <c r="AA943" i="3" s="1"/>
  <c r="AA1706" i="3"/>
  <c r="AA1718" i="3"/>
  <c r="AA1734" i="3"/>
  <c r="AA1490" i="3"/>
  <c r="AA2050" i="3"/>
  <c r="AA930" i="3" s="1"/>
  <c r="AA1506" i="3"/>
  <c r="AA2066" i="3"/>
  <c r="AA946" i="3" s="1"/>
  <c r="AA1522" i="3"/>
  <c r="AA2082" i="3"/>
  <c r="AA962" i="3" s="1"/>
  <c r="AA1538" i="3"/>
  <c r="AA2098" i="3"/>
  <c r="AA978" i="3" s="1"/>
  <c r="AA1554" i="3"/>
  <c r="AA2114" i="3"/>
  <c r="AA994" i="3" s="1"/>
  <c r="AA1570" i="3"/>
  <c r="AA2130" i="3"/>
  <c r="AA1010" i="3" s="1"/>
  <c r="AA1586" i="3"/>
  <c r="AA2146" i="3"/>
  <c r="AA1026" i="3" s="1"/>
  <c r="AA1618" i="3"/>
  <c r="AA2178" i="3"/>
  <c r="AA1058" i="3" s="1"/>
  <c r="AA1723" i="3"/>
  <c r="AA1719" i="3"/>
  <c r="AA1474" i="3"/>
  <c r="AA2034" i="3"/>
  <c r="AA914" i="3" s="1"/>
  <c r="AA1655" i="3"/>
  <c r="AA2215" i="3"/>
  <c r="AA1095" i="3" s="1"/>
  <c r="AA1688" i="3"/>
  <c r="AA2248" i="3"/>
  <c r="AA1128" i="3" s="1"/>
  <c r="AA1728" i="3"/>
  <c r="AA1539" i="3"/>
  <c r="AA2099" i="3"/>
  <c r="AA979" i="3" s="1"/>
  <c r="AA1555" i="3"/>
  <c r="AA2115" i="3"/>
  <c r="AA995" i="3" s="1"/>
  <c r="AA1571" i="3"/>
  <c r="AA2131" i="3"/>
  <c r="AA1011" i="3" s="1"/>
  <c r="AA1587" i="3"/>
  <c r="AA2147" i="3"/>
  <c r="AA1027" i="3" s="1"/>
  <c r="AA1619" i="3"/>
  <c r="AA2179" i="3"/>
  <c r="AA1059" i="3" s="1"/>
  <c r="AA1679" i="3"/>
  <c r="AA2239" i="3"/>
  <c r="AA1119" i="3" s="1"/>
  <c r="AA1668" i="3"/>
  <c r="AA2228" i="3"/>
  <c r="AA1108" i="3" s="1"/>
  <c r="AA1708" i="3"/>
  <c r="AA1729" i="3"/>
  <c r="AA1638" i="3"/>
  <c r="AA2198" i="3"/>
  <c r="AA1078" i="3" s="1"/>
  <c r="AA1670" i="3"/>
  <c r="AA2230" i="3"/>
  <c r="AA1110" i="3" s="1"/>
  <c r="AA1687" i="3"/>
  <c r="AA2247" i="3"/>
  <c r="AA1127" i="3" s="1"/>
  <c r="AA2237" i="3"/>
  <c r="AA1117" i="3" s="1"/>
  <c r="AA1677" i="3"/>
  <c r="AA1675" i="3"/>
  <c r="AA2235" i="3"/>
  <c r="AA1115" i="3" s="1"/>
  <c r="AA1512" i="3"/>
  <c r="AA2072" i="3"/>
  <c r="AA952" i="3" s="1"/>
  <c r="AA1528" i="3"/>
  <c r="AA2088" i="3"/>
  <c r="AA968" i="3" s="1"/>
  <c r="AA1544" i="3"/>
  <c r="AA2104" i="3"/>
  <c r="AA984" i="3" s="1"/>
  <c r="AA1608" i="3"/>
  <c r="AA2168" i="3"/>
  <c r="AA1048" i="3" s="1"/>
  <c r="AA1711" i="3"/>
  <c r="AA1712" i="3"/>
  <c r="AA1481" i="3"/>
  <c r="AA2041" i="3"/>
  <c r="AA921" i="3" s="1"/>
  <c r="AA1513" i="3"/>
  <c r="AA2073" i="3"/>
  <c r="AA953" i="3" s="1"/>
  <c r="AA1529" i="3"/>
  <c r="AA2089" i="3"/>
  <c r="AA969" i="3" s="1"/>
  <c r="AA1561" i="3"/>
  <c r="AA2121" i="3"/>
  <c r="AA1001" i="3" s="1"/>
  <c r="AA1625" i="3"/>
  <c r="AA2185" i="3"/>
  <c r="AA1065" i="3" s="1"/>
  <c r="AA1661" i="3"/>
  <c r="AA2221" i="3"/>
  <c r="AA1101" i="3" s="1"/>
  <c r="W1690" i="3"/>
  <c r="W2250" i="3"/>
  <c r="W1130" i="3" s="1"/>
  <c r="W1726" i="3"/>
  <c r="W1579" i="3"/>
  <c r="W2139" i="3"/>
  <c r="W1019" i="3" s="1"/>
  <c r="W1638" i="3"/>
  <c r="W2198" i="3"/>
  <c r="W1078" i="3" s="1"/>
  <c r="W1670" i="3"/>
  <c r="W2230" i="3"/>
  <c r="W1110" i="3" s="1"/>
  <c r="W1647" i="3"/>
  <c r="W2207" i="3"/>
  <c r="W1087" i="3" s="1"/>
  <c r="W1494" i="3"/>
  <c r="W2054" i="3"/>
  <c r="W934" i="3" s="1"/>
  <c r="W1542" i="3"/>
  <c r="W2102" i="3"/>
  <c r="W982" i="3" s="1"/>
  <c r="W1574" i="3"/>
  <c r="W2134" i="3"/>
  <c r="W1014" i="3" s="1"/>
  <c r="W1590" i="3"/>
  <c r="W2150" i="3"/>
  <c r="W1030" i="3" s="1"/>
  <c r="W1606" i="3"/>
  <c r="W2166" i="3"/>
  <c r="W1046" i="3" s="1"/>
  <c r="W1694" i="3"/>
  <c r="W2254" i="3"/>
  <c r="W1134" i="3" s="1"/>
  <c r="W1710" i="3"/>
  <c r="W1511" i="3"/>
  <c r="W2071" i="3"/>
  <c r="W951" i="3" s="1"/>
  <c r="W1527" i="3"/>
  <c r="W2087" i="3"/>
  <c r="W967" i="3" s="1"/>
  <c r="W1551" i="3"/>
  <c r="W2111" i="3"/>
  <c r="W991" i="3" s="1"/>
  <c r="W1583" i="3"/>
  <c r="W2143" i="3"/>
  <c r="W1023" i="3" s="1"/>
  <c r="W1615" i="3"/>
  <c r="W2175" i="3"/>
  <c r="W1055" i="3" s="1"/>
  <c r="W1732" i="3"/>
  <c r="W1640" i="3"/>
  <c r="W2200" i="3"/>
  <c r="W1080" i="3" s="1"/>
  <c r="W1656" i="3"/>
  <c r="W2216" i="3"/>
  <c r="W1096" i="3" s="1"/>
  <c r="W1635" i="3"/>
  <c r="W2195" i="3"/>
  <c r="W1075" i="3" s="1"/>
  <c r="W1667" i="3"/>
  <c r="W2227" i="3"/>
  <c r="W1107" i="3" s="1"/>
  <c r="W1476" i="3"/>
  <c r="W2036" i="3"/>
  <c r="W916" i="3" s="1"/>
  <c r="W1492" i="3"/>
  <c r="W2052" i="3"/>
  <c r="W932" i="3" s="1"/>
  <c r="W1540" i="3"/>
  <c r="W2100" i="3"/>
  <c r="W980" i="3" s="1"/>
  <c r="W1556" i="3"/>
  <c r="W2116" i="3"/>
  <c r="W996" i="3" s="1"/>
  <c r="W1572" i="3"/>
  <c r="W2132" i="3"/>
  <c r="W1012" i="3" s="1"/>
  <c r="W1588" i="3"/>
  <c r="W2148" i="3"/>
  <c r="W1028" i="3" s="1"/>
  <c r="W1620" i="3"/>
  <c r="W2180" i="3"/>
  <c r="W1060" i="3" s="1"/>
  <c r="W1676" i="3"/>
  <c r="W2236" i="3"/>
  <c r="W1116" i="3" s="1"/>
  <c r="W1692" i="3"/>
  <c r="W2252" i="3"/>
  <c r="W1132" i="3" s="1"/>
  <c r="W1708" i="3"/>
  <c r="W2049" i="3"/>
  <c r="W929" i="3" s="1"/>
  <c r="W1489" i="3"/>
  <c r="W1505" i="3"/>
  <c r="W2065" i="3"/>
  <c r="W945" i="3" s="1"/>
  <c r="W1521" i="3"/>
  <c r="W2081" i="3"/>
  <c r="W961" i="3" s="1"/>
  <c r="W1537" i="3"/>
  <c r="W2097" i="3"/>
  <c r="W977" i="3" s="1"/>
  <c r="W1553" i="3"/>
  <c r="W2113" i="3"/>
  <c r="W993" i="3" s="1"/>
  <c r="W1569" i="3"/>
  <c r="W2129" i="3"/>
  <c r="W1009" i="3" s="1"/>
  <c r="W1585" i="3"/>
  <c r="W2145" i="3"/>
  <c r="W1025" i="3" s="1"/>
  <c r="W1617" i="3"/>
  <c r="W2177" i="3"/>
  <c r="W1057" i="3" s="1"/>
  <c r="W1649" i="3"/>
  <c r="W2209" i="3"/>
  <c r="W1089" i="3" s="1"/>
  <c r="W1691" i="3"/>
  <c r="W2251" i="3"/>
  <c r="W1131" i="3" s="1"/>
  <c r="W1689" i="3"/>
  <c r="W2249" i="3"/>
  <c r="W1129" i="3" s="1"/>
  <c r="S1694" i="3"/>
  <c r="S2254" i="3"/>
  <c r="S1134" i="3" s="1"/>
  <c r="S1718" i="3"/>
  <c r="S1512" i="3"/>
  <c r="S2072" i="3"/>
  <c r="S952" i="3" s="1"/>
  <c r="S1642" i="3"/>
  <c r="S2202" i="3"/>
  <c r="S1082" i="3" s="1"/>
  <c r="S1658" i="3"/>
  <c r="S2218" i="3"/>
  <c r="S1098" i="3" s="1"/>
  <c r="S1500" i="3"/>
  <c r="S2060" i="3"/>
  <c r="S940" i="3" s="1"/>
  <c r="S1564" i="3"/>
  <c r="S2124" i="3"/>
  <c r="S1004" i="3" s="1"/>
  <c r="S1600" i="3"/>
  <c r="S2160" i="3"/>
  <c r="S1040" i="3" s="1"/>
  <c r="S1572" i="3"/>
  <c r="S2132" i="3"/>
  <c r="S1012" i="3" s="1"/>
  <c r="S1628" i="3"/>
  <c r="S2188" i="3"/>
  <c r="S1068" i="3" s="1"/>
  <c r="S1648" i="3"/>
  <c r="S2208" i="3"/>
  <c r="S1088" i="3" s="1"/>
  <c r="S1729" i="3"/>
  <c r="S1682" i="3"/>
  <c r="S2242" i="3"/>
  <c r="S1122" i="3" s="1"/>
  <c r="S1710" i="3"/>
  <c r="S1511" i="3"/>
  <c r="S2071" i="3"/>
  <c r="S951" i="3" s="1"/>
  <c r="S1527" i="3"/>
  <c r="S2087" i="3"/>
  <c r="S967" i="3" s="1"/>
  <c r="S1543" i="3"/>
  <c r="S2103" i="3"/>
  <c r="S983" i="3" s="1"/>
  <c r="S1607" i="3"/>
  <c r="S2167" i="3"/>
  <c r="S1047" i="3" s="1"/>
  <c r="S1639" i="3"/>
  <c r="S2199" i="3"/>
  <c r="S1079" i="3" s="1"/>
  <c r="S1712" i="3"/>
  <c r="S1481" i="3"/>
  <c r="S2041" i="3"/>
  <c r="S921" i="3" s="1"/>
  <c r="S1529" i="3"/>
  <c r="S2089" i="3"/>
  <c r="S969" i="3" s="1"/>
  <c r="S1561" i="3"/>
  <c r="S2121" i="3"/>
  <c r="S1001" i="3" s="1"/>
  <c r="S1625" i="3"/>
  <c r="S2185" i="3"/>
  <c r="S1065" i="3" s="1"/>
  <c r="S1474" i="3"/>
  <c r="S2034" i="3"/>
  <c r="S914" i="3" s="1"/>
  <c r="S1494" i="3"/>
  <c r="S2054" i="3"/>
  <c r="S934" i="3" s="1"/>
  <c r="S1542" i="3"/>
  <c r="S2102" i="3"/>
  <c r="S982" i="3" s="1"/>
  <c r="S1574" i="3"/>
  <c r="S2134" i="3"/>
  <c r="S1014" i="3" s="1"/>
  <c r="S1590" i="3"/>
  <c r="S2150" i="3"/>
  <c r="S1030" i="3" s="1"/>
  <c r="S1606" i="3"/>
  <c r="S2166" i="3"/>
  <c r="S1046" i="3" s="1"/>
  <c r="S1678" i="3"/>
  <c r="S2238" i="3"/>
  <c r="S1118" i="3" s="1"/>
  <c r="S1687" i="3"/>
  <c r="S2247" i="3"/>
  <c r="S1127" i="3" s="1"/>
  <c r="S1680" i="3"/>
  <c r="S2240" i="3"/>
  <c r="S1120" i="3" s="1"/>
  <c r="S1681" i="3"/>
  <c r="S2241" i="3"/>
  <c r="S1121" i="3" s="1"/>
  <c r="S1676" i="3"/>
  <c r="S2236" i="3"/>
  <c r="S1116" i="3" s="1"/>
  <c r="S1708" i="3"/>
  <c r="S1728" i="3"/>
  <c r="S2221" i="3"/>
  <c r="S1101" i="3" s="1"/>
  <c r="S1661" i="3"/>
  <c r="AW1690" i="3"/>
  <c r="AW2250" i="3"/>
  <c r="AW1130" i="3" s="1"/>
  <c r="AW1662" i="3"/>
  <c r="AW2222" i="3"/>
  <c r="AW1102" i="3" s="1"/>
  <c r="AW1678" i="3"/>
  <c r="AW2238" i="3"/>
  <c r="AW1118" i="3" s="1"/>
  <c r="AW1718" i="3"/>
  <c r="AW1734" i="3"/>
  <c r="AW1559" i="3"/>
  <c r="AW2119" i="3"/>
  <c r="AW999" i="3" s="1"/>
  <c r="AW1591" i="3"/>
  <c r="AW2151" i="3"/>
  <c r="AW1031" i="3" s="1"/>
  <c r="AW1623" i="3"/>
  <c r="AW2183" i="3"/>
  <c r="AW1063" i="3" s="1"/>
  <c r="AW1466" i="3"/>
  <c r="AW2026" i="3"/>
  <c r="AW906" i="3" s="1"/>
  <c r="AW1482" i="3"/>
  <c r="AW2042" i="3"/>
  <c r="AW922" i="3" s="1"/>
  <c r="AW1498" i="3"/>
  <c r="AW2058" i="3"/>
  <c r="AW1514" i="3"/>
  <c r="AW2074" i="3"/>
  <c r="AW954" i="3" s="1"/>
  <c r="AW1530" i="3"/>
  <c r="AW2090" i="3"/>
  <c r="AW970" i="3" s="1"/>
  <c r="AW1546" i="3"/>
  <c r="AW2106" i="3"/>
  <c r="AW986" i="3" s="1"/>
  <c r="AW1562" i="3"/>
  <c r="AW2122" i="3"/>
  <c r="AW1002" i="3" s="1"/>
  <c r="AW1578" i="3"/>
  <c r="AW2138" i="3"/>
  <c r="AW1018" i="3" s="1"/>
  <c r="AW1594" i="3"/>
  <c r="AW2154" i="3"/>
  <c r="AW1034" i="3" s="1"/>
  <c r="AW1610" i="3"/>
  <c r="AW2170" i="3"/>
  <c r="AW1050" i="3" s="1"/>
  <c r="AW1626" i="3"/>
  <c r="AW2186" i="3"/>
  <c r="AW1066" i="3" s="1"/>
  <c r="AW1702" i="3"/>
  <c r="AW2262" i="3"/>
  <c r="AW1142" i="3" s="1"/>
  <c r="AW1503" i="3"/>
  <c r="AW2063" i="3"/>
  <c r="AW943" i="3" s="1"/>
  <c r="AW1519" i="3"/>
  <c r="AW2079" i="3"/>
  <c r="AW959" i="3" s="1"/>
  <c r="AW1539" i="3"/>
  <c r="AW2099" i="3"/>
  <c r="AW979" i="3" s="1"/>
  <c r="AW1571" i="3"/>
  <c r="AW2131" i="3"/>
  <c r="AW1011" i="3" s="1"/>
  <c r="AW1603" i="3"/>
  <c r="AW2163" i="3"/>
  <c r="AW1043" i="3" s="1"/>
  <c r="AW1481" i="3"/>
  <c r="AW2041" i="3"/>
  <c r="AW921" i="3" s="1"/>
  <c r="AW1694" i="3"/>
  <c r="AW2254" i="3"/>
  <c r="AW1134" i="3" s="1"/>
  <c r="AW1639" i="3"/>
  <c r="AW2199" i="3"/>
  <c r="AW1079" i="3" s="1"/>
  <c r="AW1704" i="3"/>
  <c r="AW2264" i="3"/>
  <c r="AW1144" i="3" s="1"/>
  <c r="AW1675" i="3"/>
  <c r="AW2235" i="3"/>
  <c r="AW1115" i="3" s="1"/>
  <c r="AW1635" i="3"/>
  <c r="AW2195" i="3"/>
  <c r="AW1075" i="3" s="1"/>
  <c r="AW1640" i="3"/>
  <c r="AW2200" i="3"/>
  <c r="AW1080" i="3" s="1"/>
  <c r="AW1472" i="3"/>
  <c r="AW2032" i="3"/>
  <c r="AW912" i="3" s="1"/>
  <c r="AW1504" i="3"/>
  <c r="AW2064" i="3"/>
  <c r="AW944" i="3" s="1"/>
  <c r="AW1520" i="3"/>
  <c r="AW2080" i="3"/>
  <c r="AW960" i="3" s="1"/>
  <c r="AW1536" i="3"/>
  <c r="AW2096" i="3"/>
  <c r="AW1552" i="3"/>
  <c r="AW2112" i="3"/>
  <c r="AW992" i="3" s="1"/>
  <c r="AW1568" i="3"/>
  <c r="AW2128" i="3"/>
  <c r="AW1008" i="3" s="1"/>
  <c r="AW1584" i="3"/>
  <c r="AW2144" i="3"/>
  <c r="AW1024" i="3" s="1"/>
  <c r="AW1600" i="3"/>
  <c r="AW2160" i="3"/>
  <c r="AW1040" i="3" s="1"/>
  <c r="AW1616" i="3"/>
  <c r="AW2176" i="3"/>
  <c r="AW1056" i="3" s="1"/>
  <c r="AW1632" i="3"/>
  <c r="AW2192" i="3"/>
  <c r="AW1072" i="3" s="1"/>
  <c r="AW1692" i="3"/>
  <c r="AW2252" i="3"/>
  <c r="AW1132" i="3" s="1"/>
  <c r="AW1712" i="3"/>
  <c r="AW1728" i="3"/>
  <c r="AW1489" i="3"/>
  <c r="AW2049" i="3"/>
  <c r="AW929" i="3" s="1"/>
  <c r="AW1505" i="3"/>
  <c r="AW2065" i="3"/>
  <c r="AW945" i="3" s="1"/>
  <c r="AW1521" i="3"/>
  <c r="AW2081" i="3"/>
  <c r="AW961" i="3" s="1"/>
  <c r="AW1537" i="3"/>
  <c r="AW2097" i="3"/>
  <c r="AW977" i="3" s="1"/>
  <c r="AW1553" i="3"/>
  <c r="AW2113" i="3"/>
  <c r="AW993" i="3" s="1"/>
  <c r="AW1569" i="3"/>
  <c r="AW2129" i="3"/>
  <c r="AW1009" i="3" s="1"/>
  <c r="AW1585" i="3"/>
  <c r="AW2145" i="3"/>
  <c r="AW1025" i="3" s="1"/>
  <c r="AW1601" i="3"/>
  <c r="AW2161" i="3"/>
  <c r="AW1041" i="3" s="1"/>
  <c r="AW1617" i="3"/>
  <c r="AW2177" i="3"/>
  <c r="AW1057" i="3" s="1"/>
  <c r="AW1633" i="3"/>
  <c r="AW2193" i="3"/>
  <c r="AW1073" i="3" s="1"/>
  <c r="AW1677" i="3"/>
  <c r="AW2237" i="3"/>
  <c r="AW1117" i="3" s="1"/>
  <c r="AW1697" i="3"/>
  <c r="AW2257" i="3"/>
  <c r="AW1137" i="3" s="1"/>
  <c r="AW1683" i="3"/>
  <c r="AW2243" i="3"/>
  <c r="AW1123" i="3" s="1"/>
  <c r="AW1719" i="3"/>
  <c r="AW1477" i="3"/>
  <c r="AW2037" i="3"/>
  <c r="AW917" i="3" s="1"/>
  <c r="AS1638" i="3"/>
  <c r="AS2198" i="3"/>
  <c r="AS1078" i="3" s="1"/>
  <c r="AS1470" i="3"/>
  <c r="AS2030" i="3"/>
  <c r="AS910" i="3" s="1"/>
  <c r="AS1555" i="3"/>
  <c r="AS2115" i="3"/>
  <c r="AS995" i="3" s="1"/>
  <c r="AS1587" i="3"/>
  <c r="AS2147" i="3"/>
  <c r="AS1027" i="3" s="1"/>
  <c r="AS1619" i="3"/>
  <c r="AS2179" i="3"/>
  <c r="AS1059" i="3" s="1"/>
  <c r="AS1490" i="3"/>
  <c r="AS2050" i="3"/>
  <c r="AS930" i="3" s="1"/>
  <c r="AS1506" i="3"/>
  <c r="AS2066" i="3"/>
  <c r="AS946" i="3" s="1"/>
  <c r="AS1522" i="3"/>
  <c r="AS2082" i="3"/>
  <c r="AS962" i="3" s="1"/>
  <c r="AS1538" i="3"/>
  <c r="AS2098" i="3"/>
  <c r="AS978" i="3" s="1"/>
  <c r="AS1554" i="3"/>
  <c r="AS2114" i="3"/>
  <c r="AS994" i="3" s="1"/>
  <c r="AS1570" i="3"/>
  <c r="AS2130" i="3"/>
  <c r="AS1010" i="3" s="1"/>
  <c r="AS1586" i="3"/>
  <c r="AS2146" i="3"/>
  <c r="AS1026" i="3" s="1"/>
  <c r="AS1602" i="3"/>
  <c r="AS2162" i="3"/>
  <c r="AS1042" i="3" s="1"/>
  <c r="AS1618" i="3"/>
  <c r="AS2178" i="3"/>
  <c r="AS1058" i="3" s="1"/>
  <c r="AS1634" i="3"/>
  <c r="AS2194" i="3"/>
  <c r="AS1074" i="3" s="1"/>
  <c r="AS1690" i="3"/>
  <c r="AS2250" i="3"/>
  <c r="AS1130" i="3" s="1"/>
  <c r="AS1730" i="3"/>
  <c r="AS1475" i="3"/>
  <c r="AS2035" i="3"/>
  <c r="AS915" i="3" s="1"/>
  <c r="AS1491" i="3"/>
  <c r="AS2051" i="3"/>
  <c r="AS931" i="3" s="1"/>
  <c r="AS1507" i="3"/>
  <c r="AS2067" i="3"/>
  <c r="AS947" i="3" s="1"/>
  <c r="AS1543" i="3"/>
  <c r="AS2103" i="3"/>
  <c r="AS983" i="3" s="1"/>
  <c r="AS1575" i="3"/>
  <c r="AS2135" i="3"/>
  <c r="AS1015" i="3" s="1"/>
  <c r="AS1607" i="3"/>
  <c r="AS2167" i="3"/>
  <c r="AS1047" i="3" s="1"/>
  <c r="AS1662" i="3"/>
  <c r="AS2222" i="3"/>
  <c r="AS1102" i="3" s="1"/>
  <c r="AS1694" i="3"/>
  <c r="AS2254" i="3"/>
  <c r="AS1134" i="3" s="1"/>
  <c r="AS1663" i="3"/>
  <c r="AS2223" i="3"/>
  <c r="AS1103" i="3" s="1"/>
  <c r="AS1656" i="3"/>
  <c r="AS2216" i="3"/>
  <c r="AS1096" i="3" s="1"/>
  <c r="AS1684" i="3"/>
  <c r="AS2244" i="3"/>
  <c r="AS1124" i="3" s="1"/>
  <c r="AS2217" i="3"/>
  <c r="AS1097" i="3" s="1"/>
  <c r="AS1657" i="3"/>
  <c r="AS1685" i="3"/>
  <c r="AS2245" i="3"/>
  <c r="AS1125" i="3" s="1"/>
  <c r="AS1729" i="3"/>
  <c r="AS1683" i="3"/>
  <c r="AS2243" i="3"/>
  <c r="AS1123" i="3" s="1"/>
  <c r="AS1478" i="3"/>
  <c r="AS2038" i="3"/>
  <c r="AS918" i="3" s="1"/>
  <c r="AS1637" i="3"/>
  <c r="AS2197" i="3"/>
  <c r="AS1077" i="3" s="1"/>
  <c r="AS1687" i="3"/>
  <c r="AS2247" i="3"/>
  <c r="AS1127" i="3" s="1"/>
  <c r="AS1660" i="3"/>
  <c r="AS2220" i="3"/>
  <c r="AS1100" i="3" s="1"/>
  <c r="AS1692" i="3"/>
  <c r="AS2252" i="3"/>
  <c r="AS1132" i="3" s="1"/>
  <c r="AS1720" i="3"/>
  <c r="AS1736" i="3"/>
  <c r="AS1481" i="3"/>
  <c r="AS2041" i="3"/>
  <c r="AS921" i="3" s="1"/>
  <c r="AS1497" i="3"/>
  <c r="AS2057" i="3"/>
  <c r="AS1513" i="3"/>
  <c r="AS2073" i="3"/>
  <c r="AS953" i="3" s="1"/>
  <c r="AS1529" i="3"/>
  <c r="AS2089" i="3"/>
  <c r="AS969" i="3" s="1"/>
  <c r="AS1545" i="3"/>
  <c r="AS2105" i="3"/>
  <c r="AS985" i="3" s="1"/>
  <c r="AS1561" i="3"/>
  <c r="AS2121" i="3"/>
  <c r="AS1001" i="3" s="1"/>
  <c r="AS1577" i="3"/>
  <c r="AS2137" i="3"/>
  <c r="AS1017" i="3" s="1"/>
  <c r="AS1593" i="3"/>
  <c r="AS2153" i="3"/>
  <c r="AS1033" i="3" s="1"/>
  <c r="AS1609" i="3"/>
  <c r="AS2169" i="3"/>
  <c r="AS1049" i="3" s="1"/>
  <c r="AS2185" i="3"/>
  <c r="AS1065" i="3" s="1"/>
  <c r="AS1625" i="3"/>
  <c r="AS1480" i="3"/>
  <c r="AS2040" i="3"/>
  <c r="AS920" i="3" s="1"/>
  <c r="AS1496" i="3"/>
  <c r="AS2056" i="3"/>
  <c r="AS1512" i="3"/>
  <c r="AS2072" i="3"/>
  <c r="AS952" i="3" s="1"/>
  <c r="AS1528" i="3"/>
  <c r="AS2088" i="3"/>
  <c r="AS968" i="3" s="1"/>
  <c r="AS1544" i="3"/>
  <c r="AS2104" i="3"/>
  <c r="AS984" i="3" s="1"/>
  <c r="AS1560" i="3"/>
  <c r="AS2120" i="3"/>
  <c r="AS1000" i="3" s="1"/>
  <c r="AS1576" i="3"/>
  <c r="AS2136" i="3"/>
  <c r="AS1016" i="3" s="1"/>
  <c r="AS1592" i="3"/>
  <c r="AS2152" i="3"/>
  <c r="AS1032" i="3" s="1"/>
  <c r="AS1608" i="3"/>
  <c r="AS2168" i="3"/>
  <c r="AS1048" i="3" s="1"/>
  <c r="AS1624" i="3"/>
  <c r="AS2184" i="3"/>
  <c r="AS1064" i="3" s="1"/>
  <c r="AS1701" i="3"/>
  <c r="AS2261" i="3"/>
  <c r="AS1141" i="3" s="1"/>
  <c r="AS1691" i="3"/>
  <c r="AS2251" i="3"/>
  <c r="AS1131" i="3" s="1"/>
  <c r="AO1568" i="3"/>
  <c r="AO2128" i="3"/>
  <c r="AO1008" i="3" s="1"/>
  <c r="AO1584" i="3"/>
  <c r="AO2144" i="3"/>
  <c r="AO1024" i="3" s="1"/>
  <c r="AO1475" i="3"/>
  <c r="AO2035" i="3"/>
  <c r="AO915" i="3" s="1"/>
  <c r="AO1508" i="3"/>
  <c r="AO2068" i="3"/>
  <c r="AO948" i="3" s="1"/>
  <c r="AO1572" i="3"/>
  <c r="AO2132" i="3"/>
  <c r="AO1012" i="3" s="1"/>
  <c r="AO1496" i="3"/>
  <c r="AO2056" i="3"/>
  <c r="AO1560" i="3"/>
  <c r="AO2120" i="3"/>
  <c r="AO1000" i="3" s="1"/>
  <c r="AO1624" i="3"/>
  <c r="AO2184" i="3"/>
  <c r="AO1064" i="3" s="1"/>
  <c r="AO1484" i="3"/>
  <c r="AO2044" i="3"/>
  <c r="AO924" i="3" s="1"/>
  <c r="AO1548" i="3"/>
  <c r="AO2108" i="3"/>
  <c r="AO988" i="3" s="1"/>
  <c r="AO1612" i="3"/>
  <c r="AO2172" i="3"/>
  <c r="AO1052" i="3" s="1"/>
  <c r="AO1696" i="3"/>
  <c r="AO2256" i="3"/>
  <c r="AO1136" i="3" s="1"/>
  <c r="AO1501" i="3"/>
  <c r="AO2061" i="3"/>
  <c r="AO941" i="3" s="1"/>
  <c r="AO1533" i="3"/>
  <c r="AO2093" i="3"/>
  <c r="AO1549" i="3"/>
  <c r="AO2109" i="3"/>
  <c r="AO989" i="3" s="1"/>
  <c r="AO1565" i="3"/>
  <c r="AO2125" i="3"/>
  <c r="AO1005" i="3" s="1"/>
  <c r="AO2141" i="3"/>
  <c r="AO1021" i="3" s="1"/>
  <c r="AO1581" i="3"/>
  <c r="AO1597" i="3"/>
  <c r="AO2157" i="3"/>
  <c r="AO1037" i="3" s="1"/>
  <c r="AO1613" i="3"/>
  <c r="AO2173" i="3"/>
  <c r="AO1053" i="3" s="1"/>
  <c r="AO1629" i="3"/>
  <c r="AO2189" i="3"/>
  <c r="AO1069" i="3" s="1"/>
  <c r="AO1677" i="3"/>
  <c r="AO2237" i="3"/>
  <c r="AO1117" i="3" s="1"/>
  <c r="AO1697" i="3"/>
  <c r="AO2257" i="3"/>
  <c r="AO1137" i="3" s="1"/>
  <c r="AO1683" i="3"/>
  <c r="AO2243" i="3"/>
  <c r="AO1123" i="3" s="1"/>
  <c r="AO1719" i="3"/>
  <c r="AO1479" i="3"/>
  <c r="AO2039" i="3"/>
  <c r="AO919" i="3" s="1"/>
  <c r="AO1660" i="3"/>
  <c r="AO2220" i="3"/>
  <c r="AO1100" i="3" s="1"/>
  <c r="AO1684" i="3"/>
  <c r="AO2244" i="3"/>
  <c r="AO1124" i="3" s="1"/>
  <c r="AO1637" i="3"/>
  <c r="AO2197" i="3"/>
  <c r="AO1077" i="3" s="1"/>
  <c r="AO1478" i="3"/>
  <c r="AO2038" i="3"/>
  <c r="AO918" i="3" s="1"/>
  <c r="AO1494" i="3"/>
  <c r="AO2054" i="3"/>
  <c r="AO934" i="3" s="1"/>
  <c r="AO1510" i="3"/>
  <c r="AO2070" i="3"/>
  <c r="AO950" i="3" s="1"/>
  <c r="AO1542" i="3"/>
  <c r="AO2102" i="3"/>
  <c r="AO982" i="3" s="1"/>
  <c r="AO1558" i="3"/>
  <c r="AO2118" i="3"/>
  <c r="AO998" i="3" s="1"/>
  <c r="AO1574" i="3"/>
  <c r="AO2134" i="3"/>
  <c r="AO1014" i="3" s="1"/>
  <c r="AO1590" i="3"/>
  <c r="AO2150" i="3"/>
  <c r="AO1030" i="3" s="1"/>
  <c r="AO1606" i="3"/>
  <c r="AO2166" i="3"/>
  <c r="AO1046" i="3" s="1"/>
  <c r="AO1622" i="3"/>
  <c r="AO2182" i="3"/>
  <c r="AO1062" i="3" s="1"/>
  <c r="AO1642" i="3"/>
  <c r="AO2202" i="3"/>
  <c r="AO1082" i="3" s="1"/>
  <c r="AO1666" i="3"/>
  <c r="AO2226" i="3"/>
  <c r="AO1106" i="3" s="1"/>
  <c r="AO1682" i="3"/>
  <c r="AO2242" i="3"/>
  <c r="AO1122" i="3" s="1"/>
  <c r="AO1706" i="3"/>
  <c r="AO1722" i="3"/>
  <c r="AO1483" i="3"/>
  <c r="AO2043" i="3"/>
  <c r="AO923" i="3" s="1"/>
  <c r="AO1499" i="3"/>
  <c r="AO2059" i="3"/>
  <c r="AO939" i="3" s="1"/>
  <c r="AO1531" i="3"/>
  <c r="AO2091" i="3"/>
  <c r="AO971" i="3" s="1"/>
  <c r="AO1547" i="3"/>
  <c r="AO2107" i="3"/>
  <c r="AO987" i="3" s="1"/>
  <c r="AO1563" i="3"/>
  <c r="AO2123" i="3"/>
  <c r="AO1003" i="3" s="1"/>
  <c r="AO1579" i="3"/>
  <c r="AO2139" i="3"/>
  <c r="AO1019" i="3" s="1"/>
  <c r="AO1595" i="3"/>
  <c r="AO2155" i="3"/>
  <c r="AO1035" i="3" s="1"/>
  <c r="AO1611" i="3"/>
  <c r="AO2171" i="3"/>
  <c r="AO1051" i="3" s="1"/>
  <c r="AO1627" i="3"/>
  <c r="AO2187" i="3"/>
  <c r="AO1067" i="3" s="1"/>
  <c r="AO1477" i="3"/>
  <c r="AO2037" i="3"/>
  <c r="AO917" i="3" s="1"/>
  <c r="AO1655" i="3"/>
  <c r="AO2215" i="3"/>
  <c r="AO1095" i="3" s="1"/>
  <c r="AO1640" i="3"/>
  <c r="AO2200" i="3"/>
  <c r="AO1080" i="3" s="1"/>
  <c r="AO1473" i="3"/>
  <c r="AO2033" i="3"/>
  <c r="AO913" i="3" s="1"/>
  <c r="AO1675" i="3"/>
  <c r="AO2235" i="3"/>
  <c r="AO1115" i="3" s="1"/>
  <c r="AK1478" i="3"/>
  <c r="AK2038" i="3"/>
  <c r="AK918" i="3" s="1"/>
  <c r="AK1662" i="3"/>
  <c r="AK2222" i="3"/>
  <c r="AK1102" i="3" s="1"/>
  <c r="AK1694" i="3"/>
  <c r="AK2254" i="3"/>
  <c r="AK1134" i="3" s="1"/>
  <c r="AK1664" i="3"/>
  <c r="AK2224" i="3"/>
  <c r="AK1104" i="3" s="1"/>
  <c r="AK1700" i="3"/>
  <c r="AK2260" i="3"/>
  <c r="AK1140" i="3" s="1"/>
  <c r="AK1469" i="3"/>
  <c r="AK2029" i="3"/>
  <c r="AK909" i="3" s="1"/>
  <c r="AK1501" i="3"/>
  <c r="AK2061" i="3"/>
  <c r="AK941" i="3" s="1"/>
  <c r="AK1533" i="3"/>
  <c r="AK2093" i="3"/>
  <c r="AK1549" i="3"/>
  <c r="AK2109" i="3"/>
  <c r="AK989" i="3" s="1"/>
  <c r="AK1565" i="3"/>
  <c r="AK2125" i="3"/>
  <c r="AK1005" i="3" s="1"/>
  <c r="AK1581" i="3"/>
  <c r="AK2141" i="3"/>
  <c r="AK1021" i="3" s="1"/>
  <c r="AK1597" i="3"/>
  <c r="AK2157" i="3"/>
  <c r="AK1037" i="3" s="1"/>
  <c r="AK1613" i="3"/>
  <c r="AK2173" i="3"/>
  <c r="AK1053" i="3" s="1"/>
  <c r="AK1629" i="3"/>
  <c r="AK2189" i="3"/>
  <c r="AK1069" i="3" s="1"/>
  <c r="AK1490" i="3"/>
  <c r="AK2050" i="3"/>
  <c r="AK930" i="3" s="1"/>
  <c r="AK1506" i="3"/>
  <c r="AK2066" i="3"/>
  <c r="AK946" i="3" s="1"/>
  <c r="AK1522" i="3"/>
  <c r="AK2082" i="3"/>
  <c r="AK962" i="3" s="1"/>
  <c r="AK1538" i="3"/>
  <c r="AK2098" i="3"/>
  <c r="AK978" i="3" s="1"/>
  <c r="AK1554" i="3"/>
  <c r="AK2114" i="3"/>
  <c r="AK994" i="3" s="1"/>
  <c r="AK1570" i="3"/>
  <c r="AK2130" i="3"/>
  <c r="AK1010" i="3" s="1"/>
  <c r="AK1586" i="3"/>
  <c r="AK2146" i="3"/>
  <c r="AK1026" i="3" s="1"/>
  <c r="AK1602" i="3"/>
  <c r="AK2162" i="3"/>
  <c r="AK1042" i="3" s="1"/>
  <c r="AK1618" i="3"/>
  <c r="AK2178" i="3"/>
  <c r="AK1058" i="3" s="1"/>
  <c r="AK1634" i="3"/>
  <c r="AK2194" i="3"/>
  <c r="AK1074" i="3" s="1"/>
  <c r="AK1647" i="3"/>
  <c r="AK2207" i="3"/>
  <c r="AK1087" i="3" s="1"/>
  <c r="AK1687" i="3"/>
  <c r="AK2247" i="3"/>
  <c r="AK1127" i="3" s="1"/>
  <c r="AK1641" i="3"/>
  <c r="AK2201" i="3"/>
  <c r="AK1081" i="3" s="1"/>
  <c r="AK1665" i="3"/>
  <c r="AK2225" i="3"/>
  <c r="AK1105" i="3" s="1"/>
  <c r="AK1470" i="3"/>
  <c r="AK2030" i="3"/>
  <c r="AK910" i="3" s="1"/>
  <c r="AK1686" i="3"/>
  <c r="AK2246" i="3"/>
  <c r="AK1126" i="3" s="1"/>
  <c r="AK1710" i="3"/>
  <c r="AK1726" i="3"/>
  <c r="AK1471" i="3"/>
  <c r="AK2031" i="3"/>
  <c r="AK911" i="3" s="1"/>
  <c r="AK1503" i="3"/>
  <c r="AK2063" i="3"/>
  <c r="AK943" i="3" s="1"/>
  <c r="AK1519" i="3"/>
  <c r="AK2079" i="3"/>
  <c r="AK959" i="3" s="1"/>
  <c r="AK1535" i="3"/>
  <c r="AK2095" i="3"/>
  <c r="AK1551" i="3"/>
  <c r="AK2111" i="3"/>
  <c r="AK991" i="3" s="1"/>
  <c r="AK1567" i="3"/>
  <c r="AK2127" i="3"/>
  <c r="AK1007" i="3" s="1"/>
  <c r="AK1583" i="3"/>
  <c r="AK2143" i="3"/>
  <c r="AK1023" i="3" s="1"/>
  <c r="AK1599" i="3"/>
  <c r="AK2159" i="3"/>
  <c r="AK1039" i="3" s="1"/>
  <c r="AK1615" i="3"/>
  <c r="AK2175" i="3"/>
  <c r="AK1055" i="3" s="1"/>
  <c r="AK1631" i="3"/>
  <c r="AK2191" i="3"/>
  <c r="AK1071" i="3" s="1"/>
  <c r="AK1703" i="3"/>
  <c r="AK2263" i="3"/>
  <c r="AK1143" i="3" s="1"/>
  <c r="AK1492" i="3"/>
  <c r="AK2052" i="3"/>
  <c r="AK932" i="3" s="1"/>
  <c r="AK1508" i="3"/>
  <c r="AK2068" i="3"/>
  <c r="AK948" i="3" s="1"/>
  <c r="AK1540" i="3"/>
  <c r="AK2100" i="3"/>
  <c r="AK980" i="3" s="1"/>
  <c r="AK1556" i="3"/>
  <c r="AK2116" i="3"/>
  <c r="AK996" i="3" s="1"/>
  <c r="AK1572" i="3"/>
  <c r="AK2132" i="3"/>
  <c r="AK1012" i="3" s="1"/>
  <c r="AK1588" i="3"/>
  <c r="AK2148" i="3"/>
  <c r="AK1028" i="3" s="1"/>
  <c r="AK1604" i="3"/>
  <c r="AK2164" i="3"/>
  <c r="AK1044" i="3" s="1"/>
  <c r="AK1620" i="3"/>
  <c r="AK2180" i="3"/>
  <c r="AK1060" i="3" s="1"/>
  <c r="AK2253" i="3"/>
  <c r="AK1133" i="3" s="1"/>
  <c r="AK1693" i="3"/>
  <c r="AK1709" i="3"/>
  <c r="AK1707" i="3"/>
  <c r="AK1668" i="3"/>
  <c r="AK2228" i="3"/>
  <c r="AK1108" i="3" s="1"/>
  <c r="AK1696" i="3"/>
  <c r="AK2256" i="3"/>
  <c r="AK1136" i="3" s="1"/>
  <c r="AK1657" i="3"/>
  <c r="AK2217" i="3"/>
  <c r="AK1097" i="3" s="1"/>
  <c r="AK1685" i="3"/>
  <c r="AK2245" i="3"/>
  <c r="AK1125" i="3" s="1"/>
  <c r="AK1729" i="3"/>
  <c r="AK1683" i="3"/>
  <c r="AK2243" i="3"/>
  <c r="AK1123" i="3" s="1"/>
  <c r="AG1662" i="3"/>
  <c r="AG2222" i="3"/>
  <c r="AG1102" i="3" s="1"/>
  <c r="AG1734" i="3"/>
  <c r="AG1655" i="3"/>
  <c r="AG2215" i="3"/>
  <c r="AG1095" i="3" s="1"/>
  <c r="AG1470" i="3"/>
  <c r="AG2030" i="3"/>
  <c r="AG910" i="3" s="1"/>
  <c r="AG1502" i="3"/>
  <c r="AG2062" i="3"/>
  <c r="AG942" i="3" s="1"/>
  <c r="AG1534" i="3"/>
  <c r="AG2094" i="3"/>
  <c r="AG1550" i="3"/>
  <c r="AG2110" i="3"/>
  <c r="AG990" i="3" s="1"/>
  <c r="AG1566" i="3"/>
  <c r="AG2126" i="3"/>
  <c r="AG1006" i="3" s="1"/>
  <c r="AG1582" i="3"/>
  <c r="AG2142" i="3"/>
  <c r="AG1022" i="3" s="1"/>
  <c r="AG1598" i="3"/>
  <c r="AG2158" i="3"/>
  <c r="AG1038" i="3" s="1"/>
  <c r="AG1614" i="3"/>
  <c r="AG2174" i="3"/>
  <c r="AG1054" i="3" s="1"/>
  <c r="AG1630" i="3"/>
  <c r="AG2190" i="3"/>
  <c r="AG1070" i="3" s="1"/>
  <c r="AG1706" i="3"/>
  <c r="AG1491" i="3"/>
  <c r="AG2051" i="3"/>
  <c r="AG931" i="3" s="1"/>
  <c r="AG1507" i="3"/>
  <c r="AG2067" i="3"/>
  <c r="AG947" i="3" s="1"/>
  <c r="AG1690" i="3"/>
  <c r="AG2250" i="3"/>
  <c r="AG1130" i="3" s="1"/>
  <c r="AG1661" i="3"/>
  <c r="AG2221" i="3"/>
  <c r="AG1101" i="3" s="1"/>
  <c r="AG1689" i="3"/>
  <c r="AG2249" i="3"/>
  <c r="AG1129" i="3" s="1"/>
  <c r="AG1691" i="3"/>
  <c r="AG2251" i="3"/>
  <c r="AG1131" i="3" s="1"/>
  <c r="AG1539" i="3"/>
  <c r="AG2099" i="3"/>
  <c r="AG979" i="3" s="1"/>
  <c r="AG1555" i="3"/>
  <c r="AG2115" i="3"/>
  <c r="AG995" i="3" s="1"/>
  <c r="AG1571" i="3"/>
  <c r="AG2131" i="3"/>
  <c r="AG1011" i="3" s="1"/>
  <c r="AG1587" i="3"/>
  <c r="AG2147" i="3"/>
  <c r="AG1027" i="3" s="1"/>
  <c r="AG1603" i="3"/>
  <c r="AG2163" i="3"/>
  <c r="AG1043" i="3" s="1"/>
  <c r="AG1619" i="3"/>
  <c r="AG2179" i="3"/>
  <c r="AG1059" i="3" s="1"/>
  <c r="AG1668" i="3"/>
  <c r="AG2228" i="3"/>
  <c r="AG1108" i="3" s="1"/>
  <c r="AG1647" i="3"/>
  <c r="AG2207" i="3"/>
  <c r="AG1087" i="3" s="1"/>
  <c r="AG1477" i="3"/>
  <c r="AG2037" i="3"/>
  <c r="AG917" i="3" s="1"/>
  <c r="AG1695" i="3"/>
  <c r="AG2255" i="3"/>
  <c r="AG1135" i="3" s="1"/>
  <c r="AG1731" i="3"/>
  <c r="AG1480" i="3"/>
  <c r="AG2040" i="3"/>
  <c r="AG920" i="3" s="1"/>
  <c r="AG1496" i="3"/>
  <c r="AG2056" i="3"/>
  <c r="AG1512" i="3"/>
  <c r="AG2072" i="3"/>
  <c r="AG952" i="3" s="1"/>
  <c r="AG1528" i="3"/>
  <c r="AG2088" i="3"/>
  <c r="AG968" i="3" s="1"/>
  <c r="AG1544" i="3"/>
  <c r="AG2104" i="3"/>
  <c r="AG984" i="3" s="1"/>
  <c r="AG1560" i="3"/>
  <c r="AG2120" i="3"/>
  <c r="AG1000" i="3" s="1"/>
  <c r="AG1576" i="3"/>
  <c r="AG2136" i="3"/>
  <c r="AG1016" i="3" s="1"/>
  <c r="AG1592" i="3"/>
  <c r="AG2152" i="3"/>
  <c r="AG1032" i="3" s="1"/>
  <c r="AG1608" i="3"/>
  <c r="AG2168" i="3"/>
  <c r="AG1048" i="3" s="1"/>
  <c r="AG1624" i="3"/>
  <c r="AG2184" i="3"/>
  <c r="AG1064" i="3" s="1"/>
  <c r="AG1648" i="3"/>
  <c r="AG2208" i="3"/>
  <c r="AG1088" i="3" s="1"/>
  <c r="AG1664" i="3"/>
  <c r="AG2224" i="3"/>
  <c r="AG1104" i="3" s="1"/>
  <c r="AG1688" i="3"/>
  <c r="AG2248" i="3"/>
  <c r="AG1128" i="3" s="1"/>
  <c r="AG1708" i="3"/>
  <c r="AG1501" i="3"/>
  <c r="AG2061" i="3"/>
  <c r="AG941" i="3" s="1"/>
  <c r="AG1533" i="3"/>
  <c r="AG2093" i="3"/>
  <c r="AG1549" i="3"/>
  <c r="AG2109" i="3"/>
  <c r="AG989" i="3" s="1"/>
  <c r="AG1565" i="3"/>
  <c r="AG2125" i="3"/>
  <c r="AG1005" i="3" s="1"/>
  <c r="AG1581" i="3"/>
  <c r="AG2141" i="3"/>
  <c r="AG1021" i="3" s="1"/>
  <c r="AG1597" i="3"/>
  <c r="AG2157" i="3"/>
  <c r="AG1037" i="3" s="1"/>
  <c r="AG1613" i="3"/>
  <c r="AG2173" i="3"/>
  <c r="AG1053" i="3" s="1"/>
  <c r="AG1629" i="3"/>
  <c r="AG2189" i="3"/>
  <c r="AG1069" i="3" s="1"/>
  <c r="AG1657" i="3"/>
  <c r="AG2217" i="3"/>
  <c r="AG1097" i="3" s="1"/>
  <c r="AG2253" i="3"/>
  <c r="AG1133" i="3" s="1"/>
  <c r="AG1693" i="3"/>
  <c r="AG1709" i="3"/>
  <c r="AG1737" i="3"/>
  <c r="AG1711" i="3"/>
  <c r="AC1466" i="3"/>
  <c r="AC2026" i="3"/>
  <c r="AC906" i="3" s="1"/>
  <c r="AC1482" i="3"/>
  <c r="AC2042" i="3"/>
  <c r="AC922" i="3" s="1"/>
  <c r="AC1514" i="3"/>
  <c r="AC2074" i="3"/>
  <c r="AC954" i="3" s="1"/>
  <c r="AC1530" i="3"/>
  <c r="AC2090" i="3"/>
  <c r="AC970" i="3" s="1"/>
  <c r="AC1562" i="3"/>
  <c r="AC2122" i="3"/>
  <c r="AC1002" i="3" s="1"/>
  <c r="AC1626" i="3"/>
  <c r="AC2186" i="3"/>
  <c r="AC1066" i="3" s="1"/>
  <c r="AC1678" i="3"/>
  <c r="AC2238" i="3"/>
  <c r="AC1118" i="3" s="1"/>
  <c r="AC1706" i="3"/>
  <c r="AC1722" i="3"/>
  <c r="AC1467" i="3"/>
  <c r="AC2027" i="3"/>
  <c r="AC907" i="3" s="1"/>
  <c r="AC1483" i="3"/>
  <c r="AC2043" i="3"/>
  <c r="AC923" i="3" s="1"/>
  <c r="AC1499" i="3"/>
  <c r="AC2059" i="3"/>
  <c r="AC939" i="3" s="1"/>
  <c r="AC1531" i="3"/>
  <c r="AC2091" i="3"/>
  <c r="AC971" i="3" s="1"/>
  <c r="AC1648" i="3"/>
  <c r="AC2208" i="3"/>
  <c r="AC1088" i="3" s="1"/>
  <c r="AC1680" i="3"/>
  <c r="AC2240" i="3"/>
  <c r="AC1120" i="3" s="1"/>
  <c r="AC1708" i="3"/>
  <c r="AC1679" i="3"/>
  <c r="AC2239" i="3"/>
  <c r="AC1119" i="3" s="1"/>
  <c r="AC1681" i="3"/>
  <c r="AC2241" i="3"/>
  <c r="AC1121" i="3" s="1"/>
  <c r="AC1675" i="3"/>
  <c r="AC2235" i="3"/>
  <c r="AC1115" i="3" s="1"/>
  <c r="AC1735" i="3"/>
  <c r="AC1563" i="3"/>
  <c r="AC2123" i="3"/>
  <c r="AC1003" i="3" s="1"/>
  <c r="AC1579" i="3"/>
  <c r="AC2139" i="3"/>
  <c r="AC1019" i="3" s="1"/>
  <c r="AC1595" i="3"/>
  <c r="AC2155" i="3"/>
  <c r="AC1035" i="3" s="1"/>
  <c r="AC1627" i="3"/>
  <c r="AC2187" i="3"/>
  <c r="AC1067" i="3" s="1"/>
  <c r="AC1637" i="3"/>
  <c r="AC2197" i="3"/>
  <c r="AC1077" i="3" s="1"/>
  <c r="AC1658" i="3"/>
  <c r="AC2218" i="3"/>
  <c r="AC1098" i="3" s="1"/>
  <c r="AC1682" i="3"/>
  <c r="AC2242" i="3"/>
  <c r="AC1122" i="3" s="1"/>
  <c r="AC1655" i="3"/>
  <c r="AC2215" i="3"/>
  <c r="AC1095" i="3" s="1"/>
  <c r="AC1492" i="3"/>
  <c r="AC2052" i="3"/>
  <c r="AC932" i="3" s="1"/>
  <c r="AC1540" i="3"/>
  <c r="AC2100" i="3"/>
  <c r="AC980" i="3" s="1"/>
  <c r="AC1556" i="3"/>
  <c r="AC2116" i="3"/>
  <c r="AC996" i="3" s="1"/>
  <c r="AC1572" i="3"/>
  <c r="AC2132" i="3"/>
  <c r="AC1012" i="3" s="1"/>
  <c r="AC1588" i="3"/>
  <c r="AC2148" i="3"/>
  <c r="AC1028" i="3" s="1"/>
  <c r="AC1620" i="3"/>
  <c r="AC2180" i="3"/>
  <c r="AC1060" i="3" s="1"/>
  <c r="AC1640" i="3"/>
  <c r="AC2200" i="3"/>
  <c r="AC1080" i="3" s="1"/>
  <c r="AC1711" i="3"/>
  <c r="AC1476" i="3"/>
  <c r="AC2036" i="3"/>
  <c r="AC916" i="3" s="1"/>
  <c r="AC1712" i="3"/>
  <c r="AC1728" i="3"/>
  <c r="AC1473" i="3"/>
  <c r="AC2033" i="3"/>
  <c r="AC913" i="3" s="1"/>
  <c r="AC1489" i="3"/>
  <c r="AC2049" i="3"/>
  <c r="AC929" i="3" s="1"/>
  <c r="AC1505" i="3"/>
  <c r="AC2065" i="3"/>
  <c r="AC945" i="3" s="1"/>
  <c r="AC1521" i="3"/>
  <c r="AC2081" i="3"/>
  <c r="AC961" i="3" s="1"/>
  <c r="AC1537" i="3"/>
  <c r="AC2097" i="3"/>
  <c r="AC977" i="3" s="1"/>
  <c r="AC1553" i="3"/>
  <c r="AC2113" i="3"/>
  <c r="AC993" i="3" s="1"/>
  <c r="AC1569" i="3"/>
  <c r="AC2129" i="3"/>
  <c r="AC1009" i="3" s="1"/>
  <c r="AC1585" i="3"/>
  <c r="AC2145" i="3"/>
  <c r="AC1025" i="3" s="1"/>
  <c r="AC1617" i="3"/>
  <c r="AC2177" i="3"/>
  <c r="AC1057" i="3" s="1"/>
  <c r="AC1661" i="3"/>
  <c r="AC2221" i="3"/>
  <c r="AC1101" i="3" s="1"/>
  <c r="Y1475" i="3"/>
  <c r="Y2035" i="3"/>
  <c r="Y915" i="3" s="1"/>
  <c r="Y1658" i="3"/>
  <c r="Y2218" i="3"/>
  <c r="Y1098" i="3" s="1"/>
  <c r="Y1679" i="3"/>
  <c r="Y2239" i="3"/>
  <c r="Y1119" i="3" s="1"/>
  <c r="Y1466" i="3"/>
  <c r="Y2026" i="3"/>
  <c r="Y906" i="3" s="1"/>
  <c r="Y1482" i="3"/>
  <c r="Y2042" i="3"/>
  <c r="Y922" i="3" s="1"/>
  <c r="Y1514" i="3"/>
  <c r="Y2074" i="3"/>
  <c r="Y954" i="3" s="1"/>
  <c r="Y1530" i="3"/>
  <c r="Y2090" i="3"/>
  <c r="Y970" i="3" s="1"/>
  <c r="Y1562" i="3"/>
  <c r="Y2122" i="3"/>
  <c r="Y1002" i="3" s="1"/>
  <c r="Y1626" i="3"/>
  <c r="Y2186" i="3"/>
  <c r="Y1066" i="3" s="1"/>
  <c r="Y1670" i="3"/>
  <c r="Y2230" i="3"/>
  <c r="Y1110" i="3" s="1"/>
  <c r="Y1710" i="3"/>
  <c r="Y1726" i="3"/>
  <c r="Y1503" i="3"/>
  <c r="Y2063" i="3"/>
  <c r="Y943" i="3" s="1"/>
  <c r="Y1519" i="3"/>
  <c r="Y2079" i="3"/>
  <c r="Y959" i="3" s="1"/>
  <c r="Y1551" i="3"/>
  <c r="Y2111" i="3"/>
  <c r="Y991" i="3" s="1"/>
  <c r="Y1567" i="3"/>
  <c r="Y2127" i="3"/>
  <c r="Y1007" i="3" s="1"/>
  <c r="Y1583" i="3"/>
  <c r="Y2143" i="3"/>
  <c r="Y1023" i="3" s="1"/>
  <c r="Y1599" i="3"/>
  <c r="Y2159" i="3"/>
  <c r="Y1039" i="3" s="1"/>
  <c r="Y1615" i="3"/>
  <c r="Y2175" i="3"/>
  <c r="Y1055" i="3" s="1"/>
  <c r="Y1660" i="3"/>
  <c r="Y2220" i="3"/>
  <c r="Y1100" i="3" s="1"/>
  <c r="Y1637" i="3"/>
  <c r="Y2197" i="3"/>
  <c r="Y1077" i="3" s="1"/>
  <c r="Y1469" i="3"/>
  <c r="Y2029" i="3"/>
  <c r="Y909" i="3" s="1"/>
  <c r="Y1639" i="3"/>
  <c r="Y2199" i="3"/>
  <c r="Y1079" i="3" s="1"/>
  <c r="Y1468" i="3"/>
  <c r="Y2028" i="3"/>
  <c r="Y908" i="3" s="1"/>
  <c r="Y1484" i="3"/>
  <c r="Y2044" i="3"/>
  <c r="Y924" i="3" s="1"/>
  <c r="Y1500" i="3"/>
  <c r="Y2060" i="3"/>
  <c r="Y940" i="3" s="1"/>
  <c r="Y1532" i="3"/>
  <c r="Y2092" i="3"/>
  <c r="Y972" i="3" s="1"/>
  <c r="Y1564" i="3"/>
  <c r="Y2124" i="3"/>
  <c r="Y1004" i="3" s="1"/>
  <c r="Y1580" i="3"/>
  <c r="Y2140" i="3"/>
  <c r="Y1020" i="3" s="1"/>
  <c r="Y1596" i="3"/>
  <c r="Y2156" i="3"/>
  <c r="Y1036" i="3" s="1"/>
  <c r="Y1628" i="3"/>
  <c r="Y2188" i="3"/>
  <c r="Y1068" i="3" s="1"/>
  <c r="Y1489" i="3"/>
  <c r="Y2049" i="3"/>
  <c r="Y929" i="3" s="1"/>
  <c r="Y1505" i="3"/>
  <c r="Y2065" i="3"/>
  <c r="Y945" i="3" s="1"/>
  <c r="Y2081" i="3"/>
  <c r="Y961" i="3" s="1"/>
  <c r="Y1521" i="3"/>
  <c r="Y1537" i="3"/>
  <c r="Y2097" i="3"/>
  <c r="Y977" i="3" s="1"/>
  <c r="Y1553" i="3"/>
  <c r="Y2113" i="3"/>
  <c r="Y993" i="3" s="1"/>
  <c r="Y1569" i="3"/>
  <c r="Y2129" i="3"/>
  <c r="Y1009" i="3" s="1"/>
  <c r="Y2145" i="3"/>
  <c r="Y1025" i="3" s="1"/>
  <c r="Y1585" i="3"/>
  <c r="Y1617" i="3"/>
  <c r="Y2177" i="3"/>
  <c r="Y1057" i="3" s="1"/>
  <c r="Y1681" i="3"/>
  <c r="Y2241" i="3"/>
  <c r="Y1121" i="3" s="1"/>
  <c r="Y1729" i="3"/>
  <c r="Y1727" i="3"/>
  <c r="Y1687" i="3"/>
  <c r="Y2247" i="3"/>
  <c r="Y1127" i="3" s="1"/>
  <c r="Y1680" i="3"/>
  <c r="Y2240" i="3"/>
  <c r="Y1120" i="3" s="1"/>
  <c r="Y1717" i="3"/>
  <c r="U1662" i="3"/>
  <c r="U2222" i="3"/>
  <c r="U1102" i="3" s="1"/>
  <c r="U1694" i="3"/>
  <c r="U2254" i="3"/>
  <c r="U1134" i="3" s="1"/>
  <c r="U1710" i="3"/>
  <c r="U1726" i="3"/>
  <c r="U1503" i="3"/>
  <c r="U2063" i="3"/>
  <c r="U943" i="3" s="1"/>
  <c r="U1519" i="3"/>
  <c r="U2079" i="3"/>
  <c r="U959" i="3" s="1"/>
  <c r="U1551" i="3"/>
  <c r="U2111" i="3"/>
  <c r="U991" i="3" s="1"/>
  <c r="U1567" i="3"/>
  <c r="U2127" i="3"/>
  <c r="U1007" i="3" s="1"/>
  <c r="U1583" i="3"/>
  <c r="U2143" i="3"/>
  <c r="U1023" i="3" s="1"/>
  <c r="U1599" i="3"/>
  <c r="U2159" i="3"/>
  <c r="U1039" i="3" s="1"/>
  <c r="U1615" i="3"/>
  <c r="U2175" i="3"/>
  <c r="U1055" i="3" s="1"/>
  <c r="U1468" i="3"/>
  <c r="U2028" i="3"/>
  <c r="U908" i="3" s="1"/>
  <c r="U1512" i="3"/>
  <c r="U2072" i="3"/>
  <c r="U952" i="3" s="1"/>
  <c r="U1528" i="3"/>
  <c r="U2088" i="3"/>
  <c r="U968" i="3" s="1"/>
  <c r="U1544" i="3"/>
  <c r="U2104" i="3"/>
  <c r="U984" i="3" s="1"/>
  <c r="U1608" i="3"/>
  <c r="U2168" i="3"/>
  <c r="U1048" i="3" s="1"/>
  <c r="U1691" i="3"/>
  <c r="U2251" i="3"/>
  <c r="U1131" i="3" s="1"/>
  <c r="U1482" i="3"/>
  <c r="U2042" i="3"/>
  <c r="U922" i="3" s="1"/>
  <c r="U1514" i="3"/>
  <c r="U2074" i="3"/>
  <c r="U954" i="3" s="1"/>
  <c r="U1530" i="3"/>
  <c r="U2090" i="3"/>
  <c r="U970" i="3" s="1"/>
  <c r="U1562" i="3"/>
  <c r="U2122" i="3"/>
  <c r="U1002" i="3" s="1"/>
  <c r="U1626" i="3"/>
  <c r="U2186" i="3"/>
  <c r="U1066" i="3" s="1"/>
  <c r="U1642" i="3"/>
  <c r="U2202" i="3"/>
  <c r="U1082" i="3" s="1"/>
  <c r="U1469" i="3"/>
  <c r="U2029" i="3"/>
  <c r="U909" i="3" s="1"/>
  <c r="U1501" i="3"/>
  <c r="U2061" i="3"/>
  <c r="U941" i="3" s="1"/>
  <c r="U1549" i="3"/>
  <c r="U2109" i="3"/>
  <c r="U989" i="3" s="1"/>
  <c r="U1565" i="3"/>
  <c r="U2125" i="3"/>
  <c r="U1005" i="3" s="1"/>
  <c r="U1581" i="3"/>
  <c r="U2141" i="3"/>
  <c r="U1021" i="3" s="1"/>
  <c r="U1597" i="3"/>
  <c r="U2157" i="3"/>
  <c r="U1037" i="3" s="1"/>
  <c r="U1613" i="3"/>
  <c r="U2173" i="3"/>
  <c r="U1053" i="3" s="1"/>
  <c r="U1629" i="3"/>
  <c r="U2189" i="3"/>
  <c r="U1069" i="3" s="1"/>
  <c r="U1659" i="3"/>
  <c r="U2219" i="3"/>
  <c r="U1099" i="3" s="1"/>
  <c r="U1679" i="3"/>
  <c r="U2239" i="3"/>
  <c r="U1119" i="3" s="1"/>
  <c r="U1681" i="3"/>
  <c r="U2241" i="3"/>
  <c r="U1121" i="3" s="1"/>
  <c r="U1675" i="3"/>
  <c r="U2235" i="3"/>
  <c r="U1115" i="3" s="1"/>
  <c r="U1735" i="3"/>
  <c r="U1668" i="3"/>
  <c r="U2228" i="3"/>
  <c r="U1108" i="3" s="1"/>
  <c r="Q1599" i="3"/>
  <c r="Q2159" i="3"/>
  <c r="Q1039" i="3" s="1"/>
  <c r="Q1502" i="3"/>
  <c r="Q2062" i="3"/>
  <c r="Q942" i="3" s="1"/>
  <c r="Q1550" i="3"/>
  <c r="Q2110" i="3"/>
  <c r="Q990" i="3" s="1"/>
  <c r="Q1566" i="3"/>
  <c r="Q2126" i="3"/>
  <c r="Q1006" i="3" s="1"/>
  <c r="Q1582" i="3"/>
  <c r="Q2142" i="3"/>
  <c r="Q1022" i="3" s="1"/>
  <c r="Q1598" i="3"/>
  <c r="Q2158" i="3"/>
  <c r="Q1038" i="3" s="1"/>
  <c r="Q1614" i="3"/>
  <c r="Q2174" i="3"/>
  <c r="Q1054" i="3" s="1"/>
  <c r="Q1630" i="3"/>
  <c r="Q2190" i="3"/>
  <c r="Q1070" i="3" s="1"/>
  <c r="Q1706" i="3"/>
  <c r="Q1491" i="3"/>
  <c r="Q2051" i="3"/>
  <c r="Q931" i="3" s="1"/>
  <c r="Q1539" i="3"/>
  <c r="Q2099" i="3"/>
  <c r="Q979" i="3" s="1"/>
  <c r="Q1571" i="3"/>
  <c r="Q2131" i="3"/>
  <c r="Q1011" i="3" s="1"/>
  <c r="Q1662" i="3"/>
  <c r="Q2222" i="3"/>
  <c r="Q1102" i="3" s="1"/>
  <c r="Q1678" i="3"/>
  <c r="Q2238" i="3"/>
  <c r="Q1118" i="3" s="1"/>
  <c r="Q1718" i="3"/>
  <c r="Q1734" i="3"/>
  <c r="Q1658" i="3"/>
  <c r="Q2218" i="3"/>
  <c r="Q1098" i="3" s="1"/>
  <c r="Q1475" i="3"/>
  <c r="Q2035" i="3"/>
  <c r="Q915" i="3" s="1"/>
  <c r="Q1668" i="3"/>
  <c r="Q2228" i="3"/>
  <c r="Q1108" i="3" s="1"/>
  <c r="Q1639" i="3"/>
  <c r="Q2199" i="3"/>
  <c r="Q1079" i="3" s="1"/>
  <c r="Q1647" i="3"/>
  <c r="Q2207" i="3"/>
  <c r="Q1087" i="3" s="1"/>
  <c r="Q1661" i="3"/>
  <c r="Q2221" i="3"/>
  <c r="Q1101" i="3" s="1"/>
  <c r="Q1689" i="3"/>
  <c r="Q2249" i="3"/>
  <c r="Q1129" i="3" s="1"/>
  <c r="Q1691" i="3"/>
  <c r="Q2251" i="3"/>
  <c r="Q1131" i="3" s="1"/>
  <c r="Q1468" i="3"/>
  <c r="Q2028" i="3"/>
  <c r="Q908" i="3" s="1"/>
  <c r="Q1484" i="3"/>
  <c r="Q2044" i="3"/>
  <c r="Q924" i="3" s="1"/>
  <c r="Q1500" i="3"/>
  <c r="Q2060" i="3"/>
  <c r="Q940" i="3" s="1"/>
  <c r="Q1532" i="3"/>
  <c r="Q2092" i="3"/>
  <c r="Q972" i="3" s="1"/>
  <c r="Q1564" i="3"/>
  <c r="Q2124" i="3"/>
  <c r="Q1004" i="3" s="1"/>
  <c r="Q1580" i="3"/>
  <c r="Q2140" i="3"/>
  <c r="Q1020" i="3" s="1"/>
  <c r="Q1596" i="3"/>
  <c r="Q2156" i="3"/>
  <c r="Q1036" i="3" s="1"/>
  <c r="Q1628" i="3"/>
  <c r="Q2188" i="3"/>
  <c r="Q1068" i="3" s="1"/>
  <c r="Q1692" i="3"/>
  <c r="Q2252" i="3"/>
  <c r="Q1132" i="3" s="1"/>
  <c r="Q1712" i="3"/>
  <c r="Q1728" i="3"/>
  <c r="Q1489" i="3"/>
  <c r="Q2049" i="3"/>
  <c r="Q929" i="3" s="1"/>
  <c r="Q1505" i="3"/>
  <c r="Q2065" i="3"/>
  <c r="Q945" i="3" s="1"/>
  <c r="Q1521" i="3"/>
  <c r="Q2081" i="3"/>
  <c r="Q961" i="3" s="1"/>
  <c r="Q1537" i="3"/>
  <c r="Q2097" i="3"/>
  <c r="Q977" i="3" s="1"/>
  <c r="Q1553" i="3"/>
  <c r="Q2113" i="3"/>
  <c r="Q993" i="3" s="1"/>
  <c r="Q1569" i="3"/>
  <c r="Q2129" i="3"/>
  <c r="Q1009" i="3" s="1"/>
  <c r="Q1585" i="3"/>
  <c r="Q2145" i="3"/>
  <c r="Q1025" i="3" s="1"/>
  <c r="Q1617" i="3"/>
  <c r="Q2177" i="3"/>
  <c r="Q1057" i="3" s="1"/>
  <c r="Q1681" i="3"/>
  <c r="Q2241" i="3"/>
  <c r="Q1121" i="3" s="1"/>
  <c r="Q1729" i="3"/>
  <c r="Q1727" i="3"/>
  <c r="Q1641" i="3"/>
  <c r="Q2201" i="3"/>
  <c r="Q1081" i="3" s="1"/>
  <c r="AV1670" i="3"/>
  <c r="AV2230" i="3"/>
  <c r="AV1110" i="3" s="1"/>
  <c r="AV1726" i="3"/>
  <c r="AV1631" i="3"/>
  <c r="AV2191" i="3"/>
  <c r="AV1071" i="3" s="1"/>
  <c r="AV1626" i="3"/>
  <c r="AV2186" i="3"/>
  <c r="AV1066" i="3" s="1"/>
  <c r="AV1595" i="3"/>
  <c r="AV2155" i="3"/>
  <c r="AV1035" i="3" s="1"/>
  <c r="AV1655" i="3"/>
  <c r="AV2215" i="3"/>
  <c r="AV1095" i="3" s="1"/>
  <c r="AV1553" i="3"/>
  <c r="AV2113" i="3"/>
  <c r="AV993" i="3" s="1"/>
  <c r="AV1478" i="3"/>
  <c r="AV2038" i="3"/>
  <c r="AV918" i="3" s="1"/>
  <c r="AV1494" i="3"/>
  <c r="AV2054" i="3"/>
  <c r="AV934" i="3" s="1"/>
  <c r="AV1510" i="3"/>
  <c r="AV2070" i="3"/>
  <c r="AV950" i="3" s="1"/>
  <c r="AV1542" i="3"/>
  <c r="AV2102" i="3"/>
  <c r="AV982" i="3" s="1"/>
  <c r="AV1566" i="3"/>
  <c r="AV2126" i="3"/>
  <c r="AV1006" i="3" s="1"/>
  <c r="AV1582" i="3"/>
  <c r="AV2142" i="3"/>
  <c r="AV1022" i="3" s="1"/>
  <c r="AV1706" i="3"/>
  <c r="AV1722" i="3"/>
  <c r="AV1471" i="3"/>
  <c r="AV2031" i="3"/>
  <c r="AV911" i="3" s="1"/>
  <c r="AV1503" i="3"/>
  <c r="AV2063" i="3"/>
  <c r="AV943" i="3" s="1"/>
  <c r="AV1519" i="3"/>
  <c r="AV2079" i="3"/>
  <c r="AV959" i="3" s="1"/>
  <c r="AV1535" i="3"/>
  <c r="AV2095" i="3"/>
  <c r="AV1567" i="3"/>
  <c r="AV2127" i="3"/>
  <c r="AV1007" i="3" s="1"/>
  <c r="AV1639" i="3"/>
  <c r="AV2199" i="3"/>
  <c r="AV1079" i="3" s="1"/>
  <c r="AV1703" i="3"/>
  <c r="AV2263" i="3"/>
  <c r="AV1143" i="3" s="1"/>
  <c r="AV1468" i="3"/>
  <c r="AV2028" i="3"/>
  <c r="AV908" i="3" s="1"/>
  <c r="AV1484" i="3"/>
  <c r="AV2044" i="3"/>
  <c r="AV924" i="3" s="1"/>
  <c r="AV1500" i="3"/>
  <c r="AV2060" i="3"/>
  <c r="AV940" i="3" s="1"/>
  <c r="AV1532" i="3"/>
  <c r="AV2092" i="3"/>
  <c r="AV972" i="3" s="1"/>
  <c r="AV1732" i="3"/>
  <c r="AV1693" i="3"/>
  <c r="AV2253" i="3"/>
  <c r="AV1133" i="3" s="1"/>
  <c r="AV1683" i="3"/>
  <c r="AV2243" i="3"/>
  <c r="AV1123" i="3" s="1"/>
  <c r="AV1719" i="3"/>
  <c r="AV1571" i="3"/>
  <c r="AV2131" i="3"/>
  <c r="AV1011" i="3" s="1"/>
  <c r="AV1600" i="3"/>
  <c r="AV2160" i="3"/>
  <c r="AV1040" i="3" s="1"/>
  <c r="AV1632" i="3"/>
  <c r="AV2192" i="3"/>
  <c r="AV1072" i="3" s="1"/>
  <c r="AV1614" i="3"/>
  <c r="AV2174" i="3"/>
  <c r="AV1054" i="3" s="1"/>
  <c r="AV1638" i="3"/>
  <c r="AV2198" i="3"/>
  <c r="AV1078" i="3" s="1"/>
  <c r="AV1551" i="3"/>
  <c r="AV2111" i="3"/>
  <c r="AV991" i="3" s="1"/>
  <c r="AV1627" i="3"/>
  <c r="AV2187" i="3"/>
  <c r="AV1067" i="3" s="1"/>
  <c r="AV1560" i="3"/>
  <c r="AV2120" i="3"/>
  <c r="AV1000" i="3" s="1"/>
  <c r="AV1576" i="3"/>
  <c r="AV2136" i="3"/>
  <c r="AV1016" i="3" s="1"/>
  <c r="AV1592" i="3"/>
  <c r="AV2152" i="3"/>
  <c r="AV1032" i="3" s="1"/>
  <c r="AV1633" i="3"/>
  <c r="AV2193" i="3"/>
  <c r="AV1073" i="3" s="1"/>
  <c r="AV1624" i="3"/>
  <c r="AV2184" i="3"/>
  <c r="AV1064" i="3" s="1"/>
  <c r="AV1473" i="3"/>
  <c r="AV2033" i="3"/>
  <c r="AV913" i="3" s="1"/>
  <c r="AV1489" i="3"/>
  <c r="AV2049" i="3"/>
  <c r="AV929" i="3" s="1"/>
  <c r="AV1505" i="3"/>
  <c r="AV2065" i="3"/>
  <c r="AV945" i="3" s="1"/>
  <c r="AV1521" i="3"/>
  <c r="AV2081" i="3"/>
  <c r="AV961" i="3" s="1"/>
  <c r="AV1537" i="3"/>
  <c r="AV2097" i="3"/>
  <c r="AV977" i="3" s="1"/>
  <c r="AV1597" i="3"/>
  <c r="AV2157" i="3"/>
  <c r="AV1037" i="3" s="1"/>
  <c r="AV1621" i="3"/>
  <c r="AV2181" i="3"/>
  <c r="AV1061" i="3" s="1"/>
  <c r="AV1660" i="3"/>
  <c r="AV2220" i="3"/>
  <c r="AV1100" i="3" s="1"/>
  <c r="AV1680" i="3"/>
  <c r="AV2240" i="3"/>
  <c r="AV1120" i="3" s="1"/>
  <c r="AV1704" i="3"/>
  <c r="AV2264" i="3"/>
  <c r="AV1144" i="3" s="1"/>
  <c r="AV1565" i="3"/>
  <c r="AV2125" i="3"/>
  <c r="AV1005" i="3" s="1"/>
  <c r="AV1581" i="3"/>
  <c r="AV2141" i="3"/>
  <c r="AV1021" i="3" s="1"/>
  <c r="AV1637" i="3"/>
  <c r="AV2197" i="3"/>
  <c r="AV1077" i="3" s="1"/>
  <c r="AV1665" i="3"/>
  <c r="AV2225" i="3"/>
  <c r="AV1105" i="3" s="1"/>
  <c r="AV1689" i="3"/>
  <c r="AV2249" i="3"/>
  <c r="AV1129" i="3" s="1"/>
  <c r="AV1675" i="3"/>
  <c r="AV2235" i="3"/>
  <c r="AV1115" i="3" s="1"/>
  <c r="AR1583" i="3"/>
  <c r="AR2143" i="3"/>
  <c r="AR1023" i="3" s="1"/>
  <c r="AR1591" i="3"/>
  <c r="AR2151" i="3"/>
  <c r="AR1031" i="3" s="1"/>
  <c r="AR1559" i="3"/>
  <c r="AR2119" i="3"/>
  <c r="AR999" i="3" s="1"/>
  <c r="AR1575" i="3"/>
  <c r="AR2135" i="3"/>
  <c r="AR1015" i="3" s="1"/>
  <c r="AR1566" i="3"/>
  <c r="AR2126" i="3"/>
  <c r="AR1006" i="3" s="1"/>
  <c r="AR1582" i="3"/>
  <c r="AR2142" i="3"/>
  <c r="AR1022" i="3" s="1"/>
  <c r="AR2095" i="3"/>
  <c r="AR1535" i="3"/>
  <c r="AR1474" i="3"/>
  <c r="AR2034" i="3"/>
  <c r="AR914" i="3" s="1"/>
  <c r="AR1490" i="3"/>
  <c r="AR2050" i="3"/>
  <c r="AR930" i="3" s="1"/>
  <c r="AR1506" i="3"/>
  <c r="AR2066" i="3"/>
  <c r="AR946" i="3" s="1"/>
  <c r="AR1522" i="3"/>
  <c r="AR2082" i="3"/>
  <c r="AR962" i="3" s="1"/>
  <c r="AR1538" i="3"/>
  <c r="AR2098" i="3"/>
  <c r="AR978" i="3" s="1"/>
  <c r="AR1686" i="3"/>
  <c r="AR2246" i="3"/>
  <c r="AR1126" i="3" s="1"/>
  <c r="AR1710" i="3"/>
  <c r="AR1730" i="3"/>
  <c r="AR1475" i="3"/>
  <c r="AR2035" i="3"/>
  <c r="AR915" i="3" s="1"/>
  <c r="AR1491" i="3"/>
  <c r="AR2051" i="3"/>
  <c r="AR931" i="3" s="1"/>
  <c r="AR1507" i="3"/>
  <c r="AR2067" i="3"/>
  <c r="AR947" i="3" s="1"/>
  <c r="AR1647" i="3"/>
  <c r="AR2207" i="3"/>
  <c r="AR1087" i="3" s="1"/>
  <c r="AR1477" i="3"/>
  <c r="AR2037" i="3"/>
  <c r="AR917" i="3" s="1"/>
  <c r="AR1493" i="3"/>
  <c r="AR2053" i="3"/>
  <c r="AR933" i="3" s="1"/>
  <c r="AR1509" i="3"/>
  <c r="AR2069" i="3"/>
  <c r="AR949" i="3" s="1"/>
  <c r="AR2101" i="3"/>
  <c r="AR981" i="3" s="1"/>
  <c r="AR1541" i="3"/>
  <c r="AR1554" i="3"/>
  <c r="AR2114" i="3"/>
  <c r="AR994" i="3" s="1"/>
  <c r="AR1666" i="3"/>
  <c r="AR2226" i="3"/>
  <c r="AR1106" i="3" s="1"/>
  <c r="AR1694" i="3"/>
  <c r="AR2254" i="3"/>
  <c r="AR1134" i="3" s="1"/>
  <c r="AR1571" i="3"/>
  <c r="AR2131" i="3"/>
  <c r="AR1011" i="3" s="1"/>
  <c r="AR1687" i="3"/>
  <c r="AR2247" i="3"/>
  <c r="AR1127" i="3" s="1"/>
  <c r="AR1668" i="3"/>
  <c r="AR2228" i="3"/>
  <c r="AR1108" i="3" s="1"/>
  <c r="AR1692" i="3"/>
  <c r="AR2252" i="3"/>
  <c r="AR1132" i="3" s="1"/>
  <c r="AR2229" i="3"/>
  <c r="AR1109" i="3" s="1"/>
  <c r="AR1669" i="3"/>
  <c r="AR1701" i="3"/>
  <c r="AR2261" i="3"/>
  <c r="AR1141" i="3" s="1"/>
  <c r="AR1691" i="3"/>
  <c r="AR2251" i="3"/>
  <c r="AR1131" i="3" s="1"/>
  <c r="AR1623" i="3"/>
  <c r="AR2183" i="3"/>
  <c r="AR1063" i="3" s="1"/>
  <c r="AR1667" i="3"/>
  <c r="AR2227" i="3"/>
  <c r="AR1107" i="3" s="1"/>
  <c r="AR1628" i="3"/>
  <c r="AR2188" i="3"/>
  <c r="AR1068" i="3" s="1"/>
  <c r="AR1609" i="3"/>
  <c r="AR2169" i="3"/>
  <c r="AR1049" i="3" s="1"/>
  <c r="AR1629" i="3"/>
  <c r="AR2189" i="3"/>
  <c r="AR1069" i="3" s="1"/>
  <c r="AR1606" i="3"/>
  <c r="AR2166" i="3"/>
  <c r="AR1046" i="3" s="1"/>
  <c r="AR1547" i="3"/>
  <c r="AR2107" i="3"/>
  <c r="AR987" i="3" s="1"/>
  <c r="AR1603" i="3"/>
  <c r="AR2163" i="3"/>
  <c r="AR1043" i="3" s="1"/>
  <c r="AR1635" i="3"/>
  <c r="AR2195" i="3"/>
  <c r="AR1075" i="3" s="1"/>
  <c r="AR1557" i="3"/>
  <c r="AR2117" i="3"/>
  <c r="AR997" i="3" s="1"/>
  <c r="AR2133" i="3"/>
  <c r="AR1013" i="3" s="1"/>
  <c r="AR1573" i="3"/>
  <c r="AR2149" i="3"/>
  <c r="AR1029" i="3" s="1"/>
  <c r="AR1589" i="3"/>
  <c r="AR1695" i="3"/>
  <c r="AR2255" i="3"/>
  <c r="AR1135" i="3" s="1"/>
  <c r="AR1731" i="3"/>
  <c r="AR1480" i="3"/>
  <c r="AR2040" i="3"/>
  <c r="AR920" i="3" s="1"/>
  <c r="AR2056" i="3"/>
  <c r="AR1496" i="3"/>
  <c r="AR1512" i="3"/>
  <c r="AR2072" i="3"/>
  <c r="AR952" i="3" s="1"/>
  <c r="AR1528" i="3"/>
  <c r="AR2088" i="3"/>
  <c r="AR968" i="3" s="1"/>
  <c r="AR1544" i="3"/>
  <c r="AR2104" i="3"/>
  <c r="AR984" i="3" s="1"/>
  <c r="AR1572" i="3"/>
  <c r="AR2132" i="3"/>
  <c r="AR1012" i="3" s="1"/>
  <c r="AR1588" i="3"/>
  <c r="AR2148" i="3"/>
  <c r="AR1028" i="3" s="1"/>
  <c r="AR1688" i="3"/>
  <c r="AR2248" i="3"/>
  <c r="AR1128" i="3" s="1"/>
  <c r="AR1720" i="3"/>
  <c r="AR1736" i="3"/>
  <c r="AR1677" i="3"/>
  <c r="AR2237" i="3"/>
  <c r="AR1117" i="3" s="1"/>
  <c r="AR1705" i="3"/>
  <c r="AR1733" i="3"/>
  <c r="AR1707" i="3"/>
  <c r="AR1735" i="3"/>
  <c r="AR1604" i="3"/>
  <c r="AR2164" i="3"/>
  <c r="AR1044" i="3" s="1"/>
  <c r="AR1640" i="3"/>
  <c r="AR2200" i="3"/>
  <c r="AR1080" i="3" s="1"/>
  <c r="AR1553" i="3"/>
  <c r="AR2113" i="3"/>
  <c r="AR993" i="3" s="1"/>
  <c r="AN1610" i="3"/>
  <c r="AN2170" i="3"/>
  <c r="AN1050" i="3" s="1"/>
  <c r="AN1540" i="3"/>
  <c r="AN2100" i="3"/>
  <c r="AN980" i="3" s="1"/>
  <c r="AN1550" i="3"/>
  <c r="AN2110" i="3"/>
  <c r="AN990" i="3" s="1"/>
  <c r="AN1480" i="3"/>
  <c r="AN2040" i="3"/>
  <c r="AN920" i="3" s="1"/>
  <c r="AN2104" i="3"/>
  <c r="AN984" i="3" s="1"/>
  <c r="AN1544" i="3"/>
  <c r="AN1587" i="3"/>
  <c r="AN2147" i="3"/>
  <c r="AN1027" i="3" s="1"/>
  <c r="AN1500" i="3"/>
  <c r="AN2060" i="3"/>
  <c r="AN940" i="3" s="1"/>
  <c r="AN1658" i="3"/>
  <c r="AN2218" i="3"/>
  <c r="AN1098" i="3" s="1"/>
  <c r="AN1678" i="3"/>
  <c r="AN2238" i="3"/>
  <c r="AN1118" i="3" s="1"/>
  <c r="AN1726" i="3"/>
  <c r="AN1732" i="3"/>
  <c r="AN2253" i="3"/>
  <c r="AN1133" i="3" s="1"/>
  <c r="AN1693" i="3"/>
  <c r="AN1683" i="3"/>
  <c r="AN2243" i="3"/>
  <c r="AN1123" i="3" s="1"/>
  <c r="AN1719" i="3"/>
  <c r="AN1602" i="3"/>
  <c r="AN2162" i="3"/>
  <c r="AN1042" i="3" s="1"/>
  <c r="AN1634" i="3"/>
  <c r="AN2194" i="3"/>
  <c r="AN1074" i="3" s="1"/>
  <c r="AN1650" i="3"/>
  <c r="AN2210" i="3"/>
  <c r="AN1090" i="3" s="1"/>
  <c r="AN1623" i="3"/>
  <c r="AN2183" i="3"/>
  <c r="AN1063" i="3" s="1"/>
  <c r="AN1667" i="3"/>
  <c r="AN2227" i="3"/>
  <c r="AN1107" i="3" s="1"/>
  <c r="AN1620" i="3"/>
  <c r="AN2180" i="3"/>
  <c r="AN1060" i="3" s="1"/>
  <c r="AN1648" i="3"/>
  <c r="AN2208" i="3"/>
  <c r="AN1088" i="3" s="1"/>
  <c r="AN1555" i="3"/>
  <c r="AN2115" i="3"/>
  <c r="AN995" i="3" s="1"/>
  <c r="AN1615" i="3"/>
  <c r="AN2175" i="3"/>
  <c r="AN1055" i="3" s="1"/>
  <c r="AN1560" i="3"/>
  <c r="AN2120" i="3"/>
  <c r="AN1000" i="3" s="1"/>
  <c r="AN1576" i="3"/>
  <c r="AN2136" i="3"/>
  <c r="AN1016" i="3" s="1"/>
  <c r="AN1592" i="3"/>
  <c r="AN2152" i="3"/>
  <c r="AN1032" i="3" s="1"/>
  <c r="AN1633" i="3"/>
  <c r="AN2193" i="3"/>
  <c r="AN1073" i="3" s="1"/>
  <c r="AN1478" i="3"/>
  <c r="AN2038" i="3"/>
  <c r="AN918" i="3" s="1"/>
  <c r="AN1494" i="3"/>
  <c r="AN2054" i="3"/>
  <c r="AN934" i="3" s="1"/>
  <c r="AN1510" i="3"/>
  <c r="AN2070" i="3"/>
  <c r="AN950" i="3" s="1"/>
  <c r="AN1542" i="3"/>
  <c r="AN2102" i="3"/>
  <c r="AN982" i="3" s="1"/>
  <c r="AN1566" i="3"/>
  <c r="AN2126" i="3"/>
  <c r="AN1006" i="3" s="1"/>
  <c r="AN1582" i="3"/>
  <c r="AN2142" i="3"/>
  <c r="AN1022" i="3" s="1"/>
  <c r="AN1706" i="3"/>
  <c r="AN1722" i="3"/>
  <c r="AN1471" i="3"/>
  <c r="AN2031" i="3"/>
  <c r="AN911" i="3" s="1"/>
  <c r="AN1503" i="3"/>
  <c r="AN2063" i="3"/>
  <c r="AN943" i="3" s="1"/>
  <c r="AN1519" i="3"/>
  <c r="AN2079" i="3"/>
  <c r="AN959" i="3" s="1"/>
  <c r="AN1535" i="3"/>
  <c r="AN2095" i="3"/>
  <c r="AN1567" i="3"/>
  <c r="AN2127" i="3"/>
  <c r="AN1007" i="3" s="1"/>
  <c r="AN1639" i="3"/>
  <c r="AN2199" i="3"/>
  <c r="AN1079" i="3" s="1"/>
  <c r="AN2113" i="3"/>
  <c r="AN993" i="3" s="1"/>
  <c r="AN1553" i="3"/>
  <c r="AN1664" i="3"/>
  <c r="AN2224" i="3"/>
  <c r="AN1104" i="3" s="1"/>
  <c r="AN1684" i="3"/>
  <c r="AN2244" i="3"/>
  <c r="AN1124" i="3" s="1"/>
  <c r="AN1708" i="3"/>
  <c r="AN1569" i="3"/>
  <c r="AN2129" i="3"/>
  <c r="AN1009" i="3" s="1"/>
  <c r="AN1585" i="3"/>
  <c r="AN2145" i="3"/>
  <c r="AN1025" i="3" s="1"/>
  <c r="AN1669" i="3"/>
  <c r="AN2229" i="3"/>
  <c r="AN1109" i="3" s="1"/>
  <c r="AN2261" i="3"/>
  <c r="AN1141" i="3" s="1"/>
  <c r="AN1701" i="3"/>
  <c r="AN1691" i="3"/>
  <c r="AN2251" i="3"/>
  <c r="AN1131" i="3" s="1"/>
  <c r="AN1624" i="3"/>
  <c r="AN2184" i="3"/>
  <c r="AN1064" i="3" s="1"/>
  <c r="AN1473" i="3"/>
  <c r="AN2033" i="3"/>
  <c r="AN913" i="3" s="1"/>
  <c r="AN1489" i="3"/>
  <c r="AN2049" i="3"/>
  <c r="AN929" i="3" s="1"/>
  <c r="AN1505" i="3"/>
  <c r="AN2065" i="3"/>
  <c r="AN945" i="3" s="1"/>
  <c r="AN2081" i="3"/>
  <c r="AN961" i="3" s="1"/>
  <c r="AN1521" i="3"/>
  <c r="AN1537" i="3"/>
  <c r="AN2097" i="3"/>
  <c r="AN977" i="3" s="1"/>
  <c r="AN2157" i="3"/>
  <c r="AN1037" i="3" s="1"/>
  <c r="AN1597" i="3"/>
  <c r="AN1621" i="3"/>
  <c r="AN2181" i="3"/>
  <c r="AN1061" i="3" s="1"/>
  <c r="AJ1574" i="3"/>
  <c r="AJ2134" i="3"/>
  <c r="AJ1014" i="3" s="1"/>
  <c r="AJ1570" i="3"/>
  <c r="AJ2130" i="3"/>
  <c r="AJ1010" i="3" s="1"/>
  <c r="AJ1594" i="3"/>
  <c r="AJ2154" i="3"/>
  <c r="AJ1034" i="3" s="1"/>
  <c r="AJ1466" i="3"/>
  <c r="AJ2026" i="3"/>
  <c r="AJ906" i="3" s="1"/>
  <c r="AJ1482" i="3"/>
  <c r="AJ2042" i="3"/>
  <c r="AJ922" i="3" s="1"/>
  <c r="AJ1498" i="3"/>
  <c r="AJ2058" i="3"/>
  <c r="AJ1514" i="3"/>
  <c r="AJ2074" i="3"/>
  <c r="AJ954" i="3" s="1"/>
  <c r="AJ1530" i="3"/>
  <c r="AJ2090" i="3"/>
  <c r="AJ970" i="3" s="1"/>
  <c r="AJ1546" i="3"/>
  <c r="AJ2106" i="3"/>
  <c r="AJ986" i="3" s="1"/>
  <c r="AJ1702" i="3"/>
  <c r="AJ2262" i="3"/>
  <c r="AJ1142" i="3" s="1"/>
  <c r="AJ1718" i="3"/>
  <c r="AJ1467" i="3"/>
  <c r="AJ2027" i="3"/>
  <c r="AJ907" i="3" s="1"/>
  <c r="AJ1483" i="3"/>
  <c r="AJ2043" i="3"/>
  <c r="AJ923" i="3" s="1"/>
  <c r="AJ1499" i="3"/>
  <c r="AJ2059" i="3"/>
  <c r="AJ939" i="3" s="1"/>
  <c r="AJ1687" i="3"/>
  <c r="AJ2247" i="3"/>
  <c r="AJ1127" i="3" s="1"/>
  <c r="AJ1618" i="3"/>
  <c r="AJ2178" i="3"/>
  <c r="AJ1058" i="3" s="1"/>
  <c r="AJ1642" i="3"/>
  <c r="AJ2202" i="3"/>
  <c r="AJ1082" i="3" s="1"/>
  <c r="AJ1623" i="3"/>
  <c r="AJ2183" i="3"/>
  <c r="AJ1063" i="3" s="1"/>
  <c r="AJ1668" i="3"/>
  <c r="AJ2228" i="3"/>
  <c r="AJ1108" i="3" s="1"/>
  <c r="AJ1692" i="3"/>
  <c r="AJ2252" i="3"/>
  <c r="AJ1132" i="3" s="1"/>
  <c r="AJ1669" i="3"/>
  <c r="AJ2229" i="3"/>
  <c r="AJ1109" i="3" s="1"/>
  <c r="AJ1701" i="3"/>
  <c r="AJ2261" i="3"/>
  <c r="AJ1141" i="3" s="1"/>
  <c r="AJ1691" i="3"/>
  <c r="AJ2251" i="3"/>
  <c r="AJ1131" i="3" s="1"/>
  <c r="AJ1626" i="3"/>
  <c r="AJ2186" i="3"/>
  <c r="AJ1066" i="3" s="1"/>
  <c r="AJ1599" i="3"/>
  <c r="AJ2159" i="3"/>
  <c r="AJ1039" i="3" s="1"/>
  <c r="AJ1631" i="3"/>
  <c r="AJ2191" i="3"/>
  <c r="AJ1071" i="3" s="1"/>
  <c r="AJ1624" i="3"/>
  <c r="AJ2184" i="3"/>
  <c r="AJ1064" i="3" s="1"/>
  <c r="AJ1605" i="3"/>
  <c r="AJ2165" i="3"/>
  <c r="AJ1045" i="3" s="1"/>
  <c r="AJ1625" i="3"/>
  <c r="AJ2185" i="3"/>
  <c r="AJ1065" i="3" s="1"/>
  <c r="AJ1543" i="3"/>
  <c r="AJ2103" i="3"/>
  <c r="AJ983" i="3" s="1"/>
  <c r="AJ1583" i="3"/>
  <c r="AJ2143" i="3"/>
  <c r="AJ1023" i="3" s="1"/>
  <c r="AJ1569" i="3"/>
  <c r="AJ2129" i="3"/>
  <c r="AJ1009" i="3" s="1"/>
  <c r="AJ1585" i="3"/>
  <c r="AJ2145" i="3"/>
  <c r="AJ1025" i="3" s="1"/>
  <c r="AJ1550" i="3"/>
  <c r="AJ2110" i="3"/>
  <c r="AJ990" i="3" s="1"/>
  <c r="AJ1662" i="3"/>
  <c r="AJ2222" i="3"/>
  <c r="AJ1102" i="3" s="1"/>
  <c r="AJ1682" i="3"/>
  <c r="AJ2242" i="3"/>
  <c r="AJ1122" i="3" s="1"/>
  <c r="AJ1563" i="3"/>
  <c r="AJ2123" i="3"/>
  <c r="AJ1003" i="3" s="1"/>
  <c r="AJ1679" i="3"/>
  <c r="AJ2239" i="3"/>
  <c r="AJ1119" i="3" s="1"/>
  <c r="AJ1477" i="3"/>
  <c r="AJ2037" i="3"/>
  <c r="AJ917" i="3" s="1"/>
  <c r="AJ1493" i="3"/>
  <c r="AJ2053" i="3"/>
  <c r="AJ933" i="3" s="1"/>
  <c r="AJ1509" i="3"/>
  <c r="AJ2069" i="3"/>
  <c r="AJ949" i="3" s="1"/>
  <c r="AJ1541" i="3"/>
  <c r="AJ2101" i="3"/>
  <c r="AJ981" i="3" s="1"/>
  <c r="AJ1548" i="3"/>
  <c r="AJ2108" i="3"/>
  <c r="AJ988" i="3" s="1"/>
  <c r="AJ1616" i="3"/>
  <c r="AJ2176" i="3"/>
  <c r="AJ1056" i="3" s="1"/>
  <c r="AJ1649" i="3"/>
  <c r="AJ2209" i="3"/>
  <c r="AJ1089" i="3" s="1"/>
  <c r="AJ1723" i="3"/>
  <c r="AJ1476" i="3"/>
  <c r="AJ2036" i="3"/>
  <c r="AJ916" i="3" s="1"/>
  <c r="AJ1492" i="3"/>
  <c r="AJ2052" i="3"/>
  <c r="AJ932" i="3" s="1"/>
  <c r="AJ1508" i="3"/>
  <c r="AJ2068" i="3"/>
  <c r="AJ948" i="3" s="1"/>
  <c r="AJ1540" i="3"/>
  <c r="AJ2100" i="3"/>
  <c r="AJ980" i="3" s="1"/>
  <c r="AJ1568" i="3"/>
  <c r="AJ2128" i="3"/>
  <c r="AJ1008" i="3" s="1"/>
  <c r="AJ1584" i="3"/>
  <c r="AJ2144" i="3"/>
  <c r="AJ1024" i="3" s="1"/>
  <c r="AJ1732" i="3"/>
  <c r="AJ1633" i="3"/>
  <c r="AJ2193" i="3"/>
  <c r="AJ1073" i="3" s="1"/>
  <c r="AJ1697" i="3"/>
  <c r="AJ2257" i="3"/>
  <c r="AJ1137" i="3" s="1"/>
  <c r="AJ1729" i="3"/>
  <c r="AJ1699" i="3"/>
  <c r="AJ2259" i="3"/>
  <c r="AJ1139" i="3" s="1"/>
  <c r="AJ1727" i="3"/>
  <c r="AF1595" i="3"/>
  <c r="AF2155" i="3"/>
  <c r="AF1035" i="3" s="1"/>
  <c r="AF1666" i="3"/>
  <c r="AF2226" i="3"/>
  <c r="AF1106" i="3" s="1"/>
  <c r="AF1694" i="3"/>
  <c r="AF2254" i="3"/>
  <c r="AF1134" i="3" s="1"/>
  <c r="AF1555" i="3"/>
  <c r="AF2115" i="3"/>
  <c r="AF995" i="3" s="1"/>
  <c r="AF1606" i="3"/>
  <c r="AF2166" i="3"/>
  <c r="AF1046" i="3" s="1"/>
  <c r="AF1599" i="3"/>
  <c r="AF2159" i="3"/>
  <c r="AF1039" i="3" s="1"/>
  <c r="AF1604" i="3"/>
  <c r="AF2164" i="3"/>
  <c r="AF1044" i="3" s="1"/>
  <c r="AF1466" i="3"/>
  <c r="AF2026" i="3"/>
  <c r="AF906" i="3" s="1"/>
  <c r="AF1482" i="3"/>
  <c r="AF2042" i="3"/>
  <c r="AF922" i="3" s="1"/>
  <c r="AF1498" i="3"/>
  <c r="AF2058" i="3"/>
  <c r="AF1514" i="3"/>
  <c r="AF2074" i="3"/>
  <c r="AF954" i="3" s="1"/>
  <c r="AF1530" i="3"/>
  <c r="AF2090" i="3"/>
  <c r="AF970" i="3" s="1"/>
  <c r="AF1546" i="3"/>
  <c r="AF2106" i="3"/>
  <c r="AF986" i="3" s="1"/>
  <c r="AF1570" i="3"/>
  <c r="AF2130" i="3"/>
  <c r="AF1010" i="3" s="1"/>
  <c r="AF1586" i="3"/>
  <c r="AF2146" i="3"/>
  <c r="AF1026" i="3" s="1"/>
  <c r="AF1686" i="3"/>
  <c r="AF2246" i="3"/>
  <c r="AF1126" i="3" s="1"/>
  <c r="AF1710" i="3"/>
  <c r="AF1730" i="3"/>
  <c r="AF1475" i="3"/>
  <c r="AF2035" i="3"/>
  <c r="AF915" i="3" s="1"/>
  <c r="AF1491" i="3"/>
  <c r="AF2051" i="3"/>
  <c r="AF931" i="3" s="1"/>
  <c r="AF1507" i="3"/>
  <c r="AF2067" i="3"/>
  <c r="AF947" i="3" s="1"/>
  <c r="AF2099" i="3"/>
  <c r="AF979" i="3" s="1"/>
  <c r="AF1539" i="3"/>
  <c r="AF1575" i="3"/>
  <c r="AF2135" i="3"/>
  <c r="AF1015" i="3" s="1"/>
  <c r="AF1663" i="3"/>
  <c r="AF2223" i="3"/>
  <c r="AF1103" i="3" s="1"/>
  <c r="AF1568" i="3"/>
  <c r="AF2128" i="3"/>
  <c r="AF1008" i="3" s="1"/>
  <c r="AF1584" i="3"/>
  <c r="AF2144" i="3"/>
  <c r="AF1024" i="3" s="1"/>
  <c r="AF2161" i="3"/>
  <c r="AF1041" i="3" s="1"/>
  <c r="AF1601" i="3"/>
  <c r="AF1571" i="3"/>
  <c r="AF2131" i="3"/>
  <c r="AF1011" i="3" s="1"/>
  <c r="AF1647" i="3"/>
  <c r="AF2207" i="3"/>
  <c r="AF1087" i="3" s="1"/>
  <c r="AF1553" i="3"/>
  <c r="AF2113" i="3"/>
  <c r="AF993" i="3" s="1"/>
  <c r="AF1618" i="3"/>
  <c r="AF2178" i="3"/>
  <c r="AF1058" i="3" s="1"/>
  <c r="AF1642" i="3"/>
  <c r="AF2202" i="3"/>
  <c r="AF1082" i="3" s="1"/>
  <c r="AF1607" i="3"/>
  <c r="AF2167" i="3"/>
  <c r="AF1047" i="3" s="1"/>
  <c r="AF1723" i="3"/>
  <c r="AF1476" i="3"/>
  <c r="AF2036" i="3"/>
  <c r="AF916" i="3" s="1"/>
  <c r="AF1492" i="3"/>
  <c r="AF2052" i="3"/>
  <c r="AF932" i="3" s="1"/>
  <c r="AF1508" i="3"/>
  <c r="AF2068" i="3"/>
  <c r="AF948" i="3" s="1"/>
  <c r="AF1540" i="3"/>
  <c r="AF2100" i="3"/>
  <c r="AF980" i="3" s="1"/>
  <c r="AF1700" i="3"/>
  <c r="AF2260" i="3"/>
  <c r="AF1140" i="3" s="1"/>
  <c r="AF1677" i="3"/>
  <c r="AF2237" i="3"/>
  <c r="AF1117" i="3" s="1"/>
  <c r="AF1705" i="3"/>
  <c r="AF1733" i="3"/>
  <c r="AF1707" i="3"/>
  <c r="AF1735" i="3"/>
  <c r="AF1624" i="3"/>
  <c r="AF2184" i="3"/>
  <c r="AF1064" i="3" s="1"/>
  <c r="AF1473" i="3"/>
  <c r="AF2033" i="3"/>
  <c r="AF913" i="3" s="1"/>
  <c r="AF1489" i="3"/>
  <c r="AF2049" i="3"/>
  <c r="AF929" i="3" s="1"/>
  <c r="AF1505" i="3"/>
  <c r="AF2065" i="3"/>
  <c r="AF945" i="3" s="1"/>
  <c r="AF1521" i="3"/>
  <c r="AF2081" i="3"/>
  <c r="AF961" i="3" s="1"/>
  <c r="AF1537" i="3"/>
  <c r="AF2097" i="3"/>
  <c r="AF977" i="3" s="1"/>
  <c r="AF2157" i="3"/>
  <c r="AF1037" i="3" s="1"/>
  <c r="AF1597" i="3"/>
  <c r="AF1621" i="3"/>
  <c r="AF2181" i="3"/>
  <c r="AF1061" i="3" s="1"/>
  <c r="AF1660" i="3"/>
  <c r="AF2220" i="3"/>
  <c r="AF1100" i="3" s="1"/>
  <c r="AF1680" i="3"/>
  <c r="AF2240" i="3"/>
  <c r="AF1120" i="3" s="1"/>
  <c r="AF1704" i="3"/>
  <c r="AF2264" i="3"/>
  <c r="AF1144" i="3" s="1"/>
  <c r="AF1565" i="3"/>
  <c r="AF2125" i="3"/>
  <c r="AF1005" i="3" s="1"/>
  <c r="AF2141" i="3"/>
  <c r="AF1021" i="3" s="1"/>
  <c r="AF1581" i="3"/>
  <c r="AF2197" i="3"/>
  <c r="AF1077" i="3" s="1"/>
  <c r="AF1637" i="3"/>
  <c r="AF2225" i="3"/>
  <c r="AF1105" i="3" s="1"/>
  <c r="AF1665" i="3"/>
  <c r="AF1689" i="3"/>
  <c r="AF2249" i="3"/>
  <c r="AF1129" i="3" s="1"/>
  <c r="AF1675" i="3"/>
  <c r="AF2235" i="3"/>
  <c r="AF1115" i="3" s="1"/>
  <c r="X1694" i="3"/>
  <c r="X2254" i="3"/>
  <c r="X1134" i="3" s="1"/>
  <c r="X1571" i="3"/>
  <c r="X2131" i="3"/>
  <c r="X1011" i="3" s="1"/>
  <c r="X1580" i="3"/>
  <c r="X2140" i="3"/>
  <c r="X1020" i="3" s="1"/>
  <c r="X1584" i="3"/>
  <c r="X2144" i="3"/>
  <c r="X1024" i="3" s="1"/>
  <c r="X1572" i="3"/>
  <c r="X2132" i="3"/>
  <c r="X1012" i="3" s="1"/>
  <c r="X1618" i="3"/>
  <c r="X2178" i="3"/>
  <c r="X1058" i="3" s="1"/>
  <c r="X1642" i="3"/>
  <c r="X2202" i="3"/>
  <c r="X1082" i="3" s="1"/>
  <c r="X1607" i="3"/>
  <c r="X2167" i="3"/>
  <c r="X1047" i="3" s="1"/>
  <c r="X1679" i="3"/>
  <c r="X2239" i="3"/>
  <c r="X1119" i="3" s="1"/>
  <c r="X1635" i="3"/>
  <c r="X2195" i="3"/>
  <c r="X1075" i="3" s="1"/>
  <c r="X1731" i="3"/>
  <c r="X1512" i="3"/>
  <c r="X2072" i="3"/>
  <c r="X952" i="3" s="1"/>
  <c r="X1528" i="3"/>
  <c r="X2088" i="3"/>
  <c r="X968" i="3" s="1"/>
  <c r="X1544" i="3"/>
  <c r="X2104" i="3"/>
  <c r="X984" i="3" s="1"/>
  <c r="X1712" i="3"/>
  <c r="X1728" i="3"/>
  <c r="X1681" i="3"/>
  <c r="X2241" i="3"/>
  <c r="X1121" i="3" s="1"/>
  <c r="X1709" i="3"/>
  <c r="X1737" i="3"/>
  <c r="X1711" i="3"/>
  <c r="X1466" i="3"/>
  <c r="X2026" i="3"/>
  <c r="X906" i="3" s="1"/>
  <c r="X1482" i="3"/>
  <c r="X2042" i="3"/>
  <c r="X922" i="3" s="1"/>
  <c r="X1514" i="3"/>
  <c r="X2074" i="3"/>
  <c r="X954" i="3" s="1"/>
  <c r="X1530" i="3"/>
  <c r="X2090" i="3"/>
  <c r="X970" i="3" s="1"/>
  <c r="X1570" i="3"/>
  <c r="X2130" i="3"/>
  <c r="X1010" i="3" s="1"/>
  <c r="X1586" i="3"/>
  <c r="X2146" i="3"/>
  <c r="X1026" i="3" s="1"/>
  <c r="X1710" i="3"/>
  <c r="X1730" i="3"/>
  <c r="X1475" i="3"/>
  <c r="X2035" i="3"/>
  <c r="X915" i="3" s="1"/>
  <c r="X1491" i="3"/>
  <c r="X2051" i="3"/>
  <c r="X931" i="3" s="1"/>
  <c r="X1539" i="3"/>
  <c r="X2099" i="3"/>
  <c r="X979" i="3" s="1"/>
  <c r="X1640" i="3"/>
  <c r="X2200" i="3"/>
  <c r="X1080" i="3" s="1"/>
  <c r="X1649" i="3"/>
  <c r="X2209" i="3"/>
  <c r="X1089" i="3" s="1"/>
  <c r="X1708" i="3"/>
  <c r="X1569" i="3"/>
  <c r="X2129" i="3"/>
  <c r="X1009" i="3" s="1"/>
  <c r="X1585" i="3"/>
  <c r="X2145" i="3"/>
  <c r="X1025" i="3" s="1"/>
  <c r="X1669" i="3"/>
  <c r="X2229" i="3"/>
  <c r="X1109" i="3" s="1"/>
  <c r="X1691" i="3"/>
  <c r="X2251" i="3"/>
  <c r="X1131" i="3" s="1"/>
  <c r="X1473" i="3"/>
  <c r="X2033" i="3"/>
  <c r="X913" i="3" s="1"/>
  <c r="X1489" i="3"/>
  <c r="X2049" i="3"/>
  <c r="X929" i="3" s="1"/>
  <c r="X1505" i="3"/>
  <c r="X2065" i="3"/>
  <c r="X945" i="3" s="1"/>
  <c r="X1521" i="3"/>
  <c r="X2081" i="3"/>
  <c r="X961" i="3" s="1"/>
  <c r="X1537" i="3"/>
  <c r="X2097" i="3"/>
  <c r="X977" i="3" s="1"/>
  <c r="X1597" i="3"/>
  <c r="X2157" i="3"/>
  <c r="X1037" i="3" s="1"/>
  <c r="T1490" i="3"/>
  <c r="T2050" i="3"/>
  <c r="T930" i="3" s="1"/>
  <c r="T1690" i="3"/>
  <c r="T2250" i="3"/>
  <c r="T1130" i="3" s="1"/>
  <c r="T1538" i="3"/>
  <c r="T2098" i="3"/>
  <c r="T978" i="3" s="1"/>
  <c r="T1710" i="3"/>
  <c r="T1499" i="3"/>
  <c r="T2059" i="3"/>
  <c r="T939" i="3" s="1"/>
  <c r="T1718" i="3"/>
  <c r="T1503" i="3"/>
  <c r="T2063" i="3"/>
  <c r="T943" i="3" s="1"/>
  <c r="T1679" i="3"/>
  <c r="T2239" i="3"/>
  <c r="T1119" i="3" s="1"/>
  <c r="T1618" i="3"/>
  <c r="T2178" i="3"/>
  <c r="T1058" i="3" s="1"/>
  <c r="T1642" i="3"/>
  <c r="T2202" i="3"/>
  <c r="T1082" i="3" s="1"/>
  <c r="T1562" i="3"/>
  <c r="T2122" i="3"/>
  <c r="T1002" i="3" s="1"/>
  <c r="T1573" i="3"/>
  <c r="T2133" i="3"/>
  <c r="T1013" i="3" s="1"/>
  <c r="T1589" i="3"/>
  <c r="T2149" i="3"/>
  <c r="T1029" i="3" s="1"/>
  <c r="T1555" i="3"/>
  <c r="T2115" i="3"/>
  <c r="T995" i="3" s="1"/>
  <c r="T1615" i="3"/>
  <c r="T2175" i="3"/>
  <c r="T1055" i="3" s="1"/>
  <c r="T1493" i="3"/>
  <c r="T2053" i="3"/>
  <c r="T933" i="3" s="1"/>
  <c r="T2101" i="3"/>
  <c r="T981" i="3" s="1"/>
  <c r="T1541" i="3"/>
  <c r="T1567" i="3"/>
  <c r="T2127" i="3"/>
  <c r="T1007" i="3" s="1"/>
  <c r="T1687" i="3"/>
  <c r="T2247" i="3"/>
  <c r="T1127" i="3" s="1"/>
  <c r="T1668" i="3"/>
  <c r="T2228" i="3"/>
  <c r="T1108" i="3" s="1"/>
  <c r="T1692" i="3"/>
  <c r="T2252" i="3"/>
  <c r="T1132" i="3" s="1"/>
  <c r="T2229" i="3"/>
  <c r="T1109" i="3" s="1"/>
  <c r="T1669" i="3"/>
  <c r="T1691" i="3"/>
  <c r="T2251" i="3"/>
  <c r="T1131" i="3" s="1"/>
  <c r="T2218" i="3"/>
  <c r="T1098" i="3" s="1"/>
  <c r="T1658" i="3"/>
  <c r="T1678" i="3"/>
  <c r="T2238" i="3"/>
  <c r="T1118" i="3" s="1"/>
  <c r="T1726" i="3"/>
  <c r="T1587" i="3"/>
  <c r="T2147" i="3"/>
  <c r="T1027" i="3" s="1"/>
  <c r="T1608" i="3"/>
  <c r="T2168" i="3"/>
  <c r="T1048" i="3" s="1"/>
  <c r="T1636" i="3"/>
  <c r="T2196" i="3"/>
  <c r="T1076" i="3" s="1"/>
  <c r="T1613" i="3"/>
  <c r="T2173" i="3"/>
  <c r="T1053" i="3" s="1"/>
  <c r="T2201" i="3"/>
  <c r="T1081" i="3" s="1"/>
  <c r="T1641" i="3"/>
  <c r="T1616" i="3"/>
  <c r="T2176" i="3"/>
  <c r="T1056" i="3" s="1"/>
  <c r="T1649" i="3"/>
  <c r="T2209" i="3"/>
  <c r="T1089" i="3" s="1"/>
  <c r="T1723" i="3"/>
  <c r="T1476" i="3"/>
  <c r="T2036" i="3"/>
  <c r="T916" i="3" s="1"/>
  <c r="T1492" i="3"/>
  <c r="T2052" i="3"/>
  <c r="T932" i="3" s="1"/>
  <c r="T1540" i="3"/>
  <c r="T2100" i="3"/>
  <c r="T980" i="3" s="1"/>
  <c r="T1568" i="3"/>
  <c r="T2128" i="3"/>
  <c r="T1008" i="3" s="1"/>
  <c r="T1584" i="3"/>
  <c r="T2144" i="3"/>
  <c r="T1024" i="3" s="1"/>
  <c r="T1732" i="3"/>
  <c r="T1729" i="3"/>
  <c r="T1727" i="3"/>
  <c r="P1694" i="3"/>
  <c r="P2254" i="3"/>
  <c r="P1134" i="3" s="1"/>
  <c r="P1670" i="3"/>
  <c r="P2230" i="3"/>
  <c r="P1110" i="3" s="1"/>
  <c r="P1606" i="3"/>
  <c r="P2166" i="3"/>
  <c r="P1046" i="3" s="1"/>
  <c r="P1554" i="3"/>
  <c r="P2114" i="3"/>
  <c r="P994" i="3" s="1"/>
  <c r="P1502" i="3"/>
  <c r="P2062" i="3"/>
  <c r="P942" i="3" s="1"/>
  <c r="P1574" i="3"/>
  <c r="P2134" i="3"/>
  <c r="P1014" i="3" s="1"/>
  <c r="P1590" i="3"/>
  <c r="P2150" i="3"/>
  <c r="P1030" i="3" s="1"/>
  <c r="P1690" i="3"/>
  <c r="P2250" i="3"/>
  <c r="P1130" i="3" s="1"/>
  <c r="P1714" i="3"/>
  <c r="P1734" i="3"/>
  <c r="P1511" i="3"/>
  <c r="P2071" i="3"/>
  <c r="P951" i="3" s="1"/>
  <c r="P1527" i="3"/>
  <c r="P2087" i="3"/>
  <c r="P967" i="3" s="1"/>
  <c r="P1543" i="3"/>
  <c r="P2103" i="3"/>
  <c r="P983" i="3" s="1"/>
  <c r="P1583" i="3"/>
  <c r="P2143" i="3"/>
  <c r="P1023" i="3" s="1"/>
  <c r="P1667" i="3"/>
  <c r="P2227" i="3"/>
  <c r="P1107" i="3" s="1"/>
  <c r="P1723" i="3"/>
  <c r="P1476" i="3"/>
  <c r="P2036" i="3"/>
  <c r="P916" i="3" s="1"/>
  <c r="P1492" i="3"/>
  <c r="P2052" i="3"/>
  <c r="P932" i="3" s="1"/>
  <c r="P1540" i="3"/>
  <c r="P2100" i="3"/>
  <c r="P980" i="3" s="1"/>
  <c r="P1677" i="3"/>
  <c r="P2237" i="3"/>
  <c r="P1117" i="3" s="1"/>
  <c r="P1705" i="3"/>
  <c r="P1733" i="3"/>
  <c r="P1707" i="3"/>
  <c r="P1735" i="3"/>
  <c r="P1587" i="3"/>
  <c r="P2147" i="3"/>
  <c r="P1027" i="3" s="1"/>
  <c r="P1600" i="3"/>
  <c r="P2160" i="3"/>
  <c r="P1040" i="3" s="1"/>
  <c r="P1614" i="3"/>
  <c r="P2174" i="3"/>
  <c r="P1054" i="3" s="1"/>
  <c r="P1638" i="3"/>
  <c r="P2198" i="3"/>
  <c r="P1078" i="3" s="1"/>
  <c r="P1551" i="3"/>
  <c r="P2111" i="3"/>
  <c r="P991" i="3" s="1"/>
  <c r="P1627" i="3"/>
  <c r="P2187" i="3"/>
  <c r="P1067" i="3" s="1"/>
  <c r="P1473" i="3"/>
  <c r="P2033" i="3"/>
  <c r="P913" i="3" s="1"/>
  <c r="P1489" i="3"/>
  <c r="P2049" i="3"/>
  <c r="P929" i="3" s="1"/>
  <c r="P1505" i="3"/>
  <c r="P2065" i="3"/>
  <c r="P945" i="3" s="1"/>
  <c r="P1521" i="3"/>
  <c r="P2081" i="3"/>
  <c r="P961" i="3" s="1"/>
  <c r="P1537" i="3"/>
  <c r="P2097" i="3"/>
  <c r="P977" i="3" s="1"/>
  <c r="P1597" i="3"/>
  <c r="P2157" i="3"/>
  <c r="P1037" i="3" s="1"/>
  <c r="P1660" i="3"/>
  <c r="P2220" i="3"/>
  <c r="P1100" i="3" s="1"/>
  <c r="P1680" i="3"/>
  <c r="P2240" i="3"/>
  <c r="P1120" i="3" s="1"/>
  <c r="P1565" i="3"/>
  <c r="P2125" i="3"/>
  <c r="P1005" i="3" s="1"/>
  <c r="P1581" i="3"/>
  <c r="P2141" i="3"/>
  <c r="P1021" i="3" s="1"/>
  <c r="P1637" i="3"/>
  <c r="P2197" i="3"/>
  <c r="P1077" i="3" s="1"/>
  <c r="P1689" i="3"/>
  <c r="P2249" i="3"/>
  <c r="P1129" i="3" s="1"/>
  <c r="P1675" i="3"/>
  <c r="P2235" i="3"/>
  <c r="P1115" i="3" s="1"/>
  <c r="AX1686" i="3"/>
  <c r="AX2246" i="3"/>
  <c r="AX1126" i="3" s="1"/>
  <c r="AX1622" i="3"/>
  <c r="AX2182" i="3"/>
  <c r="AX1062" i="3" s="1"/>
  <c r="AX1594" i="3"/>
  <c r="AX2154" i="3"/>
  <c r="AX1034" i="3" s="1"/>
  <c r="AX1734" i="3"/>
  <c r="AX1722" i="3"/>
  <c r="AX1474" i="3"/>
  <c r="AX2034" i="3"/>
  <c r="AX914" i="3" s="1"/>
  <c r="AX1490" i="3"/>
  <c r="AX2050" i="3"/>
  <c r="AX930" i="3" s="1"/>
  <c r="AX1506" i="3"/>
  <c r="AX2066" i="3"/>
  <c r="AX946" i="3" s="1"/>
  <c r="AX1522" i="3"/>
  <c r="AX2082" i="3"/>
  <c r="AX962" i="3" s="1"/>
  <c r="AX1538" i="3"/>
  <c r="AX2098" i="3"/>
  <c r="AX978" i="3" s="1"/>
  <c r="AX1662" i="3"/>
  <c r="AX2222" i="3"/>
  <c r="AX1102" i="3" s="1"/>
  <c r="AX1610" i="3"/>
  <c r="AX2170" i="3"/>
  <c r="AX1050" i="3" s="1"/>
  <c r="AX1638" i="3"/>
  <c r="AX2198" i="3"/>
  <c r="AX1078" i="3" s="1"/>
  <c r="AX1595" i="3"/>
  <c r="AX2155" i="3"/>
  <c r="AX1035" i="3" s="1"/>
  <c r="AX1623" i="3"/>
  <c r="AX2183" i="3"/>
  <c r="AX1063" i="3" s="1"/>
  <c r="AX1628" i="3"/>
  <c r="AX2188" i="3"/>
  <c r="AX1068" i="3" s="1"/>
  <c r="AX1551" i="3"/>
  <c r="AX2111" i="3"/>
  <c r="AX991" i="3" s="1"/>
  <c r="AX1571" i="3"/>
  <c r="AX2131" i="3"/>
  <c r="AX1011" i="3" s="1"/>
  <c r="AX1587" i="3"/>
  <c r="AX2147" i="3"/>
  <c r="AX1027" i="3" s="1"/>
  <c r="AX1615" i="3"/>
  <c r="AX2175" i="3"/>
  <c r="AX1055" i="3" s="1"/>
  <c r="AX1667" i="3"/>
  <c r="AX2227" i="3"/>
  <c r="AX1107" i="3" s="1"/>
  <c r="AX1723" i="3"/>
  <c r="AX1480" i="3"/>
  <c r="AX2040" i="3"/>
  <c r="AX920" i="3" s="1"/>
  <c r="AX1496" i="3"/>
  <c r="AX2056" i="3"/>
  <c r="AX1512" i="3"/>
  <c r="AX2072" i="3"/>
  <c r="AX952" i="3" s="1"/>
  <c r="AX1528" i="3"/>
  <c r="AX2088" i="3"/>
  <c r="AX968" i="3" s="1"/>
  <c r="AX1544" i="3"/>
  <c r="AX2104" i="3"/>
  <c r="AX984" i="3" s="1"/>
  <c r="AX1668" i="3"/>
  <c r="AX2228" i="3"/>
  <c r="AX1108" i="3" s="1"/>
  <c r="AX1696" i="3"/>
  <c r="AX2256" i="3"/>
  <c r="AX1136" i="3" s="1"/>
  <c r="AX1473" i="3"/>
  <c r="AX2033" i="3"/>
  <c r="AX913" i="3" s="1"/>
  <c r="AX1489" i="3"/>
  <c r="AX2049" i="3"/>
  <c r="AX929" i="3" s="1"/>
  <c r="AX1505" i="3"/>
  <c r="AX2065" i="3"/>
  <c r="AX945" i="3" s="1"/>
  <c r="AX1521" i="3"/>
  <c r="AX2081" i="3"/>
  <c r="AX961" i="3" s="1"/>
  <c r="AX1537" i="3"/>
  <c r="AX2097" i="3"/>
  <c r="AX977" i="3" s="1"/>
  <c r="AX1553" i="3"/>
  <c r="AX2113" i="3"/>
  <c r="AX993" i="3" s="1"/>
  <c r="AX1585" i="3"/>
  <c r="AX2145" i="3"/>
  <c r="AX1025" i="3" s="1"/>
  <c r="AX1689" i="3"/>
  <c r="AX2249" i="3"/>
  <c r="AX1129" i="3" s="1"/>
  <c r="AX1721" i="3"/>
  <c r="AX1550" i="3"/>
  <c r="AX2110" i="3"/>
  <c r="AX990" i="3" s="1"/>
  <c r="AX1698" i="3"/>
  <c r="AX2258" i="3"/>
  <c r="AX1138" i="3" s="1"/>
  <c r="AX1471" i="3"/>
  <c r="AX2031" i="3"/>
  <c r="AX911" i="3" s="1"/>
  <c r="AX1503" i="3"/>
  <c r="AX2063" i="3"/>
  <c r="AX943" i="3" s="1"/>
  <c r="AX1519" i="3"/>
  <c r="AX2079" i="3"/>
  <c r="AX959" i="3" s="1"/>
  <c r="AX1535" i="3"/>
  <c r="AX2095" i="3"/>
  <c r="AX1555" i="3"/>
  <c r="AX2115" i="3"/>
  <c r="AX995" i="3" s="1"/>
  <c r="AX1648" i="3"/>
  <c r="AX2208" i="3"/>
  <c r="AX1088" i="3" s="1"/>
  <c r="AX1659" i="3"/>
  <c r="AX2219" i="3"/>
  <c r="AX1099" i="3" s="1"/>
  <c r="AX1656" i="3"/>
  <c r="AX2216" i="3"/>
  <c r="AX1096" i="3" s="1"/>
  <c r="AX1703" i="3"/>
  <c r="AX2263" i="3"/>
  <c r="AX1143" i="3" s="1"/>
  <c r="AX1564" i="3"/>
  <c r="AX2124" i="3"/>
  <c r="AX1004" i="3" s="1"/>
  <c r="AX1580" i="3"/>
  <c r="AX2140" i="3"/>
  <c r="AX1020" i="3" s="1"/>
  <c r="AX1596" i="3"/>
  <c r="AX2156" i="3"/>
  <c r="AX1036" i="3" s="1"/>
  <c r="AX1624" i="3"/>
  <c r="AX2184" i="3"/>
  <c r="AX1064" i="3" s="1"/>
  <c r="AX1712" i="3"/>
  <c r="AX1728" i="3"/>
  <c r="AX1565" i="3"/>
  <c r="AX2125" i="3"/>
  <c r="AX1005" i="3" s="1"/>
  <c r="AX1597" i="3"/>
  <c r="AX2157" i="3"/>
  <c r="AX1037" i="3" s="1"/>
  <c r="AX1617" i="3"/>
  <c r="AX2177" i="3"/>
  <c r="AX1057" i="3" s="1"/>
  <c r="AX1637" i="3"/>
  <c r="AX2197" i="3"/>
  <c r="AX1077" i="3" s="1"/>
  <c r="AX1697" i="3"/>
  <c r="AX2257" i="3"/>
  <c r="AX1137" i="3" s="1"/>
  <c r="AX1729" i="3"/>
  <c r="AX1707" i="3"/>
  <c r="AX1735" i="3"/>
  <c r="AT1698" i="3"/>
  <c r="AT2258" i="3"/>
  <c r="AT1138" i="3" s="1"/>
  <c r="AT1467" i="3"/>
  <c r="AT2027" i="3"/>
  <c r="AT907" i="3" s="1"/>
  <c r="AT1706" i="3"/>
  <c r="AT1519" i="3"/>
  <c r="AT2079" i="3"/>
  <c r="AT959" i="3" s="1"/>
  <c r="AT1475" i="3"/>
  <c r="AT2035" i="3"/>
  <c r="AT915" i="3" s="1"/>
  <c r="AT1638" i="3"/>
  <c r="AT2198" i="3"/>
  <c r="AT1078" i="3" s="1"/>
  <c r="AT1607" i="3"/>
  <c r="AT2167" i="3"/>
  <c r="AT1047" i="3" s="1"/>
  <c r="AT1614" i="3"/>
  <c r="AT2174" i="3"/>
  <c r="AT1054" i="3" s="1"/>
  <c r="AT1603" i="3"/>
  <c r="AT2163" i="3"/>
  <c r="AT1043" i="3" s="1"/>
  <c r="AT1562" i="3"/>
  <c r="AT2122" i="3"/>
  <c r="AT1002" i="3" s="1"/>
  <c r="AT1578" i="3"/>
  <c r="AT2138" i="3"/>
  <c r="AT1018" i="3" s="1"/>
  <c r="AT1594" i="3"/>
  <c r="AT2154" i="3"/>
  <c r="AT1034" i="3" s="1"/>
  <c r="AT1622" i="3"/>
  <c r="AT2182" i="3"/>
  <c r="AT1062" i="3" s="1"/>
  <c r="AT1702" i="3"/>
  <c r="AT2262" i="3"/>
  <c r="AT1142" i="3" s="1"/>
  <c r="AT1722" i="3"/>
  <c r="AT1559" i="3"/>
  <c r="AT2119" i="3"/>
  <c r="AT999" i="3" s="1"/>
  <c r="AT1575" i="3"/>
  <c r="AT2135" i="3"/>
  <c r="AT1015" i="3" s="1"/>
  <c r="AT1591" i="3"/>
  <c r="AT2151" i="3"/>
  <c r="AT1031" i="3" s="1"/>
  <c r="AT1627" i="3"/>
  <c r="AT2187" i="3"/>
  <c r="AT1067" i="3" s="1"/>
  <c r="AT1679" i="3"/>
  <c r="AT2239" i="3"/>
  <c r="AT1119" i="3" s="1"/>
  <c r="AT1560" i="3"/>
  <c r="AT2120" i="3"/>
  <c r="AT1000" i="3" s="1"/>
  <c r="AT1576" i="3"/>
  <c r="AT2136" i="3"/>
  <c r="AT1016" i="3" s="1"/>
  <c r="AT1592" i="3"/>
  <c r="AT2152" i="3"/>
  <c r="AT1032" i="3" s="1"/>
  <c r="AT1620" i="3"/>
  <c r="AT2180" i="3"/>
  <c r="AT1060" i="3" s="1"/>
  <c r="AT1712" i="3"/>
  <c r="AT1728" i="3"/>
  <c r="AT1565" i="3"/>
  <c r="AT2125" i="3"/>
  <c r="AT1005" i="3" s="1"/>
  <c r="AT1597" i="3"/>
  <c r="AT2157" i="3"/>
  <c r="AT1037" i="3" s="1"/>
  <c r="AT2177" i="3"/>
  <c r="AT1057" i="3" s="1"/>
  <c r="AT1617" i="3"/>
  <c r="AT1693" i="3"/>
  <c r="AT2253" i="3"/>
  <c r="AT1133" i="3" s="1"/>
  <c r="AT1683" i="3"/>
  <c r="AT2243" i="3"/>
  <c r="AT1123" i="3" s="1"/>
  <c r="AT1727" i="3"/>
  <c r="AT1539" i="3"/>
  <c r="AT2099" i="3"/>
  <c r="AT979" i="3" s="1"/>
  <c r="AT1635" i="3"/>
  <c r="AT2195" i="3"/>
  <c r="AT1075" i="3" s="1"/>
  <c r="AT1660" i="3"/>
  <c r="AT2220" i="3"/>
  <c r="AT1100" i="3" s="1"/>
  <c r="AT1665" i="3"/>
  <c r="AT2225" i="3"/>
  <c r="AT1105" i="3" s="1"/>
  <c r="AT1474" i="3"/>
  <c r="AT2034" i="3"/>
  <c r="AT914" i="3" s="1"/>
  <c r="AT1490" i="3"/>
  <c r="AT2050" i="3"/>
  <c r="AT930" i="3" s="1"/>
  <c r="AT1506" i="3"/>
  <c r="AT2066" i="3"/>
  <c r="AT946" i="3" s="1"/>
  <c r="AT1522" i="3"/>
  <c r="AT2082" i="3"/>
  <c r="AT962" i="3" s="1"/>
  <c r="AT1538" i="3"/>
  <c r="AT2098" i="3"/>
  <c r="AT978" i="3" s="1"/>
  <c r="AT1662" i="3"/>
  <c r="AT2222" i="3"/>
  <c r="AT1102" i="3" s="1"/>
  <c r="AT1637" i="3"/>
  <c r="AT2197" i="3"/>
  <c r="AT1077" i="3" s="1"/>
  <c r="AT1647" i="3"/>
  <c r="AT2207" i="3"/>
  <c r="AT1087" i="3" s="1"/>
  <c r="AT1616" i="3"/>
  <c r="AT2176" i="3"/>
  <c r="AT1056" i="3" s="1"/>
  <c r="AT1640" i="3"/>
  <c r="AT2200" i="3"/>
  <c r="AT1080" i="3" s="1"/>
  <c r="AT1621" i="3"/>
  <c r="AT2181" i="3"/>
  <c r="AT1061" i="3" s="1"/>
  <c r="AT1476" i="3"/>
  <c r="AT2036" i="3"/>
  <c r="AT916" i="3" s="1"/>
  <c r="AT1492" i="3"/>
  <c r="AT2052" i="3"/>
  <c r="AT932" i="3" s="1"/>
  <c r="AT1508" i="3"/>
  <c r="AT2068" i="3"/>
  <c r="AT948" i="3" s="1"/>
  <c r="AT1540" i="3"/>
  <c r="AT2100" i="3"/>
  <c r="AT980" i="3" s="1"/>
  <c r="AT1664" i="3"/>
  <c r="AT2224" i="3"/>
  <c r="AT1104" i="3" s="1"/>
  <c r="AT1688" i="3"/>
  <c r="AT2248" i="3"/>
  <c r="AT1128" i="3" s="1"/>
  <c r="AT1469" i="3"/>
  <c r="AT2029" i="3"/>
  <c r="AT909" i="3" s="1"/>
  <c r="AT1501" i="3"/>
  <c r="AT2061" i="3"/>
  <c r="AT941" i="3" s="1"/>
  <c r="AT1533" i="3"/>
  <c r="AT2093" i="3"/>
  <c r="AT1549" i="3"/>
  <c r="AT2109" i="3"/>
  <c r="AT989" i="3" s="1"/>
  <c r="AT1577" i="3"/>
  <c r="AT2137" i="3"/>
  <c r="AT1017" i="3" s="1"/>
  <c r="AT1661" i="3"/>
  <c r="AT2221" i="3"/>
  <c r="AT1101" i="3" s="1"/>
  <c r="AT1685" i="3"/>
  <c r="AT2245" i="3"/>
  <c r="AT1125" i="3" s="1"/>
  <c r="AT1717" i="3"/>
  <c r="AT1699" i="3"/>
  <c r="AT2259" i="3"/>
  <c r="AT1139" i="3" s="1"/>
  <c r="AP1478" i="3"/>
  <c r="AP2038" i="3"/>
  <c r="AP918" i="3" s="1"/>
  <c r="AP1538" i="3"/>
  <c r="AP2098" i="3"/>
  <c r="AP978" i="3" s="1"/>
  <c r="AP1514" i="3"/>
  <c r="AP2074" i="3"/>
  <c r="AP954" i="3" s="1"/>
  <c r="AP1474" i="3"/>
  <c r="AP2034" i="3"/>
  <c r="AP914" i="3" s="1"/>
  <c r="AP1542" i="3"/>
  <c r="AP2102" i="3"/>
  <c r="AP982" i="3" s="1"/>
  <c r="AP1612" i="3"/>
  <c r="AP2172" i="3"/>
  <c r="AP1052" i="3" s="1"/>
  <c r="AP1575" i="3"/>
  <c r="AP2135" i="3"/>
  <c r="AP1015" i="3" s="1"/>
  <c r="AP1615" i="3"/>
  <c r="AP2175" i="3"/>
  <c r="AP1055" i="3" s="1"/>
  <c r="AP2176" i="3"/>
  <c r="AP1056" i="3" s="1"/>
  <c r="AP1616" i="3"/>
  <c r="AP1562" i="3"/>
  <c r="AP2122" i="3"/>
  <c r="AP1002" i="3" s="1"/>
  <c r="AP1578" i="3"/>
  <c r="AP2138" i="3"/>
  <c r="AP1018" i="3" s="1"/>
  <c r="AP1594" i="3"/>
  <c r="AP2154" i="3"/>
  <c r="AP1034" i="3" s="1"/>
  <c r="AP1622" i="3"/>
  <c r="AP2182" i="3"/>
  <c r="AP1062" i="3" s="1"/>
  <c r="AP1702" i="3"/>
  <c r="AP2262" i="3"/>
  <c r="AP1142" i="3" s="1"/>
  <c r="AP1722" i="3"/>
  <c r="AP1571" i="3"/>
  <c r="AP2131" i="3"/>
  <c r="AP1011" i="3" s="1"/>
  <c r="AP1627" i="3"/>
  <c r="AP2187" i="3"/>
  <c r="AP1067" i="3" s="1"/>
  <c r="AP1621" i="3"/>
  <c r="AP2181" i="3"/>
  <c r="AP1061" i="3" s="1"/>
  <c r="AP1670" i="3"/>
  <c r="AP2230" i="3"/>
  <c r="AP1110" i="3" s="1"/>
  <c r="AP1694" i="3"/>
  <c r="AP2254" i="3"/>
  <c r="AP1134" i="3" s="1"/>
  <c r="AP1467" i="3"/>
  <c r="AP2027" i="3"/>
  <c r="AP907" i="3" s="1"/>
  <c r="AP1483" i="3"/>
  <c r="AP2043" i="3"/>
  <c r="AP923" i="3" s="1"/>
  <c r="AP1499" i="3"/>
  <c r="AP2059" i="3"/>
  <c r="AP939" i="3" s="1"/>
  <c r="AP1531" i="3"/>
  <c r="AP2091" i="3"/>
  <c r="AP971" i="3" s="1"/>
  <c r="AP1547" i="3"/>
  <c r="AP2107" i="3"/>
  <c r="AP987" i="3" s="1"/>
  <c r="AP1687" i="3"/>
  <c r="AP2247" i="3"/>
  <c r="AP1127" i="3" s="1"/>
  <c r="AP1468" i="3"/>
  <c r="AP2028" i="3"/>
  <c r="AP908" i="3" s="1"/>
  <c r="AP1484" i="3"/>
  <c r="AP2044" i="3"/>
  <c r="AP924" i="3" s="1"/>
  <c r="AP1500" i="3"/>
  <c r="AP2060" i="3"/>
  <c r="AP940" i="3" s="1"/>
  <c r="AP1532" i="3"/>
  <c r="AP2092" i="3"/>
  <c r="AP972" i="3" s="1"/>
  <c r="AP1552" i="3"/>
  <c r="AP2112" i="3"/>
  <c r="AP992" i="3" s="1"/>
  <c r="AP1676" i="3"/>
  <c r="AP2236" i="3"/>
  <c r="AP1116" i="3" s="1"/>
  <c r="AP1704" i="3"/>
  <c r="AP2264" i="3"/>
  <c r="AP1144" i="3" s="1"/>
  <c r="AP1477" i="3"/>
  <c r="AP2037" i="3"/>
  <c r="AP917" i="3" s="1"/>
  <c r="AP1493" i="3"/>
  <c r="AP2053" i="3"/>
  <c r="AP933" i="3" s="1"/>
  <c r="AP1509" i="3"/>
  <c r="AP2069" i="3"/>
  <c r="AP949" i="3" s="1"/>
  <c r="AP1541" i="3"/>
  <c r="AP2101" i="3"/>
  <c r="AP981" i="3" s="1"/>
  <c r="AP1561" i="3"/>
  <c r="AP2121" i="3"/>
  <c r="AP1001" i="3" s="1"/>
  <c r="AP1593" i="3"/>
  <c r="AP2153" i="3"/>
  <c r="AP1033" i="3" s="1"/>
  <c r="AP1677" i="3"/>
  <c r="AP2237" i="3"/>
  <c r="AP1117" i="3" s="1"/>
  <c r="AP1701" i="3"/>
  <c r="AP2261" i="3"/>
  <c r="AP1141" i="3" s="1"/>
  <c r="AP1675" i="3"/>
  <c r="AP2235" i="3"/>
  <c r="AP1115" i="3" s="1"/>
  <c r="AP1663" i="3"/>
  <c r="AP2223" i="3"/>
  <c r="AP1103" i="3" s="1"/>
  <c r="AP1648" i="3"/>
  <c r="AP2208" i="3"/>
  <c r="AP1088" i="3" s="1"/>
  <c r="AP1614" i="3"/>
  <c r="AP2174" i="3"/>
  <c r="AP1054" i="3" s="1"/>
  <c r="AP1642" i="3"/>
  <c r="AP2202" i="3"/>
  <c r="AP1082" i="3" s="1"/>
  <c r="AP1603" i="3"/>
  <c r="AP2163" i="3"/>
  <c r="AP1043" i="3" s="1"/>
  <c r="AP2199" i="3"/>
  <c r="AP1079" i="3" s="1"/>
  <c r="AP1639" i="3"/>
  <c r="AP1703" i="3"/>
  <c r="AP2263" i="3"/>
  <c r="AP1143" i="3" s="1"/>
  <c r="AP1564" i="3"/>
  <c r="AP2124" i="3"/>
  <c r="AP1004" i="3" s="1"/>
  <c r="AP1580" i="3"/>
  <c r="AP2140" i="3"/>
  <c r="AP1020" i="3" s="1"/>
  <c r="AP1596" i="3"/>
  <c r="AP2156" i="3"/>
  <c r="AP1036" i="3" s="1"/>
  <c r="AP1624" i="3"/>
  <c r="AP2184" i="3"/>
  <c r="AP1064" i="3" s="1"/>
  <c r="AP1732" i="3"/>
  <c r="AP1573" i="3"/>
  <c r="AP2133" i="3"/>
  <c r="AP1013" i="3" s="1"/>
  <c r="AP1601" i="3"/>
  <c r="AP2161" i="3"/>
  <c r="AP1041" i="3" s="1"/>
  <c r="AP1625" i="3"/>
  <c r="AP2185" i="3"/>
  <c r="AP1065" i="3" s="1"/>
  <c r="AP1641" i="3"/>
  <c r="AP2201" i="3"/>
  <c r="AP1081" i="3" s="1"/>
  <c r="AP1705" i="3"/>
  <c r="AP1733" i="3"/>
  <c r="AP1711" i="3"/>
  <c r="AP1636" i="3"/>
  <c r="AP2196" i="3"/>
  <c r="AP1076" i="3" s="1"/>
  <c r="AP1684" i="3"/>
  <c r="AP2244" i="3"/>
  <c r="AP1124" i="3" s="1"/>
  <c r="AP1669" i="3"/>
  <c r="AP2229" i="3"/>
  <c r="AP1109" i="3" s="1"/>
  <c r="AL1548" i="3"/>
  <c r="AL2108" i="3"/>
  <c r="AL988" i="3" s="1"/>
  <c r="AL1543" i="3"/>
  <c r="AL2103" i="3"/>
  <c r="AL983" i="3" s="1"/>
  <c r="AL1598" i="3"/>
  <c r="AL2158" i="3"/>
  <c r="AL1038" i="3" s="1"/>
  <c r="AL1630" i="3"/>
  <c r="AL2190" i="3"/>
  <c r="AL1070" i="3" s="1"/>
  <c r="AL1604" i="3"/>
  <c r="AL2164" i="3"/>
  <c r="AL1044" i="3" s="1"/>
  <c r="AL1666" i="3"/>
  <c r="AL2226" i="3"/>
  <c r="AL1106" i="3" s="1"/>
  <c r="AL1682" i="3"/>
  <c r="AL2242" i="3"/>
  <c r="AL1122" i="3" s="1"/>
  <c r="AL1726" i="3"/>
  <c r="AL1479" i="3"/>
  <c r="AL2039" i="3"/>
  <c r="AL919" i="3" s="1"/>
  <c r="AL1495" i="3"/>
  <c r="AL2055" i="3"/>
  <c r="AL1511" i="3"/>
  <c r="AL2071" i="3"/>
  <c r="AL951" i="3" s="1"/>
  <c r="AL1527" i="3"/>
  <c r="AL2087" i="3"/>
  <c r="AL967" i="3" s="1"/>
  <c r="AL1555" i="3"/>
  <c r="AL2115" i="3"/>
  <c r="AL995" i="3" s="1"/>
  <c r="AL1608" i="3"/>
  <c r="AL2168" i="3"/>
  <c r="AL1048" i="3" s="1"/>
  <c r="AL1700" i="3"/>
  <c r="AL2260" i="3"/>
  <c r="AL1140" i="3" s="1"/>
  <c r="AL1557" i="3"/>
  <c r="AL2117" i="3"/>
  <c r="AL997" i="3" s="1"/>
  <c r="AL1589" i="3"/>
  <c r="AL2149" i="3"/>
  <c r="AL1029" i="3" s="1"/>
  <c r="AL1613" i="3"/>
  <c r="AL2173" i="3"/>
  <c r="AL1053" i="3" s="1"/>
  <c r="AL1633" i="3"/>
  <c r="AL2193" i="3"/>
  <c r="AL1073" i="3" s="1"/>
  <c r="AL1709" i="3"/>
  <c r="AL1737" i="3"/>
  <c r="AL1719" i="3"/>
  <c r="AL1470" i="3"/>
  <c r="AL2030" i="3"/>
  <c r="AL910" i="3" s="1"/>
  <c r="AL1502" i="3"/>
  <c r="AL2062" i="3"/>
  <c r="AL942" i="3" s="1"/>
  <c r="AL1534" i="3"/>
  <c r="AL2094" i="3"/>
  <c r="AL1658" i="3"/>
  <c r="AL2218" i="3"/>
  <c r="AL1098" i="3" s="1"/>
  <c r="AL1655" i="3"/>
  <c r="AL2215" i="3"/>
  <c r="AL1095" i="3" s="1"/>
  <c r="AL1656" i="3"/>
  <c r="AL2216" i="3"/>
  <c r="AL1096" i="3" s="1"/>
  <c r="AL1603" i="3"/>
  <c r="AL2163" i="3"/>
  <c r="AL1043" i="3" s="1"/>
  <c r="AL1639" i="3"/>
  <c r="AL2199" i="3"/>
  <c r="AL1079" i="3" s="1"/>
  <c r="AL1566" i="3"/>
  <c r="AL2126" i="3"/>
  <c r="AL1006" i="3" s="1"/>
  <c r="AL1582" i="3"/>
  <c r="AL2142" i="3"/>
  <c r="AL1022" i="3" s="1"/>
  <c r="AL1602" i="3"/>
  <c r="AL2162" i="3"/>
  <c r="AL1042" i="3" s="1"/>
  <c r="AL1634" i="3"/>
  <c r="AL2194" i="3"/>
  <c r="AL1074" i="3" s="1"/>
  <c r="AL1710" i="3"/>
  <c r="AL1730" i="3"/>
  <c r="AL1563" i="3"/>
  <c r="AL2123" i="3"/>
  <c r="AL1003" i="3" s="1"/>
  <c r="AL1579" i="3"/>
  <c r="AL2139" i="3"/>
  <c r="AL1019" i="3" s="1"/>
  <c r="AL1599" i="3"/>
  <c r="AL2159" i="3"/>
  <c r="AL1039" i="3" s="1"/>
  <c r="AL1631" i="3"/>
  <c r="AL2191" i="3"/>
  <c r="AL1071" i="3" s="1"/>
  <c r="AL1695" i="3"/>
  <c r="AL2255" i="3"/>
  <c r="AL1135" i="3" s="1"/>
  <c r="AL1472" i="3"/>
  <c r="AL2032" i="3"/>
  <c r="AL912" i="3" s="1"/>
  <c r="AL1504" i="3"/>
  <c r="AL2064" i="3"/>
  <c r="AL944" i="3" s="1"/>
  <c r="AL1520" i="3"/>
  <c r="AL2080" i="3"/>
  <c r="AL960" i="3" s="1"/>
  <c r="AL1536" i="3"/>
  <c r="AL2096" i="3"/>
  <c r="AL1556" i="3"/>
  <c r="AL2116" i="3"/>
  <c r="AL996" i="3" s="1"/>
  <c r="AL1680" i="3"/>
  <c r="AL2240" i="3"/>
  <c r="AL1120" i="3" s="1"/>
  <c r="AL1708" i="3"/>
  <c r="AL1481" i="3"/>
  <c r="AL2041" i="3"/>
  <c r="AL921" i="3" s="1"/>
  <c r="AL1497" i="3"/>
  <c r="AL2057" i="3"/>
  <c r="AL2073" i="3"/>
  <c r="AL953" i="3" s="1"/>
  <c r="AL1513" i="3"/>
  <c r="AL2089" i="3"/>
  <c r="AL969" i="3" s="1"/>
  <c r="AL1529" i="3"/>
  <c r="AL1545" i="3"/>
  <c r="AL2105" i="3"/>
  <c r="AL985" i="3" s="1"/>
  <c r="AL1569" i="3"/>
  <c r="AL2129" i="3"/>
  <c r="AL1009" i="3" s="1"/>
  <c r="AL1657" i="3"/>
  <c r="AL2217" i="3"/>
  <c r="AL1097" i="3" s="1"/>
  <c r="AL1681" i="3"/>
  <c r="AL2241" i="3"/>
  <c r="AL1121" i="3" s="1"/>
  <c r="AL1691" i="3"/>
  <c r="AL2251" i="3"/>
  <c r="AL1131" i="3" s="1"/>
  <c r="AL1616" i="3"/>
  <c r="AL2176" i="3"/>
  <c r="AL1056" i="3" s="1"/>
  <c r="AL1649" i="3"/>
  <c r="AL2209" i="3"/>
  <c r="AL1089" i="3" s="1"/>
  <c r="AH1468" i="3"/>
  <c r="AH2028" i="3"/>
  <c r="AH908" i="3" s="1"/>
  <c r="AH1552" i="3"/>
  <c r="AH2112" i="3"/>
  <c r="AH992" i="3" s="1"/>
  <c r="AH1566" i="3"/>
  <c r="AH2126" i="3"/>
  <c r="AH1006" i="3" s="1"/>
  <c r="AH1582" i="3"/>
  <c r="AH2142" i="3"/>
  <c r="AH1022" i="3" s="1"/>
  <c r="AH1602" i="3"/>
  <c r="AH2162" i="3"/>
  <c r="AH1042" i="3" s="1"/>
  <c r="AH1634" i="3"/>
  <c r="AH2194" i="3"/>
  <c r="AH1074" i="3" s="1"/>
  <c r="AH1710" i="3"/>
  <c r="AH1730" i="3"/>
  <c r="AH1492" i="3"/>
  <c r="AH2052" i="3"/>
  <c r="AH932" i="3" s="1"/>
  <c r="AH2116" i="3"/>
  <c r="AH996" i="3" s="1"/>
  <c r="AH1556" i="3"/>
  <c r="AH1478" i="3"/>
  <c r="AH2038" i="3"/>
  <c r="AH918" i="3" s="1"/>
  <c r="AH1494" i="3"/>
  <c r="AH2054" i="3"/>
  <c r="AH934" i="3" s="1"/>
  <c r="AH1510" i="3"/>
  <c r="AH2070" i="3"/>
  <c r="AH950" i="3" s="1"/>
  <c r="AH1542" i="3"/>
  <c r="AH2102" i="3"/>
  <c r="AH982" i="3" s="1"/>
  <c r="AH1496" i="3"/>
  <c r="AH2056" i="3"/>
  <c r="AH1636" i="3"/>
  <c r="AH2196" i="3"/>
  <c r="AH1076" i="3" s="1"/>
  <c r="AH1680" i="3"/>
  <c r="AH2240" i="3"/>
  <c r="AH1120" i="3" s="1"/>
  <c r="AH1708" i="3"/>
  <c r="AH1481" i="3"/>
  <c r="AH2041" i="3"/>
  <c r="AH921" i="3" s="1"/>
  <c r="AH1497" i="3"/>
  <c r="AH2057" i="3"/>
  <c r="AH1513" i="3"/>
  <c r="AH2073" i="3"/>
  <c r="AH953" i="3" s="1"/>
  <c r="AH1529" i="3"/>
  <c r="AH2089" i="3"/>
  <c r="AH969" i="3" s="1"/>
  <c r="AH1545" i="3"/>
  <c r="AH2105" i="3"/>
  <c r="AH985" i="3" s="1"/>
  <c r="AH1569" i="3"/>
  <c r="AH2129" i="3"/>
  <c r="AH1009" i="3" s="1"/>
  <c r="AH1657" i="3"/>
  <c r="AH2217" i="3"/>
  <c r="AH1097" i="3" s="1"/>
  <c r="AH1681" i="3"/>
  <c r="AH2241" i="3"/>
  <c r="AH1121" i="3" s="1"/>
  <c r="AH1691" i="3"/>
  <c r="AH2251" i="3"/>
  <c r="AH1131" i="3" s="1"/>
  <c r="AH1614" i="3"/>
  <c r="AH2174" i="3"/>
  <c r="AH1054" i="3" s="1"/>
  <c r="AH1642" i="3"/>
  <c r="AH2202" i="3"/>
  <c r="AH1082" i="3" s="1"/>
  <c r="AH1603" i="3"/>
  <c r="AH2163" i="3"/>
  <c r="AH1043" i="3" s="1"/>
  <c r="AH1639" i="3"/>
  <c r="AH2199" i="3"/>
  <c r="AH1079" i="3" s="1"/>
  <c r="AH1648" i="3"/>
  <c r="AH2208" i="3"/>
  <c r="AH1088" i="3" s="1"/>
  <c r="AH1563" i="3"/>
  <c r="AH2123" i="3"/>
  <c r="AH1003" i="3" s="1"/>
  <c r="AH1579" i="3"/>
  <c r="AH2139" i="3"/>
  <c r="AH1019" i="3" s="1"/>
  <c r="AH1599" i="3"/>
  <c r="AH2159" i="3"/>
  <c r="AH1039" i="3" s="1"/>
  <c r="AH1631" i="3"/>
  <c r="AH2191" i="3"/>
  <c r="AH1071" i="3" s="1"/>
  <c r="AH1670" i="3"/>
  <c r="AH2230" i="3"/>
  <c r="AH1110" i="3" s="1"/>
  <c r="AH1694" i="3"/>
  <c r="AH2254" i="3"/>
  <c r="AH1134" i="3" s="1"/>
  <c r="AH1467" i="3"/>
  <c r="AH2027" i="3"/>
  <c r="AH907" i="3" s="1"/>
  <c r="AH1483" i="3"/>
  <c r="AH2043" i="3"/>
  <c r="AH923" i="3" s="1"/>
  <c r="AH1499" i="3"/>
  <c r="AH2059" i="3"/>
  <c r="AH939" i="3" s="1"/>
  <c r="AH1531" i="3"/>
  <c r="AH2091" i="3"/>
  <c r="AH971" i="3" s="1"/>
  <c r="AH1547" i="3"/>
  <c r="AH2107" i="3"/>
  <c r="AH987" i="3" s="1"/>
  <c r="AH1600" i="3"/>
  <c r="AH2160" i="3"/>
  <c r="AH1040" i="3" s="1"/>
  <c r="AH1632" i="3"/>
  <c r="AH2192" i="3"/>
  <c r="AH1072" i="3" s="1"/>
  <c r="AH1655" i="3"/>
  <c r="AH2215" i="3"/>
  <c r="AH1095" i="3" s="1"/>
  <c r="AH1692" i="3"/>
  <c r="AH2252" i="3"/>
  <c r="AH1132" i="3" s="1"/>
  <c r="AH1679" i="3"/>
  <c r="AH2239" i="3"/>
  <c r="AH1119" i="3" s="1"/>
  <c r="AH1560" i="3"/>
  <c r="AH2120" i="3"/>
  <c r="AH1000" i="3" s="1"/>
  <c r="AH1576" i="3"/>
  <c r="AH2136" i="3"/>
  <c r="AH1016" i="3" s="1"/>
  <c r="AH1592" i="3"/>
  <c r="AH2152" i="3"/>
  <c r="AH1032" i="3" s="1"/>
  <c r="AH1620" i="3"/>
  <c r="AH2180" i="3"/>
  <c r="AH1060" i="3" s="1"/>
  <c r="AH1712" i="3"/>
  <c r="AH1728" i="3"/>
  <c r="AH1565" i="3"/>
  <c r="AH2125" i="3"/>
  <c r="AH1005" i="3" s="1"/>
  <c r="AH1597" i="3"/>
  <c r="AH2157" i="3"/>
  <c r="AH1037" i="3" s="1"/>
  <c r="AH1617" i="3"/>
  <c r="AH2177" i="3"/>
  <c r="AH1057" i="3" s="1"/>
  <c r="AH1637" i="3"/>
  <c r="AH2197" i="3"/>
  <c r="AH1077" i="3" s="1"/>
  <c r="AH1697" i="3"/>
  <c r="AH2257" i="3"/>
  <c r="AH1137" i="3" s="1"/>
  <c r="AH1729" i="3"/>
  <c r="AH1707" i="3"/>
  <c r="AH1735" i="3"/>
  <c r="AD1670" i="3"/>
  <c r="AD2230" i="3"/>
  <c r="AD1110" i="3" s="1"/>
  <c r="AD1694" i="3"/>
  <c r="AD2254" i="3"/>
  <c r="AD1134" i="3" s="1"/>
  <c r="AD1467" i="3"/>
  <c r="AD2027" i="3"/>
  <c r="AD907" i="3" s="1"/>
  <c r="AD1483" i="3"/>
  <c r="AD2043" i="3"/>
  <c r="AD923" i="3" s="1"/>
  <c r="AD1499" i="3"/>
  <c r="AD2059" i="3"/>
  <c r="AD939" i="3" s="1"/>
  <c r="AD1531" i="3"/>
  <c r="AD2091" i="3"/>
  <c r="AD971" i="3" s="1"/>
  <c r="AD1650" i="3"/>
  <c r="AD2210" i="3"/>
  <c r="AD1090" i="3" s="1"/>
  <c r="AD1660" i="3"/>
  <c r="AD2220" i="3"/>
  <c r="AD1100" i="3" s="1"/>
  <c r="AD1562" i="3"/>
  <c r="AD2122" i="3"/>
  <c r="AD1002" i="3" s="1"/>
  <c r="AD1722" i="3"/>
  <c r="AD1627" i="3"/>
  <c r="AD2187" i="3"/>
  <c r="AD1067" i="3" s="1"/>
  <c r="AD1466" i="3"/>
  <c r="AD2026" i="3"/>
  <c r="AD906" i="3" s="1"/>
  <c r="AD1482" i="3"/>
  <c r="AD2042" i="3"/>
  <c r="AD922" i="3" s="1"/>
  <c r="AD1514" i="3"/>
  <c r="AD2074" i="3"/>
  <c r="AD954" i="3" s="1"/>
  <c r="AD1530" i="3"/>
  <c r="AD2090" i="3"/>
  <c r="AD970" i="3" s="1"/>
  <c r="AD1572" i="3"/>
  <c r="AD2132" i="3"/>
  <c r="AD1012" i="3" s="1"/>
  <c r="AD1588" i="3"/>
  <c r="AD2148" i="3"/>
  <c r="AD1028" i="3" s="1"/>
  <c r="AD1608" i="3"/>
  <c r="AD2168" i="3"/>
  <c r="AD1048" i="3" s="1"/>
  <c r="AD1700" i="3"/>
  <c r="AD2260" i="3"/>
  <c r="AD1140" i="3" s="1"/>
  <c r="AD1589" i="3"/>
  <c r="AD2149" i="3"/>
  <c r="AD1029" i="3" s="1"/>
  <c r="AD1613" i="3"/>
  <c r="AD2173" i="3"/>
  <c r="AD1053" i="3" s="1"/>
  <c r="AD1709" i="3"/>
  <c r="AD1737" i="3"/>
  <c r="AD1719" i="3"/>
  <c r="AD1647" i="3"/>
  <c r="AD2207" i="3"/>
  <c r="AD1087" i="3" s="1"/>
  <c r="AD1616" i="3"/>
  <c r="AD2176" i="3"/>
  <c r="AD1056" i="3" s="1"/>
  <c r="AD1649" i="3"/>
  <c r="AD2209" i="3"/>
  <c r="AD1089" i="3" s="1"/>
  <c r="AD1723" i="3"/>
  <c r="AD1512" i="3"/>
  <c r="AD2072" i="3"/>
  <c r="AD952" i="3" s="1"/>
  <c r="AD1528" i="3"/>
  <c r="AD2088" i="3"/>
  <c r="AD968" i="3" s="1"/>
  <c r="AD1544" i="3"/>
  <c r="AD2104" i="3"/>
  <c r="AD984" i="3" s="1"/>
  <c r="AD1688" i="3"/>
  <c r="AD2248" i="3"/>
  <c r="AD1128" i="3" s="1"/>
  <c r="AD1469" i="3"/>
  <c r="AD2029" i="3"/>
  <c r="AD909" i="3" s="1"/>
  <c r="AD1501" i="3"/>
  <c r="AD2061" i="3"/>
  <c r="AD941" i="3" s="1"/>
  <c r="AD1549" i="3"/>
  <c r="AD2109" i="3"/>
  <c r="AD989" i="3" s="1"/>
  <c r="AD1661" i="3"/>
  <c r="AD2221" i="3"/>
  <c r="AD1101" i="3" s="1"/>
  <c r="AD1717" i="3"/>
  <c r="Z1615" i="3"/>
  <c r="Z2175" i="3"/>
  <c r="Z1055" i="3" s="1"/>
  <c r="Z1574" i="3"/>
  <c r="Z2134" i="3"/>
  <c r="Z1014" i="3" s="1"/>
  <c r="Z1590" i="3"/>
  <c r="Z2150" i="3"/>
  <c r="Z1030" i="3" s="1"/>
  <c r="Z1618" i="3"/>
  <c r="Z2178" i="3"/>
  <c r="Z1058" i="3" s="1"/>
  <c r="Z1690" i="3"/>
  <c r="Z2250" i="3"/>
  <c r="Z1130" i="3" s="1"/>
  <c r="Z1718" i="3"/>
  <c r="Z1635" i="3"/>
  <c r="Z2195" i="3"/>
  <c r="Z1075" i="3" s="1"/>
  <c r="Z1474" i="3"/>
  <c r="Z2034" i="3"/>
  <c r="Z914" i="3" s="1"/>
  <c r="Z1490" i="3"/>
  <c r="Z2050" i="3"/>
  <c r="Z930" i="3" s="1"/>
  <c r="Z1506" i="3"/>
  <c r="Z2066" i="3"/>
  <c r="Z946" i="3" s="1"/>
  <c r="Z1522" i="3"/>
  <c r="Z2082" i="3"/>
  <c r="Z962" i="3" s="1"/>
  <c r="Z1538" i="3"/>
  <c r="Z2098" i="3"/>
  <c r="Z978" i="3" s="1"/>
  <c r="Z1662" i="3"/>
  <c r="Z2222" i="3"/>
  <c r="Z1102" i="3" s="1"/>
  <c r="Z1587" i="3"/>
  <c r="Z2147" i="3"/>
  <c r="Z1027" i="3" s="1"/>
  <c r="Z1640" i="3"/>
  <c r="Z2200" i="3"/>
  <c r="Z1080" i="3" s="1"/>
  <c r="Z1550" i="3"/>
  <c r="Z2110" i="3"/>
  <c r="Z990" i="3" s="1"/>
  <c r="Z1503" i="3"/>
  <c r="Z2063" i="3"/>
  <c r="Z943" i="3" s="1"/>
  <c r="Z1519" i="3"/>
  <c r="Z2079" i="3"/>
  <c r="Z959" i="3" s="1"/>
  <c r="Z1555" i="3"/>
  <c r="Z2115" i="3"/>
  <c r="Z995" i="3" s="1"/>
  <c r="Z1600" i="3"/>
  <c r="Z2160" i="3"/>
  <c r="Z1040" i="3" s="1"/>
  <c r="Z1638" i="3"/>
  <c r="Z2198" i="3"/>
  <c r="Z1078" i="3" s="1"/>
  <c r="Z1595" i="3"/>
  <c r="Z2155" i="3"/>
  <c r="Z1035" i="3" s="1"/>
  <c r="Z1687" i="3"/>
  <c r="Z2247" i="3"/>
  <c r="Z1127" i="3" s="1"/>
  <c r="Z1468" i="3"/>
  <c r="Z2028" i="3"/>
  <c r="Z908" i="3" s="1"/>
  <c r="Z1484" i="3"/>
  <c r="Z2044" i="3"/>
  <c r="Z924" i="3" s="1"/>
  <c r="Z1500" i="3"/>
  <c r="Z2060" i="3"/>
  <c r="Z940" i="3" s="1"/>
  <c r="Z1532" i="3"/>
  <c r="Z2092" i="3"/>
  <c r="Z972" i="3" s="1"/>
  <c r="Z1552" i="3"/>
  <c r="Z2112" i="3"/>
  <c r="Z992" i="3" s="1"/>
  <c r="Z1676" i="3"/>
  <c r="Z2236" i="3"/>
  <c r="Z1116" i="3" s="1"/>
  <c r="Z1493" i="3"/>
  <c r="Z2053" i="3"/>
  <c r="Z933" i="3" s="1"/>
  <c r="Z1541" i="3"/>
  <c r="Z2101" i="3"/>
  <c r="Z981" i="3" s="1"/>
  <c r="Z2121" i="3"/>
  <c r="Z1001" i="3" s="1"/>
  <c r="Z1561" i="3"/>
  <c r="Z1677" i="3"/>
  <c r="Z2237" i="3"/>
  <c r="Z1117" i="3" s="1"/>
  <c r="Z1701" i="3"/>
  <c r="Z2261" i="3"/>
  <c r="Z1141" i="3" s="1"/>
  <c r="Z1675" i="3"/>
  <c r="Z2235" i="3"/>
  <c r="Z1115" i="3" s="1"/>
  <c r="Z1679" i="3"/>
  <c r="Z2239" i="3"/>
  <c r="Z1119" i="3" s="1"/>
  <c r="Z1620" i="3"/>
  <c r="Z2180" i="3"/>
  <c r="Z1060" i="3" s="1"/>
  <c r="Z1712" i="3"/>
  <c r="Z1728" i="3"/>
  <c r="Z1565" i="3"/>
  <c r="Z2125" i="3"/>
  <c r="Z1005" i="3" s="1"/>
  <c r="Z2157" i="3"/>
  <c r="Z1037" i="3" s="1"/>
  <c r="Z1597" i="3"/>
  <c r="Z2177" i="3"/>
  <c r="Z1057" i="3" s="1"/>
  <c r="Z1617" i="3"/>
  <c r="Z2197" i="3"/>
  <c r="Z1077" i="3" s="1"/>
  <c r="Z1637" i="3"/>
  <c r="Z1729" i="3"/>
  <c r="Z1707" i="3"/>
  <c r="Z1735" i="3"/>
  <c r="Z1669" i="3"/>
  <c r="Z2229" i="3"/>
  <c r="Z1109" i="3" s="1"/>
  <c r="V1659" i="3"/>
  <c r="V2219" i="3"/>
  <c r="V1099" i="3" s="1"/>
  <c r="V1670" i="3"/>
  <c r="V2230" i="3"/>
  <c r="V1110" i="3" s="1"/>
  <c r="V1694" i="3"/>
  <c r="V2254" i="3"/>
  <c r="V1134" i="3" s="1"/>
  <c r="V1467" i="3"/>
  <c r="V2027" i="3"/>
  <c r="V907" i="3" s="1"/>
  <c r="V1483" i="3"/>
  <c r="V2043" i="3"/>
  <c r="V923" i="3" s="1"/>
  <c r="V1499" i="3"/>
  <c r="V2059" i="3"/>
  <c r="V939" i="3" s="1"/>
  <c r="V1531" i="3"/>
  <c r="V2091" i="3"/>
  <c r="V971" i="3" s="1"/>
  <c r="V1555" i="3"/>
  <c r="V2115" i="3"/>
  <c r="V995" i="3" s="1"/>
  <c r="V1466" i="3"/>
  <c r="V2026" i="3"/>
  <c r="V906" i="3" s="1"/>
  <c r="V1482" i="3"/>
  <c r="V2042" i="3"/>
  <c r="V922" i="3" s="1"/>
  <c r="V1514" i="3"/>
  <c r="V2074" i="3"/>
  <c r="V954" i="3" s="1"/>
  <c r="V1530" i="3"/>
  <c r="V2090" i="3"/>
  <c r="V970" i="3" s="1"/>
  <c r="V1595" i="3"/>
  <c r="V2155" i="3"/>
  <c r="V1035" i="3" s="1"/>
  <c r="V1731" i="3"/>
  <c r="V1568" i="3"/>
  <c r="V2128" i="3"/>
  <c r="V1008" i="3" s="1"/>
  <c r="V1584" i="3"/>
  <c r="V2144" i="3"/>
  <c r="V1024" i="3" s="1"/>
  <c r="V1720" i="3"/>
  <c r="V1736" i="3"/>
  <c r="V2141" i="3"/>
  <c r="V1021" i="3" s="1"/>
  <c r="V1581" i="3"/>
  <c r="V2189" i="3"/>
  <c r="V1069" i="3" s="1"/>
  <c r="V1629" i="3"/>
  <c r="V1705" i="3"/>
  <c r="V1729" i="3"/>
  <c r="V1707" i="3"/>
  <c r="V1735" i="3"/>
  <c r="V1566" i="3"/>
  <c r="V2126" i="3"/>
  <c r="V1006" i="3" s="1"/>
  <c r="V1582" i="3"/>
  <c r="V2142" i="3"/>
  <c r="V1022" i="3" s="1"/>
  <c r="V1710" i="3"/>
  <c r="V1730" i="3"/>
  <c r="V1563" i="3"/>
  <c r="V2123" i="3"/>
  <c r="V1003" i="3" s="1"/>
  <c r="V1579" i="3"/>
  <c r="V2139" i="3"/>
  <c r="V1019" i="3" s="1"/>
  <c r="V1599" i="3"/>
  <c r="V2159" i="3"/>
  <c r="V1039" i="3" s="1"/>
  <c r="V1656" i="3"/>
  <c r="V2216" i="3"/>
  <c r="V1096" i="3" s="1"/>
  <c r="V1504" i="3"/>
  <c r="V2064" i="3"/>
  <c r="V944" i="3" s="1"/>
  <c r="V1520" i="3"/>
  <c r="V2080" i="3"/>
  <c r="V960" i="3" s="1"/>
  <c r="V1556" i="3"/>
  <c r="V2116" i="3"/>
  <c r="V996" i="3" s="1"/>
  <c r="V1680" i="3"/>
  <c r="V2240" i="3"/>
  <c r="V1120" i="3" s="1"/>
  <c r="V1708" i="3"/>
  <c r="V1481" i="3"/>
  <c r="V2041" i="3"/>
  <c r="V921" i="3" s="1"/>
  <c r="V1513" i="3"/>
  <c r="V2073" i="3"/>
  <c r="V953" i="3" s="1"/>
  <c r="V1529" i="3"/>
  <c r="V2089" i="3"/>
  <c r="V969" i="3" s="1"/>
  <c r="V2129" i="3"/>
  <c r="V1009" i="3" s="1"/>
  <c r="V1569" i="3"/>
  <c r="V1657" i="3"/>
  <c r="V2217" i="3"/>
  <c r="V1097" i="3" s="1"/>
  <c r="V2241" i="3"/>
  <c r="V1121" i="3" s="1"/>
  <c r="V1681" i="3"/>
  <c r="V1717" i="3"/>
  <c r="V1628" i="3"/>
  <c r="V2188" i="3"/>
  <c r="V1068" i="3" s="1"/>
  <c r="V1648" i="3"/>
  <c r="V2208" i="3"/>
  <c r="V1088" i="3" s="1"/>
  <c r="V1649" i="3"/>
  <c r="V2209" i="3"/>
  <c r="V1089" i="3" s="1"/>
  <c r="R1718" i="3"/>
  <c r="R1722" i="3"/>
  <c r="R1590" i="3"/>
  <c r="R2150" i="3"/>
  <c r="R1030" i="3" s="1"/>
  <c r="R1474" i="3"/>
  <c r="R2034" i="3"/>
  <c r="R914" i="3" s="1"/>
  <c r="R1490" i="3"/>
  <c r="R2050" i="3"/>
  <c r="R930" i="3" s="1"/>
  <c r="R1506" i="3"/>
  <c r="R2066" i="3"/>
  <c r="R946" i="3" s="1"/>
  <c r="R1522" i="3"/>
  <c r="R2082" i="3"/>
  <c r="R962" i="3" s="1"/>
  <c r="R1538" i="3"/>
  <c r="R2098" i="3"/>
  <c r="R978" i="3" s="1"/>
  <c r="R1662" i="3"/>
  <c r="R2222" i="3"/>
  <c r="R1102" i="3" s="1"/>
  <c r="R1598" i="3"/>
  <c r="R2158" i="3"/>
  <c r="R1038" i="3" s="1"/>
  <c r="R1630" i="3"/>
  <c r="R2190" i="3"/>
  <c r="R1070" i="3" s="1"/>
  <c r="R1650" i="3"/>
  <c r="R2210" i="3"/>
  <c r="R1090" i="3" s="1"/>
  <c r="R1619" i="3"/>
  <c r="R2179" i="3"/>
  <c r="R1059" i="3" s="1"/>
  <c r="R1605" i="3"/>
  <c r="R2165" i="3"/>
  <c r="R1045" i="3" s="1"/>
  <c r="R1563" i="3"/>
  <c r="R2123" i="3"/>
  <c r="R1003" i="3" s="1"/>
  <c r="R1579" i="3"/>
  <c r="R2139" i="3"/>
  <c r="R1019" i="3" s="1"/>
  <c r="R1599" i="3"/>
  <c r="R2159" i="3"/>
  <c r="R1039" i="3" s="1"/>
  <c r="R1504" i="3"/>
  <c r="R2064" i="3"/>
  <c r="R944" i="3" s="1"/>
  <c r="R1520" i="3"/>
  <c r="R2080" i="3"/>
  <c r="R960" i="3" s="1"/>
  <c r="R1556" i="3"/>
  <c r="R2116" i="3"/>
  <c r="R996" i="3" s="1"/>
  <c r="R1680" i="3"/>
  <c r="R2240" i="3"/>
  <c r="R1120" i="3" s="1"/>
  <c r="R1708" i="3"/>
  <c r="R1481" i="3"/>
  <c r="R2041" i="3"/>
  <c r="R921" i="3" s="1"/>
  <c r="R2089" i="3"/>
  <c r="R969" i="3" s="1"/>
  <c r="R1529" i="3"/>
  <c r="R1569" i="3"/>
  <c r="R2129" i="3"/>
  <c r="R1009" i="3" s="1"/>
  <c r="R2217" i="3"/>
  <c r="R1097" i="3" s="1"/>
  <c r="R1657" i="3"/>
  <c r="R1681" i="3"/>
  <c r="R2241" i="3"/>
  <c r="R1121" i="3" s="1"/>
  <c r="R1717" i="3"/>
  <c r="R1670" i="3"/>
  <c r="R2230" i="3"/>
  <c r="R1110" i="3" s="1"/>
  <c r="R1694" i="3"/>
  <c r="R2254" i="3"/>
  <c r="R1134" i="3" s="1"/>
  <c r="R1467" i="3"/>
  <c r="R2027" i="3"/>
  <c r="R907" i="3" s="1"/>
  <c r="R1483" i="3"/>
  <c r="R2043" i="3"/>
  <c r="R923" i="3" s="1"/>
  <c r="R1499" i="3"/>
  <c r="R2059" i="3"/>
  <c r="R939" i="3" s="1"/>
  <c r="R1531" i="3"/>
  <c r="R2091" i="3"/>
  <c r="R971" i="3" s="1"/>
  <c r="R1655" i="3"/>
  <c r="R2215" i="3"/>
  <c r="R1095" i="3" s="1"/>
  <c r="R1636" i="3"/>
  <c r="R2196" i="3"/>
  <c r="R1076" i="3" s="1"/>
  <c r="R2229" i="3"/>
  <c r="R1109" i="3" s="1"/>
  <c r="R1669" i="3"/>
  <c r="R1572" i="3"/>
  <c r="R2132" i="3"/>
  <c r="R1012" i="3" s="1"/>
  <c r="R1588" i="3"/>
  <c r="R2148" i="3"/>
  <c r="R1028" i="3" s="1"/>
  <c r="R1608" i="3"/>
  <c r="R2168" i="3"/>
  <c r="R1048" i="3" s="1"/>
  <c r="R1589" i="3"/>
  <c r="R2149" i="3"/>
  <c r="R1029" i="3" s="1"/>
  <c r="R1613" i="3"/>
  <c r="R2173" i="3"/>
  <c r="R1053" i="3" s="1"/>
  <c r="R1729" i="3"/>
  <c r="R1707" i="3"/>
  <c r="R1735" i="3"/>
  <c r="AB1470" i="3"/>
  <c r="AB2030" i="3"/>
  <c r="AB910" i="3" s="1"/>
  <c r="AB1502" i="3"/>
  <c r="AB2062" i="3"/>
  <c r="AB942" i="3" s="1"/>
  <c r="AB1706" i="3"/>
  <c r="AB1722" i="3"/>
  <c r="AB1503" i="3"/>
  <c r="AB2063" i="3"/>
  <c r="AB943" i="3" s="1"/>
  <c r="AB1519" i="3"/>
  <c r="AB2079" i="3"/>
  <c r="AB959" i="3" s="1"/>
  <c r="AB1618" i="3"/>
  <c r="AB2178" i="3"/>
  <c r="AB1058" i="3" s="1"/>
  <c r="AB1642" i="3"/>
  <c r="AB2202" i="3"/>
  <c r="AB1082" i="3" s="1"/>
  <c r="AB1539" i="3"/>
  <c r="AB2099" i="3"/>
  <c r="AB979" i="3" s="1"/>
  <c r="AB1570" i="3"/>
  <c r="AB2130" i="3"/>
  <c r="AB1010" i="3" s="1"/>
  <c r="AB1586" i="3"/>
  <c r="AB2146" i="3"/>
  <c r="AB1026" i="3" s="1"/>
  <c r="AB1567" i="3"/>
  <c r="AB2127" i="3"/>
  <c r="AB1007" i="3" s="1"/>
  <c r="AB1605" i="3"/>
  <c r="AB2165" i="3"/>
  <c r="AB1045" i="3" s="1"/>
  <c r="AB2185" i="3"/>
  <c r="AB1065" i="3" s="1"/>
  <c r="AB1625" i="3"/>
  <c r="AB1658" i="3"/>
  <c r="AB2218" i="3"/>
  <c r="AB1098" i="3" s="1"/>
  <c r="AB1678" i="3"/>
  <c r="AB2238" i="3"/>
  <c r="AB1118" i="3" s="1"/>
  <c r="AB1726" i="3"/>
  <c r="AB1587" i="3"/>
  <c r="AB2147" i="3"/>
  <c r="AB1027" i="3" s="1"/>
  <c r="AB1561" i="3"/>
  <c r="AB2121" i="3"/>
  <c r="AB1001" i="3" s="1"/>
  <c r="AB1552" i="3"/>
  <c r="AB2112" i="3"/>
  <c r="AB992" i="3" s="1"/>
  <c r="AB1481" i="3"/>
  <c r="AB2041" i="3"/>
  <c r="AB921" i="3" s="1"/>
  <c r="AB2073" i="3"/>
  <c r="AB953" i="3" s="1"/>
  <c r="AB1513" i="3"/>
  <c r="AB2089" i="3"/>
  <c r="AB969" i="3" s="1"/>
  <c r="AB1529" i="3"/>
  <c r="AB2155" i="3"/>
  <c r="AB1035" i="3" s="1"/>
  <c r="AB1595" i="3"/>
  <c r="AB1619" i="3"/>
  <c r="AB2179" i="3"/>
  <c r="AB1059" i="3" s="1"/>
  <c r="AB2219" i="3"/>
  <c r="AB1099" i="3" s="1"/>
  <c r="AB1659" i="3"/>
  <c r="AB1660" i="3"/>
  <c r="AB2220" i="3"/>
  <c r="AB1100" i="3" s="1"/>
  <c r="AB1680" i="3"/>
  <c r="AB2240" i="3"/>
  <c r="AB1120" i="3" s="1"/>
  <c r="AB1704" i="3"/>
  <c r="AB2264" i="3"/>
  <c r="AB1144" i="3" s="1"/>
  <c r="AB1661" i="3"/>
  <c r="AB2221" i="3"/>
  <c r="AB1101" i="3" s="1"/>
  <c r="AB1721" i="3"/>
  <c r="AB1731" i="3"/>
  <c r="AB1512" i="3"/>
  <c r="AB2072" i="3"/>
  <c r="AB952" i="3" s="1"/>
  <c r="AB1528" i="3"/>
  <c r="AB2088" i="3"/>
  <c r="AB968" i="3" s="1"/>
  <c r="AB1544" i="3"/>
  <c r="AB2104" i="3"/>
  <c r="AB984" i="3" s="1"/>
  <c r="AB1572" i="3"/>
  <c r="AB2132" i="3"/>
  <c r="AB1012" i="3" s="1"/>
  <c r="AB1588" i="3"/>
  <c r="AB2148" i="3"/>
  <c r="AB1028" i="3" s="1"/>
  <c r="AB1688" i="3"/>
  <c r="AB2248" i="3"/>
  <c r="AB1128" i="3" s="1"/>
  <c r="AB1720" i="3"/>
  <c r="AB1736" i="3"/>
  <c r="AB1677" i="3"/>
  <c r="AB2237" i="3"/>
  <c r="AB1117" i="3" s="1"/>
  <c r="AB1705" i="3"/>
  <c r="AB1733" i="3"/>
  <c r="AB1707" i="3"/>
  <c r="AB1735" i="3"/>
  <c r="AB1640" i="3"/>
  <c r="AB2200" i="3"/>
  <c r="AB1080" i="3" s="1"/>
  <c r="AB1553" i="3"/>
  <c r="AB2113" i="3"/>
  <c r="AB993" i="3" s="1"/>
  <c r="AR68" i="3"/>
  <c r="AQ68" i="3"/>
  <c r="T76" i="3"/>
  <c r="AA76" i="3"/>
  <c r="Z76" i="3"/>
  <c r="AD76" i="3"/>
  <c r="V76" i="3"/>
  <c r="R76" i="3"/>
  <c r="V68" i="3"/>
  <c r="S76" i="3"/>
  <c r="U76" i="3"/>
  <c r="AC76" i="3"/>
  <c r="AX68" i="3"/>
  <c r="R68" i="3"/>
  <c r="X68" i="3"/>
  <c r="C52" i="5"/>
  <c r="C50" i="5"/>
  <c r="C51" i="5"/>
  <c r="C48" i="5"/>
  <c r="S68" i="3"/>
  <c r="AE68" i="3"/>
  <c r="X76" i="3"/>
  <c r="P76" i="3"/>
  <c r="Q76" i="3"/>
  <c r="C117" i="3"/>
  <c r="C113" i="3"/>
  <c r="C116" i="3"/>
  <c r="C115" i="3"/>
  <c r="C114" i="3"/>
  <c r="O1356" i="3" l="1"/>
  <c r="AP20" i="3"/>
  <c r="J62" i="3"/>
  <c r="AV77" i="3"/>
  <c r="L61" i="3"/>
  <c r="AR21" i="3"/>
  <c r="AN77" i="3"/>
  <c r="AT70" i="3"/>
  <c r="AP21" i="3"/>
  <c r="AF77" i="3"/>
  <c r="K61" i="3"/>
  <c r="AX21" i="3"/>
  <c r="AO21" i="3"/>
  <c r="Y69" i="3"/>
  <c r="M61" i="3"/>
  <c r="D132" i="3"/>
  <c r="D139" i="3" s="1"/>
  <c r="AL21" i="3" s="1"/>
  <c r="D141" i="3"/>
  <c r="AO77" i="3" s="1"/>
  <c r="L84" i="3"/>
  <c r="K76" i="3"/>
  <c r="L76" i="3"/>
  <c r="M76" i="3"/>
  <c r="N76" i="3"/>
  <c r="J84" i="3"/>
  <c r="M84" i="3"/>
  <c r="J76" i="3"/>
  <c r="N84" i="3"/>
  <c r="K84" i="3"/>
  <c r="C84" i="3"/>
  <c r="A76" i="3"/>
  <c r="D68" i="3"/>
  <c r="C68" i="3"/>
  <c r="D60" i="3"/>
  <c r="A60" i="3"/>
  <c r="B60" i="3"/>
  <c r="B68" i="3"/>
  <c r="A84" i="3"/>
  <c r="D84" i="3"/>
  <c r="A68" i="3"/>
  <c r="I68" i="3" s="1"/>
  <c r="D76" i="3"/>
  <c r="B76" i="3"/>
  <c r="B84" i="3"/>
  <c r="C60" i="3"/>
  <c r="C76" i="3"/>
  <c r="N61" i="3"/>
  <c r="AH21" i="3"/>
  <c r="AM21" i="3"/>
  <c r="AF21" i="3"/>
  <c r="AV21" i="3"/>
  <c r="P20" i="3"/>
  <c r="D142" i="3"/>
  <c r="AD70" i="3" s="1"/>
  <c r="AG69" i="3"/>
  <c r="AK79" i="3"/>
  <c r="J61" i="3"/>
  <c r="D143" i="3"/>
  <c r="O1325" i="3"/>
  <c r="O485" i="3" s="1"/>
  <c r="O1213" i="3"/>
  <c r="O1339" i="3"/>
  <c r="O1290" i="3"/>
  <c r="O1226" i="3"/>
  <c r="O1379" i="3"/>
  <c r="O1337" i="3"/>
  <c r="O497" i="3" s="1"/>
  <c r="O1204" i="3"/>
  <c r="O364" i="3" s="1"/>
  <c r="O1203" i="3"/>
  <c r="U70" i="3"/>
  <c r="AV70" i="3"/>
  <c r="AN70" i="3"/>
  <c r="AJ20" i="3"/>
  <c r="AO70" i="3"/>
  <c r="Y20" i="3"/>
  <c r="AH20" i="3"/>
  <c r="Z69" i="3"/>
  <c r="AO20" i="3"/>
  <c r="T20" i="3"/>
  <c r="Z20" i="3"/>
  <c r="AI69" i="3"/>
  <c r="AK70" i="3"/>
  <c r="AS70" i="3"/>
  <c r="AI20" i="3"/>
  <c r="AG20" i="3"/>
  <c r="AK69" i="3"/>
  <c r="AD71" i="3"/>
  <c r="AU69" i="3"/>
  <c r="AA68" i="3"/>
  <c r="AR20" i="3"/>
  <c r="AM69" i="3"/>
  <c r="Q20" i="3"/>
  <c r="AW20" i="3"/>
  <c r="AR70" i="3"/>
  <c r="AB20" i="3"/>
  <c r="AS69" i="3"/>
  <c r="R70" i="3"/>
  <c r="AR69" i="3"/>
  <c r="O1299" i="3"/>
  <c r="O459" i="3" s="1"/>
  <c r="O1345" i="3"/>
  <c r="O505" i="3" s="1"/>
  <c r="O1186" i="3"/>
  <c r="O346" i="3" s="1"/>
  <c r="O1399" i="3"/>
  <c r="O559" i="3" s="1"/>
  <c r="O1413" i="3"/>
  <c r="O573" i="3" s="1"/>
  <c r="AM613" i="3"/>
  <c r="O1251" i="3"/>
  <c r="O411" i="3" s="1"/>
  <c r="O1249" i="3"/>
  <c r="O409" i="3" s="1"/>
  <c r="AH76" i="3"/>
  <c r="O386" i="3"/>
  <c r="O1327" i="3"/>
  <c r="O487" i="3" s="1"/>
  <c r="O1439" i="3"/>
  <c r="O599" i="3" s="1"/>
  <c r="O1390" i="3"/>
  <c r="O550" i="3" s="1"/>
  <c r="O1446" i="3"/>
  <c r="O606" i="3" s="1"/>
  <c r="O1242" i="3"/>
  <c r="O402" i="3" s="1"/>
  <c r="O1456" i="3"/>
  <c r="O616" i="3" s="1"/>
  <c r="O1400" i="3"/>
  <c r="O560" i="3" s="1"/>
  <c r="O1389" i="3"/>
  <c r="O549" i="3" s="1"/>
  <c r="S591" i="3"/>
  <c r="O1401" i="3"/>
  <c r="O561" i="3" s="1"/>
  <c r="O1250" i="3"/>
  <c r="O1412" i="3"/>
  <c r="O572" i="3" s="1"/>
  <c r="O1260" i="3"/>
  <c r="O1441" i="3"/>
  <c r="O601" i="3" s="1"/>
  <c r="O1450" i="3"/>
  <c r="O610" i="3" s="1"/>
  <c r="O1398" i="3"/>
  <c r="O558" i="3" s="1"/>
  <c r="O1262" i="3"/>
  <c r="O422" i="3" s="1"/>
  <c r="O1455" i="3"/>
  <c r="O615" i="3" s="1"/>
  <c r="O450" i="3"/>
  <c r="O539" i="3"/>
  <c r="O1432" i="3"/>
  <c r="O1409" i="3"/>
  <c r="O569" i="3" s="1"/>
  <c r="O1376" i="3"/>
  <c r="O536" i="3" s="1"/>
  <c r="O1319" i="3"/>
  <c r="O479" i="3" s="1"/>
  <c r="O1302" i="3"/>
  <c r="O462" i="3" s="1"/>
  <c r="O1369" i="3"/>
  <c r="O529" i="3" s="1"/>
  <c r="O1301" i="3"/>
  <c r="O461" i="3" s="1"/>
  <c r="O1336" i="3"/>
  <c r="O496" i="3" s="1"/>
  <c r="O1292" i="3"/>
  <c r="O452" i="3" s="1"/>
  <c r="O1442" i="3"/>
  <c r="O602" i="3" s="1"/>
  <c r="O1443" i="3"/>
  <c r="O603" i="3" s="1"/>
  <c r="O1411" i="3"/>
  <c r="O571" i="3" s="1"/>
  <c r="O1252" i="3"/>
  <c r="O412" i="3" s="1"/>
  <c r="O499" i="3"/>
  <c r="AH612" i="3"/>
  <c r="O1222" i="3"/>
  <c r="O1317" i="3"/>
  <c r="O477" i="3" s="1"/>
  <c r="O1221" i="3"/>
  <c r="O381" i="3" s="1"/>
  <c r="O1308" i="3"/>
  <c r="O468" i="3" s="1"/>
  <c r="O1355" i="3"/>
  <c r="O515" i="3" s="1"/>
  <c r="O1275" i="3"/>
  <c r="O435" i="3" s="1"/>
  <c r="O1306" i="3"/>
  <c r="O466" i="3" s="1"/>
  <c r="O1273" i="3"/>
  <c r="O433" i="3" s="1"/>
  <c r="O1209" i="3"/>
  <c r="O369" i="3" s="1"/>
  <c r="O1224" i="3"/>
  <c r="O384" i="3" s="1"/>
  <c r="AH78" i="3"/>
  <c r="O1367" i="3"/>
  <c r="O527" i="3" s="1"/>
  <c r="O1283" i="3"/>
  <c r="O443" i="3" s="1"/>
  <c r="O1202" i="3"/>
  <c r="O362" i="3" s="1"/>
  <c r="O1370" i="3"/>
  <c r="O530" i="3" s="1"/>
  <c r="O1281" i="3"/>
  <c r="O441" i="3" s="1"/>
  <c r="O1320" i="3"/>
  <c r="O480" i="3" s="1"/>
  <c r="O1276" i="3"/>
  <c r="O436" i="3" s="1"/>
  <c r="O1357" i="3"/>
  <c r="O517" i="3" s="1"/>
  <c r="O1326" i="3"/>
  <c r="O486" i="3" s="1"/>
  <c r="O1375" i="3"/>
  <c r="O535" i="3" s="1"/>
  <c r="O1287" i="3"/>
  <c r="O447" i="3" s="1"/>
  <c r="O1187" i="3"/>
  <c r="O347" i="3" s="1"/>
  <c r="O1334" i="3"/>
  <c r="O494" i="3" s="1"/>
  <c r="O1270" i="3"/>
  <c r="O430" i="3" s="1"/>
  <c r="O382" i="3"/>
  <c r="O1436" i="3"/>
  <c r="O596" i="3" s="1"/>
  <c r="O1358" i="3"/>
  <c r="O518" i="3" s="1"/>
  <c r="O1333" i="3"/>
  <c r="O493" i="3" s="1"/>
  <c r="O1269" i="3"/>
  <c r="O429" i="3" s="1"/>
  <c r="O1316" i="3"/>
  <c r="O476" i="3" s="1"/>
  <c r="O1264" i="3"/>
  <c r="O424" i="3" s="1"/>
  <c r="O1397" i="3"/>
  <c r="O557" i="3" s="1"/>
  <c r="O1388" i="3"/>
  <c r="O548" i="3" s="1"/>
  <c r="O516" i="3"/>
  <c r="O1315" i="3"/>
  <c r="O475" i="3" s="1"/>
  <c r="O1219" i="3"/>
  <c r="O379" i="3" s="1"/>
  <c r="O363" i="3"/>
  <c r="O1282" i="3"/>
  <c r="O442" i="3" s="1"/>
  <c r="O1448" i="3"/>
  <c r="O608" i="3" s="1"/>
  <c r="O1435" i="3"/>
  <c r="O595" i="3" s="1"/>
  <c r="O1381" i="3"/>
  <c r="O541" i="3" s="1"/>
  <c r="O1248" i="3"/>
  <c r="O408" i="3" s="1"/>
  <c r="O1359" i="3"/>
  <c r="O519" i="3" s="1"/>
  <c r="O1294" i="3"/>
  <c r="O454" i="3" s="1"/>
  <c r="O1387" i="3"/>
  <c r="O547" i="3" s="1"/>
  <c r="O1361" i="3"/>
  <c r="O521" i="3" s="1"/>
  <c r="O1261" i="3"/>
  <c r="O421" i="3" s="1"/>
  <c r="O373" i="3"/>
  <c r="O1407" i="3"/>
  <c r="O567" i="3" s="1"/>
  <c r="O1340" i="3"/>
  <c r="O500" i="3" s="1"/>
  <c r="O1453" i="3"/>
  <c r="O613" i="3" s="1"/>
  <c r="O1380" i="3"/>
  <c r="O540" i="3" s="1"/>
  <c r="O1291" i="3"/>
  <c r="O451" i="3" s="1"/>
  <c r="O1195" i="3"/>
  <c r="O355" i="3" s="1"/>
  <c r="O1338" i="3"/>
  <c r="O498" i="3" s="1"/>
  <c r="O1194" i="3"/>
  <c r="O354" i="3" s="1"/>
  <c r="O1362" i="3"/>
  <c r="O522" i="3" s="1"/>
  <c r="O1289" i="3"/>
  <c r="O449" i="3" s="1"/>
  <c r="O1225" i="3"/>
  <c r="O385" i="3" s="1"/>
  <c r="O1288" i="3"/>
  <c r="O448" i="3" s="1"/>
  <c r="O1360" i="3"/>
  <c r="O520" i="3" s="1"/>
  <c r="O1303" i="3"/>
  <c r="O463" i="3" s="1"/>
  <c r="O1223" i="3"/>
  <c r="O383" i="3" s="1"/>
  <c r="O1350" i="3"/>
  <c r="O510" i="3" s="1"/>
  <c r="O1286" i="3"/>
  <c r="O446" i="3" s="1"/>
  <c r="O1349" i="3"/>
  <c r="O509" i="3" s="1"/>
  <c r="O1285" i="3"/>
  <c r="O445" i="3" s="1"/>
  <c r="O1272" i="3"/>
  <c r="O432" i="3" s="1"/>
  <c r="O1347" i="3"/>
  <c r="O507" i="3" s="1"/>
  <c r="O1346" i="3"/>
  <c r="O506" i="3" s="1"/>
  <c r="O410" i="3"/>
  <c r="O420" i="3"/>
  <c r="O1457" i="3"/>
  <c r="O617" i="3" s="1"/>
  <c r="O1368" i="3"/>
  <c r="O528" i="3" s="1"/>
  <c r="O1247" i="3"/>
  <c r="O407" i="3" s="1"/>
  <c r="O1434" i="3"/>
  <c r="O594" i="3" s="1"/>
  <c r="O1310" i="3"/>
  <c r="O470" i="3" s="1"/>
  <c r="O1395" i="3"/>
  <c r="O555" i="3" s="1"/>
  <c r="O1377" i="3"/>
  <c r="O537" i="3" s="1"/>
  <c r="O1293" i="3"/>
  <c r="O453" i="3" s="1"/>
  <c r="O1240" i="3"/>
  <c r="O400" i="3" s="1"/>
  <c r="O1232" i="3"/>
  <c r="O392" i="3" s="1"/>
  <c r="O1193" i="3"/>
  <c r="O353" i="3" s="1"/>
  <c r="O1307" i="3"/>
  <c r="O467" i="3" s="1"/>
  <c r="O1211" i="3"/>
  <c r="O371" i="3" s="1"/>
  <c r="O1414" i="3"/>
  <c r="O574" i="3" s="1"/>
  <c r="O1274" i="3"/>
  <c r="O434" i="3" s="1"/>
  <c r="O1210" i="3"/>
  <c r="O370" i="3" s="1"/>
  <c r="O1440" i="3"/>
  <c r="O600" i="3" s="1"/>
  <c r="O1378" i="3"/>
  <c r="O538" i="3" s="1"/>
  <c r="O1305" i="3"/>
  <c r="O465" i="3" s="1"/>
  <c r="O1241" i="3"/>
  <c r="O401" i="3" s="1"/>
  <c r="O1348" i="3"/>
  <c r="O508" i="3" s="1"/>
  <c r="O1196" i="3"/>
  <c r="O356" i="3" s="1"/>
  <c r="AK76" i="3"/>
  <c r="O1239" i="3"/>
  <c r="O399" i="3" s="1"/>
  <c r="O1452" i="3"/>
  <c r="O612" i="3" s="1"/>
  <c r="O1188" i="3"/>
  <c r="O348" i="3" s="1"/>
  <c r="O1454" i="3"/>
  <c r="O614" i="3" s="1"/>
  <c r="O1437" i="3"/>
  <c r="O597" i="3" s="1"/>
  <c r="O1259" i="3"/>
  <c r="O419" i="3" s="1"/>
  <c r="O1447" i="3"/>
  <c r="O607" i="3" s="1"/>
  <c r="O1257" i="3"/>
  <c r="O417" i="3" s="1"/>
  <c r="O1189" i="3"/>
  <c r="O349" i="3" s="1"/>
  <c r="O1328" i="3"/>
  <c r="O488" i="3" s="1"/>
  <c r="O1438" i="3"/>
  <c r="O598" i="3" s="1"/>
  <c r="O1201" i="3"/>
  <c r="O361" i="3" s="1"/>
  <c r="O1410" i="3"/>
  <c r="O570" i="3" s="1"/>
  <c r="O1284" i="3"/>
  <c r="O444" i="3" s="1"/>
  <c r="O1212" i="3"/>
  <c r="O372" i="3" s="1"/>
  <c r="L60" i="3"/>
  <c r="L19" i="3"/>
  <c r="O1258" i="3"/>
  <c r="O418" i="3" s="1"/>
  <c r="O1451" i="3"/>
  <c r="O611" i="3" s="1"/>
  <c r="M60" i="3"/>
  <c r="M19" i="3"/>
  <c r="O1396" i="3"/>
  <c r="O556" i="3" s="1"/>
  <c r="N60" i="3"/>
  <c r="N19" i="3"/>
  <c r="O1300" i="3"/>
  <c r="O460" i="3" s="1"/>
  <c r="J60" i="3"/>
  <c r="J19" i="3"/>
  <c r="O1231" i="3"/>
  <c r="O391" i="3" s="1"/>
  <c r="O1335" i="3"/>
  <c r="O495" i="3" s="1"/>
  <c r="O1271" i="3"/>
  <c r="O431" i="3" s="1"/>
  <c r="O1318" i="3"/>
  <c r="O478" i="3" s="1"/>
  <c r="O1402" i="3"/>
  <c r="O562" i="3" s="1"/>
  <c r="O1408" i="3"/>
  <c r="O568" i="3" s="1"/>
  <c r="O1449" i="3"/>
  <c r="O609" i="3" s="1"/>
  <c r="O1263" i="3"/>
  <c r="O423" i="3" s="1"/>
  <c r="O1214" i="3"/>
  <c r="O374" i="3" s="1"/>
  <c r="O1382" i="3"/>
  <c r="O542" i="3" s="1"/>
  <c r="O1309" i="3"/>
  <c r="O469" i="3" s="1"/>
  <c r="O1304" i="3"/>
  <c r="O464" i="3" s="1"/>
  <c r="O1220" i="3"/>
  <c r="O380" i="3" s="1"/>
  <c r="K60" i="3"/>
  <c r="K19" i="3"/>
  <c r="AO68" i="3"/>
  <c r="AH68" i="3"/>
  <c r="O1433" i="3"/>
  <c r="O593" i="3" s="1"/>
  <c r="AD592" i="3"/>
  <c r="O1431" i="3"/>
  <c r="O1430" i="3"/>
  <c r="AA20" i="3"/>
  <c r="T68" i="3"/>
  <c r="AP68" i="3"/>
  <c r="AG68" i="3"/>
  <c r="AB68" i="3"/>
  <c r="AW68" i="3"/>
  <c r="AJ68" i="3"/>
  <c r="Q68" i="3"/>
  <c r="AN68" i="3"/>
  <c r="AU20" i="3"/>
  <c r="O69" i="3"/>
  <c r="O68" i="3"/>
  <c r="O20" i="3"/>
  <c r="AI68" i="3"/>
  <c r="W68" i="3"/>
  <c r="O1429" i="3"/>
  <c r="O589" i="3" s="1"/>
  <c r="AF588" i="3"/>
  <c r="AV588" i="3"/>
  <c r="O1426" i="3"/>
  <c r="O586" i="3" s="1"/>
  <c r="O1428" i="3"/>
  <c r="O588" i="3" s="1"/>
  <c r="O1427" i="3"/>
  <c r="O587" i="3" s="1"/>
  <c r="O1425" i="3"/>
  <c r="O585" i="3" s="1"/>
  <c r="U68" i="3"/>
  <c r="AS20" i="3"/>
  <c r="AL20" i="3"/>
  <c r="AT20" i="3"/>
  <c r="AF20" i="3"/>
  <c r="AJ69" i="3"/>
  <c r="AV20" i="3"/>
  <c r="AM20" i="3"/>
  <c r="AK20" i="3"/>
  <c r="AJ71" i="3"/>
  <c r="AM68" i="3"/>
  <c r="AE1439" i="3"/>
  <c r="AE599" i="3" s="1"/>
  <c r="AH77" i="3"/>
  <c r="AU1425" i="3"/>
  <c r="AU585" i="3" s="1"/>
  <c r="AW1441" i="3"/>
  <c r="AW601" i="3" s="1"/>
  <c r="AW1450" i="3"/>
  <c r="S1429" i="3"/>
  <c r="S589" i="3" s="1"/>
  <c r="W1457" i="3"/>
  <c r="W617" i="3" s="1"/>
  <c r="W1426" i="3"/>
  <c r="W586" i="3" s="1"/>
  <c r="W1442" i="3"/>
  <c r="W602" i="3" s="1"/>
  <c r="AA1429" i="3"/>
  <c r="AE1455" i="3"/>
  <c r="AE615" i="3" s="1"/>
  <c r="AE1437" i="3"/>
  <c r="AE597" i="3" s="1"/>
  <c r="AI1428" i="3"/>
  <c r="AI588" i="3" s="1"/>
  <c r="AB1368" i="3"/>
  <c r="AB528" i="3" s="1"/>
  <c r="AB1411" i="3"/>
  <c r="AB571" i="3" s="1"/>
  <c r="AB1388" i="3"/>
  <c r="AB548" i="3" s="1"/>
  <c r="AB1257" i="3"/>
  <c r="AB417" i="3" s="1"/>
  <c r="R1439" i="3"/>
  <c r="R599" i="3" s="1"/>
  <c r="R1429" i="3"/>
  <c r="R1452" i="3"/>
  <c r="R612" i="3" s="1"/>
  <c r="V1443" i="3"/>
  <c r="V603" i="3" s="1"/>
  <c r="V1438" i="3"/>
  <c r="V598" i="3" s="1"/>
  <c r="V1457" i="3"/>
  <c r="V617" i="3" s="1"/>
  <c r="V1448" i="3"/>
  <c r="V608" i="3" s="1"/>
  <c r="Z1439" i="3"/>
  <c r="Z599" i="3" s="1"/>
  <c r="Z1429" i="3"/>
  <c r="Z1456" i="3"/>
  <c r="Z616" i="3" s="1"/>
  <c r="Z1437" i="3"/>
  <c r="AD1427" i="3"/>
  <c r="AD587" i="3" s="1"/>
  <c r="AL1455" i="3"/>
  <c r="AL1449" i="3"/>
  <c r="AL609" i="3" s="1"/>
  <c r="AP1447" i="3"/>
  <c r="AP607" i="3" s="1"/>
  <c r="AP1454" i="3"/>
  <c r="AP614" i="3" s="1"/>
  <c r="AT1431" i="3"/>
  <c r="AT591" i="3" s="1"/>
  <c r="AX1457" i="3"/>
  <c r="AX617" i="3" s="1"/>
  <c r="AX1456" i="3"/>
  <c r="AX616" i="3" s="1"/>
  <c r="T1431" i="3"/>
  <c r="T591" i="3" s="1"/>
  <c r="T1429" i="3"/>
  <c r="T1250" i="3"/>
  <c r="T410" i="3" s="1"/>
  <c r="X1438" i="3"/>
  <c r="X598" i="3" s="1"/>
  <c r="X1447" i="3"/>
  <c r="X607" i="3" s="1"/>
  <c r="X1456" i="3"/>
  <c r="X616" i="3" s="1"/>
  <c r="AJ1431" i="3"/>
  <c r="AJ591" i="3" s="1"/>
  <c r="AN1451" i="3"/>
  <c r="AN611" i="3" s="1"/>
  <c r="AR1413" i="3"/>
  <c r="AR573" i="3" s="1"/>
  <c r="AR1432" i="3"/>
  <c r="AR592" i="3" s="1"/>
  <c r="AR1381" i="3"/>
  <c r="AR541" i="3" s="1"/>
  <c r="AR1438" i="3"/>
  <c r="AR598" i="3" s="1"/>
  <c r="AV1437" i="3"/>
  <c r="AV597" i="3" s="1"/>
  <c r="AV1427" i="3"/>
  <c r="AV587" i="3" s="1"/>
  <c r="AV1425" i="3"/>
  <c r="AV585" i="3" s="1"/>
  <c r="AV1454" i="3"/>
  <c r="AV614" i="3" s="1"/>
  <c r="Q1440" i="3"/>
  <c r="Q600" i="3" s="1"/>
  <c r="U1452" i="3"/>
  <c r="U612" i="3" s="1"/>
  <c r="Y1457" i="3"/>
  <c r="Y617" i="3" s="1"/>
  <c r="Y1443" i="3"/>
  <c r="Y603" i="3" s="1"/>
  <c r="Y1452" i="3"/>
  <c r="Y1454" i="3"/>
  <c r="Y614" i="3" s="1"/>
  <c r="AC1425" i="3"/>
  <c r="AC585" i="3" s="1"/>
  <c r="AC1450" i="3"/>
  <c r="AC610" i="3" s="1"/>
  <c r="AO1428" i="3"/>
  <c r="AO588" i="3" s="1"/>
  <c r="AO1451" i="3"/>
  <c r="AO611" i="3" s="1"/>
  <c r="AS1442" i="3"/>
  <c r="AS602" i="3" s="1"/>
  <c r="AW1455" i="3"/>
  <c r="AW1446" i="3"/>
  <c r="AW606" i="3" s="1"/>
  <c r="AE76" i="3"/>
  <c r="AE1453" i="3"/>
  <c r="AE613" i="3" s="1"/>
  <c r="AE1426" i="3"/>
  <c r="AE586" i="3" s="1"/>
  <c r="P1452" i="3"/>
  <c r="P612" i="3" s="1"/>
  <c r="AB1397" i="3"/>
  <c r="AB557" i="3" s="1"/>
  <c r="AD1414" i="3"/>
  <c r="AD574" i="3" s="1"/>
  <c r="AH1417" i="3"/>
  <c r="AH577" i="3" s="1"/>
  <c r="AH1187" i="3"/>
  <c r="AH347" i="3" s="1"/>
  <c r="AH1411" i="3"/>
  <c r="AH571" i="3" s="1"/>
  <c r="AP1395" i="3"/>
  <c r="AP1187" i="3"/>
  <c r="AP347" i="3" s="1"/>
  <c r="AT1418" i="3"/>
  <c r="AX1417" i="3"/>
  <c r="AX577" i="3" s="1"/>
  <c r="AR1411" i="3"/>
  <c r="AR571" i="3" s="1"/>
  <c r="AR1367" i="3"/>
  <c r="AR527" i="3" s="1"/>
  <c r="AR1195" i="3"/>
  <c r="AR355" i="3" s="1"/>
  <c r="AK1292" i="3"/>
  <c r="AK452" i="3" s="1"/>
  <c r="AK1228" i="3"/>
  <c r="AK388" i="3" s="1"/>
  <c r="AK1335" i="3"/>
  <c r="AK495" i="3" s="1"/>
  <c r="AK1271" i="3"/>
  <c r="AK431" i="3" s="1"/>
  <c r="AK1385" i="3"/>
  <c r="AK545" i="3" s="1"/>
  <c r="AK1367" i="3"/>
  <c r="AK527" i="3" s="1"/>
  <c r="AK1306" i="3"/>
  <c r="AK466" i="3" s="1"/>
  <c r="AK1242" i="3"/>
  <c r="AK402" i="3" s="1"/>
  <c r="AK1333" i="3"/>
  <c r="AK493" i="3" s="1"/>
  <c r="AK1269" i="3"/>
  <c r="AK429" i="3" s="1"/>
  <c r="AO1347" i="3"/>
  <c r="AO507" i="3" s="1"/>
  <c r="AO1283" i="3"/>
  <c r="AO443" i="3" s="1"/>
  <c r="AO1219" i="3"/>
  <c r="AO379" i="3" s="1"/>
  <c r="AO1362" i="3"/>
  <c r="AO522" i="3" s="1"/>
  <c r="AO1294" i="3"/>
  <c r="AO454" i="3" s="1"/>
  <c r="AO1230" i="3"/>
  <c r="AO390" i="3" s="1"/>
  <c r="AO1417" i="3"/>
  <c r="AO577" i="3" s="1"/>
  <c r="AO1317" i="3"/>
  <c r="AO477" i="3" s="1"/>
  <c r="AO1253" i="3"/>
  <c r="AO1416" i="3"/>
  <c r="AO576" i="3" s="1"/>
  <c r="AO1344" i="3"/>
  <c r="AO504" i="3" s="1"/>
  <c r="AO1292" i="3"/>
  <c r="AO452" i="3" s="1"/>
  <c r="AO1304" i="3"/>
  <c r="AO464" i="3" s="1"/>
  <c r="AS1411" i="3"/>
  <c r="AS571" i="3" s="1"/>
  <c r="AS1328" i="3"/>
  <c r="AS488" i="3" s="1"/>
  <c r="AS1264" i="3"/>
  <c r="AS424" i="3" s="1"/>
  <c r="AS1200" i="3"/>
  <c r="AS360" i="3" s="1"/>
  <c r="AS1329" i="3"/>
  <c r="AS489" i="3" s="1"/>
  <c r="AS1265" i="3"/>
  <c r="AS425" i="3" s="1"/>
  <c r="AS1201" i="3"/>
  <c r="AS361" i="3" s="1"/>
  <c r="AS1357" i="3"/>
  <c r="AS517" i="3" s="1"/>
  <c r="AS1414" i="3"/>
  <c r="AS574" i="3" s="1"/>
  <c r="AS1295" i="3"/>
  <c r="AS455" i="3" s="1"/>
  <c r="AS1211" i="3"/>
  <c r="AS371" i="3" s="1"/>
  <c r="AS1338" i="3"/>
  <c r="AS498" i="3" s="1"/>
  <c r="AS1274" i="3"/>
  <c r="AS434" i="3" s="1"/>
  <c r="AS1210" i="3"/>
  <c r="AS370" i="3" s="1"/>
  <c r="AS1190" i="3"/>
  <c r="AS350" i="3" s="1"/>
  <c r="AW1417" i="3"/>
  <c r="AW577" i="3" s="1"/>
  <c r="AW1321" i="3"/>
  <c r="AW481" i="3" s="1"/>
  <c r="AW1257" i="3"/>
  <c r="AW1412" i="3"/>
  <c r="AW572" i="3" s="1"/>
  <c r="AW1336" i="3"/>
  <c r="AW496" i="3" s="1"/>
  <c r="AW1272" i="3"/>
  <c r="AW432" i="3" s="1"/>
  <c r="AW1201" i="3"/>
  <c r="AW361" i="3" s="1"/>
  <c r="AW1239" i="3"/>
  <c r="AW399" i="3" s="1"/>
  <c r="AW1346" i="3"/>
  <c r="AW506" i="3" s="1"/>
  <c r="AW1282" i="3"/>
  <c r="AW442" i="3" s="1"/>
  <c r="AW1410" i="3"/>
  <c r="AW570" i="3" s="1"/>
  <c r="S1263" i="3"/>
  <c r="S423" i="3" s="1"/>
  <c r="S1292" i="3"/>
  <c r="S452" i="3" s="1"/>
  <c r="S1378" i="3"/>
  <c r="S538" i="3" s="1"/>
  <c r="W1305" i="3"/>
  <c r="W465" i="3" s="1"/>
  <c r="W1241" i="3"/>
  <c r="W401" i="3" s="1"/>
  <c r="W1335" i="3"/>
  <c r="W495" i="3" s="1"/>
  <c r="W1214" i="3"/>
  <c r="W374" i="3" s="1"/>
  <c r="AA1328" i="3"/>
  <c r="AA488" i="3" s="1"/>
  <c r="AA1395" i="3"/>
  <c r="AA555" i="3" s="1"/>
  <c r="AA1358" i="3"/>
  <c r="AA518" i="3" s="1"/>
  <c r="AA1307" i="3"/>
  <c r="AA467" i="3" s="1"/>
  <c r="AA1194" i="3"/>
  <c r="AA354" i="3" s="1"/>
  <c r="AE1249" i="3"/>
  <c r="AE409" i="3" s="1"/>
  <c r="AE1312" i="3"/>
  <c r="AE472" i="3" s="1"/>
  <c r="AE1280" i="3"/>
  <c r="AE440" i="3" s="1"/>
  <c r="AE1248" i="3"/>
  <c r="AE408" i="3" s="1"/>
  <c r="AE1423" i="3"/>
  <c r="AE583" i="3" s="1"/>
  <c r="AE1295" i="3"/>
  <c r="AE455" i="3" s="1"/>
  <c r="AE1231" i="3"/>
  <c r="AE391" i="3" s="1"/>
  <c r="AE1414" i="3"/>
  <c r="AE574" i="3" s="1"/>
  <c r="AE1306" i="3"/>
  <c r="AE466" i="3" s="1"/>
  <c r="AE1242" i="3"/>
  <c r="AE402" i="3" s="1"/>
  <c r="AE1395" i="3"/>
  <c r="AE555" i="3" s="1"/>
  <c r="AI1405" i="3"/>
  <c r="AI565" i="3" s="1"/>
  <c r="AI1368" i="3"/>
  <c r="AI1350" i="3"/>
  <c r="AI510" i="3" s="1"/>
  <c r="AI1286" i="3"/>
  <c r="AI446" i="3" s="1"/>
  <c r="AI1222" i="3"/>
  <c r="AI382" i="3" s="1"/>
  <c r="AI1387" i="3"/>
  <c r="AI547" i="3" s="1"/>
  <c r="AM1413" i="3"/>
  <c r="AM573" i="3" s="1"/>
  <c r="AM1293" i="3"/>
  <c r="AM453" i="3" s="1"/>
  <c r="AM1229" i="3"/>
  <c r="AM389" i="3" s="1"/>
  <c r="AM1412" i="3"/>
  <c r="AM572" i="3" s="1"/>
  <c r="AM1344" i="3"/>
  <c r="AM504" i="3" s="1"/>
  <c r="AM1280" i="3"/>
  <c r="AM440" i="3" s="1"/>
  <c r="AM1216" i="3"/>
  <c r="AM1383" i="3"/>
  <c r="AM543" i="3" s="1"/>
  <c r="AM1331" i="3"/>
  <c r="AM491" i="3" s="1"/>
  <c r="AM1267" i="3"/>
  <c r="AM427" i="3" s="1"/>
  <c r="AM1191" i="3"/>
  <c r="AM1203" i="3"/>
  <c r="AM363" i="3" s="1"/>
  <c r="AQ1320" i="3"/>
  <c r="AQ480" i="3" s="1"/>
  <c r="AQ1256" i="3"/>
  <c r="AQ1192" i="3"/>
  <c r="AQ1329" i="3"/>
  <c r="AQ489" i="3" s="1"/>
  <c r="AQ1265" i="3"/>
  <c r="AQ425" i="3" s="1"/>
  <c r="AQ1201" i="3"/>
  <c r="AQ361" i="3" s="1"/>
  <c r="AQ1397" i="3"/>
  <c r="AQ557" i="3" s="1"/>
  <c r="AQ1386" i="3"/>
  <c r="AQ546" i="3" s="1"/>
  <c r="AQ1311" i="3"/>
  <c r="AQ471" i="3" s="1"/>
  <c r="AQ1418" i="3"/>
  <c r="AQ578" i="3" s="1"/>
  <c r="AQ1298" i="3"/>
  <c r="AQ458" i="3" s="1"/>
  <c r="AQ1258" i="3"/>
  <c r="AQ418" i="3" s="1"/>
  <c r="AQ1262" i="3"/>
  <c r="AQ422" i="3" s="1"/>
  <c r="AQ1290" i="3"/>
  <c r="AQ450" i="3" s="1"/>
  <c r="AU1339" i="3"/>
  <c r="AU499" i="3" s="1"/>
  <c r="AU1275" i="3"/>
  <c r="AU435" i="3" s="1"/>
  <c r="AU1211" i="3"/>
  <c r="AU1390" i="3"/>
  <c r="AU550" i="3" s="1"/>
  <c r="AU1326" i="3"/>
  <c r="AU486" i="3" s="1"/>
  <c r="AU1262" i="3"/>
  <c r="AU422" i="3" s="1"/>
  <c r="AU1198" i="3"/>
  <c r="AU358" i="3" s="1"/>
  <c r="AU1345" i="3"/>
  <c r="AU505" i="3" s="1"/>
  <c r="AU1281" i="3"/>
  <c r="AU441" i="3" s="1"/>
  <c r="AU1217" i="3"/>
  <c r="AU1348" i="3"/>
  <c r="AU508" i="3" s="1"/>
  <c r="AU1284" i="3"/>
  <c r="AU444" i="3" s="1"/>
  <c r="AU1220" i="3"/>
  <c r="AU380" i="3" s="1"/>
  <c r="AU1197" i="3"/>
  <c r="AU357" i="3" s="1"/>
  <c r="AB1320" i="3"/>
  <c r="AB480" i="3" s="1"/>
  <c r="AB1212" i="3"/>
  <c r="AB372" i="3" s="1"/>
  <c r="AB1399" i="3"/>
  <c r="AB1396" i="3"/>
  <c r="AB556" i="3" s="1"/>
  <c r="R1360" i="3"/>
  <c r="R520" i="3" s="1"/>
  <c r="R1397" i="3"/>
  <c r="R557" i="3" s="1"/>
  <c r="R1396" i="3"/>
  <c r="R556" i="3" s="1"/>
  <c r="R1204" i="3"/>
  <c r="R364" i="3" s="1"/>
  <c r="R1320" i="3"/>
  <c r="R480" i="3" s="1"/>
  <c r="V1357" i="3"/>
  <c r="V1281" i="3"/>
  <c r="V441" i="3" s="1"/>
  <c r="V1272" i="3"/>
  <c r="V432" i="3" s="1"/>
  <c r="V1188" i="3"/>
  <c r="V348" i="3" s="1"/>
  <c r="V1293" i="3"/>
  <c r="V453" i="3" s="1"/>
  <c r="V1375" i="3"/>
  <c r="V535" i="3" s="1"/>
  <c r="V1214" i="3"/>
  <c r="V374" i="3" s="1"/>
  <c r="V1318" i="3"/>
  <c r="V478" i="3" s="1"/>
  <c r="Z1309" i="3"/>
  <c r="Z469" i="3" s="1"/>
  <c r="Z1308" i="3"/>
  <c r="Z1241" i="3"/>
  <c r="Z401" i="3" s="1"/>
  <c r="Z1388" i="3"/>
  <c r="Z548" i="3" s="1"/>
  <c r="Z1350" i="3"/>
  <c r="Z510" i="3" s="1"/>
  <c r="Z1251" i="3"/>
  <c r="Z411" i="3" s="1"/>
  <c r="Z1414" i="3"/>
  <c r="Z574" i="3" s="1"/>
  <c r="Z1299" i="3"/>
  <c r="Z459" i="3" s="1"/>
  <c r="Z1326" i="3"/>
  <c r="Z486" i="3" s="1"/>
  <c r="Z1319" i="3"/>
  <c r="Z479" i="3" s="1"/>
  <c r="AD1249" i="3"/>
  <c r="AD409" i="3" s="1"/>
  <c r="AD1212" i="3"/>
  <c r="AD372" i="3" s="1"/>
  <c r="AD1360" i="3"/>
  <c r="AD520" i="3" s="1"/>
  <c r="AD1214" i="3"/>
  <c r="AD374" i="3" s="1"/>
  <c r="AD1335" i="3"/>
  <c r="AD495" i="3" s="1"/>
  <c r="AD1310" i="3"/>
  <c r="AD470" i="3" s="1"/>
  <c r="AD1247" i="3"/>
  <c r="AD407" i="3" s="1"/>
  <c r="AD1402" i="3"/>
  <c r="AH1413" i="3"/>
  <c r="AH573" i="3" s="1"/>
  <c r="AH1277" i="3"/>
  <c r="AH437" i="3" s="1"/>
  <c r="AH1328" i="3"/>
  <c r="AH488" i="3" s="1"/>
  <c r="AH1389" i="3"/>
  <c r="AH549" i="3" s="1"/>
  <c r="AH1348" i="3"/>
  <c r="AH508" i="3" s="1"/>
  <c r="AH1231" i="3"/>
  <c r="AH391" i="3" s="1"/>
  <c r="AH1311" i="3"/>
  <c r="AH471" i="3" s="1"/>
  <c r="AH1343" i="3"/>
  <c r="AH503" i="3" s="1"/>
  <c r="AH1395" i="3"/>
  <c r="AH555" i="3" s="1"/>
  <c r="AH1281" i="3"/>
  <c r="AH441" i="3" s="1"/>
  <c r="AH1213" i="3"/>
  <c r="AH373" i="3" s="1"/>
  <c r="AH1264" i="3"/>
  <c r="AH1242" i="3"/>
  <c r="AH402" i="3" s="1"/>
  <c r="AH1260" i="3"/>
  <c r="AH420" i="3" s="1"/>
  <c r="AH1422" i="3"/>
  <c r="AH582" i="3" s="1"/>
  <c r="AH1282" i="3"/>
  <c r="AH442" i="3" s="1"/>
  <c r="AL1360" i="3"/>
  <c r="AL520" i="3" s="1"/>
  <c r="AL1397" i="3"/>
  <c r="V1408" i="3"/>
  <c r="V568" i="3" s="1"/>
  <c r="V1303" i="3"/>
  <c r="V463" i="3" s="1"/>
  <c r="V1290" i="3"/>
  <c r="V450" i="3" s="1"/>
  <c r="V1328" i="3"/>
  <c r="V488" i="3" s="1"/>
  <c r="V1378" i="3"/>
  <c r="V538" i="3" s="1"/>
  <c r="V1239" i="3"/>
  <c r="V399" i="3" s="1"/>
  <c r="Z1412" i="3"/>
  <c r="Z572" i="3" s="1"/>
  <c r="Z1345" i="3"/>
  <c r="Z505" i="3" s="1"/>
  <c r="Z1284" i="3"/>
  <c r="Z444" i="3" s="1"/>
  <c r="Z1401" i="3"/>
  <c r="Z1233" i="3"/>
  <c r="Z393" i="3" s="1"/>
  <c r="Z1400" i="3"/>
  <c r="Z560" i="3" s="1"/>
  <c r="Z1375" i="3"/>
  <c r="Z535" i="3" s="1"/>
  <c r="Z1259" i="3"/>
  <c r="Z419" i="3" s="1"/>
  <c r="Z1214" i="3"/>
  <c r="Z374" i="3" s="1"/>
  <c r="Z1282" i="3"/>
  <c r="Z442" i="3" s="1"/>
  <c r="AD1409" i="3"/>
  <c r="AD569" i="3" s="1"/>
  <c r="AD1241" i="3"/>
  <c r="AD1378" i="3"/>
  <c r="AD538" i="3" s="1"/>
  <c r="AD1319" i="3"/>
  <c r="AD479" i="3" s="1"/>
  <c r="AD1286" i="3"/>
  <c r="AD446" i="3" s="1"/>
  <c r="AD1315" i="3"/>
  <c r="AD475" i="3" s="1"/>
  <c r="AD1334" i="3"/>
  <c r="AD494" i="3" s="1"/>
  <c r="AH1361" i="3"/>
  <c r="AH1344" i="3"/>
  <c r="AH504" i="3" s="1"/>
  <c r="AH1423" i="3"/>
  <c r="AH583" i="3" s="1"/>
  <c r="AH1325" i="3"/>
  <c r="AH485" i="3" s="1"/>
  <c r="AH1239" i="3"/>
  <c r="AH399" i="3" s="1"/>
  <c r="AH1287" i="3"/>
  <c r="AH447" i="3" s="1"/>
  <c r="AH1269" i="3"/>
  <c r="AH429" i="3" s="1"/>
  <c r="AH1234" i="3"/>
  <c r="AH1228" i="3"/>
  <c r="AH388" i="3" s="1"/>
  <c r="AH1204" i="3"/>
  <c r="AH364" i="3" s="1"/>
  <c r="AL1297" i="3"/>
  <c r="AL457" i="3" s="1"/>
  <c r="AL1221" i="3"/>
  <c r="AL381" i="3" s="1"/>
  <c r="AL1384" i="3"/>
  <c r="AL544" i="3" s="1"/>
  <c r="AL1212" i="3"/>
  <c r="AL372" i="3" s="1"/>
  <c r="AL1406" i="3"/>
  <c r="AL566" i="3" s="1"/>
  <c r="AL1274" i="3"/>
  <c r="AL434" i="3" s="1"/>
  <c r="AL1380" i="3"/>
  <c r="AL540" i="3" s="1"/>
  <c r="AL1242" i="3"/>
  <c r="AL1285" i="3"/>
  <c r="AL445" i="3" s="1"/>
  <c r="AL1414" i="3"/>
  <c r="AL574" i="3" s="1"/>
  <c r="AL1330" i="3"/>
  <c r="AL490" i="3" s="1"/>
  <c r="AL1370" i="3"/>
  <c r="AL530" i="3" s="1"/>
  <c r="AP1301" i="3"/>
  <c r="AP461" i="3" s="1"/>
  <c r="AP1288" i="3"/>
  <c r="AP448" i="3" s="1"/>
  <c r="AP1327" i="3"/>
  <c r="AP487" i="3" s="1"/>
  <c r="AP1256" i="3"/>
  <c r="AP1192" i="3"/>
  <c r="AP352" i="3" s="1"/>
  <c r="AP1239" i="3"/>
  <c r="AP399" i="3" s="1"/>
  <c r="AP1418" i="3"/>
  <c r="AP578" i="3" s="1"/>
  <c r="AP1299" i="3"/>
  <c r="AP459" i="3" s="1"/>
  <c r="AP1286" i="3"/>
  <c r="AP446" i="3" s="1"/>
  <c r="AP1271" i="3"/>
  <c r="AP431" i="3" s="1"/>
  <c r="AP1186" i="3"/>
  <c r="AP346" i="3" s="1"/>
  <c r="AT1273" i="3"/>
  <c r="AT1264" i="3"/>
  <c r="AT424" i="3" s="1"/>
  <c r="AT1200" i="3"/>
  <c r="AT360" i="3" s="1"/>
  <c r="AT1375" i="3"/>
  <c r="AT535" i="3" s="1"/>
  <c r="AT1214" i="3"/>
  <c r="AT374" i="3" s="1"/>
  <c r="AT1417" i="3"/>
  <c r="AT577" i="3" s="1"/>
  <c r="AT1344" i="3"/>
  <c r="AT504" i="3" s="1"/>
  <c r="AT1423" i="3"/>
  <c r="AT1283" i="3"/>
  <c r="AT443" i="3" s="1"/>
  <c r="AT1286" i="3"/>
  <c r="AT446" i="3" s="1"/>
  <c r="AT1362" i="3"/>
  <c r="AT522" i="3" s="1"/>
  <c r="AT1219" i="3"/>
  <c r="AT379" i="3" s="1"/>
  <c r="AX1321" i="3"/>
  <c r="AX481" i="3" s="1"/>
  <c r="AX1304" i="3"/>
  <c r="AX464" i="3" s="1"/>
  <c r="AX1385" i="3"/>
  <c r="AX545" i="3" s="1"/>
  <c r="AX1211" i="3"/>
  <c r="AX371" i="3" s="1"/>
  <c r="AX1398" i="3"/>
  <c r="AX558" i="3" s="1"/>
  <c r="AX1397" i="3"/>
  <c r="AX557" i="3" s="1"/>
  <c r="AX1424" i="3"/>
  <c r="AX584" i="3" s="1"/>
  <c r="AX1407" i="3"/>
  <c r="AX567" i="3" s="1"/>
  <c r="AX1354" i="3"/>
  <c r="AX514" i="3" s="1"/>
  <c r="AX1298" i="3"/>
  <c r="AX458" i="3" s="1"/>
  <c r="P1289" i="3"/>
  <c r="P449" i="3" s="1"/>
  <c r="P1401" i="3"/>
  <c r="P561" i="3" s="1"/>
  <c r="P1203" i="3"/>
  <c r="P363" i="3" s="1"/>
  <c r="T1276" i="3"/>
  <c r="T436" i="3" s="1"/>
  <c r="T1283" i="3"/>
  <c r="T443" i="3" s="1"/>
  <c r="T1376" i="3"/>
  <c r="T536" i="3" s="1"/>
  <c r="T1201" i="3"/>
  <c r="T361" i="3" s="1"/>
  <c r="X1388" i="3"/>
  <c r="X548" i="3" s="1"/>
  <c r="AN1412" i="3"/>
  <c r="AN572" i="3" s="1"/>
  <c r="AN1415" i="3"/>
  <c r="AN575" i="3" s="1"/>
  <c r="AN1274" i="3"/>
  <c r="AR1280" i="3"/>
  <c r="AR440" i="3" s="1"/>
  <c r="AR409" i="3"/>
  <c r="AR1272" i="3"/>
  <c r="AR432" i="3" s="1"/>
  <c r="AR1306" i="3"/>
  <c r="AR466" i="3" s="1"/>
  <c r="AV1261" i="3"/>
  <c r="AV421" i="3" s="1"/>
  <c r="AV1197" i="3"/>
  <c r="AV357" i="3" s="1"/>
  <c r="AV1300" i="3"/>
  <c r="AV460" i="3" s="1"/>
  <c r="AV1362" i="3"/>
  <c r="AV522" i="3" s="1"/>
  <c r="AV1324" i="3"/>
  <c r="AV484" i="3" s="1"/>
  <c r="AV1419" i="3"/>
  <c r="AV579" i="3" s="1"/>
  <c r="AV1408" i="3"/>
  <c r="AV568" i="3" s="1"/>
  <c r="AV1367" i="3"/>
  <c r="AV527" i="3" s="1"/>
  <c r="AV1227" i="3"/>
  <c r="AV387" i="3" s="1"/>
  <c r="AV1306" i="3"/>
  <c r="AV466" i="3" s="1"/>
  <c r="AV1234" i="3"/>
  <c r="AV394" i="3" s="1"/>
  <c r="AV1268" i="3"/>
  <c r="AV428" i="3" s="1"/>
  <c r="Q1396" i="3"/>
  <c r="Q556" i="3" s="1"/>
  <c r="Q1304" i="3"/>
  <c r="Q464" i="3" s="1"/>
  <c r="Q1224" i="3"/>
  <c r="Q384" i="3" s="1"/>
  <c r="Q1355" i="3"/>
  <c r="Q515" i="3" s="1"/>
  <c r="Q1402" i="3"/>
  <c r="Q1231" i="3"/>
  <c r="Q1306" i="3"/>
  <c r="Q466" i="3" s="1"/>
  <c r="Q1242" i="3"/>
  <c r="Q402" i="3" s="1"/>
  <c r="Q1335" i="3"/>
  <c r="Q495" i="3" s="1"/>
  <c r="U1396" i="3"/>
  <c r="U556" i="3" s="1"/>
  <c r="U1377" i="3"/>
  <c r="U537" i="3" s="1"/>
  <c r="U1305" i="3"/>
  <c r="U465" i="3" s="1"/>
  <c r="U1241" i="3"/>
  <c r="U401" i="3" s="1"/>
  <c r="U1355" i="3"/>
  <c r="U515" i="3" s="1"/>
  <c r="U1302" i="3"/>
  <c r="U462" i="3" s="1"/>
  <c r="U1348" i="3"/>
  <c r="U1291" i="3"/>
  <c r="U451" i="3" s="1"/>
  <c r="Y1325" i="3"/>
  <c r="Y485" i="3" s="1"/>
  <c r="Y1213" i="3"/>
  <c r="Y373" i="3" s="1"/>
  <c r="Y1320" i="3"/>
  <c r="Y480" i="3" s="1"/>
  <c r="Y1240" i="3"/>
  <c r="Y400" i="3" s="1"/>
  <c r="Y1291" i="3"/>
  <c r="Y451" i="3" s="1"/>
  <c r="Y1190" i="3"/>
  <c r="Y350" i="3" s="1"/>
  <c r="AC1325" i="3"/>
  <c r="AC485" i="3" s="1"/>
  <c r="AC1213" i="3"/>
  <c r="AC373" i="3" s="1"/>
  <c r="AC1411" i="3"/>
  <c r="AC571" i="3" s="1"/>
  <c r="AC1248" i="3"/>
  <c r="AC408" i="3" s="1"/>
  <c r="AC1335" i="3"/>
  <c r="AC495" i="3" s="1"/>
  <c r="AC1239" i="3"/>
  <c r="AC399" i="3" s="1"/>
  <c r="AC1318" i="3"/>
  <c r="AC478" i="3" s="1"/>
  <c r="AC1222" i="3"/>
  <c r="AC382" i="3" s="1"/>
  <c r="AG1403" i="3"/>
  <c r="AG1305" i="3"/>
  <c r="AG465" i="3" s="1"/>
  <c r="AG1241" i="3"/>
  <c r="AG401" i="3" s="1"/>
  <c r="AG1316" i="3"/>
  <c r="AG476" i="3" s="1"/>
  <c r="AG1252" i="3"/>
  <c r="AG412" i="3" s="1"/>
  <c r="AG1188" i="3"/>
  <c r="AG348" i="3" s="1"/>
  <c r="AG1195" i="3"/>
  <c r="AG355" i="3" s="1"/>
  <c r="AG1343" i="3"/>
  <c r="AG503" i="3" s="1"/>
  <c r="AG1279" i="3"/>
  <c r="AG439" i="3" s="1"/>
  <c r="AG1231" i="3"/>
  <c r="AG391" i="3" s="1"/>
  <c r="AG1354" i="3"/>
  <c r="AG514" i="3" s="1"/>
  <c r="AG1290" i="3"/>
  <c r="AG450" i="3" s="1"/>
  <c r="AG1226" i="3"/>
  <c r="AG386" i="3" s="1"/>
  <c r="AG1362" i="3"/>
  <c r="AG522" i="3" s="1"/>
  <c r="AK1344" i="3"/>
  <c r="AK504" i="3" s="1"/>
  <c r="AK1280" i="3"/>
  <c r="AK440" i="3" s="1"/>
  <c r="AK1216" i="3"/>
  <c r="AK1323" i="3"/>
  <c r="AK483" i="3" s="1"/>
  <c r="AK1259" i="3"/>
  <c r="AK419" i="3" s="1"/>
  <c r="AK1358" i="3"/>
  <c r="AK518" i="3" s="1"/>
  <c r="AK1294" i="3"/>
  <c r="AK454" i="3" s="1"/>
  <c r="AK1230" i="3"/>
  <c r="AK390" i="3" s="1"/>
  <c r="AK1321" i="3"/>
  <c r="AK481" i="3" s="1"/>
  <c r="AK1257" i="3"/>
  <c r="AK417" i="3" s="1"/>
  <c r="AK1193" i="3"/>
  <c r="AK1370" i="3"/>
  <c r="AK530" i="3" s="1"/>
  <c r="AO1381" i="3"/>
  <c r="AO541" i="3" s="1"/>
  <c r="AO1351" i="3"/>
  <c r="AO511" i="3" s="1"/>
  <c r="AO1287" i="3"/>
  <c r="AO447" i="3" s="1"/>
  <c r="AO1223" i="3"/>
  <c r="AO383" i="3" s="1"/>
  <c r="AO1298" i="3"/>
  <c r="AO458" i="3" s="1"/>
  <c r="AO1234" i="3"/>
  <c r="AO394" i="3" s="1"/>
  <c r="AO1257" i="3"/>
  <c r="AO417" i="3" s="1"/>
  <c r="AO1414" i="3"/>
  <c r="AO574" i="3" s="1"/>
  <c r="AO1308" i="3"/>
  <c r="AO468" i="3" s="1"/>
  <c r="AO1378" i="3"/>
  <c r="AO538" i="3" s="1"/>
  <c r="AS1419" i="3"/>
  <c r="AS579" i="3" s="1"/>
  <c r="AS1348" i="3"/>
  <c r="AS508" i="3" s="1"/>
  <c r="AS1284" i="3"/>
  <c r="AS444" i="3" s="1"/>
  <c r="AS1188" i="3"/>
  <c r="AS348" i="3" s="1"/>
  <c r="AS1389" i="3"/>
  <c r="AS549" i="3" s="1"/>
  <c r="AS1388" i="3"/>
  <c r="AS548" i="3" s="1"/>
  <c r="AS1370" i="3"/>
  <c r="AS530" i="3" s="1"/>
  <c r="AS1247" i="3"/>
  <c r="AS407" i="3" s="1"/>
  <c r="AS1422" i="3"/>
  <c r="AS582" i="3" s="1"/>
  <c r="AS1310" i="3"/>
  <c r="AS470" i="3" s="1"/>
  <c r="AS1315" i="3"/>
  <c r="AS475" i="3" s="1"/>
  <c r="AW1361" i="3"/>
  <c r="AW521" i="3" s="1"/>
  <c r="AW1357" i="3"/>
  <c r="AW517" i="3" s="1"/>
  <c r="AW1293" i="3"/>
  <c r="AW453" i="3" s="1"/>
  <c r="AW1229" i="3"/>
  <c r="AW389" i="3" s="1"/>
  <c r="AW1376" i="3"/>
  <c r="AW536" i="3" s="1"/>
  <c r="AW1443" i="3"/>
  <c r="AW603" i="3" s="1"/>
  <c r="AW1375" i="3"/>
  <c r="AW535" i="3" s="1"/>
  <c r="AW1299" i="3"/>
  <c r="AW459" i="3" s="1"/>
  <c r="AW1211" i="3"/>
  <c r="AW371" i="3" s="1"/>
  <c r="AW1334" i="3"/>
  <c r="AW494" i="3" s="1"/>
  <c r="AW1270" i="3"/>
  <c r="AW430" i="3" s="1"/>
  <c r="AW1287" i="3"/>
  <c r="AW447" i="3" s="1"/>
  <c r="S1408" i="3"/>
  <c r="S568" i="3" s="1"/>
  <c r="S1346" i="3"/>
  <c r="S506" i="3" s="1"/>
  <c r="S1349" i="3"/>
  <c r="S509" i="3" s="1"/>
  <c r="S1285" i="3"/>
  <c r="S445" i="3" s="1"/>
  <c r="S1356" i="3"/>
  <c r="S516" i="3" s="1"/>
  <c r="S1299" i="3"/>
  <c r="S1203" i="3"/>
  <c r="S363" i="3" s="1"/>
  <c r="S1388" i="3"/>
  <c r="S548" i="3" s="1"/>
  <c r="S1300" i="3"/>
  <c r="S460" i="3" s="1"/>
  <c r="S1328" i="3"/>
  <c r="S488" i="3" s="1"/>
  <c r="S1442" i="3"/>
  <c r="S602" i="3" s="1"/>
  <c r="W1439" i="3"/>
  <c r="W599" i="3" s="1"/>
  <c r="W1389" i="3"/>
  <c r="W549" i="3" s="1"/>
  <c r="W1293" i="3"/>
  <c r="W1248" i="3"/>
  <c r="W408" i="3" s="1"/>
  <c r="W1449" i="3"/>
  <c r="W609" i="3" s="1"/>
  <c r="W1380" i="3"/>
  <c r="W540" i="3" s="1"/>
  <c r="W1440" i="3"/>
  <c r="W600" i="3" s="1"/>
  <c r="W1203" i="3"/>
  <c r="W363" i="3" s="1"/>
  <c r="W1234" i="3"/>
  <c r="W394" i="3" s="1"/>
  <c r="W1362" i="3"/>
  <c r="W522" i="3" s="1"/>
  <c r="W1450" i="3"/>
  <c r="W610" i="3" s="1"/>
  <c r="AA1369" i="3"/>
  <c r="AA529" i="3" s="1"/>
  <c r="AA1301" i="3"/>
  <c r="AA461" i="3" s="1"/>
  <c r="AA1189" i="3"/>
  <c r="AA349" i="3" s="1"/>
  <c r="AA1188" i="3"/>
  <c r="AA1262" i="3"/>
  <c r="AA422" i="3" s="1"/>
  <c r="AA1239" i="3"/>
  <c r="AA399" i="3" s="1"/>
  <c r="AE1440" i="3"/>
  <c r="AE600" i="3" s="1"/>
  <c r="AE1408" i="3"/>
  <c r="AE568" i="3" s="1"/>
  <c r="AE1421" i="3"/>
  <c r="AE1301" i="3"/>
  <c r="AE461" i="3" s="1"/>
  <c r="AE1348" i="3"/>
  <c r="AE508" i="3" s="1"/>
  <c r="AE1284" i="3"/>
  <c r="AE444" i="3" s="1"/>
  <c r="AE1267" i="3"/>
  <c r="AE427" i="3" s="1"/>
  <c r="AE1203" i="3"/>
  <c r="AE363" i="3" s="1"/>
  <c r="AE1326" i="3"/>
  <c r="AE486" i="3" s="1"/>
  <c r="AE1262" i="3"/>
  <c r="AE422" i="3" s="1"/>
  <c r="AI1409" i="3"/>
  <c r="AI569" i="3" s="1"/>
  <c r="AI1437" i="3"/>
  <c r="AI597" i="3" s="1"/>
  <c r="AI1454" i="3"/>
  <c r="AI614" i="3" s="1"/>
  <c r="AI1349" i="3"/>
  <c r="AI509" i="3" s="1"/>
  <c r="AI1221" i="3"/>
  <c r="AM1249" i="3"/>
  <c r="AM409" i="3" s="1"/>
  <c r="AM1368" i="3"/>
  <c r="AM528" i="3" s="1"/>
  <c r="AM1300" i="3"/>
  <c r="AM460" i="3" s="1"/>
  <c r="AM1395" i="3"/>
  <c r="AM555" i="3" s="1"/>
  <c r="AM1351" i="3"/>
  <c r="AM511" i="3" s="1"/>
  <c r="AM1287" i="3"/>
  <c r="AM447" i="3" s="1"/>
  <c r="AM1450" i="3"/>
  <c r="AM610" i="3" s="1"/>
  <c r="AM1409" i="3"/>
  <c r="AM569" i="3" s="1"/>
  <c r="AM1326" i="3"/>
  <c r="AM486" i="3" s="1"/>
  <c r="AM1210" i="3"/>
  <c r="AM370" i="3" s="1"/>
  <c r="AQ1324" i="3"/>
  <c r="AQ484" i="3" s="1"/>
  <c r="AQ1260" i="3"/>
  <c r="AQ420" i="3" s="1"/>
  <c r="AQ1196" i="3"/>
  <c r="AQ1189" i="3"/>
  <c r="AQ349" i="3" s="1"/>
  <c r="AQ1403" i="3"/>
  <c r="AQ563" i="3" s="1"/>
  <c r="AQ1400" i="3"/>
  <c r="AQ560" i="3" s="1"/>
  <c r="AQ1351" i="3"/>
  <c r="AQ511" i="3" s="1"/>
  <c r="AQ1191" i="3"/>
  <c r="AQ1299" i="3"/>
  <c r="AQ459" i="3" s="1"/>
  <c r="AL1424" i="3"/>
  <c r="AL584" i="3" s="1"/>
  <c r="AL1407" i="3"/>
  <c r="AL567" i="3" s="1"/>
  <c r="AL1279" i="3"/>
  <c r="AL439" i="3" s="1"/>
  <c r="AL1342" i="3"/>
  <c r="AL502" i="3" s="1"/>
  <c r="AL1234" i="3"/>
  <c r="AL394" i="3" s="1"/>
  <c r="AL1301" i="3"/>
  <c r="AL461" i="3" s="1"/>
  <c r="AL1308" i="3"/>
  <c r="AL468" i="3" s="1"/>
  <c r="AP1380" i="3"/>
  <c r="AP540" i="3" s="1"/>
  <c r="AP1357" i="3"/>
  <c r="AP517" i="3" s="1"/>
  <c r="AP1340" i="3"/>
  <c r="AP500" i="3" s="1"/>
  <c r="AP1399" i="3"/>
  <c r="AP559" i="3" s="1"/>
  <c r="AP1330" i="3"/>
  <c r="AP490" i="3" s="1"/>
  <c r="AP1273" i="3"/>
  <c r="AP1209" i="3"/>
  <c r="AP369" i="3" s="1"/>
  <c r="AP1264" i="3"/>
  <c r="AP1200" i="3"/>
  <c r="AP360" i="3" s="1"/>
  <c r="AP1263" i="3"/>
  <c r="AP423" i="3" s="1"/>
  <c r="AP1199" i="3"/>
  <c r="AP359" i="3" s="1"/>
  <c r="AP1386" i="3"/>
  <c r="AP1310" i="3"/>
  <c r="AP470" i="3" s="1"/>
  <c r="AP1319" i="3"/>
  <c r="AP479" i="3" s="1"/>
  <c r="AP1266" i="3"/>
  <c r="AP426" i="3" s="1"/>
  <c r="AT1411" i="3"/>
  <c r="AT571" i="3" s="1"/>
  <c r="AT1377" i="3"/>
  <c r="AT537" i="3" s="1"/>
  <c r="AT1233" i="3"/>
  <c r="AT393" i="3" s="1"/>
  <c r="AT1240" i="3"/>
  <c r="AT400" i="3" s="1"/>
  <c r="AT1415" i="3"/>
  <c r="AT575" i="3" s="1"/>
  <c r="AT1359" i="3"/>
  <c r="AT519" i="3" s="1"/>
  <c r="AT1309" i="3"/>
  <c r="AT469" i="3" s="1"/>
  <c r="AT1420" i="3"/>
  <c r="AT580" i="3" s="1"/>
  <c r="AT1268" i="3"/>
  <c r="AT428" i="3" s="1"/>
  <c r="AT1291" i="3"/>
  <c r="AT451" i="3" s="1"/>
  <c r="AT1410" i="3"/>
  <c r="AT1278" i="3"/>
  <c r="AT438" i="3" s="1"/>
  <c r="AX1309" i="3"/>
  <c r="AX469" i="3" s="1"/>
  <c r="AX1420" i="3"/>
  <c r="AX580" i="3" s="1"/>
  <c r="AX1280" i="3"/>
  <c r="AX440" i="3" s="1"/>
  <c r="AX1375" i="3"/>
  <c r="AX535" i="3" s="1"/>
  <c r="AX1414" i="3"/>
  <c r="AX574" i="3" s="1"/>
  <c r="AX1269" i="3"/>
  <c r="AX429" i="3" s="1"/>
  <c r="AX1260" i="3"/>
  <c r="AX420" i="3" s="1"/>
  <c r="AX1196" i="3"/>
  <c r="AX356" i="3" s="1"/>
  <c r="AX1331" i="3"/>
  <c r="AX491" i="3" s="1"/>
  <c r="AX1336" i="3"/>
  <c r="AX496" i="3" s="1"/>
  <c r="AX1318" i="3"/>
  <c r="AX478" i="3" s="1"/>
  <c r="AX1222" i="3"/>
  <c r="AX382" i="3" s="1"/>
  <c r="AX1422" i="3"/>
  <c r="AX582" i="3" s="1"/>
  <c r="AX1322" i="3"/>
  <c r="AX482" i="3" s="1"/>
  <c r="P1281" i="3"/>
  <c r="P441" i="3" s="1"/>
  <c r="P1333" i="3"/>
  <c r="P493" i="3" s="1"/>
  <c r="P1337" i="3"/>
  <c r="P497" i="3" s="1"/>
  <c r="P1370" i="3"/>
  <c r="P530" i="3" s="1"/>
  <c r="P1408" i="3"/>
  <c r="P568" i="3" s="1"/>
  <c r="P1195" i="3"/>
  <c r="P355" i="3" s="1"/>
  <c r="P1202" i="3"/>
  <c r="P362" i="3" s="1"/>
  <c r="P1315" i="3"/>
  <c r="P475" i="3" s="1"/>
  <c r="T1224" i="3"/>
  <c r="T384" i="3" s="1"/>
  <c r="T1360" i="3"/>
  <c r="T520" i="3" s="1"/>
  <c r="T1348" i="3"/>
  <c r="T508" i="3" s="1"/>
  <c r="T1193" i="3"/>
  <c r="T353" i="3" s="1"/>
  <c r="T1289" i="3"/>
  <c r="T449" i="3" s="1"/>
  <c r="T1358" i="3"/>
  <c r="T518" i="3" s="1"/>
  <c r="T1186" i="3"/>
  <c r="T346" i="3" s="1"/>
  <c r="X1333" i="3"/>
  <c r="X493" i="3" s="1"/>
  <c r="X1395" i="3"/>
  <c r="X1285" i="3"/>
  <c r="X445" i="3" s="1"/>
  <c r="X1287" i="3"/>
  <c r="X447" i="3" s="1"/>
  <c r="X1286" i="3"/>
  <c r="X446" i="3" s="1"/>
  <c r="X1196" i="3"/>
  <c r="X356" i="3" s="1"/>
  <c r="X1319" i="3"/>
  <c r="X479" i="3" s="1"/>
  <c r="X1358" i="3"/>
  <c r="X518" i="3" s="1"/>
  <c r="X1288" i="3"/>
  <c r="X1382" i="3"/>
  <c r="X542" i="3" s="1"/>
  <c r="AF1381" i="3"/>
  <c r="AF541" i="3" s="1"/>
  <c r="AF1416" i="3"/>
  <c r="AF576" i="3" s="1"/>
  <c r="AF1240" i="3"/>
  <c r="AF400" i="3" s="1"/>
  <c r="AN1332" i="3"/>
  <c r="AN492" i="3" s="1"/>
  <c r="AN1400" i="3"/>
  <c r="AN560" i="3" s="1"/>
  <c r="AN1311" i="3"/>
  <c r="AN471" i="3" s="1"/>
  <c r="AN1219" i="3"/>
  <c r="AN379" i="3" s="1"/>
  <c r="AN1282" i="3"/>
  <c r="AN442" i="3" s="1"/>
  <c r="AN1210" i="3"/>
  <c r="AN370" i="3" s="1"/>
  <c r="AN1292" i="3"/>
  <c r="AN452" i="3" s="1"/>
  <c r="AN1418" i="3"/>
  <c r="AN578" i="3" s="1"/>
  <c r="AN1299" i="3"/>
  <c r="AN459" i="3" s="1"/>
  <c r="U1413" i="3"/>
  <c r="U573" i="3" s="1"/>
  <c r="U1407" i="3"/>
  <c r="U567" i="3" s="1"/>
  <c r="Y1402" i="3"/>
  <c r="Y562" i="3" s="1"/>
  <c r="Y1414" i="3"/>
  <c r="Y574" i="3" s="1"/>
  <c r="AC1189" i="3"/>
  <c r="AC349" i="3" s="1"/>
  <c r="AC1413" i="3"/>
  <c r="AC573" i="3" s="1"/>
  <c r="AS1408" i="3"/>
  <c r="AS568" i="3" s="1"/>
  <c r="AS1402" i="3"/>
  <c r="AS1186" i="3"/>
  <c r="AS346" i="3" s="1"/>
  <c r="S1395" i="3"/>
  <c r="S555" i="3" s="1"/>
  <c r="AE1406" i="3"/>
  <c r="AE566" i="3" s="1"/>
  <c r="R1395" i="3"/>
  <c r="R555" i="3" s="1"/>
  <c r="V1388" i="3"/>
  <c r="V548" i="3" s="1"/>
  <c r="AD1396" i="3"/>
  <c r="AD556" i="3" s="1"/>
  <c r="AL1410" i="3"/>
  <c r="AL570" i="3" s="1"/>
  <c r="AL1191" i="3"/>
  <c r="AL351" i="3" s="1"/>
  <c r="AL1387" i="3"/>
  <c r="AL547" i="3" s="1"/>
  <c r="AP1398" i="3"/>
  <c r="AP558" i="3" s="1"/>
  <c r="AT1412" i="3"/>
  <c r="AT572" i="3" s="1"/>
  <c r="AT1414" i="3"/>
  <c r="AT574" i="3" s="1"/>
  <c r="AX1400" i="3"/>
  <c r="AX560" i="3" s="1"/>
  <c r="T1188" i="3"/>
  <c r="T348" i="3" s="1"/>
  <c r="T1414" i="3"/>
  <c r="T574" i="3" s="1"/>
  <c r="X1408" i="3"/>
  <c r="X568" i="3" s="1"/>
  <c r="AF1188" i="3"/>
  <c r="AF348" i="3" s="1"/>
  <c r="AJ1390" i="3"/>
  <c r="AJ550" i="3" s="1"/>
  <c r="AJ1400" i="3"/>
  <c r="AJ560" i="3" s="1"/>
  <c r="AN1399" i="3"/>
  <c r="AN559" i="3" s="1"/>
  <c r="AV1190" i="3"/>
  <c r="AV350" i="3" s="1"/>
  <c r="AC1388" i="3"/>
  <c r="AC548" i="3" s="1"/>
  <c r="AC1410" i="3"/>
  <c r="AC570" i="3" s="1"/>
  <c r="AG1396" i="3"/>
  <c r="AG556" i="3" s="1"/>
  <c r="AG1418" i="3"/>
  <c r="AG578" i="3" s="1"/>
  <c r="AO1196" i="3"/>
  <c r="AS1320" i="3"/>
  <c r="AS480" i="3" s="1"/>
  <c r="AS1356" i="3"/>
  <c r="AS516" i="3" s="1"/>
  <c r="AS1398" i="3"/>
  <c r="AS558" i="3" s="1"/>
  <c r="AS1298" i="3"/>
  <c r="AS458" i="3" s="1"/>
  <c r="AS1291" i="3"/>
  <c r="AS451" i="3" s="1"/>
  <c r="AW1405" i="3"/>
  <c r="AW565" i="3" s="1"/>
  <c r="AW1328" i="3"/>
  <c r="AW1264" i="3"/>
  <c r="AW424" i="3" s="1"/>
  <c r="S1357" i="3"/>
  <c r="S517" i="3" s="1"/>
  <c r="S1334" i="3"/>
  <c r="S494" i="3" s="1"/>
  <c r="S1270" i="3"/>
  <c r="S430" i="3" s="1"/>
  <c r="S1289" i="3"/>
  <c r="S449" i="3" s="1"/>
  <c r="S1225" i="3"/>
  <c r="S385" i="3" s="1"/>
  <c r="S1375" i="3"/>
  <c r="S535" i="3" s="1"/>
  <c r="S1287" i="3"/>
  <c r="S447" i="3" s="1"/>
  <c r="W1233" i="3"/>
  <c r="W393" i="3" s="1"/>
  <c r="W1287" i="3"/>
  <c r="W447" i="3" s="1"/>
  <c r="W1334" i="3"/>
  <c r="AA1209" i="3"/>
  <c r="AA369" i="3" s="1"/>
  <c r="AA1379" i="3"/>
  <c r="AA539" i="3" s="1"/>
  <c r="AI1304" i="3"/>
  <c r="AI464" i="3" s="1"/>
  <c r="AI1240" i="3"/>
  <c r="AI400" i="3" s="1"/>
  <c r="AI1390" i="3"/>
  <c r="AI550" i="3" s="1"/>
  <c r="AI1326" i="3"/>
  <c r="AI486" i="3" s="1"/>
  <c r="AM1421" i="3"/>
  <c r="AM581" i="3" s="1"/>
  <c r="AM1307" i="3"/>
  <c r="AM467" i="3" s="1"/>
  <c r="AM1342" i="3"/>
  <c r="AM502" i="3" s="1"/>
  <c r="AM1202" i="3"/>
  <c r="AM362" i="3" s="1"/>
  <c r="AM1226" i="3"/>
  <c r="AM386" i="3" s="1"/>
  <c r="AQ1225" i="3"/>
  <c r="AQ385" i="3" s="1"/>
  <c r="AQ1355" i="3"/>
  <c r="AQ515" i="3" s="1"/>
  <c r="AQ1362" i="3"/>
  <c r="AQ1263" i="3"/>
  <c r="AQ423" i="3" s="1"/>
  <c r="AQ1211" i="3"/>
  <c r="AQ371" i="3" s="1"/>
  <c r="AQ1266" i="3"/>
  <c r="AQ426" i="3" s="1"/>
  <c r="AQ1242" i="3"/>
  <c r="AQ402" i="3" s="1"/>
  <c r="AU1315" i="3"/>
  <c r="AU475" i="3" s="1"/>
  <c r="AU1286" i="3"/>
  <c r="AU446" i="3" s="1"/>
  <c r="AU1222" i="3"/>
  <c r="AU382" i="3" s="1"/>
  <c r="AU1337" i="3"/>
  <c r="AU497" i="3" s="1"/>
  <c r="AU1273" i="3"/>
  <c r="AU1324" i="3"/>
  <c r="AU484" i="3" s="1"/>
  <c r="AU1260" i="3"/>
  <c r="AU420" i="3" s="1"/>
  <c r="AU1355" i="3"/>
  <c r="AU515" i="3" s="1"/>
  <c r="AB1387" i="3"/>
  <c r="AB547" i="3" s="1"/>
  <c r="R1412" i="3"/>
  <c r="R572" i="3" s="1"/>
  <c r="R1239" i="3"/>
  <c r="R399" i="3" s="1"/>
  <c r="R1196" i="3"/>
  <c r="R356" i="3" s="1"/>
  <c r="S1399" i="3"/>
  <c r="S559" i="3" s="1"/>
  <c r="AE1187" i="3"/>
  <c r="AE347" i="3" s="1"/>
  <c r="AE1415" i="3"/>
  <c r="AE575" i="3" s="1"/>
  <c r="AI1401" i="3"/>
  <c r="AI561" i="3" s="1"/>
  <c r="V1409" i="3"/>
  <c r="V569" i="3" s="1"/>
  <c r="V1413" i="3"/>
  <c r="V573" i="3" s="1"/>
  <c r="V1398" i="3"/>
  <c r="V558" i="3" s="1"/>
  <c r="Z1186" i="3"/>
  <c r="Z346" i="3" s="1"/>
  <c r="AH1398" i="3"/>
  <c r="AH558" i="3" s="1"/>
  <c r="AH1190" i="3"/>
  <c r="AH350" i="3" s="1"/>
  <c r="AL1416" i="3"/>
  <c r="AL576" i="3" s="1"/>
  <c r="AT1397" i="3"/>
  <c r="AT557" i="3" s="1"/>
  <c r="AT1407" i="3"/>
  <c r="AT567" i="3" s="1"/>
  <c r="AR1186" i="3"/>
  <c r="AR346" i="3" s="1"/>
  <c r="AV1388" i="3"/>
  <c r="AV548" i="3" s="1"/>
  <c r="AV1410" i="3"/>
  <c r="AV570" i="3" s="1"/>
  <c r="Q1399" i="3"/>
  <c r="Q559" i="3" s="1"/>
  <c r="U1408" i="3"/>
  <c r="U568" i="3" s="1"/>
  <c r="AC1389" i="3"/>
  <c r="AC549" i="3" s="1"/>
  <c r="AO1224" i="3"/>
  <c r="AO384" i="3" s="1"/>
  <c r="AS1415" i="3"/>
  <c r="AS575" i="3" s="1"/>
  <c r="AS1234" i="3"/>
  <c r="AS394" i="3" s="1"/>
  <c r="AW1313" i="3"/>
  <c r="AW473" i="3" s="1"/>
  <c r="AW1249" i="3"/>
  <c r="AW1404" i="3"/>
  <c r="AW564" i="3" s="1"/>
  <c r="AW1200" i="3"/>
  <c r="AW360" i="3" s="1"/>
  <c r="AW1400" i="3"/>
  <c r="AW560" i="3" s="1"/>
  <c r="AW1242" i="3"/>
  <c r="AW402" i="3" s="1"/>
  <c r="S1376" i="3"/>
  <c r="S536" i="3" s="1"/>
  <c r="S1288" i="3"/>
  <c r="S448" i="3" s="1"/>
  <c r="S1188" i="3"/>
  <c r="S348" i="3" s="1"/>
  <c r="W1361" i="3"/>
  <c r="W521" i="3" s="1"/>
  <c r="W1300" i="3"/>
  <c r="W460" i="3" s="1"/>
  <c r="W1204" i="3"/>
  <c r="W364" i="3" s="1"/>
  <c r="W1189" i="3"/>
  <c r="W349" i="3" s="1"/>
  <c r="W1270" i="3"/>
  <c r="W430" i="3" s="1"/>
  <c r="W1347" i="3"/>
  <c r="W507" i="3" s="1"/>
  <c r="AA1389" i="3"/>
  <c r="AA549" i="3" s="1"/>
  <c r="AA1273" i="3"/>
  <c r="AA433" i="3" s="1"/>
  <c r="AI1375" i="3"/>
  <c r="AI535" i="3" s="1"/>
  <c r="AI1262" i="3"/>
  <c r="AI1186" i="3"/>
  <c r="AI346" i="3" s="1"/>
  <c r="AM1201" i="3"/>
  <c r="AM361" i="3" s="1"/>
  <c r="AM1406" i="3"/>
  <c r="AM566" i="3" s="1"/>
  <c r="AM1230" i="3"/>
  <c r="AM390" i="3" s="1"/>
  <c r="AQ1296" i="3"/>
  <c r="AQ456" i="3" s="1"/>
  <c r="AQ1232" i="3"/>
  <c r="AQ392" i="3" s="1"/>
  <c r="AQ1289" i="3"/>
  <c r="AQ449" i="3" s="1"/>
  <c r="AQ1380" i="3"/>
  <c r="AQ540" i="3" s="1"/>
  <c r="AQ1347" i="3"/>
  <c r="AQ507" i="3" s="1"/>
  <c r="AQ1291" i="3"/>
  <c r="AQ451" i="3" s="1"/>
  <c r="AU1251" i="3"/>
  <c r="AU411" i="3" s="1"/>
  <c r="AU1418" i="3"/>
  <c r="AU578" i="3" s="1"/>
  <c r="AU1350" i="3"/>
  <c r="AU510" i="3" s="1"/>
  <c r="AU1209" i="3"/>
  <c r="AU369" i="3" s="1"/>
  <c r="AU1196" i="3"/>
  <c r="AU356" i="3" s="1"/>
  <c r="AU1396" i="3"/>
  <c r="AU556" i="3" s="1"/>
  <c r="AB1395" i="3"/>
  <c r="AB555" i="3" s="1"/>
  <c r="AB1226" i="3"/>
  <c r="AB386" i="3" s="1"/>
  <c r="R1317" i="3"/>
  <c r="R477" i="3" s="1"/>
  <c r="R1189" i="3"/>
  <c r="R349" i="3" s="1"/>
  <c r="R1303" i="3"/>
  <c r="R463" i="3" s="1"/>
  <c r="R1358" i="3"/>
  <c r="R518" i="3" s="1"/>
  <c r="V1325" i="3"/>
  <c r="V485" i="3" s="1"/>
  <c r="V1381" i="3"/>
  <c r="AB1455" i="3"/>
  <c r="AB615" i="3" s="1"/>
  <c r="AB1453" i="3"/>
  <c r="AB613" i="3" s="1"/>
  <c r="AB1446" i="3"/>
  <c r="AB606" i="3" s="1"/>
  <c r="AB1442" i="3"/>
  <c r="AB602" i="3" s="1"/>
  <c r="R1427" i="3"/>
  <c r="R587" i="3" s="1"/>
  <c r="Z1281" i="3"/>
  <c r="Z441" i="3" s="1"/>
  <c r="AD1439" i="3"/>
  <c r="AD599" i="3" s="1"/>
  <c r="AD1429" i="3"/>
  <c r="AH1427" i="3"/>
  <c r="AH587" i="3" s="1"/>
  <c r="AH1450" i="3"/>
  <c r="AH610" i="3" s="1"/>
  <c r="AT1337" i="3"/>
  <c r="AT497" i="3" s="1"/>
  <c r="AT1442" i="3"/>
  <c r="AT602" i="3" s="1"/>
  <c r="AX1427" i="3"/>
  <c r="AX587" i="3" s="1"/>
  <c r="P1454" i="3"/>
  <c r="P614" i="3" s="1"/>
  <c r="T1447" i="3"/>
  <c r="T607" i="3" s="1"/>
  <c r="AF1455" i="3"/>
  <c r="AF615" i="3" s="1"/>
  <c r="AF1453" i="3"/>
  <c r="AF613" i="3" s="1"/>
  <c r="AF1450" i="3"/>
  <c r="AF610" i="3" s="1"/>
  <c r="AN1452" i="3"/>
  <c r="AN612" i="3" s="1"/>
  <c r="AN1264" i="3"/>
  <c r="AN424" i="3" s="1"/>
  <c r="AR1455" i="3"/>
  <c r="AR615" i="3" s="1"/>
  <c r="AR1453" i="3"/>
  <c r="AR613" i="3" s="1"/>
  <c r="AR1309" i="3"/>
  <c r="AV1439" i="3"/>
  <c r="AV599" i="3" s="1"/>
  <c r="AV1442" i="3"/>
  <c r="AV602" i="3" s="1"/>
  <c r="Q1449" i="3"/>
  <c r="Q609" i="3" s="1"/>
  <c r="Q1454" i="3"/>
  <c r="Q614" i="3" s="1"/>
  <c r="U1455" i="3"/>
  <c r="U615" i="3" s="1"/>
  <c r="AK1449" i="3"/>
  <c r="AK609" i="3" s="1"/>
  <c r="AK1427" i="3"/>
  <c r="AK587" i="3" s="1"/>
  <c r="AK1413" i="3"/>
  <c r="AK573" i="3" s="1"/>
  <c r="AK1430" i="3"/>
  <c r="AK590" i="3" s="1"/>
  <c r="AO1426" i="3"/>
  <c r="AO586" i="3" s="1"/>
  <c r="AW1448" i="3"/>
  <c r="AW608" i="3" s="1"/>
  <c r="AW1438" i="3"/>
  <c r="AW598" i="3" s="1"/>
  <c r="AE1457" i="3"/>
  <c r="AE1452" i="3"/>
  <c r="AE612" i="3" s="1"/>
  <c r="AM1452" i="3"/>
  <c r="AM612" i="3" s="1"/>
  <c r="AU1452" i="3"/>
  <c r="AU612" i="3" s="1"/>
  <c r="R1447" i="3"/>
  <c r="R607" i="3" s="1"/>
  <c r="R1288" i="3"/>
  <c r="R448" i="3" s="1"/>
  <c r="R1446" i="3"/>
  <c r="R606" i="3" s="1"/>
  <c r="V1442" i="3"/>
  <c r="V602" i="3" s="1"/>
  <c r="V1446" i="3"/>
  <c r="V606" i="3" s="1"/>
  <c r="Z1409" i="3"/>
  <c r="Z569" i="3" s="1"/>
  <c r="Z1443" i="3"/>
  <c r="Z603" i="3" s="1"/>
  <c r="Z1454" i="3"/>
  <c r="Z614" i="3" s="1"/>
  <c r="AD1453" i="3"/>
  <c r="AD613" i="3" s="1"/>
  <c r="AD1349" i="3"/>
  <c r="AD509" i="3" s="1"/>
  <c r="AD1440" i="3"/>
  <c r="AD600" i="3" s="1"/>
  <c r="AD1451" i="3"/>
  <c r="AD611" i="3" s="1"/>
  <c r="AD1438" i="3"/>
  <c r="AD598" i="3" s="1"/>
  <c r="AL1361" i="3"/>
  <c r="AL521" i="3" s="1"/>
  <c r="AL1431" i="3"/>
  <c r="AL591" i="3" s="1"/>
  <c r="AL1425" i="3"/>
  <c r="AL585" i="3" s="1"/>
  <c r="AR1428" i="3"/>
  <c r="AR588" i="3" s="1"/>
  <c r="AV1441" i="3"/>
  <c r="AV601" i="3" s="1"/>
  <c r="Q1433" i="3"/>
  <c r="Q593" i="3" s="1"/>
  <c r="Q1428" i="3"/>
  <c r="Q588" i="3" s="1"/>
  <c r="Q1451" i="3"/>
  <c r="Q611" i="3" s="1"/>
  <c r="Q1434" i="3"/>
  <c r="Q594" i="3" s="1"/>
  <c r="U1451" i="3"/>
  <c r="U611" i="3" s="1"/>
  <c r="U1456" i="3"/>
  <c r="U616" i="3" s="1"/>
  <c r="U1431" i="3"/>
  <c r="U591" i="3" s="1"/>
  <c r="Y1451" i="3"/>
  <c r="Y611" i="3" s="1"/>
  <c r="AG1456" i="3"/>
  <c r="AG616" i="3" s="1"/>
  <c r="AG1442" i="3"/>
  <c r="AG602" i="3" s="1"/>
  <c r="AK1426" i="3"/>
  <c r="AK586" i="3" s="1"/>
  <c r="AO1441" i="3"/>
  <c r="AO601" i="3" s="1"/>
  <c r="AO1454" i="3"/>
  <c r="AO614" i="3" s="1"/>
  <c r="AO1440" i="3"/>
  <c r="AO1432" i="3"/>
  <c r="AO592" i="3" s="1"/>
  <c r="AS1431" i="3"/>
  <c r="AS591" i="3" s="1"/>
  <c r="AS1452" i="3"/>
  <c r="AS612" i="3" s="1"/>
  <c r="AS1455" i="3"/>
  <c r="AS615" i="3" s="1"/>
  <c r="AS1430" i="3"/>
  <c r="AS590" i="3" s="1"/>
  <c r="AM1448" i="3"/>
  <c r="AM608" i="3" s="1"/>
  <c r="AR76" i="3"/>
  <c r="AX1191" i="3"/>
  <c r="AX351" i="3" s="1"/>
  <c r="AK1403" i="3"/>
  <c r="AK563" i="3" s="1"/>
  <c r="AK1351" i="3"/>
  <c r="AK511" i="3" s="1"/>
  <c r="AK1190" i="3"/>
  <c r="AK350" i="3" s="1"/>
  <c r="AK1322" i="3"/>
  <c r="AK482" i="3" s="1"/>
  <c r="AO1197" i="3"/>
  <c r="AO357" i="3" s="1"/>
  <c r="AS1217" i="3"/>
  <c r="AS1383" i="3"/>
  <c r="AS543" i="3" s="1"/>
  <c r="AS1227" i="3"/>
  <c r="AS387" i="3" s="1"/>
  <c r="AS1354" i="3"/>
  <c r="AS514" i="3" s="1"/>
  <c r="AW1352" i="3"/>
  <c r="AW512" i="3" s="1"/>
  <c r="AW1422" i="3"/>
  <c r="AW582" i="3" s="1"/>
  <c r="AW1298" i="3"/>
  <c r="AW458" i="3" s="1"/>
  <c r="AW1234" i="3"/>
  <c r="AW394" i="3" s="1"/>
  <c r="AW1343" i="3"/>
  <c r="AW503" i="3" s="1"/>
  <c r="AE1200" i="3"/>
  <c r="AE360" i="3" s="1"/>
  <c r="AE1311" i="3"/>
  <c r="AE471" i="3" s="1"/>
  <c r="AE1322" i="3"/>
  <c r="AE482" i="3" s="1"/>
  <c r="AE1386" i="3"/>
  <c r="AE546" i="3" s="1"/>
  <c r="AI1384" i="3"/>
  <c r="AI544" i="3" s="1"/>
  <c r="AI1418" i="3"/>
  <c r="AI578" i="3" s="1"/>
  <c r="AI1217" i="3"/>
  <c r="AI1344" i="3"/>
  <c r="AI504" i="3" s="1"/>
  <c r="AI1280" i="3"/>
  <c r="AI440" i="3" s="1"/>
  <c r="AM1197" i="3"/>
  <c r="AM357" i="3" s="1"/>
  <c r="AM1422" i="3"/>
  <c r="AM582" i="3" s="1"/>
  <c r="AM1254" i="3"/>
  <c r="AQ1417" i="3"/>
  <c r="AQ577" i="3" s="1"/>
  <c r="AQ1343" i="3"/>
  <c r="AQ503" i="3" s="1"/>
  <c r="AQ1267" i="3"/>
  <c r="AQ427" i="3" s="1"/>
  <c r="AU1227" i="3"/>
  <c r="AU387" i="3" s="1"/>
  <c r="AU1406" i="3"/>
  <c r="AU566" i="3" s="1"/>
  <c r="AU1342" i="3"/>
  <c r="AU502" i="3" s="1"/>
  <c r="AU1278" i="3"/>
  <c r="AU1297" i="3"/>
  <c r="AU457" i="3" s="1"/>
  <c r="AU1233" i="3"/>
  <c r="AU393" i="3" s="1"/>
  <c r="AU1416" i="3"/>
  <c r="AU576" i="3" s="1"/>
  <c r="AU1423" i="3"/>
  <c r="AU583" i="3" s="1"/>
  <c r="AH1420" i="3"/>
  <c r="AH580" i="3" s="1"/>
  <c r="AH1330" i="3"/>
  <c r="AH490" i="3" s="1"/>
  <c r="AH1313" i="3"/>
  <c r="AH473" i="3" s="1"/>
  <c r="AH1229" i="3"/>
  <c r="AH389" i="3" s="1"/>
  <c r="AH1298" i="3"/>
  <c r="AH458" i="3" s="1"/>
  <c r="AL1341" i="3"/>
  <c r="AL501" i="3" s="1"/>
  <c r="AL1421" i="3"/>
  <c r="AL581" i="3" s="1"/>
  <c r="AL1197" i="3"/>
  <c r="AL357" i="3" s="1"/>
  <c r="AL1295" i="3"/>
  <c r="AL455" i="3" s="1"/>
  <c r="AP1216" i="3"/>
  <c r="AX1296" i="3"/>
  <c r="AX456" i="3" s="1"/>
  <c r="AX1297" i="3"/>
  <c r="AX457" i="3" s="1"/>
  <c r="AX1384" i="3"/>
  <c r="AX544" i="3" s="1"/>
  <c r="AX1341" i="3"/>
  <c r="AX501" i="3" s="1"/>
  <c r="AJ1295" i="3"/>
  <c r="AJ455" i="3" s="1"/>
  <c r="AJ1198" i="3"/>
  <c r="AJ358" i="3" s="1"/>
  <c r="AN1253" i="3"/>
  <c r="AN1424" i="3"/>
  <c r="AN584" i="3" s="1"/>
  <c r="AN1298" i="3"/>
  <c r="AN458" i="3" s="1"/>
  <c r="AN1267" i="3"/>
  <c r="AN427" i="3" s="1"/>
  <c r="AN1331" i="3"/>
  <c r="AN491" i="3" s="1"/>
  <c r="AN1192" i="3"/>
  <c r="AN352" i="3" s="1"/>
  <c r="AV1416" i="3"/>
  <c r="AV576" i="3" s="1"/>
  <c r="AV1343" i="3"/>
  <c r="AV503" i="3" s="1"/>
  <c r="AV1279" i="3"/>
  <c r="AV439" i="3" s="1"/>
  <c r="AV1422" i="3"/>
  <c r="AV582" i="3" s="1"/>
  <c r="AK1404" i="3"/>
  <c r="AK564" i="3" s="1"/>
  <c r="AE1324" i="3"/>
  <c r="AE484" i="3" s="1"/>
  <c r="AE1254" i="3"/>
  <c r="AE1190" i="3"/>
  <c r="AE350" i="3" s="1"/>
  <c r="AI1403" i="3"/>
  <c r="AI563" i="3" s="1"/>
  <c r="AI1277" i="3"/>
  <c r="AM1295" i="3"/>
  <c r="AM455" i="3" s="1"/>
  <c r="AM1199" i="3"/>
  <c r="AM359" i="3" s="1"/>
  <c r="AM1354" i="3"/>
  <c r="AM514" i="3" s="1"/>
  <c r="AT1406" i="3"/>
  <c r="AT566" i="3" s="1"/>
  <c r="AX1415" i="3"/>
  <c r="AX575" i="3" s="1"/>
  <c r="AM1447" i="3"/>
  <c r="AM607" i="3" s="1"/>
  <c r="AF1403" i="3"/>
  <c r="AF563" i="3" s="1"/>
  <c r="AF1351" i="3"/>
  <c r="AF511" i="3" s="1"/>
  <c r="AJ1321" i="3"/>
  <c r="AJ481" i="3" s="1"/>
  <c r="AJ1312" i="3"/>
  <c r="AJ472" i="3" s="1"/>
  <c r="AJ1418" i="3"/>
  <c r="AJ578" i="3" s="1"/>
  <c r="AR1405" i="3"/>
  <c r="AR565" i="3" s="1"/>
  <c r="AG1416" i="3"/>
  <c r="AG576" i="3" s="1"/>
  <c r="AG1383" i="3"/>
  <c r="AG1386" i="3"/>
  <c r="AG546" i="3" s="1"/>
  <c r="AK1199" i="3"/>
  <c r="AK359" i="3" s="1"/>
  <c r="AK1314" i="3"/>
  <c r="AK474" i="3" s="1"/>
  <c r="AK1341" i="3"/>
  <c r="AK501" i="3" s="1"/>
  <c r="AK1277" i="3"/>
  <c r="AO1323" i="3"/>
  <c r="AO483" i="3" s="1"/>
  <c r="AO1418" i="3"/>
  <c r="AO578" i="3" s="1"/>
  <c r="AO1341" i="3"/>
  <c r="AO501" i="3" s="1"/>
  <c r="AO1277" i="3"/>
  <c r="AS1314" i="3"/>
  <c r="AS474" i="3" s="1"/>
  <c r="AS1323" i="3"/>
  <c r="AS483" i="3" s="1"/>
  <c r="AW1329" i="3"/>
  <c r="AW489" i="3" s="1"/>
  <c r="AW1265" i="3"/>
  <c r="AW425" i="3" s="1"/>
  <c r="AW1420" i="3"/>
  <c r="AW580" i="3" s="1"/>
  <c r="AW1344" i="3"/>
  <c r="AW504" i="3" s="1"/>
  <c r="AW1280" i="3"/>
  <c r="AW440" i="3" s="1"/>
  <c r="AW1415" i="3"/>
  <c r="AW575" i="3" s="1"/>
  <c r="AW1191" i="3"/>
  <c r="AW351" i="3" s="1"/>
  <c r="AW1322" i="3"/>
  <c r="AW482" i="3" s="1"/>
  <c r="AE1353" i="3"/>
  <c r="AE513" i="3" s="1"/>
  <c r="AE1218" i="3"/>
  <c r="AI1331" i="3"/>
  <c r="AI491" i="3" s="1"/>
  <c r="AI1267" i="3"/>
  <c r="AI427" i="3" s="1"/>
  <c r="AL1385" i="3"/>
  <c r="AL545" i="3" s="1"/>
  <c r="AP1329" i="3"/>
  <c r="AP489" i="3" s="1"/>
  <c r="AT1404" i="3"/>
  <c r="AT564" i="3" s="1"/>
  <c r="AT1191" i="3"/>
  <c r="AT351" i="3" s="1"/>
  <c r="AX1421" i="3"/>
  <c r="AX581" i="3" s="1"/>
  <c r="AX1197" i="3"/>
  <c r="AX357" i="3" s="1"/>
  <c r="AX1295" i="3"/>
  <c r="AX455" i="3" s="1"/>
  <c r="AX1323" i="3"/>
  <c r="AX483" i="3" s="1"/>
  <c r="AX1198" i="3"/>
  <c r="AX358" i="3" s="1"/>
  <c r="AF1323" i="3"/>
  <c r="AF483" i="3" s="1"/>
  <c r="AJ1216" i="3"/>
  <c r="AJ1415" i="3"/>
  <c r="AJ575" i="3" s="1"/>
  <c r="AJ1217" i="3"/>
  <c r="AJ1416" i="3"/>
  <c r="AJ576" i="3" s="1"/>
  <c r="AN1277" i="3"/>
  <c r="AN1406" i="3"/>
  <c r="AN566" i="3" s="1"/>
  <c r="AN1216" i="3"/>
  <c r="AR1296" i="3"/>
  <c r="AR456" i="3" s="1"/>
  <c r="AR1265" i="3"/>
  <c r="AR425" i="3" s="1"/>
  <c r="AR1215" i="3"/>
  <c r="AV1384" i="3"/>
  <c r="AV544" i="3" s="1"/>
  <c r="AV1406" i="3"/>
  <c r="AV566" i="3" s="1"/>
  <c r="AG1417" i="3"/>
  <c r="AG577" i="3" s="1"/>
  <c r="AG1321" i="3"/>
  <c r="AG481" i="3" s="1"/>
  <c r="AG1268" i="3"/>
  <c r="AG428" i="3" s="1"/>
  <c r="AK1417" i="3"/>
  <c r="AK577" i="3" s="1"/>
  <c r="AK1296" i="3"/>
  <c r="AK456" i="3" s="1"/>
  <c r="AO1314" i="3"/>
  <c r="AO474" i="3" s="1"/>
  <c r="AO1384" i="3"/>
  <c r="AO544" i="3" s="1"/>
  <c r="AO1415" i="3"/>
  <c r="AO575" i="3" s="1"/>
  <c r="AS1416" i="3"/>
  <c r="AS576" i="3" s="1"/>
  <c r="AW1324" i="3"/>
  <c r="AW484" i="3" s="1"/>
  <c r="AW1331" i="3"/>
  <c r="AW491" i="3" s="1"/>
  <c r="AW1227" i="3"/>
  <c r="AW387" i="3" s="1"/>
  <c r="AE1253" i="3"/>
  <c r="AE1420" i="3"/>
  <c r="AE580" i="3" s="1"/>
  <c r="AE1342" i="3"/>
  <c r="AE502" i="3" s="1"/>
  <c r="AE1278" i="3"/>
  <c r="AI1199" i="3"/>
  <c r="AI359" i="3" s="1"/>
  <c r="AM1329" i="3"/>
  <c r="AM489" i="3" s="1"/>
  <c r="AM1265" i="3"/>
  <c r="AM425" i="3" s="1"/>
  <c r="AM1384" i="3"/>
  <c r="AM544" i="3" s="1"/>
  <c r="AQ1404" i="3"/>
  <c r="AQ564" i="3" s="1"/>
  <c r="AQ1255" i="3"/>
  <c r="AQ1323" i="3"/>
  <c r="AQ483" i="3" s="1"/>
  <c r="AQ1234" i="3"/>
  <c r="AQ394" i="3" s="1"/>
  <c r="AU1311" i="3"/>
  <c r="AU471" i="3" s="1"/>
  <c r="AU1298" i="3"/>
  <c r="AU458" i="3" s="1"/>
  <c r="AU1352" i="3"/>
  <c r="AU512" i="3" s="1"/>
  <c r="AU1447" i="3"/>
  <c r="AU607" i="3" s="1"/>
  <c r="AU1293" i="3"/>
  <c r="AU453" i="3" s="1"/>
  <c r="AB1389" i="3"/>
  <c r="AB549" i="3" s="1"/>
  <c r="AB1225" i="3"/>
  <c r="AB385" i="3" s="1"/>
  <c r="V1439" i="3"/>
  <c r="V599" i="3" s="1"/>
  <c r="V1426" i="3"/>
  <c r="V586" i="3" s="1"/>
  <c r="Z1457" i="3"/>
  <c r="Z617" i="3" s="1"/>
  <c r="AD1455" i="3"/>
  <c r="AD615" i="3" s="1"/>
  <c r="AD1449" i="3"/>
  <c r="AD609" i="3" s="1"/>
  <c r="AD1452" i="3"/>
  <c r="AD612" i="3" s="1"/>
  <c r="AL1438" i="3"/>
  <c r="AL598" i="3" s="1"/>
  <c r="AL1427" i="3"/>
  <c r="AL587" i="3" s="1"/>
  <c r="AL1452" i="3"/>
  <c r="AL612" i="3" s="1"/>
  <c r="AP1353" i="3"/>
  <c r="AP513" i="3" s="1"/>
  <c r="AP1426" i="3"/>
  <c r="AP586" i="3" s="1"/>
  <c r="AT1453" i="3"/>
  <c r="AT613" i="3" s="1"/>
  <c r="AX1439" i="3"/>
  <c r="AX599" i="3" s="1"/>
  <c r="AX1429" i="3"/>
  <c r="AX589" i="3" s="1"/>
  <c r="AX1450" i="3"/>
  <c r="AX610" i="3" s="1"/>
  <c r="P1436" i="3"/>
  <c r="P596" i="3" s="1"/>
  <c r="T1457" i="3"/>
  <c r="T617" i="3" s="1"/>
  <c r="T1357" i="3"/>
  <c r="T517" i="3" s="1"/>
  <c r="X1449" i="3"/>
  <c r="X609" i="3" s="1"/>
  <c r="X1440" i="3"/>
  <c r="X600" i="3" s="1"/>
  <c r="X1446" i="3"/>
  <c r="X606" i="3" s="1"/>
  <c r="AF1437" i="3"/>
  <c r="AF597" i="3" s="1"/>
  <c r="AF1309" i="3"/>
  <c r="AF469" i="3" s="1"/>
  <c r="AF1446" i="3"/>
  <c r="AF606" i="3" s="1"/>
  <c r="AJ1457" i="3"/>
  <c r="AJ617" i="3" s="1"/>
  <c r="AN1249" i="3"/>
  <c r="AN409" i="3" s="1"/>
  <c r="AN1454" i="3"/>
  <c r="AN614" i="3" s="1"/>
  <c r="AR1448" i="3"/>
  <c r="AR608" i="3" s="1"/>
  <c r="Q1456" i="3"/>
  <c r="Q616" i="3" s="1"/>
  <c r="Q1443" i="3"/>
  <c r="Q603" i="3" s="1"/>
  <c r="Y1431" i="3"/>
  <c r="Y591" i="3" s="1"/>
  <c r="Y1429" i="3"/>
  <c r="Y1432" i="3"/>
  <c r="Y592" i="3" s="1"/>
  <c r="Y1438" i="3"/>
  <c r="Y598" i="3" s="1"/>
  <c r="AK1457" i="3"/>
  <c r="AK617" i="3" s="1"/>
  <c r="AK1438" i="3"/>
  <c r="AK598" i="3" s="1"/>
  <c r="AK1441" i="3"/>
  <c r="AK601" i="3" s="1"/>
  <c r="AS1426" i="3"/>
  <c r="AS586" i="3" s="1"/>
  <c r="AW1427" i="3"/>
  <c r="AW587" i="3" s="1"/>
  <c r="AW1425" i="3"/>
  <c r="AW585" i="3" s="1"/>
  <c r="AA1451" i="3"/>
  <c r="AA611" i="3" s="1"/>
  <c r="AA1430" i="3"/>
  <c r="AA590" i="3" s="1"/>
  <c r="AE1449" i="3"/>
  <c r="AE609" i="3" s="1"/>
  <c r="AI1457" i="3"/>
  <c r="AI617" i="3" s="1"/>
  <c r="R1453" i="3"/>
  <c r="R613" i="3" s="1"/>
  <c r="R1448" i="3"/>
  <c r="R608" i="3" s="1"/>
  <c r="R1269" i="3"/>
  <c r="R429" i="3" s="1"/>
  <c r="V1454" i="3"/>
  <c r="V614" i="3" s="1"/>
  <c r="V1431" i="3"/>
  <c r="V591" i="3" s="1"/>
  <c r="V1429" i="3"/>
  <c r="V22" i="3" s="1"/>
  <c r="Z1428" i="3"/>
  <c r="Z588" i="3" s="1"/>
  <c r="Z1442" i="3"/>
  <c r="Z602" i="3" s="1"/>
  <c r="AD1441" i="3"/>
  <c r="AD601" i="3" s="1"/>
  <c r="AD1447" i="3"/>
  <c r="AD607" i="3" s="1"/>
  <c r="AD1448" i="3"/>
  <c r="AD608" i="3" s="1"/>
  <c r="AH1431" i="3"/>
  <c r="AH591" i="3" s="1"/>
  <c r="P1431" i="3"/>
  <c r="P591" i="3" s="1"/>
  <c r="P1429" i="3"/>
  <c r="P1438" i="3"/>
  <c r="P598" i="3" s="1"/>
  <c r="T1456" i="3"/>
  <c r="T616" i="3" s="1"/>
  <c r="T1368" i="3"/>
  <c r="T528" i="3" s="1"/>
  <c r="T1317" i="3"/>
  <c r="T477" i="3" s="1"/>
  <c r="X1437" i="3"/>
  <c r="X597" i="3" s="1"/>
  <c r="X1293" i="3"/>
  <c r="X453" i="3" s="1"/>
  <c r="AF1448" i="3"/>
  <c r="AF608" i="3" s="1"/>
  <c r="AF1454" i="3"/>
  <c r="AF614" i="3" s="1"/>
  <c r="AJ1427" i="3"/>
  <c r="AJ587" i="3" s="1"/>
  <c r="AJ1425" i="3"/>
  <c r="AJ585" i="3" s="1"/>
  <c r="AN1261" i="3"/>
  <c r="AN421" i="3" s="1"/>
  <c r="AN1197" i="3"/>
  <c r="AN357" i="3" s="1"/>
  <c r="AN1293" i="3"/>
  <c r="AN453" i="3" s="1"/>
  <c r="Q1436" i="3"/>
  <c r="Q596" i="3" s="1"/>
  <c r="Q1442" i="3"/>
  <c r="Q602" i="3" s="1"/>
  <c r="U1449" i="3"/>
  <c r="U609" i="3" s="1"/>
  <c r="U1432" i="3"/>
  <c r="U592" i="3" s="1"/>
  <c r="Y1427" i="3"/>
  <c r="Y587" i="3" s="1"/>
  <c r="Y1425" i="3"/>
  <c r="Y585" i="3" s="1"/>
  <c r="Y1448" i="3"/>
  <c r="Y608" i="3" s="1"/>
  <c r="AC1446" i="3"/>
  <c r="AC606" i="3" s="1"/>
  <c r="AG1439" i="3"/>
  <c r="AG599" i="3" s="1"/>
  <c r="AO1446" i="3"/>
  <c r="AO606" i="3" s="1"/>
  <c r="AO1449" i="3"/>
  <c r="AO609" i="3" s="1"/>
  <c r="AS1441" i="3"/>
  <c r="AW1452" i="3"/>
  <c r="AW612" i="3" s="1"/>
  <c r="AW1442" i="3"/>
  <c r="AW602" i="3" s="1"/>
  <c r="S1452" i="3"/>
  <c r="S612" i="3" s="1"/>
  <c r="AA1442" i="3"/>
  <c r="AA602" i="3" s="1"/>
  <c r="AE1456" i="3"/>
  <c r="AE616" i="3" s="1"/>
  <c r="AI1453" i="3"/>
  <c r="AI613" i="3" s="1"/>
  <c r="AI1447" i="3"/>
  <c r="AI607" i="3" s="1"/>
  <c r="AI1438" i="3"/>
  <c r="AI598" i="3" s="1"/>
  <c r="AI1452" i="3"/>
  <c r="AI612" i="3" s="1"/>
  <c r="AQ1457" i="3"/>
  <c r="AQ617" i="3" s="1"/>
  <c r="AX1418" i="3"/>
  <c r="AX578" i="3" s="1"/>
  <c r="AQ1214" i="3"/>
  <c r="AQ374" i="3" s="1"/>
  <c r="AU1201" i="3"/>
  <c r="AU361" i="3" s="1"/>
  <c r="AU1231" i="3"/>
  <c r="AU391" i="3" s="1"/>
  <c r="AU1414" i="3"/>
  <c r="AU574" i="3" s="1"/>
  <c r="AU1346" i="3"/>
  <c r="AU1218" i="3"/>
  <c r="AU1349" i="3"/>
  <c r="AU509" i="3" s="1"/>
  <c r="AU1285" i="3"/>
  <c r="AU445" i="3" s="1"/>
  <c r="AU1221" i="3"/>
  <c r="AU381" i="3" s="1"/>
  <c r="AU1336" i="3"/>
  <c r="AU496" i="3" s="1"/>
  <c r="AU1272" i="3"/>
  <c r="AU432" i="3" s="1"/>
  <c r="AU1379" i="3"/>
  <c r="AU539" i="3" s="1"/>
  <c r="AU1408" i="3"/>
  <c r="AU568" i="3" s="1"/>
  <c r="AU1191" i="3"/>
  <c r="AU351" i="3" s="1"/>
  <c r="AP1215" i="3"/>
  <c r="AF1405" i="3"/>
  <c r="AF565" i="3" s="1"/>
  <c r="AR1385" i="3"/>
  <c r="AR545" i="3" s="1"/>
  <c r="AQ1229" i="3"/>
  <c r="AQ389" i="3" s="1"/>
  <c r="AQ1384" i="3"/>
  <c r="AQ544" i="3" s="1"/>
  <c r="AQ1424" i="3"/>
  <c r="AQ584" i="3" s="1"/>
  <c r="AQ1215" i="3"/>
  <c r="AQ1278" i="3"/>
  <c r="AQ438" i="3" s="1"/>
  <c r="AU1255" i="3"/>
  <c r="AU1422" i="3"/>
  <c r="AU582" i="3" s="1"/>
  <c r="AU1354" i="3"/>
  <c r="AU514" i="3" s="1"/>
  <c r="AU1341" i="3"/>
  <c r="AU1277" i="3"/>
  <c r="AU1415" i="3"/>
  <c r="AU575" i="3" s="1"/>
  <c r="AR1313" i="3"/>
  <c r="AR473" i="3" s="1"/>
  <c r="AV1417" i="3"/>
  <c r="AV577" i="3" s="1"/>
  <c r="AB1440" i="3"/>
  <c r="AB600" i="3" s="1"/>
  <c r="AB1451" i="3"/>
  <c r="AB611" i="3" s="1"/>
  <c r="R1389" i="3"/>
  <c r="R549" i="3" s="1"/>
  <c r="AH1428" i="3"/>
  <c r="AH588" i="3" s="1"/>
  <c r="AL1450" i="3"/>
  <c r="AL610" i="3" s="1"/>
  <c r="AL1439" i="3"/>
  <c r="AL599" i="3" s="1"/>
  <c r="AL1429" i="3"/>
  <c r="AL589" i="3" s="1"/>
  <c r="AP1431" i="3"/>
  <c r="AP591" i="3" s="1"/>
  <c r="AT1437" i="3"/>
  <c r="AT597" i="3" s="1"/>
  <c r="AT1413" i="3"/>
  <c r="AT573" i="3" s="1"/>
  <c r="AT1448" i="3"/>
  <c r="AT608" i="3" s="1"/>
  <c r="AT1399" i="3"/>
  <c r="AT559" i="3" s="1"/>
  <c r="AT1187" i="3"/>
  <c r="AT347" i="3" s="1"/>
  <c r="AX1441" i="3"/>
  <c r="AX601" i="3" s="1"/>
  <c r="AX1388" i="3"/>
  <c r="AX548" i="3" s="1"/>
  <c r="AX1387" i="3"/>
  <c r="AX547" i="3" s="1"/>
  <c r="AX1442" i="3"/>
  <c r="AX602" i="3" s="1"/>
  <c r="P1397" i="3"/>
  <c r="P557" i="3" s="1"/>
  <c r="P1387" i="3"/>
  <c r="P547" i="3" s="1"/>
  <c r="P1414" i="3"/>
  <c r="P574" i="3" s="1"/>
  <c r="T1410" i="3"/>
  <c r="T570" i="3" s="1"/>
  <c r="X1411" i="3"/>
  <c r="X571" i="3" s="1"/>
  <c r="X1186" i="3"/>
  <c r="X346" i="3" s="1"/>
  <c r="AR1430" i="3"/>
  <c r="AR590" i="3" s="1"/>
  <c r="AK1388" i="3"/>
  <c r="AK548" i="3" s="1"/>
  <c r="AK1308" i="3"/>
  <c r="AK468" i="3" s="1"/>
  <c r="AK1287" i="3"/>
  <c r="AK447" i="3" s="1"/>
  <c r="AK1223" i="3"/>
  <c r="AK383" i="3" s="1"/>
  <c r="AK1258" i="3"/>
  <c r="AK418" i="3" s="1"/>
  <c r="AK1349" i="3"/>
  <c r="AK509" i="3" s="1"/>
  <c r="AK1285" i="3"/>
  <c r="AK445" i="3" s="1"/>
  <c r="AK1221" i="3"/>
  <c r="AK381" i="3" s="1"/>
  <c r="AK1382" i="3"/>
  <c r="AK542" i="3" s="1"/>
  <c r="AO1439" i="3"/>
  <c r="AO599" i="3" s="1"/>
  <c r="AS1345" i="3"/>
  <c r="AS505" i="3" s="1"/>
  <c r="AS1281" i="3"/>
  <c r="AS441" i="3" s="1"/>
  <c r="AS1440" i="3"/>
  <c r="AS600" i="3" s="1"/>
  <c r="AS1407" i="3"/>
  <c r="AS567" i="3" s="1"/>
  <c r="AS1449" i="3"/>
  <c r="AS609" i="3" s="1"/>
  <c r="AS1327" i="3"/>
  <c r="AS487" i="3" s="1"/>
  <c r="AS1290" i="3"/>
  <c r="AS450" i="3" s="1"/>
  <c r="AS1226" i="3"/>
  <c r="AS386" i="3" s="1"/>
  <c r="AW1439" i="3"/>
  <c r="AW599" i="3" s="1"/>
  <c r="AW1337" i="3"/>
  <c r="AW497" i="3" s="1"/>
  <c r="AW1273" i="3"/>
  <c r="AW433" i="3" s="1"/>
  <c r="AW1209" i="3"/>
  <c r="AW369" i="3" s="1"/>
  <c r="AW1288" i="3"/>
  <c r="AW448" i="3" s="1"/>
  <c r="AW1224" i="3"/>
  <c r="AW384" i="3" s="1"/>
  <c r="AW1395" i="3"/>
  <c r="AW555" i="3" s="1"/>
  <c r="AW1414" i="3"/>
  <c r="AW574" i="3" s="1"/>
  <c r="AW1259" i="3"/>
  <c r="AW419" i="3" s="1"/>
  <c r="AW1382" i="3"/>
  <c r="AW542" i="3" s="1"/>
  <c r="S1400" i="3"/>
  <c r="S560" i="3" s="1"/>
  <c r="S1348" i="3"/>
  <c r="S508" i="3" s="1"/>
  <c r="S1438" i="3"/>
  <c r="S598" i="3" s="1"/>
  <c r="W1337" i="3"/>
  <c r="W497" i="3" s="1"/>
  <c r="W1257" i="3"/>
  <c r="W417" i="3" s="1"/>
  <c r="W1260" i="3"/>
  <c r="W420" i="3" s="1"/>
  <c r="W1355" i="3"/>
  <c r="W515" i="3" s="1"/>
  <c r="W1247" i="3"/>
  <c r="W407" i="3" s="1"/>
  <c r="W1414" i="3"/>
  <c r="W574" i="3" s="1"/>
  <c r="W1310" i="3"/>
  <c r="W470" i="3" s="1"/>
  <c r="W1262" i="3"/>
  <c r="W422" i="3" s="1"/>
  <c r="W1358" i="3"/>
  <c r="W518" i="3" s="1"/>
  <c r="W1410" i="3"/>
  <c r="W570" i="3" s="1"/>
  <c r="AA1249" i="3"/>
  <c r="AA409" i="3" s="1"/>
  <c r="AA1201" i="3"/>
  <c r="AA361" i="3" s="1"/>
  <c r="AA1232" i="3"/>
  <c r="AA392" i="3" s="1"/>
  <c r="AA1390" i="3"/>
  <c r="AA550" i="3" s="1"/>
  <c r="AA1428" i="3"/>
  <c r="AA588" i="3" s="1"/>
  <c r="AA1339" i="3"/>
  <c r="AA499" i="3" s="1"/>
  <c r="AA1259" i="3"/>
  <c r="AA419" i="3" s="1"/>
  <c r="AA1375" i="3"/>
  <c r="AA535" i="3" s="1"/>
  <c r="AA1443" i="3"/>
  <c r="AA603" i="3" s="1"/>
  <c r="AA1290" i="3"/>
  <c r="AA450" i="3" s="1"/>
  <c r="AA1226" i="3"/>
  <c r="AA386" i="3" s="1"/>
  <c r="AA1223" i="3"/>
  <c r="AA383" i="3" s="1"/>
  <c r="AE1432" i="3"/>
  <c r="AE592" i="3" s="1"/>
  <c r="AE1264" i="3"/>
  <c r="AE424" i="3" s="1"/>
  <c r="AE1258" i="3"/>
  <c r="AE418" i="3" s="1"/>
  <c r="AE1194" i="3"/>
  <c r="AE354" i="3" s="1"/>
  <c r="AE1438" i="3"/>
  <c r="AE598" i="3" s="1"/>
  <c r="AI1281" i="3"/>
  <c r="AI441" i="3" s="1"/>
  <c r="AI1302" i="3"/>
  <c r="AI462" i="3" s="1"/>
  <c r="AM1411" i="3"/>
  <c r="AM571" i="3" s="1"/>
  <c r="AM1309" i="3"/>
  <c r="AM469" i="3" s="1"/>
  <c r="AM1232" i="3"/>
  <c r="AM392" i="3" s="1"/>
  <c r="AM1369" i="3"/>
  <c r="AM529" i="3" s="1"/>
  <c r="AM1347" i="3"/>
  <c r="AM507" i="3" s="1"/>
  <c r="AM1283" i="3"/>
  <c r="AM443" i="3" s="1"/>
  <c r="AM1446" i="3"/>
  <c r="AM606" i="3" s="1"/>
  <c r="AM1401" i="3"/>
  <c r="AM561" i="3" s="1"/>
  <c r="AM1414" i="3"/>
  <c r="AM574" i="3" s="1"/>
  <c r="AM1282" i="3"/>
  <c r="AM442" i="3" s="1"/>
  <c r="AQ1336" i="3"/>
  <c r="AQ496" i="3" s="1"/>
  <c r="AQ1272" i="3"/>
  <c r="AQ432" i="3" s="1"/>
  <c r="AQ1453" i="3"/>
  <c r="AQ613" i="3" s="1"/>
  <c r="AQ1345" i="3"/>
  <c r="AQ505" i="3" s="1"/>
  <c r="AQ1281" i="3"/>
  <c r="AQ441" i="3" s="1"/>
  <c r="AQ1388" i="3"/>
  <c r="AQ548" i="3" s="1"/>
  <c r="AQ1428" i="3"/>
  <c r="AQ588" i="3" s="1"/>
  <c r="AQ1379" i="3"/>
  <c r="AQ539" i="3" s="1"/>
  <c r="AQ1251" i="3"/>
  <c r="AQ411" i="3" s="1"/>
  <c r="AQ1187" i="3"/>
  <c r="AQ347" i="3" s="1"/>
  <c r="AQ1315" i="3"/>
  <c r="AQ475" i="3" s="1"/>
  <c r="AQ1283" i="3"/>
  <c r="AQ443" i="3" s="1"/>
  <c r="AU1193" i="3"/>
  <c r="AU353" i="3" s="1"/>
  <c r="AU1291" i="3"/>
  <c r="AU451" i="3" s="1"/>
  <c r="AU1214" i="3"/>
  <c r="AU374" i="3" s="1"/>
  <c r="AU1427" i="3"/>
  <c r="AU587" i="3" s="1"/>
  <c r="AU1300" i="3"/>
  <c r="AU460" i="3" s="1"/>
  <c r="AU1369" i="3"/>
  <c r="AU529" i="3" s="1"/>
  <c r="AU1410" i="3"/>
  <c r="AU570" i="3" s="1"/>
  <c r="AU1388" i="3"/>
  <c r="AU548" i="3" s="1"/>
  <c r="AU1359" i="3"/>
  <c r="AU519" i="3" s="1"/>
  <c r="AB1449" i="3"/>
  <c r="AB609" i="3" s="1"/>
  <c r="AB1260" i="3"/>
  <c r="AB420" i="3" s="1"/>
  <c r="AB1377" i="3"/>
  <c r="AB537" i="3" s="1"/>
  <c r="AB1275" i="3"/>
  <c r="AB435" i="3" s="1"/>
  <c r="AB1309" i="3"/>
  <c r="AB469" i="3" s="1"/>
  <c r="AB1317" i="3"/>
  <c r="AB477" i="3" s="1"/>
  <c r="AB1358" i="3"/>
  <c r="AB518" i="3" s="1"/>
  <c r="AB1203" i="3"/>
  <c r="AB363" i="3" s="1"/>
  <c r="R1347" i="3"/>
  <c r="R507" i="3" s="1"/>
  <c r="R1430" i="3"/>
  <c r="R590" i="3" s="1"/>
  <c r="R1410" i="3"/>
  <c r="R570" i="3" s="1"/>
  <c r="V1397" i="3"/>
  <c r="V557" i="3" s="1"/>
  <c r="V1396" i="3"/>
  <c r="V556" i="3" s="1"/>
  <c r="V1204" i="3"/>
  <c r="V364" i="3" s="1"/>
  <c r="V1447" i="3"/>
  <c r="V607" i="3" s="1"/>
  <c r="V1345" i="3"/>
  <c r="V505" i="3" s="1"/>
  <c r="V1262" i="3"/>
  <c r="V422" i="3" s="1"/>
  <c r="V1231" i="3"/>
  <c r="V391" i="3" s="1"/>
  <c r="V1263" i="3"/>
  <c r="V423" i="3" s="1"/>
  <c r="Z1333" i="3"/>
  <c r="Z493" i="3" s="1"/>
  <c r="AD1289" i="3"/>
  <c r="AD449" i="3" s="1"/>
  <c r="AD1260" i="3"/>
  <c r="AD420" i="3" s="1"/>
  <c r="AD1288" i="3"/>
  <c r="AD448" i="3" s="1"/>
  <c r="AD1262" i="3"/>
  <c r="AD422" i="3" s="1"/>
  <c r="AD1361" i="3"/>
  <c r="AD521" i="3" s="1"/>
  <c r="AD1339" i="3"/>
  <c r="AD499" i="3" s="1"/>
  <c r="AH1447" i="3"/>
  <c r="AH607" i="3" s="1"/>
  <c r="AH1309" i="3"/>
  <c r="AH1446" i="3"/>
  <c r="AH606" i="3" s="1"/>
  <c r="AH1347" i="3"/>
  <c r="AH507" i="3" s="1"/>
  <c r="AH1396" i="3"/>
  <c r="AH556" i="3" s="1"/>
  <c r="AH1258" i="3"/>
  <c r="AH418" i="3" s="1"/>
  <c r="AH1194" i="3"/>
  <c r="AH354" i="3" s="1"/>
  <c r="AL1261" i="3"/>
  <c r="AL421" i="3" s="1"/>
  <c r="AL1252" i="3"/>
  <c r="AL412" i="3" s="1"/>
  <c r="AL1188" i="3"/>
  <c r="AL348" i="3" s="1"/>
  <c r="AP1427" i="3"/>
  <c r="AP587" i="3" s="1"/>
  <c r="AP1441" i="3"/>
  <c r="AP601" i="3" s="1"/>
  <c r="AP1305" i="3"/>
  <c r="AP465" i="3" s="1"/>
  <c r="AP1225" i="3"/>
  <c r="AP385" i="3" s="1"/>
  <c r="AP1388" i="3"/>
  <c r="AP548" i="3" s="1"/>
  <c r="AP1387" i="3"/>
  <c r="AP547" i="3" s="1"/>
  <c r="AP1402" i="3"/>
  <c r="AP562" i="3" s="1"/>
  <c r="AP1283" i="3"/>
  <c r="AP443" i="3" s="1"/>
  <c r="AP1338" i="3"/>
  <c r="AP498" i="3" s="1"/>
  <c r="AP1320" i="3"/>
  <c r="AP480" i="3" s="1"/>
  <c r="AP1242" i="3"/>
  <c r="AP402" i="3" s="1"/>
  <c r="AP1222" i="3"/>
  <c r="AP382" i="3" s="1"/>
  <c r="AT1428" i="3"/>
  <c r="AT588" i="3" s="1"/>
  <c r="AX1437" i="3"/>
  <c r="AX597" i="3" s="1"/>
  <c r="AX1221" i="3"/>
  <c r="AX381" i="3" s="1"/>
  <c r="AX1212" i="3"/>
  <c r="AX372" i="3" s="1"/>
  <c r="AX1355" i="3"/>
  <c r="AX515" i="3" s="1"/>
  <c r="AX1350" i="3"/>
  <c r="AX510" i="3" s="1"/>
  <c r="AX1410" i="3"/>
  <c r="AX570" i="3" s="1"/>
  <c r="AX1306" i="3"/>
  <c r="AX466" i="3" s="1"/>
  <c r="P1381" i="3"/>
  <c r="P541" i="3" s="1"/>
  <c r="P1361" i="3"/>
  <c r="P521" i="3" s="1"/>
  <c r="P1189" i="3"/>
  <c r="P349" i="3" s="1"/>
  <c r="P1299" i="3"/>
  <c r="P459" i="3" s="1"/>
  <c r="P1435" i="3"/>
  <c r="P595" i="3" s="1"/>
  <c r="P1211" i="3"/>
  <c r="P371" i="3" s="1"/>
  <c r="P1430" i="3"/>
  <c r="P590" i="3" s="1"/>
  <c r="T1240" i="3"/>
  <c r="T400" i="3" s="1"/>
  <c r="X1442" i="3"/>
  <c r="X602" i="3" s="1"/>
  <c r="X1302" i="3"/>
  <c r="X462" i="3" s="1"/>
  <c r="X1455" i="3"/>
  <c r="X615" i="3" s="1"/>
  <c r="X1453" i="3"/>
  <c r="X613" i="3" s="1"/>
  <c r="X1397" i="3"/>
  <c r="X557" i="3" s="1"/>
  <c r="X1212" i="3"/>
  <c r="X372" i="3" s="1"/>
  <c r="X1387" i="3"/>
  <c r="X547" i="3" s="1"/>
  <c r="AF1449" i="3"/>
  <c r="AF609" i="3" s="1"/>
  <c r="AF1426" i="3"/>
  <c r="AF586" i="3" s="1"/>
  <c r="AF1379" i="3"/>
  <c r="AF539" i="3" s="1"/>
  <c r="AF1402" i="3"/>
  <c r="AF562" i="3" s="1"/>
  <c r="AJ1439" i="3"/>
  <c r="AJ599" i="3" s="1"/>
  <c r="AJ1300" i="3"/>
  <c r="AJ460" i="3" s="1"/>
  <c r="AJ1224" i="3"/>
  <c r="AJ384" i="3" s="1"/>
  <c r="AJ1446" i="3"/>
  <c r="AJ606" i="3" s="1"/>
  <c r="AJ1357" i="3"/>
  <c r="AJ517" i="3" s="1"/>
  <c r="AJ1327" i="3"/>
  <c r="AJ487" i="3" s="1"/>
  <c r="AJ1231" i="3"/>
  <c r="AJ391" i="3" s="1"/>
  <c r="AJ1262" i="3"/>
  <c r="AJ422" i="3" s="1"/>
  <c r="AJ1310" i="3"/>
  <c r="AJ470" i="3" s="1"/>
  <c r="AN1189" i="3"/>
  <c r="AN349" i="3" s="1"/>
  <c r="AN1276" i="3"/>
  <c r="AN436" i="3" s="1"/>
  <c r="AN1438" i="3"/>
  <c r="AN598" i="3" s="1"/>
  <c r="AN1226" i="3"/>
  <c r="AN386" i="3" s="1"/>
  <c r="AN1431" i="3"/>
  <c r="AN591" i="3" s="1"/>
  <c r="AN1429" i="3"/>
  <c r="AN589" i="3" s="1"/>
  <c r="AN1204" i="3"/>
  <c r="AN364" i="3" s="1"/>
  <c r="AV1333" i="3"/>
  <c r="AV493" i="3" s="1"/>
  <c r="AV1221" i="3"/>
  <c r="AV381" i="3" s="1"/>
  <c r="AV1337" i="3"/>
  <c r="AV497" i="3" s="1"/>
  <c r="AV1248" i="3"/>
  <c r="AV408" i="3" s="1"/>
  <c r="AV1203" i="3"/>
  <c r="AV363" i="3" s="1"/>
  <c r="AV1258" i="3"/>
  <c r="AV418" i="3" s="1"/>
  <c r="U1397" i="3"/>
  <c r="U557" i="3" s="1"/>
  <c r="Y1409" i="3"/>
  <c r="Y569" i="3" s="1"/>
  <c r="AC1451" i="3"/>
  <c r="AC611" i="3" s="1"/>
  <c r="AC1396" i="3"/>
  <c r="AC556" i="3" s="1"/>
  <c r="AC1454" i="3"/>
  <c r="AC614" i="3" s="1"/>
  <c r="AG1427" i="3"/>
  <c r="AG587" i="3" s="1"/>
  <c r="AG1425" i="3"/>
  <c r="AG585" i="3" s="1"/>
  <c r="AG1187" i="3"/>
  <c r="AG347" i="3" s="1"/>
  <c r="AG1186" i="3"/>
  <c r="AG346" i="3" s="1"/>
  <c r="AS1428" i="3"/>
  <c r="AS588" i="3" s="1"/>
  <c r="AW1431" i="3"/>
  <c r="AW591" i="3" s="1"/>
  <c r="AW1429" i="3"/>
  <c r="AW589" i="3" s="1"/>
  <c r="AW1407" i="3"/>
  <c r="AW567" i="3" s="1"/>
  <c r="AA1186" i="3"/>
  <c r="AA346" i="3" s="1"/>
  <c r="AA1270" i="3"/>
  <c r="AA430" i="3" s="1"/>
  <c r="AA1211" i="3"/>
  <c r="AA371" i="3" s="1"/>
  <c r="AE1261" i="3"/>
  <c r="AE421" i="3" s="1"/>
  <c r="AE1428" i="3"/>
  <c r="AE588" i="3" s="1"/>
  <c r="AE1196" i="3"/>
  <c r="AE356" i="3" s="1"/>
  <c r="AE1307" i="3"/>
  <c r="AE467" i="3" s="1"/>
  <c r="AE1275" i="3"/>
  <c r="AE435" i="3" s="1"/>
  <c r="AE1318" i="3"/>
  <c r="AE478" i="3" s="1"/>
  <c r="AI1380" i="3"/>
  <c r="AI540" i="3" s="1"/>
  <c r="AI1303" i="3"/>
  <c r="AI1239" i="3"/>
  <c r="AI399" i="3" s="1"/>
  <c r="AI1446" i="3"/>
  <c r="AI606" i="3" s="1"/>
  <c r="AI1410" i="3"/>
  <c r="AI570" i="3" s="1"/>
  <c r="AI1213" i="3"/>
  <c r="AI373" i="3" s="1"/>
  <c r="AI1413" i="3"/>
  <c r="AI573" i="3" s="1"/>
  <c r="AI1292" i="3"/>
  <c r="AI452" i="3" s="1"/>
  <c r="AM1289" i="3"/>
  <c r="AM449" i="3" s="1"/>
  <c r="AM1225" i="3"/>
  <c r="AM385" i="3" s="1"/>
  <c r="AM1260" i="3"/>
  <c r="AM420" i="3" s="1"/>
  <c r="AM1196" i="3"/>
  <c r="AM356" i="3" s="1"/>
  <c r="AM1381" i="3"/>
  <c r="AM541" i="3" s="1"/>
  <c r="AM1358" i="3"/>
  <c r="AM518" i="3" s="1"/>
  <c r="AM1270" i="3"/>
  <c r="AM430" i="3" s="1"/>
  <c r="AQ1300" i="3"/>
  <c r="AQ460" i="3" s="1"/>
  <c r="AQ1357" i="3"/>
  <c r="AQ517" i="3" s="1"/>
  <c r="AQ1293" i="3"/>
  <c r="AQ453" i="3" s="1"/>
  <c r="AQ1359" i="3"/>
  <c r="AQ519" i="3" s="1"/>
  <c r="AQ1377" i="3"/>
  <c r="AQ537" i="3" s="1"/>
  <c r="AQ1271" i="3"/>
  <c r="AQ431" i="3" s="1"/>
  <c r="AQ1410" i="3"/>
  <c r="AQ570" i="3" s="1"/>
  <c r="AQ1282" i="3"/>
  <c r="AQ442" i="3" s="1"/>
  <c r="AQ1202" i="3"/>
  <c r="AQ362" i="3" s="1"/>
  <c r="AU1319" i="3"/>
  <c r="AU479" i="3" s="1"/>
  <c r="AU1290" i="3"/>
  <c r="AU450" i="3" s="1"/>
  <c r="AU1226" i="3"/>
  <c r="AU386" i="3" s="1"/>
  <c r="AB1412" i="3"/>
  <c r="AB572" i="3" s="1"/>
  <c r="R1398" i="3"/>
  <c r="R558" i="3" s="1"/>
  <c r="Z1446" i="3"/>
  <c r="Z606" i="3" s="1"/>
  <c r="Z1347" i="3"/>
  <c r="Z507" i="3" s="1"/>
  <c r="Z1202" i="3"/>
  <c r="Z362" i="3" s="1"/>
  <c r="AD1397" i="3"/>
  <c r="AD557" i="3" s="1"/>
  <c r="AD1454" i="3"/>
  <c r="AD614" i="3" s="1"/>
  <c r="AD1426" i="3"/>
  <c r="AD586" i="3" s="1"/>
  <c r="AH1439" i="3"/>
  <c r="AH599" i="3" s="1"/>
  <c r="AH1429" i="3"/>
  <c r="AH589" i="3" s="1"/>
  <c r="AH1440" i="3"/>
  <c r="AH600" i="3" s="1"/>
  <c r="AH1441" i="3"/>
  <c r="AH601" i="3" s="1"/>
  <c r="AH1388" i="3"/>
  <c r="AH548" i="3" s="1"/>
  <c r="AL1409" i="3"/>
  <c r="AL569" i="3" s="1"/>
  <c r="AL1443" i="3"/>
  <c r="AL603" i="3" s="1"/>
  <c r="AL1389" i="3"/>
  <c r="AL549" i="3" s="1"/>
  <c r="AP1408" i="3"/>
  <c r="AP568" i="3" s="1"/>
  <c r="AT1188" i="3"/>
  <c r="AT1186" i="3"/>
  <c r="AT346" i="3" s="1"/>
  <c r="AT1440" i="3"/>
  <c r="AT600" i="3" s="1"/>
  <c r="AT1454" i="3"/>
  <c r="AT614" i="3" s="1"/>
  <c r="AX1411" i="3"/>
  <c r="AX571" i="3" s="1"/>
  <c r="P1439" i="3"/>
  <c r="P599" i="3" s="1"/>
  <c r="P1413" i="3"/>
  <c r="P573" i="3" s="1"/>
  <c r="P1188" i="3"/>
  <c r="P348" i="3" s="1"/>
  <c r="P1442" i="3"/>
  <c r="P602" i="3" s="1"/>
  <c r="T1189" i="3"/>
  <c r="T349" i="3" s="1"/>
  <c r="X1396" i="3"/>
  <c r="X556" i="3" s="1"/>
  <c r="X1187" i="3"/>
  <c r="X347" i="3" s="1"/>
  <c r="AF1407" i="3"/>
  <c r="AF567" i="3" s="1"/>
  <c r="AF1452" i="3"/>
  <c r="AF612" i="3" s="1"/>
  <c r="AF1438" i="3"/>
  <c r="AF598" i="3" s="1"/>
  <c r="AF1282" i="3"/>
  <c r="AF442" i="3" s="1"/>
  <c r="AF1274" i="3"/>
  <c r="AF434" i="3" s="1"/>
  <c r="AJ1441" i="3"/>
  <c r="AJ601" i="3" s="1"/>
  <c r="AJ1430" i="3"/>
  <c r="AJ590" i="3" s="1"/>
  <c r="AN1397" i="3"/>
  <c r="AN557" i="3" s="1"/>
  <c r="Q1340" i="3"/>
  <c r="Q500" i="3" s="1"/>
  <c r="Q1389" i="3"/>
  <c r="Q549" i="3" s="1"/>
  <c r="Q1187" i="3"/>
  <c r="Q347" i="3" s="1"/>
  <c r="Q1390" i="3"/>
  <c r="Q550" i="3" s="1"/>
  <c r="Q1251" i="3"/>
  <c r="Q411" i="3" s="1"/>
  <c r="Q1310" i="3"/>
  <c r="Q470" i="3" s="1"/>
  <c r="Q1303" i="3"/>
  <c r="Q463" i="3" s="1"/>
  <c r="U1400" i="3"/>
  <c r="U560" i="3" s="1"/>
  <c r="U1453" i="3"/>
  <c r="U613" i="3" s="1"/>
  <c r="U1443" i="3"/>
  <c r="U603" i="3" s="1"/>
  <c r="U1325" i="3"/>
  <c r="U485" i="3" s="1"/>
  <c r="U1213" i="3"/>
  <c r="U373" i="3" s="1"/>
  <c r="U1306" i="3"/>
  <c r="U466" i="3" s="1"/>
  <c r="U1242" i="3"/>
  <c r="U402" i="3" s="1"/>
  <c r="U1454" i="3"/>
  <c r="U614" i="3" s="1"/>
  <c r="Y1292" i="3"/>
  <c r="Y452" i="3" s="1"/>
  <c r="Y1196" i="3"/>
  <c r="Y356" i="3" s="1"/>
  <c r="Y1379" i="3"/>
  <c r="Y539" i="3" s="1"/>
  <c r="Y1231" i="3"/>
  <c r="Y391" i="3" s="1"/>
  <c r="Y1306" i="3"/>
  <c r="Y466" i="3" s="1"/>
  <c r="Y1242" i="3"/>
  <c r="Y402" i="3" s="1"/>
  <c r="Y1367" i="3"/>
  <c r="Y527" i="3" s="1"/>
  <c r="AC1439" i="3"/>
  <c r="AC599" i="3" s="1"/>
  <c r="AG1261" i="3"/>
  <c r="AG421" i="3" s="1"/>
  <c r="AG1452" i="3"/>
  <c r="AG612" i="3" s="1"/>
  <c r="AG1336" i="3"/>
  <c r="AG496" i="3" s="1"/>
  <c r="AG1272" i="3"/>
  <c r="AG432" i="3" s="1"/>
  <c r="AG1356" i="3"/>
  <c r="AG516" i="3" s="1"/>
  <c r="AG1387" i="3"/>
  <c r="AG547" i="3" s="1"/>
  <c r="AG1299" i="3"/>
  <c r="AG459" i="3" s="1"/>
  <c r="AG1310" i="3"/>
  <c r="AG470" i="3" s="1"/>
  <c r="AG1407" i="3"/>
  <c r="AG567" i="3" s="1"/>
  <c r="AK1451" i="3"/>
  <c r="AK611" i="3" s="1"/>
  <c r="AK1400" i="3"/>
  <c r="AK560" i="3" s="1"/>
  <c r="AK1348" i="3"/>
  <c r="AK508" i="3" s="1"/>
  <c r="AK1284" i="3"/>
  <c r="AK444" i="3" s="1"/>
  <c r="AK1220" i="3"/>
  <c r="AK380" i="3" s="1"/>
  <c r="AK1327" i="3"/>
  <c r="AK487" i="3" s="1"/>
  <c r="AK1263" i="3"/>
  <c r="AK423" i="3" s="1"/>
  <c r="AK1360" i="3"/>
  <c r="AK520" i="3" s="1"/>
  <c r="AK1250" i="3"/>
  <c r="AK410" i="3" s="1"/>
  <c r="AK1213" i="3"/>
  <c r="AK373" i="3" s="1"/>
  <c r="AK1390" i="3"/>
  <c r="AK550" i="3" s="1"/>
  <c r="AO1437" i="3"/>
  <c r="AO597" i="3" s="1"/>
  <c r="AO1387" i="3"/>
  <c r="AO1259" i="3"/>
  <c r="AO419" i="3" s="1"/>
  <c r="AO1450" i="3"/>
  <c r="AO610" i="3" s="1"/>
  <c r="AO1334" i="3"/>
  <c r="AO494" i="3" s="1"/>
  <c r="AO1270" i="3"/>
  <c r="AO430" i="3" s="1"/>
  <c r="AO1399" i="3"/>
  <c r="AO559" i="3" s="1"/>
  <c r="AO1213" i="3"/>
  <c r="AO373" i="3" s="1"/>
  <c r="AO1300" i="3"/>
  <c r="AO460" i="3" s="1"/>
  <c r="AO1248" i="3"/>
  <c r="AO408" i="3" s="1"/>
  <c r="AO1260" i="3"/>
  <c r="AO420" i="3" s="1"/>
  <c r="AO1240" i="3"/>
  <c r="AO400" i="3" s="1"/>
  <c r="AS1429" i="3"/>
  <c r="AS589" i="3" s="1"/>
  <c r="AS1272" i="3"/>
  <c r="AS432" i="3" s="1"/>
  <c r="AS1337" i="3"/>
  <c r="AS497" i="3" s="1"/>
  <c r="AS1273" i="3"/>
  <c r="AS433" i="3" s="1"/>
  <c r="AS1209" i="3"/>
  <c r="AS369" i="3" s="1"/>
  <c r="AS1432" i="3"/>
  <c r="AS592" i="3" s="1"/>
  <c r="AS1367" i="3"/>
  <c r="AS527" i="3" s="1"/>
  <c r="AS1457" i="3"/>
  <c r="AS617" i="3" s="1"/>
  <c r="AS1397" i="3"/>
  <c r="AS557" i="3" s="1"/>
  <c r="AS1396" i="3"/>
  <c r="AS556" i="3" s="1"/>
  <c r="AS1251" i="3"/>
  <c r="AS411" i="3" s="1"/>
  <c r="AS1187" i="3"/>
  <c r="AS347" i="3" s="1"/>
  <c r="AS1250" i="3"/>
  <c r="AS410" i="3" s="1"/>
  <c r="AW1456" i="3"/>
  <c r="AW616" i="3" s="1"/>
  <c r="AW1437" i="3"/>
  <c r="AW597" i="3" s="1"/>
  <c r="AW1275" i="3"/>
  <c r="AW435" i="3" s="1"/>
  <c r="AW1258" i="3"/>
  <c r="AW418" i="3" s="1"/>
  <c r="AW1194" i="3"/>
  <c r="AW354" i="3" s="1"/>
  <c r="AW1263" i="3"/>
  <c r="AW423" i="3" s="1"/>
  <c r="AW1390" i="3"/>
  <c r="AW550" i="3" s="1"/>
  <c r="S1456" i="3"/>
  <c r="S616" i="3" s="1"/>
  <c r="S1447" i="3"/>
  <c r="S607" i="3" s="1"/>
  <c r="S1409" i="3"/>
  <c r="S569" i="3" s="1"/>
  <c r="S1443" i="3"/>
  <c r="S603" i="3" s="1"/>
  <c r="S1350" i="3"/>
  <c r="S510" i="3" s="1"/>
  <c r="S1286" i="3"/>
  <c r="S446" i="3" s="1"/>
  <c r="S1241" i="3"/>
  <c r="S401" i="3" s="1"/>
  <c r="S1412" i="3"/>
  <c r="S572" i="3" s="1"/>
  <c r="S1303" i="3"/>
  <c r="S463" i="3" s="1"/>
  <c r="S1223" i="3"/>
  <c r="S383" i="3" s="1"/>
  <c r="S1196" i="3"/>
  <c r="S356" i="3" s="1"/>
  <c r="S1252" i="3"/>
  <c r="S412" i="3" s="1"/>
  <c r="S1446" i="3"/>
  <c r="S606" i="3" s="1"/>
  <c r="W1447" i="3"/>
  <c r="W607" i="3" s="1"/>
  <c r="W1427" i="3"/>
  <c r="W587" i="3" s="1"/>
  <c r="W1453" i="3"/>
  <c r="W613" i="3" s="1"/>
  <c r="W1398" i="3"/>
  <c r="W558" i="3" s="1"/>
  <c r="AA1225" i="3"/>
  <c r="AA385" i="3" s="1"/>
  <c r="AA1304" i="3"/>
  <c r="AA464" i="3" s="1"/>
  <c r="AA1224" i="3"/>
  <c r="AA384" i="3" s="1"/>
  <c r="AA1457" i="3"/>
  <c r="AA617" i="3" s="1"/>
  <c r="AA1380" i="3"/>
  <c r="AA540" i="3" s="1"/>
  <c r="AA1283" i="3"/>
  <c r="AA443" i="3" s="1"/>
  <c r="AA1346" i="3"/>
  <c r="AA506" i="3" s="1"/>
  <c r="AA1202" i="3"/>
  <c r="AA362" i="3" s="1"/>
  <c r="AE1189" i="3"/>
  <c r="AE349" i="3" s="1"/>
  <c r="AE1375" i="3"/>
  <c r="AE535" i="3" s="1"/>
  <c r="AE1289" i="3"/>
  <c r="AE449" i="3" s="1"/>
  <c r="AE1225" i="3"/>
  <c r="AE385" i="3" s="1"/>
  <c r="AE1272" i="3"/>
  <c r="AE432" i="3" s="1"/>
  <c r="AE1346" i="3"/>
  <c r="AE506" i="3" s="1"/>
  <c r="AE1282" i="3"/>
  <c r="AE442" i="3" s="1"/>
  <c r="AE1370" i="3"/>
  <c r="AE530" i="3" s="1"/>
  <c r="AI1203" i="3"/>
  <c r="AI363" i="3" s="1"/>
  <c r="AI1402" i="3"/>
  <c r="AI562" i="3" s="1"/>
  <c r="AB1431" i="3"/>
  <c r="AB1429" i="3"/>
  <c r="AB1328" i="3"/>
  <c r="AB488" i="3" s="1"/>
  <c r="R1337" i="3"/>
  <c r="R497" i="3" s="1"/>
  <c r="R1399" i="3"/>
  <c r="R559" i="3" s="1"/>
  <c r="R1441" i="3"/>
  <c r="R601" i="3" s="1"/>
  <c r="R1221" i="3"/>
  <c r="R381" i="3" s="1"/>
  <c r="R1212" i="3"/>
  <c r="R372" i="3" s="1"/>
  <c r="R1315" i="3"/>
  <c r="R475" i="3" s="1"/>
  <c r="R1214" i="3"/>
  <c r="R374" i="3" s="1"/>
  <c r="V1189" i="3"/>
  <c r="V349" i="3" s="1"/>
  <c r="V1196" i="3"/>
  <c r="V356" i="3" s="1"/>
  <c r="V1359" i="3"/>
  <c r="V519" i="3" s="1"/>
  <c r="V1306" i="3"/>
  <c r="V466" i="3" s="1"/>
  <c r="V1355" i="3"/>
  <c r="V515" i="3" s="1"/>
  <c r="V1370" i="3"/>
  <c r="V530" i="3" s="1"/>
  <c r="Z1453" i="3"/>
  <c r="Z613" i="3" s="1"/>
  <c r="Z1426" i="3"/>
  <c r="Z586" i="3" s="1"/>
  <c r="AD1220" i="3"/>
  <c r="AD380" i="3" s="1"/>
  <c r="AD1368" i="3"/>
  <c r="AD528" i="3" s="1"/>
  <c r="AD1337" i="3"/>
  <c r="AD497" i="3" s="1"/>
  <c r="AD1399" i="3"/>
  <c r="AD559" i="3" s="1"/>
  <c r="AD1450" i="3"/>
  <c r="AD610" i="3" s="1"/>
  <c r="AL1381" i="3"/>
  <c r="AL541" i="3" s="1"/>
  <c r="AL1408" i="3"/>
  <c r="AL568" i="3" s="1"/>
  <c r="AL1287" i="3"/>
  <c r="AL447" i="3" s="1"/>
  <c r="AL1290" i="3"/>
  <c r="AL450" i="3" s="1"/>
  <c r="AL1258" i="3"/>
  <c r="AL418" i="3" s="1"/>
  <c r="AL1194" i="3"/>
  <c r="AL354" i="3" s="1"/>
  <c r="AL1317" i="3"/>
  <c r="AL477" i="3" s="1"/>
  <c r="AL1432" i="3"/>
  <c r="AL592" i="3" s="1"/>
  <c r="AL1251" i="3"/>
  <c r="AL411" i="3" s="1"/>
  <c r="AL1187" i="3"/>
  <c r="AL347" i="3" s="1"/>
  <c r="AL1399" i="3"/>
  <c r="AL559" i="3" s="1"/>
  <c r="AL1284" i="3"/>
  <c r="AL444" i="3" s="1"/>
  <c r="AP1439" i="3"/>
  <c r="AP599" i="3" s="1"/>
  <c r="AP1429" i="3"/>
  <c r="AP589" i="3" s="1"/>
  <c r="AP1440" i="3"/>
  <c r="AP600" i="3" s="1"/>
  <c r="AT1388" i="3"/>
  <c r="AT548" i="3" s="1"/>
  <c r="AT1430" i="3"/>
  <c r="AT590" i="3" s="1"/>
  <c r="AT1402" i="3"/>
  <c r="AT562" i="3" s="1"/>
  <c r="AX1261" i="3"/>
  <c r="AX421" i="3" s="1"/>
  <c r="AX1188" i="3"/>
  <c r="AX348" i="3" s="1"/>
  <c r="AX1262" i="3"/>
  <c r="AX422" i="3" s="1"/>
  <c r="AX1326" i="3"/>
  <c r="AX486" i="3" s="1"/>
  <c r="AX1282" i="3"/>
  <c r="AX442" i="3" s="1"/>
  <c r="P1305" i="3"/>
  <c r="P465" i="3" s="1"/>
  <c r="P1433" i="3"/>
  <c r="P593" i="3" s="1"/>
  <c r="P1316" i="3"/>
  <c r="P476" i="3" s="1"/>
  <c r="P1327" i="3"/>
  <c r="P487" i="3" s="1"/>
  <c r="P1360" i="3"/>
  <c r="P520" i="3" s="1"/>
  <c r="P1432" i="3"/>
  <c r="P592" i="3" s="1"/>
  <c r="P1232" i="3"/>
  <c r="P392" i="3" s="1"/>
  <c r="P1219" i="3"/>
  <c r="P379" i="3" s="1"/>
  <c r="P1226" i="3"/>
  <c r="P386" i="3" s="1"/>
  <c r="P1319" i="3"/>
  <c r="P479" i="3" s="1"/>
  <c r="P1446" i="3"/>
  <c r="P606" i="3" s="1"/>
  <c r="T1427" i="3"/>
  <c r="T587" i="3" s="1"/>
  <c r="T1425" i="3"/>
  <c r="T585" i="3" s="1"/>
  <c r="T1308" i="3"/>
  <c r="T468" i="3" s="1"/>
  <c r="T1340" i="3"/>
  <c r="T500" i="3" s="1"/>
  <c r="T1375" i="3"/>
  <c r="T535" i="3" s="1"/>
  <c r="T1270" i="3"/>
  <c r="T430" i="3" s="1"/>
  <c r="T1396" i="3"/>
  <c r="T556" i="3" s="1"/>
  <c r="T1315" i="3"/>
  <c r="T475" i="3" s="1"/>
  <c r="T1454" i="3"/>
  <c r="T614" i="3" s="1"/>
  <c r="T1426" i="3"/>
  <c r="T586" i="3" s="1"/>
  <c r="T1442" i="3"/>
  <c r="T602" i="3" s="1"/>
  <c r="X1213" i="3"/>
  <c r="X373" i="3" s="1"/>
  <c r="X1412" i="3"/>
  <c r="X572" i="3" s="1"/>
  <c r="X1303" i="3"/>
  <c r="X463" i="3" s="1"/>
  <c r="X1454" i="3"/>
  <c r="X614" i="3" s="1"/>
  <c r="X1410" i="3"/>
  <c r="X570" i="3" s="1"/>
  <c r="X1439" i="3"/>
  <c r="X599" i="3" s="1"/>
  <c r="X1413" i="3"/>
  <c r="X573" i="3" s="1"/>
  <c r="AF1213" i="3"/>
  <c r="AF373" i="3" s="1"/>
  <c r="AF1431" i="3"/>
  <c r="AF591" i="3" s="1"/>
  <c r="AF1451" i="3"/>
  <c r="AF611" i="3" s="1"/>
  <c r="AF1231" i="3"/>
  <c r="AF391" i="3" s="1"/>
  <c r="AF1310" i="3"/>
  <c r="AF470" i="3" s="1"/>
  <c r="AF1368" i="3"/>
  <c r="AF528" i="3" s="1"/>
  <c r="AF1387" i="3"/>
  <c r="AF547" i="3" s="1"/>
  <c r="AJ1440" i="3"/>
  <c r="AJ600" i="3" s="1"/>
  <c r="AJ1292" i="3"/>
  <c r="AJ452" i="3" s="1"/>
  <c r="AJ1367" i="3"/>
  <c r="AJ527" i="3" s="1"/>
  <c r="AJ1414" i="3"/>
  <c r="AJ574" i="3" s="1"/>
  <c r="AJ1293" i="3"/>
  <c r="AJ453" i="3" s="1"/>
  <c r="AJ1251" i="3"/>
  <c r="AJ411" i="3" s="1"/>
  <c r="AJ1355" i="3"/>
  <c r="AJ515" i="3" s="1"/>
  <c r="AJ1437" i="3"/>
  <c r="AJ597" i="3" s="1"/>
  <c r="AJ1350" i="3"/>
  <c r="AJ510" i="3" s="1"/>
  <c r="AJ1426" i="3"/>
  <c r="AJ586" i="3" s="1"/>
  <c r="AN1348" i="3"/>
  <c r="AN508" i="3" s="1"/>
  <c r="AN1250" i="3"/>
  <c r="AN410" i="3" s="1"/>
  <c r="AN1186" i="3"/>
  <c r="AN346" i="3" s="1"/>
  <c r="AN1339" i="3"/>
  <c r="AN499" i="3" s="1"/>
  <c r="AN1320" i="3"/>
  <c r="AN480" i="3" s="1"/>
  <c r="AN1334" i="3"/>
  <c r="AN494" i="3" s="1"/>
  <c r="AN1224" i="3"/>
  <c r="AN384" i="3" s="1"/>
  <c r="AR1431" i="3"/>
  <c r="AR591" i="3" s="1"/>
  <c r="AR1429" i="3"/>
  <c r="AR589" i="3" s="1"/>
  <c r="AR1220" i="3"/>
  <c r="AR380" i="3" s="1"/>
  <c r="AR1335" i="3"/>
  <c r="AR495" i="3" s="1"/>
  <c r="AR1333" i="3"/>
  <c r="AR493" i="3" s="1"/>
  <c r="AR1271" i="3"/>
  <c r="AR431" i="3" s="1"/>
  <c r="AR1299" i="3"/>
  <c r="AR459" i="3" s="1"/>
  <c r="AR1201" i="3"/>
  <c r="AR361" i="3" s="1"/>
  <c r="AV1289" i="3"/>
  <c r="AV449" i="3" s="1"/>
  <c r="AV1325" i="3"/>
  <c r="AV485" i="3" s="1"/>
  <c r="AV1360" i="3"/>
  <c r="AV520" i="3" s="1"/>
  <c r="AV1224" i="3"/>
  <c r="AV384" i="3" s="1"/>
  <c r="AV1450" i="3"/>
  <c r="AV610" i="3" s="1"/>
  <c r="AV1186" i="3"/>
  <c r="AV346" i="3" s="1"/>
  <c r="AV1326" i="3"/>
  <c r="AV486" i="3" s="1"/>
  <c r="Q1455" i="3"/>
  <c r="Q615" i="3" s="1"/>
  <c r="Q1453" i="3"/>
  <c r="Q613" i="3" s="1"/>
  <c r="Q1325" i="3"/>
  <c r="Q485" i="3" s="1"/>
  <c r="Q1213" i="3"/>
  <c r="Q373" i="3" s="1"/>
  <c r="Q1320" i="3"/>
  <c r="Q480" i="3" s="1"/>
  <c r="Q1240" i="3"/>
  <c r="Q400" i="3" s="1"/>
  <c r="Q1437" i="3"/>
  <c r="Q597" i="3" s="1"/>
  <c r="Q1400" i="3"/>
  <c r="Q560" i="3" s="1"/>
  <c r="Q1247" i="3"/>
  <c r="Q407" i="3" s="1"/>
  <c r="Q1338" i="3"/>
  <c r="Q498" i="3" s="1"/>
  <c r="Q1258" i="3"/>
  <c r="Q418" i="3" s="1"/>
  <c r="Q1194" i="3"/>
  <c r="Q354" i="3" s="1"/>
  <c r="Q1263" i="3"/>
  <c r="Q423" i="3" s="1"/>
  <c r="U1337" i="3"/>
  <c r="U497" i="3" s="1"/>
  <c r="U1257" i="3"/>
  <c r="U417" i="3" s="1"/>
  <c r="U1193" i="3"/>
  <c r="U353" i="3" s="1"/>
  <c r="U1318" i="3"/>
  <c r="U478" i="3" s="1"/>
  <c r="U1222" i="3"/>
  <c r="U382" i="3" s="1"/>
  <c r="U1284" i="3"/>
  <c r="U444" i="3" s="1"/>
  <c r="U1307" i="3"/>
  <c r="U467" i="3" s="1"/>
  <c r="U1211" i="3"/>
  <c r="U371" i="3" s="1"/>
  <c r="U1370" i="3"/>
  <c r="U530" i="3" s="1"/>
  <c r="Y1356" i="3"/>
  <c r="Y516" i="3" s="1"/>
  <c r="Y1261" i="3"/>
  <c r="Y421" i="3" s="1"/>
  <c r="Y1336" i="3"/>
  <c r="Y496" i="3" s="1"/>
  <c r="Y1307" i="3"/>
  <c r="Y467" i="3" s="1"/>
  <c r="Y1211" i="3"/>
  <c r="Y371" i="3" s="1"/>
  <c r="Y1318" i="3"/>
  <c r="Y478" i="3" s="1"/>
  <c r="Y1222" i="3"/>
  <c r="Y382" i="3" s="1"/>
  <c r="AC1361" i="3"/>
  <c r="AC521" i="3" s="1"/>
  <c r="AC1261" i="3"/>
  <c r="AC421" i="3" s="1"/>
  <c r="AC1407" i="3"/>
  <c r="AC567" i="3" s="1"/>
  <c r="AC1264" i="3"/>
  <c r="AC424" i="3" s="1"/>
  <c r="AC1382" i="3"/>
  <c r="AC542" i="3" s="1"/>
  <c r="AC1287" i="3"/>
  <c r="AC447" i="3" s="1"/>
  <c r="AC1377" i="3"/>
  <c r="AC537" i="3" s="1"/>
  <c r="AC1355" i="3"/>
  <c r="AC515" i="3" s="1"/>
  <c r="AC1334" i="3"/>
  <c r="AC494" i="3" s="1"/>
  <c r="AG1448" i="3"/>
  <c r="AG608" i="3" s="1"/>
  <c r="AG1412" i="3"/>
  <c r="AG572" i="3" s="1"/>
  <c r="AG1437" i="3"/>
  <c r="AG597" i="3" s="1"/>
  <c r="AG1247" i="3"/>
  <c r="AG407" i="3" s="1"/>
  <c r="AG1446" i="3"/>
  <c r="AG606" i="3" s="1"/>
  <c r="AK1453" i="3"/>
  <c r="AK613" i="3" s="1"/>
  <c r="AK1443" i="3"/>
  <c r="AK603" i="3" s="1"/>
  <c r="AK1431" i="3"/>
  <c r="AK591" i="3" s="1"/>
  <c r="AK1232" i="3"/>
  <c r="AK392" i="3" s="1"/>
  <c r="AK1339" i="3"/>
  <c r="AK499" i="3" s="1"/>
  <c r="AK1275" i="3"/>
  <c r="AK435" i="3" s="1"/>
  <c r="AK1211" i="3"/>
  <c r="AK371" i="3" s="1"/>
  <c r="AK1356" i="3"/>
  <c r="AK516" i="3" s="1"/>
  <c r="AK1310" i="3"/>
  <c r="AK470" i="3" s="1"/>
  <c r="AK1337" i="3"/>
  <c r="AK497" i="3" s="1"/>
  <c r="AK1273" i="3"/>
  <c r="AK433" i="3" s="1"/>
  <c r="AK1209" i="3"/>
  <c r="AK369" i="3" s="1"/>
  <c r="AK1432" i="3"/>
  <c r="AK592" i="3" s="1"/>
  <c r="AO1409" i="3"/>
  <c r="AO569" i="3" s="1"/>
  <c r="AO1359" i="3"/>
  <c r="AO519" i="3" s="1"/>
  <c r="AO1303" i="3"/>
  <c r="AO463" i="3" s="1"/>
  <c r="AO1390" i="3"/>
  <c r="AO550" i="3" s="1"/>
  <c r="AO1186" i="3"/>
  <c r="AO346" i="3" s="1"/>
  <c r="AO1447" i="3"/>
  <c r="AO607" i="3" s="1"/>
  <c r="AO1337" i="3"/>
  <c r="AO497" i="3" s="1"/>
  <c r="AO1273" i="3"/>
  <c r="AO433" i="3" s="1"/>
  <c r="AO1209" i="3"/>
  <c r="AO369" i="3" s="1"/>
  <c r="AO1220" i="3"/>
  <c r="AO380" i="3" s="1"/>
  <c r="AS1300" i="3"/>
  <c r="AS460" i="3" s="1"/>
  <c r="AS1189" i="3"/>
  <c r="AS349" i="3" s="1"/>
  <c r="AS1439" i="3"/>
  <c r="AS599" i="3" s="1"/>
  <c r="AS1409" i="3"/>
  <c r="AS569" i="3" s="1"/>
  <c r="AW1396" i="3"/>
  <c r="AW556" i="3" s="1"/>
  <c r="AW1260" i="3"/>
  <c r="AW420" i="3" s="1"/>
  <c r="AW1196" i="3"/>
  <c r="AW356" i="3" s="1"/>
  <c r="AW1388" i="3"/>
  <c r="AW548" i="3" s="1"/>
  <c r="AW1350" i="3"/>
  <c r="AW510" i="3" s="1"/>
  <c r="AW1286" i="3"/>
  <c r="AW446" i="3" s="1"/>
  <c r="AW1222" i="3"/>
  <c r="AW382" i="3" s="1"/>
  <c r="S1379" i="3"/>
  <c r="S539" i="3" s="1"/>
  <c r="S1202" i="3"/>
  <c r="S362" i="3" s="1"/>
  <c r="S1301" i="3"/>
  <c r="S461" i="3" s="1"/>
  <c r="S1189" i="3"/>
  <c r="S349" i="3" s="1"/>
  <c r="S1315" i="3"/>
  <c r="S475" i="3" s="1"/>
  <c r="S1219" i="3"/>
  <c r="S379" i="3" s="1"/>
  <c r="S1272" i="3"/>
  <c r="S432" i="3" s="1"/>
  <c r="S1248" i="3"/>
  <c r="S408" i="3" s="1"/>
  <c r="W1432" i="3"/>
  <c r="W592" i="3" s="1"/>
  <c r="W1264" i="3"/>
  <c r="W424" i="3" s="1"/>
  <c r="W1219" i="3"/>
  <c r="W379" i="3" s="1"/>
  <c r="W1250" i="3"/>
  <c r="W410" i="3" s="1"/>
  <c r="W1378" i="3"/>
  <c r="W538" i="3" s="1"/>
  <c r="AA1447" i="3"/>
  <c r="AA607" i="3" s="1"/>
  <c r="AA1326" i="3"/>
  <c r="AA486" i="3" s="1"/>
  <c r="AA1214" i="3"/>
  <c r="AA374" i="3" s="1"/>
  <c r="AA1402" i="3"/>
  <c r="AA562" i="3" s="1"/>
  <c r="AE1451" i="3"/>
  <c r="AE611" i="3" s="1"/>
  <c r="AE1389" i="3"/>
  <c r="AE549" i="3" s="1"/>
  <c r="AE1317" i="3"/>
  <c r="AE477" i="3" s="1"/>
  <c r="AE1300" i="3"/>
  <c r="AE460" i="3" s="1"/>
  <c r="AE1347" i="3"/>
  <c r="AE507" i="3" s="1"/>
  <c r="AE1283" i="3"/>
  <c r="AE443" i="3" s="1"/>
  <c r="AE1219" i="3"/>
  <c r="AE379" i="3" s="1"/>
  <c r="AE1214" i="3"/>
  <c r="AE374" i="3" s="1"/>
  <c r="AE1390" i="3"/>
  <c r="AE550" i="3" s="1"/>
  <c r="AI1388" i="3"/>
  <c r="AI548" i="3" s="1"/>
  <c r="AI1196" i="3"/>
  <c r="AI356" i="3" s="1"/>
  <c r="AI1327" i="3"/>
  <c r="AI487" i="3" s="1"/>
  <c r="AI1263" i="3"/>
  <c r="AI423" i="3" s="1"/>
  <c r="AI1301" i="3"/>
  <c r="AI461" i="3" s="1"/>
  <c r="AI1356" i="3"/>
  <c r="AI516" i="3" s="1"/>
  <c r="AI1348" i="3"/>
  <c r="AI508" i="3" s="1"/>
  <c r="AI1284" i="3"/>
  <c r="AI444" i="3" s="1"/>
  <c r="AI1220" i="3"/>
  <c r="AI380" i="3" s="1"/>
  <c r="AI1370" i="3"/>
  <c r="AI530" i="3" s="1"/>
  <c r="AI1306" i="3"/>
  <c r="AI466" i="3" s="1"/>
  <c r="AI1242" i="3"/>
  <c r="AI402" i="3" s="1"/>
  <c r="AI1414" i="3"/>
  <c r="AI574" i="3" s="1"/>
  <c r="AM1432" i="3"/>
  <c r="AM592" i="3" s="1"/>
  <c r="AM1316" i="3"/>
  <c r="AM476" i="3" s="1"/>
  <c r="AM1252" i="3"/>
  <c r="AM412" i="3" s="1"/>
  <c r="AM1188" i="3"/>
  <c r="AM348" i="3" s="1"/>
  <c r="AM1440" i="3"/>
  <c r="AM600" i="3" s="1"/>
  <c r="AM1389" i="3"/>
  <c r="AM549" i="3" s="1"/>
  <c r="AM1399" i="3"/>
  <c r="AM559" i="3" s="1"/>
  <c r="AM1443" i="3"/>
  <c r="AM603" i="3" s="1"/>
  <c r="AM1219" i="3"/>
  <c r="AM379" i="3" s="1"/>
  <c r="AM1250" i="3"/>
  <c r="AM410" i="3" s="1"/>
  <c r="AM1302" i="3"/>
  <c r="AM462" i="3" s="1"/>
  <c r="AQ1452" i="3"/>
  <c r="AQ612" i="3" s="1"/>
  <c r="AQ1340" i="3"/>
  <c r="AQ500" i="3" s="1"/>
  <c r="AQ1276" i="3"/>
  <c r="AQ436" i="3" s="1"/>
  <c r="AQ1212" i="3"/>
  <c r="AQ372" i="3" s="1"/>
  <c r="AQ1333" i="3"/>
  <c r="AQ493" i="3" s="1"/>
  <c r="AQ1269" i="3"/>
  <c r="AQ429" i="3" s="1"/>
  <c r="AQ1360" i="3"/>
  <c r="AQ520" i="3" s="1"/>
  <c r="AQ1369" i="3"/>
  <c r="AQ529" i="3" s="1"/>
  <c r="AQ1358" i="3"/>
  <c r="AQ518" i="3" s="1"/>
  <c r="AQ1294" i="3"/>
  <c r="AQ454" i="3" s="1"/>
  <c r="AQ1274" i="3"/>
  <c r="AQ434" i="3" s="1"/>
  <c r="AU1247" i="3"/>
  <c r="AU407" i="3" s="1"/>
  <c r="AU1362" i="3"/>
  <c r="AU522" i="3" s="1"/>
  <c r="AU1431" i="3"/>
  <c r="AU591" i="3" s="1"/>
  <c r="AU1413" i="3"/>
  <c r="AU573" i="3" s="1"/>
  <c r="AU1301" i="3"/>
  <c r="AU461" i="3" s="1"/>
  <c r="AU1288" i="3"/>
  <c r="AU448" i="3" s="1"/>
  <c r="AU1224" i="3"/>
  <c r="AU384" i="3" s="1"/>
  <c r="AI1440" i="3"/>
  <c r="AI600" i="3" s="1"/>
  <c r="AM1427" i="3"/>
  <c r="AM587" i="3" s="1"/>
  <c r="AM1437" i="3"/>
  <c r="AM597" i="3" s="1"/>
  <c r="AT1455" i="3"/>
  <c r="AT615" i="3" s="1"/>
  <c r="AN1456" i="3"/>
  <c r="AN616" i="3" s="1"/>
  <c r="AX1186" i="3"/>
  <c r="AX346" i="3" s="1"/>
  <c r="AP76" i="3"/>
  <c r="AO79" i="3"/>
  <c r="S1381" i="3"/>
  <c r="S541" i="3" s="1"/>
  <c r="AO78" i="3"/>
  <c r="AW76" i="3"/>
  <c r="AB1345" i="3"/>
  <c r="AB505" i="3" s="1"/>
  <c r="R1292" i="3"/>
  <c r="R452" i="3" s="1"/>
  <c r="R1251" i="3"/>
  <c r="R411" i="3" s="1"/>
  <c r="R1414" i="3"/>
  <c r="R574" i="3" s="1"/>
  <c r="R1401" i="3"/>
  <c r="R561" i="3" s="1"/>
  <c r="R1201" i="3"/>
  <c r="R361" i="3" s="1"/>
  <c r="R1276" i="3"/>
  <c r="R436" i="3" s="1"/>
  <c r="R1299" i="3"/>
  <c r="R459" i="3" s="1"/>
  <c r="R1370" i="3"/>
  <c r="R530" i="3" s="1"/>
  <c r="R1258" i="3"/>
  <c r="R418" i="3" s="1"/>
  <c r="R1194" i="3"/>
  <c r="R354" i="3" s="1"/>
  <c r="R1442" i="3"/>
  <c r="R602" i="3" s="1"/>
  <c r="V1369" i="3"/>
  <c r="V529" i="3" s="1"/>
  <c r="V1249" i="3"/>
  <c r="V409" i="3" s="1"/>
  <c r="V1224" i="3"/>
  <c r="V384" i="3" s="1"/>
  <c r="V1283" i="3"/>
  <c r="V443" i="3" s="1"/>
  <c r="V1301" i="3"/>
  <c r="V461" i="3" s="1"/>
  <c r="V1202" i="3"/>
  <c r="V362" i="3" s="1"/>
  <c r="V1219" i="3"/>
  <c r="V379" i="3" s="1"/>
  <c r="V1390" i="3"/>
  <c r="V550" i="3" s="1"/>
  <c r="Z1285" i="3"/>
  <c r="Z445" i="3" s="1"/>
  <c r="Z1421" i="3"/>
  <c r="Z581" i="3" s="1"/>
  <c r="Z1213" i="3"/>
  <c r="Z373" i="3" s="1"/>
  <c r="Z1220" i="3"/>
  <c r="Z380" i="3" s="1"/>
  <c r="Z1315" i="3"/>
  <c r="Z475" i="3" s="1"/>
  <c r="Z1239" i="3"/>
  <c r="Z399" i="3" s="1"/>
  <c r="Z1307" i="3"/>
  <c r="Z467" i="3" s="1"/>
  <c r="Z1226" i="3"/>
  <c r="Z386" i="3" s="1"/>
  <c r="Z1438" i="3"/>
  <c r="Z598" i="3" s="1"/>
  <c r="Z1310" i="3"/>
  <c r="Z470" i="3" s="1"/>
  <c r="AD1189" i="3"/>
  <c r="AD349" i="3" s="1"/>
  <c r="AD1232" i="3"/>
  <c r="AD392" i="3" s="1"/>
  <c r="AD1336" i="3"/>
  <c r="AD496" i="3" s="1"/>
  <c r="AD1457" i="3"/>
  <c r="AD617" i="3" s="1"/>
  <c r="AL1247" i="3"/>
  <c r="AL407" i="3" s="1"/>
  <c r="AL1324" i="3"/>
  <c r="AL484" i="3" s="1"/>
  <c r="AL1268" i="3"/>
  <c r="AL428" i="3" s="1"/>
  <c r="AP1356" i="3"/>
  <c r="AP516" i="3" s="1"/>
  <c r="AP1345" i="3"/>
  <c r="AP505" i="3" s="1"/>
  <c r="AP1316" i="3"/>
  <c r="AP476" i="3" s="1"/>
  <c r="AP1359" i="3"/>
  <c r="AP519" i="3" s="1"/>
  <c r="AP1368" i="3"/>
  <c r="AP528" i="3" s="1"/>
  <c r="AP1397" i="3"/>
  <c r="AP557" i="3" s="1"/>
  <c r="AP1424" i="3"/>
  <c r="AP584" i="3" s="1"/>
  <c r="AP1407" i="3"/>
  <c r="AP567" i="3" s="1"/>
  <c r="AP1219" i="3"/>
  <c r="AP379" i="3" s="1"/>
  <c r="AP1390" i="3"/>
  <c r="AP550" i="3" s="1"/>
  <c r="AP1442" i="3"/>
  <c r="AP602" i="3" s="1"/>
  <c r="AP1314" i="3"/>
  <c r="AP474" i="3" s="1"/>
  <c r="AP1335" i="3"/>
  <c r="AP495" i="3" s="1"/>
  <c r="AP1194" i="3"/>
  <c r="AP354" i="3" s="1"/>
  <c r="AT1419" i="3"/>
  <c r="AT579" i="3" s="1"/>
  <c r="AT1381" i="3"/>
  <c r="AT541" i="3" s="1"/>
  <c r="AT1408" i="3"/>
  <c r="AT568" i="3" s="1"/>
  <c r="AT1228" i="3"/>
  <c r="AT388" i="3" s="1"/>
  <c r="AT1367" i="3"/>
  <c r="AT527" i="3" s="1"/>
  <c r="AT1242" i="3"/>
  <c r="AT402" i="3" s="1"/>
  <c r="AT1385" i="3"/>
  <c r="AT545" i="3" s="1"/>
  <c r="AT1447" i="3"/>
  <c r="AT607" i="3" s="1"/>
  <c r="AT1285" i="3"/>
  <c r="AT445" i="3" s="1"/>
  <c r="AT1280" i="3"/>
  <c r="AT440" i="3" s="1"/>
  <c r="AT1295" i="3"/>
  <c r="AT455" i="3" s="1"/>
  <c r="AT1422" i="3"/>
  <c r="AT582" i="3" s="1"/>
  <c r="AT1282" i="3"/>
  <c r="AT442" i="3" s="1"/>
  <c r="AT1358" i="3"/>
  <c r="AT518" i="3" s="1"/>
  <c r="AX1455" i="3"/>
  <c r="AX615" i="3" s="1"/>
  <c r="AX1449" i="3"/>
  <c r="AX609" i="3" s="1"/>
  <c r="AX1337" i="3"/>
  <c r="AX497" i="3" s="1"/>
  <c r="AX1316" i="3"/>
  <c r="AX476" i="3" s="1"/>
  <c r="AX1275" i="3"/>
  <c r="AX435" i="3" s="1"/>
  <c r="AX1270" i="3"/>
  <c r="AX430" i="3" s="1"/>
  <c r="AX1241" i="3"/>
  <c r="AX401" i="3" s="1"/>
  <c r="AX1416" i="3"/>
  <c r="AX576" i="3" s="1"/>
  <c r="AX1232" i="3"/>
  <c r="AX392" i="3" s="1"/>
  <c r="AX1291" i="3"/>
  <c r="AX451" i="3" s="1"/>
  <c r="AX1315" i="3"/>
  <c r="AX475" i="3" s="1"/>
  <c r="AX1258" i="3"/>
  <c r="AX418" i="3" s="1"/>
  <c r="AX1194" i="3"/>
  <c r="AX354" i="3" s="1"/>
  <c r="P1357" i="3"/>
  <c r="P517" i="3" s="1"/>
  <c r="P1380" i="3"/>
  <c r="P540" i="3" s="1"/>
  <c r="P1225" i="3"/>
  <c r="P385" i="3" s="1"/>
  <c r="P1271" i="3"/>
  <c r="P431" i="3" s="1"/>
  <c r="P1307" i="3"/>
  <c r="P467" i="3" s="1"/>
  <c r="P1260" i="3"/>
  <c r="P420" i="3" s="1"/>
  <c r="P1247" i="3"/>
  <c r="P407" i="3" s="1"/>
  <c r="P1434" i="3"/>
  <c r="P594" i="3" s="1"/>
  <c r="P1294" i="3"/>
  <c r="P454" i="3" s="1"/>
  <c r="P1390" i="3"/>
  <c r="P550" i="3" s="1"/>
  <c r="T1449" i="3"/>
  <c r="T609" i="3" s="1"/>
  <c r="T1260" i="3"/>
  <c r="T420" i="3" s="1"/>
  <c r="T1333" i="3"/>
  <c r="T493" i="3" s="1"/>
  <c r="T1411" i="3"/>
  <c r="T571" i="3" s="1"/>
  <c r="T1407" i="3"/>
  <c r="T567" i="3" s="1"/>
  <c r="T1335" i="3"/>
  <c r="T495" i="3" s="1"/>
  <c r="T1282" i="3"/>
  <c r="T442" i="3" s="1"/>
  <c r="T1223" i="3"/>
  <c r="T383" i="3" s="1"/>
  <c r="T1258" i="3"/>
  <c r="T418" i="3" s="1"/>
  <c r="X1257" i="3"/>
  <c r="X417" i="3" s="1"/>
  <c r="X1193" i="3"/>
  <c r="X353" i="3" s="1"/>
  <c r="X1289" i="3"/>
  <c r="X449" i="3" s="1"/>
  <c r="X1360" i="3"/>
  <c r="X520" i="3" s="1"/>
  <c r="X1450" i="3"/>
  <c r="X610" i="3" s="1"/>
  <c r="X1306" i="3"/>
  <c r="X466" i="3" s="1"/>
  <c r="X1202" i="3"/>
  <c r="X362" i="3" s="1"/>
  <c r="X1457" i="3"/>
  <c r="X617" i="3" s="1"/>
  <c r="X1401" i="3"/>
  <c r="X561" i="3" s="1"/>
  <c r="X1451" i="3"/>
  <c r="X611" i="3" s="1"/>
  <c r="X1327" i="3"/>
  <c r="X487" i="3" s="1"/>
  <c r="X1304" i="3"/>
  <c r="X464" i="3" s="1"/>
  <c r="AF1395" i="3"/>
  <c r="AF555" i="3" s="1"/>
  <c r="AF1301" i="3"/>
  <c r="AF461" i="3" s="1"/>
  <c r="AF1380" i="3"/>
  <c r="AF540" i="3" s="1"/>
  <c r="AF1427" i="3"/>
  <c r="AF587" i="3" s="1"/>
  <c r="AF1425" i="3"/>
  <c r="AF585" i="3" s="1"/>
  <c r="AF1228" i="3"/>
  <c r="AF388" i="3" s="1"/>
  <c r="AF1338" i="3"/>
  <c r="AF498" i="3" s="1"/>
  <c r="AF1295" i="3"/>
  <c r="AF455" i="3" s="1"/>
  <c r="AF1211" i="3"/>
  <c r="AF371" i="3" s="1"/>
  <c r="AF1290" i="3"/>
  <c r="AF450" i="3" s="1"/>
  <c r="AF1218" i="3"/>
  <c r="AF1324" i="3"/>
  <c r="AF484" i="3" s="1"/>
  <c r="AJ1304" i="3"/>
  <c r="AJ464" i="3" s="1"/>
  <c r="AJ1228" i="3"/>
  <c r="AJ388" i="3" s="1"/>
  <c r="AJ1268" i="3"/>
  <c r="AJ428" i="3" s="1"/>
  <c r="AJ1229" i="3"/>
  <c r="AJ389" i="3" s="1"/>
  <c r="AJ1283" i="3"/>
  <c r="AJ443" i="3" s="1"/>
  <c r="AJ1305" i="3"/>
  <c r="AJ465" i="3" s="1"/>
  <c r="AN1411" i="3"/>
  <c r="AN571" i="3" s="1"/>
  <c r="AN1404" i="3"/>
  <c r="AN564" i="3" s="1"/>
  <c r="AR1387" i="3"/>
  <c r="AR547" i="3" s="1"/>
  <c r="AR1407" i="3"/>
  <c r="AR567" i="3" s="1"/>
  <c r="AV1395" i="3"/>
  <c r="AV555" i="3" s="1"/>
  <c r="AV1452" i="3"/>
  <c r="AV612" i="3" s="1"/>
  <c r="AV1446" i="3"/>
  <c r="AV606" i="3" s="1"/>
  <c r="Q1447" i="3"/>
  <c r="Q607" i="3" s="1"/>
  <c r="Q1401" i="3"/>
  <c r="Q561" i="3" s="1"/>
  <c r="U1395" i="3"/>
  <c r="U555" i="3" s="1"/>
  <c r="U1399" i="3"/>
  <c r="U559" i="3" s="1"/>
  <c r="Y1407" i="3"/>
  <c r="Y567" i="3" s="1"/>
  <c r="AC1402" i="3"/>
  <c r="AC562" i="3" s="1"/>
  <c r="AC1401" i="3"/>
  <c r="AC561" i="3" s="1"/>
  <c r="AC1400" i="3"/>
  <c r="AC560" i="3" s="1"/>
  <c r="AC1186" i="3"/>
  <c r="AC346" i="3" s="1"/>
  <c r="AG1451" i="3"/>
  <c r="AG611" i="3" s="1"/>
  <c r="AK1405" i="3"/>
  <c r="AK565" i="3" s="1"/>
  <c r="AK1416" i="3"/>
  <c r="AK576" i="3" s="1"/>
  <c r="AK1429" i="3"/>
  <c r="AK589" i="3" s="1"/>
  <c r="AK1446" i="3"/>
  <c r="AK606" i="3" s="1"/>
  <c r="AK1406" i="3"/>
  <c r="AK566" i="3" s="1"/>
  <c r="AK1407" i="3"/>
  <c r="AK567" i="3" s="1"/>
  <c r="AK1414" i="3"/>
  <c r="AK574" i="3" s="1"/>
  <c r="AO1395" i="3"/>
  <c r="AO555" i="3" s="1"/>
  <c r="AO1442" i="3"/>
  <c r="AO602" i="3" s="1"/>
  <c r="AO1402" i="3"/>
  <c r="AO562" i="3" s="1"/>
  <c r="AS1377" i="3"/>
  <c r="AS537" i="3" s="1"/>
  <c r="AS1450" i="3"/>
  <c r="AS610" i="3" s="1"/>
  <c r="AS1410" i="3"/>
  <c r="AS570" i="3" s="1"/>
  <c r="AW1186" i="3"/>
  <c r="AW346" i="3" s="1"/>
  <c r="AW1454" i="3"/>
  <c r="AW614" i="3" s="1"/>
  <c r="AW1398" i="3"/>
  <c r="AW558" i="3" s="1"/>
  <c r="S1449" i="3"/>
  <c r="S609" i="3" s="1"/>
  <c r="W1209" i="3"/>
  <c r="W369" i="3" s="1"/>
  <c r="AA1432" i="3"/>
  <c r="AA592" i="3" s="1"/>
  <c r="AE1441" i="3"/>
  <c r="AE601" i="3" s="1"/>
  <c r="AE1443" i="3"/>
  <c r="AE603" i="3" s="1"/>
  <c r="AE1430" i="3"/>
  <c r="AE590" i="3" s="1"/>
  <c r="AI1449" i="3"/>
  <c r="AI609" i="3" s="1"/>
  <c r="AI1439" i="3"/>
  <c r="AI599" i="3" s="1"/>
  <c r="AI1361" i="3"/>
  <c r="AI521" i="3" s="1"/>
  <c r="AI1296" i="3"/>
  <c r="AI456" i="3" s="1"/>
  <c r="AI1448" i="3"/>
  <c r="AI608" i="3" s="1"/>
  <c r="AM1428" i="3"/>
  <c r="AM588" i="3" s="1"/>
  <c r="Z1447" i="3"/>
  <c r="Z607" i="3" s="1"/>
  <c r="Z1441" i="3"/>
  <c r="Z601" i="3" s="1"/>
  <c r="AD1431" i="3"/>
  <c r="AD591" i="3" s="1"/>
  <c r="AD1425" i="3"/>
  <c r="AD585" i="3" s="1"/>
  <c r="AD1456" i="3"/>
  <c r="AD616" i="3" s="1"/>
  <c r="AJ1448" i="3"/>
  <c r="AJ608" i="3" s="1"/>
  <c r="AJ1454" i="3"/>
  <c r="AJ614" i="3" s="1"/>
  <c r="AN1448" i="3"/>
  <c r="AN608" i="3" s="1"/>
  <c r="AR1447" i="3"/>
  <c r="AR607" i="3" s="1"/>
  <c r="AR1191" i="3"/>
  <c r="AR351" i="3" s="1"/>
  <c r="AR1222" i="3"/>
  <c r="AR382" i="3" s="1"/>
  <c r="AR1298" i="3"/>
  <c r="AR458" i="3" s="1"/>
  <c r="AR1358" i="3"/>
  <c r="AR518" i="3" s="1"/>
  <c r="AV1405" i="3"/>
  <c r="AV565" i="3" s="1"/>
  <c r="AV1281" i="3"/>
  <c r="AV441" i="3" s="1"/>
  <c r="AV1361" i="3"/>
  <c r="AV521" i="3" s="1"/>
  <c r="AV1332" i="3"/>
  <c r="AV492" i="3" s="1"/>
  <c r="AV1387" i="3"/>
  <c r="AV547" i="3" s="1"/>
  <c r="AV1322" i="3"/>
  <c r="AV482" i="3" s="1"/>
  <c r="AV1283" i="3"/>
  <c r="AV443" i="3" s="1"/>
  <c r="AV1448" i="3"/>
  <c r="AV608" i="3" s="1"/>
  <c r="AV1264" i="3"/>
  <c r="AV424" i="3" s="1"/>
  <c r="AV1200" i="3"/>
  <c r="AV360" i="3" s="1"/>
  <c r="AV1311" i="3"/>
  <c r="AV471" i="3" s="1"/>
  <c r="AV1219" i="3"/>
  <c r="AV379" i="3" s="1"/>
  <c r="AV1282" i="3"/>
  <c r="AV442" i="3" s="1"/>
  <c r="AV1210" i="3"/>
  <c r="AV370" i="3" s="1"/>
  <c r="AV1274" i="3"/>
  <c r="AV434" i="3" s="1"/>
  <c r="AV1414" i="3"/>
  <c r="AV574" i="3" s="1"/>
  <c r="Q1439" i="3"/>
  <c r="Q599" i="3" s="1"/>
  <c r="Q1397" i="3"/>
  <c r="Q557" i="3" s="1"/>
  <c r="Q1301" i="3"/>
  <c r="Q461" i="3" s="1"/>
  <c r="Q1408" i="3"/>
  <c r="Q568" i="3" s="1"/>
  <c r="Q1248" i="3"/>
  <c r="Q408" i="3" s="1"/>
  <c r="Q1395" i="3"/>
  <c r="Q555" i="3" s="1"/>
  <c r="Q1450" i="3"/>
  <c r="Q610" i="3" s="1"/>
  <c r="Q1370" i="3"/>
  <c r="Q530" i="3" s="1"/>
  <c r="Q1410" i="3"/>
  <c r="Q570" i="3" s="1"/>
  <c r="Q1282" i="3"/>
  <c r="Q442" i="3" s="1"/>
  <c r="Q1387" i="3"/>
  <c r="Q547" i="3" s="1"/>
  <c r="U1375" i="3"/>
  <c r="U535" i="3" s="1"/>
  <c r="U1233" i="3"/>
  <c r="U393" i="3" s="1"/>
  <c r="U1440" i="3"/>
  <c r="U600" i="3" s="1"/>
  <c r="U1358" i="3"/>
  <c r="U518" i="3" s="1"/>
  <c r="U1262" i="3"/>
  <c r="U422" i="3" s="1"/>
  <c r="U1308" i="3"/>
  <c r="U468" i="3" s="1"/>
  <c r="U1212" i="3"/>
  <c r="U372" i="3" s="1"/>
  <c r="U1315" i="3"/>
  <c r="U475" i="3" s="1"/>
  <c r="U1219" i="3"/>
  <c r="U379" i="3" s="1"/>
  <c r="U1186" i="3"/>
  <c r="U346" i="3" s="1"/>
  <c r="Y1411" i="3"/>
  <c r="Y571" i="3" s="1"/>
  <c r="Y1333" i="3"/>
  <c r="Y493" i="3" s="1"/>
  <c r="Y1269" i="3"/>
  <c r="Y429" i="3" s="1"/>
  <c r="Y1248" i="3"/>
  <c r="Y408" i="3" s="1"/>
  <c r="Y1456" i="3"/>
  <c r="Y616" i="3" s="1"/>
  <c r="Y1396" i="3"/>
  <c r="Y556" i="3" s="1"/>
  <c r="Y1315" i="3"/>
  <c r="Y475" i="3" s="1"/>
  <c r="Y1219" i="3"/>
  <c r="Y379" i="3" s="1"/>
  <c r="Y1426" i="3"/>
  <c r="Y586" i="3" s="1"/>
  <c r="Y1326" i="3"/>
  <c r="Y486" i="3" s="1"/>
  <c r="Y1214" i="3"/>
  <c r="Y374" i="3" s="1"/>
  <c r="AC1441" i="3"/>
  <c r="AC601" i="3" s="1"/>
  <c r="AC1333" i="3"/>
  <c r="AC493" i="3" s="1"/>
  <c r="AC1269" i="3"/>
  <c r="AC429" i="3" s="1"/>
  <c r="AC1320" i="3"/>
  <c r="AC480" i="3" s="1"/>
  <c r="AC1240" i="3"/>
  <c r="AC400" i="3" s="1"/>
  <c r="AC1327" i="3"/>
  <c r="AC487" i="3" s="1"/>
  <c r="AC1397" i="3"/>
  <c r="AC557" i="3" s="1"/>
  <c r="AC1424" i="3"/>
  <c r="AC584" i="3" s="1"/>
  <c r="AC1231" i="3"/>
  <c r="AC391" i="3" s="1"/>
  <c r="AC1262" i="3"/>
  <c r="AC422" i="3" s="1"/>
  <c r="AG1297" i="3"/>
  <c r="AG457" i="3" s="1"/>
  <c r="AG1233" i="3"/>
  <c r="AG393" i="3" s="1"/>
  <c r="AG1440" i="3"/>
  <c r="AG600" i="3" s="1"/>
  <c r="AG1380" i="3"/>
  <c r="AG540" i="3" s="1"/>
  <c r="AG1443" i="3"/>
  <c r="AG603" i="3" s="1"/>
  <c r="AG1201" i="3"/>
  <c r="AG361" i="3" s="1"/>
  <c r="AG1351" i="3"/>
  <c r="AG511" i="3" s="1"/>
  <c r="AG1287" i="3"/>
  <c r="AG447" i="3" s="1"/>
  <c r="AG1223" i="3"/>
  <c r="AG383" i="3" s="1"/>
  <c r="AG1438" i="3"/>
  <c r="AG598" i="3" s="1"/>
  <c r="AK1425" i="3"/>
  <c r="AK585" i="3" s="1"/>
  <c r="AK1320" i="3"/>
  <c r="AK480" i="3" s="1"/>
  <c r="AK1256" i="3"/>
  <c r="AK1415" i="3"/>
  <c r="AK575" i="3" s="1"/>
  <c r="AK1299" i="3"/>
  <c r="AK459" i="3" s="1"/>
  <c r="AK1442" i="3"/>
  <c r="AK602" i="3" s="1"/>
  <c r="AK1398" i="3"/>
  <c r="AK558" i="3" s="1"/>
  <c r="AK1399" i="3"/>
  <c r="AK559" i="3" s="1"/>
  <c r="AK1334" i="3"/>
  <c r="AK494" i="3" s="1"/>
  <c r="AK1270" i="3"/>
  <c r="AK430" i="3" s="1"/>
  <c r="AK1297" i="3"/>
  <c r="AK457" i="3" s="1"/>
  <c r="AK1233" i="3"/>
  <c r="AK393" i="3" s="1"/>
  <c r="AK1380" i="3"/>
  <c r="AK540" i="3" s="1"/>
  <c r="AO1389" i="3"/>
  <c r="AO549" i="3" s="1"/>
  <c r="AO1189" i="3"/>
  <c r="AO349" i="3" s="1"/>
  <c r="AO1295" i="3"/>
  <c r="AO455" i="3" s="1"/>
  <c r="AO1231" i="3"/>
  <c r="AO391" i="3" s="1"/>
  <c r="AO1382" i="3"/>
  <c r="AO542" i="3" s="1"/>
  <c r="AO1306" i="3"/>
  <c r="AO466" i="3" s="1"/>
  <c r="AO1242" i="3"/>
  <c r="AO402" i="3" s="1"/>
  <c r="AO1456" i="3"/>
  <c r="AO616" i="3" s="1"/>
  <c r="AO1396" i="3"/>
  <c r="AO556" i="3" s="1"/>
  <c r="AO1410" i="3"/>
  <c r="AO570" i="3" s="1"/>
  <c r="AO1377" i="3"/>
  <c r="AO537" i="3" s="1"/>
  <c r="AO1297" i="3"/>
  <c r="AO457" i="3" s="1"/>
  <c r="AO1233" i="3"/>
  <c r="AO393" i="3" s="1"/>
  <c r="AO1412" i="3"/>
  <c r="AO572" i="3" s="1"/>
  <c r="AO1328" i="3"/>
  <c r="AO488" i="3" s="1"/>
  <c r="AO1276" i="3"/>
  <c r="AO436" i="3" s="1"/>
  <c r="AO1256" i="3"/>
  <c r="AS1340" i="3"/>
  <c r="AS500" i="3" s="1"/>
  <c r="AS1276" i="3"/>
  <c r="AS436" i="3" s="1"/>
  <c r="AS1212" i="3"/>
  <c r="AS372" i="3" s="1"/>
  <c r="AS1341" i="3"/>
  <c r="AS501" i="3" s="1"/>
  <c r="AS1277" i="3"/>
  <c r="AS1213" i="3"/>
  <c r="AS373" i="3" s="1"/>
  <c r="AS1395" i="3"/>
  <c r="AS555" i="3" s="1"/>
  <c r="AS1368" i="3"/>
  <c r="AS528" i="3" s="1"/>
  <c r="AS1351" i="3"/>
  <c r="AS511" i="3" s="1"/>
  <c r="AS1239" i="3"/>
  <c r="AS399" i="3" s="1"/>
  <c r="AS1446" i="3"/>
  <c r="AS606" i="3" s="1"/>
  <c r="AS1406" i="3"/>
  <c r="AS566" i="3" s="1"/>
  <c r="AS1302" i="3"/>
  <c r="AS462" i="3" s="1"/>
  <c r="AS1299" i="3"/>
  <c r="AS459" i="3" s="1"/>
  <c r="AW1189" i="3"/>
  <c r="AW349" i="3" s="1"/>
  <c r="AW1377" i="3"/>
  <c r="AW537" i="3" s="1"/>
  <c r="AW1301" i="3"/>
  <c r="AW461" i="3" s="1"/>
  <c r="AW1384" i="3"/>
  <c r="AW544" i="3" s="1"/>
  <c r="AW1316" i="3"/>
  <c r="AW476" i="3" s="1"/>
  <c r="AW1252" i="3"/>
  <c r="AW412" i="3" s="1"/>
  <c r="AW1188" i="3"/>
  <c r="AW348" i="3" s="1"/>
  <c r="AW1389" i="3"/>
  <c r="AW549" i="3" s="1"/>
  <c r="AW1347" i="3"/>
  <c r="AW507" i="3" s="1"/>
  <c r="AW1342" i="3"/>
  <c r="AW502" i="3" s="1"/>
  <c r="AW1278" i="3"/>
  <c r="AW438" i="3" s="1"/>
  <c r="AW1214" i="3"/>
  <c r="AW374" i="3" s="1"/>
  <c r="AW1303" i="3"/>
  <c r="AW463" i="3" s="1"/>
  <c r="S1195" i="3"/>
  <c r="S355" i="3" s="1"/>
  <c r="S1413" i="3"/>
  <c r="S573" i="3" s="1"/>
  <c r="S1340" i="3"/>
  <c r="S500" i="3" s="1"/>
  <c r="S1212" i="3"/>
  <c r="S372" i="3" s="1"/>
  <c r="S1390" i="3"/>
  <c r="S550" i="3" s="1"/>
  <c r="W1455" i="3"/>
  <c r="W615" i="3" s="1"/>
  <c r="W1381" i="3"/>
  <c r="W541" i="3" s="1"/>
  <c r="W1301" i="3"/>
  <c r="W461" i="3" s="1"/>
  <c r="W1408" i="3"/>
  <c r="W568" i="3" s="1"/>
  <c r="W1288" i="3"/>
  <c r="W448" i="3" s="1"/>
  <c r="W1356" i="3"/>
  <c r="W516" i="3" s="1"/>
  <c r="W1441" i="3"/>
  <c r="W601" i="3" s="1"/>
  <c r="W1193" i="3"/>
  <c r="W353" i="3" s="1"/>
  <c r="W1263" i="3"/>
  <c r="W423" i="3" s="1"/>
  <c r="W1338" i="3"/>
  <c r="W498" i="3" s="1"/>
  <c r="W1258" i="3"/>
  <c r="W418" i="3" s="1"/>
  <c r="W1194" i="3"/>
  <c r="W354" i="3" s="1"/>
  <c r="W1291" i="3"/>
  <c r="W451" i="3" s="1"/>
  <c r="AB1306" i="3"/>
  <c r="AB466" i="3" s="1"/>
  <c r="AB1338" i="3"/>
  <c r="AB498" i="3" s="1"/>
  <c r="AB1190" i="3"/>
  <c r="AB350" i="3" s="1"/>
  <c r="R1309" i="3"/>
  <c r="R469" i="3" s="1"/>
  <c r="R1308" i="3"/>
  <c r="R468" i="3" s="1"/>
  <c r="R1375" i="3"/>
  <c r="R535" i="3" s="1"/>
  <c r="R1187" i="3"/>
  <c r="R347" i="3" s="1"/>
  <c r="R1249" i="3"/>
  <c r="R409" i="3" s="1"/>
  <c r="V1437" i="3"/>
  <c r="V597" i="3" s="1"/>
  <c r="V1289" i="3"/>
  <c r="V449" i="3" s="1"/>
  <c r="V1428" i="3"/>
  <c r="V588" i="3" s="1"/>
  <c r="V1430" i="3"/>
  <c r="V590" i="3" s="1"/>
  <c r="V1455" i="3"/>
  <c r="V615" i="3" s="1"/>
  <c r="V1449" i="3"/>
  <c r="V609" i="3" s="1"/>
  <c r="V1349" i="3"/>
  <c r="V509" i="3" s="1"/>
  <c r="V1440" i="3"/>
  <c r="V600" i="3" s="1"/>
  <c r="V1451" i="3"/>
  <c r="V611" i="3" s="1"/>
  <c r="V1234" i="3"/>
  <c r="V394" i="3" s="1"/>
  <c r="V1251" i="3"/>
  <c r="V411" i="3" s="1"/>
  <c r="V1414" i="3"/>
  <c r="V574" i="3" s="1"/>
  <c r="Z1455" i="3"/>
  <c r="Z615" i="3" s="1"/>
  <c r="Z1449" i="3"/>
  <c r="Z609" i="3" s="1"/>
  <c r="Z1317" i="3"/>
  <c r="Z477" i="3" s="1"/>
  <c r="Z1432" i="3"/>
  <c r="Z592" i="3" s="1"/>
  <c r="Z1395" i="3"/>
  <c r="Z555" i="3" s="1"/>
  <c r="Z1261" i="3"/>
  <c r="Z421" i="3" s="1"/>
  <c r="Z1252" i="3"/>
  <c r="Z412" i="3" s="1"/>
  <c r="Z1360" i="3"/>
  <c r="Z520" i="3" s="1"/>
  <c r="Z1242" i="3"/>
  <c r="Z402" i="3" s="1"/>
  <c r="Z1355" i="3"/>
  <c r="Z515" i="3" s="1"/>
  <c r="Z1338" i="3"/>
  <c r="Z498" i="3" s="1"/>
  <c r="AD1437" i="3"/>
  <c r="AD597" i="3" s="1"/>
  <c r="AD1221" i="3"/>
  <c r="AD381" i="3" s="1"/>
  <c r="AD1248" i="3"/>
  <c r="AD408" i="3" s="1"/>
  <c r="AD1369" i="3"/>
  <c r="AD529" i="3" s="1"/>
  <c r="AD1292" i="3"/>
  <c r="AD452" i="3" s="1"/>
  <c r="AD1186" i="3"/>
  <c r="AD346" i="3" s="1"/>
  <c r="AD1282" i="3"/>
  <c r="AD442" i="3" s="1"/>
  <c r="AD1219" i="3"/>
  <c r="AD379" i="3" s="1"/>
  <c r="AD1390" i="3"/>
  <c r="AD550" i="3" s="1"/>
  <c r="AH1357" i="3"/>
  <c r="AH517" i="3" s="1"/>
  <c r="AH1340" i="3"/>
  <c r="AH500" i="3" s="1"/>
  <c r="AH1399" i="3"/>
  <c r="AH559" i="3" s="1"/>
  <c r="AH1352" i="3"/>
  <c r="AH512" i="3" s="1"/>
  <c r="AH1414" i="3"/>
  <c r="AH574" i="3" s="1"/>
  <c r="AH1299" i="3"/>
  <c r="AH459" i="3" s="1"/>
  <c r="AH1323" i="3"/>
  <c r="AH483" i="3" s="1"/>
  <c r="AH1289" i="3"/>
  <c r="AH449" i="3" s="1"/>
  <c r="AH1217" i="3"/>
  <c r="AH1400" i="3"/>
  <c r="AH560" i="3" s="1"/>
  <c r="AH1262" i="3"/>
  <c r="AH422" i="3" s="1"/>
  <c r="AH1198" i="3"/>
  <c r="AH358" i="3" s="1"/>
  <c r="AH1322" i="3"/>
  <c r="AH482" i="3" s="1"/>
  <c r="AL1336" i="3"/>
  <c r="AL496" i="3" s="1"/>
  <c r="AL1256" i="3"/>
  <c r="AL1192" i="3"/>
  <c r="AL352" i="3" s="1"/>
  <c r="AL1275" i="3"/>
  <c r="AL435" i="3" s="1"/>
  <c r="AL1199" i="3"/>
  <c r="AL359" i="3" s="1"/>
  <c r="AL1386" i="3"/>
  <c r="AL546" i="3" s="1"/>
  <c r="AL1263" i="3"/>
  <c r="AL423" i="3" s="1"/>
  <c r="AP1404" i="3"/>
  <c r="AP564" i="3" s="1"/>
  <c r="AP1453" i="3"/>
  <c r="AP613" i="3" s="1"/>
  <c r="AP1361" i="3"/>
  <c r="AP521" i="3" s="1"/>
  <c r="AP1452" i="3"/>
  <c r="AP612" i="3" s="1"/>
  <c r="AP1344" i="3"/>
  <c r="AP504" i="3" s="1"/>
  <c r="AP1423" i="3"/>
  <c r="AP583" i="3" s="1"/>
  <c r="AP1334" i="3"/>
  <c r="AP494" i="3" s="1"/>
  <c r="AP1421" i="3"/>
  <c r="AP581" i="3" s="1"/>
  <c r="AP1261" i="3"/>
  <c r="AP421" i="3" s="1"/>
  <c r="AP1197" i="3"/>
  <c r="AP357" i="3" s="1"/>
  <c r="AP1252" i="3"/>
  <c r="AP412" i="3" s="1"/>
  <c r="AP1188" i="3"/>
  <c r="AP348" i="3" s="1"/>
  <c r="AP1414" i="3"/>
  <c r="AP574" i="3" s="1"/>
  <c r="AP1291" i="3"/>
  <c r="AP451" i="3" s="1"/>
  <c r="AP1342" i="3"/>
  <c r="AP502" i="3" s="1"/>
  <c r="AP1336" i="3"/>
  <c r="AP496" i="3" s="1"/>
  <c r="AP1262" i="3"/>
  <c r="AP422" i="3" s="1"/>
  <c r="AP1198" i="3"/>
  <c r="AP358" i="3" s="1"/>
  <c r="AT1405" i="3"/>
  <c r="AT565" i="3" s="1"/>
  <c r="AT1253" i="3"/>
  <c r="AT1336" i="3"/>
  <c r="AT496" i="3" s="1"/>
  <c r="AT1258" i="3"/>
  <c r="AT418" i="3" s="1"/>
  <c r="AT1194" i="3"/>
  <c r="AT354" i="3" s="1"/>
  <c r="AT1259" i="3"/>
  <c r="AT419" i="3" s="1"/>
  <c r="AT1317" i="3"/>
  <c r="AT477" i="3" s="1"/>
  <c r="AT1432" i="3"/>
  <c r="AT592" i="3" s="1"/>
  <c r="AT1311" i="3"/>
  <c r="AT471" i="3" s="1"/>
  <c r="AT1298" i="3"/>
  <c r="AT458" i="3" s="1"/>
  <c r="AX1357" i="3"/>
  <c r="AX517" i="3" s="1"/>
  <c r="AX1448" i="3"/>
  <c r="AX608" i="3" s="1"/>
  <c r="AX1344" i="3"/>
  <c r="AX504" i="3" s="1"/>
  <c r="AX1423" i="3"/>
  <c r="AX583" i="3" s="1"/>
  <c r="AX1368" i="3"/>
  <c r="AX528" i="3" s="1"/>
  <c r="AX1223" i="3"/>
  <c r="AX383" i="3" s="1"/>
  <c r="AX1409" i="3"/>
  <c r="AX569" i="3" s="1"/>
  <c r="AX1257" i="3"/>
  <c r="AX417" i="3" s="1"/>
  <c r="AX1193" i="3"/>
  <c r="AX353" i="3" s="1"/>
  <c r="AX1248" i="3"/>
  <c r="AX408" i="3" s="1"/>
  <c r="AX1443" i="3"/>
  <c r="AX603" i="3" s="1"/>
  <c r="AX1307" i="3"/>
  <c r="AX467" i="3" s="1"/>
  <c r="AX1343" i="3"/>
  <c r="AX503" i="3" s="1"/>
  <c r="AX1382" i="3"/>
  <c r="AX542" i="3" s="1"/>
  <c r="AX1210" i="3"/>
  <c r="AX370" i="3" s="1"/>
  <c r="AX1406" i="3"/>
  <c r="AX566" i="3" s="1"/>
  <c r="P1409" i="3"/>
  <c r="P569" i="3" s="1"/>
  <c r="P1400" i="3"/>
  <c r="P560" i="3" s="1"/>
  <c r="P1241" i="3"/>
  <c r="P401" i="3" s="1"/>
  <c r="P1347" i="3"/>
  <c r="P507" i="3" s="1"/>
  <c r="P1320" i="3"/>
  <c r="P480" i="3" s="1"/>
  <c r="P1427" i="3"/>
  <c r="P587" i="3" s="1"/>
  <c r="P1425" i="3"/>
  <c r="P585" i="3" s="1"/>
  <c r="P1443" i="3"/>
  <c r="P603" i="3" s="1"/>
  <c r="P1263" i="3"/>
  <c r="P423" i="3" s="1"/>
  <c r="P1310" i="3"/>
  <c r="P470" i="3" s="1"/>
  <c r="P1326" i="3"/>
  <c r="P486" i="3" s="1"/>
  <c r="T1443" i="3"/>
  <c r="T603" i="3" s="1"/>
  <c r="T1361" i="3"/>
  <c r="T521" i="3" s="1"/>
  <c r="T1307" i="3"/>
  <c r="T467" i="3" s="1"/>
  <c r="T1378" i="3"/>
  <c r="T538" i="3" s="1"/>
  <c r="T1388" i="3"/>
  <c r="T548" i="3" s="1"/>
  <c r="T1213" i="3"/>
  <c r="T373" i="3" s="1"/>
  <c r="T1293" i="3"/>
  <c r="T453" i="3" s="1"/>
  <c r="T1399" i="3"/>
  <c r="T559" i="3" s="1"/>
  <c r="T1219" i="3"/>
  <c r="T379" i="3" s="1"/>
  <c r="X1317" i="3"/>
  <c r="X477" i="3" s="1"/>
  <c r="X1209" i="3"/>
  <c r="X369" i="3" s="1"/>
  <c r="X1305" i="3"/>
  <c r="X465" i="3" s="1"/>
  <c r="AF1362" i="3"/>
  <c r="AF522" i="3" s="1"/>
  <c r="AF1291" i="3"/>
  <c r="AF451" i="3" s="1"/>
  <c r="AF1383" i="3"/>
  <c r="AF543" i="3" s="1"/>
  <c r="AF1227" i="3"/>
  <c r="AF387" i="3" s="1"/>
  <c r="AF1306" i="3"/>
  <c r="AF466" i="3" s="1"/>
  <c r="AF1234" i="3"/>
  <c r="AF394" i="3" s="1"/>
  <c r="AF1275" i="3"/>
  <c r="AF435" i="3" s="1"/>
  <c r="AF1315" i="3"/>
  <c r="AF475" i="3" s="1"/>
  <c r="AJ1449" i="3"/>
  <c r="AJ609" i="3" s="1"/>
  <c r="AJ1452" i="3"/>
  <c r="AJ612" i="3" s="1"/>
  <c r="AJ1443" i="3"/>
  <c r="AJ603" i="3" s="1"/>
  <c r="AJ1336" i="3"/>
  <c r="AJ496" i="3" s="1"/>
  <c r="AJ1399" i="3"/>
  <c r="AJ559" i="3" s="1"/>
  <c r="AJ1389" i="3"/>
  <c r="AJ549" i="3" s="1"/>
  <c r="AJ1438" i="3"/>
  <c r="AJ598" i="3" s="1"/>
  <c r="AJ1186" i="3"/>
  <c r="AJ346" i="3" s="1"/>
  <c r="AN1442" i="3"/>
  <c r="AN602" i="3" s="1"/>
  <c r="AN1387" i="3"/>
  <c r="AN547" i="3" s="1"/>
  <c r="AR1456" i="3"/>
  <c r="AR616" i="3" s="1"/>
  <c r="AR1408" i="3"/>
  <c r="AR568" i="3" s="1"/>
  <c r="AR1451" i="3"/>
  <c r="AR611" i="3" s="1"/>
  <c r="AR1388" i="3"/>
  <c r="AR548" i="3" s="1"/>
  <c r="AR1450" i="3"/>
  <c r="AR610" i="3" s="1"/>
  <c r="AR1406" i="3"/>
  <c r="AR566" i="3" s="1"/>
  <c r="AV1400" i="3"/>
  <c r="AV560" i="3" s="1"/>
  <c r="AV1413" i="3"/>
  <c r="AV573" i="3" s="1"/>
  <c r="Q1432" i="3"/>
  <c r="Q592" i="3" s="1"/>
  <c r="Q1409" i="3"/>
  <c r="Q569" i="3" s="1"/>
  <c r="Q1388" i="3"/>
  <c r="Q548" i="3" s="1"/>
  <c r="Q1426" i="3"/>
  <c r="Q586" i="3" s="1"/>
  <c r="U1401" i="3"/>
  <c r="U561" i="3" s="1"/>
  <c r="U1188" i="3"/>
  <c r="U348" i="3" s="1"/>
  <c r="U1446" i="3"/>
  <c r="U606" i="3" s="1"/>
  <c r="U1414" i="3"/>
  <c r="U574" i="3" s="1"/>
  <c r="Y1400" i="3"/>
  <c r="Y560" i="3" s="1"/>
  <c r="Y1449" i="3"/>
  <c r="Y609" i="3" s="1"/>
  <c r="Y1189" i="3"/>
  <c r="Y349" i="3" s="1"/>
  <c r="Y1446" i="3"/>
  <c r="Y606" i="3" s="1"/>
  <c r="Y1390" i="3"/>
  <c r="Y550" i="3" s="1"/>
  <c r="AC1448" i="3"/>
  <c r="AC608" i="3" s="1"/>
  <c r="AC1455" i="3"/>
  <c r="AC615" i="3" s="1"/>
  <c r="AG1457" i="3"/>
  <c r="AG617" i="3" s="1"/>
  <c r="AG1413" i="3"/>
  <c r="AG573" i="3" s="1"/>
  <c r="AG1408" i="3"/>
  <c r="AG568" i="3" s="1"/>
  <c r="AG1409" i="3"/>
  <c r="AG569" i="3" s="1"/>
  <c r="AG1454" i="3"/>
  <c r="AK1191" i="3"/>
  <c r="AK351" i="3" s="1"/>
  <c r="AK1189" i="3"/>
  <c r="AK349" i="3" s="1"/>
  <c r="AO1403" i="3"/>
  <c r="AO563" i="3" s="1"/>
  <c r="AO1397" i="3"/>
  <c r="AO557" i="3" s="1"/>
  <c r="AS1456" i="3"/>
  <c r="AS616" i="3" s="1"/>
  <c r="AS1412" i="3"/>
  <c r="AS572" i="3" s="1"/>
  <c r="AS1405" i="3"/>
  <c r="AS565" i="3" s="1"/>
  <c r="AS1404" i="3"/>
  <c r="AS564" i="3" s="1"/>
  <c r="AW1403" i="3"/>
  <c r="AW563" i="3" s="1"/>
  <c r="AW1397" i="3"/>
  <c r="AW557" i="3" s="1"/>
  <c r="AW1192" i="3"/>
  <c r="AW352" i="3" s="1"/>
  <c r="AN1395" i="3"/>
  <c r="AN555" i="3" s="1"/>
  <c r="AN1401" i="3"/>
  <c r="AN561" i="3" s="1"/>
  <c r="AN1390" i="3"/>
  <c r="AN550" i="3" s="1"/>
  <c r="AN1248" i="3"/>
  <c r="AN408" i="3" s="1"/>
  <c r="AN1212" i="3"/>
  <c r="AN372" i="3" s="1"/>
  <c r="AR1320" i="3"/>
  <c r="AR480" i="3" s="1"/>
  <c r="AR1346" i="3"/>
  <c r="AR506" i="3" s="1"/>
  <c r="AR1325" i="3"/>
  <c r="AR485" i="3" s="1"/>
  <c r="AR1395" i="3"/>
  <c r="AR555" i="3" s="1"/>
  <c r="AR1283" i="3"/>
  <c r="AR443" i="3" s="1"/>
  <c r="AR1426" i="3"/>
  <c r="AR586" i="3" s="1"/>
  <c r="AR1314" i="3"/>
  <c r="AR474" i="3" s="1"/>
  <c r="AR1362" i="3"/>
  <c r="AR522" i="3" s="1"/>
  <c r="AV1297" i="3"/>
  <c r="AV457" i="3" s="1"/>
  <c r="AV1376" i="3"/>
  <c r="AV536" i="3" s="1"/>
  <c r="AV1189" i="3"/>
  <c r="AV349" i="3" s="1"/>
  <c r="AV1457" i="3"/>
  <c r="AV617" i="3" s="1"/>
  <c r="AV1401" i="3"/>
  <c r="AV561" i="3" s="1"/>
  <c r="AV1415" i="3"/>
  <c r="AV575" i="3" s="1"/>
  <c r="AV1298" i="3"/>
  <c r="AV458" i="3" s="1"/>
  <c r="AV1355" i="3"/>
  <c r="AV515" i="3" s="1"/>
  <c r="AV1418" i="3"/>
  <c r="AV578" i="3" s="1"/>
  <c r="Q1317" i="3"/>
  <c r="Q477" i="3" s="1"/>
  <c r="Q1221" i="3"/>
  <c r="Q381" i="3" s="1"/>
  <c r="Q1264" i="3"/>
  <c r="Q424" i="3" s="1"/>
  <c r="Q1360" i="3"/>
  <c r="Q520" i="3" s="1"/>
  <c r="Q1283" i="3"/>
  <c r="Q443" i="3" s="1"/>
  <c r="Q1346" i="3"/>
  <c r="Q506" i="3" s="1"/>
  <c r="Q1186" i="3"/>
  <c r="Q346" i="3" s="1"/>
  <c r="U1447" i="3"/>
  <c r="U607" i="3" s="1"/>
  <c r="U1249" i="3"/>
  <c r="U409" i="3" s="1"/>
  <c r="U1380" i="3"/>
  <c r="U540" i="3" s="1"/>
  <c r="U1294" i="3"/>
  <c r="U454" i="3" s="1"/>
  <c r="U1340" i="3"/>
  <c r="U500" i="3" s="1"/>
  <c r="U1260" i="3"/>
  <c r="U420" i="3" s="1"/>
  <c r="U1347" i="3"/>
  <c r="U507" i="3" s="1"/>
  <c r="U1251" i="3"/>
  <c r="U411" i="3" s="1"/>
  <c r="U1442" i="3"/>
  <c r="U602" i="3" s="1"/>
  <c r="U1398" i="3"/>
  <c r="U558" i="3" s="1"/>
  <c r="U1378" i="3"/>
  <c r="U538" i="3" s="1"/>
  <c r="Y1388" i="3"/>
  <c r="Y548" i="3" s="1"/>
  <c r="Y1349" i="3"/>
  <c r="Y509" i="3" s="1"/>
  <c r="Y1285" i="3"/>
  <c r="Y445" i="3" s="1"/>
  <c r="Y1264" i="3"/>
  <c r="Y424" i="3" s="1"/>
  <c r="AC1272" i="3"/>
  <c r="AC432" i="3" s="1"/>
  <c r="AC1390" i="3"/>
  <c r="AC550" i="3" s="1"/>
  <c r="AC1438" i="3"/>
  <c r="AC598" i="3" s="1"/>
  <c r="AG1455" i="3"/>
  <c r="AG615" i="3" s="1"/>
  <c r="AG1453" i="3"/>
  <c r="AG613" i="3" s="1"/>
  <c r="AG1313" i="3"/>
  <c r="AG473" i="3" s="1"/>
  <c r="AG1249" i="3"/>
  <c r="AG409" i="3" s="1"/>
  <c r="AG1404" i="3"/>
  <c r="AG564" i="3" s="1"/>
  <c r="AG1324" i="3"/>
  <c r="AG484" i="3" s="1"/>
  <c r="AG1260" i="3"/>
  <c r="AG420" i="3" s="1"/>
  <c r="AG1196" i="3"/>
  <c r="AG356" i="3" s="1"/>
  <c r="AG1189" i="3"/>
  <c r="AG349" i="3" s="1"/>
  <c r="AG1360" i="3"/>
  <c r="AG520" i="3" s="1"/>
  <c r="AG1303" i="3"/>
  <c r="AG463" i="3" s="1"/>
  <c r="AG1395" i="3"/>
  <c r="AG555" i="3" s="1"/>
  <c r="AG1239" i="3"/>
  <c r="AG399" i="3" s="1"/>
  <c r="AG1346" i="3"/>
  <c r="AG506" i="3" s="1"/>
  <c r="AG1282" i="3"/>
  <c r="AG442" i="3" s="1"/>
  <c r="AG1218" i="3"/>
  <c r="AK1395" i="3"/>
  <c r="AK555" i="3" s="1"/>
  <c r="AK1419" i="3"/>
  <c r="AK579" i="3" s="1"/>
  <c r="AK1336" i="3"/>
  <c r="AK496" i="3" s="1"/>
  <c r="AK1272" i="3"/>
  <c r="AK432" i="3" s="1"/>
  <c r="AK1315" i="3"/>
  <c r="AK475" i="3" s="1"/>
  <c r="AK1251" i="3"/>
  <c r="AK411" i="3" s="1"/>
  <c r="AK1187" i="3"/>
  <c r="AK347" i="3" s="1"/>
  <c r="AK1196" i="3"/>
  <c r="AK356" i="3" s="1"/>
  <c r="AK1350" i="3"/>
  <c r="AK510" i="3" s="1"/>
  <c r="AK1286" i="3"/>
  <c r="AK446" i="3" s="1"/>
  <c r="AK1222" i="3"/>
  <c r="AK382" i="3" s="1"/>
  <c r="AK1313" i="3"/>
  <c r="AK473" i="3" s="1"/>
  <c r="AK1249" i="3"/>
  <c r="AK409" i="3" s="1"/>
  <c r="AK1456" i="3"/>
  <c r="AK616" i="3" s="1"/>
  <c r="AK1412" i="3"/>
  <c r="AK572" i="3" s="1"/>
  <c r="AK1383" i="3"/>
  <c r="AK543" i="3" s="1"/>
  <c r="AO1311" i="3"/>
  <c r="AO471" i="3" s="1"/>
  <c r="AO1247" i="3"/>
  <c r="AO407" i="3" s="1"/>
  <c r="AO1398" i="3"/>
  <c r="AO558" i="3" s="1"/>
  <c r="AO1322" i="3"/>
  <c r="AO482" i="3" s="1"/>
  <c r="AO1258" i="3"/>
  <c r="AO418" i="3" s="1"/>
  <c r="AO1194" i="3"/>
  <c r="AO354" i="3" s="1"/>
  <c r="AO1361" i="3"/>
  <c r="AO521" i="3" s="1"/>
  <c r="AO1457" i="3"/>
  <c r="AO617" i="3" s="1"/>
  <c r="AO1413" i="3"/>
  <c r="AO573" i="3" s="1"/>
  <c r="AO1313" i="3"/>
  <c r="AO473" i="3" s="1"/>
  <c r="AO1249" i="3"/>
  <c r="AO409" i="3" s="1"/>
  <c r="AO1188" i="3"/>
  <c r="AO348" i="3" s="1"/>
  <c r="AO1340" i="3"/>
  <c r="AO500" i="3" s="1"/>
  <c r="AO1358" i="3"/>
  <c r="AO518" i="3" s="1"/>
  <c r="AS1360" i="3"/>
  <c r="AS520" i="3" s="1"/>
  <c r="AS1292" i="3"/>
  <c r="AS452" i="3" s="1"/>
  <c r="AS1228" i="3"/>
  <c r="AS388" i="3" s="1"/>
  <c r="AS1361" i="3"/>
  <c r="AS521" i="3" s="1"/>
  <c r="AS1293" i="3"/>
  <c r="AS453" i="3" s="1"/>
  <c r="AS1229" i="3"/>
  <c r="AS389" i="3" s="1"/>
  <c r="AS1196" i="3"/>
  <c r="AS356" i="3" s="1"/>
  <c r="AS1401" i="3"/>
  <c r="AS561" i="3" s="1"/>
  <c r="AS1400" i="3"/>
  <c r="AS560" i="3" s="1"/>
  <c r="AS1378" i="3"/>
  <c r="AS538" i="3" s="1"/>
  <c r="AS1255" i="3"/>
  <c r="AS1191" i="3"/>
  <c r="AS351" i="3" s="1"/>
  <c r="AS1318" i="3"/>
  <c r="AS478" i="3" s="1"/>
  <c r="AS1254" i="3"/>
  <c r="AS1331" i="3"/>
  <c r="AS491" i="3" s="1"/>
  <c r="AW1369" i="3"/>
  <c r="AW529" i="3" s="1"/>
  <c r="AW1457" i="3"/>
  <c r="AW617" i="3" s="1"/>
  <c r="AW1413" i="3"/>
  <c r="AW573" i="3" s="1"/>
  <c r="AW1317" i="3"/>
  <c r="AW477" i="3" s="1"/>
  <c r="AW1253" i="3"/>
  <c r="AW1408" i="3"/>
  <c r="AW568" i="3" s="1"/>
  <c r="AW1332" i="3"/>
  <c r="AW492" i="3" s="1"/>
  <c r="AW1268" i="3"/>
  <c r="AW428" i="3" s="1"/>
  <c r="AW1204" i="3"/>
  <c r="AW364" i="3" s="1"/>
  <c r="AW1387" i="3"/>
  <c r="AW547" i="3" s="1"/>
  <c r="AW1378" i="3"/>
  <c r="AW538" i="3" s="1"/>
  <c r="AW1251" i="3"/>
  <c r="AW411" i="3" s="1"/>
  <c r="AW1418" i="3"/>
  <c r="AW578" i="3" s="1"/>
  <c r="AW1294" i="3"/>
  <c r="AW454" i="3" s="1"/>
  <c r="AW1230" i="3"/>
  <c r="AW390" i="3" s="1"/>
  <c r="AW1335" i="3"/>
  <c r="AW495" i="3" s="1"/>
  <c r="AW1370" i="3"/>
  <c r="AW530" i="3" s="1"/>
  <c r="S1397" i="3"/>
  <c r="S557" i="3" s="1"/>
  <c r="S1338" i="3"/>
  <c r="S498" i="3" s="1"/>
  <c r="S1258" i="3"/>
  <c r="S418" i="3" s="1"/>
  <c r="S1186" i="3"/>
  <c r="S346" i="3" s="1"/>
  <c r="S1261" i="3"/>
  <c r="S421" i="3" s="1"/>
  <c r="S1307" i="3"/>
  <c r="S467" i="3" s="1"/>
  <c r="S1275" i="3"/>
  <c r="S435" i="3" s="1"/>
  <c r="S1211" i="3"/>
  <c r="S371" i="3" s="1"/>
  <c r="S1411" i="3"/>
  <c r="S571" i="3" s="1"/>
  <c r="S1276" i="3"/>
  <c r="S436" i="3" s="1"/>
  <c r="S1204" i="3"/>
  <c r="S364" i="3" s="1"/>
  <c r="W1413" i="3"/>
  <c r="W573" i="3" s="1"/>
  <c r="W1317" i="3"/>
  <c r="W477" i="3" s="1"/>
  <c r="W1221" i="3"/>
  <c r="W381" i="3" s="1"/>
  <c r="W1304" i="3"/>
  <c r="W464" i="3" s="1"/>
  <c r="W1224" i="3"/>
  <c r="W384" i="3" s="1"/>
  <c r="W1407" i="3"/>
  <c r="W567" i="3" s="1"/>
  <c r="W1210" i="3"/>
  <c r="W370" i="3" s="1"/>
  <c r="W1375" i="3"/>
  <c r="W535" i="3" s="1"/>
  <c r="W1402" i="3"/>
  <c r="W562" i="3" s="1"/>
  <c r="AA1309" i="3"/>
  <c r="AA469" i="3" s="1"/>
  <c r="AA1427" i="3"/>
  <c r="AA587" i="3" s="1"/>
  <c r="AA1413" i="3"/>
  <c r="AA573" i="3" s="1"/>
  <c r="AA1276" i="3"/>
  <c r="AA436" i="3" s="1"/>
  <c r="AA1190" i="3"/>
  <c r="AA350" i="3" s="1"/>
  <c r="AA1335" i="3"/>
  <c r="AA495" i="3" s="1"/>
  <c r="AA1271" i="3"/>
  <c r="AA431" i="3" s="1"/>
  <c r="AA1367" i="3"/>
  <c r="AA527" i="3" s="1"/>
  <c r="AA1357" i="3"/>
  <c r="AA517" i="3" s="1"/>
  <c r="AA1350" i="3"/>
  <c r="AA510" i="3" s="1"/>
  <c r="AA1286" i="3"/>
  <c r="AA446" i="3" s="1"/>
  <c r="AA1247" i="3"/>
  <c r="AA407" i="3" s="1"/>
  <c r="AE1380" i="3"/>
  <c r="AE540" i="3" s="1"/>
  <c r="AE1397" i="3"/>
  <c r="AE557" i="3" s="1"/>
  <c r="AE1341" i="3"/>
  <c r="AE501" i="3" s="1"/>
  <c r="AE1277" i="3"/>
  <c r="AE1213" i="3"/>
  <c r="AE373" i="3" s="1"/>
  <c r="AE1340" i="3"/>
  <c r="AE500" i="3" s="1"/>
  <c r="AE1276" i="3"/>
  <c r="AE436" i="3" s="1"/>
  <c r="AE1212" i="3"/>
  <c r="AE372" i="3" s="1"/>
  <c r="AE1323" i="3"/>
  <c r="AE483" i="3" s="1"/>
  <c r="AE1259" i="3"/>
  <c r="AE419" i="3" s="1"/>
  <c r="AE1334" i="3"/>
  <c r="AE494" i="3" s="1"/>
  <c r="AE1270" i="3"/>
  <c r="AE430" i="3" s="1"/>
  <c r="AE1358" i="3"/>
  <c r="AE518" i="3" s="1"/>
  <c r="AI1396" i="3"/>
  <c r="AI556" i="3" s="1"/>
  <c r="AI1319" i="3"/>
  <c r="AI479" i="3" s="1"/>
  <c r="AI1255" i="3"/>
  <c r="AI1191" i="3"/>
  <c r="AI351" i="3" s="1"/>
  <c r="AI1357" i="3"/>
  <c r="AI517" i="3" s="1"/>
  <c r="AI1229" i="3"/>
  <c r="AI389" i="3" s="1"/>
  <c r="AI1383" i="3"/>
  <c r="AI543" i="3" s="1"/>
  <c r="AI1308" i="3"/>
  <c r="AI468" i="3" s="1"/>
  <c r="AI1330" i="3"/>
  <c r="AI490" i="3" s="1"/>
  <c r="AI1266" i="3"/>
  <c r="AI426" i="3" s="1"/>
  <c r="AI1202" i="3"/>
  <c r="AI362" i="3" s="1"/>
  <c r="AM1305" i="3"/>
  <c r="AM465" i="3" s="1"/>
  <c r="AM1241" i="3"/>
  <c r="AM401" i="3" s="1"/>
  <c r="AM1408" i="3"/>
  <c r="AM568" i="3" s="1"/>
  <c r="AM1376" i="3"/>
  <c r="AM536" i="3" s="1"/>
  <c r="AM1340" i="3"/>
  <c r="AM500" i="3" s="1"/>
  <c r="AM1276" i="3"/>
  <c r="AM436" i="3" s="1"/>
  <c r="AM1212" i="3"/>
  <c r="AM372" i="3" s="1"/>
  <c r="AM1311" i="3"/>
  <c r="AM471" i="3" s="1"/>
  <c r="AM1397" i="3"/>
  <c r="AM557" i="3" s="1"/>
  <c r="AM1187" i="3"/>
  <c r="AM347" i="3" s="1"/>
  <c r="AM1251" i="3"/>
  <c r="AM411" i="3" s="1"/>
  <c r="AM1346" i="3"/>
  <c r="AM506" i="3" s="1"/>
  <c r="AM1274" i="3"/>
  <c r="AM434" i="3" s="1"/>
  <c r="AM1318" i="3"/>
  <c r="AM478" i="3" s="1"/>
  <c r="AQ1316" i="3"/>
  <c r="AQ476" i="3" s="1"/>
  <c r="AQ1252" i="3"/>
  <c r="AQ412" i="3" s="1"/>
  <c r="AQ1188" i="3"/>
  <c r="AQ348" i="3" s="1"/>
  <c r="AQ1420" i="3"/>
  <c r="AQ580" i="3" s="1"/>
  <c r="AQ1382" i="3"/>
  <c r="AQ542" i="3" s="1"/>
  <c r="AQ1303" i="3"/>
  <c r="AQ463" i="3" s="1"/>
  <c r="AQ1231" i="3"/>
  <c r="AQ391" i="3" s="1"/>
  <c r="AQ1346" i="3"/>
  <c r="AQ506" i="3" s="1"/>
  <c r="AQ1334" i="3"/>
  <c r="AQ494" i="3" s="1"/>
  <c r="AQ1354" i="3"/>
  <c r="AQ514" i="3" s="1"/>
  <c r="AU1407" i="3"/>
  <c r="AU567" i="3" s="1"/>
  <c r="AU1335" i="3"/>
  <c r="AU495" i="3" s="1"/>
  <c r="AU1271" i="3"/>
  <c r="AU431" i="3" s="1"/>
  <c r="AU1370" i="3"/>
  <c r="AU530" i="3" s="1"/>
  <c r="AU1338" i="3"/>
  <c r="AU498" i="3" s="1"/>
  <c r="AU1306" i="3"/>
  <c r="AU466" i="3" s="1"/>
  <c r="AU1242" i="3"/>
  <c r="AU402" i="3" s="1"/>
  <c r="AU1397" i="3"/>
  <c r="AU557" i="3" s="1"/>
  <c r="AU1229" i="3"/>
  <c r="AU389" i="3" s="1"/>
  <c r="AU1412" i="3"/>
  <c r="AU572" i="3" s="1"/>
  <c r="AU1296" i="3"/>
  <c r="AU456" i="3" s="1"/>
  <c r="AU1232" i="3"/>
  <c r="AU392" i="3" s="1"/>
  <c r="AU1381" i="3"/>
  <c r="AU541" i="3" s="1"/>
  <c r="AU1457" i="3"/>
  <c r="AU617" i="3" s="1"/>
  <c r="AU1199" i="3"/>
  <c r="AU359" i="3" s="1"/>
  <c r="Z1368" i="3"/>
  <c r="Z528" i="3" s="1"/>
  <c r="Z1234" i="3"/>
  <c r="Z394" i="3" s="1"/>
  <c r="AD1316" i="3"/>
  <c r="AD476" i="3" s="1"/>
  <c r="AD1258" i="3"/>
  <c r="AD418" i="3" s="1"/>
  <c r="AD1194" i="3"/>
  <c r="AD354" i="3" s="1"/>
  <c r="AD1287" i="3"/>
  <c r="AD447" i="3" s="1"/>
  <c r="AD1274" i="3"/>
  <c r="AD434" i="3" s="1"/>
  <c r="AD1195" i="3"/>
  <c r="AD355" i="3" s="1"/>
  <c r="AD1346" i="3"/>
  <c r="AD506" i="3" s="1"/>
  <c r="AH1349" i="3"/>
  <c r="AH509" i="3" s="1"/>
  <c r="AH1324" i="3"/>
  <c r="AH484" i="3" s="1"/>
  <c r="AH1318" i="3"/>
  <c r="AH478" i="3" s="1"/>
  <c r="AH1241" i="3"/>
  <c r="AH401" i="3" s="1"/>
  <c r="AH1416" i="3"/>
  <c r="AH576" i="3" s="1"/>
  <c r="AH1222" i="3"/>
  <c r="AH382" i="3" s="1"/>
  <c r="AH1410" i="3"/>
  <c r="AH570" i="3" s="1"/>
  <c r="AH1278" i="3"/>
  <c r="AL1325" i="3"/>
  <c r="AL485" i="3" s="1"/>
  <c r="AL1273" i="3"/>
  <c r="AL433" i="3" s="1"/>
  <c r="AL1209" i="3"/>
  <c r="AL369" i="3" s="1"/>
  <c r="AL1264" i="3"/>
  <c r="AL424" i="3" s="1"/>
  <c r="AL1200" i="3"/>
  <c r="AL360" i="3" s="1"/>
  <c r="AL1335" i="3"/>
  <c r="AL495" i="3" s="1"/>
  <c r="AL1310" i="3"/>
  <c r="AL470" i="3" s="1"/>
  <c r="AL1339" i="3"/>
  <c r="AL499" i="3" s="1"/>
  <c r="AL1355" i="3"/>
  <c r="AL515" i="3" s="1"/>
  <c r="AL1214" i="3"/>
  <c r="AL374" i="3" s="1"/>
  <c r="AL1417" i="3"/>
  <c r="AL577" i="3" s="1"/>
  <c r="AL1223" i="3"/>
  <c r="AL383" i="3" s="1"/>
  <c r="AP1308" i="3"/>
  <c r="AP468" i="3" s="1"/>
  <c r="AP1339" i="3"/>
  <c r="AP499" i="3" s="1"/>
  <c r="AP1360" i="3"/>
  <c r="AP520" i="3" s="1"/>
  <c r="AP1405" i="3"/>
  <c r="AP565" i="3" s="1"/>
  <c r="AP1253" i="3"/>
  <c r="AP1189" i="3"/>
  <c r="AP349" i="3" s="1"/>
  <c r="AP1352" i="3"/>
  <c r="AP512" i="3" s="1"/>
  <c r="AP1306" i="3"/>
  <c r="AP466" i="3" s="1"/>
  <c r="AP1311" i="3"/>
  <c r="AP471" i="3" s="1"/>
  <c r="AT1395" i="3"/>
  <c r="AT555" i="3" s="1"/>
  <c r="AT1281" i="3"/>
  <c r="AT441" i="3" s="1"/>
  <c r="AT1213" i="3"/>
  <c r="AT373" i="3" s="1"/>
  <c r="AT1272" i="3"/>
  <c r="AT432" i="3" s="1"/>
  <c r="AT1204" i="3"/>
  <c r="AT364" i="3" s="1"/>
  <c r="AT1352" i="3"/>
  <c r="AT512" i="3" s="1"/>
  <c r="AT1266" i="3"/>
  <c r="AT426" i="3" s="1"/>
  <c r="AT1202" i="3"/>
  <c r="AT362" i="3" s="1"/>
  <c r="AT1267" i="3"/>
  <c r="AT427" i="3" s="1"/>
  <c r="AT1349" i="3"/>
  <c r="AT509" i="3" s="1"/>
  <c r="AT1324" i="3"/>
  <c r="AT484" i="3" s="1"/>
  <c r="AT1287" i="3"/>
  <c r="AT447" i="3" s="1"/>
  <c r="AT1290" i="3"/>
  <c r="AT450" i="3" s="1"/>
  <c r="AT1270" i="3"/>
  <c r="AT430" i="3" s="1"/>
  <c r="AX1329" i="3"/>
  <c r="AX489" i="3" s="1"/>
  <c r="AX1308" i="3"/>
  <c r="AX468" i="3" s="1"/>
  <c r="AX1404" i="3"/>
  <c r="AX564" i="3" s="1"/>
  <c r="AX1263" i="3"/>
  <c r="AX423" i="3" s="1"/>
  <c r="AX1199" i="3"/>
  <c r="AX359" i="3" s="1"/>
  <c r="AX1386" i="3"/>
  <c r="AX546" i="3" s="1"/>
  <c r="AX1401" i="3"/>
  <c r="AX561" i="3" s="1"/>
  <c r="AX1249" i="3"/>
  <c r="AX409" i="3" s="1"/>
  <c r="AX1256" i="3"/>
  <c r="AX1192" i="3"/>
  <c r="AX352" i="3" s="1"/>
  <c r="AX1299" i="3"/>
  <c r="AX459" i="3" s="1"/>
  <c r="AX1327" i="3"/>
  <c r="AX487" i="3" s="1"/>
  <c r="AX1266" i="3"/>
  <c r="AX426" i="3" s="1"/>
  <c r="AX1202" i="3"/>
  <c r="AX362" i="3" s="1"/>
  <c r="AX1310" i="3"/>
  <c r="AX470" i="3" s="1"/>
  <c r="P1309" i="3"/>
  <c r="P469" i="3" s="1"/>
  <c r="P1407" i="3"/>
  <c r="P567" i="3" s="1"/>
  <c r="P1356" i="3"/>
  <c r="P516" i="3" s="1"/>
  <c r="P1367" i="3"/>
  <c r="P527" i="3" s="1"/>
  <c r="P1291" i="3"/>
  <c r="P451" i="3" s="1"/>
  <c r="P1204" i="3"/>
  <c r="P364" i="3" s="1"/>
  <c r="P1223" i="3"/>
  <c r="P383" i="3" s="1"/>
  <c r="P1214" i="3"/>
  <c r="P374" i="3" s="1"/>
  <c r="P1398" i="3"/>
  <c r="P558" i="3" s="1"/>
  <c r="T1401" i="3"/>
  <c r="T561" i="3" s="1"/>
  <c r="T1220" i="3"/>
  <c r="T380" i="3" s="1"/>
  <c r="T1325" i="3"/>
  <c r="T485" i="3" s="1"/>
  <c r="T1380" i="3"/>
  <c r="T540" i="3" s="1"/>
  <c r="T1221" i="3"/>
  <c r="T381" i="3" s="1"/>
  <c r="T1290" i="3"/>
  <c r="T450" i="3" s="1"/>
  <c r="T1222" i="3"/>
  <c r="T382" i="3" s="1"/>
  <c r="T1195" i="3"/>
  <c r="T355" i="3" s="1"/>
  <c r="X1249" i="3"/>
  <c r="X409" i="3" s="1"/>
  <c r="X1328" i="3"/>
  <c r="X488" i="3" s="1"/>
  <c r="X1281" i="3"/>
  <c r="X441" i="3" s="1"/>
  <c r="X1368" i="3"/>
  <c r="X528" i="3" s="1"/>
  <c r="X1203" i="3"/>
  <c r="X363" i="3" s="1"/>
  <c r="X1282" i="3"/>
  <c r="X442" i="3" s="1"/>
  <c r="X1210" i="3"/>
  <c r="X370" i="3" s="1"/>
  <c r="X1224" i="3"/>
  <c r="X384" i="3" s="1"/>
  <c r="X1339" i="3"/>
  <c r="X499" i="3" s="1"/>
  <c r="X1274" i="3"/>
  <c r="X434" i="3" s="1"/>
  <c r="AF1388" i="3"/>
  <c r="AF548" i="3" s="1"/>
  <c r="AF1265" i="3"/>
  <c r="AF425" i="3" s="1"/>
  <c r="AF1201" i="3"/>
  <c r="AF361" i="3" s="1"/>
  <c r="AF1413" i="3"/>
  <c r="AF573" i="3" s="1"/>
  <c r="AF1220" i="3"/>
  <c r="AF380" i="3" s="1"/>
  <c r="AF1343" i="3"/>
  <c r="AF503" i="3" s="1"/>
  <c r="AF1268" i="3"/>
  <c r="AF428" i="3" s="1"/>
  <c r="AF1296" i="3"/>
  <c r="AF456" i="3" s="1"/>
  <c r="AF1251" i="3"/>
  <c r="AF411" i="3" s="1"/>
  <c r="AF1352" i="3"/>
  <c r="AF512" i="3" s="1"/>
  <c r="AF1339" i="3"/>
  <c r="AF499" i="3" s="1"/>
  <c r="AJ1401" i="3"/>
  <c r="AJ561" i="3" s="1"/>
  <c r="AJ1420" i="3"/>
  <c r="AJ580" i="3" s="1"/>
  <c r="AJ1252" i="3"/>
  <c r="AJ412" i="3" s="1"/>
  <c r="AJ1188" i="3"/>
  <c r="AJ348" i="3" s="1"/>
  <c r="AJ1320" i="3"/>
  <c r="AJ480" i="3" s="1"/>
  <c r="AJ1299" i="3"/>
  <c r="AJ459" i="3" s="1"/>
  <c r="AJ1313" i="3"/>
  <c r="AJ473" i="3" s="1"/>
  <c r="AJ1287" i="3"/>
  <c r="AJ447" i="3" s="1"/>
  <c r="AJ1356" i="3"/>
  <c r="AJ516" i="3" s="1"/>
  <c r="AJ1330" i="3"/>
  <c r="AJ490" i="3" s="1"/>
  <c r="AJ1381" i="3"/>
  <c r="AJ541" i="3" s="1"/>
  <c r="AJ1370" i="3"/>
  <c r="AJ530" i="3" s="1"/>
  <c r="AJ1227" i="3"/>
  <c r="AJ387" i="3" s="1"/>
  <c r="AJ1258" i="3"/>
  <c r="AJ418" i="3" s="1"/>
  <c r="AJ1194" i="3"/>
  <c r="AJ354" i="3" s="1"/>
  <c r="AJ1286" i="3"/>
  <c r="AJ446" i="3" s="1"/>
  <c r="AN1356" i="3"/>
  <c r="AN516" i="3" s="1"/>
  <c r="AN1405" i="3"/>
  <c r="AN565" i="3" s="1"/>
  <c r="AN1281" i="3"/>
  <c r="AN441" i="3" s="1"/>
  <c r="AN1375" i="3"/>
  <c r="AN535" i="3" s="1"/>
  <c r="AN1247" i="3"/>
  <c r="AN407" i="3" s="1"/>
  <c r="AN1410" i="3"/>
  <c r="AN570" i="3" s="1"/>
  <c r="AN1254" i="3"/>
  <c r="AN1190" i="3"/>
  <c r="AN350" i="3" s="1"/>
  <c r="AN1351" i="3"/>
  <c r="AN511" i="3" s="1"/>
  <c r="AN1324" i="3"/>
  <c r="AN484" i="3" s="1"/>
  <c r="AN1338" i="3"/>
  <c r="AN498" i="3" s="1"/>
  <c r="AN1420" i="3"/>
  <c r="AN580" i="3" s="1"/>
  <c r="AN1414" i="3"/>
  <c r="AN574" i="3" s="1"/>
  <c r="AN1291" i="3"/>
  <c r="AN451" i="3" s="1"/>
  <c r="AN1196" i="3"/>
  <c r="AN356" i="3" s="1"/>
  <c r="AR1276" i="3"/>
  <c r="AR436" i="3" s="1"/>
  <c r="AR1316" i="3"/>
  <c r="AR476" i="3" s="1"/>
  <c r="AR1240" i="3"/>
  <c r="AR400" i="3" s="1"/>
  <c r="AR1285" i="3"/>
  <c r="AR445" i="3" s="1"/>
  <c r="AR1342" i="3"/>
  <c r="AR502" i="3" s="1"/>
  <c r="AR1332" i="3"/>
  <c r="AR492" i="3" s="1"/>
  <c r="AV1397" i="3"/>
  <c r="AV557" i="3" s="1"/>
  <c r="AV1260" i="3"/>
  <c r="AV420" i="3" s="1"/>
  <c r="AV1196" i="3"/>
  <c r="AV356" i="3" s="1"/>
  <c r="AV1303" i="3"/>
  <c r="AV463" i="3" s="1"/>
  <c r="AV1215" i="3"/>
  <c r="AV1294" i="3"/>
  <c r="AV454" i="3" s="1"/>
  <c r="AV1402" i="3"/>
  <c r="AV562" i="3" s="1"/>
  <c r="Q1189" i="3"/>
  <c r="Q349" i="3" s="1"/>
  <c r="Q1377" i="3"/>
  <c r="Q537" i="3" s="1"/>
  <c r="Q1380" i="3"/>
  <c r="Q540" i="3" s="1"/>
  <c r="Q1276" i="3"/>
  <c r="Q436" i="3" s="1"/>
  <c r="Q1379" i="3"/>
  <c r="Q539" i="3" s="1"/>
  <c r="Q1275" i="3"/>
  <c r="Q435" i="3" s="1"/>
  <c r="Q1326" i="3"/>
  <c r="Q486" i="3" s="1"/>
  <c r="Q1214" i="3"/>
  <c r="Q374" i="3" s="1"/>
  <c r="U1389" i="3"/>
  <c r="U549" i="3" s="1"/>
  <c r="U1359" i="3"/>
  <c r="U519" i="3" s="1"/>
  <c r="U1261" i="3"/>
  <c r="U421" i="3" s="1"/>
  <c r="U1338" i="3"/>
  <c r="U498" i="3" s="1"/>
  <c r="U1258" i="3"/>
  <c r="U418" i="3" s="1"/>
  <c r="U1336" i="3"/>
  <c r="U496" i="3" s="1"/>
  <c r="U1272" i="3"/>
  <c r="U432" i="3" s="1"/>
  <c r="U1196" i="3"/>
  <c r="U356" i="3" s="1"/>
  <c r="U1231" i="3"/>
  <c r="U391" i="3" s="1"/>
  <c r="Y1395" i="3"/>
  <c r="Y555" i="3" s="1"/>
  <c r="Y1345" i="3"/>
  <c r="Y505" i="3" s="1"/>
  <c r="Y1308" i="3"/>
  <c r="Y468" i="3" s="1"/>
  <c r="Y1212" i="3"/>
  <c r="Y372" i="3" s="1"/>
  <c r="Y1410" i="3"/>
  <c r="Y570" i="3" s="1"/>
  <c r="Y1247" i="3"/>
  <c r="Y407" i="3" s="1"/>
  <c r="Y1338" i="3"/>
  <c r="Y498" i="3" s="1"/>
  <c r="Y1258" i="3"/>
  <c r="Y418" i="3" s="1"/>
  <c r="Y1194" i="3"/>
  <c r="Y354" i="3" s="1"/>
  <c r="AC1249" i="3"/>
  <c r="AC409" i="3" s="1"/>
  <c r="AC1380" i="3"/>
  <c r="AC540" i="3" s="1"/>
  <c r="AC1348" i="3"/>
  <c r="AC508" i="3" s="1"/>
  <c r="AC1252" i="3"/>
  <c r="AC412" i="3" s="1"/>
  <c r="AC1339" i="3"/>
  <c r="AC499" i="3" s="1"/>
  <c r="AC1259" i="3"/>
  <c r="AC419" i="3" s="1"/>
  <c r="AC1211" i="3"/>
  <c r="AC371" i="3" s="1"/>
  <c r="AC1306" i="3"/>
  <c r="AC466" i="3" s="1"/>
  <c r="AC1242" i="3"/>
  <c r="AC402" i="3" s="1"/>
  <c r="AG1341" i="3"/>
  <c r="AG501" i="3" s="1"/>
  <c r="AG1277" i="3"/>
  <c r="AG1213" i="3"/>
  <c r="AG373" i="3" s="1"/>
  <c r="AG1352" i="3"/>
  <c r="AG512" i="3" s="1"/>
  <c r="AG1288" i="3"/>
  <c r="AG448" i="3" s="1"/>
  <c r="AG1224" i="3"/>
  <c r="AG384" i="3" s="1"/>
  <c r="AG1193" i="3"/>
  <c r="AG353" i="3" s="1"/>
  <c r="AG1315" i="3"/>
  <c r="AG475" i="3" s="1"/>
  <c r="AG1389" i="3"/>
  <c r="AG549" i="3" s="1"/>
  <c r="AG1219" i="3"/>
  <c r="AG379" i="3" s="1"/>
  <c r="AG1326" i="3"/>
  <c r="AG486" i="3" s="1"/>
  <c r="AG1262" i="3"/>
  <c r="AG422" i="3" s="1"/>
  <c r="AG1198" i="3"/>
  <c r="AG358" i="3" s="1"/>
  <c r="AG1370" i="3"/>
  <c r="AG530" i="3" s="1"/>
  <c r="AK1397" i="3"/>
  <c r="AK557" i="3" s="1"/>
  <c r="AK1421" i="3"/>
  <c r="AK581" i="3" s="1"/>
  <c r="AK1300" i="3"/>
  <c r="AK460" i="3" s="1"/>
  <c r="AK1343" i="3"/>
  <c r="AK503" i="3" s="1"/>
  <c r="AK1279" i="3"/>
  <c r="AK439" i="3" s="1"/>
  <c r="AK1215" i="3"/>
  <c r="AK1387" i="3"/>
  <c r="AK547" i="3" s="1"/>
  <c r="AK1330" i="3"/>
  <c r="AK490" i="3" s="1"/>
  <c r="AK1266" i="3"/>
  <c r="AK426" i="3" s="1"/>
  <c r="AK1202" i="3"/>
  <c r="AK362" i="3" s="1"/>
  <c r="AK1293" i="3"/>
  <c r="AK453" i="3" s="1"/>
  <c r="AK1229" i="3"/>
  <c r="AK389" i="3" s="1"/>
  <c r="AK1375" i="3"/>
  <c r="AK535" i="3" s="1"/>
  <c r="AO1201" i="3"/>
  <c r="AO361" i="3" s="1"/>
  <c r="AO1400" i="3"/>
  <c r="AO560" i="3" s="1"/>
  <c r="AO1339" i="3"/>
  <c r="AO499" i="3" s="1"/>
  <c r="AO1275" i="3"/>
  <c r="AO435" i="3" s="1"/>
  <c r="AO1211" i="3"/>
  <c r="AO371" i="3" s="1"/>
  <c r="AO1350" i="3"/>
  <c r="AO510" i="3" s="1"/>
  <c r="AO1286" i="3"/>
  <c r="AO446" i="3" s="1"/>
  <c r="AO1222" i="3"/>
  <c r="AO382" i="3" s="1"/>
  <c r="AO1293" i="3"/>
  <c r="AO453" i="3" s="1"/>
  <c r="AO1229" i="3"/>
  <c r="AO389" i="3" s="1"/>
  <c r="AO1352" i="3"/>
  <c r="AO512" i="3" s="1"/>
  <c r="AO1312" i="3"/>
  <c r="AO472" i="3" s="1"/>
  <c r="AO1324" i="3"/>
  <c r="AO484" i="3" s="1"/>
  <c r="AO1336" i="3"/>
  <c r="AO496" i="3" s="1"/>
  <c r="AS1352" i="3"/>
  <c r="AS512" i="3" s="1"/>
  <c r="AS1288" i="3"/>
  <c r="AS448" i="3" s="1"/>
  <c r="AS1224" i="3"/>
  <c r="AS384" i="3" s="1"/>
  <c r="AS1353" i="3"/>
  <c r="AS513" i="3" s="1"/>
  <c r="AS1289" i="3"/>
  <c r="AS449" i="3" s="1"/>
  <c r="AS1225" i="3"/>
  <c r="AS385" i="3" s="1"/>
  <c r="AS1192" i="3"/>
  <c r="AS352" i="3" s="1"/>
  <c r="AS1424" i="3"/>
  <c r="AS584" i="3" s="1"/>
  <c r="AS1390" i="3"/>
  <c r="AS550" i="3" s="1"/>
  <c r="AS1279" i="3"/>
  <c r="AS439" i="3" s="1"/>
  <c r="AS1203" i="3"/>
  <c r="AS363" i="3" s="1"/>
  <c r="AS1330" i="3"/>
  <c r="AS490" i="3" s="1"/>
  <c r="AS1266" i="3"/>
  <c r="AS426" i="3" s="1"/>
  <c r="AS1202" i="3"/>
  <c r="AS362" i="3" s="1"/>
  <c r="AS1355" i="3"/>
  <c r="AS515" i="3" s="1"/>
  <c r="AW1345" i="3"/>
  <c r="AW505" i="3" s="1"/>
  <c r="AW1281" i="3"/>
  <c r="AW441" i="3" s="1"/>
  <c r="AW1217" i="3"/>
  <c r="AA1213" i="3"/>
  <c r="AA373" i="3" s="1"/>
  <c r="AA1292" i="3"/>
  <c r="AA452" i="3" s="1"/>
  <c r="AA1370" i="3"/>
  <c r="AA530" i="3" s="1"/>
  <c r="AA1368" i="3"/>
  <c r="AA528" i="3" s="1"/>
  <c r="AA1287" i="3"/>
  <c r="AA447" i="3" s="1"/>
  <c r="AA1400" i="3"/>
  <c r="AA560" i="3" s="1"/>
  <c r="AA1410" i="3"/>
  <c r="AA570" i="3" s="1"/>
  <c r="AA1302" i="3"/>
  <c r="AA462" i="3" s="1"/>
  <c r="AA1450" i="3"/>
  <c r="AA610" i="3" s="1"/>
  <c r="AA1219" i="3"/>
  <c r="AA379" i="3" s="1"/>
  <c r="AE1197" i="3"/>
  <c r="AE357" i="3" s="1"/>
  <c r="AE1379" i="3"/>
  <c r="AE539" i="3" s="1"/>
  <c r="AE1431" i="3"/>
  <c r="AE591" i="3" s="1"/>
  <c r="AE1413" i="3"/>
  <c r="AE573" i="3" s="1"/>
  <c r="AE1412" i="3"/>
  <c r="AE572" i="3" s="1"/>
  <c r="AE1450" i="3"/>
  <c r="AE610" i="3" s="1"/>
  <c r="AI1429" i="3"/>
  <c r="AI589" i="3" s="1"/>
  <c r="AM1457" i="3"/>
  <c r="AM617" i="3" s="1"/>
  <c r="AM1425" i="3"/>
  <c r="AM585" i="3" s="1"/>
  <c r="AM1390" i="3"/>
  <c r="AM550" i="3" s="1"/>
  <c r="AQ1443" i="3"/>
  <c r="AQ603" i="3" s="1"/>
  <c r="AU1312" i="3"/>
  <c r="AU472" i="3" s="1"/>
  <c r="AU1401" i="3"/>
  <c r="AU561" i="3" s="1"/>
  <c r="AU1368" i="3"/>
  <c r="AU528" i="3" s="1"/>
  <c r="AB1340" i="3"/>
  <c r="AB500" i="3" s="1"/>
  <c r="AB1316" i="3"/>
  <c r="AB476" i="3" s="1"/>
  <c r="AB1224" i="3"/>
  <c r="AB384" i="3" s="1"/>
  <c r="AB1421" i="3"/>
  <c r="AB581" i="3" s="1"/>
  <c r="AB1241" i="3"/>
  <c r="AB401" i="3" s="1"/>
  <c r="AB1347" i="3"/>
  <c r="AB507" i="3" s="1"/>
  <c r="AB1367" i="3"/>
  <c r="AB527" i="3" s="1"/>
  <c r="AB1361" i="3"/>
  <c r="AB521" i="3" s="1"/>
  <c r="AB1282" i="3"/>
  <c r="AB442" i="3" s="1"/>
  <c r="AB1410" i="3"/>
  <c r="AB570" i="3" s="1"/>
  <c r="R1300" i="3"/>
  <c r="R460" i="3" s="1"/>
  <c r="R1355" i="3"/>
  <c r="R515" i="3" s="1"/>
  <c r="R1241" i="3"/>
  <c r="R401" i="3" s="1"/>
  <c r="R1388" i="3"/>
  <c r="R548" i="3" s="1"/>
  <c r="R1307" i="3"/>
  <c r="R467" i="3" s="1"/>
  <c r="R1362" i="3"/>
  <c r="R522" i="3" s="1"/>
  <c r="R1202" i="3"/>
  <c r="R1294" i="3"/>
  <c r="R454" i="3" s="1"/>
  <c r="V1305" i="3"/>
  <c r="V465" i="3" s="1"/>
  <c r="V1225" i="3"/>
  <c r="V385" i="3" s="1"/>
  <c r="V1264" i="3"/>
  <c r="V424" i="3" s="1"/>
  <c r="V1307" i="3"/>
  <c r="V467" i="3" s="1"/>
  <c r="V1294" i="3"/>
  <c r="V454" i="3" s="1"/>
  <c r="V1337" i="3"/>
  <c r="V497" i="3" s="1"/>
  <c r="V1399" i="3"/>
  <c r="V559" i="3" s="1"/>
  <c r="V1242" i="3"/>
  <c r="V402" i="3" s="1"/>
  <c r="V1361" i="3"/>
  <c r="V521" i="3" s="1"/>
  <c r="V1195" i="3"/>
  <c r="V355" i="3" s="1"/>
  <c r="V1350" i="3"/>
  <c r="V510" i="3" s="1"/>
  <c r="Z1288" i="3"/>
  <c r="Z448" i="3" s="1"/>
  <c r="Z1189" i="3"/>
  <c r="Z349" i="3" s="1"/>
  <c r="Z1196" i="3"/>
  <c r="Z356" i="3" s="1"/>
  <c r="Z1346" i="3"/>
  <c r="Z506" i="3" s="1"/>
  <c r="Z1247" i="3"/>
  <c r="Z407" i="3" s="1"/>
  <c r="Z1402" i="3"/>
  <c r="Z562" i="3" s="1"/>
  <c r="Z1250" i="3"/>
  <c r="Z410" i="3" s="1"/>
  <c r="Z1302" i="3"/>
  <c r="Z462" i="3" s="1"/>
  <c r="AD1395" i="3"/>
  <c r="AD555" i="3" s="1"/>
  <c r="AD1261" i="3"/>
  <c r="AD421" i="3" s="1"/>
  <c r="AD1276" i="3"/>
  <c r="AD436" i="3" s="1"/>
  <c r="AD1320" i="3"/>
  <c r="AD480" i="3" s="1"/>
  <c r="AD1293" i="3"/>
  <c r="AD453" i="3" s="1"/>
  <c r="AD1382" i="3"/>
  <c r="AD542" i="3" s="1"/>
  <c r="AD1210" i="3"/>
  <c r="AD370" i="3" s="1"/>
  <c r="AD1303" i="3"/>
  <c r="AD463" i="3" s="1"/>
  <c r="AD1290" i="3"/>
  <c r="AD450" i="3" s="1"/>
  <c r="AD1211" i="3"/>
  <c r="AD371" i="3" s="1"/>
  <c r="AD1398" i="3"/>
  <c r="AD558" i="3" s="1"/>
  <c r="AH1457" i="3"/>
  <c r="AH617" i="3" s="1"/>
  <c r="AH1456" i="3"/>
  <c r="AH616" i="3" s="1"/>
  <c r="AH1383" i="3"/>
  <c r="AH543" i="3" s="1"/>
  <c r="AH1259" i="3"/>
  <c r="AH419" i="3" s="1"/>
  <c r="AH1195" i="3"/>
  <c r="AH355" i="3" s="1"/>
  <c r="AH1271" i="3"/>
  <c r="AH431" i="3" s="1"/>
  <c r="AH1350" i="3"/>
  <c r="AH510" i="3" s="1"/>
  <c r="AH1443" i="3"/>
  <c r="AH603" i="3" s="1"/>
  <c r="AL1441" i="3"/>
  <c r="AL601" i="3" s="1"/>
  <c r="AL1305" i="3"/>
  <c r="AL465" i="3" s="1"/>
  <c r="AL1225" i="3"/>
  <c r="AL385" i="3" s="1"/>
  <c r="AL1388" i="3"/>
  <c r="AL548" i="3" s="1"/>
  <c r="AL1216" i="3"/>
  <c r="AL1379" i="3"/>
  <c r="AL539" i="3" s="1"/>
  <c r="AL1271" i="3"/>
  <c r="AL431" i="3" s="1"/>
  <c r="AL1338" i="3"/>
  <c r="AL498" i="3" s="1"/>
  <c r="AL1357" i="3"/>
  <c r="AL517" i="3" s="1"/>
  <c r="AL1230" i="3"/>
  <c r="AL390" i="3" s="1"/>
  <c r="AL1293" i="3"/>
  <c r="AL453" i="3" s="1"/>
  <c r="AL1239" i="3"/>
  <c r="AL399" i="3" s="1"/>
  <c r="AL1418" i="3"/>
  <c r="AL578" i="3" s="1"/>
  <c r="AL1334" i="3"/>
  <c r="AL494" i="3" s="1"/>
  <c r="AL1358" i="3"/>
  <c r="AL518" i="3" s="1"/>
  <c r="AP1259" i="3"/>
  <c r="AP419" i="3" s="1"/>
  <c r="AP1195" i="3"/>
  <c r="AP355" i="3" s="1"/>
  <c r="AP1326" i="3"/>
  <c r="AP486" i="3" s="1"/>
  <c r="AP1379" i="3"/>
  <c r="AP539" i="3" s="1"/>
  <c r="AP1226" i="3"/>
  <c r="AP386" i="3" s="1"/>
  <c r="AT1313" i="3"/>
  <c r="AT473" i="3" s="1"/>
  <c r="AT1229" i="3"/>
  <c r="AT389" i="3" s="1"/>
  <c r="AT1396" i="3"/>
  <c r="AT556" i="3" s="1"/>
  <c r="AT1220" i="3"/>
  <c r="AT380" i="3" s="1"/>
  <c r="AT1368" i="3"/>
  <c r="AT528" i="3" s="1"/>
  <c r="AT1383" i="3"/>
  <c r="AT543" i="3" s="1"/>
  <c r="AT1218" i="3"/>
  <c r="AT1456" i="3"/>
  <c r="AT616" i="3" s="1"/>
  <c r="AT1451" i="3"/>
  <c r="AT611" i="3" s="1"/>
  <c r="AT1303" i="3"/>
  <c r="AT463" i="3" s="1"/>
  <c r="AT1306" i="3"/>
  <c r="AT466" i="3" s="1"/>
  <c r="AT1318" i="3"/>
  <c r="AT478" i="3" s="1"/>
  <c r="AT1199" i="3"/>
  <c r="AT359" i="3" s="1"/>
  <c r="AX1349" i="3"/>
  <c r="AX509" i="3" s="1"/>
  <c r="AX1328" i="3"/>
  <c r="AX488" i="3" s="1"/>
  <c r="AX1389" i="3"/>
  <c r="AX549" i="3" s="1"/>
  <c r="AX1360" i="3"/>
  <c r="AX520" i="3" s="1"/>
  <c r="AX1215" i="3"/>
  <c r="AX1402" i="3"/>
  <c r="AX562" i="3" s="1"/>
  <c r="AX1265" i="3"/>
  <c r="AX425" i="3" s="1"/>
  <c r="AX1201" i="3"/>
  <c r="AX361" i="3" s="1"/>
  <c r="AX1276" i="3"/>
  <c r="AX436" i="3" s="1"/>
  <c r="AX1319" i="3"/>
  <c r="AX479" i="3" s="1"/>
  <c r="AX1332" i="3"/>
  <c r="AX492" i="3" s="1"/>
  <c r="AX1359" i="3"/>
  <c r="AX519" i="3" s="1"/>
  <c r="AX1218" i="3"/>
  <c r="AX1338" i="3"/>
  <c r="AX498" i="3" s="1"/>
  <c r="AX1294" i="3"/>
  <c r="AX454" i="3" s="1"/>
  <c r="P1377" i="3"/>
  <c r="P537" i="3" s="1"/>
  <c r="P1388" i="3"/>
  <c r="P548" i="3" s="1"/>
  <c r="P1201" i="3"/>
  <c r="P361" i="3" s="1"/>
  <c r="P1288" i="3"/>
  <c r="P448" i="3" s="1"/>
  <c r="P1336" i="3"/>
  <c r="P496" i="3" s="1"/>
  <c r="P1220" i="3"/>
  <c r="P380" i="3" s="1"/>
  <c r="P1239" i="3"/>
  <c r="P399" i="3" s="1"/>
  <c r="P1426" i="3"/>
  <c r="P586" i="3" s="1"/>
  <c r="P1262" i="3"/>
  <c r="P422" i="3" s="1"/>
  <c r="P1355" i="3"/>
  <c r="P515" i="3" s="1"/>
  <c r="T1252" i="3"/>
  <c r="T412" i="3" s="1"/>
  <c r="T1320" i="3"/>
  <c r="T480" i="3" s="1"/>
  <c r="T1345" i="3"/>
  <c r="T505" i="3" s="1"/>
  <c r="T1274" i="3"/>
  <c r="T434" i="3" s="1"/>
  <c r="T1400" i="3"/>
  <c r="T560" i="3" s="1"/>
  <c r="T1269" i="3"/>
  <c r="T429" i="3" s="1"/>
  <c r="T1346" i="3"/>
  <c r="T506" i="3" s="1"/>
  <c r="T1306" i="3"/>
  <c r="T466" i="3" s="1"/>
  <c r="T1247" i="3"/>
  <c r="T407" i="3" s="1"/>
  <c r="T1231" i="3"/>
  <c r="T391" i="3" s="1"/>
  <c r="X1349" i="3"/>
  <c r="X509" i="3" s="1"/>
  <c r="X1356" i="3"/>
  <c r="X516" i="3" s="1"/>
  <c r="X1375" i="3"/>
  <c r="X535" i="3" s="1"/>
  <c r="X1219" i="3"/>
  <c r="X1226" i="3"/>
  <c r="X386" i="3" s="1"/>
  <c r="AF1377" i="3"/>
  <c r="AF537" i="3" s="1"/>
  <c r="AF1412" i="3"/>
  <c r="AF572" i="3" s="1"/>
  <c r="AF1329" i="3"/>
  <c r="AF489" i="3" s="1"/>
  <c r="AF1217" i="3"/>
  <c r="AF1439" i="3"/>
  <c r="AF599" i="3" s="1"/>
  <c r="AF1423" i="3"/>
  <c r="AF583" i="3" s="1"/>
  <c r="AF1322" i="3"/>
  <c r="AF482" i="3" s="1"/>
  <c r="AF1312" i="3"/>
  <c r="AF472" i="3" s="1"/>
  <c r="AF1279" i="3"/>
  <c r="AF439" i="3" s="1"/>
  <c r="AF1203" i="3"/>
  <c r="AF363" i="3" s="1"/>
  <c r="AF1314" i="3"/>
  <c r="AF474" i="3" s="1"/>
  <c r="AJ1280" i="3"/>
  <c r="AJ440" i="3" s="1"/>
  <c r="AJ1352" i="3"/>
  <c r="AJ1253" i="3"/>
  <c r="AJ1189" i="3"/>
  <c r="AJ349" i="3" s="1"/>
  <c r="AJ1375" i="3"/>
  <c r="AJ535" i="3" s="1"/>
  <c r="AJ1333" i="3"/>
  <c r="AJ493" i="3" s="1"/>
  <c r="AJ1275" i="3"/>
  <c r="AJ435" i="3" s="1"/>
  <c r="AJ1405" i="3"/>
  <c r="AJ565" i="3" s="1"/>
  <c r="AJ1380" i="3"/>
  <c r="AJ540" i="3" s="1"/>
  <c r="AJ1450" i="3"/>
  <c r="AJ610" i="3" s="1"/>
  <c r="AJ1406" i="3"/>
  <c r="AJ566" i="3" s="1"/>
  <c r="AJ1210" i="3"/>
  <c r="AJ370" i="3" s="1"/>
  <c r="AJ1271" i="3"/>
  <c r="AJ431" i="3" s="1"/>
  <c r="AN1265" i="3"/>
  <c r="AN425" i="3" s="1"/>
  <c r="AN1201" i="3"/>
  <c r="AN361" i="3" s="1"/>
  <c r="AN1297" i="3"/>
  <c r="AN457" i="3" s="1"/>
  <c r="AN1376" i="3"/>
  <c r="AN536" i="3" s="1"/>
  <c r="AN1263" i="3"/>
  <c r="AN423" i="3" s="1"/>
  <c r="AN1199" i="3"/>
  <c r="AN359" i="3" s="1"/>
  <c r="AW1296" i="3"/>
  <c r="AW456" i="3" s="1"/>
  <c r="AW1232" i="3"/>
  <c r="AW392" i="3" s="1"/>
  <c r="AW1367" i="3"/>
  <c r="AW527" i="3" s="1"/>
  <c r="AW1383" i="3"/>
  <c r="AW543" i="3" s="1"/>
  <c r="AW1307" i="3"/>
  <c r="AW467" i="3" s="1"/>
  <c r="AW1215" i="3"/>
  <c r="AW1338" i="3"/>
  <c r="AW498" i="3" s="1"/>
  <c r="AW1274" i="3"/>
  <c r="AW434" i="3" s="1"/>
  <c r="AW1210" i="3"/>
  <c r="AW370" i="3" s="1"/>
  <c r="AW1406" i="3"/>
  <c r="AW566" i="3" s="1"/>
  <c r="S1410" i="3"/>
  <c r="S570" i="3" s="1"/>
  <c r="S1316" i="3"/>
  <c r="S476" i="3" s="1"/>
  <c r="S1264" i="3"/>
  <c r="S424" i="3" s="1"/>
  <c r="W1399" i="3"/>
  <c r="W559" i="3" s="1"/>
  <c r="AA1240" i="3"/>
  <c r="AA400" i="3" s="1"/>
  <c r="AA1234" i="3"/>
  <c r="AA394" i="3" s="1"/>
  <c r="AE1360" i="3"/>
  <c r="AE520" i="3" s="1"/>
  <c r="AE1361" i="3"/>
  <c r="AE521" i="3" s="1"/>
  <c r="AE1410" i="3"/>
  <c r="AE570" i="3" s="1"/>
  <c r="AE1305" i="3"/>
  <c r="AE465" i="3" s="1"/>
  <c r="AE1241" i="3"/>
  <c r="AE401" i="3" s="1"/>
  <c r="AE1352" i="3"/>
  <c r="AE512" i="3" s="1"/>
  <c r="AE1288" i="3"/>
  <c r="AE448" i="3" s="1"/>
  <c r="AE1224" i="3"/>
  <c r="AE384" i="3" s="1"/>
  <c r="AE1319" i="3"/>
  <c r="AE479" i="3" s="1"/>
  <c r="AE1255" i="3"/>
  <c r="AE1402" i="3"/>
  <c r="AE562" i="3" s="1"/>
  <c r="AE1298" i="3"/>
  <c r="AE458" i="3" s="1"/>
  <c r="AE1234" i="3"/>
  <c r="AE394" i="3" s="1"/>
  <c r="AE1355" i="3"/>
  <c r="AE515" i="3" s="1"/>
  <c r="AE1378" i="3"/>
  <c r="AE538" i="3" s="1"/>
  <c r="AI1424" i="3"/>
  <c r="AI584" i="3" s="1"/>
  <c r="AI1347" i="3"/>
  <c r="AI507" i="3" s="1"/>
  <c r="AI1283" i="3"/>
  <c r="AI443" i="3" s="1"/>
  <c r="AI1219" i="3"/>
  <c r="AI379" i="3" s="1"/>
  <c r="AI1385" i="3"/>
  <c r="AI545" i="3" s="1"/>
  <c r="AI1321" i="3"/>
  <c r="AI481" i="3" s="1"/>
  <c r="AI1257" i="3"/>
  <c r="AI417" i="3" s="1"/>
  <c r="AI1193" i="3"/>
  <c r="AI353" i="3" s="1"/>
  <c r="AI1336" i="3"/>
  <c r="AI496" i="3" s="1"/>
  <c r="AI1272" i="3"/>
  <c r="AI432" i="3" s="1"/>
  <c r="AI1358" i="3"/>
  <c r="AI518" i="3" s="1"/>
  <c r="AM1333" i="3"/>
  <c r="AM493" i="3" s="1"/>
  <c r="AM1403" i="3"/>
  <c r="AM563" i="3" s="1"/>
  <c r="AQ1440" i="3"/>
  <c r="AQ600" i="3" s="1"/>
  <c r="AQ1405" i="3"/>
  <c r="AQ565" i="3" s="1"/>
  <c r="AQ1398" i="3"/>
  <c r="AQ558" i="3" s="1"/>
  <c r="AU1395" i="3"/>
  <c r="AU555" i="3" s="1"/>
  <c r="AB1204" i="3"/>
  <c r="AB364" i="3" s="1"/>
  <c r="AB1346" i="3"/>
  <c r="AB506" i="3" s="1"/>
  <c r="AB1357" i="3"/>
  <c r="AB517" i="3" s="1"/>
  <c r="AB1283" i="3"/>
  <c r="AB443" i="3" s="1"/>
  <c r="AB1350" i="3"/>
  <c r="AB510" i="3" s="1"/>
  <c r="AB1258" i="3"/>
  <c r="AB418" i="3" s="1"/>
  <c r="AB1194" i="3"/>
  <c r="AB354" i="3" s="1"/>
  <c r="AD1407" i="3"/>
  <c r="AD567" i="3" s="1"/>
  <c r="AD1413" i="3"/>
  <c r="AD573" i="3" s="1"/>
  <c r="AD1190" i="3"/>
  <c r="AD350" i="3" s="1"/>
  <c r="AH1376" i="3"/>
  <c r="AH536" i="3" s="1"/>
  <c r="AH1275" i="3"/>
  <c r="AH435" i="3" s="1"/>
  <c r="AH1367" i="3"/>
  <c r="AH527" i="3" s="1"/>
  <c r="AH1419" i="3"/>
  <c r="AH579" i="3" s="1"/>
  <c r="AH1381" i="3"/>
  <c r="AH541" i="3" s="1"/>
  <c r="AH1408" i="3"/>
  <c r="AH568" i="3" s="1"/>
  <c r="AH1266" i="3"/>
  <c r="AH426" i="3" s="1"/>
  <c r="AH1202" i="3"/>
  <c r="AH362" i="3" s="1"/>
  <c r="AH1326" i="3"/>
  <c r="AH486" i="3" s="1"/>
  <c r="AH1224" i="3"/>
  <c r="AH384" i="3" s="1"/>
  <c r="AL1348" i="3"/>
  <c r="AL508" i="3" s="1"/>
  <c r="AL1303" i="3"/>
  <c r="AL463" i="3" s="1"/>
  <c r="AL1327" i="3"/>
  <c r="AL487" i="3" s="1"/>
  <c r="AL1403" i="3"/>
  <c r="AL563" i="3" s="1"/>
  <c r="AL1203" i="3"/>
  <c r="AL363" i="3" s="1"/>
  <c r="AP1400" i="3"/>
  <c r="AP560" i="3" s="1"/>
  <c r="AP1190" i="3"/>
  <c r="AP350" i="3" s="1"/>
  <c r="AX1395" i="3"/>
  <c r="AX555" i="3" s="1"/>
  <c r="AX1281" i="3"/>
  <c r="AX441" i="3" s="1"/>
  <c r="AX1272" i="3"/>
  <c r="AX432" i="3" s="1"/>
  <c r="AX1204" i="3"/>
  <c r="AX364" i="3" s="1"/>
  <c r="AX1311" i="3"/>
  <c r="AX471" i="3" s="1"/>
  <c r="AX1320" i="3"/>
  <c r="AX480" i="3" s="1"/>
  <c r="AX1367" i="3"/>
  <c r="AX527" i="3" s="1"/>
  <c r="AX1214" i="3"/>
  <c r="AX374" i="3" s="1"/>
  <c r="P1389" i="3"/>
  <c r="P549" i="3" s="1"/>
  <c r="P1325" i="3"/>
  <c r="P485" i="3" s="1"/>
  <c r="P1272" i="3"/>
  <c r="P432" i="3" s="1"/>
  <c r="P1359" i="3"/>
  <c r="P519" i="3" s="1"/>
  <c r="P1369" i="3"/>
  <c r="P529" i="3" s="1"/>
  <c r="P1248" i="3"/>
  <c r="P408" i="3" s="1"/>
  <c r="P1251" i="3"/>
  <c r="P411" i="3" s="1"/>
  <c r="P1242" i="3"/>
  <c r="P402" i="3" s="1"/>
  <c r="P1276" i="3"/>
  <c r="P436" i="3" s="1"/>
  <c r="P1402" i="3"/>
  <c r="P562" i="3" s="1"/>
  <c r="T1408" i="3"/>
  <c r="T568" i="3" s="1"/>
  <c r="T1248" i="3"/>
  <c r="T408" i="3" s="1"/>
  <c r="X1336" i="3"/>
  <c r="X496" i="3" s="1"/>
  <c r="X1231" i="3"/>
  <c r="X391" i="3" s="1"/>
  <c r="X1222" i="3"/>
  <c r="X382" i="3" s="1"/>
  <c r="X1204" i="3"/>
  <c r="X364" i="3" s="1"/>
  <c r="X1350" i="3"/>
  <c r="X510" i="3" s="1"/>
  <c r="X1346" i="3"/>
  <c r="X506" i="3" s="1"/>
  <c r="AF1411" i="3"/>
  <c r="AF571" i="3" s="1"/>
  <c r="AF1305" i="3"/>
  <c r="AF465" i="3" s="1"/>
  <c r="AF1404" i="3"/>
  <c r="AF564" i="3" s="1"/>
  <c r="AF1345" i="3"/>
  <c r="AF505" i="3" s="1"/>
  <c r="AF1229" i="3"/>
  <c r="AF389" i="3" s="1"/>
  <c r="AF1272" i="3"/>
  <c r="AF432" i="3" s="1"/>
  <c r="AF1264" i="3"/>
  <c r="AF424" i="3" s="1"/>
  <c r="AF1200" i="3"/>
  <c r="AF360" i="3" s="1"/>
  <c r="AF1331" i="3"/>
  <c r="AF491" i="3" s="1"/>
  <c r="AF1399" i="3"/>
  <c r="AF559" i="3" s="1"/>
  <c r="AF1292" i="3"/>
  <c r="AF452" i="3" s="1"/>
  <c r="AF1247" i="3"/>
  <c r="AF407" i="3" s="1"/>
  <c r="AF1410" i="3"/>
  <c r="AF570" i="3" s="1"/>
  <c r="AF1254" i="3"/>
  <c r="AF1190" i="3"/>
  <c r="AF350" i="3" s="1"/>
  <c r="AF1330" i="3"/>
  <c r="AF490" i="3" s="1"/>
  <c r="AJ1308" i="3"/>
  <c r="AJ468" i="3" s="1"/>
  <c r="AJ1232" i="3"/>
  <c r="AJ392" i="3" s="1"/>
  <c r="AJ1276" i="3"/>
  <c r="AJ436" i="3" s="1"/>
  <c r="AJ1233" i="3"/>
  <c r="AJ393" i="3" s="1"/>
  <c r="AJ1291" i="3"/>
  <c r="AJ451" i="3" s="1"/>
  <c r="AJ1309" i="3"/>
  <c r="AJ469" i="3" s="1"/>
  <c r="AJ1279" i="3"/>
  <c r="AJ439" i="3" s="1"/>
  <c r="AJ1348" i="3"/>
  <c r="AJ508" i="3" s="1"/>
  <c r="AJ1326" i="3"/>
  <c r="AJ486" i="3" s="1"/>
  <c r="AJ1377" i="3"/>
  <c r="AJ537" i="3" s="1"/>
  <c r="AJ1223" i="3"/>
  <c r="AJ383" i="3" s="1"/>
  <c r="AJ1254" i="3"/>
  <c r="AJ1190" i="3"/>
  <c r="AJ350" i="3" s="1"/>
  <c r="AN1407" i="3"/>
  <c r="AN567" i="3" s="1"/>
  <c r="AN1259" i="3"/>
  <c r="AN419" i="3" s="1"/>
  <c r="AN1195" i="3"/>
  <c r="AN355" i="3" s="1"/>
  <c r="AN1266" i="3"/>
  <c r="AN426" i="3" s="1"/>
  <c r="AN1202" i="3"/>
  <c r="AN362" i="3" s="1"/>
  <c r="AN1284" i="3"/>
  <c r="AN444" i="3" s="1"/>
  <c r="AN1352" i="3"/>
  <c r="AN512" i="3" s="1"/>
  <c r="AN1358" i="3"/>
  <c r="AN518" i="3" s="1"/>
  <c r="AN1419" i="3"/>
  <c r="AN579" i="3" s="1"/>
  <c r="AN1408" i="3"/>
  <c r="AN568" i="3" s="1"/>
  <c r="AN1382" i="3"/>
  <c r="AN542" i="3" s="1"/>
  <c r="AN1283" i="3"/>
  <c r="AN443" i="3" s="1"/>
  <c r="AR1312" i="3"/>
  <c r="AR472" i="3" s="1"/>
  <c r="AR1375" i="3"/>
  <c r="AR535" i="3" s="1"/>
  <c r="AR1361" i="3"/>
  <c r="AR521" i="3" s="1"/>
  <c r="AR1347" i="3"/>
  <c r="AR507" i="3" s="1"/>
  <c r="AR1376" i="3"/>
  <c r="AR536" i="3" s="1"/>
  <c r="AR1217" i="3"/>
  <c r="AR1231" i="3"/>
  <c r="AR391" i="3" s="1"/>
  <c r="AR1262" i="3"/>
  <c r="AR422" i="3" s="1"/>
  <c r="AR1198" i="3"/>
  <c r="AR358" i="3" s="1"/>
  <c r="AV1411" i="3"/>
  <c r="AV571" i="3" s="1"/>
  <c r="AV1259" i="3"/>
  <c r="AV419" i="3" s="1"/>
  <c r="AV1195" i="3"/>
  <c r="AV355" i="3" s="1"/>
  <c r="AV1202" i="3"/>
  <c r="AV362" i="3" s="1"/>
  <c r="AV1383" i="3"/>
  <c r="AV543" i="3" s="1"/>
  <c r="AV1382" i="3"/>
  <c r="AV542" i="3" s="1"/>
  <c r="Q1261" i="3"/>
  <c r="Q421" i="3" s="1"/>
  <c r="Q1336" i="3"/>
  <c r="Q496" i="3" s="1"/>
  <c r="Q1272" i="3"/>
  <c r="Q432" i="3" s="1"/>
  <c r="Q1375" i="3"/>
  <c r="Q535" i="3" s="1"/>
  <c r="Q1274" i="3"/>
  <c r="Q434" i="3" s="1"/>
  <c r="Q1210" i="3"/>
  <c r="Q370" i="3" s="1"/>
  <c r="Q1271" i="3"/>
  <c r="Q431" i="3" s="1"/>
  <c r="U1273" i="3"/>
  <c r="U433" i="3" s="1"/>
  <c r="U1209" i="3"/>
  <c r="U369" i="3" s="1"/>
  <c r="U1334" i="3"/>
  <c r="U494" i="3" s="1"/>
  <c r="U1270" i="3"/>
  <c r="U430" i="3" s="1"/>
  <c r="U1300" i="3"/>
  <c r="U460" i="3" s="1"/>
  <c r="U1204" i="3"/>
  <c r="U364" i="3" s="1"/>
  <c r="U1339" i="3"/>
  <c r="U499" i="3" s="1"/>
  <c r="U1259" i="3"/>
  <c r="U419" i="3" s="1"/>
  <c r="U1194" i="3"/>
  <c r="U354" i="3" s="1"/>
  <c r="Y1389" i="3"/>
  <c r="Y549" i="3" s="1"/>
  <c r="Y1288" i="3"/>
  <c r="Y448" i="3" s="1"/>
  <c r="Y1339" i="3"/>
  <c r="Y499" i="3" s="1"/>
  <c r="AN1278" i="3"/>
  <c r="AN1288" i="3"/>
  <c r="AN448" i="3" s="1"/>
  <c r="AN1360" i="3"/>
  <c r="AN520" i="3" s="1"/>
  <c r="AN1362" i="3"/>
  <c r="AN522" i="3" s="1"/>
  <c r="AN1188" i="3"/>
  <c r="AN348" i="3" s="1"/>
  <c r="AN1228" i="3"/>
  <c r="AN388" i="3" s="1"/>
  <c r="AR1340" i="3"/>
  <c r="AR500" i="3" s="1"/>
  <c r="AR1403" i="3"/>
  <c r="AR563" i="3" s="1"/>
  <c r="AR1337" i="3"/>
  <c r="AR497" i="3" s="1"/>
  <c r="AR1256" i="3"/>
  <c r="AR1192" i="3"/>
  <c r="AR352" i="3" s="1"/>
  <c r="AR1301" i="3"/>
  <c r="AR461" i="3" s="1"/>
  <c r="AR1315" i="3"/>
  <c r="AR475" i="3" s="1"/>
  <c r="AR1317" i="3"/>
  <c r="AR477" i="3" s="1"/>
  <c r="AR1424" i="3"/>
  <c r="AR584" i="3" s="1"/>
  <c r="AR1269" i="3"/>
  <c r="AR429" i="3" s="1"/>
  <c r="AR1219" i="3"/>
  <c r="AR379" i="3" s="1"/>
  <c r="AR1234" i="3"/>
  <c r="AR394" i="3" s="1"/>
  <c r="AR1310" i="3"/>
  <c r="AR470" i="3" s="1"/>
  <c r="AR1354" i="3"/>
  <c r="AR514" i="3" s="1"/>
  <c r="AV1293" i="3"/>
  <c r="AV453" i="3" s="1"/>
  <c r="AV1407" i="3"/>
  <c r="AV567" i="3" s="1"/>
  <c r="AV1249" i="3"/>
  <c r="AV409" i="3" s="1"/>
  <c r="AV1356" i="3"/>
  <c r="AV516" i="3" s="1"/>
  <c r="AV1288" i="3"/>
  <c r="AV448" i="3" s="1"/>
  <c r="AV1350" i="3"/>
  <c r="AV510" i="3" s="1"/>
  <c r="AV1307" i="3"/>
  <c r="AV467" i="3" s="1"/>
  <c r="AV1420" i="3"/>
  <c r="AV580" i="3" s="1"/>
  <c r="AV1212" i="3"/>
  <c r="AV372" i="3" s="1"/>
  <c r="AV1399" i="3"/>
  <c r="AV559" i="3" s="1"/>
  <c r="AV1231" i="3"/>
  <c r="AV391" i="3" s="1"/>
  <c r="AV1310" i="3"/>
  <c r="AV470" i="3" s="1"/>
  <c r="AV1267" i="3"/>
  <c r="AV427" i="3" s="1"/>
  <c r="AV1319" i="3"/>
  <c r="AV479" i="3" s="1"/>
  <c r="Q1369" i="3"/>
  <c r="Q529" i="3" s="1"/>
  <c r="Q1457" i="3"/>
  <c r="Q617" i="3" s="1"/>
  <c r="Q1413" i="3"/>
  <c r="Q573" i="3" s="1"/>
  <c r="Q1249" i="3"/>
  <c r="Q409" i="3" s="1"/>
  <c r="Q1292" i="3"/>
  <c r="Q452" i="3" s="1"/>
  <c r="Q1196" i="3"/>
  <c r="Q356" i="3" s="1"/>
  <c r="Q1193" i="3"/>
  <c r="Q353" i="3" s="1"/>
  <c r="Q1446" i="3"/>
  <c r="Q606" i="3" s="1"/>
  <c r="Q1307" i="3"/>
  <c r="Q467" i="3" s="1"/>
  <c r="Q1203" i="3"/>
  <c r="Q363" i="3" s="1"/>
  <c r="Q1262" i="3"/>
  <c r="Q422" i="3" s="1"/>
  <c r="U1428" i="3"/>
  <c r="U588" i="3" s="1"/>
  <c r="U1439" i="3"/>
  <c r="U599" i="3" s="1"/>
  <c r="U1409" i="3"/>
  <c r="U569" i="3" s="1"/>
  <c r="U1387" i="3"/>
  <c r="U547" i="3" s="1"/>
  <c r="U1293" i="3"/>
  <c r="U453" i="3" s="1"/>
  <c r="U1367" i="3"/>
  <c r="U527" i="3" s="1"/>
  <c r="U1210" i="3"/>
  <c r="U370" i="3" s="1"/>
  <c r="U1288" i="3"/>
  <c r="U448" i="3" s="1"/>
  <c r="U1381" i="3"/>
  <c r="U541" i="3" s="1"/>
  <c r="U1247" i="3"/>
  <c r="U407" i="3" s="1"/>
  <c r="U1438" i="3"/>
  <c r="U598" i="3" s="1"/>
  <c r="U1390" i="3"/>
  <c r="U550" i="3" s="1"/>
  <c r="Y1201" i="3"/>
  <c r="Y361" i="3" s="1"/>
  <c r="Y1377" i="3"/>
  <c r="Y537" i="3" s="1"/>
  <c r="Y1233" i="3"/>
  <c r="Y393" i="3" s="1"/>
  <c r="Y1340" i="3"/>
  <c r="Y500" i="3" s="1"/>
  <c r="Y1260" i="3"/>
  <c r="Y420" i="3" s="1"/>
  <c r="Y1263" i="3"/>
  <c r="Y423" i="3" s="1"/>
  <c r="Y1382" i="3"/>
  <c r="Y542" i="3" s="1"/>
  <c r="Y1210" i="3"/>
  <c r="Y370" i="3" s="1"/>
  <c r="AC1281" i="3"/>
  <c r="AC441" i="3" s="1"/>
  <c r="AC1456" i="3"/>
  <c r="AC616" i="3" s="1"/>
  <c r="AC1412" i="3"/>
  <c r="AC572" i="3" s="1"/>
  <c r="AC1284" i="3"/>
  <c r="AC444" i="3" s="1"/>
  <c r="AC1370" i="3"/>
  <c r="AC530" i="3" s="1"/>
  <c r="AC1275" i="3"/>
  <c r="AC435" i="3" s="1"/>
  <c r="AC1453" i="3"/>
  <c r="AC613" i="3" s="1"/>
  <c r="AC1443" i="3"/>
  <c r="AC603" i="3" s="1"/>
  <c r="AC1358" i="3"/>
  <c r="AC518" i="3" s="1"/>
  <c r="AC1338" i="3"/>
  <c r="AC498" i="3" s="1"/>
  <c r="AC1258" i="3"/>
  <c r="AC418" i="3" s="1"/>
  <c r="AC1190" i="3"/>
  <c r="AC350" i="3" s="1"/>
  <c r="AG1449" i="3"/>
  <c r="AG609" i="3" s="1"/>
  <c r="AG1357" i="3"/>
  <c r="AG517" i="3" s="1"/>
  <c r="AG1414" i="3"/>
  <c r="AG574" i="3" s="1"/>
  <c r="AO1452" i="3"/>
  <c r="AO612" i="3" s="1"/>
  <c r="AO1455" i="3"/>
  <c r="AO615" i="3" s="1"/>
  <c r="AO1453" i="3"/>
  <c r="AO613" i="3" s="1"/>
  <c r="AO1187" i="3"/>
  <c r="AO347" i="3" s="1"/>
  <c r="AS1427" i="3"/>
  <c r="AS587" i="3" s="1"/>
  <c r="AS1413" i="3"/>
  <c r="AS573" i="3" s="1"/>
  <c r="AS1304" i="3"/>
  <c r="AS464" i="3" s="1"/>
  <c r="AS1448" i="3"/>
  <c r="AS608" i="3" s="1"/>
  <c r="AS1447" i="3"/>
  <c r="AS607" i="3" s="1"/>
  <c r="AS1437" i="3"/>
  <c r="AS597" i="3" s="1"/>
  <c r="AS1359" i="3"/>
  <c r="AS519" i="3" s="1"/>
  <c r="AS1311" i="3"/>
  <c r="AS471" i="3" s="1"/>
  <c r="AS1219" i="3"/>
  <c r="AS379" i="3" s="1"/>
  <c r="AS1282" i="3"/>
  <c r="AS442" i="3" s="1"/>
  <c r="AS1218" i="3"/>
  <c r="AW1297" i="3"/>
  <c r="AW457" i="3" s="1"/>
  <c r="AW1233" i="3"/>
  <c r="AW393" i="3" s="1"/>
  <c r="AW1440" i="3"/>
  <c r="AW600" i="3" s="1"/>
  <c r="AW1380" i="3"/>
  <c r="AW540" i="3" s="1"/>
  <c r="AW1312" i="3"/>
  <c r="AW472" i="3" s="1"/>
  <c r="AW1248" i="3"/>
  <c r="AW408" i="3" s="1"/>
  <c r="AW1451" i="3"/>
  <c r="AW611" i="3" s="1"/>
  <c r="AW1385" i="3"/>
  <c r="AW545" i="3" s="1"/>
  <c r="AW1339" i="3"/>
  <c r="AW499" i="3" s="1"/>
  <c r="AW1231" i="3"/>
  <c r="AW391" i="3" s="1"/>
  <c r="AW1226" i="3"/>
  <c r="AW386" i="3" s="1"/>
  <c r="S1387" i="3"/>
  <c r="S547" i="3" s="1"/>
  <c r="S1273" i="3"/>
  <c r="S433" i="3" s="1"/>
  <c r="S1209" i="3"/>
  <c r="S369" i="3" s="1"/>
  <c r="W1451" i="3"/>
  <c r="W611" i="3" s="1"/>
  <c r="W1425" i="3"/>
  <c r="W585" i="3" s="1"/>
  <c r="W1345" i="3"/>
  <c r="W505" i="3" s="1"/>
  <c r="W1201" i="3"/>
  <c r="W361" i="3" s="1"/>
  <c r="W1284" i="3"/>
  <c r="W444" i="3" s="1"/>
  <c r="W1188" i="3"/>
  <c r="W348" i="3" s="1"/>
  <c r="W1437" i="3"/>
  <c r="W597" i="3" s="1"/>
  <c r="W1239" i="3"/>
  <c r="W399" i="3" s="1"/>
  <c r="W1318" i="3"/>
  <c r="W478" i="3" s="1"/>
  <c r="W1222" i="3"/>
  <c r="W382" i="3" s="1"/>
  <c r="W1315" i="3"/>
  <c r="W475" i="3" s="1"/>
  <c r="AA1337" i="3"/>
  <c r="AA497" i="3" s="1"/>
  <c r="AA1257" i="3"/>
  <c r="AA417" i="3" s="1"/>
  <c r="AA1193" i="3"/>
  <c r="AA353" i="3" s="1"/>
  <c r="AA1414" i="3"/>
  <c r="AA574" i="3" s="1"/>
  <c r="AA1315" i="3"/>
  <c r="AA475" i="3" s="1"/>
  <c r="AA1250" i="3"/>
  <c r="AA410" i="3" s="1"/>
  <c r="AA1231" i="3"/>
  <c r="AA391" i="3" s="1"/>
  <c r="AE1396" i="3"/>
  <c r="AE556" i="3" s="1"/>
  <c r="AE1335" i="3"/>
  <c r="AE495" i="3" s="1"/>
  <c r="AE1271" i="3"/>
  <c r="AE431" i="3" s="1"/>
  <c r="AE1314" i="3"/>
  <c r="AE474" i="3" s="1"/>
  <c r="AE1250" i="3"/>
  <c r="AE410" i="3" s="1"/>
  <c r="AE1186" i="3"/>
  <c r="AE346" i="3" s="1"/>
  <c r="AE1399" i="3"/>
  <c r="AE559" i="3" s="1"/>
  <c r="AI1397" i="3"/>
  <c r="AI557" i="3" s="1"/>
  <c r="AI1360" i="3"/>
  <c r="AI520" i="3" s="1"/>
  <c r="AI1442" i="3"/>
  <c r="AI602" i="3" s="1"/>
  <c r="AI1337" i="3"/>
  <c r="AI497" i="3" s="1"/>
  <c r="AI1273" i="3"/>
  <c r="AI433" i="3" s="1"/>
  <c r="AI1209" i="3"/>
  <c r="AI369" i="3" s="1"/>
  <c r="AI1427" i="3"/>
  <c r="AI587" i="3" s="1"/>
  <c r="AI1352" i="3"/>
  <c r="AI512" i="3" s="1"/>
  <c r="AI1288" i="3"/>
  <c r="AI448" i="3" s="1"/>
  <c r="AI1224" i="3"/>
  <c r="AI384" i="3" s="1"/>
  <c r="AI1342" i="3"/>
  <c r="AI502" i="3" s="1"/>
  <c r="AI1310" i="3"/>
  <c r="AI470" i="3" s="1"/>
  <c r="AM1349" i="3"/>
  <c r="AM509" i="3" s="1"/>
  <c r="AM1221" i="3"/>
  <c r="AM381" i="3" s="1"/>
  <c r="AM1388" i="3"/>
  <c r="AM548" i="3" s="1"/>
  <c r="AM1320" i="3"/>
  <c r="AM480" i="3" s="1"/>
  <c r="AM1256" i="3"/>
  <c r="AM1192" i="3"/>
  <c r="AM352" i="3" s="1"/>
  <c r="AM1377" i="3"/>
  <c r="AM537" i="3" s="1"/>
  <c r="AM1386" i="3"/>
  <c r="AM546" i="3" s="1"/>
  <c r="AM1407" i="3"/>
  <c r="AM567" i="3" s="1"/>
  <c r="AM1291" i="3"/>
  <c r="AM451" i="3" s="1"/>
  <c r="AM1454" i="3"/>
  <c r="AM614" i="3" s="1"/>
  <c r="AM1439" i="3"/>
  <c r="AM599" i="3" s="1"/>
  <c r="AM1410" i="3"/>
  <c r="AM570" i="3" s="1"/>
  <c r="AM1278" i="3"/>
  <c r="AM438" i="3" s="1"/>
  <c r="AM1338" i="3"/>
  <c r="AM498" i="3" s="1"/>
  <c r="AM1211" i="3"/>
  <c r="AM371" i="3" s="1"/>
  <c r="AQ1427" i="3"/>
  <c r="AQ587" i="3" s="1"/>
  <c r="AQ1344" i="3"/>
  <c r="AQ504" i="3" s="1"/>
  <c r="AQ1312" i="3"/>
  <c r="AQ472" i="3" s="1"/>
  <c r="AQ1280" i="3"/>
  <c r="AQ440" i="3" s="1"/>
  <c r="AQ1216" i="3"/>
  <c r="AQ1273" i="3"/>
  <c r="AQ433" i="3" s="1"/>
  <c r="AQ1209" i="3"/>
  <c r="AQ369" i="3" s="1"/>
  <c r="AQ1414" i="3"/>
  <c r="AQ574" i="3" s="1"/>
  <c r="AQ1408" i="3"/>
  <c r="AQ568" i="3" s="1"/>
  <c r="AQ1387" i="3"/>
  <c r="AQ547" i="3" s="1"/>
  <c r="AQ1186" i="3"/>
  <c r="AQ346" i="3" s="1"/>
  <c r="AQ1195" i="3"/>
  <c r="AQ355" i="3" s="1"/>
  <c r="AQ1306" i="3"/>
  <c r="AQ466" i="3" s="1"/>
  <c r="AQ1286" i="3"/>
  <c r="AQ446" i="3" s="1"/>
  <c r="AQ1250" i="3"/>
  <c r="AQ410" i="3" s="1"/>
  <c r="AU1299" i="3"/>
  <c r="AU459" i="3" s="1"/>
  <c r="AU1398" i="3"/>
  <c r="AU558" i="3" s="1"/>
  <c r="AU1334" i="3"/>
  <c r="AU494" i="3" s="1"/>
  <c r="AU1270" i="3"/>
  <c r="AU430" i="3" s="1"/>
  <c r="AU1411" i="3"/>
  <c r="AU571" i="3" s="1"/>
  <c r="AU1321" i="3"/>
  <c r="AU481" i="3" s="1"/>
  <c r="AU1257" i="3"/>
  <c r="AU417" i="3" s="1"/>
  <c r="AU1424" i="3"/>
  <c r="AU584" i="3" s="1"/>
  <c r="AU1308" i="3"/>
  <c r="AU468" i="3" s="1"/>
  <c r="AU1380" i="3"/>
  <c r="AU540" i="3" s="1"/>
  <c r="AB1369" i="3"/>
  <c r="AB529" i="3" s="1"/>
  <c r="AB1457" i="3"/>
  <c r="AB617" i="3" s="1"/>
  <c r="AB1220" i="3"/>
  <c r="AB380" i="3" s="1"/>
  <c r="AB1409" i="3"/>
  <c r="AB569" i="3" s="1"/>
  <c r="AB1319" i="3"/>
  <c r="AB479" i="3" s="1"/>
  <c r="AB1189" i="3"/>
  <c r="AB349" i="3" s="1"/>
  <c r="AB1359" i="3"/>
  <c r="AB519" i="3" s="1"/>
  <c r="AB1294" i="3"/>
  <c r="AB454" i="3" s="1"/>
  <c r="AB1195" i="3"/>
  <c r="AB355" i="3" s="1"/>
  <c r="AB1210" i="3"/>
  <c r="AB370" i="3" s="1"/>
  <c r="R1379" i="3"/>
  <c r="R539" i="3" s="1"/>
  <c r="R1223" i="3"/>
  <c r="R383" i="3" s="1"/>
  <c r="R1408" i="3"/>
  <c r="R568" i="3" s="1"/>
  <c r="R1287" i="3"/>
  <c r="R447" i="3" s="1"/>
  <c r="R1387" i="3"/>
  <c r="R547" i="3" s="1"/>
  <c r="V1320" i="3"/>
  <c r="V480" i="3" s="1"/>
  <c r="V1269" i="3"/>
  <c r="V429" i="3" s="1"/>
  <c r="Z1293" i="3"/>
  <c r="Z453" i="3" s="1"/>
  <c r="Z1411" i="3"/>
  <c r="Z571" i="3" s="1"/>
  <c r="Z1377" i="3"/>
  <c r="Z537" i="3" s="1"/>
  <c r="Z1201" i="3"/>
  <c r="Z361" i="3" s="1"/>
  <c r="Z1276" i="3"/>
  <c r="Z436" i="3" s="1"/>
  <c r="Z1362" i="3"/>
  <c r="Z522" i="3" s="1"/>
  <c r="Z1211" i="3"/>
  <c r="Z371" i="3" s="1"/>
  <c r="Z1398" i="3"/>
  <c r="Z558" i="3" s="1"/>
  <c r="Z1359" i="3"/>
  <c r="Z519" i="3" s="1"/>
  <c r="Z1271" i="3"/>
  <c r="Z431" i="3" s="1"/>
  <c r="AD1305" i="3"/>
  <c r="AD465" i="3" s="1"/>
  <c r="AD1225" i="3"/>
  <c r="AD385" i="3" s="1"/>
  <c r="AD1188" i="3"/>
  <c r="AD348" i="3" s="1"/>
  <c r="AD1387" i="3"/>
  <c r="AD547" i="3" s="1"/>
  <c r="AD1222" i="3"/>
  <c r="AD382" i="3" s="1"/>
  <c r="AD1299" i="3"/>
  <c r="AD459" i="3" s="1"/>
  <c r="AD1389" i="3"/>
  <c r="AD549" i="3" s="1"/>
  <c r="AD1239" i="3"/>
  <c r="AD399" i="3" s="1"/>
  <c r="AD1327" i="3"/>
  <c r="AD487" i="3" s="1"/>
  <c r="AH1345" i="3"/>
  <c r="AH505" i="3" s="1"/>
  <c r="AH1316" i="3"/>
  <c r="AH476" i="3" s="1"/>
  <c r="AH1332" i="3"/>
  <c r="AH492" i="3" s="1"/>
  <c r="AH1223" i="3"/>
  <c r="AH383" i="3" s="1"/>
  <c r="AH1270" i="3"/>
  <c r="AH430" i="3" s="1"/>
  <c r="AH1346" i="3"/>
  <c r="AH506" i="3" s="1"/>
  <c r="AH1405" i="3"/>
  <c r="AH565" i="3" s="1"/>
  <c r="AH1253" i="3"/>
  <c r="AH1189" i="3"/>
  <c r="AH349" i="3" s="1"/>
  <c r="AH1407" i="3"/>
  <c r="AH567" i="3" s="1"/>
  <c r="AH1218" i="3"/>
  <c r="AH1454" i="3"/>
  <c r="AH614" i="3" s="1"/>
  <c r="AH1406" i="3"/>
  <c r="AH566" i="3" s="1"/>
  <c r="AH1274" i="3"/>
  <c r="AH434" i="3" s="1"/>
  <c r="AL1368" i="3"/>
  <c r="AL528" i="3" s="1"/>
  <c r="AL1269" i="3"/>
  <c r="AL429" i="3" s="1"/>
  <c r="AL1260" i="3"/>
  <c r="AL420" i="3" s="1"/>
  <c r="AL1196" i="3"/>
  <c r="AL356" i="3" s="1"/>
  <c r="AL1331" i="3"/>
  <c r="AL491" i="3" s="1"/>
  <c r="AL1367" i="3"/>
  <c r="AL527" i="3" s="1"/>
  <c r="AL1383" i="3"/>
  <c r="AL543" i="3" s="1"/>
  <c r="AL1226" i="3"/>
  <c r="AL386" i="3" s="1"/>
  <c r="AL1413" i="3"/>
  <c r="AL573" i="3" s="1"/>
  <c r="AL1448" i="3"/>
  <c r="AL608" i="3" s="1"/>
  <c r="AL1219" i="3"/>
  <c r="AL379" i="3" s="1"/>
  <c r="AL1390" i="3"/>
  <c r="AL550" i="3" s="1"/>
  <c r="AL1423" i="3"/>
  <c r="AL583" i="3" s="1"/>
  <c r="AP1412" i="3"/>
  <c r="AP572" i="3" s="1"/>
  <c r="AP1457" i="3"/>
  <c r="AP617" i="3" s="1"/>
  <c r="AP1456" i="3"/>
  <c r="AP616" i="3" s="1"/>
  <c r="AP1451" i="3"/>
  <c r="AP611" i="3" s="1"/>
  <c r="AP1411" i="3"/>
  <c r="AP571" i="3" s="1"/>
  <c r="AP1377" i="3"/>
  <c r="AP537" i="3" s="1"/>
  <c r="AP1233" i="3"/>
  <c r="AP393" i="3" s="1"/>
  <c r="AP1240" i="3"/>
  <c r="AP400" i="3" s="1"/>
  <c r="AP1415" i="3"/>
  <c r="AP575" i="3" s="1"/>
  <c r="AP1223" i="3"/>
  <c r="AP383" i="3" s="1"/>
  <c r="AP1354" i="3"/>
  <c r="AP514" i="3" s="1"/>
  <c r="AP1254" i="3"/>
  <c r="AP1214" i="3"/>
  <c r="AP374" i="3" s="1"/>
  <c r="AT1409" i="3"/>
  <c r="AT569" i="3" s="1"/>
  <c r="AT1257" i="3"/>
  <c r="AT417" i="3" s="1"/>
  <c r="AT1193" i="3"/>
  <c r="AT353" i="3" s="1"/>
  <c r="AT1248" i="3"/>
  <c r="AT408" i="3" s="1"/>
  <c r="AT1348" i="3"/>
  <c r="AT508" i="3" s="1"/>
  <c r="AT1262" i="3"/>
  <c r="AT422" i="3" s="1"/>
  <c r="AT1198" i="3"/>
  <c r="AT358" i="3" s="1"/>
  <c r="AT1263" i="3"/>
  <c r="AT423" i="3" s="1"/>
  <c r="AT1345" i="3"/>
  <c r="AT505" i="3" s="1"/>
  <c r="AT1316" i="3"/>
  <c r="AT476" i="3" s="1"/>
  <c r="AT1351" i="3"/>
  <c r="AT511" i="3" s="1"/>
  <c r="AT1354" i="3"/>
  <c r="AT514" i="3" s="1"/>
  <c r="AT1339" i="3"/>
  <c r="AT499" i="3" s="1"/>
  <c r="AT1211" i="3"/>
  <c r="AT371" i="3" s="1"/>
  <c r="AT1215" i="3"/>
  <c r="AX1293" i="3"/>
  <c r="AX453" i="3" s="1"/>
  <c r="AX1288" i="3"/>
  <c r="AX448" i="3" s="1"/>
  <c r="AX1380" i="3"/>
  <c r="AX540" i="3" s="1"/>
  <c r="AX1259" i="3"/>
  <c r="AX419" i="3" s="1"/>
  <c r="AX1195" i="3"/>
  <c r="AX355" i="3" s="1"/>
  <c r="AX1313" i="3"/>
  <c r="AX473" i="3" s="1"/>
  <c r="AX1396" i="3"/>
  <c r="AX556" i="3" s="1"/>
  <c r="AX1220" i="3"/>
  <c r="AX380" i="3" s="1"/>
  <c r="AX1347" i="3"/>
  <c r="AX507" i="3" s="1"/>
  <c r="AX1352" i="3"/>
  <c r="AX512" i="3" s="1"/>
  <c r="AX1438" i="3"/>
  <c r="AX598" i="3" s="1"/>
  <c r="P1411" i="3"/>
  <c r="P571" i="3" s="1"/>
  <c r="P1428" i="3"/>
  <c r="P588" i="3" s="1"/>
  <c r="P1345" i="3"/>
  <c r="P505" i="3" s="1"/>
  <c r="P1348" i="3"/>
  <c r="P508" i="3" s="1"/>
  <c r="P1284" i="3"/>
  <c r="P444" i="3" s="1"/>
  <c r="P1338" i="3"/>
  <c r="P498" i="3" s="1"/>
  <c r="P1283" i="3"/>
  <c r="P443" i="3" s="1"/>
  <c r="P1448" i="3"/>
  <c r="P608" i="3" s="1"/>
  <c r="P1187" i="3"/>
  <c r="P347" i="3" s="1"/>
  <c r="T1455" i="3"/>
  <c r="T615" i="3" s="1"/>
  <c r="T1453" i="3"/>
  <c r="T613" i="3" s="1"/>
  <c r="T1397" i="3"/>
  <c r="T557" i="3" s="1"/>
  <c r="X1407" i="3"/>
  <c r="X567" i="3" s="1"/>
  <c r="X1247" i="3"/>
  <c r="X407" i="3" s="1"/>
  <c r="X1294" i="3"/>
  <c r="X454" i="3" s="1"/>
  <c r="X1220" i="3"/>
  <c r="X380" i="3" s="1"/>
  <c r="X1275" i="3"/>
  <c r="X435" i="3" s="1"/>
  <c r="X1270" i="3"/>
  <c r="X430" i="3" s="1"/>
  <c r="X1390" i="3"/>
  <c r="X550" i="3" s="1"/>
  <c r="AF1348" i="3"/>
  <c r="AF508" i="3" s="1"/>
  <c r="AF1457" i="3"/>
  <c r="AF617" i="3" s="1"/>
  <c r="AJ1456" i="3"/>
  <c r="AJ616" i="3" s="1"/>
  <c r="AJ1329" i="3"/>
  <c r="AJ489" i="3" s="1"/>
  <c r="AQ1441" i="3"/>
  <c r="AQ601" i="3" s="1"/>
  <c r="Y1259" i="3"/>
  <c r="Y419" i="3" s="1"/>
  <c r="Y1334" i="3"/>
  <c r="Y494" i="3" s="1"/>
  <c r="Y1270" i="3"/>
  <c r="Y430" i="3" s="1"/>
  <c r="Y1358" i="3"/>
  <c r="Y518" i="3" s="1"/>
  <c r="AC1293" i="3"/>
  <c r="AC453" i="3" s="1"/>
  <c r="AC1356" i="3"/>
  <c r="AC516" i="3" s="1"/>
  <c r="AC1328" i="3"/>
  <c r="AC488" i="3" s="1"/>
  <c r="AC1414" i="3"/>
  <c r="AC574" i="3" s="1"/>
  <c r="AC1303" i="3"/>
  <c r="AC463" i="3" s="1"/>
  <c r="AC1376" i="3"/>
  <c r="AC536" i="3" s="1"/>
  <c r="AC1350" i="3"/>
  <c r="AC510" i="3" s="1"/>
  <c r="AC1286" i="3"/>
  <c r="AC446" i="3" s="1"/>
  <c r="AG1337" i="3"/>
  <c r="AG497" i="3" s="1"/>
  <c r="AG1273" i="3"/>
  <c r="AG433" i="3" s="1"/>
  <c r="AG1209" i="3"/>
  <c r="AG369" i="3" s="1"/>
  <c r="AG1348" i="3"/>
  <c r="AG508" i="3" s="1"/>
  <c r="AG1220" i="3"/>
  <c r="AG380" i="3" s="1"/>
  <c r="AG1361" i="3"/>
  <c r="AG521" i="3" s="1"/>
  <c r="AG1400" i="3"/>
  <c r="AG560" i="3" s="1"/>
  <c r="AG1311" i="3"/>
  <c r="AG471" i="3" s="1"/>
  <c r="AG1399" i="3"/>
  <c r="AG559" i="3" s="1"/>
  <c r="AG1322" i="3"/>
  <c r="AG482" i="3" s="1"/>
  <c r="AG1258" i="3"/>
  <c r="AG418" i="3" s="1"/>
  <c r="AG1194" i="3"/>
  <c r="AG354" i="3" s="1"/>
  <c r="AG1398" i="3"/>
  <c r="AG558" i="3" s="1"/>
  <c r="AK1389" i="3"/>
  <c r="AK549" i="3" s="1"/>
  <c r="AK1396" i="3"/>
  <c r="AK556" i="3" s="1"/>
  <c r="AK1312" i="3"/>
  <c r="AK472" i="3" s="1"/>
  <c r="AK1248" i="3"/>
  <c r="AK408" i="3" s="1"/>
  <c r="AK1291" i="3"/>
  <c r="AK451" i="3" s="1"/>
  <c r="AK1227" i="3"/>
  <c r="AK387" i="3" s="1"/>
  <c r="AK1194" i="3"/>
  <c r="AK354" i="3" s="1"/>
  <c r="AK1379" i="3"/>
  <c r="AK539" i="3" s="1"/>
  <c r="AK1326" i="3"/>
  <c r="AK486" i="3" s="1"/>
  <c r="AK1262" i="3"/>
  <c r="AK422" i="3" s="1"/>
  <c r="AK1353" i="3"/>
  <c r="AK513" i="3" s="1"/>
  <c r="AK1418" i="3"/>
  <c r="AK578" i="3" s="1"/>
  <c r="AO1411" i="3"/>
  <c r="AO571" i="3" s="1"/>
  <c r="AO1383" i="3"/>
  <c r="AO543" i="3" s="1"/>
  <c r="AO1406" i="3"/>
  <c r="AO566" i="3" s="1"/>
  <c r="AO1330" i="3"/>
  <c r="AO490" i="3" s="1"/>
  <c r="AO1202" i="3"/>
  <c r="AO362" i="3" s="1"/>
  <c r="AO1408" i="3"/>
  <c r="AO568" i="3" s="1"/>
  <c r="AO1355" i="3"/>
  <c r="AO515" i="3" s="1"/>
  <c r="AO1353" i="3"/>
  <c r="AO513" i="3" s="1"/>
  <c r="AO1289" i="3"/>
  <c r="AO449" i="3" s="1"/>
  <c r="AO1225" i="3"/>
  <c r="AO385" i="3" s="1"/>
  <c r="AO1284" i="3"/>
  <c r="AO444" i="3" s="1"/>
  <c r="AO1192" i="3"/>
  <c r="AO352" i="3" s="1"/>
  <c r="AS1316" i="3"/>
  <c r="AS476" i="3" s="1"/>
  <c r="AS1252" i="3"/>
  <c r="AS412" i="3" s="1"/>
  <c r="AS1333" i="3"/>
  <c r="AS493" i="3" s="1"/>
  <c r="AS1269" i="3"/>
  <c r="AS429" i="3" s="1"/>
  <c r="AS1420" i="3"/>
  <c r="AS580" i="3" s="1"/>
  <c r="AS1379" i="3"/>
  <c r="AS539" i="3" s="1"/>
  <c r="AS1418" i="3"/>
  <c r="AS578" i="3" s="1"/>
  <c r="AW1261" i="3"/>
  <c r="AW421" i="3" s="1"/>
  <c r="AW1416" i="3"/>
  <c r="AW576" i="3" s="1"/>
  <c r="AW1340" i="3"/>
  <c r="AW500" i="3" s="1"/>
  <c r="AW1276" i="3"/>
  <c r="AW436" i="3" s="1"/>
  <c r="AW1212" i="3"/>
  <c r="AW372" i="3" s="1"/>
  <c r="AW1399" i="3"/>
  <c r="AW559" i="3" s="1"/>
  <c r="AW1409" i="3"/>
  <c r="AW569" i="3" s="1"/>
  <c r="AW1358" i="3"/>
  <c r="AW518" i="3" s="1"/>
  <c r="AW1302" i="3"/>
  <c r="AW462" i="3" s="1"/>
  <c r="AW1351" i="3"/>
  <c r="AW511" i="3" s="1"/>
  <c r="AW1362" i="3"/>
  <c r="AW522" i="3" s="1"/>
  <c r="S1250" i="3"/>
  <c r="S410" i="3" s="1"/>
  <c r="S1317" i="3"/>
  <c r="S477" i="3" s="1"/>
  <c r="S1221" i="3"/>
  <c r="S381" i="3" s="1"/>
  <c r="S1347" i="3"/>
  <c r="S507" i="3" s="1"/>
  <c r="W1325" i="3"/>
  <c r="W485" i="3" s="1"/>
  <c r="W1213" i="3"/>
  <c r="W373" i="3" s="1"/>
  <c r="W1328" i="3"/>
  <c r="W488" i="3" s="1"/>
  <c r="W1359" i="3"/>
  <c r="W519" i="3" s="1"/>
  <c r="W1251" i="3"/>
  <c r="W411" i="3" s="1"/>
  <c r="W1282" i="3"/>
  <c r="W442" i="3" s="1"/>
  <c r="W1186" i="3"/>
  <c r="W346" i="3" s="1"/>
  <c r="AA1333" i="3"/>
  <c r="AA493" i="3" s="1"/>
  <c r="AA1269" i="3"/>
  <c r="AA429" i="3" s="1"/>
  <c r="AA1411" i="3"/>
  <c r="AA571" i="3" s="1"/>
  <c r="AA1300" i="3"/>
  <c r="AA460" i="3" s="1"/>
  <c r="AA1204" i="3"/>
  <c r="AA364" i="3" s="1"/>
  <c r="AA1362" i="3"/>
  <c r="AA522" i="3" s="1"/>
  <c r="AA1263" i="3"/>
  <c r="AA423" i="3" s="1"/>
  <c r="AA1452" i="3"/>
  <c r="AA612" i="3" s="1"/>
  <c r="AA1398" i="3"/>
  <c r="AA558" i="3" s="1"/>
  <c r="AE1387" i="3"/>
  <c r="AE547" i="3" s="1"/>
  <c r="AE1409" i="3"/>
  <c r="AE569" i="3" s="1"/>
  <c r="AE1333" i="3"/>
  <c r="AE493" i="3" s="1"/>
  <c r="AE1269" i="3"/>
  <c r="AE429" i="3" s="1"/>
  <c r="AE1316" i="3"/>
  <c r="AE476" i="3" s="1"/>
  <c r="AE1252" i="3"/>
  <c r="AE412" i="3" s="1"/>
  <c r="AE1188" i="3"/>
  <c r="AE348" i="3" s="1"/>
  <c r="AE1299" i="3"/>
  <c r="AE459" i="3" s="1"/>
  <c r="AE1398" i="3"/>
  <c r="AE558" i="3" s="1"/>
  <c r="AE1294" i="3"/>
  <c r="AE454" i="3" s="1"/>
  <c r="AE1230" i="3"/>
  <c r="AE390" i="3" s="1"/>
  <c r="AE1199" i="3"/>
  <c r="AE359" i="3" s="1"/>
  <c r="AE1362" i="3"/>
  <c r="AE522" i="3" s="1"/>
  <c r="AI1416" i="3"/>
  <c r="AI576" i="3" s="1"/>
  <c r="AI1343" i="3"/>
  <c r="AI503" i="3" s="1"/>
  <c r="AI1279" i="3"/>
  <c r="AI439" i="3" s="1"/>
  <c r="AI1215" i="3"/>
  <c r="AI1381" i="3"/>
  <c r="AI541" i="3" s="1"/>
  <c r="AI1317" i="3"/>
  <c r="AI477" i="3" s="1"/>
  <c r="AI1189" i="3"/>
  <c r="AI349" i="3" s="1"/>
  <c r="AI1421" i="3"/>
  <c r="AI581" i="3" s="1"/>
  <c r="AI1300" i="3"/>
  <c r="AI460" i="3" s="1"/>
  <c r="AI1386" i="3"/>
  <c r="AI546" i="3" s="1"/>
  <c r="AI1322" i="3"/>
  <c r="AI482" i="3" s="1"/>
  <c r="AI1258" i="3"/>
  <c r="AI418" i="3" s="1"/>
  <c r="AI1226" i="3"/>
  <c r="AI386" i="3" s="1"/>
  <c r="AM1345" i="3"/>
  <c r="AM505" i="3" s="1"/>
  <c r="AM1281" i="3"/>
  <c r="AM441" i="3" s="1"/>
  <c r="AM1217" i="3"/>
  <c r="AM1400" i="3"/>
  <c r="AM560" i="3" s="1"/>
  <c r="AM1332" i="3"/>
  <c r="AM492" i="3" s="1"/>
  <c r="AM1268" i="3"/>
  <c r="AM428" i="3" s="1"/>
  <c r="AM1204" i="3"/>
  <c r="AM364" i="3" s="1"/>
  <c r="AM1382" i="3"/>
  <c r="AM542" i="3" s="1"/>
  <c r="AM1319" i="3"/>
  <c r="AM479" i="3" s="1"/>
  <c r="AM1255" i="3"/>
  <c r="AM1402" i="3"/>
  <c r="AM562" i="3" s="1"/>
  <c r="AM1322" i="3"/>
  <c r="AM482" i="3" s="1"/>
  <c r="AM1215" i="3"/>
  <c r="AM1266" i="3"/>
  <c r="AM426" i="3" s="1"/>
  <c r="AQ1421" i="3"/>
  <c r="AQ581" i="3" s="1"/>
  <c r="AQ1292" i="3"/>
  <c r="AQ452" i="3" s="1"/>
  <c r="AQ1228" i="3"/>
  <c r="AQ388" i="3" s="1"/>
  <c r="AQ1349" i="3"/>
  <c r="AQ509" i="3" s="1"/>
  <c r="AQ1285" i="3"/>
  <c r="AQ445" i="3" s="1"/>
  <c r="AQ1221" i="3"/>
  <c r="AQ381" i="3" s="1"/>
  <c r="AQ1376" i="3"/>
  <c r="AQ536" i="3" s="1"/>
  <c r="AQ1375" i="3"/>
  <c r="AQ535" i="3" s="1"/>
  <c r="AQ1287" i="3"/>
  <c r="AQ447" i="3" s="1"/>
  <c r="AQ1223" i="3"/>
  <c r="AQ383" i="3" s="1"/>
  <c r="AQ1339" i="3"/>
  <c r="AQ499" i="3" s="1"/>
  <c r="AQ1259" i="3"/>
  <c r="AQ419" i="3" s="1"/>
  <c r="AQ1350" i="3"/>
  <c r="AQ510" i="3" s="1"/>
  <c r="AQ1226" i="3"/>
  <c r="AQ386" i="3" s="1"/>
  <c r="AU1327" i="3"/>
  <c r="AU487" i="3" s="1"/>
  <c r="AU1263" i="3"/>
  <c r="AU423" i="3" s="1"/>
  <c r="AU1378" i="3"/>
  <c r="AU538" i="3" s="1"/>
  <c r="AU1314" i="3"/>
  <c r="AU474" i="3" s="1"/>
  <c r="AU1250" i="3"/>
  <c r="AU410" i="3" s="1"/>
  <c r="AU1186" i="3"/>
  <c r="AU346" i="3" s="1"/>
  <c r="AU1304" i="3"/>
  <c r="AU464" i="3" s="1"/>
  <c r="AU1240" i="3"/>
  <c r="AU400" i="3" s="1"/>
  <c r="AU1376" i="3"/>
  <c r="AU536" i="3" s="1"/>
  <c r="AJ1442" i="3"/>
  <c r="AJ602" i="3" s="1"/>
  <c r="AN1437" i="3"/>
  <c r="AN597" i="3" s="1"/>
  <c r="AN1388" i="3"/>
  <c r="AN548" i="3" s="1"/>
  <c r="AN1211" i="3"/>
  <c r="AN371" i="3" s="1"/>
  <c r="AN1430" i="3"/>
  <c r="AN590" i="3" s="1"/>
  <c r="AN1417" i="3"/>
  <c r="AN577" i="3" s="1"/>
  <c r="AN1402" i="3"/>
  <c r="AN562" i="3" s="1"/>
  <c r="AN1423" i="3"/>
  <c r="AN583" i="3" s="1"/>
  <c r="AR1336" i="3"/>
  <c r="AR496" i="3" s="1"/>
  <c r="AR1457" i="3"/>
  <c r="AR617" i="3" s="1"/>
  <c r="AR1401" i="3"/>
  <c r="AR561" i="3" s="1"/>
  <c r="AR1188" i="3"/>
  <c r="AR348" i="3" s="1"/>
  <c r="AR1396" i="3"/>
  <c r="AR556" i="3" s="1"/>
  <c r="AR1390" i="3"/>
  <c r="AR550" i="3" s="1"/>
  <c r="AR1233" i="3"/>
  <c r="AR393" i="3" s="1"/>
  <c r="AR1454" i="3"/>
  <c r="AR614" i="3" s="1"/>
  <c r="AR1410" i="3"/>
  <c r="AR570" i="3" s="1"/>
  <c r="AR1214" i="3"/>
  <c r="AR374" i="3" s="1"/>
  <c r="AV1348" i="3"/>
  <c r="AV508" i="3" s="1"/>
  <c r="AV1284" i="3"/>
  <c r="AV444" i="3" s="1"/>
  <c r="AV1338" i="3"/>
  <c r="AV498" i="3" s="1"/>
  <c r="AV1256" i="3"/>
  <c r="AV1192" i="3"/>
  <c r="AV352" i="3" s="1"/>
  <c r="AV1295" i="3"/>
  <c r="AV455" i="3" s="1"/>
  <c r="AV1211" i="3"/>
  <c r="AV371" i="3" s="1"/>
  <c r="AV1290" i="3"/>
  <c r="AV450" i="3" s="1"/>
  <c r="AV1218" i="3"/>
  <c r="AV1323" i="3"/>
  <c r="AV483" i="3" s="1"/>
  <c r="AV1386" i="3"/>
  <c r="AV546" i="3" s="1"/>
  <c r="Q1427" i="3"/>
  <c r="Q587" i="3" s="1"/>
  <c r="Q1293" i="3"/>
  <c r="Q453" i="3" s="1"/>
  <c r="Q1288" i="3"/>
  <c r="Q448" i="3" s="1"/>
  <c r="Q1435" i="3"/>
  <c r="Q595" i="3" s="1"/>
  <c r="Q1407" i="3"/>
  <c r="Q567" i="3" s="1"/>
  <c r="Q1414" i="3"/>
  <c r="Q574" i="3" s="1"/>
  <c r="Q1430" i="3"/>
  <c r="Q590" i="3" s="1"/>
  <c r="Q1290" i="3"/>
  <c r="Q450" i="3" s="1"/>
  <c r="U1289" i="3"/>
  <c r="U449" i="3" s="1"/>
  <c r="U1225" i="3"/>
  <c r="U385" i="3" s="1"/>
  <c r="U1350" i="3"/>
  <c r="U510" i="3" s="1"/>
  <c r="U1286" i="3"/>
  <c r="U446" i="3" s="1"/>
  <c r="U1316" i="3"/>
  <c r="U476" i="3" s="1"/>
  <c r="U1220" i="3"/>
  <c r="U380" i="3" s="1"/>
  <c r="U1450" i="3"/>
  <c r="U610" i="3" s="1"/>
  <c r="U1410" i="3"/>
  <c r="U570" i="3" s="1"/>
  <c r="Y1309" i="3"/>
  <c r="Y469" i="3" s="1"/>
  <c r="Y1428" i="3"/>
  <c r="Y588" i="3" s="1"/>
  <c r="Y1304" i="3"/>
  <c r="Y464" i="3" s="1"/>
  <c r="Y1224" i="3"/>
  <c r="Y384" i="3" s="1"/>
  <c r="Y1355" i="3"/>
  <c r="Y515" i="3" s="1"/>
  <c r="Y1368" i="3"/>
  <c r="Y528" i="3" s="1"/>
  <c r="Y1275" i="3"/>
  <c r="Y435" i="3" s="1"/>
  <c r="Y1286" i="3"/>
  <c r="Y446" i="3" s="1"/>
  <c r="Y1361" i="3"/>
  <c r="Y521" i="3" s="1"/>
  <c r="AC1309" i="3"/>
  <c r="AC469" i="3" s="1"/>
  <c r="AC1452" i="3"/>
  <c r="AC612" i="3" s="1"/>
  <c r="AC1408" i="3"/>
  <c r="AC568" i="3" s="1"/>
  <c r="AC1449" i="3"/>
  <c r="AC609" i="3" s="1"/>
  <c r="AC1223" i="3"/>
  <c r="AC383" i="3" s="1"/>
  <c r="AC1302" i="3"/>
  <c r="AC462" i="3" s="1"/>
  <c r="AC1194" i="3"/>
  <c r="AC354" i="3" s="1"/>
  <c r="AG1353" i="3"/>
  <c r="AG513" i="3" s="1"/>
  <c r="AG1289" i="3"/>
  <c r="AG449" i="3" s="1"/>
  <c r="AG1225" i="3"/>
  <c r="AG385" i="3" s="1"/>
  <c r="AG1432" i="3"/>
  <c r="AG592" i="3" s="1"/>
  <c r="AG1300" i="3"/>
  <c r="AG460" i="3" s="1"/>
  <c r="AG1423" i="3"/>
  <c r="AG583" i="3" s="1"/>
  <c r="AG1378" i="3"/>
  <c r="AG538" i="3" s="1"/>
  <c r="AG1327" i="3"/>
  <c r="AG487" i="3" s="1"/>
  <c r="AG1263" i="3"/>
  <c r="AG423" i="3" s="1"/>
  <c r="AG1385" i="3"/>
  <c r="AG545" i="3" s="1"/>
  <c r="AG1215" i="3"/>
  <c r="AG1338" i="3"/>
  <c r="AG498" i="3" s="1"/>
  <c r="AG1274" i="3"/>
  <c r="AG434" i="3" s="1"/>
  <c r="AG1210" i="3"/>
  <c r="AG370" i="3" s="1"/>
  <c r="AG1390" i="3"/>
  <c r="AG550" i="3" s="1"/>
  <c r="AK1439" i="3"/>
  <c r="AK599" i="3" s="1"/>
  <c r="AK1409" i="3"/>
  <c r="AK569" i="3" s="1"/>
  <c r="AK1424" i="3"/>
  <c r="AK584" i="3" s="1"/>
  <c r="AK1328" i="3"/>
  <c r="AK488" i="3" s="1"/>
  <c r="AK1264" i="3"/>
  <c r="AK424" i="3" s="1"/>
  <c r="AK1200" i="3"/>
  <c r="AK360" i="3" s="1"/>
  <c r="AK1307" i="3"/>
  <c r="AK467" i="3" s="1"/>
  <c r="AK1450" i="3"/>
  <c r="AK610" i="3" s="1"/>
  <c r="AK1410" i="3"/>
  <c r="AK570" i="3" s="1"/>
  <c r="AK1188" i="3"/>
  <c r="AK348" i="3" s="1"/>
  <c r="AK1342" i="3"/>
  <c r="AK502" i="3" s="1"/>
  <c r="AK1278" i="3"/>
  <c r="AK1214" i="3"/>
  <c r="AK374" i="3" s="1"/>
  <c r="AK1305" i="3"/>
  <c r="AK465" i="3" s="1"/>
  <c r="AK1241" i="3"/>
  <c r="AK401" i="3" s="1"/>
  <c r="AK1448" i="3"/>
  <c r="AK608" i="3" s="1"/>
  <c r="AK1359" i="3"/>
  <c r="AK519" i="3" s="1"/>
  <c r="AO1388" i="3"/>
  <c r="AO548" i="3" s="1"/>
  <c r="AO1335" i="3"/>
  <c r="AO495" i="3" s="1"/>
  <c r="AO1271" i="3"/>
  <c r="AO431" i="3" s="1"/>
  <c r="AO1346" i="3"/>
  <c r="AO506" i="3" s="1"/>
  <c r="AO1282" i="3"/>
  <c r="AO442" i="3" s="1"/>
  <c r="AO1218" i="3"/>
  <c r="AO1401" i="3"/>
  <c r="AO561" i="3" s="1"/>
  <c r="AO1305" i="3"/>
  <c r="AO465" i="3" s="1"/>
  <c r="AS1425" i="3"/>
  <c r="AS585" i="3" s="1"/>
  <c r="AS1453" i="3"/>
  <c r="AS613" i="3" s="1"/>
  <c r="AS1443" i="3"/>
  <c r="AS603" i="3" s="1"/>
  <c r="AS1335" i="3"/>
  <c r="AS495" i="3" s="1"/>
  <c r="AS1231" i="3"/>
  <c r="AS391" i="3" s="1"/>
  <c r="AS1294" i="3"/>
  <c r="AS454" i="3" s="1"/>
  <c r="AS1230" i="3"/>
  <c r="AS390" i="3" s="1"/>
  <c r="AS1283" i="3"/>
  <c r="AS443" i="3" s="1"/>
  <c r="AW1447" i="3"/>
  <c r="AW607" i="3" s="1"/>
  <c r="AW1341" i="3"/>
  <c r="AW501" i="3" s="1"/>
  <c r="AW1277" i="3"/>
  <c r="AW1213" i="3"/>
  <c r="AW373" i="3" s="1"/>
  <c r="AW1356" i="3"/>
  <c r="AW516" i="3" s="1"/>
  <c r="AW1292" i="3"/>
  <c r="AW452" i="3" s="1"/>
  <c r="AW1411" i="3"/>
  <c r="AW571" i="3" s="1"/>
  <c r="AW1187" i="3"/>
  <c r="AW347" i="3" s="1"/>
  <c r="AW1267" i="3"/>
  <c r="AW427" i="3" s="1"/>
  <c r="AW1426" i="3"/>
  <c r="AW586" i="3" s="1"/>
  <c r="AW1318" i="3"/>
  <c r="AW478" i="3" s="1"/>
  <c r="AW1254" i="3"/>
  <c r="AW1190" i="3"/>
  <c r="AW350" i="3" s="1"/>
  <c r="AW1255" i="3"/>
  <c r="AW1386" i="3"/>
  <c r="AW546" i="3" s="1"/>
  <c r="S1369" i="3"/>
  <c r="S529" i="3" s="1"/>
  <c r="S1282" i="3"/>
  <c r="S442" i="3" s="1"/>
  <c r="S1333" i="3"/>
  <c r="S493" i="3" s="1"/>
  <c r="S1269" i="3"/>
  <c r="S429" i="3" s="1"/>
  <c r="S1367" i="3"/>
  <c r="S527" i="3" s="1"/>
  <c r="S1283" i="3"/>
  <c r="S443" i="3" s="1"/>
  <c r="S1187" i="3"/>
  <c r="S347" i="3" s="1"/>
  <c r="S1427" i="3"/>
  <c r="S587" i="3" s="1"/>
  <c r="S1308" i="3"/>
  <c r="S468" i="3" s="1"/>
  <c r="S1382" i="3"/>
  <c r="S542" i="3" s="1"/>
  <c r="W1357" i="3"/>
  <c r="W517" i="3" s="1"/>
  <c r="W1261" i="3"/>
  <c r="W421" i="3" s="1"/>
  <c r="W1400" i="3"/>
  <c r="W560" i="3" s="1"/>
  <c r="W1232" i="3"/>
  <c r="W392" i="3" s="1"/>
  <c r="W1395" i="3"/>
  <c r="W555" i="3" s="1"/>
  <c r="W1397" i="3"/>
  <c r="W557" i="3" s="1"/>
  <c r="W1456" i="3"/>
  <c r="W616" i="3" s="1"/>
  <c r="W1346" i="3"/>
  <c r="W506" i="3" s="1"/>
  <c r="W1202" i="3"/>
  <c r="W362" i="3" s="1"/>
  <c r="AA1349" i="3"/>
  <c r="AA509" i="3" s="1"/>
  <c r="AA1285" i="3"/>
  <c r="AA445" i="3" s="1"/>
  <c r="AA1221" i="3"/>
  <c r="AA381" i="3" s="1"/>
  <c r="AA1356" i="3"/>
  <c r="AA516" i="3" s="1"/>
  <c r="AA1316" i="3"/>
  <c r="AA476" i="3" s="1"/>
  <c r="AA1220" i="3"/>
  <c r="AA380" i="3" s="1"/>
  <c r="AA1378" i="3"/>
  <c r="AA538" i="3" s="1"/>
  <c r="AA1437" i="3"/>
  <c r="AA597" i="3" s="1"/>
  <c r="AA1376" i="3"/>
  <c r="AA536" i="3" s="1"/>
  <c r="AA1327" i="3"/>
  <c r="AA487" i="3" s="1"/>
  <c r="AA1396" i="3"/>
  <c r="AA556" i="3" s="1"/>
  <c r="AA1294" i="3"/>
  <c r="AA454" i="3" s="1"/>
  <c r="AE1357" i="3"/>
  <c r="AE517" i="3" s="1"/>
  <c r="AE1195" i="3"/>
  <c r="AE355" i="3" s="1"/>
  <c r="AE1349" i="3"/>
  <c r="AE509" i="3" s="1"/>
  <c r="AE1285" i="3"/>
  <c r="AE445" i="3" s="1"/>
  <c r="AE1332" i="3"/>
  <c r="AE492" i="3" s="1"/>
  <c r="AE1204" i="3"/>
  <c r="AE364" i="3" s="1"/>
  <c r="AE1315" i="3"/>
  <c r="AE475" i="3" s="1"/>
  <c r="AE1251" i="3"/>
  <c r="AE411" i="3" s="1"/>
  <c r="AE1418" i="3"/>
  <c r="AE578" i="3" s="1"/>
  <c r="AE1310" i="3"/>
  <c r="AE470" i="3" s="1"/>
  <c r="AE1403" i="3"/>
  <c r="AE563" i="3" s="1"/>
  <c r="AE1382" i="3"/>
  <c r="AE542" i="3" s="1"/>
  <c r="AI1408" i="3"/>
  <c r="AI568" i="3" s="1"/>
  <c r="AI1295" i="3"/>
  <c r="AI455" i="3" s="1"/>
  <c r="AI1231" i="3"/>
  <c r="AI391" i="3" s="1"/>
  <c r="AI1198" i="3"/>
  <c r="AI358" i="3" s="1"/>
  <c r="AI1333" i="3"/>
  <c r="AI493" i="3" s="1"/>
  <c r="AI1406" i="3"/>
  <c r="AI566" i="3" s="1"/>
  <c r="AI1338" i="3"/>
  <c r="AI498" i="3" s="1"/>
  <c r="AM1449" i="3"/>
  <c r="AM609" i="3" s="1"/>
  <c r="AM1417" i="3"/>
  <c r="AM577" i="3" s="1"/>
  <c r="AM1297" i="3"/>
  <c r="AM457" i="3" s="1"/>
  <c r="AM1233" i="3"/>
  <c r="AM393" i="3" s="1"/>
  <c r="AM1416" i="3"/>
  <c r="AM576" i="3" s="1"/>
  <c r="AM1348" i="3"/>
  <c r="AM508" i="3" s="1"/>
  <c r="AM1284" i="3"/>
  <c r="AM444" i="3" s="1"/>
  <c r="AM1220" i="3"/>
  <c r="AM380" i="3" s="1"/>
  <c r="AM1456" i="3"/>
  <c r="AM616" i="3" s="1"/>
  <c r="AM1387" i="3"/>
  <c r="AM547" i="3" s="1"/>
  <c r="AM1357" i="3"/>
  <c r="AM517" i="3" s="1"/>
  <c r="AM1335" i="3"/>
  <c r="AM495" i="3" s="1"/>
  <c r="AM1271" i="3"/>
  <c r="AM431" i="3" s="1"/>
  <c r="AM1195" i="3"/>
  <c r="AM355" i="3" s="1"/>
  <c r="AM1430" i="3"/>
  <c r="AM590" i="3" s="1"/>
  <c r="AM1262" i="3"/>
  <c r="AM422" i="3" s="1"/>
  <c r="AM1298" i="3"/>
  <c r="AM458" i="3" s="1"/>
  <c r="AM1418" i="3"/>
  <c r="AM578" i="3" s="1"/>
  <c r="AQ1419" i="3"/>
  <c r="AQ579" i="3" s="1"/>
  <c r="AQ1308" i="3"/>
  <c r="AQ468" i="3" s="1"/>
  <c r="AQ1390" i="3"/>
  <c r="AQ550" i="3" s="1"/>
  <c r="AQ1239" i="3"/>
  <c r="AQ399" i="3" s="1"/>
  <c r="AQ1422" i="3"/>
  <c r="AQ582" i="3" s="1"/>
  <c r="AQ1310" i="3"/>
  <c r="AQ470" i="3" s="1"/>
  <c r="AQ1302" i="3"/>
  <c r="AQ462" i="3" s="1"/>
  <c r="AU1456" i="3"/>
  <c r="AU616" i="3" s="1"/>
  <c r="AU1343" i="3"/>
  <c r="AU503" i="3" s="1"/>
  <c r="AU1279" i="3"/>
  <c r="AU439" i="3" s="1"/>
  <c r="AU1215" i="3"/>
  <c r="AU1330" i="3"/>
  <c r="AU490" i="3" s="1"/>
  <c r="AU1266" i="3"/>
  <c r="AU426" i="3" s="1"/>
  <c r="AU1202" i="3"/>
  <c r="AU362" i="3" s="1"/>
  <c r="AU1429" i="3"/>
  <c r="AU589" i="3" s="1"/>
  <c r="AU1333" i="3"/>
  <c r="AU493" i="3" s="1"/>
  <c r="AU1320" i="3"/>
  <c r="AU480" i="3" s="1"/>
  <c r="AU1256" i="3"/>
  <c r="AU1357" i="3"/>
  <c r="AU517" i="3" s="1"/>
  <c r="AB1264" i="3"/>
  <c r="AB424" i="3" s="1"/>
  <c r="AB1424" i="3"/>
  <c r="AB584" i="3" s="1"/>
  <c r="AB1339" i="3"/>
  <c r="AB499" i="3" s="1"/>
  <c r="AB1201" i="3"/>
  <c r="AB361" i="3" s="1"/>
  <c r="AB1287" i="3"/>
  <c r="AB447" i="3" s="1"/>
  <c r="AB1362" i="3"/>
  <c r="AB522" i="3" s="1"/>
  <c r="AB1222" i="3"/>
  <c r="AB382" i="3" s="1"/>
  <c r="R1333" i="3"/>
  <c r="R493" i="3" s="1"/>
  <c r="R1328" i="3"/>
  <c r="R488" i="3" s="1"/>
  <c r="R1356" i="3"/>
  <c r="R516" i="3" s="1"/>
  <c r="AD1308" i="3"/>
  <c r="AD468" i="3" s="1"/>
  <c r="AD1202" i="3"/>
  <c r="AD362" i="3" s="1"/>
  <c r="AD1251" i="3"/>
  <c r="AD411" i="3" s="1"/>
  <c r="AH1285" i="3"/>
  <c r="AH445" i="3" s="1"/>
  <c r="AH1280" i="3"/>
  <c r="AH440" i="3" s="1"/>
  <c r="AH1375" i="3"/>
  <c r="AH535" i="3" s="1"/>
  <c r="AH1251" i="3"/>
  <c r="AH411" i="3" s="1"/>
  <c r="AH1319" i="3"/>
  <c r="AH479" i="3" s="1"/>
  <c r="AH1359" i="3"/>
  <c r="AH519" i="3" s="1"/>
  <c r="AH1377" i="3"/>
  <c r="AH537" i="3" s="1"/>
  <c r="AH1233" i="3"/>
  <c r="AH393" i="3" s="1"/>
  <c r="AH1214" i="3"/>
  <c r="AH374" i="3" s="1"/>
  <c r="AH1354" i="3"/>
  <c r="AH514" i="3" s="1"/>
  <c r="AH1272" i="3"/>
  <c r="AH432" i="3" s="1"/>
  <c r="AL1265" i="3"/>
  <c r="AL425" i="3" s="1"/>
  <c r="AL1201" i="3"/>
  <c r="AL361" i="3" s="1"/>
  <c r="AL1276" i="3"/>
  <c r="AL436" i="3" s="1"/>
  <c r="AL1319" i="3"/>
  <c r="AL479" i="3" s="1"/>
  <c r="AL1322" i="3"/>
  <c r="AL482" i="3" s="1"/>
  <c r="AL1359" i="3"/>
  <c r="AL519" i="3" s="1"/>
  <c r="AL1375" i="3"/>
  <c r="AL535" i="3" s="1"/>
  <c r="AL1222" i="3"/>
  <c r="AL382" i="3" s="1"/>
  <c r="AL1277" i="3"/>
  <c r="AL1328" i="3"/>
  <c r="AL488" i="3" s="1"/>
  <c r="AL1215" i="3"/>
  <c r="AP1362" i="3"/>
  <c r="AP522" i="3" s="1"/>
  <c r="AP1281" i="3"/>
  <c r="AP441" i="3" s="1"/>
  <c r="AP1213" i="3"/>
  <c r="AP373" i="3" s="1"/>
  <c r="AP1272" i="3"/>
  <c r="AP432" i="3" s="1"/>
  <c r="AP1204" i="3"/>
  <c r="AP364" i="3" s="1"/>
  <c r="AP1251" i="3"/>
  <c r="AP411" i="3" s="1"/>
  <c r="AP1347" i="3"/>
  <c r="AP507" i="3" s="1"/>
  <c r="AT1269" i="3"/>
  <c r="AT429" i="3" s="1"/>
  <c r="AT1260" i="3"/>
  <c r="AT420" i="3" s="1"/>
  <c r="AT1360" i="3"/>
  <c r="AT520" i="3" s="1"/>
  <c r="AT1382" i="3"/>
  <c r="AT542" i="3" s="1"/>
  <c r="AT1210" i="3"/>
  <c r="AT370" i="3" s="1"/>
  <c r="AT1355" i="3"/>
  <c r="AT515" i="3" s="1"/>
  <c r="AT1347" i="3"/>
  <c r="AT507" i="3" s="1"/>
  <c r="AT1314" i="3"/>
  <c r="AT474" i="3" s="1"/>
  <c r="AT1334" i="3"/>
  <c r="AT494" i="3" s="1"/>
  <c r="AT1239" i="3"/>
  <c r="AT399" i="3" s="1"/>
  <c r="AX1285" i="3"/>
  <c r="AX445" i="3" s="1"/>
  <c r="AX1284" i="3"/>
  <c r="AX444" i="3" s="1"/>
  <c r="AX1379" i="3"/>
  <c r="AX539" i="3" s="1"/>
  <c r="AX1239" i="3"/>
  <c r="AX399" i="3" s="1"/>
  <c r="AX1273" i="3"/>
  <c r="AX433" i="3" s="1"/>
  <c r="AX1209" i="3"/>
  <c r="AX369" i="3" s="1"/>
  <c r="AX1264" i="3"/>
  <c r="AX424" i="3" s="1"/>
  <c r="AX1200" i="3"/>
  <c r="AX360" i="3" s="1"/>
  <c r="AX1335" i="3"/>
  <c r="AX495" i="3" s="1"/>
  <c r="AX1348" i="3"/>
  <c r="AX508" i="3" s="1"/>
  <c r="AX1330" i="3"/>
  <c r="AX490" i="3" s="1"/>
  <c r="AX1226" i="3"/>
  <c r="AX386" i="3" s="1"/>
  <c r="T1261" i="3"/>
  <c r="T421" i="3" s="1"/>
  <c r="AB1381" i="3"/>
  <c r="AB541" i="3" s="1"/>
  <c r="AB1379" i="3"/>
  <c r="AB539" i="3" s="1"/>
  <c r="AB1307" i="3"/>
  <c r="AB467" i="3" s="1"/>
  <c r="AB1378" i="3"/>
  <c r="AB538" i="3" s="1"/>
  <c r="AB1325" i="3"/>
  <c r="AB485" i="3" s="1"/>
  <c r="AB1259" i="3"/>
  <c r="AB419" i="3" s="1"/>
  <c r="AB1223" i="3"/>
  <c r="AB383" i="3" s="1"/>
  <c r="R1219" i="3"/>
  <c r="R379" i="3" s="1"/>
  <c r="R1240" i="3"/>
  <c r="R400" i="3" s="1"/>
  <c r="AH1230" i="3"/>
  <c r="AH390" i="3" s="1"/>
  <c r="AP1321" i="3"/>
  <c r="AP481" i="3" s="1"/>
  <c r="AP1300" i="3"/>
  <c r="AP460" i="3" s="1"/>
  <c r="AP1323" i="3"/>
  <c r="AP483" i="3" s="1"/>
  <c r="AP1267" i="3"/>
  <c r="AP427" i="3" s="1"/>
  <c r="AP1203" i="3"/>
  <c r="AP363" i="3" s="1"/>
  <c r="AP1341" i="3"/>
  <c r="AP501" i="3" s="1"/>
  <c r="AP1298" i="3"/>
  <c r="AP458" i="3" s="1"/>
  <c r="AP1295" i="3"/>
  <c r="AP455" i="3" s="1"/>
  <c r="AP1234" i="3"/>
  <c r="AP394" i="3" s="1"/>
  <c r="AT1297" i="3"/>
  <c r="AT457" i="3" s="1"/>
  <c r="AT1221" i="3"/>
  <c r="AT381" i="3" s="1"/>
  <c r="AT1384" i="3"/>
  <c r="AT544" i="3" s="1"/>
  <c r="AT1212" i="3"/>
  <c r="AT372" i="3" s="1"/>
  <c r="AT1341" i="3"/>
  <c r="AT501" i="3" s="1"/>
  <c r="AT1357" i="3"/>
  <c r="AT517" i="3" s="1"/>
  <c r="AT1226" i="3"/>
  <c r="AT386" i="3" s="1"/>
  <c r="AT1380" i="3"/>
  <c r="AT540" i="3" s="1"/>
  <c r="AT1340" i="3"/>
  <c r="AT500" i="3" s="1"/>
  <c r="AT1279" i="3"/>
  <c r="AT439" i="3" s="1"/>
  <c r="AT1342" i="3"/>
  <c r="AT502" i="3" s="1"/>
  <c r="AT1323" i="3"/>
  <c r="AT483" i="3" s="1"/>
  <c r="AT1195" i="3"/>
  <c r="AT355" i="3" s="1"/>
  <c r="AX1300" i="3"/>
  <c r="AX460" i="3" s="1"/>
  <c r="AX1376" i="3"/>
  <c r="AX536" i="3" s="1"/>
  <c r="AX1255" i="3"/>
  <c r="AX1305" i="3"/>
  <c r="AX465" i="3" s="1"/>
  <c r="AX1225" i="3"/>
  <c r="AX385" i="3" s="1"/>
  <c r="AX1216" i="3"/>
  <c r="AX1271" i="3"/>
  <c r="AX431" i="3" s="1"/>
  <c r="AX1358" i="3"/>
  <c r="AX518" i="3" s="1"/>
  <c r="AX1242" i="3"/>
  <c r="AX402" i="3" s="1"/>
  <c r="AX1314" i="3"/>
  <c r="AX474" i="3" s="1"/>
  <c r="P1212" i="3"/>
  <c r="P372" i="3" s="1"/>
  <c r="P1231" i="3"/>
  <c r="P391" i="3" s="1"/>
  <c r="P1222" i="3"/>
  <c r="P382" i="3" s="1"/>
  <c r="T1212" i="3"/>
  <c r="T372" i="3" s="1"/>
  <c r="T1369" i="3"/>
  <c r="T529" i="3" s="1"/>
  <c r="T1275" i="3"/>
  <c r="T435" i="3" s="1"/>
  <c r="X1241" i="3"/>
  <c r="X401" i="3" s="1"/>
  <c r="X1259" i="3"/>
  <c r="X419" i="3" s="1"/>
  <c r="X1290" i="3"/>
  <c r="X450" i="3" s="1"/>
  <c r="AJ1263" i="3"/>
  <c r="AJ423" i="3" s="1"/>
  <c r="AJ1325" i="3"/>
  <c r="AJ485" i="3" s="1"/>
  <c r="AJ1346" i="3"/>
  <c r="AJ506" i="3" s="1"/>
  <c r="AJ1362" i="3"/>
  <c r="AJ522" i="3" s="1"/>
  <c r="AJ1219" i="3"/>
  <c r="AJ379" i="3" s="1"/>
  <c r="AJ1234" i="3"/>
  <c r="AJ394" i="3" s="1"/>
  <c r="AJ1314" i="3"/>
  <c r="AJ474" i="3" s="1"/>
  <c r="AN1341" i="3"/>
  <c r="AN501" i="3" s="1"/>
  <c r="AN1225" i="3"/>
  <c r="AN385" i="3" s="1"/>
  <c r="AN1305" i="3"/>
  <c r="AN465" i="3" s="1"/>
  <c r="AN1359" i="3"/>
  <c r="AN519" i="3" s="1"/>
  <c r="AN1275" i="3"/>
  <c r="AN435" i="3" s="1"/>
  <c r="AN1343" i="3"/>
  <c r="AN503" i="3" s="1"/>
  <c r="AN1220" i="3"/>
  <c r="AN380" i="3" s="1"/>
  <c r="AN1270" i="3"/>
  <c r="AN430" i="3" s="1"/>
  <c r="AR1360" i="3"/>
  <c r="AR520" i="3" s="1"/>
  <c r="AR1308" i="3"/>
  <c r="AR468" i="3" s="1"/>
  <c r="AR1232" i="3"/>
  <c r="AR392" i="3" s="1"/>
  <c r="AR1277" i="3"/>
  <c r="AR1326" i="3"/>
  <c r="AR486" i="3" s="1"/>
  <c r="AR1274" i="3"/>
  <c r="AR434" i="3" s="1"/>
  <c r="AR1213" i="3"/>
  <c r="AR373" i="3" s="1"/>
  <c r="AR1227" i="3"/>
  <c r="AR387" i="3" s="1"/>
  <c r="AR1194" i="3"/>
  <c r="AR354" i="3" s="1"/>
  <c r="AR1295" i="3"/>
  <c r="AR455" i="3" s="1"/>
  <c r="AV1301" i="3"/>
  <c r="AV461" i="3" s="1"/>
  <c r="AV1380" i="3"/>
  <c r="AV540" i="3" s="1"/>
  <c r="AV1257" i="3"/>
  <c r="AV417" i="3" s="1"/>
  <c r="AV1193" i="3"/>
  <c r="AV353" i="3" s="1"/>
  <c r="AV1296" i="3"/>
  <c r="AV456" i="3" s="1"/>
  <c r="AV1358" i="3"/>
  <c r="AV518" i="3" s="1"/>
  <c r="AV1320" i="3"/>
  <c r="AV480" i="3" s="1"/>
  <c r="AV1204" i="3"/>
  <c r="AV364" i="3" s="1"/>
  <c r="Q1273" i="3"/>
  <c r="Q433" i="3" s="1"/>
  <c r="Q1209" i="3"/>
  <c r="Q369" i="3" s="1"/>
  <c r="Q1300" i="3"/>
  <c r="Q460" i="3" s="1"/>
  <c r="Q1204" i="3"/>
  <c r="Q364" i="3" s="1"/>
  <c r="Q1381" i="3"/>
  <c r="Q541" i="3" s="1"/>
  <c r="Q1195" i="3"/>
  <c r="Q355" i="3" s="1"/>
  <c r="Q1291" i="3"/>
  <c r="Q451" i="3" s="1"/>
  <c r="Q1302" i="3"/>
  <c r="Q462" i="3" s="1"/>
  <c r="Q1319" i="3"/>
  <c r="Q479" i="3" s="1"/>
  <c r="U1317" i="3"/>
  <c r="U477" i="3" s="1"/>
  <c r="U1221" i="3"/>
  <c r="U381" i="3" s="1"/>
  <c r="U1362" i="3"/>
  <c r="U522" i="3" s="1"/>
  <c r="U1234" i="3"/>
  <c r="U394" i="3" s="1"/>
  <c r="U1264" i="3"/>
  <c r="U424" i="3" s="1"/>
  <c r="U1335" i="3"/>
  <c r="U495" i="3" s="1"/>
  <c r="U1271" i="3"/>
  <c r="U431" i="3" s="1"/>
  <c r="U1382" i="3"/>
  <c r="U542" i="3" s="1"/>
  <c r="Y1289" i="3"/>
  <c r="Y449" i="3" s="1"/>
  <c r="Y1225" i="3"/>
  <c r="Y385" i="3" s="1"/>
  <c r="Y1300" i="3"/>
  <c r="Y460" i="3" s="1"/>
  <c r="Y1204" i="3"/>
  <c r="Y364" i="3" s="1"/>
  <c r="Y1357" i="3"/>
  <c r="Y517" i="3" s="1"/>
  <c r="Y1335" i="3"/>
  <c r="Y495" i="3" s="1"/>
  <c r="Y1271" i="3"/>
  <c r="Y431" i="3" s="1"/>
  <c r="Y1346" i="3"/>
  <c r="Y506" i="3" s="1"/>
  <c r="Y1202" i="3"/>
  <c r="Y362" i="3" s="1"/>
  <c r="Y1195" i="3"/>
  <c r="Y355" i="3" s="1"/>
  <c r="AC1289" i="3"/>
  <c r="AC449" i="3" s="1"/>
  <c r="AC1225" i="3"/>
  <c r="AC385" i="3" s="1"/>
  <c r="AC1360" i="3"/>
  <c r="AC520" i="3" s="1"/>
  <c r="AC1276" i="3"/>
  <c r="AC436" i="3" s="1"/>
  <c r="AC1315" i="3"/>
  <c r="AC475" i="3" s="1"/>
  <c r="AC1203" i="3"/>
  <c r="AC363" i="3" s="1"/>
  <c r="AC1282" i="3"/>
  <c r="AC442" i="3" s="1"/>
  <c r="AG1377" i="3"/>
  <c r="AG537" i="3" s="1"/>
  <c r="AG1301" i="3"/>
  <c r="AG461" i="3" s="1"/>
  <c r="AJ1270" i="3"/>
  <c r="AJ430" i="3" s="1"/>
  <c r="AJ1303" i="3"/>
  <c r="AJ463" i="3" s="1"/>
  <c r="AJ1345" i="3"/>
  <c r="AJ505" i="3" s="1"/>
  <c r="AJ1319" i="3"/>
  <c r="AJ479" i="3" s="1"/>
  <c r="AJ1343" i="3"/>
  <c r="AJ503" i="3" s="1"/>
  <c r="AJ1250" i="3"/>
  <c r="AJ410" i="3" s="1"/>
  <c r="AN1241" i="3"/>
  <c r="AN401" i="3" s="1"/>
  <c r="AN1344" i="3"/>
  <c r="AN504" i="3" s="1"/>
  <c r="AN1273" i="3"/>
  <c r="AN433" i="3" s="1"/>
  <c r="AN1239" i="3"/>
  <c r="AN399" i="3" s="1"/>
  <c r="AN1353" i="3"/>
  <c r="AN513" i="3" s="1"/>
  <c r="AN1335" i="3"/>
  <c r="AN495" i="3" s="1"/>
  <c r="AN1322" i="3"/>
  <c r="AN482" i="3" s="1"/>
  <c r="AN1378" i="3"/>
  <c r="AN538" i="3" s="1"/>
  <c r="AN1200" i="3"/>
  <c r="AN360" i="3" s="1"/>
  <c r="AR1273" i="3"/>
  <c r="AR433" i="3" s="1"/>
  <c r="AR1248" i="3"/>
  <c r="AR408" i="3" s="1"/>
  <c r="AR1293" i="3"/>
  <c r="AR453" i="3" s="1"/>
  <c r="AR1267" i="3"/>
  <c r="AR427" i="3" s="1"/>
  <c r="AR1348" i="3"/>
  <c r="AR508" i="3" s="1"/>
  <c r="AR1421" i="3"/>
  <c r="AR581" i="3" s="1"/>
  <c r="AR1386" i="3"/>
  <c r="AR546" i="3" s="1"/>
  <c r="AR1229" i="3"/>
  <c r="AR389" i="3" s="1"/>
  <c r="AR1210" i="3"/>
  <c r="AR370" i="3" s="1"/>
  <c r="AR1286" i="3"/>
  <c r="AR446" i="3" s="1"/>
  <c r="AR1303" i="3"/>
  <c r="AR463" i="3" s="1"/>
  <c r="AV1357" i="3"/>
  <c r="AV517" i="3" s="1"/>
  <c r="AV1317" i="3"/>
  <c r="AV477" i="3" s="1"/>
  <c r="AV1209" i="3"/>
  <c r="AV369" i="3" s="1"/>
  <c r="AV1312" i="3"/>
  <c r="AV472" i="3" s="1"/>
  <c r="AV1271" i="3"/>
  <c r="AV431" i="3" s="1"/>
  <c r="AV1352" i="3"/>
  <c r="AV512" i="3" s="1"/>
  <c r="AV1220" i="3"/>
  <c r="AV380" i="3" s="1"/>
  <c r="AV1359" i="3"/>
  <c r="AV519" i="3" s="1"/>
  <c r="AV1223" i="3"/>
  <c r="AV383" i="3" s="1"/>
  <c r="AV1302" i="3"/>
  <c r="AV462" i="3" s="1"/>
  <c r="AV1230" i="3"/>
  <c r="AV390" i="3" s="1"/>
  <c r="AV1375" i="3"/>
  <c r="AV535" i="3" s="1"/>
  <c r="Q1361" i="3"/>
  <c r="Q521" i="3" s="1"/>
  <c r="Q1289" i="3"/>
  <c r="Q449" i="3" s="1"/>
  <c r="Q1225" i="3"/>
  <c r="Q385" i="3" s="1"/>
  <c r="Q1316" i="3"/>
  <c r="Q476" i="3" s="1"/>
  <c r="Q1220" i="3"/>
  <c r="Q380" i="3" s="1"/>
  <c r="Q1382" i="3"/>
  <c r="Q542" i="3" s="1"/>
  <c r="Q1318" i="3"/>
  <c r="Q478" i="3" s="1"/>
  <c r="Q1222" i="3"/>
  <c r="Q382" i="3" s="1"/>
  <c r="U1333" i="3"/>
  <c r="U493" i="3" s="1"/>
  <c r="U1269" i="3"/>
  <c r="U429" i="3" s="1"/>
  <c r="U1250" i="3"/>
  <c r="U410" i="3" s="1"/>
  <c r="U1328" i="3"/>
  <c r="U488" i="3" s="1"/>
  <c r="U1287" i="3"/>
  <c r="U447" i="3" s="1"/>
  <c r="Y1305" i="3"/>
  <c r="Y465" i="3" s="1"/>
  <c r="Y1241" i="3"/>
  <c r="Y401" i="3" s="1"/>
  <c r="Y1316" i="3"/>
  <c r="Y476" i="3" s="1"/>
  <c r="Y1220" i="3"/>
  <c r="Y380" i="3" s="1"/>
  <c r="Y1380" i="3"/>
  <c r="Y540" i="3" s="1"/>
  <c r="Y1287" i="3"/>
  <c r="Y447" i="3" s="1"/>
  <c r="Y1234" i="3"/>
  <c r="Y394" i="3" s="1"/>
  <c r="Y1378" i="3"/>
  <c r="Y538" i="3" s="1"/>
  <c r="AC1305" i="3"/>
  <c r="AC465" i="3" s="1"/>
  <c r="AC1241" i="3"/>
  <c r="AC401" i="3" s="1"/>
  <c r="AC1196" i="3"/>
  <c r="AC356" i="3" s="1"/>
  <c r="AC1292" i="3"/>
  <c r="AC452" i="3" s="1"/>
  <c r="AC1375" i="3"/>
  <c r="AC535" i="3" s="1"/>
  <c r="AC1347" i="3"/>
  <c r="AC507" i="3" s="1"/>
  <c r="AC1219" i="3"/>
  <c r="AC379" i="3" s="1"/>
  <c r="AC1346" i="3"/>
  <c r="AC506" i="3" s="1"/>
  <c r="AC1202" i="3"/>
  <c r="AC362" i="3" s="1"/>
  <c r="AG1317" i="3"/>
  <c r="AG477" i="3" s="1"/>
  <c r="AN1357" i="3"/>
  <c r="AN517" i="3" s="1"/>
  <c r="AR1260" i="3"/>
  <c r="AR420" i="3" s="1"/>
  <c r="AR1196" i="3"/>
  <c r="AR356" i="3" s="1"/>
  <c r="AR1305" i="3"/>
  <c r="AR465" i="3" s="1"/>
  <c r="AR1319" i="3"/>
  <c r="AR479" i="3" s="1"/>
  <c r="AR1345" i="3"/>
  <c r="AR505" i="3" s="1"/>
  <c r="AR1331" i="3"/>
  <c r="AR491" i="3" s="1"/>
  <c r="AR1270" i="3"/>
  <c r="AR430" i="3" s="1"/>
  <c r="AR1209" i="3"/>
  <c r="AR369" i="3" s="1"/>
  <c r="Q1357" i="3"/>
  <c r="Q517" i="3" s="1"/>
  <c r="Q1315" i="3"/>
  <c r="Q475" i="3" s="1"/>
  <c r="Q1223" i="3"/>
  <c r="Q383" i="3" s="1"/>
  <c r="Q1202" i="3"/>
  <c r="Q362" i="3" s="1"/>
  <c r="U1376" i="3"/>
  <c r="U536" i="3" s="1"/>
  <c r="U1281" i="3"/>
  <c r="U441" i="3" s="1"/>
  <c r="U1310" i="3"/>
  <c r="U470" i="3" s="1"/>
  <c r="U1276" i="3"/>
  <c r="U436" i="3" s="1"/>
  <c r="U1283" i="3"/>
  <c r="U443" i="3" s="1"/>
  <c r="Y1283" i="3"/>
  <c r="Y443" i="3" s="1"/>
  <c r="Y1294" i="3"/>
  <c r="Y454" i="3" s="1"/>
  <c r="AC1369" i="3"/>
  <c r="AC529" i="3" s="1"/>
  <c r="AC1301" i="3"/>
  <c r="AC461" i="3" s="1"/>
  <c r="AC1288" i="3"/>
  <c r="AC448" i="3" s="1"/>
  <c r="AC1359" i="3"/>
  <c r="AC519" i="3" s="1"/>
  <c r="AC1362" i="3"/>
  <c r="AC522" i="3" s="1"/>
  <c r="AC1310" i="3"/>
  <c r="AC470" i="3" s="1"/>
  <c r="AC1367" i="3"/>
  <c r="AC527" i="3" s="1"/>
  <c r="AG1329" i="3"/>
  <c r="AG489" i="3" s="1"/>
  <c r="AG1265" i="3"/>
  <c r="AG425" i="3" s="1"/>
  <c r="AG1420" i="3"/>
  <c r="AG580" i="3" s="1"/>
  <c r="AG1340" i="3"/>
  <c r="AG500" i="3" s="1"/>
  <c r="AG1276" i="3"/>
  <c r="AG436" i="3" s="1"/>
  <c r="AR1288" i="3"/>
  <c r="AR448" i="3" s="1"/>
  <c r="AR1212" i="3"/>
  <c r="AR372" i="3" s="1"/>
  <c r="AR1225" i="3"/>
  <c r="AR385" i="3" s="1"/>
  <c r="AR1282" i="3"/>
  <c r="AR442" i="3" s="1"/>
  <c r="AV1381" i="3"/>
  <c r="AV541" i="3" s="1"/>
  <c r="AV1194" i="3"/>
  <c r="AV354" i="3" s="1"/>
  <c r="AV1342" i="3"/>
  <c r="AV502" i="3" s="1"/>
  <c r="AV1378" i="3"/>
  <c r="AV538" i="3" s="1"/>
  <c r="Q1349" i="3"/>
  <c r="Q509" i="3" s="1"/>
  <c r="Q1285" i="3"/>
  <c r="Q445" i="3" s="1"/>
  <c r="Q1368" i="3"/>
  <c r="Q1232" i="3"/>
  <c r="Q392" i="3" s="1"/>
  <c r="Q1201" i="3"/>
  <c r="Q361" i="3" s="1"/>
  <c r="Q1347" i="3"/>
  <c r="Q507" i="3" s="1"/>
  <c r="Q1239" i="3"/>
  <c r="Q1250" i="3"/>
  <c r="Q410" i="3" s="1"/>
  <c r="U1357" i="3"/>
  <c r="U517" i="3" s="1"/>
  <c r="U1345" i="3"/>
  <c r="U505" i="3" s="1"/>
  <c r="U1201" i="3"/>
  <c r="U361" i="3" s="1"/>
  <c r="U1326" i="3"/>
  <c r="U486" i="3" s="1"/>
  <c r="U1214" i="3"/>
  <c r="U374" i="3" s="1"/>
  <c r="U1292" i="3"/>
  <c r="U452" i="3" s="1"/>
  <c r="U1361" i="3"/>
  <c r="U521" i="3" s="1"/>
  <c r="U1299" i="3"/>
  <c r="U459" i="3" s="1"/>
  <c r="U1203" i="3"/>
  <c r="U363" i="3" s="1"/>
  <c r="U1360" i="3"/>
  <c r="U520" i="3" s="1"/>
  <c r="Y1317" i="3"/>
  <c r="Y477" i="3" s="1"/>
  <c r="Y1221" i="3"/>
  <c r="Y381" i="3" s="1"/>
  <c r="Y1232" i="3"/>
  <c r="Y392" i="3" s="1"/>
  <c r="Y1376" i="3"/>
  <c r="Y536" i="3" s="1"/>
  <c r="Y1299" i="3"/>
  <c r="Y459" i="3" s="1"/>
  <c r="Y1203" i="3"/>
  <c r="Y363" i="3" s="1"/>
  <c r="Y1310" i="3"/>
  <c r="Y470" i="3" s="1"/>
  <c r="Y1369" i="3"/>
  <c r="Y529" i="3" s="1"/>
  <c r="AC1317" i="3"/>
  <c r="AC477" i="3" s="1"/>
  <c r="AC1221" i="3"/>
  <c r="AC381" i="3" s="1"/>
  <c r="AC1420" i="3"/>
  <c r="AC580" i="3" s="1"/>
  <c r="AC1304" i="3"/>
  <c r="AC464" i="3" s="1"/>
  <c r="AC1224" i="3"/>
  <c r="AC384" i="3" s="1"/>
  <c r="AC1326" i="3"/>
  <c r="AC486" i="3" s="1"/>
  <c r="AC1214" i="3"/>
  <c r="AC374" i="3" s="1"/>
  <c r="AG1345" i="3"/>
  <c r="AG505" i="3" s="1"/>
  <c r="AG1281" i="3"/>
  <c r="AG441" i="3" s="1"/>
  <c r="AG1217" i="3"/>
  <c r="AG1292" i="3"/>
  <c r="AG452" i="3" s="1"/>
  <c r="AG1384" i="3"/>
  <c r="AG544" i="3" s="1"/>
  <c r="AG1312" i="3"/>
  <c r="AG472" i="3" s="1"/>
  <c r="AG1248" i="3"/>
  <c r="AG408" i="3" s="1"/>
  <c r="AG1367" i="3"/>
  <c r="AG527" i="3" s="1"/>
  <c r="AG1339" i="3"/>
  <c r="AG499" i="3" s="1"/>
  <c r="AG1275" i="3"/>
  <c r="AG435" i="3" s="1"/>
  <c r="AG1381" i="3"/>
  <c r="AG541" i="3" s="1"/>
  <c r="AG1211" i="3"/>
  <c r="AG371" i="3" s="1"/>
  <c r="AG1334" i="3"/>
  <c r="AG494" i="3" s="1"/>
  <c r="AG1270" i="3"/>
  <c r="AG430" i="3" s="1"/>
  <c r="AG1382" i="3"/>
  <c r="AG542" i="3" s="1"/>
  <c r="AK1324" i="3"/>
  <c r="AK484" i="3" s="1"/>
  <c r="AK1260" i="3"/>
  <c r="AK420" i="3" s="1"/>
  <c r="AK1423" i="3"/>
  <c r="AK583" i="3" s="1"/>
  <c r="AK1303" i="3"/>
  <c r="AK463" i="3" s="1"/>
  <c r="AK1239" i="3"/>
  <c r="AK399" i="3" s="1"/>
  <c r="AK1338" i="3"/>
  <c r="AK498" i="3" s="1"/>
  <c r="AK1274" i="3"/>
  <c r="AK434" i="3" s="1"/>
  <c r="AK1210" i="3"/>
  <c r="AK370" i="3" s="1"/>
  <c r="AK1301" i="3"/>
  <c r="AK461" i="3" s="1"/>
  <c r="AO1375" i="3"/>
  <c r="AO535" i="3" s="1"/>
  <c r="AO1315" i="3"/>
  <c r="AO475" i="3" s="1"/>
  <c r="AO1251" i="3"/>
  <c r="AO411" i="3" s="1"/>
  <c r="AO1326" i="3"/>
  <c r="AO486" i="3" s="1"/>
  <c r="AO1262" i="3"/>
  <c r="AO422" i="3" s="1"/>
  <c r="AO1198" i="3"/>
  <c r="AO358" i="3" s="1"/>
  <c r="AO1199" i="3"/>
  <c r="AO359" i="3" s="1"/>
  <c r="AO1349" i="3"/>
  <c r="AO509" i="3" s="1"/>
  <c r="AO1285" i="3"/>
  <c r="AO445" i="3" s="1"/>
  <c r="AO1221" i="3"/>
  <c r="AO381" i="3" s="1"/>
  <c r="AS1296" i="3"/>
  <c r="AS456" i="3" s="1"/>
  <c r="AS1380" i="3"/>
  <c r="AS540" i="3" s="1"/>
  <c r="AS1376" i="3"/>
  <c r="AS536" i="3" s="1"/>
  <c r="AS1306" i="3"/>
  <c r="AS466" i="3" s="1"/>
  <c r="AS1242" i="3"/>
  <c r="AS402" i="3" s="1"/>
  <c r="AW1353" i="3"/>
  <c r="AW513" i="3" s="1"/>
  <c r="AW1289" i="3"/>
  <c r="AW449" i="3" s="1"/>
  <c r="AW1355" i="3"/>
  <c r="AW515" i="3" s="1"/>
  <c r="AW1359" i="3"/>
  <c r="AW519" i="3" s="1"/>
  <c r="AW1291" i="3"/>
  <c r="AW451" i="3" s="1"/>
  <c r="AW1314" i="3"/>
  <c r="AW474" i="3" s="1"/>
  <c r="AW1250" i="3"/>
  <c r="AW410" i="3" s="1"/>
  <c r="AE1369" i="3"/>
  <c r="AE529" i="3" s="1"/>
  <c r="AF1253" i="3"/>
  <c r="AG1253" i="3"/>
  <c r="AG1328" i="3"/>
  <c r="AG488" i="3" s="1"/>
  <c r="AG1264" i="3"/>
  <c r="AG424" i="3" s="1"/>
  <c r="AG1200" i="3"/>
  <c r="AG360" i="3" s="1"/>
  <c r="AG1197" i="3"/>
  <c r="AG357" i="3" s="1"/>
  <c r="AG1291" i="3"/>
  <c r="AG451" i="3" s="1"/>
  <c r="AG1227" i="3"/>
  <c r="AG387" i="3" s="1"/>
  <c r="AG1350" i="3"/>
  <c r="AG510" i="3" s="1"/>
  <c r="AG1286" i="3"/>
  <c r="AG446" i="3" s="1"/>
  <c r="AG1222" i="3"/>
  <c r="AG382" i="3" s="1"/>
  <c r="AK1340" i="3"/>
  <c r="AK500" i="3" s="1"/>
  <c r="AK1276" i="3"/>
  <c r="AK436" i="3" s="1"/>
  <c r="AK1212" i="3"/>
  <c r="AK372" i="3" s="1"/>
  <c r="AK1319" i="3"/>
  <c r="AK479" i="3" s="1"/>
  <c r="AK1255" i="3"/>
  <c r="AK1361" i="3"/>
  <c r="AK521" i="3" s="1"/>
  <c r="AK1354" i="3"/>
  <c r="AK514" i="3" s="1"/>
  <c r="AK1290" i="3"/>
  <c r="AK450" i="3" s="1"/>
  <c r="AK1226" i="3"/>
  <c r="AK386" i="3" s="1"/>
  <c r="AK1317" i="3"/>
  <c r="AK477" i="3" s="1"/>
  <c r="AK1253" i="3"/>
  <c r="AK1384" i="3"/>
  <c r="AK544" i="3" s="1"/>
  <c r="AK1198" i="3"/>
  <c r="AK358" i="3" s="1"/>
  <c r="AO1360" i="3"/>
  <c r="AO520" i="3" s="1"/>
  <c r="AO1331" i="3"/>
  <c r="AO491" i="3" s="1"/>
  <c r="AO1267" i="3"/>
  <c r="AO427" i="3" s="1"/>
  <c r="AO1203" i="3"/>
  <c r="AO363" i="3" s="1"/>
  <c r="AO1342" i="3"/>
  <c r="AO502" i="3" s="1"/>
  <c r="AO1278" i="3"/>
  <c r="AO438" i="3" s="1"/>
  <c r="AO1214" i="3"/>
  <c r="AO374" i="3" s="1"/>
  <c r="AO1301" i="3"/>
  <c r="AO461" i="3" s="1"/>
  <c r="AO1332" i="3"/>
  <c r="AO492" i="3" s="1"/>
  <c r="AO1280" i="3"/>
  <c r="AO440" i="3" s="1"/>
  <c r="AO1228" i="3"/>
  <c r="AO388" i="3" s="1"/>
  <c r="AO1288" i="3"/>
  <c r="AO448" i="3" s="1"/>
  <c r="AS1421" i="3"/>
  <c r="AS581" i="3" s="1"/>
  <c r="AS1312" i="3"/>
  <c r="AS472" i="3" s="1"/>
  <c r="AS1248" i="3"/>
  <c r="AS408" i="3" s="1"/>
  <c r="AS1313" i="3"/>
  <c r="AS473" i="3" s="1"/>
  <c r="AS1249" i="3"/>
  <c r="AS409" i="3" s="1"/>
  <c r="AS1198" i="3"/>
  <c r="AS358" i="3" s="1"/>
  <c r="AS1382" i="3"/>
  <c r="AS542" i="3" s="1"/>
  <c r="AS1263" i="3"/>
  <c r="AS423" i="3" s="1"/>
  <c r="AS1195" i="3"/>
  <c r="AS355" i="3" s="1"/>
  <c r="AS1322" i="3"/>
  <c r="AS482" i="3" s="1"/>
  <c r="AS1258" i="3"/>
  <c r="AS418" i="3" s="1"/>
  <c r="AS1339" i="3"/>
  <c r="AS499" i="3" s="1"/>
  <c r="AS1358" i="3"/>
  <c r="AS518" i="3" s="1"/>
  <c r="AW1305" i="3"/>
  <c r="AW465" i="3" s="1"/>
  <c r="AW1241" i="3"/>
  <c r="AW401" i="3" s="1"/>
  <c r="AW1320" i="3"/>
  <c r="AW480" i="3" s="1"/>
  <c r="AW1256" i="3"/>
  <c r="AW1424" i="3"/>
  <c r="AW584" i="3" s="1"/>
  <c r="AW1323" i="3"/>
  <c r="AW483" i="3" s="1"/>
  <c r="AW1223" i="3"/>
  <c r="AW383" i="3" s="1"/>
  <c r="AW1330" i="3"/>
  <c r="AW490" i="3" s="1"/>
  <c r="AW1266" i="3"/>
  <c r="AW426" i="3" s="1"/>
  <c r="AW1202" i="3"/>
  <c r="AW362" i="3" s="1"/>
  <c r="AW1279" i="3"/>
  <c r="AW439" i="3" s="1"/>
  <c r="AJ1199" i="3"/>
  <c r="AJ359" i="3" s="1"/>
  <c r="AJ1230" i="3"/>
  <c r="AJ390" i="3" s="1"/>
  <c r="AJ1298" i="3"/>
  <c r="AJ458" i="3" s="1"/>
  <c r="AN1333" i="3"/>
  <c r="AN493" i="3" s="1"/>
  <c r="AN1221" i="3"/>
  <c r="AN381" i="3" s="1"/>
  <c r="AN1301" i="3"/>
  <c r="AN461" i="3" s="1"/>
  <c r="AN1380" i="3"/>
  <c r="AN540" i="3" s="1"/>
  <c r="AN1279" i="3"/>
  <c r="AN439" i="3" s="1"/>
  <c r="AN1203" i="3"/>
  <c r="AN363" i="3" s="1"/>
  <c r="AN1422" i="3"/>
  <c r="AN582" i="3" s="1"/>
  <c r="AN1258" i="3"/>
  <c r="AN1194" i="3"/>
  <c r="AN354" i="3" s="1"/>
  <c r="AN1355" i="3"/>
  <c r="AN515" i="3" s="1"/>
  <c r="AN1350" i="3"/>
  <c r="AN510" i="3" s="1"/>
  <c r="AV1253" i="3"/>
  <c r="AV1292" i="3"/>
  <c r="AV452" i="3" s="1"/>
  <c r="AV1354" i="3"/>
  <c r="AV514" i="3" s="1"/>
  <c r="AV1216" i="3"/>
  <c r="AG1212" i="3"/>
  <c r="AG372" i="3" s="1"/>
  <c r="AG1369" i="3"/>
  <c r="AG529" i="3" s="1"/>
  <c r="AG1358" i="3"/>
  <c r="AG518" i="3" s="1"/>
  <c r="AG1319" i="3"/>
  <c r="AG479" i="3" s="1"/>
  <c r="AG1255" i="3"/>
  <c r="AG1359" i="3"/>
  <c r="AG519" i="3" s="1"/>
  <c r="AG1422" i="3"/>
  <c r="AG582" i="3" s="1"/>
  <c r="AG1298" i="3"/>
  <c r="AG458" i="3" s="1"/>
  <c r="AG1234" i="3"/>
  <c r="AG394" i="3" s="1"/>
  <c r="AS1287" i="3"/>
  <c r="AS447" i="3" s="1"/>
  <c r="AS1334" i="3"/>
  <c r="AS1270" i="3"/>
  <c r="AS430" i="3" s="1"/>
  <c r="AW1333" i="3"/>
  <c r="AW493" i="3" s="1"/>
  <c r="AW1269" i="3"/>
  <c r="AW429" i="3" s="1"/>
  <c r="AW1348" i="3"/>
  <c r="AW508" i="3" s="1"/>
  <c r="AW1284" i="3"/>
  <c r="AW444" i="3" s="1"/>
  <c r="AW1220" i="3"/>
  <c r="AW380" i="3" s="1"/>
  <c r="AW1193" i="3"/>
  <c r="AW353" i="3" s="1"/>
  <c r="AW1195" i="3"/>
  <c r="AW355" i="3" s="1"/>
  <c r="AW1283" i="3"/>
  <c r="AW443" i="3" s="1"/>
  <c r="AW1203" i="3"/>
  <c r="AW1310" i="3"/>
  <c r="AW470" i="3" s="1"/>
  <c r="AW1379" i="3"/>
  <c r="AW539" i="3" s="1"/>
  <c r="S1377" i="3"/>
  <c r="S537" i="3" s="1"/>
  <c r="W1269" i="3"/>
  <c r="W429" i="3" s="1"/>
  <c r="W1290" i="3"/>
  <c r="W450" i="3" s="1"/>
  <c r="W1226" i="3"/>
  <c r="W386" i="3" s="1"/>
  <c r="W1370" i="3"/>
  <c r="W530" i="3" s="1"/>
  <c r="AA1361" i="3"/>
  <c r="AA521" i="3" s="1"/>
  <c r="AA1261" i="3"/>
  <c r="AA421" i="3" s="1"/>
  <c r="AA1308" i="3"/>
  <c r="AA468" i="3" s="1"/>
  <c r="AE1356" i="3"/>
  <c r="AE516" i="3" s="1"/>
  <c r="AE1308" i="3"/>
  <c r="AE468" i="3" s="1"/>
  <c r="AE1291" i="3"/>
  <c r="AE451" i="3" s="1"/>
  <c r="AE1302" i="3"/>
  <c r="AE462" i="3" s="1"/>
  <c r="AE1193" i="3"/>
  <c r="AE353" i="3" s="1"/>
  <c r="AI1351" i="3"/>
  <c r="AI511" i="3" s="1"/>
  <c r="AI1287" i="3"/>
  <c r="AI447" i="3" s="1"/>
  <c r="AI1223" i="3"/>
  <c r="AI383" i="3" s="1"/>
  <c r="AB1337" i="3"/>
  <c r="AB497" i="3" s="1"/>
  <c r="AB1193" i="3"/>
  <c r="AB353" i="3" s="1"/>
  <c r="AB1289" i="3"/>
  <c r="AB449" i="3" s="1"/>
  <c r="AB1274" i="3"/>
  <c r="AB434" i="3" s="1"/>
  <c r="AB1231" i="3"/>
  <c r="AB391" i="3" s="1"/>
  <c r="R1316" i="3"/>
  <c r="R476" i="3" s="1"/>
  <c r="R1369" i="3"/>
  <c r="R529" i="3" s="1"/>
  <c r="R1195" i="3"/>
  <c r="R355" i="3" s="1"/>
  <c r="R1257" i="3"/>
  <c r="R417" i="3" s="1"/>
  <c r="R1193" i="3"/>
  <c r="R353" i="3" s="1"/>
  <c r="R1232" i="3"/>
  <c r="R392" i="3" s="1"/>
  <c r="R1335" i="3"/>
  <c r="R495" i="3" s="1"/>
  <c r="R1348" i="3"/>
  <c r="R508" i="3" s="1"/>
  <c r="R1250" i="3"/>
  <c r="R410" i="3" s="1"/>
  <c r="R1286" i="3"/>
  <c r="R446" i="3" s="1"/>
  <c r="V1241" i="3"/>
  <c r="V401" i="3" s="1"/>
  <c r="V1335" i="3"/>
  <c r="V495" i="3" s="1"/>
  <c r="V1310" i="3"/>
  <c r="V470" i="3" s="1"/>
  <c r="V1340" i="3"/>
  <c r="V500" i="3" s="1"/>
  <c r="V1258" i="3"/>
  <c r="V418" i="3" s="1"/>
  <c r="V1194" i="3"/>
  <c r="V354" i="3" s="1"/>
  <c r="V1211" i="3"/>
  <c r="V371" i="3" s="1"/>
  <c r="Z1304" i="3"/>
  <c r="Z464" i="3" s="1"/>
  <c r="Z1221" i="3"/>
  <c r="Z381" i="3" s="1"/>
  <c r="Z1212" i="3"/>
  <c r="Z372" i="3" s="1"/>
  <c r="Z1327" i="3"/>
  <c r="Z487" i="3" s="1"/>
  <c r="Z1263" i="3"/>
  <c r="Z423" i="3" s="1"/>
  <c r="Z1291" i="3"/>
  <c r="Z451" i="3" s="1"/>
  <c r="Z1303" i="3"/>
  <c r="Z463" i="3" s="1"/>
  <c r="AD1281" i="3"/>
  <c r="AD441" i="3" s="1"/>
  <c r="AD1325" i="3"/>
  <c r="AD485" i="3" s="1"/>
  <c r="AD1345" i="3"/>
  <c r="AD505" i="3" s="1"/>
  <c r="AD1284" i="3"/>
  <c r="AD444" i="3" s="1"/>
  <c r="AD1357" i="3"/>
  <c r="AD517" i="3" s="1"/>
  <c r="AD1306" i="3"/>
  <c r="AD466" i="3" s="1"/>
  <c r="AD1362" i="3"/>
  <c r="AD522" i="3" s="1"/>
  <c r="AH1301" i="3"/>
  <c r="AH461" i="3" s="1"/>
  <c r="AH1288" i="3"/>
  <c r="AH448" i="3" s="1"/>
  <c r="AH1380" i="3"/>
  <c r="AH540" i="3" s="1"/>
  <c r="AH1355" i="3"/>
  <c r="AH515" i="3" s="1"/>
  <c r="AH1211" i="3"/>
  <c r="AH371" i="3" s="1"/>
  <c r="AH1291" i="3"/>
  <c r="AH451" i="3" s="1"/>
  <c r="AH1370" i="3"/>
  <c r="AH530" i="3" s="1"/>
  <c r="AH1273" i="3"/>
  <c r="AH433" i="3" s="1"/>
  <c r="AH1209" i="3"/>
  <c r="AH369" i="3" s="1"/>
  <c r="AH1248" i="3"/>
  <c r="AH408" i="3" s="1"/>
  <c r="AH1254" i="3"/>
  <c r="AH1310" i="3"/>
  <c r="AH470" i="3" s="1"/>
  <c r="AH1252" i="3"/>
  <c r="AH412" i="3" s="1"/>
  <c r="AL1320" i="3"/>
  <c r="AL480" i="3" s="1"/>
  <c r="AL1241" i="3"/>
  <c r="AL401" i="3" s="1"/>
  <c r="AL1232" i="3"/>
  <c r="AL392" i="3" s="1"/>
  <c r="AL1291" i="3"/>
  <c r="AL451" i="3" s="1"/>
  <c r="AL1321" i="3"/>
  <c r="AL481" i="3" s="1"/>
  <c r="AL1259" i="3"/>
  <c r="AL419" i="3" s="1"/>
  <c r="AL1292" i="3"/>
  <c r="AL452" i="3" s="1"/>
  <c r="AP1309" i="3"/>
  <c r="AP469" i="3" s="1"/>
  <c r="AP1268" i="3"/>
  <c r="AP428" i="3" s="1"/>
  <c r="AP1297" i="3"/>
  <c r="AP457" i="3" s="1"/>
  <c r="AP1221" i="3"/>
  <c r="AP381" i="3" s="1"/>
  <c r="AP1384" i="3"/>
  <c r="AP544" i="3" s="1"/>
  <c r="AP1212" i="3"/>
  <c r="AP372" i="3" s="1"/>
  <c r="AP1355" i="3"/>
  <c r="AP515" i="3" s="1"/>
  <c r="AP1211" i="3"/>
  <c r="AP371" i="3" s="1"/>
  <c r="AP1274" i="3"/>
  <c r="AP434" i="3" s="1"/>
  <c r="AP1378" i="3"/>
  <c r="AP538" i="3" s="1"/>
  <c r="AT1424" i="3"/>
  <c r="AT584" i="3" s="1"/>
  <c r="AT1234" i="3"/>
  <c r="AT394" i="3" s="1"/>
  <c r="AT1301" i="3"/>
  <c r="AT461" i="3" s="1"/>
  <c r="AT1288" i="3"/>
  <c r="AT448" i="3" s="1"/>
  <c r="AT1331" i="3"/>
  <c r="AT491" i="3" s="1"/>
  <c r="AT1326" i="3"/>
  <c r="AT486" i="3" s="1"/>
  <c r="AT1350" i="3"/>
  <c r="AT510" i="3" s="1"/>
  <c r="AX1268" i="3"/>
  <c r="AX428" i="3" s="1"/>
  <c r="AX1231" i="3"/>
  <c r="AX391" i="3" s="1"/>
  <c r="AX1289" i="3"/>
  <c r="AX449" i="3" s="1"/>
  <c r="AX1217" i="3"/>
  <c r="AX1224" i="3"/>
  <c r="AX384" i="3" s="1"/>
  <c r="AX1351" i="3"/>
  <c r="AX511" i="3" s="1"/>
  <c r="AX1325" i="3"/>
  <c r="AX485" i="3" s="1"/>
  <c r="AX1346" i="3"/>
  <c r="AX506" i="3" s="1"/>
  <c r="AX1234" i="3"/>
  <c r="AX394" i="3" s="1"/>
  <c r="AX1302" i="3"/>
  <c r="AX462" i="3" s="1"/>
  <c r="AX1278" i="3"/>
  <c r="AX438" i="3" s="1"/>
  <c r="P1249" i="3"/>
  <c r="P409" i="3" s="1"/>
  <c r="P1304" i="3"/>
  <c r="P464" i="3" s="1"/>
  <c r="P1318" i="3"/>
  <c r="P478" i="3" s="1"/>
  <c r="P1252" i="3"/>
  <c r="P412" i="3" s="1"/>
  <c r="P1287" i="3"/>
  <c r="P447" i="3" s="1"/>
  <c r="P1286" i="3"/>
  <c r="P446" i="3" s="1"/>
  <c r="P1335" i="3"/>
  <c r="P495" i="3" s="1"/>
  <c r="T1381" i="3"/>
  <c r="T541" i="3" s="1"/>
  <c r="T1319" i="3"/>
  <c r="T479" i="3" s="1"/>
  <c r="T1202" i="3"/>
  <c r="T362" i="3" s="1"/>
  <c r="X1242" i="3"/>
  <c r="X402" i="3" s="1"/>
  <c r="X1276" i="3"/>
  <c r="X436" i="3" s="1"/>
  <c r="AF1233" i="3"/>
  <c r="AF393" i="3" s="1"/>
  <c r="AF1328" i="3"/>
  <c r="AF488" i="3" s="1"/>
  <c r="AF1252" i="3"/>
  <c r="AF412" i="3" s="1"/>
  <c r="AF1354" i="3"/>
  <c r="AF514" i="3" s="1"/>
  <c r="AF1353" i="3"/>
  <c r="AF513" i="3" s="1"/>
  <c r="AF1311" i="3"/>
  <c r="AF471" i="3" s="1"/>
  <c r="AF1219" i="3"/>
  <c r="AF379" i="3" s="1"/>
  <c r="AF1258" i="3"/>
  <c r="AF418" i="3" s="1"/>
  <c r="AF1194" i="3"/>
  <c r="AF354" i="3" s="1"/>
  <c r="AJ1296" i="3"/>
  <c r="AJ456" i="3" s="1"/>
  <c r="AG1228" i="3"/>
  <c r="AG388" i="3" s="1"/>
  <c r="AG1335" i="3"/>
  <c r="AG495" i="3" s="1"/>
  <c r="AG1271" i="3"/>
  <c r="AG431" i="3" s="1"/>
  <c r="AG1424" i="3"/>
  <c r="AG584" i="3" s="1"/>
  <c r="AG1314" i="3"/>
  <c r="AG474" i="3" s="1"/>
  <c r="AG1250" i="3"/>
  <c r="AG410" i="3" s="1"/>
  <c r="AK1304" i="3"/>
  <c r="AK464" i="3" s="1"/>
  <c r="AK1240" i="3"/>
  <c r="AK400" i="3" s="1"/>
  <c r="AK1347" i="3"/>
  <c r="AK507" i="3" s="1"/>
  <c r="AK1283" i="3"/>
  <c r="AK443" i="3" s="1"/>
  <c r="AK1219" i="3"/>
  <c r="AK379" i="3" s="1"/>
  <c r="AS1375" i="3"/>
  <c r="AS535" i="3" s="1"/>
  <c r="AS1319" i="3"/>
  <c r="AS479" i="3" s="1"/>
  <c r="AS1223" i="3"/>
  <c r="AS383" i="3" s="1"/>
  <c r="AS1350" i="3"/>
  <c r="AS510" i="3" s="1"/>
  <c r="AS1286" i="3"/>
  <c r="AS446" i="3" s="1"/>
  <c r="AS1222" i="3"/>
  <c r="AS382" i="3" s="1"/>
  <c r="AS1267" i="3"/>
  <c r="AS427" i="3" s="1"/>
  <c r="AW1349" i="3"/>
  <c r="AW509" i="3" s="1"/>
  <c r="AW1285" i="3"/>
  <c r="AW445" i="3" s="1"/>
  <c r="AW1221" i="3"/>
  <c r="AW381" i="3" s="1"/>
  <c r="AW1368" i="3"/>
  <c r="AW528" i="3" s="1"/>
  <c r="AW1300" i="3"/>
  <c r="AW460" i="3" s="1"/>
  <c r="AW1423" i="3"/>
  <c r="AW583" i="3" s="1"/>
  <c r="AW1315" i="3"/>
  <c r="AW475" i="3" s="1"/>
  <c r="AW1219" i="3"/>
  <c r="AW379" i="3" s="1"/>
  <c r="AW1326" i="3"/>
  <c r="AW486" i="3" s="1"/>
  <c r="AW1262" i="3"/>
  <c r="AW422" i="3" s="1"/>
  <c r="AW1198" i="3"/>
  <c r="AW358" i="3" s="1"/>
  <c r="AW1271" i="3"/>
  <c r="AW431" i="3" s="1"/>
  <c r="S1380" i="3"/>
  <c r="S540" i="3" s="1"/>
  <c r="S1304" i="3"/>
  <c r="S464" i="3" s="1"/>
  <c r="W1349" i="3"/>
  <c r="W509" i="3" s="1"/>
  <c r="W1336" i="3"/>
  <c r="W496" i="3" s="1"/>
  <c r="W1272" i="3"/>
  <c r="W432" i="3" s="1"/>
  <c r="W1379" i="3"/>
  <c r="W539" i="3" s="1"/>
  <c r="W1211" i="3"/>
  <c r="W371" i="3" s="1"/>
  <c r="W1306" i="3"/>
  <c r="W466" i="3" s="1"/>
  <c r="W1242" i="3"/>
  <c r="W402" i="3" s="1"/>
  <c r="W1195" i="3"/>
  <c r="W355" i="3" s="1"/>
  <c r="W1259" i="3"/>
  <c r="W419" i="3" s="1"/>
  <c r="AA1377" i="3"/>
  <c r="AA537" i="3" s="1"/>
  <c r="AA1340" i="3"/>
  <c r="AA500" i="3" s="1"/>
  <c r="AA1334" i="3"/>
  <c r="AA494" i="3" s="1"/>
  <c r="AE1381" i="3"/>
  <c r="AE541" i="3" s="1"/>
  <c r="AU1213" i="3"/>
  <c r="AU373" i="3" s="1"/>
  <c r="AU1344" i="3"/>
  <c r="AU504" i="3" s="1"/>
  <c r="AU1280" i="3"/>
  <c r="AU440" i="3" s="1"/>
  <c r="AU1216" i="3"/>
  <c r="AB1284" i="3"/>
  <c r="AB444" i="3" s="1"/>
  <c r="AB1326" i="3"/>
  <c r="AB486" i="3" s="1"/>
  <c r="AB1214" i="3"/>
  <c r="AB374" i="3" s="1"/>
  <c r="R1293" i="3"/>
  <c r="R453" i="3" s="1"/>
  <c r="R1376" i="3"/>
  <c r="R536" i="3" s="1"/>
  <c r="R1211" i="3"/>
  <c r="R371" i="3" s="1"/>
  <c r="V1257" i="3"/>
  <c r="V417" i="3" s="1"/>
  <c r="V1193" i="3"/>
  <c r="V353" i="3" s="1"/>
  <c r="V1232" i="3"/>
  <c r="V392" i="3" s="1"/>
  <c r="V1367" i="3"/>
  <c r="V527" i="3" s="1"/>
  <c r="V1271" i="3"/>
  <c r="V431" i="3" s="1"/>
  <c r="V1338" i="3"/>
  <c r="V498" i="3" s="1"/>
  <c r="V1285" i="3"/>
  <c r="V445" i="3" s="1"/>
  <c r="V1382" i="3"/>
  <c r="V542" i="3" s="1"/>
  <c r="V1210" i="3"/>
  <c r="V370" i="3" s="1"/>
  <c r="V1358" i="3"/>
  <c r="V518" i="3" s="1"/>
  <c r="Z1376" i="3"/>
  <c r="Z536" i="3" s="1"/>
  <c r="AD1424" i="3"/>
  <c r="AD584" i="3" s="1"/>
  <c r="AD1224" i="3"/>
  <c r="AD384" i="3" s="1"/>
  <c r="AD1300" i="3"/>
  <c r="AD460" i="3" s="1"/>
  <c r="AD1242" i="3"/>
  <c r="AD402" i="3" s="1"/>
  <c r="AD1259" i="3"/>
  <c r="AD419" i="3" s="1"/>
  <c r="AH1329" i="3"/>
  <c r="AH489" i="3" s="1"/>
  <c r="AH1304" i="3"/>
  <c r="AH464" i="3" s="1"/>
  <c r="AH1385" i="3"/>
  <c r="AH545" i="3" s="1"/>
  <c r="AH1227" i="3"/>
  <c r="AH387" i="3" s="1"/>
  <c r="AH1339" i="3"/>
  <c r="AH499" i="3" s="1"/>
  <c r="AH1305" i="3"/>
  <c r="AH465" i="3" s="1"/>
  <c r="AH1225" i="3"/>
  <c r="AH385" i="3" s="1"/>
  <c r="AH1378" i="3"/>
  <c r="AH538" i="3" s="1"/>
  <c r="AH1338" i="3"/>
  <c r="AH498" i="3" s="1"/>
  <c r="AH1240" i="3"/>
  <c r="AH400" i="3" s="1"/>
  <c r="AL1352" i="3"/>
  <c r="AL512" i="3" s="1"/>
  <c r="AL1257" i="3"/>
  <c r="AL417" i="3" s="1"/>
  <c r="AL1193" i="3"/>
  <c r="AL353" i="3" s="1"/>
  <c r="AL1248" i="3"/>
  <c r="AL408" i="3" s="1"/>
  <c r="AL1307" i="3"/>
  <c r="AL467" i="3" s="1"/>
  <c r="AL1294" i="3"/>
  <c r="AL454" i="3" s="1"/>
  <c r="AL1262" i="3"/>
  <c r="AL1198" i="3"/>
  <c r="AL358" i="3" s="1"/>
  <c r="AL1345" i="3"/>
  <c r="AL505" i="3" s="1"/>
  <c r="AL1296" i="3"/>
  <c r="AL456" i="3" s="1"/>
  <c r="AL1270" i="3"/>
  <c r="AL430" i="3" s="1"/>
  <c r="AL1316" i="3"/>
  <c r="AL476" i="3" s="1"/>
  <c r="AP1376" i="3"/>
  <c r="AP536" i="3" s="1"/>
  <c r="AP1292" i="3"/>
  <c r="AP452" i="3" s="1"/>
  <c r="AP1370" i="3"/>
  <c r="AP530" i="3" s="1"/>
  <c r="AP1419" i="3"/>
  <c r="AP579" i="3" s="1"/>
  <c r="AP1381" i="3"/>
  <c r="AP541" i="3" s="1"/>
  <c r="AP1228" i="3"/>
  <c r="AP388" i="3" s="1"/>
  <c r="AP1227" i="3"/>
  <c r="AP387" i="3" s="1"/>
  <c r="AP1307" i="3"/>
  <c r="AP467" i="3" s="1"/>
  <c r="AP1290" i="3"/>
  <c r="AP450" i="3" s="1"/>
  <c r="AP1279" i="3"/>
  <c r="AP439" i="3" s="1"/>
  <c r="AP1202" i="3"/>
  <c r="AP362" i="3" s="1"/>
  <c r="AT1421" i="3"/>
  <c r="AT581" i="3" s="1"/>
  <c r="AT1261" i="3"/>
  <c r="AT421" i="3" s="1"/>
  <c r="AT1197" i="3"/>
  <c r="AT357" i="3" s="1"/>
  <c r="AT1252" i="3"/>
  <c r="AT412" i="3" s="1"/>
  <c r="AT1320" i="3"/>
  <c r="AT480" i="3" s="1"/>
  <c r="AT1250" i="3"/>
  <c r="AT410" i="3" s="1"/>
  <c r="AT1251" i="3"/>
  <c r="AT411" i="3" s="1"/>
  <c r="AT1329" i="3"/>
  <c r="AT489" i="3" s="1"/>
  <c r="AT1304" i="3"/>
  <c r="AT464" i="3" s="1"/>
  <c r="AT1274" i="3"/>
  <c r="AT434" i="3" s="1"/>
  <c r="AT1227" i="3"/>
  <c r="AT387" i="3" s="1"/>
  <c r="AT1247" i="3"/>
  <c r="AT407" i="3" s="1"/>
  <c r="AX1301" i="3"/>
  <c r="AX461" i="3" s="1"/>
  <c r="AX1292" i="3"/>
  <c r="AX452" i="3" s="1"/>
  <c r="AX1377" i="3"/>
  <c r="AX537" i="3" s="1"/>
  <c r="AX1233" i="3"/>
  <c r="AX393" i="3" s="1"/>
  <c r="AX1240" i="3"/>
  <c r="AX400" i="3" s="1"/>
  <c r="AX1283" i="3"/>
  <c r="AX443" i="3" s="1"/>
  <c r="AX1250" i="3"/>
  <c r="AX410" i="3" s="1"/>
  <c r="P1293" i="3"/>
  <c r="P453" i="3" s="1"/>
  <c r="P1349" i="3"/>
  <c r="P509" i="3" s="1"/>
  <c r="P1328" i="3"/>
  <c r="P488" i="3" s="1"/>
  <c r="P1350" i="3"/>
  <c r="P510" i="3" s="1"/>
  <c r="P1302" i="3"/>
  <c r="P462" i="3" s="1"/>
  <c r="P1273" i="3"/>
  <c r="P433" i="3" s="1"/>
  <c r="P1378" i="3"/>
  <c r="P538" i="3" s="1"/>
  <c r="T1204" i="3"/>
  <c r="T364" i="3" s="1"/>
  <c r="T1291" i="3"/>
  <c r="T451" i="3" s="1"/>
  <c r="T1303" i="3"/>
  <c r="T463" i="3" s="1"/>
  <c r="T1301" i="3"/>
  <c r="T461" i="3" s="1"/>
  <c r="T1370" i="3"/>
  <c r="T530" i="3" s="1"/>
  <c r="T1211" i="3"/>
  <c r="T371" i="3" s="1"/>
  <c r="T1242" i="3"/>
  <c r="T402" i="3" s="1"/>
  <c r="X1340" i="3"/>
  <c r="X500" i="3" s="1"/>
  <c r="X1258" i="3"/>
  <c r="X418" i="3" s="1"/>
  <c r="X1194" i="3"/>
  <c r="X354" i="3" s="1"/>
  <c r="X1315" i="3"/>
  <c r="X475" i="3" s="1"/>
  <c r="X1367" i="3"/>
  <c r="X527" i="3" s="1"/>
  <c r="AF1293" i="3"/>
  <c r="AF453" i="3" s="1"/>
  <c r="AF1249" i="3"/>
  <c r="AF409" i="3" s="1"/>
  <c r="AF1356" i="3"/>
  <c r="AF516" i="3" s="1"/>
  <c r="AF1204" i="3"/>
  <c r="AF364" i="3" s="1"/>
  <c r="AF1370" i="3"/>
  <c r="AF530" i="3" s="1"/>
  <c r="AF1307" i="3"/>
  <c r="AF467" i="3" s="1"/>
  <c r="AF1280" i="3"/>
  <c r="AF440" i="3" s="1"/>
  <c r="AF1210" i="3"/>
  <c r="AF370" i="3" s="1"/>
  <c r="AJ1423" i="3"/>
  <c r="AJ583" i="3" s="1"/>
  <c r="AJ1379" i="3"/>
  <c r="AJ539" i="3" s="1"/>
  <c r="AK1357" i="3"/>
  <c r="AK517" i="3" s="1"/>
  <c r="AE1293" i="3"/>
  <c r="AE453" i="3" s="1"/>
  <c r="AE1229" i="3"/>
  <c r="AE389" i="3" s="1"/>
  <c r="AE1292" i="3"/>
  <c r="AE452" i="3" s="1"/>
  <c r="AE1228" i="3"/>
  <c r="AE388" i="3" s="1"/>
  <c r="AE1211" i="3"/>
  <c r="AE371" i="3" s="1"/>
  <c r="AE1350" i="3"/>
  <c r="AE510" i="3" s="1"/>
  <c r="AE1286" i="3"/>
  <c r="AE446" i="3" s="1"/>
  <c r="AE1222" i="3"/>
  <c r="AE382" i="3" s="1"/>
  <c r="AI1335" i="3"/>
  <c r="AI495" i="3" s="1"/>
  <c r="AI1271" i="3"/>
  <c r="AI431" i="3" s="1"/>
  <c r="AI1420" i="3"/>
  <c r="AI580" i="3" s="1"/>
  <c r="AI1324" i="3"/>
  <c r="AI484" i="3" s="1"/>
  <c r="AI1260" i="3"/>
  <c r="AI420" i="3" s="1"/>
  <c r="AI1423" i="3"/>
  <c r="AI583" i="3" s="1"/>
  <c r="AI1346" i="3"/>
  <c r="AI506" i="3" s="1"/>
  <c r="AI1282" i="3"/>
  <c r="AI442" i="3" s="1"/>
  <c r="AI1218" i="3"/>
  <c r="AI1194" i="3"/>
  <c r="AI354" i="3" s="1"/>
  <c r="AM1321" i="3"/>
  <c r="AM481" i="3" s="1"/>
  <c r="AM1257" i="3"/>
  <c r="AM417" i="3" s="1"/>
  <c r="AM1424" i="3"/>
  <c r="AM584" i="3" s="1"/>
  <c r="AM1360" i="3"/>
  <c r="AM520" i="3" s="1"/>
  <c r="AM1292" i="3"/>
  <c r="AM452" i="3" s="1"/>
  <c r="AM1228" i="3"/>
  <c r="AM388" i="3" s="1"/>
  <c r="AM1193" i="3"/>
  <c r="AM353" i="3" s="1"/>
  <c r="AM1379" i="3"/>
  <c r="AM539" i="3" s="1"/>
  <c r="AM1327" i="3"/>
  <c r="AM487" i="3" s="1"/>
  <c r="AF1242" i="3"/>
  <c r="AF402" i="3" s="1"/>
  <c r="AF1378" i="3"/>
  <c r="AF538" i="3" s="1"/>
  <c r="AJ1269" i="3"/>
  <c r="AJ429" i="3" s="1"/>
  <c r="AJ1281" i="3"/>
  <c r="AJ441" i="3" s="1"/>
  <c r="AJ1361" i="3"/>
  <c r="AJ521" i="3" s="1"/>
  <c r="AJ1335" i="3"/>
  <c r="AJ495" i="3" s="1"/>
  <c r="AJ1322" i="3"/>
  <c r="AJ482" i="3" s="1"/>
  <c r="AJ1195" i="3"/>
  <c r="AJ355" i="3" s="1"/>
  <c r="AJ1226" i="3"/>
  <c r="AJ386" i="3" s="1"/>
  <c r="AJ1282" i="3"/>
  <c r="AJ442" i="3" s="1"/>
  <c r="AN1329" i="3"/>
  <c r="AN489" i="3" s="1"/>
  <c r="AN1313" i="3"/>
  <c r="AN473" i="3" s="1"/>
  <c r="AN1215" i="3"/>
  <c r="AN1294" i="3"/>
  <c r="AN454" i="3" s="1"/>
  <c r="AN1222" i="3"/>
  <c r="AN382" i="3" s="1"/>
  <c r="AN1304" i="3"/>
  <c r="AN464" i="3" s="1"/>
  <c r="AN1369" i="3"/>
  <c r="AN529" i="3" s="1"/>
  <c r="AN1327" i="3"/>
  <c r="AN487" i="3" s="1"/>
  <c r="AN1252" i="3"/>
  <c r="AN412" i="3" s="1"/>
  <c r="AR1368" i="3"/>
  <c r="AR528" i="3" s="1"/>
  <c r="AR1284" i="3"/>
  <c r="AR444" i="3" s="1"/>
  <c r="AR1357" i="3"/>
  <c r="AR517" i="3" s="1"/>
  <c r="AR1339" i="3"/>
  <c r="AR499" i="3" s="1"/>
  <c r="AR1341" i="3"/>
  <c r="AR501" i="3" s="1"/>
  <c r="AR1327" i="3"/>
  <c r="AR487" i="3" s="1"/>
  <c r="AR1307" i="3"/>
  <c r="AR467" i="3" s="1"/>
  <c r="AR1378" i="3"/>
  <c r="AR538" i="3" s="1"/>
  <c r="AR1221" i="3"/>
  <c r="AR381" i="3" s="1"/>
  <c r="AR1250" i="3"/>
  <c r="AR410" i="3" s="1"/>
  <c r="AR1287" i="3"/>
  <c r="AR447" i="3" s="1"/>
  <c r="AV1309" i="3"/>
  <c r="AV469" i="3" s="1"/>
  <c r="AV1265" i="3"/>
  <c r="AV425" i="3" s="1"/>
  <c r="AV1201" i="3"/>
  <c r="AV361" i="3" s="1"/>
  <c r="AV1304" i="3"/>
  <c r="AV464" i="3" s="1"/>
  <c r="AV1336" i="3"/>
  <c r="AV496" i="3" s="1"/>
  <c r="AV1228" i="3"/>
  <c r="AV388" i="3" s="1"/>
  <c r="AV1247" i="3"/>
  <c r="AV407" i="3" s="1"/>
  <c r="AV1254" i="3"/>
  <c r="AV1330" i="3"/>
  <c r="AV490" i="3" s="1"/>
  <c r="Q1281" i="3"/>
  <c r="Q441" i="3" s="1"/>
  <c r="Q1308" i="3"/>
  <c r="Q468" i="3" s="1"/>
  <c r="Q1212" i="3"/>
  <c r="Q372" i="3" s="1"/>
  <c r="Q1356" i="3"/>
  <c r="Q516" i="3" s="1"/>
  <c r="Q1358" i="3"/>
  <c r="Q518" i="3" s="1"/>
  <c r="Q1339" i="3"/>
  <c r="Q499" i="3" s="1"/>
  <c r="Q1219" i="3"/>
  <c r="Q379" i="3" s="1"/>
  <c r="Q1294" i="3"/>
  <c r="Q454" i="3" s="1"/>
  <c r="Q1287" i="3"/>
  <c r="Q447" i="3" s="1"/>
  <c r="U1368" i="3"/>
  <c r="U528" i="3" s="1"/>
  <c r="U1309" i="3"/>
  <c r="U469" i="3" s="1"/>
  <c r="U1290" i="3"/>
  <c r="U450" i="3" s="1"/>
  <c r="U1226" i="3"/>
  <c r="U386" i="3" s="1"/>
  <c r="U1304" i="3"/>
  <c r="U464" i="3" s="1"/>
  <c r="U1224" i="3"/>
  <c r="U384" i="3" s="1"/>
  <c r="U1263" i="3"/>
  <c r="U423" i="3" s="1"/>
  <c r="Y1327" i="3"/>
  <c r="Y487" i="3" s="1"/>
  <c r="AC1345" i="3"/>
  <c r="AC505" i="3" s="1"/>
  <c r="AC1201" i="3"/>
  <c r="AC361" i="3" s="1"/>
  <c r="AC1300" i="3"/>
  <c r="AC460" i="3" s="1"/>
  <c r="AC1204" i="3"/>
  <c r="AC364" i="3" s="1"/>
  <c r="AC1291" i="3"/>
  <c r="AC451" i="3" s="1"/>
  <c r="AC1274" i="3"/>
  <c r="AC434" i="3" s="1"/>
  <c r="AC1210" i="3"/>
  <c r="AC370" i="3" s="1"/>
  <c r="AG1320" i="3"/>
  <c r="AG480" i="3" s="1"/>
  <c r="AG1256" i="3"/>
  <c r="AG1347" i="3"/>
  <c r="AG507" i="3" s="1"/>
  <c r="AG1283" i="3"/>
  <c r="AG443" i="3" s="1"/>
  <c r="AG1251" i="3"/>
  <c r="AG411" i="3" s="1"/>
  <c r="AG1294" i="3"/>
  <c r="AG454" i="3" s="1"/>
  <c r="AG1230" i="3"/>
  <c r="AG390" i="3" s="1"/>
  <c r="AK1368" i="3"/>
  <c r="AK528" i="3" s="1"/>
  <c r="AK1332" i="3"/>
  <c r="AK492" i="3" s="1"/>
  <c r="AK1268" i="3"/>
  <c r="AK428" i="3" s="1"/>
  <c r="AK1204" i="3"/>
  <c r="AK364" i="3" s="1"/>
  <c r="AK1311" i="3"/>
  <c r="AK471" i="3" s="1"/>
  <c r="AK1422" i="3"/>
  <c r="AK582" i="3" s="1"/>
  <c r="AK1369" i="3"/>
  <c r="AK529" i="3" s="1"/>
  <c r="AS1256" i="3"/>
  <c r="AS1343" i="3"/>
  <c r="AS503" i="3" s="1"/>
  <c r="AW1247" i="3"/>
  <c r="AW407" i="3" s="1"/>
  <c r="AW1306" i="3"/>
  <c r="AW466" i="3" s="1"/>
  <c r="AJ1221" i="3"/>
  <c r="AJ381" i="3" s="1"/>
  <c r="AJ1297" i="3"/>
  <c r="AJ457" i="3" s="1"/>
  <c r="AJ1255" i="3"/>
  <c r="AJ1328" i="3"/>
  <c r="AJ488" i="3" s="1"/>
  <c r="AJ1424" i="3"/>
  <c r="AJ584" i="3" s="1"/>
  <c r="AJ1354" i="3"/>
  <c r="AJ514" i="3" s="1"/>
  <c r="AJ1211" i="3"/>
  <c r="AJ371" i="3" s="1"/>
  <c r="AJ1242" i="3"/>
  <c r="AJ402" i="3" s="1"/>
  <c r="AJ1331" i="3"/>
  <c r="AJ491" i="3" s="1"/>
  <c r="AN1349" i="3"/>
  <c r="AN509" i="3" s="1"/>
  <c r="AN1233" i="3"/>
  <c r="AN393" i="3" s="1"/>
  <c r="AN1328" i="3"/>
  <c r="AN488" i="3" s="1"/>
  <c r="AN1381" i="3"/>
  <c r="AN541" i="3" s="1"/>
  <c r="AN1268" i="3"/>
  <c r="AN428" i="3" s="1"/>
  <c r="AN1231" i="3"/>
  <c r="AN391" i="3" s="1"/>
  <c r="AN1310" i="3"/>
  <c r="AN470" i="3" s="1"/>
  <c r="AN1321" i="3"/>
  <c r="AN481" i="3" s="1"/>
  <c r="AN1319" i="3"/>
  <c r="AN479" i="3" s="1"/>
  <c r="AN1240" i="3"/>
  <c r="AN400" i="3" s="1"/>
  <c r="AN1386" i="3"/>
  <c r="AN546" i="3" s="1"/>
  <c r="AN1232" i="3"/>
  <c r="AN392" i="3" s="1"/>
  <c r="AR1300" i="3"/>
  <c r="AR460" i="3" s="1"/>
  <c r="AR1224" i="3"/>
  <c r="AR384" i="3" s="1"/>
  <c r="AR1383" i="3"/>
  <c r="AR543" i="3" s="1"/>
  <c r="AR1380" i="3"/>
  <c r="AR540" i="3" s="1"/>
  <c r="AV1263" i="3"/>
  <c r="AV423" i="3" s="1"/>
  <c r="AV1199" i="3"/>
  <c r="AV359" i="3" s="1"/>
  <c r="AV1278" i="3"/>
  <c r="Q1345" i="3"/>
  <c r="Q505" i="3" s="1"/>
  <c r="Q1260" i="3"/>
  <c r="Q420" i="3" s="1"/>
  <c r="U1320" i="3"/>
  <c r="U480" i="3" s="1"/>
  <c r="U1240" i="3"/>
  <c r="U400" i="3" s="1"/>
  <c r="Y1281" i="3"/>
  <c r="Y441" i="3" s="1"/>
  <c r="AC1307" i="3"/>
  <c r="AC467" i="3" s="1"/>
  <c r="AS1336" i="3"/>
  <c r="AS496" i="3" s="1"/>
  <c r="AW1216" i="3"/>
  <c r="AW1295" i="3"/>
  <c r="AW455" i="3" s="1"/>
  <c r="S1302" i="3"/>
  <c r="S462" i="3" s="1"/>
  <c r="Y1274" i="3"/>
  <c r="Y434" i="3" s="1"/>
  <c r="AG1293" i="3"/>
  <c r="AG453" i="3" s="1"/>
  <c r="AG1229" i="3"/>
  <c r="AG389" i="3" s="1"/>
  <c r="AG1376" i="3"/>
  <c r="AG536" i="3" s="1"/>
  <c r="AG1304" i="3"/>
  <c r="AG464" i="3" s="1"/>
  <c r="AG1240" i="3"/>
  <c r="AG400" i="3" s="1"/>
  <c r="AG1331" i="3"/>
  <c r="AG491" i="3" s="1"/>
  <c r="AG1267" i="3"/>
  <c r="AG427" i="3" s="1"/>
  <c r="AO1423" i="3"/>
  <c r="AO583" i="3" s="1"/>
  <c r="AS1240" i="3"/>
  <c r="AS400" i="3" s="1"/>
  <c r="AS1381" i="3"/>
  <c r="AS541" i="3" s="1"/>
  <c r="AS1241" i="3"/>
  <c r="AS401" i="3" s="1"/>
  <c r="AS1259" i="3"/>
  <c r="AS419" i="3" s="1"/>
  <c r="AW1354" i="3"/>
  <c r="AW514" i="3" s="1"/>
  <c r="AW1290" i="3"/>
  <c r="AW450" i="3" s="1"/>
  <c r="AW1327" i="3"/>
  <c r="AW487" i="3" s="1"/>
  <c r="S1318" i="3"/>
  <c r="S478" i="3" s="1"/>
  <c r="S1222" i="3"/>
  <c r="S382" i="3" s="1"/>
  <c r="AA1288" i="3"/>
  <c r="AA448" i="3" s="1"/>
  <c r="AA1347" i="3"/>
  <c r="AA507" i="3" s="1"/>
  <c r="AA1359" i="3"/>
  <c r="AA519" i="3" s="1"/>
  <c r="AA1282" i="3"/>
  <c r="AA442" i="3" s="1"/>
  <c r="AA1203" i="3"/>
  <c r="AA363" i="3" s="1"/>
  <c r="AE1359" i="3"/>
  <c r="AE519" i="3" s="1"/>
  <c r="AE1273" i="3"/>
  <c r="AE433" i="3" s="1"/>
  <c r="AE1320" i="3"/>
  <c r="AE480" i="3" s="1"/>
  <c r="AE1256" i="3"/>
  <c r="AE1351" i="3"/>
  <c r="AE511" i="3" s="1"/>
  <c r="AE1287" i="3"/>
  <c r="AE447" i="3" s="1"/>
  <c r="AE1223" i="3"/>
  <c r="AE383" i="3" s="1"/>
  <c r="AE1330" i="3"/>
  <c r="AE490" i="3" s="1"/>
  <c r="AU1383" i="3"/>
  <c r="AU543" i="3" s="1"/>
  <c r="AB1252" i="3"/>
  <c r="AB412" i="3" s="1"/>
  <c r="AB1382" i="3"/>
  <c r="AB542" i="3" s="1"/>
  <c r="AH1232" i="3"/>
  <c r="AH392" i="3" s="1"/>
  <c r="AH1290" i="3"/>
  <c r="AH450" i="3" s="1"/>
  <c r="AX1279" i="3"/>
  <c r="AX439" i="3" s="1"/>
  <c r="P1213" i="3"/>
  <c r="P373" i="3" s="1"/>
  <c r="P1300" i="3"/>
  <c r="P460" i="3" s="1"/>
  <c r="P1362" i="3"/>
  <c r="P522" i="3" s="1"/>
  <c r="P1375" i="3"/>
  <c r="P535" i="3" s="1"/>
  <c r="P1282" i="3"/>
  <c r="P442" i="3" s="1"/>
  <c r="P1210" i="3"/>
  <c r="P370" i="3" s="1"/>
  <c r="P1275" i="3"/>
  <c r="P435" i="3" s="1"/>
  <c r="T1292" i="3"/>
  <c r="T452" i="3" s="1"/>
  <c r="T1281" i="3"/>
  <c r="T441" i="3" s="1"/>
  <c r="T1350" i="3"/>
  <c r="T510" i="3" s="1"/>
  <c r="X1345" i="3"/>
  <c r="X505" i="3" s="1"/>
  <c r="X1348" i="3"/>
  <c r="X508" i="3" s="1"/>
  <c r="X1377" i="3"/>
  <c r="X537" i="3" s="1"/>
  <c r="X1263" i="3"/>
  <c r="X423" i="3" s="1"/>
  <c r="X1310" i="3"/>
  <c r="X470" i="3" s="1"/>
  <c r="X1252" i="3"/>
  <c r="X412" i="3" s="1"/>
  <c r="X1335" i="3"/>
  <c r="X495" i="3" s="1"/>
  <c r="X1308" i="3"/>
  <c r="X468" i="3" s="1"/>
  <c r="X1299" i="3"/>
  <c r="X459" i="3" s="1"/>
  <c r="AF1197" i="3"/>
  <c r="AF357" i="3" s="1"/>
  <c r="AF1232" i="3"/>
  <c r="AF392" i="3" s="1"/>
  <c r="AF1350" i="3"/>
  <c r="AF510" i="3" s="1"/>
  <c r="AF1337" i="3"/>
  <c r="AF497" i="3" s="1"/>
  <c r="AJ1264" i="3"/>
  <c r="AJ424" i="3" s="1"/>
  <c r="AJ1200" i="3"/>
  <c r="AJ360" i="3" s="1"/>
  <c r="AJ1368" i="3"/>
  <c r="AJ528" i="3" s="1"/>
  <c r="AJ1265" i="3"/>
  <c r="AJ425" i="3" s="1"/>
  <c r="AJ1323" i="3"/>
  <c r="AJ483" i="3" s="1"/>
  <c r="AN1367" i="3"/>
  <c r="AN527" i="3" s="1"/>
  <c r="AR1204" i="3"/>
  <c r="AR364" i="3" s="1"/>
  <c r="AR1297" i="3"/>
  <c r="AR457" i="3" s="1"/>
  <c r="AR1275" i="3"/>
  <c r="AR435" i="3" s="1"/>
  <c r="AR1199" i="3"/>
  <c r="AR359" i="3" s="1"/>
  <c r="AR1230" i="3"/>
  <c r="AR390" i="3" s="1"/>
  <c r="AR1318" i="3"/>
  <c r="AR478" i="3" s="1"/>
  <c r="AV1276" i="3"/>
  <c r="AV436" i="3" s="1"/>
  <c r="Q1309" i="3"/>
  <c r="Q469" i="3" s="1"/>
  <c r="U1252" i="3"/>
  <c r="U412" i="3" s="1"/>
  <c r="Y1375" i="3"/>
  <c r="Y535" i="3" s="1"/>
  <c r="Y1370" i="3"/>
  <c r="Y530" i="3" s="1"/>
  <c r="Y1302" i="3"/>
  <c r="Y462" i="3" s="1"/>
  <c r="AK1195" i="3"/>
  <c r="AK355" i="3" s="1"/>
  <c r="AO1368" i="3"/>
  <c r="AO528" i="3" s="1"/>
  <c r="AO1321" i="3"/>
  <c r="AO481" i="3" s="1"/>
  <c r="AO1420" i="3"/>
  <c r="AO580" i="3" s="1"/>
  <c r="AS1220" i="3"/>
  <c r="AS380" i="3" s="1"/>
  <c r="AW1308" i="3"/>
  <c r="AW468" i="3" s="1"/>
  <c r="AA1348" i="3"/>
  <c r="AA508" i="3" s="1"/>
  <c r="AE1220" i="3"/>
  <c r="AE380" i="3" s="1"/>
  <c r="AE1198" i="3"/>
  <c r="AE358" i="3" s="1"/>
  <c r="AI1311" i="3"/>
  <c r="AI471" i="3" s="1"/>
  <c r="AI1247" i="3"/>
  <c r="AI407" i="3" s="1"/>
  <c r="AI1422" i="3"/>
  <c r="AI582" i="3" s="1"/>
  <c r="AI1285" i="3"/>
  <c r="AI445" i="3" s="1"/>
  <c r="AI1367" i="3"/>
  <c r="AI527" i="3" s="1"/>
  <c r="AI1332" i="3"/>
  <c r="AI492" i="3" s="1"/>
  <c r="AQ1317" i="3"/>
  <c r="AQ477" i="3" s="1"/>
  <c r="AQ1253" i="3"/>
  <c r="S1305" i="3"/>
  <c r="S465" i="3" s="1"/>
  <c r="W1249" i="3"/>
  <c r="W409" i="3" s="1"/>
  <c r="W1316" i="3"/>
  <c r="W476" i="3" s="1"/>
  <c r="W1220" i="3"/>
  <c r="W380" i="3" s="1"/>
  <c r="W1368" i="3"/>
  <c r="W528" i="3" s="1"/>
  <c r="W1382" i="3"/>
  <c r="W542" i="3" s="1"/>
  <c r="AA1289" i="3"/>
  <c r="AA449" i="3" s="1"/>
  <c r="AE1336" i="3"/>
  <c r="AE496" i="3" s="1"/>
  <c r="AE1303" i="3"/>
  <c r="AE463" i="3" s="1"/>
  <c r="AI1369" i="3"/>
  <c r="AI529" i="3" s="1"/>
  <c r="AI1305" i="3"/>
  <c r="AI465" i="3" s="1"/>
  <c r="AI1320" i="3"/>
  <c r="AI480" i="3" s="1"/>
  <c r="AI1278" i="3"/>
  <c r="AI1214" i="3"/>
  <c r="AI374" i="3" s="1"/>
  <c r="AM1317" i="3"/>
  <c r="AM477" i="3" s="1"/>
  <c r="AM1253" i="3"/>
  <c r="R1275" i="3"/>
  <c r="R435" i="3" s="1"/>
  <c r="R1359" i="3"/>
  <c r="R519" i="3" s="1"/>
  <c r="R1282" i="3"/>
  <c r="R442" i="3" s="1"/>
  <c r="V1334" i="3"/>
  <c r="V494" i="3" s="1"/>
  <c r="Z1361" i="3"/>
  <c r="Z521" i="3" s="1"/>
  <c r="Z1300" i="3"/>
  <c r="Z460" i="3" s="1"/>
  <c r="Z1249" i="3"/>
  <c r="Z409" i="3" s="1"/>
  <c r="Z1224" i="3"/>
  <c r="Z384" i="3" s="1"/>
  <c r="Z1325" i="3"/>
  <c r="Z485" i="3" s="1"/>
  <c r="Z1262" i="3"/>
  <c r="Z422" i="3" s="1"/>
  <c r="AD1275" i="3"/>
  <c r="AD435" i="3" s="1"/>
  <c r="AD1302" i="3"/>
  <c r="AD462" i="3" s="1"/>
  <c r="AD1358" i="3"/>
  <c r="AD518" i="3" s="1"/>
  <c r="AD1270" i="3"/>
  <c r="AD430" i="3" s="1"/>
  <c r="AL1228" i="3"/>
  <c r="AL388" i="3" s="1"/>
  <c r="AP1304" i="3"/>
  <c r="AP464" i="3" s="1"/>
  <c r="AP1367" i="3"/>
  <c r="AP527" i="3" s="1"/>
  <c r="AP1369" i="3"/>
  <c r="AP529" i="3" s="1"/>
  <c r="AP1265" i="3"/>
  <c r="AP425" i="3" s="1"/>
  <c r="AP1201" i="3"/>
  <c r="AP361" i="3" s="1"/>
  <c r="AP1276" i="3"/>
  <c r="AP436" i="3" s="1"/>
  <c r="AT1305" i="3"/>
  <c r="AT465" i="3" s="1"/>
  <c r="AT1225" i="3"/>
  <c r="AT385" i="3" s="1"/>
  <c r="AT1216" i="3"/>
  <c r="AT1369" i="3"/>
  <c r="AT529" i="3" s="1"/>
  <c r="AT1361" i="3"/>
  <c r="AT521" i="3" s="1"/>
  <c r="AT1230" i="3"/>
  <c r="AT390" i="3" s="1"/>
  <c r="AT1293" i="3"/>
  <c r="AT453" i="3" s="1"/>
  <c r="AT1284" i="3"/>
  <c r="AT444" i="3" s="1"/>
  <c r="AT1299" i="3"/>
  <c r="AT459" i="3" s="1"/>
  <c r="AT1302" i="3"/>
  <c r="AT462" i="3" s="1"/>
  <c r="AT1343" i="3"/>
  <c r="AT503" i="3" s="1"/>
  <c r="AX1345" i="3"/>
  <c r="AX505" i="3" s="1"/>
  <c r="AX1324" i="3"/>
  <c r="AX484" i="3" s="1"/>
  <c r="AX1369" i="3"/>
  <c r="AX529" i="3" s="1"/>
  <c r="AX1227" i="3"/>
  <c r="AX387" i="3" s="1"/>
  <c r="AX1252" i="3"/>
  <c r="AX412" i="3" s="1"/>
  <c r="P1261" i="3"/>
  <c r="P421" i="3" s="1"/>
  <c r="T1233" i="3"/>
  <c r="T393" i="3" s="1"/>
  <c r="T1286" i="3"/>
  <c r="T446" i="3" s="1"/>
  <c r="AR1369" i="3"/>
  <c r="AR529" i="3" s="1"/>
  <c r="AV1327" i="3"/>
  <c r="AV487" i="3" s="1"/>
  <c r="AV1250" i="3"/>
  <c r="AV410" i="3" s="1"/>
  <c r="Y1272" i="3"/>
  <c r="Y432" i="3" s="1"/>
  <c r="AC1270" i="3"/>
  <c r="AC430" i="3" s="1"/>
  <c r="AG1257" i="3"/>
  <c r="AG417" i="3" s="1"/>
  <c r="AG1204" i="3"/>
  <c r="AG364" i="3" s="1"/>
  <c r="AG1379" i="3"/>
  <c r="AG539" i="3" s="1"/>
  <c r="AG1295" i="3"/>
  <c r="AG455" i="3" s="1"/>
  <c r="AO1239" i="3"/>
  <c r="AO399" i="3" s="1"/>
  <c r="AO1250" i="3"/>
  <c r="AO410" i="3" s="1"/>
  <c r="AS1317" i="3"/>
  <c r="AS477" i="3" s="1"/>
  <c r="AS1253" i="3"/>
  <c r="AS1384" i="3"/>
  <c r="AS544" i="3" s="1"/>
  <c r="AS1386" i="3"/>
  <c r="AS546" i="3" s="1"/>
  <c r="AS1271" i="3"/>
  <c r="AS431" i="3" s="1"/>
  <c r="AS1199" i="3"/>
  <c r="AS359" i="3" s="1"/>
  <c r="AW1381" i="3"/>
  <c r="AW541" i="3" s="1"/>
  <c r="AW1319" i="3"/>
  <c r="AW479" i="3" s="1"/>
  <c r="AA1317" i="3"/>
  <c r="AA477" i="3" s="1"/>
  <c r="AM1303" i="3"/>
  <c r="AM463" i="3" s="1"/>
  <c r="AU1234" i="3"/>
  <c r="AU394" i="3" s="1"/>
  <c r="W1281" i="3"/>
  <c r="W441" i="3" s="1"/>
  <c r="W1348" i="3"/>
  <c r="W508" i="3" s="1"/>
  <c r="W1252" i="3"/>
  <c r="W412" i="3" s="1"/>
  <c r="AI1294" i="3"/>
  <c r="AI454" i="3" s="1"/>
  <c r="AI1230" i="3"/>
  <c r="AI390" i="3" s="1"/>
  <c r="AM1269" i="3"/>
  <c r="AM429" i="3" s="1"/>
  <c r="AM1304" i="3"/>
  <c r="AM464" i="3" s="1"/>
  <c r="AM1240" i="3"/>
  <c r="AM400" i="3" s="1"/>
  <c r="AM1361" i="3"/>
  <c r="AM521" i="3" s="1"/>
  <c r="AM1339" i="3"/>
  <c r="AM499" i="3" s="1"/>
  <c r="AM1275" i="3"/>
  <c r="AM435" i="3" s="1"/>
  <c r="AM1334" i="3"/>
  <c r="AM494" i="3" s="1"/>
  <c r="AM1247" i="3"/>
  <c r="AM407" i="3" s="1"/>
  <c r="AM1306" i="3"/>
  <c r="AM466" i="3" s="1"/>
  <c r="AQ1264" i="3"/>
  <c r="AQ424" i="3" s="1"/>
  <c r="AQ1193" i="3"/>
  <c r="AQ353" i="3" s="1"/>
  <c r="AQ1327" i="3"/>
  <c r="AQ487" i="3" s="1"/>
  <c r="AQ1222" i="3"/>
  <c r="AQ382" i="3" s="1"/>
  <c r="AQ1230" i="3"/>
  <c r="AQ390" i="3" s="1"/>
  <c r="R1361" i="3"/>
  <c r="R521" i="3" s="1"/>
  <c r="R1336" i="3"/>
  <c r="R496" i="3" s="1"/>
  <c r="Z1240" i="3"/>
  <c r="Z400" i="3" s="1"/>
  <c r="Z1334" i="3"/>
  <c r="Z494" i="3" s="1"/>
  <c r="Z1195" i="3"/>
  <c r="Z355" i="3" s="1"/>
  <c r="AD1273" i="3"/>
  <c r="AD433" i="3" s="1"/>
  <c r="AD1209" i="3"/>
  <c r="AD369" i="3" s="1"/>
  <c r="AD1252" i="3"/>
  <c r="AD412" i="3" s="1"/>
  <c r="AD1340" i="3"/>
  <c r="AD500" i="3" s="1"/>
  <c r="AD1283" i="3"/>
  <c r="AD443" i="3" s="1"/>
  <c r="AD1375" i="3"/>
  <c r="AD535" i="3" s="1"/>
  <c r="AH1321" i="3"/>
  <c r="AH481" i="3" s="1"/>
  <c r="AH1300" i="3"/>
  <c r="AH460" i="3" s="1"/>
  <c r="AH1331" i="3"/>
  <c r="AH491" i="3" s="1"/>
  <c r="AL1306" i="3"/>
  <c r="AL466" i="3" s="1"/>
  <c r="AL1382" i="3"/>
  <c r="AL542" i="3" s="1"/>
  <c r="AL1210" i="3"/>
  <c r="AL370" i="3" s="1"/>
  <c r="AL1337" i="3"/>
  <c r="AL497" i="3" s="1"/>
  <c r="AL1280" i="3"/>
  <c r="AL440" i="3" s="1"/>
  <c r="AL1340" i="3"/>
  <c r="AL500" i="3" s="1"/>
  <c r="AL1300" i="3"/>
  <c r="AL460" i="3" s="1"/>
  <c r="AP1349" i="3"/>
  <c r="AP509" i="3" s="1"/>
  <c r="AP1324" i="3"/>
  <c r="AP484" i="3" s="1"/>
  <c r="AP1346" i="3"/>
  <c r="AP506" i="3" s="1"/>
  <c r="AP1289" i="3"/>
  <c r="AP449" i="3" s="1"/>
  <c r="AP1217" i="3"/>
  <c r="AT1241" i="3"/>
  <c r="AT401" i="3" s="1"/>
  <c r="AX1213" i="3"/>
  <c r="AX373" i="3" s="1"/>
  <c r="AX1286" i="3"/>
  <c r="AX446" i="3" s="1"/>
  <c r="T1382" i="3"/>
  <c r="T542" i="3" s="1"/>
  <c r="AR1359" i="3"/>
  <c r="AR519" i="3" s="1"/>
  <c r="AV1305" i="3"/>
  <c r="AV465" i="3" s="1"/>
  <c r="AV1266" i="3"/>
  <c r="AV426" i="3" s="1"/>
  <c r="Q1299" i="3"/>
  <c r="Q459" i="3" s="1"/>
  <c r="Y1293" i="3"/>
  <c r="Y453" i="3" s="1"/>
  <c r="AG1284" i="3"/>
  <c r="AG444" i="3" s="1"/>
  <c r="AG1355" i="3"/>
  <c r="AG515" i="3" s="1"/>
  <c r="AK1289" i="3"/>
  <c r="AK449" i="3" s="1"/>
  <c r="AK1225" i="3"/>
  <c r="AK385" i="3" s="1"/>
  <c r="AO1319" i="3"/>
  <c r="AO479" i="3" s="1"/>
  <c r="AO1255" i="3"/>
  <c r="AO1266" i="3"/>
  <c r="AO426" i="3" s="1"/>
  <c r="AO1232" i="3"/>
  <c r="AO392" i="3" s="1"/>
  <c r="AS1303" i="3"/>
  <c r="AS463" i="3" s="1"/>
  <c r="AS1215" i="3"/>
  <c r="AS1342" i="3"/>
  <c r="AI1253" i="3"/>
  <c r="AU1317" i="3"/>
  <c r="AU477" i="3" s="1"/>
  <c r="S1335" i="3"/>
  <c r="S495" i="3" s="1"/>
  <c r="S1271" i="3"/>
  <c r="S431" i="3" s="1"/>
  <c r="AA1336" i="3"/>
  <c r="AA496" i="3" s="1"/>
  <c r="AE1377" i="3"/>
  <c r="AE537" i="3" s="1"/>
  <c r="AE1304" i="3"/>
  <c r="AE464" i="3" s="1"/>
  <c r="R1381" i="3"/>
  <c r="R541" i="3" s="1"/>
  <c r="V1260" i="3"/>
  <c r="V420" i="3" s="1"/>
  <c r="V1287" i="3"/>
  <c r="V447" i="3" s="1"/>
  <c r="V1274" i="3"/>
  <c r="V434" i="3" s="1"/>
  <c r="AD1272" i="3"/>
  <c r="AD432" i="3" s="1"/>
  <c r="AD1285" i="3"/>
  <c r="AD445" i="3" s="1"/>
  <c r="AH1369" i="3"/>
  <c r="AH529" i="3" s="1"/>
  <c r="AL1326" i="3"/>
  <c r="AL486" i="3" s="1"/>
  <c r="AL1344" i="3"/>
  <c r="AL504" i="3" s="1"/>
  <c r="AX1229" i="3"/>
  <c r="AX389" i="3" s="1"/>
  <c r="AX1334" i="3"/>
  <c r="AX494" i="3" s="1"/>
  <c r="AX1230" i="3"/>
  <c r="AX390" i="3" s="1"/>
  <c r="P1264" i="3"/>
  <c r="P424" i="3" s="1"/>
  <c r="T1327" i="3"/>
  <c r="T487" i="3" s="1"/>
  <c r="AN1290" i="3"/>
  <c r="AN450" i="3" s="1"/>
  <c r="AN1218" i="3"/>
  <c r="AN1300" i="3"/>
  <c r="AN460" i="3" s="1"/>
  <c r="AN1271" i="3"/>
  <c r="AN431" i="3" s="1"/>
  <c r="AR1420" i="3"/>
  <c r="AR580" i="3" s="1"/>
  <c r="AR1252" i="3"/>
  <c r="AR412" i="3" s="1"/>
  <c r="AR1281" i="3"/>
  <c r="AR441" i="3" s="1"/>
  <c r="AR1330" i="3"/>
  <c r="AR490" i="3" s="1"/>
  <c r="AR1328" i="3"/>
  <c r="AR488" i="3" s="1"/>
  <c r="AR1247" i="3"/>
  <c r="AR407" i="3" s="1"/>
  <c r="AR1290" i="3"/>
  <c r="AR450" i="3" s="1"/>
  <c r="AR1322" i="3"/>
  <c r="AR482" i="3" s="1"/>
  <c r="Q1376" i="3"/>
  <c r="Q536" i="3" s="1"/>
  <c r="Q1226" i="3"/>
  <c r="Q386" i="3" s="1"/>
  <c r="U1275" i="3"/>
  <c r="U435" i="3" s="1"/>
  <c r="Y1350" i="3"/>
  <c r="Y510" i="3" s="1"/>
  <c r="AC1421" i="3"/>
  <c r="AC581" i="3" s="1"/>
  <c r="AC1232" i="3"/>
  <c r="AC392" i="3" s="1"/>
  <c r="AC1319" i="3"/>
  <c r="AC479" i="3" s="1"/>
  <c r="AO1369" i="3"/>
  <c r="AO529" i="3" s="1"/>
  <c r="AO1419" i="3"/>
  <c r="AO579" i="3" s="1"/>
  <c r="AO1241" i="3"/>
  <c r="AO401" i="3" s="1"/>
  <c r="AO1348" i="3"/>
  <c r="AO508" i="3" s="1"/>
  <c r="AO1296" i="3"/>
  <c r="AO456" i="3" s="1"/>
  <c r="AO1320" i="3"/>
  <c r="AO480" i="3" s="1"/>
  <c r="AS1332" i="3"/>
  <c r="AS492" i="3" s="1"/>
  <c r="AW1228" i="3"/>
  <c r="AW388" i="3" s="1"/>
  <c r="AE1221" i="3"/>
  <c r="AE381" i="3" s="1"/>
  <c r="AE1268" i="3"/>
  <c r="AE428" i="3" s="1"/>
  <c r="AI1419" i="3"/>
  <c r="AI579" i="3" s="1"/>
  <c r="AI1252" i="3"/>
  <c r="AI412" i="3" s="1"/>
  <c r="AQ1301" i="3"/>
  <c r="AQ461" i="3" s="1"/>
  <c r="AQ1319" i="3"/>
  <c r="AQ479" i="3" s="1"/>
  <c r="AQ1314" i="3"/>
  <c r="AQ474" i="3" s="1"/>
  <c r="AU1269" i="3"/>
  <c r="AU429" i="3" s="1"/>
  <c r="R1203" i="3"/>
  <c r="R363" i="3" s="1"/>
  <c r="R1289" i="3"/>
  <c r="R449" i="3" s="1"/>
  <c r="R1224" i="3"/>
  <c r="R384" i="3" s="1"/>
  <c r="R1325" i="3"/>
  <c r="R485" i="3" s="1"/>
  <c r="R1318" i="3"/>
  <c r="R478" i="3" s="1"/>
  <c r="R1226" i="3"/>
  <c r="R386" i="3" s="1"/>
  <c r="V1348" i="3"/>
  <c r="V508" i="3" s="1"/>
  <c r="V1377" i="3"/>
  <c r="V537" i="3" s="1"/>
  <c r="V1201" i="3"/>
  <c r="V361" i="3" s="1"/>
  <c r="V1276" i="3"/>
  <c r="V436" i="3" s="1"/>
  <c r="AL1402" i="3"/>
  <c r="AL562" i="3" s="1"/>
  <c r="AL1318" i="3"/>
  <c r="AL478" i="3" s="1"/>
  <c r="AP1284" i="3"/>
  <c r="AP444" i="3" s="1"/>
  <c r="AP1258" i="3"/>
  <c r="AP418" i="3" s="1"/>
  <c r="AX1342" i="3"/>
  <c r="AX502" i="3" s="1"/>
  <c r="P1285" i="3"/>
  <c r="P445" i="3" s="1"/>
  <c r="P1257" i="3"/>
  <c r="P417" i="3" s="1"/>
  <c r="P1193" i="3"/>
  <c r="P353" i="3" s="1"/>
  <c r="P1334" i="3"/>
  <c r="P494" i="3" s="1"/>
  <c r="P1196" i="3"/>
  <c r="P356" i="3" s="1"/>
  <c r="P1410" i="3"/>
  <c r="P570" i="3" s="1"/>
  <c r="T1452" i="3"/>
  <c r="T612" i="3" s="1"/>
  <c r="T1336" i="3"/>
  <c r="T496" i="3" s="1"/>
  <c r="T1328" i="3"/>
  <c r="T488" i="3" s="1"/>
  <c r="T1309" i="3"/>
  <c r="T469" i="3" s="1"/>
  <c r="T1338" i="3"/>
  <c r="T498" i="3" s="1"/>
  <c r="T1430" i="3"/>
  <c r="T590" i="3" s="1"/>
  <c r="T61" i="3" s="1"/>
  <c r="X1389" i="3"/>
  <c r="X549" i="3" s="1"/>
  <c r="X1211" i="3"/>
  <c r="X371" i="3" s="1"/>
  <c r="X1250" i="3"/>
  <c r="X410" i="3" s="1"/>
  <c r="R1390" i="3"/>
  <c r="R550" i="3" s="1"/>
  <c r="R1377" i="3"/>
  <c r="R537" i="3" s="1"/>
  <c r="R1428" i="3"/>
  <c r="R588" i="3" s="1"/>
  <c r="R1283" i="3"/>
  <c r="R443" i="3" s="1"/>
  <c r="R1350" i="3"/>
  <c r="R510" i="3" s="1"/>
  <c r="R1242" i="3"/>
  <c r="R402" i="3" s="1"/>
  <c r="V1368" i="3"/>
  <c r="V528" i="3" s="1"/>
  <c r="V1401" i="3"/>
  <c r="V561" i="3" s="1"/>
  <c r="V1233" i="3"/>
  <c r="V393" i="3" s="1"/>
  <c r="V1400" i="3"/>
  <c r="V560" i="3" s="1"/>
  <c r="V1376" i="3"/>
  <c r="V536" i="3" s="1"/>
  <c r="V1450" i="3"/>
  <c r="V610" i="3" s="1"/>
  <c r="V1302" i="3"/>
  <c r="V462" i="3" s="1"/>
  <c r="V1427" i="3"/>
  <c r="V587" i="3" s="1"/>
  <c r="V1425" i="3"/>
  <c r="V585" i="3" s="1"/>
  <c r="V1456" i="3"/>
  <c r="V616" i="3" s="1"/>
  <c r="V1304" i="3"/>
  <c r="V464" i="3" s="1"/>
  <c r="Z1397" i="3"/>
  <c r="Z557" i="3" s="1"/>
  <c r="Z1396" i="3"/>
  <c r="Z556" i="3" s="1"/>
  <c r="Z1204" i="3"/>
  <c r="Z364" i="3" s="1"/>
  <c r="Z1358" i="3"/>
  <c r="Z518" i="3" s="1"/>
  <c r="AD1370" i="3"/>
  <c r="AD530" i="3" s="1"/>
  <c r="AD1187" i="3"/>
  <c r="AD347" i="3" s="1"/>
  <c r="AH1317" i="3"/>
  <c r="AH477" i="3" s="1"/>
  <c r="AH1267" i="3"/>
  <c r="AH427" i="3" s="1"/>
  <c r="AP1383" i="3"/>
  <c r="AP543" i="3" s="1"/>
  <c r="AP1313" i="3"/>
  <c r="AP473" i="3" s="1"/>
  <c r="AX1317" i="3"/>
  <c r="AX477" i="3" s="1"/>
  <c r="P1301" i="3"/>
  <c r="P461" i="3" s="1"/>
  <c r="P1358" i="3"/>
  <c r="P518" i="3" s="1"/>
  <c r="P1455" i="3"/>
  <c r="P615" i="3" s="1"/>
  <c r="AD1333" i="3"/>
  <c r="AD493" i="3" s="1"/>
  <c r="AD1420" i="3"/>
  <c r="AD580" i="3" s="1"/>
  <c r="AD1250" i="3"/>
  <c r="AD410" i="3" s="1"/>
  <c r="AD1347" i="3"/>
  <c r="AD507" i="3" s="1"/>
  <c r="AD1380" i="3"/>
  <c r="AD540" i="3" s="1"/>
  <c r="AH1337" i="3"/>
  <c r="AH497" i="3" s="1"/>
  <c r="AH1312" i="3"/>
  <c r="AH472" i="3" s="1"/>
  <c r="AH1412" i="3"/>
  <c r="AH572" i="3" s="1"/>
  <c r="AH1320" i="3"/>
  <c r="AH480" i="3" s="1"/>
  <c r="AH1219" i="3"/>
  <c r="AH379" i="3" s="1"/>
  <c r="AH1390" i="3"/>
  <c r="AH550" i="3" s="1"/>
  <c r="AH1188" i="3"/>
  <c r="AH348" i="3" s="1"/>
  <c r="AL1411" i="3"/>
  <c r="AL571" i="3" s="1"/>
  <c r="AL1377" i="3"/>
  <c r="AL537" i="3" s="1"/>
  <c r="AL1240" i="3"/>
  <c r="AL400" i="3" s="1"/>
  <c r="AL1415" i="3"/>
  <c r="AL575" i="3" s="1"/>
  <c r="AL1283" i="3"/>
  <c r="AL443" i="3" s="1"/>
  <c r="AL1286" i="3"/>
  <c r="AL446" i="3" s="1"/>
  <c r="AH1448" i="3"/>
  <c r="AH608" i="3" s="1"/>
  <c r="AL1249" i="3"/>
  <c r="AL409" i="3" s="1"/>
  <c r="AL1428" i="3"/>
  <c r="AL588" i="3" s="1"/>
  <c r="AL1430" i="3"/>
  <c r="AL590" i="3" s="1"/>
  <c r="AT1189" i="3"/>
  <c r="AT349" i="3" s="1"/>
  <c r="X1369" i="3"/>
  <c r="X529" i="3" s="1"/>
  <c r="X1248" i="3"/>
  <c r="X408" i="3" s="1"/>
  <c r="X1355" i="3"/>
  <c r="X515" i="3" s="1"/>
  <c r="X1338" i="3"/>
  <c r="X498" i="3" s="1"/>
  <c r="AF1424" i="3"/>
  <c r="AF584" i="3" s="1"/>
  <c r="AF1341" i="3"/>
  <c r="AF501" i="3" s="1"/>
  <c r="AF1225" i="3"/>
  <c r="AF385" i="3" s="1"/>
  <c r="AF1397" i="3"/>
  <c r="AF557" i="3" s="1"/>
  <c r="AF1260" i="3"/>
  <c r="AF420" i="3" s="1"/>
  <c r="AF1196" i="3"/>
  <c r="AF356" i="3" s="1"/>
  <c r="AF1327" i="3"/>
  <c r="AF487" i="3" s="1"/>
  <c r="AF1367" i="3"/>
  <c r="AF527" i="3" s="1"/>
  <c r="AF1288" i="3"/>
  <c r="AF448" i="3" s="1"/>
  <c r="AF1406" i="3"/>
  <c r="AF566" i="3" s="1"/>
  <c r="AF1250" i="3"/>
  <c r="AF410" i="3" s="1"/>
  <c r="AN1428" i="3"/>
  <c r="AN588" i="3" s="1"/>
  <c r="AR1323" i="3"/>
  <c r="AR483" i="3" s="1"/>
  <c r="AR1329" i="3"/>
  <c r="AR489" i="3" s="1"/>
  <c r="AR1414" i="3"/>
  <c r="AR574" i="3" s="1"/>
  <c r="AR1226" i="3"/>
  <c r="AR386" i="3" s="1"/>
  <c r="AR1302" i="3"/>
  <c r="AR462" i="3" s="1"/>
  <c r="AR1311" i="3"/>
  <c r="AR471" i="3" s="1"/>
  <c r="AV1385" i="3"/>
  <c r="AV545" i="3" s="1"/>
  <c r="AV1424" i="3"/>
  <c r="AV584" i="3" s="1"/>
  <c r="AV1341" i="3"/>
  <c r="AV501" i="3" s="1"/>
  <c r="AV1225" i="3"/>
  <c r="AV385" i="3" s="1"/>
  <c r="AV1353" i="3"/>
  <c r="AV513" i="3" s="1"/>
  <c r="AV1347" i="3"/>
  <c r="AV507" i="3" s="1"/>
  <c r="AV1423" i="3"/>
  <c r="AV583" i="3" s="1"/>
  <c r="AV1239" i="3"/>
  <c r="AV399" i="3" s="1"/>
  <c r="AV1273" i="3"/>
  <c r="AV433" i="3" s="1"/>
  <c r="AV1351" i="3"/>
  <c r="AV511" i="3" s="1"/>
  <c r="AV1390" i="3"/>
  <c r="AV550" i="3" s="1"/>
  <c r="Q1305" i="3"/>
  <c r="Q465" i="3" s="1"/>
  <c r="Q1241" i="3"/>
  <c r="Q401" i="3" s="1"/>
  <c r="Q1348" i="3"/>
  <c r="Q508" i="3" s="1"/>
  <c r="Q1252" i="3"/>
  <c r="Q412" i="3" s="1"/>
  <c r="Q1411" i="3"/>
  <c r="Q571" i="3" s="1"/>
  <c r="Q1359" i="3"/>
  <c r="Q519" i="3" s="1"/>
  <c r="Q1398" i="3"/>
  <c r="Q558" i="3" s="1"/>
  <c r="Q1211" i="3"/>
  <c r="Q371" i="3" s="1"/>
  <c r="Q1334" i="3"/>
  <c r="Q494" i="3" s="1"/>
  <c r="U1282" i="3"/>
  <c r="U442" i="3" s="1"/>
  <c r="U1411" i="3"/>
  <c r="U571" i="3" s="1"/>
  <c r="U1232" i="3"/>
  <c r="U392" i="3" s="1"/>
  <c r="U1303" i="3"/>
  <c r="U463" i="3" s="1"/>
  <c r="U1223" i="3"/>
  <c r="U383" i="3" s="1"/>
  <c r="Y1337" i="3"/>
  <c r="Y497" i="3" s="1"/>
  <c r="Y1257" i="3"/>
  <c r="Y417" i="3" s="1"/>
  <c r="Y1348" i="3"/>
  <c r="Y508" i="3" s="1"/>
  <c r="Y1252" i="3"/>
  <c r="Y412" i="3" s="1"/>
  <c r="Y1359" i="3"/>
  <c r="Y519" i="3" s="1"/>
  <c r="Y1303" i="3"/>
  <c r="Y463" i="3" s="1"/>
  <c r="Y1223" i="3"/>
  <c r="Y383" i="3" s="1"/>
  <c r="Y1250" i="3"/>
  <c r="Y410" i="3" s="1"/>
  <c r="Y1399" i="3"/>
  <c r="Y559" i="3" s="1"/>
  <c r="AC1337" i="3"/>
  <c r="AC497" i="3" s="1"/>
  <c r="AC1257" i="3"/>
  <c r="AC417" i="3" s="1"/>
  <c r="AC1357" i="3"/>
  <c r="AC517" i="3" s="1"/>
  <c r="AC1428" i="3"/>
  <c r="AC588" i="3" s="1"/>
  <c r="AC1251" i="3"/>
  <c r="AC411" i="3" s="1"/>
  <c r="AC1442" i="3"/>
  <c r="AC602" i="3" s="1"/>
  <c r="S1432" i="3"/>
  <c r="S592" i="3" s="1"/>
  <c r="X1448" i="3"/>
  <c r="X608" i="3" s="1"/>
  <c r="X1264" i="3"/>
  <c r="X424" i="3" s="1"/>
  <c r="X1362" i="3"/>
  <c r="X522" i="3" s="1"/>
  <c r="X1300" i="3"/>
  <c r="X460" i="3" s="1"/>
  <c r="AF1409" i="3"/>
  <c r="AF569" i="3" s="1"/>
  <c r="AF1285" i="3"/>
  <c r="AF445" i="3" s="1"/>
  <c r="AF1241" i="3"/>
  <c r="AF401" i="3" s="1"/>
  <c r="AF1344" i="3"/>
  <c r="AF504" i="3" s="1"/>
  <c r="AF1420" i="3"/>
  <c r="AF580" i="3" s="1"/>
  <c r="AF1212" i="3"/>
  <c r="AF372" i="3" s="1"/>
  <c r="AF1273" i="3"/>
  <c r="AF433" i="3" s="1"/>
  <c r="AF1304" i="3"/>
  <c r="AF464" i="3" s="1"/>
  <c r="AF1259" i="3"/>
  <c r="AF419" i="3" s="1"/>
  <c r="AF1195" i="3"/>
  <c r="AF355" i="3" s="1"/>
  <c r="AR1255" i="3"/>
  <c r="AR1279" i="3"/>
  <c r="AR439" i="3" s="1"/>
  <c r="AV1409" i="3"/>
  <c r="AV569" i="3" s="1"/>
  <c r="AV1285" i="3"/>
  <c r="AV445" i="3" s="1"/>
  <c r="AV1241" i="3"/>
  <c r="AV401" i="3" s="1"/>
  <c r="AV1252" i="3"/>
  <c r="AV412" i="3" s="1"/>
  <c r="AV1188" i="3"/>
  <c r="AV348" i="3" s="1"/>
  <c r="AV1255" i="3"/>
  <c r="AV1191" i="3"/>
  <c r="AV351" i="3" s="1"/>
  <c r="AV1262" i="3"/>
  <c r="AV422" i="3" s="1"/>
  <c r="AV1198" i="3"/>
  <c r="AV358" i="3" s="1"/>
  <c r="AV1346" i="3"/>
  <c r="AV506" i="3" s="1"/>
  <c r="Q1337" i="3"/>
  <c r="Q497" i="3" s="1"/>
  <c r="Q1257" i="3"/>
  <c r="Q417" i="3" s="1"/>
  <c r="Q1448" i="3"/>
  <c r="Q608" i="3" s="1"/>
  <c r="Q1412" i="3"/>
  <c r="Q572" i="3" s="1"/>
  <c r="Q1284" i="3"/>
  <c r="Q444" i="3" s="1"/>
  <c r="Q1188" i="3"/>
  <c r="Q348" i="3" s="1"/>
  <c r="Q1367" i="3"/>
  <c r="Q527" i="3" s="1"/>
  <c r="Q1378" i="3"/>
  <c r="Q538" i="3" s="1"/>
  <c r="Q1259" i="3"/>
  <c r="Q419" i="3" s="1"/>
  <c r="Q1350" i="3"/>
  <c r="Q510" i="3" s="1"/>
  <c r="Q1286" i="3"/>
  <c r="Q446" i="3" s="1"/>
  <c r="U1379" i="3"/>
  <c r="U539" i="3" s="1"/>
  <c r="U1301" i="3"/>
  <c r="U461" i="3" s="1"/>
  <c r="U1189" i="3"/>
  <c r="U349" i="3" s="1"/>
  <c r="U1346" i="3"/>
  <c r="U506" i="3" s="1"/>
  <c r="U1202" i="3"/>
  <c r="U362" i="3" s="1"/>
  <c r="U1248" i="3"/>
  <c r="U408" i="3" s="1"/>
  <c r="U1319" i="3"/>
  <c r="U479" i="3" s="1"/>
  <c r="U1430" i="3"/>
  <c r="U590" i="3" s="1"/>
  <c r="Y1437" i="3"/>
  <c r="Y597" i="3" s="1"/>
  <c r="Y1447" i="3"/>
  <c r="Y607" i="3" s="1"/>
  <c r="Y1401" i="3"/>
  <c r="Y561" i="3" s="1"/>
  <c r="Y1273" i="3"/>
  <c r="Y433" i="3" s="1"/>
  <c r="Y1209" i="3"/>
  <c r="Y369" i="3" s="1"/>
  <c r="Y1284" i="3"/>
  <c r="Y444" i="3" s="1"/>
  <c r="Y1188" i="3"/>
  <c r="Y348" i="3" s="1"/>
  <c r="Y1319" i="3"/>
  <c r="Y479" i="3" s="1"/>
  <c r="Y1239" i="3"/>
  <c r="Y399" i="3" s="1"/>
  <c r="Y1430" i="3"/>
  <c r="Y590" i="3" s="1"/>
  <c r="Y1282" i="3"/>
  <c r="Y442" i="3" s="1"/>
  <c r="Y1186" i="3"/>
  <c r="Y346" i="3" s="1"/>
  <c r="AC1381" i="3"/>
  <c r="AC541" i="3" s="1"/>
  <c r="AC1273" i="3"/>
  <c r="AC433" i="3" s="1"/>
  <c r="AC1209" i="3"/>
  <c r="AC369" i="3" s="1"/>
  <c r="AC1340" i="3"/>
  <c r="AC500" i="3" s="1"/>
  <c r="AC1260" i="3"/>
  <c r="AC420" i="3" s="1"/>
  <c r="AC1378" i="3"/>
  <c r="AC538" i="3" s="1"/>
  <c r="AC1299" i="3"/>
  <c r="AC459" i="3" s="1"/>
  <c r="AC1395" i="3"/>
  <c r="AC555" i="3" s="1"/>
  <c r="AC1399" i="3"/>
  <c r="AC559" i="3" s="1"/>
  <c r="AC1368" i="3"/>
  <c r="AC528" i="3" s="1"/>
  <c r="AC1187" i="3"/>
  <c r="AC347" i="3" s="1"/>
  <c r="AC1250" i="3"/>
  <c r="AC410" i="3" s="1"/>
  <c r="AK1377" i="3"/>
  <c r="AK537" i="3" s="1"/>
  <c r="AO1386" i="3"/>
  <c r="AO546" i="3" s="1"/>
  <c r="AO1310" i="3"/>
  <c r="AO470" i="3" s="1"/>
  <c r="AO1357" i="3"/>
  <c r="AO517" i="3" s="1"/>
  <c r="AO1380" i="3"/>
  <c r="AO540" i="3" s="1"/>
  <c r="AO1333" i="3"/>
  <c r="AO493" i="3" s="1"/>
  <c r="AO1269" i="3"/>
  <c r="AO429" i="3" s="1"/>
  <c r="AO1204" i="3"/>
  <c r="AO364" i="3" s="1"/>
  <c r="AF1321" i="3"/>
  <c r="AF481" i="3" s="1"/>
  <c r="Q1438" i="3"/>
  <c r="Q598" i="3" s="1"/>
  <c r="AC1431" i="3"/>
  <c r="AC591" i="3" s="1"/>
  <c r="AO1268" i="3"/>
  <c r="AO428" i="3" s="1"/>
  <c r="AS1403" i="3"/>
  <c r="AS563" i="3" s="1"/>
  <c r="AS1307" i="3"/>
  <c r="AS467" i="3" s="1"/>
  <c r="AW1225" i="3"/>
  <c r="AW385" i="3" s="1"/>
  <c r="S1401" i="3"/>
  <c r="S561" i="3" s="1"/>
  <c r="S1326" i="3"/>
  <c r="S486" i="3" s="1"/>
  <c r="S1345" i="3"/>
  <c r="S505" i="3" s="1"/>
  <c r="S1249" i="3"/>
  <c r="S409" i="3" s="1"/>
  <c r="S1359" i="3"/>
  <c r="S519" i="3" s="1"/>
  <c r="S1231" i="3"/>
  <c r="S391" i="3" s="1"/>
  <c r="S1368" i="3"/>
  <c r="S528" i="3" s="1"/>
  <c r="S1284" i="3"/>
  <c r="S444" i="3" s="1"/>
  <c r="S1232" i="3"/>
  <c r="S392" i="3" s="1"/>
  <c r="W1409" i="3"/>
  <c r="W569" i="3" s="1"/>
  <c r="W1369" i="3"/>
  <c r="W529" i="3" s="1"/>
  <c r="W1273" i="3"/>
  <c r="W433" i="3" s="1"/>
  <c r="W1396" i="3"/>
  <c r="W556" i="3" s="1"/>
  <c r="W1276" i="3"/>
  <c r="W436" i="3" s="1"/>
  <c r="W1212" i="3"/>
  <c r="W372" i="3" s="1"/>
  <c r="W1387" i="3"/>
  <c r="W547" i="3" s="1"/>
  <c r="W1376" i="3"/>
  <c r="W536" i="3" s="1"/>
  <c r="W1271" i="3"/>
  <c r="W431" i="3" s="1"/>
  <c r="W1231" i="3"/>
  <c r="W391" i="3" s="1"/>
  <c r="AA1281" i="3"/>
  <c r="AA441" i="3" s="1"/>
  <c r="AA1248" i="3"/>
  <c r="AA408" i="3" s="1"/>
  <c r="AA1407" i="3"/>
  <c r="AA567" i="3" s="1"/>
  <c r="AA1399" i="3"/>
  <c r="AA559" i="3" s="1"/>
  <c r="AA1275" i="3"/>
  <c r="AA435" i="3" s="1"/>
  <c r="AA1408" i="3"/>
  <c r="AA568" i="3" s="1"/>
  <c r="AA1242" i="3"/>
  <c r="AA402" i="3" s="1"/>
  <c r="AE1404" i="3"/>
  <c r="AE564" i="3" s="1"/>
  <c r="AE1345" i="3"/>
  <c r="AE505" i="3" s="1"/>
  <c r="AE1313" i="3"/>
  <c r="AE473" i="3" s="1"/>
  <c r="AE1281" i="3"/>
  <c r="AE441" i="3" s="1"/>
  <c r="AE1217" i="3"/>
  <c r="AE1344" i="3"/>
  <c r="AE504" i="3" s="1"/>
  <c r="AE1216" i="3"/>
  <c r="AE1327" i="3"/>
  <c r="AE487" i="3" s="1"/>
  <c r="AE1263" i="3"/>
  <c r="AE423" i="3" s="1"/>
  <c r="AE1338" i="3"/>
  <c r="AE498" i="3" s="1"/>
  <c r="AE1274" i="3"/>
  <c r="AE434" i="3" s="1"/>
  <c r="AE1210" i="3"/>
  <c r="AE370" i="3" s="1"/>
  <c r="AI1404" i="3"/>
  <c r="AI564" i="3" s="1"/>
  <c r="AI1323" i="3"/>
  <c r="AI483" i="3" s="1"/>
  <c r="AI1259" i="3"/>
  <c r="AI419" i="3" s="1"/>
  <c r="AI1195" i="3"/>
  <c r="AI355" i="3" s="1"/>
  <c r="AI1329" i="3"/>
  <c r="AI489" i="3" s="1"/>
  <c r="AI1297" i="3"/>
  <c r="AI457" i="3" s="1"/>
  <c r="AI1265" i="3"/>
  <c r="AI425" i="3" s="1"/>
  <c r="AI1233" i="3"/>
  <c r="AI393" i="3" s="1"/>
  <c r="AI1417" i="3"/>
  <c r="AI577" i="3" s="1"/>
  <c r="AI1264" i="3"/>
  <c r="AI424" i="3" s="1"/>
  <c r="AI1232" i="3"/>
  <c r="AI392" i="3" s="1"/>
  <c r="AI1382" i="3"/>
  <c r="AI542" i="3" s="1"/>
  <c r="AI1318" i="3"/>
  <c r="AI478" i="3" s="1"/>
  <c r="AI1254" i="3"/>
  <c r="AI1379" i="3"/>
  <c r="AI539" i="3" s="1"/>
  <c r="AM1325" i="3"/>
  <c r="AM485" i="3" s="1"/>
  <c r="AM1261" i="3"/>
  <c r="AM421" i="3" s="1"/>
  <c r="AM1380" i="3"/>
  <c r="AM540" i="3" s="1"/>
  <c r="AM1312" i="3"/>
  <c r="AM472" i="3" s="1"/>
  <c r="AM1248" i="3"/>
  <c r="AM408" i="3" s="1"/>
  <c r="AM1423" i="3"/>
  <c r="AM583" i="3" s="1"/>
  <c r="AM1385" i="3"/>
  <c r="AM545" i="3" s="1"/>
  <c r="AM1362" i="3"/>
  <c r="AM522" i="3" s="1"/>
  <c r="AM1299" i="3"/>
  <c r="AM459" i="3" s="1"/>
  <c r="AM1355" i="3"/>
  <c r="AM515" i="3" s="1"/>
  <c r="AM1239" i="3"/>
  <c r="AM399" i="3" s="1"/>
  <c r="AM1286" i="3"/>
  <c r="AM446" i="3" s="1"/>
  <c r="AM1330" i="3"/>
  <c r="AM490" i="3" s="1"/>
  <c r="AQ1411" i="3"/>
  <c r="AQ571" i="3" s="1"/>
  <c r="AQ1352" i="3"/>
  <c r="AQ512" i="3" s="1"/>
  <c r="AQ1288" i="3"/>
  <c r="AQ448" i="3" s="1"/>
  <c r="AQ1224" i="3"/>
  <c r="AQ384" i="3" s="1"/>
  <c r="AQ1297" i="3"/>
  <c r="AQ457" i="3" s="1"/>
  <c r="AQ1233" i="3"/>
  <c r="AQ393" i="3" s="1"/>
  <c r="AQ1396" i="3"/>
  <c r="AQ556" i="3" s="1"/>
  <c r="AU1307" i="3"/>
  <c r="AU467" i="3" s="1"/>
  <c r="AU1358" i="3"/>
  <c r="AU518" i="3" s="1"/>
  <c r="AU1294" i="3"/>
  <c r="AU454" i="3" s="1"/>
  <c r="AU1230" i="3"/>
  <c r="AU390" i="3" s="1"/>
  <c r="AU1313" i="3"/>
  <c r="AU473" i="3" s="1"/>
  <c r="AU1249" i="3"/>
  <c r="AU409" i="3" s="1"/>
  <c r="AU1316" i="3"/>
  <c r="AU476" i="3" s="1"/>
  <c r="AU1252" i="3"/>
  <c r="AU412" i="3" s="1"/>
  <c r="AU1188" i="3"/>
  <c r="AU348" i="3" s="1"/>
  <c r="AU1385" i="3"/>
  <c r="AU545" i="3" s="1"/>
  <c r="AU1404" i="3"/>
  <c r="AU564" i="3" s="1"/>
  <c r="AU1187" i="3"/>
  <c r="AU347" i="3" s="1"/>
  <c r="AB1335" i="3"/>
  <c r="AB495" i="3" s="1"/>
  <c r="AB1327" i="3"/>
  <c r="AB487" i="3" s="1"/>
  <c r="AB1390" i="3"/>
  <c r="AB550" i="3" s="1"/>
  <c r="AB1251" i="3"/>
  <c r="AB411" i="3" s="1"/>
  <c r="AB1219" i="3"/>
  <c r="AB379" i="3" s="1"/>
  <c r="AW1360" i="3"/>
  <c r="AW520" i="3" s="1"/>
  <c r="S1448" i="3"/>
  <c r="S608" i="3" s="1"/>
  <c r="S1396" i="3"/>
  <c r="S556" i="3" s="1"/>
  <c r="S1398" i="3"/>
  <c r="S558" i="3" s="1"/>
  <c r="S1201" i="3"/>
  <c r="S361" i="3" s="1"/>
  <c r="S1247" i="3"/>
  <c r="S407" i="3" s="1"/>
  <c r="S1402" i="3"/>
  <c r="S562" i="3" s="1"/>
  <c r="S1320" i="3"/>
  <c r="S480" i="3" s="1"/>
  <c r="S1362" i="3"/>
  <c r="S522" i="3" s="1"/>
  <c r="S1414" i="3"/>
  <c r="S574" i="3" s="1"/>
  <c r="W1411" i="3"/>
  <c r="W571" i="3" s="1"/>
  <c r="W1289" i="3"/>
  <c r="W449" i="3" s="1"/>
  <c r="W1225" i="3"/>
  <c r="W385" i="3" s="1"/>
  <c r="W1430" i="3"/>
  <c r="W590" i="3" s="1"/>
  <c r="W1446" i="3"/>
  <c r="W606" i="3" s="1"/>
  <c r="AA1397" i="3"/>
  <c r="AA557" i="3" s="1"/>
  <c r="AA1449" i="3"/>
  <c r="AA609" i="3" s="1"/>
  <c r="AA1388" i="3"/>
  <c r="AA548" i="3" s="1"/>
  <c r="AA1291" i="3"/>
  <c r="AA451" i="3" s="1"/>
  <c r="AA1439" i="3"/>
  <c r="AA599" i="3" s="1"/>
  <c r="AE1368" i="3"/>
  <c r="AE528" i="3" s="1"/>
  <c r="AE1385" i="3"/>
  <c r="AE545" i="3" s="1"/>
  <c r="AE1367" i="3"/>
  <c r="AE527" i="3" s="1"/>
  <c r="AE1417" i="3"/>
  <c r="AE577" i="3" s="1"/>
  <c r="AE1297" i="3"/>
  <c r="AE457" i="3" s="1"/>
  <c r="AE1233" i="3"/>
  <c r="AE393" i="3" s="1"/>
  <c r="AE1416" i="3"/>
  <c r="AE576" i="3" s="1"/>
  <c r="AE1328" i="3"/>
  <c r="AE488" i="3" s="1"/>
  <c r="AE1296" i="3"/>
  <c r="AE456" i="3" s="1"/>
  <c r="AE1232" i="3"/>
  <c r="AE392" i="3" s="1"/>
  <c r="AE1343" i="3"/>
  <c r="AE503" i="3" s="1"/>
  <c r="AE1279" i="3"/>
  <c r="AE439" i="3" s="1"/>
  <c r="AE1215" i="3"/>
  <c r="AE1354" i="3"/>
  <c r="AE514" i="3" s="1"/>
  <c r="AE1290" i="3"/>
  <c r="AE450" i="3" s="1"/>
  <c r="AE1226" i="3"/>
  <c r="AE386" i="3" s="1"/>
  <c r="AE1454" i="3"/>
  <c r="AE614" i="3" s="1"/>
  <c r="AI1400" i="3"/>
  <c r="AI560" i="3" s="1"/>
  <c r="AI1192" i="3"/>
  <c r="AI352" i="3" s="1"/>
  <c r="AI1339" i="3"/>
  <c r="AI499" i="3" s="1"/>
  <c r="AI1275" i="3"/>
  <c r="AI435" i="3" s="1"/>
  <c r="AI1211" i="3"/>
  <c r="AI371" i="3" s="1"/>
  <c r="AI1377" i="3"/>
  <c r="AI537" i="3" s="1"/>
  <c r="AI1313" i="3"/>
  <c r="AI473" i="3" s="1"/>
  <c r="AI1249" i="3"/>
  <c r="AI409" i="3" s="1"/>
  <c r="AI1432" i="3"/>
  <c r="AI592" i="3" s="1"/>
  <c r="AI1411" i="3"/>
  <c r="AI571" i="3" s="1"/>
  <c r="AI1312" i="3"/>
  <c r="AI472" i="3" s="1"/>
  <c r="AI1248" i="3"/>
  <c r="AI408" i="3" s="1"/>
  <c r="AI1398" i="3"/>
  <c r="AI558" i="3" s="1"/>
  <c r="AI1334" i="3"/>
  <c r="AI494" i="3" s="1"/>
  <c r="AI1270" i="3"/>
  <c r="AI430" i="3" s="1"/>
  <c r="AI1190" i="3"/>
  <c r="AI350" i="3" s="1"/>
  <c r="AM1341" i="3"/>
  <c r="AM501" i="3" s="1"/>
  <c r="AM1277" i="3"/>
  <c r="AM1213" i="3"/>
  <c r="AM373" i="3" s="1"/>
  <c r="AM1396" i="3"/>
  <c r="AM556" i="3" s="1"/>
  <c r="AM1328" i="3"/>
  <c r="AM488" i="3" s="1"/>
  <c r="AM1264" i="3"/>
  <c r="AM424" i="3" s="1"/>
  <c r="AM1200" i="3"/>
  <c r="AM360" i="3" s="1"/>
  <c r="AM1367" i="3"/>
  <c r="AM527" i="3" s="1"/>
  <c r="AM1378" i="3"/>
  <c r="AM538" i="3" s="1"/>
  <c r="AM1315" i="3"/>
  <c r="AM475" i="3" s="1"/>
  <c r="AM1405" i="3"/>
  <c r="AM565" i="3" s="1"/>
  <c r="AM1455" i="3"/>
  <c r="AM615" i="3" s="1"/>
  <c r="AM1398" i="3"/>
  <c r="AM558" i="3" s="1"/>
  <c r="AM1310" i="3"/>
  <c r="AM470" i="3" s="1"/>
  <c r="AM1227" i="3"/>
  <c r="AM387" i="3" s="1"/>
  <c r="AM1194" i="3"/>
  <c r="AM354" i="3" s="1"/>
  <c r="AM1198" i="3"/>
  <c r="AM358" i="3" s="1"/>
  <c r="AQ1240" i="3"/>
  <c r="AQ400" i="3" s="1"/>
  <c r="AQ1455" i="3"/>
  <c r="AQ615" i="3" s="1"/>
  <c r="AQ1437" i="3"/>
  <c r="AQ597" i="3" s="1"/>
  <c r="AQ1313" i="3"/>
  <c r="AQ473" i="3" s="1"/>
  <c r="AQ1249" i="3"/>
  <c r="AQ409" i="3" s="1"/>
  <c r="AQ1432" i="3"/>
  <c r="AQ592" i="3" s="1"/>
  <c r="AQ1451" i="3"/>
  <c r="AQ611" i="3" s="1"/>
  <c r="AQ1450" i="3"/>
  <c r="AQ610" i="3" s="1"/>
  <c r="AQ1381" i="3"/>
  <c r="AQ541" i="3" s="1"/>
  <c r="AU1432" i="3"/>
  <c r="AU592" i="3" s="1"/>
  <c r="AB1447" i="3"/>
  <c r="AB607" i="3" s="1"/>
  <c r="AB1452" i="3"/>
  <c r="AB612" i="3" s="1"/>
  <c r="AB1304" i="3"/>
  <c r="AB464" i="3" s="1"/>
  <c r="AB1437" i="3"/>
  <c r="AB597" i="3" s="1"/>
  <c r="AB1376" i="3"/>
  <c r="AB536" i="3" s="1"/>
  <c r="AB1213" i="3"/>
  <c r="AB373" i="3" s="1"/>
  <c r="AB1299" i="3"/>
  <c r="AB459" i="3" s="1"/>
  <c r="AB1286" i="3"/>
  <c r="AB446" i="3" s="1"/>
  <c r="AB1375" i="3"/>
  <c r="AB535" i="3" s="1"/>
  <c r="AB1202" i="3"/>
  <c r="AB362" i="3" s="1"/>
  <c r="R1263" i="3"/>
  <c r="R423" i="3" s="1"/>
  <c r="R1272" i="3"/>
  <c r="R432" i="3" s="1"/>
  <c r="R1188" i="3"/>
  <c r="R348" i="3" s="1"/>
  <c r="R1327" i="3"/>
  <c r="R487" i="3" s="1"/>
  <c r="R1378" i="3"/>
  <c r="R538" i="3" s="1"/>
  <c r="R1306" i="3"/>
  <c r="R466" i="3" s="1"/>
  <c r="V1336" i="3"/>
  <c r="V496" i="3" s="1"/>
  <c r="V1261" i="3"/>
  <c r="V421" i="3" s="1"/>
  <c r="V1252" i="3"/>
  <c r="V412" i="3" s="1"/>
  <c r="V1407" i="3"/>
  <c r="V567" i="3" s="1"/>
  <c r="V1316" i="3"/>
  <c r="V476" i="3" s="1"/>
  <c r="V1339" i="3"/>
  <c r="V499" i="3" s="1"/>
  <c r="V1362" i="3"/>
  <c r="V522" i="3" s="1"/>
  <c r="Z1380" i="3"/>
  <c r="Z1292" i="3"/>
  <c r="Z452" i="3" s="1"/>
  <c r="AL1426" i="3"/>
  <c r="AL586" i="3" s="1"/>
  <c r="AL1451" i="3"/>
  <c r="AL611" i="3" s="1"/>
  <c r="AP1448" i="3"/>
  <c r="AP608" i="3" s="1"/>
  <c r="AP1438" i="3"/>
  <c r="AP598" i="3" s="1"/>
  <c r="AT1439" i="3"/>
  <c r="AT599" i="3" s="1"/>
  <c r="AT1429" i="3"/>
  <c r="AT589" i="3" s="1"/>
  <c r="AX1447" i="3"/>
  <c r="AX607" i="3" s="1"/>
  <c r="P1447" i="3"/>
  <c r="P607" i="3" s="1"/>
  <c r="P1456" i="3"/>
  <c r="P616" i="3" s="1"/>
  <c r="T1448" i="3"/>
  <c r="T608" i="3" s="1"/>
  <c r="T1316" i="3"/>
  <c r="T476" i="3" s="1"/>
  <c r="T1409" i="3"/>
  <c r="T569" i="3" s="1"/>
  <c r="T1257" i="3"/>
  <c r="T417" i="3" s="1"/>
  <c r="AF1333" i="3"/>
  <c r="AF493" i="3" s="1"/>
  <c r="AF1221" i="3"/>
  <c r="AF381" i="3" s="1"/>
  <c r="AF1447" i="3"/>
  <c r="AF607" i="3" s="1"/>
  <c r="AF1440" i="3"/>
  <c r="AF600" i="3" s="1"/>
  <c r="AF1334" i="3"/>
  <c r="AF494" i="3" s="1"/>
  <c r="AF1316" i="3"/>
  <c r="AF476" i="3" s="1"/>
  <c r="AF1287" i="3"/>
  <c r="AF447" i="3" s="1"/>
  <c r="AF1262" i="3"/>
  <c r="AF422" i="3" s="1"/>
  <c r="AF1198" i="3"/>
  <c r="AF358" i="3" s="1"/>
  <c r="AF1346" i="3"/>
  <c r="AF506" i="3" s="1"/>
  <c r="AF1382" i="3"/>
  <c r="AF542" i="3" s="1"/>
  <c r="AJ1413" i="3"/>
  <c r="AJ573" i="3" s="1"/>
  <c r="AJ1432" i="3"/>
  <c r="AJ592" i="3" s="1"/>
  <c r="AJ1284" i="3"/>
  <c r="AJ444" i="3" s="1"/>
  <c r="AJ1273" i="3"/>
  <c r="AJ433" i="3" s="1"/>
  <c r="AJ1359" i="3"/>
  <c r="AJ519" i="3" s="1"/>
  <c r="AJ1209" i="3"/>
  <c r="AJ369" i="3" s="1"/>
  <c r="AJ1301" i="3"/>
  <c r="AJ461" i="3" s="1"/>
  <c r="AJ1259" i="3"/>
  <c r="AJ419" i="3" s="1"/>
  <c r="AJ1332" i="3"/>
  <c r="AJ492" i="3" s="1"/>
  <c r="AJ1395" i="3"/>
  <c r="AJ555" i="3" s="1"/>
  <c r="AJ1358" i="3"/>
  <c r="AJ518" i="3" s="1"/>
  <c r="AJ1215" i="3"/>
  <c r="AJ1347" i="3"/>
  <c r="AJ507" i="3" s="1"/>
  <c r="AN1361" i="3"/>
  <c r="AN521" i="3" s="1"/>
  <c r="AN1385" i="3"/>
  <c r="AN545" i="3" s="1"/>
  <c r="AN1409" i="3"/>
  <c r="AN569" i="3" s="1"/>
  <c r="AR1304" i="3"/>
  <c r="AR464" i="3" s="1"/>
  <c r="AR1228" i="3"/>
  <c r="AR388" i="3" s="1"/>
  <c r="AR1259" i="3"/>
  <c r="AR419" i="3" s="1"/>
  <c r="Z1305" i="3"/>
  <c r="Z465" i="3" s="1"/>
  <c r="Z1225" i="3"/>
  <c r="Z385" i="3" s="1"/>
  <c r="Z1264" i="3"/>
  <c r="Z424" i="3" s="1"/>
  <c r="Z1318" i="3"/>
  <c r="Z478" i="3" s="1"/>
  <c r="Z1219" i="3"/>
  <c r="Z379" i="3" s="1"/>
  <c r="Z1390" i="3"/>
  <c r="Z550" i="3" s="1"/>
  <c r="Z1378" i="3"/>
  <c r="Z538" i="3" s="1"/>
  <c r="Z1306" i="3"/>
  <c r="Z466" i="3" s="1"/>
  <c r="AH1404" i="3"/>
  <c r="AH564" i="3" s="1"/>
  <c r="AL1229" i="3"/>
  <c r="AL389" i="3" s="1"/>
  <c r="AL1396" i="3"/>
  <c r="AL556" i="3" s="1"/>
  <c r="AL1220" i="3"/>
  <c r="AL380" i="3" s="1"/>
  <c r="AL1347" i="3"/>
  <c r="AL507" i="3" s="1"/>
  <c r="AL1314" i="3"/>
  <c r="AL474" i="3" s="1"/>
  <c r="AL1343" i="3"/>
  <c r="AL503" i="3" s="1"/>
  <c r="AL1218" i="3"/>
  <c r="AL1227" i="3"/>
  <c r="AL387" i="3" s="1"/>
  <c r="AP1287" i="3"/>
  <c r="AP447" i="3" s="1"/>
  <c r="AP1218" i="3"/>
  <c r="AT1289" i="3"/>
  <c r="AT449" i="3" s="1"/>
  <c r="AT1400" i="3"/>
  <c r="AT560" i="3" s="1"/>
  <c r="AT1224" i="3"/>
  <c r="AT384" i="3" s="1"/>
  <c r="AT1325" i="3"/>
  <c r="AT485" i="3" s="1"/>
  <c r="AT1222" i="3"/>
  <c r="AT382" i="3" s="1"/>
  <c r="AT1376" i="3"/>
  <c r="AT536" i="3" s="1"/>
  <c r="AT1328" i="3"/>
  <c r="AT488" i="3" s="1"/>
  <c r="AT1379" i="3"/>
  <c r="AT539" i="3" s="1"/>
  <c r="AT1271" i="3"/>
  <c r="AT431" i="3" s="1"/>
  <c r="AT1338" i="3"/>
  <c r="AT498" i="3" s="1"/>
  <c r="AT1315" i="3"/>
  <c r="AT475" i="3" s="1"/>
  <c r="AT1390" i="3"/>
  <c r="AT550" i="3" s="1"/>
  <c r="AX1340" i="3"/>
  <c r="AX500" i="3" s="1"/>
  <c r="AX1399" i="3"/>
  <c r="AX559" i="3" s="1"/>
  <c r="P1240" i="3"/>
  <c r="P400" i="3" s="1"/>
  <c r="P1306" i="3"/>
  <c r="P466" i="3" s="1"/>
  <c r="P1186" i="3"/>
  <c r="P346" i="3" s="1"/>
  <c r="P1382" i="3"/>
  <c r="P542" i="3" s="1"/>
  <c r="T1300" i="3"/>
  <c r="T460" i="3" s="1"/>
  <c r="T1387" i="3"/>
  <c r="T547" i="3" s="1"/>
  <c r="T1299" i="3"/>
  <c r="T459" i="3" s="1"/>
  <c r="T1241" i="3"/>
  <c r="T401" i="3" s="1"/>
  <c r="T1355" i="3"/>
  <c r="T515" i="3" s="1"/>
  <c r="T1271" i="3"/>
  <c r="T431" i="3" s="1"/>
  <c r="T1334" i="3"/>
  <c r="T494" i="3" s="1"/>
  <c r="T1262" i="3"/>
  <c r="T422" i="3" s="1"/>
  <c r="X1269" i="3"/>
  <c r="X429" i="3" s="1"/>
  <c r="X1409" i="3"/>
  <c r="X569" i="3" s="1"/>
  <c r="X1400" i="3"/>
  <c r="X560" i="3" s="1"/>
  <c r="X1273" i="3"/>
  <c r="X433" i="3" s="1"/>
  <c r="X1334" i="3"/>
  <c r="X494" i="3" s="1"/>
  <c r="X1284" i="3"/>
  <c r="X444" i="3" s="1"/>
  <c r="AF1396" i="3"/>
  <c r="AF556" i="3" s="1"/>
  <c r="AF1269" i="3"/>
  <c r="AF429" i="3" s="1"/>
  <c r="AF1224" i="3"/>
  <c r="AF384" i="3" s="1"/>
  <c r="AF1347" i="3"/>
  <c r="AF507" i="3" s="1"/>
  <c r="AF1276" i="3"/>
  <c r="AF436" i="3" s="1"/>
  <c r="AF1300" i="3"/>
  <c r="AF460" i="3" s="1"/>
  <c r="AF1255" i="3"/>
  <c r="AF1369" i="3"/>
  <c r="AF529" i="3" s="1"/>
  <c r="AF1336" i="3"/>
  <c r="AF496" i="3" s="1"/>
  <c r="AF1355" i="3"/>
  <c r="AF515" i="3" s="1"/>
  <c r="AJ1337" i="3"/>
  <c r="AJ497" i="3" s="1"/>
  <c r="AJ1360" i="3"/>
  <c r="AJ520" i="3" s="1"/>
  <c r="AJ1257" i="3"/>
  <c r="AJ417" i="3" s="1"/>
  <c r="AJ1193" i="3"/>
  <c r="AJ353" i="3" s="1"/>
  <c r="AJ1398" i="3"/>
  <c r="AJ558" i="3" s="1"/>
  <c r="AJ1285" i="3"/>
  <c r="AJ445" i="3" s="1"/>
  <c r="AJ1339" i="3"/>
  <c r="AJ499" i="3" s="1"/>
  <c r="AJ1409" i="3"/>
  <c r="AJ569" i="3" s="1"/>
  <c r="AJ1404" i="3"/>
  <c r="AJ564" i="3" s="1"/>
  <c r="AJ1334" i="3"/>
  <c r="AJ494" i="3" s="1"/>
  <c r="AR1449" i="3"/>
  <c r="AR609" i="3" s="1"/>
  <c r="AR1452" i="3"/>
  <c r="AR612" i="3" s="1"/>
  <c r="AR1443" i="3"/>
  <c r="AR603" i="3" s="1"/>
  <c r="AR1289" i="3"/>
  <c r="AR449" i="3" s="1"/>
  <c r="AR1257" i="3"/>
  <c r="AR417" i="3" s="1"/>
  <c r="AR1193" i="3"/>
  <c r="AR353" i="3" s="1"/>
  <c r="AR1223" i="3"/>
  <c r="AR383" i="3" s="1"/>
  <c r="AV1313" i="3"/>
  <c r="AV473" i="3" s="1"/>
  <c r="AV1396" i="3"/>
  <c r="AV556" i="3" s="1"/>
  <c r="AV1269" i="3"/>
  <c r="AV429" i="3" s="1"/>
  <c r="AV1432" i="3"/>
  <c r="AV592" i="3" s="1"/>
  <c r="U1412" i="3"/>
  <c r="U572" i="3" s="1"/>
  <c r="Y1381" i="3"/>
  <c r="Y541" i="3" s="1"/>
  <c r="Y1439" i="3"/>
  <c r="Y599" i="3" s="1"/>
  <c r="Y1440" i="3"/>
  <c r="Y600" i="3" s="1"/>
  <c r="Y1442" i="3"/>
  <c r="Y602" i="3" s="1"/>
  <c r="AC1427" i="3"/>
  <c r="AC587" i="3" s="1"/>
  <c r="AC1447" i="3"/>
  <c r="AC607" i="3" s="1"/>
  <c r="AC1437" i="3"/>
  <c r="AC597" i="3" s="1"/>
  <c r="AG1402" i="3"/>
  <c r="AG562" i="3" s="1"/>
  <c r="AK1401" i="3"/>
  <c r="AK561" i="3" s="1"/>
  <c r="AK1376" i="3"/>
  <c r="AK536" i="3" s="1"/>
  <c r="AK1352" i="3"/>
  <c r="AK512" i="3" s="1"/>
  <c r="AK1288" i="3"/>
  <c r="AK448" i="3" s="1"/>
  <c r="AK1224" i="3"/>
  <c r="AK384" i="3" s="1"/>
  <c r="AK1381" i="3"/>
  <c r="AK541" i="3" s="1"/>
  <c r="AK1329" i="3"/>
  <c r="AK489" i="3" s="1"/>
  <c r="S1306" i="3"/>
  <c r="S466" i="3" s="1"/>
  <c r="S1274" i="3"/>
  <c r="S434" i="3" s="1"/>
  <c r="AI1389" i="3"/>
  <c r="AI549" i="3" s="1"/>
  <c r="AI1261" i="3"/>
  <c r="AI421" i="3" s="1"/>
  <c r="AI1197" i="3"/>
  <c r="AI357" i="3" s="1"/>
  <c r="AI1340" i="3"/>
  <c r="AI500" i="3" s="1"/>
  <c r="AI1276" i="3"/>
  <c r="AI436" i="3" s="1"/>
  <c r="AI1212" i="3"/>
  <c r="AI372" i="3" s="1"/>
  <c r="AI1362" i="3"/>
  <c r="AI522" i="3" s="1"/>
  <c r="AI1298" i="3"/>
  <c r="AI458" i="3" s="1"/>
  <c r="AI1234" i="3"/>
  <c r="AI394" i="3" s="1"/>
  <c r="AM1415" i="3"/>
  <c r="AM575" i="3" s="1"/>
  <c r="AM1356" i="3"/>
  <c r="AM516" i="3" s="1"/>
  <c r="AM1343" i="3"/>
  <c r="AM503" i="3" s="1"/>
  <c r="AM1279" i="3"/>
  <c r="AM439" i="3" s="1"/>
  <c r="AM1442" i="3"/>
  <c r="AM602" i="3" s="1"/>
  <c r="AM1218" i="3"/>
  <c r="AM1242" i="3"/>
  <c r="AM402" i="3" s="1"/>
  <c r="AQ1348" i="3"/>
  <c r="AQ508" i="3" s="1"/>
  <c r="AL1278" i="3"/>
  <c r="AL438" i="3" s="1"/>
  <c r="AL1404" i="3"/>
  <c r="AL564" i="3" s="1"/>
  <c r="AP1350" i="3"/>
  <c r="AP510" i="3" s="1"/>
  <c r="AP1406" i="3"/>
  <c r="AP566" i="3" s="1"/>
  <c r="AP1230" i="3"/>
  <c r="AP390" i="3" s="1"/>
  <c r="AJ1429" i="3"/>
  <c r="AJ589" i="3" s="1"/>
  <c r="AJ1220" i="3"/>
  <c r="AJ380" i="3" s="1"/>
  <c r="AN1396" i="3"/>
  <c r="AN556" i="3" s="1"/>
  <c r="Y1290" i="3"/>
  <c r="Y450" i="3" s="1"/>
  <c r="AG1419" i="3"/>
  <c r="AG579" i="3" s="1"/>
  <c r="AG1441" i="3"/>
  <c r="AG601" i="3" s="1"/>
  <c r="AK1447" i="3"/>
  <c r="AK607" i="3" s="1"/>
  <c r="AK1247" i="3"/>
  <c r="AK407" i="3" s="1"/>
  <c r="AK1362" i="3"/>
  <c r="AK522" i="3" s="1"/>
  <c r="AS1321" i="3"/>
  <c r="AS481" i="3" s="1"/>
  <c r="AS1257" i="3"/>
  <c r="AS417" i="3" s="1"/>
  <c r="AA1320" i="3"/>
  <c r="AA480" i="3" s="1"/>
  <c r="AE1337" i="3"/>
  <c r="AE497" i="3" s="1"/>
  <c r="AM1301" i="3"/>
  <c r="AM461" i="3" s="1"/>
  <c r="AM1404" i="3"/>
  <c r="AM564" i="3" s="1"/>
  <c r="AX1362" i="3"/>
  <c r="AX522" i="3" s="1"/>
  <c r="T1440" i="3"/>
  <c r="T600" i="3" s="1"/>
  <c r="T1451" i="3"/>
  <c r="T611" i="3" s="1"/>
  <c r="AF1432" i="3"/>
  <c r="AF592" i="3" s="1"/>
  <c r="AF1303" i="3"/>
  <c r="AF463" i="3" s="1"/>
  <c r="AF1294" i="3"/>
  <c r="AF454" i="3" s="1"/>
  <c r="AF1222" i="3"/>
  <c r="AF382" i="3" s="1"/>
  <c r="AR1356" i="3"/>
  <c r="AR516" i="3" s="1"/>
  <c r="AC1271" i="3"/>
  <c r="AC431" i="3" s="1"/>
  <c r="AS1369" i="3"/>
  <c r="AS529" i="3" s="1"/>
  <c r="AW1402" i="3"/>
  <c r="AW562" i="3" s="1"/>
  <c r="AE1331" i="3"/>
  <c r="AE491" i="3" s="1"/>
  <c r="AI1268" i="3"/>
  <c r="AI428" i="3" s="1"/>
  <c r="AI1204" i="3"/>
  <c r="AI364" i="3" s="1"/>
  <c r="AQ1438" i="3"/>
  <c r="AQ598" i="3" s="1"/>
  <c r="AR1442" i="3"/>
  <c r="AR602" i="3" s="1"/>
  <c r="AV1368" i="3"/>
  <c r="AV528" i="3" s="1"/>
  <c r="AK1455" i="3"/>
  <c r="AK615" i="3" s="1"/>
  <c r="AK1186" i="3"/>
  <c r="AK346" i="3" s="1"/>
  <c r="AK1318" i="3"/>
  <c r="AK478" i="3" s="1"/>
  <c r="AK1254" i="3"/>
  <c r="AK1345" i="3"/>
  <c r="AK505" i="3" s="1"/>
  <c r="AA1260" i="3"/>
  <c r="AA420" i="3" s="1"/>
  <c r="AA1319" i="3"/>
  <c r="AA479" i="3" s="1"/>
  <c r="AE1429" i="3"/>
  <c r="AE589" i="3" s="1"/>
  <c r="AI1431" i="3"/>
  <c r="AI591" i="3" s="1"/>
  <c r="AM1431" i="3"/>
  <c r="AM591" i="3" s="1"/>
  <c r="AM1441" i="3"/>
  <c r="AM601" i="3" s="1"/>
  <c r="AM1353" i="3"/>
  <c r="AM513" i="3" s="1"/>
  <c r="AM1451" i="3"/>
  <c r="AM611" i="3" s="1"/>
  <c r="AM1426" i="3"/>
  <c r="AM586" i="3" s="1"/>
  <c r="AQ1429" i="3"/>
  <c r="AQ589" i="3" s="1"/>
  <c r="AB1209" i="3"/>
  <c r="AB369" i="3" s="1"/>
  <c r="AB1305" i="3"/>
  <c r="AB465" i="3" s="1"/>
  <c r="R1273" i="3"/>
  <c r="R433" i="3" s="1"/>
  <c r="Z1301" i="3"/>
  <c r="Z461" i="3" s="1"/>
  <c r="Z1430" i="3"/>
  <c r="Z590" i="3" s="1"/>
  <c r="AN1416" i="3"/>
  <c r="AN576" i="3" s="1"/>
  <c r="AN1326" i="3"/>
  <c r="AN486" i="3" s="1"/>
  <c r="AR1398" i="3"/>
  <c r="AR558" i="3" s="1"/>
  <c r="AR1251" i="3"/>
  <c r="AR411" i="3" s="1"/>
  <c r="AR1266" i="3"/>
  <c r="AR426" i="3" s="1"/>
  <c r="AV1270" i="3"/>
  <c r="AV430" i="3" s="1"/>
  <c r="Q1431" i="3"/>
  <c r="Q591" i="3" s="1"/>
  <c r="U1327" i="3"/>
  <c r="U487" i="3" s="1"/>
  <c r="AC1233" i="3"/>
  <c r="AC393" i="3" s="1"/>
  <c r="AC1188" i="3"/>
  <c r="AC348" i="3" s="1"/>
  <c r="AC1316" i="3"/>
  <c r="AC476" i="3" s="1"/>
  <c r="AC1220" i="3"/>
  <c r="AC380" i="3" s="1"/>
  <c r="AC1409" i="3"/>
  <c r="AC569" i="3" s="1"/>
  <c r="AC1379" i="3"/>
  <c r="AC539" i="3" s="1"/>
  <c r="AE1239" i="3"/>
  <c r="AE399" i="3" s="1"/>
  <c r="AI1241" i="3"/>
  <c r="AI401" i="3" s="1"/>
  <c r="AI1412" i="3"/>
  <c r="AI572" i="3" s="1"/>
  <c r="R1274" i="3"/>
  <c r="R434" i="3" s="1"/>
  <c r="AD1257" i="3"/>
  <c r="AD417" i="3" s="1"/>
  <c r="AH1293" i="3"/>
  <c r="AH453" i="3" s="1"/>
  <c r="AH1284" i="3"/>
  <c r="AH444" i="3" s="1"/>
  <c r="AH1379" i="3"/>
  <c r="AH539" i="3" s="1"/>
  <c r="AH1255" i="3"/>
  <c r="AH1418" i="3"/>
  <c r="AH578" i="3" s="1"/>
  <c r="AH1303" i="3"/>
  <c r="AH463" i="3" s="1"/>
  <c r="AP1255" i="3"/>
  <c r="AP1191" i="3"/>
  <c r="AP351" i="3" s="1"/>
  <c r="AP1348" i="3"/>
  <c r="AP508" i="3" s="1"/>
  <c r="AP1430" i="3"/>
  <c r="AP590" i="3" s="1"/>
  <c r="AR1263" i="3"/>
  <c r="AR423" i="3" s="1"/>
  <c r="AS1326" i="3"/>
  <c r="AS486" i="3" s="1"/>
  <c r="AA1421" i="3"/>
  <c r="AA581" i="3" s="1"/>
  <c r="AA1284" i="3"/>
  <c r="AA444" i="3" s="1"/>
  <c r="AU1389" i="3"/>
  <c r="AU549" i="3" s="1"/>
  <c r="AU1360" i="3"/>
  <c r="AU520" i="3" s="1"/>
  <c r="U1429" i="3"/>
  <c r="AC1429" i="3"/>
  <c r="AC84" i="3" s="1"/>
  <c r="AB1276" i="3"/>
  <c r="AB436" i="3" s="1"/>
  <c r="AB1300" i="3"/>
  <c r="AB460" i="3" s="1"/>
  <c r="AB1355" i="3"/>
  <c r="AB515" i="3" s="1"/>
  <c r="AB1271" i="3"/>
  <c r="AB431" i="3" s="1"/>
  <c r="AB1291" i="3"/>
  <c r="AB451" i="3" s="1"/>
  <c r="AB1333" i="3"/>
  <c r="AB493" i="3" s="1"/>
  <c r="AB1370" i="3"/>
  <c r="AB530" i="3" s="1"/>
  <c r="AB1262" i="3"/>
  <c r="AB422" i="3" s="1"/>
  <c r="R1457" i="3"/>
  <c r="R617" i="3" s="1"/>
  <c r="Z1349" i="3"/>
  <c r="Z509" i="3" s="1"/>
  <c r="Z1286" i="3"/>
  <c r="Z446" i="3" s="1"/>
  <c r="AD1421" i="3"/>
  <c r="AD581" i="3" s="1"/>
  <c r="AD1213" i="3"/>
  <c r="AD373" i="3" s="1"/>
  <c r="AL1356" i="3"/>
  <c r="AL516" i="3" s="1"/>
  <c r="AL1288" i="3"/>
  <c r="AL448" i="3" s="1"/>
  <c r="AX1428" i="3"/>
  <c r="AX588" i="3" s="1"/>
  <c r="T1379" i="3"/>
  <c r="T539" i="3" s="1"/>
  <c r="T1441" i="3"/>
  <c r="T601" i="3" s="1"/>
  <c r="AF1226" i="3"/>
  <c r="AF386" i="3" s="1"/>
  <c r="AV1349" i="3"/>
  <c r="AV509" i="3" s="1"/>
  <c r="AV1379" i="3"/>
  <c r="AV539" i="3" s="1"/>
  <c r="AV1222" i="3"/>
  <c r="AV382" i="3" s="1"/>
  <c r="U1427" i="3"/>
  <c r="U587" i="3" s="1"/>
  <c r="S1337" i="3"/>
  <c r="S497" i="3" s="1"/>
  <c r="S1257" i="3"/>
  <c r="S417" i="3" s="1"/>
  <c r="S1260" i="3"/>
  <c r="S420" i="3" s="1"/>
  <c r="W1223" i="3"/>
  <c r="W383" i="3" s="1"/>
  <c r="W1302" i="3"/>
  <c r="W462" i="3" s="1"/>
  <c r="W1187" i="3"/>
  <c r="W347" i="3" s="1"/>
  <c r="AA1382" i="3"/>
  <c r="AA542" i="3" s="1"/>
  <c r="AA1299" i="3"/>
  <c r="AA459" i="3" s="1"/>
  <c r="AU1382" i="3"/>
  <c r="AU542" i="3" s="1"/>
  <c r="AU1254" i="3"/>
  <c r="AU1190" i="3"/>
  <c r="AU350" i="3" s="1"/>
  <c r="AU1417" i="3"/>
  <c r="AU577" i="3" s="1"/>
  <c r="AU1356" i="3"/>
  <c r="AU516" i="3" s="1"/>
  <c r="R1340" i="3"/>
  <c r="R500" i="3" s="1"/>
  <c r="R1260" i="3"/>
  <c r="R420" i="3" s="1"/>
  <c r="R1262" i="3"/>
  <c r="R422" i="3" s="1"/>
  <c r="V1212" i="3"/>
  <c r="V372" i="3" s="1"/>
  <c r="Z1452" i="3"/>
  <c r="Z612" i="3" s="1"/>
  <c r="Z1283" i="3"/>
  <c r="Z443" i="3" s="1"/>
  <c r="AD1223" i="3"/>
  <c r="AD383" i="3" s="1"/>
  <c r="AH1425" i="3"/>
  <c r="AH585" i="3" s="1"/>
  <c r="AP1224" i="3"/>
  <c r="AP384" i="3" s="1"/>
  <c r="AP1275" i="3"/>
  <c r="AP435" i="3" s="1"/>
  <c r="AP1322" i="3"/>
  <c r="AP482" i="3" s="1"/>
  <c r="AP1351" i="3"/>
  <c r="AP511" i="3" s="1"/>
  <c r="AP1210" i="3"/>
  <c r="AP370" i="3" s="1"/>
  <c r="AT1416" i="3"/>
  <c r="AT576" i="3" s="1"/>
  <c r="AT1232" i="3"/>
  <c r="AT392" i="3" s="1"/>
  <c r="AT1449" i="3"/>
  <c r="AT609" i="3" s="1"/>
  <c r="AX1453" i="3"/>
  <c r="AX613" i="3" s="1"/>
  <c r="T1377" i="3"/>
  <c r="T537" i="3" s="1"/>
  <c r="X1261" i="3"/>
  <c r="X421" i="3" s="1"/>
  <c r="AN1346" i="3"/>
  <c r="AN506" i="3" s="1"/>
  <c r="AR1268" i="3"/>
  <c r="AR428" i="3" s="1"/>
  <c r="AV1404" i="3"/>
  <c r="AV564" i="3" s="1"/>
  <c r="AS1278" i="3"/>
  <c r="AS438" i="3" s="1"/>
  <c r="S1251" i="3"/>
  <c r="S411" i="3" s="1"/>
  <c r="S1450" i="3"/>
  <c r="S610" i="3" s="1"/>
  <c r="AM1186" i="3"/>
  <c r="AM346" i="3" s="1"/>
  <c r="AQ1454" i="3"/>
  <c r="AQ614" i="3" s="1"/>
  <c r="AQ1385" i="3"/>
  <c r="AQ545" i="3" s="1"/>
  <c r="AU1295" i="3"/>
  <c r="AU455" i="3" s="1"/>
  <c r="Y1347" i="3"/>
  <c r="Y507" i="3" s="1"/>
  <c r="Y1251" i="3"/>
  <c r="Y411" i="3" s="1"/>
  <c r="Y1362" i="3"/>
  <c r="Y522" i="3" s="1"/>
  <c r="Y1262" i="3"/>
  <c r="Y422" i="3" s="1"/>
  <c r="Y1187" i="3"/>
  <c r="Y347" i="3" s="1"/>
  <c r="AC1349" i="3"/>
  <c r="AC509" i="3" s="1"/>
  <c r="AC1285" i="3"/>
  <c r="AC445" i="3" s="1"/>
  <c r="AC1336" i="3"/>
  <c r="AC496" i="3" s="1"/>
  <c r="AC1387" i="3"/>
  <c r="AC547" i="3" s="1"/>
  <c r="AC1247" i="3"/>
  <c r="AC407" i="3" s="1"/>
  <c r="AC1294" i="3"/>
  <c r="AC454" i="3" s="1"/>
  <c r="AG1405" i="3"/>
  <c r="AG565" i="3" s="1"/>
  <c r="W1327" i="3"/>
  <c r="W487" i="3" s="1"/>
  <c r="AI1407" i="3"/>
  <c r="AI567" i="3" s="1"/>
  <c r="AI1430" i="3"/>
  <c r="AI590" i="3" s="1"/>
  <c r="AM1263" i="3"/>
  <c r="AM423" i="3" s="1"/>
  <c r="AM1223" i="3"/>
  <c r="AM383" i="3" s="1"/>
  <c r="AM1294" i="3"/>
  <c r="AM454" i="3" s="1"/>
  <c r="AM1350" i="3"/>
  <c r="AM510" i="3" s="1"/>
  <c r="AQ1431" i="3"/>
  <c r="AQ591" i="3" s="1"/>
  <c r="AQ1204" i="3"/>
  <c r="AQ364" i="3" s="1"/>
  <c r="AQ1261" i="3"/>
  <c r="AQ421" i="3" s="1"/>
  <c r="AQ1197" i="3"/>
  <c r="AQ357" i="3" s="1"/>
  <c r="AQ1409" i="3"/>
  <c r="AQ569" i="3" s="1"/>
  <c r="AQ1402" i="3"/>
  <c r="AQ562" i="3" s="1"/>
  <c r="AU1451" i="3"/>
  <c r="AU611" i="3" s="1"/>
  <c r="AU1442" i="3"/>
  <c r="AU602" i="3" s="1"/>
  <c r="AU1441" i="3"/>
  <c r="AU601" i="3" s="1"/>
  <c r="AB1448" i="3"/>
  <c r="AB608" i="3" s="1"/>
  <c r="AB1407" i="3"/>
  <c r="AB567" i="3" s="1"/>
  <c r="Z1450" i="3"/>
  <c r="Z610" i="3" s="1"/>
  <c r="AH1257" i="3"/>
  <c r="AH417" i="3" s="1"/>
  <c r="AH1193" i="3"/>
  <c r="AH353" i="3" s="1"/>
  <c r="AH1220" i="3"/>
  <c r="AH380" i="3" s="1"/>
  <c r="AP1277" i="3"/>
  <c r="AP1328" i="3"/>
  <c r="AP488" i="3" s="1"/>
  <c r="AP1318" i="3"/>
  <c r="AP478" i="3" s="1"/>
  <c r="AP1269" i="3"/>
  <c r="AP429" i="3" s="1"/>
  <c r="X1381" i="3"/>
  <c r="X541" i="3" s="1"/>
  <c r="AJ1204" i="3"/>
  <c r="AJ364" i="3" s="1"/>
  <c r="AN1427" i="3"/>
  <c r="AN587" i="3" s="1"/>
  <c r="Q1441" i="3"/>
  <c r="Q601" i="3" s="1"/>
  <c r="U1274" i="3"/>
  <c r="U434" i="3" s="1"/>
  <c r="AG1342" i="3"/>
  <c r="AG502" i="3" s="1"/>
  <c r="AG1278" i="3"/>
  <c r="AG438" i="3" s="1"/>
  <c r="AG1214" i="3"/>
  <c r="AG374" i="3" s="1"/>
  <c r="AG1406" i="3"/>
  <c r="AG566" i="3" s="1"/>
  <c r="AK1428" i="3"/>
  <c r="AK588" i="3" s="1"/>
  <c r="S1425" i="3"/>
  <c r="S585" i="3" s="1"/>
  <c r="AA1272" i="3"/>
  <c r="AA432" i="3" s="1"/>
  <c r="AQ1456" i="3"/>
  <c r="AQ616" i="3" s="1"/>
  <c r="AB1401" i="3"/>
  <c r="AB561" i="3" s="1"/>
  <c r="R1285" i="3"/>
  <c r="R445" i="3" s="1"/>
  <c r="V1309" i="3"/>
  <c r="V469" i="3" s="1"/>
  <c r="V1308" i="3"/>
  <c r="V468" i="3" s="1"/>
  <c r="V1222" i="3"/>
  <c r="V382" i="3" s="1"/>
  <c r="V1223" i="3"/>
  <c r="V383" i="3" s="1"/>
  <c r="AP1450" i="3"/>
  <c r="AP610" i="3" s="1"/>
  <c r="T1264" i="3"/>
  <c r="T424" i="3" s="1"/>
  <c r="T1272" i="3"/>
  <c r="T432" i="3" s="1"/>
  <c r="T1318" i="3"/>
  <c r="T478" i="3" s="1"/>
  <c r="AF1401" i="3"/>
  <c r="AF561" i="3" s="1"/>
  <c r="AF1216" i="3"/>
  <c r="AF1415" i="3"/>
  <c r="AF575" i="3" s="1"/>
  <c r="AF1318" i="3"/>
  <c r="AF478" i="3" s="1"/>
  <c r="AF1308" i="3"/>
  <c r="AF468" i="3" s="1"/>
  <c r="AF1199" i="3"/>
  <c r="AF359" i="3" s="1"/>
  <c r="AN1309" i="3"/>
  <c r="AN469" i="3" s="1"/>
  <c r="AV1299" i="3"/>
  <c r="AV459" i="3" s="1"/>
  <c r="Q1362" i="3"/>
  <c r="Q522" i="3" s="1"/>
  <c r="AS1268" i="3"/>
  <c r="AS428" i="3" s="1"/>
  <c r="S1439" i="3"/>
  <c r="S599" i="3" s="1"/>
  <c r="AE1419" i="3"/>
  <c r="AE579" i="3" s="1"/>
  <c r="AQ1415" i="3"/>
  <c r="AQ575" i="3" s="1"/>
  <c r="AQ1401" i="3"/>
  <c r="AQ561" i="3" s="1"/>
  <c r="AB1249" i="3"/>
  <c r="AB409" i="3" s="1"/>
  <c r="AB1456" i="3"/>
  <c r="AB616" i="3" s="1"/>
  <c r="AB1408" i="3"/>
  <c r="AB568" i="3" s="1"/>
  <c r="AB1248" i="3"/>
  <c r="AB408" i="3" s="1"/>
  <c r="AB1400" i="3"/>
  <c r="AB560" i="3" s="1"/>
  <c r="AB1272" i="3"/>
  <c r="AB432" i="3" s="1"/>
  <c r="R1400" i="3"/>
  <c r="R560" i="3" s="1"/>
  <c r="R1319" i="3"/>
  <c r="R479" i="3" s="1"/>
  <c r="R1339" i="3"/>
  <c r="R499" i="3" s="1"/>
  <c r="V1319" i="3"/>
  <c r="V479" i="3" s="1"/>
  <c r="V1286" i="3"/>
  <c r="V446" i="3" s="1"/>
  <c r="V1288" i="3"/>
  <c r="V448" i="3" s="1"/>
  <c r="V1250" i="3"/>
  <c r="V410" i="3" s="1"/>
  <c r="V1275" i="3"/>
  <c r="V435" i="3" s="1"/>
  <c r="V1187" i="3"/>
  <c r="V347" i="3" s="1"/>
  <c r="Z1389" i="3"/>
  <c r="Z549" i="3" s="1"/>
  <c r="Z1399" i="3"/>
  <c r="Z559" i="3" s="1"/>
  <c r="Z1272" i="3"/>
  <c r="Z432" i="3" s="1"/>
  <c r="Z1188" i="3"/>
  <c r="Z348" i="3" s="1"/>
  <c r="Z1320" i="3"/>
  <c r="Z480" i="3" s="1"/>
  <c r="Z1270" i="3"/>
  <c r="Z430" i="3" s="1"/>
  <c r="Z1258" i="3"/>
  <c r="Z418" i="3" s="1"/>
  <c r="Z1194" i="3"/>
  <c r="Z354" i="3" s="1"/>
  <c r="Z1410" i="3"/>
  <c r="Z570" i="3" s="1"/>
  <c r="V1315" i="3"/>
  <c r="V475" i="3" s="1"/>
  <c r="V1186" i="3"/>
  <c r="V346" i="3" s="1"/>
  <c r="V1203" i="3"/>
  <c r="V363" i="3" s="1"/>
  <c r="Z1427" i="3"/>
  <c r="Z587" i="3" s="1"/>
  <c r="Z1357" i="3"/>
  <c r="Z517" i="3" s="1"/>
  <c r="Z1448" i="3"/>
  <c r="Z608" i="3" s="1"/>
  <c r="Z1223" i="3"/>
  <c r="Z383" i="3" s="1"/>
  <c r="Z1382" i="3"/>
  <c r="Z542" i="3" s="1"/>
  <c r="Z1210" i="3"/>
  <c r="Z370" i="3" s="1"/>
  <c r="AH1455" i="3"/>
  <c r="AH615" i="3" s="1"/>
  <c r="AH1276" i="3"/>
  <c r="AH436" i="3" s="1"/>
  <c r="AH1430" i="3"/>
  <c r="AH590" i="3" s="1"/>
  <c r="AL1233" i="3"/>
  <c r="AL393" i="3" s="1"/>
  <c r="AL1254" i="3"/>
  <c r="AL1446" i="3"/>
  <c r="AL606" i="3" s="1"/>
  <c r="AF1257" i="3"/>
  <c r="AF417" i="3" s="1"/>
  <c r="AF1193" i="3"/>
  <c r="AF353" i="3" s="1"/>
  <c r="AF1430" i="3"/>
  <c r="AF590" i="3" s="1"/>
  <c r="AV1287" i="3"/>
  <c r="AV447" i="3" s="1"/>
  <c r="AO1404" i="3"/>
  <c r="AO564" i="3" s="1"/>
  <c r="AO1216" i="3"/>
  <c r="AS1232" i="3"/>
  <c r="AS392" i="3" s="1"/>
  <c r="AS1297" i="3"/>
  <c r="AS457" i="3" s="1"/>
  <c r="AW1197" i="3"/>
  <c r="AW357" i="3" s="1"/>
  <c r="AW1432" i="3"/>
  <c r="AW592" i="3" s="1"/>
  <c r="AA1233" i="3"/>
  <c r="AA393" i="3" s="1"/>
  <c r="AT1296" i="3"/>
  <c r="AT456" i="3" s="1"/>
  <c r="AT1327" i="3"/>
  <c r="AT487" i="3" s="1"/>
  <c r="X1195" i="3"/>
  <c r="X355" i="3" s="1"/>
  <c r="X1234" i="3"/>
  <c r="X394" i="3" s="1"/>
  <c r="X1232" i="3"/>
  <c r="X392" i="3" s="1"/>
  <c r="AF1400" i="3"/>
  <c r="AF560" i="3" s="1"/>
  <c r="AF1317" i="3"/>
  <c r="AF477" i="3" s="1"/>
  <c r="AF1209" i="3"/>
  <c r="AF369" i="3" s="1"/>
  <c r="W1412" i="3"/>
  <c r="W572" i="3" s="1"/>
  <c r="W1340" i="3"/>
  <c r="W500" i="3" s="1"/>
  <c r="W1292" i="3"/>
  <c r="W452" i="3" s="1"/>
  <c r="W1196" i="3"/>
  <c r="W356" i="3" s="1"/>
  <c r="AA1338" i="3"/>
  <c r="AA498" i="3" s="1"/>
  <c r="AA1258" i="3"/>
  <c r="AA418" i="3" s="1"/>
  <c r="Z1335" i="3"/>
  <c r="Z495" i="3" s="1"/>
  <c r="AD1269" i="3"/>
  <c r="AD429" i="3" s="1"/>
  <c r="AD1264" i="3"/>
  <c r="AD424" i="3" s="1"/>
  <c r="AP1389" i="3"/>
  <c r="AP549" i="3" s="1"/>
  <c r="AP1293" i="3"/>
  <c r="AP453" i="3" s="1"/>
  <c r="AP1422" i="3"/>
  <c r="AP582" i="3" s="1"/>
  <c r="AP1282" i="3"/>
  <c r="AP442" i="3" s="1"/>
  <c r="AP1332" i="3"/>
  <c r="AP492" i="3" s="1"/>
  <c r="AT1196" i="3"/>
  <c r="AT356" i="3" s="1"/>
  <c r="AT1312" i="3"/>
  <c r="AT472" i="3" s="1"/>
  <c r="P1395" i="3"/>
  <c r="P555" i="3" s="1"/>
  <c r="P1303" i="3"/>
  <c r="P463" i="3" s="1"/>
  <c r="P1274" i="3"/>
  <c r="P434" i="3" s="1"/>
  <c r="T1304" i="3"/>
  <c r="T464" i="3" s="1"/>
  <c r="T1196" i="3"/>
  <c r="T356" i="3" s="1"/>
  <c r="T1398" i="3"/>
  <c r="T558" i="3" s="1"/>
  <c r="T1412" i="3"/>
  <c r="T572" i="3" s="1"/>
  <c r="T1210" i="3"/>
  <c r="T370" i="3" s="1"/>
  <c r="X1225" i="3"/>
  <c r="X385" i="3" s="1"/>
  <c r="X1430" i="3"/>
  <c r="X590" i="3" s="1"/>
  <c r="X1431" i="3"/>
  <c r="X591" i="3" s="1"/>
  <c r="X1291" i="3"/>
  <c r="X451" i="3" s="1"/>
  <c r="AF1186" i="3"/>
  <c r="AF346" i="3" s="1"/>
  <c r="AF1326" i="3"/>
  <c r="AF486" i="3" s="1"/>
  <c r="AJ1419" i="3"/>
  <c r="AJ579" i="3" s="1"/>
  <c r="AJ1353" i="3"/>
  <c r="AJ513" i="3" s="1"/>
  <c r="AJ1260" i="3"/>
  <c r="AJ420" i="3" s="1"/>
  <c r="AJ1196" i="3"/>
  <c r="AJ356" i="3" s="1"/>
  <c r="AJ1261" i="3"/>
  <c r="AJ421" i="3" s="1"/>
  <c r="AJ1197" i="3"/>
  <c r="AJ357" i="3" s="1"/>
  <c r="AJ1382" i="3"/>
  <c r="AJ542" i="3" s="1"/>
  <c r="AJ1351" i="3"/>
  <c r="AJ511" i="3" s="1"/>
  <c r="AJ1421" i="3"/>
  <c r="AJ581" i="3" s="1"/>
  <c r="AJ1388" i="3"/>
  <c r="AJ548" i="3" s="1"/>
  <c r="AJ1407" i="3"/>
  <c r="AJ567" i="3" s="1"/>
  <c r="AJ1187" i="3"/>
  <c r="AJ347" i="3" s="1"/>
  <c r="AJ1266" i="3"/>
  <c r="AJ426" i="3" s="1"/>
  <c r="AJ1202" i="3"/>
  <c r="AJ362" i="3" s="1"/>
  <c r="AJ1294" i="3"/>
  <c r="AJ454" i="3" s="1"/>
  <c r="AN1257" i="3"/>
  <c r="AN417" i="3" s="1"/>
  <c r="AN1193" i="3"/>
  <c r="AN353" i="3" s="1"/>
  <c r="AN1389" i="3"/>
  <c r="AN549" i="3" s="1"/>
  <c r="AN1255" i="3"/>
  <c r="AN1191" i="3"/>
  <c r="AN351" i="3" s="1"/>
  <c r="AN1262" i="3"/>
  <c r="AN422" i="3" s="1"/>
  <c r="AN1198" i="3"/>
  <c r="AN358" i="3" s="1"/>
  <c r="AN1280" i="3"/>
  <c r="AN440" i="3" s="1"/>
  <c r="AN1340" i="3"/>
  <c r="AN500" i="3" s="1"/>
  <c r="AN1354" i="3"/>
  <c r="AN514" i="3" s="1"/>
  <c r="AN1403" i="3"/>
  <c r="AN563" i="3" s="1"/>
  <c r="AR1412" i="3"/>
  <c r="AR572" i="3" s="1"/>
  <c r="Q1270" i="3"/>
  <c r="Q430" i="3" s="1"/>
  <c r="U1349" i="3"/>
  <c r="U509" i="3" s="1"/>
  <c r="U1285" i="3"/>
  <c r="U445" i="3" s="1"/>
  <c r="AC1193" i="3"/>
  <c r="AC353" i="3" s="1"/>
  <c r="AC1308" i="3"/>
  <c r="AC468" i="3" s="1"/>
  <c r="AC1283" i="3"/>
  <c r="AC443" i="3" s="1"/>
  <c r="AC1398" i="3"/>
  <c r="AC558" i="3" s="1"/>
  <c r="AC1234" i="3"/>
  <c r="AC394" i="3" s="1"/>
  <c r="AG1333" i="3"/>
  <c r="AG493" i="3" s="1"/>
  <c r="AG1269" i="3"/>
  <c r="AG429" i="3" s="1"/>
  <c r="AG1344" i="3"/>
  <c r="AG504" i="3" s="1"/>
  <c r="AG1280" i="3"/>
  <c r="AG440" i="3" s="1"/>
  <c r="AG1216" i="3"/>
  <c r="AG1415" i="3"/>
  <c r="AG575" i="3" s="1"/>
  <c r="AG1388" i="3"/>
  <c r="AG548" i="3" s="1"/>
  <c r="AG1307" i="3"/>
  <c r="AG467" i="3" s="1"/>
  <c r="AG1411" i="3"/>
  <c r="AG571" i="3" s="1"/>
  <c r="AG1302" i="3"/>
  <c r="AG462" i="3" s="1"/>
  <c r="AK1420" i="3"/>
  <c r="AK580" i="3" s="1"/>
  <c r="AO1193" i="3"/>
  <c r="AO353" i="3" s="1"/>
  <c r="AW1218" i="3"/>
  <c r="AW1311" i="3"/>
  <c r="AW471" i="3" s="1"/>
  <c r="S1407" i="3"/>
  <c r="S567" i="3" s="1"/>
  <c r="S1294" i="3"/>
  <c r="S454" i="3" s="1"/>
  <c r="AA1448" i="3"/>
  <c r="AA608" i="3" s="1"/>
  <c r="AA1274" i="3"/>
  <c r="AA434" i="3" s="1"/>
  <c r="AE1384" i="3"/>
  <c r="AE544" i="3" s="1"/>
  <c r="AE1383" i="3"/>
  <c r="AE543" i="3" s="1"/>
  <c r="AI1399" i="3"/>
  <c r="AI559" i="3" s="1"/>
  <c r="AI1291" i="3"/>
  <c r="AI451" i="3" s="1"/>
  <c r="AI1227" i="3"/>
  <c r="AI387" i="3" s="1"/>
  <c r="AI1201" i="3"/>
  <c r="AI361" i="3" s="1"/>
  <c r="AI1359" i="3"/>
  <c r="AI519" i="3" s="1"/>
  <c r="AI1328" i="3"/>
  <c r="AI488" i="3" s="1"/>
  <c r="AI1200" i="3"/>
  <c r="AI360" i="3" s="1"/>
  <c r="AM1231" i="3"/>
  <c r="AM391" i="3" s="1"/>
  <c r="AM1234" i="3"/>
  <c r="AM394" i="3" s="1"/>
  <c r="AM1290" i="3"/>
  <c r="AM450" i="3" s="1"/>
  <c r="AM1190" i="3"/>
  <c r="AM350" i="3" s="1"/>
  <c r="Z1294" i="3"/>
  <c r="Z454" i="3" s="1"/>
  <c r="AD1381" i="3"/>
  <c r="AD541" i="3" s="1"/>
  <c r="AD1408" i="3"/>
  <c r="AD568" i="3" s="1"/>
  <c r="AD1367" i="3"/>
  <c r="AD527" i="3" s="1"/>
  <c r="AD1309" i="3"/>
  <c r="AD469" i="3" s="1"/>
  <c r="AD1328" i="3"/>
  <c r="AD488" i="3" s="1"/>
  <c r="AH1432" i="3"/>
  <c r="AH592" i="3" s="1"/>
  <c r="AH1351" i="3"/>
  <c r="AH511" i="3" s="1"/>
  <c r="AH1216" i="3"/>
  <c r="AH1212" i="3"/>
  <c r="AH372" i="3" s="1"/>
  <c r="AH1286" i="3"/>
  <c r="AH446" i="3" s="1"/>
  <c r="AL1369" i="3"/>
  <c r="AL529" i="3" s="1"/>
  <c r="AL1289" i="3"/>
  <c r="AL449" i="3" s="1"/>
  <c r="AL1217" i="3"/>
  <c r="AL1400" i="3"/>
  <c r="AL560" i="3" s="1"/>
  <c r="AL1224" i="3"/>
  <c r="AL384" i="3" s="1"/>
  <c r="AL1351" i="3"/>
  <c r="AL511" i="3" s="1"/>
  <c r="AL1354" i="3"/>
  <c r="AL514" i="3" s="1"/>
  <c r="AL1376" i="3"/>
  <c r="AL536" i="3" s="1"/>
  <c r="AL1309" i="3"/>
  <c r="AL469" i="3" s="1"/>
  <c r="AL1420" i="3"/>
  <c r="AL580" i="3" s="1"/>
  <c r="AL1231" i="3"/>
  <c r="AL391" i="3" s="1"/>
  <c r="AL1350" i="3"/>
  <c r="AL510" i="3" s="1"/>
  <c r="AP1425" i="3"/>
  <c r="AP585" i="3" s="1"/>
  <c r="AP1229" i="3"/>
  <c r="AP389" i="3" s="1"/>
  <c r="AP1396" i="3"/>
  <c r="AP556" i="3" s="1"/>
  <c r="AP1220" i="3"/>
  <c r="AP380" i="3" s="1"/>
  <c r="P1453" i="3"/>
  <c r="P613" i="3" s="1"/>
  <c r="T1356" i="3"/>
  <c r="T516" i="3" s="1"/>
  <c r="T1389" i="3"/>
  <c r="T549" i="3" s="1"/>
  <c r="AF1266" i="3"/>
  <c r="AF426" i="3" s="1"/>
  <c r="AF1202" i="3"/>
  <c r="AF362" i="3" s="1"/>
  <c r="AF1319" i="3"/>
  <c r="AF479" i="3" s="1"/>
  <c r="AF1386" i="3"/>
  <c r="AF546" i="3" s="1"/>
  <c r="AN1317" i="3"/>
  <c r="AN477" i="3" s="1"/>
  <c r="AN1421" i="3"/>
  <c r="AN581" i="3" s="1"/>
  <c r="AN1426" i="3"/>
  <c r="AN586" i="3" s="1"/>
  <c r="AR1261" i="3"/>
  <c r="AR421" i="3" s="1"/>
  <c r="AR1211" i="3"/>
  <c r="AR371" i="3" s="1"/>
  <c r="AR1242" i="3"/>
  <c r="AR402" i="3" s="1"/>
  <c r="AV1344" i="3"/>
  <c r="AV504" i="3" s="1"/>
  <c r="AV1280" i="3"/>
  <c r="AV440" i="3" s="1"/>
  <c r="U1388" i="3"/>
  <c r="U548" i="3" s="1"/>
  <c r="U1239" i="3"/>
  <c r="U399" i="3" s="1"/>
  <c r="AG1431" i="3"/>
  <c r="AG591" i="3" s="1"/>
  <c r="AG1429" i="3"/>
  <c r="AG589" i="3" s="1"/>
  <c r="AG1349" i="3"/>
  <c r="AG509" i="3" s="1"/>
  <c r="AG1285" i="3"/>
  <c r="AG445" i="3" s="1"/>
  <c r="AG1221" i="3"/>
  <c r="AG381" i="3" s="1"/>
  <c r="AG1428" i="3"/>
  <c r="AG588" i="3" s="1"/>
  <c r="AG1368" i="3"/>
  <c r="AG528" i="3" s="1"/>
  <c r="AG1296" i="3"/>
  <c r="AG456" i="3" s="1"/>
  <c r="AG1232" i="3"/>
  <c r="AG392" i="3" s="1"/>
  <c r="AG1323" i="3"/>
  <c r="AG483" i="3" s="1"/>
  <c r="AG1259" i="3"/>
  <c r="AG419" i="3" s="1"/>
  <c r="AG1410" i="3"/>
  <c r="AG570" i="3" s="1"/>
  <c r="AG1318" i="3"/>
  <c r="AG478" i="3" s="1"/>
  <c r="AG1254" i="3"/>
  <c r="AG1190" i="3"/>
  <c r="AG350" i="3" s="1"/>
  <c r="AO1299" i="3"/>
  <c r="AO459" i="3" s="1"/>
  <c r="AS1344" i="3"/>
  <c r="AS504" i="3" s="1"/>
  <c r="S1310" i="3"/>
  <c r="S470" i="3" s="1"/>
  <c r="S1194" i="3"/>
  <c r="S354" i="3" s="1"/>
  <c r="S1220" i="3"/>
  <c r="S380" i="3" s="1"/>
  <c r="AA1438" i="3"/>
  <c r="AA598" i="3" s="1"/>
  <c r="AE1201" i="3"/>
  <c r="AE361" i="3" s="1"/>
  <c r="AE1401" i="3"/>
  <c r="AE561" i="3" s="1"/>
  <c r="AE1329" i="3"/>
  <c r="AE489" i="3" s="1"/>
  <c r="AI1307" i="3"/>
  <c r="AI467" i="3" s="1"/>
  <c r="AI1450" i="3"/>
  <c r="AI610" i="3" s="1"/>
  <c r="AQ1395" i="3"/>
  <c r="AQ555" i="3" s="1"/>
  <c r="AQ1190" i="3"/>
  <c r="AQ350" i="3" s="1"/>
  <c r="AQ1198" i="3"/>
  <c r="AQ358" i="3" s="1"/>
  <c r="AQ1203" i="3"/>
  <c r="AQ363" i="3" s="1"/>
  <c r="AQ1218" i="3"/>
  <c r="AB1288" i="3"/>
  <c r="AB448" i="3" s="1"/>
  <c r="AB1186" i="3"/>
  <c r="AB346" i="3" s="1"/>
  <c r="R1301" i="3"/>
  <c r="R461" i="3" s="1"/>
  <c r="R1247" i="3"/>
  <c r="R407" i="3" s="1"/>
  <c r="R1402" i="3"/>
  <c r="R562" i="3" s="1"/>
  <c r="R1261" i="3"/>
  <c r="R421" i="3" s="1"/>
  <c r="R1252" i="3"/>
  <c r="R412" i="3" s="1"/>
  <c r="R1222" i="3"/>
  <c r="R382" i="3" s="1"/>
  <c r="R1326" i="3"/>
  <c r="R486" i="3" s="1"/>
  <c r="V1411" i="3"/>
  <c r="V571" i="3" s="1"/>
  <c r="V1213" i="3"/>
  <c r="V373" i="3" s="1"/>
  <c r="V1220" i="3"/>
  <c r="V380" i="3" s="1"/>
  <c r="V1412" i="3"/>
  <c r="V572" i="3" s="1"/>
  <c r="V1282" i="3"/>
  <c r="V442" i="3" s="1"/>
  <c r="V1300" i="3"/>
  <c r="V460" i="3" s="1"/>
  <c r="V1387" i="3"/>
  <c r="V547" i="3" s="1"/>
  <c r="V1247" i="3"/>
  <c r="V407" i="3" s="1"/>
  <c r="V1402" i="3"/>
  <c r="V562" i="3" s="1"/>
  <c r="Z1413" i="3"/>
  <c r="Z573" i="3" s="1"/>
  <c r="Z1273" i="3"/>
  <c r="Z433" i="3" s="1"/>
  <c r="Z1209" i="3"/>
  <c r="Z369" i="3" s="1"/>
  <c r="Z1248" i="3"/>
  <c r="Z408" i="3" s="1"/>
  <c r="AH1333" i="3"/>
  <c r="AH493" i="3" s="1"/>
  <c r="AL1453" i="3"/>
  <c r="AL613" i="3" s="1"/>
  <c r="T1439" i="3"/>
  <c r="T599" i="3" s="1"/>
  <c r="AN1337" i="3"/>
  <c r="AN497" i="3" s="1"/>
  <c r="AR1344" i="3"/>
  <c r="AR504" i="3" s="1"/>
  <c r="AR1409" i="3"/>
  <c r="AR569" i="3" s="1"/>
  <c r="AC1457" i="3"/>
  <c r="AC617" i="3" s="1"/>
  <c r="AG1308" i="3"/>
  <c r="AG468" i="3" s="1"/>
  <c r="AG1330" i="3"/>
  <c r="AG490" i="3" s="1"/>
  <c r="AG1266" i="3"/>
  <c r="AG426" i="3" s="1"/>
  <c r="AQ1370" i="3"/>
  <c r="AQ530" i="3" s="1"/>
  <c r="AQ1279" i="3"/>
  <c r="AQ439" i="3" s="1"/>
  <c r="AQ1219" i="3"/>
  <c r="AQ379" i="3" s="1"/>
  <c r="AQ1331" i="3"/>
  <c r="AQ491" i="3" s="1"/>
  <c r="AQ1406" i="3"/>
  <c r="AQ566" i="3" s="1"/>
  <c r="AQ1338" i="3"/>
  <c r="AQ498" i="3" s="1"/>
  <c r="AQ1210" i="3"/>
  <c r="AQ370" i="3" s="1"/>
  <c r="AU1323" i="3"/>
  <c r="AU483" i="3" s="1"/>
  <c r="AU1426" i="3"/>
  <c r="AU586" i="3" s="1"/>
  <c r="AU1455" i="3"/>
  <c r="AU615" i="3" s="1"/>
  <c r="AU1332" i="3"/>
  <c r="AU492" i="3" s="1"/>
  <c r="AU1268" i="3"/>
  <c r="AU428" i="3" s="1"/>
  <c r="AB1438" i="3"/>
  <c r="AB598" i="3" s="1"/>
  <c r="R1349" i="3"/>
  <c r="R509" i="3" s="1"/>
  <c r="R1440" i="3"/>
  <c r="R600" i="3" s="1"/>
  <c r="R1451" i="3"/>
  <c r="R611" i="3" s="1"/>
  <c r="R1281" i="3"/>
  <c r="R441" i="3" s="1"/>
  <c r="V1452" i="3"/>
  <c r="V612" i="3" s="1"/>
  <c r="Z1287" i="3"/>
  <c r="Z447" i="3" s="1"/>
  <c r="AD1401" i="3"/>
  <c r="AD561" i="3" s="1"/>
  <c r="AD1233" i="3"/>
  <c r="AD393" i="3" s="1"/>
  <c r="AD1400" i="3"/>
  <c r="AD560" i="3" s="1"/>
  <c r="AD1196" i="3"/>
  <c r="AD356" i="3" s="1"/>
  <c r="AD1359" i="3"/>
  <c r="AD519" i="3" s="1"/>
  <c r="AD1301" i="3"/>
  <c r="AD461" i="3" s="1"/>
  <c r="AD1379" i="3"/>
  <c r="AD539" i="3" s="1"/>
  <c r="AD1307" i="3"/>
  <c r="AD467" i="3" s="1"/>
  <c r="AD1294" i="3"/>
  <c r="AD454" i="3" s="1"/>
  <c r="AD1231" i="3"/>
  <c r="AD391" i="3" s="1"/>
  <c r="AD1350" i="3"/>
  <c r="AD510" i="3" s="1"/>
  <c r="AH1403" i="3"/>
  <c r="AH563" i="3" s="1"/>
  <c r="AH1308" i="3"/>
  <c r="AH468" i="3" s="1"/>
  <c r="AH1387" i="3"/>
  <c r="AH547" i="3" s="1"/>
  <c r="AH1215" i="3"/>
  <c r="AH1402" i="3"/>
  <c r="AH562" i="3" s="1"/>
  <c r="AH1295" i="3"/>
  <c r="AH455" i="3" s="1"/>
  <c r="AH1315" i="3"/>
  <c r="AH475" i="3" s="1"/>
  <c r="AH1421" i="3"/>
  <c r="AH581" i="3" s="1"/>
  <c r="AH1261" i="3"/>
  <c r="AH421" i="3" s="1"/>
  <c r="AH1197" i="3"/>
  <c r="AH357" i="3" s="1"/>
  <c r="AH1200" i="3"/>
  <c r="AH360" i="3" s="1"/>
  <c r="AH1226" i="3"/>
  <c r="AH386" i="3" s="1"/>
  <c r="AH1196" i="3"/>
  <c r="AH356" i="3" s="1"/>
  <c r="AH1342" i="3"/>
  <c r="AH502" i="3" s="1"/>
  <c r="AH1256" i="3"/>
  <c r="AL1332" i="3"/>
  <c r="AL492" i="3" s="1"/>
  <c r="AL1313" i="3"/>
  <c r="AL473" i="3" s="1"/>
  <c r="AL1346" i="3"/>
  <c r="AL506" i="3" s="1"/>
  <c r="AP1337" i="3"/>
  <c r="AP497" i="3" s="1"/>
  <c r="AP1312" i="3"/>
  <c r="AP472" i="3" s="1"/>
  <c r="AP1343" i="3"/>
  <c r="AP503" i="3" s="1"/>
  <c r="AP1409" i="3"/>
  <c r="AP569" i="3" s="1"/>
  <c r="AP1257" i="3"/>
  <c r="AP417" i="3" s="1"/>
  <c r="AP1193" i="3"/>
  <c r="AP353" i="3" s="1"/>
  <c r="AP1248" i="3"/>
  <c r="AP408" i="3" s="1"/>
  <c r="AP1247" i="3"/>
  <c r="AP407" i="3" s="1"/>
  <c r="AP1325" i="3"/>
  <c r="AP485" i="3" s="1"/>
  <c r="AP1294" i="3"/>
  <c r="AP454" i="3" s="1"/>
  <c r="AT1277" i="3"/>
  <c r="AX1413" i="3"/>
  <c r="AX573" i="3" s="1"/>
  <c r="AX1277" i="3"/>
  <c r="AX437" i="3" s="1"/>
  <c r="AX1219" i="3"/>
  <c r="AX379" i="3" s="1"/>
  <c r="AX1390" i="3"/>
  <c r="AX550" i="3" s="1"/>
  <c r="AX1405" i="3"/>
  <c r="AX565" i="3" s="1"/>
  <c r="AX1253" i="3"/>
  <c r="AX1189" i="3"/>
  <c r="AX349" i="3" s="1"/>
  <c r="AX1303" i="3"/>
  <c r="AX463" i="3" s="1"/>
  <c r="AX1339" i="3"/>
  <c r="AX499" i="3" s="1"/>
  <c r="AX1378" i="3"/>
  <c r="AX538" i="3" s="1"/>
  <c r="AX1274" i="3"/>
  <c r="AX434" i="3" s="1"/>
  <c r="P1396" i="3"/>
  <c r="P556" i="3" s="1"/>
  <c r="P1269" i="3"/>
  <c r="P429" i="3" s="1"/>
  <c r="P1308" i="3"/>
  <c r="P468" i="3" s="1"/>
  <c r="P1368" i="3"/>
  <c r="P528" i="3" s="1"/>
  <c r="X1239" i="3"/>
  <c r="X399" i="3" s="1"/>
  <c r="X1262" i="3"/>
  <c r="X422" i="3" s="1"/>
  <c r="AJ1403" i="3"/>
  <c r="AJ563" i="3" s="1"/>
  <c r="AJ1256" i="3"/>
  <c r="U1437" i="3"/>
  <c r="U597" i="3" s="1"/>
  <c r="AB1261" i="3"/>
  <c r="AB421" i="3" s="1"/>
  <c r="AB1293" i="3"/>
  <c r="AB453" i="3" s="1"/>
  <c r="AN1432" i="3"/>
  <c r="AN592" i="3" s="1"/>
  <c r="AR1352" i="3"/>
  <c r="AR512" i="3" s="1"/>
  <c r="AR1254" i="3"/>
  <c r="AR1190" i="3"/>
  <c r="AR350" i="3" s="1"/>
  <c r="AR1370" i="3"/>
  <c r="AR530" i="3" s="1"/>
  <c r="AV1308" i="3"/>
  <c r="AV468" i="3" s="1"/>
  <c r="AV1370" i="3"/>
  <c r="AV530" i="3" s="1"/>
  <c r="AV1340" i="3"/>
  <c r="AV500" i="3" s="1"/>
  <c r="AV1232" i="3"/>
  <c r="AV392" i="3" s="1"/>
  <c r="AV1251" i="3"/>
  <c r="AV411" i="3" s="1"/>
  <c r="AV1187" i="3"/>
  <c r="AV347" i="3" s="1"/>
  <c r="AV1314" i="3"/>
  <c r="AV474" i="3" s="1"/>
  <c r="Q1333" i="3"/>
  <c r="Q493" i="3" s="1"/>
  <c r="Q1269" i="3"/>
  <c r="Q429" i="3" s="1"/>
  <c r="Q1328" i="3"/>
  <c r="Q488" i="3" s="1"/>
  <c r="U1187" i="3"/>
  <c r="U347" i="3" s="1"/>
  <c r="U1402" i="3"/>
  <c r="U562" i="3" s="1"/>
  <c r="Y1397" i="3"/>
  <c r="Y557" i="3" s="1"/>
  <c r="Y1301" i="3"/>
  <c r="Y461" i="3" s="1"/>
  <c r="Y1328" i="3"/>
  <c r="Y488" i="3" s="1"/>
  <c r="Y1387" i="3"/>
  <c r="Y547" i="3" s="1"/>
  <c r="AK1331" i="3"/>
  <c r="AK491" i="3" s="1"/>
  <c r="AK1267" i="3"/>
  <c r="AK427" i="3" s="1"/>
  <c r="AK1203" i="3"/>
  <c r="AK363" i="3" s="1"/>
  <c r="AK1355" i="3"/>
  <c r="AK515" i="3" s="1"/>
  <c r="AK1302" i="3"/>
  <c r="AK462" i="3" s="1"/>
  <c r="AK1265" i="3"/>
  <c r="AK425" i="3" s="1"/>
  <c r="AK1201" i="3"/>
  <c r="AK361" i="3" s="1"/>
  <c r="AK1378" i="3"/>
  <c r="AK538" i="3" s="1"/>
  <c r="AO1407" i="3"/>
  <c r="AO567" i="3" s="1"/>
  <c r="AO1327" i="3"/>
  <c r="AO487" i="3" s="1"/>
  <c r="AO1263" i="3"/>
  <c r="AO423" i="3" s="1"/>
  <c r="AO1422" i="3"/>
  <c r="AO582" i="3" s="1"/>
  <c r="AO1338" i="3"/>
  <c r="AO498" i="3" s="1"/>
  <c r="AO1274" i="3"/>
  <c r="AO434" i="3" s="1"/>
  <c r="AO1210" i="3"/>
  <c r="AO370" i="3" s="1"/>
  <c r="AO1356" i="3"/>
  <c r="AO516" i="3" s="1"/>
  <c r="AO1329" i="3"/>
  <c r="AO489" i="3" s="1"/>
  <c r="AO1265" i="3"/>
  <c r="AO425" i="3" s="1"/>
  <c r="AO1252" i="3"/>
  <c r="AO412" i="3" s="1"/>
  <c r="AO1200" i="3"/>
  <c r="AO360" i="3" s="1"/>
  <c r="AO1191" i="3"/>
  <c r="AO351" i="3" s="1"/>
  <c r="AS1417" i="3"/>
  <c r="AS577" i="3" s="1"/>
  <c r="S1210" i="3"/>
  <c r="S370" i="3" s="1"/>
  <c r="S1325" i="3"/>
  <c r="S485" i="3" s="1"/>
  <c r="S1293" i="3"/>
  <c r="S453" i="3" s="1"/>
  <c r="S1240" i="3"/>
  <c r="S400" i="3" s="1"/>
  <c r="W1401" i="3"/>
  <c r="W561" i="3" s="1"/>
  <c r="W1333" i="3"/>
  <c r="W493" i="3" s="1"/>
  <c r="W1320" i="3"/>
  <c r="W480" i="3" s="1"/>
  <c r="AA1212" i="3"/>
  <c r="AA372" i="3" s="1"/>
  <c r="AA1355" i="3"/>
  <c r="AA515" i="3" s="1"/>
  <c r="AB1250" i="3"/>
  <c r="AB410" i="3" s="1"/>
  <c r="AB1263" i="3"/>
  <c r="AB423" i="3" s="1"/>
  <c r="R1304" i="3"/>
  <c r="R464" i="3" s="1"/>
  <c r="R1380" i="3"/>
  <c r="R540" i="3" s="1"/>
  <c r="R1231" i="3"/>
  <c r="R391" i="3" s="1"/>
  <c r="R1411" i="3"/>
  <c r="R571" i="3" s="1"/>
  <c r="R1213" i="3"/>
  <c r="R373" i="3" s="1"/>
  <c r="V1284" i="3"/>
  <c r="V444" i="3" s="1"/>
  <c r="Z1257" i="3"/>
  <c r="Z417" i="3" s="1"/>
  <c r="AL1422" i="3"/>
  <c r="AL582" i="3" s="1"/>
  <c r="AT1401" i="3"/>
  <c r="AT561" i="3" s="1"/>
  <c r="P1250" i="3"/>
  <c r="P410" i="3" s="1"/>
  <c r="T1349" i="3"/>
  <c r="T509" i="3" s="1"/>
  <c r="T1305" i="3"/>
  <c r="T465" i="3" s="1"/>
  <c r="AF1281" i="3"/>
  <c r="AF441" i="3" s="1"/>
  <c r="AR1417" i="3"/>
  <c r="AR577" i="3" s="1"/>
  <c r="AR1399" i="3"/>
  <c r="AR559" i="3" s="1"/>
  <c r="AR1351" i="3"/>
  <c r="AR511" i="3" s="1"/>
  <c r="AR1379" i="3"/>
  <c r="AR539" i="3" s="1"/>
  <c r="AR1384" i="3"/>
  <c r="AR544" i="3" s="1"/>
  <c r="AR1382" i="3"/>
  <c r="AR542" i="3" s="1"/>
  <c r="AR1239" i="3"/>
  <c r="AR399" i="3" s="1"/>
  <c r="AR1350" i="3"/>
  <c r="AR510" i="3" s="1"/>
  <c r="AV1431" i="3"/>
  <c r="AV591" i="3" s="1"/>
  <c r="AV1429" i="3"/>
  <c r="AV589" i="3" s="1"/>
  <c r="AV1451" i="3"/>
  <c r="AV611" i="3" s="1"/>
  <c r="AC1263" i="3"/>
  <c r="AC423" i="3" s="1"/>
  <c r="AK1281" i="3"/>
  <c r="AK441" i="3" s="1"/>
  <c r="AK1217" i="3"/>
  <c r="AK1402" i="3"/>
  <c r="AK562" i="3" s="1"/>
  <c r="AO1424" i="3"/>
  <c r="AO584" i="3" s="1"/>
  <c r="AO1343" i="3"/>
  <c r="AO503" i="3" s="1"/>
  <c r="AO1279" i="3"/>
  <c r="AO439" i="3" s="1"/>
  <c r="AO1215" i="3"/>
  <c r="AO1354" i="3"/>
  <c r="AO514" i="3" s="1"/>
  <c r="AO1290" i="3"/>
  <c r="AO450" i="3" s="1"/>
  <c r="AO1226" i="3"/>
  <c r="AO386" i="3" s="1"/>
  <c r="AO1376" i="3"/>
  <c r="AO536" i="3" s="1"/>
  <c r="AO1431" i="3"/>
  <c r="AO591" i="3" s="1"/>
  <c r="AO1345" i="3"/>
  <c r="AO505" i="3" s="1"/>
  <c r="AO1281" i="3"/>
  <c r="AO441" i="3" s="1"/>
  <c r="AO1217" i="3"/>
  <c r="AO1316" i="3"/>
  <c r="AO476" i="3" s="1"/>
  <c r="AO1264" i="3"/>
  <c r="AO424" i="3" s="1"/>
  <c r="AO1212" i="3"/>
  <c r="AO372" i="3" s="1"/>
  <c r="AO1272" i="3"/>
  <c r="AO432" i="3" s="1"/>
  <c r="AS1324" i="3"/>
  <c r="AS484" i="3" s="1"/>
  <c r="AS1260" i="3"/>
  <c r="AS420" i="3" s="1"/>
  <c r="AS1423" i="3"/>
  <c r="AS583" i="3" s="1"/>
  <c r="AS1261" i="3"/>
  <c r="AS421" i="3" s="1"/>
  <c r="AS1197" i="3"/>
  <c r="AS357" i="3" s="1"/>
  <c r="S1290" i="3"/>
  <c r="S450" i="3" s="1"/>
  <c r="S1226" i="3"/>
  <c r="S386" i="3" s="1"/>
  <c r="W1285" i="3"/>
  <c r="W445" i="3" s="1"/>
  <c r="W1274" i="3"/>
  <c r="W434" i="3" s="1"/>
  <c r="AA1387" i="3"/>
  <c r="AA547" i="3" s="1"/>
  <c r="AI1451" i="3"/>
  <c r="AI611" i="3" s="1"/>
  <c r="R1345" i="3"/>
  <c r="R505" i="3" s="1"/>
  <c r="R1284" i="3"/>
  <c r="R444" i="3" s="1"/>
  <c r="R1259" i="3"/>
  <c r="R419" i="3" s="1"/>
  <c r="R1305" i="3"/>
  <c r="R465" i="3" s="1"/>
  <c r="R1225" i="3"/>
  <c r="R385" i="3" s="1"/>
  <c r="R1264" i="3"/>
  <c r="R424" i="3" s="1"/>
  <c r="R1291" i="3"/>
  <c r="R451" i="3" s="1"/>
  <c r="R1334" i="3"/>
  <c r="R494" i="3" s="1"/>
  <c r="R1186" i="3"/>
  <c r="R346" i="3" s="1"/>
  <c r="Z1451" i="3"/>
  <c r="Z611" i="3" s="1"/>
  <c r="Z1336" i="3"/>
  <c r="Z496" i="3" s="1"/>
  <c r="AP1403" i="3"/>
  <c r="AP563" i="3" s="1"/>
  <c r="AX1440" i="3"/>
  <c r="AX600" i="3" s="1"/>
  <c r="AF1187" i="3"/>
  <c r="AF347" i="3" s="1"/>
  <c r="AR1400" i="3"/>
  <c r="AR560" i="3" s="1"/>
  <c r="AR1253" i="3"/>
  <c r="AR1189" i="3"/>
  <c r="AR349" i="3" s="1"/>
  <c r="AR1203" i="3"/>
  <c r="AR363" i="3" s="1"/>
  <c r="AR1422" i="3"/>
  <c r="AR582" i="3" s="1"/>
  <c r="AR1218" i="3"/>
  <c r="AR1294" i="3"/>
  <c r="AR454" i="3" s="1"/>
  <c r="AR1334" i="3"/>
  <c r="AR494" i="3" s="1"/>
  <c r="AV1277" i="3"/>
  <c r="AV1233" i="3"/>
  <c r="AV393" i="3" s="1"/>
  <c r="AV1455" i="3"/>
  <c r="AV615" i="3" s="1"/>
  <c r="S1389" i="3"/>
  <c r="S549" i="3" s="1"/>
  <c r="S1193" i="3"/>
  <c r="S353" i="3" s="1"/>
  <c r="S1319" i="3"/>
  <c r="S479" i="3" s="1"/>
  <c r="S1239" i="3"/>
  <c r="S399" i="3" s="1"/>
  <c r="S1457" i="3"/>
  <c r="S617" i="3" s="1"/>
  <c r="W1283" i="3"/>
  <c r="W443" i="3" s="1"/>
  <c r="W1454" i="3"/>
  <c r="W614" i="3" s="1"/>
  <c r="AQ1328" i="3"/>
  <c r="AQ488" i="3" s="1"/>
  <c r="AQ1200" i="3"/>
  <c r="AQ360" i="3" s="1"/>
  <c r="AU1347" i="3"/>
  <c r="AU507" i="3" s="1"/>
  <c r="AU1305" i="3"/>
  <c r="AU465" i="3" s="1"/>
  <c r="AU1241" i="3"/>
  <c r="AU401" i="3" s="1"/>
  <c r="AU1292" i="3"/>
  <c r="AU452" i="3" s="1"/>
  <c r="AU1228" i="3"/>
  <c r="AU388" i="3" s="1"/>
  <c r="AU1377" i="3"/>
  <c r="AU537" i="3" s="1"/>
  <c r="R1338" i="3"/>
  <c r="R498" i="3" s="1"/>
  <c r="R1302" i="3"/>
  <c r="R462" i="3" s="1"/>
  <c r="V1221" i="3"/>
  <c r="V381" i="3" s="1"/>
  <c r="V1380" i="3"/>
  <c r="V540" i="3" s="1"/>
  <c r="AL1189" i="3"/>
  <c r="AL349" i="3" s="1"/>
  <c r="AT1321" i="3"/>
  <c r="AT481" i="3" s="1"/>
  <c r="AT1319" i="3"/>
  <c r="AT479" i="3" s="1"/>
  <c r="AT1322" i="3"/>
  <c r="AT482" i="3" s="1"/>
  <c r="AX1452" i="3"/>
  <c r="AX612" i="3" s="1"/>
  <c r="AX1451" i="3"/>
  <c r="AX611" i="3" s="1"/>
  <c r="T1249" i="3"/>
  <c r="T409" i="3" s="1"/>
  <c r="T1302" i="3"/>
  <c r="T462" i="3" s="1"/>
  <c r="T1239" i="3"/>
  <c r="T399" i="3" s="1"/>
  <c r="T1214" i="3"/>
  <c r="T374" i="3" s="1"/>
  <c r="AR1321" i="3"/>
  <c r="AR481" i="3" s="1"/>
  <c r="AV1345" i="3"/>
  <c r="AV505" i="3" s="1"/>
  <c r="AG1430" i="3"/>
  <c r="AG590" i="3" s="1"/>
  <c r="AO1443" i="3"/>
  <c r="AO603" i="3" s="1"/>
  <c r="AS1214" i="3"/>
  <c r="AS374" i="3" s="1"/>
  <c r="AS1194" i="3"/>
  <c r="AS354" i="3" s="1"/>
  <c r="S1437" i="3"/>
  <c r="S597" i="3" s="1"/>
  <c r="AA1252" i="3"/>
  <c r="AA412" i="3" s="1"/>
  <c r="AA1360" i="3"/>
  <c r="AA520" i="3" s="1"/>
  <c r="AU1430" i="3"/>
  <c r="AU590" i="3" s="1"/>
  <c r="AU1450" i="3"/>
  <c r="AU610" i="3" s="1"/>
  <c r="AU1449" i="3"/>
  <c r="AU609" i="3" s="1"/>
  <c r="AM1324" i="3"/>
  <c r="AM484" i="3" s="1"/>
  <c r="AQ1413" i="3"/>
  <c r="AQ573" i="3" s="1"/>
  <c r="AQ1332" i="3"/>
  <c r="AQ492" i="3" s="1"/>
  <c r="AQ1268" i="3"/>
  <c r="AQ428" i="3" s="1"/>
  <c r="AQ1335" i="3"/>
  <c r="AQ495" i="3" s="1"/>
  <c r="AQ1247" i="3"/>
  <c r="AQ407" i="3" s="1"/>
  <c r="AQ1430" i="3"/>
  <c r="AQ590" i="3" s="1"/>
  <c r="AQ1275" i="3"/>
  <c r="AQ435" i="3" s="1"/>
  <c r="AB1454" i="3"/>
  <c r="AB614" i="3" s="1"/>
  <c r="R1426" i="3"/>
  <c r="R586" i="3" s="1"/>
  <c r="R1409" i="3"/>
  <c r="R569" i="3" s="1"/>
  <c r="R1443" i="3"/>
  <c r="R603" i="3" s="1"/>
  <c r="AH1451" i="3"/>
  <c r="AH611" i="3" s="1"/>
  <c r="AP1260" i="3"/>
  <c r="AP420" i="3" s="1"/>
  <c r="AP1196" i="3"/>
  <c r="AP356" i="3" s="1"/>
  <c r="AN1425" i="3"/>
  <c r="AN585" i="3" s="1"/>
  <c r="AR1441" i="3"/>
  <c r="AR601" i="3" s="1"/>
  <c r="AR1446" i="3"/>
  <c r="AR606" i="3" s="1"/>
  <c r="AK1411" i="3"/>
  <c r="AK571" i="3" s="1"/>
  <c r="AK1316" i="3"/>
  <c r="AK476" i="3" s="1"/>
  <c r="AK1252" i="3"/>
  <c r="AK412" i="3" s="1"/>
  <c r="AK1295" i="3"/>
  <c r="AK455" i="3" s="1"/>
  <c r="AK1231" i="3"/>
  <c r="AK391" i="3" s="1"/>
  <c r="AK1192" i="3"/>
  <c r="AK352" i="3" s="1"/>
  <c r="AK1452" i="3"/>
  <c r="AK612" i="3" s="1"/>
  <c r="S1360" i="3"/>
  <c r="S520" i="3" s="1"/>
  <c r="S1224" i="3"/>
  <c r="S384" i="3" s="1"/>
  <c r="W1438" i="3"/>
  <c r="W598" i="3" s="1"/>
  <c r="AA1441" i="3"/>
  <c r="AA601" i="3" s="1"/>
  <c r="AA1440" i="3"/>
  <c r="AA600" i="3" s="1"/>
  <c r="AE1425" i="3"/>
  <c r="AE585" i="3" s="1"/>
  <c r="AQ1337" i="3"/>
  <c r="AQ497" i="3" s="1"/>
  <c r="AQ1442" i="3"/>
  <c r="AQ602" i="3" s="1"/>
  <c r="AU1443" i="3"/>
  <c r="AU603" i="3" s="1"/>
  <c r="AB1270" i="3"/>
  <c r="AB430" i="3" s="1"/>
  <c r="AT1450" i="3"/>
  <c r="AT610" i="3" s="1"/>
  <c r="T1367" i="3"/>
  <c r="T527" i="3" s="1"/>
  <c r="T1402" i="3"/>
  <c r="T562" i="3" s="1"/>
  <c r="T1259" i="3"/>
  <c r="T419" i="3" s="1"/>
  <c r="T1450" i="3"/>
  <c r="T610" i="3" s="1"/>
  <c r="T1234" i="3"/>
  <c r="T394" i="3" s="1"/>
  <c r="AF1263" i="3"/>
  <c r="AF423" i="3" s="1"/>
  <c r="AF1278" i="3"/>
  <c r="AF438" i="3" s="1"/>
  <c r="AF1335" i="3"/>
  <c r="AF495" i="3" s="1"/>
  <c r="AF1390" i="3"/>
  <c r="AF550" i="3" s="1"/>
  <c r="AJ1408" i="3"/>
  <c r="AJ568" i="3" s="1"/>
  <c r="AJ1248" i="3"/>
  <c r="AJ408" i="3" s="1"/>
  <c r="AJ1451" i="3"/>
  <c r="AJ611" i="3" s="1"/>
  <c r="AJ1267" i="3"/>
  <c r="AJ427" i="3" s="1"/>
  <c r="AV1449" i="3"/>
  <c r="AV609" i="3" s="1"/>
  <c r="AV1430" i="3"/>
  <c r="AV590" i="3" s="1"/>
  <c r="Q1425" i="3"/>
  <c r="Q585" i="3" s="1"/>
  <c r="Q1327" i="3"/>
  <c r="Q487" i="3" s="1"/>
  <c r="AU1192" i="3"/>
  <c r="AU352" i="3" s="1"/>
  <c r="AA1303" i="3"/>
  <c r="AA463" i="3" s="1"/>
  <c r="AM1308" i="3"/>
  <c r="AM468" i="3" s="1"/>
  <c r="AQ1284" i="3"/>
  <c r="AQ444" i="3" s="1"/>
  <c r="AQ1220" i="3"/>
  <c r="AQ380" i="3" s="1"/>
  <c r="AQ1341" i="3"/>
  <c r="AQ501" i="3" s="1"/>
  <c r="AQ1277" i="3"/>
  <c r="AQ1213" i="3"/>
  <c r="AQ373" i="3" s="1"/>
  <c r="AQ1368" i="3"/>
  <c r="AQ528" i="3" s="1"/>
  <c r="AQ1446" i="3"/>
  <c r="AQ606" i="3" s="1"/>
  <c r="AQ1356" i="3"/>
  <c r="AQ516" i="3" s="1"/>
  <c r="AQ1361" i="3"/>
  <c r="AQ521" i="3" s="1"/>
  <c r="AQ1399" i="3"/>
  <c r="AQ559" i="3" s="1"/>
  <c r="AQ1194" i="3"/>
  <c r="AQ354" i="3" s="1"/>
  <c r="AQ1199" i="3"/>
  <c r="AQ359" i="3" s="1"/>
  <c r="AQ1407" i="3"/>
  <c r="AQ567" i="3" s="1"/>
  <c r="AQ1318" i="3"/>
  <c r="AQ478" i="3" s="1"/>
  <c r="AQ1326" i="3"/>
  <c r="AQ486" i="3" s="1"/>
  <c r="AU1328" i="3"/>
  <c r="AU488" i="3" s="1"/>
  <c r="AD1226" i="3"/>
  <c r="AD386" i="3" s="1"/>
  <c r="AH1438" i="3"/>
  <c r="AH598" i="3" s="1"/>
  <c r="AP1437" i="3"/>
  <c r="AP597" i="3" s="1"/>
  <c r="T1263" i="3"/>
  <c r="T423" i="3" s="1"/>
  <c r="T1285" i="3"/>
  <c r="T445" i="3" s="1"/>
  <c r="T1187" i="3"/>
  <c r="T347" i="3" s="1"/>
  <c r="X1201" i="3"/>
  <c r="X361" i="3" s="1"/>
  <c r="X1376" i="3"/>
  <c r="X536" i="3" s="1"/>
  <c r="X1326" i="3"/>
  <c r="X486" i="3" s="1"/>
  <c r="AF1342" i="3"/>
  <c r="AF502" i="3" s="1"/>
  <c r="AN1303" i="3"/>
  <c r="AN463" i="3" s="1"/>
  <c r="U1425" i="3"/>
  <c r="U585" i="3" s="1"/>
  <c r="Y1360" i="3"/>
  <c r="Y520" i="3" s="1"/>
  <c r="Y1413" i="3"/>
  <c r="Y573" i="3" s="1"/>
  <c r="Y1249" i="3"/>
  <c r="Y409" i="3" s="1"/>
  <c r="Y1398" i="3"/>
  <c r="Y558" i="3" s="1"/>
  <c r="Y1226" i="3"/>
  <c r="Y386" i="3" s="1"/>
  <c r="AG1401" i="3"/>
  <c r="AG561" i="3" s="1"/>
  <c r="AK1437" i="3"/>
  <c r="AK597" i="3" s="1"/>
  <c r="AK1454" i="3"/>
  <c r="AK614" i="3" s="1"/>
  <c r="AK1298" i="3"/>
  <c r="AK458" i="3" s="1"/>
  <c r="AK1234" i="3"/>
  <c r="AK394" i="3" s="1"/>
  <c r="AK1325" i="3"/>
  <c r="AK485" i="3" s="1"/>
  <c r="AK1261" i="3"/>
  <c r="AK421" i="3" s="1"/>
  <c r="AK1197" i="3"/>
  <c r="AK357" i="3" s="1"/>
  <c r="AO1261" i="3"/>
  <c r="AO421" i="3" s="1"/>
  <c r="AS1193" i="3"/>
  <c r="AS353" i="3" s="1"/>
  <c r="AW1453" i="3"/>
  <c r="AW613" i="3" s="1"/>
  <c r="AE1209" i="3"/>
  <c r="AE369" i="3" s="1"/>
  <c r="AM1336" i="3"/>
  <c r="AM496" i="3" s="1"/>
  <c r="AM1272" i="3"/>
  <c r="AM432" i="3" s="1"/>
  <c r="R1425" i="3"/>
  <c r="R585" i="3" s="1"/>
  <c r="AD1388" i="3"/>
  <c r="AD548" i="3" s="1"/>
  <c r="AD1204" i="3"/>
  <c r="AD364" i="3" s="1"/>
  <c r="T1437" i="3"/>
  <c r="T597" i="3" s="1"/>
  <c r="AF1215" i="3"/>
  <c r="AJ1455" i="3"/>
  <c r="AJ615" i="3" s="1"/>
  <c r="AJ1453" i="3"/>
  <c r="AJ613" i="3" s="1"/>
  <c r="AJ1397" i="3"/>
  <c r="AJ557" i="3" s="1"/>
  <c r="AJ1201" i="3"/>
  <c r="AJ361" i="3" s="1"/>
  <c r="AJ1349" i="3"/>
  <c r="AJ509" i="3" s="1"/>
  <c r="AJ1396" i="3"/>
  <c r="AJ556" i="3" s="1"/>
  <c r="AJ1318" i="3"/>
  <c r="AJ478" i="3" s="1"/>
  <c r="AN1227" i="3"/>
  <c r="AN387" i="3" s="1"/>
  <c r="AN1306" i="3"/>
  <c r="AN466" i="3" s="1"/>
  <c r="AR1416" i="3"/>
  <c r="AR576" i="3" s="1"/>
  <c r="U1195" i="3"/>
  <c r="U355" i="3" s="1"/>
  <c r="Y1408" i="3"/>
  <c r="Y568" i="3" s="1"/>
  <c r="AS1301" i="3"/>
  <c r="AS461" i="3" s="1"/>
  <c r="AA1195" i="3"/>
  <c r="AA355" i="3" s="1"/>
  <c r="AI1354" i="3"/>
  <c r="AI514" i="3" s="1"/>
  <c r="AI1290" i="3"/>
  <c r="AI450" i="3" s="1"/>
  <c r="AM1419" i="3"/>
  <c r="AM579" i="3" s="1"/>
  <c r="AU1420" i="3"/>
  <c r="AU580" i="3" s="1"/>
  <c r="AE1325" i="3"/>
  <c r="AE485" i="3" s="1"/>
  <c r="AI1228" i="3"/>
  <c r="AI388" i="3" s="1"/>
  <c r="AI1378" i="3"/>
  <c r="AI538" i="3" s="1"/>
  <c r="AI1314" i="3"/>
  <c r="AI474" i="3" s="1"/>
  <c r="AQ1447" i="3"/>
  <c r="AQ607" i="3" s="1"/>
  <c r="AU1448" i="3"/>
  <c r="AU608" i="3" s="1"/>
  <c r="AU1400" i="3"/>
  <c r="AU560" i="3" s="1"/>
  <c r="AB1413" i="3"/>
  <c r="AB573" i="3" s="1"/>
  <c r="AB1414" i="3"/>
  <c r="AB574" i="3" s="1"/>
  <c r="AB1356" i="3"/>
  <c r="AB516" i="3" s="1"/>
  <c r="AB1247" i="3"/>
  <c r="AB407" i="3" s="1"/>
  <c r="R1209" i="3"/>
  <c r="R369" i="3" s="1"/>
  <c r="R1248" i="3"/>
  <c r="R408" i="3" s="1"/>
  <c r="R1271" i="3"/>
  <c r="R431" i="3" s="1"/>
  <c r="Z1269" i="3"/>
  <c r="Z429" i="3" s="1"/>
  <c r="X1233" i="3"/>
  <c r="X393" i="3" s="1"/>
  <c r="AN1455" i="3"/>
  <c r="AN615" i="3" s="1"/>
  <c r="AR1187" i="3"/>
  <c r="AR347" i="3" s="1"/>
  <c r="AR1202" i="3"/>
  <c r="AR362" i="3" s="1"/>
  <c r="AR1278" i="3"/>
  <c r="AV1412" i="3"/>
  <c r="AV572" i="3" s="1"/>
  <c r="AV1329" i="3"/>
  <c r="AV489" i="3" s="1"/>
  <c r="AV1217" i="3"/>
  <c r="Q1429" i="3"/>
  <c r="Y1193" i="3"/>
  <c r="Y353" i="3" s="1"/>
  <c r="AC1440" i="3"/>
  <c r="AC600" i="3" s="1"/>
  <c r="AC1195" i="3"/>
  <c r="AC355" i="3" s="1"/>
  <c r="AC1290" i="3"/>
  <c r="AC450" i="3" s="1"/>
  <c r="AC1226" i="3"/>
  <c r="AC386" i="3" s="1"/>
  <c r="AO1427" i="3"/>
  <c r="AO587" i="3" s="1"/>
  <c r="AW1430" i="3"/>
  <c r="AW590" i="3" s="1"/>
  <c r="W1319" i="3"/>
  <c r="W479" i="3" s="1"/>
  <c r="W1350" i="3"/>
  <c r="W510" i="3" s="1"/>
  <c r="AE1427" i="3"/>
  <c r="AE587" i="3" s="1"/>
  <c r="AE1240" i="3"/>
  <c r="AE400" i="3" s="1"/>
  <c r="AI1425" i="3"/>
  <c r="AI585" i="3" s="1"/>
  <c r="AM1420" i="3"/>
  <c r="AM580" i="3" s="1"/>
  <c r="AM1352" i="3"/>
  <c r="AM512" i="3" s="1"/>
  <c r="AM1438" i="3"/>
  <c r="AM598" i="3" s="1"/>
  <c r="AU1439" i="3"/>
  <c r="AU599" i="3" s="1"/>
  <c r="AD1193" i="3"/>
  <c r="AD353" i="3" s="1"/>
  <c r="AH1437" i="3"/>
  <c r="AH597" i="3" s="1"/>
  <c r="AH1297" i="3"/>
  <c r="AH457" i="3" s="1"/>
  <c r="AH1221" i="3"/>
  <c r="AH381" i="3" s="1"/>
  <c r="AH1250" i="3"/>
  <c r="AH410" i="3" s="1"/>
  <c r="AP1302" i="3"/>
  <c r="AP462" i="3" s="1"/>
  <c r="T1232" i="3"/>
  <c r="T392" i="3" s="1"/>
  <c r="AF1325" i="3"/>
  <c r="AF485" i="3" s="1"/>
  <c r="AF1429" i="3"/>
  <c r="AF589" i="3" s="1"/>
  <c r="AN1450" i="3"/>
  <c r="AN610" i="3" s="1"/>
  <c r="AR1377" i="3"/>
  <c r="AR537" i="3" s="1"/>
  <c r="U1441" i="3"/>
  <c r="U601" i="3" s="1"/>
  <c r="AG1306" i="3"/>
  <c r="AG466" i="3" s="1"/>
  <c r="AG1242" i="3"/>
  <c r="AG402" i="3" s="1"/>
  <c r="AS1262" i="3"/>
  <c r="AS422" i="3" s="1"/>
  <c r="AE1442" i="3"/>
  <c r="AE602" i="3" s="1"/>
  <c r="AI1210" i="3"/>
  <c r="AI370" i="3" s="1"/>
  <c r="AM76" i="3"/>
  <c r="AQ76" i="3"/>
  <c r="AI76" i="3"/>
  <c r="AB1273" i="3"/>
  <c r="AB433" i="3" s="1"/>
  <c r="AB1427" i="3"/>
  <c r="AB587" i="3" s="1"/>
  <c r="AB1425" i="3"/>
  <c r="AB585" i="3" s="1"/>
  <c r="AB1308" i="3"/>
  <c r="AB468" i="3" s="1"/>
  <c r="AB1232" i="3"/>
  <c r="AB392" i="3" s="1"/>
  <c r="AB1380" i="3"/>
  <c r="AB540" i="3" s="1"/>
  <c r="AB1281" i="3"/>
  <c r="AB441" i="3" s="1"/>
  <c r="AB1398" i="3"/>
  <c r="AB558" i="3" s="1"/>
  <c r="AB1290" i="3"/>
  <c r="AB450" i="3" s="1"/>
  <c r="AB1239" i="3"/>
  <c r="AB399" i="3" s="1"/>
  <c r="AB1426" i="3"/>
  <c r="AB586" i="3" s="1"/>
  <c r="R1455" i="3"/>
  <c r="R615" i="3" s="1"/>
  <c r="R1449" i="3"/>
  <c r="R609" i="3" s="1"/>
  <c r="AD1203" i="3"/>
  <c r="AD363" i="3" s="1"/>
  <c r="AH1449" i="3"/>
  <c r="AH609" i="3" s="1"/>
  <c r="AH1283" i="3"/>
  <c r="AH443" i="3" s="1"/>
  <c r="AH1362" i="3"/>
  <c r="AH522" i="3" s="1"/>
  <c r="AH1265" i="3"/>
  <c r="AH425" i="3" s="1"/>
  <c r="AH1201" i="3"/>
  <c r="AH361" i="3" s="1"/>
  <c r="AH1356" i="3"/>
  <c r="AH516" i="3" s="1"/>
  <c r="AH1302" i="3"/>
  <c r="AH462" i="3" s="1"/>
  <c r="AL1190" i="3"/>
  <c r="AL350" i="3" s="1"/>
  <c r="AL1333" i="3"/>
  <c r="AL493" i="3" s="1"/>
  <c r="T1446" i="3"/>
  <c r="T606" i="3" s="1"/>
  <c r="AF1414" i="3"/>
  <c r="AF574" i="3" s="1"/>
  <c r="AJ1447" i="3"/>
  <c r="AJ607" i="3" s="1"/>
  <c r="AN1223" i="3"/>
  <c r="AN383" i="3" s="1"/>
  <c r="AN1302" i="3"/>
  <c r="AN462" i="3" s="1"/>
  <c r="AN1230" i="3"/>
  <c r="AN390" i="3" s="1"/>
  <c r="AN1312" i="3"/>
  <c r="AN472" i="3" s="1"/>
  <c r="AN1439" i="3"/>
  <c r="AN599" i="3" s="1"/>
  <c r="AN1446" i="3"/>
  <c r="AN606" i="3" s="1"/>
  <c r="AR1427" i="3"/>
  <c r="AR587" i="3" s="1"/>
  <c r="AR1425" i="3"/>
  <c r="AR585" i="3" s="1"/>
  <c r="AR1389" i="3"/>
  <c r="AR549" i="3" s="1"/>
  <c r="AR1258" i="3"/>
  <c r="AR418" i="3" s="1"/>
  <c r="AV1403" i="3"/>
  <c r="AV563" i="3" s="1"/>
  <c r="AV1426" i="3"/>
  <c r="AV586" i="3" s="1"/>
  <c r="AV1286" i="3"/>
  <c r="AV446" i="3" s="1"/>
  <c r="AV1214" i="3"/>
  <c r="AV374" i="3" s="1"/>
  <c r="AV1315" i="3"/>
  <c r="AV475" i="3" s="1"/>
  <c r="AC1426" i="3"/>
  <c r="AC586" i="3" s="1"/>
  <c r="AO1195" i="3"/>
  <c r="AO355" i="3" s="1"/>
  <c r="AS1233" i="3"/>
  <c r="AS393" i="3" s="1"/>
  <c r="AW1304" i="3"/>
  <c r="AW464" i="3" s="1"/>
  <c r="AW1240" i="3"/>
  <c r="AW400" i="3" s="1"/>
  <c r="W1326" i="3"/>
  <c r="W486" i="3" s="1"/>
  <c r="AA1210" i="3"/>
  <c r="AA370" i="3" s="1"/>
  <c r="AE1405" i="3"/>
  <c r="AE565" i="3" s="1"/>
  <c r="AM1429" i="3"/>
  <c r="AM589" i="3" s="1"/>
  <c r="AQ1307" i="3"/>
  <c r="AQ467" i="3" s="1"/>
  <c r="AQ1254" i="3"/>
  <c r="AB1443" i="3"/>
  <c r="AB603" i="3" s="1"/>
  <c r="R1407" i="3"/>
  <c r="R567" i="3" s="1"/>
  <c r="R1346" i="3"/>
  <c r="R506" i="3" s="1"/>
  <c r="Z1339" i="3"/>
  <c r="Z499" i="3" s="1"/>
  <c r="Z1348" i="3"/>
  <c r="Z508" i="3" s="1"/>
  <c r="Z1203" i="3"/>
  <c r="Z363" i="3" s="1"/>
  <c r="Z1369" i="3"/>
  <c r="Z529" i="3" s="1"/>
  <c r="Z1222" i="3"/>
  <c r="Z382" i="3" s="1"/>
  <c r="Z1290" i="3"/>
  <c r="Z450" i="3" s="1"/>
  <c r="AD1411" i="3"/>
  <c r="AD571" i="3" s="1"/>
  <c r="AD1377" i="3"/>
  <c r="AD537" i="3" s="1"/>
  <c r="AD1201" i="3"/>
  <c r="AD361" i="3" s="1"/>
  <c r="AD1356" i="3"/>
  <c r="AD516" i="3" s="1"/>
  <c r="AD1304" i="3"/>
  <c r="AD464" i="3" s="1"/>
  <c r="AD1355" i="3"/>
  <c r="AD515" i="3" s="1"/>
  <c r="AD1263" i="3"/>
  <c r="AD423" i="3" s="1"/>
  <c r="AD1291" i="3"/>
  <c r="AD451" i="3" s="1"/>
  <c r="AD1410" i="3"/>
  <c r="AD570" i="3" s="1"/>
  <c r="AD1376" i="3"/>
  <c r="AD536" i="3" s="1"/>
  <c r="AD1446" i="3"/>
  <c r="AD606" i="3" s="1"/>
  <c r="AD1318" i="3"/>
  <c r="AD478" i="3" s="1"/>
  <c r="AH1292" i="3"/>
  <c r="AH452" i="3" s="1"/>
  <c r="AH1263" i="3"/>
  <c r="AH423" i="3" s="1"/>
  <c r="AH1199" i="3"/>
  <c r="AH359" i="3" s="1"/>
  <c r="AH1386" i="3"/>
  <c r="AH546" i="3" s="1"/>
  <c r="AH1279" i="3"/>
  <c r="AH439" i="3" s="1"/>
  <c r="AH1358" i="3"/>
  <c r="AH518" i="3" s="1"/>
  <c r="AH1397" i="3"/>
  <c r="AH557" i="3" s="1"/>
  <c r="AH1424" i="3"/>
  <c r="AH584" i="3" s="1"/>
  <c r="AH1382" i="3"/>
  <c r="AH542" i="3" s="1"/>
  <c r="AH1210" i="3"/>
  <c r="AH370" i="3" s="1"/>
  <c r="AH1442" i="3"/>
  <c r="AH602" i="3" s="1"/>
  <c r="AH1314" i="3"/>
  <c r="AH474" i="3" s="1"/>
  <c r="AH1415" i="3"/>
  <c r="AH575" i="3" s="1"/>
  <c r="AL1395" i="3"/>
  <c r="AL555" i="3" s="1"/>
  <c r="AL1281" i="3"/>
  <c r="AL441" i="3" s="1"/>
  <c r="AL1213" i="3"/>
  <c r="AL373" i="3" s="1"/>
  <c r="AL1272" i="3"/>
  <c r="AL432" i="3" s="1"/>
  <c r="AL1204" i="3"/>
  <c r="AL364" i="3" s="1"/>
  <c r="AL1311" i="3"/>
  <c r="AL471" i="3" s="1"/>
  <c r="AL1298" i="3"/>
  <c r="AL458" i="3" s="1"/>
  <c r="AL1315" i="3"/>
  <c r="AL475" i="3" s="1"/>
  <c r="AL1266" i="3"/>
  <c r="AL426" i="3" s="1"/>
  <c r="AL1202" i="3"/>
  <c r="AL362" i="3" s="1"/>
  <c r="AL1349" i="3"/>
  <c r="AL509" i="3" s="1"/>
  <c r="AL1312" i="3"/>
  <c r="AL472" i="3" s="1"/>
  <c r="AL1211" i="3"/>
  <c r="AL371" i="3" s="1"/>
  <c r="AL1398" i="3"/>
  <c r="AL558" i="3" s="1"/>
  <c r="AL1304" i="3"/>
  <c r="AL464" i="3" s="1"/>
  <c r="AL1362" i="3"/>
  <c r="AL522" i="3" s="1"/>
  <c r="AP1317" i="3"/>
  <c r="AP477" i="3" s="1"/>
  <c r="AP1432" i="3"/>
  <c r="AP592" i="3" s="1"/>
  <c r="AP1296" i="3"/>
  <c r="AP456" i="3" s="1"/>
  <c r="AP1315" i="3"/>
  <c r="AP475" i="3" s="1"/>
  <c r="AP1375" i="3"/>
  <c r="AP535" i="3" s="1"/>
  <c r="AP1241" i="3"/>
  <c r="AP401" i="3" s="1"/>
  <c r="AP1416" i="3"/>
  <c r="AP576" i="3" s="1"/>
  <c r="AP1232" i="3"/>
  <c r="AP392" i="3" s="1"/>
  <c r="AP1231" i="3"/>
  <c r="AP391" i="3" s="1"/>
  <c r="AP1331" i="3"/>
  <c r="AP491" i="3" s="1"/>
  <c r="AP1410" i="3"/>
  <c r="AP570" i="3" s="1"/>
  <c r="AP1278" i="3"/>
  <c r="AP1382" i="3"/>
  <c r="AP542" i="3" s="1"/>
  <c r="AT1265" i="3"/>
  <c r="AT425" i="3" s="1"/>
  <c r="AT1201" i="3"/>
  <c r="AT361" i="3" s="1"/>
  <c r="AT1276" i="3"/>
  <c r="AT436" i="3" s="1"/>
  <c r="AT1356" i="3"/>
  <c r="AT516" i="3" s="1"/>
  <c r="AT1378" i="3"/>
  <c r="AT538" i="3" s="1"/>
  <c r="AT1275" i="3"/>
  <c r="AT435" i="3" s="1"/>
  <c r="AT1457" i="3"/>
  <c r="AT617" i="3" s="1"/>
  <c r="AT1353" i="3"/>
  <c r="AT513" i="3" s="1"/>
  <c r="AT1308" i="3"/>
  <c r="AT468" i="3" s="1"/>
  <c r="AT1335" i="3"/>
  <c r="AT495" i="3" s="1"/>
  <c r="AT1438" i="3"/>
  <c r="AT598" i="3" s="1"/>
  <c r="AT1310" i="3"/>
  <c r="AT470" i="3" s="1"/>
  <c r="AT1330" i="3"/>
  <c r="AT490" i="3" s="1"/>
  <c r="AT1386" i="3"/>
  <c r="AT546" i="3" s="1"/>
  <c r="AX1403" i="3"/>
  <c r="AX563" i="3" s="1"/>
  <c r="AX1353" i="3"/>
  <c r="AX513" i="3" s="1"/>
  <c r="AX1312" i="3"/>
  <c r="AX472" i="3" s="1"/>
  <c r="AX1412" i="3"/>
  <c r="AX572" i="3" s="1"/>
  <c r="AX1267" i="3"/>
  <c r="AX427" i="3" s="1"/>
  <c r="AX1203" i="3"/>
  <c r="AX363" i="3" s="1"/>
  <c r="AX1419" i="3"/>
  <c r="AX579" i="3" s="1"/>
  <c r="AX1381" i="3"/>
  <c r="AX541" i="3" s="1"/>
  <c r="AX1408" i="3"/>
  <c r="AX568" i="3" s="1"/>
  <c r="AX1228" i="3"/>
  <c r="AX388" i="3" s="1"/>
  <c r="AX1287" i="3"/>
  <c r="AX447" i="3" s="1"/>
  <c r="AX1370" i="3"/>
  <c r="AX530" i="3" s="1"/>
  <c r="AX1254" i="3"/>
  <c r="AX1190" i="3"/>
  <c r="AX350" i="3" s="1"/>
  <c r="AX1290" i="3"/>
  <c r="AX450" i="3" s="1"/>
  <c r="P1376" i="3"/>
  <c r="P536" i="3" s="1"/>
  <c r="P1221" i="3"/>
  <c r="P381" i="3" s="1"/>
  <c r="P1292" i="3"/>
  <c r="P452" i="3" s="1"/>
  <c r="P1340" i="3"/>
  <c r="P500" i="3" s="1"/>
  <c r="P1449" i="3"/>
  <c r="P609" i="3" s="1"/>
  <c r="P1440" i="3"/>
  <c r="P600" i="3" s="1"/>
  <c r="P1224" i="3"/>
  <c r="P384" i="3" s="1"/>
  <c r="P1259" i="3"/>
  <c r="P419" i="3" s="1"/>
  <c r="P1290" i="3"/>
  <c r="P450" i="3" s="1"/>
  <c r="P1270" i="3"/>
  <c r="P430" i="3" s="1"/>
  <c r="T1413" i="3"/>
  <c r="T573" i="3" s="1"/>
  <c r="T1432" i="3"/>
  <c r="T592" i="3" s="1"/>
  <c r="T1284" i="3"/>
  <c r="T444" i="3" s="1"/>
  <c r="T1359" i="3"/>
  <c r="T519" i="3" s="1"/>
  <c r="T1390" i="3"/>
  <c r="T550" i="3" s="1"/>
  <c r="T1225" i="3"/>
  <c r="T385" i="3" s="1"/>
  <c r="T1326" i="3"/>
  <c r="T486" i="3" s="1"/>
  <c r="T1310" i="3"/>
  <c r="T470" i="3" s="1"/>
  <c r="T1347" i="3"/>
  <c r="T507" i="3" s="1"/>
  <c r="T1194" i="3"/>
  <c r="T354" i="3" s="1"/>
  <c r="X1221" i="3"/>
  <c r="X381" i="3" s="1"/>
  <c r="X1357" i="3"/>
  <c r="X517" i="3" s="1"/>
  <c r="X1380" i="3"/>
  <c r="X540" i="3" s="1"/>
  <c r="X1223" i="3"/>
  <c r="X383" i="3" s="1"/>
  <c r="X1214" i="3"/>
  <c r="X374" i="3" s="1"/>
  <c r="X1260" i="3"/>
  <c r="X420" i="3" s="1"/>
  <c r="X1347" i="3"/>
  <c r="X507" i="3" s="1"/>
  <c r="X1337" i="3"/>
  <c r="X497" i="3" s="1"/>
  <c r="X1283" i="3"/>
  <c r="X443" i="3" s="1"/>
  <c r="AF1297" i="3"/>
  <c r="AF457" i="3" s="1"/>
  <c r="AF1376" i="3"/>
  <c r="AF536" i="3" s="1"/>
  <c r="AF1189" i="3"/>
  <c r="AF349" i="3" s="1"/>
  <c r="AF1419" i="3"/>
  <c r="AF579" i="3" s="1"/>
  <c r="AF1456" i="3"/>
  <c r="AF616" i="3" s="1"/>
  <c r="AF1408" i="3"/>
  <c r="AF568" i="3" s="1"/>
  <c r="AF1271" i="3"/>
  <c r="AF431" i="3" s="1"/>
  <c r="AF1359" i="3"/>
  <c r="AF519" i="3" s="1"/>
  <c r="AF1284" i="3"/>
  <c r="AF444" i="3" s="1"/>
  <c r="AF1239" i="3"/>
  <c r="AF399" i="3" s="1"/>
  <c r="AF1302" i="3"/>
  <c r="AF462" i="3" s="1"/>
  <c r="AF1230" i="3"/>
  <c r="AF390" i="3" s="1"/>
  <c r="AF1360" i="3"/>
  <c r="AF520" i="3" s="1"/>
  <c r="AF1267" i="3"/>
  <c r="AF427" i="3" s="1"/>
  <c r="AF1270" i="3"/>
  <c r="AF430" i="3" s="1"/>
  <c r="AJ1316" i="3"/>
  <c r="AJ476" i="3" s="1"/>
  <c r="AJ1240" i="3"/>
  <c r="AJ400" i="3" s="1"/>
  <c r="AJ1324" i="3"/>
  <c r="AJ484" i="3" s="1"/>
  <c r="AJ1241" i="3"/>
  <c r="AJ401" i="3" s="1"/>
  <c r="AJ1307" i="3"/>
  <c r="AJ467" i="3" s="1"/>
  <c r="AJ1378" i="3"/>
  <c r="AJ538" i="3" s="1"/>
  <c r="AJ1383" i="3"/>
  <c r="AJ543" i="3" s="1"/>
  <c r="AJ1341" i="3"/>
  <c r="AJ501" i="3" s="1"/>
  <c r="AJ1315" i="3"/>
  <c r="AJ475" i="3" s="1"/>
  <c r="AJ1385" i="3"/>
  <c r="AJ545" i="3" s="1"/>
  <c r="AJ1384" i="3"/>
  <c r="AJ544" i="3" s="1"/>
  <c r="AJ1247" i="3"/>
  <c r="AJ407" i="3" s="1"/>
  <c r="AJ1410" i="3"/>
  <c r="AJ570" i="3" s="1"/>
  <c r="AJ1214" i="3"/>
  <c r="AJ374" i="3" s="1"/>
  <c r="AJ1278" i="3"/>
  <c r="AN1269" i="3"/>
  <c r="AN429" i="3" s="1"/>
  <c r="AN1285" i="3"/>
  <c r="AN445" i="3" s="1"/>
  <c r="AN1383" i="3"/>
  <c r="AN543" i="3" s="1"/>
  <c r="AN1251" i="3"/>
  <c r="AN411" i="3" s="1"/>
  <c r="AN1187" i="3"/>
  <c r="AN347" i="3" s="1"/>
  <c r="AN1314" i="3"/>
  <c r="AN474" i="3" s="1"/>
  <c r="AN1242" i="3"/>
  <c r="AN402" i="3" s="1"/>
  <c r="AN1323" i="3"/>
  <c r="AN483" i="3" s="1"/>
  <c r="AN1379" i="3"/>
  <c r="AN539" i="3" s="1"/>
  <c r="AN1318" i="3"/>
  <c r="AN478" i="3" s="1"/>
  <c r="AN1256" i="3"/>
  <c r="AN1342" i="3"/>
  <c r="AN502" i="3" s="1"/>
  <c r="AR1404" i="3"/>
  <c r="AR564" i="3" s="1"/>
  <c r="AR1402" i="3"/>
  <c r="AR562" i="3" s="1"/>
  <c r="AR1241" i="3"/>
  <c r="AR401" i="3" s="1"/>
  <c r="AG1202" i="3"/>
  <c r="AG362" i="3" s="1"/>
  <c r="AO1438" i="3"/>
  <c r="AO598" i="3" s="1"/>
  <c r="S1455" i="3"/>
  <c r="S615" i="3" s="1"/>
  <c r="S1451" i="3"/>
  <c r="S611" i="3" s="1"/>
  <c r="S1242" i="3"/>
  <c r="S402" i="3" s="1"/>
  <c r="W1388" i="3"/>
  <c r="W548" i="3" s="1"/>
  <c r="AE1448" i="3"/>
  <c r="AE608" i="3" s="1"/>
  <c r="AE1227" i="3"/>
  <c r="AE387" i="3" s="1"/>
  <c r="AQ1309" i="3"/>
  <c r="AQ469" i="3" s="1"/>
  <c r="V1360" i="3"/>
  <c r="V520" i="3" s="1"/>
  <c r="V1273" i="3"/>
  <c r="V433" i="3" s="1"/>
  <c r="V1209" i="3"/>
  <c r="V369" i="3" s="1"/>
  <c r="V1248" i="3"/>
  <c r="V408" i="3" s="1"/>
  <c r="V1389" i="3"/>
  <c r="V549" i="3" s="1"/>
  <c r="V1291" i="3"/>
  <c r="V451" i="3" s="1"/>
  <c r="V1410" i="3"/>
  <c r="V570" i="3" s="1"/>
  <c r="V1317" i="3"/>
  <c r="V477" i="3" s="1"/>
  <c r="V1432" i="3"/>
  <c r="V592" i="3" s="1"/>
  <c r="V1327" i="3"/>
  <c r="V487" i="3" s="1"/>
  <c r="V1226" i="3"/>
  <c r="V386" i="3" s="1"/>
  <c r="V1259" i="3"/>
  <c r="V419" i="3" s="1"/>
  <c r="V1346" i="3"/>
  <c r="V506" i="3" s="1"/>
  <c r="Z1440" i="3"/>
  <c r="Z600" i="3" s="1"/>
  <c r="Z1381" i="3"/>
  <c r="Z541" i="3" s="1"/>
  <c r="Z1408" i="3"/>
  <c r="Z568" i="3" s="1"/>
  <c r="Z1231" i="3"/>
  <c r="Z391" i="3" s="1"/>
  <c r="AD1240" i="3"/>
  <c r="AD400" i="3" s="1"/>
  <c r="AH1341" i="3"/>
  <c r="AH501" i="3" s="1"/>
  <c r="AH1426" i="3"/>
  <c r="AH586" i="3" s="1"/>
  <c r="AH1335" i="3"/>
  <c r="AH495" i="3" s="1"/>
  <c r="AH1360" i="3"/>
  <c r="AH520" i="3" s="1"/>
  <c r="AF1298" i="3"/>
  <c r="AF458" i="3" s="1"/>
  <c r="AV1328" i="3"/>
  <c r="AV488" i="3" s="1"/>
  <c r="AV1318" i="3"/>
  <c r="AV478" i="3" s="1"/>
  <c r="AV1453" i="3"/>
  <c r="AV613" i="3" s="1"/>
  <c r="AV1339" i="3"/>
  <c r="AV499" i="3" s="1"/>
  <c r="AG1447" i="3"/>
  <c r="AG607" i="3" s="1"/>
  <c r="AA1305" i="3"/>
  <c r="AA465" i="3" s="1"/>
  <c r="AA1241" i="3"/>
  <c r="AA401" i="3" s="1"/>
  <c r="AA1412" i="3"/>
  <c r="AA572" i="3" s="1"/>
  <c r="AA1425" i="3"/>
  <c r="AA585" i="3" s="1"/>
  <c r="AM1370" i="3"/>
  <c r="AM530" i="3" s="1"/>
  <c r="AQ1321" i="3"/>
  <c r="AQ481" i="3" s="1"/>
  <c r="AQ1257" i="3"/>
  <c r="AQ417" i="3" s="1"/>
  <c r="AQ1426" i="3"/>
  <c r="AQ586" i="3" s="1"/>
  <c r="AU1283" i="3"/>
  <c r="AU443" i="3" s="1"/>
  <c r="AU1219" i="3"/>
  <c r="AU379" i="3" s="1"/>
  <c r="AU1318" i="3"/>
  <c r="AU478" i="3" s="1"/>
  <c r="AU1438" i="3"/>
  <c r="AU598" i="3" s="1"/>
  <c r="AU1437" i="3"/>
  <c r="AU597" i="3" s="1"/>
  <c r="AB1336" i="3"/>
  <c r="AB496" i="3" s="1"/>
  <c r="AB1428" i="3"/>
  <c r="AB588" i="3" s="1"/>
  <c r="AB1349" i="3"/>
  <c r="AB509" i="3" s="1"/>
  <c r="AB1450" i="3"/>
  <c r="AB610" i="3" s="1"/>
  <c r="R1368" i="3"/>
  <c r="R528" i="3" s="1"/>
  <c r="R1270" i="3"/>
  <c r="R430" i="3" s="1"/>
  <c r="V1441" i="3"/>
  <c r="V601" i="3" s="1"/>
  <c r="V1326" i="3"/>
  <c r="V486" i="3" s="1"/>
  <c r="V1292" i="3"/>
  <c r="V452" i="3" s="1"/>
  <c r="V1356" i="3"/>
  <c r="V516" i="3" s="1"/>
  <c r="V1270" i="3"/>
  <c r="V430" i="3" s="1"/>
  <c r="Z1316" i="3"/>
  <c r="Z476" i="3" s="1"/>
  <c r="Z1289" i="3"/>
  <c r="Z449" i="3" s="1"/>
  <c r="AL1405" i="3"/>
  <c r="AL565" i="3" s="1"/>
  <c r="AL1253" i="3"/>
  <c r="AP1270" i="3"/>
  <c r="AP430" i="3" s="1"/>
  <c r="AT1387" i="3"/>
  <c r="AT547" i="3" s="1"/>
  <c r="AT1389" i="3"/>
  <c r="AT549" i="3" s="1"/>
  <c r="AT1300" i="3"/>
  <c r="AT460" i="3" s="1"/>
  <c r="AT1346" i="3"/>
  <c r="AT506" i="3" s="1"/>
  <c r="AT1398" i="3"/>
  <c r="AT558" i="3" s="1"/>
  <c r="AT1203" i="3"/>
  <c r="AT363" i="3" s="1"/>
  <c r="AX1361" i="3"/>
  <c r="AX521" i="3" s="1"/>
  <c r="AX1356" i="3"/>
  <c r="AX516" i="3" s="1"/>
  <c r="AX1383" i="3"/>
  <c r="AX543" i="3" s="1"/>
  <c r="AX1426" i="3"/>
  <c r="AX586" i="3" s="1"/>
  <c r="T1339" i="3"/>
  <c r="T499" i="3" s="1"/>
  <c r="AR1423" i="3"/>
  <c r="AR583" i="3" s="1"/>
  <c r="AV1229" i="3"/>
  <c r="AV389" i="3" s="1"/>
  <c r="AV1272" i="3"/>
  <c r="AV432" i="3" s="1"/>
  <c r="AV1369" i="3"/>
  <c r="AV529" i="3" s="1"/>
  <c r="AV1447" i="3"/>
  <c r="AV607" i="3" s="1"/>
  <c r="AV1440" i="3"/>
  <c r="AV600" i="3" s="1"/>
  <c r="AV1240" i="3"/>
  <c r="AV400" i="3" s="1"/>
  <c r="AS1438" i="3"/>
  <c r="AS598" i="3" s="1"/>
  <c r="AW1421" i="3"/>
  <c r="AW581" i="3" s="1"/>
  <c r="AW1325" i="3"/>
  <c r="AW485" i="3" s="1"/>
  <c r="S1336" i="3"/>
  <c r="S496" i="3" s="1"/>
  <c r="W1443" i="3"/>
  <c r="W603" i="3" s="1"/>
  <c r="AA1310" i="3"/>
  <c r="AA470" i="3" s="1"/>
  <c r="AA1251" i="3"/>
  <c r="AA411" i="3" s="1"/>
  <c r="AM1214" i="3"/>
  <c r="AM374" i="3" s="1"/>
  <c r="AU1282" i="3"/>
  <c r="AU442" i="3" s="1"/>
  <c r="AU1253" i="3"/>
  <c r="AB1441" i="3"/>
  <c r="AB601" i="3" s="1"/>
  <c r="AB1315" i="3"/>
  <c r="AB475" i="3" s="1"/>
  <c r="R1382" i="3"/>
  <c r="R542" i="3" s="1"/>
  <c r="R1210" i="3"/>
  <c r="R370" i="3" s="1"/>
  <c r="R1310" i="3"/>
  <c r="R470" i="3" s="1"/>
  <c r="V1240" i="3"/>
  <c r="V400" i="3" s="1"/>
  <c r="V1299" i="3"/>
  <c r="V459" i="3" s="1"/>
  <c r="Z1407" i="3"/>
  <c r="Z567" i="3" s="1"/>
  <c r="Z1275" i="3"/>
  <c r="Z435" i="3" s="1"/>
  <c r="AL1401" i="3"/>
  <c r="AL561" i="3" s="1"/>
  <c r="AL1299" i="3"/>
  <c r="AL459" i="3" s="1"/>
  <c r="AL1302" i="3"/>
  <c r="AL462" i="3" s="1"/>
  <c r="AL1323" i="3"/>
  <c r="AL483" i="3" s="1"/>
  <c r="AL1378" i="3"/>
  <c r="AL538" i="3" s="1"/>
  <c r="AL1457" i="3"/>
  <c r="AL617" i="3" s="1"/>
  <c r="AL1353" i="3"/>
  <c r="AL513" i="3" s="1"/>
  <c r="AT1426" i="3"/>
  <c r="AT586" i="3" s="1"/>
  <c r="AX1454" i="3"/>
  <c r="AX614" i="3" s="1"/>
  <c r="T1288" i="3"/>
  <c r="T448" i="3" s="1"/>
  <c r="X1432" i="3"/>
  <c r="X592" i="3" s="1"/>
  <c r="X1399" i="3"/>
  <c r="X559" i="3" s="1"/>
  <c r="X1292" i="3"/>
  <c r="X452" i="3" s="1"/>
  <c r="X1414" i="3"/>
  <c r="X574" i="3" s="1"/>
  <c r="AF1357" i="3"/>
  <c r="AF517" i="3" s="1"/>
  <c r="AF1443" i="3"/>
  <c r="AF603" i="3" s="1"/>
  <c r="W1360" i="3"/>
  <c r="W520" i="3" s="1"/>
  <c r="W1303" i="3"/>
  <c r="W463" i="3" s="1"/>
  <c r="W1367" i="3"/>
  <c r="W527" i="3" s="1"/>
  <c r="AA1345" i="3"/>
  <c r="AA505" i="3" s="1"/>
  <c r="AA1264" i="3"/>
  <c r="AA424" i="3" s="1"/>
  <c r="AA1454" i="3"/>
  <c r="AA614" i="3" s="1"/>
  <c r="AA1426" i="3"/>
  <c r="AA586" i="3" s="1"/>
  <c r="AE1247" i="3"/>
  <c r="AE407" i="3" s="1"/>
  <c r="AI1216" i="3"/>
  <c r="AM1296" i="3"/>
  <c r="AM456" i="3" s="1"/>
  <c r="AQ1304" i="3"/>
  <c r="AQ464" i="3" s="1"/>
  <c r="AQ1217" i="3"/>
  <c r="AU1259" i="3"/>
  <c r="AU419" i="3" s="1"/>
  <c r="AU1310" i="3"/>
  <c r="AU470" i="3" s="1"/>
  <c r="AU1405" i="3"/>
  <c r="AU565" i="3" s="1"/>
  <c r="AU1329" i="3"/>
  <c r="AU489" i="3" s="1"/>
  <c r="AU1265" i="3"/>
  <c r="AU425" i="3" s="1"/>
  <c r="AU1204" i="3"/>
  <c r="AU364" i="3" s="1"/>
  <c r="AU1409" i="3"/>
  <c r="AU569" i="3" s="1"/>
  <c r="AU1446" i="3"/>
  <c r="AU606" i="3" s="1"/>
  <c r="AU1367" i="3"/>
  <c r="AU527" i="3" s="1"/>
  <c r="AB1196" i="3"/>
  <c r="AB356" i="3" s="1"/>
  <c r="AH1353" i="3"/>
  <c r="AH513" i="3" s="1"/>
  <c r="AL1442" i="3"/>
  <c r="AL602" i="3" s="1"/>
  <c r="AL1456" i="3"/>
  <c r="AL616" i="3" s="1"/>
  <c r="AP1455" i="3"/>
  <c r="AP615" i="3" s="1"/>
  <c r="AP1449" i="3"/>
  <c r="AP609" i="3" s="1"/>
  <c r="AP1443" i="3"/>
  <c r="AP603" i="3" s="1"/>
  <c r="AP1446" i="3"/>
  <c r="AP606" i="3" s="1"/>
  <c r="AT1217" i="3"/>
  <c r="AT1446" i="3"/>
  <c r="AT606" i="3" s="1"/>
  <c r="P1441" i="3"/>
  <c r="P601" i="3" s="1"/>
  <c r="P1379" i="3"/>
  <c r="P539" i="3" s="1"/>
  <c r="P1450" i="3"/>
  <c r="P610" i="3" s="1"/>
  <c r="T1428" i="3"/>
  <c r="T588" i="3" s="1"/>
  <c r="X1426" i="3"/>
  <c r="X586" i="3" s="1"/>
  <c r="X1427" i="3"/>
  <c r="X587" i="3" s="1"/>
  <c r="X1425" i="3"/>
  <c r="X585" i="3" s="1"/>
  <c r="X1443" i="3"/>
  <c r="X603" i="3" s="1"/>
  <c r="AF1441" i="3"/>
  <c r="AF601" i="3" s="1"/>
  <c r="AF1313" i="3"/>
  <c r="AF473" i="3" s="1"/>
  <c r="AF1417" i="3"/>
  <c r="AF577" i="3" s="1"/>
  <c r="AF1442" i="3"/>
  <c r="AF602" i="3" s="1"/>
  <c r="AJ1192" i="3"/>
  <c r="AJ352" i="3" s="1"/>
  <c r="AN1336" i="3"/>
  <c r="AN496" i="3" s="1"/>
  <c r="AN1457" i="3"/>
  <c r="AN617" i="3" s="1"/>
  <c r="AV1438" i="3"/>
  <c r="AV598" i="3" s="1"/>
  <c r="AV1226" i="3"/>
  <c r="AV386" i="3" s="1"/>
  <c r="AG1450" i="3"/>
  <c r="AG610" i="3" s="1"/>
  <c r="S1358" i="3"/>
  <c r="S518" i="3" s="1"/>
  <c r="W1431" i="3"/>
  <c r="W591" i="3" s="1"/>
  <c r="AA1293" i="3"/>
  <c r="AA453" i="3" s="1"/>
  <c r="AE1260" i="3"/>
  <c r="AE420" i="3" s="1"/>
  <c r="AE1339" i="3"/>
  <c r="AE499" i="3" s="1"/>
  <c r="AI1188" i="3"/>
  <c r="AI348" i="3" s="1"/>
  <c r="AI1341" i="3"/>
  <c r="AI501" i="3" s="1"/>
  <c r="AI1309" i="3"/>
  <c r="AI469" i="3" s="1"/>
  <c r="AQ1449" i="3"/>
  <c r="AQ609" i="3" s="1"/>
  <c r="AQ1325" i="3"/>
  <c r="AQ485" i="3" s="1"/>
  <c r="AU1403" i="3"/>
  <c r="AU563" i="3" s="1"/>
  <c r="AU1351" i="3"/>
  <c r="AU511" i="3" s="1"/>
  <c r="AU1287" i="3"/>
  <c r="AU447" i="3" s="1"/>
  <c r="AU1223" i="3"/>
  <c r="AU383" i="3" s="1"/>
  <c r="AU1386" i="3"/>
  <c r="AU546" i="3" s="1"/>
  <c r="AU1322" i="3"/>
  <c r="AU482" i="3" s="1"/>
  <c r="AU1258" i="3"/>
  <c r="AU418" i="3" s="1"/>
  <c r="AU1194" i="3"/>
  <c r="AU354" i="3" s="1"/>
  <c r="AU1421" i="3"/>
  <c r="AU581" i="3" s="1"/>
  <c r="AU1309" i="3"/>
  <c r="AU469" i="3" s="1"/>
  <c r="AU1248" i="3"/>
  <c r="AU408" i="3" s="1"/>
  <c r="AH1409" i="3"/>
  <c r="AH569" i="3" s="1"/>
  <c r="AH1294" i="3"/>
  <c r="AH454" i="3" s="1"/>
  <c r="AP1413" i="3"/>
  <c r="AP573" i="3" s="1"/>
  <c r="X1240" i="3"/>
  <c r="X400" i="3" s="1"/>
  <c r="X1379" i="3"/>
  <c r="X539" i="3" s="1"/>
  <c r="X1370" i="3"/>
  <c r="X530" i="3" s="1"/>
  <c r="X1307" i="3"/>
  <c r="X467" i="3" s="1"/>
  <c r="X1378" i="3"/>
  <c r="X538" i="3" s="1"/>
  <c r="AF1320" i="3"/>
  <c r="AF480" i="3" s="1"/>
  <c r="AK1346" i="3"/>
  <c r="AK506" i="3" s="1"/>
  <c r="AK1282" i="3"/>
  <c r="AK442" i="3" s="1"/>
  <c r="AK1218" i="3"/>
  <c r="AK1309" i="3"/>
  <c r="AK469" i="3" s="1"/>
  <c r="AK1408" i="3"/>
  <c r="AK568" i="3" s="1"/>
  <c r="AO1385" i="3"/>
  <c r="AO545" i="3" s="1"/>
  <c r="AO1379" i="3"/>
  <c r="AO539" i="3" s="1"/>
  <c r="AO1291" i="3"/>
  <c r="AO451" i="3" s="1"/>
  <c r="AO1227" i="3"/>
  <c r="AO387" i="3" s="1"/>
  <c r="AO1370" i="3"/>
  <c r="AO530" i="3" s="1"/>
  <c r="AO1302" i="3"/>
  <c r="AO462" i="3" s="1"/>
  <c r="AO1405" i="3"/>
  <c r="AO565" i="3" s="1"/>
  <c r="AO1309" i="3"/>
  <c r="AO469" i="3" s="1"/>
  <c r="AS1305" i="3"/>
  <c r="AS465" i="3" s="1"/>
  <c r="AS1346" i="3"/>
  <c r="AS506" i="3" s="1"/>
  <c r="S1440" i="3"/>
  <c r="S600" i="3" s="1"/>
  <c r="W1377" i="3"/>
  <c r="W537" i="3" s="1"/>
  <c r="AA1455" i="3"/>
  <c r="AA615" i="3" s="1"/>
  <c r="AE1407" i="3"/>
  <c r="AE567" i="3" s="1"/>
  <c r="AE1321" i="3"/>
  <c r="AE481" i="3" s="1"/>
  <c r="AE1257" i="3"/>
  <c r="AE417" i="3" s="1"/>
  <c r="AE1424" i="3"/>
  <c r="AE584" i="3" s="1"/>
  <c r="AI1455" i="3"/>
  <c r="AI615" i="3" s="1"/>
  <c r="AI1299" i="3"/>
  <c r="AI459" i="3" s="1"/>
  <c r="AI1355" i="3"/>
  <c r="AI515" i="3" s="1"/>
  <c r="AM1285" i="3"/>
  <c r="AM445" i="3" s="1"/>
  <c r="Z1431" i="3"/>
  <c r="Z1425" i="3"/>
  <c r="Z585" i="3" s="1"/>
  <c r="AD1430" i="3"/>
  <c r="AD590" i="3" s="1"/>
  <c r="AT1443" i="3"/>
  <c r="AT603" i="3" s="1"/>
  <c r="P1258" i="3"/>
  <c r="P418" i="3" s="1"/>
  <c r="P1194" i="3"/>
  <c r="P354" i="3" s="1"/>
  <c r="P1339" i="3"/>
  <c r="P499" i="3" s="1"/>
  <c r="T1226" i="3"/>
  <c r="T386" i="3" s="1"/>
  <c r="X1325" i="3"/>
  <c r="X485" i="3" s="1"/>
  <c r="X1272" i="3"/>
  <c r="X432" i="3" s="1"/>
  <c r="X1309" i="3"/>
  <c r="X469" i="3" s="1"/>
  <c r="AJ1340" i="3"/>
  <c r="AJ500" i="3" s="1"/>
  <c r="AJ1249" i="3"/>
  <c r="AJ409" i="3" s="1"/>
  <c r="AJ1272" i="3"/>
  <c r="AJ432" i="3" s="1"/>
  <c r="AJ1274" i="3"/>
  <c r="AJ434" i="3" s="1"/>
  <c r="AJ1311" i="3"/>
  <c r="AJ471" i="3" s="1"/>
  <c r="AJ1376" i="3"/>
  <c r="AJ536" i="3" s="1"/>
  <c r="AJ1239" i="3"/>
  <c r="AJ399" i="3" s="1"/>
  <c r="AJ1306" i="3"/>
  <c r="AJ466" i="3" s="1"/>
  <c r="AN1325" i="3"/>
  <c r="AN485" i="3" s="1"/>
  <c r="AN1213" i="3"/>
  <c r="AN373" i="3" s="1"/>
  <c r="AN1295" i="3"/>
  <c r="AN455" i="3" s="1"/>
  <c r="U1356" i="3"/>
  <c r="U516" i="3" s="1"/>
  <c r="U1369" i="3"/>
  <c r="U529" i="3" s="1"/>
  <c r="AS1204" i="3"/>
  <c r="AS364" i="3" s="1"/>
  <c r="AS1349" i="3"/>
  <c r="AS509" i="3" s="1"/>
  <c r="AS1285" i="3"/>
  <c r="AS445" i="3" s="1"/>
  <c r="AS1221" i="3"/>
  <c r="AS381" i="3" s="1"/>
  <c r="AA1187" i="3"/>
  <c r="AA347" i="3" s="1"/>
  <c r="AI1269" i="3"/>
  <c r="AI429" i="3" s="1"/>
  <c r="AI1316" i="3"/>
  <c r="AI476" i="3" s="1"/>
  <c r="AI1274" i="3"/>
  <c r="AI434" i="3" s="1"/>
  <c r="R1437" i="3"/>
  <c r="R597" i="3" s="1"/>
  <c r="R1438" i="3"/>
  <c r="R598" i="3" s="1"/>
  <c r="Z1337" i="3"/>
  <c r="Z497" i="3" s="1"/>
  <c r="AT1403" i="3"/>
  <c r="AT563" i="3" s="1"/>
  <c r="X1429" i="3"/>
  <c r="AF1385" i="3"/>
  <c r="AF545" i="3" s="1"/>
  <c r="AN1398" i="3"/>
  <c r="AN558" i="3" s="1"/>
  <c r="AN1330" i="3"/>
  <c r="AN490" i="3" s="1"/>
  <c r="AR1397" i="3"/>
  <c r="AR557" i="3" s="1"/>
  <c r="AR1264" i="3"/>
  <c r="AR424" i="3" s="1"/>
  <c r="AR1200" i="3"/>
  <c r="AR360" i="3" s="1"/>
  <c r="AC1212" i="3"/>
  <c r="AC372" i="3" s="1"/>
  <c r="AG1375" i="3"/>
  <c r="AG535" i="3" s="1"/>
  <c r="S1214" i="3"/>
  <c r="S374" i="3" s="1"/>
  <c r="W1308" i="3"/>
  <c r="W468" i="3" s="1"/>
  <c r="W1452" i="3"/>
  <c r="W612" i="3" s="1"/>
  <c r="W1294" i="3"/>
  <c r="W454" i="3" s="1"/>
  <c r="W1390" i="3"/>
  <c r="W550" i="3" s="1"/>
  <c r="W1299" i="3"/>
  <c r="W459" i="3" s="1"/>
  <c r="AA1381" i="3"/>
  <c r="AA541" i="3" s="1"/>
  <c r="AA1431" i="3"/>
  <c r="AA591" i="3" s="1"/>
  <c r="AA1306" i="3"/>
  <c r="AA466" i="3" s="1"/>
  <c r="AE1411" i="3"/>
  <c r="AE571" i="3" s="1"/>
  <c r="AQ1448" i="3"/>
  <c r="AQ608" i="3" s="1"/>
  <c r="AB1302" i="3"/>
  <c r="AB462" i="3" s="1"/>
  <c r="AB1334" i="3"/>
  <c r="AB494" i="3" s="1"/>
  <c r="AB1187" i="3"/>
  <c r="AB347" i="3" s="1"/>
  <c r="AB1234" i="3"/>
  <c r="AB394" i="3" s="1"/>
  <c r="R1413" i="3"/>
  <c r="R573" i="3" s="1"/>
  <c r="AR1419" i="3"/>
  <c r="AR579" i="3" s="1"/>
  <c r="AR1353" i="3"/>
  <c r="AR513" i="3" s="1"/>
  <c r="AV1242" i="3"/>
  <c r="AV402" i="3" s="1"/>
  <c r="AV1275" i="3"/>
  <c r="AV435" i="3" s="1"/>
  <c r="AV1335" i="3"/>
  <c r="AV495" i="3" s="1"/>
  <c r="AS1308" i="3"/>
  <c r="AS468" i="3" s="1"/>
  <c r="AS1385" i="3"/>
  <c r="AS545" i="3" s="1"/>
  <c r="AS1309" i="3"/>
  <c r="AS469" i="3" s="1"/>
  <c r="S1213" i="3"/>
  <c r="S373" i="3" s="1"/>
  <c r="S1339" i="3"/>
  <c r="S499" i="3" s="1"/>
  <c r="S1291" i="3"/>
  <c r="S451" i="3" s="1"/>
  <c r="S1259" i="3"/>
  <c r="S419" i="3" s="1"/>
  <c r="W1240" i="3"/>
  <c r="W400" i="3" s="1"/>
  <c r="AA1196" i="3"/>
  <c r="AA356" i="3" s="1"/>
  <c r="AA1318" i="3"/>
  <c r="AA478" i="3" s="1"/>
  <c r="AA1222" i="3"/>
  <c r="AA382" i="3" s="1"/>
  <c r="AE1309" i="3"/>
  <c r="AE469" i="3" s="1"/>
  <c r="AI1325" i="3"/>
  <c r="AI485" i="3" s="1"/>
  <c r="AI1293" i="3"/>
  <c r="AI453" i="3" s="1"/>
  <c r="AM1337" i="3"/>
  <c r="AM497" i="3" s="1"/>
  <c r="AM1273" i="3"/>
  <c r="AM433" i="3" s="1"/>
  <c r="AM1209" i="3"/>
  <c r="AM369" i="3" s="1"/>
  <c r="AQ1270" i="3"/>
  <c r="AQ430" i="3" s="1"/>
  <c r="AU1303" i="3"/>
  <c r="AU463" i="3" s="1"/>
  <c r="AU1239" i="3"/>
  <c r="AU399" i="3" s="1"/>
  <c r="AU1402" i="3"/>
  <c r="AU562" i="3" s="1"/>
  <c r="AU1274" i="3"/>
  <c r="AU434" i="3" s="1"/>
  <c r="AU1210" i="3"/>
  <c r="AU370" i="3" s="1"/>
  <c r="AU1419" i="3"/>
  <c r="AU579" i="3" s="1"/>
  <c r="AU1325" i="3"/>
  <c r="AU485" i="3" s="1"/>
  <c r="AU1261" i="3"/>
  <c r="AU421" i="3" s="1"/>
  <c r="AU1428" i="3"/>
  <c r="AU588" i="3" s="1"/>
  <c r="AU1264" i="3"/>
  <c r="AU424" i="3" s="1"/>
  <c r="AU1200" i="3"/>
  <c r="AU360" i="3" s="1"/>
  <c r="AU1189" i="3"/>
  <c r="AU349" i="3" s="1"/>
  <c r="AU1384" i="3"/>
  <c r="AU544" i="3" s="1"/>
  <c r="AB1240" i="3"/>
  <c r="AB400" i="3" s="1"/>
  <c r="AB1303" i="3"/>
  <c r="AB463" i="3" s="1"/>
  <c r="AP1420" i="3"/>
  <c r="AP580" i="3" s="1"/>
  <c r="AT1425" i="3"/>
  <c r="AT585" i="3" s="1"/>
  <c r="P1412" i="3"/>
  <c r="P572" i="3" s="1"/>
  <c r="X1251" i="3"/>
  <c r="X411" i="3" s="1"/>
  <c r="X1398" i="3"/>
  <c r="X558" i="3" s="1"/>
  <c r="AF1277" i="3"/>
  <c r="AF1349" i="3"/>
  <c r="AF509" i="3" s="1"/>
  <c r="AF1398" i="3"/>
  <c r="AF558" i="3" s="1"/>
  <c r="AN1217" i="3"/>
  <c r="AN1441" i="3"/>
  <c r="AN601" i="3" s="1"/>
  <c r="Y1412" i="3"/>
  <c r="Y572" i="3" s="1"/>
  <c r="Y1276" i="3"/>
  <c r="Y436" i="3" s="1"/>
  <c r="AG1309" i="3"/>
  <c r="AG469" i="3" s="1"/>
  <c r="AO1307" i="3"/>
  <c r="AO467" i="3" s="1"/>
  <c r="AO1318" i="3"/>
  <c r="AO478" i="3" s="1"/>
  <c r="AO1254" i="3"/>
  <c r="AO1190" i="3"/>
  <c r="AO350" i="3" s="1"/>
  <c r="AO1367" i="3"/>
  <c r="AO527" i="3" s="1"/>
  <c r="AO1325" i="3"/>
  <c r="AO485" i="3" s="1"/>
  <c r="AS1387" i="3"/>
  <c r="AS547" i="3" s="1"/>
  <c r="AS1451" i="3"/>
  <c r="AS611" i="3" s="1"/>
  <c r="AW1199" i="3"/>
  <c r="AW359" i="3" s="1"/>
  <c r="S1454" i="3"/>
  <c r="S614" i="3" s="1"/>
  <c r="AE1266" i="3"/>
  <c r="AE426" i="3" s="1"/>
  <c r="AE1202" i="3"/>
  <c r="AE362" i="3" s="1"/>
  <c r="AI1395" i="3"/>
  <c r="AI555" i="3" s="1"/>
  <c r="AI1376" i="3"/>
  <c r="AI536" i="3" s="1"/>
  <c r="AI1443" i="3"/>
  <c r="AI603" i="3" s="1"/>
  <c r="AI1315" i="3"/>
  <c r="AI475" i="3" s="1"/>
  <c r="AI1251" i="3"/>
  <c r="AI411" i="3" s="1"/>
  <c r="AI1187" i="3"/>
  <c r="AI347" i="3" s="1"/>
  <c r="AI1353" i="3"/>
  <c r="AI513" i="3" s="1"/>
  <c r="AI1289" i="3"/>
  <c r="AI449" i="3" s="1"/>
  <c r="AI1225" i="3"/>
  <c r="AI385" i="3" s="1"/>
  <c r="AB1221" i="3"/>
  <c r="AB381" i="3" s="1"/>
  <c r="AB1285" i="3"/>
  <c r="AB445" i="3" s="1"/>
  <c r="AB1310" i="3"/>
  <c r="AB470" i="3" s="1"/>
  <c r="AB1211" i="3"/>
  <c r="AB371" i="3" s="1"/>
  <c r="AD1348" i="3"/>
  <c r="AD508" i="3" s="1"/>
  <c r="AP1401" i="3"/>
  <c r="AP561" i="3" s="1"/>
  <c r="AX1430" i="3"/>
  <c r="AX590" i="3" s="1"/>
  <c r="AF1340" i="3"/>
  <c r="AF500" i="3" s="1"/>
  <c r="AF1418" i="3"/>
  <c r="AF578" i="3" s="1"/>
  <c r="AJ1386" i="3"/>
  <c r="AJ546" i="3" s="1"/>
  <c r="AJ1277" i="3"/>
  <c r="AJ1191" i="3"/>
  <c r="AJ351" i="3" s="1"/>
  <c r="AJ1222" i="3"/>
  <c r="AJ382" i="3" s="1"/>
  <c r="AJ1302" i="3"/>
  <c r="AJ462" i="3" s="1"/>
  <c r="AN1345" i="3"/>
  <c r="AN505" i="3" s="1"/>
  <c r="AN1229" i="3"/>
  <c r="AN389" i="3" s="1"/>
  <c r="AN1272" i="3"/>
  <c r="AN432" i="3" s="1"/>
  <c r="AN1377" i="3"/>
  <c r="AN537" i="3" s="1"/>
  <c r="AN1234" i="3"/>
  <c r="AN394" i="3" s="1"/>
  <c r="AN1316" i="3"/>
  <c r="AN476" i="3" s="1"/>
  <c r="AN1315" i="3"/>
  <c r="AN475" i="3" s="1"/>
  <c r="AN1347" i="3"/>
  <c r="AN507" i="3" s="1"/>
  <c r="AN1447" i="3"/>
  <c r="AN607" i="3" s="1"/>
  <c r="AN1440" i="3"/>
  <c r="AN600" i="3" s="1"/>
  <c r="AR1418" i="3"/>
  <c r="AR578" i="3" s="1"/>
  <c r="AV1389" i="3"/>
  <c r="AV549" i="3" s="1"/>
  <c r="AO1421" i="3"/>
  <c r="AO581" i="3" s="1"/>
  <c r="W1307" i="3"/>
  <c r="W467" i="3" s="1"/>
  <c r="AB1360" i="3"/>
  <c r="AB520" i="3" s="1"/>
  <c r="AB1292" i="3"/>
  <c r="AB452" i="3" s="1"/>
  <c r="AB1233" i="3"/>
  <c r="AB393" i="3" s="1"/>
  <c r="V1379" i="3"/>
  <c r="V539" i="3" s="1"/>
  <c r="Z1340" i="3"/>
  <c r="Z500" i="3" s="1"/>
  <c r="AD1443" i="3"/>
  <c r="AD603" i="3" s="1"/>
  <c r="AD1234" i="3"/>
  <c r="AD394" i="3" s="1"/>
  <c r="AD1442" i="3"/>
  <c r="AD602" i="3" s="1"/>
  <c r="AH1296" i="3"/>
  <c r="AH456" i="3" s="1"/>
  <c r="AH1203" i="3"/>
  <c r="AH363" i="3" s="1"/>
  <c r="AH1368" i="3"/>
  <c r="AH528" i="3" s="1"/>
  <c r="AH1334" i="3"/>
  <c r="AH494" i="3" s="1"/>
  <c r="AH1401" i="3"/>
  <c r="AH561" i="3" s="1"/>
  <c r="AH1249" i="3"/>
  <c r="AH409" i="3" s="1"/>
  <c r="AX1432" i="3"/>
  <c r="AX592" i="3" s="1"/>
  <c r="P1317" i="3"/>
  <c r="P477" i="3" s="1"/>
  <c r="P1209" i="3"/>
  <c r="P369" i="3" s="1"/>
  <c r="T1287" i="3"/>
  <c r="T447" i="3" s="1"/>
  <c r="T1362" i="3"/>
  <c r="T522" i="3" s="1"/>
  <c r="T1438" i="3"/>
  <c r="T598" i="3" s="1"/>
  <c r="X1428" i="3"/>
  <c r="X588" i="3" s="1"/>
  <c r="AJ1417" i="3"/>
  <c r="AJ577" i="3" s="1"/>
  <c r="AJ1288" i="3"/>
  <c r="AJ448" i="3" s="1"/>
  <c r="AJ1212" i="3"/>
  <c r="AJ372" i="3" s="1"/>
  <c r="AJ1369" i="3"/>
  <c r="AJ529" i="3" s="1"/>
  <c r="AJ1213" i="3"/>
  <c r="AJ373" i="3" s="1"/>
  <c r="AJ1402" i="3"/>
  <c r="AJ562" i="3" s="1"/>
  <c r="AJ1289" i="3"/>
  <c r="AJ449" i="3" s="1"/>
  <c r="AJ1344" i="3"/>
  <c r="AJ504" i="3" s="1"/>
  <c r="AJ1411" i="3"/>
  <c r="AJ571" i="3" s="1"/>
  <c r="AJ1412" i="3"/>
  <c r="AJ572" i="3" s="1"/>
  <c r="AJ1338" i="3"/>
  <c r="AJ498" i="3" s="1"/>
  <c r="AJ1203" i="3"/>
  <c r="AJ363" i="3" s="1"/>
  <c r="AJ1422" i="3"/>
  <c r="AJ582" i="3" s="1"/>
  <c r="AJ1218" i="3"/>
  <c r="AJ1290" i="3"/>
  <c r="AJ450" i="3" s="1"/>
  <c r="AN1209" i="3"/>
  <c r="AN369" i="3" s="1"/>
  <c r="AN1289" i="3"/>
  <c r="AN449" i="3" s="1"/>
  <c r="AN1384" i="3"/>
  <c r="AN544" i="3" s="1"/>
  <c r="AN1287" i="3"/>
  <c r="AN447" i="3" s="1"/>
  <c r="AN1286" i="3"/>
  <c r="AN446" i="3" s="1"/>
  <c r="AN1214" i="3"/>
  <c r="AN374" i="3" s="1"/>
  <c r="AN1296" i="3"/>
  <c r="AN456" i="3" s="1"/>
  <c r="AN1368" i="3"/>
  <c r="AN528" i="3" s="1"/>
  <c r="AN1370" i="3"/>
  <c r="AN530" i="3" s="1"/>
  <c r="AN1413" i="3"/>
  <c r="AN573" i="3" s="1"/>
  <c r="AN1307" i="3"/>
  <c r="AN467" i="3" s="1"/>
  <c r="AN1260" i="3"/>
  <c r="AN420" i="3" s="1"/>
  <c r="AR1324" i="3"/>
  <c r="AR484" i="3" s="1"/>
  <c r="AR1440" i="3"/>
  <c r="AR600" i="3" s="1"/>
  <c r="AR1292" i="3"/>
  <c r="AR452" i="3" s="1"/>
  <c r="AR1216" i="3"/>
  <c r="AR1415" i="3"/>
  <c r="AR575" i="3" s="1"/>
  <c r="AR1355" i="3"/>
  <c r="AR515" i="3" s="1"/>
  <c r="AR1349" i="3"/>
  <c r="AR509" i="3" s="1"/>
  <c r="AR1343" i="3"/>
  <c r="AR503" i="3" s="1"/>
  <c r="AR1291" i="3"/>
  <c r="AR451" i="3" s="1"/>
  <c r="AR1197" i="3"/>
  <c r="AR357" i="3" s="1"/>
  <c r="AV1334" i="3"/>
  <c r="AV494" i="3" s="1"/>
  <c r="AV1291" i="3"/>
  <c r="AV451" i="3" s="1"/>
  <c r="AC1432" i="3"/>
  <c r="AC592" i="3" s="1"/>
  <c r="AG1426" i="3"/>
  <c r="AG586" i="3" s="1"/>
  <c r="AS1280" i="3"/>
  <c r="AS440" i="3" s="1"/>
  <c r="AS1216" i="3"/>
  <c r="AS1275" i="3"/>
  <c r="AS435" i="3" s="1"/>
  <c r="S1428" i="3"/>
  <c r="S588" i="3" s="1"/>
  <c r="S1262" i="3"/>
  <c r="S422" i="3" s="1"/>
  <c r="S1281" i="3"/>
  <c r="S441" i="3" s="1"/>
  <c r="S1327" i="3"/>
  <c r="S487" i="3" s="1"/>
  <c r="S1430" i="3"/>
  <c r="S590" i="3" s="1"/>
  <c r="W1428" i="3"/>
  <c r="W588" i="3" s="1"/>
  <c r="AE1265" i="3"/>
  <c r="AE425" i="3" s="1"/>
  <c r="AI1345" i="3"/>
  <c r="AI505" i="3" s="1"/>
  <c r="AQ1367" i="3"/>
  <c r="AQ527" i="3" s="1"/>
  <c r="R1456" i="3"/>
  <c r="R616" i="3" s="1"/>
  <c r="R1220" i="3"/>
  <c r="R380" i="3" s="1"/>
  <c r="V1347" i="3"/>
  <c r="V507" i="3" s="1"/>
  <c r="Z1328" i="3"/>
  <c r="Z488" i="3" s="1"/>
  <c r="Z1193" i="3"/>
  <c r="Z353" i="3" s="1"/>
  <c r="Z1232" i="3"/>
  <c r="Z392" i="3" s="1"/>
  <c r="Z1370" i="3"/>
  <c r="Z530" i="3" s="1"/>
  <c r="Z1387" i="3"/>
  <c r="Z547" i="3" s="1"/>
  <c r="Z1187" i="3"/>
  <c r="Z347" i="3" s="1"/>
  <c r="Z1356" i="3"/>
  <c r="Z516" i="3" s="1"/>
  <c r="Z1190" i="3"/>
  <c r="Z350" i="3" s="1"/>
  <c r="Z1274" i="3"/>
  <c r="Z434" i="3" s="1"/>
  <c r="AD1428" i="3"/>
  <c r="AD588" i="3" s="1"/>
  <c r="AD1271" i="3"/>
  <c r="AD431" i="3" s="1"/>
  <c r="AD1338" i="3"/>
  <c r="AD498" i="3" s="1"/>
  <c r="AH1268" i="3"/>
  <c r="AH428" i="3" s="1"/>
  <c r="AH1247" i="3"/>
  <c r="AH407" i="3" s="1"/>
  <c r="AL1282" i="3"/>
  <c r="AL442" i="3" s="1"/>
  <c r="AL1412" i="3"/>
  <c r="AL572" i="3" s="1"/>
  <c r="AL1250" i="3"/>
  <c r="AL410" i="3" s="1"/>
  <c r="AL1186" i="3"/>
  <c r="AL346" i="3" s="1"/>
  <c r="AL1329" i="3"/>
  <c r="AL489" i="3" s="1"/>
  <c r="AL1440" i="3"/>
  <c r="AL600" i="3" s="1"/>
  <c r="AL1267" i="3"/>
  <c r="AL427" i="3" s="1"/>
  <c r="AL1195" i="3"/>
  <c r="AL355" i="3" s="1"/>
  <c r="AL1255" i="3"/>
  <c r="AP1385" i="3"/>
  <c r="AP545" i="3" s="1"/>
  <c r="AP1417" i="3"/>
  <c r="AP577" i="3" s="1"/>
  <c r="AP1285" i="3"/>
  <c r="AP445" i="3" s="1"/>
  <c r="AP1280" i="3"/>
  <c r="AP440" i="3" s="1"/>
  <c r="AP1358" i="3"/>
  <c r="AP518" i="3" s="1"/>
  <c r="AT1249" i="3"/>
  <c r="AT409" i="3" s="1"/>
  <c r="AT1256" i="3"/>
  <c r="AT1192" i="3"/>
  <c r="AT352" i="3" s="1"/>
  <c r="AT1332" i="3"/>
  <c r="AT492" i="3" s="1"/>
  <c r="AT1254" i="3"/>
  <c r="AT1190" i="3"/>
  <c r="AT350" i="3" s="1"/>
  <c r="AT1255" i="3"/>
  <c r="AT1333" i="3"/>
  <c r="AT493" i="3" s="1"/>
  <c r="AT1292" i="3"/>
  <c r="AT452" i="3" s="1"/>
  <c r="AT1307" i="3"/>
  <c r="AT467" i="3" s="1"/>
  <c r="AT1294" i="3"/>
  <c r="AT454" i="3" s="1"/>
  <c r="AT1370" i="3"/>
  <c r="AT530" i="3" s="1"/>
  <c r="AT1223" i="3"/>
  <c r="AT383" i="3" s="1"/>
  <c r="AT1231" i="3"/>
  <c r="AT391" i="3" s="1"/>
  <c r="AX1333" i="3"/>
  <c r="AX493" i="3" s="1"/>
  <c r="AX1251" i="3"/>
  <c r="AX411" i="3" s="1"/>
  <c r="AX1187" i="3"/>
  <c r="AX347" i="3" s="1"/>
  <c r="P1399" i="3"/>
  <c r="P559" i="3" s="1"/>
  <c r="P1346" i="3"/>
  <c r="P506" i="3" s="1"/>
  <c r="T1337" i="3"/>
  <c r="T497" i="3" s="1"/>
  <c r="T1273" i="3"/>
  <c r="T433" i="3" s="1"/>
  <c r="T1395" i="3"/>
  <c r="T555" i="3" s="1"/>
  <c r="T1251" i="3"/>
  <c r="T411" i="3" s="1"/>
  <c r="T1209" i="3"/>
  <c r="T369" i="3" s="1"/>
  <c r="T1294" i="3"/>
  <c r="T454" i="3" s="1"/>
  <c r="T1203" i="3"/>
  <c r="T363" i="3" s="1"/>
  <c r="X1361" i="3"/>
  <c r="X521" i="3" s="1"/>
  <c r="X1189" i="3"/>
  <c r="X349" i="3" s="1"/>
  <c r="X1301" i="3"/>
  <c r="X461" i="3" s="1"/>
  <c r="X1320" i="3"/>
  <c r="X480" i="3" s="1"/>
  <c r="X1271" i="3"/>
  <c r="X431" i="3" s="1"/>
  <c r="X1359" i="3"/>
  <c r="X519" i="3" s="1"/>
  <c r="X1402" i="3"/>
  <c r="X562" i="3" s="1"/>
  <c r="AF1361" i="3"/>
  <c r="AF521" i="3" s="1"/>
  <c r="AF1332" i="3"/>
  <c r="AF492" i="3" s="1"/>
  <c r="AF1256" i="3"/>
  <c r="AF1358" i="3"/>
  <c r="AF518" i="3" s="1"/>
  <c r="AF1283" i="3"/>
  <c r="AF443" i="3" s="1"/>
  <c r="AF1375" i="3"/>
  <c r="AF535" i="3" s="1"/>
  <c r="AF1223" i="3"/>
  <c r="AF383" i="3" s="1"/>
  <c r="AF1286" i="3"/>
  <c r="AF446" i="3" s="1"/>
  <c r="AF1214" i="3"/>
  <c r="AF374" i="3" s="1"/>
  <c r="AJ1387" i="3"/>
  <c r="AJ547" i="3" s="1"/>
  <c r="AJ1225" i="3"/>
  <c r="AJ385" i="3" s="1"/>
  <c r="AJ1317" i="3"/>
  <c r="AJ477" i="3" s="1"/>
  <c r="AJ1342" i="3"/>
  <c r="AJ502" i="3" s="1"/>
  <c r="AJ1428" i="3"/>
  <c r="AJ588" i="3" s="1"/>
  <c r="AN1308" i="3"/>
  <c r="AN468" i="3" s="1"/>
  <c r="U1457" i="3"/>
  <c r="U617" i="3" s="1"/>
  <c r="U1426" i="3"/>
  <c r="U586" i="3" s="1"/>
  <c r="AK1440" i="3"/>
  <c r="AK600" i="3" s="1"/>
  <c r="AO1429" i="3"/>
  <c r="AO589" i="3" s="1"/>
  <c r="AS1325" i="3"/>
  <c r="AS485" i="3" s="1"/>
  <c r="AS1399" i="3"/>
  <c r="AS559" i="3" s="1"/>
  <c r="AW1428" i="3"/>
  <c r="AW588" i="3" s="1"/>
  <c r="S1361" i="3"/>
  <c r="S521" i="3" s="1"/>
  <c r="S1309" i="3"/>
  <c r="S469" i="3" s="1"/>
  <c r="S1355" i="3"/>
  <c r="S515" i="3" s="1"/>
  <c r="S1426" i="3"/>
  <c r="S586" i="3" s="1"/>
  <c r="W1429" i="3"/>
  <c r="W1448" i="3"/>
  <c r="W608" i="3" s="1"/>
  <c r="AA1325" i="3"/>
  <c r="AA485" i="3" s="1"/>
  <c r="AA1409" i="3"/>
  <c r="AA569" i="3" s="1"/>
  <c r="AE1400" i="3"/>
  <c r="AE560" i="3" s="1"/>
  <c r="AI1250" i="3"/>
  <c r="AI410" i="3" s="1"/>
  <c r="AU1375" i="3"/>
  <c r="AU535" i="3" s="1"/>
  <c r="AB1439" i="3"/>
  <c r="AB599" i="3" s="1"/>
  <c r="AB1432" i="3"/>
  <c r="AB592" i="3" s="1"/>
  <c r="R1367" i="3"/>
  <c r="R527" i="3" s="1"/>
  <c r="R1357" i="3"/>
  <c r="R517" i="3" s="1"/>
  <c r="R1290" i="3"/>
  <c r="R450" i="3" s="1"/>
  <c r="V1395" i="3"/>
  <c r="V555" i="3" s="1"/>
  <c r="Z1260" i="3"/>
  <c r="Z420" i="3" s="1"/>
  <c r="Z1379" i="3"/>
  <c r="Z539" i="3" s="1"/>
  <c r="Z1367" i="3"/>
  <c r="Z527" i="3" s="1"/>
  <c r="AD1326" i="3"/>
  <c r="AD486" i="3" s="1"/>
  <c r="AD1412" i="3"/>
  <c r="AD572" i="3" s="1"/>
  <c r="AH1336" i="3"/>
  <c r="AH496" i="3" s="1"/>
  <c r="AH1307" i="3"/>
  <c r="AH467" i="3" s="1"/>
  <c r="AP1333" i="3"/>
  <c r="AP493" i="3" s="1"/>
  <c r="AX1247" i="3"/>
  <c r="AX407" i="3" s="1"/>
  <c r="AX1446" i="3"/>
  <c r="AX606" i="3" s="1"/>
  <c r="P1437" i="3"/>
  <c r="P597" i="3" s="1"/>
  <c r="X1441" i="3"/>
  <c r="X601" i="3" s="1"/>
  <c r="AN1453" i="3"/>
  <c r="AN613" i="3" s="1"/>
  <c r="AR1439" i="3"/>
  <c r="AR599" i="3" s="1"/>
  <c r="AR1338" i="3"/>
  <c r="AR498" i="3" s="1"/>
  <c r="AV1377" i="3"/>
  <c r="AV537" i="3" s="1"/>
  <c r="AV1321" i="3"/>
  <c r="AV481" i="3" s="1"/>
  <c r="AV1331" i="3"/>
  <c r="AV491" i="3" s="1"/>
  <c r="AV1443" i="3"/>
  <c r="AV603" i="3" s="1"/>
  <c r="AV1398" i="3"/>
  <c r="AV558" i="3" s="1"/>
  <c r="AG1421" i="3"/>
  <c r="AG581" i="3" s="1"/>
  <c r="AG1325" i="3"/>
  <c r="AG485" i="3" s="1"/>
  <c r="AG1203" i="3"/>
  <c r="AG363" i="3" s="1"/>
  <c r="AO1425" i="3"/>
  <c r="AO585" i="3" s="1"/>
  <c r="S1370" i="3"/>
  <c r="S530" i="3" s="1"/>
  <c r="W1286" i="3"/>
  <c r="W446" i="3" s="1"/>
  <c r="AE1376" i="3"/>
  <c r="AE536" i="3" s="1"/>
  <c r="AE1446" i="3"/>
  <c r="AE606" i="3" s="1"/>
  <c r="AI1426" i="3"/>
  <c r="AI586" i="3" s="1"/>
  <c r="AI1256" i="3"/>
  <c r="AI1415" i="3"/>
  <c r="AI575" i="3" s="1"/>
  <c r="AM1288" i="3"/>
  <c r="AM448" i="3" s="1"/>
  <c r="AM1224" i="3"/>
  <c r="AM384" i="3" s="1"/>
  <c r="AM1189" i="3"/>
  <c r="AM349" i="3" s="1"/>
  <c r="AM1375" i="3"/>
  <c r="AM535" i="3" s="1"/>
  <c r="AM1323" i="3"/>
  <c r="AM483" i="3" s="1"/>
  <c r="AM1259" i="3"/>
  <c r="AM419" i="3" s="1"/>
  <c r="AM1359" i="3"/>
  <c r="AM519" i="3" s="1"/>
  <c r="AM1258" i="3"/>
  <c r="AM418" i="3" s="1"/>
  <c r="AM1314" i="3"/>
  <c r="AM474" i="3" s="1"/>
  <c r="AM1222" i="3"/>
  <c r="AM382" i="3" s="1"/>
  <c r="AQ1425" i="3"/>
  <c r="AQ585" i="3" s="1"/>
  <c r="AQ1248" i="3"/>
  <c r="AQ408" i="3" s="1"/>
  <c r="AQ1423" i="3"/>
  <c r="AQ583" i="3" s="1"/>
  <c r="AQ1305" i="3"/>
  <c r="AQ465" i="3" s="1"/>
  <c r="AQ1241" i="3"/>
  <c r="AQ401" i="3" s="1"/>
  <c r="AQ1412" i="3"/>
  <c r="AQ572" i="3" s="1"/>
  <c r="AQ1383" i="3"/>
  <c r="AQ543" i="3" s="1"/>
  <c r="AQ1389" i="3"/>
  <c r="AQ549" i="3" s="1"/>
  <c r="AQ1378" i="3"/>
  <c r="AQ538" i="3" s="1"/>
  <c r="AQ1295" i="3"/>
  <c r="AQ455" i="3" s="1"/>
  <c r="AQ1227" i="3"/>
  <c r="AQ387" i="3" s="1"/>
  <c r="AQ1330" i="3"/>
  <c r="AQ490" i="3" s="1"/>
  <c r="AQ1322" i="3"/>
  <c r="AQ482" i="3" s="1"/>
  <c r="AQ1342" i="3"/>
  <c r="AQ502" i="3" s="1"/>
  <c r="AU1399" i="3"/>
  <c r="AU559" i="3" s="1"/>
  <c r="AU1331" i="3"/>
  <c r="AU491" i="3" s="1"/>
  <c r="AU1267" i="3"/>
  <c r="AU427" i="3" s="1"/>
  <c r="AU1203" i="3"/>
  <c r="AU363" i="3" s="1"/>
  <c r="AU1302" i="3"/>
  <c r="AU462" i="3" s="1"/>
  <c r="AU1353" i="3"/>
  <c r="AU513" i="3" s="1"/>
  <c r="AU1289" i="3"/>
  <c r="AU449" i="3" s="1"/>
  <c r="AU1225" i="3"/>
  <c r="AU385" i="3" s="1"/>
  <c r="AU1340" i="3"/>
  <c r="AU500" i="3" s="1"/>
  <c r="AU1276" i="3"/>
  <c r="AU436" i="3" s="1"/>
  <c r="AU1212" i="3"/>
  <c r="AU372" i="3" s="1"/>
  <c r="AU1387" i="3"/>
  <c r="AU547" i="3" s="1"/>
  <c r="AU1361" i="3"/>
  <c r="AU521" i="3" s="1"/>
  <c r="AU1195" i="3"/>
  <c r="AU355" i="3" s="1"/>
  <c r="AB1188" i="3"/>
  <c r="AB348" i="3" s="1"/>
  <c r="AB1269" i="3"/>
  <c r="AB429" i="3" s="1"/>
  <c r="AB1301" i="3"/>
  <c r="AB461" i="3" s="1"/>
  <c r="AB1402" i="3"/>
  <c r="AB562" i="3" s="1"/>
  <c r="AB1348" i="3"/>
  <c r="AB508" i="3" s="1"/>
  <c r="AB1318" i="3"/>
  <c r="AB478" i="3" s="1"/>
  <c r="AB1242" i="3"/>
  <c r="AB402" i="3" s="1"/>
  <c r="AH1327" i="3"/>
  <c r="AH487" i="3" s="1"/>
  <c r="AH1384" i="3"/>
  <c r="AH544" i="3" s="1"/>
  <c r="AH1186" i="3"/>
  <c r="AH346" i="3" s="1"/>
  <c r="AH1306" i="3"/>
  <c r="AH466" i="3" s="1"/>
  <c r="AL1419" i="3"/>
  <c r="AL579" i="3" s="1"/>
  <c r="AP1303" i="3"/>
  <c r="AP463" i="3" s="1"/>
  <c r="AP1250" i="3"/>
  <c r="AP410" i="3" s="1"/>
  <c r="AT1441" i="3"/>
  <c r="AT601" i="3" s="1"/>
  <c r="X1188" i="3"/>
  <c r="X348" i="3" s="1"/>
  <c r="X1318" i="3"/>
  <c r="X478" i="3" s="1"/>
  <c r="X1316" i="3"/>
  <c r="X476" i="3" s="1"/>
  <c r="AF1421" i="3"/>
  <c r="AF581" i="3" s="1"/>
  <c r="AF1289" i="3"/>
  <c r="AF449" i="3" s="1"/>
  <c r="AF1384" i="3"/>
  <c r="AF544" i="3" s="1"/>
  <c r="AF1248" i="3"/>
  <c r="AF408" i="3" s="1"/>
  <c r="AF1299" i="3"/>
  <c r="AF459" i="3" s="1"/>
  <c r="AN1449" i="3"/>
  <c r="AN609" i="3" s="1"/>
  <c r="AV1421" i="3"/>
  <c r="AV581" i="3" s="1"/>
  <c r="AV1213" i="3"/>
  <c r="AV373" i="3" s="1"/>
  <c r="AV1316" i="3"/>
  <c r="AV476" i="3" s="1"/>
  <c r="AG1332" i="3"/>
  <c r="AG492" i="3" s="1"/>
  <c r="AG1199" i="3"/>
  <c r="AG359" i="3" s="1"/>
  <c r="AK1386" i="3"/>
  <c r="AK546" i="3" s="1"/>
  <c r="AS1347" i="3"/>
  <c r="AS507" i="3" s="1"/>
  <c r="AS1362" i="3"/>
  <c r="AS522" i="3" s="1"/>
  <c r="AW1419" i="3"/>
  <c r="AW579" i="3" s="1"/>
  <c r="AW1401" i="3"/>
  <c r="AW561" i="3" s="1"/>
  <c r="AW1309" i="3"/>
  <c r="AW469" i="3" s="1"/>
  <c r="S1453" i="3"/>
  <c r="S613" i="3" s="1"/>
  <c r="W1309" i="3"/>
  <c r="W469" i="3" s="1"/>
  <c r="W1339" i="3"/>
  <c r="W499" i="3" s="1"/>
  <c r="W1275" i="3"/>
  <c r="W435" i="3" s="1"/>
  <c r="AA1401" i="3"/>
  <c r="AA561" i="3" s="1"/>
  <c r="AA1453" i="3"/>
  <c r="AA613" i="3" s="1"/>
  <c r="AE1388" i="3"/>
  <c r="AE548" i="3" s="1"/>
  <c r="AM1313" i="3"/>
  <c r="AM473" i="3" s="1"/>
  <c r="AU1440" i="3"/>
  <c r="AU600" i="3" s="1"/>
  <c r="AU506" i="3"/>
  <c r="Z77" i="3"/>
  <c r="AT570" i="3"/>
  <c r="AL76" i="3"/>
  <c r="AM77" i="3"/>
  <c r="AH394" i="3"/>
  <c r="AJ76" i="3"/>
  <c r="AB77" i="3"/>
  <c r="AF78" i="3"/>
  <c r="V541" i="3"/>
  <c r="AR469" i="3"/>
  <c r="AW417" i="3"/>
  <c r="AN418" i="3"/>
  <c r="AI463" i="3"/>
  <c r="AO356" i="3"/>
  <c r="AH521" i="3"/>
  <c r="AB559" i="3"/>
  <c r="Z561" i="3"/>
  <c r="R362" i="3"/>
  <c r="AQ576" i="3"/>
  <c r="AQ352" i="3"/>
  <c r="AV68" i="3"/>
  <c r="T78" i="3"/>
  <c r="AS68" i="3"/>
  <c r="AR78" i="3"/>
  <c r="AQ69" i="3"/>
  <c r="AF549" i="3"/>
  <c r="Y613" i="3"/>
  <c r="AO608" i="3"/>
  <c r="Y610" i="3"/>
  <c r="AJ70" i="3"/>
  <c r="AG614" i="3"/>
  <c r="AW69" i="3"/>
  <c r="AN76" i="3"/>
  <c r="AO76" i="3"/>
  <c r="AO590" i="3"/>
  <c r="AA348" i="3"/>
  <c r="AL68" i="3"/>
  <c r="AP546" i="3"/>
  <c r="U608" i="3"/>
  <c r="AW610" i="3"/>
  <c r="AF70" i="3"/>
  <c r="AE607" i="3"/>
  <c r="Z540" i="3"/>
  <c r="AD68" i="3"/>
  <c r="AW70" i="3"/>
  <c r="Y615" i="3"/>
  <c r="AI78" i="3"/>
  <c r="R592" i="3"/>
  <c r="AS601" i="3"/>
  <c r="AU77" i="3"/>
  <c r="Q78" i="3"/>
  <c r="AX79" i="3"/>
  <c r="AI77" i="3"/>
  <c r="U78" i="3"/>
  <c r="AS77" i="3"/>
  <c r="P84" i="3"/>
  <c r="AJ78" i="3"/>
  <c r="AL77" i="3"/>
  <c r="X555" i="3"/>
  <c r="AS79" i="3"/>
  <c r="AQ70" i="3"/>
  <c r="S70" i="3"/>
  <c r="AV79" i="3"/>
  <c r="Q69" i="3"/>
  <c r="AU68" i="3"/>
  <c r="AU78" i="3"/>
  <c r="AV78" i="3"/>
  <c r="Y78" i="3"/>
  <c r="AB590" i="3"/>
  <c r="W494" i="3"/>
  <c r="R69" i="3"/>
  <c r="AF79" i="3"/>
  <c r="AA69" i="3"/>
  <c r="AW409" i="3"/>
  <c r="Q612" i="3"/>
  <c r="AT587" i="3"/>
  <c r="AK68" i="3"/>
  <c r="AE617" i="3"/>
  <c r="AG563" i="3"/>
  <c r="AT68" i="3"/>
  <c r="P68" i="3"/>
  <c r="AF69" i="3"/>
  <c r="AW609" i="3"/>
  <c r="Z468" i="3"/>
  <c r="X379" i="3"/>
  <c r="AN603" i="3"/>
  <c r="AU613" i="3"/>
  <c r="AI528" i="3"/>
  <c r="P617" i="3"/>
  <c r="AP433" i="3"/>
  <c r="W453" i="3"/>
  <c r="AI422" i="3"/>
  <c r="T86" i="3"/>
  <c r="AX78" i="3"/>
  <c r="AJ77" i="3"/>
  <c r="AU501" i="3"/>
  <c r="AH424" i="3"/>
  <c r="Q528" i="3"/>
  <c r="AX76" i="3"/>
  <c r="AA79" i="3"/>
  <c r="R78" i="3"/>
  <c r="Z68" i="3"/>
  <c r="AA71" i="3"/>
  <c r="AC68" i="3"/>
  <c r="T69" i="3"/>
  <c r="AF68" i="3"/>
  <c r="AH69" i="3"/>
  <c r="AH70" i="3"/>
  <c r="AU371" i="3"/>
  <c r="AS76" i="3"/>
  <c r="S78" i="3"/>
  <c r="AE78" i="3"/>
  <c r="AE77" i="3"/>
  <c r="W76" i="3"/>
  <c r="AX70" i="3"/>
  <c r="AX69" i="3"/>
  <c r="AV76" i="3"/>
  <c r="AK78" i="3"/>
  <c r="S459" i="3"/>
  <c r="S601" i="3"/>
  <c r="AL615" i="3"/>
  <c r="AK353" i="3"/>
  <c r="AN434" i="3"/>
  <c r="AQ522" i="3"/>
  <c r="AQ599" i="3"/>
  <c r="AL607" i="3"/>
  <c r="AT583" i="3"/>
  <c r="AN78" i="3"/>
  <c r="AK77" i="3"/>
  <c r="AU76" i="3"/>
  <c r="S77" i="3"/>
  <c r="P78" i="3"/>
  <c r="X77" i="3"/>
  <c r="AW77" i="3"/>
  <c r="AT76" i="3"/>
  <c r="AT78" i="3"/>
  <c r="AC70" i="3"/>
  <c r="Y68" i="3"/>
  <c r="AT77" i="3"/>
  <c r="P61" i="3"/>
  <c r="AW488" i="3"/>
  <c r="R614" i="3"/>
  <c r="AD477" i="3"/>
  <c r="AM351" i="3"/>
  <c r="V517" i="3"/>
  <c r="AC79" i="3"/>
  <c r="AB76" i="3"/>
  <c r="W77" i="3"/>
  <c r="W85" i="3"/>
  <c r="AG76" i="3"/>
  <c r="AG557" i="3"/>
  <c r="AF76" i="3"/>
  <c r="R86" i="3"/>
  <c r="AA616" i="3"/>
  <c r="AG77" i="3"/>
  <c r="P85" i="3"/>
  <c r="AD78" i="3"/>
  <c r="P611" i="3"/>
  <c r="AO547" i="3"/>
  <c r="AS562" i="3"/>
  <c r="AS494" i="3"/>
  <c r="V613" i="3"/>
  <c r="V493" i="3"/>
  <c r="Z597" i="3"/>
  <c r="AL402" i="3"/>
  <c r="AT433" i="3"/>
  <c r="R610" i="3"/>
  <c r="AP78" i="3"/>
  <c r="AI601" i="3"/>
  <c r="AJ512" i="3"/>
  <c r="AP77" i="3"/>
  <c r="V77" i="3"/>
  <c r="AD401" i="3"/>
  <c r="AS614" i="3"/>
  <c r="AS502" i="3"/>
  <c r="AI381" i="3"/>
  <c r="AA606" i="3"/>
  <c r="AL557" i="3"/>
  <c r="AR77" i="3"/>
  <c r="AC78" i="3"/>
  <c r="AQ77" i="3"/>
  <c r="Y76" i="3"/>
  <c r="AR79" i="3"/>
  <c r="AE581" i="3"/>
  <c r="AW615" i="3"/>
  <c r="AD77" i="3"/>
  <c r="AB78" i="3"/>
  <c r="U508" i="3"/>
  <c r="AG543" i="3"/>
  <c r="AA78" i="3"/>
  <c r="R77" i="3"/>
  <c r="AO600" i="3"/>
  <c r="Q399" i="3"/>
  <c r="Q391" i="3"/>
  <c r="AC590" i="3"/>
  <c r="AT578" i="3"/>
  <c r="AT348" i="3"/>
  <c r="AD562" i="3"/>
  <c r="AU433" i="3"/>
  <c r="AQ351" i="3"/>
  <c r="AU614" i="3"/>
  <c r="AX591" i="3"/>
  <c r="Y612" i="3"/>
  <c r="AW363" i="3"/>
  <c r="AP424" i="3"/>
  <c r="AL614" i="3"/>
  <c r="AT369" i="3"/>
  <c r="AF421" i="3"/>
  <c r="AL597" i="3"/>
  <c r="AQ513" i="3"/>
  <c r="AP555" i="3"/>
  <c r="AX585" i="3"/>
  <c r="X612" i="3"/>
  <c r="R591" i="3"/>
  <c r="AI616" i="3"/>
  <c r="AP409" i="3"/>
  <c r="AL422" i="3"/>
  <c r="AH469" i="3"/>
  <c r="X448" i="3"/>
  <c r="AQ356" i="3"/>
  <c r="AH613" i="3"/>
  <c r="Q562" i="3"/>
  <c r="C47" i="5"/>
  <c r="D49" i="5" s="1"/>
  <c r="W61" i="3"/>
  <c r="C112" i="3"/>
  <c r="D114" i="3" s="1"/>
  <c r="R85" i="3" l="1"/>
  <c r="AB61" i="3"/>
  <c r="AB85" i="3"/>
  <c r="J63" i="3"/>
  <c r="A87" i="3"/>
  <c r="N79" i="3"/>
  <c r="J71" i="3"/>
  <c r="D79" i="3"/>
  <c r="D87" i="3"/>
  <c r="C71" i="3"/>
  <c r="J79" i="3"/>
  <c r="M63" i="3"/>
  <c r="A79" i="3"/>
  <c r="J87" i="3"/>
  <c r="N71" i="3"/>
  <c r="M79" i="3"/>
  <c r="B79" i="3"/>
  <c r="C87" i="3"/>
  <c r="L79" i="3"/>
  <c r="A63" i="3"/>
  <c r="C63" i="3"/>
  <c r="L71" i="3"/>
  <c r="K79" i="3"/>
  <c r="N87" i="3"/>
  <c r="D71" i="3"/>
  <c r="K87" i="3"/>
  <c r="C79" i="3"/>
  <c r="B87" i="3"/>
  <c r="M87" i="3"/>
  <c r="K63" i="3"/>
  <c r="K64" i="3" s="1"/>
  <c r="N63" i="3"/>
  <c r="L87" i="3"/>
  <c r="D63" i="3"/>
  <c r="B71" i="3"/>
  <c r="L63" i="3"/>
  <c r="B63" i="3"/>
  <c r="A71" i="3"/>
  <c r="K71" i="3"/>
  <c r="W71" i="3"/>
  <c r="V71" i="3"/>
  <c r="AU71" i="3"/>
  <c r="AP71" i="3"/>
  <c r="AK71" i="3"/>
  <c r="AL71" i="3"/>
  <c r="R79" i="3"/>
  <c r="AO71" i="3"/>
  <c r="AE71" i="3"/>
  <c r="X71" i="3"/>
  <c r="AP79" i="3"/>
  <c r="AP81" i="3" s="1"/>
  <c r="AB71" i="3"/>
  <c r="U71" i="3"/>
  <c r="AD79" i="3"/>
  <c r="P71" i="3"/>
  <c r="M71" i="3"/>
  <c r="O79" i="3"/>
  <c r="AT71" i="3"/>
  <c r="AN71" i="3"/>
  <c r="AV71" i="3"/>
  <c r="AM71" i="3"/>
  <c r="AM78" i="3"/>
  <c r="Z87" i="3"/>
  <c r="V79" i="3"/>
  <c r="V80" i="3" s="1"/>
  <c r="Y87" i="3"/>
  <c r="AN79" i="3"/>
  <c r="AN81" i="3" s="1"/>
  <c r="AG71" i="3"/>
  <c r="AT79" i="3"/>
  <c r="AN20" i="3"/>
  <c r="AJ79" i="3"/>
  <c r="AW79" i="3"/>
  <c r="W79" i="3"/>
  <c r="Q79" i="3"/>
  <c r="W70" i="3"/>
  <c r="K62" i="3"/>
  <c r="AG79" i="3"/>
  <c r="U79" i="3"/>
  <c r="AR71" i="3"/>
  <c r="AI71" i="3"/>
  <c r="M86" i="3"/>
  <c r="L78" i="3"/>
  <c r="N78" i="3"/>
  <c r="K78" i="3"/>
  <c r="J78" i="3"/>
  <c r="M78" i="3"/>
  <c r="J86" i="3"/>
  <c r="N86" i="3"/>
  <c r="L86" i="3"/>
  <c r="K86" i="3"/>
  <c r="D70" i="3"/>
  <c r="A78" i="3"/>
  <c r="A86" i="3"/>
  <c r="C70" i="3"/>
  <c r="C78" i="3"/>
  <c r="A70" i="3"/>
  <c r="I70" i="3" s="1"/>
  <c r="D78" i="3"/>
  <c r="B70" i="3"/>
  <c r="B78" i="3"/>
  <c r="A62" i="3"/>
  <c r="B86" i="3"/>
  <c r="B62" i="3"/>
  <c r="C86" i="3"/>
  <c r="C62" i="3"/>
  <c r="D86" i="3"/>
  <c r="D62" i="3"/>
  <c r="W78" i="3"/>
  <c r="Q70" i="3"/>
  <c r="M70" i="3"/>
  <c r="AA70" i="3"/>
  <c r="X78" i="3"/>
  <c r="AE70" i="3"/>
  <c r="AM70" i="3"/>
  <c r="AM72" i="3" s="1"/>
  <c r="Z78" i="3"/>
  <c r="Z81" i="3" s="1"/>
  <c r="AP70" i="3"/>
  <c r="O70" i="3"/>
  <c r="AI70" i="3"/>
  <c r="L70" i="3"/>
  <c r="N70" i="3"/>
  <c r="AB70" i="3"/>
  <c r="K70" i="3"/>
  <c r="Y70" i="3"/>
  <c r="Z70" i="3"/>
  <c r="V78" i="3"/>
  <c r="O78" i="3"/>
  <c r="J70" i="3"/>
  <c r="X70" i="3"/>
  <c r="T70" i="3"/>
  <c r="AU70" i="3"/>
  <c r="AU73" i="3" s="1"/>
  <c r="I84" i="3"/>
  <c r="AI21" i="3"/>
  <c r="Q71" i="3"/>
  <c r="AW71" i="3"/>
  <c r="AW73" i="3" s="1"/>
  <c r="AQ79" i="3"/>
  <c r="S79" i="3"/>
  <c r="S71" i="3"/>
  <c r="Z79" i="3"/>
  <c r="AB79" i="3"/>
  <c r="AS71" i="3"/>
  <c r="AS72" i="3" s="1"/>
  <c r="AU79" i="3"/>
  <c r="AL78" i="3"/>
  <c r="AF71" i="3"/>
  <c r="O71" i="3"/>
  <c r="P70" i="3"/>
  <c r="AS78" i="3"/>
  <c r="AS80" i="3" s="1"/>
  <c r="AN21" i="3"/>
  <c r="AE21" i="3"/>
  <c r="AL70" i="3"/>
  <c r="R87" i="3"/>
  <c r="AE79" i="3"/>
  <c r="R71" i="3"/>
  <c r="T79" i="3"/>
  <c r="W62" i="3"/>
  <c r="AG70" i="3"/>
  <c r="AG72" i="3" s="1"/>
  <c r="I60" i="3"/>
  <c r="M62" i="3"/>
  <c r="L62" i="3"/>
  <c r="V70" i="3"/>
  <c r="R20" i="3"/>
  <c r="AO69" i="3"/>
  <c r="AO73" i="3" s="1"/>
  <c r="AG21" i="3"/>
  <c r="Y71" i="3"/>
  <c r="Y72" i="3" s="1"/>
  <c r="W20" i="3"/>
  <c r="AI79" i="3"/>
  <c r="AX71" i="3"/>
  <c r="Z71" i="3"/>
  <c r="AX20" i="3"/>
  <c r="AQ78" i="3"/>
  <c r="AK21" i="3"/>
  <c r="U20" i="3"/>
  <c r="AM79" i="3"/>
  <c r="AG78" i="3"/>
  <c r="AS21" i="3"/>
  <c r="AD20" i="3"/>
  <c r="AX77" i="3"/>
  <c r="AW78" i="3"/>
  <c r="AC71" i="3"/>
  <c r="I76" i="3"/>
  <c r="AQ21" i="3"/>
  <c r="N62" i="3"/>
  <c r="AH79" i="3"/>
  <c r="AQ71" i="3"/>
  <c r="AQ73" i="3" s="1"/>
  <c r="X79" i="3"/>
  <c r="M85" i="3"/>
  <c r="M89" i="3" s="1"/>
  <c r="K77" i="3"/>
  <c r="N77" i="3"/>
  <c r="L77" i="3"/>
  <c r="J77" i="3"/>
  <c r="J80" i="3" s="1"/>
  <c r="J85" i="3"/>
  <c r="J88" i="3" s="1"/>
  <c r="K85" i="3"/>
  <c r="M77" i="3"/>
  <c r="L85" i="3"/>
  <c r="L88" i="3" s="1"/>
  <c r="N85" i="3"/>
  <c r="N89" i="3" s="1"/>
  <c r="D69" i="3"/>
  <c r="B69" i="3"/>
  <c r="C69" i="3"/>
  <c r="B85" i="3"/>
  <c r="A69" i="3"/>
  <c r="I69" i="3" s="1"/>
  <c r="D77" i="3"/>
  <c r="C61" i="3"/>
  <c r="A61" i="3"/>
  <c r="D85" i="3"/>
  <c r="C77" i="3"/>
  <c r="B77" i="3"/>
  <c r="D61" i="3"/>
  <c r="A85" i="3"/>
  <c r="C85" i="3"/>
  <c r="A77" i="3"/>
  <c r="B61" i="3"/>
  <c r="Y77" i="3"/>
  <c r="AB69" i="3"/>
  <c r="J69" i="3"/>
  <c r="V69" i="3"/>
  <c r="T77" i="3"/>
  <c r="T80" i="3" s="1"/>
  <c r="N69" i="3"/>
  <c r="W69" i="3"/>
  <c r="W72" i="3" s="1"/>
  <c r="AE69" i="3"/>
  <c r="P69" i="3"/>
  <c r="U77" i="3"/>
  <c r="S69" i="3"/>
  <c r="M69" i="3"/>
  <c r="U69" i="3"/>
  <c r="AV69" i="3"/>
  <c r="AV73" i="3" s="1"/>
  <c r="AA77" i="3"/>
  <c r="K69" i="3"/>
  <c r="AT69" i="3"/>
  <c r="AT73" i="3" s="1"/>
  <c r="AC77" i="3"/>
  <c r="AC80" i="3" s="1"/>
  <c r="AP69" i="3"/>
  <c r="AL69" i="3"/>
  <c r="L69" i="3"/>
  <c r="P77" i="3"/>
  <c r="O77" i="3"/>
  <c r="Q77" i="3"/>
  <c r="AN69" i="3"/>
  <c r="AN72" i="3" s="1"/>
  <c r="AC69" i="3"/>
  <c r="AD69" i="3"/>
  <c r="AD72" i="3" s="1"/>
  <c r="X69" i="3"/>
  <c r="AC20" i="3"/>
  <c r="AW21" i="3"/>
  <c r="P87" i="3"/>
  <c r="AH71" i="3"/>
  <c r="Y79" i="3"/>
  <c r="AL79" i="3"/>
  <c r="AL80" i="3" s="1"/>
  <c r="P79" i="3"/>
  <c r="T71" i="3"/>
  <c r="AK73" i="3"/>
  <c r="K88" i="3"/>
  <c r="N24" i="3"/>
  <c r="K21" i="3"/>
  <c r="W23" i="3"/>
  <c r="AB23" i="3"/>
  <c r="AP23" i="3"/>
  <c r="AD23" i="3"/>
  <c r="AT24" i="3"/>
  <c r="AC24" i="3"/>
  <c r="I23" i="3"/>
  <c r="H23" i="3" s="1"/>
  <c r="Y24" i="3"/>
  <c r="I24" i="3"/>
  <c r="U24" i="3"/>
  <c r="U91" i="3" s="1"/>
  <c r="K23" i="3"/>
  <c r="Q23" i="3"/>
  <c r="K24" i="3"/>
  <c r="K91" i="3" s="1"/>
  <c r="J24" i="3"/>
  <c r="L22" i="3"/>
  <c r="AV24" i="3"/>
  <c r="S23" i="3"/>
  <c r="X23" i="3"/>
  <c r="AH23" i="3"/>
  <c r="V23" i="3"/>
  <c r="AL24" i="3"/>
  <c r="AK24" i="3"/>
  <c r="AB24" i="3"/>
  <c r="U23" i="3"/>
  <c r="AU23" i="3"/>
  <c r="AQ23" i="3"/>
  <c r="AQ24" i="3"/>
  <c r="AQ91" i="3" s="1"/>
  <c r="AE23" i="3"/>
  <c r="AX23" i="3"/>
  <c r="AX91" i="3" s="1"/>
  <c r="L23" i="3"/>
  <c r="J22" i="3"/>
  <c r="AR24" i="3"/>
  <c r="AR91" i="3" s="1"/>
  <c r="AW24" i="3"/>
  <c r="AW91" i="3" s="1"/>
  <c r="T23" i="3"/>
  <c r="Z23" i="3"/>
  <c r="AP24" i="3"/>
  <c r="AP91" i="3" s="1"/>
  <c r="AO24" i="3"/>
  <c r="R24" i="3"/>
  <c r="AD24" i="3"/>
  <c r="AD91" i="3" s="1"/>
  <c r="AL23" i="3"/>
  <c r="O24" i="3"/>
  <c r="Z24" i="3"/>
  <c r="Z91" i="3" s="1"/>
  <c r="O23" i="3"/>
  <c r="AG23" i="3"/>
  <c r="M21" i="3"/>
  <c r="L21" i="3"/>
  <c r="AA24" i="3"/>
  <c r="AA23" i="3"/>
  <c r="N21" i="3"/>
  <c r="N22" i="3"/>
  <c r="AN24" i="3"/>
  <c r="AS24" i="3"/>
  <c r="P23" i="3"/>
  <c r="R23" i="3"/>
  <c r="AH24" i="3"/>
  <c r="AH91" i="3" s="1"/>
  <c r="AJ24" i="3"/>
  <c r="AF24" i="3"/>
  <c r="AK23" i="3"/>
  <c r="AG24" i="3"/>
  <c r="AG91" i="3" s="1"/>
  <c r="V24" i="3"/>
  <c r="V91" i="3" s="1"/>
  <c r="X24" i="3"/>
  <c r="AO23" i="3"/>
  <c r="AS23" i="3"/>
  <c r="Q24" i="3"/>
  <c r="Q91" i="3" s="1"/>
  <c r="AM24" i="3"/>
  <c r="AM91" i="3" s="1"/>
  <c r="AJ23" i="3"/>
  <c r="J21" i="3"/>
  <c r="K22" i="3"/>
  <c r="AC23" i="3"/>
  <c r="AR23" i="3"/>
  <c r="AE24" i="3"/>
  <c r="AE91" i="3" s="1"/>
  <c r="M23" i="3"/>
  <c r="N23" i="3"/>
  <c r="M22" i="3"/>
  <c r="AI24" i="3"/>
  <c r="AI91" i="3" s="1"/>
  <c r="Y23" i="3"/>
  <c r="L24" i="3"/>
  <c r="L91" i="3" s="1"/>
  <c r="AF23" i="3"/>
  <c r="J23" i="3"/>
  <c r="AW23" i="3"/>
  <c r="T24" i="3"/>
  <c r="P24" i="3"/>
  <c r="P91" i="3" s="1"/>
  <c r="AU24" i="3"/>
  <c r="AU91" i="3" s="1"/>
  <c r="AM23" i="3"/>
  <c r="S24" i="3"/>
  <c r="AX24" i="3"/>
  <c r="M24" i="3"/>
  <c r="M91" i="3" s="1"/>
  <c r="AI23" i="3"/>
  <c r="AV23" i="3"/>
  <c r="AN23" i="3"/>
  <c r="W24" i="3"/>
  <c r="AT23" i="3"/>
  <c r="I107" i="3"/>
  <c r="H107" i="3" s="1"/>
  <c r="I105" i="3"/>
  <c r="H105" i="3" s="1"/>
  <c r="I106" i="3"/>
  <c r="H106" i="3" s="1"/>
  <c r="I22" i="3"/>
  <c r="I20" i="3"/>
  <c r="I21" i="3"/>
  <c r="I19" i="3"/>
  <c r="I104" i="3"/>
  <c r="H104" i="3" s="1"/>
  <c r="AE20" i="3"/>
  <c r="Q21" i="3"/>
  <c r="Z21" i="3"/>
  <c r="U21" i="3"/>
  <c r="N20" i="3"/>
  <c r="AC21" i="3"/>
  <c r="V20" i="3"/>
  <c r="S21" i="3"/>
  <c r="W21" i="3"/>
  <c r="AD21" i="3"/>
  <c r="S20" i="3"/>
  <c r="K20" i="3"/>
  <c r="X20" i="3"/>
  <c r="AQ20" i="3"/>
  <c r="Y21" i="3"/>
  <c r="L20" i="3"/>
  <c r="M20" i="3"/>
  <c r="V21" i="3"/>
  <c r="T21" i="3"/>
  <c r="AA21" i="3"/>
  <c r="AB21" i="3"/>
  <c r="P21" i="3"/>
  <c r="J20" i="3"/>
  <c r="O21" i="3"/>
  <c r="X21" i="3"/>
  <c r="R21" i="3"/>
  <c r="AT21" i="3"/>
  <c r="AJ21" i="3"/>
  <c r="AU21" i="3"/>
  <c r="W87" i="3"/>
  <c r="AB86" i="3"/>
  <c r="R61" i="3"/>
  <c r="Y63" i="3"/>
  <c r="S61" i="3"/>
  <c r="U61" i="3"/>
  <c r="W63" i="3"/>
  <c r="R22" i="3"/>
  <c r="T63" i="3"/>
  <c r="U84" i="3"/>
  <c r="AW22" i="3"/>
  <c r="Y62" i="3"/>
  <c r="T22" i="3"/>
  <c r="Z22" i="3"/>
  <c r="AA22" i="3"/>
  <c r="S19" i="3"/>
  <c r="O85" i="3"/>
  <c r="O87" i="3"/>
  <c r="AB84" i="3"/>
  <c r="AD22" i="3"/>
  <c r="O86" i="3"/>
  <c r="O592" i="3"/>
  <c r="O63" i="3" s="1"/>
  <c r="AO72" i="3"/>
  <c r="AH80" i="3"/>
  <c r="O590" i="3"/>
  <c r="O61" i="3" s="1"/>
  <c r="M64" i="3"/>
  <c r="M65" i="3"/>
  <c r="J65" i="3"/>
  <c r="J64" i="3"/>
  <c r="AB87" i="3"/>
  <c r="T87" i="3"/>
  <c r="Y86" i="3"/>
  <c r="AA589" i="3"/>
  <c r="AA19" i="3" s="1"/>
  <c r="AV84" i="3"/>
  <c r="AD589" i="3"/>
  <c r="AD19" i="3" s="1"/>
  <c r="T589" i="3"/>
  <c r="T19" i="3" s="1"/>
  <c r="AJ22" i="3"/>
  <c r="W73" i="3"/>
  <c r="AG73" i="3"/>
  <c r="AI87" i="3"/>
  <c r="O591" i="3"/>
  <c r="O62" i="3" s="1"/>
  <c r="AE86" i="3"/>
  <c r="P86" i="3"/>
  <c r="P89" i="3" s="1"/>
  <c r="W86" i="3"/>
  <c r="AP73" i="3"/>
  <c r="Z85" i="3"/>
  <c r="AI72" i="3"/>
  <c r="Y85" i="3"/>
  <c r="T85" i="3"/>
  <c r="AU85" i="3"/>
  <c r="AN73" i="3"/>
  <c r="AX19" i="3"/>
  <c r="AX22" i="3"/>
  <c r="AL22" i="3"/>
  <c r="Z84" i="3"/>
  <c r="AF22" i="3"/>
  <c r="Z591" i="3"/>
  <c r="Z62" i="3" s="1"/>
  <c r="Z86" i="3"/>
  <c r="AJ87" i="3"/>
  <c r="AB591" i="3"/>
  <c r="AB62" i="3" s="1"/>
  <c r="V589" i="3"/>
  <c r="V19" i="3" s="1"/>
  <c r="Z589" i="3"/>
  <c r="Z19" i="3" s="1"/>
  <c r="AR87" i="3"/>
  <c r="AM84" i="3"/>
  <c r="AN87" i="3"/>
  <c r="AB589" i="3"/>
  <c r="AB19" i="3" s="1"/>
  <c r="AB22" i="3"/>
  <c r="Q589" i="3"/>
  <c r="Q19" i="3" s="1"/>
  <c r="Q22" i="3"/>
  <c r="AQ22" i="3"/>
  <c r="AT22" i="3"/>
  <c r="AP22" i="3"/>
  <c r="AU22" i="3"/>
  <c r="S22" i="3"/>
  <c r="S84" i="3"/>
  <c r="R84" i="3"/>
  <c r="R89" i="3" s="1"/>
  <c r="W589" i="3"/>
  <c r="W19" i="3" s="1"/>
  <c r="W22" i="3"/>
  <c r="X589" i="3"/>
  <c r="X19" i="3" s="1"/>
  <c r="X22" i="3"/>
  <c r="AC589" i="3"/>
  <c r="AC19" i="3" s="1"/>
  <c r="AC22" i="3"/>
  <c r="Y589" i="3"/>
  <c r="Y19" i="3" s="1"/>
  <c r="Y22" i="3"/>
  <c r="AN22" i="3"/>
  <c r="AK22" i="3"/>
  <c r="AI22" i="3"/>
  <c r="AH22" i="3"/>
  <c r="O84" i="3"/>
  <c r="O22" i="3"/>
  <c r="R589" i="3"/>
  <c r="U589" i="3"/>
  <c r="U19" i="3" s="1"/>
  <c r="U22" i="3"/>
  <c r="AR22" i="3"/>
  <c r="AG22" i="3"/>
  <c r="P589" i="3"/>
  <c r="P22" i="3"/>
  <c r="O60" i="3"/>
  <c r="O19" i="3"/>
  <c r="AH81" i="3"/>
  <c r="AJ72" i="3"/>
  <c r="AA60" i="3"/>
  <c r="S60" i="3"/>
  <c r="AO61" i="3"/>
  <c r="AH19" i="3"/>
  <c r="AM73" i="3"/>
  <c r="AO22" i="3"/>
  <c r="AO84" i="3"/>
  <c r="AW84" i="3"/>
  <c r="AS73" i="3"/>
  <c r="AJ437" i="3"/>
  <c r="AJ19" i="3" s="1"/>
  <c r="AS22" i="3"/>
  <c r="AS437" i="3"/>
  <c r="AS60" i="3" s="1"/>
  <c r="AQ437" i="3"/>
  <c r="AQ19" i="3" s="1"/>
  <c r="AU437" i="3"/>
  <c r="AU19" i="3" s="1"/>
  <c r="AO87" i="3"/>
  <c r="AN84" i="3"/>
  <c r="AN437" i="3"/>
  <c r="AN19" i="3" s="1"/>
  <c r="AI437" i="3"/>
  <c r="AI19" i="3" s="1"/>
  <c r="AE22" i="3"/>
  <c r="AE437" i="3"/>
  <c r="AE19" i="3" s="1"/>
  <c r="AG437" i="3"/>
  <c r="AG19" i="3" s="1"/>
  <c r="AS84" i="3"/>
  <c r="AO437" i="3"/>
  <c r="AO19" i="3" s="1"/>
  <c r="AU72" i="3"/>
  <c r="AM22" i="3"/>
  <c r="AM437" i="3"/>
  <c r="AM19" i="3" s="1"/>
  <c r="AR85" i="3"/>
  <c r="AR438" i="3"/>
  <c r="AR63" i="3" s="1"/>
  <c r="AR86" i="3"/>
  <c r="AV72" i="3"/>
  <c r="AA81" i="3"/>
  <c r="Q81" i="3"/>
  <c r="AO81" i="3"/>
  <c r="AW437" i="3"/>
  <c r="AO63" i="3"/>
  <c r="AO85" i="3"/>
  <c r="AO62" i="3"/>
  <c r="AF437" i="3"/>
  <c r="AF19" i="3" s="1"/>
  <c r="AO86" i="3"/>
  <c r="AV22" i="3"/>
  <c r="AV437" i="3"/>
  <c r="AV60" i="3" s="1"/>
  <c r="AL72" i="3"/>
  <c r="S80" i="3"/>
  <c r="AA72" i="3"/>
  <c r="R81" i="3"/>
  <c r="AA80" i="3"/>
  <c r="AF72" i="3"/>
  <c r="X81" i="3"/>
  <c r="AC72" i="3"/>
  <c r="AK72" i="3"/>
  <c r="AK74" i="3" s="1"/>
  <c r="AB80" i="3"/>
  <c r="V81" i="3"/>
  <c r="AA73" i="3"/>
  <c r="S81" i="3"/>
  <c r="U80" i="3"/>
  <c r="AD80" i="3"/>
  <c r="P81" i="3"/>
  <c r="P80" i="3"/>
  <c r="AD81" i="3"/>
  <c r="Q80" i="3"/>
  <c r="W81" i="3"/>
  <c r="X80" i="3"/>
  <c r="U81" i="3"/>
  <c r="R80" i="3"/>
  <c r="AM81" i="3"/>
  <c r="AN85" i="3"/>
  <c r="AD84" i="3"/>
  <c r="AN86" i="3"/>
  <c r="R72" i="3"/>
  <c r="R73" i="3"/>
  <c r="AH72" i="3"/>
  <c r="T73" i="3"/>
  <c r="AC73" i="3"/>
  <c r="AQ72" i="3"/>
  <c r="W80" i="3"/>
  <c r="AF80" i="3"/>
  <c r="AI80" i="3"/>
  <c r="AH73" i="3"/>
  <c r="P73" i="3"/>
  <c r="T72" i="3"/>
  <c r="AF73" i="3"/>
  <c r="AJ86" i="3"/>
  <c r="AO80" i="3"/>
  <c r="AJ73" i="3"/>
  <c r="AI438" i="3"/>
  <c r="AI81" i="3"/>
  <c r="AJ85" i="3"/>
  <c r="AI85" i="3"/>
  <c r="AI86" i="3"/>
  <c r="AP85" i="3"/>
  <c r="AP438" i="3"/>
  <c r="AP63" i="3" s="1"/>
  <c r="AL84" i="3"/>
  <c r="AL437" i="3"/>
  <c r="AU86" i="3"/>
  <c r="AU438" i="3"/>
  <c r="AU63" i="3" s="1"/>
  <c r="AV85" i="3"/>
  <c r="AV438" i="3"/>
  <c r="AV61" i="3" s="1"/>
  <c r="AE87" i="3"/>
  <c r="AE438" i="3"/>
  <c r="AE61" i="3" s="1"/>
  <c r="AK84" i="3"/>
  <c r="AK437" i="3"/>
  <c r="AT437" i="3"/>
  <c r="AP437" i="3"/>
  <c r="AP19" i="3" s="1"/>
  <c r="AR437" i="3"/>
  <c r="AR19" i="3" s="1"/>
  <c r="AK85" i="3"/>
  <c r="AK438" i="3"/>
  <c r="AH87" i="3"/>
  <c r="AH438" i="3"/>
  <c r="AN438" i="3"/>
  <c r="AN62" i="3" s="1"/>
  <c r="AJ438" i="3"/>
  <c r="AJ61" i="3" s="1"/>
  <c r="U87" i="3"/>
  <c r="AG84" i="3"/>
  <c r="AX80" i="3"/>
  <c r="S63" i="3"/>
  <c r="AA84" i="3"/>
  <c r="U85" i="3"/>
  <c r="AE85" i="3"/>
  <c r="U86" i="3"/>
  <c r="AF86" i="3"/>
  <c r="S86" i="3"/>
  <c r="S87" i="3"/>
  <c r="AR84" i="3"/>
  <c r="Q84" i="3"/>
  <c r="AU87" i="3"/>
  <c r="AJ81" i="3"/>
  <c r="AU80" i="3"/>
  <c r="W60" i="3"/>
  <c r="P63" i="3"/>
  <c r="S85" i="3"/>
  <c r="W84" i="3"/>
  <c r="AV80" i="3"/>
  <c r="Y61" i="3"/>
  <c r="AK87" i="3"/>
  <c r="AW81" i="3"/>
  <c r="AB81" i="3"/>
  <c r="AK80" i="3"/>
  <c r="AX81" i="3"/>
  <c r="Z73" i="3"/>
  <c r="AV87" i="3"/>
  <c r="AK81" i="3"/>
  <c r="AK86" i="3"/>
  <c r="AV86" i="3"/>
  <c r="AE80" i="3"/>
  <c r="AJ80" i="3"/>
  <c r="AT84" i="3"/>
  <c r="AU81" i="3"/>
  <c r="AR80" i="3"/>
  <c r="AF61" i="3"/>
  <c r="AF62" i="3"/>
  <c r="AF63" i="3"/>
  <c r="AX72" i="3"/>
  <c r="S62" i="3"/>
  <c r="U62" i="3"/>
  <c r="AF85" i="3"/>
  <c r="AT80" i="3"/>
  <c r="AF87" i="3"/>
  <c r="AF81" i="3"/>
  <c r="U63" i="3"/>
  <c r="P62" i="3"/>
  <c r="AX73" i="3"/>
  <c r="AR81" i="3"/>
  <c r="T62" i="3"/>
  <c r="AV81" i="3"/>
  <c r="AP87" i="3"/>
  <c r="AT81" i="3"/>
  <c r="AW80" i="3"/>
  <c r="AG80" i="3"/>
  <c r="AG81" i="3"/>
  <c r="AE81" i="3"/>
  <c r="AP84" i="3"/>
  <c r="Z63" i="3"/>
  <c r="AP86" i="3"/>
  <c r="R62" i="3"/>
  <c r="AB63" i="3"/>
  <c r="V84" i="3"/>
  <c r="T84" i="3"/>
  <c r="AI84" i="3"/>
  <c r="AH86" i="3"/>
  <c r="AH85" i="3"/>
  <c r="R63" i="3"/>
  <c r="X86" i="3"/>
  <c r="X87" i="3"/>
  <c r="X85" i="3"/>
  <c r="AX84" i="3"/>
  <c r="AJ84" i="3"/>
  <c r="AC85" i="3"/>
  <c r="AC86" i="3"/>
  <c r="AC87" i="3"/>
  <c r="AF84" i="3"/>
  <c r="AM85" i="3"/>
  <c r="AM86" i="3"/>
  <c r="AM87" i="3"/>
  <c r="AD85" i="3"/>
  <c r="AD87" i="3"/>
  <c r="AD86" i="3"/>
  <c r="Y84" i="3"/>
  <c r="AS85" i="3"/>
  <c r="AS86" i="3"/>
  <c r="AS87" i="3"/>
  <c r="AQ86" i="3"/>
  <c r="AQ85" i="3"/>
  <c r="AQ87" i="3"/>
  <c r="V85" i="3"/>
  <c r="V87" i="3"/>
  <c r="V86" i="3"/>
  <c r="AU84" i="3"/>
  <c r="Z61" i="3"/>
  <c r="X84" i="3"/>
  <c r="AA85" i="3"/>
  <c r="AA86" i="3"/>
  <c r="AA87" i="3"/>
  <c r="AE84" i="3"/>
  <c r="AG87" i="3"/>
  <c r="AG85" i="3"/>
  <c r="AG86" i="3"/>
  <c r="AH84" i="3"/>
  <c r="Q86" i="3"/>
  <c r="Q87" i="3"/>
  <c r="Q85" i="3"/>
  <c r="AX85" i="3"/>
  <c r="AX87" i="3"/>
  <c r="AX86" i="3"/>
  <c r="AQ84" i="3"/>
  <c r="AT85" i="3"/>
  <c r="AT86" i="3"/>
  <c r="AT87" i="3"/>
  <c r="AW85" i="3"/>
  <c r="AW86" i="3"/>
  <c r="AW87" i="3"/>
  <c r="AL86" i="3"/>
  <c r="AL87" i="3"/>
  <c r="AL85" i="3"/>
  <c r="D52" i="5"/>
  <c r="D51" i="5"/>
  <c r="D50" i="5"/>
  <c r="D48" i="5"/>
  <c r="D55" i="5" s="1"/>
  <c r="D117" i="3"/>
  <c r="D116" i="3"/>
  <c r="D113" i="3"/>
  <c r="D120" i="3" s="1"/>
  <c r="D115" i="3"/>
  <c r="N64" i="3" l="1"/>
  <c r="AS81" i="3"/>
  <c r="AL81" i="3"/>
  <c r="AN80" i="3"/>
  <c r="AC81" i="3"/>
  <c r="N80" i="3"/>
  <c r="K65" i="3"/>
  <c r="Y81" i="3"/>
  <c r="M81" i="3"/>
  <c r="T81" i="3"/>
  <c r="S73" i="3"/>
  <c r="AU74" i="3"/>
  <c r="AP72" i="3"/>
  <c r="AP74" i="3" s="1"/>
  <c r="Q72" i="3"/>
  <c r="O73" i="3"/>
  <c r="Z80" i="3"/>
  <c r="Z82" i="3" s="1"/>
  <c r="N65" i="3"/>
  <c r="N66" i="3" s="1"/>
  <c r="U73" i="3"/>
  <c r="L64" i="3"/>
  <c r="AL73" i="3"/>
  <c r="Y80" i="3"/>
  <c r="AB88" i="3"/>
  <c r="U72" i="3"/>
  <c r="U74" i="3" s="1"/>
  <c r="Q73" i="3"/>
  <c r="O72" i="3"/>
  <c r="L65" i="3"/>
  <c r="L80" i="3"/>
  <c r="AM80" i="3"/>
  <c r="P72" i="3"/>
  <c r="P74" i="3" s="1"/>
  <c r="AT72" i="3"/>
  <c r="AT74" i="3" s="1"/>
  <c r="K81" i="3"/>
  <c r="Z72" i="3"/>
  <c r="AB73" i="3"/>
  <c r="W64" i="3"/>
  <c r="AQ81" i="3"/>
  <c r="AI73" i="3"/>
  <c r="AI74" i="3" s="1"/>
  <c r="AN74" i="3"/>
  <c r="AV91" i="3"/>
  <c r="L90" i="3"/>
  <c r="L89" i="3"/>
  <c r="M80" i="3"/>
  <c r="M82" i="3" s="1"/>
  <c r="AA91" i="3"/>
  <c r="N91" i="3"/>
  <c r="AI82" i="3"/>
  <c r="AS74" i="3"/>
  <c r="J91" i="3"/>
  <c r="AE72" i="3"/>
  <c r="AE73" i="3"/>
  <c r="AE74" i="3" s="1"/>
  <c r="I61" i="3"/>
  <c r="I62" i="3"/>
  <c r="J89" i="3"/>
  <c r="J90" i="3" s="1"/>
  <c r="AB72" i="3"/>
  <c r="X91" i="3"/>
  <c r="O81" i="3"/>
  <c r="O80" i="3"/>
  <c r="M88" i="3"/>
  <c r="M90" i="3" s="1"/>
  <c r="I79" i="3"/>
  <c r="M72" i="3"/>
  <c r="M73" i="3"/>
  <c r="AP80" i="3"/>
  <c r="N72" i="3"/>
  <c r="N73" i="3"/>
  <c r="W91" i="3"/>
  <c r="L72" i="3"/>
  <c r="L73" i="3"/>
  <c r="Y73" i="3"/>
  <c r="Y74" i="3" s="1"/>
  <c r="J81" i="3"/>
  <c r="J82" i="3" s="1"/>
  <c r="T91" i="3"/>
  <c r="AD73" i="3"/>
  <c r="AD74" i="3" s="1"/>
  <c r="S72" i="3"/>
  <c r="S74" i="3" s="1"/>
  <c r="AM74" i="3"/>
  <c r="V73" i="3"/>
  <c r="V72" i="3"/>
  <c r="K89" i="3"/>
  <c r="K90" i="3" s="1"/>
  <c r="AQ80" i="3"/>
  <c r="AO74" i="3"/>
  <c r="AF91" i="3"/>
  <c r="O91" i="3"/>
  <c r="J73" i="3"/>
  <c r="J72" i="3"/>
  <c r="AR72" i="3"/>
  <c r="AR73" i="3"/>
  <c r="AR74" i="3" s="1"/>
  <c r="AW72" i="3"/>
  <c r="AW74" i="3" s="1"/>
  <c r="AJ91" i="3"/>
  <c r="Y91" i="3"/>
  <c r="N88" i="3"/>
  <c r="N90" i="3" s="1"/>
  <c r="AB91" i="3"/>
  <c r="I86" i="3"/>
  <c r="K80" i="3"/>
  <c r="R91" i="3"/>
  <c r="AK91" i="3"/>
  <c r="AC91" i="3"/>
  <c r="K73" i="3"/>
  <c r="K72" i="3"/>
  <c r="I78" i="3"/>
  <c r="N81" i="3"/>
  <c r="N82" i="3" s="1"/>
  <c r="S91" i="3"/>
  <c r="AO91" i="3"/>
  <c r="AL91" i="3"/>
  <c r="AT91" i="3"/>
  <c r="I77" i="3"/>
  <c r="I71" i="3"/>
  <c r="I87" i="3"/>
  <c r="X72" i="3"/>
  <c r="X73" i="3"/>
  <c r="AL74" i="3"/>
  <c r="AV74" i="3"/>
  <c r="AG74" i="3"/>
  <c r="AS91" i="3"/>
  <c r="I63" i="3"/>
  <c r="Z74" i="3"/>
  <c r="W74" i="3"/>
  <c r="A18" i="3"/>
  <c r="H19" i="3"/>
  <c r="AN91" i="3"/>
  <c r="I85" i="3"/>
  <c r="L81" i="3"/>
  <c r="AH82" i="3"/>
  <c r="AB89" i="3"/>
  <c r="R88" i="3"/>
  <c r="R90" i="3" s="1"/>
  <c r="M66" i="3"/>
  <c r="J66" i="3"/>
  <c r="K66" i="3"/>
  <c r="T60" i="3"/>
  <c r="T64" i="3" s="1"/>
  <c r="AD60" i="3"/>
  <c r="P88" i="3"/>
  <c r="P90" i="3" s="1"/>
  <c r="Z88" i="3"/>
  <c r="AC60" i="3"/>
  <c r="O74" i="3"/>
  <c r="Z60" i="3"/>
  <c r="Z65" i="3" s="1"/>
  <c r="Z89" i="3"/>
  <c r="AB60" i="3"/>
  <c r="AB64" i="3" s="1"/>
  <c r="U60" i="3"/>
  <c r="U65" i="3" s="1"/>
  <c r="R19" i="3"/>
  <c r="R60" i="3"/>
  <c r="R65" i="3" s="1"/>
  <c r="O89" i="3"/>
  <c r="O88" i="3"/>
  <c r="O64" i="3"/>
  <c r="O65" i="3"/>
  <c r="Q60" i="3"/>
  <c r="P19" i="3"/>
  <c r="P60" i="3"/>
  <c r="P65" i="3" s="1"/>
  <c r="AJ74" i="3"/>
  <c r="R74" i="3"/>
  <c r="AO82" i="3"/>
  <c r="A27" i="3"/>
  <c r="N43" i="3"/>
  <c r="J43" i="3"/>
  <c r="M43" i="3"/>
  <c r="O43" i="3"/>
  <c r="K43" i="3"/>
  <c r="L43" i="3"/>
  <c r="J51" i="3"/>
  <c r="L51" i="3"/>
  <c r="N51" i="3"/>
  <c r="M51" i="3"/>
  <c r="K51" i="3"/>
  <c r="O51" i="3"/>
  <c r="AF74" i="3"/>
  <c r="AN60" i="3"/>
  <c r="AS19" i="3"/>
  <c r="AO60" i="3"/>
  <c r="AO65" i="3" s="1"/>
  <c r="AO88" i="3"/>
  <c r="AR62" i="3"/>
  <c r="AR61" i="3"/>
  <c r="AM60" i="3"/>
  <c r="AA82" i="3"/>
  <c r="AR88" i="3"/>
  <c r="Q82" i="3"/>
  <c r="T82" i="3"/>
  <c r="AV19" i="3"/>
  <c r="AO89" i="3"/>
  <c r="J13" i="5"/>
  <c r="AW19" i="3"/>
  <c r="AW60" i="3"/>
  <c r="AQ74" i="3"/>
  <c r="U82" i="3"/>
  <c r="X82" i="3"/>
  <c r="P82" i="3"/>
  <c r="V82" i="3"/>
  <c r="AM82" i="3"/>
  <c r="R82" i="3"/>
  <c r="AK60" i="3"/>
  <c r="AK19" i="3"/>
  <c r="AL60" i="3"/>
  <c r="AL19" i="3"/>
  <c r="AT60" i="3"/>
  <c r="AT19" i="3"/>
  <c r="AD82" i="3"/>
  <c r="S82" i="3"/>
  <c r="AA74" i="3"/>
  <c r="AV82" i="3"/>
  <c r="W82" i="3"/>
  <c r="AC74" i="3"/>
  <c r="U89" i="3"/>
  <c r="AH74" i="3"/>
  <c r="AC82" i="3"/>
  <c r="AB82" i="3"/>
  <c r="U88" i="3"/>
  <c r="Q88" i="3"/>
  <c r="AA88" i="3"/>
  <c r="AD88" i="3"/>
  <c r="AC88" i="3"/>
  <c r="AN88" i="3"/>
  <c r="Q89" i="3"/>
  <c r="AC89" i="3"/>
  <c r="AN89" i="3"/>
  <c r="S88" i="3"/>
  <c r="S89" i="3"/>
  <c r="AD89" i="3"/>
  <c r="Y82" i="3"/>
  <c r="AL82" i="3"/>
  <c r="T74" i="3"/>
  <c r="AX82" i="3"/>
  <c r="AK88" i="3"/>
  <c r="Q74" i="3"/>
  <c r="AG82" i="3"/>
  <c r="AV63" i="3"/>
  <c r="AU82" i="3"/>
  <c r="AK82" i="3"/>
  <c r="AJ82" i="3"/>
  <c r="AA89" i="3"/>
  <c r="AV62" i="3"/>
  <c r="AT82" i="3"/>
  <c r="AF82" i="3"/>
  <c r="AP89" i="3"/>
  <c r="AR60" i="3"/>
  <c r="W65" i="3"/>
  <c r="AN61" i="3"/>
  <c r="AN63" i="3"/>
  <c r="AP60" i="3"/>
  <c r="AR89" i="3"/>
  <c r="AW82" i="3"/>
  <c r="S65" i="3"/>
  <c r="AS82" i="3"/>
  <c r="AI61" i="3"/>
  <c r="AI62" i="3"/>
  <c r="AI63" i="3"/>
  <c r="AJ62" i="3"/>
  <c r="AJ63" i="3"/>
  <c r="S64" i="3"/>
  <c r="AE63" i="3"/>
  <c r="AU61" i="3"/>
  <c r="AU62" i="3"/>
  <c r="AE62" i="3"/>
  <c r="AE82" i="3"/>
  <c r="W88" i="3"/>
  <c r="W89" i="3"/>
  <c r="AK89" i="3"/>
  <c r="AX74" i="3"/>
  <c r="AN82" i="3"/>
  <c r="AP82" i="3"/>
  <c r="AV89" i="3"/>
  <c r="AP88" i="3"/>
  <c r="AV88" i="3"/>
  <c r="AR82" i="3"/>
  <c r="AK63" i="3"/>
  <c r="AK61" i="3"/>
  <c r="AK62" i="3"/>
  <c r="AG60" i="3"/>
  <c r="AP61" i="3"/>
  <c r="AP62" i="3"/>
  <c r="T89" i="3"/>
  <c r="T88" i="3"/>
  <c r="V60" i="3"/>
  <c r="V89" i="3"/>
  <c r="V88" i="3"/>
  <c r="AI60" i="3"/>
  <c r="AI88" i="3"/>
  <c r="AI89" i="3"/>
  <c r="AH61" i="3"/>
  <c r="AH62" i="3"/>
  <c r="AH63" i="3"/>
  <c r="X61" i="3"/>
  <c r="X63" i="3"/>
  <c r="X62" i="3"/>
  <c r="AM89" i="3"/>
  <c r="AM88" i="3"/>
  <c r="AF60" i="3"/>
  <c r="AD61" i="3"/>
  <c r="AD63" i="3"/>
  <c r="AD62" i="3"/>
  <c r="Y60" i="3"/>
  <c r="AM62" i="3"/>
  <c r="AM61" i="3"/>
  <c r="AM63" i="3"/>
  <c r="AJ88" i="3"/>
  <c r="AJ89" i="3"/>
  <c r="AC61" i="3"/>
  <c r="AC63" i="3"/>
  <c r="AC62" i="3"/>
  <c r="Y89" i="3"/>
  <c r="Y88" i="3"/>
  <c r="AF88" i="3"/>
  <c r="AF89" i="3"/>
  <c r="AJ60" i="3"/>
  <c r="AX60" i="3"/>
  <c r="AQ62" i="3"/>
  <c r="AQ61" i="3"/>
  <c r="AQ63" i="3"/>
  <c r="AU60" i="3"/>
  <c r="X60" i="3"/>
  <c r="AU88" i="3"/>
  <c r="AU89" i="3"/>
  <c r="AS88" i="3"/>
  <c r="AS89" i="3"/>
  <c r="X89" i="3"/>
  <c r="X88" i="3"/>
  <c r="V62" i="3"/>
  <c r="V63" i="3"/>
  <c r="V61" i="3"/>
  <c r="AS61" i="3"/>
  <c r="AS62" i="3"/>
  <c r="AS63" i="3"/>
  <c r="AE89" i="3"/>
  <c r="AE88" i="3"/>
  <c r="AA61" i="3"/>
  <c r="AA62" i="3"/>
  <c r="AA63" i="3"/>
  <c r="AE60" i="3"/>
  <c r="D13" i="5"/>
  <c r="AQ89" i="3"/>
  <c r="AQ88" i="3"/>
  <c r="AX88" i="3"/>
  <c r="AX89" i="3"/>
  <c r="Q63" i="3"/>
  <c r="Q61" i="3"/>
  <c r="Q62" i="3"/>
  <c r="AH60" i="3"/>
  <c r="AG61" i="3"/>
  <c r="AG63" i="3"/>
  <c r="AG62" i="3"/>
  <c r="AQ60" i="3"/>
  <c r="AX63" i="3"/>
  <c r="AX61" i="3"/>
  <c r="AX62" i="3"/>
  <c r="AH88" i="3"/>
  <c r="AH89" i="3"/>
  <c r="AG88" i="3"/>
  <c r="AG89" i="3"/>
  <c r="AL88" i="3"/>
  <c r="AL89" i="3"/>
  <c r="A13" i="5"/>
  <c r="AL61" i="3"/>
  <c r="AL62" i="3"/>
  <c r="AL63" i="3"/>
  <c r="AW88" i="3"/>
  <c r="AW89" i="3"/>
  <c r="AT61" i="3"/>
  <c r="AT62" i="3"/>
  <c r="AT63" i="3"/>
  <c r="AW61" i="3"/>
  <c r="AW62" i="3"/>
  <c r="AW63" i="3"/>
  <c r="AT88" i="3"/>
  <c r="AT89" i="3"/>
  <c r="C13" i="5"/>
  <c r="D21" i="5"/>
  <c r="A21" i="5"/>
  <c r="B13" i="5"/>
  <c r="D37" i="5"/>
  <c r="D56" i="5"/>
  <c r="B21" i="5"/>
  <c r="B37" i="5"/>
  <c r="B29" i="5"/>
  <c r="C37" i="5"/>
  <c r="C21" i="5"/>
  <c r="C29" i="5"/>
  <c r="D29" i="5"/>
  <c r="A29" i="5"/>
  <c r="A37" i="5"/>
  <c r="D47" i="5"/>
  <c r="D54" i="5" s="1"/>
  <c r="C51" i="3"/>
  <c r="T51" i="3"/>
  <c r="AT51" i="3"/>
  <c r="B35" i="3"/>
  <c r="AC43" i="3"/>
  <c r="A35" i="3"/>
  <c r="Y43" i="3"/>
  <c r="AI51" i="3"/>
  <c r="T43" i="3"/>
  <c r="AE43" i="3"/>
  <c r="AP43" i="3"/>
  <c r="D112" i="3"/>
  <c r="D119" i="3" s="1"/>
  <c r="X43" i="3"/>
  <c r="R51" i="3"/>
  <c r="AS43" i="3"/>
  <c r="U51" i="3"/>
  <c r="D43" i="3"/>
  <c r="AF51" i="3"/>
  <c r="Q43" i="3"/>
  <c r="Z51" i="3"/>
  <c r="S43" i="3"/>
  <c r="AO51" i="3"/>
  <c r="AD43" i="3"/>
  <c r="AF43" i="3"/>
  <c r="AH51" i="3"/>
  <c r="AN43" i="3"/>
  <c r="W51" i="3"/>
  <c r="AI43" i="3"/>
  <c r="Y51" i="3"/>
  <c r="AK43" i="3"/>
  <c r="AT43" i="3"/>
  <c r="AJ51" i="3"/>
  <c r="D27" i="3"/>
  <c r="AD51" i="3"/>
  <c r="AR43" i="3"/>
  <c r="AL51" i="3"/>
  <c r="AU51" i="3"/>
  <c r="AU43" i="3"/>
  <c r="AK51" i="3"/>
  <c r="AA51" i="3"/>
  <c r="Z43" i="3"/>
  <c r="P51" i="3"/>
  <c r="AV51" i="3"/>
  <c r="C35" i="3"/>
  <c r="D35" i="3"/>
  <c r="AB43" i="3"/>
  <c r="AV43" i="3"/>
  <c r="U43" i="3"/>
  <c r="AX51" i="3"/>
  <c r="B43" i="3"/>
  <c r="D51" i="3"/>
  <c r="AG43" i="3"/>
  <c r="AE51" i="3"/>
  <c r="W43" i="3"/>
  <c r="AM43" i="3"/>
  <c r="AC51" i="3"/>
  <c r="AS51" i="3"/>
  <c r="AW43" i="3"/>
  <c r="AQ51" i="3"/>
  <c r="R43" i="3"/>
  <c r="AH43" i="3"/>
  <c r="AX43" i="3"/>
  <c r="X51" i="3"/>
  <c r="AN51" i="3"/>
  <c r="D121" i="3"/>
  <c r="AP51" i="3"/>
  <c r="A51" i="3"/>
  <c r="AJ43" i="3"/>
  <c r="C43" i="3"/>
  <c r="P43" i="3"/>
  <c r="V51" i="3"/>
  <c r="AO43" i="3"/>
  <c r="AM51" i="3"/>
  <c r="AA43" i="3"/>
  <c r="AQ43" i="3"/>
  <c r="Q51" i="3"/>
  <c r="AG51" i="3"/>
  <c r="AW51" i="3"/>
  <c r="S51" i="3"/>
  <c r="A43" i="3"/>
  <c r="V43" i="3"/>
  <c r="AL43" i="3"/>
  <c r="B51" i="3"/>
  <c r="AB51" i="3"/>
  <c r="AR51" i="3"/>
  <c r="C27" i="3"/>
  <c r="B27" i="3"/>
  <c r="AQ82" i="3" l="1"/>
  <c r="W66" i="3"/>
  <c r="L66" i="3"/>
  <c r="AB90" i="3"/>
  <c r="V74" i="3"/>
  <c r="L82" i="3"/>
  <c r="N74" i="3"/>
  <c r="K82" i="3"/>
  <c r="L74" i="3"/>
  <c r="K74" i="3"/>
  <c r="AB74" i="3"/>
  <c r="O82" i="3"/>
  <c r="J74" i="3"/>
  <c r="X74" i="3"/>
  <c r="M74" i="3"/>
  <c r="T65" i="3"/>
  <c r="T66" i="3" s="1"/>
  <c r="Z90" i="3"/>
  <c r="U64" i="3"/>
  <c r="U66" i="3" s="1"/>
  <c r="Z64" i="3"/>
  <c r="Z66" i="3" s="1"/>
  <c r="P64" i="3"/>
  <c r="P66" i="3" s="1"/>
  <c r="O90" i="3"/>
  <c r="R64" i="3"/>
  <c r="R66" i="3" s="1"/>
  <c r="AB65" i="3"/>
  <c r="AB66" i="3" s="1"/>
  <c r="O66" i="3"/>
  <c r="AR90" i="3"/>
  <c r="AO64" i="3"/>
  <c r="AO66" i="3" s="1"/>
  <c r="L44" i="3"/>
  <c r="O44" i="3"/>
  <c r="J44" i="3"/>
  <c r="M44" i="3"/>
  <c r="K44" i="3"/>
  <c r="N44" i="3"/>
  <c r="N52" i="3"/>
  <c r="M52" i="3"/>
  <c r="K52" i="3"/>
  <c r="J52" i="3"/>
  <c r="L52" i="3"/>
  <c r="O52" i="3"/>
  <c r="N16" i="3"/>
  <c r="J16" i="3"/>
  <c r="L15" i="3"/>
  <c r="N13" i="3"/>
  <c r="N106" i="3" s="1"/>
  <c r="J13" i="3"/>
  <c r="J106" i="3" s="1"/>
  <c r="O15" i="3"/>
  <c r="M13" i="3"/>
  <c r="M106" i="3" s="1"/>
  <c r="L16" i="3"/>
  <c r="L13" i="3"/>
  <c r="L106" i="3" s="1"/>
  <c r="O16" i="3"/>
  <c r="K16" i="3"/>
  <c r="M15" i="3"/>
  <c r="O13" i="3"/>
  <c r="O106" i="3" s="1"/>
  <c r="K13" i="3"/>
  <c r="K106" i="3" s="1"/>
  <c r="M16" i="3"/>
  <c r="K15" i="3"/>
  <c r="N15" i="3"/>
  <c r="J15" i="3"/>
  <c r="N14" i="3"/>
  <c r="N107" i="3" s="1"/>
  <c r="O14" i="3"/>
  <c r="O107" i="3" s="1"/>
  <c r="K14" i="3"/>
  <c r="K107" i="3" s="1"/>
  <c r="L14" i="3"/>
  <c r="L107" i="3" s="1"/>
  <c r="J14" i="3"/>
  <c r="J107" i="3" s="1"/>
  <c r="M14" i="3"/>
  <c r="M107" i="3" s="1"/>
  <c r="U90" i="3"/>
  <c r="AO90" i="3"/>
  <c r="AR64" i="3"/>
  <c r="J7" i="5"/>
  <c r="J14" i="5"/>
  <c r="AX16" i="3"/>
  <c r="AT16" i="3"/>
  <c r="AP16" i="3"/>
  <c r="AL16" i="3"/>
  <c r="AH16" i="3"/>
  <c r="AD16" i="3"/>
  <c r="Z16" i="3"/>
  <c r="V16" i="3"/>
  <c r="R16" i="3"/>
  <c r="AW15" i="3"/>
  <c r="AS15" i="3"/>
  <c r="AO15" i="3"/>
  <c r="AK15" i="3"/>
  <c r="AG15" i="3"/>
  <c r="AC15" i="3"/>
  <c r="Y15" i="3"/>
  <c r="U15" i="3"/>
  <c r="Q15" i="3"/>
  <c r="AV14" i="3"/>
  <c r="AV107" i="3" s="1"/>
  <c r="AR14" i="3"/>
  <c r="AR107" i="3" s="1"/>
  <c r="AN14" i="3"/>
  <c r="AN107" i="3" s="1"/>
  <c r="AJ14" i="3"/>
  <c r="AJ107" i="3" s="1"/>
  <c r="AF14" i="3"/>
  <c r="AF107" i="3" s="1"/>
  <c r="AB14" i="3"/>
  <c r="AB107" i="3" s="1"/>
  <c r="X14" i="3"/>
  <c r="X107" i="3" s="1"/>
  <c r="T14" i="3"/>
  <c r="T107" i="3" s="1"/>
  <c r="P14" i="3"/>
  <c r="P107" i="3" s="1"/>
  <c r="AU13" i="3"/>
  <c r="AU106" i="3" s="1"/>
  <c r="AQ13" i="3"/>
  <c r="AQ106" i="3" s="1"/>
  <c r="AM13" i="3"/>
  <c r="AM106" i="3" s="1"/>
  <c r="AI13" i="3"/>
  <c r="AI106" i="3" s="1"/>
  <c r="AE13" i="3"/>
  <c r="AE106" i="3" s="1"/>
  <c r="AA13" i="3"/>
  <c r="AA106" i="3" s="1"/>
  <c r="W13" i="3"/>
  <c r="W106" i="3" s="1"/>
  <c r="S13" i="3"/>
  <c r="S106" i="3" s="1"/>
  <c r="AS16" i="3"/>
  <c r="Y16" i="3"/>
  <c r="Q16" i="3"/>
  <c r="AR15" i="3"/>
  <c r="AJ15" i="3"/>
  <c r="AB15" i="3"/>
  <c r="T15" i="3"/>
  <c r="P15" i="3"/>
  <c r="AM14" i="3"/>
  <c r="AM107" i="3" s="1"/>
  <c r="AA14" i="3"/>
  <c r="AA107" i="3" s="1"/>
  <c r="S14" i="3"/>
  <c r="S107" i="3" s="1"/>
  <c r="AT13" i="3"/>
  <c r="AT106" i="3" s="1"/>
  <c r="AL13" i="3"/>
  <c r="AL106" i="3" s="1"/>
  <c r="AD13" i="3"/>
  <c r="AD106" i="3" s="1"/>
  <c r="V13" i="3"/>
  <c r="V106" i="3" s="1"/>
  <c r="R13" i="3"/>
  <c r="R106" i="3" s="1"/>
  <c r="AU16" i="3"/>
  <c r="AQ16" i="3"/>
  <c r="AM16" i="3"/>
  <c r="AI16" i="3"/>
  <c r="AE16" i="3"/>
  <c r="AA16" i="3"/>
  <c r="W16" i="3"/>
  <c r="S16" i="3"/>
  <c r="AX15" i="3"/>
  <c r="AT15" i="3"/>
  <c r="AP15" i="3"/>
  <c r="AL15" i="3"/>
  <c r="AH15" i="3"/>
  <c r="AD15" i="3"/>
  <c r="Z15" i="3"/>
  <c r="V15" i="3"/>
  <c r="R15" i="3"/>
  <c r="AW14" i="3"/>
  <c r="AW107" i="3" s="1"/>
  <c r="AS14" i="3"/>
  <c r="AS107" i="3" s="1"/>
  <c r="AO14" i="3"/>
  <c r="AO107" i="3" s="1"/>
  <c r="AK14" i="3"/>
  <c r="AK107" i="3" s="1"/>
  <c r="AG14" i="3"/>
  <c r="AG107" i="3" s="1"/>
  <c r="AC14" i="3"/>
  <c r="AC107" i="3" s="1"/>
  <c r="Y14" i="3"/>
  <c r="Y107" i="3" s="1"/>
  <c r="U14" i="3"/>
  <c r="U107" i="3" s="1"/>
  <c r="Q14" i="3"/>
  <c r="Q107" i="3" s="1"/>
  <c r="AV13" i="3"/>
  <c r="AV106" i="3" s="1"/>
  <c r="AR13" i="3"/>
  <c r="AR106" i="3" s="1"/>
  <c r="AN13" i="3"/>
  <c r="AN106" i="3" s="1"/>
  <c r="AJ13" i="3"/>
  <c r="AJ106" i="3" s="1"/>
  <c r="AF13" i="3"/>
  <c r="AF106" i="3" s="1"/>
  <c r="AB13" i="3"/>
  <c r="AB106" i="3" s="1"/>
  <c r="X13" i="3"/>
  <c r="X106" i="3" s="1"/>
  <c r="T13" i="3"/>
  <c r="T106" i="3" s="1"/>
  <c r="P13" i="3"/>
  <c r="P106" i="3" s="1"/>
  <c r="AW16" i="3"/>
  <c r="AO16" i="3"/>
  <c r="AK16" i="3"/>
  <c r="AG16" i="3"/>
  <c r="AC16" i="3"/>
  <c r="U16" i="3"/>
  <c r="AV15" i="3"/>
  <c r="AN15" i="3"/>
  <c r="AF15" i="3"/>
  <c r="X15" i="3"/>
  <c r="AU14" i="3"/>
  <c r="AU107" i="3" s="1"/>
  <c r="AQ14" i="3"/>
  <c r="AQ107" i="3" s="1"/>
  <c r="AI14" i="3"/>
  <c r="AI107" i="3" s="1"/>
  <c r="AE14" i="3"/>
  <c r="AE107" i="3" s="1"/>
  <c r="W14" i="3"/>
  <c r="W107" i="3" s="1"/>
  <c r="AX13" i="3"/>
  <c r="AX106" i="3" s="1"/>
  <c r="AP13" i="3"/>
  <c r="AP106" i="3" s="1"/>
  <c r="AH13" i="3"/>
  <c r="AH106" i="3" s="1"/>
  <c r="Z13" i="3"/>
  <c r="Z106" i="3" s="1"/>
  <c r="AV16" i="3"/>
  <c r="AF16" i="3"/>
  <c r="P16" i="3"/>
  <c r="AI15" i="3"/>
  <c r="S15" i="3"/>
  <c r="AL14" i="3"/>
  <c r="AL107" i="3" s="1"/>
  <c r="V14" i="3"/>
  <c r="V107" i="3" s="1"/>
  <c r="AO13" i="3"/>
  <c r="AO106" i="3" s="1"/>
  <c r="Y13" i="3"/>
  <c r="Y106" i="3" s="1"/>
  <c r="AR16" i="3"/>
  <c r="AB16" i="3"/>
  <c r="AU15" i="3"/>
  <c r="AE15" i="3"/>
  <c r="AX14" i="3"/>
  <c r="AX107" i="3" s="1"/>
  <c r="AH14" i="3"/>
  <c r="AH107" i="3" s="1"/>
  <c r="R14" i="3"/>
  <c r="R107" i="3" s="1"/>
  <c r="AK13" i="3"/>
  <c r="AK106" i="3" s="1"/>
  <c r="U13" i="3"/>
  <c r="U106" i="3" s="1"/>
  <c r="AN16" i="3"/>
  <c r="X16" i="3"/>
  <c r="AQ15" i="3"/>
  <c r="AA15" i="3"/>
  <c r="AT14" i="3"/>
  <c r="AT107" i="3" s="1"/>
  <c r="AD14" i="3"/>
  <c r="AD107" i="3" s="1"/>
  <c r="AW13" i="3"/>
  <c r="AW106" i="3" s="1"/>
  <c r="AG13" i="3"/>
  <c r="AG106" i="3" s="1"/>
  <c r="Q13" i="3"/>
  <c r="Q106" i="3" s="1"/>
  <c r="AJ16" i="3"/>
  <c r="T16" i="3"/>
  <c r="AM15" i="3"/>
  <c r="W15" i="3"/>
  <c r="AP14" i="3"/>
  <c r="AP107" i="3" s="1"/>
  <c r="Z14" i="3"/>
  <c r="Z107" i="3" s="1"/>
  <c r="AS13" i="3"/>
  <c r="AS106" i="3" s="1"/>
  <c r="AC13" i="3"/>
  <c r="AC106" i="3" s="1"/>
  <c r="AC90" i="3"/>
  <c r="AN90" i="3"/>
  <c r="AA90" i="3"/>
  <c r="Q90" i="3"/>
  <c r="AD90" i="3"/>
  <c r="AP90" i="3"/>
  <c r="S90" i="3"/>
  <c r="AV65" i="3"/>
  <c r="AK90" i="3"/>
  <c r="AR65" i="3"/>
  <c r="AV64" i="3"/>
  <c r="AN65" i="3"/>
  <c r="S66" i="3"/>
  <c r="AN64" i="3"/>
  <c r="AC65" i="3"/>
  <c r="AC64" i="3"/>
  <c r="Q65" i="3"/>
  <c r="Q64" i="3"/>
  <c r="AA64" i="3"/>
  <c r="AA65" i="3"/>
  <c r="AD65" i="3"/>
  <c r="AD64" i="3"/>
  <c r="W90" i="3"/>
  <c r="AV90" i="3"/>
  <c r="AK65" i="3"/>
  <c r="AK64" i="3"/>
  <c r="B14" i="5"/>
  <c r="AP64" i="3"/>
  <c r="AP65" i="3"/>
  <c r="A30" i="5"/>
  <c r="AJ90" i="3"/>
  <c r="AI90" i="3"/>
  <c r="V64" i="3"/>
  <c r="V65" i="3"/>
  <c r="V90" i="3"/>
  <c r="T90" i="3"/>
  <c r="AI64" i="3"/>
  <c r="AI65" i="3"/>
  <c r="AJ64" i="3"/>
  <c r="AJ65" i="3"/>
  <c r="AM64" i="3"/>
  <c r="AM65" i="3"/>
  <c r="Y90" i="3"/>
  <c r="AF65" i="3"/>
  <c r="AF64" i="3"/>
  <c r="X90" i="3"/>
  <c r="AF90" i="3"/>
  <c r="Y64" i="3"/>
  <c r="Y65" i="3"/>
  <c r="AM90" i="3"/>
  <c r="AU64" i="3"/>
  <c r="AU65" i="3"/>
  <c r="AS90" i="3"/>
  <c r="X64" i="3"/>
  <c r="X65" i="3"/>
  <c r="AX90" i="3"/>
  <c r="AS64" i="3"/>
  <c r="AS65" i="3"/>
  <c r="AU90" i="3"/>
  <c r="AE64" i="3"/>
  <c r="AE65" i="3"/>
  <c r="AE90" i="3"/>
  <c r="AT90" i="3"/>
  <c r="AW90" i="3"/>
  <c r="AL90" i="3"/>
  <c r="AH64" i="3"/>
  <c r="AH65" i="3"/>
  <c r="AH90" i="3"/>
  <c r="AX64" i="3"/>
  <c r="AX65" i="3"/>
  <c r="AG65" i="3"/>
  <c r="AG64" i="3"/>
  <c r="I13" i="5"/>
  <c r="AG90" i="3"/>
  <c r="AQ64" i="3"/>
  <c r="AQ65" i="3"/>
  <c r="AQ90" i="3"/>
  <c r="AT65" i="3"/>
  <c r="AT64" i="3"/>
  <c r="AW65" i="3"/>
  <c r="AW64" i="3"/>
  <c r="AL64" i="3"/>
  <c r="AL65" i="3"/>
  <c r="I37" i="5"/>
  <c r="I21" i="5"/>
  <c r="D38" i="5"/>
  <c r="A14" i="5"/>
  <c r="C22" i="5"/>
  <c r="B30" i="5"/>
  <c r="C30" i="5"/>
  <c r="B22" i="5"/>
  <c r="B38" i="5"/>
  <c r="D57" i="5"/>
  <c r="A22" i="5"/>
  <c r="D22" i="5"/>
  <c r="D14" i="5"/>
  <c r="C38" i="5"/>
  <c r="C14" i="5"/>
  <c r="D30" i="5"/>
  <c r="A38" i="5"/>
  <c r="I29" i="5"/>
  <c r="I7" i="5"/>
  <c r="A6" i="5" s="1"/>
  <c r="I9" i="5"/>
  <c r="I10" i="5"/>
  <c r="I8" i="5"/>
  <c r="I15" i="3"/>
  <c r="H15" i="3" s="1"/>
  <c r="I11" i="3"/>
  <c r="A10" i="3" s="1"/>
  <c r="AW44" i="3"/>
  <c r="D28" i="3"/>
  <c r="I14" i="3"/>
  <c r="AN44" i="3"/>
  <c r="I51" i="3"/>
  <c r="U52" i="3"/>
  <c r="I12" i="3"/>
  <c r="I13" i="3"/>
  <c r="AF52" i="3"/>
  <c r="V44" i="3"/>
  <c r="AP52" i="3"/>
  <c r="AV52" i="3"/>
  <c r="AC52" i="3"/>
  <c r="S52" i="3"/>
  <c r="W44" i="3"/>
  <c r="AH44" i="3"/>
  <c r="AL52" i="3"/>
  <c r="C52" i="3"/>
  <c r="AM44" i="3"/>
  <c r="Y52" i="3"/>
  <c r="X44" i="3"/>
  <c r="P52" i="3"/>
  <c r="I16" i="3"/>
  <c r="C36" i="3"/>
  <c r="Q52" i="3"/>
  <c r="C44" i="3"/>
  <c r="U44" i="3"/>
  <c r="D36" i="3"/>
  <c r="R52" i="3"/>
  <c r="AD44" i="3"/>
  <c r="A44" i="3"/>
  <c r="AQ44" i="3"/>
  <c r="AU52" i="3"/>
  <c r="AB44" i="3"/>
  <c r="D122" i="3"/>
  <c r="A28" i="3"/>
  <c r="AO44" i="3"/>
  <c r="AC44" i="3"/>
  <c r="AK44" i="3"/>
  <c r="Q44" i="3"/>
  <c r="AM52" i="3"/>
  <c r="AL44" i="3"/>
  <c r="AO52" i="3"/>
  <c r="AE44" i="3"/>
  <c r="AU44" i="3"/>
  <c r="AE52" i="3"/>
  <c r="D44" i="3"/>
  <c r="AX44" i="3"/>
  <c r="AT52" i="3"/>
  <c r="P44" i="3"/>
  <c r="AF44" i="3"/>
  <c r="AV44" i="3"/>
  <c r="AA52" i="3"/>
  <c r="AW52" i="3"/>
  <c r="X52" i="3"/>
  <c r="AN52" i="3"/>
  <c r="I35" i="3"/>
  <c r="AH52" i="3"/>
  <c r="AI52" i="3"/>
  <c r="AA44" i="3"/>
  <c r="Z52" i="3"/>
  <c r="AP44" i="3"/>
  <c r="AD52" i="3"/>
  <c r="B44" i="3"/>
  <c r="AR44" i="3"/>
  <c r="V52" i="3"/>
  <c r="AQ52" i="3"/>
  <c r="T52" i="3"/>
  <c r="AJ52" i="3"/>
  <c r="I27" i="3"/>
  <c r="AS52" i="3"/>
  <c r="AX52" i="3"/>
  <c r="AS44" i="3"/>
  <c r="W52" i="3"/>
  <c r="Y44" i="3"/>
  <c r="AG44" i="3"/>
  <c r="R44" i="3"/>
  <c r="AT44" i="3"/>
  <c r="A36" i="3"/>
  <c r="S44" i="3"/>
  <c r="AI44" i="3"/>
  <c r="AK52" i="3"/>
  <c r="Z44" i="3"/>
  <c r="D52" i="3"/>
  <c r="B36" i="3"/>
  <c r="T44" i="3"/>
  <c r="AJ44" i="3"/>
  <c r="A52" i="3"/>
  <c r="AG52" i="3"/>
  <c r="B52" i="3"/>
  <c r="AB52" i="3"/>
  <c r="AR52" i="3"/>
  <c r="C28" i="3"/>
  <c r="B28" i="3"/>
  <c r="I43" i="3"/>
  <c r="O58" i="3" l="1"/>
  <c r="L58" i="3"/>
  <c r="AS58" i="3"/>
  <c r="N45" i="3"/>
  <c r="J45" i="3"/>
  <c r="O45" i="3"/>
  <c r="K45" i="3"/>
  <c r="M45" i="3"/>
  <c r="L45" i="3"/>
  <c r="M53" i="3"/>
  <c r="K53" i="3"/>
  <c r="N53" i="3"/>
  <c r="L53" i="3"/>
  <c r="O53" i="3"/>
  <c r="J53" i="3"/>
  <c r="M58" i="3"/>
  <c r="K58" i="3"/>
  <c r="J58" i="3"/>
  <c r="N58" i="3"/>
  <c r="AR66" i="3"/>
  <c r="J15" i="5"/>
  <c r="A39" i="5"/>
  <c r="AN66" i="3"/>
  <c r="AV66" i="3"/>
  <c r="R58" i="3"/>
  <c r="AA66" i="3"/>
  <c r="Q66" i="3"/>
  <c r="AD66" i="3"/>
  <c r="AC66" i="3"/>
  <c r="D15" i="5"/>
  <c r="D23" i="5"/>
  <c r="A15" i="5"/>
  <c r="B39" i="5"/>
  <c r="C31" i="5"/>
  <c r="AK66" i="3"/>
  <c r="D31" i="5"/>
  <c r="D58" i="5"/>
  <c r="A23" i="5"/>
  <c r="B15" i="5"/>
  <c r="D39" i="5"/>
  <c r="C15" i="5"/>
  <c r="B23" i="5"/>
  <c r="C23" i="5"/>
  <c r="C39" i="5"/>
  <c r="B31" i="5"/>
  <c r="A31" i="5"/>
  <c r="AP66" i="3"/>
  <c r="I30" i="5"/>
  <c r="V66" i="3"/>
  <c r="AU66" i="3"/>
  <c r="AJ66" i="3"/>
  <c r="AM66" i="3"/>
  <c r="AI66" i="3"/>
  <c r="AE66" i="3"/>
  <c r="Y66" i="3"/>
  <c r="AF66" i="3"/>
  <c r="AS66" i="3"/>
  <c r="I14" i="5"/>
  <c r="AG66" i="3"/>
  <c r="AH66" i="3"/>
  <c r="X66" i="3"/>
  <c r="I22" i="5"/>
  <c r="AL66" i="3"/>
  <c r="AQ66" i="3"/>
  <c r="AX66" i="3"/>
  <c r="AW66" i="3"/>
  <c r="AT66" i="3"/>
  <c r="I38" i="5"/>
  <c r="AI58" i="3"/>
  <c r="AH58" i="3"/>
  <c r="AN58" i="3"/>
  <c r="AA58" i="3"/>
  <c r="AG58" i="3"/>
  <c r="AV58" i="3"/>
  <c r="Y58" i="3"/>
  <c r="AQ58" i="3"/>
  <c r="AL58" i="3"/>
  <c r="AU58" i="3"/>
  <c r="W58" i="3"/>
  <c r="AO58" i="3"/>
  <c r="P58" i="3"/>
  <c r="AT58" i="3"/>
  <c r="H11" i="3"/>
  <c r="AJ58" i="3"/>
  <c r="AP58" i="3"/>
  <c r="AX58" i="3"/>
  <c r="V58" i="3"/>
  <c r="AE58" i="3"/>
  <c r="T58" i="3"/>
  <c r="Q58" i="3"/>
  <c r="AK58" i="3"/>
  <c r="AI53" i="3"/>
  <c r="X58" i="3"/>
  <c r="AS45" i="3"/>
  <c r="U53" i="3"/>
  <c r="S58" i="3"/>
  <c r="AC58" i="3"/>
  <c r="U58" i="3"/>
  <c r="Y53" i="3"/>
  <c r="AV45" i="3"/>
  <c r="Z53" i="3"/>
  <c r="C45" i="3"/>
  <c r="V45" i="3"/>
  <c r="Z45" i="3"/>
  <c r="P45" i="3"/>
  <c r="P53" i="3"/>
  <c r="AD53" i="3"/>
  <c r="AO53" i="3"/>
  <c r="V53" i="3"/>
  <c r="D45" i="3"/>
  <c r="B53" i="3"/>
  <c r="AC45" i="3"/>
  <c r="AH45" i="3"/>
  <c r="AH53" i="3"/>
  <c r="D123" i="3"/>
  <c r="D29" i="3"/>
  <c r="R45" i="3"/>
  <c r="AD45" i="3"/>
  <c r="T45" i="3"/>
  <c r="AW58" i="3"/>
  <c r="C37" i="3"/>
  <c r="AW53" i="3"/>
  <c r="W53" i="3"/>
  <c r="D37" i="3"/>
  <c r="A37" i="3"/>
  <c r="AI45" i="3"/>
  <c r="AT45" i="3"/>
  <c r="AA53" i="3"/>
  <c r="B45" i="3"/>
  <c r="AU45" i="3"/>
  <c r="A45" i="3"/>
  <c r="X53" i="3"/>
  <c r="AS53" i="3"/>
  <c r="AE45" i="3"/>
  <c r="AO45" i="3"/>
  <c r="AM45" i="3"/>
  <c r="D53" i="3"/>
  <c r="AE53" i="3"/>
  <c r="AJ53" i="3"/>
  <c r="AL45" i="3"/>
  <c r="AX45" i="3"/>
  <c r="AQ45" i="3"/>
  <c r="X45" i="3"/>
  <c r="AG53" i="3"/>
  <c r="AF53" i="3"/>
  <c r="AM53" i="3"/>
  <c r="AL53" i="3"/>
  <c r="I28" i="3"/>
  <c r="U45" i="3"/>
  <c r="AW45" i="3"/>
  <c r="S45" i="3"/>
  <c r="C53" i="3"/>
  <c r="Q53" i="3"/>
  <c r="AB45" i="3"/>
  <c r="AR53" i="3"/>
  <c r="AN53" i="3"/>
  <c r="AQ53" i="3"/>
  <c r="AP53" i="3"/>
  <c r="A29" i="3"/>
  <c r="Y45" i="3"/>
  <c r="AK53" i="3"/>
  <c r="AF45" i="3"/>
  <c r="AN45" i="3"/>
  <c r="AV53" i="3"/>
  <c r="AU53" i="3"/>
  <c r="AT53" i="3"/>
  <c r="C29" i="3"/>
  <c r="B29" i="3"/>
  <c r="AM58" i="3"/>
  <c r="AK45" i="3"/>
  <c r="A53" i="3"/>
  <c r="W45" i="3"/>
  <c r="T53" i="3"/>
  <c r="AG45" i="3"/>
  <c r="Q45" i="3"/>
  <c r="AP45" i="3"/>
  <c r="AB53" i="3"/>
  <c r="AA45" i="3"/>
  <c r="AC53" i="3"/>
  <c r="B37" i="3"/>
  <c r="AJ45" i="3"/>
  <c r="AR45" i="3"/>
  <c r="S53" i="3"/>
  <c r="R53" i="3"/>
  <c r="AX53" i="3"/>
  <c r="I52" i="3"/>
  <c r="I36" i="3"/>
  <c r="AF58" i="3"/>
  <c r="AR58" i="3"/>
  <c r="Z58" i="3"/>
  <c r="AD58" i="3"/>
  <c r="AB58" i="3"/>
  <c r="I44" i="3"/>
  <c r="L46" i="3" l="1"/>
  <c r="L48" i="3" s="1"/>
  <c r="K46" i="3"/>
  <c r="K47" i="3" s="1"/>
  <c r="M46" i="3"/>
  <c r="M47" i="3" s="1"/>
  <c r="O46" i="3"/>
  <c r="O48" i="3" s="1"/>
  <c r="N46" i="3"/>
  <c r="N48" i="3" s="1"/>
  <c r="J46" i="3"/>
  <c r="J47" i="3" s="1"/>
  <c r="O54" i="3"/>
  <c r="O55" i="3" s="1"/>
  <c r="N54" i="3"/>
  <c r="N56" i="3" s="1"/>
  <c r="J54" i="3"/>
  <c r="J55" i="3" s="1"/>
  <c r="K54" i="3"/>
  <c r="K55" i="3" s="1"/>
  <c r="M54" i="3"/>
  <c r="M55" i="3" s="1"/>
  <c r="L54" i="3"/>
  <c r="L56" i="3" s="1"/>
  <c r="J16" i="5"/>
  <c r="J18" i="5" s="1"/>
  <c r="B38" i="3"/>
  <c r="B32" i="5"/>
  <c r="D24" i="5"/>
  <c r="C24" i="5"/>
  <c r="C32" i="5"/>
  <c r="A16" i="5"/>
  <c r="I39" i="5"/>
  <c r="A24" i="5"/>
  <c r="D16" i="5"/>
  <c r="D32" i="5"/>
  <c r="I15" i="5"/>
  <c r="I23" i="5"/>
  <c r="B40" i="5"/>
  <c r="B24" i="5"/>
  <c r="A40" i="5"/>
  <c r="D40" i="5"/>
  <c r="B16" i="5"/>
  <c r="C16" i="5"/>
  <c r="A32" i="5"/>
  <c r="C40" i="5"/>
  <c r="I31" i="5"/>
  <c r="AS54" i="3"/>
  <c r="AS55" i="3" s="1"/>
  <c r="AM54" i="3"/>
  <c r="AM56" i="3" s="1"/>
  <c r="I29" i="3"/>
  <c r="C46" i="3"/>
  <c r="T46" i="3"/>
  <c r="T47" i="3" s="1"/>
  <c r="U46" i="3"/>
  <c r="U47" i="3" s="1"/>
  <c r="AJ46" i="3"/>
  <c r="AJ47" i="3" s="1"/>
  <c r="R54" i="3"/>
  <c r="R56" i="3" s="1"/>
  <c r="A38" i="3"/>
  <c r="AD46" i="3"/>
  <c r="AD47" i="3" s="1"/>
  <c r="AQ46" i="3"/>
  <c r="AQ48" i="3" s="1"/>
  <c r="A54" i="3"/>
  <c r="B30" i="3"/>
  <c r="A30" i="3"/>
  <c r="AK54" i="3"/>
  <c r="AK55" i="3" s="1"/>
  <c r="AO46" i="3"/>
  <c r="AO47" i="3" s="1"/>
  <c r="AJ54" i="3"/>
  <c r="AJ56" i="3" s="1"/>
  <c r="W54" i="3"/>
  <c r="W55" i="3" s="1"/>
  <c r="C38" i="3"/>
  <c r="AP46" i="3"/>
  <c r="AP47" i="3" s="1"/>
  <c r="AN46" i="3"/>
  <c r="AN47" i="3" s="1"/>
  <c r="AB54" i="3"/>
  <c r="AB55" i="3" s="1"/>
  <c r="AU46" i="3"/>
  <c r="AU48" i="3" s="1"/>
  <c r="V46" i="3"/>
  <c r="V47" i="3" s="1"/>
  <c r="P54" i="3"/>
  <c r="P55" i="3" s="1"/>
  <c r="AL54" i="3"/>
  <c r="AL55" i="3" s="1"/>
  <c r="AQ54" i="3"/>
  <c r="AQ56" i="3" s="1"/>
  <c r="AH46" i="3"/>
  <c r="AH47" i="3" s="1"/>
  <c r="AH54" i="3"/>
  <c r="AH56" i="3" s="1"/>
  <c r="R46" i="3"/>
  <c r="R47" i="3" s="1"/>
  <c r="AO54" i="3"/>
  <c r="AO56" i="3" s="1"/>
  <c r="AG54" i="3"/>
  <c r="AG55" i="3" s="1"/>
  <c r="AA46" i="3"/>
  <c r="AA47" i="3" s="1"/>
  <c r="AV54" i="3"/>
  <c r="AV55" i="3" s="1"/>
  <c r="AX54" i="3"/>
  <c r="AX56" i="3" s="1"/>
  <c r="I37" i="3"/>
  <c r="I45" i="3"/>
  <c r="I53" i="3"/>
  <c r="AM46" i="3"/>
  <c r="AM48" i="3" s="1"/>
  <c r="W46" i="3"/>
  <c r="W47" i="3" s="1"/>
  <c r="B54" i="3"/>
  <c r="AT46" i="3"/>
  <c r="AT47" i="3" s="1"/>
  <c r="AG46" i="3"/>
  <c r="AG48" i="3" s="1"/>
  <c r="B46" i="3"/>
  <c r="AR46" i="3"/>
  <c r="AR47" i="3" s="1"/>
  <c r="AU54" i="3"/>
  <c r="AU55" i="3" s="1"/>
  <c r="AP54" i="3"/>
  <c r="AP56" i="3" s="1"/>
  <c r="AW54" i="3"/>
  <c r="AW56" i="3" s="1"/>
  <c r="Q54" i="3"/>
  <c r="Q56" i="3" s="1"/>
  <c r="AS46" i="3"/>
  <c r="AS48" i="3" s="1"/>
  <c r="U54" i="3"/>
  <c r="U55" i="3" s="1"/>
  <c r="T54" i="3"/>
  <c r="T55" i="3" s="1"/>
  <c r="AL46" i="3"/>
  <c r="AL47" i="3" s="1"/>
  <c r="P46" i="3"/>
  <c r="P47" i="3" s="1"/>
  <c r="AV46" i="3"/>
  <c r="AV48" i="3" s="1"/>
  <c r="S54" i="3"/>
  <c r="S55" i="3" s="1"/>
  <c r="D54" i="3"/>
  <c r="AT54" i="3"/>
  <c r="AT55" i="3" s="1"/>
  <c r="D30" i="3"/>
  <c r="Z46" i="3"/>
  <c r="Z48" i="3" s="1"/>
  <c r="AR54" i="3"/>
  <c r="AR55" i="3" s="1"/>
  <c r="AW46" i="3"/>
  <c r="AW48" i="3" s="1"/>
  <c r="X46" i="3"/>
  <c r="X47" i="3" s="1"/>
  <c r="X54" i="3"/>
  <c r="X56" i="3" s="1"/>
  <c r="AA54" i="3"/>
  <c r="AA55" i="3" s="1"/>
  <c r="V54" i="3"/>
  <c r="V56" i="3" s="1"/>
  <c r="AE46" i="3"/>
  <c r="AE48" i="3" s="1"/>
  <c r="AB46" i="3"/>
  <c r="AB48" i="3" s="1"/>
  <c r="C30" i="3"/>
  <c r="D38" i="3"/>
  <c r="S46" i="3"/>
  <c r="S48" i="3" s="1"/>
  <c r="AC46" i="3"/>
  <c r="AC48" i="3" s="1"/>
  <c r="AI46" i="3"/>
  <c r="AI48" i="3" s="1"/>
  <c r="D46" i="3"/>
  <c r="A46" i="3"/>
  <c r="C54" i="3"/>
  <c r="AF54" i="3"/>
  <c r="AF56" i="3" s="1"/>
  <c r="AE54" i="3"/>
  <c r="AE56" i="3" s="1"/>
  <c r="Z54" i="3"/>
  <c r="Z56" i="3" s="1"/>
  <c r="AX46" i="3"/>
  <c r="AX47" i="3" s="1"/>
  <c r="AC54" i="3"/>
  <c r="AC55" i="3" s="1"/>
  <c r="AK46" i="3"/>
  <c r="AK47" i="3" s="1"/>
  <c r="Y46" i="3"/>
  <c r="Y48" i="3" s="1"/>
  <c r="Q46" i="3"/>
  <c r="Q48" i="3" s="1"/>
  <c r="Y54" i="3"/>
  <c r="Y55" i="3" s="1"/>
  <c r="AF46" i="3"/>
  <c r="AF47" i="3" s="1"/>
  <c r="AN54" i="3"/>
  <c r="AN55" i="3" s="1"/>
  <c r="AI54" i="3"/>
  <c r="AI55" i="3" s="1"/>
  <c r="AD54" i="3"/>
  <c r="AD55" i="3" s="1"/>
  <c r="U48" i="3"/>
  <c r="AB47" i="3" l="1"/>
  <c r="AB49" i="3" s="1"/>
  <c r="N55" i="3"/>
  <c r="N57" i="3" s="1"/>
  <c r="N47" i="3"/>
  <c r="N49" i="3" s="1"/>
  <c r="M48" i="3"/>
  <c r="M49" i="3" s="1"/>
  <c r="M56" i="3"/>
  <c r="M57" i="3" s="1"/>
  <c r="O56" i="3"/>
  <c r="O57" i="3" s="1"/>
  <c r="O47" i="3"/>
  <c r="O49" i="3" s="1"/>
  <c r="L55" i="3"/>
  <c r="L57" i="3" s="1"/>
  <c r="K48" i="3"/>
  <c r="K49" i="3" s="1"/>
  <c r="K56" i="3"/>
  <c r="K57" i="3" s="1"/>
  <c r="J56" i="3"/>
  <c r="J57" i="3" s="1"/>
  <c r="J48" i="3"/>
  <c r="J49" i="3" s="1"/>
  <c r="L47" i="3"/>
  <c r="L49" i="3" s="1"/>
  <c r="J17" i="5"/>
  <c r="J19" i="5" s="1"/>
  <c r="AS56" i="3"/>
  <c r="AS57" i="3" s="1"/>
  <c r="I16" i="5"/>
  <c r="I40" i="5"/>
  <c r="I32" i="5"/>
  <c r="I24" i="5"/>
  <c r="AM55" i="3"/>
  <c r="AM57" i="3" s="1"/>
  <c r="AH48" i="3"/>
  <c r="AH49" i="3" s="1"/>
  <c r="AA48" i="3"/>
  <c r="AA49" i="3" s="1"/>
  <c r="AV47" i="3"/>
  <c r="AV49" i="3" s="1"/>
  <c r="AT48" i="3"/>
  <c r="AT49" i="3" s="1"/>
  <c r="AQ55" i="3"/>
  <c r="AQ57" i="3" s="1"/>
  <c r="AO55" i="3"/>
  <c r="AO57" i="3" s="1"/>
  <c r="AI47" i="3"/>
  <c r="AI49" i="3" s="1"/>
  <c r="AD48" i="3"/>
  <c r="AD49" i="3" s="1"/>
  <c r="AJ55" i="3"/>
  <c r="AJ57" i="3" s="1"/>
  <c r="AB56" i="3"/>
  <c r="AB57" i="3" s="1"/>
  <c r="V48" i="3"/>
  <c r="V49" i="3" s="1"/>
  <c r="AW47" i="3"/>
  <c r="AW49" i="3" s="1"/>
  <c r="AQ47" i="3"/>
  <c r="AQ49" i="3" s="1"/>
  <c r="AU47" i="3"/>
  <c r="AU49" i="3" s="1"/>
  <c r="AG56" i="3"/>
  <c r="AG57" i="3" s="1"/>
  <c r="AW55" i="3"/>
  <c r="AW57" i="3" s="1"/>
  <c r="AD56" i="3"/>
  <c r="AD57" i="3" s="1"/>
  <c r="AF55" i="3"/>
  <c r="AF57" i="3" s="1"/>
  <c r="AI56" i="3"/>
  <c r="AI57" i="3" s="1"/>
  <c r="AC56" i="3"/>
  <c r="AC57" i="3" s="1"/>
  <c r="AX48" i="3"/>
  <c r="AX49" i="3" s="1"/>
  <c r="AJ48" i="3"/>
  <c r="AJ49" i="3" s="1"/>
  <c r="I30" i="3"/>
  <c r="AC47" i="3"/>
  <c r="AC49" i="3" s="1"/>
  <c r="AM47" i="3"/>
  <c r="AM49" i="3" s="1"/>
  <c r="AG47" i="3"/>
  <c r="AG49" i="3" s="1"/>
  <c r="AT56" i="3"/>
  <c r="AT57" i="3" s="1"/>
  <c r="U56" i="3"/>
  <c r="U57" i="3" s="1"/>
  <c r="W48" i="3"/>
  <c r="W49" i="3" s="1"/>
  <c r="Z47" i="3"/>
  <c r="Z49" i="3" s="1"/>
  <c r="P56" i="3"/>
  <c r="P57" i="3" s="1"/>
  <c r="AR48" i="3"/>
  <c r="AR49" i="3" s="1"/>
  <c r="AL56" i="3"/>
  <c r="AL57" i="3" s="1"/>
  <c r="AH55" i="3"/>
  <c r="AH57" i="3" s="1"/>
  <c r="AX55" i="3"/>
  <c r="AX57" i="3" s="1"/>
  <c r="AV56" i="3"/>
  <c r="AV57" i="3" s="1"/>
  <c r="T56" i="3"/>
  <c r="T57" i="3" s="1"/>
  <c r="I54" i="3"/>
  <c r="R48" i="3"/>
  <c r="R49" i="3" s="1"/>
  <c r="AN48" i="3"/>
  <c r="AN49" i="3" s="1"/>
  <c r="V55" i="3"/>
  <c r="V57" i="3" s="1"/>
  <c r="I46" i="3"/>
  <c r="AO48" i="3"/>
  <c r="AO49" i="3" s="1"/>
  <c r="AL48" i="3"/>
  <c r="AL49" i="3" s="1"/>
  <c r="R55" i="3"/>
  <c r="R57" i="3" s="1"/>
  <c r="Y47" i="3"/>
  <c r="Y49" i="3" s="1"/>
  <c r="I38" i="3"/>
  <c r="AU56" i="3"/>
  <c r="AU57" i="3" s="1"/>
  <c r="P48" i="3"/>
  <c r="P49" i="3" s="1"/>
  <c r="AP55" i="3"/>
  <c r="AP57" i="3" s="1"/>
  <c r="AP48" i="3"/>
  <c r="AP49" i="3" s="1"/>
  <c r="AK48" i="3"/>
  <c r="AK49" i="3" s="1"/>
  <c r="X55" i="3"/>
  <c r="X57" i="3" s="1"/>
  <c r="W56" i="3"/>
  <c r="W57" i="3" s="1"/>
  <c r="AK56" i="3"/>
  <c r="AK57" i="3" s="1"/>
  <c r="Q55" i="3"/>
  <c r="Q57" i="3" s="1"/>
  <c r="AA56" i="3"/>
  <c r="AA57" i="3" s="1"/>
  <c r="Z55" i="3"/>
  <c r="Z57" i="3" s="1"/>
  <c r="T48" i="3"/>
  <c r="T49" i="3" s="1"/>
  <c r="Q47" i="3"/>
  <c r="Q49" i="3" s="1"/>
  <c r="AN56" i="3"/>
  <c r="AN57" i="3" s="1"/>
  <c r="S47" i="3"/>
  <c r="S49" i="3" s="1"/>
  <c r="X48" i="3"/>
  <c r="X49" i="3" s="1"/>
  <c r="AE55" i="3"/>
  <c r="AE57" i="3" s="1"/>
  <c r="Y56" i="3"/>
  <c r="Y57" i="3" s="1"/>
  <c r="AR56" i="3"/>
  <c r="AR57" i="3" s="1"/>
  <c r="AE47" i="3"/>
  <c r="AE49" i="3" s="1"/>
  <c r="S56" i="3"/>
  <c r="S57" i="3" s="1"/>
  <c r="AF48" i="3"/>
  <c r="AF49" i="3" s="1"/>
  <c r="AS47" i="3"/>
  <c r="AS49" i="3" s="1"/>
  <c r="U49" i="3"/>
  <c r="AS1996" i="3" l="1"/>
  <c r="AS1716" i="3"/>
  <c r="AS1436" i="3" s="1"/>
  <c r="AT1996" i="3"/>
  <c r="AT1716" i="3"/>
  <c r="AJ1996" i="3"/>
  <c r="AJ1716" i="3"/>
  <c r="AT1995" i="3"/>
  <c r="AT1715" i="3"/>
  <c r="AN1995" i="3"/>
  <c r="AN1715" i="3"/>
  <c r="AE1995" i="3"/>
  <c r="AE1715" i="3"/>
  <c r="AF1996" i="3"/>
  <c r="AF1716" i="3"/>
  <c r="AF1995" i="3"/>
  <c r="AF1715" i="3"/>
  <c r="U1996" i="3"/>
  <c r="U1716" i="3"/>
  <c r="AU1996" i="3"/>
  <c r="AU1716" i="3"/>
  <c r="AO1996" i="3"/>
  <c r="AO1716" i="3"/>
  <c r="AO1436" i="3" s="1"/>
  <c r="AE1996" i="3"/>
  <c r="AE1716" i="3"/>
  <c r="U1995" i="3"/>
  <c r="U1715" i="3"/>
  <c r="AK1995" i="3"/>
  <c r="AK1715" i="3"/>
  <c r="AO1995" i="3"/>
  <c r="AO1715" i="3"/>
  <c r="Z1995" i="3"/>
  <c r="Z1715" i="3"/>
  <c r="AJ1995" i="3"/>
  <c r="AJ1715" i="3"/>
  <c r="Z1996" i="3"/>
  <c r="Z1716" i="3"/>
  <c r="U1993" i="3"/>
  <c r="U1713" i="3"/>
  <c r="AE1993" i="3"/>
  <c r="AE1713" i="3"/>
  <c r="AT1993" i="3"/>
  <c r="AT1713" i="3"/>
  <c r="AJ1993" i="3"/>
  <c r="AJ1713" i="3"/>
  <c r="Z1993" i="3"/>
  <c r="Z1713" i="3"/>
  <c r="AO1993" i="3"/>
  <c r="AO1713" i="3"/>
  <c r="U1436" i="3" l="1"/>
  <c r="AF1436" i="3"/>
  <c r="AJ1436" i="3"/>
  <c r="AN1435" i="3"/>
  <c r="AO1435" i="3"/>
  <c r="AJ1435" i="3"/>
  <c r="U1435" i="3"/>
  <c r="AE1433" i="3"/>
  <c r="AP1995" i="3"/>
  <c r="AP1715" i="3"/>
  <c r="AX1996" i="3"/>
  <c r="AX1716" i="3"/>
  <c r="Z1436" i="3"/>
  <c r="AK1435" i="3"/>
  <c r="AE1436" i="3"/>
  <c r="AP1996" i="3"/>
  <c r="AP1716" i="3"/>
  <c r="AA1995" i="3"/>
  <c r="AA1715" i="3"/>
  <c r="AF1435" i="3"/>
  <c r="AT1435" i="3"/>
  <c r="T1995" i="3"/>
  <c r="T1715" i="3"/>
  <c r="AI1996" i="3"/>
  <c r="AI1716" i="3"/>
  <c r="V1996" i="3"/>
  <c r="V1716" i="3"/>
  <c r="V1995" i="3"/>
  <c r="V1715" i="3"/>
  <c r="AX1995" i="3"/>
  <c r="AX1715" i="3"/>
  <c r="T1996" i="3"/>
  <c r="T1716" i="3"/>
  <c r="AA1996" i="3"/>
  <c r="AA1716" i="3"/>
  <c r="Y1995" i="3"/>
  <c r="Y1715" i="3"/>
  <c r="Y1996" i="3"/>
  <c r="Y1716" i="3"/>
  <c r="AK1996" i="3"/>
  <c r="AK1716" i="3"/>
  <c r="AD1996" i="3"/>
  <c r="AD1716" i="3"/>
  <c r="AD1995" i="3"/>
  <c r="AD1715" i="3"/>
  <c r="Z1435" i="3"/>
  <c r="AS1995" i="3"/>
  <c r="AS1715" i="3"/>
  <c r="AU1436" i="3"/>
  <c r="AU1995" i="3"/>
  <c r="AU1715" i="3"/>
  <c r="AI1995" i="3"/>
  <c r="AI1715" i="3"/>
  <c r="AE1435" i="3"/>
  <c r="AT1436" i="3"/>
  <c r="AN1996" i="3"/>
  <c r="AN1716" i="3"/>
  <c r="AO1433" i="3"/>
  <c r="Z1433" i="3"/>
  <c r="AJ1433" i="3"/>
  <c r="AT1433" i="3"/>
  <c r="U1433" i="3"/>
  <c r="AD1993" i="3"/>
  <c r="AD1713" i="3"/>
  <c r="AP1993" i="3"/>
  <c r="AP1713" i="3"/>
  <c r="AX1993" i="3"/>
  <c r="AX1713" i="3"/>
  <c r="AU1993" i="3"/>
  <c r="AU1713" i="3"/>
  <c r="AA1993" i="3"/>
  <c r="AA1713" i="3"/>
  <c r="Y1993" i="3"/>
  <c r="Y1713" i="3"/>
  <c r="AF1993" i="3"/>
  <c r="AF1713" i="3"/>
  <c r="AK1993" i="3"/>
  <c r="AK1713" i="3"/>
  <c r="AI1993" i="3"/>
  <c r="AI1713" i="3"/>
  <c r="T1993" i="3"/>
  <c r="T1713" i="3"/>
  <c r="AN1993" i="3"/>
  <c r="AN1713" i="3"/>
  <c r="AS1993" i="3"/>
  <c r="AS1713" i="3"/>
  <c r="V1993" i="3"/>
  <c r="V1713" i="3"/>
  <c r="AA1436" i="3" l="1"/>
  <c r="AA1435" i="3"/>
  <c r="AX1435" i="3"/>
  <c r="AP1435" i="3"/>
  <c r="AX1436" i="3"/>
  <c r="AU1435" i="3"/>
  <c r="AS1435" i="3"/>
  <c r="AL1995" i="3"/>
  <c r="AL1715" i="3"/>
  <c r="AV1996" i="3"/>
  <c r="AV1716" i="3"/>
  <c r="AD1435" i="3"/>
  <c r="AL1996" i="3"/>
  <c r="AL1716" i="3"/>
  <c r="Y1435" i="3"/>
  <c r="T1436" i="3"/>
  <c r="AV1995" i="3"/>
  <c r="AV1715" i="3"/>
  <c r="V1436" i="3"/>
  <c r="T1435" i="3"/>
  <c r="W1995" i="3"/>
  <c r="W1715" i="3"/>
  <c r="AQ1995" i="3"/>
  <c r="AQ1715" i="3"/>
  <c r="AG1996" i="3"/>
  <c r="AG1716" i="3"/>
  <c r="AI1435" i="3"/>
  <c r="AK1436" i="3"/>
  <c r="Y1436" i="3"/>
  <c r="AN1436" i="3"/>
  <c r="AB1996" i="3"/>
  <c r="AB1716" i="3"/>
  <c r="R1995" i="3"/>
  <c r="R1715" i="3"/>
  <c r="AD1436" i="3"/>
  <c r="V1435" i="3"/>
  <c r="AI1436" i="3"/>
  <c r="AB1995" i="3"/>
  <c r="AB1715" i="3"/>
  <c r="AP1436" i="3"/>
  <c r="AG1995" i="3"/>
  <c r="AG1715" i="3"/>
  <c r="AQ1996" i="3"/>
  <c r="AQ1716" i="3"/>
  <c r="R1996" i="3"/>
  <c r="R1716" i="3"/>
  <c r="W1996" i="3"/>
  <c r="W1716" i="3"/>
  <c r="AS1433" i="3"/>
  <c r="AN1433" i="3"/>
  <c r="T1433" i="3"/>
  <c r="AU1433" i="3"/>
  <c r="AX1433" i="3"/>
  <c r="AP1433" i="3"/>
  <c r="AB1993" i="3"/>
  <c r="AB1713" i="3"/>
  <c r="V1433" i="3"/>
  <c r="AI1433" i="3"/>
  <c r="AK1433" i="3"/>
  <c r="AF1433" i="3"/>
  <c r="Y1433" i="3"/>
  <c r="AA1433" i="3"/>
  <c r="W1993" i="3"/>
  <c r="W1713" i="3"/>
  <c r="AG1993" i="3"/>
  <c r="AG1713" i="3"/>
  <c r="AL1993" i="3"/>
  <c r="AL1713" i="3"/>
  <c r="R1993" i="3"/>
  <c r="R1713" i="3"/>
  <c r="AQ1993" i="3"/>
  <c r="AQ1713" i="3"/>
  <c r="AD1433" i="3"/>
  <c r="AV1993" i="3"/>
  <c r="AV1713" i="3"/>
  <c r="R1436" i="3" l="1"/>
  <c r="R1435" i="3"/>
  <c r="AL1435" i="3"/>
  <c r="R1433" i="3"/>
  <c r="AL1433" i="3"/>
  <c r="AG1433" i="3"/>
  <c r="W1436" i="3"/>
  <c r="AV1435" i="3"/>
  <c r="AB1436" i="3"/>
  <c r="AL1436" i="3"/>
  <c r="AV1436" i="3"/>
  <c r="AC1996" i="3"/>
  <c r="AC1716" i="3"/>
  <c r="S1996" i="3"/>
  <c r="S1716" i="3"/>
  <c r="AM1996" i="3"/>
  <c r="AM1716" i="3"/>
  <c r="X1995" i="3"/>
  <c r="X1715" i="3"/>
  <c r="AR1996" i="3"/>
  <c r="AR1716" i="3"/>
  <c r="AW1996" i="3"/>
  <c r="AW1716" i="3"/>
  <c r="AH1996" i="3"/>
  <c r="AH1716" i="3"/>
  <c r="AM1995" i="3"/>
  <c r="AM1715" i="3"/>
  <c r="AG1435" i="3"/>
  <c r="W1435" i="3"/>
  <c r="AQ1436" i="3"/>
  <c r="AB1435" i="3"/>
  <c r="AC1995" i="3"/>
  <c r="AC1715" i="3"/>
  <c r="X1996" i="3"/>
  <c r="X1716" i="3"/>
  <c r="S1995" i="3"/>
  <c r="S1715" i="3"/>
  <c r="AR1995" i="3"/>
  <c r="AR1715" i="3"/>
  <c r="AG1436" i="3"/>
  <c r="AQ1435" i="3"/>
  <c r="AW1995" i="3"/>
  <c r="AW1715" i="3"/>
  <c r="AH1995" i="3"/>
  <c r="AH1715" i="3"/>
  <c r="AB1433" i="3"/>
  <c r="AV1433" i="3"/>
  <c r="AQ1433" i="3"/>
  <c r="W1433" i="3"/>
  <c r="AC1993" i="3"/>
  <c r="AC1713" i="3"/>
  <c r="AM1993" i="3"/>
  <c r="AM1713" i="3"/>
  <c r="AR1993" i="3"/>
  <c r="AR1713" i="3"/>
  <c r="S1993" i="3"/>
  <c r="S1713" i="3"/>
  <c r="AH1993" i="3"/>
  <c r="AH1713" i="3"/>
  <c r="X1993" i="3"/>
  <c r="X1713" i="3"/>
  <c r="AW1993" i="3"/>
  <c r="AW1713" i="3"/>
  <c r="AW1436" i="3" l="1"/>
  <c r="S1436" i="3"/>
  <c r="X1436" i="3"/>
  <c r="AH1436" i="3"/>
  <c r="AM1436" i="3"/>
  <c r="X1435" i="3"/>
  <c r="AH1435" i="3"/>
  <c r="AC1433" i="3"/>
  <c r="AC1435" i="3"/>
  <c r="AR1436" i="3"/>
  <c r="AW1433" i="3"/>
  <c r="X1433" i="3"/>
  <c r="AH1433" i="3"/>
  <c r="S1433" i="3"/>
  <c r="AW1435" i="3"/>
  <c r="AR1435" i="3"/>
  <c r="S1435" i="3"/>
  <c r="AM1435" i="3"/>
  <c r="AC1436" i="3"/>
  <c r="AR1433" i="3"/>
  <c r="AM1433" i="3"/>
  <c r="AM876" i="3" l="1"/>
  <c r="AK876" i="3"/>
  <c r="AH876" i="3"/>
  <c r="AH875" i="3"/>
  <c r="V875" i="3"/>
  <c r="R875" i="3"/>
  <c r="AB875" i="3"/>
  <c r="AF876" i="3"/>
  <c r="AE876" i="3"/>
  <c r="AL876" i="3"/>
  <c r="U876" i="3"/>
  <c r="AR876" i="3"/>
  <c r="AQ876" i="3"/>
  <c r="Z876" i="3"/>
  <c r="AW876" i="3"/>
  <c r="AO875" i="3"/>
  <c r="AQ875" i="3"/>
  <c r="AT875" i="3"/>
  <c r="U875" i="3"/>
  <c r="AW875" i="3"/>
  <c r="AU875" i="3"/>
  <c r="AR875" i="3"/>
  <c r="AC876" i="3"/>
  <c r="AG876" i="3"/>
  <c r="AC875" i="3"/>
  <c r="AV875" i="3"/>
  <c r="AO876" i="3"/>
  <c r="X876" i="3"/>
  <c r="W876" i="3"/>
  <c r="AJ876" i="3"/>
  <c r="R876" i="3"/>
  <c r="X875" i="3"/>
  <c r="AL875" i="3"/>
  <c r="AG875" i="3"/>
  <c r="AM875" i="3"/>
  <c r="AT876" i="3"/>
  <c r="S876" i="3"/>
  <c r="S875" i="3"/>
  <c r="W875" i="3"/>
  <c r="AV876" i="3"/>
  <c r="AU876" i="3"/>
  <c r="V876" i="3"/>
  <c r="AB876" i="3"/>
  <c r="AA876" i="3"/>
  <c r="AP876" i="3"/>
  <c r="AF875" i="3"/>
  <c r="AA875" i="3"/>
  <c r="Z875" i="3"/>
  <c r="AK875" i="3"/>
  <c r="AP875" i="3"/>
  <c r="AE875" i="3"/>
  <c r="AJ875" i="3"/>
  <c r="W873" i="3"/>
  <c r="AC873" i="3"/>
  <c r="AB873" i="3"/>
  <c r="R873" i="3"/>
  <c r="AM873" i="3"/>
  <c r="AL873" i="3"/>
  <c r="AP873" i="3"/>
  <c r="AR873" i="3"/>
  <c r="AU873" i="3"/>
  <c r="AO873" i="3"/>
  <c r="AE873" i="3"/>
  <c r="Z873" i="3"/>
  <c r="X873" i="3"/>
  <c r="AT873" i="3"/>
  <c r="AF873" i="3"/>
  <c r="U873" i="3"/>
  <c r="AA873" i="3"/>
  <c r="AW873" i="3"/>
  <c r="AH873" i="3"/>
  <c r="AK873" i="3"/>
  <c r="AV873" i="3"/>
  <c r="AJ873" i="3"/>
  <c r="AQ873" i="3"/>
  <c r="V873" i="3"/>
  <c r="AG873" i="3"/>
  <c r="S873" i="3"/>
  <c r="AS875" i="3" l="1"/>
  <c r="AD875" i="3"/>
  <c r="Y875" i="3"/>
  <c r="AS876" i="3"/>
  <c r="AI875" i="3"/>
  <c r="AX876" i="3"/>
  <c r="T876" i="3"/>
  <c r="AN876" i="3"/>
  <c r="T875" i="3"/>
  <c r="AX875" i="3"/>
  <c r="Y876" i="3"/>
  <c r="AI876" i="3"/>
  <c r="AD876" i="3"/>
  <c r="AN875" i="3"/>
  <c r="AN873" i="3"/>
  <c r="AI873" i="3"/>
  <c r="AS873" i="3"/>
  <c r="AD873" i="3"/>
  <c r="T873" i="3"/>
  <c r="Y873" i="3"/>
  <c r="AX873" i="3"/>
  <c r="AT1153" i="3" l="1"/>
  <c r="AT593" i="3" s="1"/>
  <c r="AA1153" i="3"/>
  <c r="AA593" i="3" s="1"/>
  <c r="AO1153" i="3"/>
  <c r="AO593" i="3" s="1"/>
  <c r="V1153" i="3"/>
  <c r="V593" i="3" s="1"/>
  <c r="AK1153" i="3"/>
  <c r="AK593" i="3" s="1"/>
  <c r="AR1153" i="3"/>
  <c r="AR593" i="3" s="1"/>
  <c r="S1153" i="3"/>
  <c r="S593" i="3" s="1"/>
  <c r="X1153" i="3"/>
  <c r="X593" i="3" s="1"/>
  <c r="AG1153" i="3"/>
  <c r="AG593" i="3" s="1"/>
  <c r="Z1153" i="3"/>
  <c r="Z593" i="3" s="1"/>
  <c r="AC1153" i="3"/>
  <c r="AC593" i="3" s="1"/>
  <c r="AJ1153" i="3"/>
  <c r="AJ593" i="3" s="1"/>
  <c r="AP1153" i="3"/>
  <c r="AP593" i="3" s="1"/>
  <c r="AU1153" i="3"/>
  <c r="AU593" i="3" s="1"/>
  <c r="AM1153" i="3"/>
  <c r="AM593" i="3" s="1"/>
  <c r="AF1153" i="3"/>
  <c r="AF593" i="3" s="1"/>
  <c r="AH1153" i="3"/>
  <c r="AH593" i="3" s="1"/>
  <c r="AL1153" i="3"/>
  <c r="AL593" i="3" s="1"/>
  <c r="AQ1153" i="3"/>
  <c r="AQ593" i="3" s="1"/>
  <c r="AV1153" i="3"/>
  <c r="AV593" i="3" s="1"/>
  <c r="R1153" i="3"/>
  <c r="R593" i="3" s="1"/>
  <c r="U1153" i="3"/>
  <c r="U593" i="3" s="1"/>
  <c r="AW1153" i="3"/>
  <c r="AW593" i="3" s="1"/>
  <c r="AB1153" i="3"/>
  <c r="AB593" i="3" s="1"/>
  <c r="AE1153" i="3"/>
  <c r="AE593" i="3" s="1"/>
  <c r="W1153" i="3"/>
  <c r="W593" i="3" s="1"/>
  <c r="AX1153" i="3" l="1"/>
  <c r="AX593" i="3" s="1"/>
  <c r="AI1153" i="3"/>
  <c r="AI593" i="3" s="1"/>
  <c r="AD1153" i="3"/>
  <c r="AD593" i="3" s="1"/>
  <c r="AN1153" i="3"/>
  <c r="AN593" i="3" s="1"/>
  <c r="T1153" i="3"/>
  <c r="T593" i="3" s="1"/>
  <c r="AS1153" i="3"/>
  <c r="AS593" i="3" s="1"/>
  <c r="Y1153" i="3"/>
  <c r="Y593" i="3" s="1"/>
  <c r="R1155" i="3" l="1"/>
  <c r="R595" i="3" s="1"/>
  <c r="AQ1155" i="3"/>
  <c r="AQ595" i="3" s="1"/>
  <c r="AV1155" i="3"/>
  <c r="AV595" i="3" s="1"/>
  <c r="AP1155" i="3"/>
  <c r="AP595" i="3" s="1"/>
  <c r="AW1155" i="3"/>
  <c r="AW595" i="3" s="1"/>
  <c r="AM1155" i="3"/>
  <c r="AM595" i="3" s="1"/>
  <c r="AK1155" i="3"/>
  <c r="AK595" i="3" s="1"/>
  <c r="AB1155" i="3"/>
  <c r="AB595" i="3" s="1"/>
  <c r="AR1155" i="3"/>
  <c r="AR595" i="3" s="1"/>
  <c r="AH1155" i="3"/>
  <c r="AH595" i="3" s="1"/>
  <c r="AO1155" i="3"/>
  <c r="AO595" i="3" s="1"/>
  <c r="AU1155" i="3"/>
  <c r="AU595" i="3" s="1"/>
  <c r="AA1155" i="3"/>
  <c r="AA595" i="3" s="1"/>
  <c r="V1155" i="3"/>
  <c r="V595" i="3" s="1"/>
  <c r="AC1155" i="3"/>
  <c r="AC595" i="3" s="1"/>
  <c r="AJ1155" i="3"/>
  <c r="AJ595" i="3" s="1"/>
  <c r="X1155" i="3"/>
  <c r="X595" i="3" s="1"/>
  <c r="AL1155" i="3"/>
  <c r="AL595" i="3" s="1"/>
  <c r="AE1155" i="3"/>
  <c r="AE595" i="3" s="1"/>
  <c r="Z1155" i="3"/>
  <c r="Z595" i="3" s="1"/>
  <c r="AG1155" i="3"/>
  <c r="AG595" i="3" s="1"/>
  <c r="W1155" i="3"/>
  <c r="W595" i="3" s="1"/>
  <c r="S1155" i="3"/>
  <c r="S595" i="3" s="1"/>
  <c r="AT1155" i="3"/>
  <c r="AT595" i="3" s="1"/>
  <c r="U1155" i="3"/>
  <c r="U595" i="3" s="1"/>
  <c r="AF1155" i="3"/>
  <c r="AF595" i="3" s="1"/>
  <c r="Z1156" i="3" l="1"/>
  <c r="Z596" i="3" s="1"/>
  <c r="AC1156" i="3"/>
  <c r="AC596" i="3" s="1"/>
  <c r="AJ1156" i="3"/>
  <c r="AJ596" i="3" s="1"/>
  <c r="R1156" i="3"/>
  <c r="R596" i="3" s="1"/>
  <c r="AV1156" i="3"/>
  <c r="AV596" i="3" s="1"/>
  <c r="AU1156" i="3"/>
  <c r="AU596" i="3" s="1"/>
  <c r="V1156" i="3"/>
  <c r="V596" i="3" s="1"/>
  <c r="AW1156" i="3"/>
  <c r="AW596" i="3" s="1"/>
  <c r="X1156" i="3"/>
  <c r="X596" i="3" s="1"/>
  <c r="AQ1156" i="3"/>
  <c r="AQ596" i="3" s="1"/>
  <c r="AX1155" i="3"/>
  <c r="AX595" i="3" s="1"/>
  <c r="AK1156" i="3"/>
  <c r="AK596" i="3" s="1"/>
  <c r="S1156" i="3"/>
  <c r="S596" i="3" s="1"/>
  <c r="AM1156" i="3"/>
  <c r="AM596" i="3" s="1"/>
  <c r="AT1156" i="3"/>
  <c r="AT596" i="3" s="1"/>
  <c r="AH1156" i="3"/>
  <c r="AH596" i="3" s="1"/>
  <c r="AN1155" i="3"/>
  <c r="AN595" i="3" s="1"/>
  <c r="T1155" i="3"/>
  <c r="T595" i="3" s="1"/>
  <c r="AP1156" i="3"/>
  <c r="AP596" i="3" s="1"/>
  <c r="AB1156" i="3"/>
  <c r="AB596" i="3" s="1"/>
  <c r="W1156" i="3"/>
  <c r="W596" i="3" s="1"/>
  <c r="AS1155" i="3"/>
  <c r="AS595" i="3" s="1"/>
  <c r="Y1155" i="3"/>
  <c r="Y595" i="3" s="1"/>
  <c r="AD1155" i="3"/>
  <c r="AD595" i="3" s="1"/>
  <c r="AI1155" i="3"/>
  <c r="AI595" i="3" s="1"/>
  <c r="AA1156" i="3"/>
  <c r="AA596" i="3" s="1"/>
  <c r="U1156" i="3"/>
  <c r="U596" i="3" s="1"/>
  <c r="AF1156" i="3"/>
  <c r="AF596" i="3" s="1"/>
  <c r="AE1156" i="3"/>
  <c r="AE596" i="3" s="1"/>
  <c r="AL1156" i="3"/>
  <c r="AL596" i="3" s="1"/>
  <c r="AR1156" i="3"/>
  <c r="AR596" i="3" s="1"/>
  <c r="AG1156" i="3"/>
  <c r="AG596" i="3" s="1"/>
  <c r="AO1156" i="3"/>
  <c r="AO596" i="3" s="1"/>
  <c r="T1156" i="3" l="1"/>
  <c r="T596" i="3" s="1"/>
  <c r="AD1156" i="3"/>
  <c r="AD596" i="3" s="1"/>
  <c r="AX1156" i="3"/>
  <c r="AX596" i="3" s="1"/>
  <c r="AN1156" i="3"/>
  <c r="AN596" i="3" s="1"/>
  <c r="Y1156" i="3"/>
  <c r="Y596" i="3" s="1"/>
  <c r="AI1156" i="3"/>
  <c r="AI596" i="3" s="1"/>
  <c r="AS1156" i="3"/>
  <c r="AS596" i="3" s="1"/>
  <c r="AF1154" i="3" l="1"/>
  <c r="AH1154" i="3"/>
  <c r="AK1154" i="3"/>
  <c r="AL1994" i="3"/>
  <c r="AL1714" i="3"/>
  <c r="AR1994" i="3"/>
  <c r="AR1714" i="3"/>
  <c r="AO1154" i="3"/>
  <c r="AJ1154" i="3"/>
  <c r="S1154" i="3"/>
  <c r="AM1154" i="3"/>
  <c r="AQ1154" i="3"/>
  <c r="AE1154" i="3"/>
  <c r="R1154" i="3"/>
  <c r="U1154" i="3"/>
  <c r="AQ1994" i="3"/>
  <c r="AQ1714" i="3"/>
  <c r="AP1994" i="3"/>
  <c r="AP1714" i="3"/>
  <c r="Z1994" i="3"/>
  <c r="Z1714" i="3"/>
  <c r="AG1994" i="3"/>
  <c r="AG1714" i="3"/>
  <c r="S1994" i="3"/>
  <c r="S1714" i="3"/>
  <c r="W1994" i="3"/>
  <c r="W1714" i="3"/>
  <c r="AJ1994" i="3"/>
  <c r="AJ1714" i="3"/>
  <c r="AH1994" i="3"/>
  <c r="AH1714" i="3"/>
  <c r="AH874" i="3"/>
  <c r="AU874" i="3"/>
  <c r="U874" i="3"/>
  <c r="AF874" i="3"/>
  <c r="AP874" i="3"/>
  <c r="AL874" i="3"/>
  <c r="AA874" i="3"/>
  <c r="AG874" i="3"/>
  <c r="V874" i="3"/>
  <c r="AT874" i="3"/>
  <c r="AR874" i="3"/>
  <c r="AW874" i="3"/>
  <c r="S874" i="3"/>
  <c r="AA1154" i="3"/>
  <c r="AU1154" i="3"/>
  <c r="X1154" i="3"/>
  <c r="AV1154" i="3"/>
  <c r="V1994" i="3"/>
  <c r="V1714" i="3"/>
  <c r="AV1994" i="3"/>
  <c r="AV1714" i="3"/>
  <c r="AT1154" i="3"/>
  <c r="AG1154" i="3"/>
  <c r="AC1154" i="3"/>
  <c r="V1154" i="3"/>
  <c r="AE1994" i="3"/>
  <c r="AE1714" i="3"/>
  <c r="AK1994" i="3"/>
  <c r="AK1714" i="3"/>
  <c r="AK1434" i="3" s="1"/>
  <c r="AM1994" i="3"/>
  <c r="AM1714" i="3"/>
  <c r="U1994" i="3"/>
  <c r="U1714" i="3"/>
  <c r="AT1994" i="3"/>
  <c r="AT1714" i="3"/>
  <c r="AP1154" i="3"/>
  <c r="AA1994" i="3"/>
  <c r="AA1714" i="3"/>
  <c r="R1994" i="3"/>
  <c r="R1714" i="3"/>
  <c r="Z1154" i="3"/>
  <c r="AR1154" i="3"/>
  <c r="AL1154" i="3"/>
  <c r="AW1154" i="3"/>
  <c r="W1154" i="3"/>
  <c r="AB1154" i="3"/>
  <c r="AU1994" i="3"/>
  <c r="AU1714" i="3"/>
  <c r="AW1994" i="3"/>
  <c r="AW1714" i="3"/>
  <c r="AO1994" i="3"/>
  <c r="AO1714" i="3"/>
  <c r="AC1994" i="3"/>
  <c r="AC1714" i="3"/>
  <c r="X1994" i="3"/>
  <c r="X1714" i="3"/>
  <c r="AB1994" i="3"/>
  <c r="AB1714" i="3"/>
  <c r="AF1994" i="3"/>
  <c r="AF1714" i="3"/>
  <c r="Z874" i="3"/>
  <c r="W874" i="3"/>
  <c r="AB874" i="3"/>
  <c r="AQ874" i="3"/>
  <c r="X874" i="3"/>
  <c r="R874" i="3"/>
  <c r="AJ874" i="3"/>
  <c r="AC874" i="3"/>
  <c r="AE874" i="3"/>
  <c r="AO874" i="3"/>
  <c r="AK874" i="3"/>
  <c r="AM874" i="3"/>
  <c r="AV874" i="3"/>
  <c r="U1434" i="3" l="1"/>
  <c r="AV1434" i="3"/>
  <c r="X1434" i="3"/>
  <c r="AF1434" i="3"/>
  <c r="AF594" i="3" s="1"/>
  <c r="AO1434" i="3"/>
  <c r="AO594" i="3" s="1"/>
  <c r="AJ1434" i="3"/>
  <c r="AJ594" i="3" s="1"/>
  <c r="Z1434" i="3"/>
  <c r="Z594" i="3" s="1"/>
  <c r="AU1434" i="3"/>
  <c r="AU594" i="3" s="1"/>
  <c r="AA1434" i="3"/>
  <c r="AA594" i="3" s="1"/>
  <c r="X594" i="3"/>
  <c r="AV594" i="3"/>
  <c r="AL1434" i="3"/>
  <c r="AL594" i="3" s="1"/>
  <c r="AH1434" i="3"/>
  <c r="AH594" i="3" s="1"/>
  <c r="AG1434" i="3"/>
  <c r="AG594" i="3" s="1"/>
  <c r="AR1434" i="3"/>
  <c r="AR594" i="3" s="1"/>
  <c r="U594" i="3"/>
  <c r="AD1994" i="3"/>
  <c r="AD1714" i="3"/>
  <c r="AB1434" i="3"/>
  <c r="AB594" i="3" s="1"/>
  <c r="AC1434" i="3"/>
  <c r="AC594" i="3" s="1"/>
  <c r="AS1994" i="3"/>
  <c r="AS1714" i="3"/>
  <c r="R1434" i="3"/>
  <c r="R594" i="3" s="1"/>
  <c r="AM1434" i="3"/>
  <c r="AM594" i="3" s="1"/>
  <c r="AI1994" i="3"/>
  <c r="AI1714" i="3"/>
  <c r="T1994" i="3"/>
  <c r="T1714" i="3"/>
  <c r="AX1994" i="3"/>
  <c r="AX1714" i="3"/>
  <c r="S1434" i="3"/>
  <c r="S594" i="3" s="1"/>
  <c r="AQ1434" i="3"/>
  <c r="AQ594" i="3" s="1"/>
  <c r="Y874" i="3"/>
  <c r="AK594" i="3"/>
  <c r="AN1994" i="3"/>
  <c r="AN1714" i="3"/>
  <c r="AW1434" i="3"/>
  <c r="AW594" i="3" s="1"/>
  <c r="AT1434" i="3"/>
  <c r="AT594" i="3" s="1"/>
  <c r="AE1434" i="3"/>
  <c r="AE594" i="3" s="1"/>
  <c r="V1434" i="3"/>
  <c r="V594" i="3" s="1"/>
  <c r="W1434" i="3"/>
  <c r="W594" i="3" s="1"/>
  <c r="AP1434" i="3"/>
  <c r="AP594" i="3" s="1"/>
  <c r="Y1994" i="3"/>
  <c r="Y1714" i="3"/>
  <c r="AS1434" i="3" l="1"/>
  <c r="AD1434" i="3"/>
  <c r="Y1434" i="3"/>
  <c r="T874" i="3"/>
  <c r="AS874" i="3"/>
  <c r="AD874" i="3"/>
  <c r="AI874" i="3"/>
  <c r="AN1434" i="3"/>
  <c r="AX1434" i="3"/>
  <c r="AD1154" i="3"/>
  <c r="AX1154" i="3"/>
  <c r="T1434" i="3"/>
  <c r="Y1154" i="3"/>
  <c r="AN1154" i="3"/>
  <c r="AX874" i="3"/>
  <c r="AN874" i="3"/>
  <c r="AI1154" i="3"/>
  <c r="T1154" i="3"/>
  <c r="AI1434" i="3"/>
  <c r="AS1154" i="3"/>
  <c r="Y594" i="3" l="1"/>
  <c r="AD594" i="3"/>
  <c r="AS594" i="3"/>
  <c r="AX594" i="3"/>
  <c r="AN594" i="3"/>
  <c r="T594" i="3"/>
  <c r="AI594" i="3"/>
  <c r="J21" i="5" l="1"/>
  <c r="J8" i="5"/>
  <c r="J22" i="5"/>
  <c r="J23" i="5"/>
  <c r="J24" i="5"/>
  <c r="J25" i="5" l="1"/>
  <c r="J26" i="5"/>
  <c r="K21" i="5"/>
  <c r="K22" i="5"/>
  <c r="K8" i="5"/>
  <c r="K23" i="5"/>
  <c r="K24" i="5"/>
  <c r="Q21" i="5"/>
  <c r="Q8" i="5"/>
  <c r="Q22" i="5"/>
  <c r="Q23" i="5"/>
  <c r="Q24" i="5"/>
  <c r="K2004" i="3"/>
  <c r="K1724" i="3"/>
  <c r="K13" i="5"/>
  <c r="K7" i="5"/>
  <c r="K14" i="5"/>
  <c r="K15" i="5"/>
  <c r="K16" i="5"/>
  <c r="Q2004" i="3"/>
  <c r="Q1724" i="3"/>
  <c r="Q13" i="5"/>
  <c r="Q14" i="5"/>
  <c r="Q7" i="5"/>
  <c r="Q15" i="5"/>
  <c r="Q16" i="5"/>
  <c r="U2004" i="3"/>
  <c r="U1724" i="3"/>
  <c r="U16" i="5"/>
  <c r="U15" i="5"/>
  <c r="U13" i="5"/>
  <c r="U7" i="5"/>
  <c r="U14" i="5"/>
  <c r="P21" i="5"/>
  <c r="P22" i="5"/>
  <c r="P8" i="5"/>
  <c r="P23" i="5"/>
  <c r="P24" i="5"/>
  <c r="Z8" i="5"/>
  <c r="Z21" i="5"/>
  <c r="Z24" i="5"/>
  <c r="Z23" i="5"/>
  <c r="Z22" i="5"/>
  <c r="U8" i="5"/>
  <c r="U24" i="5"/>
  <c r="U21" i="5"/>
  <c r="U23" i="5"/>
  <c r="U22" i="5"/>
  <c r="AE2004" i="3"/>
  <c r="AE1724" i="3"/>
  <c r="AK2004" i="3"/>
  <c r="AK1724" i="3"/>
  <c r="AX2004" i="3"/>
  <c r="AX1724" i="3"/>
  <c r="P2004" i="3"/>
  <c r="P1724" i="3"/>
  <c r="P13" i="5"/>
  <c r="P7" i="5"/>
  <c r="P14" i="5"/>
  <c r="P15" i="5"/>
  <c r="P16" i="5"/>
  <c r="AJ2004" i="3"/>
  <c r="AJ1724" i="3"/>
  <c r="AO2004" i="3"/>
  <c r="AO1724" i="3"/>
  <c r="AT2004" i="3"/>
  <c r="AT1724" i="3"/>
  <c r="Z2004" i="3"/>
  <c r="Z1724" i="3"/>
  <c r="Z16" i="5"/>
  <c r="Z15" i="5"/>
  <c r="Z7" i="5"/>
  <c r="Z13" i="5"/>
  <c r="Z14" i="5"/>
  <c r="J27" i="5" l="1"/>
  <c r="AO1444" i="3"/>
  <c r="U1444" i="3"/>
  <c r="Q1444" i="3"/>
  <c r="AJ1444" i="3"/>
  <c r="P25" i="5"/>
  <c r="Q25" i="5"/>
  <c r="AA2004" i="3"/>
  <c r="AA1724" i="3"/>
  <c r="AA15" i="5"/>
  <c r="AA7" i="5"/>
  <c r="AA16" i="5"/>
  <c r="AA13" i="5"/>
  <c r="AA14" i="5"/>
  <c r="AN2004" i="3"/>
  <c r="AN1724" i="3"/>
  <c r="O21" i="5"/>
  <c r="O22" i="5"/>
  <c r="O8" i="5"/>
  <c r="O23" i="5"/>
  <c r="O24" i="5"/>
  <c r="AT1444" i="3"/>
  <c r="P18" i="5"/>
  <c r="P17" i="5"/>
  <c r="AX1444" i="3"/>
  <c r="L21" i="5"/>
  <c r="L8" i="5"/>
  <c r="L22" i="5"/>
  <c r="L23" i="5"/>
  <c r="L24" i="5"/>
  <c r="AE1444" i="3"/>
  <c r="T21" i="5"/>
  <c r="T24" i="5"/>
  <c r="T23" i="5"/>
  <c r="T8" i="5"/>
  <c r="T22" i="5"/>
  <c r="U25" i="5"/>
  <c r="U26" i="5"/>
  <c r="U18" i="5"/>
  <c r="U17" i="5"/>
  <c r="K17" i="5"/>
  <c r="K18" i="5"/>
  <c r="Y2004" i="3"/>
  <c r="Y1724" i="3"/>
  <c r="Y16" i="5"/>
  <c r="Y15" i="5"/>
  <c r="Y13" i="5"/>
  <c r="Y7" i="5"/>
  <c r="Y14" i="5"/>
  <c r="V2004" i="3"/>
  <c r="V1724" i="3"/>
  <c r="V16" i="5"/>
  <c r="V13" i="5"/>
  <c r="V15" i="5"/>
  <c r="V7" i="5"/>
  <c r="V14" i="5"/>
  <c r="AA21" i="5"/>
  <c r="AA24" i="5"/>
  <c r="AA23" i="5"/>
  <c r="AA8" i="5"/>
  <c r="AA22" i="5"/>
  <c r="P26" i="5"/>
  <c r="AD2004" i="3"/>
  <c r="AD1724" i="3"/>
  <c r="AD16" i="5"/>
  <c r="AD15" i="5"/>
  <c r="AD13" i="5"/>
  <c r="AD7" i="5"/>
  <c r="AD14" i="5"/>
  <c r="AF2004" i="3"/>
  <c r="AF1724" i="3"/>
  <c r="AI2004" i="3"/>
  <c r="AI1724" i="3"/>
  <c r="AP2004" i="3"/>
  <c r="AP1724" i="3"/>
  <c r="Y24" i="5"/>
  <c r="Y23" i="5"/>
  <c r="Y8" i="5"/>
  <c r="Y21" i="5"/>
  <c r="Y22" i="5"/>
  <c r="Q26" i="5"/>
  <c r="V23" i="5"/>
  <c r="V24" i="5"/>
  <c r="V8" i="5"/>
  <c r="V21" i="5"/>
  <c r="V22" i="5"/>
  <c r="Z17" i="5"/>
  <c r="Z18" i="5"/>
  <c r="Z1444" i="3"/>
  <c r="P1444" i="3"/>
  <c r="L2004" i="3"/>
  <c r="L1724" i="3"/>
  <c r="L13" i="5"/>
  <c r="L14" i="5"/>
  <c r="L7" i="5"/>
  <c r="L15" i="5"/>
  <c r="L16" i="5"/>
  <c r="AS2004" i="3"/>
  <c r="AS1724" i="3"/>
  <c r="AK1444" i="3"/>
  <c r="T2004" i="3"/>
  <c r="T1724" i="3"/>
  <c r="T13" i="5"/>
  <c r="T16" i="5"/>
  <c r="T7" i="5"/>
  <c r="T15" i="5"/>
  <c r="T14" i="5"/>
  <c r="AU2004" i="3"/>
  <c r="AU1724" i="3"/>
  <c r="Z26" i="5"/>
  <c r="Z25" i="5"/>
  <c r="Q18" i="5"/>
  <c r="Q17" i="5"/>
  <c r="K1444" i="3"/>
  <c r="K25" i="5"/>
  <c r="K26" i="5"/>
  <c r="AD24" i="5"/>
  <c r="AD21" i="5"/>
  <c r="AD23" i="5"/>
  <c r="AD8" i="5"/>
  <c r="AD22" i="5"/>
  <c r="Q27" i="5" l="1"/>
  <c r="P27" i="5"/>
  <c r="Y1444" i="3"/>
  <c r="AI1444" i="3"/>
  <c r="L1444" i="3"/>
  <c r="AN1444" i="3"/>
  <c r="K19" i="5"/>
  <c r="P19" i="5"/>
  <c r="AP1444" i="3"/>
  <c r="V1444" i="3"/>
  <c r="AA1444" i="3"/>
  <c r="L17" i="5"/>
  <c r="L25" i="5"/>
  <c r="Q19" i="5"/>
  <c r="Z19" i="5"/>
  <c r="U27" i="5"/>
  <c r="L18" i="5"/>
  <c r="R2004" i="3"/>
  <c r="R1724" i="3"/>
  <c r="R15" i="5"/>
  <c r="R16" i="5"/>
  <c r="R13" i="5"/>
  <c r="R7" i="5"/>
  <c r="R14" i="5"/>
  <c r="V25" i="5"/>
  <c r="V26" i="5"/>
  <c r="AB2004" i="3"/>
  <c r="AB1724" i="3"/>
  <c r="AB15" i="5"/>
  <c r="AB13" i="5"/>
  <c r="AB16" i="5"/>
  <c r="AB7" i="5"/>
  <c r="AB14" i="5"/>
  <c r="AA17" i="5"/>
  <c r="AA18" i="5"/>
  <c r="Z27" i="5"/>
  <c r="T18" i="5"/>
  <c r="T17" i="5"/>
  <c r="L26" i="5"/>
  <c r="W23" i="5"/>
  <c r="W24" i="5"/>
  <c r="W21" i="5"/>
  <c r="W8" i="5"/>
  <c r="W22" i="5"/>
  <c r="T1444" i="3"/>
  <c r="AS1444" i="3"/>
  <c r="AV2004" i="3"/>
  <c r="AV1724" i="3"/>
  <c r="M21" i="5"/>
  <c r="M8" i="5"/>
  <c r="M22" i="5"/>
  <c r="M23" i="5"/>
  <c r="M24" i="5"/>
  <c r="T25" i="5"/>
  <c r="T26" i="5"/>
  <c r="W2004" i="3"/>
  <c r="W1724" i="3"/>
  <c r="W13" i="5"/>
  <c r="W15" i="5"/>
  <c r="W16" i="5"/>
  <c r="W7" i="5"/>
  <c r="W14" i="5"/>
  <c r="AQ2004" i="3"/>
  <c r="AQ1724" i="3"/>
  <c r="AD26" i="5"/>
  <c r="AD25" i="5"/>
  <c r="AD17" i="5"/>
  <c r="AD18" i="5"/>
  <c r="AA26" i="5"/>
  <c r="AA25" i="5"/>
  <c r="AG2004" i="3"/>
  <c r="AG1724" i="3"/>
  <c r="O2004" i="3"/>
  <c r="O1724" i="3"/>
  <c r="O13" i="5"/>
  <c r="O7" i="5"/>
  <c r="O14" i="5"/>
  <c r="O15" i="5"/>
  <c r="O16" i="5"/>
  <c r="K27" i="5"/>
  <c r="AU1444" i="3"/>
  <c r="R24" i="5"/>
  <c r="R21" i="5"/>
  <c r="R8" i="5"/>
  <c r="R23" i="5"/>
  <c r="R22" i="5"/>
  <c r="Y26" i="5"/>
  <c r="Y25" i="5"/>
  <c r="AF1444" i="3"/>
  <c r="AD1444" i="3"/>
  <c r="M2004" i="3"/>
  <c r="M1724" i="3"/>
  <c r="M13" i="5"/>
  <c r="M14" i="5"/>
  <c r="M7" i="5"/>
  <c r="M15" i="5"/>
  <c r="M16" i="5"/>
  <c r="V17" i="5"/>
  <c r="V18" i="5"/>
  <c r="Y18" i="5"/>
  <c r="Y17" i="5"/>
  <c r="U19" i="5"/>
  <c r="AB24" i="5"/>
  <c r="AB23" i="5"/>
  <c r="AB21" i="5"/>
  <c r="AB8" i="5"/>
  <c r="AB22" i="5"/>
  <c r="O26" i="5"/>
  <c r="O25" i="5"/>
  <c r="AL2004" i="3"/>
  <c r="AL1724" i="3"/>
  <c r="L27" i="5" l="1"/>
  <c r="AG1444" i="3"/>
  <c r="R1444" i="3"/>
  <c r="M1444" i="3"/>
  <c r="AV1444" i="3"/>
  <c r="L19" i="5"/>
  <c r="Y19" i="5"/>
  <c r="Y27" i="5"/>
  <c r="AD19" i="5"/>
  <c r="AL1444" i="3"/>
  <c r="AD27" i="5"/>
  <c r="T27" i="5"/>
  <c r="T19" i="5"/>
  <c r="AA19" i="5"/>
  <c r="AA27" i="5"/>
  <c r="M26" i="5"/>
  <c r="M25" i="5"/>
  <c r="R25" i="5"/>
  <c r="R26" i="5"/>
  <c r="S2004" i="3"/>
  <c r="S1724" i="3"/>
  <c r="S13" i="5"/>
  <c r="S15" i="5"/>
  <c r="S16" i="5"/>
  <c r="S7" i="5"/>
  <c r="S14" i="5"/>
  <c r="V19" i="5"/>
  <c r="X8" i="5"/>
  <c r="X23" i="5"/>
  <c r="X24" i="5"/>
  <c r="X21" i="5"/>
  <c r="X22" i="5"/>
  <c r="N21" i="5"/>
  <c r="N22" i="5"/>
  <c r="N8" i="5"/>
  <c r="N23" i="5"/>
  <c r="N24" i="5"/>
  <c r="AW2004" i="3"/>
  <c r="AW1724" i="3"/>
  <c r="W17" i="5"/>
  <c r="W18" i="5"/>
  <c r="AR2004" i="3"/>
  <c r="AR1724" i="3"/>
  <c r="AB1444" i="3"/>
  <c r="O18" i="5"/>
  <c r="O17" i="5"/>
  <c r="X2004" i="3"/>
  <c r="X1724" i="3"/>
  <c r="X15" i="5"/>
  <c r="X13" i="5"/>
  <c r="X16" i="5"/>
  <c r="X7" i="5"/>
  <c r="X14" i="5"/>
  <c r="N2004" i="3"/>
  <c r="N1724" i="3"/>
  <c r="N13" i="5"/>
  <c r="N7" i="5"/>
  <c r="N14" i="5"/>
  <c r="N15" i="5"/>
  <c r="N16" i="5"/>
  <c r="AH2004" i="3"/>
  <c r="AH1724" i="3"/>
  <c r="W1444" i="3"/>
  <c r="W26" i="5"/>
  <c r="W25" i="5"/>
  <c r="AC8" i="5"/>
  <c r="AC24" i="5"/>
  <c r="AC21" i="5"/>
  <c r="AC23" i="5"/>
  <c r="AC22" i="5"/>
  <c r="AM2004" i="3"/>
  <c r="AM1724" i="3"/>
  <c r="O27" i="5"/>
  <c r="AB26" i="5"/>
  <c r="AB25" i="5"/>
  <c r="M18" i="5"/>
  <c r="M17" i="5"/>
  <c r="O1444" i="3"/>
  <c r="S23" i="5"/>
  <c r="S8" i="5"/>
  <c r="S24" i="5"/>
  <c r="S21" i="5"/>
  <c r="S22" i="5"/>
  <c r="AQ1444" i="3"/>
  <c r="AC2004" i="3"/>
  <c r="AC1724" i="3"/>
  <c r="AC7" i="5"/>
  <c r="AC16" i="5"/>
  <c r="AC15" i="5"/>
  <c r="AC13" i="5"/>
  <c r="AC14" i="5"/>
  <c r="AB17" i="5"/>
  <c r="AB18" i="5"/>
  <c r="V27" i="5"/>
  <c r="R18" i="5"/>
  <c r="R17" i="5"/>
  <c r="N1444" i="3" l="1"/>
  <c r="AC1444" i="3"/>
  <c r="AW1444" i="3"/>
  <c r="O19" i="5"/>
  <c r="W19" i="5"/>
  <c r="M27" i="5"/>
  <c r="AM1444" i="3"/>
  <c r="W27" i="5"/>
  <c r="M19" i="5"/>
  <c r="X25" i="5"/>
  <c r="X26" i="5"/>
  <c r="AB19" i="5"/>
  <c r="AB27" i="5"/>
  <c r="AH1444" i="3"/>
  <c r="X18" i="5"/>
  <c r="X17" i="5"/>
  <c r="R27" i="5"/>
  <c r="R19" i="5"/>
  <c r="AC25" i="5"/>
  <c r="AC26" i="5"/>
  <c r="N18" i="5"/>
  <c r="N17" i="5"/>
  <c r="X1444" i="3"/>
  <c r="AR1444" i="3"/>
  <c r="N26" i="5"/>
  <c r="N25" i="5"/>
  <c r="S1444" i="3"/>
  <c r="S18" i="5"/>
  <c r="S17" i="5"/>
  <c r="AC18" i="5"/>
  <c r="AC17" i="5"/>
  <c r="S26" i="5"/>
  <c r="S25" i="5"/>
  <c r="S27" i="5" l="1"/>
  <c r="S19" i="5"/>
  <c r="X19" i="5"/>
  <c r="AC19" i="5"/>
  <c r="N27" i="5"/>
  <c r="N19" i="5"/>
  <c r="AC27" i="5"/>
  <c r="X27" i="5"/>
  <c r="U1164" i="3" l="1"/>
  <c r="U10" i="5"/>
  <c r="U37" i="5"/>
  <c r="U39" i="5"/>
  <c r="U40" i="5"/>
  <c r="U38" i="5"/>
  <c r="W1164" i="3"/>
  <c r="W10" i="5"/>
  <c r="W37" i="5"/>
  <c r="W39" i="5"/>
  <c r="W40" i="5"/>
  <c r="W38" i="5"/>
  <c r="AF1164" i="3"/>
  <c r="AP1164" i="3"/>
  <c r="AR1164" i="3"/>
  <c r="AJ1164" i="3"/>
  <c r="AU1164" i="3"/>
  <c r="V1164" i="3"/>
  <c r="V37" i="5"/>
  <c r="V10" i="5"/>
  <c r="V39" i="5"/>
  <c r="V40" i="5"/>
  <c r="V38" i="5"/>
  <c r="K1164" i="3"/>
  <c r="K37" i="5"/>
  <c r="K10" i="5"/>
  <c r="K38" i="5"/>
  <c r="K39" i="5"/>
  <c r="K40" i="5"/>
  <c r="M1164" i="3"/>
  <c r="M37" i="5"/>
  <c r="M10" i="5"/>
  <c r="M38" i="5"/>
  <c r="M39" i="5"/>
  <c r="M40" i="5"/>
  <c r="AW1164" i="3"/>
  <c r="AG1164" i="3"/>
  <c r="L1164" i="3"/>
  <c r="L37" i="5"/>
  <c r="L10" i="5"/>
  <c r="L38" i="5"/>
  <c r="L39" i="5"/>
  <c r="L40" i="5"/>
  <c r="Q1164" i="3"/>
  <c r="Q37" i="5"/>
  <c r="Q10" i="5"/>
  <c r="Q38" i="5"/>
  <c r="Q39" i="5"/>
  <c r="Q40" i="5"/>
  <c r="P1164" i="3"/>
  <c r="P37" i="5"/>
  <c r="P38" i="5"/>
  <c r="P10" i="5"/>
  <c r="P39" i="5"/>
  <c r="P40" i="5"/>
  <c r="Z1164" i="3"/>
  <c r="Z37" i="5"/>
  <c r="Z10" i="5"/>
  <c r="Z39" i="5"/>
  <c r="Z40" i="5"/>
  <c r="Z38" i="5"/>
  <c r="AA1164" i="3"/>
  <c r="AA37" i="5"/>
  <c r="AA10" i="5"/>
  <c r="AA39" i="5"/>
  <c r="AA40" i="5"/>
  <c r="AA38" i="5"/>
  <c r="AB1164" i="3"/>
  <c r="AB37" i="5"/>
  <c r="AB10" i="5"/>
  <c r="AB39" i="5"/>
  <c r="AB40" i="5"/>
  <c r="AB38" i="5"/>
  <c r="AM1164" i="3"/>
  <c r="AT1164" i="3"/>
  <c r="N1164" i="3"/>
  <c r="N37" i="5"/>
  <c r="N10" i="5"/>
  <c r="N38" i="5"/>
  <c r="N39" i="5"/>
  <c r="N40" i="5"/>
  <c r="AH1164" i="3"/>
  <c r="AV1164" i="3"/>
  <c r="S1164" i="3"/>
  <c r="S10" i="5"/>
  <c r="S37" i="5"/>
  <c r="S39" i="5"/>
  <c r="S40" i="5"/>
  <c r="S38" i="5"/>
  <c r="R1164" i="3"/>
  <c r="R37" i="5"/>
  <c r="R10" i="5"/>
  <c r="R39" i="5"/>
  <c r="R40" i="5"/>
  <c r="R38" i="5"/>
  <c r="AC1164" i="3"/>
  <c r="AC10" i="5"/>
  <c r="AC37" i="5"/>
  <c r="AC39" i="5"/>
  <c r="AC40" i="5"/>
  <c r="AC38" i="5"/>
  <c r="AQ1164" i="3"/>
  <c r="AK1164" i="3"/>
  <c r="AE1164" i="3"/>
  <c r="AL1164" i="3"/>
  <c r="X1164" i="3"/>
  <c r="X37" i="5"/>
  <c r="X10" i="5"/>
  <c r="X39" i="5"/>
  <c r="X40" i="5"/>
  <c r="X38" i="5"/>
  <c r="AO1164" i="3"/>
  <c r="J1164" i="3" l="1"/>
  <c r="J37" i="5"/>
  <c r="J38" i="5"/>
  <c r="J10" i="5"/>
  <c r="J39" i="5"/>
  <c r="J40" i="5"/>
  <c r="AI1164" i="3"/>
  <c r="AN1164" i="3"/>
  <c r="X42" i="5"/>
  <c r="X41" i="5"/>
  <c r="AX1164" i="3"/>
  <c r="R42" i="5"/>
  <c r="R41" i="5"/>
  <c r="N42" i="5"/>
  <c r="N41" i="5"/>
  <c r="AA42" i="5"/>
  <c r="AA41" i="5"/>
  <c r="P42" i="5"/>
  <c r="P41" i="5"/>
  <c r="L41" i="5"/>
  <c r="L42" i="5"/>
  <c r="K42" i="5"/>
  <c r="K41" i="5"/>
  <c r="O1164" i="3"/>
  <c r="O37" i="5"/>
  <c r="O38" i="5"/>
  <c r="O10" i="5"/>
  <c r="O39" i="5"/>
  <c r="O40" i="5"/>
  <c r="U41" i="5"/>
  <c r="U42" i="5"/>
  <c r="AC41" i="5"/>
  <c r="AC42" i="5"/>
  <c r="S42" i="5"/>
  <c r="S41" i="5"/>
  <c r="Y1164" i="3"/>
  <c r="Y10" i="5"/>
  <c r="Y37" i="5"/>
  <c r="Y39" i="5"/>
  <c r="Y40" i="5"/>
  <c r="Y38" i="5"/>
  <c r="AD1164" i="3"/>
  <c r="AD10" i="5"/>
  <c r="AD37" i="5"/>
  <c r="AD39" i="5"/>
  <c r="AD40" i="5"/>
  <c r="AD38" i="5"/>
  <c r="AS1164" i="3"/>
  <c r="T1164" i="3"/>
  <c r="T37" i="5"/>
  <c r="T10" i="5"/>
  <c r="T39" i="5"/>
  <c r="T40" i="5"/>
  <c r="T38" i="5"/>
  <c r="AB42" i="5"/>
  <c r="AB41" i="5"/>
  <c r="Z42" i="5"/>
  <c r="Z41" i="5"/>
  <c r="Q42" i="5"/>
  <c r="Q41" i="5"/>
  <c r="M42" i="5"/>
  <c r="M41" i="5"/>
  <c r="V41" i="5"/>
  <c r="V42" i="5"/>
  <c r="W41" i="5"/>
  <c r="W42" i="5"/>
  <c r="J42" i="5" l="1"/>
  <c r="J41" i="5"/>
  <c r="W43" i="5"/>
  <c r="Q43" i="5"/>
  <c r="O41" i="5"/>
  <c r="L43" i="5"/>
  <c r="Z43" i="5"/>
  <c r="O42" i="5"/>
  <c r="M43" i="5"/>
  <c r="AB43" i="5"/>
  <c r="AD41" i="5"/>
  <c r="AD42" i="5"/>
  <c r="S43" i="5"/>
  <c r="AA43" i="5"/>
  <c r="N43" i="5"/>
  <c r="R43" i="5"/>
  <c r="X43" i="5"/>
  <c r="V43" i="5"/>
  <c r="T41" i="5"/>
  <c r="T42" i="5"/>
  <c r="AC43" i="5"/>
  <c r="U43" i="5"/>
  <c r="K43" i="5"/>
  <c r="P43" i="5"/>
  <c r="Y42" i="5"/>
  <c r="Y41" i="5"/>
  <c r="J43" i="5" l="1"/>
  <c r="Y43" i="5"/>
  <c r="O43" i="5"/>
  <c r="T43" i="5"/>
  <c r="AD43" i="5"/>
  <c r="AE884" i="3" l="1"/>
  <c r="U32" i="5"/>
  <c r="U31" i="5"/>
  <c r="U29" i="5"/>
  <c r="U9" i="5"/>
  <c r="U30" i="5"/>
  <c r="U884" i="3"/>
  <c r="X32" i="5"/>
  <c r="X31" i="5"/>
  <c r="X9" i="5"/>
  <c r="X29" i="5"/>
  <c r="X30" i="5"/>
  <c r="X884" i="3"/>
  <c r="AP884" i="3"/>
  <c r="AO884" i="3"/>
  <c r="L29" i="5"/>
  <c r="L9" i="5"/>
  <c r="L30" i="5"/>
  <c r="L31" i="5"/>
  <c r="L32" i="5"/>
  <c r="L884" i="3"/>
  <c r="W31" i="5"/>
  <c r="W9" i="5"/>
  <c r="W32" i="5"/>
  <c r="W29" i="5"/>
  <c r="W30" i="5"/>
  <c r="W884" i="3"/>
  <c r="P29" i="5"/>
  <c r="P9" i="5"/>
  <c r="P30" i="5"/>
  <c r="P31" i="5"/>
  <c r="P32" i="5"/>
  <c r="P884" i="3"/>
  <c r="S29" i="5"/>
  <c r="S9" i="5"/>
  <c r="S31" i="5"/>
  <c r="S32" i="5"/>
  <c r="S30" i="5"/>
  <c r="S884" i="3"/>
  <c r="AH884" i="3"/>
  <c r="AG884" i="3"/>
  <c r="AR884" i="3"/>
  <c r="AL884" i="3"/>
  <c r="Q29" i="5"/>
  <c r="Q9" i="5"/>
  <c r="Q30" i="5"/>
  <c r="Q31" i="5"/>
  <c r="Q32" i="5"/>
  <c r="Q884" i="3"/>
  <c r="AJ884" i="3"/>
  <c r="AU884" i="3"/>
  <c r="V9" i="5"/>
  <c r="V31" i="5"/>
  <c r="V32" i="5"/>
  <c r="V29" i="5"/>
  <c r="V30" i="5"/>
  <c r="V884" i="3"/>
  <c r="AC32" i="5"/>
  <c r="AC29" i="5"/>
  <c r="AC31" i="5"/>
  <c r="AC9" i="5"/>
  <c r="AC30" i="5"/>
  <c r="AC884" i="3"/>
  <c r="AQ884" i="3"/>
  <c r="K29" i="5"/>
  <c r="K30" i="5"/>
  <c r="K9" i="5"/>
  <c r="K31" i="5"/>
  <c r="K32" i="5"/>
  <c r="K884" i="3"/>
  <c r="Z29" i="5"/>
  <c r="Z32" i="5"/>
  <c r="Z31" i="5"/>
  <c r="Z9" i="5"/>
  <c r="Z30" i="5"/>
  <c r="Z884" i="3"/>
  <c r="AW884" i="3"/>
  <c r="AV884" i="3"/>
  <c r="AA32" i="5"/>
  <c r="AA29" i="5"/>
  <c r="AA9" i="5"/>
  <c r="AA31" i="5"/>
  <c r="AA30" i="5"/>
  <c r="AA884" i="3"/>
  <c r="AK884" i="3"/>
  <c r="AB29" i="5"/>
  <c r="AB31" i="5"/>
  <c r="AB9" i="5"/>
  <c r="AB32" i="5"/>
  <c r="AB30" i="5"/>
  <c r="AB884" i="3"/>
  <c r="AM884" i="3"/>
  <c r="AT884" i="3"/>
  <c r="N29" i="5"/>
  <c r="N30" i="5"/>
  <c r="N9" i="5"/>
  <c r="N31" i="5"/>
  <c r="N32" i="5"/>
  <c r="N884" i="3"/>
  <c r="M29" i="5"/>
  <c r="M30" i="5"/>
  <c r="M9" i="5"/>
  <c r="M31" i="5"/>
  <c r="M32" i="5"/>
  <c r="M884" i="3"/>
  <c r="AF884" i="3"/>
  <c r="R29" i="5"/>
  <c r="R31" i="5"/>
  <c r="R32" i="5"/>
  <c r="R9" i="5"/>
  <c r="R30" i="5"/>
  <c r="R884" i="3"/>
  <c r="AV1165" i="3"/>
  <c r="N1165" i="3"/>
  <c r="AL1165" i="3"/>
  <c r="AH1165" i="3"/>
  <c r="AV831" i="3" l="1"/>
  <c r="AT831" i="3"/>
  <c r="AH831" i="3"/>
  <c r="AU811" i="3"/>
  <c r="AW811" i="3"/>
  <c r="AO683" i="3"/>
  <c r="AM683" i="3"/>
  <c r="AT37" i="5"/>
  <c r="AT10" i="5"/>
  <c r="AW10" i="5"/>
  <c r="AW37" i="5"/>
  <c r="AV21" i="5"/>
  <c r="AV8" i="5"/>
  <c r="AL10" i="5"/>
  <c r="AL37" i="5"/>
  <c r="S1165" i="3"/>
  <c r="N885" i="3"/>
  <c r="R604" i="3"/>
  <c r="R35" i="3"/>
  <c r="R12" i="3"/>
  <c r="R105" i="3" s="1"/>
  <c r="R36" i="3"/>
  <c r="R37" i="3"/>
  <c r="R38" i="3"/>
  <c r="AB604" i="3"/>
  <c r="AB35" i="3"/>
  <c r="AB36" i="3"/>
  <c r="AB12" i="3"/>
  <c r="AB105" i="3" s="1"/>
  <c r="AB37" i="3"/>
  <c r="AB38" i="3"/>
  <c r="AQ604" i="3"/>
  <c r="AQ35" i="3"/>
  <c r="AQ36" i="3"/>
  <c r="AQ12" i="3"/>
  <c r="AQ105" i="3" s="1"/>
  <c r="AQ37" i="3"/>
  <c r="AQ38" i="3"/>
  <c r="AU604" i="3"/>
  <c r="AU35" i="3"/>
  <c r="AU36" i="3"/>
  <c r="AU12" i="3"/>
  <c r="AU105" i="3" s="1"/>
  <c r="AU37" i="3"/>
  <c r="AU38" i="3"/>
  <c r="Q604" i="3"/>
  <c r="Q35" i="3"/>
  <c r="Q36" i="3"/>
  <c r="Q12" i="3"/>
  <c r="Q105" i="3" s="1"/>
  <c r="Q37" i="3"/>
  <c r="Q38" i="3"/>
  <c r="AR604" i="3"/>
  <c r="AR35" i="3"/>
  <c r="AR36" i="3"/>
  <c r="AR12" i="3"/>
  <c r="AR105" i="3" s="1"/>
  <c r="AR37" i="3"/>
  <c r="AR38" i="3"/>
  <c r="AH604" i="3"/>
  <c r="AH35" i="3"/>
  <c r="AH12" i="3"/>
  <c r="AH105" i="3" s="1"/>
  <c r="AH36" i="3"/>
  <c r="AH37" i="3"/>
  <c r="AH38" i="3"/>
  <c r="P604" i="3"/>
  <c r="P35" i="3"/>
  <c r="P12" i="3"/>
  <c r="P105" i="3" s="1"/>
  <c r="P36" i="3"/>
  <c r="P37" i="3"/>
  <c r="P38" i="3"/>
  <c r="W604" i="3"/>
  <c r="W35" i="3"/>
  <c r="W36" i="3"/>
  <c r="W12" i="3"/>
  <c r="W105" i="3" s="1"/>
  <c r="W37" i="3"/>
  <c r="W38" i="3"/>
  <c r="AO604" i="3"/>
  <c r="AO35" i="3"/>
  <c r="AO36" i="3"/>
  <c r="AO12" i="3"/>
  <c r="AO105" i="3" s="1"/>
  <c r="AO37" i="3"/>
  <c r="AO38" i="3"/>
  <c r="X604" i="3"/>
  <c r="X35" i="3"/>
  <c r="X36" i="3"/>
  <c r="X12" i="3"/>
  <c r="X105" i="3" s="1"/>
  <c r="X37" i="3"/>
  <c r="X38" i="3"/>
  <c r="AE604" i="3"/>
  <c r="AE35" i="3"/>
  <c r="AE12" i="3"/>
  <c r="AE105" i="3" s="1"/>
  <c r="AE36" i="3"/>
  <c r="AE37" i="3"/>
  <c r="AE38" i="3"/>
  <c r="AT604" i="3"/>
  <c r="AT35" i="3"/>
  <c r="AT36" i="3"/>
  <c r="AT12" i="3"/>
  <c r="AT105" i="3" s="1"/>
  <c r="AT37" i="3"/>
  <c r="AT38" i="3"/>
  <c r="Z604" i="3"/>
  <c r="Z35" i="3"/>
  <c r="Z12" i="3"/>
  <c r="Z105" i="3" s="1"/>
  <c r="Z36" i="3"/>
  <c r="Z37" i="3"/>
  <c r="Z38" i="3"/>
  <c r="AJ604" i="3"/>
  <c r="AJ35" i="3"/>
  <c r="AJ12" i="3"/>
  <c r="AJ105" i="3" s="1"/>
  <c r="AJ36" i="3"/>
  <c r="AJ37" i="3"/>
  <c r="AJ38" i="3"/>
  <c r="AL604" i="3"/>
  <c r="AL35" i="3"/>
  <c r="AL36" i="3"/>
  <c r="AL12" i="3"/>
  <c r="AL105" i="3" s="1"/>
  <c r="AL37" i="3"/>
  <c r="AL38" i="3"/>
  <c r="AG604" i="3"/>
  <c r="AG35" i="3"/>
  <c r="AG36" i="3"/>
  <c r="AG12" i="3"/>
  <c r="AG105" i="3" s="1"/>
  <c r="AG37" i="3"/>
  <c r="AG38" i="3"/>
  <c r="S604" i="3"/>
  <c r="S35" i="3"/>
  <c r="S12" i="3"/>
  <c r="S105" i="3" s="1"/>
  <c r="S36" i="3"/>
  <c r="S37" i="3"/>
  <c r="S38" i="3"/>
  <c r="L604" i="3"/>
  <c r="L35" i="3"/>
  <c r="L12" i="3"/>
  <c r="L105" i="3" s="1"/>
  <c r="L36" i="3"/>
  <c r="L37" i="3"/>
  <c r="L38" i="3"/>
  <c r="AP604" i="3"/>
  <c r="AP35" i="3"/>
  <c r="AP12" i="3"/>
  <c r="AP105" i="3" s="1"/>
  <c r="AP36" i="3"/>
  <c r="AP37" i="3"/>
  <c r="AP38" i="3"/>
  <c r="U604" i="3"/>
  <c r="U35" i="3"/>
  <c r="U12" i="3"/>
  <c r="U105" i="3" s="1"/>
  <c r="U36" i="3"/>
  <c r="U37" i="3"/>
  <c r="U38" i="3"/>
  <c r="M604" i="3"/>
  <c r="M35" i="3"/>
  <c r="M12" i="3"/>
  <c r="M105" i="3" s="1"/>
  <c r="M36" i="3"/>
  <c r="M37" i="3"/>
  <c r="M38" i="3"/>
  <c r="AA604" i="3"/>
  <c r="AA35" i="3"/>
  <c r="AA36" i="3"/>
  <c r="AA12" i="3"/>
  <c r="AA105" i="3" s="1"/>
  <c r="AA37" i="3"/>
  <c r="AA38" i="3"/>
  <c r="AC604" i="3"/>
  <c r="AC35" i="3"/>
  <c r="AC12" i="3"/>
  <c r="AC105" i="3" s="1"/>
  <c r="AC36" i="3"/>
  <c r="AC37" i="3"/>
  <c r="AC38" i="3"/>
  <c r="AF604" i="3"/>
  <c r="AF35" i="3"/>
  <c r="AF36" i="3"/>
  <c r="AF12" i="3"/>
  <c r="AF105" i="3" s="1"/>
  <c r="AF37" i="3"/>
  <c r="AF38" i="3"/>
  <c r="N604" i="3"/>
  <c r="N35" i="3"/>
  <c r="N36" i="3"/>
  <c r="N12" i="3"/>
  <c r="N105" i="3" s="1"/>
  <c r="N37" i="3"/>
  <c r="N38" i="3"/>
  <c r="AM604" i="3"/>
  <c r="AM35" i="3"/>
  <c r="AM36" i="3"/>
  <c r="AM12" i="3"/>
  <c r="AM105" i="3" s="1"/>
  <c r="AM37" i="3"/>
  <c r="AM38" i="3"/>
  <c r="AK604" i="3"/>
  <c r="AK35" i="3"/>
  <c r="AK36" i="3"/>
  <c r="AK12" i="3"/>
  <c r="AK105" i="3" s="1"/>
  <c r="AK37" i="3"/>
  <c r="AK38" i="3"/>
  <c r="AV604" i="3"/>
  <c r="AV35" i="3"/>
  <c r="AV12" i="3"/>
  <c r="AV105" i="3" s="1"/>
  <c r="AV36" i="3"/>
  <c r="AV37" i="3"/>
  <c r="AV38" i="3"/>
  <c r="AW604" i="3"/>
  <c r="AW35" i="3"/>
  <c r="AW36" i="3"/>
  <c r="AW12" i="3"/>
  <c r="AW105" i="3" s="1"/>
  <c r="AW37" i="3"/>
  <c r="AW38" i="3"/>
  <c r="K604" i="3"/>
  <c r="K35" i="3"/>
  <c r="K36" i="3"/>
  <c r="K12" i="3"/>
  <c r="K105" i="3" s="1"/>
  <c r="K37" i="3"/>
  <c r="K38" i="3"/>
  <c r="V604" i="3"/>
  <c r="V35" i="3"/>
  <c r="V12" i="3"/>
  <c r="V105" i="3" s="1"/>
  <c r="V36" i="3"/>
  <c r="V37" i="3"/>
  <c r="V38" i="3"/>
  <c r="J29" i="5"/>
  <c r="J9" i="5"/>
  <c r="J30" i="5"/>
  <c r="J31" i="5"/>
  <c r="J32" i="5"/>
  <c r="J884" i="3"/>
  <c r="AA885" i="3"/>
  <c r="AE1165" i="3"/>
  <c r="M885" i="3"/>
  <c r="AC885" i="3"/>
  <c r="P885" i="3"/>
  <c r="AA1165" i="3"/>
  <c r="M1165" i="3"/>
  <c r="AG885" i="3"/>
  <c r="M34" i="5"/>
  <c r="M33" i="5"/>
  <c r="AU885" i="3"/>
  <c r="S885" i="3"/>
  <c r="AB1165" i="3"/>
  <c r="AP1165" i="3"/>
  <c r="AF1165" i="3"/>
  <c r="N34" i="5"/>
  <c r="K34" i="5"/>
  <c r="AB885" i="3"/>
  <c r="AP885" i="3"/>
  <c r="AF885" i="3"/>
  <c r="AU1165" i="3"/>
  <c r="AC1165" i="3"/>
  <c r="P1165" i="3"/>
  <c r="AH885" i="3"/>
  <c r="L1165" i="3"/>
  <c r="R33" i="5"/>
  <c r="R34" i="5"/>
  <c r="AB34" i="5"/>
  <c r="AB33" i="5"/>
  <c r="Z33" i="5"/>
  <c r="Z34" i="5"/>
  <c r="AX884" i="3"/>
  <c r="Y31" i="5"/>
  <c r="Y32" i="5"/>
  <c r="Y9" i="5"/>
  <c r="Y29" i="5"/>
  <c r="Y30" i="5"/>
  <c r="Y884" i="3"/>
  <c r="S33" i="5"/>
  <c r="S34" i="5"/>
  <c r="L34" i="5"/>
  <c r="L33" i="5"/>
  <c r="AN884" i="3"/>
  <c r="W33" i="5"/>
  <c r="W34" i="5"/>
  <c r="X33" i="5"/>
  <c r="X34" i="5"/>
  <c r="N33" i="5"/>
  <c r="K33" i="5"/>
  <c r="AS884" i="3"/>
  <c r="AD32" i="5"/>
  <c r="AD29" i="5"/>
  <c r="AD9" i="5"/>
  <c r="AD31" i="5"/>
  <c r="AD30" i="5"/>
  <c r="AD884" i="3"/>
  <c r="AI884" i="3"/>
  <c r="AA33" i="5"/>
  <c r="AA34" i="5"/>
  <c r="T32" i="5"/>
  <c r="T31" i="5"/>
  <c r="T29" i="5"/>
  <c r="T9" i="5"/>
  <c r="T30" i="5"/>
  <c r="T884" i="3"/>
  <c r="AC33" i="5"/>
  <c r="AC34" i="5"/>
  <c r="V34" i="5"/>
  <c r="V33" i="5"/>
  <c r="O29" i="5"/>
  <c r="O9" i="5"/>
  <c r="O30" i="5"/>
  <c r="O31" i="5"/>
  <c r="O32" i="5"/>
  <c r="O884" i="3"/>
  <c r="Q34" i="5"/>
  <c r="Q33" i="5"/>
  <c r="P33" i="5"/>
  <c r="P34" i="5"/>
  <c r="U34" i="5"/>
  <c r="U33" i="5"/>
  <c r="AH683" i="3"/>
  <c r="AG683" i="3"/>
  <c r="AW683" i="3"/>
  <c r="AO885" i="3"/>
  <c r="AM885" i="3"/>
  <c r="AE885" i="3"/>
  <c r="AL683" i="3"/>
  <c r="AJ683" i="3"/>
  <c r="AM831" i="3"/>
  <c r="AK831" i="3"/>
  <c r="AF811" i="3"/>
  <c r="AM811" i="3"/>
  <c r="AK811" i="3"/>
  <c r="AL811" i="3"/>
  <c r="AQ811" i="3"/>
  <c r="AL831" i="3"/>
  <c r="AP811" i="3"/>
  <c r="AH811" i="3"/>
  <c r="AK1165" i="3"/>
  <c r="AT1165" i="3"/>
  <c r="AT683" i="3"/>
  <c r="AE683" i="3"/>
  <c r="AR683" i="3"/>
  <c r="U885" i="3"/>
  <c r="AG1165" i="3"/>
  <c r="AK885" i="3"/>
  <c r="AT885" i="3"/>
  <c r="AU683" i="3"/>
  <c r="AQ683" i="3"/>
  <c r="AF683" i="3"/>
  <c r="AM1165" i="3"/>
  <c r="AJ831" i="3"/>
  <c r="AV811" i="3"/>
  <c r="AG811" i="3"/>
  <c r="AT811" i="3"/>
  <c r="AE811" i="3"/>
  <c r="AJ675" i="3"/>
  <c r="AR885" i="3"/>
  <c r="X1165" i="3"/>
  <c r="V885" i="3"/>
  <c r="Z885" i="3"/>
  <c r="AQ885" i="3"/>
  <c r="AJ885" i="3"/>
  <c r="AO1165" i="3"/>
  <c r="AU831" i="3"/>
  <c r="U1165" i="3"/>
  <c r="AW885" i="3"/>
  <c r="AW831" i="3"/>
  <c r="AG831" i="3"/>
  <c r="AP831" i="3"/>
  <c r="X885" i="3"/>
  <c r="AW1165" i="3"/>
  <c r="Q885" i="3"/>
  <c r="Q1165" i="3"/>
  <c r="Z1165" i="3"/>
  <c r="AO831" i="3"/>
  <c r="AR831" i="3"/>
  <c r="R1165" i="3"/>
  <c r="W1165" i="3"/>
  <c r="K1165" i="3"/>
  <c r="AV973" i="3"/>
  <c r="AV413" i="3" s="1"/>
  <c r="AF973" i="3"/>
  <c r="AF413" i="3" s="1"/>
  <c r="AP973" i="3"/>
  <c r="AP413" i="3" s="1"/>
  <c r="AJ973" i="3"/>
  <c r="AJ413" i="3" s="1"/>
  <c r="AL973" i="3"/>
  <c r="AL413" i="3" s="1"/>
  <c r="AG973" i="3"/>
  <c r="AG413" i="3" s="1"/>
  <c r="AW973" i="3"/>
  <c r="AW413" i="3" s="1"/>
  <c r="AM973" i="3"/>
  <c r="AM413" i="3" s="1"/>
  <c r="AU973" i="3"/>
  <c r="AU413" i="3" s="1"/>
  <c r="AR973" i="3"/>
  <c r="AR413" i="3" s="1"/>
  <c r="AE973" i="3"/>
  <c r="AE413" i="3" s="1"/>
  <c r="AT973" i="3"/>
  <c r="AT413" i="3" s="1"/>
  <c r="AO973" i="3"/>
  <c r="AO413" i="3" s="1"/>
  <c r="AQ973" i="3"/>
  <c r="AQ413" i="3" s="1"/>
  <c r="AK973" i="3"/>
  <c r="AK413" i="3" s="1"/>
  <c r="AH973" i="3"/>
  <c r="AH413" i="3" s="1"/>
  <c r="AR935" i="3"/>
  <c r="AR375" i="3" s="1"/>
  <c r="AJ935" i="3"/>
  <c r="AJ375" i="3" s="1"/>
  <c r="AH935" i="3"/>
  <c r="AH375" i="3" s="1"/>
  <c r="AF935" i="3"/>
  <c r="AF375" i="3" s="1"/>
  <c r="AV935" i="3"/>
  <c r="AV375" i="3" s="1"/>
  <c r="AE935" i="3"/>
  <c r="AE375" i="3" s="1"/>
  <c r="AL935" i="3"/>
  <c r="AL375" i="3" s="1"/>
  <c r="AK935" i="3"/>
  <c r="AK375" i="3" s="1"/>
  <c r="AW935" i="3"/>
  <c r="AW375" i="3" s="1"/>
  <c r="AU935" i="3"/>
  <c r="AU375" i="3" s="1"/>
  <c r="AM935" i="3"/>
  <c r="AM375" i="3" s="1"/>
  <c r="AP935" i="3"/>
  <c r="AP375" i="3" s="1"/>
  <c r="AT935" i="3"/>
  <c r="AT375" i="3" s="1"/>
  <c r="AG935" i="3"/>
  <c r="AG375" i="3" s="1"/>
  <c r="AQ935" i="3"/>
  <c r="AQ375" i="3" s="1"/>
  <c r="AO935" i="3"/>
  <c r="AO375" i="3" s="1"/>
  <c r="AR1165" i="3"/>
  <c r="V1165" i="3"/>
  <c r="AQ1165" i="3"/>
  <c r="AJ1165" i="3"/>
  <c r="AV645" i="3"/>
  <c r="AL675" i="3"/>
  <c r="AV683" i="3" l="1"/>
  <c r="AJ803" i="3"/>
  <c r="AL803" i="3"/>
  <c r="AH803" i="3"/>
  <c r="AG803" i="3"/>
  <c r="AU803" i="3"/>
  <c r="AF803" i="3"/>
  <c r="AE803" i="3"/>
  <c r="AK803" i="3"/>
  <c r="AO811" i="3"/>
  <c r="AQ831" i="3"/>
  <c r="AH1951" i="3"/>
  <c r="AH1671" i="3"/>
  <c r="AH2231" i="3"/>
  <c r="AH1111" i="3" s="1"/>
  <c r="AT1951" i="3"/>
  <c r="AT2231" i="3"/>
  <c r="AT1111" i="3" s="1"/>
  <c r="AT1671" i="3"/>
  <c r="AJ1951" i="3"/>
  <c r="AJ2231" i="3"/>
  <c r="AJ1111" i="3" s="1"/>
  <c r="AJ1671" i="3"/>
  <c r="AJ1391" i="3" s="1"/>
  <c r="AF1951" i="3"/>
  <c r="AF2231" i="3"/>
  <c r="AF1111" i="3" s="1"/>
  <c r="AF1671" i="3"/>
  <c r="AL1951" i="3"/>
  <c r="AL2231" i="3"/>
  <c r="AL1111" i="3" s="1"/>
  <c r="AL1671" i="3"/>
  <c r="AK1951" i="3"/>
  <c r="AK2231" i="3"/>
  <c r="AK1111" i="3" s="1"/>
  <c r="AK1671" i="3"/>
  <c r="AU1951" i="3"/>
  <c r="AU2231" i="3"/>
  <c r="AU1111" i="3" s="1"/>
  <c r="AU1671" i="3"/>
  <c r="AP1951" i="3"/>
  <c r="AP2231" i="3"/>
  <c r="AP1111" i="3" s="1"/>
  <c r="AP1671" i="3"/>
  <c r="AO1951" i="3"/>
  <c r="AO1671" i="3"/>
  <c r="AO2231" i="3"/>
  <c r="AO1111" i="3" s="1"/>
  <c r="AV1951" i="3"/>
  <c r="AV2231" i="3"/>
  <c r="AV1111" i="3" s="1"/>
  <c r="AV1671" i="3"/>
  <c r="AF831" i="3"/>
  <c r="AW1951" i="3"/>
  <c r="AW1671" i="3"/>
  <c r="AW2231" i="3"/>
  <c r="AW1111" i="3" s="1"/>
  <c r="AR1951" i="3"/>
  <c r="AR1671" i="3"/>
  <c r="AR2231" i="3"/>
  <c r="AR1111" i="3" s="1"/>
  <c r="AG1951" i="3"/>
  <c r="AG2231" i="3"/>
  <c r="AG1111" i="3" s="1"/>
  <c r="AG1671" i="3"/>
  <c r="AM1951" i="3"/>
  <c r="AM2231" i="3"/>
  <c r="AM1111" i="3" s="1"/>
  <c r="AM1671" i="3"/>
  <c r="AE831" i="3"/>
  <c r="AQ1951" i="3"/>
  <c r="AQ2231" i="3"/>
  <c r="AQ1111" i="3" s="1"/>
  <c r="AQ1671" i="3"/>
  <c r="AE1951" i="3"/>
  <c r="AE2231" i="3"/>
  <c r="AE1111" i="3" s="1"/>
  <c r="AE1671" i="3"/>
  <c r="AJ1923" i="3"/>
  <c r="AJ1643" i="3"/>
  <c r="AJ2203" i="3"/>
  <c r="AJ1083" i="3" s="1"/>
  <c r="AL1923" i="3"/>
  <c r="AL2203" i="3"/>
  <c r="AL1083" i="3" s="1"/>
  <c r="AL1643" i="3"/>
  <c r="AH1923" i="3"/>
  <c r="AH2203" i="3"/>
  <c r="AH1083" i="3" s="1"/>
  <c r="AH1643" i="3"/>
  <c r="AG1923" i="3"/>
  <c r="AG2203" i="3"/>
  <c r="AG1083" i="3" s="1"/>
  <c r="AG1643" i="3"/>
  <c r="AU1923" i="3"/>
  <c r="AU1643" i="3"/>
  <c r="AU2203" i="3"/>
  <c r="AU1083" i="3" s="1"/>
  <c r="AF1923" i="3"/>
  <c r="AF1643" i="3"/>
  <c r="AF2203" i="3"/>
  <c r="AF1083" i="3" s="1"/>
  <c r="AE1923" i="3"/>
  <c r="AE1643" i="3"/>
  <c r="AE2203" i="3"/>
  <c r="AE1083" i="3" s="1"/>
  <c r="AK1923" i="3"/>
  <c r="AK1643" i="3"/>
  <c r="AK2203" i="3"/>
  <c r="AK1083" i="3" s="1"/>
  <c r="AT803" i="3"/>
  <c r="AO803" i="3"/>
  <c r="AW803" i="3"/>
  <c r="AV803" i="3"/>
  <c r="AM803" i="3"/>
  <c r="AQ803" i="3"/>
  <c r="AP803" i="3"/>
  <c r="AR803" i="3"/>
  <c r="AT1923" i="3"/>
  <c r="AT2203" i="3"/>
  <c r="AT1083" i="3" s="1"/>
  <c r="AT1643" i="3"/>
  <c r="AO1923" i="3"/>
  <c r="AO2203" i="3"/>
  <c r="AO1083" i="3" s="1"/>
  <c r="AO1643" i="3"/>
  <c r="AW1923" i="3"/>
  <c r="AW1643" i="3"/>
  <c r="AW2203" i="3"/>
  <c r="AW1083" i="3" s="1"/>
  <c r="AV1923" i="3"/>
  <c r="AV2203" i="3"/>
  <c r="AV1083" i="3" s="1"/>
  <c r="AV1643" i="3"/>
  <c r="AM1923" i="3"/>
  <c r="AM2203" i="3"/>
  <c r="AM1083" i="3" s="1"/>
  <c r="AM1643" i="3"/>
  <c r="AQ1923" i="3"/>
  <c r="AQ1643" i="3"/>
  <c r="AQ2203" i="3"/>
  <c r="AQ1083" i="3" s="1"/>
  <c r="AP1923" i="3"/>
  <c r="AP1643" i="3"/>
  <c r="AP2203" i="3"/>
  <c r="AP1083" i="3" s="1"/>
  <c r="AR1923" i="3"/>
  <c r="AR2203" i="3"/>
  <c r="AR1083" i="3" s="1"/>
  <c r="AR1643" i="3"/>
  <c r="AR675" i="3"/>
  <c r="AE675" i="3"/>
  <c r="AM675" i="3"/>
  <c r="AW675" i="3"/>
  <c r="AO675" i="3"/>
  <c r="AU1795" i="3"/>
  <c r="AU1515" i="3"/>
  <c r="AU2075" i="3"/>
  <c r="AU955" i="3" s="1"/>
  <c r="AF1795" i="3"/>
  <c r="AF1515" i="3"/>
  <c r="AF2075" i="3"/>
  <c r="AF955" i="3" s="1"/>
  <c r="AP1795" i="3"/>
  <c r="AP1515" i="3"/>
  <c r="AP2075" i="3"/>
  <c r="AP955" i="3" s="1"/>
  <c r="AK675" i="3"/>
  <c r="AJ1795" i="3"/>
  <c r="AJ1515" i="3"/>
  <c r="AJ2075" i="3"/>
  <c r="AJ955" i="3" s="1"/>
  <c r="AR1795" i="3"/>
  <c r="AR2075" i="3"/>
  <c r="AR955" i="3" s="1"/>
  <c r="AR1515" i="3"/>
  <c r="AE1795" i="3"/>
  <c r="AE1515" i="3"/>
  <c r="AE2075" i="3"/>
  <c r="AE955" i="3" s="1"/>
  <c r="AM1795" i="3"/>
  <c r="AM1515" i="3"/>
  <c r="AM2075" i="3"/>
  <c r="AM955" i="3" s="1"/>
  <c r="AO1795" i="3"/>
  <c r="AO1515" i="3"/>
  <c r="AO2075" i="3"/>
  <c r="AO955" i="3" s="1"/>
  <c r="AH675" i="3"/>
  <c r="AQ675" i="3"/>
  <c r="AK1795" i="3"/>
  <c r="AK1515" i="3"/>
  <c r="AK2075" i="3"/>
  <c r="AK955" i="3" s="1"/>
  <c r="AT675" i="3"/>
  <c r="AG675" i="3"/>
  <c r="AH1795" i="3"/>
  <c r="AH2075" i="3"/>
  <c r="AH955" i="3" s="1"/>
  <c r="AH1515" i="3"/>
  <c r="AQ1795" i="3"/>
  <c r="AQ1515" i="3"/>
  <c r="AQ2075" i="3"/>
  <c r="AQ955" i="3" s="1"/>
  <c r="AV675" i="3"/>
  <c r="AL1795" i="3"/>
  <c r="AL1515" i="3"/>
  <c r="AL2075" i="3"/>
  <c r="AL955" i="3" s="1"/>
  <c r="AW1795" i="3"/>
  <c r="AW1515" i="3"/>
  <c r="AW2075" i="3"/>
  <c r="AW955" i="3" s="1"/>
  <c r="AT1795" i="3"/>
  <c r="AT2075" i="3"/>
  <c r="AT955" i="3" s="1"/>
  <c r="AT1515" i="3"/>
  <c r="AG1795" i="3"/>
  <c r="AG2075" i="3"/>
  <c r="AG955" i="3" s="1"/>
  <c r="AG1515" i="3"/>
  <c r="AU675" i="3"/>
  <c r="AF675" i="3"/>
  <c r="AP675" i="3"/>
  <c r="AV1795" i="3"/>
  <c r="AV1515" i="3"/>
  <c r="AV2075" i="3"/>
  <c r="AV955" i="3" s="1"/>
  <c r="AE1931" i="3"/>
  <c r="AE2211" i="3"/>
  <c r="AE1091" i="3" s="1"/>
  <c r="AE1651" i="3"/>
  <c r="AG1931" i="3"/>
  <c r="AG1651" i="3"/>
  <c r="AG2211" i="3"/>
  <c r="AG1091" i="3" s="1"/>
  <c r="AP1931" i="3"/>
  <c r="AP2211" i="3"/>
  <c r="AP1091" i="3" s="1"/>
  <c r="AP1651" i="3"/>
  <c r="AW1931" i="3"/>
  <c r="AW1651" i="3"/>
  <c r="AW2211" i="3"/>
  <c r="AW1091" i="3" s="1"/>
  <c r="AJ1931" i="3"/>
  <c r="AJ2211" i="3"/>
  <c r="AJ1091" i="3" s="1"/>
  <c r="AJ1651" i="3"/>
  <c r="AQ1931" i="3"/>
  <c r="AQ1651" i="3"/>
  <c r="AQ2211" i="3"/>
  <c r="AQ1091" i="3" s="1"/>
  <c r="AK1931" i="3"/>
  <c r="AK1651" i="3"/>
  <c r="AK2211" i="3"/>
  <c r="AK1091" i="3" s="1"/>
  <c r="AF1931" i="3"/>
  <c r="AF1651" i="3"/>
  <c r="AF2211" i="3"/>
  <c r="AF1091" i="3" s="1"/>
  <c r="AU1931" i="3"/>
  <c r="AU1651" i="3"/>
  <c r="AU2211" i="3"/>
  <c r="AU1091" i="3" s="1"/>
  <c r="AT1931" i="3"/>
  <c r="AT2211" i="3"/>
  <c r="AT1091" i="3" s="1"/>
  <c r="AT1651" i="3"/>
  <c r="AV1931" i="3"/>
  <c r="AV2211" i="3"/>
  <c r="AV1091" i="3" s="1"/>
  <c r="AV1651" i="3"/>
  <c r="AH1931" i="3"/>
  <c r="AH1651" i="3"/>
  <c r="AH2211" i="3"/>
  <c r="AH1091" i="3" s="1"/>
  <c r="AR811" i="3"/>
  <c r="AL1931" i="3"/>
  <c r="AL1651" i="3"/>
  <c r="AL2211" i="3"/>
  <c r="AL1091" i="3" s="1"/>
  <c r="AM1931" i="3"/>
  <c r="AM1651" i="3"/>
  <c r="AM2211" i="3"/>
  <c r="AM1091" i="3" s="1"/>
  <c r="AO1931" i="3"/>
  <c r="AO1651" i="3"/>
  <c r="AO2211" i="3"/>
  <c r="AO1091" i="3" s="1"/>
  <c r="AJ811" i="3"/>
  <c r="AR1931" i="3"/>
  <c r="AR1651" i="3"/>
  <c r="AR2211" i="3"/>
  <c r="AR1091" i="3" s="1"/>
  <c r="AF1803" i="3"/>
  <c r="AF2083" i="3"/>
  <c r="AF963" i="3" s="1"/>
  <c r="AF1523" i="3"/>
  <c r="AJ1803" i="3"/>
  <c r="AJ2083" i="3"/>
  <c r="AJ963" i="3" s="1"/>
  <c r="AJ1523" i="3"/>
  <c r="AM1803" i="3"/>
  <c r="AM1523" i="3"/>
  <c r="AM2083" i="3"/>
  <c r="AM963" i="3" s="1"/>
  <c r="AV1803" i="3"/>
  <c r="AV1523" i="3"/>
  <c r="AV2083" i="3"/>
  <c r="AV963" i="3" s="1"/>
  <c r="AU1803" i="3"/>
  <c r="AU2083" i="3"/>
  <c r="AU963" i="3" s="1"/>
  <c r="AU1523" i="3"/>
  <c r="AE1803" i="3"/>
  <c r="AE2083" i="3"/>
  <c r="AE963" i="3" s="1"/>
  <c r="AE1523" i="3"/>
  <c r="AK1803" i="3"/>
  <c r="AK1523" i="3"/>
  <c r="AK2083" i="3"/>
  <c r="AK963" i="3" s="1"/>
  <c r="AR1803" i="3"/>
  <c r="AR2083" i="3"/>
  <c r="AR963" i="3" s="1"/>
  <c r="AR1523" i="3"/>
  <c r="AT1803" i="3"/>
  <c r="AT2083" i="3"/>
  <c r="AT963" i="3" s="1"/>
  <c r="AT1523" i="3"/>
  <c r="AW1803" i="3"/>
  <c r="AW1523" i="3"/>
  <c r="AW2083" i="3"/>
  <c r="AW963" i="3" s="1"/>
  <c r="AH1803" i="3"/>
  <c r="AH2083" i="3"/>
  <c r="AH963" i="3" s="1"/>
  <c r="AH1523" i="3"/>
  <c r="AP683" i="3"/>
  <c r="AG1803" i="3"/>
  <c r="AG2083" i="3"/>
  <c r="AG963" i="3" s="1"/>
  <c r="AG1523" i="3"/>
  <c r="AQ1803" i="3"/>
  <c r="AQ2083" i="3"/>
  <c r="AQ963" i="3" s="1"/>
  <c r="AQ1523" i="3"/>
  <c r="AL1803" i="3"/>
  <c r="AL2083" i="3"/>
  <c r="AL963" i="3" s="1"/>
  <c r="AL1523" i="3"/>
  <c r="AP1803" i="3"/>
  <c r="AP1523" i="3"/>
  <c r="AP2083" i="3"/>
  <c r="AP963" i="3" s="1"/>
  <c r="AO1803" i="3"/>
  <c r="AO2083" i="3"/>
  <c r="AO963" i="3" s="1"/>
  <c r="AO1523" i="3"/>
  <c r="AK683" i="3"/>
  <c r="AR29" i="5"/>
  <c r="AR9" i="5"/>
  <c r="AT1765" i="3"/>
  <c r="AT2045" i="3"/>
  <c r="AT925" i="3" s="1"/>
  <c r="AT1485" i="3"/>
  <c r="AT7" i="5"/>
  <c r="AT13" i="5"/>
  <c r="AG645" i="3"/>
  <c r="AG8" i="5"/>
  <c r="AG21" i="5"/>
  <c r="AF1765" i="3"/>
  <c r="AF1485" i="3"/>
  <c r="AF2045" i="3"/>
  <c r="AF925" i="3" s="1"/>
  <c r="AF13" i="5"/>
  <c r="AF7" i="5"/>
  <c r="AU29" i="5"/>
  <c r="AU9" i="5"/>
  <c r="AE9" i="5"/>
  <c r="AE29" i="5"/>
  <c r="AO23" i="5"/>
  <c r="AO24" i="5"/>
  <c r="AO22" i="5"/>
  <c r="AR22" i="5"/>
  <c r="AR24" i="5"/>
  <c r="AR23" i="5"/>
  <c r="AT23" i="5"/>
  <c r="AT24" i="5"/>
  <c r="AT22" i="5"/>
  <c r="AG29" i="5"/>
  <c r="AG9" i="5"/>
  <c r="AJ9" i="5"/>
  <c r="AJ29" i="5"/>
  <c r="AH10" i="5"/>
  <c r="AH37" i="5"/>
  <c r="AX935" i="3"/>
  <c r="AX375" i="3" s="1"/>
  <c r="AV1765" i="3"/>
  <c r="AV1485" i="3"/>
  <c r="AV2045" i="3"/>
  <c r="AV925" i="3" s="1"/>
  <c r="AV7" i="5"/>
  <c r="AV13" i="5"/>
  <c r="AL1765" i="3"/>
  <c r="AL2045" i="3"/>
  <c r="AL925" i="3" s="1"/>
  <c r="AL1485" i="3"/>
  <c r="AL7" i="5"/>
  <c r="AL13" i="5"/>
  <c r="AR1765" i="3"/>
  <c r="AR2045" i="3"/>
  <c r="AR925" i="3" s="1"/>
  <c r="AR1485" i="3"/>
  <c r="AR13" i="5"/>
  <c r="AR7" i="5"/>
  <c r="AT645" i="3"/>
  <c r="AT21" i="5"/>
  <c r="AT8" i="5"/>
  <c r="AO645" i="3"/>
  <c r="AO21" i="5"/>
  <c r="AO8" i="5"/>
  <c r="AF37" i="5"/>
  <c r="AF10" i="5"/>
  <c r="AJ645" i="3"/>
  <c r="AJ8" i="5"/>
  <c r="AJ21" i="5"/>
  <c r="AF645" i="3"/>
  <c r="AF8" i="5"/>
  <c r="AF21" i="5"/>
  <c r="AM37" i="5"/>
  <c r="AM10" i="5"/>
  <c r="AK29" i="5"/>
  <c r="AK9" i="5"/>
  <c r="AP37" i="5"/>
  <c r="AP10" i="5"/>
  <c r="AV37" i="5"/>
  <c r="AV10" i="5"/>
  <c r="AP645" i="3"/>
  <c r="AP8" i="5"/>
  <c r="AP21" i="5"/>
  <c r="AU645" i="3"/>
  <c r="AU21" i="5"/>
  <c r="AU8" i="5"/>
  <c r="AO1765" i="3"/>
  <c r="AO2045" i="3"/>
  <c r="AO925" i="3" s="1"/>
  <c r="AO1485" i="3"/>
  <c r="AO7" i="5"/>
  <c r="AO13" i="5"/>
  <c r="AQ29" i="5"/>
  <c r="AQ9" i="5"/>
  <c r="AP9" i="5"/>
  <c r="AP29" i="5"/>
  <c r="AO9" i="5"/>
  <c r="AO29" i="5"/>
  <c r="AV29" i="5"/>
  <c r="AV9" i="5"/>
  <c r="AM29" i="5"/>
  <c r="AM9" i="5"/>
  <c r="AQ37" i="5"/>
  <c r="AQ10" i="5"/>
  <c r="AT29" i="5"/>
  <c r="AT9" i="5"/>
  <c r="AU37" i="5"/>
  <c r="AU10" i="5"/>
  <c r="AP1765" i="3"/>
  <c r="AP1485" i="3"/>
  <c r="AP2045" i="3"/>
  <c r="AP925" i="3" s="1"/>
  <c r="AP7" i="5"/>
  <c r="AP13" i="5"/>
  <c r="AU1765" i="3"/>
  <c r="AU1485" i="3"/>
  <c r="AU2045" i="3"/>
  <c r="AU925" i="3" s="1"/>
  <c r="AU13" i="5"/>
  <c r="AU7" i="5"/>
  <c r="AW645" i="3"/>
  <c r="AW8" i="5"/>
  <c r="AW21" i="5"/>
  <c r="AE645" i="3"/>
  <c r="AE21" i="5"/>
  <c r="AE8" i="5"/>
  <c r="AQ645" i="3"/>
  <c r="AQ8" i="5"/>
  <c r="AQ21" i="5"/>
  <c r="AG1765" i="3"/>
  <c r="AG1485" i="3"/>
  <c r="AG2045" i="3"/>
  <c r="AG925" i="3" s="1"/>
  <c r="AG13" i="5"/>
  <c r="AG7" i="5"/>
  <c r="AM645" i="3"/>
  <c r="AM8" i="5"/>
  <c r="AM21" i="5"/>
  <c r="AH645" i="3"/>
  <c r="AH21" i="5"/>
  <c r="AH8" i="5"/>
  <c r="AK645" i="3"/>
  <c r="AK21" i="5"/>
  <c r="AK8" i="5"/>
  <c r="AG37" i="5"/>
  <c r="AG10" i="5"/>
  <c r="AN935" i="3"/>
  <c r="AN375" i="3" s="1"/>
  <c r="AR37" i="5"/>
  <c r="AR10" i="5"/>
  <c r="AJ1765" i="3"/>
  <c r="AJ1485" i="3"/>
  <c r="AJ2045" i="3"/>
  <c r="AJ925" i="3" s="1"/>
  <c r="AJ13" i="5"/>
  <c r="AJ7" i="5"/>
  <c r="AF29" i="5"/>
  <c r="AF9" i="5"/>
  <c r="AL9" i="5"/>
  <c r="AL29" i="5"/>
  <c r="AK24" i="5"/>
  <c r="AK23" i="5"/>
  <c r="AK22" i="5"/>
  <c r="AF23" i="5"/>
  <c r="AF22" i="5"/>
  <c r="AF24" i="5"/>
  <c r="AG23" i="5"/>
  <c r="AG22" i="5"/>
  <c r="AG24" i="5"/>
  <c r="AJ37" i="5"/>
  <c r="AJ10" i="5"/>
  <c r="AH29" i="5"/>
  <c r="AH9" i="5"/>
  <c r="AU647" i="3"/>
  <c r="AO10" i="5"/>
  <c r="AO37" i="5"/>
  <c r="AW9" i="5"/>
  <c r="AW29" i="5"/>
  <c r="AE37" i="5"/>
  <c r="AE10" i="5"/>
  <c r="AL645" i="3"/>
  <c r="AL21" i="5"/>
  <c r="AL8" i="5"/>
  <c r="AR645" i="3"/>
  <c r="AR8" i="5"/>
  <c r="AR21" i="5"/>
  <c r="AK37" i="5"/>
  <c r="AK10" i="5"/>
  <c r="AW1765" i="3"/>
  <c r="AW1485" i="3"/>
  <c r="AW2045" i="3"/>
  <c r="AW925" i="3" s="1"/>
  <c r="AW7" i="5"/>
  <c r="AW13" i="5"/>
  <c r="AE1765" i="3"/>
  <c r="AE1485" i="3"/>
  <c r="AE2045" i="3"/>
  <c r="AE925" i="3" s="1"/>
  <c r="AE13" i="5"/>
  <c r="AE7" i="5"/>
  <c r="AQ1765" i="3"/>
  <c r="AQ2045" i="3"/>
  <c r="AQ925" i="3" s="1"/>
  <c r="AQ1485" i="3"/>
  <c r="AQ13" i="5"/>
  <c r="AQ7" i="5"/>
  <c r="AM1765" i="3"/>
  <c r="AM1485" i="3"/>
  <c r="AM2045" i="3"/>
  <c r="AM925" i="3" s="1"/>
  <c r="AM13" i="5"/>
  <c r="AM7" i="5"/>
  <c r="AH1765" i="3"/>
  <c r="AH2045" i="3"/>
  <c r="AH925" i="3" s="1"/>
  <c r="AH1485" i="3"/>
  <c r="AH7" i="5"/>
  <c r="AH13" i="5"/>
  <c r="AK1765" i="3"/>
  <c r="AK1485" i="3"/>
  <c r="AK2045" i="3"/>
  <c r="AK925" i="3" s="1"/>
  <c r="AK13" i="5"/>
  <c r="AK7" i="5"/>
  <c r="AV39" i="3"/>
  <c r="U40" i="3"/>
  <c r="L39" i="3"/>
  <c r="AJ40" i="3"/>
  <c r="AH40" i="3"/>
  <c r="AI604" i="3"/>
  <c r="AI35" i="3"/>
  <c r="AI12" i="3"/>
  <c r="AI105" i="3" s="1"/>
  <c r="AI36" i="3"/>
  <c r="AI37" i="3"/>
  <c r="AI38" i="3"/>
  <c r="AX604" i="3"/>
  <c r="AX35" i="3"/>
  <c r="AX12" i="3"/>
  <c r="AX105" i="3" s="1"/>
  <c r="AX36" i="3"/>
  <c r="AX37" i="3"/>
  <c r="AX38" i="3"/>
  <c r="N27" i="3"/>
  <c r="N28" i="3"/>
  <c r="N11" i="3"/>
  <c r="N104" i="3" s="1"/>
  <c r="N29" i="3"/>
  <c r="N30" i="3"/>
  <c r="S27" i="3"/>
  <c r="S11" i="3"/>
  <c r="S104" i="3" s="1"/>
  <c r="S28" i="3"/>
  <c r="S29" i="3"/>
  <c r="S30" i="3"/>
  <c r="Z27" i="3"/>
  <c r="Z28" i="3"/>
  <c r="Z11" i="3"/>
  <c r="Z104" i="3" s="1"/>
  <c r="Z29" i="3"/>
  <c r="Z30" i="3"/>
  <c r="AB27" i="3"/>
  <c r="AB11" i="3"/>
  <c r="AB104" i="3" s="1"/>
  <c r="AB28" i="3"/>
  <c r="AB29" i="3"/>
  <c r="AB30" i="3"/>
  <c r="V39" i="3"/>
  <c r="V40" i="3"/>
  <c r="AW40" i="3"/>
  <c r="AW39" i="3"/>
  <c r="AK39" i="3"/>
  <c r="AK40" i="3"/>
  <c r="N40" i="3"/>
  <c r="N39" i="3"/>
  <c r="AC39" i="3"/>
  <c r="AC40" i="3"/>
  <c r="M40" i="3"/>
  <c r="M39" i="3"/>
  <c r="AP39" i="3"/>
  <c r="AP40" i="3"/>
  <c r="S39" i="3"/>
  <c r="S40" i="3"/>
  <c r="AL39" i="3"/>
  <c r="AL40" i="3"/>
  <c r="Z39" i="3"/>
  <c r="Z40" i="3"/>
  <c r="AE40" i="3"/>
  <c r="AE39" i="3"/>
  <c r="AO40" i="3"/>
  <c r="AO39" i="3"/>
  <c r="P39" i="3"/>
  <c r="P40" i="3"/>
  <c r="AR39" i="3"/>
  <c r="AR40" i="3"/>
  <c r="AU39" i="3"/>
  <c r="AU40" i="3"/>
  <c r="AB40" i="3"/>
  <c r="AB39" i="3"/>
  <c r="T604" i="3"/>
  <c r="T35" i="3"/>
  <c r="T36" i="3"/>
  <c r="T12" i="3"/>
  <c r="T105" i="3" s="1"/>
  <c r="T37" i="3"/>
  <c r="T38" i="3"/>
  <c r="AW27" i="3"/>
  <c r="AW11" i="3"/>
  <c r="AW104" i="3" s="1"/>
  <c r="AW28" i="3"/>
  <c r="AW29" i="3"/>
  <c r="AW30" i="3"/>
  <c r="AC27" i="3"/>
  <c r="AC11" i="3"/>
  <c r="AC104" i="3" s="1"/>
  <c r="AC28" i="3"/>
  <c r="AC29" i="3"/>
  <c r="AC30" i="3"/>
  <c r="M27" i="3"/>
  <c r="M11" i="3"/>
  <c r="M104" i="3" s="1"/>
  <c r="M28" i="3"/>
  <c r="M29" i="3"/>
  <c r="M30" i="3"/>
  <c r="AP27" i="3"/>
  <c r="AP11" i="3"/>
  <c r="AP104" i="3" s="1"/>
  <c r="AP28" i="3"/>
  <c r="AP29" i="3"/>
  <c r="AP30" i="3"/>
  <c r="P27" i="3"/>
  <c r="P11" i="3"/>
  <c r="P104" i="3" s="1"/>
  <c r="P28" i="3"/>
  <c r="P29" i="3"/>
  <c r="P30" i="3"/>
  <c r="J604" i="3"/>
  <c r="J35" i="3"/>
  <c r="J36" i="3"/>
  <c r="J12" i="3"/>
  <c r="J105" i="3" s="1"/>
  <c r="J37" i="3"/>
  <c r="J38" i="3"/>
  <c r="K40" i="3"/>
  <c r="K39" i="3"/>
  <c r="AV40" i="3"/>
  <c r="AV41" i="3" s="1"/>
  <c r="AM39" i="3"/>
  <c r="AM40" i="3"/>
  <c r="AF40" i="3"/>
  <c r="AF39" i="3"/>
  <c r="AA39" i="3"/>
  <c r="AA40" i="3"/>
  <c r="U39" i="3"/>
  <c r="L40" i="3"/>
  <c r="AG39" i="3"/>
  <c r="AG40" i="3"/>
  <c r="AJ39" i="3"/>
  <c r="AT39" i="3"/>
  <c r="AT40" i="3"/>
  <c r="X39" i="3"/>
  <c r="X40" i="3"/>
  <c r="W40" i="3"/>
  <c r="W39" i="3"/>
  <c r="AH39" i="3"/>
  <c r="Q39" i="3"/>
  <c r="Q40" i="3"/>
  <c r="AQ39" i="3"/>
  <c r="AQ40" i="3"/>
  <c r="R40" i="3"/>
  <c r="R39" i="3"/>
  <c r="O604" i="3"/>
  <c r="O35" i="3"/>
  <c r="O12" i="3"/>
  <c r="O105" i="3" s="1"/>
  <c r="O36" i="3"/>
  <c r="O37" i="3"/>
  <c r="O38" i="3"/>
  <c r="AN604" i="3"/>
  <c r="AN35" i="3"/>
  <c r="AN36" i="3"/>
  <c r="AN12" i="3"/>
  <c r="AN105" i="3" s="1"/>
  <c r="AN37" i="3"/>
  <c r="AN38" i="3"/>
  <c r="V27" i="3"/>
  <c r="V11" i="3"/>
  <c r="V104" i="3" s="1"/>
  <c r="V28" i="3"/>
  <c r="V29" i="3"/>
  <c r="V30" i="3"/>
  <c r="AK27" i="3"/>
  <c r="AK11" i="3"/>
  <c r="AK104" i="3" s="1"/>
  <c r="AK28" i="3"/>
  <c r="AK29" i="3"/>
  <c r="AK30" i="3"/>
  <c r="AL27" i="3"/>
  <c r="AL11" i="3"/>
  <c r="AL104" i="3" s="1"/>
  <c r="AL28" i="3"/>
  <c r="AL29" i="3"/>
  <c r="AL30" i="3"/>
  <c r="AE27" i="3"/>
  <c r="AE28" i="3"/>
  <c r="AE11" i="3"/>
  <c r="AE104" i="3" s="1"/>
  <c r="AE29" i="3"/>
  <c r="AE30" i="3"/>
  <c r="AO27" i="3"/>
  <c r="AO11" i="3"/>
  <c r="AO104" i="3" s="1"/>
  <c r="AO28" i="3"/>
  <c r="AO29" i="3"/>
  <c r="AO30" i="3"/>
  <c r="AR27" i="3"/>
  <c r="AR28" i="3"/>
  <c r="AR11" i="3"/>
  <c r="AR104" i="3" s="1"/>
  <c r="AR29" i="3"/>
  <c r="AR30" i="3"/>
  <c r="AU27" i="3"/>
  <c r="AU11" i="3"/>
  <c r="AU104" i="3" s="1"/>
  <c r="AU28" i="3"/>
  <c r="AU29" i="3"/>
  <c r="AU30" i="3"/>
  <c r="AD604" i="3"/>
  <c r="AD35" i="3"/>
  <c r="AD12" i="3"/>
  <c r="AD105" i="3" s="1"/>
  <c r="AD36" i="3"/>
  <c r="AD37" i="3"/>
  <c r="AD38" i="3"/>
  <c r="AS604" i="3"/>
  <c r="AS35" i="3"/>
  <c r="AS36" i="3"/>
  <c r="AS12" i="3"/>
  <c r="AS105" i="3" s="1"/>
  <c r="AS37" i="3"/>
  <c r="AS38" i="3"/>
  <c r="Y604" i="3"/>
  <c r="Y35" i="3"/>
  <c r="Y12" i="3"/>
  <c r="Y105" i="3" s="1"/>
  <c r="Y36" i="3"/>
  <c r="Y37" i="3"/>
  <c r="Y38" i="3"/>
  <c r="K27" i="3"/>
  <c r="K11" i="3"/>
  <c r="K104" i="3" s="1"/>
  <c r="K28" i="3"/>
  <c r="K29" i="3"/>
  <c r="K30" i="3"/>
  <c r="AV27" i="3"/>
  <c r="AV11" i="3"/>
  <c r="AV104" i="3" s="1"/>
  <c r="AV28" i="3"/>
  <c r="AV29" i="3"/>
  <c r="AV30" i="3"/>
  <c r="AM27" i="3"/>
  <c r="AM28" i="3"/>
  <c r="AM11" i="3"/>
  <c r="AM104" i="3" s="1"/>
  <c r="AM29" i="3"/>
  <c r="AM30" i="3"/>
  <c r="AF27" i="3"/>
  <c r="AF28" i="3"/>
  <c r="AF11" i="3"/>
  <c r="AF104" i="3" s="1"/>
  <c r="AF29" i="3"/>
  <c r="AF30" i="3"/>
  <c r="AA27" i="3"/>
  <c r="AA11" i="3"/>
  <c r="AA104" i="3" s="1"/>
  <c r="AA28" i="3"/>
  <c r="AA29" i="3"/>
  <c r="AA30" i="3"/>
  <c r="U27" i="3"/>
  <c r="U11" i="3"/>
  <c r="U104" i="3" s="1"/>
  <c r="U28" i="3"/>
  <c r="U29" i="3"/>
  <c r="U30" i="3"/>
  <c r="L27" i="3"/>
  <c r="L28" i="3"/>
  <c r="L11" i="3"/>
  <c r="L104" i="3" s="1"/>
  <c r="L29" i="3"/>
  <c r="L30" i="3"/>
  <c r="AG27" i="3"/>
  <c r="AG11" i="3"/>
  <c r="AG104" i="3" s="1"/>
  <c r="AG28" i="3"/>
  <c r="AG29" i="3"/>
  <c r="AG30" i="3"/>
  <c r="AJ27" i="3"/>
  <c r="AJ11" i="3"/>
  <c r="AJ104" i="3" s="1"/>
  <c r="AJ28" i="3"/>
  <c r="AJ29" i="3"/>
  <c r="AJ30" i="3"/>
  <c r="AT27" i="3"/>
  <c r="AT11" i="3"/>
  <c r="AT104" i="3" s="1"/>
  <c r="AT28" i="3"/>
  <c r="AT29" i="3"/>
  <c r="AT30" i="3"/>
  <c r="X27" i="3"/>
  <c r="X28" i="3"/>
  <c r="X11" i="3"/>
  <c r="X104" i="3" s="1"/>
  <c r="X29" i="3"/>
  <c r="X30" i="3"/>
  <c r="W27" i="3"/>
  <c r="W28" i="3"/>
  <c r="W11" i="3"/>
  <c r="W104" i="3" s="1"/>
  <c r="W29" i="3"/>
  <c r="W30" i="3"/>
  <c r="AH27" i="3"/>
  <c r="AH28" i="3"/>
  <c r="AH11" i="3"/>
  <c r="AH104" i="3" s="1"/>
  <c r="AH29" i="3"/>
  <c r="AH30" i="3"/>
  <c r="Q27" i="3"/>
  <c r="Q28" i="3"/>
  <c r="Q11" i="3"/>
  <c r="Q104" i="3" s="1"/>
  <c r="Q29" i="3"/>
  <c r="Q30" i="3"/>
  <c r="AQ27" i="3"/>
  <c r="AQ28" i="3"/>
  <c r="AQ11" i="3"/>
  <c r="AQ104" i="3" s="1"/>
  <c r="AQ29" i="3"/>
  <c r="AQ30" i="3"/>
  <c r="R27" i="3"/>
  <c r="R11" i="3"/>
  <c r="R104" i="3" s="1"/>
  <c r="R28" i="3"/>
  <c r="R29" i="3"/>
  <c r="R30" i="3"/>
  <c r="J1165" i="3"/>
  <c r="J885" i="3"/>
  <c r="J33" i="5"/>
  <c r="J34" i="5"/>
  <c r="Q35" i="5"/>
  <c r="AA35" i="5"/>
  <c r="W35" i="5"/>
  <c r="L35" i="5"/>
  <c r="Z35" i="5"/>
  <c r="K35" i="5"/>
  <c r="W885" i="3"/>
  <c r="N35" i="5"/>
  <c r="M35" i="5"/>
  <c r="AW2005" i="3"/>
  <c r="AW1725" i="3"/>
  <c r="AF2005" i="3"/>
  <c r="AF1725" i="3"/>
  <c r="V2005" i="3"/>
  <c r="V1725" i="3"/>
  <c r="AR2005" i="3"/>
  <c r="AR1725" i="3"/>
  <c r="U2005" i="3"/>
  <c r="U1725" i="3"/>
  <c r="AA2005" i="3"/>
  <c r="AA1725" i="3"/>
  <c r="AC2005" i="3"/>
  <c r="AC1725" i="3"/>
  <c r="AM2005" i="3"/>
  <c r="AM1725" i="3"/>
  <c r="P35" i="5"/>
  <c r="AC35" i="5"/>
  <c r="X35" i="5"/>
  <c r="S35" i="5"/>
  <c r="R35" i="5"/>
  <c r="AL885" i="3"/>
  <c r="R2005" i="3"/>
  <c r="R1725" i="3"/>
  <c r="AT2005" i="3"/>
  <c r="AT1725" i="3"/>
  <c r="AL2005" i="3"/>
  <c r="AL1725" i="3"/>
  <c r="Z2005" i="3"/>
  <c r="Z1725" i="3"/>
  <c r="X2005" i="3"/>
  <c r="X1725" i="3"/>
  <c r="Q2005" i="3"/>
  <c r="Q1725" i="3"/>
  <c r="AG2005" i="3"/>
  <c r="AG1725" i="3"/>
  <c r="AU2005" i="3"/>
  <c r="AU1725" i="3"/>
  <c r="P2005" i="3"/>
  <c r="P1725" i="3"/>
  <c r="S2005" i="3"/>
  <c r="S1725" i="3"/>
  <c r="AE2005" i="3"/>
  <c r="AE1725" i="3"/>
  <c r="AO2005" i="3"/>
  <c r="AO1725" i="3"/>
  <c r="L885" i="3"/>
  <c r="K885" i="3"/>
  <c r="W2005" i="3"/>
  <c r="W1725" i="3"/>
  <c r="AV885" i="3"/>
  <c r="AJ2005" i="3"/>
  <c r="AJ1725" i="3"/>
  <c r="AB2005" i="3"/>
  <c r="AB1725" i="3"/>
  <c r="AH2005" i="3"/>
  <c r="AH1725" i="3"/>
  <c r="AQ2005" i="3"/>
  <c r="AQ1725" i="3"/>
  <c r="L2005" i="3"/>
  <c r="L1725" i="3"/>
  <c r="AK2005" i="3"/>
  <c r="AK1725" i="3"/>
  <c r="N2005" i="3"/>
  <c r="N1725" i="3"/>
  <c r="M2005" i="3"/>
  <c r="M1725" i="3"/>
  <c r="AP2005" i="3"/>
  <c r="AP1725" i="3"/>
  <c r="K2005" i="3"/>
  <c r="K1725" i="3"/>
  <c r="R885" i="3"/>
  <c r="AV2005" i="3"/>
  <c r="AV1725" i="3"/>
  <c r="V35" i="5"/>
  <c r="T33" i="5"/>
  <c r="T34" i="5"/>
  <c r="Y33" i="5"/>
  <c r="Y34" i="5"/>
  <c r="AD34" i="5"/>
  <c r="AD33" i="5"/>
  <c r="U35" i="5"/>
  <c r="O33" i="5"/>
  <c r="O34" i="5"/>
  <c r="AB35" i="5"/>
  <c r="AP805" i="3"/>
  <c r="AL805" i="3"/>
  <c r="AE805" i="3"/>
  <c r="AQ805" i="3"/>
  <c r="AG805" i="3"/>
  <c r="AM805" i="3"/>
  <c r="AK805" i="3"/>
  <c r="AM812" i="3"/>
  <c r="AJ812" i="3"/>
  <c r="AK812" i="3"/>
  <c r="AR812" i="3"/>
  <c r="AT812" i="3"/>
  <c r="AU805" i="3"/>
  <c r="AF805" i="3"/>
  <c r="AO936" i="3"/>
  <c r="AO376" i="3" s="1"/>
  <c r="AG936" i="3"/>
  <c r="AG376" i="3" s="1"/>
  <c r="AW936" i="3"/>
  <c r="AW376" i="3" s="1"/>
  <c r="AV936" i="3"/>
  <c r="AV376" i="3" s="1"/>
  <c r="AM936" i="3"/>
  <c r="AM376" i="3" s="1"/>
  <c r="AL936" i="3"/>
  <c r="AL376" i="3" s="1"/>
  <c r="AJ936" i="3"/>
  <c r="AJ376" i="3" s="1"/>
  <c r="AH936" i="3"/>
  <c r="AH376" i="3" s="1"/>
  <c r="AQ936" i="3"/>
  <c r="AQ376" i="3" s="1"/>
  <c r="AR936" i="3"/>
  <c r="AR376" i="3" s="1"/>
  <c r="AK936" i="3"/>
  <c r="AK376" i="3" s="1"/>
  <c r="AE936" i="3"/>
  <c r="AE376" i="3" s="1"/>
  <c r="AU936" i="3"/>
  <c r="AU376" i="3" s="1"/>
  <c r="AT936" i="3"/>
  <c r="AT376" i="3" s="1"/>
  <c r="AP936" i="3"/>
  <c r="AP376" i="3" s="1"/>
  <c r="AF936" i="3"/>
  <c r="AF376" i="3" s="1"/>
  <c r="AR975" i="3"/>
  <c r="AR415" i="3" s="1"/>
  <c r="AJ975" i="3"/>
  <c r="AJ415" i="3" s="1"/>
  <c r="AH975" i="3"/>
  <c r="AH415" i="3" s="1"/>
  <c r="AT975" i="3"/>
  <c r="AT415" i="3" s="1"/>
  <c r="AF975" i="3"/>
  <c r="AF415" i="3" s="1"/>
  <c r="AE975" i="3"/>
  <c r="AE415" i="3" s="1"/>
  <c r="AU975" i="3"/>
  <c r="AU415" i="3" s="1"/>
  <c r="AG975" i="3"/>
  <c r="AG415" i="3" s="1"/>
  <c r="AQ975" i="3"/>
  <c r="AQ415" i="3" s="1"/>
  <c r="AL975" i="3"/>
  <c r="AL415" i="3" s="1"/>
  <c r="AK975" i="3"/>
  <c r="AK415" i="3" s="1"/>
  <c r="AO975" i="3"/>
  <c r="AO415" i="3" s="1"/>
  <c r="AP975" i="3"/>
  <c r="AP415" i="3" s="1"/>
  <c r="AM975" i="3"/>
  <c r="AM415" i="3" s="1"/>
  <c r="AV975" i="3"/>
  <c r="AV415" i="3" s="1"/>
  <c r="AW975" i="3"/>
  <c r="AW415" i="3" s="1"/>
  <c r="AQ812" i="3"/>
  <c r="AP812" i="3"/>
  <c r="AG812" i="3"/>
  <c r="AT805" i="3"/>
  <c r="AV805" i="3"/>
  <c r="AV937" i="3"/>
  <c r="AV377" i="3" s="1"/>
  <c r="AF937" i="3"/>
  <c r="AF377" i="3" s="1"/>
  <c r="AJ937" i="3"/>
  <c r="AJ377" i="3" s="1"/>
  <c r="AH937" i="3"/>
  <c r="AH377" i="3" s="1"/>
  <c r="AW937" i="3"/>
  <c r="AW377" i="3" s="1"/>
  <c r="AE937" i="3"/>
  <c r="AE377" i="3" s="1"/>
  <c r="AQ937" i="3"/>
  <c r="AQ377" i="3" s="1"/>
  <c r="AG937" i="3"/>
  <c r="AG377" i="3" s="1"/>
  <c r="AK937" i="3"/>
  <c r="AK377" i="3" s="1"/>
  <c r="AL937" i="3"/>
  <c r="AL377" i="3" s="1"/>
  <c r="AM937" i="3"/>
  <c r="AM377" i="3" s="1"/>
  <c r="AU937" i="3"/>
  <c r="AU377" i="3" s="1"/>
  <c r="AR937" i="3"/>
  <c r="AR377" i="3" s="1"/>
  <c r="AT937" i="3"/>
  <c r="AT377" i="3" s="1"/>
  <c r="AP937" i="3"/>
  <c r="AP377" i="3" s="1"/>
  <c r="AO937" i="3"/>
  <c r="AO377" i="3" s="1"/>
  <c r="AH812" i="3"/>
  <c r="AE812" i="3"/>
  <c r="AF812" i="3"/>
  <c r="AU812" i="3"/>
  <c r="AW812" i="3"/>
  <c r="AV812" i="3"/>
  <c r="AF646" i="3"/>
  <c r="AH804" i="3"/>
  <c r="AW804" i="3"/>
  <c r="AO804" i="3"/>
  <c r="AJ804" i="3"/>
  <c r="AW805" i="3"/>
  <c r="AR805" i="3"/>
  <c r="AK974" i="3"/>
  <c r="AK414" i="3" s="1"/>
  <c r="AM974" i="3"/>
  <c r="AM414" i="3" s="1"/>
  <c r="AW974" i="3"/>
  <c r="AW414" i="3" s="1"/>
  <c r="AQ974" i="3"/>
  <c r="AQ414" i="3" s="1"/>
  <c r="AT974" i="3"/>
  <c r="AT414" i="3" s="1"/>
  <c r="AJ974" i="3"/>
  <c r="AJ414" i="3" s="1"/>
  <c r="AO974" i="3"/>
  <c r="AO414" i="3" s="1"/>
  <c r="AH974" i="3"/>
  <c r="AH414" i="3" s="1"/>
  <c r="AP974" i="3"/>
  <c r="AP414" i="3" s="1"/>
  <c r="AL974" i="3"/>
  <c r="AL414" i="3" s="1"/>
  <c r="AU974" i="3"/>
  <c r="AU414" i="3" s="1"/>
  <c r="AF974" i="3"/>
  <c r="AF414" i="3" s="1"/>
  <c r="AV974" i="3"/>
  <c r="AV414" i="3" s="1"/>
  <c r="AR974" i="3"/>
  <c r="AR414" i="3" s="1"/>
  <c r="AE974" i="3"/>
  <c r="AE414" i="3" s="1"/>
  <c r="AG974" i="3"/>
  <c r="AG414" i="3" s="1"/>
  <c r="AO812" i="3"/>
  <c r="AL812" i="3"/>
  <c r="AT646" i="3"/>
  <c r="AM804" i="3"/>
  <c r="AK804" i="3"/>
  <c r="AF804" i="3"/>
  <c r="AQ804" i="3"/>
  <c r="AH805" i="3"/>
  <c r="AO805" i="3"/>
  <c r="AJ805" i="3"/>
  <c r="AG1243" i="3" l="1"/>
  <c r="AM1243" i="3"/>
  <c r="AM1371" i="3"/>
  <c r="AF1363" i="3"/>
  <c r="AH1371" i="3"/>
  <c r="AH531" i="3" s="1"/>
  <c r="AK1243" i="3"/>
  <c r="AL1363" i="3"/>
  <c r="AT1391" i="3"/>
  <c r="AT551" i="3" s="1"/>
  <c r="AQ1371" i="3"/>
  <c r="AQ531" i="3" s="1"/>
  <c r="AV1391" i="3"/>
  <c r="AV551" i="3" s="1"/>
  <c r="AT1363" i="3"/>
  <c r="AT523" i="3" s="1"/>
  <c r="AF1371" i="3"/>
  <c r="AF531" i="3" s="1"/>
  <c r="AW1371" i="3"/>
  <c r="AW531" i="3" s="1"/>
  <c r="AM1363" i="3"/>
  <c r="AM523" i="3" s="1"/>
  <c r="AH1363" i="3"/>
  <c r="AH523" i="3" s="1"/>
  <c r="AV1445" i="3"/>
  <c r="AO1445" i="3"/>
  <c r="AO605" i="3" s="1"/>
  <c r="AU1445" i="3"/>
  <c r="AU605" i="3" s="1"/>
  <c r="Z1445" i="3"/>
  <c r="Z605" i="3" s="1"/>
  <c r="AK1205" i="3"/>
  <c r="AG1205" i="3"/>
  <c r="AG365" i="3" s="1"/>
  <c r="AT1371" i="3"/>
  <c r="W1445" i="3"/>
  <c r="W605" i="3" s="1"/>
  <c r="S1445" i="3"/>
  <c r="S605" i="3" s="1"/>
  <c r="Q1445" i="3"/>
  <c r="Q605" i="3" s="1"/>
  <c r="AE1205" i="3"/>
  <c r="AE365" i="3" s="1"/>
  <c r="AJ41" i="3"/>
  <c r="AO1205" i="3"/>
  <c r="AL1243" i="3"/>
  <c r="AT1243" i="3"/>
  <c r="AM1391" i="3"/>
  <c r="AM551" i="3" s="1"/>
  <c r="AO1391" i="3"/>
  <c r="AO551" i="3" s="1"/>
  <c r="AF1391" i="3"/>
  <c r="AF551" i="3" s="1"/>
  <c r="AH1391" i="3"/>
  <c r="AH551" i="3" s="1"/>
  <c r="AM403" i="3"/>
  <c r="AM531" i="3"/>
  <c r="AF647" i="3"/>
  <c r="AR647" i="3"/>
  <c r="AP647" i="3"/>
  <c r="AT647" i="3"/>
  <c r="AP1205" i="3"/>
  <c r="AJ813" i="3"/>
  <c r="AV813" i="3"/>
  <c r="AE813" i="3"/>
  <c r="AK813" i="3"/>
  <c r="AP1371" i="3"/>
  <c r="AP531" i="3" s="1"/>
  <c r="AG1371" i="3"/>
  <c r="AG531" i="3" s="1"/>
  <c r="AF813" i="3"/>
  <c r="AR1363" i="3"/>
  <c r="AR523" i="3" s="1"/>
  <c r="AV1363" i="3"/>
  <c r="AV523" i="3" s="1"/>
  <c r="AV1205" i="3"/>
  <c r="AV365" i="3" s="1"/>
  <c r="AU804" i="3"/>
  <c r="AL804" i="3"/>
  <c r="AU1363" i="3"/>
  <c r="AU523" i="3" s="1"/>
  <c r="AL523" i="3"/>
  <c r="AJ1363" i="3"/>
  <c r="AJ523" i="3" s="1"/>
  <c r="AK684" i="3"/>
  <c r="AT684" i="3"/>
  <c r="AM684" i="3"/>
  <c r="AG685" i="3"/>
  <c r="AJ685" i="3"/>
  <c r="AO685" i="3"/>
  <c r="AH813" i="3"/>
  <c r="AO813" i="3"/>
  <c r="AU813" i="3"/>
  <c r="AT804" i="3"/>
  <c r="AK832" i="3"/>
  <c r="AJ832" i="3"/>
  <c r="AP833" i="3"/>
  <c r="AO832" i="3"/>
  <c r="AV832" i="3"/>
  <c r="AF832" i="3"/>
  <c r="AV833" i="3"/>
  <c r="AQ833" i="3"/>
  <c r="AT832" i="3"/>
  <c r="AU832" i="3"/>
  <c r="AG833" i="3"/>
  <c r="AK833" i="3"/>
  <c r="AF833" i="3"/>
  <c r="AR1391" i="3"/>
  <c r="AR551" i="3" s="1"/>
  <c r="AR833" i="3"/>
  <c r="AT833" i="3"/>
  <c r="AM832" i="3"/>
  <c r="AE1391" i="3"/>
  <c r="AE551" i="3" s="1"/>
  <c r="AW832" i="3"/>
  <c r="AG1391" i="3"/>
  <c r="AG551" i="3" s="1"/>
  <c r="AP832" i="3"/>
  <c r="AQ1952" i="3"/>
  <c r="AQ1672" i="3"/>
  <c r="AQ2232" i="3"/>
  <c r="AQ1112" i="3" s="1"/>
  <c r="AN1951" i="3"/>
  <c r="AN1671" i="3"/>
  <c r="AN2231" i="3"/>
  <c r="AU1953" i="3"/>
  <c r="AU2233" i="3"/>
  <c r="AU1113" i="3" s="1"/>
  <c r="AU1673" i="3"/>
  <c r="AM1953" i="3"/>
  <c r="AM2233" i="3"/>
  <c r="AM1113" i="3" s="1"/>
  <c r="AM1673" i="3"/>
  <c r="AP1391" i="3"/>
  <c r="AP551" i="3" s="1"/>
  <c r="AE832" i="3"/>
  <c r="AR832" i="3"/>
  <c r="AH833" i="3"/>
  <c r="AK1391" i="3"/>
  <c r="AK551" i="3" s="1"/>
  <c r="AJ833" i="3"/>
  <c r="AU1952" i="3"/>
  <c r="AU2232" i="3"/>
  <c r="AU1112" i="3" s="1"/>
  <c r="AU1672" i="3"/>
  <c r="AW1952" i="3"/>
  <c r="AW2232" i="3"/>
  <c r="AW1112" i="3" s="1"/>
  <c r="AW1672" i="3"/>
  <c r="AG1953" i="3"/>
  <c r="AG1673" i="3"/>
  <c r="AG2233" i="3"/>
  <c r="AG1113" i="3" s="1"/>
  <c r="AK1953" i="3"/>
  <c r="AK1673" i="3"/>
  <c r="AK2233" i="3"/>
  <c r="AK1113" i="3" s="1"/>
  <c r="AF1953" i="3"/>
  <c r="AF1673" i="3"/>
  <c r="AF2233" i="3"/>
  <c r="AF1113" i="3" s="1"/>
  <c r="AP1952" i="3"/>
  <c r="AP2232" i="3"/>
  <c r="AP1112" i="3" s="1"/>
  <c r="AP1672" i="3"/>
  <c r="AR1953" i="3"/>
  <c r="AR2233" i="3"/>
  <c r="AR1113" i="3" s="1"/>
  <c r="AR1673" i="3"/>
  <c r="AH832" i="3"/>
  <c r="AO833" i="3"/>
  <c r="AL833" i="3"/>
  <c r="AE1952" i="3"/>
  <c r="AE2232" i="3"/>
  <c r="AE1112" i="3" s="1"/>
  <c r="AE1672" i="3"/>
  <c r="AR1952" i="3"/>
  <c r="AR2232" i="3"/>
  <c r="AR1112" i="3" s="1"/>
  <c r="AR1672" i="3"/>
  <c r="AT1953" i="3"/>
  <c r="AT1673" i="3"/>
  <c r="AT2233" i="3"/>
  <c r="AT1113" i="3" s="1"/>
  <c r="AH1953" i="3"/>
  <c r="AH1673" i="3"/>
  <c r="AH2233" i="3"/>
  <c r="AH1113" i="3" s="1"/>
  <c r="AJ551" i="3"/>
  <c r="AJ1953" i="3"/>
  <c r="AJ1673" i="3"/>
  <c r="AJ2233" i="3"/>
  <c r="AJ1113" i="3" s="1"/>
  <c r="AM1952" i="3"/>
  <c r="AM1672" i="3"/>
  <c r="AM2232" i="3"/>
  <c r="AM1112" i="3" s="1"/>
  <c r="AS831" i="3"/>
  <c r="AI831" i="3"/>
  <c r="AW833" i="3"/>
  <c r="AE833" i="3"/>
  <c r="AG832" i="3"/>
  <c r="AS1951" i="3"/>
  <c r="AS2231" i="3"/>
  <c r="AS1671" i="3"/>
  <c r="AH1952" i="3"/>
  <c r="AH1672" i="3"/>
  <c r="AH2232" i="3"/>
  <c r="AH1112" i="3" s="1"/>
  <c r="AO1953" i="3"/>
  <c r="AO2233" i="3"/>
  <c r="AO1113" i="3" s="1"/>
  <c r="AO1673" i="3"/>
  <c r="AL1953" i="3"/>
  <c r="AL2233" i="3"/>
  <c r="AL1113" i="3" s="1"/>
  <c r="AL1673" i="3"/>
  <c r="AL832" i="3"/>
  <c r="AX831" i="3"/>
  <c r="AQ1391" i="3"/>
  <c r="AQ551" i="3" s="1"/>
  <c r="AI1951" i="3"/>
  <c r="AI2231" i="3"/>
  <c r="AI1671" i="3"/>
  <c r="AK1952" i="3"/>
  <c r="AK2232" i="3"/>
  <c r="AK1112" i="3" s="1"/>
  <c r="AK1672" i="3"/>
  <c r="AJ1952" i="3"/>
  <c r="AJ1672" i="3"/>
  <c r="AJ2232" i="3"/>
  <c r="AJ1112" i="3" s="1"/>
  <c r="AP1953" i="3"/>
  <c r="AP1673" i="3"/>
  <c r="AP2233" i="3"/>
  <c r="AP1113" i="3" s="1"/>
  <c r="AW1953" i="3"/>
  <c r="AW1673" i="3"/>
  <c r="AW2233" i="3"/>
  <c r="AW1113" i="3" s="1"/>
  <c r="AE1953" i="3"/>
  <c r="AE2233" i="3"/>
  <c r="AE1113" i="3" s="1"/>
  <c r="AE1673" i="3"/>
  <c r="AO1952" i="3"/>
  <c r="AO1672" i="3"/>
  <c r="AO2232" i="3"/>
  <c r="AO1112" i="3" s="1"/>
  <c r="AG1952" i="3"/>
  <c r="AG1672" i="3"/>
  <c r="AG2232" i="3"/>
  <c r="AG1112" i="3" s="1"/>
  <c r="AW1391" i="3"/>
  <c r="AW551" i="3" s="1"/>
  <c r="AQ832" i="3"/>
  <c r="AN831" i="3"/>
  <c r="AU833" i="3"/>
  <c r="AM833" i="3"/>
  <c r="AU1391" i="3"/>
  <c r="AU551" i="3" s="1"/>
  <c r="AV1952" i="3"/>
  <c r="AV1672" i="3"/>
  <c r="AV2232" i="3"/>
  <c r="AV1112" i="3" s="1"/>
  <c r="AF1952" i="3"/>
  <c r="AF1672" i="3"/>
  <c r="AF2232" i="3"/>
  <c r="AF1112" i="3" s="1"/>
  <c r="AL1952" i="3"/>
  <c r="AL1672" i="3"/>
  <c r="AL2232" i="3"/>
  <c r="AL1112" i="3" s="1"/>
  <c r="AV1953" i="3"/>
  <c r="AV2233" i="3"/>
  <c r="AV1113" i="3" s="1"/>
  <c r="AV1673" i="3"/>
  <c r="AQ1953" i="3"/>
  <c r="AQ1673" i="3"/>
  <c r="AQ2233" i="3"/>
  <c r="AQ1113" i="3" s="1"/>
  <c r="AL1391" i="3"/>
  <c r="AL551" i="3" s="1"/>
  <c r="AT1952" i="3"/>
  <c r="AT1672" i="3"/>
  <c r="AT2232" i="3"/>
  <c r="AT1112" i="3" s="1"/>
  <c r="AX1951" i="3"/>
  <c r="AX2231" i="3"/>
  <c r="AX1671" i="3"/>
  <c r="AO1925" i="3"/>
  <c r="AO1645" i="3"/>
  <c r="AO2205" i="3"/>
  <c r="AO1085" i="3" s="1"/>
  <c r="AP1925" i="3"/>
  <c r="AP1645" i="3"/>
  <c r="AP2205" i="3"/>
  <c r="AP1085" i="3" s="1"/>
  <c r="AE804" i="3"/>
  <c r="AS803" i="3"/>
  <c r="AQ1924" i="3"/>
  <c r="AQ2204" i="3"/>
  <c r="AQ1084" i="3" s="1"/>
  <c r="AQ1644" i="3"/>
  <c r="AK1924" i="3"/>
  <c r="AK2204" i="3"/>
  <c r="AK1084" i="3" s="1"/>
  <c r="AK1644" i="3"/>
  <c r="AM1924" i="3"/>
  <c r="AM2204" i="3"/>
  <c r="AM1084" i="3" s="1"/>
  <c r="AM1644" i="3"/>
  <c r="AT1925" i="3"/>
  <c r="AT1645" i="3"/>
  <c r="AT2205" i="3"/>
  <c r="AT1085" i="3" s="1"/>
  <c r="AM1925" i="3"/>
  <c r="AM2205" i="3"/>
  <c r="AM1085" i="3" s="1"/>
  <c r="AM1645" i="3"/>
  <c r="AO1924" i="3"/>
  <c r="AO2204" i="3"/>
  <c r="AO1084" i="3" s="1"/>
  <c r="AO1644" i="3"/>
  <c r="AW1924" i="3"/>
  <c r="AW1644" i="3"/>
  <c r="AW2204" i="3"/>
  <c r="AW1084" i="3" s="1"/>
  <c r="AE1925" i="3"/>
  <c r="AE2205" i="3"/>
  <c r="AE1085" i="3" s="1"/>
  <c r="AE1645" i="3"/>
  <c r="AJ1925" i="3"/>
  <c r="AJ2205" i="3"/>
  <c r="AJ1085" i="3" s="1"/>
  <c r="AJ1645" i="3"/>
  <c r="AO1363" i="3"/>
  <c r="AO523" i="3" s="1"/>
  <c r="AN1923" i="3"/>
  <c r="AN1643" i="3"/>
  <c r="AN2203" i="3"/>
  <c r="AN1083" i="3" s="1"/>
  <c r="AU1924" i="3"/>
  <c r="AU2204" i="3"/>
  <c r="AU1084" i="3" s="1"/>
  <c r="AU1644" i="3"/>
  <c r="AL1924" i="3"/>
  <c r="AL1644" i="3"/>
  <c r="AL2204" i="3"/>
  <c r="AL1084" i="3" s="1"/>
  <c r="AF523" i="3"/>
  <c r="AT1924" i="3"/>
  <c r="AT1644" i="3"/>
  <c r="AT2204" i="3"/>
  <c r="AT1084" i="3" s="1"/>
  <c r="AE1924" i="3"/>
  <c r="AE1644" i="3"/>
  <c r="AE2204" i="3"/>
  <c r="AE1084" i="3" s="1"/>
  <c r="AI1923" i="3"/>
  <c r="AI1643" i="3"/>
  <c r="AI2203" i="3"/>
  <c r="AI803" i="3"/>
  <c r="AX803" i="3"/>
  <c r="AF1924" i="3"/>
  <c r="AF2204" i="3"/>
  <c r="AF1084" i="3" s="1"/>
  <c r="AF1644" i="3"/>
  <c r="AH1925" i="3"/>
  <c r="AH2205" i="3"/>
  <c r="AH1085" i="3" s="1"/>
  <c r="AH1645" i="3"/>
  <c r="AR1925" i="3"/>
  <c r="AR1645" i="3"/>
  <c r="AR2205" i="3"/>
  <c r="AR1085" i="3" s="1"/>
  <c r="AV1925" i="3"/>
  <c r="AV1645" i="3"/>
  <c r="AV2205" i="3"/>
  <c r="AV1085" i="3" s="1"/>
  <c r="AQ1363" i="3"/>
  <c r="AQ523" i="3" s="1"/>
  <c r="AS1923" i="3"/>
  <c r="AS2203" i="3"/>
  <c r="AS1643" i="3"/>
  <c r="AP804" i="3"/>
  <c r="AG804" i="3"/>
  <c r="AE1363" i="3"/>
  <c r="AE523" i="3" s="1"/>
  <c r="AG1363" i="3"/>
  <c r="AG523" i="3" s="1"/>
  <c r="AR804" i="3"/>
  <c r="AN803" i="3"/>
  <c r="AJ1924" i="3"/>
  <c r="AJ2204" i="3"/>
  <c r="AJ1084" i="3" s="1"/>
  <c r="AJ1644" i="3"/>
  <c r="AV1924" i="3"/>
  <c r="AV1644" i="3"/>
  <c r="AV2204" i="3"/>
  <c r="AV1084" i="3" s="1"/>
  <c r="AF1925" i="3"/>
  <c r="AF2205" i="3"/>
  <c r="AF1085" i="3" s="1"/>
  <c r="AF1645" i="3"/>
  <c r="AU1925" i="3"/>
  <c r="AU2205" i="3"/>
  <c r="AU1085" i="3" s="1"/>
  <c r="AU1645" i="3"/>
  <c r="AW1925" i="3"/>
  <c r="AW2205" i="3"/>
  <c r="AW1085" i="3" s="1"/>
  <c r="AW1645" i="3"/>
  <c r="AK1925" i="3"/>
  <c r="AK2205" i="3"/>
  <c r="AK1085" i="3" s="1"/>
  <c r="AK1645" i="3"/>
  <c r="AG1925" i="3"/>
  <c r="AG2205" i="3"/>
  <c r="AG1085" i="3" s="1"/>
  <c r="AG1645" i="3"/>
  <c r="AH1924" i="3"/>
  <c r="AH1644" i="3"/>
  <c r="AH2204" i="3"/>
  <c r="AH1084" i="3" s="1"/>
  <c r="AQ1925" i="3"/>
  <c r="AQ1645" i="3"/>
  <c r="AQ2205" i="3"/>
  <c r="AQ1085" i="3" s="1"/>
  <c r="AL1925" i="3"/>
  <c r="AL2205" i="3"/>
  <c r="AL1085" i="3" s="1"/>
  <c r="AL1645" i="3"/>
  <c r="AP1363" i="3"/>
  <c r="AP523" i="3" s="1"/>
  <c r="AW1363" i="3"/>
  <c r="AW523" i="3" s="1"/>
  <c r="AV804" i="3"/>
  <c r="AX1923" i="3"/>
  <c r="AX1643" i="3"/>
  <c r="AX2203" i="3"/>
  <c r="AP1924" i="3"/>
  <c r="AP2204" i="3"/>
  <c r="AP1084" i="3" s="1"/>
  <c r="AP1644" i="3"/>
  <c r="AG1924" i="3"/>
  <c r="AG1644" i="3"/>
  <c r="AG2204" i="3"/>
  <c r="AG1084" i="3" s="1"/>
  <c r="AK1363" i="3"/>
  <c r="AK523" i="3" s="1"/>
  <c r="AR1924" i="3"/>
  <c r="AR2204" i="3"/>
  <c r="AR1084" i="3" s="1"/>
  <c r="AR1644" i="3"/>
  <c r="AQ1235" i="3"/>
  <c r="AQ395" i="3" s="1"/>
  <c r="AK1235" i="3"/>
  <c r="AK395" i="3" s="1"/>
  <c r="AM1235" i="3"/>
  <c r="AM395" i="3" s="1"/>
  <c r="AT1235" i="3"/>
  <c r="AT395" i="3" s="1"/>
  <c r="AG1235" i="3"/>
  <c r="AG395" i="3" s="1"/>
  <c r="AM676" i="3"/>
  <c r="AF1235" i="3"/>
  <c r="AF395" i="3" s="1"/>
  <c r="AV1235" i="3"/>
  <c r="AV395" i="3" s="1"/>
  <c r="AW1235" i="3"/>
  <c r="AW395" i="3" s="1"/>
  <c r="AM677" i="3"/>
  <c r="AR677" i="3"/>
  <c r="AU677" i="3"/>
  <c r="AE1235" i="3"/>
  <c r="AE395" i="3" s="1"/>
  <c r="AP677" i="3"/>
  <c r="AL676" i="3"/>
  <c r="AU1235" i="3"/>
  <c r="AU395" i="3" s="1"/>
  <c r="AH677" i="3"/>
  <c r="AF677" i="3"/>
  <c r="AO1235" i="3"/>
  <c r="AO395" i="3" s="1"/>
  <c r="AJ1235" i="3"/>
  <c r="AJ395" i="3" s="1"/>
  <c r="AP1235" i="3"/>
  <c r="AP395" i="3" s="1"/>
  <c r="AQ1797" i="3"/>
  <c r="AQ1517" i="3"/>
  <c r="AQ2077" i="3"/>
  <c r="AQ957" i="3" s="1"/>
  <c r="AO1796" i="3"/>
  <c r="AO1516" i="3"/>
  <c r="AO2076" i="3"/>
  <c r="AO956" i="3" s="1"/>
  <c r="AR1796" i="3"/>
  <c r="AR1516" i="3"/>
  <c r="AR2076" i="3"/>
  <c r="AR956" i="3" s="1"/>
  <c r="AG676" i="3"/>
  <c r="AE1797" i="3"/>
  <c r="AE2077" i="3"/>
  <c r="AE957" i="3" s="1"/>
  <c r="AE1517" i="3"/>
  <c r="AT1796" i="3"/>
  <c r="AT1516" i="3"/>
  <c r="AT2076" i="3"/>
  <c r="AT956" i="3" s="1"/>
  <c r="AV677" i="3"/>
  <c r="AR1797" i="3"/>
  <c r="AR2077" i="3"/>
  <c r="AR957" i="3" s="1"/>
  <c r="AR1517" i="3"/>
  <c r="AG1796" i="3"/>
  <c r="AG1516" i="3"/>
  <c r="AG2076" i="3"/>
  <c r="AG956" i="3" s="1"/>
  <c r="AW1797" i="3"/>
  <c r="AW1517" i="3"/>
  <c r="AW2077" i="3"/>
  <c r="AW957" i="3" s="1"/>
  <c r="AF676" i="3"/>
  <c r="AE676" i="3"/>
  <c r="AS675" i="3"/>
  <c r="AN675" i="3"/>
  <c r="AI675" i="3"/>
  <c r="AN1795" i="3"/>
  <c r="AN1515" i="3"/>
  <c r="AN2075" i="3"/>
  <c r="AV1797" i="3"/>
  <c r="AV1517" i="3"/>
  <c r="AV2077" i="3"/>
  <c r="AV957" i="3" s="1"/>
  <c r="AS1795" i="3"/>
  <c r="AS1515" i="3"/>
  <c r="AS2075" i="3"/>
  <c r="AQ1796" i="3"/>
  <c r="AQ1516" i="3"/>
  <c r="AQ2076" i="3"/>
  <c r="AQ956" i="3" s="1"/>
  <c r="AM1796" i="3"/>
  <c r="AM2076" i="3"/>
  <c r="AM956" i="3" s="1"/>
  <c r="AM1516" i="3"/>
  <c r="AV1796" i="3"/>
  <c r="AV1516" i="3"/>
  <c r="AV2076" i="3"/>
  <c r="AV956" i="3" s="1"/>
  <c r="AL677" i="3"/>
  <c r="AG677" i="3"/>
  <c r="AT677" i="3"/>
  <c r="AW676" i="3"/>
  <c r="AR1235" i="3"/>
  <c r="AR395" i="3" s="1"/>
  <c r="AO677" i="3"/>
  <c r="AP676" i="3"/>
  <c r="AH1797" i="3"/>
  <c r="AH2077" i="3"/>
  <c r="AH957" i="3" s="1"/>
  <c r="AH1517" i="3"/>
  <c r="AF1797" i="3"/>
  <c r="AF1517" i="3"/>
  <c r="AF2077" i="3"/>
  <c r="AF957" i="3" s="1"/>
  <c r="AF1796" i="3"/>
  <c r="AF1516" i="3"/>
  <c r="AF2076" i="3"/>
  <c r="AF956" i="3" s="1"/>
  <c r="AU1796" i="3"/>
  <c r="AU1516" i="3"/>
  <c r="AU2076" i="3"/>
  <c r="AU956" i="3" s="1"/>
  <c r="AE1796" i="3"/>
  <c r="AE1516" i="3"/>
  <c r="AE2076" i="3"/>
  <c r="AE956" i="3" s="1"/>
  <c r="AX675" i="3"/>
  <c r="AX1795" i="3"/>
  <c r="AX1515" i="3"/>
  <c r="AX2075" i="3"/>
  <c r="AJ1797" i="3"/>
  <c r="AJ1517" i="3"/>
  <c r="AJ2077" i="3"/>
  <c r="AJ957" i="3" s="1"/>
  <c r="AJ1796" i="3"/>
  <c r="AJ1516" i="3"/>
  <c r="AJ2076" i="3"/>
  <c r="AJ956" i="3" s="1"/>
  <c r="AW677" i="3"/>
  <c r="AK1797" i="3"/>
  <c r="AK1517" i="3"/>
  <c r="AK2077" i="3"/>
  <c r="AK957" i="3" s="1"/>
  <c r="AH1796" i="3"/>
  <c r="AH1516" i="3"/>
  <c r="AH2076" i="3"/>
  <c r="AH956" i="3" s="1"/>
  <c r="AK1796" i="3"/>
  <c r="AK1516" i="3"/>
  <c r="AK2076" i="3"/>
  <c r="AK956" i="3" s="1"/>
  <c r="AQ676" i="3"/>
  <c r="AV676" i="3"/>
  <c r="AM1797" i="3"/>
  <c r="AM1517" i="3"/>
  <c r="AM2077" i="3"/>
  <c r="AM957" i="3" s="1"/>
  <c r="AU1797" i="3"/>
  <c r="AU1517" i="3"/>
  <c r="AU2077" i="3"/>
  <c r="AU957" i="3" s="1"/>
  <c r="AP1797" i="3"/>
  <c r="AP1517" i="3"/>
  <c r="AP2077" i="3"/>
  <c r="AP957" i="3" s="1"/>
  <c r="AL1796" i="3"/>
  <c r="AL2076" i="3"/>
  <c r="AL956" i="3" s="1"/>
  <c r="AL1516" i="3"/>
  <c r="AU676" i="3"/>
  <c r="AL1235" i="3"/>
  <c r="AL395" i="3" s="1"/>
  <c r="AQ677" i="3"/>
  <c r="AJ677" i="3"/>
  <c r="AO676" i="3"/>
  <c r="AJ676" i="3"/>
  <c r="AR676" i="3"/>
  <c r="AH1235" i="3"/>
  <c r="AH395" i="3" s="1"/>
  <c r="AL1797" i="3"/>
  <c r="AL2077" i="3"/>
  <c r="AL957" i="3" s="1"/>
  <c r="AL1517" i="3"/>
  <c r="AG1797" i="3"/>
  <c r="AG1517" i="3"/>
  <c r="AG2077" i="3"/>
  <c r="AG957" i="3" s="1"/>
  <c r="AT1797" i="3"/>
  <c r="AT1517" i="3"/>
  <c r="AT2077" i="3"/>
  <c r="AT957" i="3" s="1"/>
  <c r="AW1796" i="3"/>
  <c r="AW1516" i="3"/>
  <c r="AW2076" i="3"/>
  <c r="AW956" i="3" s="1"/>
  <c r="AO1797" i="3"/>
  <c r="AO1517" i="3"/>
  <c r="AO2077" i="3"/>
  <c r="AO957" i="3" s="1"/>
  <c r="AI1795" i="3"/>
  <c r="AI2075" i="3"/>
  <c r="AI1515" i="3"/>
  <c r="AP1796" i="3"/>
  <c r="AP2076" i="3"/>
  <c r="AP956" i="3" s="1"/>
  <c r="AP1516" i="3"/>
  <c r="AK677" i="3"/>
  <c r="AE677" i="3"/>
  <c r="AH676" i="3"/>
  <c r="AK676" i="3"/>
  <c r="AT676" i="3"/>
  <c r="AU1932" i="3"/>
  <c r="AU1652" i="3"/>
  <c r="AU2212" i="3"/>
  <c r="AU1092" i="3" s="1"/>
  <c r="AL813" i="3"/>
  <c r="AV1371" i="3"/>
  <c r="AV531" i="3" s="1"/>
  <c r="AW813" i="3"/>
  <c r="AJ1371" i="3"/>
  <c r="AJ531" i="3" s="1"/>
  <c r="AK1932" i="3"/>
  <c r="AK1652" i="3"/>
  <c r="AK2212" i="3"/>
  <c r="AK1092" i="3" s="1"/>
  <c r="AH1932" i="3"/>
  <c r="AH1652" i="3"/>
  <c r="AH2212" i="3"/>
  <c r="AH1092" i="3" s="1"/>
  <c r="AG1932" i="3"/>
  <c r="AG1652" i="3"/>
  <c r="AG1372" i="3" s="1"/>
  <c r="AG2212" i="3"/>
  <c r="AG1092" i="3" s="1"/>
  <c r="AG813" i="3"/>
  <c r="AM813" i="3"/>
  <c r="AE1371" i="3"/>
  <c r="AE531" i="3" s="1"/>
  <c r="AS811" i="3"/>
  <c r="AI811" i="3"/>
  <c r="AX811" i="3"/>
  <c r="AR1932" i="3"/>
  <c r="AR2212" i="3"/>
  <c r="AR1092" i="3" s="1"/>
  <c r="AR1652" i="3"/>
  <c r="AF1932" i="3"/>
  <c r="AF1652" i="3"/>
  <c r="AF2212" i="3"/>
  <c r="AF1092" i="3" s="1"/>
  <c r="AL1932" i="3"/>
  <c r="AL2212" i="3"/>
  <c r="AL1092" i="3" s="1"/>
  <c r="AL1652" i="3"/>
  <c r="AQ1932" i="3"/>
  <c r="AQ1652" i="3"/>
  <c r="AQ2212" i="3"/>
  <c r="AQ1092" i="3" s="1"/>
  <c r="AR1371" i="3"/>
  <c r="AR531" i="3" s="1"/>
  <c r="AO1371" i="3"/>
  <c r="AO531" i="3" s="1"/>
  <c r="AG1933" i="3"/>
  <c r="AG2213" i="3"/>
  <c r="AG1093" i="3" s="1"/>
  <c r="AG1653" i="3"/>
  <c r="AL1933" i="3"/>
  <c r="AL1653" i="3"/>
  <c r="AL2213" i="3"/>
  <c r="AL1093" i="3" s="1"/>
  <c r="AM1933" i="3"/>
  <c r="AM1653" i="3"/>
  <c r="AM2213" i="3"/>
  <c r="AM1093" i="3" s="1"/>
  <c r="AE1933" i="3"/>
  <c r="AE2213" i="3"/>
  <c r="AE1093" i="3" s="1"/>
  <c r="AE1653" i="3"/>
  <c r="AI1931" i="3"/>
  <c r="AI1651" i="3"/>
  <c r="AI2211" i="3"/>
  <c r="AK1371" i="3"/>
  <c r="AK531" i="3" s="1"/>
  <c r="AW1933" i="3"/>
  <c r="AW1653" i="3"/>
  <c r="AW2213" i="3"/>
  <c r="AW1093" i="3" s="1"/>
  <c r="AO1933" i="3"/>
  <c r="AO1653" i="3"/>
  <c r="AO2213" i="3"/>
  <c r="AO1093" i="3" s="1"/>
  <c r="AX1931" i="3"/>
  <c r="AX1651" i="3"/>
  <c r="AX2211" i="3"/>
  <c r="AF1933" i="3"/>
  <c r="AF2213" i="3"/>
  <c r="AF1093" i="3" s="1"/>
  <c r="AF1653" i="3"/>
  <c r="AT1932" i="3"/>
  <c r="AT1652" i="3"/>
  <c r="AT2212" i="3"/>
  <c r="AT1092" i="3" s="1"/>
  <c r="AJ1932" i="3"/>
  <c r="AJ2212" i="3"/>
  <c r="AJ1092" i="3" s="1"/>
  <c r="AJ1652" i="3"/>
  <c r="AV1932" i="3"/>
  <c r="AV1652" i="3"/>
  <c r="AV2212" i="3"/>
  <c r="AV1092" i="3" s="1"/>
  <c r="AE1932" i="3"/>
  <c r="AE1652" i="3"/>
  <c r="AE2212" i="3"/>
  <c r="AE1092" i="3" s="1"/>
  <c r="AP1932" i="3"/>
  <c r="AP1652" i="3"/>
  <c r="AP2212" i="3"/>
  <c r="AP1092" i="3" s="1"/>
  <c r="AT813" i="3"/>
  <c r="AR813" i="3"/>
  <c r="AP813" i="3"/>
  <c r="AQ813" i="3"/>
  <c r="AN811" i="3"/>
  <c r="AM1932" i="3"/>
  <c r="AM2212" i="3"/>
  <c r="AM1092" i="3" s="1"/>
  <c r="AM1652" i="3"/>
  <c r="AW1932" i="3"/>
  <c r="AW1652" i="3"/>
  <c r="AW2212" i="3"/>
  <c r="AW1092" i="3" s="1"/>
  <c r="AO1932" i="3"/>
  <c r="AO1652" i="3"/>
  <c r="AO2212" i="3"/>
  <c r="AO1092" i="3" s="1"/>
  <c r="AL1371" i="3"/>
  <c r="AL531" i="3" s="1"/>
  <c r="AJ1933" i="3"/>
  <c r="AJ1653" i="3"/>
  <c r="AJ2213" i="3"/>
  <c r="AJ1093" i="3" s="1"/>
  <c r="AV1933" i="3"/>
  <c r="AV1653" i="3"/>
  <c r="AV2213" i="3"/>
  <c r="AV1093" i="3" s="1"/>
  <c r="AT531" i="3"/>
  <c r="AT1933" i="3"/>
  <c r="AT1653" i="3"/>
  <c r="AT2213" i="3"/>
  <c r="AT1093" i="3" s="1"/>
  <c r="AH1933" i="3"/>
  <c r="AH2213" i="3"/>
  <c r="AH1093" i="3" s="1"/>
  <c r="AH1653" i="3"/>
  <c r="AU1371" i="3"/>
  <c r="AU531" i="3" s="1"/>
  <c r="AS1931" i="3"/>
  <c r="AS1651" i="3"/>
  <c r="AS2211" i="3"/>
  <c r="AR1933" i="3"/>
  <c r="AR1653" i="3"/>
  <c r="AR2213" i="3"/>
  <c r="AR1093" i="3" s="1"/>
  <c r="AK1933" i="3"/>
  <c r="AK1653" i="3"/>
  <c r="AK2213" i="3"/>
  <c r="AK1093" i="3" s="1"/>
  <c r="AP1933" i="3"/>
  <c r="AP1653" i="3"/>
  <c r="AP2213" i="3"/>
  <c r="AP1093" i="3" s="1"/>
  <c r="AN1931" i="3"/>
  <c r="AN1651" i="3"/>
  <c r="AN2211" i="3"/>
  <c r="AQ1933" i="3"/>
  <c r="AQ1653" i="3"/>
  <c r="AQ2213" i="3"/>
  <c r="AQ1093" i="3" s="1"/>
  <c r="AU1933" i="3"/>
  <c r="AU1653" i="3"/>
  <c r="AU2213" i="3"/>
  <c r="AU1093" i="3" s="1"/>
  <c r="AI683" i="3"/>
  <c r="AG1804" i="3"/>
  <c r="AG1524" i="3"/>
  <c r="AG2084" i="3"/>
  <c r="AG964" i="3" s="1"/>
  <c r="AP1804" i="3"/>
  <c r="AP1524" i="3"/>
  <c r="AP2084" i="3"/>
  <c r="AP964" i="3" s="1"/>
  <c r="AU1804" i="3"/>
  <c r="AU1524" i="3"/>
  <c r="AU2084" i="3"/>
  <c r="AU964" i="3" s="1"/>
  <c r="AR1804" i="3"/>
  <c r="AR2084" i="3"/>
  <c r="AR964" i="3" s="1"/>
  <c r="AR1524" i="3"/>
  <c r="AV1805" i="3"/>
  <c r="AV1525" i="3"/>
  <c r="AV2085" i="3"/>
  <c r="AV965" i="3" s="1"/>
  <c r="AT1805" i="3"/>
  <c r="AT1525" i="3"/>
  <c r="AT2085" i="3"/>
  <c r="AT965" i="3" s="1"/>
  <c r="AH1805" i="3"/>
  <c r="AH1525" i="3"/>
  <c r="AH2085" i="3"/>
  <c r="AH965" i="3" s="1"/>
  <c r="AW1804" i="3"/>
  <c r="AW1524" i="3"/>
  <c r="AW2084" i="3"/>
  <c r="AW964" i="3" s="1"/>
  <c r="AJ1804" i="3"/>
  <c r="AJ1524" i="3"/>
  <c r="AJ2084" i="3"/>
  <c r="AJ964" i="3" s="1"/>
  <c r="AW1805" i="3"/>
  <c r="AW1525" i="3"/>
  <c r="AW1245" i="3" s="1"/>
  <c r="AW2085" i="3"/>
  <c r="AW965" i="3" s="1"/>
  <c r="AK403" i="3"/>
  <c r="AX683" i="3"/>
  <c r="AX973" i="3"/>
  <c r="AX413" i="3" s="1"/>
  <c r="AH41" i="3"/>
  <c r="AO1243" i="3"/>
  <c r="AO403" i="3" s="1"/>
  <c r="AP1243" i="3"/>
  <c r="AP403" i="3" s="1"/>
  <c r="AH684" i="3"/>
  <c r="AL684" i="3"/>
  <c r="AV684" i="3"/>
  <c r="AM685" i="3"/>
  <c r="AF685" i="3"/>
  <c r="AL685" i="3"/>
  <c r="AH1243" i="3"/>
  <c r="AH403" i="3" s="1"/>
  <c r="AW1243" i="3"/>
  <c r="AW403" i="3" s="1"/>
  <c r="AE684" i="3"/>
  <c r="AE685" i="3"/>
  <c r="AP685" i="3"/>
  <c r="AU1243" i="3"/>
  <c r="AU403" i="3" s="1"/>
  <c r="AK1804" i="3"/>
  <c r="AK1524" i="3"/>
  <c r="AK2084" i="3"/>
  <c r="AK964" i="3" s="1"/>
  <c r="AV1243" i="3"/>
  <c r="AV403" i="3" s="1"/>
  <c r="AF1243" i="3"/>
  <c r="AF403" i="3" s="1"/>
  <c r="AT1804" i="3"/>
  <c r="AT2084" i="3"/>
  <c r="AT964" i="3" s="1"/>
  <c r="AT1524" i="3"/>
  <c r="AM1804" i="3"/>
  <c r="AM2084" i="3"/>
  <c r="AM964" i="3" s="1"/>
  <c r="AM1524" i="3"/>
  <c r="AX1803" i="3"/>
  <c r="AX2083" i="3"/>
  <c r="AX1523" i="3"/>
  <c r="AG1805" i="3"/>
  <c r="AG1525" i="3"/>
  <c r="AG2085" i="3"/>
  <c r="AG965" i="3" s="1"/>
  <c r="AJ1805" i="3"/>
  <c r="AJ2085" i="3"/>
  <c r="AJ965" i="3" s="1"/>
  <c r="AJ1525" i="3"/>
  <c r="AO1805" i="3"/>
  <c r="AO1525" i="3"/>
  <c r="AO2085" i="3"/>
  <c r="AO965" i="3" s="1"/>
  <c r="AN973" i="3"/>
  <c r="AN413" i="3" s="1"/>
  <c r="AQ1243" i="3"/>
  <c r="AQ403" i="3" s="1"/>
  <c r="AN1803" i="3"/>
  <c r="AN2083" i="3"/>
  <c r="AN963" i="3" s="1"/>
  <c r="AN1523" i="3"/>
  <c r="AH1804" i="3"/>
  <c r="AH1524" i="3"/>
  <c r="AH2084" i="3"/>
  <c r="AH964" i="3" s="1"/>
  <c r="AL1804" i="3"/>
  <c r="AL2084" i="3"/>
  <c r="AL964" i="3" s="1"/>
  <c r="AL1524" i="3"/>
  <c r="AV1804" i="3"/>
  <c r="AV2084" i="3"/>
  <c r="AV964" i="3" s="1"/>
  <c r="AV1524" i="3"/>
  <c r="AI1803" i="3"/>
  <c r="AI1523" i="3"/>
  <c r="AI2083" i="3"/>
  <c r="AM1805" i="3"/>
  <c r="AM1525" i="3"/>
  <c r="AM2085" i="3"/>
  <c r="AM965" i="3" s="1"/>
  <c r="AF1805" i="3"/>
  <c r="AF2085" i="3"/>
  <c r="AF965" i="3" s="1"/>
  <c r="AF1525" i="3"/>
  <c r="AL1805" i="3"/>
  <c r="AL2085" i="3"/>
  <c r="AL965" i="3" s="1"/>
  <c r="AL1525" i="3"/>
  <c r="AR1243" i="3"/>
  <c r="AR403" i="3" s="1"/>
  <c r="AE1804" i="3"/>
  <c r="AE2084" i="3"/>
  <c r="AE964" i="3" s="1"/>
  <c r="AE1524" i="3"/>
  <c r="AE1805" i="3"/>
  <c r="AE1525" i="3"/>
  <c r="AE2085" i="3"/>
  <c r="AE965" i="3" s="1"/>
  <c r="AP1805" i="3"/>
  <c r="AP2085" i="3"/>
  <c r="AP965" i="3" s="1"/>
  <c r="AP1525" i="3"/>
  <c r="AE1243" i="3"/>
  <c r="AE403" i="3" s="1"/>
  <c r="AQ684" i="3"/>
  <c r="AJ1243" i="3"/>
  <c r="AJ403" i="3" s="1"/>
  <c r="AO684" i="3"/>
  <c r="AF684" i="3"/>
  <c r="AQ685" i="3"/>
  <c r="AK685" i="3"/>
  <c r="AU685" i="3"/>
  <c r="AR685" i="3"/>
  <c r="AL686" i="3"/>
  <c r="AI973" i="3"/>
  <c r="AI413" i="3" s="1"/>
  <c r="AN683" i="3"/>
  <c r="AS683" i="3"/>
  <c r="AS973" i="3"/>
  <c r="AS413" i="3" s="1"/>
  <c r="AL403" i="3"/>
  <c r="AG684" i="3"/>
  <c r="AP684" i="3"/>
  <c r="AU684" i="3"/>
  <c r="AR684" i="3"/>
  <c r="AV685" i="3"/>
  <c r="AT685" i="3"/>
  <c r="AH685" i="3"/>
  <c r="AG403" i="3"/>
  <c r="AS1803" i="3"/>
  <c r="AS1523" i="3"/>
  <c r="AS2083" i="3"/>
  <c r="AS963" i="3" s="1"/>
  <c r="AT403" i="3"/>
  <c r="AW684" i="3"/>
  <c r="AJ684" i="3"/>
  <c r="AW685" i="3"/>
  <c r="AQ1804" i="3"/>
  <c r="AQ2084" i="3"/>
  <c r="AQ964" i="3" s="1"/>
  <c r="AQ1524" i="3"/>
  <c r="AO1804" i="3"/>
  <c r="AO2084" i="3"/>
  <c r="AO964" i="3" s="1"/>
  <c r="AO1524" i="3"/>
  <c r="AF1804" i="3"/>
  <c r="AF1524" i="3"/>
  <c r="AF2084" i="3"/>
  <c r="AF964" i="3" s="1"/>
  <c r="AQ1805" i="3"/>
  <c r="AQ1525" i="3"/>
  <c r="AQ2085" i="3"/>
  <c r="AQ965" i="3" s="1"/>
  <c r="AK1805" i="3"/>
  <c r="AK2085" i="3"/>
  <c r="AK965" i="3" s="1"/>
  <c r="AK1525" i="3"/>
  <c r="AU1805" i="3"/>
  <c r="AU2085" i="3"/>
  <c r="AU965" i="3" s="1"/>
  <c r="AU1525" i="3"/>
  <c r="AR1805" i="3"/>
  <c r="AR1525" i="3"/>
  <c r="AR2085" i="3"/>
  <c r="AR965" i="3" s="1"/>
  <c r="AL647" i="3"/>
  <c r="AL1205" i="3"/>
  <c r="AL365" i="3" s="1"/>
  <c r="AQ1205" i="3"/>
  <c r="AQ365" i="3" s="1"/>
  <c r="AP365" i="3"/>
  <c r="AO32" i="5"/>
  <c r="AO31" i="5"/>
  <c r="AO30" i="5"/>
  <c r="AK31" i="5"/>
  <c r="AK32" i="5"/>
  <c r="AK30" i="5"/>
  <c r="AV31" i="5"/>
  <c r="AV32" i="5"/>
  <c r="AV30" i="5"/>
  <c r="AJ39" i="5"/>
  <c r="AJ40" i="5"/>
  <c r="AJ38" i="5"/>
  <c r="AH31" i="5"/>
  <c r="AH32" i="5"/>
  <c r="AH30" i="5"/>
  <c r="AL1766" i="3"/>
  <c r="AL2046" i="3"/>
  <c r="AL926" i="3" s="1"/>
  <c r="AL1486" i="3"/>
  <c r="AL14" i="5"/>
  <c r="AL15" i="5"/>
  <c r="AL16" i="5"/>
  <c r="AM1767" i="3"/>
  <c r="AM1487" i="3"/>
  <c r="AM2047" i="3"/>
  <c r="AM927" i="3" s="1"/>
  <c r="AU646" i="3"/>
  <c r="AU24" i="5"/>
  <c r="AU22" i="5"/>
  <c r="AU23" i="5"/>
  <c r="AR31" i="5"/>
  <c r="AR32" i="5"/>
  <c r="AR30" i="5"/>
  <c r="AI935" i="3"/>
  <c r="AI375" i="3" s="1"/>
  <c r="AN645" i="3"/>
  <c r="AE31" i="5"/>
  <c r="AE30" i="5"/>
  <c r="AE32" i="5"/>
  <c r="AW31" i="5"/>
  <c r="AW30" i="5"/>
  <c r="AW32" i="5"/>
  <c r="AW38" i="5"/>
  <c r="AW39" i="5"/>
  <c r="AW40" i="5"/>
  <c r="AL39" i="5"/>
  <c r="AL40" i="5"/>
  <c r="AL38" i="5"/>
  <c r="AR40" i="5"/>
  <c r="AR38" i="5"/>
  <c r="AR39" i="5"/>
  <c r="AV38" i="5"/>
  <c r="AV39" i="5"/>
  <c r="AV40" i="5"/>
  <c r="AT1766" i="3"/>
  <c r="AT2046" i="3"/>
  <c r="AT926" i="3" s="1"/>
  <c r="AT1486" i="3"/>
  <c r="AT16" i="5"/>
  <c r="AT14" i="5"/>
  <c r="AT15" i="5"/>
  <c r="AS935" i="3"/>
  <c r="AS375" i="3" s="1"/>
  <c r="AK1766" i="3"/>
  <c r="AK1486" i="3"/>
  <c r="AK2046" i="3"/>
  <c r="AK926" i="3" s="1"/>
  <c r="AK15" i="5"/>
  <c r="AK14" i="5"/>
  <c r="AK16" i="5"/>
  <c r="AM1205" i="3"/>
  <c r="AM365" i="3" s="1"/>
  <c r="AU1767" i="3"/>
  <c r="AU1487" i="3"/>
  <c r="AU2047" i="3"/>
  <c r="AU927" i="3" s="1"/>
  <c r="AG1767" i="3"/>
  <c r="AG2047" i="3"/>
  <c r="AG927" i="3" s="1"/>
  <c r="AG1487" i="3"/>
  <c r="AW1767" i="3"/>
  <c r="AW1487" i="3"/>
  <c r="AW2047" i="3"/>
  <c r="AW927" i="3" s="1"/>
  <c r="AK1767" i="3"/>
  <c r="AK1487" i="3"/>
  <c r="AK2047" i="3"/>
  <c r="AK927" i="3" s="1"/>
  <c r="AE1767" i="3"/>
  <c r="AE1487" i="3"/>
  <c r="AE2047" i="3"/>
  <c r="AE927" i="3" s="1"/>
  <c r="AX1765" i="3"/>
  <c r="AX1485" i="3"/>
  <c r="AX2045" i="3"/>
  <c r="AX7" i="5"/>
  <c r="AX13" i="5"/>
  <c r="AJ1205" i="3"/>
  <c r="AJ365" i="3" s="1"/>
  <c r="AH647" i="3"/>
  <c r="AU1205" i="3"/>
  <c r="AU365" i="3" s="1"/>
  <c r="AE646" i="3"/>
  <c r="AE23" i="5"/>
  <c r="AE24" i="5"/>
  <c r="AE22" i="5"/>
  <c r="AL646" i="3"/>
  <c r="AL24" i="5"/>
  <c r="AL22" i="5"/>
  <c r="AL23" i="5"/>
  <c r="AW646" i="3"/>
  <c r="AW23" i="5"/>
  <c r="AW24" i="5"/>
  <c r="AW22" i="5"/>
  <c r="AS21" i="5"/>
  <c r="AS8" i="5"/>
  <c r="AO365" i="3"/>
  <c r="AQ1767" i="3"/>
  <c r="AQ1487" i="3"/>
  <c r="AQ2047" i="3"/>
  <c r="AQ927" i="3" s="1"/>
  <c r="AH1766" i="3"/>
  <c r="AH1486" i="3"/>
  <c r="AH2046" i="3"/>
  <c r="AH926" i="3" s="1"/>
  <c r="AH15" i="5"/>
  <c r="AH16" i="5"/>
  <c r="AH14" i="5"/>
  <c r="AV647" i="3"/>
  <c r="AM647" i="3"/>
  <c r="AP1766" i="3"/>
  <c r="AP1486" i="3"/>
  <c r="AP2046" i="3"/>
  <c r="AP926" i="3" s="1"/>
  <c r="AP16" i="5"/>
  <c r="AP14" i="5"/>
  <c r="AP15" i="5"/>
  <c r="AF1205" i="3"/>
  <c r="AF365" i="3" s="1"/>
  <c r="AI8" i="5"/>
  <c r="AI21" i="5"/>
  <c r="AF40" i="5"/>
  <c r="AF38" i="5"/>
  <c r="AF39" i="5"/>
  <c r="AG39" i="5"/>
  <c r="AG40" i="5"/>
  <c r="AG38" i="5"/>
  <c r="AI645" i="3"/>
  <c r="AR1766" i="3"/>
  <c r="AR1486" i="3"/>
  <c r="AR2046" i="3"/>
  <c r="AR926" i="3" s="1"/>
  <c r="AR16" i="5"/>
  <c r="AR15" i="5"/>
  <c r="AR14" i="5"/>
  <c r="AG1766" i="3"/>
  <c r="AG1486" i="3"/>
  <c r="AG2046" i="3"/>
  <c r="AG926" i="3" s="1"/>
  <c r="AG16" i="5"/>
  <c r="AG15" i="5"/>
  <c r="AG14" i="5"/>
  <c r="AE1766" i="3"/>
  <c r="AE1486" i="3"/>
  <c r="AE2046" i="3"/>
  <c r="AE926" i="3" s="1"/>
  <c r="AE16" i="5"/>
  <c r="AE14" i="5"/>
  <c r="AE15" i="5"/>
  <c r="AS1765" i="3"/>
  <c r="AS1485" i="3"/>
  <c r="AS2045" i="3"/>
  <c r="AS13" i="5"/>
  <c r="AS7" i="5"/>
  <c r="AT25" i="5"/>
  <c r="AT26" i="5"/>
  <c r="AP30" i="5"/>
  <c r="AP32" i="5"/>
  <c r="AP31" i="5"/>
  <c r="AG32" i="5"/>
  <c r="AG30" i="5"/>
  <c r="AG31" i="5"/>
  <c r="AQ31" i="5"/>
  <c r="AQ30" i="5"/>
  <c r="AQ32" i="5"/>
  <c r="AL30" i="5"/>
  <c r="AL32" i="5"/>
  <c r="AL31" i="5"/>
  <c r="AM31" i="5"/>
  <c r="AM30" i="5"/>
  <c r="AM32" i="5"/>
  <c r="AP39" i="5"/>
  <c r="AP40" i="5"/>
  <c r="AP38" i="5"/>
  <c r="AU40" i="5"/>
  <c r="AU38" i="5"/>
  <c r="AU39" i="5"/>
  <c r="AQ38" i="5"/>
  <c r="AQ39" i="5"/>
  <c r="AQ40" i="5"/>
  <c r="AK39" i="5"/>
  <c r="AK40" i="5"/>
  <c r="AK38" i="5"/>
  <c r="AJ30" i="5"/>
  <c r="AJ32" i="5"/>
  <c r="AJ31" i="5"/>
  <c r="AO1766" i="3"/>
  <c r="AO1486" i="3"/>
  <c r="AO2046" i="3"/>
  <c r="AO926" i="3" s="1"/>
  <c r="AO15" i="5"/>
  <c r="AO14" i="5"/>
  <c r="AO16" i="5"/>
  <c r="AF1766" i="3"/>
  <c r="AF1486" i="3"/>
  <c r="AF2046" i="3"/>
  <c r="AF926" i="3" s="1"/>
  <c r="AF16" i="5"/>
  <c r="AF14" i="5"/>
  <c r="AF15" i="5"/>
  <c r="AK365" i="3"/>
  <c r="AH1205" i="3"/>
  <c r="AH365" i="3" s="1"/>
  <c r="AF1767" i="3"/>
  <c r="AF1487" i="3"/>
  <c r="AF2047" i="3"/>
  <c r="AF927" i="3" s="1"/>
  <c r="AR1767" i="3"/>
  <c r="AR2047" i="3"/>
  <c r="AR927" i="3" s="1"/>
  <c r="AR1487" i="3"/>
  <c r="AP1767" i="3"/>
  <c r="AP1487" i="3"/>
  <c r="AP2047" i="3"/>
  <c r="AP927" i="3" s="1"/>
  <c r="AT1767" i="3"/>
  <c r="AT2047" i="3"/>
  <c r="AT927" i="3" s="1"/>
  <c r="AT1487" i="3"/>
  <c r="AL1767" i="3"/>
  <c r="AL1487" i="3"/>
  <c r="AL2047" i="3"/>
  <c r="AL927" i="3" s="1"/>
  <c r="AG646" i="3"/>
  <c r="AK646" i="3"/>
  <c r="AQ1766" i="3"/>
  <c r="AQ2046" i="3"/>
  <c r="AQ926" i="3" s="1"/>
  <c r="AQ1486" i="3"/>
  <c r="AQ15" i="5"/>
  <c r="AQ16" i="5"/>
  <c r="AQ14" i="5"/>
  <c r="AV646" i="3"/>
  <c r="AV24" i="5"/>
  <c r="AV23" i="5"/>
  <c r="AV22" i="5"/>
  <c r="AM646" i="3"/>
  <c r="AM24" i="5"/>
  <c r="AM22" i="5"/>
  <c r="AM23" i="5"/>
  <c r="AO25" i="5"/>
  <c r="AO26" i="5"/>
  <c r="AO647" i="3"/>
  <c r="AJ647" i="3"/>
  <c r="AN1765" i="3"/>
  <c r="AN1485" i="3"/>
  <c r="AN2045" i="3"/>
  <c r="AN13" i="5"/>
  <c r="AN7" i="5"/>
  <c r="AR646" i="3"/>
  <c r="AO646" i="3"/>
  <c r="AU1766" i="3"/>
  <c r="AU1486" i="3"/>
  <c r="AU2046" i="3"/>
  <c r="AU926" i="3" s="1"/>
  <c r="AU16" i="5"/>
  <c r="AU14" i="5"/>
  <c r="AU15" i="5"/>
  <c r="AG25" i="5"/>
  <c r="AG26" i="5"/>
  <c r="AJ646" i="3"/>
  <c r="AJ23" i="5"/>
  <c r="AJ22" i="5"/>
  <c r="AJ24" i="5"/>
  <c r="AI937" i="3"/>
  <c r="AI377" i="3" s="1"/>
  <c r="AM38" i="5"/>
  <c r="AM39" i="5"/>
  <c r="AM40" i="5"/>
  <c r="AO39" i="5"/>
  <c r="AO40" i="5"/>
  <c r="AO38" i="5"/>
  <c r="AX645" i="3"/>
  <c r="AH1767" i="3"/>
  <c r="AH1487" i="3"/>
  <c r="AH2047" i="3"/>
  <c r="AH927" i="3" s="1"/>
  <c r="AQ646" i="3"/>
  <c r="AQ24" i="5"/>
  <c r="AQ22" i="5"/>
  <c r="AQ23" i="5"/>
  <c r="AW1766" i="3"/>
  <c r="AW1486" i="3"/>
  <c r="AW2046" i="3"/>
  <c r="AW926" i="3" s="1"/>
  <c r="AW15" i="5"/>
  <c r="AW16" i="5"/>
  <c r="AW14" i="5"/>
  <c r="AV1767" i="3"/>
  <c r="AV1487" i="3"/>
  <c r="AV2047" i="3"/>
  <c r="AV927" i="3" s="1"/>
  <c r="AN21" i="5"/>
  <c r="AN8" i="5"/>
  <c r="AI1765" i="3"/>
  <c r="AI1485" i="3"/>
  <c r="AI2045" i="3"/>
  <c r="AI7" i="5"/>
  <c r="AI13" i="5"/>
  <c r="AX24" i="5"/>
  <c r="AX23" i="5"/>
  <c r="AX22" i="5"/>
  <c r="AT31" i="5"/>
  <c r="AT30" i="5"/>
  <c r="AT32" i="5"/>
  <c r="AU31" i="5"/>
  <c r="AU32" i="5"/>
  <c r="AU30" i="5"/>
  <c r="AF31" i="5"/>
  <c r="AF30" i="5"/>
  <c r="AF32" i="5"/>
  <c r="AS645" i="3"/>
  <c r="AT39" i="5"/>
  <c r="AT40" i="5"/>
  <c r="AT38" i="5"/>
  <c r="AH39" i="5"/>
  <c r="AH40" i="5"/>
  <c r="AH38" i="5"/>
  <c r="AE38" i="5"/>
  <c r="AE39" i="5"/>
  <c r="AE40" i="5"/>
  <c r="AW1205" i="3"/>
  <c r="AW365" i="3" s="1"/>
  <c r="AR26" i="5"/>
  <c r="AR25" i="5"/>
  <c r="AG647" i="3"/>
  <c r="AW647" i="3"/>
  <c r="AK647" i="3"/>
  <c r="AE647" i="3"/>
  <c r="AX21" i="5"/>
  <c r="AX8" i="5"/>
  <c r="AK26" i="5"/>
  <c r="AK25" i="5"/>
  <c r="AV1766" i="3"/>
  <c r="AV2046" i="3"/>
  <c r="AV926" i="3" s="1"/>
  <c r="AV1486" i="3"/>
  <c r="AV14" i="5"/>
  <c r="AV16" i="5"/>
  <c r="AV15" i="5"/>
  <c r="AM1766" i="3"/>
  <c r="AM1486" i="3"/>
  <c r="AM2046" i="3"/>
  <c r="AM926" i="3" s="1"/>
  <c r="AM16" i="5"/>
  <c r="AM15" i="5"/>
  <c r="AM14" i="5"/>
  <c r="AQ647" i="3"/>
  <c r="AH646" i="3"/>
  <c r="AH24" i="5"/>
  <c r="AH23" i="5"/>
  <c r="AH22" i="5"/>
  <c r="AF25" i="5"/>
  <c r="AF26" i="5"/>
  <c r="AR1205" i="3"/>
  <c r="AR365" i="3" s="1"/>
  <c r="AO1767" i="3"/>
  <c r="AO1487" i="3"/>
  <c r="AO2047" i="3"/>
  <c r="AO927" i="3" s="1"/>
  <c r="AJ1767" i="3"/>
  <c r="AJ1487" i="3"/>
  <c r="AJ2047" i="3"/>
  <c r="AJ927" i="3" s="1"/>
  <c r="AP646" i="3"/>
  <c r="AP23" i="5"/>
  <c r="AP22" i="5"/>
  <c r="AP24" i="5"/>
  <c r="AT1205" i="3"/>
  <c r="AT365" i="3" s="1"/>
  <c r="AJ1766" i="3"/>
  <c r="AJ1486" i="3"/>
  <c r="AJ2046" i="3"/>
  <c r="AJ926" i="3" s="1"/>
  <c r="AJ15" i="5"/>
  <c r="AJ16" i="5"/>
  <c r="AJ14" i="5"/>
  <c r="W41" i="3"/>
  <c r="AT41" i="3"/>
  <c r="J35" i="5"/>
  <c r="Q31" i="3"/>
  <c r="Q93" i="3" s="1"/>
  <c r="Q98" i="3" s="1"/>
  <c r="AS39" i="3"/>
  <c r="X41" i="3"/>
  <c r="K41" i="3"/>
  <c r="Z31" i="3"/>
  <c r="Z93" i="3" s="1"/>
  <c r="Z98" i="3" s="1"/>
  <c r="J40" i="3"/>
  <c r="N32" i="3"/>
  <c r="N97" i="3" s="1"/>
  <c r="L41" i="3"/>
  <c r="J605" i="3"/>
  <c r="AT31" i="3"/>
  <c r="AT93" i="3" s="1"/>
  <c r="AT98" i="3" s="1"/>
  <c r="U32" i="3"/>
  <c r="U97" i="3" s="1"/>
  <c r="AV31" i="3"/>
  <c r="AU31" i="3"/>
  <c r="AU93" i="3" s="1"/>
  <c r="AU98" i="3" s="1"/>
  <c r="AL32" i="3"/>
  <c r="AL97" i="3" s="1"/>
  <c r="U41" i="3"/>
  <c r="P32" i="3"/>
  <c r="P97" i="3" s="1"/>
  <c r="AW32" i="3"/>
  <c r="AW31" i="3"/>
  <c r="AW93" i="3" s="1"/>
  <c r="AW98" i="3" s="1"/>
  <c r="Z32" i="3"/>
  <c r="AJ31" i="3"/>
  <c r="AJ93" i="3" s="1"/>
  <c r="AJ98" i="3" s="1"/>
  <c r="AA32" i="3"/>
  <c r="AA97" i="3" s="1"/>
  <c r="AT32" i="3"/>
  <c r="AV32" i="3"/>
  <c r="AV97" i="3" s="1"/>
  <c r="AU32" i="3"/>
  <c r="AU97" i="3" s="1"/>
  <c r="P31" i="3"/>
  <c r="P93" i="3" s="1"/>
  <c r="P98" i="3" s="1"/>
  <c r="AQ31" i="3"/>
  <c r="AQ32" i="3"/>
  <c r="X31" i="3"/>
  <c r="X32" i="3"/>
  <c r="L32" i="3"/>
  <c r="L31" i="3"/>
  <c r="AM31" i="3"/>
  <c r="AM32" i="3"/>
  <c r="Y27" i="3"/>
  <c r="Y28" i="3"/>
  <c r="Y11" i="3"/>
  <c r="Y104" i="3" s="1"/>
  <c r="Y29" i="3"/>
  <c r="Y30" i="3"/>
  <c r="AD27" i="3"/>
  <c r="AD11" i="3"/>
  <c r="AD104" i="3" s="1"/>
  <c r="AD28" i="3"/>
  <c r="AD29" i="3"/>
  <c r="AD30" i="3"/>
  <c r="AE32" i="3"/>
  <c r="AE31" i="3"/>
  <c r="AN39" i="3"/>
  <c r="AN40" i="3"/>
  <c r="R41" i="3"/>
  <c r="Q41" i="3"/>
  <c r="AF41" i="3"/>
  <c r="J27" i="3"/>
  <c r="J11" i="3"/>
  <c r="J104" i="3" s="1"/>
  <c r="J28" i="3"/>
  <c r="J29" i="3"/>
  <c r="J30" i="3"/>
  <c r="AC32" i="3"/>
  <c r="AC31" i="3"/>
  <c r="AB41" i="3"/>
  <c r="AR41" i="3"/>
  <c r="AO41" i="3"/>
  <c r="Z41" i="3"/>
  <c r="S41" i="3"/>
  <c r="M41" i="3"/>
  <c r="N41" i="3"/>
  <c r="AW41" i="3"/>
  <c r="AB31" i="3"/>
  <c r="AB93" i="3" s="1"/>
  <c r="AB98" i="3" s="1"/>
  <c r="AB32" i="3"/>
  <c r="AX39" i="3"/>
  <c r="AX40" i="3"/>
  <c r="Q32" i="3"/>
  <c r="U31" i="3"/>
  <c r="AH31" i="3"/>
  <c r="AH32" i="3"/>
  <c r="AJ32" i="3"/>
  <c r="AA31" i="3"/>
  <c r="K31" i="3"/>
  <c r="K32" i="3"/>
  <c r="AS27" i="3"/>
  <c r="AS11" i="3"/>
  <c r="AS104" i="3" s="1"/>
  <c r="AS28" i="3"/>
  <c r="AS29" i="3"/>
  <c r="AS30" i="3"/>
  <c r="AR32" i="3"/>
  <c r="AR31" i="3"/>
  <c r="AK32" i="3"/>
  <c r="AK31" i="3"/>
  <c r="O39" i="3"/>
  <c r="O40" i="3"/>
  <c r="AQ41" i="3"/>
  <c r="AG41" i="3"/>
  <c r="AA41" i="3"/>
  <c r="AM41" i="3"/>
  <c r="AP31" i="3"/>
  <c r="AP32" i="3"/>
  <c r="T39" i="3"/>
  <c r="T40" i="3"/>
  <c r="AU41" i="3"/>
  <c r="P41" i="3"/>
  <c r="AE41" i="3"/>
  <c r="AL41" i="3"/>
  <c r="AP41" i="3"/>
  <c r="AC41" i="3"/>
  <c r="AK41" i="3"/>
  <c r="V41" i="3"/>
  <c r="S31" i="3"/>
  <c r="S32" i="3"/>
  <c r="AI39" i="3"/>
  <c r="AI40" i="3"/>
  <c r="AS40" i="3"/>
  <c r="AL31" i="3"/>
  <c r="AN27" i="3"/>
  <c r="AN11" i="3"/>
  <c r="AN104" i="3" s="1"/>
  <c r="AN28" i="3"/>
  <c r="AN29" i="3"/>
  <c r="AN30" i="3"/>
  <c r="AX27" i="3"/>
  <c r="AX28" i="3"/>
  <c r="AX11" i="3"/>
  <c r="AX104" i="3" s="1"/>
  <c r="AX29" i="3"/>
  <c r="AX30" i="3"/>
  <c r="AV605" i="3"/>
  <c r="R32" i="3"/>
  <c r="R31" i="3"/>
  <c r="W32" i="3"/>
  <c r="W31" i="3"/>
  <c r="AG32" i="3"/>
  <c r="AG31" i="3"/>
  <c r="AF31" i="3"/>
  <c r="AF32" i="3"/>
  <c r="Y39" i="3"/>
  <c r="Y40" i="3"/>
  <c r="AD40" i="3"/>
  <c r="AD39" i="3"/>
  <c r="AO31" i="3"/>
  <c r="AO32" i="3"/>
  <c r="V31" i="3"/>
  <c r="V32" i="3"/>
  <c r="O27" i="3"/>
  <c r="O28" i="3"/>
  <c r="O11" i="3"/>
  <c r="O104" i="3" s="1"/>
  <c r="O29" i="3"/>
  <c r="O30" i="3"/>
  <c r="J39" i="3"/>
  <c r="M32" i="3"/>
  <c r="M31" i="3"/>
  <c r="T27" i="3"/>
  <c r="T11" i="3"/>
  <c r="T104" i="3" s="1"/>
  <c r="T28" i="3"/>
  <c r="T29" i="3"/>
  <c r="T30" i="3"/>
  <c r="N31" i="3"/>
  <c r="AI27" i="3"/>
  <c r="AI11" i="3"/>
  <c r="AI104" i="3" s="1"/>
  <c r="AI28" i="3"/>
  <c r="AI29" i="3"/>
  <c r="AI30" i="3"/>
  <c r="AT1445" i="3"/>
  <c r="AT605" i="3" s="1"/>
  <c r="AM1445" i="3"/>
  <c r="AM605" i="3" s="1"/>
  <c r="AA1445" i="3"/>
  <c r="AA605" i="3" s="1"/>
  <c r="M1445" i="3"/>
  <c r="M605" i="3" s="1"/>
  <c r="AK1445" i="3"/>
  <c r="AK605" i="3" s="1"/>
  <c r="AQ1445" i="3"/>
  <c r="AQ605" i="3" s="1"/>
  <c r="AH1445" i="3"/>
  <c r="AH605" i="3" s="1"/>
  <c r="AJ1445" i="3"/>
  <c r="AJ605" i="3" s="1"/>
  <c r="AR1445" i="3"/>
  <c r="AR605" i="3" s="1"/>
  <c r="AE1445" i="3"/>
  <c r="AE605" i="3" s="1"/>
  <c r="P1445" i="3"/>
  <c r="P605" i="3" s="1"/>
  <c r="AG1445" i="3"/>
  <c r="AG605" i="3" s="1"/>
  <c r="X1445" i="3"/>
  <c r="X605" i="3" s="1"/>
  <c r="O35" i="5"/>
  <c r="AP1445" i="3"/>
  <c r="AP605" i="3" s="1"/>
  <c r="N1445" i="3"/>
  <c r="N605" i="3" s="1"/>
  <c r="L1445" i="3"/>
  <c r="L605" i="3" s="1"/>
  <c r="AB1445" i="3"/>
  <c r="AB605" i="3" s="1"/>
  <c r="AD35" i="5"/>
  <c r="AX1165" i="3"/>
  <c r="Y885" i="3"/>
  <c r="AS1165" i="3"/>
  <c r="AX885" i="3"/>
  <c r="AN1165" i="3"/>
  <c r="K1445" i="3"/>
  <c r="K605" i="3" s="1"/>
  <c r="AX2005" i="3"/>
  <c r="AX1725" i="3"/>
  <c r="AI2005" i="3"/>
  <c r="AI1725" i="3"/>
  <c r="AL1445" i="3"/>
  <c r="AL605" i="3" s="1"/>
  <c r="R1445" i="3"/>
  <c r="R605" i="3" s="1"/>
  <c r="AC1445" i="3"/>
  <c r="AC605" i="3" s="1"/>
  <c r="U1445" i="3"/>
  <c r="U605" i="3" s="1"/>
  <c r="V1445" i="3"/>
  <c r="V605" i="3" s="1"/>
  <c r="AF1445" i="3"/>
  <c r="AF605" i="3" s="1"/>
  <c r="O885" i="3"/>
  <c r="AI885" i="3"/>
  <c r="T885" i="3"/>
  <c r="O1165" i="3"/>
  <c r="Y1165" i="3"/>
  <c r="AD1165" i="3"/>
  <c r="T2005" i="3"/>
  <c r="T1725" i="3"/>
  <c r="AW1445" i="3"/>
  <c r="AW605" i="3" s="1"/>
  <c r="AD885" i="3"/>
  <c r="AD2005" i="3"/>
  <c r="AD1725" i="3"/>
  <c r="AI1165" i="3"/>
  <c r="T1165" i="3"/>
  <c r="AS885" i="3"/>
  <c r="AN885" i="3"/>
  <c r="AS2005" i="3"/>
  <c r="AS1725" i="3"/>
  <c r="Y2005" i="3"/>
  <c r="Y1725" i="3"/>
  <c r="AN2005" i="3"/>
  <c r="AN1725" i="3"/>
  <c r="T35" i="5"/>
  <c r="Y35" i="5"/>
  <c r="AU686" i="3"/>
  <c r="AP686" i="3"/>
  <c r="AF686" i="3"/>
  <c r="AW686" i="3"/>
  <c r="AG686" i="3"/>
  <c r="AO686" i="3"/>
  <c r="AE686" i="3"/>
  <c r="AV686" i="3"/>
  <c r="AQ806" i="3"/>
  <c r="AG806" i="3"/>
  <c r="AR686" i="3"/>
  <c r="AJ686" i="3"/>
  <c r="AM686" i="3"/>
  <c r="AT686" i="3"/>
  <c r="AP806" i="3"/>
  <c r="AH806" i="3"/>
  <c r="AE806" i="3"/>
  <c r="AW806" i="3"/>
  <c r="AH686" i="3"/>
  <c r="AK686" i="3"/>
  <c r="AQ686" i="3"/>
  <c r="AK938" i="3"/>
  <c r="AK378" i="3" s="1"/>
  <c r="AM938" i="3"/>
  <c r="AM378" i="3" s="1"/>
  <c r="AW938" i="3"/>
  <c r="AW378" i="3" s="1"/>
  <c r="AJ938" i="3"/>
  <c r="AJ378" i="3" s="1"/>
  <c r="AR938" i="3"/>
  <c r="AR378" i="3" s="1"/>
  <c r="AO938" i="3"/>
  <c r="AO378" i="3" s="1"/>
  <c r="AH938" i="3"/>
  <c r="AH378" i="3" s="1"/>
  <c r="AP938" i="3"/>
  <c r="AP378" i="3" s="1"/>
  <c r="AE938" i="3"/>
  <c r="AE378" i="3" s="1"/>
  <c r="AU938" i="3"/>
  <c r="AU378" i="3" s="1"/>
  <c r="AG938" i="3"/>
  <c r="AG378" i="3" s="1"/>
  <c r="AQ938" i="3"/>
  <c r="AQ378" i="3" s="1"/>
  <c r="AF938" i="3"/>
  <c r="AF378" i="3" s="1"/>
  <c r="AV938" i="3"/>
  <c r="AV378" i="3" s="1"/>
  <c r="AL938" i="3"/>
  <c r="AL378" i="3" s="1"/>
  <c r="AT938" i="3"/>
  <c r="AT378" i="3" s="1"/>
  <c r="AU806" i="3"/>
  <c r="AV806" i="3"/>
  <c r="AM806" i="3"/>
  <c r="AR806" i="3"/>
  <c r="AG976" i="3"/>
  <c r="AG416" i="3" s="1"/>
  <c r="AO976" i="3"/>
  <c r="AO416" i="3" s="1"/>
  <c r="AW976" i="3"/>
  <c r="AW416" i="3" s="1"/>
  <c r="AE976" i="3"/>
  <c r="AE416" i="3" s="1"/>
  <c r="AU976" i="3"/>
  <c r="AU416" i="3" s="1"/>
  <c r="AP976" i="3"/>
  <c r="AP416" i="3" s="1"/>
  <c r="AF976" i="3"/>
  <c r="AF416" i="3" s="1"/>
  <c r="AL976" i="3"/>
  <c r="AL416" i="3" s="1"/>
  <c r="AV976" i="3"/>
  <c r="AV416" i="3" s="1"/>
  <c r="AT976" i="3"/>
  <c r="AT416" i="3" s="1"/>
  <c r="AK976" i="3"/>
  <c r="AK416" i="3" s="1"/>
  <c r="AM976" i="3"/>
  <c r="AM416" i="3" s="1"/>
  <c r="AH976" i="3"/>
  <c r="AH416" i="3" s="1"/>
  <c r="AJ976" i="3"/>
  <c r="AJ416" i="3" s="1"/>
  <c r="AQ976" i="3"/>
  <c r="AQ416" i="3" s="1"/>
  <c r="AR976" i="3"/>
  <c r="AR416" i="3" s="1"/>
  <c r="AK806" i="3"/>
  <c r="AJ806" i="3"/>
  <c r="AT806" i="3"/>
  <c r="AL806" i="3"/>
  <c r="AO806" i="3"/>
  <c r="AF806" i="3"/>
  <c r="AP1244" i="3" l="1"/>
  <c r="AJ1372" i="3"/>
  <c r="AL1393" i="3"/>
  <c r="AO1365" i="3"/>
  <c r="AK1373" i="3"/>
  <c r="AH1244" i="3"/>
  <c r="AU1373" i="3"/>
  <c r="AU1364" i="3"/>
  <c r="AO1364" i="3"/>
  <c r="AT1206" i="3"/>
  <c r="AN1371" i="3"/>
  <c r="AV1206" i="3"/>
  <c r="AV366" i="3" s="1"/>
  <c r="AT1245" i="3"/>
  <c r="AS1391" i="3"/>
  <c r="AU1372" i="3"/>
  <c r="AL1206" i="3"/>
  <c r="AL366" i="3" s="1"/>
  <c r="AK1245" i="3"/>
  <c r="AK405" i="3" s="1"/>
  <c r="AM1244" i="3"/>
  <c r="AM404" i="3" s="1"/>
  <c r="AK1365" i="3"/>
  <c r="AK525" i="3" s="1"/>
  <c r="AP1372" i="3"/>
  <c r="AP532" i="3" s="1"/>
  <c r="AI1371" i="3"/>
  <c r="AI1083" i="3"/>
  <c r="AW1364" i="3"/>
  <c r="AR1364" i="3"/>
  <c r="AS1371" i="3"/>
  <c r="AM1365" i="3"/>
  <c r="AH1206" i="3"/>
  <c r="AK1207" i="3"/>
  <c r="AT1244" i="3"/>
  <c r="AH1365" i="3"/>
  <c r="AQ1245" i="3"/>
  <c r="AQ405" i="3" s="1"/>
  <c r="AQ1244" i="3"/>
  <c r="AQ404" i="3" s="1"/>
  <c r="AS1243" i="3"/>
  <c r="AS403" i="3" s="1"/>
  <c r="AI963" i="3"/>
  <c r="AJ1365" i="3"/>
  <c r="AJ525" i="3" s="1"/>
  <c r="AX1111" i="3"/>
  <c r="AF1392" i="3"/>
  <c r="AF552" i="3" s="1"/>
  <c r="AP1393" i="3"/>
  <c r="AP553" i="3" s="1"/>
  <c r="AI1391" i="3"/>
  <c r="AM1393" i="3"/>
  <c r="AJ1245" i="3"/>
  <c r="AJ405" i="3" s="1"/>
  <c r="AX1205" i="3"/>
  <c r="AN1091" i="3"/>
  <c r="AX1083" i="3"/>
  <c r="AG1392" i="3"/>
  <c r="AG552" i="3" s="1"/>
  <c r="AG1373" i="3"/>
  <c r="AL1372" i="3"/>
  <c r="AL532" i="3" s="1"/>
  <c r="AK1364" i="3"/>
  <c r="AK524" i="3" s="1"/>
  <c r="AJ1206" i="3"/>
  <c r="AJ366" i="3" s="1"/>
  <c r="AM1245" i="3"/>
  <c r="AM405" i="3" s="1"/>
  <c r="AT1372" i="3"/>
  <c r="AT532" i="3" s="1"/>
  <c r="AW1373" i="3"/>
  <c r="AW533" i="3" s="1"/>
  <c r="AM1392" i="3"/>
  <c r="AM552" i="3" s="1"/>
  <c r="AJ532" i="3"/>
  <c r="AO524" i="3"/>
  <c r="AW524" i="3"/>
  <c r="AG532" i="3"/>
  <c r="AO525" i="3"/>
  <c r="AW1206" i="3"/>
  <c r="AW366" i="3" s="1"/>
  <c r="AE1244" i="3"/>
  <c r="AE404" i="3" s="1"/>
  <c r="AF1245" i="3"/>
  <c r="AF405" i="3" s="1"/>
  <c r="AL1244" i="3"/>
  <c r="AL404" i="3" s="1"/>
  <c r="AH404" i="3"/>
  <c r="AU533" i="3"/>
  <c r="AK533" i="3"/>
  <c r="AJ1373" i="3"/>
  <c r="AJ533" i="3" s="1"/>
  <c r="AO1372" i="3"/>
  <c r="AO532" i="3" s="1"/>
  <c r="AQ834" i="3"/>
  <c r="AK834" i="3"/>
  <c r="AW834" i="3"/>
  <c r="AT366" i="3"/>
  <c r="AX963" i="3"/>
  <c r="AK814" i="3"/>
  <c r="AV1393" i="3"/>
  <c r="AV553" i="3" s="1"/>
  <c r="AE1393" i="3"/>
  <c r="AE553" i="3" s="1"/>
  <c r="AK1392" i="3"/>
  <c r="AK552" i="3" s="1"/>
  <c r="AJ1207" i="3"/>
  <c r="AJ367" i="3" s="1"/>
  <c r="AW405" i="3"/>
  <c r="AM814" i="3"/>
  <c r="AF814" i="3"/>
  <c r="AP1364" i="3"/>
  <c r="AP524" i="3" s="1"/>
  <c r="AL1365" i="3"/>
  <c r="AL525" i="3" s="1"/>
  <c r="AR1392" i="3"/>
  <c r="AR552" i="3" s="1"/>
  <c r="AH1207" i="3"/>
  <c r="AH367" i="3" s="1"/>
  <c r="AQ1206" i="3"/>
  <c r="AQ366" i="3" s="1"/>
  <c r="AK1206" i="3"/>
  <c r="AK366" i="3" s="1"/>
  <c r="AR524" i="3"/>
  <c r="AG1365" i="3"/>
  <c r="AG525" i="3" s="1"/>
  <c r="AF1365" i="3"/>
  <c r="AF525" i="3" s="1"/>
  <c r="AE1364" i="3"/>
  <c r="AE524" i="3" s="1"/>
  <c r="AQ1364" i="3"/>
  <c r="AQ524" i="3" s="1"/>
  <c r="AK1393" i="3"/>
  <c r="AK553" i="3" s="1"/>
  <c r="AO1393" i="3"/>
  <c r="AO553" i="3" s="1"/>
  <c r="AH1392" i="3"/>
  <c r="AH552" i="3" s="1"/>
  <c r="AT1393" i="3"/>
  <c r="AT553" i="3" s="1"/>
  <c r="AU1393" i="3"/>
  <c r="AU553" i="3" s="1"/>
  <c r="AR834" i="3"/>
  <c r="AE834" i="3"/>
  <c r="AP1392" i="3"/>
  <c r="AP552" i="3" s="1"/>
  <c r="AU1392" i="3"/>
  <c r="AU552" i="3" s="1"/>
  <c r="AU834" i="3"/>
  <c r="AQ1392" i="3"/>
  <c r="AQ552" i="3" s="1"/>
  <c r="AV834" i="3"/>
  <c r="AG834" i="3"/>
  <c r="AS833" i="3"/>
  <c r="AX833" i="3"/>
  <c r="AS1952" i="3"/>
  <c r="AS1672" i="3"/>
  <c r="AS2232" i="3"/>
  <c r="AS1953" i="3"/>
  <c r="AS1673" i="3"/>
  <c r="AS2233" i="3"/>
  <c r="AS1113" i="3" s="1"/>
  <c r="AN1953" i="3"/>
  <c r="AN1673" i="3"/>
  <c r="AN2233" i="3"/>
  <c r="AN1113" i="3" s="1"/>
  <c r="AP1954" i="3"/>
  <c r="AP2234" i="3"/>
  <c r="AP1114" i="3" s="1"/>
  <c r="AP1674" i="3"/>
  <c r="AF1954" i="3"/>
  <c r="AF1674" i="3"/>
  <c r="AF2234" i="3"/>
  <c r="AF1114" i="3" s="1"/>
  <c r="AH1954" i="3"/>
  <c r="AH2234" i="3"/>
  <c r="AH1114" i="3" s="1"/>
  <c r="AH1674" i="3"/>
  <c r="AI1953" i="3"/>
  <c r="AI2233" i="3"/>
  <c r="AI1113" i="3" s="1"/>
  <c r="AI1673" i="3"/>
  <c r="AN1111" i="3"/>
  <c r="AM834" i="3"/>
  <c r="AI1952" i="3"/>
  <c r="AI1672" i="3"/>
  <c r="AI2232" i="3"/>
  <c r="AX1391" i="3"/>
  <c r="AT1392" i="3"/>
  <c r="AT552" i="3" s="1"/>
  <c r="AQ1393" i="3"/>
  <c r="AQ553" i="3" s="1"/>
  <c r="AV1392" i="3"/>
  <c r="AV552" i="3" s="1"/>
  <c r="AO1392" i="3"/>
  <c r="AO552" i="3" s="1"/>
  <c r="AJ1392" i="3"/>
  <c r="AJ552" i="3" s="1"/>
  <c r="AO834" i="3"/>
  <c r="AS1111" i="3"/>
  <c r="AS551" i="3" s="1"/>
  <c r="AT834" i="3"/>
  <c r="AJ834" i="3"/>
  <c r="AJ1393" i="3"/>
  <c r="AJ553" i="3" s="1"/>
  <c r="AH1393" i="3"/>
  <c r="AH553" i="3" s="1"/>
  <c r="AE1392" i="3"/>
  <c r="AE552" i="3" s="1"/>
  <c r="AL553" i="3"/>
  <c r="AR1393" i="3"/>
  <c r="AR553" i="3" s="1"/>
  <c r="AF1393" i="3"/>
  <c r="AF553" i="3" s="1"/>
  <c r="AW1392" i="3"/>
  <c r="AW552" i="3" s="1"/>
  <c r="AU1954" i="3"/>
  <c r="AU2234" i="3"/>
  <c r="AU1114" i="3" s="1"/>
  <c r="AU1674" i="3"/>
  <c r="AN1391" i="3"/>
  <c r="AX1953" i="3"/>
  <c r="AX2233" i="3"/>
  <c r="AX1673" i="3"/>
  <c r="AM1954" i="3"/>
  <c r="AM2234" i="3"/>
  <c r="AM1114" i="3" s="1"/>
  <c r="AM1674" i="3"/>
  <c r="AV1954" i="3"/>
  <c r="AV2234" i="3"/>
  <c r="AV1114" i="3" s="1"/>
  <c r="AV1674" i="3"/>
  <c r="AG1954" i="3"/>
  <c r="AG2234" i="3"/>
  <c r="AG1114" i="3" s="1"/>
  <c r="AG1674" i="3"/>
  <c r="AX832" i="3"/>
  <c r="AN833" i="3"/>
  <c r="AN832" i="3"/>
  <c r="AN1952" i="3"/>
  <c r="AN1672" i="3"/>
  <c r="AN2232" i="3"/>
  <c r="AO1954" i="3"/>
  <c r="AO2234" i="3"/>
  <c r="AO1114" i="3" s="1"/>
  <c r="AO1674" i="3"/>
  <c r="AT1954" i="3"/>
  <c r="AT2234" i="3"/>
  <c r="AT1114" i="3" s="1"/>
  <c r="AT1674" i="3"/>
  <c r="AJ1954" i="3"/>
  <c r="AJ1674" i="3"/>
  <c r="AJ2234" i="3"/>
  <c r="AJ1114" i="3" s="1"/>
  <c r="AL834" i="3"/>
  <c r="AM553" i="3"/>
  <c r="AI832" i="3"/>
  <c r="AS832" i="3"/>
  <c r="AL1392" i="3"/>
  <c r="AL552" i="3" s="1"/>
  <c r="AW1393" i="3"/>
  <c r="AW553" i="3" s="1"/>
  <c r="AI1111" i="3"/>
  <c r="AI551" i="3" s="1"/>
  <c r="AP834" i="3"/>
  <c r="AF834" i="3"/>
  <c r="AH834" i="3"/>
  <c r="AG1393" i="3"/>
  <c r="AG553" i="3" s="1"/>
  <c r="AI833" i="3"/>
  <c r="AX1952" i="3"/>
  <c r="AX1672" i="3"/>
  <c r="AX2232" i="3"/>
  <c r="AL1954" i="3"/>
  <c r="AL1674" i="3"/>
  <c r="AL2234" i="3"/>
  <c r="AL1114" i="3" s="1"/>
  <c r="AQ1954" i="3"/>
  <c r="AQ1674" i="3"/>
  <c r="AQ2234" i="3"/>
  <c r="AQ1114" i="3" s="1"/>
  <c r="AK1954" i="3"/>
  <c r="AK2234" i="3"/>
  <c r="AK1114" i="3" s="1"/>
  <c r="AK1674" i="3"/>
  <c r="AR1954" i="3"/>
  <c r="AR1674" i="3"/>
  <c r="AR2234" i="3"/>
  <c r="AR1114" i="3" s="1"/>
  <c r="AE1954" i="3"/>
  <c r="AE1674" i="3"/>
  <c r="AE2234" i="3"/>
  <c r="AE1114" i="3" s="1"/>
  <c r="AW1954" i="3"/>
  <c r="AW1674" i="3"/>
  <c r="AW2234" i="3"/>
  <c r="AW1114" i="3" s="1"/>
  <c r="AL1926" i="3"/>
  <c r="AL1646" i="3"/>
  <c r="AL2206" i="3"/>
  <c r="AL1086" i="3" s="1"/>
  <c r="AR1926" i="3"/>
  <c r="AR2206" i="3"/>
  <c r="AR1086" i="3" s="1"/>
  <c r="AR1646" i="3"/>
  <c r="AR1366" i="3" s="1"/>
  <c r="AI804" i="3"/>
  <c r="AW1926" i="3"/>
  <c r="AW1646" i="3"/>
  <c r="AW2206" i="3"/>
  <c r="AW1086" i="3" s="1"/>
  <c r="AJ1926" i="3"/>
  <c r="AJ2206" i="3"/>
  <c r="AJ1086" i="3" s="1"/>
  <c r="AJ1646" i="3"/>
  <c r="AQ1926" i="3"/>
  <c r="AQ2206" i="3"/>
  <c r="AQ1086" i="3" s="1"/>
  <c r="AQ1646" i="3"/>
  <c r="AU1926" i="3"/>
  <c r="AU1646" i="3"/>
  <c r="AU2206" i="3"/>
  <c r="AU1086" i="3" s="1"/>
  <c r="AS1925" i="3"/>
  <c r="AS1645" i="3"/>
  <c r="AS2205" i="3"/>
  <c r="AG1364" i="3"/>
  <c r="AG524" i="3" s="1"/>
  <c r="AU1365" i="3"/>
  <c r="AU525" i="3" s="1"/>
  <c r="AJ1364" i="3"/>
  <c r="AJ524" i="3" s="1"/>
  <c r="AS1363" i="3"/>
  <c r="AR1365" i="3"/>
  <c r="AR525" i="3" s="1"/>
  <c r="AI1363" i="3"/>
  <c r="AI523" i="3" s="1"/>
  <c r="AT1364" i="3"/>
  <c r="AT524" i="3" s="1"/>
  <c r="AL1364" i="3"/>
  <c r="AL524" i="3" s="1"/>
  <c r="AM1364" i="3"/>
  <c r="AM524" i="3" s="1"/>
  <c r="AX804" i="3"/>
  <c r="AF1926" i="3"/>
  <c r="AF1646" i="3"/>
  <c r="AF2206" i="3"/>
  <c r="AF1086" i="3" s="1"/>
  <c r="AI805" i="3"/>
  <c r="AN805" i="3"/>
  <c r="AH1926" i="3"/>
  <c r="AH2206" i="3"/>
  <c r="AH1086" i="3" s="1"/>
  <c r="AH1646" i="3"/>
  <c r="AP1926" i="3"/>
  <c r="AP1646" i="3"/>
  <c r="AP2206" i="3"/>
  <c r="AP1086" i="3" s="1"/>
  <c r="AM1926" i="3"/>
  <c r="AM1646" i="3"/>
  <c r="AM2206" i="3"/>
  <c r="AM1086" i="3" s="1"/>
  <c r="AX1924" i="3"/>
  <c r="AX2204" i="3"/>
  <c r="AX1644" i="3"/>
  <c r="AV1926" i="3"/>
  <c r="AV1646" i="3"/>
  <c r="AV2206" i="3"/>
  <c r="AV1086" i="3" s="1"/>
  <c r="AT1926" i="3"/>
  <c r="AT2206" i="3"/>
  <c r="AT1086" i="3" s="1"/>
  <c r="AT1646" i="3"/>
  <c r="AH1364" i="3"/>
  <c r="AH524" i="3" s="1"/>
  <c r="AW1365" i="3"/>
  <c r="AW525" i="3" s="1"/>
  <c r="AS1083" i="3"/>
  <c r="AV1365" i="3"/>
  <c r="AV525" i="3" s="1"/>
  <c r="AF1364" i="3"/>
  <c r="AF524" i="3" s="1"/>
  <c r="AI1924" i="3"/>
  <c r="AI1644" i="3"/>
  <c r="AI2204" i="3"/>
  <c r="AI1084" i="3" s="1"/>
  <c r="AX805" i="3"/>
  <c r="AE1365" i="3"/>
  <c r="AE525" i="3" s="1"/>
  <c r="AS804" i="3"/>
  <c r="AK1926" i="3"/>
  <c r="AK1646" i="3"/>
  <c r="AK2206" i="3"/>
  <c r="AK1086" i="3" s="1"/>
  <c r="AN804" i="3"/>
  <c r="AS805" i="3"/>
  <c r="AE1926" i="3"/>
  <c r="AE2206" i="3"/>
  <c r="AE1086" i="3" s="1"/>
  <c r="AE1646" i="3"/>
  <c r="AG1926" i="3"/>
  <c r="AG2206" i="3"/>
  <c r="AG1086" i="3" s="1"/>
  <c r="AG1646" i="3"/>
  <c r="AO1926" i="3"/>
  <c r="AO2206" i="3"/>
  <c r="AO1086" i="3" s="1"/>
  <c r="AO1646" i="3"/>
  <c r="AX1363" i="3"/>
  <c r="AQ1365" i="3"/>
  <c r="AQ525" i="3" s="1"/>
  <c r="AV1364" i="3"/>
  <c r="AV524" i="3" s="1"/>
  <c r="AH525" i="3"/>
  <c r="AX1925" i="3"/>
  <c r="AX2205" i="3"/>
  <c r="AX1645" i="3"/>
  <c r="AU524" i="3"/>
  <c r="AN1363" i="3"/>
  <c r="AN523" i="3" s="1"/>
  <c r="AM525" i="3"/>
  <c r="AT1365" i="3"/>
  <c r="AT525" i="3" s="1"/>
  <c r="AN1924" i="3"/>
  <c r="AN1644" i="3"/>
  <c r="AN2204" i="3"/>
  <c r="AN1084" i="3" s="1"/>
  <c r="AI1925" i="3"/>
  <c r="AI1645" i="3"/>
  <c r="AI2205" i="3"/>
  <c r="AI1085" i="3" s="1"/>
  <c r="AP1365" i="3"/>
  <c r="AP525" i="3" s="1"/>
  <c r="AS1924" i="3"/>
  <c r="AS1644" i="3"/>
  <c r="AS2204" i="3"/>
  <c r="AS1084" i="3" s="1"/>
  <c r="AL17" i="5"/>
  <c r="AI955" i="3"/>
  <c r="AM1236" i="3"/>
  <c r="AM396" i="3" s="1"/>
  <c r="AW678" i="3"/>
  <c r="AM1237" i="3"/>
  <c r="AM397" i="3" s="1"/>
  <c r="AX1235" i="3"/>
  <c r="AU1236" i="3"/>
  <c r="AU396" i="3" s="1"/>
  <c r="AH1237" i="3"/>
  <c r="AH397" i="3" s="1"/>
  <c r="AF678" i="3"/>
  <c r="AJ1236" i="3"/>
  <c r="AJ396" i="3" s="1"/>
  <c r="AF1237" i="3"/>
  <c r="AF397" i="3" s="1"/>
  <c r="AR1237" i="3"/>
  <c r="AR397" i="3" s="1"/>
  <c r="AM25" i="5"/>
  <c r="AQ17" i="5"/>
  <c r="AP33" i="5"/>
  <c r="AP1236" i="3"/>
  <c r="AP396" i="3" s="1"/>
  <c r="AL1236" i="3"/>
  <c r="AL396" i="3" s="1"/>
  <c r="AN1235" i="3"/>
  <c r="AJ678" i="3"/>
  <c r="AW1237" i="3"/>
  <c r="AW397" i="3" s="1"/>
  <c r="AG1236" i="3"/>
  <c r="AG396" i="3" s="1"/>
  <c r="AO1236" i="3"/>
  <c r="AO396" i="3" s="1"/>
  <c r="AQ678" i="3"/>
  <c r="AP678" i="3"/>
  <c r="AT1236" i="3"/>
  <c r="AT396" i="3" s="1"/>
  <c r="AT1237" i="3"/>
  <c r="AT397" i="3" s="1"/>
  <c r="AH1236" i="3"/>
  <c r="AH396" i="3" s="1"/>
  <c r="AS1235" i="3"/>
  <c r="AK678" i="3"/>
  <c r="AI1797" i="3"/>
  <c r="AI1517" i="3"/>
  <c r="AI2077" i="3"/>
  <c r="AL678" i="3"/>
  <c r="AM678" i="3"/>
  <c r="AH678" i="3"/>
  <c r="AR1798" i="3"/>
  <c r="AR1518" i="3"/>
  <c r="AR2078" i="3"/>
  <c r="AR958" i="3" s="1"/>
  <c r="AG1798" i="3"/>
  <c r="AG1518" i="3"/>
  <c r="AG2078" i="3"/>
  <c r="AG958" i="3" s="1"/>
  <c r="AS676" i="3"/>
  <c r="AS1796" i="3"/>
  <c r="AS2076" i="3"/>
  <c r="AS1516" i="3"/>
  <c r="AW33" i="5"/>
  <c r="AH34" i="5"/>
  <c r="AO34" i="5"/>
  <c r="AG1237" i="3"/>
  <c r="AG397" i="3" s="1"/>
  <c r="AF1798" i="3"/>
  <c r="AF1518" i="3"/>
  <c r="AF2078" i="3"/>
  <c r="AF958" i="3" s="1"/>
  <c r="AW1798" i="3"/>
  <c r="AW1518" i="3"/>
  <c r="AW2078" i="3"/>
  <c r="AW958" i="3" s="1"/>
  <c r="AL1798" i="3"/>
  <c r="AL1518" i="3"/>
  <c r="AL2078" i="3"/>
  <c r="AL958" i="3" s="1"/>
  <c r="AP1237" i="3"/>
  <c r="AP397" i="3" s="1"/>
  <c r="AU1237" i="3"/>
  <c r="AU397" i="3" s="1"/>
  <c r="AM1798" i="3"/>
  <c r="AM1518" i="3"/>
  <c r="AM2078" i="3"/>
  <c r="AM958" i="3" s="1"/>
  <c r="AK1237" i="3"/>
  <c r="AK397" i="3" s="1"/>
  <c r="AJ1237" i="3"/>
  <c r="AJ397" i="3" s="1"/>
  <c r="AE1236" i="3"/>
  <c r="AE396" i="3" s="1"/>
  <c r="AQ1236" i="3"/>
  <c r="AQ396" i="3" s="1"/>
  <c r="AN955" i="3"/>
  <c r="AX1797" i="3"/>
  <c r="AX1517" i="3"/>
  <c r="AX2077" i="3"/>
  <c r="AX957" i="3" s="1"/>
  <c r="AX1796" i="3"/>
  <c r="AX1516" i="3"/>
  <c r="AX2076" i="3"/>
  <c r="AN1796" i="3"/>
  <c r="AN2076" i="3"/>
  <c r="AN1516" i="3"/>
  <c r="AH1798" i="3"/>
  <c r="AH1518" i="3"/>
  <c r="AH2078" i="3"/>
  <c r="AH958" i="3" s="1"/>
  <c r="AK1798" i="3"/>
  <c r="AK1518" i="3"/>
  <c r="AK2078" i="3"/>
  <c r="AK958" i="3" s="1"/>
  <c r="AO678" i="3"/>
  <c r="AR1236" i="3"/>
  <c r="AR396" i="3" s="1"/>
  <c r="AV678" i="3"/>
  <c r="AN677" i="3"/>
  <c r="AI677" i="3"/>
  <c r="AN676" i="3"/>
  <c r="AX677" i="3"/>
  <c r="AN1797" i="3"/>
  <c r="AN1517" i="3"/>
  <c r="AN2077" i="3"/>
  <c r="AU678" i="3"/>
  <c r="AT678" i="3"/>
  <c r="AE678" i="3"/>
  <c r="AS1797" i="3"/>
  <c r="AS1517" i="3"/>
  <c r="AS2077" i="3"/>
  <c r="AO1798" i="3"/>
  <c r="AO1518" i="3"/>
  <c r="AO2078" i="3"/>
  <c r="AO958" i="3" s="1"/>
  <c r="AE1237" i="3"/>
  <c r="AE397" i="3" s="1"/>
  <c r="AV1798" i="3"/>
  <c r="AV2078" i="3"/>
  <c r="AV958" i="3" s="1"/>
  <c r="AV1518" i="3"/>
  <c r="AI676" i="3"/>
  <c r="AS677" i="3"/>
  <c r="AX676" i="3"/>
  <c r="AM34" i="5"/>
  <c r="AW26" i="5"/>
  <c r="AU26" i="5"/>
  <c r="AL18" i="5"/>
  <c r="AI1235" i="3"/>
  <c r="AO1237" i="3"/>
  <c r="AO397" i="3" s="1"/>
  <c r="AW1236" i="3"/>
  <c r="AW396" i="3" s="1"/>
  <c r="AL1237" i="3"/>
  <c r="AL397" i="3" s="1"/>
  <c r="AI1796" i="3"/>
  <c r="AI1516" i="3"/>
  <c r="AI2076" i="3"/>
  <c r="AU1798" i="3"/>
  <c r="AU1518" i="3"/>
  <c r="AU2078" i="3"/>
  <c r="AU958" i="3" s="1"/>
  <c r="AQ1798" i="3"/>
  <c r="AQ2078" i="3"/>
  <c r="AQ958" i="3" s="1"/>
  <c r="AQ1518" i="3"/>
  <c r="AP1798" i="3"/>
  <c r="AP1518" i="3"/>
  <c r="AP2078" i="3"/>
  <c r="AP958" i="3" s="1"/>
  <c r="AT1798" i="3"/>
  <c r="AT2078" i="3"/>
  <c r="AT958" i="3" s="1"/>
  <c r="AT1518" i="3"/>
  <c r="AK1236" i="3"/>
  <c r="AK396" i="3" s="1"/>
  <c r="AX955" i="3"/>
  <c r="AF1236" i="3"/>
  <c r="AF396" i="3" s="1"/>
  <c r="AV1236" i="3"/>
  <c r="AV396" i="3" s="1"/>
  <c r="AS955" i="3"/>
  <c r="AV1237" i="3"/>
  <c r="AV397" i="3" s="1"/>
  <c r="AE1798" i="3"/>
  <c r="AE1518" i="3"/>
  <c r="AE2078" i="3"/>
  <c r="AE958" i="3" s="1"/>
  <c r="AJ1798" i="3"/>
  <c r="AJ1518" i="3"/>
  <c r="AJ2078" i="3"/>
  <c r="AJ958" i="3" s="1"/>
  <c r="AR678" i="3"/>
  <c r="AQ1237" i="3"/>
  <c r="AQ397" i="3" s="1"/>
  <c r="AG678" i="3"/>
  <c r="AS1932" i="3"/>
  <c r="AS1652" i="3"/>
  <c r="AS2212" i="3"/>
  <c r="AE1934" i="3"/>
  <c r="AE1654" i="3"/>
  <c r="AE2214" i="3"/>
  <c r="AE1094" i="3" s="1"/>
  <c r="AU1934" i="3"/>
  <c r="AU1654" i="3"/>
  <c r="AU2214" i="3"/>
  <c r="AU1094" i="3" s="1"/>
  <c r="AS813" i="3"/>
  <c r="AI812" i="3"/>
  <c r="AX812" i="3"/>
  <c r="AR27" i="5"/>
  <c r="AT33" i="5"/>
  <c r="AU18" i="5"/>
  <c r="AK18" i="5"/>
  <c r="AP1373" i="3"/>
  <c r="AP533" i="3" s="1"/>
  <c r="AS1091" i="3"/>
  <c r="AS531" i="3" s="1"/>
  <c r="AH1373" i="3"/>
  <c r="AH533" i="3" s="1"/>
  <c r="AT1373" i="3"/>
  <c r="AT533" i="3" s="1"/>
  <c r="AV1373" i="3"/>
  <c r="AV533" i="3" s="1"/>
  <c r="AM1372" i="3"/>
  <c r="AM532" i="3" s="1"/>
  <c r="AT814" i="3"/>
  <c r="AK1934" i="3"/>
  <c r="AK1654" i="3"/>
  <c r="AK2214" i="3"/>
  <c r="AK1094" i="3" s="1"/>
  <c r="AX1091" i="3"/>
  <c r="AO1373" i="3"/>
  <c r="AO533" i="3" s="1"/>
  <c r="AL1373" i="3"/>
  <c r="AL533" i="3" s="1"/>
  <c r="AQ1372" i="3"/>
  <c r="AQ532" i="3" s="1"/>
  <c r="AR1372" i="3"/>
  <c r="AR532" i="3" s="1"/>
  <c r="AM1934" i="3"/>
  <c r="AM2214" i="3"/>
  <c r="AM1094" i="3" s="1"/>
  <c r="AM1654" i="3"/>
  <c r="AF1934" i="3"/>
  <c r="AF2214" i="3"/>
  <c r="AF1094" i="3" s="1"/>
  <c r="AF1654" i="3"/>
  <c r="AQ1934" i="3"/>
  <c r="AQ1654" i="3"/>
  <c r="AQ2214" i="3"/>
  <c r="AQ1094" i="3" s="1"/>
  <c r="AO814" i="3"/>
  <c r="AU532" i="3"/>
  <c r="AP814" i="3"/>
  <c r="AS812" i="3"/>
  <c r="AQ814" i="3"/>
  <c r="AV1934" i="3"/>
  <c r="AV1654" i="3"/>
  <c r="AV2214" i="3"/>
  <c r="AV1094" i="3" s="1"/>
  <c r="AI813" i="3"/>
  <c r="AS1933" i="3"/>
  <c r="AS2213" i="3"/>
  <c r="AS1653" i="3"/>
  <c r="AJ18" i="5"/>
  <c r="AP26" i="5"/>
  <c r="AK33" i="5"/>
  <c r="AN531" i="3"/>
  <c r="AN1932" i="3"/>
  <c r="AN1652" i="3"/>
  <c r="AN2212" i="3"/>
  <c r="AT1934" i="3"/>
  <c r="AT1654" i="3"/>
  <c r="AT2214" i="3"/>
  <c r="AT1094" i="3" s="1"/>
  <c r="AI1933" i="3"/>
  <c r="AI1653" i="3"/>
  <c r="AI2213" i="3"/>
  <c r="AV1372" i="3"/>
  <c r="AV532" i="3" s="1"/>
  <c r="AJ814" i="3"/>
  <c r="AW814" i="3"/>
  <c r="AF1373" i="3"/>
  <c r="AF533" i="3" s="1"/>
  <c r="AX1371" i="3"/>
  <c r="AE1373" i="3"/>
  <c r="AE533" i="3" s="1"/>
  <c r="AM1373" i="3"/>
  <c r="AM533" i="3" s="1"/>
  <c r="AR814" i="3"/>
  <c r="AH814" i="3"/>
  <c r="AL814" i="3"/>
  <c r="AG814" i="3"/>
  <c r="AX813" i="3"/>
  <c r="AK1372" i="3"/>
  <c r="AK532" i="3" s="1"/>
  <c r="AO1934" i="3"/>
  <c r="AO1654" i="3"/>
  <c r="AO2214" i="3"/>
  <c r="AO1094" i="3" s="1"/>
  <c r="AP1934" i="3"/>
  <c r="AP1654" i="3"/>
  <c r="AP2214" i="3"/>
  <c r="AP1094" i="3" s="1"/>
  <c r="AN813" i="3"/>
  <c r="AN812" i="3"/>
  <c r="N33" i="3"/>
  <c r="AP17" i="5"/>
  <c r="AQ1373" i="3"/>
  <c r="AQ533" i="3" s="1"/>
  <c r="AR1373" i="3"/>
  <c r="AR533" i="3" s="1"/>
  <c r="AW1372" i="3"/>
  <c r="AW532" i="3" s="1"/>
  <c r="AE814" i="3"/>
  <c r="AE1372" i="3"/>
  <c r="AE532" i="3" s="1"/>
  <c r="AJ1934" i="3"/>
  <c r="AJ2214" i="3"/>
  <c r="AJ1094" i="3" s="1"/>
  <c r="AJ1654" i="3"/>
  <c r="AW1934" i="3"/>
  <c r="AW1654" i="3"/>
  <c r="AW2214" i="3"/>
  <c r="AW1094" i="3" s="1"/>
  <c r="AI1932" i="3"/>
  <c r="AI1652" i="3"/>
  <c r="AI2212" i="3"/>
  <c r="AI1091" i="3"/>
  <c r="AG533" i="3"/>
  <c r="AF1372" i="3"/>
  <c r="AF532" i="3" s="1"/>
  <c r="AR1934" i="3"/>
  <c r="AR1654" i="3"/>
  <c r="AR2214" i="3"/>
  <c r="AR1094" i="3" s="1"/>
  <c r="AH1934" i="3"/>
  <c r="AH1654" i="3"/>
  <c r="AH2214" i="3"/>
  <c r="AH1094" i="3" s="1"/>
  <c r="AL1934" i="3"/>
  <c r="AL1654" i="3"/>
  <c r="AL2214" i="3"/>
  <c r="AL1094" i="3" s="1"/>
  <c r="AG1934" i="3"/>
  <c r="AG1654" i="3"/>
  <c r="AG2214" i="3"/>
  <c r="AG1094" i="3" s="1"/>
  <c r="AX1933" i="3"/>
  <c r="AX1653" i="3"/>
  <c r="AX2213" i="3"/>
  <c r="AH1372" i="3"/>
  <c r="AH532" i="3" s="1"/>
  <c r="AV814" i="3"/>
  <c r="AU814" i="3"/>
  <c r="AX975" i="3"/>
  <c r="AX415" i="3" s="1"/>
  <c r="AI975" i="3"/>
  <c r="AI415" i="3" s="1"/>
  <c r="AH1806" i="3"/>
  <c r="AH1526" i="3"/>
  <c r="AH2086" i="3"/>
  <c r="AH966" i="3" s="1"/>
  <c r="AN975" i="3"/>
  <c r="AN415" i="3" s="1"/>
  <c r="AT1806" i="3"/>
  <c r="AT1526" i="3"/>
  <c r="AT2086" i="3"/>
  <c r="AT966" i="3" s="1"/>
  <c r="AM1806" i="3"/>
  <c r="AM1526" i="3"/>
  <c r="AM2086" i="3"/>
  <c r="AM966" i="3" s="1"/>
  <c r="AI1805" i="3"/>
  <c r="AI2085" i="3"/>
  <c r="AI1525" i="3"/>
  <c r="AO1806" i="3"/>
  <c r="AO1526" i="3"/>
  <c r="AO2086" i="3"/>
  <c r="AO966" i="3" s="1"/>
  <c r="AX974" i="3"/>
  <c r="AX414" i="3" s="1"/>
  <c r="AT405" i="3"/>
  <c r="AP404" i="3"/>
  <c r="AX1805" i="3"/>
  <c r="AX1525" i="3"/>
  <c r="AX2085" i="3"/>
  <c r="AN684" i="3"/>
  <c r="AI685" i="3"/>
  <c r="AX684" i="3"/>
  <c r="AI974" i="3"/>
  <c r="AI414" i="3" s="1"/>
  <c r="AE1806" i="3"/>
  <c r="AE1526" i="3"/>
  <c r="AE2086" i="3"/>
  <c r="AE966" i="3" s="1"/>
  <c r="AW1806" i="3"/>
  <c r="AW1526" i="3"/>
  <c r="AW2086" i="3"/>
  <c r="AW966" i="3" s="1"/>
  <c r="AF1806" i="3"/>
  <c r="AF1526" i="3"/>
  <c r="AF2086" i="3"/>
  <c r="AF966" i="3" s="1"/>
  <c r="AX1804" i="3"/>
  <c r="AX1524" i="3"/>
  <c r="AX2084" i="3"/>
  <c r="AQ25" i="5"/>
  <c r="AO42" i="5"/>
  <c r="AO18" i="5"/>
  <c r="AK42" i="5"/>
  <c r="AL33" i="5"/>
  <c r="AQ33" i="5"/>
  <c r="AV41" i="5"/>
  <c r="AR42" i="5"/>
  <c r="AW34" i="5"/>
  <c r="AE34" i="5"/>
  <c r="AR33" i="5"/>
  <c r="AU1245" i="3"/>
  <c r="AU405" i="3" s="1"/>
  <c r="AO1244" i="3"/>
  <c r="AO404" i="3" s="1"/>
  <c r="AL1245" i="3"/>
  <c r="AL405" i="3" s="1"/>
  <c r="AV1244" i="3"/>
  <c r="AV404" i="3" s="1"/>
  <c r="AS1805" i="3"/>
  <c r="AS1525" i="3"/>
  <c r="AS2085" i="3"/>
  <c r="AS965" i="3" s="1"/>
  <c r="AO1245" i="3"/>
  <c r="AO405" i="3" s="1"/>
  <c r="AX1243" i="3"/>
  <c r="AK1244" i="3"/>
  <c r="AK404" i="3" s="1"/>
  <c r="AH1245" i="3"/>
  <c r="AH405" i="3" s="1"/>
  <c r="AR1244" i="3"/>
  <c r="AR404" i="3" s="1"/>
  <c r="AU1244" i="3"/>
  <c r="AU404" i="3" s="1"/>
  <c r="AI684" i="3"/>
  <c r="AS974" i="3"/>
  <c r="AS414" i="3" s="1"/>
  <c r="AS684" i="3"/>
  <c r="AS685" i="3"/>
  <c r="AN1804" i="3"/>
  <c r="AN1524" i="3"/>
  <c r="AN2084" i="3"/>
  <c r="AK1806" i="3"/>
  <c r="AK1526" i="3"/>
  <c r="AK2086" i="3"/>
  <c r="AK966" i="3" s="1"/>
  <c r="AR1806" i="3"/>
  <c r="AR2086" i="3"/>
  <c r="AR966" i="3" s="1"/>
  <c r="AR1526" i="3"/>
  <c r="AR1246" i="3" s="1"/>
  <c r="AG1806" i="3"/>
  <c r="AG2086" i="3"/>
  <c r="AG966" i="3" s="1"/>
  <c r="AG1526" i="3"/>
  <c r="AP1806" i="3"/>
  <c r="AP1526" i="3"/>
  <c r="AP2086" i="3"/>
  <c r="AP966" i="3" s="1"/>
  <c r="AF27" i="5"/>
  <c r="AF33" i="5"/>
  <c r="AW18" i="5"/>
  <c r="AJ26" i="5"/>
  <c r="AU25" i="5"/>
  <c r="AP1245" i="3"/>
  <c r="AP405" i="3" s="1"/>
  <c r="AE1245" i="3"/>
  <c r="AE405" i="3" s="1"/>
  <c r="AN1243" i="3"/>
  <c r="AN403" i="3" s="1"/>
  <c r="AW1244" i="3"/>
  <c r="AW404" i="3" s="1"/>
  <c r="AN685" i="3"/>
  <c r="AQ1806" i="3"/>
  <c r="AQ2086" i="3"/>
  <c r="AQ966" i="3" s="1"/>
  <c r="AQ1526" i="3"/>
  <c r="AJ1806" i="3"/>
  <c r="AJ1526" i="3"/>
  <c r="AJ2086" i="3"/>
  <c r="AJ966" i="3" s="1"/>
  <c r="AN976" i="3"/>
  <c r="AN416" i="3" s="1"/>
  <c r="AS975" i="3"/>
  <c r="AS415" i="3" s="1"/>
  <c r="AV1806" i="3"/>
  <c r="AV2086" i="3"/>
  <c r="AV966" i="3" s="1"/>
  <c r="AV1526" i="3"/>
  <c r="AL1806" i="3"/>
  <c r="AL1526" i="3"/>
  <c r="AL2086" i="3"/>
  <c r="AL966" i="3" s="1"/>
  <c r="AN974" i="3"/>
  <c r="AN414" i="3" s="1"/>
  <c r="AU1806" i="3"/>
  <c r="AU1526" i="3"/>
  <c r="AU2086" i="3"/>
  <c r="AU966" i="3" s="1"/>
  <c r="AN1805" i="3"/>
  <c r="AN1525" i="3"/>
  <c r="AN2085" i="3"/>
  <c r="AK34" i="5"/>
  <c r="AF17" i="5"/>
  <c r="AM33" i="5"/>
  <c r="AM35" i="5" s="1"/>
  <c r="AT27" i="5"/>
  <c r="AE17" i="5"/>
  <c r="AR18" i="5"/>
  <c r="AH18" i="5"/>
  <c r="AK17" i="5"/>
  <c r="AR1245" i="3"/>
  <c r="AR405" i="3" s="1"/>
  <c r="AF1244" i="3"/>
  <c r="AF404" i="3" s="1"/>
  <c r="AI1243" i="3"/>
  <c r="AG1245" i="3"/>
  <c r="AG405" i="3" s="1"/>
  <c r="AT404" i="3"/>
  <c r="AJ1244" i="3"/>
  <c r="AJ404" i="3" s="1"/>
  <c r="AV1245" i="3"/>
  <c r="AV405" i="3" s="1"/>
  <c r="AG1244" i="3"/>
  <c r="AG404" i="3" s="1"/>
  <c r="AX685" i="3"/>
  <c r="AH26" i="5"/>
  <c r="AE41" i="5"/>
  <c r="AU33" i="5"/>
  <c r="AE33" i="5"/>
  <c r="AM41" i="5"/>
  <c r="AO17" i="5"/>
  <c r="AK41" i="5"/>
  <c r="AL34" i="5"/>
  <c r="AT18" i="5"/>
  <c r="AH25" i="5"/>
  <c r="AM17" i="5"/>
  <c r="AM1206" i="3"/>
  <c r="AM366" i="3" s="1"/>
  <c r="AV17" i="5"/>
  <c r="AH41" i="5"/>
  <c r="AF34" i="5"/>
  <c r="AI925" i="3"/>
  <c r="AU1206" i="3"/>
  <c r="AU366" i="3" s="1"/>
  <c r="AM26" i="5"/>
  <c r="AL1207" i="3"/>
  <c r="AL367" i="3" s="1"/>
  <c r="AR1207" i="3"/>
  <c r="AR367" i="3" s="1"/>
  <c r="AF1207" i="3"/>
  <c r="AF367" i="3" s="1"/>
  <c r="AO1206" i="3"/>
  <c r="AO366" i="3" s="1"/>
  <c r="AU42" i="5"/>
  <c r="AG33" i="5"/>
  <c r="AG17" i="5"/>
  <c r="AG1206" i="3"/>
  <c r="AG366" i="3" s="1"/>
  <c r="AP18" i="5"/>
  <c r="AP1206" i="3"/>
  <c r="AP366" i="3" s="1"/>
  <c r="AQ1207" i="3"/>
  <c r="AQ367" i="3" s="1"/>
  <c r="AW25" i="5"/>
  <c r="AW27" i="5" s="1"/>
  <c r="AL25" i="5"/>
  <c r="AE25" i="5"/>
  <c r="AE1207" i="3"/>
  <c r="AE367" i="3" s="1"/>
  <c r="AG1207" i="3"/>
  <c r="AG367" i="3" s="1"/>
  <c r="AU1207" i="3"/>
  <c r="AU367" i="3" s="1"/>
  <c r="AR34" i="5"/>
  <c r="AV648" i="3"/>
  <c r="AJ42" i="5"/>
  <c r="AV33" i="5"/>
  <c r="AO33" i="5"/>
  <c r="AO1207" i="3"/>
  <c r="AO367" i="3" s="1"/>
  <c r="AQ26" i="5"/>
  <c r="AM42" i="5"/>
  <c r="AH648" i="3"/>
  <c r="AL648" i="3"/>
  <c r="AG27" i="5"/>
  <c r="AO27" i="5"/>
  <c r="AV42" i="5"/>
  <c r="AJ33" i="5"/>
  <c r="AQ41" i="5"/>
  <c r="AP42" i="5"/>
  <c r="AQ34" i="5"/>
  <c r="AP34" i="5"/>
  <c r="AE1206" i="3"/>
  <c r="AE366" i="3" s="1"/>
  <c r="AG42" i="5"/>
  <c r="AF41" i="5"/>
  <c r="AE26" i="5"/>
  <c r="AQ42" i="5"/>
  <c r="AJ34" i="5"/>
  <c r="AR1768" i="3"/>
  <c r="AR1488" i="3"/>
  <c r="AR2048" i="3"/>
  <c r="AR928" i="3" s="1"/>
  <c r="AM18" i="5"/>
  <c r="AG648" i="3"/>
  <c r="AK367" i="3"/>
  <c r="AW17" i="5"/>
  <c r="AI647" i="3"/>
  <c r="AS647" i="3"/>
  <c r="AX647" i="3"/>
  <c r="AX937" i="3"/>
  <c r="AX377" i="3" s="1"/>
  <c r="AH42" i="5"/>
  <c r="AV18" i="5"/>
  <c r="AR41" i="5"/>
  <c r="AQ18" i="5"/>
  <c r="AT41" i="5"/>
  <c r="AT42" i="5"/>
  <c r="AI1766" i="3"/>
  <c r="AI1486" i="3"/>
  <c r="AI2046" i="3"/>
  <c r="AI16" i="5"/>
  <c r="AI14" i="5"/>
  <c r="AI15" i="5"/>
  <c r="AW648" i="3"/>
  <c r="AR648" i="3"/>
  <c r="AG41" i="5"/>
  <c r="AN1766" i="3"/>
  <c r="AN1486" i="3"/>
  <c r="AN2046" i="3"/>
  <c r="AN15" i="5"/>
  <c r="AN14" i="5"/>
  <c r="AN16" i="5"/>
  <c r="AO1768" i="3"/>
  <c r="AO1488" i="3"/>
  <c r="AO2048" i="3"/>
  <c r="AO928" i="3" s="1"/>
  <c r="AM1768" i="3"/>
  <c r="AM1488" i="3"/>
  <c r="AM2048" i="3"/>
  <c r="AM928" i="3" s="1"/>
  <c r="AF18" i="5"/>
  <c r="AN1205" i="3"/>
  <c r="AR17" i="5"/>
  <c r="AJ25" i="5"/>
  <c r="AP25" i="5"/>
  <c r="AT34" i="5"/>
  <c r="AU17" i="5"/>
  <c r="AE42" i="5"/>
  <c r="AF1206" i="3"/>
  <c r="AF366" i="3" s="1"/>
  <c r="AX37" i="5"/>
  <c r="AX10" i="5"/>
  <c r="AS40" i="5"/>
  <c r="AS38" i="5"/>
  <c r="AS39" i="5"/>
  <c r="AF1768" i="3"/>
  <c r="AF1488" i="3"/>
  <c r="AF2048" i="3"/>
  <c r="AF928" i="3" s="1"/>
  <c r="AK1768" i="3"/>
  <c r="AK1488" i="3"/>
  <c r="AK2048" i="3"/>
  <c r="AK928" i="3" s="1"/>
  <c r="AS1205" i="3"/>
  <c r="AO41" i="5"/>
  <c r="AR1206" i="3"/>
  <c r="AR366" i="3" s="1"/>
  <c r="AU34" i="5"/>
  <c r="AG34" i="5"/>
  <c r="AF42" i="5"/>
  <c r="AP41" i="5"/>
  <c r="AV34" i="5"/>
  <c r="AU41" i="5"/>
  <c r="AX925" i="3"/>
  <c r="AH33" i="5"/>
  <c r="AW1207" i="3"/>
  <c r="AW367" i="3" s="1"/>
  <c r="AW42" i="5"/>
  <c r="AW41" i="5"/>
  <c r="AU1768" i="3"/>
  <c r="AU1488" i="3"/>
  <c r="AU2048" i="3"/>
  <c r="AU928" i="3" s="1"/>
  <c r="AT17" i="5"/>
  <c r="AM1207" i="3"/>
  <c r="AM367" i="3" s="1"/>
  <c r="AQ648" i="3"/>
  <c r="AS37" i="5"/>
  <c r="AS10" i="5"/>
  <c r="AQ1768" i="3"/>
  <c r="AQ1488" i="3"/>
  <c r="AQ2048" i="3"/>
  <c r="AQ928" i="3" s="1"/>
  <c r="AN647" i="3"/>
  <c r="AI936" i="3"/>
  <c r="AI376" i="3" s="1"/>
  <c r="AS936" i="3"/>
  <c r="AS376" i="3" s="1"/>
  <c r="AK27" i="5"/>
  <c r="AX26" i="5"/>
  <c r="AX25" i="5"/>
  <c r="AL26" i="5"/>
  <c r="AE648" i="3"/>
  <c r="AP648" i="3"/>
  <c r="AH1768" i="3"/>
  <c r="AH1488" i="3"/>
  <c r="AH2048" i="3"/>
  <c r="AH928" i="3" s="1"/>
  <c r="AL1768" i="3"/>
  <c r="AL2048" i="3"/>
  <c r="AL928" i="3" s="1"/>
  <c r="AL1488" i="3"/>
  <c r="AJ17" i="5"/>
  <c r="AJ41" i="5"/>
  <c r="AS1766" i="3"/>
  <c r="AS1486" i="3"/>
  <c r="AS2046" i="3"/>
  <c r="AS926" i="3" s="1"/>
  <c r="AS15" i="5"/>
  <c r="AS16" i="5"/>
  <c r="AS14" i="5"/>
  <c r="AG1768" i="3"/>
  <c r="AG1488" i="3"/>
  <c r="AG2048" i="3"/>
  <c r="AG928" i="3" s="1"/>
  <c r="AJ1768" i="3"/>
  <c r="AJ2048" i="3"/>
  <c r="AJ928" i="3" s="1"/>
  <c r="AJ1488" i="3"/>
  <c r="AI29" i="5"/>
  <c r="AI9" i="5"/>
  <c r="AH366" i="3"/>
  <c r="AG18" i="5"/>
  <c r="AE18" i="5"/>
  <c r="AH17" i="5"/>
  <c r="AV1768" i="3"/>
  <c r="AV1488" i="3"/>
  <c r="AV2048" i="3"/>
  <c r="AV928" i="3" s="1"/>
  <c r="AT648" i="3"/>
  <c r="AX936" i="3"/>
  <c r="AX376" i="3" s="1"/>
  <c r="AN10" i="5"/>
  <c r="AN37" i="5"/>
  <c r="AW1768" i="3"/>
  <c r="AW1488" i="3"/>
  <c r="AW2048" i="3"/>
  <c r="AW928" i="3" s="1"/>
  <c r="AS23" i="5"/>
  <c r="AS24" i="5"/>
  <c r="AS22" i="5"/>
  <c r="AJ648" i="3"/>
  <c r="AI1767" i="3"/>
  <c r="AI2047" i="3"/>
  <c r="AI1487" i="3"/>
  <c r="AS937" i="3"/>
  <c r="AS377" i="3" s="1"/>
  <c r="AN936" i="3"/>
  <c r="AN376" i="3" s="1"/>
  <c r="AN937" i="3"/>
  <c r="AN377" i="3" s="1"/>
  <c r="AS29" i="5"/>
  <c r="AS9" i="5"/>
  <c r="AI646" i="3"/>
  <c r="AI24" i="5"/>
  <c r="AI22" i="5"/>
  <c r="AI23" i="5"/>
  <c r="AE1768" i="3"/>
  <c r="AE1488" i="3"/>
  <c r="AE2048" i="3"/>
  <c r="AE928" i="3" s="1"/>
  <c r="AP1768" i="3"/>
  <c r="AP1488" i="3"/>
  <c r="AP2048" i="3"/>
  <c r="AP928" i="3" s="1"/>
  <c r="AI1205" i="3"/>
  <c r="AV1207" i="3"/>
  <c r="AV367" i="3" s="1"/>
  <c r="AX29" i="5"/>
  <c r="AX9" i="5"/>
  <c r="AN23" i="5"/>
  <c r="AN22" i="5"/>
  <c r="AN24" i="5"/>
  <c r="AO648" i="3"/>
  <c r="AM648" i="3"/>
  <c r="AN925" i="3"/>
  <c r="AV25" i="5"/>
  <c r="AV26" i="5"/>
  <c r="AT1207" i="3"/>
  <c r="AT367" i="3" s="1"/>
  <c r="AP1207" i="3"/>
  <c r="AP367" i="3" s="1"/>
  <c r="AI37" i="5"/>
  <c r="AI10" i="5"/>
  <c r="AF648" i="3"/>
  <c r="AK648" i="3"/>
  <c r="AS925" i="3"/>
  <c r="AL42" i="5"/>
  <c r="AL41" i="5"/>
  <c r="AN29" i="5"/>
  <c r="AN9" i="5"/>
  <c r="AU648" i="3"/>
  <c r="AT1768" i="3"/>
  <c r="AT2048" i="3"/>
  <c r="AT928" i="3" s="1"/>
  <c r="AT1488" i="3"/>
  <c r="Q94" i="3"/>
  <c r="Q99" i="3" s="1"/>
  <c r="Z94" i="3"/>
  <c r="Z99" i="3" s="1"/>
  <c r="J41" i="3"/>
  <c r="AW33" i="3"/>
  <c r="AS41" i="3"/>
  <c r="AV94" i="3"/>
  <c r="AV95" i="3" s="1"/>
  <c r="Z97" i="3"/>
  <c r="U33" i="3"/>
  <c r="AL33" i="3"/>
  <c r="AT33" i="3"/>
  <c r="AT94" i="3"/>
  <c r="AT99" i="3" s="1"/>
  <c r="AU33" i="3"/>
  <c r="AT97" i="3"/>
  <c r="AV93" i="3"/>
  <c r="AV98" i="3" s="1"/>
  <c r="AV33" i="3"/>
  <c r="AW94" i="3"/>
  <c r="AW95" i="3" s="1"/>
  <c r="AW97" i="3"/>
  <c r="AU94" i="3"/>
  <c r="AU99" i="3" s="1"/>
  <c r="AD41" i="3"/>
  <c r="AA33" i="3"/>
  <c r="Z33" i="3"/>
  <c r="Y41" i="3"/>
  <c r="P33" i="3"/>
  <c r="P94" i="3"/>
  <c r="P95" i="3" s="1"/>
  <c r="AI41" i="3"/>
  <c r="T41" i="3"/>
  <c r="O41" i="3"/>
  <c r="Y32" i="3"/>
  <c r="Y97" i="3" s="1"/>
  <c r="AG94" i="3"/>
  <c r="AG93" i="3"/>
  <c r="AG98" i="3" s="1"/>
  <c r="M97" i="3"/>
  <c r="M33" i="3"/>
  <c r="V93" i="3"/>
  <c r="V98" i="3" s="1"/>
  <c r="V94" i="3"/>
  <c r="AF93" i="3"/>
  <c r="AF98" i="3" s="1"/>
  <c r="AF94" i="3"/>
  <c r="W97" i="3"/>
  <c r="W33" i="3"/>
  <c r="AX31" i="3"/>
  <c r="AX32" i="3"/>
  <c r="AN32" i="3"/>
  <c r="AN31" i="3"/>
  <c r="S93" i="3"/>
  <c r="S98" i="3" s="1"/>
  <c r="AP93" i="3"/>
  <c r="AP98" i="3" s="1"/>
  <c r="AP94" i="3"/>
  <c r="AK97" i="3"/>
  <c r="AK33" i="3"/>
  <c r="K94" i="3"/>
  <c r="K95" i="3" s="1"/>
  <c r="K100" i="3" s="1"/>
  <c r="K97" i="3"/>
  <c r="K33" i="3"/>
  <c r="AX41" i="3"/>
  <c r="AC93" i="3"/>
  <c r="AC98" i="3" s="1"/>
  <c r="AC94" i="3"/>
  <c r="AE93" i="3"/>
  <c r="AE98" i="3" s="1"/>
  <c r="AE94" i="3"/>
  <c r="AM33" i="3"/>
  <c r="AM97" i="3"/>
  <c r="X97" i="3"/>
  <c r="X33" i="3"/>
  <c r="AO97" i="3"/>
  <c r="AO33" i="3"/>
  <c r="R93" i="3"/>
  <c r="R98" i="3" s="1"/>
  <c r="R94" i="3"/>
  <c r="AL94" i="3"/>
  <c r="AL93" i="3"/>
  <c r="AL98" i="3" s="1"/>
  <c r="K93" i="3"/>
  <c r="K98" i="3" s="1"/>
  <c r="AH97" i="3"/>
  <c r="AH33" i="3"/>
  <c r="AE97" i="3"/>
  <c r="AE33" i="3"/>
  <c r="AI32" i="3"/>
  <c r="AI31" i="3"/>
  <c r="T32" i="3"/>
  <c r="T31" i="3"/>
  <c r="O31" i="3"/>
  <c r="O93" i="3" s="1"/>
  <c r="O98" i="3" s="1"/>
  <c r="O32" i="3"/>
  <c r="AO93" i="3"/>
  <c r="AO98" i="3" s="1"/>
  <c r="AO94" i="3"/>
  <c r="AG97" i="3"/>
  <c r="AG33" i="3"/>
  <c r="R97" i="3"/>
  <c r="R33" i="3"/>
  <c r="AR97" i="3"/>
  <c r="AR33" i="3"/>
  <c r="AA94" i="3"/>
  <c r="AA93" i="3"/>
  <c r="AA98" i="3" s="1"/>
  <c r="AJ94" i="3"/>
  <c r="AJ33" i="3"/>
  <c r="AJ97" i="3"/>
  <c r="AH93" i="3"/>
  <c r="AH98" i="3" s="1"/>
  <c r="AH94" i="3"/>
  <c r="U93" i="3"/>
  <c r="U98" i="3" s="1"/>
  <c r="U94" i="3"/>
  <c r="AB94" i="3"/>
  <c r="AB97" i="3"/>
  <c r="AB33" i="3"/>
  <c r="J32" i="3"/>
  <c r="J31" i="3"/>
  <c r="AN41" i="3"/>
  <c r="AD32" i="3"/>
  <c r="AD31" i="3"/>
  <c r="L94" i="3"/>
  <c r="L95" i="3" s="1"/>
  <c r="L93" i="3"/>
  <c r="L98" i="3" s="1"/>
  <c r="AQ97" i="3"/>
  <c r="AQ33" i="3"/>
  <c r="AR93" i="3"/>
  <c r="AR98" i="3" s="1"/>
  <c r="AR94" i="3"/>
  <c r="AC97" i="3"/>
  <c r="AC33" i="3"/>
  <c r="AM93" i="3"/>
  <c r="AM98" i="3" s="1"/>
  <c r="AM94" i="3"/>
  <c r="X93" i="3"/>
  <c r="X98" i="3" s="1"/>
  <c r="X94" i="3"/>
  <c r="X95" i="3" s="1"/>
  <c r="X100" i="3" s="1"/>
  <c r="N93" i="3"/>
  <c r="N98" i="3" s="1"/>
  <c r="N94" i="3"/>
  <c r="M94" i="3"/>
  <c r="M93" i="3"/>
  <c r="M98" i="3" s="1"/>
  <c r="V97" i="3"/>
  <c r="V33" i="3"/>
  <c r="AF97" i="3"/>
  <c r="AF33" i="3"/>
  <c r="W93" i="3"/>
  <c r="W98" i="3" s="1"/>
  <c r="W94" i="3"/>
  <c r="S94" i="3"/>
  <c r="S97" i="3"/>
  <c r="S33" i="3"/>
  <c r="AP97" i="3"/>
  <c r="AP33" i="3"/>
  <c r="AK94" i="3"/>
  <c r="AK95" i="3" s="1"/>
  <c r="AK93" i="3"/>
  <c r="AK98" i="3" s="1"/>
  <c r="AS31" i="3"/>
  <c r="AS32" i="3"/>
  <c r="Q33" i="3"/>
  <c r="Q97" i="3"/>
  <c r="Y31" i="3"/>
  <c r="L97" i="3"/>
  <c r="L33" i="3"/>
  <c r="AQ93" i="3"/>
  <c r="AQ98" i="3" s="1"/>
  <c r="AQ94" i="3"/>
  <c r="AD1445" i="3"/>
  <c r="AD605" i="3" s="1"/>
  <c r="AX1445" i="3"/>
  <c r="AX605" i="3" s="1"/>
  <c r="AI1445" i="3"/>
  <c r="AI605" i="3" s="1"/>
  <c r="Y1445" i="3"/>
  <c r="Y605" i="3" s="1"/>
  <c r="AN1445" i="3"/>
  <c r="AN605" i="3" s="1"/>
  <c r="AS1445" i="3"/>
  <c r="AS605" i="3" s="1"/>
  <c r="O2005" i="3"/>
  <c r="O1725" i="3"/>
  <c r="T1445" i="3"/>
  <c r="T605" i="3" s="1"/>
  <c r="AN1244" i="3" l="1"/>
  <c r="AS1206" i="3"/>
  <c r="AV1366" i="3"/>
  <c r="AG1374" i="3"/>
  <c r="AQ43" i="5"/>
  <c r="AI531" i="3"/>
  <c r="AJ1366" i="3"/>
  <c r="AJ526" i="3" s="1"/>
  <c r="AW1366" i="3"/>
  <c r="AI927" i="3"/>
  <c r="AE1394" i="3"/>
  <c r="AL1394" i="3"/>
  <c r="AL1208" i="3"/>
  <c r="AQ1208" i="3"/>
  <c r="AQ368" i="3" s="1"/>
  <c r="AP1208" i="3"/>
  <c r="AO1208" i="3"/>
  <c r="AN1372" i="3"/>
  <c r="AN1364" i="3"/>
  <c r="AN524" i="3" s="1"/>
  <c r="AG1366" i="3"/>
  <c r="AG526" i="3" s="1"/>
  <c r="AJ1394" i="3"/>
  <c r="AJ554" i="3" s="1"/>
  <c r="AS395" i="3"/>
  <c r="AJ1374" i="3"/>
  <c r="AJ534" i="3" s="1"/>
  <c r="AO1366" i="3"/>
  <c r="AX365" i="3"/>
  <c r="AI926" i="3"/>
  <c r="AI403" i="3"/>
  <c r="AX523" i="3"/>
  <c r="AX1112" i="3"/>
  <c r="AX551" i="3"/>
  <c r="AI1207" i="3"/>
  <c r="AX395" i="3"/>
  <c r="AK1366" i="3"/>
  <c r="AK526" i="3" s="1"/>
  <c r="AX1113" i="3"/>
  <c r="AV35" i="5"/>
  <c r="AV1394" i="3"/>
  <c r="AV554" i="3" s="1"/>
  <c r="AR43" i="5"/>
  <c r="AU27" i="5"/>
  <c r="AO1374" i="3"/>
  <c r="AO534" i="3" s="1"/>
  <c r="AI1093" i="3"/>
  <c r="AS1365" i="3"/>
  <c r="AL1366" i="3"/>
  <c r="AL526" i="3" s="1"/>
  <c r="AI1393" i="3"/>
  <c r="AI553" i="3" s="1"/>
  <c r="AV526" i="3"/>
  <c r="AI365" i="3"/>
  <c r="AX403" i="3"/>
  <c r="AN551" i="3"/>
  <c r="AI395" i="3"/>
  <c r="AX531" i="3"/>
  <c r="AO526" i="3"/>
  <c r="AR526" i="3"/>
  <c r="AS1373" i="3"/>
  <c r="AF1374" i="3"/>
  <c r="AF534" i="3" s="1"/>
  <c r="AK1374" i="3"/>
  <c r="AK534" i="3" s="1"/>
  <c r="AK1208" i="3"/>
  <c r="AK368" i="3" s="1"/>
  <c r="AS1245" i="3"/>
  <c r="AS405" i="3" s="1"/>
  <c r="AW1246" i="3"/>
  <c r="AW406" i="3" s="1"/>
  <c r="AL1374" i="3"/>
  <c r="AL534" i="3" s="1"/>
  <c r="AI1372" i="3"/>
  <c r="AT1374" i="3"/>
  <c r="AT534" i="3" s="1"/>
  <c r="AG1246" i="3"/>
  <c r="AG406" i="3" s="1"/>
  <c r="AX965" i="3"/>
  <c r="AI965" i="3"/>
  <c r="AW526" i="3"/>
  <c r="AL368" i="3"/>
  <c r="AH1208" i="3"/>
  <c r="AH368" i="3" s="1"/>
  <c r="AN1245" i="3"/>
  <c r="AL1246" i="3"/>
  <c r="AL406" i="3" s="1"/>
  <c r="AM1374" i="3"/>
  <c r="AM534" i="3" s="1"/>
  <c r="AX1364" i="3"/>
  <c r="AM1366" i="3"/>
  <c r="AM526" i="3" s="1"/>
  <c r="AT1394" i="3"/>
  <c r="AT554" i="3" s="1"/>
  <c r="AS1392" i="3"/>
  <c r="AE554" i="3"/>
  <c r="AL554" i="3"/>
  <c r="AN1112" i="3"/>
  <c r="AN1393" i="3"/>
  <c r="AN553" i="3" s="1"/>
  <c r="AK1394" i="3"/>
  <c r="AK554" i="3" s="1"/>
  <c r="AG1394" i="3"/>
  <c r="AG554" i="3" s="1"/>
  <c r="AN834" i="3"/>
  <c r="AN1954" i="3"/>
  <c r="AN2234" i="3"/>
  <c r="AN1674" i="3"/>
  <c r="AX1954" i="3"/>
  <c r="AX2234" i="3"/>
  <c r="AX1674" i="3"/>
  <c r="AI1112" i="3"/>
  <c r="AS834" i="3"/>
  <c r="AW1394" i="3"/>
  <c r="AW554" i="3" s="1"/>
  <c r="AQ1394" i="3"/>
  <c r="AQ554" i="3" s="1"/>
  <c r="AI1392" i="3"/>
  <c r="AS1393" i="3"/>
  <c r="AS553" i="3" s="1"/>
  <c r="AS1954" i="3"/>
  <c r="AS1674" i="3"/>
  <c r="AS2234" i="3"/>
  <c r="AX1393" i="3"/>
  <c r="AX553" i="3" s="1"/>
  <c r="AP1394" i="3"/>
  <c r="AP554" i="3" s="1"/>
  <c r="AI834" i="3"/>
  <c r="AX834" i="3"/>
  <c r="AM27" i="5"/>
  <c r="AR1394" i="3"/>
  <c r="AR554" i="3" s="1"/>
  <c r="AX1392" i="3"/>
  <c r="AO1394" i="3"/>
  <c r="AO554" i="3" s="1"/>
  <c r="AN1392" i="3"/>
  <c r="AM1394" i="3"/>
  <c r="AM554" i="3" s="1"/>
  <c r="AU1394" i="3"/>
  <c r="AU554" i="3" s="1"/>
  <c r="AH1394" i="3"/>
  <c r="AH554" i="3" s="1"/>
  <c r="AF1394" i="3"/>
  <c r="AF554" i="3" s="1"/>
  <c r="AS1112" i="3"/>
  <c r="AS552" i="3" s="1"/>
  <c r="AI1954" i="3"/>
  <c r="AI1674" i="3"/>
  <c r="AI2234" i="3"/>
  <c r="AI1114" i="3" s="1"/>
  <c r="AN1925" i="3"/>
  <c r="AN1645" i="3"/>
  <c r="AN2205" i="3"/>
  <c r="AN1085" i="3" s="1"/>
  <c r="AN806" i="3"/>
  <c r="AS806" i="3"/>
  <c r="AN1926" i="3"/>
  <c r="AN2206" i="3"/>
  <c r="AN1646" i="3"/>
  <c r="AX1084" i="3"/>
  <c r="AH1366" i="3"/>
  <c r="AH526" i="3" s="1"/>
  <c r="AF1366" i="3"/>
  <c r="AF526" i="3" s="1"/>
  <c r="AQ1366" i="3"/>
  <c r="AQ526" i="3" s="1"/>
  <c r="AX1365" i="3"/>
  <c r="AE1366" i="3"/>
  <c r="AE526" i="3" s="1"/>
  <c r="AT1366" i="3"/>
  <c r="AT526" i="3" s="1"/>
  <c r="AS1926" i="3"/>
  <c r="AS1646" i="3"/>
  <c r="AS2206" i="3"/>
  <c r="AS1086" i="3" s="1"/>
  <c r="AX806" i="3"/>
  <c r="AI1926" i="3"/>
  <c r="AI2206" i="3"/>
  <c r="AI1646" i="3"/>
  <c r="AI806" i="3"/>
  <c r="AS1364" i="3"/>
  <c r="AS524" i="3" s="1"/>
  <c r="AI1365" i="3"/>
  <c r="AI525" i="3" s="1"/>
  <c r="AX1085" i="3"/>
  <c r="AI1364" i="3"/>
  <c r="AI524" i="3" s="1"/>
  <c r="AP1366" i="3"/>
  <c r="AP526" i="3" s="1"/>
  <c r="AS523" i="3"/>
  <c r="AS1085" i="3"/>
  <c r="AU1366" i="3"/>
  <c r="AU526" i="3" s="1"/>
  <c r="AX1926" i="3"/>
  <c r="AX1646" i="3"/>
  <c r="AX2206" i="3"/>
  <c r="AR35" i="5"/>
  <c r="AS1236" i="3"/>
  <c r="AH35" i="5"/>
  <c r="AL19" i="5"/>
  <c r="AJ19" i="5"/>
  <c r="AQ19" i="5"/>
  <c r="AI1237" i="3"/>
  <c r="AJ27" i="5"/>
  <c r="AV19" i="5"/>
  <c r="AO19" i="5"/>
  <c r="AG19" i="5"/>
  <c r="AE27" i="5"/>
  <c r="AK19" i="5"/>
  <c r="AW35" i="5"/>
  <c r="AE43" i="5"/>
  <c r="AM43" i="5"/>
  <c r="AQ1238" i="3"/>
  <c r="AQ398" i="3" s="1"/>
  <c r="AN395" i="3"/>
  <c r="AR1238" i="3"/>
  <c r="AR398" i="3" s="1"/>
  <c r="AI26" i="5"/>
  <c r="AS26" i="5"/>
  <c r="AO35" i="5"/>
  <c r="AH27" i="5"/>
  <c r="AJ1238" i="3"/>
  <c r="AJ398" i="3" s="1"/>
  <c r="AI1236" i="3"/>
  <c r="AK43" i="5"/>
  <c r="AL27" i="5"/>
  <c r="AT35" i="5"/>
  <c r="AH43" i="5"/>
  <c r="AM19" i="5"/>
  <c r="AP35" i="5"/>
  <c r="AK35" i="5"/>
  <c r="AV1238" i="3"/>
  <c r="AV398" i="3" s="1"/>
  <c r="AS1237" i="3"/>
  <c r="AK1238" i="3"/>
  <c r="AK398" i="3" s="1"/>
  <c r="AX956" i="3"/>
  <c r="AX1237" i="3"/>
  <c r="AX397" i="3" s="1"/>
  <c r="AM1238" i="3"/>
  <c r="AM398" i="3" s="1"/>
  <c r="AW1238" i="3"/>
  <c r="AW398" i="3" s="1"/>
  <c r="AS956" i="3"/>
  <c r="AN957" i="3"/>
  <c r="AN956" i="3"/>
  <c r="AX1798" i="3"/>
  <c r="AX1518" i="3"/>
  <c r="AX2078" i="3"/>
  <c r="AP27" i="5"/>
  <c r="AF19" i="5"/>
  <c r="AQ27" i="5"/>
  <c r="AP19" i="5"/>
  <c r="AF35" i="5"/>
  <c r="AU1238" i="3"/>
  <c r="AU398" i="3" s="1"/>
  <c r="AO1238" i="3"/>
  <c r="AO398" i="3" s="1"/>
  <c r="AN1237" i="3"/>
  <c r="AH1238" i="3"/>
  <c r="AH398" i="3" s="1"/>
  <c r="AF1238" i="3"/>
  <c r="AF398" i="3" s="1"/>
  <c r="AG1238" i="3"/>
  <c r="AG398" i="3" s="1"/>
  <c r="AS1798" i="3"/>
  <c r="AS2078" i="3"/>
  <c r="AS1518" i="3"/>
  <c r="AX678" i="3"/>
  <c r="AN678" i="3"/>
  <c r="AI1798" i="3"/>
  <c r="AI1518" i="3"/>
  <c r="AI2078" i="3"/>
  <c r="AG43" i="5"/>
  <c r="AI678" i="3"/>
  <c r="AS678" i="3"/>
  <c r="AR19" i="5"/>
  <c r="AV43" i="5"/>
  <c r="AE1238" i="3"/>
  <c r="AE398" i="3" s="1"/>
  <c r="AT1238" i="3"/>
  <c r="AT398" i="3" s="1"/>
  <c r="AP1238" i="3"/>
  <c r="AP398" i="3" s="1"/>
  <c r="AI956" i="3"/>
  <c r="AS957" i="3"/>
  <c r="AN1236" i="3"/>
  <c r="AX1236" i="3"/>
  <c r="AL1238" i="3"/>
  <c r="AL398" i="3" s="1"/>
  <c r="AI957" i="3"/>
  <c r="AN814" i="3"/>
  <c r="AQ35" i="5"/>
  <c r="AH1374" i="3"/>
  <c r="AH534" i="3" s="1"/>
  <c r="AI1092" i="3"/>
  <c r="AW1374" i="3"/>
  <c r="AW534" i="3" s="1"/>
  <c r="AN1092" i="3"/>
  <c r="AV1374" i="3"/>
  <c r="AV534" i="3" s="1"/>
  <c r="AN1933" i="3"/>
  <c r="AN2213" i="3"/>
  <c r="AN1093" i="3" s="1"/>
  <c r="AN1653" i="3"/>
  <c r="AU1374" i="3"/>
  <c r="AU534" i="3" s="1"/>
  <c r="AE1374" i="3"/>
  <c r="AE534" i="3" s="1"/>
  <c r="AS814" i="3"/>
  <c r="AX1934" i="3"/>
  <c r="AX1654" i="3"/>
  <c r="AX2214" i="3"/>
  <c r="AE19" i="5"/>
  <c r="AP43" i="5"/>
  <c r="AU19" i="5"/>
  <c r="AE35" i="5"/>
  <c r="AX1093" i="3"/>
  <c r="AG534" i="3"/>
  <c r="AX1932" i="3"/>
  <c r="AX1652" i="3"/>
  <c r="AX2212" i="3"/>
  <c r="AX1092" i="3" s="1"/>
  <c r="AI814" i="3"/>
  <c r="AS1092" i="3"/>
  <c r="AX814" i="3"/>
  <c r="AT19" i="5"/>
  <c r="AO43" i="5"/>
  <c r="AJ35" i="5"/>
  <c r="AX1373" i="3"/>
  <c r="AR1374" i="3"/>
  <c r="AR534" i="3" s="1"/>
  <c r="AP1374" i="3"/>
  <c r="AP534" i="3" s="1"/>
  <c r="AI1373" i="3"/>
  <c r="AS1093" i="3"/>
  <c r="AQ1374" i="3"/>
  <c r="AQ534" i="3" s="1"/>
  <c r="AI1934" i="3"/>
  <c r="AI1654" i="3"/>
  <c r="AI2214" i="3"/>
  <c r="AI1094" i="3" s="1"/>
  <c r="AS1934" i="3"/>
  <c r="AS1654" i="3"/>
  <c r="AS2214" i="3"/>
  <c r="AS1372" i="3"/>
  <c r="AX686" i="3"/>
  <c r="AX976" i="3"/>
  <c r="AX416" i="3" s="1"/>
  <c r="AN1806" i="3"/>
  <c r="AN2086" i="3"/>
  <c r="AN966" i="3" s="1"/>
  <c r="AN1526" i="3"/>
  <c r="AI686" i="3"/>
  <c r="AS976" i="3"/>
  <c r="AS416" i="3" s="1"/>
  <c r="AH19" i="5"/>
  <c r="AU43" i="5"/>
  <c r="AG35" i="5"/>
  <c r="AN17" i="5"/>
  <c r="AI17" i="5"/>
  <c r="AN965" i="3"/>
  <c r="AU1246" i="3"/>
  <c r="AU406" i="3" s="1"/>
  <c r="AI1804" i="3"/>
  <c r="AI2084" i="3"/>
  <c r="AI964" i="3" s="1"/>
  <c r="AI1524" i="3"/>
  <c r="AS1804" i="3"/>
  <c r="AS1524" i="3"/>
  <c r="AS2084" i="3"/>
  <c r="AS964" i="3" s="1"/>
  <c r="AX1806" i="3"/>
  <c r="AX1526" i="3"/>
  <c r="AX2086" i="3"/>
  <c r="AX966" i="3" s="1"/>
  <c r="AQ1246" i="3"/>
  <c r="AQ406" i="3" s="1"/>
  <c r="AN964" i="3"/>
  <c r="AN404" i="3" s="1"/>
  <c r="AX964" i="3"/>
  <c r="AF1246" i="3"/>
  <c r="AF406" i="3" s="1"/>
  <c r="AI1245" i="3"/>
  <c r="AS686" i="3"/>
  <c r="AI25" i="5"/>
  <c r="AS18" i="5"/>
  <c r="AU35" i="5"/>
  <c r="AW19" i="5"/>
  <c r="AV1246" i="3"/>
  <c r="AV406" i="3" s="1"/>
  <c r="AP1246" i="3"/>
  <c r="AP406" i="3" s="1"/>
  <c r="AX1244" i="3"/>
  <c r="AT1246" i="3"/>
  <c r="AT406" i="3" s="1"/>
  <c r="AS1806" i="3"/>
  <c r="AS1526" i="3"/>
  <c r="AS2086" i="3"/>
  <c r="AN686" i="3"/>
  <c r="AI976" i="3"/>
  <c r="AI416" i="3" s="1"/>
  <c r="AL35" i="5"/>
  <c r="AJ1246" i="3"/>
  <c r="AJ406" i="3" s="1"/>
  <c r="AR406" i="3"/>
  <c r="AK1246" i="3"/>
  <c r="AK406" i="3" s="1"/>
  <c r="AE1246" i="3"/>
  <c r="AE406" i="3" s="1"/>
  <c r="AX1245" i="3"/>
  <c r="AO1246" i="3"/>
  <c r="AO406" i="3" s="1"/>
  <c r="AM1246" i="3"/>
  <c r="AM406" i="3" s="1"/>
  <c r="AH1246" i="3"/>
  <c r="AH406" i="3" s="1"/>
  <c r="AT1208" i="3"/>
  <c r="AT368" i="3" s="1"/>
  <c r="AN26" i="5"/>
  <c r="AJ43" i="5"/>
  <c r="AM1208" i="3"/>
  <c r="AM368" i="3" s="1"/>
  <c r="AI18" i="5"/>
  <c r="AV27" i="5"/>
  <c r="AX27" i="5"/>
  <c r="AF43" i="5"/>
  <c r="AT43" i="5"/>
  <c r="AL43" i="5"/>
  <c r="AP368" i="3"/>
  <c r="AS17" i="5"/>
  <c r="AO368" i="3"/>
  <c r="AN18" i="5"/>
  <c r="AS32" i="5"/>
  <c r="AS31" i="5"/>
  <c r="AS30" i="5"/>
  <c r="AS1768" i="3"/>
  <c r="AS2048" i="3"/>
  <c r="AS1488" i="3"/>
  <c r="AX1768" i="3"/>
  <c r="AX1488" i="3"/>
  <c r="AX2048" i="3"/>
  <c r="AI938" i="3"/>
  <c r="AI378" i="3" s="1"/>
  <c r="AE1208" i="3"/>
  <c r="AE368" i="3" s="1"/>
  <c r="AI367" i="3"/>
  <c r="AN39" i="5"/>
  <c r="AN40" i="5"/>
  <c r="AN38" i="5"/>
  <c r="AS646" i="3"/>
  <c r="AS366" i="3" s="1"/>
  <c r="AW1208" i="3"/>
  <c r="AW368" i="3" s="1"/>
  <c r="AN1767" i="3"/>
  <c r="AN2047" i="3"/>
  <c r="AN927" i="3" s="1"/>
  <c r="AN1487" i="3"/>
  <c r="AV1208" i="3"/>
  <c r="AV368" i="3" s="1"/>
  <c r="AS42" i="5"/>
  <c r="AS41" i="5"/>
  <c r="AS1767" i="3"/>
  <c r="AS2047" i="3"/>
  <c r="AS927" i="3" s="1"/>
  <c r="AS1487" i="3"/>
  <c r="AU1208" i="3"/>
  <c r="AU368" i="3" s="1"/>
  <c r="AF1208" i="3"/>
  <c r="AF368" i="3" s="1"/>
  <c r="AI1206" i="3"/>
  <c r="AI366" i="3" s="1"/>
  <c r="AI31" i="5"/>
  <c r="AI30" i="5"/>
  <c r="AI32" i="5"/>
  <c r="AI40" i="5"/>
  <c r="AI38" i="5"/>
  <c r="AI39" i="5"/>
  <c r="AS25" i="5"/>
  <c r="AN648" i="3"/>
  <c r="AI1768" i="3"/>
  <c r="AI1488" i="3"/>
  <c r="AI2048" i="3"/>
  <c r="AN1768" i="3"/>
  <c r="AN2048" i="3"/>
  <c r="AN928" i="3" s="1"/>
  <c r="AN1488" i="3"/>
  <c r="AI648" i="3"/>
  <c r="AS938" i="3"/>
  <c r="AS378" i="3" s="1"/>
  <c r="AX938" i="3"/>
  <c r="AX378" i="3" s="1"/>
  <c r="AN31" i="5"/>
  <c r="AN30" i="5"/>
  <c r="AN32" i="5"/>
  <c r="AX40" i="5"/>
  <c r="AX38" i="5"/>
  <c r="AX39" i="5"/>
  <c r="AN365" i="3"/>
  <c r="AN926" i="3"/>
  <c r="AN25" i="5"/>
  <c r="AX1766" i="3"/>
  <c r="AX1486" i="3"/>
  <c r="AX2046" i="3"/>
  <c r="AX926" i="3" s="1"/>
  <c r="AX14" i="5"/>
  <c r="AX16" i="5"/>
  <c r="AX15" i="5"/>
  <c r="AX31" i="5"/>
  <c r="AX32" i="5"/>
  <c r="AX30" i="5"/>
  <c r="AX646" i="3"/>
  <c r="AX648" i="3"/>
  <c r="AS648" i="3"/>
  <c r="AN938" i="3"/>
  <c r="AN378" i="3" s="1"/>
  <c r="AN646" i="3"/>
  <c r="AJ1208" i="3"/>
  <c r="AJ368" i="3" s="1"/>
  <c r="AG1208" i="3"/>
  <c r="AG368" i="3" s="1"/>
  <c r="AX1767" i="3"/>
  <c r="AX1487" i="3"/>
  <c r="AX2047" i="3"/>
  <c r="AX927" i="3" s="1"/>
  <c r="AW43" i="5"/>
  <c r="AS365" i="3"/>
  <c r="AN1206" i="3"/>
  <c r="AR1208" i="3"/>
  <c r="AR368" i="3" s="1"/>
  <c r="Q95" i="3"/>
  <c r="Q96" i="3" s="1"/>
  <c r="Q101" i="3" s="1"/>
  <c r="Z95" i="3"/>
  <c r="Z100" i="3" s="1"/>
  <c r="AU95" i="3"/>
  <c r="AU96" i="3" s="1"/>
  <c r="AW99" i="3"/>
  <c r="AT95" i="3"/>
  <c r="AT96" i="3" s="1"/>
  <c r="AV99" i="3"/>
  <c r="N99" i="3"/>
  <c r="S99" i="3"/>
  <c r="AM99" i="3"/>
  <c r="L100" i="3"/>
  <c r="L96" i="3"/>
  <c r="L101" i="3" s="1"/>
  <c r="P99" i="3"/>
  <c r="K96" i="3"/>
  <c r="K101" i="3" s="1"/>
  <c r="T97" i="3"/>
  <c r="T33" i="3"/>
  <c r="Y94" i="3"/>
  <c r="Y93" i="3"/>
  <c r="Y98" i="3" s="1"/>
  <c r="AK96" i="3"/>
  <c r="AK101" i="3" s="1"/>
  <c r="AK100" i="3"/>
  <c r="N95" i="3"/>
  <c r="AV100" i="3"/>
  <c r="AV96" i="3"/>
  <c r="AM95" i="3"/>
  <c r="AR95" i="3"/>
  <c r="AR99" i="3"/>
  <c r="P100" i="3"/>
  <c r="P96" i="3"/>
  <c r="AD97" i="3"/>
  <c r="AD33" i="3"/>
  <c r="U95" i="3"/>
  <c r="U99" i="3"/>
  <c r="AJ99" i="3"/>
  <c r="AJ95" i="3"/>
  <c r="AO95" i="3"/>
  <c r="AO99" i="3"/>
  <c r="T93" i="3"/>
  <c r="T98" i="3" s="1"/>
  <c r="T94" i="3"/>
  <c r="AE95" i="3"/>
  <c r="AE99" i="3"/>
  <c r="K99" i="3"/>
  <c r="AX93" i="3"/>
  <c r="AX98" i="3" s="1"/>
  <c r="AX94" i="3"/>
  <c r="AX95" i="3" s="1"/>
  <c r="AX100" i="3" s="1"/>
  <c r="AF95" i="3"/>
  <c r="AF99" i="3"/>
  <c r="AG95" i="3"/>
  <c r="AG99" i="3"/>
  <c r="Y33" i="3"/>
  <c r="AS97" i="3"/>
  <c r="AS33" i="3"/>
  <c r="AK99" i="3"/>
  <c r="X99" i="3"/>
  <c r="L99" i="3"/>
  <c r="J93" i="3"/>
  <c r="J98" i="3" s="1"/>
  <c r="J94" i="3"/>
  <c r="AA95" i="3"/>
  <c r="AA99" i="3"/>
  <c r="O94" i="3"/>
  <c r="O97" i="3"/>
  <c r="O33" i="3"/>
  <c r="AI94" i="3"/>
  <c r="AI93" i="3"/>
  <c r="AI98" i="3" s="1"/>
  <c r="R95" i="3"/>
  <c r="R99" i="3"/>
  <c r="X96" i="3"/>
  <c r="X101" i="3" s="1"/>
  <c r="AC95" i="3"/>
  <c r="AC99" i="3"/>
  <c r="AN97" i="3"/>
  <c r="AN33" i="3"/>
  <c r="V95" i="3"/>
  <c r="V99" i="3"/>
  <c r="AW100" i="3"/>
  <c r="AW96" i="3"/>
  <c r="AL95" i="3"/>
  <c r="AL99" i="3"/>
  <c r="S95" i="3"/>
  <c r="AN94" i="3"/>
  <c r="AN93" i="3"/>
  <c r="AN98" i="3" s="1"/>
  <c r="AQ95" i="3"/>
  <c r="AQ99" i="3"/>
  <c r="AS93" i="3"/>
  <c r="AS98" i="3" s="1"/>
  <c r="AS94" i="3"/>
  <c r="AS95" i="3" s="1"/>
  <c r="W95" i="3"/>
  <c r="W99" i="3"/>
  <c r="M95" i="3"/>
  <c r="M99" i="3"/>
  <c r="AD93" i="3"/>
  <c r="AD98" i="3" s="1"/>
  <c r="AD94" i="3"/>
  <c r="J97" i="3"/>
  <c r="J33" i="3"/>
  <c r="AB95" i="3"/>
  <c r="AB99" i="3"/>
  <c r="AH95" i="3"/>
  <c r="AH99" i="3"/>
  <c r="AI97" i="3"/>
  <c r="AI33" i="3"/>
  <c r="AP95" i="3"/>
  <c r="AP99" i="3"/>
  <c r="AX97" i="3"/>
  <c r="AX33" i="3"/>
  <c r="O1445" i="3"/>
  <c r="O605" i="3" s="1"/>
  <c r="AS1207" i="3" l="1"/>
  <c r="AX552" i="3"/>
  <c r="AI405" i="3"/>
  <c r="AN405" i="3"/>
  <c r="AN532" i="3"/>
  <c r="AS1244" i="3"/>
  <c r="AI533" i="3"/>
  <c r="AS1374" i="3"/>
  <c r="AS396" i="3"/>
  <c r="AI532" i="3"/>
  <c r="AI396" i="3"/>
  <c r="AS525" i="3"/>
  <c r="AS966" i="3"/>
  <c r="AI1374" i="3"/>
  <c r="AI534" i="3" s="1"/>
  <c r="AN1366" i="3"/>
  <c r="AN1394" i="3"/>
  <c r="AS533" i="3"/>
  <c r="AS1094" i="3"/>
  <c r="AX1374" i="3"/>
  <c r="AX928" i="3"/>
  <c r="AI1086" i="3"/>
  <c r="AX524" i="3"/>
  <c r="AI552" i="3"/>
  <c r="AN552" i="3"/>
  <c r="AX533" i="3"/>
  <c r="AX405" i="3"/>
  <c r="AX404" i="3"/>
  <c r="AS404" i="3"/>
  <c r="AI1244" i="3"/>
  <c r="AI404" i="3" s="1"/>
  <c r="AS367" i="3"/>
  <c r="AN1365" i="3"/>
  <c r="AN525" i="3" s="1"/>
  <c r="AS1114" i="3"/>
  <c r="AX1114" i="3"/>
  <c r="AI1394" i="3"/>
  <c r="AI554" i="3" s="1"/>
  <c r="AS1394" i="3"/>
  <c r="AS27" i="5"/>
  <c r="AX1394" i="3"/>
  <c r="AN1114" i="3"/>
  <c r="AX1366" i="3"/>
  <c r="AS1366" i="3"/>
  <c r="AS526" i="3" s="1"/>
  <c r="AX525" i="3"/>
  <c r="AN1086" i="3"/>
  <c r="AX1086" i="3"/>
  <c r="AI1366" i="3"/>
  <c r="AI526" i="3" s="1"/>
  <c r="AN397" i="3"/>
  <c r="AI397" i="3"/>
  <c r="AI27" i="5"/>
  <c r="AX396" i="3"/>
  <c r="AN19" i="5"/>
  <c r="AI958" i="3"/>
  <c r="AS397" i="3"/>
  <c r="AS958" i="3"/>
  <c r="AI33" i="5"/>
  <c r="AI19" i="5"/>
  <c r="AX1238" i="3"/>
  <c r="AN1798" i="3"/>
  <c r="AN1518" i="3"/>
  <c r="AN2078" i="3"/>
  <c r="AN958" i="3" s="1"/>
  <c r="AN396" i="3"/>
  <c r="AI1238" i="3"/>
  <c r="AX958" i="3"/>
  <c r="AS1238" i="3"/>
  <c r="AS532" i="3"/>
  <c r="AX1372" i="3"/>
  <c r="AX532" i="3" s="1"/>
  <c r="AX1094" i="3"/>
  <c r="AN41" i="5"/>
  <c r="AN1934" i="3"/>
  <c r="AN2214" i="3"/>
  <c r="AN1094" i="3" s="1"/>
  <c r="AN1654" i="3"/>
  <c r="AX41" i="5"/>
  <c r="AN1373" i="3"/>
  <c r="AN533" i="3" s="1"/>
  <c r="Z96" i="3"/>
  <c r="Z102" i="3" s="1"/>
  <c r="AS19" i="5"/>
  <c r="AX1246" i="3"/>
  <c r="AX406" i="3" s="1"/>
  <c r="AI1806" i="3"/>
  <c r="AI1526" i="3"/>
  <c r="AI2086" i="3"/>
  <c r="AI966" i="3" s="1"/>
  <c r="AN27" i="5"/>
  <c r="AS1246" i="3"/>
  <c r="AS406" i="3" s="1"/>
  <c r="AN1246" i="3"/>
  <c r="AN406" i="3" s="1"/>
  <c r="AX34" i="5"/>
  <c r="AX42" i="5"/>
  <c r="AN34" i="5"/>
  <c r="AI928" i="3"/>
  <c r="AI41" i="5"/>
  <c r="AS1208" i="3"/>
  <c r="AN1208" i="3"/>
  <c r="AN368" i="3" s="1"/>
  <c r="AI1208" i="3"/>
  <c r="AI34" i="5"/>
  <c r="AS43" i="5"/>
  <c r="AN42" i="5"/>
  <c r="AS34" i="5"/>
  <c r="AS33" i="5"/>
  <c r="AX1208" i="3"/>
  <c r="AI42" i="5"/>
  <c r="AN33" i="5"/>
  <c r="AX33" i="5"/>
  <c r="AX17" i="5"/>
  <c r="AX18" i="5"/>
  <c r="Q100" i="3"/>
  <c r="AN366" i="3"/>
  <c r="AX1207" i="3"/>
  <c r="AX367" i="3" s="1"/>
  <c r="AX1206" i="3"/>
  <c r="AX366" i="3" s="1"/>
  <c r="AN1207" i="3"/>
  <c r="AN367" i="3" s="1"/>
  <c r="AS928" i="3"/>
  <c r="AK102" i="3"/>
  <c r="AU100" i="3"/>
  <c r="AT100" i="3"/>
  <c r="L102" i="3"/>
  <c r="AX96" i="3"/>
  <c r="AX101" i="3" s="1"/>
  <c r="K102" i="3"/>
  <c r="AT101" i="3"/>
  <c r="AT102" i="3"/>
  <c r="AA100" i="3"/>
  <c r="AA96" i="3"/>
  <c r="X102" i="3"/>
  <c r="AB100" i="3"/>
  <c r="AB96" i="3"/>
  <c r="AD95" i="3"/>
  <c r="AD99" i="3"/>
  <c r="M100" i="3"/>
  <c r="M96" i="3"/>
  <c r="AS99" i="3"/>
  <c r="S100" i="3"/>
  <c r="S96" i="3"/>
  <c r="AL100" i="3"/>
  <c r="AL96" i="3"/>
  <c r="R100" i="3"/>
  <c r="R96" i="3"/>
  <c r="J95" i="3"/>
  <c r="J99" i="3"/>
  <c r="AG100" i="3"/>
  <c r="AG96" i="3"/>
  <c r="AX99" i="3"/>
  <c r="AE100" i="3"/>
  <c r="AE96" i="3"/>
  <c r="Q102" i="3"/>
  <c r="V100" i="3"/>
  <c r="V96" i="3"/>
  <c r="AU101" i="3"/>
  <c r="AU102" i="3"/>
  <c r="AO100" i="3"/>
  <c r="AO96" i="3"/>
  <c r="AR100" i="3"/>
  <c r="AR96" i="3"/>
  <c r="AH100" i="3"/>
  <c r="AH96" i="3"/>
  <c r="W100" i="3"/>
  <c r="W96" i="3"/>
  <c r="AF96" i="3"/>
  <c r="AF100" i="3"/>
  <c r="T95" i="3"/>
  <c r="T99" i="3"/>
  <c r="U100" i="3"/>
  <c r="U96" i="3"/>
  <c r="P101" i="3"/>
  <c r="P102" i="3"/>
  <c r="AM100" i="3"/>
  <c r="AM96" i="3"/>
  <c r="Y95" i="3"/>
  <c r="Y99" i="3"/>
  <c r="AQ100" i="3"/>
  <c r="AQ96" i="3"/>
  <c r="N96" i="3"/>
  <c r="N100" i="3"/>
  <c r="AP100" i="3"/>
  <c r="AP96" i="3"/>
  <c r="AS96" i="3"/>
  <c r="AS101" i="3" s="1"/>
  <c r="AS100" i="3"/>
  <c r="AN95" i="3"/>
  <c r="AN99" i="3"/>
  <c r="AW101" i="3"/>
  <c r="AW102" i="3"/>
  <c r="AC100" i="3"/>
  <c r="AC96" i="3"/>
  <c r="AI95" i="3"/>
  <c r="AI99" i="3"/>
  <c r="O95" i="3"/>
  <c r="O99" i="3"/>
  <c r="AJ100" i="3"/>
  <c r="AJ96" i="3"/>
  <c r="AV101" i="3"/>
  <c r="AV102" i="3"/>
  <c r="AS534" i="3" l="1"/>
  <c r="AX534" i="3"/>
  <c r="AN526" i="3"/>
  <c r="AX368" i="3"/>
  <c r="AI368" i="3"/>
  <c r="AN554" i="3"/>
  <c r="AX43" i="5"/>
  <c r="AS102" i="3"/>
  <c r="Z101" i="3"/>
  <c r="AS554" i="3"/>
  <c r="AX554" i="3"/>
  <c r="AX526" i="3"/>
  <c r="AS398" i="3"/>
  <c r="AX35" i="5"/>
  <c r="AN43" i="5"/>
  <c r="AI398" i="3"/>
  <c r="AX398" i="3"/>
  <c r="AN1238" i="3"/>
  <c r="AN398" i="3" s="1"/>
  <c r="AI35" i="5"/>
  <c r="AI43" i="5"/>
  <c r="AN1374" i="3"/>
  <c r="AN534" i="3" s="1"/>
  <c r="AN35" i="5"/>
  <c r="AS35" i="5"/>
  <c r="AI1246" i="3"/>
  <c r="AI406" i="3" s="1"/>
  <c r="AS368" i="3"/>
  <c r="AX19" i="5"/>
  <c r="AX102" i="3"/>
  <c r="AA101" i="3"/>
  <c r="AA102" i="3"/>
  <c r="AI100" i="3"/>
  <c r="AI96" i="3"/>
  <c r="AM101" i="3"/>
  <c r="AM102" i="3"/>
  <c r="U101" i="3"/>
  <c r="U102" i="3"/>
  <c r="AE101" i="3"/>
  <c r="AE102" i="3"/>
  <c r="S102" i="3"/>
  <c r="S101" i="3"/>
  <c r="AP102" i="3"/>
  <c r="AP101" i="3"/>
  <c r="Y100" i="3"/>
  <c r="Y96" i="3"/>
  <c r="W102" i="3"/>
  <c r="W101" i="3"/>
  <c r="AG101" i="3"/>
  <c r="AG102" i="3"/>
  <c r="AB101" i="3"/>
  <c r="AB102" i="3"/>
  <c r="AC101" i="3"/>
  <c r="AC102" i="3"/>
  <c r="AF101" i="3"/>
  <c r="AF102" i="3"/>
  <c r="AH101" i="3"/>
  <c r="AH102" i="3"/>
  <c r="AO101" i="3"/>
  <c r="AO102" i="3"/>
  <c r="V101" i="3"/>
  <c r="V102" i="3"/>
  <c r="AQ101" i="3"/>
  <c r="AQ102" i="3"/>
  <c r="T100" i="3"/>
  <c r="T96" i="3"/>
  <c r="AR101" i="3"/>
  <c r="AR102" i="3"/>
  <c r="R101" i="3"/>
  <c r="R102" i="3"/>
  <c r="M101" i="3"/>
  <c r="M102" i="3"/>
  <c r="AJ101" i="3"/>
  <c r="AJ102" i="3"/>
  <c r="O100" i="3"/>
  <c r="O96" i="3"/>
  <c r="AN100" i="3"/>
  <c r="AN96" i="3"/>
  <c r="N101" i="3"/>
  <c r="N102" i="3"/>
  <c r="J100" i="3"/>
  <c r="J96" i="3"/>
  <c r="AL101" i="3"/>
  <c r="AL102" i="3"/>
  <c r="AD100" i="3"/>
  <c r="AD96" i="3"/>
  <c r="AI101" i="3" l="1"/>
  <c r="AI102" i="3"/>
  <c r="AD101" i="3"/>
  <c r="AD102" i="3"/>
  <c r="J101" i="3"/>
  <c r="J102" i="3"/>
  <c r="T101" i="3"/>
  <c r="T102" i="3"/>
  <c r="Y101" i="3"/>
  <c r="Y102" i="3"/>
  <c r="O101" i="3"/>
  <c r="O102" i="3"/>
  <c r="AN101" i="3"/>
  <c r="AN102" i="3"/>
</calcChain>
</file>

<file path=xl/sharedStrings.xml><?xml version="1.0" encoding="utf-8"?>
<sst xmlns="http://schemas.openxmlformats.org/spreadsheetml/2006/main" count="26103" uniqueCount="121">
  <si>
    <t>Technical lifetime (years)</t>
  </si>
  <si>
    <t>Technical availability (%)</t>
  </si>
  <si>
    <t xml:space="preserve">Own consumption </t>
  </si>
  <si>
    <t>Construction time</t>
  </si>
  <si>
    <t>Nuclear power plants</t>
  </si>
  <si>
    <t>Nuclear - current</t>
  </si>
  <si>
    <t>Electricity only</t>
  </si>
  <si>
    <t>L</t>
  </si>
  <si>
    <t>M</t>
  </si>
  <si>
    <t>Nuclear III</t>
  </si>
  <si>
    <t>S</t>
  </si>
  <si>
    <t>Nuclear IV</t>
  </si>
  <si>
    <t>Coal fired power plants</t>
  </si>
  <si>
    <t>Integrated gasification combined cycle</t>
  </si>
  <si>
    <t>CHP</t>
  </si>
  <si>
    <t>Electricity only with CCS</t>
  </si>
  <si>
    <t>CHP with CCS</t>
  </si>
  <si>
    <t>Supercritical steam turbine</t>
  </si>
  <si>
    <t>Fluidized bed combustion</t>
  </si>
  <si>
    <t>Steam turbine</t>
  </si>
  <si>
    <t>XS</t>
  </si>
  <si>
    <t>Lignite fired power plants</t>
  </si>
  <si>
    <t>Gas fired power plants (Natural gas, biogas)</t>
  </si>
  <si>
    <t>Gas turbine combined cycle</t>
  </si>
  <si>
    <t xml:space="preserve">Gas turbine </t>
  </si>
  <si>
    <t>Internal combustion engine</t>
  </si>
  <si>
    <t>Derived gas fired power plants</t>
  </si>
  <si>
    <t>Refinery gas fired power plants</t>
  </si>
  <si>
    <t>Diesel oil fired power plants</t>
  </si>
  <si>
    <t>Fuel oil fired power plants</t>
  </si>
  <si>
    <t>Biomass and waste fired power plants</t>
  </si>
  <si>
    <t>Fuel cells</t>
  </si>
  <si>
    <t>Natural gas fuel cell power plant</t>
  </si>
  <si>
    <t>Hydrogen fuel cell power plant</t>
  </si>
  <si>
    <t>Wind power plants</t>
  </si>
  <si>
    <t>Onshore</t>
  </si>
  <si>
    <t>Offshore</t>
  </si>
  <si>
    <t>Solar PV power plants</t>
  </si>
  <si>
    <t>Solar thermal power plants</t>
  </si>
  <si>
    <t>Geothermal power plants</t>
  </si>
  <si>
    <t>Tide, wave and ocean power plants</t>
  </si>
  <si>
    <t>Tidal</t>
  </si>
  <si>
    <t>Wave</t>
  </si>
  <si>
    <t>Hydro plants</t>
  </si>
  <si>
    <t>Run-of-river</t>
  </si>
  <si>
    <t>Reservoirs (dams)</t>
  </si>
  <si>
    <t>Pump storage</t>
  </si>
  <si>
    <t>Typical unit size of a new power plant (kW)</t>
  </si>
  <si>
    <t>Default steam to electricity ratio for CHP units</t>
  </si>
  <si>
    <t>Type</t>
  </si>
  <si>
    <t>Technology</t>
  </si>
  <si>
    <t>Co-generation</t>
  </si>
  <si>
    <t>Size</t>
  </si>
  <si>
    <t>Desired range of operation</t>
  </si>
  <si>
    <t>min</t>
  </si>
  <si>
    <t>max</t>
  </si>
  <si>
    <t>Net efficiency</t>
  </si>
  <si>
    <t>Type:</t>
  </si>
  <si>
    <t>Technology:</t>
  </si>
  <si>
    <t>Co-generation:</t>
  </si>
  <si>
    <t>Size:</t>
  </si>
  <si>
    <t>diff</t>
  </si>
  <si>
    <t>range of values (different sizes)</t>
  </si>
  <si>
    <t>International fuel prices (€2010/toe)</t>
  </si>
  <si>
    <t>IF_BMS</t>
  </si>
  <si>
    <t>Fuel cells / NGS</t>
  </si>
  <si>
    <t>Fuel cells / H2</t>
  </si>
  <si>
    <t>End-user prices (€2010/toe)</t>
  </si>
  <si>
    <t>Annual operating hours:</t>
  </si>
  <si>
    <t>Levelized costs (€2010 / MWh net)</t>
  </si>
  <si>
    <t>CO2 price (€2010 / t CO2):</t>
  </si>
  <si>
    <t>Desired range of operation - minimum hours</t>
  </si>
  <si>
    <t>Desired range of operation - maximum hours</t>
  </si>
  <si>
    <t>Desired range of operation - actual hours</t>
  </si>
  <si>
    <t>Fuel costs</t>
  </si>
  <si>
    <t>€2010/MWh</t>
  </si>
  <si>
    <t>CO2 emission costs</t>
  </si>
  <si>
    <t>€2010 per MWh net</t>
  </si>
  <si>
    <t>Fuel and variable costs</t>
  </si>
  <si>
    <t>Fixed annual levelized costs</t>
  </si>
  <si>
    <t>Desired operating hours - minimum</t>
  </si>
  <si>
    <t>Desired operating hours - maximum</t>
  </si>
  <si>
    <t>Annual operating hours parameter set by user</t>
  </si>
  <si>
    <t>Plant type for comparison (left):</t>
  </si>
  <si>
    <t>Plant type for comparison (right):</t>
  </si>
  <si>
    <t>LEFT Desired operating hours - maximum to minimum diff</t>
  </si>
  <si>
    <t>RIGHT Desired operating hours - maximum to minimum diff</t>
  </si>
  <si>
    <t>single</t>
  </si>
  <si>
    <t>white</t>
  </si>
  <si>
    <t>common</t>
  </si>
  <si>
    <t>Discount rate (%):</t>
  </si>
  <si>
    <t>manual (discount rate):</t>
  </si>
  <si>
    <t>manual (CO2 price):</t>
  </si>
  <si>
    <t>Parameters to calculate levelized costs</t>
  </si>
  <si>
    <t>Own consumption</t>
  </si>
  <si>
    <t>Diff (Left-Right)</t>
  </si>
  <si>
    <t>CCS related costs</t>
  </si>
  <si>
    <t>CO2 emission related costs</t>
  </si>
  <si>
    <t>Available for investment</t>
  </si>
  <si>
    <t>Capital costs  €2010/kW gross</t>
  </si>
  <si>
    <t>Fix O&amp;M costs  €2010/kW gross</t>
  </si>
  <si>
    <t>Variable O&amp;M  costs €2010/MWh gross</t>
  </si>
  <si>
    <t>Efficiency</t>
  </si>
  <si>
    <t>Prepared by JRC C.6</t>
  </si>
  <si>
    <t>Legal Notice</t>
  </si>
  <si>
    <t>The information made available is property of the Joint Research Centre of the European Commission.</t>
  </si>
  <si>
    <t>Neither the European Commission nor any person acting on behalf of the Commission is responsible for the use which might be made of this information.</t>
  </si>
  <si>
    <t>Permission to Use</t>
  </si>
  <si>
    <t>Power generation technology assumptions</t>
  </si>
  <si>
    <t>Oil</t>
  </si>
  <si>
    <t>Gas</t>
  </si>
  <si>
    <t>Coal</t>
  </si>
  <si>
    <t/>
  </si>
  <si>
    <t>© European Union 2017-2019</t>
  </si>
  <si>
    <t>Developed to serve as input to the Central_2018 scenario</t>
  </si>
  <si>
    <t>Reproduction of the data is authorized provided the source is appropriately acknowledged.</t>
  </si>
  <si>
    <t>Variable O&amp;M  costs €2010/MWh</t>
  </si>
  <si>
    <t>Fix O&amp;M costs €2010/kW</t>
  </si>
  <si>
    <t>Capital costs €2010/kW</t>
  </si>
  <si>
    <t>Default emissions factor (t of CO2 / toe input)</t>
  </si>
  <si>
    <t>CCS factor (t of CO2 / toe input)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</si>
</sst>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64" formatCode="_-* #,##0.00_-;\-* #,##0.00_-;_-* &quot;-&quot;??_-;_-@_-"/>
    <numFmt numFmtId="165" formatCode="#,##0;\-#,##0;&quot;-&quot;"/>
    <numFmt numFmtId="166" formatCode="#,##0.000;\-#,##0.000;&quot;-&quot;"/>
    <numFmt numFmtId="167" formatCode="#,##0.0;\-#,##0.0;&quot;-&quot;"/>
    <numFmt numFmtId="168" formatCode="0.0"/>
    <numFmt numFmtId="169" formatCode="0.000"/>
    <numFmt numFmtId="170" formatCode="0_ ;\-0\ "/>
    <numFmt numFmtId="171" formatCode="0.0_ ;\-0.0\ "/>
    <numFmt numFmtId="172" formatCode="0.00_ ;\-0.00\ "/>
    <numFmt numFmtId="173" formatCode="#,##0.00;\-#,##0.00;&quot;-&quot;"/>
    <numFmt numFmtId="174" formatCode="0.00;\-0.00;&quot;-&quot;"/>
    <numFmt numFmtId="175" formatCode="0.0%"/>
    <numFmt numFmtId="176" formatCode="mmmm\ yyyy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10"/>
      <name val="Arial"/>
      <family val="2"/>
      <charset val="161"/>
    </font>
    <font>
      <sz val="8"/>
      <name val="Calibri"/>
      <family val="2"/>
      <scheme val="minor"/>
    </font>
    <font>
      <sz val="8"/>
      <color theme="7" tint="-0.499984740745262"/>
      <name val="Calibri"/>
      <family val="2"/>
      <scheme val="minor"/>
    </font>
    <font>
      <sz val="8"/>
      <color theme="6" tint="-0.499984740745262"/>
      <name val="Calibri"/>
      <family val="2"/>
      <scheme val="minor"/>
    </font>
    <font>
      <sz val="8"/>
      <color theme="8" tint="-0.499984740745262"/>
      <name val="Calibri"/>
      <family val="2"/>
      <scheme val="minor"/>
    </font>
    <font>
      <sz val="11"/>
      <color theme="6" tint="-0.499984740745262"/>
      <name val="Calibri"/>
      <family val="2"/>
      <scheme val="minor"/>
    </font>
    <font>
      <sz val="11"/>
      <color theme="7" tint="-0.499984740745262"/>
      <name val="Calibri"/>
      <family val="2"/>
      <scheme val="minor"/>
    </font>
    <font>
      <sz val="11"/>
      <color indexed="8"/>
      <name val="Calibri"/>
      <family val="2"/>
      <scheme val="minor"/>
    </font>
    <font>
      <sz val="10"/>
      <name val="Arial"/>
      <family val="2"/>
    </font>
    <font>
      <b/>
      <sz val="8"/>
      <color theme="8" tint="-0.499984740745262"/>
      <name val="Calibri"/>
      <family val="2"/>
      <scheme val="minor"/>
    </font>
    <font>
      <b/>
      <sz val="8"/>
      <color theme="5" tint="-0.499984740745262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name val="Arial"/>
      <family val="2"/>
    </font>
    <font>
      <b/>
      <sz val="24"/>
      <name val="Arial"/>
      <family val="2"/>
    </font>
    <font>
      <sz val="8"/>
      <name val="Arial"/>
      <family val="2"/>
    </font>
    <font>
      <b/>
      <sz val="22"/>
      <name val="Arial"/>
      <family val="2"/>
    </font>
    <font>
      <b/>
      <u/>
      <sz val="16"/>
      <name val="Arial"/>
      <family val="2"/>
    </font>
    <font>
      <b/>
      <sz val="14"/>
      <name val="Arial"/>
      <family val="2"/>
    </font>
    <font>
      <sz val="11"/>
      <color indexed="8"/>
      <name val="Calibri"/>
      <family val="2"/>
    </font>
    <font>
      <b/>
      <i/>
      <sz val="20"/>
      <name val="Arial"/>
      <family val="2"/>
    </font>
    <font>
      <b/>
      <sz val="22"/>
      <color theme="9" tint="-0.499984740745262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7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/>
      <top/>
      <bottom style="dotted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auto="1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 style="dotted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hair">
        <color indexed="64"/>
      </left>
      <right style="thin">
        <color indexed="64"/>
      </right>
      <top/>
      <bottom style="hair">
        <color auto="1"/>
      </bottom>
      <diagonal/>
    </border>
    <border>
      <left style="medium">
        <color indexed="64"/>
      </left>
      <right style="hair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/>
      <bottom style="dotted">
        <color indexed="64"/>
      </bottom>
      <diagonal/>
    </border>
    <border>
      <left style="hair">
        <color indexed="64"/>
      </left>
      <right/>
      <top style="dotted">
        <color indexed="64"/>
      </top>
      <bottom/>
      <diagonal/>
    </border>
    <border>
      <left/>
      <right style="medium">
        <color indexed="64"/>
      </right>
      <top style="dotted">
        <color indexed="64"/>
      </top>
      <bottom/>
      <diagonal/>
    </border>
    <border>
      <left style="medium">
        <color indexed="64"/>
      </left>
      <right/>
      <top style="dotted">
        <color indexed="64"/>
      </top>
      <bottom/>
      <diagonal/>
    </border>
    <border>
      <left/>
      <right style="hair">
        <color indexed="64"/>
      </right>
      <top style="dotted">
        <color indexed="64"/>
      </top>
      <bottom/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/>
      <top/>
      <bottom style="dotted">
        <color indexed="64"/>
      </bottom>
      <diagonal/>
    </border>
    <border>
      <left/>
      <right style="hair">
        <color indexed="64"/>
      </right>
      <top/>
      <bottom style="dotted">
        <color indexed="64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dotted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dotted">
        <color indexed="64"/>
      </bottom>
      <diagonal/>
    </border>
    <border>
      <left style="hair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/>
      <top style="thin">
        <color indexed="64"/>
      </top>
      <bottom style="dotted">
        <color indexed="64"/>
      </bottom>
      <diagonal/>
    </border>
    <border>
      <left/>
      <right style="hair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auto="1"/>
      </right>
      <top/>
      <bottom/>
      <diagonal/>
    </border>
    <border>
      <left style="hair">
        <color indexed="64"/>
      </left>
      <right style="medium">
        <color auto="1"/>
      </right>
      <top style="thin">
        <color indexed="64"/>
      </top>
      <bottom/>
      <diagonal/>
    </border>
    <border>
      <left style="hair">
        <color indexed="64"/>
      </left>
      <right style="medium">
        <color auto="1"/>
      </right>
      <top/>
      <bottom style="thin">
        <color indexed="64"/>
      </bottom>
      <diagonal/>
    </border>
    <border>
      <left style="hair">
        <color indexed="64"/>
      </left>
      <right style="medium">
        <color auto="1"/>
      </right>
      <top style="dotted">
        <color indexed="64"/>
      </top>
      <bottom/>
      <diagonal/>
    </border>
    <border>
      <left style="hair">
        <color indexed="64"/>
      </left>
      <right style="medium">
        <color auto="1"/>
      </right>
      <top/>
      <bottom style="dotted">
        <color indexed="64"/>
      </bottom>
      <diagonal/>
    </border>
    <border>
      <left style="hair">
        <color indexed="64"/>
      </left>
      <right style="medium">
        <color auto="1"/>
      </right>
      <top style="thin">
        <color indexed="64"/>
      </top>
      <bottom style="dotted">
        <color indexed="64"/>
      </bottom>
      <diagonal/>
    </border>
    <border>
      <left style="hair">
        <color indexed="64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/>
      <diagonal/>
    </border>
  </borders>
  <cellStyleXfs count="10">
    <xf numFmtId="0" fontId="0" fillId="0" borderId="0"/>
    <xf numFmtId="9" fontId="1" fillId="0" borderId="0" applyFont="0" applyFill="0" applyBorder="0" applyAlignment="0" applyProtection="0"/>
    <xf numFmtId="0" fontId="5" fillId="0" borderId="0"/>
    <xf numFmtId="0" fontId="12" fillId="0" borderId="0"/>
    <xf numFmtId="0" fontId="13" fillId="0" borderId="0"/>
    <xf numFmtId="9" fontId="5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3" fillId="0" borderId="0"/>
    <xf numFmtId="164" fontId="1" fillId="0" borderId="0" applyFont="0" applyFill="0" applyBorder="0" applyAlignment="0" applyProtection="0"/>
    <xf numFmtId="9" fontId="23" fillId="0" borderId="0" applyFont="0" applyFill="0" applyBorder="0" applyAlignment="0" applyProtection="0"/>
  </cellStyleXfs>
  <cellXfs count="390">
    <xf numFmtId="0" fontId="0" fillId="0" borderId="0" xfId="0"/>
    <xf numFmtId="0" fontId="2" fillId="2" borderId="2" xfId="0" applyFont="1" applyFill="1" applyBorder="1" applyAlignment="1">
      <alignment vertical="center"/>
    </xf>
    <xf numFmtId="0" fontId="9" fillId="0" borderId="9" xfId="0" applyFont="1" applyBorder="1" applyAlignment="1">
      <alignment vertical="center"/>
    </xf>
    <xf numFmtId="0" fontId="9" fillId="0" borderId="21" xfId="0" applyFont="1" applyBorder="1" applyAlignment="1">
      <alignment vertical="center"/>
    </xf>
    <xf numFmtId="0" fontId="9" fillId="0" borderId="27" xfId="0" applyFont="1" applyBorder="1" applyAlignment="1">
      <alignment vertical="center"/>
    </xf>
    <xf numFmtId="0" fontId="7" fillId="0" borderId="51" xfId="0" applyFont="1" applyBorder="1" applyAlignment="1">
      <alignment horizontal="left" vertical="center"/>
    </xf>
    <xf numFmtId="0" fontId="8" fillId="0" borderId="52" xfId="0" applyFont="1" applyBorder="1" applyAlignment="1">
      <alignment vertical="center"/>
    </xf>
    <xf numFmtId="0" fontId="8" fillId="0" borderId="27" xfId="0" applyFont="1" applyBorder="1" applyAlignment="1">
      <alignment vertical="center"/>
    </xf>
    <xf numFmtId="165" fontId="6" fillId="0" borderId="5" xfId="0" applyNumberFormat="1" applyFont="1" applyBorder="1" applyAlignment="1">
      <alignment vertical="center"/>
    </xf>
    <xf numFmtId="165" fontId="6" fillId="0" borderId="0" xfId="0" applyNumberFormat="1" applyFont="1" applyAlignment="1">
      <alignment vertical="center"/>
    </xf>
    <xf numFmtId="166" fontId="6" fillId="0" borderId="0" xfId="0" applyNumberFormat="1" applyFont="1" applyAlignment="1">
      <alignment vertical="center"/>
    </xf>
    <xf numFmtId="165" fontId="6" fillId="0" borderId="36" xfId="0" applyNumberFormat="1" applyFont="1" applyBorder="1" applyAlignment="1">
      <alignment vertical="center"/>
    </xf>
    <xf numFmtId="165" fontId="6" fillId="0" borderId="16" xfId="0" applyNumberFormat="1" applyFont="1" applyBorder="1" applyAlignment="1">
      <alignment vertical="center"/>
    </xf>
    <xf numFmtId="166" fontId="6" fillId="0" borderId="16" xfId="0" applyNumberFormat="1" applyFont="1" applyBorder="1" applyAlignment="1">
      <alignment vertical="center"/>
    </xf>
    <xf numFmtId="165" fontId="6" fillId="0" borderId="41" xfId="0" applyNumberFormat="1" applyFont="1" applyBorder="1" applyAlignment="1">
      <alignment vertical="center"/>
    </xf>
    <xf numFmtId="165" fontId="6" fillId="0" borderId="25" xfId="0" applyNumberFormat="1" applyFont="1" applyBorder="1" applyAlignment="1">
      <alignment vertical="center"/>
    </xf>
    <xf numFmtId="166" fontId="6" fillId="0" borderId="25" xfId="0" applyNumberFormat="1" applyFont="1" applyBorder="1" applyAlignment="1">
      <alignment vertical="center"/>
    </xf>
    <xf numFmtId="165" fontId="6" fillId="0" borderId="44" xfId="0" applyNumberFormat="1" applyFont="1" applyBorder="1" applyAlignment="1">
      <alignment vertical="center"/>
    </xf>
    <xf numFmtId="165" fontId="6" fillId="0" borderId="19" xfId="0" applyNumberFormat="1" applyFont="1" applyBorder="1" applyAlignment="1">
      <alignment vertical="center"/>
    </xf>
    <xf numFmtId="166" fontId="6" fillId="0" borderId="19" xfId="0" applyNumberFormat="1" applyFont="1" applyBorder="1" applyAlignment="1">
      <alignment vertical="center"/>
    </xf>
    <xf numFmtId="165" fontId="6" fillId="0" borderId="48" xfId="0" applyNumberFormat="1" applyFont="1" applyBorder="1" applyAlignment="1">
      <alignment vertical="center"/>
    </xf>
    <xf numFmtId="165" fontId="6" fillId="0" borderId="32" xfId="0" applyNumberFormat="1" applyFont="1" applyBorder="1" applyAlignment="1">
      <alignment vertical="center"/>
    </xf>
    <xf numFmtId="166" fontId="6" fillId="0" borderId="32" xfId="0" applyNumberFormat="1" applyFont="1" applyBorder="1" applyAlignment="1">
      <alignment vertical="center"/>
    </xf>
    <xf numFmtId="165" fontId="6" fillId="0" borderId="55" xfId="0" applyNumberFormat="1" applyFont="1" applyBorder="1" applyAlignment="1">
      <alignment vertical="center"/>
    </xf>
    <xf numFmtId="165" fontId="6" fillId="0" borderId="53" xfId="0" applyNumberFormat="1" applyFont="1" applyBorder="1" applyAlignment="1">
      <alignment vertical="center"/>
    </xf>
    <xf numFmtId="166" fontId="6" fillId="0" borderId="53" xfId="0" applyNumberFormat="1" applyFont="1" applyBorder="1" applyAlignment="1">
      <alignment vertical="center"/>
    </xf>
    <xf numFmtId="165" fontId="6" fillId="0" borderId="11" xfId="0" applyNumberFormat="1" applyFont="1" applyBorder="1" applyAlignment="1">
      <alignment vertical="center"/>
    </xf>
    <xf numFmtId="165" fontId="6" fillId="0" borderId="12" xfId="0" applyNumberFormat="1" applyFont="1" applyBorder="1" applyAlignment="1">
      <alignment vertical="center"/>
    </xf>
    <xf numFmtId="166" fontId="6" fillId="0" borderId="12" xfId="0" applyNumberFormat="1" applyFont="1" applyBorder="1" applyAlignment="1">
      <alignment vertical="center"/>
    </xf>
    <xf numFmtId="167" fontId="6" fillId="0" borderId="16" xfId="0" applyNumberFormat="1" applyFont="1" applyBorder="1" applyAlignment="1">
      <alignment vertical="center"/>
    </xf>
    <xf numFmtId="167" fontId="6" fillId="0" borderId="0" xfId="0" applyNumberFormat="1" applyFont="1" applyAlignment="1">
      <alignment vertical="center"/>
    </xf>
    <xf numFmtId="167" fontId="6" fillId="0" borderId="25" xfId="0" applyNumberFormat="1" applyFont="1" applyBorder="1" applyAlignment="1">
      <alignment vertical="center"/>
    </xf>
    <xf numFmtId="167" fontId="6" fillId="0" borderId="19" xfId="0" applyNumberFormat="1" applyFont="1" applyBorder="1" applyAlignment="1">
      <alignment vertical="center"/>
    </xf>
    <xf numFmtId="167" fontId="6" fillId="0" borderId="32" xfId="0" applyNumberFormat="1" applyFont="1" applyBorder="1" applyAlignment="1">
      <alignment vertical="center"/>
    </xf>
    <xf numFmtId="167" fontId="6" fillId="0" borderId="53" xfId="0" applyNumberFormat="1" applyFont="1" applyBorder="1" applyAlignment="1">
      <alignment vertical="center"/>
    </xf>
    <xf numFmtId="167" fontId="6" fillId="0" borderId="12" xfId="0" applyNumberFormat="1" applyFont="1" applyBorder="1" applyAlignment="1">
      <alignment vertical="center"/>
    </xf>
    <xf numFmtId="168" fontId="6" fillId="0" borderId="0" xfId="0" applyNumberFormat="1" applyFont="1" applyAlignment="1">
      <alignment vertical="center"/>
    </xf>
    <xf numFmtId="168" fontId="6" fillId="0" borderId="16" xfId="0" quotePrefix="1" applyNumberFormat="1" applyFont="1" applyBorder="1" applyAlignment="1">
      <alignment vertical="center"/>
    </xf>
    <xf numFmtId="168" fontId="6" fillId="0" borderId="0" xfId="0" quotePrefix="1" applyNumberFormat="1" applyFont="1" applyAlignment="1">
      <alignment vertical="center"/>
    </xf>
    <xf numFmtId="168" fontId="6" fillId="0" borderId="25" xfId="0" quotePrefix="1" applyNumberFormat="1" applyFont="1" applyBorder="1" applyAlignment="1">
      <alignment vertical="center"/>
    </xf>
    <xf numFmtId="168" fontId="6" fillId="0" borderId="19" xfId="0" quotePrefix="1" applyNumberFormat="1" applyFont="1" applyBorder="1" applyAlignment="1">
      <alignment vertical="center"/>
    </xf>
    <xf numFmtId="168" fontId="6" fillId="0" borderId="32" xfId="0" quotePrefix="1" applyNumberFormat="1" applyFont="1" applyBorder="1" applyAlignment="1">
      <alignment vertical="center"/>
    </xf>
    <xf numFmtId="168" fontId="6" fillId="0" borderId="53" xfId="0" quotePrefix="1" applyNumberFormat="1" applyFont="1" applyBorder="1" applyAlignment="1">
      <alignment vertical="center"/>
    </xf>
    <xf numFmtId="168" fontId="6" fillId="0" borderId="12" xfId="0" quotePrefix="1" applyNumberFormat="1" applyFont="1" applyBorder="1" applyAlignment="1">
      <alignment vertical="center"/>
    </xf>
    <xf numFmtId="1" fontId="6" fillId="0" borderId="0" xfId="0" applyNumberFormat="1" applyFont="1" applyAlignment="1">
      <alignment vertical="center"/>
    </xf>
    <xf numFmtId="1" fontId="6" fillId="0" borderId="16" xfId="0" applyNumberFormat="1" applyFont="1" applyBorder="1" applyAlignment="1">
      <alignment vertical="center"/>
    </xf>
    <xf numFmtId="1" fontId="6" fillId="0" borderId="25" xfId="0" applyNumberFormat="1" applyFont="1" applyBorder="1" applyAlignment="1">
      <alignment vertical="center"/>
    </xf>
    <xf numFmtId="1" fontId="6" fillId="0" borderId="19" xfId="0" applyNumberFormat="1" applyFont="1" applyBorder="1" applyAlignment="1">
      <alignment vertical="center"/>
    </xf>
    <xf numFmtId="1" fontId="6" fillId="0" borderId="32" xfId="0" applyNumberFormat="1" applyFont="1" applyBorder="1" applyAlignment="1">
      <alignment vertical="center"/>
    </xf>
    <xf numFmtId="1" fontId="6" fillId="0" borderId="53" xfId="0" applyNumberFormat="1" applyFont="1" applyBorder="1" applyAlignment="1">
      <alignment vertical="center"/>
    </xf>
    <xf numFmtId="1" fontId="6" fillId="0" borderId="12" xfId="0" applyNumberFormat="1" applyFont="1" applyBorder="1" applyAlignment="1">
      <alignment vertical="center"/>
    </xf>
    <xf numFmtId="1" fontId="6" fillId="0" borderId="10" xfId="0" applyNumberFormat="1" applyFont="1" applyBorder="1" applyAlignment="1">
      <alignment vertical="center"/>
    </xf>
    <xf numFmtId="1" fontId="6" fillId="0" borderId="35" xfId="0" applyNumberFormat="1" applyFont="1" applyBorder="1" applyAlignment="1">
      <alignment vertical="center"/>
    </xf>
    <xf numFmtId="1" fontId="6" fillId="0" borderId="40" xfId="0" applyNumberFormat="1" applyFont="1" applyBorder="1" applyAlignment="1">
      <alignment vertical="center"/>
    </xf>
    <xf numFmtId="1" fontId="6" fillId="0" borderId="43" xfId="0" applyNumberFormat="1" applyFont="1" applyBorder="1" applyAlignment="1">
      <alignment vertical="center"/>
    </xf>
    <xf numFmtId="1" fontId="6" fillId="0" borderId="47" xfId="0" applyNumberFormat="1" applyFont="1" applyBorder="1" applyAlignment="1">
      <alignment vertical="center"/>
    </xf>
    <xf numFmtId="1" fontId="6" fillId="0" borderId="54" xfId="0" applyNumberFormat="1" applyFont="1" applyBorder="1" applyAlignment="1">
      <alignment vertical="center"/>
    </xf>
    <xf numFmtId="1" fontId="6" fillId="0" borderId="15" xfId="0" applyNumberFormat="1" applyFont="1" applyBorder="1" applyAlignment="1">
      <alignment vertical="center"/>
    </xf>
    <xf numFmtId="0" fontId="9" fillId="0" borderId="39" xfId="0" applyFont="1" applyBorder="1" applyAlignment="1">
      <alignment vertical="center"/>
    </xf>
    <xf numFmtId="0" fontId="9" fillId="0" borderId="38" xfId="0" applyFont="1" applyBorder="1" applyAlignment="1">
      <alignment vertical="center"/>
    </xf>
    <xf numFmtId="0" fontId="9" fillId="0" borderId="52" xfId="0" applyFont="1" applyBorder="1" applyAlignment="1">
      <alignment vertical="center"/>
    </xf>
    <xf numFmtId="0" fontId="9" fillId="0" borderId="59" xfId="0" applyFont="1" applyBorder="1" applyAlignment="1">
      <alignment vertical="center"/>
    </xf>
    <xf numFmtId="0" fontId="9" fillId="0" borderId="60" xfId="0" applyFont="1" applyBorder="1" applyAlignment="1">
      <alignment vertical="center"/>
    </xf>
    <xf numFmtId="0" fontId="9" fillId="0" borderId="61" xfId="0" applyFont="1" applyBorder="1" applyAlignment="1">
      <alignment vertical="center"/>
    </xf>
    <xf numFmtId="0" fontId="9" fillId="0" borderId="62" xfId="0" applyFont="1" applyBorder="1" applyAlignment="1">
      <alignment vertical="center"/>
    </xf>
    <xf numFmtId="0" fontId="9" fillId="0" borderId="63" xfId="0" applyFont="1" applyBorder="1" applyAlignment="1">
      <alignment vertical="center"/>
    </xf>
    <xf numFmtId="0" fontId="9" fillId="0" borderId="64" xfId="0" applyFont="1" applyBorder="1" applyAlignment="1">
      <alignment vertical="center"/>
    </xf>
    <xf numFmtId="0" fontId="9" fillId="0" borderId="65" xfId="0" applyFont="1" applyBorder="1" applyAlignment="1">
      <alignment vertical="center"/>
    </xf>
    <xf numFmtId="1" fontId="2" fillId="2" borderId="12" xfId="0" applyNumberFormat="1" applyFont="1" applyFill="1" applyBorder="1" applyAlignment="1">
      <alignment horizontal="center" vertical="center" wrapText="1"/>
    </xf>
    <xf numFmtId="2" fontId="6" fillId="0" borderId="0" xfId="0" applyNumberFormat="1" applyFont="1" applyAlignment="1">
      <alignment vertical="center"/>
    </xf>
    <xf numFmtId="2" fontId="6" fillId="0" borderId="16" xfId="0" applyNumberFormat="1" applyFont="1" applyBorder="1" applyAlignment="1">
      <alignment vertical="center"/>
    </xf>
    <xf numFmtId="2" fontId="6" fillId="0" borderId="25" xfId="0" applyNumberFormat="1" applyFont="1" applyBorder="1" applyAlignment="1">
      <alignment vertical="center"/>
    </xf>
    <xf numFmtId="2" fontId="6" fillId="0" borderId="19" xfId="0" applyNumberFormat="1" applyFont="1" applyBorder="1" applyAlignment="1">
      <alignment vertical="center"/>
    </xf>
    <xf numFmtId="2" fontId="6" fillId="0" borderId="32" xfId="0" applyNumberFormat="1" applyFont="1" applyBorder="1" applyAlignment="1">
      <alignment vertical="center"/>
    </xf>
    <xf numFmtId="2" fontId="6" fillId="0" borderId="53" xfId="0" applyNumberFormat="1" applyFont="1" applyBorder="1" applyAlignment="1">
      <alignment vertical="center"/>
    </xf>
    <xf numFmtId="2" fontId="6" fillId="0" borderId="12" xfId="0" applyNumberFormat="1" applyFont="1" applyBorder="1" applyAlignment="1">
      <alignment vertical="center"/>
    </xf>
    <xf numFmtId="169" fontId="6" fillId="0" borderId="0" xfId="0" applyNumberFormat="1" applyFont="1" applyAlignment="1">
      <alignment vertical="center"/>
    </xf>
    <xf numFmtId="169" fontId="6" fillId="0" borderId="16" xfId="0" applyNumberFormat="1" applyFont="1" applyBorder="1" applyAlignment="1">
      <alignment vertical="center"/>
    </xf>
    <xf numFmtId="169" fontId="6" fillId="0" borderId="25" xfId="0" applyNumberFormat="1" applyFont="1" applyBorder="1" applyAlignment="1">
      <alignment vertical="center"/>
    </xf>
    <xf numFmtId="169" fontId="6" fillId="0" borderId="19" xfId="0" applyNumberFormat="1" applyFont="1" applyBorder="1" applyAlignment="1">
      <alignment vertical="center"/>
    </xf>
    <xf numFmtId="169" fontId="6" fillId="0" borderId="32" xfId="0" applyNumberFormat="1" applyFont="1" applyBorder="1" applyAlignment="1">
      <alignment vertical="center"/>
    </xf>
    <xf numFmtId="169" fontId="6" fillId="0" borderId="53" xfId="0" applyNumberFormat="1" applyFont="1" applyBorder="1" applyAlignment="1">
      <alignment vertical="center"/>
    </xf>
    <xf numFmtId="169" fontId="6" fillId="0" borderId="12" xfId="0" applyNumberFormat="1" applyFont="1" applyBorder="1" applyAlignment="1">
      <alignment vertical="center"/>
    </xf>
    <xf numFmtId="1" fontId="2" fillId="2" borderId="15" xfId="0" applyNumberFormat="1" applyFont="1" applyFill="1" applyBorder="1" applyAlignment="1">
      <alignment horizontal="center" vertical="center" wrapText="1"/>
    </xf>
    <xf numFmtId="169" fontId="6" fillId="0" borderId="10" xfId="0" applyNumberFormat="1" applyFont="1" applyBorder="1" applyAlignment="1">
      <alignment vertical="center"/>
    </xf>
    <xf numFmtId="169" fontId="6" fillId="0" borderId="35" xfId="0" applyNumberFormat="1" applyFont="1" applyBorder="1" applyAlignment="1">
      <alignment vertical="center"/>
    </xf>
    <xf numFmtId="169" fontId="6" fillId="0" borderId="40" xfId="0" applyNumberFormat="1" applyFont="1" applyBorder="1" applyAlignment="1">
      <alignment vertical="center"/>
    </xf>
    <xf numFmtId="169" fontId="6" fillId="0" borderId="43" xfId="0" applyNumberFormat="1" applyFont="1" applyBorder="1" applyAlignment="1">
      <alignment vertical="center"/>
    </xf>
    <xf numFmtId="169" fontId="6" fillId="0" borderId="47" xfId="0" applyNumberFormat="1" applyFont="1" applyBorder="1" applyAlignment="1">
      <alignment vertical="center"/>
    </xf>
    <xf numFmtId="169" fontId="6" fillId="0" borderId="54" xfId="0" applyNumberFormat="1" applyFont="1" applyBorder="1" applyAlignment="1">
      <alignment vertical="center"/>
    </xf>
    <xf numFmtId="169" fontId="6" fillId="0" borderId="15" xfId="0" applyNumberFormat="1" applyFont="1" applyBorder="1" applyAlignment="1">
      <alignment vertical="center"/>
    </xf>
    <xf numFmtId="170" fontId="6" fillId="0" borderId="0" xfId="0" applyNumberFormat="1" applyFont="1" applyAlignment="1">
      <alignment vertical="center"/>
    </xf>
    <xf numFmtId="170" fontId="6" fillId="0" borderId="10" xfId="0" applyNumberFormat="1" applyFont="1" applyBorder="1" applyAlignment="1">
      <alignment vertical="center"/>
    </xf>
    <xf numFmtId="170" fontId="6" fillId="0" borderId="16" xfId="0" applyNumberFormat="1" applyFont="1" applyBorder="1" applyAlignment="1">
      <alignment vertical="center"/>
    </xf>
    <xf numFmtId="170" fontId="6" fillId="0" borderId="35" xfId="0" applyNumberFormat="1" applyFont="1" applyBorder="1" applyAlignment="1">
      <alignment vertical="center"/>
    </xf>
    <xf numFmtId="170" fontId="6" fillId="0" borderId="25" xfId="0" applyNumberFormat="1" applyFont="1" applyBorder="1" applyAlignment="1">
      <alignment vertical="center"/>
    </xf>
    <xf numFmtId="170" fontId="6" fillId="0" borderId="40" xfId="0" applyNumberFormat="1" applyFont="1" applyBorder="1" applyAlignment="1">
      <alignment vertical="center"/>
    </xf>
    <xf numFmtId="170" fontId="6" fillId="0" borderId="19" xfId="0" applyNumberFormat="1" applyFont="1" applyBorder="1" applyAlignment="1">
      <alignment vertical="center"/>
    </xf>
    <xf numFmtId="170" fontId="6" fillId="0" borderId="43" xfId="0" applyNumberFormat="1" applyFont="1" applyBorder="1" applyAlignment="1">
      <alignment vertical="center"/>
    </xf>
    <xf numFmtId="170" fontId="6" fillId="0" borderId="32" xfId="0" applyNumberFormat="1" applyFont="1" applyBorder="1" applyAlignment="1">
      <alignment vertical="center"/>
    </xf>
    <xf numFmtId="170" fontId="6" fillId="0" borderId="47" xfId="0" applyNumberFormat="1" applyFont="1" applyBorder="1" applyAlignment="1">
      <alignment vertical="center"/>
    </xf>
    <xf numFmtId="170" fontId="6" fillId="0" borderId="53" xfId="0" applyNumberFormat="1" applyFont="1" applyBorder="1" applyAlignment="1">
      <alignment vertical="center"/>
    </xf>
    <xf numFmtId="170" fontId="6" fillId="0" borderId="54" xfId="0" applyNumberFormat="1" applyFont="1" applyBorder="1" applyAlignment="1">
      <alignment vertical="center"/>
    </xf>
    <xf numFmtId="170" fontId="6" fillId="0" borderId="12" xfId="0" applyNumberFormat="1" applyFont="1" applyBorder="1" applyAlignment="1">
      <alignment vertical="center"/>
    </xf>
    <xf numFmtId="170" fontId="6" fillId="0" borderId="15" xfId="0" applyNumberFormat="1" applyFont="1" applyBorder="1" applyAlignment="1">
      <alignment vertical="center"/>
    </xf>
    <xf numFmtId="171" fontId="6" fillId="0" borderId="0" xfId="0" applyNumberFormat="1" applyFont="1" applyAlignment="1">
      <alignment vertical="center"/>
    </xf>
    <xf numFmtId="171" fontId="6" fillId="0" borderId="10" xfId="0" applyNumberFormat="1" applyFont="1" applyBorder="1" applyAlignment="1">
      <alignment vertical="center"/>
    </xf>
    <xf numFmtId="171" fontId="6" fillId="0" borderId="16" xfId="0" applyNumberFormat="1" applyFont="1" applyBorder="1" applyAlignment="1">
      <alignment vertical="center"/>
    </xf>
    <xf numFmtId="171" fontId="6" fillId="0" borderId="35" xfId="0" applyNumberFormat="1" applyFont="1" applyBorder="1" applyAlignment="1">
      <alignment vertical="center"/>
    </xf>
    <xf numFmtId="171" fontId="6" fillId="0" borderId="25" xfId="0" applyNumberFormat="1" applyFont="1" applyBorder="1" applyAlignment="1">
      <alignment vertical="center"/>
    </xf>
    <xf numFmtId="171" fontId="6" fillId="0" borderId="40" xfId="0" applyNumberFormat="1" applyFont="1" applyBorder="1" applyAlignment="1">
      <alignment vertical="center"/>
    </xf>
    <xf numFmtId="171" fontId="6" fillId="0" borderId="19" xfId="0" applyNumberFormat="1" applyFont="1" applyBorder="1" applyAlignment="1">
      <alignment vertical="center"/>
    </xf>
    <xf numFmtId="171" fontId="6" fillId="0" borderId="43" xfId="0" applyNumberFormat="1" applyFont="1" applyBorder="1" applyAlignment="1">
      <alignment vertical="center"/>
    </xf>
    <xf numFmtId="171" fontId="6" fillId="0" borderId="32" xfId="0" applyNumberFormat="1" applyFont="1" applyBorder="1" applyAlignment="1">
      <alignment vertical="center"/>
    </xf>
    <xf numFmtId="171" fontId="6" fillId="0" borderId="47" xfId="0" applyNumberFormat="1" applyFont="1" applyBorder="1" applyAlignment="1">
      <alignment vertical="center"/>
    </xf>
    <xf numFmtId="171" fontId="6" fillId="0" borderId="53" xfId="0" applyNumberFormat="1" applyFont="1" applyBorder="1" applyAlignment="1">
      <alignment vertical="center"/>
    </xf>
    <xf numFmtId="171" fontId="6" fillId="0" borderId="54" xfId="0" applyNumberFormat="1" applyFont="1" applyBorder="1" applyAlignment="1">
      <alignment vertical="center"/>
    </xf>
    <xf numFmtId="171" fontId="6" fillId="0" borderId="12" xfId="0" applyNumberFormat="1" applyFont="1" applyBorder="1" applyAlignment="1">
      <alignment vertical="center"/>
    </xf>
    <xf numFmtId="171" fontId="6" fillId="0" borderId="15" xfId="0" applyNumberFormat="1" applyFont="1" applyBorder="1" applyAlignment="1">
      <alignment vertical="center"/>
    </xf>
    <xf numFmtId="172" fontId="6" fillId="0" borderId="0" xfId="0" applyNumberFormat="1" applyFont="1" applyAlignment="1">
      <alignment vertical="center"/>
    </xf>
    <xf numFmtId="172" fontId="6" fillId="0" borderId="10" xfId="0" applyNumberFormat="1" applyFont="1" applyBorder="1" applyAlignment="1">
      <alignment vertical="center"/>
    </xf>
    <xf numFmtId="172" fontId="6" fillId="0" borderId="16" xfId="0" applyNumberFormat="1" applyFont="1" applyBorder="1" applyAlignment="1">
      <alignment vertical="center"/>
    </xf>
    <xf numFmtId="172" fontId="6" fillId="0" borderId="35" xfId="0" applyNumberFormat="1" applyFont="1" applyBorder="1" applyAlignment="1">
      <alignment vertical="center"/>
    </xf>
    <xf numFmtId="172" fontId="6" fillId="0" borderId="25" xfId="0" applyNumberFormat="1" applyFont="1" applyBorder="1" applyAlignment="1">
      <alignment vertical="center"/>
    </xf>
    <xf numFmtId="172" fontId="6" fillId="0" borderId="40" xfId="0" applyNumberFormat="1" applyFont="1" applyBorder="1" applyAlignment="1">
      <alignment vertical="center"/>
    </xf>
    <xf numFmtId="172" fontId="6" fillId="0" borderId="19" xfId="0" applyNumberFormat="1" applyFont="1" applyBorder="1" applyAlignment="1">
      <alignment vertical="center"/>
    </xf>
    <xf numFmtId="172" fontId="6" fillId="0" borderId="43" xfId="0" applyNumberFormat="1" applyFont="1" applyBorder="1" applyAlignment="1">
      <alignment vertical="center"/>
    </xf>
    <xf numFmtId="172" fontId="6" fillId="0" borderId="32" xfId="0" applyNumberFormat="1" applyFont="1" applyBorder="1" applyAlignment="1">
      <alignment vertical="center"/>
    </xf>
    <xf numFmtId="172" fontId="6" fillId="0" borderId="47" xfId="0" applyNumberFormat="1" applyFont="1" applyBorder="1" applyAlignment="1">
      <alignment vertical="center"/>
    </xf>
    <xf numFmtId="172" fontId="6" fillId="0" borderId="53" xfId="0" applyNumberFormat="1" applyFont="1" applyBorder="1" applyAlignment="1">
      <alignment vertical="center"/>
    </xf>
    <xf numFmtId="172" fontId="6" fillId="0" borderId="54" xfId="0" applyNumberFormat="1" applyFont="1" applyBorder="1" applyAlignment="1">
      <alignment vertical="center"/>
    </xf>
    <xf numFmtId="172" fontId="6" fillId="0" borderId="12" xfId="0" applyNumberFormat="1" applyFont="1" applyBorder="1" applyAlignment="1">
      <alignment vertical="center"/>
    </xf>
    <xf numFmtId="172" fontId="6" fillId="0" borderId="15" xfId="0" applyNumberFormat="1" applyFont="1" applyBorder="1" applyAlignment="1">
      <alignment vertical="center"/>
    </xf>
    <xf numFmtId="0" fontId="2" fillId="0" borderId="0" xfId="0" applyFont="1"/>
    <xf numFmtId="0" fontId="2" fillId="0" borderId="34" xfId="0" applyFont="1" applyBorder="1"/>
    <xf numFmtId="0" fontId="2" fillId="0" borderId="16" xfId="0" applyFont="1" applyBorder="1"/>
    <xf numFmtId="0" fontId="2" fillId="0" borderId="67" xfId="0" applyFont="1" applyBorder="1"/>
    <xf numFmtId="0" fontId="2" fillId="0" borderId="6" xfId="0" applyFont="1" applyBorder="1"/>
    <xf numFmtId="0" fontId="2" fillId="0" borderId="68" xfId="0" applyFont="1" applyBorder="1"/>
    <xf numFmtId="0" fontId="2" fillId="0" borderId="46" xfId="0" applyFont="1" applyBorder="1"/>
    <xf numFmtId="0" fontId="2" fillId="0" borderId="32" xfId="0" applyFont="1" applyBorder="1"/>
    <xf numFmtId="0" fontId="2" fillId="0" borderId="69" xfId="0" applyFont="1" applyBorder="1"/>
    <xf numFmtId="0" fontId="2" fillId="0" borderId="21" xfId="0" applyFont="1" applyBorder="1"/>
    <xf numFmtId="0" fontId="2" fillId="0" borderId="9" xfId="0" applyFont="1" applyBorder="1"/>
    <xf numFmtId="0" fontId="2" fillId="0" borderId="27" xfId="0" applyFont="1" applyBorder="1"/>
    <xf numFmtId="0" fontId="2" fillId="0" borderId="37" xfId="0" applyFont="1" applyBorder="1"/>
    <xf numFmtId="0" fontId="2" fillId="0" borderId="8" xfId="0" applyFont="1" applyBorder="1"/>
    <xf numFmtId="0" fontId="2" fillId="0" borderId="49" xfId="0" applyFont="1" applyBorder="1"/>
    <xf numFmtId="0" fontId="2" fillId="0" borderId="67" xfId="0" quotePrefix="1" applyFont="1" applyBorder="1"/>
    <xf numFmtId="0" fontId="2" fillId="0" borderId="68" xfId="0" quotePrefix="1" applyFont="1" applyBorder="1"/>
    <xf numFmtId="0" fontId="2" fillId="0" borderId="69" xfId="0" quotePrefix="1" applyFont="1" applyBorder="1"/>
    <xf numFmtId="0" fontId="2" fillId="0" borderId="0" xfId="0" quotePrefix="1" applyFont="1"/>
    <xf numFmtId="0" fontId="2" fillId="0" borderId="32" xfId="0" quotePrefix="1" applyFont="1" applyBorder="1"/>
    <xf numFmtId="0" fontId="2" fillId="0" borderId="70" xfId="0" applyFont="1" applyBorder="1"/>
    <xf numFmtId="0" fontId="2" fillId="0" borderId="71" xfId="0" applyFont="1" applyBorder="1"/>
    <xf numFmtId="0" fontId="2" fillId="0" borderId="72" xfId="0" applyFont="1" applyBorder="1"/>
    <xf numFmtId="0" fontId="2" fillId="4" borderId="0" xfId="0" applyFont="1" applyFill="1"/>
    <xf numFmtId="0" fontId="2" fillId="3" borderId="0" xfId="0" applyFont="1" applyFill="1"/>
    <xf numFmtId="0" fontId="9" fillId="0" borderId="14" xfId="0" applyFont="1" applyBorder="1" applyAlignment="1">
      <alignment vertical="center"/>
    </xf>
    <xf numFmtId="0" fontId="3" fillId="0" borderId="0" xfId="0" applyFont="1"/>
    <xf numFmtId="169" fontId="6" fillId="0" borderId="9" xfId="0" applyNumberFormat="1" applyFont="1" applyBorder="1" applyAlignment="1">
      <alignment vertical="center"/>
    </xf>
    <xf numFmtId="169" fontId="6" fillId="0" borderId="8" xfId="0" applyNumberFormat="1" applyFont="1" applyBorder="1" applyAlignment="1">
      <alignment vertical="center"/>
    </xf>
    <xf numFmtId="169" fontId="6" fillId="0" borderId="21" xfId="0" applyNumberFormat="1" applyFont="1" applyBorder="1" applyAlignment="1">
      <alignment vertical="center"/>
    </xf>
    <xf numFmtId="169" fontId="6" fillId="0" borderId="37" xfId="0" applyNumberFormat="1" applyFont="1" applyBorder="1" applyAlignment="1">
      <alignment vertical="center"/>
    </xf>
    <xf numFmtId="169" fontId="6" fillId="0" borderId="39" xfId="0" applyNumberFormat="1" applyFont="1" applyBorder="1" applyAlignment="1">
      <alignment vertical="center"/>
    </xf>
    <xf numFmtId="169" fontId="6" fillId="0" borderId="42" xfId="0" applyNumberFormat="1" applyFont="1" applyBorder="1" applyAlignment="1">
      <alignment vertical="center"/>
    </xf>
    <xf numFmtId="169" fontId="6" fillId="0" borderId="38" xfId="0" applyNumberFormat="1" applyFont="1" applyBorder="1" applyAlignment="1">
      <alignment vertical="center"/>
    </xf>
    <xf numFmtId="169" fontId="6" fillId="0" borderId="45" xfId="0" applyNumberFormat="1" applyFont="1" applyBorder="1" applyAlignment="1">
      <alignment vertical="center"/>
    </xf>
    <xf numFmtId="169" fontId="6" fillId="0" borderId="27" xfId="0" applyNumberFormat="1" applyFont="1" applyBorder="1" applyAlignment="1">
      <alignment vertical="center"/>
    </xf>
    <xf numFmtId="169" fontId="6" fillId="0" borderId="49" xfId="0" applyNumberFormat="1" applyFont="1" applyBorder="1" applyAlignment="1">
      <alignment vertical="center"/>
    </xf>
    <xf numFmtId="169" fontId="6" fillId="0" borderId="52" xfId="0" applyNumberFormat="1" applyFont="1" applyBorder="1" applyAlignment="1">
      <alignment vertical="center"/>
    </xf>
    <xf numFmtId="169" fontId="6" fillId="0" borderId="56" xfId="0" applyNumberFormat="1" applyFont="1" applyBorder="1" applyAlignment="1">
      <alignment vertical="center"/>
    </xf>
    <xf numFmtId="169" fontId="6" fillId="0" borderId="14" xfId="0" applyNumberFormat="1" applyFont="1" applyBorder="1" applyAlignment="1">
      <alignment vertical="center"/>
    </xf>
    <xf numFmtId="169" fontId="6" fillId="0" borderId="13" xfId="0" applyNumberFormat="1" applyFont="1" applyBorder="1" applyAlignment="1">
      <alignment vertical="center"/>
    </xf>
    <xf numFmtId="0" fontId="4" fillId="0" borderId="0" xfId="0" applyFont="1"/>
    <xf numFmtId="1" fontId="2" fillId="0" borderId="16" xfId="0" applyNumberFormat="1" applyFont="1" applyBorder="1"/>
    <xf numFmtId="1" fontId="2" fillId="0" borderId="67" xfId="0" applyNumberFormat="1" applyFont="1" applyBorder="1"/>
    <xf numFmtId="1" fontId="2" fillId="0" borderId="0" xfId="0" applyNumberFormat="1" applyFont="1"/>
    <xf numFmtId="1" fontId="2" fillId="0" borderId="68" xfId="0" applyNumberFormat="1" applyFont="1" applyBorder="1"/>
    <xf numFmtId="0" fontId="4" fillId="0" borderId="32" xfId="0" applyFont="1" applyBorder="1"/>
    <xf numFmtId="1" fontId="4" fillId="0" borderId="32" xfId="0" applyNumberFormat="1" applyFont="1" applyBorder="1"/>
    <xf numFmtId="1" fontId="4" fillId="0" borderId="69" xfId="0" applyNumberFormat="1" applyFont="1" applyBorder="1"/>
    <xf numFmtId="169" fontId="2" fillId="0" borderId="0" xfId="0" applyNumberFormat="1" applyFont="1"/>
    <xf numFmtId="169" fontId="2" fillId="0" borderId="68" xfId="0" applyNumberFormat="1" applyFont="1" applyBorder="1"/>
    <xf numFmtId="169" fontId="4" fillId="0" borderId="32" xfId="0" applyNumberFormat="1" applyFont="1" applyBorder="1"/>
    <xf numFmtId="169" fontId="4" fillId="0" borderId="69" xfId="0" applyNumberFormat="1" applyFont="1" applyBorder="1"/>
    <xf numFmtId="2" fontId="2" fillId="0" borderId="0" xfId="0" applyNumberFormat="1" applyFont="1"/>
    <xf numFmtId="2" fontId="2" fillId="0" borderId="68" xfId="0" applyNumberFormat="1" applyFont="1" applyBorder="1"/>
    <xf numFmtId="2" fontId="4" fillId="0" borderId="32" xfId="0" applyNumberFormat="1" applyFont="1" applyBorder="1"/>
    <xf numFmtId="2" fontId="4" fillId="0" borderId="69" xfId="0" applyNumberFormat="1" applyFont="1" applyBorder="1"/>
    <xf numFmtId="169" fontId="4" fillId="0" borderId="0" xfId="0" applyNumberFormat="1" applyFont="1"/>
    <xf numFmtId="169" fontId="4" fillId="0" borderId="68" xfId="0" applyNumberFormat="1" applyFont="1" applyBorder="1"/>
    <xf numFmtId="1" fontId="4" fillId="0" borderId="0" xfId="0" applyNumberFormat="1" applyFont="1"/>
    <xf numFmtId="1" fontId="4" fillId="0" borderId="68" xfId="0" applyNumberFormat="1" applyFont="1" applyBorder="1"/>
    <xf numFmtId="2" fontId="4" fillId="0" borderId="0" xfId="0" applyNumberFormat="1" applyFont="1"/>
    <xf numFmtId="2" fontId="4" fillId="0" borderId="68" xfId="0" applyNumberFormat="1" applyFont="1" applyBorder="1"/>
    <xf numFmtId="0" fontId="2" fillId="2" borderId="34" xfId="0" applyFont="1" applyFill="1" applyBorder="1"/>
    <xf numFmtId="0" fontId="2" fillId="2" borderId="16" xfId="0" applyFont="1" applyFill="1" applyBorder="1"/>
    <xf numFmtId="0" fontId="2" fillId="2" borderId="67" xfId="0" applyFont="1" applyFill="1" applyBorder="1"/>
    <xf numFmtId="0" fontId="2" fillId="2" borderId="0" xfId="0" applyFont="1" applyFill="1"/>
    <xf numFmtId="1" fontId="2" fillId="2" borderId="0" xfId="0" applyNumberFormat="1" applyFont="1" applyFill="1"/>
    <xf numFmtId="1" fontId="2" fillId="2" borderId="68" xfId="0" applyNumberFormat="1" applyFont="1" applyFill="1" applyBorder="1"/>
    <xf numFmtId="2" fontId="2" fillId="2" borderId="0" xfId="0" applyNumberFormat="1" applyFont="1" applyFill="1"/>
    <xf numFmtId="2" fontId="2" fillId="2" borderId="68" xfId="0" applyNumberFormat="1" applyFont="1" applyFill="1" applyBorder="1"/>
    <xf numFmtId="0" fontId="2" fillId="2" borderId="32" xfId="0" applyFont="1" applyFill="1" applyBorder="1"/>
    <xf numFmtId="0" fontId="2" fillId="4" borderId="34" xfId="0" applyFont="1" applyFill="1" applyBorder="1"/>
    <xf numFmtId="0" fontId="2" fillId="4" borderId="16" xfId="0" applyFont="1" applyFill="1" applyBorder="1"/>
    <xf numFmtId="0" fontId="2" fillId="4" borderId="67" xfId="0" applyFont="1" applyFill="1" applyBorder="1"/>
    <xf numFmtId="0" fontId="2" fillId="3" borderId="68" xfId="0" applyFont="1" applyFill="1" applyBorder="1"/>
    <xf numFmtId="0" fontId="4" fillId="3" borderId="6" xfId="0" applyFont="1" applyFill="1" applyBorder="1"/>
    <xf numFmtId="0" fontId="4" fillId="3" borderId="0" xfId="0" applyFont="1" applyFill="1"/>
    <xf numFmtId="0" fontId="4" fillId="3" borderId="68" xfId="0" applyFont="1" applyFill="1" applyBorder="1"/>
    <xf numFmtId="0" fontId="4" fillId="3" borderId="46" xfId="0" applyFont="1" applyFill="1" applyBorder="1"/>
    <xf numFmtId="0" fontId="2" fillId="3" borderId="73" xfId="0" applyFont="1" applyFill="1" applyBorder="1"/>
    <xf numFmtId="0" fontId="2" fillId="3" borderId="24" xfId="0" applyFont="1" applyFill="1" applyBorder="1"/>
    <xf numFmtId="0" fontId="2" fillId="3" borderId="7" xfId="0" applyFont="1" applyFill="1" applyBorder="1"/>
    <xf numFmtId="0" fontId="2" fillId="3" borderId="30" xfId="0" applyFont="1" applyFill="1" applyBorder="1"/>
    <xf numFmtId="0" fontId="2" fillId="0" borderId="74" xfId="0" applyFont="1" applyBorder="1"/>
    <xf numFmtId="0" fontId="2" fillId="0" borderId="75" xfId="0" applyFont="1" applyBorder="1"/>
    <xf numFmtId="0" fontId="2" fillId="0" borderId="76" xfId="0" applyFont="1" applyBorder="1"/>
    <xf numFmtId="174" fontId="2" fillId="0" borderId="16" xfId="0" applyNumberFormat="1" applyFont="1" applyBorder="1"/>
    <xf numFmtId="174" fontId="2" fillId="0" borderId="67" xfId="0" applyNumberFormat="1" applyFont="1" applyBorder="1"/>
    <xf numFmtId="174" fontId="2" fillId="0" borderId="0" xfId="0" applyNumberFormat="1" applyFont="1"/>
    <xf numFmtId="174" fontId="2" fillId="0" borderId="68" xfId="0" applyNumberFormat="1" applyFont="1" applyBorder="1"/>
    <xf numFmtId="174" fontId="2" fillId="0" borderId="32" xfId="0" applyNumberFormat="1" applyFont="1" applyBorder="1"/>
    <xf numFmtId="174" fontId="2" fillId="0" borderId="69" xfId="0" applyNumberFormat="1" applyFont="1" applyBorder="1"/>
    <xf numFmtId="173" fontId="6" fillId="0" borderId="0" xfId="0" applyNumberFormat="1" applyFont="1" applyAlignment="1">
      <alignment vertical="center"/>
    </xf>
    <xf numFmtId="173" fontId="6" fillId="0" borderId="16" xfId="0" applyNumberFormat="1" applyFont="1" applyBorder="1" applyAlignment="1">
      <alignment vertical="center"/>
    </xf>
    <xf numFmtId="173" fontId="6" fillId="0" borderId="25" xfId="0" applyNumberFormat="1" applyFont="1" applyBorder="1" applyAlignment="1">
      <alignment vertical="center"/>
    </xf>
    <xf numFmtId="173" fontId="6" fillId="0" borderId="19" xfId="0" applyNumberFormat="1" applyFont="1" applyBorder="1" applyAlignment="1">
      <alignment vertical="center"/>
    </xf>
    <xf numFmtId="173" fontId="6" fillId="0" borderId="32" xfId="0" applyNumberFormat="1" applyFont="1" applyBorder="1" applyAlignment="1">
      <alignment vertical="center"/>
    </xf>
    <xf numFmtId="173" fontId="6" fillId="0" borderId="53" xfId="0" applyNumberFormat="1" applyFont="1" applyBorder="1" applyAlignment="1">
      <alignment vertical="center"/>
    </xf>
    <xf numFmtId="173" fontId="6" fillId="0" borderId="12" xfId="0" applyNumberFormat="1" applyFont="1" applyBorder="1" applyAlignment="1">
      <alignment vertical="center"/>
    </xf>
    <xf numFmtId="172" fontId="6" fillId="0" borderId="2" xfId="0" applyNumberFormat="1" applyFont="1" applyBorder="1" applyAlignment="1">
      <alignment vertical="center"/>
    </xf>
    <xf numFmtId="172" fontId="6" fillId="0" borderId="4" xfId="0" applyNumberFormat="1" applyFont="1" applyBorder="1" applyAlignment="1">
      <alignment vertical="center"/>
    </xf>
    <xf numFmtId="2" fontId="6" fillId="0" borderId="10" xfId="0" applyNumberFormat="1" applyFont="1" applyBorder="1" applyAlignment="1">
      <alignment vertical="center"/>
    </xf>
    <xf numFmtId="2" fontId="6" fillId="0" borderId="35" xfId="0" applyNumberFormat="1" applyFont="1" applyBorder="1" applyAlignment="1">
      <alignment vertical="center"/>
    </xf>
    <xf numFmtId="2" fontId="6" fillId="0" borderId="40" xfId="0" applyNumberFormat="1" applyFont="1" applyBorder="1" applyAlignment="1">
      <alignment vertical="center"/>
    </xf>
    <xf numFmtId="2" fontId="6" fillId="0" borderId="43" xfId="0" applyNumberFormat="1" applyFont="1" applyBorder="1" applyAlignment="1">
      <alignment vertical="center"/>
    </xf>
    <xf numFmtId="2" fontId="6" fillId="0" borderId="47" xfId="0" applyNumberFormat="1" applyFont="1" applyBorder="1" applyAlignment="1">
      <alignment vertical="center"/>
    </xf>
    <xf numFmtId="2" fontId="6" fillId="0" borderId="54" xfId="0" applyNumberFormat="1" applyFont="1" applyBorder="1" applyAlignment="1">
      <alignment vertical="center"/>
    </xf>
    <xf numFmtId="2" fontId="6" fillId="0" borderId="15" xfId="0" applyNumberFormat="1" applyFont="1" applyBorder="1" applyAlignment="1">
      <alignment vertical="center"/>
    </xf>
    <xf numFmtId="0" fontId="2" fillId="2" borderId="6" xfId="0" applyFont="1" applyFill="1" applyBorder="1" applyAlignment="1">
      <alignment horizontal="left" indent="1"/>
    </xf>
    <xf numFmtId="0" fontId="2" fillId="2" borderId="46" xfId="0" applyFont="1" applyFill="1" applyBorder="1" applyAlignment="1">
      <alignment horizontal="left" indent="1"/>
    </xf>
    <xf numFmtId="1" fontId="2" fillId="2" borderId="32" xfId="0" applyNumberFormat="1" applyFont="1" applyFill="1" applyBorder="1"/>
    <xf numFmtId="1" fontId="2" fillId="2" borderId="69" xfId="0" applyNumberFormat="1" applyFont="1" applyFill="1" applyBorder="1"/>
    <xf numFmtId="0" fontId="4" fillId="0" borderId="46" xfId="0" applyFont="1" applyBorder="1"/>
    <xf numFmtId="0" fontId="2" fillId="0" borderId="6" xfId="0" applyFont="1" applyBorder="1" applyAlignment="1">
      <alignment horizontal="left" indent="1"/>
    </xf>
    <xf numFmtId="0" fontId="2" fillId="0" borderId="28" xfId="0" applyFont="1" applyBorder="1"/>
    <xf numFmtId="0" fontId="2" fillId="0" borderId="29" xfId="0" applyFont="1" applyBorder="1"/>
    <xf numFmtId="0" fontId="4" fillId="0" borderId="29" xfId="0" applyFont="1" applyBorder="1"/>
    <xf numFmtId="169" fontId="4" fillId="0" borderId="29" xfId="0" applyNumberFormat="1" applyFont="1" applyBorder="1"/>
    <xf numFmtId="169" fontId="4" fillId="0" borderId="77" xfId="0" applyNumberFormat="1" applyFont="1" applyBorder="1"/>
    <xf numFmtId="0" fontId="2" fillId="0" borderId="22" xfId="0" applyFont="1" applyBorder="1"/>
    <xf numFmtId="0" fontId="2" fillId="0" borderId="23" xfId="0" applyFont="1" applyBorder="1"/>
    <xf numFmtId="1" fontId="2" fillId="0" borderId="23" xfId="0" applyNumberFormat="1" applyFont="1" applyBorder="1"/>
    <xf numFmtId="1" fontId="2" fillId="0" borderId="78" xfId="0" applyNumberFormat="1" applyFont="1" applyBorder="1"/>
    <xf numFmtId="1" fontId="4" fillId="0" borderId="29" xfId="0" applyNumberFormat="1" applyFont="1" applyBorder="1"/>
    <xf numFmtId="1" fontId="4" fillId="0" borderId="77" xfId="0" applyNumberFormat="1" applyFont="1" applyBorder="1"/>
    <xf numFmtId="2" fontId="4" fillId="0" borderId="29" xfId="0" applyNumberFormat="1" applyFont="1" applyBorder="1"/>
    <xf numFmtId="2" fontId="4" fillId="0" borderId="77" xfId="0" applyNumberFormat="1" applyFont="1" applyBorder="1"/>
    <xf numFmtId="0" fontId="2" fillId="0" borderId="74" xfId="0" applyFont="1" applyBorder="1" applyAlignment="1">
      <alignment horizontal="left"/>
    </xf>
    <xf numFmtId="2" fontId="2" fillId="0" borderId="75" xfId="0" applyNumberFormat="1" applyFont="1" applyBorder="1"/>
    <xf numFmtId="2" fontId="2" fillId="0" borderId="76" xfId="0" applyNumberFormat="1" applyFont="1" applyBorder="1"/>
    <xf numFmtId="2" fontId="4" fillId="0" borderId="16" xfId="0" applyNumberFormat="1" applyFont="1" applyBorder="1"/>
    <xf numFmtId="2" fontId="4" fillId="0" borderId="67" xfId="0" applyNumberFormat="1" applyFont="1" applyBorder="1"/>
    <xf numFmtId="0" fontId="2" fillId="0" borderId="34" xfId="0" applyFont="1" applyBorder="1" applyAlignment="1">
      <alignment horizontal="left"/>
    </xf>
    <xf numFmtId="0" fontId="14" fillId="0" borderId="0" xfId="0" applyFont="1"/>
    <xf numFmtId="0" fontId="15" fillId="0" borderId="0" xfId="0" applyFont="1"/>
    <xf numFmtId="0" fontId="6" fillId="0" borderId="0" xfId="0" applyFont="1"/>
    <xf numFmtId="175" fontId="2" fillId="3" borderId="0" xfId="1" applyNumberFormat="1" applyFont="1" applyFill="1"/>
    <xf numFmtId="0" fontId="2" fillId="5" borderId="0" xfId="0" applyFont="1" applyFill="1"/>
    <xf numFmtId="0" fontId="2" fillId="5" borderId="68" xfId="0" applyFont="1" applyFill="1" applyBorder="1"/>
    <xf numFmtId="0" fontId="2" fillId="4" borderId="6" xfId="0" applyFont="1" applyFill="1" applyBorder="1"/>
    <xf numFmtId="9" fontId="2" fillId="3" borderId="0" xfId="1" applyFont="1" applyFill="1" applyAlignment="1">
      <alignment horizontal="right"/>
    </xf>
    <xf numFmtId="175" fontId="2" fillId="3" borderId="0" xfId="1" applyNumberFormat="1" applyFont="1" applyFill="1" applyAlignment="1">
      <alignment horizontal="right"/>
    </xf>
    <xf numFmtId="10" fontId="2" fillId="6" borderId="66" xfId="0" applyNumberFormat="1" applyFont="1" applyFill="1" applyBorder="1"/>
    <xf numFmtId="1" fontId="2" fillId="6" borderId="66" xfId="0" applyNumberFormat="1" applyFont="1" applyFill="1" applyBorder="1"/>
    <xf numFmtId="0" fontId="3" fillId="3" borderId="0" xfId="0" applyFont="1" applyFill="1"/>
    <xf numFmtId="0" fontId="7" fillId="0" borderId="26" xfId="0" applyFont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2" fillId="0" borderId="66" xfId="0" applyFont="1" applyBorder="1"/>
    <xf numFmtId="0" fontId="4" fillId="0" borderId="66" xfId="0" applyFont="1" applyBorder="1"/>
    <xf numFmtId="0" fontId="2" fillId="3" borderId="66" xfId="0" applyFont="1" applyFill="1" applyBorder="1"/>
    <xf numFmtId="0" fontId="9" fillId="0" borderId="3" xfId="0" applyFont="1" applyBorder="1" applyAlignment="1">
      <alignment vertical="center"/>
    </xf>
    <xf numFmtId="169" fontId="6" fillId="0" borderId="2" xfId="0" applyNumberFormat="1" applyFont="1" applyBorder="1" applyAlignment="1">
      <alignment vertical="center"/>
    </xf>
    <xf numFmtId="168" fontId="6" fillId="0" borderId="32" xfId="0" applyNumberFormat="1" applyFont="1" applyBorder="1" applyAlignment="1">
      <alignment vertical="center"/>
    </xf>
    <xf numFmtId="1" fontId="0" fillId="0" borderId="0" xfId="0" applyNumberFormat="1"/>
    <xf numFmtId="0" fontId="2" fillId="2" borderId="4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165" fontId="2" fillId="2" borderId="0" xfId="0" applyNumberFormat="1" applyFont="1" applyFill="1"/>
    <xf numFmtId="165" fontId="2" fillId="2" borderId="68" xfId="0" applyNumberFormat="1" applyFont="1" applyFill="1" applyBorder="1"/>
    <xf numFmtId="173" fontId="2" fillId="2" borderId="0" xfId="0" applyNumberFormat="1" applyFont="1" applyFill="1"/>
    <xf numFmtId="173" fontId="2" fillId="2" borderId="68" xfId="0" applyNumberFormat="1" applyFont="1" applyFill="1" applyBorder="1"/>
    <xf numFmtId="166" fontId="2" fillId="2" borderId="0" xfId="0" applyNumberFormat="1" applyFont="1" applyFill="1"/>
    <xf numFmtId="166" fontId="2" fillId="2" borderId="68" xfId="0" applyNumberFormat="1" applyFont="1" applyFill="1" applyBorder="1"/>
    <xf numFmtId="173" fontId="2" fillId="2" borderId="32" xfId="0" applyNumberFormat="1" applyFont="1" applyFill="1" applyBorder="1"/>
    <xf numFmtId="173" fontId="2" fillId="2" borderId="69" xfId="0" applyNumberFormat="1" applyFont="1" applyFill="1" applyBorder="1"/>
    <xf numFmtId="0" fontId="2" fillId="2" borderId="4" xfId="0" applyFont="1" applyFill="1" applyBorder="1" applyAlignment="1">
      <alignment horizontal="right" vertical="center"/>
    </xf>
    <xf numFmtId="0" fontId="2" fillId="2" borderId="2" xfId="0" applyFont="1" applyFill="1" applyBorder="1" applyAlignment="1">
      <alignment horizontal="left" vertical="center" wrapText="1"/>
    </xf>
    <xf numFmtId="1" fontId="6" fillId="0" borderId="4" xfId="0" applyNumberFormat="1" applyFont="1" applyBorder="1" applyAlignment="1">
      <alignment vertical="center"/>
    </xf>
    <xf numFmtId="0" fontId="17" fillId="0" borderId="75" xfId="4" applyFont="1" applyBorder="1" applyAlignment="1">
      <alignment vertical="center"/>
    </xf>
    <xf numFmtId="0" fontId="18" fillId="0" borderId="75" xfId="4" applyFont="1" applyBorder="1"/>
    <xf numFmtId="0" fontId="19" fillId="0" borderId="75" xfId="4" applyFont="1" applyBorder="1" applyAlignment="1">
      <alignment vertical="center"/>
    </xf>
    <xf numFmtId="0" fontId="19" fillId="0" borderId="0" xfId="4" applyFont="1" applyAlignment="1">
      <alignment vertical="center"/>
    </xf>
    <xf numFmtId="0" fontId="6" fillId="0" borderId="0" xfId="4" applyFont="1" applyAlignment="1">
      <alignment vertical="center"/>
    </xf>
    <xf numFmtId="0" fontId="19" fillId="0" borderId="0" xfId="4" applyFont="1" applyAlignment="1">
      <alignment horizontal="center" vertical="center"/>
    </xf>
    <xf numFmtId="0" fontId="17" fillId="0" borderId="0" xfId="4" applyFont="1" applyAlignment="1">
      <alignment horizontal="left" vertical="center"/>
    </xf>
    <xf numFmtId="0" fontId="20" fillId="0" borderId="0" xfId="4" applyFont="1" applyAlignment="1">
      <alignment horizontal="left" vertical="center"/>
    </xf>
    <xf numFmtId="0" fontId="17" fillId="0" borderId="0" xfId="4" applyFont="1" applyAlignment="1">
      <alignment horizontal="right" vertical="center"/>
    </xf>
    <xf numFmtId="0" fontId="20" fillId="0" borderId="0" xfId="4" applyFont="1" applyAlignment="1">
      <alignment vertical="center"/>
    </xf>
    <xf numFmtId="0" fontId="18" fillId="0" borderId="0" xfId="4" applyFont="1" applyAlignment="1">
      <alignment vertical="center"/>
    </xf>
    <xf numFmtId="0" fontId="21" fillId="0" borderId="0" xfId="4" applyFont="1" applyAlignment="1">
      <alignment horizontal="left" vertical="center"/>
    </xf>
    <xf numFmtId="176" fontId="22" fillId="0" borderId="0" xfId="4" quotePrefix="1" applyNumberFormat="1" applyFont="1" applyAlignment="1">
      <alignment horizontal="left" vertical="center"/>
    </xf>
    <xf numFmtId="0" fontId="13" fillId="0" borderId="0" xfId="4" applyAlignment="1">
      <alignment vertical="center"/>
    </xf>
    <xf numFmtId="0" fontId="16" fillId="0" borderId="0" xfId="0" applyFont="1" applyAlignment="1">
      <alignment vertical="center"/>
    </xf>
    <xf numFmtId="0" fontId="24" fillId="0" borderId="0" xfId="4" applyFont="1" applyAlignment="1">
      <alignment horizontal="left" vertical="center"/>
    </xf>
    <xf numFmtId="0" fontId="25" fillId="0" borderId="0" xfId="4" applyFont="1"/>
    <xf numFmtId="0" fontId="8" fillId="0" borderId="9" xfId="0" applyFont="1" applyBorder="1" applyAlignment="1">
      <alignment vertical="center" wrapText="1"/>
    </xf>
    <xf numFmtId="0" fontId="8" fillId="0" borderId="21" xfId="0" applyFont="1" applyBorder="1" applyAlignment="1">
      <alignment vertical="center" wrapText="1"/>
    </xf>
    <xf numFmtId="0" fontId="8" fillId="0" borderId="39" xfId="0" applyFont="1" applyBorder="1" applyAlignment="1">
      <alignment vertical="center" wrapText="1"/>
    </xf>
    <xf numFmtId="0" fontId="8" fillId="0" borderId="38" xfId="0" applyFont="1" applyBorder="1" applyAlignment="1">
      <alignment vertical="center" wrapText="1"/>
    </xf>
    <xf numFmtId="0" fontId="8" fillId="0" borderId="27" xfId="0" applyFont="1" applyBorder="1" applyAlignment="1">
      <alignment vertical="center" wrapText="1"/>
    </xf>
    <xf numFmtId="0" fontId="2" fillId="0" borderId="17" xfId="0" applyFont="1" applyBorder="1" applyAlignment="1">
      <alignment vertical="center" wrapText="1"/>
    </xf>
    <xf numFmtId="0" fontId="2" fillId="0" borderId="31" xfId="0" applyFont="1" applyBorder="1" applyAlignment="1">
      <alignment vertical="center" wrapText="1"/>
    </xf>
    <xf numFmtId="0" fontId="7" fillId="0" borderId="18" xfId="0" applyFont="1" applyBorder="1" applyAlignment="1">
      <alignment vertical="center"/>
    </xf>
    <xf numFmtId="0" fontId="7" fillId="0" borderId="20" xfId="0" applyFont="1" applyBorder="1" applyAlignment="1">
      <alignment vertical="center"/>
    </xf>
    <xf numFmtId="0" fontId="7" fillId="0" borderId="26" xfId="0" applyFont="1" applyBorder="1" applyAlignment="1">
      <alignment vertical="center"/>
    </xf>
    <xf numFmtId="0" fontId="8" fillId="0" borderId="18" xfId="0" applyFont="1" applyBorder="1" applyAlignment="1">
      <alignment vertical="center"/>
    </xf>
    <xf numFmtId="0" fontId="8" fillId="0" borderId="26" xfId="0" applyFont="1" applyBorder="1" applyAlignment="1">
      <alignment vertical="center"/>
    </xf>
    <xf numFmtId="0" fontId="2" fillId="0" borderId="33" xfId="0" applyFont="1" applyBorder="1" applyAlignment="1">
      <alignment vertical="center" wrapText="1"/>
    </xf>
    <xf numFmtId="0" fontId="7" fillId="0" borderId="20" xfId="0" applyFont="1" applyBorder="1" applyAlignment="1">
      <alignment vertical="center" wrapText="1"/>
    </xf>
    <xf numFmtId="0" fontId="7" fillId="0" borderId="18" xfId="0" applyFont="1" applyBorder="1" applyAlignment="1">
      <alignment vertical="center" wrapText="1"/>
    </xf>
    <xf numFmtId="0" fontId="7" fillId="0" borderId="26" xfId="0" applyFont="1" applyBorder="1" applyAlignment="1">
      <alignment vertical="center" wrapText="1"/>
    </xf>
    <xf numFmtId="0" fontId="2" fillId="2" borderId="1" xfId="0" applyFont="1" applyFill="1" applyBorder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4" xfId="0" applyFont="1" applyFill="1" applyBorder="1" applyAlignment="1">
      <alignment vertical="center" wrapText="1"/>
    </xf>
    <xf numFmtId="0" fontId="8" fillId="0" borderId="14" xfId="0" applyFont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0" borderId="17" xfId="0" applyFont="1" applyBorder="1" applyAlignment="1">
      <alignment horizontal="center" vertical="center" wrapText="1"/>
    </xf>
    <xf numFmtId="0" fontId="2" fillId="0" borderId="31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/>
    </xf>
    <xf numFmtId="0" fontId="8" fillId="0" borderId="9" xfId="0" applyFont="1" applyBorder="1" applyAlignment="1">
      <alignment vertical="center" wrapText="1"/>
    </xf>
    <xf numFmtId="0" fontId="7" fillId="0" borderId="20" xfId="0" applyFont="1" applyBorder="1" applyAlignment="1">
      <alignment horizontal="center" vertical="center"/>
    </xf>
    <xf numFmtId="0" fontId="7" fillId="0" borderId="26" xfId="0" applyFont="1" applyBorder="1" applyAlignment="1">
      <alignment horizontal="center" vertical="center"/>
    </xf>
    <xf numFmtId="0" fontId="8" fillId="0" borderId="21" xfId="0" applyFont="1" applyBorder="1" applyAlignment="1">
      <alignment vertical="center" wrapText="1"/>
    </xf>
    <xf numFmtId="0" fontId="8" fillId="0" borderId="27" xfId="0" applyFont="1" applyBorder="1" applyAlignment="1">
      <alignment vertical="center" wrapText="1"/>
    </xf>
    <xf numFmtId="0" fontId="2" fillId="0" borderId="33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left" vertical="center" wrapText="1"/>
    </xf>
    <xf numFmtId="0" fontId="2" fillId="0" borderId="31" xfId="0" applyFont="1" applyBorder="1" applyAlignment="1">
      <alignment horizontal="left" vertical="center" wrapText="1"/>
    </xf>
    <xf numFmtId="0" fontId="7" fillId="0" borderId="20" xfId="0" applyFont="1" applyBorder="1" applyAlignment="1">
      <alignment horizontal="left" vertical="center" wrapText="1"/>
    </xf>
    <xf numFmtId="0" fontId="7" fillId="0" borderId="18" xfId="0" applyFont="1" applyBorder="1" applyAlignment="1">
      <alignment horizontal="left" vertical="center" wrapText="1"/>
    </xf>
    <xf numFmtId="0" fontId="8" fillId="0" borderId="38" xfId="0" applyFont="1" applyBorder="1" applyAlignment="1">
      <alignment vertical="center" wrapText="1"/>
    </xf>
    <xf numFmtId="0" fontId="8" fillId="0" borderId="39" xfId="0" applyFont="1" applyBorder="1" applyAlignment="1">
      <alignment vertical="center" wrapText="1"/>
    </xf>
    <xf numFmtId="0" fontId="7" fillId="0" borderId="26" xfId="0" applyFont="1" applyBorder="1" applyAlignment="1">
      <alignment horizontal="left" vertical="center" wrapText="1"/>
    </xf>
    <xf numFmtId="0" fontId="8" fillId="0" borderId="18" xfId="0" applyFont="1" applyBorder="1" applyAlignment="1">
      <alignment horizontal="left" vertical="center"/>
    </xf>
    <xf numFmtId="0" fontId="8" fillId="0" borderId="26" xfId="0" applyFont="1" applyBorder="1" applyAlignment="1">
      <alignment horizontal="left" vertical="center"/>
    </xf>
    <xf numFmtId="0" fontId="7" fillId="0" borderId="20" xfId="0" applyFont="1" applyBorder="1" applyAlignment="1">
      <alignment horizontal="left" vertical="center"/>
    </xf>
    <xf numFmtId="0" fontId="7" fillId="0" borderId="18" xfId="0" applyFont="1" applyBorder="1" applyAlignment="1">
      <alignment horizontal="left" vertical="center"/>
    </xf>
    <xf numFmtId="0" fontId="7" fillId="0" borderId="26" xfId="0" applyFont="1" applyBorder="1" applyAlignment="1">
      <alignment horizontal="left" vertical="center"/>
    </xf>
    <xf numFmtId="0" fontId="7" fillId="0" borderId="50" xfId="0" applyFont="1" applyBorder="1" applyAlignment="1">
      <alignment horizontal="left" vertical="center" wrapText="1"/>
    </xf>
    <xf numFmtId="0" fontId="8" fillId="0" borderId="20" xfId="0" applyFont="1" applyBorder="1" applyAlignment="1">
      <alignment vertical="center" wrapText="1"/>
    </xf>
    <xf numFmtId="0" fontId="8" fillId="0" borderId="18" xfId="0" applyFont="1" applyBorder="1" applyAlignment="1">
      <alignment vertical="center" wrapText="1"/>
    </xf>
    <xf numFmtId="0" fontId="8" fillId="0" borderId="50" xfId="0" applyFont="1" applyBorder="1" applyAlignment="1">
      <alignment vertical="center" wrapText="1"/>
    </xf>
    <xf numFmtId="0" fontId="2" fillId="0" borderId="57" xfId="0" applyFont="1" applyBorder="1" applyAlignment="1">
      <alignment horizontal="left" vertical="center" wrapText="1"/>
    </xf>
    <xf numFmtId="0" fontId="7" fillId="0" borderId="58" xfId="0" applyFont="1" applyBorder="1" applyAlignment="1">
      <alignment horizontal="left" vertical="center" wrapText="1"/>
    </xf>
    <xf numFmtId="0" fontId="8" fillId="0" borderId="14" xfId="0" applyFont="1" applyBorder="1" applyAlignment="1">
      <alignment vertical="center" wrapText="1"/>
    </xf>
    <xf numFmtId="0" fontId="0" fillId="0" borderId="31" xfId="0" applyBorder="1" applyAlignment="1">
      <alignment horizontal="left" vertical="center" wrapText="1"/>
    </xf>
    <xf numFmtId="0" fontId="11" fillId="0" borderId="18" xfId="0" applyFont="1" applyBorder="1" applyAlignment="1">
      <alignment horizontal="left" vertical="center" wrapText="1"/>
    </xf>
    <xf numFmtId="0" fontId="11" fillId="0" borderId="50" xfId="0" applyFont="1" applyBorder="1" applyAlignment="1">
      <alignment horizontal="left" vertical="center" wrapText="1"/>
    </xf>
    <xf numFmtId="0" fontId="10" fillId="0" borderId="9" xfId="0" applyFont="1" applyBorder="1" applyAlignment="1">
      <alignment vertical="center" wrapText="1"/>
    </xf>
    <xf numFmtId="0" fontId="10" fillId="0" borderId="38" xfId="0" applyFont="1" applyBorder="1" applyAlignment="1">
      <alignment vertical="center" wrapText="1"/>
    </xf>
    <xf numFmtId="0" fontId="11" fillId="0" borderId="26" xfId="0" applyFont="1" applyBorder="1" applyAlignment="1">
      <alignment horizontal="left" vertical="center" wrapText="1"/>
    </xf>
    <xf numFmtId="0" fontId="10" fillId="0" borderId="27" xfId="0" applyFont="1" applyBorder="1" applyAlignment="1">
      <alignment vertical="center" wrapText="1"/>
    </xf>
    <xf numFmtId="0" fontId="0" fillId="0" borderId="17" xfId="0" applyBorder="1" applyAlignment="1">
      <alignment horizontal="left" vertical="center" wrapText="1"/>
    </xf>
    <xf numFmtId="0" fontId="0" fillId="0" borderId="57" xfId="0" applyBorder="1" applyAlignment="1">
      <alignment horizontal="left" vertical="center" wrapText="1"/>
    </xf>
    <xf numFmtId="0" fontId="11" fillId="0" borderId="58" xfId="0" applyFont="1" applyBorder="1" applyAlignment="1">
      <alignment horizontal="left" vertical="center" wrapText="1"/>
    </xf>
    <xf numFmtId="0" fontId="10" fillId="0" borderId="14" xfId="0" applyFont="1" applyBorder="1" applyAlignment="1">
      <alignment vertical="center" wrapText="1"/>
    </xf>
    <xf numFmtId="0" fontId="3" fillId="3" borderId="0" xfId="0" applyFont="1" applyFill="1" applyAlignment="1">
      <alignment horizontal="center"/>
    </xf>
    <xf numFmtId="0" fontId="7" fillId="0" borderId="50" xfId="0" applyFont="1" applyBorder="1" applyAlignment="1">
      <alignment vertical="center" wrapText="1"/>
    </xf>
    <xf numFmtId="0" fontId="2" fillId="0" borderId="57" xfId="0" applyFont="1" applyBorder="1" applyAlignment="1">
      <alignment vertical="center" wrapText="1"/>
    </xf>
    <xf numFmtId="0" fontId="7" fillId="0" borderId="58" xfId="0" applyFont="1" applyBorder="1" applyAlignment="1">
      <alignment vertical="center" wrapText="1"/>
    </xf>
  </cellXfs>
  <cellStyles count="10">
    <cellStyle name="Comma 2" xfId="8" xr:uid="{00000000-0005-0000-0000-000000000000}"/>
    <cellStyle name="Normal" xfId="0" builtinId="0"/>
    <cellStyle name="Normal 2" xfId="2" xr:uid="{00000000-0005-0000-0000-000002000000}"/>
    <cellStyle name="Normal 2 2" xfId="3" xr:uid="{00000000-0005-0000-0000-000003000000}"/>
    <cellStyle name="Normal 2 2 2" xfId="7" xr:uid="{00000000-0005-0000-0000-000004000000}"/>
    <cellStyle name="Normal 3" xfId="4" xr:uid="{00000000-0005-0000-0000-000005000000}"/>
    <cellStyle name="Percent" xfId="1" builtinId="5"/>
    <cellStyle name="Percent 2" xfId="5" xr:uid="{00000000-0005-0000-0000-000007000000}"/>
    <cellStyle name="Percent 3" xfId="6" xr:uid="{00000000-0005-0000-0000-000008000000}"/>
    <cellStyle name="Percent 4" xfId="9" xr:uid="{00000000-0005-0000-0000-000009000000}"/>
  </cellStyles>
  <dxfs count="4">
    <dxf>
      <font>
        <color theme="6" tint="0.79998168889431442"/>
      </font>
    </dxf>
    <dxf>
      <font>
        <color theme="6" tint="0.79998168889431442"/>
      </font>
    </dxf>
    <dxf>
      <font>
        <color theme="0"/>
      </font>
    </dxf>
    <dxf>
      <font>
        <color theme="6" tint="0.79998168889431442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1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_rels/chart1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_rels/chart1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7.xml"/></Relationships>
</file>

<file path=xl/charts/_rels/chart1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tech_proj!$A$7</c:f>
          <c:strCache>
            <c:ptCount val="1"/>
            <c:pt idx="0">
              <c:v>Efficiency</c:v>
            </c:pt>
          </c:strCache>
        </c:strRef>
      </c:tx>
      <c:layout>
        <c:manualLayout>
          <c:xMode val="edge"/>
          <c:yMode val="edge"/>
          <c:x val="0.76627824434567038"/>
          <c:y val="2.3779190025686341E-2"/>
        </c:manualLayout>
      </c:layout>
      <c:overlay val="0"/>
      <c:txPr>
        <a:bodyPr/>
        <a:lstStyle/>
        <a:p>
          <a:pPr>
            <a:defRPr sz="1100" b="0"/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5677160493827158E-2"/>
          <c:y val="0.11829527777777778"/>
          <c:w val="0.91276419753086424"/>
          <c:h val="0.61756111111111112"/>
        </c:manualLayout>
      </c:layout>
      <c:areaChart>
        <c:grouping val="stacked"/>
        <c:varyColors val="0"/>
        <c:ser>
          <c:idx val="1"/>
          <c:order val="0"/>
          <c:tx>
            <c:strRef>
              <c:f>tech_proj!$B$44</c:f>
              <c:strCache>
                <c:ptCount val="1"/>
              </c:strCache>
            </c:strRef>
          </c:tx>
          <c:spPr>
            <a:noFill/>
          </c:spPr>
          <c:cat>
            <c:numRef>
              <c:f>tech_proj!$J$6:$AX$6</c:f>
              <c:numCache>
                <c:formatCode>General</c:formatCode>
                <c:ptCount val="4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  <c:pt idx="21">
                  <c:v>2031</c:v>
                </c:pt>
                <c:pt idx="22">
                  <c:v>2032</c:v>
                </c:pt>
                <c:pt idx="23">
                  <c:v>2033</c:v>
                </c:pt>
                <c:pt idx="24">
                  <c:v>2034</c:v>
                </c:pt>
                <c:pt idx="25">
                  <c:v>2035</c:v>
                </c:pt>
                <c:pt idx="26">
                  <c:v>2036</c:v>
                </c:pt>
                <c:pt idx="27">
                  <c:v>2037</c:v>
                </c:pt>
                <c:pt idx="28">
                  <c:v>2038</c:v>
                </c:pt>
                <c:pt idx="29">
                  <c:v>2039</c:v>
                </c:pt>
                <c:pt idx="30">
                  <c:v>2040</c:v>
                </c:pt>
                <c:pt idx="31">
                  <c:v>2041</c:v>
                </c:pt>
                <c:pt idx="32">
                  <c:v>2042</c:v>
                </c:pt>
                <c:pt idx="33">
                  <c:v>2043</c:v>
                </c:pt>
                <c:pt idx="34">
                  <c:v>2044</c:v>
                </c:pt>
                <c:pt idx="35">
                  <c:v>2045</c:v>
                </c:pt>
                <c:pt idx="36">
                  <c:v>2046</c:v>
                </c:pt>
                <c:pt idx="37">
                  <c:v>2047</c:v>
                </c:pt>
                <c:pt idx="38">
                  <c:v>2048</c:v>
                </c:pt>
                <c:pt idx="39">
                  <c:v>2049</c:v>
                </c:pt>
                <c:pt idx="40">
                  <c:v>2050</c:v>
                </c:pt>
              </c:numCache>
            </c:numRef>
          </c:cat>
          <c:val>
            <c:numRef>
              <c:f>tech_proj!$J$17:$AX$17</c:f>
              <c:numCache>
                <c:formatCode>0.000</c:formatCode>
                <c:ptCount val="41"/>
                <c:pt idx="0">
                  <c:v>0.68</c:v>
                </c:pt>
                <c:pt idx="1">
                  <c:v>0.68000008753591978</c:v>
                </c:pt>
                <c:pt idx="2">
                  <c:v>0.68000019445115778</c:v>
                </c:pt>
                <c:pt idx="3">
                  <c:v>0.68000032503567176</c:v>
                </c:pt>
                <c:pt idx="4">
                  <c:v>0.68000048452889561</c:v>
                </c:pt>
                <c:pt idx="5">
                  <c:v>0.68000067932979169</c:v>
                </c:pt>
                <c:pt idx="6">
                  <c:v>0.68000091725332978</c:v>
                </c:pt>
                <c:pt idx="7">
                  <c:v>0.68000120784363116</c:v>
                </c:pt>
                <c:pt idx="8">
                  <c:v>0.68000156275626433</c:v>
                </c:pt>
                <c:pt idx="9">
                  <c:v>0.68000199622491508</c:v>
                </c:pt>
                <c:pt idx="10">
                  <c:v>0.6800025256309814</c:v>
                </c:pt>
                <c:pt idx="11">
                  <c:v>0.680003172198683</c:v>
                </c:pt>
                <c:pt idx="12">
                  <c:v>0.68000396184318601</c:v>
                </c:pt>
                <c:pt idx="13">
                  <c:v>0.68000492620518493</c:v>
                </c:pt>
                <c:pt idx="14">
                  <c:v>0.68000610391257488</c:v>
                </c:pt>
                <c:pt idx="15">
                  <c:v>0.68000754211852987</c:v>
                </c:pt>
                <c:pt idx="16">
                  <c:v>0.68000929837574342</c:v>
                </c:pt>
                <c:pt idx="17">
                  <c:v>0.68001144291911797</c:v>
                </c:pt>
                <c:pt idx="18">
                  <c:v>0.68001406144414667</c:v>
                </c:pt>
                <c:pt idx="19">
                  <c:v>0.68001725848598715</c:v>
                </c:pt>
                <c:pt idx="20">
                  <c:v>0.68002116152516745</c:v>
                </c:pt>
                <c:pt idx="21">
                  <c:v>0.68002592597031031</c:v>
                </c:pt>
                <c:pt idx="22">
                  <c:v>0.6800317411964758</c:v>
                </c:pt>
                <c:pt idx="23">
                  <c:v>0.68003883784972718</c:v>
                </c:pt>
                <c:pt idx="24">
                  <c:v>0.6800474966640272</c:v>
                </c:pt>
                <c:pt idx="25">
                  <c:v>0.68005805907464878</c:v>
                </c:pt>
                <c:pt idx="26">
                  <c:v>0.68007093995105361</c:v>
                </c:pt>
                <c:pt idx="27">
                  <c:v>0.68008664280831366</c:v>
                </c:pt>
                <c:pt idx="28">
                  <c:v>0.68010577788395621</c:v>
                </c:pt>
                <c:pt idx="29">
                  <c:v>0.68012908347769052</c:v>
                </c:pt>
                <c:pt idx="30">
                  <c:v>0.6801574509310232</c:v>
                </c:pt>
                <c:pt idx="31">
                  <c:v>0.68019195355186957</c:v>
                </c:pt>
                <c:pt idx="32">
                  <c:v>0.68023387963632309</c:v>
                </c:pt>
                <c:pt idx="33">
                  <c:v>0.68028476946440675</c:v>
                </c:pt>
                <c:pt idx="34">
                  <c:v>0.68034645569306995</c:v>
                </c:pt>
                <c:pt idx="35">
                  <c:v>0.68042110586607529</c:v>
                </c:pt>
                <c:pt idx="36">
                  <c:v>0.68051126472021217</c:v>
                </c:pt>
                <c:pt idx="37">
                  <c:v>0.68061989249677579</c:v>
                </c:pt>
                <c:pt idx="38">
                  <c:v>0.68075039348448707</c:v>
                </c:pt>
                <c:pt idx="39">
                  <c:v>0.68090662649240818</c:v>
                </c:pt>
                <c:pt idx="40">
                  <c:v>0.68109288596077866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6D-48E8-88A2-223099F5E0CC}"/>
            </c:ext>
          </c:extLst>
        </c:ser>
        <c:ser>
          <c:idx val="0"/>
          <c:order val="1"/>
          <c:tx>
            <c:strRef>
              <c:f>tech_proj!$A$45</c:f>
              <c:strCache>
                <c:ptCount val="1"/>
                <c:pt idx="0">
                  <c:v>range of values (different sizes)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  <a:alpha val="50000"/>
              </a:schemeClr>
            </a:solidFill>
          </c:spPr>
          <c:cat>
            <c:numRef>
              <c:f>tech_proj!$J$6:$AX$6</c:f>
              <c:numCache>
                <c:formatCode>General</c:formatCode>
                <c:ptCount val="4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  <c:pt idx="21">
                  <c:v>2031</c:v>
                </c:pt>
                <c:pt idx="22">
                  <c:v>2032</c:v>
                </c:pt>
                <c:pt idx="23">
                  <c:v>2033</c:v>
                </c:pt>
                <c:pt idx="24">
                  <c:v>2034</c:v>
                </c:pt>
                <c:pt idx="25">
                  <c:v>2035</c:v>
                </c:pt>
                <c:pt idx="26">
                  <c:v>2036</c:v>
                </c:pt>
                <c:pt idx="27">
                  <c:v>2037</c:v>
                </c:pt>
                <c:pt idx="28">
                  <c:v>2038</c:v>
                </c:pt>
                <c:pt idx="29">
                  <c:v>2039</c:v>
                </c:pt>
                <c:pt idx="30">
                  <c:v>2040</c:v>
                </c:pt>
                <c:pt idx="31">
                  <c:v>2041</c:v>
                </c:pt>
                <c:pt idx="32">
                  <c:v>2042</c:v>
                </c:pt>
                <c:pt idx="33">
                  <c:v>2043</c:v>
                </c:pt>
                <c:pt idx="34">
                  <c:v>2044</c:v>
                </c:pt>
                <c:pt idx="35">
                  <c:v>2045</c:v>
                </c:pt>
                <c:pt idx="36">
                  <c:v>2046</c:v>
                </c:pt>
                <c:pt idx="37">
                  <c:v>2047</c:v>
                </c:pt>
                <c:pt idx="38">
                  <c:v>2048</c:v>
                </c:pt>
                <c:pt idx="39">
                  <c:v>2049</c:v>
                </c:pt>
                <c:pt idx="40">
                  <c:v>2050</c:v>
                </c:pt>
              </c:numCache>
            </c:numRef>
          </c:cat>
          <c:val>
            <c:numRef>
              <c:f>tech_proj!$J$19:$AX$19</c:f>
              <c:numCache>
                <c:formatCode>0.000</c:formatCode>
                <c:ptCount val="41"/>
                <c:pt idx="0">
                  <c:v>8.9999999999999969E-2</c:v>
                </c:pt>
                <c:pt idx="1">
                  <c:v>9.0002086614276666E-2</c:v>
                </c:pt>
                <c:pt idx="2">
                  <c:v>9.0004264704811376E-2</c:v>
                </c:pt>
                <c:pt idx="3">
                  <c:v>9.0006535600882787E-2</c:v>
                </c:pt>
                <c:pt idx="4">
                  <c:v>9.000889996366479E-2</c:v>
                </c:pt>
                <c:pt idx="5">
                  <c:v>9.0011357589899754E-2</c:v>
                </c:pt>
                <c:pt idx="6">
                  <c:v>9.0013907169776086E-2</c:v>
                </c:pt>
                <c:pt idx="7">
                  <c:v>9.0016545988796159E-2</c:v>
                </c:pt>
                <c:pt idx="8">
                  <c:v>9.0019269561176229E-2</c:v>
                </c:pt>
                <c:pt idx="9">
                  <c:v>9.0022071179576613E-2</c:v>
                </c:pt>
                <c:pt idx="10">
                  <c:v>9.0024941362642941E-2</c:v>
                </c:pt>
                <c:pt idx="11">
                  <c:v>9.002786717779232E-2</c:v>
                </c:pt>
                <c:pt idx="12">
                  <c:v>9.0030831411773038E-2</c:v>
                </c:pt>
                <c:pt idx="13">
                  <c:v>9.0033811555579435E-2</c:v>
                </c:pt>
                <c:pt idx="14">
                  <c:v>9.0036778563120201E-2</c:v>
                </c:pt>
                <c:pt idx="15">
                  <c:v>9.0039695334349301E-2</c:v>
                </c:pt>
                <c:pt idx="16">
                  <c:v>9.0042514863129974E-2</c:v>
                </c:pt>
                <c:pt idx="17">
                  <c:v>9.0045177977572943E-2</c:v>
                </c:pt>
                <c:pt idx="18">
                  <c:v>9.0047610585631377E-2</c:v>
                </c:pt>
                <c:pt idx="19">
                  <c:v>9.0049720320976578E-2</c:v>
                </c:pt>
                <c:pt idx="20">
                  <c:v>9.0051392463242452E-2</c:v>
                </c:pt>
                <c:pt idx="21">
                  <c:v>9.005248498226992E-2</c:v>
                </c:pt>
                <c:pt idx="22">
                  <c:v>9.0052822527778909E-2</c:v>
                </c:pt>
                <c:pt idx="23">
                  <c:v>9.0052189153878914E-2</c:v>
                </c:pt>
                <c:pt idx="24">
                  <c:v>9.0050319532329559E-2</c:v>
                </c:pt>
                <c:pt idx="25">
                  <c:v>9.0046888370381883E-2</c:v>
                </c:pt>
                <c:pt idx="26">
                  <c:v>9.0041497710259377E-2</c:v>
                </c:pt>
                <c:pt idx="27">
                  <c:v>9.0033661751210747E-2</c:v>
                </c:pt>
                <c:pt idx="28">
                  <c:v>9.0022788807259002E-2</c:v>
                </c:pt>
                <c:pt idx="29">
                  <c:v>9.0008160003187676E-2</c:v>
                </c:pt>
                <c:pt idx="30">
                  <c:v>8.9988904331749775E-2</c:v>
                </c:pt>
                <c:pt idx="31">
                  <c:v>8.9963969766982177E-2</c:v>
                </c:pt>
                <c:pt idx="32">
                  <c:v>8.9932090281443111E-2</c:v>
                </c:pt>
                <c:pt idx="33">
                  <c:v>8.989174889052054E-2</c:v>
                </c:pt>
                <c:pt idx="34">
                  <c:v>8.9841137300514573E-2</c:v>
                </c:pt>
                <c:pt idx="35">
                  <c:v>8.9778113440802221E-2</c:v>
                </c:pt>
                <c:pt idx="36">
                  <c:v>8.9700159200590823E-2</c:v>
                </c:pt>
                <c:pt idx="37">
                  <c:v>8.9604342161254569E-2</c:v>
                </c:pt>
                <c:pt idx="38">
                  <c:v>8.9487287097994361E-2</c:v>
                </c:pt>
                <c:pt idx="39">
                  <c:v>8.9345165552171757E-2</c:v>
                </c:pt>
                <c:pt idx="40">
                  <c:v>8.9173714766275003E-2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36D-48E8-88A2-223099F5E0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372288"/>
        <c:axId val="189373824"/>
      </c:areaChart>
      <c:lineChart>
        <c:grouping val="standard"/>
        <c:varyColors val="0"/>
        <c:ser>
          <c:idx val="2"/>
          <c:order val="2"/>
          <c:tx>
            <c:strRef>
              <c:f>tech_proj!$I$7</c:f>
              <c:strCache>
                <c:ptCount val="1"/>
                <c:pt idx="0">
                  <c:v>Pump storage / Pump storage / Electricity only / M</c:v>
                </c:pt>
              </c:strCache>
            </c:strRef>
          </c:tx>
          <c:spPr>
            <a:ln>
              <a:solidFill>
                <a:schemeClr val="accent5">
                  <a:lumMod val="50000"/>
                </a:schemeClr>
              </a:solidFill>
            </a:ln>
          </c:spPr>
          <c:marker>
            <c:symbol val="none"/>
          </c:marker>
          <c:cat>
            <c:numRef>
              <c:f>tech_proj!$J$6:$AX$6</c:f>
              <c:numCache>
                <c:formatCode>General</c:formatCode>
                <c:ptCount val="4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  <c:pt idx="21">
                  <c:v>2031</c:v>
                </c:pt>
                <c:pt idx="22">
                  <c:v>2032</c:v>
                </c:pt>
                <c:pt idx="23">
                  <c:v>2033</c:v>
                </c:pt>
                <c:pt idx="24">
                  <c:v>2034</c:v>
                </c:pt>
                <c:pt idx="25">
                  <c:v>2035</c:v>
                </c:pt>
                <c:pt idx="26">
                  <c:v>2036</c:v>
                </c:pt>
                <c:pt idx="27">
                  <c:v>2037</c:v>
                </c:pt>
                <c:pt idx="28">
                  <c:v>2038</c:v>
                </c:pt>
                <c:pt idx="29">
                  <c:v>2039</c:v>
                </c:pt>
                <c:pt idx="30">
                  <c:v>2040</c:v>
                </c:pt>
                <c:pt idx="31">
                  <c:v>2041</c:v>
                </c:pt>
                <c:pt idx="32">
                  <c:v>2042</c:v>
                </c:pt>
                <c:pt idx="33">
                  <c:v>2043</c:v>
                </c:pt>
                <c:pt idx="34">
                  <c:v>2044</c:v>
                </c:pt>
                <c:pt idx="35">
                  <c:v>2045</c:v>
                </c:pt>
                <c:pt idx="36">
                  <c:v>2046</c:v>
                </c:pt>
                <c:pt idx="37">
                  <c:v>2047</c:v>
                </c:pt>
                <c:pt idx="38">
                  <c:v>2048</c:v>
                </c:pt>
                <c:pt idx="39">
                  <c:v>2049</c:v>
                </c:pt>
                <c:pt idx="40">
                  <c:v>2050</c:v>
                </c:pt>
              </c:numCache>
            </c:numRef>
          </c:cat>
          <c:val>
            <c:numRef>
              <c:f>tech_proj!$J$7:$AX$7</c:f>
              <c:numCache>
                <c:formatCode>#,##0.000;\-#,##0.000;"-"</c:formatCode>
                <c:ptCount val="41"/>
                <c:pt idx="0">
                  <c:v>0.75</c:v>
                </c:pt>
                <c:pt idx="1">
                  <c:v>0.75000120196272679</c:v>
                </c:pt>
                <c:pt idx="2">
                  <c:v>0.75000253013083773</c:v>
                </c:pt>
                <c:pt idx="3">
                  <c:v>0.75000399773189053</c:v>
                </c:pt>
                <c:pt idx="4">
                  <c:v>0.75000561937452737</c:v>
                </c:pt>
                <c:pt idx="5">
                  <c:v>0.75000741119150338</c:v>
                </c:pt>
                <c:pt idx="6">
                  <c:v>0.75000939099726638</c:v>
                </c:pt>
                <c:pt idx="7">
                  <c:v>0.75001157846151567</c:v>
                </c:pt>
                <c:pt idx="8">
                  <c:v>0.75001399530028345</c:v>
                </c:pt>
                <c:pt idx="9">
                  <c:v>0.75001666548622681</c:v>
                </c:pt>
                <c:pt idx="10">
                  <c:v>0.75001961547995566</c:v>
                </c:pt>
                <c:pt idx="11">
                  <c:v>0.75002287448436966</c:v>
                </c:pt>
                <c:pt idx="12">
                  <c:v>0.75002647472414086</c:v>
                </c:pt>
                <c:pt idx="13">
                  <c:v>0.75003045175263328</c:v>
                </c:pt>
                <c:pt idx="14">
                  <c:v>0.75003484478872073</c:v>
                </c:pt>
                <c:pt idx="15">
                  <c:v>0.75003969708612928</c:v>
                </c:pt>
                <c:pt idx="16">
                  <c:v>0.75004505633809737</c:v>
                </c:pt>
                <c:pt idx="17">
                  <c:v>0.75005097512030594</c:v>
                </c:pt>
                <c:pt idx="18">
                  <c:v>0.75005751137517396</c:v>
                </c:pt>
                <c:pt idx="19">
                  <c:v>0.75006472894075271</c:v>
                </c:pt>
                <c:pt idx="20">
                  <c:v>0.75007269812754485</c:v>
                </c:pt>
                <c:pt idx="21">
                  <c:v>0.75008149634664667</c:v>
                </c:pt>
                <c:pt idx="22">
                  <c:v>0.75009120879261748</c:v>
                </c:pt>
                <c:pt idx="23">
                  <c:v>0.75010192918442986</c:v>
                </c:pt>
                <c:pt idx="24">
                  <c:v>0.75011376056770895</c:v>
                </c:pt>
                <c:pt idx="25">
                  <c:v>0.75012681618120924</c:v>
                </c:pt>
                <c:pt idx="26">
                  <c:v>0.75014122039008435</c:v>
                </c:pt>
                <c:pt idx="27">
                  <c:v>0.7501571096879196</c:v>
                </c:pt>
                <c:pt idx="28">
                  <c:v>0.75017463376871074</c:v>
                </c:pt>
                <c:pt idx="29">
                  <c:v>0.75019395666889732</c:v>
                </c:pt>
                <c:pt idx="30">
                  <c:v>0.7502152579781769</c:v>
                </c:pt>
                <c:pt idx="31">
                  <c:v>0.75023873411604192</c:v>
                </c:pt>
                <c:pt idx="32">
                  <c:v>0.75026459966873404</c:v>
                </c:pt>
                <c:pt idx="33">
                  <c:v>0.75029308877852074</c:v>
                </c:pt>
                <c:pt idx="34">
                  <c:v>0.75032445657375979</c:v>
                </c:pt>
                <c:pt idx="35">
                  <c:v>0.75035898062404793</c:v>
                </c:pt>
                <c:pt idx="36">
                  <c:v>0.75039696239973586</c:v>
                </c:pt>
                <c:pt idx="37">
                  <c:v>0.75043872870913553</c:v>
                </c:pt>
                <c:pt idx="38">
                  <c:v>0.75048463307974012</c:v>
                </c:pt>
                <c:pt idx="39">
                  <c:v>0.75053505704166668</c:v>
                </c:pt>
                <c:pt idx="40">
                  <c:v>0.75059041126221659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36D-48E8-88A2-223099F5E0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9372288"/>
        <c:axId val="189373824"/>
      </c:lineChart>
      <c:catAx>
        <c:axId val="1893722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89373824"/>
        <c:crosses val="autoZero"/>
        <c:auto val="1"/>
        <c:lblAlgn val="ctr"/>
        <c:lblOffset val="100"/>
        <c:noMultiLvlLbl val="0"/>
      </c:catAx>
      <c:valAx>
        <c:axId val="189373824"/>
        <c:scaling>
          <c:orientation val="minMax"/>
        </c:scaling>
        <c:delete val="0"/>
        <c:axPos val="l"/>
        <c:majorGridlines/>
        <c:numFmt formatCode="0.00" sourceLinked="0"/>
        <c:majorTickMark val="out"/>
        <c:minorTickMark val="none"/>
        <c:tickLblPos val="nextTo"/>
        <c:crossAx val="189372288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3.1893518518518486E-3"/>
          <c:y val="0.86330305555555553"/>
          <c:w val="0.99681064814814813"/>
          <c:h val="0.11553027777777777"/>
        </c:manualLayout>
      </c:layout>
      <c:overlay val="0"/>
    </c:legend>
    <c:plotVisOnly val="1"/>
    <c:dispBlanksAs val="zero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tech_proj!$A$8</c:f>
          <c:strCache>
            <c:ptCount val="1"/>
            <c:pt idx="0">
              <c:v>Capital costs  €2010/kW gross</c:v>
            </c:pt>
          </c:strCache>
        </c:strRef>
      </c:tx>
      <c:layout>
        <c:manualLayout>
          <c:xMode val="edge"/>
          <c:yMode val="edge"/>
          <c:x val="0.76627824434567038"/>
          <c:y val="2.3779190025686341E-2"/>
        </c:manualLayout>
      </c:layout>
      <c:overlay val="0"/>
      <c:txPr>
        <a:bodyPr/>
        <a:lstStyle/>
        <a:p>
          <a:pPr>
            <a:defRPr sz="1100" b="0"/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0664969135802475E-2"/>
          <c:y val="0.11829527777777778"/>
          <c:w val="0.9077763888888889"/>
          <c:h val="0.62108888888888891"/>
        </c:manualLayout>
      </c:layout>
      <c:areaChart>
        <c:grouping val="stacked"/>
        <c:varyColors val="0"/>
        <c:ser>
          <c:idx val="1"/>
          <c:order val="0"/>
          <c:tx>
            <c:strRef>
              <c:f>tech_proj!$B$44</c:f>
              <c:strCache>
                <c:ptCount val="1"/>
              </c:strCache>
            </c:strRef>
          </c:tx>
          <c:spPr>
            <a:noFill/>
          </c:spPr>
          <c:cat>
            <c:numRef>
              <c:f>tech_proj!$J$6:$AX$6</c:f>
              <c:numCache>
                <c:formatCode>General</c:formatCode>
                <c:ptCount val="4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  <c:pt idx="21">
                  <c:v>2031</c:v>
                </c:pt>
                <c:pt idx="22">
                  <c:v>2032</c:v>
                </c:pt>
                <c:pt idx="23">
                  <c:v>2033</c:v>
                </c:pt>
                <c:pt idx="24">
                  <c:v>2034</c:v>
                </c:pt>
                <c:pt idx="25">
                  <c:v>2035</c:v>
                </c:pt>
                <c:pt idx="26">
                  <c:v>2036</c:v>
                </c:pt>
                <c:pt idx="27">
                  <c:v>2037</c:v>
                </c:pt>
                <c:pt idx="28">
                  <c:v>2038</c:v>
                </c:pt>
                <c:pt idx="29">
                  <c:v>2039</c:v>
                </c:pt>
                <c:pt idx="30">
                  <c:v>2040</c:v>
                </c:pt>
                <c:pt idx="31">
                  <c:v>2041</c:v>
                </c:pt>
                <c:pt idx="32">
                  <c:v>2042</c:v>
                </c:pt>
                <c:pt idx="33">
                  <c:v>2043</c:v>
                </c:pt>
                <c:pt idx="34">
                  <c:v>2044</c:v>
                </c:pt>
                <c:pt idx="35">
                  <c:v>2045</c:v>
                </c:pt>
                <c:pt idx="36">
                  <c:v>2046</c:v>
                </c:pt>
                <c:pt idx="37">
                  <c:v>2047</c:v>
                </c:pt>
                <c:pt idx="38">
                  <c:v>2048</c:v>
                </c:pt>
                <c:pt idx="39">
                  <c:v>2049</c:v>
                </c:pt>
                <c:pt idx="40">
                  <c:v>2050</c:v>
                </c:pt>
              </c:numCache>
            </c:numRef>
          </c:cat>
          <c:val>
            <c:numRef>
              <c:f>tech_proj!$J$25:$AX$25</c:f>
              <c:numCache>
                <c:formatCode>0</c:formatCode>
                <c:ptCount val="41"/>
                <c:pt idx="0">
                  <c:v>3349.125</c:v>
                </c:pt>
                <c:pt idx="1">
                  <c:v>3349.0777179279366</c:v>
                </c:pt>
                <c:pt idx="2">
                  <c:v>3349.0280259007745</c:v>
                </c:pt>
                <c:pt idx="3">
                  <c:v>3348.9758018490884</c:v>
                </c:pt>
                <c:pt idx="4">
                  <c:v>3348.9209176005775</c:v>
                </c:pt>
                <c:pt idx="5">
                  <c:v>3348.8632385833685</c:v>
                </c:pt>
                <c:pt idx="6">
                  <c:v>3348.802623515779</c:v>
                </c:pt>
                <c:pt idx="7">
                  <c:v>3348.7389240820207</c:v>
                </c:pt>
                <c:pt idx="8">
                  <c:v>3348.6719845933144</c:v>
                </c:pt>
                <c:pt idx="9">
                  <c:v>3348.6016416338693</c:v>
                </c:pt>
                <c:pt idx="10">
                  <c:v>3348.5277236911888</c:v>
                </c:pt>
                <c:pt idx="11">
                  <c:v>3348.4500507701409</c:v>
                </c:pt>
                <c:pt idx="12">
                  <c:v>3348.3684339902429</c:v>
                </c:pt>
                <c:pt idx="13">
                  <c:v>3348.2826751656071</c:v>
                </c:pt>
                <c:pt idx="14">
                  <c:v>3348.1925663669867</c:v>
                </c:pt>
                <c:pt idx="15">
                  <c:v>3348.0978894653758</c:v>
                </c:pt>
                <c:pt idx="16">
                  <c:v>3347.9984156566206</c:v>
                </c:pt>
                <c:pt idx="17">
                  <c:v>3347.8939049665132</c:v>
                </c:pt>
                <c:pt idx="18">
                  <c:v>3347.7841057358555</c:v>
                </c:pt>
                <c:pt idx="19">
                  <c:v>3347.6687540849962</c:v>
                </c:pt>
                <c:pt idx="20">
                  <c:v>3347.5475733573817</c:v>
                </c:pt>
                <c:pt idx="21">
                  <c:v>3347.4202735416866</c:v>
                </c:pt>
                <c:pt idx="22">
                  <c:v>3347.2865506721291</c:v>
                </c:pt>
                <c:pt idx="23">
                  <c:v>3347.1460862066288</c:v>
                </c:pt>
                <c:pt idx="24">
                  <c:v>3346.9985463825183</c:v>
                </c:pt>
                <c:pt idx="25">
                  <c:v>3346.8435815495864</c:v>
                </c:pt>
                <c:pt idx="26">
                  <c:v>3346.6808254802986</c:v>
                </c:pt>
                <c:pt idx="27">
                  <c:v>3346.5098946571497</c:v>
                </c:pt>
                <c:pt idx="28">
                  <c:v>3346.3303875371735</c:v>
                </c:pt>
                <c:pt idx="29">
                  <c:v>3346.1418837937772</c:v>
                </c:pt>
                <c:pt idx="30">
                  <c:v>3345.9439435361774</c:v>
                </c:pt>
                <c:pt idx="31">
                  <c:v>3345.7361065068781</c:v>
                </c:pt>
                <c:pt idx="32">
                  <c:v>3345.5178912577717</c:v>
                </c:pt>
                <c:pt idx="33">
                  <c:v>3345.288794305663</c:v>
                </c:pt>
                <c:pt idx="34">
                  <c:v>3345.0482892681862</c:v>
                </c:pt>
                <c:pt idx="35">
                  <c:v>3344.7958259813408</c:v>
                </c:pt>
                <c:pt idx="36">
                  <c:v>3344.5308296001144</c:v>
                </c:pt>
                <c:pt idx="37">
                  <c:v>3344.252699683947</c:v>
                </c:pt>
                <c:pt idx="38">
                  <c:v>3343.9608092690964</c:v>
                </c:pt>
                <c:pt idx="39">
                  <c:v>3343.6545039303237</c:v>
                </c:pt>
                <c:pt idx="40">
                  <c:v>3343.3331008346645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53-4ED7-BD1C-EA2082BC924B}"/>
            </c:ext>
          </c:extLst>
        </c:ser>
        <c:ser>
          <c:idx val="0"/>
          <c:order val="1"/>
          <c:tx>
            <c:strRef>
              <c:f>tech_proj!$A$45</c:f>
              <c:strCache>
                <c:ptCount val="1"/>
                <c:pt idx="0">
                  <c:v>range of values (different sizes)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  <a:alpha val="50000"/>
              </a:schemeClr>
            </a:solidFill>
          </c:spPr>
          <c:cat>
            <c:numRef>
              <c:f>tech_proj!$J$6:$AX$6</c:f>
              <c:numCache>
                <c:formatCode>General</c:formatCode>
                <c:ptCount val="4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  <c:pt idx="21">
                  <c:v>2031</c:v>
                </c:pt>
                <c:pt idx="22">
                  <c:v>2032</c:v>
                </c:pt>
                <c:pt idx="23">
                  <c:v>2033</c:v>
                </c:pt>
                <c:pt idx="24">
                  <c:v>2034</c:v>
                </c:pt>
                <c:pt idx="25">
                  <c:v>2035</c:v>
                </c:pt>
                <c:pt idx="26">
                  <c:v>2036</c:v>
                </c:pt>
                <c:pt idx="27">
                  <c:v>2037</c:v>
                </c:pt>
                <c:pt idx="28">
                  <c:v>2038</c:v>
                </c:pt>
                <c:pt idx="29">
                  <c:v>2039</c:v>
                </c:pt>
                <c:pt idx="30">
                  <c:v>2040</c:v>
                </c:pt>
                <c:pt idx="31">
                  <c:v>2041</c:v>
                </c:pt>
                <c:pt idx="32">
                  <c:v>2042</c:v>
                </c:pt>
                <c:pt idx="33">
                  <c:v>2043</c:v>
                </c:pt>
                <c:pt idx="34">
                  <c:v>2044</c:v>
                </c:pt>
                <c:pt idx="35">
                  <c:v>2045</c:v>
                </c:pt>
                <c:pt idx="36">
                  <c:v>2046</c:v>
                </c:pt>
                <c:pt idx="37">
                  <c:v>2047</c:v>
                </c:pt>
                <c:pt idx="38">
                  <c:v>2048</c:v>
                </c:pt>
                <c:pt idx="39">
                  <c:v>2049</c:v>
                </c:pt>
                <c:pt idx="40">
                  <c:v>2050</c:v>
                </c:pt>
              </c:numCache>
            </c:numRef>
          </c:cat>
          <c:val>
            <c:numRef>
              <c:f>tech_proj!$J$27:$AX$27</c:f>
              <c:numCache>
                <c:formatCode>0</c:formatCode>
                <c:ptCount val="41"/>
                <c:pt idx="0">
                  <c:v>3150.2707031250002</c:v>
                </c:pt>
                <c:pt idx="1">
                  <c:v>3150.313801885588</c:v>
                </c:pt>
                <c:pt idx="2">
                  <c:v>3150.3583844747095</c:v>
                </c:pt>
                <c:pt idx="3">
                  <c:v>3150.4043679493034</c:v>
                </c:pt>
                <c:pt idx="4">
                  <c:v>3150.451630095818</c:v>
                </c:pt>
                <c:pt idx="5">
                  <c:v>3150.4999996894544</c:v>
                </c:pt>
                <c:pt idx="6">
                  <c:v>3150.5492445487421</c:v>
                </c:pt>
                <c:pt idx="7">
                  <c:v>3150.599056896845</c:v>
                </c:pt>
                <c:pt idx="8">
                  <c:v>3150.6490354337334</c:v>
                </c:pt>
                <c:pt idx="9">
                  <c:v>3150.6986633927977</c:v>
                </c:pt>
                <c:pt idx="10">
                  <c:v>3150.7472816967193</c:v>
                </c:pt>
                <c:pt idx="11">
                  <c:v>3150.7940561346227</c:v>
                </c:pt>
                <c:pt idx="12">
                  <c:v>3150.8379372486115</c:v>
                </c:pt>
                <c:pt idx="13">
                  <c:v>3150.877611334528</c:v>
                </c:pt>
                <c:pt idx="14">
                  <c:v>3150.9114406193198</c:v>
                </c:pt>
                <c:pt idx="15">
                  <c:v>3150.9373902644797</c:v>
                </c:pt>
                <c:pt idx="16">
                  <c:v>3150.9529393485263</c:v>
                </c:pt>
                <c:pt idx="17">
                  <c:v>3150.9549723869113</c:v>
                </c:pt>
                <c:pt idx="18">
                  <c:v>3150.9396472388908</c:v>
                </c:pt>
                <c:pt idx="19">
                  <c:v>3150.9022344111281</c:v>
                </c:pt>
                <c:pt idx="20">
                  <c:v>3150.8369217804452</c:v>
                </c:pt>
                <c:pt idx="21">
                  <c:v>3150.7365776091956</c:v>
                </c:pt>
                <c:pt idx="22">
                  <c:v>3150.59246340748</c:v>
                </c:pt>
                <c:pt idx="23">
                  <c:v>3150.3938867092093</c:v>
                </c:pt>
                <c:pt idx="24">
                  <c:v>3150.1277821950721</c:v>
                </c:pt>
                <c:pt idx="25">
                  <c:v>3149.7782078674632</c:v>
                </c:pt>
                <c:pt idx="26">
                  <c:v>3149.3257412629068</c:v>
                </c:pt>
                <c:pt idx="27">
                  <c:v>3148.7467591555733</c:v>
                </c:pt>
                <c:pt idx="28">
                  <c:v>3148.0125831553992</c:v>
                </c:pt>
                <c:pt idx="29">
                  <c:v>3147.0884734984811</c:v>
                </c:pt>
                <c:pt idx="30">
                  <c:v>3145.9324548683262</c:v>
                </c:pt>
                <c:pt idx="31">
                  <c:v>3144.4939623096361</c:v>
                </c:pt>
                <c:pt idx="32">
                  <c:v>3142.7123036821772</c:v>
                </c:pt>
                <c:pt idx="33">
                  <c:v>3140.5149497004795</c:v>
                </c:pt>
                <c:pt idx="34">
                  <c:v>3137.8156861421289</c:v>
                </c:pt>
                <c:pt idx="35">
                  <c:v>3134.5126987271146</c:v>
                </c:pt>
                <c:pt idx="36">
                  <c:v>3130.486713504019</c:v>
                </c:pt>
                <c:pt idx="37">
                  <c:v>3125.5993884717591</c:v>
                </c:pt>
                <c:pt idx="38">
                  <c:v>3119.6922488010673</c:v>
                </c:pt>
                <c:pt idx="39">
                  <c:v>3112.5865785784217</c:v>
                </c:pt>
                <c:pt idx="40">
                  <c:v>3104.0848202687916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253-4ED7-BD1C-EA2082BC92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2092288"/>
        <c:axId val="255812736"/>
      </c:areaChart>
      <c:lineChart>
        <c:grouping val="standard"/>
        <c:varyColors val="0"/>
        <c:ser>
          <c:idx val="2"/>
          <c:order val="2"/>
          <c:tx>
            <c:strRef>
              <c:f>tech_proj!$I$8</c:f>
              <c:strCache>
                <c:ptCount val="1"/>
                <c:pt idx="0">
                  <c:v>Pump storage / Pump storage / Electricity only / M</c:v>
                </c:pt>
              </c:strCache>
            </c:strRef>
          </c:tx>
          <c:spPr>
            <a:ln>
              <a:solidFill>
                <a:schemeClr val="accent5">
                  <a:lumMod val="50000"/>
                </a:schemeClr>
              </a:solidFill>
            </a:ln>
          </c:spPr>
          <c:marker>
            <c:symbol val="none"/>
          </c:marker>
          <c:cat>
            <c:numRef>
              <c:f>tech_proj!$J$6:$AX$6</c:f>
              <c:numCache>
                <c:formatCode>General</c:formatCode>
                <c:ptCount val="4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  <c:pt idx="21">
                  <c:v>2031</c:v>
                </c:pt>
                <c:pt idx="22">
                  <c:v>2032</c:v>
                </c:pt>
                <c:pt idx="23">
                  <c:v>2033</c:v>
                </c:pt>
                <c:pt idx="24">
                  <c:v>2034</c:v>
                </c:pt>
                <c:pt idx="25">
                  <c:v>2035</c:v>
                </c:pt>
                <c:pt idx="26">
                  <c:v>2036</c:v>
                </c:pt>
                <c:pt idx="27">
                  <c:v>2037</c:v>
                </c:pt>
                <c:pt idx="28">
                  <c:v>2038</c:v>
                </c:pt>
                <c:pt idx="29">
                  <c:v>2039</c:v>
                </c:pt>
                <c:pt idx="30">
                  <c:v>2040</c:v>
                </c:pt>
                <c:pt idx="31">
                  <c:v>2041</c:v>
                </c:pt>
                <c:pt idx="32">
                  <c:v>2042</c:v>
                </c:pt>
                <c:pt idx="33">
                  <c:v>2043</c:v>
                </c:pt>
                <c:pt idx="34">
                  <c:v>2044</c:v>
                </c:pt>
                <c:pt idx="35">
                  <c:v>2045</c:v>
                </c:pt>
                <c:pt idx="36">
                  <c:v>2046</c:v>
                </c:pt>
                <c:pt idx="37">
                  <c:v>2047</c:v>
                </c:pt>
                <c:pt idx="38">
                  <c:v>2048</c:v>
                </c:pt>
                <c:pt idx="39">
                  <c:v>2049</c:v>
                </c:pt>
                <c:pt idx="40">
                  <c:v>2050</c:v>
                </c:pt>
              </c:numCache>
            </c:numRef>
          </c:cat>
          <c:val>
            <c:numRef>
              <c:f>tech_proj!$J$8:$AX$8</c:f>
              <c:numCache>
                <c:formatCode>#,##0;\-#,##0;"-"</c:formatCode>
                <c:ptCount val="41"/>
                <c:pt idx="0">
                  <c:v>3851.4937499999996</c:v>
                </c:pt>
                <c:pt idx="1">
                  <c:v>3851.4628878021826</c:v>
                </c:pt>
                <c:pt idx="2">
                  <c:v>3851.4287854367567</c:v>
                </c:pt>
                <c:pt idx="3">
                  <c:v>3851.3911033788172</c:v>
                </c:pt>
                <c:pt idx="4">
                  <c:v>3851.3494666706688</c:v>
                </c:pt>
                <c:pt idx="5">
                  <c:v>3851.3034612560696</c:v>
                </c:pt>
                <c:pt idx="6">
                  <c:v>3851.2526299423225</c:v>
                </c:pt>
                <c:pt idx="7">
                  <c:v>3851.1964679540029</c:v>
                </c:pt>
                <c:pt idx="8">
                  <c:v>3851.1344180389469</c:v>
                </c:pt>
                <c:pt idx="9">
                  <c:v>3851.065865083774</c:v>
                </c:pt>
                <c:pt idx="10">
                  <c:v>3850.9901301926507</c:v>
                </c:pt>
                <c:pt idx="11">
                  <c:v>3850.9064641793088</c:v>
                </c:pt>
                <c:pt idx="12">
                  <c:v>3850.8140404184478</c:v>
                </c:pt>
                <c:pt idx="13">
                  <c:v>3850.7119469987065</c:v>
                </c:pt>
                <c:pt idx="14">
                  <c:v>3850.5991781153493</c:v>
                </c:pt>
                <c:pt idx="15">
                  <c:v>3850.4746246368086</c:v>
                </c:pt>
                <c:pt idx="16">
                  <c:v>3850.3370637753319</c:v>
                </c:pt>
                <c:pt idx="17">
                  <c:v>3850.185147788286</c:v>
                </c:pt>
                <c:pt idx="18">
                  <c:v>3850.0173916333856</c:v>
                </c:pt>
                <c:pt idx="19">
                  <c:v>3849.8321594983727</c:v>
                </c:pt>
                <c:pt idx="20">
                  <c:v>3849.6276501237612</c:v>
                </c:pt>
                <c:pt idx="21">
                  <c:v>3849.4018808364576</c:v>
                </c:pt>
                <c:pt idx="22">
                  <c:v>3849.1526702127449</c:v>
                </c:pt>
                <c:pt idx="23">
                  <c:v>3848.8776192917512</c:v>
                </c:pt>
                <c:pt idx="24">
                  <c:v>3848.5740912656283</c:v>
                </c:pt>
                <c:pt idx="25">
                  <c:v>3848.2391895809396</c:v>
                </c:pt>
                <c:pt idx="26">
                  <c:v>3847.8697343979934</c:v>
                </c:pt>
                <c:pt idx="27">
                  <c:v>3847.4622373719685</c:v>
                </c:pt>
                <c:pt idx="28">
                  <c:v>3847.0128747428325</c:v>
                </c:pt>
                <c:pt idx="29">
                  <c:v>3846.5174587515003</c:v>
                </c:pt>
                <c:pt idx="30">
                  <c:v>3845.9714074389485</c:v>
                </c:pt>
                <c:pt idx="31">
                  <c:v>3845.3697129347979</c:v>
                </c:pt>
                <c:pt idx="32">
                  <c:v>3844.7069084041295</c:v>
                </c:pt>
                <c:pt idx="33">
                  <c:v>3843.9770338981284</c:v>
                </c:pt>
                <c:pt idx="34">
                  <c:v>3843.1736014479188</c:v>
                </c:pt>
                <c:pt idx="35">
                  <c:v>3842.2895598540449</c:v>
                </c:pt>
                <c:pt idx="36">
                  <c:v>3841.3172597590174</c:v>
                </c:pt>
                <c:pt idx="37">
                  <c:v>3840.2484197495605</c:v>
                </c:pt>
                <c:pt idx="38">
                  <c:v>3839.0740944208364</c:v>
                </c:pt>
                <c:pt idx="39">
                  <c:v>3837.7846455486015</c:v>
                </c:pt>
                <c:pt idx="40">
                  <c:v>3836.3697177577255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253-4ED7-BD1C-EA2082BC92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2092288"/>
        <c:axId val="255812736"/>
      </c:lineChart>
      <c:catAx>
        <c:axId val="2420922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55812736"/>
        <c:crosses val="autoZero"/>
        <c:auto val="1"/>
        <c:lblAlgn val="ctr"/>
        <c:lblOffset val="100"/>
        <c:noMultiLvlLbl val="0"/>
      </c:catAx>
      <c:valAx>
        <c:axId val="255812736"/>
        <c:scaling>
          <c:orientation val="minMax"/>
        </c:scaling>
        <c:delete val="0"/>
        <c:axPos val="l"/>
        <c:majorGridlines/>
        <c:numFmt formatCode="0" sourceLinked="0"/>
        <c:majorTickMark val="out"/>
        <c:minorTickMark val="none"/>
        <c:tickLblPos val="nextTo"/>
        <c:crossAx val="242092288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"/>
          <c:y val="0.86330305555555553"/>
          <c:w val="1"/>
          <c:h val="0.11553027777777777"/>
        </c:manualLayout>
      </c:layout>
      <c:overlay val="0"/>
    </c:legend>
    <c:plotVisOnly val="1"/>
    <c:dispBlanksAs val="zero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tech_proj!$A$9</c:f>
          <c:strCache>
            <c:ptCount val="1"/>
            <c:pt idx="0">
              <c:v>Fix O&amp;M costs  €2010/kW gross</c:v>
            </c:pt>
          </c:strCache>
        </c:strRef>
      </c:tx>
      <c:layout>
        <c:manualLayout>
          <c:xMode val="edge"/>
          <c:yMode val="edge"/>
          <c:x val="0.76627824434567038"/>
          <c:y val="2.3779190025686341E-2"/>
        </c:manualLayout>
      </c:layout>
      <c:overlay val="0"/>
      <c:txPr>
        <a:bodyPr/>
        <a:lstStyle/>
        <a:p>
          <a:pPr>
            <a:defRPr sz="1100" b="0"/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0791820987654321E-2"/>
          <c:y val="0.11829527777777778"/>
          <c:w val="0.92764953703703701"/>
          <c:h val="0.60697777777777773"/>
        </c:manualLayout>
      </c:layout>
      <c:areaChart>
        <c:grouping val="stacked"/>
        <c:varyColors val="0"/>
        <c:ser>
          <c:idx val="1"/>
          <c:order val="0"/>
          <c:tx>
            <c:strRef>
              <c:f>tech_proj!$B$44</c:f>
              <c:strCache>
                <c:ptCount val="1"/>
              </c:strCache>
            </c:strRef>
          </c:tx>
          <c:spPr>
            <a:noFill/>
          </c:spPr>
          <c:cat>
            <c:numRef>
              <c:f>tech_proj!$J$6:$AX$6</c:f>
              <c:numCache>
                <c:formatCode>General</c:formatCode>
                <c:ptCount val="4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  <c:pt idx="21">
                  <c:v>2031</c:v>
                </c:pt>
                <c:pt idx="22">
                  <c:v>2032</c:v>
                </c:pt>
                <c:pt idx="23">
                  <c:v>2033</c:v>
                </c:pt>
                <c:pt idx="24">
                  <c:v>2034</c:v>
                </c:pt>
                <c:pt idx="25">
                  <c:v>2035</c:v>
                </c:pt>
                <c:pt idx="26">
                  <c:v>2036</c:v>
                </c:pt>
                <c:pt idx="27">
                  <c:v>2037</c:v>
                </c:pt>
                <c:pt idx="28">
                  <c:v>2038</c:v>
                </c:pt>
                <c:pt idx="29">
                  <c:v>2039</c:v>
                </c:pt>
                <c:pt idx="30">
                  <c:v>2040</c:v>
                </c:pt>
                <c:pt idx="31">
                  <c:v>2041</c:v>
                </c:pt>
                <c:pt idx="32">
                  <c:v>2042</c:v>
                </c:pt>
                <c:pt idx="33">
                  <c:v>2043</c:v>
                </c:pt>
                <c:pt idx="34">
                  <c:v>2044</c:v>
                </c:pt>
                <c:pt idx="35">
                  <c:v>2045</c:v>
                </c:pt>
                <c:pt idx="36">
                  <c:v>2046</c:v>
                </c:pt>
                <c:pt idx="37">
                  <c:v>2047</c:v>
                </c:pt>
                <c:pt idx="38">
                  <c:v>2048</c:v>
                </c:pt>
                <c:pt idx="39">
                  <c:v>2049</c:v>
                </c:pt>
                <c:pt idx="40">
                  <c:v>2050</c:v>
                </c:pt>
              </c:numCache>
            </c:numRef>
          </c:cat>
          <c:val>
            <c:numRef>
              <c:f>tech_proj!$J$33:$AX$33</c:f>
              <c:numCache>
                <c:formatCode>0.00</c:formatCode>
                <c:ptCount val="41"/>
                <c:pt idx="0">
                  <c:v>33.491250000000001</c:v>
                </c:pt>
                <c:pt idx="1">
                  <c:v>33.49077717927937</c:v>
                </c:pt>
                <c:pt idx="2">
                  <c:v>33.490280259007747</c:v>
                </c:pt>
                <c:pt idx="3">
                  <c:v>33.489758018490882</c:v>
                </c:pt>
                <c:pt idx="4">
                  <c:v>33.489209176005772</c:v>
                </c:pt>
                <c:pt idx="5">
                  <c:v>33.488632385833682</c:v>
                </c:pt>
                <c:pt idx="6">
                  <c:v>33.48802623515779</c:v>
                </c:pt>
                <c:pt idx="7">
                  <c:v>33.487389240820207</c:v>
                </c:pt>
                <c:pt idx="8">
                  <c:v>33.486719845933145</c:v>
                </c:pt>
                <c:pt idx="9">
                  <c:v>33.486016416338693</c:v>
                </c:pt>
                <c:pt idx="10">
                  <c:v>33.485277236911891</c:v>
                </c:pt>
                <c:pt idx="11">
                  <c:v>33.484500507701412</c:v>
                </c:pt>
                <c:pt idx="12">
                  <c:v>33.483684339902432</c:v>
                </c:pt>
                <c:pt idx="13">
                  <c:v>33.48282675165607</c:v>
                </c:pt>
                <c:pt idx="14">
                  <c:v>33.48192566366987</c:v>
                </c:pt>
                <c:pt idx="15">
                  <c:v>33.480978894653759</c:v>
                </c:pt>
                <c:pt idx="16">
                  <c:v>33.479984156566204</c:v>
                </c:pt>
                <c:pt idx="17">
                  <c:v>33.478939049665129</c:v>
                </c:pt>
                <c:pt idx="18">
                  <c:v>33.477841057358553</c:v>
                </c:pt>
                <c:pt idx="19">
                  <c:v>33.476687540849966</c:v>
                </c:pt>
                <c:pt idx="20">
                  <c:v>33.475475733573816</c:v>
                </c:pt>
                <c:pt idx="21">
                  <c:v>33.474202735416867</c:v>
                </c:pt>
                <c:pt idx="22">
                  <c:v>33.472865506721291</c:v>
                </c:pt>
                <c:pt idx="23">
                  <c:v>33.471460862066287</c:v>
                </c:pt>
                <c:pt idx="24">
                  <c:v>33.469985463825182</c:v>
                </c:pt>
                <c:pt idx="25">
                  <c:v>33.468435815495866</c:v>
                </c:pt>
                <c:pt idx="26">
                  <c:v>33.466808254802984</c:v>
                </c:pt>
                <c:pt idx="27">
                  <c:v>33.465098946571501</c:v>
                </c:pt>
                <c:pt idx="28">
                  <c:v>33.463303875371736</c:v>
                </c:pt>
                <c:pt idx="29">
                  <c:v>33.461418837937771</c:v>
                </c:pt>
                <c:pt idx="30">
                  <c:v>33.459439435361773</c:v>
                </c:pt>
                <c:pt idx="31">
                  <c:v>33.457361065068781</c:v>
                </c:pt>
                <c:pt idx="32">
                  <c:v>33.455178912577715</c:v>
                </c:pt>
                <c:pt idx="33">
                  <c:v>33.452887943056631</c:v>
                </c:pt>
                <c:pt idx="34">
                  <c:v>33.450482892681862</c:v>
                </c:pt>
                <c:pt idx="35">
                  <c:v>33.447958259813412</c:v>
                </c:pt>
                <c:pt idx="36">
                  <c:v>33.445308296001144</c:v>
                </c:pt>
                <c:pt idx="37">
                  <c:v>33.442526996839469</c:v>
                </c:pt>
                <c:pt idx="38">
                  <c:v>33.439608092690968</c:v>
                </c:pt>
                <c:pt idx="39">
                  <c:v>33.43654503930324</c:v>
                </c:pt>
                <c:pt idx="40">
                  <c:v>33.433331008346649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00-49E5-AB92-84D2428FC391}"/>
            </c:ext>
          </c:extLst>
        </c:ser>
        <c:ser>
          <c:idx val="0"/>
          <c:order val="1"/>
          <c:tx>
            <c:strRef>
              <c:f>tech_proj!$A$45</c:f>
              <c:strCache>
                <c:ptCount val="1"/>
                <c:pt idx="0">
                  <c:v>range of values (different sizes)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  <a:alpha val="50000"/>
              </a:schemeClr>
            </a:solidFill>
          </c:spPr>
          <c:cat>
            <c:numRef>
              <c:f>tech_proj!$J$6:$AX$6</c:f>
              <c:numCache>
                <c:formatCode>General</c:formatCode>
                <c:ptCount val="4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  <c:pt idx="21">
                  <c:v>2031</c:v>
                </c:pt>
                <c:pt idx="22">
                  <c:v>2032</c:v>
                </c:pt>
                <c:pt idx="23">
                  <c:v>2033</c:v>
                </c:pt>
                <c:pt idx="24">
                  <c:v>2034</c:v>
                </c:pt>
                <c:pt idx="25">
                  <c:v>2035</c:v>
                </c:pt>
                <c:pt idx="26">
                  <c:v>2036</c:v>
                </c:pt>
                <c:pt idx="27">
                  <c:v>2037</c:v>
                </c:pt>
                <c:pt idx="28">
                  <c:v>2038</c:v>
                </c:pt>
                <c:pt idx="29">
                  <c:v>2039</c:v>
                </c:pt>
                <c:pt idx="30">
                  <c:v>2040</c:v>
                </c:pt>
                <c:pt idx="31">
                  <c:v>2041</c:v>
                </c:pt>
                <c:pt idx="32">
                  <c:v>2042</c:v>
                </c:pt>
                <c:pt idx="33">
                  <c:v>2043</c:v>
                </c:pt>
                <c:pt idx="34">
                  <c:v>2044</c:v>
                </c:pt>
                <c:pt idx="35">
                  <c:v>2045</c:v>
                </c:pt>
                <c:pt idx="36">
                  <c:v>2046</c:v>
                </c:pt>
                <c:pt idx="37">
                  <c:v>2047</c:v>
                </c:pt>
                <c:pt idx="38">
                  <c:v>2048</c:v>
                </c:pt>
                <c:pt idx="39">
                  <c:v>2049</c:v>
                </c:pt>
                <c:pt idx="40">
                  <c:v>2050</c:v>
                </c:pt>
              </c:numCache>
            </c:numRef>
          </c:cat>
          <c:val>
            <c:numRef>
              <c:f>tech_proj!$J$35:$AX$35</c:f>
              <c:numCache>
                <c:formatCode>0.00</c:formatCode>
                <c:ptCount val="41"/>
                <c:pt idx="0">
                  <c:v>31.50270703124999</c:v>
                </c:pt>
                <c:pt idx="1">
                  <c:v>31.503138018855871</c:v>
                </c:pt>
                <c:pt idx="2">
                  <c:v>31.503583844747084</c:v>
                </c:pt>
                <c:pt idx="3">
                  <c:v>31.50404367949303</c:v>
                </c:pt>
                <c:pt idx="4">
                  <c:v>31.504516300958173</c:v>
                </c:pt>
                <c:pt idx="5">
                  <c:v>31.50499999689454</c:v>
                </c:pt>
                <c:pt idx="6">
                  <c:v>31.505492445487405</c:v>
                </c:pt>
                <c:pt idx="7">
                  <c:v>31.505990568968443</c:v>
                </c:pt>
                <c:pt idx="8">
                  <c:v>31.506490354337323</c:v>
                </c:pt>
                <c:pt idx="9">
                  <c:v>31.506986633927973</c:v>
                </c:pt>
                <c:pt idx="10">
                  <c:v>31.507472816967187</c:v>
                </c:pt>
                <c:pt idx="11">
                  <c:v>31.507940561346217</c:v>
                </c:pt>
                <c:pt idx="12">
                  <c:v>31.508379372486097</c:v>
                </c:pt>
                <c:pt idx="13">
                  <c:v>31.50877611334527</c:v>
                </c:pt>
                <c:pt idx="14">
                  <c:v>31.509114406193191</c:v>
                </c:pt>
                <c:pt idx="15">
                  <c:v>31.509373902644782</c:v>
                </c:pt>
                <c:pt idx="16">
                  <c:v>31.509529393485252</c:v>
                </c:pt>
                <c:pt idx="17">
                  <c:v>31.5095497238691</c:v>
                </c:pt>
                <c:pt idx="18">
                  <c:v>31.509396472388893</c:v>
                </c:pt>
                <c:pt idx="19">
                  <c:v>31.509022344111273</c:v>
                </c:pt>
                <c:pt idx="20">
                  <c:v>31.508369217804443</c:v>
                </c:pt>
                <c:pt idx="21">
                  <c:v>31.507365776091945</c:v>
                </c:pt>
                <c:pt idx="22">
                  <c:v>31.505924634074788</c:v>
                </c:pt>
                <c:pt idx="23">
                  <c:v>31.503938867092081</c:v>
                </c:pt>
                <c:pt idx="24">
                  <c:v>31.501277821950708</c:v>
                </c:pt>
                <c:pt idx="25">
                  <c:v>31.497782078674618</c:v>
                </c:pt>
                <c:pt idx="26">
                  <c:v>31.493257412629063</c:v>
                </c:pt>
                <c:pt idx="27">
                  <c:v>31.487467591555713</c:v>
                </c:pt>
                <c:pt idx="28">
                  <c:v>31.480125831553977</c:v>
                </c:pt>
                <c:pt idx="29">
                  <c:v>31.470884734984807</c:v>
                </c:pt>
                <c:pt idx="30">
                  <c:v>31.459324548683256</c:v>
                </c:pt>
                <c:pt idx="31">
                  <c:v>31.444939623096346</c:v>
                </c:pt>
                <c:pt idx="32">
                  <c:v>31.427123036821762</c:v>
                </c:pt>
                <c:pt idx="33">
                  <c:v>31.405149497004778</c:v>
                </c:pt>
                <c:pt idx="34">
                  <c:v>31.378156861421274</c:v>
                </c:pt>
                <c:pt idx="35">
                  <c:v>31.345126987271136</c:v>
                </c:pt>
                <c:pt idx="36">
                  <c:v>31.304867135040183</c:v>
                </c:pt>
                <c:pt idx="37">
                  <c:v>31.255993884717576</c:v>
                </c:pt>
                <c:pt idx="38">
                  <c:v>31.196922488010664</c:v>
                </c:pt>
                <c:pt idx="39">
                  <c:v>31.1258657857842</c:v>
                </c:pt>
                <c:pt idx="40">
                  <c:v>31.040848202687904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C00-49E5-AB92-84D2428FC3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104320"/>
        <c:axId val="168105856"/>
      </c:areaChart>
      <c:lineChart>
        <c:grouping val="standard"/>
        <c:varyColors val="0"/>
        <c:ser>
          <c:idx val="2"/>
          <c:order val="2"/>
          <c:tx>
            <c:strRef>
              <c:f>tech_proj!$I$9</c:f>
              <c:strCache>
                <c:ptCount val="1"/>
                <c:pt idx="0">
                  <c:v>Pump storage / Pump storage / Electricity only / M</c:v>
                </c:pt>
              </c:strCache>
            </c:strRef>
          </c:tx>
          <c:spPr>
            <a:ln>
              <a:solidFill>
                <a:schemeClr val="accent5">
                  <a:lumMod val="50000"/>
                </a:schemeClr>
              </a:solidFill>
            </a:ln>
          </c:spPr>
          <c:marker>
            <c:symbol val="none"/>
          </c:marker>
          <c:cat>
            <c:numRef>
              <c:f>tech_proj!$J$6:$AX$6</c:f>
              <c:numCache>
                <c:formatCode>General</c:formatCode>
                <c:ptCount val="4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  <c:pt idx="21">
                  <c:v>2031</c:v>
                </c:pt>
                <c:pt idx="22">
                  <c:v>2032</c:v>
                </c:pt>
                <c:pt idx="23">
                  <c:v>2033</c:v>
                </c:pt>
                <c:pt idx="24">
                  <c:v>2034</c:v>
                </c:pt>
                <c:pt idx="25">
                  <c:v>2035</c:v>
                </c:pt>
                <c:pt idx="26">
                  <c:v>2036</c:v>
                </c:pt>
                <c:pt idx="27">
                  <c:v>2037</c:v>
                </c:pt>
                <c:pt idx="28">
                  <c:v>2038</c:v>
                </c:pt>
                <c:pt idx="29">
                  <c:v>2039</c:v>
                </c:pt>
                <c:pt idx="30">
                  <c:v>2040</c:v>
                </c:pt>
                <c:pt idx="31">
                  <c:v>2041</c:v>
                </c:pt>
                <c:pt idx="32">
                  <c:v>2042</c:v>
                </c:pt>
                <c:pt idx="33">
                  <c:v>2043</c:v>
                </c:pt>
                <c:pt idx="34">
                  <c:v>2044</c:v>
                </c:pt>
                <c:pt idx="35">
                  <c:v>2045</c:v>
                </c:pt>
                <c:pt idx="36">
                  <c:v>2046</c:v>
                </c:pt>
                <c:pt idx="37">
                  <c:v>2047</c:v>
                </c:pt>
                <c:pt idx="38">
                  <c:v>2048</c:v>
                </c:pt>
                <c:pt idx="39">
                  <c:v>2049</c:v>
                </c:pt>
                <c:pt idx="40">
                  <c:v>2050</c:v>
                </c:pt>
              </c:numCache>
            </c:numRef>
          </c:cat>
          <c:val>
            <c:numRef>
              <c:f>tech_proj!$J$9:$AX$9</c:f>
              <c:numCache>
                <c:formatCode>#,##0.00;\-#,##0.00;"-"</c:formatCode>
                <c:ptCount val="41"/>
                <c:pt idx="0">
                  <c:v>38.514937499999995</c:v>
                </c:pt>
                <c:pt idx="1">
                  <c:v>38.514628878021824</c:v>
                </c:pt>
                <c:pt idx="2">
                  <c:v>38.514287854367566</c:v>
                </c:pt>
                <c:pt idx="3">
                  <c:v>38.513911033788176</c:v>
                </c:pt>
                <c:pt idx="4">
                  <c:v>38.513494666706691</c:v>
                </c:pt>
                <c:pt idx="5">
                  <c:v>38.513034612560695</c:v>
                </c:pt>
                <c:pt idx="6">
                  <c:v>38.512526299423229</c:v>
                </c:pt>
                <c:pt idx="7">
                  <c:v>38.511964679540029</c:v>
                </c:pt>
                <c:pt idx="8">
                  <c:v>38.511344180389472</c:v>
                </c:pt>
                <c:pt idx="9">
                  <c:v>38.51065865083774</c:v>
                </c:pt>
                <c:pt idx="10">
                  <c:v>38.509901301926504</c:v>
                </c:pt>
                <c:pt idx="11">
                  <c:v>38.509064641793088</c:v>
                </c:pt>
                <c:pt idx="12">
                  <c:v>38.508140404184481</c:v>
                </c:pt>
                <c:pt idx="13">
                  <c:v>38.507119469987067</c:v>
                </c:pt>
                <c:pt idx="14">
                  <c:v>38.505991781153497</c:v>
                </c:pt>
                <c:pt idx="15">
                  <c:v>38.504746246368086</c:v>
                </c:pt>
                <c:pt idx="16">
                  <c:v>38.503370637753321</c:v>
                </c:pt>
                <c:pt idx="17">
                  <c:v>38.501851477882859</c:v>
                </c:pt>
                <c:pt idx="18">
                  <c:v>38.500173916333857</c:v>
                </c:pt>
                <c:pt idx="19">
                  <c:v>38.498321594983729</c:v>
                </c:pt>
                <c:pt idx="20">
                  <c:v>38.49627650123761</c:v>
                </c:pt>
                <c:pt idx="21">
                  <c:v>38.494018808364579</c:v>
                </c:pt>
                <c:pt idx="22">
                  <c:v>38.491526702127452</c:v>
                </c:pt>
                <c:pt idx="23">
                  <c:v>38.488776192917513</c:v>
                </c:pt>
                <c:pt idx="24">
                  <c:v>38.485740912656283</c:v>
                </c:pt>
                <c:pt idx="25">
                  <c:v>38.4823918958094</c:v>
                </c:pt>
                <c:pt idx="26">
                  <c:v>38.478697343979938</c:v>
                </c:pt>
                <c:pt idx="27">
                  <c:v>38.474622373719683</c:v>
                </c:pt>
                <c:pt idx="28">
                  <c:v>38.470128747428326</c:v>
                </c:pt>
                <c:pt idx="29">
                  <c:v>38.465174587515001</c:v>
                </c:pt>
                <c:pt idx="30">
                  <c:v>38.459714074389488</c:v>
                </c:pt>
                <c:pt idx="31">
                  <c:v>38.453697129347979</c:v>
                </c:pt>
                <c:pt idx="32">
                  <c:v>38.447069084041296</c:v>
                </c:pt>
                <c:pt idx="33">
                  <c:v>38.439770338981283</c:v>
                </c:pt>
                <c:pt idx="34">
                  <c:v>38.431736014479192</c:v>
                </c:pt>
                <c:pt idx="35">
                  <c:v>38.42289559854045</c:v>
                </c:pt>
                <c:pt idx="36">
                  <c:v>38.413172597590176</c:v>
                </c:pt>
                <c:pt idx="37">
                  <c:v>38.402484197495603</c:v>
                </c:pt>
                <c:pt idx="38">
                  <c:v>38.390740944208368</c:v>
                </c:pt>
                <c:pt idx="39">
                  <c:v>38.377846455486015</c:v>
                </c:pt>
                <c:pt idx="40">
                  <c:v>38.363697177577258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C00-49E5-AB92-84D2428FC3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8104320"/>
        <c:axId val="168105856"/>
      </c:lineChart>
      <c:catAx>
        <c:axId val="1681043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68105856"/>
        <c:crosses val="autoZero"/>
        <c:auto val="1"/>
        <c:lblAlgn val="ctr"/>
        <c:lblOffset val="100"/>
        <c:noMultiLvlLbl val="0"/>
      </c:catAx>
      <c:valAx>
        <c:axId val="168105856"/>
        <c:scaling>
          <c:orientation val="minMax"/>
        </c:scaling>
        <c:delete val="0"/>
        <c:axPos val="l"/>
        <c:majorGridlines/>
        <c:numFmt formatCode="0" sourceLinked="0"/>
        <c:majorTickMark val="out"/>
        <c:minorTickMark val="none"/>
        <c:tickLblPos val="nextTo"/>
        <c:crossAx val="168104320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1.8219135802469185E-3"/>
          <c:y val="0.85624750000000005"/>
          <c:w val="0.99817808641975314"/>
          <c:h val="0.12258583333333334"/>
        </c:manualLayout>
      </c:layout>
      <c:overlay val="0"/>
    </c:legend>
    <c:plotVisOnly val="1"/>
    <c:dispBlanksAs val="zero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tech_proj!$A$10</c:f>
          <c:strCache>
            <c:ptCount val="1"/>
            <c:pt idx="0">
              <c:v>Variable O&amp;M  costs €2010/MWh gross</c:v>
            </c:pt>
          </c:strCache>
        </c:strRef>
      </c:tx>
      <c:layout>
        <c:manualLayout>
          <c:xMode val="edge"/>
          <c:yMode val="edge"/>
          <c:x val="0.76627824434567038"/>
          <c:y val="2.3779190025686341E-2"/>
        </c:manualLayout>
      </c:layout>
      <c:overlay val="0"/>
      <c:txPr>
        <a:bodyPr/>
        <a:lstStyle/>
        <a:p>
          <a:pPr>
            <a:defRPr sz="1100" b="0"/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5677160493827158E-2"/>
          <c:y val="0.11829527777777778"/>
          <c:w val="0.91276419753086424"/>
          <c:h val="0.61050555555555552"/>
        </c:manualLayout>
      </c:layout>
      <c:areaChart>
        <c:grouping val="stacked"/>
        <c:varyColors val="0"/>
        <c:ser>
          <c:idx val="1"/>
          <c:order val="0"/>
          <c:tx>
            <c:strRef>
              <c:f>tech_proj!$B$44</c:f>
              <c:strCache>
                <c:ptCount val="1"/>
              </c:strCache>
            </c:strRef>
          </c:tx>
          <c:spPr>
            <a:noFill/>
          </c:spPr>
          <c:cat>
            <c:numRef>
              <c:f>tech_proj!$J$6:$AX$6</c:f>
              <c:numCache>
                <c:formatCode>General</c:formatCode>
                <c:ptCount val="4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  <c:pt idx="21">
                  <c:v>2031</c:v>
                </c:pt>
                <c:pt idx="22">
                  <c:v>2032</c:v>
                </c:pt>
                <c:pt idx="23">
                  <c:v>2033</c:v>
                </c:pt>
                <c:pt idx="24">
                  <c:v>2034</c:v>
                </c:pt>
                <c:pt idx="25">
                  <c:v>2035</c:v>
                </c:pt>
                <c:pt idx="26">
                  <c:v>2036</c:v>
                </c:pt>
                <c:pt idx="27">
                  <c:v>2037</c:v>
                </c:pt>
                <c:pt idx="28">
                  <c:v>2038</c:v>
                </c:pt>
                <c:pt idx="29">
                  <c:v>2039</c:v>
                </c:pt>
                <c:pt idx="30">
                  <c:v>2040</c:v>
                </c:pt>
                <c:pt idx="31">
                  <c:v>2041</c:v>
                </c:pt>
                <c:pt idx="32">
                  <c:v>2042</c:v>
                </c:pt>
                <c:pt idx="33">
                  <c:v>2043</c:v>
                </c:pt>
                <c:pt idx="34">
                  <c:v>2044</c:v>
                </c:pt>
                <c:pt idx="35">
                  <c:v>2045</c:v>
                </c:pt>
                <c:pt idx="36">
                  <c:v>2046</c:v>
                </c:pt>
                <c:pt idx="37">
                  <c:v>2047</c:v>
                </c:pt>
                <c:pt idx="38">
                  <c:v>2048</c:v>
                </c:pt>
                <c:pt idx="39">
                  <c:v>2049</c:v>
                </c:pt>
                <c:pt idx="40">
                  <c:v>2050</c:v>
                </c:pt>
              </c:numCache>
            </c:numRef>
          </c:cat>
          <c:val>
            <c:numRef>
              <c:f>tech_proj!$J$41:$AX$41</c:f>
              <c:numCache>
                <c:formatCode>0.00</c:formatCode>
                <c:ptCount val="41"/>
                <c:pt idx="0">
                  <c:v>0.98157239155920284</c:v>
                </c:pt>
                <c:pt idx="1">
                  <c:v>0.98155853397653481</c:v>
                </c:pt>
                <c:pt idx="2">
                  <c:v>0.9815439700764288</c:v>
                </c:pt>
                <c:pt idx="3">
                  <c:v>0.98152866408238237</c:v>
                </c:pt>
                <c:pt idx="4">
                  <c:v>0.98151257842924322</c:v>
                </c:pt>
                <c:pt idx="5">
                  <c:v>0.98149567367625101</c:v>
                </c:pt>
                <c:pt idx="6">
                  <c:v>0.98147790841611349</c:v>
                </c:pt>
                <c:pt idx="7">
                  <c:v>0.98145923917995914</c:v>
                </c:pt>
                <c:pt idx="8">
                  <c:v>0.98143962033801724</c:v>
                </c:pt>
                <c:pt idx="9">
                  <c:v>0.98141900399585869</c:v>
                </c:pt>
                <c:pt idx="10">
                  <c:v>0.98139733988604594</c:v>
                </c:pt>
                <c:pt idx="11">
                  <c:v>0.9813745752550237</c:v>
                </c:pt>
                <c:pt idx="12">
                  <c:v>0.98135065474508887</c:v>
                </c:pt>
                <c:pt idx="13">
                  <c:v>0.98132552027127995</c:v>
                </c:pt>
                <c:pt idx="14">
                  <c:v>0.9812991108930208</c:v>
                </c:pt>
                <c:pt idx="15">
                  <c:v>0.98127136268035642</c:v>
                </c:pt>
                <c:pt idx="16">
                  <c:v>0.98124220857462507</c:v>
                </c:pt>
                <c:pt idx="17">
                  <c:v>0.98121157824340954</c:v>
                </c:pt>
                <c:pt idx="18">
                  <c:v>0.98117939792961761</c:v>
                </c:pt>
                <c:pt idx="19">
                  <c:v>0.98114559029454751</c:v>
                </c:pt>
                <c:pt idx="20">
                  <c:v>0.98109680669854793</c:v>
                </c:pt>
                <c:pt idx="21">
                  <c:v>0.98103926826965149</c:v>
                </c:pt>
                <c:pt idx="22">
                  <c:v>0.98097575569925732</c:v>
                </c:pt>
                <c:pt idx="23">
                  <c:v>0.98090565760022208</c:v>
                </c:pt>
                <c:pt idx="24">
                  <c:v>0.98082830196891513</c:v>
                </c:pt>
                <c:pt idx="25">
                  <c:v>0.98074295060424588</c:v>
                </c:pt>
                <c:pt idx="26">
                  <c:v>0.98064879310820996</c:v>
                </c:pt>
                <c:pt idx="27">
                  <c:v>0.9805449404587312</c:v>
                </c:pt>
                <c:pt idx="28">
                  <c:v>0.98043041815149434</c:v>
                </c:pt>
                <c:pt idx="29">
                  <c:v>0.98030415891520994</c:v>
                </c:pt>
                <c:pt idx="30">
                  <c:v>0.98016499501476861</c:v>
                </c:pt>
                <c:pt idx="31">
                  <c:v>0.97999201798047764</c:v>
                </c:pt>
                <c:pt idx="32">
                  <c:v>0.97973847184019835</c:v>
                </c:pt>
                <c:pt idx="33">
                  <c:v>0.97944551033443661</c:v>
                </c:pt>
                <c:pt idx="34">
                  <c:v>0.9790756844420001</c:v>
                </c:pt>
                <c:pt idx="35">
                  <c:v>0.97853872186764612</c:v>
                </c:pt>
                <c:pt idx="36">
                  <c:v>0.97789067560798137</c:v>
                </c:pt>
                <c:pt idx="37">
                  <c:v>0.97711056185605494</c:v>
                </c:pt>
                <c:pt idx="38">
                  <c:v>0.9761743522352917</c:v>
                </c:pt>
                <c:pt idx="39">
                  <c:v>0.97505495730839076</c:v>
                </c:pt>
                <c:pt idx="40">
                  <c:v>0.97372243778853163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90-4027-B4A8-B4791410DCDB}"/>
            </c:ext>
          </c:extLst>
        </c:ser>
        <c:ser>
          <c:idx val="0"/>
          <c:order val="1"/>
          <c:tx>
            <c:strRef>
              <c:f>tech_proj!$A$45</c:f>
              <c:strCache>
                <c:ptCount val="1"/>
                <c:pt idx="0">
                  <c:v>range of values (different sizes)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  <a:alpha val="50000"/>
              </a:schemeClr>
            </a:solidFill>
          </c:spPr>
          <c:cat>
            <c:numRef>
              <c:f>tech_proj!$J$6:$AX$6</c:f>
              <c:numCache>
                <c:formatCode>General</c:formatCode>
                <c:ptCount val="4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  <c:pt idx="21">
                  <c:v>2031</c:v>
                </c:pt>
                <c:pt idx="22">
                  <c:v>2032</c:v>
                </c:pt>
                <c:pt idx="23">
                  <c:v>2033</c:v>
                </c:pt>
                <c:pt idx="24">
                  <c:v>2034</c:v>
                </c:pt>
                <c:pt idx="25">
                  <c:v>2035</c:v>
                </c:pt>
                <c:pt idx="26">
                  <c:v>2036</c:v>
                </c:pt>
                <c:pt idx="27">
                  <c:v>2037</c:v>
                </c:pt>
                <c:pt idx="28">
                  <c:v>2038</c:v>
                </c:pt>
                <c:pt idx="29">
                  <c:v>2039</c:v>
                </c:pt>
                <c:pt idx="30">
                  <c:v>2040</c:v>
                </c:pt>
                <c:pt idx="31">
                  <c:v>2041</c:v>
                </c:pt>
                <c:pt idx="32">
                  <c:v>2042</c:v>
                </c:pt>
                <c:pt idx="33">
                  <c:v>2043</c:v>
                </c:pt>
                <c:pt idx="34">
                  <c:v>2044</c:v>
                </c:pt>
                <c:pt idx="35">
                  <c:v>2045</c:v>
                </c:pt>
                <c:pt idx="36">
                  <c:v>2046</c:v>
                </c:pt>
                <c:pt idx="37">
                  <c:v>2047</c:v>
                </c:pt>
                <c:pt idx="38">
                  <c:v>2048</c:v>
                </c:pt>
                <c:pt idx="39">
                  <c:v>2049</c:v>
                </c:pt>
                <c:pt idx="40">
                  <c:v>2050</c:v>
                </c:pt>
              </c:numCache>
            </c:numRef>
          </c:cat>
          <c:val>
            <c:numRef>
              <c:f>tech_proj!$J$43:$AX$43</c:f>
              <c:numCache>
                <c:formatCode>0.00</c:formatCode>
                <c:ptCount val="41"/>
                <c:pt idx="0">
                  <c:v>0</c:v>
                </c:pt>
                <c:pt idx="1">
                  <c:v>1.3225797308780152E-5</c:v>
                </c:pt>
                <c:pt idx="2">
                  <c:v>2.7018043626148014E-5</c:v>
                </c:pt>
                <c:pt idx="3">
                  <c:v>4.1381553407826566E-5</c:v>
                </c:pt>
                <c:pt idx="4">
                  <c:v>5.6316077237772433E-5</c:v>
                </c:pt>
                <c:pt idx="5">
                  <c:v>7.1814872879882863E-5</c:v>
                </c:pt>
                <c:pt idx="6">
                  <c:v>8.7862945287286998E-5</c:v>
                </c:pt>
                <c:pt idx="7">
                  <c:v>1.0443488186151484E-4</c:v>
                </c:pt>
                <c:pt idx="8">
                  <c:v>1.2149219303969616E-4</c:v>
                </c:pt>
                <c:pt idx="9">
                  <c:v>1.3898004858303725E-4</c:v>
                </c:pt>
                <c:pt idx="10">
                  <c:v>1.5682327595423207E-4</c:v>
                </c:pt>
                <c:pt idx="11">
                  <c:v>1.7492145806641268E-4</c:v>
                </c:pt>
                <c:pt idx="12">
                  <c:v>1.9314293234828916E-4</c:v>
                </c:pt>
                <c:pt idx="13">
                  <c:v>2.1131745029911997E-4</c:v>
                </c:pt>
                <c:pt idx="14">
                  <c:v>2.2922720497664528E-4</c:v>
                </c:pt>
                <c:pt idx="15">
                  <c:v>2.4659587151676376E-4</c:v>
                </c:pt>
                <c:pt idx="16">
                  <c:v>2.6307523077850892E-4</c:v>
                </c:pt>
                <c:pt idx="17">
                  <c:v>2.7822885642370121E-4</c:v>
                </c:pt>
                <c:pt idx="18">
                  <c:v>2.9151223868040255E-4</c:v>
                </c:pt>
                <c:pt idx="19">
                  <c:v>3.0224859120753234E-4</c:v>
                </c:pt>
                <c:pt idx="20">
                  <c:v>3.2286699461436807E-4</c:v>
                </c:pt>
                <c:pt idx="21">
                  <c:v>3.4602544991080286E-4</c:v>
                </c:pt>
                <c:pt idx="22">
                  <c:v>3.6757762722083864E-4</c:v>
                </c:pt>
                <c:pt idx="23">
                  <c:v>3.8647197422103652E-4</c:v>
                </c:pt>
                <c:pt idx="24">
                  <c:v>4.0135689580456102E-4</c:v>
                </c:pt>
                <c:pt idx="25">
                  <c:v>4.1051014405346642E-4</c:v>
                </c:pt>
                <c:pt idx="26">
                  <c:v>4.117535263947758E-4</c:v>
                </c:pt>
                <c:pt idx="27">
                  <c:v>4.0235044222425298E-4</c:v>
                </c:pt>
                <c:pt idx="28">
                  <c:v>3.7888359380133796E-4</c:v>
                </c:pt>
                <c:pt idx="29">
                  <c:v>3.9393129398623827E-4</c:v>
                </c:pt>
                <c:pt idx="30">
                  <c:v>4.7508222326708704E-4</c:v>
                </c:pt>
                <c:pt idx="31">
                  <c:v>5.8714570852536063E-4</c:v>
                </c:pt>
                <c:pt idx="32">
                  <c:v>7.7673661753074885E-4</c:v>
                </c:pt>
                <c:pt idx="33">
                  <c:v>1.0025536472935137E-3</c:v>
                </c:pt>
                <c:pt idx="34">
                  <c:v>1.3018915451588065E-3</c:v>
                </c:pt>
                <c:pt idx="35">
                  <c:v>1.7648613625240728E-3</c:v>
                </c:pt>
                <c:pt idx="36">
                  <c:v>2.3352416253464847E-3</c:v>
                </c:pt>
                <c:pt idx="37">
                  <c:v>3.0338401615145338E-3</c:v>
                </c:pt>
                <c:pt idx="38">
                  <c:v>3.8845015950413897E-3</c:v>
                </c:pt>
                <c:pt idx="39">
                  <c:v>4.9141235621612545E-3</c:v>
                </c:pt>
                <c:pt idx="40">
                  <c:v>6.1524452228003401E-3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C90-4027-B4A8-B4791410DC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155392"/>
        <c:axId val="168169472"/>
      </c:areaChart>
      <c:lineChart>
        <c:grouping val="standard"/>
        <c:varyColors val="0"/>
        <c:ser>
          <c:idx val="2"/>
          <c:order val="2"/>
          <c:tx>
            <c:strRef>
              <c:f>tech_proj!$I$10</c:f>
              <c:strCache>
                <c:ptCount val="1"/>
                <c:pt idx="0">
                  <c:v>Pump storage / Pump storage / Electricity only / M</c:v>
                </c:pt>
              </c:strCache>
            </c:strRef>
          </c:tx>
          <c:spPr>
            <a:ln>
              <a:solidFill>
                <a:schemeClr val="accent5">
                  <a:lumMod val="50000"/>
                </a:schemeClr>
              </a:solidFill>
            </a:ln>
          </c:spPr>
          <c:marker>
            <c:symbol val="none"/>
          </c:marker>
          <c:cat>
            <c:numRef>
              <c:f>tech_proj!$J$6:$AX$6</c:f>
              <c:numCache>
                <c:formatCode>General</c:formatCode>
                <c:ptCount val="4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  <c:pt idx="21">
                  <c:v>2031</c:v>
                </c:pt>
                <c:pt idx="22">
                  <c:v>2032</c:v>
                </c:pt>
                <c:pt idx="23">
                  <c:v>2033</c:v>
                </c:pt>
                <c:pt idx="24">
                  <c:v>2034</c:v>
                </c:pt>
                <c:pt idx="25">
                  <c:v>2035</c:v>
                </c:pt>
                <c:pt idx="26">
                  <c:v>2036</c:v>
                </c:pt>
                <c:pt idx="27">
                  <c:v>2037</c:v>
                </c:pt>
                <c:pt idx="28">
                  <c:v>2038</c:v>
                </c:pt>
                <c:pt idx="29">
                  <c:v>2039</c:v>
                </c:pt>
                <c:pt idx="30">
                  <c:v>2040</c:v>
                </c:pt>
                <c:pt idx="31">
                  <c:v>2041</c:v>
                </c:pt>
                <c:pt idx="32">
                  <c:v>2042</c:v>
                </c:pt>
                <c:pt idx="33">
                  <c:v>2043</c:v>
                </c:pt>
                <c:pt idx="34">
                  <c:v>2044</c:v>
                </c:pt>
                <c:pt idx="35">
                  <c:v>2045</c:v>
                </c:pt>
                <c:pt idx="36">
                  <c:v>2046</c:v>
                </c:pt>
                <c:pt idx="37">
                  <c:v>2047</c:v>
                </c:pt>
                <c:pt idx="38">
                  <c:v>2048</c:v>
                </c:pt>
                <c:pt idx="39">
                  <c:v>2049</c:v>
                </c:pt>
                <c:pt idx="40">
                  <c:v>2050</c:v>
                </c:pt>
              </c:numCache>
            </c:numRef>
          </c:cat>
          <c:val>
            <c:numRef>
              <c:f>tech_proj!$J$10:$AX$10</c:f>
              <c:numCache>
                <c:formatCode>#,##0.00;\-#,##0.00;"-"</c:formatCode>
                <c:ptCount val="41"/>
                <c:pt idx="0">
                  <c:v>0.98157239155920284</c:v>
                </c:pt>
                <c:pt idx="1">
                  <c:v>0.98156452617416357</c:v>
                </c:pt>
                <c:pt idx="2">
                  <c:v>0.98155583501624888</c:v>
                </c:pt>
                <c:pt idx="3">
                  <c:v>0.98154623155584331</c:v>
                </c:pt>
                <c:pt idx="4">
                  <c:v>0.98153562023310814</c:v>
                </c:pt>
                <c:pt idx="5">
                  <c:v>0.98152389552374497</c:v>
                </c:pt>
                <c:pt idx="6">
                  <c:v>0.98151094090991475</c:v>
                </c:pt>
                <c:pt idx="7">
                  <c:v>0.98149662774708268</c:v>
                </c:pt>
                <c:pt idx="8">
                  <c:v>0.98148081401675624</c:v>
                </c:pt>
                <c:pt idx="9">
                  <c:v>0.98146334295422155</c:v>
                </c:pt>
                <c:pt idx="10">
                  <c:v>0.98144404153949005</c:v>
                </c:pt>
                <c:pt idx="11">
                  <c:v>0.98142271883870469</c:v>
                </c:pt>
                <c:pt idx="12">
                  <c:v>0.98139916418228468</c:v>
                </c:pt>
                <c:pt idx="13">
                  <c:v>0.98137314516507135</c:v>
                </c:pt>
                <c:pt idx="14">
                  <c:v>0.98134440545271162</c:v>
                </c:pt>
                <c:pt idx="15">
                  <c:v>0.98131266237749359</c:v>
                </c:pt>
                <c:pt idx="16">
                  <c:v>0.98127760430585975</c:v>
                </c:pt>
                <c:pt idx="17">
                  <c:v>0.98123888775887824</c:v>
                </c:pt>
                <c:pt idx="18">
                  <c:v>0.98119613426611618</c:v>
                </c:pt>
                <c:pt idx="19">
                  <c:v>0.98114892693266043</c:v>
                </c:pt>
                <c:pt idx="20">
                  <c:v>0.98109680669854793</c:v>
                </c:pt>
                <c:pt idx="21">
                  <c:v>0.98103926826965149</c:v>
                </c:pt>
                <c:pt idx="22">
                  <c:v>0.98097575569925732</c:v>
                </c:pt>
                <c:pt idx="23">
                  <c:v>0.98090565760022208</c:v>
                </c:pt>
                <c:pt idx="24">
                  <c:v>0.98082830196891513</c:v>
                </c:pt>
                <c:pt idx="25">
                  <c:v>0.98074295060424588</c:v>
                </c:pt>
                <c:pt idx="26">
                  <c:v>0.98064879310820996</c:v>
                </c:pt>
                <c:pt idx="27">
                  <c:v>0.9805449404587312</c:v>
                </c:pt>
                <c:pt idx="28">
                  <c:v>0.98043041815149434</c:v>
                </c:pt>
                <c:pt idx="29">
                  <c:v>0.98030415891520994</c:v>
                </c:pt>
                <c:pt idx="30">
                  <c:v>0.98016499501476861</c:v>
                </c:pt>
                <c:pt idx="31">
                  <c:v>0.98001165016942726</c:v>
                </c:pt>
                <c:pt idx="32">
                  <c:v>0.97984273112904086</c:v>
                </c:pt>
                <c:pt idx="33">
                  <c:v>0.97965671897092854</c:v>
                </c:pt>
                <c:pt idx="34">
                  <c:v>0.9794519602038636</c:v>
                </c:pt>
                <c:pt idx="35">
                  <c:v>0.97922665779449658</c:v>
                </c:pt>
                <c:pt idx="36">
                  <c:v>0.97897886226592024</c:v>
                </c:pt>
                <c:pt idx="37">
                  <c:v>0.97870646305865783</c:v>
                </c:pt>
                <c:pt idx="38">
                  <c:v>0.97840718039167074</c:v>
                </c:pt>
                <c:pt idx="39">
                  <c:v>0.97807855791543963</c:v>
                </c:pt>
                <c:pt idx="40">
                  <c:v>0.97771795651096538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C90-4027-B4A8-B4791410DC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8155392"/>
        <c:axId val="168169472"/>
      </c:lineChart>
      <c:catAx>
        <c:axId val="1681553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68169472"/>
        <c:crosses val="autoZero"/>
        <c:auto val="1"/>
        <c:lblAlgn val="ctr"/>
        <c:lblOffset val="100"/>
        <c:noMultiLvlLbl val="0"/>
      </c:catAx>
      <c:valAx>
        <c:axId val="168169472"/>
        <c:scaling>
          <c:orientation val="minMax"/>
        </c:scaling>
        <c:delete val="0"/>
        <c:axPos val="l"/>
        <c:majorGridlines/>
        <c:numFmt formatCode="0.00" sourceLinked="0"/>
        <c:majorTickMark val="out"/>
        <c:minorTickMark val="none"/>
        <c:tickLblPos val="nextTo"/>
        <c:crossAx val="168155392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"/>
          <c:y val="0.86330305555555553"/>
          <c:w val="1"/>
          <c:h val="0.11553027777777777"/>
        </c:manualLayout>
      </c:layout>
      <c:overlay val="0"/>
    </c:legend>
    <c:plotVisOnly val="1"/>
    <c:dispBlanksAs val="zero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tech_cost!$H$11</c:f>
          <c:strCache>
            <c:ptCount val="1"/>
            <c:pt idx="0">
              <c:v>Levelized costs (€2010 / MWh net)_x000d_Wind power plants / Onshore / Electricity only / L</c:v>
            </c:pt>
          </c:strCache>
        </c:strRef>
      </c:tx>
      <c:layout>
        <c:manualLayout>
          <c:xMode val="edge"/>
          <c:yMode val="edge"/>
          <c:x val="0.68946089564407176"/>
          <c:y val="2.0372152710940006E-2"/>
        </c:manualLayout>
      </c:layout>
      <c:overlay val="0"/>
      <c:txPr>
        <a:bodyPr/>
        <a:lstStyle/>
        <a:p>
          <a:pPr algn="r">
            <a:defRPr sz="1050" b="0">
              <a:solidFill>
                <a:schemeClr val="accent5">
                  <a:lumMod val="50000"/>
                </a:schemeClr>
              </a:solidFill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tech_cost!$A$12</c:f>
              <c:strCache>
                <c:ptCount val="1"/>
                <c:pt idx="0">
                  <c:v>Fixed annual levelized costs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</c:spPr>
          <c:invertIfNegative val="0"/>
          <c:cat>
            <c:numRef>
              <c:f>tech_cost!$J$10:$AX$10</c:f>
              <c:numCache>
                <c:formatCode>General</c:formatCode>
                <c:ptCount val="4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  <c:pt idx="21">
                  <c:v>2031</c:v>
                </c:pt>
                <c:pt idx="22">
                  <c:v>2032</c:v>
                </c:pt>
                <c:pt idx="23">
                  <c:v>2033</c:v>
                </c:pt>
                <c:pt idx="24">
                  <c:v>2034</c:v>
                </c:pt>
                <c:pt idx="25">
                  <c:v>2035</c:v>
                </c:pt>
                <c:pt idx="26">
                  <c:v>2036</c:v>
                </c:pt>
                <c:pt idx="27">
                  <c:v>2037</c:v>
                </c:pt>
                <c:pt idx="28">
                  <c:v>2038</c:v>
                </c:pt>
                <c:pt idx="29">
                  <c:v>2039</c:v>
                </c:pt>
                <c:pt idx="30">
                  <c:v>2040</c:v>
                </c:pt>
                <c:pt idx="31">
                  <c:v>2041</c:v>
                </c:pt>
                <c:pt idx="32">
                  <c:v>2042</c:v>
                </c:pt>
                <c:pt idx="33">
                  <c:v>2043</c:v>
                </c:pt>
                <c:pt idx="34">
                  <c:v>2044</c:v>
                </c:pt>
                <c:pt idx="35">
                  <c:v>2045</c:v>
                </c:pt>
                <c:pt idx="36">
                  <c:v>2046</c:v>
                </c:pt>
                <c:pt idx="37">
                  <c:v>2047</c:v>
                </c:pt>
                <c:pt idx="38">
                  <c:v>2048</c:v>
                </c:pt>
                <c:pt idx="39">
                  <c:v>2049</c:v>
                </c:pt>
                <c:pt idx="40">
                  <c:v>2050</c:v>
                </c:pt>
              </c:numCache>
            </c:numRef>
          </c:cat>
          <c:val>
            <c:numRef>
              <c:f>tech_cost!$J$12:$AX$12</c:f>
              <c:numCache>
                <c:formatCode>0.00</c:formatCode>
                <c:ptCount val="41"/>
                <c:pt idx="0">
                  <c:v>36.224153749520958</c:v>
                </c:pt>
                <c:pt idx="1">
                  <c:v>34.46392820435905</c:v>
                </c:pt>
                <c:pt idx="2">
                  <c:v>33.308780190346553</c:v>
                </c:pt>
                <c:pt idx="3">
                  <c:v>32.566185038481372</c:v>
                </c:pt>
                <c:pt idx="4">
                  <c:v>32.141825785482354</c:v>
                </c:pt>
                <c:pt idx="5">
                  <c:v>31.823589886616187</c:v>
                </c:pt>
                <c:pt idx="6">
                  <c:v>31.311063229533524</c:v>
                </c:pt>
                <c:pt idx="7">
                  <c:v>30.974717610823024</c:v>
                </c:pt>
                <c:pt idx="8">
                  <c:v>30.758495427366277</c:v>
                </c:pt>
                <c:pt idx="9">
                  <c:v>30.596328789773715</c:v>
                </c:pt>
                <c:pt idx="10">
                  <c:v>30.542273243909523</c:v>
                </c:pt>
                <c:pt idx="11">
                  <c:v>30.273865030162643</c:v>
                </c:pt>
                <c:pt idx="12">
                  <c:v>30.000457021724216</c:v>
                </c:pt>
                <c:pt idx="13">
                  <c:v>29.72232162734619</c:v>
                </c:pt>
                <c:pt idx="14">
                  <c:v>29.439760248168401</c:v>
                </c:pt>
                <c:pt idx="15">
                  <c:v>29.153103167491263</c:v>
                </c:pt>
                <c:pt idx="16">
                  <c:v>28.862709176116809</c:v>
                </c:pt>
                <c:pt idx="17">
                  <c:v>28.568964915466445</c:v>
                </c:pt>
                <c:pt idx="18">
                  <c:v>28.272283923533116</c:v>
                </c:pt>
                <c:pt idx="19">
                  <c:v>27.973105372196652</c:v>
                </c:pt>
                <c:pt idx="20">
                  <c:v>27.671892488511521</c:v>
                </c:pt>
                <c:pt idx="21">
                  <c:v>27.369130657230222</c:v>
                </c:pt>
                <c:pt idx="22">
                  <c:v>27.065325206998224</c:v>
                </c:pt>
                <c:pt idx="23">
                  <c:v>26.760998888264215</c:v>
                </c:pt>
                <c:pt idx="24">
                  <c:v>26.456689056891701</c:v>
                </c:pt>
                <c:pt idx="25">
                  <c:v>26.152944583604757</c:v>
                </c:pt>
                <c:pt idx="26">
                  <c:v>25.850322515606209</c:v>
                </c:pt>
                <c:pt idx="27">
                  <c:v>25.549384522805667</c:v>
                </c:pt>
                <c:pt idx="28">
                  <c:v>25.250693166909485</c:v>
                </c:pt>
                <c:pt idx="29">
                  <c:v>24.954808036970906</c:v>
                </c:pt>
                <c:pt idx="30">
                  <c:v>24.662281799691407</c:v>
                </c:pt>
                <c:pt idx="31">
                  <c:v>24.373656216624873</c:v>
                </c:pt>
                <c:pt idx="32">
                  <c:v>24.089458183302238</c:v>
                </c:pt>
                <c:pt idx="33">
                  <c:v>23.81019584702398</c:v>
                </c:pt>
                <c:pt idx="34">
                  <c:v>23.536354860551384</c:v>
                </c:pt>
                <c:pt idx="35">
                  <c:v>23.268394828089459</c:v>
                </c:pt>
                <c:pt idx="36">
                  <c:v>23.006745997763488</c:v>
                </c:pt>
                <c:pt idx="37">
                  <c:v>22.751806251259254</c:v>
                </c:pt>
                <c:pt idx="38">
                  <c:v>22.503938436485143</c:v>
                </c:pt>
                <c:pt idx="39">
                  <c:v>22.263468083129258</c:v>
                </c:pt>
                <c:pt idx="40">
                  <c:v>22.030681533976622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E3-4841-98D0-59DCF6801526}"/>
            </c:ext>
          </c:extLst>
        </c:ser>
        <c:ser>
          <c:idx val="1"/>
          <c:order val="1"/>
          <c:tx>
            <c:strRef>
              <c:f>tech_cost!$A$13</c:f>
              <c:strCache>
                <c:ptCount val="1"/>
                <c:pt idx="0">
                  <c:v>Fuel and variable costs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</c:spPr>
          <c:invertIfNegative val="0"/>
          <c:cat>
            <c:numRef>
              <c:f>tech_cost!$J$10:$AX$10</c:f>
              <c:numCache>
                <c:formatCode>General</c:formatCode>
                <c:ptCount val="4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  <c:pt idx="21">
                  <c:v>2031</c:v>
                </c:pt>
                <c:pt idx="22">
                  <c:v>2032</c:v>
                </c:pt>
                <c:pt idx="23">
                  <c:v>2033</c:v>
                </c:pt>
                <c:pt idx="24">
                  <c:v>2034</c:v>
                </c:pt>
                <c:pt idx="25">
                  <c:v>2035</c:v>
                </c:pt>
                <c:pt idx="26">
                  <c:v>2036</c:v>
                </c:pt>
                <c:pt idx="27">
                  <c:v>2037</c:v>
                </c:pt>
                <c:pt idx="28">
                  <c:v>2038</c:v>
                </c:pt>
                <c:pt idx="29">
                  <c:v>2039</c:v>
                </c:pt>
                <c:pt idx="30">
                  <c:v>2040</c:v>
                </c:pt>
                <c:pt idx="31">
                  <c:v>2041</c:v>
                </c:pt>
                <c:pt idx="32">
                  <c:v>2042</c:v>
                </c:pt>
                <c:pt idx="33">
                  <c:v>2043</c:v>
                </c:pt>
                <c:pt idx="34">
                  <c:v>2044</c:v>
                </c:pt>
                <c:pt idx="35">
                  <c:v>2045</c:v>
                </c:pt>
                <c:pt idx="36">
                  <c:v>2046</c:v>
                </c:pt>
                <c:pt idx="37">
                  <c:v>2047</c:v>
                </c:pt>
                <c:pt idx="38">
                  <c:v>2048</c:v>
                </c:pt>
                <c:pt idx="39">
                  <c:v>2049</c:v>
                </c:pt>
                <c:pt idx="40">
                  <c:v>2050</c:v>
                </c:pt>
              </c:numCache>
            </c:numRef>
          </c:cat>
          <c:val>
            <c:numRef>
              <c:f>tech_cost!$J$13:$AX$13</c:f>
              <c:numCache>
                <c:formatCode>0.00</c:formatCode>
                <c:ptCount val="41"/>
                <c:pt idx="0">
                  <c:v>0.56975381008206327</c:v>
                </c:pt>
                <c:pt idx="1">
                  <c:v>0.54206799531066818</c:v>
                </c:pt>
                <c:pt idx="2">
                  <c:v>0.52389917936694019</c:v>
                </c:pt>
                <c:pt idx="3">
                  <c:v>0.51221922626025795</c:v>
                </c:pt>
                <c:pt idx="4">
                  <c:v>0.50554466588511138</c:v>
                </c:pt>
                <c:pt idx="5">
                  <c:v>0.5005392731535756</c:v>
                </c:pt>
                <c:pt idx="6">
                  <c:v>0.49247796638956781</c:v>
                </c:pt>
                <c:pt idx="7">
                  <c:v>0.4871877338256877</c:v>
                </c:pt>
                <c:pt idx="8">
                  <c:v>0.4837868700346219</c:v>
                </c:pt>
                <c:pt idx="9">
                  <c:v>0.48123622219132262</c:v>
                </c:pt>
                <c:pt idx="10">
                  <c:v>0.48038600624355615</c:v>
                </c:pt>
                <c:pt idx="11">
                  <c:v>0.47616433129437591</c:v>
                </c:pt>
                <c:pt idx="12">
                  <c:v>0.47186401676965617</c:v>
                </c:pt>
                <c:pt idx="13">
                  <c:v>0.46748934726705527</c:v>
                </c:pt>
                <c:pt idx="14">
                  <c:v>0.46304506339277107</c:v>
                </c:pt>
                <c:pt idx="15">
                  <c:v>0.45853636002782461</c:v>
                </c:pt>
                <c:pt idx="16">
                  <c:v>0.45396888043521377</c:v>
                </c:pt>
                <c:pt idx="17">
                  <c:v>0.44934870592810067</c:v>
                </c:pt>
                <c:pt idx="18">
                  <c:v>0.44468234086401204</c:v>
                </c:pt>
                <c:pt idx="19">
                  <c:v>0.43997669278462703</c:v>
                </c:pt>
                <c:pt idx="20">
                  <c:v>0.43523904758490495</c:v>
                </c:pt>
                <c:pt idx="21">
                  <c:v>0.43047703966850964</c:v>
                </c:pt>
                <c:pt idx="22">
                  <c:v>0.42569861712784046</c:v>
                </c:pt>
                <c:pt idx="23">
                  <c:v>0.42091200207519081</c:v>
                </c:pt>
                <c:pt idx="24">
                  <c:v>0.41612564634501142</c:v>
                </c:pt>
                <c:pt idx="25">
                  <c:v>0.41134818288393898</c:v>
                </c:pt>
                <c:pt idx="26">
                  <c:v>0.40658837324285474</c:v>
                </c:pt>
                <c:pt idx="27">
                  <c:v>0.40185505168116548</c:v>
                </c:pt>
                <c:pt idx="28">
                  <c:v>0.39715706648495708</c:v>
                </c:pt>
                <c:pt idx="29">
                  <c:v>0.39250321918475989</c:v>
                </c:pt>
                <c:pt idx="30">
                  <c:v>0.38790220243247298</c:v>
                </c:pt>
                <c:pt idx="31">
                  <c:v>0.38336253735771636</c:v>
                </c:pt>
                <c:pt idx="32">
                  <c:v>0.37889251126896217</c:v>
                </c:pt>
                <c:pt idx="33">
                  <c:v>0.37450011659199728</c:v>
                </c:pt>
                <c:pt idx="34">
                  <c:v>0.37019299194587751</c:v>
                </c:pt>
                <c:pt idx="35">
                  <c:v>0.365978366243354</c:v>
                </c:pt>
                <c:pt idx="36">
                  <c:v>0.36186300666828852</c:v>
                </c:pt>
                <c:pt idx="37">
                  <c:v>0.35785317132702626</c:v>
                </c:pt>
                <c:pt idx="38">
                  <c:v>0.35395456729500985</c:v>
                </c:pt>
                <c:pt idx="39">
                  <c:v>0.35017231468577931</c:v>
                </c:pt>
                <c:pt idx="40">
                  <c:v>0.34651091725928107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8E3-4841-98D0-59DCF6801526}"/>
            </c:ext>
          </c:extLst>
        </c:ser>
        <c:ser>
          <c:idx val="2"/>
          <c:order val="2"/>
          <c:tx>
            <c:strRef>
              <c:f>tech_cost!$A$14</c:f>
              <c:strCache>
                <c:ptCount val="1"/>
                <c:pt idx="0">
                  <c:v>CO2 emission related costs</c:v>
                </c:pt>
              </c:strCache>
            </c:strRef>
          </c:tx>
          <c:spPr>
            <a:solidFill>
              <a:schemeClr val="bg2">
                <a:lumMod val="50000"/>
              </a:schemeClr>
            </a:solidFill>
          </c:spPr>
          <c:invertIfNegative val="0"/>
          <c:cat>
            <c:numRef>
              <c:f>tech_cost!$J$10:$AX$10</c:f>
              <c:numCache>
                <c:formatCode>General</c:formatCode>
                <c:ptCount val="4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  <c:pt idx="21">
                  <c:v>2031</c:v>
                </c:pt>
                <c:pt idx="22">
                  <c:v>2032</c:v>
                </c:pt>
                <c:pt idx="23">
                  <c:v>2033</c:v>
                </c:pt>
                <c:pt idx="24">
                  <c:v>2034</c:v>
                </c:pt>
                <c:pt idx="25">
                  <c:v>2035</c:v>
                </c:pt>
                <c:pt idx="26">
                  <c:v>2036</c:v>
                </c:pt>
                <c:pt idx="27">
                  <c:v>2037</c:v>
                </c:pt>
                <c:pt idx="28">
                  <c:v>2038</c:v>
                </c:pt>
                <c:pt idx="29">
                  <c:v>2039</c:v>
                </c:pt>
                <c:pt idx="30">
                  <c:v>2040</c:v>
                </c:pt>
                <c:pt idx="31">
                  <c:v>2041</c:v>
                </c:pt>
                <c:pt idx="32">
                  <c:v>2042</c:v>
                </c:pt>
                <c:pt idx="33">
                  <c:v>2043</c:v>
                </c:pt>
                <c:pt idx="34">
                  <c:v>2044</c:v>
                </c:pt>
                <c:pt idx="35">
                  <c:v>2045</c:v>
                </c:pt>
                <c:pt idx="36">
                  <c:v>2046</c:v>
                </c:pt>
                <c:pt idx="37">
                  <c:v>2047</c:v>
                </c:pt>
                <c:pt idx="38">
                  <c:v>2048</c:v>
                </c:pt>
                <c:pt idx="39">
                  <c:v>2049</c:v>
                </c:pt>
                <c:pt idx="40">
                  <c:v>2050</c:v>
                </c:pt>
              </c:numCache>
            </c:numRef>
          </c:cat>
          <c:val>
            <c:numRef>
              <c:f>tech_cost!$J$14:$AX$14</c:f>
              <c:numCache>
                <c:formatCode>0.00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8E3-4841-98D0-59DCF68015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5"/>
        <c:overlap val="100"/>
        <c:axId val="176771456"/>
        <c:axId val="176772992"/>
      </c:barChart>
      <c:catAx>
        <c:axId val="1767714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772992"/>
        <c:crosses val="autoZero"/>
        <c:auto val="1"/>
        <c:lblAlgn val="ctr"/>
        <c:lblOffset val="100"/>
        <c:tickLblSkip val="5"/>
        <c:noMultiLvlLbl val="0"/>
      </c:catAx>
      <c:valAx>
        <c:axId val="176772992"/>
        <c:scaling>
          <c:orientation val="minMax"/>
        </c:scaling>
        <c:delete val="0"/>
        <c:axPos val="l"/>
        <c:majorGridlines/>
        <c:numFmt formatCode="0" sourceLinked="0"/>
        <c:majorTickMark val="out"/>
        <c:minorTickMark val="none"/>
        <c:tickLblPos val="nextTo"/>
        <c:crossAx val="176771456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tech_cost!$A$11</c:f>
          <c:strCache>
            <c:ptCount val="1"/>
            <c:pt idx="0">
              <c:v>Levelized costs (€2010 / MWh net)</c:v>
            </c:pt>
          </c:strCache>
        </c:strRef>
      </c:tx>
      <c:layout>
        <c:manualLayout>
          <c:xMode val="edge"/>
          <c:yMode val="edge"/>
          <c:x val="0.76627824434567038"/>
          <c:y val="2.3779190025686341E-2"/>
        </c:manualLayout>
      </c:layout>
      <c:overlay val="0"/>
      <c:txPr>
        <a:bodyPr/>
        <a:lstStyle/>
        <a:p>
          <a:pPr algn="r">
            <a:defRPr sz="1050" b="0">
              <a:solidFill>
                <a:schemeClr val="accent5">
                  <a:lumMod val="50000"/>
                </a:schemeClr>
              </a:solidFill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0728395061728398E-2"/>
          <c:y val="0.11614333333333333"/>
          <c:w val="0.91771296296296301"/>
          <c:h val="0.62676861111111115"/>
        </c:manualLayout>
      </c:layout>
      <c:areaChart>
        <c:grouping val="stacked"/>
        <c:varyColors val="0"/>
        <c:ser>
          <c:idx val="1"/>
          <c:order val="0"/>
          <c:tx>
            <c:strRef>
              <c:f>tech_cost!$B$110</c:f>
              <c:strCache>
                <c:ptCount val="1"/>
              </c:strCache>
            </c:strRef>
          </c:tx>
          <c:spPr>
            <a:noFill/>
          </c:spPr>
          <c:cat>
            <c:numRef>
              <c:f>tech_cost!$J$10:$AX$10</c:f>
              <c:numCache>
                <c:formatCode>General</c:formatCode>
                <c:ptCount val="4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  <c:pt idx="21">
                  <c:v>2031</c:v>
                </c:pt>
                <c:pt idx="22">
                  <c:v>2032</c:v>
                </c:pt>
                <c:pt idx="23">
                  <c:v>2033</c:v>
                </c:pt>
                <c:pt idx="24">
                  <c:v>2034</c:v>
                </c:pt>
                <c:pt idx="25">
                  <c:v>2035</c:v>
                </c:pt>
                <c:pt idx="26">
                  <c:v>2036</c:v>
                </c:pt>
                <c:pt idx="27">
                  <c:v>2037</c:v>
                </c:pt>
                <c:pt idx="28">
                  <c:v>2038</c:v>
                </c:pt>
                <c:pt idx="29">
                  <c:v>2039</c:v>
                </c:pt>
                <c:pt idx="30">
                  <c:v>2040</c:v>
                </c:pt>
                <c:pt idx="31">
                  <c:v>2041</c:v>
                </c:pt>
                <c:pt idx="32">
                  <c:v>2042</c:v>
                </c:pt>
                <c:pt idx="33">
                  <c:v>2043</c:v>
                </c:pt>
                <c:pt idx="34">
                  <c:v>2044</c:v>
                </c:pt>
                <c:pt idx="35">
                  <c:v>2045</c:v>
                </c:pt>
                <c:pt idx="36">
                  <c:v>2046</c:v>
                </c:pt>
                <c:pt idx="37">
                  <c:v>2047</c:v>
                </c:pt>
                <c:pt idx="38">
                  <c:v>2048</c:v>
                </c:pt>
                <c:pt idx="39">
                  <c:v>2049</c:v>
                </c:pt>
                <c:pt idx="40">
                  <c:v>2050</c:v>
                </c:pt>
              </c:numCache>
            </c:numRef>
          </c:cat>
          <c:val>
            <c:numRef>
              <c:f>tech_cost!$J$31:$AX$31</c:f>
              <c:numCache>
                <c:formatCode>0.000</c:formatCode>
                <c:ptCount val="41"/>
                <c:pt idx="0">
                  <c:v>36.793907559603021</c:v>
                </c:pt>
                <c:pt idx="1">
                  <c:v>35.005996199669717</c:v>
                </c:pt>
                <c:pt idx="2">
                  <c:v>33.832679369713496</c:v>
                </c:pt>
                <c:pt idx="3">
                  <c:v>33.078404264741629</c:v>
                </c:pt>
                <c:pt idx="4">
                  <c:v>32.647370451367465</c:v>
                </c:pt>
                <c:pt idx="5">
                  <c:v>32.324129159769761</c:v>
                </c:pt>
                <c:pt idx="6">
                  <c:v>31.803541195923092</c:v>
                </c:pt>
                <c:pt idx="7">
                  <c:v>31.461905344648713</c:v>
                </c:pt>
                <c:pt idx="8">
                  <c:v>31.242282297400898</c:v>
                </c:pt>
                <c:pt idx="9">
                  <c:v>31.077565011965039</c:v>
                </c:pt>
                <c:pt idx="10">
                  <c:v>31.02265925015308</c:v>
                </c:pt>
                <c:pt idx="11">
                  <c:v>30.75002936145702</c:v>
                </c:pt>
                <c:pt idx="12">
                  <c:v>30.472321038493874</c:v>
                </c:pt>
                <c:pt idx="13">
                  <c:v>30.189810974613245</c:v>
                </c:pt>
                <c:pt idx="14">
                  <c:v>29.90280531156117</c:v>
                </c:pt>
                <c:pt idx="15">
                  <c:v>29.611639527519088</c:v>
                </c:pt>
                <c:pt idx="16">
                  <c:v>29.316678056552021</c:v>
                </c:pt>
                <c:pt idx="17">
                  <c:v>29.018313621394547</c:v>
                </c:pt>
                <c:pt idx="18">
                  <c:v>28.716966264397129</c:v>
                </c:pt>
                <c:pt idx="19">
                  <c:v>28.413082064981278</c:v>
                </c:pt>
                <c:pt idx="20">
                  <c:v>28.107131536096425</c:v>
                </c:pt>
                <c:pt idx="21">
                  <c:v>27.799607696898732</c:v>
                </c:pt>
                <c:pt idx="22">
                  <c:v>27.491023824126064</c:v>
                </c:pt>
                <c:pt idx="23">
                  <c:v>27.181910890339406</c:v>
                </c:pt>
                <c:pt idx="24">
                  <c:v>26.872814703236713</c:v>
                </c:pt>
                <c:pt idx="25">
                  <c:v>26.564292766488695</c:v>
                </c:pt>
                <c:pt idx="26">
                  <c:v>26.256910888849063</c:v>
                </c:pt>
                <c:pt idx="27">
                  <c:v>25.951239574486834</c:v>
                </c:pt>
                <c:pt idx="28">
                  <c:v>25.647850233394443</c:v>
                </c:pt>
                <c:pt idx="29">
                  <c:v>25.347311256155667</c:v>
                </c:pt>
                <c:pt idx="30">
                  <c:v>25.050184002123878</c:v>
                </c:pt>
                <c:pt idx="31">
                  <c:v>24.757018753982589</c:v>
                </c:pt>
                <c:pt idx="32">
                  <c:v>24.4683506945712</c:v>
                </c:pt>
                <c:pt idx="33">
                  <c:v>24.184695963615976</c:v>
                </c:pt>
                <c:pt idx="34">
                  <c:v>23.906547852497262</c:v>
                </c:pt>
                <c:pt idx="35">
                  <c:v>23.634373194332813</c:v>
                </c:pt>
                <c:pt idx="36">
                  <c:v>23.368609004431775</c:v>
                </c:pt>
                <c:pt idx="37">
                  <c:v>23.109659422586279</c:v>
                </c:pt>
                <c:pt idx="38">
                  <c:v>22.857893003780152</c:v>
                </c:pt>
                <c:pt idx="39">
                  <c:v>22.613640397815036</c:v>
                </c:pt>
                <c:pt idx="40">
                  <c:v>22.377192451235903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E7-48C8-9001-456D8FDAA869}"/>
            </c:ext>
          </c:extLst>
        </c:ser>
        <c:ser>
          <c:idx val="0"/>
          <c:order val="1"/>
          <c:tx>
            <c:strRef>
              <c:f>tech_cost!$A$110</c:f>
              <c:strCache>
                <c:ptCount val="1"/>
                <c:pt idx="0">
                  <c:v>range of values (different sizes)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  <a:alpha val="50000"/>
              </a:schemeClr>
            </a:solidFill>
          </c:spPr>
          <c:cat>
            <c:numRef>
              <c:f>tech_cost!$J$10:$AX$10</c:f>
              <c:numCache>
                <c:formatCode>General</c:formatCode>
                <c:ptCount val="4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  <c:pt idx="21">
                  <c:v>2031</c:v>
                </c:pt>
                <c:pt idx="22">
                  <c:v>2032</c:v>
                </c:pt>
                <c:pt idx="23">
                  <c:v>2033</c:v>
                </c:pt>
                <c:pt idx="24">
                  <c:v>2034</c:v>
                </c:pt>
                <c:pt idx="25">
                  <c:v>2035</c:v>
                </c:pt>
                <c:pt idx="26">
                  <c:v>2036</c:v>
                </c:pt>
                <c:pt idx="27">
                  <c:v>2037</c:v>
                </c:pt>
                <c:pt idx="28">
                  <c:v>2038</c:v>
                </c:pt>
                <c:pt idx="29">
                  <c:v>2039</c:v>
                </c:pt>
                <c:pt idx="30">
                  <c:v>2040</c:v>
                </c:pt>
                <c:pt idx="31">
                  <c:v>2041</c:v>
                </c:pt>
                <c:pt idx="32">
                  <c:v>2042</c:v>
                </c:pt>
                <c:pt idx="33">
                  <c:v>2043</c:v>
                </c:pt>
                <c:pt idx="34">
                  <c:v>2044</c:v>
                </c:pt>
                <c:pt idx="35">
                  <c:v>2045</c:v>
                </c:pt>
                <c:pt idx="36">
                  <c:v>2046</c:v>
                </c:pt>
                <c:pt idx="37">
                  <c:v>2047</c:v>
                </c:pt>
                <c:pt idx="38">
                  <c:v>2048</c:v>
                </c:pt>
                <c:pt idx="39">
                  <c:v>2049</c:v>
                </c:pt>
                <c:pt idx="40">
                  <c:v>2050</c:v>
                </c:pt>
              </c:numCache>
            </c:numRef>
          </c:cat>
          <c:val>
            <c:numRef>
              <c:f>tech_cost!$J$33:$AX$33</c:f>
              <c:numCache>
                <c:formatCode>0.000</c:formatCode>
                <c:ptCount val="41"/>
                <c:pt idx="0">
                  <c:v>14.816099458631932</c:v>
                </c:pt>
                <c:pt idx="1">
                  <c:v>16.126758440470802</c:v>
                </c:pt>
                <c:pt idx="2">
                  <c:v>16.894259757410033</c:v>
                </c:pt>
                <c:pt idx="3">
                  <c:v>17.245940107404721</c:v>
                </c:pt>
                <c:pt idx="4">
                  <c:v>17.277574362269789</c:v>
                </c:pt>
                <c:pt idx="5">
                  <c:v>17.204585933124335</c:v>
                </c:pt>
                <c:pt idx="6">
                  <c:v>17.341855469823496</c:v>
                </c:pt>
                <c:pt idx="7">
                  <c:v>17.196903235298386</c:v>
                </c:pt>
                <c:pt idx="8">
                  <c:v>16.934755900566536</c:v>
                </c:pt>
                <c:pt idx="9">
                  <c:v>16.622472807804694</c:v>
                </c:pt>
                <c:pt idx="10">
                  <c:v>16.205100967440725</c:v>
                </c:pt>
                <c:pt idx="11">
                  <c:v>16.236780904610232</c:v>
                </c:pt>
                <c:pt idx="12">
                  <c:v>16.264937208881186</c:v>
                </c:pt>
                <c:pt idx="13">
                  <c:v>16.289540760995266</c:v>
                </c:pt>
                <c:pt idx="14">
                  <c:v>16.310606301774637</c:v>
                </c:pt>
                <c:pt idx="15">
                  <c:v>16.328196012690157</c:v>
                </c:pt>
                <c:pt idx="16">
                  <c:v>16.342422495125419</c:v>
                </c:pt>
                <c:pt idx="17">
                  <c:v>16.353450987109788</c:v>
                </c:pt>
                <c:pt idx="18">
                  <c:v>16.361500657494275</c:v>
                </c:pt>
                <c:pt idx="19">
                  <c:v>16.36684482574768</c:v>
                </c:pt>
                <c:pt idx="20">
                  <c:v>16.369809971682677</c:v>
                </c:pt>
                <c:pt idx="21">
                  <c:v>16.370773424110652</c:v>
                </c:pt>
                <c:pt idx="22">
                  <c:v>16.370159650883952</c:v>
                </c:pt>
                <c:pt idx="23">
                  <c:v>16.368435114708088</c:v>
                </c:pt>
                <c:pt idx="24">
                  <c:v>16.366101708577823</c:v>
                </c:pt>
                <c:pt idx="25">
                  <c:v>16.363688840136899</c:v>
                </c:pt>
                <c:pt idx="26">
                  <c:v>16.361744293444282</c:v>
                </c:pt>
                <c:pt idx="27">
                  <c:v>16.360824056707081</c:v>
                </c:pt>
                <c:pt idx="28">
                  <c:v>16.361481362185849</c:v>
                </c:pt>
                <c:pt idx="29">
                  <c:v>16.364255236075724</c:v>
                </c:pt>
                <c:pt idx="30">
                  <c:v>16.369658898053572</c:v>
                </c:pt>
                <c:pt idx="31">
                  <c:v>16.378168378945052</c:v>
                </c:pt>
                <c:pt idx="32">
                  <c:v>16.390211737751315</c:v>
                </c:pt>
                <c:pt idx="33">
                  <c:v>16.40615925407835</c:v>
                </c:pt>
                <c:pt idx="34">
                  <c:v>16.426314947932042</c:v>
                </c:pt>
                <c:pt idx="35">
                  <c:v>16.450909736242568</c:v>
                </c:pt>
                <c:pt idx="36">
                  <c:v>16.480096476055877</c:v>
                </c:pt>
                <c:pt idx="37">
                  <c:v>16.513947071036657</c:v>
                </c:pt>
                <c:pt idx="38">
                  <c:v>16.552451734802215</c:v>
                </c:pt>
                <c:pt idx="39">
                  <c:v>16.595520416467306</c:v>
                </c:pt>
                <c:pt idx="40">
                  <c:v>16.642986305844712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0E7-48C8-9001-456D8FDAA8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793856"/>
        <c:axId val="176799744"/>
      </c:areaChart>
      <c:lineChart>
        <c:grouping val="standard"/>
        <c:varyColors val="0"/>
        <c:ser>
          <c:idx val="2"/>
          <c:order val="2"/>
          <c:tx>
            <c:strRef>
              <c:f>tech_cost!$I$11</c:f>
              <c:strCache>
                <c:ptCount val="1"/>
                <c:pt idx="0">
                  <c:v>Wind power plants / Onshore / Electricity only / L</c:v>
                </c:pt>
              </c:strCache>
            </c:strRef>
          </c:tx>
          <c:spPr>
            <a:ln>
              <a:solidFill>
                <a:schemeClr val="accent5">
                  <a:lumMod val="50000"/>
                </a:schemeClr>
              </a:solidFill>
            </a:ln>
          </c:spPr>
          <c:marker>
            <c:symbol val="none"/>
          </c:marker>
          <c:cat>
            <c:numRef>
              <c:f>tech_cost!$J$10:$AX$10</c:f>
              <c:numCache>
                <c:formatCode>General</c:formatCode>
                <c:ptCount val="4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  <c:pt idx="21">
                  <c:v>2031</c:v>
                </c:pt>
                <c:pt idx="22">
                  <c:v>2032</c:v>
                </c:pt>
                <c:pt idx="23">
                  <c:v>2033</c:v>
                </c:pt>
                <c:pt idx="24">
                  <c:v>2034</c:v>
                </c:pt>
                <c:pt idx="25">
                  <c:v>2035</c:v>
                </c:pt>
                <c:pt idx="26">
                  <c:v>2036</c:v>
                </c:pt>
                <c:pt idx="27">
                  <c:v>2037</c:v>
                </c:pt>
                <c:pt idx="28">
                  <c:v>2038</c:v>
                </c:pt>
                <c:pt idx="29">
                  <c:v>2039</c:v>
                </c:pt>
                <c:pt idx="30">
                  <c:v>2040</c:v>
                </c:pt>
                <c:pt idx="31">
                  <c:v>2041</c:v>
                </c:pt>
                <c:pt idx="32">
                  <c:v>2042</c:v>
                </c:pt>
                <c:pt idx="33">
                  <c:v>2043</c:v>
                </c:pt>
                <c:pt idx="34">
                  <c:v>2044</c:v>
                </c:pt>
                <c:pt idx="35">
                  <c:v>2045</c:v>
                </c:pt>
                <c:pt idx="36">
                  <c:v>2046</c:v>
                </c:pt>
                <c:pt idx="37">
                  <c:v>2047</c:v>
                </c:pt>
                <c:pt idx="38">
                  <c:v>2048</c:v>
                </c:pt>
                <c:pt idx="39">
                  <c:v>2049</c:v>
                </c:pt>
                <c:pt idx="40">
                  <c:v>2050</c:v>
                </c:pt>
              </c:numCache>
            </c:numRef>
          </c:cat>
          <c:val>
            <c:numRef>
              <c:f>tech_cost!$J$11:$AX$11</c:f>
              <c:numCache>
                <c:formatCode>0.00</c:formatCode>
                <c:ptCount val="41"/>
                <c:pt idx="0">
                  <c:v>36.793907559603021</c:v>
                </c:pt>
                <c:pt idx="1">
                  <c:v>35.005996199669717</c:v>
                </c:pt>
                <c:pt idx="2">
                  <c:v>33.832679369713496</c:v>
                </c:pt>
                <c:pt idx="3">
                  <c:v>33.078404264741629</c:v>
                </c:pt>
                <c:pt idx="4">
                  <c:v>32.647370451367465</c:v>
                </c:pt>
                <c:pt idx="5">
                  <c:v>32.324129159769761</c:v>
                </c:pt>
                <c:pt idx="6">
                  <c:v>31.803541195923092</c:v>
                </c:pt>
                <c:pt idx="7">
                  <c:v>31.461905344648713</c:v>
                </c:pt>
                <c:pt idx="8">
                  <c:v>31.242282297400898</c:v>
                </c:pt>
                <c:pt idx="9">
                  <c:v>31.077565011965039</c:v>
                </c:pt>
                <c:pt idx="10">
                  <c:v>31.02265925015308</c:v>
                </c:pt>
                <c:pt idx="11">
                  <c:v>30.75002936145702</c:v>
                </c:pt>
                <c:pt idx="12">
                  <c:v>30.472321038493874</c:v>
                </c:pt>
                <c:pt idx="13">
                  <c:v>30.189810974613245</c:v>
                </c:pt>
                <c:pt idx="14">
                  <c:v>29.90280531156117</c:v>
                </c:pt>
                <c:pt idx="15">
                  <c:v>29.611639527519088</c:v>
                </c:pt>
                <c:pt idx="16">
                  <c:v>29.316678056552021</c:v>
                </c:pt>
                <c:pt idx="17">
                  <c:v>29.018313621394547</c:v>
                </c:pt>
                <c:pt idx="18">
                  <c:v>28.716966264397129</c:v>
                </c:pt>
                <c:pt idx="19">
                  <c:v>28.413082064981278</c:v>
                </c:pt>
                <c:pt idx="20">
                  <c:v>28.107131536096425</c:v>
                </c:pt>
                <c:pt idx="21">
                  <c:v>27.799607696898732</c:v>
                </c:pt>
                <c:pt idx="22">
                  <c:v>27.491023824126064</c:v>
                </c:pt>
                <c:pt idx="23">
                  <c:v>27.181910890339406</c:v>
                </c:pt>
                <c:pt idx="24">
                  <c:v>26.872814703236713</c:v>
                </c:pt>
                <c:pt idx="25">
                  <c:v>26.564292766488695</c:v>
                </c:pt>
                <c:pt idx="26">
                  <c:v>26.256910888849063</c:v>
                </c:pt>
                <c:pt idx="27">
                  <c:v>25.951239574486834</c:v>
                </c:pt>
                <c:pt idx="28">
                  <c:v>25.647850233394443</c:v>
                </c:pt>
                <c:pt idx="29">
                  <c:v>25.347311256155667</c:v>
                </c:pt>
                <c:pt idx="30">
                  <c:v>25.050184002123878</c:v>
                </c:pt>
                <c:pt idx="31">
                  <c:v>24.757018753982589</c:v>
                </c:pt>
                <c:pt idx="32">
                  <c:v>24.4683506945712</c:v>
                </c:pt>
                <c:pt idx="33">
                  <c:v>24.184695963615976</c:v>
                </c:pt>
                <c:pt idx="34">
                  <c:v>23.906547852497262</c:v>
                </c:pt>
                <c:pt idx="35">
                  <c:v>23.634373194332813</c:v>
                </c:pt>
                <c:pt idx="36">
                  <c:v>23.368609004431775</c:v>
                </c:pt>
                <c:pt idx="37">
                  <c:v>23.109659422586279</c:v>
                </c:pt>
                <c:pt idx="38">
                  <c:v>22.857893003780152</c:v>
                </c:pt>
                <c:pt idx="39">
                  <c:v>22.613640397815036</c:v>
                </c:pt>
                <c:pt idx="40">
                  <c:v>22.377192451235903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0E7-48C8-9001-456D8FDAA8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6793856"/>
        <c:axId val="176799744"/>
      </c:lineChart>
      <c:catAx>
        <c:axId val="1767938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799744"/>
        <c:crosses val="autoZero"/>
        <c:auto val="1"/>
        <c:lblAlgn val="ctr"/>
        <c:lblOffset val="100"/>
        <c:tickLblSkip val="5"/>
        <c:noMultiLvlLbl val="0"/>
      </c:catAx>
      <c:valAx>
        <c:axId val="176799744"/>
        <c:scaling>
          <c:orientation val="minMax"/>
        </c:scaling>
        <c:delete val="0"/>
        <c:axPos val="l"/>
        <c:majorGridlines/>
        <c:numFmt formatCode="0" sourceLinked="0"/>
        <c:majorTickMark val="out"/>
        <c:minorTickMark val="none"/>
        <c:tickLblPos val="nextTo"/>
        <c:crossAx val="176793856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"/>
          <c:y val="0.85271972222222225"/>
          <c:w val="1"/>
          <c:h val="0.12611361111111111"/>
        </c:manualLayout>
      </c:layout>
      <c:overlay val="0"/>
    </c:legend>
    <c:plotVisOnly val="1"/>
    <c:dispBlanksAs val="zero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r">
              <a:defRPr sz="1050" b="0"/>
            </a:pPr>
            <a:r>
              <a:rPr lang="en-US"/>
              <a:t>Comparison of Levelized costs (€2010 / MWh net)</a:t>
            </a:r>
          </a:p>
        </c:rich>
      </c:tx>
      <c:layout>
        <c:manualLayout>
          <c:xMode val="edge"/>
          <c:yMode val="edge"/>
          <c:x val="0.76627824434567038"/>
          <c:y val="2.3779190025686341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4300653594771245E-2"/>
          <c:y val="0.11614333333333333"/>
          <c:w val="0.903772385620915"/>
          <c:h val="0.62644805555555561"/>
        </c:manualLayout>
      </c:layout>
      <c:areaChart>
        <c:grouping val="stacked"/>
        <c:varyColors val="0"/>
        <c:ser>
          <c:idx val="0"/>
          <c:order val="0"/>
          <c:tx>
            <c:strRef>
              <c:f>tech_cost!$A$110</c:f>
              <c:strCache>
                <c:ptCount val="1"/>
                <c:pt idx="0">
                  <c:v>range of values (different sizes)</c:v>
                </c:pt>
              </c:strCache>
            </c:strRef>
          </c:tx>
          <c:spPr>
            <a:noFill/>
            <a:ln w="25400">
              <a:noFill/>
            </a:ln>
          </c:spPr>
          <c:cat>
            <c:numRef>
              <c:f>tech_cost!$J$10:$AX$10</c:f>
              <c:numCache>
                <c:formatCode>General</c:formatCode>
                <c:ptCount val="4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  <c:pt idx="21">
                  <c:v>2031</c:v>
                </c:pt>
                <c:pt idx="22">
                  <c:v>2032</c:v>
                </c:pt>
                <c:pt idx="23">
                  <c:v>2033</c:v>
                </c:pt>
                <c:pt idx="24">
                  <c:v>2034</c:v>
                </c:pt>
                <c:pt idx="25">
                  <c:v>2035</c:v>
                </c:pt>
                <c:pt idx="26">
                  <c:v>2036</c:v>
                </c:pt>
                <c:pt idx="27">
                  <c:v>2037</c:v>
                </c:pt>
                <c:pt idx="28">
                  <c:v>2038</c:v>
                </c:pt>
                <c:pt idx="29">
                  <c:v>2039</c:v>
                </c:pt>
                <c:pt idx="30">
                  <c:v>2040</c:v>
                </c:pt>
                <c:pt idx="31">
                  <c:v>2041</c:v>
                </c:pt>
                <c:pt idx="32">
                  <c:v>2042</c:v>
                </c:pt>
                <c:pt idx="33">
                  <c:v>2043</c:v>
                </c:pt>
                <c:pt idx="34">
                  <c:v>2044</c:v>
                </c:pt>
                <c:pt idx="35">
                  <c:v>2045</c:v>
                </c:pt>
                <c:pt idx="36">
                  <c:v>2046</c:v>
                </c:pt>
                <c:pt idx="37">
                  <c:v>2047</c:v>
                </c:pt>
                <c:pt idx="38">
                  <c:v>2048</c:v>
                </c:pt>
                <c:pt idx="39">
                  <c:v>2049</c:v>
                </c:pt>
                <c:pt idx="40">
                  <c:v>2050</c:v>
                </c:pt>
              </c:numCache>
            </c:numRef>
          </c:cat>
          <c:val>
            <c:numRef>
              <c:f>tech_cost!$J$98:$AX$98</c:f>
              <c:numCache>
                <c:formatCode>0.00</c:formatCode>
                <c:ptCount val="41"/>
                <c:pt idx="0">
                  <c:v>36.793907559603021</c:v>
                </c:pt>
                <c:pt idx="1">
                  <c:v>35.005996199669717</c:v>
                </c:pt>
                <c:pt idx="2">
                  <c:v>33.832679369713496</c:v>
                </c:pt>
                <c:pt idx="3">
                  <c:v>33.078404264741629</c:v>
                </c:pt>
                <c:pt idx="4">
                  <c:v>32.647370451367465</c:v>
                </c:pt>
                <c:pt idx="5">
                  <c:v>32.324129159769761</c:v>
                </c:pt>
                <c:pt idx="6">
                  <c:v>31.803541195923092</c:v>
                </c:pt>
                <c:pt idx="7">
                  <c:v>31.461905344648713</c:v>
                </c:pt>
                <c:pt idx="8">
                  <c:v>31.242282297400898</c:v>
                </c:pt>
                <c:pt idx="9">
                  <c:v>31.077565011965039</c:v>
                </c:pt>
                <c:pt idx="10">
                  <c:v>31.02265925015308</c:v>
                </c:pt>
                <c:pt idx="11">
                  <c:v>30.75002936145702</c:v>
                </c:pt>
                <c:pt idx="12">
                  <c:v>30.472321038493874</c:v>
                </c:pt>
                <c:pt idx="13">
                  <c:v>30.189810974613245</c:v>
                </c:pt>
                <c:pt idx="14">
                  <c:v>29.90280531156117</c:v>
                </c:pt>
                <c:pt idx="15">
                  <c:v>29.611639527519088</c:v>
                </c:pt>
                <c:pt idx="16">
                  <c:v>29.316678056552021</c:v>
                </c:pt>
                <c:pt idx="17">
                  <c:v>29.018313621394547</c:v>
                </c:pt>
                <c:pt idx="18">
                  <c:v>28.716966264397129</c:v>
                </c:pt>
                <c:pt idx="19">
                  <c:v>28.413082064981278</c:v>
                </c:pt>
                <c:pt idx="20">
                  <c:v>28.107131536096425</c:v>
                </c:pt>
                <c:pt idx="21">
                  <c:v>27.799607696898732</c:v>
                </c:pt>
                <c:pt idx="22">
                  <c:v>27.491023824126064</c:v>
                </c:pt>
                <c:pt idx="23">
                  <c:v>27.181910890339406</c:v>
                </c:pt>
                <c:pt idx="24">
                  <c:v>26.872814703236713</c:v>
                </c:pt>
                <c:pt idx="25">
                  <c:v>26.564292766488695</c:v>
                </c:pt>
                <c:pt idx="26">
                  <c:v>26.256910888849063</c:v>
                </c:pt>
                <c:pt idx="27">
                  <c:v>25.951239574486834</c:v>
                </c:pt>
                <c:pt idx="28">
                  <c:v>25.647850233394443</c:v>
                </c:pt>
                <c:pt idx="29">
                  <c:v>25.347311256155667</c:v>
                </c:pt>
                <c:pt idx="30">
                  <c:v>25.050184002123878</c:v>
                </c:pt>
                <c:pt idx="31">
                  <c:v>24.757018753982589</c:v>
                </c:pt>
                <c:pt idx="32">
                  <c:v>24.4683506945712</c:v>
                </c:pt>
                <c:pt idx="33">
                  <c:v>24.184695963615976</c:v>
                </c:pt>
                <c:pt idx="34">
                  <c:v>23.906547852497262</c:v>
                </c:pt>
                <c:pt idx="35">
                  <c:v>23.634373194332813</c:v>
                </c:pt>
                <c:pt idx="36">
                  <c:v>23.368609004431775</c:v>
                </c:pt>
                <c:pt idx="37">
                  <c:v>23.109659422586279</c:v>
                </c:pt>
                <c:pt idx="38">
                  <c:v>22.857893003780152</c:v>
                </c:pt>
                <c:pt idx="39">
                  <c:v>22.613640397815036</c:v>
                </c:pt>
                <c:pt idx="40">
                  <c:v>22.377192451235903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F7-4CE0-92BE-8F7A6C919962}"/>
            </c:ext>
          </c:extLst>
        </c:ser>
        <c:ser>
          <c:idx val="1"/>
          <c:order val="1"/>
          <c:tx>
            <c:strRef>
              <c:f>tech_cost!$A$110</c:f>
              <c:strCache>
                <c:ptCount val="1"/>
                <c:pt idx="0">
                  <c:v>range of values (different sizes)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  <a:alpha val="50000"/>
              </a:schemeClr>
            </a:solidFill>
            <a:ln w="25400">
              <a:noFill/>
            </a:ln>
          </c:spPr>
          <c:cat>
            <c:numRef>
              <c:f>tech_cost!$J$10:$AX$10</c:f>
              <c:numCache>
                <c:formatCode>General</c:formatCode>
                <c:ptCount val="4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  <c:pt idx="21">
                  <c:v>2031</c:v>
                </c:pt>
                <c:pt idx="22">
                  <c:v>2032</c:v>
                </c:pt>
                <c:pt idx="23">
                  <c:v>2033</c:v>
                </c:pt>
                <c:pt idx="24">
                  <c:v>2034</c:v>
                </c:pt>
                <c:pt idx="25">
                  <c:v>2035</c:v>
                </c:pt>
                <c:pt idx="26">
                  <c:v>2036</c:v>
                </c:pt>
                <c:pt idx="27">
                  <c:v>2037</c:v>
                </c:pt>
                <c:pt idx="28">
                  <c:v>2038</c:v>
                </c:pt>
                <c:pt idx="29">
                  <c:v>2039</c:v>
                </c:pt>
                <c:pt idx="30">
                  <c:v>2040</c:v>
                </c:pt>
                <c:pt idx="31">
                  <c:v>2041</c:v>
                </c:pt>
                <c:pt idx="32">
                  <c:v>2042</c:v>
                </c:pt>
                <c:pt idx="33">
                  <c:v>2043</c:v>
                </c:pt>
                <c:pt idx="34">
                  <c:v>2044</c:v>
                </c:pt>
                <c:pt idx="35">
                  <c:v>2045</c:v>
                </c:pt>
                <c:pt idx="36">
                  <c:v>2046</c:v>
                </c:pt>
                <c:pt idx="37">
                  <c:v>2047</c:v>
                </c:pt>
                <c:pt idx="38">
                  <c:v>2048</c:v>
                </c:pt>
                <c:pt idx="39">
                  <c:v>2049</c:v>
                </c:pt>
                <c:pt idx="40">
                  <c:v>2050</c:v>
                </c:pt>
              </c:numCache>
            </c:numRef>
          </c:cat>
          <c:val>
            <c:numRef>
              <c:f>tech_cost!$J$99:$AX$99</c:f>
              <c:numCache>
                <c:formatCode>0.00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8F7-4CE0-92BE-8F7A6C919962}"/>
            </c:ext>
          </c:extLst>
        </c:ser>
        <c:ser>
          <c:idx val="2"/>
          <c:order val="2"/>
          <c:tx>
            <c:strRef>
              <c:f>tech_cost!$A$110</c:f>
              <c:strCache>
                <c:ptCount val="1"/>
                <c:pt idx="0">
                  <c:v>range of values (different sizes)</c:v>
                </c:pt>
              </c:strCache>
            </c:strRef>
          </c:tx>
          <c:spPr>
            <a:noFill/>
            <a:ln w="25400">
              <a:noFill/>
            </a:ln>
          </c:spPr>
          <c:cat>
            <c:numRef>
              <c:f>tech_cost!$J$10:$AX$10</c:f>
              <c:numCache>
                <c:formatCode>General</c:formatCode>
                <c:ptCount val="4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  <c:pt idx="21">
                  <c:v>2031</c:v>
                </c:pt>
                <c:pt idx="22">
                  <c:v>2032</c:v>
                </c:pt>
                <c:pt idx="23">
                  <c:v>2033</c:v>
                </c:pt>
                <c:pt idx="24">
                  <c:v>2034</c:v>
                </c:pt>
                <c:pt idx="25">
                  <c:v>2035</c:v>
                </c:pt>
                <c:pt idx="26">
                  <c:v>2036</c:v>
                </c:pt>
                <c:pt idx="27">
                  <c:v>2037</c:v>
                </c:pt>
                <c:pt idx="28">
                  <c:v>2038</c:v>
                </c:pt>
                <c:pt idx="29">
                  <c:v>2039</c:v>
                </c:pt>
                <c:pt idx="30">
                  <c:v>2040</c:v>
                </c:pt>
                <c:pt idx="31">
                  <c:v>2041</c:v>
                </c:pt>
                <c:pt idx="32">
                  <c:v>2042</c:v>
                </c:pt>
                <c:pt idx="33">
                  <c:v>2043</c:v>
                </c:pt>
                <c:pt idx="34">
                  <c:v>2044</c:v>
                </c:pt>
                <c:pt idx="35">
                  <c:v>2045</c:v>
                </c:pt>
                <c:pt idx="36">
                  <c:v>2046</c:v>
                </c:pt>
                <c:pt idx="37">
                  <c:v>2047</c:v>
                </c:pt>
                <c:pt idx="38">
                  <c:v>2048</c:v>
                </c:pt>
                <c:pt idx="39">
                  <c:v>2049</c:v>
                </c:pt>
                <c:pt idx="40">
                  <c:v>2050</c:v>
                </c:pt>
              </c:numCache>
            </c:numRef>
          </c:cat>
          <c:val>
            <c:numRef>
              <c:f>tech_cost!$J$100:$AX$100</c:f>
              <c:numCache>
                <c:formatCode>0.00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8F7-4CE0-92BE-8F7A6C919962}"/>
            </c:ext>
          </c:extLst>
        </c:ser>
        <c:ser>
          <c:idx val="3"/>
          <c:order val="3"/>
          <c:tx>
            <c:strRef>
              <c:f>tech_cost!$A$110</c:f>
              <c:strCache>
                <c:ptCount val="1"/>
                <c:pt idx="0">
                  <c:v>range of values (different sizes)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  <a:alpha val="90000"/>
              </a:schemeClr>
            </a:solidFill>
            <a:ln w="25400">
              <a:noFill/>
            </a:ln>
          </c:spPr>
          <c:cat>
            <c:numRef>
              <c:f>tech_cost!$J$10:$AX$10</c:f>
              <c:numCache>
                <c:formatCode>General</c:formatCode>
                <c:ptCount val="4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  <c:pt idx="21">
                  <c:v>2031</c:v>
                </c:pt>
                <c:pt idx="22">
                  <c:v>2032</c:v>
                </c:pt>
                <c:pt idx="23">
                  <c:v>2033</c:v>
                </c:pt>
                <c:pt idx="24">
                  <c:v>2034</c:v>
                </c:pt>
                <c:pt idx="25">
                  <c:v>2035</c:v>
                </c:pt>
                <c:pt idx="26">
                  <c:v>2036</c:v>
                </c:pt>
                <c:pt idx="27">
                  <c:v>2037</c:v>
                </c:pt>
                <c:pt idx="28">
                  <c:v>2038</c:v>
                </c:pt>
                <c:pt idx="29">
                  <c:v>2039</c:v>
                </c:pt>
                <c:pt idx="30">
                  <c:v>2040</c:v>
                </c:pt>
                <c:pt idx="31">
                  <c:v>2041</c:v>
                </c:pt>
                <c:pt idx="32">
                  <c:v>2042</c:v>
                </c:pt>
                <c:pt idx="33">
                  <c:v>2043</c:v>
                </c:pt>
                <c:pt idx="34">
                  <c:v>2044</c:v>
                </c:pt>
                <c:pt idx="35">
                  <c:v>2045</c:v>
                </c:pt>
                <c:pt idx="36">
                  <c:v>2046</c:v>
                </c:pt>
                <c:pt idx="37">
                  <c:v>2047</c:v>
                </c:pt>
                <c:pt idx="38">
                  <c:v>2048</c:v>
                </c:pt>
                <c:pt idx="39">
                  <c:v>2049</c:v>
                </c:pt>
                <c:pt idx="40">
                  <c:v>2050</c:v>
                </c:pt>
              </c:numCache>
            </c:numRef>
          </c:cat>
          <c:val>
            <c:numRef>
              <c:f>tech_cost!$J$101:$AX$101</c:f>
              <c:numCache>
                <c:formatCode>0.00</c:formatCode>
                <c:ptCount val="41"/>
                <c:pt idx="0">
                  <c:v>14.816099458631932</c:v>
                </c:pt>
                <c:pt idx="1">
                  <c:v>16.126758440470802</c:v>
                </c:pt>
                <c:pt idx="2">
                  <c:v>16.894259757410033</c:v>
                </c:pt>
                <c:pt idx="3">
                  <c:v>17.245940107404721</c:v>
                </c:pt>
                <c:pt idx="4">
                  <c:v>17.277574362269789</c:v>
                </c:pt>
                <c:pt idx="5">
                  <c:v>17.204585933124335</c:v>
                </c:pt>
                <c:pt idx="6">
                  <c:v>17.341855469823496</c:v>
                </c:pt>
                <c:pt idx="7">
                  <c:v>17.196903235298386</c:v>
                </c:pt>
                <c:pt idx="8">
                  <c:v>16.934755900566536</c:v>
                </c:pt>
                <c:pt idx="9">
                  <c:v>16.622472807804694</c:v>
                </c:pt>
                <c:pt idx="10">
                  <c:v>16.205100967440725</c:v>
                </c:pt>
                <c:pt idx="11">
                  <c:v>16.236780904610232</c:v>
                </c:pt>
                <c:pt idx="12">
                  <c:v>16.264937208881186</c:v>
                </c:pt>
                <c:pt idx="13">
                  <c:v>16.289540760995266</c:v>
                </c:pt>
                <c:pt idx="14">
                  <c:v>16.310606301774637</c:v>
                </c:pt>
                <c:pt idx="15">
                  <c:v>16.328196012690157</c:v>
                </c:pt>
                <c:pt idx="16">
                  <c:v>16.342422495125419</c:v>
                </c:pt>
                <c:pt idx="17">
                  <c:v>16.353450987109788</c:v>
                </c:pt>
                <c:pt idx="18">
                  <c:v>16.361500657494275</c:v>
                </c:pt>
                <c:pt idx="19">
                  <c:v>16.36684482574768</c:v>
                </c:pt>
                <c:pt idx="20">
                  <c:v>16.369809971682677</c:v>
                </c:pt>
                <c:pt idx="21">
                  <c:v>16.370773424110652</c:v>
                </c:pt>
                <c:pt idx="22">
                  <c:v>16.370159650883952</c:v>
                </c:pt>
                <c:pt idx="23">
                  <c:v>16.368435114708088</c:v>
                </c:pt>
                <c:pt idx="24">
                  <c:v>16.366101708577823</c:v>
                </c:pt>
                <c:pt idx="25">
                  <c:v>16.363688840136899</c:v>
                </c:pt>
                <c:pt idx="26">
                  <c:v>16.361744293444282</c:v>
                </c:pt>
                <c:pt idx="27">
                  <c:v>16.360824056707081</c:v>
                </c:pt>
                <c:pt idx="28">
                  <c:v>16.361481362185849</c:v>
                </c:pt>
                <c:pt idx="29">
                  <c:v>16.364255236075724</c:v>
                </c:pt>
                <c:pt idx="30">
                  <c:v>16.369658898053572</c:v>
                </c:pt>
                <c:pt idx="31">
                  <c:v>16.378168378945052</c:v>
                </c:pt>
                <c:pt idx="32">
                  <c:v>16.390211737751315</c:v>
                </c:pt>
                <c:pt idx="33">
                  <c:v>16.40615925407835</c:v>
                </c:pt>
                <c:pt idx="34">
                  <c:v>16.426314947932042</c:v>
                </c:pt>
                <c:pt idx="35">
                  <c:v>16.450909736242568</c:v>
                </c:pt>
                <c:pt idx="36">
                  <c:v>16.480096476055877</c:v>
                </c:pt>
                <c:pt idx="37">
                  <c:v>16.513947071036657</c:v>
                </c:pt>
                <c:pt idx="38">
                  <c:v>16.552451734802215</c:v>
                </c:pt>
                <c:pt idx="39">
                  <c:v>16.595520416467306</c:v>
                </c:pt>
                <c:pt idx="40">
                  <c:v>16.642986305844712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8F7-4CE0-92BE-8F7A6C919962}"/>
            </c:ext>
          </c:extLst>
        </c:ser>
        <c:ser>
          <c:idx val="4"/>
          <c:order val="4"/>
          <c:tx>
            <c:strRef>
              <c:f>tech_cost!$A$110</c:f>
              <c:strCache>
                <c:ptCount val="1"/>
                <c:pt idx="0">
                  <c:v>range of values (different sizes)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  <a:alpha val="50000"/>
              </a:schemeClr>
            </a:solidFill>
            <a:ln w="25400">
              <a:noFill/>
            </a:ln>
          </c:spPr>
          <c:cat>
            <c:numRef>
              <c:f>tech_cost!$J$10:$AX$10</c:f>
              <c:numCache>
                <c:formatCode>General</c:formatCode>
                <c:ptCount val="4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  <c:pt idx="21">
                  <c:v>2031</c:v>
                </c:pt>
                <c:pt idx="22">
                  <c:v>2032</c:v>
                </c:pt>
                <c:pt idx="23">
                  <c:v>2033</c:v>
                </c:pt>
                <c:pt idx="24">
                  <c:v>2034</c:v>
                </c:pt>
                <c:pt idx="25">
                  <c:v>2035</c:v>
                </c:pt>
                <c:pt idx="26">
                  <c:v>2036</c:v>
                </c:pt>
                <c:pt idx="27">
                  <c:v>2037</c:v>
                </c:pt>
                <c:pt idx="28">
                  <c:v>2038</c:v>
                </c:pt>
                <c:pt idx="29">
                  <c:v>2039</c:v>
                </c:pt>
                <c:pt idx="30">
                  <c:v>2040</c:v>
                </c:pt>
                <c:pt idx="31">
                  <c:v>2041</c:v>
                </c:pt>
                <c:pt idx="32">
                  <c:v>2042</c:v>
                </c:pt>
                <c:pt idx="33">
                  <c:v>2043</c:v>
                </c:pt>
                <c:pt idx="34">
                  <c:v>2044</c:v>
                </c:pt>
                <c:pt idx="35">
                  <c:v>2045</c:v>
                </c:pt>
                <c:pt idx="36">
                  <c:v>2046</c:v>
                </c:pt>
                <c:pt idx="37">
                  <c:v>2047</c:v>
                </c:pt>
                <c:pt idx="38">
                  <c:v>2048</c:v>
                </c:pt>
                <c:pt idx="39">
                  <c:v>2049</c:v>
                </c:pt>
                <c:pt idx="40">
                  <c:v>2050</c:v>
                </c:pt>
              </c:numCache>
            </c:numRef>
          </c:cat>
          <c:val>
            <c:numRef>
              <c:f>tech_cost!$J$102:$AX$102</c:f>
              <c:numCache>
                <c:formatCode>0.00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8F7-4CE0-92BE-8F7A6C9199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0440960"/>
        <c:axId val="170442752"/>
      </c:areaChart>
      <c:lineChart>
        <c:grouping val="standard"/>
        <c:varyColors val="0"/>
        <c:ser>
          <c:idx val="5"/>
          <c:order val="5"/>
          <c:tx>
            <c:strRef>
              <c:f>tech_cost!$I$11</c:f>
              <c:strCache>
                <c:ptCount val="1"/>
                <c:pt idx="0">
                  <c:v>Wind power plants / Onshore / Electricity only / L</c:v>
                </c:pt>
              </c:strCache>
            </c:strRef>
          </c:tx>
          <c:spPr>
            <a:ln>
              <a:solidFill>
                <a:schemeClr val="accent5">
                  <a:lumMod val="50000"/>
                </a:schemeClr>
              </a:solidFill>
            </a:ln>
          </c:spPr>
          <c:marker>
            <c:symbol val="none"/>
          </c:marker>
          <c:cat>
            <c:numRef>
              <c:f>tech_cost!$J$10:$AX$10</c:f>
              <c:numCache>
                <c:formatCode>General</c:formatCode>
                <c:ptCount val="4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  <c:pt idx="21">
                  <c:v>2031</c:v>
                </c:pt>
                <c:pt idx="22">
                  <c:v>2032</c:v>
                </c:pt>
                <c:pt idx="23">
                  <c:v>2033</c:v>
                </c:pt>
                <c:pt idx="24">
                  <c:v>2034</c:v>
                </c:pt>
                <c:pt idx="25">
                  <c:v>2035</c:v>
                </c:pt>
                <c:pt idx="26">
                  <c:v>2036</c:v>
                </c:pt>
                <c:pt idx="27">
                  <c:v>2037</c:v>
                </c:pt>
                <c:pt idx="28">
                  <c:v>2038</c:v>
                </c:pt>
                <c:pt idx="29">
                  <c:v>2039</c:v>
                </c:pt>
                <c:pt idx="30">
                  <c:v>2040</c:v>
                </c:pt>
                <c:pt idx="31">
                  <c:v>2041</c:v>
                </c:pt>
                <c:pt idx="32">
                  <c:v>2042</c:v>
                </c:pt>
                <c:pt idx="33">
                  <c:v>2043</c:v>
                </c:pt>
                <c:pt idx="34">
                  <c:v>2044</c:v>
                </c:pt>
                <c:pt idx="35">
                  <c:v>2045</c:v>
                </c:pt>
                <c:pt idx="36">
                  <c:v>2046</c:v>
                </c:pt>
                <c:pt idx="37">
                  <c:v>2047</c:v>
                </c:pt>
                <c:pt idx="38">
                  <c:v>2048</c:v>
                </c:pt>
                <c:pt idx="39">
                  <c:v>2049</c:v>
                </c:pt>
                <c:pt idx="40">
                  <c:v>2050</c:v>
                </c:pt>
              </c:numCache>
            </c:numRef>
          </c:cat>
          <c:val>
            <c:numRef>
              <c:f>tech_cost!$J$11:$AX$11</c:f>
              <c:numCache>
                <c:formatCode>0.00</c:formatCode>
                <c:ptCount val="41"/>
                <c:pt idx="0">
                  <c:v>36.793907559603021</c:v>
                </c:pt>
                <c:pt idx="1">
                  <c:v>35.005996199669717</c:v>
                </c:pt>
                <c:pt idx="2">
                  <c:v>33.832679369713496</c:v>
                </c:pt>
                <c:pt idx="3">
                  <c:v>33.078404264741629</c:v>
                </c:pt>
                <c:pt idx="4">
                  <c:v>32.647370451367465</c:v>
                </c:pt>
                <c:pt idx="5">
                  <c:v>32.324129159769761</c:v>
                </c:pt>
                <c:pt idx="6">
                  <c:v>31.803541195923092</c:v>
                </c:pt>
                <c:pt idx="7">
                  <c:v>31.461905344648713</c:v>
                </c:pt>
                <c:pt idx="8">
                  <c:v>31.242282297400898</c:v>
                </c:pt>
                <c:pt idx="9">
                  <c:v>31.077565011965039</c:v>
                </c:pt>
                <c:pt idx="10">
                  <c:v>31.02265925015308</c:v>
                </c:pt>
                <c:pt idx="11">
                  <c:v>30.75002936145702</c:v>
                </c:pt>
                <c:pt idx="12">
                  <c:v>30.472321038493874</c:v>
                </c:pt>
                <c:pt idx="13">
                  <c:v>30.189810974613245</c:v>
                </c:pt>
                <c:pt idx="14">
                  <c:v>29.90280531156117</c:v>
                </c:pt>
                <c:pt idx="15">
                  <c:v>29.611639527519088</c:v>
                </c:pt>
                <c:pt idx="16">
                  <c:v>29.316678056552021</c:v>
                </c:pt>
                <c:pt idx="17">
                  <c:v>29.018313621394547</c:v>
                </c:pt>
                <c:pt idx="18">
                  <c:v>28.716966264397129</c:v>
                </c:pt>
                <c:pt idx="19">
                  <c:v>28.413082064981278</c:v>
                </c:pt>
                <c:pt idx="20">
                  <c:v>28.107131536096425</c:v>
                </c:pt>
                <c:pt idx="21">
                  <c:v>27.799607696898732</c:v>
                </c:pt>
                <c:pt idx="22">
                  <c:v>27.491023824126064</c:v>
                </c:pt>
                <c:pt idx="23">
                  <c:v>27.181910890339406</c:v>
                </c:pt>
                <c:pt idx="24">
                  <c:v>26.872814703236713</c:v>
                </c:pt>
                <c:pt idx="25">
                  <c:v>26.564292766488695</c:v>
                </c:pt>
                <c:pt idx="26">
                  <c:v>26.256910888849063</c:v>
                </c:pt>
                <c:pt idx="27">
                  <c:v>25.951239574486834</c:v>
                </c:pt>
                <c:pt idx="28">
                  <c:v>25.647850233394443</c:v>
                </c:pt>
                <c:pt idx="29">
                  <c:v>25.347311256155667</c:v>
                </c:pt>
                <c:pt idx="30">
                  <c:v>25.050184002123878</c:v>
                </c:pt>
                <c:pt idx="31">
                  <c:v>24.757018753982589</c:v>
                </c:pt>
                <c:pt idx="32">
                  <c:v>24.4683506945712</c:v>
                </c:pt>
                <c:pt idx="33">
                  <c:v>24.184695963615976</c:v>
                </c:pt>
                <c:pt idx="34">
                  <c:v>23.906547852497262</c:v>
                </c:pt>
                <c:pt idx="35">
                  <c:v>23.634373194332813</c:v>
                </c:pt>
                <c:pt idx="36">
                  <c:v>23.368609004431775</c:v>
                </c:pt>
                <c:pt idx="37">
                  <c:v>23.109659422586279</c:v>
                </c:pt>
                <c:pt idx="38">
                  <c:v>22.857893003780152</c:v>
                </c:pt>
                <c:pt idx="39">
                  <c:v>22.613640397815036</c:v>
                </c:pt>
                <c:pt idx="40">
                  <c:v>22.377192451235903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8F7-4CE0-92BE-8F7A6C919962}"/>
            </c:ext>
          </c:extLst>
        </c:ser>
        <c:ser>
          <c:idx val="6"/>
          <c:order val="6"/>
          <c:tx>
            <c:strRef>
              <c:f>tech_cost!$I$19</c:f>
              <c:strCache>
                <c:ptCount val="1"/>
                <c:pt idx="0">
                  <c:v>Wind power plants / Onshore / Electricity only / M</c:v>
                </c:pt>
              </c:strCache>
            </c:strRef>
          </c:tx>
          <c:spPr>
            <a:ln>
              <a:solidFill>
                <a:schemeClr val="accent2">
                  <a:lumMod val="50000"/>
                </a:schemeClr>
              </a:solidFill>
            </a:ln>
          </c:spPr>
          <c:marker>
            <c:symbol val="none"/>
          </c:marker>
          <c:val>
            <c:numRef>
              <c:f>tech_cost!$J$19:$AX$19</c:f>
              <c:numCache>
                <c:formatCode>0.00</c:formatCode>
                <c:ptCount val="41"/>
                <c:pt idx="0">
                  <c:v>39.949820589308871</c:v>
                </c:pt>
                <c:pt idx="1">
                  <c:v>38.967660303123829</c:v>
                </c:pt>
                <c:pt idx="2">
                  <c:v>38.280140006902649</c:v>
                </c:pt>
                <c:pt idx="3">
                  <c:v>37.779056985989151</c:v>
                </c:pt>
                <c:pt idx="4">
                  <c:v>37.264124290656703</c:v>
                </c:pt>
                <c:pt idx="5">
                  <c:v>36.529873826739255</c:v>
                </c:pt>
                <c:pt idx="6">
                  <c:v>35.85616961888919</c:v>
                </c:pt>
                <c:pt idx="7">
                  <c:v>35.423876085518721</c:v>
                </c:pt>
                <c:pt idx="8">
                  <c:v>34.973305415897194</c:v>
                </c:pt>
                <c:pt idx="9">
                  <c:v>34.627035065244741</c:v>
                </c:pt>
                <c:pt idx="10">
                  <c:v>34.284193133905681</c:v>
                </c:pt>
                <c:pt idx="11">
                  <c:v>34.019535841106226</c:v>
                </c:pt>
                <c:pt idx="12">
                  <c:v>33.747826962949013</c:v>
                </c:pt>
                <c:pt idx="13">
                  <c:v>33.469361356237805</c:v>
                </c:pt>
                <c:pt idx="14">
                  <c:v>33.184484883788443</c:v>
                </c:pt>
                <c:pt idx="15">
                  <c:v>32.893595408720657</c:v>
                </c:pt>
                <c:pt idx="16">
                  <c:v>32.597143231781828</c:v>
                </c:pt>
                <c:pt idx="17">
                  <c:v>32.295630902985387</c:v>
                </c:pt>
                <c:pt idx="18">
                  <c:v>31.989612344573032</c:v>
                </c:pt>
                <c:pt idx="19">
                  <c:v>31.679691230698321</c:v>
                </c:pt>
                <c:pt idx="20">
                  <c:v>31.366518580393144</c:v>
                </c:pt>
                <c:pt idx="21">
                  <c:v>31.050789534321396</c:v>
                </c:pt>
                <c:pt idx="22">
                  <c:v>30.733239302428405</c:v>
                </c:pt>
                <c:pt idx="23">
                  <c:v>30.414638288599807</c:v>
                </c:pt>
                <c:pt idx="24">
                  <c:v>30.095786419440419</c:v>
                </c:pt>
                <c:pt idx="25">
                  <c:v>29.777506726709305</c:v>
                </c:pt>
                <c:pt idx="26">
                  <c:v>29.460638256095041</c:v>
                </c:pt>
                <c:pt idx="27">
                  <c:v>29.146028398051222</c:v>
                </c:pt>
                <c:pt idx="28">
                  <c:v>28.834524758407177</c:v>
                </c:pt>
                <c:pt idx="29">
                  <c:v>28.526966706434784</c:v>
                </c:pt>
                <c:pt idx="30">
                  <c:v>28.224176754998378</c:v>
                </c:pt>
                <c:pt idx="31">
                  <c:v>27.92695194039694</c:v>
                </c:pt>
                <c:pt idx="32">
                  <c:v>27.636055377695843</c:v>
                </c:pt>
                <c:pt idx="33">
                  <c:v>27.352208170077226</c:v>
                </c:pt>
                <c:pt idx="34">
                  <c:v>27.076081847575519</c:v>
                </c:pt>
                <c:pt idx="35">
                  <c:v>26.808291501335489</c:v>
                </c:pt>
                <c:pt idx="36">
                  <c:v>26.549389764357656</c:v>
                </c:pt>
                <c:pt idx="37">
                  <c:v>26.29986176900476</c:v>
                </c:pt>
                <c:pt idx="38">
                  <c:v>26.060121186053404</c:v>
                </c:pt>
                <c:pt idx="39">
                  <c:v>25.830507420765304</c:v>
                </c:pt>
                <c:pt idx="40">
                  <c:v>25.611284009514375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8F7-4CE0-92BE-8F7A6C9199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0440960"/>
        <c:axId val="170442752"/>
      </c:lineChart>
      <c:catAx>
        <c:axId val="1704409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0442752"/>
        <c:crosses val="autoZero"/>
        <c:auto val="1"/>
        <c:lblAlgn val="ctr"/>
        <c:lblOffset val="100"/>
        <c:tickLblSkip val="5"/>
        <c:noMultiLvlLbl val="0"/>
      </c:catAx>
      <c:valAx>
        <c:axId val="170442752"/>
        <c:scaling>
          <c:orientation val="minMax"/>
        </c:scaling>
        <c:delete val="0"/>
        <c:axPos val="l"/>
        <c:majorGridlines/>
        <c:numFmt formatCode="0" sourceLinked="0"/>
        <c:majorTickMark val="out"/>
        <c:minorTickMark val="none"/>
        <c:tickLblPos val="nextTo"/>
        <c:crossAx val="170440960"/>
        <c:crosses val="autoZero"/>
        <c:crossBetween val="between"/>
      </c:valAx>
    </c:plotArea>
    <c:legend>
      <c:legendPos val="b"/>
      <c:legendEntry>
        <c:idx val="1"/>
        <c:delete val="1"/>
      </c:legendEntry>
      <c:legendEntry>
        <c:idx val="2"/>
        <c:delete val="1"/>
      </c:legendEntry>
      <c:legendEntry>
        <c:idx val="3"/>
        <c:delete val="1"/>
      </c:legendEntry>
      <c:legendEntry>
        <c:idx val="4"/>
        <c:delete val="1"/>
      </c:legendEntry>
      <c:layout>
        <c:manualLayout>
          <c:xMode val="edge"/>
          <c:yMode val="edge"/>
          <c:x val="0"/>
          <c:y val="0.81332916666666666"/>
          <c:w val="1"/>
          <c:h val="0.16550416666666667"/>
        </c:manualLayout>
      </c:layout>
      <c:overlay val="0"/>
    </c:legend>
    <c:plotVisOnly val="1"/>
    <c:dispBlanksAs val="zero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r">
              <a:defRPr sz="1050" b="0"/>
            </a:pPr>
            <a:r>
              <a:rPr lang="en-US"/>
              <a:t>Fixed annual levelized costs (€2010 / MWh net)</a:t>
            </a:r>
          </a:p>
        </c:rich>
      </c:tx>
      <c:layout>
        <c:manualLayout>
          <c:xMode val="edge"/>
          <c:yMode val="edge"/>
          <c:x val="0.76627824434567038"/>
          <c:y val="2.377919002568634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5"/>
          <c:order val="0"/>
          <c:tx>
            <c:strRef>
              <c:f>tech_cost!$I$12</c:f>
              <c:strCache>
                <c:ptCount val="1"/>
                <c:pt idx="0">
                  <c:v>Wind power plants / Onshore / Electricity only / L</c:v>
                </c:pt>
              </c:strCache>
            </c:strRef>
          </c:tx>
          <c:spPr>
            <a:ln>
              <a:solidFill>
                <a:schemeClr val="accent5">
                  <a:lumMod val="50000"/>
                </a:schemeClr>
              </a:solidFill>
            </a:ln>
          </c:spPr>
          <c:marker>
            <c:symbol val="none"/>
          </c:marker>
          <c:cat>
            <c:numRef>
              <c:f>tech_cost!$J$10:$AX$10</c:f>
              <c:numCache>
                <c:formatCode>General</c:formatCode>
                <c:ptCount val="4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  <c:pt idx="21">
                  <c:v>2031</c:v>
                </c:pt>
                <c:pt idx="22">
                  <c:v>2032</c:v>
                </c:pt>
                <c:pt idx="23">
                  <c:v>2033</c:v>
                </c:pt>
                <c:pt idx="24">
                  <c:v>2034</c:v>
                </c:pt>
                <c:pt idx="25">
                  <c:v>2035</c:v>
                </c:pt>
                <c:pt idx="26">
                  <c:v>2036</c:v>
                </c:pt>
                <c:pt idx="27">
                  <c:v>2037</c:v>
                </c:pt>
                <c:pt idx="28">
                  <c:v>2038</c:v>
                </c:pt>
                <c:pt idx="29">
                  <c:v>2039</c:v>
                </c:pt>
                <c:pt idx="30">
                  <c:v>2040</c:v>
                </c:pt>
                <c:pt idx="31">
                  <c:v>2041</c:v>
                </c:pt>
                <c:pt idx="32">
                  <c:v>2042</c:v>
                </c:pt>
                <c:pt idx="33">
                  <c:v>2043</c:v>
                </c:pt>
                <c:pt idx="34">
                  <c:v>2044</c:v>
                </c:pt>
                <c:pt idx="35">
                  <c:v>2045</c:v>
                </c:pt>
                <c:pt idx="36">
                  <c:v>2046</c:v>
                </c:pt>
                <c:pt idx="37">
                  <c:v>2047</c:v>
                </c:pt>
                <c:pt idx="38">
                  <c:v>2048</c:v>
                </c:pt>
                <c:pt idx="39">
                  <c:v>2049</c:v>
                </c:pt>
                <c:pt idx="40">
                  <c:v>2050</c:v>
                </c:pt>
              </c:numCache>
            </c:numRef>
          </c:cat>
          <c:val>
            <c:numRef>
              <c:f>tech_cost!$J$12:$AX$12</c:f>
              <c:numCache>
                <c:formatCode>0.00</c:formatCode>
                <c:ptCount val="41"/>
                <c:pt idx="0">
                  <c:v>36.224153749520958</c:v>
                </c:pt>
                <c:pt idx="1">
                  <c:v>34.46392820435905</c:v>
                </c:pt>
                <c:pt idx="2">
                  <c:v>33.308780190346553</c:v>
                </c:pt>
                <c:pt idx="3">
                  <c:v>32.566185038481372</c:v>
                </c:pt>
                <c:pt idx="4">
                  <c:v>32.141825785482354</c:v>
                </c:pt>
                <c:pt idx="5">
                  <c:v>31.823589886616187</c:v>
                </c:pt>
                <c:pt idx="6">
                  <c:v>31.311063229533524</c:v>
                </c:pt>
                <c:pt idx="7">
                  <c:v>30.974717610823024</c:v>
                </c:pt>
                <c:pt idx="8">
                  <c:v>30.758495427366277</c:v>
                </c:pt>
                <c:pt idx="9">
                  <c:v>30.596328789773715</c:v>
                </c:pt>
                <c:pt idx="10">
                  <c:v>30.542273243909523</c:v>
                </c:pt>
                <c:pt idx="11">
                  <c:v>30.273865030162643</c:v>
                </c:pt>
                <c:pt idx="12">
                  <c:v>30.000457021724216</c:v>
                </c:pt>
                <c:pt idx="13">
                  <c:v>29.72232162734619</c:v>
                </c:pt>
                <c:pt idx="14">
                  <c:v>29.439760248168401</c:v>
                </c:pt>
                <c:pt idx="15">
                  <c:v>29.153103167491263</c:v>
                </c:pt>
                <c:pt idx="16">
                  <c:v>28.862709176116809</c:v>
                </c:pt>
                <c:pt idx="17">
                  <c:v>28.568964915466445</c:v>
                </c:pt>
                <c:pt idx="18">
                  <c:v>28.272283923533116</c:v>
                </c:pt>
                <c:pt idx="19">
                  <c:v>27.973105372196652</c:v>
                </c:pt>
                <c:pt idx="20">
                  <c:v>27.671892488511521</c:v>
                </c:pt>
                <c:pt idx="21">
                  <c:v>27.369130657230222</c:v>
                </c:pt>
                <c:pt idx="22">
                  <c:v>27.065325206998224</c:v>
                </c:pt>
                <c:pt idx="23">
                  <c:v>26.760998888264215</c:v>
                </c:pt>
                <c:pt idx="24">
                  <c:v>26.456689056891701</c:v>
                </c:pt>
                <c:pt idx="25">
                  <c:v>26.152944583604757</c:v>
                </c:pt>
                <c:pt idx="26">
                  <c:v>25.850322515606209</c:v>
                </c:pt>
                <c:pt idx="27">
                  <c:v>25.549384522805667</c:v>
                </c:pt>
                <c:pt idx="28">
                  <c:v>25.250693166909485</c:v>
                </c:pt>
                <c:pt idx="29">
                  <c:v>24.954808036970906</c:v>
                </c:pt>
                <c:pt idx="30">
                  <c:v>24.662281799691407</c:v>
                </c:pt>
                <c:pt idx="31">
                  <c:v>24.373656216624873</c:v>
                </c:pt>
                <c:pt idx="32">
                  <c:v>24.089458183302238</c:v>
                </c:pt>
                <c:pt idx="33">
                  <c:v>23.81019584702398</c:v>
                </c:pt>
                <c:pt idx="34">
                  <c:v>23.536354860551384</c:v>
                </c:pt>
                <c:pt idx="35">
                  <c:v>23.268394828089459</c:v>
                </c:pt>
                <c:pt idx="36">
                  <c:v>23.006745997763488</c:v>
                </c:pt>
                <c:pt idx="37">
                  <c:v>22.751806251259254</c:v>
                </c:pt>
                <c:pt idx="38">
                  <c:v>22.503938436485143</c:v>
                </c:pt>
                <c:pt idx="39">
                  <c:v>22.263468083129258</c:v>
                </c:pt>
                <c:pt idx="40">
                  <c:v>22.030681533976622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C8F-4CE2-B27D-8D1A65ABEEA2}"/>
            </c:ext>
          </c:extLst>
        </c:ser>
        <c:ser>
          <c:idx val="6"/>
          <c:order val="1"/>
          <c:tx>
            <c:strRef>
              <c:f>tech_cost!$I$20</c:f>
              <c:strCache>
                <c:ptCount val="1"/>
                <c:pt idx="0">
                  <c:v>Wind power plants / Onshore / Electricity only / M</c:v>
                </c:pt>
              </c:strCache>
            </c:strRef>
          </c:tx>
          <c:spPr>
            <a:ln>
              <a:solidFill>
                <a:schemeClr val="accent2">
                  <a:lumMod val="50000"/>
                </a:schemeClr>
              </a:solidFill>
            </a:ln>
          </c:spPr>
          <c:marker>
            <c:symbol val="none"/>
          </c:marker>
          <c:val>
            <c:numRef>
              <c:f>tech_cost!$J$20:$AX$20</c:f>
              <c:numCache>
                <c:formatCode>0.00</c:formatCode>
                <c:ptCount val="41"/>
                <c:pt idx="0">
                  <c:v>39.354636172319061</c:v>
                </c:pt>
                <c:pt idx="1">
                  <c:v>38.387108404846259</c:v>
                </c:pt>
                <c:pt idx="2">
                  <c:v>37.709830992338667</c:v>
                </c:pt>
                <c:pt idx="3">
                  <c:v>37.216213256657156</c:v>
                </c:pt>
                <c:pt idx="4">
                  <c:v>36.708952183162793</c:v>
                </c:pt>
                <c:pt idx="5">
                  <c:v>35.985640803022058</c:v>
                </c:pt>
                <c:pt idx="6">
                  <c:v>35.321973642654505</c:v>
                </c:pt>
                <c:pt idx="7">
                  <c:v>34.896120548085321</c:v>
                </c:pt>
                <c:pt idx="8">
                  <c:v>34.452262615526323</c:v>
                </c:pt>
                <c:pt idx="9">
                  <c:v>34.1111511044815</c:v>
                </c:pt>
                <c:pt idx="10">
                  <c:v>33.7734169351302</c:v>
                </c:pt>
                <c:pt idx="11">
                  <c:v>33.512702586108546</c:v>
                </c:pt>
                <c:pt idx="12">
                  <c:v>33.245041708364134</c:v>
                </c:pt>
                <c:pt idx="13">
                  <c:v>32.970724765835577</c:v>
                </c:pt>
                <c:pt idx="14">
                  <c:v>32.690092468570676</c:v>
                </c:pt>
                <c:pt idx="15">
                  <c:v>32.403536752205007</c:v>
                </c:pt>
                <c:pt idx="16">
                  <c:v>32.111501208770257</c:v>
                </c:pt>
                <c:pt idx="17">
                  <c:v>31.814480901138932</c:v>
                </c:pt>
                <c:pt idx="18">
                  <c:v>31.51302149905294</c:v>
                </c:pt>
                <c:pt idx="19">
                  <c:v>31.207717682947113</c:v>
                </c:pt>
                <c:pt idx="20">
                  <c:v>30.899210772776421</c:v>
                </c:pt>
                <c:pt idx="21">
                  <c:v>30.588185552790524</c:v>
                </c:pt>
                <c:pt idx="22">
                  <c:v>30.275366279556323</c:v>
                </c:pt>
                <c:pt idx="23">
                  <c:v>29.961511879251159</c:v>
                </c:pt>
                <c:pt idx="24">
                  <c:v>29.647410360933208</c:v>
                </c:pt>
                <c:pt idx="25">
                  <c:v>29.333872494587382</c:v>
                </c:pt>
                <c:pt idx="26">
                  <c:v>29.021724825547768</c:v>
                </c:pt>
                <c:pt idx="27">
                  <c:v>28.711802119590665</c:v>
                </c:pt>
                <c:pt idx="28">
                  <c:v>28.404939354659369</c:v>
                </c:pt>
                <c:pt idx="29">
                  <c:v>28.101963394850429</c:v>
                </c:pt>
                <c:pt idx="30">
                  <c:v>27.80368449898468</c:v>
                </c:pt>
                <c:pt idx="31">
                  <c:v>27.510887828875102</c:v>
                </c:pt>
                <c:pt idx="32">
                  <c:v>27.224325130469804</c:v>
                </c:pt>
                <c:pt idx="33">
                  <c:v>26.944706763739298</c:v>
                </c:pt>
                <c:pt idx="34">
                  <c:v>26.672694254062012</c:v>
                </c:pt>
                <c:pt idx="35">
                  <c:v>26.408893528770246</c:v>
                </c:pt>
                <c:pt idx="36">
                  <c:v>26.153848987572211</c:v>
                </c:pt>
                <c:pt idx="37">
                  <c:v>25.908038535183113</c:v>
                </c:pt>
                <c:pt idx="38">
                  <c:v>25.67186967938817</c:v>
                </c:pt>
                <c:pt idx="39">
                  <c:v>25.445676768887648</c:v>
                </c:pt>
                <c:pt idx="40">
                  <c:v>25.22971941381147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C8F-4CE2-B27D-8D1A65ABEE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9514752"/>
        <c:axId val="179516544"/>
      </c:lineChart>
      <c:catAx>
        <c:axId val="1795147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9516544"/>
        <c:crosses val="autoZero"/>
        <c:auto val="1"/>
        <c:lblAlgn val="ctr"/>
        <c:lblOffset val="100"/>
        <c:tickLblSkip val="5"/>
        <c:noMultiLvlLbl val="0"/>
      </c:catAx>
      <c:valAx>
        <c:axId val="179516544"/>
        <c:scaling>
          <c:orientation val="minMax"/>
        </c:scaling>
        <c:delete val="0"/>
        <c:axPos val="l"/>
        <c:majorGridlines/>
        <c:numFmt formatCode="0" sourceLinked="0"/>
        <c:majorTickMark val="out"/>
        <c:minorTickMark val="none"/>
        <c:tickLblPos val="nextTo"/>
        <c:crossAx val="179514752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"/>
          <c:y val="0.86392888888888886"/>
          <c:w val="1"/>
          <c:h val="0.11568888888888888"/>
        </c:manualLayout>
      </c:layout>
      <c:overlay val="0"/>
    </c:legend>
    <c:plotVisOnly val="1"/>
    <c:dispBlanksAs val="zero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r">
              <a:defRPr sz="1050" b="0"/>
            </a:pPr>
            <a:r>
              <a:rPr lang="en-US"/>
              <a:t>Fuel and variable costs (€2010 / MWh net)</a:t>
            </a:r>
          </a:p>
        </c:rich>
      </c:tx>
      <c:layout>
        <c:manualLayout>
          <c:xMode val="edge"/>
          <c:yMode val="edge"/>
          <c:x val="0.76627824434567038"/>
          <c:y val="2.377919002568634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5"/>
          <c:order val="0"/>
          <c:tx>
            <c:strRef>
              <c:f>tech_cost!$I$13</c:f>
              <c:strCache>
                <c:ptCount val="1"/>
                <c:pt idx="0">
                  <c:v>Wind power plants / Onshore / Electricity only / L</c:v>
                </c:pt>
              </c:strCache>
            </c:strRef>
          </c:tx>
          <c:spPr>
            <a:ln>
              <a:solidFill>
                <a:schemeClr val="accent5">
                  <a:lumMod val="50000"/>
                </a:schemeClr>
              </a:solidFill>
            </a:ln>
          </c:spPr>
          <c:marker>
            <c:symbol val="none"/>
          </c:marker>
          <c:cat>
            <c:numRef>
              <c:f>tech_cost!$J$10:$AX$10</c:f>
              <c:numCache>
                <c:formatCode>General</c:formatCode>
                <c:ptCount val="4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  <c:pt idx="21">
                  <c:v>2031</c:v>
                </c:pt>
                <c:pt idx="22">
                  <c:v>2032</c:v>
                </c:pt>
                <c:pt idx="23">
                  <c:v>2033</c:v>
                </c:pt>
                <c:pt idx="24">
                  <c:v>2034</c:v>
                </c:pt>
                <c:pt idx="25">
                  <c:v>2035</c:v>
                </c:pt>
                <c:pt idx="26">
                  <c:v>2036</c:v>
                </c:pt>
                <c:pt idx="27">
                  <c:v>2037</c:v>
                </c:pt>
                <c:pt idx="28">
                  <c:v>2038</c:v>
                </c:pt>
                <c:pt idx="29">
                  <c:v>2039</c:v>
                </c:pt>
                <c:pt idx="30">
                  <c:v>2040</c:v>
                </c:pt>
                <c:pt idx="31">
                  <c:v>2041</c:v>
                </c:pt>
                <c:pt idx="32">
                  <c:v>2042</c:v>
                </c:pt>
                <c:pt idx="33">
                  <c:v>2043</c:v>
                </c:pt>
                <c:pt idx="34">
                  <c:v>2044</c:v>
                </c:pt>
                <c:pt idx="35">
                  <c:v>2045</c:v>
                </c:pt>
                <c:pt idx="36">
                  <c:v>2046</c:v>
                </c:pt>
                <c:pt idx="37">
                  <c:v>2047</c:v>
                </c:pt>
                <c:pt idx="38">
                  <c:v>2048</c:v>
                </c:pt>
                <c:pt idx="39">
                  <c:v>2049</c:v>
                </c:pt>
                <c:pt idx="40">
                  <c:v>2050</c:v>
                </c:pt>
              </c:numCache>
            </c:numRef>
          </c:cat>
          <c:val>
            <c:numRef>
              <c:f>tech_cost!$J$13:$AX$13</c:f>
              <c:numCache>
                <c:formatCode>0.00</c:formatCode>
                <c:ptCount val="41"/>
                <c:pt idx="0">
                  <c:v>0.56975381008206327</c:v>
                </c:pt>
                <c:pt idx="1">
                  <c:v>0.54206799531066818</c:v>
                </c:pt>
                <c:pt idx="2">
                  <c:v>0.52389917936694019</c:v>
                </c:pt>
                <c:pt idx="3">
                  <c:v>0.51221922626025795</c:v>
                </c:pt>
                <c:pt idx="4">
                  <c:v>0.50554466588511138</c:v>
                </c:pt>
                <c:pt idx="5">
                  <c:v>0.5005392731535756</c:v>
                </c:pt>
                <c:pt idx="6">
                  <c:v>0.49247796638956781</c:v>
                </c:pt>
                <c:pt idx="7">
                  <c:v>0.4871877338256877</c:v>
                </c:pt>
                <c:pt idx="8">
                  <c:v>0.4837868700346219</c:v>
                </c:pt>
                <c:pt idx="9">
                  <c:v>0.48123622219132262</c:v>
                </c:pt>
                <c:pt idx="10">
                  <c:v>0.48038600624355615</c:v>
                </c:pt>
                <c:pt idx="11">
                  <c:v>0.47616433129437591</c:v>
                </c:pt>
                <c:pt idx="12">
                  <c:v>0.47186401676965617</c:v>
                </c:pt>
                <c:pt idx="13">
                  <c:v>0.46748934726705527</c:v>
                </c:pt>
                <c:pt idx="14">
                  <c:v>0.46304506339277107</c:v>
                </c:pt>
                <c:pt idx="15">
                  <c:v>0.45853636002782461</c:v>
                </c:pt>
                <c:pt idx="16">
                  <c:v>0.45396888043521377</c:v>
                </c:pt>
                <c:pt idx="17">
                  <c:v>0.44934870592810067</c:v>
                </c:pt>
                <c:pt idx="18">
                  <c:v>0.44468234086401204</c:v>
                </c:pt>
                <c:pt idx="19">
                  <c:v>0.43997669278462703</c:v>
                </c:pt>
                <c:pt idx="20">
                  <c:v>0.43523904758490495</c:v>
                </c:pt>
                <c:pt idx="21">
                  <c:v>0.43047703966850964</c:v>
                </c:pt>
                <c:pt idx="22">
                  <c:v>0.42569861712784046</c:v>
                </c:pt>
                <c:pt idx="23">
                  <c:v>0.42091200207519081</c:v>
                </c:pt>
                <c:pt idx="24">
                  <c:v>0.41612564634501142</c:v>
                </c:pt>
                <c:pt idx="25">
                  <c:v>0.41134818288393898</c:v>
                </c:pt>
                <c:pt idx="26">
                  <c:v>0.40658837324285474</c:v>
                </c:pt>
                <c:pt idx="27">
                  <c:v>0.40185505168116548</c:v>
                </c:pt>
                <c:pt idx="28">
                  <c:v>0.39715706648495708</c:v>
                </c:pt>
                <c:pt idx="29">
                  <c:v>0.39250321918475989</c:v>
                </c:pt>
                <c:pt idx="30">
                  <c:v>0.38790220243247298</c:v>
                </c:pt>
                <c:pt idx="31">
                  <c:v>0.38336253735771636</c:v>
                </c:pt>
                <c:pt idx="32">
                  <c:v>0.37889251126896217</c:v>
                </c:pt>
                <c:pt idx="33">
                  <c:v>0.37450011659199728</c:v>
                </c:pt>
                <c:pt idx="34">
                  <c:v>0.37019299194587751</c:v>
                </c:pt>
                <c:pt idx="35">
                  <c:v>0.365978366243354</c:v>
                </c:pt>
                <c:pt idx="36">
                  <c:v>0.36186300666828852</c:v>
                </c:pt>
                <c:pt idx="37">
                  <c:v>0.35785317132702626</c:v>
                </c:pt>
                <c:pt idx="38">
                  <c:v>0.35395456729500985</c:v>
                </c:pt>
                <c:pt idx="39">
                  <c:v>0.35017231468577931</c:v>
                </c:pt>
                <c:pt idx="40">
                  <c:v>0.34651091725928107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10F-48F3-B750-BD5369B8DFBB}"/>
            </c:ext>
          </c:extLst>
        </c:ser>
        <c:ser>
          <c:idx val="6"/>
          <c:order val="1"/>
          <c:tx>
            <c:strRef>
              <c:f>tech_cost!$I$21</c:f>
              <c:strCache>
                <c:ptCount val="1"/>
                <c:pt idx="0">
                  <c:v>Wind power plants / Onshore / Electricity only / M</c:v>
                </c:pt>
              </c:strCache>
            </c:strRef>
          </c:tx>
          <c:spPr>
            <a:ln>
              <a:solidFill>
                <a:schemeClr val="accent2">
                  <a:lumMod val="50000"/>
                </a:schemeClr>
              </a:solidFill>
            </a:ln>
          </c:spPr>
          <c:marker>
            <c:symbol val="none"/>
          </c:marker>
          <c:val>
            <c:numRef>
              <c:f>tech_cost!$J$21:$AX$21</c:f>
              <c:numCache>
                <c:formatCode>0.00</c:formatCode>
                <c:ptCount val="41"/>
                <c:pt idx="0">
                  <c:v>0.59518441698980962</c:v>
                </c:pt>
                <c:pt idx="1">
                  <c:v>0.58055189827757236</c:v>
                </c:pt>
                <c:pt idx="2">
                  <c:v>0.57030901456398231</c:v>
                </c:pt>
                <c:pt idx="3">
                  <c:v>0.56284372933199567</c:v>
                </c:pt>
                <c:pt idx="4">
                  <c:v>0.55517210749391288</c:v>
                </c:pt>
                <c:pt idx="5">
                  <c:v>0.54423302371719728</c:v>
                </c:pt>
                <c:pt idx="6">
                  <c:v>0.53419597623468285</c:v>
                </c:pt>
                <c:pt idx="7">
                  <c:v>0.52775553743340275</c:v>
                </c:pt>
                <c:pt idx="8">
                  <c:v>0.5210428003708697</c:v>
                </c:pt>
                <c:pt idx="9">
                  <c:v>0.51588396076323728</c:v>
                </c:pt>
                <c:pt idx="10">
                  <c:v>0.51077619877548242</c:v>
                </c:pt>
                <c:pt idx="11">
                  <c:v>0.50683325499767995</c:v>
                </c:pt>
                <c:pt idx="12">
                  <c:v>0.502785254584876</c:v>
                </c:pt>
                <c:pt idx="13">
                  <c:v>0.49863659040222702</c:v>
                </c:pt>
                <c:pt idx="14">
                  <c:v>0.49439241521776411</c:v>
                </c:pt>
                <c:pt idx="15">
                  <c:v>0.49005865651565328</c:v>
                </c:pt>
                <c:pt idx="16">
                  <c:v>0.48564202301157394</c:v>
                </c:pt>
                <c:pt idx="17">
                  <c:v>0.48115000184645323</c:v>
                </c:pt>
                <c:pt idx="18">
                  <c:v>0.47659084552009257</c:v>
                </c:pt>
                <c:pt idx="19">
                  <c:v>0.47197354775120809</c:v>
                </c:pt>
                <c:pt idx="20">
                  <c:v>0.46730780761672236</c:v>
                </c:pt>
                <c:pt idx="21">
                  <c:v>0.46260398153087384</c:v>
                </c:pt>
                <c:pt idx="22">
                  <c:v>0.45787302287208109</c:v>
                </c:pt>
                <c:pt idx="23">
                  <c:v>0.45312640934864801</c:v>
                </c:pt>
                <c:pt idx="24">
                  <c:v>0.44837605850720946</c:v>
                </c:pt>
                <c:pt idx="25">
                  <c:v>0.4436342321219226</c:v>
                </c:pt>
                <c:pt idx="26">
                  <c:v>0.43891343054727228</c:v>
                </c:pt>
                <c:pt idx="27">
                  <c:v>0.43422627846055767</c:v>
                </c:pt>
                <c:pt idx="28">
                  <c:v>0.42958540374780962</c:v>
                </c:pt>
                <c:pt idx="29">
                  <c:v>0.4250033115843545</c:v>
                </c:pt>
                <c:pt idx="30">
                  <c:v>0.42049225601369994</c:v>
                </c:pt>
                <c:pt idx="31">
                  <c:v>0.41606411152183703</c:v>
                </c:pt>
                <c:pt idx="32">
                  <c:v>0.41173024722603774</c:v>
                </c:pt>
                <c:pt idx="33">
                  <c:v>0.4075014063379292</c:v>
                </c:pt>
                <c:pt idx="34">
                  <c:v>0.40338759351350562</c:v>
                </c:pt>
                <c:pt idx="35">
                  <c:v>0.39939797256524473</c:v>
                </c:pt>
                <c:pt idx="36">
                  <c:v>0.39554077678544591</c:v>
                </c:pt>
                <c:pt idx="37">
                  <c:v>0.39182323382164869</c:v>
                </c:pt>
                <c:pt idx="38">
                  <c:v>0.38825150666523467</c:v>
                </c:pt>
                <c:pt idx="39">
                  <c:v>0.38483065187765636</c:v>
                </c:pt>
                <c:pt idx="40">
                  <c:v>0.38156459570290552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10F-48F3-B750-BD5369B8DF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9543424"/>
        <c:axId val="179549312"/>
      </c:lineChart>
      <c:catAx>
        <c:axId val="1795434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9549312"/>
        <c:crosses val="autoZero"/>
        <c:auto val="1"/>
        <c:lblAlgn val="ctr"/>
        <c:lblOffset val="100"/>
        <c:tickLblSkip val="5"/>
        <c:noMultiLvlLbl val="0"/>
      </c:catAx>
      <c:valAx>
        <c:axId val="179549312"/>
        <c:scaling>
          <c:orientation val="minMax"/>
        </c:scaling>
        <c:delete val="0"/>
        <c:axPos val="l"/>
        <c:majorGridlines/>
        <c:numFmt formatCode="0" sourceLinked="0"/>
        <c:majorTickMark val="out"/>
        <c:minorTickMark val="none"/>
        <c:tickLblPos val="nextTo"/>
        <c:crossAx val="179543424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"/>
          <c:y val="0.86392888888888886"/>
          <c:w val="1"/>
          <c:h val="0.11568888888888888"/>
        </c:manualLayout>
      </c:layout>
      <c:overlay val="0"/>
    </c:legend>
    <c:plotVisOnly val="1"/>
    <c:dispBlanksAs val="zero"/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r">
              <a:defRPr sz="1050" b="0"/>
            </a:pPr>
            <a:r>
              <a:rPr lang="en-US"/>
              <a:t>CO2 emission</a:t>
            </a:r>
            <a:r>
              <a:rPr lang="en-US" baseline="0"/>
              <a:t> </a:t>
            </a:r>
            <a:r>
              <a:rPr lang="en-US"/>
              <a:t>related costs (€2010 / MWh net)</a:t>
            </a:r>
          </a:p>
        </c:rich>
      </c:tx>
      <c:layout>
        <c:manualLayout>
          <c:xMode val="edge"/>
          <c:yMode val="edge"/>
          <c:x val="0.76627824434567038"/>
          <c:y val="2.377919002568634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5"/>
          <c:order val="0"/>
          <c:tx>
            <c:strRef>
              <c:f>tech_cost!$I$14</c:f>
              <c:strCache>
                <c:ptCount val="1"/>
                <c:pt idx="0">
                  <c:v>Wind power plants / Onshore / Electricity only / L</c:v>
                </c:pt>
              </c:strCache>
            </c:strRef>
          </c:tx>
          <c:spPr>
            <a:ln>
              <a:solidFill>
                <a:schemeClr val="accent5">
                  <a:lumMod val="50000"/>
                </a:schemeClr>
              </a:solidFill>
            </a:ln>
          </c:spPr>
          <c:marker>
            <c:symbol val="none"/>
          </c:marker>
          <c:cat>
            <c:numRef>
              <c:f>tech_cost!$J$10:$AX$10</c:f>
              <c:numCache>
                <c:formatCode>General</c:formatCode>
                <c:ptCount val="4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  <c:pt idx="21">
                  <c:v>2031</c:v>
                </c:pt>
                <c:pt idx="22">
                  <c:v>2032</c:v>
                </c:pt>
                <c:pt idx="23">
                  <c:v>2033</c:v>
                </c:pt>
                <c:pt idx="24">
                  <c:v>2034</c:v>
                </c:pt>
                <c:pt idx="25">
                  <c:v>2035</c:v>
                </c:pt>
                <c:pt idx="26">
                  <c:v>2036</c:v>
                </c:pt>
                <c:pt idx="27">
                  <c:v>2037</c:v>
                </c:pt>
                <c:pt idx="28">
                  <c:v>2038</c:v>
                </c:pt>
                <c:pt idx="29">
                  <c:v>2039</c:v>
                </c:pt>
                <c:pt idx="30">
                  <c:v>2040</c:v>
                </c:pt>
                <c:pt idx="31">
                  <c:v>2041</c:v>
                </c:pt>
                <c:pt idx="32">
                  <c:v>2042</c:v>
                </c:pt>
                <c:pt idx="33">
                  <c:v>2043</c:v>
                </c:pt>
                <c:pt idx="34">
                  <c:v>2044</c:v>
                </c:pt>
                <c:pt idx="35">
                  <c:v>2045</c:v>
                </c:pt>
                <c:pt idx="36">
                  <c:v>2046</c:v>
                </c:pt>
                <c:pt idx="37">
                  <c:v>2047</c:v>
                </c:pt>
                <c:pt idx="38">
                  <c:v>2048</c:v>
                </c:pt>
                <c:pt idx="39">
                  <c:v>2049</c:v>
                </c:pt>
                <c:pt idx="40">
                  <c:v>2050</c:v>
                </c:pt>
              </c:numCache>
            </c:numRef>
          </c:cat>
          <c:val>
            <c:numRef>
              <c:f>tech_cost!$J$14:$AX$14</c:f>
              <c:numCache>
                <c:formatCode>0.00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AE3-43F0-9267-110D8EE0017F}"/>
            </c:ext>
          </c:extLst>
        </c:ser>
        <c:ser>
          <c:idx val="6"/>
          <c:order val="1"/>
          <c:tx>
            <c:strRef>
              <c:f>tech_cost!$I$22</c:f>
              <c:strCache>
                <c:ptCount val="1"/>
                <c:pt idx="0">
                  <c:v>Wind power plants / Onshore / Electricity only / M</c:v>
                </c:pt>
              </c:strCache>
            </c:strRef>
          </c:tx>
          <c:spPr>
            <a:ln>
              <a:solidFill>
                <a:schemeClr val="accent2">
                  <a:lumMod val="50000"/>
                </a:schemeClr>
              </a:solidFill>
            </a:ln>
          </c:spPr>
          <c:marker>
            <c:symbol val="none"/>
          </c:marker>
          <c:val>
            <c:numRef>
              <c:f>tech_cost!$J$22:$AX$22</c:f>
              <c:numCache>
                <c:formatCode>0.00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AE3-43F0-9267-110D8EE001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923264"/>
        <c:axId val="166933248"/>
      </c:lineChart>
      <c:catAx>
        <c:axId val="1669232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66933248"/>
        <c:crosses val="autoZero"/>
        <c:auto val="1"/>
        <c:lblAlgn val="ctr"/>
        <c:lblOffset val="100"/>
        <c:tickLblSkip val="5"/>
        <c:noMultiLvlLbl val="0"/>
      </c:catAx>
      <c:valAx>
        <c:axId val="166933248"/>
        <c:scaling>
          <c:orientation val="minMax"/>
        </c:scaling>
        <c:delete val="0"/>
        <c:axPos val="l"/>
        <c:majorGridlines/>
        <c:numFmt formatCode="0" sourceLinked="0"/>
        <c:majorTickMark val="out"/>
        <c:minorTickMark val="none"/>
        <c:tickLblPos val="nextTo"/>
        <c:crossAx val="166923264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"/>
          <c:y val="0.86392888888888886"/>
          <c:w val="1"/>
          <c:h val="0.11568888888888888"/>
        </c:manualLayout>
      </c:layout>
      <c:overlay val="0"/>
    </c:legend>
    <c:plotVisOnly val="1"/>
    <c:dispBlanksAs val="zero"/>
    <c:showDLblsOverMax val="0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tech_cost!$H$15</c:f>
          <c:strCache>
            <c:ptCount val="1"/>
            <c:pt idx="0">
              <c:v>Operating hours_x000d_Wind power plants / Onshore / Electricity only / L</c:v>
            </c:pt>
          </c:strCache>
        </c:strRef>
      </c:tx>
      <c:layout>
        <c:manualLayout>
          <c:xMode val="edge"/>
          <c:yMode val="edge"/>
          <c:x val="0.83470173024488448"/>
          <c:y val="2.3779190025686341E-2"/>
        </c:manualLayout>
      </c:layout>
      <c:overlay val="0"/>
      <c:txPr>
        <a:bodyPr/>
        <a:lstStyle/>
        <a:p>
          <a:pPr algn="r">
            <a:defRPr sz="1050" b="0">
              <a:solidFill>
                <a:schemeClr val="accent5">
                  <a:lumMod val="50000"/>
                </a:schemeClr>
              </a:solidFill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1"/>
          <c:order val="0"/>
          <c:spPr>
            <a:noFill/>
          </c:spPr>
          <c:cat>
            <c:numRef>
              <c:f>tech_cost!$J$10:$AX$10</c:f>
              <c:numCache>
                <c:formatCode>General</c:formatCode>
                <c:ptCount val="4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  <c:pt idx="21">
                  <c:v>2031</c:v>
                </c:pt>
                <c:pt idx="22">
                  <c:v>2032</c:v>
                </c:pt>
                <c:pt idx="23">
                  <c:v>2033</c:v>
                </c:pt>
                <c:pt idx="24">
                  <c:v>2034</c:v>
                </c:pt>
                <c:pt idx="25">
                  <c:v>2035</c:v>
                </c:pt>
                <c:pt idx="26">
                  <c:v>2036</c:v>
                </c:pt>
                <c:pt idx="27">
                  <c:v>2037</c:v>
                </c:pt>
                <c:pt idx="28">
                  <c:v>2038</c:v>
                </c:pt>
                <c:pt idx="29">
                  <c:v>2039</c:v>
                </c:pt>
                <c:pt idx="30">
                  <c:v>2040</c:v>
                </c:pt>
                <c:pt idx="31">
                  <c:v>2041</c:v>
                </c:pt>
                <c:pt idx="32">
                  <c:v>2042</c:v>
                </c:pt>
                <c:pt idx="33">
                  <c:v>2043</c:v>
                </c:pt>
                <c:pt idx="34">
                  <c:v>2044</c:v>
                </c:pt>
                <c:pt idx="35">
                  <c:v>2045</c:v>
                </c:pt>
                <c:pt idx="36">
                  <c:v>2046</c:v>
                </c:pt>
                <c:pt idx="37">
                  <c:v>2047</c:v>
                </c:pt>
                <c:pt idx="38">
                  <c:v>2048</c:v>
                </c:pt>
                <c:pt idx="39">
                  <c:v>2049</c:v>
                </c:pt>
                <c:pt idx="40">
                  <c:v>2050</c:v>
                </c:pt>
              </c:numCache>
            </c:numRef>
          </c:cat>
          <c:val>
            <c:numRef>
              <c:f>tech_cost!$J$15:$AX$15</c:f>
              <c:numCache>
                <c:formatCode>0</c:formatCode>
                <c:ptCount val="41"/>
                <c:pt idx="0">
                  <c:v>1400</c:v>
                </c:pt>
                <c:pt idx="1">
                  <c:v>1400</c:v>
                </c:pt>
                <c:pt idx="2">
                  <c:v>1400</c:v>
                </c:pt>
                <c:pt idx="3">
                  <c:v>1400</c:v>
                </c:pt>
                <c:pt idx="4">
                  <c:v>1400</c:v>
                </c:pt>
                <c:pt idx="5">
                  <c:v>1400</c:v>
                </c:pt>
                <c:pt idx="6">
                  <c:v>1400</c:v>
                </c:pt>
                <c:pt idx="7">
                  <c:v>1400</c:v>
                </c:pt>
                <c:pt idx="8">
                  <c:v>1400</c:v>
                </c:pt>
                <c:pt idx="9">
                  <c:v>1400</c:v>
                </c:pt>
                <c:pt idx="10">
                  <c:v>1400</c:v>
                </c:pt>
                <c:pt idx="11">
                  <c:v>1400</c:v>
                </c:pt>
                <c:pt idx="12">
                  <c:v>1400</c:v>
                </c:pt>
                <c:pt idx="13">
                  <c:v>1400</c:v>
                </c:pt>
                <c:pt idx="14">
                  <c:v>1400</c:v>
                </c:pt>
                <c:pt idx="15">
                  <c:v>1400</c:v>
                </c:pt>
                <c:pt idx="16">
                  <c:v>1400</c:v>
                </c:pt>
                <c:pt idx="17">
                  <c:v>1400</c:v>
                </c:pt>
                <c:pt idx="18">
                  <c:v>1400</c:v>
                </c:pt>
                <c:pt idx="19">
                  <c:v>1400</c:v>
                </c:pt>
                <c:pt idx="20">
                  <c:v>1400</c:v>
                </c:pt>
                <c:pt idx="21">
                  <c:v>1400</c:v>
                </c:pt>
                <c:pt idx="22">
                  <c:v>1400</c:v>
                </c:pt>
                <c:pt idx="23">
                  <c:v>1400</c:v>
                </c:pt>
                <c:pt idx="24">
                  <c:v>1400</c:v>
                </c:pt>
                <c:pt idx="25">
                  <c:v>1400</c:v>
                </c:pt>
                <c:pt idx="26">
                  <c:v>1400</c:v>
                </c:pt>
                <c:pt idx="27">
                  <c:v>1400</c:v>
                </c:pt>
                <c:pt idx="28">
                  <c:v>1400</c:v>
                </c:pt>
                <c:pt idx="29">
                  <c:v>1400</c:v>
                </c:pt>
                <c:pt idx="30">
                  <c:v>1400</c:v>
                </c:pt>
                <c:pt idx="31">
                  <c:v>1400</c:v>
                </c:pt>
                <c:pt idx="32">
                  <c:v>1400</c:v>
                </c:pt>
                <c:pt idx="33">
                  <c:v>1400</c:v>
                </c:pt>
                <c:pt idx="34">
                  <c:v>1400</c:v>
                </c:pt>
                <c:pt idx="35">
                  <c:v>1400</c:v>
                </c:pt>
                <c:pt idx="36">
                  <c:v>1400</c:v>
                </c:pt>
                <c:pt idx="37">
                  <c:v>1400</c:v>
                </c:pt>
                <c:pt idx="38">
                  <c:v>1400</c:v>
                </c:pt>
                <c:pt idx="39">
                  <c:v>1400</c:v>
                </c:pt>
                <c:pt idx="40">
                  <c:v>1400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AA-4E7D-9AC8-EACC1267ED6F}"/>
            </c:ext>
          </c:extLst>
        </c:ser>
        <c:ser>
          <c:idx val="0"/>
          <c:order val="1"/>
          <c:spPr>
            <a:solidFill>
              <a:schemeClr val="accent2">
                <a:lumMod val="20000"/>
                <a:lumOff val="80000"/>
                <a:alpha val="50000"/>
              </a:schemeClr>
            </a:solidFill>
          </c:spPr>
          <c:cat>
            <c:numRef>
              <c:f>tech_cost!$J$10:$AX$10</c:f>
              <c:numCache>
                <c:formatCode>General</c:formatCode>
                <c:ptCount val="4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  <c:pt idx="21">
                  <c:v>2031</c:v>
                </c:pt>
                <c:pt idx="22">
                  <c:v>2032</c:v>
                </c:pt>
                <c:pt idx="23">
                  <c:v>2033</c:v>
                </c:pt>
                <c:pt idx="24">
                  <c:v>2034</c:v>
                </c:pt>
                <c:pt idx="25">
                  <c:v>2035</c:v>
                </c:pt>
                <c:pt idx="26">
                  <c:v>2036</c:v>
                </c:pt>
                <c:pt idx="27">
                  <c:v>2037</c:v>
                </c:pt>
                <c:pt idx="28">
                  <c:v>2038</c:v>
                </c:pt>
                <c:pt idx="29">
                  <c:v>2039</c:v>
                </c:pt>
                <c:pt idx="30">
                  <c:v>2040</c:v>
                </c:pt>
                <c:pt idx="31">
                  <c:v>2041</c:v>
                </c:pt>
                <c:pt idx="32">
                  <c:v>2042</c:v>
                </c:pt>
                <c:pt idx="33">
                  <c:v>2043</c:v>
                </c:pt>
                <c:pt idx="34">
                  <c:v>2044</c:v>
                </c:pt>
                <c:pt idx="35">
                  <c:v>2045</c:v>
                </c:pt>
                <c:pt idx="36">
                  <c:v>2046</c:v>
                </c:pt>
                <c:pt idx="37">
                  <c:v>2047</c:v>
                </c:pt>
                <c:pt idx="38">
                  <c:v>2048</c:v>
                </c:pt>
                <c:pt idx="39">
                  <c:v>2049</c:v>
                </c:pt>
                <c:pt idx="40">
                  <c:v>2050</c:v>
                </c:pt>
              </c:numCache>
            </c:numRef>
          </c:cat>
          <c:val>
            <c:numRef>
              <c:f>tech_cost!$J$58:$AX$58</c:f>
              <c:numCache>
                <c:formatCode>General</c:formatCode>
                <c:ptCount val="41"/>
                <c:pt idx="0">
                  <c:v>2350</c:v>
                </c:pt>
                <c:pt idx="1">
                  <c:v>2350</c:v>
                </c:pt>
                <c:pt idx="2">
                  <c:v>2350</c:v>
                </c:pt>
                <c:pt idx="3">
                  <c:v>2350</c:v>
                </c:pt>
                <c:pt idx="4">
                  <c:v>2350</c:v>
                </c:pt>
                <c:pt idx="5">
                  <c:v>2350</c:v>
                </c:pt>
                <c:pt idx="6">
                  <c:v>2350</c:v>
                </c:pt>
                <c:pt idx="7">
                  <c:v>2350</c:v>
                </c:pt>
                <c:pt idx="8">
                  <c:v>2350</c:v>
                </c:pt>
                <c:pt idx="9">
                  <c:v>2350</c:v>
                </c:pt>
                <c:pt idx="10">
                  <c:v>2350</c:v>
                </c:pt>
                <c:pt idx="11">
                  <c:v>2350</c:v>
                </c:pt>
                <c:pt idx="12">
                  <c:v>2350</c:v>
                </c:pt>
                <c:pt idx="13">
                  <c:v>2350</c:v>
                </c:pt>
                <c:pt idx="14">
                  <c:v>2350</c:v>
                </c:pt>
                <c:pt idx="15">
                  <c:v>2350</c:v>
                </c:pt>
                <c:pt idx="16">
                  <c:v>2350</c:v>
                </c:pt>
                <c:pt idx="17">
                  <c:v>2350</c:v>
                </c:pt>
                <c:pt idx="18">
                  <c:v>2350</c:v>
                </c:pt>
                <c:pt idx="19">
                  <c:v>2350</c:v>
                </c:pt>
                <c:pt idx="20">
                  <c:v>2350</c:v>
                </c:pt>
                <c:pt idx="21">
                  <c:v>2350</c:v>
                </c:pt>
                <c:pt idx="22">
                  <c:v>2350</c:v>
                </c:pt>
                <c:pt idx="23">
                  <c:v>2350</c:v>
                </c:pt>
                <c:pt idx="24">
                  <c:v>2350</c:v>
                </c:pt>
                <c:pt idx="25">
                  <c:v>2350</c:v>
                </c:pt>
                <c:pt idx="26">
                  <c:v>2350</c:v>
                </c:pt>
                <c:pt idx="27">
                  <c:v>2350</c:v>
                </c:pt>
                <c:pt idx="28">
                  <c:v>2350</c:v>
                </c:pt>
                <c:pt idx="29">
                  <c:v>2350</c:v>
                </c:pt>
                <c:pt idx="30">
                  <c:v>2350</c:v>
                </c:pt>
                <c:pt idx="31">
                  <c:v>2350</c:v>
                </c:pt>
                <c:pt idx="32">
                  <c:v>2350</c:v>
                </c:pt>
                <c:pt idx="33">
                  <c:v>2350</c:v>
                </c:pt>
                <c:pt idx="34">
                  <c:v>2350</c:v>
                </c:pt>
                <c:pt idx="35">
                  <c:v>2350</c:v>
                </c:pt>
                <c:pt idx="36">
                  <c:v>2350</c:v>
                </c:pt>
                <c:pt idx="37">
                  <c:v>2350</c:v>
                </c:pt>
                <c:pt idx="38">
                  <c:v>2350</c:v>
                </c:pt>
                <c:pt idx="39">
                  <c:v>2350</c:v>
                </c:pt>
                <c:pt idx="40">
                  <c:v>2350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4AA-4E7D-9AC8-EACC1267ED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964608"/>
        <c:axId val="166970496"/>
      </c:areaChart>
      <c:lineChart>
        <c:grouping val="standard"/>
        <c:varyColors val="0"/>
        <c:ser>
          <c:idx val="3"/>
          <c:order val="2"/>
          <c:tx>
            <c:strRef>
              <c:f>tech_cost!$A$15</c:f>
              <c:strCache>
                <c:ptCount val="1"/>
                <c:pt idx="0">
                  <c:v>Desired operating hours - minimum</c:v>
                </c:pt>
              </c:strCache>
            </c:strRef>
          </c:tx>
          <c:spPr>
            <a:ln>
              <a:solidFill>
                <a:schemeClr val="accent6">
                  <a:lumMod val="50000"/>
                  <a:alpha val="50000"/>
                </a:schemeClr>
              </a:solidFill>
            </a:ln>
          </c:spPr>
          <c:marker>
            <c:symbol val="none"/>
          </c:marker>
          <c:val>
            <c:numRef>
              <c:f>tech_cost!$J$15:$AX$15</c:f>
              <c:numCache>
                <c:formatCode>0</c:formatCode>
                <c:ptCount val="41"/>
                <c:pt idx="0">
                  <c:v>1400</c:v>
                </c:pt>
                <c:pt idx="1">
                  <c:v>1400</c:v>
                </c:pt>
                <c:pt idx="2">
                  <c:v>1400</c:v>
                </c:pt>
                <c:pt idx="3">
                  <c:v>1400</c:v>
                </c:pt>
                <c:pt idx="4">
                  <c:v>1400</c:v>
                </c:pt>
                <c:pt idx="5">
                  <c:v>1400</c:v>
                </c:pt>
                <c:pt idx="6">
                  <c:v>1400</c:v>
                </c:pt>
                <c:pt idx="7">
                  <c:v>1400</c:v>
                </c:pt>
                <c:pt idx="8">
                  <c:v>1400</c:v>
                </c:pt>
                <c:pt idx="9">
                  <c:v>1400</c:v>
                </c:pt>
                <c:pt idx="10">
                  <c:v>1400</c:v>
                </c:pt>
                <c:pt idx="11">
                  <c:v>1400</c:v>
                </c:pt>
                <c:pt idx="12">
                  <c:v>1400</c:v>
                </c:pt>
                <c:pt idx="13">
                  <c:v>1400</c:v>
                </c:pt>
                <c:pt idx="14">
                  <c:v>1400</c:v>
                </c:pt>
                <c:pt idx="15">
                  <c:v>1400</c:v>
                </c:pt>
                <c:pt idx="16">
                  <c:v>1400</c:v>
                </c:pt>
                <c:pt idx="17">
                  <c:v>1400</c:v>
                </c:pt>
                <c:pt idx="18">
                  <c:v>1400</c:v>
                </c:pt>
                <c:pt idx="19">
                  <c:v>1400</c:v>
                </c:pt>
                <c:pt idx="20">
                  <c:v>1400</c:v>
                </c:pt>
                <c:pt idx="21">
                  <c:v>1400</c:v>
                </c:pt>
                <c:pt idx="22">
                  <c:v>1400</c:v>
                </c:pt>
                <c:pt idx="23">
                  <c:v>1400</c:v>
                </c:pt>
                <c:pt idx="24">
                  <c:v>1400</c:v>
                </c:pt>
                <c:pt idx="25">
                  <c:v>1400</c:v>
                </c:pt>
                <c:pt idx="26">
                  <c:v>1400</c:v>
                </c:pt>
                <c:pt idx="27">
                  <c:v>1400</c:v>
                </c:pt>
                <c:pt idx="28">
                  <c:v>1400</c:v>
                </c:pt>
                <c:pt idx="29">
                  <c:v>1400</c:v>
                </c:pt>
                <c:pt idx="30">
                  <c:v>1400</c:v>
                </c:pt>
                <c:pt idx="31">
                  <c:v>1400</c:v>
                </c:pt>
                <c:pt idx="32">
                  <c:v>1400</c:v>
                </c:pt>
                <c:pt idx="33">
                  <c:v>1400</c:v>
                </c:pt>
                <c:pt idx="34">
                  <c:v>1400</c:v>
                </c:pt>
                <c:pt idx="35">
                  <c:v>1400</c:v>
                </c:pt>
                <c:pt idx="36">
                  <c:v>1400</c:v>
                </c:pt>
                <c:pt idx="37">
                  <c:v>1400</c:v>
                </c:pt>
                <c:pt idx="38">
                  <c:v>1400</c:v>
                </c:pt>
                <c:pt idx="39">
                  <c:v>1400</c:v>
                </c:pt>
                <c:pt idx="40">
                  <c:v>1400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AA-4E7D-9AC8-EACC1267ED6F}"/>
            </c:ext>
          </c:extLst>
        </c:ser>
        <c:ser>
          <c:idx val="4"/>
          <c:order val="3"/>
          <c:tx>
            <c:strRef>
              <c:f>tech_cost!$A$16</c:f>
              <c:strCache>
                <c:ptCount val="1"/>
                <c:pt idx="0">
                  <c:v>Desired operating hours - maximum</c:v>
                </c:pt>
              </c:strCache>
            </c:strRef>
          </c:tx>
          <c:spPr>
            <a:ln>
              <a:solidFill>
                <a:schemeClr val="bg2">
                  <a:lumMod val="25000"/>
                  <a:alpha val="50000"/>
                </a:schemeClr>
              </a:solidFill>
            </a:ln>
          </c:spPr>
          <c:marker>
            <c:symbol val="none"/>
          </c:marker>
          <c:val>
            <c:numRef>
              <c:f>tech_cost!$J$16:$AX$16</c:f>
              <c:numCache>
                <c:formatCode>0</c:formatCode>
                <c:ptCount val="41"/>
                <c:pt idx="0">
                  <c:v>3750</c:v>
                </c:pt>
                <c:pt idx="1">
                  <c:v>3750</c:v>
                </c:pt>
                <c:pt idx="2">
                  <c:v>3750</c:v>
                </c:pt>
                <c:pt idx="3">
                  <c:v>3750</c:v>
                </c:pt>
                <c:pt idx="4">
                  <c:v>3750</c:v>
                </c:pt>
                <c:pt idx="5">
                  <c:v>3750</c:v>
                </c:pt>
                <c:pt idx="6">
                  <c:v>3750</c:v>
                </c:pt>
                <c:pt idx="7">
                  <c:v>3750</c:v>
                </c:pt>
                <c:pt idx="8">
                  <c:v>3750</c:v>
                </c:pt>
                <c:pt idx="9">
                  <c:v>3750</c:v>
                </c:pt>
                <c:pt idx="10">
                  <c:v>3750</c:v>
                </c:pt>
                <c:pt idx="11">
                  <c:v>3750</c:v>
                </c:pt>
                <c:pt idx="12">
                  <c:v>3750</c:v>
                </c:pt>
                <c:pt idx="13">
                  <c:v>3750</c:v>
                </c:pt>
                <c:pt idx="14">
                  <c:v>3750</c:v>
                </c:pt>
                <c:pt idx="15">
                  <c:v>3750</c:v>
                </c:pt>
                <c:pt idx="16">
                  <c:v>3750</c:v>
                </c:pt>
                <c:pt idx="17">
                  <c:v>3750</c:v>
                </c:pt>
                <c:pt idx="18">
                  <c:v>3750</c:v>
                </c:pt>
                <c:pt idx="19">
                  <c:v>3750</c:v>
                </c:pt>
                <c:pt idx="20">
                  <c:v>3750</c:v>
                </c:pt>
                <c:pt idx="21">
                  <c:v>3750</c:v>
                </c:pt>
                <c:pt idx="22">
                  <c:v>3750</c:v>
                </c:pt>
                <c:pt idx="23">
                  <c:v>3750</c:v>
                </c:pt>
                <c:pt idx="24">
                  <c:v>3750</c:v>
                </c:pt>
                <c:pt idx="25">
                  <c:v>3750</c:v>
                </c:pt>
                <c:pt idx="26">
                  <c:v>3750</c:v>
                </c:pt>
                <c:pt idx="27">
                  <c:v>3750</c:v>
                </c:pt>
                <c:pt idx="28">
                  <c:v>3750</c:v>
                </c:pt>
                <c:pt idx="29">
                  <c:v>3750</c:v>
                </c:pt>
                <c:pt idx="30">
                  <c:v>3750</c:v>
                </c:pt>
                <c:pt idx="31">
                  <c:v>3750</c:v>
                </c:pt>
                <c:pt idx="32">
                  <c:v>3750</c:v>
                </c:pt>
                <c:pt idx="33">
                  <c:v>3750</c:v>
                </c:pt>
                <c:pt idx="34">
                  <c:v>3750</c:v>
                </c:pt>
                <c:pt idx="35">
                  <c:v>3750</c:v>
                </c:pt>
                <c:pt idx="36">
                  <c:v>3750</c:v>
                </c:pt>
                <c:pt idx="37">
                  <c:v>3750</c:v>
                </c:pt>
                <c:pt idx="38">
                  <c:v>3750</c:v>
                </c:pt>
                <c:pt idx="39">
                  <c:v>3750</c:v>
                </c:pt>
                <c:pt idx="40">
                  <c:v>3750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4AA-4E7D-9AC8-EACC1267ED6F}"/>
            </c:ext>
          </c:extLst>
        </c:ser>
        <c:ser>
          <c:idx val="2"/>
          <c:order val="4"/>
          <c:tx>
            <c:strRef>
              <c:f>tech_cost!$A$92</c:f>
              <c:strCache>
                <c:ptCount val="1"/>
                <c:pt idx="0">
                  <c:v>Annual operating hours parameter set by user</c:v>
                </c:pt>
              </c:strCache>
            </c:strRef>
          </c:tx>
          <c:spPr>
            <a:ln>
              <a:solidFill>
                <a:schemeClr val="accent5">
                  <a:lumMod val="50000"/>
                </a:schemeClr>
              </a:solidFill>
            </a:ln>
          </c:spPr>
          <c:marker>
            <c:symbol val="none"/>
          </c:marker>
          <c:cat>
            <c:numRef>
              <c:f>tech_cost!$J$10:$AX$10</c:f>
              <c:numCache>
                <c:formatCode>General</c:formatCode>
                <c:ptCount val="4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  <c:pt idx="21">
                  <c:v>2031</c:v>
                </c:pt>
                <c:pt idx="22">
                  <c:v>2032</c:v>
                </c:pt>
                <c:pt idx="23">
                  <c:v>2033</c:v>
                </c:pt>
                <c:pt idx="24">
                  <c:v>2034</c:v>
                </c:pt>
                <c:pt idx="25">
                  <c:v>2035</c:v>
                </c:pt>
                <c:pt idx="26">
                  <c:v>2036</c:v>
                </c:pt>
                <c:pt idx="27">
                  <c:v>2037</c:v>
                </c:pt>
                <c:pt idx="28">
                  <c:v>2038</c:v>
                </c:pt>
                <c:pt idx="29">
                  <c:v>2039</c:v>
                </c:pt>
                <c:pt idx="30">
                  <c:v>2040</c:v>
                </c:pt>
                <c:pt idx="31">
                  <c:v>2041</c:v>
                </c:pt>
                <c:pt idx="32">
                  <c:v>2042</c:v>
                </c:pt>
                <c:pt idx="33">
                  <c:v>2043</c:v>
                </c:pt>
                <c:pt idx="34">
                  <c:v>2044</c:v>
                </c:pt>
                <c:pt idx="35">
                  <c:v>2045</c:v>
                </c:pt>
                <c:pt idx="36">
                  <c:v>2046</c:v>
                </c:pt>
                <c:pt idx="37">
                  <c:v>2047</c:v>
                </c:pt>
                <c:pt idx="38">
                  <c:v>2048</c:v>
                </c:pt>
                <c:pt idx="39">
                  <c:v>2049</c:v>
                </c:pt>
                <c:pt idx="40">
                  <c:v>2050</c:v>
                </c:pt>
              </c:numCache>
            </c:numRef>
          </c:cat>
          <c:val>
            <c:numRef>
              <c:f>tech_cost!$J$92:$AX$92</c:f>
              <c:numCache>
                <c:formatCode>0.00</c:formatCode>
                <c:ptCount val="41"/>
                <c:pt idx="0">
                  <c:v>4000</c:v>
                </c:pt>
                <c:pt idx="1">
                  <c:v>4000</c:v>
                </c:pt>
                <c:pt idx="2">
                  <c:v>4000</c:v>
                </c:pt>
                <c:pt idx="3">
                  <c:v>4000</c:v>
                </c:pt>
                <c:pt idx="4">
                  <c:v>4000</c:v>
                </c:pt>
                <c:pt idx="5">
                  <c:v>4000</c:v>
                </c:pt>
                <c:pt idx="6">
                  <c:v>4000</c:v>
                </c:pt>
                <c:pt idx="7">
                  <c:v>4000</c:v>
                </c:pt>
                <c:pt idx="8">
                  <c:v>4000</c:v>
                </c:pt>
                <c:pt idx="9">
                  <c:v>4000</c:v>
                </c:pt>
                <c:pt idx="10">
                  <c:v>4000</c:v>
                </c:pt>
                <c:pt idx="11">
                  <c:v>4000</c:v>
                </c:pt>
                <c:pt idx="12">
                  <c:v>4000</c:v>
                </c:pt>
                <c:pt idx="13">
                  <c:v>4000</c:v>
                </c:pt>
                <c:pt idx="14">
                  <c:v>4000</c:v>
                </c:pt>
                <c:pt idx="15">
                  <c:v>4000</c:v>
                </c:pt>
                <c:pt idx="16">
                  <c:v>4000</c:v>
                </c:pt>
                <c:pt idx="17">
                  <c:v>4000</c:v>
                </c:pt>
                <c:pt idx="18">
                  <c:v>4000</c:v>
                </c:pt>
                <c:pt idx="19">
                  <c:v>4000</c:v>
                </c:pt>
                <c:pt idx="20">
                  <c:v>4000</c:v>
                </c:pt>
                <c:pt idx="21">
                  <c:v>4000</c:v>
                </c:pt>
                <c:pt idx="22">
                  <c:v>4000</c:v>
                </c:pt>
                <c:pt idx="23">
                  <c:v>4000</c:v>
                </c:pt>
                <c:pt idx="24">
                  <c:v>4000</c:v>
                </c:pt>
                <c:pt idx="25">
                  <c:v>4000</c:v>
                </c:pt>
                <c:pt idx="26">
                  <c:v>4000</c:v>
                </c:pt>
                <c:pt idx="27">
                  <c:v>4000</c:v>
                </c:pt>
                <c:pt idx="28">
                  <c:v>4000</c:v>
                </c:pt>
                <c:pt idx="29">
                  <c:v>4000</c:v>
                </c:pt>
                <c:pt idx="30">
                  <c:v>4000</c:v>
                </c:pt>
                <c:pt idx="31">
                  <c:v>4000</c:v>
                </c:pt>
                <c:pt idx="32">
                  <c:v>4000</c:v>
                </c:pt>
                <c:pt idx="33">
                  <c:v>4000</c:v>
                </c:pt>
                <c:pt idx="34">
                  <c:v>4000</c:v>
                </c:pt>
                <c:pt idx="35">
                  <c:v>4000</c:v>
                </c:pt>
                <c:pt idx="36">
                  <c:v>4000</c:v>
                </c:pt>
                <c:pt idx="37">
                  <c:v>4000</c:v>
                </c:pt>
                <c:pt idx="38">
                  <c:v>4000</c:v>
                </c:pt>
                <c:pt idx="39">
                  <c:v>4000</c:v>
                </c:pt>
                <c:pt idx="40">
                  <c:v>4000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4AA-4E7D-9AC8-EACC1267ED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6964608"/>
        <c:axId val="166970496"/>
      </c:lineChart>
      <c:catAx>
        <c:axId val="1669646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66970496"/>
        <c:crosses val="autoZero"/>
        <c:auto val="1"/>
        <c:lblAlgn val="ctr"/>
        <c:lblOffset val="100"/>
        <c:tickLblSkip val="5"/>
        <c:noMultiLvlLbl val="0"/>
      </c:catAx>
      <c:valAx>
        <c:axId val="166970496"/>
        <c:scaling>
          <c:orientation val="minMax"/>
          <c:max val="9000"/>
          <c:min val="0"/>
        </c:scaling>
        <c:delete val="0"/>
        <c:axPos val="l"/>
        <c:majorGridlines/>
        <c:numFmt formatCode="0" sourceLinked="0"/>
        <c:majorTickMark val="out"/>
        <c:minorTickMark val="none"/>
        <c:tickLblPos val="nextTo"/>
        <c:crossAx val="166964608"/>
        <c:crosses val="autoZero"/>
        <c:crossBetween val="between"/>
      </c:valAx>
    </c:plotArea>
    <c:legend>
      <c:legendPos val="b"/>
      <c:legendEntry>
        <c:idx val="0"/>
        <c:delete val="1"/>
      </c:legendEntry>
      <c:legendEntry>
        <c:idx val="1"/>
        <c:delete val="1"/>
      </c:legendEntry>
      <c:overlay val="0"/>
    </c:legend>
    <c:plotVisOnly val="1"/>
    <c:dispBlanksAs val="zero"/>
    <c:showDLblsOverMax val="0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tech_cost!$H$19</c:f>
          <c:strCache>
            <c:ptCount val="1"/>
            <c:pt idx="0">
              <c:v>Levelized costs (€2010 / MWh net)_x000d_Wind power plants / Onshore / Electricity only / M</c:v>
            </c:pt>
          </c:strCache>
        </c:strRef>
      </c:tx>
      <c:layout>
        <c:manualLayout>
          <c:xMode val="edge"/>
          <c:yMode val="edge"/>
          <c:x val="0.68946089564407176"/>
          <c:y val="2.0372152710940006E-2"/>
        </c:manualLayout>
      </c:layout>
      <c:overlay val="0"/>
      <c:txPr>
        <a:bodyPr/>
        <a:lstStyle/>
        <a:p>
          <a:pPr algn="r">
            <a:defRPr sz="1050" b="0">
              <a:solidFill>
                <a:schemeClr val="accent2">
                  <a:lumMod val="50000"/>
                </a:schemeClr>
              </a:solidFill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tech_cost!$A$20</c:f>
              <c:strCache>
                <c:ptCount val="1"/>
                <c:pt idx="0">
                  <c:v>Fixed annual levelized costs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</c:spPr>
          <c:invertIfNegative val="0"/>
          <c:cat>
            <c:numRef>
              <c:f>tech_cost!$J$18:$AX$18</c:f>
              <c:numCache>
                <c:formatCode>General</c:formatCode>
                <c:ptCount val="4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  <c:pt idx="21">
                  <c:v>2031</c:v>
                </c:pt>
                <c:pt idx="22">
                  <c:v>2032</c:v>
                </c:pt>
                <c:pt idx="23">
                  <c:v>2033</c:v>
                </c:pt>
                <c:pt idx="24">
                  <c:v>2034</c:v>
                </c:pt>
                <c:pt idx="25">
                  <c:v>2035</c:v>
                </c:pt>
                <c:pt idx="26">
                  <c:v>2036</c:v>
                </c:pt>
                <c:pt idx="27">
                  <c:v>2037</c:v>
                </c:pt>
                <c:pt idx="28">
                  <c:v>2038</c:v>
                </c:pt>
                <c:pt idx="29">
                  <c:v>2039</c:v>
                </c:pt>
                <c:pt idx="30">
                  <c:v>2040</c:v>
                </c:pt>
                <c:pt idx="31">
                  <c:v>2041</c:v>
                </c:pt>
                <c:pt idx="32">
                  <c:v>2042</c:v>
                </c:pt>
                <c:pt idx="33">
                  <c:v>2043</c:v>
                </c:pt>
                <c:pt idx="34">
                  <c:v>2044</c:v>
                </c:pt>
                <c:pt idx="35">
                  <c:v>2045</c:v>
                </c:pt>
                <c:pt idx="36">
                  <c:v>2046</c:v>
                </c:pt>
                <c:pt idx="37">
                  <c:v>2047</c:v>
                </c:pt>
                <c:pt idx="38">
                  <c:v>2048</c:v>
                </c:pt>
                <c:pt idx="39">
                  <c:v>2049</c:v>
                </c:pt>
                <c:pt idx="40">
                  <c:v>2050</c:v>
                </c:pt>
              </c:numCache>
            </c:numRef>
          </c:cat>
          <c:val>
            <c:numRef>
              <c:f>tech_cost!$J$20:$AX$20</c:f>
              <c:numCache>
                <c:formatCode>0.00</c:formatCode>
                <c:ptCount val="41"/>
                <c:pt idx="0">
                  <c:v>39.354636172319061</c:v>
                </c:pt>
                <c:pt idx="1">
                  <c:v>38.387108404846259</c:v>
                </c:pt>
                <c:pt idx="2">
                  <c:v>37.709830992338667</c:v>
                </c:pt>
                <c:pt idx="3">
                  <c:v>37.216213256657156</c:v>
                </c:pt>
                <c:pt idx="4">
                  <c:v>36.708952183162793</c:v>
                </c:pt>
                <c:pt idx="5">
                  <c:v>35.985640803022058</c:v>
                </c:pt>
                <c:pt idx="6">
                  <c:v>35.321973642654505</c:v>
                </c:pt>
                <c:pt idx="7">
                  <c:v>34.896120548085321</c:v>
                </c:pt>
                <c:pt idx="8">
                  <c:v>34.452262615526323</c:v>
                </c:pt>
                <c:pt idx="9">
                  <c:v>34.1111511044815</c:v>
                </c:pt>
                <c:pt idx="10">
                  <c:v>33.7734169351302</c:v>
                </c:pt>
                <c:pt idx="11">
                  <c:v>33.512702586108546</c:v>
                </c:pt>
                <c:pt idx="12">
                  <c:v>33.245041708364134</c:v>
                </c:pt>
                <c:pt idx="13">
                  <c:v>32.970724765835577</c:v>
                </c:pt>
                <c:pt idx="14">
                  <c:v>32.690092468570676</c:v>
                </c:pt>
                <c:pt idx="15">
                  <c:v>32.403536752205007</c:v>
                </c:pt>
                <c:pt idx="16">
                  <c:v>32.111501208770257</c:v>
                </c:pt>
                <c:pt idx="17">
                  <c:v>31.814480901138932</c:v>
                </c:pt>
                <c:pt idx="18">
                  <c:v>31.51302149905294</c:v>
                </c:pt>
                <c:pt idx="19">
                  <c:v>31.207717682947113</c:v>
                </c:pt>
                <c:pt idx="20">
                  <c:v>30.899210772776421</c:v>
                </c:pt>
                <c:pt idx="21">
                  <c:v>30.588185552790524</c:v>
                </c:pt>
                <c:pt idx="22">
                  <c:v>30.275366279556323</c:v>
                </c:pt>
                <c:pt idx="23">
                  <c:v>29.961511879251159</c:v>
                </c:pt>
                <c:pt idx="24">
                  <c:v>29.647410360933208</c:v>
                </c:pt>
                <c:pt idx="25">
                  <c:v>29.333872494587382</c:v>
                </c:pt>
                <c:pt idx="26">
                  <c:v>29.021724825547768</c:v>
                </c:pt>
                <c:pt idx="27">
                  <c:v>28.711802119590665</c:v>
                </c:pt>
                <c:pt idx="28">
                  <c:v>28.404939354659369</c:v>
                </c:pt>
                <c:pt idx="29">
                  <c:v>28.101963394850429</c:v>
                </c:pt>
                <c:pt idx="30">
                  <c:v>27.80368449898468</c:v>
                </c:pt>
                <c:pt idx="31">
                  <c:v>27.510887828875102</c:v>
                </c:pt>
                <c:pt idx="32">
                  <c:v>27.224325130469804</c:v>
                </c:pt>
                <c:pt idx="33">
                  <c:v>26.944706763739298</c:v>
                </c:pt>
                <c:pt idx="34">
                  <c:v>26.672694254062012</c:v>
                </c:pt>
                <c:pt idx="35">
                  <c:v>26.408893528770246</c:v>
                </c:pt>
                <c:pt idx="36">
                  <c:v>26.153848987572211</c:v>
                </c:pt>
                <c:pt idx="37">
                  <c:v>25.908038535183113</c:v>
                </c:pt>
                <c:pt idx="38">
                  <c:v>25.67186967938817</c:v>
                </c:pt>
                <c:pt idx="39">
                  <c:v>25.445676768887648</c:v>
                </c:pt>
                <c:pt idx="40">
                  <c:v>25.22971941381147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A0-42FD-A07B-2BF65A6121F7}"/>
            </c:ext>
          </c:extLst>
        </c:ser>
        <c:ser>
          <c:idx val="1"/>
          <c:order val="1"/>
          <c:tx>
            <c:strRef>
              <c:f>tech_cost!$A$21</c:f>
              <c:strCache>
                <c:ptCount val="1"/>
                <c:pt idx="0">
                  <c:v>Fuel and variable costs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</c:spPr>
          <c:invertIfNegative val="0"/>
          <c:cat>
            <c:numRef>
              <c:f>tech_cost!$J$18:$AX$18</c:f>
              <c:numCache>
                <c:formatCode>General</c:formatCode>
                <c:ptCount val="4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  <c:pt idx="21">
                  <c:v>2031</c:v>
                </c:pt>
                <c:pt idx="22">
                  <c:v>2032</c:v>
                </c:pt>
                <c:pt idx="23">
                  <c:v>2033</c:v>
                </c:pt>
                <c:pt idx="24">
                  <c:v>2034</c:v>
                </c:pt>
                <c:pt idx="25">
                  <c:v>2035</c:v>
                </c:pt>
                <c:pt idx="26">
                  <c:v>2036</c:v>
                </c:pt>
                <c:pt idx="27">
                  <c:v>2037</c:v>
                </c:pt>
                <c:pt idx="28">
                  <c:v>2038</c:v>
                </c:pt>
                <c:pt idx="29">
                  <c:v>2039</c:v>
                </c:pt>
                <c:pt idx="30">
                  <c:v>2040</c:v>
                </c:pt>
                <c:pt idx="31">
                  <c:v>2041</c:v>
                </c:pt>
                <c:pt idx="32">
                  <c:v>2042</c:v>
                </c:pt>
                <c:pt idx="33">
                  <c:v>2043</c:v>
                </c:pt>
                <c:pt idx="34">
                  <c:v>2044</c:v>
                </c:pt>
                <c:pt idx="35">
                  <c:v>2045</c:v>
                </c:pt>
                <c:pt idx="36">
                  <c:v>2046</c:v>
                </c:pt>
                <c:pt idx="37">
                  <c:v>2047</c:v>
                </c:pt>
                <c:pt idx="38">
                  <c:v>2048</c:v>
                </c:pt>
                <c:pt idx="39">
                  <c:v>2049</c:v>
                </c:pt>
                <c:pt idx="40">
                  <c:v>2050</c:v>
                </c:pt>
              </c:numCache>
            </c:numRef>
          </c:cat>
          <c:val>
            <c:numRef>
              <c:f>tech_cost!$J$21:$AX$21</c:f>
              <c:numCache>
                <c:formatCode>0.00</c:formatCode>
                <c:ptCount val="41"/>
                <c:pt idx="0">
                  <c:v>0.59518441698980962</c:v>
                </c:pt>
                <c:pt idx="1">
                  <c:v>0.58055189827757236</c:v>
                </c:pt>
                <c:pt idx="2">
                  <c:v>0.57030901456398231</c:v>
                </c:pt>
                <c:pt idx="3">
                  <c:v>0.56284372933199567</c:v>
                </c:pt>
                <c:pt idx="4">
                  <c:v>0.55517210749391288</c:v>
                </c:pt>
                <c:pt idx="5">
                  <c:v>0.54423302371719728</c:v>
                </c:pt>
                <c:pt idx="6">
                  <c:v>0.53419597623468285</c:v>
                </c:pt>
                <c:pt idx="7">
                  <c:v>0.52775553743340275</c:v>
                </c:pt>
                <c:pt idx="8">
                  <c:v>0.5210428003708697</c:v>
                </c:pt>
                <c:pt idx="9">
                  <c:v>0.51588396076323728</c:v>
                </c:pt>
                <c:pt idx="10">
                  <c:v>0.51077619877548242</c:v>
                </c:pt>
                <c:pt idx="11">
                  <c:v>0.50683325499767995</c:v>
                </c:pt>
                <c:pt idx="12">
                  <c:v>0.502785254584876</c:v>
                </c:pt>
                <c:pt idx="13">
                  <c:v>0.49863659040222702</c:v>
                </c:pt>
                <c:pt idx="14">
                  <c:v>0.49439241521776411</c:v>
                </c:pt>
                <c:pt idx="15">
                  <c:v>0.49005865651565328</c:v>
                </c:pt>
                <c:pt idx="16">
                  <c:v>0.48564202301157394</c:v>
                </c:pt>
                <c:pt idx="17">
                  <c:v>0.48115000184645323</c:v>
                </c:pt>
                <c:pt idx="18">
                  <c:v>0.47659084552009257</c:v>
                </c:pt>
                <c:pt idx="19">
                  <c:v>0.47197354775120809</c:v>
                </c:pt>
                <c:pt idx="20">
                  <c:v>0.46730780761672236</c:v>
                </c:pt>
                <c:pt idx="21">
                  <c:v>0.46260398153087384</c:v>
                </c:pt>
                <c:pt idx="22">
                  <c:v>0.45787302287208109</c:v>
                </c:pt>
                <c:pt idx="23">
                  <c:v>0.45312640934864801</c:v>
                </c:pt>
                <c:pt idx="24">
                  <c:v>0.44837605850720946</c:v>
                </c:pt>
                <c:pt idx="25">
                  <c:v>0.4436342321219226</c:v>
                </c:pt>
                <c:pt idx="26">
                  <c:v>0.43891343054727228</c:v>
                </c:pt>
                <c:pt idx="27">
                  <c:v>0.43422627846055767</c:v>
                </c:pt>
                <c:pt idx="28">
                  <c:v>0.42958540374780962</c:v>
                </c:pt>
                <c:pt idx="29">
                  <c:v>0.4250033115843545</c:v>
                </c:pt>
                <c:pt idx="30">
                  <c:v>0.42049225601369994</c:v>
                </c:pt>
                <c:pt idx="31">
                  <c:v>0.41606411152183703</c:v>
                </c:pt>
                <c:pt idx="32">
                  <c:v>0.41173024722603774</c:v>
                </c:pt>
                <c:pt idx="33">
                  <c:v>0.4075014063379292</c:v>
                </c:pt>
                <c:pt idx="34">
                  <c:v>0.40338759351350562</c:v>
                </c:pt>
                <c:pt idx="35">
                  <c:v>0.39939797256524473</c:v>
                </c:pt>
                <c:pt idx="36">
                  <c:v>0.39554077678544591</c:v>
                </c:pt>
                <c:pt idx="37">
                  <c:v>0.39182323382164869</c:v>
                </c:pt>
                <c:pt idx="38">
                  <c:v>0.38825150666523467</c:v>
                </c:pt>
                <c:pt idx="39">
                  <c:v>0.38483065187765636</c:v>
                </c:pt>
                <c:pt idx="40">
                  <c:v>0.38156459570290552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9A0-42FD-A07B-2BF65A6121F7}"/>
            </c:ext>
          </c:extLst>
        </c:ser>
        <c:ser>
          <c:idx val="2"/>
          <c:order val="2"/>
          <c:tx>
            <c:strRef>
              <c:f>tech_cost!$A$22</c:f>
              <c:strCache>
                <c:ptCount val="1"/>
                <c:pt idx="0">
                  <c:v>CO2 emission related costs</c:v>
                </c:pt>
              </c:strCache>
            </c:strRef>
          </c:tx>
          <c:spPr>
            <a:solidFill>
              <a:schemeClr val="bg2">
                <a:lumMod val="50000"/>
              </a:schemeClr>
            </a:solidFill>
          </c:spPr>
          <c:invertIfNegative val="0"/>
          <c:cat>
            <c:numRef>
              <c:f>tech_cost!$J$18:$AX$18</c:f>
              <c:numCache>
                <c:formatCode>General</c:formatCode>
                <c:ptCount val="4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  <c:pt idx="21">
                  <c:v>2031</c:v>
                </c:pt>
                <c:pt idx="22">
                  <c:v>2032</c:v>
                </c:pt>
                <c:pt idx="23">
                  <c:v>2033</c:v>
                </c:pt>
                <c:pt idx="24">
                  <c:v>2034</c:v>
                </c:pt>
                <c:pt idx="25">
                  <c:v>2035</c:v>
                </c:pt>
                <c:pt idx="26">
                  <c:v>2036</c:v>
                </c:pt>
                <c:pt idx="27">
                  <c:v>2037</c:v>
                </c:pt>
                <c:pt idx="28">
                  <c:v>2038</c:v>
                </c:pt>
                <c:pt idx="29">
                  <c:v>2039</c:v>
                </c:pt>
                <c:pt idx="30">
                  <c:v>2040</c:v>
                </c:pt>
                <c:pt idx="31">
                  <c:v>2041</c:v>
                </c:pt>
                <c:pt idx="32">
                  <c:v>2042</c:v>
                </c:pt>
                <c:pt idx="33">
                  <c:v>2043</c:v>
                </c:pt>
                <c:pt idx="34">
                  <c:v>2044</c:v>
                </c:pt>
                <c:pt idx="35">
                  <c:v>2045</c:v>
                </c:pt>
                <c:pt idx="36">
                  <c:v>2046</c:v>
                </c:pt>
                <c:pt idx="37">
                  <c:v>2047</c:v>
                </c:pt>
                <c:pt idx="38">
                  <c:v>2048</c:v>
                </c:pt>
                <c:pt idx="39">
                  <c:v>2049</c:v>
                </c:pt>
                <c:pt idx="40">
                  <c:v>2050</c:v>
                </c:pt>
              </c:numCache>
            </c:numRef>
          </c:cat>
          <c:val>
            <c:numRef>
              <c:f>tech_cost!$J$22:$AX$22</c:f>
              <c:numCache>
                <c:formatCode>0.00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9A0-42FD-A07B-2BF65A6121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5"/>
        <c:overlap val="100"/>
        <c:axId val="170358656"/>
        <c:axId val="170360192"/>
      </c:barChart>
      <c:catAx>
        <c:axId val="1703586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0360192"/>
        <c:crosses val="autoZero"/>
        <c:auto val="1"/>
        <c:lblAlgn val="ctr"/>
        <c:lblOffset val="100"/>
        <c:tickLblSkip val="5"/>
        <c:noMultiLvlLbl val="0"/>
      </c:catAx>
      <c:valAx>
        <c:axId val="170360192"/>
        <c:scaling>
          <c:orientation val="minMax"/>
        </c:scaling>
        <c:delete val="0"/>
        <c:axPos val="l"/>
        <c:majorGridlines/>
        <c:numFmt formatCode="0" sourceLinked="0"/>
        <c:majorTickMark val="out"/>
        <c:minorTickMark val="none"/>
        <c:tickLblPos val="nextTo"/>
        <c:crossAx val="170358656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tech_cost!$A$11</c:f>
          <c:strCache>
            <c:ptCount val="1"/>
            <c:pt idx="0">
              <c:v>Levelized costs (€2010 / MWh net)</c:v>
            </c:pt>
          </c:strCache>
        </c:strRef>
      </c:tx>
      <c:layout>
        <c:manualLayout>
          <c:xMode val="edge"/>
          <c:yMode val="edge"/>
          <c:x val="0.76627824434567038"/>
          <c:y val="2.3779190025686341E-2"/>
        </c:manualLayout>
      </c:layout>
      <c:overlay val="0"/>
      <c:txPr>
        <a:bodyPr/>
        <a:lstStyle/>
        <a:p>
          <a:pPr algn="r">
            <a:defRPr sz="1050" b="0">
              <a:solidFill>
                <a:schemeClr val="accent2">
                  <a:lumMod val="50000"/>
                </a:schemeClr>
              </a:solidFill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0728395061728398E-2"/>
          <c:y val="0.11614333333333333"/>
          <c:w val="0.91771296296296301"/>
          <c:h val="0.62676861111111115"/>
        </c:manualLayout>
      </c:layout>
      <c:areaChart>
        <c:grouping val="stacked"/>
        <c:varyColors val="0"/>
        <c:ser>
          <c:idx val="1"/>
          <c:order val="0"/>
          <c:tx>
            <c:strRef>
              <c:f>tech_cost!$B$110</c:f>
              <c:strCache>
                <c:ptCount val="1"/>
              </c:strCache>
            </c:strRef>
          </c:tx>
          <c:spPr>
            <a:noFill/>
          </c:spPr>
          <c:cat>
            <c:numRef>
              <c:f>tech_cost!$J$10:$AX$10</c:f>
              <c:numCache>
                <c:formatCode>General</c:formatCode>
                <c:ptCount val="4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  <c:pt idx="21">
                  <c:v>2031</c:v>
                </c:pt>
                <c:pt idx="22">
                  <c:v>2032</c:v>
                </c:pt>
                <c:pt idx="23">
                  <c:v>2033</c:v>
                </c:pt>
                <c:pt idx="24">
                  <c:v>2034</c:v>
                </c:pt>
                <c:pt idx="25">
                  <c:v>2035</c:v>
                </c:pt>
                <c:pt idx="26">
                  <c:v>2036</c:v>
                </c:pt>
                <c:pt idx="27">
                  <c:v>2037</c:v>
                </c:pt>
                <c:pt idx="28">
                  <c:v>2038</c:v>
                </c:pt>
                <c:pt idx="29">
                  <c:v>2039</c:v>
                </c:pt>
                <c:pt idx="30">
                  <c:v>2040</c:v>
                </c:pt>
                <c:pt idx="31">
                  <c:v>2041</c:v>
                </c:pt>
                <c:pt idx="32">
                  <c:v>2042</c:v>
                </c:pt>
                <c:pt idx="33">
                  <c:v>2043</c:v>
                </c:pt>
                <c:pt idx="34">
                  <c:v>2044</c:v>
                </c:pt>
                <c:pt idx="35">
                  <c:v>2045</c:v>
                </c:pt>
                <c:pt idx="36">
                  <c:v>2046</c:v>
                </c:pt>
                <c:pt idx="37">
                  <c:v>2047</c:v>
                </c:pt>
                <c:pt idx="38">
                  <c:v>2048</c:v>
                </c:pt>
                <c:pt idx="39">
                  <c:v>2049</c:v>
                </c:pt>
                <c:pt idx="40">
                  <c:v>2050</c:v>
                </c:pt>
              </c:numCache>
            </c:numRef>
          </c:cat>
          <c:val>
            <c:numRef>
              <c:f>tech_cost!$J$64:$AX$64</c:f>
              <c:numCache>
                <c:formatCode>0.000</c:formatCode>
                <c:ptCount val="41"/>
                <c:pt idx="0">
                  <c:v>36.793907559603021</c:v>
                </c:pt>
                <c:pt idx="1">
                  <c:v>35.005996199669717</c:v>
                </c:pt>
                <c:pt idx="2">
                  <c:v>33.832679369713496</c:v>
                </c:pt>
                <c:pt idx="3">
                  <c:v>33.078404264741629</c:v>
                </c:pt>
                <c:pt idx="4">
                  <c:v>32.647370451367465</c:v>
                </c:pt>
                <c:pt idx="5">
                  <c:v>32.324129159769761</c:v>
                </c:pt>
                <c:pt idx="6">
                  <c:v>31.803541195923092</c:v>
                </c:pt>
                <c:pt idx="7">
                  <c:v>31.461905344648713</c:v>
                </c:pt>
                <c:pt idx="8">
                  <c:v>31.242282297400898</c:v>
                </c:pt>
                <c:pt idx="9">
                  <c:v>31.077565011965039</c:v>
                </c:pt>
                <c:pt idx="10">
                  <c:v>31.02265925015308</c:v>
                </c:pt>
                <c:pt idx="11">
                  <c:v>30.75002936145702</c:v>
                </c:pt>
                <c:pt idx="12">
                  <c:v>30.472321038493874</c:v>
                </c:pt>
                <c:pt idx="13">
                  <c:v>30.189810974613245</c:v>
                </c:pt>
                <c:pt idx="14">
                  <c:v>29.90280531156117</c:v>
                </c:pt>
                <c:pt idx="15">
                  <c:v>29.611639527519088</c:v>
                </c:pt>
                <c:pt idx="16">
                  <c:v>29.316678056552021</c:v>
                </c:pt>
                <c:pt idx="17">
                  <c:v>29.018313621394547</c:v>
                </c:pt>
                <c:pt idx="18">
                  <c:v>28.716966264397129</c:v>
                </c:pt>
                <c:pt idx="19">
                  <c:v>28.413082064981278</c:v>
                </c:pt>
                <c:pt idx="20">
                  <c:v>28.107131536096425</c:v>
                </c:pt>
                <c:pt idx="21">
                  <c:v>27.799607696898732</c:v>
                </c:pt>
                <c:pt idx="22">
                  <c:v>27.491023824126064</c:v>
                </c:pt>
                <c:pt idx="23">
                  <c:v>27.181910890339406</c:v>
                </c:pt>
                <c:pt idx="24">
                  <c:v>26.872814703236713</c:v>
                </c:pt>
                <c:pt idx="25">
                  <c:v>26.564292766488695</c:v>
                </c:pt>
                <c:pt idx="26">
                  <c:v>26.256910888849063</c:v>
                </c:pt>
                <c:pt idx="27">
                  <c:v>25.951239574486834</c:v>
                </c:pt>
                <c:pt idx="28">
                  <c:v>25.647850233394443</c:v>
                </c:pt>
                <c:pt idx="29">
                  <c:v>25.347311256155667</c:v>
                </c:pt>
                <c:pt idx="30">
                  <c:v>25.050184002123878</c:v>
                </c:pt>
                <c:pt idx="31">
                  <c:v>24.757018753982589</c:v>
                </c:pt>
                <c:pt idx="32">
                  <c:v>24.4683506945712</c:v>
                </c:pt>
                <c:pt idx="33">
                  <c:v>24.184695963615976</c:v>
                </c:pt>
                <c:pt idx="34">
                  <c:v>23.906547852497262</c:v>
                </c:pt>
                <c:pt idx="35">
                  <c:v>23.634373194332813</c:v>
                </c:pt>
                <c:pt idx="36">
                  <c:v>23.368609004431775</c:v>
                </c:pt>
                <c:pt idx="37">
                  <c:v>23.109659422586279</c:v>
                </c:pt>
                <c:pt idx="38">
                  <c:v>22.857893003780152</c:v>
                </c:pt>
                <c:pt idx="39">
                  <c:v>22.613640397815036</c:v>
                </c:pt>
                <c:pt idx="40">
                  <c:v>22.377192451235903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E8-48B7-8193-EE142FC7B215}"/>
            </c:ext>
          </c:extLst>
        </c:ser>
        <c:ser>
          <c:idx val="0"/>
          <c:order val="1"/>
          <c:tx>
            <c:strRef>
              <c:f>tech_cost!$A$110</c:f>
              <c:strCache>
                <c:ptCount val="1"/>
                <c:pt idx="0">
                  <c:v>range of values (different sizes)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  <a:alpha val="50000"/>
              </a:schemeClr>
            </a:solidFill>
          </c:spPr>
          <c:cat>
            <c:numRef>
              <c:f>tech_cost!$J$10:$AX$10</c:f>
              <c:numCache>
                <c:formatCode>General</c:formatCode>
                <c:ptCount val="4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  <c:pt idx="21">
                  <c:v>2031</c:v>
                </c:pt>
                <c:pt idx="22">
                  <c:v>2032</c:v>
                </c:pt>
                <c:pt idx="23">
                  <c:v>2033</c:v>
                </c:pt>
                <c:pt idx="24">
                  <c:v>2034</c:v>
                </c:pt>
                <c:pt idx="25">
                  <c:v>2035</c:v>
                </c:pt>
                <c:pt idx="26">
                  <c:v>2036</c:v>
                </c:pt>
                <c:pt idx="27">
                  <c:v>2037</c:v>
                </c:pt>
                <c:pt idx="28">
                  <c:v>2038</c:v>
                </c:pt>
                <c:pt idx="29">
                  <c:v>2039</c:v>
                </c:pt>
                <c:pt idx="30">
                  <c:v>2040</c:v>
                </c:pt>
                <c:pt idx="31">
                  <c:v>2041</c:v>
                </c:pt>
                <c:pt idx="32">
                  <c:v>2042</c:v>
                </c:pt>
                <c:pt idx="33">
                  <c:v>2043</c:v>
                </c:pt>
                <c:pt idx="34">
                  <c:v>2044</c:v>
                </c:pt>
                <c:pt idx="35">
                  <c:v>2045</c:v>
                </c:pt>
                <c:pt idx="36">
                  <c:v>2046</c:v>
                </c:pt>
                <c:pt idx="37">
                  <c:v>2047</c:v>
                </c:pt>
                <c:pt idx="38">
                  <c:v>2048</c:v>
                </c:pt>
                <c:pt idx="39">
                  <c:v>2049</c:v>
                </c:pt>
                <c:pt idx="40">
                  <c:v>2050</c:v>
                </c:pt>
              </c:numCache>
            </c:numRef>
          </c:cat>
          <c:val>
            <c:numRef>
              <c:f>tech_cost!$J$66:$AX$66</c:f>
              <c:numCache>
                <c:formatCode>0.000</c:formatCode>
                <c:ptCount val="41"/>
                <c:pt idx="0">
                  <c:v>14.816099458631932</c:v>
                </c:pt>
                <c:pt idx="1">
                  <c:v>16.126758440470802</c:v>
                </c:pt>
                <c:pt idx="2">
                  <c:v>16.894259757410033</c:v>
                </c:pt>
                <c:pt idx="3">
                  <c:v>17.245940107404721</c:v>
                </c:pt>
                <c:pt idx="4">
                  <c:v>17.277574362269789</c:v>
                </c:pt>
                <c:pt idx="5">
                  <c:v>17.204585933124335</c:v>
                </c:pt>
                <c:pt idx="6">
                  <c:v>17.341855469823496</c:v>
                </c:pt>
                <c:pt idx="7">
                  <c:v>17.196903235298386</c:v>
                </c:pt>
                <c:pt idx="8">
                  <c:v>16.934755900566536</c:v>
                </c:pt>
                <c:pt idx="9">
                  <c:v>16.622472807804694</c:v>
                </c:pt>
                <c:pt idx="10">
                  <c:v>16.205100967440725</c:v>
                </c:pt>
                <c:pt idx="11">
                  <c:v>16.236780904610232</c:v>
                </c:pt>
                <c:pt idx="12">
                  <c:v>16.264937208881186</c:v>
                </c:pt>
                <c:pt idx="13">
                  <c:v>16.289540760995266</c:v>
                </c:pt>
                <c:pt idx="14">
                  <c:v>16.310606301774637</c:v>
                </c:pt>
                <c:pt idx="15">
                  <c:v>16.328196012690157</c:v>
                </c:pt>
                <c:pt idx="16">
                  <c:v>16.342422495125419</c:v>
                </c:pt>
                <c:pt idx="17">
                  <c:v>16.353450987109788</c:v>
                </c:pt>
                <c:pt idx="18">
                  <c:v>16.361500657494275</c:v>
                </c:pt>
                <c:pt idx="19">
                  <c:v>16.36684482574768</c:v>
                </c:pt>
                <c:pt idx="20">
                  <c:v>16.369809971682677</c:v>
                </c:pt>
                <c:pt idx="21">
                  <c:v>16.370773424110652</c:v>
                </c:pt>
                <c:pt idx="22">
                  <c:v>16.370159650883952</c:v>
                </c:pt>
                <c:pt idx="23">
                  <c:v>16.368435114708088</c:v>
                </c:pt>
                <c:pt idx="24">
                  <c:v>16.366101708577823</c:v>
                </c:pt>
                <c:pt idx="25">
                  <c:v>16.363688840136899</c:v>
                </c:pt>
                <c:pt idx="26">
                  <c:v>16.361744293444282</c:v>
                </c:pt>
                <c:pt idx="27">
                  <c:v>16.360824056707081</c:v>
                </c:pt>
                <c:pt idx="28">
                  <c:v>16.361481362185849</c:v>
                </c:pt>
                <c:pt idx="29">
                  <c:v>16.364255236075724</c:v>
                </c:pt>
                <c:pt idx="30">
                  <c:v>16.369658898053572</c:v>
                </c:pt>
                <c:pt idx="31">
                  <c:v>16.378168378945052</c:v>
                </c:pt>
                <c:pt idx="32">
                  <c:v>16.390211737751315</c:v>
                </c:pt>
                <c:pt idx="33">
                  <c:v>16.40615925407835</c:v>
                </c:pt>
                <c:pt idx="34">
                  <c:v>16.426314947932042</c:v>
                </c:pt>
                <c:pt idx="35">
                  <c:v>16.450909736242568</c:v>
                </c:pt>
                <c:pt idx="36">
                  <c:v>16.480096476055877</c:v>
                </c:pt>
                <c:pt idx="37">
                  <c:v>16.513947071036657</c:v>
                </c:pt>
                <c:pt idx="38">
                  <c:v>16.552451734802215</c:v>
                </c:pt>
                <c:pt idx="39">
                  <c:v>16.595520416467306</c:v>
                </c:pt>
                <c:pt idx="40">
                  <c:v>16.642986305844712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4E8-48B7-8193-EE142FC7B2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0262912"/>
        <c:axId val="170264448"/>
      </c:areaChart>
      <c:lineChart>
        <c:grouping val="standard"/>
        <c:varyColors val="0"/>
        <c:ser>
          <c:idx val="2"/>
          <c:order val="2"/>
          <c:tx>
            <c:strRef>
              <c:f>tech_cost!$I$19</c:f>
              <c:strCache>
                <c:ptCount val="1"/>
                <c:pt idx="0">
                  <c:v>Wind power plants / Onshore / Electricity only / M</c:v>
                </c:pt>
              </c:strCache>
            </c:strRef>
          </c:tx>
          <c:spPr>
            <a:ln>
              <a:solidFill>
                <a:schemeClr val="accent2">
                  <a:lumMod val="50000"/>
                </a:schemeClr>
              </a:solidFill>
            </a:ln>
          </c:spPr>
          <c:marker>
            <c:symbol val="none"/>
          </c:marker>
          <c:cat>
            <c:numRef>
              <c:f>tech_cost!$J$10:$AX$10</c:f>
              <c:numCache>
                <c:formatCode>General</c:formatCode>
                <c:ptCount val="4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  <c:pt idx="21">
                  <c:v>2031</c:v>
                </c:pt>
                <c:pt idx="22">
                  <c:v>2032</c:v>
                </c:pt>
                <c:pt idx="23">
                  <c:v>2033</c:v>
                </c:pt>
                <c:pt idx="24">
                  <c:v>2034</c:v>
                </c:pt>
                <c:pt idx="25">
                  <c:v>2035</c:v>
                </c:pt>
                <c:pt idx="26">
                  <c:v>2036</c:v>
                </c:pt>
                <c:pt idx="27">
                  <c:v>2037</c:v>
                </c:pt>
                <c:pt idx="28">
                  <c:v>2038</c:v>
                </c:pt>
                <c:pt idx="29">
                  <c:v>2039</c:v>
                </c:pt>
                <c:pt idx="30">
                  <c:v>2040</c:v>
                </c:pt>
                <c:pt idx="31">
                  <c:v>2041</c:v>
                </c:pt>
                <c:pt idx="32">
                  <c:v>2042</c:v>
                </c:pt>
                <c:pt idx="33">
                  <c:v>2043</c:v>
                </c:pt>
                <c:pt idx="34">
                  <c:v>2044</c:v>
                </c:pt>
                <c:pt idx="35">
                  <c:v>2045</c:v>
                </c:pt>
                <c:pt idx="36">
                  <c:v>2046</c:v>
                </c:pt>
                <c:pt idx="37">
                  <c:v>2047</c:v>
                </c:pt>
                <c:pt idx="38">
                  <c:v>2048</c:v>
                </c:pt>
                <c:pt idx="39">
                  <c:v>2049</c:v>
                </c:pt>
                <c:pt idx="40">
                  <c:v>2050</c:v>
                </c:pt>
              </c:numCache>
            </c:numRef>
          </c:cat>
          <c:val>
            <c:numRef>
              <c:f>tech_cost!$J$19:$AX$19</c:f>
              <c:numCache>
                <c:formatCode>0.00</c:formatCode>
                <c:ptCount val="41"/>
                <c:pt idx="0">
                  <c:v>39.949820589308871</c:v>
                </c:pt>
                <c:pt idx="1">
                  <c:v>38.967660303123829</c:v>
                </c:pt>
                <c:pt idx="2">
                  <c:v>38.280140006902649</c:v>
                </c:pt>
                <c:pt idx="3">
                  <c:v>37.779056985989151</c:v>
                </c:pt>
                <c:pt idx="4">
                  <c:v>37.264124290656703</c:v>
                </c:pt>
                <c:pt idx="5">
                  <c:v>36.529873826739255</c:v>
                </c:pt>
                <c:pt idx="6">
                  <c:v>35.85616961888919</c:v>
                </c:pt>
                <c:pt idx="7">
                  <c:v>35.423876085518721</c:v>
                </c:pt>
                <c:pt idx="8">
                  <c:v>34.973305415897194</c:v>
                </c:pt>
                <c:pt idx="9">
                  <c:v>34.627035065244741</c:v>
                </c:pt>
                <c:pt idx="10">
                  <c:v>34.284193133905681</c:v>
                </c:pt>
                <c:pt idx="11">
                  <c:v>34.019535841106226</c:v>
                </c:pt>
                <c:pt idx="12">
                  <c:v>33.747826962949013</c:v>
                </c:pt>
                <c:pt idx="13">
                  <c:v>33.469361356237805</c:v>
                </c:pt>
                <c:pt idx="14">
                  <c:v>33.184484883788443</c:v>
                </c:pt>
                <c:pt idx="15">
                  <c:v>32.893595408720657</c:v>
                </c:pt>
                <c:pt idx="16">
                  <c:v>32.597143231781828</c:v>
                </c:pt>
                <c:pt idx="17">
                  <c:v>32.295630902985387</c:v>
                </c:pt>
                <c:pt idx="18">
                  <c:v>31.989612344573032</c:v>
                </c:pt>
                <c:pt idx="19">
                  <c:v>31.679691230698321</c:v>
                </c:pt>
                <c:pt idx="20">
                  <c:v>31.366518580393144</c:v>
                </c:pt>
                <c:pt idx="21">
                  <c:v>31.050789534321396</c:v>
                </c:pt>
                <c:pt idx="22">
                  <c:v>30.733239302428405</c:v>
                </c:pt>
                <c:pt idx="23">
                  <c:v>30.414638288599807</c:v>
                </c:pt>
                <c:pt idx="24">
                  <c:v>30.095786419440419</c:v>
                </c:pt>
                <c:pt idx="25">
                  <c:v>29.777506726709305</c:v>
                </c:pt>
                <c:pt idx="26">
                  <c:v>29.460638256095041</c:v>
                </c:pt>
                <c:pt idx="27">
                  <c:v>29.146028398051222</c:v>
                </c:pt>
                <c:pt idx="28">
                  <c:v>28.834524758407177</c:v>
                </c:pt>
                <c:pt idx="29">
                  <c:v>28.526966706434784</c:v>
                </c:pt>
                <c:pt idx="30">
                  <c:v>28.224176754998378</c:v>
                </c:pt>
                <c:pt idx="31">
                  <c:v>27.92695194039694</c:v>
                </c:pt>
                <c:pt idx="32">
                  <c:v>27.636055377695843</c:v>
                </c:pt>
                <c:pt idx="33">
                  <c:v>27.352208170077226</c:v>
                </c:pt>
                <c:pt idx="34">
                  <c:v>27.076081847575519</c:v>
                </c:pt>
                <c:pt idx="35">
                  <c:v>26.808291501335489</c:v>
                </c:pt>
                <c:pt idx="36">
                  <c:v>26.549389764357656</c:v>
                </c:pt>
                <c:pt idx="37">
                  <c:v>26.29986176900476</c:v>
                </c:pt>
                <c:pt idx="38">
                  <c:v>26.060121186053404</c:v>
                </c:pt>
                <c:pt idx="39">
                  <c:v>25.830507420765304</c:v>
                </c:pt>
                <c:pt idx="40">
                  <c:v>25.611284009514375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4E8-48B7-8193-EE142FC7B2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0262912"/>
        <c:axId val="170264448"/>
      </c:lineChart>
      <c:catAx>
        <c:axId val="1702629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0264448"/>
        <c:crosses val="autoZero"/>
        <c:auto val="1"/>
        <c:lblAlgn val="ctr"/>
        <c:lblOffset val="100"/>
        <c:tickLblSkip val="5"/>
        <c:noMultiLvlLbl val="0"/>
      </c:catAx>
      <c:valAx>
        <c:axId val="170264448"/>
        <c:scaling>
          <c:orientation val="minMax"/>
        </c:scaling>
        <c:delete val="0"/>
        <c:axPos val="l"/>
        <c:majorGridlines/>
        <c:numFmt formatCode="0" sourceLinked="0"/>
        <c:majorTickMark val="out"/>
        <c:minorTickMark val="none"/>
        <c:tickLblPos val="nextTo"/>
        <c:crossAx val="170262912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"/>
          <c:y val="0.85271972222222225"/>
          <c:w val="1"/>
          <c:h val="0.12611361111111111"/>
        </c:manualLayout>
      </c:layout>
      <c:overlay val="0"/>
    </c:legend>
    <c:plotVisOnly val="1"/>
    <c:dispBlanksAs val="zero"/>
    <c:showDLblsOverMax val="0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4711574074074072E-2"/>
          <c:y val="0.12736166666666668"/>
          <c:w val="0.92764953703703701"/>
          <c:h val="0.75901027777777774"/>
        </c:manualLayout>
      </c:layout>
      <c:barChart>
        <c:barDir val="col"/>
        <c:grouping val="clustered"/>
        <c:varyColors val="0"/>
        <c:ser>
          <c:idx val="5"/>
          <c:order val="0"/>
          <c:tx>
            <c:strRef>
              <c:f>tech_cost!$A$104</c:f>
              <c:strCache>
                <c:ptCount val="1"/>
                <c:pt idx="0">
                  <c:v>Difference in Levelized costs (€2010 / MWh net)</c:v>
                </c:pt>
              </c:strCache>
            </c:strRef>
          </c:tx>
          <c:spPr>
            <a:ln>
              <a:solidFill>
                <a:schemeClr val="accent5">
                  <a:lumMod val="50000"/>
                </a:schemeClr>
              </a:solidFill>
            </a:ln>
          </c:spPr>
          <c:invertIfNegative val="0"/>
          <c:cat>
            <c:numRef>
              <c:f>tech_cost!$J$103:$AX$103</c:f>
              <c:numCache>
                <c:formatCode>General</c:formatCode>
                <c:ptCount val="4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  <c:pt idx="21">
                  <c:v>2031</c:v>
                </c:pt>
                <c:pt idx="22">
                  <c:v>2032</c:v>
                </c:pt>
                <c:pt idx="23">
                  <c:v>2033</c:v>
                </c:pt>
                <c:pt idx="24">
                  <c:v>2034</c:v>
                </c:pt>
                <c:pt idx="25">
                  <c:v>2035</c:v>
                </c:pt>
                <c:pt idx="26">
                  <c:v>2036</c:v>
                </c:pt>
                <c:pt idx="27">
                  <c:v>2037</c:v>
                </c:pt>
                <c:pt idx="28">
                  <c:v>2038</c:v>
                </c:pt>
                <c:pt idx="29">
                  <c:v>2039</c:v>
                </c:pt>
                <c:pt idx="30">
                  <c:v>2040</c:v>
                </c:pt>
                <c:pt idx="31">
                  <c:v>2041</c:v>
                </c:pt>
                <c:pt idx="32">
                  <c:v>2042</c:v>
                </c:pt>
                <c:pt idx="33">
                  <c:v>2043</c:v>
                </c:pt>
                <c:pt idx="34">
                  <c:v>2044</c:v>
                </c:pt>
                <c:pt idx="35">
                  <c:v>2045</c:v>
                </c:pt>
                <c:pt idx="36">
                  <c:v>2046</c:v>
                </c:pt>
                <c:pt idx="37">
                  <c:v>2047</c:v>
                </c:pt>
                <c:pt idx="38">
                  <c:v>2048</c:v>
                </c:pt>
                <c:pt idx="39">
                  <c:v>2049</c:v>
                </c:pt>
                <c:pt idx="40">
                  <c:v>2050</c:v>
                </c:pt>
              </c:numCache>
            </c:numRef>
          </c:cat>
          <c:val>
            <c:numRef>
              <c:f>tech_cost!$J$104:$AX$104</c:f>
              <c:numCache>
                <c:formatCode>0.00</c:formatCode>
                <c:ptCount val="41"/>
                <c:pt idx="0">
                  <c:v>-3.1559130297058502</c:v>
                </c:pt>
                <c:pt idx="1">
                  <c:v>-3.9616641034541118</c:v>
                </c:pt>
                <c:pt idx="2">
                  <c:v>-4.4474606371891525</c:v>
                </c:pt>
                <c:pt idx="3">
                  <c:v>-4.700652721247522</c:v>
                </c:pt>
                <c:pt idx="4">
                  <c:v>-4.6167538392892382</c:v>
                </c:pt>
                <c:pt idx="5">
                  <c:v>-4.205744666969494</c:v>
                </c:pt>
                <c:pt idx="6">
                  <c:v>-4.052628422966098</c:v>
                </c:pt>
                <c:pt idx="7">
                  <c:v>-3.961970740870008</c:v>
                </c:pt>
                <c:pt idx="8">
                  <c:v>-3.7310231184962959</c:v>
                </c:pt>
                <c:pt idx="9">
                  <c:v>-3.5494700532797019</c:v>
                </c:pt>
                <c:pt idx="10">
                  <c:v>-3.2615338837526018</c:v>
                </c:pt>
                <c:pt idx="11">
                  <c:v>-3.2695064796492055</c:v>
                </c:pt>
                <c:pt idx="12">
                  <c:v>-3.275505924455139</c:v>
                </c:pt>
                <c:pt idx="13">
                  <c:v>-3.2795503816245599</c:v>
                </c:pt>
                <c:pt idx="14">
                  <c:v>-3.2816795722272722</c:v>
                </c:pt>
                <c:pt idx="15">
                  <c:v>-3.2819558812015686</c:v>
                </c:pt>
                <c:pt idx="16">
                  <c:v>-3.2804651752298071</c:v>
                </c:pt>
                <c:pt idx="17">
                  <c:v>-3.2773172815908396</c:v>
                </c:pt>
                <c:pt idx="18">
                  <c:v>-3.2726460801759032</c:v>
                </c:pt>
                <c:pt idx="19">
                  <c:v>-3.2666091657170426</c:v>
                </c:pt>
                <c:pt idx="20">
                  <c:v>-3.2593870442967194</c:v>
                </c:pt>
                <c:pt idx="21">
                  <c:v>-3.2511818374226635</c:v>
                </c:pt>
                <c:pt idx="22">
                  <c:v>-3.2422154783023416</c:v>
                </c:pt>
                <c:pt idx="23">
                  <c:v>-3.2327273982604012</c:v>
                </c:pt>
                <c:pt idx="24">
                  <c:v>-3.2229717162037055</c:v>
                </c:pt>
                <c:pt idx="25">
                  <c:v>-3.2132139602206102</c:v>
                </c:pt>
                <c:pt idx="26">
                  <c:v>-3.2037273672459783</c:v>
                </c:pt>
                <c:pt idx="27">
                  <c:v>-3.1947888235643873</c:v>
                </c:pt>
                <c:pt idx="28">
                  <c:v>-3.1866745250127337</c:v>
                </c:pt>
                <c:pt idx="29">
                  <c:v>-3.1796554502791174</c:v>
                </c:pt>
                <c:pt idx="30">
                  <c:v>-3.1739927528745007</c:v>
                </c:pt>
                <c:pt idx="31">
                  <c:v>-3.169933186414351</c:v>
                </c:pt>
                <c:pt idx="32">
                  <c:v>-3.1677046831246436</c:v>
                </c:pt>
                <c:pt idx="33">
                  <c:v>-3.1675122064612502</c:v>
                </c:pt>
                <c:pt idx="34">
                  <c:v>-3.1695339950782575</c:v>
                </c:pt>
                <c:pt idx="35">
                  <c:v>-3.1739183070026762</c:v>
                </c:pt>
                <c:pt idx="36">
                  <c:v>-3.1807807599258808</c:v>
                </c:pt>
                <c:pt idx="37">
                  <c:v>-3.1902023464184808</c:v>
                </c:pt>
                <c:pt idx="38">
                  <c:v>-3.2022281822732523</c:v>
                </c:pt>
                <c:pt idx="39">
                  <c:v>-3.2168670229502681</c:v>
                </c:pt>
                <c:pt idx="40">
                  <c:v>-3.2340915582784717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AD-4B23-943F-DA4BC74D1C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0289408"/>
        <c:axId val="170291200"/>
      </c:barChart>
      <c:catAx>
        <c:axId val="1702894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crossAx val="170291200"/>
        <c:crosses val="autoZero"/>
        <c:auto val="1"/>
        <c:lblAlgn val="ctr"/>
        <c:lblOffset val="100"/>
        <c:tickLblSkip val="5"/>
        <c:noMultiLvlLbl val="0"/>
      </c:catAx>
      <c:valAx>
        <c:axId val="170291200"/>
        <c:scaling>
          <c:orientation val="minMax"/>
        </c:scaling>
        <c:delete val="0"/>
        <c:axPos val="l"/>
        <c:majorGridlines/>
        <c:numFmt formatCode="0.00" sourceLinked="0"/>
        <c:majorTickMark val="out"/>
        <c:minorTickMark val="none"/>
        <c:tickLblPos val="nextTo"/>
        <c:crossAx val="170289408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4.5552160493827161E-2"/>
          <c:y val="2.2513055555555557E-2"/>
          <c:w val="0.44320555555555557"/>
          <c:h val="6.5940277777777778E-2"/>
        </c:manualLayout>
      </c:layout>
      <c:overlay val="0"/>
      <c:txPr>
        <a:bodyPr/>
        <a:lstStyle/>
        <a:p>
          <a:pPr>
            <a:defRPr sz="1050"/>
          </a:pPr>
          <a:endParaRPr lang="en-US"/>
        </a:p>
      </c:txPr>
    </c:legend>
    <c:plotVisOnly val="1"/>
    <c:dispBlanksAs val="zero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4711574074074072E-2"/>
          <c:y val="0.12736166666666668"/>
          <c:w val="0.92764953703703701"/>
          <c:h val="0.75901027777777774"/>
        </c:manualLayout>
      </c:layout>
      <c:barChart>
        <c:barDir val="col"/>
        <c:grouping val="clustered"/>
        <c:varyColors val="0"/>
        <c:ser>
          <c:idx val="5"/>
          <c:order val="0"/>
          <c:tx>
            <c:strRef>
              <c:f>tech_cost!$A$105</c:f>
              <c:strCache>
                <c:ptCount val="1"/>
                <c:pt idx="0">
                  <c:v>Difference in Fixed annual levelized costs (€2010 / MWh net)</c:v>
                </c:pt>
              </c:strCache>
            </c:strRef>
          </c:tx>
          <c:spPr>
            <a:ln>
              <a:solidFill>
                <a:schemeClr val="accent5">
                  <a:lumMod val="50000"/>
                </a:schemeClr>
              </a:solidFill>
            </a:ln>
          </c:spPr>
          <c:invertIfNegative val="0"/>
          <c:cat>
            <c:numRef>
              <c:f>tech_cost!$J$103:$AX$103</c:f>
              <c:numCache>
                <c:formatCode>General</c:formatCode>
                <c:ptCount val="4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  <c:pt idx="21">
                  <c:v>2031</c:v>
                </c:pt>
                <c:pt idx="22">
                  <c:v>2032</c:v>
                </c:pt>
                <c:pt idx="23">
                  <c:v>2033</c:v>
                </c:pt>
                <c:pt idx="24">
                  <c:v>2034</c:v>
                </c:pt>
                <c:pt idx="25">
                  <c:v>2035</c:v>
                </c:pt>
                <c:pt idx="26">
                  <c:v>2036</c:v>
                </c:pt>
                <c:pt idx="27">
                  <c:v>2037</c:v>
                </c:pt>
                <c:pt idx="28">
                  <c:v>2038</c:v>
                </c:pt>
                <c:pt idx="29">
                  <c:v>2039</c:v>
                </c:pt>
                <c:pt idx="30">
                  <c:v>2040</c:v>
                </c:pt>
                <c:pt idx="31">
                  <c:v>2041</c:v>
                </c:pt>
                <c:pt idx="32">
                  <c:v>2042</c:v>
                </c:pt>
                <c:pt idx="33">
                  <c:v>2043</c:v>
                </c:pt>
                <c:pt idx="34">
                  <c:v>2044</c:v>
                </c:pt>
                <c:pt idx="35">
                  <c:v>2045</c:v>
                </c:pt>
                <c:pt idx="36">
                  <c:v>2046</c:v>
                </c:pt>
                <c:pt idx="37">
                  <c:v>2047</c:v>
                </c:pt>
                <c:pt idx="38">
                  <c:v>2048</c:v>
                </c:pt>
                <c:pt idx="39">
                  <c:v>2049</c:v>
                </c:pt>
                <c:pt idx="40">
                  <c:v>2050</c:v>
                </c:pt>
              </c:numCache>
            </c:numRef>
          </c:cat>
          <c:val>
            <c:numRef>
              <c:f>tech_cost!$J$105:$AX$105</c:f>
              <c:numCache>
                <c:formatCode>0.00</c:formatCode>
                <c:ptCount val="41"/>
                <c:pt idx="0">
                  <c:v>-3.130482422798103</c:v>
                </c:pt>
                <c:pt idx="1">
                  <c:v>-3.9231802004872094</c:v>
                </c:pt>
                <c:pt idx="2">
                  <c:v>-4.4010508019921133</c:v>
                </c:pt>
                <c:pt idx="3">
                  <c:v>-4.6500282181757839</c:v>
                </c:pt>
                <c:pt idx="4">
                  <c:v>-4.5671263976804397</c:v>
                </c:pt>
                <c:pt idx="5">
                  <c:v>-4.162050916405871</c:v>
                </c:pt>
                <c:pt idx="6">
                  <c:v>-4.0109104131209818</c:v>
                </c:pt>
                <c:pt idx="7">
                  <c:v>-3.9214029372622967</c:v>
                </c:pt>
                <c:pt idx="8">
                  <c:v>-3.6937671881600451</c:v>
                </c:pt>
                <c:pt idx="9">
                  <c:v>-3.5148223147077857</c:v>
                </c:pt>
                <c:pt idx="10">
                  <c:v>-3.2311436912206766</c:v>
                </c:pt>
                <c:pt idx="11">
                  <c:v>-3.2388375559459028</c:v>
                </c:pt>
                <c:pt idx="12">
                  <c:v>-3.2445846866399179</c:v>
                </c:pt>
                <c:pt idx="13">
                  <c:v>-3.2484031384893868</c:v>
                </c:pt>
                <c:pt idx="14">
                  <c:v>-3.2503322204022744</c:v>
                </c:pt>
                <c:pt idx="15">
                  <c:v>-3.2504335847137433</c:v>
                </c:pt>
                <c:pt idx="16">
                  <c:v>-3.2487920326534478</c:v>
                </c:pt>
                <c:pt idx="17">
                  <c:v>-3.2455159856724869</c:v>
                </c:pt>
                <c:pt idx="18">
                  <c:v>-3.2407375755198231</c:v>
                </c:pt>
                <c:pt idx="19">
                  <c:v>-3.2346123107504603</c:v>
                </c:pt>
                <c:pt idx="20">
                  <c:v>-3.2273182842649</c:v>
                </c:pt>
                <c:pt idx="21">
                  <c:v>-3.2190548955603013</c:v>
                </c:pt>
                <c:pt idx="22">
                  <c:v>-3.2100410725580986</c:v>
                </c:pt>
                <c:pt idx="23">
                  <c:v>-3.2005129909869439</c:v>
                </c:pt>
                <c:pt idx="24">
                  <c:v>-3.1907213040415066</c:v>
                </c:pt>
                <c:pt idx="25">
                  <c:v>-3.180927910982625</c:v>
                </c:pt>
                <c:pt idx="26">
                  <c:v>-3.1714023099415591</c:v>
                </c:pt>
                <c:pt idx="27">
                  <c:v>-3.1624175967849979</c:v>
                </c:pt>
                <c:pt idx="28">
                  <c:v>-3.1542461877498837</c:v>
                </c:pt>
                <c:pt idx="29">
                  <c:v>-3.1471553578795231</c:v>
                </c:pt>
                <c:pt idx="30">
                  <c:v>-3.1414026992932733</c:v>
                </c:pt>
                <c:pt idx="31">
                  <c:v>-3.1372316122502291</c:v>
                </c:pt>
                <c:pt idx="32">
                  <c:v>-3.1348669471675663</c:v>
                </c:pt>
                <c:pt idx="33">
                  <c:v>-3.1345109167153176</c:v>
                </c:pt>
                <c:pt idx="34">
                  <c:v>-3.1363393935106281</c:v>
                </c:pt>
                <c:pt idx="35">
                  <c:v>-3.1404987006807872</c:v>
                </c:pt>
                <c:pt idx="36">
                  <c:v>-3.1471029898087224</c:v>
                </c:pt>
                <c:pt idx="37">
                  <c:v>-3.1562322839238597</c:v>
                </c:pt>
                <c:pt idx="38">
                  <c:v>-3.1679312429030269</c:v>
                </c:pt>
                <c:pt idx="39">
                  <c:v>-3.1822086857583898</c:v>
                </c:pt>
                <c:pt idx="40">
                  <c:v>-3.1990378798348473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9F-4965-BE3F-63581ACC59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0320640"/>
        <c:axId val="170322176"/>
      </c:barChart>
      <c:catAx>
        <c:axId val="1703206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crossAx val="170322176"/>
        <c:crosses val="autoZero"/>
        <c:auto val="1"/>
        <c:lblAlgn val="ctr"/>
        <c:lblOffset val="100"/>
        <c:tickLblSkip val="5"/>
        <c:noMultiLvlLbl val="0"/>
      </c:catAx>
      <c:valAx>
        <c:axId val="170322176"/>
        <c:scaling>
          <c:orientation val="minMax"/>
        </c:scaling>
        <c:delete val="0"/>
        <c:axPos val="l"/>
        <c:majorGridlines/>
        <c:numFmt formatCode="0.00" sourceLinked="0"/>
        <c:majorTickMark val="out"/>
        <c:minorTickMark val="none"/>
        <c:tickLblPos val="nextTo"/>
        <c:crossAx val="170320640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4.163240740740741E-2"/>
          <c:y val="2.2513055555555557E-2"/>
          <c:w val="0.55295864197530864"/>
          <c:h val="6.5940277777777778E-2"/>
        </c:manualLayout>
      </c:layout>
      <c:overlay val="0"/>
      <c:txPr>
        <a:bodyPr/>
        <a:lstStyle/>
        <a:p>
          <a:pPr>
            <a:defRPr sz="1050"/>
          </a:pPr>
          <a:endParaRPr lang="en-US"/>
        </a:p>
      </c:txPr>
    </c:legend>
    <c:plotVisOnly val="1"/>
    <c:dispBlanksAs val="zero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4711574074074072E-2"/>
          <c:y val="0.12736166666666668"/>
          <c:w val="0.92764953703703701"/>
          <c:h val="0.75901027777777774"/>
        </c:manualLayout>
      </c:layout>
      <c:barChart>
        <c:barDir val="col"/>
        <c:grouping val="clustered"/>
        <c:varyColors val="0"/>
        <c:ser>
          <c:idx val="5"/>
          <c:order val="0"/>
          <c:tx>
            <c:strRef>
              <c:f>tech_cost!$A$106</c:f>
              <c:strCache>
                <c:ptCount val="1"/>
                <c:pt idx="0">
                  <c:v>Difference in Fuel and variable costs (€2010 / MWh net)</c:v>
                </c:pt>
              </c:strCache>
            </c:strRef>
          </c:tx>
          <c:spPr>
            <a:ln>
              <a:solidFill>
                <a:schemeClr val="accent5">
                  <a:lumMod val="50000"/>
                </a:schemeClr>
              </a:solidFill>
            </a:ln>
          </c:spPr>
          <c:invertIfNegative val="0"/>
          <c:cat>
            <c:numRef>
              <c:f>tech_cost!$J$103:$AX$103</c:f>
              <c:numCache>
                <c:formatCode>General</c:formatCode>
                <c:ptCount val="4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  <c:pt idx="21">
                  <c:v>2031</c:v>
                </c:pt>
                <c:pt idx="22">
                  <c:v>2032</c:v>
                </c:pt>
                <c:pt idx="23">
                  <c:v>2033</c:v>
                </c:pt>
                <c:pt idx="24">
                  <c:v>2034</c:v>
                </c:pt>
                <c:pt idx="25">
                  <c:v>2035</c:v>
                </c:pt>
                <c:pt idx="26">
                  <c:v>2036</c:v>
                </c:pt>
                <c:pt idx="27">
                  <c:v>2037</c:v>
                </c:pt>
                <c:pt idx="28">
                  <c:v>2038</c:v>
                </c:pt>
                <c:pt idx="29">
                  <c:v>2039</c:v>
                </c:pt>
                <c:pt idx="30">
                  <c:v>2040</c:v>
                </c:pt>
                <c:pt idx="31">
                  <c:v>2041</c:v>
                </c:pt>
                <c:pt idx="32">
                  <c:v>2042</c:v>
                </c:pt>
                <c:pt idx="33">
                  <c:v>2043</c:v>
                </c:pt>
                <c:pt idx="34">
                  <c:v>2044</c:v>
                </c:pt>
                <c:pt idx="35">
                  <c:v>2045</c:v>
                </c:pt>
                <c:pt idx="36">
                  <c:v>2046</c:v>
                </c:pt>
                <c:pt idx="37">
                  <c:v>2047</c:v>
                </c:pt>
                <c:pt idx="38">
                  <c:v>2048</c:v>
                </c:pt>
                <c:pt idx="39">
                  <c:v>2049</c:v>
                </c:pt>
                <c:pt idx="40">
                  <c:v>2050</c:v>
                </c:pt>
              </c:numCache>
            </c:numRef>
          </c:cat>
          <c:val>
            <c:numRef>
              <c:f>tech_cost!$J$106:$AX$106</c:f>
              <c:numCache>
                <c:formatCode>0.00</c:formatCode>
                <c:ptCount val="41"/>
                <c:pt idx="0">
                  <c:v>-2.5430606907746345E-2</c:v>
                </c:pt>
                <c:pt idx="1">
                  <c:v>-3.8483902966904182E-2</c:v>
                </c:pt>
                <c:pt idx="2">
                  <c:v>-4.6409835197042115E-2</c:v>
                </c:pt>
                <c:pt idx="3">
                  <c:v>-5.0624503071737714E-2</c:v>
                </c:pt>
                <c:pt idx="4">
                  <c:v>-4.9627441608801504E-2</c:v>
                </c:pt>
                <c:pt idx="5">
                  <c:v>-4.3693750563621681E-2</c:v>
                </c:pt>
                <c:pt idx="6">
                  <c:v>-4.1718009845115034E-2</c:v>
                </c:pt>
                <c:pt idx="7">
                  <c:v>-4.0567803607715058E-2</c:v>
                </c:pt>
                <c:pt idx="8">
                  <c:v>-3.72559303362478E-2</c:v>
                </c:pt>
                <c:pt idx="9">
                  <c:v>-3.4647738571914666E-2</c:v>
                </c:pt>
                <c:pt idx="10">
                  <c:v>-3.0390192531926263E-2</c:v>
                </c:pt>
                <c:pt idx="11">
                  <c:v>-3.0668923703304041E-2</c:v>
                </c:pt>
                <c:pt idx="12">
                  <c:v>-3.0921237815219826E-2</c:v>
                </c:pt>
                <c:pt idx="13">
                  <c:v>-3.1147243135171754E-2</c:v>
                </c:pt>
                <c:pt idx="14">
                  <c:v>-3.1347351824993042E-2</c:v>
                </c:pt>
                <c:pt idx="15">
                  <c:v>-3.1522296487828672E-2</c:v>
                </c:pt>
                <c:pt idx="16">
                  <c:v>-3.1673142576360169E-2</c:v>
                </c:pt>
                <c:pt idx="17">
                  <c:v>-3.1801295918352568E-2</c:v>
                </c:pt>
                <c:pt idx="18">
                  <c:v>-3.1908504656080527E-2</c:v>
                </c:pt>
                <c:pt idx="19">
                  <c:v>-3.1996854966581056E-2</c:v>
                </c:pt>
                <c:pt idx="20">
                  <c:v>-3.2068760031817412E-2</c:v>
                </c:pt>
                <c:pt idx="21">
                  <c:v>-3.21269418623642E-2</c:v>
                </c:pt>
                <c:pt idx="22">
                  <c:v>-3.2174405744240631E-2</c:v>
                </c:pt>
                <c:pt idx="23">
                  <c:v>-3.2214407273457202E-2</c:v>
                </c:pt>
                <c:pt idx="24">
                  <c:v>-3.2250412162198039E-2</c:v>
                </c:pt>
                <c:pt idx="25">
                  <c:v>-3.2286049237983616E-2</c:v>
                </c:pt>
                <c:pt idx="26">
                  <c:v>-3.2325057304417537E-2</c:v>
                </c:pt>
                <c:pt idx="27">
                  <c:v>-3.2371226779392193E-2</c:v>
                </c:pt>
                <c:pt idx="28">
                  <c:v>-3.2428337262852547E-2</c:v>
                </c:pt>
                <c:pt idx="29">
                  <c:v>-3.2500092399594616E-2</c:v>
                </c:pt>
                <c:pt idx="30">
                  <c:v>-3.2590053581226963E-2</c:v>
                </c:pt>
                <c:pt idx="31">
                  <c:v>-3.2701574164120673E-2</c:v>
                </c:pt>
                <c:pt idx="32">
                  <c:v>-3.2837735957075564E-2</c:v>
                </c:pt>
                <c:pt idx="33">
                  <c:v>-3.3001289745931917E-2</c:v>
                </c:pt>
                <c:pt idx="34">
                  <c:v>-3.3194601567628101E-2</c:v>
                </c:pt>
                <c:pt idx="35">
                  <c:v>-3.3419606321890727E-2</c:v>
                </c:pt>
                <c:pt idx="36">
                  <c:v>-3.3677770117157391E-2</c:v>
                </c:pt>
                <c:pt idx="37">
                  <c:v>-3.3970062494622422E-2</c:v>
                </c:pt>
                <c:pt idx="38">
                  <c:v>-3.4296939370224822E-2</c:v>
                </c:pt>
                <c:pt idx="39">
                  <c:v>-3.4658337191877053E-2</c:v>
                </c:pt>
                <c:pt idx="40">
                  <c:v>-3.5053678443624448E-2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70-4631-8E33-F6F9E07B98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9575808"/>
        <c:axId val="179593984"/>
      </c:barChart>
      <c:catAx>
        <c:axId val="1795758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crossAx val="179593984"/>
        <c:crosses val="autoZero"/>
        <c:auto val="1"/>
        <c:lblAlgn val="ctr"/>
        <c:lblOffset val="100"/>
        <c:tickLblSkip val="5"/>
        <c:noMultiLvlLbl val="0"/>
      </c:catAx>
      <c:valAx>
        <c:axId val="179593984"/>
        <c:scaling>
          <c:orientation val="minMax"/>
        </c:scaling>
        <c:delete val="0"/>
        <c:axPos val="l"/>
        <c:majorGridlines/>
        <c:numFmt formatCode="0.00" sourceLinked="0"/>
        <c:majorTickMark val="out"/>
        <c:minorTickMark val="none"/>
        <c:tickLblPos val="nextTo"/>
        <c:crossAx val="179575808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4.163240740740741E-2"/>
          <c:y val="2.2513055555555557E-2"/>
          <c:w val="0.55295864197530864"/>
          <c:h val="6.5940277777777778E-2"/>
        </c:manualLayout>
      </c:layout>
      <c:overlay val="0"/>
      <c:txPr>
        <a:bodyPr/>
        <a:lstStyle/>
        <a:p>
          <a:pPr>
            <a:defRPr sz="1050"/>
          </a:pPr>
          <a:endParaRPr lang="en-US"/>
        </a:p>
      </c:txPr>
    </c:legend>
    <c:plotVisOnly val="1"/>
    <c:dispBlanksAs val="zero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4711574074074072E-2"/>
          <c:y val="0.12736166666666668"/>
          <c:w val="0.92764953703703701"/>
          <c:h val="0.75901027777777774"/>
        </c:manualLayout>
      </c:layout>
      <c:barChart>
        <c:barDir val="col"/>
        <c:grouping val="clustered"/>
        <c:varyColors val="0"/>
        <c:ser>
          <c:idx val="5"/>
          <c:order val="0"/>
          <c:tx>
            <c:strRef>
              <c:f>tech_cost!$A$107</c:f>
              <c:strCache>
                <c:ptCount val="1"/>
                <c:pt idx="0">
                  <c:v>Difference in CO2 emission related costs (€2010 / MWh net)</c:v>
                </c:pt>
              </c:strCache>
            </c:strRef>
          </c:tx>
          <c:spPr>
            <a:ln>
              <a:solidFill>
                <a:schemeClr val="accent5">
                  <a:lumMod val="50000"/>
                </a:schemeClr>
              </a:solidFill>
            </a:ln>
          </c:spPr>
          <c:invertIfNegative val="0"/>
          <c:cat>
            <c:numRef>
              <c:f>tech_cost!$J$103:$AX$103</c:f>
              <c:numCache>
                <c:formatCode>General</c:formatCode>
                <c:ptCount val="4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  <c:pt idx="21">
                  <c:v>2031</c:v>
                </c:pt>
                <c:pt idx="22">
                  <c:v>2032</c:v>
                </c:pt>
                <c:pt idx="23">
                  <c:v>2033</c:v>
                </c:pt>
                <c:pt idx="24">
                  <c:v>2034</c:v>
                </c:pt>
                <c:pt idx="25">
                  <c:v>2035</c:v>
                </c:pt>
                <c:pt idx="26">
                  <c:v>2036</c:v>
                </c:pt>
                <c:pt idx="27">
                  <c:v>2037</c:v>
                </c:pt>
                <c:pt idx="28">
                  <c:v>2038</c:v>
                </c:pt>
                <c:pt idx="29">
                  <c:v>2039</c:v>
                </c:pt>
                <c:pt idx="30">
                  <c:v>2040</c:v>
                </c:pt>
                <c:pt idx="31">
                  <c:v>2041</c:v>
                </c:pt>
                <c:pt idx="32">
                  <c:v>2042</c:v>
                </c:pt>
                <c:pt idx="33">
                  <c:v>2043</c:v>
                </c:pt>
                <c:pt idx="34">
                  <c:v>2044</c:v>
                </c:pt>
                <c:pt idx="35">
                  <c:v>2045</c:v>
                </c:pt>
                <c:pt idx="36">
                  <c:v>2046</c:v>
                </c:pt>
                <c:pt idx="37">
                  <c:v>2047</c:v>
                </c:pt>
                <c:pt idx="38">
                  <c:v>2048</c:v>
                </c:pt>
                <c:pt idx="39">
                  <c:v>2049</c:v>
                </c:pt>
                <c:pt idx="40">
                  <c:v>2050</c:v>
                </c:pt>
              </c:numCache>
            </c:numRef>
          </c:cat>
          <c:val>
            <c:numRef>
              <c:f>tech_cost!$J$107:$AX$107</c:f>
              <c:numCache>
                <c:formatCode>0.00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5F-4209-9C7E-18F7F1937F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9627520"/>
        <c:axId val="179629056"/>
      </c:barChart>
      <c:catAx>
        <c:axId val="1796275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crossAx val="179629056"/>
        <c:crosses val="autoZero"/>
        <c:auto val="1"/>
        <c:lblAlgn val="ctr"/>
        <c:lblOffset val="100"/>
        <c:tickLblSkip val="5"/>
        <c:noMultiLvlLbl val="0"/>
      </c:catAx>
      <c:valAx>
        <c:axId val="179629056"/>
        <c:scaling>
          <c:orientation val="minMax"/>
        </c:scaling>
        <c:delete val="0"/>
        <c:axPos val="l"/>
        <c:majorGridlines/>
        <c:numFmt formatCode="0.00" sourceLinked="0"/>
        <c:majorTickMark val="out"/>
        <c:minorTickMark val="none"/>
        <c:tickLblPos val="nextTo"/>
        <c:crossAx val="179627520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4.163240740740741E-2"/>
          <c:y val="2.2513055555555557E-2"/>
          <c:w val="0.55295864197530864"/>
          <c:h val="6.5940277777777778E-2"/>
        </c:manualLayout>
      </c:layout>
      <c:overlay val="0"/>
      <c:txPr>
        <a:bodyPr/>
        <a:lstStyle/>
        <a:p>
          <a:pPr>
            <a:defRPr sz="1050"/>
          </a:pPr>
          <a:endParaRPr lang="en-US"/>
        </a:p>
      </c:txPr>
    </c:legend>
    <c:plotVisOnly val="1"/>
    <c:dispBlanksAs val="zero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tech_cost!$H$23</c:f>
          <c:strCache>
            <c:ptCount val="1"/>
            <c:pt idx="0">
              <c:v>Operating hours_x000d_Wind power plants / Onshore / Electricity only / M</c:v>
            </c:pt>
          </c:strCache>
        </c:strRef>
      </c:tx>
      <c:layout>
        <c:manualLayout>
          <c:xMode val="edge"/>
          <c:yMode val="edge"/>
          <c:x val="0.83470173024488448"/>
          <c:y val="2.3779190025686341E-2"/>
        </c:manualLayout>
      </c:layout>
      <c:overlay val="0"/>
      <c:txPr>
        <a:bodyPr/>
        <a:lstStyle/>
        <a:p>
          <a:pPr algn="r">
            <a:defRPr sz="1050" b="0">
              <a:solidFill>
                <a:schemeClr val="accent2">
                  <a:lumMod val="50000"/>
                </a:schemeClr>
              </a:solidFill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1"/>
          <c:order val="0"/>
          <c:spPr>
            <a:noFill/>
          </c:spPr>
          <c:cat>
            <c:numRef>
              <c:f>tech_cost!$J$18:$AX$18</c:f>
              <c:numCache>
                <c:formatCode>General</c:formatCode>
                <c:ptCount val="4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  <c:pt idx="21">
                  <c:v>2031</c:v>
                </c:pt>
                <c:pt idx="22">
                  <c:v>2032</c:v>
                </c:pt>
                <c:pt idx="23">
                  <c:v>2033</c:v>
                </c:pt>
                <c:pt idx="24">
                  <c:v>2034</c:v>
                </c:pt>
                <c:pt idx="25">
                  <c:v>2035</c:v>
                </c:pt>
                <c:pt idx="26">
                  <c:v>2036</c:v>
                </c:pt>
                <c:pt idx="27">
                  <c:v>2037</c:v>
                </c:pt>
                <c:pt idx="28">
                  <c:v>2038</c:v>
                </c:pt>
                <c:pt idx="29">
                  <c:v>2039</c:v>
                </c:pt>
                <c:pt idx="30">
                  <c:v>2040</c:v>
                </c:pt>
                <c:pt idx="31">
                  <c:v>2041</c:v>
                </c:pt>
                <c:pt idx="32">
                  <c:v>2042</c:v>
                </c:pt>
                <c:pt idx="33">
                  <c:v>2043</c:v>
                </c:pt>
                <c:pt idx="34">
                  <c:v>2044</c:v>
                </c:pt>
                <c:pt idx="35">
                  <c:v>2045</c:v>
                </c:pt>
                <c:pt idx="36">
                  <c:v>2046</c:v>
                </c:pt>
                <c:pt idx="37">
                  <c:v>2047</c:v>
                </c:pt>
                <c:pt idx="38">
                  <c:v>2048</c:v>
                </c:pt>
                <c:pt idx="39">
                  <c:v>2049</c:v>
                </c:pt>
                <c:pt idx="40">
                  <c:v>2050</c:v>
                </c:pt>
              </c:numCache>
            </c:numRef>
          </c:cat>
          <c:val>
            <c:numRef>
              <c:f>tech_cost!$J$23:$AX$23</c:f>
              <c:numCache>
                <c:formatCode>0</c:formatCode>
                <c:ptCount val="41"/>
                <c:pt idx="0">
                  <c:v>1400</c:v>
                </c:pt>
                <c:pt idx="1">
                  <c:v>1400</c:v>
                </c:pt>
                <c:pt idx="2">
                  <c:v>1400</c:v>
                </c:pt>
                <c:pt idx="3">
                  <c:v>1400</c:v>
                </c:pt>
                <c:pt idx="4">
                  <c:v>1400</c:v>
                </c:pt>
                <c:pt idx="5">
                  <c:v>1400</c:v>
                </c:pt>
                <c:pt idx="6">
                  <c:v>1400</c:v>
                </c:pt>
                <c:pt idx="7">
                  <c:v>1400</c:v>
                </c:pt>
                <c:pt idx="8">
                  <c:v>1400</c:v>
                </c:pt>
                <c:pt idx="9">
                  <c:v>1400</c:v>
                </c:pt>
                <c:pt idx="10">
                  <c:v>1400</c:v>
                </c:pt>
                <c:pt idx="11">
                  <c:v>1400</c:v>
                </c:pt>
                <c:pt idx="12">
                  <c:v>1400</c:v>
                </c:pt>
                <c:pt idx="13">
                  <c:v>1400</c:v>
                </c:pt>
                <c:pt idx="14">
                  <c:v>1400</c:v>
                </c:pt>
                <c:pt idx="15">
                  <c:v>1400</c:v>
                </c:pt>
                <c:pt idx="16">
                  <c:v>1400</c:v>
                </c:pt>
                <c:pt idx="17">
                  <c:v>1400</c:v>
                </c:pt>
                <c:pt idx="18">
                  <c:v>1400</c:v>
                </c:pt>
                <c:pt idx="19">
                  <c:v>1400</c:v>
                </c:pt>
                <c:pt idx="20">
                  <c:v>1400</c:v>
                </c:pt>
                <c:pt idx="21">
                  <c:v>1400</c:v>
                </c:pt>
                <c:pt idx="22">
                  <c:v>1400</c:v>
                </c:pt>
                <c:pt idx="23">
                  <c:v>1400</c:v>
                </c:pt>
                <c:pt idx="24">
                  <c:v>1400</c:v>
                </c:pt>
                <c:pt idx="25">
                  <c:v>1400</c:v>
                </c:pt>
                <c:pt idx="26">
                  <c:v>1400</c:v>
                </c:pt>
                <c:pt idx="27">
                  <c:v>1400</c:v>
                </c:pt>
                <c:pt idx="28">
                  <c:v>1400</c:v>
                </c:pt>
                <c:pt idx="29">
                  <c:v>1400</c:v>
                </c:pt>
                <c:pt idx="30">
                  <c:v>1400</c:v>
                </c:pt>
                <c:pt idx="31">
                  <c:v>1400</c:v>
                </c:pt>
                <c:pt idx="32">
                  <c:v>1400</c:v>
                </c:pt>
                <c:pt idx="33">
                  <c:v>1400</c:v>
                </c:pt>
                <c:pt idx="34">
                  <c:v>1400</c:v>
                </c:pt>
                <c:pt idx="35">
                  <c:v>1400</c:v>
                </c:pt>
                <c:pt idx="36">
                  <c:v>1400</c:v>
                </c:pt>
                <c:pt idx="37">
                  <c:v>1400</c:v>
                </c:pt>
                <c:pt idx="38">
                  <c:v>1400</c:v>
                </c:pt>
                <c:pt idx="39">
                  <c:v>1400</c:v>
                </c:pt>
                <c:pt idx="40">
                  <c:v>1400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F2-48E0-AC4D-0F926BEEAE83}"/>
            </c:ext>
          </c:extLst>
        </c:ser>
        <c:ser>
          <c:idx val="0"/>
          <c:order val="1"/>
          <c:spPr>
            <a:solidFill>
              <a:schemeClr val="accent2">
                <a:lumMod val="20000"/>
                <a:lumOff val="80000"/>
                <a:alpha val="50000"/>
              </a:schemeClr>
            </a:solidFill>
          </c:spPr>
          <c:cat>
            <c:numRef>
              <c:f>tech_cost!$J$18:$AX$18</c:f>
              <c:numCache>
                <c:formatCode>General</c:formatCode>
                <c:ptCount val="4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  <c:pt idx="21">
                  <c:v>2031</c:v>
                </c:pt>
                <c:pt idx="22">
                  <c:v>2032</c:v>
                </c:pt>
                <c:pt idx="23">
                  <c:v>2033</c:v>
                </c:pt>
                <c:pt idx="24">
                  <c:v>2034</c:v>
                </c:pt>
                <c:pt idx="25">
                  <c:v>2035</c:v>
                </c:pt>
                <c:pt idx="26">
                  <c:v>2036</c:v>
                </c:pt>
                <c:pt idx="27">
                  <c:v>2037</c:v>
                </c:pt>
                <c:pt idx="28">
                  <c:v>2038</c:v>
                </c:pt>
                <c:pt idx="29">
                  <c:v>2039</c:v>
                </c:pt>
                <c:pt idx="30">
                  <c:v>2040</c:v>
                </c:pt>
                <c:pt idx="31">
                  <c:v>2041</c:v>
                </c:pt>
                <c:pt idx="32">
                  <c:v>2042</c:v>
                </c:pt>
                <c:pt idx="33">
                  <c:v>2043</c:v>
                </c:pt>
                <c:pt idx="34">
                  <c:v>2044</c:v>
                </c:pt>
                <c:pt idx="35">
                  <c:v>2045</c:v>
                </c:pt>
                <c:pt idx="36">
                  <c:v>2046</c:v>
                </c:pt>
                <c:pt idx="37">
                  <c:v>2047</c:v>
                </c:pt>
                <c:pt idx="38">
                  <c:v>2048</c:v>
                </c:pt>
                <c:pt idx="39">
                  <c:v>2049</c:v>
                </c:pt>
                <c:pt idx="40">
                  <c:v>2050</c:v>
                </c:pt>
              </c:numCache>
            </c:numRef>
          </c:cat>
          <c:val>
            <c:numRef>
              <c:f>tech_cost!$J$91:$AX$91</c:f>
              <c:numCache>
                <c:formatCode>0</c:formatCode>
                <c:ptCount val="41"/>
                <c:pt idx="0">
                  <c:v>1975</c:v>
                </c:pt>
                <c:pt idx="1">
                  <c:v>1975</c:v>
                </c:pt>
                <c:pt idx="2">
                  <c:v>1975</c:v>
                </c:pt>
                <c:pt idx="3">
                  <c:v>1975</c:v>
                </c:pt>
                <c:pt idx="4">
                  <c:v>1975</c:v>
                </c:pt>
                <c:pt idx="5">
                  <c:v>1975</c:v>
                </c:pt>
                <c:pt idx="6">
                  <c:v>1975</c:v>
                </c:pt>
                <c:pt idx="7">
                  <c:v>1975</c:v>
                </c:pt>
                <c:pt idx="8">
                  <c:v>1975</c:v>
                </c:pt>
                <c:pt idx="9">
                  <c:v>1975</c:v>
                </c:pt>
                <c:pt idx="10">
                  <c:v>1975</c:v>
                </c:pt>
                <c:pt idx="11">
                  <c:v>1975</c:v>
                </c:pt>
                <c:pt idx="12">
                  <c:v>1975</c:v>
                </c:pt>
                <c:pt idx="13">
                  <c:v>1975</c:v>
                </c:pt>
                <c:pt idx="14">
                  <c:v>1975</c:v>
                </c:pt>
                <c:pt idx="15">
                  <c:v>1975</c:v>
                </c:pt>
                <c:pt idx="16">
                  <c:v>1975</c:v>
                </c:pt>
                <c:pt idx="17">
                  <c:v>1975</c:v>
                </c:pt>
                <c:pt idx="18">
                  <c:v>1975</c:v>
                </c:pt>
                <c:pt idx="19">
                  <c:v>1975</c:v>
                </c:pt>
                <c:pt idx="20">
                  <c:v>1975</c:v>
                </c:pt>
                <c:pt idx="21">
                  <c:v>1975</c:v>
                </c:pt>
                <c:pt idx="22">
                  <c:v>1975</c:v>
                </c:pt>
                <c:pt idx="23">
                  <c:v>1975</c:v>
                </c:pt>
                <c:pt idx="24">
                  <c:v>1975</c:v>
                </c:pt>
                <c:pt idx="25">
                  <c:v>1975</c:v>
                </c:pt>
                <c:pt idx="26">
                  <c:v>1975</c:v>
                </c:pt>
                <c:pt idx="27">
                  <c:v>1975</c:v>
                </c:pt>
                <c:pt idx="28">
                  <c:v>1975</c:v>
                </c:pt>
                <c:pt idx="29">
                  <c:v>1975</c:v>
                </c:pt>
                <c:pt idx="30">
                  <c:v>1975</c:v>
                </c:pt>
                <c:pt idx="31">
                  <c:v>1975</c:v>
                </c:pt>
                <c:pt idx="32">
                  <c:v>1975</c:v>
                </c:pt>
                <c:pt idx="33">
                  <c:v>1975</c:v>
                </c:pt>
                <c:pt idx="34">
                  <c:v>1975</c:v>
                </c:pt>
                <c:pt idx="35">
                  <c:v>1975</c:v>
                </c:pt>
                <c:pt idx="36">
                  <c:v>1975</c:v>
                </c:pt>
                <c:pt idx="37">
                  <c:v>1975</c:v>
                </c:pt>
                <c:pt idx="38">
                  <c:v>1975</c:v>
                </c:pt>
                <c:pt idx="39">
                  <c:v>1975</c:v>
                </c:pt>
                <c:pt idx="40">
                  <c:v>1975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DF2-48E0-AC4D-0F926BEEAE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0497920"/>
        <c:axId val="170499456"/>
      </c:areaChart>
      <c:lineChart>
        <c:grouping val="standard"/>
        <c:varyColors val="0"/>
        <c:ser>
          <c:idx val="3"/>
          <c:order val="2"/>
          <c:tx>
            <c:strRef>
              <c:f>tech_cost!$A$23</c:f>
              <c:strCache>
                <c:ptCount val="1"/>
                <c:pt idx="0">
                  <c:v>Desired operating hours - minimum</c:v>
                </c:pt>
              </c:strCache>
            </c:strRef>
          </c:tx>
          <c:spPr>
            <a:ln>
              <a:solidFill>
                <a:schemeClr val="accent6">
                  <a:lumMod val="50000"/>
                  <a:alpha val="50000"/>
                </a:schemeClr>
              </a:solidFill>
            </a:ln>
          </c:spPr>
          <c:marker>
            <c:symbol val="none"/>
          </c:marker>
          <c:val>
            <c:numRef>
              <c:f>tech_cost!$J$23:$AX$23</c:f>
              <c:numCache>
                <c:formatCode>0</c:formatCode>
                <c:ptCount val="41"/>
                <c:pt idx="0">
                  <c:v>1400</c:v>
                </c:pt>
                <c:pt idx="1">
                  <c:v>1400</c:v>
                </c:pt>
                <c:pt idx="2">
                  <c:v>1400</c:v>
                </c:pt>
                <c:pt idx="3">
                  <c:v>1400</c:v>
                </c:pt>
                <c:pt idx="4">
                  <c:v>1400</c:v>
                </c:pt>
                <c:pt idx="5">
                  <c:v>1400</c:v>
                </c:pt>
                <c:pt idx="6">
                  <c:v>1400</c:v>
                </c:pt>
                <c:pt idx="7">
                  <c:v>1400</c:v>
                </c:pt>
                <c:pt idx="8">
                  <c:v>1400</c:v>
                </c:pt>
                <c:pt idx="9">
                  <c:v>1400</c:v>
                </c:pt>
                <c:pt idx="10">
                  <c:v>1400</c:v>
                </c:pt>
                <c:pt idx="11">
                  <c:v>1400</c:v>
                </c:pt>
                <c:pt idx="12">
                  <c:v>1400</c:v>
                </c:pt>
                <c:pt idx="13">
                  <c:v>1400</c:v>
                </c:pt>
                <c:pt idx="14">
                  <c:v>1400</c:v>
                </c:pt>
                <c:pt idx="15">
                  <c:v>1400</c:v>
                </c:pt>
                <c:pt idx="16">
                  <c:v>1400</c:v>
                </c:pt>
                <c:pt idx="17">
                  <c:v>1400</c:v>
                </c:pt>
                <c:pt idx="18">
                  <c:v>1400</c:v>
                </c:pt>
                <c:pt idx="19">
                  <c:v>1400</c:v>
                </c:pt>
                <c:pt idx="20">
                  <c:v>1400</c:v>
                </c:pt>
                <c:pt idx="21">
                  <c:v>1400</c:v>
                </c:pt>
                <c:pt idx="22">
                  <c:v>1400</c:v>
                </c:pt>
                <c:pt idx="23">
                  <c:v>1400</c:v>
                </c:pt>
                <c:pt idx="24">
                  <c:v>1400</c:v>
                </c:pt>
                <c:pt idx="25">
                  <c:v>1400</c:v>
                </c:pt>
                <c:pt idx="26">
                  <c:v>1400</c:v>
                </c:pt>
                <c:pt idx="27">
                  <c:v>1400</c:v>
                </c:pt>
                <c:pt idx="28">
                  <c:v>1400</c:v>
                </c:pt>
                <c:pt idx="29">
                  <c:v>1400</c:v>
                </c:pt>
                <c:pt idx="30">
                  <c:v>1400</c:v>
                </c:pt>
                <c:pt idx="31">
                  <c:v>1400</c:v>
                </c:pt>
                <c:pt idx="32">
                  <c:v>1400</c:v>
                </c:pt>
                <c:pt idx="33">
                  <c:v>1400</c:v>
                </c:pt>
                <c:pt idx="34">
                  <c:v>1400</c:v>
                </c:pt>
                <c:pt idx="35">
                  <c:v>1400</c:v>
                </c:pt>
                <c:pt idx="36">
                  <c:v>1400</c:v>
                </c:pt>
                <c:pt idx="37">
                  <c:v>1400</c:v>
                </c:pt>
                <c:pt idx="38">
                  <c:v>1400</c:v>
                </c:pt>
                <c:pt idx="39">
                  <c:v>1400</c:v>
                </c:pt>
                <c:pt idx="40">
                  <c:v>1400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DF2-48E0-AC4D-0F926BEEAE83}"/>
            </c:ext>
          </c:extLst>
        </c:ser>
        <c:ser>
          <c:idx val="4"/>
          <c:order val="3"/>
          <c:tx>
            <c:strRef>
              <c:f>tech_cost!$A$24</c:f>
              <c:strCache>
                <c:ptCount val="1"/>
                <c:pt idx="0">
                  <c:v>Desired operating hours - maximum</c:v>
                </c:pt>
              </c:strCache>
            </c:strRef>
          </c:tx>
          <c:spPr>
            <a:ln>
              <a:solidFill>
                <a:schemeClr val="bg2">
                  <a:lumMod val="25000"/>
                  <a:alpha val="50000"/>
                </a:schemeClr>
              </a:solidFill>
            </a:ln>
          </c:spPr>
          <c:marker>
            <c:symbol val="none"/>
          </c:marker>
          <c:val>
            <c:numRef>
              <c:f>tech_cost!$J$24:$AX$24</c:f>
              <c:numCache>
                <c:formatCode>0</c:formatCode>
                <c:ptCount val="41"/>
                <c:pt idx="0">
                  <c:v>3375</c:v>
                </c:pt>
                <c:pt idx="1">
                  <c:v>3375</c:v>
                </c:pt>
                <c:pt idx="2">
                  <c:v>3375</c:v>
                </c:pt>
                <c:pt idx="3">
                  <c:v>3375</c:v>
                </c:pt>
                <c:pt idx="4">
                  <c:v>3375</c:v>
                </c:pt>
                <c:pt idx="5">
                  <c:v>3375</c:v>
                </c:pt>
                <c:pt idx="6">
                  <c:v>3375</c:v>
                </c:pt>
                <c:pt idx="7">
                  <c:v>3375</c:v>
                </c:pt>
                <c:pt idx="8">
                  <c:v>3375</c:v>
                </c:pt>
                <c:pt idx="9">
                  <c:v>3375</c:v>
                </c:pt>
                <c:pt idx="10">
                  <c:v>3375</c:v>
                </c:pt>
                <c:pt idx="11">
                  <c:v>3375</c:v>
                </c:pt>
                <c:pt idx="12">
                  <c:v>3375</c:v>
                </c:pt>
                <c:pt idx="13">
                  <c:v>3375</c:v>
                </c:pt>
                <c:pt idx="14">
                  <c:v>3375</c:v>
                </c:pt>
                <c:pt idx="15">
                  <c:v>3375</c:v>
                </c:pt>
                <c:pt idx="16">
                  <c:v>3375</c:v>
                </c:pt>
                <c:pt idx="17">
                  <c:v>3375</c:v>
                </c:pt>
                <c:pt idx="18">
                  <c:v>3375</c:v>
                </c:pt>
                <c:pt idx="19">
                  <c:v>3375</c:v>
                </c:pt>
                <c:pt idx="20">
                  <c:v>3375</c:v>
                </c:pt>
                <c:pt idx="21">
                  <c:v>3375</c:v>
                </c:pt>
                <c:pt idx="22">
                  <c:v>3375</c:v>
                </c:pt>
                <c:pt idx="23">
                  <c:v>3375</c:v>
                </c:pt>
                <c:pt idx="24">
                  <c:v>3375</c:v>
                </c:pt>
                <c:pt idx="25">
                  <c:v>3375</c:v>
                </c:pt>
                <c:pt idx="26">
                  <c:v>3375</c:v>
                </c:pt>
                <c:pt idx="27">
                  <c:v>3375</c:v>
                </c:pt>
                <c:pt idx="28">
                  <c:v>3375</c:v>
                </c:pt>
                <c:pt idx="29">
                  <c:v>3375</c:v>
                </c:pt>
                <c:pt idx="30">
                  <c:v>3375</c:v>
                </c:pt>
                <c:pt idx="31">
                  <c:v>3375</c:v>
                </c:pt>
                <c:pt idx="32">
                  <c:v>3375</c:v>
                </c:pt>
                <c:pt idx="33">
                  <c:v>3375</c:v>
                </c:pt>
                <c:pt idx="34">
                  <c:v>3375</c:v>
                </c:pt>
                <c:pt idx="35">
                  <c:v>3375</c:v>
                </c:pt>
                <c:pt idx="36">
                  <c:v>3375</c:v>
                </c:pt>
                <c:pt idx="37">
                  <c:v>3375</c:v>
                </c:pt>
                <c:pt idx="38">
                  <c:v>3375</c:v>
                </c:pt>
                <c:pt idx="39">
                  <c:v>3375</c:v>
                </c:pt>
                <c:pt idx="40">
                  <c:v>3375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DF2-48E0-AC4D-0F926BEEAE83}"/>
            </c:ext>
          </c:extLst>
        </c:ser>
        <c:ser>
          <c:idx val="2"/>
          <c:order val="4"/>
          <c:tx>
            <c:strRef>
              <c:f>tech_cost!$A$92</c:f>
              <c:strCache>
                <c:ptCount val="1"/>
                <c:pt idx="0">
                  <c:v>Annual operating hours parameter set by user</c:v>
                </c:pt>
              </c:strCache>
            </c:strRef>
          </c:tx>
          <c:spPr>
            <a:ln>
              <a:solidFill>
                <a:schemeClr val="accent2">
                  <a:lumMod val="50000"/>
                </a:schemeClr>
              </a:solidFill>
            </a:ln>
          </c:spPr>
          <c:marker>
            <c:symbol val="none"/>
          </c:marker>
          <c:cat>
            <c:numRef>
              <c:f>tech_cost!$J$10:$AX$10</c:f>
              <c:numCache>
                <c:formatCode>General</c:formatCode>
                <c:ptCount val="4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  <c:pt idx="21">
                  <c:v>2031</c:v>
                </c:pt>
                <c:pt idx="22">
                  <c:v>2032</c:v>
                </c:pt>
                <c:pt idx="23">
                  <c:v>2033</c:v>
                </c:pt>
                <c:pt idx="24">
                  <c:v>2034</c:v>
                </c:pt>
                <c:pt idx="25">
                  <c:v>2035</c:v>
                </c:pt>
                <c:pt idx="26">
                  <c:v>2036</c:v>
                </c:pt>
                <c:pt idx="27">
                  <c:v>2037</c:v>
                </c:pt>
                <c:pt idx="28">
                  <c:v>2038</c:v>
                </c:pt>
                <c:pt idx="29">
                  <c:v>2039</c:v>
                </c:pt>
                <c:pt idx="30">
                  <c:v>2040</c:v>
                </c:pt>
                <c:pt idx="31">
                  <c:v>2041</c:v>
                </c:pt>
                <c:pt idx="32">
                  <c:v>2042</c:v>
                </c:pt>
                <c:pt idx="33">
                  <c:v>2043</c:v>
                </c:pt>
                <c:pt idx="34">
                  <c:v>2044</c:v>
                </c:pt>
                <c:pt idx="35">
                  <c:v>2045</c:v>
                </c:pt>
                <c:pt idx="36">
                  <c:v>2046</c:v>
                </c:pt>
                <c:pt idx="37">
                  <c:v>2047</c:v>
                </c:pt>
                <c:pt idx="38">
                  <c:v>2048</c:v>
                </c:pt>
                <c:pt idx="39">
                  <c:v>2049</c:v>
                </c:pt>
                <c:pt idx="40">
                  <c:v>2050</c:v>
                </c:pt>
              </c:numCache>
            </c:numRef>
          </c:cat>
          <c:val>
            <c:numRef>
              <c:f>tech_cost!$J$92:$AX$92</c:f>
              <c:numCache>
                <c:formatCode>0.00</c:formatCode>
                <c:ptCount val="41"/>
                <c:pt idx="0">
                  <c:v>4000</c:v>
                </c:pt>
                <c:pt idx="1">
                  <c:v>4000</c:v>
                </c:pt>
                <c:pt idx="2">
                  <c:v>4000</c:v>
                </c:pt>
                <c:pt idx="3">
                  <c:v>4000</c:v>
                </c:pt>
                <c:pt idx="4">
                  <c:v>4000</c:v>
                </c:pt>
                <c:pt idx="5">
                  <c:v>4000</c:v>
                </c:pt>
                <c:pt idx="6">
                  <c:v>4000</c:v>
                </c:pt>
                <c:pt idx="7">
                  <c:v>4000</c:v>
                </c:pt>
                <c:pt idx="8">
                  <c:v>4000</c:v>
                </c:pt>
                <c:pt idx="9">
                  <c:v>4000</c:v>
                </c:pt>
                <c:pt idx="10">
                  <c:v>4000</c:v>
                </c:pt>
                <c:pt idx="11">
                  <c:v>4000</c:v>
                </c:pt>
                <c:pt idx="12">
                  <c:v>4000</c:v>
                </c:pt>
                <c:pt idx="13">
                  <c:v>4000</c:v>
                </c:pt>
                <c:pt idx="14">
                  <c:v>4000</c:v>
                </c:pt>
                <c:pt idx="15">
                  <c:v>4000</c:v>
                </c:pt>
                <c:pt idx="16">
                  <c:v>4000</c:v>
                </c:pt>
                <c:pt idx="17">
                  <c:v>4000</c:v>
                </c:pt>
                <c:pt idx="18">
                  <c:v>4000</c:v>
                </c:pt>
                <c:pt idx="19">
                  <c:v>4000</c:v>
                </c:pt>
                <c:pt idx="20">
                  <c:v>4000</c:v>
                </c:pt>
                <c:pt idx="21">
                  <c:v>4000</c:v>
                </c:pt>
                <c:pt idx="22">
                  <c:v>4000</c:v>
                </c:pt>
                <c:pt idx="23">
                  <c:v>4000</c:v>
                </c:pt>
                <c:pt idx="24">
                  <c:v>4000</c:v>
                </c:pt>
                <c:pt idx="25">
                  <c:v>4000</c:v>
                </c:pt>
                <c:pt idx="26">
                  <c:v>4000</c:v>
                </c:pt>
                <c:pt idx="27">
                  <c:v>4000</c:v>
                </c:pt>
                <c:pt idx="28">
                  <c:v>4000</c:v>
                </c:pt>
                <c:pt idx="29">
                  <c:v>4000</c:v>
                </c:pt>
                <c:pt idx="30">
                  <c:v>4000</c:v>
                </c:pt>
                <c:pt idx="31">
                  <c:v>4000</c:v>
                </c:pt>
                <c:pt idx="32">
                  <c:v>4000</c:v>
                </c:pt>
                <c:pt idx="33">
                  <c:v>4000</c:v>
                </c:pt>
                <c:pt idx="34">
                  <c:v>4000</c:v>
                </c:pt>
                <c:pt idx="35">
                  <c:v>4000</c:v>
                </c:pt>
                <c:pt idx="36">
                  <c:v>4000</c:v>
                </c:pt>
                <c:pt idx="37">
                  <c:v>4000</c:v>
                </c:pt>
                <c:pt idx="38">
                  <c:v>4000</c:v>
                </c:pt>
                <c:pt idx="39">
                  <c:v>4000</c:v>
                </c:pt>
                <c:pt idx="40">
                  <c:v>4000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DF2-48E0-AC4D-0F926BEEAE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0497920"/>
        <c:axId val="170499456"/>
      </c:lineChart>
      <c:catAx>
        <c:axId val="1704979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0499456"/>
        <c:crosses val="autoZero"/>
        <c:auto val="1"/>
        <c:lblAlgn val="ctr"/>
        <c:lblOffset val="100"/>
        <c:tickLblSkip val="5"/>
        <c:noMultiLvlLbl val="0"/>
      </c:catAx>
      <c:valAx>
        <c:axId val="170499456"/>
        <c:scaling>
          <c:orientation val="minMax"/>
          <c:max val="9000"/>
          <c:min val="0"/>
        </c:scaling>
        <c:delete val="0"/>
        <c:axPos val="l"/>
        <c:majorGridlines/>
        <c:numFmt formatCode="0" sourceLinked="0"/>
        <c:majorTickMark val="out"/>
        <c:minorTickMark val="none"/>
        <c:tickLblPos val="nextTo"/>
        <c:crossAx val="170497920"/>
        <c:crosses val="autoZero"/>
        <c:crossBetween val="between"/>
      </c:valAx>
    </c:plotArea>
    <c:legend>
      <c:legendPos val="b"/>
      <c:legendEntry>
        <c:idx val="0"/>
        <c:delete val="1"/>
      </c:legendEntry>
      <c:legendEntry>
        <c:idx val="1"/>
        <c:delete val="1"/>
      </c:legendEntry>
      <c:overlay val="0"/>
    </c:legend>
    <c:plotVisOnly val="1"/>
    <c:dispBlanksAs val="zero"/>
    <c:showDLblsOverMax val="0"/>
  </c:chart>
  <c:printSettings>
    <c:headerFooter/>
    <c:pageMargins b="0.75" l="0.7" r="0.7" t="0.75" header="0.3" footer="0.3"/>
    <c:pageSetup/>
  </c:printSettings>
</c:chartSpace>
</file>

<file path=xl/ctrlProps/ctrlProp1.xml><?xml version="1.0" encoding="utf-8"?>
<formControlPr xmlns="http://schemas.microsoft.com/office/spreadsheetml/2009/9/main" objectType="Drop" dropLines="17" dropStyle="combo" dx="16" fmlaLink="$A$46" fmlaRange="$A$49:$A$65" noThreeD="1" sel="17" val="0"/>
</file>

<file path=xl/ctrlProps/ctrlProp2.xml><?xml version="1.0" encoding="utf-8"?>
<formControlPr xmlns="http://schemas.microsoft.com/office/spreadsheetml/2009/9/main" objectType="Drop" dropStyle="combo" dx="16" fmlaLink="$B$46" fmlaRange="$B$49:$B$52" noThreeD="1" sel="1" val="0"/>
</file>

<file path=xl/ctrlProps/ctrlProp3.xml><?xml version="1.0" encoding="utf-8"?>
<formControlPr xmlns="http://schemas.microsoft.com/office/spreadsheetml/2009/9/main" objectType="Drop" dropStyle="combo" dx="16" fmlaLink="$C$46" fmlaRange="$C$49:$C$52" noThreeD="1" sel="1" val="0"/>
</file>

<file path=xl/ctrlProps/ctrlProp4.xml><?xml version="1.0" encoding="utf-8"?>
<formControlPr xmlns="http://schemas.microsoft.com/office/spreadsheetml/2009/9/main" objectType="Drop" dropStyle="combo" dx="16" fmlaLink="$D$46" fmlaRange="$D$49:$D$52" noThreeD="1" sel="2" val="0"/>
</file>

<file path=xl/ctrlProps/ctrlProp5.xml><?xml version="1.0" encoding="utf-8"?>
<formControlPr xmlns="http://schemas.microsoft.com/office/spreadsheetml/2009/9/main" objectType="Drop" dropLines="17" dropStyle="combo" dx="16" fmlaLink="$A$111" fmlaRange="$A$114:$A$130" noThreeD="1" sel="11" val="0"/>
</file>

<file path=xl/ctrlProps/ctrlProp6.xml><?xml version="1.0" encoding="utf-8"?>
<formControlPr xmlns="http://schemas.microsoft.com/office/spreadsheetml/2009/9/main" objectType="Drop" dropStyle="combo" dx="16" fmlaLink="$B$111" fmlaRange="$B$114:$B$117" noThreeD="1" sel="1" val="0"/>
</file>

<file path=xl/ctrlProps/ctrlProp7.xml><?xml version="1.0" encoding="utf-8"?>
<formControlPr xmlns="http://schemas.microsoft.com/office/spreadsheetml/2009/9/main" objectType="Drop" dropStyle="combo" dx="16" fmlaLink="$C$111" fmlaRange="$C$114:$C$117" noThreeD="1" sel="1" val="0"/>
</file>

<file path=xl/ctrlProps/ctrlProp8.xml><?xml version="1.0" encoding="utf-8"?>
<formControlPr xmlns="http://schemas.microsoft.com/office/spreadsheetml/2009/9/main" objectType="Drop" dropStyle="combo" dx="16" fmlaLink="$D$111" fmlaRange="$D$114:$D$117" noThreeD="1" sel="1" val="0"/>
</file>

<file path=xl/ctrlProps/ctrlProp9.xml><?xml version="1.0" encoding="utf-8"?>
<formControlPr xmlns="http://schemas.microsoft.com/office/spreadsheetml/2009/9/main" objectType="Drop" dropLines="17" dropStyle="combo" dx="16" fmlaLink="$A$131" fmlaRange="$A$134:$A$150" noThreeD="1" sel="11" val="0"/>
</file>

<file path=xl/ctrlProps/ctrlProp10.xml><?xml version="1.0" encoding="utf-8"?>
<formControlPr xmlns="http://schemas.microsoft.com/office/spreadsheetml/2009/9/main" objectType="Drop" dropStyle="combo" dx="16" fmlaLink="$B$131" fmlaRange="$B$134:$B$137" noThreeD="1" sel="1" val="0"/>
</file>

<file path=xl/ctrlProps/ctrlProp11.xml><?xml version="1.0" encoding="utf-8"?>
<formControlPr xmlns="http://schemas.microsoft.com/office/spreadsheetml/2009/9/main" objectType="Drop" dropStyle="combo" dx="16" fmlaLink="$C$131" fmlaRange="$C$134:$C$137" noThreeD="1" sel="1" val="0"/>
</file>

<file path=xl/ctrlProps/ctrlProp12.xml><?xml version="1.0" encoding="utf-8"?>
<formControlPr xmlns="http://schemas.microsoft.com/office/spreadsheetml/2009/9/main" objectType="Drop" dropStyle="combo" dx="16" fmlaLink="$D$131" fmlaRange="$D$114:$D$117" noThreeD="1" sel="2" val="0"/>
</file>

<file path=xl/ctrlProps/ctrlProp13.xml><?xml version="1.0" encoding="utf-8"?>
<formControlPr xmlns="http://schemas.microsoft.com/office/spreadsheetml/2009/9/main" objectType="Drop" dropLines="50" dropStyle="combo" dx="16" fmlaLink="$J$111" fmlaRange="$J$112:$J$124" noThreeD="1" sel="7" val="0"/>
</file>

<file path=xl/ctrlProps/ctrlProp14.xml><?xml version="1.0" encoding="utf-8"?>
<formControlPr xmlns="http://schemas.microsoft.com/office/spreadsheetml/2009/9/main" objectType="Drop" dropLines="50" dropStyle="combo" dx="16" fmlaLink="$L$111" fmlaRange="$L$112:$L$129" noThreeD="1" sel="9" val="0"/>
</file>

<file path=xl/ctrlProps/ctrlProp15.xml><?xml version="1.0" encoding="utf-8"?>
<formControlPr xmlns="http://schemas.microsoft.com/office/spreadsheetml/2009/9/main" objectType="Drop" dropLines="50" dropStyle="combo" dx="16" fmlaLink="$N$111" fmlaRange="$N$112:$N$127" noThreeD="1" sel="2" val="0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2.xml"/><Relationship Id="rId13" Type="http://schemas.openxmlformats.org/officeDocument/2006/relationships/chart" Target="../charts/chart17.xml"/><Relationship Id="rId3" Type="http://schemas.openxmlformats.org/officeDocument/2006/relationships/chart" Target="../charts/chart7.xml"/><Relationship Id="rId7" Type="http://schemas.openxmlformats.org/officeDocument/2006/relationships/chart" Target="../charts/chart11.xml"/><Relationship Id="rId12" Type="http://schemas.openxmlformats.org/officeDocument/2006/relationships/chart" Target="../charts/chart16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6" Type="http://schemas.openxmlformats.org/officeDocument/2006/relationships/chart" Target="../charts/chart10.xml"/><Relationship Id="rId11" Type="http://schemas.openxmlformats.org/officeDocument/2006/relationships/chart" Target="../charts/chart15.xml"/><Relationship Id="rId5" Type="http://schemas.openxmlformats.org/officeDocument/2006/relationships/chart" Target="../charts/chart9.xml"/><Relationship Id="rId10" Type="http://schemas.openxmlformats.org/officeDocument/2006/relationships/chart" Target="../charts/chart14.xml"/><Relationship Id="rId4" Type="http://schemas.openxmlformats.org/officeDocument/2006/relationships/chart" Target="../charts/chart8.xml"/><Relationship Id="rId9" Type="http://schemas.openxmlformats.org/officeDocument/2006/relationships/chart" Target="../charts/chart13.xml"/><Relationship Id="rId14" Type="http://schemas.openxmlformats.org/officeDocument/2006/relationships/chart" Target="../charts/chart1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22</xdr:row>
      <xdr:rowOff>0</xdr:rowOff>
    </xdr:from>
    <xdr:to>
      <xdr:col>3</xdr:col>
      <xdr:colOff>2877561</xdr:colOff>
      <xdr:row>34</xdr:row>
      <xdr:rowOff>47323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453438" y="4179094"/>
          <a:ext cx="2877561" cy="201185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6350</xdr:colOff>
          <xdr:row>1</xdr:row>
          <xdr:rowOff>6350</xdr:rowOff>
        </xdr:from>
        <xdr:to>
          <xdr:col>0</xdr:col>
          <xdr:colOff>2470150</xdr:colOff>
          <xdr:row>3</xdr:row>
          <xdr:rowOff>6350</xdr:rowOff>
        </xdr:to>
        <xdr:sp macro="" textlink="">
          <xdr:nvSpPr>
            <xdr:cNvPr id="5121" name="Drop Down 1" hidden="1">
              <a:extLst>
                <a:ext uri="{63B3BB69-23CF-44E3-9099-C40C66FF867C}">
                  <a14:compatExt spid="_x0000_s5121"/>
                </a:ext>
                <a:ext uri="{FF2B5EF4-FFF2-40B4-BE49-F238E27FC236}">
                  <a16:creationId xmlns:a16="http://schemas.microsoft.com/office/drawing/2014/main" id="{00000000-0008-0000-0200-00000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31750</xdr:colOff>
          <xdr:row>1</xdr:row>
          <xdr:rowOff>19050</xdr:rowOff>
        </xdr:from>
        <xdr:to>
          <xdr:col>1</xdr:col>
          <xdr:colOff>2127250</xdr:colOff>
          <xdr:row>3</xdr:row>
          <xdr:rowOff>19050</xdr:rowOff>
        </xdr:to>
        <xdr:sp macro="" textlink="">
          <xdr:nvSpPr>
            <xdr:cNvPr id="5122" name="Drop Down 2" hidden="1">
              <a:extLst>
                <a:ext uri="{63B3BB69-23CF-44E3-9099-C40C66FF867C}">
                  <a14:compatExt spid="_x0000_s5122"/>
                </a:ext>
                <a:ext uri="{FF2B5EF4-FFF2-40B4-BE49-F238E27FC236}">
                  <a16:creationId xmlns:a16="http://schemas.microsoft.com/office/drawing/2014/main" id="{00000000-0008-0000-0200-000002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31750</xdr:colOff>
          <xdr:row>1</xdr:row>
          <xdr:rowOff>19050</xdr:rowOff>
        </xdr:from>
        <xdr:to>
          <xdr:col>2</xdr:col>
          <xdr:colOff>1530350</xdr:colOff>
          <xdr:row>3</xdr:row>
          <xdr:rowOff>19050</xdr:rowOff>
        </xdr:to>
        <xdr:sp macro="" textlink="">
          <xdr:nvSpPr>
            <xdr:cNvPr id="5123" name="Drop Down 3" hidden="1">
              <a:extLst>
                <a:ext uri="{63B3BB69-23CF-44E3-9099-C40C66FF867C}">
                  <a14:compatExt spid="_x0000_s5123"/>
                </a:ext>
                <a:ext uri="{FF2B5EF4-FFF2-40B4-BE49-F238E27FC236}">
                  <a16:creationId xmlns:a16="http://schemas.microsoft.com/office/drawing/2014/main" id="{00000000-0008-0000-0200-000003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</xdr:row>
          <xdr:rowOff>19050</xdr:rowOff>
        </xdr:from>
        <xdr:to>
          <xdr:col>3</xdr:col>
          <xdr:colOff>527050</xdr:colOff>
          <xdr:row>3</xdr:row>
          <xdr:rowOff>19050</xdr:rowOff>
        </xdr:to>
        <xdr:sp macro="" textlink="">
          <xdr:nvSpPr>
            <xdr:cNvPr id="5124" name="Drop Down 4" hidden="1">
              <a:extLst>
                <a:ext uri="{63B3BB69-23CF-44E3-9099-C40C66FF867C}">
                  <a14:compatExt spid="_x0000_s5124"/>
                </a:ext>
                <a:ext uri="{FF2B5EF4-FFF2-40B4-BE49-F238E27FC236}">
                  <a16:creationId xmlns:a16="http://schemas.microsoft.com/office/drawing/2014/main" id="{00000000-0008-0000-0200-000004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0</xdr:col>
      <xdr:colOff>0</xdr:colOff>
      <xdr:row>66</xdr:row>
      <xdr:rowOff>0</xdr:rowOff>
    </xdr:from>
    <xdr:to>
      <xdr:col>2</xdr:col>
      <xdr:colOff>1462275</xdr:colOff>
      <xdr:row>91</xdr:row>
      <xdr:rowOff>28125</xdr:rowOff>
    </xdr:to>
    <xdr:graphicFrame macro="">
      <xdr:nvGraphicFramePr>
        <xdr:cNvPr id="10" name="chEff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66</xdr:row>
      <xdr:rowOff>0</xdr:rowOff>
    </xdr:from>
    <xdr:to>
      <xdr:col>50</xdr:col>
      <xdr:colOff>4950</xdr:colOff>
      <xdr:row>91</xdr:row>
      <xdr:rowOff>28125</xdr:rowOff>
    </xdr:to>
    <xdr:graphicFrame macro="">
      <xdr:nvGraphicFramePr>
        <xdr:cNvPr id="11" name="chEff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92</xdr:row>
      <xdr:rowOff>0</xdr:rowOff>
    </xdr:from>
    <xdr:to>
      <xdr:col>2</xdr:col>
      <xdr:colOff>1462275</xdr:colOff>
      <xdr:row>117</xdr:row>
      <xdr:rowOff>28125</xdr:rowOff>
    </xdr:to>
    <xdr:graphicFrame macro="">
      <xdr:nvGraphicFramePr>
        <xdr:cNvPr id="12" name="chEff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0</xdr:colOff>
      <xdr:row>92</xdr:row>
      <xdr:rowOff>0</xdr:rowOff>
    </xdr:from>
    <xdr:to>
      <xdr:col>50</xdr:col>
      <xdr:colOff>4950</xdr:colOff>
      <xdr:row>117</xdr:row>
      <xdr:rowOff>28125</xdr:rowOff>
    </xdr:to>
    <xdr:graphicFrame macro="">
      <xdr:nvGraphicFramePr>
        <xdr:cNvPr id="13" name="chEff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6350</xdr:colOff>
          <xdr:row>1</xdr:row>
          <xdr:rowOff>6350</xdr:rowOff>
        </xdr:from>
        <xdr:to>
          <xdr:col>0</xdr:col>
          <xdr:colOff>2470150</xdr:colOff>
          <xdr:row>3</xdr:row>
          <xdr:rowOff>6350</xdr:rowOff>
        </xdr:to>
        <xdr:sp macro="" textlink="">
          <xdr:nvSpPr>
            <xdr:cNvPr id="3073" name="Drop Down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3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31750</xdr:colOff>
          <xdr:row>1</xdr:row>
          <xdr:rowOff>19050</xdr:rowOff>
        </xdr:from>
        <xdr:to>
          <xdr:col>1</xdr:col>
          <xdr:colOff>2127250</xdr:colOff>
          <xdr:row>3</xdr:row>
          <xdr:rowOff>19050</xdr:rowOff>
        </xdr:to>
        <xdr:sp macro="" textlink="">
          <xdr:nvSpPr>
            <xdr:cNvPr id="3074" name="Drop Down 2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00000000-0008-0000-0300-00000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31750</xdr:colOff>
          <xdr:row>1</xdr:row>
          <xdr:rowOff>19050</xdr:rowOff>
        </xdr:from>
        <xdr:to>
          <xdr:col>2</xdr:col>
          <xdr:colOff>1530350</xdr:colOff>
          <xdr:row>3</xdr:row>
          <xdr:rowOff>19050</xdr:rowOff>
        </xdr:to>
        <xdr:sp macro="" textlink="">
          <xdr:nvSpPr>
            <xdr:cNvPr id="3075" name="Drop Down 3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00000000-0008-0000-0300-00000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</xdr:row>
          <xdr:rowOff>19050</xdr:rowOff>
        </xdr:from>
        <xdr:to>
          <xdr:col>3</xdr:col>
          <xdr:colOff>527050</xdr:colOff>
          <xdr:row>3</xdr:row>
          <xdr:rowOff>19050</xdr:rowOff>
        </xdr:to>
        <xdr:sp macro="" textlink="">
          <xdr:nvSpPr>
            <xdr:cNvPr id="3076" name="Drop Down 4" hidden="1">
              <a:extLst>
                <a:ext uri="{63B3BB69-23CF-44E3-9099-C40C66FF867C}">
                  <a14:compatExt spid="_x0000_s3076"/>
                </a:ext>
                <a:ext uri="{FF2B5EF4-FFF2-40B4-BE49-F238E27FC236}">
                  <a16:creationId xmlns:a16="http://schemas.microsoft.com/office/drawing/2014/main" id="{00000000-0008-0000-0300-00000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6350</xdr:colOff>
          <xdr:row>5</xdr:row>
          <xdr:rowOff>6350</xdr:rowOff>
        </xdr:from>
        <xdr:to>
          <xdr:col>0</xdr:col>
          <xdr:colOff>2470150</xdr:colOff>
          <xdr:row>7</xdr:row>
          <xdr:rowOff>6350</xdr:rowOff>
        </xdr:to>
        <xdr:sp macro="" textlink="">
          <xdr:nvSpPr>
            <xdr:cNvPr id="3077" name="Drop Down 5" hidden="1">
              <a:extLst>
                <a:ext uri="{63B3BB69-23CF-44E3-9099-C40C66FF867C}">
                  <a14:compatExt spid="_x0000_s3077"/>
                </a:ext>
                <a:ext uri="{FF2B5EF4-FFF2-40B4-BE49-F238E27FC236}">
                  <a16:creationId xmlns:a16="http://schemas.microsoft.com/office/drawing/2014/main" id="{00000000-0008-0000-0300-00000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31750</xdr:colOff>
          <xdr:row>5</xdr:row>
          <xdr:rowOff>19050</xdr:rowOff>
        </xdr:from>
        <xdr:to>
          <xdr:col>1</xdr:col>
          <xdr:colOff>2127250</xdr:colOff>
          <xdr:row>7</xdr:row>
          <xdr:rowOff>19050</xdr:rowOff>
        </xdr:to>
        <xdr:sp macro="" textlink="">
          <xdr:nvSpPr>
            <xdr:cNvPr id="3078" name="Drop Down 6" hidden="1">
              <a:extLst>
                <a:ext uri="{63B3BB69-23CF-44E3-9099-C40C66FF867C}">
                  <a14:compatExt spid="_x0000_s3078"/>
                </a:ext>
                <a:ext uri="{FF2B5EF4-FFF2-40B4-BE49-F238E27FC236}">
                  <a16:creationId xmlns:a16="http://schemas.microsoft.com/office/drawing/2014/main" id="{00000000-0008-0000-0300-00000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31750</xdr:colOff>
          <xdr:row>5</xdr:row>
          <xdr:rowOff>19050</xdr:rowOff>
        </xdr:from>
        <xdr:to>
          <xdr:col>2</xdr:col>
          <xdr:colOff>1530350</xdr:colOff>
          <xdr:row>7</xdr:row>
          <xdr:rowOff>19050</xdr:rowOff>
        </xdr:to>
        <xdr:sp macro="" textlink="">
          <xdr:nvSpPr>
            <xdr:cNvPr id="3080" name="Drop Down 8" hidden="1">
              <a:extLst>
                <a:ext uri="{63B3BB69-23CF-44E3-9099-C40C66FF867C}">
                  <a14:compatExt spid="_x0000_s3080"/>
                </a:ext>
                <a:ext uri="{FF2B5EF4-FFF2-40B4-BE49-F238E27FC236}">
                  <a16:creationId xmlns:a16="http://schemas.microsoft.com/office/drawing/2014/main" id="{00000000-0008-0000-0300-00000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5</xdr:row>
          <xdr:rowOff>19050</xdr:rowOff>
        </xdr:from>
        <xdr:to>
          <xdr:col>3</xdr:col>
          <xdr:colOff>527050</xdr:colOff>
          <xdr:row>7</xdr:row>
          <xdr:rowOff>19050</xdr:rowOff>
        </xdr:to>
        <xdr:sp macro="" textlink="">
          <xdr:nvSpPr>
            <xdr:cNvPr id="3081" name="Drop Down 9" hidden="1">
              <a:extLst>
                <a:ext uri="{63B3BB69-23CF-44E3-9099-C40C66FF867C}">
                  <a14:compatExt spid="_x0000_s3081"/>
                </a:ext>
                <a:ext uri="{FF2B5EF4-FFF2-40B4-BE49-F238E27FC236}">
                  <a16:creationId xmlns:a16="http://schemas.microsoft.com/office/drawing/2014/main" id="{00000000-0008-0000-0300-00000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0</xdr:colOff>
          <xdr:row>3</xdr:row>
          <xdr:rowOff>6350</xdr:rowOff>
        </xdr:from>
        <xdr:to>
          <xdr:col>24</xdr:col>
          <xdr:colOff>533400</xdr:colOff>
          <xdr:row>4</xdr:row>
          <xdr:rowOff>114300</xdr:rowOff>
        </xdr:to>
        <xdr:sp macro="" textlink="">
          <xdr:nvSpPr>
            <xdr:cNvPr id="3088" name="Drop Down 16" hidden="1">
              <a:extLst>
                <a:ext uri="{63B3BB69-23CF-44E3-9099-C40C66FF867C}">
                  <a14:compatExt spid="_x0000_s3088"/>
                </a:ext>
                <a:ext uri="{FF2B5EF4-FFF2-40B4-BE49-F238E27FC236}">
                  <a16:creationId xmlns:a16="http://schemas.microsoft.com/office/drawing/2014/main" id="{00000000-0008-0000-0300-00001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29</xdr:col>
          <xdr:colOff>19050</xdr:colOff>
          <xdr:row>3</xdr:row>
          <xdr:rowOff>19050</xdr:rowOff>
        </xdr:from>
        <xdr:to>
          <xdr:col>34</xdr:col>
          <xdr:colOff>336550</xdr:colOff>
          <xdr:row>4</xdr:row>
          <xdr:rowOff>120650</xdr:rowOff>
        </xdr:to>
        <xdr:sp macro="" textlink="">
          <xdr:nvSpPr>
            <xdr:cNvPr id="3089" name="Drop Down 17" hidden="1">
              <a:extLst>
                <a:ext uri="{63B3BB69-23CF-44E3-9099-C40C66FF867C}">
                  <a14:compatExt spid="_x0000_s3089"/>
                </a:ext>
                <a:ext uri="{FF2B5EF4-FFF2-40B4-BE49-F238E27FC236}">
                  <a16:creationId xmlns:a16="http://schemas.microsoft.com/office/drawing/2014/main" id="{00000000-0008-0000-0300-00001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39</xdr:col>
          <xdr:colOff>0</xdr:colOff>
          <xdr:row>3</xdr:row>
          <xdr:rowOff>6350</xdr:rowOff>
        </xdr:from>
        <xdr:to>
          <xdr:col>44</xdr:col>
          <xdr:colOff>533400</xdr:colOff>
          <xdr:row>4</xdr:row>
          <xdr:rowOff>114300</xdr:rowOff>
        </xdr:to>
        <xdr:sp macro="" textlink="">
          <xdr:nvSpPr>
            <xdr:cNvPr id="3090" name="Drop Down 18" hidden="1">
              <a:extLst>
                <a:ext uri="{63B3BB69-23CF-44E3-9099-C40C66FF867C}">
                  <a14:compatExt spid="_x0000_s3090"/>
                </a:ext>
                <a:ext uri="{FF2B5EF4-FFF2-40B4-BE49-F238E27FC236}">
                  <a16:creationId xmlns:a16="http://schemas.microsoft.com/office/drawing/2014/main" id="{00000000-0008-0000-0300-00001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0</xdr:col>
      <xdr:colOff>0</xdr:colOff>
      <xdr:row>151</xdr:row>
      <xdr:rowOff>0</xdr:rowOff>
    </xdr:from>
    <xdr:to>
      <xdr:col>2</xdr:col>
      <xdr:colOff>1462275</xdr:colOff>
      <xdr:row>176</xdr:row>
      <xdr:rowOff>28125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00000000-0008-0000-0300-00001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177</xdr:row>
      <xdr:rowOff>0</xdr:rowOff>
    </xdr:from>
    <xdr:to>
      <xdr:col>2</xdr:col>
      <xdr:colOff>1462275</xdr:colOff>
      <xdr:row>202</xdr:row>
      <xdr:rowOff>28125</xdr:rowOff>
    </xdr:to>
    <xdr:graphicFrame macro="">
      <xdr:nvGraphicFramePr>
        <xdr:cNvPr id="35" name="chEff">
          <a:extLst>
            <a:ext uri="{FF2B5EF4-FFF2-40B4-BE49-F238E27FC236}">
              <a16:creationId xmlns:a16="http://schemas.microsoft.com/office/drawing/2014/main" id="{00000000-0008-0000-0300-00002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203</xdr:row>
      <xdr:rowOff>0</xdr:rowOff>
    </xdr:from>
    <xdr:to>
      <xdr:col>2</xdr:col>
      <xdr:colOff>1462275</xdr:colOff>
      <xdr:row>228</xdr:row>
      <xdr:rowOff>28125</xdr:rowOff>
    </xdr:to>
    <xdr:graphicFrame macro="">
      <xdr:nvGraphicFramePr>
        <xdr:cNvPr id="37" name="chEff">
          <a:extLst>
            <a:ext uri="{FF2B5EF4-FFF2-40B4-BE49-F238E27FC236}">
              <a16:creationId xmlns:a16="http://schemas.microsoft.com/office/drawing/2014/main" id="{00000000-0008-0000-0300-00002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229</xdr:row>
      <xdr:rowOff>0</xdr:rowOff>
    </xdr:from>
    <xdr:to>
      <xdr:col>2</xdr:col>
      <xdr:colOff>1462275</xdr:colOff>
      <xdr:row>254</xdr:row>
      <xdr:rowOff>28125</xdr:rowOff>
    </xdr:to>
    <xdr:graphicFrame macro="">
      <xdr:nvGraphicFramePr>
        <xdr:cNvPr id="39" name="chEff">
          <a:extLst>
            <a:ext uri="{FF2B5EF4-FFF2-40B4-BE49-F238E27FC236}">
              <a16:creationId xmlns:a16="http://schemas.microsoft.com/office/drawing/2014/main" id="{00000000-0008-0000-0300-00002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255</xdr:row>
      <xdr:rowOff>0</xdr:rowOff>
    </xdr:from>
    <xdr:to>
      <xdr:col>2</xdr:col>
      <xdr:colOff>1462275</xdr:colOff>
      <xdr:row>280</xdr:row>
      <xdr:rowOff>28125</xdr:rowOff>
    </xdr:to>
    <xdr:graphicFrame macro="">
      <xdr:nvGraphicFramePr>
        <xdr:cNvPr id="41" name="chEff">
          <a:extLst>
            <a:ext uri="{FF2B5EF4-FFF2-40B4-BE49-F238E27FC236}">
              <a16:creationId xmlns:a16="http://schemas.microsoft.com/office/drawing/2014/main" id="{00000000-0008-0000-0300-00002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0</xdr:colOff>
      <xdr:row>281</xdr:row>
      <xdr:rowOff>0</xdr:rowOff>
    </xdr:from>
    <xdr:to>
      <xdr:col>2</xdr:col>
      <xdr:colOff>1462275</xdr:colOff>
      <xdr:row>306</xdr:row>
      <xdr:rowOff>28125</xdr:rowOff>
    </xdr:to>
    <xdr:graphicFrame macro="">
      <xdr:nvGraphicFramePr>
        <xdr:cNvPr id="43" name="chEff">
          <a:extLst>
            <a:ext uri="{FF2B5EF4-FFF2-40B4-BE49-F238E27FC236}">
              <a16:creationId xmlns:a16="http://schemas.microsoft.com/office/drawing/2014/main" id="{00000000-0008-0000-0300-00002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307</xdr:row>
      <xdr:rowOff>0</xdr:rowOff>
    </xdr:from>
    <xdr:to>
      <xdr:col>2</xdr:col>
      <xdr:colOff>1462275</xdr:colOff>
      <xdr:row>332</xdr:row>
      <xdr:rowOff>28125</xdr:rowOff>
    </xdr:to>
    <xdr:graphicFrame macro="">
      <xdr:nvGraphicFramePr>
        <xdr:cNvPr id="45" name="chEff">
          <a:extLst>
            <a:ext uri="{FF2B5EF4-FFF2-40B4-BE49-F238E27FC236}">
              <a16:creationId xmlns:a16="http://schemas.microsoft.com/office/drawing/2014/main" id="{00000000-0008-0000-0300-00002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</xdr:col>
      <xdr:colOff>0</xdr:colOff>
      <xdr:row>151</xdr:row>
      <xdr:rowOff>0</xdr:rowOff>
    </xdr:from>
    <xdr:to>
      <xdr:col>49</xdr:col>
      <xdr:colOff>566925</xdr:colOff>
      <xdr:row>176</xdr:row>
      <xdr:rowOff>28125</xdr:rowOff>
    </xdr:to>
    <xdr:graphicFrame macro="">
      <xdr:nvGraphicFramePr>
        <xdr:cNvPr id="49" name="Chart 48">
          <a:extLst>
            <a:ext uri="{FF2B5EF4-FFF2-40B4-BE49-F238E27FC236}">
              <a16:creationId xmlns:a16="http://schemas.microsoft.com/office/drawing/2014/main" id="{00000000-0008-0000-0300-00003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</xdr:col>
      <xdr:colOff>0</xdr:colOff>
      <xdr:row>177</xdr:row>
      <xdr:rowOff>0</xdr:rowOff>
    </xdr:from>
    <xdr:to>
      <xdr:col>49</xdr:col>
      <xdr:colOff>566925</xdr:colOff>
      <xdr:row>202</xdr:row>
      <xdr:rowOff>28125</xdr:rowOff>
    </xdr:to>
    <xdr:graphicFrame macro="">
      <xdr:nvGraphicFramePr>
        <xdr:cNvPr id="50" name="chEff">
          <a:extLst>
            <a:ext uri="{FF2B5EF4-FFF2-40B4-BE49-F238E27FC236}">
              <a16:creationId xmlns:a16="http://schemas.microsoft.com/office/drawing/2014/main" id="{00000000-0008-0000-0300-00003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</xdr:col>
      <xdr:colOff>0</xdr:colOff>
      <xdr:row>203</xdr:row>
      <xdr:rowOff>0</xdr:rowOff>
    </xdr:from>
    <xdr:to>
      <xdr:col>49</xdr:col>
      <xdr:colOff>566925</xdr:colOff>
      <xdr:row>228</xdr:row>
      <xdr:rowOff>28125</xdr:rowOff>
    </xdr:to>
    <xdr:graphicFrame macro="">
      <xdr:nvGraphicFramePr>
        <xdr:cNvPr id="51" name="chEff">
          <a:extLst>
            <a:ext uri="{FF2B5EF4-FFF2-40B4-BE49-F238E27FC236}">
              <a16:creationId xmlns:a16="http://schemas.microsoft.com/office/drawing/2014/main" id="{00000000-0008-0000-0300-00003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3</xdr:col>
      <xdr:colOff>0</xdr:colOff>
      <xdr:row>229</xdr:row>
      <xdr:rowOff>0</xdr:rowOff>
    </xdr:from>
    <xdr:to>
      <xdr:col>49</xdr:col>
      <xdr:colOff>566925</xdr:colOff>
      <xdr:row>254</xdr:row>
      <xdr:rowOff>28125</xdr:rowOff>
    </xdr:to>
    <xdr:graphicFrame macro="">
      <xdr:nvGraphicFramePr>
        <xdr:cNvPr id="52" name="chEff">
          <a:extLst>
            <a:ext uri="{FF2B5EF4-FFF2-40B4-BE49-F238E27FC236}">
              <a16:creationId xmlns:a16="http://schemas.microsoft.com/office/drawing/2014/main" id="{00000000-0008-0000-0300-00003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3</xdr:col>
      <xdr:colOff>0</xdr:colOff>
      <xdr:row>255</xdr:row>
      <xdr:rowOff>0</xdr:rowOff>
    </xdr:from>
    <xdr:to>
      <xdr:col>49</xdr:col>
      <xdr:colOff>566925</xdr:colOff>
      <xdr:row>280</xdr:row>
      <xdr:rowOff>28125</xdr:rowOff>
    </xdr:to>
    <xdr:graphicFrame macro="">
      <xdr:nvGraphicFramePr>
        <xdr:cNvPr id="53" name="chEff">
          <a:extLst>
            <a:ext uri="{FF2B5EF4-FFF2-40B4-BE49-F238E27FC236}">
              <a16:creationId xmlns:a16="http://schemas.microsoft.com/office/drawing/2014/main" id="{00000000-0008-0000-0300-00003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</xdr:col>
      <xdr:colOff>0</xdr:colOff>
      <xdr:row>281</xdr:row>
      <xdr:rowOff>0</xdr:rowOff>
    </xdr:from>
    <xdr:to>
      <xdr:col>49</xdr:col>
      <xdr:colOff>566925</xdr:colOff>
      <xdr:row>306</xdr:row>
      <xdr:rowOff>28125</xdr:rowOff>
    </xdr:to>
    <xdr:graphicFrame macro="">
      <xdr:nvGraphicFramePr>
        <xdr:cNvPr id="54" name="chEff">
          <a:extLst>
            <a:ext uri="{FF2B5EF4-FFF2-40B4-BE49-F238E27FC236}">
              <a16:creationId xmlns:a16="http://schemas.microsoft.com/office/drawing/2014/main" id="{00000000-0008-0000-0300-00003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</xdr:col>
      <xdr:colOff>0</xdr:colOff>
      <xdr:row>307</xdr:row>
      <xdr:rowOff>0</xdr:rowOff>
    </xdr:from>
    <xdr:to>
      <xdr:col>49</xdr:col>
      <xdr:colOff>566925</xdr:colOff>
      <xdr:row>332</xdr:row>
      <xdr:rowOff>28125</xdr:rowOff>
    </xdr:to>
    <xdr:graphicFrame macro="">
      <xdr:nvGraphicFramePr>
        <xdr:cNvPr id="55" name="chEff">
          <a:extLst>
            <a:ext uri="{FF2B5EF4-FFF2-40B4-BE49-F238E27FC236}">
              <a16:creationId xmlns:a16="http://schemas.microsoft.com/office/drawing/2014/main" id="{00000000-0008-0000-0300-00003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0.01803</cdr:x>
      <cdr:y>0.01528</cdr:y>
    </cdr:from>
    <cdr:to>
      <cdr:x>0.65452</cdr:x>
      <cdr:y>0.06366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23825" y="57150"/>
          <a:ext cx="4371975" cy="1809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GB" sz="1100"/>
        </a:p>
      </cdr:txBody>
    </cdr: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0.90152</cdr:x>
      <cdr:y>0.00353</cdr:y>
    </cdr:from>
    <cdr:to>
      <cdr:x>1</cdr:x>
      <cdr:y>0.11994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5841825" y="12700"/>
          <a:ext cx="638175" cy="419100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en-GB" sz="1000">
              <a:solidFill>
                <a:schemeClr val="accent5">
                  <a:lumMod val="50000"/>
                </a:schemeClr>
              </a:solidFill>
            </a:rPr>
            <a:t>left</a:t>
          </a:r>
          <a:r>
            <a:rPr lang="en-GB" sz="1000"/>
            <a:t>-</a:t>
          </a:r>
        </a:p>
        <a:p xmlns:a="http://schemas.openxmlformats.org/drawingml/2006/main">
          <a:pPr algn="l"/>
          <a:r>
            <a:rPr lang="en-GB" sz="1000">
              <a:solidFill>
                <a:schemeClr val="accent2">
                  <a:lumMod val="50000"/>
                </a:schemeClr>
              </a:solidFill>
            </a:rPr>
            <a:t>    right</a:t>
          </a:r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0.89711</cdr:x>
      <cdr:y>0.01058</cdr:y>
    </cdr:from>
    <cdr:to>
      <cdr:x>0.99559</cdr:x>
      <cdr:y>0.127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5813250" y="38100"/>
          <a:ext cx="638175" cy="419100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en-GB" sz="1000">
              <a:solidFill>
                <a:schemeClr val="accent5">
                  <a:lumMod val="50000"/>
                </a:schemeClr>
              </a:solidFill>
            </a:rPr>
            <a:t>left</a:t>
          </a:r>
          <a:r>
            <a:rPr lang="en-GB" sz="1000"/>
            <a:t>-</a:t>
          </a:r>
        </a:p>
        <a:p xmlns:a="http://schemas.openxmlformats.org/drawingml/2006/main">
          <a:pPr algn="l"/>
          <a:r>
            <a:rPr lang="en-GB" sz="1000">
              <a:solidFill>
                <a:schemeClr val="accent2">
                  <a:lumMod val="50000"/>
                </a:schemeClr>
              </a:solidFill>
            </a:rPr>
            <a:t>    right</a:t>
          </a:r>
        </a:p>
      </cdr:txBody>
    </cdr:sp>
  </cdr:relSizeAnchor>
</c:userShapes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0.89711</cdr:x>
      <cdr:y>0.01058</cdr:y>
    </cdr:from>
    <cdr:to>
      <cdr:x>0.99559</cdr:x>
      <cdr:y>0.127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5813250" y="38100"/>
          <a:ext cx="638175" cy="419100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en-GB" sz="1000">
              <a:solidFill>
                <a:schemeClr val="accent5">
                  <a:lumMod val="50000"/>
                </a:schemeClr>
              </a:solidFill>
            </a:rPr>
            <a:t>left</a:t>
          </a:r>
          <a:r>
            <a:rPr lang="en-GB" sz="1000"/>
            <a:t>-</a:t>
          </a:r>
        </a:p>
        <a:p xmlns:a="http://schemas.openxmlformats.org/drawingml/2006/main">
          <a:pPr algn="l"/>
          <a:r>
            <a:rPr lang="en-GB" sz="1000">
              <a:solidFill>
                <a:schemeClr val="accent2">
                  <a:lumMod val="50000"/>
                </a:schemeClr>
              </a:solidFill>
            </a:rPr>
            <a:t>    right</a:t>
          </a:r>
        </a:p>
      </cdr:txBody>
    </cdr:sp>
  </cdr:relSizeAnchor>
</c:userShapes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0.89711</cdr:x>
      <cdr:y>0.01058</cdr:y>
    </cdr:from>
    <cdr:to>
      <cdr:x>0.99559</cdr:x>
      <cdr:y>0.127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5813250" y="38100"/>
          <a:ext cx="638175" cy="419100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en-GB" sz="1000">
              <a:solidFill>
                <a:schemeClr val="accent5">
                  <a:lumMod val="50000"/>
                </a:schemeClr>
              </a:solidFill>
            </a:rPr>
            <a:t>left</a:t>
          </a:r>
          <a:r>
            <a:rPr lang="en-GB" sz="1000"/>
            <a:t>-</a:t>
          </a:r>
        </a:p>
        <a:p xmlns:a="http://schemas.openxmlformats.org/drawingml/2006/main">
          <a:pPr algn="l"/>
          <a:r>
            <a:rPr lang="en-GB" sz="1000">
              <a:solidFill>
                <a:schemeClr val="accent2">
                  <a:lumMod val="50000"/>
                </a:schemeClr>
              </a:solidFill>
            </a:rPr>
            <a:t>    right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JRC-C6-POTENCIA@ec.europa.eu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Relationship Id="rId6" Type="http://schemas.openxmlformats.org/officeDocument/2006/relationships/ctrlProp" Target="../ctrlProps/ctrlProp4.xml"/><Relationship Id="rId5" Type="http://schemas.openxmlformats.org/officeDocument/2006/relationships/ctrlProp" Target="../ctrlProps/ctrlProp3.xml"/><Relationship Id="rId4" Type="http://schemas.openxmlformats.org/officeDocument/2006/relationships/ctrlProp" Target="../ctrlProps/ctrlProp2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0.xml"/><Relationship Id="rId13" Type="http://schemas.openxmlformats.org/officeDocument/2006/relationships/ctrlProp" Target="../ctrlProps/ctrlProp15.xml"/><Relationship Id="rId3" Type="http://schemas.openxmlformats.org/officeDocument/2006/relationships/ctrlProp" Target="../ctrlProps/ctrlProp5.xml"/><Relationship Id="rId7" Type="http://schemas.openxmlformats.org/officeDocument/2006/relationships/ctrlProp" Target="../ctrlProps/ctrlProp9.xml"/><Relationship Id="rId12" Type="http://schemas.openxmlformats.org/officeDocument/2006/relationships/ctrlProp" Target="../ctrlProps/ctrlProp14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3.xml"/><Relationship Id="rId6" Type="http://schemas.openxmlformats.org/officeDocument/2006/relationships/ctrlProp" Target="../ctrlProps/ctrlProp8.xml"/><Relationship Id="rId11" Type="http://schemas.openxmlformats.org/officeDocument/2006/relationships/ctrlProp" Target="../ctrlProps/ctrlProp13.xml"/><Relationship Id="rId5" Type="http://schemas.openxmlformats.org/officeDocument/2006/relationships/ctrlProp" Target="../ctrlProps/ctrlProp7.xml"/><Relationship Id="rId10" Type="http://schemas.openxmlformats.org/officeDocument/2006/relationships/ctrlProp" Target="../ctrlProps/ctrlProp12.xml"/><Relationship Id="rId4" Type="http://schemas.openxmlformats.org/officeDocument/2006/relationships/ctrlProp" Target="../ctrlProps/ctrlProp6.xml"/><Relationship Id="rId9" Type="http://schemas.openxmlformats.org/officeDocument/2006/relationships/ctrlProp" Target="../ctrlProps/ctrlProp1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4">
    <pageSetUpPr fitToPage="1"/>
  </sheetPr>
  <dimension ref="A1:L54"/>
  <sheetViews>
    <sheetView showGridLines="0" zoomScale="80" zoomScaleNormal="80" workbookViewId="0">
      <selection activeCell="D10" sqref="D10"/>
    </sheetView>
  </sheetViews>
  <sheetFormatPr defaultColWidth="9.08984375" defaultRowHeight="10.5" x14ac:dyDescent="0.35"/>
  <cols>
    <col min="1" max="1" width="9.7265625" style="308" customWidth="1"/>
    <col min="2" max="2" width="9.7265625" style="309" customWidth="1"/>
    <col min="3" max="3" width="107.453125" style="307" customWidth="1"/>
    <col min="4" max="4" width="44.7265625" style="307" customWidth="1"/>
    <col min="5" max="6" width="9.7265625" style="307" customWidth="1"/>
    <col min="7" max="16384" width="9.08984375" style="307"/>
  </cols>
  <sheetData>
    <row r="1" spans="1:10" ht="62.25" customHeight="1" x14ac:dyDescent="0.35"/>
    <row r="2" spans="1:10" ht="30" x14ac:dyDescent="0.6">
      <c r="A2" s="304"/>
      <c r="B2" s="305" t="s">
        <v>108</v>
      </c>
      <c r="C2" s="306"/>
      <c r="D2" s="306"/>
      <c r="E2" s="306"/>
      <c r="F2" s="306"/>
    </row>
    <row r="3" spans="1:10" hidden="1" x14ac:dyDescent="0.35"/>
    <row r="4" spans="1:10" hidden="1" x14ac:dyDescent="0.35">
      <c r="B4" s="308"/>
      <c r="C4" s="308"/>
    </row>
    <row r="5" spans="1:10" ht="11.25" hidden="1" customHeight="1" x14ac:dyDescent="0.35">
      <c r="B5" s="308"/>
      <c r="C5" s="308"/>
    </row>
    <row r="6" spans="1:10" s="308" customFormat="1" ht="11.25" hidden="1" customHeight="1" x14ac:dyDescent="0.35">
      <c r="D6" s="307"/>
      <c r="E6" s="307"/>
      <c r="F6" s="307"/>
      <c r="G6" s="307"/>
      <c r="H6" s="307"/>
      <c r="I6" s="307"/>
      <c r="J6" s="307"/>
    </row>
    <row r="7" spans="1:10" s="308" customFormat="1" ht="12.75" customHeight="1" x14ac:dyDescent="0.35">
      <c r="D7" s="307"/>
      <c r="E7" s="307"/>
      <c r="F7" s="307"/>
      <c r="G7" s="307"/>
      <c r="H7" s="307"/>
      <c r="I7" s="307"/>
      <c r="J7" s="307"/>
    </row>
    <row r="8" spans="1:10" s="308" customFormat="1" ht="12.75" customHeight="1" x14ac:dyDescent="0.35">
      <c r="D8" s="307"/>
      <c r="E8" s="307"/>
      <c r="F8" s="307"/>
      <c r="G8" s="307"/>
      <c r="H8" s="307"/>
      <c r="I8" s="307"/>
      <c r="J8" s="307"/>
    </row>
    <row r="9" spans="1:10" s="308" customFormat="1" ht="25" x14ac:dyDescent="0.35">
      <c r="C9" s="319" t="s">
        <v>114</v>
      </c>
      <c r="D9" s="307"/>
      <c r="E9" s="307"/>
      <c r="F9" s="307"/>
      <c r="G9" s="307"/>
      <c r="H9" s="307"/>
      <c r="I9" s="307"/>
      <c r="J9" s="307"/>
    </row>
    <row r="10" spans="1:10" s="308" customFormat="1" ht="12.75" customHeight="1" x14ac:dyDescent="0.35">
      <c r="D10" s="307"/>
      <c r="E10" s="307"/>
      <c r="F10" s="307"/>
      <c r="G10" s="307"/>
      <c r="H10" s="307"/>
      <c r="I10" s="307"/>
      <c r="J10" s="307"/>
    </row>
    <row r="11" spans="1:10" s="308" customFormat="1" ht="12.75" customHeight="1" x14ac:dyDescent="0.35">
      <c r="D11" s="307"/>
      <c r="E11" s="307"/>
      <c r="F11" s="307"/>
      <c r="G11" s="307"/>
      <c r="H11" s="307"/>
      <c r="I11" s="307"/>
      <c r="J11" s="307"/>
    </row>
    <row r="12" spans="1:10" s="308" customFormat="1" x14ac:dyDescent="0.35">
      <c r="D12" s="307"/>
      <c r="E12" s="307"/>
      <c r="F12" s="307"/>
      <c r="G12" s="307"/>
      <c r="H12" s="307"/>
      <c r="I12" s="307"/>
      <c r="J12" s="307"/>
    </row>
    <row r="13" spans="1:10" s="308" customFormat="1" ht="11.25" customHeight="1" x14ac:dyDescent="0.35">
      <c r="D13" s="307"/>
      <c r="E13" s="307"/>
      <c r="F13" s="307"/>
      <c r="G13" s="307"/>
      <c r="H13" s="307"/>
      <c r="I13" s="307"/>
      <c r="J13" s="307"/>
    </row>
    <row r="14" spans="1:10" s="308" customFormat="1" ht="11.25" customHeight="1" x14ac:dyDescent="0.35">
      <c r="D14" s="307"/>
      <c r="E14" s="307"/>
      <c r="F14" s="307"/>
      <c r="G14" s="307"/>
      <c r="H14" s="307"/>
      <c r="I14" s="307"/>
      <c r="J14" s="307"/>
    </row>
    <row r="15" spans="1:10" s="308" customFormat="1" ht="11.25" customHeight="1" x14ac:dyDescent="0.35">
      <c r="B15" s="309"/>
      <c r="C15" s="307"/>
      <c r="D15" s="307"/>
      <c r="E15" s="307"/>
      <c r="F15" s="307"/>
      <c r="G15" s="307"/>
      <c r="H15" s="307"/>
      <c r="I15" s="307"/>
      <c r="J15" s="307"/>
    </row>
    <row r="16" spans="1:10" s="308" customFormat="1" ht="28" x14ac:dyDescent="0.35">
      <c r="B16" s="310"/>
      <c r="C16" s="311"/>
      <c r="D16" s="312"/>
      <c r="E16" s="307"/>
      <c r="F16" s="307"/>
      <c r="G16" s="307"/>
      <c r="H16" s="307"/>
      <c r="I16" s="307"/>
      <c r="J16" s="307"/>
    </row>
    <row r="17" spans="1:10" s="308" customFormat="1" ht="11.25" customHeight="1" x14ac:dyDescent="0.35">
      <c r="B17" s="309"/>
      <c r="C17" s="307"/>
      <c r="D17" s="307"/>
      <c r="E17" s="307"/>
      <c r="F17" s="307"/>
      <c r="G17" s="307"/>
      <c r="H17" s="307"/>
      <c r="I17" s="307"/>
      <c r="J17" s="307"/>
    </row>
    <row r="18" spans="1:10" s="308" customFormat="1" ht="13.5" customHeight="1" x14ac:dyDescent="0.35">
      <c r="B18" s="309"/>
      <c r="C18" s="307"/>
      <c r="D18" s="307"/>
      <c r="E18" s="307"/>
      <c r="F18" s="307"/>
      <c r="G18" s="307"/>
      <c r="H18" s="307"/>
      <c r="I18" s="307"/>
      <c r="J18" s="307"/>
    </row>
    <row r="19" spans="1:10" s="308" customFormat="1" ht="28" x14ac:dyDescent="0.6">
      <c r="B19" s="309"/>
      <c r="C19" s="320"/>
      <c r="D19" s="307"/>
      <c r="E19" s="307"/>
      <c r="F19" s="307"/>
      <c r="G19" s="307"/>
      <c r="H19" s="307"/>
      <c r="I19" s="307"/>
      <c r="J19" s="307"/>
    </row>
    <row r="20" spans="1:10" ht="10" x14ac:dyDescent="0.35">
      <c r="A20" s="307"/>
    </row>
    <row r="21" spans="1:10" s="308" customFormat="1" ht="11.25" customHeight="1" x14ac:dyDescent="0.35">
      <c r="B21" s="309"/>
      <c r="C21" s="307"/>
      <c r="D21" s="307"/>
      <c r="E21" s="307"/>
      <c r="F21" s="307"/>
      <c r="G21" s="307"/>
      <c r="H21" s="307"/>
      <c r="I21" s="307"/>
      <c r="J21" s="307"/>
    </row>
    <row r="22" spans="1:10" s="308" customFormat="1" x14ac:dyDescent="0.35">
      <c r="B22" s="309"/>
      <c r="C22" s="307"/>
      <c r="D22" s="307"/>
      <c r="E22" s="307"/>
      <c r="F22" s="307"/>
      <c r="G22" s="307"/>
      <c r="H22" s="307"/>
      <c r="I22" s="307"/>
      <c r="J22" s="307"/>
    </row>
    <row r="23" spans="1:10" s="308" customFormat="1" ht="28" x14ac:dyDescent="0.35">
      <c r="B23" s="309"/>
      <c r="C23" s="313"/>
      <c r="D23" s="307"/>
      <c r="E23" s="307"/>
      <c r="F23" s="307"/>
      <c r="G23" s="307"/>
      <c r="H23" s="307"/>
      <c r="I23" s="307"/>
      <c r="J23" s="307"/>
    </row>
    <row r="24" spans="1:10" s="308" customFormat="1" ht="11.25" customHeight="1" x14ac:dyDescent="0.35">
      <c r="B24" s="309"/>
      <c r="C24" s="314"/>
      <c r="D24" s="307"/>
      <c r="E24" s="307"/>
      <c r="F24" s="307"/>
      <c r="G24" s="307"/>
      <c r="H24" s="307"/>
      <c r="I24" s="307"/>
      <c r="J24" s="307"/>
    </row>
    <row r="25" spans="1:10" s="308" customFormat="1" ht="11.25" customHeight="1" x14ac:dyDescent="0.35">
      <c r="B25" s="309"/>
      <c r="C25" s="314"/>
      <c r="D25" s="307"/>
      <c r="E25" s="307"/>
      <c r="F25" s="307"/>
      <c r="G25" s="307"/>
      <c r="H25" s="307"/>
      <c r="I25" s="307"/>
      <c r="J25" s="307"/>
    </row>
    <row r="26" spans="1:10" s="308" customFormat="1" ht="11.25" customHeight="1" x14ac:dyDescent="0.35">
      <c r="B26" s="309"/>
      <c r="C26" s="307"/>
      <c r="D26" s="307"/>
      <c r="E26" s="307"/>
      <c r="F26" s="307"/>
      <c r="G26" s="307"/>
      <c r="H26" s="307"/>
      <c r="I26" s="307"/>
      <c r="J26" s="307"/>
    </row>
    <row r="27" spans="1:10" s="308" customFormat="1" ht="11.25" customHeight="1" x14ac:dyDescent="0.35">
      <c r="B27" s="309"/>
      <c r="C27" s="307"/>
      <c r="D27" s="307"/>
      <c r="E27" s="307"/>
      <c r="F27" s="307"/>
      <c r="G27" s="307"/>
      <c r="H27" s="307"/>
      <c r="I27" s="307"/>
      <c r="J27" s="307"/>
    </row>
    <row r="28" spans="1:10" s="308" customFormat="1" ht="11.25" customHeight="1" x14ac:dyDescent="0.35">
      <c r="B28" s="309"/>
      <c r="C28" s="307"/>
      <c r="D28" s="307"/>
      <c r="E28" s="307"/>
      <c r="F28" s="307"/>
      <c r="G28" s="307"/>
      <c r="H28" s="307"/>
      <c r="I28" s="307"/>
      <c r="J28" s="307"/>
    </row>
    <row r="29" spans="1:10" s="308" customFormat="1" ht="13.5" customHeight="1" x14ac:dyDescent="0.35">
      <c r="B29" s="309"/>
      <c r="C29" s="307"/>
      <c r="D29" s="307"/>
      <c r="E29" s="307"/>
      <c r="F29" s="307"/>
      <c r="G29" s="307"/>
      <c r="H29" s="307"/>
      <c r="I29" s="307"/>
      <c r="J29" s="307"/>
    </row>
    <row r="30" spans="1:10" s="308" customFormat="1" ht="10.5" customHeight="1" x14ac:dyDescent="0.35">
      <c r="B30" s="309"/>
      <c r="C30" s="307"/>
      <c r="D30" s="307"/>
      <c r="E30" s="307"/>
      <c r="F30" s="307"/>
      <c r="G30" s="307"/>
      <c r="H30" s="307"/>
      <c r="I30" s="307"/>
      <c r="J30" s="307"/>
    </row>
    <row r="31" spans="1:10" ht="10" x14ac:dyDescent="0.35">
      <c r="A31" s="307"/>
    </row>
    <row r="32" spans="1:10" s="308" customFormat="1" ht="12.75" customHeight="1" x14ac:dyDescent="0.35">
      <c r="B32" s="309"/>
      <c r="C32" s="307"/>
      <c r="E32" s="307"/>
      <c r="F32" s="307"/>
      <c r="G32" s="307"/>
      <c r="H32" s="307"/>
      <c r="I32" s="307"/>
      <c r="J32" s="307"/>
    </row>
    <row r="33" spans="1:12" s="308" customFormat="1" x14ac:dyDescent="0.35">
      <c r="B33" s="309"/>
      <c r="C33" s="307"/>
      <c r="E33" s="307"/>
      <c r="F33" s="307"/>
      <c r="G33" s="307"/>
      <c r="H33" s="307"/>
      <c r="I33" s="307"/>
      <c r="J33" s="307"/>
    </row>
    <row r="34" spans="1:12" s="308" customFormat="1" x14ac:dyDescent="0.35">
      <c r="B34" s="309"/>
      <c r="C34" s="307"/>
      <c r="D34" s="307"/>
      <c r="E34" s="307"/>
      <c r="F34" s="307"/>
      <c r="G34" s="307"/>
      <c r="H34" s="307"/>
      <c r="I34" s="307"/>
      <c r="J34" s="307"/>
    </row>
    <row r="35" spans="1:12" s="308" customFormat="1" ht="12.75" customHeight="1" x14ac:dyDescent="0.35">
      <c r="B35" s="309"/>
      <c r="C35" s="307"/>
      <c r="D35" s="307"/>
      <c r="E35" s="307"/>
      <c r="F35" s="307"/>
      <c r="G35" s="307"/>
      <c r="H35" s="307"/>
      <c r="I35" s="307"/>
      <c r="J35" s="307"/>
    </row>
    <row r="36" spans="1:12" ht="20" x14ac:dyDescent="0.35">
      <c r="D36" s="315" t="s">
        <v>103</v>
      </c>
    </row>
    <row r="37" spans="1:12" ht="10" x14ac:dyDescent="0.35">
      <c r="A37" s="307"/>
      <c r="B37" s="307"/>
    </row>
    <row r="38" spans="1:12" ht="10" x14ac:dyDescent="0.35">
      <c r="A38" s="307"/>
      <c r="B38" s="307"/>
    </row>
    <row r="39" spans="1:12" ht="10" x14ac:dyDescent="0.35">
      <c r="A39" s="307"/>
      <c r="B39" s="307"/>
    </row>
    <row r="40" spans="1:12" ht="10" x14ac:dyDescent="0.35">
      <c r="A40" s="307"/>
      <c r="B40" s="307"/>
    </row>
    <row r="41" spans="1:12" ht="10" x14ac:dyDescent="0.35">
      <c r="A41" s="307"/>
      <c r="B41" s="307"/>
    </row>
    <row r="42" spans="1:12" ht="18" x14ac:dyDescent="0.35">
      <c r="A42" s="307"/>
      <c r="B42" s="307"/>
      <c r="D42" s="316">
        <v>43763.86534236111</v>
      </c>
    </row>
    <row r="43" spans="1:12" ht="12.5" x14ac:dyDescent="0.35">
      <c r="A43" s="307"/>
      <c r="B43" s="307"/>
      <c r="G43" s="317"/>
      <c r="H43" s="317"/>
      <c r="I43" s="317"/>
      <c r="J43" s="317"/>
      <c r="K43" s="317"/>
      <c r="L43" s="317"/>
    </row>
    <row r="44" spans="1:12" ht="10" x14ac:dyDescent="0.35">
      <c r="A44" s="307"/>
      <c r="B44" s="307"/>
    </row>
    <row r="45" spans="1:12" ht="10" x14ac:dyDescent="0.35">
      <c r="A45" s="307"/>
      <c r="B45" s="307"/>
    </row>
    <row r="46" spans="1:12" ht="14.5" x14ac:dyDescent="0.35">
      <c r="B46" s="318" t="s">
        <v>113</v>
      </c>
    </row>
    <row r="47" spans="1:12" ht="14.5" x14ac:dyDescent="0.35">
      <c r="B47" s="318"/>
    </row>
    <row r="48" spans="1:12" ht="14.5" x14ac:dyDescent="0.35">
      <c r="A48" s="317"/>
      <c r="B48" s="318" t="s">
        <v>104</v>
      </c>
      <c r="C48" s="317"/>
      <c r="D48" s="317"/>
      <c r="E48" s="317"/>
      <c r="F48" s="317"/>
    </row>
    <row r="49" spans="2:12" ht="14.5" x14ac:dyDescent="0.35">
      <c r="B49" s="318"/>
    </row>
    <row r="50" spans="2:12" ht="14.5" x14ac:dyDescent="0.35">
      <c r="B50" s="318" t="s">
        <v>105</v>
      </c>
    </row>
    <row r="51" spans="2:12" ht="14.5" x14ac:dyDescent="0.35">
      <c r="B51" s="318" t="s">
        <v>106</v>
      </c>
    </row>
    <row r="52" spans="2:12" ht="12.5" x14ac:dyDescent="0.35">
      <c r="B52" s="308"/>
      <c r="G52" s="317"/>
      <c r="H52" s="317"/>
      <c r="I52" s="317"/>
      <c r="J52" s="317"/>
      <c r="K52" s="317"/>
      <c r="L52" s="317"/>
    </row>
    <row r="53" spans="2:12" ht="14.5" x14ac:dyDescent="0.35">
      <c r="B53" s="318" t="s">
        <v>107</v>
      </c>
    </row>
    <row r="54" spans="2:12" ht="14.5" x14ac:dyDescent="0.35">
      <c r="B54" s="318" t="s">
        <v>115</v>
      </c>
    </row>
  </sheetData>
  <hyperlinks>
    <hyperlink ref="D39" r:id="rId1" display="JRC-C6-POTENCIA@ec.europa.eu" xr:uid="{00000000-0004-0000-0000-000000000000}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73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0"/>
  <dimension ref="A1:U273"/>
  <sheetViews>
    <sheetView showGridLines="0" tabSelected="1" workbookViewId="0">
      <pane xSplit="4" ySplit="1" topLeftCell="E154" activePane="bottomRight" state="frozen"/>
      <selection pane="topRight" activeCell="E1" sqref="E1"/>
      <selection pane="bottomLeft" activeCell="A3" sqref="A3"/>
      <selection pane="bottomRight" activeCell="B175" sqref="B175"/>
    </sheetView>
  </sheetViews>
  <sheetFormatPr defaultColWidth="8.81640625" defaultRowHeight="15" customHeight="1" x14ac:dyDescent="0.35"/>
  <cols>
    <col min="1" max="1" width="27.08984375" style="133" bestFit="1" customWidth="1"/>
    <col min="2" max="2" width="23.7265625" style="133" bestFit="1" customWidth="1"/>
    <col min="3" max="3" width="14.90625" style="133" bestFit="1" customWidth="1"/>
    <col min="4" max="4" width="6.7265625" customWidth="1"/>
    <col min="5" max="20" width="10.7265625" customWidth="1"/>
  </cols>
  <sheetData>
    <row r="1" spans="1:21" ht="54" customHeight="1" thickBot="1" x14ac:dyDescent="0.4">
      <c r="A1" s="337" t="s">
        <v>49</v>
      </c>
      <c r="B1" s="1" t="s">
        <v>50</v>
      </c>
      <c r="C1" s="1" t="s">
        <v>51</v>
      </c>
      <c r="D1" s="338" t="s">
        <v>52</v>
      </c>
      <c r="E1" s="340" t="s">
        <v>47</v>
      </c>
      <c r="F1" s="339" t="s">
        <v>0</v>
      </c>
      <c r="G1" s="339" t="s">
        <v>3</v>
      </c>
      <c r="H1" s="339" t="s">
        <v>1</v>
      </c>
      <c r="I1" s="339" t="s">
        <v>56</v>
      </c>
      <c r="J1" s="339" t="s">
        <v>119</v>
      </c>
      <c r="K1" s="339" t="s">
        <v>120</v>
      </c>
      <c r="L1" s="339" t="s">
        <v>48</v>
      </c>
      <c r="M1" s="339" t="s">
        <v>2</v>
      </c>
      <c r="N1" s="339" t="s">
        <v>118</v>
      </c>
      <c r="O1" s="339" t="s">
        <v>117</v>
      </c>
      <c r="P1" s="339" t="s">
        <v>116</v>
      </c>
      <c r="Q1" s="339" t="s">
        <v>53</v>
      </c>
      <c r="R1" s="339"/>
      <c r="S1" s="339"/>
      <c r="T1" s="341" t="s">
        <v>98</v>
      </c>
    </row>
    <row r="2" spans="1:21" ht="15" customHeight="1" x14ac:dyDescent="0.35">
      <c r="A2" s="326" t="s">
        <v>4</v>
      </c>
      <c r="B2" s="328" t="s">
        <v>5</v>
      </c>
      <c r="C2" s="321" t="s">
        <v>6</v>
      </c>
      <c r="D2" s="61" t="s">
        <v>7</v>
      </c>
      <c r="E2" s="8">
        <v>1250000</v>
      </c>
      <c r="F2" s="9">
        <v>50</v>
      </c>
      <c r="G2" s="38">
        <v>9</v>
      </c>
      <c r="H2" s="10">
        <v>0.92</v>
      </c>
      <c r="I2" s="10">
        <v>0.33333333333333331</v>
      </c>
      <c r="J2" s="10">
        <v>0</v>
      </c>
      <c r="K2" s="10">
        <v>0</v>
      </c>
      <c r="L2" s="10">
        <v>0</v>
      </c>
      <c r="M2" s="10">
        <v>4.3999999999999997E-2</v>
      </c>
      <c r="N2" s="9">
        <v>4900</v>
      </c>
      <c r="O2" s="30">
        <v>98</v>
      </c>
      <c r="P2" s="226">
        <v>8.0422039859320034</v>
      </c>
      <c r="Q2" s="44">
        <v>6500</v>
      </c>
      <c r="R2" s="44">
        <v>8500</v>
      </c>
      <c r="S2" s="44">
        <v>8760</v>
      </c>
      <c r="T2" s="303">
        <v>2010</v>
      </c>
      <c r="U2" s="287"/>
    </row>
    <row r="3" spans="1:21" ht="15" customHeight="1" x14ac:dyDescent="0.35">
      <c r="A3" s="326" t="str">
        <f t="shared" ref="A3:A7" si="0">A2</f>
        <v>Nuclear power plants</v>
      </c>
      <c r="B3" s="328" t="str">
        <f t="shared" ref="B3:C3" si="1">B2</f>
        <v>Nuclear - current</v>
      </c>
      <c r="C3" s="321" t="str">
        <f t="shared" si="1"/>
        <v>Electricity only</v>
      </c>
      <c r="D3" s="63" t="s">
        <v>8</v>
      </c>
      <c r="E3" s="20">
        <v>600000</v>
      </c>
      <c r="F3" s="21">
        <v>50</v>
      </c>
      <c r="G3" s="286">
        <v>9</v>
      </c>
      <c r="H3" s="22">
        <v>0.92</v>
      </c>
      <c r="I3" s="22">
        <v>0.33333333333333331</v>
      </c>
      <c r="J3" s="22">
        <v>0</v>
      </c>
      <c r="K3" s="22">
        <v>0</v>
      </c>
      <c r="L3" s="22">
        <v>0</v>
      </c>
      <c r="M3" s="22">
        <v>6.6000000000000003E-2</v>
      </c>
      <c r="N3" s="21">
        <v>5145</v>
      </c>
      <c r="O3" s="33">
        <v>102.9</v>
      </c>
      <c r="P3" s="230">
        <v>8.4443141852286043</v>
      </c>
      <c r="Q3" s="48">
        <v>4875</v>
      </c>
      <c r="R3" s="48">
        <v>7820.7259522624354</v>
      </c>
      <c r="S3" s="48">
        <v>8270.2065989433413</v>
      </c>
      <c r="T3" s="55">
        <v>2010</v>
      </c>
    </row>
    <row r="4" spans="1:21" ht="15" customHeight="1" x14ac:dyDescent="0.35">
      <c r="A4" s="326" t="str">
        <f t="shared" si="0"/>
        <v>Nuclear power plants</v>
      </c>
      <c r="B4" s="329" t="s">
        <v>9</v>
      </c>
      <c r="C4" s="322" t="s">
        <v>6</v>
      </c>
      <c r="D4" s="61" t="s">
        <v>7</v>
      </c>
      <c r="E4" s="8">
        <v>1250000</v>
      </c>
      <c r="F4" s="9">
        <v>60</v>
      </c>
      <c r="G4" s="36">
        <v>9</v>
      </c>
      <c r="H4" s="10">
        <v>0.94</v>
      </c>
      <c r="I4" s="10">
        <v>0.384736260240504</v>
      </c>
      <c r="J4" s="10">
        <v>0</v>
      </c>
      <c r="K4" s="10">
        <v>0</v>
      </c>
      <c r="L4" s="10">
        <v>0</v>
      </c>
      <c r="M4" s="10">
        <v>4.0480000000000002E-2</v>
      </c>
      <c r="N4" s="9">
        <v>6923.9588155807223</v>
      </c>
      <c r="O4" s="30">
        <v>121.16927927266265</v>
      </c>
      <c r="P4" s="226">
        <v>6.0878887593030973</v>
      </c>
      <c r="Q4" s="44">
        <v>6000</v>
      </c>
      <c r="R4" s="44">
        <v>8600</v>
      </c>
      <c r="S4" s="44">
        <v>8760</v>
      </c>
      <c r="T4" s="51">
        <v>2010</v>
      </c>
    </row>
    <row r="5" spans="1:21" ht="15" customHeight="1" x14ac:dyDescent="0.35">
      <c r="A5" s="326" t="str">
        <f t="shared" si="0"/>
        <v>Nuclear power plants</v>
      </c>
      <c r="B5" s="328" t="str">
        <f t="shared" ref="B5:C6" si="2">B4</f>
        <v>Nuclear III</v>
      </c>
      <c r="C5" s="321" t="str">
        <f t="shared" si="2"/>
        <v>Electricity only</v>
      </c>
      <c r="D5" s="61" t="s">
        <v>8</v>
      </c>
      <c r="E5" s="8">
        <v>600000</v>
      </c>
      <c r="F5" s="9">
        <v>60</v>
      </c>
      <c r="G5" s="36">
        <v>9</v>
      </c>
      <c r="H5" s="10">
        <v>0.94</v>
      </c>
      <c r="I5" s="10">
        <v>0.38475373974315585</v>
      </c>
      <c r="J5" s="10">
        <v>0</v>
      </c>
      <c r="K5" s="10">
        <v>0</v>
      </c>
      <c r="L5" s="10">
        <v>0</v>
      </c>
      <c r="M5" s="10">
        <v>5.9400000000000001E-2</v>
      </c>
      <c r="N5" s="9">
        <v>7263.9511673052311</v>
      </c>
      <c r="O5" s="30">
        <v>127.11914542784156</v>
      </c>
      <c r="P5" s="226">
        <v>6.3868269349108129</v>
      </c>
      <c r="Q5" s="44">
        <v>4200</v>
      </c>
      <c r="R5" s="44">
        <v>7614.6049925745501</v>
      </c>
      <c r="S5" s="44">
        <v>8156.8732562307778</v>
      </c>
      <c r="T5" s="51">
        <v>2010</v>
      </c>
    </row>
    <row r="6" spans="1:21" ht="15" customHeight="1" x14ac:dyDescent="0.35">
      <c r="A6" s="326" t="str">
        <f t="shared" si="0"/>
        <v>Nuclear power plants</v>
      </c>
      <c r="B6" s="330" t="str">
        <f t="shared" si="2"/>
        <v>Nuclear III</v>
      </c>
      <c r="C6" s="325" t="str">
        <f t="shared" si="2"/>
        <v>Electricity only</v>
      </c>
      <c r="D6" s="63" t="s">
        <v>10</v>
      </c>
      <c r="E6" s="20">
        <v>300000</v>
      </c>
      <c r="F6" s="21">
        <v>60</v>
      </c>
      <c r="G6" s="286">
        <v>9</v>
      </c>
      <c r="H6" s="22">
        <v>0.94</v>
      </c>
      <c r="I6" s="22">
        <v>0.38483711869238735</v>
      </c>
      <c r="J6" s="22">
        <v>0</v>
      </c>
      <c r="K6" s="22">
        <v>0</v>
      </c>
      <c r="L6" s="22">
        <v>0</v>
      </c>
      <c r="M6" s="22">
        <v>6.0588000000000003E-2</v>
      </c>
      <c r="N6" s="21">
        <v>7964.7537364493492</v>
      </c>
      <c r="O6" s="33">
        <v>139.38319038786364</v>
      </c>
      <c r="P6" s="230">
        <v>7.0030073884372941</v>
      </c>
      <c r="Q6" s="48">
        <v>2730</v>
      </c>
      <c r="R6" s="48">
        <v>6472.5077300713847</v>
      </c>
      <c r="S6" s="48">
        <v>7483.5279580714523</v>
      </c>
      <c r="T6" s="55">
        <v>2025</v>
      </c>
    </row>
    <row r="7" spans="1:21" ht="15" customHeight="1" x14ac:dyDescent="0.35">
      <c r="A7" s="326" t="str">
        <f t="shared" si="0"/>
        <v>Nuclear power plants</v>
      </c>
      <c r="B7" s="328" t="s">
        <v>11</v>
      </c>
      <c r="C7" s="331" t="s">
        <v>6</v>
      </c>
      <c r="D7" s="61" t="s">
        <v>7</v>
      </c>
      <c r="E7" s="8">
        <v>1250000</v>
      </c>
      <c r="F7" s="9">
        <v>60</v>
      </c>
      <c r="G7" s="36">
        <v>9</v>
      </c>
      <c r="H7" s="10">
        <v>0.95</v>
      </c>
      <c r="I7" s="10">
        <v>0.4081632653061224</v>
      </c>
      <c r="J7" s="10">
        <v>0</v>
      </c>
      <c r="K7" s="10">
        <v>0</v>
      </c>
      <c r="L7" s="10">
        <v>0</v>
      </c>
      <c r="M7" s="10">
        <v>3.8455999999999997E-2</v>
      </c>
      <c r="N7" s="9">
        <v>9626.809500000003</v>
      </c>
      <c r="O7" s="30">
        <v>144.40214250000005</v>
      </c>
      <c r="P7" s="226">
        <v>5.6429129542790166</v>
      </c>
      <c r="Q7" s="44">
        <v>5750</v>
      </c>
      <c r="R7" s="44">
        <v>8600</v>
      </c>
      <c r="S7" s="44">
        <v>8760</v>
      </c>
      <c r="T7" s="51">
        <v>2035</v>
      </c>
    </row>
    <row r="8" spans="1:21" ht="15" customHeight="1" x14ac:dyDescent="0.35">
      <c r="A8" s="327" t="str">
        <f t="shared" ref="A8:C8" si="3">A7</f>
        <v>Nuclear power plants</v>
      </c>
      <c r="B8" s="330" t="str">
        <f t="shared" si="3"/>
        <v>Nuclear IV</v>
      </c>
      <c r="C8" s="332" t="str">
        <f t="shared" si="3"/>
        <v>Electricity only</v>
      </c>
      <c r="D8" s="63" t="s">
        <v>8</v>
      </c>
      <c r="E8" s="8">
        <v>600000</v>
      </c>
      <c r="F8" s="9">
        <v>60</v>
      </c>
      <c r="G8" s="36">
        <v>9</v>
      </c>
      <c r="H8" s="10">
        <v>0.95</v>
      </c>
      <c r="I8" s="10">
        <v>0.4081632653061224</v>
      </c>
      <c r="J8" s="10">
        <v>0</v>
      </c>
      <c r="K8" s="10">
        <v>0</v>
      </c>
      <c r="L8" s="10">
        <v>0</v>
      </c>
      <c r="M8" s="10">
        <v>5.6430000000000001E-2</v>
      </c>
      <c r="N8" s="9">
        <v>10108.149975000004</v>
      </c>
      <c r="O8" s="30">
        <v>151.62224962500008</v>
      </c>
      <c r="P8" s="226">
        <v>5.9250586019929683</v>
      </c>
      <c r="Q8" s="44">
        <v>4168.75</v>
      </c>
      <c r="R8" s="44">
        <v>7718.5718348039818</v>
      </c>
      <c r="S8" s="44">
        <v>8214.321704229118</v>
      </c>
      <c r="T8" s="51">
        <v>2035</v>
      </c>
    </row>
    <row r="9" spans="1:21" ht="15" customHeight="1" x14ac:dyDescent="0.35">
      <c r="A9" s="333" t="s">
        <v>12</v>
      </c>
      <c r="B9" s="334" t="s">
        <v>13</v>
      </c>
      <c r="C9" s="322" t="s">
        <v>6</v>
      </c>
      <c r="D9" s="62" t="s">
        <v>7</v>
      </c>
      <c r="E9" s="11">
        <v>480000</v>
      </c>
      <c r="F9" s="12">
        <v>35</v>
      </c>
      <c r="G9" s="37">
        <v>3</v>
      </c>
      <c r="H9" s="13">
        <v>0.9</v>
      </c>
      <c r="I9" s="13">
        <v>0.48781523209973943</v>
      </c>
      <c r="J9" s="13">
        <v>3.9607128</v>
      </c>
      <c r="K9" s="13">
        <v>0</v>
      </c>
      <c r="L9" s="13">
        <v>0</v>
      </c>
      <c r="M9" s="13">
        <v>0.06</v>
      </c>
      <c r="N9" s="12">
        <v>2479.8245414190228</v>
      </c>
      <c r="O9" s="29">
        <v>56.681703803863378</v>
      </c>
      <c r="P9" s="227">
        <v>4.9837371457089716</v>
      </c>
      <c r="Q9" s="45">
        <v>6700</v>
      </c>
      <c r="R9" s="45">
        <v>8380</v>
      </c>
      <c r="S9" s="45">
        <v>8760</v>
      </c>
      <c r="T9" s="52">
        <v>2010</v>
      </c>
    </row>
    <row r="10" spans="1:21" ht="15" customHeight="1" x14ac:dyDescent="0.35">
      <c r="A10" s="326" t="str">
        <f t="shared" ref="A10:A35" si="4">A9</f>
        <v>Coal fired power plants</v>
      </c>
      <c r="B10" s="335" t="str">
        <f t="shared" ref="B10:B15" si="5">B9</f>
        <v>Integrated gasification combined cycle</v>
      </c>
      <c r="C10" s="324" t="str">
        <f>C9</f>
        <v>Electricity only</v>
      </c>
      <c r="D10" s="61" t="s">
        <v>8</v>
      </c>
      <c r="E10" s="8">
        <v>275000</v>
      </c>
      <c r="F10" s="9">
        <v>35</v>
      </c>
      <c r="G10" s="38">
        <v>3</v>
      </c>
      <c r="H10" s="10">
        <v>0.9</v>
      </c>
      <c r="I10" s="10">
        <v>0.46462172322610573</v>
      </c>
      <c r="J10" s="10">
        <v>3.9607128</v>
      </c>
      <c r="K10" s="10">
        <v>0</v>
      </c>
      <c r="L10" s="10">
        <v>0</v>
      </c>
      <c r="M10" s="10">
        <v>6.3E-2</v>
      </c>
      <c r="N10" s="9">
        <v>2665.1269887168073</v>
      </c>
      <c r="O10" s="30">
        <v>60.917188313527028</v>
      </c>
      <c r="P10" s="226">
        <v>5.3561419970861985</v>
      </c>
      <c r="Q10" s="44">
        <v>4556</v>
      </c>
      <c r="R10" s="44">
        <v>7228.5563755045623</v>
      </c>
      <c r="S10" s="44">
        <v>8109.7205395561359</v>
      </c>
      <c r="T10" s="51">
        <v>2010</v>
      </c>
    </row>
    <row r="11" spans="1:21" ht="15" customHeight="1" x14ac:dyDescent="0.35">
      <c r="A11" s="326" t="str">
        <f t="shared" si="4"/>
        <v>Coal fired power plants</v>
      </c>
      <c r="B11" s="335" t="str">
        <f t="shared" si="5"/>
        <v>Integrated gasification combined cycle</v>
      </c>
      <c r="C11" s="323" t="s">
        <v>14</v>
      </c>
      <c r="D11" s="64" t="s">
        <v>7</v>
      </c>
      <c r="E11" s="14">
        <v>420000</v>
      </c>
      <c r="F11" s="15">
        <v>35</v>
      </c>
      <c r="G11" s="39">
        <v>3</v>
      </c>
      <c r="H11" s="16">
        <v>0.9</v>
      </c>
      <c r="I11" s="16">
        <v>0.44346776527276954</v>
      </c>
      <c r="J11" s="16">
        <v>3.9607128</v>
      </c>
      <c r="K11" s="16">
        <v>0</v>
      </c>
      <c r="L11" s="16">
        <v>1.32</v>
      </c>
      <c r="M11" s="16">
        <v>6.6000000000000003E-2</v>
      </c>
      <c r="N11" s="15">
        <v>2869.8104858660308</v>
      </c>
      <c r="O11" s="31">
        <v>63.627798200915429</v>
      </c>
      <c r="P11" s="228">
        <v>5.7585032301224715</v>
      </c>
      <c r="Q11" s="46">
        <v>5360</v>
      </c>
      <c r="R11" s="46">
        <v>7980</v>
      </c>
      <c r="S11" s="46">
        <v>8760</v>
      </c>
      <c r="T11" s="53">
        <v>2010</v>
      </c>
    </row>
    <row r="12" spans="1:21" ht="15" customHeight="1" x14ac:dyDescent="0.35">
      <c r="A12" s="326" t="str">
        <f t="shared" si="4"/>
        <v>Coal fired power plants</v>
      </c>
      <c r="B12" s="335" t="str">
        <f t="shared" si="5"/>
        <v>Integrated gasification combined cycle</v>
      </c>
      <c r="C12" s="324" t="str">
        <f>C11</f>
        <v>CHP</v>
      </c>
      <c r="D12" s="65" t="s">
        <v>8</v>
      </c>
      <c r="E12" s="17">
        <v>250000</v>
      </c>
      <c r="F12" s="18">
        <v>35</v>
      </c>
      <c r="G12" s="40">
        <v>3</v>
      </c>
      <c r="H12" s="19">
        <v>0.9</v>
      </c>
      <c r="I12" s="19">
        <v>0.42238101290385782</v>
      </c>
      <c r="J12" s="19">
        <v>3.9607128</v>
      </c>
      <c r="K12" s="19">
        <v>0</v>
      </c>
      <c r="L12" s="19">
        <v>1.32</v>
      </c>
      <c r="M12" s="19">
        <v>6.93E-2</v>
      </c>
      <c r="N12" s="18">
        <v>3055.0564629526589</v>
      </c>
      <c r="O12" s="32">
        <v>67.734966150036087</v>
      </c>
      <c r="P12" s="229">
        <v>6.1156325726746354</v>
      </c>
      <c r="Q12" s="47">
        <v>3216</v>
      </c>
      <c r="R12" s="47">
        <v>6604.2952994839616</v>
      </c>
      <c r="S12" s="47">
        <v>7909.2327546795241</v>
      </c>
      <c r="T12" s="54">
        <v>2010</v>
      </c>
    </row>
    <row r="13" spans="1:21" ht="15" customHeight="1" x14ac:dyDescent="0.35">
      <c r="A13" s="326" t="str">
        <f t="shared" si="4"/>
        <v>Coal fired power plants</v>
      </c>
      <c r="B13" s="335" t="str">
        <f t="shared" si="5"/>
        <v>Integrated gasification combined cycle</v>
      </c>
      <c r="C13" s="323" t="s">
        <v>15</v>
      </c>
      <c r="D13" s="64" t="s">
        <v>7</v>
      </c>
      <c r="E13" s="14">
        <v>480000</v>
      </c>
      <c r="F13" s="15">
        <v>35</v>
      </c>
      <c r="G13" s="39">
        <v>3</v>
      </c>
      <c r="H13" s="16">
        <v>0.9</v>
      </c>
      <c r="I13" s="16">
        <v>0.46457607433217191</v>
      </c>
      <c r="J13" s="16">
        <v>0.39607128000000003</v>
      </c>
      <c r="K13" s="16">
        <v>3.5646415199999999</v>
      </c>
      <c r="L13" s="16">
        <v>0</v>
      </c>
      <c r="M13" s="16">
        <v>0.21</v>
      </c>
      <c r="N13" s="15">
        <v>3596</v>
      </c>
      <c r="O13" s="31">
        <v>86.304000000000002</v>
      </c>
      <c r="P13" s="228">
        <v>5.8313850276335621</v>
      </c>
      <c r="Q13" s="46">
        <v>6700</v>
      </c>
      <c r="R13" s="46">
        <v>8380</v>
      </c>
      <c r="S13" s="46">
        <v>8760</v>
      </c>
      <c r="T13" s="53">
        <v>2031</v>
      </c>
    </row>
    <row r="14" spans="1:21" ht="15" customHeight="1" x14ac:dyDescent="0.35">
      <c r="A14" s="326" t="str">
        <f t="shared" si="4"/>
        <v>Coal fired power plants</v>
      </c>
      <c r="B14" s="335" t="str">
        <f t="shared" si="5"/>
        <v>Integrated gasification combined cycle</v>
      </c>
      <c r="C14" s="324" t="str">
        <f>C13</f>
        <v>Electricity only with CCS</v>
      </c>
      <c r="D14" s="65" t="s">
        <v>8</v>
      </c>
      <c r="E14" s="17">
        <v>275000</v>
      </c>
      <c r="F14" s="18">
        <v>35</v>
      </c>
      <c r="G14" s="40">
        <v>3</v>
      </c>
      <c r="H14" s="19">
        <v>0.9</v>
      </c>
      <c r="I14" s="19">
        <v>0.44245340412587802</v>
      </c>
      <c r="J14" s="19">
        <v>0.39607128000000003</v>
      </c>
      <c r="K14" s="19">
        <v>3.5646415199999999</v>
      </c>
      <c r="L14" s="19">
        <v>0</v>
      </c>
      <c r="M14" s="19">
        <v>0.2205</v>
      </c>
      <c r="N14" s="18">
        <v>3837.8</v>
      </c>
      <c r="O14" s="32">
        <v>92.107200000000006</v>
      </c>
      <c r="P14" s="229">
        <v>6.2234954001813358</v>
      </c>
      <c r="Q14" s="47">
        <v>4556</v>
      </c>
      <c r="R14" s="47">
        <v>7228.5563755045623</v>
      </c>
      <c r="S14" s="47">
        <v>8109.7205395561359</v>
      </c>
      <c r="T14" s="54">
        <v>2031</v>
      </c>
    </row>
    <row r="15" spans="1:21" ht="15" customHeight="1" x14ac:dyDescent="0.35">
      <c r="A15" s="326" t="str">
        <f t="shared" si="4"/>
        <v>Coal fired power plants</v>
      </c>
      <c r="B15" s="335" t="str">
        <f t="shared" si="5"/>
        <v>Integrated gasification combined cycle</v>
      </c>
      <c r="C15" s="323" t="s">
        <v>16</v>
      </c>
      <c r="D15" s="61" t="s">
        <v>7</v>
      </c>
      <c r="E15" s="8">
        <v>420000</v>
      </c>
      <c r="F15" s="9">
        <v>35</v>
      </c>
      <c r="G15" s="38">
        <v>3</v>
      </c>
      <c r="H15" s="10">
        <v>0.9</v>
      </c>
      <c r="I15" s="10">
        <v>0.42234188575651987</v>
      </c>
      <c r="J15" s="10">
        <v>0.39607128000000003</v>
      </c>
      <c r="K15" s="10">
        <v>3.5646415199999999</v>
      </c>
      <c r="L15" s="10">
        <v>1.4267311579686619</v>
      </c>
      <c r="M15" s="10">
        <v>0.23100000000000001</v>
      </c>
      <c r="N15" s="9">
        <v>3986</v>
      </c>
      <c r="O15" s="30">
        <v>92.794080000000008</v>
      </c>
      <c r="P15" s="226">
        <v>6.3845956753080433</v>
      </c>
      <c r="Q15" s="44">
        <v>5360</v>
      </c>
      <c r="R15" s="44">
        <v>7980</v>
      </c>
      <c r="S15" s="44">
        <v>8760</v>
      </c>
      <c r="T15" s="51">
        <v>2031</v>
      </c>
    </row>
    <row r="16" spans="1:21" ht="15" customHeight="1" x14ac:dyDescent="0.35">
      <c r="A16" s="326" t="str">
        <f t="shared" si="4"/>
        <v>Coal fired power plants</v>
      </c>
      <c r="B16" s="336" t="str">
        <f t="shared" ref="B16:C16" si="6">B15</f>
        <v>Integrated gasification combined cycle</v>
      </c>
      <c r="C16" s="325" t="str">
        <f t="shared" si="6"/>
        <v>CHP with CCS</v>
      </c>
      <c r="D16" s="63" t="s">
        <v>8</v>
      </c>
      <c r="E16" s="20">
        <v>250000</v>
      </c>
      <c r="F16" s="21">
        <v>35</v>
      </c>
      <c r="G16" s="41">
        <v>3</v>
      </c>
      <c r="H16" s="22">
        <v>0.9</v>
      </c>
      <c r="I16" s="22">
        <v>0.40223036738716178</v>
      </c>
      <c r="J16" s="22">
        <v>0.39607128000000003</v>
      </c>
      <c r="K16" s="22">
        <v>3.5646415199999999</v>
      </c>
      <c r="L16" s="22">
        <v>1.4333631292056124</v>
      </c>
      <c r="M16" s="22">
        <v>0.24255000000000002</v>
      </c>
      <c r="N16" s="21">
        <v>4227.8</v>
      </c>
      <c r="O16" s="33">
        <v>98.423184000000006</v>
      </c>
      <c r="P16" s="230">
        <v>6.7614394096186938</v>
      </c>
      <c r="Q16" s="48">
        <v>3216</v>
      </c>
      <c r="R16" s="48">
        <v>6604.2952994839616</v>
      </c>
      <c r="S16" s="48">
        <v>7909.2327546795241</v>
      </c>
      <c r="T16" s="55">
        <v>2031</v>
      </c>
    </row>
    <row r="17" spans="1:20" ht="15" customHeight="1" x14ac:dyDescent="0.35">
      <c r="A17" s="326" t="str">
        <f t="shared" si="4"/>
        <v>Coal fired power plants</v>
      </c>
      <c r="B17" s="334" t="s">
        <v>17</v>
      </c>
      <c r="C17" s="322" t="s">
        <v>6</v>
      </c>
      <c r="D17" s="62" t="s">
        <v>7</v>
      </c>
      <c r="E17" s="11">
        <v>650000</v>
      </c>
      <c r="F17" s="12">
        <v>40</v>
      </c>
      <c r="G17" s="37">
        <v>4</v>
      </c>
      <c r="H17" s="13">
        <v>0.91</v>
      </c>
      <c r="I17" s="13">
        <v>0.47625327397970063</v>
      </c>
      <c r="J17" s="13">
        <v>3.9607128</v>
      </c>
      <c r="K17" s="13">
        <v>0</v>
      </c>
      <c r="L17" s="13">
        <v>0</v>
      </c>
      <c r="M17" s="13">
        <v>0.05</v>
      </c>
      <c r="N17" s="12">
        <v>1744.0798134003915</v>
      </c>
      <c r="O17" s="29">
        <v>39.241795801508815</v>
      </c>
      <c r="P17" s="227">
        <v>3.578123884467391</v>
      </c>
      <c r="Q17" s="45">
        <v>6550</v>
      </c>
      <c r="R17" s="45">
        <v>8530</v>
      </c>
      <c r="S17" s="45">
        <v>8760</v>
      </c>
      <c r="T17" s="52">
        <v>2010</v>
      </c>
    </row>
    <row r="18" spans="1:20" ht="15" customHeight="1" x14ac:dyDescent="0.35">
      <c r="A18" s="326" t="str">
        <f t="shared" si="4"/>
        <v>Coal fired power plants</v>
      </c>
      <c r="B18" s="335" t="str">
        <f t="shared" ref="B18:B23" si="7">B17</f>
        <v>Supercritical steam turbine</v>
      </c>
      <c r="C18" s="324" t="str">
        <f>C17</f>
        <v>Electricity only</v>
      </c>
      <c r="D18" s="61" t="s">
        <v>8</v>
      </c>
      <c r="E18" s="8">
        <v>300000</v>
      </c>
      <c r="F18" s="9">
        <v>40</v>
      </c>
      <c r="G18" s="38">
        <v>4</v>
      </c>
      <c r="H18" s="10">
        <v>0.91</v>
      </c>
      <c r="I18" s="10">
        <v>0.45361375884224664</v>
      </c>
      <c r="J18" s="10">
        <v>3.9607128</v>
      </c>
      <c r="K18" s="10">
        <v>0</v>
      </c>
      <c r="L18" s="10">
        <v>0</v>
      </c>
      <c r="M18" s="10">
        <v>5.2500000000000005E-2</v>
      </c>
      <c r="N18" s="9">
        <v>1900.3897452896858</v>
      </c>
      <c r="O18" s="30">
        <v>42.75876926901794</v>
      </c>
      <c r="P18" s="226">
        <v>3.8988066286716889</v>
      </c>
      <c r="Q18" s="44">
        <v>4716</v>
      </c>
      <c r="R18" s="44">
        <v>7509.0721459752613</v>
      </c>
      <c r="S18" s="44">
        <v>8202.9602199209512</v>
      </c>
      <c r="T18" s="51">
        <v>2010</v>
      </c>
    </row>
    <row r="19" spans="1:20" ht="15" customHeight="1" x14ac:dyDescent="0.35">
      <c r="A19" s="326" t="str">
        <f t="shared" si="4"/>
        <v>Coal fired power plants</v>
      </c>
      <c r="B19" s="335" t="str">
        <f t="shared" si="7"/>
        <v>Supercritical steam turbine</v>
      </c>
      <c r="C19" s="323" t="s">
        <v>14</v>
      </c>
      <c r="D19" s="64" t="s">
        <v>7</v>
      </c>
      <c r="E19" s="14">
        <v>550000</v>
      </c>
      <c r="F19" s="15">
        <v>40</v>
      </c>
      <c r="G19" s="39">
        <v>4</v>
      </c>
      <c r="H19" s="16">
        <v>0.91</v>
      </c>
      <c r="I19" s="16">
        <v>0.43294990777138204</v>
      </c>
      <c r="J19" s="16">
        <v>3.9607128</v>
      </c>
      <c r="K19" s="16">
        <v>0</v>
      </c>
      <c r="L19" s="16">
        <v>0.98</v>
      </c>
      <c r="M19" s="16">
        <v>5.5000000000000007E-2</v>
      </c>
      <c r="N19" s="15">
        <v>2159.0128427997324</v>
      </c>
      <c r="O19" s="31">
        <v>47.120455294104161</v>
      </c>
      <c r="P19" s="228">
        <v>4.4975240155780138</v>
      </c>
      <c r="Q19" s="46">
        <v>5240</v>
      </c>
      <c r="R19" s="46">
        <v>8115</v>
      </c>
      <c r="S19" s="46">
        <v>8760</v>
      </c>
      <c r="T19" s="53">
        <v>2010</v>
      </c>
    </row>
    <row r="20" spans="1:20" ht="15" customHeight="1" x14ac:dyDescent="0.35">
      <c r="A20" s="326" t="str">
        <f t="shared" si="4"/>
        <v>Coal fired power plants</v>
      </c>
      <c r="B20" s="335" t="str">
        <f t="shared" si="7"/>
        <v>Supercritical steam turbine</v>
      </c>
      <c r="C20" s="324" t="str">
        <f>C19</f>
        <v>CHP</v>
      </c>
      <c r="D20" s="65" t="s">
        <v>8</v>
      </c>
      <c r="E20" s="17">
        <v>275000</v>
      </c>
      <c r="F20" s="18">
        <v>40</v>
      </c>
      <c r="G20" s="40">
        <v>4</v>
      </c>
      <c r="H20" s="19">
        <v>0.91</v>
      </c>
      <c r="I20" s="19">
        <v>0.41236713819612086</v>
      </c>
      <c r="J20" s="19">
        <v>3.9607128</v>
      </c>
      <c r="K20" s="19">
        <v>0</v>
      </c>
      <c r="L20" s="19">
        <v>0.98</v>
      </c>
      <c r="M20" s="19">
        <v>5.775000000000001E-2</v>
      </c>
      <c r="N20" s="18">
        <v>2315.2297513951366</v>
      </c>
      <c r="O20" s="32">
        <v>50.529889324198862</v>
      </c>
      <c r="P20" s="229">
        <v>4.8037030084470045</v>
      </c>
      <c r="Q20" s="47">
        <v>3799</v>
      </c>
      <c r="R20" s="47">
        <v>7186.7544640654705</v>
      </c>
      <c r="S20" s="47">
        <v>8214.321704229118</v>
      </c>
      <c r="T20" s="54">
        <v>2010</v>
      </c>
    </row>
    <row r="21" spans="1:20" ht="15" customHeight="1" x14ac:dyDescent="0.35">
      <c r="A21" s="326" t="str">
        <f t="shared" si="4"/>
        <v>Coal fired power plants</v>
      </c>
      <c r="B21" s="335" t="str">
        <f t="shared" si="7"/>
        <v>Supercritical steam turbine</v>
      </c>
      <c r="C21" s="323" t="s">
        <v>15</v>
      </c>
      <c r="D21" s="64" t="s">
        <v>7</v>
      </c>
      <c r="E21" s="14">
        <v>650000</v>
      </c>
      <c r="F21" s="15">
        <v>40</v>
      </c>
      <c r="G21" s="39">
        <v>4</v>
      </c>
      <c r="H21" s="16">
        <v>0.91</v>
      </c>
      <c r="I21" s="16">
        <v>0.45351473922902491</v>
      </c>
      <c r="J21" s="16">
        <v>0.39607128000000003</v>
      </c>
      <c r="K21" s="16">
        <v>3.5646415199999999</v>
      </c>
      <c r="L21" s="16">
        <v>0</v>
      </c>
      <c r="M21" s="16">
        <v>0.21250000000000002</v>
      </c>
      <c r="N21" s="15">
        <v>3141</v>
      </c>
      <c r="O21" s="31">
        <v>74.206125000000014</v>
      </c>
      <c r="P21" s="228">
        <v>7.0705231535756159</v>
      </c>
      <c r="Q21" s="46">
        <v>6550</v>
      </c>
      <c r="R21" s="46">
        <v>8530</v>
      </c>
      <c r="S21" s="46">
        <v>8760</v>
      </c>
      <c r="T21" s="53">
        <v>2031</v>
      </c>
    </row>
    <row r="22" spans="1:20" ht="15" customHeight="1" x14ac:dyDescent="0.35">
      <c r="A22" s="326" t="str">
        <f t="shared" si="4"/>
        <v>Coal fired power plants</v>
      </c>
      <c r="B22" s="335" t="str">
        <f t="shared" si="7"/>
        <v>Supercritical steam turbine</v>
      </c>
      <c r="C22" s="324" t="str">
        <f>C21</f>
        <v>Electricity only with CCS</v>
      </c>
      <c r="D22" s="65" t="s">
        <v>8</v>
      </c>
      <c r="E22" s="17">
        <v>300000</v>
      </c>
      <c r="F22" s="18">
        <v>40</v>
      </c>
      <c r="G22" s="40">
        <v>4</v>
      </c>
      <c r="H22" s="19">
        <v>0.91</v>
      </c>
      <c r="I22" s="19">
        <v>0.43191879926573801</v>
      </c>
      <c r="J22" s="19">
        <v>0.39607128000000003</v>
      </c>
      <c r="K22" s="19">
        <v>3.5646415199999999</v>
      </c>
      <c r="L22" s="19">
        <v>0</v>
      </c>
      <c r="M22" s="19">
        <v>0.22312500000000005</v>
      </c>
      <c r="N22" s="18">
        <v>3367.8500000000004</v>
      </c>
      <c r="O22" s="32">
        <v>79.565456250000025</v>
      </c>
      <c r="P22" s="229">
        <v>7.5811720480005231</v>
      </c>
      <c r="Q22" s="47">
        <v>4716</v>
      </c>
      <c r="R22" s="47">
        <v>7509.0721459752613</v>
      </c>
      <c r="S22" s="47">
        <v>8202.9602199209512</v>
      </c>
      <c r="T22" s="54">
        <v>2031</v>
      </c>
    </row>
    <row r="23" spans="1:20" ht="15" customHeight="1" x14ac:dyDescent="0.35">
      <c r="A23" s="326" t="str">
        <f t="shared" si="4"/>
        <v>Coal fired power plants</v>
      </c>
      <c r="B23" s="335" t="str">
        <f t="shared" si="7"/>
        <v>Supercritical steam turbine</v>
      </c>
      <c r="C23" s="323" t="s">
        <v>16</v>
      </c>
      <c r="D23" s="61" t="s">
        <v>7</v>
      </c>
      <c r="E23" s="8">
        <v>550000</v>
      </c>
      <c r="F23" s="9">
        <v>40</v>
      </c>
      <c r="G23" s="38">
        <v>4</v>
      </c>
      <c r="H23" s="10">
        <v>0.91</v>
      </c>
      <c r="I23" s="10">
        <v>0.41228612657184077</v>
      </c>
      <c r="J23" s="10">
        <v>0.39607128000000003</v>
      </c>
      <c r="K23" s="10">
        <v>3.5646415199999999</v>
      </c>
      <c r="L23" s="10">
        <v>1.0657383749866969</v>
      </c>
      <c r="M23" s="10">
        <v>0.23375000000000004</v>
      </c>
      <c r="N23" s="9">
        <v>3556</v>
      </c>
      <c r="O23" s="30">
        <v>81.490185000000011</v>
      </c>
      <c r="P23" s="226">
        <v>7.9484690313341435</v>
      </c>
      <c r="Q23" s="44">
        <v>5240</v>
      </c>
      <c r="R23" s="44">
        <v>8115</v>
      </c>
      <c r="S23" s="44">
        <v>8760</v>
      </c>
      <c r="T23" s="51">
        <v>2031</v>
      </c>
    </row>
    <row r="24" spans="1:20" ht="15" customHeight="1" x14ac:dyDescent="0.35">
      <c r="A24" s="326" t="str">
        <f t="shared" si="4"/>
        <v>Coal fired power plants</v>
      </c>
      <c r="B24" s="336" t="str">
        <f t="shared" ref="B24:C24" si="8">B23</f>
        <v>Supercritical steam turbine</v>
      </c>
      <c r="C24" s="325" t="str">
        <f t="shared" si="8"/>
        <v>CHP with CCS</v>
      </c>
      <c r="D24" s="63" t="s">
        <v>8</v>
      </c>
      <c r="E24" s="20">
        <v>275000</v>
      </c>
      <c r="F24" s="21">
        <v>40</v>
      </c>
      <c r="G24" s="41">
        <v>4</v>
      </c>
      <c r="H24" s="22">
        <v>0.91</v>
      </c>
      <c r="I24" s="22">
        <v>0.39265345387794359</v>
      </c>
      <c r="J24" s="22">
        <v>0.39607128000000003</v>
      </c>
      <c r="K24" s="22">
        <v>3.5646415199999999</v>
      </c>
      <c r="L24" s="22">
        <v>1.0710615945941981</v>
      </c>
      <c r="M24" s="22">
        <v>0.24543750000000006</v>
      </c>
      <c r="N24" s="21">
        <v>3782.8500000000004</v>
      </c>
      <c r="O24" s="33">
        <v>86.688736312500012</v>
      </c>
      <c r="P24" s="230">
        <v>8.4388641580467905</v>
      </c>
      <c r="Q24" s="48">
        <v>3799</v>
      </c>
      <c r="R24" s="48">
        <v>7186.7544640654705</v>
      </c>
      <c r="S24" s="48">
        <v>8214.321704229118</v>
      </c>
      <c r="T24" s="55">
        <v>2031</v>
      </c>
    </row>
    <row r="25" spans="1:20" ht="15" customHeight="1" x14ac:dyDescent="0.35">
      <c r="A25" s="326" t="str">
        <f t="shared" si="4"/>
        <v>Coal fired power plants</v>
      </c>
      <c r="B25" s="334" t="s">
        <v>18</v>
      </c>
      <c r="C25" s="322" t="s">
        <v>6</v>
      </c>
      <c r="D25" s="62" t="s">
        <v>7</v>
      </c>
      <c r="E25" s="11">
        <v>560000</v>
      </c>
      <c r="F25" s="12">
        <v>40</v>
      </c>
      <c r="G25" s="37">
        <v>4</v>
      </c>
      <c r="H25" s="13">
        <v>0.88</v>
      </c>
      <c r="I25" s="13">
        <v>0.4255761290743601</v>
      </c>
      <c r="J25" s="13">
        <v>3.9607128</v>
      </c>
      <c r="K25" s="13">
        <v>0</v>
      </c>
      <c r="L25" s="13">
        <v>0</v>
      </c>
      <c r="M25" s="13">
        <v>4.7E-2</v>
      </c>
      <c r="N25" s="12">
        <v>1814.3715263754161</v>
      </c>
      <c r="O25" s="29">
        <v>36.28743052750832</v>
      </c>
      <c r="P25" s="227">
        <v>3.2700321168360094</v>
      </c>
      <c r="Q25" s="45">
        <v>6000</v>
      </c>
      <c r="R25" s="45">
        <v>7800</v>
      </c>
      <c r="S25" s="45">
        <v>8350</v>
      </c>
      <c r="T25" s="52">
        <v>2010</v>
      </c>
    </row>
    <row r="26" spans="1:20" ht="15" customHeight="1" x14ac:dyDescent="0.35">
      <c r="A26" s="326" t="str">
        <f t="shared" si="4"/>
        <v>Coal fired power plants</v>
      </c>
      <c r="B26" s="335" t="str">
        <f t="shared" ref="B26:B33" si="9">B25</f>
        <v>Fluidized bed combustion</v>
      </c>
      <c r="C26" s="321" t="str">
        <f t="shared" ref="C26:C27" si="10">C25</f>
        <v>Electricity only</v>
      </c>
      <c r="D26" s="61" t="s">
        <v>8</v>
      </c>
      <c r="E26" s="8">
        <v>260000</v>
      </c>
      <c r="F26" s="9">
        <v>40</v>
      </c>
      <c r="G26" s="38">
        <v>4</v>
      </c>
      <c r="H26" s="10">
        <v>0.88</v>
      </c>
      <c r="I26" s="10">
        <v>0.4053469235325397</v>
      </c>
      <c r="J26" s="10">
        <v>3.9607128</v>
      </c>
      <c r="K26" s="10">
        <v>0</v>
      </c>
      <c r="L26" s="10">
        <v>0</v>
      </c>
      <c r="M26" s="10">
        <v>4.9350000000000005E-2</v>
      </c>
      <c r="N26" s="9">
        <v>1968.0051281716444</v>
      </c>
      <c r="O26" s="30">
        <v>39.360102563432882</v>
      </c>
      <c r="P26" s="226">
        <v>3.5469251372542048</v>
      </c>
      <c r="Q26" s="44">
        <v>4290</v>
      </c>
      <c r="R26" s="44">
        <v>6868.162533851224</v>
      </c>
      <c r="S26" s="44">
        <v>7808.1416578808703</v>
      </c>
      <c r="T26" s="51">
        <v>2010</v>
      </c>
    </row>
    <row r="27" spans="1:20" ht="15" customHeight="1" x14ac:dyDescent="0.35">
      <c r="A27" s="326" t="str">
        <f t="shared" si="4"/>
        <v>Coal fired power plants</v>
      </c>
      <c r="B27" s="335" t="str">
        <f t="shared" si="9"/>
        <v>Fluidized bed combustion</v>
      </c>
      <c r="C27" s="324" t="str">
        <f t="shared" si="10"/>
        <v>Electricity only</v>
      </c>
      <c r="D27" s="61" t="s">
        <v>10</v>
      </c>
      <c r="E27" s="8">
        <v>35000</v>
      </c>
      <c r="F27" s="9">
        <v>40</v>
      </c>
      <c r="G27" s="38">
        <v>3</v>
      </c>
      <c r="H27" s="10">
        <v>0.88</v>
      </c>
      <c r="I27" s="10">
        <v>0.38612564544927519</v>
      </c>
      <c r="J27" s="10">
        <v>3.9607128</v>
      </c>
      <c r="K27" s="10">
        <v>0</v>
      </c>
      <c r="L27" s="10">
        <v>0</v>
      </c>
      <c r="M27" s="10">
        <v>5.1817500000000009E-2</v>
      </c>
      <c r="N27" s="9">
        <v>2232.1251292774973</v>
      </c>
      <c r="O27" s="30">
        <v>44.642502585549941</v>
      </c>
      <c r="P27" s="226">
        <v>4.0229472053695936</v>
      </c>
      <c r="Q27" s="44">
        <v>2895.75</v>
      </c>
      <c r="R27" s="44">
        <v>5950.3206273232536</v>
      </c>
      <c r="S27" s="44">
        <v>7217.8597394733833</v>
      </c>
      <c r="T27" s="51">
        <v>2010</v>
      </c>
    </row>
    <row r="28" spans="1:20" ht="15" customHeight="1" x14ac:dyDescent="0.35">
      <c r="A28" s="326" t="str">
        <f t="shared" si="4"/>
        <v>Coal fired power plants</v>
      </c>
      <c r="B28" s="335" t="str">
        <f t="shared" si="9"/>
        <v>Fluidized bed combustion</v>
      </c>
      <c r="C28" s="323" t="s">
        <v>14</v>
      </c>
      <c r="D28" s="64" t="s">
        <v>7</v>
      </c>
      <c r="E28" s="14">
        <v>450000</v>
      </c>
      <c r="F28" s="15">
        <v>40</v>
      </c>
      <c r="G28" s="39">
        <v>4</v>
      </c>
      <c r="H28" s="16">
        <v>0.88</v>
      </c>
      <c r="I28" s="16">
        <v>0.38686051508157726</v>
      </c>
      <c r="J28" s="16">
        <v>3.9607128</v>
      </c>
      <c r="K28" s="16">
        <v>0</v>
      </c>
      <c r="L28" s="16">
        <v>1.4</v>
      </c>
      <c r="M28" s="16">
        <v>5.1700000000000003E-2</v>
      </c>
      <c r="N28" s="15">
        <v>2162.7517675056024</v>
      </c>
      <c r="O28" s="31">
        <v>41.957384289608683</v>
      </c>
      <c r="P28" s="228">
        <v>3.9205059055569769</v>
      </c>
      <c r="Q28" s="46">
        <v>4800</v>
      </c>
      <c r="R28" s="46">
        <v>7437.5</v>
      </c>
      <c r="S28" s="46">
        <v>8350</v>
      </c>
      <c r="T28" s="53">
        <v>2010</v>
      </c>
    </row>
    <row r="29" spans="1:20" ht="15" customHeight="1" x14ac:dyDescent="0.35">
      <c r="A29" s="326" t="str">
        <f t="shared" si="4"/>
        <v>Coal fired power plants</v>
      </c>
      <c r="B29" s="335" t="str">
        <f t="shared" si="9"/>
        <v>Fluidized bed combustion</v>
      </c>
      <c r="C29" s="321" t="str">
        <f t="shared" ref="C29:C30" si="11">C28</f>
        <v>CHP</v>
      </c>
      <c r="D29" s="61" t="s">
        <v>8</v>
      </c>
      <c r="E29" s="8">
        <v>225000</v>
      </c>
      <c r="F29" s="9">
        <v>40</v>
      </c>
      <c r="G29" s="38">
        <v>4</v>
      </c>
      <c r="H29" s="10">
        <v>0.88</v>
      </c>
      <c r="I29" s="10">
        <v>0.36845296306786468</v>
      </c>
      <c r="J29" s="10">
        <v>3.9607128</v>
      </c>
      <c r="K29" s="10">
        <v>0</v>
      </c>
      <c r="L29" s="10">
        <v>1.4</v>
      </c>
      <c r="M29" s="10">
        <v>5.4285000000000007E-2</v>
      </c>
      <c r="N29" s="9">
        <v>2316.7077054514853</v>
      </c>
      <c r="O29" s="30">
        <v>44.944129485758808</v>
      </c>
      <c r="P29" s="226">
        <v>4.1862919213068599</v>
      </c>
      <c r="Q29" s="44">
        <v>3432</v>
      </c>
      <c r="R29" s="44">
        <v>6571.7533633601452</v>
      </c>
      <c r="S29" s="44">
        <v>7808.1416578808703</v>
      </c>
      <c r="T29" s="51">
        <v>2010</v>
      </c>
    </row>
    <row r="30" spans="1:20" ht="15" customHeight="1" x14ac:dyDescent="0.35">
      <c r="A30" s="326" t="str">
        <f t="shared" si="4"/>
        <v>Coal fired power plants</v>
      </c>
      <c r="B30" s="335" t="str">
        <f t="shared" si="9"/>
        <v>Fluidized bed combustion</v>
      </c>
      <c r="C30" s="324" t="str">
        <f t="shared" si="11"/>
        <v>CHP</v>
      </c>
      <c r="D30" s="65" t="s">
        <v>10</v>
      </c>
      <c r="E30" s="17">
        <v>15000</v>
      </c>
      <c r="F30" s="18">
        <v>40</v>
      </c>
      <c r="G30" s="40">
        <v>3</v>
      </c>
      <c r="H30" s="19">
        <v>0.88</v>
      </c>
      <c r="I30" s="19">
        <v>0.35094325600853443</v>
      </c>
      <c r="J30" s="19">
        <v>3.9607128</v>
      </c>
      <c r="K30" s="19">
        <v>0</v>
      </c>
      <c r="L30" s="19">
        <v>1.65</v>
      </c>
      <c r="M30" s="19">
        <v>5.6999250000000015E-2</v>
      </c>
      <c r="N30" s="18">
        <v>2628.5924210268408</v>
      </c>
      <c r="O30" s="32">
        <v>50.994692967920706</v>
      </c>
      <c r="P30" s="229">
        <v>4.7498767798823058</v>
      </c>
      <c r="Q30" s="47">
        <v>2316.6000000000004</v>
      </c>
      <c r="R30" s="47">
        <v>5716.1815515645976</v>
      </c>
      <c r="S30" s="47">
        <v>7217.8597394733833</v>
      </c>
      <c r="T30" s="54">
        <v>2010</v>
      </c>
    </row>
    <row r="31" spans="1:20" ht="15" customHeight="1" x14ac:dyDescent="0.35">
      <c r="A31" s="326" t="str">
        <f t="shared" si="4"/>
        <v>Coal fired power plants</v>
      </c>
      <c r="B31" s="335" t="str">
        <f t="shared" si="9"/>
        <v>Fluidized bed combustion</v>
      </c>
      <c r="C31" s="323" t="s">
        <v>15</v>
      </c>
      <c r="D31" s="64" t="s">
        <v>7</v>
      </c>
      <c r="E31" s="14">
        <v>560000</v>
      </c>
      <c r="F31" s="15">
        <v>40</v>
      </c>
      <c r="G31" s="39">
        <v>4</v>
      </c>
      <c r="H31" s="16">
        <v>0.88</v>
      </c>
      <c r="I31" s="16">
        <v>0.40526849037487334</v>
      </c>
      <c r="J31" s="16">
        <v>0.39607128000000003</v>
      </c>
      <c r="K31" s="16">
        <v>3.5646415199999999</v>
      </c>
      <c r="L31" s="16">
        <v>0</v>
      </c>
      <c r="M31" s="16">
        <v>0.22325</v>
      </c>
      <c r="N31" s="15">
        <v>3766.1250000000005</v>
      </c>
      <c r="O31" s="31">
        <v>79.088625000000008</v>
      </c>
      <c r="P31" s="228">
        <v>7.608113117762926</v>
      </c>
      <c r="Q31" s="46">
        <v>6000</v>
      </c>
      <c r="R31" s="46">
        <v>7800</v>
      </c>
      <c r="S31" s="46">
        <v>8350</v>
      </c>
      <c r="T31" s="53">
        <v>2031</v>
      </c>
    </row>
    <row r="32" spans="1:20" ht="15" customHeight="1" x14ac:dyDescent="0.35">
      <c r="A32" s="326" t="str">
        <f t="shared" si="4"/>
        <v>Coal fired power plants</v>
      </c>
      <c r="B32" s="335" t="str">
        <f t="shared" si="9"/>
        <v>Fluidized bed combustion</v>
      </c>
      <c r="C32" s="324" t="str">
        <f>C31</f>
        <v>Electricity only with CCS</v>
      </c>
      <c r="D32" s="65" t="s">
        <v>8</v>
      </c>
      <c r="E32" s="17">
        <v>260000</v>
      </c>
      <c r="F32" s="18">
        <v>40</v>
      </c>
      <c r="G32" s="40">
        <v>4</v>
      </c>
      <c r="H32" s="19">
        <v>0.88</v>
      </c>
      <c r="I32" s="19">
        <v>0.38596999083321265</v>
      </c>
      <c r="J32" s="19">
        <v>0.39607128000000003</v>
      </c>
      <c r="K32" s="19">
        <v>3.5646415199999999</v>
      </c>
      <c r="L32" s="19">
        <v>0</v>
      </c>
      <c r="M32" s="19">
        <v>0.23441250000000002</v>
      </c>
      <c r="N32" s="18">
        <v>4211.6812500000005</v>
      </c>
      <c r="O32" s="32">
        <v>88.445306250000016</v>
      </c>
      <c r="P32" s="229">
        <v>8.5082007012409733</v>
      </c>
      <c r="Q32" s="47">
        <v>4290</v>
      </c>
      <c r="R32" s="47">
        <v>6868.162533851224</v>
      </c>
      <c r="S32" s="47">
        <v>7808.1416578808703</v>
      </c>
      <c r="T32" s="54">
        <v>2031</v>
      </c>
    </row>
    <row r="33" spans="1:20" ht="15" customHeight="1" x14ac:dyDescent="0.35">
      <c r="A33" s="326" t="str">
        <f t="shared" si="4"/>
        <v>Coal fired power plants</v>
      </c>
      <c r="B33" s="335" t="str">
        <f t="shared" si="9"/>
        <v>Fluidized bed combustion</v>
      </c>
      <c r="C33" s="323" t="s">
        <v>16</v>
      </c>
      <c r="D33" s="61" t="s">
        <v>7</v>
      </c>
      <c r="E33" s="8">
        <v>450000</v>
      </c>
      <c r="F33" s="9">
        <v>40</v>
      </c>
      <c r="G33" s="38">
        <v>4</v>
      </c>
      <c r="H33" s="10">
        <v>0.88</v>
      </c>
      <c r="I33" s="10">
        <v>0.36842590034079387</v>
      </c>
      <c r="J33" s="10">
        <v>0.39607128000000003</v>
      </c>
      <c r="K33" s="10">
        <v>3.5646415199999999</v>
      </c>
      <c r="L33" s="10">
        <v>1.5341220329531826</v>
      </c>
      <c r="M33" s="10">
        <v>0.24557500000000002</v>
      </c>
      <c r="N33" s="9">
        <v>4114.125</v>
      </c>
      <c r="O33" s="30">
        <v>83.804726249999987</v>
      </c>
      <c r="P33" s="226">
        <v>8.1793740511485673</v>
      </c>
      <c r="Q33" s="44">
        <v>4800</v>
      </c>
      <c r="R33" s="44">
        <v>7437.5</v>
      </c>
      <c r="S33" s="44">
        <v>8350</v>
      </c>
      <c r="T33" s="51">
        <v>2031</v>
      </c>
    </row>
    <row r="34" spans="1:20" ht="15" customHeight="1" x14ac:dyDescent="0.35">
      <c r="A34" s="326" t="str">
        <f t="shared" si="4"/>
        <v>Coal fired power plants</v>
      </c>
      <c r="B34" s="336" t="str">
        <f t="shared" ref="B34:C34" si="12">B33</f>
        <v>Fluidized bed combustion</v>
      </c>
      <c r="C34" s="325" t="str">
        <f t="shared" si="12"/>
        <v>CHP with CCS</v>
      </c>
      <c r="D34" s="63" t="s">
        <v>8</v>
      </c>
      <c r="E34" s="20">
        <v>225000</v>
      </c>
      <c r="F34" s="21">
        <v>40</v>
      </c>
      <c r="G34" s="41">
        <v>4</v>
      </c>
      <c r="H34" s="22">
        <v>0.88</v>
      </c>
      <c r="I34" s="22">
        <v>0.35088180984837514</v>
      </c>
      <c r="J34" s="22">
        <v>0.39607128000000003</v>
      </c>
      <c r="K34" s="22">
        <v>3.5646415199999999</v>
      </c>
      <c r="L34" s="22">
        <v>1.5425396912265321</v>
      </c>
      <c r="M34" s="22">
        <v>0.25785375000000005</v>
      </c>
      <c r="N34" s="21">
        <v>4559.6812500000005</v>
      </c>
      <c r="O34" s="33">
        <v>92.880707062499994</v>
      </c>
      <c r="P34" s="230">
        <v>9.0448450135518765</v>
      </c>
      <c r="Q34" s="48">
        <v>3432</v>
      </c>
      <c r="R34" s="48">
        <v>6571.7533633601452</v>
      </c>
      <c r="S34" s="48">
        <v>7808.1416578808703</v>
      </c>
      <c r="T34" s="55">
        <v>2031</v>
      </c>
    </row>
    <row r="35" spans="1:20" ht="15" customHeight="1" x14ac:dyDescent="0.35">
      <c r="A35" s="326" t="str">
        <f t="shared" si="4"/>
        <v>Coal fired power plants</v>
      </c>
      <c r="B35" s="334" t="s">
        <v>19</v>
      </c>
      <c r="C35" s="322" t="s">
        <v>6</v>
      </c>
      <c r="D35" s="62" t="s">
        <v>7</v>
      </c>
      <c r="E35" s="11">
        <v>500000</v>
      </c>
      <c r="F35" s="12">
        <v>40</v>
      </c>
      <c r="G35" s="37">
        <v>4</v>
      </c>
      <c r="H35" s="13">
        <v>0.92</v>
      </c>
      <c r="I35" s="13">
        <v>0.44523197560281302</v>
      </c>
      <c r="J35" s="13">
        <v>3.9607128</v>
      </c>
      <c r="K35" s="13">
        <v>0</v>
      </c>
      <c r="L35" s="13">
        <v>0</v>
      </c>
      <c r="M35" s="13">
        <v>5.8000000000000003E-2</v>
      </c>
      <c r="N35" s="12">
        <v>1498.2034009796857</v>
      </c>
      <c r="O35" s="29">
        <v>24.345805265919893</v>
      </c>
      <c r="P35" s="227">
        <v>2.195491502021814</v>
      </c>
      <c r="Q35" s="45">
        <v>5750</v>
      </c>
      <c r="R35" s="45">
        <v>7200</v>
      </c>
      <c r="S35" s="45">
        <v>8100</v>
      </c>
      <c r="T35" s="52">
        <v>2010</v>
      </c>
    </row>
    <row r="36" spans="1:20" ht="15" customHeight="1" x14ac:dyDescent="0.35">
      <c r="A36" s="326" t="str">
        <f t="shared" ref="A36:C38" si="13">A35</f>
        <v>Coal fired power plants</v>
      </c>
      <c r="B36" s="335" t="str">
        <f t="shared" si="13"/>
        <v>Steam turbine</v>
      </c>
      <c r="C36" s="321" t="str">
        <f t="shared" si="13"/>
        <v>Electricity only</v>
      </c>
      <c r="D36" s="61" t="s">
        <v>8</v>
      </c>
      <c r="E36" s="8">
        <v>230000</v>
      </c>
      <c r="F36" s="9">
        <v>40</v>
      </c>
      <c r="G36" s="38">
        <v>4</v>
      </c>
      <c r="H36" s="10">
        <v>0.92</v>
      </c>
      <c r="I36" s="10">
        <v>0.4238808712504023</v>
      </c>
      <c r="J36" s="10">
        <v>3.9607128</v>
      </c>
      <c r="K36" s="10">
        <v>0</v>
      </c>
      <c r="L36" s="10">
        <v>0</v>
      </c>
      <c r="M36" s="10">
        <v>6.0900000000000003E-2</v>
      </c>
      <c r="N36" s="9">
        <v>1615.2077384464487</v>
      </c>
      <c r="O36" s="30">
        <v>26.247125749754794</v>
      </c>
      <c r="P36" s="226">
        <v>2.3669515510645498</v>
      </c>
      <c r="Q36" s="44">
        <v>4600</v>
      </c>
      <c r="R36" s="44">
        <v>6628.5000504867112</v>
      </c>
      <c r="S36" s="44">
        <v>7746.4552482992995</v>
      </c>
      <c r="T36" s="51">
        <v>2010</v>
      </c>
    </row>
    <row r="37" spans="1:20" ht="15" customHeight="1" x14ac:dyDescent="0.35">
      <c r="A37" s="326" t="str">
        <f t="shared" si="13"/>
        <v>Coal fired power plants</v>
      </c>
      <c r="B37" s="335" t="str">
        <f t="shared" si="13"/>
        <v>Steam turbine</v>
      </c>
      <c r="C37" s="321" t="str">
        <f t="shared" si="13"/>
        <v>Electricity only</v>
      </c>
      <c r="D37" s="61" t="s">
        <v>10</v>
      </c>
      <c r="E37" s="8">
        <v>65000</v>
      </c>
      <c r="F37" s="9">
        <v>40</v>
      </c>
      <c r="G37" s="38">
        <v>3</v>
      </c>
      <c r="H37" s="10">
        <v>0.92</v>
      </c>
      <c r="I37" s="10">
        <v>0.40355340771995435</v>
      </c>
      <c r="J37" s="10">
        <v>3.9607128</v>
      </c>
      <c r="K37" s="10">
        <v>0</v>
      </c>
      <c r="L37" s="10">
        <v>0</v>
      </c>
      <c r="M37" s="10">
        <v>6.3945000000000002E-2</v>
      </c>
      <c r="N37" s="9">
        <v>1781.6531632374945</v>
      </c>
      <c r="O37" s="30">
        <v>28.951863902609286</v>
      </c>
      <c r="P37" s="226">
        <v>2.610863369339822</v>
      </c>
      <c r="Q37" s="44">
        <v>3450</v>
      </c>
      <c r="R37" s="44">
        <v>5975.1348852382835</v>
      </c>
      <c r="S37" s="44">
        <v>7313.3316567242173</v>
      </c>
      <c r="T37" s="51">
        <v>2010</v>
      </c>
    </row>
    <row r="38" spans="1:20" ht="15" customHeight="1" x14ac:dyDescent="0.35">
      <c r="A38" s="326" t="str">
        <f t="shared" si="13"/>
        <v>Coal fired power plants</v>
      </c>
      <c r="B38" s="335" t="str">
        <f t="shared" si="13"/>
        <v>Steam turbine</v>
      </c>
      <c r="C38" s="324" t="str">
        <f t="shared" si="13"/>
        <v>Electricity only</v>
      </c>
      <c r="D38" s="61" t="s">
        <v>20</v>
      </c>
      <c r="E38" s="8">
        <v>4500</v>
      </c>
      <c r="F38" s="9">
        <v>40</v>
      </c>
      <c r="G38" s="38">
        <v>1</v>
      </c>
      <c r="H38" s="10">
        <v>0.92</v>
      </c>
      <c r="I38" s="10">
        <v>0.38426360657528819</v>
      </c>
      <c r="J38" s="10">
        <v>3.9607128</v>
      </c>
      <c r="K38" s="10">
        <v>0</v>
      </c>
      <c r="L38" s="10">
        <v>0</v>
      </c>
      <c r="M38" s="10">
        <v>6.7142250000000001E-2</v>
      </c>
      <c r="N38" s="9">
        <v>2135.9549210660975</v>
      </c>
      <c r="O38" s="30">
        <v>34.709267467324089</v>
      </c>
      <c r="P38" s="226">
        <v>3.1300628972246445</v>
      </c>
      <c r="Q38" s="44">
        <v>2932.5</v>
      </c>
      <c r="R38" s="44">
        <v>5642.7860365360393</v>
      </c>
      <c r="S38" s="44">
        <v>7079.4424246623612</v>
      </c>
      <c r="T38" s="51">
        <v>2010</v>
      </c>
    </row>
    <row r="39" spans="1:20" ht="15" customHeight="1" x14ac:dyDescent="0.35">
      <c r="A39" s="326" t="str">
        <f t="shared" ref="A39:B39" si="14">A38</f>
        <v>Coal fired power plants</v>
      </c>
      <c r="B39" s="335" t="str">
        <f t="shared" si="14"/>
        <v>Steam turbine</v>
      </c>
      <c r="C39" s="323" t="s">
        <v>14</v>
      </c>
      <c r="D39" s="64" t="s">
        <v>7</v>
      </c>
      <c r="E39" s="14">
        <v>450000</v>
      </c>
      <c r="F39" s="15">
        <v>40</v>
      </c>
      <c r="G39" s="39">
        <v>4</v>
      </c>
      <c r="H39" s="16">
        <v>0.92</v>
      </c>
      <c r="I39" s="16">
        <v>0.4044843491977651</v>
      </c>
      <c r="J39" s="16">
        <v>3.9607128</v>
      </c>
      <c r="K39" s="16">
        <v>0</v>
      </c>
      <c r="L39" s="16">
        <v>0.92</v>
      </c>
      <c r="M39" s="16">
        <v>6.3800000000000009E-2</v>
      </c>
      <c r="N39" s="15">
        <v>1885.3235764198384</v>
      </c>
      <c r="O39" s="31">
        <v>29.717412873317702</v>
      </c>
      <c r="P39" s="228">
        <v>2.8192283422013658</v>
      </c>
      <c r="Q39" s="46">
        <v>5175</v>
      </c>
      <c r="R39" s="46">
        <v>6885</v>
      </c>
      <c r="S39" s="46">
        <v>8100</v>
      </c>
      <c r="T39" s="53">
        <v>2010</v>
      </c>
    </row>
    <row r="40" spans="1:20" ht="15" customHeight="1" x14ac:dyDescent="0.35">
      <c r="A40" s="326" t="str">
        <f t="shared" ref="A40:C42" si="15">A39</f>
        <v>Coal fired power plants</v>
      </c>
      <c r="B40" s="335" t="str">
        <f t="shared" si="15"/>
        <v>Steam turbine</v>
      </c>
      <c r="C40" s="321" t="str">
        <f t="shared" si="15"/>
        <v>CHP</v>
      </c>
      <c r="D40" s="61" t="s">
        <v>8</v>
      </c>
      <c r="E40" s="8">
        <v>210000</v>
      </c>
      <c r="F40" s="9">
        <v>40</v>
      </c>
      <c r="G40" s="38">
        <v>4</v>
      </c>
      <c r="H40" s="10">
        <v>0.92</v>
      </c>
      <c r="I40" s="10">
        <v>0.38508351159067467</v>
      </c>
      <c r="J40" s="10">
        <v>3.9607128</v>
      </c>
      <c r="K40" s="10">
        <v>0</v>
      </c>
      <c r="L40" s="10">
        <v>0.92</v>
      </c>
      <c r="M40" s="10">
        <v>6.6990000000000008E-2</v>
      </c>
      <c r="N40" s="9">
        <v>2001.145750113516</v>
      </c>
      <c r="O40" s="30">
        <v>31.543059886164301</v>
      </c>
      <c r="P40" s="226">
        <v>2.9808300532446359</v>
      </c>
      <c r="Q40" s="44">
        <v>4140</v>
      </c>
      <c r="R40" s="44">
        <v>6352.9728078530043</v>
      </c>
      <c r="S40" s="44">
        <v>7746.4552482992995</v>
      </c>
      <c r="T40" s="51">
        <v>2010</v>
      </c>
    </row>
    <row r="41" spans="1:20" ht="15" customHeight="1" x14ac:dyDescent="0.35">
      <c r="A41" s="326" t="str">
        <f t="shared" si="15"/>
        <v>Coal fired power plants</v>
      </c>
      <c r="B41" s="335" t="str">
        <f t="shared" si="15"/>
        <v>Steam turbine</v>
      </c>
      <c r="C41" s="321" t="str">
        <f t="shared" si="15"/>
        <v>CHP</v>
      </c>
      <c r="D41" s="61" t="s">
        <v>10</v>
      </c>
      <c r="E41" s="8">
        <v>35000</v>
      </c>
      <c r="F41" s="9">
        <v>40</v>
      </c>
      <c r="G41" s="38">
        <v>3</v>
      </c>
      <c r="H41" s="10">
        <v>0.92</v>
      </c>
      <c r="I41" s="10">
        <v>0.36664028957137801</v>
      </c>
      <c r="J41" s="10">
        <v>3.9607128</v>
      </c>
      <c r="K41" s="10">
        <v>0</v>
      </c>
      <c r="L41" s="10">
        <v>1.2</v>
      </c>
      <c r="M41" s="10">
        <v>7.0339500000000013E-2</v>
      </c>
      <c r="N41" s="9">
        <v>2532.2880427696032</v>
      </c>
      <c r="O41" s="30">
        <v>39.915190274155869</v>
      </c>
      <c r="P41" s="226">
        <v>3.9034302413112454</v>
      </c>
      <c r="Q41" s="44">
        <v>3105</v>
      </c>
      <c r="R41" s="44">
        <v>5743.287979550666</v>
      </c>
      <c r="S41" s="44">
        <v>7313.3316567242173</v>
      </c>
      <c r="T41" s="51">
        <v>2010</v>
      </c>
    </row>
    <row r="42" spans="1:20" ht="15" customHeight="1" x14ac:dyDescent="0.35">
      <c r="A42" s="326" t="str">
        <f t="shared" si="15"/>
        <v>Coal fired power plants</v>
      </c>
      <c r="B42" s="335" t="str">
        <f t="shared" si="15"/>
        <v>Steam turbine</v>
      </c>
      <c r="C42" s="324" t="str">
        <f t="shared" si="15"/>
        <v>CHP</v>
      </c>
      <c r="D42" s="65" t="s">
        <v>20</v>
      </c>
      <c r="E42" s="17">
        <v>3500</v>
      </c>
      <c r="F42" s="18">
        <v>40</v>
      </c>
      <c r="G42" s="40">
        <v>1</v>
      </c>
      <c r="H42" s="19">
        <v>0.92</v>
      </c>
      <c r="I42" s="19">
        <v>0.34914453430603754</v>
      </c>
      <c r="J42" s="19">
        <v>3.9607128</v>
      </c>
      <c r="K42" s="19">
        <v>0</v>
      </c>
      <c r="L42" s="19">
        <v>1.35</v>
      </c>
      <c r="M42" s="19">
        <v>7.3856475000000005E-2</v>
      </c>
      <c r="N42" s="18">
        <v>2571.0261648338651</v>
      </c>
      <c r="O42" s="32">
        <v>40.525799923193794</v>
      </c>
      <c r="P42" s="229">
        <v>3.8014554176475985</v>
      </c>
      <c r="Q42" s="47">
        <v>2639.25</v>
      </c>
      <c r="R42" s="47">
        <v>5432.4795541155527</v>
      </c>
      <c r="S42" s="47">
        <v>7079.4424246623612</v>
      </c>
      <c r="T42" s="54">
        <v>2010</v>
      </c>
    </row>
    <row r="43" spans="1:20" ht="15" customHeight="1" x14ac:dyDescent="0.35">
      <c r="A43" s="326" t="str">
        <f t="shared" ref="A43:B43" si="16">A42</f>
        <v>Coal fired power plants</v>
      </c>
      <c r="B43" s="335" t="str">
        <f t="shared" si="16"/>
        <v>Steam turbine</v>
      </c>
      <c r="C43" s="323" t="s">
        <v>15</v>
      </c>
      <c r="D43" s="64" t="s">
        <v>7</v>
      </c>
      <c r="E43" s="14">
        <v>500000</v>
      </c>
      <c r="F43" s="15">
        <v>40</v>
      </c>
      <c r="G43" s="39">
        <v>4</v>
      </c>
      <c r="H43" s="16">
        <v>0.92</v>
      </c>
      <c r="I43" s="16">
        <v>0.42328042328042326</v>
      </c>
      <c r="J43" s="16">
        <v>0.39607128000000003</v>
      </c>
      <c r="K43" s="16">
        <v>3.5646415199999999</v>
      </c>
      <c r="L43" s="16">
        <v>0</v>
      </c>
      <c r="M43" s="16">
        <v>0.22910000000000003</v>
      </c>
      <c r="N43" s="15">
        <v>3192.75</v>
      </c>
      <c r="O43" s="31">
        <v>54.476296875000003</v>
      </c>
      <c r="P43" s="228">
        <v>5.5508482966105612</v>
      </c>
      <c r="Q43" s="46">
        <v>5750</v>
      </c>
      <c r="R43" s="46">
        <v>7200</v>
      </c>
      <c r="S43" s="46">
        <v>8100</v>
      </c>
      <c r="T43" s="53">
        <v>2031</v>
      </c>
    </row>
    <row r="44" spans="1:20" ht="15" customHeight="1" x14ac:dyDescent="0.35">
      <c r="A44" s="326" t="str">
        <f t="shared" ref="A44:C44" si="17">A43</f>
        <v>Coal fired power plants</v>
      </c>
      <c r="B44" s="335" t="str">
        <f t="shared" si="17"/>
        <v>Steam turbine</v>
      </c>
      <c r="C44" s="324" t="str">
        <f t="shared" si="17"/>
        <v>Electricity only with CCS</v>
      </c>
      <c r="D44" s="65" t="s">
        <v>8</v>
      </c>
      <c r="E44" s="17">
        <v>230000</v>
      </c>
      <c r="F44" s="18">
        <v>40</v>
      </c>
      <c r="G44" s="40">
        <v>4</v>
      </c>
      <c r="H44" s="19">
        <v>0.92</v>
      </c>
      <c r="I44" s="19">
        <v>0.40312421264802212</v>
      </c>
      <c r="J44" s="19">
        <v>0.39607128000000003</v>
      </c>
      <c r="K44" s="19">
        <v>3.5646415199999999</v>
      </c>
      <c r="L44" s="19">
        <v>0</v>
      </c>
      <c r="M44" s="19">
        <v>0.24055500000000005</v>
      </c>
      <c r="N44" s="18">
        <v>3668.1374999999998</v>
      </c>
      <c r="O44" s="32">
        <v>62.587596093750001</v>
      </c>
      <c r="P44" s="229">
        <v>6.3773470499125589</v>
      </c>
      <c r="Q44" s="47">
        <v>4600</v>
      </c>
      <c r="R44" s="47">
        <v>6628.5000504867112</v>
      </c>
      <c r="S44" s="47">
        <v>7746.4552482992995</v>
      </c>
      <c r="T44" s="54">
        <v>2031</v>
      </c>
    </row>
    <row r="45" spans="1:20" ht="15" customHeight="1" x14ac:dyDescent="0.35">
      <c r="A45" s="326" t="str">
        <f t="shared" ref="A45:B45" si="18">A44</f>
        <v>Coal fired power plants</v>
      </c>
      <c r="B45" s="335" t="str">
        <f t="shared" si="18"/>
        <v>Steam turbine</v>
      </c>
      <c r="C45" s="323" t="s">
        <v>16</v>
      </c>
      <c r="D45" s="61" t="s">
        <v>7</v>
      </c>
      <c r="E45" s="8">
        <v>450000</v>
      </c>
      <c r="F45" s="9">
        <v>40</v>
      </c>
      <c r="G45" s="38">
        <v>4</v>
      </c>
      <c r="H45" s="10">
        <v>0.92</v>
      </c>
      <c r="I45" s="10">
        <v>0.38480038480038475</v>
      </c>
      <c r="J45" s="10">
        <v>0.39607128000000003</v>
      </c>
      <c r="K45" s="10">
        <v>3.5646415199999999</v>
      </c>
      <c r="L45" s="10">
        <v>1.0064146855793128</v>
      </c>
      <c r="M45" s="10">
        <v>0.25201000000000007</v>
      </c>
      <c r="N45" s="9">
        <v>3582.75</v>
      </c>
      <c r="O45" s="30">
        <v>59.296751718749995</v>
      </c>
      <c r="P45" s="226">
        <v>6.17146847734967</v>
      </c>
      <c r="Q45" s="44">
        <v>5175</v>
      </c>
      <c r="R45" s="44">
        <v>6885</v>
      </c>
      <c r="S45" s="44">
        <v>8100</v>
      </c>
      <c r="T45" s="51">
        <v>2031</v>
      </c>
    </row>
    <row r="46" spans="1:20" ht="15" customHeight="1" x14ac:dyDescent="0.35">
      <c r="A46" s="327" t="str">
        <f t="shared" ref="A46:C46" si="19">A45</f>
        <v>Coal fired power plants</v>
      </c>
      <c r="B46" s="336" t="str">
        <f t="shared" si="19"/>
        <v>Steam turbine</v>
      </c>
      <c r="C46" s="325" t="str">
        <f t="shared" si="19"/>
        <v>CHP with CCS</v>
      </c>
      <c r="D46" s="63" t="s">
        <v>8</v>
      </c>
      <c r="E46" s="20">
        <v>210000</v>
      </c>
      <c r="F46" s="21">
        <v>40</v>
      </c>
      <c r="G46" s="41">
        <v>4</v>
      </c>
      <c r="H46" s="22">
        <v>0.92</v>
      </c>
      <c r="I46" s="22">
        <v>0.36647655695274739</v>
      </c>
      <c r="J46" s="22">
        <v>0.39607128000000003</v>
      </c>
      <c r="K46" s="22">
        <v>3.5646415199999999</v>
      </c>
      <c r="L46" s="22">
        <v>1.0118948297509107</v>
      </c>
      <c r="M46" s="22">
        <v>0.26461050000000008</v>
      </c>
      <c r="N46" s="21">
        <v>4058.1374999999998</v>
      </c>
      <c r="O46" s="33">
        <v>67.16471196093751</v>
      </c>
      <c r="P46" s="230">
        <v>6.9655619377140283</v>
      </c>
      <c r="Q46" s="48">
        <v>4140</v>
      </c>
      <c r="R46" s="48">
        <v>6352.9728078530043</v>
      </c>
      <c r="S46" s="48">
        <v>7746.4552482992995</v>
      </c>
      <c r="T46" s="55">
        <v>2031</v>
      </c>
    </row>
    <row r="47" spans="1:20" ht="15" customHeight="1" x14ac:dyDescent="0.35">
      <c r="A47" s="333" t="s">
        <v>21</v>
      </c>
      <c r="B47" s="334" t="s">
        <v>13</v>
      </c>
      <c r="C47" s="322" t="s">
        <v>6</v>
      </c>
      <c r="D47" s="62" t="s">
        <v>7</v>
      </c>
      <c r="E47" s="11">
        <v>500000</v>
      </c>
      <c r="F47" s="12">
        <v>37</v>
      </c>
      <c r="G47" s="37">
        <v>3</v>
      </c>
      <c r="H47" s="13">
        <v>0.88</v>
      </c>
      <c r="I47" s="13">
        <v>0.4629690773532979</v>
      </c>
      <c r="J47" s="13">
        <v>4.2286679999999999</v>
      </c>
      <c r="K47" s="13">
        <v>0</v>
      </c>
      <c r="L47" s="13">
        <v>0</v>
      </c>
      <c r="M47" s="13">
        <v>0.08</v>
      </c>
      <c r="N47" s="12">
        <v>2939.80586357008</v>
      </c>
      <c r="O47" s="29">
        <v>67.536080649582928</v>
      </c>
      <c r="P47" s="227">
        <v>5.5888074463484934</v>
      </c>
      <c r="Q47" s="45">
        <v>6900</v>
      </c>
      <c r="R47" s="45">
        <v>8505</v>
      </c>
      <c r="S47" s="45">
        <v>8760</v>
      </c>
      <c r="T47" s="52">
        <v>2010</v>
      </c>
    </row>
    <row r="48" spans="1:20" ht="15" customHeight="1" x14ac:dyDescent="0.35">
      <c r="A48" s="326" t="str">
        <f t="shared" ref="A48:A73" si="20">A47</f>
        <v>Lignite fired power plants</v>
      </c>
      <c r="B48" s="335" t="str">
        <f t="shared" ref="B48:B53" si="21">B47</f>
        <v>Integrated gasification combined cycle</v>
      </c>
      <c r="C48" s="324" t="str">
        <f>C47</f>
        <v>Electricity only</v>
      </c>
      <c r="D48" s="61" t="s">
        <v>8</v>
      </c>
      <c r="E48" s="8">
        <v>300000</v>
      </c>
      <c r="F48" s="9">
        <v>37</v>
      </c>
      <c r="G48" s="38">
        <v>3</v>
      </c>
      <c r="H48" s="10">
        <v>0.88</v>
      </c>
      <c r="I48" s="10">
        <v>0.44094433917481024</v>
      </c>
      <c r="J48" s="10">
        <v>4.2286679999999999</v>
      </c>
      <c r="K48" s="10">
        <v>0</v>
      </c>
      <c r="L48" s="10">
        <v>0</v>
      </c>
      <c r="M48" s="10">
        <v>8.4000000000000005E-2</v>
      </c>
      <c r="N48" s="9">
        <v>3159.524198678625</v>
      </c>
      <c r="O48" s="30">
        <v>72.583664023698148</v>
      </c>
      <c r="P48" s="226">
        <v>6.0065096771559032</v>
      </c>
      <c r="Q48" s="44">
        <v>4692</v>
      </c>
      <c r="R48" s="44">
        <v>7327.7343788085145</v>
      </c>
      <c r="S48" s="44">
        <v>8109.7205395561359</v>
      </c>
      <c r="T48" s="51">
        <v>2010</v>
      </c>
    </row>
    <row r="49" spans="1:20" ht="15" customHeight="1" x14ac:dyDescent="0.35">
      <c r="A49" s="326" t="str">
        <f t="shared" si="20"/>
        <v>Lignite fired power plants</v>
      </c>
      <c r="B49" s="335" t="str">
        <f t="shared" si="21"/>
        <v>Integrated gasification combined cycle</v>
      </c>
      <c r="C49" s="323" t="s">
        <v>14</v>
      </c>
      <c r="D49" s="64" t="s">
        <v>7</v>
      </c>
      <c r="E49" s="14">
        <v>450000</v>
      </c>
      <c r="F49" s="15">
        <v>37</v>
      </c>
      <c r="G49" s="39">
        <v>3</v>
      </c>
      <c r="H49" s="16">
        <v>0.88</v>
      </c>
      <c r="I49" s="16">
        <v>0.42088058235914777</v>
      </c>
      <c r="J49" s="16">
        <v>4.2286679999999999</v>
      </c>
      <c r="K49" s="16">
        <v>0</v>
      </c>
      <c r="L49" s="16">
        <v>1.25</v>
      </c>
      <c r="M49" s="16">
        <v>8.8000000000000009E-2</v>
      </c>
      <c r="N49" s="15">
        <v>3309.7970434747463</v>
      </c>
      <c r="O49" s="31">
        <v>73.754801684998057</v>
      </c>
      <c r="P49" s="228">
        <v>6.2393118450650027</v>
      </c>
      <c r="Q49" s="46">
        <v>5520</v>
      </c>
      <c r="R49" s="46">
        <v>8092.5</v>
      </c>
      <c r="S49" s="46">
        <v>8760</v>
      </c>
      <c r="T49" s="53">
        <v>2020</v>
      </c>
    </row>
    <row r="50" spans="1:20" ht="15" customHeight="1" x14ac:dyDescent="0.35">
      <c r="A50" s="326" t="str">
        <f t="shared" si="20"/>
        <v>Lignite fired power plants</v>
      </c>
      <c r="B50" s="335" t="str">
        <f t="shared" si="21"/>
        <v>Integrated gasification combined cycle</v>
      </c>
      <c r="C50" s="324" t="str">
        <f>C49</f>
        <v>CHP</v>
      </c>
      <c r="D50" s="65" t="s">
        <v>8</v>
      </c>
      <c r="E50" s="17">
        <v>265000</v>
      </c>
      <c r="F50" s="18">
        <v>37</v>
      </c>
      <c r="G50" s="40">
        <v>3</v>
      </c>
      <c r="H50" s="19">
        <v>0.88</v>
      </c>
      <c r="I50" s="19">
        <v>0.40085698953461313</v>
      </c>
      <c r="J50" s="19">
        <v>4.2286679999999999</v>
      </c>
      <c r="K50" s="19">
        <v>0</v>
      </c>
      <c r="L50" s="19">
        <v>1.25</v>
      </c>
      <c r="M50" s="19">
        <v>9.240000000000001E-2</v>
      </c>
      <c r="N50" s="18">
        <v>3529.4760244733179</v>
      </c>
      <c r="O50" s="32">
        <v>78.650080599412192</v>
      </c>
      <c r="P50" s="229">
        <v>6.6404193187441027</v>
      </c>
      <c r="Q50" s="47">
        <v>3312</v>
      </c>
      <c r="R50" s="47">
        <v>6687.0977658009688</v>
      </c>
      <c r="S50" s="47">
        <v>7909.2327546795241</v>
      </c>
      <c r="T50" s="54">
        <v>2020</v>
      </c>
    </row>
    <row r="51" spans="1:20" ht="15" customHeight="1" x14ac:dyDescent="0.35">
      <c r="A51" s="326" t="str">
        <f t="shared" si="20"/>
        <v>Lignite fired power plants</v>
      </c>
      <c r="B51" s="335" t="str">
        <f t="shared" si="21"/>
        <v>Integrated gasification combined cycle</v>
      </c>
      <c r="C51" s="323" t="s">
        <v>15</v>
      </c>
      <c r="D51" s="64" t="s">
        <v>7</v>
      </c>
      <c r="E51" s="14">
        <v>500000</v>
      </c>
      <c r="F51" s="15">
        <v>37</v>
      </c>
      <c r="G51" s="39">
        <v>3</v>
      </c>
      <c r="H51" s="16">
        <v>0.88</v>
      </c>
      <c r="I51" s="16">
        <v>0.44091710758377423</v>
      </c>
      <c r="J51" s="16">
        <v>0.42286679999999999</v>
      </c>
      <c r="K51" s="16">
        <v>3.8058011999999999</v>
      </c>
      <c r="L51" s="16">
        <v>0</v>
      </c>
      <c r="M51" s="16">
        <v>0.26</v>
      </c>
      <c r="N51" s="15">
        <v>4410</v>
      </c>
      <c r="O51" s="31">
        <v>106.37635135135136</v>
      </c>
      <c r="P51" s="228">
        <v>6.2878235797344821</v>
      </c>
      <c r="Q51" s="46">
        <v>6900</v>
      </c>
      <c r="R51" s="46">
        <v>8505</v>
      </c>
      <c r="S51" s="46">
        <v>8760</v>
      </c>
      <c r="T51" s="53">
        <v>2031</v>
      </c>
    </row>
    <row r="52" spans="1:20" ht="15" customHeight="1" x14ac:dyDescent="0.35">
      <c r="A52" s="326" t="str">
        <f t="shared" si="20"/>
        <v>Lignite fired power plants</v>
      </c>
      <c r="B52" s="335" t="str">
        <f t="shared" si="21"/>
        <v>Integrated gasification combined cycle</v>
      </c>
      <c r="C52" s="324" t="str">
        <f>C51</f>
        <v>Electricity only with CCS</v>
      </c>
      <c r="D52" s="65" t="s">
        <v>8</v>
      </c>
      <c r="E52" s="17">
        <v>300000</v>
      </c>
      <c r="F52" s="18">
        <v>37</v>
      </c>
      <c r="G52" s="40">
        <v>3</v>
      </c>
      <c r="H52" s="19">
        <v>0.88</v>
      </c>
      <c r="I52" s="19">
        <v>0.41992105484168973</v>
      </c>
      <c r="J52" s="19">
        <v>0.42286679999999999</v>
      </c>
      <c r="K52" s="19">
        <v>3.8058011999999999</v>
      </c>
      <c r="L52" s="19">
        <v>0</v>
      </c>
      <c r="M52" s="19">
        <v>0.27300000000000002</v>
      </c>
      <c r="N52" s="18">
        <v>4704</v>
      </c>
      <c r="O52" s="32">
        <v>113.46810810810813</v>
      </c>
      <c r="P52" s="229">
        <v>6.7070118183834477</v>
      </c>
      <c r="Q52" s="47">
        <v>4692</v>
      </c>
      <c r="R52" s="47">
        <v>7327.7343788085145</v>
      </c>
      <c r="S52" s="47">
        <v>8109.7205395561359</v>
      </c>
      <c r="T52" s="54">
        <v>2031</v>
      </c>
    </row>
    <row r="53" spans="1:20" ht="15" customHeight="1" x14ac:dyDescent="0.35">
      <c r="A53" s="326" t="str">
        <f t="shared" si="20"/>
        <v>Lignite fired power plants</v>
      </c>
      <c r="B53" s="335" t="str">
        <f t="shared" si="21"/>
        <v>Integrated gasification combined cycle</v>
      </c>
      <c r="C53" s="323" t="s">
        <v>16</v>
      </c>
      <c r="D53" s="61" t="s">
        <v>7</v>
      </c>
      <c r="E53" s="8">
        <v>450000</v>
      </c>
      <c r="F53" s="9">
        <v>37</v>
      </c>
      <c r="G53" s="38">
        <v>3</v>
      </c>
      <c r="H53" s="10">
        <v>0.88</v>
      </c>
      <c r="I53" s="10">
        <v>0.40083373416706741</v>
      </c>
      <c r="J53" s="10">
        <v>0.42286679999999999</v>
      </c>
      <c r="K53" s="10">
        <v>3.8058011999999999</v>
      </c>
      <c r="L53" s="10">
        <v>1.3785694932136283</v>
      </c>
      <c r="M53" s="10">
        <v>0.28600000000000003</v>
      </c>
      <c r="N53" s="9">
        <v>4780</v>
      </c>
      <c r="O53" s="30">
        <v>111.84231081081082</v>
      </c>
      <c r="P53" s="226">
        <v>6.6942457227479908</v>
      </c>
      <c r="Q53" s="44">
        <v>5520</v>
      </c>
      <c r="R53" s="44">
        <v>8092.5</v>
      </c>
      <c r="S53" s="44">
        <v>8760</v>
      </c>
      <c r="T53" s="51">
        <v>2031</v>
      </c>
    </row>
    <row r="54" spans="1:20" ht="15" customHeight="1" x14ac:dyDescent="0.35">
      <c r="A54" s="326" t="str">
        <f t="shared" si="20"/>
        <v>Lignite fired power plants</v>
      </c>
      <c r="B54" s="335" t="str">
        <f t="shared" ref="B54:C54" si="22">B53</f>
        <v>Integrated gasification combined cycle</v>
      </c>
      <c r="C54" s="325" t="str">
        <f t="shared" si="22"/>
        <v>CHP with CCS</v>
      </c>
      <c r="D54" s="61" t="s">
        <v>8</v>
      </c>
      <c r="E54" s="20">
        <v>265000</v>
      </c>
      <c r="F54" s="21">
        <v>37</v>
      </c>
      <c r="G54" s="38">
        <v>3</v>
      </c>
      <c r="H54" s="22">
        <v>0.88</v>
      </c>
      <c r="I54" s="22">
        <v>0.38174641349244515</v>
      </c>
      <c r="J54" s="22">
        <v>0.42286679999999999</v>
      </c>
      <c r="K54" s="22">
        <v>3.8058011999999999</v>
      </c>
      <c r="L54" s="22">
        <v>1.3870849458696295</v>
      </c>
      <c r="M54" s="22">
        <v>0.30030000000000007</v>
      </c>
      <c r="N54" s="21">
        <v>5074</v>
      </c>
      <c r="O54" s="33">
        <v>118.72131486486488</v>
      </c>
      <c r="P54" s="230">
        <v>7.097373762985864</v>
      </c>
      <c r="Q54" s="48">
        <v>3312</v>
      </c>
      <c r="R54" s="48">
        <v>6687.0977658009688</v>
      </c>
      <c r="S54" s="48">
        <v>7909.2327546795241</v>
      </c>
      <c r="T54" s="55">
        <v>2031</v>
      </c>
    </row>
    <row r="55" spans="1:20" ht="15" customHeight="1" x14ac:dyDescent="0.35">
      <c r="A55" s="326" t="str">
        <f t="shared" si="20"/>
        <v>Lignite fired power plants</v>
      </c>
      <c r="B55" s="334" t="s">
        <v>17</v>
      </c>
      <c r="C55" s="322" t="s">
        <v>6</v>
      </c>
      <c r="D55" s="62" t="s">
        <v>7</v>
      </c>
      <c r="E55" s="11">
        <v>750000</v>
      </c>
      <c r="F55" s="12">
        <v>42</v>
      </c>
      <c r="G55" s="37">
        <v>4</v>
      </c>
      <c r="H55" s="13">
        <v>0.89</v>
      </c>
      <c r="I55" s="13">
        <v>0.44846124242324592</v>
      </c>
      <c r="J55" s="13">
        <v>4.2286679999999999</v>
      </c>
      <c r="K55" s="13">
        <v>0</v>
      </c>
      <c r="L55" s="13">
        <v>0</v>
      </c>
      <c r="M55" s="13">
        <v>6.0999999999999999E-2</v>
      </c>
      <c r="N55" s="12">
        <v>1864.1476628803243</v>
      </c>
      <c r="O55" s="29">
        <v>40.83371071071187</v>
      </c>
      <c r="P55" s="227">
        <v>3.9025030624692771</v>
      </c>
      <c r="Q55" s="45">
        <v>6750</v>
      </c>
      <c r="R55" s="45">
        <v>8630</v>
      </c>
      <c r="S55" s="45">
        <v>8760</v>
      </c>
      <c r="T55" s="52">
        <v>2010</v>
      </c>
    </row>
    <row r="56" spans="1:20" ht="15" customHeight="1" x14ac:dyDescent="0.35">
      <c r="A56" s="326" t="str">
        <f t="shared" si="20"/>
        <v>Lignite fired power plants</v>
      </c>
      <c r="B56" s="335" t="str">
        <f t="shared" ref="B56:B61" si="23">B55</f>
        <v>Supercritical steam turbine</v>
      </c>
      <c r="C56" s="324" t="str">
        <f>C55</f>
        <v>Electricity only</v>
      </c>
      <c r="D56" s="61" t="s">
        <v>8</v>
      </c>
      <c r="E56" s="8">
        <v>350000</v>
      </c>
      <c r="F56" s="9">
        <v>42</v>
      </c>
      <c r="G56" s="38">
        <v>4</v>
      </c>
      <c r="H56" s="10">
        <v>0.89</v>
      </c>
      <c r="I56" s="10">
        <v>0.42712700900451295</v>
      </c>
      <c r="J56" s="10">
        <v>4.2286679999999999</v>
      </c>
      <c r="K56" s="10">
        <v>0</v>
      </c>
      <c r="L56" s="10">
        <v>0</v>
      </c>
      <c r="M56" s="10">
        <v>6.4049999999999996E-2</v>
      </c>
      <c r="N56" s="9">
        <v>2031.2530157413971</v>
      </c>
      <c r="O56" s="30">
        <v>44.494113678144892</v>
      </c>
      <c r="P56" s="226">
        <v>4.2523300446771843</v>
      </c>
      <c r="Q56" s="44">
        <v>4860</v>
      </c>
      <c r="R56" s="44">
        <v>7591.1827974454973</v>
      </c>
      <c r="S56" s="44">
        <v>8202.9602199209512</v>
      </c>
      <c r="T56" s="51">
        <v>2010</v>
      </c>
    </row>
    <row r="57" spans="1:20" ht="15" customHeight="1" x14ac:dyDescent="0.35">
      <c r="A57" s="326" t="str">
        <f t="shared" si="20"/>
        <v>Lignite fired power plants</v>
      </c>
      <c r="B57" s="335" t="str">
        <f t="shared" si="23"/>
        <v>Supercritical steam turbine</v>
      </c>
      <c r="C57" s="323" t="s">
        <v>14</v>
      </c>
      <c r="D57" s="64" t="s">
        <v>7</v>
      </c>
      <c r="E57" s="14">
        <v>600000</v>
      </c>
      <c r="F57" s="15">
        <v>42</v>
      </c>
      <c r="G57" s="39">
        <v>4</v>
      </c>
      <c r="H57" s="16">
        <v>0.89</v>
      </c>
      <c r="I57" s="16">
        <v>0.40768773702962019</v>
      </c>
      <c r="J57" s="16">
        <v>4.2286679999999999</v>
      </c>
      <c r="K57" s="16">
        <v>0</v>
      </c>
      <c r="L57" s="16">
        <v>0.96</v>
      </c>
      <c r="M57" s="16">
        <v>6.7100000000000007E-2</v>
      </c>
      <c r="N57" s="15">
        <v>2259.1260424501902</v>
      </c>
      <c r="O57" s="31">
        <v>48.001049530536903</v>
      </c>
      <c r="P57" s="228">
        <v>4.7766725700380448</v>
      </c>
      <c r="Q57" s="46">
        <v>5400</v>
      </c>
      <c r="R57" s="46">
        <v>8205</v>
      </c>
      <c r="S57" s="46">
        <v>8760</v>
      </c>
      <c r="T57" s="53">
        <v>2010</v>
      </c>
    </row>
    <row r="58" spans="1:20" ht="15" customHeight="1" x14ac:dyDescent="0.35">
      <c r="A58" s="326" t="str">
        <f t="shared" si="20"/>
        <v>Lignite fired power plants</v>
      </c>
      <c r="B58" s="335" t="str">
        <f t="shared" si="23"/>
        <v>Supercritical steam turbine</v>
      </c>
      <c r="C58" s="324" t="str">
        <f>C57</f>
        <v>CHP</v>
      </c>
      <c r="D58" s="65" t="s">
        <v>8</v>
      </c>
      <c r="E58" s="17">
        <v>300000</v>
      </c>
      <c r="F58" s="18">
        <v>42</v>
      </c>
      <c r="G58" s="40">
        <v>4</v>
      </c>
      <c r="H58" s="19">
        <v>0.89</v>
      </c>
      <c r="I58" s="19">
        <v>0.38829219313818758</v>
      </c>
      <c r="J58" s="19">
        <v>4.2286679999999999</v>
      </c>
      <c r="K58" s="19">
        <v>0</v>
      </c>
      <c r="L58" s="19">
        <v>0.96</v>
      </c>
      <c r="M58" s="19">
        <v>7.0455000000000004E-2</v>
      </c>
      <c r="N58" s="18">
        <v>2446.1406634451705</v>
      </c>
      <c r="O58" s="32">
        <v>51.974664953773107</v>
      </c>
      <c r="P58" s="229">
        <v>5.1639128442259672</v>
      </c>
      <c r="Q58" s="47">
        <v>3915</v>
      </c>
      <c r="R58" s="47">
        <v>7260.9615390522395</v>
      </c>
      <c r="S58" s="47">
        <v>8214.321704229118</v>
      </c>
      <c r="T58" s="54">
        <v>2010</v>
      </c>
    </row>
    <row r="59" spans="1:20" ht="15" customHeight="1" x14ac:dyDescent="0.35">
      <c r="A59" s="326" t="str">
        <f t="shared" si="20"/>
        <v>Lignite fired power plants</v>
      </c>
      <c r="B59" s="335" t="str">
        <f t="shared" si="23"/>
        <v>Supercritical steam turbine</v>
      </c>
      <c r="C59" s="323" t="s">
        <v>15</v>
      </c>
      <c r="D59" s="64" t="s">
        <v>7</v>
      </c>
      <c r="E59" s="14">
        <v>750000</v>
      </c>
      <c r="F59" s="15">
        <v>42</v>
      </c>
      <c r="G59" s="39">
        <v>4</v>
      </c>
      <c r="H59" s="16">
        <v>0.89</v>
      </c>
      <c r="I59" s="16">
        <v>0.42707666026051677</v>
      </c>
      <c r="J59" s="16">
        <v>0.42286679999999999</v>
      </c>
      <c r="K59" s="16">
        <v>3.8058011999999999</v>
      </c>
      <c r="L59" s="16">
        <v>0</v>
      </c>
      <c r="M59" s="16">
        <v>0.27449999999999997</v>
      </c>
      <c r="N59" s="15">
        <v>3543.5</v>
      </c>
      <c r="O59" s="31">
        <v>81.500500000000017</v>
      </c>
      <c r="P59" s="228">
        <v>7.5157532239155929</v>
      </c>
      <c r="Q59" s="46">
        <v>6750</v>
      </c>
      <c r="R59" s="46">
        <v>8630</v>
      </c>
      <c r="S59" s="46">
        <v>8760</v>
      </c>
      <c r="T59" s="53">
        <v>2031</v>
      </c>
    </row>
    <row r="60" spans="1:20" ht="15" customHeight="1" x14ac:dyDescent="0.35">
      <c r="A60" s="326" t="str">
        <f t="shared" si="20"/>
        <v>Lignite fired power plants</v>
      </c>
      <c r="B60" s="335" t="str">
        <f t="shared" si="23"/>
        <v>Supercritical steam turbine</v>
      </c>
      <c r="C60" s="324" t="str">
        <f>C59</f>
        <v>Electricity only with CCS</v>
      </c>
      <c r="D60" s="65" t="s">
        <v>8</v>
      </c>
      <c r="E60" s="17">
        <v>350000</v>
      </c>
      <c r="F60" s="18">
        <v>42</v>
      </c>
      <c r="G60" s="40">
        <v>4</v>
      </c>
      <c r="H60" s="19">
        <v>0.89</v>
      </c>
      <c r="I60" s="19">
        <v>0.40673967643858738</v>
      </c>
      <c r="J60" s="19">
        <v>0.42286679999999999</v>
      </c>
      <c r="K60" s="19">
        <v>3.8058011999999999</v>
      </c>
      <c r="L60" s="19">
        <v>0</v>
      </c>
      <c r="M60" s="19">
        <v>0.28822499999999995</v>
      </c>
      <c r="N60" s="18">
        <v>3795.2750000000005</v>
      </c>
      <c r="O60" s="32">
        <v>87.291325000000029</v>
      </c>
      <c r="P60" s="229">
        <v>8.0497672687727526</v>
      </c>
      <c r="Q60" s="47">
        <v>4860</v>
      </c>
      <c r="R60" s="47">
        <v>7591.1827974454973</v>
      </c>
      <c r="S60" s="47">
        <v>8202.9602199209512</v>
      </c>
      <c r="T60" s="54">
        <v>2031</v>
      </c>
    </row>
    <row r="61" spans="1:20" ht="15" customHeight="1" x14ac:dyDescent="0.35">
      <c r="A61" s="326" t="str">
        <f t="shared" si="20"/>
        <v>Lignite fired power plants</v>
      </c>
      <c r="B61" s="335" t="str">
        <f t="shared" si="23"/>
        <v>Supercritical steam turbine</v>
      </c>
      <c r="C61" s="323" t="s">
        <v>16</v>
      </c>
      <c r="D61" s="61" t="s">
        <v>7</v>
      </c>
      <c r="E61" s="8">
        <v>600000</v>
      </c>
      <c r="F61" s="9">
        <v>42</v>
      </c>
      <c r="G61" s="38">
        <v>4</v>
      </c>
      <c r="H61" s="10">
        <v>0.89</v>
      </c>
      <c r="I61" s="10">
        <v>0.38825150932774244</v>
      </c>
      <c r="J61" s="10">
        <v>0.42286679999999999</v>
      </c>
      <c r="K61" s="10">
        <v>3.8058011999999999</v>
      </c>
      <c r="L61" s="10">
        <v>1.0780791768394424</v>
      </c>
      <c r="M61" s="10">
        <v>0.30195</v>
      </c>
      <c r="N61" s="9">
        <v>3938.5</v>
      </c>
      <c r="O61" s="30">
        <v>87.867935000000017</v>
      </c>
      <c r="P61" s="226">
        <v>8.256770160554959</v>
      </c>
      <c r="Q61" s="44">
        <v>5400</v>
      </c>
      <c r="R61" s="44">
        <v>8205</v>
      </c>
      <c r="S61" s="44">
        <v>8760</v>
      </c>
      <c r="T61" s="51">
        <v>2031</v>
      </c>
    </row>
    <row r="62" spans="1:20" ht="15" customHeight="1" x14ac:dyDescent="0.35">
      <c r="A62" s="326" t="str">
        <f t="shared" si="20"/>
        <v>Lignite fired power plants</v>
      </c>
      <c r="B62" s="336" t="str">
        <f t="shared" ref="B62:C62" si="24">B61</f>
        <v>Supercritical steam turbine</v>
      </c>
      <c r="C62" s="325" t="str">
        <f t="shared" si="24"/>
        <v>CHP with CCS</v>
      </c>
      <c r="D62" s="63" t="s">
        <v>8</v>
      </c>
      <c r="E62" s="20">
        <v>300000</v>
      </c>
      <c r="F62" s="21">
        <v>42</v>
      </c>
      <c r="G62" s="41">
        <v>4</v>
      </c>
      <c r="H62" s="22">
        <v>0.89</v>
      </c>
      <c r="I62" s="22">
        <v>0.36976334221689761</v>
      </c>
      <c r="J62" s="22">
        <v>0.42286679999999999</v>
      </c>
      <c r="K62" s="22">
        <v>3.8058011999999999</v>
      </c>
      <c r="L62" s="22">
        <v>1.085983435586688</v>
      </c>
      <c r="M62" s="22">
        <v>0.31704749999999998</v>
      </c>
      <c r="N62" s="21">
        <v>4210.2750000000005</v>
      </c>
      <c r="O62" s="33">
        <v>93.931235250000029</v>
      </c>
      <c r="P62" s="230">
        <v>8.8223038089490622</v>
      </c>
      <c r="Q62" s="48">
        <v>3915</v>
      </c>
      <c r="R62" s="48">
        <v>7260.9615390522395</v>
      </c>
      <c r="S62" s="48">
        <v>8214.321704229118</v>
      </c>
      <c r="T62" s="55">
        <v>2031</v>
      </c>
    </row>
    <row r="63" spans="1:20" ht="15" customHeight="1" x14ac:dyDescent="0.35">
      <c r="A63" s="326" t="str">
        <f t="shared" si="20"/>
        <v>Lignite fired power plants</v>
      </c>
      <c r="B63" s="334" t="s">
        <v>18</v>
      </c>
      <c r="C63" s="322" t="s">
        <v>6</v>
      </c>
      <c r="D63" s="62" t="s">
        <v>7</v>
      </c>
      <c r="E63" s="11">
        <v>580000</v>
      </c>
      <c r="F63" s="12">
        <v>42</v>
      </c>
      <c r="G63" s="37">
        <v>4</v>
      </c>
      <c r="H63" s="13">
        <v>0.87</v>
      </c>
      <c r="I63" s="13">
        <v>0.40652940634949497</v>
      </c>
      <c r="J63" s="13">
        <v>4.2286679999999999</v>
      </c>
      <c r="K63" s="13">
        <v>0</v>
      </c>
      <c r="L63" s="13">
        <v>0</v>
      </c>
      <c r="M63" s="13">
        <v>5.1999999999999998E-2</v>
      </c>
      <c r="N63" s="12">
        <v>1929.3985351592823</v>
      </c>
      <c r="O63" s="29">
        <v>39.047351306795001</v>
      </c>
      <c r="P63" s="227">
        <v>4.0913945623596462</v>
      </c>
      <c r="Q63" s="45">
        <v>6300</v>
      </c>
      <c r="R63" s="45">
        <v>8225</v>
      </c>
      <c r="S63" s="45">
        <v>8500</v>
      </c>
      <c r="T63" s="52">
        <v>2010</v>
      </c>
    </row>
    <row r="64" spans="1:20" ht="15" customHeight="1" x14ac:dyDescent="0.35">
      <c r="A64" s="326" t="str">
        <f t="shared" si="20"/>
        <v>Lignite fired power plants</v>
      </c>
      <c r="B64" s="335" t="str">
        <f t="shared" ref="B64:B71" si="25">B63</f>
        <v>Fluidized bed combustion</v>
      </c>
      <c r="C64" s="321" t="str">
        <f t="shared" ref="C64:C65" si="26">C63</f>
        <v>Electricity only</v>
      </c>
      <c r="D64" s="61" t="s">
        <v>8</v>
      </c>
      <c r="E64" s="8">
        <v>290000</v>
      </c>
      <c r="F64" s="9">
        <v>42</v>
      </c>
      <c r="G64" s="38">
        <v>4</v>
      </c>
      <c r="H64" s="10">
        <v>0.87</v>
      </c>
      <c r="I64" s="10">
        <v>0.38719213523481538</v>
      </c>
      <c r="J64" s="10">
        <v>4.2286679999999999</v>
      </c>
      <c r="K64" s="10">
        <v>0</v>
      </c>
      <c r="L64" s="10">
        <v>0</v>
      </c>
      <c r="M64" s="10">
        <v>5.4600000000000003E-2</v>
      </c>
      <c r="N64" s="9">
        <v>2092.8224254301394</v>
      </c>
      <c r="O64" s="30">
        <v>42.354739562276635</v>
      </c>
      <c r="P64" s="226">
        <v>4.4379438127241624</v>
      </c>
      <c r="Q64" s="44">
        <v>4504.5</v>
      </c>
      <c r="R64" s="44">
        <v>7224.4837073664221</v>
      </c>
      <c r="S64" s="44">
        <v>7948.4076756871136</v>
      </c>
      <c r="T64" s="51">
        <v>2010</v>
      </c>
    </row>
    <row r="65" spans="1:20" ht="15" customHeight="1" x14ac:dyDescent="0.35">
      <c r="A65" s="326" t="str">
        <f t="shared" si="20"/>
        <v>Lignite fired power plants</v>
      </c>
      <c r="B65" s="335" t="str">
        <f t="shared" si="25"/>
        <v>Fluidized bed combustion</v>
      </c>
      <c r="C65" s="324" t="str">
        <f t="shared" si="26"/>
        <v>Electricity only</v>
      </c>
      <c r="D65" s="61" t="s">
        <v>10</v>
      </c>
      <c r="E65" s="8">
        <v>40000</v>
      </c>
      <c r="F65" s="9">
        <v>42</v>
      </c>
      <c r="G65" s="38">
        <v>3</v>
      </c>
      <c r="H65" s="10">
        <v>0.87</v>
      </c>
      <c r="I65" s="10">
        <v>0.36880202672062323</v>
      </c>
      <c r="J65" s="10">
        <v>4.2286679999999999</v>
      </c>
      <c r="K65" s="10">
        <v>0</v>
      </c>
      <c r="L65" s="10">
        <v>0</v>
      </c>
      <c r="M65" s="10">
        <v>5.7330000000000006E-2</v>
      </c>
      <c r="N65" s="9">
        <v>2373.8205622502874</v>
      </c>
      <c r="O65" s="30">
        <v>48.041606616970107</v>
      </c>
      <c r="P65" s="226">
        <v>5.0338156495006077</v>
      </c>
      <c r="Q65" s="44">
        <v>3040.5375000000004</v>
      </c>
      <c r="R65" s="44">
        <v>6241.217017353104</v>
      </c>
      <c r="S65" s="44">
        <v>7347.5218904818876</v>
      </c>
      <c r="T65" s="51">
        <v>2010</v>
      </c>
    </row>
    <row r="66" spans="1:20" ht="15" customHeight="1" x14ac:dyDescent="0.35">
      <c r="A66" s="326" t="str">
        <f t="shared" si="20"/>
        <v>Lignite fired power plants</v>
      </c>
      <c r="B66" s="335" t="str">
        <f t="shared" si="25"/>
        <v>Fluidized bed combustion</v>
      </c>
      <c r="C66" s="323" t="s">
        <v>14</v>
      </c>
      <c r="D66" s="64" t="s">
        <v>7</v>
      </c>
      <c r="E66" s="14">
        <v>500000</v>
      </c>
      <c r="F66" s="15">
        <v>42</v>
      </c>
      <c r="G66" s="39">
        <v>4</v>
      </c>
      <c r="H66" s="16">
        <v>0.87</v>
      </c>
      <c r="I66" s="16">
        <v>0.36955669015900783</v>
      </c>
      <c r="J66" s="16">
        <v>4.2286679999999999</v>
      </c>
      <c r="K66" s="16">
        <v>0</v>
      </c>
      <c r="L66" s="16">
        <v>1.35</v>
      </c>
      <c r="M66" s="16">
        <v>5.7200000000000001E-2</v>
      </c>
      <c r="N66" s="15">
        <v>2259.7694537679813</v>
      </c>
      <c r="O66" s="31">
        <v>44.361426538850012</v>
      </c>
      <c r="P66" s="228">
        <v>4.7986160619119715</v>
      </c>
      <c r="Q66" s="46">
        <v>5040</v>
      </c>
      <c r="R66" s="46">
        <v>7827.5</v>
      </c>
      <c r="S66" s="46">
        <v>8500</v>
      </c>
      <c r="T66" s="53">
        <v>2010</v>
      </c>
    </row>
    <row r="67" spans="1:20" ht="15" customHeight="1" x14ac:dyDescent="0.35">
      <c r="A67" s="326" t="str">
        <f t="shared" si="20"/>
        <v>Lignite fired power plants</v>
      </c>
      <c r="B67" s="335" t="str">
        <f t="shared" si="25"/>
        <v>Fluidized bed combustion</v>
      </c>
      <c r="C67" s="321" t="str">
        <f t="shared" ref="C67:C68" si="27">C66</f>
        <v>CHP</v>
      </c>
      <c r="D67" s="61" t="s">
        <v>8</v>
      </c>
      <c r="E67" s="8">
        <v>250000</v>
      </c>
      <c r="F67" s="9">
        <v>42</v>
      </c>
      <c r="G67" s="38">
        <v>4</v>
      </c>
      <c r="H67" s="10">
        <v>0.87</v>
      </c>
      <c r="I67" s="10">
        <v>0.35196708260906395</v>
      </c>
      <c r="J67" s="10">
        <v>4.2286679999999999</v>
      </c>
      <c r="K67" s="10">
        <v>0</v>
      </c>
      <c r="L67" s="10">
        <v>1.35</v>
      </c>
      <c r="M67" s="10">
        <v>6.0060000000000009E-2</v>
      </c>
      <c r="N67" s="9">
        <v>2423.5159091755208</v>
      </c>
      <c r="O67" s="30">
        <v>47.575925407505167</v>
      </c>
      <c r="P67" s="226">
        <v>5.1315503394996673</v>
      </c>
      <c r="Q67" s="44">
        <v>3603.6</v>
      </c>
      <c r="R67" s="44">
        <v>6899.4557204141356</v>
      </c>
      <c r="S67" s="44">
        <v>7948.4076756871136</v>
      </c>
      <c r="T67" s="51">
        <v>2010</v>
      </c>
    </row>
    <row r="68" spans="1:20" ht="15" customHeight="1" x14ac:dyDescent="0.35">
      <c r="A68" s="326" t="str">
        <f t="shared" si="20"/>
        <v>Lignite fired power plants</v>
      </c>
      <c r="B68" s="335" t="str">
        <f t="shared" si="25"/>
        <v>Fluidized bed combustion</v>
      </c>
      <c r="C68" s="324" t="str">
        <f t="shared" si="27"/>
        <v>CHP</v>
      </c>
      <c r="D68" s="65" t="s">
        <v>10</v>
      </c>
      <c r="E68" s="17">
        <v>20000</v>
      </c>
      <c r="F68" s="18">
        <v>42</v>
      </c>
      <c r="G68" s="40">
        <v>3</v>
      </c>
      <c r="H68" s="19">
        <v>0.87</v>
      </c>
      <c r="I68" s="19">
        <v>0.33522754554111567</v>
      </c>
      <c r="J68" s="19">
        <v>4.2286679999999999</v>
      </c>
      <c r="K68" s="19">
        <v>0</v>
      </c>
      <c r="L68" s="19">
        <v>1.52</v>
      </c>
      <c r="M68" s="19">
        <v>6.3063000000000008E-2</v>
      </c>
      <c r="N68" s="18">
        <v>2755.2843975290339</v>
      </c>
      <c r="O68" s="32">
        <v>54.088856803873533</v>
      </c>
      <c r="P68" s="229">
        <v>5.8369236231320363</v>
      </c>
      <c r="Q68" s="47">
        <v>2432.4300000000003</v>
      </c>
      <c r="R68" s="47">
        <v>5984.4714101418886</v>
      </c>
      <c r="S68" s="47">
        <v>7347.5218904818876</v>
      </c>
      <c r="T68" s="54">
        <v>2010</v>
      </c>
    </row>
    <row r="69" spans="1:20" ht="15" customHeight="1" x14ac:dyDescent="0.35">
      <c r="A69" s="326" t="str">
        <f t="shared" si="20"/>
        <v>Lignite fired power plants</v>
      </c>
      <c r="B69" s="335" t="str">
        <f t="shared" si="25"/>
        <v>Fluidized bed combustion</v>
      </c>
      <c r="C69" s="323" t="s">
        <v>15</v>
      </c>
      <c r="D69" s="64" t="s">
        <v>7</v>
      </c>
      <c r="E69" s="14">
        <v>580000</v>
      </c>
      <c r="F69" s="15">
        <v>42</v>
      </c>
      <c r="G69" s="39">
        <v>4</v>
      </c>
      <c r="H69" s="16">
        <v>0.87</v>
      </c>
      <c r="I69" s="16">
        <v>0.38714672861014321</v>
      </c>
      <c r="J69" s="16">
        <v>0.42286679999999999</v>
      </c>
      <c r="K69" s="16">
        <v>3.8058011999999999</v>
      </c>
      <c r="L69" s="16">
        <v>0</v>
      </c>
      <c r="M69" s="16">
        <v>0.28599999999999998</v>
      </c>
      <c r="N69" s="15">
        <v>4004.75</v>
      </c>
      <c r="O69" s="31">
        <v>85.100937500000001</v>
      </c>
      <c r="P69" s="228">
        <v>7.8988286700606061</v>
      </c>
      <c r="Q69" s="46">
        <v>6300</v>
      </c>
      <c r="R69" s="46">
        <v>8225</v>
      </c>
      <c r="S69" s="46">
        <v>8500</v>
      </c>
      <c r="T69" s="53">
        <v>2031</v>
      </c>
    </row>
    <row r="70" spans="1:20" ht="15" customHeight="1" x14ac:dyDescent="0.35">
      <c r="A70" s="326" t="str">
        <f t="shared" si="20"/>
        <v>Lignite fired power plants</v>
      </c>
      <c r="B70" s="335" t="str">
        <f t="shared" si="25"/>
        <v>Fluidized bed combustion</v>
      </c>
      <c r="C70" s="324" t="str">
        <f>C69</f>
        <v>Electricity only with CCS</v>
      </c>
      <c r="D70" s="65" t="s">
        <v>8</v>
      </c>
      <c r="E70" s="17">
        <v>290000</v>
      </c>
      <c r="F70" s="18">
        <v>42</v>
      </c>
      <c r="G70" s="40">
        <v>4</v>
      </c>
      <c r="H70" s="19">
        <v>0.87</v>
      </c>
      <c r="I70" s="19">
        <v>0.36871117010489829</v>
      </c>
      <c r="J70" s="19">
        <v>0.42286679999999999</v>
      </c>
      <c r="K70" s="19">
        <v>3.8058011999999999</v>
      </c>
      <c r="L70" s="19">
        <v>0</v>
      </c>
      <c r="M70" s="19">
        <v>0.30030000000000001</v>
      </c>
      <c r="N70" s="18">
        <v>4438.4875000000011</v>
      </c>
      <c r="O70" s="32">
        <v>94.317859375000026</v>
      </c>
      <c r="P70" s="229">
        <v>8.7543173273501793</v>
      </c>
      <c r="Q70" s="47">
        <v>4504.5</v>
      </c>
      <c r="R70" s="47">
        <v>7224.4837073664221</v>
      </c>
      <c r="S70" s="47">
        <v>7948.4076756871136</v>
      </c>
      <c r="T70" s="54">
        <v>2031</v>
      </c>
    </row>
    <row r="71" spans="1:20" ht="15" customHeight="1" x14ac:dyDescent="0.35">
      <c r="A71" s="326" t="str">
        <f t="shared" si="20"/>
        <v>Lignite fired power plants</v>
      </c>
      <c r="B71" s="335" t="str">
        <f t="shared" si="25"/>
        <v>Fluidized bed combustion</v>
      </c>
      <c r="C71" s="323" t="s">
        <v>16</v>
      </c>
      <c r="D71" s="61" t="s">
        <v>7</v>
      </c>
      <c r="E71" s="8">
        <v>500000</v>
      </c>
      <c r="F71" s="9">
        <v>42</v>
      </c>
      <c r="G71" s="38">
        <v>4</v>
      </c>
      <c r="H71" s="10">
        <v>0.87</v>
      </c>
      <c r="I71" s="10">
        <v>0.3519515714637666</v>
      </c>
      <c r="J71" s="10">
        <v>0.42286679999999999</v>
      </c>
      <c r="K71" s="10">
        <v>3.8058011999999999</v>
      </c>
      <c r="L71" s="10">
        <v>1.5336418745222644</v>
      </c>
      <c r="M71" s="10">
        <v>0.31459999999999999</v>
      </c>
      <c r="N71" s="9">
        <v>4334.75</v>
      </c>
      <c r="O71" s="30">
        <v>89.350034374999993</v>
      </c>
      <c r="P71" s="226">
        <v>8.3948544007832968</v>
      </c>
      <c r="Q71" s="44">
        <v>5040</v>
      </c>
      <c r="R71" s="44">
        <v>7827.5</v>
      </c>
      <c r="S71" s="44">
        <v>8500</v>
      </c>
      <c r="T71" s="51">
        <v>2031</v>
      </c>
    </row>
    <row r="72" spans="1:20" ht="15" customHeight="1" x14ac:dyDescent="0.35">
      <c r="A72" s="326" t="str">
        <f t="shared" si="20"/>
        <v>Lignite fired power plants</v>
      </c>
      <c r="B72" s="336" t="str">
        <f t="shared" ref="B72:C72" si="28">B71</f>
        <v>Fluidized bed combustion</v>
      </c>
      <c r="C72" s="325" t="str">
        <f t="shared" si="28"/>
        <v>CHP with CCS</v>
      </c>
      <c r="D72" s="63" t="s">
        <v>8</v>
      </c>
      <c r="E72" s="20">
        <v>250000</v>
      </c>
      <c r="F72" s="21">
        <v>42</v>
      </c>
      <c r="G72" s="41">
        <v>4</v>
      </c>
      <c r="H72" s="22">
        <v>0.87</v>
      </c>
      <c r="I72" s="22">
        <v>0.3351919728226348</v>
      </c>
      <c r="J72" s="22">
        <v>0.42286679999999999</v>
      </c>
      <c r="K72" s="22">
        <v>3.8058011999999999</v>
      </c>
      <c r="L72" s="22">
        <v>1.5460711766443709</v>
      </c>
      <c r="M72" s="22">
        <v>0.33033000000000001</v>
      </c>
      <c r="N72" s="21">
        <v>4768.4875000000011</v>
      </c>
      <c r="O72" s="33">
        <v>98.290448593750028</v>
      </c>
      <c r="P72" s="230">
        <v>9.2176244951791855</v>
      </c>
      <c r="Q72" s="48">
        <v>3603.6</v>
      </c>
      <c r="R72" s="48">
        <v>6899.4557204141356</v>
      </c>
      <c r="S72" s="48">
        <v>7948.4076756871136</v>
      </c>
      <c r="T72" s="55">
        <v>2031</v>
      </c>
    </row>
    <row r="73" spans="1:20" ht="15" customHeight="1" x14ac:dyDescent="0.35">
      <c r="A73" s="326" t="str">
        <f t="shared" si="20"/>
        <v>Lignite fired power plants</v>
      </c>
      <c r="B73" s="334" t="s">
        <v>19</v>
      </c>
      <c r="C73" s="322" t="s">
        <v>6</v>
      </c>
      <c r="D73" s="62" t="s">
        <v>7</v>
      </c>
      <c r="E73" s="11">
        <v>550000</v>
      </c>
      <c r="F73" s="12">
        <v>42</v>
      </c>
      <c r="G73" s="37">
        <v>4</v>
      </c>
      <c r="H73" s="13">
        <v>0.9</v>
      </c>
      <c r="I73" s="13">
        <v>0.41012665073947718</v>
      </c>
      <c r="J73" s="13">
        <v>4.2286679999999999</v>
      </c>
      <c r="K73" s="13">
        <v>0</v>
      </c>
      <c r="L73" s="13">
        <v>0</v>
      </c>
      <c r="M73" s="13">
        <v>0.08</v>
      </c>
      <c r="N73" s="12">
        <v>1661.7363564263874</v>
      </c>
      <c r="O73" s="29">
        <v>27.695605940439791</v>
      </c>
      <c r="P73" s="227">
        <v>2.7830118178301584</v>
      </c>
      <c r="Q73" s="45">
        <v>6150</v>
      </c>
      <c r="R73" s="45">
        <v>8125</v>
      </c>
      <c r="S73" s="45">
        <v>8400</v>
      </c>
      <c r="T73" s="52">
        <v>2010</v>
      </c>
    </row>
    <row r="74" spans="1:20" ht="15" customHeight="1" x14ac:dyDescent="0.35">
      <c r="A74" s="326" t="str">
        <f t="shared" ref="A74:C76" si="29">A73</f>
        <v>Lignite fired power plants</v>
      </c>
      <c r="B74" s="335" t="str">
        <f t="shared" si="29"/>
        <v>Steam turbine</v>
      </c>
      <c r="C74" s="321" t="str">
        <f t="shared" si="29"/>
        <v>Electricity only</v>
      </c>
      <c r="D74" s="61" t="s">
        <v>8</v>
      </c>
      <c r="E74" s="8">
        <v>250000</v>
      </c>
      <c r="F74" s="9">
        <v>42</v>
      </c>
      <c r="G74" s="38">
        <v>4</v>
      </c>
      <c r="H74" s="10">
        <v>0.9</v>
      </c>
      <c r="I74" s="10">
        <v>0.39052778860156817</v>
      </c>
      <c r="J74" s="10">
        <v>4.2286679999999999</v>
      </c>
      <c r="K74" s="10">
        <v>0</v>
      </c>
      <c r="L74" s="10">
        <v>0</v>
      </c>
      <c r="M74" s="10">
        <v>8.4000000000000005E-2</v>
      </c>
      <c r="N74" s="9">
        <v>1791.5064487053739</v>
      </c>
      <c r="O74" s="30">
        <v>29.858440811756232</v>
      </c>
      <c r="P74" s="226">
        <v>3.0003457523117967</v>
      </c>
      <c r="Q74" s="44">
        <v>4920</v>
      </c>
      <c r="R74" s="44">
        <v>7449.8374113000482</v>
      </c>
      <c r="S74" s="44">
        <v>8033.3609982363105</v>
      </c>
      <c r="T74" s="51">
        <v>2010</v>
      </c>
    </row>
    <row r="75" spans="1:20" ht="15" customHeight="1" x14ac:dyDescent="0.35">
      <c r="A75" s="326" t="str">
        <f t="shared" si="29"/>
        <v>Lignite fired power plants</v>
      </c>
      <c r="B75" s="335" t="str">
        <f t="shared" si="29"/>
        <v>Steam turbine</v>
      </c>
      <c r="C75" s="321" t="str">
        <f t="shared" si="29"/>
        <v>Electricity only</v>
      </c>
      <c r="D75" s="61" t="s">
        <v>10</v>
      </c>
      <c r="E75" s="8">
        <v>70000</v>
      </c>
      <c r="F75" s="9">
        <v>42</v>
      </c>
      <c r="G75" s="38">
        <v>3</v>
      </c>
      <c r="H75" s="10">
        <v>0.9</v>
      </c>
      <c r="I75" s="10">
        <v>0.37189832054737826</v>
      </c>
      <c r="J75" s="10">
        <v>4.2286679999999999</v>
      </c>
      <c r="K75" s="10">
        <v>0</v>
      </c>
      <c r="L75" s="10">
        <v>0</v>
      </c>
      <c r="M75" s="10">
        <v>8.8200000000000014E-2</v>
      </c>
      <c r="N75" s="9">
        <v>1977.8638548495319</v>
      </c>
      <c r="O75" s="30">
        <v>32.964397580825533</v>
      </c>
      <c r="P75" s="226">
        <v>3.3124499327575481</v>
      </c>
      <c r="Q75" s="44">
        <v>3690</v>
      </c>
      <c r="R75" s="44">
        <v>6680.9839431392202</v>
      </c>
      <c r="S75" s="44">
        <v>7584.1957921584481</v>
      </c>
      <c r="T75" s="51">
        <v>2010</v>
      </c>
    </row>
    <row r="76" spans="1:20" ht="15" customHeight="1" x14ac:dyDescent="0.35">
      <c r="A76" s="326" t="str">
        <f t="shared" si="29"/>
        <v>Lignite fired power plants</v>
      </c>
      <c r="B76" s="335" t="str">
        <f t="shared" si="29"/>
        <v>Steam turbine</v>
      </c>
      <c r="C76" s="324" t="str">
        <f t="shared" si="29"/>
        <v>Electricity only</v>
      </c>
      <c r="D76" s="61" t="s">
        <v>20</v>
      </c>
      <c r="E76" s="8">
        <v>5000</v>
      </c>
      <c r="F76" s="9">
        <v>42</v>
      </c>
      <c r="G76" s="38">
        <v>1</v>
      </c>
      <c r="H76" s="10">
        <v>0.9</v>
      </c>
      <c r="I76" s="10">
        <v>0.35413506035039527</v>
      </c>
      <c r="J76" s="10">
        <v>4.2286679999999999</v>
      </c>
      <c r="K76" s="10">
        <v>0</v>
      </c>
      <c r="L76" s="10">
        <v>0</v>
      </c>
      <c r="M76" s="10">
        <v>9.2610000000000026E-2</v>
      </c>
      <c r="N76" s="9">
        <v>2369.8328304193315</v>
      </c>
      <c r="O76" s="30">
        <v>39.497213840322189</v>
      </c>
      <c r="P76" s="226">
        <v>3.9689044220722351</v>
      </c>
      <c r="Q76" s="44">
        <v>3136.5</v>
      </c>
      <c r="R76" s="44">
        <v>6291.3075328950035</v>
      </c>
      <c r="S76" s="44">
        <v>7341.6439959461532</v>
      </c>
      <c r="T76" s="51">
        <v>2010</v>
      </c>
    </row>
    <row r="77" spans="1:20" ht="15" customHeight="1" x14ac:dyDescent="0.35">
      <c r="A77" s="326" t="str">
        <f t="shared" ref="A77:B77" si="30">A76</f>
        <v>Lignite fired power plants</v>
      </c>
      <c r="B77" s="335" t="str">
        <f t="shared" si="30"/>
        <v>Steam turbine</v>
      </c>
      <c r="C77" s="323" t="s">
        <v>14</v>
      </c>
      <c r="D77" s="64" t="s">
        <v>7</v>
      </c>
      <c r="E77" s="14">
        <v>495000</v>
      </c>
      <c r="F77" s="15">
        <v>42</v>
      </c>
      <c r="G77" s="39">
        <v>4</v>
      </c>
      <c r="H77" s="16">
        <v>0.9</v>
      </c>
      <c r="I77" s="16">
        <v>0.37274202755188518</v>
      </c>
      <c r="J77" s="16">
        <v>4.2286679999999999</v>
      </c>
      <c r="K77" s="16">
        <v>0</v>
      </c>
      <c r="L77" s="16">
        <v>0.92</v>
      </c>
      <c r="M77" s="16">
        <v>8.8000000000000009E-2</v>
      </c>
      <c r="N77" s="15">
        <v>2048.9856409158274</v>
      </c>
      <c r="O77" s="31">
        <v>33.125267861472544</v>
      </c>
      <c r="P77" s="228">
        <v>3.4833175458537644</v>
      </c>
      <c r="Q77" s="46">
        <v>5535</v>
      </c>
      <c r="R77" s="46">
        <v>7732.5</v>
      </c>
      <c r="S77" s="46">
        <v>8400</v>
      </c>
      <c r="T77" s="53">
        <v>2010</v>
      </c>
    </row>
    <row r="78" spans="1:20" ht="15" customHeight="1" x14ac:dyDescent="0.35">
      <c r="A78" s="326" t="str">
        <f t="shared" ref="A78:C80" si="31">A77</f>
        <v>Lignite fired power plants</v>
      </c>
      <c r="B78" s="335" t="str">
        <f t="shared" si="31"/>
        <v>Steam turbine</v>
      </c>
      <c r="C78" s="321" t="str">
        <f t="shared" si="31"/>
        <v>CHP</v>
      </c>
      <c r="D78" s="61" t="s">
        <v>8</v>
      </c>
      <c r="E78" s="8">
        <v>230000</v>
      </c>
      <c r="F78" s="9">
        <v>42</v>
      </c>
      <c r="G78" s="38">
        <v>4</v>
      </c>
      <c r="H78" s="10">
        <v>0.9</v>
      </c>
      <c r="I78" s="10">
        <v>0.35493434789418127</v>
      </c>
      <c r="J78" s="10">
        <v>4.2286679999999999</v>
      </c>
      <c r="K78" s="10">
        <v>0</v>
      </c>
      <c r="L78" s="10">
        <v>0.92</v>
      </c>
      <c r="M78" s="10">
        <v>9.240000000000001E-2</v>
      </c>
      <c r="N78" s="9">
        <v>2178.0017187957251</v>
      </c>
      <c r="O78" s="30">
        <v>35.211027787197551</v>
      </c>
      <c r="P78" s="226">
        <v>3.689468825648524</v>
      </c>
      <c r="Q78" s="44">
        <v>4428</v>
      </c>
      <c r="R78" s="44">
        <v>7106.5217200818588</v>
      </c>
      <c r="S78" s="44">
        <v>8033.3609982363105</v>
      </c>
      <c r="T78" s="51">
        <v>2010</v>
      </c>
    </row>
    <row r="79" spans="1:20" ht="15" customHeight="1" x14ac:dyDescent="0.35">
      <c r="A79" s="326" t="str">
        <f t="shared" si="31"/>
        <v>Lignite fired power plants</v>
      </c>
      <c r="B79" s="335" t="str">
        <f t="shared" si="31"/>
        <v>Steam turbine</v>
      </c>
      <c r="C79" s="321" t="str">
        <f t="shared" si="31"/>
        <v>CHP</v>
      </c>
      <c r="D79" s="61" t="s">
        <v>10</v>
      </c>
      <c r="E79" s="8">
        <v>40000</v>
      </c>
      <c r="F79" s="9">
        <v>42</v>
      </c>
      <c r="G79" s="38">
        <v>3</v>
      </c>
      <c r="H79" s="10">
        <v>0.9</v>
      </c>
      <c r="I79" s="10">
        <v>0.33800236107754228</v>
      </c>
      <c r="J79" s="10">
        <v>4.2286679999999999</v>
      </c>
      <c r="K79" s="10">
        <v>0</v>
      </c>
      <c r="L79" s="10">
        <v>1.2</v>
      </c>
      <c r="M79" s="10">
        <v>9.7020000000000023E-2</v>
      </c>
      <c r="N79" s="9">
        <v>2768.0799702414347</v>
      </c>
      <c r="O79" s="30">
        <v>44.750626185569857</v>
      </c>
      <c r="P79" s="226">
        <v>4.8570355713578977</v>
      </c>
      <c r="Q79" s="44">
        <v>3321</v>
      </c>
      <c r="R79" s="44">
        <v>6392.0953384332206</v>
      </c>
      <c r="S79" s="44">
        <v>7584.1957921584481</v>
      </c>
      <c r="T79" s="51">
        <v>2010</v>
      </c>
    </row>
    <row r="80" spans="1:20" ht="15" customHeight="1" x14ac:dyDescent="0.35">
      <c r="A80" s="326" t="str">
        <f t="shared" si="31"/>
        <v>Lignite fired power plants</v>
      </c>
      <c r="B80" s="335" t="str">
        <f t="shared" si="31"/>
        <v>Steam turbine</v>
      </c>
      <c r="C80" s="324" t="str">
        <f t="shared" si="31"/>
        <v>CHP</v>
      </c>
      <c r="D80" s="65" t="s">
        <v>20</v>
      </c>
      <c r="E80" s="17">
        <v>4000</v>
      </c>
      <c r="F80" s="18">
        <v>42</v>
      </c>
      <c r="G80" s="40">
        <v>1</v>
      </c>
      <c r="H80" s="19">
        <v>0.9</v>
      </c>
      <c r="I80" s="19">
        <v>0.32188375184490353</v>
      </c>
      <c r="J80" s="19">
        <v>4.2286679999999999</v>
      </c>
      <c r="K80" s="19">
        <v>0</v>
      </c>
      <c r="L80" s="19">
        <v>1.35</v>
      </c>
      <c r="M80" s="19">
        <v>0.10187100000000003</v>
      </c>
      <c r="N80" s="18">
        <v>2806.1261867027324</v>
      </c>
      <c r="O80" s="32">
        <v>45.365706685027504</v>
      </c>
      <c r="P80" s="229">
        <v>4.7213383819241974</v>
      </c>
      <c r="Q80" s="47">
        <v>2822.85</v>
      </c>
      <c r="R80" s="47">
        <v>6029.2589794028099</v>
      </c>
      <c r="S80" s="47">
        <v>7341.6439959461532</v>
      </c>
      <c r="T80" s="54">
        <v>2010</v>
      </c>
    </row>
    <row r="81" spans="1:20" ht="15" customHeight="1" x14ac:dyDescent="0.35">
      <c r="A81" s="326" t="str">
        <f t="shared" ref="A81:B81" si="32">A80</f>
        <v>Lignite fired power plants</v>
      </c>
      <c r="B81" s="335" t="str">
        <f t="shared" si="32"/>
        <v>Steam turbine</v>
      </c>
      <c r="C81" s="323" t="s">
        <v>15</v>
      </c>
      <c r="D81" s="64" t="s">
        <v>7</v>
      </c>
      <c r="E81" s="14">
        <v>550000</v>
      </c>
      <c r="F81" s="15">
        <v>42</v>
      </c>
      <c r="G81" s="39">
        <v>4</v>
      </c>
      <c r="H81" s="16">
        <v>0.9</v>
      </c>
      <c r="I81" s="16">
        <v>0.39032006245121004</v>
      </c>
      <c r="J81" s="16">
        <v>0.42286679999999999</v>
      </c>
      <c r="K81" s="16">
        <v>3.8058011999999999</v>
      </c>
      <c r="L81" s="16">
        <v>0</v>
      </c>
      <c r="M81" s="16">
        <v>0.3</v>
      </c>
      <c r="N81" s="15">
        <v>3794.9999999999995</v>
      </c>
      <c r="O81" s="31">
        <v>66.412499999999994</v>
      </c>
      <c r="P81" s="228">
        <v>7.6171336956808373</v>
      </c>
      <c r="Q81" s="46">
        <v>6150</v>
      </c>
      <c r="R81" s="46">
        <v>8125</v>
      </c>
      <c r="S81" s="46">
        <v>8400</v>
      </c>
      <c r="T81" s="53">
        <v>2031</v>
      </c>
    </row>
    <row r="82" spans="1:20" ht="15" customHeight="1" x14ac:dyDescent="0.35">
      <c r="A82" s="326" t="str">
        <f t="shared" ref="A82:C82" si="33">A81</f>
        <v>Lignite fired power plants</v>
      </c>
      <c r="B82" s="335" t="str">
        <f t="shared" si="33"/>
        <v>Steam turbine</v>
      </c>
      <c r="C82" s="324" t="str">
        <f t="shared" si="33"/>
        <v>Electricity only with CCS</v>
      </c>
      <c r="D82" s="65" t="s">
        <v>8</v>
      </c>
      <c r="E82" s="17">
        <v>250000</v>
      </c>
      <c r="F82" s="18">
        <v>42</v>
      </c>
      <c r="G82" s="40">
        <v>4</v>
      </c>
      <c r="H82" s="19">
        <v>0.9</v>
      </c>
      <c r="I82" s="19">
        <v>0.37173339281067619</v>
      </c>
      <c r="J82" s="19">
        <v>0.42286679999999999</v>
      </c>
      <c r="K82" s="19">
        <v>3.8058011999999999</v>
      </c>
      <c r="L82" s="19">
        <v>0</v>
      </c>
      <c r="M82" s="19">
        <v>0.315</v>
      </c>
      <c r="N82" s="18">
        <v>4292.25</v>
      </c>
      <c r="O82" s="32">
        <v>75.11437500000001</v>
      </c>
      <c r="P82" s="229">
        <v>8.615188960549693</v>
      </c>
      <c r="Q82" s="47">
        <v>4920</v>
      </c>
      <c r="R82" s="47">
        <v>7449.8374113000482</v>
      </c>
      <c r="S82" s="47">
        <v>8033.3609982363105</v>
      </c>
      <c r="T82" s="54">
        <v>2031</v>
      </c>
    </row>
    <row r="83" spans="1:20" ht="15" customHeight="1" x14ac:dyDescent="0.35">
      <c r="A83" s="326" t="str">
        <f t="shared" ref="A83:B83" si="34">A82</f>
        <v>Lignite fired power plants</v>
      </c>
      <c r="B83" s="335" t="str">
        <f t="shared" si="34"/>
        <v>Steam turbine</v>
      </c>
      <c r="C83" s="323" t="s">
        <v>16</v>
      </c>
      <c r="D83" s="61" t="s">
        <v>7</v>
      </c>
      <c r="E83" s="8">
        <v>495000</v>
      </c>
      <c r="F83" s="9">
        <v>42</v>
      </c>
      <c r="G83" s="38">
        <v>4</v>
      </c>
      <c r="H83" s="10">
        <v>0.9</v>
      </c>
      <c r="I83" s="10">
        <v>0.35483642041019087</v>
      </c>
      <c r="J83" s="10">
        <v>0.42286679999999999</v>
      </c>
      <c r="K83" s="10">
        <v>3.8058011999999999</v>
      </c>
      <c r="L83" s="10">
        <v>1.0407725793616902</v>
      </c>
      <c r="M83" s="10">
        <v>0.33</v>
      </c>
      <c r="N83" s="9">
        <v>4185</v>
      </c>
      <c r="O83" s="30">
        <v>71.040374999999997</v>
      </c>
      <c r="P83" s="226">
        <v>8.2863037443762586</v>
      </c>
      <c r="Q83" s="44">
        <v>5535</v>
      </c>
      <c r="R83" s="44">
        <v>7732.5</v>
      </c>
      <c r="S83" s="44">
        <v>8400</v>
      </c>
      <c r="T83" s="51">
        <v>2031</v>
      </c>
    </row>
    <row r="84" spans="1:20" ht="15" customHeight="1" x14ac:dyDescent="0.35">
      <c r="A84" s="327" t="str">
        <f t="shared" ref="A84:C84" si="35">A83</f>
        <v>Lignite fired power plants</v>
      </c>
      <c r="B84" s="336" t="str">
        <f t="shared" si="35"/>
        <v>Steam turbine</v>
      </c>
      <c r="C84" s="325" t="str">
        <f t="shared" si="35"/>
        <v>CHP with CCS</v>
      </c>
      <c r="D84" s="63" t="s">
        <v>8</v>
      </c>
      <c r="E84" s="20">
        <v>230000</v>
      </c>
      <c r="F84" s="21">
        <v>42</v>
      </c>
      <c r="G84" s="41">
        <v>4</v>
      </c>
      <c r="H84" s="22">
        <v>0.9</v>
      </c>
      <c r="I84" s="22">
        <v>0.3379394480097056</v>
      </c>
      <c r="J84" s="22">
        <v>0.42286679999999999</v>
      </c>
      <c r="K84" s="22">
        <v>3.8058011999999999</v>
      </c>
      <c r="L84" s="22">
        <v>1.0491736758885259</v>
      </c>
      <c r="M84" s="22">
        <v>0.34650000000000003</v>
      </c>
      <c r="N84" s="21">
        <v>4682.25</v>
      </c>
      <c r="O84" s="33">
        <v>79.481193750000003</v>
      </c>
      <c r="P84" s="230">
        <v>9.2457354251810209</v>
      </c>
      <c r="Q84" s="48">
        <v>4428</v>
      </c>
      <c r="R84" s="48">
        <v>7106.5217200818588</v>
      </c>
      <c r="S84" s="48">
        <v>8033.3609982363105</v>
      </c>
      <c r="T84" s="55">
        <v>2031</v>
      </c>
    </row>
    <row r="85" spans="1:20" ht="15" customHeight="1" x14ac:dyDescent="0.35">
      <c r="A85" s="326" t="s">
        <v>22</v>
      </c>
      <c r="B85" s="334" t="s">
        <v>23</v>
      </c>
      <c r="C85" s="322" t="s">
        <v>6</v>
      </c>
      <c r="D85" s="62" t="s">
        <v>7</v>
      </c>
      <c r="E85" s="11">
        <v>470000</v>
      </c>
      <c r="F85" s="12">
        <v>32</v>
      </c>
      <c r="G85" s="37">
        <v>2</v>
      </c>
      <c r="H85" s="13">
        <v>0.93</v>
      </c>
      <c r="I85" s="13">
        <v>0.58979192638756239</v>
      </c>
      <c r="J85" s="13">
        <v>2.3487948000000003</v>
      </c>
      <c r="K85" s="13">
        <v>0</v>
      </c>
      <c r="L85" s="13">
        <v>0</v>
      </c>
      <c r="M85" s="13">
        <v>0.03</v>
      </c>
      <c r="N85" s="12">
        <v>870.38733662437187</v>
      </c>
      <c r="O85" s="29">
        <v>20.399703202133715</v>
      </c>
      <c r="P85" s="227">
        <v>2.0726544871257389</v>
      </c>
      <c r="Q85" s="45">
        <v>3500</v>
      </c>
      <c r="R85" s="45">
        <v>6250</v>
      </c>
      <c r="S85" s="45">
        <v>7000</v>
      </c>
      <c r="T85" s="52">
        <v>2010</v>
      </c>
    </row>
    <row r="86" spans="1:20" ht="15" customHeight="1" x14ac:dyDescent="0.35">
      <c r="A86" s="326" t="str">
        <f t="shared" ref="A86:A115" si="36">A85</f>
        <v>Gas fired power plants (Natural gas, biogas)</v>
      </c>
      <c r="B86" s="335" t="str">
        <f t="shared" ref="B86:B95" si="37">B85</f>
        <v>Gas turbine combined cycle</v>
      </c>
      <c r="C86" s="321" t="str">
        <f t="shared" ref="C86:C88" si="38">C85</f>
        <v>Electricity only</v>
      </c>
      <c r="D86" s="61" t="s">
        <v>8</v>
      </c>
      <c r="E86" s="8">
        <v>190000</v>
      </c>
      <c r="F86" s="9">
        <v>32</v>
      </c>
      <c r="G86" s="38">
        <v>2</v>
      </c>
      <c r="H86" s="10">
        <v>0.93</v>
      </c>
      <c r="I86" s="10">
        <v>0.56065788274918105</v>
      </c>
      <c r="J86" s="10">
        <v>2.3487948000000003</v>
      </c>
      <c r="K86" s="10">
        <v>0</v>
      </c>
      <c r="L86" s="10">
        <v>0</v>
      </c>
      <c r="M86" s="10">
        <v>3.15E-2</v>
      </c>
      <c r="N86" s="9">
        <v>908.59237145754082</v>
      </c>
      <c r="O86" s="30">
        <v>21.295133706036111</v>
      </c>
      <c r="P86" s="226">
        <v>2.163632185841887</v>
      </c>
      <c r="Q86" s="44">
        <v>2800</v>
      </c>
      <c r="R86" s="44">
        <v>5752.6303119403419</v>
      </c>
      <c r="S86" s="44">
        <v>6694.467498530259</v>
      </c>
      <c r="T86" s="51">
        <v>2010</v>
      </c>
    </row>
    <row r="87" spans="1:20" ht="15" customHeight="1" x14ac:dyDescent="0.35">
      <c r="A87" s="326" t="str">
        <f t="shared" si="36"/>
        <v>Gas fired power plants (Natural gas, biogas)</v>
      </c>
      <c r="B87" s="335" t="str">
        <f t="shared" si="37"/>
        <v>Gas turbine combined cycle</v>
      </c>
      <c r="C87" s="321" t="str">
        <f t="shared" si="38"/>
        <v>Electricity only</v>
      </c>
      <c r="D87" s="61" t="s">
        <v>10</v>
      </c>
      <c r="E87" s="8">
        <v>50000</v>
      </c>
      <c r="F87" s="9">
        <v>32</v>
      </c>
      <c r="G87" s="38">
        <v>2</v>
      </c>
      <c r="H87" s="10">
        <v>0.93</v>
      </c>
      <c r="I87" s="10">
        <v>0.53359482364142552</v>
      </c>
      <c r="J87" s="10">
        <v>2.3487948000000003</v>
      </c>
      <c r="K87" s="10">
        <v>0</v>
      </c>
      <c r="L87" s="10">
        <v>0</v>
      </c>
      <c r="M87" s="10">
        <v>3.3075E-2</v>
      </c>
      <c r="N87" s="9">
        <v>978.07374667277043</v>
      </c>
      <c r="O87" s="30">
        <v>22.923603437643056</v>
      </c>
      <c r="P87" s="226">
        <v>2.329088274242749</v>
      </c>
      <c r="Q87" s="44">
        <v>2100</v>
      </c>
      <c r="R87" s="44">
        <v>5184.1418678150621</v>
      </c>
      <c r="S87" s="44">
        <v>6320.1631601320405</v>
      </c>
      <c r="T87" s="51">
        <v>2010</v>
      </c>
    </row>
    <row r="88" spans="1:20" ht="15" customHeight="1" x14ac:dyDescent="0.35">
      <c r="A88" s="326" t="str">
        <f t="shared" si="36"/>
        <v>Gas fired power plants (Natural gas, biogas)</v>
      </c>
      <c r="B88" s="335" t="str">
        <f t="shared" si="37"/>
        <v>Gas turbine combined cycle</v>
      </c>
      <c r="C88" s="324" t="str">
        <f t="shared" si="38"/>
        <v>Electricity only</v>
      </c>
      <c r="D88" s="61" t="s">
        <v>20</v>
      </c>
      <c r="E88" s="8">
        <v>4500</v>
      </c>
      <c r="F88" s="9">
        <v>32</v>
      </c>
      <c r="G88" s="38">
        <v>1</v>
      </c>
      <c r="H88" s="10">
        <v>0.93</v>
      </c>
      <c r="I88" s="10">
        <v>0.50814679143647812</v>
      </c>
      <c r="J88" s="10">
        <v>2.3487948000000003</v>
      </c>
      <c r="K88" s="10">
        <v>0</v>
      </c>
      <c r="L88" s="10">
        <v>0</v>
      </c>
      <c r="M88" s="10">
        <v>3.4728750000000003E-2</v>
      </c>
      <c r="N88" s="9">
        <v>1124.9563833960706</v>
      </c>
      <c r="O88" s="30">
        <v>26.366165235845404</v>
      </c>
      <c r="P88" s="226">
        <v>2.6788600864868326</v>
      </c>
      <c r="Q88" s="44">
        <v>1785</v>
      </c>
      <c r="R88" s="44">
        <v>4895.0273051564091</v>
      </c>
      <c r="S88" s="44">
        <v>6118.0366632884616</v>
      </c>
      <c r="T88" s="51">
        <v>2010</v>
      </c>
    </row>
    <row r="89" spans="1:20" ht="15" customHeight="1" x14ac:dyDescent="0.35">
      <c r="A89" s="326" t="str">
        <f t="shared" si="36"/>
        <v>Gas fired power plants (Natural gas, biogas)</v>
      </c>
      <c r="B89" s="335" t="str">
        <f t="shared" si="37"/>
        <v>Gas turbine combined cycle</v>
      </c>
      <c r="C89" s="323" t="s">
        <v>14</v>
      </c>
      <c r="D89" s="64" t="s">
        <v>7</v>
      </c>
      <c r="E89" s="14">
        <v>440000</v>
      </c>
      <c r="F89" s="15">
        <v>32</v>
      </c>
      <c r="G89" s="39">
        <v>2</v>
      </c>
      <c r="H89" s="16">
        <v>0.93</v>
      </c>
      <c r="I89" s="16">
        <v>0.53589055573459987</v>
      </c>
      <c r="J89" s="16">
        <v>2.3487948000000003</v>
      </c>
      <c r="K89" s="16">
        <v>0</v>
      </c>
      <c r="L89" s="16">
        <v>1.08</v>
      </c>
      <c r="M89" s="16">
        <v>3.3000000000000002E-2</v>
      </c>
      <c r="N89" s="15">
        <v>1194.9392493250252</v>
      </c>
      <c r="O89" s="31">
        <v>27.166196996373621</v>
      </c>
      <c r="P89" s="228">
        <v>2.9642725993365198</v>
      </c>
      <c r="Q89" s="46">
        <v>2800</v>
      </c>
      <c r="R89" s="46">
        <v>5662.5</v>
      </c>
      <c r="S89" s="46">
        <v>6650</v>
      </c>
      <c r="T89" s="53">
        <v>2010</v>
      </c>
    </row>
    <row r="90" spans="1:20" ht="15" customHeight="1" x14ac:dyDescent="0.35">
      <c r="A90" s="326" t="str">
        <f t="shared" si="36"/>
        <v>Gas fired power plants (Natural gas, biogas)</v>
      </c>
      <c r="B90" s="335" t="str">
        <f t="shared" si="37"/>
        <v>Gas turbine combined cycle</v>
      </c>
      <c r="C90" s="321" t="str">
        <f t="shared" ref="C90:C92" si="39">C89</f>
        <v>CHP</v>
      </c>
      <c r="D90" s="61" t="s">
        <v>8</v>
      </c>
      <c r="E90" s="8">
        <v>175000</v>
      </c>
      <c r="F90" s="9">
        <v>32</v>
      </c>
      <c r="G90" s="38">
        <v>2</v>
      </c>
      <c r="H90" s="10">
        <v>0.93</v>
      </c>
      <c r="I90" s="10">
        <v>0.50961721483682099</v>
      </c>
      <c r="J90" s="10">
        <v>2.3487948000000003</v>
      </c>
      <c r="K90" s="10">
        <v>0</v>
      </c>
      <c r="L90" s="10">
        <v>1.08</v>
      </c>
      <c r="M90" s="10">
        <v>3.465E-2</v>
      </c>
      <c r="N90" s="9">
        <v>1233.4369838911657</v>
      </c>
      <c r="O90" s="30">
        <v>28.041418930650718</v>
      </c>
      <c r="P90" s="226">
        <v>3.0517740280304131</v>
      </c>
      <c r="Q90" s="44">
        <v>2240</v>
      </c>
      <c r="R90" s="44">
        <v>5224.4591400758027</v>
      </c>
      <c r="S90" s="44">
        <v>6359.7441236037457</v>
      </c>
      <c r="T90" s="51">
        <v>2010</v>
      </c>
    </row>
    <row r="91" spans="1:20" ht="15" customHeight="1" x14ac:dyDescent="0.35">
      <c r="A91" s="326" t="str">
        <f t="shared" si="36"/>
        <v>Gas fired power plants (Natural gas, biogas)</v>
      </c>
      <c r="B91" s="335" t="str">
        <f t="shared" si="37"/>
        <v>Gas turbine combined cycle</v>
      </c>
      <c r="C91" s="321" t="str">
        <f t="shared" si="39"/>
        <v>CHP</v>
      </c>
      <c r="D91" s="61" t="s">
        <v>10</v>
      </c>
      <c r="E91" s="8">
        <v>45000</v>
      </c>
      <c r="F91" s="9">
        <v>32</v>
      </c>
      <c r="G91" s="38">
        <v>2</v>
      </c>
      <c r="H91" s="10">
        <v>0.93</v>
      </c>
      <c r="I91" s="10">
        <v>0.48507891891322585</v>
      </c>
      <c r="J91" s="10">
        <v>2.3487948000000003</v>
      </c>
      <c r="K91" s="10">
        <v>0</v>
      </c>
      <c r="L91" s="10">
        <v>1.25</v>
      </c>
      <c r="M91" s="10">
        <v>3.6382500000000005E-2</v>
      </c>
      <c r="N91" s="9">
        <v>1499.7622867896091</v>
      </c>
      <c r="O91" s="30">
        <v>34.096158238732521</v>
      </c>
      <c r="P91" s="226">
        <v>3.8256998102208999</v>
      </c>
      <c r="Q91" s="44">
        <v>1680</v>
      </c>
      <c r="R91" s="44">
        <v>4722.5287456494043</v>
      </c>
      <c r="S91" s="44">
        <v>6004.1550021254379</v>
      </c>
      <c r="T91" s="51">
        <v>2010</v>
      </c>
    </row>
    <row r="92" spans="1:20" ht="15" customHeight="1" x14ac:dyDescent="0.35">
      <c r="A92" s="326" t="str">
        <f t="shared" si="36"/>
        <v>Gas fired power plants (Natural gas, biogas)</v>
      </c>
      <c r="B92" s="335" t="str">
        <f t="shared" si="37"/>
        <v>Gas turbine combined cycle</v>
      </c>
      <c r="C92" s="324" t="str">
        <f t="shared" si="39"/>
        <v>CHP</v>
      </c>
      <c r="D92" s="65" t="s">
        <v>20</v>
      </c>
      <c r="E92" s="17">
        <v>4000</v>
      </c>
      <c r="F92" s="18">
        <v>32</v>
      </c>
      <c r="G92" s="40">
        <v>1</v>
      </c>
      <c r="H92" s="19">
        <v>0.93</v>
      </c>
      <c r="I92" s="19">
        <v>0.46195064568102306</v>
      </c>
      <c r="J92" s="19">
        <v>2.3487948000000003</v>
      </c>
      <c r="K92" s="19">
        <v>0</v>
      </c>
      <c r="L92" s="19">
        <v>1.4</v>
      </c>
      <c r="M92" s="19">
        <v>3.8201625000000003E-2</v>
      </c>
      <c r="N92" s="18">
        <v>1604.962436256651</v>
      </c>
      <c r="O92" s="32">
        <v>36.487817886772298</v>
      </c>
      <c r="P92" s="229">
        <v>4.0209226827300801</v>
      </c>
      <c r="Q92" s="47">
        <v>1428</v>
      </c>
      <c r="R92" s="47">
        <v>4466.6750425473701</v>
      </c>
      <c r="S92" s="47">
        <v>5812.1348301240378</v>
      </c>
      <c r="T92" s="54">
        <v>2010</v>
      </c>
    </row>
    <row r="93" spans="1:20" ht="15" customHeight="1" x14ac:dyDescent="0.35">
      <c r="A93" s="326" t="str">
        <f t="shared" si="36"/>
        <v>Gas fired power plants (Natural gas, biogas)</v>
      </c>
      <c r="B93" s="335" t="str">
        <f t="shared" si="37"/>
        <v>Gas turbine combined cycle</v>
      </c>
      <c r="C93" s="323" t="s">
        <v>15</v>
      </c>
      <c r="D93" s="64" t="s">
        <v>7</v>
      </c>
      <c r="E93" s="14">
        <v>470000</v>
      </c>
      <c r="F93" s="15">
        <v>32</v>
      </c>
      <c r="G93" s="39">
        <v>2</v>
      </c>
      <c r="H93" s="16">
        <v>0.93</v>
      </c>
      <c r="I93" s="16">
        <v>0.56022408963585435</v>
      </c>
      <c r="J93" s="16">
        <v>0.23487948000000003</v>
      </c>
      <c r="K93" s="16">
        <v>2.1139153200000003</v>
      </c>
      <c r="L93" s="16">
        <v>0</v>
      </c>
      <c r="M93" s="16">
        <v>0.16499999999999998</v>
      </c>
      <c r="N93" s="15">
        <v>1618.75</v>
      </c>
      <c r="O93" s="31">
        <v>39.83642578125</v>
      </c>
      <c r="P93" s="228">
        <v>3.4380037368112544</v>
      </c>
      <c r="Q93" s="46">
        <v>3500</v>
      </c>
      <c r="R93" s="46">
        <v>6250</v>
      </c>
      <c r="S93" s="46">
        <v>7000</v>
      </c>
      <c r="T93" s="53">
        <v>2031</v>
      </c>
    </row>
    <row r="94" spans="1:20" ht="15" customHeight="1" x14ac:dyDescent="0.35">
      <c r="A94" s="326" t="str">
        <f t="shared" si="36"/>
        <v>Gas fired power plants (Natural gas, biogas)</v>
      </c>
      <c r="B94" s="335" t="str">
        <f t="shared" si="37"/>
        <v>Gas turbine combined cycle</v>
      </c>
      <c r="C94" s="324" t="str">
        <f>C93</f>
        <v>Electricity only with CCS</v>
      </c>
      <c r="D94" s="65" t="s">
        <v>8</v>
      </c>
      <c r="E94" s="17">
        <v>190000</v>
      </c>
      <c r="F94" s="18">
        <v>32</v>
      </c>
      <c r="G94" s="40">
        <v>2</v>
      </c>
      <c r="H94" s="19">
        <v>0.93</v>
      </c>
      <c r="I94" s="19">
        <v>0.53354675203414703</v>
      </c>
      <c r="J94" s="19">
        <v>0.23487948000000003</v>
      </c>
      <c r="K94" s="19">
        <v>2.1139153200000003</v>
      </c>
      <c r="L94" s="19">
        <v>0</v>
      </c>
      <c r="M94" s="19">
        <v>0.17324999999999999</v>
      </c>
      <c r="N94" s="18">
        <v>1980.9375</v>
      </c>
      <c r="O94" s="32">
        <v>48.7496337890625</v>
      </c>
      <c r="P94" s="229">
        <v>4.2072404802406442</v>
      </c>
      <c r="Q94" s="47">
        <v>2800</v>
      </c>
      <c r="R94" s="47">
        <v>5752.6303119403419</v>
      </c>
      <c r="S94" s="47">
        <v>6694.467498530259</v>
      </c>
      <c r="T94" s="54">
        <v>2031</v>
      </c>
    </row>
    <row r="95" spans="1:20" ht="15" customHeight="1" x14ac:dyDescent="0.35">
      <c r="A95" s="326" t="str">
        <f t="shared" si="36"/>
        <v>Gas fired power plants (Natural gas, biogas)</v>
      </c>
      <c r="B95" s="335" t="str">
        <f t="shared" si="37"/>
        <v>Gas turbine combined cycle</v>
      </c>
      <c r="C95" s="323" t="s">
        <v>16</v>
      </c>
      <c r="D95" s="61" t="s">
        <v>7</v>
      </c>
      <c r="E95" s="8">
        <v>440000</v>
      </c>
      <c r="F95" s="9">
        <v>32</v>
      </c>
      <c r="G95" s="38">
        <v>2</v>
      </c>
      <c r="H95" s="10">
        <v>0.93</v>
      </c>
      <c r="I95" s="10">
        <v>0.50929777565992973</v>
      </c>
      <c r="J95" s="10">
        <v>0.23487948000000003</v>
      </c>
      <c r="K95" s="10">
        <v>2.1139153200000003</v>
      </c>
      <c r="L95" s="10">
        <v>1.1544812173389434</v>
      </c>
      <c r="M95" s="10">
        <v>0.18149999999999999</v>
      </c>
      <c r="N95" s="9">
        <v>1943.7199571989106</v>
      </c>
      <c r="O95" s="30">
        <v>46.398721322041183</v>
      </c>
      <c r="P95" s="226">
        <v>4.1599688713439731</v>
      </c>
      <c r="Q95" s="44">
        <v>2800</v>
      </c>
      <c r="R95" s="44">
        <v>5662.5</v>
      </c>
      <c r="S95" s="44">
        <v>6650</v>
      </c>
      <c r="T95" s="51">
        <v>2031</v>
      </c>
    </row>
    <row r="96" spans="1:20" ht="15" customHeight="1" x14ac:dyDescent="0.35">
      <c r="A96" s="326" t="str">
        <f t="shared" si="36"/>
        <v>Gas fired power plants (Natural gas, biogas)</v>
      </c>
      <c r="B96" s="336" t="str">
        <f t="shared" ref="B96:C96" si="40">B95</f>
        <v>Gas turbine combined cycle</v>
      </c>
      <c r="C96" s="325" t="str">
        <f t="shared" si="40"/>
        <v>CHP with CCS</v>
      </c>
      <c r="D96" s="63" t="s">
        <v>8</v>
      </c>
      <c r="E96" s="20">
        <v>175000</v>
      </c>
      <c r="F96" s="21">
        <v>32</v>
      </c>
      <c r="G96" s="41">
        <v>2</v>
      </c>
      <c r="H96" s="22">
        <v>0.93</v>
      </c>
      <c r="I96" s="22">
        <v>0.48504522800952493</v>
      </c>
      <c r="J96" s="22">
        <v>0.23487948000000003</v>
      </c>
      <c r="K96" s="22">
        <v>2.1139153200000003</v>
      </c>
      <c r="L96" s="22">
        <v>1.1588494801467055</v>
      </c>
      <c r="M96" s="22">
        <v>0.19057499999999999</v>
      </c>
      <c r="N96" s="21">
        <v>2305.9050992649463</v>
      </c>
      <c r="O96" s="33">
        <v>55.044476803156577</v>
      </c>
      <c r="P96" s="230">
        <v>4.8969633103188812</v>
      </c>
      <c r="Q96" s="48">
        <v>2240</v>
      </c>
      <c r="R96" s="48">
        <v>5224.4591400758027</v>
      </c>
      <c r="S96" s="48">
        <v>6359.7441236037457</v>
      </c>
      <c r="T96" s="55">
        <v>2031</v>
      </c>
    </row>
    <row r="97" spans="1:20" ht="15" customHeight="1" x14ac:dyDescent="0.35">
      <c r="A97" s="326" t="str">
        <f t="shared" si="36"/>
        <v>Gas fired power plants (Natural gas, biogas)</v>
      </c>
      <c r="B97" s="334" t="s">
        <v>24</v>
      </c>
      <c r="C97" s="322" t="s">
        <v>6</v>
      </c>
      <c r="D97" s="62" t="s">
        <v>8</v>
      </c>
      <c r="E97" s="11">
        <v>150000</v>
      </c>
      <c r="F97" s="12">
        <v>25</v>
      </c>
      <c r="G97" s="37">
        <v>2</v>
      </c>
      <c r="H97" s="13">
        <v>0.94499999999999995</v>
      </c>
      <c r="I97" s="13">
        <v>0.39070516531846322</v>
      </c>
      <c r="J97" s="13">
        <v>2.3487948000000003</v>
      </c>
      <c r="K97" s="13">
        <v>0</v>
      </c>
      <c r="L97" s="13">
        <v>0</v>
      </c>
      <c r="M97" s="13">
        <v>2.5000000000000001E-2</v>
      </c>
      <c r="N97" s="12">
        <v>534.45136572284309</v>
      </c>
      <c r="O97" s="29">
        <v>9.6201245830111777</v>
      </c>
      <c r="P97" s="227">
        <v>2.3809087804769091</v>
      </c>
      <c r="Q97" s="45">
        <v>1500</v>
      </c>
      <c r="R97" s="45">
        <v>3500</v>
      </c>
      <c r="S97" s="45">
        <v>4000</v>
      </c>
      <c r="T97" s="52">
        <v>2010</v>
      </c>
    </row>
    <row r="98" spans="1:20" ht="15" customHeight="1" x14ac:dyDescent="0.35">
      <c r="A98" s="326" t="str">
        <f t="shared" si="36"/>
        <v>Gas fired power plants (Natural gas, biogas)</v>
      </c>
      <c r="B98" s="335" t="str">
        <f t="shared" ref="B98:B100" si="41">B97</f>
        <v xml:space="preserve">Gas turbine </v>
      </c>
      <c r="C98" s="321" t="str">
        <f t="shared" ref="C98:C99" si="42">C97</f>
        <v>Electricity only</v>
      </c>
      <c r="D98" s="61" t="s">
        <v>10</v>
      </c>
      <c r="E98" s="8">
        <v>35000</v>
      </c>
      <c r="F98" s="9">
        <v>25</v>
      </c>
      <c r="G98" s="38">
        <v>2</v>
      </c>
      <c r="H98" s="10">
        <v>0.94499999999999995</v>
      </c>
      <c r="I98" s="10">
        <v>0.37210091086300418</v>
      </c>
      <c r="J98" s="10">
        <v>2.3487948000000003</v>
      </c>
      <c r="K98" s="10">
        <v>0</v>
      </c>
      <c r="L98" s="10">
        <v>0</v>
      </c>
      <c r="M98" s="10">
        <v>2.6250000000000002E-2</v>
      </c>
      <c r="N98" s="9">
        <v>569.18494213147699</v>
      </c>
      <c r="O98" s="30">
        <v>10.245328958366587</v>
      </c>
      <c r="P98" s="226">
        <v>2.5356421806560521</v>
      </c>
      <c r="Q98" s="44">
        <v>750</v>
      </c>
      <c r="R98" s="44">
        <v>2275.7373286208713</v>
      </c>
      <c r="S98" s="44">
        <v>2828.4271247461902</v>
      </c>
      <c r="T98" s="51">
        <v>2010</v>
      </c>
    </row>
    <row r="99" spans="1:20" ht="15" customHeight="1" x14ac:dyDescent="0.35">
      <c r="A99" s="326" t="str">
        <f t="shared" si="36"/>
        <v>Gas fired power plants (Natural gas, biogas)</v>
      </c>
      <c r="B99" s="335" t="str">
        <f t="shared" si="41"/>
        <v xml:space="preserve">Gas turbine </v>
      </c>
      <c r="C99" s="324" t="str">
        <f t="shared" si="42"/>
        <v>Electricity only</v>
      </c>
      <c r="D99" s="65" t="s">
        <v>20</v>
      </c>
      <c r="E99" s="17">
        <v>3500</v>
      </c>
      <c r="F99" s="18">
        <v>25</v>
      </c>
      <c r="G99" s="40">
        <v>1</v>
      </c>
      <c r="H99" s="19">
        <v>0.94499999999999995</v>
      </c>
      <c r="I99" s="10">
        <v>0.35435362855839297</v>
      </c>
      <c r="J99" s="10">
        <v>2.3487948000000003</v>
      </c>
      <c r="K99" s="10">
        <v>0</v>
      </c>
      <c r="L99" s="19">
        <v>0</v>
      </c>
      <c r="M99" s="10">
        <v>2.7562500000000004E-2</v>
      </c>
      <c r="N99" s="9">
        <v>825.64651751275608</v>
      </c>
      <c r="O99" s="32">
        <v>14.861637315229611</v>
      </c>
      <c r="P99" s="226">
        <v>3.678143923269019</v>
      </c>
      <c r="Q99" s="44">
        <v>37.5</v>
      </c>
      <c r="R99" s="44">
        <v>835.64226699634219</v>
      </c>
      <c r="S99" s="47">
        <v>1151.4259016263247</v>
      </c>
      <c r="T99" s="51">
        <v>2010</v>
      </c>
    </row>
    <row r="100" spans="1:20" ht="15" customHeight="1" x14ac:dyDescent="0.35">
      <c r="A100" s="326" t="str">
        <f t="shared" si="36"/>
        <v>Gas fired power plants (Natural gas, biogas)</v>
      </c>
      <c r="B100" s="335" t="str">
        <f t="shared" si="41"/>
        <v xml:space="preserve">Gas turbine </v>
      </c>
      <c r="C100" s="323" t="s">
        <v>14</v>
      </c>
      <c r="D100" s="61" t="s">
        <v>8</v>
      </c>
      <c r="E100" s="8">
        <v>125000</v>
      </c>
      <c r="F100" s="9">
        <v>25</v>
      </c>
      <c r="G100" s="38">
        <v>2</v>
      </c>
      <c r="H100" s="10">
        <v>0.94499999999999995</v>
      </c>
      <c r="I100" s="16">
        <v>0.35512388176569853</v>
      </c>
      <c r="J100" s="16">
        <v>2.3487948000000003</v>
      </c>
      <c r="K100" s="16">
        <v>0</v>
      </c>
      <c r="L100" s="10">
        <v>0.97499999999999998</v>
      </c>
      <c r="M100" s="16">
        <v>2.7500000000000004E-2</v>
      </c>
      <c r="N100" s="15">
        <v>794.88532699297753</v>
      </c>
      <c r="O100" s="30">
        <v>13.878697809297391</v>
      </c>
      <c r="P100" s="228">
        <v>3.7636311143671883</v>
      </c>
      <c r="Q100" s="46">
        <v>1724.9999999999998</v>
      </c>
      <c r="R100" s="46">
        <v>4575</v>
      </c>
      <c r="S100" s="44">
        <v>4800</v>
      </c>
      <c r="T100" s="53">
        <v>2010</v>
      </c>
    </row>
    <row r="101" spans="1:20" ht="15" customHeight="1" x14ac:dyDescent="0.35">
      <c r="A101" s="326" t="str">
        <f t="shared" si="36"/>
        <v>Gas fired power plants (Natural gas, biogas)</v>
      </c>
      <c r="B101" s="335" t="str">
        <f t="shared" ref="B101:C102" si="43">B100</f>
        <v xml:space="preserve">Gas turbine </v>
      </c>
      <c r="C101" s="321" t="str">
        <f t="shared" si="43"/>
        <v>CHP</v>
      </c>
      <c r="D101" s="61" t="s">
        <v>10</v>
      </c>
      <c r="E101" s="8">
        <v>30000</v>
      </c>
      <c r="F101" s="9">
        <v>25</v>
      </c>
      <c r="G101" s="38">
        <v>2</v>
      </c>
      <c r="H101" s="10">
        <v>0.94499999999999995</v>
      </c>
      <c r="I101" s="10">
        <v>0.3382195964349507</v>
      </c>
      <c r="J101" s="10">
        <v>2.3487948000000003</v>
      </c>
      <c r="K101" s="10">
        <v>0</v>
      </c>
      <c r="L101" s="10">
        <v>0.89</v>
      </c>
      <c r="M101" s="10">
        <v>2.8875000000000005E-2</v>
      </c>
      <c r="N101" s="9">
        <v>809.58188521038085</v>
      </c>
      <c r="O101" s="30">
        <v>14.135299715773252</v>
      </c>
      <c r="P101" s="226">
        <v>3.7907510075532165</v>
      </c>
      <c r="Q101" s="44">
        <v>1380</v>
      </c>
      <c r="R101" s="44">
        <v>3966.0380799086142</v>
      </c>
      <c r="S101" s="44">
        <v>4293.2505167995969</v>
      </c>
      <c r="T101" s="51">
        <v>2010</v>
      </c>
    </row>
    <row r="102" spans="1:20" ht="15" customHeight="1" x14ac:dyDescent="0.35">
      <c r="A102" s="326" t="str">
        <f t="shared" si="36"/>
        <v>Gas fired power plants (Natural gas, biogas)</v>
      </c>
      <c r="B102" s="336" t="str">
        <f t="shared" si="43"/>
        <v xml:space="preserve">Gas turbine </v>
      </c>
      <c r="C102" s="325" t="str">
        <f t="shared" si="43"/>
        <v>CHP</v>
      </c>
      <c r="D102" s="63" t="s">
        <v>20</v>
      </c>
      <c r="E102" s="20">
        <v>3500</v>
      </c>
      <c r="F102" s="21">
        <v>25</v>
      </c>
      <c r="G102" s="41">
        <v>1</v>
      </c>
      <c r="H102" s="22">
        <v>0.94499999999999995</v>
      </c>
      <c r="I102" s="19">
        <v>0.3221139013666196</v>
      </c>
      <c r="J102" s="19">
        <v>2.3487948000000003</v>
      </c>
      <c r="K102" s="19">
        <v>0</v>
      </c>
      <c r="L102" s="22">
        <v>0.65</v>
      </c>
      <c r="M102" s="19">
        <v>3.0318750000000005E-2</v>
      </c>
      <c r="N102" s="21">
        <v>960.9445297023633</v>
      </c>
      <c r="O102" s="33">
        <v>16.778091488603266</v>
      </c>
      <c r="P102" s="230">
        <v>4.2798660766517127</v>
      </c>
      <c r="Q102" s="47">
        <v>69</v>
      </c>
      <c r="R102" s="48">
        <v>949.1737736557991</v>
      </c>
      <c r="S102" s="48">
        <v>1295.3115337666209</v>
      </c>
      <c r="T102" s="54">
        <v>2010</v>
      </c>
    </row>
    <row r="103" spans="1:20" ht="15" customHeight="1" x14ac:dyDescent="0.35">
      <c r="A103" s="326" t="str">
        <f t="shared" si="36"/>
        <v>Gas fired power plants (Natural gas, biogas)</v>
      </c>
      <c r="B103" s="334" t="s">
        <v>19</v>
      </c>
      <c r="C103" s="322" t="s">
        <v>6</v>
      </c>
      <c r="D103" s="62" t="s">
        <v>7</v>
      </c>
      <c r="E103" s="11">
        <v>400000</v>
      </c>
      <c r="F103" s="12">
        <v>38</v>
      </c>
      <c r="G103" s="37">
        <v>4</v>
      </c>
      <c r="H103" s="13">
        <v>0.91500000000000004</v>
      </c>
      <c r="I103" s="13">
        <v>0.45774377358774243</v>
      </c>
      <c r="J103" s="13">
        <v>2.3487948000000003</v>
      </c>
      <c r="K103" s="13">
        <v>0</v>
      </c>
      <c r="L103" s="13">
        <v>0</v>
      </c>
      <c r="M103" s="13">
        <v>4.2000000000000003E-2</v>
      </c>
      <c r="N103" s="12">
        <v>731.24301203132757</v>
      </c>
      <c r="O103" s="29">
        <v>13.855130754277786</v>
      </c>
      <c r="P103" s="227">
        <v>1.917555871619141</v>
      </c>
      <c r="Q103" s="45">
        <v>3750</v>
      </c>
      <c r="R103" s="45">
        <v>6625</v>
      </c>
      <c r="S103" s="45">
        <v>7250</v>
      </c>
      <c r="T103" s="52">
        <v>2010</v>
      </c>
    </row>
    <row r="104" spans="1:20" ht="15" customHeight="1" x14ac:dyDescent="0.35">
      <c r="A104" s="326" t="str">
        <f t="shared" si="36"/>
        <v>Gas fired power plants (Natural gas, biogas)</v>
      </c>
      <c r="B104" s="335" t="str">
        <f t="shared" ref="B104:B113" si="44">B103</f>
        <v>Steam turbine</v>
      </c>
      <c r="C104" s="321" t="str">
        <f t="shared" ref="C104:C106" si="45">C103</f>
        <v>Electricity only</v>
      </c>
      <c r="D104" s="61" t="s">
        <v>8</v>
      </c>
      <c r="E104" s="8">
        <v>175000</v>
      </c>
      <c r="F104" s="9">
        <v>38</v>
      </c>
      <c r="G104" s="38">
        <v>4</v>
      </c>
      <c r="H104" s="10">
        <v>0.91500000000000004</v>
      </c>
      <c r="I104" s="10">
        <v>0.43592792127463353</v>
      </c>
      <c r="J104" s="10">
        <v>2.3487948000000003</v>
      </c>
      <c r="K104" s="10">
        <v>0</v>
      </c>
      <c r="L104" s="10">
        <v>0</v>
      </c>
      <c r="M104" s="10">
        <v>4.4100000000000007E-2</v>
      </c>
      <c r="N104" s="9">
        <v>789.40683974537546</v>
      </c>
      <c r="O104" s="30">
        <v>14.957182226754483</v>
      </c>
      <c r="P104" s="226">
        <v>2.0700802547774702</v>
      </c>
      <c r="Q104" s="44">
        <v>3000</v>
      </c>
      <c r="R104" s="44">
        <v>6090.846789202752</v>
      </c>
      <c r="S104" s="44">
        <v>6933.5556234777687</v>
      </c>
      <c r="T104" s="51">
        <v>2010</v>
      </c>
    </row>
    <row r="105" spans="1:20" ht="15" customHeight="1" x14ac:dyDescent="0.35">
      <c r="A105" s="326" t="str">
        <f t="shared" si="36"/>
        <v>Gas fired power plants (Natural gas, biogas)</v>
      </c>
      <c r="B105" s="335" t="str">
        <f t="shared" si="44"/>
        <v>Steam turbine</v>
      </c>
      <c r="C105" s="321" t="str">
        <f t="shared" si="45"/>
        <v>Electricity only</v>
      </c>
      <c r="D105" s="61" t="s">
        <v>10</v>
      </c>
      <c r="E105" s="8">
        <v>20000</v>
      </c>
      <c r="F105" s="9">
        <v>38</v>
      </c>
      <c r="G105" s="38">
        <v>3</v>
      </c>
      <c r="H105" s="10">
        <v>0.91500000000000004</v>
      </c>
      <c r="I105" s="10">
        <v>0.4151606226048099</v>
      </c>
      <c r="J105" s="10">
        <v>2.3487948000000003</v>
      </c>
      <c r="K105" s="10">
        <v>0</v>
      </c>
      <c r="L105" s="10">
        <v>0</v>
      </c>
      <c r="M105" s="10">
        <v>4.6305000000000013E-2</v>
      </c>
      <c r="N105" s="9">
        <v>872.10913159886661</v>
      </c>
      <c r="O105" s="30">
        <v>16.524173019768</v>
      </c>
      <c r="P105" s="226">
        <v>2.2869524336985152</v>
      </c>
      <c r="Q105" s="44">
        <v>2250</v>
      </c>
      <c r="R105" s="44">
        <v>5481.0074049504501</v>
      </c>
      <c r="S105" s="44">
        <v>6545.8832729938995</v>
      </c>
      <c r="T105" s="51">
        <v>2010</v>
      </c>
    </row>
    <row r="106" spans="1:20" ht="15" customHeight="1" x14ac:dyDescent="0.35">
      <c r="A106" s="326" t="str">
        <f t="shared" si="36"/>
        <v>Gas fired power plants (Natural gas, biogas)</v>
      </c>
      <c r="B106" s="335" t="str">
        <f t="shared" si="44"/>
        <v>Steam turbine</v>
      </c>
      <c r="C106" s="324" t="str">
        <f t="shared" si="45"/>
        <v>Electricity only</v>
      </c>
      <c r="D106" s="61" t="s">
        <v>20</v>
      </c>
      <c r="E106" s="8">
        <v>3000</v>
      </c>
      <c r="F106" s="9">
        <v>38</v>
      </c>
      <c r="G106" s="38">
        <v>1</v>
      </c>
      <c r="H106" s="10">
        <v>0.91500000000000004</v>
      </c>
      <c r="I106" s="10">
        <v>0.39536983852171437</v>
      </c>
      <c r="J106" s="10">
        <v>2.3487948000000003</v>
      </c>
      <c r="K106" s="10">
        <v>0</v>
      </c>
      <c r="L106" s="10">
        <v>0</v>
      </c>
      <c r="M106" s="10">
        <v>4.8620250000000018E-2</v>
      </c>
      <c r="N106" s="9">
        <v>1045.9691561747588</v>
      </c>
      <c r="O106" s="30">
        <v>19.818362959100696</v>
      </c>
      <c r="P106" s="226">
        <v>2.7428696944176747</v>
      </c>
      <c r="Q106" s="44">
        <v>1912.5</v>
      </c>
      <c r="R106" s="44">
        <v>5171.1878665409131</v>
      </c>
      <c r="S106" s="44">
        <v>6336.5379726916208</v>
      </c>
      <c r="T106" s="51">
        <v>2010</v>
      </c>
    </row>
    <row r="107" spans="1:20" ht="15" customHeight="1" x14ac:dyDescent="0.35">
      <c r="A107" s="326" t="str">
        <f t="shared" si="36"/>
        <v>Gas fired power plants (Natural gas, biogas)</v>
      </c>
      <c r="B107" s="335" t="str">
        <f t="shared" si="44"/>
        <v>Steam turbine</v>
      </c>
      <c r="C107" s="323" t="s">
        <v>14</v>
      </c>
      <c r="D107" s="64" t="s">
        <v>7</v>
      </c>
      <c r="E107" s="14">
        <v>350000</v>
      </c>
      <c r="F107" s="15">
        <v>38</v>
      </c>
      <c r="G107" s="39">
        <v>4</v>
      </c>
      <c r="H107" s="16">
        <v>0.91500000000000004</v>
      </c>
      <c r="I107" s="16">
        <v>0.41609357704502803</v>
      </c>
      <c r="J107" s="16">
        <v>2.3487948000000003</v>
      </c>
      <c r="K107" s="16">
        <v>0</v>
      </c>
      <c r="L107" s="16">
        <v>1.1499999999999999</v>
      </c>
      <c r="M107" s="16">
        <v>4.6200000000000005E-2</v>
      </c>
      <c r="N107" s="15">
        <v>1225.9915382110178</v>
      </c>
      <c r="O107" s="31">
        <v>22.532433954909866</v>
      </c>
      <c r="P107" s="228">
        <v>3.522424925259124</v>
      </c>
      <c r="Q107" s="46">
        <v>3000</v>
      </c>
      <c r="R107" s="46">
        <v>5993.75</v>
      </c>
      <c r="S107" s="46">
        <v>6887.5</v>
      </c>
      <c r="T107" s="53">
        <v>2010</v>
      </c>
    </row>
    <row r="108" spans="1:20" ht="15" customHeight="1" x14ac:dyDescent="0.35">
      <c r="A108" s="326" t="str">
        <f t="shared" si="36"/>
        <v>Gas fired power plants (Natural gas, biogas)</v>
      </c>
      <c r="B108" s="335" t="str">
        <f t="shared" si="44"/>
        <v>Steam turbine</v>
      </c>
      <c r="C108" s="321" t="str">
        <f t="shared" ref="C108:C110" si="46">C107</f>
        <v>CHP</v>
      </c>
      <c r="D108" s="61" t="s">
        <v>8</v>
      </c>
      <c r="E108" s="8">
        <v>140000</v>
      </c>
      <c r="F108" s="9">
        <v>38</v>
      </c>
      <c r="G108" s="38">
        <v>4</v>
      </c>
      <c r="H108" s="10">
        <v>0.91500000000000004</v>
      </c>
      <c r="I108" s="10">
        <v>0.39626693612223335</v>
      </c>
      <c r="J108" s="10">
        <v>2.3487948000000003</v>
      </c>
      <c r="K108" s="10">
        <v>0</v>
      </c>
      <c r="L108" s="10">
        <v>1.1499999999999999</v>
      </c>
      <c r="M108" s="10">
        <v>4.8510000000000011E-2</v>
      </c>
      <c r="N108" s="9">
        <v>1287.0299604556055</v>
      </c>
      <c r="O108" s="30">
        <v>23.654255904794603</v>
      </c>
      <c r="P108" s="226">
        <v>3.6719518404462415</v>
      </c>
      <c r="Q108" s="44">
        <v>2400</v>
      </c>
      <c r="R108" s="44">
        <v>5523.8975519962278</v>
      </c>
      <c r="S108" s="44">
        <v>6586.8778423038802</v>
      </c>
      <c r="T108" s="51">
        <v>2010</v>
      </c>
    </row>
    <row r="109" spans="1:20" ht="15" customHeight="1" x14ac:dyDescent="0.35">
      <c r="A109" s="326" t="str">
        <f t="shared" si="36"/>
        <v>Gas fired power plants (Natural gas, biogas)</v>
      </c>
      <c r="B109" s="335" t="str">
        <f t="shared" si="44"/>
        <v>Steam turbine</v>
      </c>
      <c r="C109" s="321" t="str">
        <f t="shared" si="46"/>
        <v>CHP</v>
      </c>
      <c r="D109" s="61" t="s">
        <v>10</v>
      </c>
      <c r="E109" s="8">
        <v>17500</v>
      </c>
      <c r="F109" s="9">
        <v>38</v>
      </c>
      <c r="G109" s="38">
        <v>3</v>
      </c>
      <c r="H109" s="10">
        <v>0.91500000000000004</v>
      </c>
      <c r="I109" s="10">
        <v>0.37739025527767922</v>
      </c>
      <c r="J109" s="10">
        <v>2.3487948000000003</v>
      </c>
      <c r="K109" s="10">
        <v>0</v>
      </c>
      <c r="L109" s="10">
        <v>1.25</v>
      </c>
      <c r="M109" s="10">
        <v>5.0935500000000015E-2</v>
      </c>
      <c r="N109" s="9">
        <v>1575.9048009939688</v>
      </c>
      <c r="O109" s="30">
        <v>28.963471395110208</v>
      </c>
      <c r="P109" s="226">
        <v>4.6132044185754761</v>
      </c>
      <c r="Q109" s="44">
        <v>1800</v>
      </c>
      <c r="R109" s="44">
        <v>4986.1504578575768</v>
      </c>
      <c r="S109" s="44">
        <v>6218.5891093442042</v>
      </c>
      <c r="T109" s="51">
        <v>2010</v>
      </c>
    </row>
    <row r="110" spans="1:20" ht="15" customHeight="1" x14ac:dyDescent="0.35">
      <c r="A110" s="326" t="str">
        <f t="shared" si="36"/>
        <v>Gas fired power plants (Natural gas, biogas)</v>
      </c>
      <c r="B110" s="335" t="str">
        <f t="shared" si="44"/>
        <v>Steam turbine</v>
      </c>
      <c r="C110" s="324" t="str">
        <f t="shared" si="46"/>
        <v>CHP</v>
      </c>
      <c r="D110" s="65" t="s">
        <v>20</v>
      </c>
      <c r="E110" s="17">
        <v>3000</v>
      </c>
      <c r="F110" s="18">
        <v>38</v>
      </c>
      <c r="G110" s="40">
        <v>1</v>
      </c>
      <c r="H110" s="19">
        <v>0.91500000000000004</v>
      </c>
      <c r="I110" s="19">
        <v>0.35941416758539191</v>
      </c>
      <c r="J110" s="19">
        <v>2.3487948000000003</v>
      </c>
      <c r="K110" s="19">
        <v>0</v>
      </c>
      <c r="L110" s="19">
        <v>1.4</v>
      </c>
      <c r="M110" s="19">
        <v>5.3482275000000024E-2</v>
      </c>
      <c r="N110" s="18">
        <v>1825.3032590645494</v>
      </c>
      <c r="O110" s="32">
        <v>33.547152529754776</v>
      </c>
      <c r="P110" s="229">
        <v>5.2963804920119575</v>
      </c>
      <c r="Q110" s="47">
        <v>1530</v>
      </c>
      <c r="R110" s="47">
        <v>4712.3365851943572</v>
      </c>
      <c r="S110" s="47">
        <v>6019.7110740570397</v>
      </c>
      <c r="T110" s="54">
        <v>2010</v>
      </c>
    </row>
    <row r="111" spans="1:20" ht="15" customHeight="1" x14ac:dyDescent="0.35">
      <c r="A111" s="326" t="str">
        <f t="shared" si="36"/>
        <v>Gas fired power plants (Natural gas, biogas)</v>
      </c>
      <c r="B111" s="335" t="str">
        <f t="shared" si="44"/>
        <v>Steam turbine</v>
      </c>
      <c r="C111" s="323" t="s">
        <v>15</v>
      </c>
      <c r="D111" s="64" t="s">
        <v>7</v>
      </c>
      <c r="E111" s="14">
        <v>400000</v>
      </c>
      <c r="F111" s="15">
        <v>38</v>
      </c>
      <c r="G111" s="39">
        <v>4</v>
      </c>
      <c r="H111" s="16">
        <v>0.91500000000000004</v>
      </c>
      <c r="I111" s="16">
        <v>0.43587228941920009</v>
      </c>
      <c r="J111" s="16">
        <v>0.23487948000000003</v>
      </c>
      <c r="K111" s="16">
        <v>2.1139153200000003</v>
      </c>
      <c r="L111" s="16">
        <v>0</v>
      </c>
      <c r="M111" s="16">
        <v>0.21000000000000002</v>
      </c>
      <c r="N111" s="15">
        <v>1825</v>
      </c>
      <c r="O111" s="31">
        <v>36.307894736842115</v>
      </c>
      <c r="P111" s="228">
        <v>3.7328777688653041</v>
      </c>
      <c r="Q111" s="46">
        <v>3750</v>
      </c>
      <c r="R111" s="46">
        <v>6625</v>
      </c>
      <c r="S111" s="46">
        <v>7250</v>
      </c>
      <c r="T111" s="53">
        <v>2031</v>
      </c>
    </row>
    <row r="112" spans="1:20" ht="15" customHeight="1" x14ac:dyDescent="0.35">
      <c r="A112" s="326" t="str">
        <f t="shared" si="36"/>
        <v>Gas fired power plants (Natural gas, biogas)</v>
      </c>
      <c r="B112" s="335" t="str">
        <f t="shared" si="44"/>
        <v>Steam turbine</v>
      </c>
      <c r="C112" s="324" t="str">
        <f>C111</f>
        <v>Electricity only with CCS</v>
      </c>
      <c r="D112" s="65" t="s">
        <v>8</v>
      </c>
      <c r="E112" s="17">
        <v>175000</v>
      </c>
      <c r="F112" s="18">
        <v>38</v>
      </c>
      <c r="G112" s="40">
        <v>4</v>
      </c>
      <c r="H112" s="19">
        <v>0.91500000000000004</v>
      </c>
      <c r="I112" s="19">
        <v>0.41511646611352393</v>
      </c>
      <c r="J112" s="19">
        <v>0.23487948000000003</v>
      </c>
      <c r="K112" s="19">
        <v>2.1139153200000003</v>
      </c>
      <c r="L112" s="19">
        <v>0</v>
      </c>
      <c r="M112" s="19">
        <v>0.22050000000000003</v>
      </c>
      <c r="N112" s="18">
        <v>2374.75</v>
      </c>
      <c r="O112" s="32">
        <v>47.245026315789474</v>
      </c>
      <c r="P112" s="229">
        <v>4.8573432775960992</v>
      </c>
      <c r="Q112" s="47">
        <v>3000</v>
      </c>
      <c r="R112" s="47">
        <v>6090.846789202752</v>
      </c>
      <c r="S112" s="47">
        <v>6933.5556234777687</v>
      </c>
      <c r="T112" s="54">
        <v>2031</v>
      </c>
    </row>
    <row r="113" spans="1:20" ht="15" customHeight="1" x14ac:dyDescent="0.35">
      <c r="A113" s="326" t="str">
        <f t="shared" si="36"/>
        <v>Gas fired power plants (Natural gas, biogas)</v>
      </c>
      <c r="B113" s="335" t="str">
        <f t="shared" si="44"/>
        <v>Steam turbine</v>
      </c>
      <c r="C113" s="323" t="s">
        <v>16</v>
      </c>
      <c r="D113" s="61" t="s">
        <v>7</v>
      </c>
      <c r="E113" s="8">
        <v>350000</v>
      </c>
      <c r="F113" s="9">
        <v>38</v>
      </c>
      <c r="G113" s="38">
        <v>4</v>
      </c>
      <c r="H113" s="10">
        <v>0.91500000000000004</v>
      </c>
      <c r="I113" s="10">
        <v>0.39624753583563649</v>
      </c>
      <c r="J113" s="10">
        <v>0.23487948000000003</v>
      </c>
      <c r="K113" s="10">
        <v>2.1139153200000003</v>
      </c>
      <c r="L113" s="10">
        <v>1.2534592848532347</v>
      </c>
      <c r="M113" s="10">
        <v>0.23100000000000004</v>
      </c>
      <c r="N113" s="9">
        <v>2320</v>
      </c>
      <c r="O113" s="30">
        <v>44.771115789473683</v>
      </c>
      <c r="P113" s="226">
        <v>4.850537118690097</v>
      </c>
      <c r="Q113" s="44">
        <v>3000</v>
      </c>
      <c r="R113" s="44">
        <v>5993.75</v>
      </c>
      <c r="S113" s="44">
        <v>6887.5</v>
      </c>
      <c r="T113" s="51">
        <v>2031</v>
      </c>
    </row>
    <row r="114" spans="1:20" ht="15" customHeight="1" x14ac:dyDescent="0.35">
      <c r="A114" s="326" t="str">
        <f t="shared" si="36"/>
        <v>Gas fired power plants (Natural gas, biogas)</v>
      </c>
      <c r="B114" s="336" t="str">
        <f t="shared" ref="B114:C114" si="47">B113</f>
        <v>Steam turbine</v>
      </c>
      <c r="C114" s="325" t="str">
        <f t="shared" si="47"/>
        <v>CHP with CCS</v>
      </c>
      <c r="D114" s="63" t="s">
        <v>8</v>
      </c>
      <c r="E114" s="20">
        <v>140000</v>
      </c>
      <c r="F114" s="21">
        <v>38</v>
      </c>
      <c r="G114" s="41">
        <v>4</v>
      </c>
      <c r="H114" s="22">
        <v>0.91500000000000004</v>
      </c>
      <c r="I114" s="22">
        <v>0.37737860555774894</v>
      </c>
      <c r="J114" s="22">
        <v>0.23487948000000003</v>
      </c>
      <c r="K114" s="22">
        <v>2.1139153200000003</v>
      </c>
      <c r="L114" s="22">
        <v>1.2598473989914754</v>
      </c>
      <c r="M114" s="22">
        <v>0.24255000000000004</v>
      </c>
      <c r="N114" s="21">
        <v>2872.75</v>
      </c>
      <c r="O114" s="33">
        <v>55.438027105263167</v>
      </c>
      <c r="P114" s="230">
        <v>5.9321672377272154</v>
      </c>
      <c r="Q114" s="48">
        <v>2400</v>
      </c>
      <c r="R114" s="48">
        <v>5523.8975519962278</v>
      </c>
      <c r="S114" s="48">
        <v>6586.8778423038802</v>
      </c>
      <c r="T114" s="55">
        <v>2031</v>
      </c>
    </row>
    <row r="115" spans="1:20" ht="15" customHeight="1" x14ac:dyDescent="0.35">
      <c r="A115" s="326" t="str">
        <f t="shared" si="36"/>
        <v>Gas fired power plants (Natural gas, biogas)</v>
      </c>
      <c r="B115" s="334" t="s">
        <v>25</v>
      </c>
      <c r="C115" s="322" t="s">
        <v>6</v>
      </c>
      <c r="D115" s="62" t="s">
        <v>10</v>
      </c>
      <c r="E115" s="11">
        <v>12500</v>
      </c>
      <c r="F115" s="12">
        <v>22</v>
      </c>
      <c r="G115" s="37">
        <v>1</v>
      </c>
      <c r="H115" s="13">
        <v>0.95499999999999996</v>
      </c>
      <c r="I115" s="13">
        <v>0.37740010188683382</v>
      </c>
      <c r="J115" s="13">
        <v>2.3487948000000003</v>
      </c>
      <c r="K115" s="13">
        <v>0</v>
      </c>
      <c r="L115" s="13">
        <v>0</v>
      </c>
      <c r="M115" s="13">
        <v>2.4E-2</v>
      </c>
      <c r="N115" s="12">
        <v>549.69685778954499</v>
      </c>
      <c r="O115" s="29">
        <v>8.7451772830154884</v>
      </c>
      <c r="P115" s="227">
        <v>2.1969127322932893</v>
      </c>
      <c r="Q115" s="45">
        <v>50</v>
      </c>
      <c r="R115" s="45">
        <v>860</v>
      </c>
      <c r="S115" s="45">
        <v>1200</v>
      </c>
      <c r="T115" s="52">
        <v>2010</v>
      </c>
    </row>
    <row r="116" spans="1:20" ht="15" customHeight="1" x14ac:dyDescent="0.35">
      <c r="A116" s="326" t="str">
        <f t="shared" ref="A116:C116" si="48">A115</f>
        <v>Gas fired power plants (Natural gas, biogas)</v>
      </c>
      <c r="B116" s="335" t="str">
        <f t="shared" si="48"/>
        <v>Internal combustion engine</v>
      </c>
      <c r="C116" s="324" t="str">
        <f t="shared" si="48"/>
        <v>Electricity only</v>
      </c>
      <c r="D116" s="65" t="s">
        <v>20</v>
      </c>
      <c r="E116" s="17">
        <v>2000</v>
      </c>
      <c r="F116" s="18">
        <v>22</v>
      </c>
      <c r="G116" s="40">
        <v>1</v>
      </c>
      <c r="H116" s="19">
        <v>0.95499999999999996</v>
      </c>
      <c r="I116" s="19">
        <v>0.35942021330716278</v>
      </c>
      <c r="J116" s="19">
        <v>2.3487948000000003</v>
      </c>
      <c r="K116" s="19">
        <v>0</v>
      </c>
      <c r="L116" s="19">
        <v>0</v>
      </c>
      <c r="M116" s="19">
        <v>2.52E-2</v>
      </c>
      <c r="N116" s="9">
        <v>536.01747943020916</v>
      </c>
      <c r="O116" s="32">
        <v>8.5275508091169634</v>
      </c>
      <c r="P116" s="229">
        <v>2.1422418713239737</v>
      </c>
      <c r="Q116" s="47">
        <v>0.1</v>
      </c>
      <c r="R116" s="44">
        <v>540</v>
      </c>
      <c r="S116" s="47">
        <v>700</v>
      </c>
      <c r="T116" s="54">
        <v>2010</v>
      </c>
    </row>
    <row r="117" spans="1:20" ht="15" customHeight="1" x14ac:dyDescent="0.35">
      <c r="A117" s="326" t="str">
        <f t="shared" ref="A117:B117" si="49">A116</f>
        <v>Gas fired power plants (Natural gas, biogas)</v>
      </c>
      <c r="B117" s="335" t="str">
        <f t="shared" si="49"/>
        <v>Internal combustion engine</v>
      </c>
      <c r="C117" s="323" t="s">
        <v>14</v>
      </c>
      <c r="D117" s="61" t="s">
        <v>10</v>
      </c>
      <c r="E117" s="8">
        <v>13000</v>
      </c>
      <c r="F117" s="9">
        <v>22</v>
      </c>
      <c r="G117" s="38">
        <v>1</v>
      </c>
      <c r="H117" s="10">
        <v>0.95499999999999996</v>
      </c>
      <c r="I117" s="10">
        <v>0.34307653178226932</v>
      </c>
      <c r="J117" s="10">
        <v>2.3487948000000003</v>
      </c>
      <c r="K117" s="10">
        <v>0</v>
      </c>
      <c r="L117" s="10">
        <v>0.87</v>
      </c>
      <c r="M117" s="10">
        <v>2.6400000000000003E-2</v>
      </c>
      <c r="N117" s="15">
        <v>679.76854078834867</v>
      </c>
      <c r="O117" s="30">
        <v>10.273774536914813</v>
      </c>
      <c r="P117" s="226">
        <v>2.6868391988465579</v>
      </c>
      <c r="Q117" s="44">
        <v>100</v>
      </c>
      <c r="R117" s="46">
        <v>826</v>
      </c>
      <c r="S117" s="44">
        <v>1080</v>
      </c>
      <c r="T117" s="51">
        <v>2010</v>
      </c>
    </row>
    <row r="118" spans="1:20" ht="15" customHeight="1" x14ac:dyDescent="0.35">
      <c r="A118" s="326" t="str">
        <f t="shared" ref="A118:C118" si="50">A117</f>
        <v>Gas fired power plants (Natural gas, biogas)</v>
      </c>
      <c r="B118" s="336" t="str">
        <f t="shared" si="50"/>
        <v>Internal combustion engine</v>
      </c>
      <c r="C118" s="325" t="str">
        <f t="shared" si="50"/>
        <v>CHP</v>
      </c>
      <c r="D118" s="63" t="s">
        <v>20</v>
      </c>
      <c r="E118" s="20">
        <v>2500</v>
      </c>
      <c r="F118" s="21">
        <v>22</v>
      </c>
      <c r="G118" s="41">
        <v>1</v>
      </c>
      <c r="H118" s="22">
        <v>0.95499999999999996</v>
      </c>
      <c r="I118" s="22">
        <v>0.3267395540783517</v>
      </c>
      <c r="J118" s="22">
        <v>2.3487948000000003</v>
      </c>
      <c r="K118" s="22">
        <v>0</v>
      </c>
      <c r="L118" s="22">
        <v>0.55000000000000004</v>
      </c>
      <c r="M118" s="22">
        <v>2.7720000000000002E-2</v>
      </c>
      <c r="N118" s="21">
        <v>621.03853818347295</v>
      </c>
      <c r="O118" s="33">
        <v>9.3861506339093062</v>
      </c>
      <c r="P118" s="230">
        <v>2.4151125963580702</v>
      </c>
      <c r="Q118" s="48">
        <v>0.2</v>
      </c>
      <c r="R118" s="48">
        <v>524</v>
      </c>
      <c r="S118" s="48">
        <v>630</v>
      </c>
      <c r="T118" s="55">
        <v>2010</v>
      </c>
    </row>
    <row r="119" spans="1:20" ht="15" customHeight="1" x14ac:dyDescent="0.35">
      <c r="A119" s="333" t="s">
        <v>26</v>
      </c>
      <c r="B119" s="334" t="s">
        <v>19</v>
      </c>
      <c r="C119" s="322" t="s">
        <v>6</v>
      </c>
      <c r="D119" s="62" t="s">
        <v>7</v>
      </c>
      <c r="E119" s="11">
        <v>175000</v>
      </c>
      <c r="F119" s="12">
        <v>37</v>
      </c>
      <c r="G119" s="37">
        <v>4</v>
      </c>
      <c r="H119" s="13">
        <v>0.89500000000000002</v>
      </c>
      <c r="I119" s="13">
        <v>0.35404252930591762</v>
      </c>
      <c r="J119" s="13">
        <v>1.8589392</v>
      </c>
      <c r="K119" s="13">
        <v>0</v>
      </c>
      <c r="L119" s="13">
        <v>0</v>
      </c>
      <c r="M119" s="13">
        <v>5.7000000000000002E-2</v>
      </c>
      <c r="N119" s="12">
        <v>816.38774630894795</v>
      </c>
      <c r="O119" s="29">
        <v>17.651626947220496</v>
      </c>
      <c r="P119" s="227">
        <v>2.4573630714917161</v>
      </c>
      <c r="Q119" s="45">
        <v>6200</v>
      </c>
      <c r="R119" s="45">
        <v>7575</v>
      </c>
      <c r="S119" s="45">
        <v>8200</v>
      </c>
      <c r="T119" s="52">
        <v>2010</v>
      </c>
    </row>
    <row r="120" spans="1:20" ht="15" customHeight="1" x14ac:dyDescent="0.35">
      <c r="A120" s="326" t="str">
        <f t="shared" ref="A120:C122" si="51">A119</f>
        <v>Derived gas fired power plants</v>
      </c>
      <c r="B120" s="335" t="str">
        <f t="shared" si="51"/>
        <v>Steam turbine</v>
      </c>
      <c r="C120" s="321" t="str">
        <f t="shared" si="51"/>
        <v>Electricity only</v>
      </c>
      <c r="D120" s="61" t="s">
        <v>8</v>
      </c>
      <c r="E120" s="8">
        <v>75000</v>
      </c>
      <c r="F120" s="9">
        <v>37</v>
      </c>
      <c r="G120" s="38">
        <v>3</v>
      </c>
      <c r="H120" s="10">
        <v>0.89500000000000002</v>
      </c>
      <c r="I120" s="10">
        <v>0.33716902937524751</v>
      </c>
      <c r="J120" s="10">
        <v>1.8589392</v>
      </c>
      <c r="K120" s="10">
        <v>0</v>
      </c>
      <c r="L120" s="10">
        <v>0</v>
      </c>
      <c r="M120" s="10">
        <v>5.9850000000000007E-2</v>
      </c>
      <c r="N120" s="9">
        <v>881.3240745102479</v>
      </c>
      <c r="O120" s="30">
        <v>19.055655665086437</v>
      </c>
      <c r="P120" s="226">
        <v>2.6528242792837218</v>
      </c>
      <c r="Q120" s="44">
        <v>4960</v>
      </c>
      <c r="R120" s="44">
        <v>6960.5918147014645</v>
      </c>
      <c r="S120" s="44">
        <v>7842.0904982783031</v>
      </c>
      <c r="T120" s="51">
        <v>2010</v>
      </c>
    </row>
    <row r="121" spans="1:20" ht="15" customHeight="1" x14ac:dyDescent="0.35">
      <c r="A121" s="326" t="str">
        <f t="shared" si="51"/>
        <v>Derived gas fired power plants</v>
      </c>
      <c r="B121" s="335" t="str">
        <f t="shared" si="51"/>
        <v>Steam turbine</v>
      </c>
      <c r="C121" s="321" t="str">
        <f t="shared" si="51"/>
        <v>Electricity only</v>
      </c>
      <c r="D121" s="61" t="s">
        <v>10</v>
      </c>
      <c r="E121" s="8">
        <v>20000</v>
      </c>
      <c r="F121" s="9">
        <v>37</v>
      </c>
      <c r="G121" s="38">
        <v>3</v>
      </c>
      <c r="H121" s="10">
        <v>0.89500000000000002</v>
      </c>
      <c r="I121" s="10">
        <v>0.32110653465186179</v>
      </c>
      <c r="J121" s="10">
        <v>1.8589392</v>
      </c>
      <c r="K121" s="10">
        <v>0</v>
      </c>
      <c r="L121" s="10">
        <v>0</v>
      </c>
      <c r="M121" s="10">
        <v>6.2842500000000009E-2</v>
      </c>
      <c r="N121" s="9">
        <v>973.65608527818654</v>
      </c>
      <c r="O121" s="30">
        <v>21.052023465474303</v>
      </c>
      <c r="P121" s="226">
        <v>2.9307476981536618</v>
      </c>
      <c r="Q121" s="44">
        <v>3720</v>
      </c>
      <c r="R121" s="44">
        <v>6259.4860327264505</v>
      </c>
      <c r="S121" s="44">
        <v>7403.6197018689609</v>
      </c>
      <c r="T121" s="51">
        <v>2010</v>
      </c>
    </row>
    <row r="122" spans="1:20" ht="15" customHeight="1" x14ac:dyDescent="0.35">
      <c r="A122" s="326" t="str">
        <f t="shared" si="51"/>
        <v>Derived gas fired power plants</v>
      </c>
      <c r="B122" s="335" t="str">
        <f t="shared" si="51"/>
        <v>Steam turbine</v>
      </c>
      <c r="C122" s="324" t="str">
        <f t="shared" si="51"/>
        <v>Electricity only</v>
      </c>
      <c r="D122" s="61" t="s">
        <v>20</v>
      </c>
      <c r="E122" s="8">
        <v>1500</v>
      </c>
      <c r="F122" s="9">
        <v>37</v>
      </c>
      <c r="G122" s="38">
        <v>1</v>
      </c>
      <c r="H122" s="10">
        <v>0.89500000000000002</v>
      </c>
      <c r="I122" s="10">
        <v>0.30579932643183927</v>
      </c>
      <c r="J122" s="10">
        <v>1.8589392</v>
      </c>
      <c r="K122" s="10">
        <v>0</v>
      </c>
      <c r="L122" s="10">
        <v>0</v>
      </c>
      <c r="M122" s="10">
        <v>6.5984625000000019E-2</v>
      </c>
      <c r="N122" s="9">
        <v>1167.7600853183949</v>
      </c>
      <c r="O122" s="30">
        <v>25.248866709586913</v>
      </c>
      <c r="P122" s="226">
        <v>3.5150092869442511</v>
      </c>
      <c r="Q122" s="44">
        <v>3162</v>
      </c>
      <c r="R122" s="44">
        <v>5903.4691771044727</v>
      </c>
      <c r="S122" s="44">
        <v>7166.8429484236249</v>
      </c>
      <c r="T122" s="51">
        <v>2010</v>
      </c>
    </row>
    <row r="123" spans="1:20" ht="15" customHeight="1" x14ac:dyDescent="0.35">
      <c r="A123" s="326" t="str">
        <f t="shared" ref="A123:B123" si="52">A122</f>
        <v>Derived gas fired power plants</v>
      </c>
      <c r="B123" s="335" t="str">
        <f t="shared" si="52"/>
        <v>Steam turbine</v>
      </c>
      <c r="C123" s="323" t="s">
        <v>14</v>
      </c>
      <c r="D123" s="64" t="s">
        <v>7</v>
      </c>
      <c r="E123" s="14">
        <v>150000</v>
      </c>
      <c r="F123" s="15">
        <v>37</v>
      </c>
      <c r="G123" s="39">
        <v>4</v>
      </c>
      <c r="H123" s="16">
        <v>0.89500000000000002</v>
      </c>
      <c r="I123" s="16">
        <v>0.32182812950208362</v>
      </c>
      <c r="J123" s="16">
        <v>1.8589392</v>
      </c>
      <c r="K123" s="16">
        <v>0</v>
      </c>
      <c r="L123" s="16">
        <v>1.1499999999999999</v>
      </c>
      <c r="M123" s="16">
        <v>6.2700000000000006E-2</v>
      </c>
      <c r="N123" s="15">
        <v>1311.0603388215782</v>
      </c>
      <c r="O123" s="31">
        <v>27.496833052041747</v>
      </c>
      <c r="P123" s="228">
        <v>4.2774862213530209</v>
      </c>
      <c r="Q123" s="46">
        <v>4960</v>
      </c>
      <c r="R123" s="46">
        <v>6848.75</v>
      </c>
      <c r="S123" s="46">
        <v>7790</v>
      </c>
      <c r="T123" s="53">
        <v>2010</v>
      </c>
    </row>
    <row r="124" spans="1:20" ht="15" customHeight="1" x14ac:dyDescent="0.35">
      <c r="A124" s="326" t="str">
        <f t="shared" ref="A124:C126" si="53">A123</f>
        <v>Derived gas fired power plants</v>
      </c>
      <c r="B124" s="335" t="str">
        <f t="shared" si="53"/>
        <v>Steam turbine</v>
      </c>
      <c r="C124" s="321" t="str">
        <f t="shared" si="53"/>
        <v>CHP</v>
      </c>
      <c r="D124" s="61" t="s">
        <v>8</v>
      </c>
      <c r="E124" s="8">
        <v>70000</v>
      </c>
      <c r="F124" s="9">
        <v>37</v>
      </c>
      <c r="G124" s="38">
        <v>1</v>
      </c>
      <c r="H124" s="10">
        <v>0.89500000000000002</v>
      </c>
      <c r="I124" s="10">
        <v>0.30649318776179824</v>
      </c>
      <c r="J124" s="10">
        <v>1.8589392</v>
      </c>
      <c r="K124" s="10">
        <v>0</v>
      </c>
      <c r="L124" s="10">
        <v>1.1499999999999999</v>
      </c>
      <c r="M124" s="10">
        <v>6.5835000000000019E-2</v>
      </c>
      <c r="N124" s="9">
        <v>1375.8734465318316</v>
      </c>
      <c r="O124" s="30">
        <v>28.85615660834328</v>
      </c>
      <c r="P124" s="226">
        <v>4.4572001029938235</v>
      </c>
      <c r="Q124" s="44">
        <v>3968</v>
      </c>
      <c r="R124" s="44">
        <v>6308.6075674101603</v>
      </c>
      <c r="S124" s="44">
        <v>7449.985973364388</v>
      </c>
      <c r="T124" s="51">
        <v>2010</v>
      </c>
    </row>
    <row r="125" spans="1:20" ht="15" customHeight="1" x14ac:dyDescent="0.35">
      <c r="A125" s="326" t="str">
        <f t="shared" si="53"/>
        <v>Derived gas fired power plants</v>
      </c>
      <c r="B125" s="335" t="str">
        <f t="shared" si="53"/>
        <v>Steam turbine</v>
      </c>
      <c r="C125" s="321" t="str">
        <f t="shared" si="53"/>
        <v>CHP</v>
      </c>
      <c r="D125" s="61" t="s">
        <v>10</v>
      </c>
      <c r="E125" s="8">
        <v>25000</v>
      </c>
      <c r="F125" s="9">
        <v>37</v>
      </c>
      <c r="G125" s="38">
        <v>3</v>
      </c>
      <c r="H125" s="10">
        <v>0.89500000000000002</v>
      </c>
      <c r="I125" s="10">
        <v>0.29189299390503681</v>
      </c>
      <c r="J125" s="10">
        <v>1.8589392</v>
      </c>
      <c r="K125" s="10">
        <v>0</v>
      </c>
      <c r="L125" s="10">
        <v>1.25</v>
      </c>
      <c r="M125" s="10">
        <v>6.9126750000000015E-2</v>
      </c>
      <c r="N125" s="9">
        <v>1697.6691834143039</v>
      </c>
      <c r="O125" s="30">
        <v>35.605169900797286</v>
      </c>
      <c r="P125" s="226">
        <v>5.6537216450168808</v>
      </c>
      <c r="Q125" s="44">
        <v>2976</v>
      </c>
      <c r="R125" s="44">
        <v>5690.744112910932</v>
      </c>
      <c r="S125" s="44">
        <v>7033.4387167755131</v>
      </c>
      <c r="T125" s="51">
        <v>2010</v>
      </c>
    </row>
    <row r="126" spans="1:20" ht="15" customHeight="1" x14ac:dyDescent="0.35">
      <c r="A126" s="326" t="str">
        <f t="shared" si="53"/>
        <v>Derived gas fired power plants</v>
      </c>
      <c r="B126" s="335" t="str">
        <f t="shared" si="53"/>
        <v>Steam turbine</v>
      </c>
      <c r="C126" s="324" t="str">
        <f t="shared" si="53"/>
        <v>CHP</v>
      </c>
      <c r="D126" s="65" t="s">
        <v>20</v>
      </c>
      <c r="E126" s="17">
        <v>2500</v>
      </c>
      <c r="F126" s="18">
        <v>37</v>
      </c>
      <c r="G126" s="40">
        <v>1</v>
      </c>
      <c r="H126" s="19">
        <v>0.89500000000000002</v>
      </c>
      <c r="I126" s="19">
        <v>0.27798936501737387</v>
      </c>
      <c r="J126" s="19">
        <v>1.8589392</v>
      </c>
      <c r="K126" s="19">
        <v>0</v>
      </c>
      <c r="L126" s="19">
        <v>1.4</v>
      </c>
      <c r="M126" s="19">
        <v>7.2583087500000032E-2</v>
      </c>
      <c r="N126" s="18">
        <v>1910.3173834593365</v>
      </c>
      <c r="O126" s="32">
        <v>40.065034853093103</v>
      </c>
      <c r="P126" s="229">
        <v>6.260660667109982</v>
      </c>
      <c r="Q126" s="47">
        <v>2529.6</v>
      </c>
      <c r="R126" s="47">
        <v>5376.2909479599839</v>
      </c>
      <c r="S126" s="47">
        <v>6808.5008010024439</v>
      </c>
      <c r="T126" s="54">
        <v>2010</v>
      </c>
    </row>
    <row r="127" spans="1:20" ht="15" customHeight="1" x14ac:dyDescent="0.35">
      <c r="A127" s="326" t="str">
        <f t="shared" ref="A127:B127" si="54">A126</f>
        <v>Derived gas fired power plants</v>
      </c>
      <c r="B127" s="335" t="str">
        <f t="shared" si="54"/>
        <v>Steam turbine</v>
      </c>
      <c r="C127" s="323" t="s">
        <v>15</v>
      </c>
      <c r="D127" s="64" t="s">
        <v>7</v>
      </c>
      <c r="E127" s="14">
        <v>175000</v>
      </c>
      <c r="F127" s="15">
        <v>37</v>
      </c>
      <c r="G127" s="39">
        <v>4</v>
      </c>
      <c r="H127" s="16">
        <v>0.89500000000000002</v>
      </c>
      <c r="I127" s="16">
        <v>0.33712600084281497</v>
      </c>
      <c r="J127" s="16">
        <v>0.18589392000000002</v>
      </c>
      <c r="K127" s="16">
        <v>1.67304528</v>
      </c>
      <c r="L127" s="16">
        <v>0</v>
      </c>
      <c r="M127" s="16">
        <v>0.28500000000000003</v>
      </c>
      <c r="N127" s="15">
        <v>2037.5</v>
      </c>
      <c r="O127" s="31">
        <v>46.256756756756758</v>
      </c>
      <c r="P127" s="228">
        <v>4.6610531985678527</v>
      </c>
      <c r="Q127" s="46">
        <v>6200</v>
      </c>
      <c r="R127" s="46">
        <v>7575</v>
      </c>
      <c r="S127" s="46">
        <v>8200</v>
      </c>
      <c r="T127" s="53">
        <v>2031</v>
      </c>
    </row>
    <row r="128" spans="1:20" ht="15" customHeight="1" x14ac:dyDescent="0.35">
      <c r="A128" s="326" t="str">
        <f t="shared" ref="A128:C128" si="55">A127</f>
        <v>Derived gas fired power plants</v>
      </c>
      <c r="B128" s="335" t="str">
        <f t="shared" si="55"/>
        <v>Steam turbine</v>
      </c>
      <c r="C128" s="324" t="str">
        <f t="shared" si="55"/>
        <v>Electricity only with CCS</v>
      </c>
      <c r="D128" s="65" t="s">
        <v>8</v>
      </c>
      <c r="E128" s="17">
        <v>75000</v>
      </c>
      <c r="F128" s="18">
        <v>37</v>
      </c>
      <c r="G128" s="40">
        <v>3</v>
      </c>
      <c r="H128" s="19">
        <v>0.89500000000000002</v>
      </c>
      <c r="I128" s="19">
        <v>0.32107238175506181</v>
      </c>
      <c r="J128" s="19">
        <v>0.18589392000000002</v>
      </c>
      <c r="K128" s="19">
        <v>1.67304528</v>
      </c>
      <c r="L128" s="19">
        <v>0</v>
      </c>
      <c r="M128" s="19">
        <v>0.29925000000000007</v>
      </c>
      <c r="N128" s="18">
        <v>2593.625</v>
      </c>
      <c r="O128" s="32">
        <v>58.882297297297299</v>
      </c>
      <c r="P128" s="229">
        <v>5.9332633630113101</v>
      </c>
      <c r="Q128" s="47">
        <v>4960</v>
      </c>
      <c r="R128" s="47">
        <v>6960.5918147014645</v>
      </c>
      <c r="S128" s="47">
        <v>7842.0904982783031</v>
      </c>
      <c r="T128" s="54">
        <v>2031</v>
      </c>
    </row>
    <row r="129" spans="1:20" ht="15" customHeight="1" x14ac:dyDescent="0.35">
      <c r="A129" s="326" t="str">
        <f t="shared" ref="A129:B129" si="56">A128</f>
        <v>Derived gas fired power plants</v>
      </c>
      <c r="B129" s="335" t="str">
        <f t="shared" si="56"/>
        <v>Steam turbine</v>
      </c>
      <c r="C129" s="323" t="s">
        <v>16</v>
      </c>
      <c r="D129" s="61" t="s">
        <v>7</v>
      </c>
      <c r="E129" s="8">
        <v>150000</v>
      </c>
      <c r="F129" s="9">
        <v>37</v>
      </c>
      <c r="G129" s="38">
        <v>4</v>
      </c>
      <c r="H129" s="10">
        <v>0.89500000000000002</v>
      </c>
      <c r="I129" s="10">
        <v>0.3064781825843772</v>
      </c>
      <c r="J129" s="10">
        <v>0.18589392000000002</v>
      </c>
      <c r="K129" s="10">
        <v>1.67304528</v>
      </c>
      <c r="L129" s="10">
        <v>1.3025460029600395</v>
      </c>
      <c r="M129" s="10">
        <v>0.31350000000000006</v>
      </c>
      <c r="N129" s="9">
        <v>2532.5</v>
      </c>
      <c r="O129" s="30">
        <v>55.769756756756763</v>
      </c>
      <c r="P129" s="226">
        <v>5.8886199145308478</v>
      </c>
      <c r="Q129" s="44">
        <v>4960</v>
      </c>
      <c r="R129" s="44">
        <v>6848.75</v>
      </c>
      <c r="S129" s="44">
        <v>7790</v>
      </c>
      <c r="T129" s="51">
        <v>2031</v>
      </c>
    </row>
    <row r="130" spans="1:20" ht="15" customHeight="1" x14ac:dyDescent="0.35">
      <c r="A130" s="327" t="str">
        <f t="shared" ref="A130:C130" si="57">A129</f>
        <v>Derived gas fired power plants</v>
      </c>
      <c r="B130" s="336" t="str">
        <f t="shared" si="57"/>
        <v>Steam turbine</v>
      </c>
      <c r="C130" s="325" t="str">
        <f t="shared" si="57"/>
        <v>CHP with CCS</v>
      </c>
      <c r="D130" s="63" t="s">
        <v>8</v>
      </c>
      <c r="E130" s="20">
        <v>70000</v>
      </c>
      <c r="F130" s="21">
        <v>37</v>
      </c>
      <c r="G130" s="41">
        <v>1</v>
      </c>
      <c r="H130" s="22">
        <v>0.89500000000000002</v>
      </c>
      <c r="I130" s="22">
        <v>0.29188398341369259</v>
      </c>
      <c r="J130" s="22">
        <v>0.18589392000000002</v>
      </c>
      <c r="K130" s="22">
        <v>1.67304528</v>
      </c>
      <c r="L130" s="22">
        <v>1.3128756131148596</v>
      </c>
      <c r="M130" s="22">
        <v>0.32917500000000011</v>
      </c>
      <c r="N130" s="21">
        <v>3088.625</v>
      </c>
      <c r="O130" s="33">
        <v>68.016531081081084</v>
      </c>
      <c r="P130" s="230">
        <v>7.1052733782637763</v>
      </c>
      <c r="Q130" s="48">
        <v>3968</v>
      </c>
      <c r="R130" s="48">
        <v>6308.6075674101603</v>
      </c>
      <c r="S130" s="48">
        <v>7449.985973364388</v>
      </c>
      <c r="T130" s="55">
        <v>2031</v>
      </c>
    </row>
    <row r="131" spans="1:20" ht="15" customHeight="1" x14ac:dyDescent="0.35">
      <c r="A131" s="326" t="s">
        <v>27</v>
      </c>
      <c r="B131" s="329" t="s">
        <v>19</v>
      </c>
      <c r="C131" s="322" t="s">
        <v>6</v>
      </c>
      <c r="D131" s="61" t="s">
        <v>7</v>
      </c>
      <c r="E131" s="8">
        <v>175000</v>
      </c>
      <c r="F131" s="12">
        <v>38</v>
      </c>
      <c r="G131" s="38">
        <v>4</v>
      </c>
      <c r="H131" s="13">
        <v>0.90500000000000003</v>
      </c>
      <c r="I131" s="13">
        <v>0.36107225461704595</v>
      </c>
      <c r="J131" s="13">
        <v>2.4115968000000003</v>
      </c>
      <c r="K131" s="13">
        <v>0</v>
      </c>
      <c r="L131" s="13">
        <v>0</v>
      </c>
      <c r="M131" s="13">
        <v>4.2999999999999997E-2</v>
      </c>
      <c r="N131" s="12">
        <v>786.33666362272902</v>
      </c>
      <c r="O131" s="29">
        <v>15.519802571501231</v>
      </c>
      <c r="P131" s="227">
        <v>2.1226771785953229</v>
      </c>
      <c r="Q131" s="45">
        <v>6500</v>
      </c>
      <c r="R131" s="45">
        <v>7875</v>
      </c>
      <c r="S131" s="45">
        <v>8500</v>
      </c>
      <c r="T131" s="52">
        <v>2010</v>
      </c>
    </row>
    <row r="132" spans="1:20" ht="15" customHeight="1" x14ac:dyDescent="0.35">
      <c r="A132" s="326" t="str">
        <f t="shared" ref="A132:C133" si="58">A131</f>
        <v>Refinery gas fired power plants</v>
      </c>
      <c r="B132" s="328" t="str">
        <f t="shared" si="58"/>
        <v>Steam turbine</v>
      </c>
      <c r="C132" s="321" t="str">
        <f t="shared" si="58"/>
        <v>Electricity only</v>
      </c>
      <c r="D132" s="61" t="s">
        <v>8</v>
      </c>
      <c r="E132" s="8">
        <v>75000</v>
      </c>
      <c r="F132" s="9">
        <v>38</v>
      </c>
      <c r="G132" s="38">
        <v>3</v>
      </c>
      <c r="H132" s="10">
        <v>0.90500000000000003</v>
      </c>
      <c r="I132" s="10">
        <v>0.34387103021132542</v>
      </c>
      <c r="J132" s="10">
        <v>2.4115968000000003</v>
      </c>
      <c r="K132" s="10">
        <v>0</v>
      </c>
      <c r="L132" s="10">
        <v>0</v>
      </c>
      <c r="M132" s="10">
        <v>4.5149999999999996E-2</v>
      </c>
      <c r="N132" s="9">
        <v>849.06314712347898</v>
      </c>
      <c r="O132" s="30">
        <v>16.757825272173925</v>
      </c>
      <c r="P132" s="226">
        <v>2.2920042380855312</v>
      </c>
      <c r="Q132" s="44">
        <v>4647.5</v>
      </c>
      <c r="R132" s="44">
        <v>6938.2955427543457</v>
      </c>
      <c r="S132" s="44">
        <v>7948.4076756871136</v>
      </c>
      <c r="T132" s="51">
        <v>2010</v>
      </c>
    </row>
    <row r="133" spans="1:20" ht="15" customHeight="1" x14ac:dyDescent="0.35">
      <c r="A133" s="326" t="str">
        <f t="shared" si="58"/>
        <v>Refinery gas fired power plants</v>
      </c>
      <c r="B133" s="328" t="str">
        <f t="shared" si="58"/>
        <v>Steam turbine</v>
      </c>
      <c r="C133" s="324" t="str">
        <f t="shared" si="58"/>
        <v>Electricity only</v>
      </c>
      <c r="D133" s="61" t="s">
        <v>10</v>
      </c>
      <c r="E133" s="8">
        <v>20000</v>
      </c>
      <c r="F133" s="9">
        <v>38</v>
      </c>
      <c r="G133" s="38">
        <v>1</v>
      </c>
      <c r="H133" s="10">
        <v>0.90500000000000003</v>
      </c>
      <c r="I133" s="10">
        <v>0.32748925837547682</v>
      </c>
      <c r="J133" s="10">
        <v>2.4115968000000003</v>
      </c>
      <c r="K133" s="10">
        <v>0</v>
      </c>
      <c r="L133" s="10">
        <v>0</v>
      </c>
      <c r="M133" s="10">
        <v>4.7407499999999998E-2</v>
      </c>
      <c r="N133" s="9">
        <v>933.7709672878517</v>
      </c>
      <c r="O133" s="30">
        <v>18.429690143839181</v>
      </c>
      <c r="P133" s="226">
        <v>2.520668835616926</v>
      </c>
      <c r="Q133" s="44">
        <v>3137.0625</v>
      </c>
      <c r="R133" s="44">
        <v>6015.1517028275048</v>
      </c>
      <c r="S133" s="44">
        <v>7347.5218904818876</v>
      </c>
      <c r="T133" s="51">
        <v>2010</v>
      </c>
    </row>
    <row r="134" spans="1:20" ht="15" customHeight="1" x14ac:dyDescent="0.35">
      <c r="A134" s="326" t="str">
        <f t="shared" ref="A134:B134" si="59">A133</f>
        <v>Refinery gas fired power plants</v>
      </c>
      <c r="B134" s="328" t="str">
        <f t="shared" si="59"/>
        <v>Steam turbine</v>
      </c>
      <c r="C134" s="323" t="s">
        <v>14</v>
      </c>
      <c r="D134" s="64" t="s">
        <v>7</v>
      </c>
      <c r="E134" s="14">
        <v>140000</v>
      </c>
      <c r="F134" s="15">
        <v>38</v>
      </c>
      <c r="G134" s="39">
        <v>4</v>
      </c>
      <c r="H134" s="16">
        <v>0.90500000000000003</v>
      </c>
      <c r="I134" s="16">
        <v>0.32822657411606154</v>
      </c>
      <c r="J134" s="16">
        <v>2.4115968000000003</v>
      </c>
      <c r="K134" s="16">
        <v>0</v>
      </c>
      <c r="L134" s="16">
        <v>1.1499999999999999</v>
      </c>
      <c r="M134" s="16">
        <v>4.7300000000000002E-2</v>
      </c>
      <c r="N134" s="15">
        <v>1281.3622049658386</v>
      </c>
      <c r="O134" s="31">
        <v>24.531342213490724</v>
      </c>
      <c r="P134" s="228">
        <v>3.7626782344379581</v>
      </c>
      <c r="Q134" s="46">
        <v>5200</v>
      </c>
      <c r="R134" s="46">
        <v>7512.5</v>
      </c>
      <c r="S134" s="46">
        <v>8500</v>
      </c>
      <c r="T134" s="53">
        <v>2010</v>
      </c>
    </row>
    <row r="135" spans="1:20" ht="15" customHeight="1" x14ac:dyDescent="0.35">
      <c r="A135" s="326" t="str">
        <f t="shared" ref="A135:C136" si="60">A134</f>
        <v>Refinery gas fired power plants</v>
      </c>
      <c r="B135" s="328" t="str">
        <f t="shared" si="60"/>
        <v>Steam turbine</v>
      </c>
      <c r="C135" s="321" t="str">
        <f t="shared" si="60"/>
        <v>CHP</v>
      </c>
      <c r="D135" s="61" t="s">
        <v>8</v>
      </c>
      <c r="E135" s="8">
        <v>70000</v>
      </c>
      <c r="F135" s="9">
        <v>38</v>
      </c>
      <c r="G135" s="38">
        <v>3</v>
      </c>
      <c r="H135" s="10">
        <v>0.90500000000000003</v>
      </c>
      <c r="I135" s="10">
        <v>0.31259009024018364</v>
      </c>
      <c r="J135" s="10">
        <v>2.4115968000000003</v>
      </c>
      <c r="K135" s="10">
        <v>0</v>
      </c>
      <c r="L135" s="10">
        <v>1.1499999999999999</v>
      </c>
      <c r="M135" s="10">
        <v>4.9665000000000001E-2</v>
      </c>
      <c r="N135" s="9">
        <v>1343.9432305175801</v>
      </c>
      <c r="O135" s="30">
        <v>25.729439478987882</v>
      </c>
      <c r="P135" s="226">
        <v>3.9178742922300103</v>
      </c>
      <c r="Q135" s="44">
        <v>3718</v>
      </c>
      <c r="R135" s="44">
        <v>6641.8863722632668</v>
      </c>
      <c r="S135" s="44">
        <v>7948.4076756871136</v>
      </c>
      <c r="T135" s="51">
        <v>2010</v>
      </c>
    </row>
    <row r="136" spans="1:20" ht="15" customHeight="1" x14ac:dyDescent="0.35">
      <c r="A136" s="326" t="str">
        <f t="shared" si="60"/>
        <v>Refinery gas fired power plants</v>
      </c>
      <c r="B136" s="328" t="str">
        <f t="shared" si="60"/>
        <v>Steam turbine</v>
      </c>
      <c r="C136" s="324" t="str">
        <f t="shared" si="60"/>
        <v>CHP</v>
      </c>
      <c r="D136" s="65" t="s">
        <v>10</v>
      </c>
      <c r="E136" s="17">
        <v>20000</v>
      </c>
      <c r="F136" s="18">
        <v>38</v>
      </c>
      <c r="G136" s="40">
        <v>1</v>
      </c>
      <c r="H136" s="19">
        <v>0.90500000000000003</v>
      </c>
      <c r="I136" s="19">
        <v>0.29769851614727072</v>
      </c>
      <c r="J136" s="19">
        <v>2.4115968000000003</v>
      </c>
      <c r="K136" s="19">
        <v>0</v>
      </c>
      <c r="L136" s="19">
        <v>1.25</v>
      </c>
      <c r="M136" s="19">
        <v>5.214825E-2</v>
      </c>
      <c r="N136" s="18">
        <v>1463.5139064401264</v>
      </c>
      <c r="O136" s="32">
        <v>28.018588603557689</v>
      </c>
      <c r="P136" s="229">
        <v>4.2559383648513611</v>
      </c>
      <c r="Q136" s="47">
        <v>2509.65</v>
      </c>
      <c r="R136" s="47">
        <v>5781.0126270688488</v>
      </c>
      <c r="S136" s="47">
        <v>7347.5218904818876</v>
      </c>
      <c r="T136" s="54">
        <v>2010</v>
      </c>
    </row>
    <row r="137" spans="1:20" ht="15" customHeight="1" x14ac:dyDescent="0.35">
      <c r="A137" s="326" t="str">
        <f t="shared" ref="A137:B137" si="61">A136</f>
        <v>Refinery gas fired power plants</v>
      </c>
      <c r="B137" s="328" t="str">
        <f t="shared" si="61"/>
        <v>Steam turbine</v>
      </c>
      <c r="C137" s="323" t="s">
        <v>15</v>
      </c>
      <c r="D137" s="64" t="s">
        <v>7</v>
      </c>
      <c r="E137" s="14">
        <v>175000</v>
      </c>
      <c r="F137" s="15">
        <v>38</v>
      </c>
      <c r="G137" s="39">
        <v>4</v>
      </c>
      <c r="H137" s="16">
        <v>0.90500000000000003</v>
      </c>
      <c r="I137" s="16">
        <v>0.34381983840467595</v>
      </c>
      <c r="J137" s="16">
        <v>0.24115968000000004</v>
      </c>
      <c r="K137" s="16">
        <v>2.1704371200000003</v>
      </c>
      <c r="L137" s="16">
        <v>0</v>
      </c>
      <c r="M137" s="16">
        <v>0.24724999999999997</v>
      </c>
      <c r="N137" s="15">
        <v>1962.5</v>
      </c>
      <c r="O137" s="31">
        <v>40.67023026315789</v>
      </c>
      <c r="P137" s="228">
        <v>4.1321843956315174</v>
      </c>
      <c r="Q137" s="46">
        <v>6500</v>
      </c>
      <c r="R137" s="46">
        <v>7875</v>
      </c>
      <c r="S137" s="46">
        <v>8500</v>
      </c>
      <c r="T137" s="53">
        <v>2031</v>
      </c>
    </row>
    <row r="138" spans="1:20" ht="15" customHeight="1" x14ac:dyDescent="0.35">
      <c r="A138" s="326" t="str">
        <f t="shared" ref="A138:C138" si="62">A137</f>
        <v>Refinery gas fired power plants</v>
      </c>
      <c r="B138" s="328" t="str">
        <f t="shared" si="62"/>
        <v>Steam turbine</v>
      </c>
      <c r="C138" s="324" t="str">
        <f t="shared" si="62"/>
        <v>Electricity only with CCS</v>
      </c>
      <c r="D138" s="65" t="s">
        <v>8</v>
      </c>
      <c r="E138" s="17">
        <v>75000</v>
      </c>
      <c r="F138" s="18">
        <v>38</v>
      </c>
      <c r="G138" s="40">
        <v>3</v>
      </c>
      <c r="H138" s="19">
        <v>0.90500000000000003</v>
      </c>
      <c r="I138" s="19">
        <v>0.32744746514731043</v>
      </c>
      <c r="J138" s="19">
        <v>0.24115968000000004</v>
      </c>
      <c r="K138" s="19">
        <v>2.1704371200000003</v>
      </c>
      <c r="L138" s="19">
        <v>0</v>
      </c>
      <c r="M138" s="19">
        <v>0.25961249999999997</v>
      </c>
      <c r="N138" s="18">
        <v>2516.375</v>
      </c>
      <c r="O138" s="32">
        <v>52.148560855263163</v>
      </c>
      <c r="P138" s="229">
        <v>5.2984079024495605</v>
      </c>
      <c r="Q138" s="47">
        <v>4647.5</v>
      </c>
      <c r="R138" s="47">
        <v>6938.2955427543457</v>
      </c>
      <c r="S138" s="47">
        <v>7948.4076756871136</v>
      </c>
      <c r="T138" s="54">
        <v>2031</v>
      </c>
    </row>
    <row r="139" spans="1:20" ht="15" customHeight="1" x14ac:dyDescent="0.35">
      <c r="A139" s="326" t="str">
        <f t="shared" ref="A139:B139" si="63">A138</f>
        <v>Refinery gas fired power plants</v>
      </c>
      <c r="B139" s="328" t="str">
        <f t="shared" si="63"/>
        <v>Steam turbine</v>
      </c>
      <c r="C139" s="323" t="s">
        <v>16</v>
      </c>
      <c r="D139" s="61" t="s">
        <v>7</v>
      </c>
      <c r="E139" s="8">
        <v>140000</v>
      </c>
      <c r="F139" s="9">
        <v>38</v>
      </c>
      <c r="G139" s="38">
        <v>4</v>
      </c>
      <c r="H139" s="10">
        <v>0.90500000000000003</v>
      </c>
      <c r="I139" s="10">
        <v>0.31256348945879631</v>
      </c>
      <c r="J139" s="10">
        <v>0.24115968000000004</v>
      </c>
      <c r="K139" s="10">
        <v>2.1704371200000003</v>
      </c>
      <c r="L139" s="10">
        <v>1.2806244500263186</v>
      </c>
      <c r="M139" s="10">
        <v>0.27197499999999997</v>
      </c>
      <c r="N139" s="9">
        <v>2457.5</v>
      </c>
      <c r="O139" s="30">
        <v>49.40060032894737</v>
      </c>
      <c r="P139" s="226">
        <v>5.2692546510036289</v>
      </c>
      <c r="Q139" s="44">
        <v>5200</v>
      </c>
      <c r="R139" s="44">
        <v>7512.5</v>
      </c>
      <c r="S139" s="44">
        <v>8500</v>
      </c>
      <c r="T139" s="51">
        <v>2031</v>
      </c>
    </row>
    <row r="140" spans="1:20" ht="15" customHeight="1" x14ac:dyDescent="0.35">
      <c r="A140" s="327" t="str">
        <f t="shared" ref="A140:C140" si="64">A139</f>
        <v>Refinery gas fired power plants</v>
      </c>
      <c r="B140" s="330" t="str">
        <f t="shared" si="64"/>
        <v>Steam turbine</v>
      </c>
      <c r="C140" s="325" t="str">
        <f t="shared" si="64"/>
        <v>CHP with CCS</v>
      </c>
      <c r="D140" s="63" t="s">
        <v>8</v>
      </c>
      <c r="E140" s="20">
        <v>70000</v>
      </c>
      <c r="F140" s="21">
        <v>38</v>
      </c>
      <c r="G140" s="41">
        <v>3</v>
      </c>
      <c r="H140" s="22">
        <v>0.90500000000000003</v>
      </c>
      <c r="I140" s="22">
        <v>0.29767951377028218</v>
      </c>
      <c r="J140" s="22">
        <v>0.24115968000000004</v>
      </c>
      <c r="K140" s="22">
        <v>2.1704371200000003</v>
      </c>
      <c r="L140" s="22">
        <v>1.2890375501742826</v>
      </c>
      <c r="M140" s="22">
        <v>0.28557375000000002</v>
      </c>
      <c r="N140" s="21">
        <v>3011.375</v>
      </c>
      <c r="O140" s="33">
        <v>60.534581003289475</v>
      </c>
      <c r="P140" s="230">
        <v>6.3840592069191988</v>
      </c>
      <c r="Q140" s="48">
        <v>3718</v>
      </c>
      <c r="R140" s="48">
        <v>6641.8863722632668</v>
      </c>
      <c r="S140" s="48">
        <v>7948.4076756871136</v>
      </c>
      <c r="T140" s="55">
        <v>2031</v>
      </c>
    </row>
    <row r="141" spans="1:20" ht="15" customHeight="1" x14ac:dyDescent="0.35">
      <c r="A141" s="333" t="s">
        <v>28</v>
      </c>
      <c r="B141" s="334" t="s">
        <v>23</v>
      </c>
      <c r="C141" s="322" t="s">
        <v>6</v>
      </c>
      <c r="D141" s="62" t="s">
        <v>7</v>
      </c>
      <c r="E141" s="11">
        <v>125000</v>
      </c>
      <c r="F141" s="12">
        <v>32</v>
      </c>
      <c r="G141" s="37">
        <v>2</v>
      </c>
      <c r="H141" s="13">
        <v>0.91500000000000004</v>
      </c>
      <c r="I141" s="13">
        <v>0.54789413926713448</v>
      </c>
      <c r="J141" s="13">
        <v>3.1024188000000001</v>
      </c>
      <c r="K141" s="13">
        <v>0</v>
      </c>
      <c r="L141" s="13">
        <v>0</v>
      </c>
      <c r="M141" s="13">
        <v>3.2000000000000001E-2</v>
      </c>
      <c r="N141" s="12">
        <v>984.78110086643221</v>
      </c>
      <c r="O141" s="29">
        <v>23.080807051557006</v>
      </c>
      <c r="P141" s="227">
        <v>2.3450605054336933</v>
      </c>
      <c r="Q141" s="45">
        <v>1500</v>
      </c>
      <c r="R141" s="45">
        <v>3150</v>
      </c>
      <c r="S141" s="45">
        <v>3600</v>
      </c>
      <c r="T141" s="52">
        <v>2010</v>
      </c>
    </row>
    <row r="142" spans="1:20" ht="15" customHeight="1" x14ac:dyDescent="0.35">
      <c r="A142" s="326" t="str">
        <f t="shared" ref="A142:A171" si="65">A141</f>
        <v>Diesel oil fired power plants</v>
      </c>
      <c r="B142" s="335" t="str">
        <f t="shared" ref="B142:B147" si="66">B141</f>
        <v>Gas turbine combined cycle</v>
      </c>
      <c r="C142" s="324" t="str">
        <f>C141</f>
        <v>Electricity only</v>
      </c>
      <c r="D142" s="61" t="s">
        <v>8</v>
      </c>
      <c r="E142" s="8">
        <v>37500</v>
      </c>
      <c r="F142" s="9">
        <v>32</v>
      </c>
      <c r="G142" s="38">
        <v>2</v>
      </c>
      <c r="H142" s="10">
        <v>0.91500000000000004</v>
      </c>
      <c r="I142" s="10">
        <v>0.52090309634990994</v>
      </c>
      <c r="J142" s="10">
        <v>3.1024188000000001</v>
      </c>
      <c r="K142" s="10">
        <v>0</v>
      </c>
      <c r="L142" s="10">
        <v>0</v>
      </c>
      <c r="M142" s="10">
        <v>3.3600000000000005E-2</v>
      </c>
      <c r="N142" s="9">
        <v>1027.7177995489405</v>
      </c>
      <c r="O142" s="30">
        <v>24.087135926928294</v>
      </c>
      <c r="P142" s="226">
        <v>2.4473057213760674</v>
      </c>
      <c r="Q142" s="44">
        <v>300</v>
      </c>
      <c r="R142" s="44">
        <v>1818.5899580731393</v>
      </c>
      <c r="S142" s="44">
        <v>2609.206789239704</v>
      </c>
      <c r="T142" s="51">
        <v>2010</v>
      </c>
    </row>
    <row r="143" spans="1:20" ht="15" customHeight="1" x14ac:dyDescent="0.35">
      <c r="A143" s="326" t="str">
        <f t="shared" si="65"/>
        <v>Diesel oil fired power plants</v>
      </c>
      <c r="B143" s="335" t="str">
        <f t="shared" si="66"/>
        <v>Gas turbine combined cycle</v>
      </c>
      <c r="C143" s="323" t="s">
        <v>14</v>
      </c>
      <c r="D143" s="64" t="s">
        <v>7</v>
      </c>
      <c r="E143" s="14">
        <v>100000</v>
      </c>
      <c r="F143" s="15">
        <v>32</v>
      </c>
      <c r="G143" s="39">
        <v>2</v>
      </c>
      <c r="H143" s="16">
        <v>0.91500000000000004</v>
      </c>
      <c r="I143" s="16">
        <v>0.4978218277315955</v>
      </c>
      <c r="J143" s="16">
        <v>3.1024188000000001</v>
      </c>
      <c r="K143" s="16">
        <v>0</v>
      </c>
      <c r="L143" s="16">
        <v>1.08</v>
      </c>
      <c r="M143" s="16">
        <v>3.5200000000000002E-2</v>
      </c>
      <c r="N143" s="15">
        <v>1309.4542607186734</v>
      </c>
      <c r="O143" s="31">
        <v>29.769624208526093</v>
      </c>
      <c r="P143" s="228">
        <v>3.2224930371909331</v>
      </c>
      <c r="Q143" s="46">
        <v>1200</v>
      </c>
      <c r="R143" s="46">
        <v>3015</v>
      </c>
      <c r="S143" s="46">
        <v>3600</v>
      </c>
      <c r="T143" s="53">
        <v>2010</v>
      </c>
    </row>
    <row r="144" spans="1:20" ht="15" customHeight="1" x14ac:dyDescent="0.35">
      <c r="A144" s="326" t="str">
        <f t="shared" si="65"/>
        <v>Diesel oil fired power plants</v>
      </c>
      <c r="B144" s="335" t="str">
        <f t="shared" si="66"/>
        <v>Gas turbine combined cycle</v>
      </c>
      <c r="C144" s="324" t="str">
        <f>C143</f>
        <v>CHP</v>
      </c>
      <c r="D144" s="65" t="s">
        <v>8</v>
      </c>
      <c r="E144" s="17">
        <v>32500</v>
      </c>
      <c r="F144" s="18">
        <v>32</v>
      </c>
      <c r="G144" s="40">
        <v>1</v>
      </c>
      <c r="H144" s="19">
        <v>0.91500000000000004</v>
      </c>
      <c r="I144" s="19">
        <v>0.47344823105910605</v>
      </c>
      <c r="J144" s="19">
        <v>3.1024188000000001</v>
      </c>
      <c r="K144" s="19">
        <v>0</v>
      </c>
      <c r="L144" s="19">
        <v>1.08</v>
      </c>
      <c r="M144" s="19">
        <v>3.6960000000000007E-2</v>
      </c>
      <c r="N144" s="18">
        <v>1417.6037267943309</v>
      </c>
      <c r="O144" s="32">
        <v>32.228334726339874</v>
      </c>
      <c r="P144" s="229">
        <v>3.521342152164098</v>
      </c>
      <c r="Q144" s="47">
        <v>870</v>
      </c>
      <c r="R144" s="47">
        <v>2689.6698351081859</v>
      </c>
      <c r="S144" s="47">
        <v>3375.7486455736102</v>
      </c>
      <c r="T144" s="54">
        <v>2010</v>
      </c>
    </row>
    <row r="145" spans="1:20" ht="15" customHeight="1" x14ac:dyDescent="0.35">
      <c r="A145" s="326" t="str">
        <f t="shared" si="65"/>
        <v>Diesel oil fired power plants</v>
      </c>
      <c r="B145" s="335" t="str">
        <f t="shared" si="66"/>
        <v>Gas turbine combined cycle</v>
      </c>
      <c r="C145" s="323" t="s">
        <v>15</v>
      </c>
      <c r="D145" s="64" t="s">
        <v>7</v>
      </c>
      <c r="E145" s="14">
        <v>125000</v>
      </c>
      <c r="F145" s="15">
        <v>32</v>
      </c>
      <c r="G145" s="39">
        <v>2</v>
      </c>
      <c r="H145" s="16">
        <v>0.91500000000000004</v>
      </c>
      <c r="I145" s="16">
        <v>0.52042674993494664</v>
      </c>
      <c r="J145" s="16">
        <v>0.31024188000000003</v>
      </c>
      <c r="K145" s="16">
        <v>2.7921769200000002</v>
      </c>
      <c r="L145" s="16">
        <v>0</v>
      </c>
      <c r="M145" s="16">
        <v>0.10400000000000001</v>
      </c>
      <c r="N145" s="15">
        <v>1881</v>
      </c>
      <c r="O145" s="31">
        <v>46.290234375000004</v>
      </c>
      <c r="P145" s="228">
        <v>4.4202905187573274</v>
      </c>
      <c r="Q145" s="46">
        <v>1500</v>
      </c>
      <c r="R145" s="46">
        <v>3150</v>
      </c>
      <c r="S145" s="46">
        <v>3600</v>
      </c>
      <c r="T145" s="53">
        <v>2031</v>
      </c>
    </row>
    <row r="146" spans="1:20" ht="15" customHeight="1" x14ac:dyDescent="0.35">
      <c r="A146" s="326" t="str">
        <f t="shared" si="65"/>
        <v>Diesel oil fired power plants</v>
      </c>
      <c r="B146" s="335" t="str">
        <f t="shared" si="66"/>
        <v>Gas turbine combined cycle</v>
      </c>
      <c r="C146" s="324" t="str">
        <f>C145</f>
        <v>Electricity only with CCS</v>
      </c>
      <c r="D146" s="65" t="s">
        <v>8</v>
      </c>
      <c r="E146" s="17">
        <v>37500</v>
      </c>
      <c r="F146" s="18">
        <v>32</v>
      </c>
      <c r="G146" s="40">
        <v>2</v>
      </c>
      <c r="H146" s="19">
        <v>0.91500000000000004</v>
      </c>
      <c r="I146" s="19">
        <v>0.49564452374756818</v>
      </c>
      <c r="J146" s="19">
        <v>0.31024188000000003</v>
      </c>
      <c r="K146" s="19">
        <v>2.7921769200000002</v>
      </c>
      <c r="L146" s="19">
        <v>0</v>
      </c>
      <c r="M146" s="19">
        <v>0.10920000000000002</v>
      </c>
      <c r="N146" s="18">
        <v>1965.15</v>
      </c>
      <c r="O146" s="32">
        <v>48.361113281250006</v>
      </c>
      <c r="P146" s="229">
        <v>4.6180403577543654</v>
      </c>
      <c r="Q146" s="47">
        <v>300</v>
      </c>
      <c r="R146" s="47">
        <v>1818.5899580731393</v>
      </c>
      <c r="S146" s="47">
        <v>2609.206789239704</v>
      </c>
      <c r="T146" s="54">
        <v>2031</v>
      </c>
    </row>
    <row r="147" spans="1:20" ht="15" customHeight="1" x14ac:dyDescent="0.35">
      <c r="A147" s="326" t="str">
        <f t="shared" si="65"/>
        <v>Diesel oil fired power plants</v>
      </c>
      <c r="B147" s="335" t="str">
        <f t="shared" si="66"/>
        <v>Gas turbine combined cycle</v>
      </c>
      <c r="C147" s="323" t="s">
        <v>16</v>
      </c>
      <c r="D147" s="61" t="s">
        <v>7</v>
      </c>
      <c r="E147" s="8">
        <v>100000</v>
      </c>
      <c r="F147" s="9">
        <v>32</v>
      </c>
      <c r="G147" s="38">
        <v>2</v>
      </c>
      <c r="H147" s="10">
        <v>0.91500000000000004</v>
      </c>
      <c r="I147" s="10">
        <v>0.47311888351492082</v>
      </c>
      <c r="J147" s="10">
        <v>0.31024188000000003</v>
      </c>
      <c r="K147" s="10">
        <v>2.7921769200000002</v>
      </c>
      <c r="L147" s="10">
        <v>1.117644358432011</v>
      </c>
      <c r="M147" s="10">
        <v>0.11440000000000002</v>
      </c>
      <c r="N147" s="9">
        <v>2205.9659038357795</v>
      </c>
      <c r="O147" s="30">
        <v>52.658818899767383</v>
      </c>
      <c r="P147" s="226">
        <v>5.1931355642803814</v>
      </c>
      <c r="Q147" s="44">
        <v>1200</v>
      </c>
      <c r="R147" s="44">
        <v>3015</v>
      </c>
      <c r="S147" s="44">
        <v>3600</v>
      </c>
      <c r="T147" s="51">
        <v>2031</v>
      </c>
    </row>
    <row r="148" spans="1:20" ht="15" customHeight="1" x14ac:dyDescent="0.35">
      <c r="A148" s="326" t="str">
        <f t="shared" si="65"/>
        <v>Diesel oil fired power plants</v>
      </c>
      <c r="B148" s="336" t="str">
        <f t="shared" ref="B148:C148" si="67">B147</f>
        <v>Gas turbine combined cycle</v>
      </c>
      <c r="C148" s="325" t="str">
        <f t="shared" si="67"/>
        <v>CHP with CCS</v>
      </c>
      <c r="D148" s="63" t="s">
        <v>8</v>
      </c>
      <c r="E148" s="20">
        <v>32500</v>
      </c>
      <c r="F148" s="21">
        <v>32</v>
      </c>
      <c r="G148" s="41">
        <v>1</v>
      </c>
      <c r="H148" s="22">
        <v>0.91500000000000004</v>
      </c>
      <c r="I148" s="22">
        <v>0.45058909630513116</v>
      </c>
      <c r="J148" s="22">
        <v>0.31024188000000003</v>
      </c>
      <c r="K148" s="22">
        <v>2.7921769200000002</v>
      </c>
      <c r="L148" s="22">
        <v>1.1197268889743257</v>
      </c>
      <c r="M148" s="22">
        <v>0.12012000000000003</v>
      </c>
      <c r="N148" s="21">
        <v>2355.1169077799541</v>
      </c>
      <c r="O148" s="33">
        <v>56.2192164978254</v>
      </c>
      <c r="P148" s="230">
        <v>5.5743582100258307</v>
      </c>
      <c r="Q148" s="48">
        <v>870</v>
      </c>
      <c r="R148" s="48">
        <v>2689.6698351081859</v>
      </c>
      <c r="S148" s="48">
        <v>3375.7486455736102</v>
      </c>
      <c r="T148" s="55">
        <v>2031</v>
      </c>
    </row>
    <row r="149" spans="1:20" ht="15" customHeight="1" x14ac:dyDescent="0.35">
      <c r="A149" s="326" t="str">
        <f t="shared" si="65"/>
        <v>Diesel oil fired power plants</v>
      </c>
      <c r="B149" s="334" t="s">
        <v>24</v>
      </c>
      <c r="C149" s="322" t="s">
        <v>6</v>
      </c>
      <c r="D149" s="62" t="s">
        <v>7</v>
      </c>
      <c r="E149" s="11">
        <v>70000</v>
      </c>
      <c r="F149" s="12">
        <v>25</v>
      </c>
      <c r="G149" s="37">
        <v>2</v>
      </c>
      <c r="H149" s="13">
        <v>0.94</v>
      </c>
      <c r="I149" s="13">
        <v>0.37321090418480074</v>
      </c>
      <c r="J149" s="13">
        <v>3.1024188000000001</v>
      </c>
      <c r="K149" s="13">
        <v>0</v>
      </c>
      <c r="L149" s="13">
        <v>0</v>
      </c>
      <c r="M149" s="13">
        <v>2.9000000000000001E-2</v>
      </c>
      <c r="N149" s="12">
        <v>579.40521891448407</v>
      </c>
      <c r="O149" s="29">
        <v>10.429293940460713</v>
      </c>
      <c r="P149" s="227">
        <v>2.5811721358441257</v>
      </c>
      <c r="Q149" s="45">
        <v>1200</v>
      </c>
      <c r="R149" s="45">
        <v>2500</v>
      </c>
      <c r="S149" s="45">
        <v>3000</v>
      </c>
      <c r="T149" s="52">
        <v>2010</v>
      </c>
    </row>
    <row r="150" spans="1:20" ht="15" customHeight="1" x14ac:dyDescent="0.35">
      <c r="A150" s="326" t="str">
        <f t="shared" si="65"/>
        <v>Diesel oil fired power plants</v>
      </c>
      <c r="B150" s="335" t="str">
        <f t="shared" ref="B150:B159" si="68">B149</f>
        <v xml:space="preserve">Gas turbine </v>
      </c>
      <c r="C150" s="321" t="str">
        <f t="shared" ref="C150:C152" si="69">C149</f>
        <v>Electricity only</v>
      </c>
      <c r="D150" s="61" t="s">
        <v>8</v>
      </c>
      <c r="E150" s="8">
        <v>30000</v>
      </c>
      <c r="F150" s="9">
        <v>25</v>
      </c>
      <c r="G150" s="38">
        <v>1</v>
      </c>
      <c r="H150" s="10">
        <v>0.94</v>
      </c>
      <c r="I150" s="10">
        <v>0.35543967604824278</v>
      </c>
      <c r="J150" s="10">
        <v>3.1024188000000001</v>
      </c>
      <c r="K150" s="10">
        <v>0</v>
      </c>
      <c r="L150" s="10">
        <v>0</v>
      </c>
      <c r="M150" s="10">
        <v>3.0450000000000001E-2</v>
      </c>
      <c r="N150" s="9">
        <v>605.47232403297471</v>
      </c>
      <c r="O150" s="30">
        <v>10.898501832593544</v>
      </c>
      <c r="P150" s="226">
        <v>2.6972975748245056</v>
      </c>
      <c r="Q150" s="44">
        <v>600</v>
      </c>
      <c r="R150" s="44">
        <v>1676.2323784522796</v>
      </c>
      <c r="S150" s="44">
        <v>2121.3203435596429</v>
      </c>
      <c r="T150" s="51">
        <v>2010</v>
      </c>
    </row>
    <row r="151" spans="1:20" ht="15" customHeight="1" x14ac:dyDescent="0.35">
      <c r="A151" s="326" t="str">
        <f t="shared" si="65"/>
        <v>Diesel oil fired power plants</v>
      </c>
      <c r="B151" s="335" t="str">
        <f t="shared" si="68"/>
        <v xml:space="preserve">Gas turbine </v>
      </c>
      <c r="C151" s="321" t="str">
        <f t="shared" si="69"/>
        <v>Electricity only</v>
      </c>
      <c r="D151" s="61" t="s">
        <v>10</v>
      </c>
      <c r="E151" s="8">
        <v>15000</v>
      </c>
      <c r="F151" s="9">
        <v>25</v>
      </c>
      <c r="G151" s="38">
        <v>1</v>
      </c>
      <c r="H151" s="10">
        <v>0.94</v>
      </c>
      <c r="I151" s="10">
        <v>0.33848704817518133</v>
      </c>
      <c r="J151" s="10">
        <v>3.1024188000000001</v>
      </c>
      <c r="K151" s="10">
        <v>0</v>
      </c>
      <c r="L151" s="10">
        <v>0</v>
      </c>
      <c r="M151" s="10">
        <v>3.1972500000000001E-2</v>
      </c>
      <c r="N151" s="9">
        <v>726.85585219498648</v>
      </c>
      <c r="O151" s="30">
        <v>13.083405339509756</v>
      </c>
      <c r="P151" s="226">
        <v>3.2380448280667622</v>
      </c>
      <c r="Q151" s="44">
        <v>300</v>
      </c>
      <c r="R151" s="44">
        <v>1128.9291416275996</v>
      </c>
      <c r="S151" s="44">
        <v>1500.0000000000002</v>
      </c>
      <c r="T151" s="51">
        <v>2010</v>
      </c>
    </row>
    <row r="152" spans="1:20" ht="15" customHeight="1" x14ac:dyDescent="0.35">
      <c r="A152" s="326" t="str">
        <f t="shared" si="65"/>
        <v>Diesel oil fired power plants</v>
      </c>
      <c r="B152" s="335" t="str">
        <f t="shared" si="68"/>
        <v xml:space="preserve">Gas turbine </v>
      </c>
      <c r="C152" s="324" t="str">
        <f t="shared" si="69"/>
        <v>Electricity only</v>
      </c>
      <c r="D152" s="61" t="s">
        <v>20</v>
      </c>
      <c r="E152" s="8">
        <v>3000</v>
      </c>
      <c r="F152" s="9">
        <v>25</v>
      </c>
      <c r="G152" s="38">
        <v>1</v>
      </c>
      <c r="H152" s="10">
        <v>0.94</v>
      </c>
      <c r="I152" s="10">
        <v>0.32235266456678785</v>
      </c>
      <c r="J152" s="10">
        <v>3.1024188000000001</v>
      </c>
      <c r="K152" s="10">
        <v>0</v>
      </c>
      <c r="L152" s="10">
        <v>0</v>
      </c>
      <c r="M152" s="10">
        <v>3.3571125E-2</v>
      </c>
      <c r="N152" s="9">
        <v>1054.2018011752095</v>
      </c>
      <c r="O152" s="30">
        <v>18.975632421153769</v>
      </c>
      <c r="P152" s="226">
        <v>4.6963268985531013</v>
      </c>
      <c r="Q152" s="44">
        <v>15</v>
      </c>
      <c r="R152" s="44">
        <v>632.78581493969602</v>
      </c>
      <c r="S152" s="44">
        <v>957.05469851938722</v>
      </c>
      <c r="T152" s="51">
        <v>2010</v>
      </c>
    </row>
    <row r="153" spans="1:20" ht="15" customHeight="1" x14ac:dyDescent="0.35">
      <c r="A153" s="326" t="str">
        <f t="shared" si="65"/>
        <v>Diesel oil fired power plants</v>
      </c>
      <c r="B153" s="335" t="str">
        <f t="shared" si="68"/>
        <v xml:space="preserve">Gas turbine </v>
      </c>
      <c r="C153" s="323" t="s">
        <v>14</v>
      </c>
      <c r="D153" s="64" t="s">
        <v>7</v>
      </c>
      <c r="E153" s="14">
        <v>60000</v>
      </c>
      <c r="F153" s="15">
        <v>25</v>
      </c>
      <c r="G153" s="39">
        <v>2</v>
      </c>
      <c r="H153" s="16">
        <v>0.94</v>
      </c>
      <c r="I153" s="16">
        <v>0.33927047090948204</v>
      </c>
      <c r="J153" s="16">
        <v>3.1024188000000001</v>
      </c>
      <c r="K153" s="16">
        <v>0</v>
      </c>
      <c r="L153" s="16">
        <v>0.9</v>
      </c>
      <c r="M153" s="16">
        <v>3.1900000000000005E-2</v>
      </c>
      <c r="N153" s="15">
        <v>829.29756170956784</v>
      </c>
      <c r="O153" s="31">
        <v>14.479535427449054</v>
      </c>
      <c r="P153" s="228">
        <v>3.8897540930236252</v>
      </c>
      <c r="Q153" s="46">
        <v>1260</v>
      </c>
      <c r="R153" s="46">
        <v>2825</v>
      </c>
      <c r="S153" s="46">
        <v>3449.9999999999995</v>
      </c>
      <c r="T153" s="53">
        <v>2010</v>
      </c>
    </row>
    <row r="154" spans="1:20" ht="15" customHeight="1" x14ac:dyDescent="0.35">
      <c r="A154" s="326" t="str">
        <f t="shared" si="65"/>
        <v>Diesel oil fired power plants</v>
      </c>
      <c r="B154" s="335" t="str">
        <f t="shared" si="68"/>
        <v xml:space="preserve">Gas turbine </v>
      </c>
      <c r="C154" s="321" t="str">
        <f t="shared" ref="C154:C156" si="70">C153</f>
        <v>CHP</v>
      </c>
      <c r="D154" s="61" t="s">
        <v>8</v>
      </c>
      <c r="E154" s="8">
        <v>27500</v>
      </c>
      <c r="F154" s="9">
        <v>25</v>
      </c>
      <c r="G154" s="38">
        <v>1</v>
      </c>
      <c r="H154" s="10">
        <v>0.94</v>
      </c>
      <c r="I154" s="10">
        <v>0.32312083469643166</v>
      </c>
      <c r="J154" s="10">
        <v>3.1024188000000001</v>
      </c>
      <c r="K154" s="10">
        <v>0</v>
      </c>
      <c r="L154" s="10">
        <v>0.9</v>
      </c>
      <c r="M154" s="10">
        <v>3.3495000000000004E-2</v>
      </c>
      <c r="N154" s="9">
        <v>855.29472891512808</v>
      </c>
      <c r="O154" s="30">
        <v>14.933445966858134</v>
      </c>
      <c r="P154" s="226">
        <v>3.9986195229945651</v>
      </c>
      <c r="Q154" s="44">
        <v>630</v>
      </c>
      <c r="R154" s="44">
        <v>1896.8886248864983</v>
      </c>
      <c r="S154" s="44">
        <v>2439.5183950935889</v>
      </c>
      <c r="T154" s="51">
        <v>2010</v>
      </c>
    </row>
    <row r="155" spans="1:20" ht="15" customHeight="1" x14ac:dyDescent="0.35">
      <c r="A155" s="326" t="str">
        <f t="shared" si="65"/>
        <v>Diesel oil fired power plants</v>
      </c>
      <c r="B155" s="335" t="str">
        <f t="shared" si="68"/>
        <v xml:space="preserve">Gas turbine </v>
      </c>
      <c r="C155" s="321" t="str">
        <f t="shared" si="70"/>
        <v>CHP</v>
      </c>
      <c r="D155" s="61" t="s">
        <v>10</v>
      </c>
      <c r="E155" s="8">
        <v>16250</v>
      </c>
      <c r="F155" s="9">
        <v>25</v>
      </c>
      <c r="G155" s="38">
        <v>1</v>
      </c>
      <c r="H155" s="10">
        <v>0.94</v>
      </c>
      <c r="I155" s="10">
        <v>0.30770851933775639</v>
      </c>
      <c r="J155" s="10">
        <v>3.1024188000000001</v>
      </c>
      <c r="K155" s="10">
        <v>0</v>
      </c>
      <c r="L155" s="10">
        <v>0.8</v>
      </c>
      <c r="M155" s="10">
        <v>3.5169750000000007E-2</v>
      </c>
      <c r="N155" s="9">
        <v>946.82282169077325</v>
      </c>
      <c r="O155" s="30">
        <v>16.531526466720898</v>
      </c>
      <c r="P155" s="226">
        <v>4.3377123079149547</v>
      </c>
      <c r="Q155" s="44">
        <v>315</v>
      </c>
      <c r="R155" s="44">
        <v>1279.3220557903596</v>
      </c>
      <c r="S155" s="44">
        <v>1725</v>
      </c>
      <c r="T155" s="51">
        <v>2010</v>
      </c>
    </row>
    <row r="156" spans="1:20" ht="15" customHeight="1" x14ac:dyDescent="0.35">
      <c r="A156" s="326" t="str">
        <f t="shared" si="65"/>
        <v>Diesel oil fired power plants</v>
      </c>
      <c r="B156" s="335" t="str">
        <f t="shared" si="68"/>
        <v xml:space="preserve">Gas turbine </v>
      </c>
      <c r="C156" s="324" t="str">
        <f t="shared" si="70"/>
        <v>CHP</v>
      </c>
      <c r="D156" s="65" t="s">
        <v>20</v>
      </c>
      <c r="E156" s="17">
        <v>3500</v>
      </c>
      <c r="F156" s="18">
        <v>25</v>
      </c>
      <c r="G156" s="40">
        <v>1</v>
      </c>
      <c r="H156" s="19">
        <v>0.94</v>
      </c>
      <c r="I156" s="19">
        <v>0.29304572592498856</v>
      </c>
      <c r="J156" s="19">
        <v>3.1024188000000001</v>
      </c>
      <c r="K156" s="19">
        <v>0</v>
      </c>
      <c r="L156" s="19">
        <v>0.57999999999999996</v>
      </c>
      <c r="M156" s="19">
        <v>3.6928237500000002E-2</v>
      </c>
      <c r="N156" s="18">
        <v>1214.1838242582669</v>
      </c>
      <c r="O156" s="32">
        <v>21.199649571549337</v>
      </c>
      <c r="P156" s="229">
        <v>5.3941108076303124</v>
      </c>
      <c r="Q156" s="47">
        <v>47.25</v>
      </c>
      <c r="R156" s="47">
        <v>826.09753756444593</v>
      </c>
      <c r="S156" s="47">
        <v>1180.3406148846395</v>
      </c>
      <c r="T156" s="54">
        <v>2010</v>
      </c>
    </row>
    <row r="157" spans="1:20" ht="15" customHeight="1" x14ac:dyDescent="0.35">
      <c r="A157" s="326" t="str">
        <f t="shared" si="65"/>
        <v>Diesel oil fired power plants</v>
      </c>
      <c r="B157" s="335" t="str">
        <f t="shared" si="68"/>
        <v xml:space="preserve">Gas turbine </v>
      </c>
      <c r="C157" s="323" t="s">
        <v>15</v>
      </c>
      <c r="D157" s="64" t="s">
        <v>7</v>
      </c>
      <c r="E157" s="14">
        <v>70000</v>
      </c>
      <c r="F157" s="15">
        <v>25</v>
      </c>
      <c r="G157" s="39">
        <v>2</v>
      </c>
      <c r="H157" s="16">
        <v>0.94</v>
      </c>
      <c r="I157" s="16">
        <v>0.355366027007818</v>
      </c>
      <c r="J157" s="16">
        <v>0.31024188000000003</v>
      </c>
      <c r="K157" s="16">
        <v>2.7921769200000002</v>
      </c>
      <c r="L157" s="16">
        <v>0</v>
      </c>
      <c r="M157" s="16">
        <v>0.14500000000000002</v>
      </c>
      <c r="N157" s="15">
        <v>1450</v>
      </c>
      <c r="O157" s="31">
        <v>27.405000000000001</v>
      </c>
      <c r="P157" s="228">
        <v>4.9092614302461888</v>
      </c>
      <c r="Q157" s="46">
        <v>1200</v>
      </c>
      <c r="R157" s="46">
        <v>2500</v>
      </c>
      <c r="S157" s="46">
        <v>3000</v>
      </c>
      <c r="T157" s="53">
        <v>2031</v>
      </c>
    </row>
    <row r="158" spans="1:20" ht="15" customHeight="1" x14ac:dyDescent="0.35">
      <c r="A158" s="326" t="str">
        <f t="shared" si="65"/>
        <v>Diesel oil fired power plants</v>
      </c>
      <c r="B158" s="335" t="str">
        <f t="shared" si="68"/>
        <v xml:space="preserve">Gas turbine </v>
      </c>
      <c r="C158" s="324" t="str">
        <f>C157</f>
        <v>Electricity only with CCS</v>
      </c>
      <c r="D158" s="65" t="s">
        <v>8</v>
      </c>
      <c r="E158" s="17">
        <v>30000</v>
      </c>
      <c r="F158" s="18">
        <v>25</v>
      </c>
      <c r="G158" s="40">
        <v>1</v>
      </c>
      <c r="H158" s="19">
        <v>0.94</v>
      </c>
      <c r="I158" s="19">
        <v>0.33844383524554089</v>
      </c>
      <c r="J158" s="19">
        <v>0.31024188000000003</v>
      </c>
      <c r="K158" s="19">
        <v>2.7921769200000002</v>
      </c>
      <c r="L158" s="19">
        <v>0</v>
      </c>
      <c r="M158" s="19">
        <v>0.15225000000000002</v>
      </c>
      <c r="N158" s="18">
        <v>1743.5</v>
      </c>
      <c r="O158" s="32">
        <v>32.952150000000003</v>
      </c>
      <c r="P158" s="229">
        <v>5.9029636576787814</v>
      </c>
      <c r="Q158" s="47">
        <v>600</v>
      </c>
      <c r="R158" s="47">
        <v>1676.2323784522796</v>
      </c>
      <c r="S158" s="47">
        <v>2121.3203435596429</v>
      </c>
      <c r="T158" s="54">
        <v>2031</v>
      </c>
    </row>
    <row r="159" spans="1:20" ht="15" customHeight="1" x14ac:dyDescent="0.35">
      <c r="A159" s="326" t="str">
        <f t="shared" si="65"/>
        <v>Diesel oil fired power plants</v>
      </c>
      <c r="B159" s="335" t="str">
        <f t="shared" si="68"/>
        <v xml:space="preserve">Gas turbine </v>
      </c>
      <c r="C159" s="323" t="s">
        <v>16</v>
      </c>
      <c r="D159" s="61" t="s">
        <v>7</v>
      </c>
      <c r="E159" s="8">
        <v>60000</v>
      </c>
      <c r="F159" s="9">
        <v>25</v>
      </c>
      <c r="G159" s="38">
        <v>2</v>
      </c>
      <c r="H159" s="10">
        <v>0.94</v>
      </c>
      <c r="I159" s="10">
        <v>0.32306002455256183</v>
      </c>
      <c r="J159" s="10">
        <v>0.31024188000000003</v>
      </c>
      <c r="K159" s="10">
        <v>2.7921769200000002</v>
      </c>
      <c r="L159" s="10">
        <v>0.95234764102309988</v>
      </c>
      <c r="M159" s="10">
        <v>0.15950000000000003</v>
      </c>
      <c r="N159" s="9">
        <v>1700</v>
      </c>
      <c r="O159" s="30">
        <v>31.166100000000004</v>
      </c>
      <c r="P159" s="226">
        <v>5.7654336259610597</v>
      </c>
      <c r="Q159" s="44">
        <v>1260</v>
      </c>
      <c r="R159" s="44">
        <v>2825</v>
      </c>
      <c r="S159" s="44">
        <v>3449.9999999999995</v>
      </c>
      <c r="T159" s="51">
        <v>2031</v>
      </c>
    </row>
    <row r="160" spans="1:20" ht="15" customHeight="1" x14ac:dyDescent="0.35">
      <c r="A160" s="326" t="str">
        <f t="shared" si="65"/>
        <v>Diesel oil fired power plants</v>
      </c>
      <c r="B160" s="336" t="str">
        <f t="shared" ref="B160:C160" si="71">B159</f>
        <v xml:space="preserve">Gas turbine </v>
      </c>
      <c r="C160" s="325" t="str">
        <f t="shared" si="71"/>
        <v>CHP with CCS</v>
      </c>
      <c r="D160" s="63" t="s">
        <v>8</v>
      </c>
      <c r="E160" s="20">
        <v>27500</v>
      </c>
      <c r="F160" s="21">
        <v>25</v>
      </c>
      <c r="G160" s="41">
        <v>1</v>
      </c>
      <c r="H160" s="22">
        <v>0.94</v>
      </c>
      <c r="I160" s="22">
        <v>0.30767621385958266</v>
      </c>
      <c r="J160" s="22">
        <v>0.31024188000000003</v>
      </c>
      <c r="K160" s="22">
        <v>2.7921769200000002</v>
      </c>
      <c r="L160" s="22">
        <v>0.95535600538874643</v>
      </c>
      <c r="M160" s="22">
        <v>0.16747500000000004</v>
      </c>
      <c r="N160" s="21">
        <v>1993.5</v>
      </c>
      <c r="O160" s="33">
        <v>36.546835499999993</v>
      </c>
      <c r="P160" s="230">
        <v>6.7185822406374296</v>
      </c>
      <c r="Q160" s="48">
        <v>630</v>
      </c>
      <c r="R160" s="48">
        <v>1896.8886248864983</v>
      </c>
      <c r="S160" s="48">
        <v>2439.5183950935889</v>
      </c>
      <c r="T160" s="55">
        <v>2031</v>
      </c>
    </row>
    <row r="161" spans="1:20" ht="15" customHeight="1" x14ac:dyDescent="0.35">
      <c r="A161" s="326" t="str">
        <f t="shared" si="65"/>
        <v>Diesel oil fired power plants</v>
      </c>
      <c r="B161" s="334" t="s">
        <v>19</v>
      </c>
      <c r="C161" s="322" t="s">
        <v>6</v>
      </c>
      <c r="D161" s="62" t="s">
        <v>7</v>
      </c>
      <c r="E161" s="11">
        <v>80000</v>
      </c>
      <c r="F161" s="12">
        <v>38</v>
      </c>
      <c r="G161" s="37">
        <v>3</v>
      </c>
      <c r="H161" s="13">
        <v>0.90500000000000003</v>
      </c>
      <c r="I161" s="13">
        <v>0.42219085913432552</v>
      </c>
      <c r="J161" s="13">
        <v>3.1024188000000001</v>
      </c>
      <c r="K161" s="13">
        <v>0</v>
      </c>
      <c r="L161" s="13">
        <v>0</v>
      </c>
      <c r="M161" s="13">
        <v>4.7E-2</v>
      </c>
      <c r="N161" s="12">
        <v>831.41328765205742</v>
      </c>
      <c r="O161" s="29">
        <v>15.862490356519517</v>
      </c>
      <c r="P161" s="227">
        <v>2.2443593098523795</v>
      </c>
      <c r="Q161" s="45">
        <v>1600</v>
      </c>
      <c r="R161" s="45">
        <v>3250</v>
      </c>
      <c r="S161" s="45">
        <v>3700</v>
      </c>
      <c r="T161" s="52">
        <v>2010</v>
      </c>
    </row>
    <row r="162" spans="1:20" ht="15" customHeight="1" x14ac:dyDescent="0.35">
      <c r="A162" s="326" t="str">
        <f t="shared" si="65"/>
        <v>Diesel oil fired power plants</v>
      </c>
      <c r="B162" s="335" t="str">
        <f t="shared" ref="B162:B169" si="72">B161</f>
        <v>Steam turbine</v>
      </c>
      <c r="C162" s="321" t="str">
        <f t="shared" ref="C162:C163" si="73">C161</f>
        <v>Electricity only</v>
      </c>
      <c r="D162" s="61" t="s">
        <v>8</v>
      </c>
      <c r="E162" s="8">
        <v>37500</v>
      </c>
      <c r="F162" s="9">
        <v>38</v>
      </c>
      <c r="G162" s="38">
        <v>3</v>
      </c>
      <c r="H162" s="10">
        <v>0.90500000000000003</v>
      </c>
      <c r="I162" s="10">
        <v>0.40206944195233185</v>
      </c>
      <c r="J162" s="10">
        <v>3.1024188000000001</v>
      </c>
      <c r="K162" s="10">
        <v>0</v>
      </c>
      <c r="L162" s="10">
        <v>0</v>
      </c>
      <c r="M162" s="10">
        <v>4.9350000000000005E-2</v>
      </c>
      <c r="N162" s="9">
        <v>897.54476299816656</v>
      </c>
      <c r="O162" s="30">
        <v>17.124209294043968</v>
      </c>
      <c r="P162" s="226">
        <v>2.4228779774893434</v>
      </c>
      <c r="Q162" s="44">
        <v>800</v>
      </c>
      <c r="R162" s="44">
        <v>2169.9486345365544</v>
      </c>
      <c r="S162" s="44">
        <v>2616.2950903902261</v>
      </c>
      <c r="T162" s="51">
        <v>2010</v>
      </c>
    </row>
    <row r="163" spans="1:20" ht="15" customHeight="1" x14ac:dyDescent="0.35">
      <c r="A163" s="326" t="str">
        <f t="shared" si="65"/>
        <v>Diesel oil fired power plants</v>
      </c>
      <c r="B163" s="335" t="str">
        <f t="shared" si="72"/>
        <v>Steam turbine</v>
      </c>
      <c r="C163" s="324" t="str">
        <f t="shared" si="73"/>
        <v>Electricity only</v>
      </c>
      <c r="D163" s="61" t="s">
        <v>10</v>
      </c>
      <c r="E163" s="8">
        <v>17500</v>
      </c>
      <c r="F163" s="9">
        <v>38</v>
      </c>
      <c r="G163" s="38">
        <v>1</v>
      </c>
      <c r="H163" s="10">
        <v>0.90500000000000003</v>
      </c>
      <c r="I163" s="10">
        <v>0.38291513735395083</v>
      </c>
      <c r="J163" s="10">
        <v>3.1024188000000001</v>
      </c>
      <c r="K163" s="10">
        <v>0</v>
      </c>
      <c r="L163" s="10">
        <v>0</v>
      </c>
      <c r="M163" s="10">
        <v>5.1817500000000009E-2</v>
      </c>
      <c r="N163" s="9">
        <v>987.08936608165288</v>
      </c>
      <c r="O163" s="30">
        <v>18.832626063399957</v>
      </c>
      <c r="P163" s="226">
        <v>2.6645992328051036</v>
      </c>
      <c r="Q163" s="44">
        <v>400</v>
      </c>
      <c r="R163" s="44">
        <v>1455.5007982786394</v>
      </c>
      <c r="S163" s="44">
        <v>1850.0000000000002</v>
      </c>
      <c r="T163" s="51">
        <v>2010</v>
      </c>
    </row>
    <row r="164" spans="1:20" ht="15" customHeight="1" x14ac:dyDescent="0.35">
      <c r="A164" s="326" t="str">
        <f t="shared" si="65"/>
        <v>Diesel oil fired power plants</v>
      </c>
      <c r="B164" s="335" t="str">
        <f t="shared" si="72"/>
        <v>Steam turbine</v>
      </c>
      <c r="C164" s="323" t="s">
        <v>14</v>
      </c>
      <c r="D164" s="64" t="s">
        <v>7</v>
      </c>
      <c r="E164" s="14">
        <v>75000</v>
      </c>
      <c r="F164" s="15">
        <v>38</v>
      </c>
      <c r="G164" s="39">
        <v>3</v>
      </c>
      <c r="H164" s="16">
        <v>0.90500000000000003</v>
      </c>
      <c r="I164" s="16">
        <v>0.38377562931337539</v>
      </c>
      <c r="J164" s="16">
        <v>3.1024188000000001</v>
      </c>
      <c r="K164" s="16">
        <v>0</v>
      </c>
      <c r="L164" s="16">
        <v>1.1499999999999999</v>
      </c>
      <c r="M164" s="16">
        <v>5.1700000000000003E-2</v>
      </c>
      <c r="N164" s="15">
        <v>1326.0724801057947</v>
      </c>
      <c r="O164" s="31">
        <v>24.541065043010533</v>
      </c>
      <c r="P164" s="228">
        <v>3.873395126687869</v>
      </c>
      <c r="Q164" s="46">
        <v>1280</v>
      </c>
      <c r="R164" s="46">
        <v>3110</v>
      </c>
      <c r="S164" s="46">
        <v>3700</v>
      </c>
      <c r="T164" s="53">
        <v>2010</v>
      </c>
    </row>
    <row r="165" spans="1:20" ht="15" customHeight="1" x14ac:dyDescent="0.35">
      <c r="A165" s="326" t="str">
        <f t="shared" si="65"/>
        <v>Diesel oil fired power plants</v>
      </c>
      <c r="B165" s="335" t="str">
        <f t="shared" si="72"/>
        <v>Steam turbine</v>
      </c>
      <c r="C165" s="321" t="str">
        <f t="shared" ref="C165:C166" si="74">C164</f>
        <v>CHP</v>
      </c>
      <c r="D165" s="61" t="s">
        <v>8</v>
      </c>
      <c r="E165" s="8">
        <v>35000</v>
      </c>
      <c r="F165" s="9">
        <v>38</v>
      </c>
      <c r="G165" s="38">
        <v>3</v>
      </c>
      <c r="H165" s="10">
        <v>0.90500000000000003</v>
      </c>
      <c r="I165" s="10">
        <v>0.36548892166613756</v>
      </c>
      <c r="J165" s="10">
        <v>3.1024188000000001</v>
      </c>
      <c r="K165" s="10">
        <v>0</v>
      </c>
      <c r="L165" s="10">
        <v>1.1499999999999999</v>
      </c>
      <c r="M165" s="10">
        <v>5.4285000000000007E-2</v>
      </c>
      <c r="N165" s="9">
        <v>1392.0813798024947</v>
      </c>
      <c r="O165" s="30">
        <v>25.762663956476434</v>
      </c>
      <c r="P165" s="226">
        <v>4.0377763069601382</v>
      </c>
      <c r="Q165" s="44">
        <v>915.19999999999993</v>
      </c>
      <c r="R165" s="44">
        <v>2760.2249455471401</v>
      </c>
      <c r="S165" s="44">
        <v>3459.8951058873317</v>
      </c>
      <c r="T165" s="51">
        <v>2010</v>
      </c>
    </row>
    <row r="166" spans="1:20" ht="15" customHeight="1" x14ac:dyDescent="0.35">
      <c r="A166" s="326" t="str">
        <f t="shared" si="65"/>
        <v>Diesel oil fired power plants</v>
      </c>
      <c r="B166" s="335" t="str">
        <f t="shared" si="72"/>
        <v>Steam turbine</v>
      </c>
      <c r="C166" s="324" t="str">
        <f t="shared" si="74"/>
        <v>CHP</v>
      </c>
      <c r="D166" s="65" t="s">
        <v>10</v>
      </c>
      <c r="E166" s="17">
        <v>15000</v>
      </c>
      <c r="F166" s="18">
        <v>38</v>
      </c>
      <c r="G166" s="40">
        <v>1</v>
      </c>
      <c r="H166" s="19">
        <v>0.90500000000000003</v>
      </c>
      <c r="I166" s="19">
        <v>0.34807839079009245</v>
      </c>
      <c r="J166" s="19">
        <v>3.1024188000000001</v>
      </c>
      <c r="K166" s="19">
        <v>0</v>
      </c>
      <c r="L166" s="19">
        <v>1.25</v>
      </c>
      <c r="M166" s="19">
        <v>5.6999250000000015E-2</v>
      </c>
      <c r="N166" s="18">
        <v>1516.508068268656</v>
      </c>
      <c r="O166" s="32">
        <v>28.065376289735063</v>
      </c>
      <c r="P166" s="229">
        <v>4.3882246237401601</v>
      </c>
      <c r="Q166" s="47">
        <v>617.76</v>
      </c>
      <c r="R166" s="47">
        <v>2413.0016613970379</v>
      </c>
      <c r="S166" s="47">
        <v>3198.3330582097628</v>
      </c>
      <c r="T166" s="54">
        <v>2010</v>
      </c>
    </row>
    <row r="167" spans="1:20" ht="15" customHeight="1" x14ac:dyDescent="0.35">
      <c r="A167" s="326" t="str">
        <f t="shared" si="65"/>
        <v>Diesel oil fired power plants</v>
      </c>
      <c r="B167" s="335" t="str">
        <f t="shared" si="72"/>
        <v>Steam turbine</v>
      </c>
      <c r="C167" s="323" t="s">
        <v>15</v>
      </c>
      <c r="D167" s="64" t="s">
        <v>7</v>
      </c>
      <c r="E167" s="14">
        <v>80000</v>
      </c>
      <c r="F167" s="15">
        <v>38</v>
      </c>
      <c r="G167" s="39">
        <v>3</v>
      </c>
      <c r="H167" s="16">
        <v>0.90500000000000003</v>
      </c>
      <c r="I167" s="16">
        <v>0.40201813101770884</v>
      </c>
      <c r="J167" s="16">
        <v>0.31024188000000003</v>
      </c>
      <c r="K167" s="16">
        <v>2.7921769200000002</v>
      </c>
      <c r="L167" s="16">
        <v>0</v>
      </c>
      <c r="M167" s="16">
        <v>0.27024999999999999</v>
      </c>
      <c r="N167" s="15">
        <v>2075</v>
      </c>
      <c r="O167" s="31">
        <v>41.56825657894737</v>
      </c>
      <c r="P167" s="228">
        <v>4.3690612081199482</v>
      </c>
      <c r="Q167" s="46">
        <v>1600</v>
      </c>
      <c r="R167" s="46">
        <v>3250</v>
      </c>
      <c r="S167" s="46">
        <v>3700</v>
      </c>
      <c r="T167" s="53">
        <v>2031</v>
      </c>
    </row>
    <row r="168" spans="1:20" ht="15" customHeight="1" x14ac:dyDescent="0.35">
      <c r="A168" s="326" t="str">
        <f t="shared" si="65"/>
        <v>Diesel oil fired power plants</v>
      </c>
      <c r="B168" s="335" t="str">
        <f t="shared" si="72"/>
        <v>Steam turbine</v>
      </c>
      <c r="C168" s="324" t="str">
        <f>C167</f>
        <v>Electricity only with CCS</v>
      </c>
      <c r="D168" s="65" t="s">
        <v>8</v>
      </c>
      <c r="E168" s="17">
        <v>37500</v>
      </c>
      <c r="F168" s="18">
        <v>38</v>
      </c>
      <c r="G168" s="40">
        <v>3</v>
      </c>
      <c r="H168" s="19">
        <v>0.90500000000000003</v>
      </c>
      <c r="I168" s="19">
        <v>0.38287441049305598</v>
      </c>
      <c r="J168" s="19">
        <v>0.31024188000000003</v>
      </c>
      <c r="K168" s="19">
        <v>2.7921769200000002</v>
      </c>
      <c r="L168" s="19">
        <v>0</v>
      </c>
      <c r="M168" s="19">
        <v>0.28376250000000003</v>
      </c>
      <c r="N168" s="18">
        <v>2632.25</v>
      </c>
      <c r="O168" s="32">
        <v>52.731587171052645</v>
      </c>
      <c r="P168" s="229">
        <v>5.5423910193126433</v>
      </c>
      <c r="Q168" s="47">
        <v>800</v>
      </c>
      <c r="R168" s="47">
        <v>2169.9486345365544</v>
      </c>
      <c r="S168" s="47">
        <v>2616.2950903902261</v>
      </c>
      <c r="T168" s="54">
        <v>2031</v>
      </c>
    </row>
    <row r="169" spans="1:20" ht="15" customHeight="1" x14ac:dyDescent="0.35">
      <c r="A169" s="326" t="str">
        <f t="shared" si="65"/>
        <v>Diesel oil fired power plants</v>
      </c>
      <c r="B169" s="335" t="str">
        <f t="shared" si="72"/>
        <v>Steam turbine</v>
      </c>
      <c r="C169" s="323" t="s">
        <v>16</v>
      </c>
      <c r="D169" s="61" t="s">
        <v>7</v>
      </c>
      <c r="E169" s="8">
        <v>75000</v>
      </c>
      <c r="F169" s="9">
        <v>38</v>
      </c>
      <c r="G169" s="38">
        <v>3</v>
      </c>
      <c r="H169" s="10">
        <v>0.90500000000000003</v>
      </c>
      <c r="I169" s="10">
        <v>0.36547102819791705</v>
      </c>
      <c r="J169" s="10">
        <v>0.31024188000000003</v>
      </c>
      <c r="K169" s="10">
        <v>2.7921769200000002</v>
      </c>
      <c r="L169" s="10">
        <v>1.2964685287317503</v>
      </c>
      <c r="M169" s="10">
        <v>0.29727500000000001</v>
      </c>
      <c r="N169" s="9">
        <v>2570</v>
      </c>
      <c r="O169" s="30">
        <v>49.940003289473694</v>
      </c>
      <c r="P169" s="226">
        <v>5.4953653957490314</v>
      </c>
      <c r="Q169" s="44">
        <v>1280</v>
      </c>
      <c r="R169" s="44">
        <v>3110</v>
      </c>
      <c r="S169" s="44">
        <v>3700</v>
      </c>
      <c r="T169" s="51">
        <v>2031</v>
      </c>
    </row>
    <row r="170" spans="1:20" ht="15" customHeight="1" x14ac:dyDescent="0.35">
      <c r="A170" s="326" t="str">
        <f t="shared" si="65"/>
        <v>Diesel oil fired power plants</v>
      </c>
      <c r="B170" s="336" t="str">
        <f t="shared" ref="B170:C170" si="75">B169</f>
        <v>Steam turbine</v>
      </c>
      <c r="C170" s="325" t="str">
        <f t="shared" si="75"/>
        <v>CHP with CCS</v>
      </c>
      <c r="D170" s="63" t="s">
        <v>8</v>
      </c>
      <c r="E170" s="20">
        <v>35000</v>
      </c>
      <c r="F170" s="21">
        <v>38</v>
      </c>
      <c r="G170" s="41">
        <v>3</v>
      </c>
      <c r="H170" s="22">
        <v>0.90500000000000003</v>
      </c>
      <c r="I170" s="22">
        <v>0.34806764590277811</v>
      </c>
      <c r="J170" s="22">
        <v>0.31024188000000003</v>
      </c>
      <c r="K170" s="22">
        <v>2.7921769200000002</v>
      </c>
      <c r="L170" s="22">
        <v>1.306175740852439</v>
      </c>
      <c r="M170" s="22">
        <v>0.31213875000000008</v>
      </c>
      <c r="N170" s="21">
        <v>3127.25</v>
      </c>
      <c r="O170" s="33">
        <v>60.768433963815788</v>
      </c>
      <c r="P170" s="230">
        <v>6.6176861069422994</v>
      </c>
      <c r="Q170" s="48">
        <v>915.19999999999993</v>
      </c>
      <c r="R170" s="48">
        <v>2760.2249455471401</v>
      </c>
      <c r="S170" s="48">
        <v>3459.8951058873317</v>
      </c>
      <c r="T170" s="55">
        <v>2031</v>
      </c>
    </row>
    <row r="171" spans="1:20" ht="15" customHeight="1" x14ac:dyDescent="0.35">
      <c r="A171" s="326" t="str">
        <f t="shared" si="65"/>
        <v>Diesel oil fired power plants</v>
      </c>
      <c r="B171" s="334" t="s">
        <v>25</v>
      </c>
      <c r="C171" s="322" t="s">
        <v>6</v>
      </c>
      <c r="D171" s="62" t="s">
        <v>10</v>
      </c>
      <c r="E171" s="11">
        <v>12500</v>
      </c>
      <c r="F171" s="12">
        <v>22</v>
      </c>
      <c r="G171" s="37">
        <v>1</v>
      </c>
      <c r="H171" s="13">
        <v>0.95499999999999996</v>
      </c>
      <c r="I171" s="13">
        <v>0.34250351712332522</v>
      </c>
      <c r="J171" s="13">
        <v>3.1024188000000001</v>
      </c>
      <c r="K171" s="13">
        <v>0</v>
      </c>
      <c r="L171" s="13">
        <v>0</v>
      </c>
      <c r="M171" s="13">
        <v>2.5999999999999999E-2</v>
      </c>
      <c r="N171" s="12">
        <v>474.73819536369791</v>
      </c>
      <c r="O171" s="29">
        <v>7.5526531080588297</v>
      </c>
      <c r="P171" s="227">
        <v>2.3400449254578524</v>
      </c>
      <c r="Q171" s="45">
        <v>50</v>
      </c>
      <c r="R171" s="45">
        <v>600</v>
      </c>
      <c r="S171" s="45">
        <v>750</v>
      </c>
      <c r="T171" s="52">
        <v>2010</v>
      </c>
    </row>
    <row r="172" spans="1:20" ht="15" customHeight="1" x14ac:dyDescent="0.35">
      <c r="A172" s="326" t="str">
        <f t="shared" ref="A172:C172" si="76">A171</f>
        <v>Diesel oil fired power plants</v>
      </c>
      <c r="B172" s="335" t="str">
        <f t="shared" si="76"/>
        <v>Internal combustion engine</v>
      </c>
      <c r="C172" s="324" t="str">
        <f t="shared" si="76"/>
        <v>Electricity only</v>
      </c>
      <c r="D172" s="65" t="s">
        <v>20</v>
      </c>
      <c r="E172" s="17">
        <v>1500</v>
      </c>
      <c r="F172" s="18">
        <v>22</v>
      </c>
      <c r="G172" s="40">
        <v>1</v>
      </c>
      <c r="H172" s="19">
        <v>0.95499999999999996</v>
      </c>
      <c r="I172" s="19">
        <v>0.32618615248766492</v>
      </c>
      <c r="J172" s="19">
        <v>3.1024188000000001</v>
      </c>
      <c r="K172" s="19">
        <v>0</v>
      </c>
      <c r="L172" s="19">
        <v>0</v>
      </c>
      <c r="M172" s="19">
        <v>2.7300000000000001E-2</v>
      </c>
      <c r="N172" s="9">
        <v>439.18448489444876</v>
      </c>
      <c r="O172" s="32">
        <v>6.9870258960480474</v>
      </c>
      <c r="P172" s="229">
        <v>2.1647961660842219</v>
      </c>
      <c r="Q172" s="47">
        <v>0.1</v>
      </c>
      <c r="R172" s="44">
        <v>475</v>
      </c>
      <c r="S172" s="47">
        <v>600</v>
      </c>
      <c r="T172" s="54">
        <v>2010</v>
      </c>
    </row>
    <row r="173" spans="1:20" ht="15" customHeight="1" x14ac:dyDescent="0.35">
      <c r="A173" s="326" t="str">
        <f t="shared" ref="A173:B173" si="77">A172</f>
        <v>Diesel oil fired power plants</v>
      </c>
      <c r="B173" s="335" t="str">
        <f t="shared" si="77"/>
        <v>Internal combustion engine</v>
      </c>
      <c r="C173" s="321" t="s">
        <v>14</v>
      </c>
      <c r="D173" s="61" t="s">
        <v>10</v>
      </c>
      <c r="E173" s="8">
        <v>10000</v>
      </c>
      <c r="F173" s="9">
        <v>22</v>
      </c>
      <c r="G173" s="38">
        <v>1</v>
      </c>
      <c r="H173" s="10">
        <v>0.95499999999999996</v>
      </c>
      <c r="I173" s="10">
        <v>0.31135370178870331</v>
      </c>
      <c r="J173" s="10">
        <v>3.1024188000000001</v>
      </c>
      <c r="K173" s="10">
        <v>0</v>
      </c>
      <c r="L173" s="10">
        <v>0.87</v>
      </c>
      <c r="M173" s="10">
        <v>2.86E-2</v>
      </c>
      <c r="N173" s="15">
        <v>604.79406937786905</v>
      </c>
      <c r="O173" s="30">
        <v>9.140637639460973</v>
      </c>
      <c r="P173" s="226">
        <v>2.9702806938938244</v>
      </c>
      <c r="Q173" s="44">
        <v>100</v>
      </c>
      <c r="R173" s="46">
        <v>547.5</v>
      </c>
      <c r="S173" s="44">
        <v>600</v>
      </c>
      <c r="T173" s="51">
        <v>2010</v>
      </c>
    </row>
    <row r="174" spans="1:20" ht="15" customHeight="1" x14ac:dyDescent="0.35">
      <c r="A174" s="327" t="str">
        <f t="shared" ref="A174:C174" si="78">A173</f>
        <v>Diesel oil fired power plants</v>
      </c>
      <c r="B174" s="336" t="str">
        <f t="shared" si="78"/>
        <v>Internal combustion engine</v>
      </c>
      <c r="C174" s="325" t="str">
        <f t="shared" si="78"/>
        <v>CHP</v>
      </c>
      <c r="D174" s="63" t="s">
        <v>20</v>
      </c>
      <c r="E174" s="20">
        <v>1750</v>
      </c>
      <c r="F174" s="21">
        <v>22</v>
      </c>
      <c r="G174" s="41">
        <v>1</v>
      </c>
      <c r="H174" s="22">
        <v>0.95499999999999996</v>
      </c>
      <c r="I174" s="22">
        <v>0.2965273350368603</v>
      </c>
      <c r="J174" s="22">
        <v>3.1024188000000001</v>
      </c>
      <c r="K174" s="22">
        <v>0</v>
      </c>
      <c r="L174" s="22">
        <v>0.55000000000000004</v>
      </c>
      <c r="M174" s="22">
        <v>3.0030000000000005E-2</v>
      </c>
      <c r="N174" s="21">
        <v>524.19651261160345</v>
      </c>
      <c r="O174" s="33">
        <v>7.9225154746980966</v>
      </c>
      <c r="P174" s="230">
        <v>2.5329132371515808</v>
      </c>
      <c r="Q174" s="48">
        <v>0.2</v>
      </c>
      <c r="R174" s="48">
        <v>432.5</v>
      </c>
      <c r="S174" s="48">
        <v>480</v>
      </c>
      <c r="T174" s="55">
        <v>2010</v>
      </c>
    </row>
    <row r="175" spans="1:20" ht="15" customHeight="1" x14ac:dyDescent="0.35">
      <c r="A175" s="333" t="s">
        <v>29</v>
      </c>
      <c r="B175" s="334" t="s">
        <v>13</v>
      </c>
      <c r="C175" s="322" t="s">
        <v>6</v>
      </c>
      <c r="D175" s="62" t="s">
        <v>7</v>
      </c>
      <c r="E175" s="11">
        <v>300000</v>
      </c>
      <c r="F175" s="12">
        <v>35</v>
      </c>
      <c r="G175" s="37">
        <v>3</v>
      </c>
      <c r="H175" s="13">
        <v>0.90500000000000003</v>
      </c>
      <c r="I175" s="13">
        <v>0.50428643469490664</v>
      </c>
      <c r="J175" s="13">
        <v>3.2405832000000006</v>
      </c>
      <c r="K175" s="13">
        <v>0</v>
      </c>
      <c r="L175" s="13">
        <v>0</v>
      </c>
      <c r="M175" s="13">
        <v>5.8999999999999997E-2</v>
      </c>
      <c r="N175" s="12">
        <v>2380</v>
      </c>
      <c r="O175" s="29">
        <v>53.039999999999992</v>
      </c>
      <c r="P175" s="227">
        <v>6.7760844079718634</v>
      </c>
      <c r="Q175" s="45">
        <v>6450</v>
      </c>
      <c r="R175" s="45">
        <v>7350</v>
      </c>
      <c r="S175" s="45">
        <v>7600</v>
      </c>
      <c r="T175" s="52">
        <v>2010</v>
      </c>
    </row>
    <row r="176" spans="1:20" ht="15" customHeight="1" x14ac:dyDescent="0.35">
      <c r="A176" s="326" t="str">
        <f t="shared" ref="A176:A191" si="79">A175</f>
        <v>Fuel oil fired power plants</v>
      </c>
      <c r="B176" s="335" t="str">
        <f t="shared" ref="B176:B181" si="80">B175</f>
        <v>Integrated gasification combined cycle</v>
      </c>
      <c r="C176" s="324" t="str">
        <f>C175</f>
        <v>Electricity only</v>
      </c>
      <c r="D176" s="61" t="s">
        <v>8</v>
      </c>
      <c r="E176" s="8">
        <v>165000</v>
      </c>
      <c r="F176" s="9">
        <v>35</v>
      </c>
      <c r="G176" s="38">
        <v>3</v>
      </c>
      <c r="H176" s="10">
        <v>0.90500000000000003</v>
      </c>
      <c r="I176" s="10">
        <v>0.48027279494753011</v>
      </c>
      <c r="J176" s="10">
        <v>3.2405832000000006</v>
      </c>
      <c r="K176" s="10">
        <v>0</v>
      </c>
      <c r="L176" s="10">
        <v>0</v>
      </c>
      <c r="M176" s="10">
        <v>6.1949999999999998E-2</v>
      </c>
      <c r="N176" s="9">
        <v>2558.5</v>
      </c>
      <c r="O176" s="30">
        <v>57.017999999999994</v>
      </c>
      <c r="P176" s="226">
        <v>7.2842907385697524</v>
      </c>
      <c r="Q176" s="44">
        <v>4386</v>
      </c>
      <c r="R176" s="44">
        <v>6334.5705963794462</v>
      </c>
      <c r="S176" s="44">
        <v>7035.8306050943647</v>
      </c>
      <c r="T176" s="51">
        <v>2010</v>
      </c>
    </row>
    <row r="177" spans="1:20" ht="15" customHeight="1" x14ac:dyDescent="0.35">
      <c r="A177" s="326" t="str">
        <f t="shared" si="79"/>
        <v>Fuel oil fired power plants</v>
      </c>
      <c r="B177" s="335" t="str">
        <f t="shared" si="80"/>
        <v>Integrated gasification combined cycle</v>
      </c>
      <c r="C177" s="323" t="s">
        <v>14</v>
      </c>
      <c r="D177" s="64" t="s">
        <v>7</v>
      </c>
      <c r="E177" s="14">
        <v>280000</v>
      </c>
      <c r="F177" s="15">
        <v>35</v>
      </c>
      <c r="G177" s="39">
        <v>3</v>
      </c>
      <c r="H177" s="16">
        <v>0.90500000000000003</v>
      </c>
      <c r="I177" s="16">
        <v>0.45844221335900603</v>
      </c>
      <c r="J177" s="16">
        <v>3.2405832000000006</v>
      </c>
      <c r="K177" s="16">
        <v>0</v>
      </c>
      <c r="L177" s="16">
        <v>1.25</v>
      </c>
      <c r="M177" s="16">
        <v>6.4899999999999999E-2</v>
      </c>
      <c r="N177" s="15">
        <v>2750</v>
      </c>
      <c r="O177" s="31">
        <v>59.44714285714285</v>
      </c>
      <c r="P177" s="228">
        <v>7.8142651974374804</v>
      </c>
      <c r="Q177" s="46">
        <v>5160</v>
      </c>
      <c r="R177" s="46">
        <v>6995</v>
      </c>
      <c r="S177" s="46">
        <v>7600</v>
      </c>
      <c r="T177" s="53">
        <v>2010</v>
      </c>
    </row>
    <row r="178" spans="1:20" ht="15" customHeight="1" x14ac:dyDescent="0.35">
      <c r="A178" s="326" t="str">
        <f t="shared" si="79"/>
        <v>Fuel oil fired power plants</v>
      </c>
      <c r="B178" s="335" t="str">
        <f t="shared" si="80"/>
        <v>Integrated gasification combined cycle</v>
      </c>
      <c r="C178" s="324" t="str">
        <f>C177</f>
        <v>CHP</v>
      </c>
      <c r="D178" s="65" t="s">
        <v>8</v>
      </c>
      <c r="E178" s="17">
        <v>150000</v>
      </c>
      <c r="F178" s="18">
        <v>35</v>
      </c>
      <c r="G178" s="40">
        <v>3</v>
      </c>
      <c r="H178" s="19">
        <v>0.90500000000000003</v>
      </c>
      <c r="I178" s="19">
        <v>0.4366116317704819</v>
      </c>
      <c r="J178" s="19">
        <v>3.2405832000000006</v>
      </c>
      <c r="K178" s="19">
        <v>0</v>
      </c>
      <c r="L178" s="19">
        <v>1.25</v>
      </c>
      <c r="M178" s="19">
        <v>6.8144999999999997E-2</v>
      </c>
      <c r="N178" s="18">
        <v>2928.5</v>
      </c>
      <c r="O178" s="32">
        <v>63.305802857142851</v>
      </c>
      <c r="P178" s="229">
        <v>8.3018847140272669</v>
      </c>
      <c r="Q178" s="47">
        <v>3096</v>
      </c>
      <c r="R178" s="47">
        <v>5782.5357589032274</v>
      </c>
      <c r="S178" s="47">
        <v>6861.8914310005002</v>
      </c>
      <c r="T178" s="54">
        <v>2010</v>
      </c>
    </row>
    <row r="179" spans="1:20" ht="15" customHeight="1" x14ac:dyDescent="0.35">
      <c r="A179" s="326" t="str">
        <f t="shared" si="79"/>
        <v>Fuel oil fired power plants</v>
      </c>
      <c r="B179" s="335" t="str">
        <f t="shared" si="80"/>
        <v>Integrated gasification combined cycle</v>
      </c>
      <c r="C179" s="323" t="s">
        <v>15</v>
      </c>
      <c r="D179" s="64" t="s">
        <v>7</v>
      </c>
      <c r="E179" s="14">
        <v>300000</v>
      </c>
      <c r="F179" s="15">
        <v>35</v>
      </c>
      <c r="G179" s="39">
        <v>3</v>
      </c>
      <c r="H179" s="16">
        <v>0.90500000000000003</v>
      </c>
      <c r="I179" s="16">
        <v>0.48027279494753011</v>
      </c>
      <c r="J179" s="16">
        <v>0.32405832000000007</v>
      </c>
      <c r="K179" s="16">
        <v>2.9165248800000003</v>
      </c>
      <c r="L179" s="16">
        <v>0</v>
      </c>
      <c r="M179" s="16">
        <v>0.19174999999999998</v>
      </c>
      <c r="N179" s="15">
        <v>3570</v>
      </c>
      <c r="O179" s="31">
        <v>83.537999999999997</v>
      </c>
      <c r="P179" s="228">
        <v>7.6230949589683465</v>
      </c>
      <c r="Q179" s="46">
        <v>6450</v>
      </c>
      <c r="R179" s="46">
        <v>7350</v>
      </c>
      <c r="S179" s="46">
        <v>7600</v>
      </c>
      <c r="T179" s="53">
        <v>2031</v>
      </c>
    </row>
    <row r="180" spans="1:20" ht="15" customHeight="1" x14ac:dyDescent="0.35">
      <c r="A180" s="326" t="str">
        <f t="shared" si="79"/>
        <v>Fuel oil fired power plants</v>
      </c>
      <c r="B180" s="335" t="str">
        <f t="shared" si="80"/>
        <v>Integrated gasification combined cycle</v>
      </c>
      <c r="C180" s="324" t="str">
        <f>C179</f>
        <v>Electricity only with CCS</v>
      </c>
      <c r="D180" s="65" t="s">
        <v>8</v>
      </c>
      <c r="E180" s="17">
        <v>165000</v>
      </c>
      <c r="F180" s="18">
        <v>35</v>
      </c>
      <c r="G180" s="40">
        <v>3</v>
      </c>
      <c r="H180" s="19">
        <v>0.90500000000000003</v>
      </c>
      <c r="I180" s="19">
        <v>0.45740266185479056</v>
      </c>
      <c r="J180" s="19">
        <v>0.32405832000000007</v>
      </c>
      <c r="K180" s="19">
        <v>2.9165248800000003</v>
      </c>
      <c r="L180" s="19">
        <v>0</v>
      </c>
      <c r="M180" s="19">
        <v>0.20133749999999997</v>
      </c>
      <c r="N180" s="18">
        <v>3808</v>
      </c>
      <c r="O180" s="32">
        <v>89.107199999999992</v>
      </c>
      <c r="P180" s="229">
        <v>8.1313012895662364</v>
      </c>
      <c r="Q180" s="47">
        <v>4386</v>
      </c>
      <c r="R180" s="47">
        <v>6334.5705963794462</v>
      </c>
      <c r="S180" s="47">
        <v>7035.8306050943647</v>
      </c>
      <c r="T180" s="54">
        <v>2031</v>
      </c>
    </row>
    <row r="181" spans="1:20" ht="15" customHeight="1" x14ac:dyDescent="0.35">
      <c r="A181" s="326" t="str">
        <f t="shared" si="79"/>
        <v>Fuel oil fired power plants</v>
      </c>
      <c r="B181" s="335" t="str">
        <f t="shared" si="80"/>
        <v>Integrated gasification combined cycle</v>
      </c>
      <c r="C181" s="323" t="s">
        <v>16</v>
      </c>
      <c r="D181" s="61" t="s">
        <v>7</v>
      </c>
      <c r="E181" s="8">
        <v>280000</v>
      </c>
      <c r="F181" s="9">
        <v>35</v>
      </c>
      <c r="G181" s="38">
        <v>3</v>
      </c>
      <c r="H181" s="10">
        <v>0.90500000000000003</v>
      </c>
      <c r="I181" s="10">
        <v>0.4366116317704819</v>
      </c>
      <c r="J181" s="10">
        <v>0.32405832000000007</v>
      </c>
      <c r="K181" s="10">
        <v>2.9165248800000003</v>
      </c>
      <c r="L181" s="10">
        <v>1.3378453768634202</v>
      </c>
      <c r="M181" s="10">
        <v>0.210925</v>
      </c>
      <c r="N181" s="9">
        <v>3940</v>
      </c>
      <c r="O181" s="30">
        <v>89.430120000000002</v>
      </c>
      <c r="P181" s="226">
        <v>8.3010112926898394</v>
      </c>
      <c r="Q181" s="44">
        <v>5160</v>
      </c>
      <c r="R181" s="44">
        <v>6995</v>
      </c>
      <c r="S181" s="44">
        <v>7600</v>
      </c>
      <c r="T181" s="51">
        <v>2031</v>
      </c>
    </row>
    <row r="182" spans="1:20" ht="15" customHeight="1" x14ac:dyDescent="0.35">
      <c r="A182" s="326" t="str">
        <f t="shared" si="79"/>
        <v>Fuel oil fired power plants</v>
      </c>
      <c r="B182" s="336" t="str">
        <f t="shared" ref="B182:C182" si="81">B181</f>
        <v>Integrated gasification combined cycle</v>
      </c>
      <c r="C182" s="325" t="str">
        <f t="shared" si="81"/>
        <v>CHP with CCS</v>
      </c>
      <c r="D182" s="63" t="s">
        <v>8</v>
      </c>
      <c r="E182" s="20">
        <v>150000</v>
      </c>
      <c r="F182" s="21">
        <v>35</v>
      </c>
      <c r="G182" s="41">
        <v>3</v>
      </c>
      <c r="H182" s="22">
        <v>0.90500000000000003</v>
      </c>
      <c r="I182" s="22">
        <v>0.41582060168617324</v>
      </c>
      <c r="J182" s="22">
        <v>0.32405832000000007</v>
      </c>
      <c r="K182" s="22">
        <v>2.9165248800000003</v>
      </c>
      <c r="L182" s="22">
        <v>1.3431963002571499</v>
      </c>
      <c r="M182" s="22">
        <v>0.22147124999999998</v>
      </c>
      <c r="N182" s="21">
        <v>4178</v>
      </c>
      <c r="O182" s="33">
        <v>94.832244000000003</v>
      </c>
      <c r="P182" s="230">
        <v>8.7894983925023205</v>
      </c>
      <c r="Q182" s="48">
        <v>3096</v>
      </c>
      <c r="R182" s="48">
        <v>5782.5357589032274</v>
      </c>
      <c r="S182" s="48">
        <v>6861.8914310005002</v>
      </c>
      <c r="T182" s="55">
        <v>2031</v>
      </c>
    </row>
    <row r="183" spans="1:20" ht="15" customHeight="1" x14ac:dyDescent="0.35">
      <c r="A183" s="326" t="str">
        <f t="shared" si="79"/>
        <v>Fuel oil fired power plants</v>
      </c>
      <c r="B183" s="334" t="s">
        <v>17</v>
      </c>
      <c r="C183" s="322" t="s">
        <v>6</v>
      </c>
      <c r="D183" s="62" t="s">
        <v>7</v>
      </c>
      <c r="E183" s="11">
        <v>325000</v>
      </c>
      <c r="F183" s="12">
        <v>40</v>
      </c>
      <c r="G183" s="37">
        <v>4</v>
      </c>
      <c r="H183" s="13">
        <v>0.91500000000000004</v>
      </c>
      <c r="I183" s="13">
        <v>0.49019607843137253</v>
      </c>
      <c r="J183" s="13">
        <v>3.2405832000000006</v>
      </c>
      <c r="K183" s="13">
        <v>0</v>
      </c>
      <c r="L183" s="13">
        <v>0</v>
      </c>
      <c r="M183" s="13">
        <v>5.0999999999999997E-2</v>
      </c>
      <c r="N183" s="12">
        <v>1680</v>
      </c>
      <c r="O183" s="29">
        <v>36.96</v>
      </c>
      <c r="P183" s="227">
        <v>5.1699882766705745</v>
      </c>
      <c r="Q183" s="45">
        <v>6600</v>
      </c>
      <c r="R183" s="45">
        <v>7425</v>
      </c>
      <c r="S183" s="45">
        <v>7700</v>
      </c>
      <c r="T183" s="52">
        <v>2010</v>
      </c>
    </row>
    <row r="184" spans="1:20" ht="15" customHeight="1" x14ac:dyDescent="0.35">
      <c r="A184" s="326" t="str">
        <f t="shared" si="79"/>
        <v>Fuel oil fired power plants</v>
      </c>
      <c r="B184" s="335" t="str">
        <f t="shared" ref="B184:B189" si="82">B183</f>
        <v>Supercritical steam turbine</v>
      </c>
      <c r="C184" s="324" t="str">
        <f>C183</f>
        <v>Electricity only</v>
      </c>
      <c r="D184" s="61" t="s">
        <v>8</v>
      </c>
      <c r="E184" s="8">
        <v>175000</v>
      </c>
      <c r="F184" s="9">
        <v>40</v>
      </c>
      <c r="G184" s="38">
        <v>4</v>
      </c>
      <c r="H184" s="10">
        <v>0.91500000000000004</v>
      </c>
      <c r="I184" s="10">
        <v>0.46685340802987857</v>
      </c>
      <c r="J184" s="10">
        <v>3.2405832000000006</v>
      </c>
      <c r="K184" s="10">
        <v>0</v>
      </c>
      <c r="L184" s="10">
        <v>0</v>
      </c>
      <c r="M184" s="10">
        <v>5.355E-2</v>
      </c>
      <c r="N184" s="9">
        <v>1831.2</v>
      </c>
      <c r="O184" s="30">
        <v>40.286400000000008</v>
      </c>
      <c r="P184" s="226">
        <v>5.6352872215709269</v>
      </c>
      <c r="Q184" s="44">
        <v>4752</v>
      </c>
      <c r="R184" s="44">
        <v>6540.6380784965077</v>
      </c>
      <c r="S184" s="44">
        <v>7210.3645768711558</v>
      </c>
      <c r="T184" s="51">
        <v>2010</v>
      </c>
    </row>
    <row r="185" spans="1:20" ht="15" customHeight="1" x14ac:dyDescent="0.35">
      <c r="A185" s="326" t="str">
        <f t="shared" si="79"/>
        <v>Fuel oil fired power plants</v>
      </c>
      <c r="B185" s="335" t="str">
        <f t="shared" si="82"/>
        <v>Supercritical steam turbine</v>
      </c>
      <c r="C185" s="323" t="s">
        <v>14</v>
      </c>
      <c r="D185" s="64" t="s">
        <v>7</v>
      </c>
      <c r="E185" s="14">
        <v>300000</v>
      </c>
      <c r="F185" s="15">
        <v>40</v>
      </c>
      <c r="G185" s="39">
        <v>4</v>
      </c>
      <c r="H185" s="16">
        <v>0.91500000000000004</v>
      </c>
      <c r="I185" s="16">
        <v>0.44563279857397498</v>
      </c>
      <c r="J185" s="16">
        <v>3.2405832000000006</v>
      </c>
      <c r="K185" s="16">
        <v>0</v>
      </c>
      <c r="L185" s="16">
        <v>0.96</v>
      </c>
      <c r="M185" s="16">
        <v>5.6100000000000004E-2</v>
      </c>
      <c r="N185" s="15">
        <v>2075</v>
      </c>
      <c r="O185" s="31">
        <v>44.280500000000004</v>
      </c>
      <c r="P185" s="228">
        <v>6.4802274621236693</v>
      </c>
      <c r="Q185" s="46">
        <v>5280</v>
      </c>
      <c r="R185" s="46">
        <v>7067.5</v>
      </c>
      <c r="S185" s="46">
        <v>7700</v>
      </c>
      <c r="T185" s="53">
        <v>2010</v>
      </c>
    </row>
    <row r="186" spans="1:20" ht="15" customHeight="1" x14ac:dyDescent="0.35">
      <c r="A186" s="326" t="str">
        <f t="shared" si="79"/>
        <v>Fuel oil fired power plants</v>
      </c>
      <c r="B186" s="335" t="str">
        <f t="shared" si="82"/>
        <v>Supercritical steam turbine</v>
      </c>
      <c r="C186" s="324" t="str">
        <f>C185</f>
        <v>CHP</v>
      </c>
      <c r="D186" s="65" t="s">
        <v>8</v>
      </c>
      <c r="E186" s="17">
        <v>160000</v>
      </c>
      <c r="F186" s="18">
        <v>40</v>
      </c>
      <c r="G186" s="40">
        <v>4</v>
      </c>
      <c r="H186" s="19">
        <v>0.91500000000000004</v>
      </c>
      <c r="I186" s="19">
        <v>0.42441218911807133</v>
      </c>
      <c r="J186" s="19">
        <v>3.2405832000000006</v>
      </c>
      <c r="K186" s="19">
        <v>0</v>
      </c>
      <c r="L186" s="19">
        <v>0.96</v>
      </c>
      <c r="M186" s="19">
        <v>5.8905000000000006E-2</v>
      </c>
      <c r="N186" s="18">
        <v>2246.1999999999998</v>
      </c>
      <c r="O186" s="32">
        <v>47.933908000000002</v>
      </c>
      <c r="P186" s="229">
        <v>7.0027968565905807</v>
      </c>
      <c r="Q186" s="47">
        <v>3828</v>
      </c>
      <c r="R186" s="47">
        <v>6263.0785656265452</v>
      </c>
      <c r="S186" s="47">
        <v>7220.3512696991111</v>
      </c>
      <c r="T186" s="54">
        <v>2010</v>
      </c>
    </row>
    <row r="187" spans="1:20" ht="15" customHeight="1" x14ac:dyDescent="0.35">
      <c r="A187" s="326" t="str">
        <f t="shared" si="79"/>
        <v>Fuel oil fired power plants</v>
      </c>
      <c r="B187" s="335" t="str">
        <f t="shared" si="82"/>
        <v>Supercritical steam turbine</v>
      </c>
      <c r="C187" s="323" t="s">
        <v>15</v>
      </c>
      <c r="D187" s="64" t="s">
        <v>7</v>
      </c>
      <c r="E187" s="14">
        <v>325000</v>
      </c>
      <c r="F187" s="15">
        <v>40</v>
      </c>
      <c r="G187" s="39">
        <v>4</v>
      </c>
      <c r="H187" s="16">
        <v>0.91500000000000004</v>
      </c>
      <c r="I187" s="16">
        <v>0.46685340802987857</v>
      </c>
      <c r="J187" s="16">
        <v>0.32405832000000007</v>
      </c>
      <c r="K187" s="16">
        <v>2.9165248800000003</v>
      </c>
      <c r="L187" s="16">
        <v>0</v>
      </c>
      <c r="M187" s="16">
        <v>0.19635</v>
      </c>
      <c r="N187" s="15">
        <v>3192</v>
      </c>
      <c r="O187" s="31">
        <v>73.735200000000006</v>
      </c>
      <c r="P187" s="228">
        <v>9.5644783118405634</v>
      </c>
      <c r="Q187" s="46">
        <v>6600</v>
      </c>
      <c r="R187" s="46">
        <v>7425</v>
      </c>
      <c r="S187" s="46">
        <v>7700</v>
      </c>
      <c r="T187" s="53">
        <v>2031</v>
      </c>
    </row>
    <row r="188" spans="1:20" ht="15" customHeight="1" x14ac:dyDescent="0.35">
      <c r="A188" s="326" t="str">
        <f t="shared" si="79"/>
        <v>Fuel oil fired power plants</v>
      </c>
      <c r="B188" s="335" t="str">
        <f t="shared" si="82"/>
        <v>Supercritical steam turbine</v>
      </c>
      <c r="C188" s="324" t="str">
        <f>C187</f>
        <v>Electricity only with CCS</v>
      </c>
      <c r="D188" s="65" t="s">
        <v>8</v>
      </c>
      <c r="E188" s="17">
        <v>175000</v>
      </c>
      <c r="F188" s="18">
        <v>40</v>
      </c>
      <c r="G188" s="40">
        <v>4</v>
      </c>
      <c r="H188" s="19">
        <v>0.91500000000000004</v>
      </c>
      <c r="I188" s="19">
        <v>0.4446222933617891</v>
      </c>
      <c r="J188" s="19">
        <v>0.32405832000000007</v>
      </c>
      <c r="K188" s="19">
        <v>2.9165248800000003</v>
      </c>
      <c r="L188" s="19">
        <v>0</v>
      </c>
      <c r="M188" s="19">
        <v>0.2061675</v>
      </c>
      <c r="N188" s="18">
        <v>3418.8</v>
      </c>
      <c r="O188" s="32">
        <v>78.974280000000007</v>
      </c>
      <c r="P188" s="229">
        <v>10.244059665576604</v>
      </c>
      <c r="Q188" s="47">
        <v>4752</v>
      </c>
      <c r="R188" s="47">
        <v>6540.6380784965077</v>
      </c>
      <c r="S188" s="47">
        <v>7210.3645768711558</v>
      </c>
      <c r="T188" s="54">
        <v>2031</v>
      </c>
    </row>
    <row r="189" spans="1:20" ht="15" customHeight="1" x14ac:dyDescent="0.35">
      <c r="A189" s="326" t="str">
        <f t="shared" si="79"/>
        <v>Fuel oil fired power plants</v>
      </c>
      <c r="B189" s="335" t="str">
        <f t="shared" si="82"/>
        <v>Supercritical steam turbine</v>
      </c>
      <c r="C189" s="323" t="s">
        <v>16</v>
      </c>
      <c r="D189" s="61" t="s">
        <v>7</v>
      </c>
      <c r="E189" s="8">
        <v>300000</v>
      </c>
      <c r="F189" s="9">
        <v>40</v>
      </c>
      <c r="G189" s="38">
        <v>4</v>
      </c>
      <c r="H189" s="10">
        <v>0.91500000000000004</v>
      </c>
      <c r="I189" s="10">
        <v>0.42441218911807144</v>
      </c>
      <c r="J189" s="10">
        <v>0.32405832000000007</v>
      </c>
      <c r="K189" s="10">
        <v>2.9165248800000003</v>
      </c>
      <c r="L189" s="10">
        <v>1.0339793818295795</v>
      </c>
      <c r="M189" s="10">
        <v>0.21598500000000001</v>
      </c>
      <c r="N189" s="9">
        <v>3587</v>
      </c>
      <c r="O189" s="30">
        <v>80.373909000000012</v>
      </c>
      <c r="P189" s="226">
        <v>10.652746000968179</v>
      </c>
      <c r="Q189" s="44">
        <v>5280</v>
      </c>
      <c r="R189" s="44">
        <v>7067.5</v>
      </c>
      <c r="S189" s="44">
        <v>7700</v>
      </c>
      <c r="T189" s="51">
        <v>2031</v>
      </c>
    </row>
    <row r="190" spans="1:20" ht="15" customHeight="1" x14ac:dyDescent="0.35">
      <c r="A190" s="326" t="str">
        <f t="shared" si="79"/>
        <v>Fuel oil fired power plants</v>
      </c>
      <c r="B190" s="336" t="str">
        <f t="shared" ref="B190:C190" si="83">B189</f>
        <v>Supercritical steam turbine</v>
      </c>
      <c r="C190" s="325" t="str">
        <f t="shared" si="83"/>
        <v>CHP with CCS</v>
      </c>
      <c r="D190" s="63" t="s">
        <v>8</v>
      </c>
      <c r="E190" s="20">
        <v>160000</v>
      </c>
      <c r="F190" s="21">
        <v>40</v>
      </c>
      <c r="G190" s="41">
        <v>4</v>
      </c>
      <c r="H190" s="22">
        <v>0.91500000000000004</v>
      </c>
      <c r="I190" s="22">
        <v>0.40420208487435366</v>
      </c>
      <c r="J190" s="22">
        <v>0.32405832000000007</v>
      </c>
      <c r="K190" s="22">
        <v>2.9165248800000003</v>
      </c>
      <c r="L190" s="22">
        <v>1.0384948394010727</v>
      </c>
      <c r="M190" s="22">
        <v>0.22678425000000002</v>
      </c>
      <c r="N190" s="21">
        <v>3833.8</v>
      </c>
      <c r="O190" s="33">
        <v>85.903956600000015</v>
      </c>
      <c r="P190" s="230">
        <v>11.379717066535054</v>
      </c>
      <c r="Q190" s="48">
        <v>3828</v>
      </c>
      <c r="R190" s="48">
        <v>6263.0785656265452</v>
      </c>
      <c r="S190" s="48">
        <v>7220.3512696991111</v>
      </c>
      <c r="T190" s="55">
        <v>2031</v>
      </c>
    </row>
    <row r="191" spans="1:20" ht="15" customHeight="1" x14ac:dyDescent="0.35">
      <c r="A191" s="326" t="str">
        <f t="shared" si="79"/>
        <v>Fuel oil fired power plants</v>
      </c>
      <c r="B191" s="334" t="s">
        <v>19</v>
      </c>
      <c r="C191" s="322" t="s">
        <v>6</v>
      </c>
      <c r="D191" s="62" t="s">
        <v>7</v>
      </c>
      <c r="E191" s="11">
        <v>275000</v>
      </c>
      <c r="F191" s="12">
        <v>40</v>
      </c>
      <c r="G191" s="37">
        <v>4</v>
      </c>
      <c r="H191" s="13">
        <v>0.92500000000000004</v>
      </c>
      <c r="I191" s="13">
        <v>0.45460068491152039</v>
      </c>
      <c r="J191" s="13">
        <v>3.2405832000000006</v>
      </c>
      <c r="K191" s="13">
        <v>0</v>
      </c>
      <c r="L191" s="13">
        <v>0</v>
      </c>
      <c r="M191" s="13">
        <v>4.8000000000000001E-2</v>
      </c>
      <c r="N191" s="12">
        <v>1357.7976450410306</v>
      </c>
      <c r="O191" s="29">
        <v>21.555037615026361</v>
      </c>
      <c r="P191" s="227">
        <v>4.7753727258183956</v>
      </c>
      <c r="Q191" s="45">
        <v>6200</v>
      </c>
      <c r="R191" s="45">
        <v>6950</v>
      </c>
      <c r="S191" s="45">
        <v>7200</v>
      </c>
      <c r="T191" s="52">
        <v>2010</v>
      </c>
    </row>
    <row r="192" spans="1:20" ht="15" customHeight="1" x14ac:dyDescent="0.35">
      <c r="A192" s="326" t="str">
        <f t="shared" ref="A192:C194" si="84">A191</f>
        <v>Fuel oil fired power plants</v>
      </c>
      <c r="B192" s="335" t="str">
        <f t="shared" si="84"/>
        <v>Steam turbine</v>
      </c>
      <c r="C192" s="321" t="str">
        <f t="shared" si="84"/>
        <v>Electricity only</v>
      </c>
      <c r="D192" s="61" t="s">
        <v>8</v>
      </c>
      <c r="E192" s="8">
        <v>140000</v>
      </c>
      <c r="F192" s="9">
        <v>40</v>
      </c>
      <c r="G192" s="38">
        <v>4</v>
      </c>
      <c r="H192" s="10">
        <v>0.92500000000000004</v>
      </c>
      <c r="I192" s="10">
        <v>0.43295303324906692</v>
      </c>
      <c r="J192" s="10">
        <v>3.2405832000000006</v>
      </c>
      <c r="K192" s="10">
        <v>0</v>
      </c>
      <c r="L192" s="10">
        <v>0</v>
      </c>
      <c r="M192" s="10">
        <v>5.04E-2</v>
      </c>
      <c r="N192" s="9">
        <v>1466.4214566443129</v>
      </c>
      <c r="O192" s="30">
        <v>23.279440624228467</v>
      </c>
      <c r="P192" s="226">
        <v>5.1574025438838671</v>
      </c>
      <c r="Q192" s="44">
        <v>4960</v>
      </c>
      <c r="R192" s="44">
        <v>6373.079357412118</v>
      </c>
      <c r="S192" s="44">
        <v>6885.7379984882664</v>
      </c>
      <c r="T192" s="51">
        <v>2010</v>
      </c>
    </row>
    <row r="193" spans="1:20" ht="15" customHeight="1" x14ac:dyDescent="0.35">
      <c r="A193" s="326" t="str">
        <f t="shared" si="84"/>
        <v>Fuel oil fired power plants</v>
      </c>
      <c r="B193" s="335" t="str">
        <f t="shared" si="84"/>
        <v>Steam turbine</v>
      </c>
      <c r="C193" s="321" t="str">
        <f t="shared" si="84"/>
        <v>Electricity only</v>
      </c>
      <c r="D193" s="61" t="s">
        <v>10</v>
      </c>
      <c r="E193" s="8">
        <v>30000</v>
      </c>
      <c r="F193" s="9">
        <v>40</v>
      </c>
      <c r="G193" s="38">
        <v>3</v>
      </c>
      <c r="H193" s="10">
        <v>0.92500000000000004</v>
      </c>
      <c r="I193" s="10">
        <v>0.41233622214196852</v>
      </c>
      <c r="J193" s="10">
        <v>3.2405832000000006</v>
      </c>
      <c r="K193" s="10">
        <v>0</v>
      </c>
      <c r="L193" s="10">
        <v>0</v>
      </c>
      <c r="M193" s="10">
        <v>5.2920000000000002E-2</v>
      </c>
      <c r="N193" s="9">
        <v>1620.3957095919659</v>
      </c>
      <c r="O193" s="30">
        <v>25.723781889772457</v>
      </c>
      <c r="P193" s="226">
        <v>5.6989298109916753</v>
      </c>
      <c r="Q193" s="44">
        <v>3720</v>
      </c>
      <c r="R193" s="44">
        <v>5716.0430666505054</v>
      </c>
      <c r="S193" s="44">
        <v>6500.7392504215268</v>
      </c>
      <c r="T193" s="51">
        <v>2010</v>
      </c>
    </row>
    <row r="194" spans="1:20" ht="15" customHeight="1" x14ac:dyDescent="0.35">
      <c r="A194" s="326" t="str">
        <f t="shared" si="84"/>
        <v>Fuel oil fired power plants</v>
      </c>
      <c r="B194" s="335" t="str">
        <f t="shared" si="84"/>
        <v>Steam turbine</v>
      </c>
      <c r="C194" s="324" t="str">
        <f t="shared" si="84"/>
        <v>Electricity only</v>
      </c>
      <c r="D194" s="61" t="s">
        <v>20</v>
      </c>
      <c r="E194" s="8">
        <v>2500</v>
      </c>
      <c r="F194" s="9">
        <v>40</v>
      </c>
      <c r="G194" s="38">
        <v>1</v>
      </c>
      <c r="H194" s="10">
        <v>0.92500000000000004</v>
      </c>
      <c r="I194" s="10">
        <v>0.39270116394473192</v>
      </c>
      <c r="J194" s="10">
        <v>3.2405832000000006</v>
      </c>
      <c r="K194" s="10">
        <v>0</v>
      </c>
      <c r="L194" s="10">
        <v>0</v>
      </c>
      <c r="M194" s="10">
        <v>5.5566000000000004E-2</v>
      </c>
      <c r="N194" s="9">
        <v>1944.4748515103588</v>
      </c>
      <c r="O194" s="30">
        <v>30.868538267726947</v>
      </c>
      <c r="P194" s="226">
        <v>6.8387157731900068</v>
      </c>
      <c r="Q194" s="44">
        <v>3162</v>
      </c>
      <c r="R194" s="44">
        <v>5383.0116049566923</v>
      </c>
      <c r="S194" s="44">
        <v>6292.837710810988</v>
      </c>
      <c r="T194" s="51">
        <v>2010</v>
      </c>
    </row>
    <row r="195" spans="1:20" ht="15" customHeight="1" x14ac:dyDescent="0.35">
      <c r="A195" s="326" t="str">
        <f t="shared" ref="A195:B195" si="85">A194</f>
        <v>Fuel oil fired power plants</v>
      </c>
      <c r="B195" s="335" t="str">
        <f t="shared" si="85"/>
        <v>Steam turbine</v>
      </c>
      <c r="C195" s="323" t="s">
        <v>14</v>
      </c>
      <c r="D195" s="64" t="s">
        <v>7</v>
      </c>
      <c r="E195" s="14">
        <v>260000</v>
      </c>
      <c r="F195" s="15">
        <v>40</v>
      </c>
      <c r="G195" s="39">
        <v>4</v>
      </c>
      <c r="H195" s="16">
        <v>0.92500000000000004</v>
      </c>
      <c r="I195" s="16">
        <v>0.41335537634504771</v>
      </c>
      <c r="J195" s="16">
        <v>3.2405832000000006</v>
      </c>
      <c r="K195" s="16">
        <v>0</v>
      </c>
      <c r="L195" s="16">
        <v>1.1499999999999999</v>
      </c>
      <c r="M195" s="16">
        <v>5.2800000000000007E-2</v>
      </c>
      <c r="N195" s="15">
        <v>1859.3431773780922</v>
      </c>
      <c r="O195" s="31">
        <v>28.631560752650891</v>
      </c>
      <c r="P195" s="228">
        <v>6.8063158118692879</v>
      </c>
      <c r="Q195" s="46">
        <v>4960</v>
      </c>
      <c r="R195" s="46">
        <v>6267.5</v>
      </c>
      <c r="S195" s="46">
        <v>6840</v>
      </c>
      <c r="T195" s="53">
        <v>2010</v>
      </c>
    </row>
    <row r="196" spans="1:20" ht="15" customHeight="1" x14ac:dyDescent="0.35">
      <c r="A196" s="326" t="str">
        <f t="shared" ref="A196:C198" si="86">A195</f>
        <v>Fuel oil fired power plants</v>
      </c>
      <c r="B196" s="335" t="str">
        <f t="shared" si="86"/>
        <v>Steam turbine</v>
      </c>
      <c r="C196" s="321" t="str">
        <f t="shared" si="86"/>
        <v>CHP</v>
      </c>
      <c r="D196" s="61" t="s">
        <v>8</v>
      </c>
      <c r="E196" s="8">
        <v>120000</v>
      </c>
      <c r="F196" s="9">
        <v>40</v>
      </c>
      <c r="G196" s="38">
        <v>4</v>
      </c>
      <c r="H196" s="10">
        <v>0.92500000000000004</v>
      </c>
      <c r="I196" s="10">
        <v>0.39367178699528349</v>
      </c>
      <c r="J196" s="10">
        <v>3.2405832000000006</v>
      </c>
      <c r="K196" s="10">
        <v>0</v>
      </c>
      <c r="L196" s="10">
        <v>1.1499999999999999</v>
      </c>
      <c r="M196" s="10">
        <v>5.5440000000000003E-2</v>
      </c>
      <c r="N196" s="9">
        <v>1968.1827780051021</v>
      </c>
      <c r="O196" s="30">
        <v>30.307554552806064</v>
      </c>
      <c r="P196" s="226">
        <v>7.1686685118782218</v>
      </c>
      <c r="Q196" s="44">
        <v>3968</v>
      </c>
      <c r="R196" s="44">
        <v>5761.4043537247144</v>
      </c>
      <c r="S196" s="44">
        <v>6541.4510985638535</v>
      </c>
      <c r="T196" s="51">
        <v>2010</v>
      </c>
    </row>
    <row r="197" spans="1:20" ht="15" customHeight="1" x14ac:dyDescent="0.35">
      <c r="A197" s="326" t="str">
        <f t="shared" si="86"/>
        <v>Fuel oil fired power plants</v>
      </c>
      <c r="B197" s="335" t="str">
        <f t="shared" si="86"/>
        <v>Steam turbine</v>
      </c>
      <c r="C197" s="321" t="str">
        <f t="shared" si="86"/>
        <v>CHP</v>
      </c>
      <c r="D197" s="61" t="s">
        <v>10</v>
      </c>
      <c r="E197" s="8">
        <v>25000</v>
      </c>
      <c r="F197" s="9">
        <v>40</v>
      </c>
      <c r="G197" s="38">
        <v>3</v>
      </c>
      <c r="H197" s="10">
        <v>0.92500000000000004</v>
      </c>
      <c r="I197" s="10">
        <v>0.37492551142407954</v>
      </c>
      <c r="J197" s="10">
        <v>3.2405832000000006</v>
      </c>
      <c r="K197" s="10">
        <v>0</v>
      </c>
      <c r="L197" s="10">
        <v>1.25</v>
      </c>
      <c r="M197" s="10">
        <v>5.8212000000000007E-2</v>
      </c>
      <c r="N197" s="9">
        <v>2482.4579531603645</v>
      </c>
      <c r="O197" s="30">
        <v>38.226749406228159</v>
      </c>
      <c r="P197" s="226">
        <v>9.3458438707670162</v>
      </c>
      <c r="Q197" s="44">
        <v>2976</v>
      </c>
      <c r="R197" s="44">
        <v>5183.6735691740059</v>
      </c>
      <c r="S197" s="44">
        <v>6175.7022879004508</v>
      </c>
      <c r="T197" s="51">
        <v>2010</v>
      </c>
    </row>
    <row r="198" spans="1:20" ht="15" customHeight="1" x14ac:dyDescent="0.35">
      <c r="A198" s="326" t="str">
        <f t="shared" si="86"/>
        <v>Fuel oil fired power plants</v>
      </c>
      <c r="B198" s="335" t="str">
        <f t="shared" si="86"/>
        <v>Steam turbine</v>
      </c>
      <c r="C198" s="324" t="str">
        <f t="shared" si="86"/>
        <v>CHP</v>
      </c>
      <c r="D198" s="65" t="s">
        <v>20</v>
      </c>
      <c r="E198" s="17">
        <v>3000</v>
      </c>
      <c r="F198" s="18">
        <v>40</v>
      </c>
      <c r="G198" s="40">
        <v>1</v>
      </c>
      <c r="H198" s="19">
        <v>0.92500000000000004</v>
      </c>
      <c r="I198" s="19">
        <v>0.35707191564198049</v>
      </c>
      <c r="J198" s="19">
        <v>3.2405832000000006</v>
      </c>
      <c r="K198" s="19">
        <v>0</v>
      </c>
      <c r="L198" s="19">
        <v>1.4</v>
      </c>
      <c r="M198" s="19">
        <v>6.1122600000000013E-2</v>
      </c>
      <c r="N198" s="18">
        <v>2464.0076253059269</v>
      </c>
      <c r="O198" s="32">
        <v>37.942637420179643</v>
      </c>
      <c r="P198" s="229">
        <v>8.8465389244933785</v>
      </c>
      <c r="Q198" s="47">
        <v>2529.6</v>
      </c>
      <c r="R198" s="47">
        <v>4890.2017497537381</v>
      </c>
      <c r="S198" s="47">
        <v>5978.1958252704389</v>
      </c>
      <c r="T198" s="54">
        <v>2010</v>
      </c>
    </row>
    <row r="199" spans="1:20" ht="15" customHeight="1" x14ac:dyDescent="0.35">
      <c r="A199" s="326" t="str">
        <f t="shared" ref="A199:B199" si="87">A198</f>
        <v>Fuel oil fired power plants</v>
      </c>
      <c r="B199" s="335" t="str">
        <f t="shared" si="87"/>
        <v>Steam turbine</v>
      </c>
      <c r="C199" s="323" t="s">
        <v>15</v>
      </c>
      <c r="D199" s="64" t="s">
        <v>7</v>
      </c>
      <c r="E199" s="14">
        <v>275000</v>
      </c>
      <c r="F199" s="15">
        <v>40</v>
      </c>
      <c r="G199" s="39">
        <v>4</v>
      </c>
      <c r="H199" s="16">
        <v>0.92500000000000004</v>
      </c>
      <c r="I199" s="16">
        <v>0.43270374937798833</v>
      </c>
      <c r="J199" s="16">
        <v>0.32405832000000007</v>
      </c>
      <c r="K199" s="16">
        <v>2.9165248800000003</v>
      </c>
      <c r="L199" s="16">
        <v>0</v>
      </c>
      <c r="M199" s="16">
        <v>0.24</v>
      </c>
      <c r="N199" s="15">
        <v>3375</v>
      </c>
      <c r="O199" s="31">
        <v>56.257031249999997</v>
      </c>
      <c r="P199" s="228">
        <v>9.2584994138335279</v>
      </c>
      <c r="Q199" s="46">
        <v>6200</v>
      </c>
      <c r="R199" s="46">
        <v>6950</v>
      </c>
      <c r="S199" s="46">
        <v>7200</v>
      </c>
      <c r="T199" s="53">
        <v>2031</v>
      </c>
    </row>
    <row r="200" spans="1:20" ht="15" customHeight="1" x14ac:dyDescent="0.35">
      <c r="A200" s="326" t="str">
        <f t="shared" ref="A200:C200" si="88">A199</f>
        <v>Fuel oil fired power plants</v>
      </c>
      <c r="B200" s="335" t="str">
        <f t="shared" si="88"/>
        <v>Steam turbine</v>
      </c>
      <c r="C200" s="324" t="str">
        <f t="shared" si="88"/>
        <v>Electricity only with CCS</v>
      </c>
      <c r="D200" s="65" t="s">
        <v>8</v>
      </c>
      <c r="E200" s="17">
        <v>140000</v>
      </c>
      <c r="F200" s="18">
        <v>40</v>
      </c>
      <c r="G200" s="40">
        <v>4</v>
      </c>
      <c r="H200" s="19">
        <v>0.92500000000000004</v>
      </c>
      <c r="I200" s="19">
        <v>0.41209880893141743</v>
      </c>
      <c r="J200" s="19">
        <v>0.32405832000000007</v>
      </c>
      <c r="K200" s="19">
        <v>2.9165248800000003</v>
      </c>
      <c r="L200" s="19">
        <v>0</v>
      </c>
      <c r="M200" s="19">
        <v>0.252</v>
      </c>
      <c r="N200" s="18">
        <v>3971.25</v>
      </c>
      <c r="O200" s="32">
        <v>66.195773437500009</v>
      </c>
      <c r="P200" s="229">
        <v>10.894167643610787</v>
      </c>
      <c r="Q200" s="47">
        <v>4960</v>
      </c>
      <c r="R200" s="47">
        <v>6373.079357412118</v>
      </c>
      <c r="S200" s="47">
        <v>6885.7379984882664</v>
      </c>
      <c r="T200" s="54">
        <v>2031</v>
      </c>
    </row>
    <row r="201" spans="1:20" ht="15" customHeight="1" x14ac:dyDescent="0.35">
      <c r="A201" s="326" t="str">
        <f t="shared" ref="A201:B201" si="89">A200</f>
        <v>Fuel oil fired power plants</v>
      </c>
      <c r="B201" s="335" t="str">
        <f t="shared" si="89"/>
        <v>Steam turbine</v>
      </c>
      <c r="C201" s="323" t="s">
        <v>16</v>
      </c>
      <c r="D201" s="61" t="s">
        <v>7</v>
      </c>
      <c r="E201" s="8">
        <v>260000</v>
      </c>
      <c r="F201" s="9">
        <v>40</v>
      </c>
      <c r="G201" s="38">
        <v>4</v>
      </c>
      <c r="H201" s="10">
        <v>0.92500000000000004</v>
      </c>
      <c r="I201" s="10">
        <v>0.39336704488908025</v>
      </c>
      <c r="J201" s="10">
        <v>0.32405832000000007</v>
      </c>
      <c r="K201" s="10">
        <v>2.9165248800000003</v>
      </c>
      <c r="L201" s="10">
        <v>1.272106261743813</v>
      </c>
      <c r="M201" s="10">
        <v>0.26400000000000001</v>
      </c>
      <c r="N201" s="9">
        <v>3870</v>
      </c>
      <c r="O201" s="30">
        <v>62.572820625000006</v>
      </c>
      <c r="P201" s="226">
        <v>10.575520612586269</v>
      </c>
      <c r="Q201" s="44">
        <v>4960</v>
      </c>
      <c r="R201" s="44">
        <v>6267.5</v>
      </c>
      <c r="S201" s="44">
        <v>6840</v>
      </c>
      <c r="T201" s="51">
        <v>2031</v>
      </c>
    </row>
    <row r="202" spans="1:20" ht="15" customHeight="1" x14ac:dyDescent="0.35">
      <c r="A202" s="327" t="str">
        <f t="shared" ref="A202:C202" si="90">A201</f>
        <v>Fuel oil fired power plants</v>
      </c>
      <c r="B202" s="336" t="str">
        <f t="shared" si="90"/>
        <v>Steam turbine</v>
      </c>
      <c r="C202" s="325" t="str">
        <f t="shared" si="90"/>
        <v>CHP with CCS</v>
      </c>
      <c r="D202" s="63" t="s">
        <v>8</v>
      </c>
      <c r="E202" s="20">
        <v>120000</v>
      </c>
      <c r="F202" s="21">
        <v>40</v>
      </c>
      <c r="G202" s="41">
        <v>4</v>
      </c>
      <c r="H202" s="22">
        <v>0.92500000000000004</v>
      </c>
      <c r="I202" s="22">
        <v>0.37463528084674308</v>
      </c>
      <c r="J202" s="22">
        <v>0.32405832000000007</v>
      </c>
      <c r="K202" s="22">
        <v>2.9165248800000003</v>
      </c>
      <c r="L202" s="22">
        <v>1.2799187548293476</v>
      </c>
      <c r="M202" s="22">
        <v>0.2772</v>
      </c>
      <c r="N202" s="21">
        <v>4466.25</v>
      </c>
      <c r="O202" s="33">
        <v>72.213400546875008</v>
      </c>
      <c r="P202" s="230">
        <v>12.145865669903003</v>
      </c>
      <c r="Q202" s="48">
        <v>3968</v>
      </c>
      <c r="R202" s="48">
        <v>5761.4043537247144</v>
      </c>
      <c r="S202" s="48">
        <v>6541.4510985638535</v>
      </c>
      <c r="T202" s="55">
        <v>2031</v>
      </c>
    </row>
    <row r="203" spans="1:20" ht="15" customHeight="1" x14ac:dyDescent="0.35">
      <c r="A203" s="333" t="s">
        <v>30</v>
      </c>
      <c r="B203" s="334" t="s">
        <v>13</v>
      </c>
      <c r="C203" s="322" t="s">
        <v>6</v>
      </c>
      <c r="D203" s="62" t="s">
        <v>7</v>
      </c>
      <c r="E203" s="11">
        <v>350000</v>
      </c>
      <c r="F203" s="12">
        <v>37</v>
      </c>
      <c r="G203" s="37">
        <v>3</v>
      </c>
      <c r="H203" s="13">
        <v>0.87</v>
      </c>
      <c r="I203" s="13">
        <v>0.44151463995379031</v>
      </c>
      <c r="J203" s="13">
        <v>0</v>
      </c>
      <c r="K203" s="13">
        <v>0</v>
      </c>
      <c r="L203" s="13">
        <v>0</v>
      </c>
      <c r="M203" s="13">
        <v>6.2E-2</v>
      </c>
      <c r="N203" s="12">
        <v>3449.788459210838</v>
      </c>
      <c r="O203" s="29">
        <v>81.582835184040093</v>
      </c>
      <c r="P203" s="227">
        <v>6.5583253874291145</v>
      </c>
      <c r="Q203" s="45">
        <v>6650</v>
      </c>
      <c r="R203" s="45">
        <v>8425</v>
      </c>
      <c r="S203" s="45">
        <v>8650</v>
      </c>
      <c r="T203" s="52">
        <v>2010</v>
      </c>
    </row>
    <row r="204" spans="1:20" ht="15" customHeight="1" x14ac:dyDescent="0.35">
      <c r="A204" s="326" t="str">
        <f t="shared" ref="A204:A223" si="91">A203</f>
        <v>Biomass and waste fired power plants</v>
      </c>
      <c r="B204" s="335" t="str">
        <f t="shared" ref="B204:B209" si="92">B203</f>
        <v>Integrated gasification combined cycle</v>
      </c>
      <c r="C204" s="324" t="str">
        <f>C203</f>
        <v>Electricity only</v>
      </c>
      <c r="D204" s="61" t="s">
        <v>8</v>
      </c>
      <c r="E204" s="8">
        <v>135000</v>
      </c>
      <c r="F204" s="9">
        <v>37</v>
      </c>
      <c r="G204" s="38">
        <v>3</v>
      </c>
      <c r="H204" s="10">
        <v>0.87</v>
      </c>
      <c r="I204" s="10">
        <v>0.42053823190949147</v>
      </c>
      <c r="J204" s="10">
        <v>0</v>
      </c>
      <c r="K204" s="10">
        <v>0</v>
      </c>
      <c r="L204" s="10">
        <v>0</v>
      </c>
      <c r="M204" s="10">
        <v>6.5100000000000005E-2</v>
      </c>
      <c r="N204" s="9">
        <v>3707.6743253832092</v>
      </c>
      <c r="O204" s="30">
        <v>87.681487424602921</v>
      </c>
      <c r="P204" s="226">
        <v>7.0485871652670227</v>
      </c>
      <c r="Q204" s="44">
        <v>4522</v>
      </c>
      <c r="R204" s="44">
        <v>7256.9815829792778</v>
      </c>
      <c r="S204" s="44">
        <v>8007.8861492192436</v>
      </c>
      <c r="T204" s="51">
        <v>2010</v>
      </c>
    </row>
    <row r="205" spans="1:20" ht="15" customHeight="1" x14ac:dyDescent="0.35">
      <c r="A205" s="326" t="str">
        <f t="shared" si="91"/>
        <v>Biomass and waste fired power plants</v>
      </c>
      <c r="B205" s="335" t="str">
        <f t="shared" si="92"/>
        <v>Integrated gasification combined cycle</v>
      </c>
      <c r="C205" s="323" t="s">
        <v>14</v>
      </c>
      <c r="D205" s="64" t="s">
        <v>7</v>
      </c>
      <c r="E205" s="14">
        <v>320000</v>
      </c>
      <c r="F205" s="15">
        <v>37</v>
      </c>
      <c r="G205" s="39">
        <v>3</v>
      </c>
      <c r="H205" s="16">
        <v>0.87</v>
      </c>
      <c r="I205" s="16">
        <v>0.40137599878486757</v>
      </c>
      <c r="J205" s="16">
        <v>0</v>
      </c>
      <c r="K205" s="16">
        <v>0</v>
      </c>
      <c r="L205" s="16">
        <v>1.25</v>
      </c>
      <c r="M205" s="16">
        <v>6.8200000000000011E-2</v>
      </c>
      <c r="N205" s="15">
        <v>3819.783789748602</v>
      </c>
      <c r="O205" s="31">
        <v>87.622743014841248</v>
      </c>
      <c r="P205" s="228">
        <v>7.1707570949525357</v>
      </c>
      <c r="Q205" s="46">
        <v>5320</v>
      </c>
      <c r="R205" s="46">
        <v>8015</v>
      </c>
      <c r="S205" s="46">
        <v>8650</v>
      </c>
      <c r="T205" s="53">
        <v>2010</v>
      </c>
    </row>
    <row r="206" spans="1:20" ht="15" customHeight="1" x14ac:dyDescent="0.35">
      <c r="A206" s="326" t="str">
        <f t="shared" si="91"/>
        <v>Biomass and waste fired power plants</v>
      </c>
      <c r="B206" s="335" t="str">
        <f t="shared" si="92"/>
        <v>Integrated gasification combined cycle</v>
      </c>
      <c r="C206" s="324" t="str">
        <f>C205</f>
        <v>CHP</v>
      </c>
      <c r="D206" s="65" t="s">
        <v>8</v>
      </c>
      <c r="E206" s="17">
        <v>110000</v>
      </c>
      <c r="F206" s="18">
        <v>37</v>
      </c>
      <c r="G206" s="40">
        <v>3</v>
      </c>
      <c r="H206" s="19">
        <v>0.87</v>
      </c>
      <c r="I206" s="19">
        <v>0.38230390568578793</v>
      </c>
      <c r="J206" s="19">
        <v>0</v>
      </c>
      <c r="K206" s="19">
        <v>0</v>
      </c>
      <c r="L206" s="19">
        <v>1.25</v>
      </c>
      <c r="M206" s="19">
        <v>7.1610000000000007E-2</v>
      </c>
      <c r="N206" s="18">
        <v>4077.6433335294359</v>
      </c>
      <c r="O206" s="32">
        <v>93.537831873867816</v>
      </c>
      <c r="P206" s="229">
        <v>7.6418635836080524</v>
      </c>
      <c r="Q206" s="47">
        <v>3192</v>
      </c>
      <c r="R206" s="47">
        <v>6620.8788477079579</v>
      </c>
      <c r="S206" s="47">
        <v>7809.9159050203061</v>
      </c>
      <c r="T206" s="54">
        <v>2010</v>
      </c>
    </row>
    <row r="207" spans="1:20" ht="15" customHeight="1" x14ac:dyDescent="0.35">
      <c r="A207" s="326" t="str">
        <f t="shared" si="91"/>
        <v>Biomass and waste fired power plants</v>
      </c>
      <c r="B207" s="335" t="str">
        <f t="shared" si="92"/>
        <v>Integrated gasification combined cycle</v>
      </c>
      <c r="C207" s="323" t="s">
        <v>15</v>
      </c>
      <c r="D207" s="64" t="s">
        <v>7</v>
      </c>
      <c r="E207" s="14">
        <v>350000</v>
      </c>
      <c r="F207" s="15">
        <v>37</v>
      </c>
      <c r="G207" s="39">
        <v>3</v>
      </c>
      <c r="H207" s="16">
        <v>0.87</v>
      </c>
      <c r="I207" s="16">
        <v>0.42047780653216543</v>
      </c>
      <c r="J207" s="16">
        <v>0</v>
      </c>
      <c r="K207" s="16">
        <v>0</v>
      </c>
      <c r="L207" s="16">
        <v>0</v>
      </c>
      <c r="M207" s="16">
        <v>0.217</v>
      </c>
      <c r="N207" s="15">
        <v>4484.9879498597329</v>
      </c>
      <c r="O207" s="31">
        <v>111.36709943063865</v>
      </c>
      <c r="P207" s="228">
        <v>7.3785486619448042</v>
      </c>
      <c r="Q207" s="46">
        <v>6650</v>
      </c>
      <c r="R207" s="46">
        <v>8425</v>
      </c>
      <c r="S207" s="46">
        <v>8650</v>
      </c>
      <c r="T207" s="53">
        <v>2031</v>
      </c>
    </row>
    <row r="208" spans="1:20" ht="15" customHeight="1" x14ac:dyDescent="0.35">
      <c r="A208" s="326" t="str">
        <f t="shared" si="91"/>
        <v>Biomass and waste fired power plants</v>
      </c>
      <c r="B208" s="335" t="str">
        <f t="shared" si="92"/>
        <v>Integrated gasification combined cycle</v>
      </c>
      <c r="C208" s="324" t="str">
        <f>C207</f>
        <v>Electricity only with CCS</v>
      </c>
      <c r="D208" s="65" t="s">
        <v>8</v>
      </c>
      <c r="E208" s="17">
        <v>135000</v>
      </c>
      <c r="F208" s="18">
        <v>37</v>
      </c>
      <c r="G208" s="40">
        <v>3</v>
      </c>
      <c r="H208" s="19">
        <v>0.87</v>
      </c>
      <c r="I208" s="19">
        <v>0.40045462812851257</v>
      </c>
      <c r="J208" s="19">
        <v>0</v>
      </c>
      <c r="K208" s="19">
        <v>0</v>
      </c>
      <c r="L208" s="19">
        <v>0</v>
      </c>
      <c r="M208" s="19">
        <v>0.22785</v>
      </c>
      <c r="N208" s="18">
        <v>4795.4973115098746</v>
      </c>
      <c r="O208" s="32">
        <v>119.07738256620804</v>
      </c>
      <c r="P208" s="229">
        <v>7.8893880355481691</v>
      </c>
      <c r="Q208" s="47">
        <v>4522</v>
      </c>
      <c r="R208" s="47">
        <v>7256.9815829792778</v>
      </c>
      <c r="S208" s="47">
        <v>8007.8861492192436</v>
      </c>
      <c r="T208" s="54">
        <v>2031</v>
      </c>
    </row>
    <row r="209" spans="1:20" ht="15" customHeight="1" x14ac:dyDescent="0.35">
      <c r="A209" s="326" t="str">
        <f t="shared" si="91"/>
        <v>Biomass and waste fired power plants</v>
      </c>
      <c r="B209" s="335" t="str">
        <f t="shared" si="92"/>
        <v>Integrated gasification combined cycle</v>
      </c>
      <c r="C209" s="323" t="s">
        <v>16</v>
      </c>
      <c r="D209" s="61" t="s">
        <v>7</v>
      </c>
      <c r="E209" s="8">
        <v>320000</v>
      </c>
      <c r="F209" s="9">
        <v>37</v>
      </c>
      <c r="G209" s="38">
        <v>3</v>
      </c>
      <c r="H209" s="10">
        <v>0.87</v>
      </c>
      <c r="I209" s="10">
        <v>0.38225251826302808</v>
      </c>
      <c r="J209" s="10">
        <v>0</v>
      </c>
      <c r="K209" s="10">
        <v>0</v>
      </c>
      <c r="L209" s="10">
        <v>1.3552417229498923</v>
      </c>
      <c r="M209" s="10">
        <v>0.23870000000000002</v>
      </c>
      <c r="N209" s="9">
        <v>4854.9877973208268</v>
      </c>
      <c r="O209" s="30">
        <v>116.93795777364473</v>
      </c>
      <c r="P209" s="226">
        <v>7.8427644668265968</v>
      </c>
      <c r="Q209" s="44">
        <v>5320</v>
      </c>
      <c r="R209" s="44">
        <v>8015</v>
      </c>
      <c r="S209" s="44">
        <v>8650</v>
      </c>
      <c r="T209" s="51">
        <v>2031</v>
      </c>
    </row>
    <row r="210" spans="1:20" ht="15" customHeight="1" x14ac:dyDescent="0.35">
      <c r="A210" s="326" t="str">
        <f t="shared" si="91"/>
        <v>Biomass and waste fired power plants</v>
      </c>
      <c r="B210" s="336" t="str">
        <f t="shared" ref="B210:C210" si="93">B209</f>
        <v>Integrated gasification combined cycle</v>
      </c>
      <c r="C210" s="325" t="str">
        <f t="shared" si="93"/>
        <v>CHP with CCS</v>
      </c>
      <c r="D210" s="63" t="s">
        <v>8</v>
      </c>
      <c r="E210" s="20">
        <v>110000</v>
      </c>
      <c r="F210" s="21">
        <v>37</v>
      </c>
      <c r="G210" s="41">
        <v>3</v>
      </c>
      <c r="H210" s="22">
        <v>0.87</v>
      </c>
      <c r="I210" s="22">
        <v>0.3640496502723583</v>
      </c>
      <c r="J210" s="22">
        <v>0</v>
      </c>
      <c r="K210" s="22">
        <v>0</v>
      </c>
      <c r="L210" s="22">
        <v>1.3618360691139002</v>
      </c>
      <c r="M210" s="22">
        <v>0.250635</v>
      </c>
      <c r="N210" s="21">
        <v>5165.4974350401835</v>
      </c>
      <c r="O210" s="33">
        <v>124.41693906459119</v>
      </c>
      <c r="P210" s="230">
        <v>8.3340499869212934</v>
      </c>
      <c r="Q210" s="48">
        <v>3192</v>
      </c>
      <c r="R210" s="48">
        <v>6620.8788477079579</v>
      </c>
      <c r="S210" s="48">
        <v>7809.9159050203061</v>
      </c>
      <c r="T210" s="55">
        <v>2031</v>
      </c>
    </row>
    <row r="211" spans="1:20" ht="15" customHeight="1" x14ac:dyDescent="0.35">
      <c r="A211" s="326" t="str">
        <f t="shared" si="91"/>
        <v>Biomass and waste fired power plants</v>
      </c>
      <c r="B211" s="334" t="s">
        <v>18</v>
      </c>
      <c r="C211" s="322" t="s">
        <v>6</v>
      </c>
      <c r="D211" s="62" t="s">
        <v>7</v>
      </c>
      <c r="E211" s="11">
        <v>325000</v>
      </c>
      <c r="F211" s="12">
        <v>42</v>
      </c>
      <c r="G211" s="37">
        <v>2</v>
      </c>
      <c r="H211" s="13">
        <v>0.86499999999999999</v>
      </c>
      <c r="I211" s="13">
        <v>0.3891374003568539</v>
      </c>
      <c r="J211" s="13">
        <v>0</v>
      </c>
      <c r="K211" s="13">
        <v>0</v>
      </c>
      <c r="L211" s="13">
        <v>0</v>
      </c>
      <c r="M211" s="13">
        <v>6.8000000000000005E-2</v>
      </c>
      <c r="N211" s="12">
        <v>2579.2853060269194</v>
      </c>
      <c r="O211" s="29">
        <v>54.656283865808518</v>
      </c>
      <c r="P211" s="227">
        <v>5.7595831095336774</v>
      </c>
      <c r="Q211" s="45">
        <v>5500</v>
      </c>
      <c r="R211" s="45">
        <v>7000</v>
      </c>
      <c r="S211" s="45">
        <v>7500</v>
      </c>
      <c r="T211" s="52">
        <v>2010</v>
      </c>
    </row>
    <row r="212" spans="1:20" ht="15" customHeight="1" x14ac:dyDescent="0.35">
      <c r="A212" s="326" t="str">
        <f t="shared" si="91"/>
        <v>Biomass and waste fired power plants</v>
      </c>
      <c r="B212" s="335" t="str">
        <f t="shared" ref="B212:B221" si="94">B211</f>
        <v>Fluidized bed combustion</v>
      </c>
      <c r="C212" s="321" t="str">
        <f t="shared" ref="C212:C214" si="95">C211</f>
        <v>Electricity only</v>
      </c>
      <c r="D212" s="61" t="s">
        <v>8</v>
      </c>
      <c r="E212" s="8">
        <v>100000</v>
      </c>
      <c r="F212" s="9">
        <v>42</v>
      </c>
      <c r="G212" s="38">
        <v>2</v>
      </c>
      <c r="H212" s="10">
        <v>0.86499999999999999</v>
      </c>
      <c r="I212" s="10">
        <v>0.37063492079925314</v>
      </c>
      <c r="J212" s="10">
        <v>0</v>
      </c>
      <c r="K212" s="10">
        <v>0</v>
      </c>
      <c r="L212" s="10">
        <v>0</v>
      </c>
      <c r="M212" s="10">
        <v>7.1400000000000005E-2</v>
      </c>
      <c r="N212" s="9">
        <v>2784.9299002395774</v>
      </c>
      <c r="O212" s="30">
        <v>59.013990743171988</v>
      </c>
      <c r="P212" s="226">
        <v>6.2187905995412889</v>
      </c>
      <c r="Q212" s="44">
        <v>4400</v>
      </c>
      <c r="R212" s="44">
        <v>6429.0632664651621</v>
      </c>
      <c r="S212" s="44">
        <v>7172.6437484252774</v>
      </c>
      <c r="T212" s="51">
        <v>2010</v>
      </c>
    </row>
    <row r="213" spans="1:20" ht="15" customHeight="1" x14ac:dyDescent="0.35">
      <c r="A213" s="326" t="str">
        <f t="shared" si="91"/>
        <v>Biomass and waste fired power plants</v>
      </c>
      <c r="B213" s="335" t="str">
        <f t="shared" si="94"/>
        <v>Fluidized bed combustion</v>
      </c>
      <c r="C213" s="321" t="str">
        <f t="shared" si="95"/>
        <v>Electricity only</v>
      </c>
      <c r="D213" s="61" t="s">
        <v>10</v>
      </c>
      <c r="E213" s="8">
        <v>15000</v>
      </c>
      <c r="F213" s="9">
        <v>42</v>
      </c>
      <c r="G213" s="38">
        <v>2</v>
      </c>
      <c r="H213" s="10">
        <v>0.86499999999999999</v>
      </c>
      <c r="I213" s="10">
        <v>0.3530483492932171</v>
      </c>
      <c r="J213" s="10">
        <v>0</v>
      </c>
      <c r="K213" s="10">
        <v>0</v>
      </c>
      <c r="L213" s="10">
        <v>0</v>
      </c>
      <c r="M213" s="10">
        <v>7.4970000000000009E-2</v>
      </c>
      <c r="N213" s="9">
        <v>3075.525864628727</v>
      </c>
      <c r="O213" s="30">
        <v>65.171857607608729</v>
      </c>
      <c r="P213" s="226">
        <v>6.8676957843548871</v>
      </c>
      <c r="Q213" s="44">
        <v>3300</v>
      </c>
      <c r="R213" s="44">
        <v>5777.8729420858372</v>
      </c>
      <c r="S213" s="44">
        <v>6771.6033858557576</v>
      </c>
      <c r="T213" s="51">
        <v>2010</v>
      </c>
    </row>
    <row r="214" spans="1:20" ht="15" customHeight="1" x14ac:dyDescent="0.35">
      <c r="A214" s="326" t="str">
        <f t="shared" si="91"/>
        <v>Biomass and waste fired power plants</v>
      </c>
      <c r="B214" s="335" t="str">
        <f t="shared" si="94"/>
        <v>Fluidized bed combustion</v>
      </c>
      <c r="C214" s="324" t="str">
        <f t="shared" si="95"/>
        <v>Electricity only</v>
      </c>
      <c r="D214" s="61" t="s">
        <v>20</v>
      </c>
      <c r="E214" s="8">
        <v>2000</v>
      </c>
      <c r="F214" s="9">
        <v>42</v>
      </c>
      <c r="G214" s="38">
        <v>1</v>
      </c>
      <c r="H214" s="10">
        <v>0.86499999999999999</v>
      </c>
      <c r="I214" s="10">
        <v>0.33626013374178398</v>
      </c>
      <c r="J214" s="10">
        <v>0</v>
      </c>
      <c r="K214" s="10">
        <v>0</v>
      </c>
      <c r="L214" s="10">
        <v>0</v>
      </c>
      <c r="M214" s="10">
        <v>7.8718500000000011E-2</v>
      </c>
      <c r="N214" s="9">
        <v>3689.7673124562007</v>
      </c>
      <c r="O214" s="30">
        <v>78.187926383000431</v>
      </c>
      <c r="P214" s="226">
        <v>8.2393062300144031</v>
      </c>
      <c r="Q214" s="44">
        <v>2805</v>
      </c>
      <c r="R214" s="44">
        <v>5447.348427925418</v>
      </c>
      <c r="S214" s="44">
        <v>6555.03928209478</v>
      </c>
      <c r="T214" s="51">
        <v>2010</v>
      </c>
    </row>
    <row r="215" spans="1:20" ht="15" customHeight="1" x14ac:dyDescent="0.35">
      <c r="A215" s="326" t="str">
        <f t="shared" si="91"/>
        <v>Biomass and waste fired power plants</v>
      </c>
      <c r="B215" s="335" t="str">
        <f t="shared" si="94"/>
        <v>Fluidized bed combustion</v>
      </c>
      <c r="C215" s="323" t="s">
        <v>14</v>
      </c>
      <c r="D215" s="64" t="s">
        <v>7</v>
      </c>
      <c r="E215" s="14">
        <v>300000</v>
      </c>
      <c r="F215" s="15">
        <v>42</v>
      </c>
      <c r="G215" s="39">
        <v>2</v>
      </c>
      <c r="H215" s="16">
        <v>0.86499999999999999</v>
      </c>
      <c r="I215" s="16">
        <v>0.35374134403983204</v>
      </c>
      <c r="J215" s="16">
        <v>0</v>
      </c>
      <c r="K215" s="16">
        <v>0</v>
      </c>
      <c r="L215" s="16">
        <v>1.35</v>
      </c>
      <c r="M215" s="16">
        <v>7.4800000000000005E-2</v>
      </c>
      <c r="N215" s="15">
        <v>2959.7357899376425</v>
      </c>
      <c r="O215" s="31">
        <v>60.836664463170628</v>
      </c>
      <c r="P215" s="228">
        <v>6.5845678727397559</v>
      </c>
      <c r="Q215" s="46">
        <v>4400</v>
      </c>
      <c r="R215" s="46">
        <v>6325</v>
      </c>
      <c r="S215" s="46">
        <v>7125</v>
      </c>
      <c r="T215" s="53">
        <v>2010</v>
      </c>
    </row>
    <row r="216" spans="1:20" ht="15" customHeight="1" x14ac:dyDescent="0.35">
      <c r="A216" s="326" t="str">
        <f t="shared" si="91"/>
        <v>Biomass and waste fired power plants</v>
      </c>
      <c r="B216" s="335" t="str">
        <f t="shared" si="94"/>
        <v>Fluidized bed combustion</v>
      </c>
      <c r="C216" s="321" t="str">
        <f t="shared" ref="C216:C218" si="96">C215</f>
        <v>CHP</v>
      </c>
      <c r="D216" s="61" t="s">
        <v>8</v>
      </c>
      <c r="E216" s="8">
        <v>85000</v>
      </c>
      <c r="F216" s="9">
        <v>42</v>
      </c>
      <c r="G216" s="38">
        <v>2</v>
      </c>
      <c r="H216" s="10">
        <v>0.86499999999999999</v>
      </c>
      <c r="I216" s="10">
        <v>0.33690729264912728</v>
      </c>
      <c r="J216" s="10">
        <v>0</v>
      </c>
      <c r="K216" s="10">
        <v>0</v>
      </c>
      <c r="L216" s="10">
        <v>1.35</v>
      </c>
      <c r="M216" s="10">
        <v>7.8540000000000013E-2</v>
      </c>
      <c r="N216" s="9">
        <v>3165.7798642082907</v>
      </c>
      <c r="O216" s="30">
        <v>65.071851351690881</v>
      </c>
      <c r="P216" s="226">
        <v>7.0261533544380432</v>
      </c>
      <c r="Q216" s="44">
        <v>3520</v>
      </c>
      <c r="R216" s="44">
        <v>5823.335963916652</v>
      </c>
      <c r="S216" s="44">
        <v>6814.0115610040139</v>
      </c>
      <c r="T216" s="51">
        <v>2010</v>
      </c>
    </row>
    <row r="217" spans="1:20" ht="15" customHeight="1" x14ac:dyDescent="0.35">
      <c r="A217" s="326" t="str">
        <f t="shared" si="91"/>
        <v>Biomass and waste fired power plants</v>
      </c>
      <c r="B217" s="335" t="str">
        <f t="shared" si="94"/>
        <v>Fluidized bed combustion</v>
      </c>
      <c r="C217" s="321" t="str">
        <f t="shared" si="96"/>
        <v>CHP</v>
      </c>
      <c r="D217" s="61" t="s">
        <v>10</v>
      </c>
      <c r="E217" s="8">
        <v>17500</v>
      </c>
      <c r="F217" s="9">
        <v>42</v>
      </c>
      <c r="G217" s="38">
        <v>2</v>
      </c>
      <c r="H217" s="10">
        <v>0.86499999999999999</v>
      </c>
      <c r="I217" s="10">
        <v>0.32089120202367205</v>
      </c>
      <c r="J217" s="10">
        <v>0</v>
      </c>
      <c r="K217" s="10">
        <v>0</v>
      </c>
      <c r="L217" s="10">
        <v>1.52</v>
      </c>
      <c r="M217" s="10">
        <v>8.2467000000000013E-2</v>
      </c>
      <c r="N217" s="9">
        <v>3497.3015319691458</v>
      </c>
      <c r="O217" s="30">
        <v>71.886200298784843</v>
      </c>
      <c r="P217" s="226">
        <v>7.7619902575195301</v>
      </c>
      <c r="Q217" s="44">
        <v>2640</v>
      </c>
      <c r="R217" s="44">
        <v>5249.7721700657494</v>
      </c>
      <c r="S217" s="44">
        <v>6433.0232165629695</v>
      </c>
      <c r="T217" s="51">
        <v>2010</v>
      </c>
    </row>
    <row r="218" spans="1:20" ht="15" customHeight="1" x14ac:dyDescent="0.35">
      <c r="A218" s="326" t="str">
        <f t="shared" si="91"/>
        <v>Biomass and waste fired power plants</v>
      </c>
      <c r="B218" s="335" t="str">
        <f t="shared" si="94"/>
        <v>Fluidized bed combustion</v>
      </c>
      <c r="C218" s="324" t="str">
        <f t="shared" si="96"/>
        <v>CHP</v>
      </c>
      <c r="D218" s="65" t="s">
        <v>20</v>
      </c>
      <c r="E218" s="17">
        <v>3000</v>
      </c>
      <c r="F218" s="18">
        <v>42</v>
      </c>
      <c r="G218" s="40">
        <v>1</v>
      </c>
      <c r="H218" s="19">
        <v>0.86499999999999999</v>
      </c>
      <c r="I218" s="19">
        <v>0.30562011014328394</v>
      </c>
      <c r="J218" s="19">
        <v>0</v>
      </c>
      <c r="K218" s="19">
        <v>0</v>
      </c>
      <c r="L218" s="19">
        <v>1.6</v>
      </c>
      <c r="M218" s="19">
        <v>8.6590350000000024E-2</v>
      </c>
      <c r="N218" s="18">
        <v>4162.3494157373161</v>
      </c>
      <c r="O218" s="32">
        <v>85.556101204905332</v>
      </c>
      <c r="P218" s="229">
        <v>9.2192540690540969</v>
      </c>
      <c r="Q218" s="47">
        <v>2244</v>
      </c>
      <c r="R218" s="47">
        <v>4957.9981278413443</v>
      </c>
      <c r="S218" s="47">
        <v>6227.2873179900407</v>
      </c>
      <c r="T218" s="54">
        <v>2010</v>
      </c>
    </row>
    <row r="219" spans="1:20" ht="15" customHeight="1" x14ac:dyDescent="0.35">
      <c r="A219" s="326" t="str">
        <f t="shared" si="91"/>
        <v>Biomass and waste fired power plants</v>
      </c>
      <c r="B219" s="335" t="str">
        <f t="shared" si="94"/>
        <v>Fluidized bed combustion</v>
      </c>
      <c r="C219" s="323" t="s">
        <v>15</v>
      </c>
      <c r="D219" s="64" t="s">
        <v>7</v>
      </c>
      <c r="E219" s="14">
        <v>325000</v>
      </c>
      <c r="F219" s="15">
        <v>42</v>
      </c>
      <c r="G219" s="39">
        <v>2</v>
      </c>
      <c r="H219" s="16">
        <v>0.86499999999999999</v>
      </c>
      <c r="I219" s="16">
        <v>0.37057624606262735</v>
      </c>
      <c r="J219" s="16">
        <v>0</v>
      </c>
      <c r="K219" s="16">
        <v>0</v>
      </c>
      <c r="L219" s="16">
        <v>0</v>
      </c>
      <c r="M219" s="16">
        <v>0.255</v>
      </c>
      <c r="N219" s="15">
        <v>5095.5</v>
      </c>
      <c r="O219" s="31">
        <v>113.37487499999999</v>
      </c>
      <c r="P219" s="228">
        <v>10.514151733377993</v>
      </c>
      <c r="Q219" s="46">
        <v>5500</v>
      </c>
      <c r="R219" s="46">
        <v>7000</v>
      </c>
      <c r="S219" s="46">
        <v>7500</v>
      </c>
      <c r="T219" s="53">
        <v>2031</v>
      </c>
    </row>
    <row r="220" spans="1:20" ht="15" customHeight="1" x14ac:dyDescent="0.35">
      <c r="A220" s="326" t="str">
        <f t="shared" si="91"/>
        <v>Biomass and waste fired power plants</v>
      </c>
      <c r="B220" s="335" t="str">
        <f t="shared" si="94"/>
        <v>Fluidized bed combustion</v>
      </c>
      <c r="C220" s="324" t="str">
        <f>C219</f>
        <v>Electricity only with CCS</v>
      </c>
      <c r="D220" s="65" t="s">
        <v>8</v>
      </c>
      <c r="E220" s="17">
        <v>100000</v>
      </c>
      <c r="F220" s="18">
        <v>42</v>
      </c>
      <c r="G220" s="40">
        <v>2</v>
      </c>
      <c r="H220" s="19">
        <v>0.86499999999999999</v>
      </c>
      <c r="I220" s="19">
        <v>0.3529297581548832</v>
      </c>
      <c r="J220" s="19">
        <v>0</v>
      </c>
      <c r="K220" s="19">
        <v>0</v>
      </c>
      <c r="L220" s="19">
        <v>0</v>
      </c>
      <c r="M220" s="19">
        <v>0.26775000000000004</v>
      </c>
      <c r="N220" s="18">
        <v>5601.2749999999996</v>
      </c>
      <c r="O220" s="32">
        <v>124.62836874999996</v>
      </c>
      <c r="P220" s="229">
        <v>11.557777499828635</v>
      </c>
      <c r="Q220" s="47">
        <v>4400</v>
      </c>
      <c r="R220" s="47">
        <v>6429.0632664651621</v>
      </c>
      <c r="S220" s="47">
        <v>7172.6437484252774</v>
      </c>
      <c r="T220" s="54">
        <v>2031</v>
      </c>
    </row>
    <row r="221" spans="1:20" ht="15" customHeight="1" x14ac:dyDescent="0.35">
      <c r="A221" s="326" t="str">
        <f t="shared" si="91"/>
        <v>Biomass and waste fired power plants</v>
      </c>
      <c r="B221" s="335" t="str">
        <f t="shared" si="94"/>
        <v>Fluidized bed combustion</v>
      </c>
      <c r="C221" s="323" t="s">
        <v>16</v>
      </c>
      <c r="D221" s="61" t="s">
        <v>7</v>
      </c>
      <c r="E221" s="8">
        <v>300000</v>
      </c>
      <c r="F221" s="9">
        <v>42</v>
      </c>
      <c r="G221" s="38">
        <v>2</v>
      </c>
      <c r="H221" s="10">
        <v>0.86499999999999999</v>
      </c>
      <c r="I221" s="10">
        <v>0.33688749642057036</v>
      </c>
      <c r="J221" s="10">
        <v>0</v>
      </c>
      <c r="K221" s="10">
        <v>0</v>
      </c>
      <c r="L221" s="10">
        <v>1.4928483719094532</v>
      </c>
      <c r="M221" s="10">
        <v>0.28050000000000003</v>
      </c>
      <c r="N221" s="9">
        <v>5475.5</v>
      </c>
      <c r="O221" s="30">
        <v>118.17497875000001</v>
      </c>
      <c r="P221" s="226">
        <v>11.073505602906007</v>
      </c>
      <c r="Q221" s="44">
        <v>4400</v>
      </c>
      <c r="R221" s="44">
        <v>6325</v>
      </c>
      <c r="S221" s="44">
        <v>7125</v>
      </c>
      <c r="T221" s="51">
        <v>2031</v>
      </c>
    </row>
    <row r="222" spans="1:20" ht="15" customHeight="1" x14ac:dyDescent="0.35">
      <c r="A222" s="326" t="str">
        <f t="shared" si="91"/>
        <v>Biomass and waste fired power plants</v>
      </c>
      <c r="B222" s="336" t="str">
        <f t="shared" ref="B222:C222" si="97">B221</f>
        <v>Fluidized bed combustion</v>
      </c>
      <c r="C222" s="325" t="str">
        <f t="shared" si="97"/>
        <v>CHP with CCS</v>
      </c>
      <c r="D222" s="63" t="s">
        <v>8</v>
      </c>
      <c r="E222" s="20">
        <v>85000</v>
      </c>
      <c r="F222" s="21">
        <v>42</v>
      </c>
      <c r="G222" s="41">
        <v>2</v>
      </c>
      <c r="H222" s="22">
        <v>0.86499999999999999</v>
      </c>
      <c r="I222" s="22">
        <v>0.32084523468625742</v>
      </c>
      <c r="J222" s="22">
        <v>0</v>
      </c>
      <c r="K222" s="22">
        <v>0</v>
      </c>
      <c r="L222" s="22">
        <v>1.5022136786913562</v>
      </c>
      <c r="M222" s="22">
        <v>0.29452500000000009</v>
      </c>
      <c r="N222" s="21">
        <v>5981.2749999999996</v>
      </c>
      <c r="O222" s="33">
        <v>129.09086768750001</v>
      </c>
      <c r="P222" s="230">
        <v>12.077376110654852</v>
      </c>
      <c r="Q222" s="48">
        <v>3520</v>
      </c>
      <c r="R222" s="48">
        <v>5823.335963916652</v>
      </c>
      <c r="S222" s="48">
        <v>6814.0115610040139</v>
      </c>
      <c r="T222" s="55">
        <v>2031</v>
      </c>
    </row>
    <row r="223" spans="1:20" ht="15" customHeight="1" x14ac:dyDescent="0.35">
      <c r="A223" s="326" t="str">
        <f t="shared" si="91"/>
        <v>Biomass and waste fired power plants</v>
      </c>
      <c r="B223" s="334" t="s">
        <v>19</v>
      </c>
      <c r="C223" s="322" t="s">
        <v>6</v>
      </c>
      <c r="D223" s="62" t="s">
        <v>7</v>
      </c>
      <c r="E223" s="11">
        <v>200000</v>
      </c>
      <c r="F223" s="12">
        <v>42</v>
      </c>
      <c r="G223" s="37">
        <v>2</v>
      </c>
      <c r="H223" s="13">
        <v>0.89</v>
      </c>
      <c r="I223" s="13">
        <v>0.39366995586322751</v>
      </c>
      <c r="J223" s="13">
        <v>0</v>
      </c>
      <c r="K223" s="13">
        <v>0</v>
      </c>
      <c r="L223" s="13">
        <v>0</v>
      </c>
      <c r="M223" s="13">
        <v>7.0000000000000007E-2</v>
      </c>
      <c r="N223" s="12">
        <v>2391.8932403107092</v>
      </c>
      <c r="O223" s="29">
        <v>41.288633314887242</v>
      </c>
      <c r="P223" s="227">
        <v>5.508044222788854</v>
      </c>
      <c r="Q223" s="45">
        <v>4750</v>
      </c>
      <c r="R223" s="45">
        <v>6300</v>
      </c>
      <c r="S223" s="45">
        <v>6600</v>
      </c>
      <c r="T223" s="52">
        <v>2010</v>
      </c>
    </row>
    <row r="224" spans="1:20" ht="15" customHeight="1" x14ac:dyDescent="0.35">
      <c r="A224" s="326" t="str">
        <f t="shared" ref="A224:C226" si="98">A223</f>
        <v>Biomass and waste fired power plants</v>
      </c>
      <c r="B224" s="335" t="str">
        <f t="shared" si="98"/>
        <v>Steam turbine</v>
      </c>
      <c r="C224" s="321" t="str">
        <f t="shared" si="98"/>
        <v>Electricity only</v>
      </c>
      <c r="D224" s="61" t="s">
        <v>8</v>
      </c>
      <c r="E224" s="8">
        <v>70000</v>
      </c>
      <c r="F224" s="9">
        <v>42</v>
      </c>
      <c r="G224" s="38">
        <v>2</v>
      </c>
      <c r="H224" s="10">
        <v>0.89</v>
      </c>
      <c r="I224" s="10">
        <v>0.37485751541613943</v>
      </c>
      <c r="J224" s="10">
        <v>0</v>
      </c>
      <c r="K224" s="10">
        <v>0</v>
      </c>
      <c r="L224" s="10">
        <v>0</v>
      </c>
      <c r="M224" s="10">
        <v>7.350000000000001E-2</v>
      </c>
      <c r="N224" s="9">
        <v>2578.6835246516744</v>
      </c>
      <c r="O224" s="30">
        <v>44.512989413630095</v>
      </c>
      <c r="P224" s="226">
        <v>5.9381843014504323</v>
      </c>
      <c r="Q224" s="44">
        <v>3800</v>
      </c>
      <c r="R224" s="44">
        <v>5780.0322267709898</v>
      </c>
      <c r="S224" s="44">
        <v>6311.9264986142443</v>
      </c>
      <c r="T224" s="51">
        <v>2010</v>
      </c>
    </row>
    <row r="225" spans="1:20" ht="15" customHeight="1" x14ac:dyDescent="0.35">
      <c r="A225" s="326" t="str">
        <f t="shared" si="98"/>
        <v>Biomass and waste fired power plants</v>
      </c>
      <c r="B225" s="335" t="str">
        <f t="shared" si="98"/>
        <v>Steam turbine</v>
      </c>
      <c r="C225" s="321" t="str">
        <f t="shared" si="98"/>
        <v>Electricity only</v>
      </c>
      <c r="D225" s="61" t="s">
        <v>10</v>
      </c>
      <c r="E225" s="8">
        <v>22500</v>
      </c>
      <c r="F225" s="9">
        <v>42</v>
      </c>
      <c r="G225" s="38">
        <v>2</v>
      </c>
      <c r="H225" s="10">
        <v>0.89</v>
      </c>
      <c r="I225" s="10">
        <v>0.35697557125712154</v>
      </c>
      <c r="J225" s="10">
        <v>0</v>
      </c>
      <c r="K225" s="10">
        <v>0</v>
      </c>
      <c r="L225" s="10">
        <v>0</v>
      </c>
      <c r="M225" s="10">
        <v>7.7175000000000007E-2</v>
      </c>
      <c r="N225" s="9">
        <v>2846.9252456167501</v>
      </c>
      <c r="O225" s="30">
        <v>49.143352454098668</v>
      </c>
      <c r="P225" s="226">
        <v>6.5558904919159797</v>
      </c>
      <c r="Q225" s="44">
        <v>2850</v>
      </c>
      <c r="R225" s="44">
        <v>5187.571258230033</v>
      </c>
      <c r="S225" s="44">
        <v>5959.0109795530661</v>
      </c>
      <c r="T225" s="51">
        <v>2010</v>
      </c>
    </row>
    <row r="226" spans="1:20" ht="15" customHeight="1" x14ac:dyDescent="0.35">
      <c r="A226" s="326" t="str">
        <f t="shared" si="98"/>
        <v>Biomass and waste fired power plants</v>
      </c>
      <c r="B226" s="335" t="str">
        <f t="shared" si="98"/>
        <v>Steam turbine</v>
      </c>
      <c r="C226" s="324" t="str">
        <f t="shared" si="98"/>
        <v>Electricity only</v>
      </c>
      <c r="D226" s="61" t="s">
        <v>20</v>
      </c>
      <c r="E226" s="8">
        <v>1200</v>
      </c>
      <c r="F226" s="9">
        <v>42</v>
      </c>
      <c r="G226" s="38">
        <v>1</v>
      </c>
      <c r="H226" s="10">
        <v>0.89</v>
      </c>
      <c r="I226" s="10">
        <v>0.33992507759833385</v>
      </c>
      <c r="J226" s="10">
        <v>0</v>
      </c>
      <c r="K226" s="10">
        <v>0</v>
      </c>
      <c r="L226" s="10">
        <v>0</v>
      </c>
      <c r="M226" s="10">
        <v>8.1033750000000015E-2</v>
      </c>
      <c r="N226" s="9">
        <v>3411.12301348237</v>
      </c>
      <c r="O226" s="30">
        <v>58.882480589874248</v>
      </c>
      <c r="P226" s="226">
        <v>7.8551233353512977</v>
      </c>
      <c r="Q226" s="44">
        <v>2422.5</v>
      </c>
      <c r="R226" s="44">
        <v>4887.1361643168057</v>
      </c>
      <c r="S226" s="44">
        <v>5768.4345682434059</v>
      </c>
      <c r="T226" s="51">
        <v>2010</v>
      </c>
    </row>
    <row r="227" spans="1:20" ht="15" customHeight="1" x14ac:dyDescent="0.35">
      <c r="A227" s="326" t="str">
        <f t="shared" ref="A227:B227" si="99">A226</f>
        <v>Biomass and waste fired power plants</v>
      </c>
      <c r="B227" s="335" t="str">
        <f t="shared" si="99"/>
        <v>Steam turbine</v>
      </c>
      <c r="C227" s="323" t="s">
        <v>14</v>
      </c>
      <c r="D227" s="64" t="s">
        <v>7</v>
      </c>
      <c r="E227" s="14">
        <v>190000</v>
      </c>
      <c r="F227" s="15">
        <v>42</v>
      </c>
      <c r="G227" s="39">
        <v>2</v>
      </c>
      <c r="H227" s="16">
        <v>0.89</v>
      </c>
      <c r="I227" s="16">
        <v>0.35778542377128242</v>
      </c>
      <c r="J227" s="16">
        <v>0</v>
      </c>
      <c r="K227" s="16">
        <v>0</v>
      </c>
      <c r="L227" s="16">
        <v>0.92</v>
      </c>
      <c r="M227" s="16">
        <v>7.7000000000000013E-2</v>
      </c>
      <c r="N227" s="15">
        <v>2777.1790672216976</v>
      </c>
      <c r="O227" s="31">
        <v>46.501218548182358</v>
      </c>
      <c r="P227" s="228">
        <v>6.3948749791867634</v>
      </c>
      <c r="Q227" s="46">
        <v>3800</v>
      </c>
      <c r="R227" s="46">
        <v>5685</v>
      </c>
      <c r="S227" s="46">
        <v>6270</v>
      </c>
      <c r="T227" s="53">
        <v>2010</v>
      </c>
    </row>
    <row r="228" spans="1:20" ht="15" customHeight="1" x14ac:dyDescent="0.35">
      <c r="A228" s="326" t="str">
        <f t="shared" ref="A228:C230" si="100">A227</f>
        <v>Biomass and waste fired power plants</v>
      </c>
      <c r="B228" s="335" t="str">
        <f t="shared" si="100"/>
        <v>Steam turbine</v>
      </c>
      <c r="C228" s="321" t="str">
        <f t="shared" si="100"/>
        <v>CHP</v>
      </c>
      <c r="D228" s="61" t="s">
        <v>8</v>
      </c>
      <c r="E228" s="8">
        <v>75000</v>
      </c>
      <c r="F228" s="9">
        <v>42</v>
      </c>
      <c r="G228" s="38">
        <v>2</v>
      </c>
      <c r="H228" s="10">
        <v>0.89</v>
      </c>
      <c r="I228" s="10">
        <v>0.34069229302195214</v>
      </c>
      <c r="J228" s="10">
        <v>0</v>
      </c>
      <c r="K228" s="10">
        <v>0</v>
      </c>
      <c r="L228" s="10">
        <v>0.92</v>
      </c>
      <c r="M228" s="10">
        <v>8.0850000000000019E-2</v>
      </c>
      <c r="N228" s="9">
        <v>2963.1653218422507</v>
      </c>
      <c r="O228" s="30">
        <v>49.61538125203721</v>
      </c>
      <c r="P228" s="226">
        <v>6.805244076634172</v>
      </c>
      <c r="Q228" s="44">
        <v>3040</v>
      </c>
      <c r="R228" s="44">
        <v>5228.6237176860532</v>
      </c>
      <c r="S228" s="44">
        <v>5996.3301736835319</v>
      </c>
      <c r="T228" s="51">
        <v>2010</v>
      </c>
    </row>
    <row r="229" spans="1:20" ht="15" customHeight="1" x14ac:dyDescent="0.35">
      <c r="A229" s="326" t="str">
        <f t="shared" si="100"/>
        <v>Biomass and waste fired power plants</v>
      </c>
      <c r="B229" s="335" t="str">
        <f t="shared" si="100"/>
        <v>Steam turbine</v>
      </c>
      <c r="C229" s="321" t="str">
        <f t="shared" si="100"/>
        <v>CHP</v>
      </c>
      <c r="D229" s="61" t="s">
        <v>10</v>
      </c>
      <c r="E229" s="8">
        <v>26000</v>
      </c>
      <c r="F229" s="9">
        <v>42</v>
      </c>
      <c r="G229" s="38">
        <v>2</v>
      </c>
      <c r="H229" s="10">
        <v>0.89</v>
      </c>
      <c r="I229" s="10">
        <v>0.32443971716333719</v>
      </c>
      <c r="J229" s="10">
        <v>0</v>
      </c>
      <c r="K229" s="10">
        <v>0</v>
      </c>
      <c r="L229" s="10">
        <v>1.2</v>
      </c>
      <c r="M229" s="10">
        <v>8.489250000000001E-2</v>
      </c>
      <c r="N229" s="9">
        <v>3240.3512825328771</v>
      </c>
      <c r="O229" s="30">
        <v>54.256596177172526</v>
      </c>
      <c r="P229" s="226">
        <v>7.4241355299508509</v>
      </c>
      <c r="Q229" s="44">
        <v>2280</v>
      </c>
      <c r="R229" s="44">
        <v>4707.3861184731813</v>
      </c>
      <c r="S229" s="44">
        <v>5661.0604305754132</v>
      </c>
      <c r="T229" s="51">
        <v>2010</v>
      </c>
    </row>
    <row r="230" spans="1:20" ht="15" customHeight="1" x14ac:dyDescent="0.35">
      <c r="A230" s="326" t="str">
        <f t="shared" si="100"/>
        <v>Biomass and waste fired power plants</v>
      </c>
      <c r="B230" s="335" t="str">
        <f t="shared" si="100"/>
        <v>Steam turbine</v>
      </c>
      <c r="C230" s="324" t="str">
        <f t="shared" si="100"/>
        <v>CHP</v>
      </c>
      <c r="D230" s="65" t="s">
        <v>20</v>
      </c>
      <c r="E230" s="17">
        <v>3250</v>
      </c>
      <c r="F230" s="18">
        <v>42</v>
      </c>
      <c r="G230" s="40">
        <v>1</v>
      </c>
      <c r="H230" s="19">
        <v>0.89</v>
      </c>
      <c r="I230" s="19">
        <v>0.30896788139321985</v>
      </c>
      <c r="J230" s="19">
        <v>0</v>
      </c>
      <c r="K230" s="19">
        <v>0</v>
      </c>
      <c r="L230" s="19">
        <v>1.35</v>
      </c>
      <c r="M230" s="19">
        <v>8.9137125000000025E-2</v>
      </c>
      <c r="N230" s="18">
        <v>3845.5673727013946</v>
      </c>
      <c r="O230" s="32">
        <v>64.390363210768001</v>
      </c>
      <c r="P230" s="229">
        <v>8.7879877576338821</v>
      </c>
      <c r="Q230" s="47">
        <v>1938</v>
      </c>
      <c r="R230" s="47">
        <v>4442.4874680814555</v>
      </c>
      <c r="S230" s="47">
        <v>5480.0128398312354</v>
      </c>
      <c r="T230" s="54">
        <v>2010</v>
      </c>
    </row>
    <row r="231" spans="1:20" ht="15" customHeight="1" x14ac:dyDescent="0.35">
      <c r="A231" s="326" t="str">
        <f t="shared" ref="A231:B231" si="101">A230</f>
        <v>Biomass and waste fired power plants</v>
      </c>
      <c r="B231" s="335" t="str">
        <f t="shared" si="101"/>
        <v>Steam turbine</v>
      </c>
      <c r="C231" s="323" t="s">
        <v>15</v>
      </c>
      <c r="D231" s="64" t="s">
        <v>7</v>
      </c>
      <c r="E231" s="14">
        <v>200000</v>
      </c>
      <c r="F231" s="15">
        <v>42</v>
      </c>
      <c r="G231" s="39">
        <v>2</v>
      </c>
      <c r="H231" s="16">
        <v>0.89</v>
      </c>
      <c r="I231" s="16">
        <v>0.37465812446142899</v>
      </c>
      <c r="J231" s="16">
        <v>0</v>
      </c>
      <c r="K231" s="16">
        <v>0</v>
      </c>
      <c r="L231" s="16">
        <v>0</v>
      </c>
      <c r="M231" s="16">
        <v>0.26250000000000001</v>
      </c>
      <c r="N231" s="15">
        <v>5462.5</v>
      </c>
      <c r="O231" s="31">
        <v>99.0078125</v>
      </c>
      <c r="P231" s="228">
        <v>10.664827918271646</v>
      </c>
      <c r="Q231" s="46">
        <v>4750</v>
      </c>
      <c r="R231" s="46">
        <v>6300</v>
      </c>
      <c r="S231" s="46">
        <v>6600</v>
      </c>
      <c r="T231" s="53">
        <v>2031</v>
      </c>
    </row>
    <row r="232" spans="1:20" ht="15" customHeight="1" x14ac:dyDescent="0.35">
      <c r="A232" s="326" t="str">
        <f t="shared" ref="A232:C232" si="102">A231</f>
        <v>Biomass and waste fired power plants</v>
      </c>
      <c r="B232" s="335" t="str">
        <f t="shared" si="102"/>
        <v>Steam turbine</v>
      </c>
      <c r="C232" s="324" t="str">
        <f t="shared" si="102"/>
        <v>Electricity only with CCS</v>
      </c>
      <c r="D232" s="65" t="s">
        <v>8</v>
      </c>
      <c r="E232" s="17">
        <v>70000</v>
      </c>
      <c r="F232" s="18">
        <v>42</v>
      </c>
      <c r="G232" s="40">
        <v>2</v>
      </c>
      <c r="H232" s="19">
        <v>0.89</v>
      </c>
      <c r="I232" s="19">
        <v>0.35681726139183711</v>
      </c>
      <c r="J232" s="19">
        <v>0</v>
      </c>
      <c r="K232" s="19">
        <v>0</v>
      </c>
      <c r="L232" s="19">
        <v>0</v>
      </c>
      <c r="M232" s="19">
        <v>0.27562500000000001</v>
      </c>
      <c r="N232" s="18">
        <v>6006.875</v>
      </c>
      <c r="O232" s="32">
        <v>108.87460937500002</v>
      </c>
      <c r="P232" s="229">
        <v>11.727650014017028</v>
      </c>
      <c r="Q232" s="47">
        <v>3800</v>
      </c>
      <c r="R232" s="47">
        <v>5780.0322267709898</v>
      </c>
      <c r="S232" s="47">
        <v>6311.9264986142443</v>
      </c>
      <c r="T232" s="54">
        <v>2031</v>
      </c>
    </row>
    <row r="233" spans="1:20" ht="15" customHeight="1" x14ac:dyDescent="0.35">
      <c r="A233" s="326" t="str">
        <f t="shared" ref="A233:B233" si="103">A232</f>
        <v>Biomass and waste fired power plants</v>
      </c>
      <c r="B233" s="335" t="str">
        <f t="shared" si="103"/>
        <v>Steam turbine</v>
      </c>
      <c r="C233" s="323" t="s">
        <v>16</v>
      </c>
      <c r="D233" s="61" t="s">
        <v>7</v>
      </c>
      <c r="E233" s="8">
        <v>190000</v>
      </c>
      <c r="F233" s="9">
        <v>42</v>
      </c>
      <c r="G233" s="38">
        <v>2</v>
      </c>
      <c r="H233" s="10">
        <v>0.89</v>
      </c>
      <c r="I233" s="10">
        <v>0.34059829496493538</v>
      </c>
      <c r="J233" s="10">
        <v>0</v>
      </c>
      <c r="K233" s="10">
        <v>0</v>
      </c>
      <c r="L233" s="10">
        <v>1.021079591587017</v>
      </c>
      <c r="M233" s="10">
        <v>0.28875000000000006</v>
      </c>
      <c r="N233" s="9">
        <v>5852.5</v>
      </c>
      <c r="O233" s="30">
        <v>102.89426562500002</v>
      </c>
      <c r="P233" s="226">
        <v>11.190667334225239</v>
      </c>
      <c r="Q233" s="44">
        <v>3800</v>
      </c>
      <c r="R233" s="44">
        <v>5685</v>
      </c>
      <c r="S233" s="44">
        <v>6270</v>
      </c>
      <c r="T233" s="51">
        <v>2031</v>
      </c>
    </row>
    <row r="234" spans="1:20" ht="15" customHeight="1" x14ac:dyDescent="0.35">
      <c r="A234" s="327" t="str">
        <f t="shared" ref="A234:C234" si="104">A233</f>
        <v>Biomass and waste fired power plants</v>
      </c>
      <c r="B234" s="336" t="str">
        <f t="shared" si="104"/>
        <v>Steam turbine</v>
      </c>
      <c r="C234" s="325" t="str">
        <f t="shared" si="104"/>
        <v>CHP with CCS</v>
      </c>
      <c r="D234" s="63" t="s">
        <v>8</v>
      </c>
      <c r="E234" s="20">
        <v>75000</v>
      </c>
      <c r="F234" s="21">
        <v>42</v>
      </c>
      <c r="G234" s="41">
        <v>2</v>
      </c>
      <c r="H234" s="22">
        <v>0.89</v>
      </c>
      <c r="I234" s="22">
        <v>0.3243793285380337</v>
      </c>
      <c r="J234" s="22">
        <v>0</v>
      </c>
      <c r="K234" s="22">
        <v>0</v>
      </c>
      <c r="L234" s="22">
        <v>1.0277701753678679</v>
      </c>
      <c r="M234" s="22">
        <v>0.30318750000000005</v>
      </c>
      <c r="N234" s="21">
        <v>6396.875</v>
      </c>
      <c r="O234" s="33">
        <v>112.46505859375002</v>
      </c>
      <c r="P234" s="230">
        <v>12.213067346685559</v>
      </c>
      <c r="Q234" s="48">
        <v>3040</v>
      </c>
      <c r="R234" s="48">
        <v>5228.6237176860532</v>
      </c>
      <c r="S234" s="48">
        <v>5996.3301736835319</v>
      </c>
      <c r="T234" s="55">
        <v>2031</v>
      </c>
    </row>
    <row r="235" spans="1:20" ht="15" customHeight="1" x14ac:dyDescent="0.35">
      <c r="A235" s="333" t="s">
        <v>31</v>
      </c>
      <c r="B235" s="334" t="s">
        <v>32</v>
      </c>
      <c r="C235" s="322" t="s">
        <v>6</v>
      </c>
      <c r="D235" s="62" t="s">
        <v>8</v>
      </c>
      <c r="E235" s="11">
        <v>150000</v>
      </c>
      <c r="F235" s="12">
        <v>20</v>
      </c>
      <c r="G235" s="37">
        <v>1</v>
      </c>
      <c r="H235" s="13">
        <v>0.96499999999999997</v>
      </c>
      <c r="I235" s="13">
        <v>0.6839945280437757</v>
      </c>
      <c r="J235" s="13">
        <v>2.3487948000000003</v>
      </c>
      <c r="K235" s="13">
        <v>0</v>
      </c>
      <c r="L235" s="13">
        <v>0</v>
      </c>
      <c r="M235" s="13">
        <v>0.153</v>
      </c>
      <c r="N235" s="12">
        <v>4300</v>
      </c>
      <c r="O235" s="29">
        <v>64.5</v>
      </c>
      <c r="P235" s="227">
        <v>13.862837045720985</v>
      </c>
      <c r="Q235" s="45">
        <v>3000</v>
      </c>
      <c r="R235" s="45">
        <v>4500</v>
      </c>
      <c r="S235" s="45">
        <v>5000</v>
      </c>
      <c r="T235" s="52">
        <v>2031</v>
      </c>
    </row>
    <row r="236" spans="1:20" ht="15" customHeight="1" x14ac:dyDescent="0.35">
      <c r="A236" s="326" t="str">
        <f t="shared" ref="A236:A238" si="105">A235</f>
        <v>Fuel cells</v>
      </c>
      <c r="B236" s="335" t="str">
        <f t="shared" ref="B236:C237" si="106">B235</f>
        <v>Natural gas fuel cell power plant</v>
      </c>
      <c r="C236" s="321" t="str">
        <f t="shared" si="106"/>
        <v>Electricity only</v>
      </c>
      <c r="D236" s="61" t="s">
        <v>10</v>
      </c>
      <c r="E236" s="8">
        <v>45000</v>
      </c>
      <c r="F236" s="9">
        <v>20</v>
      </c>
      <c r="G236" s="38">
        <v>1</v>
      </c>
      <c r="H236" s="10">
        <v>0.96499999999999997</v>
      </c>
      <c r="I236" s="10">
        <v>0.65142336004169099</v>
      </c>
      <c r="J236" s="10">
        <v>2.3487948000000003</v>
      </c>
      <c r="K236" s="10">
        <v>0</v>
      </c>
      <c r="L236" s="10">
        <v>0</v>
      </c>
      <c r="M236" s="10">
        <v>0.16065000000000002</v>
      </c>
      <c r="N236" s="9">
        <v>5160</v>
      </c>
      <c r="O236" s="30">
        <v>77.399999999999991</v>
      </c>
      <c r="P236" s="226">
        <v>14.555978898007035</v>
      </c>
      <c r="Q236" s="44">
        <v>2250</v>
      </c>
      <c r="R236" s="44">
        <v>3697.7513403384401</v>
      </c>
      <c r="S236" s="44">
        <v>4029.637244338282</v>
      </c>
      <c r="T236" s="51">
        <v>2029</v>
      </c>
    </row>
    <row r="237" spans="1:20" ht="15" customHeight="1" x14ac:dyDescent="0.35">
      <c r="A237" s="326" t="str">
        <f t="shared" si="105"/>
        <v>Fuel cells</v>
      </c>
      <c r="B237" s="387" t="str">
        <f t="shared" si="106"/>
        <v>Natural gas fuel cell power plant</v>
      </c>
      <c r="C237" s="324" t="str">
        <f t="shared" si="106"/>
        <v>Electricity only</v>
      </c>
      <c r="D237" s="65" t="s">
        <v>20</v>
      </c>
      <c r="E237" s="17">
        <v>2000</v>
      </c>
      <c r="F237" s="18">
        <v>20</v>
      </c>
      <c r="G237" s="40">
        <v>1</v>
      </c>
      <c r="H237" s="19">
        <v>0.96499999999999997</v>
      </c>
      <c r="I237" s="19">
        <v>0.62040320003970573</v>
      </c>
      <c r="J237" s="19">
        <v>2.3487948000000003</v>
      </c>
      <c r="K237" s="19">
        <v>0</v>
      </c>
      <c r="L237" s="19">
        <v>0</v>
      </c>
      <c r="M237" s="19">
        <v>0.16868250000000001</v>
      </c>
      <c r="N237" s="18">
        <v>7740</v>
      </c>
      <c r="O237" s="32">
        <v>116.09999999999998</v>
      </c>
      <c r="P237" s="229">
        <v>15.283777842907389</v>
      </c>
      <c r="Q237" s="47">
        <v>1687.5</v>
      </c>
      <c r="R237" s="47">
        <v>3039.9288990381756</v>
      </c>
      <c r="S237" s="47">
        <v>3247.5952641916447</v>
      </c>
      <c r="T237" s="54">
        <v>2026</v>
      </c>
    </row>
    <row r="238" spans="1:20" ht="15" customHeight="1" x14ac:dyDescent="0.35">
      <c r="A238" s="326" t="str">
        <f t="shared" si="105"/>
        <v>Fuel cells</v>
      </c>
      <c r="B238" s="335" t="s">
        <v>33</v>
      </c>
      <c r="C238" s="321" t="s">
        <v>6</v>
      </c>
      <c r="D238" s="61" t="s">
        <v>8</v>
      </c>
      <c r="E238" s="8">
        <v>150000</v>
      </c>
      <c r="F238" s="9">
        <v>20</v>
      </c>
      <c r="G238" s="38">
        <v>1</v>
      </c>
      <c r="H238" s="10">
        <v>0.96499999999999997</v>
      </c>
      <c r="I238" s="10">
        <v>0.75700227100681305</v>
      </c>
      <c r="J238" s="10">
        <v>2.3487948000000003</v>
      </c>
      <c r="K238" s="10">
        <v>0</v>
      </c>
      <c r="L238" s="10">
        <v>0</v>
      </c>
      <c r="M238" s="10">
        <v>3.6999999999999998E-2</v>
      </c>
      <c r="N238" s="9">
        <v>3570</v>
      </c>
      <c r="O238" s="30">
        <v>51.943499999999993</v>
      </c>
      <c r="P238" s="226">
        <v>11.509378663540447</v>
      </c>
      <c r="Q238" s="44">
        <v>2900</v>
      </c>
      <c r="R238" s="44">
        <v>4400</v>
      </c>
      <c r="S238" s="44">
        <v>4900</v>
      </c>
      <c r="T238" s="51">
        <v>2033</v>
      </c>
    </row>
    <row r="239" spans="1:20" ht="15" customHeight="1" x14ac:dyDescent="0.35">
      <c r="A239" s="326" t="str">
        <f t="shared" ref="A239:C240" si="107">A238</f>
        <v>Fuel cells</v>
      </c>
      <c r="B239" s="335" t="str">
        <f t="shared" si="107"/>
        <v>Hydrogen fuel cell power plant</v>
      </c>
      <c r="C239" s="321" t="str">
        <f t="shared" si="107"/>
        <v>Electricity only</v>
      </c>
      <c r="D239" s="61" t="s">
        <v>10</v>
      </c>
      <c r="E239" s="8">
        <v>45000</v>
      </c>
      <c r="F239" s="9">
        <v>20</v>
      </c>
      <c r="G239" s="38">
        <v>1</v>
      </c>
      <c r="H239" s="10">
        <v>0.96499999999999997</v>
      </c>
      <c r="I239" s="10">
        <v>0.72095454381601232</v>
      </c>
      <c r="J239" s="10">
        <v>2.3487948000000003</v>
      </c>
      <c r="K239" s="10">
        <v>0</v>
      </c>
      <c r="L239" s="10">
        <v>0</v>
      </c>
      <c r="M239" s="10">
        <v>3.8850000000000003E-2</v>
      </c>
      <c r="N239" s="9">
        <v>3927.0000000000005</v>
      </c>
      <c r="O239" s="30">
        <v>57.137849999999993</v>
      </c>
      <c r="P239" s="226">
        <v>12.08484759671747</v>
      </c>
      <c r="Q239" s="44">
        <v>2175</v>
      </c>
      <c r="R239" s="44">
        <v>3615.3816499408249</v>
      </c>
      <c r="S239" s="44">
        <v>3949.0444994515165</v>
      </c>
      <c r="T239" s="51">
        <v>2031</v>
      </c>
    </row>
    <row r="240" spans="1:20" ht="15" customHeight="1" x14ac:dyDescent="0.35">
      <c r="A240" s="327" t="str">
        <f t="shared" si="107"/>
        <v>Fuel cells</v>
      </c>
      <c r="B240" s="336" t="str">
        <f t="shared" si="107"/>
        <v>Hydrogen fuel cell power plant</v>
      </c>
      <c r="C240" s="325" t="str">
        <f t="shared" si="107"/>
        <v>Electricity only</v>
      </c>
      <c r="D240" s="63" t="s">
        <v>20</v>
      </c>
      <c r="E240" s="20">
        <v>2000</v>
      </c>
      <c r="F240" s="21">
        <v>20</v>
      </c>
      <c r="G240" s="41">
        <v>1</v>
      </c>
      <c r="H240" s="22">
        <v>0.96499999999999997</v>
      </c>
      <c r="I240" s="19">
        <v>0.68662337506286886</v>
      </c>
      <c r="J240" s="19">
        <v>2.3487948000000003</v>
      </c>
      <c r="K240" s="19">
        <v>0</v>
      </c>
      <c r="L240" s="22">
        <v>0</v>
      </c>
      <c r="M240" s="19">
        <v>4.0792500000000002E-2</v>
      </c>
      <c r="N240" s="9">
        <v>5301.4500000000007</v>
      </c>
      <c r="O240" s="33">
        <v>77.136097499999991</v>
      </c>
      <c r="P240" s="229">
        <v>12.689089976553342</v>
      </c>
      <c r="Q240" s="47">
        <v>1631.25</v>
      </c>
      <c r="R240" s="44">
        <v>2972.0496647227001</v>
      </c>
      <c r="S240" s="48">
        <v>3182.6433589078119</v>
      </c>
      <c r="T240" s="54">
        <v>2028</v>
      </c>
    </row>
    <row r="241" spans="1:20" ht="15" customHeight="1" x14ac:dyDescent="0.35">
      <c r="A241" s="333" t="s">
        <v>34</v>
      </c>
      <c r="B241" s="334" t="s">
        <v>35</v>
      </c>
      <c r="C241" s="322" t="s">
        <v>6</v>
      </c>
      <c r="D241" s="62" t="s">
        <v>7</v>
      </c>
      <c r="E241" s="11">
        <v>6000</v>
      </c>
      <c r="F241" s="12">
        <v>25</v>
      </c>
      <c r="G241" s="37">
        <v>1</v>
      </c>
      <c r="H241" s="13">
        <v>0.96999999999999986</v>
      </c>
      <c r="I241" s="13">
        <v>1</v>
      </c>
      <c r="J241" s="13">
        <v>0</v>
      </c>
      <c r="K241" s="13">
        <v>0</v>
      </c>
      <c r="L241" s="13">
        <v>0</v>
      </c>
      <c r="M241" s="13">
        <v>0</v>
      </c>
      <c r="N241" s="12">
        <v>1067.4000000000001</v>
      </c>
      <c r="O241" s="29">
        <v>23.482800000000005</v>
      </c>
      <c r="P241" s="227">
        <v>0.5005392731535756</v>
      </c>
      <c r="Q241" s="45">
        <v>1400</v>
      </c>
      <c r="R241" s="45">
        <v>2592.637316526163</v>
      </c>
      <c r="S241" s="45">
        <v>3750</v>
      </c>
      <c r="T241" s="52">
        <v>2010</v>
      </c>
    </row>
    <row r="242" spans="1:20" ht="15" customHeight="1" x14ac:dyDescent="0.35">
      <c r="A242" s="326" t="str">
        <f t="shared" ref="A242:A245" si="108">A241</f>
        <v>Wind power plants</v>
      </c>
      <c r="B242" s="335" t="str">
        <f t="shared" ref="B242:C244" si="109">B241</f>
        <v>Onshore</v>
      </c>
      <c r="C242" s="321" t="str">
        <f t="shared" si="109"/>
        <v>Electricity only</v>
      </c>
      <c r="D242" s="61" t="s">
        <v>8</v>
      </c>
      <c r="E242" s="8">
        <v>3000</v>
      </c>
      <c r="F242" s="9">
        <v>25</v>
      </c>
      <c r="G242" s="38">
        <v>1</v>
      </c>
      <c r="H242" s="10">
        <v>0.96999999999999986</v>
      </c>
      <c r="I242" s="10">
        <v>1</v>
      </c>
      <c r="J242" s="10">
        <v>0</v>
      </c>
      <c r="K242" s="10">
        <v>0</v>
      </c>
      <c r="L242" s="10">
        <v>0</v>
      </c>
      <c r="M242" s="10">
        <v>0</v>
      </c>
      <c r="N242" s="9">
        <v>1207</v>
      </c>
      <c r="O242" s="30">
        <v>26.554000000000002</v>
      </c>
      <c r="P242" s="226">
        <v>0.54423302371719728</v>
      </c>
      <c r="Q242" s="44">
        <v>1400</v>
      </c>
      <c r="R242" s="44">
        <v>2514.8581970303785</v>
      </c>
      <c r="S242" s="44">
        <v>3375</v>
      </c>
      <c r="T242" s="51">
        <v>2010</v>
      </c>
    </row>
    <row r="243" spans="1:20" ht="15" customHeight="1" x14ac:dyDescent="0.35">
      <c r="A243" s="326" t="str">
        <f t="shared" si="108"/>
        <v>Wind power plants</v>
      </c>
      <c r="B243" s="335" t="str">
        <f t="shared" si="109"/>
        <v>Onshore</v>
      </c>
      <c r="C243" s="321" t="str">
        <f t="shared" si="109"/>
        <v>Electricity only</v>
      </c>
      <c r="D243" s="61" t="s">
        <v>10</v>
      </c>
      <c r="E243" s="8">
        <v>1375</v>
      </c>
      <c r="F243" s="9">
        <v>25</v>
      </c>
      <c r="G243" s="38">
        <v>1</v>
      </c>
      <c r="H243" s="10">
        <v>0.96999999999999986</v>
      </c>
      <c r="I243" s="10">
        <v>1</v>
      </c>
      <c r="J243" s="10">
        <v>0</v>
      </c>
      <c r="K243" s="10">
        <v>0</v>
      </c>
      <c r="L243" s="10">
        <v>0</v>
      </c>
      <c r="M243" s="10">
        <v>0</v>
      </c>
      <c r="N243" s="9">
        <v>1348</v>
      </c>
      <c r="O243" s="30">
        <v>29.656000000000002</v>
      </c>
      <c r="P243" s="226">
        <v>0.56540422417354719</v>
      </c>
      <c r="Q243" s="44">
        <v>1400</v>
      </c>
      <c r="R243" s="44">
        <v>2313.6695412679483</v>
      </c>
      <c r="S243" s="44">
        <v>3037.5</v>
      </c>
      <c r="T243" s="51">
        <v>2010</v>
      </c>
    </row>
    <row r="244" spans="1:20" ht="15" customHeight="1" x14ac:dyDescent="0.35">
      <c r="A244" s="326" t="str">
        <f t="shared" si="108"/>
        <v>Wind power plants</v>
      </c>
      <c r="B244" s="387" t="str">
        <f t="shared" si="109"/>
        <v>Onshore</v>
      </c>
      <c r="C244" s="324" t="str">
        <f t="shared" si="109"/>
        <v>Electricity only</v>
      </c>
      <c r="D244" s="65" t="s">
        <v>20</v>
      </c>
      <c r="E244" s="17">
        <v>375</v>
      </c>
      <c r="F244" s="18">
        <v>25</v>
      </c>
      <c r="G244" s="40">
        <v>1</v>
      </c>
      <c r="H244" s="19">
        <v>0.96999999999999986</v>
      </c>
      <c r="I244" s="19">
        <v>1</v>
      </c>
      <c r="J244" s="19">
        <v>0</v>
      </c>
      <c r="K244" s="19">
        <v>0</v>
      </c>
      <c r="L244" s="19">
        <v>0</v>
      </c>
      <c r="M244" s="19">
        <v>0</v>
      </c>
      <c r="N244" s="18">
        <v>1642</v>
      </c>
      <c r="O244" s="32">
        <v>36.124000000000002</v>
      </c>
      <c r="P244" s="229">
        <v>0.5739328239941669</v>
      </c>
      <c r="Q244" s="47">
        <v>1400</v>
      </c>
      <c r="R244" s="47">
        <v>1793.0938944826598</v>
      </c>
      <c r="S244" s="47">
        <v>2733.75</v>
      </c>
      <c r="T244" s="54">
        <v>2010</v>
      </c>
    </row>
    <row r="245" spans="1:20" ht="15" customHeight="1" x14ac:dyDescent="0.35">
      <c r="A245" s="326" t="str">
        <f t="shared" si="108"/>
        <v>Wind power plants</v>
      </c>
      <c r="B245" s="335" t="s">
        <v>36</v>
      </c>
      <c r="C245" s="323" t="s">
        <v>6</v>
      </c>
      <c r="D245" s="61" t="s">
        <v>7</v>
      </c>
      <c r="E245" s="8">
        <v>7199.9999999999991</v>
      </c>
      <c r="F245" s="9">
        <v>25</v>
      </c>
      <c r="G245" s="38">
        <v>1</v>
      </c>
      <c r="H245" s="10">
        <v>0.95</v>
      </c>
      <c r="I245" s="10">
        <v>1</v>
      </c>
      <c r="J245" s="10">
        <v>0</v>
      </c>
      <c r="K245" s="10">
        <v>0</v>
      </c>
      <c r="L245" s="10">
        <v>0</v>
      </c>
      <c r="M245" s="10">
        <v>0</v>
      </c>
      <c r="N245" s="9">
        <v>2859</v>
      </c>
      <c r="O245" s="30">
        <v>74.334000000000003</v>
      </c>
      <c r="P245" s="226">
        <v>1.3406799531066824</v>
      </c>
      <c r="Q245" s="44">
        <v>2000</v>
      </c>
      <c r="R245" s="44">
        <v>4296.3704102433558</v>
      </c>
      <c r="S245" s="44">
        <v>5500</v>
      </c>
      <c r="T245" s="51">
        <v>2010</v>
      </c>
    </row>
    <row r="246" spans="1:20" ht="15" customHeight="1" x14ac:dyDescent="0.35">
      <c r="A246" s="326" t="str">
        <f t="shared" ref="A246:C248" si="110">A245</f>
        <v>Wind power plants</v>
      </c>
      <c r="B246" s="335" t="str">
        <f t="shared" si="110"/>
        <v>Offshore</v>
      </c>
      <c r="C246" s="321" t="str">
        <f t="shared" si="110"/>
        <v>Electricity only</v>
      </c>
      <c r="D246" s="61" t="s">
        <v>8</v>
      </c>
      <c r="E246" s="8">
        <v>4750</v>
      </c>
      <c r="F246" s="9">
        <v>25</v>
      </c>
      <c r="G246" s="38">
        <v>1</v>
      </c>
      <c r="H246" s="10">
        <v>0.95</v>
      </c>
      <c r="I246" s="10">
        <v>1</v>
      </c>
      <c r="J246" s="10">
        <v>0</v>
      </c>
      <c r="K246" s="10">
        <v>0</v>
      </c>
      <c r="L246" s="10">
        <v>0</v>
      </c>
      <c r="M246" s="10">
        <v>0</v>
      </c>
      <c r="N246" s="9">
        <v>3168</v>
      </c>
      <c r="O246" s="30">
        <v>82.368000000000009</v>
      </c>
      <c r="P246" s="226">
        <v>1.35052754982415</v>
      </c>
      <c r="Q246" s="44">
        <v>2000</v>
      </c>
      <c r="R246" s="44">
        <v>4167.4792979360554</v>
      </c>
      <c r="S246" s="44">
        <v>5225</v>
      </c>
      <c r="T246" s="51">
        <v>2010</v>
      </c>
    </row>
    <row r="247" spans="1:20" ht="15" customHeight="1" x14ac:dyDescent="0.35">
      <c r="A247" s="326" t="str">
        <f t="shared" si="110"/>
        <v>Wind power plants</v>
      </c>
      <c r="B247" s="335" t="str">
        <f t="shared" si="110"/>
        <v>Offshore</v>
      </c>
      <c r="C247" s="321" t="str">
        <f t="shared" si="110"/>
        <v>Electricity only</v>
      </c>
      <c r="D247" s="61" t="s">
        <v>10</v>
      </c>
      <c r="E247" s="8">
        <v>2500</v>
      </c>
      <c r="F247" s="9">
        <v>25</v>
      </c>
      <c r="G247" s="38">
        <v>1</v>
      </c>
      <c r="H247" s="10">
        <v>0.95</v>
      </c>
      <c r="I247" s="10">
        <v>1</v>
      </c>
      <c r="J247" s="10">
        <v>0</v>
      </c>
      <c r="K247" s="10">
        <v>0</v>
      </c>
      <c r="L247" s="10">
        <v>0</v>
      </c>
      <c r="M247" s="10">
        <v>0</v>
      </c>
      <c r="N247" s="9">
        <v>3666</v>
      </c>
      <c r="O247" s="30">
        <v>95.316000000000003</v>
      </c>
      <c r="P247" s="226">
        <v>1.3589794679554605</v>
      </c>
      <c r="Q247" s="44">
        <v>2000</v>
      </c>
      <c r="R247" s="44">
        <v>3834.0809541011704</v>
      </c>
      <c r="S247" s="44">
        <v>4702.5</v>
      </c>
      <c r="T247" s="51">
        <v>2010</v>
      </c>
    </row>
    <row r="248" spans="1:20" ht="15" customHeight="1" x14ac:dyDescent="0.35">
      <c r="A248" s="327" t="str">
        <f t="shared" si="110"/>
        <v>Wind power plants</v>
      </c>
      <c r="B248" s="336" t="str">
        <f t="shared" si="110"/>
        <v>Offshore</v>
      </c>
      <c r="C248" s="325" t="str">
        <f t="shared" si="110"/>
        <v>Electricity only</v>
      </c>
      <c r="D248" s="63" t="s">
        <v>20</v>
      </c>
      <c r="E248" s="20">
        <v>750</v>
      </c>
      <c r="F248" s="21">
        <v>25</v>
      </c>
      <c r="G248" s="41">
        <v>1</v>
      </c>
      <c r="H248" s="22">
        <v>0.95</v>
      </c>
      <c r="I248" s="22">
        <v>1</v>
      </c>
      <c r="J248" s="22">
        <v>0</v>
      </c>
      <c r="K248" s="22">
        <v>0</v>
      </c>
      <c r="L248" s="22">
        <v>0</v>
      </c>
      <c r="M248" s="22">
        <v>0</v>
      </c>
      <c r="N248" s="21">
        <v>4424</v>
      </c>
      <c r="O248" s="33">
        <v>115.02400000000002</v>
      </c>
      <c r="P248" s="230">
        <v>1.3666405633376428</v>
      </c>
      <c r="Q248" s="48">
        <v>2000</v>
      </c>
      <c r="R248" s="48">
        <v>3450.6728586910535</v>
      </c>
      <c r="S248" s="48">
        <v>3762</v>
      </c>
      <c r="T248" s="55">
        <v>2010</v>
      </c>
    </row>
    <row r="249" spans="1:20" ht="15" customHeight="1" x14ac:dyDescent="0.35">
      <c r="A249" s="333" t="s">
        <v>37</v>
      </c>
      <c r="B249" s="334" t="s">
        <v>37</v>
      </c>
      <c r="C249" s="322" t="s">
        <v>6</v>
      </c>
      <c r="D249" s="62" t="s">
        <v>7</v>
      </c>
      <c r="E249" s="11">
        <v>12500</v>
      </c>
      <c r="F249" s="12">
        <v>25</v>
      </c>
      <c r="G249" s="37">
        <v>1</v>
      </c>
      <c r="H249" s="13">
        <v>0.97</v>
      </c>
      <c r="I249" s="13">
        <v>1</v>
      </c>
      <c r="J249" s="13">
        <v>0</v>
      </c>
      <c r="K249" s="13">
        <v>0</v>
      </c>
      <c r="L249" s="13">
        <v>0</v>
      </c>
      <c r="M249" s="13">
        <v>0</v>
      </c>
      <c r="N249" s="12">
        <v>1026.5246640881346</v>
      </c>
      <c r="O249" s="29">
        <v>18.477443953586423</v>
      </c>
      <c r="P249" s="227">
        <v>9.6274294404514377E-2</v>
      </c>
      <c r="Q249" s="45">
        <v>500</v>
      </c>
      <c r="R249" s="45">
        <v>1406.4976147846996</v>
      </c>
      <c r="S249" s="45">
        <v>2400</v>
      </c>
      <c r="T249" s="52">
        <v>2010</v>
      </c>
    </row>
    <row r="250" spans="1:20" ht="15" customHeight="1" x14ac:dyDescent="0.35">
      <c r="A250" s="326" t="str">
        <f t="shared" ref="A250:C252" si="111">A249</f>
        <v>Solar PV power plants</v>
      </c>
      <c r="B250" s="335" t="str">
        <f t="shared" si="111"/>
        <v>Solar PV power plants</v>
      </c>
      <c r="C250" s="321" t="str">
        <f t="shared" si="111"/>
        <v>Electricity only</v>
      </c>
      <c r="D250" s="61" t="s">
        <v>8</v>
      </c>
      <c r="E250" s="8">
        <v>2750</v>
      </c>
      <c r="F250" s="9">
        <v>25</v>
      </c>
      <c r="G250" s="38">
        <v>1</v>
      </c>
      <c r="H250" s="10">
        <v>0.98</v>
      </c>
      <c r="I250" s="10">
        <v>1</v>
      </c>
      <c r="J250" s="10">
        <v>0</v>
      </c>
      <c r="K250" s="10">
        <v>0</v>
      </c>
      <c r="L250" s="10">
        <v>0</v>
      </c>
      <c r="M250" s="10">
        <v>0</v>
      </c>
      <c r="N250" s="9">
        <v>1097.811099094255</v>
      </c>
      <c r="O250" s="30">
        <v>19.760599783696588</v>
      </c>
      <c r="P250" s="226">
        <v>9.6274294404514377E-2</v>
      </c>
      <c r="Q250" s="44">
        <v>500</v>
      </c>
      <c r="R250" s="44">
        <v>1265.8478533062296</v>
      </c>
      <c r="S250" s="44">
        <v>2160</v>
      </c>
      <c r="T250" s="51">
        <v>2010</v>
      </c>
    </row>
    <row r="251" spans="1:20" ht="15" customHeight="1" x14ac:dyDescent="0.35">
      <c r="A251" s="326" t="str">
        <f t="shared" si="111"/>
        <v>Solar PV power plants</v>
      </c>
      <c r="B251" s="335" t="str">
        <f t="shared" si="111"/>
        <v>Solar PV power plants</v>
      </c>
      <c r="C251" s="321" t="str">
        <f t="shared" si="111"/>
        <v>Electricity only</v>
      </c>
      <c r="D251" s="61" t="s">
        <v>10</v>
      </c>
      <c r="E251" s="8">
        <v>275</v>
      </c>
      <c r="F251" s="9">
        <v>25</v>
      </c>
      <c r="G251" s="38">
        <v>1</v>
      </c>
      <c r="H251" s="10">
        <v>0.99</v>
      </c>
      <c r="I251" s="10">
        <v>1</v>
      </c>
      <c r="J251" s="10">
        <v>0</v>
      </c>
      <c r="K251" s="10">
        <v>0</v>
      </c>
      <c r="L251" s="10">
        <v>0</v>
      </c>
      <c r="M251" s="10">
        <v>0</v>
      </c>
      <c r="N251" s="9">
        <v>1207.7073299546221</v>
      </c>
      <c r="O251" s="30">
        <v>21.738731939183197</v>
      </c>
      <c r="P251" s="226">
        <v>8.6757554320653296E-2</v>
      </c>
      <c r="Q251" s="44">
        <v>500</v>
      </c>
      <c r="R251" s="44">
        <v>1139.2630679756069</v>
      </c>
      <c r="S251" s="44">
        <v>1944</v>
      </c>
      <c r="T251" s="51">
        <v>2010</v>
      </c>
    </row>
    <row r="252" spans="1:20" ht="15" customHeight="1" x14ac:dyDescent="0.35">
      <c r="A252" s="327" t="str">
        <f t="shared" si="111"/>
        <v>Solar PV power plants</v>
      </c>
      <c r="B252" s="336" t="str">
        <f t="shared" si="111"/>
        <v>Solar PV power plants</v>
      </c>
      <c r="C252" s="325" t="str">
        <f t="shared" si="111"/>
        <v>Electricity only</v>
      </c>
      <c r="D252" s="63" t="s">
        <v>20</v>
      </c>
      <c r="E252" s="20">
        <v>30</v>
      </c>
      <c r="F252" s="21">
        <v>25</v>
      </c>
      <c r="G252" s="41">
        <v>1</v>
      </c>
      <c r="H252" s="22">
        <v>0.99</v>
      </c>
      <c r="I252" s="22">
        <v>1</v>
      </c>
      <c r="J252" s="22">
        <v>0</v>
      </c>
      <c r="K252" s="22">
        <v>0</v>
      </c>
      <c r="L252" s="22">
        <v>0</v>
      </c>
      <c r="M252" s="22">
        <v>0</v>
      </c>
      <c r="N252" s="21">
        <v>1246.4942349641633</v>
      </c>
      <c r="O252" s="33">
        <v>22.436896229354936</v>
      </c>
      <c r="P252" s="230">
        <v>8.4171240250803997E-2</v>
      </c>
      <c r="Q252" s="48">
        <v>500</v>
      </c>
      <c r="R252" s="48">
        <v>968.37360777926597</v>
      </c>
      <c r="S252" s="48">
        <v>1749.6000000000001</v>
      </c>
      <c r="T252" s="55">
        <v>2010</v>
      </c>
    </row>
    <row r="253" spans="1:20" ht="15" customHeight="1" x14ac:dyDescent="0.35">
      <c r="A253" s="333" t="s">
        <v>38</v>
      </c>
      <c r="B253" s="334" t="s">
        <v>38</v>
      </c>
      <c r="C253" s="322" t="s">
        <v>6</v>
      </c>
      <c r="D253" s="62" t="s">
        <v>7</v>
      </c>
      <c r="E253" s="11">
        <v>120000</v>
      </c>
      <c r="F253" s="12">
        <v>30</v>
      </c>
      <c r="G253" s="37">
        <v>3</v>
      </c>
      <c r="H253" s="13">
        <v>0.95</v>
      </c>
      <c r="I253" s="13">
        <v>0.2103049421661409</v>
      </c>
      <c r="J253" s="13">
        <v>0</v>
      </c>
      <c r="K253" s="13">
        <v>0</v>
      </c>
      <c r="L253" s="13">
        <v>0</v>
      </c>
      <c r="M253" s="13">
        <v>0</v>
      </c>
      <c r="N253" s="12">
        <v>5624.988231262425</v>
      </c>
      <c r="O253" s="29">
        <v>74.999843083499016</v>
      </c>
      <c r="P253" s="227">
        <v>1.5386837678326291</v>
      </c>
      <c r="Q253" s="45">
        <v>1200</v>
      </c>
      <c r="R253" s="45">
        <v>2954.732454336749</v>
      </c>
      <c r="S253" s="45">
        <v>2700</v>
      </c>
      <c r="T253" s="52">
        <v>2010</v>
      </c>
    </row>
    <row r="254" spans="1:20" ht="15" customHeight="1" x14ac:dyDescent="0.35">
      <c r="A254" s="326" t="str">
        <f t="shared" ref="A254:C256" si="112">A253</f>
        <v>Solar thermal power plants</v>
      </c>
      <c r="B254" s="335" t="str">
        <f t="shared" si="112"/>
        <v>Solar thermal power plants</v>
      </c>
      <c r="C254" s="321" t="str">
        <f t="shared" si="112"/>
        <v>Electricity only</v>
      </c>
      <c r="D254" s="61" t="s">
        <v>8</v>
      </c>
      <c r="E254" s="8">
        <v>65000</v>
      </c>
      <c r="F254" s="9">
        <v>30</v>
      </c>
      <c r="G254" s="38">
        <v>2</v>
      </c>
      <c r="H254" s="10">
        <v>0.96</v>
      </c>
      <c r="I254" s="10">
        <v>0.2103049421661409</v>
      </c>
      <c r="J254" s="10">
        <v>0</v>
      </c>
      <c r="K254" s="10">
        <v>0</v>
      </c>
      <c r="L254" s="10">
        <v>0</v>
      </c>
      <c r="M254" s="10">
        <v>0</v>
      </c>
      <c r="N254" s="9">
        <v>6078.4597353066765</v>
      </c>
      <c r="O254" s="30">
        <v>81.04612980408902</v>
      </c>
      <c r="P254" s="226">
        <v>1.5395632751200097</v>
      </c>
      <c r="Q254" s="44">
        <v>1200</v>
      </c>
      <c r="R254" s="44">
        <v>2762.6748448048602</v>
      </c>
      <c r="S254" s="44">
        <v>2430</v>
      </c>
      <c r="T254" s="51">
        <v>2010</v>
      </c>
    </row>
    <row r="255" spans="1:20" ht="15" customHeight="1" x14ac:dyDescent="0.35">
      <c r="A255" s="326" t="str">
        <f t="shared" si="112"/>
        <v>Solar thermal power plants</v>
      </c>
      <c r="B255" s="335" t="str">
        <f t="shared" si="112"/>
        <v>Solar thermal power plants</v>
      </c>
      <c r="C255" s="321" t="str">
        <f t="shared" si="112"/>
        <v>Electricity only</v>
      </c>
      <c r="D255" s="61" t="s">
        <v>10</v>
      </c>
      <c r="E255" s="8">
        <v>17500</v>
      </c>
      <c r="F255" s="9">
        <v>30</v>
      </c>
      <c r="G255" s="38">
        <v>1</v>
      </c>
      <c r="H255" s="10">
        <v>0.97</v>
      </c>
      <c r="I255" s="10">
        <v>0.2103049421661409</v>
      </c>
      <c r="J255" s="10">
        <v>0</v>
      </c>
      <c r="K255" s="10">
        <v>0</v>
      </c>
      <c r="L255" s="10">
        <v>0</v>
      </c>
      <c r="M255" s="10">
        <v>0</v>
      </c>
      <c r="N255" s="9">
        <v>6992.7831053531445</v>
      </c>
      <c r="O255" s="30">
        <v>93.23710807137526</v>
      </c>
      <c r="P255" s="226">
        <v>1.5401258712256138</v>
      </c>
      <c r="Q255" s="44">
        <v>1200</v>
      </c>
      <c r="R255" s="44">
        <v>2624.5411025646167</v>
      </c>
      <c r="S255" s="44">
        <v>2187</v>
      </c>
      <c r="T255" s="51">
        <v>2010</v>
      </c>
    </row>
    <row r="256" spans="1:20" ht="15" customHeight="1" x14ac:dyDescent="0.35">
      <c r="A256" s="327" t="str">
        <f t="shared" si="112"/>
        <v>Solar thermal power plants</v>
      </c>
      <c r="B256" s="336" t="str">
        <f t="shared" si="112"/>
        <v>Solar thermal power plants</v>
      </c>
      <c r="C256" s="325" t="str">
        <f t="shared" si="112"/>
        <v>Electricity only</v>
      </c>
      <c r="D256" s="63" t="s">
        <v>20</v>
      </c>
      <c r="E256" s="20">
        <v>2500</v>
      </c>
      <c r="F256" s="21">
        <v>30</v>
      </c>
      <c r="G256" s="41">
        <v>1</v>
      </c>
      <c r="H256" s="22">
        <v>0.98</v>
      </c>
      <c r="I256" s="22">
        <v>0.2103049421661409</v>
      </c>
      <c r="J256" s="22">
        <v>0</v>
      </c>
      <c r="K256" s="22">
        <v>0</v>
      </c>
      <c r="L256" s="22">
        <v>0</v>
      </c>
      <c r="M256" s="22">
        <v>0</v>
      </c>
      <c r="N256" s="21">
        <v>8743.8328110025996</v>
      </c>
      <c r="O256" s="33">
        <v>116.58443748003467</v>
      </c>
      <c r="P256" s="230">
        <v>1.5406287222708197</v>
      </c>
      <c r="Q256" s="48">
        <v>1200</v>
      </c>
      <c r="R256" s="48">
        <v>2493.3140474363859</v>
      </c>
      <c r="S256" s="48">
        <v>1968.3</v>
      </c>
      <c r="T256" s="55">
        <v>2010</v>
      </c>
    </row>
    <row r="257" spans="1:20" ht="15" customHeight="1" x14ac:dyDescent="0.35">
      <c r="A257" s="333" t="s">
        <v>39</v>
      </c>
      <c r="B257" s="334" t="s">
        <v>39</v>
      </c>
      <c r="C257" s="322" t="s">
        <v>6</v>
      </c>
      <c r="D257" s="62" t="s">
        <v>7</v>
      </c>
      <c r="E257" s="11">
        <v>60000</v>
      </c>
      <c r="F257" s="12">
        <v>30</v>
      </c>
      <c r="G257" s="37">
        <v>2</v>
      </c>
      <c r="H257" s="13">
        <v>0.95</v>
      </c>
      <c r="I257" s="13">
        <v>0.1</v>
      </c>
      <c r="J257" s="13">
        <v>0</v>
      </c>
      <c r="K257" s="13">
        <v>0</v>
      </c>
      <c r="L257" s="13">
        <v>0</v>
      </c>
      <c r="M257" s="13">
        <v>0.05</v>
      </c>
      <c r="N257" s="12">
        <v>5521.8208162832107</v>
      </c>
      <c r="O257" s="29">
        <v>64.421242856637448</v>
      </c>
      <c r="P257" s="227">
        <v>32.367062229092674</v>
      </c>
      <c r="Q257" s="45">
        <v>4500</v>
      </c>
      <c r="R257" s="45">
        <v>6900</v>
      </c>
      <c r="S257" s="45">
        <v>8500</v>
      </c>
      <c r="T257" s="52">
        <v>2010</v>
      </c>
    </row>
    <row r="258" spans="1:20" ht="15" customHeight="1" x14ac:dyDescent="0.35">
      <c r="A258" s="326" t="str">
        <f t="shared" ref="A258:C259" si="113">A257</f>
        <v>Geothermal power plants</v>
      </c>
      <c r="B258" s="335" t="str">
        <f t="shared" si="113"/>
        <v>Geothermal power plants</v>
      </c>
      <c r="C258" s="321" t="str">
        <f t="shared" si="113"/>
        <v>Electricity only</v>
      </c>
      <c r="D258" s="61" t="s">
        <v>8</v>
      </c>
      <c r="E258" s="8">
        <v>25000</v>
      </c>
      <c r="F258" s="9">
        <v>30</v>
      </c>
      <c r="G258" s="38">
        <v>1</v>
      </c>
      <c r="H258" s="10">
        <v>0.95</v>
      </c>
      <c r="I258" s="10">
        <v>0.1</v>
      </c>
      <c r="J258" s="10">
        <v>0</v>
      </c>
      <c r="K258" s="10">
        <v>0</v>
      </c>
      <c r="L258" s="10">
        <v>0</v>
      </c>
      <c r="M258" s="10">
        <v>6.5000000000000002E-2</v>
      </c>
      <c r="N258" s="9">
        <v>6343.0803003650981</v>
      </c>
      <c r="O258" s="30">
        <v>74.002603504259483</v>
      </c>
      <c r="P258" s="226">
        <v>33.947878665494436</v>
      </c>
      <c r="Q258" s="44">
        <v>3375</v>
      </c>
      <c r="R258" s="44">
        <v>6555</v>
      </c>
      <c r="S258" s="44">
        <v>6850.3833153750793</v>
      </c>
      <c r="T258" s="51">
        <v>2010</v>
      </c>
    </row>
    <row r="259" spans="1:20" ht="15" customHeight="1" x14ac:dyDescent="0.35">
      <c r="A259" s="327" t="str">
        <f t="shared" si="113"/>
        <v>Geothermal power plants</v>
      </c>
      <c r="B259" s="336" t="str">
        <f t="shared" si="113"/>
        <v>Geothermal power plants</v>
      </c>
      <c r="C259" s="325" t="str">
        <f t="shared" si="113"/>
        <v>Electricity only</v>
      </c>
      <c r="D259" s="63" t="s">
        <v>10</v>
      </c>
      <c r="E259" s="20">
        <v>5500</v>
      </c>
      <c r="F259" s="21">
        <v>30</v>
      </c>
      <c r="G259" s="41">
        <v>1</v>
      </c>
      <c r="H259" s="22">
        <v>0.95</v>
      </c>
      <c r="I259" s="22">
        <v>0.1</v>
      </c>
      <c r="J259" s="22">
        <v>0</v>
      </c>
      <c r="K259" s="22">
        <v>0</v>
      </c>
      <c r="L259" s="22">
        <v>0</v>
      </c>
      <c r="M259" s="22">
        <v>0.09</v>
      </c>
      <c r="N259" s="21">
        <v>8267.8476984640274</v>
      </c>
      <c r="O259" s="33">
        <v>96.458223148746981</v>
      </c>
      <c r="P259" s="230">
        <v>35.739695379897007</v>
      </c>
      <c r="Q259" s="48">
        <v>2531.25</v>
      </c>
      <c r="R259" s="48">
        <v>6227.25</v>
      </c>
      <c r="S259" s="48">
        <v>5520.9119491257961</v>
      </c>
      <c r="T259" s="55">
        <v>2010</v>
      </c>
    </row>
    <row r="260" spans="1:20" ht="15" customHeight="1" x14ac:dyDescent="0.35">
      <c r="A260" s="333" t="s">
        <v>40</v>
      </c>
      <c r="B260" s="5" t="s">
        <v>41</v>
      </c>
      <c r="C260" s="6" t="s">
        <v>6</v>
      </c>
      <c r="D260" s="66" t="s">
        <v>8</v>
      </c>
      <c r="E260" s="23">
        <v>10000</v>
      </c>
      <c r="F260" s="24">
        <v>30</v>
      </c>
      <c r="G260" s="42">
        <v>3</v>
      </c>
      <c r="H260" s="25">
        <v>0.9</v>
      </c>
      <c r="I260" s="25">
        <v>1</v>
      </c>
      <c r="J260" s="25">
        <v>0</v>
      </c>
      <c r="K260" s="25">
        <v>0</v>
      </c>
      <c r="L260" s="25">
        <v>0</v>
      </c>
      <c r="M260" s="25">
        <v>0</v>
      </c>
      <c r="N260" s="24">
        <v>8110.8750336128069</v>
      </c>
      <c r="O260" s="34">
        <v>121.66312550419211</v>
      </c>
      <c r="P260" s="231">
        <v>4.7543229974283738</v>
      </c>
      <c r="Q260" s="49">
        <v>1750</v>
      </c>
      <c r="R260" s="49">
        <v>4270</v>
      </c>
      <c r="S260" s="49">
        <v>7500</v>
      </c>
      <c r="T260" s="56">
        <v>2010</v>
      </c>
    </row>
    <row r="261" spans="1:20" ht="15" customHeight="1" x14ac:dyDescent="0.35">
      <c r="A261" s="327" t="str">
        <f>A260</f>
        <v>Tide, wave and ocean power plants</v>
      </c>
      <c r="B261" s="279" t="s">
        <v>42</v>
      </c>
      <c r="C261" s="7" t="s">
        <v>6</v>
      </c>
      <c r="D261" s="63" t="s">
        <v>8</v>
      </c>
      <c r="E261" s="20">
        <v>1000</v>
      </c>
      <c r="F261" s="21">
        <v>25</v>
      </c>
      <c r="G261" s="41">
        <v>2</v>
      </c>
      <c r="H261" s="22">
        <v>0.92</v>
      </c>
      <c r="I261" s="22">
        <v>1</v>
      </c>
      <c r="J261" s="22">
        <v>0</v>
      </c>
      <c r="K261" s="22">
        <v>0</v>
      </c>
      <c r="L261" s="22">
        <v>0</v>
      </c>
      <c r="M261" s="22">
        <v>0</v>
      </c>
      <c r="N261" s="21">
        <v>8526.423034643869</v>
      </c>
      <c r="O261" s="33">
        <v>153.47561462358965</v>
      </c>
      <c r="P261" s="230">
        <v>7.9966452845429012</v>
      </c>
      <c r="Q261" s="48">
        <v>5000</v>
      </c>
      <c r="R261" s="48">
        <v>7150</v>
      </c>
      <c r="S261" s="48">
        <v>7500</v>
      </c>
      <c r="T261" s="55">
        <v>2010</v>
      </c>
    </row>
    <row r="262" spans="1:20" ht="15" customHeight="1" x14ac:dyDescent="0.35">
      <c r="A262" s="333" t="s">
        <v>43</v>
      </c>
      <c r="B262" s="334" t="s">
        <v>44</v>
      </c>
      <c r="C262" s="322" t="s">
        <v>6</v>
      </c>
      <c r="D262" s="62" t="s">
        <v>7</v>
      </c>
      <c r="E262" s="11">
        <v>45000</v>
      </c>
      <c r="F262" s="12">
        <v>50</v>
      </c>
      <c r="G262" s="37">
        <v>4</v>
      </c>
      <c r="H262" s="13">
        <v>0.93</v>
      </c>
      <c r="I262" s="13">
        <v>1</v>
      </c>
      <c r="J262" s="13">
        <v>0</v>
      </c>
      <c r="K262" s="13">
        <v>0</v>
      </c>
      <c r="L262" s="13">
        <v>0</v>
      </c>
      <c r="M262" s="13">
        <v>0</v>
      </c>
      <c r="N262" s="12">
        <v>2284.1125803273167</v>
      </c>
      <c r="O262" s="29">
        <v>20.557013222945848</v>
      </c>
      <c r="P262" s="227">
        <v>0.80332212672707504</v>
      </c>
      <c r="Q262" s="45">
        <v>4200</v>
      </c>
      <c r="R262" s="45">
        <v>4320</v>
      </c>
      <c r="S262" s="45">
        <v>8500</v>
      </c>
      <c r="T262" s="52">
        <v>2010</v>
      </c>
    </row>
    <row r="263" spans="1:20" ht="15" customHeight="1" x14ac:dyDescent="0.35">
      <c r="A263" s="326" t="str">
        <f t="shared" ref="A263:A266" si="114">A262</f>
        <v>Hydro plants</v>
      </c>
      <c r="B263" s="335" t="str">
        <f t="shared" ref="B263:C265" si="115">B262</f>
        <v>Run-of-river</v>
      </c>
      <c r="C263" s="321" t="str">
        <f t="shared" si="115"/>
        <v>Electricity only</v>
      </c>
      <c r="D263" s="61" t="s">
        <v>8</v>
      </c>
      <c r="E263" s="8">
        <v>15000</v>
      </c>
      <c r="F263" s="9">
        <v>50</v>
      </c>
      <c r="G263" s="38">
        <v>3</v>
      </c>
      <c r="H263" s="10">
        <v>0.93</v>
      </c>
      <c r="I263" s="10">
        <v>1</v>
      </c>
      <c r="J263" s="10">
        <v>0</v>
      </c>
      <c r="K263" s="10">
        <v>0</v>
      </c>
      <c r="L263" s="10">
        <v>0</v>
      </c>
      <c r="M263" s="10">
        <v>0</v>
      </c>
      <c r="N263" s="9">
        <v>2399.4025821617797</v>
      </c>
      <c r="O263" s="30">
        <v>21.59462323945602</v>
      </c>
      <c r="P263" s="226">
        <v>0.80368533986326562</v>
      </c>
      <c r="Q263" s="44">
        <v>3990</v>
      </c>
      <c r="R263" s="44">
        <v>4104</v>
      </c>
      <c r="S263" s="44">
        <v>7125</v>
      </c>
      <c r="T263" s="51">
        <v>2010</v>
      </c>
    </row>
    <row r="264" spans="1:20" ht="15" customHeight="1" x14ac:dyDescent="0.35">
      <c r="A264" s="326" t="str">
        <f t="shared" si="114"/>
        <v>Hydro plants</v>
      </c>
      <c r="B264" s="335" t="str">
        <f t="shared" si="115"/>
        <v>Run-of-river</v>
      </c>
      <c r="C264" s="321" t="str">
        <f t="shared" si="115"/>
        <v>Electricity only</v>
      </c>
      <c r="D264" s="61" t="s">
        <v>10</v>
      </c>
      <c r="E264" s="8">
        <v>2500</v>
      </c>
      <c r="F264" s="9">
        <v>50</v>
      </c>
      <c r="G264" s="38">
        <v>3</v>
      </c>
      <c r="H264" s="10">
        <v>0.93</v>
      </c>
      <c r="I264" s="10">
        <v>1</v>
      </c>
      <c r="J264" s="10">
        <v>0</v>
      </c>
      <c r="K264" s="10">
        <v>0</v>
      </c>
      <c r="L264" s="10">
        <v>0</v>
      </c>
      <c r="M264" s="10">
        <v>0</v>
      </c>
      <c r="N264" s="9">
        <v>2640.3322170111755</v>
      </c>
      <c r="O264" s="30">
        <v>23.762989953100579</v>
      </c>
      <c r="P264" s="226">
        <v>0.80398660708916592</v>
      </c>
      <c r="Q264" s="44">
        <v>3780</v>
      </c>
      <c r="R264" s="44">
        <v>3796.2000000000003</v>
      </c>
      <c r="S264" s="44">
        <v>7650</v>
      </c>
      <c r="T264" s="51">
        <v>2010</v>
      </c>
    </row>
    <row r="265" spans="1:20" ht="15" customHeight="1" x14ac:dyDescent="0.35">
      <c r="A265" s="326" t="str">
        <f t="shared" si="114"/>
        <v>Hydro plants</v>
      </c>
      <c r="B265" s="387" t="str">
        <f t="shared" si="115"/>
        <v>Run-of-river</v>
      </c>
      <c r="C265" s="324" t="str">
        <f t="shared" si="115"/>
        <v>Electricity only</v>
      </c>
      <c r="D265" s="65" t="s">
        <v>20</v>
      </c>
      <c r="E265" s="17">
        <v>300</v>
      </c>
      <c r="F265" s="18">
        <v>50</v>
      </c>
      <c r="G265" s="40">
        <v>2</v>
      </c>
      <c r="H265" s="19">
        <v>0.93</v>
      </c>
      <c r="I265" s="19">
        <v>1</v>
      </c>
      <c r="J265" s="19">
        <v>0</v>
      </c>
      <c r="K265" s="19">
        <v>0</v>
      </c>
      <c r="L265" s="19">
        <v>0</v>
      </c>
      <c r="M265" s="19">
        <v>0</v>
      </c>
      <c r="N265" s="18">
        <v>3169.3811654480342</v>
      </c>
      <c r="O265" s="32">
        <v>28.524430489032312</v>
      </c>
      <c r="P265" s="229">
        <v>0.80423591943079287</v>
      </c>
      <c r="Q265" s="47">
        <v>2940</v>
      </c>
      <c r="R265" s="47">
        <v>3416.5800000000004</v>
      </c>
      <c r="S265" s="47">
        <v>7225</v>
      </c>
      <c r="T265" s="54">
        <v>2010</v>
      </c>
    </row>
    <row r="266" spans="1:20" ht="15" customHeight="1" x14ac:dyDescent="0.35">
      <c r="A266" s="326" t="str">
        <f t="shared" si="114"/>
        <v>Hydro plants</v>
      </c>
      <c r="B266" s="335" t="s">
        <v>45</v>
      </c>
      <c r="C266" s="321" t="s">
        <v>6</v>
      </c>
      <c r="D266" s="61" t="s">
        <v>7</v>
      </c>
      <c r="E266" s="8">
        <v>90000</v>
      </c>
      <c r="F266" s="9">
        <v>60</v>
      </c>
      <c r="G266" s="38">
        <v>5</v>
      </c>
      <c r="H266" s="10">
        <v>0.96</v>
      </c>
      <c r="I266" s="10">
        <v>1</v>
      </c>
      <c r="J266" s="10">
        <v>0</v>
      </c>
      <c r="K266" s="10">
        <v>0</v>
      </c>
      <c r="L266" s="10">
        <v>0</v>
      </c>
      <c r="M266" s="10">
        <v>0</v>
      </c>
      <c r="N266" s="9">
        <v>2976.7673231852168</v>
      </c>
      <c r="O266" s="30">
        <v>27.287033795864492</v>
      </c>
      <c r="P266" s="226">
        <v>0.87244059882333436</v>
      </c>
      <c r="Q266" s="44">
        <v>500</v>
      </c>
      <c r="R266" s="44">
        <v>3630</v>
      </c>
      <c r="S266" s="44">
        <v>6500</v>
      </c>
      <c r="T266" s="51">
        <v>2010</v>
      </c>
    </row>
    <row r="267" spans="1:20" ht="15" customHeight="1" x14ac:dyDescent="0.35">
      <c r="A267" s="326" t="str">
        <f t="shared" ref="A267:C269" si="116">A266</f>
        <v>Hydro plants</v>
      </c>
      <c r="B267" s="335" t="str">
        <f t="shared" si="116"/>
        <v>Reservoirs (dams)</v>
      </c>
      <c r="C267" s="321" t="str">
        <f t="shared" si="116"/>
        <v>Electricity only</v>
      </c>
      <c r="D267" s="61" t="s">
        <v>8</v>
      </c>
      <c r="E267" s="8">
        <v>30000</v>
      </c>
      <c r="F267" s="9">
        <v>60</v>
      </c>
      <c r="G267" s="38">
        <v>4</v>
      </c>
      <c r="H267" s="10">
        <v>0.96</v>
      </c>
      <c r="I267" s="10">
        <v>1</v>
      </c>
      <c r="J267" s="10">
        <v>0</v>
      </c>
      <c r="K267" s="10">
        <v>0</v>
      </c>
      <c r="L267" s="10">
        <v>0</v>
      </c>
      <c r="M267" s="10">
        <v>0</v>
      </c>
      <c r="N267" s="9">
        <v>3423.3808544498397</v>
      </c>
      <c r="O267" s="30">
        <v>31.380991165790203</v>
      </c>
      <c r="P267" s="226">
        <v>0.87246568490999543</v>
      </c>
      <c r="Q267" s="44">
        <v>400</v>
      </c>
      <c r="R267" s="44">
        <v>3448.5</v>
      </c>
      <c r="S267" s="44">
        <v>5850</v>
      </c>
      <c r="T267" s="51">
        <v>2010</v>
      </c>
    </row>
    <row r="268" spans="1:20" ht="15" customHeight="1" x14ac:dyDescent="0.35">
      <c r="A268" s="326" t="str">
        <f t="shared" si="116"/>
        <v>Hydro plants</v>
      </c>
      <c r="B268" s="335" t="str">
        <f t="shared" si="116"/>
        <v>Reservoirs (dams)</v>
      </c>
      <c r="C268" s="321" t="str">
        <f t="shared" si="116"/>
        <v>Electricity only</v>
      </c>
      <c r="D268" s="61" t="s">
        <v>10</v>
      </c>
      <c r="E268" s="8">
        <v>5000</v>
      </c>
      <c r="F268" s="9">
        <v>60</v>
      </c>
      <c r="G268" s="38">
        <v>4</v>
      </c>
      <c r="H268" s="10">
        <v>0.96</v>
      </c>
      <c r="I268" s="10">
        <v>1</v>
      </c>
      <c r="J268" s="10">
        <v>0</v>
      </c>
      <c r="K268" s="10">
        <v>0</v>
      </c>
      <c r="L268" s="10">
        <v>0</v>
      </c>
      <c r="M268" s="10">
        <v>0</v>
      </c>
      <c r="N268" s="9">
        <v>4279.3620353805027</v>
      </c>
      <c r="O268" s="30">
        <v>39.227485324321272</v>
      </c>
      <c r="P268" s="226">
        <v>0.87249340646934148</v>
      </c>
      <c r="Q268" s="44">
        <v>300</v>
      </c>
      <c r="R268" s="44">
        <v>3103.65</v>
      </c>
      <c r="S268" s="44">
        <v>5265</v>
      </c>
      <c r="T268" s="51">
        <v>2010</v>
      </c>
    </row>
    <row r="269" spans="1:20" ht="15" customHeight="1" x14ac:dyDescent="0.35">
      <c r="A269" s="327" t="str">
        <f t="shared" si="116"/>
        <v>Hydro plants</v>
      </c>
      <c r="B269" s="336" t="str">
        <f t="shared" si="116"/>
        <v>Reservoirs (dams)</v>
      </c>
      <c r="C269" s="325" t="str">
        <f t="shared" si="116"/>
        <v>Electricity only</v>
      </c>
      <c r="D269" s="63" t="s">
        <v>20</v>
      </c>
      <c r="E269" s="20">
        <v>500</v>
      </c>
      <c r="F269" s="21">
        <v>60</v>
      </c>
      <c r="G269" s="41">
        <v>3</v>
      </c>
      <c r="H269" s="22">
        <v>0.96</v>
      </c>
      <c r="I269" s="22">
        <v>1</v>
      </c>
      <c r="J269" s="22">
        <v>0</v>
      </c>
      <c r="K269" s="22">
        <v>0</v>
      </c>
      <c r="L269" s="22">
        <v>0</v>
      </c>
      <c r="M269" s="22">
        <v>0</v>
      </c>
      <c r="N269" s="21">
        <v>5777.2117673536213</v>
      </c>
      <c r="O269" s="33">
        <v>52.957774534074865</v>
      </c>
      <c r="P269" s="230">
        <v>0.87250443426589441</v>
      </c>
      <c r="Q269" s="48">
        <v>200</v>
      </c>
      <c r="R269" s="48">
        <v>2793.2850000000003</v>
      </c>
      <c r="S269" s="48">
        <v>4738.5</v>
      </c>
      <c r="T269" s="55">
        <v>2010</v>
      </c>
    </row>
    <row r="270" spans="1:20" ht="15" customHeight="1" x14ac:dyDescent="0.35">
      <c r="A270" s="326" t="s">
        <v>46</v>
      </c>
      <c r="B270" s="335" t="s">
        <v>46</v>
      </c>
      <c r="C270" s="322" t="s">
        <v>6</v>
      </c>
      <c r="D270" s="61" t="s">
        <v>7</v>
      </c>
      <c r="E270" s="8">
        <v>75000</v>
      </c>
      <c r="F270" s="9">
        <v>60</v>
      </c>
      <c r="G270" s="38">
        <v>5</v>
      </c>
      <c r="H270" s="10">
        <v>0.95</v>
      </c>
      <c r="I270" s="10">
        <v>0.77001203691969144</v>
      </c>
      <c r="J270" s="10">
        <v>0</v>
      </c>
      <c r="K270" s="10">
        <v>0</v>
      </c>
      <c r="L270" s="10">
        <v>0</v>
      </c>
      <c r="M270" s="10">
        <v>0</v>
      </c>
      <c r="N270" s="9">
        <v>3348.8632385833685</v>
      </c>
      <c r="O270" s="30">
        <v>33.488632385833682</v>
      </c>
      <c r="P270" s="227">
        <v>0.98149567367625101</v>
      </c>
      <c r="Q270" s="44">
        <v>0.1</v>
      </c>
      <c r="R270" s="44">
        <v>816</v>
      </c>
      <c r="S270" s="44">
        <v>5000</v>
      </c>
      <c r="T270" s="51">
        <v>2010</v>
      </c>
    </row>
    <row r="271" spans="1:20" ht="15" customHeight="1" x14ac:dyDescent="0.35">
      <c r="A271" s="326" t="str">
        <f t="shared" ref="A271:C273" si="117">A270</f>
        <v>Pump storage</v>
      </c>
      <c r="B271" s="335" t="str">
        <f t="shared" si="117"/>
        <v>Pump storage</v>
      </c>
      <c r="C271" s="321" t="str">
        <f t="shared" si="117"/>
        <v>Electricity only</v>
      </c>
      <c r="D271" s="61" t="s">
        <v>8</v>
      </c>
      <c r="E271" s="8">
        <v>25000</v>
      </c>
      <c r="F271" s="9">
        <v>60</v>
      </c>
      <c r="G271" s="38">
        <v>4</v>
      </c>
      <c r="H271" s="10">
        <v>0.95</v>
      </c>
      <c r="I271" s="10">
        <v>0.75000741119150338</v>
      </c>
      <c r="J271" s="10">
        <v>0</v>
      </c>
      <c r="K271" s="10">
        <v>0</v>
      </c>
      <c r="L271" s="10">
        <v>0</v>
      </c>
      <c r="M271" s="10">
        <v>0</v>
      </c>
      <c r="N271" s="9">
        <v>3851.3034612560696</v>
      </c>
      <c r="O271" s="30">
        <v>38.513034612560695</v>
      </c>
      <c r="P271" s="226">
        <v>0.98152389552374497</v>
      </c>
      <c r="Q271" s="44">
        <v>0.1</v>
      </c>
      <c r="R271" s="44">
        <v>775.19999999999993</v>
      </c>
      <c r="S271" s="44">
        <v>4750</v>
      </c>
      <c r="T271" s="51">
        <v>2010</v>
      </c>
    </row>
    <row r="272" spans="1:20" ht="15" customHeight="1" x14ac:dyDescent="0.35">
      <c r="A272" s="326" t="str">
        <f t="shared" si="117"/>
        <v>Pump storage</v>
      </c>
      <c r="B272" s="335" t="str">
        <f t="shared" si="117"/>
        <v>Pump storage</v>
      </c>
      <c r="C272" s="321" t="str">
        <f t="shared" si="117"/>
        <v>Electricity only</v>
      </c>
      <c r="D272" s="61" t="s">
        <v>10</v>
      </c>
      <c r="E272" s="8">
        <v>4500</v>
      </c>
      <c r="F272" s="9">
        <v>60</v>
      </c>
      <c r="G272" s="38">
        <v>4</v>
      </c>
      <c r="H272" s="10">
        <v>0.95</v>
      </c>
      <c r="I272" s="10">
        <v>0.71000250408829446</v>
      </c>
      <c r="J272" s="10">
        <v>0</v>
      </c>
      <c r="K272" s="10">
        <v>0</v>
      </c>
      <c r="L272" s="10">
        <v>0</v>
      </c>
      <c r="M272" s="10">
        <v>0</v>
      </c>
      <c r="N272" s="9">
        <v>4814.2822898030654</v>
      </c>
      <c r="O272" s="30">
        <v>48.142822898030644</v>
      </c>
      <c r="P272" s="226">
        <v>0.98155508227800914</v>
      </c>
      <c r="Q272" s="44">
        <v>0.1</v>
      </c>
      <c r="R272" s="44">
        <v>736.43999999999994</v>
      </c>
      <c r="S272" s="44">
        <v>4275</v>
      </c>
      <c r="T272" s="51">
        <v>2010</v>
      </c>
    </row>
    <row r="273" spans="1:20" ht="15" customHeight="1" thickBot="1" x14ac:dyDescent="0.4">
      <c r="A273" s="388" t="str">
        <f t="shared" si="117"/>
        <v>Pump storage</v>
      </c>
      <c r="B273" s="389" t="str">
        <f t="shared" si="117"/>
        <v>Pump storage</v>
      </c>
      <c r="C273" s="342" t="str">
        <f t="shared" si="117"/>
        <v>Electricity only</v>
      </c>
      <c r="D273" s="67" t="s">
        <v>20</v>
      </c>
      <c r="E273" s="26">
        <v>500</v>
      </c>
      <c r="F273" s="27">
        <v>60</v>
      </c>
      <c r="G273" s="43">
        <v>3</v>
      </c>
      <c r="H273" s="28">
        <v>0.95</v>
      </c>
      <c r="I273" s="28">
        <v>0.68000067932979169</v>
      </c>
      <c r="J273" s="28">
        <v>0</v>
      </c>
      <c r="K273" s="28">
        <v>0</v>
      </c>
      <c r="L273" s="28">
        <v>0</v>
      </c>
      <c r="M273" s="28">
        <v>0</v>
      </c>
      <c r="N273" s="27">
        <v>6499.3632382728229</v>
      </c>
      <c r="O273" s="35">
        <v>64.993632382728222</v>
      </c>
      <c r="P273" s="232">
        <v>0.9815674885491309</v>
      </c>
      <c r="Q273" s="50">
        <v>0.1</v>
      </c>
      <c r="R273" s="50">
        <v>699.61799999999994</v>
      </c>
      <c r="S273" s="50">
        <v>3420</v>
      </c>
      <c r="T273" s="57">
        <v>2010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AX2637"/>
  <sheetViews>
    <sheetView showGridLines="0" workbookViewId="0">
      <pane ySplit="4" topLeftCell="A1006" activePane="bottomLeft" state="frozen"/>
      <selection pane="bottomLeft" activeCell="B1155" sqref="B1155:B1166"/>
    </sheetView>
  </sheetViews>
  <sheetFormatPr defaultColWidth="9.08984375" defaultRowHeight="10.5" x14ac:dyDescent="0.25"/>
  <cols>
    <col min="1" max="1" width="37.453125" style="133" customWidth="1"/>
    <col min="2" max="2" width="32.453125" style="133" customWidth="1"/>
    <col min="3" max="3" width="23.54296875" style="133" customWidth="1"/>
    <col min="4" max="4" width="8.26953125" style="133" customWidth="1"/>
    <col min="5" max="9" width="4.08984375" style="133" hidden="1" customWidth="1"/>
    <col min="10" max="10" width="8.7265625" style="133" customWidth="1"/>
    <col min="11" max="14" width="8.984375E-2" style="133" customWidth="1"/>
    <col min="15" max="15" width="8.7265625" style="133" customWidth="1"/>
    <col min="16" max="19" width="8.984375E-2" style="133" customWidth="1"/>
    <col min="20" max="20" width="8.7265625" style="133" customWidth="1"/>
    <col min="21" max="24" width="8.984375E-2" style="133" customWidth="1"/>
    <col min="25" max="25" width="8.7265625" style="133" customWidth="1"/>
    <col min="26" max="29" width="8.984375E-2" style="133" customWidth="1"/>
    <col min="30" max="30" width="8.7265625" style="133" customWidth="1"/>
    <col min="31" max="34" width="8.984375E-2" style="133" customWidth="1"/>
    <col min="35" max="35" width="8.7265625" style="133" customWidth="1"/>
    <col min="36" max="39" width="8.984375E-2" style="133" customWidth="1"/>
    <col min="40" max="40" width="8.7265625" style="133" customWidth="1"/>
    <col min="41" max="44" width="8.984375E-2" style="133" customWidth="1"/>
    <col min="45" max="45" width="8.7265625" style="133" customWidth="1"/>
    <col min="46" max="49" width="8.984375E-2" style="133" customWidth="1"/>
    <col min="50" max="16384" width="9.08984375" style="133"/>
  </cols>
  <sheetData>
    <row r="1" spans="1:50" x14ac:dyDescent="0.25">
      <c r="A1" s="159" t="s">
        <v>57</v>
      </c>
      <c r="B1" s="159" t="s">
        <v>58</v>
      </c>
      <c r="C1" s="159" t="s">
        <v>59</v>
      </c>
      <c r="D1" s="159" t="s">
        <v>60</v>
      </c>
    </row>
    <row r="6" spans="1:50" x14ac:dyDescent="0.25">
      <c r="A6" s="196" t="str">
        <f>$I$7</f>
        <v>Pump storage / Pump storage / Electricity only / M</v>
      </c>
      <c r="B6" s="197"/>
      <c r="C6" s="197"/>
      <c r="D6" s="197"/>
      <c r="E6" s="197"/>
      <c r="F6" s="197"/>
      <c r="G6" s="197"/>
      <c r="H6" s="197"/>
      <c r="I6" s="197"/>
      <c r="J6" s="197">
        <f>J$125</f>
        <v>2010</v>
      </c>
      <c r="K6" s="197">
        <f t="shared" ref="K6:N6" si="0">K$125</f>
        <v>2011</v>
      </c>
      <c r="L6" s="197">
        <f t="shared" si="0"/>
        <v>2012</v>
      </c>
      <c r="M6" s="197">
        <f t="shared" si="0"/>
        <v>2013</v>
      </c>
      <c r="N6" s="197">
        <f t="shared" si="0"/>
        <v>2014</v>
      </c>
      <c r="O6" s="197">
        <f>O$125</f>
        <v>2015</v>
      </c>
      <c r="P6" s="197">
        <f t="shared" ref="P6:AX6" si="1">P$125</f>
        <v>2016</v>
      </c>
      <c r="Q6" s="197">
        <f t="shared" si="1"/>
        <v>2017</v>
      </c>
      <c r="R6" s="197">
        <f t="shared" si="1"/>
        <v>2018</v>
      </c>
      <c r="S6" s="197">
        <f t="shared" si="1"/>
        <v>2019</v>
      </c>
      <c r="T6" s="197">
        <f t="shared" si="1"/>
        <v>2020</v>
      </c>
      <c r="U6" s="197">
        <f t="shared" si="1"/>
        <v>2021</v>
      </c>
      <c r="V6" s="197">
        <f t="shared" si="1"/>
        <v>2022</v>
      </c>
      <c r="W6" s="197">
        <f t="shared" si="1"/>
        <v>2023</v>
      </c>
      <c r="X6" s="197">
        <f t="shared" si="1"/>
        <v>2024</v>
      </c>
      <c r="Y6" s="197">
        <f t="shared" si="1"/>
        <v>2025</v>
      </c>
      <c r="Z6" s="197">
        <f t="shared" si="1"/>
        <v>2026</v>
      </c>
      <c r="AA6" s="197">
        <f t="shared" si="1"/>
        <v>2027</v>
      </c>
      <c r="AB6" s="197">
        <f t="shared" si="1"/>
        <v>2028</v>
      </c>
      <c r="AC6" s="197">
        <f t="shared" si="1"/>
        <v>2029</v>
      </c>
      <c r="AD6" s="197">
        <f t="shared" si="1"/>
        <v>2030</v>
      </c>
      <c r="AE6" s="197">
        <f t="shared" si="1"/>
        <v>2031</v>
      </c>
      <c r="AF6" s="197">
        <f t="shared" si="1"/>
        <v>2032</v>
      </c>
      <c r="AG6" s="197">
        <f t="shared" si="1"/>
        <v>2033</v>
      </c>
      <c r="AH6" s="197">
        <f t="shared" si="1"/>
        <v>2034</v>
      </c>
      <c r="AI6" s="197">
        <f t="shared" si="1"/>
        <v>2035</v>
      </c>
      <c r="AJ6" s="197">
        <f t="shared" si="1"/>
        <v>2036</v>
      </c>
      <c r="AK6" s="197">
        <f t="shared" si="1"/>
        <v>2037</v>
      </c>
      <c r="AL6" s="197">
        <f t="shared" si="1"/>
        <v>2038</v>
      </c>
      <c r="AM6" s="197">
        <f t="shared" si="1"/>
        <v>2039</v>
      </c>
      <c r="AN6" s="197">
        <f t="shared" si="1"/>
        <v>2040</v>
      </c>
      <c r="AO6" s="197">
        <f t="shared" si="1"/>
        <v>2041</v>
      </c>
      <c r="AP6" s="197">
        <f t="shared" si="1"/>
        <v>2042</v>
      </c>
      <c r="AQ6" s="197">
        <f t="shared" si="1"/>
        <v>2043</v>
      </c>
      <c r="AR6" s="197">
        <f t="shared" si="1"/>
        <v>2044</v>
      </c>
      <c r="AS6" s="197">
        <f t="shared" si="1"/>
        <v>2045</v>
      </c>
      <c r="AT6" s="197">
        <f t="shared" si="1"/>
        <v>2046</v>
      </c>
      <c r="AU6" s="197">
        <f t="shared" si="1"/>
        <v>2047</v>
      </c>
      <c r="AV6" s="197">
        <f t="shared" si="1"/>
        <v>2048</v>
      </c>
      <c r="AW6" s="197">
        <f t="shared" si="1"/>
        <v>2049</v>
      </c>
      <c r="AX6" s="198">
        <f t="shared" si="1"/>
        <v>2050</v>
      </c>
    </row>
    <row r="7" spans="1:50" x14ac:dyDescent="0.25">
      <c r="A7" s="242" t="str">
        <f>$J$124</f>
        <v>Efficiency</v>
      </c>
      <c r="B7" s="199"/>
      <c r="C7" s="199"/>
      <c r="D7" s="199"/>
      <c r="E7" s="199"/>
      <c r="F7" s="199"/>
      <c r="G7" s="199"/>
      <c r="H7" s="199"/>
      <c r="I7" s="199" t="str">
        <f>INDEX(F$126:F$397,$D$54)&amp;" / "&amp;INDEX(G$126:G$397,$D$54)&amp;" / "&amp;INDEX(H$126:H$397,$D$54)&amp;" / "&amp;INDEX(I$126:I$397,$D$54)</f>
        <v>Pump storage / Pump storage / Electricity only / M</v>
      </c>
      <c r="J7" s="297">
        <f>IF(LEN(INDEX(J$126:J$397,$D$54))&lt;=0,NA(),INDEX(J$126:J$397,$D$54))</f>
        <v>0.75</v>
      </c>
      <c r="K7" s="297">
        <f t="shared" ref="K7:N7" si="2">IF(LEN(INDEX(K$126:K$397,$D$54))&lt;=0,NA(),INDEX(K$126:K$397,$D$54))</f>
        <v>0.75000120196272679</v>
      </c>
      <c r="L7" s="297">
        <f t="shared" si="2"/>
        <v>0.75000253013083773</v>
      </c>
      <c r="M7" s="297">
        <f t="shared" si="2"/>
        <v>0.75000399773189053</v>
      </c>
      <c r="N7" s="297">
        <f t="shared" si="2"/>
        <v>0.75000561937452737</v>
      </c>
      <c r="O7" s="297">
        <f>IF(LEN(INDEX(O$126:O$397,$D$54))&lt;=0,NA(),INDEX(O$126:O$397,$D$54))</f>
        <v>0.75000741119150338</v>
      </c>
      <c r="P7" s="297">
        <f t="shared" ref="P7:AX7" si="3">IF(LEN(INDEX(P$126:P$397,$D$54))&lt;=0,NA(),INDEX(P$126:P$397,$D$54))</f>
        <v>0.75000939099726638</v>
      </c>
      <c r="Q7" s="297">
        <f t="shared" si="3"/>
        <v>0.75001157846151567</v>
      </c>
      <c r="R7" s="297">
        <f t="shared" si="3"/>
        <v>0.75001399530028345</v>
      </c>
      <c r="S7" s="297">
        <f t="shared" si="3"/>
        <v>0.75001666548622681</v>
      </c>
      <c r="T7" s="297">
        <f t="shared" si="3"/>
        <v>0.75001961547995566</v>
      </c>
      <c r="U7" s="297">
        <f t="shared" si="3"/>
        <v>0.75002287448436966</v>
      </c>
      <c r="V7" s="297">
        <f t="shared" si="3"/>
        <v>0.75002647472414086</v>
      </c>
      <c r="W7" s="297">
        <f t="shared" si="3"/>
        <v>0.75003045175263328</v>
      </c>
      <c r="X7" s="297">
        <f t="shared" si="3"/>
        <v>0.75003484478872073</v>
      </c>
      <c r="Y7" s="297">
        <f t="shared" si="3"/>
        <v>0.75003969708612928</v>
      </c>
      <c r="Z7" s="297">
        <f t="shared" si="3"/>
        <v>0.75004505633809737</v>
      </c>
      <c r="AA7" s="297">
        <f t="shared" si="3"/>
        <v>0.75005097512030594</v>
      </c>
      <c r="AB7" s="297">
        <f t="shared" si="3"/>
        <v>0.75005751137517396</v>
      </c>
      <c r="AC7" s="297">
        <f t="shared" si="3"/>
        <v>0.75006472894075271</v>
      </c>
      <c r="AD7" s="297">
        <f t="shared" si="3"/>
        <v>0.75007269812754485</v>
      </c>
      <c r="AE7" s="297">
        <f t="shared" si="3"/>
        <v>0.75008149634664667</v>
      </c>
      <c r="AF7" s="297">
        <f t="shared" si="3"/>
        <v>0.75009120879261748</v>
      </c>
      <c r="AG7" s="297">
        <f t="shared" si="3"/>
        <v>0.75010192918442986</v>
      </c>
      <c r="AH7" s="297">
        <f t="shared" si="3"/>
        <v>0.75011376056770895</v>
      </c>
      <c r="AI7" s="297">
        <f t="shared" si="3"/>
        <v>0.75012681618120924</v>
      </c>
      <c r="AJ7" s="297">
        <f t="shared" si="3"/>
        <v>0.75014122039008435</v>
      </c>
      <c r="AK7" s="297">
        <f t="shared" si="3"/>
        <v>0.7501571096879196</v>
      </c>
      <c r="AL7" s="297">
        <f t="shared" si="3"/>
        <v>0.75017463376871074</v>
      </c>
      <c r="AM7" s="297">
        <f t="shared" si="3"/>
        <v>0.75019395666889732</v>
      </c>
      <c r="AN7" s="297">
        <f t="shared" si="3"/>
        <v>0.7502152579781769</v>
      </c>
      <c r="AO7" s="297">
        <f t="shared" si="3"/>
        <v>0.75023873411604192</v>
      </c>
      <c r="AP7" s="297">
        <f t="shared" si="3"/>
        <v>0.75026459966873404</v>
      </c>
      <c r="AQ7" s="297">
        <f t="shared" si="3"/>
        <v>0.75029308877852074</v>
      </c>
      <c r="AR7" s="297">
        <f t="shared" si="3"/>
        <v>0.75032445657375979</v>
      </c>
      <c r="AS7" s="297">
        <f t="shared" si="3"/>
        <v>0.75035898062404793</v>
      </c>
      <c r="AT7" s="297">
        <f t="shared" si="3"/>
        <v>0.75039696239973586</v>
      </c>
      <c r="AU7" s="297">
        <f t="shared" si="3"/>
        <v>0.75043872870913553</v>
      </c>
      <c r="AV7" s="297">
        <f t="shared" si="3"/>
        <v>0.75048463307974012</v>
      </c>
      <c r="AW7" s="297">
        <f t="shared" si="3"/>
        <v>0.75053505704166668</v>
      </c>
      <c r="AX7" s="298">
        <f t="shared" si="3"/>
        <v>0.75059041126221659</v>
      </c>
    </row>
    <row r="8" spans="1:50" x14ac:dyDescent="0.25">
      <c r="A8" s="242" t="str">
        <f>$J$964</f>
        <v>Capital costs  €2010/kW gross</v>
      </c>
      <c r="B8" s="199"/>
      <c r="C8" s="199"/>
      <c r="D8" s="199"/>
      <c r="E8" s="199"/>
      <c r="F8" s="199"/>
      <c r="G8" s="199"/>
      <c r="H8" s="199"/>
      <c r="I8" s="199" t="str">
        <f>INDEX(F$966:F$1237,$D$54)&amp;" / "&amp;INDEX(G$966:G$1237,$D$54)&amp;" / "&amp;INDEX(H$966:H$1237,$D$54)&amp;" / "&amp;INDEX(I$966:I$1237,$D$54)</f>
        <v>Pump storage / Pump storage / Electricity only / M</v>
      </c>
      <c r="J8" s="293">
        <f>IF(LEN(INDEX(J$966:J$1237,$D$54))&lt;=0,NA(),INDEX(J$966:J$1237,$D$54))</f>
        <v>3851.4937499999996</v>
      </c>
      <c r="K8" s="293">
        <f t="shared" ref="K8:N8" si="4">IF(LEN(INDEX(K$966:K$1237,$D$54))&lt;=0,NA(),INDEX(K$966:K$1237,$D$54))</f>
        <v>3851.4628878021826</v>
      </c>
      <c r="L8" s="293">
        <f t="shared" si="4"/>
        <v>3851.4287854367567</v>
      </c>
      <c r="M8" s="293">
        <f t="shared" si="4"/>
        <v>3851.3911033788172</v>
      </c>
      <c r="N8" s="293">
        <f t="shared" si="4"/>
        <v>3851.3494666706688</v>
      </c>
      <c r="O8" s="293">
        <f>IF(LEN(INDEX(O$966:O$1237,$D$54))&lt;=0,NA(),INDEX(O$966:O$1237,$D$54))</f>
        <v>3851.3034612560696</v>
      </c>
      <c r="P8" s="293">
        <f t="shared" ref="P8:AX8" si="5">IF(LEN(INDEX(P$966:P$1237,$D$54))&lt;=0,NA(),INDEX(P$966:P$1237,$D$54))</f>
        <v>3851.2526299423225</v>
      </c>
      <c r="Q8" s="293">
        <f t="shared" si="5"/>
        <v>3851.1964679540029</v>
      </c>
      <c r="R8" s="293">
        <f t="shared" si="5"/>
        <v>3851.1344180389469</v>
      </c>
      <c r="S8" s="293">
        <f t="shared" si="5"/>
        <v>3851.065865083774</v>
      </c>
      <c r="T8" s="293">
        <f t="shared" si="5"/>
        <v>3850.9901301926507</v>
      </c>
      <c r="U8" s="293">
        <f t="shared" si="5"/>
        <v>3850.9064641793088</v>
      </c>
      <c r="V8" s="293">
        <f t="shared" si="5"/>
        <v>3850.8140404184478</v>
      </c>
      <c r="W8" s="293">
        <f t="shared" si="5"/>
        <v>3850.7119469987065</v>
      </c>
      <c r="X8" s="293">
        <f t="shared" si="5"/>
        <v>3850.5991781153493</v>
      </c>
      <c r="Y8" s="293">
        <f t="shared" si="5"/>
        <v>3850.4746246368086</v>
      </c>
      <c r="Z8" s="293">
        <f t="shared" si="5"/>
        <v>3850.3370637753319</v>
      </c>
      <c r="AA8" s="293">
        <f t="shared" si="5"/>
        <v>3850.185147788286</v>
      </c>
      <c r="AB8" s="293">
        <f t="shared" si="5"/>
        <v>3850.0173916333856</v>
      </c>
      <c r="AC8" s="293">
        <f t="shared" si="5"/>
        <v>3849.8321594983727</v>
      </c>
      <c r="AD8" s="293">
        <f t="shared" si="5"/>
        <v>3849.6276501237612</v>
      </c>
      <c r="AE8" s="293">
        <f t="shared" si="5"/>
        <v>3849.4018808364576</v>
      </c>
      <c r="AF8" s="293">
        <f t="shared" si="5"/>
        <v>3849.1526702127449</v>
      </c>
      <c r="AG8" s="293">
        <f t="shared" si="5"/>
        <v>3848.8776192917512</v>
      </c>
      <c r="AH8" s="293">
        <f t="shared" si="5"/>
        <v>3848.5740912656283</v>
      </c>
      <c r="AI8" s="293">
        <f t="shared" si="5"/>
        <v>3848.2391895809396</v>
      </c>
      <c r="AJ8" s="293">
        <f t="shared" si="5"/>
        <v>3847.8697343979934</v>
      </c>
      <c r="AK8" s="293">
        <f t="shared" si="5"/>
        <v>3847.4622373719685</v>
      </c>
      <c r="AL8" s="293">
        <f t="shared" si="5"/>
        <v>3847.0128747428325</v>
      </c>
      <c r="AM8" s="293">
        <f t="shared" si="5"/>
        <v>3846.5174587515003</v>
      </c>
      <c r="AN8" s="293">
        <f t="shared" si="5"/>
        <v>3845.9714074389485</v>
      </c>
      <c r="AO8" s="293">
        <f t="shared" si="5"/>
        <v>3845.3697129347979</v>
      </c>
      <c r="AP8" s="293">
        <f t="shared" si="5"/>
        <v>3844.7069084041295</v>
      </c>
      <c r="AQ8" s="293">
        <f t="shared" si="5"/>
        <v>3843.9770338981284</v>
      </c>
      <c r="AR8" s="293">
        <f t="shared" si="5"/>
        <v>3843.1736014479188</v>
      </c>
      <c r="AS8" s="293">
        <f t="shared" si="5"/>
        <v>3842.2895598540449</v>
      </c>
      <c r="AT8" s="293">
        <f t="shared" si="5"/>
        <v>3841.3172597590174</v>
      </c>
      <c r="AU8" s="293">
        <f t="shared" si="5"/>
        <v>3840.2484197495605</v>
      </c>
      <c r="AV8" s="293">
        <f t="shared" si="5"/>
        <v>3839.0740944208364</v>
      </c>
      <c r="AW8" s="293">
        <f t="shared" si="5"/>
        <v>3837.7846455486015</v>
      </c>
      <c r="AX8" s="294">
        <f t="shared" si="5"/>
        <v>3836.3697177577255</v>
      </c>
    </row>
    <row r="9" spans="1:50" x14ac:dyDescent="0.25">
      <c r="A9" s="242" t="str">
        <f>$J$1244</f>
        <v>Fix O&amp;M costs  €2010/kW gross</v>
      </c>
      <c r="B9" s="199"/>
      <c r="C9" s="199"/>
      <c r="D9" s="199"/>
      <c r="E9" s="199"/>
      <c r="F9" s="199"/>
      <c r="G9" s="199"/>
      <c r="H9" s="199"/>
      <c r="I9" s="199" t="str">
        <f>INDEX(F$1246:F$1517,$D$54)&amp;" / "&amp;INDEX(G$1246:G$1517,$D$54)&amp;" / "&amp;INDEX(H$1246:H$1517,$D$54)&amp;" / "&amp;INDEX(I$1246:I$1517,$D$54)</f>
        <v>Pump storage / Pump storage / Electricity only / M</v>
      </c>
      <c r="J9" s="295">
        <f>IF(LEN(INDEX(J$1246:J$1517,$D$54))&lt;=0,NA(),INDEX(J$1246:J$1517,$D$54))</f>
        <v>38.514937499999995</v>
      </c>
      <c r="K9" s="295">
        <f t="shared" ref="K9:N9" si="6">IF(LEN(INDEX(K$1246:K$1517,$D$54))&lt;=0,NA(),INDEX(K$1246:K$1517,$D$54))</f>
        <v>38.514628878021824</v>
      </c>
      <c r="L9" s="295">
        <f t="shared" si="6"/>
        <v>38.514287854367566</v>
      </c>
      <c r="M9" s="295">
        <f t="shared" si="6"/>
        <v>38.513911033788176</v>
      </c>
      <c r="N9" s="295">
        <f t="shared" si="6"/>
        <v>38.513494666706691</v>
      </c>
      <c r="O9" s="295">
        <f>IF(LEN(INDEX(O$1246:O$1517,$D$54))&lt;=0,NA(),INDEX(O$1246:O$1517,$D$54))</f>
        <v>38.513034612560695</v>
      </c>
      <c r="P9" s="295">
        <f t="shared" ref="P9:AX9" si="7">IF(LEN(INDEX(P$1246:P$1517,$D$54))&lt;=0,NA(),INDEX(P$1246:P$1517,$D$54))</f>
        <v>38.512526299423229</v>
      </c>
      <c r="Q9" s="295">
        <f t="shared" si="7"/>
        <v>38.511964679540029</v>
      </c>
      <c r="R9" s="295">
        <f t="shared" si="7"/>
        <v>38.511344180389472</v>
      </c>
      <c r="S9" s="295">
        <f t="shared" si="7"/>
        <v>38.51065865083774</v>
      </c>
      <c r="T9" s="295">
        <f t="shared" si="7"/>
        <v>38.509901301926504</v>
      </c>
      <c r="U9" s="295">
        <f t="shared" si="7"/>
        <v>38.509064641793088</v>
      </c>
      <c r="V9" s="295">
        <f t="shared" si="7"/>
        <v>38.508140404184481</v>
      </c>
      <c r="W9" s="295">
        <f t="shared" si="7"/>
        <v>38.507119469987067</v>
      </c>
      <c r="X9" s="295">
        <f t="shared" si="7"/>
        <v>38.505991781153497</v>
      </c>
      <c r="Y9" s="295">
        <f t="shared" si="7"/>
        <v>38.504746246368086</v>
      </c>
      <c r="Z9" s="295">
        <f t="shared" si="7"/>
        <v>38.503370637753321</v>
      </c>
      <c r="AA9" s="295">
        <f t="shared" si="7"/>
        <v>38.501851477882859</v>
      </c>
      <c r="AB9" s="295">
        <f t="shared" si="7"/>
        <v>38.500173916333857</v>
      </c>
      <c r="AC9" s="295">
        <f t="shared" si="7"/>
        <v>38.498321594983729</v>
      </c>
      <c r="AD9" s="295">
        <f t="shared" si="7"/>
        <v>38.49627650123761</v>
      </c>
      <c r="AE9" s="295">
        <f t="shared" si="7"/>
        <v>38.494018808364579</v>
      </c>
      <c r="AF9" s="295">
        <f t="shared" si="7"/>
        <v>38.491526702127452</v>
      </c>
      <c r="AG9" s="295">
        <f t="shared" si="7"/>
        <v>38.488776192917513</v>
      </c>
      <c r="AH9" s="295">
        <f t="shared" si="7"/>
        <v>38.485740912656283</v>
      </c>
      <c r="AI9" s="295">
        <f t="shared" si="7"/>
        <v>38.4823918958094</v>
      </c>
      <c r="AJ9" s="295">
        <f t="shared" si="7"/>
        <v>38.478697343979938</v>
      </c>
      <c r="AK9" s="295">
        <f t="shared" si="7"/>
        <v>38.474622373719683</v>
      </c>
      <c r="AL9" s="295">
        <f t="shared" si="7"/>
        <v>38.470128747428326</v>
      </c>
      <c r="AM9" s="295">
        <f t="shared" si="7"/>
        <v>38.465174587515001</v>
      </c>
      <c r="AN9" s="295">
        <f t="shared" si="7"/>
        <v>38.459714074389488</v>
      </c>
      <c r="AO9" s="295">
        <f t="shared" si="7"/>
        <v>38.453697129347979</v>
      </c>
      <c r="AP9" s="295">
        <f t="shared" si="7"/>
        <v>38.447069084041296</v>
      </c>
      <c r="AQ9" s="295">
        <f t="shared" si="7"/>
        <v>38.439770338981283</v>
      </c>
      <c r="AR9" s="295">
        <f t="shared" si="7"/>
        <v>38.431736014479192</v>
      </c>
      <c r="AS9" s="295">
        <f t="shared" si="7"/>
        <v>38.42289559854045</v>
      </c>
      <c r="AT9" s="295">
        <f t="shared" si="7"/>
        <v>38.413172597590176</v>
      </c>
      <c r="AU9" s="295">
        <f t="shared" si="7"/>
        <v>38.402484197495603</v>
      </c>
      <c r="AV9" s="295">
        <f t="shared" si="7"/>
        <v>38.390740944208368</v>
      </c>
      <c r="AW9" s="295">
        <f t="shared" si="7"/>
        <v>38.377846455486015</v>
      </c>
      <c r="AX9" s="296">
        <f t="shared" si="7"/>
        <v>38.363697177577258</v>
      </c>
    </row>
    <row r="10" spans="1:50" x14ac:dyDescent="0.25">
      <c r="A10" s="243" t="str">
        <f>$J$1524</f>
        <v>Variable O&amp;M  costs €2010/MWh gross</v>
      </c>
      <c r="B10" s="204"/>
      <c r="C10" s="204"/>
      <c r="D10" s="204"/>
      <c r="E10" s="204"/>
      <c r="F10" s="204"/>
      <c r="G10" s="204"/>
      <c r="H10" s="204"/>
      <c r="I10" s="204" t="str">
        <f>INDEX(F$1526:F$1797,$D$54)&amp;" / "&amp;INDEX(G$1526:G$1797,$D$54)&amp;" / "&amp;INDEX(H$1526:H$1797,$D$54)&amp;" / "&amp;INDEX(I$1526:I$1797,$D$54)</f>
        <v>Pump storage / Pump storage / Electricity only / M</v>
      </c>
      <c r="J10" s="299">
        <f>IF(LEN(INDEX(J$1526:J$1797,$D$54))&lt;=0,NA(),INDEX(J$1526:J$1797,$D$54))</f>
        <v>0.98157239155920284</v>
      </c>
      <c r="K10" s="299">
        <f t="shared" ref="K10:N10" si="8">IF(LEN(INDEX(K$1526:K$1797,$D$54))&lt;=0,NA(),INDEX(K$1526:K$1797,$D$54))</f>
        <v>0.98156452617416357</v>
      </c>
      <c r="L10" s="299">
        <f t="shared" si="8"/>
        <v>0.98155583501624888</v>
      </c>
      <c r="M10" s="299">
        <f t="shared" si="8"/>
        <v>0.98154623155584331</v>
      </c>
      <c r="N10" s="299">
        <f t="shared" si="8"/>
        <v>0.98153562023310814</v>
      </c>
      <c r="O10" s="299">
        <f>IF(LEN(INDEX(O$1526:O$1797,$D$54))&lt;=0,NA(),INDEX(O$1526:O$1797,$D$54))</f>
        <v>0.98152389552374497</v>
      </c>
      <c r="P10" s="299">
        <f t="shared" ref="P10:AX10" si="9">IF(LEN(INDEX(P$1526:P$1797,$D$54))&lt;=0,NA(),INDEX(P$1526:P$1797,$D$54))</f>
        <v>0.98151094090991475</v>
      </c>
      <c r="Q10" s="299">
        <f t="shared" si="9"/>
        <v>0.98149662774708268</v>
      </c>
      <c r="R10" s="299">
        <f t="shared" si="9"/>
        <v>0.98148081401675624</v>
      </c>
      <c r="S10" s="299">
        <f t="shared" si="9"/>
        <v>0.98146334295422155</v>
      </c>
      <c r="T10" s="299">
        <f t="shared" si="9"/>
        <v>0.98144404153949005</v>
      </c>
      <c r="U10" s="299">
        <f t="shared" si="9"/>
        <v>0.98142271883870469</v>
      </c>
      <c r="V10" s="299">
        <f t="shared" si="9"/>
        <v>0.98139916418228468</v>
      </c>
      <c r="W10" s="299">
        <f t="shared" si="9"/>
        <v>0.98137314516507135</v>
      </c>
      <c r="X10" s="299">
        <f t="shared" si="9"/>
        <v>0.98134440545271162</v>
      </c>
      <c r="Y10" s="299">
        <f t="shared" si="9"/>
        <v>0.98131266237749359</v>
      </c>
      <c r="Z10" s="299">
        <f t="shared" si="9"/>
        <v>0.98127760430585975</v>
      </c>
      <c r="AA10" s="299">
        <f t="shared" si="9"/>
        <v>0.98123888775887824</v>
      </c>
      <c r="AB10" s="299">
        <f t="shared" si="9"/>
        <v>0.98119613426611618</v>
      </c>
      <c r="AC10" s="299">
        <f t="shared" si="9"/>
        <v>0.98114892693266043</v>
      </c>
      <c r="AD10" s="299">
        <f t="shared" si="9"/>
        <v>0.98109680669854793</v>
      </c>
      <c r="AE10" s="299">
        <f t="shared" si="9"/>
        <v>0.98103926826965149</v>
      </c>
      <c r="AF10" s="299">
        <f t="shared" si="9"/>
        <v>0.98097575569925732</v>
      </c>
      <c r="AG10" s="299">
        <f t="shared" si="9"/>
        <v>0.98090565760022208</v>
      </c>
      <c r="AH10" s="299">
        <f t="shared" si="9"/>
        <v>0.98082830196891513</v>
      </c>
      <c r="AI10" s="299">
        <f t="shared" si="9"/>
        <v>0.98074295060424588</v>
      </c>
      <c r="AJ10" s="299">
        <f t="shared" si="9"/>
        <v>0.98064879310820996</v>
      </c>
      <c r="AK10" s="299">
        <f t="shared" si="9"/>
        <v>0.9805449404587312</v>
      </c>
      <c r="AL10" s="299">
        <f t="shared" si="9"/>
        <v>0.98043041815149434</v>
      </c>
      <c r="AM10" s="299">
        <f t="shared" si="9"/>
        <v>0.98030415891520994</v>
      </c>
      <c r="AN10" s="299">
        <f t="shared" si="9"/>
        <v>0.98016499501476861</v>
      </c>
      <c r="AO10" s="299">
        <f t="shared" si="9"/>
        <v>0.98001165016942726</v>
      </c>
      <c r="AP10" s="299">
        <f t="shared" si="9"/>
        <v>0.97984273112904086</v>
      </c>
      <c r="AQ10" s="299">
        <f t="shared" si="9"/>
        <v>0.97965671897092854</v>
      </c>
      <c r="AR10" s="299">
        <f t="shared" si="9"/>
        <v>0.9794519602038636</v>
      </c>
      <c r="AS10" s="299">
        <f t="shared" si="9"/>
        <v>0.97922665779449658</v>
      </c>
      <c r="AT10" s="299">
        <f t="shared" si="9"/>
        <v>0.97897886226592024</v>
      </c>
      <c r="AU10" s="299">
        <f t="shared" si="9"/>
        <v>0.97870646305865783</v>
      </c>
      <c r="AV10" s="299">
        <f t="shared" si="9"/>
        <v>0.97840718039167074</v>
      </c>
      <c r="AW10" s="299">
        <f t="shared" si="9"/>
        <v>0.97807855791543963</v>
      </c>
      <c r="AX10" s="300">
        <f t="shared" si="9"/>
        <v>0.97771795651096538</v>
      </c>
    </row>
    <row r="12" spans="1:50" ht="0.15" customHeight="1" x14ac:dyDescent="0.25">
      <c r="A12" s="134" t="str">
        <f>$J$124</f>
        <v>Efficiency</v>
      </c>
      <c r="B12" s="135"/>
      <c r="C12" s="135"/>
      <c r="D12" s="135"/>
      <c r="E12" s="135"/>
      <c r="F12" s="135"/>
      <c r="G12" s="135"/>
      <c r="H12" s="135"/>
      <c r="I12" s="135"/>
      <c r="J12" s="175">
        <f>J$125</f>
        <v>2010</v>
      </c>
      <c r="K12" s="175">
        <f t="shared" ref="K12:N12" si="10">K$125</f>
        <v>2011</v>
      </c>
      <c r="L12" s="175">
        <f t="shared" si="10"/>
        <v>2012</v>
      </c>
      <c r="M12" s="175">
        <f t="shared" si="10"/>
        <v>2013</v>
      </c>
      <c r="N12" s="175">
        <f t="shared" si="10"/>
        <v>2014</v>
      </c>
      <c r="O12" s="175">
        <f>O$125</f>
        <v>2015</v>
      </c>
      <c r="P12" s="175">
        <f t="shared" ref="P12:AX12" si="11">P$125</f>
        <v>2016</v>
      </c>
      <c r="Q12" s="175">
        <f t="shared" si="11"/>
        <v>2017</v>
      </c>
      <c r="R12" s="175">
        <f t="shared" si="11"/>
        <v>2018</v>
      </c>
      <c r="S12" s="175">
        <f t="shared" si="11"/>
        <v>2019</v>
      </c>
      <c r="T12" s="175">
        <f t="shared" si="11"/>
        <v>2020</v>
      </c>
      <c r="U12" s="175">
        <f t="shared" si="11"/>
        <v>2021</v>
      </c>
      <c r="V12" s="175">
        <f t="shared" si="11"/>
        <v>2022</v>
      </c>
      <c r="W12" s="175">
        <f t="shared" si="11"/>
        <v>2023</v>
      </c>
      <c r="X12" s="175">
        <f t="shared" si="11"/>
        <v>2024</v>
      </c>
      <c r="Y12" s="175">
        <f t="shared" si="11"/>
        <v>2025</v>
      </c>
      <c r="Z12" s="175">
        <f t="shared" si="11"/>
        <v>2026</v>
      </c>
      <c r="AA12" s="175">
        <f t="shared" si="11"/>
        <v>2027</v>
      </c>
      <c r="AB12" s="175">
        <f t="shared" si="11"/>
        <v>2028</v>
      </c>
      <c r="AC12" s="175">
        <f t="shared" si="11"/>
        <v>2029</v>
      </c>
      <c r="AD12" s="175">
        <f t="shared" si="11"/>
        <v>2030</v>
      </c>
      <c r="AE12" s="175">
        <f t="shared" si="11"/>
        <v>2031</v>
      </c>
      <c r="AF12" s="175">
        <f t="shared" si="11"/>
        <v>2032</v>
      </c>
      <c r="AG12" s="175">
        <f t="shared" si="11"/>
        <v>2033</v>
      </c>
      <c r="AH12" s="175">
        <f t="shared" si="11"/>
        <v>2034</v>
      </c>
      <c r="AI12" s="175">
        <f t="shared" si="11"/>
        <v>2035</v>
      </c>
      <c r="AJ12" s="175">
        <f t="shared" si="11"/>
        <v>2036</v>
      </c>
      <c r="AK12" s="175">
        <f t="shared" si="11"/>
        <v>2037</v>
      </c>
      <c r="AL12" s="175">
        <f t="shared" si="11"/>
        <v>2038</v>
      </c>
      <c r="AM12" s="175">
        <f t="shared" si="11"/>
        <v>2039</v>
      </c>
      <c r="AN12" s="175">
        <f t="shared" si="11"/>
        <v>2040</v>
      </c>
      <c r="AO12" s="175">
        <f t="shared" si="11"/>
        <v>2041</v>
      </c>
      <c r="AP12" s="175">
        <f t="shared" si="11"/>
        <v>2042</v>
      </c>
      <c r="AQ12" s="175">
        <f t="shared" si="11"/>
        <v>2043</v>
      </c>
      <c r="AR12" s="175">
        <f t="shared" si="11"/>
        <v>2044</v>
      </c>
      <c r="AS12" s="175">
        <f t="shared" si="11"/>
        <v>2045</v>
      </c>
      <c r="AT12" s="175">
        <f t="shared" si="11"/>
        <v>2046</v>
      </c>
      <c r="AU12" s="175">
        <f t="shared" si="11"/>
        <v>2047</v>
      </c>
      <c r="AV12" s="175">
        <f t="shared" si="11"/>
        <v>2048</v>
      </c>
      <c r="AW12" s="175">
        <f t="shared" si="11"/>
        <v>2049</v>
      </c>
      <c r="AX12" s="176">
        <f t="shared" si="11"/>
        <v>2050</v>
      </c>
    </row>
    <row r="13" spans="1:50" ht="0.15" customHeight="1" x14ac:dyDescent="0.25">
      <c r="A13" s="137" t="str">
        <f>INDEX(F$126:F$397,$D$55)</f>
        <v>Pump storage</v>
      </c>
      <c r="B13" s="133" t="str">
        <f>INDEX(G$126:G$397,$D$55)</f>
        <v>Pump storage</v>
      </c>
      <c r="C13" s="133" t="str">
        <f>INDEX(H$126:H$397,$D$55)</f>
        <v>Electricity only</v>
      </c>
      <c r="D13" s="133" t="str">
        <f>INDEX(I$126:I$397,$D$55)</f>
        <v>L</v>
      </c>
      <c r="I13" s="133" t="str">
        <f>A13&amp;" / "&amp;B13&amp;" / "&amp;C13&amp;" / "&amp;D13</f>
        <v>Pump storage / Pump storage / Electricity only / L</v>
      </c>
      <c r="J13" s="182">
        <f t="shared" ref="J13:N13" si="12">INDEX(J$126:J$397,$D$55)</f>
        <v>0.77</v>
      </c>
      <c r="K13" s="182">
        <f t="shared" si="12"/>
        <v>0.77000217415019645</v>
      </c>
      <c r="L13" s="182">
        <f t="shared" si="12"/>
        <v>0.77000445915596916</v>
      </c>
      <c r="M13" s="182">
        <f t="shared" si="12"/>
        <v>0.77000686063655455</v>
      </c>
      <c r="N13" s="182">
        <f t="shared" si="12"/>
        <v>0.7700093844925604</v>
      </c>
      <c r="O13" s="182">
        <f t="shared" ref="O13:AX13" si="13">INDEX(O$126:O$397,$D$55)</f>
        <v>0.77001203691969144</v>
      </c>
      <c r="P13" s="182">
        <f t="shared" si="13"/>
        <v>0.77001482442310587</v>
      </c>
      <c r="Q13" s="182">
        <f t="shared" si="13"/>
        <v>0.77001775383242732</v>
      </c>
      <c r="R13" s="182">
        <f t="shared" si="13"/>
        <v>0.77002083231744056</v>
      </c>
      <c r="S13" s="182">
        <f t="shared" si="13"/>
        <v>0.7700240674044917</v>
      </c>
      <c r="T13" s="182">
        <f t="shared" si="13"/>
        <v>0.77002746699362434</v>
      </c>
      <c r="U13" s="182">
        <f t="shared" si="13"/>
        <v>0.77003103937647532</v>
      </c>
      <c r="V13" s="182">
        <f t="shared" si="13"/>
        <v>0.77003479325495905</v>
      </c>
      <c r="W13" s="182">
        <f t="shared" si="13"/>
        <v>0.77003873776076437</v>
      </c>
      <c r="X13" s="182">
        <f t="shared" si="13"/>
        <v>0.77004288247569508</v>
      </c>
      <c r="Y13" s="182">
        <f t="shared" si="13"/>
        <v>0.77004723745287917</v>
      </c>
      <c r="Z13" s="182">
        <f t="shared" si="13"/>
        <v>0.77005181323887339</v>
      </c>
      <c r="AA13" s="182">
        <f t="shared" si="13"/>
        <v>0.77005662089669091</v>
      </c>
      <c r="AB13" s="182">
        <f t="shared" si="13"/>
        <v>0.77006167202977804</v>
      </c>
      <c r="AC13" s="182">
        <f t="shared" si="13"/>
        <v>0.77006697880696373</v>
      </c>
      <c r="AD13" s="182">
        <f t="shared" si="13"/>
        <v>0.7700725539884099</v>
      </c>
      <c r="AE13" s="182">
        <f t="shared" si="13"/>
        <v>0.77007841095258023</v>
      </c>
      <c r="AF13" s="182">
        <f t="shared" si="13"/>
        <v>0.77008456372425471</v>
      </c>
      <c r="AG13" s="182">
        <f t="shared" si="13"/>
        <v>0.7700910270036061</v>
      </c>
      <c r="AH13" s="182">
        <f t="shared" si="13"/>
        <v>0.77009781619635675</v>
      </c>
      <c r="AI13" s="182">
        <f t="shared" si="13"/>
        <v>0.77010494744503066</v>
      </c>
      <c r="AJ13" s="182">
        <f t="shared" si="13"/>
        <v>0.77011243766131299</v>
      </c>
      <c r="AK13" s="182">
        <f t="shared" si="13"/>
        <v>0.7701203045595244</v>
      </c>
      <c r="AL13" s="182">
        <f t="shared" si="13"/>
        <v>0.77012856669121521</v>
      </c>
      <c r="AM13" s="182">
        <f t="shared" si="13"/>
        <v>0.7701372434808782</v>
      </c>
      <c r="AN13" s="182">
        <f t="shared" si="13"/>
        <v>0.77014635526277297</v>
      </c>
      <c r="AO13" s="182">
        <f t="shared" si="13"/>
        <v>0.77015592331885174</v>
      </c>
      <c r="AP13" s="182">
        <f t="shared" si="13"/>
        <v>0.7701659699177662</v>
      </c>
      <c r="AQ13" s="182">
        <f t="shared" si="13"/>
        <v>0.77017651835492729</v>
      </c>
      <c r="AR13" s="182">
        <f t="shared" si="13"/>
        <v>0.77018759299358452</v>
      </c>
      <c r="AS13" s="182">
        <f t="shared" si="13"/>
        <v>0.77019921930687751</v>
      </c>
      <c r="AT13" s="182">
        <f t="shared" si="13"/>
        <v>0.770211423920803</v>
      </c>
      <c r="AU13" s="182">
        <f t="shared" si="13"/>
        <v>0.77022423465803036</v>
      </c>
      <c r="AV13" s="182">
        <f t="shared" si="13"/>
        <v>0.77023768058248143</v>
      </c>
      <c r="AW13" s="182">
        <f t="shared" si="13"/>
        <v>0.77025179204457994</v>
      </c>
      <c r="AX13" s="183">
        <f t="shared" si="13"/>
        <v>0.77026660072705366</v>
      </c>
    </row>
    <row r="14" spans="1:50" ht="0.15" customHeight="1" x14ac:dyDescent="0.25">
      <c r="A14" s="137" t="str">
        <f>INDEX(F$126:F$397,$D$56)</f>
        <v>Pump storage</v>
      </c>
      <c r="B14" s="133" t="str">
        <f>INDEX(G$126:G$397,$D$56)</f>
        <v>Pump storage</v>
      </c>
      <c r="C14" s="133" t="str">
        <f>INDEX(H$126:H$397,$D$56)</f>
        <v>Electricity only</v>
      </c>
      <c r="D14" s="133" t="str">
        <f>INDEX(I$126:I$397,$D$56)</f>
        <v>M</v>
      </c>
      <c r="I14" s="133" t="str">
        <f t="shared" ref="I14:I16" si="14">A14&amp;" / "&amp;B14&amp;" / "&amp;C14&amp;" / "&amp;D14</f>
        <v>Pump storage / Pump storage / Electricity only / M</v>
      </c>
      <c r="J14" s="182">
        <f t="shared" ref="J14:N14" si="15">INDEX(J$126:J$397,$D$56)</f>
        <v>0.75</v>
      </c>
      <c r="K14" s="182">
        <f t="shared" si="15"/>
        <v>0.75000120196272679</v>
      </c>
      <c r="L14" s="182">
        <f t="shared" si="15"/>
        <v>0.75000253013083773</v>
      </c>
      <c r="M14" s="182">
        <f t="shared" si="15"/>
        <v>0.75000399773189053</v>
      </c>
      <c r="N14" s="182">
        <f t="shared" si="15"/>
        <v>0.75000561937452737</v>
      </c>
      <c r="O14" s="182">
        <f t="shared" ref="O14:AX14" si="16">INDEX(O$126:O$397,$D$56)</f>
        <v>0.75000741119150338</v>
      </c>
      <c r="P14" s="182">
        <f t="shared" si="16"/>
        <v>0.75000939099726638</v>
      </c>
      <c r="Q14" s="182">
        <f t="shared" si="16"/>
        <v>0.75001157846151567</v>
      </c>
      <c r="R14" s="182">
        <f t="shared" si="16"/>
        <v>0.75001399530028345</v>
      </c>
      <c r="S14" s="182">
        <f t="shared" si="16"/>
        <v>0.75001666548622681</v>
      </c>
      <c r="T14" s="182">
        <f t="shared" si="16"/>
        <v>0.75001961547995566</v>
      </c>
      <c r="U14" s="182">
        <f t="shared" si="16"/>
        <v>0.75002287448436966</v>
      </c>
      <c r="V14" s="182">
        <f t="shared" si="16"/>
        <v>0.75002647472414086</v>
      </c>
      <c r="W14" s="182">
        <f t="shared" si="16"/>
        <v>0.75003045175263328</v>
      </c>
      <c r="X14" s="182">
        <f t="shared" si="16"/>
        <v>0.75003484478872073</v>
      </c>
      <c r="Y14" s="182">
        <f t="shared" si="16"/>
        <v>0.75003969708612928</v>
      </c>
      <c r="Z14" s="182">
        <f t="shared" si="16"/>
        <v>0.75004505633809737</v>
      </c>
      <c r="AA14" s="182">
        <f t="shared" si="16"/>
        <v>0.75005097512030594</v>
      </c>
      <c r="AB14" s="182">
        <f t="shared" si="16"/>
        <v>0.75005751137517396</v>
      </c>
      <c r="AC14" s="182">
        <f t="shared" si="16"/>
        <v>0.75006472894075271</v>
      </c>
      <c r="AD14" s="182">
        <f t="shared" si="16"/>
        <v>0.75007269812754485</v>
      </c>
      <c r="AE14" s="182">
        <f t="shared" si="16"/>
        <v>0.75008149634664667</v>
      </c>
      <c r="AF14" s="182">
        <f t="shared" si="16"/>
        <v>0.75009120879261748</v>
      </c>
      <c r="AG14" s="182">
        <f t="shared" si="16"/>
        <v>0.75010192918442986</v>
      </c>
      <c r="AH14" s="182">
        <f t="shared" si="16"/>
        <v>0.75011376056770895</v>
      </c>
      <c r="AI14" s="182">
        <f t="shared" si="16"/>
        <v>0.75012681618120924</v>
      </c>
      <c r="AJ14" s="182">
        <f t="shared" si="16"/>
        <v>0.75014122039008435</v>
      </c>
      <c r="AK14" s="182">
        <f t="shared" si="16"/>
        <v>0.7501571096879196</v>
      </c>
      <c r="AL14" s="182">
        <f t="shared" si="16"/>
        <v>0.75017463376871074</v>
      </c>
      <c r="AM14" s="182">
        <f t="shared" si="16"/>
        <v>0.75019395666889732</v>
      </c>
      <c r="AN14" s="182">
        <f t="shared" si="16"/>
        <v>0.7502152579781769</v>
      </c>
      <c r="AO14" s="182">
        <f t="shared" si="16"/>
        <v>0.75023873411604192</v>
      </c>
      <c r="AP14" s="182">
        <f t="shared" si="16"/>
        <v>0.75026459966873404</v>
      </c>
      <c r="AQ14" s="182">
        <f t="shared" si="16"/>
        <v>0.75029308877852074</v>
      </c>
      <c r="AR14" s="182">
        <f t="shared" si="16"/>
        <v>0.75032445657375979</v>
      </c>
      <c r="AS14" s="182">
        <f t="shared" si="16"/>
        <v>0.75035898062404793</v>
      </c>
      <c r="AT14" s="182">
        <f t="shared" si="16"/>
        <v>0.75039696239973586</v>
      </c>
      <c r="AU14" s="182">
        <f t="shared" si="16"/>
        <v>0.75043872870913553</v>
      </c>
      <c r="AV14" s="182">
        <f t="shared" si="16"/>
        <v>0.75048463307974012</v>
      </c>
      <c r="AW14" s="182">
        <f t="shared" si="16"/>
        <v>0.75053505704166668</v>
      </c>
      <c r="AX14" s="183">
        <f t="shared" si="16"/>
        <v>0.75059041126221659</v>
      </c>
    </row>
    <row r="15" spans="1:50" ht="0.15" customHeight="1" x14ac:dyDescent="0.25">
      <c r="A15" s="137" t="str">
        <f>INDEX(F$126:F$397,$D$57)</f>
        <v>Pump storage</v>
      </c>
      <c r="B15" s="133" t="str">
        <f>INDEX(G$126:G$397,$D$57)</f>
        <v>Pump storage</v>
      </c>
      <c r="C15" s="133" t="str">
        <f>INDEX(H$126:H$397,$D$57)</f>
        <v>Electricity only</v>
      </c>
      <c r="D15" s="133" t="str">
        <f>INDEX(I$126:I$397,$D$57)</f>
        <v>S</v>
      </c>
      <c r="I15" s="133" t="str">
        <f t="shared" si="14"/>
        <v>Pump storage / Pump storage / Electricity only / S</v>
      </c>
      <c r="J15" s="182">
        <f t="shared" ref="J15:N15" si="17">INDEX(J$126:J$397,$D$57)</f>
        <v>0.71</v>
      </c>
      <c r="K15" s="182">
        <f t="shared" si="17"/>
        <v>0.71000036284945744</v>
      </c>
      <c r="L15" s="182">
        <f t="shared" si="17"/>
        <v>0.71000078439919057</v>
      </c>
      <c r="M15" s="182">
        <f t="shared" si="17"/>
        <v>0.71000127414150249</v>
      </c>
      <c r="N15" s="182">
        <f t="shared" si="17"/>
        <v>0.71000184310228376</v>
      </c>
      <c r="O15" s="182">
        <f t="shared" ref="O15:AX15" si="18">INDEX(O$126:O$397,$D$57)</f>
        <v>0.71000250408829446</v>
      </c>
      <c r="P15" s="182">
        <f t="shared" si="18"/>
        <v>0.71000327197414648</v>
      </c>
      <c r="Q15" s="182">
        <f t="shared" si="18"/>
        <v>0.71000416403530298</v>
      </c>
      <c r="R15" s="182">
        <f t="shared" si="18"/>
        <v>0.71000520033439374</v>
      </c>
      <c r="S15" s="182">
        <f t="shared" si="18"/>
        <v>0.71000640416927008</v>
      </c>
      <c r="T15" s="182">
        <f t="shared" si="18"/>
        <v>0.71000780259252516</v>
      </c>
      <c r="U15" s="182">
        <f t="shared" si="18"/>
        <v>0.71000942701367464</v>
      </c>
      <c r="V15" s="182">
        <f t="shared" si="18"/>
        <v>0.71001131389688732</v>
      </c>
      <c r="W15" s="182">
        <f t="shared" si="18"/>
        <v>0.71001350556906384</v>
      </c>
      <c r="X15" s="182">
        <f t="shared" si="18"/>
        <v>0.71001605115522848</v>
      </c>
      <c r="Y15" s="182">
        <f t="shared" si="18"/>
        <v>0.71001900766063575</v>
      </c>
      <c r="Z15" s="182">
        <f t="shared" si="18"/>
        <v>0.71002244122171776</v>
      </c>
      <c r="AA15" s="182">
        <f t="shared" si="18"/>
        <v>0.71002642855102083</v>
      </c>
      <c r="AB15" s="182">
        <f t="shared" si="18"/>
        <v>0.71003105860459736</v>
      </c>
      <c r="AC15" s="182">
        <f t="shared" si="18"/>
        <v>0.71003643450392717</v>
      </c>
      <c r="AD15" s="182">
        <f t="shared" si="18"/>
        <v>0.71004267574828217</v>
      </c>
      <c r="AE15" s="182">
        <f t="shared" si="18"/>
        <v>0.71004992075746387</v>
      </c>
      <c r="AF15" s="182">
        <f t="shared" si="18"/>
        <v>0.71005832978890027</v>
      </c>
      <c r="AG15" s="182">
        <f t="shared" si="18"/>
        <v>0.71006808827700385</v>
      </c>
      <c r="AH15" s="182">
        <f t="shared" si="18"/>
        <v>0.71007941064618241</v>
      </c>
      <c r="AI15" s="182">
        <f t="shared" si="18"/>
        <v>0.71009254465155447</v>
      </c>
      <c r="AJ15" s="182">
        <f t="shared" si="18"/>
        <v>0.71010777630268096</v>
      </c>
      <c r="AK15" s="182">
        <f t="shared" si="18"/>
        <v>0.71012543542470885</v>
      </c>
      <c r="AL15" s="182">
        <f t="shared" si="18"/>
        <v>0.71014590190715432</v>
      </c>
      <c r="AM15" s="182">
        <f t="shared" si="18"/>
        <v>0.71016961268173262</v>
      </c>
      <c r="AN15" s="182">
        <f t="shared" si="18"/>
        <v>0.71019706945531091</v>
      </c>
      <c r="AO15" s="182">
        <f t="shared" si="18"/>
        <v>0.71022884719983226</v>
      </c>
      <c r="AP15" s="182">
        <f t="shared" si="18"/>
        <v>0.71026560336493028</v>
      </c>
      <c r="AQ15" s="182">
        <f t="shared" si="18"/>
        <v>0.71030808772723131</v>
      </c>
      <c r="AR15" s="182">
        <f t="shared" si="18"/>
        <v>0.7103571527185758</v>
      </c>
      <c r="AS15" s="182">
        <f t="shared" si="18"/>
        <v>0.71041376397852041</v>
      </c>
      <c r="AT15" s="182">
        <f t="shared" si="18"/>
        <v>0.71047901074895137</v>
      </c>
      <c r="AU15" s="182">
        <f t="shared" si="18"/>
        <v>0.71055411556493209</v>
      </c>
      <c r="AV15" s="182">
        <f t="shared" si="18"/>
        <v>0.71064044249137726</v>
      </c>
      <c r="AW15" s="182">
        <f t="shared" si="18"/>
        <v>0.71073950290735244</v>
      </c>
      <c r="AX15" s="183">
        <f t="shared" si="18"/>
        <v>0.71085295755064626</v>
      </c>
    </row>
    <row r="16" spans="1:50" ht="0.15" customHeight="1" x14ac:dyDescent="0.25">
      <c r="A16" s="137" t="str">
        <f>INDEX(F$126:F$397,$D$58)</f>
        <v>Pump storage</v>
      </c>
      <c r="B16" s="133" t="str">
        <f>INDEX(G$126:G$397,$D$58)</f>
        <v>Pump storage</v>
      </c>
      <c r="C16" s="133" t="str">
        <f>INDEX(H$126:H$397,$D$58)</f>
        <v>Electricity only</v>
      </c>
      <c r="D16" s="133" t="str">
        <f>INDEX(I$126:I$397,$D$58)</f>
        <v>XS</v>
      </c>
      <c r="I16" s="133" t="str">
        <f t="shared" si="14"/>
        <v>Pump storage / Pump storage / Electricity only / XS</v>
      </c>
      <c r="J16" s="182">
        <f t="shared" ref="J16:N16" si="19">INDEX(J$126:J$397,$D$58)</f>
        <v>0.68</v>
      </c>
      <c r="K16" s="182">
        <f t="shared" si="19"/>
        <v>0.68000008753591978</v>
      </c>
      <c r="L16" s="182">
        <f t="shared" si="19"/>
        <v>0.68000019445115778</v>
      </c>
      <c r="M16" s="182">
        <f t="shared" si="19"/>
        <v>0.68000032503567176</v>
      </c>
      <c r="N16" s="182">
        <f t="shared" si="19"/>
        <v>0.68000048452889561</v>
      </c>
      <c r="O16" s="182">
        <f t="shared" ref="O16:AX16" si="20">INDEX(O$126:O$397,$D$58)</f>
        <v>0.68000067932979169</v>
      </c>
      <c r="P16" s="182">
        <f t="shared" si="20"/>
        <v>0.68000091725332978</v>
      </c>
      <c r="Q16" s="182">
        <f t="shared" si="20"/>
        <v>0.68000120784363116</v>
      </c>
      <c r="R16" s="182">
        <f t="shared" si="20"/>
        <v>0.68000156275626433</v>
      </c>
      <c r="S16" s="182">
        <f t="shared" si="20"/>
        <v>0.68000199622491508</v>
      </c>
      <c r="T16" s="182">
        <f t="shared" si="20"/>
        <v>0.6800025256309814</v>
      </c>
      <c r="U16" s="182">
        <f t="shared" si="20"/>
        <v>0.680003172198683</v>
      </c>
      <c r="V16" s="182">
        <f t="shared" si="20"/>
        <v>0.68000396184318601</v>
      </c>
      <c r="W16" s="182">
        <f t="shared" si="20"/>
        <v>0.68000492620518493</v>
      </c>
      <c r="X16" s="182">
        <f t="shared" si="20"/>
        <v>0.68000610391257488</v>
      </c>
      <c r="Y16" s="182">
        <f t="shared" si="20"/>
        <v>0.68000754211852987</v>
      </c>
      <c r="Z16" s="182">
        <f t="shared" si="20"/>
        <v>0.68000929837574342</v>
      </c>
      <c r="AA16" s="182">
        <f t="shared" si="20"/>
        <v>0.68001144291911797</v>
      </c>
      <c r="AB16" s="182">
        <f t="shared" si="20"/>
        <v>0.68001406144414667</v>
      </c>
      <c r="AC16" s="182">
        <f t="shared" si="20"/>
        <v>0.68001725848598715</v>
      </c>
      <c r="AD16" s="182">
        <f t="shared" si="20"/>
        <v>0.68002116152516745</v>
      </c>
      <c r="AE16" s="182">
        <f t="shared" si="20"/>
        <v>0.68002592597031031</v>
      </c>
      <c r="AF16" s="182">
        <f t="shared" si="20"/>
        <v>0.6800317411964758</v>
      </c>
      <c r="AG16" s="182">
        <f t="shared" si="20"/>
        <v>0.68003883784972718</v>
      </c>
      <c r="AH16" s="182">
        <f t="shared" si="20"/>
        <v>0.6800474966640272</v>
      </c>
      <c r="AI16" s="182">
        <f t="shared" si="20"/>
        <v>0.68005805907464878</v>
      </c>
      <c r="AJ16" s="182">
        <f t="shared" si="20"/>
        <v>0.68007093995105361</v>
      </c>
      <c r="AK16" s="182">
        <f t="shared" si="20"/>
        <v>0.68008664280831366</v>
      </c>
      <c r="AL16" s="182">
        <f t="shared" si="20"/>
        <v>0.68010577788395621</v>
      </c>
      <c r="AM16" s="182">
        <f t="shared" si="20"/>
        <v>0.68012908347769052</v>
      </c>
      <c r="AN16" s="182">
        <f t="shared" si="20"/>
        <v>0.6801574509310232</v>
      </c>
      <c r="AO16" s="182">
        <f t="shared" si="20"/>
        <v>0.68019195355186957</v>
      </c>
      <c r="AP16" s="182">
        <f t="shared" si="20"/>
        <v>0.68023387963632309</v>
      </c>
      <c r="AQ16" s="182">
        <f t="shared" si="20"/>
        <v>0.68028476946440675</v>
      </c>
      <c r="AR16" s="182">
        <f t="shared" si="20"/>
        <v>0.68034645569306995</v>
      </c>
      <c r="AS16" s="182">
        <f t="shared" si="20"/>
        <v>0.68042110586607529</v>
      </c>
      <c r="AT16" s="182">
        <f t="shared" si="20"/>
        <v>0.68051126472021217</v>
      </c>
      <c r="AU16" s="182">
        <f t="shared" si="20"/>
        <v>0.68061989249677579</v>
      </c>
      <c r="AV16" s="182">
        <f t="shared" si="20"/>
        <v>0.68075039348448707</v>
      </c>
      <c r="AW16" s="182">
        <f t="shared" si="20"/>
        <v>0.68090662649240818</v>
      </c>
      <c r="AX16" s="183">
        <f t="shared" si="20"/>
        <v>0.68109288596077866</v>
      </c>
    </row>
    <row r="17" spans="1:50" ht="0.15" customHeight="1" x14ac:dyDescent="0.25">
      <c r="A17" s="137"/>
      <c r="I17" s="174" t="s">
        <v>54</v>
      </c>
      <c r="J17" s="190">
        <f>MIN(J13:J16)</f>
        <v>0.68</v>
      </c>
      <c r="K17" s="190">
        <f t="shared" ref="K17:N17" si="21">MIN(K13:K16)</f>
        <v>0.68000008753591978</v>
      </c>
      <c r="L17" s="190">
        <f t="shared" si="21"/>
        <v>0.68000019445115778</v>
      </c>
      <c r="M17" s="190">
        <f t="shared" si="21"/>
        <v>0.68000032503567176</v>
      </c>
      <c r="N17" s="190">
        <f t="shared" si="21"/>
        <v>0.68000048452889561</v>
      </c>
      <c r="O17" s="190">
        <f>MIN(O13:O16)</f>
        <v>0.68000067932979169</v>
      </c>
      <c r="P17" s="190">
        <f t="shared" ref="P17:AX17" si="22">MIN(P13:P16)</f>
        <v>0.68000091725332978</v>
      </c>
      <c r="Q17" s="190">
        <f t="shared" si="22"/>
        <v>0.68000120784363116</v>
      </c>
      <c r="R17" s="190">
        <f t="shared" si="22"/>
        <v>0.68000156275626433</v>
      </c>
      <c r="S17" s="190">
        <f t="shared" si="22"/>
        <v>0.68000199622491508</v>
      </c>
      <c r="T17" s="190">
        <f t="shared" si="22"/>
        <v>0.6800025256309814</v>
      </c>
      <c r="U17" s="190">
        <f t="shared" si="22"/>
        <v>0.680003172198683</v>
      </c>
      <c r="V17" s="190">
        <f t="shared" si="22"/>
        <v>0.68000396184318601</v>
      </c>
      <c r="W17" s="190">
        <f t="shared" si="22"/>
        <v>0.68000492620518493</v>
      </c>
      <c r="X17" s="190">
        <f t="shared" si="22"/>
        <v>0.68000610391257488</v>
      </c>
      <c r="Y17" s="190">
        <f t="shared" si="22"/>
        <v>0.68000754211852987</v>
      </c>
      <c r="Z17" s="190">
        <f t="shared" si="22"/>
        <v>0.68000929837574342</v>
      </c>
      <c r="AA17" s="190">
        <f t="shared" si="22"/>
        <v>0.68001144291911797</v>
      </c>
      <c r="AB17" s="190">
        <f t="shared" si="22"/>
        <v>0.68001406144414667</v>
      </c>
      <c r="AC17" s="190">
        <f t="shared" si="22"/>
        <v>0.68001725848598715</v>
      </c>
      <c r="AD17" s="190">
        <f t="shared" si="22"/>
        <v>0.68002116152516745</v>
      </c>
      <c r="AE17" s="190">
        <f t="shared" si="22"/>
        <v>0.68002592597031031</v>
      </c>
      <c r="AF17" s="190">
        <f t="shared" si="22"/>
        <v>0.6800317411964758</v>
      </c>
      <c r="AG17" s="190">
        <f t="shared" si="22"/>
        <v>0.68003883784972718</v>
      </c>
      <c r="AH17" s="190">
        <f t="shared" si="22"/>
        <v>0.6800474966640272</v>
      </c>
      <c r="AI17" s="190">
        <f t="shared" si="22"/>
        <v>0.68005805907464878</v>
      </c>
      <c r="AJ17" s="190">
        <f t="shared" si="22"/>
        <v>0.68007093995105361</v>
      </c>
      <c r="AK17" s="190">
        <f t="shared" si="22"/>
        <v>0.68008664280831366</v>
      </c>
      <c r="AL17" s="190">
        <f t="shared" si="22"/>
        <v>0.68010577788395621</v>
      </c>
      <c r="AM17" s="190">
        <f t="shared" si="22"/>
        <v>0.68012908347769052</v>
      </c>
      <c r="AN17" s="190">
        <f t="shared" si="22"/>
        <v>0.6801574509310232</v>
      </c>
      <c r="AO17" s="190">
        <f t="shared" si="22"/>
        <v>0.68019195355186957</v>
      </c>
      <c r="AP17" s="190">
        <f t="shared" si="22"/>
        <v>0.68023387963632309</v>
      </c>
      <c r="AQ17" s="190">
        <f t="shared" si="22"/>
        <v>0.68028476946440675</v>
      </c>
      <c r="AR17" s="190">
        <f t="shared" si="22"/>
        <v>0.68034645569306995</v>
      </c>
      <c r="AS17" s="190">
        <f t="shared" si="22"/>
        <v>0.68042110586607529</v>
      </c>
      <c r="AT17" s="190">
        <f t="shared" si="22"/>
        <v>0.68051126472021217</v>
      </c>
      <c r="AU17" s="190">
        <f t="shared" si="22"/>
        <v>0.68061989249677579</v>
      </c>
      <c r="AV17" s="190">
        <f t="shared" si="22"/>
        <v>0.68075039348448707</v>
      </c>
      <c r="AW17" s="190">
        <f t="shared" si="22"/>
        <v>0.68090662649240818</v>
      </c>
      <c r="AX17" s="191">
        <f t="shared" si="22"/>
        <v>0.68109288596077866</v>
      </c>
    </row>
    <row r="18" spans="1:50" ht="0.15" customHeight="1" x14ac:dyDescent="0.25">
      <c r="A18" s="137"/>
      <c r="I18" s="174" t="s">
        <v>55</v>
      </c>
      <c r="J18" s="190">
        <f>MAX(J13:J16)</f>
        <v>0.77</v>
      </c>
      <c r="K18" s="190">
        <f t="shared" ref="K18:N18" si="23">MAX(K13:K16)</f>
        <v>0.77000217415019645</v>
      </c>
      <c r="L18" s="190">
        <f t="shared" si="23"/>
        <v>0.77000445915596916</v>
      </c>
      <c r="M18" s="190">
        <f t="shared" si="23"/>
        <v>0.77000686063655455</v>
      </c>
      <c r="N18" s="190">
        <f t="shared" si="23"/>
        <v>0.7700093844925604</v>
      </c>
      <c r="O18" s="190">
        <f>MAX(O13:O16)</f>
        <v>0.77001203691969144</v>
      </c>
      <c r="P18" s="190">
        <f t="shared" ref="P18:AX18" si="24">MAX(P13:P16)</f>
        <v>0.77001482442310587</v>
      </c>
      <c r="Q18" s="190">
        <f t="shared" si="24"/>
        <v>0.77001775383242732</v>
      </c>
      <c r="R18" s="190">
        <f t="shared" si="24"/>
        <v>0.77002083231744056</v>
      </c>
      <c r="S18" s="190">
        <f t="shared" si="24"/>
        <v>0.7700240674044917</v>
      </c>
      <c r="T18" s="190">
        <f t="shared" si="24"/>
        <v>0.77002746699362434</v>
      </c>
      <c r="U18" s="190">
        <f t="shared" si="24"/>
        <v>0.77003103937647532</v>
      </c>
      <c r="V18" s="190">
        <f t="shared" si="24"/>
        <v>0.77003479325495905</v>
      </c>
      <c r="W18" s="190">
        <f t="shared" si="24"/>
        <v>0.77003873776076437</v>
      </c>
      <c r="X18" s="190">
        <f t="shared" si="24"/>
        <v>0.77004288247569508</v>
      </c>
      <c r="Y18" s="190">
        <f t="shared" si="24"/>
        <v>0.77004723745287917</v>
      </c>
      <c r="Z18" s="190">
        <f t="shared" si="24"/>
        <v>0.77005181323887339</v>
      </c>
      <c r="AA18" s="190">
        <f t="shared" si="24"/>
        <v>0.77005662089669091</v>
      </c>
      <c r="AB18" s="190">
        <f t="shared" si="24"/>
        <v>0.77006167202977804</v>
      </c>
      <c r="AC18" s="190">
        <f t="shared" si="24"/>
        <v>0.77006697880696373</v>
      </c>
      <c r="AD18" s="190">
        <f t="shared" si="24"/>
        <v>0.7700725539884099</v>
      </c>
      <c r="AE18" s="190">
        <f t="shared" si="24"/>
        <v>0.77007841095258023</v>
      </c>
      <c r="AF18" s="190">
        <f t="shared" si="24"/>
        <v>0.77008456372425471</v>
      </c>
      <c r="AG18" s="190">
        <f t="shared" si="24"/>
        <v>0.7700910270036061</v>
      </c>
      <c r="AH18" s="190">
        <f t="shared" si="24"/>
        <v>0.77009781619635675</v>
      </c>
      <c r="AI18" s="190">
        <f t="shared" si="24"/>
        <v>0.77010494744503066</v>
      </c>
      <c r="AJ18" s="190">
        <f t="shared" si="24"/>
        <v>0.77011243766131299</v>
      </c>
      <c r="AK18" s="190">
        <f t="shared" si="24"/>
        <v>0.7701203045595244</v>
      </c>
      <c r="AL18" s="190">
        <f t="shared" si="24"/>
        <v>0.77012856669121521</v>
      </c>
      <c r="AM18" s="190">
        <f t="shared" si="24"/>
        <v>0.7701372434808782</v>
      </c>
      <c r="AN18" s="190">
        <f t="shared" si="24"/>
        <v>0.77014635526277297</v>
      </c>
      <c r="AO18" s="190">
        <f t="shared" si="24"/>
        <v>0.77015592331885174</v>
      </c>
      <c r="AP18" s="190">
        <f t="shared" si="24"/>
        <v>0.7701659699177662</v>
      </c>
      <c r="AQ18" s="190">
        <f t="shared" si="24"/>
        <v>0.77017651835492729</v>
      </c>
      <c r="AR18" s="190">
        <f t="shared" si="24"/>
        <v>0.77018759299358452</v>
      </c>
      <c r="AS18" s="190">
        <f t="shared" si="24"/>
        <v>0.77019921930687751</v>
      </c>
      <c r="AT18" s="190">
        <f t="shared" si="24"/>
        <v>0.770211423920803</v>
      </c>
      <c r="AU18" s="190">
        <f t="shared" si="24"/>
        <v>0.77022423465803036</v>
      </c>
      <c r="AV18" s="190">
        <f t="shared" si="24"/>
        <v>0.77023768058248143</v>
      </c>
      <c r="AW18" s="190">
        <f t="shared" si="24"/>
        <v>0.77025179204457994</v>
      </c>
      <c r="AX18" s="191">
        <f t="shared" si="24"/>
        <v>0.77026660072705366</v>
      </c>
    </row>
    <row r="19" spans="1:50" ht="0.15" customHeight="1" x14ac:dyDescent="0.25">
      <c r="A19" s="139"/>
      <c r="B19" s="140"/>
      <c r="C19" s="140"/>
      <c r="D19" s="140"/>
      <c r="E19" s="140"/>
      <c r="F19" s="140"/>
      <c r="G19" s="140"/>
      <c r="H19" s="179"/>
      <c r="I19" s="179" t="s">
        <v>61</v>
      </c>
      <c r="J19" s="184">
        <f>J18-J17</f>
        <v>8.9999999999999969E-2</v>
      </c>
      <c r="K19" s="184">
        <f t="shared" ref="K19:N19" si="25">K18-K17</f>
        <v>9.0002086614276666E-2</v>
      </c>
      <c r="L19" s="184">
        <f t="shared" si="25"/>
        <v>9.0004264704811376E-2</v>
      </c>
      <c r="M19" s="184">
        <f t="shared" si="25"/>
        <v>9.0006535600882787E-2</v>
      </c>
      <c r="N19" s="184">
        <f t="shared" si="25"/>
        <v>9.000889996366479E-2</v>
      </c>
      <c r="O19" s="184">
        <f>O18-O17</f>
        <v>9.0011357589899754E-2</v>
      </c>
      <c r="P19" s="184">
        <f t="shared" ref="P19:AX19" si="26">P18-P17</f>
        <v>9.0013907169776086E-2</v>
      </c>
      <c r="Q19" s="184">
        <f t="shared" si="26"/>
        <v>9.0016545988796159E-2</v>
      </c>
      <c r="R19" s="184">
        <f t="shared" si="26"/>
        <v>9.0019269561176229E-2</v>
      </c>
      <c r="S19" s="184">
        <f t="shared" si="26"/>
        <v>9.0022071179576613E-2</v>
      </c>
      <c r="T19" s="184">
        <f t="shared" si="26"/>
        <v>9.0024941362642941E-2</v>
      </c>
      <c r="U19" s="184">
        <f t="shared" si="26"/>
        <v>9.002786717779232E-2</v>
      </c>
      <c r="V19" s="184">
        <f t="shared" si="26"/>
        <v>9.0030831411773038E-2</v>
      </c>
      <c r="W19" s="184">
        <f t="shared" si="26"/>
        <v>9.0033811555579435E-2</v>
      </c>
      <c r="X19" s="184">
        <f t="shared" si="26"/>
        <v>9.0036778563120201E-2</v>
      </c>
      <c r="Y19" s="184">
        <f t="shared" si="26"/>
        <v>9.0039695334349301E-2</v>
      </c>
      <c r="Z19" s="184">
        <f t="shared" si="26"/>
        <v>9.0042514863129974E-2</v>
      </c>
      <c r="AA19" s="184">
        <f t="shared" si="26"/>
        <v>9.0045177977572943E-2</v>
      </c>
      <c r="AB19" s="184">
        <f t="shared" si="26"/>
        <v>9.0047610585631377E-2</v>
      </c>
      <c r="AC19" s="184">
        <f t="shared" si="26"/>
        <v>9.0049720320976578E-2</v>
      </c>
      <c r="AD19" s="184">
        <f t="shared" si="26"/>
        <v>9.0051392463242452E-2</v>
      </c>
      <c r="AE19" s="184">
        <f t="shared" si="26"/>
        <v>9.005248498226992E-2</v>
      </c>
      <c r="AF19" s="184">
        <f t="shared" si="26"/>
        <v>9.0052822527778909E-2</v>
      </c>
      <c r="AG19" s="184">
        <f t="shared" si="26"/>
        <v>9.0052189153878914E-2</v>
      </c>
      <c r="AH19" s="184">
        <f t="shared" si="26"/>
        <v>9.0050319532329559E-2</v>
      </c>
      <c r="AI19" s="184">
        <f t="shared" si="26"/>
        <v>9.0046888370381883E-2</v>
      </c>
      <c r="AJ19" s="184">
        <f t="shared" si="26"/>
        <v>9.0041497710259377E-2</v>
      </c>
      <c r="AK19" s="184">
        <f t="shared" si="26"/>
        <v>9.0033661751210747E-2</v>
      </c>
      <c r="AL19" s="184">
        <f t="shared" si="26"/>
        <v>9.0022788807259002E-2</v>
      </c>
      <c r="AM19" s="184">
        <f t="shared" si="26"/>
        <v>9.0008160003187676E-2</v>
      </c>
      <c r="AN19" s="184">
        <f t="shared" si="26"/>
        <v>8.9988904331749775E-2</v>
      </c>
      <c r="AO19" s="184">
        <f t="shared" si="26"/>
        <v>8.9963969766982177E-2</v>
      </c>
      <c r="AP19" s="184">
        <f t="shared" si="26"/>
        <v>8.9932090281443111E-2</v>
      </c>
      <c r="AQ19" s="184">
        <f t="shared" si="26"/>
        <v>8.989174889052054E-2</v>
      </c>
      <c r="AR19" s="184">
        <f t="shared" si="26"/>
        <v>8.9841137300514573E-2</v>
      </c>
      <c r="AS19" s="184">
        <f t="shared" si="26"/>
        <v>8.9778113440802221E-2</v>
      </c>
      <c r="AT19" s="184">
        <f t="shared" si="26"/>
        <v>8.9700159200590823E-2</v>
      </c>
      <c r="AU19" s="184">
        <f t="shared" si="26"/>
        <v>8.9604342161254569E-2</v>
      </c>
      <c r="AV19" s="184">
        <f t="shared" si="26"/>
        <v>8.9487287097994361E-2</v>
      </c>
      <c r="AW19" s="184">
        <f t="shared" si="26"/>
        <v>8.9345165552171757E-2</v>
      </c>
      <c r="AX19" s="185">
        <f t="shared" si="26"/>
        <v>8.9173714766275003E-2</v>
      </c>
    </row>
    <row r="20" spans="1:50" ht="0.15" customHeight="1" x14ac:dyDescent="0.25">
      <c r="A20" s="134" t="str">
        <f>$J$964</f>
        <v>Capital costs  €2010/kW gross</v>
      </c>
      <c r="B20" s="135"/>
      <c r="C20" s="135"/>
      <c r="D20" s="135"/>
      <c r="E20" s="135"/>
      <c r="F20" s="135"/>
      <c r="G20" s="135"/>
      <c r="H20" s="135"/>
      <c r="I20" s="135"/>
      <c r="J20" s="175">
        <f>J$965</f>
        <v>2010</v>
      </c>
      <c r="K20" s="175">
        <f t="shared" ref="K20:N20" si="27">K$965</f>
        <v>2011</v>
      </c>
      <c r="L20" s="175">
        <f t="shared" si="27"/>
        <v>2012</v>
      </c>
      <c r="M20" s="175">
        <f t="shared" si="27"/>
        <v>2013</v>
      </c>
      <c r="N20" s="175">
        <f t="shared" si="27"/>
        <v>2014</v>
      </c>
      <c r="O20" s="175">
        <f>O$965</f>
        <v>2015</v>
      </c>
      <c r="P20" s="175">
        <f t="shared" ref="P20:AX20" si="28">P$965</f>
        <v>2016</v>
      </c>
      <c r="Q20" s="175">
        <f t="shared" si="28"/>
        <v>2017</v>
      </c>
      <c r="R20" s="175">
        <f t="shared" si="28"/>
        <v>2018</v>
      </c>
      <c r="S20" s="175">
        <f t="shared" si="28"/>
        <v>2019</v>
      </c>
      <c r="T20" s="175">
        <f t="shared" si="28"/>
        <v>2020</v>
      </c>
      <c r="U20" s="175">
        <f t="shared" si="28"/>
        <v>2021</v>
      </c>
      <c r="V20" s="175">
        <f t="shared" si="28"/>
        <v>2022</v>
      </c>
      <c r="W20" s="175">
        <f t="shared" si="28"/>
        <v>2023</v>
      </c>
      <c r="X20" s="175">
        <f t="shared" si="28"/>
        <v>2024</v>
      </c>
      <c r="Y20" s="175">
        <f t="shared" si="28"/>
        <v>2025</v>
      </c>
      <c r="Z20" s="175">
        <f t="shared" si="28"/>
        <v>2026</v>
      </c>
      <c r="AA20" s="175">
        <f t="shared" si="28"/>
        <v>2027</v>
      </c>
      <c r="AB20" s="175">
        <f t="shared" si="28"/>
        <v>2028</v>
      </c>
      <c r="AC20" s="175">
        <f t="shared" si="28"/>
        <v>2029</v>
      </c>
      <c r="AD20" s="175">
        <f t="shared" si="28"/>
        <v>2030</v>
      </c>
      <c r="AE20" s="175">
        <f t="shared" si="28"/>
        <v>2031</v>
      </c>
      <c r="AF20" s="175">
        <f t="shared" si="28"/>
        <v>2032</v>
      </c>
      <c r="AG20" s="175">
        <f t="shared" si="28"/>
        <v>2033</v>
      </c>
      <c r="AH20" s="175">
        <f t="shared" si="28"/>
        <v>2034</v>
      </c>
      <c r="AI20" s="175">
        <f t="shared" si="28"/>
        <v>2035</v>
      </c>
      <c r="AJ20" s="175">
        <f t="shared" si="28"/>
        <v>2036</v>
      </c>
      <c r="AK20" s="175">
        <f t="shared" si="28"/>
        <v>2037</v>
      </c>
      <c r="AL20" s="175">
        <f t="shared" si="28"/>
        <v>2038</v>
      </c>
      <c r="AM20" s="175">
        <f t="shared" si="28"/>
        <v>2039</v>
      </c>
      <c r="AN20" s="175">
        <f t="shared" si="28"/>
        <v>2040</v>
      </c>
      <c r="AO20" s="175">
        <f t="shared" si="28"/>
        <v>2041</v>
      </c>
      <c r="AP20" s="175">
        <f t="shared" si="28"/>
        <v>2042</v>
      </c>
      <c r="AQ20" s="175">
        <f t="shared" si="28"/>
        <v>2043</v>
      </c>
      <c r="AR20" s="175">
        <f t="shared" si="28"/>
        <v>2044</v>
      </c>
      <c r="AS20" s="175">
        <f t="shared" si="28"/>
        <v>2045</v>
      </c>
      <c r="AT20" s="175">
        <f t="shared" si="28"/>
        <v>2046</v>
      </c>
      <c r="AU20" s="175">
        <f t="shared" si="28"/>
        <v>2047</v>
      </c>
      <c r="AV20" s="175">
        <f t="shared" si="28"/>
        <v>2048</v>
      </c>
      <c r="AW20" s="175">
        <f t="shared" si="28"/>
        <v>2049</v>
      </c>
      <c r="AX20" s="176">
        <f t="shared" si="28"/>
        <v>2050</v>
      </c>
    </row>
    <row r="21" spans="1:50" ht="0.15" customHeight="1" x14ac:dyDescent="0.25">
      <c r="A21" s="137" t="str">
        <f>INDEX(F$966:F$1237,$D$55)</f>
        <v>Pump storage</v>
      </c>
      <c r="B21" s="133" t="str">
        <f>INDEX(G$966:G$1237,$D$55)</f>
        <v>Pump storage</v>
      </c>
      <c r="C21" s="133" t="str">
        <f>INDEX(H$966:H$1237,$D$55)</f>
        <v>Electricity only</v>
      </c>
      <c r="D21" s="133" t="str">
        <f>INDEX(I$966:I$1237,$D$55)</f>
        <v>L</v>
      </c>
      <c r="I21" s="133" t="str">
        <f>A21&amp;" / "&amp;B21&amp;" / "&amp;C21&amp;" / "&amp;D21</f>
        <v>Pump storage / Pump storage / Electricity only / L</v>
      </c>
      <c r="J21" s="177">
        <f t="shared" ref="J21:N21" si="29">INDEX(J$966:J$1237,$D$55)</f>
        <v>3349.125</v>
      </c>
      <c r="K21" s="177">
        <f t="shared" si="29"/>
        <v>3349.0777179279366</v>
      </c>
      <c r="L21" s="177">
        <f t="shared" si="29"/>
        <v>3349.0280259007745</v>
      </c>
      <c r="M21" s="177">
        <f t="shared" si="29"/>
        <v>3348.9758018490884</v>
      </c>
      <c r="N21" s="177">
        <f t="shared" si="29"/>
        <v>3348.9209176005775</v>
      </c>
      <c r="O21" s="177">
        <f t="shared" ref="O21:AX21" si="30">INDEX(O$966:O$1237,$D$55)</f>
        <v>3348.8632385833685</v>
      </c>
      <c r="P21" s="177">
        <f t="shared" si="30"/>
        <v>3348.802623515779</v>
      </c>
      <c r="Q21" s="177">
        <f t="shared" si="30"/>
        <v>3348.7389240820207</v>
      </c>
      <c r="R21" s="177">
        <f t="shared" si="30"/>
        <v>3348.6719845933144</v>
      </c>
      <c r="S21" s="177">
        <f t="shared" si="30"/>
        <v>3348.6016416338693</v>
      </c>
      <c r="T21" s="177">
        <f t="shared" si="30"/>
        <v>3348.5277236911888</v>
      </c>
      <c r="U21" s="177">
        <f t="shared" si="30"/>
        <v>3348.4500507701409</v>
      </c>
      <c r="V21" s="177">
        <f t="shared" si="30"/>
        <v>3348.3684339902429</v>
      </c>
      <c r="W21" s="177">
        <f t="shared" si="30"/>
        <v>3348.2826751656071</v>
      </c>
      <c r="X21" s="177">
        <f t="shared" si="30"/>
        <v>3348.1925663669867</v>
      </c>
      <c r="Y21" s="177">
        <f t="shared" si="30"/>
        <v>3348.0978894653758</v>
      </c>
      <c r="Z21" s="177">
        <f t="shared" si="30"/>
        <v>3347.9984156566206</v>
      </c>
      <c r="AA21" s="177">
        <f t="shared" si="30"/>
        <v>3347.8939049665132</v>
      </c>
      <c r="AB21" s="177">
        <f t="shared" si="30"/>
        <v>3347.7841057358555</v>
      </c>
      <c r="AC21" s="177">
        <f t="shared" si="30"/>
        <v>3347.6687540849962</v>
      </c>
      <c r="AD21" s="177">
        <f t="shared" si="30"/>
        <v>3347.5475733573817</v>
      </c>
      <c r="AE21" s="177">
        <f t="shared" si="30"/>
        <v>3347.4202735416866</v>
      </c>
      <c r="AF21" s="177">
        <f t="shared" si="30"/>
        <v>3347.2865506721291</v>
      </c>
      <c r="AG21" s="177">
        <f t="shared" si="30"/>
        <v>3347.1460862066288</v>
      </c>
      <c r="AH21" s="177">
        <f t="shared" si="30"/>
        <v>3346.9985463825183</v>
      </c>
      <c r="AI21" s="177">
        <f t="shared" si="30"/>
        <v>3346.8435815495864</v>
      </c>
      <c r="AJ21" s="177">
        <f t="shared" si="30"/>
        <v>3346.6808254802986</v>
      </c>
      <c r="AK21" s="177">
        <f t="shared" si="30"/>
        <v>3346.5098946571497</v>
      </c>
      <c r="AL21" s="177">
        <f t="shared" si="30"/>
        <v>3346.3303875371735</v>
      </c>
      <c r="AM21" s="177">
        <f t="shared" si="30"/>
        <v>3346.1418837937772</v>
      </c>
      <c r="AN21" s="177">
        <f t="shared" si="30"/>
        <v>3345.9439435361774</v>
      </c>
      <c r="AO21" s="177">
        <f t="shared" si="30"/>
        <v>3345.7361065068781</v>
      </c>
      <c r="AP21" s="177">
        <f t="shared" si="30"/>
        <v>3345.5178912577717</v>
      </c>
      <c r="AQ21" s="177">
        <f t="shared" si="30"/>
        <v>3345.288794305663</v>
      </c>
      <c r="AR21" s="177">
        <f t="shared" si="30"/>
        <v>3345.0482892681862</v>
      </c>
      <c r="AS21" s="177">
        <f t="shared" si="30"/>
        <v>3344.7958259813408</v>
      </c>
      <c r="AT21" s="177">
        <f t="shared" si="30"/>
        <v>3344.5308296001144</v>
      </c>
      <c r="AU21" s="177">
        <f t="shared" si="30"/>
        <v>3344.252699683947</v>
      </c>
      <c r="AV21" s="177">
        <f t="shared" si="30"/>
        <v>3343.9608092690964</v>
      </c>
      <c r="AW21" s="177">
        <f t="shared" si="30"/>
        <v>3343.6545039303237</v>
      </c>
      <c r="AX21" s="178">
        <f t="shared" si="30"/>
        <v>3343.3331008346645</v>
      </c>
    </row>
    <row r="22" spans="1:50" ht="0.15" customHeight="1" x14ac:dyDescent="0.25">
      <c r="A22" s="137" t="str">
        <f>INDEX(F$966:F$1237,$D$56)</f>
        <v>Pump storage</v>
      </c>
      <c r="B22" s="133" t="str">
        <f>INDEX(G$966:G$1237,$D$56)</f>
        <v>Pump storage</v>
      </c>
      <c r="C22" s="133" t="str">
        <f>INDEX(H$966:H$1237,$D$56)</f>
        <v>Electricity only</v>
      </c>
      <c r="D22" s="133" t="str">
        <f>INDEX(I$966:I$1237,$D$56)</f>
        <v>M</v>
      </c>
      <c r="I22" s="133" t="str">
        <f t="shared" ref="I22:I24" si="31">A22&amp;" / "&amp;B22&amp;" / "&amp;C22&amp;" / "&amp;D22</f>
        <v>Pump storage / Pump storage / Electricity only / M</v>
      </c>
      <c r="J22" s="177">
        <f t="shared" ref="J22:N22" si="32">INDEX(J$966:J$1237,$D$56)</f>
        <v>3851.4937499999996</v>
      </c>
      <c r="K22" s="177">
        <f t="shared" si="32"/>
        <v>3851.4628878021826</v>
      </c>
      <c r="L22" s="177">
        <f t="shared" si="32"/>
        <v>3851.4287854367567</v>
      </c>
      <c r="M22" s="177">
        <f t="shared" si="32"/>
        <v>3851.3911033788172</v>
      </c>
      <c r="N22" s="177">
        <f t="shared" si="32"/>
        <v>3851.3494666706688</v>
      </c>
      <c r="O22" s="177">
        <f t="shared" ref="O22:AX22" si="33">INDEX(O$966:O$1237,$D$56)</f>
        <v>3851.3034612560696</v>
      </c>
      <c r="P22" s="177">
        <f t="shared" si="33"/>
        <v>3851.2526299423225</v>
      </c>
      <c r="Q22" s="177">
        <f t="shared" si="33"/>
        <v>3851.1964679540029</v>
      </c>
      <c r="R22" s="177">
        <f t="shared" si="33"/>
        <v>3851.1344180389469</v>
      </c>
      <c r="S22" s="177">
        <f t="shared" si="33"/>
        <v>3851.065865083774</v>
      </c>
      <c r="T22" s="177">
        <f t="shared" si="33"/>
        <v>3850.9901301926507</v>
      </c>
      <c r="U22" s="177">
        <f t="shared" si="33"/>
        <v>3850.9064641793088</v>
      </c>
      <c r="V22" s="177">
        <f t="shared" si="33"/>
        <v>3850.8140404184478</v>
      </c>
      <c r="W22" s="177">
        <f t="shared" si="33"/>
        <v>3850.7119469987065</v>
      </c>
      <c r="X22" s="177">
        <f t="shared" si="33"/>
        <v>3850.5991781153493</v>
      </c>
      <c r="Y22" s="177">
        <f t="shared" si="33"/>
        <v>3850.4746246368086</v>
      </c>
      <c r="Z22" s="177">
        <f t="shared" si="33"/>
        <v>3850.3370637753319</v>
      </c>
      <c r="AA22" s="177">
        <f t="shared" si="33"/>
        <v>3850.185147788286</v>
      </c>
      <c r="AB22" s="177">
        <f t="shared" si="33"/>
        <v>3850.0173916333856</v>
      </c>
      <c r="AC22" s="177">
        <f t="shared" si="33"/>
        <v>3849.8321594983727</v>
      </c>
      <c r="AD22" s="177">
        <f t="shared" si="33"/>
        <v>3849.6276501237612</v>
      </c>
      <c r="AE22" s="177">
        <f t="shared" si="33"/>
        <v>3849.4018808364576</v>
      </c>
      <c r="AF22" s="177">
        <f t="shared" si="33"/>
        <v>3849.1526702127449</v>
      </c>
      <c r="AG22" s="177">
        <f t="shared" si="33"/>
        <v>3848.8776192917512</v>
      </c>
      <c r="AH22" s="177">
        <f t="shared" si="33"/>
        <v>3848.5740912656283</v>
      </c>
      <c r="AI22" s="177">
        <f t="shared" si="33"/>
        <v>3848.2391895809396</v>
      </c>
      <c r="AJ22" s="177">
        <f t="shared" si="33"/>
        <v>3847.8697343979934</v>
      </c>
      <c r="AK22" s="177">
        <f t="shared" si="33"/>
        <v>3847.4622373719685</v>
      </c>
      <c r="AL22" s="177">
        <f t="shared" si="33"/>
        <v>3847.0128747428325</v>
      </c>
      <c r="AM22" s="177">
        <f t="shared" si="33"/>
        <v>3846.5174587515003</v>
      </c>
      <c r="AN22" s="177">
        <f t="shared" si="33"/>
        <v>3845.9714074389485</v>
      </c>
      <c r="AO22" s="177">
        <f t="shared" si="33"/>
        <v>3845.3697129347979</v>
      </c>
      <c r="AP22" s="177">
        <f t="shared" si="33"/>
        <v>3844.7069084041295</v>
      </c>
      <c r="AQ22" s="177">
        <f t="shared" si="33"/>
        <v>3843.9770338981284</v>
      </c>
      <c r="AR22" s="177">
        <f t="shared" si="33"/>
        <v>3843.1736014479188</v>
      </c>
      <c r="AS22" s="177">
        <f t="shared" si="33"/>
        <v>3842.2895598540449</v>
      </c>
      <c r="AT22" s="177">
        <f t="shared" si="33"/>
        <v>3841.3172597590174</v>
      </c>
      <c r="AU22" s="177">
        <f t="shared" si="33"/>
        <v>3840.2484197495605</v>
      </c>
      <c r="AV22" s="177">
        <f t="shared" si="33"/>
        <v>3839.0740944208364</v>
      </c>
      <c r="AW22" s="177">
        <f t="shared" si="33"/>
        <v>3837.7846455486015</v>
      </c>
      <c r="AX22" s="178">
        <f t="shared" si="33"/>
        <v>3836.3697177577255</v>
      </c>
    </row>
    <row r="23" spans="1:50" ht="0.15" customHeight="1" x14ac:dyDescent="0.25">
      <c r="A23" s="137" t="str">
        <f>INDEX(F$966:F$1237,$D$57)</f>
        <v>Pump storage</v>
      </c>
      <c r="B23" s="133" t="str">
        <f>INDEX(G$966:G$1237,$D$57)</f>
        <v>Pump storage</v>
      </c>
      <c r="C23" s="133" t="str">
        <f>INDEX(H$966:H$1237,$D$57)</f>
        <v>Electricity only</v>
      </c>
      <c r="D23" s="133" t="str">
        <f>INDEX(I$966:I$1237,$D$57)</f>
        <v>S</v>
      </c>
      <c r="I23" s="133" t="str">
        <f t="shared" si="31"/>
        <v>Pump storage / Pump storage / Electricity only / S</v>
      </c>
      <c r="J23" s="177">
        <f t="shared" ref="J23:N23" si="34">INDEX(J$966:J$1237,$D$57)</f>
        <v>4814.3671875</v>
      </c>
      <c r="K23" s="177">
        <f t="shared" si="34"/>
        <v>4814.3548854729306</v>
      </c>
      <c r="L23" s="177">
        <f t="shared" si="34"/>
        <v>4814.3405933224712</v>
      </c>
      <c r="M23" s="177">
        <f t="shared" si="34"/>
        <v>4814.3239892463571</v>
      </c>
      <c r="N23" s="177">
        <f t="shared" si="34"/>
        <v>4814.3046994573579</v>
      </c>
      <c r="O23" s="177">
        <f t="shared" ref="O23:AX23" si="35">INDEX(O$966:O$1237,$D$57)</f>
        <v>4814.2822898030654</v>
      </c>
      <c r="P23" s="177">
        <f t="shared" si="35"/>
        <v>4814.2562560409206</v>
      </c>
      <c r="Q23" s="177">
        <f t="shared" si="35"/>
        <v>4814.2260125548273</v>
      </c>
      <c r="R23" s="177">
        <f t="shared" si="35"/>
        <v>4814.1908792665536</v>
      </c>
      <c r="S23" s="177">
        <f t="shared" si="35"/>
        <v>4814.1500664570085</v>
      </c>
      <c r="T23" s="177">
        <f t="shared" si="35"/>
        <v>4814.1026571689536</v>
      </c>
      <c r="U23" s="177">
        <f t="shared" si="35"/>
        <v>4814.047586812906</v>
      </c>
      <c r="V23" s="177">
        <f t="shared" si="35"/>
        <v>4813.9836195414046</v>
      </c>
      <c r="W23" s="177">
        <f t="shared" si="35"/>
        <v>4813.9093208925806</v>
      </c>
      <c r="X23" s="177">
        <f t="shared" si="35"/>
        <v>4813.823026131523</v>
      </c>
      <c r="Y23" s="177">
        <f t="shared" si="35"/>
        <v>4813.7228036365714</v>
      </c>
      <c r="Z23" s="177">
        <f t="shared" si="35"/>
        <v>4813.606412587048</v>
      </c>
      <c r="AA23" s="177">
        <f t="shared" si="35"/>
        <v>4813.4712541087101</v>
      </c>
      <c r="AB23" s="177">
        <f t="shared" si="35"/>
        <v>4813.3143149236657</v>
      </c>
      <c r="AC23" s="177">
        <f t="shared" si="35"/>
        <v>4813.1321024334566</v>
      </c>
      <c r="AD23" s="177">
        <f t="shared" si="35"/>
        <v>4812.9205700390285</v>
      </c>
      <c r="AE23" s="177">
        <f t="shared" si="35"/>
        <v>4812.6750313725033</v>
      </c>
      <c r="AF23" s="177">
        <f t="shared" si="35"/>
        <v>4812.3900619876213</v>
      </c>
      <c r="AG23" s="177">
        <f t="shared" si="35"/>
        <v>4812.0593869356662</v>
      </c>
      <c r="AH23" s="177">
        <f t="shared" si="35"/>
        <v>4811.675752552077</v>
      </c>
      <c r="AI23" s="177">
        <f t="shared" si="35"/>
        <v>4811.2307807106599</v>
      </c>
      <c r="AJ23" s="177">
        <f t="shared" si="35"/>
        <v>4810.7148037882362</v>
      </c>
      <c r="AK23" s="177">
        <f t="shared" si="35"/>
        <v>4810.1166786509502</v>
      </c>
      <c r="AL23" s="177">
        <f t="shared" si="35"/>
        <v>4809.4235781626949</v>
      </c>
      <c r="AM23" s="177">
        <f t="shared" si="35"/>
        <v>4808.620759076679</v>
      </c>
      <c r="AN23" s="177">
        <f t="shared" si="35"/>
        <v>4807.6913057687598</v>
      </c>
      <c r="AO23" s="177">
        <f t="shared" si="35"/>
        <v>4806.615850189748</v>
      </c>
      <c r="AP23" s="177">
        <f t="shared" si="35"/>
        <v>4805.3722697582134</v>
      </c>
      <c r="AQ23" s="177">
        <f t="shared" si="35"/>
        <v>4803.9353668128279</v>
      </c>
      <c r="AR23" s="177">
        <f t="shared" si="35"/>
        <v>4802.2765358442766</v>
      </c>
      <c r="AS23" s="177">
        <f t="shared" si="35"/>
        <v>4800.3634282001576</v>
      </c>
      <c r="AT23" s="177">
        <f t="shared" si="35"/>
        <v>4798.1596284802572</v>
      </c>
      <c r="AU23" s="177">
        <f t="shared" si="35"/>
        <v>4795.6243625819379</v>
      </c>
      <c r="AV23" s="177">
        <f t="shared" si="35"/>
        <v>4792.7122644402425</v>
      </c>
      <c r="AW23" s="177">
        <f t="shared" si="35"/>
        <v>4789.3732369625168</v>
      </c>
      <c r="AX23" s="178">
        <f t="shared" si="35"/>
        <v>4785.5524523371505</v>
      </c>
    </row>
    <row r="24" spans="1:50" ht="0.15" customHeight="1" x14ac:dyDescent="0.25">
      <c r="A24" s="137" t="str">
        <f>INDEX(F$966:F$1237,$D$58)</f>
        <v>Pump storage</v>
      </c>
      <c r="B24" s="133" t="str">
        <f>INDEX(G$966:G$1237,$D$58)</f>
        <v>Pump storage</v>
      </c>
      <c r="C24" s="133" t="str">
        <f>INDEX(H$966:H$1237,$D$58)</f>
        <v>Electricity only</v>
      </c>
      <c r="D24" s="133" t="str">
        <f>INDEX(I$966:I$1237,$D$58)</f>
        <v>XS</v>
      </c>
      <c r="I24" s="133" t="str">
        <f t="shared" si="31"/>
        <v>Pump storage / Pump storage / Electricity only / XS</v>
      </c>
      <c r="J24" s="177">
        <f t="shared" ref="J24:N24" si="36">INDEX(J$966:J$1237,$D$58)</f>
        <v>6499.3957031250002</v>
      </c>
      <c r="K24" s="177">
        <f t="shared" si="36"/>
        <v>6499.3915198135246</v>
      </c>
      <c r="L24" s="177">
        <f t="shared" si="36"/>
        <v>6499.386410375484</v>
      </c>
      <c r="M24" s="177">
        <f t="shared" si="36"/>
        <v>6499.3801697983918</v>
      </c>
      <c r="N24" s="177">
        <f t="shared" si="36"/>
        <v>6499.3725476963955</v>
      </c>
      <c r="O24" s="177">
        <f t="shared" ref="O24:AX24" si="37">INDEX(O$966:O$1237,$D$58)</f>
        <v>6499.3632382728229</v>
      </c>
      <c r="P24" s="177">
        <f t="shared" si="37"/>
        <v>6499.3518680645211</v>
      </c>
      <c r="Q24" s="177">
        <f t="shared" si="37"/>
        <v>6499.3379809788657</v>
      </c>
      <c r="R24" s="177">
        <f t="shared" si="37"/>
        <v>6499.3210200270478</v>
      </c>
      <c r="S24" s="177">
        <f t="shared" si="37"/>
        <v>6499.300305026667</v>
      </c>
      <c r="T24" s="177">
        <f t="shared" si="37"/>
        <v>6499.2750053879081</v>
      </c>
      <c r="U24" s="177">
        <f t="shared" si="37"/>
        <v>6499.2441069047636</v>
      </c>
      <c r="V24" s="177">
        <f t="shared" si="37"/>
        <v>6499.2063712388544</v>
      </c>
      <c r="W24" s="177">
        <f t="shared" si="37"/>
        <v>6499.160286500135</v>
      </c>
      <c r="X24" s="177">
        <f t="shared" si="37"/>
        <v>6499.1040069863066</v>
      </c>
      <c r="Y24" s="177">
        <f t="shared" si="37"/>
        <v>6499.0352797298556</v>
      </c>
      <c r="Z24" s="177">
        <f t="shared" si="37"/>
        <v>6498.951355005147</v>
      </c>
      <c r="AA24" s="177">
        <f t="shared" si="37"/>
        <v>6498.8488773534245</v>
      </c>
      <c r="AB24" s="177">
        <f t="shared" si="37"/>
        <v>6498.7237529747463</v>
      </c>
      <c r="AC24" s="177">
        <f t="shared" si="37"/>
        <v>6498.5709884961243</v>
      </c>
      <c r="AD24" s="177">
        <f t="shared" si="37"/>
        <v>6498.3844951378269</v>
      </c>
      <c r="AE24" s="177">
        <f t="shared" si="37"/>
        <v>6498.1568511508822</v>
      </c>
      <c r="AF24" s="177">
        <f t="shared" si="37"/>
        <v>6497.8790140796091</v>
      </c>
      <c r="AG24" s="177">
        <f t="shared" si="37"/>
        <v>6497.539972915838</v>
      </c>
      <c r="AH24" s="177">
        <f t="shared" si="37"/>
        <v>6497.1263285775904</v>
      </c>
      <c r="AI24" s="177">
        <f t="shared" si="37"/>
        <v>6496.6217894170495</v>
      </c>
      <c r="AJ24" s="177">
        <f t="shared" si="37"/>
        <v>6496.0065667432054</v>
      </c>
      <c r="AK24" s="177">
        <f t="shared" si="37"/>
        <v>6495.256653812723</v>
      </c>
      <c r="AL24" s="177">
        <f t="shared" si="37"/>
        <v>6494.3429706925726</v>
      </c>
      <c r="AM24" s="177">
        <f t="shared" si="37"/>
        <v>6493.2303572922583</v>
      </c>
      <c r="AN24" s="177">
        <f t="shared" si="37"/>
        <v>6491.8763984045036</v>
      </c>
      <c r="AO24" s="177">
        <f t="shared" si="37"/>
        <v>6490.2300688165142</v>
      </c>
      <c r="AP24" s="177">
        <f t="shared" si="37"/>
        <v>6488.2301949399489</v>
      </c>
      <c r="AQ24" s="177">
        <f t="shared" si="37"/>
        <v>6485.8037440061426</v>
      </c>
      <c r="AR24" s="177">
        <f t="shared" si="37"/>
        <v>6482.8639754103151</v>
      </c>
      <c r="AS24" s="177">
        <f t="shared" si="37"/>
        <v>6479.3085247084555</v>
      </c>
      <c r="AT24" s="177">
        <f t="shared" si="37"/>
        <v>6475.0175431041334</v>
      </c>
      <c r="AU24" s="177">
        <f t="shared" si="37"/>
        <v>6469.852088155706</v>
      </c>
      <c r="AV24" s="177">
        <f t="shared" si="37"/>
        <v>6463.6530580701638</v>
      </c>
      <c r="AW24" s="177">
        <f t="shared" si="37"/>
        <v>6456.2410825087454</v>
      </c>
      <c r="AX24" s="178">
        <f t="shared" si="37"/>
        <v>6447.4179211034561</v>
      </c>
    </row>
    <row r="25" spans="1:50" ht="0.15" customHeight="1" x14ac:dyDescent="0.25">
      <c r="A25" s="137"/>
      <c r="I25" s="174" t="s">
        <v>54</v>
      </c>
      <c r="J25" s="192">
        <f>MIN(J21:J24)</f>
        <v>3349.125</v>
      </c>
      <c r="K25" s="192">
        <f t="shared" ref="K25:N25" si="38">MIN(K21:K24)</f>
        <v>3349.0777179279366</v>
      </c>
      <c r="L25" s="192">
        <f t="shared" si="38"/>
        <v>3349.0280259007745</v>
      </c>
      <c r="M25" s="192">
        <f t="shared" si="38"/>
        <v>3348.9758018490884</v>
      </c>
      <c r="N25" s="192">
        <f t="shared" si="38"/>
        <v>3348.9209176005775</v>
      </c>
      <c r="O25" s="192">
        <f>MIN(O21:O24)</f>
        <v>3348.8632385833685</v>
      </c>
      <c r="P25" s="192">
        <f t="shared" ref="P25:AX25" si="39">MIN(P21:P24)</f>
        <v>3348.802623515779</v>
      </c>
      <c r="Q25" s="192">
        <f t="shared" si="39"/>
        <v>3348.7389240820207</v>
      </c>
      <c r="R25" s="192">
        <f t="shared" si="39"/>
        <v>3348.6719845933144</v>
      </c>
      <c r="S25" s="192">
        <f t="shared" si="39"/>
        <v>3348.6016416338693</v>
      </c>
      <c r="T25" s="192">
        <f t="shared" si="39"/>
        <v>3348.5277236911888</v>
      </c>
      <c r="U25" s="192">
        <f t="shared" si="39"/>
        <v>3348.4500507701409</v>
      </c>
      <c r="V25" s="192">
        <f t="shared" si="39"/>
        <v>3348.3684339902429</v>
      </c>
      <c r="W25" s="192">
        <f t="shared" si="39"/>
        <v>3348.2826751656071</v>
      </c>
      <c r="X25" s="192">
        <f t="shared" si="39"/>
        <v>3348.1925663669867</v>
      </c>
      <c r="Y25" s="192">
        <f t="shared" si="39"/>
        <v>3348.0978894653758</v>
      </c>
      <c r="Z25" s="192">
        <f t="shared" si="39"/>
        <v>3347.9984156566206</v>
      </c>
      <c r="AA25" s="192">
        <f t="shared" si="39"/>
        <v>3347.8939049665132</v>
      </c>
      <c r="AB25" s="192">
        <f t="shared" si="39"/>
        <v>3347.7841057358555</v>
      </c>
      <c r="AC25" s="192">
        <f t="shared" si="39"/>
        <v>3347.6687540849962</v>
      </c>
      <c r="AD25" s="192">
        <f t="shared" si="39"/>
        <v>3347.5475733573817</v>
      </c>
      <c r="AE25" s="192">
        <f t="shared" si="39"/>
        <v>3347.4202735416866</v>
      </c>
      <c r="AF25" s="192">
        <f t="shared" si="39"/>
        <v>3347.2865506721291</v>
      </c>
      <c r="AG25" s="192">
        <f t="shared" si="39"/>
        <v>3347.1460862066288</v>
      </c>
      <c r="AH25" s="192">
        <f t="shared" si="39"/>
        <v>3346.9985463825183</v>
      </c>
      <c r="AI25" s="192">
        <f t="shared" si="39"/>
        <v>3346.8435815495864</v>
      </c>
      <c r="AJ25" s="192">
        <f t="shared" si="39"/>
        <v>3346.6808254802986</v>
      </c>
      <c r="AK25" s="192">
        <f t="shared" si="39"/>
        <v>3346.5098946571497</v>
      </c>
      <c r="AL25" s="192">
        <f t="shared" si="39"/>
        <v>3346.3303875371735</v>
      </c>
      <c r="AM25" s="192">
        <f t="shared" si="39"/>
        <v>3346.1418837937772</v>
      </c>
      <c r="AN25" s="192">
        <f t="shared" si="39"/>
        <v>3345.9439435361774</v>
      </c>
      <c r="AO25" s="192">
        <f t="shared" si="39"/>
        <v>3345.7361065068781</v>
      </c>
      <c r="AP25" s="192">
        <f t="shared" si="39"/>
        <v>3345.5178912577717</v>
      </c>
      <c r="AQ25" s="192">
        <f t="shared" si="39"/>
        <v>3345.288794305663</v>
      </c>
      <c r="AR25" s="192">
        <f t="shared" si="39"/>
        <v>3345.0482892681862</v>
      </c>
      <c r="AS25" s="192">
        <f t="shared" si="39"/>
        <v>3344.7958259813408</v>
      </c>
      <c r="AT25" s="192">
        <f t="shared" si="39"/>
        <v>3344.5308296001144</v>
      </c>
      <c r="AU25" s="192">
        <f t="shared" si="39"/>
        <v>3344.252699683947</v>
      </c>
      <c r="AV25" s="192">
        <f t="shared" si="39"/>
        <v>3343.9608092690964</v>
      </c>
      <c r="AW25" s="192">
        <f t="shared" si="39"/>
        <v>3343.6545039303237</v>
      </c>
      <c r="AX25" s="193">
        <f t="shared" si="39"/>
        <v>3343.3331008346645</v>
      </c>
    </row>
    <row r="26" spans="1:50" ht="0.15" customHeight="1" x14ac:dyDescent="0.25">
      <c r="A26" s="137"/>
      <c r="I26" s="174" t="s">
        <v>55</v>
      </c>
      <c r="J26" s="192">
        <f>MAX(J21:J24)</f>
        <v>6499.3957031250002</v>
      </c>
      <c r="K26" s="192">
        <f t="shared" ref="K26:N26" si="40">MAX(K21:K24)</f>
        <v>6499.3915198135246</v>
      </c>
      <c r="L26" s="192">
        <f t="shared" si="40"/>
        <v>6499.386410375484</v>
      </c>
      <c r="M26" s="192">
        <f t="shared" si="40"/>
        <v>6499.3801697983918</v>
      </c>
      <c r="N26" s="192">
        <f t="shared" si="40"/>
        <v>6499.3725476963955</v>
      </c>
      <c r="O26" s="192">
        <f>MAX(O21:O24)</f>
        <v>6499.3632382728229</v>
      </c>
      <c r="P26" s="192">
        <f t="shared" ref="P26:AX26" si="41">MAX(P21:P24)</f>
        <v>6499.3518680645211</v>
      </c>
      <c r="Q26" s="192">
        <f t="shared" si="41"/>
        <v>6499.3379809788657</v>
      </c>
      <c r="R26" s="192">
        <f t="shared" si="41"/>
        <v>6499.3210200270478</v>
      </c>
      <c r="S26" s="192">
        <f t="shared" si="41"/>
        <v>6499.300305026667</v>
      </c>
      <c r="T26" s="192">
        <f t="shared" si="41"/>
        <v>6499.2750053879081</v>
      </c>
      <c r="U26" s="192">
        <f t="shared" si="41"/>
        <v>6499.2441069047636</v>
      </c>
      <c r="V26" s="192">
        <f t="shared" si="41"/>
        <v>6499.2063712388544</v>
      </c>
      <c r="W26" s="192">
        <f t="shared" si="41"/>
        <v>6499.160286500135</v>
      </c>
      <c r="X26" s="192">
        <f t="shared" si="41"/>
        <v>6499.1040069863066</v>
      </c>
      <c r="Y26" s="192">
        <f t="shared" si="41"/>
        <v>6499.0352797298556</v>
      </c>
      <c r="Z26" s="192">
        <f t="shared" si="41"/>
        <v>6498.951355005147</v>
      </c>
      <c r="AA26" s="192">
        <f t="shared" si="41"/>
        <v>6498.8488773534245</v>
      </c>
      <c r="AB26" s="192">
        <f t="shared" si="41"/>
        <v>6498.7237529747463</v>
      </c>
      <c r="AC26" s="192">
        <f t="shared" si="41"/>
        <v>6498.5709884961243</v>
      </c>
      <c r="AD26" s="192">
        <f t="shared" si="41"/>
        <v>6498.3844951378269</v>
      </c>
      <c r="AE26" s="192">
        <f t="shared" si="41"/>
        <v>6498.1568511508822</v>
      </c>
      <c r="AF26" s="192">
        <f t="shared" si="41"/>
        <v>6497.8790140796091</v>
      </c>
      <c r="AG26" s="192">
        <f t="shared" si="41"/>
        <v>6497.539972915838</v>
      </c>
      <c r="AH26" s="192">
        <f t="shared" si="41"/>
        <v>6497.1263285775904</v>
      </c>
      <c r="AI26" s="192">
        <f t="shared" si="41"/>
        <v>6496.6217894170495</v>
      </c>
      <c r="AJ26" s="192">
        <f t="shared" si="41"/>
        <v>6496.0065667432054</v>
      </c>
      <c r="AK26" s="192">
        <f t="shared" si="41"/>
        <v>6495.256653812723</v>
      </c>
      <c r="AL26" s="192">
        <f t="shared" si="41"/>
        <v>6494.3429706925726</v>
      </c>
      <c r="AM26" s="192">
        <f t="shared" si="41"/>
        <v>6493.2303572922583</v>
      </c>
      <c r="AN26" s="192">
        <f t="shared" si="41"/>
        <v>6491.8763984045036</v>
      </c>
      <c r="AO26" s="192">
        <f t="shared" si="41"/>
        <v>6490.2300688165142</v>
      </c>
      <c r="AP26" s="192">
        <f t="shared" si="41"/>
        <v>6488.2301949399489</v>
      </c>
      <c r="AQ26" s="192">
        <f t="shared" si="41"/>
        <v>6485.8037440061426</v>
      </c>
      <c r="AR26" s="192">
        <f t="shared" si="41"/>
        <v>6482.8639754103151</v>
      </c>
      <c r="AS26" s="192">
        <f t="shared" si="41"/>
        <v>6479.3085247084555</v>
      </c>
      <c r="AT26" s="192">
        <f t="shared" si="41"/>
        <v>6475.0175431041334</v>
      </c>
      <c r="AU26" s="192">
        <f t="shared" si="41"/>
        <v>6469.852088155706</v>
      </c>
      <c r="AV26" s="192">
        <f t="shared" si="41"/>
        <v>6463.6530580701638</v>
      </c>
      <c r="AW26" s="192">
        <f t="shared" si="41"/>
        <v>6456.2410825087454</v>
      </c>
      <c r="AX26" s="193">
        <f t="shared" si="41"/>
        <v>6447.4179211034561</v>
      </c>
    </row>
    <row r="27" spans="1:50" ht="0.15" customHeight="1" x14ac:dyDescent="0.25">
      <c r="A27" s="139"/>
      <c r="B27" s="140"/>
      <c r="C27" s="140"/>
      <c r="D27" s="140"/>
      <c r="E27" s="140"/>
      <c r="F27" s="140"/>
      <c r="G27" s="140"/>
      <c r="H27" s="140"/>
      <c r="I27" s="179" t="s">
        <v>61</v>
      </c>
      <c r="J27" s="180">
        <f>J26-J25</f>
        <v>3150.2707031250002</v>
      </c>
      <c r="K27" s="180">
        <f t="shared" ref="K27:N27" si="42">K26-K25</f>
        <v>3150.313801885588</v>
      </c>
      <c r="L27" s="180">
        <f t="shared" si="42"/>
        <v>3150.3583844747095</v>
      </c>
      <c r="M27" s="180">
        <f t="shared" si="42"/>
        <v>3150.4043679493034</v>
      </c>
      <c r="N27" s="180">
        <f t="shared" si="42"/>
        <v>3150.451630095818</v>
      </c>
      <c r="O27" s="180">
        <f>O26-O25</f>
        <v>3150.4999996894544</v>
      </c>
      <c r="P27" s="180">
        <f t="shared" ref="P27:AX27" si="43">P26-P25</f>
        <v>3150.5492445487421</v>
      </c>
      <c r="Q27" s="180">
        <f t="shared" si="43"/>
        <v>3150.599056896845</v>
      </c>
      <c r="R27" s="180">
        <f t="shared" si="43"/>
        <v>3150.6490354337334</v>
      </c>
      <c r="S27" s="180">
        <f t="shared" si="43"/>
        <v>3150.6986633927977</v>
      </c>
      <c r="T27" s="180">
        <f t="shared" si="43"/>
        <v>3150.7472816967193</v>
      </c>
      <c r="U27" s="180">
        <f t="shared" si="43"/>
        <v>3150.7940561346227</v>
      </c>
      <c r="V27" s="180">
        <f t="shared" si="43"/>
        <v>3150.8379372486115</v>
      </c>
      <c r="W27" s="180">
        <f t="shared" si="43"/>
        <v>3150.877611334528</v>
      </c>
      <c r="X27" s="180">
        <f t="shared" si="43"/>
        <v>3150.9114406193198</v>
      </c>
      <c r="Y27" s="180">
        <f t="shared" si="43"/>
        <v>3150.9373902644797</v>
      </c>
      <c r="Z27" s="180">
        <f t="shared" si="43"/>
        <v>3150.9529393485263</v>
      </c>
      <c r="AA27" s="180">
        <f t="shared" si="43"/>
        <v>3150.9549723869113</v>
      </c>
      <c r="AB27" s="180">
        <f t="shared" si="43"/>
        <v>3150.9396472388908</v>
      </c>
      <c r="AC27" s="180">
        <f t="shared" si="43"/>
        <v>3150.9022344111281</v>
      </c>
      <c r="AD27" s="180">
        <f t="shared" si="43"/>
        <v>3150.8369217804452</v>
      </c>
      <c r="AE27" s="180">
        <f t="shared" si="43"/>
        <v>3150.7365776091956</v>
      </c>
      <c r="AF27" s="180">
        <f t="shared" si="43"/>
        <v>3150.59246340748</v>
      </c>
      <c r="AG27" s="180">
        <f t="shared" si="43"/>
        <v>3150.3938867092093</v>
      </c>
      <c r="AH27" s="180">
        <f t="shared" si="43"/>
        <v>3150.1277821950721</v>
      </c>
      <c r="AI27" s="180">
        <f t="shared" si="43"/>
        <v>3149.7782078674632</v>
      </c>
      <c r="AJ27" s="180">
        <f t="shared" si="43"/>
        <v>3149.3257412629068</v>
      </c>
      <c r="AK27" s="180">
        <f t="shared" si="43"/>
        <v>3148.7467591555733</v>
      </c>
      <c r="AL27" s="180">
        <f t="shared" si="43"/>
        <v>3148.0125831553992</v>
      </c>
      <c r="AM27" s="180">
        <f t="shared" si="43"/>
        <v>3147.0884734984811</v>
      </c>
      <c r="AN27" s="180">
        <f t="shared" si="43"/>
        <v>3145.9324548683262</v>
      </c>
      <c r="AO27" s="180">
        <f t="shared" si="43"/>
        <v>3144.4939623096361</v>
      </c>
      <c r="AP27" s="180">
        <f t="shared" si="43"/>
        <v>3142.7123036821772</v>
      </c>
      <c r="AQ27" s="180">
        <f t="shared" si="43"/>
        <v>3140.5149497004795</v>
      </c>
      <c r="AR27" s="180">
        <f t="shared" si="43"/>
        <v>3137.8156861421289</v>
      </c>
      <c r="AS27" s="180">
        <f t="shared" si="43"/>
        <v>3134.5126987271146</v>
      </c>
      <c r="AT27" s="180">
        <f t="shared" si="43"/>
        <v>3130.486713504019</v>
      </c>
      <c r="AU27" s="180">
        <f t="shared" si="43"/>
        <v>3125.5993884717591</v>
      </c>
      <c r="AV27" s="180">
        <f t="shared" si="43"/>
        <v>3119.6922488010673</v>
      </c>
      <c r="AW27" s="180">
        <f t="shared" si="43"/>
        <v>3112.5865785784217</v>
      </c>
      <c r="AX27" s="181">
        <f t="shared" si="43"/>
        <v>3104.0848202687916</v>
      </c>
    </row>
    <row r="28" spans="1:50" ht="0.15" customHeight="1" x14ac:dyDescent="0.25">
      <c r="A28" s="134" t="str">
        <f>$J$1244</f>
        <v>Fix O&amp;M costs  €2010/kW gross</v>
      </c>
      <c r="B28" s="135"/>
      <c r="C28" s="135"/>
      <c r="D28" s="135"/>
      <c r="E28" s="135"/>
      <c r="F28" s="135"/>
      <c r="G28" s="135"/>
      <c r="H28" s="135"/>
      <c r="I28" s="135"/>
      <c r="J28" s="175">
        <f>J$1245</f>
        <v>2010</v>
      </c>
      <c r="K28" s="175">
        <f t="shared" ref="K28:N28" si="44">K$1245</f>
        <v>2011</v>
      </c>
      <c r="L28" s="175">
        <f t="shared" si="44"/>
        <v>2012</v>
      </c>
      <c r="M28" s="175">
        <f t="shared" si="44"/>
        <v>2013</v>
      </c>
      <c r="N28" s="175">
        <f t="shared" si="44"/>
        <v>2014</v>
      </c>
      <c r="O28" s="175">
        <f>O$1245</f>
        <v>2015</v>
      </c>
      <c r="P28" s="175">
        <f t="shared" ref="P28:AX28" si="45">P$1245</f>
        <v>2016</v>
      </c>
      <c r="Q28" s="175">
        <f t="shared" si="45"/>
        <v>2017</v>
      </c>
      <c r="R28" s="175">
        <f t="shared" si="45"/>
        <v>2018</v>
      </c>
      <c r="S28" s="175">
        <f t="shared" si="45"/>
        <v>2019</v>
      </c>
      <c r="T28" s="175">
        <f t="shared" si="45"/>
        <v>2020</v>
      </c>
      <c r="U28" s="175">
        <f t="shared" si="45"/>
        <v>2021</v>
      </c>
      <c r="V28" s="175">
        <f t="shared" si="45"/>
        <v>2022</v>
      </c>
      <c r="W28" s="175">
        <f t="shared" si="45"/>
        <v>2023</v>
      </c>
      <c r="X28" s="175">
        <f t="shared" si="45"/>
        <v>2024</v>
      </c>
      <c r="Y28" s="175">
        <f t="shared" si="45"/>
        <v>2025</v>
      </c>
      <c r="Z28" s="175">
        <f t="shared" si="45"/>
        <v>2026</v>
      </c>
      <c r="AA28" s="175">
        <f t="shared" si="45"/>
        <v>2027</v>
      </c>
      <c r="AB28" s="175">
        <f t="shared" si="45"/>
        <v>2028</v>
      </c>
      <c r="AC28" s="175">
        <f t="shared" si="45"/>
        <v>2029</v>
      </c>
      <c r="AD28" s="175">
        <f t="shared" si="45"/>
        <v>2030</v>
      </c>
      <c r="AE28" s="175">
        <f t="shared" si="45"/>
        <v>2031</v>
      </c>
      <c r="AF28" s="175">
        <f t="shared" si="45"/>
        <v>2032</v>
      </c>
      <c r="AG28" s="175">
        <f t="shared" si="45"/>
        <v>2033</v>
      </c>
      <c r="AH28" s="175">
        <f t="shared" si="45"/>
        <v>2034</v>
      </c>
      <c r="AI28" s="175">
        <f t="shared" si="45"/>
        <v>2035</v>
      </c>
      <c r="AJ28" s="175">
        <f t="shared" si="45"/>
        <v>2036</v>
      </c>
      <c r="AK28" s="175">
        <f t="shared" si="45"/>
        <v>2037</v>
      </c>
      <c r="AL28" s="175">
        <f t="shared" si="45"/>
        <v>2038</v>
      </c>
      <c r="AM28" s="175">
        <f t="shared" si="45"/>
        <v>2039</v>
      </c>
      <c r="AN28" s="175">
        <f t="shared" si="45"/>
        <v>2040</v>
      </c>
      <c r="AO28" s="175">
        <f t="shared" si="45"/>
        <v>2041</v>
      </c>
      <c r="AP28" s="175">
        <f t="shared" si="45"/>
        <v>2042</v>
      </c>
      <c r="AQ28" s="175">
        <f t="shared" si="45"/>
        <v>2043</v>
      </c>
      <c r="AR28" s="175">
        <f t="shared" si="45"/>
        <v>2044</v>
      </c>
      <c r="AS28" s="175">
        <f t="shared" si="45"/>
        <v>2045</v>
      </c>
      <c r="AT28" s="175">
        <f t="shared" si="45"/>
        <v>2046</v>
      </c>
      <c r="AU28" s="175">
        <f t="shared" si="45"/>
        <v>2047</v>
      </c>
      <c r="AV28" s="175">
        <f t="shared" si="45"/>
        <v>2048</v>
      </c>
      <c r="AW28" s="175">
        <f t="shared" si="45"/>
        <v>2049</v>
      </c>
      <c r="AX28" s="176">
        <f t="shared" si="45"/>
        <v>2050</v>
      </c>
    </row>
    <row r="29" spans="1:50" ht="0.15" customHeight="1" x14ac:dyDescent="0.25">
      <c r="A29" s="137" t="str">
        <f>INDEX(F$1246:F$1517,$D$55)</f>
        <v>Pump storage</v>
      </c>
      <c r="B29" s="133" t="str">
        <f>INDEX(G$1246:G$1517,$D$55)</f>
        <v>Pump storage</v>
      </c>
      <c r="C29" s="133" t="str">
        <f>INDEX(H$1246:H$1517,$D$55)</f>
        <v>Electricity only</v>
      </c>
      <c r="D29" s="133" t="str">
        <f>INDEX(I$1246:I$1517,$D$55)</f>
        <v>L</v>
      </c>
      <c r="I29" s="133" t="str">
        <f>A29&amp;" / "&amp;B29&amp;" / "&amp;C29&amp;" / "&amp;D29</f>
        <v>Pump storage / Pump storage / Electricity only / L</v>
      </c>
      <c r="J29" s="186">
        <f t="shared" ref="J29:N29" si="46">INDEX(J$1246:J$1517,$D$55)</f>
        <v>33.491250000000001</v>
      </c>
      <c r="K29" s="186">
        <f t="shared" si="46"/>
        <v>33.49077717927937</v>
      </c>
      <c r="L29" s="186">
        <f t="shared" si="46"/>
        <v>33.490280259007747</v>
      </c>
      <c r="M29" s="186">
        <f t="shared" si="46"/>
        <v>33.489758018490882</v>
      </c>
      <c r="N29" s="186">
        <f t="shared" si="46"/>
        <v>33.489209176005772</v>
      </c>
      <c r="O29" s="186">
        <f t="shared" ref="O29:AX29" si="47">INDEX(O$1246:O$1517,$D$55)</f>
        <v>33.488632385833682</v>
      </c>
      <c r="P29" s="186">
        <f t="shared" si="47"/>
        <v>33.48802623515779</v>
      </c>
      <c r="Q29" s="186">
        <f t="shared" si="47"/>
        <v>33.487389240820207</v>
      </c>
      <c r="R29" s="186">
        <f t="shared" si="47"/>
        <v>33.486719845933145</v>
      </c>
      <c r="S29" s="186">
        <f t="shared" si="47"/>
        <v>33.486016416338693</v>
      </c>
      <c r="T29" s="186">
        <f t="shared" si="47"/>
        <v>33.485277236911891</v>
      </c>
      <c r="U29" s="186">
        <f t="shared" si="47"/>
        <v>33.484500507701412</v>
      </c>
      <c r="V29" s="186">
        <f t="shared" si="47"/>
        <v>33.483684339902432</v>
      </c>
      <c r="W29" s="186">
        <f t="shared" si="47"/>
        <v>33.48282675165607</v>
      </c>
      <c r="X29" s="186">
        <f t="shared" si="47"/>
        <v>33.48192566366987</v>
      </c>
      <c r="Y29" s="186">
        <f t="shared" si="47"/>
        <v>33.480978894653759</v>
      </c>
      <c r="Z29" s="186">
        <f t="shared" si="47"/>
        <v>33.479984156566204</v>
      </c>
      <c r="AA29" s="186">
        <f t="shared" si="47"/>
        <v>33.478939049665129</v>
      </c>
      <c r="AB29" s="186">
        <f t="shared" si="47"/>
        <v>33.477841057358553</v>
      </c>
      <c r="AC29" s="186">
        <f t="shared" si="47"/>
        <v>33.476687540849966</v>
      </c>
      <c r="AD29" s="186">
        <f t="shared" si="47"/>
        <v>33.475475733573816</v>
      </c>
      <c r="AE29" s="186">
        <f t="shared" si="47"/>
        <v>33.474202735416867</v>
      </c>
      <c r="AF29" s="186">
        <f t="shared" si="47"/>
        <v>33.472865506721291</v>
      </c>
      <c r="AG29" s="186">
        <f t="shared" si="47"/>
        <v>33.471460862066287</v>
      </c>
      <c r="AH29" s="186">
        <f t="shared" si="47"/>
        <v>33.469985463825182</v>
      </c>
      <c r="AI29" s="186">
        <f t="shared" si="47"/>
        <v>33.468435815495866</v>
      </c>
      <c r="AJ29" s="186">
        <f t="shared" si="47"/>
        <v>33.466808254802984</v>
      </c>
      <c r="AK29" s="186">
        <f t="shared" si="47"/>
        <v>33.465098946571501</v>
      </c>
      <c r="AL29" s="186">
        <f t="shared" si="47"/>
        <v>33.463303875371736</v>
      </c>
      <c r="AM29" s="186">
        <f t="shared" si="47"/>
        <v>33.461418837937771</v>
      </c>
      <c r="AN29" s="186">
        <f t="shared" si="47"/>
        <v>33.459439435361773</v>
      </c>
      <c r="AO29" s="186">
        <f t="shared" si="47"/>
        <v>33.457361065068781</v>
      </c>
      <c r="AP29" s="186">
        <f t="shared" si="47"/>
        <v>33.455178912577715</v>
      </c>
      <c r="AQ29" s="186">
        <f t="shared" si="47"/>
        <v>33.452887943056631</v>
      </c>
      <c r="AR29" s="186">
        <f t="shared" si="47"/>
        <v>33.450482892681862</v>
      </c>
      <c r="AS29" s="186">
        <f t="shared" si="47"/>
        <v>33.447958259813412</v>
      </c>
      <c r="AT29" s="186">
        <f t="shared" si="47"/>
        <v>33.445308296001144</v>
      </c>
      <c r="AU29" s="186">
        <f t="shared" si="47"/>
        <v>33.442526996839469</v>
      </c>
      <c r="AV29" s="186">
        <f t="shared" si="47"/>
        <v>33.439608092690968</v>
      </c>
      <c r="AW29" s="186">
        <f t="shared" si="47"/>
        <v>33.43654503930324</v>
      </c>
      <c r="AX29" s="187">
        <f t="shared" si="47"/>
        <v>33.433331008346649</v>
      </c>
    </row>
    <row r="30" spans="1:50" ht="0.15" customHeight="1" x14ac:dyDescent="0.25">
      <c r="A30" s="137" t="str">
        <f>INDEX(F$1246:F$1517,$D$56)</f>
        <v>Pump storage</v>
      </c>
      <c r="B30" s="133" t="str">
        <f>INDEX(G$1246:G$1517,$D$56)</f>
        <v>Pump storage</v>
      </c>
      <c r="C30" s="133" t="str">
        <f>INDEX(H$1246:H$1517,$D$56)</f>
        <v>Electricity only</v>
      </c>
      <c r="D30" s="133" t="str">
        <f>INDEX(I$1246:I$1517,$D$56)</f>
        <v>M</v>
      </c>
      <c r="I30" s="133" t="str">
        <f t="shared" ref="I30:I32" si="48">A30&amp;" / "&amp;B30&amp;" / "&amp;C30&amp;" / "&amp;D30</f>
        <v>Pump storage / Pump storage / Electricity only / M</v>
      </c>
      <c r="J30" s="186">
        <f t="shared" ref="J30:N30" si="49">INDEX(J$1246:J$1517,$D$56)</f>
        <v>38.514937499999995</v>
      </c>
      <c r="K30" s="186">
        <f t="shared" si="49"/>
        <v>38.514628878021824</v>
      </c>
      <c r="L30" s="186">
        <f t="shared" si="49"/>
        <v>38.514287854367566</v>
      </c>
      <c r="M30" s="186">
        <f t="shared" si="49"/>
        <v>38.513911033788176</v>
      </c>
      <c r="N30" s="186">
        <f t="shared" si="49"/>
        <v>38.513494666706691</v>
      </c>
      <c r="O30" s="186">
        <f t="shared" ref="O30:AX30" si="50">INDEX(O$1246:O$1517,$D$56)</f>
        <v>38.513034612560695</v>
      </c>
      <c r="P30" s="186">
        <f t="shared" si="50"/>
        <v>38.512526299423229</v>
      </c>
      <c r="Q30" s="186">
        <f t="shared" si="50"/>
        <v>38.511964679540029</v>
      </c>
      <c r="R30" s="186">
        <f t="shared" si="50"/>
        <v>38.511344180389472</v>
      </c>
      <c r="S30" s="186">
        <f t="shared" si="50"/>
        <v>38.51065865083774</v>
      </c>
      <c r="T30" s="186">
        <f t="shared" si="50"/>
        <v>38.509901301926504</v>
      </c>
      <c r="U30" s="186">
        <f t="shared" si="50"/>
        <v>38.509064641793088</v>
      </c>
      <c r="V30" s="186">
        <f t="shared" si="50"/>
        <v>38.508140404184481</v>
      </c>
      <c r="W30" s="186">
        <f t="shared" si="50"/>
        <v>38.507119469987067</v>
      </c>
      <c r="X30" s="186">
        <f t="shared" si="50"/>
        <v>38.505991781153497</v>
      </c>
      <c r="Y30" s="186">
        <f t="shared" si="50"/>
        <v>38.504746246368086</v>
      </c>
      <c r="Z30" s="186">
        <f t="shared" si="50"/>
        <v>38.503370637753321</v>
      </c>
      <c r="AA30" s="186">
        <f t="shared" si="50"/>
        <v>38.501851477882859</v>
      </c>
      <c r="AB30" s="186">
        <f t="shared" si="50"/>
        <v>38.500173916333857</v>
      </c>
      <c r="AC30" s="186">
        <f t="shared" si="50"/>
        <v>38.498321594983729</v>
      </c>
      <c r="AD30" s="186">
        <f t="shared" si="50"/>
        <v>38.49627650123761</v>
      </c>
      <c r="AE30" s="186">
        <f t="shared" si="50"/>
        <v>38.494018808364579</v>
      </c>
      <c r="AF30" s="186">
        <f t="shared" si="50"/>
        <v>38.491526702127452</v>
      </c>
      <c r="AG30" s="186">
        <f t="shared" si="50"/>
        <v>38.488776192917513</v>
      </c>
      <c r="AH30" s="186">
        <f t="shared" si="50"/>
        <v>38.485740912656283</v>
      </c>
      <c r="AI30" s="186">
        <f t="shared" si="50"/>
        <v>38.4823918958094</v>
      </c>
      <c r="AJ30" s="186">
        <f t="shared" si="50"/>
        <v>38.478697343979938</v>
      </c>
      <c r="AK30" s="186">
        <f t="shared" si="50"/>
        <v>38.474622373719683</v>
      </c>
      <c r="AL30" s="186">
        <f t="shared" si="50"/>
        <v>38.470128747428326</v>
      </c>
      <c r="AM30" s="186">
        <f t="shared" si="50"/>
        <v>38.465174587515001</v>
      </c>
      <c r="AN30" s="186">
        <f t="shared" si="50"/>
        <v>38.459714074389488</v>
      </c>
      <c r="AO30" s="186">
        <f t="shared" si="50"/>
        <v>38.453697129347979</v>
      </c>
      <c r="AP30" s="186">
        <f t="shared" si="50"/>
        <v>38.447069084041296</v>
      </c>
      <c r="AQ30" s="186">
        <f t="shared" si="50"/>
        <v>38.439770338981283</v>
      </c>
      <c r="AR30" s="186">
        <f t="shared" si="50"/>
        <v>38.431736014479192</v>
      </c>
      <c r="AS30" s="186">
        <f t="shared" si="50"/>
        <v>38.42289559854045</v>
      </c>
      <c r="AT30" s="186">
        <f t="shared" si="50"/>
        <v>38.413172597590176</v>
      </c>
      <c r="AU30" s="186">
        <f t="shared" si="50"/>
        <v>38.402484197495603</v>
      </c>
      <c r="AV30" s="186">
        <f t="shared" si="50"/>
        <v>38.390740944208368</v>
      </c>
      <c r="AW30" s="186">
        <f t="shared" si="50"/>
        <v>38.377846455486015</v>
      </c>
      <c r="AX30" s="187">
        <f t="shared" si="50"/>
        <v>38.363697177577258</v>
      </c>
    </row>
    <row r="31" spans="1:50" ht="0.15" customHeight="1" x14ac:dyDescent="0.25">
      <c r="A31" s="137" t="str">
        <f>INDEX(F$1246:F$1517,$D$57)</f>
        <v>Pump storage</v>
      </c>
      <c r="B31" s="133" t="str">
        <f>INDEX(G$1246:G$1517,$D$57)</f>
        <v>Pump storage</v>
      </c>
      <c r="C31" s="133" t="str">
        <f>INDEX(H$1246:H$1517,$D$57)</f>
        <v>Electricity only</v>
      </c>
      <c r="D31" s="133" t="str">
        <f>INDEX(I$1246:I$1517,$D$57)</f>
        <v>S</v>
      </c>
      <c r="I31" s="133" t="str">
        <f t="shared" si="48"/>
        <v>Pump storage / Pump storage / Electricity only / S</v>
      </c>
      <c r="J31" s="186">
        <f t="shared" ref="J31:N31" si="51">INDEX(J$1246:J$1517,$D$57)</f>
        <v>48.143671874999995</v>
      </c>
      <c r="K31" s="186">
        <f t="shared" si="51"/>
        <v>48.143548854729296</v>
      </c>
      <c r="L31" s="186">
        <f t="shared" si="51"/>
        <v>48.143405933224706</v>
      </c>
      <c r="M31" s="186">
        <f t="shared" si="51"/>
        <v>48.143239892463562</v>
      </c>
      <c r="N31" s="186">
        <f t="shared" si="51"/>
        <v>48.143046994573574</v>
      </c>
      <c r="O31" s="186">
        <f t="shared" ref="O31:AX31" si="52">INDEX(O$1246:O$1517,$D$57)</f>
        <v>48.142822898030644</v>
      </c>
      <c r="P31" s="186">
        <f t="shared" si="52"/>
        <v>48.142562560409196</v>
      </c>
      <c r="Q31" s="186">
        <f t="shared" si="52"/>
        <v>48.142260125548269</v>
      </c>
      <c r="R31" s="186">
        <f t="shared" si="52"/>
        <v>48.141908792665525</v>
      </c>
      <c r="S31" s="186">
        <f t="shared" si="52"/>
        <v>48.141500664570074</v>
      </c>
      <c r="T31" s="186">
        <f t="shared" si="52"/>
        <v>48.14102657168953</v>
      </c>
      <c r="U31" s="186">
        <f t="shared" si="52"/>
        <v>48.140475868129052</v>
      </c>
      <c r="V31" s="186">
        <f t="shared" si="52"/>
        <v>48.139836195414041</v>
      </c>
      <c r="W31" s="186">
        <f t="shared" si="52"/>
        <v>48.1390932089258</v>
      </c>
      <c r="X31" s="186">
        <f t="shared" si="52"/>
        <v>48.138230261315222</v>
      </c>
      <c r="Y31" s="186">
        <f t="shared" si="52"/>
        <v>48.137228036365705</v>
      </c>
      <c r="Z31" s="186">
        <f t="shared" si="52"/>
        <v>48.136064125870476</v>
      </c>
      <c r="AA31" s="186">
        <f t="shared" si="52"/>
        <v>48.134712541087097</v>
      </c>
      <c r="AB31" s="186">
        <f t="shared" si="52"/>
        <v>48.133143149236652</v>
      </c>
      <c r="AC31" s="186">
        <f t="shared" si="52"/>
        <v>48.131321024334561</v>
      </c>
      <c r="AD31" s="186">
        <f t="shared" si="52"/>
        <v>48.12920570039028</v>
      </c>
      <c r="AE31" s="186">
        <f t="shared" si="52"/>
        <v>48.126750313725026</v>
      </c>
      <c r="AF31" s="186">
        <f t="shared" si="52"/>
        <v>48.123900619876203</v>
      </c>
      <c r="AG31" s="186">
        <f t="shared" si="52"/>
        <v>48.120593869356654</v>
      </c>
      <c r="AH31" s="186">
        <f t="shared" si="52"/>
        <v>48.116757525520761</v>
      </c>
      <c r="AI31" s="186">
        <f t="shared" si="52"/>
        <v>48.112307807106589</v>
      </c>
      <c r="AJ31" s="186">
        <f t="shared" si="52"/>
        <v>48.107148037882354</v>
      </c>
      <c r="AK31" s="186">
        <f t="shared" si="52"/>
        <v>48.101166786509495</v>
      </c>
      <c r="AL31" s="186">
        <f t="shared" si="52"/>
        <v>48.094235781626942</v>
      </c>
      <c r="AM31" s="186">
        <f t="shared" si="52"/>
        <v>48.086207590766783</v>
      </c>
      <c r="AN31" s="186">
        <f t="shared" si="52"/>
        <v>48.076913057687591</v>
      </c>
      <c r="AO31" s="186">
        <f t="shared" si="52"/>
        <v>48.066158501897476</v>
      </c>
      <c r="AP31" s="186">
        <f t="shared" si="52"/>
        <v>48.053722697582124</v>
      </c>
      <c r="AQ31" s="186">
        <f t="shared" si="52"/>
        <v>48.039353668128271</v>
      </c>
      <c r="AR31" s="186">
        <f t="shared" si="52"/>
        <v>48.022765358442761</v>
      </c>
      <c r="AS31" s="186">
        <f t="shared" si="52"/>
        <v>48.00363428200157</v>
      </c>
      <c r="AT31" s="186">
        <f t="shared" si="52"/>
        <v>47.981596284802563</v>
      </c>
      <c r="AU31" s="186">
        <f t="shared" si="52"/>
        <v>47.956243625819369</v>
      </c>
      <c r="AV31" s="186">
        <f t="shared" si="52"/>
        <v>47.927122644402417</v>
      </c>
      <c r="AW31" s="186">
        <f t="shared" si="52"/>
        <v>47.893732369625162</v>
      </c>
      <c r="AX31" s="187">
        <f t="shared" si="52"/>
        <v>47.8555245233715</v>
      </c>
    </row>
    <row r="32" spans="1:50" ht="0.15" customHeight="1" x14ac:dyDescent="0.25">
      <c r="A32" s="137" t="str">
        <f>INDEX(F$1246:F$1517,$D$58)</f>
        <v>Pump storage</v>
      </c>
      <c r="B32" s="133" t="str">
        <f>INDEX(G$1246:G$1517,$D$58)</f>
        <v>Pump storage</v>
      </c>
      <c r="C32" s="133" t="str">
        <f>INDEX(H$1246:H$1517,$D$58)</f>
        <v>Electricity only</v>
      </c>
      <c r="D32" s="133" t="str">
        <f>INDEX(I$1246:I$1517,$D$58)</f>
        <v>XS</v>
      </c>
      <c r="I32" s="133" t="str">
        <f t="shared" si="48"/>
        <v>Pump storage / Pump storage / Electricity only / XS</v>
      </c>
      <c r="J32" s="186">
        <f t="shared" ref="J32:N32" si="53">INDEX(J$1246:J$1517,$D$58)</f>
        <v>64.993957031249991</v>
      </c>
      <c r="K32" s="186">
        <f t="shared" si="53"/>
        <v>64.993915198135241</v>
      </c>
      <c r="L32" s="186">
        <f t="shared" si="53"/>
        <v>64.993864103754831</v>
      </c>
      <c r="M32" s="186">
        <f t="shared" si="53"/>
        <v>64.993801697983912</v>
      </c>
      <c r="N32" s="186">
        <f t="shared" si="53"/>
        <v>64.993725476963945</v>
      </c>
      <c r="O32" s="186">
        <f t="shared" ref="O32:AX32" si="54">INDEX(O$1246:O$1517,$D$58)</f>
        <v>64.993632382728222</v>
      </c>
      <c r="P32" s="186">
        <f t="shared" si="54"/>
        <v>64.993518680645195</v>
      </c>
      <c r="Q32" s="186">
        <f t="shared" si="54"/>
        <v>64.993379809788649</v>
      </c>
      <c r="R32" s="186">
        <f t="shared" si="54"/>
        <v>64.993210200270468</v>
      </c>
      <c r="S32" s="186">
        <f t="shared" si="54"/>
        <v>64.993003050266665</v>
      </c>
      <c r="T32" s="186">
        <f t="shared" si="54"/>
        <v>64.992750053879078</v>
      </c>
      <c r="U32" s="186">
        <f t="shared" si="54"/>
        <v>64.992441069047629</v>
      </c>
      <c r="V32" s="186">
        <f t="shared" si="54"/>
        <v>64.992063712388529</v>
      </c>
      <c r="W32" s="186">
        <f t="shared" si="54"/>
        <v>64.99160286500134</v>
      </c>
      <c r="X32" s="186">
        <f t="shared" si="54"/>
        <v>64.991040069863061</v>
      </c>
      <c r="Y32" s="186">
        <f t="shared" si="54"/>
        <v>64.990352797298542</v>
      </c>
      <c r="Z32" s="186">
        <f t="shared" si="54"/>
        <v>64.989513550051456</v>
      </c>
      <c r="AA32" s="186">
        <f t="shared" si="54"/>
        <v>64.988488773534229</v>
      </c>
      <c r="AB32" s="186">
        <f t="shared" si="54"/>
        <v>64.987237529747446</v>
      </c>
      <c r="AC32" s="186">
        <f t="shared" si="54"/>
        <v>64.985709884961238</v>
      </c>
      <c r="AD32" s="186">
        <f t="shared" si="54"/>
        <v>64.983844951378259</v>
      </c>
      <c r="AE32" s="186">
        <f t="shared" si="54"/>
        <v>64.981568511508812</v>
      </c>
      <c r="AF32" s="186">
        <f t="shared" si="54"/>
        <v>64.978790140796079</v>
      </c>
      <c r="AG32" s="186">
        <f t="shared" si="54"/>
        <v>64.975399729158369</v>
      </c>
      <c r="AH32" s="186">
        <f t="shared" si="54"/>
        <v>64.97126328577589</v>
      </c>
      <c r="AI32" s="186">
        <f t="shared" si="54"/>
        <v>64.966217894170484</v>
      </c>
      <c r="AJ32" s="186">
        <f t="shared" si="54"/>
        <v>64.960065667432048</v>
      </c>
      <c r="AK32" s="186">
        <f t="shared" si="54"/>
        <v>64.952566538127215</v>
      </c>
      <c r="AL32" s="186">
        <f t="shared" si="54"/>
        <v>64.943429706925713</v>
      </c>
      <c r="AM32" s="186">
        <f t="shared" si="54"/>
        <v>64.932303572922578</v>
      </c>
      <c r="AN32" s="186">
        <f t="shared" si="54"/>
        <v>64.918763984045029</v>
      </c>
      <c r="AO32" s="186">
        <f t="shared" si="54"/>
        <v>64.902300688165127</v>
      </c>
      <c r="AP32" s="186">
        <f t="shared" si="54"/>
        <v>64.882301949399476</v>
      </c>
      <c r="AQ32" s="186">
        <f t="shared" si="54"/>
        <v>64.858037440061409</v>
      </c>
      <c r="AR32" s="186">
        <f t="shared" si="54"/>
        <v>64.828639754103136</v>
      </c>
      <c r="AS32" s="186">
        <f t="shared" si="54"/>
        <v>64.793085247084548</v>
      </c>
      <c r="AT32" s="186">
        <f t="shared" si="54"/>
        <v>64.750175431041328</v>
      </c>
      <c r="AU32" s="186">
        <f t="shared" si="54"/>
        <v>64.698520881557045</v>
      </c>
      <c r="AV32" s="186">
        <f t="shared" si="54"/>
        <v>64.636530580701631</v>
      </c>
      <c r="AW32" s="186">
        <f t="shared" si="54"/>
        <v>64.56241082508744</v>
      </c>
      <c r="AX32" s="187">
        <f t="shared" si="54"/>
        <v>64.474179211034553</v>
      </c>
    </row>
    <row r="33" spans="1:50" ht="0.15" customHeight="1" x14ac:dyDescent="0.25">
      <c r="A33" s="137"/>
      <c r="I33" s="174" t="s">
        <v>54</v>
      </c>
      <c r="J33" s="194">
        <f>MIN(J29:J32)</f>
        <v>33.491250000000001</v>
      </c>
      <c r="K33" s="194">
        <f t="shared" ref="K33:N33" si="55">MIN(K29:K32)</f>
        <v>33.49077717927937</v>
      </c>
      <c r="L33" s="194">
        <f t="shared" si="55"/>
        <v>33.490280259007747</v>
      </c>
      <c r="M33" s="194">
        <f t="shared" si="55"/>
        <v>33.489758018490882</v>
      </c>
      <c r="N33" s="194">
        <f t="shared" si="55"/>
        <v>33.489209176005772</v>
      </c>
      <c r="O33" s="194">
        <f>MIN(O29:O32)</f>
        <v>33.488632385833682</v>
      </c>
      <c r="P33" s="194">
        <f t="shared" ref="P33:AX33" si="56">MIN(P29:P32)</f>
        <v>33.48802623515779</v>
      </c>
      <c r="Q33" s="194">
        <f t="shared" si="56"/>
        <v>33.487389240820207</v>
      </c>
      <c r="R33" s="194">
        <f t="shared" si="56"/>
        <v>33.486719845933145</v>
      </c>
      <c r="S33" s="194">
        <f t="shared" si="56"/>
        <v>33.486016416338693</v>
      </c>
      <c r="T33" s="194">
        <f t="shared" si="56"/>
        <v>33.485277236911891</v>
      </c>
      <c r="U33" s="194">
        <f t="shared" si="56"/>
        <v>33.484500507701412</v>
      </c>
      <c r="V33" s="194">
        <f t="shared" si="56"/>
        <v>33.483684339902432</v>
      </c>
      <c r="W33" s="194">
        <f t="shared" si="56"/>
        <v>33.48282675165607</v>
      </c>
      <c r="X33" s="194">
        <f t="shared" si="56"/>
        <v>33.48192566366987</v>
      </c>
      <c r="Y33" s="194">
        <f t="shared" si="56"/>
        <v>33.480978894653759</v>
      </c>
      <c r="Z33" s="194">
        <f t="shared" si="56"/>
        <v>33.479984156566204</v>
      </c>
      <c r="AA33" s="194">
        <f t="shared" si="56"/>
        <v>33.478939049665129</v>
      </c>
      <c r="AB33" s="194">
        <f t="shared" si="56"/>
        <v>33.477841057358553</v>
      </c>
      <c r="AC33" s="194">
        <f t="shared" si="56"/>
        <v>33.476687540849966</v>
      </c>
      <c r="AD33" s="194">
        <f t="shared" si="56"/>
        <v>33.475475733573816</v>
      </c>
      <c r="AE33" s="194">
        <f t="shared" si="56"/>
        <v>33.474202735416867</v>
      </c>
      <c r="AF33" s="194">
        <f t="shared" si="56"/>
        <v>33.472865506721291</v>
      </c>
      <c r="AG33" s="194">
        <f t="shared" si="56"/>
        <v>33.471460862066287</v>
      </c>
      <c r="AH33" s="194">
        <f t="shared" si="56"/>
        <v>33.469985463825182</v>
      </c>
      <c r="AI33" s="194">
        <f t="shared" si="56"/>
        <v>33.468435815495866</v>
      </c>
      <c r="AJ33" s="194">
        <f t="shared" si="56"/>
        <v>33.466808254802984</v>
      </c>
      <c r="AK33" s="194">
        <f t="shared" si="56"/>
        <v>33.465098946571501</v>
      </c>
      <c r="AL33" s="194">
        <f t="shared" si="56"/>
        <v>33.463303875371736</v>
      </c>
      <c r="AM33" s="194">
        <f t="shared" si="56"/>
        <v>33.461418837937771</v>
      </c>
      <c r="AN33" s="194">
        <f t="shared" si="56"/>
        <v>33.459439435361773</v>
      </c>
      <c r="AO33" s="194">
        <f t="shared" si="56"/>
        <v>33.457361065068781</v>
      </c>
      <c r="AP33" s="194">
        <f t="shared" si="56"/>
        <v>33.455178912577715</v>
      </c>
      <c r="AQ33" s="194">
        <f t="shared" si="56"/>
        <v>33.452887943056631</v>
      </c>
      <c r="AR33" s="194">
        <f t="shared" si="56"/>
        <v>33.450482892681862</v>
      </c>
      <c r="AS33" s="194">
        <f t="shared" si="56"/>
        <v>33.447958259813412</v>
      </c>
      <c r="AT33" s="194">
        <f t="shared" si="56"/>
        <v>33.445308296001144</v>
      </c>
      <c r="AU33" s="194">
        <f t="shared" si="56"/>
        <v>33.442526996839469</v>
      </c>
      <c r="AV33" s="194">
        <f t="shared" si="56"/>
        <v>33.439608092690968</v>
      </c>
      <c r="AW33" s="194">
        <f t="shared" si="56"/>
        <v>33.43654503930324</v>
      </c>
      <c r="AX33" s="195">
        <f t="shared" si="56"/>
        <v>33.433331008346649</v>
      </c>
    </row>
    <row r="34" spans="1:50" ht="0.15" customHeight="1" x14ac:dyDescent="0.25">
      <c r="A34" s="137"/>
      <c r="I34" s="174" t="s">
        <v>55</v>
      </c>
      <c r="J34" s="194">
        <f>MAX(J29:J32)</f>
        <v>64.993957031249991</v>
      </c>
      <c r="K34" s="194">
        <f t="shared" ref="K34:N34" si="57">MAX(K29:K32)</f>
        <v>64.993915198135241</v>
      </c>
      <c r="L34" s="194">
        <f t="shared" si="57"/>
        <v>64.993864103754831</v>
      </c>
      <c r="M34" s="194">
        <f t="shared" si="57"/>
        <v>64.993801697983912</v>
      </c>
      <c r="N34" s="194">
        <f t="shared" si="57"/>
        <v>64.993725476963945</v>
      </c>
      <c r="O34" s="194">
        <f>MAX(O29:O32)</f>
        <v>64.993632382728222</v>
      </c>
      <c r="P34" s="194">
        <f t="shared" ref="P34:AX34" si="58">MAX(P29:P32)</f>
        <v>64.993518680645195</v>
      </c>
      <c r="Q34" s="194">
        <f t="shared" si="58"/>
        <v>64.993379809788649</v>
      </c>
      <c r="R34" s="194">
        <f t="shared" si="58"/>
        <v>64.993210200270468</v>
      </c>
      <c r="S34" s="194">
        <f t="shared" si="58"/>
        <v>64.993003050266665</v>
      </c>
      <c r="T34" s="194">
        <f t="shared" si="58"/>
        <v>64.992750053879078</v>
      </c>
      <c r="U34" s="194">
        <f t="shared" si="58"/>
        <v>64.992441069047629</v>
      </c>
      <c r="V34" s="194">
        <f t="shared" si="58"/>
        <v>64.992063712388529</v>
      </c>
      <c r="W34" s="194">
        <f t="shared" si="58"/>
        <v>64.99160286500134</v>
      </c>
      <c r="X34" s="194">
        <f t="shared" si="58"/>
        <v>64.991040069863061</v>
      </c>
      <c r="Y34" s="194">
        <f t="shared" si="58"/>
        <v>64.990352797298542</v>
      </c>
      <c r="Z34" s="194">
        <f t="shared" si="58"/>
        <v>64.989513550051456</v>
      </c>
      <c r="AA34" s="194">
        <f t="shared" si="58"/>
        <v>64.988488773534229</v>
      </c>
      <c r="AB34" s="194">
        <f t="shared" si="58"/>
        <v>64.987237529747446</v>
      </c>
      <c r="AC34" s="194">
        <f t="shared" si="58"/>
        <v>64.985709884961238</v>
      </c>
      <c r="AD34" s="194">
        <f t="shared" si="58"/>
        <v>64.983844951378259</v>
      </c>
      <c r="AE34" s="194">
        <f t="shared" si="58"/>
        <v>64.981568511508812</v>
      </c>
      <c r="AF34" s="194">
        <f t="shared" si="58"/>
        <v>64.978790140796079</v>
      </c>
      <c r="AG34" s="194">
        <f t="shared" si="58"/>
        <v>64.975399729158369</v>
      </c>
      <c r="AH34" s="194">
        <f t="shared" si="58"/>
        <v>64.97126328577589</v>
      </c>
      <c r="AI34" s="194">
        <f t="shared" si="58"/>
        <v>64.966217894170484</v>
      </c>
      <c r="AJ34" s="194">
        <f t="shared" si="58"/>
        <v>64.960065667432048</v>
      </c>
      <c r="AK34" s="194">
        <f t="shared" si="58"/>
        <v>64.952566538127215</v>
      </c>
      <c r="AL34" s="194">
        <f t="shared" si="58"/>
        <v>64.943429706925713</v>
      </c>
      <c r="AM34" s="194">
        <f t="shared" si="58"/>
        <v>64.932303572922578</v>
      </c>
      <c r="AN34" s="194">
        <f t="shared" si="58"/>
        <v>64.918763984045029</v>
      </c>
      <c r="AO34" s="194">
        <f t="shared" si="58"/>
        <v>64.902300688165127</v>
      </c>
      <c r="AP34" s="194">
        <f t="shared" si="58"/>
        <v>64.882301949399476</v>
      </c>
      <c r="AQ34" s="194">
        <f t="shared" si="58"/>
        <v>64.858037440061409</v>
      </c>
      <c r="AR34" s="194">
        <f t="shared" si="58"/>
        <v>64.828639754103136</v>
      </c>
      <c r="AS34" s="194">
        <f t="shared" si="58"/>
        <v>64.793085247084548</v>
      </c>
      <c r="AT34" s="194">
        <f t="shared" si="58"/>
        <v>64.750175431041328</v>
      </c>
      <c r="AU34" s="194">
        <f t="shared" si="58"/>
        <v>64.698520881557045</v>
      </c>
      <c r="AV34" s="194">
        <f t="shared" si="58"/>
        <v>64.636530580701631</v>
      </c>
      <c r="AW34" s="194">
        <f t="shared" si="58"/>
        <v>64.56241082508744</v>
      </c>
      <c r="AX34" s="195">
        <f t="shared" si="58"/>
        <v>64.474179211034553</v>
      </c>
    </row>
    <row r="35" spans="1:50" ht="0.15" customHeight="1" x14ac:dyDescent="0.25">
      <c r="A35" s="139"/>
      <c r="B35" s="140"/>
      <c r="C35" s="140"/>
      <c r="D35" s="140"/>
      <c r="E35" s="140"/>
      <c r="F35" s="140"/>
      <c r="G35" s="140"/>
      <c r="H35" s="140"/>
      <c r="I35" s="179" t="s">
        <v>61</v>
      </c>
      <c r="J35" s="188">
        <f>J34-J33</f>
        <v>31.50270703124999</v>
      </c>
      <c r="K35" s="188">
        <f t="shared" ref="K35:N35" si="59">K34-K33</f>
        <v>31.503138018855871</v>
      </c>
      <c r="L35" s="188">
        <f t="shared" si="59"/>
        <v>31.503583844747084</v>
      </c>
      <c r="M35" s="188">
        <f t="shared" si="59"/>
        <v>31.50404367949303</v>
      </c>
      <c r="N35" s="188">
        <f t="shared" si="59"/>
        <v>31.504516300958173</v>
      </c>
      <c r="O35" s="188">
        <f>O34-O33</f>
        <v>31.50499999689454</v>
      </c>
      <c r="P35" s="188">
        <f t="shared" ref="P35:AX35" si="60">P34-P33</f>
        <v>31.505492445487405</v>
      </c>
      <c r="Q35" s="188">
        <f t="shared" si="60"/>
        <v>31.505990568968443</v>
      </c>
      <c r="R35" s="188">
        <f t="shared" si="60"/>
        <v>31.506490354337323</v>
      </c>
      <c r="S35" s="188">
        <f t="shared" si="60"/>
        <v>31.506986633927973</v>
      </c>
      <c r="T35" s="188">
        <f t="shared" si="60"/>
        <v>31.507472816967187</v>
      </c>
      <c r="U35" s="188">
        <f t="shared" si="60"/>
        <v>31.507940561346217</v>
      </c>
      <c r="V35" s="188">
        <f t="shared" si="60"/>
        <v>31.508379372486097</v>
      </c>
      <c r="W35" s="188">
        <f t="shared" si="60"/>
        <v>31.50877611334527</v>
      </c>
      <c r="X35" s="188">
        <f t="shared" si="60"/>
        <v>31.509114406193191</v>
      </c>
      <c r="Y35" s="188">
        <f t="shared" si="60"/>
        <v>31.509373902644782</v>
      </c>
      <c r="Z35" s="188">
        <f t="shared" si="60"/>
        <v>31.509529393485252</v>
      </c>
      <c r="AA35" s="188">
        <f t="shared" si="60"/>
        <v>31.5095497238691</v>
      </c>
      <c r="AB35" s="188">
        <f t="shared" si="60"/>
        <v>31.509396472388893</v>
      </c>
      <c r="AC35" s="188">
        <f t="shared" si="60"/>
        <v>31.509022344111273</v>
      </c>
      <c r="AD35" s="188">
        <f t="shared" si="60"/>
        <v>31.508369217804443</v>
      </c>
      <c r="AE35" s="188">
        <f t="shared" si="60"/>
        <v>31.507365776091945</v>
      </c>
      <c r="AF35" s="188">
        <f t="shared" si="60"/>
        <v>31.505924634074788</v>
      </c>
      <c r="AG35" s="188">
        <f t="shared" si="60"/>
        <v>31.503938867092081</v>
      </c>
      <c r="AH35" s="188">
        <f t="shared" si="60"/>
        <v>31.501277821950708</v>
      </c>
      <c r="AI35" s="188">
        <f t="shared" si="60"/>
        <v>31.497782078674618</v>
      </c>
      <c r="AJ35" s="188">
        <f t="shared" si="60"/>
        <v>31.493257412629063</v>
      </c>
      <c r="AK35" s="188">
        <f t="shared" si="60"/>
        <v>31.487467591555713</v>
      </c>
      <c r="AL35" s="188">
        <f t="shared" si="60"/>
        <v>31.480125831553977</v>
      </c>
      <c r="AM35" s="188">
        <f t="shared" si="60"/>
        <v>31.470884734984807</v>
      </c>
      <c r="AN35" s="188">
        <f t="shared" si="60"/>
        <v>31.459324548683256</v>
      </c>
      <c r="AO35" s="188">
        <f t="shared" si="60"/>
        <v>31.444939623096346</v>
      </c>
      <c r="AP35" s="188">
        <f t="shared" si="60"/>
        <v>31.427123036821762</v>
      </c>
      <c r="AQ35" s="188">
        <f t="shared" si="60"/>
        <v>31.405149497004778</v>
      </c>
      <c r="AR35" s="188">
        <f t="shared" si="60"/>
        <v>31.378156861421274</v>
      </c>
      <c r="AS35" s="188">
        <f t="shared" si="60"/>
        <v>31.345126987271136</v>
      </c>
      <c r="AT35" s="188">
        <f t="shared" si="60"/>
        <v>31.304867135040183</v>
      </c>
      <c r="AU35" s="188">
        <f t="shared" si="60"/>
        <v>31.255993884717576</v>
      </c>
      <c r="AV35" s="188">
        <f t="shared" si="60"/>
        <v>31.196922488010664</v>
      </c>
      <c r="AW35" s="188">
        <f t="shared" si="60"/>
        <v>31.1258657857842</v>
      </c>
      <c r="AX35" s="189">
        <f t="shared" si="60"/>
        <v>31.040848202687904</v>
      </c>
    </row>
    <row r="36" spans="1:50" ht="0.15" customHeight="1" x14ac:dyDescent="0.25">
      <c r="A36" s="134" t="str">
        <f>$J$1524</f>
        <v>Variable O&amp;M  costs €2010/MWh gross</v>
      </c>
      <c r="B36" s="135"/>
      <c r="C36" s="135"/>
      <c r="D36" s="135"/>
      <c r="E36" s="135"/>
      <c r="F36" s="135"/>
      <c r="G36" s="135"/>
      <c r="H36" s="135"/>
      <c r="I36" s="135"/>
      <c r="J36" s="175">
        <f>J$1525</f>
        <v>2010</v>
      </c>
      <c r="K36" s="175">
        <f t="shared" ref="K36:N36" si="61">K$1525</f>
        <v>2011</v>
      </c>
      <c r="L36" s="175">
        <f t="shared" si="61"/>
        <v>2012</v>
      </c>
      <c r="M36" s="175">
        <f t="shared" si="61"/>
        <v>2013</v>
      </c>
      <c r="N36" s="175">
        <f t="shared" si="61"/>
        <v>2014</v>
      </c>
      <c r="O36" s="175">
        <f>O$1525</f>
        <v>2015</v>
      </c>
      <c r="P36" s="175">
        <f t="shared" ref="P36:AX36" si="62">P$1525</f>
        <v>2016</v>
      </c>
      <c r="Q36" s="175">
        <f t="shared" si="62"/>
        <v>2017</v>
      </c>
      <c r="R36" s="175">
        <f t="shared" si="62"/>
        <v>2018</v>
      </c>
      <c r="S36" s="175">
        <f t="shared" si="62"/>
        <v>2019</v>
      </c>
      <c r="T36" s="175">
        <f t="shared" si="62"/>
        <v>2020</v>
      </c>
      <c r="U36" s="175">
        <f t="shared" si="62"/>
        <v>2021</v>
      </c>
      <c r="V36" s="175">
        <f t="shared" si="62"/>
        <v>2022</v>
      </c>
      <c r="W36" s="175">
        <f t="shared" si="62"/>
        <v>2023</v>
      </c>
      <c r="X36" s="175">
        <f t="shared" si="62"/>
        <v>2024</v>
      </c>
      <c r="Y36" s="175">
        <f t="shared" si="62"/>
        <v>2025</v>
      </c>
      <c r="Z36" s="175">
        <f t="shared" si="62"/>
        <v>2026</v>
      </c>
      <c r="AA36" s="175">
        <f t="shared" si="62"/>
        <v>2027</v>
      </c>
      <c r="AB36" s="175">
        <f t="shared" si="62"/>
        <v>2028</v>
      </c>
      <c r="AC36" s="175">
        <f t="shared" si="62"/>
        <v>2029</v>
      </c>
      <c r="AD36" s="175">
        <f t="shared" si="62"/>
        <v>2030</v>
      </c>
      <c r="AE36" s="175">
        <f t="shared" si="62"/>
        <v>2031</v>
      </c>
      <c r="AF36" s="175">
        <f t="shared" si="62"/>
        <v>2032</v>
      </c>
      <c r="AG36" s="175">
        <f t="shared" si="62"/>
        <v>2033</v>
      </c>
      <c r="AH36" s="175">
        <f t="shared" si="62"/>
        <v>2034</v>
      </c>
      <c r="AI36" s="175">
        <f t="shared" si="62"/>
        <v>2035</v>
      </c>
      <c r="AJ36" s="175">
        <f t="shared" si="62"/>
        <v>2036</v>
      </c>
      <c r="AK36" s="175">
        <f t="shared" si="62"/>
        <v>2037</v>
      </c>
      <c r="AL36" s="175">
        <f t="shared" si="62"/>
        <v>2038</v>
      </c>
      <c r="AM36" s="175">
        <f t="shared" si="62"/>
        <v>2039</v>
      </c>
      <c r="AN36" s="175">
        <f t="shared" si="62"/>
        <v>2040</v>
      </c>
      <c r="AO36" s="175">
        <f t="shared" si="62"/>
        <v>2041</v>
      </c>
      <c r="AP36" s="175">
        <f t="shared" si="62"/>
        <v>2042</v>
      </c>
      <c r="AQ36" s="175">
        <f t="shared" si="62"/>
        <v>2043</v>
      </c>
      <c r="AR36" s="175">
        <f t="shared" si="62"/>
        <v>2044</v>
      </c>
      <c r="AS36" s="175">
        <f t="shared" si="62"/>
        <v>2045</v>
      </c>
      <c r="AT36" s="175">
        <f t="shared" si="62"/>
        <v>2046</v>
      </c>
      <c r="AU36" s="175">
        <f t="shared" si="62"/>
        <v>2047</v>
      </c>
      <c r="AV36" s="175">
        <f t="shared" si="62"/>
        <v>2048</v>
      </c>
      <c r="AW36" s="175">
        <f t="shared" si="62"/>
        <v>2049</v>
      </c>
      <c r="AX36" s="176">
        <f t="shared" si="62"/>
        <v>2050</v>
      </c>
    </row>
    <row r="37" spans="1:50" ht="0.15" customHeight="1" x14ac:dyDescent="0.25">
      <c r="A37" s="137" t="str">
        <f>INDEX(F$1526:F$1797,$D$55)</f>
        <v>Pump storage</v>
      </c>
      <c r="B37" s="133" t="str">
        <f>INDEX(G$1526:G$1797,$D$55)</f>
        <v>Pump storage</v>
      </c>
      <c r="C37" s="133" t="str">
        <f>INDEX(H$1526:H$1797,$D$55)</f>
        <v>Electricity only</v>
      </c>
      <c r="D37" s="133" t="str">
        <f>INDEX(I$1526:I$1797,$D$55)</f>
        <v>L</v>
      </c>
      <c r="I37" s="133" t="str">
        <f>A37&amp;" / "&amp;B37&amp;" / "&amp;C37&amp;" / "&amp;D37</f>
        <v>Pump storage / Pump storage / Electricity only / L</v>
      </c>
      <c r="J37" s="186">
        <f t="shared" ref="J37:N37" si="63">INDEX(J$1526:J$1797,$D$55)</f>
        <v>0.98157239155920284</v>
      </c>
      <c r="K37" s="186">
        <f t="shared" si="63"/>
        <v>0.98155853397653481</v>
      </c>
      <c r="L37" s="186">
        <f t="shared" si="63"/>
        <v>0.9815439700764288</v>
      </c>
      <c r="M37" s="186">
        <f t="shared" si="63"/>
        <v>0.98152866408238237</v>
      </c>
      <c r="N37" s="186">
        <f t="shared" si="63"/>
        <v>0.98151257842924322</v>
      </c>
      <c r="O37" s="186">
        <f t="shared" ref="O37:AX37" si="64">INDEX(O$1526:O$1797,$D$55)</f>
        <v>0.98149567367625101</v>
      </c>
      <c r="P37" s="186">
        <f t="shared" si="64"/>
        <v>0.98147790841611349</v>
      </c>
      <c r="Q37" s="186">
        <f t="shared" si="64"/>
        <v>0.98145923917995914</v>
      </c>
      <c r="R37" s="186">
        <f t="shared" si="64"/>
        <v>0.98143962033801724</v>
      </c>
      <c r="S37" s="186">
        <f t="shared" si="64"/>
        <v>0.98141900399585869</v>
      </c>
      <c r="T37" s="186">
        <f t="shared" si="64"/>
        <v>0.98139733988604594</v>
      </c>
      <c r="U37" s="186">
        <f t="shared" si="64"/>
        <v>0.9813745752550237</v>
      </c>
      <c r="V37" s="186">
        <f t="shared" si="64"/>
        <v>0.98135065474508887</v>
      </c>
      <c r="W37" s="186">
        <f t="shared" si="64"/>
        <v>0.98132552027127995</v>
      </c>
      <c r="X37" s="186">
        <f t="shared" si="64"/>
        <v>0.9812991108930208</v>
      </c>
      <c r="Y37" s="186">
        <f t="shared" si="64"/>
        <v>0.98127136268035642</v>
      </c>
      <c r="Z37" s="186">
        <f t="shared" si="64"/>
        <v>0.98124220857462507</v>
      </c>
      <c r="AA37" s="186">
        <f t="shared" si="64"/>
        <v>0.98121157824340954</v>
      </c>
      <c r="AB37" s="186">
        <f t="shared" si="64"/>
        <v>0.98117939792961761</v>
      </c>
      <c r="AC37" s="186">
        <f t="shared" si="64"/>
        <v>0.98114559029454751</v>
      </c>
      <c r="AD37" s="186">
        <f t="shared" si="64"/>
        <v>0.98111007425480123</v>
      </c>
      <c r="AE37" s="186">
        <f t="shared" si="64"/>
        <v>0.98107276481292105</v>
      </c>
      <c r="AF37" s="186">
        <f t="shared" si="64"/>
        <v>0.98103357288163218</v>
      </c>
      <c r="AG37" s="186">
        <f t="shared" si="64"/>
        <v>0.98099240510159114</v>
      </c>
      <c r="AH37" s="186">
        <f t="shared" si="64"/>
        <v>0.98094916365255513</v>
      </c>
      <c r="AI37" s="186">
        <f t="shared" si="64"/>
        <v>0.9809037460579092</v>
      </c>
      <c r="AJ37" s="186">
        <f t="shared" si="64"/>
        <v>0.98085604498250256</v>
      </c>
      <c r="AK37" s="186">
        <f t="shared" si="64"/>
        <v>0.98080594802378351</v>
      </c>
      <c r="AL37" s="186">
        <f t="shared" si="64"/>
        <v>0.98075333749624083</v>
      </c>
      <c r="AM37" s="186">
        <f t="shared" si="64"/>
        <v>0.98069809020919618</v>
      </c>
      <c r="AN37" s="186">
        <f t="shared" si="64"/>
        <v>0.9806400772380357</v>
      </c>
      <c r="AO37" s="186">
        <f t="shared" si="64"/>
        <v>0.980579163689003</v>
      </c>
      <c r="AP37" s="186">
        <f t="shared" si="64"/>
        <v>0.9805152084577291</v>
      </c>
      <c r="AQ37" s="186">
        <f t="shared" si="64"/>
        <v>0.98044806398173012</v>
      </c>
      <c r="AR37" s="186">
        <f t="shared" si="64"/>
        <v>0.98037757598715891</v>
      </c>
      <c r="AS37" s="186">
        <f t="shared" si="64"/>
        <v>0.98030358323017019</v>
      </c>
      <c r="AT37" s="186">
        <f t="shared" si="64"/>
        <v>0.98022591723332786</v>
      </c>
      <c r="AU37" s="186">
        <f t="shared" si="64"/>
        <v>0.98014440201756947</v>
      </c>
      <c r="AV37" s="186">
        <f t="shared" si="64"/>
        <v>0.98005885383033309</v>
      </c>
      <c r="AW37" s="186">
        <f t="shared" si="64"/>
        <v>0.97996908087055201</v>
      </c>
      <c r="AX37" s="187">
        <f t="shared" si="64"/>
        <v>0.97987488301133197</v>
      </c>
    </row>
    <row r="38" spans="1:50" ht="0.15" customHeight="1" x14ac:dyDescent="0.25">
      <c r="A38" s="137" t="str">
        <f>INDEX(F$1526:F$1797,$D$56)</f>
        <v>Pump storage</v>
      </c>
      <c r="B38" s="133" t="str">
        <f>INDEX(G$1526:G$1797,$D$56)</f>
        <v>Pump storage</v>
      </c>
      <c r="C38" s="133" t="str">
        <f>INDEX(H$1526:H$1797,$D$56)</f>
        <v>Electricity only</v>
      </c>
      <c r="D38" s="133" t="str">
        <f>INDEX(I$1526:I$1797,$D$56)</f>
        <v>M</v>
      </c>
      <c r="I38" s="133" t="str">
        <f t="shared" ref="I38:I40" si="65">A38&amp;" / "&amp;B38&amp;" / "&amp;C38&amp;" / "&amp;D38</f>
        <v>Pump storage / Pump storage / Electricity only / M</v>
      </c>
      <c r="J38" s="186">
        <f t="shared" ref="J38:N38" si="66">INDEX(J$1526:J$1797,$D$56)</f>
        <v>0.98157239155920284</v>
      </c>
      <c r="K38" s="186">
        <f t="shared" si="66"/>
        <v>0.98156452617416357</v>
      </c>
      <c r="L38" s="186">
        <f t="shared" si="66"/>
        <v>0.98155583501624888</v>
      </c>
      <c r="M38" s="186">
        <f t="shared" si="66"/>
        <v>0.98154623155584331</v>
      </c>
      <c r="N38" s="186">
        <f t="shared" si="66"/>
        <v>0.98153562023310814</v>
      </c>
      <c r="O38" s="186">
        <f t="shared" ref="O38:AX38" si="67">INDEX(O$1526:O$1797,$D$56)</f>
        <v>0.98152389552374497</v>
      </c>
      <c r="P38" s="186">
        <f t="shared" si="67"/>
        <v>0.98151094090991475</v>
      </c>
      <c r="Q38" s="186">
        <f t="shared" si="67"/>
        <v>0.98149662774708268</v>
      </c>
      <c r="R38" s="186">
        <f t="shared" si="67"/>
        <v>0.98148081401675624</v>
      </c>
      <c r="S38" s="186">
        <f t="shared" si="67"/>
        <v>0.98146334295422155</v>
      </c>
      <c r="T38" s="186">
        <f t="shared" si="67"/>
        <v>0.98144404153949005</v>
      </c>
      <c r="U38" s="186">
        <f t="shared" si="67"/>
        <v>0.98142271883870469</v>
      </c>
      <c r="V38" s="186">
        <f t="shared" si="67"/>
        <v>0.98139916418228468</v>
      </c>
      <c r="W38" s="186">
        <f t="shared" si="67"/>
        <v>0.98137314516507135</v>
      </c>
      <c r="X38" s="186">
        <f t="shared" si="67"/>
        <v>0.98134440545271162</v>
      </c>
      <c r="Y38" s="186">
        <f t="shared" si="67"/>
        <v>0.98131266237749359</v>
      </c>
      <c r="Z38" s="186">
        <f t="shared" si="67"/>
        <v>0.98127760430585975</v>
      </c>
      <c r="AA38" s="186">
        <f t="shared" si="67"/>
        <v>0.98123888775887824</v>
      </c>
      <c r="AB38" s="186">
        <f t="shared" si="67"/>
        <v>0.98119613426611618</v>
      </c>
      <c r="AC38" s="186">
        <f t="shared" si="67"/>
        <v>0.98114892693266043</v>
      </c>
      <c r="AD38" s="186">
        <f t="shared" si="67"/>
        <v>0.98109680669854793</v>
      </c>
      <c r="AE38" s="186">
        <f t="shared" si="67"/>
        <v>0.98103926826965149</v>
      </c>
      <c r="AF38" s="186">
        <f t="shared" si="67"/>
        <v>0.98097575569925732</v>
      </c>
      <c r="AG38" s="186">
        <f t="shared" si="67"/>
        <v>0.98090565760022208</v>
      </c>
      <c r="AH38" s="186">
        <f t="shared" si="67"/>
        <v>0.98082830196891513</v>
      </c>
      <c r="AI38" s="186">
        <f t="shared" si="67"/>
        <v>0.98074295060424588</v>
      </c>
      <c r="AJ38" s="186">
        <f t="shared" si="67"/>
        <v>0.98064879310820996</v>
      </c>
      <c r="AK38" s="186">
        <f t="shared" si="67"/>
        <v>0.9805449404587312</v>
      </c>
      <c r="AL38" s="186">
        <f t="shared" si="67"/>
        <v>0.98043041815149434</v>
      </c>
      <c r="AM38" s="186">
        <f t="shared" si="67"/>
        <v>0.98030415891520994</v>
      </c>
      <c r="AN38" s="186">
        <f t="shared" si="67"/>
        <v>0.98016499501476861</v>
      </c>
      <c r="AO38" s="186">
        <f t="shared" si="67"/>
        <v>0.98001165016942726</v>
      </c>
      <c r="AP38" s="186">
        <f t="shared" si="67"/>
        <v>0.97984273112904086</v>
      </c>
      <c r="AQ38" s="186">
        <f t="shared" si="67"/>
        <v>0.97965671897092854</v>
      </c>
      <c r="AR38" s="186">
        <f t="shared" si="67"/>
        <v>0.9794519602038636</v>
      </c>
      <c r="AS38" s="186">
        <f t="shared" si="67"/>
        <v>0.97922665779449658</v>
      </c>
      <c r="AT38" s="186">
        <f t="shared" si="67"/>
        <v>0.97897886226592024</v>
      </c>
      <c r="AU38" s="186">
        <f t="shared" si="67"/>
        <v>0.97870646305865783</v>
      </c>
      <c r="AV38" s="186">
        <f t="shared" si="67"/>
        <v>0.97840718039167074</v>
      </c>
      <c r="AW38" s="186">
        <f t="shared" si="67"/>
        <v>0.97807855791543963</v>
      </c>
      <c r="AX38" s="187">
        <f t="shared" si="67"/>
        <v>0.97771795651096538</v>
      </c>
    </row>
    <row r="39" spans="1:50" ht="0.15" customHeight="1" x14ac:dyDescent="0.25">
      <c r="A39" s="137" t="str">
        <f>INDEX(F$1526:F$1797,$D$57)</f>
        <v>Pump storage</v>
      </c>
      <c r="B39" s="133" t="str">
        <f>INDEX(G$1526:G$1797,$D$57)</f>
        <v>Pump storage</v>
      </c>
      <c r="C39" s="133" t="str">
        <f>INDEX(H$1526:H$1797,$D$57)</f>
        <v>Electricity only</v>
      </c>
      <c r="D39" s="133" t="str">
        <f>INDEX(I$1526:I$1797,$D$57)</f>
        <v>S</v>
      </c>
      <c r="I39" s="133" t="str">
        <f t="shared" si="65"/>
        <v>Pump storage / Pump storage / Electricity only / S</v>
      </c>
      <c r="J39" s="186">
        <f t="shared" ref="J39:N39" si="68">INDEX(J$1526:J$1797,$D$57)</f>
        <v>0.98157239155920284</v>
      </c>
      <c r="K39" s="186">
        <f t="shared" si="68"/>
        <v>0.98156988337283868</v>
      </c>
      <c r="L39" s="186">
        <f t="shared" si="68"/>
        <v>0.98156696943217725</v>
      </c>
      <c r="M39" s="186">
        <f t="shared" si="68"/>
        <v>0.98156358412688871</v>
      </c>
      <c r="N39" s="186">
        <f t="shared" si="68"/>
        <v>0.98155965124774092</v>
      </c>
      <c r="O39" s="186">
        <f t="shared" ref="O39:AX39" si="69">INDEX(O$1526:O$1797,$D$57)</f>
        <v>0.98155508227800914</v>
      </c>
      <c r="P39" s="186">
        <f t="shared" si="69"/>
        <v>0.98154977441070801</v>
      </c>
      <c r="Q39" s="186">
        <f t="shared" si="69"/>
        <v>0.9815436082480915</v>
      </c>
      <c r="R39" s="186">
        <f t="shared" si="69"/>
        <v>0.98153644513309624</v>
      </c>
      <c r="S39" s="186">
        <f t="shared" si="69"/>
        <v>0.98152812405464263</v>
      </c>
      <c r="T39" s="186">
        <f t="shared" si="69"/>
        <v>0.98151845805983051</v>
      </c>
      <c r="U39" s="186">
        <f t="shared" si="69"/>
        <v>0.98150723009590823</v>
      </c>
      <c r="V39" s="186">
        <f t="shared" si="69"/>
        <v>0.98149418819336465</v>
      </c>
      <c r="W39" s="186">
        <f t="shared" si="69"/>
        <v>0.9814790398883898</v>
      </c>
      <c r="X39" s="186">
        <f t="shared" si="69"/>
        <v>0.9814614457681885</v>
      </c>
      <c r="Y39" s="186">
        <f t="shared" si="69"/>
        <v>0.98144101200602918</v>
      </c>
      <c r="Z39" s="186">
        <f t="shared" si="69"/>
        <v>0.98141728173445097</v>
      </c>
      <c r="AA39" s="186">
        <f t="shared" si="69"/>
        <v>0.98138972508460376</v>
      </c>
      <c r="AB39" s="186">
        <f t="shared" si="69"/>
        <v>0.98135772769736807</v>
      </c>
      <c r="AC39" s="186">
        <f t="shared" si="69"/>
        <v>0.98132057748783463</v>
      </c>
      <c r="AD39" s="186">
        <f t="shared" si="69"/>
        <v>0.98127744941924233</v>
      </c>
      <c r="AE39" s="186">
        <f t="shared" si="69"/>
        <v>0.98122738801620957</v>
      </c>
      <c r="AF39" s="186">
        <f t="shared" si="69"/>
        <v>0.98116928732098907</v>
      </c>
      <c r="AG39" s="186">
        <f t="shared" si="69"/>
        <v>0.98110186797199994</v>
      </c>
      <c r="AH39" s="186">
        <f t="shared" si="69"/>
        <v>0.9810236510631688</v>
      </c>
      <c r="AI39" s="186">
        <f t="shared" si="69"/>
        <v>0.98093292842869861</v>
      </c>
      <c r="AJ39" s="186">
        <f t="shared" si="69"/>
        <v>0.98082772899500204</v>
      </c>
      <c r="AK39" s="186">
        <f t="shared" si="69"/>
        <v>0.98070578085548721</v>
      </c>
      <c r="AL39" s="186">
        <f t="shared" si="69"/>
        <v>0.98056446876246395</v>
      </c>
      <c r="AM39" s="186">
        <f t="shared" si="69"/>
        <v>0.98040078680395093</v>
      </c>
      <c r="AN39" s="186">
        <f t="shared" si="69"/>
        <v>0.98021128615500475</v>
      </c>
      <c r="AO39" s="186">
        <f t="shared" si="69"/>
        <v>0.97999201798047764</v>
      </c>
      <c r="AP39" s="186">
        <f t="shared" si="69"/>
        <v>0.97973847184019835</v>
      </c>
      <c r="AQ39" s="186">
        <f t="shared" si="69"/>
        <v>0.97944551033443661</v>
      </c>
      <c r="AR39" s="186">
        <f t="shared" si="69"/>
        <v>0.97910730125781675</v>
      </c>
      <c r="AS39" s="186">
        <f t="shared" si="69"/>
        <v>0.97871724923801573</v>
      </c>
      <c r="AT39" s="186">
        <f t="shared" si="69"/>
        <v>0.97826792975794019</v>
      </c>
      <c r="AU39" s="186">
        <f t="shared" si="69"/>
        <v>0.97775102963085525</v>
      </c>
      <c r="AV39" s="186">
        <f t="shared" si="69"/>
        <v>0.9771572994424268</v>
      </c>
      <c r="AW39" s="186">
        <f t="shared" si="69"/>
        <v>0.97647652519751604</v>
      </c>
      <c r="AX39" s="187">
        <f t="shared" si="69"/>
        <v>0.97569752838312873</v>
      </c>
    </row>
    <row r="40" spans="1:50" ht="0.15" customHeight="1" x14ac:dyDescent="0.25">
      <c r="A40" s="137" t="str">
        <f>INDEX(F$1526:F$1797,$D$58)</f>
        <v>Pump storage</v>
      </c>
      <c r="B40" s="133" t="str">
        <f>INDEX(G$1526:G$1797,$D$58)</f>
        <v>Pump storage</v>
      </c>
      <c r="C40" s="133" t="str">
        <f>INDEX(H$1526:H$1797,$D$58)</f>
        <v>Electricity only</v>
      </c>
      <c r="D40" s="133" t="str">
        <f>INDEX(I$1526:I$1797,$D$58)</f>
        <v>XS</v>
      </c>
      <c r="I40" s="133" t="str">
        <f t="shared" si="65"/>
        <v>Pump storage / Pump storage / Electricity only / XS</v>
      </c>
      <c r="J40" s="186">
        <f t="shared" ref="J40:N40" si="70">INDEX(J$1526:J$1797,$D$58)</f>
        <v>0.98157239155920284</v>
      </c>
      <c r="K40" s="186">
        <f t="shared" si="70"/>
        <v>0.98157175977384359</v>
      </c>
      <c r="L40" s="186">
        <f t="shared" si="70"/>
        <v>0.98157098812005494</v>
      </c>
      <c r="M40" s="186">
        <f t="shared" si="70"/>
        <v>0.9815700456357902</v>
      </c>
      <c r="N40" s="186">
        <f t="shared" si="70"/>
        <v>0.98156889450648099</v>
      </c>
      <c r="O40" s="186">
        <f t="shared" ref="O40:AX40" si="71">INDEX(O$1526:O$1797,$D$58)</f>
        <v>0.9815674885491309</v>
      </c>
      <c r="P40" s="186">
        <f t="shared" si="71"/>
        <v>0.98156577136140077</v>
      </c>
      <c r="Q40" s="186">
        <f t="shared" si="71"/>
        <v>0.98156367406182066</v>
      </c>
      <c r="R40" s="186">
        <f t="shared" si="71"/>
        <v>0.98156111253105693</v>
      </c>
      <c r="S40" s="186">
        <f t="shared" si="71"/>
        <v>0.98155798404444172</v>
      </c>
      <c r="T40" s="186">
        <f t="shared" si="71"/>
        <v>0.98155416316200017</v>
      </c>
      <c r="U40" s="186">
        <f t="shared" si="71"/>
        <v>0.98154949671309011</v>
      </c>
      <c r="V40" s="186">
        <f t="shared" si="71"/>
        <v>0.98154379767743716</v>
      </c>
      <c r="W40" s="186">
        <f t="shared" si="71"/>
        <v>0.98153683772157907</v>
      </c>
      <c r="X40" s="186">
        <f t="shared" si="71"/>
        <v>0.98152833809799744</v>
      </c>
      <c r="Y40" s="186">
        <f t="shared" si="71"/>
        <v>0.98151795855187318</v>
      </c>
      <c r="Z40" s="186">
        <f t="shared" si="71"/>
        <v>0.98150528380540358</v>
      </c>
      <c r="AA40" s="186">
        <f t="shared" si="71"/>
        <v>0.98148980709983324</v>
      </c>
      <c r="AB40" s="186">
        <f t="shared" si="71"/>
        <v>0.98147091016829802</v>
      </c>
      <c r="AC40" s="186">
        <f t="shared" si="71"/>
        <v>0.98144783888575504</v>
      </c>
      <c r="AD40" s="186">
        <f t="shared" si="71"/>
        <v>0.9814196736931623</v>
      </c>
      <c r="AE40" s="186">
        <f t="shared" si="71"/>
        <v>0.98138529371956229</v>
      </c>
      <c r="AF40" s="186">
        <f t="shared" si="71"/>
        <v>0.98134333332647816</v>
      </c>
      <c r="AG40" s="186">
        <f t="shared" si="71"/>
        <v>0.98129212957444312</v>
      </c>
      <c r="AH40" s="186">
        <f t="shared" si="71"/>
        <v>0.98122965886471969</v>
      </c>
      <c r="AI40" s="186">
        <f t="shared" si="71"/>
        <v>0.98115346074829934</v>
      </c>
      <c r="AJ40" s="186">
        <f t="shared" si="71"/>
        <v>0.98106054663460474</v>
      </c>
      <c r="AK40" s="186">
        <f t="shared" si="71"/>
        <v>0.98094729090095545</v>
      </c>
      <c r="AL40" s="186">
        <f t="shared" si="71"/>
        <v>0.98080930174529568</v>
      </c>
      <c r="AM40" s="186">
        <f t="shared" si="71"/>
        <v>0.9806412691087073</v>
      </c>
      <c r="AN40" s="186">
        <f t="shared" si="71"/>
        <v>0.98043678722697059</v>
      </c>
      <c r="AO40" s="186">
        <f t="shared" si="71"/>
        <v>0.98018815000825177</v>
      </c>
      <c r="AP40" s="186">
        <f t="shared" si="71"/>
        <v>0.97988611870049613</v>
      </c>
      <c r="AQ40" s="186">
        <f t="shared" si="71"/>
        <v>0.9795196635168314</v>
      </c>
      <c r="AR40" s="186">
        <f t="shared" si="71"/>
        <v>0.9790756844420001</v>
      </c>
      <c r="AS40" s="186">
        <f t="shared" si="71"/>
        <v>0.97853872186764612</v>
      </c>
      <c r="AT40" s="186">
        <f t="shared" si="71"/>
        <v>0.97789067560798137</v>
      </c>
      <c r="AU40" s="186">
        <f t="shared" si="71"/>
        <v>0.97711056185605494</v>
      </c>
      <c r="AV40" s="186">
        <f t="shared" si="71"/>
        <v>0.9761743522352917</v>
      </c>
      <c r="AW40" s="186">
        <f t="shared" si="71"/>
        <v>0.97505495730839076</v>
      </c>
      <c r="AX40" s="187">
        <f t="shared" si="71"/>
        <v>0.97372243778853163</v>
      </c>
    </row>
    <row r="41" spans="1:50" ht="0.15" customHeight="1" x14ac:dyDescent="0.25">
      <c r="A41" s="137"/>
      <c r="I41" s="174" t="s">
        <v>54</v>
      </c>
      <c r="J41" s="194">
        <f>MIN(J37:J40)</f>
        <v>0.98157239155920284</v>
      </c>
      <c r="K41" s="194">
        <f t="shared" ref="K41:N41" si="72">MIN(K37:K40)</f>
        <v>0.98155853397653481</v>
      </c>
      <c r="L41" s="194">
        <f t="shared" si="72"/>
        <v>0.9815439700764288</v>
      </c>
      <c r="M41" s="194">
        <f t="shared" si="72"/>
        <v>0.98152866408238237</v>
      </c>
      <c r="N41" s="194">
        <f t="shared" si="72"/>
        <v>0.98151257842924322</v>
      </c>
      <c r="O41" s="194">
        <f>MIN(O37:O40)</f>
        <v>0.98149567367625101</v>
      </c>
      <c r="P41" s="194">
        <f t="shared" ref="P41:AX41" si="73">MIN(P37:P40)</f>
        <v>0.98147790841611349</v>
      </c>
      <c r="Q41" s="194">
        <f t="shared" si="73"/>
        <v>0.98145923917995914</v>
      </c>
      <c r="R41" s="194">
        <f t="shared" si="73"/>
        <v>0.98143962033801724</v>
      </c>
      <c r="S41" s="194">
        <f t="shared" si="73"/>
        <v>0.98141900399585869</v>
      </c>
      <c r="T41" s="194">
        <f t="shared" si="73"/>
        <v>0.98139733988604594</v>
      </c>
      <c r="U41" s="194">
        <f t="shared" si="73"/>
        <v>0.9813745752550237</v>
      </c>
      <c r="V41" s="194">
        <f t="shared" si="73"/>
        <v>0.98135065474508887</v>
      </c>
      <c r="W41" s="194">
        <f t="shared" si="73"/>
        <v>0.98132552027127995</v>
      </c>
      <c r="X41" s="194">
        <f t="shared" si="73"/>
        <v>0.9812991108930208</v>
      </c>
      <c r="Y41" s="194">
        <f t="shared" si="73"/>
        <v>0.98127136268035642</v>
      </c>
      <c r="Z41" s="194">
        <f t="shared" si="73"/>
        <v>0.98124220857462507</v>
      </c>
      <c r="AA41" s="194">
        <f t="shared" si="73"/>
        <v>0.98121157824340954</v>
      </c>
      <c r="AB41" s="194">
        <f t="shared" si="73"/>
        <v>0.98117939792961761</v>
      </c>
      <c r="AC41" s="194">
        <f t="shared" si="73"/>
        <v>0.98114559029454751</v>
      </c>
      <c r="AD41" s="194">
        <f t="shared" si="73"/>
        <v>0.98109680669854793</v>
      </c>
      <c r="AE41" s="194">
        <f t="shared" si="73"/>
        <v>0.98103926826965149</v>
      </c>
      <c r="AF41" s="194">
        <f t="shared" si="73"/>
        <v>0.98097575569925732</v>
      </c>
      <c r="AG41" s="194">
        <f t="shared" si="73"/>
        <v>0.98090565760022208</v>
      </c>
      <c r="AH41" s="194">
        <f t="shared" si="73"/>
        <v>0.98082830196891513</v>
      </c>
      <c r="AI41" s="194">
        <f t="shared" si="73"/>
        <v>0.98074295060424588</v>
      </c>
      <c r="AJ41" s="194">
        <f t="shared" si="73"/>
        <v>0.98064879310820996</v>
      </c>
      <c r="AK41" s="194">
        <f t="shared" si="73"/>
        <v>0.9805449404587312</v>
      </c>
      <c r="AL41" s="194">
        <f t="shared" si="73"/>
        <v>0.98043041815149434</v>
      </c>
      <c r="AM41" s="194">
        <f t="shared" si="73"/>
        <v>0.98030415891520994</v>
      </c>
      <c r="AN41" s="194">
        <f t="shared" si="73"/>
        <v>0.98016499501476861</v>
      </c>
      <c r="AO41" s="194">
        <f t="shared" si="73"/>
        <v>0.97999201798047764</v>
      </c>
      <c r="AP41" s="194">
        <f t="shared" si="73"/>
        <v>0.97973847184019835</v>
      </c>
      <c r="AQ41" s="194">
        <f t="shared" si="73"/>
        <v>0.97944551033443661</v>
      </c>
      <c r="AR41" s="194">
        <f t="shared" si="73"/>
        <v>0.9790756844420001</v>
      </c>
      <c r="AS41" s="194">
        <f t="shared" si="73"/>
        <v>0.97853872186764612</v>
      </c>
      <c r="AT41" s="194">
        <f t="shared" si="73"/>
        <v>0.97789067560798137</v>
      </c>
      <c r="AU41" s="194">
        <f t="shared" si="73"/>
        <v>0.97711056185605494</v>
      </c>
      <c r="AV41" s="194">
        <f t="shared" si="73"/>
        <v>0.9761743522352917</v>
      </c>
      <c r="AW41" s="194">
        <f t="shared" si="73"/>
        <v>0.97505495730839076</v>
      </c>
      <c r="AX41" s="195">
        <f t="shared" si="73"/>
        <v>0.97372243778853163</v>
      </c>
    </row>
    <row r="42" spans="1:50" ht="0.15" customHeight="1" x14ac:dyDescent="0.25">
      <c r="A42" s="137"/>
      <c r="I42" s="174" t="s">
        <v>55</v>
      </c>
      <c r="J42" s="194">
        <f>MAX(J37:J40)</f>
        <v>0.98157239155920284</v>
      </c>
      <c r="K42" s="194">
        <f t="shared" ref="K42:N42" si="74">MAX(K37:K40)</f>
        <v>0.98157175977384359</v>
      </c>
      <c r="L42" s="194">
        <f t="shared" si="74"/>
        <v>0.98157098812005494</v>
      </c>
      <c r="M42" s="194">
        <f t="shared" si="74"/>
        <v>0.9815700456357902</v>
      </c>
      <c r="N42" s="194">
        <f t="shared" si="74"/>
        <v>0.98156889450648099</v>
      </c>
      <c r="O42" s="194">
        <f>MAX(O37:O40)</f>
        <v>0.9815674885491309</v>
      </c>
      <c r="P42" s="194">
        <f t="shared" ref="P42:AX42" si="75">MAX(P37:P40)</f>
        <v>0.98156577136140077</v>
      </c>
      <c r="Q42" s="194">
        <f t="shared" si="75"/>
        <v>0.98156367406182066</v>
      </c>
      <c r="R42" s="194">
        <f t="shared" si="75"/>
        <v>0.98156111253105693</v>
      </c>
      <c r="S42" s="194">
        <f t="shared" si="75"/>
        <v>0.98155798404444172</v>
      </c>
      <c r="T42" s="194">
        <f t="shared" si="75"/>
        <v>0.98155416316200017</v>
      </c>
      <c r="U42" s="194">
        <f t="shared" si="75"/>
        <v>0.98154949671309011</v>
      </c>
      <c r="V42" s="194">
        <f t="shared" si="75"/>
        <v>0.98154379767743716</v>
      </c>
      <c r="W42" s="194">
        <f t="shared" si="75"/>
        <v>0.98153683772157907</v>
      </c>
      <c r="X42" s="194">
        <f t="shared" si="75"/>
        <v>0.98152833809799744</v>
      </c>
      <c r="Y42" s="194">
        <f t="shared" si="75"/>
        <v>0.98151795855187318</v>
      </c>
      <c r="Z42" s="194">
        <f t="shared" si="75"/>
        <v>0.98150528380540358</v>
      </c>
      <c r="AA42" s="194">
        <f t="shared" si="75"/>
        <v>0.98148980709983324</v>
      </c>
      <c r="AB42" s="194">
        <f t="shared" si="75"/>
        <v>0.98147091016829802</v>
      </c>
      <c r="AC42" s="194">
        <f t="shared" si="75"/>
        <v>0.98144783888575504</v>
      </c>
      <c r="AD42" s="194">
        <f t="shared" si="75"/>
        <v>0.9814196736931623</v>
      </c>
      <c r="AE42" s="194">
        <f t="shared" si="75"/>
        <v>0.98138529371956229</v>
      </c>
      <c r="AF42" s="194">
        <f t="shared" si="75"/>
        <v>0.98134333332647816</v>
      </c>
      <c r="AG42" s="194">
        <f t="shared" si="75"/>
        <v>0.98129212957444312</v>
      </c>
      <c r="AH42" s="194">
        <f t="shared" si="75"/>
        <v>0.98122965886471969</v>
      </c>
      <c r="AI42" s="194">
        <f t="shared" si="75"/>
        <v>0.98115346074829934</v>
      </c>
      <c r="AJ42" s="194">
        <f t="shared" si="75"/>
        <v>0.98106054663460474</v>
      </c>
      <c r="AK42" s="194">
        <f t="shared" si="75"/>
        <v>0.98094729090095545</v>
      </c>
      <c r="AL42" s="194">
        <f t="shared" si="75"/>
        <v>0.98080930174529568</v>
      </c>
      <c r="AM42" s="194">
        <f t="shared" si="75"/>
        <v>0.98069809020919618</v>
      </c>
      <c r="AN42" s="194">
        <f t="shared" si="75"/>
        <v>0.9806400772380357</v>
      </c>
      <c r="AO42" s="194">
        <f t="shared" si="75"/>
        <v>0.980579163689003</v>
      </c>
      <c r="AP42" s="194">
        <f t="shared" si="75"/>
        <v>0.9805152084577291</v>
      </c>
      <c r="AQ42" s="194">
        <f t="shared" si="75"/>
        <v>0.98044806398173012</v>
      </c>
      <c r="AR42" s="194">
        <f t="shared" si="75"/>
        <v>0.98037757598715891</v>
      </c>
      <c r="AS42" s="194">
        <f t="shared" si="75"/>
        <v>0.98030358323017019</v>
      </c>
      <c r="AT42" s="194">
        <f t="shared" si="75"/>
        <v>0.98022591723332786</v>
      </c>
      <c r="AU42" s="194">
        <f t="shared" si="75"/>
        <v>0.98014440201756947</v>
      </c>
      <c r="AV42" s="194">
        <f t="shared" si="75"/>
        <v>0.98005885383033309</v>
      </c>
      <c r="AW42" s="194">
        <f t="shared" si="75"/>
        <v>0.97996908087055201</v>
      </c>
      <c r="AX42" s="195">
        <f t="shared" si="75"/>
        <v>0.97987488301133197</v>
      </c>
    </row>
    <row r="43" spans="1:50" ht="0.15" customHeight="1" x14ac:dyDescent="0.25">
      <c r="A43" s="139"/>
      <c r="B43" s="140"/>
      <c r="C43" s="140"/>
      <c r="D43" s="140"/>
      <c r="E43" s="140"/>
      <c r="F43" s="140"/>
      <c r="G43" s="140"/>
      <c r="H43" s="140"/>
      <c r="I43" s="179" t="s">
        <v>61</v>
      </c>
      <c r="J43" s="188">
        <f>J42-J41</f>
        <v>0</v>
      </c>
      <c r="K43" s="188">
        <f t="shared" ref="K43:N43" si="76">K42-K41</f>
        <v>1.3225797308780152E-5</v>
      </c>
      <c r="L43" s="188">
        <f t="shared" si="76"/>
        <v>2.7018043626148014E-5</v>
      </c>
      <c r="M43" s="188">
        <f t="shared" si="76"/>
        <v>4.1381553407826566E-5</v>
      </c>
      <c r="N43" s="188">
        <f t="shared" si="76"/>
        <v>5.6316077237772433E-5</v>
      </c>
      <c r="O43" s="188">
        <f>O42-O41</f>
        <v>7.1814872879882863E-5</v>
      </c>
      <c r="P43" s="188">
        <f t="shared" ref="P43:AX43" si="77">P42-P41</f>
        <v>8.7862945287286998E-5</v>
      </c>
      <c r="Q43" s="188">
        <f t="shared" si="77"/>
        <v>1.0443488186151484E-4</v>
      </c>
      <c r="R43" s="188">
        <f t="shared" si="77"/>
        <v>1.2149219303969616E-4</v>
      </c>
      <c r="S43" s="188">
        <f t="shared" si="77"/>
        <v>1.3898004858303725E-4</v>
      </c>
      <c r="T43" s="188">
        <f t="shared" si="77"/>
        <v>1.5682327595423207E-4</v>
      </c>
      <c r="U43" s="188">
        <f t="shared" si="77"/>
        <v>1.7492145806641268E-4</v>
      </c>
      <c r="V43" s="188">
        <f t="shared" si="77"/>
        <v>1.9314293234828916E-4</v>
      </c>
      <c r="W43" s="188">
        <f t="shared" si="77"/>
        <v>2.1131745029911997E-4</v>
      </c>
      <c r="X43" s="188">
        <f t="shared" si="77"/>
        <v>2.2922720497664528E-4</v>
      </c>
      <c r="Y43" s="188">
        <f t="shared" si="77"/>
        <v>2.4659587151676376E-4</v>
      </c>
      <c r="Z43" s="188">
        <f t="shared" si="77"/>
        <v>2.6307523077850892E-4</v>
      </c>
      <c r="AA43" s="188">
        <f t="shared" si="77"/>
        <v>2.7822885642370121E-4</v>
      </c>
      <c r="AB43" s="188">
        <f t="shared" si="77"/>
        <v>2.9151223868040255E-4</v>
      </c>
      <c r="AC43" s="188">
        <f t="shared" si="77"/>
        <v>3.0224859120753234E-4</v>
      </c>
      <c r="AD43" s="188">
        <f t="shared" si="77"/>
        <v>3.2286699461436807E-4</v>
      </c>
      <c r="AE43" s="188">
        <f t="shared" si="77"/>
        <v>3.4602544991080286E-4</v>
      </c>
      <c r="AF43" s="188">
        <f t="shared" si="77"/>
        <v>3.6757762722083864E-4</v>
      </c>
      <c r="AG43" s="188">
        <f t="shared" si="77"/>
        <v>3.8647197422103652E-4</v>
      </c>
      <c r="AH43" s="188">
        <f t="shared" si="77"/>
        <v>4.0135689580456102E-4</v>
      </c>
      <c r="AI43" s="188">
        <f t="shared" si="77"/>
        <v>4.1051014405346642E-4</v>
      </c>
      <c r="AJ43" s="188">
        <f t="shared" si="77"/>
        <v>4.117535263947758E-4</v>
      </c>
      <c r="AK43" s="188">
        <f t="shared" si="77"/>
        <v>4.0235044222425298E-4</v>
      </c>
      <c r="AL43" s="188">
        <f t="shared" si="77"/>
        <v>3.7888359380133796E-4</v>
      </c>
      <c r="AM43" s="188">
        <f t="shared" si="77"/>
        <v>3.9393129398623827E-4</v>
      </c>
      <c r="AN43" s="188">
        <f t="shared" si="77"/>
        <v>4.7508222326708704E-4</v>
      </c>
      <c r="AO43" s="188">
        <f t="shared" si="77"/>
        <v>5.8714570852536063E-4</v>
      </c>
      <c r="AP43" s="188">
        <f t="shared" si="77"/>
        <v>7.7673661753074885E-4</v>
      </c>
      <c r="AQ43" s="188">
        <f t="shared" si="77"/>
        <v>1.0025536472935137E-3</v>
      </c>
      <c r="AR43" s="188">
        <f t="shared" si="77"/>
        <v>1.3018915451588065E-3</v>
      </c>
      <c r="AS43" s="188">
        <f t="shared" si="77"/>
        <v>1.7648613625240728E-3</v>
      </c>
      <c r="AT43" s="188">
        <f t="shared" si="77"/>
        <v>2.3352416253464847E-3</v>
      </c>
      <c r="AU43" s="188">
        <f t="shared" si="77"/>
        <v>3.0338401615145338E-3</v>
      </c>
      <c r="AV43" s="188">
        <f t="shared" si="77"/>
        <v>3.8845015950413897E-3</v>
      </c>
      <c r="AW43" s="188">
        <f t="shared" si="77"/>
        <v>4.9141235621612545E-3</v>
      </c>
      <c r="AX43" s="189">
        <f t="shared" si="77"/>
        <v>6.1524452228003401E-3</v>
      </c>
    </row>
    <row r="44" spans="1:50" ht="0.15" customHeight="1" x14ac:dyDescent="0.25">
      <c r="A44" s="157" t="s">
        <v>54</v>
      </c>
    </row>
    <row r="45" spans="1:50" ht="0.15" customHeight="1" x14ac:dyDescent="0.25">
      <c r="A45" s="157" t="s">
        <v>62</v>
      </c>
    </row>
    <row r="46" spans="1:50" ht="0.15" customHeight="1" x14ac:dyDescent="0.25">
      <c r="A46" s="205">
        <v>17</v>
      </c>
      <c r="B46" s="206">
        <v>1</v>
      </c>
      <c r="C46" s="206">
        <v>1</v>
      </c>
      <c r="D46" s="207">
        <v>2</v>
      </c>
    </row>
    <row r="47" spans="1:50" ht="0.15" customHeight="1" x14ac:dyDescent="0.25">
      <c r="B47" s="271">
        <f>IF(LEN(B50)=0,1,IF(LEN(B51)=0,MIN(2,B46),IF(LEN(B52)=0,MIN(3,B46),MIN(4,B46))))</f>
        <v>1</v>
      </c>
      <c r="C47" s="271">
        <f>IF(LEN(C50)=0,1,IF(LEN(C51)=0,MIN(2,C46),IF(LEN(C52)=0,MIN(3,C46),MIN(4,C46))))</f>
        <v>1</v>
      </c>
      <c r="D47" s="272">
        <f>IF(LEN(D50)=0,1,IF(LEN(D51)=0,MIN(2,D46),IF(LEN(D52)=0,MIN(3,D46),MIN(4,D46))))</f>
        <v>2</v>
      </c>
    </row>
    <row r="48" spans="1:50" ht="0.15" customHeight="1" x14ac:dyDescent="0.25">
      <c r="A48" s="137"/>
      <c r="B48" s="157">
        <f>INDEX(visuD!$H$1:$H$17,$A$46)</f>
        <v>38</v>
      </c>
      <c r="C48" s="157">
        <f>INDEX(visuD!$H$18:$H$56,$B$48+$B$47)</f>
        <v>104</v>
      </c>
      <c r="D48" s="208">
        <f>INDEX(visuD!$H$57:$H$161,$C$48+$C$47)</f>
        <v>268</v>
      </c>
    </row>
    <row r="49" spans="1:4" ht="0.15" customHeight="1" x14ac:dyDescent="0.25">
      <c r="A49" s="209" t="str">
        <f>visuD!A1</f>
        <v>Nuclear power plants</v>
      </c>
      <c r="B49" s="210" t="str">
        <f>TRIM(INDEX(visuD!$D$1:$G$17,$A$46,1))</f>
        <v>Pump storage</v>
      </c>
      <c r="C49" s="210" t="str">
        <f>TRIM(INDEX(visuD!$D$18:$G$56,$B$48+$B$47,1))</f>
        <v>Electricity only</v>
      </c>
      <c r="D49" s="211" t="str">
        <f>TRIM(INDEX(visuD!$D$57:$G$161,$C$48+$C$47,1))</f>
        <v>L</v>
      </c>
    </row>
    <row r="50" spans="1:4" ht="0.15" customHeight="1" x14ac:dyDescent="0.25">
      <c r="A50" s="209" t="str">
        <f>visuD!A2</f>
        <v>Coal fired power plants</v>
      </c>
      <c r="B50" s="210" t="str">
        <f>TRIM(INDEX(visuD!$D$1:$G$17,$A$46,2))</f>
        <v/>
      </c>
      <c r="C50" s="210" t="str">
        <f>TRIM(INDEX(visuD!$D$18:$G$56,$B$48+$B$47,2))</f>
        <v/>
      </c>
      <c r="D50" s="211" t="str">
        <f>TRIM(INDEX(visuD!$D$57:$G$161,$C$48+$C$47,2))</f>
        <v>M</v>
      </c>
    </row>
    <row r="51" spans="1:4" ht="0.15" customHeight="1" x14ac:dyDescent="0.25">
      <c r="A51" s="209" t="str">
        <f>visuD!A3</f>
        <v>Lignite fired power plants</v>
      </c>
      <c r="B51" s="210" t="str">
        <f>TRIM(INDEX(visuD!$D$1:$G$17,$A$46,3))</f>
        <v/>
      </c>
      <c r="C51" s="210" t="str">
        <f>TRIM(INDEX(visuD!$D$18:$G$56,$B$48+$B$47,3))</f>
        <v/>
      </c>
      <c r="D51" s="211" t="str">
        <f>TRIM(INDEX(visuD!$D$57:$G$161,$C$48+$C$47,3))</f>
        <v>S</v>
      </c>
    </row>
    <row r="52" spans="1:4" ht="0.15" customHeight="1" x14ac:dyDescent="0.25">
      <c r="A52" s="209" t="str">
        <f>visuD!A4</f>
        <v>Gas fired power plants (Natural gas, biogas)</v>
      </c>
      <c r="B52" s="210" t="str">
        <f>TRIM(INDEX(visuD!$D$1:$G$17,$A$46,4))</f>
        <v/>
      </c>
      <c r="C52" s="210" t="str">
        <f>TRIM(INDEX(visuD!$D$18:$G$56,$B$48+$B$47,4))</f>
        <v/>
      </c>
      <c r="D52" s="211" t="str">
        <f>TRIM(INDEX(visuD!$D$57:$G$161,$C$48+$C$47,4))</f>
        <v>XS</v>
      </c>
    </row>
    <row r="53" spans="1:4" ht="0.15" customHeight="1" x14ac:dyDescent="0.25">
      <c r="A53" s="209" t="str">
        <f>visuD!A5</f>
        <v>Derived gas fired power plants</v>
      </c>
      <c r="D53" s="138"/>
    </row>
    <row r="54" spans="1:4" ht="0.15" customHeight="1" x14ac:dyDescent="0.25">
      <c r="A54" s="209" t="str">
        <f>visuD!A6</f>
        <v>Refinery gas fired power plants</v>
      </c>
      <c r="D54" s="213">
        <f>D48+D47</f>
        <v>270</v>
      </c>
    </row>
    <row r="55" spans="1:4" ht="0.15" customHeight="1" x14ac:dyDescent="0.25">
      <c r="A55" s="209" t="str">
        <f>visuD!A7</f>
        <v>Diesel oil fired power plants</v>
      </c>
      <c r="D55" s="214">
        <f>D48+1</f>
        <v>269</v>
      </c>
    </row>
    <row r="56" spans="1:4" ht="0.15" customHeight="1" x14ac:dyDescent="0.25">
      <c r="A56" s="209" t="str">
        <f>visuD!A8</f>
        <v>Fuel oil fired power plants</v>
      </c>
      <c r="D56" s="215">
        <f>IF(LEN(D50)&gt;0,D55+1,D55)</f>
        <v>270</v>
      </c>
    </row>
    <row r="57" spans="1:4" ht="0.15" customHeight="1" x14ac:dyDescent="0.25">
      <c r="A57" s="209" t="str">
        <f>visuD!A9</f>
        <v>Biomass and waste fired power plants</v>
      </c>
      <c r="D57" s="215">
        <f>IF(LEN(D51)&gt;0,D56+1,D56)</f>
        <v>271</v>
      </c>
    </row>
    <row r="58" spans="1:4" ht="0.15" customHeight="1" x14ac:dyDescent="0.25">
      <c r="A58" s="209" t="str">
        <f>visuD!A10</f>
        <v>Fuel cells</v>
      </c>
      <c r="D58" s="216">
        <f>IF(LEN(D52)&gt;0,D57+1,D57)</f>
        <v>272</v>
      </c>
    </row>
    <row r="59" spans="1:4" ht="0.15" customHeight="1" x14ac:dyDescent="0.25">
      <c r="A59" s="209" t="str">
        <f>visuD!A11</f>
        <v>Wind power plants</v>
      </c>
      <c r="D59" s="138"/>
    </row>
    <row r="60" spans="1:4" ht="0.15" customHeight="1" x14ac:dyDescent="0.25">
      <c r="A60" s="209" t="str">
        <f>visuD!A12</f>
        <v>Solar PV power plants</v>
      </c>
      <c r="D60" s="138"/>
    </row>
    <row r="61" spans="1:4" ht="0.15" customHeight="1" x14ac:dyDescent="0.25">
      <c r="A61" s="209" t="str">
        <f>visuD!A13</f>
        <v>Solar thermal power plants</v>
      </c>
      <c r="D61" s="138"/>
    </row>
    <row r="62" spans="1:4" ht="0.15" customHeight="1" x14ac:dyDescent="0.25">
      <c r="A62" s="209" t="str">
        <f>visuD!A14</f>
        <v>Geothermal power plants</v>
      </c>
      <c r="D62" s="138"/>
    </row>
    <row r="63" spans="1:4" ht="0.15" customHeight="1" x14ac:dyDescent="0.25">
      <c r="A63" s="209" t="str">
        <f>visuD!A15</f>
        <v>Tide, wave and ocean power plants</v>
      </c>
      <c r="D63" s="138"/>
    </row>
    <row r="64" spans="1:4" ht="0.15" customHeight="1" x14ac:dyDescent="0.25">
      <c r="A64" s="209" t="str">
        <f>visuD!A16</f>
        <v>Hydro plants</v>
      </c>
      <c r="D64" s="138"/>
    </row>
    <row r="65" spans="1:4" ht="0.15" customHeight="1" x14ac:dyDescent="0.25">
      <c r="A65" s="212" t="str">
        <f>visuD!A17</f>
        <v>Pump storage</v>
      </c>
      <c r="B65" s="140"/>
      <c r="C65" s="140"/>
      <c r="D65" s="141"/>
    </row>
    <row r="123" spans="1:50" ht="11" thickBot="1" x14ac:dyDescent="0.3"/>
    <row r="124" spans="1:50" x14ac:dyDescent="0.25">
      <c r="A124" s="343" t="s">
        <v>49</v>
      </c>
      <c r="B124" s="345" t="s">
        <v>50</v>
      </c>
      <c r="C124" s="345" t="s">
        <v>51</v>
      </c>
      <c r="D124" s="345" t="s">
        <v>52</v>
      </c>
      <c r="E124" s="290"/>
      <c r="F124" s="290"/>
      <c r="G124" s="290"/>
      <c r="H124" s="290"/>
      <c r="I124" s="290"/>
      <c r="J124" s="1" t="s">
        <v>102</v>
      </c>
      <c r="K124" s="289"/>
      <c r="L124" s="289"/>
      <c r="M124" s="289"/>
      <c r="N124" s="289"/>
      <c r="O124" s="289"/>
      <c r="P124" s="289"/>
      <c r="Q124" s="289"/>
      <c r="R124" s="289"/>
      <c r="S124" s="289"/>
      <c r="T124" s="289"/>
      <c r="U124" s="289"/>
      <c r="V124" s="289"/>
      <c r="W124" s="289"/>
      <c r="X124" s="289"/>
      <c r="Y124" s="289"/>
      <c r="Z124" s="289"/>
      <c r="AA124" s="289"/>
      <c r="AB124" s="289"/>
      <c r="AC124" s="289"/>
      <c r="AD124" s="289"/>
      <c r="AE124" s="289"/>
      <c r="AF124" s="289"/>
      <c r="AG124" s="289"/>
      <c r="AH124" s="289"/>
      <c r="AI124" s="289"/>
      <c r="AJ124" s="289"/>
      <c r="AK124" s="289"/>
      <c r="AL124" s="289"/>
      <c r="AM124" s="289"/>
      <c r="AN124" s="289"/>
      <c r="AO124" s="289"/>
      <c r="AP124" s="289"/>
      <c r="AQ124" s="289"/>
      <c r="AR124" s="289"/>
      <c r="AS124" s="289"/>
      <c r="AT124" s="289"/>
      <c r="AU124" s="289"/>
      <c r="AV124" s="289"/>
      <c r="AW124" s="289"/>
      <c r="AX124" s="288"/>
    </row>
    <row r="125" spans="1:50" ht="11" thickBot="1" x14ac:dyDescent="0.3">
      <c r="A125" s="344"/>
      <c r="B125" s="346"/>
      <c r="C125" s="346"/>
      <c r="D125" s="346"/>
      <c r="E125" s="291"/>
      <c r="F125" s="291"/>
      <c r="G125" s="291"/>
      <c r="H125" s="291"/>
      <c r="I125" s="291"/>
      <c r="J125" s="68">
        <v>2010</v>
      </c>
      <c r="K125" s="68">
        <v>2011</v>
      </c>
      <c r="L125" s="68">
        <v>2012</v>
      </c>
      <c r="M125" s="68">
        <v>2013</v>
      </c>
      <c r="N125" s="68">
        <v>2014</v>
      </c>
      <c r="O125" s="68">
        <v>2015</v>
      </c>
      <c r="P125" s="68">
        <v>2016</v>
      </c>
      <c r="Q125" s="68">
        <v>2017</v>
      </c>
      <c r="R125" s="68">
        <v>2018</v>
      </c>
      <c r="S125" s="68">
        <v>2019</v>
      </c>
      <c r="T125" s="68">
        <v>2020</v>
      </c>
      <c r="U125" s="68">
        <v>2021</v>
      </c>
      <c r="V125" s="68">
        <v>2022</v>
      </c>
      <c r="W125" s="68">
        <v>2023</v>
      </c>
      <c r="X125" s="68">
        <v>2024</v>
      </c>
      <c r="Y125" s="68">
        <v>2025</v>
      </c>
      <c r="Z125" s="68">
        <v>2026</v>
      </c>
      <c r="AA125" s="68">
        <v>2027</v>
      </c>
      <c r="AB125" s="68">
        <v>2028</v>
      </c>
      <c r="AC125" s="68">
        <v>2029</v>
      </c>
      <c r="AD125" s="68">
        <v>2030</v>
      </c>
      <c r="AE125" s="68">
        <v>2031</v>
      </c>
      <c r="AF125" s="68">
        <v>2032</v>
      </c>
      <c r="AG125" s="68">
        <v>2033</v>
      </c>
      <c r="AH125" s="68">
        <v>2034</v>
      </c>
      <c r="AI125" s="68">
        <v>2035</v>
      </c>
      <c r="AJ125" s="68">
        <v>2036</v>
      </c>
      <c r="AK125" s="68">
        <v>2037</v>
      </c>
      <c r="AL125" s="68">
        <v>2038</v>
      </c>
      <c r="AM125" s="68">
        <v>2039</v>
      </c>
      <c r="AN125" s="68">
        <v>2040</v>
      </c>
      <c r="AO125" s="68">
        <v>2041</v>
      </c>
      <c r="AP125" s="68">
        <v>2042</v>
      </c>
      <c r="AQ125" s="68">
        <v>2043</v>
      </c>
      <c r="AR125" s="68">
        <v>2044</v>
      </c>
      <c r="AS125" s="68">
        <v>2045</v>
      </c>
      <c r="AT125" s="68">
        <v>2046</v>
      </c>
      <c r="AU125" s="68">
        <v>2047</v>
      </c>
      <c r="AV125" s="68">
        <v>2048</v>
      </c>
      <c r="AW125" s="68">
        <v>2049</v>
      </c>
      <c r="AX125" s="83">
        <v>2050</v>
      </c>
    </row>
    <row r="126" spans="1:50" x14ac:dyDescent="0.25">
      <c r="A126" s="347" t="s">
        <v>4</v>
      </c>
      <c r="B126" s="349" t="s">
        <v>5</v>
      </c>
      <c r="C126" s="350" t="s">
        <v>6</v>
      </c>
      <c r="D126" s="2" t="s">
        <v>7</v>
      </c>
      <c r="E126" s="160" t="str">
        <f>A126&amp;"/"&amp;B126&amp;"/"&amp;C126&amp;"/"&amp;D126</f>
        <v>Nuclear power plants/Nuclear - current/Electricity only/L</v>
      </c>
      <c r="F126" s="76" t="str">
        <f>A126</f>
        <v>Nuclear power plants</v>
      </c>
      <c r="G126" s="76" t="str">
        <f>B126</f>
        <v>Nuclear - current</v>
      </c>
      <c r="H126" s="76" t="str">
        <f>C126</f>
        <v>Electricity only</v>
      </c>
      <c r="I126" s="161" t="str">
        <f>D126</f>
        <v>L</v>
      </c>
      <c r="J126" s="76">
        <v>0.33333333333333331</v>
      </c>
      <c r="K126" s="76">
        <v>0.33333333333333331</v>
      </c>
      <c r="L126" s="76">
        <v>0.33333333333333331</v>
      </c>
      <c r="M126" s="76">
        <v>0.33333333333333331</v>
      </c>
      <c r="N126" s="76">
        <v>0.33333333333333331</v>
      </c>
      <c r="O126" s="76">
        <v>0.33333333333333331</v>
      </c>
      <c r="P126" s="76">
        <v>0.33333333333333331</v>
      </c>
      <c r="Q126" s="76">
        <v>0.33333333333333331</v>
      </c>
      <c r="R126" s="76">
        <v>0.33333333333333331</v>
      </c>
      <c r="S126" s="76">
        <v>0.33333333333333331</v>
      </c>
      <c r="T126" s="76">
        <v>0.33333333333333331</v>
      </c>
      <c r="U126" s="76">
        <v>0.33333333333333331</v>
      </c>
      <c r="V126" s="76">
        <v>0.33333333333333331</v>
      </c>
      <c r="W126" s="76">
        <v>0.33333333333333331</v>
      </c>
      <c r="X126" s="76">
        <v>0.33333333333333331</v>
      </c>
      <c r="Y126" s="76">
        <v>0.33333333333333331</v>
      </c>
      <c r="Z126" s="76">
        <v>0.33333333333333331</v>
      </c>
      <c r="AA126" s="76">
        <v>0.33333333333333331</v>
      </c>
      <c r="AB126" s="76">
        <v>0.33333333333333331</v>
      </c>
      <c r="AC126" s="76">
        <v>0.33333333333333331</v>
      </c>
      <c r="AD126" s="76">
        <v>0.33333333333333331</v>
      </c>
      <c r="AE126" s="76">
        <v>0.33333333333333331</v>
      </c>
      <c r="AF126" s="76">
        <v>0.33333333333333331</v>
      </c>
      <c r="AG126" s="76">
        <v>0.33333333333333331</v>
      </c>
      <c r="AH126" s="76">
        <v>0.33333333333333331</v>
      </c>
      <c r="AI126" s="76">
        <v>0.33333333333333331</v>
      </c>
      <c r="AJ126" s="76">
        <v>0.33333333333333331</v>
      </c>
      <c r="AK126" s="76">
        <v>0.33333333333333331</v>
      </c>
      <c r="AL126" s="76">
        <v>0.33333333333333331</v>
      </c>
      <c r="AM126" s="76">
        <v>0.33333333333333331</v>
      </c>
      <c r="AN126" s="76">
        <v>0.33333333333333331</v>
      </c>
      <c r="AO126" s="76">
        <v>0.33333333333333331</v>
      </c>
      <c r="AP126" s="76">
        <v>0.33333333333333331</v>
      </c>
      <c r="AQ126" s="76">
        <v>0.33333333333333331</v>
      </c>
      <c r="AR126" s="76">
        <v>0.33333333333333331</v>
      </c>
      <c r="AS126" s="76">
        <v>0.33333333333333331</v>
      </c>
      <c r="AT126" s="76">
        <v>0.33333333333333331</v>
      </c>
      <c r="AU126" s="76">
        <v>0.33333333333333331</v>
      </c>
      <c r="AV126" s="76">
        <v>0.33333333333333331</v>
      </c>
      <c r="AW126" s="76">
        <v>0.33333333333333331</v>
      </c>
      <c r="AX126" s="84">
        <v>0.33333333333333331</v>
      </c>
    </row>
    <row r="127" spans="1:50" x14ac:dyDescent="0.25">
      <c r="A127" s="347"/>
      <c r="B127" s="349"/>
      <c r="C127" s="350"/>
      <c r="D127" s="4" t="s">
        <v>8</v>
      </c>
      <c r="E127" s="168" t="str">
        <f>A126&amp;"/"&amp;B126&amp;"/"&amp;C126&amp;"/"&amp;D127</f>
        <v>Nuclear power plants/Nuclear - current/Electricity only/M</v>
      </c>
      <c r="F127" s="80" t="str">
        <f>A126</f>
        <v>Nuclear power plants</v>
      </c>
      <c r="G127" s="80" t="str">
        <f>B126</f>
        <v>Nuclear - current</v>
      </c>
      <c r="H127" s="80" t="str">
        <f>C126</f>
        <v>Electricity only</v>
      </c>
      <c r="I127" s="169" t="str">
        <f t="shared" ref="I127:I190" si="78">D127</f>
        <v>M</v>
      </c>
      <c r="J127" s="80">
        <v>0.33333333333333331</v>
      </c>
      <c r="K127" s="80">
        <v>0.33333333333333331</v>
      </c>
      <c r="L127" s="80">
        <v>0.33333333333333331</v>
      </c>
      <c r="M127" s="80">
        <v>0.33333333333333331</v>
      </c>
      <c r="N127" s="80">
        <v>0.33333333333333331</v>
      </c>
      <c r="O127" s="80">
        <v>0.33333333333333331</v>
      </c>
      <c r="P127" s="80">
        <v>0.33333333333333331</v>
      </c>
      <c r="Q127" s="80">
        <v>0.33333333333333331</v>
      </c>
      <c r="R127" s="80">
        <v>0.33333333333333331</v>
      </c>
      <c r="S127" s="80">
        <v>0.33333333333333331</v>
      </c>
      <c r="T127" s="80">
        <v>0.33333333333333331</v>
      </c>
      <c r="U127" s="80">
        <v>0.33333333333333331</v>
      </c>
      <c r="V127" s="80">
        <v>0.33333333333333331</v>
      </c>
      <c r="W127" s="80">
        <v>0.33333333333333331</v>
      </c>
      <c r="X127" s="80">
        <v>0.33333333333333331</v>
      </c>
      <c r="Y127" s="80">
        <v>0.33333333333333331</v>
      </c>
      <c r="Z127" s="80">
        <v>0.33333333333333331</v>
      </c>
      <c r="AA127" s="80">
        <v>0.33333333333333331</v>
      </c>
      <c r="AB127" s="80">
        <v>0.33333333333333331</v>
      </c>
      <c r="AC127" s="80">
        <v>0.33333333333333331</v>
      </c>
      <c r="AD127" s="80">
        <v>0.33333333333333331</v>
      </c>
      <c r="AE127" s="80">
        <v>0.33333333333333331</v>
      </c>
      <c r="AF127" s="80">
        <v>0.33333333333333331</v>
      </c>
      <c r="AG127" s="80">
        <v>0.33333333333333331</v>
      </c>
      <c r="AH127" s="80">
        <v>0.33333333333333331</v>
      </c>
      <c r="AI127" s="80">
        <v>0.33333333333333331</v>
      </c>
      <c r="AJ127" s="80">
        <v>0.33333333333333331</v>
      </c>
      <c r="AK127" s="80">
        <v>0.33333333333333331</v>
      </c>
      <c r="AL127" s="80">
        <v>0.33333333333333331</v>
      </c>
      <c r="AM127" s="80">
        <v>0.33333333333333331</v>
      </c>
      <c r="AN127" s="80">
        <v>0.33333333333333331</v>
      </c>
      <c r="AO127" s="80">
        <v>0.33333333333333331</v>
      </c>
      <c r="AP127" s="80">
        <v>0.33333333333333331</v>
      </c>
      <c r="AQ127" s="80">
        <v>0.33333333333333331</v>
      </c>
      <c r="AR127" s="80">
        <v>0.33333333333333331</v>
      </c>
      <c r="AS127" s="80">
        <v>0.33333333333333331</v>
      </c>
      <c r="AT127" s="80">
        <v>0.33333333333333331</v>
      </c>
      <c r="AU127" s="80">
        <v>0.33333333333333331</v>
      </c>
      <c r="AV127" s="80">
        <v>0.33333333333333331</v>
      </c>
      <c r="AW127" s="80">
        <v>0.33333333333333331</v>
      </c>
      <c r="AX127" s="88">
        <v>0.33333333333333331</v>
      </c>
    </row>
    <row r="128" spans="1:50" x14ac:dyDescent="0.25">
      <c r="A128" s="347"/>
      <c r="B128" s="351" t="s">
        <v>9</v>
      </c>
      <c r="C128" s="353" t="s">
        <v>6</v>
      </c>
      <c r="D128" s="2" t="s">
        <v>7</v>
      </c>
      <c r="E128" s="160" t="str">
        <f>A126&amp;"/"&amp;B128&amp;"/"&amp;C128&amp;"/"&amp;D128</f>
        <v>Nuclear power plants/Nuclear III/Electricity only/L</v>
      </c>
      <c r="F128" s="76" t="str">
        <f>A126</f>
        <v>Nuclear power plants</v>
      </c>
      <c r="G128" s="76" t="str">
        <f>B128</f>
        <v>Nuclear III</v>
      </c>
      <c r="H128" s="76" t="str">
        <f>C128</f>
        <v>Electricity only</v>
      </c>
      <c r="I128" s="161" t="str">
        <f t="shared" si="78"/>
        <v>L</v>
      </c>
      <c r="J128" s="76">
        <v>0.38461538461538458</v>
      </c>
      <c r="K128" s="76">
        <v>0.38463108216662784</v>
      </c>
      <c r="L128" s="76">
        <v>0.38465020571428654</v>
      </c>
      <c r="M128" s="76">
        <v>0.38467348974026044</v>
      </c>
      <c r="N128" s="76">
        <v>0.38470181975693629</v>
      </c>
      <c r="O128" s="76">
        <v>0.384736260240504</v>
      </c>
      <c r="P128" s="76">
        <v>0.38477808619536202</v>
      </c>
      <c r="Q128" s="76">
        <v>0.38482881801918456</v>
      </c>
      <c r="R128" s="76">
        <v>0.38489025880080824</v>
      </c>
      <c r="S128" s="76">
        <v>0.38496453236811895</v>
      </c>
      <c r="T128" s="76">
        <v>0.385054119220331</v>
      </c>
      <c r="U128" s="76">
        <v>0.38516188583550404</v>
      </c>
      <c r="V128" s="76">
        <v>0.38529110066870953</v>
      </c>
      <c r="W128" s="76">
        <v>0.3854454274465357</v>
      </c>
      <c r="X128" s="76">
        <v>0.38562888326501604</v>
      </c>
      <c r="Y128" s="76">
        <v>0.38584574592186832</v>
      </c>
      <c r="Z128" s="76">
        <v>0.38610039268814755</v>
      </c>
      <c r="AA128" s="76">
        <v>0.38639705274122571</v>
      </c>
      <c r="AB128" s="76">
        <v>0.38673945974872492</v>
      </c>
      <c r="AC128" s="76">
        <v>0.38713040202534493</v>
      </c>
      <c r="AD128" s="76">
        <v>0.38757118739687996</v>
      </c>
      <c r="AE128" s="76">
        <v>0.38806106882965946</v>
      </c>
      <c r="AF128" s="76">
        <v>0.38859671179370764</v>
      </c>
      <c r="AG128" s="76">
        <v>0.38917181651204402</v>
      </c>
      <c r="AH128" s="76">
        <v>0.38977702339844389</v>
      </c>
      <c r="AI128" s="76">
        <v>0.3904002117758355</v>
      </c>
      <c r="AJ128" s="76">
        <v>0.39102724011664985</v>
      </c>
      <c r="AK128" s="76">
        <v>0.39164307629665873</v>
      </c>
      <c r="AL128" s="76">
        <v>0.39223315574593559</v>
      </c>
      <c r="AM128" s="76">
        <v>0.39278472561941252</v>
      </c>
      <c r="AN128" s="76">
        <v>0.39328792125635686</v>
      </c>
      <c r="AO128" s="76">
        <v>0.39373638782062992</v>
      </c>
      <c r="AP128" s="76">
        <v>0.39412738048232981</v>
      </c>
      <c r="AQ128" s="76">
        <v>0.39446140343153341</v>
      </c>
      <c r="AR128" s="76">
        <v>0.39474153676581164</v>
      </c>
      <c r="AS128" s="76">
        <v>0.39497262981752007</v>
      </c>
      <c r="AT128" s="76">
        <v>0.39516051638914612</v>
      </c>
      <c r="AU128" s="76">
        <v>0.39531135496006303</v>
      </c>
      <c r="AV128" s="76">
        <v>0.3954311400759245</v>
      </c>
      <c r="AW128" s="76">
        <v>0.39552538627343264</v>
      </c>
      <c r="AX128" s="84">
        <v>0.3955989588930437</v>
      </c>
    </row>
    <row r="129" spans="1:50" x14ac:dyDescent="0.25">
      <c r="A129" s="347"/>
      <c r="B129" s="349"/>
      <c r="C129" s="350"/>
      <c r="D129" s="2" t="s">
        <v>8</v>
      </c>
      <c r="E129" s="160" t="str">
        <f>A126&amp;"/"&amp;B128&amp;"/"&amp;C128&amp;"/"&amp;D129</f>
        <v>Nuclear power plants/Nuclear III/Electricity only/M</v>
      </c>
      <c r="F129" s="76" t="str">
        <f>A126</f>
        <v>Nuclear power plants</v>
      </c>
      <c r="G129" s="76" t="str">
        <f>B128</f>
        <v>Nuclear III</v>
      </c>
      <c r="H129" s="76" t="str">
        <f>C128</f>
        <v>Electricity only</v>
      </c>
      <c r="I129" s="161" t="str">
        <f t="shared" si="78"/>
        <v>M</v>
      </c>
      <c r="J129" s="76">
        <v>0.38461538461538458</v>
      </c>
      <c r="K129" s="76">
        <v>0.3846355996122528</v>
      </c>
      <c r="L129" s="76">
        <v>0.38465901340109104</v>
      </c>
      <c r="M129" s="76">
        <v>0.38468611869780456</v>
      </c>
      <c r="N129" s="76">
        <v>0.38471747948792895</v>
      </c>
      <c r="O129" s="76">
        <v>0.38475373974315585</v>
      </c>
      <c r="P129" s="76">
        <v>0.38479563264226119</v>
      </c>
      <c r="Q129" s="76">
        <v>0.38484399010359577</v>
      </c>
      <c r="R129" s="76">
        <v>0.3848997523312544</v>
      </c>
      <c r="S129" s="76">
        <v>0.3849639769402487</v>
      </c>
      <c r="T129" s="76">
        <v>0.38503784705231497</v>
      </c>
      <c r="U129" s="76">
        <v>0.38512267753952667</v>
      </c>
      <c r="V129" s="76">
        <v>0.38521991833663088</v>
      </c>
      <c r="W129" s="76">
        <v>0.38533115344919938</v>
      </c>
      <c r="X129" s="76">
        <v>0.38545809396597491</v>
      </c>
      <c r="Y129" s="76">
        <v>0.38560256306556517</v>
      </c>
      <c r="Z129" s="76">
        <v>0.38576647073283094</v>
      </c>
      <c r="AA129" s="76">
        <v>0.38595177573427375</v>
      </c>
      <c r="AB129" s="76">
        <v>0.3861604324355517</v>
      </c>
      <c r="AC129" s="76">
        <v>0.38639432039425503</v>
      </c>
      <c r="AD129" s="76">
        <v>0.38665515546082946</v>
      </c>
      <c r="AE129" s="76">
        <v>0.38694438250136459</v>
      </c>
      <c r="AF129" s="76">
        <v>0.38726305191214322</v>
      </c>
      <c r="AG129" s="76">
        <v>0.38761168483343794</v>
      </c>
      <c r="AH129" s="76">
        <v>0.38799013524420206</v>
      </c>
      <c r="AI129" s="76">
        <v>0.38839746057460373</v>
      </c>
      <c r="AJ129" s="76">
        <v>0.3888318155128509</v>
      </c>
      <c r="AK129" s="76">
        <v>0.38929038550019912</v>
      </c>
      <c r="AL129" s="76">
        <v>0.38976937611481488</v>
      </c>
      <c r="AM129" s="76">
        <v>0.39026407140118879</v>
      </c>
      <c r="AN129" s="76">
        <v>0.39076896791521154</v>
      </c>
      <c r="AO129" s="76">
        <v>0.39127798225927701</v>
      </c>
      <c r="AP129" s="76">
        <v>0.39178471945922516</v>
      </c>
      <c r="AQ129" s="76">
        <v>0.39228277966838998</v>
      </c>
      <c r="AR129" s="76">
        <v>0.39276607360335813</v>
      </c>
      <c r="AS129" s="76">
        <v>0.39322911464594362</v>
      </c>
      <c r="AT129" s="76">
        <v>0.39366725848714312</v>
      </c>
      <c r="AU129" s="76">
        <v>0.3940768689967295</v>
      </c>
      <c r="AV129" s="76">
        <v>0.39445539992090184</v>
      </c>
      <c r="AW129" s="76">
        <v>0.39480139362322064</v>
      </c>
      <c r="AX129" s="84">
        <v>0.39511440805212378</v>
      </c>
    </row>
    <row r="130" spans="1:50" x14ac:dyDescent="0.25">
      <c r="A130" s="347"/>
      <c r="B130" s="352"/>
      <c r="C130" s="354"/>
      <c r="D130" s="4" t="s">
        <v>10</v>
      </c>
      <c r="E130" s="168" t="str">
        <f>A126&amp;"/"&amp;B128&amp;"/"&amp;C128&amp;"/"&amp;D130</f>
        <v>Nuclear power plants/Nuclear III/Electricity only/S</v>
      </c>
      <c r="F130" s="80" t="str">
        <f>A126</f>
        <v>Nuclear power plants</v>
      </c>
      <c r="G130" s="80" t="str">
        <f>B128</f>
        <v>Nuclear III</v>
      </c>
      <c r="H130" s="80" t="str">
        <f>C128</f>
        <v>Electricity only</v>
      </c>
      <c r="I130" s="169" t="str">
        <f t="shared" si="78"/>
        <v>S</v>
      </c>
      <c r="J130" s="80" t="s">
        <v>112</v>
      </c>
      <c r="K130" s="80" t="s">
        <v>112</v>
      </c>
      <c r="L130" s="80" t="s">
        <v>112</v>
      </c>
      <c r="M130" s="80" t="s">
        <v>112</v>
      </c>
      <c r="N130" s="80" t="s">
        <v>112</v>
      </c>
      <c r="O130" s="80" t="s">
        <v>112</v>
      </c>
      <c r="P130" s="80" t="s">
        <v>112</v>
      </c>
      <c r="Q130" s="80" t="s">
        <v>112</v>
      </c>
      <c r="R130" s="80" t="s">
        <v>112</v>
      </c>
      <c r="S130" s="80" t="s">
        <v>112</v>
      </c>
      <c r="T130" s="80" t="s">
        <v>112</v>
      </c>
      <c r="U130" s="80" t="s">
        <v>112</v>
      </c>
      <c r="V130" s="80" t="s">
        <v>112</v>
      </c>
      <c r="W130" s="80" t="s">
        <v>112</v>
      </c>
      <c r="X130" s="80" t="s">
        <v>112</v>
      </c>
      <c r="Y130" s="80">
        <v>0.3857336814522529</v>
      </c>
      <c r="Z130" s="80">
        <v>0.38587242908688418</v>
      </c>
      <c r="AA130" s="80">
        <v>0.38602257667930345</v>
      </c>
      <c r="AB130" s="80">
        <v>0.38618473814748139</v>
      </c>
      <c r="AC130" s="80">
        <v>0.38635949804309028</v>
      </c>
      <c r="AD130" s="80">
        <v>0.3865473972508478</v>
      </c>
      <c r="AE130" s="80">
        <v>0.38674891695214841</v>
      </c>
      <c r="AF130" s="80">
        <v>0.38696446102038334</v>
      </c>
      <c r="AG130" s="80">
        <v>0.3871943371343361</v>
      </c>
      <c r="AH130" s="80">
        <v>0.38743873703210618</v>
      </c>
      <c r="AI130" s="80">
        <v>0.38769771647586893</v>
      </c>
      <c r="AJ130" s="80">
        <v>0.38797117564907418</v>
      </c>
      <c r="AK130" s="80">
        <v>0.38825884085081969</v>
      </c>
      <c r="AL130" s="80">
        <v>0.38856024847250015</v>
      </c>
      <c r="AM130" s="80">
        <v>0.38887473232254982</v>
      </c>
      <c r="AN130" s="80">
        <v>0.38920141538842851</v>
      </c>
      <c r="AO130" s="80">
        <v>0.38953920707436379</v>
      </c>
      <c r="AP130" s="80">
        <v>0.38988680681591109</v>
      </c>
      <c r="AQ130" s="80">
        <v>0.39024271474179351</v>
      </c>
      <c r="AR130" s="80">
        <v>0.39060524973255556</v>
      </c>
      <c r="AS130" s="80">
        <v>0.39097257482814074</v>
      </c>
      <c r="AT130" s="80">
        <v>0.39134272948798504</v>
      </c>
      <c r="AU130" s="80">
        <v>0.39171366774338301</v>
      </c>
      <c r="AV130" s="80">
        <v>0.39208330084568782</v>
      </c>
      <c r="AW130" s="80">
        <v>0.39244954265057913</v>
      </c>
      <c r="AX130" s="88">
        <v>0.39281035572953787</v>
      </c>
    </row>
    <row r="131" spans="1:50" x14ac:dyDescent="0.25">
      <c r="A131" s="347"/>
      <c r="B131" s="349" t="s">
        <v>11</v>
      </c>
      <c r="C131" s="363" t="s">
        <v>6</v>
      </c>
      <c r="D131" s="2" t="s">
        <v>7</v>
      </c>
      <c r="E131" s="160" t="str">
        <f>A126&amp;"/"&amp;B131&amp;"/"&amp;C131&amp;"/"&amp;D131</f>
        <v>Nuclear power plants/Nuclear IV/Electricity only/L</v>
      </c>
      <c r="F131" s="76" t="str">
        <f>A126</f>
        <v>Nuclear power plants</v>
      </c>
      <c r="G131" s="76" t="str">
        <f>B131</f>
        <v>Nuclear IV</v>
      </c>
      <c r="H131" s="76" t="str">
        <f>C131</f>
        <v>Electricity only</v>
      </c>
      <c r="I131" s="161" t="str">
        <f t="shared" si="78"/>
        <v>L</v>
      </c>
      <c r="J131" s="76" t="s">
        <v>112</v>
      </c>
      <c r="K131" s="76" t="s">
        <v>112</v>
      </c>
      <c r="L131" s="76" t="s">
        <v>112</v>
      </c>
      <c r="M131" s="76" t="s">
        <v>112</v>
      </c>
      <c r="N131" s="76" t="s">
        <v>112</v>
      </c>
      <c r="O131" s="76" t="s">
        <v>112</v>
      </c>
      <c r="P131" s="76" t="s">
        <v>112</v>
      </c>
      <c r="Q131" s="76" t="s">
        <v>112</v>
      </c>
      <c r="R131" s="76" t="s">
        <v>112</v>
      </c>
      <c r="S131" s="76" t="s">
        <v>112</v>
      </c>
      <c r="T131" s="76" t="s">
        <v>112</v>
      </c>
      <c r="U131" s="76" t="s">
        <v>112</v>
      </c>
      <c r="V131" s="76" t="s">
        <v>112</v>
      </c>
      <c r="W131" s="76" t="s">
        <v>112</v>
      </c>
      <c r="X131" s="76" t="s">
        <v>112</v>
      </c>
      <c r="Y131" s="76" t="s">
        <v>112</v>
      </c>
      <c r="Z131" s="76" t="s">
        <v>112</v>
      </c>
      <c r="AA131" s="76" t="s">
        <v>112</v>
      </c>
      <c r="AB131" s="76" t="s">
        <v>112</v>
      </c>
      <c r="AC131" s="76" t="s">
        <v>112</v>
      </c>
      <c r="AD131" s="76" t="s">
        <v>112</v>
      </c>
      <c r="AE131" s="76" t="s">
        <v>112</v>
      </c>
      <c r="AF131" s="76" t="s">
        <v>112</v>
      </c>
      <c r="AG131" s="76" t="s">
        <v>112</v>
      </c>
      <c r="AH131" s="76" t="s">
        <v>112</v>
      </c>
      <c r="AI131" s="76">
        <v>0.40892888617819217</v>
      </c>
      <c r="AJ131" s="76">
        <v>0.40909271992765239</v>
      </c>
      <c r="AK131" s="76">
        <v>0.40929012290330519</v>
      </c>
      <c r="AL131" s="76">
        <v>0.4095272676276504</v>
      </c>
      <c r="AM131" s="76">
        <v>0.40981112862333657</v>
      </c>
      <c r="AN131" s="76">
        <v>0.41014942437932989</v>
      </c>
      <c r="AO131" s="76">
        <v>0.41055046160732311</v>
      </c>
      <c r="AP131" s="76">
        <v>0.4110228398772256</v>
      </c>
      <c r="AQ131" s="76">
        <v>0.41157496874884864</v>
      </c>
      <c r="AR131" s="76">
        <v>0.41221435034047577</v>
      </c>
      <c r="AS131" s="76">
        <v>0.41294659467487332</v>
      </c>
      <c r="AT131" s="76">
        <v>0.41377417201526212</v>
      </c>
      <c r="AU131" s="76">
        <v>0.4146949746051381</v>
      </c>
      <c r="AV131" s="76">
        <v>0.41570086315566623</v>
      </c>
      <c r="AW131" s="76">
        <v>0.41677649958791335</v>
      </c>
      <c r="AX131" s="84">
        <v>0.417898879328993</v>
      </c>
    </row>
    <row r="132" spans="1:50" x14ac:dyDescent="0.25">
      <c r="A132" s="348"/>
      <c r="B132" s="352"/>
      <c r="C132" s="364"/>
      <c r="D132" s="4" t="s">
        <v>8</v>
      </c>
      <c r="E132" s="160" t="str">
        <f>A126&amp;"/"&amp;B131&amp;"/"&amp;C131&amp;"/"&amp;D132</f>
        <v>Nuclear power plants/Nuclear IV/Electricity only/M</v>
      </c>
      <c r="F132" s="76" t="str">
        <f>A126</f>
        <v>Nuclear power plants</v>
      </c>
      <c r="G132" s="76" t="str">
        <f>B131</f>
        <v>Nuclear IV</v>
      </c>
      <c r="H132" s="76" t="str">
        <f>C131</f>
        <v>Electricity only</v>
      </c>
      <c r="I132" s="161" t="str">
        <f t="shared" si="78"/>
        <v>M</v>
      </c>
      <c r="J132" s="76" t="s">
        <v>112</v>
      </c>
      <c r="K132" s="76" t="s">
        <v>112</v>
      </c>
      <c r="L132" s="76" t="s">
        <v>112</v>
      </c>
      <c r="M132" s="76" t="s">
        <v>112</v>
      </c>
      <c r="N132" s="76" t="s">
        <v>112</v>
      </c>
      <c r="O132" s="76" t="s">
        <v>112</v>
      </c>
      <c r="P132" s="76" t="s">
        <v>112</v>
      </c>
      <c r="Q132" s="76" t="s">
        <v>112</v>
      </c>
      <c r="R132" s="76" t="s">
        <v>112</v>
      </c>
      <c r="S132" s="76" t="s">
        <v>112</v>
      </c>
      <c r="T132" s="76" t="s">
        <v>112</v>
      </c>
      <c r="U132" s="76" t="s">
        <v>112</v>
      </c>
      <c r="V132" s="76" t="s">
        <v>112</v>
      </c>
      <c r="W132" s="76" t="s">
        <v>112</v>
      </c>
      <c r="X132" s="76" t="s">
        <v>112</v>
      </c>
      <c r="Y132" s="76" t="s">
        <v>112</v>
      </c>
      <c r="Z132" s="76" t="s">
        <v>112</v>
      </c>
      <c r="AA132" s="76" t="s">
        <v>112</v>
      </c>
      <c r="AB132" s="76" t="s">
        <v>112</v>
      </c>
      <c r="AC132" s="76" t="s">
        <v>112</v>
      </c>
      <c r="AD132" s="76" t="s">
        <v>112</v>
      </c>
      <c r="AE132" s="76" t="s">
        <v>112</v>
      </c>
      <c r="AF132" s="76" t="s">
        <v>112</v>
      </c>
      <c r="AG132" s="76" t="s">
        <v>112</v>
      </c>
      <c r="AH132" s="76" t="s">
        <v>112</v>
      </c>
      <c r="AI132" s="76">
        <v>0.40835763479195164</v>
      </c>
      <c r="AJ132" s="76">
        <v>0.40841232645723757</v>
      </c>
      <c r="AK132" s="76">
        <v>0.40848222156416852</v>
      </c>
      <c r="AL132" s="76">
        <v>0.40857142748510711</v>
      </c>
      <c r="AM132" s="76">
        <v>0.40868508533023151</v>
      </c>
      <c r="AN132" s="76">
        <v>0.40882958159893534</v>
      </c>
      <c r="AO132" s="76">
        <v>0.40901277132878433</v>
      </c>
      <c r="AP132" s="76">
        <v>0.40924418925575112</v>
      </c>
      <c r="AQ132" s="76">
        <v>0.40953520633874813</v>
      </c>
      <c r="AR132" s="76">
        <v>0.40989906096092926</v>
      </c>
      <c r="AS132" s="76">
        <v>0.41035065647699809</v>
      </c>
      <c r="AT132" s="76">
        <v>0.4109059725563548</v>
      </c>
      <c r="AU132" s="76">
        <v>0.41158089823766569</v>
      </c>
      <c r="AV132" s="76">
        <v>0.41238928570350808</v>
      </c>
      <c r="AW132" s="76">
        <v>0.41334009210441719</v>
      </c>
      <c r="AX132" s="84">
        <v>0.41443368710995543</v>
      </c>
    </row>
    <row r="133" spans="1:50" x14ac:dyDescent="0.25">
      <c r="A133" s="355" t="s">
        <v>12</v>
      </c>
      <c r="B133" s="358" t="s">
        <v>13</v>
      </c>
      <c r="C133" s="353" t="s">
        <v>6</v>
      </c>
      <c r="D133" s="3" t="s">
        <v>7</v>
      </c>
      <c r="E133" s="162" t="str">
        <f>A133&amp;"/"&amp;B133&amp;"/"&amp;C133&amp;"/"&amp;D133</f>
        <v>Coal fired power plants/Integrated gasification combined cycle/Electricity only/L</v>
      </c>
      <c r="F133" s="77" t="str">
        <f>A133</f>
        <v>Coal fired power plants</v>
      </c>
      <c r="G133" s="77" t="str">
        <f>B133</f>
        <v>Integrated gasification combined cycle</v>
      </c>
      <c r="H133" s="77" t="str">
        <f>C133</f>
        <v>Electricity only</v>
      </c>
      <c r="I133" s="163" t="str">
        <f t="shared" si="78"/>
        <v>L</v>
      </c>
      <c r="J133" s="77">
        <v>0.48780487804878053</v>
      </c>
      <c r="K133" s="77">
        <v>0.48780605908508545</v>
      </c>
      <c r="L133" s="77">
        <v>0.48780757550934728</v>
      </c>
      <c r="M133" s="77">
        <v>0.48780952254370591</v>
      </c>
      <c r="N133" s="77">
        <v>0.48781202243209459</v>
      </c>
      <c r="O133" s="77">
        <v>0.48781523209973943</v>
      </c>
      <c r="P133" s="77">
        <v>0.48781935297818119</v>
      </c>
      <c r="Q133" s="77">
        <v>0.48782464360442701</v>
      </c>
      <c r="R133" s="77">
        <v>0.48783143577151494</v>
      </c>
      <c r="S133" s="77">
        <v>0.48784015522165852</v>
      </c>
      <c r="T133" s="77">
        <v>0.48785134814333375</v>
      </c>
      <c r="U133" s="77">
        <v>0.48786571507329124</v>
      </c>
      <c r="V133" s="77">
        <v>0.48788415422858417</v>
      </c>
      <c r="W133" s="77">
        <v>0.48790781681858902</v>
      </c>
      <c r="X133" s="77">
        <v>0.48793817752877577</v>
      </c>
      <c r="Y133" s="77">
        <v>0.48797712413942634</v>
      </c>
      <c r="Z133" s="77">
        <v>0.4880270711473006</v>
      </c>
      <c r="AA133" s="77">
        <v>0.4880911032807152</v>
      </c>
      <c r="AB133" s="77">
        <v>0.48817315588606247</v>
      </c>
      <c r="AC133" s="77">
        <v>0.48827824019787186</v>
      </c>
      <c r="AD133" s="77">
        <v>0.48841272225386273</v>
      </c>
      <c r="AE133" s="77">
        <v>0.4885846642644201</v>
      </c>
      <c r="AF133" s="77">
        <v>0.48880423588171062</v>
      </c>
      <c r="AG133" s="77">
        <v>0.48908419887806026</v>
      </c>
      <c r="AH133" s="77">
        <v>0.48944046042751183</v>
      </c>
      <c r="AI133" s="77">
        <v>0.48989267480597726</v>
      </c>
      <c r="AJ133" s="77">
        <v>0.49046484716261346</v>
      </c>
      <c r="AK133" s="77">
        <v>0.49118585141031085</v>
      </c>
      <c r="AL133" s="77">
        <v>0.49208971244561722</v>
      </c>
      <c r="AM133" s="77">
        <v>0.49321541819889619</v>
      </c>
      <c r="AN133" s="77">
        <v>0.4946059238872057</v>
      </c>
      <c r="AO133" s="77">
        <v>0.49630590968219729</v>
      </c>
      <c r="AP133" s="77">
        <v>0.49835780289100223</v>
      </c>
      <c r="AQ133" s="77">
        <v>0.50079566674518272</v>
      </c>
      <c r="AR133" s="77">
        <v>0.50363691889731366</v>
      </c>
      <c r="AS133" s="77">
        <v>0.50687259736644308</v>
      </c>
      <c r="AT133" s="77">
        <v>0.51045804075813084</v>
      </c>
      <c r="AU133" s="77">
        <v>0.5143070873427894</v>
      </c>
      <c r="AV133" s="77">
        <v>0.51829348540911147</v>
      </c>
      <c r="AW133" s="77">
        <v>0.52226217423607246</v>
      </c>
      <c r="AX133" s="85">
        <v>0.52604997142625565</v>
      </c>
    </row>
    <row r="134" spans="1:50" x14ac:dyDescent="0.25">
      <c r="A134" s="356"/>
      <c r="B134" s="359"/>
      <c r="C134" s="360"/>
      <c r="D134" s="2" t="s">
        <v>8</v>
      </c>
      <c r="E134" s="160" t="str">
        <f>A133&amp;"/"&amp;B133&amp;"/"&amp;C133&amp;"/"&amp;D134</f>
        <v>Coal fired power plants/Integrated gasification combined cycle/Electricity only/M</v>
      </c>
      <c r="F134" s="76" t="str">
        <f>A133</f>
        <v>Coal fired power plants</v>
      </c>
      <c r="G134" s="76" t="str">
        <f>B133</f>
        <v>Integrated gasification combined cycle</v>
      </c>
      <c r="H134" s="76" t="str">
        <f>C133</f>
        <v>Electricity only</v>
      </c>
      <c r="I134" s="161" t="str">
        <f t="shared" si="78"/>
        <v>M</v>
      </c>
      <c r="J134" s="76">
        <v>0.46457607433217191</v>
      </c>
      <c r="K134" s="76">
        <v>0.46458195899581423</v>
      </c>
      <c r="L134" s="76">
        <v>0.46458914543757396</v>
      </c>
      <c r="M134" s="76">
        <v>0.46459792133277483</v>
      </c>
      <c r="N134" s="76">
        <v>0.46460863778260952</v>
      </c>
      <c r="O134" s="76">
        <v>0.46462172322610573</v>
      </c>
      <c r="P134" s="76">
        <v>0.46463770036815977</v>
      </c>
      <c r="Q134" s="76">
        <v>0.46465720676005839</v>
      </c>
      <c r="R134" s="76">
        <v>0.46468101979452497</v>
      </c>
      <c r="S134" s="76">
        <v>0.46471008702336014</v>
      </c>
      <c r="T134" s="76">
        <v>0.46474556287315205</v>
      </c>
      <c r="U134" s="76">
        <v>0.46478885302281919</v>
      </c>
      <c r="V134" s="76">
        <v>0.46484166791288678</v>
      </c>
      <c r="W134" s="76">
        <v>0.46490608707314823</v>
      </c>
      <c r="X134" s="76">
        <v>0.46498463616882313</v>
      </c>
      <c r="Y134" s="76">
        <v>0.46508037885130338</v>
      </c>
      <c r="Z134" s="76">
        <v>0.46519702561837595</v>
      </c>
      <c r="AA134" s="76">
        <v>0.46533906187793361</v>
      </c>
      <c r="AB134" s="76">
        <v>0.46551189717326985</v>
      </c>
      <c r="AC134" s="76">
        <v>0.4657220369257537</v>
      </c>
      <c r="AD134" s="76">
        <v>0.46597727687802787</v>
      </c>
      <c r="AE134" s="76">
        <v>0.4662869183922862</v>
      </c>
      <c r="AF134" s="76">
        <v>0.46666199948754866</v>
      </c>
      <c r="AG134" s="76">
        <v>0.46711553148842738</v>
      </c>
      <c r="AH134" s="76">
        <v>0.46766272380207269</v>
      </c>
      <c r="AI134" s="76">
        <v>0.46832116898266418</v>
      </c>
      <c r="AJ134" s="76">
        <v>0.46911094630743749</v>
      </c>
      <c r="AK134" s="76">
        <v>0.47005458435427661</v>
      </c>
      <c r="AL134" s="76">
        <v>0.47117680216627655</v>
      </c>
      <c r="AM134" s="76">
        <v>0.47250392677335046</v>
      </c>
      <c r="AN134" s="76">
        <v>0.47406286710054513</v>
      </c>
      <c r="AO134" s="76">
        <v>0.47587951959037644</v>
      </c>
      <c r="AP134" s="76">
        <v>0.47797650303774042</v>
      </c>
      <c r="AQ134" s="76">
        <v>0.48037018730581965</v>
      </c>
      <c r="AR134" s="76">
        <v>0.48306711126864144</v>
      </c>
      <c r="AS134" s="76">
        <v>0.48606008902102793</v>
      </c>
      <c r="AT134" s="76">
        <v>0.48932456490751014</v>
      </c>
      <c r="AU134" s="76">
        <v>0.49281603894375703</v>
      </c>
      <c r="AV134" s="76">
        <v>0.4964695341216574</v>
      </c>
      <c r="AW134" s="76">
        <v>0.50020197272448186</v>
      </c>
      <c r="AX134" s="84">
        <v>0.50391785941009148</v>
      </c>
    </row>
    <row r="135" spans="1:50" x14ac:dyDescent="0.25">
      <c r="A135" s="356"/>
      <c r="B135" s="359"/>
      <c r="C135" s="361" t="s">
        <v>14</v>
      </c>
      <c r="D135" s="58" t="s">
        <v>7</v>
      </c>
      <c r="E135" s="164" t="str">
        <f>A133&amp;"/"&amp;B133&amp;"/"&amp;C135&amp;"/"&amp;D135</f>
        <v>Coal fired power plants/Integrated gasification combined cycle/CHP/L</v>
      </c>
      <c r="F135" s="78" t="str">
        <f>A133</f>
        <v>Coal fired power plants</v>
      </c>
      <c r="G135" s="78" t="str">
        <f>B133</f>
        <v>Integrated gasification combined cycle</v>
      </c>
      <c r="H135" s="78" t="str">
        <f>C135</f>
        <v>CHP</v>
      </c>
      <c r="I135" s="165" t="str">
        <f t="shared" si="78"/>
        <v>L</v>
      </c>
      <c r="J135" s="78">
        <v>0.44345898004434592</v>
      </c>
      <c r="K135" s="78">
        <v>0.44345998213540572</v>
      </c>
      <c r="L135" s="78">
        <v>0.44346126879693809</v>
      </c>
      <c r="M135" s="78">
        <v>0.44346292082249922</v>
      </c>
      <c r="N135" s="78">
        <v>0.44346504193251546</v>
      </c>
      <c r="O135" s="78">
        <v>0.44346776527276954</v>
      </c>
      <c r="P135" s="78">
        <v>0.44347126174998241</v>
      </c>
      <c r="Q135" s="78">
        <v>0.44347575072067541</v>
      </c>
      <c r="R135" s="78">
        <v>0.44348151369248351</v>
      </c>
      <c r="S135" s="78">
        <v>0.44348891187834644</v>
      </c>
      <c r="T135" s="78">
        <v>0.44349840867289292</v>
      </c>
      <c r="U135" s="78">
        <v>0.44351059840790297</v>
      </c>
      <c r="V135" s="78">
        <v>0.44352624310259159</v>
      </c>
      <c r="W135" s="78">
        <v>0.44354631936821037</v>
      </c>
      <c r="X135" s="78">
        <v>0.44357207816836774</v>
      </c>
      <c r="Y135" s="78">
        <v>0.44360512078673092</v>
      </c>
      <c r="Z135" s="78">
        <v>0.44364749511449864</v>
      </c>
      <c r="AA135" s="78">
        <v>0.44370181722627849</v>
      </c>
      <c r="AB135" s="78">
        <v>0.44377142411757992</v>
      </c>
      <c r="AC135" s="78">
        <v>0.44386056432543608</v>
      </c>
      <c r="AD135" s="78">
        <v>0.44397463374340573</v>
      </c>
      <c r="AE135" s="78">
        <v>0.44412046391087662</v>
      </c>
      <c r="AF135" s="78">
        <v>0.44430666878835356</v>
      </c>
      <c r="AG135" s="78">
        <v>0.44454405252493362</v>
      </c>
      <c r="AH135" s="78">
        <v>0.44484607342729565</v>
      </c>
      <c r="AI135" s="78">
        <v>0.44522934595854569</v>
      </c>
      <c r="AJ135" s="78">
        <v>0.44571413997395171</v>
      </c>
      <c r="AK135" s="78">
        <v>0.44632480063921559</v>
      </c>
      <c r="AL135" s="78">
        <v>0.44708995967625581</v>
      </c>
      <c r="AM135" s="78">
        <v>0.44804233688558187</v>
      </c>
      <c r="AN135" s="78">
        <v>0.44921784482010535</v>
      </c>
      <c r="AO135" s="78">
        <v>0.45065362752566029</v>
      </c>
      <c r="AP135" s="78">
        <v>0.4523846295655698</v>
      </c>
      <c r="AQ135" s="78">
        <v>0.45443838151660698</v>
      </c>
      <c r="AR135" s="78">
        <v>0.45682801051699262</v>
      </c>
      <c r="AS135" s="78">
        <v>0.45954413658124371</v>
      </c>
      <c r="AT135" s="78">
        <v>0.46254728185965449</v>
      </c>
      <c r="AU135" s="78">
        <v>0.46576342102549528</v>
      </c>
      <c r="AV135" s="78">
        <v>0.4690857036349112</v>
      </c>
      <c r="AW135" s="78">
        <v>0.47238439621247813</v>
      </c>
      <c r="AX135" s="86">
        <v>0.47552441084308417</v>
      </c>
    </row>
    <row r="136" spans="1:50" x14ac:dyDescent="0.25">
      <c r="A136" s="356"/>
      <c r="B136" s="359"/>
      <c r="C136" s="360"/>
      <c r="D136" s="59" t="s">
        <v>8</v>
      </c>
      <c r="E136" s="166" t="str">
        <f>A133&amp;"/"&amp;B133&amp;"/"&amp;C135&amp;"/"&amp;D136</f>
        <v>Coal fired power plants/Integrated gasification combined cycle/CHP/M</v>
      </c>
      <c r="F136" s="79" t="str">
        <f>A133</f>
        <v>Coal fired power plants</v>
      </c>
      <c r="G136" s="79" t="str">
        <f>B133</f>
        <v>Integrated gasification combined cycle</v>
      </c>
      <c r="H136" s="79" t="str">
        <f>C135</f>
        <v>CHP</v>
      </c>
      <c r="I136" s="167" t="str">
        <f t="shared" si="78"/>
        <v>M</v>
      </c>
      <c r="J136" s="79">
        <v>0.42234188575651987</v>
      </c>
      <c r="K136" s="79">
        <v>0.42234692974601723</v>
      </c>
      <c r="L136" s="79">
        <v>0.42235308952212164</v>
      </c>
      <c r="M136" s="79">
        <v>0.42236061164800637</v>
      </c>
      <c r="N136" s="79">
        <v>0.42236979704323502</v>
      </c>
      <c r="O136" s="79">
        <v>0.42238101290385782</v>
      </c>
      <c r="P136" s="79">
        <v>0.42239470720548944</v>
      </c>
      <c r="Q136" s="79">
        <v>0.42241142633377521</v>
      </c>
      <c r="R136" s="79">
        <v>0.42243183649379684</v>
      </c>
      <c r="S136" s="79">
        <v>0.42245674967435032</v>
      </c>
      <c r="T136" s="79">
        <v>0.42248715508535351</v>
      </c>
      <c r="U136" s="79">
        <v>0.42252425714631664</v>
      </c>
      <c r="V136" s="79">
        <v>0.42256952127797293</v>
      </c>
      <c r="W136" s="79">
        <v>0.42262472893125697</v>
      </c>
      <c r="X136" s="79">
        <v>0.42269204346539091</v>
      </c>
      <c r="Y136" s="79">
        <v>0.4227740886384263</v>
      </c>
      <c r="Z136" s="79">
        <v>0.4228740415641446</v>
      </c>
      <c r="AA136" s="79">
        <v>0.42299574196378603</v>
      </c>
      <c r="AB136" s="79">
        <v>0.42314381931611245</v>
      </c>
      <c r="AC136" s="79">
        <v>0.42332383896133657</v>
      </c>
      <c r="AD136" s="79">
        <v>0.42354246716597227</v>
      </c>
      <c r="AE136" s="79">
        <v>0.42380765335905446</v>
      </c>
      <c r="AF136" s="79">
        <v>0.42412882487237608</v>
      </c>
      <c r="AG136" s="79">
        <v>0.4245170851310045</v>
      </c>
      <c r="AH136" s="79">
        <v>0.42498539983339212</v>
      </c>
      <c r="AI136" s="79">
        <v>0.42554874668541343</v>
      </c>
      <c r="AJ136" s="79">
        <v>0.42622419224982711</v>
      </c>
      <c r="AK136" s="79">
        <v>0.42703084431745214</v>
      </c>
      <c r="AL136" s="79">
        <v>0.42798961054547768</v>
      </c>
      <c r="AM136" s="79">
        <v>0.42912267604272047</v>
      </c>
      <c r="AN136" s="79">
        <v>0.43045259860004081</v>
      </c>
      <c r="AO136" s="79">
        <v>0.43200091827335568</v>
      </c>
      <c r="AP136" s="79">
        <v>0.43378619999944512</v>
      </c>
      <c r="AQ136" s="79">
        <v>0.43582148916566604</v>
      </c>
      <c r="AR136" s="79">
        <v>0.43811127550166418</v>
      </c>
      <c r="AS136" s="79">
        <v>0.44064823649584522</v>
      </c>
      <c r="AT136" s="79">
        <v>0.44341025171520732</v>
      </c>
      <c r="AU136" s="79">
        <v>0.44635839080281609</v>
      </c>
      <c r="AV136" s="79">
        <v>0.44943668476609983</v>
      </c>
      <c r="AW136" s="79">
        <v>0.45257437419720231</v>
      </c>
      <c r="AX136" s="87">
        <v>0.45569090614756907</v>
      </c>
    </row>
    <row r="137" spans="1:50" x14ac:dyDescent="0.25">
      <c r="A137" s="356"/>
      <c r="B137" s="359"/>
      <c r="C137" s="361" t="s">
        <v>15</v>
      </c>
      <c r="D137" s="58" t="s">
        <v>7</v>
      </c>
      <c r="E137" s="164" t="str">
        <f>A133&amp;"/"&amp;B133&amp;"/"&amp;C137&amp;"/"&amp;D137</f>
        <v>Coal fired power plants/Integrated gasification combined cycle/Electricity only with CCS/L</v>
      </c>
      <c r="F137" s="78" t="str">
        <f>A133</f>
        <v>Coal fired power plants</v>
      </c>
      <c r="G137" s="78" t="str">
        <f>B133</f>
        <v>Integrated gasification combined cycle</v>
      </c>
      <c r="H137" s="78" t="str">
        <f>C137</f>
        <v>Electricity only with CCS</v>
      </c>
      <c r="I137" s="165" t="str">
        <f t="shared" si="78"/>
        <v>L</v>
      </c>
      <c r="J137" s="78" t="s">
        <v>112</v>
      </c>
      <c r="K137" s="78" t="s">
        <v>112</v>
      </c>
      <c r="L137" s="78" t="s">
        <v>112</v>
      </c>
      <c r="M137" s="78" t="s">
        <v>112</v>
      </c>
      <c r="N137" s="78" t="s">
        <v>112</v>
      </c>
      <c r="O137" s="78" t="s">
        <v>112</v>
      </c>
      <c r="P137" s="78" t="s">
        <v>112</v>
      </c>
      <c r="Q137" s="78" t="s">
        <v>112</v>
      </c>
      <c r="R137" s="78" t="s">
        <v>112</v>
      </c>
      <c r="S137" s="78" t="s">
        <v>112</v>
      </c>
      <c r="T137" s="78" t="s">
        <v>112</v>
      </c>
      <c r="U137" s="78" t="s">
        <v>112</v>
      </c>
      <c r="V137" s="78" t="s">
        <v>112</v>
      </c>
      <c r="W137" s="78" t="s">
        <v>112</v>
      </c>
      <c r="X137" s="78" t="s">
        <v>112</v>
      </c>
      <c r="Y137" s="78" t="s">
        <v>112</v>
      </c>
      <c r="Z137" s="78" t="s">
        <v>112</v>
      </c>
      <c r="AA137" s="78" t="s">
        <v>112</v>
      </c>
      <c r="AB137" s="78" t="s">
        <v>112</v>
      </c>
      <c r="AC137" s="78" t="s">
        <v>112</v>
      </c>
      <c r="AD137" s="78" t="s">
        <v>112</v>
      </c>
      <c r="AE137" s="78">
        <v>0.46464214625519989</v>
      </c>
      <c r="AF137" s="78">
        <v>0.46466523579345975</v>
      </c>
      <c r="AG137" s="78">
        <v>0.46469638181379685</v>
      </c>
      <c r="AH137" s="78">
        <v>0.46473838523698746</v>
      </c>
      <c r="AI137" s="78">
        <v>0.46479501241492055</v>
      </c>
      <c r="AJ137" s="78">
        <v>0.46487132107155776</v>
      </c>
      <c r="AK137" s="78">
        <v>0.46497409069237083</v>
      </c>
      <c r="AL137" s="78">
        <v>0.46511238622022483</v>
      </c>
      <c r="AM137" s="78">
        <v>0.46529828797487699</v>
      </c>
      <c r="AN137" s="78">
        <v>0.46554782162681813</v>
      </c>
      <c r="AO137" s="78">
        <v>0.46588211552324899</v>
      </c>
      <c r="AP137" s="78">
        <v>0.46632879099596086</v>
      </c>
      <c r="AQ137" s="78">
        <v>0.466923541630196</v>
      </c>
      <c r="AR137" s="78">
        <v>0.46771176009050308</v>
      </c>
      <c r="AS137" s="78">
        <v>0.46874989925854732</v>
      </c>
      <c r="AT137" s="78">
        <v>0.47010598017660959</v>
      </c>
      <c r="AU137" s="78">
        <v>0.47185827332499053</v>
      </c>
      <c r="AV137" s="78">
        <v>0.47409073829196446</v>
      </c>
      <c r="AW137" s="78">
        <v>0.47688351450156602</v>
      </c>
      <c r="AX137" s="86">
        <v>0.48029706115117338</v>
      </c>
    </row>
    <row r="138" spans="1:50" x14ac:dyDescent="0.25">
      <c r="A138" s="356"/>
      <c r="B138" s="359"/>
      <c r="C138" s="360"/>
      <c r="D138" s="59" t="s">
        <v>8</v>
      </c>
      <c r="E138" s="166" t="str">
        <f>A133&amp;"/"&amp;B133&amp;"/"&amp;C137&amp;"/"&amp;D138</f>
        <v>Coal fired power plants/Integrated gasification combined cycle/Electricity only with CCS/M</v>
      </c>
      <c r="F138" s="79" t="str">
        <f>A133</f>
        <v>Coal fired power plants</v>
      </c>
      <c r="G138" s="79" t="str">
        <f>B133</f>
        <v>Integrated gasification combined cycle</v>
      </c>
      <c r="H138" s="79" t="str">
        <f>C137</f>
        <v>Electricity only with CCS</v>
      </c>
      <c r="I138" s="167" t="str">
        <f t="shared" si="78"/>
        <v>M</v>
      </c>
      <c r="J138" s="79" t="s">
        <v>112</v>
      </c>
      <c r="K138" s="79" t="s">
        <v>112</v>
      </c>
      <c r="L138" s="79" t="s">
        <v>112</v>
      </c>
      <c r="M138" s="79" t="s">
        <v>112</v>
      </c>
      <c r="N138" s="79" t="s">
        <v>112</v>
      </c>
      <c r="O138" s="79" t="s">
        <v>112</v>
      </c>
      <c r="P138" s="79" t="s">
        <v>112</v>
      </c>
      <c r="Q138" s="79" t="s">
        <v>112</v>
      </c>
      <c r="R138" s="79" t="s">
        <v>112</v>
      </c>
      <c r="S138" s="79" t="s">
        <v>112</v>
      </c>
      <c r="T138" s="79" t="s">
        <v>112</v>
      </c>
      <c r="U138" s="79" t="s">
        <v>112</v>
      </c>
      <c r="V138" s="79" t="s">
        <v>112</v>
      </c>
      <c r="W138" s="79" t="s">
        <v>112</v>
      </c>
      <c r="X138" s="79" t="s">
        <v>112</v>
      </c>
      <c r="Y138" s="79" t="s">
        <v>112</v>
      </c>
      <c r="Z138" s="79" t="s">
        <v>112</v>
      </c>
      <c r="AA138" s="79" t="s">
        <v>112</v>
      </c>
      <c r="AB138" s="79" t="s">
        <v>112</v>
      </c>
      <c r="AC138" s="79" t="s">
        <v>112</v>
      </c>
      <c r="AD138" s="79" t="s">
        <v>112</v>
      </c>
      <c r="AE138" s="79">
        <v>0.44247949204601417</v>
      </c>
      <c r="AF138" s="79">
        <v>0.44249041971764036</v>
      </c>
      <c r="AG138" s="79">
        <v>0.44250592182784465</v>
      </c>
      <c r="AH138" s="79">
        <v>0.44252791031814503</v>
      </c>
      <c r="AI138" s="79">
        <v>0.4425590932459646</v>
      </c>
      <c r="AJ138" s="79">
        <v>0.44260330324250324</v>
      </c>
      <c r="AK138" s="79">
        <v>0.44266595841159406</v>
      </c>
      <c r="AL138" s="79">
        <v>0.44275470595836158</v>
      </c>
      <c r="AM138" s="79">
        <v>0.44288031474356387</v>
      </c>
      <c r="AN138" s="79">
        <v>0.4430579005087672</v>
      </c>
      <c r="AO138" s="79">
        <v>0.44330858269227169</v>
      </c>
      <c r="AP138" s="79">
        <v>0.44366167477732249</v>
      </c>
      <c r="AQ138" s="79">
        <v>0.44415748008623235</v>
      </c>
      <c r="AR138" s="79">
        <v>0.44485066122191347</v>
      </c>
      <c r="AS138" s="79">
        <v>0.44581390222588801</v>
      </c>
      <c r="AT138" s="79">
        <v>0.44714107723561158</v>
      </c>
      <c r="AU138" s="79">
        <v>0.4489482457263928</v>
      </c>
      <c r="AV138" s="79">
        <v>0.45136945577237547</v>
      </c>
      <c r="AW138" s="79">
        <v>0.45454284443834669</v>
      </c>
      <c r="AX138" s="87">
        <v>0.45858202981709051</v>
      </c>
    </row>
    <row r="139" spans="1:50" x14ac:dyDescent="0.25">
      <c r="A139" s="356"/>
      <c r="B139" s="359"/>
      <c r="C139" s="361" t="s">
        <v>16</v>
      </c>
      <c r="D139" s="2" t="s">
        <v>7</v>
      </c>
      <c r="E139" s="160" t="str">
        <f>A133&amp;"/"&amp;B133&amp;"/"&amp;C139&amp;"/"&amp;D139</f>
        <v>Coal fired power plants/Integrated gasification combined cycle/CHP with CCS/L</v>
      </c>
      <c r="F139" s="76" t="str">
        <f>A133</f>
        <v>Coal fired power plants</v>
      </c>
      <c r="G139" s="76" t="str">
        <f>B133</f>
        <v>Integrated gasification combined cycle</v>
      </c>
      <c r="H139" s="76" t="str">
        <f>C139</f>
        <v>CHP with CCS</v>
      </c>
      <c r="I139" s="161" t="str">
        <f t="shared" si="78"/>
        <v>L</v>
      </c>
      <c r="J139" s="76" t="s">
        <v>112</v>
      </c>
      <c r="K139" s="76" t="s">
        <v>112</v>
      </c>
      <c r="L139" s="76" t="s">
        <v>112</v>
      </c>
      <c r="M139" s="76" t="s">
        <v>112</v>
      </c>
      <c r="N139" s="76" t="s">
        <v>112</v>
      </c>
      <c r="O139" s="76" t="s">
        <v>112</v>
      </c>
      <c r="P139" s="76" t="s">
        <v>112</v>
      </c>
      <c r="Q139" s="76" t="s">
        <v>112</v>
      </c>
      <c r="R139" s="76" t="s">
        <v>112</v>
      </c>
      <c r="S139" s="76" t="s">
        <v>112</v>
      </c>
      <c r="T139" s="76" t="s">
        <v>112</v>
      </c>
      <c r="U139" s="76" t="s">
        <v>112</v>
      </c>
      <c r="V139" s="76" t="s">
        <v>112</v>
      </c>
      <c r="W139" s="76" t="s">
        <v>112</v>
      </c>
      <c r="X139" s="76" t="s">
        <v>112</v>
      </c>
      <c r="Y139" s="76" t="s">
        <v>112</v>
      </c>
      <c r="Z139" s="76" t="s">
        <v>112</v>
      </c>
      <c r="AA139" s="76" t="s">
        <v>112</v>
      </c>
      <c r="AB139" s="76" t="s">
        <v>112</v>
      </c>
      <c r="AC139" s="76" t="s">
        <v>112</v>
      </c>
      <c r="AD139" s="76" t="s">
        <v>112</v>
      </c>
      <c r="AE139" s="76">
        <v>0.42239851783610677</v>
      </c>
      <c r="AF139" s="76">
        <v>0.42241830805002129</v>
      </c>
      <c r="AG139" s="76">
        <v>0.42244500314826466</v>
      </c>
      <c r="AH139" s="76">
        <v>0.42248100336997885</v>
      </c>
      <c r="AI139" s="76">
        <v>0.42252953601757576</v>
      </c>
      <c r="AJ139" s="76">
        <v>0.42259493447002039</v>
      </c>
      <c r="AK139" s="76">
        <v>0.42268300643012974</v>
      </c>
      <c r="AL139" s="76">
        <v>0.42280151590963533</v>
      </c>
      <c r="AM139" s="76">
        <v>0.42296080675803527</v>
      </c>
      <c r="AN139" s="76">
        <v>0.42317459602055885</v>
      </c>
      <c r="AO139" s="76">
        <v>0.42346095930193189</v>
      </c>
      <c r="AP139" s="76">
        <v>0.42384351091654221</v>
      </c>
      <c r="AQ139" s="76">
        <v>0.42435273778522697</v>
      </c>
      <c r="AR139" s="76">
        <v>0.42502736079711023</v>
      </c>
      <c r="AS139" s="76">
        <v>0.42591544797320408</v>
      </c>
      <c r="AT139" s="76">
        <v>0.4270747671856992</v>
      </c>
      <c r="AU139" s="76">
        <v>0.42857153691431016</v>
      </c>
      <c r="AV139" s="76">
        <v>0.43047636487173158</v>
      </c>
      <c r="AW139" s="76">
        <v>0.43285593976471681</v>
      </c>
      <c r="AX139" s="84">
        <v>0.43575935298175944</v>
      </c>
    </row>
    <row r="140" spans="1:50" x14ac:dyDescent="0.25">
      <c r="A140" s="356"/>
      <c r="B140" s="362"/>
      <c r="C140" s="354"/>
      <c r="D140" s="4" t="s">
        <v>8</v>
      </c>
      <c r="E140" s="168" t="str">
        <f>A133&amp;"/"&amp;B133&amp;"/"&amp;C139&amp;"/"&amp;D140</f>
        <v>Coal fired power plants/Integrated gasification combined cycle/CHP with CCS/M</v>
      </c>
      <c r="F140" s="80" t="str">
        <f>A133</f>
        <v>Coal fired power plants</v>
      </c>
      <c r="G140" s="80" t="str">
        <f>B133</f>
        <v>Integrated gasification combined cycle</v>
      </c>
      <c r="H140" s="80" t="str">
        <f>C139</f>
        <v>CHP with CCS</v>
      </c>
      <c r="I140" s="169" t="str">
        <f t="shared" si="78"/>
        <v>M</v>
      </c>
      <c r="J140" s="80" t="s">
        <v>112</v>
      </c>
      <c r="K140" s="80" t="s">
        <v>112</v>
      </c>
      <c r="L140" s="80" t="s">
        <v>112</v>
      </c>
      <c r="M140" s="80" t="s">
        <v>112</v>
      </c>
      <c r="N140" s="80" t="s">
        <v>112</v>
      </c>
      <c r="O140" s="80" t="s">
        <v>112</v>
      </c>
      <c r="P140" s="80" t="s">
        <v>112</v>
      </c>
      <c r="Q140" s="80" t="s">
        <v>112</v>
      </c>
      <c r="R140" s="80" t="s">
        <v>112</v>
      </c>
      <c r="S140" s="80" t="s">
        <v>112</v>
      </c>
      <c r="T140" s="80" t="s">
        <v>112</v>
      </c>
      <c r="U140" s="80" t="s">
        <v>112</v>
      </c>
      <c r="V140" s="80" t="s">
        <v>112</v>
      </c>
      <c r="W140" s="80" t="s">
        <v>112</v>
      </c>
      <c r="X140" s="80" t="s">
        <v>112</v>
      </c>
      <c r="Y140" s="80" t="s">
        <v>112</v>
      </c>
      <c r="Z140" s="80" t="s">
        <v>112</v>
      </c>
      <c r="AA140" s="80" t="s">
        <v>112</v>
      </c>
      <c r="AB140" s="80" t="s">
        <v>112</v>
      </c>
      <c r="AC140" s="80" t="s">
        <v>112</v>
      </c>
      <c r="AD140" s="80" t="s">
        <v>112</v>
      </c>
      <c r="AE140" s="80">
        <v>0.40225250240359955</v>
      </c>
      <c r="AF140" s="80">
        <v>0.40226177417637993</v>
      </c>
      <c r="AG140" s="80">
        <v>0.40227492709751062</v>
      </c>
      <c r="AH140" s="80">
        <v>0.40229358322459491</v>
      </c>
      <c r="AI140" s="80">
        <v>0.40232003990963028</v>
      </c>
      <c r="AJ140" s="80">
        <v>0.4023575482910533</v>
      </c>
      <c r="AK140" s="80">
        <v>0.40241070395981626</v>
      </c>
      <c r="AL140" s="80">
        <v>0.40248599226974685</v>
      </c>
      <c r="AM140" s="80">
        <v>0.40259254406462397</v>
      </c>
      <c r="AN140" s="80">
        <v>0.40274317210536598</v>
      </c>
      <c r="AO140" s="80">
        <v>0.40295577062826798</v>
      </c>
      <c r="AP140" s="80">
        <v>0.4032551616619568</v>
      </c>
      <c r="AQ140" s="80">
        <v>0.4036754437696185</v>
      </c>
      <c r="AR140" s="80">
        <v>0.40426280660623021</v>
      </c>
      <c r="AS140" s="80">
        <v>0.40507855654947428</v>
      </c>
      <c r="AT140" s="80">
        <v>0.40620166098892097</v>
      </c>
      <c r="AU140" s="80">
        <v>0.40772935330243298</v>
      </c>
      <c r="AV140" s="80">
        <v>0.40977321241688974</v>
      </c>
      <c r="AW140" s="80">
        <v>0.41244691817191464</v>
      </c>
      <c r="AX140" s="88">
        <v>0.41584161138629722</v>
      </c>
    </row>
    <row r="141" spans="1:50" x14ac:dyDescent="0.25">
      <c r="A141" s="356"/>
      <c r="B141" s="358" t="s">
        <v>17</v>
      </c>
      <c r="C141" s="353" t="s">
        <v>6</v>
      </c>
      <c r="D141" s="3" t="s">
        <v>7</v>
      </c>
      <c r="E141" s="162" t="str">
        <f>A133&amp;"/"&amp;B141&amp;"/"&amp;C141&amp;"/"&amp;D141</f>
        <v>Coal fired power plants/Supercritical steam turbine/Electricity only/L</v>
      </c>
      <c r="F141" s="77" t="str">
        <f>A133</f>
        <v>Coal fired power plants</v>
      </c>
      <c r="G141" s="77" t="str">
        <f>B141</f>
        <v>Supercritical steam turbine</v>
      </c>
      <c r="H141" s="77" t="str">
        <f>C141</f>
        <v>Electricity only</v>
      </c>
      <c r="I141" s="163" t="str">
        <f t="shared" si="78"/>
        <v>L</v>
      </c>
      <c r="J141" s="77">
        <v>0.47619047619047616</v>
      </c>
      <c r="K141" s="77">
        <v>0.4761985840705083</v>
      </c>
      <c r="L141" s="77">
        <v>0.47620848050425929</v>
      </c>
      <c r="M141" s="77">
        <v>0.47622055826867599</v>
      </c>
      <c r="N141" s="77">
        <v>0.47623529552960103</v>
      </c>
      <c r="O141" s="77">
        <v>0.47625327397970063</v>
      </c>
      <c r="P141" s="77">
        <v>0.47627520061984019</v>
      </c>
      <c r="Q141" s="77">
        <v>0.47630193381159663</v>
      </c>
      <c r="R141" s="77">
        <v>0.47633451428290668</v>
      </c>
      <c r="S141" s="77">
        <v>0.47637420179624118</v>
      </c>
      <c r="T141" s="77">
        <v>0.4764225181662301</v>
      </c>
      <c r="U141" s="77">
        <v>0.47648129720661864</v>
      </c>
      <c r="V141" s="77">
        <v>0.47655274194377228</v>
      </c>
      <c r="W141" s="77">
        <v>0.47663948898259889</v>
      </c>
      <c r="X141" s="77">
        <v>0.47674467914937596</v>
      </c>
      <c r="Y141" s="77">
        <v>0.4768720323290484</v>
      </c>
      <c r="Z141" s="77">
        <v>0.4770259225897866</v>
      </c>
      <c r="AA141" s="77">
        <v>0.47721144704122537</v>
      </c>
      <c r="AB141" s="77">
        <v>0.47743447819224466</v>
      </c>
      <c r="AC141" s="77">
        <v>0.47770168469194019</v>
      </c>
      <c r="AD141" s="77">
        <v>0.47802049923743711</v>
      </c>
      <c r="AE141" s="77">
        <v>0.47839900543366126</v>
      </c>
      <c r="AF141" s="77">
        <v>0.47884570843115071</v>
      </c>
      <c r="AG141" s="77">
        <v>0.47936914918465834</v>
      </c>
      <c r="AH141" s="77">
        <v>0.47997732250411029</v>
      </c>
      <c r="AI141" s="77">
        <v>0.48067686966130263</v>
      </c>
      <c r="AJ141" s="77">
        <v>0.48147204333798066</v>
      </c>
      <c r="AK141" s="77">
        <v>0.48236349188011152</v>
      </c>
      <c r="AL141" s="77">
        <v>0.4833469828653193</v>
      </c>
      <c r="AM141" s="77">
        <v>0.48441227504124118</v>
      </c>
      <c r="AN141" s="77">
        <v>0.48554242954704629</v>
      </c>
      <c r="AO141" s="77">
        <v>0.48671388589821096</v>
      </c>
      <c r="AP141" s="77">
        <v>0.48789756785587785</v>
      </c>
      <c r="AQ141" s="77">
        <v>0.4890610981835935</v>
      </c>
      <c r="AR141" s="77">
        <v>0.49017190828529089</v>
      </c>
      <c r="AS141" s="77">
        <v>0.49120071677398774</v>
      </c>
      <c r="AT141" s="77">
        <v>0.49212465543958567</v>
      </c>
      <c r="AU141" s="77">
        <v>0.49292935579311348</v>
      </c>
      <c r="AV141" s="77">
        <v>0.49360958882571759</v>
      </c>
      <c r="AW141" s="77">
        <v>0.49416846481599952</v>
      </c>
      <c r="AX141" s="85">
        <v>0.49461557284075169</v>
      </c>
    </row>
    <row r="142" spans="1:50" x14ac:dyDescent="0.25">
      <c r="A142" s="356"/>
      <c r="B142" s="359"/>
      <c r="C142" s="360"/>
      <c r="D142" s="2" t="s">
        <v>8</v>
      </c>
      <c r="E142" s="160" t="str">
        <f>A133&amp;"/"&amp;B141&amp;"/"&amp;C141&amp;"/"&amp;D142</f>
        <v>Coal fired power plants/Supercritical steam turbine/Electricity only/M</v>
      </c>
      <c r="F142" s="76" t="str">
        <f>A133</f>
        <v>Coal fired power plants</v>
      </c>
      <c r="G142" s="76" t="str">
        <f>B141</f>
        <v>Supercritical steam turbine</v>
      </c>
      <c r="H142" s="76" t="str">
        <f>C141</f>
        <v>Electricity only</v>
      </c>
      <c r="I142" s="161" t="str">
        <f t="shared" si="78"/>
        <v>M</v>
      </c>
      <c r="J142" s="76">
        <v>0.45351473922902491</v>
      </c>
      <c r="K142" s="76">
        <v>0.45352831117112979</v>
      </c>
      <c r="L142" s="76">
        <v>0.45354446438805002</v>
      </c>
      <c r="M142" s="76">
        <v>0.4535636865692404</v>
      </c>
      <c r="N142" s="76">
        <v>0.45358655618936122</v>
      </c>
      <c r="O142" s="76">
        <v>0.45361375884224664</v>
      </c>
      <c r="P142" s="76">
        <v>0.45364610627622592</v>
      </c>
      <c r="Q142" s="76">
        <v>0.45368455847617079</v>
      </c>
      <c r="R142" s="76">
        <v>0.45373024913583565</v>
      </c>
      <c r="S142" s="76">
        <v>0.45378451483610704</v>
      </c>
      <c r="T142" s="76">
        <v>0.45384892817656802</v>
      </c>
      <c r="U142" s="76">
        <v>0.45392533497986948</v>
      </c>
      <c r="V142" s="76">
        <v>0.45401589547443816</v>
      </c>
      <c r="W142" s="76">
        <v>0.4541231290263843</v>
      </c>
      <c r="X142" s="76">
        <v>0.45424996149178309</v>
      </c>
      <c r="Y142" s="76">
        <v>0.45439977354144845</v>
      </c>
      <c r="Z142" s="76">
        <v>0.45457644730886271</v>
      </c>
      <c r="AA142" s="76">
        <v>0.45478440736129933</v>
      </c>
      <c r="AB142" s="76">
        <v>0.45502865023465933</v>
      </c>
      <c r="AC142" s="76">
        <v>0.45531475457189102</v>
      </c>
      <c r="AD142" s="76">
        <v>0.45564886129231941</v>
      </c>
      <c r="AE142" s="76">
        <v>0.4560376103380378</v>
      </c>
      <c r="AF142" s="76">
        <v>0.45648801772395359</v>
      </c>
      <c r="AG142" s="76">
        <v>0.45700727446789352</v>
      </c>
      <c r="AH142" s="76">
        <v>0.45760244847271525</v>
      </c>
      <c r="AI142" s="76">
        <v>0.45828007297172541</v>
      </c>
      <c r="AJ142" s="76">
        <v>0.45904561249525344</v>
      </c>
      <c r="AK142" s="76">
        <v>0.45990281132702598</v>
      </c>
      <c r="AL142" s="76">
        <v>0.46085295143797134</v>
      </c>
      <c r="AM142" s="76">
        <v>0.46189407673100752</v>
      </c>
      <c r="AN142" s="76">
        <v>0.4630202750812874</v>
      </c>
      <c r="AO142" s="76">
        <v>0.46422114206230197</v>
      </c>
      <c r="AP142" s="76">
        <v>0.46548156912667465</v>
      </c>
      <c r="AQ142" s="76">
        <v>0.46678199073378995</v>
      </c>
      <c r="AR142" s="76">
        <v>0.46809917822389197</v>
      </c>
      <c r="AS142" s="76">
        <v>0.46940758109486036</v>
      </c>
      <c r="AT142" s="76">
        <v>0.47068110204531904</v>
      </c>
      <c r="AU142" s="76">
        <v>0.47189508017120957</v>
      </c>
      <c r="AV142" s="76">
        <v>0.47302818471515701</v>
      </c>
      <c r="AW142" s="76">
        <v>0.47406392012307741</v>
      </c>
      <c r="AX142" s="84">
        <v>0.47499151913862775</v>
      </c>
    </row>
    <row r="143" spans="1:50" x14ac:dyDescent="0.25">
      <c r="A143" s="356"/>
      <c r="B143" s="359"/>
      <c r="C143" s="361" t="s">
        <v>14</v>
      </c>
      <c r="D143" s="58" t="s">
        <v>7</v>
      </c>
      <c r="E143" s="164" t="str">
        <f>A133&amp;"/"&amp;B141&amp;"/"&amp;C143&amp;"/"&amp;D143</f>
        <v>Coal fired power plants/Supercritical steam turbine/CHP/L</v>
      </c>
      <c r="F143" s="78" t="str">
        <f>A133</f>
        <v>Coal fired power plants</v>
      </c>
      <c r="G143" s="78" t="str">
        <f>B141</f>
        <v>Supercritical steam turbine</v>
      </c>
      <c r="H143" s="78" t="str">
        <f>C143</f>
        <v>CHP</v>
      </c>
      <c r="I143" s="165" t="str">
        <f t="shared" si="78"/>
        <v>L</v>
      </c>
      <c r="J143" s="78">
        <v>0.43290043290043279</v>
      </c>
      <c r="K143" s="78">
        <v>0.43290682089086902</v>
      </c>
      <c r="L143" s="78">
        <v>0.43291461793857228</v>
      </c>
      <c r="M143" s="78">
        <v>0.43292413343263947</v>
      </c>
      <c r="N143" s="78">
        <v>0.43293574399908458</v>
      </c>
      <c r="O143" s="78">
        <v>0.43294990777138204</v>
      </c>
      <c r="P143" s="78">
        <v>0.43296718152181923</v>
      </c>
      <c r="Q143" s="78">
        <v>0.43298824114353579</v>
      </c>
      <c r="R143" s="78">
        <v>0.4330139060137595</v>
      </c>
      <c r="S143" s="78">
        <v>0.43304516778724816</v>
      </c>
      <c r="T143" s="78">
        <v>0.43308322414685202</v>
      </c>
      <c r="U143" s="78">
        <v>0.43312951794761068</v>
      </c>
      <c r="V143" s="78">
        <v>0.43318578199109653</v>
      </c>
      <c r="W143" s="78">
        <v>0.43325408929960557</v>
      </c>
      <c r="X143" s="78">
        <v>0.43333690814482456</v>
      </c>
      <c r="Y143" s="78">
        <v>0.43343716011573663</v>
      </c>
      <c r="Z143" s="78">
        <v>0.43355827805050651</v>
      </c>
      <c r="AA143" s="78">
        <v>0.43370425854865213</v>
      </c>
      <c r="AB143" s="78">
        <v>0.43387970086093253</v>
      </c>
      <c r="AC143" s="78">
        <v>0.43408982010404862</v>
      </c>
      <c r="AD143" s="78">
        <v>0.43434041797217027</v>
      </c>
      <c r="AE143" s="78">
        <v>0.43463778869989267</v>
      </c>
      <c r="AF143" s="78">
        <v>0.43498853275441007</v>
      </c>
      <c r="AG143" s="78">
        <v>0.43539924717639023</v>
      </c>
      <c r="AH143" s="78">
        <v>0.4358760623219744</v>
      </c>
      <c r="AI143" s="78">
        <v>0.43642400388001146</v>
      </c>
      <c r="AJ143" s="78">
        <v>0.43704618119080824</v>
      </c>
      <c r="AK143" s="78">
        <v>0.43774284226987753</v>
      </c>
      <c r="AL143" s="78">
        <v>0.43851039331272612</v>
      </c>
      <c r="AM143" s="78">
        <v>0.43934054888129048</v>
      </c>
      <c r="AN143" s="78">
        <v>0.44021983957243821</v>
      </c>
      <c r="AO143" s="78">
        <v>0.44112972538077516</v>
      </c>
      <c r="AP143" s="78">
        <v>0.44204750940722493</v>
      </c>
      <c r="AQ143" s="78">
        <v>0.44294809708046395</v>
      </c>
      <c r="AR143" s="78">
        <v>0.4438064190744504</v>
      </c>
      <c r="AS143" s="78">
        <v>0.44460010196397248</v>
      </c>
      <c r="AT143" s="78">
        <v>0.44531183222759579</v>
      </c>
      <c r="AU143" s="78">
        <v>0.44593089859681417</v>
      </c>
      <c r="AV143" s="78">
        <v>0.44645361942327655</v>
      </c>
      <c r="AW143" s="78">
        <v>0.44688267793081843</v>
      </c>
      <c r="AX143" s="86">
        <v>0.44722566593238433</v>
      </c>
    </row>
    <row r="144" spans="1:50" x14ac:dyDescent="0.25">
      <c r="A144" s="356"/>
      <c r="B144" s="359"/>
      <c r="C144" s="360"/>
      <c r="D144" s="59" t="s">
        <v>8</v>
      </c>
      <c r="E144" s="166" t="str">
        <f>A133&amp;"/"&amp;B141&amp;"/"&amp;C143&amp;"/"&amp;D144</f>
        <v>Coal fired power plants/Supercritical steam turbine/CHP/M</v>
      </c>
      <c r="F144" s="79" t="str">
        <f>A133</f>
        <v>Coal fired power plants</v>
      </c>
      <c r="G144" s="79" t="str">
        <f>B141</f>
        <v>Supercritical steam turbine</v>
      </c>
      <c r="H144" s="79" t="str">
        <f>C143</f>
        <v>CHP</v>
      </c>
      <c r="I144" s="167" t="str">
        <f t="shared" si="78"/>
        <v>M</v>
      </c>
      <c r="J144" s="79">
        <v>0.41228612657184077</v>
      </c>
      <c r="K144" s="79">
        <v>0.41229723080502939</v>
      </c>
      <c r="L144" s="79">
        <v>0.41231044675796236</v>
      </c>
      <c r="M144" s="79">
        <v>0.41232617331499255</v>
      </c>
      <c r="N144" s="79">
        <v>0.4123448835765382</v>
      </c>
      <c r="O144" s="79">
        <v>0.41236713819612086</v>
      </c>
      <c r="P144" s="79">
        <v>0.41239360091635574</v>
      </c>
      <c r="Q144" s="79">
        <v>0.4124250565819701</v>
      </c>
      <c r="R144" s="79">
        <v>0.41246243190472975</v>
      </c>
      <c r="S144" s="79">
        <v>0.41250681922994892</v>
      </c>
      <c r="T144" s="79">
        <v>0.41255950349534332</v>
      </c>
      <c r="U144" s="79">
        <v>0.41262199246420805</v>
      </c>
      <c r="V144" s="79">
        <v>0.41269605013451488</v>
      </c>
      <c r="W144" s="79">
        <v>0.41278373294494947</v>
      </c>
      <c r="X144" s="79">
        <v>0.41288742798179656</v>
      </c>
      <c r="Y144" s="79">
        <v>0.41300989179257197</v>
      </c>
      <c r="Z144" s="79">
        <v>0.41315428758239053</v>
      </c>
      <c r="AA144" s="79">
        <v>0.41332421745394859</v>
      </c>
      <c r="AB144" s="79">
        <v>0.41352374490545196</v>
      </c>
      <c r="AC144" s="79">
        <v>0.41375740100101804</v>
      </c>
      <c r="AD144" s="79">
        <v>0.4140301655062989</v>
      </c>
      <c r="AE144" s="79">
        <v>0.41434741196631525</v>
      </c>
      <c r="AF144" s="79">
        <v>0.4147148034775523</v>
      </c>
      <c r="AG144" s="79">
        <v>0.41513812428668279</v>
      </c>
      <c r="AH144" s="79">
        <v>0.41562303214879631</v>
      </c>
      <c r="AI144" s="79">
        <v>0.41617471874943396</v>
      </c>
      <c r="AJ144" s="79">
        <v>0.41679747186331606</v>
      </c>
      <c r="AK144" s="79">
        <v>0.41749414474830654</v>
      </c>
      <c r="AL144" s="79">
        <v>0.41826555653259112</v>
      </c>
      <c r="AM144" s="79">
        <v>0.41910987170337621</v>
      </c>
      <c r="AN144" s="79">
        <v>0.42002203453353448</v>
      </c>
      <c r="AO144" s="79">
        <v>0.42099335941806604</v>
      </c>
      <c r="AP144" s="79">
        <v>0.42201139139075067</v>
      </c>
      <c r="AQ144" s="79">
        <v>0.42306014175639406</v>
      </c>
      <c r="AR144" s="79">
        <v>0.42412076340462029</v>
      </c>
      <c r="AS144" s="79">
        <v>0.42517265842749163</v>
      </c>
      <c r="AT144" s="79">
        <v>0.42619491899739892</v>
      </c>
      <c r="AU144" s="79">
        <v>0.42716791533585086</v>
      </c>
      <c r="AV144" s="79">
        <v>0.42807479173617335</v>
      </c>
      <c r="AW144" s="79">
        <v>0.42890263568214587</v>
      </c>
      <c r="AX144" s="87">
        <v>0.42964314986125179</v>
      </c>
    </row>
    <row r="145" spans="1:50" x14ac:dyDescent="0.25">
      <c r="A145" s="356"/>
      <c r="B145" s="359"/>
      <c r="C145" s="361" t="s">
        <v>15</v>
      </c>
      <c r="D145" s="58" t="s">
        <v>7</v>
      </c>
      <c r="E145" s="164" t="str">
        <f>A133&amp;"/"&amp;B141&amp;"/"&amp;C145&amp;"/"&amp;D145</f>
        <v>Coal fired power plants/Supercritical steam turbine/Electricity only with CCS/L</v>
      </c>
      <c r="F145" s="78" t="str">
        <f>A133</f>
        <v>Coal fired power plants</v>
      </c>
      <c r="G145" s="78" t="str">
        <f>B141</f>
        <v>Supercritical steam turbine</v>
      </c>
      <c r="H145" s="78" t="str">
        <f>C145</f>
        <v>Electricity only with CCS</v>
      </c>
      <c r="I145" s="165" t="str">
        <f t="shared" si="78"/>
        <v>L</v>
      </c>
      <c r="J145" s="78" t="s">
        <v>112</v>
      </c>
      <c r="K145" s="78" t="s">
        <v>112</v>
      </c>
      <c r="L145" s="78" t="s">
        <v>112</v>
      </c>
      <c r="M145" s="78" t="s">
        <v>112</v>
      </c>
      <c r="N145" s="78" t="s">
        <v>112</v>
      </c>
      <c r="O145" s="78" t="s">
        <v>112</v>
      </c>
      <c r="P145" s="78" t="s">
        <v>112</v>
      </c>
      <c r="Q145" s="78" t="s">
        <v>112</v>
      </c>
      <c r="R145" s="78" t="s">
        <v>112</v>
      </c>
      <c r="S145" s="78" t="s">
        <v>112</v>
      </c>
      <c r="T145" s="78" t="s">
        <v>112</v>
      </c>
      <c r="U145" s="78" t="s">
        <v>112</v>
      </c>
      <c r="V145" s="78" t="s">
        <v>112</v>
      </c>
      <c r="W145" s="78" t="s">
        <v>112</v>
      </c>
      <c r="X145" s="78" t="s">
        <v>112</v>
      </c>
      <c r="Y145" s="78" t="s">
        <v>112</v>
      </c>
      <c r="Z145" s="78" t="s">
        <v>112</v>
      </c>
      <c r="AA145" s="78" t="s">
        <v>112</v>
      </c>
      <c r="AB145" s="78" t="s">
        <v>112</v>
      </c>
      <c r="AC145" s="78" t="s">
        <v>112</v>
      </c>
      <c r="AD145" s="78" t="s">
        <v>112</v>
      </c>
      <c r="AE145" s="78">
        <v>0.4537578479689115</v>
      </c>
      <c r="AF145" s="78">
        <v>0.45381135000109185</v>
      </c>
      <c r="AG145" s="78">
        <v>0.45387653980423853</v>
      </c>
      <c r="AH145" s="78">
        <v>0.45395592839834137</v>
      </c>
      <c r="AI145" s="78">
        <v>0.45405254575681103</v>
      </c>
      <c r="AJ145" s="78">
        <v>0.45417003809299877</v>
      </c>
      <c r="AK145" s="78">
        <v>0.45431277849113227</v>
      </c>
      <c r="AL145" s="78">
        <v>0.45448599017391106</v>
      </c>
      <c r="AM145" s="78">
        <v>0.45469588002589029</v>
      </c>
      <c r="AN145" s="78">
        <v>0.45494977741564818</v>
      </c>
      <c r="AO145" s="78">
        <v>0.45525626957017201</v>
      </c>
      <c r="AP145" s="78">
        <v>0.45562531941691542</v>
      </c>
      <c r="AQ145" s="78">
        <v>0.45606834463262191</v>
      </c>
      <c r="AR145" s="78">
        <v>0.4565982275178761</v>
      </c>
      <c r="AS145" s="78">
        <v>0.4572292145745811</v>
      </c>
      <c r="AT145" s="78">
        <v>0.45797665342501287</v>
      </c>
      <c r="AU145" s="78">
        <v>0.45885650540633821</v>
      </c>
      <c r="AV145" s="78">
        <v>0.45988456907994607</v>
      </c>
      <c r="AW145" s="78">
        <v>0.46107535945263961</v>
      </c>
      <c r="AX145" s="86">
        <v>0.46244061811789555</v>
      </c>
    </row>
    <row r="146" spans="1:50" x14ac:dyDescent="0.25">
      <c r="A146" s="356"/>
      <c r="B146" s="359"/>
      <c r="C146" s="360"/>
      <c r="D146" s="59" t="s">
        <v>8</v>
      </c>
      <c r="E146" s="166" t="str">
        <f>A133&amp;"/"&amp;B141&amp;"/"&amp;C145&amp;"/"&amp;D146</f>
        <v>Coal fired power plants/Supercritical steam turbine/Electricity only with CCS/M</v>
      </c>
      <c r="F146" s="79" t="str">
        <f>A133</f>
        <v>Coal fired power plants</v>
      </c>
      <c r="G146" s="79" t="str">
        <f>B141</f>
        <v>Supercritical steam turbine</v>
      </c>
      <c r="H146" s="79" t="str">
        <f>C145</f>
        <v>Electricity only with CCS</v>
      </c>
      <c r="I146" s="167" t="str">
        <f t="shared" si="78"/>
        <v>M</v>
      </c>
      <c r="J146" s="79" t="s">
        <v>112</v>
      </c>
      <c r="K146" s="79" t="s">
        <v>112</v>
      </c>
      <c r="L146" s="79" t="s">
        <v>112</v>
      </c>
      <c r="M146" s="79" t="s">
        <v>112</v>
      </c>
      <c r="N146" s="79" t="s">
        <v>112</v>
      </c>
      <c r="O146" s="79" t="s">
        <v>112</v>
      </c>
      <c r="P146" s="79" t="s">
        <v>112</v>
      </c>
      <c r="Q146" s="79" t="s">
        <v>112</v>
      </c>
      <c r="R146" s="79" t="s">
        <v>112</v>
      </c>
      <c r="S146" s="79" t="s">
        <v>112</v>
      </c>
      <c r="T146" s="79" t="s">
        <v>112</v>
      </c>
      <c r="U146" s="79" t="s">
        <v>112</v>
      </c>
      <c r="V146" s="79" t="s">
        <v>112</v>
      </c>
      <c r="W146" s="79" t="s">
        <v>112</v>
      </c>
      <c r="X146" s="79" t="s">
        <v>112</v>
      </c>
      <c r="Y146" s="79" t="s">
        <v>112</v>
      </c>
      <c r="Z146" s="79" t="s">
        <v>112</v>
      </c>
      <c r="AA146" s="79" t="s">
        <v>112</v>
      </c>
      <c r="AB146" s="79" t="s">
        <v>112</v>
      </c>
      <c r="AC146" s="79" t="s">
        <v>112</v>
      </c>
      <c r="AD146" s="79" t="s">
        <v>112</v>
      </c>
      <c r="AE146" s="79">
        <v>0.43201610169896432</v>
      </c>
      <c r="AF146" s="79">
        <v>0.43204367197444504</v>
      </c>
      <c r="AG146" s="79">
        <v>0.43207903015914201</v>
      </c>
      <c r="AH146" s="79">
        <v>0.43212436062182968</v>
      </c>
      <c r="AI146" s="79">
        <v>0.43218245039833852</v>
      </c>
      <c r="AJ146" s="79">
        <v>0.43225684901896477</v>
      </c>
      <c r="AK146" s="79">
        <v>0.43235206655720548</v>
      </c>
      <c r="AL146" s="79">
        <v>0.43247381630579962</v>
      </c>
      <c r="AM146" s="79">
        <v>0.43262930763959223</v>
      </c>
      <c r="AN146" s="79">
        <v>0.43282759204337923</v>
      </c>
      <c r="AO146" s="79">
        <v>0.4330799597476625</v>
      </c>
      <c r="AP146" s="79">
        <v>0.43340037413060972</v>
      </c>
      <c r="AQ146" s="79">
        <v>0.433805913545386</v>
      </c>
      <c r="AR146" s="79">
        <v>0.43431716248351687</v>
      </c>
      <c r="AS146" s="79">
        <v>0.43495845296243996</v>
      </c>
      <c r="AT146" s="79">
        <v>0.43575780127120706</v>
      </c>
      <c r="AU146" s="79">
        <v>0.43674631805951697</v>
      </c>
      <c r="AV146" s="79">
        <v>0.43795680486187932</v>
      </c>
      <c r="AW146" s="79">
        <v>0.43942121893164815</v>
      </c>
      <c r="AX146" s="87">
        <v>0.4411667460893009</v>
      </c>
    </row>
    <row r="147" spans="1:50" x14ac:dyDescent="0.25">
      <c r="A147" s="356"/>
      <c r="B147" s="359"/>
      <c r="C147" s="361" t="s">
        <v>16</v>
      </c>
      <c r="D147" s="2" t="s">
        <v>7</v>
      </c>
      <c r="E147" s="160" t="str">
        <f>A133&amp;"/"&amp;B141&amp;"/"&amp;C147&amp;"/"&amp;D147</f>
        <v>Coal fired power plants/Supercritical steam turbine/CHP with CCS/L</v>
      </c>
      <c r="F147" s="76" t="str">
        <f>A133</f>
        <v>Coal fired power plants</v>
      </c>
      <c r="G147" s="76" t="str">
        <f>B141</f>
        <v>Supercritical steam turbine</v>
      </c>
      <c r="H147" s="76" t="str">
        <f>C147</f>
        <v>CHP with CCS</v>
      </c>
      <c r="I147" s="161" t="str">
        <f t="shared" si="78"/>
        <v>L</v>
      </c>
      <c r="J147" s="76" t="s">
        <v>112</v>
      </c>
      <c r="K147" s="76" t="s">
        <v>112</v>
      </c>
      <c r="L147" s="76" t="s">
        <v>112</v>
      </c>
      <c r="M147" s="76" t="s">
        <v>112</v>
      </c>
      <c r="N147" s="76" t="s">
        <v>112</v>
      </c>
      <c r="O147" s="76" t="s">
        <v>112</v>
      </c>
      <c r="P147" s="76" t="s">
        <v>112</v>
      </c>
      <c r="Q147" s="76" t="s">
        <v>112</v>
      </c>
      <c r="R147" s="76" t="s">
        <v>112</v>
      </c>
      <c r="S147" s="76" t="s">
        <v>112</v>
      </c>
      <c r="T147" s="76" t="s">
        <v>112</v>
      </c>
      <c r="U147" s="76" t="s">
        <v>112</v>
      </c>
      <c r="V147" s="76" t="s">
        <v>112</v>
      </c>
      <c r="W147" s="76" t="s">
        <v>112</v>
      </c>
      <c r="X147" s="76" t="s">
        <v>112</v>
      </c>
      <c r="Y147" s="76" t="s">
        <v>112</v>
      </c>
      <c r="Z147" s="76" t="s">
        <v>112</v>
      </c>
      <c r="AA147" s="76" t="s">
        <v>112</v>
      </c>
      <c r="AB147" s="76" t="s">
        <v>112</v>
      </c>
      <c r="AC147" s="76" t="s">
        <v>112</v>
      </c>
      <c r="AD147" s="76" t="s">
        <v>112</v>
      </c>
      <c r="AE147" s="76">
        <v>0.4124702587123748</v>
      </c>
      <c r="AF147" s="76">
        <v>0.41251077044752643</v>
      </c>
      <c r="AG147" s="76">
        <v>0.41256012677124232</v>
      </c>
      <c r="AH147" s="76">
        <v>0.41262022524581621</v>
      </c>
      <c r="AI147" s="76">
        <v>0.41269335432555904</v>
      </c>
      <c r="AJ147" s="76">
        <v>0.41278226600572815</v>
      </c>
      <c r="AK147" s="76">
        <v>0.41289025810721247</v>
      </c>
      <c r="AL147" s="76">
        <v>0.41302126546220719</v>
      </c>
      <c r="AM147" s="76">
        <v>0.41317995792686307</v>
      </c>
      <c r="AN147" s="76">
        <v>0.41337184110690278</v>
      </c>
      <c r="AO147" s="76">
        <v>0.41360335271050147</v>
      </c>
      <c r="AP147" s="76">
        <v>0.41388194329882094</v>
      </c>
      <c r="AQ147" s="76">
        <v>0.41421612469826491</v>
      </c>
      <c r="AR147" s="76">
        <v>0.41461546244559105</v>
      </c>
      <c r="AS147" s="76">
        <v>0.41509048069520038</v>
      </c>
      <c r="AT147" s="76">
        <v>0.41565244002056073</v>
      </c>
      <c r="AU147" s="76">
        <v>0.41631294251569839</v>
      </c>
      <c r="AV147" s="76">
        <v>0.41708331798282489</v>
      </c>
      <c r="AW147" s="76">
        <v>0.41797375476871679</v>
      </c>
      <c r="AX147" s="84">
        <v>0.41899216504194153</v>
      </c>
    </row>
    <row r="148" spans="1:50" x14ac:dyDescent="0.25">
      <c r="A148" s="356"/>
      <c r="B148" s="362"/>
      <c r="C148" s="354"/>
      <c r="D148" s="4" t="s">
        <v>8</v>
      </c>
      <c r="E148" s="168" t="str">
        <f>A133&amp;"/"&amp;B141&amp;"/"&amp;C147&amp;"/"&amp;D148</f>
        <v>Coal fired power plants/Supercritical steam turbine/CHP with CCS/M</v>
      </c>
      <c r="F148" s="80" t="str">
        <f>A133</f>
        <v>Coal fired power plants</v>
      </c>
      <c r="G148" s="80" t="str">
        <f>B141</f>
        <v>Supercritical steam turbine</v>
      </c>
      <c r="H148" s="80" t="str">
        <f>C147</f>
        <v>CHP with CCS</v>
      </c>
      <c r="I148" s="169" t="str">
        <f t="shared" si="78"/>
        <v>M</v>
      </c>
      <c r="J148" s="80" t="s">
        <v>112</v>
      </c>
      <c r="K148" s="80" t="s">
        <v>112</v>
      </c>
      <c r="L148" s="80" t="s">
        <v>112</v>
      </c>
      <c r="M148" s="80" t="s">
        <v>112</v>
      </c>
      <c r="N148" s="80" t="s">
        <v>112</v>
      </c>
      <c r="O148" s="80" t="s">
        <v>112</v>
      </c>
      <c r="P148" s="80" t="s">
        <v>112</v>
      </c>
      <c r="Q148" s="80" t="s">
        <v>112</v>
      </c>
      <c r="R148" s="80" t="s">
        <v>112</v>
      </c>
      <c r="S148" s="80" t="s">
        <v>112</v>
      </c>
      <c r="T148" s="80" t="s">
        <v>112</v>
      </c>
      <c r="U148" s="80" t="s">
        <v>112</v>
      </c>
      <c r="V148" s="80" t="s">
        <v>112</v>
      </c>
      <c r="W148" s="80" t="s">
        <v>112</v>
      </c>
      <c r="X148" s="80" t="s">
        <v>112</v>
      </c>
      <c r="Y148" s="80" t="s">
        <v>112</v>
      </c>
      <c r="Z148" s="80" t="s">
        <v>112</v>
      </c>
      <c r="AA148" s="80" t="s">
        <v>112</v>
      </c>
      <c r="AB148" s="80" t="s">
        <v>112</v>
      </c>
      <c r="AC148" s="80" t="s">
        <v>112</v>
      </c>
      <c r="AD148" s="80" t="s">
        <v>112</v>
      </c>
      <c r="AE148" s="80">
        <v>0.39272829541743776</v>
      </c>
      <c r="AF148" s="80">
        <v>0.39274949912494889</v>
      </c>
      <c r="AG148" s="80">
        <v>0.39277669082155048</v>
      </c>
      <c r="AH148" s="80">
        <v>0.39281154904622595</v>
      </c>
      <c r="AI148" s="80">
        <v>0.39285621481120087</v>
      </c>
      <c r="AJ148" s="80">
        <v>0.39291341383819184</v>
      </c>
      <c r="AK148" s="80">
        <v>0.39298660775462985</v>
      </c>
      <c r="AL148" s="80">
        <v>0.39308017891118902</v>
      </c>
      <c r="AM148" s="80">
        <v>0.39319965267919638</v>
      </c>
      <c r="AN148" s="80">
        <v>0.39335195887293961</v>
      </c>
      <c r="AO148" s="80">
        <v>0.39354572935256421</v>
      </c>
      <c r="AP148" s="80">
        <v>0.3937916204927806</v>
      </c>
      <c r="AQ148" s="80">
        <v>0.39410263515288174</v>
      </c>
      <c r="AR148" s="80">
        <v>0.39449439678256965</v>
      </c>
      <c r="AS148" s="80">
        <v>0.39498529622624473</v>
      </c>
      <c r="AT148" s="80">
        <v>0.39559638900750249</v>
      </c>
      <c r="AU148" s="80">
        <v>0.39635087088336213</v>
      </c>
      <c r="AV148" s="80">
        <v>0.39727291425653721</v>
      </c>
      <c r="AW148" s="80">
        <v>0.3983856336880276</v>
      </c>
      <c r="AX148" s="88">
        <v>0.39970800915468191</v>
      </c>
    </row>
    <row r="149" spans="1:50" x14ac:dyDescent="0.25">
      <c r="A149" s="356"/>
      <c r="B149" s="358" t="s">
        <v>18</v>
      </c>
      <c r="C149" s="353" t="s">
        <v>6</v>
      </c>
      <c r="D149" s="3" t="s">
        <v>7</v>
      </c>
      <c r="E149" s="162" t="str">
        <f>A133&amp;"/"&amp;B149&amp;"/"&amp;C149&amp;"/"&amp;D149</f>
        <v>Coal fired power plants/Fluidized bed combustion/Electricity only/L</v>
      </c>
      <c r="F149" s="77" t="str">
        <f>A133</f>
        <v>Coal fired power plants</v>
      </c>
      <c r="G149" s="77" t="str">
        <f>B149</f>
        <v>Fluidized bed combustion</v>
      </c>
      <c r="H149" s="77" t="str">
        <f>C149</f>
        <v>Electricity only</v>
      </c>
      <c r="I149" s="163" t="str">
        <f t="shared" si="78"/>
        <v>L</v>
      </c>
      <c r="J149" s="77">
        <v>0.42553191489361702</v>
      </c>
      <c r="K149" s="77">
        <v>0.42553761685019903</v>
      </c>
      <c r="L149" s="77">
        <v>0.42554457926647321</v>
      </c>
      <c r="M149" s="77">
        <v>0.42555308024428234</v>
      </c>
      <c r="N149" s="77">
        <v>0.42556345898309339</v>
      </c>
      <c r="O149" s="77">
        <v>0.4255761290743601</v>
      </c>
      <c r="P149" s="77">
        <v>0.42559159462539736</v>
      </c>
      <c r="Q149" s="77">
        <v>0.42561046978371037</v>
      </c>
      <c r="R149" s="77">
        <v>0.42563350233223401</v>
      </c>
      <c r="S149" s="77">
        <v>0.42566160213458842</v>
      </c>
      <c r="T149" s="77">
        <v>0.42569587532318981</v>
      </c>
      <c r="U149" s="77">
        <v>0.42573766523417578</v>
      </c>
      <c r="V149" s="77">
        <v>0.4257886011882196</v>
      </c>
      <c r="W149" s="77">
        <v>0.42585065627351998</v>
      </c>
      <c r="X149" s="77">
        <v>0.4259262152720199</v>
      </c>
      <c r="Y149" s="77">
        <v>0.42601815372945101</v>
      </c>
      <c r="Z149" s="77">
        <v>0.42612992882561379</v>
      </c>
      <c r="AA149" s="77">
        <v>0.42626568203958792</v>
      </c>
      <c r="AB149" s="77">
        <v>0.42643035246493682</v>
      </c>
      <c r="AC149" s="77">
        <v>0.42662979779370663</v>
      </c>
      <c r="AD149" s="77">
        <v>0.42687091716917375</v>
      </c>
      <c r="AE149" s="77">
        <v>0.42716176595368827</v>
      </c>
      <c r="AF149" s="77">
        <v>0.42751164657522112</v>
      </c>
      <c r="AG149" s="77">
        <v>0.42793115163742657</v>
      </c>
      <c r="AH149" s="77">
        <v>0.42843212521465812</v>
      </c>
      <c r="AI149" s="77">
        <v>0.42902749597704093</v>
      </c>
      <c r="AJ149" s="77">
        <v>0.4297309227026116</v>
      </c>
      <c r="AK149" s="77">
        <v>0.43055618165821524</v>
      </c>
      <c r="AL149" s="77">
        <v>0.43151622158495467</v>
      </c>
      <c r="AM149" s="77">
        <v>0.43262182419653894</v>
      </c>
      <c r="AN149" s="77">
        <v>0.43387984807261754</v>
      </c>
      <c r="AO149" s="77">
        <v>0.43529111478431082</v>
      </c>
      <c r="AP149" s="77">
        <v>0.43684812673132128</v>
      </c>
      <c r="AQ149" s="77">
        <v>0.43853297982355671</v>
      </c>
      <c r="AR149" s="77">
        <v>0.44031601408671917</v>
      </c>
      <c r="AS149" s="77">
        <v>0.44215585404475211</v>
      </c>
      <c r="AT149" s="77">
        <v>0.444001419323656</v>
      </c>
      <c r="AU149" s="77">
        <v>0.44579614053890559</v>
      </c>
      <c r="AV149" s="77">
        <v>0.4474840004138626</v>
      </c>
      <c r="AW149" s="77">
        <v>0.44901631045249579</v>
      </c>
      <c r="AX149" s="85">
        <v>0.45035765484478274</v>
      </c>
    </row>
    <row r="150" spans="1:50" x14ac:dyDescent="0.25">
      <c r="A150" s="356"/>
      <c r="B150" s="359"/>
      <c r="C150" s="350"/>
      <c r="D150" s="2" t="s">
        <v>8</v>
      </c>
      <c r="E150" s="160" t="str">
        <f>A133&amp;"/"&amp;B149&amp;"/"&amp;C149&amp;"/"&amp;D150</f>
        <v>Coal fired power plants/Fluidized bed combustion/Electricity only/M</v>
      </c>
      <c r="F150" s="76" t="str">
        <f>A133</f>
        <v>Coal fired power plants</v>
      </c>
      <c r="G150" s="76" t="str">
        <f>B149</f>
        <v>Fluidized bed combustion</v>
      </c>
      <c r="H150" s="76" t="str">
        <f>C149</f>
        <v>Electricity only</v>
      </c>
      <c r="I150" s="161" t="str">
        <f t="shared" si="78"/>
        <v>M</v>
      </c>
      <c r="J150" s="76">
        <v>0.40526849037487334</v>
      </c>
      <c r="K150" s="76">
        <v>0.40527922913396164</v>
      </c>
      <c r="L150" s="76">
        <v>0.40529201509107737</v>
      </c>
      <c r="M150" s="76">
        <v>0.40530723702700167</v>
      </c>
      <c r="N150" s="76">
        <v>0.40532535693232113</v>
      </c>
      <c r="O150" s="76">
        <v>0.4053469235325397</v>
      </c>
      <c r="P150" s="76">
        <v>0.40537258820242905</v>
      </c>
      <c r="Q150" s="76">
        <v>0.4054031236452561</v>
      </c>
      <c r="R150" s="76">
        <v>0.40543944575127994</v>
      </c>
      <c r="S150" s="76">
        <v>0.40548263908286308</v>
      </c>
      <c r="T150" s="76">
        <v>0.40553398645451705</v>
      </c>
      <c r="U150" s="76">
        <v>0.40559500307598151</v>
      </c>
      <c r="V150" s="76">
        <v>0.40566747569166095</v>
      </c>
      <c r="W150" s="76">
        <v>0.40575350706140051</v>
      </c>
      <c r="X150" s="76">
        <v>0.40585556595919703</v>
      </c>
      <c r="Y150" s="76">
        <v>0.40597654258186477</v>
      </c>
      <c r="Z150" s="76">
        <v>0.40611980881070697</v>
      </c>
      <c r="AA150" s="76">
        <v>0.40628928209335452</v>
      </c>
      <c r="AB150" s="76">
        <v>0.40648949073178775</v>
      </c>
      <c r="AC150" s="76">
        <v>0.40672563698265507</v>
      </c>
      <c r="AD150" s="76">
        <v>0.40700365249356246</v>
      </c>
      <c r="AE150" s="76">
        <v>0.40733023811261082</v>
      </c>
      <c r="AF150" s="76">
        <v>0.40771287694466646</v>
      </c>
      <c r="AG150" s="76">
        <v>0.40815980568680615</v>
      </c>
      <c r="AH150" s="76">
        <v>0.40867992490505084</v>
      </c>
      <c r="AI150" s="76">
        <v>0.40928262442129354</v>
      </c>
      <c r="AJ150" s="76">
        <v>0.40997749617737717</v>
      </c>
      <c r="AK150" s="76">
        <v>0.41077390522875312</v>
      </c>
      <c r="AL150" s="76">
        <v>0.41168039202440193</v>
      </c>
      <c r="AM150" s="76">
        <v>0.41270388874946123</v>
      </c>
      <c r="AN150" s="76">
        <v>0.41384875263336501</v>
      </c>
      <c r="AO150" s="76">
        <v>0.41511565281992624</v>
      </c>
      <c r="AP150" s="76">
        <v>0.41650039575409281</v>
      </c>
      <c r="AQ150" s="76">
        <v>0.41799283369751866</v>
      </c>
      <c r="AR150" s="76">
        <v>0.41957606124293073</v>
      </c>
      <c r="AS150" s="76">
        <v>0.42122614574614015</v>
      </c>
      <c r="AT150" s="76">
        <v>0.42291263234641624</v>
      </c>
      <c r="AU150" s="76">
        <v>0.42459998643491947</v>
      </c>
      <c r="AV150" s="76">
        <v>0.42624997538097847</v>
      </c>
      <c r="AW150" s="76">
        <v>0.42782476841403438</v>
      </c>
      <c r="AX150" s="84">
        <v>0.42929030922413941</v>
      </c>
    </row>
    <row r="151" spans="1:50" x14ac:dyDescent="0.25">
      <c r="A151" s="356"/>
      <c r="B151" s="359"/>
      <c r="C151" s="360"/>
      <c r="D151" s="2" t="s">
        <v>10</v>
      </c>
      <c r="E151" s="160" t="str">
        <f>A133&amp;"/"&amp;B149&amp;"/"&amp;C149&amp;"/"&amp;D151</f>
        <v>Coal fired power plants/Fluidized bed combustion/Electricity only/S</v>
      </c>
      <c r="F151" s="76" t="str">
        <f>A133</f>
        <v>Coal fired power plants</v>
      </c>
      <c r="G151" s="76" t="str">
        <f>B149</f>
        <v>Fluidized bed combustion</v>
      </c>
      <c r="H151" s="76" t="str">
        <f>C149</f>
        <v>Electricity only</v>
      </c>
      <c r="I151" s="161" t="str">
        <f t="shared" si="78"/>
        <v>S</v>
      </c>
      <c r="J151" s="76">
        <v>0.38596999083321265</v>
      </c>
      <c r="K151" s="76">
        <v>0.3859926042024594</v>
      </c>
      <c r="L151" s="76">
        <v>0.38601885089791932</v>
      </c>
      <c r="M151" s="76">
        <v>0.38604930976457164</v>
      </c>
      <c r="N151" s="76">
        <v>0.38608465014893617</v>
      </c>
      <c r="O151" s="76">
        <v>0.38612564544927519</v>
      </c>
      <c r="P151" s="76">
        <v>0.38617318848360582</v>
      </c>
      <c r="Q151" s="76">
        <v>0.38622830884318643</v>
      </c>
      <c r="R151" s="76">
        <v>0.38629219238462936</v>
      </c>
      <c r="S151" s="76">
        <v>0.38636620298380969</v>
      </c>
      <c r="T151" s="76">
        <v>0.38645190662298184</v>
      </c>
      <c r="U151" s="76">
        <v>0.3865510978007427</v>
      </c>
      <c r="V151" s="76">
        <v>0.38666582813211187</v>
      </c>
      <c r="W151" s="76">
        <v>0.38679843682970932</v>
      </c>
      <c r="X151" s="76">
        <v>0.38695158251037642</v>
      </c>
      <c r="Y151" s="76">
        <v>0.3871282754349975</v>
      </c>
      <c r="Z151" s="76">
        <v>0.38733190884019592</v>
      </c>
      <c r="AA151" s="76">
        <v>0.38756628743458271</v>
      </c>
      <c r="AB151" s="76">
        <v>0.38783565038530826</v>
      </c>
      <c r="AC151" s="76">
        <v>0.38814468519328449</v>
      </c>
      <c r="AD151" s="76">
        <v>0.38849852773964316</v>
      </c>
      <c r="AE151" s="76">
        <v>0.38890274249611673</v>
      </c>
      <c r="AF151" s="76">
        <v>0.38936327548069188</v>
      </c>
      <c r="AG151" s="76">
        <v>0.38988637111973257</v>
      </c>
      <c r="AH151" s="76">
        <v>0.3904784429490824</v>
      </c>
      <c r="AI151" s="76">
        <v>0.39114588736862665</v>
      </c>
      <c r="AJ151" s="76">
        <v>0.39189482992427072</v>
      </c>
      <c r="AK151" s="76">
        <v>0.39273079545690692</v>
      </c>
      <c r="AL151" s="76">
        <v>0.39365829769842026</v>
      </c>
      <c r="AM151" s="76">
        <v>0.39468035133106522</v>
      </c>
      <c r="AN151" s="76">
        <v>0.39579792084038518</v>
      </c>
      <c r="AO151" s="76">
        <v>0.39700933589891674</v>
      </c>
      <c r="AP151" s="76">
        <v>0.39830972180345636</v>
      </c>
      <c r="AQ151" s="76">
        <v>0.39969051347401702</v>
      </c>
      <c r="AR151" s="76">
        <v>0.40113913864686368</v>
      </c>
      <c r="AS151" s="76">
        <v>0.40263896423293843</v>
      </c>
      <c r="AT151" s="76">
        <v>0.40416959243924228</v>
      </c>
      <c r="AU151" s="76">
        <v>0.40570756423041354</v>
      </c>
      <c r="AV151" s="76">
        <v>0.40722747508981272</v>
      </c>
      <c r="AW151" s="76">
        <v>0.40870343692965649</v>
      </c>
      <c r="AX151" s="84">
        <v>0.41011074403539705</v>
      </c>
    </row>
    <row r="152" spans="1:50" x14ac:dyDescent="0.25">
      <c r="A152" s="356"/>
      <c r="B152" s="359"/>
      <c r="C152" s="361" t="s">
        <v>14</v>
      </c>
      <c r="D152" s="58" t="s">
        <v>7</v>
      </c>
      <c r="E152" s="164" t="str">
        <f>A133&amp;"/"&amp;B149&amp;"/"&amp;C152&amp;"/"&amp;D152</f>
        <v>Coal fired power plants/Fluidized bed combustion/CHP/L</v>
      </c>
      <c r="F152" s="78" t="str">
        <f>A133</f>
        <v>Coal fired power plants</v>
      </c>
      <c r="G152" s="78" t="str">
        <f>B149</f>
        <v>Fluidized bed combustion</v>
      </c>
      <c r="H152" s="78" t="str">
        <f>C152</f>
        <v>CHP</v>
      </c>
      <c r="I152" s="165" t="str">
        <f t="shared" si="78"/>
        <v>L</v>
      </c>
      <c r="J152" s="78">
        <v>0.38684719535783357</v>
      </c>
      <c r="K152" s="78">
        <v>0.38684891217687345</v>
      </c>
      <c r="L152" s="78">
        <v>0.38685100888120227</v>
      </c>
      <c r="M152" s="78">
        <v>0.3868535694687521</v>
      </c>
      <c r="N152" s="78">
        <v>0.38685669648090543</v>
      </c>
      <c r="O152" s="78">
        <v>0.38686051508157726</v>
      </c>
      <c r="P152" s="78">
        <v>0.38686517802641601</v>
      </c>
      <c r="Q152" s="78">
        <v>0.38687087171282492</v>
      </c>
      <c r="R152" s="78">
        <v>0.38687782354061045</v>
      </c>
      <c r="S152" s="78">
        <v>0.38688631085931063</v>
      </c>
      <c r="T152" s="78">
        <v>0.38689667183248627</v>
      </c>
      <c r="U152" s="78">
        <v>0.38690931861215566</v>
      </c>
      <c r="V152" s="78">
        <v>0.38692475328843412</v>
      </c>
      <c r="W152" s="78">
        <v>0.3869435871599336</v>
      </c>
      <c r="X152" s="78">
        <v>0.38696656395802426</v>
      </c>
      <c r="Y152" s="78">
        <v>0.38699458774916778</v>
      </c>
      <c r="Z152" s="78">
        <v>0.38702875632761857</v>
      </c>
      <c r="AA152" s="78">
        <v>0.38707040098455203</v>
      </c>
      <c r="AB152" s="78">
        <v>0.38712113358067285</v>
      </c>
      <c r="AC152" s="78">
        <v>0.38718290182863985</v>
      </c>
      <c r="AD152" s="78">
        <v>0.38725805356515974</v>
      </c>
      <c r="AE152" s="78">
        <v>0.38734941049499011</v>
      </c>
      <c r="AF152" s="78">
        <v>0.38746035132602336</v>
      </c>
      <c r="AG152" s="78">
        <v>0.38759490325364976</v>
      </c>
      <c r="AH152" s="78">
        <v>0.38775783921408091</v>
      </c>
      <c r="AI152" s="78">
        <v>0.38795477597701422</v>
      </c>
      <c r="AJ152" s="78">
        <v>0.38819226470367396</v>
      </c>
      <c r="AK152" s="78">
        <v>0.38847786074405743</v>
      </c>
      <c r="AL152" s="78">
        <v>0.38882015290736999</v>
      </c>
      <c r="AM152" s="78">
        <v>0.38922872409504966</v>
      </c>
      <c r="AN152" s="78">
        <v>0.38971400531991846</v>
      </c>
      <c r="AO152" s="78">
        <v>0.39028697482099645</v>
      </c>
      <c r="AP152" s="78">
        <v>0.39095864564731858</v>
      </c>
      <c r="AQ152" s="78">
        <v>0.39173928318637147</v>
      </c>
      <c r="AR152" s="78">
        <v>0.39263730571174532</v>
      </c>
      <c r="AS152" s="78">
        <v>0.39365785564873307</v>
      </c>
      <c r="AT152" s="78">
        <v>0.39480109706009142</v>
      </c>
      <c r="AU152" s="78">
        <v>0.39606040170045897</v>
      </c>
      <c r="AV152" s="78">
        <v>0.39742072458168337</v>
      </c>
      <c r="AW152" s="78">
        <v>0.3988576085725295</v>
      </c>
      <c r="AX152" s="86">
        <v>0.40033733276022154</v>
      </c>
    </row>
    <row r="153" spans="1:50" x14ac:dyDescent="0.25">
      <c r="A153" s="356"/>
      <c r="B153" s="359"/>
      <c r="C153" s="350"/>
      <c r="D153" s="2" t="s">
        <v>8</v>
      </c>
      <c r="E153" s="160" t="str">
        <f>A133&amp;"/"&amp;B149&amp;"/"&amp;C152&amp;"/"&amp;D153</f>
        <v>Coal fired power plants/Fluidized bed combustion/CHP/M</v>
      </c>
      <c r="F153" s="76" t="str">
        <f>A133</f>
        <v>Coal fired power plants</v>
      </c>
      <c r="G153" s="76" t="str">
        <f>B149</f>
        <v>Fluidized bed combustion</v>
      </c>
      <c r="H153" s="76" t="str">
        <f>C152</f>
        <v>CHP</v>
      </c>
      <c r="I153" s="161" t="str">
        <f t="shared" si="78"/>
        <v>M</v>
      </c>
      <c r="J153" s="76">
        <v>0.36842590034079392</v>
      </c>
      <c r="K153" s="76">
        <v>0.36842960253024637</v>
      </c>
      <c r="L153" s="76">
        <v>0.36843401178648583</v>
      </c>
      <c r="M153" s="76">
        <v>0.36843926293022722</v>
      </c>
      <c r="N153" s="76">
        <v>0.36844551639747569</v>
      </c>
      <c r="O153" s="76">
        <v>0.36845296306786468</v>
      </c>
      <c r="P153" s="76">
        <v>0.36846182998698962</v>
      </c>
      <c r="Q153" s="76">
        <v>0.36847238714147462</v>
      </c>
      <c r="R153" s="76">
        <v>0.36848495547081039</v>
      </c>
      <c r="S153" s="76">
        <v>0.36849991632805046</v>
      </c>
      <c r="T153" s="76">
        <v>0.36851772263195065</v>
      </c>
      <c r="U153" s="76">
        <v>0.36853891198537558</v>
      </c>
      <c r="V153" s="76">
        <v>0.36856412206745831</v>
      </c>
      <c r="W153" s="76">
        <v>0.36859410863793413</v>
      </c>
      <c r="X153" s="76">
        <v>0.36862976651779944</v>
      </c>
      <c r="Y153" s="76">
        <v>0.36867215392573693</v>
      </c>
      <c r="Z153" s="76">
        <v>0.36872252054679105</v>
      </c>
      <c r="AA153" s="76">
        <v>0.36878233967731106</v>
      </c>
      <c r="AB153" s="76">
        <v>0.36885334471220255</v>
      </c>
      <c r="AC153" s="76">
        <v>0.36893757009484685</v>
      </c>
      <c r="AD153" s="76">
        <v>0.36903739660643764</v>
      </c>
      <c r="AE153" s="76">
        <v>0.36915560048982426</v>
      </c>
      <c r="AF153" s="76">
        <v>0.36929540533141103</v>
      </c>
      <c r="AG153" s="76">
        <v>0.36946053479875884</v>
      </c>
      <c r="AH153" s="76">
        <v>0.3696552631749549</v>
      </c>
      <c r="AI153" s="76">
        <v>0.36988445906009049</v>
      </c>
      <c r="AJ153" s="76">
        <v>0.37015361554594772</v>
      </c>
      <c r="AK153" s="76">
        <v>0.37046885755937248</v>
      </c>
      <c r="AL153" s="76">
        <v>0.37083691392552331</v>
      </c>
      <c r="AM153" s="76">
        <v>0.3712650381653928</v>
      </c>
      <c r="AN153" s="76">
        <v>0.37176085847434931</v>
      </c>
      <c r="AO153" s="76">
        <v>0.3723321344340062</v>
      </c>
      <c r="AP153" s="76">
        <v>0.3729863969727289</v>
      </c>
      <c r="AQ153" s="76">
        <v>0.37373045068692079</v>
      </c>
      <c r="AR153" s="76">
        <v>0.37456972623281171</v>
      </c>
      <c r="AS153" s="76">
        <v>0.37550748779039328</v>
      </c>
      <c r="AT153" s="76">
        <v>0.3765439288807379</v>
      </c>
      <c r="AU153" s="76">
        <v>0.37767522960205052</v>
      </c>
      <c r="AV153" s="76">
        <v>0.37889269635324552</v>
      </c>
      <c r="AW153" s="76">
        <v>0.38018215204797468</v>
      </c>
      <c r="AX153" s="84">
        <v>0.38152377426526668</v>
      </c>
    </row>
    <row r="154" spans="1:50" x14ac:dyDescent="0.25">
      <c r="A154" s="356"/>
      <c r="B154" s="359"/>
      <c r="C154" s="360"/>
      <c r="D154" s="59" t="s">
        <v>10</v>
      </c>
      <c r="E154" s="166" t="str">
        <f>A133&amp;"/"&amp;B149&amp;"/"&amp;C152&amp;"/"&amp;D154</f>
        <v>Coal fired power plants/Fluidized bed combustion/CHP/S</v>
      </c>
      <c r="F154" s="79" t="str">
        <f>A133</f>
        <v>Coal fired power plants</v>
      </c>
      <c r="G154" s="79" t="str">
        <f>B149</f>
        <v>Fluidized bed combustion</v>
      </c>
      <c r="H154" s="79" t="str">
        <f>C152</f>
        <v>CHP</v>
      </c>
      <c r="I154" s="167" t="str">
        <f t="shared" si="78"/>
        <v>S</v>
      </c>
      <c r="J154" s="79">
        <v>0.35088180984837514</v>
      </c>
      <c r="K154" s="79">
        <v>0.35089072412367456</v>
      </c>
      <c r="L154" s="79">
        <v>0.35090107601862136</v>
      </c>
      <c r="M154" s="79">
        <v>0.35091309643897772</v>
      </c>
      <c r="N154" s="79">
        <v>0.35092705304905814</v>
      </c>
      <c r="O154" s="79">
        <v>0.35094325600853443</v>
      </c>
      <c r="P154" s="79">
        <v>0.35096206456427459</v>
      </c>
      <c r="Q154" s="79">
        <v>0.350983894610363</v>
      </c>
      <c r="R154" s="79">
        <v>0.35100922733918472</v>
      </c>
      <c r="S154" s="79">
        <v>0.35103861911490875</v>
      </c>
      <c r="T154" s="79">
        <v>0.35107271270674278</v>
      </c>
      <c r="U154" s="79">
        <v>0.3511122500213617</v>
      </c>
      <c r="V154" s="79">
        <v>0.35115808646973201</v>
      </c>
      <c r="W154" s="79">
        <v>0.3512112070901624</v>
      </c>
      <c r="X154" s="79">
        <v>0.35127274452276802</v>
      </c>
      <c r="Y154" s="79">
        <v>0.3513439988853293</v>
      </c>
      <c r="Z154" s="79">
        <v>0.3514264595297964</v>
      </c>
      <c r="AA154" s="79">
        <v>0.35152182855356284</v>
      </c>
      <c r="AB154" s="79">
        <v>0.35163204578895363</v>
      </c>
      <c r="AC154" s="79">
        <v>0.35175931478447064</v>
      </c>
      <c r="AD154" s="79">
        <v>0.35190612900599783</v>
      </c>
      <c r="AE154" s="79">
        <v>0.35207529710690794</v>
      </c>
      <c r="AF154" s="79">
        <v>0.35226996562309504</v>
      </c>
      <c r="AG154" s="79">
        <v>0.35249363682340701</v>
      </c>
      <c r="AH154" s="79">
        <v>0.35275017867325109</v>
      </c>
      <c r="AI154" s="79">
        <v>0.35304382294525427</v>
      </c>
      <c r="AJ154" s="79">
        <v>0.35337914645158519</v>
      </c>
      <c r="AK154" s="79">
        <v>0.35376102922694402</v>
      </c>
      <c r="AL154" s="79">
        <v>0.35419458235984203</v>
      </c>
      <c r="AM154" s="79">
        <v>0.35468503722722905</v>
      </c>
      <c r="AN154" s="79">
        <v>0.35523758740730071</v>
      </c>
      <c r="AO154" s="79">
        <v>0.35585717492131969</v>
      </c>
      <c r="AP154" s="79">
        <v>0.35654821420913874</v>
      </c>
      <c r="AQ154" s="79">
        <v>0.35731425099956754</v>
      </c>
      <c r="AR154" s="79">
        <v>0.35815755964204155</v>
      </c>
      <c r="AS154" s="79">
        <v>0.35907869202025378</v>
      </c>
      <c r="AT154" s="79">
        <v>0.36007600394927192</v>
      </c>
      <c r="AU154" s="79">
        <v>0.36114520024220415</v>
      </c>
      <c r="AV154" s="79">
        <v>0.36227895548250816</v>
      </c>
      <c r="AW154" s="79">
        <v>0.36346668051017111</v>
      </c>
      <c r="AX154" s="87">
        <v>0.36469450987409424</v>
      </c>
    </row>
    <row r="155" spans="1:50" x14ac:dyDescent="0.25">
      <c r="A155" s="356"/>
      <c r="B155" s="359"/>
      <c r="C155" s="361" t="s">
        <v>15</v>
      </c>
      <c r="D155" s="58" t="s">
        <v>7</v>
      </c>
      <c r="E155" s="164" t="str">
        <f>A133&amp;"/"&amp;B149&amp;"/"&amp;C155&amp;"/"&amp;D155</f>
        <v>Coal fired power plants/Fluidized bed combustion/Electricity only with CCS/L</v>
      </c>
      <c r="F155" s="78" t="str">
        <f>A133</f>
        <v>Coal fired power plants</v>
      </c>
      <c r="G155" s="78" t="str">
        <f>B149</f>
        <v>Fluidized bed combustion</v>
      </c>
      <c r="H155" s="78" t="str">
        <f>C155</f>
        <v>Electricity only with CCS</v>
      </c>
      <c r="I155" s="165" t="str">
        <f t="shared" si="78"/>
        <v>L</v>
      </c>
      <c r="J155" s="78" t="s">
        <v>112</v>
      </c>
      <c r="K155" s="78" t="s">
        <v>112</v>
      </c>
      <c r="L155" s="78" t="s">
        <v>112</v>
      </c>
      <c r="M155" s="78" t="s">
        <v>112</v>
      </c>
      <c r="N155" s="78" t="s">
        <v>112</v>
      </c>
      <c r="O155" s="78" t="s">
        <v>112</v>
      </c>
      <c r="P155" s="78" t="s">
        <v>112</v>
      </c>
      <c r="Q155" s="78" t="s">
        <v>112</v>
      </c>
      <c r="R155" s="78" t="s">
        <v>112</v>
      </c>
      <c r="S155" s="78" t="s">
        <v>112</v>
      </c>
      <c r="T155" s="78" t="s">
        <v>112</v>
      </c>
      <c r="U155" s="78" t="s">
        <v>112</v>
      </c>
      <c r="V155" s="78" t="s">
        <v>112</v>
      </c>
      <c r="W155" s="78" t="s">
        <v>112</v>
      </c>
      <c r="X155" s="78" t="s">
        <v>112</v>
      </c>
      <c r="Y155" s="78" t="s">
        <v>112</v>
      </c>
      <c r="Z155" s="78" t="s">
        <v>112</v>
      </c>
      <c r="AA155" s="78" t="s">
        <v>112</v>
      </c>
      <c r="AB155" s="78" t="s">
        <v>112</v>
      </c>
      <c r="AC155" s="78" t="s">
        <v>112</v>
      </c>
      <c r="AD155" s="78" t="s">
        <v>112</v>
      </c>
      <c r="AE155" s="78">
        <v>0.40538648431875773</v>
      </c>
      <c r="AF155" s="78">
        <v>0.40541992035612556</v>
      </c>
      <c r="AG155" s="78">
        <v>0.4054628031082122</v>
      </c>
      <c r="AH155" s="78">
        <v>0.40551778341997846</v>
      </c>
      <c r="AI155" s="78">
        <v>0.40558824428605084</v>
      </c>
      <c r="AJ155" s="78">
        <v>0.40567849552384483</v>
      </c>
      <c r="AK155" s="78">
        <v>0.40579401533592968</v>
      </c>
      <c r="AL155" s="78">
        <v>0.40594174685783457</v>
      </c>
      <c r="AM155" s="78">
        <v>0.40613045694860933</v>
      </c>
      <c r="AN155" s="78">
        <v>0.40637116163376763</v>
      </c>
      <c r="AO155" s="78">
        <v>0.40667761631030797</v>
      </c>
      <c r="AP155" s="78">
        <v>0.4070668569258733</v>
      </c>
      <c r="AQ155" s="78">
        <v>0.40755975786573845</v>
      </c>
      <c r="AR155" s="78">
        <v>0.40818153947164321</v>
      </c>
      <c r="AS155" s="78">
        <v>0.40896210906319369</v>
      </c>
      <c r="AT155" s="78">
        <v>0.40993605168695463</v>
      </c>
      <c r="AU155" s="78">
        <v>0.41114200349287899</v>
      </c>
      <c r="AV155" s="78">
        <v>0.4126210563270612</v>
      </c>
      <c r="AW155" s="78">
        <v>0.41441379253437749</v>
      </c>
      <c r="AX155" s="86">
        <v>0.41655559942493614</v>
      </c>
    </row>
    <row r="156" spans="1:50" x14ac:dyDescent="0.25">
      <c r="A156" s="356"/>
      <c r="B156" s="359"/>
      <c r="C156" s="360"/>
      <c r="D156" s="59" t="s">
        <v>8</v>
      </c>
      <c r="E156" s="166" t="str">
        <f>A133&amp;"/"&amp;B149&amp;"/"&amp;C155&amp;"/"&amp;D156</f>
        <v>Coal fired power plants/Fluidized bed combustion/Electricity only with CCS/M</v>
      </c>
      <c r="F156" s="79" t="str">
        <f>A133</f>
        <v>Coal fired power plants</v>
      </c>
      <c r="G156" s="79" t="str">
        <f>B149</f>
        <v>Fluidized bed combustion</v>
      </c>
      <c r="H156" s="79" t="str">
        <f>C155</f>
        <v>Electricity only with CCS</v>
      </c>
      <c r="I156" s="167" t="str">
        <f t="shared" si="78"/>
        <v>M</v>
      </c>
      <c r="J156" s="79" t="s">
        <v>112</v>
      </c>
      <c r="K156" s="79" t="s">
        <v>112</v>
      </c>
      <c r="L156" s="79" t="s">
        <v>112</v>
      </c>
      <c r="M156" s="79" t="s">
        <v>112</v>
      </c>
      <c r="N156" s="79" t="s">
        <v>112</v>
      </c>
      <c r="O156" s="79" t="s">
        <v>112</v>
      </c>
      <c r="P156" s="79" t="s">
        <v>112</v>
      </c>
      <c r="Q156" s="79" t="s">
        <v>112</v>
      </c>
      <c r="R156" s="79" t="s">
        <v>112</v>
      </c>
      <c r="S156" s="79" t="s">
        <v>112</v>
      </c>
      <c r="T156" s="79" t="s">
        <v>112</v>
      </c>
      <c r="U156" s="79" t="s">
        <v>112</v>
      </c>
      <c r="V156" s="79" t="s">
        <v>112</v>
      </c>
      <c r="W156" s="79" t="s">
        <v>112</v>
      </c>
      <c r="X156" s="79" t="s">
        <v>112</v>
      </c>
      <c r="Y156" s="79" t="s">
        <v>112</v>
      </c>
      <c r="Z156" s="79" t="s">
        <v>112</v>
      </c>
      <c r="AA156" s="79" t="s">
        <v>112</v>
      </c>
      <c r="AB156" s="79" t="s">
        <v>112</v>
      </c>
      <c r="AC156" s="79" t="s">
        <v>112</v>
      </c>
      <c r="AD156" s="79" t="s">
        <v>112</v>
      </c>
      <c r="AE156" s="79">
        <v>0.3860903982434708</v>
      </c>
      <c r="AF156" s="79">
        <v>0.38612452016095328</v>
      </c>
      <c r="AG156" s="79">
        <v>0.38616828385219387</v>
      </c>
      <c r="AH156" s="79">
        <v>0.38622439572252293</v>
      </c>
      <c r="AI156" s="79">
        <v>0.38629631020530897</v>
      </c>
      <c r="AJ156" s="79">
        <v>0.38638842900278375</v>
      </c>
      <c r="AK156" s="79">
        <v>0.38650634854483845</v>
      </c>
      <c r="AL156" s="79">
        <v>0.38665716415312984</v>
      </c>
      <c r="AM156" s="79">
        <v>0.38684983867194961</v>
      </c>
      <c r="AN156" s="79">
        <v>0.38709564061879825</v>
      </c>
      <c r="AO156" s="79">
        <v>0.38740865076960856</v>
      </c>
      <c r="AP156" s="79">
        <v>0.38780632436316737</v>
      </c>
      <c r="AQ156" s="79">
        <v>0.38831007575496651</v>
      </c>
      <c r="AR156" s="79">
        <v>0.38894581951128865</v>
      </c>
      <c r="AS156" s="79">
        <v>0.38974435247168537</v>
      </c>
      <c r="AT156" s="79">
        <v>0.3907413924547477</v>
      </c>
      <c r="AU156" s="79">
        <v>0.3919770032519051</v>
      </c>
      <c r="AV156" s="79">
        <v>0.39349404603749255</v>
      </c>
      <c r="AW156" s="79">
        <v>0.39533523893224454</v>
      </c>
      <c r="AX156" s="87">
        <v>0.39753844417806861</v>
      </c>
    </row>
    <row r="157" spans="1:50" x14ac:dyDescent="0.25">
      <c r="A157" s="356"/>
      <c r="B157" s="359"/>
      <c r="C157" s="361" t="s">
        <v>16</v>
      </c>
      <c r="D157" s="2" t="s">
        <v>7</v>
      </c>
      <c r="E157" s="160" t="str">
        <f>A133&amp;"/"&amp;B149&amp;"/"&amp;C157&amp;"/"&amp;D157</f>
        <v>Coal fired power plants/Fluidized bed combustion/CHP with CCS/L</v>
      </c>
      <c r="F157" s="76" t="str">
        <f>A133</f>
        <v>Coal fired power plants</v>
      </c>
      <c r="G157" s="76" t="str">
        <f>B149</f>
        <v>Fluidized bed combustion</v>
      </c>
      <c r="H157" s="76" t="str">
        <f>C157</f>
        <v>CHP with CCS</v>
      </c>
      <c r="I157" s="161" t="str">
        <f t="shared" si="78"/>
        <v>L</v>
      </c>
      <c r="J157" s="76" t="s">
        <v>112</v>
      </c>
      <c r="K157" s="76" t="s">
        <v>112</v>
      </c>
      <c r="L157" s="76" t="s">
        <v>112</v>
      </c>
      <c r="M157" s="76" t="s">
        <v>112</v>
      </c>
      <c r="N157" s="76" t="s">
        <v>112</v>
      </c>
      <c r="O157" s="76" t="s">
        <v>112</v>
      </c>
      <c r="P157" s="76" t="s">
        <v>112</v>
      </c>
      <c r="Q157" s="76" t="s">
        <v>112</v>
      </c>
      <c r="R157" s="76" t="s">
        <v>112</v>
      </c>
      <c r="S157" s="76" t="s">
        <v>112</v>
      </c>
      <c r="T157" s="76" t="s">
        <v>112</v>
      </c>
      <c r="U157" s="76" t="s">
        <v>112</v>
      </c>
      <c r="V157" s="76" t="s">
        <v>112</v>
      </c>
      <c r="W157" s="76" t="s">
        <v>112</v>
      </c>
      <c r="X157" s="76" t="s">
        <v>112</v>
      </c>
      <c r="Y157" s="76" t="s">
        <v>112</v>
      </c>
      <c r="Z157" s="76" t="s">
        <v>112</v>
      </c>
      <c r="AA157" s="76" t="s">
        <v>112</v>
      </c>
      <c r="AB157" s="76" t="s">
        <v>112</v>
      </c>
      <c r="AC157" s="76" t="s">
        <v>112</v>
      </c>
      <c r="AD157" s="76" t="s">
        <v>112</v>
      </c>
      <c r="AE157" s="76">
        <v>0.36851783538695759</v>
      </c>
      <c r="AF157" s="76">
        <v>0.36854388407973226</v>
      </c>
      <c r="AG157" s="76">
        <v>0.36857729038525422</v>
      </c>
      <c r="AH157" s="76">
        <v>0.36862011766671965</v>
      </c>
      <c r="AI157" s="76">
        <v>0.36867499836521284</v>
      </c>
      <c r="AJ157" s="76">
        <v>0.36874528478686969</v>
      </c>
      <c r="AK157" s="76">
        <v>0.36883523586167877</v>
      </c>
      <c r="AL157" s="76">
        <v>0.36895024584022268</v>
      </c>
      <c r="AM157" s="76">
        <v>0.36909712004500522</v>
      </c>
      <c r="AN157" s="76">
        <v>0.36928440027828008</v>
      </c>
      <c r="AO157" s="76">
        <v>0.36952273714666145</v>
      </c>
      <c r="AP157" s="76">
        <v>0.36982529668739761</v>
      </c>
      <c r="AQ157" s="76">
        <v>0.37020817193778405</v>
      </c>
      <c r="AR157" s="76">
        <v>0.37069074362287097</v>
      </c>
      <c r="AS157" s="76">
        <v>0.37129589514523981</v>
      </c>
      <c r="AT157" s="76">
        <v>0.37204993430994249</v>
      </c>
      <c r="AU157" s="76">
        <v>0.37298201115570767</v>
      </c>
      <c r="AV157" s="76">
        <v>0.37412276129888367</v>
      </c>
      <c r="AW157" s="76">
        <v>0.37550187773658766</v>
      </c>
      <c r="AX157" s="84">
        <v>0.3771443740929919</v>
      </c>
    </row>
    <row r="158" spans="1:50" x14ac:dyDescent="0.25">
      <c r="A158" s="356"/>
      <c r="B158" s="362"/>
      <c r="C158" s="354"/>
      <c r="D158" s="4" t="s">
        <v>8</v>
      </c>
      <c r="E158" s="168" t="str">
        <f>A133&amp;"/"&amp;B149&amp;"/"&amp;C157&amp;"/"&amp;D158</f>
        <v>Coal fired power plants/Fluidized bed combustion/CHP with CCS/M</v>
      </c>
      <c r="F158" s="80" t="str">
        <f>A133</f>
        <v>Coal fired power plants</v>
      </c>
      <c r="G158" s="80" t="str">
        <f>B149</f>
        <v>Fluidized bed combustion</v>
      </c>
      <c r="H158" s="80" t="str">
        <f>C157</f>
        <v>CHP with CCS</v>
      </c>
      <c r="I158" s="169" t="str">
        <f t="shared" si="78"/>
        <v>M</v>
      </c>
      <c r="J158" s="80" t="s">
        <v>112</v>
      </c>
      <c r="K158" s="80" t="s">
        <v>112</v>
      </c>
      <c r="L158" s="80" t="s">
        <v>112</v>
      </c>
      <c r="M158" s="80" t="s">
        <v>112</v>
      </c>
      <c r="N158" s="80" t="s">
        <v>112</v>
      </c>
      <c r="O158" s="80" t="s">
        <v>112</v>
      </c>
      <c r="P158" s="80" t="s">
        <v>112</v>
      </c>
      <c r="Q158" s="80" t="s">
        <v>112</v>
      </c>
      <c r="R158" s="80" t="s">
        <v>112</v>
      </c>
      <c r="S158" s="80" t="s">
        <v>112</v>
      </c>
      <c r="T158" s="80" t="s">
        <v>112</v>
      </c>
      <c r="U158" s="80" t="s">
        <v>112</v>
      </c>
      <c r="V158" s="80" t="s">
        <v>112</v>
      </c>
      <c r="W158" s="80" t="s">
        <v>112</v>
      </c>
      <c r="X158" s="80" t="s">
        <v>112</v>
      </c>
      <c r="Y158" s="80" t="s">
        <v>112</v>
      </c>
      <c r="Z158" s="80" t="s">
        <v>112</v>
      </c>
      <c r="AA158" s="80" t="s">
        <v>112</v>
      </c>
      <c r="AB158" s="80" t="s">
        <v>112</v>
      </c>
      <c r="AC158" s="80" t="s">
        <v>112</v>
      </c>
      <c r="AD158" s="80" t="s">
        <v>112</v>
      </c>
      <c r="AE158" s="80">
        <v>0.35097666774210778</v>
      </c>
      <c r="AF158" s="80">
        <v>0.35100354614353174</v>
      </c>
      <c r="AG158" s="80">
        <v>0.35103801751923647</v>
      </c>
      <c r="AH158" s="80">
        <v>0.35108221188624039</v>
      </c>
      <c r="AI158" s="80">
        <v>0.3511388471419134</v>
      </c>
      <c r="AJ158" s="80">
        <v>0.35121138510512845</v>
      </c>
      <c r="AK158" s="80">
        <v>0.35130422496228314</v>
      </c>
      <c r="AL158" s="80">
        <v>0.35142294045010447</v>
      </c>
      <c r="AM158" s="80">
        <v>0.35157456633114287</v>
      </c>
      <c r="AN158" s="80">
        <v>0.35176793727492478</v>
      </c>
      <c r="AO158" s="80">
        <v>0.35201407696778714</v>
      </c>
      <c r="AP158" s="80">
        <v>0.35232662539366383</v>
      </c>
      <c r="AQ158" s="80">
        <v>0.3527222753516811</v>
      </c>
      <c r="AR158" s="80">
        <v>0.35322116242133639</v>
      </c>
      <c r="AS158" s="80">
        <v>0.35384711273014768</v>
      </c>
      <c r="AT158" s="80">
        <v>0.35462759843637348</v>
      </c>
      <c r="AU158" s="80">
        <v>0.3555931847572163</v>
      </c>
      <c r="AV158" s="80">
        <v>0.35677618748172074</v>
      </c>
      <c r="AW158" s="80">
        <v>0.35820822627773574</v>
      </c>
      <c r="AX158" s="88">
        <v>0.35991641042290173</v>
      </c>
    </row>
    <row r="159" spans="1:50" x14ac:dyDescent="0.25">
      <c r="A159" s="356"/>
      <c r="B159" s="358" t="s">
        <v>19</v>
      </c>
      <c r="C159" s="353" t="s">
        <v>6</v>
      </c>
      <c r="D159" s="3" t="s">
        <v>7</v>
      </c>
      <c r="E159" s="162" t="str">
        <f>A133&amp;"/"&amp;B159&amp;"/"&amp;C159&amp;"/"&amp;D159</f>
        <v>Coal fired power plants/Steam turbine/Electricity only/L</v>
      </c>
      <c r="F159" s="77" t="str">
        <f>A133</f>
        <v>Coal fired power plants</v>
      </c>
      <c r="G159" s="77" t="str">
        <f>B159</f>
        <v>Steam turbine</v>
      </c>
      <c r="H159" s="77" t="str">
        <f>C159</f>
        <v>Electricity only</v>
      </c>
      <c r="I159" s="163" t="str">
        <f t="shared" si="78"/>
        <v>L</v>
      </c>
      <c r="J159" s="77">
        <v>0.44444444444444442</v>
      </c>
      <c r="K159" s="77">
        <v>0.4446023758926147</v>
      </c>
      <c r="L159" s="77">
        <v>0.44476017516067401</v>
      </c>
      <c r="M159" s="77">
        <v>0.44491776141373879</v>
      </c>
      <c r="N159" s="77">
        <v>0.44507505460011354</v>
      </c>
      <c r="O159" s="77">
        <v>0.44523197560281302</v>
      </c>
      <c r="P159" s="77">
        <v>0.4453884463863283</v>
      </c>
      <c r="Q159" s="77">
        <v>0.44554439013811087</v>
      </c>
      <c r="R159" s="77">
        <v>0.44569973140428948</v>
      </c>
      <c r="S159" s="77">
        <v>0.44585439621917777</v>
      </c>
      <c r="T159" s="77">
        <v>0.446008312228174</v>
      </c>
      <c r="U159" s="77">
        <v>0.44616140880369509</v>
      </c>
      <c r="V159" s="77">
        <v>0.44631361715384138</v>
      </c>
      <c r="W159" s="77">
        <v>0.44646487042352695</v>
      </c>
      <c r="X159" s="77">
        <v>0.44661510378786412</v>
      </c>
      <c r="Y159" s="77">
        <v>0.4467642545376333</v>
      </c>
      <c r="Z159" s="77">
        <v>0.44691226215672059</v>
      </c>
      <c r="AA159" s="77">
        <v>0.44705906839144433</v>
      </c>
      <c r="AB159" s="77">
        <v>0.44720461731174477</v>
      </c>
      <c r="AC159" s="77">
        <v>0.44734885536424684</v>
      </c>
      <c r="AD159" s="77">
        <v>0.44749173141725068</v>
      </c>
      <c r="AE159" s="77">
        <v>0.44763319679774338</v>
      </c>
      <c r="AF159" s="77">
        <v>0.44777320532056164</v>
      </c>
      <c r="AG159" s="77">
        <v>0.44791171330986884</v>
      </c>
      <c r="AH159" s="77">
        <v>0.44804867961314276</v>
      </c>
      <c r="AI159" s="77">
        <v>0.44818406560789931</v>
      </c>
      <c r="AJ159" s="77">
        <v>0.448317835201403</v>
      </c>
      <c r="AK159" s="77">
        <v>0.44844995482363781</v>
      </c>
      <c r="AL159" s="77">
        <v>0.44858039341383571</v>
      </c>
      <c r="AM159" s="77">
        <v>0.44870912240087085</v>
      </c>
      <c r="AN159" s="77">
        <v>0.4488361156778527</v>
      </c>
      <c r="AO159" s="77">
        <v>0.44896134957125122</v>
      </c>
      <c r="AP159" s="77">
        <v>0.44908480280490626</v>
      </c>
      <c r="AQ159" s="77">
        <v>0.44920645645927476</v>
      </c>
      <c r="AR159" s="77">
        <v>0.44932629392627504</v>
      </c>
      <c r="AS159" s="77">
        <v>0.4494443008600888</v>
      </c>
      <c r="AT159" s="77">
        <v>0.44956046512428116</v>
      </c>
      <c r="AU159" s="77">
        <v>0.4496747767355968</v>
      </c>
      <c r="AV159" s="77">
        <v>0.44978722780478536</v>
      </c>
      <c r="AW159" s="77">
        <v>0.44989781247480282</v>
      </c>
      <c r="AX159" s="85">
        <v>0.45000652685672871</v>
      </c>
    </row>
    <row r="160" spans="1:50" x14ac:dyDescent="0.25">
      <c r="A160" s="356"/>
      <c r="B160" s="359"/>
      <c r="C160" s="350"/>
      <c r="D160" s="2" t="s">
        <v>8</v>
      </c>
      <c r="E160" s="160" t="str">
        <f>A133&amp;"/"&amp;B159&amp;"/"&amp;C159&amp;"/"&amp;D160</f>
        <v>Coal fired power plants/Steam turbine/Electricity only/M</v>
      </c>
      <c r="F160" s="76" t="str">
        <f>A133</f>
        <v>Coal fired power plants</v>
      </c>
      <c r="G160" s="76" t="str">
        <f>B159</f>
        <v>Steam turbine</v>
      </c>
      <c r="H160" s="76" t="str">
        <f>C159</f>
        <v>Electricity only</v>
      </c>
      <c r="I160" s="161" t="str">
        <f t="shared" si="78"/>
        <v>M</v>
      </c>
      <c r="J160" s="76">
        <v>0.42328042328042326</v>
      </c>
      <c r="K160" s="76">
        <v>0.42340076909765328</v>
      </c>
      <c r="L160" s="76">
        <v>0.42352104830469217</v>
      </c>
      <c r="M160" s="76">
        <v>0.42364119912424603</v>
      </c>
      <c r="N160" s="76">
        <v>0.42376116030736027</v>
      </c>
      <c r="O160" s="76">
        <v>0.4238808712504023</v>
      </c>
      <c r="P160" s="76">
        <v>0.42400027210868152</v>
      </c>
      <c r="Q160" s="76">
        <v>0.42411930390629193</v>
      </c>
      <c r="R160" s="76">
        <v>0.42423790864179201</v>
      </c>
      <c r="S160" s="76">
        <v>0.42435602938936756</v>
      </c>
      <c r="T160" s="76">
        <v>0.42447361039515291</v>
      </c>
      <c r="U160" s="76">
        <v>0.4245905971684219</v>
      </c>
      <c r="V160" s="76">
        <v>0.42470693656739505</v>
      </c>
      <c r="W160" s="76">
        <v>0.42482257687943914</v>
      </c>
      <c r="X160" s="76">
        <v>0.42493746789548059</v>
      </c>
      <c r="Y160" s="76">
        <v>0.42505156097847985</v>
      </c>
      <c r="Z160" s="76">
        <v>0.42516480912585713</v>
      </c>
      <c r="AA160" s="76">
        <v>0.42527716702579027</v>
      </c>
      <c r="AB160" s="76">
        <v>0.42538859110734328</v>
      </c>
      <c r="AC160" s="76">
        <v>0.42549903958441276</v>
      </c>
      <c r="AD160" s="76">
        <v>0.42560847249351802</v>
      </c>
      <c r="AE160" s="76">
        <v>0.42571685172548451</v>
      </c>
      <c r="AF160" s="76">
        <v>0.42582414105110428</v>
      </c>
      <c r="AG160" s="76">
        <v>0.42593030614088201</v>
      </c>
      <c r="AH160" s="76">
        <v>0.42603531457900018</v>
      </c>
      <c r="AI160" s="76">
        <v>0.42613913587166186</v>
      </c>
      <c r="AJ160" s="76">
        <v>0.42624174144998972</v>
      </c>
      <c r="AK160" s="76">
        <v>0.42634310466767861</v>
      </c>
      <c r="AL160" s="76">
        <v>0.42644320079361708</v>
      </c>
      <c r="AM160" s="76">
        <v>0.4265420069997064</v>
      </c>
      <c r="AN160" s="76">
        <v>0.42663950234412024</v>
      </c>
      <c r="AO160" s="76">
        <v>0.42673566775025484</v>
      </c>
      <c r="AP160" s="76">
        <v>0.42683048598163437</v>
      </c>
      <c r="AQ160" s="76">
        <v>0.42692394161303221</v>
      </c>
      <c r="AR160" s="76">
        <v>0.42701602099808578</v>
      </c>
      <c r="AS160" s="76">
        <v>0.4271067122336728</v>
      </c>
      <c r="AT160" s="76">
        <v>0.42719600512132661</v>
      </c>
      <c r="AU160" s="76">
        <v>0.42728389112596143</v>
      </c>
      <c r="AV160" s="76">
        <v>0.42737036333218037</v>
      </c>
      <c r="AW160" s="76">
        <v>0.4274554163984306</v>
      </c>
      <c r="AX160" s="84">
        <v>0.42753904650926838</v>
      </c>
    </row>
    <row r="161" spans="1:50" x14ac:dyDescent="0.25">
      <c r="A161" s="356"/>
      <c r="B161" s="359"/>
      <c r="C161" s="350"/>
      <c r="D161" s="2" t="s">
        <v>10</v>
      </c>
      <c r="E161" s="160" t="str">
        <f>A133&amp;"/"&amp;B159&amp;"/"&amp;C159&amp;"/"&amp;D161</f>
        <v>Coal fired power plants/Steam turbine/Electricity only/S</v>
      </c>
      <c r="F161" s="76" t="str">
        <f>A133</f>
        <v>Coal fired power plants</v>
      </c>
      <c r="G161" s="76" t="str">
        <f>B159</f>
        <v>Steam turbine</v>
      </c>
      <c r="H161" s="76" t="str">
        <f>C159</f>
        <v>Electricity only</v>
      </c>
      <c r="I161" s="161" t="str">
        <f t="shared" si="78"/>
        <v>S</v>
      </c>
      <c r="J161" s="76">
        <v>0.40312421264802212</v>
      </c>
      <c r="K161" s="76">
        <v>0.40321018616183013</v>
      </c>
      <c r="L161" s="76">
        <v>0.40329613648411872</v>
      </c>
      <c r="M161" s="76">
        <v>0.40338201938421359</v>
      </c>
      <c r="N161" s="76">
        <v>0.40346779095950502</v>
      </c>
      <c r="O161" s="76">
        <v>0.40355340771995435</v>
      </c>
      <c r="P161" s="76">
        <v>0.40363882667039125</v>
      </c>
      <c r="Q161" s="76">
        <v>0.40372400539029674</v>
      </c>
      <c r="R161" s="76">
        <v>0.40380890211078652</v>
      </c>
      <c r="S161" s="76">
        <v>0.40389347578852858</v>
      </c>
      <c r="T161" s="76">
        <v>0.40397768617635121</v>
      </c>
      <c r="U161" s="76">
        <v>0.40406149389032225</v>
      </c>
      <c r="V161" s="76">
        <v>0.40414486047310361</v>
      </c>
      <c r="W161" s="76">
        <v>0.40422774845340792</v>
      </c>
      <c r="X161" s="76">
        <v>0.40431012140141459</v>
      </c>
      <c r="Y161" s="76">
        <v>0.40439194398002026</v>
      </c>
      <c r="Z161" s="76">
        <v>0.40447318199183263</v>
      </c>
      <c r="AA161" s="76">
        <v>0.40455380242183414</v>
      </c>
      <c r="AB161" s="76">
        <v>0.40463377347567192</v>
      </c>
      <c r="AC161" s="76">
        <v>0.40471306461355167</v>
      </c>
      <c r="AD161" s="76">
        <v>0.40479164657973793</v>
      </c>
      <c r="AE161" s="76">
        <v>0.40486949142768569</v>
      </c>
      <c r="AF161" s="76">
        <v>0.40494657254084671</v>
      </c>
      <c r="AG161" s="76">
        <v>0.40502286464921977</v>
      </c>
      <c r="AH161" s="76">
        <v>0.4050983438417266</v>
      </c>
      <c r="AI161" s="76">
        <v>0.40517298757451714</v>
      </c>
      <c r="AJ161" s="76">
        <v>0.4052467746753215</v>
      </c>
      <c r="AK161" s="76">
        <v>0.40531968534398144</v>
      </c>
      <c r="AL161" s="76">
        <v>0.40539170114930734</v>
      </c>
      <c r="AM161" s="76">
        <v>0.40546280502241661</v>
      </c>
      <c r="AN161" s="76">
        <v>0.40553298124672088</v>
      </c>
      <c r="AO161" s="76">
        <v>0.40560221544473629</v>
      </c>
      <c r="AP161" s="76">
        <v>0.40567049456190135</v>
      </c>
      <c r="AQ161" s="76">
        <v>0.40573780684758526</v>
      </c>
      <c r="AR161" s="76">
        <v>0.40580414183348085</v>
      </c>
      <c r="AS161" s="76">
        <v>0.40586949030957631</v>
      </c>
      <c r="AT161" s="76">
        <v>0.40593384429789697</v>
      </c>
      <c r="AU161" s="76">
        <v>0.40599719702421627</v>
      </c>
      <c r="AV161" s="76">
        <v>0.40605954288792639</v>
      </c>
      <c r="AW161" s="76">
        <v>0.40612087743026282</v>
      </c>
      <c r="AX161" s="84">
        <v>0.40618119730106866</v>
      </c>
    </row>
    <row r="162" spans="1:50" x14ac:dyDescent="0.25">
      <c r="A162" s="356"/>
      <c r="B162" s="359"/>
      <c r="C162" s="360"/>
      <c r="D162" s="2" t="s">
        <v>20</v>
      </c>
      <c r="E162" s="160" t="str">
        <f>A133&amp;"/"&amp;B159&amp;"/"&amp;C159&amp;"/"&amp;D162</f>
        <v>Coal fired power plants/Steam turbine/Electricity only/XS</v>
      </c>
      <c r="F162" s="76" t="str">
        <f>A133</f>
        <v>Coal fired power plants</v>
      </c>
      <c r="G162" s="76" t="str">
        <f>B159</f>
        <v>Steam turbine</v>
      </c>
      <c r="H162" s="76" t="str">
        <f>C159</f>
        <v>Electricity only</v>
      </c>
      <c r="I162" s="161" t="str">
        <f t="shared" si="78"/>
        <v>XS</v>
      </c>
      <c r="J162" s="76">
        <v>0.38392782156954486</v>
      </c>
      <c r="K162" s="76">
        <v>0.38399566461198353</v>
      </c>
      <c r="L162" s="76">
        <v>0.38406319473292061</v>
      </c>
      <c r="M162" s="76">
        <v>0.38413038146293044</v>
      </c>
      <c r="N162" s="76">
        <v>0.38419719506414912</v>
      </c>
      <c r="O162" s="76">
        <v>0.38426360657528819</v>
      </c>
      <c r="P162" s="76">
        <v>0.38432958785359023</v>
      </c>
      <c r="Q162" s="76">
        <v>0.38439511161363821</v>
      </c>
      <c r="R162" s="76">
        <v>0.38446015146293899</v>
      </c>
      <c r="S162" s="76">
        <v>0.38452468193423156</v>
      </c>
      <c r="T162" s="76">
        <v>0.38458867851447759</v>
      </c>
      <c r="U162" s="76">
        <v>0.38465211767052032</v>
      </c>
      <c r="V162" s="76">
        <v>0.38471497687140588</v>
      </c>
      <c r="W162" s="76">
        <v>0.38477723460738744</v>
      </c>
      <c r="X162" s="76">
        <v>0.38483887040563958</v>
      </c>
      <c r="Y162" s="76">
        <v>0.38489986484273203</v>
      </c>
      <c r="Z162" s="76">
        <v>0.38496019955392435</v>
      </c>
      <c r="AA162" s="76">
        <v>0.38501985723935456</v>
      </c>
      <c r="AB162" s="76">
        <v>0.38507882166720941</v>
      </c>
      <c r="AC162" s="76">
        <v>0.38513707767397454</v>
      </c>
      <c r="AD162" s="76">
        <v>0.38519461116187231</v>
      </c>
      <c r="AE162" s="76">
        <v>0.38525140909360378</v>
      </c>
      <c r="AF162" s="76">
        <v>0.38530745948451955</v>
      </c>
      <c r="AG162" s="76">
        <v>0.38536275139235199</v>
      </c>
      <c r="AH162" s="76">
        <v>0.38541727490464311</v>
      </c>
      <c r="AI162" s="76">
        <v>0.38547102112401199</v>
      </c>
      <c r="AJ162" s="76">
        <v>0.38552398215140227</v>
      </c>
      <c r="AK162" s="76">
        <v>0.38557615106746085</v>
      </c>
      <c r="AL162" s="76">
        <v>0.38562752191219141</v>
      </c>
      <c r="AM162" s="76">
        <v>0.38567808966303307</v>
      </c>
      <c r="AN162" s="76">
        <v>0.38572785021151118</v>
      </c>
      <c r="AO162" s="76">
        <v>0.38577680033860595</v>
      </c>
      <c r="AP162" s="76">
        <v>0.38582493768898396</v>
      </c>
      <c r="AQ162" s="76">
        <v>0.38587226074423181</v>
      </c>
      <c r="AR162" s="76">
        <v>0.38591876879523163</v>
      </c>
      <c r="AS162" s="76">
        <v>0.38596446191381178</v>
      </c>
      <c r="AT162" s="76">
        <v>0.38600934092380007</v>
      </c>
      <c r="AU162" s="76">
        <v>0.38605340737160648</v>
      </c>
      <c r="AV162" s="76">
        <v>0.386096663496453</v>
      </c>
      <c r="AW162" s="76">
        <v>0.38613911220036407</v>
      </c>
      <c r="AX162" s="84">
        <v>0.38618075701802573</v>
      </c>
    </row>
    <row r="163" spans="1:50" x14ac:dyDescent="0.25">
      <c r="A163" s="356"/>
      <c r="B163" s="359"/>
      <c r="C163" s="361" t="s">
        <v>14</v>
      </c>
      <c r="D163" s="58" t="s">
        <v>7</v>
      </c>
      <c r="E163" s="164" t="str">
        <f>A133&amp;"/"&amp;B159&amp;"/"&amp;C163&amp;"/"&amp;D163</f>
        <v>Coal fired power plants/Steam turbine/CHP/L</v>
      </c>
      <c r="F163" s="78" t="str">
        <f>A133</f>
        <v>Coal fired power plants</v>
      </c>
      <c r="G163" s="78" t="str">
        <f>B159</f>
        <v>Steam turbine</v>
      </c>
      <c r="H163" s="78" t="str">
        <f>C163</f>
        <v>CHP</v>
      </c>
      <c r="I163" s="165" t="str">
        <f t="shared" si="78"/>
        <v>L</v>
      </c>
      <c r="J163" s="78">
        <v>0.40404040404040403</v>
      </c>
      <c r="K163" s="78">
        <v>0.40412964525032907</v>
      </c>
      <c r="L163" s="78">
        <v>0.40421867987368076</v>
      </c>
      <c r="M163" s="78">
        <v>0.40430748827224605</v>
      </c>
      <c r="N163" s="78">
        <v>0.40439605107604332</v>
      </c>
      <c r="O163" s="78">
        <v>0.4044843491977651</v>
      </c>
      <c r="P163" s="78">
        <v>0.40457236384665402</v>
      </c>
      <c r="Q163" s="78">
        <v>0.40466007654179581</v>
      </c>
      <c r="R163" s="78">
        <v>0.40474746912481313</v>
      </c>
      <c r="S163" s="78">
        <v>0.40483452377195117</v>
      </c>
      <c r="T163" s="78">
        <v>0.40492122300554018</v>
      </c>
      <c r="U163" s="78">
        <v>0.40500754970482811</v>
      </c>
      <c r="V163" s="78">
        <v>0.40509348711617477</v>
      </c>
      <c r="W163" s="78">
        <v>0.40517901886260183</v>
      </c>
      <c r="X163" s="78">
        <v>0.40526412895269365</v>
      </c>
      <c r="Y163" s="78">
        <v>0.40534880178884891</v>
      </c>
      <c r="Z163" s="78">
        <v>0.40543302217487798</v>
      </c>
      <c r="AA163" s="78">
        <v>0.40551677532295</v>
      </c>
      <c r="AB163" s="78">
        <v>0.4056000468598906</v>
      </c>
      <c r="AC163" s="78">
        <v>0.40568282283283247</v>
      </c>
      <c r="AD163" s="78">
        <v>0.4057650897142262</v>
      </c>
      <c r="AE163" s="78">
        <v>0.40584683440621483</v>
      </c>
      <c r="AF163" s="78">
        <v>0.40592804424438272</v>
      </c>
      <c r="AG163" s="78">
        <v>0.40600870700088387</v>
      </c>
      <c r="AH163" s="78">
        <v>0.40608881088696341</v>
      </c>
      <c r="AI163" s="78">
        <v>0.4061683445548801</v>
      </c>
      <c r="AJ163" s="78">
        <v>0.40624729709924456</v>
      </c>
      <c r="AK163" s="78">
        <v>0.40632565805778315</v>
      </c>
      <c r="AL163" s="78">
        <v>0.40640341741154506</v>
      </c>
      <c r="AM163" s="78">
        <v>0.40648056558456375</v>
      </c>
      <c r="AN163" s="78">
        <v>0.40655709344299101</v>
      </c>
      <c r="AO163" s="78">
        <v>0.40663299229371869</v>
      </c>
      <c r="AP163" s="78">
        <v>0.40670825388250303</v>
      </c>
      <c r="AQ163" s="78">
        <v>0.40678287039161354</v>
      </c>
      <c r="AR163" s="78">
        <v>0.40685683443701853</v>
      </c>
      <c r="AS163" s="78">
        <v>0.40693013906512981</v>
      </c>
      <c r="AT163" s="78">
        <v>0.40700277774912341</v>
      </c>
      <c r="AU163" s="78">
        <v>0.40707474438485386</v>
      </c>
      <c r="AV163" s="78">
        <v>0.40714603328638443</v>
      </c>
      <c r="AW163" s="78">
        <v>0.40721663918114803</v>
      </c>
      <c r="AX163" s="86">
        <v>0.40728655720476215</v>
      </c>
    </row>
    <row r="164" spans="1:50" x14ac:dyDescent="0.25">
      <c r="A164" s="356"/>
      <c r="B164" s="359"/>
      <c r="C164" s="350"/>
      <c r="D164" s="2" t="s">
        <v>8</v>
      </c>
      <c r="E164" s="160" t="str">
        <f>A133&amp;"/"&amp;B159&amp;"/"&amp;C163&amp;"/"&amp;D164</f>
        <v>Coal fired power plants/Steam turbine/CHP/M</v>
      </c>
      <c r="F164" s="76" t="str">
        <f>A133</f>
        <v>Coal fired power plants</v>
      </c>
      <c r="G164" s="76" t="str">
        <f>B159</f>
        <v>Steam turbine</v>
      </c>
      <c r="H164" s="76" t="str">
        <f>C163</f>
        <v>CHP</v>
      </c>
      <c r="I164" s="161" t="str">
        <f t="shared" si="78"/>
        <v>M</v>
      </c>
      <c r="J164" s="76">
        <v>0.38480038480038475</v>
      </c>
      <c r="K164" s="76">
        <v>0.38485754672910238</v>
      </c>
      <c r="L164" s="76">
        <v>0.38491445082652032</v>
      </c>
      <c r="M164" s="76">
        <v>0.3849710865168211</v>
      </c>
      <c r="N164" s="76">
        <v>0.38502744346666906</v>
      </c>
      <c r="O164" s="76">
        <v>0.38508351159067467</v>
      </c>
      <c r="P164" s="76">
        <v>0.38513928105645584</v>
      </c>
      <c r="Q164" s="76">
        <v>0.38519474228929595</v>
      </c>
      <c r="R164" s="76">
        <v>0.38524988597639803</v>
      </c>
      <c r="S164" s="76">
        <v>0.38530470307073744</v>
      </c>
      <c r="T164" s="76">
        <v>0.38535918479451342</v>
      </c>
      <c r="U164" s="76">
        <v>0.38541332264220401</v>
      </c>
      <c r="V164" s="76">
        <v>0.3854671083832264</v>
      </c>
      <c r="W164" s="76">
        <v>0.38552053406420828</v>
      </c>
      <c r="X164" s="76">
        <v>0.38557359201087549</v>
      </c>
      <c r="Y164" s="76">
        <v>0.38562627482955963</v>
      </c>
      <c r="Z164" s="76">
        <v>0.3856785754083365</v>
      </c>
      <c r="AA164" s="76">
        <v>0.38573048691779804</v>
      </c>
      <c r="AB164" s="76">
        <v>0.38578200281146868</v>
      </c>
      <c r="AC164" s="76">
        <v>0.38583311682587346</v>
      </c>
      <c r="AD164" s="76">
        <v>0.3858838229802668</v>
      </c>
      <c r="AE164" s="76">
        <v>0.38593411557603063</v>
      </c>
      <c r="AF164" s="76">
        <v>0.38598398919575455</v>
      </c>
      <c r="AG164" s="76">
        <v>0.38603343870200346</v>
      </c>
      <c r="AH164" s="76">
        <v>0.38608245923578838</v>
      </c>
      <c r="AI164" s="76">
        <v>0.38613104621474686</v>
      </c>
      <c r="AJ164" s="76">
        <v>0.38617919533104789</v>
      </c>
      <c r="AK164" s="76">
        <v>0.38622690254902975</v>
      </c>
      <c r="AL164" s="76">
        <v>0.38627416410258381</v>
      </c>
      <c r="AM164" s="76">
        <v>0.38632097649229608</v>
      </c>
      <c r="AN164" s="76">
        <v>0.38636733648235749</v>
      </c>
      <c r="AO164" s="76">
        <v>0.38641324109725472</v>
      </c>
      <c r="AP164" s="76">
        <v>0.38645868761825586</v>
      </c>
      <c r="AQ164" s="76">
        <v>0.38650367357969861</v>
      </c>
      <c r="AR164" s="76">
        <v>0.38654819676509694</v>
      </c>
      <c r="AS164" s="76">
        <v>0.38659225520307594</v>
      </c>
      <c r="AT164" s="76">
        <v>0.38663584716314692</v>
      </c>
      <c r="AU164" s="76">
        <v>0.38667897115133454</v>
      </c>
      <c r="AV164" s="76">
        <v>0.38672162590566822</v>
      </c>
      <c r="AW164" s="76">
        <v>0.38676381039154795</v>
      </c>
      <c r="AX164" s="84">
        <v>0.38680552379699623</v>
      </c>
    </row>
    <row r="165" spans="1:50" x14ac:dyDescent="0.25">
      <c r="A165" s="356"/>
      <c r="B165" s="359"/>
      <c r="C165" s="350"/>
      <c r="D165" s="2" t="s">
        <v>10</v>
      </c>
      <c r="E165" s="160" t="str">
        <f>A133&amp;"/"&amp;B159&amp;"/"&amp;C163&amp;"/"&amp;D165</f>
        <v>Coal fired power plants/Steam turbine/CHP/S</v>
      </c>
      <c r="F165" s="76" t="str">
        <f>A133</f>
        <v>Coal fired power plants</v>
      </c>
      <c r="G165" s="76" t="str">
        <f>B159</f>
        <v>Steam turbine</v>
      </c>
      <c r="H165" s="76" t="str">
        <f>C163</f>
        <v>CHP</v>
      </c>
      <c r="I165" s="161" t="str">
        <f t="shared" si="78"/>
        <v>S</v>
      </c>
      <c r="J165" s="76">
        <v>0.36647655695274739</v>
      </c>
      <c r="K165" s="76">
        <v>0.3665097697193534</v>
      </c>
      <c r="L165" s="76">
        <v>0.36654275377370471</v>
      </c>
      <c r="M165" s="76">
        <v>0.36657550462188088</v>
      </c>
      <c r="N165" s="76">
        <v>0.36660801793931774</v>
      </c>
      <c r="O165" s="76">
        <v>0.36664028957137801</v>
      </c>
      <c r="P165" s="76">
        <v>0.36667231553370738</v>
      </c>
      <c r="Q165" s="76">
        <v>0.36670409201238374</v>
      </c>
      <c r="R165" s="76">
        <v>0.36673561536386085</v>
      </c>
      <c r="S165" s="76">
        <v>0.36676688211471525</v>
      </c>
      <c r="T165" s="76">
        <v>0.3667978889611983</v>
      </c>
      <c r="U165" s="76">
        <v>0.36682863276860239</v>
      </c>
      <c r="V165" s="76">
        <v>0.36685911057044562</v>
      </c>
      <c r="W165" s="76">
        <v>0.36688931956747978</v>
      </c>
      <c r="X165" s="76">
        <v>0.36691925712653234</v>
      </c>
      <c r="Y165" s="76">
        <v>0.36694892077918401</v>
      </c>
      <c r="Z165" s="76">
        <v>0.36697830822029098</v>
      </c>
      <c r="AA165" s="76">
        <v>0.36700741730635927</v>
      </c>
      <c r="AB165" s="76">
        <v>0.36703624605377699</v>
      </c>
      <c r="AC165" s="76">
        <v>0.36706479263690994</v>
      </c>
      <c r="AD165" s="76">
        <v>0.36709305538607129</v>
      </c>
      <c r="AE165" s="76">
        <v>0.36712103278536884</v>
      </c>
      <c r="AF165" s="76">
        <v>0.3671487234704387</v>
      </c>
      <c r="AG165" s="76">
        <v>0.3671761262260711</v>
      </c>
      <c r="AH165" s="76">
        <v>0.36720323998373744</v>
      </c>
      <c r="AI165" s="76">
        <v>0.36723006381902268</v>
      </c>
      <c r="AJ165" s="76">
        <v>0.36725659694897206</v>
      </c>
      <c r="AK165" s="76">
        <v>0.36728283872935802</v>
      </c>
      <c r="AL165" s="76">
        <v>0.36730878865187433</v>
      </c>
      <c r="AM165" s="76">
        <v>0.36733444634126378</v>
      </c>
      <c r="AN165" s="76">
        <v>0.36735981155238556</v>
      </c>
      <c r="AO165" s="76">
        <v>0.36738488416722959</v>
      </c>
      <c r="AP165" s="76">
        <v>0.36740966419188364</v>
      </c>
      <c r="AQ165" s="76">
        <v>0.36743415175345823</v>
      </c>
      <c r="AR165" s="76">
        <v>0.36745834709697689</v>
      </c>
      <c r="AS165" s="76">
        <v>0.36748225058223638</v>
      </c>
      <c r="AT165" s="76">
        <v>0.36750586268064322</v>
      </c>
      <c r="AU165" s="76">
        <v>0.36752918397203044</v>
      </c>
      <c r="AV165" s="76">
        <v>0.36755221514146169</v>
      </c>
      <c r="AW165" s="76">
        <v>0.36757495697602677</v>
      </c>
      <c r="AX165" s="84">
        <v>0.36759741036163274</v>
      </c>
    </row>
    <row r="166" spans="1:50" x14ac:dyDescent="0.25">
      <c r="A166" s="356"/>
      <c r="B166" s="359"/>
      <c r="C166" s="360"/>
      <c r="D166" s="59" t="s">
        <v>20</v>
      </c>
      <c r="E166" s="166" t="str">
        <f>A133&amp;"/"&amp;B159&amp;"/"&amp;C163&amp;"/"&amp;D166</f>
        <v>Coal fired power plants/Steam turbine/CHP/XS</v>
      </c>
      <c r="F166" s="79" t="str">
        <f>A133</f>
        <v>Coal fired power plants</v>
      </c>
      <c r="G166" s="79" t="str">
        <f>B159</f>
        <v>Steam turbine</v>
      </c>
      <c r="H166" s="79" t="str">
        <f>C163</f>
        <v>CHP</v>
      </c>
      <c r="I166" s="167" t="str">
        <f t="shared" si="78"/>
        <v>XS</v>
      </c>
      <c r="J166" s="79">
        <v>0.34902529233594987</v>
      </c>
      <c r="K166" s="79">
        <v>0.3490496104988734</v>
      </c>
      <c r="L166" s="79">
        <v>0.34907369522157683</v>
      </c>
      <c r="M166" s="79">
        <v>0.34909754499622375</v>
      </c>
      <c r="N166" s="79">
        <v>0.34912115844252195</v>
      </c>
      <c r="O166" s="79">
        <v>0.34914453430603754</v>
      </c>
      <c r="P166" s="79">
        <v>0.34916767145641442</v>
      </c>
      <c r="Q166" s="79">
        <v>0.34919056888550482</v>
      </c>
      <c r="R166" s="79">
        <v>0.34921322570541319</v>
      </c>
      <c r="S166" s="79">
        <v>0.34923564114646433</v>
      </c>
      <c r="T166" s="79">
        <v>0.34925781455509558</v>
      </c>
      <c r="U166" s="79">
        <v>0.34927974539168311</v>
      </c>
      <c r="V166" s="79">
        <v>0.34930143322830448</v>
      </c>
      <c r="W166" s="79">
        <v>0.34932287774644483</v>
      </c>
      <c r="X166" s="79">
        <v>0.34934407873465106</v>
      </c>
      <c r="Y166" s="79">
        <v>0.34936503608613861</v>
      </c>
      <c r="Z166" s="79">
        <v>0.34938574979635723</v>
      </c>
      <c r="AA166" s="79">
        <v>0.34940621996051996</v>
      </c>
      <c r="AB166" s="79">
        <v>0.34942644677109913</v>
      </c>
      <c r="AC166" s="79">
        <v>0.34944643051529628</v>
      </c>
      <c r="AD166" s="79">
        <v>0.34946617157248855</v>
      </c>
      <c r="AE166" s="79">
        <v>0.34948567041165673</v>
      </c>
      <c r="AF166" s="79">
        <v>0.34950492758879964</v>
      </c>
      <c r="AG166" s="79">
        <v>0.34952394374433848</v>
      </c>
      <c r="AH166" s="79">
        <v>0.34954271960051492</v>
      </c>
      <c r="AI166" s="79">
        <v>0.3495612559587874</v>
      </c>
      <c r="AJ166" s="79">
        <v>0.34957955369722876</v>
      </c>
      <c r="AK166" s="79">
        <v>0.3495976137679298</v>
      </c>
      <c r="AL166" s="79">
        <v>0.34961543719440985</v>
      </c>
      <c r="AM166" s="79">
        <v>0.34963302506904087</v>
      </c>
      <c r="AN166" s="79">
        <v>0.34965037855048481</v>
      </c>
      <c r="AO166" s="79">
        <v>0.34966749886115001</v>
      </c>
      <c r="AP166" s="79">
        <v>0.34968438728466672</v>
      </c>
      <c r="AQ166" s="79">
        <v>0.34970104516338696</v>
      </c>
      <c r="AR166" s="79">
        <v>0.34971747389590935</v>
      </c>
      <c r="AS166" s="79">
        <v>0.3497336749346317</v>
      </c>
      <c r="AT166" s="79">
        <v>0.34974964978333378</v>
      </c>
      <c r="AU166" s="79">
        <v>0.34976539999479211</v>
      </c>
      <c r="AV166" s="79">
        <v>0.34978092716842862</v>
      </c>
      <c r="AW166" s="79">
        <v>0.34979623294799483</v>
      </c>
      <c r="AX166" s="87">
        <v>0.34981131901929324</v>
      </c>
    </row>
    <row r="167" spans="1:50" x14ac:dyDescent="0.25">
      <c r="A167" s="356"/>
      <c r="B167" s="359"/>
      <c r="C167" s="361" t="s">
        <v>15</v>
      </c>
      <c r="D167" s="58" t="s">
        <v>7</v>
      </c>
      <c r="E167" s="164" t="str">
        <f>A133&amp;"/"&amp;B159&amp;"/"&amp;C167&amp;"/"&amp;D167</f>
        <v>Coal fired power plants/Steam turbine/Electricity only with CCS/L</v>
      </c>
      <c r="F167" s="78" t="str">
        <f>A133</f>
        <v>Coal fired power plants</v>
      </c>
      <c r="G167" s="78" t="str">
        <f>B159</f>
        <v>Steam turbine</v>
      </c>
      <c r="H167" s="78" t="str">
        <f>C167</f>
        <v>Electricity only with CCS</v>
      </c>
      <c r="I167" s="165" t="str">
        <f t="shared" si="78"/>
        <v>L</v>
      </c>
      <c r="J167" s="78" t="s">
        <v>112</v>
      </c>
      <c r="K167" s="78" t="s">
        <v>112</v>
      </c>
      <c r="L167" s="78" t="s">
        <v>112</v>
      </c>
      <c r="M167" s="78" t="s">
        <v>112</v>
      </c>
      <c r="N167" s="78" t="s">
        <v>112</v>
      </c>
      <c r="O167" s="78" t="s">
        <v>112</v>
      </c>
      <c r="P167" s="78" t="s">
        <v>112</v>
      </c>
      <c r="Q167" s="78" t="s">
        <v>112</v>
      </c>
      <c r="R167" s="78" t="s">
        <v>112</v>
      </c>
      <c r="S167" s="78" t="s">
        <v>112</v>
      </c>
      <c r="T167" s="78" t="s">
        <v>112</v>
      </c>
      <c r="U167" s="78" t="s">
        <v>112</v>
      </c>
      <c r="V167" s="78" t="s">
        <v>112</v>
      </c>
      <c r="W167" s="78" t="s">
        <v>112</v>
      </c>
      <c r="X167" s="78" t="s">
        <v>112</v>
      </c>
      <c r="Y167" s="78" t="s">
        <v>112</v>
      </c>
      <c r="Z167" s="78" t="s">
        <v>112</v>
      </c>
      <c r="AA167" s="78" t="s">
        <v>112</v>
      </c>
      <c r="AB167" s="78" t="s">
        <v>112</v>
      </c>
      <c r="AC167" s="78" t="s">
        <v>112</v>
      </c>
      <c r="AD167" s="78" t="s">
        <v>112</v>
      </c>
      <c r="AE167" s="78">
        <v>0.42328042328042326</v>
      </c>
      <c r="AF167" s="78">
        <v>0.42328042328042326</v>
      </c>
      <c r="AG167" s="78">
        <v>0.42328042328042326</v>
      </c>
      <c r="AH167" s="78">
        <v>0.42328042328042326</v>
      </c>
      <c r="AI167" s="78">
        <v>0.42328042328042326</v>
      </c>
      <c r="AJ167" s="78">
        <v>0.42328042328042326</v>
      </c>
      <c r="AK167" s="78">
        <v>0.42328042328042326</v>
      </c>
      <c r="AL167" s="78">
        <v>0.42328042328042326</v>
      </c>
      <c r="AM167" s="78">
        <v>0.42328042328042326</v>
      </c>
      <c r="AN167" s="78">
        <v>0.42328042328042326</v>
      </c>
      <c r="AO167" s="78">
        <v>0.42328042328042326</v>
      </c>
      <c r="AP167" s="78">
        <v>0.42328042328042326</v>
      </c>
      <c r="AQ167" s="78">
        <v>0.42328042328042326</v>
      </c>
      <c r="AR167" s="78">
        <v>0.42328042328042326</v>
      </c>
      <c r="AS167" s="78">
        <v>0.42328042328042326</v>
      </c>
      <c r="AT167" s="78">
        <v>0.42328042328042326</v>
      </c>
      <c r="AU167" s="78">
        <v>0.42328042328042326</v>
      </c>
      <c r="AV167" s="78">
        <v>0.42328042328042326</v>
      </c>
      <c r="AW167" s="78">
        <v>0.42328042328042326</v>
      </c>
      <c r="AX167" s="86">
        <v>0.42328042328042326</v>
      </c>
    </row>
    <row r="168" spans="1:50" x14ac:dyDescent="0.25">
      <c r="A168" s="356"/>
      <c r="B168" s="359"/>
      <c r="C168" s="360"/>
      <c r="D168" s="59" t="s">
        <v>8</v>
      </c>
      <c r="E168" s="166" t="str">
        <f>A133&amp;"/"&amp;B159&amp;"/"&amp;C167&amp;"/"&amp;D168</f>
        <v>Coal fired power plants/Steam turbine/Electricity only with CCS/M</v>
      </c>
      <c r="F168" s="79" t="str">
        <f>A133</f>
        <v>Coal fired power plants</v>
      </c>
      <c r="G168" s="79" t="str">
        <f>B159</f>
        <v>Steam turbine</v>
      </c>
      <c r="H168" s="79" t="str">
        <f>C167</f>
        <v>Electricity only with CCS</v>
      </c>
      <c r="I168" s="167" t="str">
        <f t="shared" si="78"/>
        <v>M</v>
      </c>
      <c r="J168" s="79" t="s">
        <v>112</v>
      </c>
      <c r="K168" s="79" t="s">
        <v>112</v>
      </c>
      <c r="L168" s="79" t="s">
        <v>112</v>
      </c>
      <c r="M168" s="79" t="s">
        <v>112</v>
      </c>
      <c r="N168" s="79" t="s">
        <v>112</v>
      </c>
      <c r="O168" s="79" t="s">
        <v>112</v>
      </c>
      <c r="P168" s="79" t="s">
        <v>112</v>
      </c>
      <c r="Q168" s="79" t="s">
        <v>112</v>
      </c>
      <c r="R168" s="79" t="s">
        <v>112</v>
      </c>
      <c r="S168" s="79" t="s">
        <v>112</v>
      </c>
      <c r="T168" s="79" t="s">
        <v>112</v>
      </c>
      <c r="U168" s="79" t="s">
        <v>112</v>
      </c>
      <c r="V168" s="79" t="s">
        <v>112</v>
      </c>
      <c r="W168" s="79" t="s">
        <v>112</v>
      </c>
      <c r="X168" s="79" t="s">
        <v>112</v>
      </c>
      <c r="Y168" s="79" t="s">
        <v>112</v>
      </c>
      <c r="Z168" s="79" t="s">
        <v>112</v>
      </c>
      <c r="AA168" s="79" t="s">
        <v>112</v>
      </c>
      <c r="AB168" s="79" t="s">
        <v>112</v>
      </c>
      <c r="AC168" s="79" t="s">
        <v>112</v>
      </c>
      <c r="AD168" s="79" t="s">
        <v>112</v>
      </c>
      <c r="AE168" s="79">
        <v>0.40312421264802212</v>
      </c>
      <c r="AF168" s="79">
        <v>0.40312421264802212</v>
      </c>
      <c r="AG168" s="79">
        <v>0.40312421264802212</v>
      </c>
      <c r="AH168" s="79">
        <v>0.40312421264802212</v>
      </c>
      <c r="AI168" s="79">
        <v>0.40312421264802212</v>
      </c>
      <c r="AJ168" s="79">
        <v>0.40312421264802212</v>
      </c>
      <c r="AK168" s="79">
        <v>0.40312421264802212</v>
      </c>
      <c r="AL168" s="79">
        <v>0.40312421264802212</v>
      </c>
      <c r="AM168" s="79">
        <v>0.40312421264802212</v>
      </c>
      <c r="AN168" s="79">
        <v>0.40312421264802212</v>
      </c>
      <c r="AO168" s="79">
        <v>0.40312421264802212</v>
      </c>
      <c r="AP168" s="79">
        <v>0.40312421264802212</v>
      </c>
      <c r="AQ168" s="79">
        <v>0.40312421264802212</v>
      </c>
      <c r="AR168" s="79">
        <v>0.40312421264802212</v>
      </c>
      <c r="AS168" s="79">
        <v>0.40312421264802212</v>
      </c>
      <c r="AT168" s="79">
        <v>0.40312421264802212</v>
      </c>
      <c r="AU168" s="79">
        <v>0.40312421264802212</v>
      </c>
      <c r="AV168" s="79">
        <v>0.40312421264802212</v>
      </c>
      <c r="AW168" s="79">
        <v>0.40312421264802212</v>
      </c>
      <c r="AX168" s="87">
        <v>0.40312421264802212</v>
      </c>
    </row>
    <row r="169" spans="1:50" x14ac:dyDescent="0.25">
      <c r="A169" s="356"/>
      <c r="B169" s="359"/>
      <c r="C169" s="361" t="s">
        <v>16</v>
      </c>
      <c r="D169" s="2" t="s">
        <v>7</v>
      </c>
      <c r="E169" s="160" t="str">
        <f>A133&amp;"/"&amp;B159&amp;"/"&amp;C169&amp;"/"&amp;D169</f>
        <v>Coal fired power plants/Steam turbine/CHP with CCS/L</v>
      </c>
      <c r="F169" s="76" t="str">
        <f>A133</f>
        <v>Coal fired power plants</v>
      </c>
      <c r="G169" s="76" t="str">
        <f>B159</f>
        <v>Steam turbine</v>
      </c>
      <c r="H169" s="76" t="str">
        <f>C169</f>
        <v>CHP with CCS</v>
      </c>
      <c r="I169" s="161" t="str">
        <f t="shared" si="78"/>
        <v>L</v>
      </c>
      <c r="J169" s="76" t="s">
        <v>112</v>
      </c>
      <c r="K169" s="76" t="s">
        <v>112</v>
      </c>
      <c r="L169" s="76" t="s">
        <v>112</v>
      </c>
      <c r="M169" s="76" t="s">
        <v>112</v>
      </c>
      <c r="N169" s="76" t="s">
        <v>112</v>
      </c>
      <c r="O169" s="76" t="s">
        <v>112</v>
      </c>
      <c r="P169" s="76" t="s">
        <v>112</v>
      </c>
      <c r="Q169" s="76" t="s">
        <v>112</v>
      </c>
      <c r="R169" s="76" t="s">
        <v>112</v>
      </c>
      <c r="S169" s="76" t="s">
        <v>112</v>
      </c>
      <c r="T169" s="76" t="s">
        <v>112</v>
      </c>
      <c r="U169" s="76" t="s">
        <v>112</v>
      </c>
      <c r="V169" s="76" t="s">
        <v>112</v>
      </c>
      <c r="W169" s="76" t="s">
        <v>112</v>
      </c>
      <c r="X169" s="76" t="s">
        <v>112</v>
      </c>
      <c r="Y169" s="76" t="s">
        <v>112</v>
      </c>
      <c r="Z169" s="76" t="s">
        <v>112</v>
      </c>
      <c r="AA169" s="76" t="s">
        <v>112</v>
      </c>
      <c r="AB169" s="76" t="s">
        <v>112</v>
      </c>
      <c r="AC169" s="76" t="s">
        <v>112</v>
      </c>
      <c r="AD169" s="76" t="s">
        <v>112</v>
      </c>
      <c r="AE169" s="76">
        <v>0.38480038480038475</v>
      </c>
      <c r="AF169" s="76">
        <v>0.38480038480038475</v>
      </c>
      <c r="AG169" s="76">
        <v>0.38480038480038475</v>
      </c>
      <c r="AH169" s="76">
        <v>0.38480038480038475</v>
      </c>
      <c r="AI169" s="76">
        <v>0.38480038480038475</v>
      </c>
      <c r="AJ169" s="76">
        <v>0.38480038480038475</v>
      </c>
      <c r="AK169" s="76">
        <v>0.38480038480038475</v>
      </c>
      <c r="AL169" s="76">
        <v>0.38480038480038475</v>
      </c>
      <c r="AM169" s="76">
        <v>0.38480038480038475</v>
      </c>
      <c r="AN169" s="76">
        <v>0.38480038480038475</v>
      </c>
      <c r="AO169" s="76">
        <v>0.38480038480038475</v>
      </c>
      <c r="AP169" s="76">
        <v>0.38480038480038475</v>
      </c>
      <c r="AQ169" s="76">
        <v>0.38480038480038475</v>
      </c>
      <c r="AR169" s="76">
        <v>0.38480038480038475</v>
      </c>
      <c r="AS169" s="76">
        <v>0.38480038480038475</v>
      </c>
      <c r="AT169" s="76">
        <v>0.38480038480038475</v>
      </c>
      <c r="AU169" s="76">
        <v>0.38480038480038475</v>
      </c>
      <c r="AV169" s="76">
        <v>0.38480038480038475</v>
      </c>
      <c r="AW169" s="76">
        <v>0.38480038480038475</v>
      </c>
      <c r="AX169" s="84">
        <v>0.38480038480038475</v>
      </c>
    </row>
    <row r="170" spans="1:50" x14ac:dyDescent="0.25">
      <c r="A170" s="357"/>
      <c r="B170" s="362"/>
      <c r="C170" s="354"/>
      <c r="D170" s="4" t="s">
        <v>8</v>
      </c>
      <c r="E170" s="168" t="str">
        <f>A133&amp;"/"&amp;B159&amp;"/"&amp;C169&amp;"/"&amp;D170</f>
        <v>Coal fired power plants/Steam turbine/CHP with CCS/M</v>
      </c>
      <c r="F170" s="80" t="str">
        <f>A133</f>
        <v>Coal fired power plants</v>
      </c>
      <c r="G170" s="80" t="str">
        <f>B159</f>
        <v>Steam turbine</v>
      </c>
      <c r="H170" s="80" t="str">
        <f>C169</f>
        <v>CHP with CCS</v>
      </c>
      <c r="I170" s="169" t="str">
        <f t="shared" si="78"/>
        <v>M</v>
      </c>
      <c r="J170" s="80" t="s">
        <v>112</v>
      </c>
      <c r="K170" s="80" t="s">
        <v>112</v>
      </c>
      <c r="L170" s="80" t="s">
        <v>112</v>
      </c>
      <c r="M170" s="80" t="s">
        <v>112</v>
      </c>
      <c r="N170" s="80" t="s">
        <v>112</v>
      </c>
      <c r="O170" s="80" t="s">
        <v>112</v>
      </c>
      <c r="P170" s="80" t="s">
        <v>112</v>
      </c>
      <c r="Q170" s="80" t="s">
        <v>112</v>
      </c>
      <c r="R170" s="80" t="s">
        <v>112</v>
      </c>
      <c r="S170" s="80" t="s">
        <v>112</v>
      </c>
      <c r="T170" s="80" t="s">
        <v>112</v>
      </c>
      <c r="U170" s="80" t="s">
        <v>112</v>
      </c>
      <c r="V170" s="80" t="s">
        <v>112</v>
      </c>
      <c r="W170" s="80" t="s">
        <v>112</v>
      </c>
      <c r="X170" s="80" t="s">
        <v>112</v>
      </c>
      <c r="Y170" s="80" t="s">
        <v>112</v>
      </c>
      <c r="Z170" s="80" t="s">
        <v>112</v>
      </c>
      <c r="AA170" s="80" t="s">
        <v>112</v>
      </c>
      <c r="AB170" s="80" t="s">
        <v>112</v>
      </c>
      <c r="AC170" s="80" t="s">
        <v>112</v>
      </c>
      <c r="AD170" s="80" t="s">
        <v>112</v>
      </c>
      <c r="AE170" s="80">
        <v>0.36647655695274739</v>
      </c>
      <c r="AF170" s="80">
        <v>0.36647655695274739</v>
      </c>
      <c r="AG170" s="80">
        <v>0.36647655695274739</v>
      </c>
      <c r="AH170" s="80">
        <v>0.36647655695274739</v>
      </c>
      <c r="AI170" s="80">
        <v>0.36647655695274739</v>
      </c>
      <c r="AJ170" s="80">
        <v>0.36647655695274739</v>
      </c>
      <c r="AK170" s="80">
        <v>0.36647655695274739</v>
      </c>
      <c r="AL170" s="80">
        <v>0.36647655695274739</v>
      </c>
      <c r="AM170" s="80">
        <v>0.36647655695274739</v>
      </c>
      <c r="AN170" s="80">
        <v>0.36647655695274739</v>
      </c>
      <c r="AO170" s="80">
        <v>0.36647655695274739</v>
      </c>
      <c r="AP170" s="80">
        <v>0.36647655695274739</v>
      </c>
      <c r="AQ170" s="80">
        <v>0.36647655695274739</v>
      </c>
      <c r="AR170" s="80">
        <v>0.36647655695274739</v>
      </c>
      <c r="AS170" s="80">
        <v>0.36647655695274739</v>
      </c>
      <c r="AT170" s="80">
        <v>0.36647655695274739</v>
      </c>
      <c r="AU170" s="80">
        <v>0.36647655695274739</v>
      </c>
      <c r="AV170" s="80">
        <v>0.36647655695274739</v>
      </c>
      <c r="AW170" s="80">
        <v>0.36647655695274739</v>
      </c>
      <c r="AX170" s="88">
        <v>0.36647655695274739</v>
      </c>
    </row>
    <row r="171" spans="1:50" x14ac:dyDescent="0.25">
      <c r="A171" s="355" t="s">
        <v>21</v>
      </c>
      <c r="B171" s="358" t="s">
        <v>13</v>
      </c>
      <c r="C171" s="353" t="s">
        <v>6</v>
      </c>
      <c r="D171" s="3" t="s">
        <v>7</v>
      </c>
      <c r="E171" s="162" t="str">
        <f>A171&amp;"/"&amp;B171&amp;"/"&amp;C171&amp;"/"&amp;D171</f>
        <v>Lignite fired power plants/Integrated gasification combined cycle/Electricity only/L</v>
      </c>
      <c r="F171" s="77" t="str">
        <f>A171</f>
        <v>Lignite fired power plants</v>
      </c>
      <c r="G171" s="77" t="str">
        <f>B171</f>
        <v>Integrated gasification combined cycle</v>
      </c>
      <c r="H171" s="77" t="str">
        <f>C171</f>
        <v>Electricity only</v>
      </c>
      <c r="I171" s="163" t="str">
        <f t="shared" si="78"/>
        <v>L</v>
      </c>
      <c r="J171" s="77">
        <v>0.46296296296296291</v>
      </c>
      <c r="K171" s="77">
        <v>0.46296366040570641</v>
      </c>
      <c r="L171" s="77">
        <v>0.46296455590514068</v>
      </c>
      <c r="M171" s="77">
        <v>0.46296570569184387</v>
      </c>
      <c r="N171" s="77">
        <v>0.46296718195267889</v>
      </c>
      <c r="O171" s="77">
        <v>0.4629690773532979</v>
      </c>
      <c r="P171" s="77">
        <v>0.46297151083900434</v>
      </c>
      <c r="Q171" s="77">
        <v>0.46297463507307457</v>
      </c>
      <c r="R171" s="77">
        <v>0.46297864597105765</v>
      </c>
      <c r="S171" s="77">
        <v>0.46298379491555636</v>
      </c>
      <c r="T171" s="77">
        <v>0.46299040439502515</v>
      </c>
      <c r="U171" s="77">
        <v>0.46299888800981509</v>
      </c>
      <c r="V171" s="77">
        <v>0.4630097760377232</v>
      </c>
      <c r="W171" s="77">
        <v>0.46302374805894603</v>
      </c>
      <c r="X171" s="77">
        <v>0.46304167451552924</v>
      </c>
      <c r="Y171" s="77">
        <v>0.46306466952977882</v>
      </c>
      <c r="Z171" s="77">
        <v>0.46309415783035129</v>
      </c>
      <c r="AA171" s="77">
        <v>0.46313195922227901</v>
      </c>
      <c r="AB171" s="77">
        <v>0.46318039465326594</v>
      </c>
      <c r="AC171" s="77">
        <v>0.46324241849749898</v>
      </c>
      <c r="AD171" s="77">
        <v>0.46332178205477598</v>
      </c>
      <c r="AE171" s="77">
        <v>0.4634232331882619</v>
      </c>
      <c r="AF171" s="77">
        <v>0.46355275606117846</v>
      </c>
      <c r="AG171" s="77">
        <v>0.46371785237373908</v>
      </c>
      <c r="AH171" s="77">
        <v>0.46392786025292693</v>
      </c>
      <c r="AI171" s="77">
        <v>0.46419429740581092</v>
      </c>
      <c r="AJ171" s="77">
        <v>0.46453119912439633</v>
      </c>
      <c r="AK171" s="77">
        <v>0.46495539656413687</v>
      </c>
      <c r="AL171" s="77">
        <v>0.46548664383694716</v>
      </c>
      <c r="AM171" s="77">
        <v>0.466147452874556</v>
      </c>
      <c r="AN171" s="77">
        <v>0.46696243642087859</v>
      </c>
      <c r="AO171" s="77">
        <v>0.46795690559151798</v>
      </c>
      <c r="AP171" s="77">
        <v>0.46915445010997991</v>
      </c>
      <c r="AQ171" s="77">
        <v>0.47057330069144893</v>
      </c>
      <c r="AR171" s="77">
        <v>0.47222150711627475</v>
      </c>
      <c r="AS171" s="77">
        <v>0.47409142383551323</v>
      </c>
      <c r="AT171" s="77">
        <v>0.47615465572752019</v>
      </c>
      <c r="AU171" s="77">
        <v>0.47835927425199132</v>
      </c>
      <c r="AV171" s="77">
        <v>0.48063133090631588</v>
      </c>
      <c r="AW171" s="77">
        <v>0.48288195387500399</v>
      </c>
      <c r="AX171" s="85">
        <v>0.48501945256721679</v>
      </c>
    </row>
    <row r="172" spans="1:50" x14ac:dyDescent="0.25">
      <c r="A172" s="356"/>
      <c r="B172" s="359"/>
      <c r="C172" s="360"/>
      <c r="D172" s="2" t="s">
        <v>8</v>
      </c>
      <c r="E172" s="160" t="str">
        <f>A171&amp;"/"&amp;B171&amp;"/"&amp;C171&amp;"/"&amp;D172</f>
        <v>Lignite fired power plants/Integrated gasification combined cycle/Electricity only/M</v>
      </c>
      <c r="F172" s="76" t="str">
        <f>A171</f>
        <v>Lignite fired power plants</v>
      </c>
      <c r="G172" s="76" t="str">
        <f>B171</f>
        <v>Integrated gasification combined cycle</v>
      </c>
      <c r="H172" s="76" t="str">
        <f>C171</f>
        <v>Electricity only</v>
      </c>
      <c r="I172" s="161" t="str">
        <f t="shared" si="78"/>
        <v>M</v>
      </c>
      <c r="J172" s="76">
        <v>0.44091710758377423</v>
      </c>
      <c r="K172" s="76">
        <v>0.4409206181312052</v>
      </c>
      <c r="L172" s="76">
        <v>0.44092490523183958</v>
      </c>
      <c r="M172" s="76">
        <v>0.44093014047675694</v>
      </c>
      <c r="N172" s="76">
        <v>0.44093653328078392</v>
      </c>
      <c r="O172" s="76">
        <v>0.44094433917481024</v>
      </c>
      <c r="P172" s="76">
        <v>0.44095386989386898</v>
      </c>
      <c r="Q172" s="76">
        <v>0.44096550563891773</v>
      </c>
      <c r="R172" s="76">
        <v>0.44097970996436264</v>
      </c>
      <c r="S172" s="76">
        <v>0.4409970478292396</v>
      </c>
      <c r="T172" s="76">
        <v>0.44101820744800491</v>
      </c>
      <c r="U172" s="76">
        <v>0.44104402668651616</v>
      </c>
      <c r="V172" s="76">
        <v>0.44107552486779006</v>
      </c>
      <c r="W172" s="76">
        <v>0.44111394097563555</v>
      </c>
      <c r="X172" s="76">
        <v>0.44116077936315823</v>
      </c>
      <c r="Y172" s="76">
        <v>0.44121786417185643</v>
      </c>
      <c r="Z172" s="76">
        <v>0.44128740372033248</v>
      </c>
      <c r="AA172" s="76">
        <v>0.44137206609014151</v>
      </c>
      <c r="AB172" s="76">
        <v>0.44147506696036415</v>
      </c>
      <c r="AC172" s="76">
        <v>0.44160027033441157</v>
      </c>
      <c r="AD172" s="76">
        <v>0.4417523020368137</v>
      </c>
      <c r="AE172" s="76">
        <v>0.44193667456016344</v>
      </c>
      <c r="AF172" s="76">
        <v>0.44215991978034236</v>
      </c>
      <c r="AG172" s="76">
        <v>0.44242972293595401</v>
      </c>
      <c r="AH172" s="76">
        <v>0.44275504673636251</v>
      </c>
      <c r="AI172" s="76">
        <v>0.44314622815806165</v>
      </c>
      <c r="AJ172" s="76">
        <v>0.44361502212537984</v>
      </c>
      <c r="AK172" s="76">
        <v>0.44417455582203036</v>
      </c>
      <c r="AL172" s="76">
        <v>0.44483914538952607</v>
      </c>
      <c r="AM172" s="76">
        <v>0.44562391483176866</v>
      </c>
      <c r="AN172" s="76">
        <v>0.44654414834174466</v>
      </c>
      <c r="AO172" s="76">
        <v>0.44761430762386661</v>
      </c>
      <c r="AP172" s="76">
        <v>0.44884666341214779</v>
      </c>
      <c r="AQ172" s="76">
        <v>0.45024953555954955</v>
      </c>
      <c r="AR172" s="76">
        <v>0.45182521823194288</v>
      </c>
      <c r="AS172" s="76">
        <v>0.45356778849251977</v>
      </c>
      <c r="AT172" s="76">
        <v>0.45546114458443093</v>
      </c>
      <c r="AU172" s="76">
        <v>0.45747775594499901</v>
      </c>
      <c r="AV172" s="76">
        <v>0.45957866458179902</v>
      </c>
      <c r="AW172" s="76">
        <v>0.46171517972913823</v>
      </c>
      <c r="AX172" s="84">
        <v>0.46383240617879945</v>
      </c>
    </row>
    <row r="173" spans="1:50" x14ac:dyDescent="0.25">
      <c r="A173" s="356"/>
      <c r="B173" s="359"/>
      <c r="C173" s="361" t="s">
        <v>14</v>
      </c>
      <c r="D173" s="58" t="s">
        <v>7</v>
      </c>
      <c r="E173" s="164" t="str">
        <f>A171&amp;"/"&amp;B171&amp;"/"&amp;C173&amp;"/"&amp;D173</f>
        <v>Lignite fired power plants/Integrated gasification combined cycle/CHP/L</v>
      </c>
      <c r="F173" s="78" t="str">
        <f>A171</f>
        <v>Lignite fired power plants</v>
      </c>
      <c r="G173" s="78" t="str">
        <f>B171</f>
        <v>Integrated gasification combined cycle</v>
      </c>
      <c r="H173" s="78" t="str">
        <f>C173</f>
        <v>CHP</v>
      </c>
      <c r="I173" s="165" t="str">
        <f t="shared" si="78"/>
        <v>L</v>
      </c>
      <c r="J173" s="78" t="s">
        <v>112</v>
      </c>
      <c r="K173" s="78" t="s">
        <v>112</v>
      </c>
      <c r="L173" s="78" t="s">
        <v>112</v>
      </c>
      <c r="M173" s="78" t="s">
        <v>112</v>
      </c>
      <c r="N173" s="78" t="s">
        <v>112</v>
      </c>
      <c r="O173" s="78" t="s">
        <v>112</v>
      </c>
      <c r="P173" s="78" t="s">
        <v>112</v>
      </c>
      <c r="Q173" s="78" t="s">
        <v>112</v>
      </c>
      <c r="R173" s="78" t="s">
        <v>112</v>
      </c>
      <c r="S173" s="78" t="s">
        <v>112</v>
      </c>
      <c r="T173" s="78">
        <v>0.42089858542642206</v>
      </c>
      <c r="U173" s="78">
        <v>0.42090574670935932</v>
      </c>
      <c r="V173" s="78">
        <v>0.42091493754971326</v>
      </c>
      <c r="W173" s="78">
        <v>0.42092673152557303</v>
      </c>
      <c r="X173" s="78">
        <v>0.42094186327135003</v>
      </c>
      <c r="Y173" s="78">
        <v>0.42096127302550335</v>
      </c>
      <c r="Z173" s="78">
        <v>0.42098616306223746</v>
      </c>
      <c r="AA173" s="78">
        <v>0.42101806889203652</v>
      </c>
      <c r="AB173" s="78">
        <v>0.42105894862614046</v>
      </c>
      <c r="AC173" s="78">
        <v>0.42111129436463224</v>
      </c>
      <c r="AD173" s="78">
        <v>0.4211782697608818</v>
      </c>
      <c r="AE173" s="78">
        <v>0.42126387781353231</v>
      </c>
      <c r="AF173" s="78">
        <v>0.42137316206504494</v>
      </c>
      <c r="AG173" s="78">
        <v>0.42151244213710343</v>
      </c>
      <c r="AH173" s="78">
        <v>0.42168957997487394</v>
      </c>
      <c r="AI173" s="78">
        <v>0.42191426494307877</v>
      </c>
      <c r="AJ173" s="78">
        <v>0.42219829217366894</v>
      </c>
      <c r="AK173" s="78">
        <v>0.42255578709239128</v>
      </c>
      <c r="AL173" s="78">
        <v>0.4230032977739005</v>
      </c>
      <c r="AM173" s="78">
        <v>0.42355963507158606</v>
      </c>
      <c r="AN173" s="78">
        <v>0.42424529185559356</v>
      </c>
      <c r="AO173" s="78">
        <v>0.42508122935305981</v>
      </c>
      <c r="AP173" s="78">
        <v>0.4260868073607984</v>
      </c>
      <c r="AQ173" s="78">
        <v>0.4272767020353791</v>
      </c>
      <c r="AR173" s="78">
        <v>0.42865686057303137</v>
      </c>
      <c r="AS173" s="78">
        <v>0.43021993398184827</v>
      </c>
      <c r="AT173" s="78">
        <v>0.43194118047346713</v>
      </c>
      <c r="AU173" s="78">
        <v>0.43377635945415871</v>
      </c>
      <c r="AV173" s="78">
        <v>0.43566326915102699</v>
      </c>
      <c r="AW173" s="78">
        <v>0.43752790485279325</v>
      </c>
      <c r="AX173" s="86">
        <v>0.43929463652717982</v>
      </c>
    </row>
    <row r="174" spans="1:50" x14ac:dyDescent="0.25">
      <c r="A174" s="356"/>
      <c r="B174" s="359"/>
      <c r="C174" s="360"/>
      <c r="D174" s="59" t="s">
        <v>8</v>
      </c>
      <c r="E174" s="166" t="str">
        <f>A171&amp;"/"&amp;B171&amp;"/"&amp;C173&amp;"/"&amp;D174</f>
        <v>Lignite fired power plants/Integrated gasification combined cycle/CHP/M</v>
      </c>
      <c r="F174" s="79" t="str">
        <f>A171</f>
        <v>Lignite fired power plants</v>
      </c>
      <c r="G174" s="79" t="str">
        <f>B171</f>
        <v>Integrated gasification combined cycle</v>
      </c>
      <c r="H174" s="79" t="str">
        <f>C173</f>
        <v>CHP</v>
      </c>
      <c r="I174" s="167" t="str">
        <f t="shared" si="78"/>
        <v>M</v>
      </c>
      <c r="J174" s="79" t="s">
        <v>112</v>
      </c>
      <c r="K174" s="79" t="s">
        <v>112</v>
      </c>
      <c r="L174" s="79" t="s">
        <v>112</v>
      </c>
      <c r="M174" s="79" t="s">
        <v>112</v>
      </c>
      <c r="N174" s="79" t="s">
        <v>112</v>
      </c>
      <c r="O174" s="79" t="s">
        <v>112</v>
      </c>
      <c r="P174" s="79" t="s">
        <v>112</v>
      </c>
      <c r="Q174" s="79" t="s">
        <v>112</v>
      </c>
      <c r="R174" s="79" t="s">
        <v>112</v>
      </c>
      <c r="S174" s="79" t="s">
        <v>112</v>
      </c>
      <c r="T174" s="79">
        <v>0.40092006929372564</v>
      </c>
      <c r="U174" s="79">
        <v>0.40094211670702096</v>
      </c>
      <c r="V174" s="79">
        <v>0.40096901281353942</v>
      </c>
      <c r="W174" s="79">
        <v>0.40100181514874106</v>
      </c>
      <c r="X174" s="79">
        <v>0.40104180760166674</v>
      </c>
      <c r="Y174" s="79">
        <v>0.40109054675795175</v>
      </c>
      <c r="Z174" s="79">
        <v>0.40114991669502004</v>
      </c>
      <c r="AA174" s="79">
        <v>0.40122219324939046</v>
      </c>
      <c r="AB174" s="79">
        <v>0.4013101186134797</v>
      </c>
      <c r="AC174" s="79">
        <v>0.40141698675370024</v>
      </c>
      <c r="AD174" s="79">
        <v>0.4015467394644614</v>
      </c>
      <c r="AE174" s="79">
        <v>0.4017040717337767</v>
      </c>
      <c r="AF174" s="79">
        <v>0.40189454329598157</v>
      </c>
      <c r="AG174" s="79">
        <v>0.40212469053352118</v>
      </c>
      <c r="AH174" s="79">
        <v>0.40240212896825567</v>
      </c>
      <c r="AI174" s="79">
        <v>0.4027356311520488</v>
      </c>
      <c r="AJ174" s="79">
        <v>0.40313515760226309</v>
      </c>
      <c r="AK174" s="79">
        <v>0.40361180954365639</v>
      </c>
      <c r="AL174" s="79">
        <v>0.40417766213887785</v>
      </c>
      <c r="AM174" s="79">
        <v>0.40484542706466126</v>
      </c>
      <c r="AN174" s="79">
        <v>0.40562788663093957</v>
      </c>
      <c r="AO174" s="79">
        <v>0.40653704305692634</v>
      </c>
      <c r="AP174" s="79">
        <v>0.40758294313785864</v>
      </c>
      <c r="AQ174" s="79">
        <v>0.40877217896561724</v>
      </c>
      <c r="AR174" s="79">
        <v>0.41010613711038141</v>
      </c>
      <c r="AS174" s="79">
        <v>0.4115791728750588</v>
      </c>
      <c r="AT174" s="79">
        <v>0.41317700997391699</v>
      </c>
      <c r="AU174" s="79">
        <v>0.41487577489118854</v>
      </c>
      <c r="AV174" s="79">
        <v>0.41664211294994785</v>
      </c>
      <c r="AW174" s="79">
        <v>0.41843473669464848</v>
      </c>
      <c r="AX174" s="87">
        <v>0.4202074914552506</v>
      </c>
    </row>
    <row r="175" spans="1:50" x14ac:dyDescent="0.25">
      <c r="A175" s="356"/>
      <c r="B175" s="359"/>
      <c r="C175" s="361" t="s">
        <v>15</v>
      </c>
      <c r="D175" s="58" t="s">
        <v>7</v>
      </c>
      <c r="E175" s="164" t="str">
        <f>A171&amp;"/"&amp;B171&amp;"/"&amp;C175&amp;"/"&amp;D175</f>
        <v>Lignite fired power plants/Integrated gasification combined cycle/Electricity only with CCS/L</v>
      </c>
      <c r="F175" s="78" t="str">
        <f>A171</f>
        <v>Lignite fired power plants</v>
      </c>
      <c r="G175" s="78" t="str">
        <f>B171</f>
        <v>Integrated gasification combined cycle</v>
      </c>
      <c r="H175" s="78" t="str">
        <f>C175</f>
        <v>Electricity only with CCS</v>
      </c>
      <c r="I175" s="165" t="str">
        <f t="shared" si="78"/>
        <v>L</v>
      </c>
      <c r="J175" s="78" t="s">
        <v>112</v>
      </c>
      <c r="K175" s="78" t="s">
        <v>112</v>
      </c>
      <c r="L175" s="78" t="s">
        <v>112</v>
      </c>
      <c r="M175" s="78" t="s">
        <v>112</v>
      </c>
      <c r="N175" s="78" t="s">
        <v>112</v>
      </c>
      <c r="O175" s="78" t="s">
        <v>112</v>
      </c>
      <c r="P175" s="78" t="s">
        <v>112</v>
      </c>
      <c r="Q175" s="78" t="s">
        <v>112</v>
      </c>
      <c r="R175" s="78" t="s">
        <v>112</v>
      </c>
      <c r="S175" s="78" t="s">
        <v>112</v>
      </c>
      <c r="T175" s="78" t="s">
        <v>112</v>
      </c>
      <c r="U175" s="78" t="s">
        <v>112</v>
      </c>
      <c r="V175" s="78" t="s">
        <v>112</v>
      </c>
      <c r="W175" s="78" t="s">
        <v>112</v>
      </c>
      <c r="X175" s="78" t="s">
        <v>112</v>
      </c>
      <c r="Y175" s="78" t="s">
        <v>112</v>
      </c>
      <c r="Z175" s="78" t="s">
        <v>112</v>
      </c>
      <c r="AA175" s="78" t="s">
        <v>112</v>
      </c>
      <c r="AB175" s="78" t="s">
        <v>112</v>
      </c>
      <c r="AC175" s="78" t="s">
        <v>112</v>
      </c>
      <c r="AD175" s="78" t="s">
        <v>112</v>
      </c>
      <c r="AE175" s="78">
        <v>0.440956521931189</v>
      </c>
      <c r="AF175" s="78">
        <v>0.44097029495261414</v>
      </c>
      <c r="AG175" s="78">
        <v>0.44098887309523982</v>
      </c>
      <c r="AH175" s="78">
        <v>0.44101392641044179</v>
      </c>
      <c r="AI175" s="78">
        <v>0.44104770017941697</v>
      </c>
      <c r="AJ175" s="78">
        <v>0.44109320878188729</v>
      </c>
      <c r="AK175" s="78">
        <v>0.44115449141304303</v>
      </c>
      <c r="AL175" s="78">
        <v>0.44123694650054596</v>
      </c>
      <c r="AM175" s="78">
        <v>0.44134776381840385</v>
      </c>
      <c r="AN175" s="78">
        <v>0.4414964733669407</v>
      </c>
      <c r="AO175" s="78">
        <v>0.44169562540369367</v>
      </c>
      <c r="AP175" s="78">
        <v>0.44196160182160071</v>
      </c>
      <c r="AQ175" s="78">
        <v>0.44231552754290354</v>
      </c>
      <c r="AR175" s="78">
        <v>0.44278418989084734</v>
      </c>
      <c r="AS175" s="78">
        <v>0.44340076846525983</v>
      </c>
      <c r="AT175" s="78">
        <v>0.44420501277273866</v>
      </c>
      <c r="AU175" s="78">
        <v>0.4452422782319162</v>
      </c>
      <c r="AV175" s="78">
        <v>0.44656058467245002</v>
      </c>
      <c r="AW175" s="78">
        <v>0.44820472877082901</v>
      </c>
      <c r="AX175" s="86">
        <v>0.45020673905766345</v>
      </c>
    </row>
    <row r="176" spans="1:50" x14ac:dyDescent="0.25">
      <c r="A176" s="356"/>
      <c r="B176" s="359"/>
      <c r="C176" s="360"/>
      <c r="D176" s="59" t="s">
        <v>8</v>
      </c>
      <c r="E176" s="166" t="str">
        <f>A171&amp;"/"&amp;B171&amp;"/"&amp;C175&amp;"/"&amp;D176</f>
        <v>Lignite fired power plants/Integrated gasification combined cycle/Electricity only with CCS/M</v>
      </c>
      <c r="F176" s="79" t="str">
        <f>A171</f>
        <v>Lignite fired power plants</v>
      </c>
      <c r="G176" s="79" t="str">
        <f>B171</f>
        <v>Integrated gasification combined cycle</v>
      </c>
      <c r="H176" s="79" t="str">
        <f>C175</f>
        <v>Electricity only with CCS</v>
      </c>
      <c r="I176" s="167" t="str">
        <f t="shared" si="78"/>
        <v>M</v>
      </c>
      <c r="J176" s="79" t="s">
        <v>112</v>
      </c>
      <c r="K176" s="79" t="s">
        <v>112</v>
      </c>
      <c r="L176" s="79" t="s">
        <v>112</v>
      </c>
      <c r="M176" s="79" t="s">
        <v>112</v>
      </c>
      <c r="N176" s="79" t="s">
        <v>112</v>
      </c>
      <c r="O176" s="79" t="s">
        <v>112</v>
      </c>
      <c r="P176" s="79" t="s">
        <v>112</v>
      </c>
      <c r="Q176" s="79" t="s">
        <v>112</v>
      </c>
      <c r="R176" s="79" t="s">
        <v>112</v>
      </c>
      <c r="S176" s="79" t="s">
        <v>112</v>
      </c>
      <c r="T176" s="79" t="s">
        <v>112</v>
      </c>
      <c r="U176" s="79" t="s">
        <v>112</v>
      </c>
      <c r="V176" s="79" t="s">
        <v>112</v>
      </c>
      <c r="W176" s="79" t="s">
        <v>112</v>
      </c>
      <c r="X176" s="79" t="s">
        <v>112</v>
      </c>
      <c r="Y176" s="79" t="s">
        <v>112</v>
      </c>
      <c r="Z176" s="79" t="s">
        <v>112</v>
      </c>
      <c r="AA176" s="79" t="s">
        <v>112</v>
      </c>
      <c r="AB176" s="79" t="s">
        <v>112</v>
      </c>
      <c r="AC176" s="79" t="s">
        <v>112</v>
      </c>
      <c r="AD176" s="79" t="s">
        <v>112</v>
      </c>
      <c r="AE176" s="79">
        <v>0.41993646039856436</v>
      </c>
      <c r="AF176" s="79">
        <v>0.41994291329479644</v>
      </c>
      <c r="AG176" s="79">
        <v>0.41995206727738926</v>
      </c>
      <c r="AH176" s="79">
        <v>0.41996505113171761</v>
      </c>
      <c r="AI176" s="79">
        <v>0.41998346349152432</v>
      </c>
      <c r="AJ176" s="79">
        <v>0.4200095665166671</v>
      </c>
      <c r="AK176" s="79">
        <v>0.42004655749303932</v>
      </c>
      <c r="AL176" s="79">
        <v>0.42009894776505435</v>
      </c>
      <c r="AM176" s="79">
        <v>0.42017308752475463</v>
      </c>
      <c r="AN176" s="79">
        <v>0.42027788480087142</v>
      </c>
      <c r="AO176" s="79">
        <v>0.42042577491141431</v>
      </c>
      <c r="AP176" s="79">
        <v>0.42063399648279809</v>
      </c>
      <c r="AQ176" s="79">
        <v>0.42092620890042937</v>
      </c>
      <c r="AR176" s="79">
        <v>0.4213344188427664</v>
      </c>
      <c r="AS176" s="79">
        <v>0.42190102722170381</v>
      </c>
      <c r="AT176" s="79">
        <v>0.42268049780524758</v>
      </c>
      <c r="AU176" s="79">
        <v>0.42373961323272946</v>
      </c>
      <c r="AV176" s="79">
        <v>0.42515450950425382</v>
      </c>
      <c r="AW176" s="79">
        <v>0.42700188169748954</v>
      </c>
      <c r="AX176" s="87">
        <v>0.42934167239535054</v>
      </c>
    </row>
    <row r="177" spans="1:50" x14ac:dyDescent="0.25">
      <c r="A177" s="356"/>
      <c r="B177" s="359"/>
      <c r="C177" s="361" t="s">
        <v>16</v>
      </c>
      <c r="D177" s="2" t="s">
        <v>7</v>
      </c>
      <c r="E177" s="160" t="str">
        <f>A171&amp;"/"&amp;B171&amp;"/"&amp;C177&amp;"/"&amp;D177</f>
        <v>Lignite fired power plants/Integrated gasification combined cycle/CHP with CCS/L</v>
      </c>
      <c r="F177" s="76" t="str">
        <f>A171</f>
        <v>Lignite fired power plants</v>
      </c>
      <c r="G177" s="76" t="str">
        <f>B171</f>
        <v>Integrated gasification combined cycle</v>
      </c>
      <c r="H177" s="76" t="str">
        <f>C177</f>
        <v>CHP with CCS</v>
      </c>
      <c r="I177" s="161" t="str">
        <f t="shared" si="78"/>
        <v>L</v>
      </c>
      <c r="J177" s="76" t="s">
        <v>112</v>
      </c>
      <c r="K177" s="76" t="s">
        <v>112</v>
      </c>
      <c r="L177" s="76" t="s">
        <v>112</v>
      </c>
      <c r="M177" s="76" t="s">
        <v>112</v>
      </c>
      <c r="N177" s="76" t="s">
        <v>112</v>
      </c>
      <c r="O177" s="76" t="s">
        <v>112</v>
      </c>
      <c r="P177" s="76" t="s">
        <v>112</v>
      </c>
      <c r="Q177" s="76" t="s">
        <v>112</v>
      </c>
      <c r="R177" s="76" t="s">
        <v>112</v>
      </c>
      <c r="S177" s="76" t="s">
        <v>112</v>
      </c>
      <c r="T177" s="76" t="s">
        <v>112</v>
      </c>
      <c r="U177" s="76" t="s">
        <v>112</v>
      </c>
      <c r="V177" s="76" t="s">
        <v>112</v>
      </c>
      <c r="W177" s="76" t="s">
        <v>112</v>
      </c>
      <c r="X177" s="76" t="s">
        <v>112</v>
      </c>
      <c r="Y177" s="76" t="s">
        <v>112</v>
      </c>
      <c r="Z177" s="76" t="s">
        <v>112</v>
      </c>
      <c r="AA177" s="76" t="s">
        <v>112</v>
      </c>
      <c r="AB177" s="76" t="s">
        <v>112</v>
      </c>
      <c r="AC177" s="76" t="s">
        <v>112</v>
      </c>
      <c r="AD177" s="76" t="s">
        <v>112</v>
      </c>
      <c r="AE177" s="76">
        <v>0.40086739325547482</v>
      </c>
      <c r="AF177" s="76">
        <v>0.40087915489066628</v>
      </c>
      <c r="AG177" s="76">
        <v>0.40089501970442232</v>
      </c>
      <c r="AH177" s="76">
        <v>0.40091641360972657</v>
      </c>
      <c r="AI177" s="76">
        <v>0.40094525351642807</v>
      </c>
      <c r="AJ177" s="76">
        <v>0.40098411269421358</v>
      </c>
      <c r="AK177" s="76">
        <v>0.40103643879310263</v>
      </c>
      <c r="AL177" s="76">
        <v>0.40110683878624304</v>
      </c>
      <c r="AM177" s="76">
        <v>0.40120144683518449</v>
      </c>
      <c r="AN177" s="76">
        <v>0.40132839097469947</v>
      </c>
      <c r="AO177" s="76">
        <v>0.40149837023853546</v>
      </c>
      <c r="AP177" s="76">
        <v>0.40172534128800946</v>
      </c>
      <c r="AQ177" s="76">
        <v>0.40202728600861926</v>
      </c>
      <c r="AR177" s="76">
        <v>0.40242697877039912</v>
      </c>
      <c r="AS177" s="76">
        <v>0.4029525809520888</v>
      </c>
      <c r="AT177" s="76">
        <v>0.40363774853743967</v>
      </c>
      <c r="AU177" s="76">
        <v>0.40452074620109502</v>
      </c>
      <c r="AV177" s="76">
        <v>0.40564185653356999</v>
      </c>
      <c r="AW177" s="76">
        <v>0.40703827427664424</v>
      </c>
      <c r="AX177" s="84">
        <v>0.40873592161480005</v>
      </c>
    </row>
    <row r="178" spans="1:50" x14ac:dyDescent="0.25">
      <c r="A178" s="356"/>
      <c r="B178" s="359"/>
      <c r="C178" s="354"/>
      <c r="D178" s="2" t="s">
        <v>8</v>
      </c>
      <c r="E178" s="168" t="str">
        <f>A171&amp;"/"&amp;B171&amp;"/"&amp;C177&amp;"/"&amp;D178</f>
        <v>Lignite fired power plants/Integrated gasification combined cycle/CHP with CCS/M</v>
      </c>
      <c r="F178" s="80" t="str">
        <f>A171</f>
        <v>Lignite fired power plants</v>
      </c>
      <c r="G178" s="80" t="str">
        <f>B171</f>
        <v>Integrated gasification combined cycle</v>
      </c>
      <c r="H178" s="80" t="str">
        <f>C177</f>
        <v>CHP with CCS</v>
      </c>
      <c r="I178" s="169" t="str">
        <f t="shared" si="78"/>
        <v>M</v>
      </c>
      <c r="J178" s="80" t="s">
        <v>112</v>
      </c>
      <c r="K178" s="80" t="s">
        <v>112</v>
      </c>
      <c r="L178" s="80" t="s">
        <v>112</v>
      </c>
      <c r="M178" s="80" t="s">
        <v>112</v>
      </c>
      <c r="N178" s="80" t="s">
        <v>112</v>
      </c>
      <c r="O178" s="80" t="s">
        <v>112</v>
      </c>
      <c r="P178" s="80" t="s">
        <v>112</v>
      </c>
      <c r="Q178" s="80" t="s">
        <v>112</v>
      </c>
      <c r="R178" s="80" t="s">
        <v>112</v>
      </c>
      <c r="S178" s="80" t="s">
        <v>112</v>
      </c>
      <c r="T178" s="80" t="s">
        <v>112</v>
      </c>
      <c r="U178" s="80" t="s">
        <v>112</v>
      </c>
      <c r="V178" s="80" t="s">
        <v>112</v>
      </c>
      <c r="W178" s="80" t="s">
        <v>112</v>
      </c>
      <c r="X178" s="80" t="s">
        <v>112</v>
      </c>
      <c r="Y178" s="80" t="s">
        <v>112</v>
      </c>
      <c r="Z178" s="80" t="s">
        <v>112</v>
      </c>
      <c r="AA178" s="80" t="s">
        <v>112</v>
      </c>
      <c r="AB178" s="80" t="s">
        <v>112</v>
      </c>
      <c r="AC178" s="80" t="s">
        <v>112</v>
      </c>
      <c r="AD178" s="80" t="s">
        <v>112</v>
      </c>
      <c r="AE178" s="80">
        <v>0.3817596181724302</v>
      </c>
      <c r="AF178" s="80">
        <v>0.381765149142195</v>
      </c>
      <c r="AG178" s="80">
        <v>0.38177299524361669</v>
      </c>
      <c r="AH178" s="80">
        <v>0.38178412392077271</v>
      </c>
      <c r="AI178" s="80">
        <v>0.38179990525776492</v>
      </c>
      <c r="AJ178" s="80">
        <v>0.38182227790039225</v>
      </c>
      <c r="AK178" s="80">
        <v>0.38185398168019019</v>
      </c>
      <c r="AL178" s="80">
        <v>0.38189888206223999</v>
      </c>
      <c r="AM178" s="80">
        <v>0.3819624192644212</v>
      </c>
      <c r="AN178" s="80">
        <v>0.38205222314613024</v>
      </c>
      <c r="AO178" s="80">
        <v>0.38217894143516429</v>
      </c>
      <c r="AP178" s="80">
        <v>0.38235732812874867</v>
      </c>
      <c r="AQ178" s="80">
        <v>0.38260761962603812</v>
      </c>
      <c r="AR178" s="80">
        <v>0.38295716670381252</v>
      </c>
      <c r="AS178" s="80">
        <v>0.38344215360554401</v>
      </c>
      <c r="AT178" s="80">
        <v>0.38410896611868478</v>
      </c>
      <c r="AU178" s="80">
        <v>0.38501430890460309</v>
      </c>
      <c r="AV178" s="80">
        <v>0.38622251294917748</v>
      </c>
      <c r="AW178" s="80">
        <v>0.38779781480410158</v>
      </c>
      <c r="AX178" s="88">
        <v>0.38978938446550943</v>
      </c>
    </row>
    <row r="179" spans="1:50" x14ac:dyDescent="0.25">
      <c r="A179" s="356"/>
      <c r="B179" s="358" t="s">
        <v>17</v>
      </c>
      <c r="C179" s="353" t="s">
        <v>6</v>
      </c>
      <c r="D179" s="3" t="s">
        <v>7</v>
      </c>
      <c r="E179" s="162" t="str">
        <f>A171&amp;"/"&amp;B179&amp;"/"&amp;C179&amp;"/"&amp;D179</f>
        <v>Lignite fired power plants/Supercritical steam turbine/Electricity only/L</v>
      </c>
      <c r="F179" s="77" t="str">
        <f>A171</f>
        <v>Lignite fired power plants</v>
      </c>
      <c r="G179" s="77" t="str">
        <f>B179</f>
        <v>Supercritical steam turbine</v>
      </c>
      <c r="H179" s="77" t="str">
        <f>C179</f>
        <v>Electricity only</v>
      </c>
      <c r="I179" s="163" t="str">
        <f t="shared" si="78"/>
        <v>L</v>
      </c>
      <c r="J179" s="77">
        <v>0.44843049327354262</v>
      </c>
      <c r="K179" s="77">
        <v>0.44843446355543282</v>
      </c>
      <c r="L179" s="77">
        <v>0.44843930956682454</v>
      </c>
      <c r="M179" s="77">
        <v>0.44844522357756206</v>
      </c>
      <c r="N179" s="77">
        <v>0.44845243963423714</v>
      </c>
      <c r="O179" s="77">
        <v>0.44846124242324592</v>
      </c>
      <c r="P179" s="77">
        <v>0.44847197790875576</v>
      </c>
      <c r="Q179" s="77">
        <v>0.44848506604854893</v>
      </c>
      <c r="R179" s="77">
        <v>0.44850101591527797</v>
      </c>
      <c r="S179" s="77">
        <v>0.44852044356117654</v>
      </c>
      <c r="T179" s="77">
        <v>0.44854409294913428</v>
      </c>
      <c r="U179" s="77">
        <v>0.4485728602148375</v>
      </c>
      <c r="V179" s="77">
        <v>0.44860782139786221</v>
      </c>
      <c r="W179" s="77">
        <v>0.44865026354781351</v>
      </c>
      <c r="X179" s="77">
        <v>0.44870171872467834</v>
      </c>
      <c r="Y179" s="77">
        <v>0.44876399980390758</v>
      </c>
      <c r="Z179" s="77">
        <v>0.44883923608255921</v>
      </c>
      <c r="AA179" s="77">
        <v>0.4489299053655616</v>
      </c>
      <c r="AB179" s="77">
        <v>0.44903885739199734</v>
      </c>
      <c r="AC179" s="77">
        <v>0.44916932106871854</v>
      </c>
      <c r="AD179" s="77">
        <v>0.44932488502310014</v>
      </c>
      <c r="AE179" s="77">
        <v>0.44950943765371487</v>
      </c>
      <c r="AF179" s="77">
        <v>0.44972704964729671</v>
      </c>
      <c r="AG179" s="77">
        <v>0.44998177983854681</v>
      </c>
      <c r="AH179" s="77">
        <v>0.45027738598826583</v>
      </c>
      <c r="AI179" s="77">
        <v>0.45061692796105129</v>
      </c>
      <c r="AJ179" s="77">
        <v>0.45100226479911754</v>
      </c>
      <c r="AK179" s="77">
        <v>0.45143347181401627</v>
      </c>
      <c r="AL179" s="77">
        <v>0.45190823935229824</v>
      </c>
      <c r="AM179" s="77">
        <v>0.45242135680119971</v>
      </c>
      <c r="AN179" s="77">
        <v>0.45296442181450519</v>
      </c>
      <c r="AO179" s="77">
        <v>0.45352592630045202</v>
      </c>
      <c r="AP179" s="77">
        <v>0.45409183577586643</v>
      </c>
      <c r="AQ179" s="77">
        <v>0.4546466852361481</v>
      </c>
      <c r="AR179" s="77">
        <v>0.45517507511364402</v>
      </c>
      <c r="AS179" s="77">
        <v>0.45566330901101104</v>
      </c>
      <c r="AT179" s="77">
        <v>0.45610083335270724</v>
      </c>
      <c r="AU179" s="77">
        <v>0.45648116669894168</v>
      </c>
      <c r="AV179" s="77">
        <v>0.45680214419173781</v>
      </c>
      <c r="AW179" s="77">
        <v>0.45706549588103829</v>
      </c>
      <c r="AX179" s="85">
        <v>0.45727594564751894</v>
      </c>
    </row>
    <row r="180" spans="1:50" x14ac:dyDescent="0.25">
      <c r="A180" s="356"/>
      <c r="B180" s="359"/>
      <c r="C180" s="360"/>
      <c r="D180" s="2" t="s">
        <v>8</v>
      </c>
      <c r="E180" s="160" t="str">
        <f>A171&amp;"/"&amp;B179&amp;"/"&amp;C179&amp;"/"&amp;D180</f>
        <v>Lignite fired power plants/Supercritical steam turbine/Electricity only/M</v>
      </c>
      <c r="F180" s="76" t="str">
        <f>A171</f>
        <v>Lignite fired power plants</v>
      </c>
      <c r="G180" s="76" t="str">
        <f>B179</f>
        <v>Supercritical steam turbine</v>
      </c>
      <c r="H180" s="76" t="str">
        <f>C179</f>
        <v>Electricity only</v>
      </c>
      <c r="I180" s="161" t="str">
        <f t="shared" si="78"/>
        <v>M</v>
      </c>
      <c r="J180" s="76">
        <v>0.42707666026051677</v>
      </c>
      <c r="K180" s="76">
        <v>0.42708356177813883</v>
      </c>
      <c r="L180" s="76">
        <v>0.42709177567769191</v>
      </c>
      <c r="M180" s="76">
        <v>0.42710154981557685</v>
      </c>
      <c r="N180" s="76">
        <v>0.4271131781472694</v>
      </c>
      <c r="O180" s="76">
        <v>0.42712700900451295</v>
      </c>
      <c r="P180" s="76">
        <v>0.42714345473420379</v>
      </c>
      <c r="Q180" s="76">
        <v>0.42716300286980424</v>
      </c>
      <c r="R180" s="76">
        <v>0.42718622900336811</v>
      </c>
      <c r="S180" s="76">
        <v>0.42721381150957927</v>
      </c>
      <c r="T180" s="76">
        <v>0.42724654823521768</v>
      </c>
      <c r="U180" s="76">
        <v>0.4272853751980743</v>
      </c>
      <c r="V180" s="76">
        <v>0.42733138722490921</v>
      </c>
      <c r="W180" s="76">
        <v>0.42738586028077663</v>
      </c>
      <c r="X180" s="76">
        <v>0.42745027497929378</v>
      </c>
      <c r="Y180" s="76">
        <v>0.42752634038773563</v>
      </c>
      <c r="Z180" s="76">
        <v>0.42761601672080551</v>
      </c>
      <c r="AA180" s="76">
        <v>0.42772153482008857</v>
      </c>
      <c r="AB180" s="76">
        <v>0.42784540941507987</v>
      </c>
      <c r="AC180" s="76">
        <v>0.42799044204483838</v>
      </c>
      <c r="AD180" s="76">
        <v>0.42815970820951982</v>
      </c>
      <c r="AE180" s="76">
        <v>0.4283565219025805</v>
      </c>
      <c r="AF180" s="76">
        <v>0.42858436933047828</v>
      </c>
      <c r="AG180" s="76">
        <v>0.42884680268379904</v>
      </c>
      <c r="AH180" s="76">
        <v>0.42914728479398029</v>
      </c>
      <c r="AI180" s="76">
        <v>0.42948897710881706</v>
      </c>
      <c r="AJ180" s="76">
        <v>0.42987446752322495</v>
      </c>
      <c r="AK180" s="76">
        <v>0.4303054420864007</v>
      </c>
      <c r="AL180" s="76">
        <v>0.43078231602297645</v>
      </c>
      <c r="AM180" s="76">
        <v>0.43130385455802245</v>
      </c>
      <c r="AN180" s="76">
        <v>0.43186683094446898</v>
      </c>
      <c r="AO180" s="76">
        <v>0.43246578408309039</v>
      </c>
      <c r="AP180" s="76">
        <v>0.43309294548466165</v>
      </c>
      <c r="AQ180" s="76">
        <v>0.43373839852764151</v>
      </c>
      <c r="AR180" s="76">
        <v>0.43439050714794314</v>
      </c>
      <c r="AS180" s="76">
        <v>0.43503660636116998</v>
      </c>
      <c r="AT180" s="76">
        <v>0.43566389103871056</v>
      </c>
      <c r="AU180" s="76">
        <v>0.43626038715823945</v>
      </c>
      <c r="AV180" s="76">
        <v>0.43681585925540911</v>
      </c>
      <c r="AW180" s="76">
        <v>0.43732251225211805</v>
      </c>
      <c r="AX180" s="84">
        <v>0.43777538676347305</v>
      </c>
    </row>
    <row r="181" spans="1:50" x14ac:dyDescent="0.25">
      <c r="A181" s="356"/>
      <c r="B181" s="359"/>
      <c r="C181" s="361" t="s">
        <v>14</v>
      </c>
      <c r="D181" s="58" t="s">
        <v>7</v>
      </c>
      <c r="E181" s="164" t="str">
        <f>A171&amp;"/"&amp;B179&amp;"/"&amp;C181&amp;"/"&amp;D181</f>
        <v>Lignite fired power plants/Supercritical steam turbine/CHP/L</v>
      </c>
      <c r="F181" s="78" t="str">
        <f>A171</f>
        <v>Lignite fired power plants</v>
      </c>
      <c r="G181" s="78" t="str">
        <f>B179</f>
        <v>Supercritical steam turbine</v>
      </c>
      <c r="H181" s="78" t="str">
        <f>C181</f>
        <v>CHP</v>
      </c>
      <c r="I181" s="165" t="str">
        <f t="shared" si="78"/>
        <v>L</v>
      </c>
      <c r="J181" s="78">
        <v>0.40766408479412958</v>
      </c>
      <c r="K181" s="78">
        <v>0.40766713884117534</v>
      </c>
      <c r="L181" s="78">
        <v>0.40767086647955925</v>
      </c>
      <c r="M181" s="78">
        <v>0.40767541557770631</v>
      </c>
      <c r="N181" s="78">
        <v>0.40768096612277321</v>
      </c>
      <c r="O181" s="78">
        <v>0.40768773702962019</v>
      </c>
      <c r="P181" s="78">
        <v>0.407695994310798</v>
      </c>
      <c r="Q181" s="78">
        <v>0.40770606083855859</v>
      </c>
      <c r="R181" s="78">
        <v>0.40771832794784763</v>
      </c>
      <c r="S181" s="78">
        <v>0.40773326913597396</v>
      </c>
      <c r="T181" s="78">
        <v>0.40775145610109215</v>
      </c>
      <c r="U181" s="78">
        <v>0.40777357731417407</v>
      </c>
      <c r="V181" s="78">
        <v>0.40780045921789826</v>
      </c>
      <c r="W181" s="78">
        <v>0.4078330899626022</v>
      </c>
      <c r="X181" s="78">
        <v>0.40787264528530781</v>
      </c>
      <c r="Y181" s="78">
        <v>0.40792051566152882</v>
      </c>
      <c r="Z181" s="78">
        <v>0.40797833314691656</v>
      </c>
      <c r="AA181" s="78">
        <v>0.40804799530283803</v>
      </c>
      <c r="AB181" s="78">
        <v>0.40813168219320822</v>
      </c>
      <c r="AC181" s="78">
        <v>0.40823186059923183</v>
      </c>
      <c r="AD181" s="78">
        <v>0.4083512673408245</v>
      </c>
      <c r="AE181" s="78">
        <v>0.4084928610745151</v>
      </c>
      <c r="AF181" s="78">
        <v>0.40865972956104779</v>
      </c>
      <c r="AG181" s="78">
        <v>0.40885493794956429</v>
      </c>
      <c r="AH181" s="78">
        <v>0.40908130441205737</v>
      </c>
      <c r="AI181" s="78">
        <v>0.40934109433442911</v>
      </c>
      <c r="AJ181" s="78">
        <v>0.40963563540460529</v>
      </c>
      <c r="AK181" s="78">
        <v>0.40996487511365848</v>
      </c>
      <c r="AL181" s="78">
        <v>0.41032692938468529</v>
      </c>
      <c r="AM181" s="78">
        <v>0.41071770246839473</v>
      </c>
      <c r="AN181" s="78">
        <v>0.41113068454497304</v>
      </c>
      <c r="AO181" s="78">
        <v>0.41155703991385961</v>
      </c>
      <c r="AP181" s="78">
        <v>0.41198606938305304</v>
      </c>
      <c r="AQ181" s="78">
        <v>0.41240605765361205</v>
      </c>
      <c r="AR181" s="78">
        <v>0.4128054110573825</v>
      </c>
      <c r="AS181" s="78">
        <v>0.41317388689444356</v>
      </c>
      <c r="AT181" s="78">
        <v>0.41350365930452693</v>
      </c>
      <c r="AU181" s="78">
        <v>0.41378999246490605</v>
      </c>
      <c r="AV181" s="78">
        <v>0.41403139802735833</v>
      </c>
      <c r="AW181" s="78">
        <v>0.41422929792917895</v>
      </c>
      <c r="AX181" s="86">
        <v>0.414387336330171</v>
      </c>
    </row>
    <row r="182" spans="1:50" x14ac:dyDescent="0.25">
      <c r="A182" s="356"/>
      <c r="B182" s="359"/>
      <c r="C182" s="360"/>
      <c r="D182" s="59" t="s">
        <v>8</v>
      </c>
      <c r="E182" s="166" t="str">
        <f>A171&amp;"/"&amp;B179&amp;"/"&amp;C181&amp;"/"&amp;D182</f>
        <v>Lignite fired power plants/Supercritical steam turbine/CHP/M</v>
      </c>
      <c r="F182" s="79" t="str">
        <f>A171</f>
        <v>Lignite fired power plants</v>
      </c>
      <c r="G182" s="79" t="str">
        <f>B179</f>
        <v>Supercritical steam turbine</v>
      </c>
      <c r="H182" s="79" t="str">
        <f>C181</f>
        <v>CHP</v>
      </c>
      <c r="I182" s="167" t="str">
        <f t="shared" si="78"/>
        <v>M</v>
      </c>
      <c r="J182" s="79">
        <v>0.38825150932774249</v>
      </c>
      <c r="K182" s="79">
        <v>0.38825708627329275</v>
      </c>
      <c r="L182" s="79">
        <v>0.38826372362212958</v>
      </c>
      <c r="M182" s="79">
        <v>0.38827162160021955</v>
      </c>
      <c r="N182" s="79">
        <v>0.38828101765633671</v>
      </c>
      <c r="O182" s="79">
        <v>0.38829219313818758</v>
      </c>
      <c r="P182" s="79">
        <v>0.38830548106371138</v>
      </c>
      <c r="Q182" s="79">
        <v>0.38832127512353004</v>
      </c>
      <c r="R182" s="79">
        <v>0.3883400400475146</v>
      </c>
      <c r="S182" s="79">
        <v>0.38836232345388322</v>
      </c>
      <c r="T182" s="79">
        <v>0.38838876926713084</v>
      </c>
      <c r="U182" s="79">
        <v>0.38842013273313386</v>
      </c>
      <c r="V182" s="79">
        <v>0.38845729696489517</v>
      </c>
      <c r="W182" s="79">
        <v>0.38850129080608659</v>
      </c>
      <c r="X182" s="79">
        <v>0.38855330758351336</v>
      </c>
      <c r="Y182" s="79">
        <v>0.38861472401172675</v>
      </c>
      <c r="Z182" s="79">
        <v>0.38868711808817391</v>
      </c>
      <c r="AA182" s="79">
        <v>0.38877228424991639</v>
      </c>
      <c r="AB182" s="79">
        <v>0.38887224333213116</v>
      </c>
      <c r="AC182" s="79">
        <v>0.38898924396724333</v>
      </c>
      <c r="AD182" s="79">
        <v>0.38912575101342439</v>
      </c>
      <c r="AE182" s="79">
        <v>0.38928441547541215</v>
      </c>
      <c r="AF182" s="79">
        <v>0.38946801933371072</v>
      </c>
      <c r="AG182" s="79">
        <v>0.3896793880016175</v>
      </c>
      <c r="AH182" s="79">
        <v>0.38992126320356557</v>
      </c>
      <c r="AI182" s="79">
        <v>0.39019613049299068</v>
      </c>
      <c r="AJ182" s="79">
        <v>0.39050599910123063</v>
      </c>
      <c r="AK182" s="79">
        <v>0.39085213800998453</v>
      </c>
      <c r="AL182" s="79">
        <v>0.39123478145548179</v>
      </c>
      <c r="AM182" s="79">
        <v>0.39165282917547267</v>
      </c>
      <c r="AN182" s="79">
        <v>0.39210358005893819</v>
      </c>
      <c r="AO182" s="79">
        <v>0.39258254932511133</v>
      </c>
      <c r="AP182" s="79">
        <v>0.39308342433928872</v>
      </c>
      <c r="AQ182" s="79">
        <v>0.3935982075770747</v>
      </c>
      <c r="AR182" s="79">
        <v>0.39411757351931398</v>
      </c>
      <c r="AS182" s="79">
        <v>0.39463142996435724</v>
      </c>
      <c r="AT182" s="79">
        <v>0.39512962996549561</v>
      </c>
      <c r="AU182" s="79">
        <v>0.39560274047423361</v>
      </c>
      <c r="AV182" s="79">
        <v>0.39604275173893105</v>
      </c>
      <c r="AW182" s="79">
        <v>0.39644361732282229</v>
      </c>
      <c r="AX182" s="87">
        <v>0.39680154859628114</v>
      </c>
    </row>
    <row r="183" spans="1:50" x14ac:dyDescent="0.25">
      <c r="A183" s="356"/>
      <c r="B183" s="359"/>
      <c r="C183" s="361" t="s">
        <v>15</v>
      </c>
      <c r="D183" s="58" t="s">
        <v>7</v>
      </c>
      <c r="E183" s="164" t="str">
        <f>A171&amp;"/"&amp;B179&amp;"/"&amp;C183&amp;"/"&amp;D183</f>
        <v>Lignite fired power plants/Supercritical steam turbine/Electricity only with CCS/L</v>
      </c>
      <c r="F183" s="78" t="str">
        <f>A171</f>
        <v>Lignite fired power plants</v>
      </c>
      <c r="G183" s="78" t="str">
        <f>B179</f>
        <v>Supercritical steam turbine</v>
      </c>
      <c r="H183" s="78" t="str">
        <f>C183</f>
        <v>Electricity only with CCS</v>
      </c>
      <c r="I183" s="165" t="str">
        <f t="shared" si="78"/>
        <v>L</v>
      </c>
      <c r="J183" s="78" t="s">
        <v>112</v>
      </c>
      <c r="K183" s="78" t="s">
        <v>112</v>
      </c>
      <c r="L183" s="78" t="s">
        <v>112</v>
      </c>
      <c r="M183" s="78" t="s">
        <v>112</v>
      </c>
      <c r="N183" s="78" t="s">
        <v>112</v>
      </c>
      <c r="O183" s="78" t="s">
        <v>112</v>
      </c>
      <c r="P183" s="78" t="s">
        <v>112</v>
      </c>
      <c r="Q183" s="78" t="s">
        <v>112</v>
      </c>
      <c r="R183" s="78" t="s">
        <v>112</v>
      </c>
      <c r="S183" s="78" t="s">
        <v>112</v>
      </c>
      <c r="T183" s="78" t="s">
        <v>112</v>
      </c>
      <c r="U183" s="78" t="s">
        <v>112</v>
      </c>
      <c r="V183" s="78" t="s">
        <v>112</v>
      </c>
      <c r="W183" s="78" t="s">
        <v>112</v>
      </c>
      <c r="X183" s="78" t="s">
        <v>112</v>
      </c>
      <c r="Y183" s="78" t="s">
        <v>112</v>
      </c>
      <c r="Z183" s="78" t="s">
        <v>112</v>
      </c>
      <c r="AA183" s="78" t="s">
        <v>112</v>
      </c>
      <c r="AB183" s="78" t="s">
        <v>112</v>
      </c>
      <c r="AC183" s="78" t="s">
        <v>112</v>
      </c>
      <c r="AD183" s="78" t="s">
        <v>112</v>
      </c>
      <c r="AE183" s="78">
        <v>0.42720025746403351</v>
      </c>
      <c r="AF183" s="78">
        <v>0.42722745040405591</v>
      </c>
      <c r="AG183" s="78">
        <v>0.42726058003910289</v>
      </c>
      <c r="AH183" s="78">
        <v>0.42730092000389314</v>
      </c>
      <c r="AI183" s="78">
        <v>0.42735000627281072</v>
      </c>
      <c r="AJ183" s="78">
        <v>0.42740968590512313</v>
      </c>
      <c r="AK183" s="78">
        <v>0.42748217224992713</v>
      </c>
      <c r="AL183" s="78">
        <v>0.42757010611480312</v>
      </c>
      <c r="AM183" s="78">
        <v>0.4276766215027038</v>
      </c>
      <c r="AN183" s="78">
        <v>0.42780541315210524</v>
      </c>
      <c r="AO183" s="78">
        <v>0.42796080112138069</v>
      </c>
      <c r="AP183" s="78">
        <v>0.42814778487908384</v>
      </c>
      <c r="AQ183" s="78">
        <v>0.42837207567098534</v>
      </c>
      <c r="AR183" s="78">
        <v>0.42864009131782654</v>
      </c>
      <c r="AS183" s="78">
        <v>0.42895889228362655</v>
      </c>
      <c r="AT183" s="78">
        <v>0.42933603251137331</v>
      </c>
      <c r="AU183" s="78">
        <v>0.42977929451095942</v>
      </c>
      <c r="AV183" s="78">
        <v>0.43029627780284835</v>
      </c>
      <c r="AW183" s="78">
        <v>0.43089381640416491</v>
      </c>
      <c r="AX183" s="86">
        <v>0.43157721862820281</v>
      </c>
    </row>
    <row r="184" spans="1:50" x14ac:dyDescent="0.25">
      <c r="A184" s="356"/>
      <c r="B184" s="359"/>
      <c r="C184" s="360"/>
      <c r="D184" s="59" t="s">
        <v>8</v>
      </c>
      <c r="E184" s="166" t="str">
        <f>A171&amp;"/"&amp;B179&amp;"/"&amp;C183&amp;"/"&amp;D184</f>
        <v>Lignite fired power plants/Supercritical steam turbine/Electricity only with CCS/M</v>
      </c>
      <c r="F184" s="79" t="str">
        <f>A171</f>
        <v>Lignite fired power plants</v>
      </c>
      <c r="G184" s="79" t="str">
        <f>B179</f>
        <v>Supercritical steam turbine</v>
      </c>
      <c r="H184" s="79" t="str">
        <f>C183</f>
        <v>Electricity only with CCS</v>
      </c>
      <c r="I184" s="167" t="str">
        <f t="shared" si="78"/>
        <v>M</v>
      </c>
      <c r="J184" s="79" t="s">
        <v>112</v>
      </c>
      <c r="K184" s="79" t="s">
        <v>112</v>
      </c>
      <c r="L184" s="79" t="s">
        <v>112</v>
      </c>
      <c r="M184" s="79" t="s">
        <v>112</v>
      </c>
      <c r="N184" s="79" t="s">
        <v>112</v>
      </c>
      <c r="O184" s="79" t="s">
        <v>112</v>
      </c>
      <c r="P184" s="79" t="s">
        <v>112</v>
      </c>
      <c r="Q184" s="79" t="s">
        <v>112</v>
      </c>
      <c r="R184" s="79" t="s">
        <v>112</v>
      </c>
      <c r="S184" s="79" t="s">
        <v>112</v>
      </c>
      <c r="T184" s="79" t="s">
        <v>112</v>
      </c>
      <c r="U184" s="79" t="s">
        <v>112</v>
      </c>
      <c r="V184" s="79" t="s">
        <v>112</v>
      </c>
      <c r="W184" s="79" t="s">
        <v>112</v>
      </c>
      <c r="X184" s="79" t="s">
        <v>112</v>
      </c>
      <c r="Y184" s="79" t="s">
        <v>112</v>
      </c>
      <c r="Z184" s="79" t="s">
        <v>112</v>
      </c>
      <c r="AA184" s="79" t="s">
        <v>112</v>
      </c>
      <c r="AB184" s="79" t="s">
        <v>112</v>
      </c>
      <c r="AC184" s="79" t="s">
        <v>112</v>
      </c>
      <c r="AD184" s="79" t="s">
        <v>112</v>
      </c>
      <c r="AE184" s="79">
        <v>0.40679042110452196</v>
      </c>
      <c r="AF184" s="79">
        <v>0.40680479784621693</v>
      </c>
      <c r="AG184" s="79">
        <v>0.40682323464303544</v>
      </c>
      <c r="AH184" s="79">
        <v>0.40684686961395627</v>
      </c>
      <c r="AI184" s="79">
        <v>0.40687715446320644</v>
      </c>
      <c r="AJ184" s="79">
        <v>0.40691593737020731</v>
      </c>
      <c r="AK184" s="79">
        <v>0.40696556552210056</v>
      </c>
      <c r="AL184" s="79">
        <v>0.40702901045400047</v>
      </c>
      <c r="AM184" s="79">
        <v>0.40711001882095516</v>
      </c>
      <c r="AN184" s="79">
        <v>0.40721328972999177</v>
      </c>
      <c r="AO184" s="79">
        <v>0.40734467665767599</v>
      </c>
      <c r="AP184" s="79">
        <v>0.40751140631764038</v>
      </c>
      <c r="AQ184" s="79">
        <v>0.4077222973398254</v>
      </c>
      <c r="AR184" s="79">
        <v>0.40798794674253802</v>
      </c>
      <c r="AS184" s="79">
        <v>0.40832083048706957</v>
      </c>
      <c r="AT184" s="79">
        <v>0.40873523547029778</v>
      </c>
      <c r="AU184" s="79">
        <v>0.40924690649174683</v>
      </c>
      <c r="AV184" s="79">
        <v>0.40987226111857034</v>
      </c>
      <c r="AW184" s="79">
        <v>0.41062701552371322</v>
      </c>
      <c r="AX184" s="87">
        <v>0.41152410484296781</v>
      </c>
    </row>
    <row r="185" spans="1:50" x14ac:dyDescent="0.25">
      <c r="A185" s="356"/>
      <c r="B185" s="359"/>
      <c r="C185" s="361" t="s">
        <v>16</v>
      </c>
      <c r="D185" s="2" t="s">
        <v>7</v>
      </c>
      <c r="E185" s="160" t="str">
        <f>A171&amp;"/"&amp;B179&amp;"/"&amp;C185&amp;"/"&amp;D185</f>
        <v>Lignite fired power plants/Supercritical steam turbine/CHP with CCS/L</v>
      </c>
      <c r="F185" s="76" t="str">
        <f>A171</f>
        <v>Lignite fired power plants</v>
      </c>
      <c r="G185" s="76" t="str">
        <f>B179</f>
        <v>Supercritical steam turbine</v>
      </c>
      <c r="H185" s="76" t="str">
        <f>C185</f>
        <v>CHP with CCS</v>
      </c>
      <c r="I185" s="161" t="str">
        <f t="shared" si="78"/>
        <v>L</v>
      </c>
      <c r="J185" s="76" t="s">
        <v>112</v>
      </c>
      <c r="K185" s="76" t="s">
        <v>112</v>
      </c>
      <c r="L185" s="76" t="s">
        <v>112</v>
      </c>
      <c r="M185" s="76" t="s">
        <v>112</v>
      </c>
      <c r="N185" s="76" t="s">
        <v>112</v>
      </c>
      <c r="O185" s="76" t="s">
        <v>112</v>
      </c>
      <c r="P185" s="76" t="s">
        <v>112</v>
      </c>
      <c r="Q185" s="76" t="s">
        <v>112</v>
      </c>
      <c r="R185" s="76" t="s">
        <v>112</v>
      </c>
      <c r="S185" s="76" t="s">
        <v>112</v>
      </c>
      <c r="T185" s="76" t="s">
        <v>112</v>
      </c>
      <c r="U185" s="76" t="s">
        <v>112</v>
      </c>
      <c r="V185" s="76" t="s">
        <v>112</v>
      </c>
      <c r="W185" s="76" t="s">
        <v>112</v>
      </c>
      <c r="X185" s="76" t="s">
        <v>112</v>
      </c>
      <c r="Y185" s="76" t="s">
        <v>112</v>
      </c>
      <c r="Z185" s="76" t="s">
        <v>112</v>
      </c>
      <c r="AA185" s="76" t="s">
        <v>112</v>
      </c>
      <c r="AB185" s="76" t="s">
        <v>112</v>
      </c>
      <c r="AC185" s="76" t="s">
        <v>112</v>
      </c>
      <c r="AD185" s="76" t="s">
        <v>112</v>
      </c>
      <c r="AE185" s="76">
        <v>0.38834512625473505</v>
      </c>
      <c r="AF185" s="76">
        <v>0.38836571850639129</v>
      </c>
      <c r="AG185" s="76">
        <v>0.38839080413968841</v>
      </c>
      <c r="AH185" s="76">
        <v>0.38842134604352918</v>
      </c>
      <c r="AI185" s="76">
        <v>0.38845850490279799</v>
      </c>
      <c r="AJ185" s="76">
        <v>0.38850367568564237</v>
      </c>
      <c r="AK185" s="76">
        <v>0.38855852882696068</v>
      </c>
      <c r="AL185" s="76">
        <v>0.3886250556501547</v>
      </c>
      <c r="AM185" s="76">
        <v>0.38870561685863714</v>
      </c>
      <c r="AN185" s="76">
        <v>0.38880299185562578</v>
      </c>
      <c r="AO185" s="76">
        <v>0.38892042510050512</v>
      </c>
      <c r="AP185" s="76">
        <v>0.38906166356697242</v>
      </c>
      <c r="AQ185" s="76">
        <v>0.3892309765496873</v>
      </c>
      <c r="AR185" s="76">
        <v>0.38943314558541753</v>
      </c>
      <c r="AS185" s="76">
        <v>0.38967340832476344</v>
      </c>
      <c r="AT185" s="76">
        <v>0.38995733637615082</v>
      </c>
      <c r="AU185" s="76">
        <v>0.39029062454908992</v>
      </c>
      <c r="AV185" s="76">
        <v>0.3906787693630655</v>
      </c>
      <c r="AW185" s="76">
        <v>0.39112662071558607</v>
      </c>
      <c r="AX185" s="84">
        <v>0.39163780518247771</v>
      </c>
    </row>
    <row r="186" spans="1:50" x14ac:dyDescent="0.25">
      <c r="A186" s="356"/>
      <c r="B186" s="362"/>
      <c r="C186" s="354"/>
      <c r="D186" s="4" t="s">
        <v>8</v>
      </c>
      <c r="E186" s="168" t="str">
        <f>A171&amp;"/"&amp;B179&amp;"/"&amp;C185&amp;"/"&amp;D186</f>
        <v>Lignite fired power plants/Supercritical steam turbine/CHP with CCS/M</v>
      </c>
      <c r="F186" s="80" t="str">
        <f>A171</f>
        <v>Lignite fired power plants</v>
      </c>
      <c r="G186" s="80" t="str">
        <f>B179</f>
        <v>Supercritical steam turbine</v>
      </c>
      <c r="H186" s="80" t="str">
        <f>C185</f>
        <v>CHP with CCS</v>
      </c>
      <c r="I186" s="169" t="str">
        <f t="shared" si="78"/>
        <v>M</v>
      </c>
      <c r="J186" s="80" t="s">
        <v>112</v>
      </c>
      <c r="K186" s="80" t="s">
        <v>112</v>
      </c>
      <c r="L186" s="80" t="s">
        <v>112</v>
      </c>
      <c r="M186" s="80" t="s">
        <v>112</v>
      </c>
      <c r="N186" s="80" t="s">
        <v>112</v>
      </c>
      <c r="O186" s="80" t="s">
        <v>112</v>
      </c>
      <c r="P186" s="80" t="s">
        <v>112</v>
      </c>
      <c r="Q186" s="80" t="s">
        <v>112</v>
      </c>
      <c r="R186" s="80" t="s">
        <v>112</v>
      </c>
      <c r="S186" s="80" t="s">
        <v>112</v>
      </c>
      <c r="T186" s="80" t="s">
        <v>112</v>
      </c>
      <c r="U186" s="80" t="s">
        <v>112</v>
      </c>
      <c r="V186" s="80" t="s">
        <v>112</v>
      </c>
      <c r="W186" s="80" t="s">
        <v>112</v>
      </c>
      <c r="X186" s="80" t="s">
        <v>112</v>
      </c>
      <c r="Y186" s="80" t="s">
        <v>112</v>
      </c>
      <c r="Z186" s="80" t="s">
        <v>112</v>
      </c>
      <c r="AA186" s="80" t="s">
        <v>112</v>
      </c>
      <c r="AB186" s="80" t="s">
        <v>112</v>
      </c>
      <c r="AC186" s="80" t="s">
        <v>112</v>
      </c>
      <c r="AD186" s="80" t="s">
        <v>112</v>
      </c>
      <c r="AE186" s="80">
        <v>0.36980178208102854</v>
      </c>
      <c r="AF186" s="80">
        <v>0.36981267156932551</v>
      </c>
      <c r="AG186" s="80">
        <v>0.36982663557675222</v>
      </c>
      <c r="AH186" s="80">
        <v>0.36984453549083041</v>
      </c>
      <c r="AI186" s="80">
        <v>0.36986746973662377</v>
      </c>
      <c r="AJ186" s="80">
        <v>0.3698968362384093</v>
      </c>
      <c r="AK186" s="80">
        <v>0.36993440955453</v>
      </c>
      <c r="AL186" s="80">
        <v>0.36998243495832656</v>
      </c>
      <c r="AM186" s="80">
        <v>0.37004374125738948</v>
      </c>
      <c r="AN186" s="80">
        <v>0.37012187290459281</v>
      </c>
      <c r="AO186" s="80">
        <v>0.37022123945088969</v>
      </c>
      <c r="AP186" s="80">
        <v>0.3703472758917411</v>
      </c>
      <c r="AQ186" s="80">
        <v>0.37050659999594665</v>
      </c>
      <c r="AR186" s="80">
        <v>0.37070714114826647</v>
      </c>
      <c r="AS186" s="80">
        <v>0.37095819860507689</v>
      </c>
      <c r="AT186" s="80">
        <v>0.37127036526401314</v>
      </c>
      <c r="AU186" s="80">
        <v>0.37165522831266179</v>
      </c>
      <c r="AV186" s="80">
        <v>0.37212473726669465</v>
      </c>
      <c r="AW186" s="80">
        <v>0.37269012705605675</v>
      </c>
      <c r="AX186" s="88">
        <v>0.37336032179762779</v>
      </c>
    </row>
    <row r="187" spans="1:50" x14ac:dyDescent="0.25">
      <c r="A187" s="356"/>
      <c r="B187" s="358" t="s">
        <v>18</v>
      </c>
      <c r="C187" s="353" t="s">
        <v>6</v>
      </c>
      <c r="D187" s="3" t="s">
        <v>7</v>
      </c>
      <c r="E187" s="162" t="str">
        <f>A171&amp;"/"&amp;B187&amp;"/"&amp;C187&amp;"/"&amp;D187</f>
        <v>Lignite fired power plants/Fluidized bed combustion/Electricity only/L</v>
      </c>
      <c r="F187" s="77" t="str">
        <f>A171</f>
        <v>Lignite fired power plants</v>
      </c>
      <c r="G187" s="77" t="str">
        <f>B187</f>
        <v>Fluidized bed combustion</v>
      </c>
      <c r="H187" s="77" t="str">
        <f>C187</f>
        <v>Electricity only</v>
      </c>
      <c r="I187" s="163" t="str">
        <f t="shared" si="78"/>
        <v>L</v>
      </c>
      <c r="J187" s="77">
        <v>0.4065040650406504</v>
      </c>
      <c r="K187" s="77">
        <v>0.40650733321921945</v>
      </c>
      <c r="L187" s="77">
        <v>0.40651132380929517</v>
      </c>
      <c r="M187" s="77">
        <v>0.40651619617893309</v>
      </c>
      <c r="N187" s="77">
        <v>0.40652214469807046</v>
      </c>
      <c r="O187" s="77">
        <v>0.40652940634949497</v>
      </c>
      <c r="P187" s="77">
        <v>0.40653826995714576</v>
      </c>
      <c r="Q187" s="77">
        <v>0.40654908735681994</v>
      </c>
      <c r="R187" s="77">
        <v>0.4065622868903469</v>
      </c>
      <c r="S187" s="77">
        <v>0.40657838966503806</v>
      </c>
      <c r="T187" s="77">
        <v>0.40659802908316095</v>
      </c>
      <c r="U187" s="77">
        <v>0.40662197420661239</v>
      </c>
      <c r="V187" s="77">
        <v>0.40665115757174841</v>
      </c>
      <c r="W187" s="77">
        <v>0.40668670809532781</v>
      </c>
      <c r="X187" s="77">
        <v>0.40672998969411922</v>
      </c>
      <c r="Y187" s="77">
        <v>0.40678264614661325</v>
      </c>
      <c r="Z187" s="77">
        <v>0.40684665250918112</v>
      </c>
      <c r="AA187" s="77">
        <v>0.40692437299423634</v>
      </c>
      <c r="AB187" s="77">
        <v>0.40701862453117854</v>
      </c>
      <c r="AC187" s="77">
        <v>0.40713274413601835</v>
      </c>
      <c r="AD187" s="77">
        <v>0.40727065654970118</v>
      </c>
      <c r="AE187" s="77">
        <v>0.40743693617121302</v>
      </c>
      <c r="AF187" s="77">
        <v>0.40763685389552551</v>
      </c>
      <c r="AG187" s="77">
        <v>0.40787639488250849</v>
      </c>
      <c r="AH187" s="77">
        <v>0.40816222746723274</v>
      </c>
      <c r="AI187" s="77">
        <v>0.40850159660219842</v>
      </c>
      <c r="AJ187" s="77">
        <v>0.40890210819110367</v>
      </c>
      <c r="AK187" s="77">
        <v>0.40937136518089018</v>
      </c>
      <c r="AL187" s="77">
        <v>0.40991641549044883</v>
      </c>
      <c r="AM187" s="77">
        <v>0.41054298071061796</v>
      </c>
      <c r="AN187" s="77">
        <v>0.41125445956863316</v>
      </c>
      <c r="AO187" s="77">
        <v>0.41205074820674598</v>
      </c>
      <c r="AP187" s="77">
        <v>0.41292699390867732</v>
      </c>
      <c r="AQ187" s="77">
        <v>0.41387249414506977</v>
      </c>
      <c r="AR187" s="77">
        <v>0.41487004586479437</v>
      </c>
      <c r="AS187" s="77">
        <v>0.41589609674536504</v>
      </c>
      <c r="AT187" s="77">
        <v>0.4169219928426629</v>
      </c>
      <c r="AU187" s="77">
        <v>0.4179164116872191</v>
      </c>
      <c r="AV187" s="77">
        <v>0.41884872962879299</v>
      </c>
      <c r="AW187" s="77">
        <v>0.41969270077041126</v>
      </c>
      <c r="AX187" s="85">
        <v>0.4204295964026975</v>
      </c>
    </row>
    <row r="188" spans="1:50" x14ac:dyDescent="0.25">
      <c r="A188" s="356"/>
      <c r="B188" s="359"/>
      <c r="C188" s="350"/>
      <c r="D188" s="2" t="s">
        <v>8</v>
      </c>
      <c r="E188" s="160" t="str">
        <f>A171&amp;"/"&amp;B187&amp;"/"&amp;C187&amp;"/"&amp;D188</f>
        <v>Lignite fired power plants/Fluidized bed combustion/Electricity only/M</v>
      </c>
      <c r="F188" s="76" t="str">
        <f>A171</f>
        <v>Lignite fired power plants</v>
      </c>
      <c r="G188" s="76" t="str">
        <f>B187</f>
        <v>Fluidized bed combustion</v>
      </c>
      <c r="H188" s="76" t="str">
        <f>C187</f>
        <v>Electricity only</v>
      </c>
      <c r="I188" s="161" t="str">
        <f t="shared" si="78"/>
        <v>M</v>
      </c>
      <c r="J188" s="76">
        <v>0.38714672861014321</v>
      </c>
      <c r="K188" s="76">
        <v>0.3871529458682918</v>
      </c>
      <c r="L188" s="76">
        <v>0.38716034821220863</v>
      </c>
      <c r="M188" s="76">
        <v>0.38716916063743573</v>
      </c>
      <c r="N188" s="76">
        <v>0.38717965048138753</v>
      </c>
      <c r="O188" s="76">
        <v>0.38719213523481538</v>
      </c>
      <c r="P188" s="76">
        <v>0.38720699172854384</v>
      </c>
      <c r="Q188" s="76">
        <v>0.38722466690968166</v>
      </c>
      <c r="R188" s="76">
        <v>0.38724569044263896</v>
      </c>
      <c r="S188" s="76">
        <v>0.38727068938755688</v>
      </c>
      <c r="T188" s="76">
        <v>0.38730040521842118</v>
      </c>
      <c r="U188" s="76">
        <v>0.38733571343962409</v>
      </c>
      <c r="V188" s="76">
        <v>0.38737764603503566</v>
      </c>
      <c r="W188" s="76">
        <v>0.38742741692639365</v>
      </c>
      <c r="X188" s="76">
        <v>0.38748645051228503</v>
      </c>
      <c r="Y188" s="76">
        <v>0.38755641318381806</v>
      </c>
      <c r="Z188" s="76">
        <v>0.38763924744001016</v>
      </c>
      <c r="AA188" s="76">
        <v>0.38773720781855531</v>
      </c>
      <c r="AB188" s="76">
        <v>0.3878528972709776</v>
      </c>
      <c r="AC188" s="76">
        <v>0.38798930179230112</v>
      </c>
      <c r="AD188" s="76">
        <v>0.38814982000709441</v>
      </c>
      <c r="AE188" s="76">
        <v>0.38833828296293177</v>
      </c>
      <c r="AF188" s="76">
        <v>0.38855895755614223</v>
      </c>
      <c r="AG188" s="76">
        <v>0.38881652482884266</v>
      </c>
      <c r="AH188" s="76">
        <v>0.38911602193935063</v>
      </c>
      <c r="AI188" s="76">
        <v>0.38946273418652921</v>
      </c>
      <c r="AJ188" s="76">
        <v>0.38986202157059124</v>
      </c>
      <c r="AK188" s="76">
        <v>0.39031906384103082</v>
      </c>
      <c r="AL188" s="76">
        <v>0.39083851006401404</v>
      </c>
      <c r="AM188" s="76">
        <v>0.39142402507387303</v>
      </c>
      <c r="AN188" s="76">
        <v>0.39207773757941317</v>
      </c>
      <c r="AO188" s="76">
        <v>0.39279961465676155</v>
      </c>
      <c r="AP188" s="76">
        <v>0.39358681504716886</v>
      </c>
      <c r="AQ188" s="76">
        <v>0.39443310656451197</v>
      </c>
      <c r="AR188" s="76">
        <v>0.39532846433374857</v>
      </c>
      <c r="AS188" s="76">
        <v>0.3962589850865359</v>
      </c>
      <c r="AT188" s="76">
        <v>0.39720724366467591</v>
      </c>
      <c r="AU188" s="76">
        <v>0.39815316826951425</v>
      </c>
      <c r="AV188" s="76">
        <v>0.39907541769482935</v>
      </c>
      <c r="AW188" s="76">
        <v>0.39995312153451962</v>
      </c>
      <c r="AX188" s="84">
        <v>0.40076772787722731</v>
      </c>
    </row>
    <row r="189" spans="1:50" x14ac:dyDescent="0.25">
      <c r="A189" s="356"/>
      <c r="B189" s="359"/>
      <c r="C189" s="360"/>
      <c r="D189" s="2" t="s">
        <v>10</v>
      </c>
      <c r="E189" s="160" t="str">
        <f>A171&amp;"/"&amp;B187&amp;"/"&amp;C187&amp;"/"&amp;D189</f>
        <v>Lignite fired power plants/Fluidized bed combustion/Electricity only/S</v>
      </c>
      <c r="F189" s="76" t="str">
        <f>A171</f>
        <v>Lignite fired power plants</v>
      </c>
      <c r="G189" s="76" t="str">
        <f>B187</f>
        <v>Fluidized bed combustion</v>
      </c>
      <c r="H189" s="76" t="str">
        <f>C187</f>
        <v>Electricity only</v>
      </c>
      <c r="I189" s="161" t="str">
        <f t="shared" si="78"/>
        <v>S</v>
      </c>
      <c r="J189" s="76">
        <v>0.36871117010489829</v>
      </c>
      <c r="K189" s="76">
        <v>0.36872437119295154</v>
      </c>
      <c r="L189" s="76">
        <v>0.36873969267438961</v>
      </c>
      <c r="M189" s="76">
        <v>0.36875747213563981</v>
      </c>
      <c r="N189" s="76">
        <v>0.3687780998659182</v>
      </c>
      <c r="O189" s="76">
        <v>0.36880202672062323</v>
      </c>
      <c r="P189" s="76">
        <v>0.36882977302978415</v>
      </c>
      <c r="Q189" s="76">
        <v>0.36886193864411654</v>
      </c>
      <c r="R189" s="76">
        <v>0.36889921420110594</v>
      </c>
      <c r="S189" s="76">
        <v>0.36894239367391268</v>
      </c>
      <c r="T189" s="76">
        <v>0.36899238823298341</v>
      </c>
      <c r="U189" s="76">
        <v>0.36905024139914694</v>
      </c>
      <c r="V189" s="76">
        <v>0.36911714539139978</v>
      </c>
      <c r="W189" s="76">
        <v>0.36919445846469112</v>
      </c>
      <c r="X189" s="76">
        <v>0.36928372288323286</v>
      </c>
      <c r="Y189" s="76">
        <v>0.36938668297187383</v>
      </c>
      <c r="Z189" s="76">
        <v>0.36950530241912177</v>
      </c>
      <c r="AA189" s="76">
        <v>0.3696417796569843</v>
      </c>
      <c r="AB189" s="76">
        <v>0.36979855970224557</v>
      </c>
      <c r="AC189" s="76">
        <v>0.36997834030192012</v>
      </c>
      <c r="AD189" s="76">
        <v>0.3701840695811196</v>
      </c>
      <c r="AE189" s="76">
        <v>0.37041893165766443</v>
      </c>
      <c r="AF189" s="76">
        <v>0.37068631590178464</v>
      </c>
      <c r="AG189" s="76">
        <v>0.37098976475525103</v>
      </c>
      <c r="AH189" s="76">
        <v>0.37133289440863892</v>
      </c>
      <c r="AI189" s="76">
        <v>0.3717192823634452</v>
      </c>
      <c r="AJ189" s="76">
        <v>0.37215231625517331</v>
      </c>
      <c r="AK189" s="76">
        <v>0.37263499964711239</v>
      </c>
      <c r="AL189" s="76">
        <v>0.37316971324959985</v>
      </c>
      <c r="AM189" s="76">
        <v>0.37375793460648304</v>
      </c>
      <c r="AN189" s="76">
        <v>0.374399926032085</v>
      </c>
      <c r="AO189" s="76">
        <v>0.37509440948002537</v>
      </c>
      <c r="AP189" s="76">
        <v>0.37583825751251582</v>
      </c>
      <c r="AQ189" s="76">
        <v>0.37662624020668267</v>
      </c>
      <c r="AR189" s="76">
        <v>0.37745087626063317</v>
      </c>
      <c r="AS189" s="76">
        <v>0.37830243941672775</v>
      </c>
      <c r="AT189" s="76">
        <v>0.3791691649532456</v>
      </c>
      <c r="AU189" s="76">
        <v>0.38003768261449905</v>
      </c>
      <c r="AV189" s="76">
        <v>0.38089367162391208</v>
      </c>
      <c r="AW189" s="76">
        <v>0.38172269397203623</v>
      </c>
      <c r="AX189" s="84">
        <v>0.38251112201146165</v>
      </c>
    </row>
    <row r="190" spans="1:50" x14ac:dyDescent="0.25">
      <c r="A190" s="356"/>
      <c r="B190" s="359"/>
      <c r="C190" s="361" t="s">
        <v>14</v>
      </c>
      <c r="D190" s="58" t="s">
        <v>7</v>
      </c>
      <c r="E190" s="164" t="str">
        <f>A171&amp;"/"&amp;B187&amp;"/"&amp;C190&amp;"/"&amp;D190</f>
        <v>Lignite fired power plants/Fluidized bed combustion/CHP/L</v>
      </c>
      <c r="F190" s="78" t="str">
        <f>A171</f>
        <v>Lignite fired power plants</v>
      </c>
      <c r="G190" s="78" t="str">
        <f>B187</f>
        <v>Fluidized bed combustion</v>
      </c>
      <c r="H190" s="78" t="str">
        <f>C190</f>
        <v>CHP</v>
      </c>
      <c r="I190" s="165" t="str">
        <f t="shared" si="78"/>
        <v>L</v>
      </c>
      <c r="J190" s="78">
        <v>0.36954915003695493</v>
      </c>
      <c r="K190" s="78">
        <v>0.36955012191717906</v>
      </c>
      <c r="L190" s="78">
        <v>0.36955130884347343</v>
      </c>
      <c r="M190" s="78">
        <v>0.36955275836328455</v>
      </c>
      <c r="N190" s="78">
        <v>0.36955452851957143</v>
      </c>
      <c r="O190" s="78">
        <v>0.36955669015900783</v>
      </c>
      <c r="P190" s="78">
        <v>0.36955932974360339</v>
      </c>
      <c r="Q190" s="78">
        <v>0.36956255277346567</v>
      </c>
      <c r="R190" s="78">
        <v>0.36956648795044961</v>
      </c>
      <c r="S190" s="78">
        <v>0.36957129223844892</v>
      </c>
      <c r="T190" s="78">
        <v>0.36957715700653709</v>
      </c>
      <c r="U190" s="78">
        <v>0.36958431547639609</v>
      </c>
      <c r="V190" s="78">
        <v>0.36959305173562146</v>
      </c>
      <c r="W190" s="78">
        <v>0.36960371162325029</v>
      </c>
      <c r="X190" s="78">
        <v>0.36961671584223965</v>
      </c>
      <c r="Y190" s="78">
        <v>0.36963257570347163</v>
      </c>
      <c r="Z190" s="78">
        <v>0.36965191195321367</v>
      </c>
      <c r="AA190" s="78">
        <v>0.36967547717408744</v>
      </c>
      <c r="AB190" s="78">
        <v>0.36970418226759122</v>
      </c>
      <c r="AC190" s="78">
        <v>0.3697391275070831</v>
      </c>
      <c r="AD190" s="78">
        <v>0.36978163856812418</v>
      </c>
      <c r="AE190" s="78">
        <v>0.36983330776024037</v>
      </c>
      <c r="AF190" s="78">
        <v>0.36989604034599377</v>
      </c>
      <c r="AG190" s="78">
        <v>0.3699721052637947</v>
      </c>
      <c r="AH190" s="78">
        <v>0.37006418866797564</v>
      </c>
      <c r="AI190" s="78">
        <v>0.37017544733219637</v>
      </c>
      <c r="AJ190" s="78">
        <v>0.37030955697328694</v>
      </c>
      <c r="AK190" s="78">
        <v>0.37047074777467964</v>
      </c>
      <c r="AL190" s="78">
        <v>0.37066381568248791</v>
      </c>
      <c r="AM190" s="78">
        <v>0.37089409338111984</v>
      </c>
      <c r="AN190" s="78">
        <v>0.37116735944469731</v>
      </c>
      <c r="AO190" s="78">
        <v>0.37148965869218908</v>
      </c>
      <c r="AP190" s="78">
        <v>0.37186700271753981</v>
      </c>
      <c r="AQ190" s="78">
        <v>0.37230491952961686</v>
      </c>
      <c r="AR190" s="78">
        <v>0.37280782921478217</v>
      </c>
      <c r="AS190" s="78">
        <v>0.3733782437069148</v>
      </c>
      <c r="AT190" s="78">
        <v>0.3740158282638168</v>
      </c>
      <c r="AU190" s="78">
        <v>0.37471642230897539</v>
      </c>
      <c r="AV190" s="78">
        <v>0.37547119226621101</v>
      </c>
      <c r="AW190" s="78">
        <v>0.37626615969198418</v>
      </c>
      <c r="AX190" s="86">
        <v>0.37708237898323937</v>
      </c>
    </row>
    <row r="191" spans="1:50" x14ac:dyDescent="0.25">
      <c r="A191" s="356"/>
      <c r="B191" s="359"/>
      <c r="C191" s="350"/>
      <c r="D191" s="2" t="s">
        <v>8</v>
      </c>
      <c r="E191" s="160" t="str">
        <f>A171&amp;"/"&amp;B187&amp;"/"&amp;C190&amp;"/"&amp;D191</f>
        <v>Lignite fired power plants/Fluidized bed combustion/CHP/M</v>
      </c>
      <c r="F191" s="76" t="str">
        <f>A171</f>
        <v>Lignite fired power plants</v>
      </c>
      <c r="G191" s="76" t="str">
        <f>B187</f>
        <v>Fluidized bed combustion</v>
      </c>
      <c r="H191" s="76" t="str">
        <f>C190</f>
        <v>CHP</v>
      </c>
      <c r="I191" s="161" t="str">
        <f t="shared" ref="I191:I254" si="79">D191</f>
        <v>M</v>
      </c>
      <c r="J191" s="76">
        <v>0.35195157146376654</v>
      </c>
      <c r="K191" s="76">
        <v>0.35195369344258542</v>
      </c>
      <c r="L191" s="76">
        <v>0.351956220669497</v>
      </c>
      <c r="M191" s="76">
        <v>0.35195923040707366</v>
      </c>
      <c r="N191" s="76">
        <v>0.35196281459383133</v>
      </c>
      <c r="O191" s="76">
        <v>0.35196708260906395</v>
      </c>
      <c r="P191" s="76">
        <v>0.35197216454897323</v>
      </c>
      <c r="Q191" s="76">
        <v>0.35197821510461197</v>
      </c>
      <c r="R191" s="76">
        <v>0.35198541814646672</v>
      </c>
      <c r="S191" s="76">
        <v>0.3519939921363151</v>
      </c>
      <c r="T191" s="76">
        <v>0.35200419650409687</v>
      </c>
      <c r="U191" s="76">
        <v>0.35201633914548408</v>
      </c>
      <c r="V191" s="76">
        <v>0.35203078521382997</v>
      </c>
      <c r="W191" s="76">
        <v>0.35204796739688271</v>
      </c>
      <c r="X191" s="76">
        <v>0.3520683978819954</v>
      </c>
      <c r="Y191" s="76">
        <v>0.35209268222039991</v>
      </c>
      <c r="Z191" s="76">
        <v>0.35212153529678908</v>
      </c>
      <c r="AA191" s="76">
        <v>0.3521557995883009</v>
      </c>
      <c r="AB191" s="76">
        <v>0.3521964658475723</v>
      </c>
      <c r="AC191" s="76">
        <v>0.35224469625481292</v>
      </c>
      <c r="AD191" s="76">
        <v>0.35230184993619174</v>
      </c>
      <c r="AE191" s="76">
        <v>0.35236951051698007</v>
      </c>
      <c r="AF191" s="76">
        <v>0.35244951503805289</v>
      </c>
      <c r="AG191" s="76">
        <v>0.35254398307684376</v>
      </c>
      <c r="AH191" s="76">
        <v>0.35265534423599559</v>
      </c>
      <c r="AI191" s="76">
        <v>0.35278636124923807</v>
      </c>
      <c r="AJ191" s="76">
        <v>0.35294014476344449</v>
      </c>
      <c r="AK191" s="76">
        <v>0.35312015436575483</v>
      </c>
      <c r="AL191" s="76">
        <v>0.3533301786545987</v>
      </c>
      <c r="AM191" s="76">
        <v>0.3535742852021716</v>
      </c>
      <c r="AN191" s="76">
        <v>0.35385672935448698</v>
      </c>
      <c r="AO191" s="76">
        <v>0.35418180939466715</v>
      </c>
      <c r="AP191" s="76">
        <v>0.35455365535891914</v>
      </c>
      <c r="AQ191" s="76">
        <v>0.35497594076755506</v>
      </c>
      <c r="AR191" s="76">
        <v>0.35545151203559716</v>
      </c>
      <c r="AS191" s="76">
        <v>0.3559819407877533</v>
      </c>
      <c r="AT191" s="76">
        <v>0.35656702080532987</v>
      </c>
      <c r="AU191" s="76">
        <v>0.35720425381732024</v>
      </c>
      <c r="AV191" s="76">
        <v>0.35788839450326732</v>
      </c>
      <c r="AW191" s="76">
        <v>0.35861114925155074</v>
      </c>
      <c r="AX191" s="84">
        <v>0.35936113608360448</v>
      </c>
    </row>
    <row r="192" spans="1:50" x14ac:dyDescent="0.25">
      <c r="A192" s="356"/>
      <c r="B192" s="359"/>
      <c r="C192" s="360"/>
      <c r="D192" s="59" t="s">
        <v>10</v>
      </c>
      <c r="E192" s="166" t="str">
        <f>A171&amp;"/"&amp;B187&amp;"/"&amp;C190&amp;"/"&amp;D192</f>
        <v>Lignite fired power plants/Fluidized bed combustion/CHP/S</v>
      </c>
      <c r="F192" s="79" t="str">
        <f>A171</f>
        <v>Lignite fired power plants</v>
      </c>
      <c r="G192" s="79" t="str">
        <f>B187</f>
        <v>Fluidized bed combustion</v>
      </c>
      <c r="H192" s="79" t="str">
        <f>C190</f>
        <v>CHP</v>
      </c>
      <c r="I192" s="167" t="str">
        <f t="shared" si="79"/>
        <v>S</v>
      </c>
      <c r="J192" s="79">
        <v>0.3351919728226348</v>
      </c>
      <c r="K192" s="79">
        <v>0.3351971337887566</v>
      </c>
      <c r="L192" s="79">
        <v>0.33520312695758275</v>
      </c>
      <c r="M192" s="79">
        <v>0.33521008595477042</v>
      </c>
      <c r="N192" s="79">
        <v>0.33521816566426166</v>
      </c>
      <c r="O192" s="79">
        <v>0.33522754554111567</v>
      </c>
      <c r="P192" s="79">
        <v>0.33523843341636927</v>
      </c>
      <c r="Q192" s="79">
        <v>0.33525106985840492</v>
      </c>
      <c r="R192" s="79">
        <v>0.33526573316060104</v>
      </c>
      <c r="S192" s="79">
        <v>0.33528274502948169</v>
      </c>
      <c r="T192" s="79">
        <v>0.33530247705048216</v>
      </c>
      <c r="U192" s="79">
        <v>0.33532535800885277</v>
      </c>
      <c r="V192" s="79">
        <v>0.33535188213978878</v>
      </c>
      <c r="W192" s="79">
        <v>0.33538261837282823</v>
      </c>
      <c r="X192" s="79">
        <v>0.33541822061846771</v>
      </c>
      <c r="Y192" s="79">
        <v>0.33545943911667736</v>
      </c>
      <c r="Z192" s="79">
        <v>0.33550713282342426</v>
      </c>
      <c r="AA192" s="79">
        <v>0.33556228274723959</v>
      </c>
      <c r="AB192" s="79">
        <v>0.33562600605678461</v>
      </c>
      <c r="AC192" s="79">
        <v>0.33569957065438716</v>
      </c>
      <c r="AD192" s="79">
        <v>0.33578440974037543</v>
      </c>
      <c r="AE192" s="79">
        <v>0.33588213566835884</v>
      </c>
      <c r="AF192" s="79">
        <v>0.33599455210159057</v>
      </c>
      <c r="AG192" s="79">
        <v>0.33612366311531411</v>
      </c>
      <c r="AH192" s="79">
        <v>0.33627167744289455</v>
      </c>
      <c r="AI192" s="79">
        <v>0.33644100553490447</v>
      </c>
      <c r="AJ192" s="79">
        <v>0.33663424650314672</v>
      </c>
      <c r="AK192" s="79">
        <v>0.33685416138939805</v>
      </c>
      <c r="AL192" s="79">
        <v>0.33710362859605408</v>
      </c>
      <c r="AM192" s="79">
        <v>0.33738557685106335</v>
      </c>
      <c r="AN192" s="79">
        <v>0.33770289091738531</v>
      </c>
      <c r="AO192" s="79">
        <v>0.33805828562888801</v>
      </c>
      <c r="AP192" s="79">
        <v>0.33845414503755178</v>
      </c>
      <c r="AQ192" s="79">
        <v>0.33889232583421264</v>
      </c>
      <c r="AR192" s="79">
        <v>0.33937392809104822</v>
      </c>
      <c r="AS192" s="79">
        <v>0.33989904199040516</v>
      </c>
      <c r="AT192" s="79">
        <v>0.34046648650032724</v>
      </c>
      <c r="AU192" s="79">
        <v>0.3410735644012467</v>
      </c>
      <c r="AV192" s="79">
        <v>0.34171586644196306</v>
      </c>
      <c r="AW192" s="79">
        <v>0.34238716368790101</v>
      </c>
      <c r="AX192" s="87">
        <v>0.34307942863118845</v>
      </c>
    </row>
    <row r="193" spans="1:50" x14ac:dyDescent="0.25">
      <c r="A193" s="356"/>
      <c r="B193" s="359"/>
      <c r="C193" s="361" t="s">
        <v>15</v>
      </c>
      <c r="D193" s="58" t="s">
        <v>7</v>
      </c>
      <c r="E193" s="164" t="str">
        <f>A171&amp;"/"&amp;B187&amp;"/"&amp;C193&amp;"/"&amp;D193</f>
        <v>Lignite fired power plants/Fluidized bed combustion/Electricity only with CCS/L</v>
      </c>
      <c r="F193" s="78" t="str">
        <f>A171</f>
        <v>Lignite fired power plants</v>
      </c>
      <c r="G193" s="78" t="str">
        <f>B187</f>
        <v>Fluidized bed combustion</v>
      </c>
      <c r="H193" s="78" t="str">
        <f>C193</f>
        <v>Electricity only with CCS</v>
      </c>
      <c r="I193" s="165" t="str">
        <f t="shared" si="79"/>
        <v>L</v>
      </c>
      <c r="J193" s="78" t="s">
        <v>112</v>
      </c>
      <c r="K193" s="78" t="s">
        <v>112</v>
      </c>
      <c r="L193" s="78" t="s">
        <v>112</v>
      </c>
      <c r="M193" s="78" t="s">
        <v>112</v>
      </c>
      <c r="N193" s="78" t="s">
        <v>112</v>
      </c>
      <c r="O193" s="78" t="s">
        <v>112</v>
      </c>
      <c r="P193" s="78" t="s">
        <v>112</v>
      </c>
      <c r="Q193" s="78" t="s">
        <v>112</v>
      </c>
      <c r="R193" s="78" t="s">
        <v>112</v>
      </c>
      <c r="S193" s="78" t="s">
        <v>112</v>
      </c>
      <c r="T193" s="78" t="s">
        <v>112</v>
      </c>
      <c r="U193" s="78" t="s">
        <v>112</v>
      </c>
      <c r="V193" s="78" t="s">
        <v>112</v>
      </c>
      <c r="W193" s="78" t="s">
        <v>112</v>
      </c>
      <c r="X193" s="78" t="s">
        <v>112</v>
      </c>
      <c r="Y193" s="78" t="s">
        <v>112</v>
      </c>
      <c r="Z193" s="78" t="s">
        <v>112</v>
      </c>
      <c r="AA193" s="78" t="s">
        <v>112</v>
      </c>
      <c r="AB193" s="78" t="s">
        <v>112</v>
      </c>
      <c r="AC193" s="78" t="s">
        <v>112</v>
      </c>
      <c r="AD193" s="78" t="s">
        <v>112</v>
      </c>
      <c r="AE193" s="78">
        <v>0.3872175739982191</v>
      </c>
      <c r="AF193" s="78">
        <v>0.38723764740442645</v>
      </c>
      <c r="AG193" s="78">
        <v>0.38726339080653799</v>
      </c>
      <c r="AH193" s="78">
        <v>0.3872963943842232</v>
      </c>
      <c r="AI193" s="78">
        <v>0.38733868694931206</v>
      </c>
      <c r="AJ193" s="78">
        <v>0.38739285220769498</v>
      </c>
      <c r="AK193" s="78">
        <v>0.38746217278260103</v>
      </c>
      <c r="AL193" s="78">
        <v>0.38755080662288677</v>
      </c>
      <c r="AM193" s="78">
        <v>0.38766399978090393</v>
      </c>
      <c r="AN193" s="78">
        <v>0.3878083376312188</v>
      </c>
      <c r="AO193" s="78">
        <v>0.38799203252290332</v>
      </c>
      <c r="AP193" s="78">
        <v>0.38822523830459049</v>
      </c>
      <c r="AQ193" s="78">
        <v>0.38852036934027395</v>
      </c>
      <c r="AR193" s="78">
        <v>0.38889238134879384</v>
      </c>
      <c r="AS193" s="78">
        <v>0.38935894148648226</v>
      </c>
      <c r="AT193" s="78">
        <v>0.38994037456986197</v>
      </c>
      <c r="AU193" s="78">
        <v>0.39065922377836781</v>
      </c>
      <c r="AV193" s="78">
        <v>0.39153921773937389</v>
      </c>
      <c r="AW193" s="78">
        <v>0.39260341468825366</v>
      </c>
      <c r="AX193" s="86">
        <v>0.39387133879200181</v>
      </c>
    </row>
    <row r="194" spans="1:50" x14ac:dyDescent="0.25">
      <c r="A194" s="356"/>
      <c r="B194" s="359"/>
      <c r="C194" s="360"/>
      <c r="D194" s="59" t="s">
        <v>8</v>
      </c>
      <c r="E194" s="166" t="str">
        <f>A171&amp;"/"&amp;B187&amp;"/"&amp;C193&amp;"/"&amp;D194</f>
        <v>Lignite fired power plants/Fluidized bed combustion/Electricity only with CCS/M</v>
      </c>
      <c r="F194" s="79" t="str">
        <f>A171</f>
        <v>Lignite fired power plants</v>
      </c>
      <c r="G194" s="79" t="str">
        <f>B187</f>
        <v>Fluidized bed combustion</v>
      </c>
      <c r="H194" s="79" t="str">
        <f>C193</f>
        <v>Electricity only with CCS</v>
      </c>
      <c r="I194" s="167" t="str">
        <f t="shared" si="79"/>
        <v>M</v>
      </c>
      <c r="J194" s="79" t="s">
        <v>112</v>
      </c>
      <c r="K194" s="79" t="s">
        <v>112</v>
      </c>
      <c r="L194" s="79" t="s">
        <v>112</v>
      </c>
      <c r="M194" s="79" t="s">
        <v>112</v>
      </c>
      <c r="N194" s="79" t="s">
        <v>112</v>
      </c>
      <c r="O194" s="79" t="s">
        <v>112</v>
      </c>
      <c r="P194" s="79" t="s">
        <v>112</v>
      </c>
      <c r="Q194" s="79" t="s">
        <v>112</v>
      </c>
      <c r="R194" s="79" t="s">
        <v>112</v>
      </c>
      <c r="S194" s="79" t="s">
        <v>112</v>
      </c>
      <c r="T194" s="79" t="s">
        <v>112</v>
      </c>
      <c r="U194" s="79" t="s">
        <v>112</v>
      </c>
      <c r="V194" s="79" t="s">
        <v>112</v>
      </c>
      <c r="W194" s="79" t="s">
        <v>112</v>
      </c>
      <c r="X194" s="79" t="s">
        <v>112</v>
      </c>
      <c r="Y194" s="79" t="s">
        <v>112</v>
      </c>
      <c r="Z194" s="79" t="s">
        <v>112</v>
      </c>
      <c r="AA194" s="79" t="s">
        <v>112</v>
      </c>
      <c r="AB194" s="79" t="s">
        <v>112</v>
      </c>
      <c r="AC194" s="79" t="s">
        <v>112</v>
      </c>
      <c r="AD194" s="79" t="s">
        <v>112</v>
      </c>
      <c r="AE194" s="79">
        <v>0.36878273348457946</v>
      </c>
      <c r="AF194" s="79">
        <v>0.36880301119360809</v>
      </c>
      <c r="AG194" s="79">
        <v>0.36882901716669098</v>
      </c>
      <c r="AH194" s="79">
        <v>0.36886235828690844</v>
      </c>
      <c r="AI194" s="79">
        <v>0.36890508491064172</v>
      </c>
      <c r="AJ194" s="79">
        <v>0.36895980856427762</v>
      </c>
      <c r="AK194" s="79">
        <v>0.36902984784522103</v>
      </c>
      <c r="AL194" s="79">
        <v>0.36911940729597065</v>
      </c>
      <c r="AM194" s="79">
        <v>0.36923379343082685</v>
      </c>
      <c r="AN194" s="79">
        <v>0.36937967024719387</v>
      </c>
      <c r="AO194" s="79">
        <v>0.36956535255805945</v>
      </c>
      <c r="AP194" s="79">
        <v>0.36980112802623188</v>
      </c>
      <c r="AQ194" s="79">
        <v>0.37009958605635385</v>
      </c>
      <c r="AR194" s="79">
        <v>0.37047591146997205</v>
      </c>
      <c r="AS194" s="79">
        <v>0.37094807089499021</v>
      </c>
      <c r="AT194" s="79">
        <v>0.37153677888236369</v>
      </c>
      <c r="AU194" s="79">
        <v>0.37226508118287227</v>
      </c>
      <c r="AV194" s="79">
        <v>0.37315734406986539</v>
      </c>
      <c r="AW194" s="79">
        <v>0.37423741367927621</v>
      </c>
      <c r="AX194" s="87">
        <v>0.37552574824181151</v>
      </c>
    </row>
    <row r="195" spans="1:50" x14ac:dyDescent="0.25">
      <c r="A195" s="356"/>
      <c r="B195" s="359"/>
      <c r="C195" s="361" t="s">
        <v>16</v>
      </c>
      <c r="D195" s="2" t="s">
        <v>7</v>
      </c>
      <c r="E195" s="160" t="str">
        <f>A171&amp;"/"&amp;B187&amp;"/"&amp;C195&amp;"/"&amp;D195</f>
        <v>Lignite fired power plants/Fluidized bed combustion/CHP with CCS/L</v>
      </c>
      <c r="F195" s="76" t="str">
        <f>A171</f>
        <v>Lignite fired power plants</v>
      </c>
      <c r="G195" s="76" t="str">
        <f>B187</f>
        <v>Fluidized bed combustion</v>
      </c>
      <c r="H195" s="76" t="str">
        <f>C195</f>
        <v>CHP with CCS</v>
      </c>
      <c r="I195" s="161" t="str">
        <f t="shared" si="79"/>
        <v>L</v>
      </c>
      <c r="J195" s="76" t="s">
        <v>112</v>
      </c>
      <c r="K195" s="76" t="s">
        <v>112</v>
      </c>
      <c r="L195" s="76" t="s">
        <v>112</v>
      </c>
      <c r="M195" s="76" t="s">
        <v>112</v>
      </c>
      <c r="N195" s="76" t="s">
        <v>112</v>
      </c>
      <c r="O195" s="76" t="s">
        <v>112</v>
      </c>
      <c r="P195" s="76" t="s">
        <v>112</v>
      </c>
      <c r="Q195" s="76" t="s">
        <v>112</v>
      </c>
      <c r="R195" s="76" t="s">
        <v>112</v>
      </c>
      <c r="S195" s="76" t="s">
        <v>112</v>
      </c>
      <c r="T195" s="76" t="s">
        <v>112</v>
      </c>
      <c r="U195" s="76" t="s">
        <v>112</v>
      </c>
      <c r="V195" s="76" t="s">
        <v>112</v>
      </c>
      <c r="W195" s="76" t="s">
        <v>112</v>
      </c>
      <c r="X195" s="76" t="s">
        <v>112</v>
      </c>
      <c r="Y195" s="76" t="s">
        <v>112</v>
      </c>
      <c r="Z195" s="76" t="s">
        <v>112</v>
      </c>
      <c r="AA195" s="76" t="s">
        <v>112</v>
      </c>
      <c r="AB195" s="76" t="s">
        <v>112</v>
      </c>
      <c r="AC195" s="76" t="s">
        <v>112</v>
      </c>
      <c r="AD195" s="76" t="s">
        <v>112</v>
      </c>
      <c r="AE195" s="76">
        <v>0.35200426112014782</v>
      </c>
      <c r="AF195" s="76">
        <v>0.35201918834929374</v>
      </c>
      <c r="AG195" s="76">
        <v>0.35203833073275448</v>
      </c>
      <c r="AH195" s="76">
        <v>0.35206286963396871</v>
      </c>
      <c r="AI195" s="76">
        <v>0.35209431176614192</v>
      </c>
      <c r="AJ195" s="76">
        <v>0.35213457509413165</v>
      </c>
      <c r="AK195" s="76">
        <v>0.35218609502784598</v>
      </c>
      <c r="AL195" s="76">
        <v>0.3522519541304856</v>
      </c>
      <c r="AM195" s="76">
        <v>0.35233603796693908</v>
      </c>
      <c r="AN195" s="76">
        <v>0.35244321811028817</v>
      </c>
      <c r="AO195" s="76">
        <v>0.35257956002309887</v>
      </c>
      <c r="AP195" s="76">
        <v>0.35275254754168783</v>
      </c>
      <c r="AQ195" s="76">
        <v>0.35297130568182283</v>
      </c>
      <c r="AR195" s="76">
        <v>0.35324678787201785</v>
      </c>
      <c r="AS195" s="76">
        <v>0.35359187106567741</v>
      </c>
      <c r="AT195" s="76">
        <v>0.35402127215037371</v>
      </c>
      <c r="AU195" s="76">
        <v>0.35455116433171086</v>
      </c>
      <c r="AV195" s="76">
        <v>0.35519834148436691</v>
      </c>
      <c r="AW195" s="76">
        <v>0.35597877053496763</v>
      </c>
      <c r="AX195" s="84">
        <v>0.35690541780483048</v>
      </c>
    </row>
    <row r="196" spans="1:50" x14ac:dyDescent="0.25">
      <c r="A196" s="356"/>
      <c r="B196" s="362"/>
      <c r="C196" s="354"/>
      <c r="D196" s="4" t="s">
        <v>8</v>
      </c>
      <c r="E196" s="168" t="str">
        <f>A171&amp;"/"&amp;B187&amp;"/"&amp;C195&amp;"/"&amp;D196</f>
        <v>Lignite fired power plants/Fluidized bed combustion/CHP with CCS/M</v>
      </c>
      <c r="F196" s="80" t="str">
        <f>A171</f>
        <v>Lignite fired power plants</v>
      </c>
      <c r="G196" s="80" t="str">
        <f>B187</f>
        <v>Fluidized bed combustion</v>
      </c>
      <c r="H196" s="80" t="str">
        <f>C195</f>
        <v>CHP with CCS</v>
      </c>
      <c r="I196" s="169" t="str">
        <f t="shared" si="79"/>
        <v>M</v>
      </c>
      <c r="J196" s="80" t="s">
        <v>112</v>
      </c>
      <c r="K196" s="80" t="s">
        <v>112</v>
      </c>
      <c r="L196" s="80" t="s">
        <v>112</v>
      </c>
      <c r="M196" s="80" t="s">
        <v>112</v>
      </c>
      <c r="N196" s="80" t="s">
        <v>112</v>
      </c>
      <c r="O196" s="80" t="s">
        <v>112</v>
      </c>
      <c r="P196" s="80" t="s">
        <v>112</v>
      </c>
      <c r="Q196" s="80" t="s">
        <v>112</v>
      </c>
      <c r="R196" s="80" t="s">
        <v>112</v>
      </c>
      <c r="S196" s="80" t="s">
        <v>112</v>
      </c>
      <c r="T196" s="80" t="s">
        <v>112</v>
      </c>
      <c r="U196" s="80" t="s">
        <v>112</v>
      </c>
      <c r="V196" s="80" t="s">
        <v>112</v>
      </c>
      <c r="W196" s="80" t="s">
        <v>112</v>
      </c>
      <c r="X196" s="80" t="s">
        <v>112</v>
      </c>
      <c r="Y196" s="80" t="s">
        <v>112</v>
      </c>
      <c r="Z196" s="80" t="s">
        <v>112</v>
      </c>
      <c r="AA196" s="80" t="s">
        <v>112</v>
      </c>
      <c r="AB196" s="80" t="s">
        <v>112</v>
      </c>
      <c r="AC196" s="80" t="s">
        <v>112</v>
      </c>
      <c r="AD196" s="80" t="s">
        <v>112</v>
      </c>
      <c r="AE196" s="80">
        <v>0.33524773185586809</v>
      </c>
      <c r="AF196" s="80">
        <v>0.33526352966618811</v>
      </c>
      <c r="AG196" s="80">
        <v>0.3352837891200226</v>
      </c>
      <c r="AH196" s="80">
        <v>0.33530976108576555</v>
      </c>
      <c r="AI196" s="80">
        <v>0.33534304119615199</v>
      </c>
      <c r="AJ196" s="80">
        <v>0.3353856610530957</v>
      </c>
      <c r="AK196" s="80">
        <v>0.33544020109384304</v>
      </c>
      <c r="AL196" s="80">
        <v>0.33550992864318829</v>
      </c>
      <c r="AM196" s="80">
        <v>0.33559896410823153</v>
      </c>
      <c r="AN196" s="80">
        <v>0.33571247666803611</v>
      </c>
      <c r="AO196" s="80">
        <v>0.33585690745733587</v>
      </c>
      <c r="AP196" s="80">
        <v>0.3360402120995491</v>
      </c>
      <c r="AQ196" s="80">
        <v>0.33627210409729869</v>
      </c>
      <c r="AR196" s="80">
        <v>0.33656426433561781</v>
      </c>
      <c r="AS196" s="80">
        <v>0.33693045817752409</v>
      </c>
      <c r="AT196" s="80">
        <v>0.33738646976713471</v>
      </c>
      <c r="AU196" s="80">
        <v>0.33794972562670755</v>
      </c>
      <c r="AV196" s="80">
        <v>0.33863844508015695</v>
      </c>
      <c r="AW196" s="80">
        <v>0.33947014247207807</v>
      </c>
      <c r="AX196" s="88">
        <v>0.34045934795237953</v>
      </c>
    </row>
    <row r="197" spans="1:50" x14ac:dyDescent="0.25">
      <c r="A197" s="356"/>
      <c r="B197" s="358" t="s">
        <v>19</v>
      </c>
      <c r="C197" s="353" t="s">
        <v>6</v>
      </c>
      <c r="D197" s="3" t="s">
        <v>7</v>
      </c>
      <c r="E197" s="162" t="str">
        <f>A171&amp;"/"&amp;B197&amp;"/"&amp;C197&amp;"/"&amp;D197</f>
        <v>Lignite fired power plants/Steam turbine/Electricity only/L</v>
      </c>
      <c r="F197" s="77" t="str">
        <f>A171</f>
        <v>Lignite fired power plants</v>
      </c>
      <c r="G197" s="77" t="str">
        <f>B197</f>
        <v>Steam turbine</v>
      </c>
      <c r="H197" s="77" t="str">
        <f>C197</f>
        <v>Electricity only</v>
      </c>
      <c r="I197" s="163" t="str">
        <f t="shared" si="79"/>
        <v>L</v>
      </c>
      <c r="J197" s="77">
        <v>0.4098360655737705</v>
      </c>
      <c r="K197" s="77">
        <v>0.40989432311209839</v>
      </c>
      <c r="L197" s="77">
        <v>0.40995254013347837</v>
      </c>
      <c r="M197" s="77">
        <v>0.41001068676035518</v>
      </c>
      <c r="N197" s="77">
        <v>0.41006873338772559</v>
      </c>
      <c r="O197" s="77">
        <v>0.41012665073947718</v>
      </c>
      <c r="P197" s="77">
        <v>0.41018440992303234</v>
      </c>
      <c r="Q197" s="77">
        <v>0.4102419824821017</v>
      </c>
      <c r="R197" s="77">
        <v>0.41029934044736033</v>
      </c>
      <c r="S197" s="77">
        <v>0.41035645638488305</v>
      </c>
      <c r="T197" s="77">
        <v>0.41041330344218308</v>
      </c>
      <c r="U197" s="77">
        <v>0.41046985539171954</v>
      </c>
      <c r="V197" s="77">
        <v>0.41052608667175572</v>
      </c>
      <c r="W197" s="77">
        <v>0.41058197242446509</v>
      </c>
      <c r="X197" s="77">
        <v>0.4106374885312023</v>
      </c>
      <c r="Y197" s="77">
        <v>0.41069261164487086</v>
      </c>
      <c r="Z197" s="77">
        <v>0.41074731921933993</v>
      </c>
      <c r="AA197" s="77">
        <v>0.4108015895358762</v>
      </c>
      <c r="AB197" s="77">
        <v>0.41085540172657525</v>
      </c>
      <c r="AC197" s="77">
        <v>0.41090873579479309</v>
      </c>
      <c r="AD197" s="77">
        <v>0.41096157263259192</v>
      </c>
      <c r="AE197" s="77">
        <v>0.41101389403523275</v>
      </c>
      <c r="AF197" s="77">
        <v>0.41106568271275584</v>
      </c>
      <c r="AG197" s="77">
        <v>0.41111692229870778</v>
      </c>
      <c r="AH197" s="77">
        <v>0.41116759735608438</v>
      </c>
      <c r="AI197" s="77">
        <v>0.4112176933805673</v>
      </c>
      <c r="AJ197" s="77">
        <v>0.41126719680114732</v>
      </c>
      <c r="AK197" s="77">
        <v>0.4113160949782298</v>
      </c>
      <c r="AL197" s="77">
        <v>0.41136437619933186</v>
      </c>
      <c r="AM197" s="77">
        <v>0.41141202967248364</v>
      </c>
      <c r="AN197" s="77">
        <v>0.41145904551745149</v>
      </c>
      <c r="AO197" s="77">
        <v>0.41150541475491076</v>
      </c>
      <c r="AP197" s="77">
        <v>0.41155112929369103</v>
      </c>
      <c r="AQ197" s="77">
        <v>0.41159618191622893</v>
      </c>
      <c r="AR197" s="77">
        <v>0.41164056626235696</v>
      </c>
      <c r="AS197" s="77">
        <v>0.41168427681156339</v>
      </c>
      <c r="AT197" s="77">
        <v>0.41172730886385561</v>
      </c>
      <c r="AU197" s="77">
        <v>0.41176965851936037</v>
      </c>
      <c r="AV197" s="77">
        <v>0.4118113226567896</v>
      </c>
      <c r="AW197" s="77">
        <v>0.41185229891090336</v>
      </c>
      <c r="AX197" s="85">
        <v>0.4118925856490937</v>
      </c>
    </row>
    <row r="198" spans="1:50" x14ac:dyDescent="0.25">
      <c r="A198" s="356"/>
      <c r="B198" s="359"/>
      <c r="C198" s="350"/>
      <c r="D198" s="2" t="s">
        <v>8</v>
      </c>
      <c r="E198" s="160" t="str">
        <f>A171&amp;"/"&amp;B197&amp;"/"&amp;C197&amp;"/"&amp;D198</f>
        <v>Lignite fired power plants/Steam turbine/Electricity only/M</v>
      </c>
      <c r="F198" s="76" t="str">
        <f>A171</f>
        <v>Lignite fired power plants</v>
      </c>
      <c r="G198" s="76" t="str">
        <f>B197</f>
        <v>Steam turbine</v>
      </c>
      <c r="H198" s="76" t="str">
        <f>C197</f>
        <v>Electricity only</v>
      </c>
      <c r="I198" s="161" t="str">
        <f t="shared" si="79"/>
        <v>M</v>
      </c>
      <c r="J198" s="76">
        <v>0.39032006245121004</v>
      </c>
      <c r="K198" s="76">
        <v>0.39036168163116469</v>
      </c>
      <c r="L198" s="76">
        <v>0.39040328514922307</v>
      </c>
      <c r="M198" s="76">
        <v>0.39044485160433295</v>
      </c>
      <c r="N198" s="76">
        <v>0.39048635976330115</v>
      </c>
      <c r="O198" s="76">
        <v>0.39052778860156817</v>
      </c>
      <c r="P198" s="76">
        <v>0.39056911734287636</v>
      </c>
      <c r="Q198" s="76">
        <v>0.39061032549768632</v>
      </c>
      <c r="R198" s="76">
        <v>0.39065139290020534</v>
      </c>
      <c r="S198" s="76">
        <v>0.3906922997438998</v>
      </c>
      <c r="T198" s="76">
        <v>0.39073302661537629</v>
      </c>
      <c r="U198" s="76">
        <v>0.39077355452652884</v>
      </c>
      <c r="V198" s="76">
        <v>0.39081386494485687</v>
      </c>
      <c r="W198" s="76">
        <v>0.39085393982187577</v>
      </c>
      <c r="X198" s="76">
        <v>0.39089376161955103</v>
      </c>
      <c r="Y198" s="76">
        <v>0.39093331333469961</v>
      </c>
      <c r="Z198" s="76">
        <v>0.39097257852131695</v>
      </c>
      <c r="AA198" s="76">
        <v>0.39101154131079507</v>
      </c>
      <c r="AB198" s="76">
        <v>0.39105018643001666</v>
      </c>
      <c r="AC198" s="76">
        <v>0.39108849921731303</v>
      </c>
      <c r="AD198" s="76">
        <v>0.39112646563629333</v>
      </c>
      <c r="AE198" s="76">
        <v>0.39116407228755629</v>
      </c>
      <c r="AF198" s="76">
        <v>0.3912013064183108</v>
      </c>
      <c r="AG198" s="76">
        <v>0.39123815592993955</v>
      </c>
      <c r="AH198" s="76">
        <v>0.39127460938354702</v>
      </c>
      <c r="AI198" s="76">
        <v>0.39131065600354603</v>
      </c>
      <c r="AJ198" s="76">
        <v>0.39134628567933927</v>
      </c>
      <c r="AK198" s="76">
        <v>0.39138148896516373</v>
      </c>
      <c r="AL198" s="76">
        <v>0.39141625707816863</v>
      </c>
      <c r="AM198" s="76">
        <v>0.39145058189480525</v>
      </c>
      <c r="AN198" s="76">
        <v>0.3914844559456106</v>
      </c>
      <c r="AO198" s="76">
        <v>0.39151787240846886</v>
      </c>
      <c r="AP198" s="76">
        <v>0.39155082510044337</v>
      </c>
      <c r="AQ198" s="76">
        <v>0.39158330846826611</v>
      </c>
      <c r="AR198" s="76">
        <v>0.39161531757758167</v>
      </c>
      <c r="AS198" s="76">
        <v>0.39164684810103728</v>
      </c>
      <c r="AT198" s="76">
        <v>0.39167789630531474</v>
      </c>
      <c r="AU198" s="76">
        <v>0.39170845903719831</v>
      </c>
      <c r="AV198" s="76">
        <v>0.3917385337087731</v>
      </c>
      <c r="AW198" s="76">
        <v>0.39176811828184566</v>
      </c>
      <c r="AX198" s="84">
        <v>0.39179721125167838</v>
      </c>
    </row>
    <row r="199" spans="1:50" x14ac:dyDescent="0.25">
      <c r="A199" s="356"/>
      <c r="B199" s="359"/>
      <c r="C199" s="350"/>
      <c r="D199" s="2" t="s">
        <v>10</v>
      </c>
      <c r="E199" s="160" t="str">
        <f>A171&amp;"/"&amp;B197&amp;"/"&amp;C197&amp;"/"&amp;D199</f>
        <v>Lignite fired power plants/Steam turbine/Electricity only/S</v>
      </c>
      <c r="F199" s="76" t="str">
        <f>A171</f>
        <v>Lignite fired power plants</v>
      </c>
      <c r="G199" s="76" t="str">
        <f>B197</f>
        <v>Steam turbine</v>
      </c>
      <c r="H199" s="76" t="str">
        <f>C197</f>
        <v>Electricity only</v>
      </c>
      <c r="I199" s="161" t="str">
        <f t="shared" si="79"/>
        <v>S</v>
      </c>
      <c r="J199" s="76">
        <v>0.37173339281067619</v>
      </c>
      <c r="K199" s="76">
        <v>0.37176642654668096</v>
      </c>
      <c r="L199" s="76">
        <v>0.37179945312730206</v>
      </c>
      <c r="M199" s="76">
        <v>0.37183245554908273</v>
      </c>
      <c r="N199" s="76">
        <v>0.37186541693107356</v>
      </c>
      <c r="O199" s="76">
        <v>0.37189832054737826</v>
      </c>
      <c r="P199" s="76">
        <v>0.37193114985886305</v>
      </c>
      <c r="Q199" s="76">
        <v>0.37196388854391538</v>
      </c>
      <c r="R199" s="76">
        <v>0.37199652052813681</v>
      </c>
      <c r="S199" s="76">
        <v>0.37202903001287058</v>
      </c>
      <c r="T199" s="76">
        <v>0.3720614015024673</v>
      </c>
      <c r="U199" s="76">
        <v>0.37209361983020478</v>
      </c>
      <c r="V199" s="76">
        <v>0.37212567018278386</v>
      </c>
      <c r="W199" s="76">
        <v>0.37215753812333513</v>
      </c>
      <c r="X199" s="76">
        <v>0.37218920961287832</v>
      </c>
      <c r="Y199" s="76">
        <v>0.37222067103018636</v>
      </c>
      <c r="Z199" s="76">
        <v>0.37225190919001833</v>
      </c>
      <c r="AA199" s="76">
        <v>0.3722829113596911</v>
      </c>
      <c r="AB199" s="76">
        <v>0.37231366527397236</v>
      </c>
      <c r="AC199" s="76">
        <v>0.37234415914828523</v>
      </c>
      <c r="AD199" s="76">
        <v>0.37237438169022535</v>
      </c>
      <c r="AE199" s="76">
        <v>0.37240432210939667</v>
      </c>
      <c r="AF199" s="76">
        <v>0.37243397012558505</v>
      </c>
      <c r="AG199" s="76">
        <v>0.37246331597529236</v>
      </c>
      <c r="AH199" s="76">
        <v>0.37249235041666379</v>
      </c>
      <c r="AI199" s="76">
        <v>0.37252106473284613</v>
      </c>
      <c r="AJ199" s="76">
        <v>0.3725494507338224</v>
      </c>
      <c r="AK199" s="76">
        <v>0.37257750075677287</v>
      </c>
      <c r="AL199" s="76">
        <v>0.37260520766501742</v>
      </c>
      <c r="AM199" s="76">
        <v>0.37263256484560064</v>
      </c>
      <c r="AN199" s="76">
        <v>0.37265956620558011</v>
      </c>
      <c r="AO199" s="76">
        <v>0.37268620616708953</v>
      </c>
      <c r="AP199" s="76">
        <v>0.37271247966124083</v>
      </c>
      <c r="AQ199" s="76">
        <v>0.37273838212094246</v>
      </c>
      <c r="AR199" s="76">
        <v>0.3727639094727026</v>
      </c>
      <c r="AS199" s="76">
        <v>0.3727890581274938</v>
      </c>
      <c r="AT199" s="76">
        <v>0.37281382497075483</v>
      </c>
      <c r="AU199" s="76">
        <v>0.3728382073516015</v>
      </c>
      <c r="AV199" s="76">
        <v>0.37286220307132401</v>
      </c>
      <c r="AW199" s="76">
        <v>0.37288581037124324</v>
      </c>
      <c r="AX199" s="84">
        <v>0.37290902791999853</v>
      </c>
    </row>
    <row r="200" spans="1:50" x14ac:dyDescent="0.25">
      <c r="A200" s="356"/>
      <c r="B200" s="359"/>
      <c r="C200" s="360"/>
      <c r="D200" s="2" t="s">
        <v>20</v>
      </c>
      <c r="E200" s="160" t="str">
        <f>A171&amp;"/"&amp;B197&amp;"/"&amp;C197&amp;"/"&amp;D200</f>
        <v>Lignite fired power plants/Steam turbine/Electricity only/XS</v>
      </c>
      <c r="F200" s="76" t="str">
        <f>A171</f>
        <v>Lignite fired power plants</v>
      </c>
      <c r="G200" s="76" t="str">
        <f>B197</f>
        <v>Steam turbine</v>
      </c>
      <c r="H200" s="76" t="str">
        <f>C197</f>
        <v>Electricity only</v>
      </c>
      <c r="I200" s="161" t="str">
        <f t="shared" si="79"/>
        <v>XS</v>
      </c>
      <c r="J200" s="76">
        <v>0.35403180267683437</v>
      </c>
      <c r="K200" s="76">
        <v>0.35405265791296275</v>
      </c>
      <c r="L200" s="76">
        <v>0.35407342061198155</v>
      </c>
      <c r="M200" s="76">
        <v>0.3540940813494563</v>
      </c>
      <c r="N200" s="76">
        <v>0.35411463091979595</v>
      </c>
      <c r="O200" s="76">
        <v>0.35413506035039527</v>
      </c>
      <c r="P200" s="76">
        <v>0.354155360914853</v>
      </c>
      <c r="Q200" s="76">
        <v>0.35417552414523562</v>
      </c>
      <c r="R200" s="76">
        <v>0.35419554184336371</v>
      </c>
      <c r="S200" s="76">
        <v>0.35421540609109753</v>
      </c>
      <c r="T200" s="76">
        <v>0.35423510925961327</v>
      </c>
      <c r="U200" s="76">
        <v>0.35425464401765772</v>
      </c>
      <c r="V200" s="76">
        <v>0.35427400333878201</v>
      </c>
      <c r="W200" s="76">
        <v>0.35429318050755515</v>
      </c>
      <c r="X200" s="76">
        <v>0.35431216912476682</v>
      </c>
      <c r="Y200" s="76">
        <v>0.35433096311162993</v>
      </c>
      <c r="Z200" s="76">
        <v>0.35434955671300195</v>
      </c>
      <c r="AA200" s="76">
        <v>0.35436794449964565</v>
      </c>
      <c r="AB200" s="76">
        <v>0.35438612136955372</v>
      </c>
      <c r="AC200" s="76">
        <v>0.35440408254836681</v>
      </c>
      <c r="AD200" s="76">
        <v>0.35442182358891627</v>
      </c>
      <c r="AE200" s="76">
        <v>0.3544393403699273</v>
      </c>
      <c r="AF200" s="76">
        <v>0.35445662909391845</v>
      </c>
      <c r="AG200" s="76">
        <v>0.3544736862843379</v>
      </c>
      <c r="AH200" s="76">
        <v>0.35449050878197835</v>
      </c>
      <c r="AI200" s="76">
        <v>0.3545070937407101</v>
      </c>
      <c r="AJ200" s="76">
        <v>0.35452343862258134</v>
      </c>
      <c r="AK200" s="76">
        <v>0.35453954119232495</v>
      </c>
      <c r="AL200" s="76">
        <v>0.35455539951132081</v>
      </c>
      <c r="AM200" s="76">
        <v>0.35457101193105683</v>
      </c>
      <c r="AN200" s="76">
        <v>0.35458637708613511</v>
      </c>
      <c r="AO200" s="76">
        <v>0.35460149388686735</v>
      </c>
      <c r="AP200" s="76">
        <v>0.3546163615115045</v>
      </c>
      <c r="AQ200" s="76">
        <v>0.35463097939814497</v>
      </c>
      <c r="AR200" s="76">
        <v>0.35464534723636126</v>
      </c>
      <c r="AS200" s="76">
        <v>0.35465946495859019</v>
      </c>
      <c r="AT200" s="76">
        <v>0.35467333273132418</v>
      </c>
      <c r="AU200" s="76">
        <v>0.35468695094614311</v>
      </c>
      <c r="AV200" s="76">
        <v>0.35470032021062525</v>
      </c>
      <c r="AW200" s="76">
        <v>0.35471344133916888</v>
      </c>
      <c r="AX200" s="84">
        <v>0.35472631534376414</v>
      </c>
    </row>
    <row r="201" spans="1:50" x14ac:dyDescent="0.25">
      <c r="A201" s="356"/>
      <c r="B201" s="359"/>
      <c r="C201" s="361" t="s">
        <v>14</v>
      </c>
      <c r="D201" s="58" t="s">
        <v>7</v>
      </c>
      <c r="E201" s="164" t="str">
        <f>A171&amp;"/"&amp;B197&amp;"/"&amp;C201&amp;"/"&amp;D201</f>
        <v>Lignite fired power plants/Steam turbine/CHP/L</v>
      </c>
      <c r="F201" s="78" t="str">
        <f>A171</f>
        <v>Lignite fired power plants</v>
      </c>
      <c r="G201" s="78" t="str">
        <f>B197</f>
        <v>Steam turbine</v>
      </c>
      <c r="H201" s="78" t="str">
        <f>C201</f>
        <v>CHP</v>
      </c>
      <c r="I201" s="165" t="str">
        <f t="shared" si="79"/>
        <v>L</v>
      </c>
      <c r="J201" s="78">
        <v>0.37257824143070045</v>
      </c>
      <c r="K201" s="78">
        <v>0.37261115972348097</v>
      </c>
      <c r="L201" s="78">
        <v>0.37264400470486847</v>
      </c>
      <c r="M201" s="78">
        <v>0.37267676910315006</v>
      </c>
      <c r="N201" s="78">
        <v>0.37270944574320086</v>
      </c>
      <c r="O201" s="78">
        <v>0.37274202755188518</v>
      </c>
      <c r="P201" s="78">
        <v>0.37277450756325325</v>
      </c>
      <c r="Q201" s="78">
        <v>0.37280687892352354</v>
      </c>
      <c r="R201" s="78">
        <v>0.37283913489584969</v>
      </c>
      <c r="S201" s="78">
        <v>0.3728712688648626</v>
      </c>
      <c r="T201" s="78">
        <v>0.37290327434098647</v>
      </c>
      <c r="U201" s="78">
        <v>0.37293514496452385</v>
      </c>
      <c r="V201" s="78">
        <v>0.37296687450950639</v>
      </c>
      <c r="W201" s="78">
        <v>0.37299845688730954</v>
      </c>
      <c r="X201" s="78">
        <v>0.37302988615002952</v>
      </c>
      <c r="Y201" s="78">
        <v>0.37306115649361965</v>
      </c>
      <c r="Z201" s="78">
        <v>0.37309226226078834</v>
      </c>
      <c r="AA201" s="78">
        <v>0.37312319794365545</v>
      </c>
      <c r="AB201" s="78">
        <v>0.37315395818617031</v>
      </c>
      <c r="AC201" s="78">
        <v>0.37318453778629046</v>
      </c>
      <c r="AD201" s="78">
        <v>0.37321493169792408</v>
      </c>
      <c r="AE201" s="78">
        <v>0.37324513503263673</v>
      </c>
      <c r="AF201" s="78">
        <v>0.37327514306112741</v>
      </c>
      <c r="AG201" s="78">
        <v>0.37330495121447332</v>
      </c>
      <c r="AH201" s="78">
        <v>0.37333455508515118</v>
      </c>
      <c r="AI201" s="78">
        <v>0.37336395042783438</v>
      </c>
      <c r="AJ201" s="78">
        <v>0.37339313315997491</v>
      </c>
      <c r="AK201" s="78">
        <v>0.37342209936217008</v>
      </c>
      <c r="AL201" s="78">
        <v>0.37345084527832328</v>
      </c>
      <c r="AM201" s="78">
        <v>0.37347936731560077</v>
      </c>
      <c r="AN201" s="78">
        <v>0.37350766204419211</v>
      </c>
      <c r="AO201" s="78">
        <v>0.37353572619687886</v>
      </c>
      <c r="AP201" s="78">
        <v>0.37356355666841851</v>
      </c>
      <c r="AQ201" s="78">
        <v>0.37359115051474934</v>
      </c>
      <c r="AR201" s="78">
        <v>0.37361850495202314</v>
      </c>
      <c r="AS201" s="78">
        <v>0.37364561735547186</v>
      </c>
      <c r="AT201" s="78">
        <v>0.37367248525811508</v>
      </c>
      <c r="AU201" s="78">
        <v>0.37369910634931625</v>
      </c>
      <c r="AV201" s="78">
        <v>0.37372547847319243</v>
      </c>
      <c r="AW201" s="78">
        <v>0.37375159962688742</v>
      </c>
      <c r="AX201" s="86">
        <v>0.37377746795871236</v>
      </c>
    </row>
    <row r="202" spans="1:50" x14ac:dyDescent="0.25">
      <c r="A202" s="356"/>
      <c r="B202" s="359"/>
      <c r="C202" s="350"/>
      <c r="D202" s="2" t="s">
        <v>8</v>
      </c>
      <c r="E202" s="160" t="str">
        <f>A171&amp;"/"&amp;B197&amp;"/"&amp;C201&amp;"/"&amp;D202</f>
        <v>Lignite fired power plants/Steam turbine/CHP/M</v>
      </c>
      <c r="F202" s="76" t="str">
        <f>A171</f>
        <v>Lignite fired power plants</v>
      </c>
      <c r="G202" s="76" t="str">
        <f>B197</f>
        <v>Steam turbine</v>
      </c>
      <c r="H202" s="76" t="str">
        <f>C201</f>
        <v>CHP</v>
      </c>
      <c r="I202" s="161" t="str">
        <f t="shared" si="79"/>
        <v>M</v>
      </c>
      <c r="J202" s="76">
        <v>0.35483642041019092</v>
      </c>
      <c r="K202" s="76">
        <v>0.35485618787556122</v>
      </c>
      <c r="L202" s="76">
        <v>0.35487586799981347</v>
      </c>
      <c r="M202" s="76">
        <v>0.35489545709822923</v>
      </c>
      <c r="N202" s="76">
        <v>0.35491495156880148</v>
      </c>
      <c r="O202" s="76">
        <v>0.35493434789418127</v>
      </c>
      <c r="P202" s="76">
        <v>0.35495364264348711</v>
      </c>
      <c r="Q202" s="76">
        <v>0.3549728324739746</v>
      </c>
      <c r="R202" s="76">
        <v>0.35499191413256748</v>
      </c>
      <c r="S202" s="76">
        <v>0.35501088445724927</v>
      </c>
      <c r="T202" s="76">
        <v>0.35502974037831753</v>
      </c>
      <c r="U202" s="76">
        <v>0.35504847891949992</v>
      </c>
      <c r="V202" s="76">
        <v>0.35506709719893392</v>
      </c>
      <c r="W202" s="76">
        <v>0.35508559243001236</v>
      </c>
      <c r="X202" s="76">
        <v>0.35510396192209465</v>
      </c>
      <c r="Y202" s="76">
        <v>0.35512220308108727</v>
      </c>
      <c r="Z202" s="76">
        <v>0.35514031340989538</v>
      </c>
      <c r="AA202" s="76">
        <v>0.35515829050874631</v>
      </c>
      <c r="AB202" s="76">
        <v>0.35517613207539084</v>
      </c>
      <c r="AC202" s="76">
        <v>0.35519383590518117</v>
      </c>
      <c r="AD202" s="76">
        <v>0.35521139989103184</v>
      </c>
      <c r="AE202" s="76">
        <v>0.3552288220232645</v>
      </c>
      <c r="AF202" s="76">
        <v>0.35524610038934173</v>
      </c>
      <c r="AG202" s="76">
        <v>0.3552632331734914</v>
      </c>
      <c r="AH202" s="76">
        <v>0.35528021865622661</v>
      </c>
      <c r="AI202" s="76">
        <v>0.35529705521376453</v>
      </c>
      <c r="AJ202" s="76">
        <v>0.35531374131734805</v>
      </c>
      <c r="AK202" s="76">
        <v>0.35533027553247298</v>
      </c>
      <c r="AL202" s="76">
        <v>0.35534665651802699</v>
      </c>
      <c r="AM202" s="76">
        <v>0.35536288302534202</v>
      </c>
      <c r="AN202" s="76">
        <v>0.35537895389716539</v>
      </c>
      <c r="AO202" s="76">
        <v>0.35539486806655413</v>
      </c>
      <c r="AP202" s="76">
        <v>0.35541062455569511</v>
      </c>
      <c r="AQ202" s="76">
        <v>0.35542622247465644</v>
      </c>
      <c r="AR202" s="76">
        <v>0.35544166102007357</v>
      </c>
      <c r="AS202" s="76">
        <v>0.35545693947377532</v>
      </c>
      <c r="AT202" s="76">
        <v>0.35547205720135089</v>
      </c>
      <c r="AU202" s="76">
        <v>0.35548701365066676</v>
      </c>
      <c r="AV202" s="76">
        <v>0.35550180835033213</v>
      </c>
      <c r="AW202" s="76">
        <v>0.35551644090812112</v>
      </c>
      <c r="AX202" s="84">
        <v>0.35553091100935325</v>
      </c>
    </row>
    <row r="203" spans="1:50" x14ac:dyDescent="0.25">
      <c r="A203" s="356"/>
      <c r="B203" s="359"/>
      <c r="C203" s="350"/>
      <c r="D203" s="2" t="s">
        <v>10</v>
      </c>
      <c r="E203" s="160" t="str">
        <f>A171&amp;"/"&amp;B197&amp;"/"&amp;C201&amp;"/"&amp;D203</f>
        <v>Lignite fired power plants/Steam turbine/CHP/S</v>
      </c>
      <c r="F203" s="76" t="str">
        <f>A171</f>
        <v>Lignite fired power plants</v>
      </c>
      <c r="G203" s="76" t="str">
        <f>B197</f>
        <v>Steam turbine</v>
      </c>
      <c r="H203" s="76" t="str">
        <f>C201</f>
        <v>CHP</v>
      </c>
      <c r="I203" s="161" t="str">
        <f t="shared" si="79"/>
        <v>S</v>
      </c>
      <c r="J203" s="76">
        <v>0.3379394480097056</v>
      </c>
      <c r="K203" s="76">
        <v>0.33795220920695329</v>
      </c>
      <c r="L203" s="76">
        <v>0.33796488281288578</v>
      </c>
      <c r="M203" s="76">
        <v>0.3379774670944658</v>
      </c>
      <c r="N203" s="76">
        <v>0.33798996038363488</v>
      </c>
      <c r="O203" s="76">
        <v>0.33800236107754228</v>
      </c>
      <c r="P203" s="76">
        <v>0.33801466763869242</v>
      </c>
      <c r="Q203" s="76">
        <v>0.33802687859501174</v>
      </c>
      <c r="R203" s="76">
        <v>0.33803899253983677</v>
      </c>
      <c r="S203" s="76">
        <v>0.33805100813182604</v>
      </c>
      <c r="T203" s="76">
        <v>0.33806292409479777</v>
      </c>
      <c r="U203" s="76">
        <v>0.33807473921749476</v>
      </c>
      <c r="V203" s="76">
        <v>0.33808645235328055</v>
      </c>
      <c r="W203" s="76">
        <v>0.33809806241976642</v>
      </c>
      <c r="X203" s="76">
        <v>0.33810956839837492</v>
      </c>
      <c r="Y203" s="76">
        <v>0.33812096933383973</v>
      </c>
      <c r="Z203" s="76">
        <v>0.33813226433364574</v>
      </c>
      <c r="AA203" s="76">
        <v>0.33814345256741218</v>
      </c>
      <c r="AB203" s="76">
        <v>0.33815453326622025</v>
      </c>
      <c r="AC203" s="76">
        <v>0.33816550572188847</v>
      </c>
      <c r="AD203" s="76">
        <v>0.33817636928619937</v>
      </c>
      <c r="AE203" s="76">
        <v>0.33818712337007883</v>
      </c>
      <c r="AF203" s="76">
        <v>0.33819776744273083</v>
      </c>
      <c r="AG203" s="76">
        <v>0.33820830103073185</v>
      </c>
      <c r="AH203" s="76">
        <v>0.3382187237170855</v>
      </c>
      <c r="AI203" s="76">
        <v>0.33822903514024127</v>
      </c>
      <c r="AJ203" s="76">
        <v>0.33823923499308017</v>
      </c>
      <c r="AK203" s="76">
        <v>0.33824932302186922</v>
      </c>
      <c r="AL203" s="76">
        <v>0.33825929902518742</v>
      </c>
      <c r="AM203" s="76">
        <v>0.3382691628528261</v>
      </c>
      <c r="AN203" s="76">
        <v>0.33827891440466634</v>
      </c>
      <c r="AO203" s="76">
        <v>0.33828855362953464</v>
      </c>
      <c r="AP203" s="76">
        <v>0.3382980805240412</v>
      </c>
      <c r="AQ203" s="76">
        <v>0.33830749513140101</v>
      </c>
      <c r="AR203" s="76">
        <v>0.33831679754024196</v>
      </c>
      <c r="AS203" s="76">
        <v>0.33832598788340029</v>
      </c>
      <c r="AT203" s="76">
        <v>0.33833506633670779</v>
      </c>
      <c r="AU203" s="76">
        <v>0.33834403311777</v>
      </c>
      <c r="AV203" s="76">
        <v>0.3383528884847406</v>
      </c>
      <c r="AW203" s="76">
        <v>0.33836163273509073</v>
      </c>
      <c r="AX203" s="84">
        <v>0.33837026620437782</v>
      </c>
    </row>
    <row r="204" spans="1:50" x14ac:dyDescent="0.25">
      <c r="A204" s="356"/>
      <c r="B204" s="359"/>
      <c r="C204" s="360"/>
      <c r="D204" s="59" t="s">
        <v>20</v>
      </c>
      <c r="E204" s="166" t="str">
        <f>A171&amp;"/"&amp;B197&amp;"/"&amp;C201&amp;"/"&amp;D204</f>
        <v>Lignite fired power plants/Steam turbine/CHP/XS</v>
      </c>
      <c r="F204" s="79" t="str">
        <f>A171</f>
        <v>Lignite fired power plants</v>
      </c>
      <c r="G204" s="79" t="str">
        <f>B197</f>
        <v>Steam turbine</v>
      </c>
      <c r="H204" s="79" t="str">
        <f>C201</f>
        <v>CHP</v>
      </c>
      <c r="I204" s="167" t="str">
        <f t="shared" si="79"/>
        <v>XS</v>
      </c>
      <c r="J204" s="79">
        <v>0.32184709334257666</v>
      </c>
      <c r="K204" s="79">
        <v>0.32185456844811045</v>
      </c>
      <c r="L204" s="79">
        <v>0.32186197231013142</v>
      </c>
      <c r="M204" s="79">
        <v>0.32186930445004663</v>
      </c>
      <c r="N204" s="79">
        <v>0.32187656442850665</v>
      </c>
      <c r="O204" s="79">
        <v>0.32188375184490353</v>
      </c>
      <c r="P204" s="79">
        <v>0.32189086633683872</v>
      </c>
      <c r="Q204" s="79">
        <v>0.32189790757956294</v>
      </c>
      <c r="R204" s="79">
        <v>0.32190487528538941</v>
      </c>
      <c r="S204" s="79">
        <v>0.32191176920308212</v>
      </c>
      <c r="T204" s="79">
        <v>0.32191858911722121</v>
      </c>
      <c r="U204" s="79">
        <v>0.32192533484754671</v>
      </c>
      <c r="V204" s="79">
        <v>0.32193200624828217</v>
      </c>
      <c r="W204" s="79">
        <v>0.32193860320744072</v>
      </c>
      <c r="X204" s="79">
        <v>0.32194512564611388</v>
      </c>
      <c r="Y204" s="79">
        <v>0.32195157351774589</v>
      </c>
      <c r="Z204" s="79">
        <v>0.32195794680739426</v>
      </c>
      <c r="AA204" s="79">
        <v>0.32196424553097835</v>
      </c>
      <c r="AB204" s="79">
        <v>0.32197046973451782</v>
      </c>
      <c r="AC204" s="79">
        <v>0.32197661949336204</v>
      </c>
      <c r="AD204" s="79">
        <v>0.32198269491141118</v>
      </c>
      <c r="AE204" s="79">
        <v>0.32198869612033226</v>
      </c>
      <c r="AF204" s="79">
        <v>0.32199462327876976</v>
      </c>
      <c r="AG204" s="79">
        <v>0.32200047657155201</v>
      </c>
      <c r="AH204" s="79">
        <v>0.3220062562088965</v>
      </c>
      <c r="AI204" s="79">
        <v>0.32201196242561303</v>
      </c>
      <c r="AJ204" s="79">
        <v>0.32201759548030712</v>
      </c>
      <c r="AK204" s="79">
        <v>0.32202315565458484</v>
      </c>
      <c r="AL204" s="79">
        <v>0.32202864325225916</v>
      </c>
      <c r="AM204" s="79">
        <v>0.32203405859856005</v>
      </c>
      <c r="AN204" s="79">
        <v>0.32203940203934855</v>
      </c>
      <c r="AO204" s="79">
        <v>0.32204467394033542</v>
      </c>
      <c r="AP204" s="79">
        <v>0.32204987468630658</v>
      </c>
      <c r="AQ204" s="79">
        <v>0.32205500468035403</v>
      </c>
      <c r="AR204" s="79">
        <v>0.32206006434311574</v>
      </c>
      <c r="AS204" s="79">
        <v>0.32206505411202213</v>
      </c>
      <c r="AT204" s="79">
        <v>0.32206997444055313</v>
      </c>
      <c r="AU204" s="79">
        <v>0.32207482579750329</v>
      </c>
      <c r="AV204" s="79">
        <v>0.32207960866625801</v>
      </c>
      <c r="AW204" s="79">
        <v>0.32208432354407951</v>
      </c>
      <c r="AX204" s="87">
        <v>0.32208897094140515</v>
      </c>
    </row>
    <row r="205" spans="1:50" x14ac:dyDescent="0.25">
      <c r="A205" s="356"/>
      <c r="B205" s="359"/>
      <c r="C205" s="361" t="s">
        <v>15</v>
      </c>
      <c r="D205" s="58" t="s">
        <v>7</v>
      </c>
      <c r="E205" s="164" t="str">
        <f>A171&amp;"/"&amp;B197&amp;"/"&amp;C205&amp;"/"&amp;D205</f>
        <v>Lignite fired power plants/Steam turbine/Electricity only with CCS/L</v>
      </c>
      <c r="F205" s="78" t="str">
        <f>A171</f>
        <v>Lignite fired power plants</v>
      </c>
      <c r="G205" s="78" t="str">
        <f>B197</f>
        <v>Steam turbine</v>
      </c>
      <c r="H205" s="78" t="str">
        <f>C205</f>
        <v>Electricity only with CCS</v>
      </c>
      <c r="I205" s="165" t="str">
        <f t="shared" si="79"/>
        <v>L</v>
      </c>
      <c r="J205" s="78" t="s">
        <v>112</v>
      </c>
      <c r="K205" s="78" t="s">
        <v>112</v>
      </c>
      <c r="L205" s="78" t="s">
        <v>112</v>
      </c>
      <c r="M205" s="78" t="s">
        <v>112</v>
      </c>
      <c r="N205" s="78" t="s">
        <v>112</v>
      </c>
      <c r="O205" s="78" t="s">
        <v>112</v>
      </c>
      <c r="P205" s="78" t="s">
        <v>112</v>
      </c>
      <c r="Q205" s="78" t="s">
        <v>112</v>
      </c>
      <c r="R205" s="78" t="s">
        <v>112</v>
      </c>
      <c r="S205" s="78" t="s">
        <v>112</v>
      </c>
      <c r="T205" s="78" t="s">
        <v>112</v>
      </c>
      <c r="U205" s="78" t="s">
        <v>112</v>
      </c>
      <c r="V205" s="78" t="s">
        <v>112</v>
      </c>
      <c r="W205" s="78" t="s">
        <v>112</v>
      </c>
      <c r="X205" s="78" t="s">
        <v>112</v>
      </c>
      <c r="Y205" s="78" t="s">
        <v>112</v>
      </c>
      <c r="Z205" s="78" t="s">
        <v>112</v>
      </c>
      <c r="AA205" s="78" t="s">
        <v>112</v>
      </c>
      <c r="AB205" s="78" t="s">
        <v>112</v>
      </c>
      <c r="AC205" s="78" t="s">
        <v>112</v>
      </c>
      <c r="AD205" s="78" t="s">
        <v>112</v>
      </c>
      <c r="AE205" s="78">
        <v>0.39032006245121004</v>
      </c>
      <c r="AF205" s="78">
        <v>0.39032006245121004</v>
      </c>
      <c r="AG205" s="78">
        <v>0.39032006245121004</v>
      </c>
      <c r="AH205" s="78">
        <v>0.39032006245121004</v>
      </c>
      <c r="AI205" s="78">
        <v>0.39032006245121004</v>
      </c>
      <c r="AJ205" s="78">
        <v>0.39032006245121004</v>
      </c>
      <c r="AK205" s="78">
        <v>0.39032006245121004</v>
      </c>
      <c r="AL205" s="78">
        <v>0.39032006245121004</v>
      </c>
      <c r="AM205" s="78">
        <v>0.39032006245121004</v>
      </c>
      <c r="AN205" s="78">
        <v>0.39032006245121004</v>
      </c>
      <c r="AO205" s="78">
        <v>0.39032006245121004</v>
      </c>
      <c r="AP205" s="78">
        <v>0.39032006245121004</v>
      </c>
      <c r="AQ205" s="78">
        <v>0.39032006245121004</v>
      </c>
      <c r="AR205" s="78">
        <v>0.39032006245121004</v>
      </c>
      <c r="AS205" s="78">
        <v>0.39032006245121004</v>
      </c>
      <c r="AT205" s="78">
        <v>0.39032006245121004</v>
      </c>
      <c r="AU205" s="78">
        <v>0.39032006245121004</v>
      </c>
      <c r="AV205" s="78">
        <v>0.39032006245121004</v>
      </c>
      <c r="AW205" s="78">
        <v>0.39032006245121004</v>
      </c>
      <c r="AX205" s="86">
        <v>0.39032006245121004</v>
      </c>
    </row>
    <row r="206" spans="1:50" x14ac:dyDescent="0.25">
      <c r="A206" s="356"/>
      <c r="B206" s="359"/>
      <c r="C206" s="360"/>
      <c r="D206" s="59" t="s">
        <v>8</v>
      </c>
      <c r="E206" s="166" t="str">
        <f>A171&amp;"/"&amp;B197&amp;"/"&amp;C205&amp;"/"&amp;D206</f>
        <v>Lignite fired power plants/Steam turbine/Electricity only with CCS/M</v>
      </c>
      <c r="F206" s="79" t="str">
        <f>A171</f>
        <v>Lignite fired power plants</v>
      </c>
      <c r="G206" s="79" t="str">
        <f>B197</f>
        <v>Steam turbine</v>
      </c>
      <c r="H206" s="79" t="str">
        <f>C205</f>
        <v>Electricity only with CCS</v>
      </c>
      <c r="I206" s="167" t="str">
        <f t="shared" si="79"/>
        <v>M</v>
      </c>
      <c r="J206" s="79" t="s">
        <v>112</v>
      </c>
      <c r="K206" s="79" t="s">
        <v>112</v>
      </c>
      <c r="L206" s="79" t="s">
        <v>112</v>
      </c>
      <c r="M206" s="79" t="s">
        <v>112</v>
      </c>
      <c r="N206" s="79" t="s">
        <v>112</v>
      </c>
      <c r="O206" s="79" t="s">
        <v>112</v>
      </c>
      <c r="P206" s="79" t="s">
        <v>112</v>
      </c>
      <c r="Q206" s="79" t="s">
        <v>112</v>
      </c>
      <c r="R206" s="79" t="s">
        <v>112</v>
      </c>
      <c r="S206" s="79" t="s">
        <v>112</v>
      </c>
      <c r="T206" s="79" t="s">
        <v>112</v>
      </c>
      <c r="U206" s="79" t="s">
        <v>112</v>
      </c>
      <c r="V206" s="79" t="s">
        <v>112</v>
      </c>
      <c r="W206" s="79" t="s">
        <v>112</v>
      </c>
      <c r="X206" s="79" t="s">
        <v>112</v>
      </c>
      <c r="Y206" s="79" t="s">
        <v>112</v>
      </c>
      <c r="Z206" s="79" t="s">
        <v>112</v>
      </c>
      <c r="AA206" s="79" t="s">
        <v>112</v>
      </c>
      <c r="AB206" s="79" t="s">
        <v>112</v>
      </c>
      <c r="AC206" s="79" t="s">
        <v>112</v>
      </c>
      <c r="AD206" s="79" t="s">
        <v>112</v>
      </c>
      <c r="AE206" s="79">
        <v>0.37173339281067619</v>
      </c>
      <c r="AF206" s="79">
        <v>0.37173339281067619</v>
      </c>
      <c r="AG206" s="79">
        <v>0.37173339281067619</v>
      </c>
      <c r="AH206" s="79">
        <v>0.37173339281067619</v>
      </c>
      <c r="AI206" s="79">
        <v>0.37173339281067619</v>
      </c>
      <c r="AJ206" s="79">
        <v>0.37173339281067619</v>
      </c>
      <c r="AK206" s="79">
        <v>0.37173339281067619</v>
      </c>
      <c r="AL206" s="79">
        <v>0.37173339281067619</v>
      </c>
      <c r="AM206" s="79">
        <v>0.37173339281067619</v>
      </c>
      <c r="AN206" s="79">
        <v>0.37173339281067619</v>
      </c>
      <c r="AO206" s="79">
        <v>0.37173339281067619</v>
      </c>
      <c r="AP206" s="79">
        <v>0.37173339281067619</v>
      </c>
      <c r="AQ206" s="79">
        <v>0.37173339281067619</v>
      </c>
      <c r="AR206" s="79">
        <v>0.37173339281067619</v>
      </c>
      <c r="AS206" s="79">
        <v>0.37173339281067619</v>
      </c>
      <c r="AT206" s="79">
        <v>0.37173339281067619</v>
      </c>
      <c r="AU206" s="79">
        <v>0.37173339281067619</v>
      </c>
      <c r="AV206" s="79">
        <v>0.37173339281067619</v>
      </c>
      <c r="AW206" s="79">
        <v>0.37173339281067619</v>
      </c>
      <c r="AX206" s="87">
        <v>0.37173339281067619</v>
      </c>
    </row>
    <row r="207" spans="1:50" x14ac:dyDescent="0.25">
      <c r="A207" s="356"/>
      <c r="B207" s="359"/>
      <c r="C207" s="361" t="s">
        <v>16</v>
      </c>
      <c r="D207" s="2" t="s">
        <v>7</v>
      </c>
      <c r="E207" s="160" t="str">
        <f>A171&amp;"/"&amp;B197&amp;"/"&amp;C207&amp;"/"&amp;D207</f>
        <v>Lignite fired power plants/Steam turbine/CHP with CCS/L</v>
      </c>
      <c r="F207" s="76" t="str">
        <f>A171</f>
        <v>Lignite fired power plants</v>
      </c>
      <c r="G207" s="76" t="str">
        <f>B197</f>
        <v>Steam turbine</v>
      </c>
      <c r="H207" s="76" t="str">
        <f>C207</f>
        <v>CHP with CCS</v>
      </c>
      <c r="I207" s="161" t="str">
        <f t="shared" si="79"/>
        <v>L</v>
      </c>
      <c r="J207" s="76" t="s">
        <v>112</v>
      </c>
      <c r="K207" s="76" t="s">
        <v>112</v>
      </c>
      <c r="L207" s="76" t="s">
        <v>112</v>
      </c>
      <c r="M207" s="76" t="s">
        <v>112</v>
      </c>
      <c r="N207" s="76" t="s">
        <v>112</v>
      </c>
      <c r="O207" s="76" t="s">
        <v>112</v>
      </c>
      <c r="P207" s="76" t="s">
        <v>112</v>
      </c>
      <c r="Q207" s="76" t="s">
        <v>112</v>
      </c>
      <c r="R207" s="76" t="s">
        <v>112</v>
      </c>
      <c r="S207" s="76" t="s">
        <v>112</v>
      </c>
      <c r="T207" s="76" t="s">
        <v>112</v>
      </c>
      <c r="U207" s="76" t="s">
        <v>112</v>
      </c>
      <c r="V207" s="76" t="s">
        <v>112</v>
      </c>
      <c r="W207" s="76" t="s">
        <v>112</v>
      </c>
      <c r="X207" s="76" t="s">
        <v>112</v>
      </c>
      <c r="Y207" s="76" t="s">
        <v>112</v>
      </c>
      <c r="Z207" s="76" t="s">
        <v>112</v>
      </c>
      <c r="AA207" s="76" t="s">
        <v>112</v>
      </c>
      <c r="AB207" s="76" t="s">
        <v>112</v>
      </c>
      <c r="AC207" s="76" t="s">
        <v>112</v>
      </c>
      <c r="AD207" s="76" t="s">
        <v>112</v>
      </c>
      <c r="AE207" s="76">
        <v>0.35483642041019087</v>
      </c>
      <c r="AF207" s="76">
        <v>0.35483642041019087</v>
      </c>
      <c r="AG207" s="76">
        <v>0.35483642041019087</v>
      </c>
      <c r="AH207" s="76">
        <v>0.35483642041019087</v>
      </c>
      <c r="AI207" s="76">
        <v>0.35483642041019087</v>
      </c>
      <c r="AJ207" s="76">
        <v>0.35483642041019087</v>
      </c>
      <c r="AK207" s="76">
        <v>0.35483642041019087</v>
      </c>
      <c r="AL207" s="76">
        <v>0.35483642041019087</v>
      </c>
      <c r="AM207" s="76">
        <v>0.35483642041019087</v>
      </c>
      <c r="AN207" s="76">
        <v>0.35483642041019087</v>
      </c>
      <c r="AO207" s="76">
        <v>0.35483642041019087</v>
      </c>
      <c r="AP207" s="76">
        <v>0.35483642041019087</v>
      </c>
      <c r="AQ207" s="76">
        <v>0.35483642041019087</v>
      </c>
      <c r="AR207" s="76">
        <v>0.35483642041019087</v>
      </c>
      <c r="AS207" s="76">
        <v>0.35483642041019087</v>
      </c>
      <c r="AT207" s="76">
        <v>0.35483642041019087</v>
      </c>
      <c r="AU207" s="76">
        <v>0.35483642041019087</v>
      </c>
      <c r="AV207" s="76">
        <v>0.35483642041019087</v>
      </c>
      <c r="AW207" s="76">
        <v>0.35483642041019087</v>
      </c>
      <c r="AX207" s="84">
        <v>0.35483642041019087</v>
      </c>
    </row>
    <row r="208" spans="1:50" x14ac:dyDescent="0.25">
      <c r="A208" s="357"/>
      <c r="B208" s="362"/>
      <c r="C208" s="354"/>
      <c r="D208" s="4" t="s">
        <v>8</v>
      </c>
      <c r="E208" s="168" t="str">
        <f>A171&amp;"/"&amp;B197&amp;"/"&amp;C207&amp;"/"&amp;D208</f>
        <v>Lignite fired power plants/Steam turbine/CHP with CCS/M</v>
      </c>
      <c r="F208" s="80" t="str">
        <f>A171</f>
        <v>Lignite fired power plants</v>
      </c>
      <c r="G208" s="80" t="str">
        <f>B197</f>
        <v>Steam turbine</v>
      </c>
      <c r="H208" s="80" t="str">
        <f>C207</f>
        <v>CHP with CCS</v>
      </c>
      <c r="I208" s="169" t="str">
        <f t="shared" si="79"/>
        <v>M</v>
      </c>
      <c r="J208" s="80" t="s">
        <v>112</v>
      </c>
      <c r="K208" s="80" t="s">
        <v>112</v>
      </c>
      <c r="L208" s="80" t="s">
        <v>112</v>
      </c>
      <c r="M208" s="80" t="s">
        <v>112</v>
      </c>
      <c r="N208" s="80" t="s">
        <v>112</v>
      </c>
      <c r="O208" s="80" t="s">
        <v>112</v>
      </c>
      <c r="P208" s="80" t="s">
        <v>112</v>
      </c>
      <c r="Q208" s="80" t="s">
        <v>112</v>
      </c>
      <c r="R208" s="80" t="s">
        <v>112</v>
      </c>
      <c r="S208" s="80" t="s">
        <v>112</v>
      </c>
      <c r="T208" s="80" t="s">
        <v>112</v>
      </c>
      <c r="U208" s="80" t="s">
        <v>112</v>
      </c>
      <c r="V208" s="80" t="s">
        <v>112</v>
      </c>
      <c r="W208" s="80" t="s">
        <v>112</v>
      </c>
      <c r="X208" s="80" t="s">
        <v>112</v>
      </c>
      <c r="Y208" s="80" t="s">
        <v>112</v>
      </c>
      <c r="Z208" s="80" t="s">
        <v>112</v>
      </c>
      <c r="AA208" s="80" t="s">
        <v>112</v>
      </c>
      <c r="AB208" s="80" t="s">
        <v>112</v>
      </c>
      <c r="AC208" s="80" t="s">
        <v>112</v>
      </c>
      <c r="AD208" s="80" t="s">
        <v>112</v>
      </c>
      <c r="AE208" s="80">
        <v>0.3379394480097056</v>
      </c>
      <c r="AF208" s="80">
        <v>0.3379394480097056</v>
      </c>
      <c r="AG208" s="80">
        <v>0.3379394480097056</v>
      </c>
      <c r="AH208" s="80">
        <v>0.3379394480097056</v>
      </c>
      <c r="AI208" s="80">
        <v>0.3379394480097056</v>
      </c>
      <c r="AJ208" s="80">
        <v>0.3379394480097056</v>
      </c>
      <c r="AK208" s="80">
        <v>0.3379394480097056</v>
      </c>
      <c r="AL208" s="80">
        <v>0.3379394480097056</v>
      </c>
      <c r="AM208" s="80">
        <v>0.3379394480097056</v>
      </c>
      <c r="AN208" s="80">
        <v>0.3379394480097056</v>
      </c>
      <c r="AO208" s="80">
        <v>0.3379394480097056</v>
      </c>
      <c r="AP208" s="80">
        <v>0.3379394480097056</v>
      </c>
      <c r="AQ208" s="80">
        <v>0.3379394480097056</v>
      </c>
      <c r="AR208" s="80">
        <v>0.3379394480097056</v>
      </c>
      <c r="AS208" s="80">
        <v>0.3379394480097056</v>
      </c>
      <c r="AT208" s="80">
        <v>0.3379394480097056</v>
      </c>
      <c r="AU208" s="80">
        <v>0.3379394480097056</v>
      </c>
      <c r="AV208" s="80">
        <v>0.3379394480097056</v>
      </c>
      <c r="AW208" s="80">
        <v>0.3379394480097056</v>
      </c>
      <c r="AX208" s="88">
        <v>0.3379394480097056</v>
      </c>
    </row>
    <row r="209" spans="1:50" x14ac:dyDescent="0.25">
      <c r="A209" s="356" t="s">
        <v>22</v>
      </c>
      <c r="B209" s="358" t="s">
        <v>23</v>
      </c>
      <c r="C209" s="353" t="s">
        <v>6</v>
      </c>
      <c r="D209" s="3" t="s">
        <v>7</v>
      </c>
      <c r="E209" s="162" t="str">
        <f>A209&amp;"/"&amp;B209&amp;"/"&amp;C209&amp;"/"&amp;D209</f>
        <v>Gas fired power plants (Natural gas, biogas)/Gas turbine combined cycle/Electricity only/L</v>
      </c>
      <c r="F209" s="77" t="str">
        <f>A209</f>
        <v>Gas fired power plants (Natural gas, biogas)</v>
      </c>
      <c r="G209" s="77" t="str">
        <f>B209</f>
        <v>Gas turbine combined cycle</v>
      </c>
      <c r="H209" s="77" t="str">
        <f>C209</f>
        <v>Electricity only</v>
      </c>
      <c r="I209" s="163" t="str">
        <f t="shared" si="79"/>
        <v>L</v>
      </c>
      <c r="J209" s="77">
        <v>0.58823529411764708</v>
      </c>
      <c r="K209" s="77">
        <v>0.58844381707400406</v>
      </c>
      <c r="L209" s="77">
        <v>0.58869521918276901</v>
      </c>
      <c r="M209" s="77">
        <v>0.58899747722944418</v>
      </c>
      <c r="N209" s="77">
        <v>0.58935966533949635</v>
      </c>
      <c r="O209" s="77">
        <v>0.58979192638756239</v>
      </c>
      <c r="P209" s="77">
        <v>0.59030534391139444</v>
      </c>
      <c r="Q209" s="77">
        <v>0.5909116727549486</v>
      </c>
      <c r="R209" s="77">
        <v>0.59162288210859248</v>
      </c>
      <c r="S209" s="77">
        <v>0.59245046693757664</v>
      </c>
      <c r="T209" s="77">
        <v>0.59340449829488284</v>
      </c>
      <c r="U209" s="77">
        <v>0.59449241554080701</v>
      </c>
      <c r="V209" s="77">
        <v>0.59571761821156888</v>
      </c>
      <c r="W209" s="77">
        <v>0.59707799090739577</v>
      </c>
      <c r="X209" s="77">
        <v>0.59856457969609778</v>
      </c>
      <c r="Y209" s="77">
        <v>0.60016070845649239</v>
      </c>
      <c r="Z209" s="77">
        <v>0.60184184271103169</v>
      </c>
      <c r="AA209" s="77">
        <v>0.60357644190229531</v>
      </c>
      <c r="AB209" s="77">
        <v>0.60532787461162951</v>
      </c>
      <c r="AC209" s="77">
        <v>0.60705723113869214</v>
      </c>
      <c r="AD209" s="77">
        <v>0.60872662454588444</v>
      </c>
      <c r="AE209" s="77">
        <v>0.61030241599257917</v>
      </c>
      <c r="AF209" s="77">
        <v>0.61175780109797018</v>
      </c>
      <c r="AG209" s="77">
        <v>0.61307435721480452</v>
      </c>
      <c r="AH209" s="77">
        <v>0.61424241459242412</v>
      </c>
      <c r="AI209" s="77">
        <v>0.61526037954668666</v>
      </c>
      <c r="AJ209" s="77">
        <v>0.61613332074241778</v>
      </c>
      <c r="AK209" s="77">
        <v>0.61687119428043224</v>
      </c>
      <c r="AL209" s="77">
        <v>0.61748704395499021</v>
      </c>
      <c r="AM209" s="77">
        <v>0.61799541363147403</v>
      </c>
      <c r="AN209" s="77">
        <v>0.61841109572386777</v>
      </c>
      <c r="AO209" s="77">
        <v>0.61874824530451644</v>
      </c>
      <c r="AP209" s="77">
        <v>0.61901982690289536</v>
      </c>
      <c r="AQ209" s="77">
        <v>0.61923732982877011</v>
      </c>
      <c r="AR209" s="77">
        <v>0.61941068003711242</v>
      </c>
      <c r="AS209" s="77">
        <v>0.61954828282079244</v>
      </c>
      <c r="AT209" s="77">
        <v>0.61965714328467891</v>
      </c>
      <c r="AU209" s="77">
        <v>0.61974302552257632</v>
      </c>
      <c r="AV209" s="77">
        <v>0.61981062393055719</v>
      </c>
      <c r="AW209" s="77">
        <v>0.61986373005084161</v>
      </c>
      <c r="AX209" s="85">
        <v>0.61990538563311215</v>
      </c>
    </row>
    <row r="210" spans="1:50" x14ac:dyDescent="0.25">
      <c r="A210" s="356"/>
      <c r="B210" s="359"/>
      <c r="C210" s="350"/>
      <c r="D210" s="2" t="s">
        <v>8</v>
      </c>
      <c r="E210" s="160" t="str">
        <f>A209&amp;"/"&amp;B209&amp;"/"&amp;C209&amp;"/"&amp;D210</f>
        <v>Gas fired power plants (Natural gas, biogas)/Gas turbine combined cycle/Electricity only/M</v>
      </c>
      <c r="F210" s="76" t="str">
        <f>A209</f>
        <v>Gas fired power plants (Natural gas, biogas)</v>
      </c>
      <c r="G210" s="76" t="str">
        <f>B209</f>
        <v>Gas turbine combined cycle</v>
      </c>
      <c r="H210" s="76" t="str">
        <f>C209</f>
        <v>Electricity only</v>
      </c>
      <c r="I210" s="161" t="str">
        <f t="shared" si="79"/>
        <v>M</v>
      </c>
      <c r="J210" s="76">
        <v>0.56022408963585435</v>
      </c>
      <c r="K210" s="76">
        <v>0.56027407401207485</v>
      </c>
      <c r="L210" s="76">
        <v>0.56033806111060491</v>
      </c>
      <c r="M210" s="76">
        <v>0.5604199037271983</v>
      </c>
      <c r="N210" s="76">
        <v>0.56052447004357198</v>
      </c>
      <c r="O210" s="76">
        <v>0.56065788274918105</v>
      </c>
      <c r="P210" s="76">
        <v>0.56082779618213618</v>
      </c>
      <c r="Q210" s="76">
        <v>0.56104370508406776</v>
      </c>
      <c r="R210" s="76">
        <v>0.56131726784008695</v>
      </c>
      <c r="S210" s="76">
        <v>0.5616626097429035</v>
      </c>
      <c r="T210" s="76">
        <v>0.56209654569351242</v>
      </c>
      <c r="U210" s="76">
        <v>0.56263862537201814</v>
      </c>
      <c r="V210" s="76">
        <v>0.56331085844745366</v>
      </c>
      <c r="W210" s="76">
        <v>0.56413693001446963</v>
      </c>
      <c r="X210" s="76">
        <v>0.56514068516326454</v>
      </c>
      <c r="Y210" s="76">
        <v>0.5663436799582523</v>
      </c>
      <c r="Z210" s="76">
        <v>0.56776171283585697</v>
      </c>
      <c r="AA210" s="76">
        <v>0.56940051483372156</v>
      </c>
      <c r="AB210" s="76">
        <v>0.57125120044117628</v>
      </c>
      <c r="AC210" s="76">
        <v>0.57328657682055328</v>
      </c>
      <c r="AD210" s="76">
        <v>0.57545974947614142</v>
      </c>
      <c r="AE210" s="76">
        <v>0.57770632398343136</v>
      </c>
      <c r="AF210" s="76">
        <v>0.57995066439870235</v>
      </c>
      <c r="AG210" s="76">
        <v>0.58211528010080993</v>
      </c>
      <c r="AH210" s="76">
        <v>0.58413108938436897</v>
      </c>
      <c r="AI210" s="76">
        <v>0.58594581806464896</v>
      </c>
      <c r="AJ210" s="76">
        <v>0.58752848531843427</v>
      </c>
      <c r="AK210" s="76">
        <v>0.58886942628972194</v>
      </c>
      <c r="AL210" s="76">
        <v>0.58997677211283317</v>
      </c>
      <c r="AM210" s="76">
        <v>0.59087108690394308</v>
      </c>
      <c r="AN210" s="76">
        <v>0.59157981953704575</v>
      </c>
      <c r="AO210" s="76">
        <v>0.59213267569249506</v>
      </c>
      <c r="AP210" s="76">
        <v>0.59255836406537787</v>
      </c>
      <c r="AQ210" s="76">
        <v>0.59288268459032167</v>
      </c>
      <c r="AR210" s="76">
        <v>0.59312767714654557</v>
      </c>
      <c r="AS210" s="76">
        <v>0.59331148737297201</v>
      </c>
      <c r="AT210" s="76">
        <v>0.59344864913828221</v>
      </c>
      <c r="AU210" s="76">
        <v>0.59355056353832891</v>
      </c>
      <c r="AV210" s="76">
        <v>0.59362603316142248</v>
      </c>
      <c r="AW210" s="76">
        <v>0.59368177195800109</v>
      </c>
      <c r="AX210" s="84">
        <v>0.59372285295438265</v>
      </c>
    </row>
    <row r="211" spans="1:50" x14ac:dyDescent="0.25">
      <c r="A211" s="356"/>
      <c r="B211" s="359"/>
      <c r="C211" s="350"/>
      <c r="D211" s="2" t="s">
        <v>10</v>
      </c>
      <c r="E211" s="160" t="str">
        <f>A209&amp;"/"&amp;B209&amp;"/"&amp;C209&amp;"/"&amp;D211</f>
        <v>Gas fired power plants (Natural gas, biogas)/Gas turbine combined cycle/Electricity only/S</v>
      </c>
      <c r="F211" s="76" t="str">
        <f>A209</f>
        <v>Gas fired power plants (Natural gas, biogas)</v>
      </c>
      <c r="G211" s="76" t="str">
        <f>B209</f>
        <v>Gas turbine combined cycle</v>
      </c>
      <c r="H211" s="76" t="str">
        <f>C209</f>
        <v>Electricity only</v>
      </c>
      <c r="I211" s="161" t="str">
        <f t="shared" si="79"/>
        <v>S</v>
      </c>
      <c r="J211" s="76">
        <v>0.53354675203414703</v>
      </c>
      <c r="K211" s="76">
        <v>0.53355158798186353</v>
      </c>
      <c r="L211" s="76">
        <v>0.53355811389389596</v>
      </c>
      <c r="M211" s="76">
        <v>0.53356691943048074</v>
      </c>
      <c r="N211" s="76">
        <v>0.53357879924622797</v>
      </c>
      <c r="O211" s="76">
        <v>0.53359482364142552</v>
      </c>
      <c r="P211" s="76">
        <v>0.53361643305902606</v>
      </c>
      <c r="Q211" s="76">
        <v>0.53364556406085084</v>
      </c>
      <c r="R211" s="76">
        <v>0.5336848165159056</v>
      </c>
      <c r="S211" s="76">
        <v>0.53373767411462492</v>
      </c>
      <c r="T211" s="76">
        <v>0.53380879273547188</v>
      </c>
      <c r="U211" s="76">
        <v>0.53390437304463245</v>
      </c>
      <c r="V211" s="76">
        <v>0.53403263379534338</v>
      </c>
      <c r="W211" s="76">
        <v>0.53420439833148692</v>
      </c>
      <c r="X211" s="76">
        <v>0.53443379478539399</v>
      </c>
      <c r="Y211" s="76">
        <v>0.53473904384410953</v>
      </c>
      <c r="Z211" s="76">
        <v>0.53514325699327392</v>
      </c>
      <c r="AA211" s="76">
        <v>0.53567508036339018</v>
      </c>
      <c r="AB211" s="76">
        <v>0.53636888337978317</v>
      </c>
      <c r="AC211" s="76">
        <v>0.53726400857539769</v>
      </c>
      <c r="AD211" s="76">
        <v>0.53840240704450426</v>
      </c>
      <c r="AE211" s="76">
        <v>0.53982389515605389</v>
      </c>
      <c r="AF211" s="76">
        <v>0.54155850008670992</v>
      </c>
      <c r="AG211" s="76">
        <v>0.54361620075087802</v>
      </c>
      <c r="AH211" s="76">
        <v>0.54597596225178313</v>
      </c>
      <c r="AI211" s="76">
        <v>0.54857789784711009</v>
      </c>
      <c r="AJ211" s="76">
        <v>0.55132339117708051</v>
      </c>
      <c r="AK211" s="76">
        <v>0.55408640244698637</v>
      </c>
      <c r="AL211" s="76">
        <v>0.55673455441924824</v>
      </c>
      <c r="AM211" s="76">
        <v>0.55915327870598752</v>
      </c>
      <c r="AN211" s="76">
        <v>0.56126423228921729</v>
      </c>
      <c r="AO211" s="76">
        <v>0.56303222665295516</v>
      </c>
      <c r="AP211" s="76">
        <v>0.5644607353377018</v>
      </c>
      <c r="AQ211" s="76">
        <v>0.56558050517362957</v>
      </c>
      <c r="AR211" s="76">
        <v>0.56643673556195828</v>
      </c>
      <c r="AS211" s="76">
        <v>0.56707856258458722</v>
      </c>
      <c r="AT211" s="76">
        <v>0.56755221673171785</v>
      </c>
      <c r="AU211" s="76">
        <v>0.56789756194736452</v>
      </c>
      <c r="AV211" s="76">
        <v>0.56814703719198878</v>
      </c>
      <c r="AW211" s="76">
        <v>0.56832599638348502</v>
      </c>
      <c r="AX211" s="84">
        <v>0.56845369454667027</v>
      </c>
    </row>
    <row r="212" spans="1:50" x14ac:dyDescent="0.25">
      <c r="A212" s="356"/>
      <c r="B212" s="359"/>
      <c r="C212" s="360"/>
      <c r="D212" s="2" t="s">
        <v>20</v>
      </c>
      <c r="E212" s="160" t="str">
        <f>A209&amp;"/"&amp;B209&amp;"/"&amp;C209&amp;"/"&amp;D212</f>
        <v>Gas fired power plants (Natural gas, biogas)/Gas turbine combined cycle/Electricity only/XS</v>
      </c>
      <c r="F212" s="76" t="str">
        <f>A209</f>
        <v>Gas fired power plants (Natural gas, biogas)</v>
      </c>
      <c r="G212" s="76" t="str">
        <f>B209</f>
        <v>Gas turbine combined cycle</v>
      </c>
      <c r="H212" s="76" t="str">
        <f>C209</f>
        <v>Electricity only</v>
      </c>
      <c r="I212" s="161" t="str">
        <f t="shared" si="79"/>
        <v>XS</v>
      </c>
      <c r="J212" s="76">
        <v>0.50813976384204473</v>
      </c>
      <c r="K212" s="76">
        <v>0.50814047012769548</v>
      </c>
      <c r="L212" s="76">
        <v>0.50814142347276248</v>
      </c>
      <c r="M212" s="76">
        <v>0.50814271027958935</v>
      </c>
      <c r="N212" s="76">
        <v>0.50814444715155049</v>
      </c>
      <c r="O212" s="76">
        <v>0.50814679143647812</v>
      </c>
      <c r="P212" s="76">
        <v>0.50814995544017849</v>
      </c>
      <c r="Q212" s="76">
        <v>0.50815422557876866</v>
      </c>
      <c r="R212" s="76">
        <v>0.50815998816991315</v>
      </c>
      <c r="S212" s="76">
        <v>0.50816776413505105</v>
      </c>
      <c r="T212" s="76">
        <v>0.5081782556382537</v>
      </c>
      <c r="U212" s="76">
        <v>0.50819240867084181</v>
      </c>
      <c r="V212" s="76">
        <v>0.50821149685755818</v>
      </c>
      <c r="W212" s="76">
        <v>0.508237233360052</v>
      </c>
      <c r="X212" s="76">
        <v>0.50827191971577035</v>
      </c>
      <c r="Y212" s="76">
        <v>0.50831864274636762</v>
      </c>
      <c r="Z212" s="76">
        <v>0.50838153314249568</v>
      </c>
      <c r="AA212" s="76">
        <v>0.50846610156783423</v>
      </c>
      <c r="AB212" s="76">
        <v>0.50857966923102826</v>
      </c>
      <c r="AC212" s="76">
        <v>0.50873190810881497</v>
      </c>
      <c r="AD212" s="76">
        <v>0.50893549821651052</v>
      </c>
      <c r="AE212" s="76">
        <v>0.50920689019418464</v>
      </c>
      <c r="AF212" s="76">
        <v>0.50956712273606675</v>
      </c>
      <c r="AG212" s="76">
        <v>0.51004257463091873</v>
      </c>
      <c r="AH212" s="76">
        <v>0.51066541789221598</v>
      </c>
      <c r="AI212" s="76">
        <v>0.51147337550821992</v>
      </c>
      <c r="AJ212" s="76">
        <v>0.51250819283623694</v>
      </c>
      <c r="AK212" s="76">
        <v>0.51381207975979504</v>
      </c>
      <c r="AL212" s="76">
        <v>0.51542143907688809</v>
      </c>
      <c r="AM212" s="76">
        <v>0.51735772832444693</v>
      </c>
      <c r="AN212" s="76">
        <v>0.51961654446702876</v>
      </c>
      <c r="AO212" s="76">
        <v>0.52215785915981772</v>
      </c>
      <c r="AP212" s="76">
        <v>0.5249018957151691</v>
      </c>
      <c r="AQ212" s="76">
        <v>0.52773485580217128</v>
      </c>
      <c r="AR212" s="76">
        <v>0.53052544079275188</v>
      </c>
      <c r="AS212" s="76">
        <v>0.53314790275324753</v>
      </c>
      <c r="AT212" s="76">
        <v>0.53550358426301703</v>
      </c>
      <c r="AU212" s="76">
        <v>0.53753358651287197</v>
      </c>
      <c r="AV212" s="76">
        <v>0.53921989781999613</v>
      </c>
      <c r="AW212" s="76">
        <v>0.54057749440640701</v>
      </c>
      <c r="AX212" s="84">
        <v>0.54164244533214545</v>
      </c>
    </row>
    <row r="213" spans="1:50" x14ac:dyDescent="0.25">
      <c r="A213" s="356"/>
      <c r="B213" s="359"/>
      <c r="C213" s="361" t="s">
        <v>14</v>
      </c>
      <c r="D213" s="58" t="s">
        <v>7</v>
      </c>
      <c r="E213" s="164" t="str">
        <f>A209&amp;"/"&amp;B209&amp;"/"&amp;C213&amp;"/"&amp;D213</f>
        <v>Gas fired power plants (Natural gas, biogas)/Gas turbine combined cycle/CHP/L</v>
      </c>
      <c r="F213" s="78" t="str">
        <f>A209</f>
        <v>Gas fired power plants (Natural gas, biogas)</v>
      </c>
      <c r="G213" s="78" t="str">
        <f>B209</f>
        <v>Gas turbine combined cycle</v>
      </c>
      <c r="H213" s="78" t="str">
        <f>C213</f>
        <v>CHP</v>
      </c>
      <c r="I213" s="165" t="str">
        <f t="shared" si="79"/>
        <v>L</v>
      </c>
      <c r="J213" s="78">
        <v>0.53475935828876997</v>
      </c>
      <c r="K213" s="78">
        <v>0.53491099522013541</v>
      </c>
      <c r="L213" s="78">
        <v>0.5350937707864335</v>
      </c>
      <c r="M213" s="78">
        <v>0.53531345780955875</v>
      </c>
      <c r="N213" s="78">
        <v>0.5355766139067587</v>
      </c>
      <c r="O213" s="78">
        <v>0.53589055573459987</v>
      </c>
      <c r="P213" s="78">
        <v>0.53626325966565414</v>
      </c>
      <c r="Q213" s="78">
        <v>0.5367031586640697</v>
      </c>
      <c r="R213" s="78">
        <v>0.53721880220371532</v>
      </c>
      <c r="S213" s="78">
        <v>0.53781834837170761</v>
      </c>
      <c r="T213" s="78">
        <v>0.53850886867020609</v>
      </c>
      <c r="U213" s="78">
        <v>0.53929547059662675</v>
      </c>
      <c r="V213" s="78">
        <v>0.54018028357487702</v>
      </c>
      <c r="W213" s="78">
        <v>0.54116140876780761</v>
      </c>
      <c r="X213" s="78">
        <v>0.54223199377220055</v>
      </c>
      <c r="Y213" s="78">
        <v>0.54337964074390577</v>
      </c>
      <c r="Z213" s="78">
        <v>0.54458636542272387</v>
      </c>
      <c r="AA213" s="78">
        <v>0.54582927076271226</v>
      </c>
      <c r="AB213" s="78">
        <v>0.54708197456158547</v>
      </c>
      <c r="AC213" s="78">
        <v>0.54831665726373235</v>
      </c>
      <c r="AD213" s="78">
        <v>0.54950642620425438</v>
      </c>
      <c r="AE213" s="78">
        <v>0.55062759053001575</v>
      </c>
      <c r="AF213" s="78">
        <v>0.55166145212566797</v>
      </c>
      <c r="AG213" s="78">
        <v>0.55259534188601822</v>
      </c>
      <c r="AH213" s="78">
        <v>0.55342282016655542</v>
      </c>
      <c r="AI213" s="78">
        <v>0.55414314544773879</v>
      </c>
      <c r="AJ213" s="78">
        <v>0.55476023878632263</v>
      </c>
      <c r="AK213" s="78">
        <v>0.55528141097762551</v>
      </c>
      <c r="AL213" s="78">
        <v>0.55571608705558129</v>
      </c>
      <c r="AM213" s="78">
        <v>0.55607469053850911</v>
      </c>
      <c r="AN213" s="78">
        <v>0.55636777010010285</v>
      </c>
      <c r="AO213" s="78">
        <v>0.55660538581471841</v>
      </c>
      <c r="AP213" s="78">
        <v>0.55679672944595204</v>
      </c>
      <c r="AQ213" s="78">
        <v>0.55694993241328183</v>
      </c>
      <c r="AR213" s="78">
        <v>0.55707201036665255</v>
      </c>
      <c r="AS213" s="78">
        <v>0.55716889817084503</v>
      </c>
      <c r="AT213" s="78">
        <v>0.55724553822616907</v>
      </c>
      <c r="AU213" s="78">
        <v>0.55730599493755484</v>
      </c>
      <c r="AV213" s="78">
        <v>0.55735357692637211</v>
      </c>
      <c r="AW213" s="78">
        <v>0.55739095553534435</v>
      </c>
      <c r="AX213" s="86">
        <v>0.55742027325114907</v>
      </c>
    </row>
    <row r="214" spans="1:50" x14ac:dyDescent="0.25">
      <c r="A214" s="356"/>
      <c r="B214" s="359"/>
      <c r="C214" s="350"/>
      <c r="D214" s="2" t="s">
        <v>8</v>
      </c>
      <c r="E214" s="160" t="str">
        <f>A209&amp;"/"&amp;B209&amp;"/"&amp;C213&amp;"/"&amp;D214</f>
        <v>Gas fired power plants (Natural gas, biogas)/Gas turbine combined cycle/CHP/M</v>
      </c>
      <c r="F214" s="76" t="str">
        <f>A209</f>
        <v>Gas fired power plants (Natural gas, biogas)</v>
      </c>
      <c r="G214" s="76" t="str">
        <f>B209</f>
        <v>Gas turbine combined cycle</v>
      </c>
      <c r="H214" s="76" t="str">
        <f>C213</f>
        <v>CHP</v>
      </c>
      <c r="I214" s="161" t="str">
        <f t="shared" si="79"/>
        <v>M</v>
      </c>
      <c r="J214" s="76">
        <v>0.50929462694168581</v>
      </c>
      <c r="K214" s="76">
        <v>0.50933180449866011</v>
      </c>
      <c r="L214" s="76">
        <v>0.50937939440951174</v>
      </c>
      <c r="M214" s="76">
        <v>0.50944025990242936</v>
      </c>
      <c r="N214" s="76">
        <v>0.50951801771355898</v>
      </c>
      <c r="O214" s="76">
        <v>0.50961721483682099</v>
      </c>
      <c r="P214" s="76">
        <v>0.50974353289423602</v>
      </c>
      <c r="Q214" s="76">
        <v>0.50990401501093152</v>
      </c>
      <c r="R214" s="76">
        <v>0.51010730195263543</v>
      </c>
      <c r="S214" s="76">
        <v>0.51036385121724981</v>
      </c>
      <c r="T214" s="76">
        <v>0.51068609318324576</v>
      </c>
      <c r="U214" s="76">
        <v>0.51108845132818859</v>
      </c>
      <c r="V214" s="76">
        <v>0.51158712001988427</v>
      </c>
      <c r="W214" s="76">
        <v>0.51219945913663212</v>
      </c>
      <c r="X214" s="76">
        <v>0.51294284366312581</v>
      </c>
      <c r="Y214" s="76">
        <v>0.51383282378183581</v>
      </c>
      <c r="Z214" s="76">
        <v>0.51488054286398832</v>
      </c>
      <c r="AA214" s="76">
        <v>0.51608956215009893</v>
      </c>
      <c r="AB214" s="76">
        <v>0.51745255627183306</v>
      </c>
      <c r="AC214" s="76">
        <v>0.51894870325935938</v>
      </c>
      <c r="AD214" s="76">
        <v>0.52054282302190835</v>
      </c>
      <c r="AE214" s="76">
        <v>0.52218718415158571</v>
      </c>
      <c r="AF214" s="76">
        <v>0.52382625283901274</v>
      </c>
      <c r="AG214" s="76">
        <v>0.52540363413366797</v>
      </c>
      <c r="AH214" s="76">
        <v>0.52686951981397923</v>
      </c>
      <c r="AI214" s="76">
        <v>0.52818665745837301</v>
      </c>
      <c r="AJ214" s="76">
        <v>0.52933341200972472</v>
      </c>
      <c r="AK214" s="76">
        <v>0.53030359548545103</v>
      </c>
      <c r="AL214" s="76">
        <v>0.53110378638608002</v>
      </c>
      <c r="AM214" s="76">
        <v>0.53174938675038519</v>
      </c>
      <c r="AN214" s="76">
        <v>0.53226060399846187</v>
      </c>
      <c r="AO214" s="76">
        <v>0.53265913246095931</v>
      </c>
      <c r="AP214" s="76">
        <v>0.53296584030305427</v>
      </c>
      <c r="AQ214" s="76">
        <v>0.53319942444501855</v>
      </c>
      <c r="AR214" s="76">
        <v>0.53337582386379112</v>
      </c>
      <c r="AS214" s="76">
        <v>0.53350814219465181</v>
      </c>
      <c r="AT214" s="76">
        <v>0.53360686400178814</v>
      </c>
      <c r="AU214" s="76">
        <v>0.53368020776723535</v>
      </c>
      <c r="AV214" s="76">
        <v>0.53373451541139927</v>
      </c>
      <c r="AW214" s="76">
        <v>0.53377462217501348</v>
      </c>
      <c r="AX214" s="84">
        <v>0.53380418049736933</v>
      </c>
    </row>
    <row r="215" spans="1:50" x14ac:dyDescent="0.25">
      <c r="A215" s="356"/>
      <c r="B215" s="359"/>
      <c r="C215" s="350"/>
      <c r="D215" s="2" t="s">
        <v>10</v>
      </c>
      <c r="E215" s="160" t="str">
        <f>A209&amp;"/"&amp;B209&amp;"/"&amp;C213&amp;"/"&amp;D215</f>
        <v>Gas fired power plants (Natural gas, biogas)/Gas turbine combined cycle/CHP/S</v>
      </c>
      <c r="F215" s="76" t="str">
        <f>A209</f>
        <v>Gas fired power plants (Natural gas, biogas)</v>
      </c>
      <c r="G215" s="76" t="str">
        <f>B209</f>
        <v>Gas turbine combined cycle</v>
      </c>
      <c r="H215" s="76" t="str">
        <f>C213</f>
        <v>CHP</v>
      </c>
      <c r="I215" s="161" t="str">
        <f t="shared" si="79"/>
        <v>S</v>
      </c>
      <c r="J215" s="76">
        <v>0.48504250184922448</v>
      </c>
      <c r="K215" s="76">
        <v>0.48504616543767798</v>
      </c>
      <c r="L215" s="76">
        <v>0.48505110927290723</v>
      </c>
      <c r="M215" s="76">
        <v>0.48505778003540473</v>
      </c>
      <c r="N215" s="76">
        <v>0.48506677967562944</v>
      </c>
      <c r="O215" s="76">
        <v>0.48507891891322585</v>
      </c>
      <c r="P215" s="76">
        <v>0.48509528878087826</v>
      </c>
      <c r="Q215" s="76">
        <v>0.48511735597929906</v>
      </c>
      <c r="R215" s="76">
        <v>0.48514708938709189</v>
      </c>
      <c r="S215" s="76">
        <v>0.48518712684956855</v>
      </c>
      <c r="T215" s="76">
        <v>0.48524099315714087</v>
      </c>
      <c r="U215" s="76">
        <v>0.48531338145717401</v>
      </c>
      <c r="V215" s="76">
        <v>0.48541051028624549</v>
      </c>
      <c r="W215" s="76">
        <v>0.48554056520593064</v>
      </c>
      <c r="X215" s="76">
        <v>0.48571422460023755</v>
      </c>
      <c r="Y215" s="76">
        <v>0.48594524854475291</v>
      </c>
      <c r="Z215" s="76">
        <v>0.48625107039217497</v>
      </c>
      <c r="AA215" s="76">
        <v>0.48665326349879784</v>
      </c>
      <c r="AB215" s="76">
        <v>0.4871776521759304</v>
      </c>
      <c r="AC215" s="76">
        <v>0.4878536984252097</v>
      </c>
      <c r="AD215" s="76">
        <v>0.48871265492672916</v>
      </c>
      <c r="AE215" s="76">
        <v>0.48978391763185508</v>
      </c>
      <c r="AF215" s="76">
        <v>0.49108920463917266</v>
      </c>
      <c r="AG215" s="76">
        <v>0.49263484405924529</v>
      </c>
      <c r="AH215" s="76">
        <v>0.49440366511134781</v>
      </c>
      <c r="AI215" s="76">
        <v>0.4963494154211277</v>
      </c>
      <c r="AJ215" s="76">
        <v>0.49839728662270322</v>
      </c>
      <c r="AK215" s="76">
        <v>0.5004527963438139</v>
      </c>
      <c r="AL215" s="76">
        <v>0.50241774433355924</v>
      </c>
      <c r="AM215" s="76">
        <v>0.50420807973272819</v>
      </c>
      <c r="AN215" s="76">
        <v>0.50576718836255929</v>
      </c>
      <c r="AO215" s="76">
        <v>0.50707054358868631</v>
      </c>
      <c r="AP215" s="76">
        <v>0.50812199984790984</v>
      </c>
      <c r="AQ215" s="76">
        <v>0.50894518821348333</v>
      </c>
      <c r="AR215" s="76">
        <v>0.5095740330388201</v>
      </c>
      <c r="AS215" s="76">
        <v>0.51004506887283663</v>
      </c>
      <c r="AT215" s="76">
        <v>0.51039249393820485</v>
      </c>
      <c r="AU215" s="76">
        <v>0.51064570330854797</v>
      </c>
      <c r="AV215" s="76">
        <v>0.51082856711125568</v>
      </c>
      <c r="AW215" s="76">
        <v>0.51095971566009923</v>
      </c>
      <c r="AX215" s="84">
        <v>0.5110532840421238</v>
      </c>
    </row>
    <row r="216" spans="1:50" x14ac:dyDescent="0.25">
      <c r="A216" s="356"/>
      <c r="B216" s="359"/>
      <c r="C216" s="360"/>
      <c r="D216" s="59" t="s">
        <v>20</v>
      </c>
      <c r="E216" s="166" t="str">
        <f>A209&amp;"/"&amp;B209&amp;"/"&amp;C213&amp;"/"&amp;D216</f>
        <v>Gas fired power plants (Natural gas, biogas)/Gas turbine combined cycle/CHP/XS</v>
      </c>
      <c r="F216" s="79" t="str">
        <f>A209</f>
        <v>Gas fired power plants (Natural gas, biogas)</v>
      </c>
      <c r="G216" s="79" t="str">
        <f>B209</f>
        <v>Gas turbine combined cycle</v>
      </c>
      <c r="H216" s="79" t="str">
        <f>C213</f>
        <v>CHP</v>
      </c>
      <c r="I216" s="167" t="str">
        <f t="shared" si="79"/>
        <v>XS</v>
      </c>
      <c r="J216" s="79">
        <v>0.46194523985640429</v>
      </c>
      <c r="K216" s="79">
        <v>0.46194578315288443</v>
      </c>
      <c r="L216" s="79">
        <v>0.46194651649445573</v>
      </c>
      <c r="M216" s="79">
        <v>0.46194750634379023</v>
      </c>
      <c r="N216" s="79">
        <v>0.46194884239451561</v>
      </c>
      <c r="O216" s="79">
        <v>0.46195064568102306</v>
      </c>
      <c r="P216" s="79">
        <v>0.46195307951099057</v>
      </c>
      <c r="Q216" s="79">
        <v>0.46195636419620656</v>
      </c>
      <c r="R216" s="79">
        <v>0.46196079688879793</v>
      </c>
      <c r="S216" s="79">
        <v>0.46196677826944088</v>
      </c>
      <c r="T216" s="79">
        <v>0.46197484841281594</v>
      </c>
      <c r="U216" s="79">
        <v>0.46198573491035311</v>
      </c>
      <c r="V216" s="79">
        <v>0.46200041730150188</v>
      </c>
      <c r="W216" s="79">
        <v>0.46202021308980801</v>
      </c>
      <c r="X216" s="79">
        <v>0.46204689211935945</v>
      </c>
      <c r="Y216" s="79">
        <v>0.46208282783513122</v>
      </c>
      <c r="Z216" s="79">
        <v>0.4621311958207166</v>
      </c>
      <c r="AA216" s="79">
        <v>0.46219623167072343</v>
      </c>
      <c r="AB216" s="79">
        <v>0.46228356100904799</v>
      </c>
      <c r="AC216" s="79">
        <v>0.46240061294363449</v>
      </c>
      <c r="AD216" s="79">
        <v>0.46255712199353338</v>
      </c>
      <c r="AE216" s="79">
        <v>0.4627657084003351</v>
      </c>
      <c r="AF216" s="79">
        <v>0.46304249634928035</v>
      </c>
      <c r="AG216" s="79">
        <v>0.46340767524072035</v>
      </c>
      <c r="AH216" s="79">
        <v>0.46388582138848961</v>
      </c>
      <c r="AI216" s="79">
        <v>0.46450567235301243</v>
      </c>
      <c r="AJ216" s="79">
        <v>0.46529889894184273</v>
      </c>
      <c r="AK216" s="79">
        <v>0.46629731016149756</v>
      </c>
      <c r="AL216" s="79">
        <v>0.4675279854347108</v>
      </c>
      <c r="AM216" s="79">
        <v>0.46900625761164472</v>
      </c>
      <c r="AN216" s="79">
        <v>0.47072744141781558</v>
      </c>
      <c r="AO216" s="79">
        <v>0.47265960259058598</v>
      </c>
      <c r="AP216" s="79">
        <v>0.47474079703977506</v>
      </c>
      <c r="AQ216" s="79">
        <v>0.47688387782292635</v>
      </c>
      <c r="AR216" s="79">
        <v>0.4789893776310255</v>
      </c>
      <c r="AS216" s="79">
        <v>0.48096302601340984</v>
      </c>
      <c r="AT216" s="79">
        <v>0.48273176120646394</v>
      </c>
      <c r="AU216" s="79">
        <v>0.48425282186123181</v>
      </c>
      <c r="AV216" s="79">
        <v>0.48551414516330793</v>
      </c>
      <c r="AW216" s="79">
        <v>0.48652813713109377</v>
      </c>
      <c r="AX216" s="87">
        <v>0.48732263952836302</v>
      </c>
    </row>
    <row r="217" spans="1:50" x14ac:dyDescent="0.25">
      <c r="A217" s="356"/>
      <c r="B217" s="359"/>
      <c r="C217" s="361" t="s">
        <v>15</v>
      </c>
      <c r="D217" s="58" t="s">
        <v>7</v>
      </c>
      <c r="E217" s="164" t="str">
        <f>A209&amp;"/"&amp;B209&amp;"/"&amp;C217&amp;"/"&amp;D217</f>
        <v>Gas fired power plants (Natural gas, biogas)/Gas turbine combined cycle/Electricity only with CCS/L</v>
      </c>
      <c r="F217" s="78" t="str">
        <f>A209</f>
        <v>Gas fired power plants (Natural gas, biogas)</v>
      </c>
      <c r="G217" s="78" t="str">
        <f>B209</f>
        <v>Gas turbine combined cycle</v>
      </c>
      <c r="H217" s="78" t="str">
        <f>C217</f>
        <v>Electricity only with CCS</v>
      </c>
      <c r="I217" s="165" t="str">
        <f t="shared" si="79"/>
        <v>L</v>
      </c>
      <c r="J217" s="78" t="s">
        <v>112</v>
      </c>
      <c r="K217" s="78" t="s">
        <v>112</v>
      </c>
      <c r="L217" s="78" t="s">
        <v>112</v>
      </c>
      <c r="M217" s="78" t="s">
        <v>112</v>
      </c>
      <c r="N217" s="78" t="s">
        <v>112</v>
      </c>
      <c r="O217" s="78" t="s">
        <v>112</v>
      </c>
      <c r="P217" s="78" t="s">
        <v>112</v>
      </c>
      <c r="Q217" s="78" t="s">
        <v>112</v>
      </c>
      <c r="R217" s="78" t="s">
        <v>112</v>
      </c>
      <c r="S217" s="78" t="s">
        <v>112</v>
      </c>
      <c r="T217" s="78" t="s">
        <v>112</v>
      </c>
      <c r="U217" s="78" t="s">
        <v>112</v>
      </c>
      <c r="V217" s="78" t="s">
        <v>112</v>
      </c>
      <c r="W217" s="78" t="s">
        <v>112</v>
      </c>
      <c r="X217" s="78" t="s">
        <v>112</v>
      </c>
      <c r="Y217" s="78" t="s">
        <v>112</v>
      </c>
      <c r="Z217" s="78" t="s">
        <v>112</v>
      </c>
      <c r="AA217" s="78" t="s">
        <v>112</v>
      </c>
      <c r="AB217" s="78" t="s">
        <v>112</v>
      </c>
      <c r="AC217" s="78" t="s">
        <v>112</v>
      </c>
      <c r="AD217" s="78" t="s">
        <v>112</v>
      </c>
      <c r="AE217" s="78">
        <v>0.56057070389565922</v>
      </c>
      <c r="AF217" s="78">
        <v>0.56066876659437204</v>
      </c>
      <c r="AG217" s="78">
        <v>0.56079443320101985</v>
      </c>
      <c r="AH217" s="78">
        <v>0.56095538399299705</v>
      </c>
      <c r="AI217" s="78">
        <v>0.56116137822184198</v>
      </c>
      <c r="AJ217" s="78">
        <v>0.56142477962393866</v>
      </c>
      <c r="AK217" s="78">
        <v>0.561761190655093</v>
      </c>
      <c r="AL217" s="78">
        <v>0.56219020178553203</v>
      </c>
      <c r="AM217" s="78">
        <v>0.56273624994196847</v>
      </c>
      <c r="AN217" s="78">
        <v>0.56342955729184696</v>
      </c>
      <c r="AO217" s="78">
        <v>0.5643070823163745</v>
      </c>
      <c r="AP217" s="78">
        <v>0.56541335225060363</v>
      </c>
      <c r="AQ217" s="78">
        <v>0.56680095176941769</v>
      </c>
      <c r="AR217" s="78">
        <v>0.56853031240050578</v>
      </c>
      <c r="AS217" s="78">
        <v>0.57066828584093121</v>
      </c>
      <c r="AT217" s="78">
        <v>0.57328482100899292</v>
      </c>
      <c r="AU217" s="78">
        <v>0.57644697172027071</v>
      </c>
      <c r="AV217" s="78">
        <v>0.58020957610143742</v>
      </c>
      <c r="AW217" s="78">
        <v>0.58460247232785378</v>
      </c>
      <c r="AX217" s="86">
        <v>0.5896152540215529</v>
      </c>
    </row>
    <row r="218" spans="1:50" x14ac:dyDescent="0.25">
      <c r="A218" s="356"/>
      <c r="B218" s="359"/>
      <c r="C218" s="360"/>
      <c r="D218" s="59" t="s">
        <v>8</v>
      </c>
      <c r="E218" s="166" t="str">
        <f>A209&amp;"/"&amp;B209&amp;"/"&amp;C217&amp;"/"&amp;D218</f>
        <v>Gas fired power plants (Natural gas, biogas)/Gas turbine combined cycle/Electricity only with CCS/M</v>
      </c>
      <c r="F218" s="79" t="str">
        <f>A209</f>
        <v>Gas fired power plants (Natural gas, biogas)</v>
      </c>
      <c r="G218" s="79" t="str">
        <f>B209</f>
        <v>Gas turbine combined cycle</v>
      </c>
      <c r="H218" s="79" t="str">
        <f>C217</f>
        <v>Electricity only with CCS</v>
      </c>
      <c r="I218" s="167" t="str">
        <f t="shared" si="79"/>
        <v>M</v>
      </c>
      <c r="J218" s="79" t="s">
        <v>112</v>
      </c>
      <c r="K218" s="79" t="s">
        <v>112</v>
      </c>
      <c r="L218" s="79" t="s">
        <v>112</v>
      </c>
      <c r="M218" s="79" t="s">
        <v>112</v>
      </c>
      <c r="N218" s="79" t="s">
        <v>112</v>
      </c>
      <c r="O218" s="79" t="s">
        <v>112</v>
      </c>
      <c r="P218" s="79" t="s">
        <v>112</v>
      </c>
      <c r="Q218" s="79" t="s">
        <v>112</v>
      </c>
      <c r="R218" s="79" t="s">
        <v>112</v>
      </c>
      <c r="S218" s="79" t="s">
        <v>112</v>
      </c>
      <c r="T218" s="79" t="s">
        <v>112</v>
      </c>
      <c r="U218" s="79" t="s">
        <v>112</v>
      </c>
      <c r="V218" s="79" t="s">
        <v>112</v>
      </c>
      <c r="W218" s="79" t="s">
        <v>112</v>
      </c>
      <c r="X218" s="79" t="s">
        <v>112</v>
      </c>
      <c r="Y218" s="79" t="s">
        <v>112</v>
      </c>
      <c r="Z218" s="79" t="s">
        <v>112</v>
      </c>
      <c r="AA218" s="79" t="s">
        <v>112</v>
      </c>
      <c r="AB218" s="79" t="s">
        <v>112</v>
      </c>
      <c r="AC218" s="79" t="s">
        <v>112</v>
      </c>
      <c r="AD218" s="79" t="s">
        <v>112</v>
      </c>
      <c r="AE218" s="79">
        <v>0.53384932447616285</v>
      </c>
      <c r="AF218" s="79">
        <v>0.53393491712816821</v>
      </c>
      <c r="AG218" s="79">
        <v>0.53404459706971297</v>
      </c>
      <c r="AH218" s="79">
        <v>0.5341850620278491</v>
      </c>
      <c r="AI218" s="79">
        <v>0.53436482008854946</v>
      </c>
      <c r="AJ218" s="79">
        <v>0.53459464559196068</v>
      </c>
      <c r="AK218" s="79">
        <v>0.53488812819635623</v>
      </c>
      <c r="AL218" s="79">
        <v>0.53526231963853788</v>
      </c>
      <c r="AM218" s="79">
        <v>0.535738471508866</v>
      </c>
      <c r="AN218" s="79">
        <v>0.53634283666170712</v>
      </c>
      <c r="AO218" s="79">
        <v>0.53710747170735174</v>
      </c>
      <c r="AP218" s="79">
        <v>0.53807092214475161</v>
      </c>
      <c r="AQ218" s="79">
        <v>0.53927858870881218</v>
      </c>
      <c r="AR218" s="79">
        <v>0.54078245997890739</v>
      </c>
      <c r="AS218" s="79">
        <v>0.54263975841396783</v>
      </c>
      <c r="AT218" s="79">
        <v>0.54490991250661247</v>
      </c>
      <c r="AU218" s="79">
        <v>0.54764920320878741</v>
      </c>
      <c r="AV218" s="79">
        <v>0.55090255985711634</v>
      </c>
      <c r="AW218" s="79">
        <v>0.55469247281133005</v>
      </c>
      <c r="AX218" s="87">
        <v>0.55900601091928415</v>
      </c>
    </row>
    <row r="219" spans="1:50" x14ac:dyDescent="0.25">
      <c r="A219" s="356"/>
      <c r="B219" s="359"/>
      <c r="C219" s="361" t="s">
        <v>16</v>
      </c>
      <c r="D219" s="2" t="s">
        <v>7</v>
      </c>
      <c r="E219" s="160" t="str">
        <f>A209&amp;"/"&amp;B209&amp;"/"&amp;C219&amp;"/"&amp;D219</f>
        <v>Gas fired power plants (Natural gas, biogas)/Gas turbine combined cycle/CHP with CCS/L</v>
      </c>
      <c r="F219" s="76" t="str">
        <f>A209</f>
        <v>Gas fired power plants (Natural gas, biogas)</v>
      </c>
      <c r="G219" s="76" t="str">
        <f>B209</f>
        <v>Gas turbine combined cycle</v>
      </c>
      <c r="H219" s="76" t="str">
        <f>C219</f>
        <v>CHP with CCS</v>
      </c>
      <c r="I219" s="161" t="str">
        <f t="shared" si="79"/>
        <v>L</v>
      </c>
      <c r="J219" s="76" t="s">
        <v>112</v>
      </c>
      <c r="K219" s="76" t="s">
        <v>112</v>
      </c>
      <c r="L219" s="76" t="s">
        <v>112</v>
      </c>
      <c r="M219" s="76" t="s">
        <v>112</v>
      </c>
      <c r="N219" s="76" t="s">
        <v>112</v>
      </c>
      <c r="O219" s="76" t="s">
        <v>112</v>
      </c>
      <c r="P219" s="76" t="s">
        <v>112</v>
      </c>
      <c r="Q219" s="76" t="s">
        <v>112</v>
      </c>
      <c r="R219" s="76" t="s">
        <v>112</v>
      </c>
      <c r="S219" s="76" t="s">
        <v>112</v>
      </c>
      <c r="T219" s="76" t="s">
        <v>112</v>
      </c>
      <c r="U219" s="76" t="s">
        <v>112</v>
      </c>
      <c r="V219" s="76" t="s">
        <v>112</v>
      </c>
      <c r="W219" s="76" t="s">
        <v>112</v>
      </c>
      <c r="X219" s="76" t="s">
        <v>112</v>
      </c>
      <c r="Y219" s="76" t="s">
        <v>112</v>
      </c>
      <c r="Z219" s="76" t="s">
        <v>112</v>
      </c>
      <c r="AA219" s="76" t="s">
        <v>112</v>
      </c>
      <c r="AB219" s="76" t="s">
        <v>112</v>
      </c>
      <c r="AC219" s="76" t="s">
        <v>112</v>
      </c>
      <c r="AD219" s="76" t="s">
        <v>112</v>
      </c>
      <c r="AE219" s="76">
        <v>0.50953367054596332</v>
      </c>
      <c r="AF219" s="76">
        <v>0.50960168639173076</v>
      </c>
      <c r="AG219" s="76">
        <v>0.50968886685184045</v>
      </c>
      <c r="AH219" s="76">
        <v>0.50980055619524922</v>
      </c>
      <c r="AI219" s="76">
        <v>0.50994355315502671</v>
      </c>
      <c r="AJ219" s="76">
        <v>0.51012648371383029</v>
      </c>
      <c r="AK219" s="76">
        <v>0.51036025453413525</v>
      </c>
      <c r="AL219" s="76">
        <v>0.510658594568007</v>
      </c>
      <c r="AM219" s="76">
        <v>0.51103868562228771</v>
      </c>
      <c r="AN219" s="76">
        <v>0.51152186932549837</v>
      </c>
      <c r="AO219" s="76">
        <v>0.51213439428949736</v>
      </c>
      <c r="AP219" s="76">
        <v>0.51290812830655153</v>
      </c>
      <c r="AQ219" s="76">
        <v>0.51388110041896018</v>
      </c>
      <c r="AR219" s="76">
        <v>0.51509765177344125</v>
      </c>
      <c r="AS219" s="76">
        <v>0.51660786233822376</v>
      </c>
      <c r="AT219" s="76">
        <v>0.51846579551144867</v>
      </c>
      <c r="AU219" s="76">
        <v>0.52072600229411115</v>
      </c>
      <c r="AV219" s="76">
        <v>0.5234377293962873</v>
      </c>
      <c r="AW219" s="76">
        <v>0.52663650833699449</v>
      </c>
      <c r="AX219" s="84">
        <v>0.53033341863390893</v>
      </c>
    </row>
    <row r="220" spans="1:50" x14ac:dyDescent="0.25">
      <c r="A220" s="356"/>
      <c r="B220" s="362"/>
      <c r="C220" s="354"/>
      <c r="D220" s="4" t="s">
        <v>8</v>
      </c>
      <c r="E220" s="168" t="str">
        <f>A209&amp;"/"&amp;B209&amp;"/"&amp;C219&amp;"/"&amp;D220</f>
        <v>Gas fired power plants (Natural gas, biogas)/Gas turbine combined cycle/CHP with CCS/M</v>
      </c>
      <c r="F220" s="80" t="str">
        <f>A209</f>
        <v>Gas fired power plants (Natural gas, biogas)</v>
      </c>
      <c r="G220" s="80" t="str">
        <f>B209</f>
        <v>Gas turbine combined cycle</v>
      </c>
      <c r="H220" s="80" t="str">
        <f>C219</f>
        <v>CHP with CCS</v>
      </c>
      <c r="I220" s="169" t="str">
        <f t="shared" si="79"/>
        <v>M</v>
      </c>
      <c r="J220" s="80" t="s">
        <v>112</v>
      </c>
      <c r="K220" s="80" t="s">
        <v>112</v>
      </c>
      <c r="L220" s="80" t="s">
        <v>112</v>
      </c>
      <c r="M220" s="80" t="s">
        <v>112</v>
      </c>
      <c r="N220" s="80" t="s">
        <v>112</v>
      </c>
      <c r="O220" s="80" t="s">
        <v>112</v>
      </c>
      <c r="P220" s="80" t="s">
        <v>112</v>
      </c>
      <c r="Q220" s="80" t="s">
        <v>112</v>
      </c>
      <c r="R220" s="80" t="s">
        <v>112</v>
      </c>
      <c r="S220" s="80" t="s">
        <v>112</v>
      </c>
      <c r="T220" s="80" t="s">
        <v>112</v>
      </c>
      <c r="U220" s="80" t="s">
        <v>112</v>
      </c>
      <c r="V220" s="80" t="s">
        <v>112</v>
      </c>
      <c r="W220" s="80" t="s">
        <v>112</v>
      </c>
      <c r="X220" s="80" t="s">
        <v>112</v>
      </c>
      <c r="Y220" s="80" t="s">
        <v>112</v>
      </c>
      <c r="Z220" s="80" t="s">
        <v>112</v>
      </c>
      <c r="AA220" s="80" t="s">
        <v>112</v>
      </c>
      <c r="AB220" s="80" t="s">
        <v>112</v>
      </c>
      <c r="AC220" s="80" t="s">
        <v>112</v>
      </c>
      <c r="AD220" s="80" t="s">
        <v>112</v>
      </c>
      <c r="AE220" s="80">
        <v>0.48524945055219293</v>
      </c>
      <c r="AF220" s="80">
        <v>0.48530832868209139</v>
      </c>
      <c r="AG220" s="80">
        <v>0.48538379305899232</v>
      </c>
      <c r="AH220" s="80">
        <v>0.485480466586382</v>
      </c>
      <c r="AI220" s="80">
        <v>0.48560422879059933</v>
      </c>
      <c r="AJ220" s="80">
        <v>0.4857625369148853</v>
      </c>
      <c r="AK220" s="80">
        <v>0.4859648158191191</v>
      </c>
      <c r="AL220" s="80">
        <v>0.48622292261693062</v>
      </c>
      <c r="AM220" s="80">
        <v>0.48655168581697383</v>
      </c>
      <c r="AN220" s="80">
        <v>0.48696950675024936</v>
      </c>
      <c r="AO220" s="80">
        <v>0.48749898999465091</v>
      </c>
      <c r="AP220" s="80">
        <v>0.4881675350751763</v>
      </c>
      <c r="AQ220" s="80">
        <v>0.48900776909323435</v>
      </c>
      <c r="AR220" s="80">
        <v>0.49005762529766761</v>
      </c>
      <c r="AS220" s="80">
        <v>0.49135977678702469</v>
      </c>
      <c r="AT220" s="80">
        <v>0.49296002997021765</v>
      </c>
      <c r="AU220" s="80">
        <v>0.49490420403104146</v>
      </c>
      <c r="AV220" s="80">
        <v>0.49723304039177296</v>
      </c>
      <c r="AW220" s="80">
        <v>0.49997491002156819</v>
      </c>
      <c r="AX220" s="88">
        <v>0.50313664308793593</v>
      </c>
    </row>
    <row r="221" spans="1:50" x14ac:dyDescent="0.25">
      <c r="A221" s="356"/>
      <c r="B221" s="358" t="s">
        <v>24</v>
      </c>
      <c r="C221" s="353" t="s">
        <v>6</v>
      </c>
      <c r="D221" s="3" t="s">
        <v>8</v>
      </c>
      <c r="E221" s="162" t="str">
        <f>A209&amp;"/"&amp;B221&amp;"/"&amp;C221&amp;"/"&amp;D221</f>
        <v>Gas fired power plants (Natural gas, biogas)/Gas turbine /Electricity only/M</v>
      </c>
      <c r="F221" s="77" t="str">
        <f>A209</f>
        <v>Gas fired power plants (Natural gas, biogas)</v>
      </c>
      <c r="G221" s="77" t="str">
        <f>B221</f>
        <v xml:space="preserve">Gas turbine </v>
      </c>
      <c r="H221" s="77" t="str">
        <f>C221</f>
        <v>Electricity only</v>
      </c>
      <c r="I221" s="163" t="str">
        <f t="shared" si="79"/>
        <v>M</v>
      </c>
      <c r="J221" s="77">
        <v>0.390625</v>
      </c>
      <c r="K221" s="77">
        <v>0.39063819397202076</v>
      </c>
      <c r="L221" s="77">
        <v>0.39065268562172561</v>
      </c>
      <c r="M221" s="77">
        <v>0.39066859253851494</v>
      </c>
      <c r="N221" s="77">
        <v>0.39068604083782582</v>
      </c>
      <c r="O221" s="77">
        <v>0.39070516531846322</v>
      </c>
      <c r="P221" s="77">
        <v>0.39072610950783032</v>
      </c>
      <c r="Q221" s="77">
        <v>0.39074902556533736</v>
      </c>
      <c r="R221" s="77">
        <v>0.39077407401013164</v>
      </c>
      <c r="S221" s="77">
        <v>0.39080142323520278</v>
      </c>
      <c r="T221" s="77">
        <v>0.39083124876615488</v>
      </c>
      <c r="U221" s="77">
        <v>0.3908637322198098</v>
      </c>
      <c r="V221" s="77">
        <v>0.39089905991576046</v>
      </c>
      <c r="W221" s="77">
        <v>0.39093742109355145</v>
      </c>
      <c r="X221" s="77">
        <v>0.39097900568995947</v>
      </c>
      <c r="Y221" s="77">
        <v>0.39102400163560119</v>
      </c>
      <c r="Z221" s="77">
        <v>0.39107259163858604</v>
      </c>
      <c r="AA221" s="77">
        <v>0.39112494943593679</v>
      </c>
      <c r="AB221" s="77">
        <v>0.3911812355117551</v>
      </c>
      <c r="AC221" s="77">
        <v>0.39124159230512334</v>
      </c>
      <c r="AD221" s="77">
        <v>0.39130613896076621</v>
      </c>
      <c r="AE221" s="77">
        <v>0.39137496571126967</v>
      </c>
      <c r="AF221" s="77">
        <v>0.39144812802030454</v>
      </c>
      <c r="AG221" s="77">
        <v>0.39152564066012135</v>
      </c>
      <c r="AH221" s="77">
        <v>0.39160747194096468</v>
      </c>
      <c r="AI221" s="77">
        <v>0.39169353835143805</v>
      </c>
      <c r="AJ221" s="77">
        <v>0.39178369990280892</v>
      </c>
      <c r="AK221" s="77">
        <v>0.3918777564917541</v>
      </c>
      <c r="AL221" s="77">
        <v>0.3919754455999338</v>
      </c>
      <c r="AM221" s="77">
        <v>0.39207644163036398</v>
      </c>
      <c r="AN221" s="77">
        <v>0.39218035713638083</v>
      </c>
      <c r="AO221" s="77">
        <v>0.39228674612770736</v>
      </c>
      <c r="AP221" s="77">
        <v>0.39239510954116052</v>
      </c>
      <c r="AQ221" s="77">
        <v>0.3925049028455555</v>
      </c>
      <c r="AR221" s="77">
        <v>0.39261554561936185</v>
      </c>
      <c r="AS221" s="77">
        <v>0.3927264328064084</v>
      </c>
      <c r="AT221" s="77">
        <v>0.3928369472319731</v>
      </c>
      <c r="AU221" s="77">
        <v>0.39294647286170198</v>
      </c>
      <c r="AV221" s="77">
        <v>0.39305440822026105</v>
      </c>
      <c r="AW221" s="77">
        <v>0.39316017936347603</v>
      </c>
      <c r="AX221" s="85">
        <v>0.39326325182049721</v>
      </c>
    </row>
    <row r="222" spans="1:50" x14ac:dyDescent="0.25">
      <c r="A222" s="356"/>
      <c r="B222" s="359"/>
      <c r="C222" s="350"/>
      <c r="D222" s="2" t="s">
        <v>10</v>
      </c>
      <c r="E222" s="160" t="str">
        <f>A209&amp;"/"&amp;B221&amp;"/"&amp;C221&amp;"/"&amp;D222</f>
        <v>Gas fired power plants (Natural gas, biogas)/Gas turbine /Electricity only/S</v>
      </c>
      <c r="F222" s="76" t="str">
        <f>A209</f>
        <v>Gas fired power plants (Natural gas, biogas)</v>
      </c>
      <c r="G222" s="76" t="str">
        <f>B221</f>
        <v xml:space="preserve">Gas turbine </v>
      </c>
      <c r="H222" s="76" t="str">
        <f>C221</f>
        <v>Electricity only</v>
      </c>
      <c r="I222" s="161" t="str">
        <f t="shared" si="79"/>
        <v>S</v>
      </c>
      <c r="J222" s="76">
        <v>0.37202380952380948</v>
      </c>
      <c r="K222" s="76">
        <v>0.37203649000664357</v>
      </c>
      <c r="L222" s="76">
        <v>0.37205042185892601</v>
      </c>
      <c r="M222" s="76">
        <v>0.37206571934890448</v>
      </c>
      <c r="N222" s="76">
        <v>0.37208250521434899</v>
      </c>
      <c r="O222" s="76">
        <v>0.37210091086300418</v>
      </c>
      <c r="P222" s="76">
        <v>0.37212107647163634</v>
      </c>
      <c r="Q222" s="76">
        <v>0.37214315095515371</v>
      </c>
      <c r="R222" s="76">
        <v>0.37216729177297253</v>
      </c>
      <c r="S222" s="76">
        <v>0.37219366453542269</v>
      </c>
      <c r="T222" s="76">
        <v>0.37222244236875407</v>
      </c>
      <c r="U222" s="76">
        <v>0.3722538049935088</v>
      </c>
      <c r="V222" s="76">
        <v>0.372287937468055</v>
      </c>
      <c r="W222" s="76">
        <v>0.37232502854743293</v>
      </c>
      <c r="X222" s="76">
        <v>0.37236526860795244</v>
      </c>
      <c r="Y222" s="76">
        <v>0.37240884709092115</v>
      </c>
      <c r="Z222" s="76">
        <v>0.37245594942528326</v>
      </c>
      <c r="AA222" s="76">
        <v>0.37250675339968309</v>
      </c>
      <c r="AB222" s="76">
        <v>0.37256142497038186</v>
      </c>
      <c r="AC222" s="76">
        <v>0.3726201135133213</v>
      </c>
      <c r="AD222" s="76">
        <v>0.37268294655695844</v>
      </c>
      <c r="AE222" s="76">
        <v>0.37275002406744084</v>
      </c>
      <c r="AF222" s="76">
        <v>0.37282141239881106</v>
      </c>
      <c r="AG222" s="76">
        <v>0.37289713806700786</v>
      </c>
      <c r="AH222" s="76">
        <v>0.37297718155532278</v>
      </c>
      <c r="AI222" s="76">
        <v>0.37306147140743046</v>
      </c>
      <c r="AJ222" s="76">
        <v>0.37314987890783358</v>
      </c>
      <c r="AK222" s="76">
        <v>0.37324221368327098</v>
      </c>
      <c r="AL222" s="76">
        <v>0.3733382205764697</v>
      </c>
      <c r="AM222" s="76">
        <v>0.37343757813967304</v>
      </c>
      <c r="AN222" s="76">
        <v>0.37353989906449186</v>
      </c>
      <c r="AO222" s="76">
        <v>0.37364473280337313</v>
      </c>
      <c r="AP222" s="76">
        <v>0.37375157054554387</v>
      </c>
      <c r="AQ222" s="76">
        <v>0.37385985258940074</v>
      </c>
      <c r="AR222" s="76">
        <v>0.37396897801061529</v>
      </c>
      <c r="AS222" s="76">
        <v>0.37407831637125838</v>
      </c>
      <c r="AT222" s="76">
        <v>0.37418722106369051</v>
      </c>
      <c r="AU222" s="76">
        <v>0.37429504374916778</v>
      </c>
      <c r="AV222" s="76">
        <v>0.37440114925017187</v>
      </c>
      <c r="AW222" s="76">
        <v>0.37450493019997716</v>
      </c>
      <c r="AX222" s="84">
        <v>0.37460582075098181</v>
      </c>
    </row>
    <row r="223" spans="1:50" x14ac:dyDescent="0.25">
      <c r="A223" s="356"/>
      <c r="B223" s="359"/>
      <c r="C223" s="360"/>
      <c r="D223" s="59" t="s">
        <v>20</v>
      </c>
      <c r="E223" s="160" t="str">
        <f>A209&amp;"/"&amp;B221&amp;"/"&amp;C221&amp;"/"&amp;D223</f>
        <v>Gas fired power plants (Natural gas, biogas)/Gas turbine /Electricity only/XS</v>
      </c>
      <c r="F223" s="76" t="str">
        <f>A209</f>
        <v>Gas fired power plants (Natural gas, biogas)</v>
      </c>
      <c r="G223" s="76" t="str">
        <f>B221</f>
        <v xml:space="preserve">Gas turbine </v>
      </c>
      <c r="H223" s="76" t="str">
        <f>C221</f>
        <v>Electricity only</v>
      </c>
      <c r="I223" s="161" t="str">
        <f t="shared" si="79"/>
        <v>XS</v>
      </c>
      <c r="J223" s="76">
        <v>0.35430839002267567</v>
      </c>
      <c r="K223" s="76">
        <v>0.35431578906780964</v>
      </c>
      <c r="L223" s="76">
        <v>0.35432393684499841</v>
      </c>
      <c r="M223" s="76">
        <v>0.35433290577395737</v>
      </c>
      <c r="N223" s="76">
        <v>0.35434277455550822</v>
      </c>
      <c r="O223" s="76">
        <v>0.35435362855839297</v>
      </c>
      <c r="P223" s="76">
        <v>0.35436556019338505</v>
      </c>
      <c r="Q223" s="76">
        <v>0.35437866926387518</v>
      </c>
      <c r="R223" s="76">
        <v>0.35439306327959791</v>
      </c>
      <c r="S223" s="76">
        <v>0.35440885771729291</v>
      </c>
      <c r="T223" s="76">
        <v>0.35442617620887268</v>
      </c>
      <c r="U223" s="76">
        <v>0.35444515063410553</v>
      </c>
      <c r="V223" s="76">
        <v>0.3544659210909713</v>
      </c>
      <c r="W223" s="76">
        <v>0.35448863571279726</v>
      </c>
      <c r="X223" s="76">
        <v>0.35451345029716341</v>
      </c>
      <c r="Y223" s="76">
        <v>0.35454052770758704</v>
      </c>
      <c r="Z223" s="76">
        <v>0.35457003700542905</v>
      </c>
      <c r="AA223" s="76">
        <v>0.35460215226667696</v>
      </c>
      <c r="AB223" s="76">
        <v>0.35463705103671894</v>
      </c>
      <c r="AC223" s="76">
        <v>0.35467491237650572</v>
      </c>
      <c r="AD223" s="76">
        <v>0.35471591445627343</v>
      </c>
      <c r="AE223" s="76">
        <v>0.35476023165903997</v>
      </c>
      <c r="AF223" s="76">
        <v>0.35480803116620091</v>
      </c>
      <c r="AG223" s="76">
        <v>0.35485946901254234</v>
      </c>
      <c r="AH223" s="76">
        <v>0.3549146856185787</v>
      </c>
      <c r="AI223" s="76">
        <v>0.35497380083479368</v>
      </c>
      <c r="AJ223" s="76">
        <v>0.35503690856525605</v>
      </c>
      <c r="AK223" s="76">
        <v>0.35510407107677039</v>
      </c>
      <c r="AL223" s="76">
        <v>0.3551753131430801</v>
      </c>
      <c r="AM223" s="76">
        <v>0.35525061621961485</v>
      </c>
      <c r="AN223" s="76">
        <v>0.35532991288984056</v>
      </c>
      <c r="AO223" s="76">
        <v>0.35541308186535037</v>
      </c>
      <c r="AP223" s="76">
        <v>0.35549994385347877</v>
      </c>
      <c r="AQ223" s="76">
        <v>0.35559025862291144</v>
      </c>
      <c r="AR223" s="76">
        <v>0.35568372359393952</v>
      </c>
      <c r="AS223" s="76">
        <v>0.35577997425085256</v>
      </c>
      <c r="AT223" s="76">
        <v>0.3558785866162234</v>
      </c>
      <c r="AU223" s="76">
        <v>0.3559790819398026</v>
      </c>
      <c r="AV223" s="76">
        <v>0.356080933640953</v>
      </c>
      <c r="AW223" s="76">
        <v>0.35618357640930476</v>
      </c>
      <c r="AX223" s="84">
        <v>0.35628641722351584</v>
      </c>
    </row>
    <row r="224" spans="1:50" x14ac:dyDescent="0.25">
      <c r="A224" s="356"/>
      <c r="B224" s="359"/>
      <c r="C224" s="361" t="s">
        <v>14</v>
      </c>
      <c r="D224" s="2" t="s">
        <v>8</v>
      </c>
      <c r="E224" s="164" t="str">
        <f>A209&amp;"/"&amp;B221&amp;"/"&amp;C224&amp;"/"&amp;D224</f>
        <v>Gas fired power plants (Natural gas, biogas)/Gas turbine /CHP/M</v>
      </c>
      <c r="F224" s="78" t="str">
        <f>A209</f>
        <v>Gas fired power plants (Natural gas, biogas)</v>
      </c>
      <c r="G224" s="78" t="str">
        <f>B221</f>
        <v xml:space="preserve">Gas turbine </v>
      </c>
      <c r="H224" s="78" t="str">
        <f>C224</f>
        <v>CHP</v>
      </c>
      <c r="I224" s="165" t="str">
        <f t="shared" si="79"/>
        <v>M</v>
      </c>
      <c r="J224" s="78">
        <v>0.35511363636363635</v>
      </c>
      <c r="K224" s="78">
        <v>0.35511530085279358</v>
      </c>
      <c r="L224" s="78">
        <v>0.35511713881925999</v>
      </c>
      <c r="M224" s="78">
        <v>0.35511916816081973</v>
      </c>
      <c r="N224" s="78">
        <v>0.35512140858163266</v>
      </c>
      <c r="O224" s="78">
        <v>0.35512388176569853</v>
      </c>
      <c r="P224" s="78">
        <v>0.35512661156501363</v>
      </c>
      <c r="Q224" s="78">
        <v>0.35512962420321259</v>
      </c>
      <c r="R224" s="78">
        <v>0.35513294849542087</v>
      </c>
      <c r="S224" s="78">
        <v>0.35513661608493374</v>
      </c>
      <c r="T224" s="78">
        <v>0.35514066169718284</v>
      </c>
      <c r="U224" s="78">
        <v>0.35514512341124066</v>
      </c>
      <c r="V224" s="78">
        <v>0.35515004294883018</v>
      </c>
      <c r="W224" s="78">
        <v>0.35515546598043879</v>
      </c>
      <c r="X224" s="78">
        <v>0.3551614424476659</v>
      </c>
      <c r="Y224" s="78">
        <v>0.35516802690034072</v>
      </c>
      <c r="Z224" s="78">
        <v>0.35517527884621175</v>
      </c>
      <c r="AA224" s="78">
        <v>0.35518326311010223</v>
      </c>
      <c r="AB224" s="78">
        <v>0.35519205019832961</v>
      </c>
      <c r="AC224" s="78">
        <v>0.35520171666286399</v>
      </c>
      <c r="AD224" s="78">
        <v>0.35521234545813335</v>
      </c>
      <c r="AE224" s="78">
        <v>0.35522402628153543</v>
      </c>
      <c r="AF224" s="78">
        <v>0.35523685588657455</v>
      </c>
      <c r="AG224" s="78">
        <v>0.35525093835508398</v>
      </c>
      <c r="AH224" s="78">
        <v>0.35526638531221866</v>
      </c>
      <c r="AI224" s="78">
        <v>0.35528331606482116</v>
      </c>
      <c r="AJ224" s="78">
        <v>0.35530185764040467</v>
      </c>
      <c r="AK224" s="78">
        <v>0.35532214470043433</v>
      </c>
      <c r="AL224" s="78">
        <v>0.35534431929792593</v>
      </c>
      <c r="AM224" s="78">
        <v>0.3553685304457655</v>
      </c>
      <c r="AN224" s="78">
        <v>0.35539493345883261</v>
      </c>
      <c r="AO224" s="78">
        <v>0.35542368903024835</v>
      </c>
      <c r="AP224" s="78">
        <v>0.35545496200027327</v>
      </c>
      <c r="AQ224" s="78">
        <v>0.35548891977600461</v>
      </c>
      <c r="AR224" s="78">
        <v>0.35552573036163371</v>
      </c>
      <c r="AS224" s="78">
        <v>0.35556555996325506</v>
      </c>
      <c r="AT224" s="78">
        <v>0.35560857013976532</v>
      </c>
      <c r="AU224" s="78">
        <v>0.35565491448293224</v>
      </c>
      <c r="AV224" s="78">
        <v>0.35570473482590242</v>
      </c>
      <c r="AW224" s="78">
        <v>0.35575815700071139</v>
      </c>
      <c r="AX224" s="86">
        <v>0.35581528619195918</v>
      </c>
    </row>
    <row r="225" spans="1:50" x14ac:dyDescent="0.25">
      <c r="A225" s="356"/>
      <c r="B225" s="359"/>
      <c r="C225" s="350"/>
      <c r="D225" s="2" t="s">
        <v>10</v>
      </c>
      <c r="E225" s="160" t="str">
        <f>A209&amp;"/"&amp;B221&amp;"/"&amp;C224&amp;"/"&amp;D225</f>
        <v>Gas fired power plants (Natural gas, biogas)/Gas turbine /CHP/S</v>
      </c>
      <c r="F225" s="76" t="str">
        <f>A209</f>
        <v>Gas fired power plants (Natural gas, biogas)</v>
      </c>
      <c r="G225" s="76" t="str">
        <f>B221</f>
        <v xml:space="preserve">Gas turbine </v>
      </c>
      <c r="H225" s="76" t="str">
        <f>C224</f>
        <v>CHP</v>
      </c>
      <c r="I225" s="161" t="str">
        <f t="shared" si="79"/>
        <v>S</v>
      </c>
      <c r="J225" s="76">
        <v>0.33820346320346317</v>
      </c>
      <c r="K225" s="76">
        <v>0.33820608733153185</v>
      </c>
      <c r="L225" s="76">
        <v>0.33820898355941742</v>
      </c>
      <c r="M225" s="76">
        <v>0.33821217965398359</v>
      </c>
      <c r="N225" s="76">
        <v>0.33821570611739327</v>
      </c>
      <c r="O225" s="76">
        <v>0.3382195964349507</v>
      </c>
      <c r="P225" s="76">
        <v>0.3382238873405764</v>
      </c>
      <c r="Q225" s="76">
        <v>0.33822861910002955</v>
      </c>
      <c r="R225" s="76">
        <v>0.33823383581166927</v>
      </c>
      <c r="S225" s="76">
        <v>0.338239585724118</v>
      </c>
      <c r="T225" s="76">
        <v>0.33824592156965522</v>
      </c>
      <c r="U225" s="76">
        <v>0.33825290091149313</v>
      </c>
      <c r="V225" s="76">
        <v>0.33826058650225282</v>
      </c>
      <c r="W225" s="76">
        <v>0.33826904664993912</v>
      </c>
      <c r="X225" s="76">
        <v>0.33827835558647745</v>
      </c>
      <c r="Y225" s="76">
        <v>0.3382885938323994</v>
      </c>
      <c r="Z225" s="76">
        <v>0.33829984854951151</v>
      </c>
      <c r="AA225" s="76">
        <v>0.33831221387133503</v>
      </c>
      <c r="AB225" s="76">
        <v>0.33832579119873107</v>
      </c>
      <c r="AC225" s="76">
        <v>0.33834068944542078</v>
      </c>
      <c r="AD225" s="76">
        <v>0.33835702521506866</v>
      </c>
      <c r="AE225" s="76">
        <v>0.33837492288823473</v>
      </c>
      <c r="AF225" s="76">
        <v>0.33839451459387349</v>
      </c>
      <c r="AG225" s="76">
        <v>0.33841594003623482</v>
      </c>
      <c r="AH225" s="76">
        <v>0.33843934614413995</v>
      </c>
      <c r="AI225" s="76">
        <v>0.33846488650585849</v>
      </c>
      <c r="AJ225" s="76">
        <v>0.33849272054944585</v>
      </c>
      <c r="AK225" s="76">
        <v>0.33852301242578187</v>
      </c>
      <c r="AL225" s="76">
        <v>0.33855592955010322</v>
      </c>
      <c r="AM225" s="76">
        <v>0.33859164075809722</v>
      </c>
      <c r="AN225" s="76">
        <v>0.33863031403525579</v>
      </c>
      <c r="AO225" s="76">
        <v>0.33867211378389694</v>
      </c>
      <c r="AP225" s="76">
        <v>0.33871719760181496</v>
      </c>
      <c r="AQ225" s="76">
        <v>0.33876571256067761</v>
      </c>
      <c r="AR225" s="76">
        <v>0.33881779099172316</v>
      </c>
      <c r="AS225" s="76">
        <v>0.33887354581148293</v>
      </c>
      <c r="AT225" s="76">
        <v>0.3389330654512881</v>
      </c>
      <c r="AU225" s="76">
        <v>0.33899640849081836</v>
      </c>
      <c r="AV225" s="76">
        <v>0.33906359813683706</v>
      </c>
      <c r="AW225" s="76">
        <v>0.33913461673160672</v>
      </c>
      <c r="AX225" s="84">
        <v>0.33920940051842435</v>
      </c>
    </row>
    <row r="226" spans="1:50" x14ac:dyDescent="0.25">
      <c r="A226" s="356"/>
      <c r="B226" s="362"/>
      <c r="C226" s="354"/>
      <c r="D226" s="4" t="s">
        <v>20</v>
      </c>
      <c r="E226" s="168" t="str">
        <f>A209&amp;"/"&amp;B221&amp;"/"&amp;C224&amp;"/"&amp;D226</f>
        <v>Gas fired power plants (Natural gas, biogas)/Gas turbine /CHP/XS</v>
      </c>
      <c r="F226" s="80" t="str">
        <f>A209</f>
        <v>Gas fired power plants (Natural gas, biogas)</v>
      </c>
      <c r="G226" s="80" t="str">
        <f>B221</f>
        <v xml:space="preserve">Gas turbine </v>
      </c>
      <c r="H226" s="80" t="str">
        <f>C224</f>
        <v>CHP</v>
      </c>
      <c r="I226" s="169" t="str">
        <f t="shared" si="79"/>
        <v>XS</v>
      </c>
      <c r="J226" s="80">
        <v>0.32209853638425057</v>
      </c>
      <c r="K226" s="80">
        <v>0.32210103555383979</v>
      </c>
      <c r="L226" s="80">
        <v>0.32210379386611176</v>
      </c>
      <c r="M226" s="80">
        <v>0.32210683776569865</v>
      </c>
      <c r="N226" s="80">
        <v>0.32211019630227927</v>
      </c>
      <c r="O226" s="80">
        <v>0.3221139013666196</v>
      </c>
      <c r="P226" s="80">
        <v>0.32211798794340601</v>
      </c>
      <c r="Q226" s="80">
        <v>0.32212249438098051</v>
      </c>
      <c r="R226" s="80">
        <v>0.3221274626777802</v>
      </c>
      <c r="S226" s="80">
        <v>0.3221329387848742</v>
      </c>
      <c r="T226" s="80">
        <v>0.32213897292348109</v>
      </c>
      <c r="U226" s="80">
        <v>0.32214561991570773</v>
      </c>
      <c r="V226" s="80">
        <v>0.32215293952595503</v>
      </c>
      <c r="W226" s="80">
        <v>0.3221609968094658</v>
      </c>
      <c r="X226" s="80">
        <v>0.32216986246331181</v>
      </c>
      <c r="Y226" s="80">
        <v>0.32217961317371363</v>
      </c>
      <c r="Z226" s="80">
        <v>0.32219033195191571</v>
      </c>
      <c r="AA226" s="80">
        <v>0.32220210844889047</v>
      </c>
      <c r="AB226" s="80">
        <v>0.32221503923688666</v>
      </c>
      <c r="AC226" s="80">
        <v>0.32222922804325788</v>
      </c>
      <c r="AD226" s="80">
        <v>0.32224478591911299</v>
      </c>
      <c r="AE226" s="80">
        <v>0.32226183132212821</v>
      </c>
      <c r="AF226" s="80">
        <v>0.32228049008940329</v>
      </c>
      <c r="AG226" s="80">
        <v>0.32230089527260453</v>
      </c>
      <c r="AH226" s="80">
        <v>0.32232318680394278</v>
      </c>
      <c r="AI226" s="80">
        <v>0.32234751095796049</v>
      </c>
      <c r="AJ226" s="80">
        <v>0.32237401957090084</v>
      </c>
      <c r="AK226" s="80">
        <v>0.3224028689769351</v>
      </c>
      <c r="AL226" s="80">
        <v>0.32243421861914584</v>
      </c>
      <c r="AM226" s="80">
        <v>0.32246822929342589</v>
      </c>
      <c r="AN226" s="80">
        <v>0.32250506098595783</v>
      </c>
      <c r="AO226" s="80">
        <v>0.32254487027037798</v>
      </c>
      <c r="AP226" s="80">
        <v>0.32258780723982372</v>
      </c>
      <c r="AQ226" s="80">
        <v>0.32263401196255004</v>
      </c>
      <c r="AR226" s="80">
        <v>0.32268361046830768</v>
      </c>
      <c r="AS226" s="80">
        <v>0.32273671029665041</v>
      </c>
      <c r="AT226" s="80">
        <v>0.32279339566789339</v>
      </c>
      <c r="AU226" s="80">
        <v>0.322853722372208</v>
      </c>
      <c r="AV226" s="80">
        <v>0.32291771251127332</v>
      </c>
      <c r="AW226" s="80">
        <v>0.32298534926819689</v>
      </c>
      <c r="AX226" s="88">
        <v>0.32305657192230885</v>
      </c>
    </row>
    <row r="227" spans="1:50" x14ac:dyDescent="0.25">
      <c r="A227" s="356"/>
      <c r="B227" s="358" t="s">
        <v>19</v>
      </c>
      <c r="C227" s="353" t="s">
        <v>6</v>
      </c>
      <c r="D227" s="3" t="s">
        <v>7</v>
      </c>
      <c r="E227" s="162" t="str">
        <f>A209&amp;"/"&amp;B227&amp;"/"&amp;C227&amp;"/"&amp;D227</f>
        <v>Gas fired power plants (Natural gas, biogas)/Steam turbine/Electricity only/L</v>
      </c>
      <c r="F227" s="77" t="str">
        <f>A209</f>
        <v>Gas fired power plants (Natural gas, biogas)</v>
      </c>
      <c r="G227" s="77" t="str">
        <f>B227</f>
        <v>Steam turbine</v>
      </c>
      <c r="H227" s="77" t="str">
        <f>C227</f>
        <v>Electricity only</v>
      </c>
      <c r="I227" s="163" t="str">
        <f t="shared" si="79"/>
        <v>L</v>
      </c>
      <c r="J227" s="77">
        <v>0.45766590389016015</v>
      </c>
      <c r="K227" s="77">
        <v>0.45768217012314544</v>
      </c>
      <c r="L227" s="77">
        <v>0.45769808588851535</v>
      </c>
      <c r="M227" s="77">
        <v>0.45771365544691506</v>
      </c>
      <c r="N227" s="77">
        <v>0.45772888318166377</v>
      </c>
      <c r="O227" s="77">
        <v>0.45774377358774243</v>
      </c>
      <c r="P227" s="77">
        <v>0.45775833126111515</v>
      </c>
      <c r="Q227" s="77">
        <v>0.45777256088839585</v>
      </c>
      <c r="R227" s="77">
        <v>0.45778646723686695</v>
      </c>
      <c r="S227" s="77">
        <v>0.45780005514485622</v>
      </c>
      <c r="T227" s="77">
        <v>0.45781332951247627</v>
      </c>
      <c r="U227" s="77">
        <v>0.45782629529272795</v>
      </c>
      <c r="V227" s="77">
        <v>0.45783895748297104</v>
      </c>
      <c r="W227" s="77">
        <v>0.45785132111676091</v>
      </c>
      <c r="X227" s="77">
        <v>0.45786339125604919</v>
      </c>
      <c r="Y227" s="77">
        <v>0.45787517298374664</v>
      </c>
      <c r="Z227" s="77">
        <v>0.45788667139664607</v>
      </c>
      <c r="AA227" s="77">
        <v>0.4578978915986982</v>
      </c>
      <c r="AB227" s="77">
        <v>0.45790883869463589</v>
      </c>
      <c r="AC227" s="77">
        <v>0.4579195177839428</v>
      </c>
      <c r="AD227" s="77">
        <v>0.45792993395515702</v>
      </c>
      <c r="AE227" s="77">
        <v>0.45794009228050347</v>
      </c>
      <c r="AF227" s="77">
        <v>0.45794999781084661</v>
      </c>
      <c r="AG227" s="77">
        <v>0.45795965557095719</v>
      </c>
      <c r="AH227" s="77">
        <v>0.45796907055508113</v>
      </c>
      <c r="AI227" s="77">
        <v>0.45797824772280382</v>
      </c>
      <c r="AJ227" s="77">
        <v>0.45798719199519999</v>
      </c>
      <c r="AK227" s="77">
        <v>0.45799590825125963</v>
      </c>
      <c r="AL227" s="77">
        <v>0.45800440132458059</v>
      </c>
      <c r="AM227" s="77">
        <v>0.45801267600031748</v>
      </c>
      <c r="AN227" s="77">
        <v>0.45802073701237778</v>
      </c>
      <c r="AO227" s="77">
        <v>0.45802858904085597</v>
      </c>
      <c r="AP227" s="77">
        <v>0.45803623670969434</v>
      </c>
      <c r="AQ227" s="77">
        <v>0.4580436845845624</v>
      </c>
      <c r="AR227" s="77">
        <v>0.45805093717094397</v>
      </c>
      <c r="AS227" s="77">
        <v>0.45805799891242455</v>
      </c>
      <c r="AT227" s="77">
        <v>0.45806487418916675</v>
      </c>
      <c r="AU227" s="77">
        <v>0.45807156731656684</v>
      </c>
      <c r="AV227" s="77">
        <v>0.45807808254408389</v>
      </c>
      <c r="AW227" s="77">
        <v>0.45808442405422956</v>
      </c>
      <c r="AX227" s="85">
        <v>0.45809059596171386</v>
      </c>
    </row>
    <row r="228" spans="1:50" x14ac:dyDescent="0.25">
      <c r="A228" s="356"/>
      <c r="B228" s="359"/>
      <c r="C228" s="350"/>
      <c r="D228" s="2" t="s">
        <v>8</v>
      </c>
      <c r="E228" s="160" t="str">
        <f>A209&amp;"/"&amp;B227&amp;"/"&amp;C227&amp;"/"&amp;D228</f>
        <v>Gas fired power plants (Natural gas, biogas)/Steam turbine/Electricity only/M</v>
      </c>
      <c r="F228" s="76" t="str">
        <f>A209</f>
        <v>Gas fired power plants (Natural gas, biogas)</v>
      </c>
      <c r="G228" s="76" t="str">
        <f>B227</f>
        <v>Steam turbine</v>
      </c>
      <c r="H228" s="76" t="str">
        <f>C227</f>
        <v>Electricity only</v>
      </c>
      <c r="I228" s="161" t="str">
        <f t="shared" si="79"/>
        <v>M</v>
      </c>
      <c r="J228" s="76">
        <v>0.43587228941920009</v>
      </c>
      <c r="K228" s="76">
        <v>0.435883908621581</v>
      </c>
      <c r="L228" s="76">
        <v>0.4358952783790685</v>
      </c>
      <c r="M228" s="76">
        <v>0.4359064016767577</v>
      </c>
      <c r="N228" s="76">
        <v>0.43591728158962428</v>
      </c>
      <c r="O228" s="76">
        <v>0.43592792127463353</v>
      </c>
      <c r="P228" s="76">
        <v>0.43593832396308385</v>
      </c>
      <c r="Q228" s="76">
        <v>0.43594849295319349</v>
      </c>
      <c r="R228" s="76">
        <v>0.43595843160293302</v>
      </c>
      <c r="S228" s="76">
        <v>0.4359681433231119</v>
      </c>
      <c r="T228" s="76">
        <v>0.43597763157072</v>
      </c>
      <c r="U228" s="76">
        <v>0.43598689984252736</v>
      </c>
      <c r="V228" s="76">
        <v>0.43599595166894339</v>
      </c>
      <c r="W228" s="76">
        <v>0.43600479060813557</v>
      </c>
      <c r="X228" s="76">
        <v>0.43601342024040712</v>
      </c>
      <c r="Y228" s="76">
        <v>0.43602184416283229</v>
      </c>
      <c r="Z228" s="76">
        <v>0.43603006598414601</v>
      </c>
      <c r="AA228" s="76">
        <v>0.43603808931988769</v>
      </c>
      <c r="AB228" s="76">
        <v>0.43604591778779112</v>
      </c>
      <c r="AC228" s="76">
        <v>0.43605355500342152</v>
      </c>
      <c r="AD228" s="76">
        <v>0.43606100457605051</v>
      </c>
      <c r="AE228" s="76">
        <v>0.43606827010476751</v>
      </c>
      <c r="AF228" s="76">
        <v>0.43607535517481955</v>
      </c>
      <c r="AG228" s="76">
        <v>0.43608226335417533</v>
      </c>
      <c r="AH228" s="76">
        <v>0.43608899819030639</v>
      </c>
      <c r="AI228" s="76">
        <v>0.43609556320718024</v>
      </c>
      <c r="AJ228" s="76">
        <v>0.43610196190245781</v>
      </c>
      <c r="AK228" s="76">
        <v>0.43610819774488901</v>
      </c>
      <c r="AL228" s="76">
        <v>0.43611427417189952</v>
      </c>
      <c r="AM228" s="76">
        <v>0.43612019458736301</v>
      </c>
      <c r="AN228" s="76">
        <v>0.43612596235955026</v>
      </c>
      <c r="AO228" s="76">
        <v>0.43613158081924847</v>
      </c>
      <c r="AP228" s="76">
        <v>0.43613705325804619</v>
      </c>
      <c r="AQ228" s="76">
        <v>0.43614238292677343</v>
      </c>
      <c r="AR228" s="76">
        <v>0.43614757303409268</v>
      </c>
      <c r="AS228" s="76">
        <v>0.43615262674523381</v>
      </c>
      <c r="AT228" s="76">
        <v>0.43615754718086508</v>
      </c>
      <c r="AU228" s="76">
        <v>0.4361623374160945</v>
      </c>
      <c r="AV228" s="76">
        <v>0.43616700047959589</v>
      </c>
      <c r="AW228" s="76">
        <v>0.43617153935285136</v>
      </c>
      <c r="AX228" s="84">
        <v>0.4361759569695064</v>
      </c>
    </row>
    <row r="229" spans="1:50" x14ac:dyDescent="0.25">
      <c r="A229" s="356"/>
      <c r="B229" s="359"/>
      <c r="C229" s="350"/>
      <c r="D229" s="2" t="s">
        <v>10</v>
      </c>
      <c r="E229" s="160" t="str">
        <f>A209&amp;"/"&amp;B227&amp;"/"&amp;C227&amp;"/"&amp;D229</f>
        <v>Gas fired power plants (Natural gas, biogas)/Steam turbine/Electricity only/S</v>
      </c>
      <c r="F229" s="76" t="str">
        <f>A209</f>
        <v>Gas fired power plants (Natural gas, biogas)</v>
      </c>
      <c r="G229" s="76" t="str">
        <f>B227</f>
        <v>Steam turbine</v>
      </c>
      <c r="H229" s="76" t="str">
        <f>C227</f>
        <v>Electricity only</v>
      </c>
      <c r="I229" s="161" t="str">
        <f t="shared" si="79"/>
        <v>S</v>
      </c>
      <c r="J229" s="76">
        <v>0.41511646611352393</v>
      </c>
      <c r="K229" s="76">
        <v>0.41512568788706961</v>
      </c>
      <c r="L229" s="76">
        <v>0.41513471204139152</v>
      </c>
      <c r="M229" s="76">
        <v>0.41514354092258721</v>
      </c>
      <c r="N229" s="76">
        <v>0.41515217694897261</v>
      </c>
      <c r="O229" s="76">
        <v>0.4151606226048099</v>
      </c>
      <c r="P229" s="76">
        <v>0.41516888043422151</v>
      </c>
      <c r="Q229" s="76">
        <v>0.41517695303529262</v>
      </c>
      <c r="R229" s="76">
        <v>0.41518484305436976</v>
      </c>
      <c r="S229" s="76">
        <v>0.41519255318055809</v>
      </c>
      <c r="T229" s="76">
        <v>0.41520008614042064</v>
      </c>
      <c r="U229" s="76">
        <v>0.4152074446928809</v>
      </c>
      <c r="V229" s="76">
        <v>0.41521463162433087</v>
      </c>
      <c r="W229" s="76">
        <v>0.41522164974394349</v>
      </c>
      <c r="X229" s="76">
        <v>0.41522850187919114</v>
      </c>
      <c r="Y229" s="76">
        <v>0.41523519087156663</v>
      </c>
      <c r="Z229" s="76">
        <v>0.41524171957250772</v>
      </c>
      <c r="AA229" s="76">
        <v>0.41524809083951952</v>
      </c>
      <c r="AB229" s="76">
        <v>0.41525430753249659</v>
      </c>
      <c r="AC229" s="76">
        <v>0.41526037251023667</v>
      </c>
      <c r="AD229" s="76">
        <v>0.41526628862714665</v>
      </c>
      <c r="AE229" s="76">
        <v>0.4152720587301339</v>
      </c>
      <c r="AF229" s="76">
        <v>0.41527768565567985</v>
      </c>
      <c r="AG229" s="76">
        <v>0.41528317222709182</v>
      </c>
      <c r="AH229" s="76">
        <v>0.41528852125192744</v>
      </c>
      <c r="AI229" s="76">
        <v>0.41529373551958682</v>
      </c>
      <c r="AJ229" s="76">
        <v>0.41529881779906802</v>
      </c>
      <c r="AK229" s="76">
        <v>0.41530377083687997</v>
      </c>
      <c r="AL229" s="76">
        <v>0.41530859735510728</v>
      </c>
      <c r="AM229" s="76">
        <v>0.41531330004962236</v>
      </c>
      <c r="AN229" s="76">
        <v>0.41531788158843919</v>
      </c>
      <c r="AO229" s="76">
        <v>0.41532234461020229</v>
      </c>
      <c r="AP229" s="76">
        <v>0.41532669172280745</v>
      </c>
      <c r="AQ229" s="76">
        <v>0.41533092550214562</v>
      </c>
      <c r="AR229" s="76">
        <v>0.41533504849096897</v>
      </c>
      <c r="AS229" s="76">
        <v>0.41533906319786901</v>
      </c>
      <c r="AT229" s="76">
        <v>0.41534297209636545</v>
      </c>
      <c r="AU229" s="76">
        <v>0.41534677762409838</v>
      </c>
      <c r="AV229" s="76">
        <v>0.41535048218211895</v>
      </c>
      <c r="AW229" s="76">
        <v>0.41535408813427477</v>
      </c>
      <c r="AX229" s="84">
        <v>0.41535759780668369</v>
      </c>
    </row>
    <row r="230" spans="1:50" x14ac:dyDescent="0.25">
      <c r="A230" s="356"/>
      <c r="B230" s="359"/>
      <c r="C230" s="360"/>
      <c r="D230" s="2" t="s">
        <v>20</v>
      </c>
      <c r="E230" s="160" t="str">
        <f>A209&amp;"/"&amp;B227&amp;"/"&amp;C227&amp;"/"&amp;D230</f>
        <v>Gas fired power plants (Natural gas, biogas)/Steam turbine/Electricity only/XS</v>
      </c>
      <c r="F230" s="76" t="str">
        <f>A209</f>
        <v>Gas fired power plants (Natural gas, biogas)</v>
      </c>
      <c r="G230" s="76" t="str">
        <f>B227</f>
        <v>Steam turbine</v>
      </c>
      <c r="H230" s="76" t="str">
        <f>C227</f>
        <v>Electricity only</v>
      </c>
      <c r="I230" s="161" t="str">
        <f t="shared" si="79"/>
        <v>XS</v>
      </c>
      <c r="J230" s="76">
        <v>0.3953490153462132</v>
      </c>
      <c r="K230" s="76">
        <v>0.39535338965358102</v>
      </c>
      <c r="L230" s="76">
        <v>0.39535765711175419</v>
      </c>
      <c r="M230" s="76">
        <v>0.39536181973685652</v>
      </c>
      <c r="N230" s="76">
        <v>0.3953658795392937</v>
      </c>
      <c r="O230" s="76">
        <v>0.39536983852171437</v>
      </c>
      <c r="P230" s="76">
        <v>0.39537369867709687</v>
      </c>
      <c r="Q230" s="76">
        <v>0.39537746198695545</v>
      </c>
      <c r="R230" s="76">
        <v>0.39538113041966566</v>
      </c>
      <c r="S230" s="76">
        <v>0.39538470592890196</v>
      </c>
      <c r="T230" s="76">
        <v>0.39538819045218676</v>
      </c>
      <c r="U230" s="76">
        <v>0.39539158590954543</v>
      </c>
      <c r="V230" s="76">
        <v>0.3953948942022642</v>
      </c>
      <c r="W230" s="76">
        <v>0.39539811721174656</v>
      </c>
      <c r="X230" s="76">
        <v>0.39540125679846522</v>
      </c>
      <c r="Y230" s="76">
        <v>0.39540431480100524</v>
      </c>
      <c r="Z230" s="76">
        <v>0.39540729303519406</v>
      </c>
      <c r="AA230" s="76">
        <v>0.39541019329331578</v>
      </c>
      <c r="AB230" s="76">
        <v>0.39541301734340495</v>
      </c>
      <c r="AC230" s="76">
        <v>0.39541576692861696</v>
      </c>
      <c r="AD230" s="76">
        <v>0.39541844376667051</v>
      </c>
      <c r="AE230" s="76">
        <v>0.39542104954935997</v>
      </c>
      <c r="AF230" s="76">
        <v>0.39542358594213195</v>
      </c>
      <c r="AG230" s="76">
        <v>0.39542605458372576</v>
      </c>
      <c r="AH230" s="76">
        <v>0.39542845708587115</v>
      </c>
      <c r="AI230" s="76">
        <v>0.39543079503304263</v>
      </c>
      <c r="AJ230" s="76">
        <v>0.39543306998226585</v>
      </c>
      <c r="AK230" s="76">
        <v>0.39543528346297352</v>
      </c>
      <c r="AL230" s="76">
        <v>0.39543743697690825</v>
      </c>
      <c r="AM230" s="76">
        <v>0.39543953199806803</v>
      </c>
      <c r="AN230" s="76">
        <v>0.39544156997269386</v>
      </c>
      <c r="AO230" s="76">
        <v>0.39544355231929457</v>
      </c>
      <c r="AP230" s="76">
        <v>0.39544548042870836</v>
      </c>
      <c r="AQ230" s="76">
        <v>0.39544735566419659</v>
      </c>
      <c r="AR230" s="76">
        <v>0.39544917936156987</v>
      </c>
      <c r="AS230" s="76">
        <v>0.39545095282934128</v>
      </c>
      <c r="AT230" s="76">
        <v>0.39545267734890743</v>
      </c>
      <c r="AU230" s="76">
        <v>0.39545435417475372</v>
      </c>
      <c r="AV230" s="76">
        <v>0.39545598453468167</v>
      </c>
      <c r="AW230" s="76">
        <v>0.39545756963005735</v>
      </c>
      <c r="AX230" s="84">
        <v>0.39545911063607897</v>
      </c>
    </row>
    <row r="231" spans="1:50" x14ac:dyDescent="0.25">
      <c r="A231" s="356"/>
      <c r="B231" s="359"/>
      <c r="C231" s="361" t="s">
        <v>14</v>
      </c>
      <c r="D231" s="58" t="s">
        <v>7</v>
      </c>
      <c r="E231" s="164" t="str">
        <f>A209&amp;"/"&amp;B227&amp;"/"&amp;C231&amp;"/"&amp;D231</f>
        <v>Gas fired power plants (Natural gas, biogas)/Steam turbine/CHP/L</v>
      </c>
      <c r="F231" s="78" t="str">
        <f>A209</f>
        <v>Gas fired power plants (Natural gas, biogas)</v>
      </c>
      <c r="G231" s="78" t="str">
        <f>B227</f>
        <v>Steam turbine</v>
      </c>
      <c r="H231" s="78" t="str">
        <f>C231</f>
        <v>CHP</v>
      </c>
      <c r="I231" s="165" t="str">
        <f t="shared" si="79"/>
        <v>L</v>
      </c>
      <c r="J231" s="78">
        <v>0.41605991262741832</v>
      </c>
      <c r="K231" s="78">
        <v>0.41606686519807229</v>
      </c>
      <c r="L231" s="78">
        <v>0.4160737066170006</v>
      </c>
      <c r="M231" s="78">
        <v>0.41608043819160123</v>
      </c>
      <c r="N231" s="78">
        <v>0.41608706123094558</v>
      </c>
      <c r="O231" s="78">
        <v>0.41609357704502803</v>
      </c>
      <c r="P231" s="78">
        <v>0.41609998694404371</v>
      </c>
      <c r="Q231" s="78">
        <v>0.41610629223769052</v>
      </c>
      <c r="R231" s="78">
        <v>0.41611249423449864</v>
      </c>
      <c r="S231" s="78">
        <v>0.41611859424118436</v>
      </c>
      <c r="T231" s="78">
        <v>0.41612459356202935</v>
      </c>
      <c r="U231" s="78">
        <v>0.41613049349828457</v>
      </c>
      <c r="V231" s="78">
        <v>0.41613629534759822</v>
      </c>
      <c r="W231" s="78">
        <v>0.41614200040346777</v>
      </c>
      <c r="X231" s="78">
        <v>0.41614760995471495</v>
      </c>
      <c r="Y231" s="78">
        <v>0.41615312528498438</v>
      </c>
      <c r="Z231" s="78">
        <v>0.41615854767226362</v>
      </c>
      <c r="AA231" s="78">
        <v>0.4161638783884265</v>
      </c>
      <c r="AB231" s="78">
        <v>0.41616911869879669</v>
      </c>
      <c r="AC231" s="78">
        <v>0.41617426986173295</v>
      </c>
      <c r="AD231" s="78">
        <v>0.41617933312823541</v>
      </c>
      <c r="AE231" s="78">
        <v>0.41618430974157072</v>
      </c>
      <c r="AF231" s="78">
        <v>0.41618920093691825</v>
      </c>
      <c r="AG231" s="78">
        <v>0.41619400794103351</v>
      </c>
      <c r="AH231" s="78">
        <v>0.41619873197193236</v>
      </c>
      <c r="AI231" s="78">
        <v>0.41620337423859161</v>
      </c>
      <c r="AJ231" s="78">
        <v>0.41620793594066741</v>
      </c>
      <c r="AK231" s="78">
        <v>0.41621241826823219</v>
      </c>
      <c r="AL231" s="78">
        <v>0.41621682240152613</v>
      </c>
      <c r="AM231" s="78">
        <v>0.41622114951072664</v>
      </c>
      <c r="AN231" s="78">
        <v>0.41622540075573183</v>
      </c>
      <c r="AO231" s="78">
        <v>0.41622957728596088</v>
      </c>
      <c r="AP231" s="78">
        <v>0.41623368024016755</v>
      </c>
      <c r="AQ231" s="78">
        <v>0.41623771074626875</v>
      </c>
      <c r="AR231" s="78">
        <v>0.41624166992118689</v>
      </c>
      <c r="AS231" s="78">
        <v>0.41624555887070519</v>
      </c>
      <c r="AT231" s="78">
        <v>0.41624937868933609</v>
      </c>
      <c r="AU231" s="78">
        <v>0.41625313046020207</v>
      </c>
      <c r="AV231" s="78">
        <v>0.41625681525492825</v>
      </c>
      <c r="AW231" s="78">
        <v>0.41626043413354685</v>
      </c>
      <c r="AX231" s="86">
        <v>0.41626398814441273</v>
      </c>
    </row>
    <row r="232" spans="1:50" x14ac:dyDescent="0.25">
      <c r="A232" s="356"/>
      <c r="B232" s="359"/>
      <c r="C232" s="350"/>
      <c r="D232" s="2" t="s">
        <v>8</v>
      </c>
      <c r="E232" s="160" t="str">
        <f>A209&amp;"/"&amp;B227&amp;"/"&amp;C231&amp;"/"&amp;D232</f>
        <v>Gas fired power plants (Natural gas, biogas)/Steam turbine/CHP/M</v>
      </c>
      <c r="F232" s="76" t="str">
        <f>A209</f>
        <v>Gas fired power plants (Natural gas, biogas)</v>
      </c>
      <c r="G232" s="76" t="str">
        <f>B227</f>
        <v>Steam turbine</v>
      </c>
      <c r="H232" s="76" t="str">
        <f>C231</f>
        <v>CHP</v>
      </c>
      <c r="I232" s="161" t="str">
        <f t="shared" si="79"/>
        <v>M</v>
      </c>
      <c r="J232" s="76">
        <v>0.39624753583563638</v>
      </c>
      <c r="K232" s="76">
        <v>0.39625154791992478</v>
      </c>
      <c r="L232" s="76">
        <v>0.39625549310283698</v>
      </c>
      <c r="M232" s="76">
        <v>0.39625937227406444</v>
      </c>
      <c r="N232" s="76">
        <v>0.39626318631976576</v>
      </c>
      <c r="O232" s="76">
        <v>0.39626693612223335</v>
      </c>
      <c r="P232" s="76">
        <v>0.39627062255957729</v>
      </c>
      <c r="Q232" s="76">
        <v>0.39627424650542253</v>
      </c>
      <c r="R232" s="76">
        <v>0.39627780882862174</v>
      </c>
      <c r="S232" s="76">
        <v>0.3962813103929817</v>
      </c>
      <c r="T232" s="76">
        <v>0.3962847520570037</v>
      </c>
      <c r="U232" s="76">
        <v>0.39628813467363755</v>
      </c>
      <c r="V232" s="76">
        <v>0.39629145909004876</v>
      </c>
      <c r="W232" s="76">
        <v>0.39629472614739869</v>
      </c>
      <c r="X232" s="76">
        <v>0.39629793668063656</v>
      </c>
      <c r="Y232" s="76">
        <v>0.39630109151830473</v>
      </c>
      <c r="Z232" s="76">
        <v>0.39630419148235463</v>
      </c>
      <c r="AA232" s="76">
        <v>0.39630723738797546</v>
      </c>
      <c r="AB232" s="76">
        <v>0.39631023004343269</v>
      </c>
      <c r="AC232" s="76">
        <v>0.39631317024991808</v>
      </c>
      <c r="AD232" s="76">
        <v>0.39631605880141091</v>
      </c>
      <c r="AE232" s="76">
        <v>0.39631889648454738</v>
      </c>
      <c r="AF232" s="76">
        <v>0.39632168407850238</v>
      </c>
      <c r="AG232" s="76">
        <v>0.39632442235487864</v>
      </c>
      <c r="AH232" s="76">
        <v>0.39632711207760613</v>
      </c>
      <c r="AI232" s="76">
        <v>0.39632975400285059</v>
      </c>
      <c r="AJ232" s="76">
        <v>0.39633234887892987</v>
      </c>
      <c r="AK232" s="76">
        <v>0.3963348974462389</v>
      </c>
      <c r="AL232" s="76">
        <v>0.39633740043718313</v>
      </c>
      <c r="AM232" s="76">
        <v>0.3963398585761187</v>
      </c>
      <c r="AN232" s="76">
        <v>0.39634227257930121</v>
      </c>
      <c r="AO232" s="76">
        <v>0.39634464315484064</v>
      </c>
      <c r="AP232" s="76">
        <v>0.39634697100266358</v>
      </c>
      <c r="AQ232" s="76">
        <v>0.39634925681448202</v>
      </c>
      <c r="AR232" s="76">
        <v>0.39635150127376839</v>
      </c>
      <c r="AS232" s="76">
        <v>0.39635370505573708</v>
      </c>
      <c r="AT232" s="76">
        <v>0.39635586882733104</v>
      </c>
      <c r="AU232" s="76">
        <v>0.39635799324721466</v>
      </c>
      <c r="AV232" s="76">
        <v>0.39636007896577141</v>
      </c>
      <c r="AW232" s="76">
        <v>0.39636212662510756</v>
      </c>
      <c r="AX232" s="84">
        <v>0.39636413685905936</v>
      </c>
    </row>
    <row r="233" spans="1:50" x14ac:dyDescent="0.25">
      <c r="A233" s="356"/>
      <c r="B233" s="359"/>
      <c r="C233" s="350"/>
      <c r="D233" s="2" t="s">
        <v>10</v>
      </c>
      <c r="E233" s="160" t="str">
        <f>A209&amp;"/"&amp;B227&amp;"/"&amp;C231&amp;"/"&amp;D233</f>
        <v>Gas fired power plants (Natural gas, biogas)/Steam turbine/CHP/S</v>
      </c>
      <c r="F233" s="76" t="str">
        <f>A209</f>
        <v>Gas fired power plants (Natural gas, biogas)</v>
      </c>
      <c r="G233" s="76" t="str">
        <f>B227</f>
        <v>Steam turbine</v>
      </c>
      <c r="H233" s="76" t="str">
        <f>C231</f>
        <v>CHP</v>
      </c>
      <c r="I233" s="161" t="str">
        <f t="shared" si="79"/>
        <v>S</v>
      </c>
      <c r="J233" s="76">
        <v>0.37737860555774899</v>
      </c>
      <c r="K233" s="76">
        <v>0.37738101826505999</v>
      </c>
      <c r="L233" s="76">
        <v>0.37738338896790952</v>
      </c>
      <c r="M233" s="76">
        <v>0.3773857182917949</v>
      </c>
      <c r="N233" s="76">
        <v>0.37738800685683932</v>
      </c>
      <c r="O233" s="76">
        <v>0.37739025527767922</v>
      </c>
      <c r="P233" s="76">
        <v>0.37739246416336031</v>
      </c>
      <c r="Q233" s="76">
        <v>0.37739463411724056</v>
      </c>
      <c r="R233" s="76">
        <v>0.37739676573690162</v>
      </c>
      <c r="S233" s="76">
        <v>0.37739885961406672</v>
      </c>
      <c r="T233" s="76">
        <v>0.3774009163345256</v>
      </c>
      <c r="U233" s="76">
        <v>0.37740293647806678</v>
      </c>
      <c r="V233" s="76">
        <v>0.37740492061841585</v>
      </c>
      <c r="W233" s="76">
        <v>0.37740686932317985</v>
      </c>
      <c r="X233" s="76">
        <v>0.37740878315379844</v>
      </c>
      <c r="Y233" s="76">
        <v>0.3774106626655005</v>
      </c>
      <c r="Z233" s="76">
        <v>0.37741250840726598</v>
      </c>
      <c r="AA233" s="76">
        <v>0.37741432092179389</v>
      </c>
      <c r="AB233" s="76">
        <v>0.3774161007454751</v>
      </c>
      <c r="AC233" s="76">
        <v>0.37741784840836989</v>
      </c>
      <c r="AD233" s="76">
        <v>0.37741956443419128</v>
      </c>
      <c r="AE233" s="76">
        <v>0.37742124934029159</v>
      </c>
      <c r="AF233" s="76">
        <v>0.37742290363765435</v>
      </c>
      <c r="AG233" s="76">
        <v>0.37742452783089031</v>
      </c>
      <c r="AH233" s="76">
        <v>0.3774261224182372</v>
      </c>
      <c r="AI233" s="76">
        <v>0.37742768789156383</v>
      </c>
      <c r="AJ233" s="76">
        <v>0.37742922473637702</v>
      </c>
      <c r="AK233" s="76">
        <v>0.37743073343183325</v>
      </c>
      <c r="AL233" s="76">
        <v>0.37743221445075259</v>
      </c>
      <c r="AM233" s="76">
        <v>0.37743366825963665</v>
      </c>
      <c r="AN233" s="76">
        <v>0.3774350953186888</v>
      </c>
      <c r="AO233" s="76">
        <v>0.37743649608183794</v>
      </c>
      <c r="AP233" s="76">
        <v>0.37743787099676468</v>
      </c>
      <c r="AQ233" s="76">
        <v>0.37743922050493062</v>
      </c>
      <c r="AR233" s="76">
        <v>0.37744054504160884</v>
      </c>
      <c r="AS233" s="76">
        <v>0.37744184503591877</v>
      </c>
      <c r="AT233" s="76">
        <v>0.37744312091086052</v>
      </c>
      <c r="AU233" s="76">
        <v>0.37744437308335488</v>
      </c>
      <c r="AV233" s="76">
        <v>0.37744560196428134</v>
      </c>
      <c r="AW233" s="76">
        <v>0.37744680795852092</v>
      </c>
      <c r="AX233" s="84">
        <v>0.3774479914649998</v>
      </c>
    </row>
    <row r="234" spans="1:50" x14ac:dyDescent="0.25">
      <c r="A234" s="356"/>
      <c r="B234" s="359"/>
      <c r="C234" s="360"/>
      <c r="D234" s="59" t="s">
        <v>20</v>
      </c>
      <c r="E234" s="166" t="str">
        <f>A209&amp;"/"&amp;B227&amp;"/"&amp;C231&amp;"/"&amp;D234</f>
        <v>Gas fired power plants (Natural gas, biogas)/Steam turbine/CHP/XS</v>
      </c>
      <c r="F234" s="79" t="str">
        <f>A209</f>
        <v>Gas fired power plants (Natural gas, biogas)</v>
      </c>
      <c r="G234" s="79" t="str">
        <f>B227</f>
        <v>Steam turbine</v>
      </c>
      <c r="H234" s="79" t="str">
        <f>C231</f>
        <v>CHP</v>
      </c>
      <c r="I234" s="167" t="str">
        <f t="shared" si="79"/>
        <v>XS</v>
      </c>
      <c r="J234" s="79">
        <v>0.35940819576928473</v>
      </c>
      <c r="K234" s="79">
        <v>0.3594094344178157</v>
      </c>
      <c r="L234" s="79">
        <v>0.35941065055453358</v>
      </c>
      <c r="M234" s="79">
        <v>0.35941184455095004</v>
      </c>
      <c r="N234" s="79">
        <v>0.35941301677386939</v>
      </c>
      <c r="O234" s="79">
        <v>0.35941416758539191</v>
      </c>
      <c r="P234" s="79">
        <v>0.35941529734291966</v>
      </c>
      <c r="Q234" s="79">
        <v>0.3594164063991665</v>
      </c>
      <c r="R234" s="79">
        <v>0.35941749510216786</v>
      </c>
      <c r="S234" s="79">
        <v>0.35941856379529591</v>
      </c>
      <c r="T234" s="79">
        <v>0.35941961281727414</v>
      </c>
      <c r="U234" s="79">
        <v>0.35942064250219624</v>
      </c>
      <c r="V234" s="79">
        <v>0.35942165317954544</v>
      </c>
      <c r="W234" s="79">
        <v>0.35942264517421657</v>
      </c>
      <c r="X234" s="79">
        <v>0.35942361880653989</v>
      </c>
      <c r="Y234" s="79">
        <v>0.35942457439230613</v>
      </c>
      <c r="Z234" s="79">
        <v>0.35942551224279373</v>
      </c>
      <c r="AA234" s="79">
        <v>0.35942643266479707</v>
      </c>
      <c r="AB234" s="79">
        <v>0.35942733596065646</v>
      </c>
      <c r="AC234" s="79">
        <v>0.35942822242828948</v>
      </c>
      <c r="AD234" s="79">
        <v>0.35942909236122333</v>
      </c>
      <c r="AE234" s="79">
        <v>0.35942994604862855</v>
      </c>
      <c r="AF234" s="79">
        <v>0.35943078377535376</v>
      </c>
      <c r="AG234" s="79">
        <v>0.35943160582196154</v>
      </c>
      <c r="AH234" s="79">
        <v>0.35943241246476515</v>
      </c>
      <c r="AI234" s="79">
        <v>0.35943320397586614</v>
      </c>
      <c r="AJ234" s="79">
        <v>0.35943398062319287</v>
      </c>
      <c r="AK234" s="79">
        <v>0.35943474267053971</v>
      </c>
      <c r="AL234" s="79">
        <v>0.35943549037760686</v>
      </c>
      <c r="AM234" s="79">
        <v>0.35943622400004099</v>
      </c>
      <c r="AN234" s="79">
        <v>0.35943694378947666</v>
      </c>
      <c r="AO234" s="79">
        <v>0.35943764999357708</v>
      </c>
      <c r="AP234" s="79">
        <v>0.35943834285607751</v>
      </c>
      <c r="AQ234" s="79">
        <v>0.35943902261682664</v>
      </c>
      <c r="AR234" s="79">
        <v>0.35943968951183031</v>
      </c>
      <c r="AS234" s="79">
        <v>0.35944034377329426</v>
      </c>
      <c r="AT234" s="79">
        <v>0.35944098562966781</v>
      </c>
      <c r="AU234" s="79">
        <v>0.35944161530568813</v>
      </c>
      <c r="AV234" s="79">
        <v>0.35944223302242317</v>
      </c>
      <c r="AW234" s="79">
        <v>0.35944283899731683</v>
      </c>
      <c r="AX234" s="87">
        <v>0.35944343344423274</v>
      </c>
    </row>
    <row r="235" spans="1:50" x14ac:dyDescent="0.25">
      <c r="A235" s="356"/>
      <c r="B235" s="359"/>
      <c r="C235" s="361" t="s">
        <v>15</v>
      </c>
      <c r="D235" s="58" t="s">
        <v>7</v>
      </c>
      <c r="E235" s="164" t="str">
        <f>A209&amp;"/"&amp;B227&amp;"/"&amp;C235&amp;"/"&amp;D235</f>
        <v>Gas fired power plants (Natural gas, biogas)/Steam turbine/Electricity only with CCS/L</v>
      </c>
      <c r="F235" s="78" t="str">
        <f>A209</f>
        <v>Gas fired power plants (Natural gas, biogas)</v>
      </c>
      <c r="G235" s="78" t="str">
        <f>B227</f>
        <v>Steam turbine</v>
      </c>
      <c r="H235" s="78" t="str">
        <f>C235</f>
        <v>Electricity only with CCS</v>
      </c>
      <c r="I235" s="165" t="str">
        <f t="shared" si="79"/>
        <v>L</v>
      </c>
      <c r="J235" s="78" t="s">
        <v>112</v>
      </c>
      <c r="K235" s="78" t="s">
        <v>112</v>
      </c>
      <c r="L235" s="78" t="s">
        <v>112</v>
      </c>
      <c r="M235" s="78" t="s">
        <v>112</v>
      </c>
      <c r="N235" s="78" t="s">
        <v>112</v>
      </c>
      <c r="O235" s="78" t="s">
        <v>112</v>
      </c>
      <c r="P235" s="78" t="s">
        <v>112</v>
      </c>
      <c r="Q235" s="78" t="s">
        <v>112</v>
      </c>
      <c r="R235" s="78" t="s">
        <v>112</v>
      </c>
      <c r="S235" s="78" t="s">
        <v>112</v>
      </c>
      <c r="T235" s="78" t="s">
        <v>112</v>
      </c>
      <c r="U235" s="78" t="s">
        <v>112</v>
      </c>
      <c r="V235" s="78" t="s">
        <v>112</v>
      </c>
      <c r="W235" s="78" t="s">
        <v>112</v>
      </c>
      <c r="X235" s="78" t="s">
        <v>112</v>
      </c>
      <c r="Y235" s="78" t="s">
        <v>112</v>
      </c>
      <c r="Z235" s="78" t="s">
        <v>112</v>
      </c>
      <c r="AA235" s="78" t="s">
        <v>112</v>
      </c>
      <c r="AB235" s="78" t="s">
        <v>112</v>
      </c>
      <c r="AC235" s="78" t="s">
        <v>112</v>
      </c>
      <c r="AD235" s="78" t="s">
        <v>112</v>
      </c>
      <c r="AE235" s="78">
        <v>0.43587228941920009</v>
      </c>
      <c r="AF235" s="78">
        <v>0.43587228941920009</v>
      </c>
      <c r="AG235" s="78">
        <v>0.43587228941920009</v>
      </c>
      <c r="AH235" s="78">
        <v>0.43587228941920009</v>
      </c>
      <c r="AI235" s="78">
        <v>0.43587228941920009</v>
      </c>
      <c r="AJ235" s="78">
        <v>0.43587228941920009</v>
      </c>
      <c r="AK235" s="78">
        <v>0.43587228941920009</v>
      </c>
      <c r="AL235" s="78">
        <v>0.43587228941920009</v>
      </c>
      <c r="AM235" s="78">
        <v>0.43587228941920009</v>
      </c>
      <c r="AN235" s="78">
        <v>0.43587228941920009</v>
      </c>
      <c r="AO235" s="78">
        <v>0.43587228941920009</v>
      </c>
      <c r="AP235" s="78">
        <v>0.43587228941920009</v>
      </c>
      <c r="AQ235" s="78">
        <v>0.43587228941920009</v>
      </c>
      <c r="AR235" s="78">
        <v>0.43587228941920009</v>
      </c>
      <c r="AS235" s="78">
        <v>0.43587228941920009</v>
      </c>
      <c r="AT235" s="78">
        <v>0.43587228941920009</v>
      </c>
      <c r="AU235" s="78">
        <v>0.43587228941920009</v>
      </c>
      <c r="AV235" s="78">
        <v>0.43587228941920009</v>
      </c>
      <c r="AW235" s="78">
        <v>0.43587228941920009</v>
      </c>
      <c r="AX235" s="86">
        <v>0.43587228941920009</v>
      </c>
    </row>
    <row r="236" spans="1:50" x14ac:dyDescent="0.25">
      <c r="A236" s="356"/>
      <c r="B236" s="359"/>
      <c r="C236" s="360"/>
      <c r="D236" s="59" t="s">
        <v>8</v>
      </c>
      <c r="E236" s="166" t="str">
        <f>A209&amp;"/"&amp;B227&amp;"/"&amp;C235&amp;"/"&amp;D236</f>
        <v>Gas fired power plants (Natural gas, biogas)/Steam turbine/Electricity only with CCS/M</v>
      </c>
      <c r="F236" s="79" t="str">
        <f>A209</f>
        <v>Gas fired power plants (Natural gas, biogas)</v>
      </c>
      <c r="G236" s="79" t="str">
        <f>B227</f>
        <v>Steam turbine</v>
      </c>
      <c r="H236" s="79" t="str">
        <f>C235</f>
        <v>Electricity only with CCS</v>
      </c>
      <c r="I236" s="167" t="str">
        <f t="shared" si="79"/>
        <v>M</v>
      </c>
      <c r="J236" s="79" t="s">
        <v>112</v>
      </c>
      <c r="K236" s="79" t="s">
        <v>112</v>
      </c>
      <c r="L236" s="79" t="s">
        <v>112</v>
      </c>
      <c r="M236" s="79" t="s">
        <v>112</v>
      </c>
      <c r="N236" s="79" t="s">
        <v>112</v>
      </c>
      <c r="O236" s="79" t="s">
        <v>112</v>
      </c>
      <c r="P236" s="79" t="s">
        <v>112</v>
      </c>
      <c r="Q236" s="79" t="s">
        <v>112</v>
      </c>
      <c r="R236" s="79" t="s">
        <v>112</v>
      </c>
      <c r="S236" s="79" t="s">
        <v>112</v>
      </c>
      <c r="T236" s="79" t="s">
        <v>112</v>
      </c>
      <c r="U236" s="79" t="s">
        <v>112</v>
      </c>
      <c r="V236" s="79" t="s">
        <v>112</v>
      </c>
      <c r="W236" s="79" t="s">
        <v>112</v>
      </c>
      <c r="X236" s="79" t="s">
        <v>112</v>
      </c>
      <c r="Y236" s="79" t="s">
        <v>112</v>
      </c>
      <c r="Z236" s="79" t="s">
        <v>112</v>
      </c>
      <c r="AA236" s="79" t="s">
        <v>112</v>
      </c>
      <c r="AB236" s="79" t="s">
        <v>112</v>
      </c>
      <c r="AC236" s="79" t="s">
        <v>112</v>
      </c>
      <c r="AD236" s="79" t="s">
        <v>112</v>
      </c>
      <c r="AE236" s="79">
        <v>0.41511646611352393</v>
      </c>
      <c r="AF236" s="79">
        <v>0.41511646611352393</v>
      </c>
      <c r="AG236" s="79">
        <v>0.41511646611352393</v>
      </c>
      <c r="AH236" s="79">
        <v>0.41511646611352393</v>
      </c>
      <c r="AI236" s="79">
        <v>0.41511646611352393</v>
      </c>
      <c r="AJ236" s="79">
        <v>0.41511646611352393</v>
      </c>
      <c r="AK236" s="79">
        <v>0.41511646611352393</v>
      </c>
      <c r="AL236" s="79">
        <v>0.41511646611352393</v>
      </c>
      <c r="AM236" s="79">
        <v>0.41511646611352393</v>
      </c>
      <c r="AN236" s="79">
        <v>0.41511646611352393</v>
      </c>
      <c r="AO236" s="79">
        <v>0.41511646611352393</v>
      </c>
      <c r="AP236" s="79">
        <v>0.41511646611352393</v>
      </c>
      <c r="AQ236" s="79">
        <v>0.41511646611352393</v>
      </c>
      <c r="AR236" s="79">
        <v>0.41511646611352393</v>
      </c>
      <c r="AS236" s="79">
        <v>0.41511646611352393</v>
      </c>
      <c r="AT236" s="79">
        <v>0.41511646611352393</v>
      </c>
      <c r="AU236" s="79">
        <v>0.41511646611352393</v>
      </c>
      <c r="AV236" s="79">
        <v>0.41511646611352393</v>
      </c>
      <c r="AW236" s="79">
        <v>0.41511646611352393</v>
      </c>
      <c r="AX236" s="87">
        <v>0.41511646611352393</v>
      </c>
    </row>
    <row r="237" spans="1:50" x14ac:dyDescent="0.25">
      <c r="A237" s="356"/>
      <c r="B237" s="359"/>
      <c r="C237" s="361" t="s">
        <v>16</v>
      </c>
      <c r="D237" s="2" t="s">
        <v>7</v>
      </c>
      <c r="E237" s="160" t="str">
        <f>A209&amp;"/"&amp;B227&amp;"/"&amp;C237&amp;"/"&amp;D237</f>
        <v>Gas fired power plants (Natural gas, biogas)/Steam turbine/CHP with CCS/L</v>
      </c>
      <c r="F237" s="76" t="str">
        <f>A209</f>
        <v>Gas fired power plants (Natural gas, biogas)</v>
      </c>
      <c r="G237" s="76" t="str">
        <f>B227</f>
        <v>Steam turbine</v>
      </c>
      <c r="H237" s="76" t="str">
        <f>C237</f>
        <v>CHP with CCS</v>
      </c>
      <c r="I237" s="161" t="str">
        <f t="shared" si="79"/>
        <v>L</v>
      </c>
      <c r="J237" s="76" t="s">
        <v>112</v>
      </c>
      <c r="K237" s="76" t="s">
        <v>112</v>
      </c>
      <c r="L237" s="76" t="s">
        <v>112</v>
      </c>
      <c r="M237" s="76" t="s">
        <v>112</v>
      </c>
      <c r="N237" s="76" t="s">
        <v>112</v>
      </c>
      <c r="O237" s="76" t="s">
        <v>112</v>
      </c>
      <c r="P237" s="76" t="s">
        <v>112</v>
      </c>
      <c r="Q237" s="76" t="s">
        <v>112</v>
      </c>
      <c r="R237" s="76" t="s">
        <v>112</v>
      </c>
      <c r="S237" s="76" t="s">
        <v>112</v>
      </c>
      <c r="T237" s="76" t="s">
        <v>112</v>
      </c>
      <c r="U237" s="76" t="s">
        <v>112</v>
      </c>
      <c r="V237" s="76" t="s">
        <v>112</v>
      </c>
      <c r="W237" s="76" t="s">
        <v>112</v>
      </c>
      <c r="X237" s="76" t="s">
        <v>112</v>
      </c>
      <c r="Y237" s="76" t="s">
        <v>112</v>
      </c>
      <c r="Z237" s="76" t="s">
        <v>112</v>
      </c>
      <c r="AA237" s="76" t="s">
        <v>112</v>
      </c>
      <c r="AB237" s="76" t="s">
        <v>112</v>
      </c>
      <c r="AC237" s="76" t="s">
        <v>112</v>
      </c>
      <c r="AD237" s="76" t="s">
        <v>112</v>
      </c>
      <c r="AE237" s="76">
        <v>0.39624753583563649</v>
      </c>
      <c r="AF237" s="76">
        <v>0.39624753583563649</v>
      </c>
      <c r="AG237" s="76">
        <v>0.39624753583563649</v>
      </c>
      <c r="AH237" s="76">
        <v>0.39624753583563649</v>
      </c>
      <c r="AI237" s="76">
        <v>0.39624753583563649</v>
      </c>
      <c r="AJ237" s="76">
        <v>0.39624753583563649</v>
      </c>
      <c r="AK237" s="76">
        <v>0.39624753583563649</v>
      </c>
      <c r="AL237" s="76">
        <v>0.39624753583563649</v>
      </c>
      <c r="AM237" s="76">
        <v>0.39624753583563649</v>
      </c>
      <c r="AN237" s="76">
        <v>0.39624753583563649</v>
      </c>
      <c r="AO237" s="76">
        <v>0.39624753583563649</v>
      </c>
      <c r="AP237" s="76">
        <v>0.39624753583563649</v>
      </c>
      <c r="AQ237" s="76">
        <v>0.39624753583563649</v>
      </c>
      <c r="AR237" s="76">
        <v>0.39624753583563649</v>
      </c>
      <c r="AS237" s="76">
        <v>0.39624753583563649</v>
      </c>
      <c r="AT237" s="76">
        <v>0.39624753583563649</v>
      </c>
      <c r="AU237" s="76">
        <v>0.39624753583563649</v>
      </c>
      <c r="AV237" s="76">
        <v>0.39624753583563649</v>
      </c>
      <c r="AW237" s="76">
        <v>0.39624753583563649</v>
      </c>
      <c r="AX237" s="84">
        <v>0.39624753583563649</v>
      </c>
    </row>
    <row r="238" spans="1:50" x14ac:dyDescent="0.25">
      <c r="A238" s="356"/>
      <c r="B238" s="362"/>
      <c r="C238" s="354"/>
      <c r="D238" s="4" t="s">
        <v>8</v>
      </c>
      <c r="E238" s="168" t="str">
        <f>A209&amp;"/"&amp;B227&amp;"/"&amp;C237&amp;"/"&amp;D238</f>
        <v>Gas fired power plants (Natural gas, biogas)/Steam turbine/CHP with CCS/M</v>
      </c>
      <c r="F238" s="80" t="str">
        <f>A209</f>
        <v>Gas fired power plants (Natural gas, biogas)</v>
      </c>
      <c r="G238" s="80" t="str">
        <f>B227</f>
        <v>Steam turbine</v>
      </c>
      <c r="H238" s="80" t="str">
        <f>C237</f>
        <v>CHP with CCS</v>
      </c>
      <c r="I238" s="169" t="str">
        <f t="shared" si="79"/>
        <v>M</v>
      </c>
      <c r="J238" s="80" t="s">
        <v>112</v>
      </c>
      <c r="K238" s="80" t="s">
        <v>112</v>
      </c>
      <c r="L238" s="80" t="s">
        <v>112</v>
      </c>
      <c r="M238" s="80" t="s">
        <v>112</v>
      </c>
      <c r="N238" s="80" t="s">
        <v>112</v>
      </c>
      <c r="O238" s="80" t="s">
        <v>112</v>
      </c>
      <c r="P238" s="80" t="s">
        <v>112</v>
      </c>
      <c r="Q238" s="80" t="s">
        <v>112</v>
      </c>
      <c r="R238" s="80" t="s">
        <v>112</v>
      </c>
      <c r="S238" s="80" t="s">
        <v>112</v>
      </c>
      <c r="T238" s="80" t="s">
        <v>112</v>
      </c>
      <c r="U238" s="80" t="s">
        <v>112</v>
      </c>
      <c r="V238" s="80" t="s">
        <v>112</v>
      </c>
      <c r="W238" s="80" t="s">
        <v>112</v>
      </c>
      <c r="X238" s="80" t="s">
        <v>112</v>
      </c>
      <c r="Y238" s="80" t="s">
        <v>112</v>
      </c>
      <c r="Z238" s="80" t="s">
        <v>112</v>
      </c>
      <c r="AA238" s="80" t="s">
        <v>112</v>
      </c>
      <c r="AB238" s="80" t="s">
        <v>112</v>
      </c>
      <c r="AC238" s="80" t="s">
        <v>112</v>
      </c>
      <c r="AD238" s="80" t="s">
        <v>112</v>
      </c>
      <c r="AE238" s="80">
        <v>0.37737860555774894</v>
      </c>
      <c r="AF238" s="80">
        <v>0.37737860555774894</v>
      </c>
      <c r="AG238" s="80">
        <v>0.37737860555774894</v>
      </c>
      <c r="AH238" s="80">
        <v>0.37737860555774894</v>
      </c>
      <c r="AI238" s="80">
        <v>0.37737860555774894</v>
      </c>
      <c r="AJ238" s="80">
        <v>0.37737860555774894</v>
      </c>
      <c r="AK238" s="80">
        <v>0.37737860555774894</v>
      </c>
      <c r="AL238" s="80">
        <v>0.37737860555774894</v>
      </c>
      <c r="AM238" s="80">
        <v>0.37737860555774894</v>
      </c>
      <c r="AN238" s="80">
        <v>0.37737860555774894</v>
      </c>
      <c r="AO238" s="80">
        <v>0.37737860555774894</v>
      </c>
      <c r="AP238" s="80">
        <v>0.37737860555774894</v>
      </c>
      <c r="AQ238" s="80">
        <v>0.37737860555774894</v>
      </c>
      <c r="AR238" s="80">
        <v>0.37737860555774894</v>
      </c>
      <c r="AS238" s="80">
        <v>0.37737860555774894</v>
      </c>
      <c r="AT238" s="80">
        <v>0.37737860555774894</v>
      </c>
      <c r="AU238" s="80">
        <v>0.37737860555774894</v>
      </c>
      <c r="AV238" s="80">
        <v>0.37737860555774894</v>
      </c>
      <c r="AW238" s="80">
        <v>0.37737860555774894</v>
      </c>
      <c r="AX238" s="88">
        <v>0.37737860555774894</v>
      </c>
    </row>
    <row r="239" spans="1:50" x14ac:dyDescent="0.25">
      <c r="A239" s="356"/>
      <c r="B239" s="358" t="s">
        <v>25</v>
      </c>
      <c r="C239" s="353" t="s">
        <v>6</v>
      </c>
      <c r="D239" s="3" t="s">
        <v>10</v>
      </c>
      <c r="E239" s="162" t="str">
        <f>A209&amp;"/"&amp;B239&amp;"/"&amp;C239&amp;"/"&amp;D239</f>
        <v>Gas fired power plants (Natural gas, biogas)/Internal combustion engine/Electricity only/S</v>
      </c>
      <c r="F239" s="77" t="str">
        <f>A209</f>
        <v>Gas fired power plants (Natural gas, biogas)</v>
      </c>
      <c r="G239" s="77" t="str">
        <f>B239</f>
        <v>Internal combustion engine</v>
      </c>
      <c r="H239" s="77" t="str">
        <f>C239</f>
        <v>Electricity only</v>
      </c>
      <c r="I239" s="163" t="str">
        <f t="shared" si="79"/>
        <v>S</v>
      </c>
      <c r="J239" s="77">
        <v>0.37735849056603776</v>
      </c>
      <c r="K239" s="77">
        <v>0.37736606505476694</v>
      </c>
      <c r="L239" s="77">
        <v>0.3773739977879052</v>
      </c>
      <c r="M239" s="77">
        <v>0.37738230415621304</v>
      </c>
      <c r="N239" s="77">
        <v>0.37739100005547133</v>
      </c>
      <c r="O239" s="77">
        <v>0.37740010188683382</v>
      </c>
      <c r="P239" s="77">
        <v>0.3774096265551406</v>
      </c>
      <c r="Q239" s="77">
        <v>0.37741959146495702</v>
      </c>
      <c r="R239" s="77">
        <v>0.37743001451409197</v>
      </c>
      <c r="S239" s="77">
        <v>0.3774409140843305</v>
      </c>
      <c r="T239" s="77">
        <v>0.37745230902910581</v>
      </c>
      <c r="U239" s="77">
        <v>0.37746421865782165</v>
      </c>
      <c r="V239" s="77">
        <v>0.37747666271652264</v>
      </c>
      <c r="W239" s="77">
        <v>0.37748966136460288</v>
      </c>
      <c r="X239" s="77">
        <v>0.37750323514723083</v>
      </c>
      <c r="Y239" s="77">
        <v>0.37751740496316533</v>
      </c>
      <c r="Z239" s="77">
        <v>0.3775321920276315</v>
      </c>
      <c r="AA239" s="77">
        <v>0.3775476178299258</v>
      </c>
      <c r="AB239" s="77">
        <v>0.37756370408542261</v>
      </c>
      <c r="AC239" s="77">
        <v>0.377580472681663</v>
      </c>
      <c r="AD239" s="77">
        <v>0.37759794561821625</v>
      </c>
      <c r="AE239" s="77">
        <v>0.37761614494002688</v>
      </c>
      <c r="AF239" s="77">
        <v>0.37763509266398126</v>
      </c>
      <c r="AG239" s="77">
        <v>0.37765481069846085</v>
      </c>
      <c r="AH239" s="77">
        <v>0.37767532075568794</v>
      </c>
      <c r="AI239" s="77">
        <v>0.37769664425671756</v>
      </c>
      <c r="AJ239" s="77">
        <v>0.37771880222898518</v>
      </c>
      <c r="AK239" s="77">
        <v>0.3777418151963855</v>
      </c>
      <c r="AL239" s="77">
        <v>0.37776570306193391</v>
      </c>
      <c r="AM239" s="77">
        <v>0.37779048498314738</v>
      </c>
      <c r="AN239" s="77">
        <v>0.3778161792403768</v>
      </c>
      <c r="AO239" s="77">
        <v>0.37784280309843066</v>
      </c>
      <c r="AP239" s="77">
        <v>0.37787037266194368</v>
      </c>
      <c r="AQ239" s="77">
        <v>0.37789890272506987</v>
      </c>
      <c r="AR239" s="77">
        <v>0.37792840661621502</v>
      </c>
      <c r="AS239" s="77">
        <v>0.37795889603866006</v>
      </c>
      <c r="AT239" s="77">
        <v>0.37799038090807668</v>
      </c>
      <c r="AU239" s="77">
        <v>0.37802286918808509</v>
      </c>
      <c r="AV239" s="77">
        <v>0.37805636672515402</v>
      </c>
      <c r="AW239" s="77">
        <v>0.37809087708429301</v>
      </c>
      <c r="AX239" s="85">
        <v>0.37812640138713383</v>
      </c>
    </row>
    <row r="240" spans="1:50" x14ac:dyDescent="0.25">
      <c r="A240" s="356"/>
      <c r="B240" s="359"/>
      <c r="C240" s="360"/>
      <c r="D240" s="59" t="s">
        <v>20</v>
      </c>
      <c r="E240" s="160" t="str">
        <f>A209&amp;"/"&amp;B239&amp;"/"&amp;C239&amp;"/"&amp;D240</f>
        <v>Gas fired power plants (Natural gas, biogas)/Internal combustion engine/Electricity only/XS</v>
      </c>
      <c r="F240" s="76" t="str">
        <f>A209</f>
        <v>Gas fired power plants (Natural gas, biogas)</v>
      </c>
      <c r="G240" s="76" t="str">
        <f>B239</f>
        <v>Internal combustion engine</v>
      </c>
      <c r="H240" s="76" t="str">
        <f>C239</f>
        <v>Electricity only</v>
      </c>
      <c r="I240" s="161" t="str">
        <f t="shared" si="79"/>
        <v>XS</v>
      </c>
      <c r="J240" s="76">
        <v>0.35938903863432164</v>
      </c>
      <c r="K240" s="76">
        <v>0.35939470320938527</v>
      </c>
      <c r="L240" s="76">
        <v>0.35940064052580523</v>
      </c>
      <c r="M240" s="76">
        <v>0.35940686279466727</v>
      </c>
      <c r="N240" s="76">
        <v>0.35941338268025419</v>
      </c>
      <c r="O240" s="76">
        <v>0.35942021330716278</v>
      </c>
      <c r="P240" s="76">
        <v>0.35942736826639676</v>
      </c>
      <c r="Q240" s="76">
        <v>0.35943486162028115</v>
      </c>
      <c r="R240" s="76">
        <v>0.35944270790603156</v>
      </c>
      <c r="S240" s="76">
        <v>0.35945092213779634</v>
      </c>
      <c r="T240" s="76">
        <v>0.35945951980697999</v>
      </c>
      <c r="U240" s="76">
        <v>0.35946851688063841</v>
      </c>
      <c r="V240" s="76">
        <v>0.35947792979772664</v>
      </c>
      <c r="W240" s="76">
        <v>0.35948777546296284</v>
      </c>
      <c r="X240" s="76">
        <v>0.35949807123806199</v>
      </c>
      <c r="Y240" s="76">
        <v>0.35950883493007674</v>
      </c>
      <c r="Z240" s="76">
        <v>0.3595200847765736</v>
      </c>
      <c r="AA240" s="76">
        <v>0.35953183942735917</v>
      </c>
      <c r="AB240" s="76">
        <v>0.35954411792246244</v>
      </c>
      <c r="AC240" s="76">
        <v>0.35955693966607088</v>
      </c>
      <c r="AD240" s="76">
        <v>0.35957032439611214</v>
      </c>
      <c r="AE240" s="76">
        <v>0.35958429214916809</v>
      </c>
      <c r="AF240" s="76">
        <v>0.35959886322041101</v>
      </c>
      <c r="AG240" s="76">
        <v>0.35961405811824926</v>
      </c>
      <c r="AH240" s="76">
        <v>0.35962989751338426</v>
      </c>
      <c r="AI240" s="76">
        <v>0.35964640218198396</v>
      </c>
      <c r="AJ240" s="76">
        <v>0.35966359294270406</v>
      </c>
      <c r="AK240" s="76">
        <v>0.35968149058730325</v>
      </c>
      <c r="AL240" s="76">
        <v>0.35970011580463573</v>
      </c>
      <c r="AM240" s="76">
        <v>0.35971948909783513</v>
      </c>
      <c r="AN240" s="76">
        <v>0.3597396306945535</v>
      </c>
      <c r="AO240" s="76">
        <v>0.35976056045017052</v>
      </c>
      <c r="AP240" s="76">
        <v>0.3597822977439486</v>
      </c>
      <c r="AQ240" s="76">
        <v>0.35980486136818446</v>
      </c>
      <c r="AR240" s="76">
        <v>0.35982826941048568</v>
      </c>
      <c r="AS240" s="76">
        <v>0.35985253912939308</v>
      </c>
      <c r="AT240" s="76">
        <v>0.35987768682366905</v>
      </c>
      <c r="AU240" s="76">
        <v>0.3599037276956818</v>
      </c>
      <c r="AV240" s="76">
        <v>0.35993067570943393</v>
      </c>
      <c r="AW240" s="76">
        <v>0.35995854344390948</v>
      </c>
      <c r="AX240" s="84">
        <v>0.35998734194254578</v>
      </c>
    </row>
    <row r="241" spans="1:50" x14ac:dyDescent="0.25">
      <c r="A241" s="356"/>
      <c r="B241" s="359"/>
      <c r="C241" s="361" t="s">
        <v>14</v>
      </c>
      <c r="D241" s="2" t="s">
        <v>10</v>
      </c>
      <c r="E241" s="164" t="str">
        <f>A209&amp;"/"&amp;B239&amp;"/"&amp;C241&amp;"/"&amp;D241</f>
        <v>Gas fired power plants (Natural gas, biogas)/Internal combustion engine/CHP/S</v>
      </c>
      <c r="F241" s="78" t="str">
        <f>A209</f>
        <v>Gas fired power plants (Natural gas, biogas)</v>
      </c>
      <c r="G241" s="78" t="str">
        <f>B239</f>
        <v>Internal combustion engine</v>
      </c>
      <c r="H241" s="78" t="str">
        <f>C241</f>
        <v>CHP</v>
      </c>
      <c r="I241" s="165" t="str">
        <f t="shared" si="79"/>
        <v>S</v>
      </c>
      <c r="J241" s="78">
        <v>0.34305317324185247</v>
      </c>
      <c r="K241" s="78">
        <v>0.343057411589688</v>
      </c>
      <c r="L241" s="78">
        <v>0.3430618568653907</v>
      </c>
      <c r="M241" s="78">
        <v>0.34306651862732562</v>
      </c>
      <c r="N241" s="78">
        <v>0.34307140681968312</v>
      </c>
      <c r="O241" s="78">
        <v>0.34307653178226932</v>
      </c>
      <c r="P241" s="78">
        <v>0.34308190425989432</v>
      </c>
      <c r="Q241" s="78">
        <v>0.34308753541126469</v>
      </c>
      <c r="R241" s="78">
        <v>0.343093436817277</v>
      </c>
      <c r="S241" s="78">
        <v>0.34309962048859916</v>
      </c>
      <c r="T241" s="78">
        <v>0.34310609887241461</v>
      </c>
      <c r="U241" s="78">
        <v>0.34311288485819624</v>
      </c>
      <c r="V241" s="78">
        <v>0.34311999178236041</v>
      </c>
      <c r="W241" s="78">
        <v>0.34312743343164603</v>
      </c>
      <c r="X241" s="78">
        <v>0.3431352240450446</v>
      </c>
      <c r="Y241" s="78">
        <v>0.34314337831409891</v>
      </c>
      <c r="Z241" s="78">
        <v>0.34315191138137346</v>
      </c>
      <c r="AA241" s="78">
        <v>0.34316083883688686</v>
      </c>
      <c r="AB241" s="78">
        <v>0.34317017671228384</v>
      </c>
      <c r="AC241" s="78">
        <v>0.34317994147251046</v>
      </c>
      <c r="AD241" s="78">
        <v>0.3431901500047469</v>
      </c>
      <c r="AE241" s="78">
        <v>0.34320081960433707</v>
      </c>
      <c r="AF241" s="78">
        <v>0.34321196795744596</v>
      </c>
      <c r="AG241" s="78">
        <v>0.34322361312016614</v>
      </c>
      <c r="AH241" s="78">
        <v>0.34323577349378542</v>
      </c>
      <c r="AI241" s="78">
        <v>0.34324846779592455</v>
      </c>
      <c r="AJ241" s="78">
        <v>0.34326171502724823</v>
      </c>
      <c r="AK241" s="78">
        <v>0.34327553443345332</v>
      </c>
      <c r="AL241" s="78">
        <v>0.34328994546224073</v>
      </c>
      <c r="AM241" s="78">
        <v>0.34330496771498525</v>
      </c>
      <c r="AN241" s="78">
        <v>0.3433206208928265</v>
      </c>
      <c r="AO241" s="78">
        <v>0.34333692473692368</v>
      </c>
      <c r="AP241" s="78">
        <v>0.34335389896263668</v>
      </c>
      <c r="AQ241" s="78">
        <v>0.34337156318742473</v>
      </c>
      <c r="AR241" s="78">
        <v>0.3433899368522893</v>
      </c>
      <c r="AS241" s="78">
        <v>0.34340903913663129</v>
      </c>
      <c r="AT241" s="78">
        <v>0.34342888886644091</v>
      </c>
      <c r="AU241" s="78">
        <v>0.34344950441579997</v>
      </c>
      <c r="AV241" s="78">
        <v>0.34347090360174293</v>
      </c>
      <c r="AW241" s="78">
        <v>0.34349310357259949</v>
      </c>
      <c r="AX241" s="86">
        <v>0.34351612069002918</v>
      </c>
    </row>
    <row r="242" spans="1:50" x14ac:dyDescent="0.25">
      <c r="A242" s="356"/>
      <c r="B242" s="362"/>
      <c r="C242" s="354"/>
      <c r="D242" s="4" t="s">
        <v>20</v>
      </c>
      <c r="E242" s="168" t="str">
        <f>A209&amp;"/"&amp;B239&amp;"/"&amp;C241&amp;"/"&amp;D242</f>
        <v>Gas fired power plants (Natural gas, biogas)/Internal combustion engine/CHP/XS</v>
      </c>
      <c r="F242" s="80" t="str">
        <f>A209</f>
        <v>Gas fired power plants (Natural gas, biogas)</v>
      </c>
      <c r="G242" s="80" t="str">
        <f>B239</f>
        <v>Internal combustion engine</v>
      </c>
      <c r="H242" s="80" t="str">
        <f>C241</f>
        <v>CHP</v>
      </c>
      <c r="I242" s="169" t="str">
        <f t="shared" si="79"/>
        <v>XS</v>
      </c>
      <c r="J242" s="80">
        <v>0.32671730784938324</v>
      </c>
      <c r="K242" s="80">
        <v>0.32672134437113143</v>
      </c>
      <c r="L242" s="80">
        <v>0.32672557796703877</v>
      </c>
      <c r="M242" s="80">
        <v>0.32673001774031002</v>
      </c>
      <c r="N242" s="80">
        <v>0.32673467316160293</v>
      </c>
      <c r="O242" s="80">
        <v>0.3267395540783517</v>
      </c>
      <c r="P242" s="80">
        <v>0.32674467072370883</v>
      </c>
      <c r="Q242" s="80">
        <v>0.32675003372501399</v>
      </c>
      <c r="R242" s="80">
        <v>0.32675565411169233</v>
      </c>
      <c r="S242" s="80">
        <v>0.32676154332247531</v>
      </c>
      <c r="T242" s="80">
        <v>0.32676771321182341</v>
      </c>
      <c r="U242" s="80">
        <v>0.32677417605542491</v>
      </c>
      <c r="V242" s="80">
        <v>0.32678094455462886</v>
      </c>
      <c r="W242" s="80">
        <v>0.32678803183966287</v>
      </c>
      <c r="X242" s="80">
        <v>0.32679545147147099</v>
      </c>
      <c r="Y242" s="80">
        <v>0.32680321744199886</v>
      </c>
      <c r="Z242" s="80">
        <v>0.32681134417273655</v>
      </c>
      <c r="AA242" s="80">
        <v>0.32681984651132079</v>
      </c>
      <c r="AB242" s="80">
        <v>0.32682873972598459</v>
      </c>
      <c r="AC242" s="80">
        <v>0.32683803949762891</v>
      </c>
      <c r="AD242" s="80">
        <v>0.32684776190928272</v>
      </c>
      <c r="AE242" s="80">
        <v>0.32685792343270192</v>
      </c>
      <c r="AF242" s="80">
        <v>0.3268685409118533</v>
      </c>
      <c r="AG242" s="80">
        <v>0.32687963154301536</v>
      </c>
      <c r="AH242" s="80">
        <v>0.32689121285122419</v>
      </c>
      <c r="AI242" s="80">
        <v>0.32690330266278522</v>
      </c>
      <c r="AJ242" s="80">
        <v>0.32691591907356971</v>
      </c>
      <c r="AK242" s="80">
        <v>0.3269290804128126</v>
      </c>
      <c r="AL242" s="80">
        <v>0.32694280520213398</v>
      </c>
      <c r="AM242" s="80">
        <v>0.32695711210950967</v>
      </c>
      <c r="AN242" s="80">
        <v>0.32697201989792996</v>
      </c>
      <c r="AO242" s="80">
        <v>0.32698754736849872</v>
      </c>
      <c r="AP242" s="80">
        <v>0.32700371329774919</v>
      </c>
      <c r="AQ242" s="80">
        <v>0.32702053636897588</v>
      </c>
      <c r="AR242" s="80">
        <v>0.32703803509741841</v>
      </c>
      <c r="AS242" s="80">
        <v>0.32705622774917265</v>
      </c>
      <c r="AT242" s="80">
        <v>0.32707513225375323</v>
      </c>
      <c r="AU242" s="80">
        <v>0.32709476611028565</v>
      </c>
      <c r="AV242" s="80">
        <v>0.32711514628737415</v>
      </c>
      <c r="AW242" s="80">
        <v>0.32713628911676135</v>
      </c>
      <c r="AX242" s="88">
        <v>0.32715821018098012</v>
      </c>
    </row>
    <row r="243" spans="1:50" x14ac:dyDescent="0.25">
      <c r="A243" s="355" t="s">
        <v>26</v>
      </c>
      <c r="B243" s="358" t="s">
        <v>19</v>
      </c>
      <c r="C243" s="353" t="s">
        <v>6</v>
      </c>
      <c r="D243" s="3" t="s">
        <v>7</v>
      </c>
      <c r="E243" s="162" t="str">
        <f>A243&amp;"/"&amp;B243&amp;"/"&amp;C243&amp;"/"&amp;D243</f>
        <v>Derived gas fired power plants/Steam turbine/Electricity only/L</v>
      </c>
      <c r="F243" s="77" t="str">
        <f>A243</f>
        <v>Derived gas fired power plants</v>
      </c>
      <c r="G243" s="77" t="str">
        <f>B243</f>
        <v>Steam turbine</v>
      </c>
      <c r="H243" s="77" t="str">
        <f>C243</f>
        <v>Electricity only</v>
      </c>
      <c r="I243" s="163" t="str">
        <f t="shared" si="79"/>
        <v>L</v>
      </c>
      <c r="J243" s="77">
        <v>0.35398230088495575</v>
      </c>
      <c r="K243" s="77">
        <v>0.35399488202445051</v>
      </c>
      <c r="L243" s="77">
        <v>0.35400719209430298</v>
      </c>
      <c r="M243" s="77">
        <v>0.35401923438991484</v>
      </c>
      <c r="N243" s="77">
        <v>0.35403101230157002</v>
      </c>
      <c r="O243" s="77">
        <v>0.35404252930591762</v>
      </c>
      <c r="P243" s="77">
        <v>0.35405378895771206</v>
      </c>
      <c r="Q243" s="77">
        <v>0.35406479488182124</v>
      </c>
      <c r="R243" s="77">
        <v>0.3540755507655059</v>
      </c>
      <c r="S243" s="77">
        <v>0.35408606035097728</v>
      </c>
      <c r="T243" s="77">
        <v>0.35409632742823388</v>
      </c>
      <c r="U243" s="77">
        <v>0.35410635582818067</v>
      </c>
      <c r="V243" s="77">
        <v>0.35411614941603253</v>
      </c>
      <c r="W243" s="77">
        <v>0.35412571208499916</v>
      </c>
      <c r="X243" s="77">
        <v>0.35413504775025395</v>
      </c>
      <c r="Y243" s="77">
        <v>0.35414416034318102</v>
      </c>
      <c r="Z243" s="77">
        <v>0.35415305380590151</v>
      </c>
      <c r="AA243" s="77">
        <v>0.35416173208607271</v>
      </c>
      <c r="AB243" s="77">
        <v>0.3541701991319573</v>
      </c>
      <c r="AC243" s="77">
        <v>0.35417845888775751</v>
      </c>
      <c r="AD243" s="77">
        <v>0.35418651528920997</v>
      </c>
      <c r="AE243" s="77">
        <v>0.35419437225943357</v>
      </c>
      <c r="AF243" s="77">
        <v>0.35420203370502651</v>
      </c>
      <c r="AG243" s="77">
        <v>0.3542095035124041</v>
      </c>
      <c r="AH243" s="77">
        <v>0.35421678554437253</v>
      </c>
      <c r="AI243" s="77">
        <v>0.35422388363692964</v>
      </c>
      <c r="AJ243" s="77">
        <v>0.35423080159628745</v>
      </c>
      <c r="AK243" s="77">
        <v>0.35423754319610701</v>
      </c>
      <c r="AL243" s="77">
        <v>0.35424411217494106</v>
      </c>
      <c r="AM243" s="77">
        <v>0.35425051223387388</v>
      </c>
      <c r="AN243" s="77">
        <v>0.35425674703435228</v>
      </c>
      <c r="AO243" s="77">
        <v>0.35426282019620181</v>
      </c>
      <c r="AP243" s="77">
        <v>0.35426873529581671</v>
      </c>
      <c r="AQ243" s="77">
        <v>0.35427449586451992</v>
      </c>
      <c r="AR243" s="77">
        <v>0.35428010538708404</v>
      </c>
      <c r="AS243" s="77">
        <v>0.35428556730040628</v>
      </c>
      <c r="AT243" s="77">
        <v>0.35429088499232897</v>
      </c>
      <c r="AU243" s="77">
        <v>0.35429606180060125</v>
      </c>
      <c r="AV243" s="77">
        <v>0.35430110101197287</v>
      </c>
      <c r="AW243" s="77">
        <v>0.35430600586141298</v>
      </c>
      <c r="AX243" s="85">
        <v>0.35431077953144946</v>
      </c>
    </row>
    <row r="244" spans="1:50" x14ac:dyDescent="0.25">
      <c r="A244" s="356"/>
      <c r="B244" s="359"/>
      <c r="C244" s="350"/>
      <c r="D244" s="2" t="s">
        <v>8</v>
      </c>
      <c r="E244" s="160" t="str">
        <f>A243&amp;"/"&amp;B243&amp;"/"&amp;C243&amp;"/"&amp;D244</f>
        <v>Derived gas fired power plants/Steam turbine/Electricity only/M</v>
      </c>
      <c r="F244" s="76" t="str">
        <f>A243</f>
        <v>Derived gas fired power plants</v>
      </c>
      <c r="G244" s="76" t="str">
        <f>B243</f>
        <v>Steam turbine</v>
      </c>
      <c r="H244" s="76" t="str">
        <f>C243</f>
        <v>Electricity only</v>
      </c>
      <c r="I244" s="161" t="str">
        <f t="shared" si="79"/>
        <v>M</v>
      </c>
      <c r="J244" s="76">
        <v>0.33712600084281497</v>
      </c>
      <c r="K244" s="76">
        <v>0.33713498773032013</v>
      </c>
      <c r="L244" s="76">
        <v>0.33714378168434145</v>
      </c>
      <c r="M244" s="76">
        <v>0.33715238501370459</v>
      </c>
      <c r="N244" s="76">
        <v>0.33716080009675364</v>
      </c>
      <c r="O244" s="76">
        <v>0.33716902937524751</v>
      </c>
      <c r="P244" s="76">
        <v>0.33717707534843833</v>
      </c>
      <c r="Q244" s="76">
        <v>0.33718494056733728</v>
      </c>
      <c r="R244" s="76">
        <v>0.33719262762917113</v>
      </c>
      <c r="S244" s="76">
        <v>0.33720013917203523</v>
      </c>
      <c r="T244" s="76">
        <v>0.3372074778697427</v>
      </c>
      <c r="U244" s="76">
        <v>0.33721464642687515</v>
      </c>
      <c r="V244" s="76">
        <v>0.33722164757403228</v>
      </c>
      <c r="W244" s="76">
        <v>0.3372284840632836</v>
      </c>
      <c r="X244" s="76">
        <v>0.33723515866381937</v>
      </c>
      <c r="Y244" s="76">
        <v>0.33724167415780121</v>
      </c>
      <c r="Z244" s="76">
        <v>0.33724803333641035</v>
      </c>
      <c r="AA244" s="76">
        <v>0.33725423899609014</v>
      </c>
      <c r="AB244" s="76">
        <v>0.3372602939349818</v>
      </c>
      <c r="AC244" s="76">
        <v>0.33726620094954907</v>
      </c>
      <c r="AD244" s="76">
        <v>0.33727196283138777</v>
      </c>
      <c r="AE244" s="76">
        <v>0.3372775823642184</v>
      </c>
      <c r="AF244" s="76">
        <v>0.33728306232105509</v>
      </c>
      <c r="AG244" s="76">
        <v>0.33728840546154798</v>
      </c>
      <c r="AH244" s="76">
        <v>0.33729361452949358</v>
      </c>
      <c r="AI244" s="76">
        <v>0.33729869225050929</v>
      </c>
      <c r="AJ244" s="76">
        <v>0.33730364132986568</v>
      </c>
      <c r="AK244" s="76">
        <v>0.33730846445047163</v>
      </c>
      <c r="AL244" s="76">
        <v>0.33731316427100899</v>
      </c>
      <c r="AM244" s="76">
        <v>0.33731774342420817</v>
      </c>
      <c r="AN244" s="76">
        <v>0.33732220451526274</v>
      </c>
      <c r="AO244" s="76">
        <v>0.33732655012037449</v>
      </c>
      <c r="AP244" s="76">
        <v>0.33733078278542689</v>
      </c>
      <c r="AQ244" s="76">
        <v>0.33733490502477875</v>
      </c>
      <c r="AR244" s="76">
        <v>0.33733891932017435</v>
      </c>
      <c r="AS244" s="76">
        <v>0.3373428281197649</v>
      </c>
      <c r="AT244" s="76">
        <v>0.33734663383723551</v>
      </c>
      <c r="AU244" s="76">
        <v>0.33735033885103244</v>
      </c>
      <c r="AV244" s="76">
        <v>0.33735394550368741</v>
      </c>
      <c r="AW244" s="76">
        <v>0.33735745610123191</v>
      </c>
      <c r="AX244" s="84">
        <v>0.3373608729126979</v>
      </c>
    </row>
    <row r="245" spans="1:50" x14ac:dyDescent="0.25">
      <c r="A245" s="356"/>
      <c r="B245" s="359"/>
      <c r="C245" s="350"/>
      <c r="D245" s="2" t="s">
        <v>10</v>
      </c>
      <c r="E245" s="160" t="str">
        <f>A243&amp;"/"&amp;B243&amp;"/"&amp;C243&amp;"/"&amp;D245</f>
        <v>Derived gas fired power plants/Steam turbine/Electricity only/S</v>
      </c>
      <c r="F245" s="76" t="str">
        <f>A243</f>
        <v>Derived gas fired power plants</v>
      </c>
      <c r="G245" s="76" t="str">
        <f>B243</f>
        <v>Steam turbine</v>
      </c>
      <c r="H245" s="76" t="str">
        <f>C243</f>
        <v>Electricity only</v>
      </c>
      <c r="I245" s="161" t="str">
        <f t="shared" si="79"/>
        <v>S</v>
      </c>
      <c r="J245" s="76">
        <v>0.32107238175506181</v>
      </c>
      <c r="K245" s="76">
        <v>0.32107951434805204</v>
      </c>
      <c r="L245" s="76">
        <v>0.32108649409219131</v>
      </c>
      <c r="M245" s="76">
        <v>0.32109332280207187</v>
      </c>
      <c r="N245" s="76">
        <v>0.32110000234814334</v>
      </c>
      <c r="O245" s="76">
        <v>0.32110653465186179</v>
      </c>
      <c r="P245" s="76">
        <v>0.32111292168098193</v>
      </c>
      <c r="Q245" s="76">
        <v>0.32111916544499625</v>
      </c>
      <c r="R245" s="76">
        <v>0.32112526799072488</v>
      </c>
      <c r="S245" s="76">
        <v>0.32113123139805994</v>
      </c>
      <c r="T245" s="76">
        <v>0.32113705777586515</v>
      </c>
      <c r="U245" s="76">
        <v>0.32114274925803354</v>
      </c>
      <c r="V245" s="76">
        <v>0.32114830799970367</v>
      </c>
      <c r="W245" s="76">
        <v>0.32115373617363413</v>
      </c>
      <c r="X245" s="76">
        <v>0.32115903596673717</v>
      </c>
      <c r="Y245" s="76">
        <v>0.32116420957676922</v>
      </c>
      <c r="Z245" s="76">
        <v>0.32116925920917849</v>
      </c>
      <c r="AA245" s="76">
        <v>0.32117418707410622</v>
      </c>
      <c r="AB245" s="76">
        <v>0.32117899538354155</v>
      </c>
      <c r="AC245" s="76">
        <v>0.32118368634862537</v>
      </c>
      <c r="AD245" s="76">
        <v>0.32118826217710278</v>
      </c>
      <c r="AE245" s="76">
        <v>0.32119272507091773</v>
      </c>
      <c r="AF245" s="76">
        <v>0.32119707722395058</v>
      </c>
      <c r="AG245" s="76">
        <v>0.32120132081989217</v>
      </c>
      <c r="AH245" s="76">
        <v>0.3212054580302518</v>
      </c>
      <c r="AI245" s="76">
        <v>0.32120949101249452</v>
      </c>
      <c r="AJ245" s="76">
        <v>0.32121342190830565</v>
      </c>
      <c r="AK245" s="76">
        <v>0.32121725284197616</v>
      </c>
      <c r="AL245" s="76">
        <v>0.32122098591890591</v>
      </c>
      <c r="AM245" s="76">
        <v>0.32122462322422113</v>
      </c>
      <c r="AN245" s="76">
        <v>0.32122816682150074</v>
      </c>
      <c r="AO245" s="76">
        <v>0.32123161875160777</v>
      </c>
      <c r="AP245" s="76">
        <v>0.32123498103162268</v>
      </c>
      <c r="AQ245" s="76">
        <v>0.32123825565387187</v>
      </c>
      <c r="AR245" s="76">
        <v>0.32124144458505033</v>
      </c>
      <c r="AS245" s="76">
        <v>0.32124454976543138</v>
      </c>
      <c r="AT245" s="76">
        <v>0.32124757310816227</v>
      </c>
      <c r="AU245" s="76">
        <v>0.32125051649863889</v>
      </c>
      <c r="AV245" s="76">
        <v>0.3212533817939574</v>
      </c>
      <c r="AW245" s="76">
        <v>0.32125617082243901</v>
      </c>
      <c r="AX245" s="84">
        <v>0.3212588853832225</v>
      </c>
    </row>
    <row r="246" spans="1:50" x14ac:dyDescent="0.25">
      <c r="A246" s="356"/>
      <c r="B246" s="359"/>
      <c r="C246" s="360"/>
      <c r="D246" s="2" t="s">
        <v>20</v>
      </c>
      <c r="E246" s="160" t="str">
        <f>A243&amp;"/"&amp;B243&amp;"/"&amp;C243&amp;"/"&amp;D246</f>
        <v>Derived gas fired power plants/Steam turbine/Electricity only/XS</v>
      </c>
      <c r="F246" s="76" t="str">
        <f>A243</f>
        <v>Derived gas fired power plants</v>
      </c>
      <c r="G246" s="76" t="str">
        <f>B243</f>
        <v>Steam turbine</v>
      </c>
      <c r="H246" s="76" t="str">
        <f>C243</f>
        <v>Electricity only</v>
      </c>
      <c r="I246" s="161" t="str">
        <f t="shared" si="79"/>
        <v>XS</v>
      </c>
      <c r="J246" s="76">
        <v>0.30578322071910652</v>
      </c>
      <c r="K246" s="76">
        <v>0.30578660403294677</v>
      </c>
      <c r="L246" s="76">
        <v>0.30578990470413553</v>
      </c>
      <c r="M246" s="76">
        <v>0.30579312429204653</v>
      </c>
      <c r="N246" s="76">
        <v>0.30579626435163071</v>
      </c>
      <c r="O246" s="76">
        <v>0.30579932643183927</v>
      </c>
      <c r="P246" s="76">
        <v>0.30580231207414399</v>
      </c>
      <c r="Q246" s="76">
        <v>0.30580522281114964</v>
      </c>
      <c r="R246" s="76">
        <v>0.30580806016529893</v>
      </c>
      <c r="S246" s="76">
        <v>0.30581082564766399</v>
      </c>
      <c r="T246" s="76">
        <v>0.30581352075682411</v>
      </c>
      <c r="U246" s="76">
        <v>0.30581614697782544</v>
      </c>
      <c r="V246" s="76">
        <v>0.30581870578122028</v>
      </c>
      <c r="W246" s="76">
        <v>0.30582119862218277</v>
      </c>
      <c r="X246" s="76">
        <v>0.30582362693969789</v>
      </c>
      <c r="Y246" s="76">
        <v>0.30582599215582179</v>
      </c>
      <c r="Z246" s="76">
        <v>0.30582829567500852</v>
      </c>
      <c r="AA246" s="76">
        <v>0.30583053888350265</v>
      </c>
      <c r="AB246" s="76">
        <v>0.30583272314879284</v>
      </c>
      <c r="AC246" s="76">
        <v>0.30583484981912501</v>
      </c>
      <c r="AD246" s="76">
        <v>0.3058369202230708</v>
      </c>
      <c r="AE246" s="76">
        <v>0.30583893566915099</v>
      </c>
      <c r="AF246" s="76">
        <v>0.30584089744550735</v>
      </c>
      <c r="AG246" s="76">
        <v>0.30584280681962506</v>
      </c>
      <c r="AH246" s="76">
        <v>0.3058446650380986</v>
      </c>
      <c r="AI246" s="76">
        <v>0.30584647332644183</v>
      </c>
      <c r="AJ246" s="76">
        <v>0.30584823288893837</v>
      </c>
      <c r="AK246" s="76">
        <v>0.30584994490852996</v>
      </c>
      <c r="AL246" s="76">
        <v>0.30585161054674143</v>
      </c>
      <c r="AM246" s="76">
        <v>0.30585323094363848</v>
      </c>
      <c r="AN246" s="76">
        <v>0.30585480721781805</v>
      </c>
      <c r="AO246" s="76">
        <v>0.30585634046642785</v>
      </c>
      <c r="AP246" s="76">
        <v>0.30585783176521336</v>
      </c>
      <c r="AQ246" s="76">
        <v>0.30585928216859098</v>
      </c>
      <c r="AR246" s="76">
        <v>0.3058606927097452</v>
      </c>
      <c r="AS246" s="76">
        <v>0.30586206440074715</v>
      </c>
      <c r="AT246" s="76">
        <v>0.30586339823269476</v>
      </c>
      <c r="AU246" s="76">
        <v>0.30586469517587145</v>
      </c>
      <c r="AV246" s="76">
        <v>0.30586595617992191</v>
      </c>
      <c r="AW246" s="76">
        <v>0.30586718217404435</v>
      </c>
      <c r="AX246" s="84">
        <v>0.30586837406719736</v>
      </c>
    </row>
    <row r="247" spans="1:50" x14ac:dyDescent="0.25">
      <c r="A247" s="356"/>
      <c r="B247" s="359"/>
      <c r="C247" s="361" t="s">
        <v>14</v>
      </c>
      <c r="D247" s="58" t="s">
        <v>7</v>
      </c>
      <c r="E247" s="164" t="str">
        <f>A243&amp;"/"&amp;B243&amp;"/"&amp;C247&amp;"/"&amp;D247</f>
        <v>Derived gas fired power plants/Steam turbine/CHP/L</v>
      </c>
      <c r="F247" s="78" t="str">
        <f>A243</f>
        <v>Derived gas fired power plants</v>
      </c>
      <c r="G247" s="78" t="str">
        <f>B243</f>
        <v>Steam turbine</v>
      </c>
      <c r="H247" s="78" t="str">
        <f>C247</f>
        <v>CHP</v>
      </c>
      <c r="I247" s="165" t="str">
        <f t="shared" si="79"/>
        <v>L</v>
      </c>
      <c r="J247" s="78">
        <v>0.32180209171359608</v>
      </c>
      <c r="K247" s="78">
        <v>0.32180746918859748</v>
      </c>
      <c r="L247" s="78">
        <v>0.32181276069314907</v>
      </c>
      <c r="M247" s="78">
        <v>0.32181796723845968</v>
      </c>
      <c r="N247" s="78">
        <v>0.32182308983703217</v>
      </c>
      <c r="O247" s="78">
        <v>0.32182812950208362</v>
      </c>
      <c r="P247" s="78">
        <v>0.321833087246986</v>
      </c>
      <c r="Q247" s="78">
        <v>0.32183796408472692</v>
      </c>
      <c r="R247" s="78">
        <v>0.3218427610273909</v>
      </c>
      <c r="S247" s="78">
        <v>0.32184747908565936</v>
      </c>
      <c r="T247" s="78">
        <v>0.32185211926833068</v>
      </c>
      <c r="U247" s="78">
        <v>0.32185668258185901</v>
      </c>
      <c r="V247" s="78">
        <v>0.32186117002991221</v>
      </c>
      <c r="W247" s="78">
        <v>0.32186558261294762</v>
      </c>
      <c r="X247" s="78">
        <v>0.32186992132780606</v>
      </c>
      <c r="Y247" s="78">
        <v>0.32187418716732419</v>
      </c>
      <c r="Z247" s="78">
        <v>0.3218783811199632</v>
      </c>
      <c r="AA247" s="78">
        <v>0.32188250416945557</v>
      </c>
      <c r="AB247" s="78">
        <v>0.32188655729446747</v>
      </c>
      <c r="AC247" s="78">
        <v>0.32189054146827839</v>
      </c>
      <c r="AD247" s="78">
        <v>0.32189445765847585</v>
      </c>
      <c r="AE247" s="78">
        <v>0.3218983068266662</v>
      </c>
      <c r="AF247" s="78">
        <v>0.32190208992820046</v>
      </c>
      <c r="AG247" s="78">
        <v>0.32190580791191442</v>
      </c>
      <c r="AH247" s="78">
        <v>0.32190946171988399</v>
      </c>
      <c r="AI247" s="78">
        <v>0.32191305228719386</v>
      </c>
      <c r="AJ247" s="78">
        <v>0.32191658054171968</v>
      </c>
      <c r="AK247" s="78">
        <v>0.32192004740392471</v>
      </c>
      <c r="AL247" s="78">
        <v>0.32192345378666715</v>
      </c>
      <c r="AM247" s="78">
        <v>0.32192680059502216</v>
      </c>
      <c r="AN247" s="78">
        <v>0.32193008872611467</v>
      </c>
      <c r="AO247" s="78">
        <v>0.32193331906896439</v>
      </c>
      <c r="AP247" s="78">
        <v>0.32193649250434198</v>
      </c>
      <c r="AQ247" s="78">
        <v>0.32193960990463616</v>
      </c>
      <c r="AR247" s="78">
        <v>0.32194267213373218</v>
      </c>
      <c r="AS247" s="78">
        <v>0.32194568004689939</v>
      </c>
      <c r="AT247" s="78">
        <v>0.32194863449069</v>
      </c>
      <c r="AU247" s="78">
        <v>0.32195153630284656</v>
      </c>
      <c r="AV247" s="78">
        <v>0.32195438631221879</v>
      </c>
      <c r="AW247" s="78">
        <v>0.32195718533869022</v>
      </c>
      <c r="AX247" s="86">
        <v>0.32195993419311214</v>
      </c>
    </row>
    <row r="248" spans="1:50" x14ac:dyDescent="0.25">
      <c r="A248" s="356"/>
      <c r="B248" s="359"/>
      <c r="C248" s="350"/>
      <c r="D248" s="2" t="s">
        <v>8</v>
      </c>
      <c r="E248" s="160" t="str">
        <f>A243&amp;"/"&amp;B243&amp;"/"&amp;C247&amp;"/"&amp;D248</f>
        <v>Derived gas fired power plants/Steam turbine/CHP/M</v>
      </c>
      <c r="F248" s="76" t="str">
        <f>A243</f>
        <v>Derived gas fired power plants</v>
      </c>
      <c r="G248" s="76" t="str">
        <f>B243</f>
        <v>Steam turbine</v>
      </c>
      <c r="H248" s="76" t="str">
        <f>C247</f>
        <v>CHP</v>
      </c>
      <c r="I248" s="161" t="str">
        <f t="shared" si="79"/>
        <v>M</v>
      </c>
      <c r="J248" s="76">
        <v>0.3064781825843772</v>
      </c>
      <c r="K248" s="76">
        <v>0.30648128573629585</v>
      </c>
      <c r="L248" s="76">
        <v>0.30648433714325624</v>
      </c>
      <c r="M248" s="76">
        <v>0.30648733749339147</v>
      </c>
      <c r="N248" s="76">
        <v>0.306490287472102</v>
      </c>
      <c r="O248" s="76">
        <v>0.30649318776179824</v>
      </c>
      <c r="P248" s="76">
        <v>0.3064960390416554</v>
      </c>
      <c r="Q248" s="76">
        <v>0.30649884198737992</v>
      </c>
      <c r="R248" s="76">
        <v>0.30650159727098714</v>
      </c>
      <c r="S248" s="76">
        <v>0.30650430556058944</v>
      </c>
      <c r="T248" s="76">
        <v>0.30650696752019579</v>
      </c>
      <c r="U248" s="76">
        <v>0.30650958380952148</v>
      </c>
      <c r="V248" s="76">
        <v>0.30651215508380769</v>
      </c>
      <c r="W248" s="76">
        <v>0.30651468199365178</v>
      </c>
      <c r="X248" s="76">
        <v>0.3065171651848464</v>
      </c>
      <c r="Y248" s="76">
        <v>0.30651960529822853</v>
      </c>
      <c r="Z248" s="76">
        <v>0.30652200296953802</v>
      </c>
      <c r="AA248" s="76">
        <v>0.30652435882928369</v>
      </c>
      <c r="AB248" s="76">
        <v>0.30652667350261964</v>
      </c>
      <c r="AC248" s="76">
        <v>0.30652894760922872</v>
      </c>
      <c r="AD248" s="76">
        <v>0.3065311817632152</v>
      </c>
      <c r="AE248" s="76">
        <v>0.30653337657300395</v>
      </c>
      <c r="AF248" s="76">
        <v>0.30653553264124883</v>
      </c>
      <c r="AG248" s="76">
        <v>0.30653765056474686</v>
      </c>
      <c r="AH248" s="76">
        <v>0.30653973093436088</v>
      </c>
      <c r="AI248" s="76">
        <v>0.30654177433494817</v>
      </c>
      <c r="AJ248" s="76">
        <v>0.3065437813452962</v>
      </c>
      <c r="AK248" s="76">
        <v>0.30654575253806438</v>
      </c>
      <c r="AL248" s="76">
        <v>0.30654768847973279</v>
      </c>
      <c r="AM248" s="76">
        <v>0.30654958973055552</v>
      </c>
      <c r="AN248" s="76">
        <v>0.30655145684452151</v>
      </c>
      <c r="AO248" s="76">
        <v>0.30655329036931928</v>
      </c>
      <c r="AP248" s="76">
        <v>0.306555090846308</v>
      </c>
      <c r="AQ248" s="76">
        <v>0.30655685881049316</v>
      </c>
      <c r="AR248" s="76">
        <v>0.30655859479050768</v>
      </c>
      <c r="AS248" s="76">
        <v>0.30656029930859674</v>
      </c>
      <c r="AT248" s="76">
        <v>0.30656197288060832</v>
      </c>
      <c r="AU248" s="76">
        <v>0.30656361601598731</v>
      </c>
      <c r="AV248" s="76">
        <v>0.30656522921777368</v>
      </c>
      <c r="AW248" s="76">
        <v>0.30656681298260535</v>
      </c>
      <c r="AX248" s="84">
        <v>0.30656836780072383</v>
      </c>
    </row>
    <row r="249" spans="1:50" x14ac:dyDescent="0.25">
      <c r="A249" s="356"/>
      <c r="B249" s="359"/>
      <c r="C249" s="350"/>
      <c r="D249" s="2" t="s">
        <v>10</v>
      </c>
      <c r="E249" s="160" t="str">
        <f>A243&amp;"/"&amp;B243&amp;"/"&amp;C247&amp;"/"&amp;D249</f>
        <v>Derived gas fired power plants/Steam turbine/CHP/S</v>
      </c>
      <c r="F249" s="76" t="str">
        <f>A243</f>
        <v>Derived gas fired power plants</v>
      </c>
      <c r="G249" s="76" t="str">
        <f>B243</f>
        <v>Steam turbine</v>
      </c>
      <c r="H249" s="76" t="str">
        <f>C247</f>
        <v>CHP</v>
      </c>
      <c r="I249" s="161" t="str">
        <f t="shared" si="79"/>
        <v>S</v>
      </c>
      <c r="J249" s="76">
        <v>0.29188398341369254</v>
      </c>
      <c r="K249" s="76">
        <v>0.29188584952536495</v>
      </c>
      <c r="L249" s="76">
        <v>0.29188768314863084</v>
      </c>
      <c r="M249" s="76">
        <v>0.29188948476728205</v>
      </c>
      <c r="N249" s="76">
        <v>0.29189125486095352</v>
      </c>
      <c r="O249" s="76">
        <v>0.29189299390503681</v>
      </c>
      <c r="P249" s="76">
        <v>0.291894702370599</v>
      </c>
      <c r="Q249" s="76">
        <v>0.29189638072430812</v>
      </c>
      <c r="R249" s="76">
        <v>0.29189802942836457</v>
      </c>
      <c r="S249" s="76">
        <v>0.29189964894043741</v>
      </c>
      <c r="T249" s="76">
        <v>0.29190123971360649</v>
      </c>
      <c r="U249" s="76">
        <v>0.29190280219630999</v>
      </c>
      <c r="V249" s="76">
        <v>0.29190433683229677</v>
      </c>
      <c r="W249" s="76">
        <v>0.29190584406058329</v>
      </c>
      <c r="X249" s="76">
        <v>0.29190732431541577</v>
      </c>
      <c r="Y249" s="76">
        <v>0.29190877802623666</v>
      </c>
      <c r="Z249" s="76">
        <v>0.29191020561765529</v>
      </c>
      <c r="AA249" s="76">
        <v>0.2919116075094228</v>
      </c>
      <c r="AB249" s="76">
        <v>0.29191298411641164</v>
      </c>
      <c r="AC249" s="76">
        <v>0.29191433584859761</v>
      </c>
      <c r="AD249" s="76">
        <v>0.29191566311104705</v>
      </c>
      <c r="AE249" s="76">
        <v>0.2919169663039069</v>
      </c>
      <c r="AF249" s="76">
        <v>0.29191824582239806</v>
      </c>
      <c r="AG249" s="76">
        <v>0.29191950205681244</v>
      </c>
      <c r="AH249" s="76">
        <v>0.29192073539251262</v>
      </c>
      <c r="AI249" s="76">
        <v>0.29192194620993511</v>
      </c>
      <c r="AJ249" s="76">
        <v>0.29192313488459598</v>
      </c>
      <c r="AK249" s="76">
        <v>0.29192430178709922</v>
      </c>
      <c r="AL249" s="76">
        <v>0.2919254472831484</v>
      </c>
      <c r="AM249" s="76">
        <v>0.29192657173355963</v>
      </c>
      <c r="AN249" s="76">
        <v>0.29192767549427784</v>
      </c>
      <c r="AO249" s="76">
        <v>0.29192875891639491</v>
      </c>
      <c r="AP249" s="76">
        <v>0.2919298223461701</v>
      </c>
      <c r="AQ249" s="76">
        <v>0.29193086612505248</v>
      </c>
      <c r="AR249" s="76">
        <v>0.29193189058970448</v>
      </c>
      <c r="AS249" s="76">
        <v>0.2919328960720291</v>
      </c>
      <c r="AT249" s="76">
        <v>0.29193388289919653</v>
      </c>
      <c r="AU249" s="76">
        <v>0.29193485139367442</v>
      </c>
      <c r="AV249" s="76">
        <v>0.29193580187325824</v>
      </c>
      <c r="AW249" s="76">
        <v>0.2919367346511037</v>
      </c>
      <c r="AX249" s="84">
        <v>0.29193765003576083</v>
      </c>
    </row>
    <row r="250" spans="1:50" x14ac:dyDescent="0.25">
      <c r="A250" s="356"/>
      <c r="B250" s="359"/>
      <c r="C250" s="360"/>
      <c r="D250" s="59" t="s">
        <v>20</v>
      </c>
      <c r="E250" s="166" t="str">
        <f>A243&amp;"/"&amp;B243&amp;"/"&amp;C247&amp;"/"&amp;D250</f>
        <v>Derived gas fired power plants/Steam turbine/CHP/XS</v>
      </c>
      <c r="F250" s="79" t="str">
        <f>A243</f>
        <v>Derived gas fired power plants</v>
      </c>
      <c r="G250" s="79" t="str">
        <f>B243</f>
        <v>Steam turbine</v>
      </c>
      <c r="H250" s="79" t="str">
        <f>C247</f>
        <v>CHP</v>
      </c>
      <c r="I250" s="167" t="str">
        <f t="shared" si="79"/>
        <v>XS</v>
      </c>
      <c r="J250" s="79">
        <v>0.27798474610827861</v>
      </c>
      <c r="K250" s="79">
        <v>0.27798570414262913</v>
      </c>
      <c r="L250" s="79">
        <v>0.27798664476518792</v>
      </c>
      <c r="M250" s="79">
        <v>0.27798756826330118</v>
      </c>
      <c r="N250" s="79">
        <v>0.27798847492067419</v>
      </c>
      <c r="O250" s="79">
        <v>0.27798936501737387</v>
      </c>
      <c r="P250" s="79">
        <v>0.27799023882983348</v>
      </c>
      <c r="Q250" s="79">
        <v>0.27799109663085975</v>
      </c>
      <c r="R250" s="79">
        <v>0.27799193868964134</v>
      </c>
      <c r="S250" s="79">
        <v>0.27799276527175981</v>
      </c>
      <c r="T250" s="79">
        <v>0.27799357663920138</v>
      </c>
      <c r="U250" s="79">
        <v>0.27799437305037122</v>
      </c>
      <c r="V250" s="79">
        <v>0.27799515476010861</v>
      </c>
      <c r="W250" s="79">
        <v>0.2779959220197038</v>
      </c>
      <c r="X250" s="79">
        <v>0.27799667507691672</v>
      </c>
      <c r="Y250" s="79">
        <v>0.27799741417599605</v>
      </c>
      <c r="Z250" s="79">
        <v>0.27799813955770064</v>
      </c>
      <c r="AA250" s="79">
        <v>0.27799885145932091</v>
      </c>
      <c r="AB250" s="79">
        <v>0.2779995501147024</v>
      </c>
      <c r="AC250" s="79">
        <v>0.27800023575426991</v>
      </c>
      <c r="AD250" s="79">
        <v>0.27800090860505239</v>
      </c>
      <c r="AE250" s="79">
        <v>0.27800156889070915</v>
      </c>
      <c r="AF250" s="79">
        <v>0.27800221683155679</v>
      </c>
      <c r="AG250" s="79">
        <v>0.27800285264459679</v>
      </c>
      <c r="AH250" s="79">
        <v>0.27800347654354396</v>
      </c>
      <c r="AI250" s="79">
        <v>0.27800408873885574</v>
      </c>
      <c r="AJ250" s="79">
        <v>0.27800468943776158</v>
      </c>
      <c r="AK250" s="79">
        <v>0.27800527884429355</v>
      </c>
      <c r="AL250" s="79">
        <v>0.27800585715931714</v>
      </c>
      <c r="AM250" s="79">
        <v>0.27800642458056268</v>
      </c>
      <c r="AN250" s="79">
        <v>0.27800698130265716</v>
      </c>
      <c r="AO250" s="79">
        <v>0.27800752751715607</v>
      </c>
      <c r="AP250" s="79">
        <v>0.27800806341257672</v>
      </c>
      <c r="AQ250" s="79">
        <v>0.2780085891744305</v>
      </c>
      <c r="AR250" s="79">
        <v>0.27800910498525633</v>
      </c>
      <c r="AS250" s="79">
        <v>0.27800961102465405</v>
      </c>
      <c r="AT250" s="79">
        <v>0.27801010746931831</v>
      </c>
      <c r="AU250" s="79">
        <v>0.27801059449307203</v>
      </c>
      <c r="AV250" s="79">
        <v>0.27801107226690075</v>
      </c>
      <c r="AW250" s="79">
        <v>0.27801154095898667</v>
      </c>
      <c r="AX250" s="87">
        <v>0.27801200073474286</v>
      </c>
    </row>
    <row r="251" spans="1:50" x14ac:dyDescent="0.25">
      <c r="A251" s="356"/>
      <c r="B251" s="359"/>
      <c r="C251" s="361" t="s">
        <v>15</v>
      </c>
      <c r="D251" s="58" t="s">
        <v>7</v>
      </c>
      <c r="E251" s="164" t="str">
        <f>A243&amp;"/"&amp;B243&amp;"/"&amp;C251&amp;"/"&amp;D251</f>
        <v>Derived gas fired power plants/Steam turbine/Electricity only with CCS/L</v>
      </c>
      <c r="F251" s="78" t="str">
        <f>A243</f>
        <v>Derived gas fired power plants</v>
      </c>
      <c r="G251" s="78" t="str">
        <f>B243</f>
        <v>Steam turbine</v>
      </c>
      <c r="H251" s="78" t="str">
        <f>C251</f>
        <v>Electricity only with CCS</v>
      </c>
      <c r="I251" s="165" t="str">
        <f t="shared" si="79"/>
        <v>L</v>
      </c>
      <c r="J251" s="78" t="s">
        <v>112</v>
      </c>
      <c r="K251" s="78" t="s">
        <v>112</v>
      </c>
      <c r="L251" s="78" t="s">
        <v>112</v>
      </c>
      <c r="M251" s="78" t="s">
        <v>112</v>
      </c>
      <c r="N251" s="78" t="s">
        <v>112</v>
      </c>
      <c r="O251" s="78" t="s">
        <v>112</v>
      </c>
      <c r="P251" s="78" t="s">
        <v>112</v>
      </c>
      <c r="Q251" s="78" t="s">
        <v>112</v>
      </c>
      <c r="R251" s="78" t="s">
        <v>112</v>
      </c>
      <c r="S251" s="78" t="s">
        <v>112</v>
      </c>
      <c r="T251" s="78" t="s">
        <v>112</v>
      </c>
      <c r="U251" s="78" t="s">
        <v>112</v>
      </c>
      <c r="V251" s="78" t="s">
        <v>112</v>
      </c>
      <c r="W251" s="78" t="s">
        <v>112</v>
      </c>
      <c r="X251" s="78" t="s">
        <v>112</v>
      </c>
      <c r="Y251" s="78" t="s">
        <v>112</v>
      </c>
      <c r="Z251" s="78" t="s">
        <v>112</v>
      </c>
      <c r="AA251" s="78" t="s">
        <v>112</v>
      </c>
      <c r="AB251" s="78" t="s">
        <v>112</v>
      </c>
      <c r="AC251" s="78" t="s">
        <v>112</v>
      </c>
      <c r="AD251" s="78" t="s">
        <v>112</v>
      </c>
      <c r="AE251" s="78">
        <v>0.33712600084281497</v>
      </c>
      <c r="AF251" s="78">
        <v>0.33712600084281497</v>
      </c>
      <c r="AG251" s="78">
        <v>0.33712600084281497</v>
      </c>
      <c r="AH251" s="78">
        <v>0.33712600084281497</v>
      </c>
      <c r="AI251" s="78">
        <v>0.33712600084281497</v>
      </c>
      <c r="AJ251" s="78">
        <v>0.33712600084281497</v>
      </c>
      <c r="AK251" s="78">
        <v>0.33712600084281497</v>
      </c>
      <c r="AL251" s="78">
        <v>0.33712600084281497</v>
      </c>
      <c r="AM251" s="78">
        <v>0.33712600084281497</v>
      </c>
      <c r="AN251" s="78">
        <v>0.33712600084281497</v>
      </c>
      <c r="AO251" s="78">
        <v>0.33712600084281497</v>
      </c>
      <c r="AP251" s="78">
        <v>0.33712600084281497</v>
      </c>
      <c r="AQ251" s="78">
        <v>0.33712600084281497</v>
      </c>
      <c r="AR251" s="78">
        <v>0.33712600084281497</v>
      </c>
      <c r="AS251" s="78">
        <v>0.33712600084281497</v>
      </c>
      <c r="AT251" s="78">
        <v>0.33712600084281497</v>
      </c>
      <c r="AU251" s="78">
        <v>0.33712600084281497</v>
      </c>
      <c r="AV251" s="78">
        <v>0.33712600084281497</v>
      </c>
      <c r="AW251" s="78">
        <v>0.33712600084281497</v>
      </c>
      <c r="AX251" s="86">
        <v>0.33712600084281497</v>
      </c>
    </row>
    <row r="252" spans="1:50" x14ac:dyDescent="0.25">
      <c r="A252" s="356"/>
      <c r="B252" s="359"/>
      <c r="C252" s="360"/>
      <c r="D252" s="59" t="s">
        <v>8</v>
      </c>
      <c r="E252" s="166" t="str">
        <f>A243&amp;"/"&amp;B243&amp;"/"&amp;C251&amp;"/"&amp;D252</f>
        <v>Derived gas fired power plants/Steam turbine/Electricity only with CCS/M</v>
      </c>
      <c r="F252" s="79" t="str">
        <f>A243</f>
        <v>Derived gas fired power plants</v>
      </c>
      <c r="G252" s="79" t="str">
        <f>B243</f>
        <v>Steam turbine</v>
      </c>
      <c r="H252" s="79" t="str">
        <f>C251</f>
        <v>Electricity only with CCS</v>
      </c>
      <c r="I252" s="167" t="str">
        <f t="shared" si="79"/>
        <v>M</v>
      </c>
      <c r="J252" s="79" t="s">
        <v>112</v>
      </c>
      <c r="K252" s="79" t="s">
        <v>112</v>
      </c>
      <c r="L252" s="79" t="s">
        <v>112</v>
      </c>
      <c r="M252" s="79" t="s">
        <v>112</v>
      </c>
      <c r="N252" s="79" t="s">
        <v>112</v>
      </c>
      <c r="O252" s="79" t="s">
        <v>112</v>
      </c>
      <c r="P252" s="79" t="s">
        <v>112</v>
      </c>
      <c r="Q252" s="79" t="s">
        <v>112</v>
      </c>
      <c r="R252" s="79" t="s">
        <v>112</v>
      </c>
      <c r="S252" s="79" t="s">
        <v>112</v>
      </c>
      <c r="T252" s="79" t="s">
        <v>112</v>
      </c>
      <c r="U252" s="79" t="s">
        <v>112</v>
      </c>
      <c r="V252" s="79" t="s">
        <v>112</v>
      </c>
      <c r="W252" s="79" t="s">
        <v>112</v>
      </c>
      <c r="X252" s="79" t="s">
        <v>112</v>
      </c>
      <c r="Y252" s="79" t="s">
        <v>112</v>
      </c>
      <c r="Z252" s="79" t="s">
        <v>112</v>
      </c>
      <c r="AA252" s="79" t="s">
        <v>112</v>
      </c>
      <c r="AB252" s="79" t="s">
        <v>112</v>
      </c>
      <c r="AC252" s="79" t="s">
        <v>112</v>
      </c>
      <c r="AD252" s="79" t="s">
        <v>112</v>
      </c>
      <c r="AE252" s="79">
        <v>0.32107238175506181</v>
      </c>
      <c r="AF252" s="79">
        <v>0.32107238175506181</v>
      </c>
      <c r="AG252" s="79">
        <v>0.32107238175506181</v>
      </c>
      <c r="AH252" s="79">
        <v>0.32107238175506181</v>
      </c>
      <c r="AI252" s="79">
        <v>0.32107238175506181</v>
      </c>
      <c r="AJ252" s="79">
        <v>0.32107238175506181</v>
      </c>
      <c r="AK252" s="79">
        <v>0.32107238175506181</v>
      </c>
      <c r="AL252" s="79">
        <v>0.32107238175506181</v>
      </c>
      <c r="AM252" s="79">
        <v>0.32107238175506181</v>
      </c>
      <c r="AN252" s="79">
        <v>0.32107238175506181</v>
      </c>
      <c r="AO252" s="79">
        <v>0.32107238175506181</v>
      </c>
      <c r="AP252" s="79">
        <v>0.32107238175506181</v>
      </c>
      <c r="AQ252" s="79">
        <v>0.32107238175506181</v>
      </c>
      <c r="AR252" s="79">
        <v>0.32107238175506181</v>
      </c>
      <c r="AS252" s="79">
        <v>0.32107238175506181</v>
      </c>
      <c r="AT252" s="79">
        <v>0.32107238175506181</v>
      </c>
      <c r="AU252" s="79">
        <v>0.32107238175506181</v>
      </c>
      <c r="AV252" s="79">
        <v>0.32107238175506181</v>
      </c>
      <c r="AW252" s="79">
        <v>0.32107238175506181</v>
      </c>
      <c r="AX252" s="87">
        <v>0.32107238175506181</v>
      </c>
    </row>
    <row r="253" spans="1:50" x14ac:dyDescent="0.25">
      <c r="A253" s="356"/>
      <c r="B253" s="359"/>
      <c r="C253" s="361" t="s">
        <v>16</v>
      </c>
      <c r="D253" s="2" t="s">
        <v>7</v>
      </c>
      <c r="E253" s="160" t="str">
        <f>A243&amp;"/"&amp;B243&amp;"/"&amp;C253&amp;"/"&amp;D253</f>
        <v>Derived gas fired power plants/Steam turbine/CHP with CCS/L</v>
      </c>
      <c r="F253" s="76" t="str">
        <f>A243</f>
        <v>Derived gas fired power plants</v>
      </c>
      <c r="G253" s="76" t="str">
        <f>B243</f>
        <v>Steam turbine</v>
      </c>
      <c r="H253" s="76" t="str">
        <f>C253</f>
        <v>CHP with CCS</v>
      </c>
      <c r="I253" s="161" t="str">
        <f t="shared" si="79"/>
        <v>L</v>
      </c>
      <c r="J253" s="76" t="s">
        <v>112</v>
      </c>
      <c r="K253" s="76" t="s">
        <v>112</v>
      </c>
      <c r="L253" s="76" t="s">
        <v>112</v>
      </c>
      <c r="M253" s="76" t="s">
        <v>112</v>
      </c>
      <c r="N253" s="76" t="s">
        <v>112</v>
      </c>
      <c r="O253" s="76" t="s">
        <v>112</v>
      </c>
      <c r="P253" s="76" t="s">
        <v>112</v>
      </c>
      <c r="Q253" s="76" t="s">
        <v>112</v>
      </c>
      <c r="R253" s="76" t="s">
        <v>112</v>
      </c>
      <c r="S253" s="76" t="s">
        <v>112</v>
      </c>
      <c r="T253" s="76" t="s">
        <v>112</v>
      </c>
      <c r="U253" s="76" t="s">
        <v>112</v>
      </c>
      <c r="V253" s="76" t="s">
        <v>112</v>
      </c>
      <c r="W253" s="76" t="s">
        <v>112</v>
      </c>
      <c r="X253" s="76" t="s">
        <v>112</v>
      </c>
      <c r="Y253" s="76" t="s">
        <v>112</v>
      </c>
      <c r="Z253" s="76" t="s">
        <v>112</v>
      </c>
      <c r="AA253" s="76" t="s">
        <v>112</v>
      </c>
      <c r="AB253" s="76" t="s">
        <v>112</v>
      </c>
      <c r="AC253" s="76" t="s">
        <v>112</v>
      </c>
      <c r="AD253" s="76" t="s">
        <v>112</v>
      </c>
      <c r="AE253" s="76">
        <v>0.3064781825843772</v>
      </c>
      <c r="AF253" s="76">
        <v>0.3064781825843772</v>
      </c>
      <c r="AG253" s="76">
        <v>0.3064781825843772</v>
      </c>
      <c r="AH253" s="76">
        <v>0.3064781825843772</v>
      </c>
      <c r="AI253" s="76">
        <v>0.3064781825843772</v>
      </c>
      <c r="AJ253" s="76">
        <v>0.3064781825843772</v>
      </c>
      <c r="AK253" s="76">
        <v>0.3064781825843772</v>
      </c>
      <c r="AL253" s="76">
        <v>0.3064781825843772</v>
      </c>
      <c r="AM253" s="76">
        <v>0.3064781825843772</v>
      </c>
      <c r="AN253" s="76">
        <v>0.3064781825843772</v>
      </c>
      <c r="AO253" s="76">
        <v>0.3064781825843772</v>
      </c>
      <c r="AP253" s="76">
        <v>0.3064781825843772</v>
      </c>
      <c r="AQ253" s="76">
        <v>0.3064781825843772</v>
      </c>
      <c r="AR253" s="76">
        <v>0.3064781825843772</v>
      </c>
      <c r="AS253" s="76">
        <v>0.3064781825843772</v>
      </c>
      <c r="AT253" s="76">
        <v>0.3064781825843772</v>
      </c>
      <c r="AU253" s="76">
        <v>0.3064781825843772</v>
      </c>
      <c r="AV253" s="76">
        <v>0.3064781825843772</v>
      </c>
      <c r="AW253" s="76">
        <v>0.3064781825843772</v>
      </c>
      <c r="AX253" s="84">
        <v>0.3064781825843772</v>
      </c>
    </row>
    <row r="254" spans="1:50" x14ac:dyDescent="0.25">
      <c r="A254" s="357"/>
      <c r="B254" s="362"/>
      <c r="C254" s="354"/>
      <c r="D254" s="4" t="s">
        <v>8</v>
      </c>
      <c r="E254" s="168" t="str">
        <f>A243&amp;"/"&amp;B243&amp;"/"&amp;C253&amp;"/"&amp;D254</f>
        <v>Derived gas fired power plants/Steam turbine/CHP with CCS/M</v>
      </c>
      <c r="F254" s="80" t="str">
        <f>A243</f>
        <v>Derived gas fired power plants</v>
      </c>
      <c r="G254" s="80" t="str">
        <f>B243</f>
        <v>Steam turbine</v>
      </c>
      <c r="H254" s="80" t="str">
        <f>C253</f>
        <v>CHP with CCS</v>
      </c>
      <c r="I254" s="169" t="str">
        <f t="shared" si="79"/>
        <v>M</v>
      </c>
      <c r="J254" s="80" t="s">
        <v>112</v>
      </c>
      <c r="K254" s="80" t="s">
        <v>112</v>
      </c>
      <c r="L254" s="80" t="s">
        <v>112</v>
      </c>
      <c r="M254" s="80" t="s">
        <v>112</v>
      </c>
      <c r="N254" s="80" t="s">
        <v>112</v>
      </c>
      <c r="O254" s="80" t="s">
        <v>112</v>
      </c>
      <c r="P254" s="80" t="s">
        <v>112</v>
      </c>
      <c r="Q254" s="80" t="s">
        <v>112</v>
      </c>
      <c r="R254" s="80" t="s">
        <v>112</v>
      </c>
      <c r="S254" s="80" t="s">
        <v>112</v>
      </c>
      <c r="T254" s="80" t="s">
        <v>112</v>
      </c>
      <c r="U254" s="80" t="s">
        <v>112</v>
      </c>
      <c r="V254" s="80" t="s">
        <v>112</v>
      </c>
      <c r="W254" s="80" t="s">
        <v>112</v>
      </c>
      <c r="X254" s="80" t="s">
        <v>112</v>
      </c>
      <c r="Y254" s="80" t="s">
        <v>112</v>
      </c>
      <c r="Z254" s="80" t="s">
        <v>112</v>
      </c>
      <c r="AA254" s="80" t="s">
        <v>112</v>
      </c>
      <c r="AB254" s="80" t="s">
        <v>112</v>
      </c>
      <c r="AC254" s="80" t="s">
        <v>112</v>
      </c>
      <c r="AD254" s="80" t="s">
        <v>112</v>
      </c>
      <c r="AE254" s="80">
        <v>0.29188398341369259</v>
      </c>
      <c r="AF254" s="80">
        <v>0.29188398341369259</v>
      </c>
      <c r="AG254" s="80">
        <v>0.29188398341369259</v>
      </c>
      <c r="AH254" s="80">
        <v>0.29188398341369259</v>
      </c>
      <c r="AI254" s="80">
        <v>0.29188398341369259</v>
      </c>
      <c r="AJ254" s="80">
        <v>0.29188398341369259</v>
      </c>
      <c r="AK254" s="80">
        <v>0.29188398341369259</v>
      </c>
      <c r="AL254" s="80">
        <v>0.29188398341369259</v>
      </c>
      <c r="AM254" s="80">
        <v>0.29188398341369259</v>
      </c>
      <c r="AN254" s="80">
        <v>0.29188398341369259</v>
      </c>
      <c r="AO254" s="80">
        <v>0.29188398341369259</v>
      </c>
      <c r="AP254" s="80">
        <v>0.29188398341369259</v>
      </c>
      <c r="AQ254" s="80">
        <v>0.29188398341369259</v>
      </c>
      <c r="AR254" s="80">
        <v>0.29188398341369259</v>
      </c>
      <c r="AS254" s="80">
        <v>0.29188398341369259</v>
      </c>
      <c r="AT254" s="80">
        <v>0.29188398341369259</v>
      </c>
      <c r="AU254" s="80">
        <v>0.29188398341369259</v>
      </c>
      <c r="AV254" s="80">
        <v>0.29188398341369259</v>
      </c>
      <c r="AW254" s="80">
        <v>0.29188398341369259</v>
      </c>
      <c r="AX254" s="88">
        <v>0.29188398341369259</v>
      </c>
    </row>
    <row r="255" spans="1:50" x14ac:dyDescent="0.25">
      <c r="A255" s="356" t="s">
        <v>27</v>
      </c>
      <c r="B255" s="365" t="s">
        <v>19</v>
      </c>
      <c r="C255" s="353" t="s">
        <v>6</v>
      </c>
      <c r="D255" s="2" t="s">
        <v>7</v>
      </c>
      <c r="E255" s="162" t="str">
        <f>A255&amp;"/"&amp;B255&amp;"/"&amp;C255&amp;"/"&amp;D255</f>
        <v>Refinery gas fired power plants/Steam turbine/Electricity only/L</v>
      </c>
      <c r="F255" s="77" t="str">
        <f>A255</f>
        <v>Refinery gas fired power plants</v>
      </c>
      <c r="G255" s="77" t="str">
        <f>B255</f>
        <v>Steam turbine</v>
      </c>
      <c r="H255" s="77" t="str">
        <f>C255</f>
        <v>Electricity only</v>
      </c>
      <c r="I255" s="163" t="str">
        <f t="shared" ref="I255:I318" si="80">D255</f>
        <v>L</v>
      </c>
      <c r="J255" s="77">
        <v>0.36101083032490977</v>
      </c>
      <c r="K255" s="77">
        <v>0.3610236612704234</v>
      </c>
      <c r="L255" s="77">
        <v>0.36103621576404554</v>
      </c>
      <c r="M255" s="77">
        <v>0.36104849716660992</v>
      </c>
      <c r="N255" s="77">
        <v>0.36106050893571673</v>
      </c>
      <c r="O255" s="77">
        <v>0.36107225461704595</v>
      </c>
      <c r="P255" s="77">
        <v>0.36108373783593384</v>
      </c>
      <c r="Q255" s="77">
        <v>0.361094962289222</v>
      </c>
      <c r="R255" s="77">
        <v>0.3611059317373842</v>
      </c>
      <c r="S255" s="77">
        <v>0.36111664999693538</v>
      </c>
      <c r="T255" s="77">
        <v>0.3611271209331266</v>
      </c>
      <c r="U255" s="77">
        <v>0.36113734845292794</v>
      </c>
      <c r="V255" s="77">
        <v>0.36114733649830028</v>
      </c>
      <c r="W255" s="77">
        <v>0.36115708903975552</v>
      </c>
      <c r="X255" s="77">
        <v>0.36116661007020484</v>
      </c>
      <c r="Y255" s="77">
        <v>0.36117590359909257</v>
      </c>
      <c r="Z255" s="77">
        <v>0.3611849736468129</v>
      </c>
      <c r="AA255" s="77">
        <v>0.36119382423940632</v>
      </c>
      <c r="AB255" s="77">
        <v>0.36120245940353046</v>
      </c>
      <c r="AC255" s="77">
        <v>0.36121088316170219</v>
      </c>
      <c r="AD255" s="77">
        <v>0.3612190995278044</v>
      </c>
      <c r="AE255" s="77">
        <v>0.36122711250285194</v>
      </c>
      <c r="AF255" s="77">
        <v>0.36123492607101082</v>
      </c>
      <c r="AG255" s="77">
        <v>0.36124254419586338</v>
      </c>
      <c r="AH255" s="77">
        <v>0.36124997081691418</v>
      </c>
      <c r="AI255" s="77">
        <v>0.36125720984632714</v>
      </c>
      <c r="AJ255" s="77">
        <v>0.36126426516588878</v>
      </c>
      <c r="AK255" s="77">
        <v>0.36127114062418858</v>
      </c>
      <c r="AL255" s="77">
        <v>0.36127784003401031</v>
      </c>
      <c r="AM255" s="77">
        <v>0.36128436716992551</v>
      </c>
      <c r="AN255" s="77">
        <v>0.3612907257660814</v>
      </c>
      <c r="AO255" s="77">
        <v>0.36129691951417697</v>
      </c>
      <c r="AP255" s="77">
        <v>0.36130295206161811</v>
      </c>
      <c r="AQ255" s="77">
        <v>0.36130882700984429</v>
      </c>
      <c r="AR255" s="77">
        <v>0.36131454791282042</v>
      </c>
      <c r="AS255" s="77">
        <v>0.36132011827568511</v>
      </c>
      <c r="AT255" s="77">
        <v>0.36132554155354846</v>
      </c>
      <c r="AU255" s="77">
        <v>0.36133082115043275</v>
      </c>
      <c r="AV255" s="77">
        <v>0.36133596041834776</v>
      </c>
      <c r="AW255" s="77">
        <v>0.36134096265649518</v>
      </c>
      <c r="AX255" s="85">
        <v>0.36134583111059382</v>
      </c>
    </row>
    <row r="256" spans="1:50" x14ac:dyDescent="0.25">
      <c r="A256" s="356"/>
      <c r="B256" s="366"/>
      <c r="C256" s="350"/>
      <c r="D256" s="2" t="s">
        <v>8</v>
      </c>
      <c r="E256" s="160" t="str">
        <f>A255&amp;"/"&amp;B255&amp;"/"&amp;C255&amp;"/"&amp;D256</f>
        <v>Refinery gas fired power plants/Steam turbine/Electricity only/M</v>
      </c>
      <c r="F256" s="76" t="str">
        <f>A255</f>
        <v>Refinery gas fired power plants</v>
      </c>
      <c r="G256" s="76" t="str">
        <f>B255</f>
        <v>Steam turbine</v>
      </c>
      <c r="H256" s="76" t="str">
        <f>C255</f>
        <v>Electricity only</v>
      </c>
      <c r="I256" s="161" t="str">
        <f t="shared" si="80"/>
        <v>M</v>
      </c>
      <c r="J256" s="76">
        <v>0.34381983840467595</v>
      </c>
      <c r="K256" s="76">
        <v>0.3438305310730147</v>
      </c>
      <c r="L256" s="76">
        <v>0.34384099377385974</v>
      </c>
      <c r="M256" s="76">
        <v>0.34385122928108491</v>
      </c>
      <c r="N256" s="76">
        <v>0.34386124045024513</v>
      </c>
      <c r="O256" s="76">
        <v>0.34387103021132542</v>
      </c>
      <c r="P256" s="76">
        <v>0.34388060156170808</v>
      </c>
      <c r="Q256" s="76">
        <v>0.34388995755936497</v>
      </c>
      <c r="R256" s="76">
        <v>0.34389910131627871</v>
      </c>
      <c r="S256" s="76">
        <v>0.34390803599209818</v>
      </c>
      <c r="T256" s="76">
        <v>0.3439167647880309</v>
      </c>
      <c r="U256" s="76">
        <v>0.34392529094097379</v>
      </c>
      <c r="V256" s="76">
        <v>0.34393361771788405</v>
      </c>
      <c r="W256" s="76">
        <v>0.3439417484103896</v>
      </c>
      <c r="X256" s="76">
        <v>0.3439496863296384</v>
      </c>
      <c r="Y256" s="76">
        <v>0.34395743480138569</v>
      </c>
      <c r="Z256" s="76">
        <v>0.34396499716131573</v>
      </c>
      <c r="AA256" s="76">
        <v>0.34397237675059761</v>
      </c>
      <c r="AB256" s="76">
        <v>0.34397957691166842</v>
      </c>
      <c r="AC256" s="76">
        <v>0.34398660098424244</v>
      </c>
      <c r="AD256" s="76">
        <v>0.34399345230154171</v>
      </c>
      <c r="AE256" s="76">
        <v>0.34400013418674158</v>
      </c>
      <c r="AF256" s="76">
        <v>0.34400664994962815</v>
      </c>
      <c r="AG256" s="76">
        <v>0.34401300288346137</v>
      </c>
      <c r="AH256" s="76">
        <v>0.34401919626203697</v>
      </c>
      <c r="AI256" s="76">
        <v>0.34402523333694418</v>
      </c>
      <c r="AJ256" s="76">
        <v>0.34403111733501024</v>
      </c>
      <c r="AK256" s="76">
        <v>0.34403685145592744</v>
      </c>
      <c r="AL256" s="76">
        <v>0.34404243887005576</v>
      </c>
      <c r="AM256" s="76">
        <v>0.34404788271639447</v>
      </c>
      <c r="AN256" s="76">
        <v>0.34405318610071722</v>
      </c>
      <c r="AO256" s="76">
        <v>0.34405835209386326</v>
      </c>
      <c r="AP256" s="76">
        <v>0.3440633837301792</v>
      </c>
      <c r="AQ256" s="76">
        <v>0.34406828400610451</v>
      </c>
      <c r="AR256" s="76">
        <v>0.34407305587889431</v>
      </c>
      <c r="AS256" s="76">
        <v>0.34407770226547429</v>
      </c>
      <c r="AT256" s="76">
        <v>0.34408222604142008</v>
      </c>
      <c r="AU256" s="76">
        <v>0.34408663004005663</v>
      </c>
      <c r="AV256" s="76">
        <v>0.34409091705167044</v>
      </c>
      <c r="AW256" s="76">
        <v>0.34409508982282982</v>
      </c>
      <c r="AX256" s="84">
        <v>0.34409915105580663</v>
      </c>
    </row>
    <row r="257" spans="1:50" x14ac:dyDescent="0.25">
      <c r="A257" s="356"/>
      <c r="B257" s="366"/>
      <c r="C257" s="360"/>
      <c r="D257" s="2" t="s">
        <v>10</v>
      </c>
      <c r="E257" s="160" t="str">
        <f>A255&amp;"/"&amp;B255&amp;"/"&amp;C255&amp;"/"&amp;D257</f>
        <v>Refinery gas fired power plants/Steam turbine/Electricity only/S</v>
      </c>
      <c r="F257" s="76" t="str">
        <f>A255</f>
        <v>Refinery gas fired power plants</v>
      </c>
      <c r="G257" s="76" t="str">
        <f>B255</f>
        <v>Steam turbine</v>
      </c>
      <c r="H257" s="76" t="str">
        <f>C255</f>
        <v>Electricity only</v>
      </c>
      <c r="I257" s="161" t="str">
        <f t="shared" si="80"/>
        <v>S</v>
      </c>
      <c r="J257" s="76">
        <v>0.32744746514731043</v>
      </c>
      <c r="K257" s="76">
        <v>0.32745619403065312</v>
      </c>
      <c r="L257" s="76">
        <v>0.32746473551943089</v>
      </c>
      <c r="M257" s="76">
        <v>0.32747309185618556</v>
      </c>
      <c r="N257" s="76">
        <v>0.32748126535098132</v>
      </c>
      <c r="O257" s="76">
        <v>0.32748925837547682</v>
      </c>
      <c r="P257" s="76">
        <v>0.32749707335717326</v>
      </c>
      <c r="Q257" s="76">
        <v>0.32750471277384491</v>
      </c>
      <c r="R257" s="76">
        <v>0.32751217914815495</v>
      </c>
      <c r="S257" s="76">
        <v>0.32751947504246159</v>
      </c>
      <c r="T257" s="76">
        <v>0.32752660305381587</v>
      </c>
      <c r="U257" s="76">
        <v>0.32753356580915333</v>
      </c>
      <c r="V257" s="76">
        <v>0.3275403659606812</v>
      </c>
      <c r="W257" s="76">
        <v>0.32754700618145999</v>
      </c>
      <c r="X257" s="76">
        <v>0.32755348916117921</v>
      </c>
      <c r="Y257" s="76">
        <v>0.32755981760212777</v>
      </c>
      <c r="Z257" s="76">
        <v>0.32756599421535471</v>
      </c>
      <c r="AA257" s="76">
        <v>0.32757202171702077</v>
      </c>
      <c r="AB257" s="76">
        <v>0.3275779028249351</v>
      </c>
      <c r="AC257" s="76">
        <v>0.32758364025527809</v>
      </c>
      <c r="AD257" s="76">
        <v>0.32758923671950163</v>
      </c>
      <c r="AE257" s="76">
        <v>0.32759469492140869</v>
      </c>
      <c r="AF257" s="76">
        <v>0.32760001755440288</v>
      </c>
      <c r="AG257" s="76">
        <v>0.32760520729890774</v>
      </c>
      <c r="AH257" s="76">
        <v>0.32761026681994826</v>
      </c>
      <c r="AI257" s="76">
        <v>0.3276151987648922</v>
      </c>
      <c r="AJ257" s="76">
        <v>0.32762000576134459</v>
      </c>
      <c r="AK257" s="76">
        <v>0.32762469041519088</v>
      </c>
      <c r="AL257" s="76">
        <v>0.32762925530878484</v>
      </c>
      <c r="AM257" s="76">
        <v>0.32763370299927397</v>
      </c>
      <c r="AN257" s="76">
        <v>0.32763803601705943</v>
      </c>
      <c r="AO257" s="76">
        <v>0.32764225686438303</v>
      </c>
      <c r="AP257" s="76">
        <v>0.32764636801403851</v>
      </c>
      <c r="AQ257" s="76">
        <v>0.32765037190820012</v>
      </c>
      <c r="AR257" s="76">
        <v>0.32765427095736382</v>
      </c>
      <c r="AS257" s="76">
        <v>0.32765806753939691</v>
      </c>
      <c r="AT257" s="76">
        <v>0.32766176399869018</v>
      </c>
      <c r="AU257" s="76">
        <v>0.32766536264540713</v>
      </c>
      <c r="AV257" s="76">
        <v>0.32766886575482801</v>
      </c>
      <c r="AW257" s="76">
        <v>0.32767227556678025</v>
      </c>
      <c r="AX257" s="84">
        <v>0.32767559428515441</v>
      </c>
    </row>
    <row r="258" spans="1:50" x14ac:dyDescent="0.25">
      <c r="A258" s="356"/>
      <c r="B258" s="366"/>
      <c r="C258" s="361" t="s">
        <v>14</v>
      </c>
      <c r="D258" s="58" t="s">
        <v>7</v>
      </c>
      <c r="E258" s="164" t="str">
        <f>A255&amp;"/"&amp;B255&amp;"/"&amp;C258&amp;"/"&amp;D258</f>
        <v>Refinery gas fired power plants/Steam turbine/CHP/L</v>
      </c>
      <c r="F258" s="78" t="str">
        <f>A255</f>
        <v>Refinery gas fired power plants</v>
      </c>
      <c r="G258" s="78" t="str">
        <f>B255</f>
        <v>Steam turbine</v>
      </c>
      <c r="H258" s="78" t="str">
        <f>C258</f>
        <v>CHP</v>
      </c>
      <c r="I258" s="165" t="str">
        <f t="shared" si="80"/>
        <v>L</v>
      </c>
      <c r="J258" s="78">
        <v>0.3281916639317361</v>
      </c>
      <c r="K258" s="78">
        <v>0.32819895467891536</v>
      </c>
      <c r="L258" s="78">
        <v>0.32820608918805733</v>
      </c>
      <c r="M258" s="78">
        <v>0.32821306931399019</v>
      </c>
      <c r="N258" s="78">
        <v>0.32821989696863785</v>
      </c>
      <c r="O258" s="78">
        <v>0.32822657411606154</v>
      </c>
      <c r="P258" s="78">
        <v>0.328233102767648</v>
      </c>
      <c r="Q258" s="78">
        <v>0.32823948497744709</v>
      </c>
      <c r="R258" s="78">
        <v>0.32824572283766407</v>
      </c>
      <c r="S258" s="78">
        <v>0.32825181847430923</v>
      </c>
      <c r="T258" s="78">
        <v>0.32825777404300727</v>
      </c>
      <c r="U258" s="78">
        <v>0.32826359172496694</v>
      </c>
      <c r="V258" s="78">
        <v>0.32826927372311365</v>
      </c>
      <c r="W258" s="78">
        <v>0.3282748222583835</v>
      </c>
      <c r="X258" s="78">
        <v>0.32828023956618019</v>
      </c>
      <c r="Y258" s="78">
        <v>0.32828552789299198</v>
      </c>
      <c r="Z258" s="78">
        <v>0.32829068949316936</v>
      </c>
      <c r="AA258" s="78">
        <v>0.32829572662586021</v>
      </c>
      <c r="AB258" s="78">
        <v>0.32830064155210104</v>
      </c>
      <c r="AC258" s="78">
        <v>0.3283054365320614</v>
      </c>
      <c r="AD258" s="78">
        <v>0.32831011382243941</v>
      </c>
      <c r="AE258" s="78">
        <v>0.32831467567400402</v>
      </c>
      <c r="AF258" s="78">
        <v>0.32831912432928156</v>
      </c>
      <c r="AG258" s="78">
        <v>0.32832346202038259</v>
      </c>
      <c r="AH258" s="78">
        <v>0.32832769096696629</v>
      </c>
      <c r="AI258" s="78">
        <v>0.32833181337433631</v>
      </c>
      <c r="AJ258" s="78">
        <v>0.32833583143166639</v>
      </c>
      <c r="AK258" s="78">
        <v>0.32833974731035037</v>
      </c>
      <c r="AL258" s="78">
        <v>0.32834356316247215</v>
      </c>
      <c r="AM258" s="78">
        <v>0.32834728111939232</v>
      </c>
      <c r="AN258" s="78">
        <v>0.32835090329044653</v>
      </c>
      <c r="AO258" s="78">
        <v>0.32835443176175078</v>
      </c>
      <c r="AP258" s="78">
        <v>0.32835786859511112</v>
      </c>
      <c r="AQ258" s="78">
        <v>0.32836121582703071</v>
      </c>
      <c r="AR258" s="78">
        <v>0.32836447546781289</v>
      </c>
      <c r="AS258" s="78">
        <v>0.3283676495007537</v>
      </c>
      <c r="AT258" s="78">
        <v>0.32837073988142135</v>
      </c>
      <c r="AU258" s="78">
        <v>0.32837374853701745</v>
      </c>
      <c r="AV258" s="78">
        <v>0.32837667736581649</v>
      </c>
      <c r="AW258" s="78">
        <v>0.32837952823667965</v>
      </c>
      <c r="AX258" s="86">
        <v>0.32838230298863907</v>
      </c>
    </row>
    <row r="259" spans="1:50" x14ac:dyDescent="0.25">
      <c r="A259" s="356"/>
      <c r="B259" s="366"/>
      <c r="C259" s="350"/>
      <c r="D259" s="2" t="s">
        <v>8</v>
      </c>
      <c r="E259" s="160" t="str">
        <f>A255&amp;"/"&amp;B255&amp;"/"&amp;C258&amp;"/"&amp;D259</f>
        <v>Refinery gas fired power plants/Steam turbine/CHP/M</v>
      </c>
      <c r="F259" s="76" t="str">
        <f>A255</f>
        <v>Refinery gas fired power plants</v>
      </c>
      <c r="G259" s="76" t="str">
        <f>B255</f>
        <v>Steam turbine</v>
      </c>
      <c r="H259" s="76" t="str">
        <f>C258</f>
        <v>CHP</v>
      </c>
      <c r="I259" s="161" t="str">
        <f t="shared" si="80"/>
        <v>M</v>
      </c>
      <c r="J259" s="76">
        <v>0.31256348945879631</v>
      </c>
      <c r="K259" s="76">
        <v>0.31256904442484462</v>
      </c>
      <c r="L259" s="76">
        <v>0.31257448056500636</v>
      </c>
      <c r="M259" s="76">
        <v>0.31257979927864621</v>
      </c>
      <c r="N259" s="76">
        <v>0.31258500200915801</v>
      </c>
      <c r="O259" s="76">
        <v>0.31259009024018364</v>
      </c>
      <c r="P259" s="76">
        <v>0.31259506549193905</v>
      </c>
      <c r="Q259" s="76">
        <v>0.31259992931765612</v>
      </c>
      <c r="R259" s="76">
        <v>0.3126046833001393</v>
      </c>
      <c r="S259" s="76">
        <v>0.31260932904844235</v>
      </c>
      <c r="T259" s="76">
        <v>0.31261386819466563</v>
      </c>
      <c r="U259" s="76">
        <v>0.31261830239087518</v>
      </c>
      <c r="V259" s="76">
        <v>0.31262263330614498</v>
      </c>
      <c r="W259" s="76">
        <v>0.31262686262372213</v>
      </c>
      <c r="X259" s="76">
        <v>0.31263099203831513</v>
      </c>
      <c r="Y259" s="76">
        <v>0.31263502325350473</v>
      </c>
      <c r="Z259" s="76">
        <v>0.31263895797927566</v>
      </c>
      <c r="AA259" s="76">
        <v>0.31264279792966915</v>
      </c>
      <c r="AB259" s="76">
        <v>0.31264654482055448</v>
      </c>
      <c r="AC259" s="76">
        <v>0.31265020036751584</v>
      </c>
      <c r="AD259" s="76">
        <v>0.31265376628385505</v>
      </c>
      <c r="AE259" s="76">
        <v>0.31265724427870645</v>
      </c>
      <c r="AF259" s="76">
        <v>0.31266063605526118</v>
      </c>
      <c r="AG259" s="76">
        <v>0.3126639433090993</v>
      </c>
      <c r="AH259" s="76">
        <v>0.31266716772662462</v>
      </c>
      <c r="AI259" s="76">
        <v>0.31267031098360332</v>
      </c>
      <c r="AJ259" s="76">
        <v>0.31267337474379814</v>
      </c>
      <c r="AK259" s="76">
        <v>0.31267636065770021</v>
      </c>
      <c r="AL259" s="76">
        <v>0.31267927036135079</v>
      </c>
      <c r="AM259" s="76">
        <v>0.31268210547525299</v>
      </c>
      <c r="AN259" s="76">
        <v>0.31268486760336867</v>
      </c>
      <c r="AO259" s="76">
        <v>0.31268755833219708</v>
      </c>
      <c r="AP259" s="76">
        <v>0.31269017922993336</v>
      </c>
      <c r="AQ259" s="76">
        <v>0.31269273184570145</v>
      </c>
      <c r="AR259" s="76">
        <v>0.31269521770886066</v>
      </c>
      <c r="AS259" s="76">
        <v>0.31269763832838016</v>
      </c>
      <c r="AT259" s="76">
        <v>0.31269999519228103</v>
      </c>
      <c r="AU259" s="76">
        <v>0.31270228976713976</v>
      </c>
      <c r="AV259" s="76">
        <v>0.31270452349765282</v>
      </c>
      <c r="AW259" s="76">
        <v>0.31270669780625682</v>
      </c>
      <c r="AX259" s="84">
        <v>0.31270881409280438</v>
      </c>
    </row>
    <row r="260" spans="1:50" x14ac:dyDescent="0.25">
      <c r="A260" s="356"/>
      <c r="B260" s="366"/>
      <c r="C260" s="360"/>
      <c r="D260" s="59" t="s">
        <v>10</v>
      </c>
      <c r="E260" s="166" t="str">
        <f>A255&amp;"/"&amp;B255&amp;"/"&amp;C258&amp;"/"&amp;D260</f>
        <v>Refinery gas fired power plants/Steam turbine/CHP/S</v>
      </c>
      <c r="F260" s="79" t="str">
        <f>A255</f>
        <v>Refinery gas fired power plants</v>
      </c>
      <c r="G260" s="79" t="str">
        <f>B255</f>
        <v>Steam turbine</v>
      </c>
      <c r="H260" s="79" t="str">
        <f>C258</f>
        <v>CHP</v>
      </c>
      <c r="I260" s="167" t="str">
        <f t="shared" si="80"/>
        <v>S</v>
      </c>
      <c r="J260" s="79">
        <v>0.29767951377028218</v>
      </c>
      <c r="K260" s="79">
        <v>0.29768348168250303</v>
      </c>
      <c r="L260" s="79">
        <v>0.29768736487098635</v>
      </c>
      <c r="M260" s="79">
        <v>0.29769116432541648</v>
      </c>
      <c r="N260" s="79">
        <v>0.29769488106730213</v>
      </c>
      <c r="O260" s="79">
        <v>0.29769851614727072</v>
      </c>
      <c r="P260" s="79">
        <v>0.29770207064244186</v>
      </c>
      <c r="Q260" s="79">
        <v>0.2977055456538793</v>
      </c>
      <c r="R260" s="79">
        <v>0.29770894230412676</v>
      </c>
      <c r="S260" s="79">
        <v>0.29771226173482762</v>
      </c>
      <c r="T260" s="79">
        <v>0.29771550510443034</v>
      </c>
      <c r="U260" s="79">
        <v>0.29771867358598109</v>
      </c>
      <c r="V260" s="79">
        <v>0.29772176836500269</v>
      </c>
      <c r="W260" s="79">
        <v>0.29772479063746254</v>
      </c>
      <c r="X260" s="79">
        <v>0.29772774160782661</v>
      </c>
      <c r="Y260" s="79">
        <v>0.29773062248720183</v>
      </c>
      <c r="Z260" s="79">
        <v>0.29773343449156431</v>
      </c>
      <c r="AA260" s="79">
        <v>0.29773617884007375</v>
      </c>
      <c r="AB260" s="79">
        <v>0.297738856753472</v>
      </c>
      <c r="AC260" s="79">
        <v>0.29774146945256541</v>
      </c>
      <c r="AD260" s="79">
        <v>0.29774401815678847</v>
      </c>
      <c r="AE260" s="79">
        <v>0.29774650408284853</v>
      </c>
      <c r="AF260" s="79">
        <v>0.29774892844344797</v>
      </c>
      <c r="AG260" s="79">
        <v>0.29775129244608389</v>
      </c>
      <c r="AH260" s="79">
        <v>0.29775359729192141</v>
      </c>
      <c r="AI260" s="79">
        <v>0.29775584417474066</v>
      </c>
      <c r="AJ260" s="79">
        <v>0.29775803427995251</v>
      </c>
      <c r="AK260" s="79">
        <v>0.29776016878368405</v>
      </c>
      <c r="AL260" s="79">
        <v>0.29776224885192887</v>
      </c>
      <c r="AM260" s="79">
        <v>0.2977642756397611</v>
      </c>
      <c r="AN260" s="79">
        <v>0.29776625029061071</v>
      </c>
      <c r="AO260" s="79">
        <v>0.29776817393559812</v>
      </c>
      <c r="AP260" s="79">
        <v>0.29777004769292442</v>
      </c>
      <c r="AQ260" s="79">
        <v>0.29777187266731719</v>
      </c>
      <c r="AR260" s="79">
        <v>0.29777364994952676</v>
      </c>
      <c r="AS260" s="79">
        <v>0.29777538061587328</v>
      </c>
      <c r="AT260" s="79">
        <v>0.29777706572784068</v>
      </c>
      <c r="AU260" s="79">
        <v>0.2977787063317161</v>
      </c>
      <c r="AV260" s="79">
        <v>0.2977803034582715</v>
      </c>
      <c r="AW260" s="79">
        <v>0.29778185812248753</v>
      </c>
      <c r="AX260" s="87">
        <v>0.29778337132331478</v>
      </c>
    </row>
    <row r="261" spans="1:50" x14ac:dyDescent="0.25">
      <c r="A261" s="356"/>
      <c r="B261" s="366"/>
      <c r="C261" s="361" t="s">
        <v>15</v>
      </c>
      <c r="D261" s="58" t="s">
        <v>7</v>
      </c>
      <c r="E261" s="164" t="str">
        <f>A255&amp;"/"&amp;B255&amp;"/"&amp;C261&amp;"/"&amp;D261</f>
        <v>Refinery gas fired power plants/Steam turbine/Electricity only with CCS/L</v>
      </c>
      <c r="F261" s="78" t="str">
        <f>A255</f>
        <v>Refinery gas fired power plants</v>
      </c>
      <c r="G261" s="78" t="str">
        <f>B255</f>
        <v>Steam turbine</v>
      </c>
      <c r="H261" s="78" t="str">
        <f>C261</f>
        <v>Electricity only with CCS</v>
      </c>
      <c r="I261" s="165" t="str">
        <f t="shared" si="80"/>
        <v>L</v>
      </c>
      <c r="J261" s="78" t="s">
        <v>112</v>
      </c>
      <c r="K261" s="78" t="s">
        <v>112</v>
      </c>
      <c r="L261" s="78" t="s">
        <v>112</v>
      </c>
      <c r="M261" s="78" t="s">
        <v>112</v>
      </c>
      <c r="N261" s="78" t="s">
        <v>112</v>
      </c>
      <c r="O261" s="78" t="s">
        <v>112</v>
      </c>
      <c r="P261" s="78" t="s">
        <v>112</v>
      </c>
      <c r="Q261" s="78" t="s">
        <v>112</v>
      </c>
      <c r="R261" s="78" t="s">
        <v>112</v>
      </c>
      <c r="S261" s="78" t="s">
        <v>112</v>
      </c>
      <c r="T261" s="78" t="s">
        <v>112</v>
      </c>
      <c r="U261" s="78" t="s">
        <v>112</v>
      </c>
      <c r="V261" s="78" t="s">
        <v>112</v>
      </c>
      <c r="W261" s="78" t="s">
        <v>112</v>
      </c>
      <c r="X261" s="78" t="s">
        <v>112</v>
      </c>
      <c r="Y261" s="78" t="s">
        <v>112</v>
      </c>
      <c r="Z261" s="78" t="s">
        <v>112</v>
      </c>
      <c r="AA261" s="78" t="s">
        <v>112</v>
      </c>
      <c r="AB261" s="78" t="s">
        <v>112</v>
      </c>
      <c r="AC261" s="78" t="s">
        <v>112</v>
      </c>
      <c r="AD261" s="78" t="s">
        <v>112</v>
      </c>
      <c r="AE261" s="78">
        <v>0.34381983840467595</v>
      </c>
      <c r="AF261" s="78">
        <v>0.34381983840467595</v>
      </c>
      <c r="AG261" s="78">
        <v>0.34381983840467595</v>
      </c>
      <c r="AH261" s="78">
        <v>0.34381983840467595</v>
      </c>
      <c r="AI261" s="78">
        <v>0.34381983840467595</v>
      </c>
      <c r="AJ261" s="78">
        <v>0.34381983840467595</v>
      </c>
      <c r="AK261" s="78">
        <v>0.34381983840467595</v>
      </c>
      <c r="AL261" s="78">
        <v>0.34381983840467595</v>
      </c>
      <c r="AM261" s="78">
        <v>0.34381983840467595</v>
      </c>
      <c r="AN261" s="78">
        <v>0.34381983840467595</v>
      </c>
      <c r="AO261" s="78">
        <v>0.34381983840467595</v>
      </c>
      <c r="AP261" s="78">
        <v>0.34381983840467595</v>
      </c>
      <c r="AQ261" s="78">
        <v>0.34381983840467595</v>
      </c>
      <c r="AR261" s="78">
        <v>0.34381983840467595</v>
      </c>
      <c r="AS261" s="78">
        <v>0.34381983840467595</v>
      </c>
      <c r="AT261" s="78">
        <v>0.34381983840467595</v>
      </c>
      <c r="AU261" s="78">
        <v>0.34381983840467595</v>
      </c>
      <c r="AV261" s="78">
        <v>0.34381983840467595</v>
      </c>
      <c r="AW261" s="78">
        <v>0.34381983840467595</v>
      </c>
      <c r="AX261" s="86">
        <v>0.34381983840467595</v>
      </c>
    </row>
    <row r="262" spans="1:50" x14ac:dyDescent="0.25">
      <c r="A262" s="356"/>
      <c r="B262" s="366"/>
      <c r="C262" s="360"/>
      <c r="D262" s="59" t="s">
        <v>8</v>
      </c>
      <c r="E262" s="166" t="str">
        <f>A255&amp;"/"&amp;B255&amp;"/"&amp;C261&amp;"/"&amp;D262</f>
        <v>Refinery gas fired power plants/Steam turbine/Electricity only with CCS/M</v>
      </c>
      <c r="F262" s="79" t="str">
        <f>A255</f>
        <v>Refinery gas fired power plants</v>
      </c>
      <c r="G262" s="79" t="str">
        <f>B255</f>
        <v>Steam turbine</v>
      </c>
      <c r="H262" s="79" t="str">
        <f>C261</f>
        <v>Electricity only with CCS</v>
      </c>
      <c r="I262" s="167" t="str">
        <f t="shared" si="80"/>
        <v>M</v>
      </c>
      <c r="J262" s="79" t="s">
        <v>112</v>
      </c>
      <c r="K262" s="79" t="s">
        <v>112</v>
      </c>
      <c r="L262" s="79" t="s">
        <v>112</v>
      </c>
      <c r="M262" s="79" t="s">
        <v>112</v>
      </c>
      <c r="N262" s="79" t="s">
        <v>112</v>
      </c>
      <c r="O262" s="79" t="s">
        <v>112</v>
      </c>
      <c r="P262" s="79" t="s">
        <v>112</v>
      </c>
      <c r="Q262" s="79" t="s">
        <v>112</v>
      </c>
      <c r="R262" s="79" t="s">
        <v>112</v>
      </c>
      <c r="S262" s="79" t="s">
        <v>112</v>
      </c>
      <c r="T262" s="79" t="s">
        <v>112</v>
      </c>
      <c r="U262" s="79" t="s">
        <v>112</v>
      </c>
      <c r="V262" s="79" t="s">
        <v>112</v>
      </c>
      <c r="W262" s="79" t="s">
        <v>112</v>
      </c>
      <c r="X262" s="79" t="s">
        <v>112</v>
      </c>
      <c r="Y262" s="79" t="s">
        <v>112</v>
      </c>
      <c r="Z262" s="79" t="s">
        <v>112</v>
      </c>
      <c r="AA262" s="79" t="s">
        <v>112</v>
      </c>
      <c r="AB262" s="79" t="s">
        <v>112</v>
      </c>
      <c r="AC262" s="79" t="s">
        <v>112</v>
      </c>
      <c r="AD262" s="79" t="s">
        <v>112</v>
      </c>
      <c r="AE262" s="79">
        <v>0.32744746514731043</v>
      </c>
      <c r="AF262" s="79">
        <v>0.32744746514731043</v>
      </c>
      <c r="AG262" s="79">
        <v>0.32744746514731043</v>
      </c>
      <c r="AH262" s="79">
        <v>0.32744746514731043</v>
      </c>
      <c r="AI262" s="79">
        <v>0.32744746514731043</v>
      </c>
      <c r="AJ262" s="79">
        <v>0.32744746514731043</v>
      </c>
      <c r="AK262" s="79">
        <v>0.32744746514731043</v>
      </c>
      <c r="AL262" s="79">
        <v>0.32744746514731043</v>
      </c>
      <c r="AM262" s="79">
        <v>0.32744746514731043</v>
      </c>
      <c r="AN262" s="79">
        <v>0.32744746514731043</v>
      </c>
      <c r="AO262" s="79">
        <v>0.32744746514731043</v>
      </c>
      <c r="AP262" s="79">
        <v>0.32744746514731043</v>
      </c>
      <c r="AQ262" s="79">
        <v>0.32744746514731043</v>
      </c>
      <c r="AR262" s="79">
        <v>0.32744746514731043</v>
      </c>
      <c r="AS262" s="79">
        <v>0.32744746514731043</v>
      </c>
      <c r="AT262" s="79">
        <v>0.32744746514731043</v>
      </c>
      <c r="AU262" s="79">
        <v>0.32744746514731043</v>
      </c>
      <c r="AV262" s="79">
        <v>0.32744746514731043</v>
      </c>
      <c r="AW262" s="79">
        <v>0.32744746514731043</v>
      </c>
      <c r="AX262" s="87">
        <v>0.32744746514731043</v>
      </c>
    </row>
    <row r="263" spans="1:50" x14ac:dyDescent="0.25">
      <c r="A263" s="356"/>
      <c r="B263" s="366"/>
      <c r="C263" s="361" t="s">
        <v>16</v>
      </c>
      <c r="D263" s="2" t="s">
        <v>7</v>
      </c>
      <c r="E263" s="160" t="str">
        <f>A255&amp;"/"&amp;B255&amp;"/"&amp;C263&amp;"/"&amp;D263</f>
        <v>Refinery gas fired power plants/Steam turbine/CHP with CCS/L</v>
      </c>
      <c r="F263" s="76" t="str">
        <f>A255</f>
        <v>Refinery gas fired power plants</v>
      </c>
      <c r="G263" s="76" t="str">
        <f>B255</f>
        <v>Steam turbine</v>
      </c>
      <c r="H263" s="76" t="str">
        <f>C263</f>
        <v>CHP with CCS</v>
      </c>
      <c r="I263" s="161" t="str">
        <f t="shared" si="80"/>
        <v>L</v>
      </c>
      <c r="J263" s="76" t="s">
        <v>112</v>
      </c>
      <c r="K263" s="76" t="s">
        <v>112</v>
      </c>
      <c r="L263" s="76" t="s">
        <v>112</v>
      </c>
      <c r="M263" s="76" t="s">
        <v>112</v>
      </c>
      <c r="N263" s="76" t="s">
        <v>112</v>
      </c>
      <c r="O263" s="76" t="s">
        <v>112</v>
      </c>
      <c r="P263" s="76" t="s">
        <v>112</v>
      </c>
      <c r="Q263" s="76" t="s">
        <v>112</v>
      </c>
      <c r="R263" s="76" t="s">
        <v>112</v>
      </c>
      <c r="S263" s="76" t="s">
        <v>112</v>
      </c>
      <c r="T263" s="76" t="s">
        <v>112</v>
      </c>
      <c r="U263" s="76" t="s">
        <v>112</v>
      </c>
      <c r="V263" s="76" t="s">
        <v>112</v>
      </c>
      <c r="W263" s="76" t="s">
        <v>112</v>
      </c>
      <c r="X263" s="76" t="s">
        <v>112</v>
      </c>
      <c r="Y263" s="76" t="s">
        <v>112</v>
      </c>
      <c r="Z263" s="76" t="s">
        <v>112</v>
      </c>
      <c r="AA263" s="76" t="s">
        <v>112</v>
      </c>
      <c r="AB263" s="76" t="s">
        <v>112</v>
      </c>
      <c r="AC263" s="76" t="s">
        <v>112</v>
      </c>
      <c r="AD263" s="76" t="s">
        <v>112</v>
      </c>
      <c r="AE263" s="76">
        <v>0.31256348945879631</v>
      </c>
      <c r="AF263" s="76">
        <v>0.31256348945879631</v>
      </c>
      <c r="AG263" s="76">
        <v>0.31256348945879631</v>
      </c>
      <c r="AH263" s="76">
        <v>0.31256348945879631</v>
      </c>
      <c r="AI263" s="76">
        <v>0.31256348945879631</v>
      </c>
      <c r="AJ263" s="76">
        <v>0.31256348945879631</v>
      </c>
      <c r="AK263" s="76">
        <v>0.31256348945879631</v>
      </c>
      <c r="AL263" s="76">
        <v>0.31256348945879631</v>
      </c>
      <c r="AM263" s="76">
        <v>0.31256348945879631</v>
      </c>
      <c r="AN263" s="76">
        <v>0.31256348945879631</v>
      </c>
      <c r="AO263" s="76">
        <v>0.31256348945879631</v>
      </c>
      <c r="AP263" s="76">
        <v>0.31256348945879631</v>
      </c>
      <c r="AQ263" s="76">
        <v>0.31256348945879631</v>
      </c>
      <c r="AR263" s="76">
        <v>0.31256348945879631</v>
      </c>
      <c r="AS263" s="76">
        <v>0.31256348945879631</v>
      </c>
      <c r="AT263" s="76">
        <v>0.31256348945879631</v>
      </c>
      <c r="AU263" s="76">
        <v>0.31256348945879631</v>
      </c>
      <c r="AV263" s="76">
        <v>0.31256348945879631</v>
      </c>
      <c r="AW263" s="76">
        <v>0.31256348945879631</v>
      </c>
      <c r="AX263" s="84">
        <v>0.31256348945879631</v>
      </c>
    </row>
    <row r="264" spans="1:50" x14ac:dyDescent="0.25">
      <c r="A264" s="357"/>
      <c r="B264" s="367"/>
      <c r="C264" s="354"/>
      <c r="D264" s="4" t="s">
        <v>8</v>
      </c>
      <c r="E264" s="168" t="str">
        <f>A255&amp;"/"&amp;B255&amp;"/"&amp;C263&amp;"/"&amp;D264</f>
        <v>Refinery gas fired power plants/Steam turbine/CHP with CCS/M</v>
      </c>
      <c r="F264" s="80" t="str">
        <f>A255</f>
        <v>Refinery gas fired power plants</v>
      </c>
      <c r="G264" s="80" t="str">
        <f>B255</f>
        <v>Steam turbine</v>
      </c>
      <c r="H264" s="80" t="str">
        <f>C263</f>
        <v>CHP with CCS</v>
      </c>
      <c r="I264" s="169" t="str">
        <f t="shared" si="80"/>
        <v>M</v>
      </c>
      <c r="J264" s="80" t="s">
        <v>112</v>
      </c>
      <c r="K264" s="80" t="s">
        <v>112</v>
      </c>
      <c r="L264" s="80" t="s">
        <v>112</v>
      </c>
      <c r="M264" s="80" t="s">
        <v>112</v>
      </c>
      <c r="N264" s="80" t="s">
        <v>112</v>
      </c>
      <c r="O264" s="80" t="s">
        <v>112</v>
      </c>
      <c r="P264" s="80" t="s">
        <v>112</v>
      </c>
      <c r="Q264" s="80" t="s">
        <v>112</v>
      </c>
      <c r="R264" s="80" t="s">
        <v>112</v>
      </c>
      <c r="S264" s="80" t="s">
        <v>112</v>
      </c>
      <c r="T264" s="80" t="s">
        <v>112</v>
      </c>
      <c r="U264" s="80" t="s">
        <v>112</v>
      </c>
      <c r="V264" s="80" t="s">
        <v>112</v>
      </c>
      <c r="W264" s="80" t="s">
        <v>112</v>
      </c>
      <c r="X264" s="80" t="s">
        <v>112</v>
      </c>
      <c r="Y264" s="80" t="s">
        <v>112</v>
      </c>
      <c r="Z264" s="80" t="s">
        <v>112</v>
      </c>
      <c r="AA264" s="80" t="s">
        <v>112</v>
      </c>
      <c r="AB264" s="80" t="s">
        <v>112</v>
      </c>
      <c r="AC264" s="80" t="s">
        <v>112</v>
      </c>
      <c r="AD264" s="80" t="s">
        <v>112</v>
      </c>
      <c r="AE264" s="80">
        <v>0.29767951377028218</v>
      </c>
      <c r="AF264" s="80">
        <v>0.29767951377028218</v>
      </c>
      <c r="AG264" s="80">
        <v>0.29767951377028218</v>
      </c>
      <c r="AH264" s="80">
        <v>0.29767951377028218</v>
      </c>
      <c r="AI264" s="80">
        <v>0.29767951377028218</v>
      </c>
      <c r="AJ264" s="80">
        <v>0.29767951377028218</v>
      </c>
      <c r="AK264" s="80">
        <v>0.29767951377028218</v>
      </c>
      <c r="AL264" s="80">
        <v>0.29767951377028218</v>
      </c>
      <c r="AM264" s="80">
        <v>0.29767951377028218</v>
      </c>
      <c r="AN264" s="80">
        <v>0.29767951377028218</v>
      </c>
      <c r="AO264" s="80">
        <v>0.29767951377028218</v>
      </c>
      <c r="AP264" s="80">
        <v>0.29767951377028218</v>
      </c>
      <c r="AQ264" s="80">
        <v>0.29767951377028218</v>
      </c>
      <c r="AR264" s="80">
        <v>0.29767951377028218</v>
      </c>
      <c r="AS264" s="80">
        <v>0.29767951377028218</v>
      </c>
      <c r="AT264" s="80">
        <v>0.29767951377028218</v>
      </c>
      <c r="AU264" s="80">
        <v>0.29767951377028218</v>
      </c>
      <c r="AV264" s="80">
        <v>0.29767951377028218</v>
      </c>
      <c r="AW264" s="80">
        <v>0.29767951377028218</v>
      </c>
      <c r="AX264" s="88">
        <v>0.29767951377028218</v>
      </c>
    </row>
    <row r="265" spans="1:50" x14ac:dyDescent="0.25">
      <c r="A265" s="355" t="s">
        <v>28</v>
      </c>
      <c r="B265" s="358" t="s">
        <v>23</v>
      </c>
      <c r="C265" s="353" t="s">
        <v>6</v>
      </c>
      <c r="D265" s="3" t="s">
        <v>7</v>
      </c>
      <c r="E265" s="162" t="str">
        <f>A265&amp;"/"&amp;B265&amp;"/"&amp;C265&amp;"/"&amp;D265</f>
        <v>Diesel oil fired power plants/Gas turbine combined cycle/Electricity only/L</v>
      </c>
      <c r="F265" s="77" t="str">
        <f>A265</f>
        <v>Diesel oil fired power plants</v>
      </c>
      <c r="G265" s="77" t="str">
        <f>B265</f>
        <v>Gas turbine combined cycle</v>
      </c>
      <c r="H265" s="77" t="str">
        <f>C265</f>
        <v>Electricity only</v>
      </c>
      <c r="I265" s="163" t="str">
        <f t="shared" si="80"/>
        <v>L</v>
      </c>
      <c r="J265" s="77">
        <v>0.54644808743169393</v>
      </c>
      <c r="K265" s="77">
        <v>0.54664179728186169</v>
      </c>
      <c r="L265" s="77">
        <v>0.54687534022443018</v>
      </c>
      <c r="M265" s="77">
        <v>0.54715612638800815</v>
      </c>
      <c r="N265" s="77">
        <v>0.54749258528805667</v>
      </c>
      <c r="O265" s="77">
        <v>0.54789413926713448</v>
      </c>
      <c r="P265" s="77">
        <v>0.54837108450785266</v>
      </c>
      <c r="Q265" s="77">
        <v>0.54893434081060799</v>
      </c>
      <c r="R265" s="77">
        <v>0.54959502709541375</v>
      </c>
      <c r="S265" s="77">
        <v>0.55036382174528986</v>
      </c>
      <c r="T265" s="77">
        <v>0.55125008038322443</v>
      </c>
      <c r="U265" s="77">
        <v>0.55226071389036713</v>
      </c>
      <c r="V265" s="77">
        <v>0.55339888030582896</v>
      </c>
      <c r="W265" s="77">
        <v>0.55466261450413823</v>
      </c>
      <c r="X265" s="77">
        <v>0.55604359862479025</v>
      </c>
      <c r="Y265" s="77">
        <v>0.55752634118909128</v>
      </c>
      <c r="Z265" s="77">
        <v>0.55908805060587641</v>
      </c>
      <c r="AA265" s="77">
        <v>0.5606994269037715</v>
      </c>
      <c r="AB265" s="77">
        <v>0.56232644089604911</v>
      </c>
      <c r="AC265" s="77">
        <v>0.56393294695944074</v>
      </c>
      <c r="AD265" s="77">
        <v>0.56548374957814396</v>
      </c>
      <c r="AE265" s="77">
        <v>0.56694759955594776</v>
      </c>
      <c r="AF265" s="77">
        <v>0.56829959664838758</v>
      </c>
      <c r="AG265" s="77">
        <v>0.56952262692085664</v>
      </c>
      <c r="AH265" s="77">
        <v>0.57060770754487478</v>
      </c>
      <c r="AI265" s="77">
        <v>0.57155335804883445</v>
      </c>
      <c r="AJ265" s="77">
        <v>0.57236428702847553</v>
      </c>
      <c r="AK265" s="77">
        <v>0.57304974332062009</v>
      </c>
      <c r="AL265" s="77">
        <v>0.5736218441111931</v>
      </c>
      <c r="AM265" s="77">
        <v>0.57409410009481199</v>
      </c>
      <c r="AN265" s="77">
        <v>0.57448025285823767</v>
      </c>
      <c r="AO265" s="77">
        <v>0.57479345192222842</v>
      </c>
      <c r="AP265" s="77">
        <v>0.57504574083875515</v>
      </c>
      <c r="AQ265" s="77">
        <v>0.5752477927371088</v>
      </c>
      <c r="AR265" s="77">
        <v>0.57540882844977659</v>
      </c>
      <c r="AS265" s="77">
        <v>0.57553665617232075</v>
      </c>
      <c r="AT265" s="77">
        <v>0.57563778337920979</v>
      </c>
      <c r="AU265" s="77">
        <v>0.57571756469310365</v>
      </c>
      <c r="AV265" s="77">
        <v>0.57578036102838648</v>
      </c>
      <c r="AW265" s="77">
        <v>0.57582969458274902</v>
      </c>
      <c r="AX265" s="85">
        <v>0.5758683910252953</v>
      </c>
    </row>
    <row r="266" spans="1:50" x14ac:dyDescent="0.25">
      <c r="A266" s="356"/>
      <c r="B266" s="359"/>
      <c r="C266" s="360"/>
      <c r="D266" s="2" t="s">
        <v>8</v>
      </c>
      <c r="E266" s="160" t="str">
        <f>A265&amp;"/"&amp;B265&amp;"/"&amp;C265&amp;"/"&amp;D266</f>
        <v>Diesel oil fired power plants/Gas turbine combined cycle/Electricity only/M</v>
      </c>
      <c r="F266" s="76" t="str">
        <f>A265</f>
        <v>Diesel oil fired power plants</v>
      </c>
      <c r="G266" s="76" t="str">
        <f>B265</f>
        <v>Gas turbine combined cycle</v>
      </c>
      <c r="H266" s="76" t="str">
        <f>C265</f>
        <v>Electricity only</v>
      </c>
      <c r="I266" s="161" t="str">
        <f t="shared" si="80"/>
        <v>M</v>
      </c>
      <c r="J266" s="76">
        <v>0.52042674993494664</v>
      </c>
      <c r="K266" s="76">
        <v>0.52048162731179193</v>
      </c>
      <c r="L266" s="76">
        <v>0.52055188204423364</v>
      </c>
      <c r="M266" s="76">
        <v>0.52064174765140525</v>
      </c>
      <c r="N266" s="76">
        <v>0.52075657497619854</v>
      </c>
      <c r="O266" s="76">
        <v>0.52090309634990994</v>
      </c>
      <c r="P266" s="76">
        <v>0.52108973247292778</v>
      </c>
      <c r="Q266" s="76">
        <v>0.52132693550342046</v>
      </c>
      <c r="R266" s="76">
        <v>0.52162755029930608</v>
      </c>
      <c r="S266" s="76">
        <v>0.52200715699724365</v>
      </c>
      <c r="T266" s="76">
        <v>0.52248432967493408</v>
      </c>
      <c r="U266" s="76">
        <v>0.52308070597604228</v>
      </c>
      <c r="V266" s="76">
        <v>0.52382071225101035</v>
      </c>
      <c r="W266" s="76">
        <v>0.52473073532756154</v>
      </c>
      <c r="X266" s="76">
        <v>0.52583749453359407</v>
      </c>
      <c r="Y266" s="76">
        <v>0.52716538225157106</v>
      </c>
      <c r="Z266" s="76">
        <v>0.5287326617687349</v>
      </c>
      <c r="AA266" s="76">
        <v>0.53054669397673782</v>
      </c>
      <c r="AB266" s="76">
        <v>0.53259882776207312</v>
      </c>
      <c r="AC266" s="76">
        <v>0.53486014641802504</v>
      </c>
      <c r="AD266" s="76">
        <v>0.53727966960335549</v>
      </c>
      <c r="AE266" s="76">
        <v>0.53978650612803558</v>
      </c>
      <c r="AF266" s="76">
        <v>0.54229656809522797</v>
      </c>
      <c r="AG266" s="76">
        <v>0.54472292210636397</v>
      </c>
      <c r="AH266" s="76">
        <v>0.54698732944664741</v>
      </c>
      <c r="AI266" s="76">
        <v>0.54902988880095804</v>
      </c>
      <c r="AJ266" s="76">
        <v>0.55081438966213903</v>
      </c>
      <c r="AK266" s="76">
        <v>0.55232863726229742</v>
      </c>
      <c r="AL266" s="76">
        <v>0.55358069702220869</v>
      </c>
      <c r="AM266" s="76">
        <v>0.55459294472480747</v>
      </c>
      <c r="AN266" s="76">
        <v>0.55539581184933773</v>
      </c>
      <c r="AO266" s="76">
        <v>0.5560225137769762</v>
      </c>
      <c r="AP266" s="76">
        <v>0.55650531023297256</v>
      </c>
      <c r="AQ266" s="76">
        <v>0.55687328507426159</v>
      </c>
      <c r="AR266" s="76">
        <v>0.55715133756878721</v>
      </c>
      <c r="AS266" s="76">
        <v>0.55735999877426579</v>
      </c>
      <c r="AT266" s="76">
        <v>0.55751573103871976</v>
      </c>
      <c r="AU266" s="76">
        <v>0.55763145834457228</v>
      </c>
      <c r="AV266" s="76">
        <v>0.55771716471624666</v>
      </c>
      <c r="AW266" s="76">
        <v>0.55778046834151096</v>
      </c>
      <c r="AX266" s="84">
        <v>0.55782712720442817</v>
      </c>
    </row>
    <row r="267" spans="1:50" x14ac:dyDescent="0.25">
      <c r="A267" s="356"/>
      <c r="B267" s="359"/>
      <c r="C267" s="361" t="s">
        <v>14</v>
      </c>
      <c r="D267" s="58" t="s">
        <v>7</v>
      </c>
      <c r="E267" s="164" t="str">
        <f>A265&amp;"/"&amp;B265&amp;"/"&amp;C267&amp;"/"&amp;D267</f>
        <v>Diesel oil fired power plants/Gas turbine combined cycle/CHP/L</v>
      </c>
      <c r="F267" s="78" t="str">
        <f>A265</f>
        <v>Diesel oil fired power plants</v>
      </c>
      <c r="G267" s="78" t="str">
        <f>B265</f>
        <v>Gas turbine combined cycle</v>
      </c>
      <c r="H267" s="78" t="str">
        <f>C267</f>
        <v>CHP</v>
      </c>
      <c r="I267" s="165" t="str">
        <f t="shared" si="80"/>
        <v>L</v>
      </c>
      <c r="J267" s="78">
        <v>0.49677098857426716</v>
      </c>
      <c r="K267" s="78">
        <v>0.49691185348318589</v>
      </c>
      <c r="L267" s="78">
        <v>0.49708164499286173</v>
      </c>
      <c r="M267" s="78">
        <v>0.4972857258340162</v>
      </c>
      <c r="N267" s="78">
        <v>0.49753018778223485</v>
      </c>
      <c r="O267" s="78">
        <v>0.4978218277315955</v>
      </c>
      <c r="P267" s="78">
        <v>0.49816805542711029</v>
      </c>
      <c r="Q267" s="78">
        <v>0.49857670476990068</v>
      </c>
      <c r="R267" s="78">
        <v>0.49905571789416181</v>
      </c>
      <c r="S267" s="78">
        <v>0.49961267335076653</v>
      </c>
      <c r="T267" s="78">
        <v>0.50025414029472681</v>
      </c>
      <c r="U267" s="78">
        <v>0.50098486339577353</v>
      </c>
      <c r="V267" s="78">
        <v>0.5018068208072628</v>
      </c>
      <c r="W267" s="78">
        <v>0.50271824858211633</v>
      </c>
      <c r="X267" s="78">
        <v>0.5037127810998584</v>
      </c>
      <c r="Y267" s="78">
        <v>0.5047789012375079</v>
      </c>
      <c r="Z267" s="78">
        <v>0.50589990230526261</v>
      </c>
      <c r="AA267" s="78">
        <v>0.50705451382328448</v>
      </c>
      <c r="AB267" s="78">
        <v>0.50821822773480607</v>
      </c>
      <c r="AC267" s="78">
        <v>0.50936520073680058</v>
      </c>
      <c r="AD267" s="78">
        <v>0.51047045057225804</v>
      </c>
      <c r="AE267" s="78">
        <v>0.51151196934482324</v>
      </c>
      <c r="AF267" s="78">
        <v>0.51247238722056587</v>
      </c>
      <c r="AG267" s="78">
        <v>0.51333993508537201</v>
      </c>
      <c r="AH267" s="78">
        <v>0.51410863075581648</v>
      </c>
      <c r="AI267" s="78">
        <v>0.51477778538860974</v>
      </c>
      <c r="AJ267" s="78">
        <v>0.51535104149549094</v>
      </c>
      <c r="AK267" s="78">
        <v>0.51583519052566307</v>
      </c>
      <c r="AL267" s="78">
        <v>0.51623898797513001</v>
      </c>
      <c r="AM267" s="78">
        <v>0.51657211689369686</v>
      </c>
      <c r="AN267" s="78">
        <v>0.51684437659572391</v>
      </c>
      <c r="AO267" s="78">
        <v>0.51706511250547604</v>
      </c>
      <c r="AP267" s="78">
        <v>0.5172428634197368</v>
      </c>
      <c r="AQ267" s="78">
        <v>0.51738518311616344</v>
      </c>
      <c r="AR267" s="78">
        <v>0.51749858886519629</v>
      </c>
      <c r="AS267" s="78">
        <v>0.5175885939292002</v>
      </c>
      <c r="AT267" s="78">
        <v>0.51765978960900949</v>
      </c>
      <c r="AU267" s="78">
        <v>0.51771595158133499</v>
      </c>
      <c r="AV267" s="78">
        <v>0.51776015342887016</v>
      </c>
      <c r="AW267" s="78">
        <v>0.51779487672682256</v>
      </c>
      <c r="AX267" s="86">
        <v>0.51782211176336246</v>
      </c>
    </row>
    <row r="268" spans="1:50" x14ac:dyDescent="0.25">
      <c r="A268" s="356"/>
      <c r="B268" s="359"/>
      <c r="C268" s="360"/>
      <c r="D268" s="59" t="s">
        <v>8</v>
      </c>
      <c r="E268" s="166" t="str">
        <f>A265&amp;"/"&amp;B265&amp;"/"&amp;C267&amp;"/"&amp;D268</f>
        <v>Diesel oil fired power plants/Gas turbine combined cycle/CHP/M</v>
      </c>
      <c r="F268" s="79" t="str">
        <f>A265</f>
        <v>Diesel oil fired power plants</v>
      </c>
      <c r="G268" s="79" t="str">
        <f>B265</f>
        <v>Gas turbine combined cycle</v>
      </c>
      <c r="H268" s="79" t="str">
        <f>C267</f>
        <v>CHP</v>
      </c>
      <c r="I268" s="167" t="str">
        <f t="shared" si="80"/>
        <v>M</v>
      </c>
      <c r="J268" s="79">
        <v>0.47311522721358779</v>
      </c>
      <c r="K268" s="79">
        <v>0.4731536016008504</v>
      </c>
      <c r="L268" s="79">
        <v>0.47320272490219478</v>
      </c>
      <c r="M268" s="79">
        <v>0.47326555376737539</v>
      </c>
      <c r="N268" s="79">
        <v>0.47334582349836574</v>
      </c>
      <c r="O268" s="79">
        <v>0.47344823105910605</v>
      </c>
      <c r="P268" s="79">
        <v>0.47357864693385832</v>
      </c>
      <c r="Q268" s="79">
        <v>0.47374435073475268</v>
      </c>
      <c r="R268" s="79">
        <v>0.47395427714827898</v>
      </c>
      <c r="S268" s="79">
        <v>0.47421924541310612</v>
      </c>
      <c r="T268" s="79">
        <v>0.47455212538141334</v>
      </c>
      <c r="U268" s="79">
        <v>0.47496786526835089</v>
      </c>
      <c r="V268" s="79">
        <v>0.47548327144378416</v>
      </c>
      <c r="W268" s="79">
        <v>0.47611639475427492</v>
      </c>
      <c r="X268" s="79">
        <v>0.47688535495771522</v>
      </c>
      <c r="Y268" s="79">
        <v>0.47780645087382029</v>
      </c>
      <c r="Z268" s="79">
        <v>0.47889149610372478</v>
      </c>
      <c r="AA268" s="79">
        <v>0.48014452564563059</v>
      </c>
      <c r="AB268" s="79">
        <v>0.48155834408304166</v>
      </c>
      <c r="AC268" s="79">
        <v>0.48311176200973199</v>
      </c>
      <c r="AD268" s="79">
        <v>0.48476861687648659</v>
      </c>
      <c r="AE268" s="79">
        <v>0.48647955190601855</v>
      </c>
      <c r="AF268" s="79">
        <v>0.4881868709033016</v>
      </c>
      <c r="AG268" s="79">
        <v>0.48983172506897044</v>
      </c>
      <c r="AH268" s="79">
        <v>0.49136189682109005</v>
      </c>
      <c r="AI268" s="79">
        <v>0.49273810326280448</v>
      </c>
      <c r="AJ268" s="79">
        <v>0.49393729626168226</v>
      </c>
      <c r="AK268" s="79">
        <v>0.49495258122655877</v>
      </c>
      <c r="AL268" s="79">
        <v>0.4957904810840516</v>
      </c>
      <c r="AM268" s="79">
        <v>0.4964668421955688</v>
      </c>
      <c r="AN268" s="79">
        <v>0.49700263112570725</v>
      </c>
      <c r="AO268" s="79">
        <v>0.49742044618979819</v>
      </c>
      <c r="AP268" s="79">
        <v>0.49774207545303006</v>
      </c>
      <c r="AQ268" s="79">
        <v>0.49798706933589204</v>
      </c>
      <c r="AR268" s="79">
        <v>0.49817211149776741</v>
      </c>
      <c r="AS268" s="79">
        <v>0.49831092765121038</v>
      </c>
      <c r="AT268" s="79">
        <v>0.4984145057323866</v>
      </c>
      <c r="AU268" s="79">
        <v>0.49849146197763394</v>
      </c>
      <c r="AV268" s="79">
        <v>0.49854844701677847</v>
      </c>
      <c r="AW268" s="79">
        <v>0.49859053244233209</v>
      </c>
      <c r="AX268" s="87">
        <v>0.49862154976995654</v>
      </c>
    </row>
    <row r="269" spans="1:50" x14ac:dyDescent="0.25">
      <c r="A269" s="356"/>
      <c r="B269" s="359"/>
      <c r="C269" s="361" t="s">
        <v>15</v>
      </c>
      <c r="D269" s="58" t="s">
        <v>7</v>
      </c>
      <c r="E269" s="164" t="str">
        <f>A265&amp;"/"&amp;B265&amp;"/"&amp;C269&amp;"/"&amp;D269</f>
        <v>Diesel oil fired power plants/Gas turbine combined cycle/Electricity only with CCS/L</v>
      </c>
      <c r="F269" s="78" t="str">
        <f>A265</f>
        <v>Diesel oil fired power plants</v>
      </c>
      <c r="G269" s="78" t="str">
        <f>B265</f>
        <v>Gas turbine combined cycle</v>
      </c>
      <c r="H269" s="78" t="str">
        <f>C269</f>
        <v>Electricity only with CCS</v>
      </c>
      <c r="I269" s="165" t="str">
        <f t="shared" si="80"/>
        <v>L</v>
      </c>
      <c r="J269" s="78" t="s">
        <v>112</v>
      </c>
      <c r="K269" s="78" t="s">
        <v>112</v>
      </c>
      <c r="L269" s="78" t="s">
        <v>112</v>
      </c>
      <c r="M269" s="78" t="s">
        <v>112</v>
      </c>
      <c r="N269" s="78" t="s">
        <v>112</v>
      </c>
      <c r="O269" s="78" t="s">
        <v>112</v>
      </c>
      <c r="P269" s="78" t="s">
        <v>112</v>
      </c>
      <c r="Q269" s="78" t="s">
        <v>112</v>
      </c>
      <c r="R269" s="78" t="s">
        <v>112</v>
      </c>
      <c r="S269" s="78" t="s">
        <v>112</v>
      </c>
      <c r="T269" s="78" t="s">
        <v>112</v>
      </c>
      <c r="U269" s="78" t="s">
        <v>112</v>
      </c>
      <c r="V269" s="78" t="s">
        <v>112</v>
      </c>
      <c r="W269" s="78" t="s">
        <v>112</v>
      </c>
      <c r="X269" s="78" t="s">
        <v>112</v>
      </c>
      <c r="Y269" s="78" t="s">
        <v>112</v>
      </c>
      <c r="Z269" s="78" t="s">
        <v>112</v>
      </c>
      <c r="AA269" s="78" t="s">
        <v>112</v>
      </c>
      <c r="AB269" s="78" t="s">
        <v>112</v>
      </c>
      <c r="AC269" s="78" t="s">
        <v>112</v>
      </c>
      <c r="AD269" s="78" t="s">
        <v>112</v>
      </c>
      <c r="AE269" s="78">
        <v>0.52082927029408144</v>
      </c>
      <c r="AF269" s="78">
        <v>0.52094316101346028</v>
      </c>
      <c r="AG269" s="78">
        <v>0.52108911838892913</v>
      </c>
      <c r="AH269" s="78">
        <v>0.52127606905657109</v>
      </c>
      <c r="AI269" s="78">
        <v>0.52151535901055224</v>
      </c>
      <c r="AJ269" s="78">
        <v>0.5218213670970564</v>
      </c>
      <c r="AK269" s="78">
        <v>0.52221224673317024</v>
      </c>
      <c r="AL269" s="78">
        <v>0.52271080433331296</v>
      </c>
      <c r="AM269" s="78">
        <v>0.52334550926830981</v>
      </c>
      <c r="AN269" s="78">
        <v>0.52415160437392228</v>
      </c>
      <c r="AO269" s="78">
        <v>0.52517224141433827</v>
      </c>
      <c r="AP269" s="78">
        <v>0.52645949391272528</v>
      </c>
      <c r="AQ269" s="78">
        <v>0.52807499100386002</v>
      </c>
      <c r="AR269" s="78">
        <v>0.53008976383920436</v>
      </c>
      <c r="AS269" s="78">
        <v>0.53258270494846405</v>
      </c>
      <c r="AT269" s="78">
        <v>0.53563684157809188</v>
      </c>
      <c r="AU269" s="78">
        <v>0.53933249722974619</v>
      </c>
      <c r="AV269" s="78">
        <v>0.54373651861596384</v>
      </c>
      <c r="AW269" s="78">
        <v>0.54888731776648192</v>
      </c>
      <c r="AX269" s="86">
        <v>0.5547767794837638</v>
      </c>
    </row>
    <row r="270" spans="1:50" x14ac:dyDescent="0.25">
      <c r="A270" s="356"/>
      <c r="B270" s="359"/>
      <c r="C270" s="360"/>
      <c r="D270" s="59" t="s">
        <v>8</v>
      </c>
      <c r="E270" s="166" t="str">
        <f>A265&amp;"/"&amp;B265&amp;"/"&amp;C269&amp;"/"&amp;D270</f>
        <v>Diesel oil fired power plants/Gas turbine combined cycle/Electricity only with CCS/M</v>
      </c>
      <c r="F270" s="79" t="str">
        <f>A265</f>
        <v>Diesel oil fired power plants</v>
      </c>
      <c r="G270" s="79" t="str">
        <f>B265</f>
        <v>Gas turbine combined cycle</v>
      </c>
      <c r="H270" s="79" t="str">
        <f>C269</f>
        <v>Electricity only with CCS</v>
      </c>
      <c r="I270" s="167" t="str">
        <f t="shared" si="80"/>
        <v>M</v>
      </c>
      <c r="J270" s="79" t="s">
        <v>112</v>
      </c>
      <c r="K270" s="79" t="s">
        <v>112</v>
      </c>
      <c r="L270" s="79" t="s">
        <v>112</v>
      </c>
      <c r="M270" s="79" t="s">
        <v>112</v>
      </c>
      <c r="N270" s="79" t="s">
        <v>112</v>
      </c>
      <c r="O270" s="79" t="s">
        <v>112</v>
      </c>
      <c r="P270" s="79" t="s">
        <v>112</v>
      </c>
      <c r="Q270" s="79" t="s">
        <v>112</v>
      </c>
      <c r="R270" s="79" t="s">
        <v>112</v>
      </c>
      <c r="S270" s="79" t="s">
        <v>112</v>
      </c>
      <c r="T270" s="79" t="s">
        <v>112</v>
      </c>
      <c r="U270" s="79" t="s">
        <v>112</v>
      </c>
      <c r="V270" s="79" t="s">
        <v>112</v>
      </c>
      <c r="W270" s="79" t="s">
        <v>112</v>
      </c>
      <c r="X270" s="79" t="s">
        <v>112</v>
      </c>
      <c r="Y270" s="79" t="s">
        <v>112</v>
      </c>
      <c r="Z270" s="79" t="s">
        <v>112</v>
      </c>
      <c r="AA270" s="79" t="s">
        <v>112</v>
      </c>
      <c r="AB270" s="79" t="s">
        <v>112</v>
      </c>
      <c r="AC270" s="79" t="s">
        <v>112</v>
      </c>
      <c r="AD270" s="79" t="s">
        <v>112</v>
      </c>
      <c r="AE270" s="79">
        <v>0.495995896431075</v>
      </c>
      <c r="AF270" s="79">
        <v>0.49609530288578024</v>
      </c>
      <c r="AG270" s="79">
        <v>0.49622268990231549</v>
      </c>
      <c r="AH270" s="79">
        <v>0.49638584151743409</v>
      </c>
      <c r="AI270" s="79">
        <v>0.49659464815479487</v>
      </c>
      <c r="AJ270" s="79">
        <v>0.49686163862143201</v>
      </c>
      <c r="AK270" s="79">
        <v>0.49720262186484526</v>
      </c>
      <c r="AL270" s="79">
        <v>0.49763744464075149</v>
      </c>
      <c r="AM270" s="79">
        <v>0.49819085867122431</v>
      </c>
      <c r="AN270" s="79">
        <v>0.49889346744334889</v>
      </c>
      <c r="AO270" s="79">
        <v>0.4997826826974755</v>
      </c>
      <c r="AP270" s="79">
        <v>0.50090355651621832</v>
      </c>
      <c r="AQ270" s="79">
        <v>0.50230925897890577</v>
      </c>
      <c r="AR270" s="79">
        <v>0.5040608388188057</v>
      </c>
      <c r="AS270" s="79">
        <v>0.50622574117426389</v>
      </c>
      <c r="AT270" s="79">
        <v>0.50887439242863131</v>
      </c>
      <c r="AU270" s="79">
        <v>0.51207407208405109</v>
      </c>
      <c r="AV270" s="79">
        <v>0.51587941600081377</v>
      </c>
      <c r="AW270" s="79">
        <v>0.52031944003666641</v>
      </c>
      <c r="AX270" s="87">
        <v>0.52538214440918418</v>
      </c>
    </row>
    <row r="271" spans="1:50" x14ac:dyDescent="0.25">
      <c r="A271" s="356"/>
      <c r="B271" s="359"/>
      <c r="C271" s="361" t="s">
        <v>16</v>
      </c>
      <c r="D271" s="2" t="s">
        <v>7</v>
      </c>
      <c r="E271" s="160" t="str">
        <f>A265&amp;"/"&amp;B265&amp;"/"&amp;C271&amp;"/"&amp;D271</f>
        <v>Diesel oil fired power plants/Gas turbine combined cycle/CHP with CCS/L</v>
      </c>
      <c r="F271" s="76" t="str">
        <f>A265</f>
        <v>Diesel oil fired power plants</v>
      </c>
      <c r="G271" s="76" t="str">
        <f>B265</f>
        <v>Gas turbine combined cycle</v>
      </c>
      <c r="H271" s="76" t="str">
        <f>C271</f>
        <v>CHP with CCS</v>
      </c>
      <c r="I271" s="161" t="str">
        <f t="shared" si="80"/>
        <v>L</v>
      </c>
      <c r="J271" s="76" t="s">
        <v>112</v>
      </c>
      <c r="K271" s="76" t="s">
        <v>112</v>
      </c>
      <c r="L271" s="76" t="s">
        <v>112</v>
      </c>
      <c r="M271" s="76" t="s">
        <v>112</v>
      </c>
      <c r="N271" s="76" t="s">
        <v>112</v>
      </c>
      <c r="O271" s="76" t="s">
        <v>112</v>
      </c>
      <c r="P271" s="76" t="s">
        <v>112</v>
      </c>
      <c r="Q271" s="76" t="s">
        <v>112</v>
      </c>
      <c r="R271" s="76" t="s">
        <v>112</v>
      </c>
      <c r="S271" s="76" t="s">
        <v>112</v>
      </c>
      <c r="T271" s="76" t="s">
        <v>112</v>
      </c>
      <c r="U271" s="76" t="s">
        <v>112</v>
      </c>
      <c r="V271" s="76" t="s">
        <v>112</v>
      </c>
      <c r="W271" s="76" t="s">
        <v>112</v>
      </c>
      <c r="X271" s="76" t="s">
        <v>112</v>
      </c>
      <c r="Y271" s="76" t="s">
        <v>112</v>
      </c>
      <c r="Z271" s="76" t="s">
        <v>112</v>
      </c>
      <c r="AA271" s="76" t="s">
        <v>112</v>
      </c>
      <c r="AB271" s="76" t="s">
        <v>112</v>
      </c>
      <c r="AC271" s="76" t="s">
        <v>112</v>
      </c>
      <c r="AD271" s="76" t="s">
        <v>112</v>
      </c>
      <c r="AE271" s="76">
        <v>0.47339282145303618</v>
      </c>
      <c r="AF271" s="76">
        <v>0.47347181218570972</v>
      </c>
      <c r="AG271" s="76">
        <v>0.47357306374697011</v>
      </c>
      <c r="AH271" s="76">
        <v>0.47370278630108525</v>
      </c>
      <c r="AI271" s="76">
        <v>0.47386888172879776</v>
      </c>
      <c r="AJ271" s="76">
        <v>0.47408137825288826</v>
      </c>
      <c r="AK271" s="76">
        <v>0.47435295977216979</v>
      </c>
      <c r="AL271" s="76">
        <v>0.47469959926899036</v>
      </c>
      <c r="AM271" s="76">
        <v>0.47514129812847922</v>
      </c>
      <c r="AN271" s="76">
        <v>0.47570291818138938</v>
      </c>
      <c r="AO271" s="76">
        <v>0.4764150664090358</v>
      </c>
      <c r="AP271" s="76">
        <v>0.47731494770652444</v>
      </c>
      <c r="AQ271" s="76">
        <v>0.47844703203528732</v>
      </c>
      <c r="AR271" s="76">
        <v>0.47986328261780403</v>
      </c>
      <c r="AS271" s="76">
        <v>0.48162256067146347</v>
      </c>
      <c r="AT271" s="76">
        <v>0.48378867278733018</v>
      </c>
      <c r="AU271" s="76">
        <v>0.48642640139397975</v>
      </c>
      <c r="AV271" s="76">
        <v>0.48959484596040753</v>
      </c>
      <c r="AW271" s="76">
        <v>0.49333765073906483</v>
      </c>
      <c r="AX271" s="84">
        <v>0.49767038922349416</v>
      </c>
    </row>
    <row r="272" spans="1:50" x14ac:dyDescent="0.25">
      <c r="A272" s="356"/>
      <c r="B272" s="362"/>
      <c r="C272" s="354"/>
      <c r="D272" s="4" t="s">
        <v>8</v>
      </c>
      <c r="E272" s="168" t="str">
        <f>A265&amp;"/"&amp;B265&amp;"/"&amp;C271&amp;"/"&amp;D272</f>
        <v>Diesel oil fired power plants/Gas turbine combined cycle/CHP with CCS/M</v>
      </c>
      <c r="F272" s="80" t="str">
        <f>A265</f>
        <v>Diesel oil fired power plants</v>
      </c>
      <c r="G272" s="80" t="str">
        <f>B265</f>
        <v>Gas turbine combined cycle</v>
      </c>
      <c r="H272" s="80" t="str">
        <f>C271</f>
        <v>CHP with CCS</v>
      </c>
      <c r="I272" s="169" t="str">
        <f t="shared" si="80"/>
        <v>M</v>
      </c>
      <c r="J272" s="80" t="s">
        <v>112</v>
      </c>
      <c r="K272" s="80" t="s">
        <v>112</v>
      </c>
      <c r="L272" s="80" t="s">
        <v>112</v>
      </c>
      <c r="M272" s="80" t="s">
        <v>112</v>
      </c>
      <c r="N272" s="80" t="s">
        <v>112</v>
      </c>
      <c r="O272" s="80" t="s">
        <v>112</v>
      </c>
      <c r="P272" s="80" t="s">
        <v>112</v>
      </c>
      <c r="Q272" s="80" t="s">
        <v>112</v>
      </c>
      <c r="R272" s="80" t="s">
        <v>112</v>
      </c>
      <c r="S272" s="80" t="s">
        <v>112</v>
      </c>
      <c r="T272" s="80" t="s">
        <v>112</v>
      </c>
      <c r="U272" s="80" t="s">
        <v>112</v>
      </c>
      <c r="V272" s="80" t="s">
        <v>112</v>
      </c>
      <c r="W272" s="80" t="s">
        <v>112</v>
      </c>
      <c r="X272" s="80" t="s">
        <v>112</v>
      </c>
      <c r="Y272" s="80" t="s">
        <v>112</v>
      </c>
      <c r="Z272" s="80" t="s">
        <v>112</v>
      </c>
      <c r="AA272" s="80" t="s">
        <v>112</v>
      </c>
      <c r="AB272" s="80" t="s">
        <v>112</v>
      </c>
      <c r="AC272" s="80" t="s">
        <v>112</v>
      </c>
      <c r="AD272" s="80" t="s">
        <v>112</v>
      </c>
      <c r="AE272" s="80">
        <v>0.45082625278079858</v>
      </c>
      <c r="AF272" s="80">
        <v>0.45089463052244177</v>
      </c>
      <c r="AG272" s="80">
        <v>0.45098227362911242</v>
      </c>
      <c r="AH272" s="80">
        <v>0.45109455367733181</v>
      </c>
      <c r="AI272" s="80">
        <v>0.45123830362976852</v>
      </c>
      <c r="AJ272" s="80">
        <v>0.45142219206186412</v>
      </c>
      <c r="AK272" s="80">
        <v>0.451657178119731</v>
      </c>
      <c r="AL272" s="80">
        <v>0.45195705457845836</v>
      </c>
      <c r="AM272" s="80">
        <v>0.45233907946103258</v>
      </c>
      <c r="AN272" s="80">
        <v>0.45282468311027813</v>
      </c>
      <c r="AO272" s="80">
        <v>0.45344021359283543</v>
      </c>
      <c r="AP272" s="80">
        <v>0.45421764384997304</v>
      </c>
      <c r="AQ272" s="80">
        <v>0.45519510334144869</v>
      </c>
      <c r="AR272" s="80">
        <v>0.45641701026494436</v>
      </c>
      <c r="AS272" s="80">
        <v>0.45793346804529134</v>
      </c>
      <c r="AT272" s="80">
        <v>0.45979846495638704</v>
      </c>
      <c r="AU272" s="80">
        <v>0.46206631745354082</v>
      </c>
      <c r="AV272" s="80">
        <v>0.46478580599752667</v>
      </c>
      <c r="AW272" s="80">
        <v>0.46799169534574869</v>
      </c>
      <c r="AX272" s="88">
        <v>0.47169396264765345</v>
      </c>
    </row>
    <row r="273" spans="1:50" x14ac:dyDescent="0.25">
      <c r="A273" s="356"/>
      <c r="B273" s="358" t="s">
        <v>24</v>
      </c>
      <c r="C273" s="353" t="s">
        <v>6</v>
      </c>
      <c r="D273" s="3" t="s">
        <v>7</v>
      </c>
      <c r="E273" s="162" t="str">
        <f>A265&amp;"/"&amp;B273&amp;"/"&amp;C273&amp;"/"&amp;D273</f>
        <v>Diesel oil fired power plants/Gas turbine /Electricity only/L</v>
      </c>
      <c r="F273" s="77" t="str">
        <f>A265</f>
        <v>Diesel oil fired power plants</v>
      </c>
      <c r="G273" s="77" t="str">
        <f>B273</f>
        <v xml:space="preserve">Gas turbine </v>
      </c>
      <c r="H273" s="77" t="str">
        <f>C273</f>
        <v>Electricity only</v>
      </c>
      <c r="I273" s="163" t="str">
        <f t="shared" si="80"/>
        <v>L</v>
      </c>
      <c r="J273" s="77">
        <v>0.37313432835820892</v>
      </c>
      <c r="K273" s="77">
        <v>0.3731469315553631</v>
      </c>
      <c r="L273" s="77">
        <v>0.37316077432523043</v>
      </c>
      <c r="M273" s="77">
        <v>0.37317596899201427</v>
      </c>
      <c r="N273" s="77">
        <v>0.37319263602419178</v>
      </c>
      <c r="O273" s="77">
        <v>0.37321090418480074</v>
      </c>
      <c r="P273" s="77">
        <v>0.37323091057464386</v>
      </c>
      <c r="Q273" s="77">
        <v>0.37325280054002369</v>
      </c>
      <c r="R273" s="77">
        <v>0.37327672741266305</v>
      </c>
      <c r="S273" s="77">
        <v>0.37330285204556685</v>
      </c>
      <c r="T273" s="77">
        <v>0.3733313421049837</v>
      </c>
      <c r="U273" s="77">
        <v>0.37336237107563919</v>
      </c>
      <c r="V273" s="77">
        <v>0.37339611693445779</v>
      </c>
      <c r="W273" s="77">
        <v>0.37343276044757157</v>
      </c>
      <c r="X273" s="77">
        <v>0.37347248304712544</v>
      </c>
      <c r="Y273" s="77">
        <v>0.3735154642489325</v>
      </c>
      <c r="Z273" s="77">
        <v>0.37356187858014189</v>
      </c>
      <c r="AA273" s="77">
        <v>0.37361189199850681</v>
      </c>
      <c r="AB273" s="77">
        <v>0.37366565780227345</v>
      </c>
      <c r="AC273" s="77">
        <v>0.37372331205265513</v>
      </c>
      <c r="AD273" s="77">
        <v>0.37378496855953786</v>
      </c>
      <c r="AE273" s="77">
        <v>0.37385071351524263</v>
      </c>
      <c r="AF273" s="77">
        <v>0.37392059989999238</v>
      </c>
      <c r="AG273" s="77">
        <v>0.37399464182459352</v>
      </c>
      <c r="AH273" s="77">
        <v>0.37407280901823486</v>
      </c>
      <c r="AI273" s="77">
        <v>0.3741550217088363</v>
      </c>
      <c r="AJ273" s="77">
        <v>0.3742411461758175</v>
      </c>
      <c r="AK273" s="77">
        <v>0.37433099127570529</v>
      </c>
      <c r="AL273" s="77">
        <v>0.3744243062447129</v>
      </c>
      <c r="AM273" s="77">
        <v>0.37452078006482531</v>
      </c>
      <c r="AN273" s="77">
        <v>0.37462004263773691</v>
      </c>
      <c r="AO273" s="77">
        <v>0.37472166794288464</v>
      </c>
      <c r="AP273" s="77">
        <v>0.37482517926319808</v>
      </c>
      <c r="AQ273" s="77">
        <v>0.37493005644948579</v>
      </c>
      <c r="AR273" s="77">
        <v>0.37503574506924109</v>
      </c>
      <c r="AS273" s="77">
        <v>0.37514166715836028</v>
      </c>
      <c r="AT273" s="77">
        <v>0.37524723317681008</v>
      </c>
      <c r="AU273" s="77">
        <v>0.37535185467386456</v>
      </c>
      <c r="AV273" s="77">
        <v>0.37545495710592097</v>
      </c>
      <c r="AW273" s="77">
        <v>0.37555599222779801</v>
      </c>
      <c r="AX273" s="85">
        <v>0.3756544495001764</v>
      </c>
    </row>
    <row r="274" spans="1:50" x14ac:dyDescent="0.25">
      <c r="A274" s="356"/>
      <c r="B274" s="359"/>
      <c r="C274" s="350"/>
      <c r="D274" s="2" t="s">
        <v>8</v>
      </c>
      <c r="E274" s="160" t="str">
        <f>A265&amp;"/"&amp;B273&amp;"/"&amp;C273&amp;"/"&amp;D274</f>
        <v>Diesel oil fired power plants/Gas turbine /Electricity only/M</v>
      </c>
      <c r="F274" s="76" t="str">
        <f>A265</f>
        <v>Diesel oil fired power plants</v>
      </c>
      <c r="G274" s="76" t="str">
        <f>B273</f>
        <v xml:space="preserve">Gas turbine </v>
      </c>
      <c r="H274" s="76" t="str">
        <f>C273</f>
        <v>Electricity only</v>
      </c>
      <c r="I274" s="161" t="str">
        <f t="shared" si="80"/>
        <v>M</v>
      </c>
      <c r="J274" s="76">
        <v>0.355366027007818</v>
      </c>
      <c r="K274" s="76">
        <v>0.3553781397078386</v>
      </c>
      <c r="L274" s="76">
        <v>0.35539144774583975</v>
      </c>
      <c r="M274" s="76">
        <v>0.3554060602735804</v>
      </c>
      <c r="N274" s="76">
        <v>0.35542209453310947</v>
      </c>
      <c r="O274" s="76">
        <v>0.35543967604824278</v>
      </c>
      <c r="P274" s="76">
        <v>0.35545893871917494</v>
      </c>
      <c r="Q274" s="76">
        <v>0.35548002479298263</v>
      </c>
      <c r="R274" s="76">
        <v>0.35550308467866032</v>
      </c>
      <c r="S274" s="76">
        <v>0.35552827657114999</v>
      </c>
      <c r="T274" s="76">
        <v>0.35555576584477994</v>
      </c>
      <c r="U274" s="76">
        <v>0.35558572417290391</v>
      </c>
      <c r="V274" s="76">
        <v>0.3556183283276943</v>
      </c>
      <c r="W274" s="76">
        <v>0.35565375861247317</v>
      </c>
      <c r="X274" s="76">
        <v>0.3556921968792382</v>
      </c>
      <c r="Y274" s="76">
        <v>0.35573382408685006</v>
      </c>
      <c r="Z274" s="76">
        <v>0.35577881736146461</v>
      </c>
      <c r="AA274" s="76">
        <v>0.35582734653104053</v>
      </c>
      <c r="AB274" s="76">
        <v>0.35587957012096172</v>
      </c>
      <c r="AC274" s="76">
        <v>0.355935630818695</v>
      </c>
      <c r="AD274" s="76">
        <v>0.35599565044246773</v>
      </c>
      <c r="AE274" s="76">
        <v>0.35605972448233153</v>
      </c>
      <c r="AF274" s="76">
        <v>0.35612791632125235</v>
      </c>
      <c r="AG274" s="76">
        <v>0.35620025128788813</v>
      </c>
      <c r="AH274" s="76">
        <v>0.35627671073941281</v>
      </c>
      <c r="AI274" s="76">
        <v>0.35635722641903805</v>
      </c>
      <c r="AJ274" s="76">
        <v>0.35644167537464699</v>
      </c>
      <c r="AK274" s="76">
        <v>0.35652987575715428</v>
      </c>
      <c r="AL274" s="76">
        <v>0.3566215838342397</v>
      </c>
      <c r="AM274" s="76">
        <v>0.35671649255132942</v>
      </c>
      <c r="AN274" s="76">
        <v>0.35681423194220113</v>
      </c>
      <c r="AO274" s="76">
        <v>0.35691437163307282</v>
      </c>
      <c r="AP274" s="76">
        <v>0.35701642559574331</v>
      </c>
      <c r="AQ274" s="76">
        <v>0.35711985918987532</v>
      </c>
      <c r="AR274" s="76">
        <v>0.35722409839819969</v>
      </c>
      <c r="AS274" s="76">
        <v>0.35732854101135125</v>
      </c>
      <c r="AT274" s="76">
        <v>0.35743256937427148</v>
      </c>
      <c r="AU274" s="76">
        <v>0.35753556417830945</v>
      </c>
      <c r="AV274" s="76">
        <v>0.35763691868673131</v>
      </c>
      <c r="AW274" s="76">
        <v>0.35773605272833636</v>
      </c>
      <c r="AX274" s="84">
        <v>0.3578324257919826</v>
      </c>
    </row>
    <row r="275" spans="1:50" x14ac:dyDescent="0.25">
      <c r="A275" s="356"/>
      <c r="B275" s="359"/>
      <c r="C275" s="350"/>
      <c r="D275" s="2" t="s">
        <v>10</v>
      </c>
      <c r="E275" s="160" t="str">
        <f>A265&amp;"/"&amp;B273&amp;"/"&amp;C273&amp;"/"&amp;D275</f>
        <v>Diesel oil fired power plants/Gas turbine /Electricity only/S</v>
      </c>
      <c r="F275" s="76" t="str">
        <f>A265</f>
        <v>Diesel oil fired power plants</v>
      </c>
      <c r="G275" s="76" t="str">
        <f>B273</f>
        <v xml:space="preserve">Gas turbine </v>
      </c>
      <c r="H275" s="76" t="str">
        <f>C273</f>
        <v>Electricity only</v>
      </c>
      <c r="I275" s="161" t="str">
        <f t="shared" si="80"/>
        <v>S</v>
      </c>
      <c r="J275" s="76">
        <v>0.33844383524554089</v>
      </c>
      <c r="K275" s="76">
        <v>0.33845090299014652</v>
      </c>
      <c r="L275" s="76">
        <v>0.33845868594149103</v>
      </c>
      <c r="M275" s="76">
        <v>0.33846725327661592</v>
      </c>
      <c r="N275" s="76">
        <v>0.33847668017242571</v>
      </c>
      <c r="O275" s="76">
        <v>0.33848704817518133</v>
      </c>
      <c r="P275" s="76">
        <v>0.33849844555786029</v>
      </c>
      <c r="Q275" s="76">
        <v>0.33851096765504496</v>
      </c>
      <c r="R275" s="76">
        <v>0.33852471716260096</v>
      </c>
      <c r="S275" s="76">
        <v>0.33853980438666781</v>
      </c>
      <c r="T275" s="76">
        <v>0.33855634742340074</v>
      </c>
      <c r="U275" s="76">
        <v>0.33857447224750375</v>
      </c>
      <c r="V275" s="76">
        <v>0.33859431268391282</v>
      </c>
      <c r="W275" s="76">
        <v>0.33861601023311971</v>
      </c>
      <c r="X275" s="76">
        <v>0.33863971371669338</v>
      </c>
      <c r="Y275" s="76">
        <v>0.33866557870575476</v>
      </c>
      <c r="Z275" s="76">
        <v>0.33869376669175311</v>
      </c>
      <c r="AA275" s="76">
        <v>0.33872444395622875</v>
      </c>
      <c r="AB275" s="76">
        <v>0.33875778009477625</v>
      </c>
      <c r="AC275" s="76">
        <v>0.33879394615069203</v>
      </c>
      <c r="AD275" s="76">
        <v>0.33883311231644025</v>
      </c>
      <c r="AE275" s="76">
        <v>0.33887544516684409</v>
      </c>
      <c r="AF275" s="76">
        <v>0.33892110439756501</v>
      </c>
      <c r="AG275" s="76">
        <v>0.33897023905675683</v>
      </c>
      <c r="AH275" s="76">
        <v>0.33902298327744823</v>
      </c>
      <c r="AI275" s="76">
        <v>0.33907945154368346</v>
      </c>
      <c r="AJ275" s="76">
        <v>0.33913973355487137</v>
      </c>
      <c r="AK275" s="76">
        <v>0.33920388878975077</v>
      </c>
      <c r="AL275" s="76">
        <v>0.33927194091279284</v>
      </c>
      <c r="AM275" s="76">
        <v>0.33934387220978129</v>
      </c>
      <c r="AN275" s="76">
        <v>0.33941961828283279</v>
      </c>
      <c r="AO275" s="76">
        <v>0.33949906327436447</v>
      </c>
      <c r="AP275" s="76">
        <v>0.3395820359197409</v>
      </c>
      <c r="AQ275" s="76">
        <v>0.33966830674427356</v>
      </c>
      <c r="AR275" s="76">
        <v>0.33975758671659889</v>
      </c>
      <c r="AS275" s="76">
        <v>0.3398495276426054</v>
      </c>
      <c r="AT275" s="76">
        <v>0.33994372452892979</v>
      </c>
      <c r="AU275" s="76">
        <v>0.34003972006190092</v>
      </c>
      <c r="AV275" s="76">
        <v>0.34013701123911927</v>
      </c>
      <c r="AW275" s="76">
        <v>0.3402350580626195</v>
      </c>
      <c r="AX275" s="84">
        <v>0.34033329406425394</v>
      </c>
    </row>
    <row r="276" spans="1:50" x14ac:dyDescent="0.25">
      <c r="A276" s="356"/>
      <c r="B276" s="359"/>
      <c r="C276" s="360"/>
      <c r="D276" s="2" t="s">
        <v>20</v>
      </c>
      <c r="E276" s="160" t="str">
        <f>A265&amp;"/"&amp;B273&amp;"/"&amp;C273&amp;"/"&amp;D276</f>
        <v>Diesel oil fired power plants/Gas turbine /Electricity only/XS</v>
      </c>
      <c r="F276" s="76" t="str">
        <f>A265</f>
        <v>Diesel oil fired power plants</v>
      </c>
      <c r="G276" s="76" t="str">
        <f>B273</f>
        <v xml:space="preserve">Gas turbine </v>
      </c>
      <c r="H276" s="76" t="str">
        <f>C273</f>
        <v>Electricity only</v>
      </c>
      <c r="I276" s="161" t="str">
        <f t="shared" si="80"/>
        <v>XS</v>
      </c>
      <c r="J276" s="76">
        <v>0.32232746213861041</v>
      </c>
      <c r="K276" s="76">
        <v>0.32233157004331148</v>
      </c>
      <c r="L276" s="76">
        <v>0.32233610000171203</v>
      </c>
      <c r="M276" s="76">
        <v>0.32234109423196494</v>
      </c>
      <c r="N276" s="76">
        <v>0.32234659892561224</v>
      </c>
      <c r="O276" s="76">
        <v>0.32235266456678785</v>
      </c>
      <c r="P276" s="76">
        <v>0.32235934626471641</v>
      </c>
      <c r="Q276" s="76">
        <v>0.32236670409694113</v>
      </c>
      <c r="R276" s="76">
        <v>0.32237480345973918</v>
      </c>
      <c r="S276" s="76">
        <v>0.32238371542099781</v>
      </c>
      <c r="T276" s="76">
        <v>0.32239351706941527</v>
      </c>
      <c r="U276" s="76">
        <v>0.32240429185220909</v>
      </c>
      <c r="V276" s="76">
        <v>0.32241612989155788</v>
      </c>
      <c r="W276" s="76">
        <v>0.32242912826772901</v>
      </c>
      <c r="X276" s="76">
        <v>0.32244339125425708</v>
      </c>
      <c r="Y276" s="76">
        <v>0.32245903048762314</v>
      </c>
      <c r="Z276" s="76">
        <v>0.32247616505066989</v>
      </c>
      <c r="AA276" s="76">
        <v>0.32249492144551062</v>
      </c>
      <c r="AB276" s="76">
        <v>0.32251543342803107</v>
      </c>
      <c r="AC276" s="76">
        <v>0.32253784167236865</v>
      </c>
      <c r="AD276" s="76">
        <v>0.32256229323015867</v>
      </c>
      <c r="AE276" s="76">
        <v>0.32258894074612066</v>
      </c>
      <c r="AF276" s="76">
        <v>0.32261794138904204</v>
      </c>
      <c r="AG276" s="76">
        <v>0.32264945545583157</v>
      </c>
      <c r="AH276" s="76">
        <v>0.32268364460657301</v>
      </c>
      <c r="AI276" s="76">
        <v>0.32272066969102547</v>
      </c>
      <c r="AJ276" s="76">
        <v>0.32276068813247688</v>
      </c>
      <c r="AK276" s="76">
        <v>0.32280385084399821</v>
      </c>
      <c r="AL276" s="76">
        <v>0.32285029866569487</v>
      </c>
      <c r="AM276" s="76">
        <v>0.32290015833015184</v>
      </c>
      <c r="AN276" s="76">
        <v>0.32295353798736287</v>
      </c>
      <c r="AO276" s="76">
        <v>0.32301052235014271</v>
      </c>
      <c r="AP276" s="76">
        <v>0.32307116755596144</v>
      </c>
      <c r="AQ276" s="76">
        <v>0.32313549588028606</v>
      </c>
      <c r="AR276" s="76">
        <v>0.3232034904780236</v>
      </c>
      <c r="AS276" s="76">
        <v>0.32327509037078489</v>
      </c>
      <c r="AT276" s="76">
        <v>0.32335018593475534</v>
      </c>
      <c r="AU276" s="76">
        <v>0.32342861517249499</v>
      </c>
      <c r="AV276" s="76">
        <v>0.32351016106700947</v>
      </c>
      <c r="AW276" s="76">
        <v>0.32359455031292905</v>
      </c>
      <c r="AX276" s="84">
        <v>0.32368145369324497</v>
      </c>
    </row>
    <row r="277" spans="1:50" x14ac:dyDescent="0.25">
      <c r="A277" s="356"/>
      <c r="B277" s="359"/>
      <c r="C277" s="361" t="s">
        <v>14</v>
      </c>
      <c r="D277" s="58" t="s">
        <v>7</v>
      </c>
      <c r="E277" s="164" t="str">
        <f>A265&amp;"/"&amp;B273&amp;"/"&amp;C277&amp;"/"&amp;D277</f>
        <v>Diesel oil fired power plants/Gas turbine /CHP/L</v>
      </c>
      <c r="F277" s="78" t="str">
        <f>A265</f>
        <v>Diesel oil fired power plants</v>
      </c>
      <c r="G277" s="78" t="str">
        <f>B273</f>
        <v xml:space="preserve">Gas turbine </v>
      </c>
      <c r="H277" s="78" t="str">
        <f>C277</f>
        <v>CHP</v>
      </c>
      <c r="I277" s="165" t="str">
        <f t="shared" si="80"/>
        <v>L</v>
      </c>
      <c r="J277" s="78">
        <v>0.33921302578018991</v>
      </c>
      <c r="K277" s="78">
        <v>0.33922245528835632</v>
      </c>
      <c r="L277" s="78">
        <v>0.33923282357551632</v>
      </c>
      <c r="M277" s="78">
        <v>0.33924421815199873</v>
      </c>
      <c r="N277" s="78">
        <v>0.33925673341396367</v>
      </c>
      <c r="O277" s="78">
        <v>0.33927047090948204</v>
      </c>
      <c r="P277" s="78">
        <v>0.33928553954887442</v>
      </c>
      <c r="Q277" s="78">
        <v>0.33930205574039696</v>
      </c>
      <c r="R277" s="78">
        <v>0.33932014342908579</v>
      </c>
      <c r="S277" s="78">
        <v>0.3393399340130927</v>
      </c>
      <c r="T277" s="78">
        <v>0.33936156610826901</v>
      </c>
      <c r="U277" s="78">
        <v>0.33938518512822796</v>
      </c>
      <c r="V277" s="78">
        <v>0.33941094264386668</v>
      </c>
      <c r="W277" s="78">
        <v>0.33943899548362866</v>
      </c>
      <c r="X277" s="78">
        <v>0.33946950453402686</v>
      </c>
      <c r="Y277" s="78">
        <v>0.33950263319956653</v>
      </c>
      <c r="Z277" s="78">
        <v>0.33953854548276391</v>
      </c>
      <c r="AA277" s="78">
        <v>0.33957740364906708</v>
      </c>
      <c r="AB277" s="78">
        <v>0.33961936544882121</v>
      </c>
      <c r="AC277" s="78">
        <v>0.33966458087966417</v>
      </c>
      <c r="AD277" s="78">
        <v>0.33971318848850035</v>
      </c>
      <c r="AE277" s="78">
        <v>0.33976531123295489</v>
      </c>
      <c r="AF277" s="78">
        <v>0.33982105194814327</v>
      </c>
      <c r="AG277" s="78">
        <v>0.33988048849549457</v>
      </c>
      <c r="AH277" s="78">
        <v>0.33994366870546977</v>
      </c>
      <c r="AI277" s="78">
        <v>0.34001060526385357</v>
      </c>
      <c r="AJ277" s="78">
        <v>0.34008127072961825</v>
      </c>
      <c r="AK277" s="78">
        <v>0.34015559290808056</v>
      </c>
      <c r="AL277" s="78">
        <v>0.34023345083237316</v>
      </c>
      <c r="AM277" s="78">
        <v>0.34031467162480233</v>
      </c>
      <c r="AN277" s="78">
        <v>0.34039902851298631</v>
      </c>
      <c r="AO277" s="78">
        <v>0.34048624025972113</v>
      </c>
      <c r="AP277" s="78">
        <v>0.34057597222733887</v>
      </c>
      <c r="AQ277" s="78">
        <v>0.34066783923572597</v>
      </c>
      <c r="AR277" s="78">
        <v>0.34076141028940576</v>
      </c>
      <c r="AS277" s="78">
        <v>0.34085621514719416</v>
      </c>
      <c r="AT277" s="78">
        <v>0.34095175259481375</v>
      </c>
      <c r="AU277" s="78">
        <v>0.34104750016580615</v>
      </c>
      <c r="AV277" s="78">
        <v>0.34114292494994214</v>
      </c>
      <c r="AW277" s="78">
        <v>0.34123749504213263</v>
      </c>
      <c r="AX277" s="86">
        <v>0.34133069112831471</v>
      </c>
    </row>
    <row r="278" spans="1:50" x14ac:dyDescent="0.25">
      <c r="A278" s="356"/>
      <c r="B278" s="359"/>
      <c r="C278" s="350"/>
      <c r="D278" s="2" t="s">
        <v>8</v>
      </c>
      <c r="E278" s="160" t="str">
        <f>A265&amp;"/"&amp;B273&amp;"/"&amp;C277&amp;"/"&amp;D278</f>
        <v>Diesel oil fired power plants/Gas turbine /CHP/M</v>
      </c>
      <c r="F278" s="76" t="str">
        <f>A265</f>
        <v>Diesel oil fired power plants</v>
      </c>
      <c r="G278" s="76" t="str">
        <f>B273</f>
        <v xml:space="preserve">Gas turbine </v>
      </c>
      <c r="H278" s="76" t="str">
        <f>C277</f>
        <v>CHP</v>
      </c>
      <c r="I278" s="161" t="str">
        <f t="shared" si="80"/>
        <v>M</v>
      </c>
      <c r="J278" s="76">
        <v>0.32306002455256183</v>
      </c>
      <c r="K278" s="76">
        <v>0.32307001243125777</v>
      </c>
      <c r="L278" s="76">
        <v>0.32308099196924051</v>
      </c>
      <c r="M278" s="76">
        <v>0.32309305501186064</v>
      </c>
      <c r="N278" s="76">
        <v>0.32310630049724598</v>
      </c>
      <c r="O278" s="76">
        <v>0.32312083469643166</v>
      </c>
      <c r="P278" s="76">
        <v>0.32313677138682501</v>
      </c>
      <c r="Q278" s="76">
        <v>0.32315423193785109</v>
      </c>
      <c r="R278" s="76">
        <v>0.32317334528408492</v>
      </c>
      <c r="S278" s="76">
        <v>0.32319424775744243</v>
      </c>
      <c r="T278" s="76">
        <v>0.32321708274621702</v>
      </c>
      <c r="U278" s="76">
        <v>0.32324200014507998</v>
      </c>
      <c r="V278" s="76">
        <v>0.32326915555687991</v>
      </c>
      <c r="W278" s="76">
        <v>0.32329870920450537</v>
      </c>
      <c r="X278" s="76">
        <v>0.3233308245096525</v>
      </c>
      <c r="Y278" s="76">
        <v>0.3233656662955921</v>
      </c>
      <c r="Z278" s="76">
        <v>0.32340339857357753</v>
      </c>
      <c r="AA278" s="76">
        <v>0.32344418187808199</v>
      </c>
      <c r="AB278" s="76">
        <v>0.32348817012534881</v>
      </c>
      <c r="AC278" s="76">
        <v>0.3235355069835259</v>
      </c>
      <c r="AD278" s="76">
        <v>0.32358632176158486</v>
      </c>
      <c r="AE278" s="76">
        <v>0.32364072484876599</v>
      </c>
      <c r="AF278" s="76">
        <v>0.32369880276654484</v>
      </c>
      <c r="AG278" s="76">
        <v>0.32376061293072189</v>
      </c>
      <c r="AH278" s="76">
        <v>0.32382617826113402</v>
      </c>
      <c r="AI278" s="76">
        <v>0.32389548181881295</v>
      </c>
      <c r="AJ278" s="76">
        <v>0.32396846169236809</v>
      </c>
      <c r="AK278" s="76">
        <v>0.32404500639321521</v>
      </c>
      <c r="AL278" s="76">
        <v>0.3241249510484428</v>
      </c>
      <c r="AM278" s="76">
        <v>0.32420807469552804</v>
      </c>
      <c r="AN278" s="76">
        <v>0.32429409897967032</v>
      </c>
      <c r="AO278" s="76">
        <v>0.32438268852774976</v>
      </c>
      <c r="AP278" s="76">
        <v>0.32447345321985516</v>
      </c>
      <c r="AQ278" s="76">
        <v>0.3245659524992775</v>
      </c>
      <c r="AR278" s="76">
        <v>0.32465970175718611</v>
      </c>
      <c r="AS278" s="76">
        <v>0.32475418070464579</v>
      </c>
      <c r="AT278" s="76">
        <v>0.32484884351134463</v>
      </c>
      <c r="AU278" s="76">
        <v>0.32494313035919858</v>
      </c>
      <c r="AV278" s="76">
        <v>0.32503647994319462</v>
      </c>
      <c r="AW278" s="76">
        <v>0.3251283423644809</v>
      </c>
      <c r="AX278" s="84">
        <v>0.32521819181271377</v>
      </c>
    </row>
    <row r="279" spans="1:50" x14ac:dyDescent="0.25">
      <c r="A279" s="356"/>
      <c r="B279" s="359"/>
      <c r="C279" s="350"/>
      <c r="D279" s="2" t="s">
        <v>10</v>
      </c>
      <c r="E279" s="160" t="str">
        <f>A265&amp;"/"&amp;B273&amp;"/"&amp;C277&amp;"/"&amp;D279</f>
        <v>Diesel oil fired power plants/Gas turbine /CHP/S</v>
      </c>
      <c r="F279" s="76" t="str">
        <f>A265</f>
        <v>Diesel oil fired power plants</v>
      </c>
      <c r="G279" s="76" t="str">
        <f>B273</f>
        <v xml:space="preserve">Gas turbine </v>
      </c>
      <c r="H279" s="76" t="str">
        <f>C277</f>
        <v>CHP</v>
      </c>
      <c r="I279" s="161" t="str">
        <f t="shared" si="80"/>
        <v>S</v>
      </c>
      <c r="J279" s="76">
        <v>0.3076762138595826</v>
      </c>
      <c r="K279" s="76">
        <v>0.30768148931630063</v>
      </c>
      <c r="L279" s="76">
        <v>0.30768730236302794</v>
      </c>
      <c r="M279" s="76">
        <v>0.30769370581482225</v>
      </c>
      <c r="N279" s="76">
        <v>0.30770075724835139</v>
      </c>
      <c r="O279" s="76">
        <v>0.30770851933775639</v>
      </c>
      <c r="P279" s="76">
        <v>0.30771706019288186</v>
      </c>
      <c r="Q279" s="76">
        <v>0.30772645369399204</v>
      </c>
      <c r="R279" s="76">
        <v>0.30773677981548447</v>
      </c>
      <c r="S279" s="76">
        <v>0.30774812492923365</v>
      </c>
      <c r="T279" s="76">
        <v>0.30776058207602291</v>
      </c>
      <c r="U279" s="76">
        <v>0.30777425119103891</v>
      </c>
      <c r="V279" s="76">
        <v>0.30778923926661084</v>
      </c>
      <c r="W279" s="76">
        <v>0.30780566043229862</v>
      </c>
      <c r="X279" s="76">
        <v>0.30782363592909484</v>
      </c>
      <c r="Y279" s="76">
        <v>0.30784329395100696</v>
      </c>
      <c r="Z279" s="76">
        <v>0.30786476932371643</v>
      </c>
      <c r="AA279" s="76">
        <v>0.3078882029865746</v>
      </c>
      <c r="AB279" s="76">
        <v>0.30791374124110366</v>
      </c>
      <c r="AC279" s="76">
        <v>0.3079415347267625</v>
      </c>
      <c r="AD279" s="76">
        <v>0.30797173708340697</v>
      </c>
      <c r="AE279" s="76">
        <v>0.30800450326011775</v>
      </c>
      <c r="AF279" s="76">
        <v>0.30803998743247712</v>
      </c>
      <c r="AG279" s="76">
        <v>0.30807834049560623</v>
      </c>
      <c r="AH279" s="76">
        <v>0.30811970710902797</v>
      </c>
      <c r="AI279" s="76">
        <v>0.30816422228240253</v>
      </c>
      <c r="AJ279" s="76">
        <v>0.30821200750900313</v>
      </c>
      <c r="AK279" s="76">
        <v>0.30826316647688717</v>
      </c>
      <c r="AL279" s="76">
        <v>0.30831778041618374</v>
      </c>
      <c r="AM279" s="76">
        <v>0.30837590317440705</v>
      </c>
      <c r="AN279" s="76">
        <v>0.30843755614922153</v>
      </c>
      <c r="AO279" s="76">
        <v>0.30850272324786965</v>
      </c>
      <c r="AP279" s="76">
        <v>0.30857134608190007</v>
      </c>
      <c r="AQ279" s="76">
        <v>0.30864331964137059</v>
      </c>
      <c r="AR279" s="76">
        <v>0.30871848872007018</v>
      </c>
      <c r="AS279" s="76">
        <v>0.30879664537772417</v>
      </c>
      <c r="AT279" s="76">
        <v>0.30887752772181637</v>
      </c>
      <c r="AU279" s="76">
        <v>0.3089608202664027</v>
      </c>
      <c r="AV279" s="76">
        <v>0.30904615607529784</v>
      </c>
      <c r="AW279" s="76">
        <v>0.30913312082167577</v>
      </c>
      <c r="AX279" s="84">
        <v>0.30922125879764206</v>
      </c>
    </row>
    <row r="280" spans="1:50" x14ac:dyDescent="0.25">
      <c r="A280" s="356"/>
      <c r="B280" s="359"/>
      <c r="C280" s="360"/>
      <c r="D280" s="59" t="s">
        <v>20</v>
      </c>
      <c r="E280" s="166" t="str">
        <f>A265&amp;"/"&amp;B273&amp;"/"&amp;C277&amp;"/"&amp;D280</f>
        <v>Diesel oil fired power plants/Gas turbine /CHP/XS</v>
      </c>
      <c r="F280" s="79" t="str">
        <f>A265</f>
        <v>Diesel oil fired power plants</v>
      </c>
      <c r="G280" s="79" t="str">
        <f>B273</f>
        <v xml:space="preserve">Gas turbine </v>
      </c>
      <c r="H280" s="79" t="str">
        <f>C277</f>
        <v>CHP</v>
      </c>
      <c r="I280" s="167" t="str">
        <f t="shared" si="80"/>
        <v>XS</v>
      </c>
      <c r="J280" s="79">
        <v>0.29302496558055491</v>
      </c>
      <c r="K280" s="79">
        <v>0.29302834772515868</v>
      </c>
      <c r="L280" s="79">
        <v>0.29303207813192556</v>
      </c>
      <c r="M280" s="79">
        <v>0.29303619180719581</v>
      </c>
      <c r="N280" s="79">
        <v>0.29304072708934886</v>
      </c>
      <c r="O280" s="79">
        <v>0.29304572592498856</v>
      </c>
      <c r="P280" s="79">
        <v>0.29305123415880646</v>
      </c>
      <c r="Q280" s="79">
        <v>0.29305730183551792</v>
      </c>
      <c r="R280" s="79">
        <v>0.29306398351154034</v>
      </c>
      <c r="S280" s="79">
        <v>0.29307133857319562</v>
      </c>
      <c r="T280" s="79">
        <v>0.29307943155714689</v>
      </c>
      <c r="U280" s="79">
        <v>0.29308833246749372</v>
      </c>
      <c r="V280" s="79">
        <v>0.29309811708242928</v>
      </c>
      <c r="W280" s="79">
        <v>0.29310886724158136</v>
      </c>
      <c r="X280" s="79">
        <v>0.29312067110309786</v>
      </c>
      <c r="Y280" s="79">
        <v>0.29313362335718507</v>
      </c>
      <c r="Z280" s="79">
        <v>0.2931478253801611</v>
      </c>
      <c r="AA280" s="79">
        <v>0.29316338531016861</v>
      </c>
      <c r="AB280" s="79">
        <v>0.29318041802253009</v>
      </c>
      <c r="AC280" s="79">
        <v>0.29319904497941035</v>
      </c>
      <c r="AD280" s="79">
        <v>0.29321939392507457</v>
      </c>
      <c r="AE280" s="79">
        <v>0.29324159839476899</v>
      </c>
      <c r="AF280" s="79">
        <v>0.29326579700232669</v>
      </c>
      <c r="AG280" s="79">
        <v>0.29329213246932179</v>
      </c>
      <c r="AH280" s="79">
        <v>0.29332075035733368</v>
      </c>
      <c r="AI280" s="79">
        <v>0.29335179746512097</v>
      </c>
      <c r="AJ280" s="79">
        <v>0.29338541985478939</v>
      </c>
      <c r="AK280" s="79">
        <v>0.29342176047599683</v>
      </c>
      <c r="AL280" s="79">
        <v>0.29346095636554226</v>
      </c>
      <c r="AM280" s="79">
        <v>0.29350313541198825</v>
      </c>
      <c r="AN280" s="79">
        <v>0.29354841269186027</v>
      </c>
      <c r="AO280" s="79">
        <v>0.29359688640584664</v>
      </c>
      <c r="AP280" s="79">
        <v>0.29364863347040088</v>
      </c>
      <c r="AQ280" s="79">
        <v>0.29370370485187913</v>
      </c>
      <c r="AR280" s="79">
        <v>0.29376212076589214</v>
      </c>
      <c r="AS280" s="79">
        <v>0.29382386590224591</v>
      </c>
      <c r="AT280" s="79">
        <v>0.29388888487318543</v>
      </c>
      <c r="AU280" s="79">
        <v>0.29395707811631572</v>
      </c>
      <c r="AV280" s="79">
        <v>0.29402829850948042</v>
      </c>
      <c r="AW280" s="79">
        <v>0.29410234896851079</v>
      </c>
      <c r="AX280" s="87">
        <v>0.29417898129556969</v>
      </c>
    </row>
    <row r="281" spans="1:50" x14ac:dyDescent="0.25">
      <c r="A281" s="356"/>
      <c r="B281" s="359"/>
      <c r="C281" s="361" t="s">
        <v>15</v>
      </c>
      <c r="D281" s="58" t="s">
        <v>7</v>
      </c>
      <c r="E281" s="164" t="str">
        <f>A265&amp;"/"&amp;B273&amp;"/"&amp;C281&amp;"/"&amp;D281</f>
        <v>Diesel oil fired power plants/Gas turbine /Electricity only with CCS/L</v>
      </c>
      <c r="F281" s="78" t="str">
        <f>A265</f>
        <v>Diesel oil fired power plants</v>
      </c>
      <c r="G281" s="78" t="str">
        <f>B273</f>
        <v xml:space="preserve">Gas turbine </v>
      </c>
      <c r="H281" s="78" t="str">
        <f>C281</f>
        <v>Electricity only with CCS</v>
      </c>
      <c r="I281" s="165" t="str">
        <f t="shared" si="80"/>
        <v>L</v>
      </c>
      <c r="J281" s="78" t="s">
        <v>112</v>
      </c>
      <c r="K281" s="78" t="s">
        <v>112</v>
      </c>
      <c r="L281" s="78" t="s">
        <v>112</v>
      </c>
      <c r="M281" s="78" t="s">
        <v>112</v>
      </c>
      <c r="N281" s="78" t="s">
        <v>112</v>
      </c>
      <c r="O281" s="78" t="s">
        <v>112</v>
      </c>
      <c r="P281" s="78" t="s">
        <v>112</v>
      </c>
      <c r="Q281" s="78" t="s">
        <v>112</v>
      </c>
      <c r="R281" s="78" t="s">
        <v>112</v>
      </c>
      <c r="S281" s="78" t="s">
        <v>112</v>
      </c>
      <c r="T281" s="78" t="s">
        <v>112</v>
      </c>
      <c r="U281" s="78" t="s">
        <v>112</v>
      </c>
      <c r="V281" s="78" t="s">
        <v>112</v>
      </c>
      <c r="W281" s="78" t="s">
        <v>112</v>
      </c>
      <c r="X281" s="78" t="s">
        <v>112</v>
      </c>
      <c r="Y281" s="78" t="s">
        <v>112</v>
      </c>
      <c r="Z281" s="78" t="s">
        <v>112</v>
      </c>
      <c r="AA281" s="78" t="s">
        <v>112</v>
      </c>
      <c r="AB281" s="78" t="s">
        <v>112</v>
      </c>
      <c r="AC281" s="78" t="s">
        <v>112</v>
      </c>
      <c r="AD281" s="78" t="s">
        <v>112</v>
      </c>
      <c r="AE281" s="78">
        <v>0.355366027007818</v>
      </c>
      <c r="AF281" s="78">
        <v>0.355366027007818</v>
      </c>
      <c r="AG281" s="78">
        <v>0.355366027007818</v>
      </c>
      <c r="AH281" s="78">
        <v>0.355366027007818</v>
      </c>
      <c r="AI281" s="78">
        <v>0.355366027007818</v>
      </c>
      <c r="AJ281" s="78">
        <v>0.355366027007818</v>
      </c>
      <c r="AK281" s="78">
        <v>0.355366027007818</v>
      </c>
      <c r="AL281" s="78">
        <v>0.355366027007818</v>
      </c>
      <c r="AM281" s="78">
        <v>0.355366027007818</v>
      </c>
      <c r="AN281" s="78">
        <v>0.355366027007818</v>
      </c>
      <c r="AO281" s="78">
        <v>0.355366027007818</v>
      </c>
      <c r="AP281" s="78">
        <v>0.355366027007818</v>
      </c>
      <c r="AQ281" s="78">
        <v>0.355366027007818</v>
      </c>
      <c r="AR281" s="78">
        <v>0.355366027007818</v>
      </c>
      <c r="AS281" s="78">
        <v>0.355366027007818</v>
      </c>
      <c r="AT281" s="78">
        <v>0.355366027007818</v>
      </c>
      <c r="AU281" s="78">
        <v>0.355366027007818</v>
      </c>
      <c r="AV281" s="78">
        <v>0.355366027007818</v>
      </c>
      <c r="AW281" s="78">
        <v>0.355366027007818</v>
      </c>
      <c r="AX281" s="86">
        <v>0.355366027007818</v>
      </c>
    </row>
    <row r="282" spans="1:50" x14ac:dyDescent="0.25">
      <c r="A282" s="356"/>
      <c r="B282" s="359"/>
      <c r="C282" s="360"/>
      <c r="D282" s="59" t="s">
        <v>8</v>
      </c>
      <c r="E282" s="166" t="str">
        <f>A265&amp;"/"&amp;B273&amp;"/"&amp;C281&amp;"/"&amp;D282</f>
        <v>Diesel oil fired power plants/Gas turbine /Electricity only with CCS/M</v>
      </c>
      <c r="F282" s="79" t="str">
        <f>A265</f>
        <v>Diesel oil fired power plants</v>
      </c>
      <c r="G282" s="79" t="str">
        <f>B273</f>
        <v xml:space="preserve">Gas turbine </v>
      </c>
      <c r="H282" s="79" t="str">
        <f>C281</f>
        <v>Electricity only with CCS</v>
      </c>
      <c r="I282" s="167" t="str">
        <f t="shared" si="80"/>
        <v>M</v>
      </c>
      <c r="J282" s="79" t="s">
        <v>112</v>
      </c>
      <c r="K282" s="79" t="s">
        <v>112</v>
      </c>
      <c r="L282" s="79" t="s">
        <v>112</v>
      </c>
      <c r="M282" s="79" t="s">
        <v>112</v>
      </c>
      <c r="N282" s="79" t="s">
        <v>112</v>
      </c>
      <c r="O282" s="79" t="s">
        <v>112</v>
      </c>
      <c r="P282" s="79" t="s">
        <v>112</v>
      </c>
      <c r="Q282" s="79" t="s">
        <v>112</v>
      </c>
      <c r="R282" s="79" t="s">
        <v>112</v>
      </c>
      <c r="S282" s="79" t="s">
        <v>112</v>
      </c>
      <c r="T282" s="79" t="s">
        <v>112</v>
      </c>
      <c r="U282" s="79" t="s">
        <v>112</v>
      </c>
      <c r="V282" s="79" t="s">
        <v>112</v>
      </c>
      <c r="W282" s="79" t="s">
        <v>112</v>
      </c>
      <c r="X282" s="79" t="s">
        <v>112</v>
      </c>
      <c r="Y282" s="79" t="s">
        <v>112</v>
      </c>
      <c r="Z282" s="79" t="s">
        <v>112</v>
      </c>
      <c r="AA282" s="79" t="s">
        <v>112</v>
      </c>
      <c r="AB282" s="79" t="s">
        <v>112</v>
      </c>
      <c r="AC282" s="79" t="s">
        <v>112</v>
      </c>
      <c r="AD282" s="79" t="s">
        <v>112</v>
      </c>
      <c r="AE282" s="79">
        <v>0.33844383524554089</v>
      </c>
      <c r="AF282" s="79">
        <v>0.33844383524554089</v>
      </c>
      <c r="AG282" s="79">
        <v>0.33844383524554089</v>
      </c>
      <c r="AH282" s="79">
        <v>0.33844383524554089</v>
      </c>
      <c r="AI282" s="79">
        <v>0.33844383524554089</v>
      </c>
      <c r="AJ282" s="79">
        <v>0.33844383524554089</v>
      </c>
      <c r="AK282" s="79">
        <v>0.33844383524554089</v>
      </c>
      <c r="AL282" s="79">
        <v>0.33844383524554089</v>
      </c>
      <c r="AM282" s="79">
        <v>0.33844383524554089</v>
      </c>
      <c r="AN282" s="79">
        <v>0.33844383524554089</v>
      </c>
      <c r="AO282" s="79">
        <v>0.33844383524554089</v>
      </c>
      <c r="AP282" s="79">
        <v>0.33844383524554089</v>
      </c>
      <c r="AQ282" s="79">
        <v>0.33844383524554089</v>
      </c>
      <c r="AR282" s="79">
        <v>0.33844383524554089</v>
      </c>
      <c r="AS282" s="79">
        <v>0.33844383524554089</v>
      </c>
      <c r="AT282" s="79">
        <v>0.33844383524554089</v>
      </c>
      <c r="AU282" s="79">
        <v>0.33844383524554089</v>
      </c>
      <c r="AV282" s="79">
        <v>0.33844383524554089</v>
      </c>
      <c r="AW282" s="79">
        <v>0.33844383524554089</v>
      </c>
      <c r="AX282" s="87">
        <v>0.33844383524554089</v>
      </c>
    </row>
    <row r="283" spans="1:50" x14ac:dyDescent="0.25">
      <c r="A283" s="356"/>
      <c r="B283" s="359"/>
      <c r="C283" s="361" t="s">
        <v>16</v>
      </c>
      <c r="D283" s="2" t="s">
        <v>7</v>
      </c>
      <c r="E283" s="160" t="str">
        <f>A265&amp;"/"&amp;B273&amp;"/"&amp;C283&amp;"/"&amp;D283</f>
        <v>Diesel oil fired power plants/Gas turbine /CHP with CCS/L</v>
      </c>
      <c r="F283" s="76" t="str">
        <f>A265</f>
        <v>Diesel oil fired power plants</v>
      </c>
      <c r="G283" s="76" t="str">
        <f>B273</f>
        <v xml:space="preserve">Gas turbine </v>
      </c>
      <c r="H283" s="76" t="str">
        <f>C283</f>
        <v>CHP with CCS</v>
      </c>
      <c r="I283" s="161" t="str">
        <f t="shared" si="80"/>
        <v>L</v>
      </c>
      <c r="J283" s="76" t="s">
        <v>112</v>
      </c>
      <c r="K283" s="76" t="s">
        <v>112</v>
      </c>
      <c r="L283" s="76" t="s">
        <v>112</v>
      </c>
      <c r="M283" s="76" t="s">
        <v>112</v>
      </c>
      <c r="N283" s="76" t="s">
        <v>112</v>
      </c>
      <c r="O283" s="76" t="s">
        <v>112</v>
      </c>
      <c r="P283" s="76" t="s">
        <v>112</v>
      </c>
      <c r="Q283" s="76" t="s">
        <v>112</v>
      </c>
      <c r="R283" s="76" t="s">
        <v>112</v>
      </c>
      <c r="S283" s="76" t="s">
        <v>112</v>
      </c>
      <c r="T283" s="76" t="s">
        <v>112</v>
      </c>
      <c r="U283" s="76" t="s">
        <v>112</v>
      </c>
      <c r="V283" s="76" t="s">
        <v>112</v>
      </c>
      <c r="W283" s="76" t="s">
        <v>112</v>
      </c>
      <c r="X283" s="76" t="s">
        <v>112</v>
      </c>
      <c r="Y283" s="76" t="s">
        <v>112</v>
      </c>
      <c r="Z283" s="76" t="s">
        <v>112</v>
      </c>
      <c r="AA283" s="76" t="s">
        <v>112</v>
      </c>
      <c r="AB283" s="76" t="s">
        <v>112</v>
      </c>
      <c r="AC283" s="76" t="s">
        <v>112</v>
      </c>
      <c r="AD283" s="76" t="s">
        <v>112</v>
      </c>
      <c r="AE283" s="76">
        <v>0.32306002455256183</v>
      </c>
      <c r="AF283" s="76">
        <v>0.32306002455256183</v>
      </c>
      <c r="AG283" s="76">
        <v>0.32306002455256183</v>
      </c>
      <c r="AH283" s="76">
        <v>0.32306002455256183</v>
      </c>
      <c r="AI283" s="76">
        <v>0.32306002455256183</v>
      </c>
      <c r="AJ283" s="76">
        <v>0.32306002455256183</v>
      </c>
      <c r="AK283" s="76">
        <v>0.32306002455256183</v>
      </c>
      <c r="AL283" s="76">
        <v>0.32306002455256183</v>
      </c>
      <c r="AM283" s="76">
        <v>0.32306002455256183</v>
      </c>
      <c r="AN283" s="76">
        <v>0.32306002455256183</v>
      </c>
      <c r="AO283" s="76">
        <v>0.32306002455256183</v>
      </c>
      <c r="AP283" s="76">
        <v>0.32306002455256183</v>
      </c>
      <c r="AQ283" s="76">
        <v>0.32306002455256183</v>
      </c>
      <c r="AR283" s="76">
        <v>0.32306002455256183</v>
      </c>
      <c r="AS283" s="76">
        <v>0.32306002455256183</v>
      </c>
      <c r="AT283" s="76">
        <v>0.32306002455256183</v>
      </c>
      <c r="AU283" s="76">
        <v>0.32306002455256183</v>
      </c>
      <c r="AV283" s="76">
        <v>0.32306002455256183</v>
      </c>
      <c r="AW283" s="76">
        <v>0.32306002455256183</v>
      </c>
      <c r="AX283" s="84">
        <v>0.32306002455256183</v>
      </c>
    </row>
    <row r="284" spans="1:50" x14ac:dyDescent="0.25">
      <c r="A284" s="356"/>
      <c r="B284" s="362"/>
      <c r="C284" s="354"/>
      <c r="D284" s="4" t="s">
        <v>8</v>
      </c>
      <c r="E284" s="168" t="str">
        <f>A265&amp;"/"&amp;B273&amp;"/"&amp;C283&amp;"/"&amp;D284</f>
        <v>Diesel oil fired power plants/Gas turbine /CHP with CCS/M</v>
      </c>
      <c r="F284" s="80" t="str">
        <f>A265</f>
        <v>Diesel oil fired power plants</v>
      </c>
      <c r="G284" s="80" t="str">
        <f>B273</f>
        <v xml:space="preserve">Gas turbine </v>
      </c>
      <c r="H284" s="80" t="str">
        <f>C283</f>
        <v>CHP with CCS</v>
      </c>
      <c r="I284" s="169" t="str">
        <f t="shared" si="80"/>
        <v>M</v>
      </c>
      <c r="J284" s="80" t="s">
        <v>112</v>
      </c>
      <c r="K284" s="80" t="s">
        <v>112</v>
      </c>
      <c r="L284" s="80" t="s">
        <v>112</v>
      </c>
      <c r="M284" s="80" t="s">
        <v>112</v>
      </c>
      <c r="N284" s="80" t="s">
        <v>112</v>
      </c>
      <c r="O284" s="80" t="s">
        <v>112</v>
      </c>
      <c r="P284" s="80" t="s">
        <v>112</v>
      </c>
      <c r="Q284" s="80" t="s">
        <v>112</v>
      </c>
      <c r="R284" s="80" t="s">
        <v>112</v>
      </c>
      <c r="S284" s="80" t="s">
        <v>112</v>
      </c>
      <c r="T284" s="80" t="s">
        <v>112</v>
      </c>
      <c r="U284" s="80" t="s">
        <v>112</v>
      </c>
      <c r="V284" s="80" t="s">
        <v>112</v>
      </c>
      <c r="W284" s="80" t="s">
        <v>112</v>
      </c>
      <c r="X284" s="80" t="s">
        <v>112</v>
      </c>
      <c r="Y284" s="80" t="s">
        <v>112</v>
      </c>
      <c r="Z284" s="80" t="s">
        <v>112</v>
      </c>
      <c r="AA284" s="80" t="s">
        <v>112</v>
      </c>
      <c r="AB284" s="80" t="s">
        <v>112</v>
      </c>
      <c r="AC284" s="80" t="s">
        <v>112</v>
      </c>
      <c r="AD284" s="80" t="s">
        <v>112</v>
      </c>
      <c r="AE284" s="80">
        <v>0.30767621385958266</v>
      </c>
      <c r="AF284" s="80">
        <v>0.30767621385958266</v>
      </c>
      <c r="AG284" s="80">
        <v>0.30767621385958266</v>
      </c>
      <c r="AH284" s="80">
        <v>0.30767621385958266</v>
      </c>
      <c r="AI284" s="80">
        <v>0.30767621385958266</v>
      </c>
      <c r="AJ284" s="80">
        <v>0.30767621385958266</v>
      </c>
      <c r="AK284" s="80">
        <v>0.30767621385958266</v>
      </c>
      <c r="AL284" s="80">
        <v>0.30767621385958266</v>
      </c>
      <c r="AM284" s="80">
        <v>0.30767621385958266</v>
      </c>
      <c r="AN284" s="80">
        <v>0.30767621385958266</v>
      </c>
      <c r="AO284" s="80">
        <v>0.30767621385958266</v>
      </c>
      <c r="AP284" s="80">
        <v>0.30767621385958266</v>
      </c>
      <c r="AQ284" s="80">
        <v>0.30767621385958266</v>
      </c>
      <c r="AR284" s="80">
        <v>0.30767621385958266</v>
      </c>
      <c r="AS284" s="80">
        <v>0.30767621385958266</v>
      </c>
      <c r="AT284" s="80">
        <v>0.30767621385958266</v>
      </c>
      <c r="AU284" s="80">
        <v>0.30767621385958266</v>
      </c>
      <c r="AV284" s="80">
        <v>0.30767621385958266</v>
      </c>
      <c r="AW284" s="80">
        <v>0.30767621385958266</v>
      </c>
      <c r="AX284" s="88">
        <v>0.30767621385958266</v>
      </c>
    </row>
    <row r="285" spans="1:50" x14ac:dyDescent="0.25">
      <c r="A285" s="356"/>
      <c r="B285" s="358" t="s">
        <v>19</v>
      </c>
      <c r="C285" s="353" t="s">
        <v>6</v>
      </c>
      <c r="D285" s="3" t="s">
        <v>7</v>
      </c>
      <c r="E285" s="162" t="str">
        <f>A265&amp;"/"&amp;B285&amp;"/"&amp;C285&amp;"/"&amp;D285</f>
        <v>Diesel oil fired power plants/Steam turbine/Electricity only/L</v>
      </c>
      <c r="F285" s="77" t="str">
        <f>A265</f>
        <v>Diesel oil fired power plants</v>
      </c>
      <c r="G285" s="77" t="str">
        <f>B285</f>
        <v>Steam turbine</v>
      </c>
      <c r="H285" s="77" t="str">
        <f>C285</f>
        <v>Electricity only</v>
      </c>
      <c r="I285" s="163" t="str">
        <f t="shared" si="80"/>
        <v>L</v>
      </c>
      <c r="J285" s="77">
        <v>0.42211903756859431</v>
      </c>
      <c r="K285" s="77">
        <v>0.42213404040484287</v>
      </c>
      <c r="L285" s="77">
        <v>0.42214871999426173</v>
      </c>
      <c r="M285" s="77">
        <v>0.42216308026657218</v>
      </c>
      <c r="N285" s="77">
        <v>0.42217712526464135</v>
      </c>
      <c r="O285" s="77">
        <v>0.42219085913432552</v>
      </c>
      <c r="P285" s="77">
        <v>0.42220428611462074</v>
      </c>
      <c r="Q285" s="77">
        <v>0.42221741052813211</v>
      </c>
      <c r="R285" s="77">
        <v>0.4222302367718675</v>
      </c>
      <c r="S285" s="77">
        <v>0.42224276930836252</v>
      </c>
      <c r="T285" s="77">
        <v>0.42225501265713827</v>
      </c>
      <c r="U285" s="77">
        <v>0.42226697138649655</v>
      </c>
      <c r="V285" s="77">
        <v>0.42227865010565296</v>
      </c>
      <c r="W285" s="77">
        <v>0.42229005345720672</v>
      </c>
      <c r="X285" s="77">
        <v>0.42230118610994821</v>
      </c>
      <c r="Y285" s="77">
        <v>0.42231205275199929</v>
      </c>
      <c r="Z285" s="77">
        <v>0.42232265808428521</v>
      </c>
      <c r="AA285" s="77">
        <v>0.42233300681433322</v>
      </c>
      <c r="AB285" s="77">
        <v>0.42234310365039229</v>
      </c>
      <c r="AC285" s="77">
        <v>0.42235295329586958</v>
      </c>
      <c r="AD285" s="77">
        <v>0.42236256044407688</v>
      </c>
      <c r="AE285" s="77">
        <v>0.42237192977327986</v>
      </c>
      <c r="AF285" s="77">
        <v>0.42238106594204305</v>
      </c>
      <c r="AG285" s="77">
        <v>0.42238997358486347</v>
      </c>
      <c r="AH285" s="77">
        <v>0.42239865730808451</v>
      </c>
      <c r="AI285" s="77">
        <v>0.42240712168608108</v>
      </c>
      <c r="AJ285" s="77">
        <v>0.42241537125770867</v>
      </c>
      <c r="AK285" s="77">
        <v>0.42242341052300653</v>
      </c>
      <c r="AL285" s="77">
        <v>0.42243124394014714</v>
      </c>
      <c r="AM285" s="77">
        <v>0.42243887592262291</v>
      </c>
      <c r="AN285" s="77">
        <v>0.42244631083665901</v>
      </c>
      <c r="AO285" s="77">
        <v>0.42245355299884768</v>
      </c>
      <c r="AP285" s="77">
        <v>0.42246060667398994</v>
      </c>
      <c r="AQ285" s="77">
        <v>0.42246747607314</v>
      </c>
      <c r="AR285" s="77">
        <v>0.42247416535184146</v>
      </c>
      <c r="AS285" s="77">
        <v>0.42248067860854688</v>
      </c>
      <c r="AT285" s="77">
        <v>0.42248701988321202</v>
      </c>
      <c r="AU285" s="77">
        <v>0.42249319315605682</v>
      </c>
      <c r="AV285" s="77">
        <v>0.42249920234648519</v>
      </c>
      <c r="AW285" s="77">
        <v>0.42250505131215349</v>
      </c>
      <c r="AX285" s="85">
        <v>0.42251074384818271</v>
      </c>
    </row>
    <row r="286" spans="1:50" x14ac:dyDescent="0.25">
      <c r="A286" s="356"/>
      <c r="B286" s="359"/>
      <c r="C286" s="350"/>
      <c r="D286" s="2" t="s">
        <v>8</v>
      </c>
      <c r="E286" s="160" t="str">
        <f>A265&amp;"/"&amp;B285&amp;"/"&amp;C285&amp;"/"&amp;D286</f>
        <v>Diesel oil fired power plants/Steam turbine/Electricity only/M</v>
      </c>
      <c r="F286" s="76" t="str">
        <f>A265</f>
        <v>Diesel oil fired power plants</v>
      </c>
      <c r="G286" s="76" t="str">
        <f>B285</f>
        <v>Steam turbine</v>
      </c>
      <c r="H286" s="76" t="str">
        <f>C285</f>
        <v>Electricity only</v>
      </c>
      <c r="I286" s="161" t="str">
        <f t="shared" si="80"/>
        <v>M</v>
      </c>
      <c r="J286" s="76">
        <v>0.40201813101770884</v>
      </c>
      <c r="K286" s="76">
        <v>0.40202884775776881</v>
      </c>
      <c r="L286" s="76">
        <v>0.40203933442729617</v>
      </c>
      <c r="M286" s="76">
        <v>0.40204959377953381</v>
      </c>
      <c r="N286" s="76">
        <v>0.40205962865062439</v>
      </c>
      <c r="O286" s="76">
        <v>0.40206944195233185</v>
      </c>
      <c r="P286" s="76">
        <v>0.40207903666498024</v>
      </c>
      <c r="Q286" s="76">
        <v>0.40208841583061539</v>
      </c>
      <c r="R286" s="76">
        <v>0.40209758254639455</v>
      </c>
      <c r="S286" s="76">
        <v>0.40210653995821</v>
      </c>
      <c r="T286" s="76">
        <v>0.40211529125454759</v>
      </c>
      <c r="U286" s="76">
        <v>0.40212383966058352</v>
      </c>
      <c r="V286" s="76">
        <v>0.40213218843252058</v>
      </c>
      <c r="W286" s="76">
        <v>0.40214034085216388</v>
      </c>
      <c r="X286" s="76">
        <v>0.40214830022173476</v>
      </c>
      <c r="Y286" s="76">
        <v>0.40215606985892294</v>
      </c>
      <c r="Z286" s="76">
        <v>0.4021636530921735</v>
      </c>
      <c r="AA286" s="76">
        <v>0.40217105325620711</v>
      </c>
      <c r="AB286" s="76">
        <v>0.40217827368776854</v>
      </c>
      <c r="AC286" s="76">
        <v>0.40218531772160238</v>
      </c>
      <c r="AD286" s="76">
        <v>0.40219218868664852</v>
      </c>
      <c r="AE286" s="76">
        <v>0.40219888990245545</v>
      </c>
      <c r="AF286" s="76">
        <v>0.40220542467580445</v>
      </c>
      <c r="AG286" s="76">
        <v>0.40221179629754028</v>
      </c>
      <c r="AH286" s="76">
        <v>0.40221800803960295</v>
      </c>
      <c r="AI286" s="76">
        <v>0.40222406315225362</v>
      </c>
      <c r="AJ286" s="76">
        <v>0.40222996486149026</v>
      </c>
      <c r="AK286" s="76">
        <v>0.40223571636664518</v>
      </c>
      <c r="AL286" s="76">
        <v>0.40224132083815978</v>
      </c>
      <c r="AM286" s="76">
        <v>0.402246781415529</v>
      </c>
      <c r="AN286" s="76">
        <v>0.40225210120541038</v>
      </c>
      <c r="AO286" s="76">
        <v>0.40225728327988935</v>
      </c>
      <c r="AP286" s="76">
        <v>0.40226233067489697</v>
      </c>
      <c r="AQ286" s="76">
        <v>0.40226724638877159</v>
      </c>
      <c r="AR286" s="76">
        <v>0.40227203338095929</v>
      </c>
      <c r="AS286" s="76">
        <v>0.40227669457084675</v>
      </c>
      <c r="AT286" s="76">
        <v>0.40228123283672024</v>
      </c>
      <c r="AU286" s="76">
        <v>0.40228565101484448</v>
      </c>
      <c r="AV286" s="76">
        <v>0.40228995189865641</v>
      </c>
      <c r="AW286" s="76">
        <v>0.40229413823806676</v>
      </c>
      <c r="AX286" s="84">
        <v>0.40229821273886512</v>
      </c>
    </row>
    <row r="287" spans="1:50" x14ac:dyDescent="0.25">
      <c r="A287" s="356"/>
      <c r="B287" s="359"/>
      <c r="C287" s="360"/>
      <c r="D287" s="2" t="s">
        <v>10</v>
      </c>
      <c r="E287" s="160" t="str">
        <f>A265&amp;"/"&amp;B285&amp;"/"&amp;C285&amp;"/"&amp;D287</f>
        <v>Diesel oil fired power plants/Steam turbine/Electricity only/S</v>
      </c>
      <c r="F287" s="76" t="str">
        <f>A265</f>
        <v>Diesel oil fired power plants</v>
      </c>
      <c r="G287" s="76" t="str">
        <f>B285</f>
        <v>Steam turbine</v>
      </c>
      <c r="H287" s="76" t="str">
        <f>C285</f>
        <v>Electricity only</v>
      </c>
      <c r="I287" s="161" t="str">
        <f t="shared" si="80"/>
        <v>S</v>
      </c>
      <c r="J287" s="76">
        <v>0.38287441049305598</v>
      </c>
      <c r="K287" s="76">
        <v>0.38288291601234575</v>
      </c>
      <c r="L287" s="76">
        <v>0.38289123926147761</v>
      </c>
      <c r="M287" s="76">
        <v>0.38289938240432803</v>
      </c>
      <c r="N287" s="76">
        <v>0.38290734767138246</v>
      </c>
      <c r="O287" s="76">
        <v>0.38291513735395083</v>
      </c>
      <c r="P287" s="76">
        <v>0.38292275379855378</v>
      </c>
      <c r="Q287" s="76">
        <v>0.38293019940148343</v>
      </c>
      <c r="R287" s="76">
        <v>0.38293747660354488</v>
      </c>
      <c r="S287" s="76">
        <v>0.3829445878849807</v>
      </c>
      <c r="T287" s="76">
        <v>0.38295153576058211</v>
      </c>
      <c r="U287" s="76">
        <v>0.3829583227749872</v>
      </c>
      <c r="V287" s="76">
        <v>0.38296495149816923</v>
      </c>
      <c r="W287" s="76">
        <v>0.38297142452111288</v>
      </c>
      <c r="X287" s="76">
        <v>0.38297774445168115</v>
      </c>
      <c r="Y287" s="76">
        <v>0.38298391391066827</v>
      </c>
      <c r="Z287" s="76">
        <v>0.382989935528041</v>
      </c>
      <c r="AA287" s="76">
        <v>0.38299581193936266</v>
      </c>
      <c r="AB287" s="76">
        <v>0.3830015457823997</v>
      </c>
      <c r="AC287" s="76">
        <v>0.38300713969390759</v>
      </c>
      <c r="AD287" s="76">
        <v>0.38301259630659151</v>
      </c>
      <c r="AE287" s="76">
        <v>0.38301791824623999</v>
      </c>
      <c r="AF287" s="76">
        <v>0.38302310812902512</v>
      </c>
      <c r="AG287" s="76">
        <v>0.38302816855896815</v>
      </c>
      <c r="AH287" s="76">
        <v>0.38303310212556407</v>
      </c>
      <c r="AI287" s="76">
        <v>0.38303791140156063</v>
      </c>
      <c r="AJ287" s="76">
        <v>0.38304259894088794</v>
      </c>
      <c r="AK287" s="76">
        <v>0.38304716727673388</v>
      </c>
      <c r="AL287" s="76">
        <v>0.38305161891975908</v>
      </c>
      <c r="AM287" s="76">
        <v>0.38305595635644774</v>
      </c>
      <c r="AN287" s="76">
        <v>0.38306018204758951</v>
      </c>
      <c r="AO287" s="76">
        <v>0.38306429842688561</v>
      </c>
      <c r="AP287" s="76">
        <v>0.38306830789967677</v>
      </c>
      <c r="AQ287" s="76">
        <v>0.38307221284178478</v>
      </c>
      <c r="AR287" s="76">
        <v>0.38307601559846655</v>
      </c>
      <c r="AS287" s="76">
        <v>0.38307971848347133</v>
      </c>
      <c r="AT287" s="76">
        <v>0.38308332377820109</v>
      </c>
      <c r="AU287" s="76">
        <v>0.38308683373096447</v>
      </c>
      <c r="AV287" s="76">
        <v>0.38309025055632329</v>
      </c>
      <c r="AW287" s="76">
        <v>0.3830935764345253</v>
      </c>
      <c r="AX287" s="84">
        <v>0.38309681351101887</v>
      </c>
    </row>
    <row r="288" spans="1:50" x14ac:dyDescent="0.25">
      <c r="A288" s="356"/>
      <c r="B288" s="359"/>
      <c r="C288" s="361" t="s">
        <v>14</v>
      </c>
      <c r="D288" s="58" t="s">
        <v>7</v>
      </c>
      <c r="E288" s="164" t="str">
        <f>A265&amp;"/"&amp;B285&amp;"/"&amp;C288&amp;"/"&amp;D288</f>
        <v>Diesel oil fired power plants/Steam turbine/CHP/L</v>
      </c>
      <c r="F288" s="78" t="str">
        <f>A265</f>
        <v>Diesel oil fired power plants</v>
      </c>
      <c r="G288" s="78" t="str">
        <f>B285</f>
        <v>Steam turbine</v>
      </c>
      <c r="H288" s="78" t="str">
        <f>C288</f>
        <v>CHP</v>
      </c>
      <c r="I288" s="165" t="str">
        <f t="shared" si="80"/>
        <v>L</v>
      </c>
      <c r="J288" s="78">
        <v>0.38374457960781294</v>
      </c>
      <c r="K288" s="78">
        <v>0.38375099217297926</v>
      </c>
      <c r="L288" s="78">
        <v>0.38375730221956356</v>
      </c>
      <c r="M288" s="78">
        <v>0.38376351095341854</v>
      </c>
      <c r="N288" s="78">
        <v>0.38376961958194</v>
      </c>
      <c r="O288" s="78">
        <v>0.38377562931337539</v>
      </c>
      <c r="P288" s="78">
        <v>0.38378154135615672</v>
      </c>
      <c r="Q288" s="78">
        <v>0.38378735691825816</v>
      </c>
      <c r="R288" s="78">
        <v>0.38379307720657629</v>
      </c>
      <c r="S288" s="78">
        <v>0.38379870342633504</v>
      </c>
      <c r="T288" s="78">
        <v>0.38380423678051245</v>
      </c>
      <c r="U288" s="78">
        <v>0.38380967846929154</v>
      </c>
      <c r="V288" s="78">
        <v>0.38381502968953235</v>
      </c>
      <c r="W288" s="78">
        <v>0.38382029163426634</v>
      </c>
      <c r="X288" s="78">
        <v>0.3838254654922128</v>
      </c>
      <c r="Y288" s="78">
        <v>0.38383055244731562</v>
      </c>
      <c r="Z288" s="78">
        <v>0.38383555367830136</v>
      </c>
      <c r="AA288" s="78">
        <v>0.38384047035825741</v>
      </c>
      <c r="AB288" s="78">
        <v>0.38384530365422992</v>
      </c>
      <c r="AC288" s="78">
        <v>0.38385005472684097</v>
      </c>
      <c r="AD288" s="78">
        <v>0.38385472472992577</v>
      </c>
      <c r="AE288" s="78">
        <v>0.38385931481018654</v>
      </c>
      <c r="AF288" s="78">
        <v>0.38386382610686631</v>
      </c>
      <c r="AG288" s="78">
        <v>0.38386825975143868</v>
      </c>
      <c r="AH288" s="78">
        <v>0.38387261686731622</v>
      </c>
      <c r="AI288" s="78">
        <v>0.38387689856957474</v>
      </c>
      <c r="AJ288" s="78">
        <v>0.38388110596469321</v>
      </c>
      <c r="AK288" s="78">
        <v>0.38388524015031117</v>
      </c>
      <c r="AL288" s="78">
        <v>0.38388930221499984</v>
      </c>
      <c r="AM288" s="78">
        <v>0.38389329323804877</v>
      </c>
      <c r="AN288" s="78">
        <v>0.3838972142892671</v>
      </c>
      <c r="AO288" s="78">
        <v>0.38390106642879884</v>
      </c>
      <c r="AP288" s="78">
        <v>0.38390485070695063</v>
      </c>
      <c r="AQ288" s="78">
        <v>0.38390856816403424</v>
      </c>
      <c r="AR288" s="78">
        <v>0.38391221983022089</v>
      </c>
      <c r="AS288" s="78">
        <v>0.38391580672540765</v>
      </c>
      <c r="AT288" s="78">
        <v>0.38391932985909633</v>
      </c>
      <c r="AU288" s="78">
        <v>0.38392279023028347</v>
      </c>
      <c r="AV288" s="78">
        <v>0.3839261888273609</v>
      </c>
      <c r="AW288" s="78">
        <v>0.38392952662802865</v>
      </c>
      <c r="AX288" s="86">
        <v>0.38393280459921564</v>
      </c>
    </row>
    <row r="289" spans="1:50" x14ac:dyDescent="0.25">
      <c r="A289" s="356"/>
      <c r="B289" s="359"/>
      <c r="C289" s="350"/>
      <c r="D289" s="2" t="s">
        <v>8</v>
      </c>
      <c r="E289" s="160" t="str">
        <f>A265&amp;"/"&amp;B285&amp;"/"&amp;C288&amp;"/"&amp;D289</f>
        <v>Diesel oil fired power plants/Steam turbine/CHP/M</v>
      </c>
      <c r="F289" s="76" t="str">
        <f>A265</f>
        <v>Diesel oil fired power plants</v>
      </c>
      <c r="G289" s="76" t="str">
        <f>B285</f>
        <v>Steam turbine</v>
      </c>
      <c r="H289" s="76" t="str">
        <f>C288</f>
        <v>CHP</v>
      </c>
      <c r="I289" s="161" t="str">
        <f t="shared" si="80"/>
        <v>M</v>
      </c>
      <c r="J289" s="76">
        <v>0.36547102819791705</v>
      </c>
      <c r="K289" s="76">
        <v>0.36547472866400832</v>
      </c>
      <c r="L289" s="76">
        <v>0.36547836742494666</v>
      </c>
      <c r="M289" s="76">
        <v>0.36548194530132161</v>
      </c>
      <c r="N289" s="76">
        <v>0.36548546311046354</v>
      </c>
      <c r="O289" s="76">
        <v>0.36548892166613756</v>
      </c>
      <c r="P289" s="76">
        <v>0.36549232177825092</v>
      </c>
      <c r="Q289" s="76">
        <v>0.36549566425257418</v>
      </c>
      <c r="R289" s="76">
        <v>0.36549894989047638</v>
      </c>
      <c r="S289" s="76">
        <v>0.36550217948867242</v>
      </c>
      <c r="T289" s="76">
        <v>0.36550535383898397</v>
      </c>
      <c r="U289" s="76">
        <v>0.36550847372811235</v>
      </c>
      <c r="V289" s="76">
        <v>0.36551153993742369</v>
      </c>
      <c r="W289" s="76">
        <v>0.36551455324274629</v>
      </c>
      <c r="X289" s="76">
        <v>0.36551751441417935</v>
      </c>
      <c r="Y289" s="76">
        <v>0.36552042421591213</v>
      </c>
      <c r="Z289" s="76">
        <v>0.36552328340605522</v>
      </c>
      <c r="AA289" s="76">
        <v>0.36552609273648223</v>
      </c>
      <c r="AB289" s="76">
        <v>0.36552885295268062</v>
      </c>
      <c r="AC289" s="76">
        <v>0.36553156479361376</v>
      </c>
      <c r="AD289" s="76">
        <v>0.3655342289915926</v>
      </c>
      <c r="AE289" s="76">
        <v>0.36553684627215532</v>
      </c>
      <c r="AF289" s="76">
        <v>0.36553941735395856</v>
      </c>
      <c r="AG289" s="76">
        <v>0.36554194294867443</v>
      </c>
      <c r="AH289" s="76">
        <v>0.36554442376089885</v>
      </c>
      <c r="AI289" s="76">
        <v>0.36554686048806606</v>
      </c>
      <c r="AJ289" s="76">
        <v>0.36554925382037223</v>
      </c>
      <c r="AK289" s="76">
        <v>0.36555160444070572</v>
      </c>
      <c r="AL289" s="76">
        <v>0.36555391302458634</v>
      </c>
      <c r="AM289" s="76">
        <v>0.36555618024010944</v>
      </c>
      <c r="AN289" s="76">
        <v>0.36555840674789919</v>
      </c>
      <c r="AO289" s="76">
        <v>0.3655605932010666</v>
      </c>
      <c r="AP289" s="76">
        <v>0.3655627402451751</v>
      </c>
      <c r="AQ289" s="76">
        <v>0.36556484851821153</v>
      </c>
      <c r="AR289" s="76">
        <v>0.36556691865056312</v>
      </c>
      <c r="AS289" s="76">
        <v>0.36556895126500027</v>
      </c>
      <c r="AT289" s="76">
        <v>0.36557094697666459</v>
      </c>
      <c r="AU289" s="76">
        <v>0.36557290639306206</v>
      </c>
      <c r="AV289" s="76">
        <v>0.36557483011406106</v>
      </c>
      <c r="AW289" s="76">
        <v>0.36557671873189534</v>
      </c>
      <c r="AX289" s="84">
        <v>0.36557857283117129</v>
      </c>
    </row>
    <row r="290" spans="1:50" x14ac:dyDescent="0.25">
      <c r="A290" s="356"/>
      <c r="B290" s="359"/>
      <c r="C290" s="360"/>
      <c r="D290" s="59" t="s">
        <v>10</v>
      </c>
      <c r="E290" s="166" t="str">
        <f>A265&amp;"/"&amp;B285&amp;"/"&amp;C288&amp;"/"&amp;D290</f>
        <v>Diesel oil fired power plants/Steam turbine/CHP/S</v>
      </c>
      <c r="F290" s="79" t="str">
        <f>A265</f>
        <v>Diesel oil fired power plants</v>
      </c>
      <c r="G290" s="79" t="str">
        <f>B285</f>
        <v>Steam turbine</v>
      </c>
      <c r="H290" s="79" t="str">
        <f>C288</f>
        <v>CHP</v>
      </c>
      <c r="I290" s="167" t="str">
        <f t="shared" si="80"/>
        <v>S</v>
      </c>
      <c r="J290" s="79">
        <v>0.34806764590277811</v>
      </c>
      <c r="K290" s="79">
        <v>0.34806987121534655</v>
      </c>
      <c r="L290" s="79">
        <v>0.34807205778593586</v>
      </c>
      <c r="M290" s="79">
        <v>0.34807420619146129</v>
      </c>
      <c r="N290" s="79">
        <v>0.34807631700388081</v>
      </c>
      <c r="O290" s="79">
        <v>0.34807839079009245</v>
      </c>
      <c r="P290" s="79">
        <v>0.34808042811183715</v>
      </c>
      <c r="Q290" s="79">
        <v>0.34808242952561014</v>
      </c>
      <c r="R290" s="79">
        <v>0.34808439558257909</v>
      </c>
      <c r="S290" s="79">
        <v>0.34808632682850804</v>
      </c>
      <c r="T290" s="79">
        <v>0.34808822380368859</v>
      </c>
      <c r="U290" s="79">
        <v>0.34809008704287703</v>
      </c>
      <c r="V290" s="79">
        <v>0.34809191707523779</v>
      </c>
      <c r="W290" s="79">
        <v>0.34809371442429204</v>
      </c>
      <c r="X290" s="79">
        <v>0.34809547960787235</v>
      </c>
      <c r="Y290" s="79">
        <v>0.34809721313808295</v>
      </c>
      <c r="Z290" s="79">
        <v>0.34809891552126465</v>
      </c>
      <c r="AA290" s="79">
        <v>0.34810058725796517</v>
      </c>
      <c r="AB290" s="79">
        <v>0.34810222884291386</v>
      </c>
      <c r="AC290" s="79">
        <v>0.34810384076500123</v>
      </c>
      <c r="AD290" s="79">
        <v>0.34810542350726376</v>
      </c>
      <c r="AE290" s="79">
        <v>0.34810697754687081</v>
      </c>
      <c r="AF290" s="79">
        <v>0.348108503355118</v>
      </c>
      <c r="AG290" s="79">
        <v>0.34811000139742299</v>
      </c>
      <c r="AH290" s="79">
        <v>0.34811147213332549</v>
      </c>
      <c r="AI290" s="79">
        <v>0.34811291601649075</v>
      </c>
      <c r="AJ290" s="79">
        <v>0.3481143334947166</v>
      </c>
      <c r="AK290" s="79">
        <v>0.3481157250099432</v>
      </c>
      <c r="AL290" s="79">
        <v>0.34811709099826688</v>
      </c>
      <c r="AM290" s="79">
        <v>0.34811843188995606</v>
      </c>
      <c r="AN290" s="79">
        <v>0.34811974810947016</v>
      </c>
      <c r="AO290" s="79">
        <v>0.3481210400754815</v>
      </c>
      <c r="AP290" s="79">
        <v>0.34812230820089934</v>
      </c>
      <c r="AQ290" s="79">
        <v>0.34812355289289709</v>
      </c>
      <c r="AR290" s="79">
        <v>0.34812477455294016</v>
      </c>
      <c r="AS290" s="79">
        <v>0.34812597357681818</v>
      </c>
      <c r="AT290" s="79">
        <v>0.34812715035467712</v>
      </c>
      <c r="AU290" s="79">
        <v>0.34812830527105543</v>
      </c>
      <c r="AV290" s="79">
        <v>0.34812943870491958</v>
      </c>
      <c r="AW290" s="79">
        <v>0.34813055102970364</v>
      </c>
      <c r="AX290" s="87">
        <v>0.34813164261334928</v>
      </c>
    </row>
    <row r="291" spans="1:50" x14ac:dyDescent="0.25">
      <c r="A291" s="356"/>
      <c r="B291" s="359"/>
      <c r="C291" s="361" t="s">
        <v>15</v>
      </c>
      <c r="D291" s="58" t="s">
        <v>7</v>
      </c>
      <c r="E291" s="164" t="str">
        <f>A265&amp;"/"&amp;B285&amp;"/"&amp;C291&amp;"/"&amp;D291</f>
        <v>Diesel oil fired power plants/Steam turbine/Electricity only with CCS/L</v>
      </c>
      <c r="F291" s="78" t="str">
        <f>A265</f>
        <v>Diesel oil fired power plants</v>
      </c>
      <c r="G291" s="78" t="str">
        <f>B285</f>
        <v>Steam turbine</v>
      </c>
      <c r="H291" s="78" t="str">
        <f>C291</f>
        <v>Electricity only with CCS</v>
      </c>
      <c r="I291" s="165" t="str">
        <f t="shared" si="80"/>
        <v>L</v>
      </c>
      <c r="J291" s="78" t="s">
        <v>112</v>
      </c>
      <c r="K291" s="78" t="s">
        <v>112</v>
      </c>
      <c r="L291" s="78" t="s">
        <v>112</v>
      </c>
      <c r="M291" s="78" t="s">
        <v>112</v>
      </c>
      <c r="N291" s="78" t="s">
        <v>112</v>
      </c>
      <c r="O291" s="78" t="s">
        <v>112</v>
      </c>
      <c r="P291" s="78" t="s">
        <v>112</v>
      </c>
      <c r="Q291" s="78" t="s">
        <v>112</v>
      </c>
      <c r="R291" s="78" t="s">
        <v>112</v>
      </c>
      <c r="S291" s="78" t="s">
        <v>112</v>
      </c>
      <c r="T291" s="78" t="s">
        <v>112</v>
      </c>
      <c r="U291" s="78" t="s">
        <v>112</v>
      </c>
      <c r="V291" s="78" t="s">
        <v>112</v>
      </c>
      <c r="W291" s="78" t="s">
        <v>112</v>
      </c>
      <c r="X291" s="78" t="s">
        <v>112</v>
      </c>
      <c r="Y291" s="78" t="s">
        <v>112</v>
      </c>
      <c r="Z291" s="78" t="s">
        <v>112</v>
      </c>
      <c r="AA291" s="78" t="s">
        <v>112</v>
      </c>
      <c r="AB291" s="78" t="s">
        <v>112</v>
      </c>
      <c r="AC291" s="78" t="s">
        <v>112</v>
      </c>
      <c r="AD291" s="78" t="s">
        <v>112</v>
      </c>
      <c r="AE291" s="78">
        <v>0.40201813101770884</v>
      </c>
      <c r="AF291" s="78">
        <v>0.40201813101770884</v>
      </c>
      <c r="AG291" s="78">
        <v>0.40201813101770884</v>
      </c>
      <c r="AH291" s="78">
        <v>0.40201813101770884</v>
      </c>
      <c r="AI291" s="78">
        <v>0.40201813101770884</v>
      </c>
      <c r="AJ291" s="78">
        <v>0.40201813101770884</v>
      </c>
      <c r="AK291" s="78">
        <v>0.40201813101770884</v>
      </c>
      <c r="AL291" s="78">
        <v>0.40201813101770884</v>
      </c>
      <c r="AM291" s="78">
        <v>0.40201813101770884</v>
      </c>
      <c r="AN291" s="78">
        <v>0.40201813101770884</v>
      </c>
      <c r="AO291" s="78">
        <v>0.40201813101770884</v>
      </c>
      <c r="AP291" s="78">
        <v>0.40201813101770884</v>
      </c>
      <c r="AQ291" s="78">
        <v>0.40201813101770884</v>
      </c>
      <c r="AR291" s="78">
        <v>0.40201813101770884</v>
      </c>
      <c r="AS291" s="78">
        <v>0.40201813101770884</v>
      </c>
      <c r="AT291" s="78">
        <v>0.40201813101770884</v>
      </c>
      <c r="AU291" s="78">
        <v>0.40201813101770884</v>
      </c>
      <c r="AV291" s="78">
        <v>0.40201813101770884</v>
      </c>
      <c r="AW291" s="78">
        <v>0.40201813101770884</v>
      </c>
      <c r="AX291" s="86">
        <v>0.40201813101770884</v>
      </c>
    </row>
    <row r="292" spans="1:50" x14ac:dyDescent="0.25">
      <c r="A292" s="356"/>
      <c r="B292" s="359"/>
      <c r="C292" s="360"/>
      <c r="D292" s="59" t="s">
        <v>8</v>
      </c>
      <c r="E292" s="166" t="str">
        <f>A265&amp;"/"&amp;B285&amp;"/"&amp;C291&amp;"/"&amp;D292</f>
        <v>Diesel oil fired power plants/Steam turbine/Electricity only with CCS/M</v>
      </c>
      <c r="F292" s="79" t="str">
        <f>A265</f>
        <v>Diesel oil fired power plants</v>
      </c>
      <c r="G292" s="79" t="str">
        <f>B285</f>
        <v>Steam turbine</v>
      </c>
      <c r="H292" s="79" t="str">
        <f>C291</f>
        <v>Electricity only with CCS</v>
      </c>
      <c r="I292" s="167" t="str">
        <f t="shared" si="80"/>
        <v>M</v>
      </c>
      <c r="J292" s="79" t="s">
        <v>112</v>
      </c>
      <c r="K292" s="79" t="s">
        <v>112</v>
      </c>
      <c r="L292" s="79" t="s">
        <v>112</v>
      </c>
      <c r="M292" s="79" t="s">
        <v>112</v>
      </c>
      <c r="N292" s="79" t="s">
        <v>112</v>
      </c>
      <c r="O292" s="79" t="s">
        <v>112</v>
      </c>
      <c r="P292" s="79" t="s">
        <v>112</v>
      </c>
      <c r="Q292" s="79" t="s">
        <v>112</v>
      </c>
      <c r="R292" s="79" t="s">
        <v>112</v>
      </c>
      <c r="S292" s="79" t="s">
        <v>112</v>
      </c>
      <c r="T292" s="79" t="s">
        <v>112</v>
      </c>
      <c r="U292" s="79" t="s">
        <v>112</v>
      </c>
      <c r="V292" s="79" t="s">
        <v>112</v>
      </c>
      <c r="W292" s="79" t="s">
        <v>112</v>
      </c>
      <c r="X292" s="79" t="s">
        <v>112</v>
      </c>
      <c r="Y292" s="79" t="s">
        <v>112</v>
      </c>
      <c r="Z292" s="79" t="s">
        <v>112</v>
      </c>
      <c r="AA292" s="79" t="s">
        <v>112</v>
      </c>
      <c r="AB292" s="79" t="s">
        <v>112</v>
      </c>
      <c r="AC292" s="79" t="s">
        <v>112</v>
      </c>
      <c r="AD292" s="79" t="s">
        <v>112</v>
      </c>
      <c r="AE292" s="79">
        <v>0.38287441049305598</v>
      </c>
      <c r="AF292" s="79">
        <v>0.38287441049305598</v>
      </c>
      <c r="AG292" s="79">
        <v>0.38287441049305598</v>
      </c>
      <c r="AH292" s="79">
        <v>0.38287441049305598</v>
      </c>
      <c r="AI292" s="79">
        <v>0.38287441049305598</v>
      </c>
      <c r="AJ292" s="79">
        <v>0.38287441049305598</v>
      </c>
      <c r="AK292" s="79">
        <v>0.38287441049305598</v>
      </c>
      <c r="AL292" s="79">
        <v>0.38287441049305598</v>
      </c>
      <c r="AM292" s="79">
        <v>0.38287441049305598</v>
      </c>
      <c r="AN292" s="79">
        <v>0.38287441049305598</v>
      </c>
      <c r="AO292" s="79">
        <v>0.38287441049305598</v>
      </c>
      <c r="AP292" s="79">
        <v>0.38287441049305598</v>
      </c>
      <c r="AQ292" s="79">
        <v>0.38287441049305598</v>
      </c>
      <c r="AR292" s="79">
        <v>0.38287441049305598</v>
      </c>
      <c r="AS292" s="79">
        <v>0.38287441049305598</v>
      </c>
      <c r="AT292" s="79">
        <v>0.38287441049305598</v>
      </c>
      <c r="AU292" s="79">
        <v>0.38287441049305598</v>
      </c>
      <c r="AV292" s="79">
        <v>0.38287441049305598</v>
      </c>
      <c r="AW292" s="79">
        <v>0.38287441049305598</v>
      </c>
      <c r="AX292" s="87">
        <v>0.38287441049305598</v>
      </c>
    </row>
    <row r="293" spans="1:50" x14ac:dyDescent="0.25">
      <c r="A293" s="356"/>
      <c r="B293" s="359"/>
      <c r="C293" s="361" t="s">
        <v>16</v>
      </c>
      <c r="D293" s="2" t="s">
        <v>7</v>
      </c>
      <c r="E293" s="160" t="str">
        <f>A265&amp;"/"&amp;B285&amp;"/"&amp;C293&amp;"/"&amp;D293</f>
        <v>Diesel oil fired power plants/Steam turbine/CHP with CCS/L</v>
      </c>
      <c r="F293" s="76" t="str">
        <f>A265</f>
        <v>Diesel oil fired power plants</v>
      </c>
      <c r="G293" s="76" t="str">
        <f>B285</f>
        <v>Steam turbine</v>
      </c>
      <c r="H293" s="76" t="str">
        <f>C293</f>
        <v>CHP with CCS</v>
      </c>
      <c r="I293" s="161" t="str">
        <f t="shared" si="80"/>
        <v>L</v>
      </c>
      <c r="J293" s="76" t="s">
        <v>112</v>
      </c>
      <c r="K293" s="76" t="s">
        <v>112</v>
      </c>
      <c r="L293" s="76" t="s">
        <v>112</v>
      </c>
      <c r="M293" s="76" t="s">
        <v>112</v>
      </c>
      <c r="N293" s="76" t="s">
        <v>112</v>
      </c>
      <c r="O293" s="76" t="s">
        <v>112</v>
      </c>
      <c r="P293" s="76" t="s">
        <v>112</v>
      </c>
      <c r="Q293" s="76" t="s">
        <v>112</v>
      </c>
      <c r="R293" s="76" t="s">
        <v>112</v>
      </c>
      <c r="S293" s="76" t="s">
        <v>112</v>
      </c>
      <c r="T293" s="76" t="s">
        <v>112</v>
      </c>
      <c r="U293" s="76" t="s">
        <v>112</v>
      </c>
      <c r="V293" s="76" t="s">
        <v>112</v>
      </c>
      <c r="W293" s="76" t="s">
        <v>112</v>
      </c>
      <c r="X293" s="76" t="s">
        <v>112</v>
      </c>
      <c r="Y293" s="76" t="s">
        <v>112</v>
      </c>
      <c r="Z293" s="76" t="s">
        <v>112</v>
      </c>
      <c r="AA293" s="76" t="s">
        <v>112</v>
      </c>
      <c r="AB293" s="76" t="s">
        <v>112</v>
      </c>
      <c r="AC293" s="76" t="s">
        <v>112</v>
      </c>
      <c r="AD293" s="76" t="s">
        <v>112</v>
      </c>
      <c r="AE293" s="76">
        <v>0.36547102819791705</v>
      </c>
      <c r="AF293" s="76">
        <v>0.36547102819791705</v>
      </c>
      <c r="AG293" s="76">
        <v>0.36547102819791705</v>
      </c>
      <c r="AH293" s="76">
        <v>0.36547102819791705</v>
      </c>
      <c r="AI293" s="76">
        <v>0.36547102819791705</v>
      </c>
      <c r="AJ293" s="76">
        <v>0.36547102819791705</v>
      </c>
      <c r="AK293" s="76">
        <v>0.36547102819791705</v>
      </c>
      <c r="AL293" s="76">
        <v>0.36547102819791705</v>
      </c>
      <c r="AM293" s="76">
        <v>0.36547102819791705</v>
      </c>
      <c r="AN293" s="76">
        <v>0.36547102819791705</v>
      </c>
      <c r="AO293" s="76">
        <v>0.36547102819791705</v>
      </c>
      <c r="AP293" s="76">
        <v>0.36547102819791705</v>
      </c>
      <c r="AQ293" s="76">
        <v>0.36547102819791705</v>
      </c>
      <c r="AR293" s="76">
        <v>0.36547102819791705</v>
      </c>
      <c r="AS293" s="76">
        <v>0.36547102819791705</v>
      </c>
      <c r="AT293" s="76">
        <v>0.36547102819791705</v>
      </c>
      <c r="AU293" s="76">
        <v>0.36547102819791705</v>
      </c>
      <c r="AV293" s="76">
        <v>0.36547102819791705</v>
      </c>
      <c r="AW293" s="76">
        <v>0.36547102819791705</v>
      </c>
      <c r="AX293" s="84">
        <v>0.36547102819791705</v>
      </c>
    </row>
    <row r="294" spans="1:50" x14ac:dyDescent="0.25">
      <c r="A294" s="356"/>
      <c r="B294" s="362"/>
      <c r="C294" s="354"/>
      <c r="D294" s="4" t="s">
        <v>8</v>
      </c>
      <c r="E294" s="168" t="str">
        <f>A265&amp;"/"&amp;B285&amp;"/"&amp;C293&amp;"/"&amp;D294</f>
        <v>Diesel oil fired power plants/Steam turbine/CHP with CCS/M</v>
      </c>
      <c r="F294" s="80" t="str">
        <f>A265</f>
        <v>Diesel oil fired power plants</v>
      </c>
      <c r="G294" s="80" t="str">
        <f>B285</f>
        <v>Steam turbine</v>
      </c>
      <c r="H294" s="80" t="str">
        <f>C293</f>
        <v>CHP with CCS</v>
      </c>
      <c r="I294" s="169" t="str">
        <f t="shared" si="80"/>
        <v>M</v>
      </c>
      <c r="J294" s="80" t="s">
        <v>112</v>
      </c>
      <c r="K294" s="80" t="s">
        <v>112</v>
      </c>
      <c r="L294" s="80" t="s">
        <v>112</v>
      </c>
      <c r="M294" s="80" t="s">
        <v>112</v>
      </c>
      <c r="N294" s="80" t="s">
        <v>112</v>
      </c>
      <c r="O294" s="80" t="s">
        <v>112</v>
      </c>
      <c r="P294" s="80" t="s">
        <v>112</v>
      </c>
      <c r="Q294" s="80" t="s">
        <v>112</v>
      </c>
      <c r="R294" s="80" t="s">
        <v>112</v>
      </c>
      <c r="S294" s="80" t="s">
        <v>112</v>
      </c>
      <c r="T294" s="80" t="s">
        <v>112</v>
      </c>
      <c r="U294" s="80" t="s">
        <v>112</v>
      </c>
      <c r="V294" s="80" t="s">
        <v>112</v>
      </c>
      <c r="W294" s="80" t="s">
        <v>112</v>
      </c>
      <c r="X294" s="80" t="s">
        <v>112</v>
      </c>
      <c r="Y294" s="80" t="s">
        <v>112</v>
      </c>
      <c r="Z294" s="80" t="s">
        <v>112</v>
      </c>
      <c r="AA294" s="80" t="s">
        <v>112</v>
      </c>
      <c r="AB294" s="80" t="s">
        <v>112</v>
      </c>
      <c r="AC294" s="80" t="s">
        <v>112</v>
      </c>
      <c r="AD294" s="80" t="s">
        <v>112</v>
      </c>
      <c r="AE294" s="80">
        <v>0.34806764590277811</v>
      </c>
      <c r="AF294" s="80">
        <v>0.34806764590277811</v>
      </c>
      <c r="AG294" s="80">
        <v>0.34806764590277811</v>
      </c>
      <c r="AH294" s="80">
        <v>0.34806764590277811</v>
      </c>
      <c r="AI294" s="80">
        <v>0.34806764590277811</v>
      </c>
      <c r="AJ294" s="80">
        <v>0.34806764590277811</v>
      </c>
      <c r="AK294" s="80">
        <v>0.34806764590277811</v>
      </c>
      <c r="AL294" s="80">
        <v>0.34806764590277811</v>
      </c>
      <c r="AM294" s="80">
        <v>0.34806764590277811</v>
      </c>
      <c r="AN294" s="80">
        <v>0.34806764590277811</v>
      </c>
      <c r="AO294" s="80">
        <v>0.34806764590277811</v>
      </c>
      <c r="AP294" s="80">
        <v>0.34806764590277811</v>
      </c>
      <c r="AQ294" s="80">
        <v>0.34806764590277811</v>
      </c>
      <c r="AR294" s="80">
        <v>0.34806764590277811</v>
      </c>
      <c r="AS294" s="80">
        <v>0.34806764590277811</v>
      </c>
      <c r="AT294" s="80">
        <v>0.34806764590277811</v>
      </c>
      <c r="AU294" s="80">
        <v>0.34806764590277811</v>
      </c>
      <c r="AV294" s="80">
        <v>0.34806764590277811</v>
      </c>
      <c r="AW294" s="80">
        <v>0.34806764590277811</v>
      </c>
      <c r="AX294" s="88">
        <v>0.34806764590277811</v>
      </c>
    </row>
    <row r="295" spans="1:50" x14ac:dyDescent="0.25">
      <c r="A295" s="356"/>
      <c r="B295" s="358" t="s">
        <v>25</v>
      </c>
      <c r="C295" s="353" t="s">
        <v>6</v>
      </c>
      <c r="D295" s="3" t="s">
        <v>10</v>
      </c>
      <c r="E295" s="162" t="str">
        <f>A265&amp;"/"&amp;B295&amp;"/"&amp;C295&amp;"/"&amp;D295</f>
        <v>Diesel oil fired power plants/Internal combustion engine/Electricity only/S</v>
      </c>
      <c r="F295" s="77" t="str">
        <f>A265</f>
        <v>Diesel oil fired power plants</v>
      </c>
      <c r="G295" s="77" t="str">
        <f>B295</f>
        <v>Internal combustion engine</v>
      </c>
      <c r="H295" s="77" t="str">
        <f>C295</f>
        <v>Electricity only</v>
      </c>
      <c r="I295" s="163" t="str">
        <f t="shared" si="80"/>
        <v>S</v>
      </c>
      <c r="J295" s="77">
        <v>0.34246575342465752</v>
      </c>
      <c r="K295" s="77">
        <v>0.34247262753257951</v>
      </c>
      <c r="L295" s="77">
        <v>0.3424798267595715</v>
      </c>
      <c r="M295" s="77">
        <v>0.3424873650732756</v>
      </c>
      <c r="N295" s="77">
        <v>0.34249525689965715</v>
      </c>
      <c r="O295" s="77">
        <v>0.34250351712332522</v>
      </c>
      <c r="P295" s="77">
        <v>0.3425121610860008</v>
      </c>
      <c r="Q295" s="77">
        <v>0.34252120458292329</v>
      </c>
      <c r="R295" s="77">
        <v>0.34253066385696707</v>
      </c>
      <c r="S295" s="77">
        <v>0.34254055559023144</v>
      </c>
      <c r="T295" s="77">
        <v>0.34255089689285284</v>
      </c>
      <c r="U295" s="77">
        <v>0.3425617052887765</v>
      </c>
      <c r="V295" s="77">
        <v>0.34257299869821406</v>
      </c>
      <c r="W295" s="77">
        <v>0.34258479541650599</v>
      </c>
      <c r="X295" s="77">
        <v>0.34259711408909649</v>
      </c>
      <c r="Y295" s="77">
        <v>0.34260997368232476</v>
      </c>
      <c r="Z295" s="77">
        <v>0.34262339344973408</v>
      </c>
      <c r="AA295" s="77">
        <v>0.34263739289359696</v>
      </c>
      <c r="AB295" s="77">
        <v>0.34265199172135957</v>
      </c>
      <c r="AC295" s="77">
        <v>0.34266720979671472</v>
      </c>
      <c r="AD295" s="77">
        <v>0.34268306708502499</v>
      </c>
      <c r="AE295" s="77">
        <v>0.34269958359283259</v>
      </c>
      <c r="AF295" s="77">
        <v>0.34271677930121586</v>
      </c>
      <c r="AG295" s="77">
        <v>0.34273467409278119</v>
      </c>
      <c r="AH295" s="77">
        <v>0.34275328767211405</v>
      </c>
      <c r="AI295" s="77">
        <v>0.34277263947955533</v>
      </c>
      <c r="AJ295" s="77">
        <v>0.34279274859822284</v>
      </c>
      <c r="AK295" s="77">
        <v>0.34281363365425394</v>
      </c>
      <c r="AL295" s="77">
        <v>0.34283531271031675</v>
      </c>
      <c r="AM295" s="77">
        <v>0.34285780315251385</v>
      </c>
      <c r="AN295" s="77">
        <v>0.3428811215708899</v>
      </c>
      <c r="AO295" s="77">
        <v>0.34290528363384976</v>
      </c>
      <c r="AP295" s="77">
        <v>0.34293030395690088</v>
      </c>
      <c r="AQ295" s="77">
        <v>0.34295619596624488</v>
      </c>
      <c r="AR295" s="77">
        <v>0.34298297175786635</v>
      </c>
      <c r="AS295" s="77">
        <v>0.34301064195289355</v>
      </c>
      <c r="AT295" s="77">
        <v>0.34303921555013805</v>
      </c>
      <c r="AU295" s="77">
        <v>0.34306869977685811</v>
      </c>
      <c r="AV295" s="77">
        <v>0.34309909993892396</v>
      </c>
      <c r="AW295" s="77">
        <v>0.34313041927170429</v>
      </c>
      <c r="AX295" s="85">
        <v>0.34316265879311803</v>
      </c>
    </row>
    <row r="296" spans="1:50" x14ac:dyDescent="0.25">
      <c r="A296" s="356"/>
      <c r="B296" s="359"/>
      <c r="C296" s="360"/>
      <c r="D296" s="59" t="s">
        <v>20</v>
      </c>
      <c r="E296" s="160" t="str">
        <f>A265&amp;"/"&amp;B295&amp;"/"&amp;C295&amp;"/"&amp;D296</f>
        <v>Diesel oil fired power plants/Internal combustion engine/Electricity only/XS</v>
      </c>
      <c r="F296" s="76" t="str">
        <f>A265</f>
        <v>Diesel oil fired power plants</v>
      </c>
      <c r="G296" s="76" t="str">
        <f>B295</f>
        <v>Internal combustion engine</v>
      </c>
      <c r="H296" s="76" t="str">
        <f>C295</f>
        <v>Electricity only</v>
      </c>
      <c r="I296" s="161" t="str">
        <f t="shared" si="80"/>
        <v>XS</v>
      </c>
      <c r="J296" s="76">
        <v>0.32615786040443578</v>
      </c>
      <c r="K296" s="76">
        <v>0.32616300120029834</v>
      </c>
      <c r="L296" s="76">
        <v>0.32616838951828214</v>
      </c>
      <c r="M296" s="76">
        <v>0.32617403644036591</v>
      </c>
      <c r="N296" s="76">
        <v>0.32617995345981976</v>
      </c>
      <c r="O296" s="76">
        <v>0.32618615248766492</v>
      </c>
      <c r="P296" s="76">
        <v>0.32619264585820257</v>
      </c>
      <c r="Q296" s="76">
        <v>0.32619944633347436</v>
      </c>
      <c r="R296" s="76">
        <v>0.32620656710650126</v>
      </c>
      <c r="S296" s="76">
        <v>0.32621402180313713</v>
      </c>
      <c r="T296" s="76">
        <v>0.32622182448236203</v>
      </c>
      <c r="U296" s="76">
        <v>0.32622998963482602</v>
      </c>
      <c r="V296" s="76">
        <v>0.32623853217944371</v>
      </c>
      <c r="W296" s="76">
        <v>0.32624746745782596</v>
      </c>
      <c r="X296" s="76">
        <v>0.32625681122632338</v>
      </c>
      <c r="Y296" s="76">
        <v>0.32626657964544642</v>
      </c>
      <c r="Z296" s="76">
        <v>0.32627678926641107</v>
      </c>
      <c r="AA296" s="76">
        <v>0.32628745701455547</v>
      </c>
      <c r="AB296" s="76">
        <v>0.32629860016935808</v>
      </c>
      <c r="AC296" s="76">
        <v>0.32631023634078354</v>
      </c>
      <c r="AD296" s="76">
        <v>0.32632238344167708</v>
      </c>
      <c r="AE296" s="76">
        <v>0.32633505965592319</v>
      </c>
      <c r="AF296" s="76">
        <v>0.32634828340208533</v>
      </c>
      <c r="AG296" s="76">
        <v>0.32636207329224681</v>
      </c>
      <c r="AH296" s="76">
        <v>0.32637644808577682</v>
      </c>
      <c r="AI296" s="76">
        <v>0.3263914266377595</v>
      </c>
      <c r="AJ296" s="76">
        <v>0.32640702784183762</v>
      </c>
      <c r="AK296" s="76">
        <v>0.32642327056724452</v>
      </c>
      <c r="AL296" s="76">
        <v>0.32644017358982358</v>
      </c>
      <c r="AM296" s="76">
        <v>0.3264577555168709</v>
      </c>
      <c r="AN296" s="76">
        <v>0.3264760347056736</v>
      </c>
      <c r="AO296" s="76">
        <v>0.32649502917566853</v>
      </c>
      <c r="AP296" s="76">
        <v>0.32651475651419998</v>
      </c>
      <c r="AQ296" s="76">
        <v>0.32653523377592086</v>
      </c>
      <c r="AR296" s="76">
        <v>0.3265564773759545</v>
      </c>
      <c r="AS296" s="76">
        <v>0.32657850297701779</v>
      </c>
      <c r="AT296" s="76">
        <v>0.32660132537079556</v>
      </c>
      <c r="AU296" s="76">
        <v>0.32662495835395783</v>
      </c>
      <c r="AV296" s="76">
        <v>0.32664941459931507</v>
      </c>
      <c r="AW296" s="76">
        <v>0.32667470552272615</v>
      </c>
      <c r="AX296" s="84">
        <v>0.32670084114648856</v>
      </c>
    </row>
    <row r="297" spans="1:50" x14ac:dyDescent="0.25">
      <c r="A297" s="356"/>
      <c r="B297" s="359"/>
      <c r="C297" s="350" t="s">
        <v>14</v>
      </c>
      <c r="D297" s="2" t="s">
        <v>10</v>
      </c>
      <c r="E297" s="164" t="str">
        <f>A265&amp;"/"&amp;B295&amp;"/"&amp;C297&amp;"/"&amp;D297</f>
        <v>Diesel oil fired power plants/Internal combustion engine/CHP/S</v>
      </c>
      <c r="F297" s="78" t="str">
        <f>A265</f>
        <v>Diesel oil fired power plants</v>
      </c>
      <c r="G297" s="78" t="str">
        <f>B295</f>
        <v>Internal combustion engine</v>
      </c>
      <c r="H297" s="78" t="str">
        <f>C297</f>
        <v>CHP</v>
      </c>
      <c r="I297" s="165" t="str">
        <f t="shared" si="80"/>
        <v>S</v>
      </c>
      <c r="J297" s="78">
        <v>0.311332503113325</v>
      </c>
      <c r="K297" s="78">
        <v>0.3113363495591347</v>
      </c>
      <c r="L297" s="78">
        <v>0.31134038379907036</v>
      </c>
      <c r="M297" s="78">
        <v>0.31134461450767564</v>
      </c>
      <c r="N297" s="78">
        <v>0.31134905070964392</v>
      </c>
      <c r="O297" s="78">
        <v>0.31135370178870331</v>
      </c>
      <c r="P297" s="78">
        <v>0.31135857749613699</v>
      </c>
      <c r="Q297" s="78">
        <v>0.31136368795885327</v>
      </c>
      <c r="R297" s="78">
        <v>0.31136904368691237</v>
      </c>
      <c r="S297" s="78">
        <v>0.31137465558040672</v>
      </c>
      <c r="T297" s="78">
        <v>0.31138053493558177</v>
      </c>
      <c r="U297" s="78">
        <v>0.3113866934500753</v>
      </c>
      <c r="V297" s="78">
        <v>0.31139314322714212</v>
      </c>
      <c r="W297" s="78">
        <v>0.31139989677871988</v>
      </c>
      <c r="X297" s="78">
        <v>0.31140696702718085</v>
      </c>
      <c r="Y297" s="78">
        <v>0.31141436730560346</v>
      </c>
      <c r="Z297" s="78">
        <v>0.31142211135638337</v>
      </c>
      <c r="AA297" s="78">
        <v>0.31143021332799664</v>
      </c>
      <c r="AB297" s="78">
        <v>0.31143868776970968</v>
      </c>
      <c r="AC297" s="78">
        <v>0.31144754962402488</v>
      </c>
      <c r="AD297" s="78">
        <v>0.31145681421663673</v>
      </c>
      <c r="AE297" s="78">
        <v>0.31146649724366199</v>
      </c>
      <c r="AF297" s="78">
        <v>0.31147661475590127</v>
      </c>
      <c r="AG297" s="78">
        <v>0.31148718313987683</v>
      </c>
      <c r="AH297" s="78">
        <v>0.31149821909538744</v>
      </c>
      <c r="AI297" s="78">
        <v>0.31150973960931511</v>
      </c>
      <c r="AJ297" s="78">
        <v>0.31152176192541364</v>
      </c>
      <c r="AK297" s="78">
        <v>0.31153430350981204</v>
      </c>
      <c r="AL297" s="78">
        <v>0.31154738201196502</v>
      </c>
      <c r="AM297" s="78">
        <v>0.31156101522079138</v>
      </c>
      <c r="AN297" s="78">
        <v>0.31157522101575008</v>
      </c>
      <c r="AO297" s="78">
        <v>0.31159001731261909</v>
      </c>
      <c r="AP297" s="78">
        <v>0.31160542200376273</v>
      </c>
      <c r="AQ297" s="78">
        <v>0.3116214528926971</v>
      </c>
      <c r="AR297" s="78">
        <v>0.3116381276227968</v>
      </c>
      <c r="AS297" s="78">
        <v>0.311655463600025</v>
      </c>
      <c r="AT297" s="78">
        <v>0.31167347790961247</v>
      </c>
      <c r="AU297" s="78">
        <v>0.31169218722666775</v>
      </c>
      <c r="AV297" s="78">
        <v>0.31171160772075979</v>
      </c>
      <c r="AW297" s="78">
        <v>0.31173175495458522</v>
      </c>
      <c r="AX297" s="86">
        <v>0.31175264377691003</v>
      </c>
    </row>
    <row r="298" spans="1:50" x14ac:dyDescent="0.25">
      <c r="A298" s="357"/>
      <c r="B298" s="362"/>
      <c r="C298" s="354"/>
      <c r="D298" s="4" t="s">
        <v>20</v>
      </c>
      <c r="E298" s="168" t="str">
        <f>A265&amp;"/"&amp;B295&amp;"/"&amp;C297&amp;"/"&amp;D298</f>
        <v>Diesel oil fired power plants/Internal combustion engine/CHP/XS</v>
      </c>
      <c r="F298" s="80" t="str">
        <f>A265</f>
        <v>Diesel oil fired power plants</v>
      </c>
      <c r="G298" s="80" t="str">
        <f>B295</f>
        <v>Internal combustion engine</v>
      </c>
      <c r="H298" s="80" t="str">
        <f>C297</f>
        <v>CHP</v>
      </c>
      <c r="I298" s="169" t="str">
        <f t="shared" si="80"/>
        <v>XS</v>
      </c>
      <c r="J298" s="80">
        <v>0.29650714582221427</v>
      </c>
      <c r="K298" s="80">
        <v>0.29651080910393779</v>
      </c>
      <c r="L298" s="80">
        <v>0.29651465123720983</v>
      </c>
      <c r="M298" s="80">
        <v>0.29651868048350061</v>
      </c>
      <c r="N298" s="80">
        <v>0.29652290543775606</v>
      </c>
      <c r="O298" s="80">
        <v>0.2965273350368603</v>
      </c>
      <c r="P298" s="80">
        <v>0.29653197856774949</v>
      </c>
      <c r="Q298" s="80">
        <v>0.2965368456750983</v>
      </c>
      <c r="R298" s="80">
        <v>0.29654194636848796</v>
      </c>
      <c r="S298" s="80">
        <v>0.29654729102895883</v>
      </c>
      <c r="T298" s="80">
        <v>0.29655289041483973</v>
      </c>
      <c r="U298" s="80">
        <v>0.29655875566673839</v>
      </c>
      <c r="V298" s="80">
        <v>0.29656489831156391</v>
      </c>
      <c r="W298" s="80">
        <v>0.29657133026544746</v>
      </c>
      <c r="X298" s="80">
        <v>0.29657806383541035</v>
      </c>
      <c r="Y298" s="80">
        <v>0.29658511171962232</v>
      </c>
      <c r="Z298" s="80">
        <v>0.29659248700607943</v>
      </c>
      <c r="AA298" s="80">
        <v>0.29660020316952063</v>
      </c>
      <c r="AB298" s="80">
        <v>0.29660827406639018</v>
      </c>
      <c r="AC298" s="80">
        <v>0.29661671392764277</v>
      </c>
      <c r="AD298" s="80">
        <v>0.29662553734917779</v>
      </c>
      <c r="AE298" s="80">
        <v>0.29663475927967814</v>
      </c>
      <c r="AF298" s="80">
        <v>0.29664439500562029</v>
      </c>
      <c r="AG298" s="80">
        <v>0.296654460133216</v>
      </c>
      <c r="AH298" s="80">
        <v>0.29666497056703561</v>
      </c>
      <c r="AI298" s="80">
        <v>0.29667594248506202</v>
      </c>
      <c r="AJ298" s="80">
        <v>0.29668739230991775</v>
      </c>
      <c r="AK298" s="80">
        <v>0.29669933667601145</v>
      </c>
      <c r="AL298" s="80">
        <v>0.29671179239234763</v>
      </c>
      <c r="AM298" s="80">
        <v>0.29672477640075368</v>
      </c>
      <c r="AN298" s="80">
        <v>0.29673830572928578</v>
      </c>
      <c r="AO298" s="80">
        <v>0.29675239744058957</v>
      </c>
      <c r="AP298" s="80">
        <v>0.29676706857501212</v>
      </c>
      <c r="AQ298" s="80">
        <v>0.29678233608828292</v>
      </c>
      <c r="AR298" s="80">
        <v>0.29679821678361601</v>
      </c>
      <c r="AS298" s="80">
        <v>0.29681472723811902</v>
      </c>
      <c r="AT298" s="80">
        <v>0.29683188372344044</v>
      </c>
      <c r="AU298" s="80">
        <v>0.29684970212063594</v>
      </c>
      <c r="AV298" s="80">
        <v>0.29686819782929502</v>
      </c>
      <c r="AW298" s="80">
        <v>0.29688738567103345</v>
      </c>
      <c r="AX298" s="88">
        <v>0.29690727978753334</v>
      </c>
    </row>
    <row r="299" spans="1:50" x14ac:dyDescent="0.25">
      <c r="A299" s="355" t="s">
        <v>29</v>
      </c>
      <c r="B299" s="358" t="s">
        <v>13</v>
      </c>
      <c r="C299" s="353" t="s">
        <v>6</v>
      </c>
      <c r="D299" s="3" t="s">
        <v>7</v>
      </c>
      <c r="E299" s="162" t="str">
        <f>A299&amp;"/"&amp;B299&amp;"/"&amp;C299&amp;"/"&amp;D299</f>
        <v>Fuel oil fired power plants/Integrated gasification combined cycle/Electricity only/L</v>
      </c>
      <c r="F299" s="77" t="str">
        <f>A299</f>
        <v>Fuel oil fired power plants</v>
      </c>
      <c r="G299" s="77" t="str">
        <f>B299</f>
        <v>Integrated gasification combined cycle</v>
      </c>
      <c r="H299" s="77" t="str">
        <f>C299</f>
        <v>Electricity only</v>
      </c>
      <c r="I299" s="163" t="str">
        <f t="shared" si="80"/>
        <v>L</v>
      </c>
      <c r="J299" s="77">
        <v>0.50428643469490664</v>
      </c>
      <c r="K299" s="77">
        <v>0.50428643469490664</v>
      </c>
      <c r="L299" s="77">
        <v>0.50428643469490664</v>
      </c>
      <c r="M299" s="77">
        <v>0.50428643469490664</v>
      </c>
      <c r="N299" s="77">
        <v>0.50428643469490664</v>
      </c>
      <c r="O299" s="77">
        <v>0.50428643469490664</v>
      </c>
      <c r="P299" s="77">
        <v>0.50428643469490664</v>
      </c>
      <c r="Q299" s="77">
        <v>0.50428643469490664</v>
      </c>
      <c r="R299" s="77">
        <v>0.50428643469490664</v>
      </c>
      <c r="S299" s="77">
        <v>0.50428643469490664</v>
      </c>
      <c r="T299" s="77">
        <v>0.50428643469490664</v>
      </c>
      <c r="U299" s="77">
        <v>0.50428643469490664</v>
      </c>
      <c r="V299" s="77">
        <v>0.50428643469490664</v>
      </c>
      <c r="W299" s="77">
        <v>0.50428643469490664</v>
      </c>
      <c r="X299" s="77">
        <v>0.50428643469490664</v>
      </c>
      <c r="Y299" s="77">
        <v>0.50428643469490664</v>
      </c>
      <c r="Z299" s="77">
        <v>0.50428643469490664</v>
      </c>
      <c r="AA299" s="77">
        <v>0.50428643469490664</v>
      </c>
      <c r="AB299" s="77">
        <v>0.50428643469490664</v>
      </c>
      <c r="AC299" s="77">
        <v>0.50428643469490664</v>
      </c>
      <c r="AD299" s="77">
        <v>0.50428643469490664</v>
      </c>
      <c r="AE299" s="77">
        <v>0.50428643469490664</v>
      </c>
      <c r="AF299" s="77">
        <v>0.50428643469490664</v>
      </c>
      <c r="AG299" s="77">
        <v>0.50428643469490664</v>
      </c>
      <c r="AH299" s="77">
        <v>0.50428643469490664</v>
      </c>
      <c r="AI299" s="77">
        <v>0.50428643469490664</v>
      </c>
      <c r="AJ299" s="77">
        <v>0.50428643469490664</v>
      </c>
      <c r="AK299" s="77">
        <v>0.50428643469490664</v>
      </c>
      <c r="AL299" s="77">
        <v>0.50428643469490664</v>
      </c>
      <c r="AM299" s="77">
        <v>0.50428643469490664</v>
      </c>
      <c r="AN299" s="77">
        <v>0.50431404251840439</v>
      </c>
      <c r="AO299" s="77">
        <v>0.50432363579146988</v>
      </c>
      <c r="AP299" s="77">
        <v>0.50433653193536532</v>
      </c>
      <c r="AQ299" s="77">
        <v>0.50435384326836963</v>
      </c>
      <c r="AR299" s="77">
        <v>0.50437703672995604</v>
      </c>
      <c r="AS299" s="77">
        <v>0.50440803097220943</v>
      </c>
      <c r="AT299" s="77">
        <v>0.50444930720889669</v>
      </c>
      <c r="AU299" s="77">
        <v>0.50450402467589761</v>
      </c>
      <c r="AV299" s="77">
        <v>0.50457612029804322</v>
      </c>
      <c r="AW299" s="77">
        <v>0.5046703543816452</v>
      </c>
      <c r="AX299" s="85">
        <v>0.50479223955833863</v>
      </c>
    </row>
    <row r="300" spans="1:50" x14ac:dyDescent="0.25">
      <c r="A300" s="356"/>
      <c r="B300" s="359"/>
      <c r="C300" s="360"/>
      <c r="D300" s="2" t="s">
        <v>8</v>
      </c>
      <c r="E300" s="160" t="str">
        <f>A299&amp;"/"&amp;B299&amp;"/"&amp;C299&amp;"/"&amp;D300</f>
        <v>Fuel oil fired power plants/Integrated gasification combined cycle/Electricity only/M</v>
      </c>
      <c r="F300" s="76" t="str">
        <f>A299</f>
        <v>Fuel oil fired power plants</v>
      </c>
      <c r="G300" s="76" t="str">
        <f>B299</f>
        <v>Integrated gasification combined cycle</v>
      </c>
      <c r="H300" s="76" t="str">
        <f>C299</f>
        <v>Electricity only</v>
      </c>
      <c r="I300" s="161" t="str">
        <f t="shared" si="80"/>
        <v>M</v>
      </c>
      <c r="J300" s="76">
        <v>0.48027279494753011</v>
      </c>
      <c r="K300" s="76">
        <v>0.48027279494753011</v>
      </c>
      <c r="L300" s="76">
        <v>0.48027279494753011</v>
      </c>
      <c r="M300" s="76">
        <v>0.48027279494753011</v>
      </c>
      <c r="N300" s="76">
        <v>0.48027279494753011</v>
      </c>
      <c r="O300" s="76">
        <v>0.48027279494753011</v>
      </c>
      <c r="P300" s="76">
        <v>0.48027279494753011</v>
      </c>
      <c r="Q300" s="76">
        <v>0.48027279494753011</v>
      </c>
      <c r="R300" s="76">
        <v>0.48027279494753011</v>
      </c>
      <c r="S300" s="76">
        <v>0.48027279494753011</v>
      </c>
      <c r="T300" s="76">
        <v>0.48027279494753011</v>
      </c>
      <c r="U300" s="76">
        <v>0.48027279494753011</v>
      </c>
      <c r="V300" s="76">
        <v>0.48027279494753011</v>
      </c>
      <c r="W300" s="76">
        <v>0.48027279494753011</v>
      </c>
      <c r="X300" s="76">
        <v>0.48027279494753011</v>
      </c>
      <c r="Y300" s="76">
        <v>0.48027279494753011</v>
      </c>
      <c r="Z300" s="76">
        <v>0.48027279494753011</v>
      </c>
      <c r="AA300" s="76">
        <v>0.48027279494753011</v>
      </c>
      <c r="AB300" s="76">
        <v>0.48027279494753011</v>
      </c>
      <c r="AC300" s="76">
        <v>0.48027279494753011</v>
      </c>
      <c r="AD300" s="76">
        <v>0.48027279494753011</v>
      </c>
      <c r="AE300" s="76">
        <v>0.48027279494753011</v>
      </c>
      <c r="AF300" s="76">
        <v>0.48027279494753011</v>
      </c>
      <c r="AG300" s="76">
        <v>0.48027279494753011</v>
      </c>
      <c r="AH300" s="76">
        <v>0.48027279494753011</v>
      </c>
      <c r="AI300" s="76">
        <v>0.48027279494753011</v>
      </c>
      <c r="AJ300" s="76">
        <v>0.48027279494753011</v>
      </c>
      <c r="AK300" s="76">
        <v>0.48027279494753011</v>
      </c>
      <c r="AL300" s="76">
        <v>0.48027279494753011</v>
      </c>
      <c r="AM300" s="76">
        <v>0.48027279494753011</v>
      </c>
      <c r="AN300" s="76">
        <v>0.48029908811276611</v>
      </c>
      <c r="AO300" s="76">
        <v>0.48030822456330458</v>
      </c>
      <c r="AP300" s="76">
        <v>0.48032050660510972</v>
      </c>
      <c r="AQ300" s="76">
        <v>0.48033699358892334</v>
      </c>
      <c r="AR300" s="76">
        <v>0.48035908259995813</v>
      </c>
      <c r="AS300" s="76">
        <v>0.48038860092591368</v>
      </c>
      <c r="AT300" s="76">
        <v>0.48042791162752058</v>
      </c>
      <c r="AU300" s="76">
        <v>0.48048002350085489</v>
      </c>
      <c r="AV300" s="76">
        <v>0.48054868599813633</v>
      </c>
      <c r="AW300" s="76">
        <v>0.48063843274442397</v>
      </c>
      <c r="AX300" s="84">
        <v>0.48075451386508439</v>
      </c>
    </row>
    <row r="301" spans="1:50" x14ac:dyDescent="0.25">
      <c r="A301" s="356"/>
      <c r="B301" s="359"/>
      <c r="C301" s="361" t="s">
        <v>14</v>
      </c>
      <c r="D301" s="58" t="s">
        <v>7</v>
      </c>
      <c r="E301" s="164" t="str">
        <f>A299&amp;"/"&amp;B299&amp;"/"&amp;C301&amp;"/"&amp;D301</f>
        <v>Fuel oil fired power plants/Integrated gasification combined cycle/CHP/L</v>
      </c>
      <c r="F301" s="78" t="str">
        <f>A299</f>
        <v>Fuel oil fired power plants</v>
      </c>
      <c r="G301" s="78" t="str">
        <f>B299</f>
        <v>Integrated gasification combined cycle</v>
      </c>
      <c r="H301" s="78" t="str">
        <f>C301</f>
        <v>CHP</v>
      </c>
      <c r="I301" s="165" t="str">
        <f t="shared" si="80"/>
        <v>L</v>
      </c>
      <c r="J301" s="78">
        <v>0.45844221335900603</v>
      </c>
      <c r="K301" s="78">
        <v>0.45844221335900603</v>
      </c>
      <c r="L301" s="78">
        <v>0.45844221335900603</v>
      </c>
      <c r="M301" s="78">
        <v>0.45844221335900603</v>
      </c>
      <c r="N301" s="78">
        <v>0.45844221335900603</v>
      </c>
      <c r="O301" s="78">
        <v>0.45844221335900603</v>
      </c>
      <c r="P301" s="78">
        <v>0.45844221335900603</v>
      </c>
      <c r="Q301" s="78">
        <v>0.45844221335900603</v>
      </c>
      <c r="R301" s="78">
        <v>0.45844221335900603</v>
      </c>
      <c r="S301" s="78">
        <v>0.45844221335900603</v>
      </c>
      <c r="T301" s="78">
        <v>0.45844221335900603</v>
      </c>
      <c r="U301" s="78">
        <v>0.45844221335900603</v>
      </c>
      <c r="V301" s="78">
        <v>0.45844221335900603</v>
      </c>
      <c r="W301" s="78">
        <v>0.45844221335900603</v>
      </c>
      <c r="X301" s="78">
        <v>0.45844221335900603</v>
      </c>
      <c r="Y301" s="78">
        <v>0.45844221335900603</v>
      </c>
      <c r="Z301" s="78">
        <v>0.45844221335900603</v>
      </c>
      <c r="AA301" s="78">
        <v>0.45844221335900603</v>
      </c>
      <c r="AB301" s="78">
        <v>0.45844221335900603</v>
      </c>
      <c r="AC301" s="78">
        <v>0.45844221335900603</v>
      </c>
      <c r="AD301" s="78">
        <v>0.45844221335900603</v>
      </c>
      <c r="AE301" s="78">
        <v>0.45844221335900603</v>
      </c>
      <c r="AF301" s="78">
        <v>0.45844221335900603</v>
      </c>
      <c r="AG301" s="78">
        <v>0.45844221335900603</v>
      </c>
      <c r="AH301" s="78">
        <v>0.45844221335900603</v>
      </c>
      <c r="AI301" s="78">
        <v>0.45844221335900603</v>
      </c>
      <c r="AJ301" s="78">
        <v>0.45844221335900603</v>
      </c>
      <c r="AK301" s="78">
        <v>0.45844221335900603</v>
      </c>
      <c r="AL301" s="78">
        <v>0.45844221335900603</v>
      </c>
      <c r="AM301" s="78">
        <v>0.45844221335900603</v>
      </c>
      <c r="AN301" s="78">
        <v>0.45846731138036773</v>
      </c>
      <c r="AO301" s="78">
        <v>0.45847603253769986</v>
      </c>
      <c r="AP301" s="78">
        <v>0.45848775630487754</v>
      </c>
      <c r="AQ301" s="78">
        <v>0.45850349388033595</v>
      </c>
      <c r="AR301" s="78">
        <v>0.45852457884541453</v>
      </c>
      <c r="AS301" s="78">
        <v>0.45855275542928126</v>
      </c>
      <c r="AT301" s="78">
        <v>0.45859027928081514</v>
      </c>
      <c r="AU301" s="78">
        <v>0.45864002243263424</v>
      </c>
      <c r="AV301" s="78">
        <v>0.45870556390731204</v>
      </c>
      <c r="AW301" s="78">
        <v>0.45879123125604115</v>
      </c>
      <c r="AX301" s="86">
        <v>0.45890203596212603</v>
      </c>
    </row>
    <row r="302" spans="1:50" x14ac:dyDescent="0.25">
      <c r="A302" s="356"/>
      <c r="B302" s="359"/>
      <c r="C302" s="360"/>
      <c r="D302" s="59" t="s">
        <v>8</v>
      </c>
      <c r="E302" s="166" t="str">
        <f>A299&amp;"/"&amp;B299&amp;"/"&amp;C301&amp;"/"&amp;D302</f>
        <v>Fuel oil fired power plants/Integrated gasification combined cycle/CHP/M</v>
      </c>
      <c r="F302" s="79" t="str">
        <f>A299</f>
        <v>Fuel oil fired power plants</v>
      </c>
      <c r="G302" s="79" t="str">
        <f>B299</f>
        <v>Integrated gasification combined cycle</v>
      </c>
      <c r="H302" s="79" t="str">
        <f>C301</f>
        <v>CHP</v>
      </c>
      <c r="I302" s="167" t="str">
        <f t="shared" si="80"/>
        <v>M</v>
      </c>
      <c r="J302" s="79">
        <v>0.4366116317704819</v>
      </c>
      <c r="K302" s="79">
        <v>0.4366116317704819</v>
      </c>
      <c r="L302" s="79">
        <v>0.4366116317704819</v>
      </c>
      <c r="M302" s="79">
        <v>0.4366116317704819</v>
      </c>
      <c r="N302" s="79">
        <v>0.4366116317704819</v>
      </c>
      <c r="O302" s="79">
        <v>0.4366116317704819</v>
      </c>
      <c r="P302" s="79">
        <v>0.4366116317704819</v>
      </c>
      <c r="Q302" s="79">
        <v>0.4366116317704819</v>
      </c>
      <c r="R302" s="79">
        <v>0.4366116317704819</v>
      </c>
      <c r="S302" s="79">
        <v>0.4366116317704819</v>
      </c>
      <c r="T302" s="79">
        <v>0.4366116317704819</v>
      </c>
      <c r="U302" s="79">
        <v>0.4366116317704819</v>
      </c>
      <c r="V302" s="79">
        <v>0.4366116317704819</v>
      </c>
      <c r="W302" s="79">
        <v>0.4366116317704819</v>
      </c>
      <c r="X302" s="79">
        <v>0.4366116317704819</v>
      </c>
      <c r="Y302" s="79">
        <v>0.4366116317704819</v>
      </c>
      <c r="Z302" s="79">
        <v>0.4366116317704819</v>
      </c>
      <c r="AA302" s="79">
        <v>0.4366116317704819</v>
      </c>
      <c r="AB302" s="79">
        <v>0.4366116317704819</v>
      </c>
      <c r="AC302" s="79">
        <v>0.4366116317704819</v>
      </c>
      <c r="AD302" s="79">
        <v>0.4366116317704819</v>
      </c>
      <c r="AE302" s="79">
        <v>0.4366116317704819</v>
      </c>
      <c r="AF302" s="79">
        <v>0.4366116317704819</v>
      </c>
      <c r="AG302" s="79">
        <v>0.4366116317704819</v>
      </c>
      <c r="AH302" s="79">
        <v>0.4366116317704819</v>
      </c>
      <c r="AI302" s="79">
        <v>0.4366116317704819</v>
      </c>
      <c r="AJ302" s="79">
        <v>0.4366116317704819</v>
      </c>
      <c r="AK302" s="79">
        <v>0.4366116317704819</v>
      </c>
      <c r="AL302" s="79">
        <v>0.4366116317704819</v>
      </c>
      <c r="AM302" s="79">
        <v>0.4366116317704819</v>
      </c>
      <c r="AN302" s="79">
        <v>0.43663553464796923</v>
      </c>
      <c r="AO302" s="79">
        <v>0.43664384051209509</v>
      </c>
      <c r="AP302" s="79">
        <v>0.43665500600464524</v>
      </c>
      <c r="AQ302" s="79">
        <v>0.43666999417174851</v>
      </c>
      <c r="AR302" s="79">
        <v>0.43669007509087099</v>
      </c>
      <c r="AS302" s="79">
        <v>0.43671690993264878</v>
      </c>
      <c r="AT302" s="79">
        <v>0.43675264693410965</v>
      </c>
      <c r="AU302" s="79">
        <v>0.43680002136441348</v>
      </c>
      <c r="AV302" s="79">
        <v>0.43686244181648753</v>
      </c>
      <c r="AW302" s="79">
        <v>0.43694402976765817</v>
      </c>
      <c r="AX302" s="87">
        <v>0.43704955805916762</v>
      </c>
    </row>
    <row r="303" spans="1:50" x14ac:dyDescent="0.25">
      <c r="A303" s="356"/>
      <c r="B303" s="359"/>
      <c r="C303" s="361" t="s">
        <v>15</v>
      </c>
      <c r="D303" s="58" t="s">
        <v>7</v>
      </c>
      <c r="E303" s="164" t="str">
        <f>A299&amp;"/"&amp;B299&amp;"/"&amp;C303&amp;"/"&amp;D303</f>
        <v>Fuel oil fired power plants/Integrated gasification combined cycle/Electricity only with CCS/L</v>
      </c>
      <c r="F303" s="78" t="str">
        <f>A299</f>
        <v>Fuel oil fired power plants</v>
      </c>
      <c r="G303" s="78" t="str">
        <f>B299</f>
        <v>Integrated gasification combined cycle</v>
      </c>
      <c r="H303" s="78" t="str">
        <f>C303</f>
        <v>Electricity only with CCS</v>
      </c>
      <c r="I303" s="165" t="str">
        <f t="shared" si="80"/>
        <v>L</v>
      </c>
      <c r="J303" s="78" t="s">
        <v>112</v>
      </c>
      <c r="K303" s="78" t="s">
        <v>112</v>
      </c>
      <c r="L303" s="78" t="s">
        <v>112</v>
      </c>
      <c r="M303" s="78" t="s">
        <v>112</v>
      </c>
      <c r="N303" s="78" t="s">
        <v>112</v>
      </c>
      <c r="O303" s="78" t="s">
        <v>112</v>
      </c>
      <c r="P303" s="78" t="s">
        <v>112</v>
      </c>
      <c r="Q303" s="78" t="s">
        <v>112</v>
      </c>
      <c r="R303" s="78" t="s">
        <v>112</v>
      </c>
      <c r="S303" s="78" t="s">
        <v>112</v>
      </c>
      <c r="T303" s="78" t="s">
        <v>112</v>
      </c>
      <c r="U303" s="78" t="s">
        <v>112</v>
      </c>
      <c r="V303" s="78" t="s">
        <v>112</v>
      </c>
      <c r="W303" s="78" t="s">
        <v>112</v>
      </c>
      <c r="X303" s="78" t="s">
        <v>112</v>
      </c>
      <c r="Y303" s="78" t="s">
        <v>112</v>
      </c>
      <c r="Z303" s="78" t="s">
        <v>112</v>
      </c>
      <c r="AA303" s="78" t="s">
        <v>112</v>
      </c>
      <c r="AB303" s="78" t="s">
        <v>112</v>
      </c>
      <c r="AC303" s="78" t="s">
        <v>112</v>
      </c>
      <c r="AD303" s="78" t="s">
        <v>112</v>
      </c>
      <c r="AE303" s="78">
        <v>0.48027279494753011</v>
      </c>
      <c r="AF303" s="78">
        <v>0.48027279494753011</v>
      </c>
      <c r="AG303" s="78">
        <v>0.48027279494753011</v>
      </c>
      <c r="AH303" s="78">
        <v>0.48027279494753011</v>
      </c>
      <c r="AI303" s="78">
        <v>0.48027279494753011</v>
      </c>
      <c r="AJ303" s="78">
        <v>0.48027279494753011</v>
      </c>
      <c r="AK303" s="78">
        <v>0.48027279494753011</v>
      </c>
      <c r="AL303" s="78">
        <v>0.48027279494753011</v>
      </c>
      <c r="AM303" s="78">
        <v>0.48027279494753011</v>
      </c>
      <c r="AN303" s="78">
        <v>0.48027279494753011</v>
      </c>
      <c r="AO303" s="78">
        <v>0.48027279494753011</v>
      </c>
      <c r="AP303" s="78">
        <v>0.48027279494753011</v>
      </c>
      <c r="AQ303" s="78">
        <v>0.48027279494753011</v>
      </c>
      <c r="AR303" s="78">
        <v>0.48027279494753011</v>
      </c>
      <c r="AS303" s="78">
        <v>0.48031600383329648</v>
      </c>
      <c r="AT303" s="78">
        <v>0.48034365372870813</v>
      </c>
      <c r="AU303" s="78">
        <v>0.48038860092591368</v>
      </c>
      <c r="AV303" s="78">
        <v>0.48046101512215572</v>
      </c>
      <c r="AW303" s="78">
        <v>0.48057601286368912</v>
      </c>
      <c r="AX303" s="86">
        <v>0.48075451386508439</v>
      </c>
    </row>
    <row r="304" spans="1:50" x14ac:dyDescent="0.25">
      <c r="A304" s="356"/>
      <c r="B304" s="359"/>
      <c r="C304" s="360"/>
      <c r="D304" s="59" t="s">
        <v>8</v>
      </c>
      <c r="E304" s="166" t="str">
        <f>A299&amp;"/"&amp;B299&amp;"/"&amp;C303&amp;"/"&amp;D304</f>
        <v>Fuel oil fired power plants/Integrated gasification combined cycle/Electricity only with CCS/M</v>
      </c>
      <c r="F304" s="79" t="str">
        <f>A299</f>
        <v>Fuel oil fired power plants</v>
      </c>
      <c r="G304" s="79" t="str">
        <f>B299</f>
        <v>Integrated gasification combined cycle</v>
      </c>
      <c r="H304" s="79" t="str">
        <f>C303</f>
        <v>Electricity only with CCS</v>
      </c>
      <c r="I304" s="167" t="str">
        <f t="shared" si="80"/>
        <v>M</v>
      </c>
      <c r="J304" s="79" t="s">
        <v>112</v>
      </c>
      <c r="K304" s="79" t="s">
        <v>112</v>
      </c>
      <c r="L304" s="79" t="s">
        <v>112</v>
      </c>
      <c r="M304" s="79" t="s">
        <v>112</v>
      </c>
      <c r="N304" s="79" t="s">
        <v>112</v>
      </c>
      <c r="O304" s="79" t="s">
        <v>112</v>
      </c>
      <c r="P304" s="79" t="s">
        <v>112</v>
      </c>
      <c r="Q304" s="79" t="s">
        <v>112</v>
      </c>
      <c r="R304" s="79" t="s">
        <v>112</v>
      </c>
      <c r="S304" s="79" t="s">
        <v>112</v>
      </c>
      <c r="T304" s="79" t="s">
        <v>112</v>
      </c>
      <c r="U304" s="79" t="s">
        <v>112</v>
      </c>
      <c r="V304" s="79" t="s">
        <v>112</v>
      </c>
      <c r="W304" s="79" t="s">
        <v>112</v>
      </c>
      <c r="X304" s="79" t="s">
        <v>112</v>
      </c>
      <c r="Y304" s="79" t="s">
        <v>112</v>
      </c>
      <c r="Z304" s="79" t="s">
        <v>112</v>
      </c>
      <c r="AA304" s="79" t="s">
        <v>112</v>
      </c>
      <c r="AB304" s="79" t="s">
        <v>112</v>
      </c>
      <c r="AC304" s="79" t="s">
        <v>112</v>
      </c>
      <c r="AD304" s="79" t="s">
        <v>112</v>
      </c>
      <c r="AE304" s="79">
        <v>0.45740266185479056</v>
      </c>
      <c r="AF304" s="79">
        <v>0.45740266185479056</v>
      </c>
      <c r="AG304" s="79">
        <v>0.45740266185479056</v>
      </c>
      <c r="AH304" s="79">
        <v>0.45740266185479056</v>
      </c>
      <c r="AI304" s="79">
        <v>0.45740266185479056</v>
      </c>
      <c r="AJ304" s="79">
        <v>0.45740266185479056</v>
      </c>
      <c r="AK304" s="79">
        <v>0.45740266185479056</v>
      </c>
      <c r="AL304" s="79">
        <v>0.45740266185479056</v>
      </c>
      <c r="AM304" s="79">
        <v>0.45740266185479056</v>
      </c>
      <c r="AN304" s="79">
        <v>0.45740266185479056</v>
      </c>
      <c r="AO304" s="79">
        <v>0.45740266185479056</v>
      </c>
      <c r="AP304" s="79">
        <v>0.45740266185479056</v>
      </c>
      <c r="AQ304" s="79">
        <v>0.45740266185479056</v>
      </c>
      <c r="AR304" s="79">
        <v>0.45740266185479056</v>
      </c>
      <c r="AS304" s="79">
        <v>0.45744381317456811</v>
      </c>
      <c r="AT304" s="79">
        <v>0.45747014640829348</v>
      </c>
      <c r="AU304" s="79">
        <v>0.45751295326277491</v>
      </c>
      <c r="AV304" s="79">
        <v>0.4575819191639578</v>
      </c>
      <c r="AW304" s="79">
        <v>0.45769144082256108</v>
      </c>
      <c r="AX304" s="87">
        <v>0.45786144177627086</v>
      </c>
    </row>
    <row r="305" spans="1:50" x14ac:dyDescent="0.25">
      <c r="A305" s="356"/>
      <c r="B305" s="359"/>
      <c r="C305" s="361" t="s">
        <v>16</v>
      </c>
      <c r="D305" s="2" t="s">
        <v>7</v>
      </c>
      <c r="E305" s="160" t="str">
        <f>A299&amp;"/"&amp;B299&amp;"/"&amp;C305&amp;"/"&amp;D305</f>
        <v>Fuel oil fired power plants/Integrated gasification combined cycle/CHP with CCS/L</v>
      </c>
      <c r="F305" s="76" t="str">
        <f>A299</f>
        <v>Fuel oil fired power plants</v>
      </c>
      <c r="G305" s="76" t="str">
        <f>B299</f>
        <v>Integrated gasification combined cycle</v>
      </c>
      <c r="H305" s="76" t="str">
        <f>C305</f>
        <v>CHP with CCS</v>
      </c>
      <c r="I305" s="161" t="str">
        <f t="shared" si="80"/>
        <v>L</v>
      </c>
      <c r="J305" s="76" t="s">
        <v>112</v>
      </c>
      <c r="K305" s="76" t="s">
        <v>112</v>
      </c>
      <c r="L305" s="76" t="s">
        <v>112</v>
      </c>
      <c r="M305" s="76" t="s">
        <v>112</v>
      </c>
      <c r="N305" s="76" t="s">
        <v>112</v>
      </c>
      <c r="O305" s="76" t="s">
        <v>112</v>
      </c>
      <c r="P305" s="76" t="s">
        <v>112</v>
      </c>
      <c r="Q305" s="76" t="s">
        <v>112</v>
      </c>
      <c r="R305" s="76" t="s">
        <v>112</v>
      </c>
      <c r="S305" s="76" t="s">
        <v>112</v>
      </c>
      <c r="T305" s="76" t="s">
        <v>112</v>
      </c>
      <c r="U305" s="76" t="s">
        <v>112</v>
      </c>
      <c r="V305" s="76" t="s">
        <v>112</v>
      </c>
      <c r="W305" s="76" t="s">
        <v>112</v>
      </c>
      <c r="X305" s="76" t="s">
        <v>112</v>
      </c>
      <c r="Y305" s="76" t="s">
        <v>112</v>
      </c>
      <c r="Z305" s="76" t="s">
        <v>112</v>
      </c>
      <c r="AA305" s="76" t="s">
        <v>112</v>
      </c>
      <c r="AB305" s="76" t="s">
        <v>112</v>
      </c>
      <c r="AC305" s="76" t="s">
        <v>112</v>
      </c>
      <c r="AD305" s="76" t="s">
        <v>112</v>
      </c>
      <c r="AE305" s="76">
        <v>0.4366116317704819</v>
      </c>
      <c r="AF305" s="76">
        <v>0.4366116317704819</v>
      </c>
      <c r="AG305" s="76">
        <v>0.4366116317704819</v>
      </c>
      <c r="AH305" s="76">
        <v>0.4366116317704819</v>
      </c>
      <c r="AI305" s="76">
        <v>0.4366116317704819</v>
      </c>
      <c r="AJ305" s="76">
        <v>0.4366116317704819</v>
      </c>
      <c r="AK305" s="76">
        <v>0.4366116317704819</v>
      </c>
      <c r="AL305" s="76">
        <v>0.4366116317704819</v>
      </c>
      <c r="AM305" s="76">
        <v>0.4366116317704819</v>
      </c>
      <c r="AN305" s="76">
        <v>0.4366116317704819</v>
      </c>
      <c r="AO305" s="76">
        <v>0.4366116317704819</v>
      </c>
      <c r="AP305" s="76">
        <v>0.4366116317704819</v>
      </c>
      <c r="AQ305" s="76">
        <v>0.4366116317704819</v>
      </c>
      <c r="AR305" s="76">
        <v>0.4366116317704819</v>
      </c>
      <c r="AS305" s="76">
        <v>0.43665091257572408</v>
      </c>
      <c r="AT305" s="76">
        <v>0.43667604884428007</v>
      </c>
      <c r="AU305" s="76">
        <v>0.43671690993264878</v>
      </c>
      <c r="AV305" s="76">
        <v>0.43678274102014147</v>
      </c>
      <c r="AW305" s="76">
        <v>0.43688728442153552</v>
      </c>
      <c r="AX305" s="84">
        <v>0.43704955805916762</v>
      </c>
    </row>
    <row r="306" spans="1:50" x14ac:dyDescent="0.25">
      <c r="A306" s="356"/>
      <c r="B306" s="362"/>
      <c r="C306" s="354"/>
      <c r="D306" s="4" t="s">
        <v>8</v>
      </c>
      <c r="E306" s="168" t="str">
        <f>A299&amp;"/"&amp;B299&amp;"/"&amp;C305&amp;"/"&amp;D306</f>
        <v>Fuel oil fired power plants/Integrated gasification combined cycle/CHP with CCS/M</v>
      </c>
      <c r="F306" s="80" t="str">
        <f>A299</f>
        <v>Fuel oil fired power plants</v>
      </c>
      <c r="G306" s="80" t="str">
        <f>B299</f>
        <v>Integrated gasification combined cycle</v>
      </c>
      <c r="H306" s="80" t="str">
        <f>C305</f>
        <v>CHP with CCS</v>
      </c>
      <c r="I306" s="169" t="str">
        <f t="shared" si="80"/>
        <v>M</v>
      </c>
      <c r="J306" s="80" t="s">
        <v>112</v>
      </c>
      <c r="K306" s="80" t="s">
        <v>112</v>
      </c>
      <c r="L306" s="80" t="s">
        <v>112</v>
      </c>
      <c r="M306" s="80" t="s">
        <v>112</v>
      </c>
      <c r="N306" s="80" t="s">
        <v>112</v>
      </c>
      <c r="O306" s="80" t="s">
        <v>112</v>
      </c>
      <c r="P306" s="80" t="s">
        <v>112</v>
      </c>
      <c r="Q306" s="80" t="s">
        <v>112</v>
      </c>
      <c r="R306" s="80" t="s">
        <v>112</v>
      </c>
      <c r="S306" s="80" t="s">
        <v>112</v>
      </c>
      <c r="T306" s="80" t="s">
        <v>112</v>
      </c>
      <c r="U306" s="80" t="s">
        <v>112</v>
      </c>
      <c r="V306" s="80" t="s">
        <v>112</v>
      </c>
      <c r="W306" s="80" t="s">
        <v>112</v>
      </c>
      <c r="X306" s="80" t="s">
        <v>112</v>
      </c>
      <c r="Y306" s="80" t="s">
        <v>112</v>
      </c>
      <c r="Z306" s="80" t="s">
        <v>112</v>
      </c>
      <c r="AA306" s="80" t="s">
        <v>112</v>
      </c>
      <c r="AB306" s="80" t="s">
        <v>112</v>
      </c>
      <c r="AC306" s="80" t="s">
        <v>112</v>
      </c>
      <c r="AD306" s="80" t="s">
        <v>112</v>
      </c>
      <c r="AE306" s="80">
        <v>0.41582060168617324</v>
      </c>
      <c r="AF306" s="80">
        <v>0.41582060168617324</v>
      </c>
      <c r="AG306" s="80">
        <v>0.41582060168617324</v>
      </c>
      <c r="AH306" s="80">
        <v>0.41582060168617324</v>
      </c>
      <c r="AI306" s="80">
        <v>0.41582060168617324</v>
      </c>
      <c r="AJ306" s="80">
        <v>0.41582060168617324</v>
      </c>
      <c r="AK306" s="80">
        <v>0.41582060168617324</v>
      </c>
      <c r="AL306" s="80">
        <v>0.41582060168617324</v>
      </c>
      <c r="AM306" s="80">
        <v>0.41582060168617324</v>
      </c>
      <c r="AN306" s="80">
        <v>0.41582060168617324</v>
      </c>
      <c r="AO306" s="80">
        <v>0.41582060168617324</v>
      </c>
      <c r="AP306" s="80">
        <v>0.41582060168617324</v>
      </c>
      <c r="AQ306" s="80">
        <v>0.41582060168617324</v>
      </c>
      <c r="AR306" s="80">
        <v>0.41582060168617324</v>
      </c>
      <c r="AS306" s="80">
        <v>0.41585801197688005</v>
      </c>
      <c r="AT306" s="80">
        <v>0.41588195128026678</v>
      </c>
      <c r="AU306" s="80">
        <v>0.41592086660252264</v>
      </c>
      <c r="AV306" s="80">
        <v>0.41598356287632526</v>
      </c>
      <c r="AW306" s="80">
        <v>0.41608312802051006</v>
      </c>
      <c r="AX306" s="88">
        <v>0.41623767434206438</v>
      </c>
    </row>
    <row r="307" spans="1:50" x14ac:dyDescent="0.25">
      <c r="A307" s="356"/>
      <c r="B307" s="358" t="s">
        <v>17</v>
      </c>
      <c r="C307" s="353" t="s">
        <v>6</v>
      </c>
      <c r="D307" s="3" t="s">
        <v>7</v>
      </c>
      <c r="E307" s="162" t="str">
        <f>A299&amp;"/"&amp;B307&amp;"/"&amp;C307&amp;"/"&amp;D307</f>
        <v>Fuel oil fired power plants/Supercritical steam turbine/Electricity only/L</v>
      </c>
      <c r="F307" s="77" t="str">
        <f>A299</f>
        <v>Fuel oil fired power plants</v>
      </c>
      <c r="G307" s="77" t="str">
        <f>B307</f>
        <v>Supercritical steam turbine</v>
      </c>
      <c r="H307" s="77" t="str">
        <f>C307</f>
        <v>Electricity only</v>
      </c>
      <c r="I307" s="163" t="str">
        <f t="shared" si="80"/>
        <v>L</v>
      </c>
      <c r="J307" s="77">
        <v>0.49019607843137253</v>
      </c>
      <c r="K307" s="77">
        <v>0.49019607843137253</v>
      </c>
      <c r="L307" s="77">
        <v>0.49019607843137253</v>
      </c>
      <c r="M307" s="77">
        <v>0.49019607843137253</v>
      </c>
      <c r="N307" s="77">
        <v>0.49019607843137253</v>
      </c>
      <c r="O307" s="77">
        <v>0.49019607843137253</v>
      </c>
      <c r="P307" s="77">
        <v>0.49019607843137253</v>
      </c>
      <c r="Q307" s="77">
        <v>0.49019607843137253</v>
      </c>
      <c r="R307" s="77">
        <v>0.49019607843137253</v>
      </c>
      <c r="S307" s="77">
        <v>0.49019607843137253</v>
      </c>
      <c r="T307" s="77">
        <v>0.49019607843137253</v>
      </c>
      <c r="U307" s="77">
        <v>0.49019607843137253</v>
      </c>
      <c r="V307" s="77">
        <v>0.49019607843137253</v>
      </c>
      <c r="W307" s="77">
        <v>0.49019607843137253</v>
      </c>
      <c r="X307" s="77">
        <v>0.49019607843137253</v>
      </c>
      <c r="Y307" s="77">
        <v>0.49019607843137253</v>
      </c>
      <c r="Z307" s="77">
        <v>0.49019607843137253</v>
      </c>
      <c r="AA307" s="77">
        <v>0.49019607843137253</v>
      </c>
      <c r="AB307" s="77">
        <v>0.49019607843137253</v>
      </c>
      <c r="AC307" s="77">
        <v>0.49019607843137253</v>
      </c>
      <c r="AD307" s="77">
        <v>0.49019607843137253</v>
      </c>
      <c r="AE307" s="77">
        <v>0.49019607843137253</v>
      </c>
      <c r="AF307" s="77">
        <v>0.49019607843137253</v>
      </c>
      <c r="AG307" s="77">
        <v>0.49019607843137253</v>
      </c>
      <c r="AH307" s="77">
        <v>0.49019607843137253</v>
      </c>
      <c r="AI307" s="77">
        <v>0.49019607843137253</v>
      </c>
      <c r="AJ307" s="77">
        <v>0.49019607843137253</v>
      </c>
      <c r="AK307" s="77">
        <v>0.49019607843137253</v>
      </c>
      <c r="AL307" s="77">
        <v>0.49019607843137253</v>
      </c>
      <c r="AM307" s="77">
        <v>0.49019607843137253</v>
      </c>
      <c r="AN307" s="77">
        <v>0.49022291485980191</v>
      </c>
      <c r="AO307" s="77">
        <v>0.49023224008553173</v>
      </c>
      <c r="AP307" s="77">
        <v>0.4902447758959948</v>
      </c>
      <c r="AQ307" s="77">
        <v>0.49026160352998877</v>
      </c>
      <c r="AR307" s="77">
        <v>0.49028414893897199</v>
      </c>
      <c r="AS307" s="77">
        <v>0.49031427716563292</v>
      </c>
      <c r="AT307" s="77">
        <v>0.49035440009570702</v>
      </c>
      <c r="AU307" s="77">
        <v>0.49040758869230644</v>
      </c>
      <c r="AV307" s="77">
        <v>0.49047766987795088</v>
      </c>
      <c r="AW307" s="77">
        <v>0.49056927095039338</v>
      </c>
      <c r="AX307" s="85">
        <v>0.4906877505118557</v>
      </c>
    </row>
    <row r="308" spans="1:50" x14ac:dyDescent="0.25">
      <c r="A308" s="356"/>
      <c r="B308" s="359"/>
      <c r="C308" s="360"/>
      <c r="D308" s="2" t="s">
        <v>8</v>
      </c>
      <c r="E308" s="160" t="str">
        <f>A299&amp;"/"&amp;B307&amp;"/"&amp;C307&amp;"/"&amp;D308</f>
        <v>Fuel oil fired power plants/Supercritical steam turbine/Electricity only/M</v>
      </c>
      <c r="F308" s="76" t="str">
        <f>A299</f>
        <v>Fuel oil fired power plants</v>
      </c>
      <c r="G308" s="76" t="str">
        <f>B307</f>
        <v>Supercritical steam turbine</v>
      </c>
      <c r="H308" s="76" t="str">
        <f>C307</f>
        <v>Electricity only</v>
      </c>
      <c r="I308" s="161" t="str">
        <f t="shared" si="80"/>
        <v>M</v>
      </c>
      <c r="J308" s="76">
        <v>0.46685340802987857</v>
      </c>
      <c r="K308" s="76">
        <v>0.46685340802987857</v>
      </c>
      <c r="L308" s="76">
        <v>0.46685340802987857</v>
      </c>
      <c r="M308" s="76">
        <v>0.46685340802987857</v>
      </c>
      <c r="N308" s="76">
        <v>0.46685340802987857</v>
      </c>
      <c r="O308" s="76">
        <v>0.46685340802987857</v>
      </c>
      <c r="P308" s="76">
        <v>0.46685340802987857</v>
      </c>
      <c r="Q308" s="76">
        <v>0.46685340802987857</v>
      </c>
      <c r="R308" s="76">
        <v>0.46685340802987857</v>
      </c>
      <c r="S308" s="76">
        <v>0.46685340802987857</v>
      </c>
      <c r="T308" s="76">
        <v>0.46685340802987857</v>
      </c>
      <c r="U308" s="76">
        <v>0.46685340802987857</v>
      </c>
      <c r="V308" s="76">
        <v>0.46685340802987857</v>
      </c>
      <c r="W308" s="76">
        <v>0.46685340802987857</v>
      </c>
      <c r="X308" s="76">
        <v>0.46685340802987857</v>
      </c>
      <c r="Y308" s="76">
        <v>0.46685340802987857</v>
      </c>
      <c r="Z308" s="76">
        <v>0.46685340802987857</v>
      </c>
      <c r="AA308" s="76">
        <v>0.46685340802987857</v>
      </c>
      <c r="AB308" s="76">
        <v>0.46685340802987857</v>
      </c>
      <c r="AC308" s="76">
        <v>0.46685340802987857</v>
      </c>
      <c r="AD308" s="76">
        <v>0.46685340802987857</v>
      </c>
      <c r="AE308" s="76">
        <v>0.46685340802987857</v>
      </c>
      <c r="AF308" s="76">
        <v>0.46685340802987857</v>
      </c>
      <c r="AG308" s="76">
        <v>0.46685340802987857</v>
      </c>
      <c r="AH308" s="76">
        <v>0.46685340802987857</v>
      </c>
      <c r="AI308" s="76">
        <v>0.46685340802987857</v>
      </c>
      <c r="AJ308" s="76">
        <v>0.46685340802987857</v>
      </c>
      <c r="AK308" s="76">
        <v>0.46685340802987857</v>
      </c>
      <c r="AL308" s="76">
        <v>0.46685340802987857</v>
      </c>
      <c r="AM308" s="76">
        <v>0.46685340802987857</v>
      </c>
      <c r="AN308" s="76">
        <v>0.46687896653314465</v>
      </c>
      <c r="AO308" s="76">
        <v>0.46688784770050634</v>
      </c>
      <c r="AP308" s="76">
        <v>0.46689978656761405</v>
      </c>
      <c r="AQ308" s="76">
        <v>0.4669158128857035</v>
      </c>
      <c r="AR308" s="76">
        <v>0.46693728470378282</v>
      </c>
      <c r="AS308" s="76">
        <v>0.46696597825298375</v>
      </c>
      <c r="AT308" s="76">
        <v>0.46700419056733994</v>
      </c>
      <c r="AU308" s="76">
        <v>0.46705484637362504</v>
      </c>
      <c r="AV308" s="76">
        <v>0.4671215903599531</v>
      </c>
      <c r="AW308" s="76">
        <v>0.46720882947656511</v>
      </c>
      <c r="AX308" s="84">
        <v>0.46732166715414825</v>
      </c>
    </row>
    <row r="309" spans="1:50" x14ac:dyDescent="0.25">
      <c r="A309" s="356"/>
      <c r="B309" s="359"/>
      <c r="C309" s="361" t="s">
        <v>14</v>
      </c>
      <c r="D309" s="58" t="s">
        <v>7</v>
      </c>
      <c r="E309" s="164" t="str">
        <f>A299&amp;"/"&amp;B307&amp;"/"&amp;C309&amp;"/"&amp;D309</f>
        <v>Fuel oil fired power plants/Supercritical steam turbine/CHP/L</v>
      </c>
      <c r="F309" s="78" t="str">
        <f>A299</f>
        <v>Fuel oil fired power plants</v>
      </c>
      <c r="G309" s="78" t="str">
        <f>B307</f>
        <v>Supercritical steam turbine</v>
      </c>
      <c r="H309" s="78" t="str">
        <f>C309</f>
        <v>CHP</v>
      </c>
      <c r="I309" s="165" t="str">
        <f t="shared" si="80"/>
        <v>L</v>
      </c>
      <c r="J309" s="78">
        <v>0.44563279857397498</v>
      </c>
      <c r="K309" s="78">
        <v>0.44563279857397498</v>
      </c>
      <c r="L309" s="78">
        <v>0.44563279857397498</v>
      </c>
      <c r="M309" s="78">
        <v>0.44563279857397498</v>
      </c>
      <c r="N309" s="78">
        <v>0.44563279857397498</v>
      </c>
      <c r="O309" s="78">
        <v>0.44563279857397498</v>
      </c>
      <c r="P309" s="78">
        <v>0.44563279857397498</v>
      </c>
      <c r="Q309" s="78">
        <v>0.44563279857397498</v>
      </c>
      <c r="R309" s="78">
        <v>0.44563279857397498</v>
      </c>
      <c r="S309" s="78">
        <v>0.44563279857397498</v>
      </c>
      <c r="T309" s="78">
        <v>0.44563279857397498</v>
      </c>
      <c r="U309" s="78">
        <v>0.44563279857397498</v>
      </c>
      <c r="V309" s="78">
        <v>0.44563279857397498</v>
      </c>
      <c r="W309" s="78">
        <v>0.44563279857397498</v>
      </c>
      <c r="X309" s="78">
        <v>0.44563279857397498</v>
      </c>
      <c r="Y309" s="78">
        <v>0.44563279857397498</v>
      </c>
      <c r="Z309" s="78">
        <v>0.44563279857397498</v>
      </c>
      <c r="AA309" s="78">
        <v>0.44563279857397498</v>
      </c>
      <c r="AB309" s="78">
        <v>0.44563279857397498</v>
      </c>
      <c r="AC309" s="78">
        <v>0.44563279857397498</v>
      </c>
      <c r="AD309" s="78">
        <v>0.44563279857397498</v>
      </c>
      <c r="AE309" s="78">
        <v>0.44563279857397498</v>
      </c>
      <c r="AF309" s="78">
        <v>0.44563279857397498</v>
      </c>
      <c r="AG309" s="78">
        <v>0.44563279857397498</v>
      </c>
      <c r="AH309" s="78">
        <v>0.44563279857397498</v>
      </c>
      <c r="AI309" s="78">
        <v>0.44563279857397498</v>
      </c>
      <c r="AJ309" s="78">
        <v>0.44563279857397498</v>
      </c>
      <c r="AK309" s="78">
        <v>0.44563279857397498</v>
      </c>
      <c r="AL309" s="78">
        <v>0.44563279857397498</v>
      </c>
      <c r="AM309" s="78">
        <v>0.44563279857397498</v>
      </c>
      <c r="AN309" s="78">
        <v>0.44565719532709269</v>
      </c>
      <c r="AO309" s="78">
        <v>0.44566567280502883</v>
      </c>
      <c r="AP309" s="78">
        <v>0.44567706899635895</v>
      </c>
      <c r="AQ309" s="78">
        <v>0.44569236684544428</v>
      </c>
      <c r="AR309" s="78">
        <v>0.44571286267179266</v>
      </c>
      <c r="AS309" s="78">
        <v>0.44574025196875722</v>
      </c>
      <c r="AT309" s="78">
        <v>0.44577672735973362</v>
      </c>
      <c r="AU309" s="78">
        <v>0.44582508062936943</v>
      </c>
      <c r="AV309" s="78">
        <v>0.44588879079813709</v>
      </c>
      <c r="AW309" s="78">
        <v>0.44597206450035759</v>
      </c>
      <c r="AX309" s="86">
        <v>0.44607977319259606</v>
      </c>
    </row>
    <row r="310" spans="1:50" x14ac:dyDescent="0.25">
      <c r="A310" s="356"/>
      <c r="B310" s="359"/>
      <c r="C310" s="360"/>
      <c r="D310" s="59" t="s">
        <v>8</v>
      </c>
      <c r="E310" s="166" t="str">
        <f>A299&amp;"/"&amp;B307&amp;"/"&amp;C309&amp;"/"&amp;D310</f>
        <v>Fuel oil fired power plants/Supercritical steam turbine/CHP/M</v>
      </c>
      <c r="F310" s="79" t="str">
        <f>A299</f>
        <v>Fuel oil fired power plants</v>
      </c>
      <c r="G310" s="79" t="str">
        <f>B307</f>
        <v>Supercritical steam turbine</v>
      </c>
      <c r="H310" s="79" t="str">
        <f>C309</f>
        <v>CHP</v>
      </c>
      <c r="I310" s="167" t="str">
        <f t="shared" si="80"/>
        <v>M</v>
      </c>
      <c r="J310" s="79">
        <v>0.42441218911807133</v>
      </c>
      <c r="K310" s="79">
        <v>0.42441218911807133</v>
      </c>
      <c r="L310" s="79">
        <v>0.42441218911807133</v>
      </c>
      <c r="M310" s="79">
        <v>0.42441218911807133</v>
      </c>
      <c r="N310" s="79">
        <v>0.42441218911807133</v>
      </c>
      <c r="O310" s="79">
        <v>0.42441218911807133</v>
      </c>
      <c r="P310" s="79">
        <v>0.42441218911807133</v>
      </c>
      <c r="Q310" s="79">
        <v>0.42441218911807133</v>
      </c>
      <c r="R310" s="79">
        <v>0.42441218911807133</v>
      </c>
      <c r="S310" s="79">
        <v>0.42441218911807133</v>
      </c>
      <c r="T310" s="79">
        <v>0.42441218911807133</v>
      </c>
      <c r="U310" s="79">
        <v>0.42441218911807133</v>
      </c>
      <c r="V310" s="79">
        <v>0.42441218911807133</v>
      </c>
      <c r="W310" s="79">
        <v>0.42441218911807133</v>
      </c>
      <c r="X310" s="79">
        <v>0.42441218911807133</v>
      </c>
      <c r="Y310" s="79">
        <v>0.42441218911807133</v>
      </c>
      <c r="Z310" s="79">
        <v>0.42441218911807133</v>
      </c>
      <c r="AA310" s="79">
        <v>0.42441218911807133</v>
      </c>
      <c r="AB310" s="79">
        <v>0.42441218911807133</v>
      </c>
      <c r="AC310" s="79">
        <v>0.42441218911807133</v>
      </c>
      <c r="AD310" s="79">
        <v>0.42441218911807133</v>
      </c>
      <c r="AE310" s="79">
        <v>0.42441218911807133</v>
      </c>
      <c r="AF310" s="79">
        <v>0.42441218911807133</v>
      </c>
      <c r="AG310" s="79">
        <v>0.42441218911807133</v>
      </c>
      <c r="AH310" s="79">
        <v>0.42441218911807133</v>
      </c>
      <c r="AI310" s="79">
        <v>0.42441218911807133</v>
      </c>
      <c r="AJ310" s="79">
        <v>0.42441218911807133</v>
      </c>
      <c r="AK310" s="79">
        <v>0.42441218911807133</v>
      </c>
      <c r="AL310" s="79">
        <v>0.42441218911807133</v>
      </c>
      <c r="AM310" s="79">
        <v>0.42441218911807133</v>
      </c>
      <c r="AN310" s="79">
        <v>0.42443542412104052</v>
      </c>
      <c r="AO310" s="79">
        <v>0.42444349790955122</v>
      </c>
      <c r="AP310" s="79">
        <v>0.42445435142510357</v>
      </c>
      <c r="AQ310" s="79">
        <v>0.42446892080518489</v>
      </c>
      <c r="AR310" s="79">
        <v>0.42448844063980251</v>
      </c>
      <c r="AS310" s="79">
        <v>0.42451452568453057</v>
      </c>
      <c r="AT310" s="79">
        <v>0.42454926415212707</v>
      </c>
      <c r="AU310" s="79">
        <v>0.42459531488511359</v>
      </c>
      <c r="AV310" s="79">
        <v>0.42465599123632097</v>
      </c>
      <c r="AW310" s="79">
        <v>0.42473529952415001</v>
      </c>
      <c r="AX310" s="87">
        <v>0.42483787923104377</v>
      </c>
    </row>
    <row r="311" spans="1:50" x14ac:dyDescent="0.25">
      <c r="A311" s="356"/>
      <c r="B311" s="359"/>
      <c r="C311" s="361" t="s">
        <v>15</v>
      </c>
      <c r="D311" s="58" t="s">
        <v>7</v>
      </c>
      <c r="E311" s="164" t="str">
        <f>A299&amp;"/"&amp;B307&amp;"/"&amp;C311&amp;"/"&amp;D311</f>
        <v>Fuel oil fired power plants/Supercritical steam turbine/Electricity only with CCS/L</v>
      </c>
      <c r="F311" s="78" t="str">
        <f>A299</f>
        <v>Fuel oil fired power plants</v>
      </c>
      <c r="G311" s="78" t="str">
        <f>B307</f>
        <v>Supercritical steam turbine</v>
      </c>
      <c r="H311" s="78" t="str">
        <f>C311</f>
        <v>Electricity only with CCS</v>
      </c>
      <c r="I311" s="165" t="str">
        <f t="shared" si="80"/>
        <v>L</v>
      </c>
      <c r="J311" s="78" t="s">
        <v>112</v>
      </c>
      <c r="K311" s="78" t="s">
        <v>112</v>
      </c>
      <c r="L311" s="78" t="s">
        <v>112</v>
      </c>
      <c r="M311" s="78" t="s">
        <v>112</v>
      </c>
      <c r="N311" s="78" t="s">
        <v>112</v>
      </c>
      <c r="O311" s="78" t="s">
        <v>112</v>
      </c>
      <c r="P311" s="78" t="s">
        <v>112</v>
      </c>
      <c r="Q311" s="78" t="s">
        <v>112</v>
      </c>
      <c r="R311" s="78" t="s">
        <v>112</v>
      </c>
      <c r="S311" s="78" t="s">
        <v>112</v>
      </c>
      <c r="T311" s="78" t="s">
        <v>112</v>
      </c>
      <c r="U311" s="78" t="s">
        <v>112</v>
      </c>
      <c r="V311" s="78" t="s">
        <v>112</v>
      </c>
      <c r="W311" s="78" t="s">
        <v>112</v>
      </c>
      <c r="X311" s="78" t="s">
        <v>112</v>
      </c>
      <c r="Y311" s="78" t="s">
        <v>112</v>
      </c>
      <c r="Z311" s="78" t="s">
        <v>112</v>
      </c>
      <c r="AA311" s="78" t="s">
        <v>112</v>
      </c>
      <c r="AB311" s="78" t="s">
        <v>112</v>
      </c>
      <c r="AC311" s="78" t="s">
        <v>112</v>
      </c>
      <c r="AD311" s="78" t="s">
        <v>112</v>
      </c>
      <c r="AE311" s="78">
        <v>0.46685340802987857</v>
      </c>
      <c r="AF311" s="78">
        <v>0.46685340802987857</v>
      </c>
      <c r="AG311" s="78">
        <v>0.46685340802987857</v>
      </c>
      <c r="AH311" s="78">
        <v>0.46685340802987857</v>
      </c>
      <c r="AI311" s="78">
        <v>0.46685340802987857</v>
      </c>
      <c r="AJ311" s="78">
        <v>0.46685340802987857</v>
      </c>
      <c r="AK311" s="78">
        <v>0.46685340802987857</v>
      </c>
      <c r="AL311" s="78">
        <v>0.46685340802987857</v>
      </c>
      <c r="AM311" s="78">
        <v>0.46685340802987857</v>
      </c>
      <c r="AN311" s="78">
        <v>0.46685340802987857</v>
      </c>
      <c r="AO311" s="78">
        <v>0.46685340802987857</v>
      </c>
      <c r="AP311" s="78">
        <v>0.46685340802987857</v>
      </c>
      <c r="AQ311" s="78">
        <v>0.46685340802987857</v>
      </c>
      <c r="AR311" s="78">
        <v>0.46685340802987857</v>
      </c>
      <c r="AS311" s="78">
        <v>0.46689540960854259</v>
      </c>
      <c r="AT311" s="78">
        <v>0.4669222869333472</v>
      </c>
      <c r="AU311" s="78">
        <v>0.46696597825298375</v>
      </c>
      <c r="AV311" s="78">
        <v>0.46703636911138963</v>
      </c>
      <c r="AW311" s="78">
        <v>0.46714815368073309</v>
      </c>
      <c r="AX311" s="86">
        <v>0.46732166715414825</v>
      </c>
    </row>
    <row r="312" spans="1:50" x14ac:dyDescent="0.25">
      <c r="A312" s="356"/>
      <c r="B312" s="359"/>
      <c r="C312" s="360"/>
      <c r="D312" s="59" t="s">
        <v>8</v>
      </c>
      <c r="E312" s="166" t="str">
        <f>A299&amp;"/"&amp;B307&amp;"/"&amp;C311&amp;"/"&amp;D312</f>
        <v>Fuel oil fired power plants/Supercritical steam turbine/Electricity only with CCS/M</v>
      </c>
      <c r="F312" s="79" t="str">
        <f>A299</f>
        <v>Fuel oil fired power plants</v>
      </c>
      <c r="G312" s="79" t="str">
        <f>B307</f>
        <v>Supercritical steam turbine</v>
      </c>
      <c r="H312" s="79" t="str">
        <f>C311</f>
        <v>Electricity only with CCS</v>
      </c>
      <c r="I312" s="167" t="str">
        <f t="shared" si="80"/>
        <v>M</v>
      </c>
      <c r="J312" s="79" t="s">
        <v>112</v>
      </c>
      <c r="K312" s="79" t="s">
        <v>112</v>
      </c>
      <c r="L312" s="79" t="s">
        <v>112</v>
      </c>
      <c r="M312" s="79" t="s">
        <v>112</v>
      </c>
      <c r="N312" s="79" t="s">
        <v>112</v>
      </c>
      <c r="O312" s="79" t="s">
        <v>112</v>
      </c>
      <c r="P312" s="79" t="s">
        <v>112</v>
      </c>
      <c r="Q312" s="79" t="s">
        <v>112</v>
      </c>
      <c r="R312" s="79" t="s">
        <v>112</v>
      </c>
      <c r="S312" s="79" t="s">
        <v>112</v>
      </c>
      <c r="T312" s="79" t="s">
        <v>112</v>
      </c>
      <c r="U312" s="79" t="s">
        <v>112</v>
      </c>
      <c r="V312" s="79" t="s">
        <v>112</v>
      </c>
      <c r="W312" s="79" t="s">
        <v>112</v>
      </c>
      <c r="X312" s="79" t="s">
        <v>112</v>
      </c>
      <c r="Y312" s="79" t="s">
        <v>112</v>
      </c>
      <c r="Z312" s="79" t="s">
        <v>112</v>
      </c>
      <c r="AA312" s="79" t="s">
        <v>112</v>
      </c>
      <c r="AB312" s="79" t="s">
        <v>112</v>
      </c>
      <c r="AC312" s="79" t="s">
        <v>112</v>
      </c>
      <c r="AD312" s="79" t="s">
        <v>112</v>
      </c>
      <c r="AE312" s="79">
        <v>0.4446222933617891</v>
      </c>
      <c r="AF312" s="79">
        <v>0.4446222933617891</v>
      </c>
      <c r="AG312" s="79">
        <v>0.4446222933617891</v>
      </c>
      <c r="AH312" s="79">
        <v>0.4446222933617891</v>
      </c>
      <c r="AI312" s="79">
        <v>0.4446222933617891</v>
      </c>
      <c r="AJ312" s="79">
        <v>0.4446222933617891</v>
      </c>
      <c r="AK312" s="79">
        <v>0.4446222933617891</v>
      </c>
      <c r="AL312" s="79">
        <v>0.4446222933617891</v>
      </c>
      <c r="AM312" s="79">
        <v>0.4446222933617891</v>
      </c>
      <c r="AN312" s="79">
        <v>0.4446222933617891</v>
      </c>
      <c r="AO312" s="79">
        <v>0.4446222933617891</v>
      </c>
      <c r="AP312" s="79">
        <v>0.4446222933617891</v>
      </c>
      <c r="AQ312" s="79">
        <v>0.4446222933617891</v>
      </c>
      <c r="AR312" s="79">
        <v>0.4446222933617891</v>
      </c>
      <c r="AS312" s="79">
        <v>0.4446622948652787</v>
      </c>
      <c r="AT312" s="79">
        <v>0.44468789231747358</v>
      </c>
      <c r="AU312" s="79">
        <v>0.44472950309807968</v>
      </c>
      <c r="AV312" s="79">
        <v>0.44479654201084723</v>
      </c>
      <c r="AW312" s="79">
        <v>0.44490300350546008</v>
      </c>
      <c r="AX312" s="87">
        <v>0.44506825443252213</v>
      </c>
    </row>
    <row r="313" spans="1:50" x14ac:dyDescent="0.25">
      <c r="A313" s="356"/>
      <c r="B313" s="359"/>
      <c r="C313" s="361" t="s">
        <v>16</v>
      </c>
      <c r="D313" s="2" t="s">
        <v>7</v>
      </c>
      <c r="E313" s="160" t="str">
        <f>A299&amp;"/"&amp;B307&amp;"/"&amp;C313&amp;"/"&amp;D313</f>
        <v>Fuel oil fired power plants/Supercritical steam turbine/CHP with CCS/L</v>
      </c>
      <c r="F313" s="76" t="str">
        <f>A299</f>
        <v>Fuel oil fired power plants</v>
      </c>
      <c r="G313" s="76" t="str">
        <f>B307</f>
        <v>Supercritical steam turbine</v>
      </c>
      <c r="H313" s="76" t="str">
        <f>C313</f>
        <v>CHP with CCS</v>
      </c>
      <c r="I313" s="161" t="str">
        <f t="shared" si="80"/>
        <v>L</v>
      </c>
      <c r="J313" s="76" t="s">
        <v>112</v>
      </c>
      <c r="K313" s="76" t="s">
        <v>112</v>
      </c>
      <c r="L313" s="76" t="s">
        <v>112</v>
      </c>
      <c r="M313" s="76" t="s">
        <v>112</v>
      </c>
      <c r="N313" s="76" t="s">
        <v>112</v>
      </c>
      <c r="O313" s="76" t="s">
        <v>112</v>
      </c>
      <c r="P313" s="76" t="s">
        <v>112</v>
      </c>
      <c r="Q313" s="76" t="s">
        <v>112</v>
      </c>
      <c r="R313" s="76" t="s">
        <v>112</v>
      </c>
      <c r="S313" s="76" t="s">
        <v>112</v>
      </c>
      <c r="T313" s="76" t="s">
        <v>112</v>
      </c>
      <c r="U313" s="76" t="s">
        <v>112</v>
      </c>
      <c r="V313" s="76" t="s">
        <v>112</v>
      </c>
      <c r="W313" s="76" t="s">
        <v>112</v>
      </c>
      <c r="X313" s="76" t="s">
        <v>112</v>
      </c>
      <c r="Y313" s="76" t="s">
        <v>112</v>
      </c>
      <c r="Z313" s="76" t="s">
        <v>112</v>
      </c>
      <c r="AA313" s="76" t="s">
        <v>112</v>
      </c>
      <c r="AB313" s="76" t="s">
        <v>112</v>
      </c>
      <c r="AC313" s="76" t="s">
        <v>112</v>
      </c>
      <c r="AD313" s="76" t="s">
        <v>112</v>
      </c>
      <c r="AE313" s="76">
        <v>0.42441218911807144</v>
      </c>
      <c r="AF313" s="76">
        <v>0.42441218911807144</v>
      </c>
      <c r="AG313" s="76">
        <v>0.42441218911807144</v>
      </c>
      <c r="AH313" s="76">
        <v>0.42441218911807144</v>
      </c>
      <c r="AI313" s="76">
        <v>0.42441218911807144</v>
      </c>
      <c r="AJ313" s="76">
        <v>0.42441218911807144</v>
      </c>
      <c r="AK313" s="76">
        <v>0.42441218911807144</v>
      </c>
      <c r="AL313" s="76">
        <v>0.42441218911807144</v>
      </c>
      <c r="AM313" s="76">
        <v>0.42441218911807144</v>
      </c>
      <c r="AN313" s="76">
        <v>0.42441218911807144</v>
      </c>
      <c r="AO313" s="76">
        <v>0.42441218911807144</v>
      </c>
      <c r="AP313" s="76">
        <v>0.42441218911807144</v>
      </c>
      <c r="AQ313" s="76">
        <v>0.42441218911807144</v>
      </c>
      <c r="AR313" s="76">
        <v>0.42441218911807144</v>
      </c>
      <c r="AS313" s="76">
        <v>0.42445037237140243</v>
      </c>
      <c r="AT313" s="76">
        <v>0.42447480630304291</v>
      </c>
      <c r="AU313" s="76">
        <v>0.42451452568453069</v>
      </c>
      <c r="AV313" s="76">
        <v>0.42457851737399055</v>
      </c>
      <c r="AW313" s="76">
        <v>0.42468013970975738</v>
      </c>
      <c r="AX313" s="84">
        <v>0.42483787923104382</v>
      </c>
    </row>
    <row r="314" spans="1:50" x14ac:dyDescent="0.25">
      <c r="A314" s="356"/>
      <c r="B314" s="362"/>
      <c r="C314" s="354"/>
      <c r="D314" s="4" t="s">
        <v>8</v>
      </c>
      <c r="E314" s="168" t="str">
        <f>A299&amp;"/"&amp;B307&amp;"/"&amp;C313&amp;"/"&amp;D314</f>
        <v>Fuel oil fired power plants/Supercritical steam turbine/CHP with CCS/M</v>
      </c>
      <c r="F314" s="80" t="str">
        <f>A299</f>
        <v>Fuel oil fired power plants</v>
      </c>
      <c r="G314" s="80" t="str">
        <f>B307</f>
        <v>Supercritical steam turbine</v>
      </c>
      <c r="H314" s="80" t="str">
        <f>C313</f>
        <v>CHP with CCS</v>
      </c>
      <c r="I314" s="169" t="str">
        <f t="shared" si="80"/>
        <v>M</v>
      </c>
      <c r="J314" s="80" t="s">
        <v>112</v>
      </c>
      <c r="K314" s="80" t="s">
        <v>112</v>
      </c>
      <c r="L314" s="80" t="s">
        <v>112</v>
      </c>
      <c r="M314" s="80" t="s">
        <v>112</v>
      </c>
      <c r="N314" s="80" t="s">
        <v>112</v>
      </c>
      <c r="O314" s="80" t="s">
        <v>112</v>
      </c>
      <c r="P314" s="80" t="s">
        <v>112</v>
      </c>
      <c r="Q314" s="80" t="s">
        <v>112</v>
      </c>
      <c r="R314" s="80" t="s">
        <v>112</v>
      </c>
      <c r="S314" s="80" t="s">
        <v>112</v>
      </c>
      <c r="T314" s="80" t="s">
        <v>112</v>
      </c>
      <c r="U314" s="80" t="s">
        <v>112</v>
      </c>
      <c r="V314" s="80" t="s">
        <v>112</v>
      </c>
      <c r="W314" s="80" t="s">
        <v>112</v>
      </c>
      <c r="X314" s="80" t="s">
        <v>112</v>
      </c>
      <c r="Y314" s="80" t="s">
        <v>112</v>
      </c>
      <c r="Z314" s="80" t="s">
        <v>112</v>
      </c>
      <c r="AA314" s="80" t="s">
        <v>112</v>
      </c>
      <c r="AB314" s="80" t="s">
        <v>112</v>
      </c>
      <c r="AC314" s="80" t="s">
        <v>112</v>
      </c>
      <c r="AD314" s="80" t="s">
        <v>112</v>
      </c>
      <c r="AE314" s="80">
        <v>0.40420208487435366</v>
      </c>
      <c r="AF314" s="80">
        <v>0.40420208487435366</v>
      </c>
      <c r="AG314" s="80">
        <v>0.40420208487435366</v>
      </c>
      <c r="AH314" s="80">
        <v>0.40420208487435366</v>
      </c>
      <c r="AI314" s="80">
        <v>0.40420208487435366</v>
      </c>
      <c r="AJ314" s="80">
        <v>0.40420208487435366</v>
      </c>
      <c r="AK314" s="80">
        <v>0.40420208487435366</v>
      </c>
      <c r="AL314" s="80">
        <v>0.40420208487435366</v>
      </c>
      <c r="AM314" s="80">
        <v>0.40420208487435366</v>
      </c>
      <c r="AN314" s="80">
        <v>0.40420208487435366</v>
      </c>
      <c r="AO314" s="80">
        <v>0.40420208487435366</v>
      </c>
      <c r="AP314" s="80">
        <v>0.40420208487435366</v>
      </c>
      <c r="AQ314" s="80">
        <v>0.40420208487435366</v>
      </c>
      <c r="AR314" s="80">
        <v>0.40420208487435366</v>
      </c>
      <c r="AS314" s="80">
        <v>0.40423844987752605</v>
      </c>
      <c r="AT314" s="80">
        <v>0.40426172028861224</v>
      </c>
      <c r="AU314" s="80">
        <v>0.40429954827098158</v>
      </c>
      <c r="AV314" s="80">
        <v>0.40436049273713376</v>
      </c>
      <c r="AW314" s="80">
        <v>0.40445727591405456</v>
      </c>
      <c r="AX314" s="88">
        <v>0.40460750402956547</v>
      </c>
    </row>
    <row r="315" spans="1:50" x14ac:dyDescent="0.25">
      <c r="A315" s="356"/>
      <c r="B315" s="358" t="s">
        <v>19</v>
      </c>
      <c r="C315" s="353" t="s">
        <v>6</v>
      </c>
      <c r="D315" s="3" t="s">
        <v>7</v>
      </c>
      <c r="E315" s="162" t="str">
        <f>A299&amp;"/"&amp;B315&amp;"/"&amp;C315&amp;"/"&amp;D315</f>
        <v>Fuel oil fired power plants/Steam turbine/Electricity only/L</v>
      </c>
      <c r="F315" s="77" t="str">
        <f>A299</f>
        <v>Fuel oil fired power plants</v>
      </c>
      <c r="G315" s="77" t="str">
        <f>B315</f>
        <v>Steam turbine</v>
      </c>
      <c r="H315" s="77" t="str">
        <f>C315</f>
        <v>Electricity only</v>
      </c>
      <c r="I315" s="163" t="str">
        <f t="shared" si="80"/>
        <v>L</v>
      </c>
      <c r="J315" s="77">
        <v>0.45433893684688775</v>
      </c>
      <c r="K315" s="77">
        <v>0.45439221902896026</v>
      </c>
      <c r="L315" s="77">
        <v>0.45444509684906265</v>
      </c>
      <c r="M315" s="77">
        <v>0.45449750713102993</v>
      </c>
      <c r="N315" s="77">
        <v>0.45454938915593951</v>
      </c>
      <c r="O315" s="77">
        <v>0.45460068491152039</v>
      </c>
      <c r="P315" s="77">
        <v>0.45465133931403784</v>
      </c>
      <c r="Q315" s="77">
        <v>0.45470130040130641</v>
      </c>
      <c r="R315" s="77">
        <v>0.45475051949593853</v>
      </c>
      <c r="S315" s="77">
        <v>0.454798951338383</v>
      </c>
      <c r="T315" s="77">
        <v>0.45484655418974113</v>
      </c>
      <c r="U315" s="77">
        <v>0.45489328990475736</v>
      </c>
      <c r="V315" s="77">
        <v>0.45493912397575309</v>
      </c>
      <c r="W315" s="77">
        <v>0.454984025548617</v>
      </c>
      <c r="X315" s="77">
        <v>0.45502796741225593</v>
      </c>
      <c r="Y315" s="77">
        <v>0.45507092596316961</v>
      </c>
      <c r="Z315" s="77">
        <v>0.45511288114701193</v>
      </c>
      <c r="AA315" s="77">
        <v>0.45515381637916735</v>
      </c>
      <c r="AB315" s="77">
        <v>0.45519371844647993</v>
      </c>
      <c r="AC315" s="77">
        <v>0.45523257739234729</v>
      </c>
      <c r="AD315" s="77">
        <v>0.45527038638741668</v>
      </c>
      <c r="AE315" s="77">
        <v>0.45530714158811719</v>
      </c>
      <c r="AF315" s="77">
        <v>0.45534284198521591</v>
      </c>
      <c r="AG315" s="77">
        <v>0.45537748924451721</v>
      </c>
      <c r="AH315" s="77">
        <v>0.45541108754172904</v>
      </c>
      <c r="AI315" s="77">
        <v>0.45544364339340132</v>
      </c>
      <c r="AJ315" s="77">
        <v>0.45547516548571143</v>
      </c>
      <c r="AK315" s="77">
        <v>0.45550566450272872</v>
      </c>
      <c r="AL315" s="77">
        <v>0.45553515295563429</v>
      </c>
      <c r="AM315" s="77">
        <v>0.45556364501422125</v>
      </c>
      <c r="AN315" s="77">
        <v>0.45559115634183905</v>
      </c>
      <c r="AO315" s="77">
        <v>0.45561770393479539</v>
      </c>
      <c r="AP315" s="77">
        <v>0.45564330596707109</v>
      </c>
      <c r="AQ315" s="77">
        <v>0.45566798164106642</v>
      </c>
      <c r="AR315" s="77">
        <v>0.45569175104495419</v>
      </c>
      <c r="AS315" s="77">
        <v>0.45571463501708809</v>
      </c>
      <c r="AT315" s="77">
        <v>0.45573665501779775</v>
      </c>
      <c r="AU315" s="77">
        <v>0.45575783300879308</v>
      </c>
      <c r="AV315" s="77">
        <v>0.45577819134029962</v>
      </c>
      <c r="AW315" s="77">
        <v>0.45579775264596556</v>
      </c>
      <c r="AX315" s="85">
        <v>0.45581653974549846</v>
      </c>
    </row>
    <row r="316" spans="1:50" x14ac:dyDescent="0.25">
      <c r="A316" s="356"/>
      <c r="B316" s="359"/>
      <c r="C316" s="350"/>
      <c r="D316" s="2" t="s">
        <v>8</v>
      </c>
      <c r="E316" s="160" t="str">
        <f>A299&amp;"/"&amp;B315&amp;"/"&amp;C315&amp;"/"&amp;D316</f>
        <v>Fuel oil fired power plants/Steam turbine/Electricity only/M</v>
      </c>
      <c r="F316" s="76" t="str">
        <f>A299</f>
        <v>Fuel oil fired power plants</v>
      </c>
      <c r="G316" s="76" t="str">
        <f>B315</f>
        <v>Steam turbine</v>
      </c>
      <c r="H316" s="76" t="str">
        <f>C315</f>
        <v>Electricity only</v>
      </c>
      <c r="I316" s="161" t="str">
        <f t="shared" si="80"/>
        <v>M</v>
      </c>
      <c r="J316" s="76">
        <v>0.43270374937798833</v>
      </c>
      <c r="K316" s="76">
        <v>0.43275449431329549</v>
      </c>
      <c r="L316" s="76">
        <v>0.4328048541419644</v>
      </c>
      <c r="M316" s="76">
        <v>0.43285476869621897</v>
      </c>
      <c r="N316" s="76">
        <v>0.43290418014851378</v>
      </c>
      <c r="O316" s="76">
        <v>0.43295303324906692</v>
      </c>
      <c r="P316" s="76">
        <v>0.43300127553717888</v>
      </c>
      <c r="Q316" s="76">
        <v>0.43304885752505368</v>
      </c>
      <c r="R316" s="76">
        <v>0.4330957328532748</v>
      </c>
      <c r="S316" s="76">
        <v>0.43314185841750757</v>
      </c>
      <c r="T316" s="76">
        <v>0.43318719446642012</v>
      </c>
      <c r="U316" s="76">
        <v>0.43323170467119748</v>
      </c>
      <c r="V316" s="76">
        <v>0.43327535616738383</v>
      </c>
      <c r="W316" s="76">
        <v>0.43331811957011135</v>
      </c>
      <c r="X316" s="76">
        <v>0.43335996896405321</v>
      </c>
      <c r="Y316" s="76">
        <v>0.43340088186968534</v>
      </c>
      <c r="Z316" s="76">
        <v>0.43344083918763038</v>
      </c>
      <c r="AA316" s="76">
        <v>0.43347982512301642</v>
      </c>
      <c r="AB316" s="76">
        <v>0.43351782709188563</v>
      </c>
      <c r="AC316" s="76">
        <v>0.43355483561175934</v>
      </c>
      <c r="AD316" s="76">
        <v>0.43359084417849209</v>
      </c>
      <c r="AE316" s="76">
        <v>0.43362584913154018</v>
      </c>
      <c r="AF316" s="76">
        <v>0.43365984950972941</v>
      </c>
      <c r="AG316" s="76">
        <v>0.43369284689954019</v>
      </c>
      <c r="AH316" s="76">
        <v>0.43372484527783717</v>
      </c>
      <c r="AI316" s="76">
        <v>0.43375585085085838</v>
      </c>
      <c r="AJ316" s="76">
        <v>0.4337858718911537</v>
      </c>
      <c r="AK316" s="76">
        <v>0.43381491857402732</v>
      </c>
      <c r="AL316" s="76">
        <v>0.43384300281488974</v>
      </c>
      <c r="AM316" s="76">
        <v>0.43387013810878206</v>
      </c>
      <c r="AN316" s="76">
        <v>0.43389633937318001</v>
      </c>
      <c r="AO316" s="76">
        <v>0.43392162279504315</v>
      </c>
      <c r="AP316" s="76">
        <v>0.4339460056829248</v>
      </c>
      <c r="AQ316" s="76">
        <v>0.43396950632482517</v>
      </c>
      <c r="AR316" s="76">
        <v>0.43399214385233731</v>
      </c>
      <c r="AS316" s="76">
        <v>0.4340139381115124</v>
      </c>
      <c r="AT316" s="76">
        <v>0.43403490954075974</v>
      </c>
      <c r="AU316" s="76">
        <v>0.43405507905599339</v>
      </c>
      <c r="AV316" s="76">
        <v>0.43407446794314242</v>
      </c>
      <c r="AW316" s="76">
        <v>0.43409309775806232</v>
      </c>
      <c r="AX316" s="84">
        <v>0.43411099023380806</v>
      </c>
    </row>
    <row r="317" spans="1:50" x14ac:dyDescent="0.25">
      <c r="A317" s="356"/>
      <c r="B317" s="359"/>
      <c r="C317" s="350"/>
      <c r="D317" s="2" t="s">
        <v>10</v>
      </c>
      <c r="E317" s="160" t="str">
        <f>A299&amp;"/"&amp;B315&amp;"/"&amp;C315&amp;"/"&amp;D317</f>
        <v>Fuel oil fired power plants/Steam turbine/Electricity only/S</v>
      </c>
      <c r="F317" s="76" t="str">
        <f>A299</f>
        <v>Fuel oil fired power plants</v>
      </c>
      <c r="G317" s="76" t="str">
        <f>B315</f>
        <v>Steam turbine</v>
      </c>
      <c r="H317" s="76" t="str">
        <f>C315</f>
        <v>Electricity only</v>
      </c>
      <c r="I317" s="161" t="str">
        <f t="shared" si="80"/>
        <v>S</v>
      </c>
      <c r="J317" s="76">
        <v>0.41209880893141743</v>
      </c>
      <c r="K317" s="76">
        <v>0.41214713744123377</v>
      </c>
      <c r="L317" s="76">
        <v>0.41219509918282321</v>
      </c>
      <c r="M317" s="76">
        <v>0.41224263685354184</v>
      </c>
      <c r="N317" s="76">
        <v>0.41228969537953691</v>
      </c>
      <c r="O317" s="76">
        <v>0.41233622214196852</v>
      </c>
      <c r="P317" s="76">
        <v>0.41238216717826554</v>
      </c>
      <c r="Q317" s="76">
        <v>0.41242748335719398</v>
      </c>
      <c r="R317" s="76">
        <v>0.41247212652692833</v>
      </c>
      <c r="S317" s="76">
        <v>0.41251605563572147</v>
      </c>
      <c r="T317" s="76">
        <v>0.41255923282516194</v>
      </c>
      <c r="U317" s="76">
        <v>0.41260162349637847</v>
      </c>
      <c r="V317" s="76">
        <v>0.41264319634988939</v>
      </c>
      <c r="W317" s="76">
        <v>0.41268392340010607</v>
      </c>
      <c r="X317" s="76">
        <v>0.41272377996576498</v>
      </c>
      <c r="Y317" s="76">
        <v>0.4127627446377955</v>
      </c>
      <c r="Z317" s="76">
        <v>0.41280079922631457</v>
      </c>
      <c r="AA317" s="76">
        <v>0.4128379286885871</v>
      </c>
      <c r="AB317" s="76">
        <v>0.41287412103989107</v>
      </c>
      <c r="AC317" s="76">
        <v>0.41290936724929461</v>
      </c>
      <c r="AD317" s="76">
        <v>0.41294366112237335</v>
      </c>
      <c r="AE317" s="76">
        <v>0.41297699917289538</v>
      </c>
      <c r="AF317" s="76">
        <v>0.41300938048545655</v>
      </c>
      <c r="AG317" s="76">
        <v>0.41304080657099063</v>
      </c>
      <c r="AH317" s="76">
        <v>0.41307128121698777</v>
      </c>
      <c r="AI317" s="76">
        <v>0.4131008103341508</v>
      </c>
      <c r="AJ317" s="76">
        <v>0.41312940180109875</v>
      </c>
      <c r="AK317" s="76">
        <v>0.41315706530859736</v>
      </c>
      <c r="AL317" s="76">
        <v>0.41318381220465689</v>
      </c>
      <c r="AM317" s="76">
        <v>0.41320965534169718</v>
      </c>
      <c r="AN317" s="76">
        <v>0.41323460892683811</v>
      </c>
      <c r="AO317" s="76">
        <v>0.41325868837623153</v>
      </c>
      <c r="AP317" s="76">
        <v>0.41328191017421406</v>
      </c>
      <c r="AQ317" s="76">
        <v>0.41330429173792871</v>
      </c>
      <c r="AR317" s="76">
        <v>0.41332585128794025</v>
      </c>
      <c r="AS317" s="76">
        <v>0.41334660772524984</v>
      </c>
      <c r="AT317" s="76">
        <v>0.41336658051500924</v>
      </c>
      <c r="AU317" s="76">
        <v>0.41338578957713651</v>
      </c>
      <c r="AV317" s="76">
        <v>0.41340425518394514</v>
      </c>
      <c r="AW317" s="76">
        <v>0.41342199786482126</v>
      </c>
      <c r="AX317" s="84">
        <v>0.4134390383179124</v>
      </c>
    </row>
    <row r="318" spans="1:50" x14ac:dyDescent="0.25">
      <c r="A318" s="356"/>
      <c r="B318" s="359"/>
      <c r="C318" s="360"/>
      <c r="D318" s="2" t="s">
        <v>20</v>
      </c>
      <c r="E318" s="160" t="str">
        <f>A299&amp;"/"&amp;B315&amp;"/"&amp;C315&amp;"/"&amp;D318</f>
        <v>Fuel oil fired power plants/Steam turbine/Electricity only/XS</v>
      </c>
      <c r="F318" s="76" t="str">
        <f>A299</f>
        <v>Fuel oil fired power plants</v>
      </c>
      <c r="G318" s="76" t="str">
        <f>B315</f>
        <v>Steam turbine</v>
      </c>
      <c r="H318" s="76" t="str">
        <f>C315</f>
        <v>Electricity only</v>
      </c>
      <c r="I318" s="161" t="str">
        <f t="shared" si="80"/>
        <v>XS</v>
      </c>
      <c r="J318" s="76">
        <v>0.39247505612515943</v>
      </c>
      <c r="K318" s="76">
        <v>0.3925210832773654</v>
      </c>
      <c r="L318" s="76">
        <v>0.39256676112649835</v>
      </c>
      <c r="M318" s="76">
        <v>0.39261203509861126</v>
      </c>
      <c r="N318" s="76">
        <v>0.39265685274241613</v>
      </c>
      <c r="O318" s="76">
        <v>0.39270116394473192</v>
      </c>
      <c r="P318" s="76">
        <v>0.39274492112215764</v>
      </c>
      <c r="Q318" s="76">
        <v>0.39278807938780375</v>
      </c>
      <c r="R318" s="76">
        <v>0.39283059669231274</v>
      </c>
      <c r="S318" s="76">
        <v>0.39287243393878235</v>
      </c>
      <c r="T318" s="76">
        <v>0.39291355507158288</v>
      </c>
      <c r="U318" s="76">
        <v>0.39295392713940808</v>
      </c>
      <c r="V318" s="76">
        <v>0.39299352033322799</v>
      </c>
      <c r="W318" s="76">
        <v>0.39303230800010103</v>
      </c>
      <c r="X318" s="76">
        <v>0.3930702666340618</v>
      </c>
      <c r="Y318" s="76">
        <v>0.39310737584551952</v>
      </c>
      <c r="Z318" s="76">
        <v>0.39314361831077582</v>
      </c>
      <c r="AA318" s="76">
        <v>0.39317897970341625</v>
      </c>
      <c r="AB318" s="76">
        <v>0.39321344860942004</v>
      </c>
      <c r="AC318" s="76">
        <v>0.39324701642789955</v>
      </c>
      <c r="AD318" s="76">
        <v>0.39327967725940316</v>
      </c>
      <c r="AE318" s="76">
        <v>0.39331142778370987</v>
      </c>
      <c r="AF318" s="76">
        <v>0.39334226712900622</v>
      </c>
      <c r="AG318" s="76">
        <v>0.39337219673427681</v>
      </c>
      <c r="AH318" s="76">
        <v>0.39340122020665497</v>
      </c>
      <c r="AI318" s="76">
        <v>0.3934293431753817</v>
      </c>
      <c r="AJ318" s="76">
        <v>0.39345657314390353</v>
      </c>
      <c r="AK318" s="76">
        <v>0.3934829193415213</v>
      </c>
      <c r="AL318" s="76">
        <v>0.39350839257586362</v>
      </c>
      <c r="AM318" s="76">
        <v>0.39353300508733063</v>
      </c>
      <c r="AN318" s="76">
        <v>0.39355677040651244</v>
      </c>
      <c r="AO318" s="76">
        <v>0.39357970321545865</v>
      </c>
      <c r="AP318" s="76">
        <v>0.39360181921353721</v>
      </c>
      <c r="AQ318" s="76">
        <v>0.39362313498850349</v>
      </c>
      <c r="AR318" s="76">
        <v>0.39364366789327643</v>
      </c>
      <c r="AS318" s="76">
        <v>0.39366343592880937</v>
      </c>
      <c r="AT318" s="76">
        <v>0.39368245763334209</v>
      </c>
      <c r="AU318" s="76">
        <v>0.39370075197822518</v>
      </c>
      <c r="AV318" s="76">
        <v>0.39371833827042396</v>
      </c>
      <c r="AW318" s="76">
        <v>0.39373523606173449</v>
      </c>
      <c r="AX318" s="84">
        <v>0.39375146506467851</v>
      </c>
    </row>
    <row r="319" spans="1:50" x14ac:dyDescent="0.25">
      <c r="A319" s="356"/>
      <c r="B319" s="359"/>
      <c r="C319" s="361" t="s">
        <v>14</v>
      </c>
      <c r="D319" s="58" t="s">
        <v>7</v>
      </c>
      <c r="E319" s="164" t="str">
        <f>A299&amp;"/"&amp;B315&amp;"/"&amp;C319&amp;"/"&amp;D319</f>
        <v>Fuel oil fired power plants/Steam turbine/CHP/L</v>
      </c>
      <c r="F319" s="78" t="str">
        <f>A299</f>
        <v>Fuel oil fired power plants</v>
      </c>
      <c r="G319" s="78" t="str">
        <f>B315</f>
        <v>Steam turbine</v>
      </c>
      <c r="H319" s="78" t="str">
        <f>C319</f>
        <v>CHP</v>
      </c>
      <c r="I319" s="165" t="str">
        <f t="shared" ref="I319:I382" si="81">D319</f>
        <v>L</v>
      </c>
      <c r="J319" s="78">
        <v>0.41303539713353427</v>
      </c>
      <c r="K319" s="78">
        <v>0.41309904075404696</v>
      </c>
      <c r="L319" s="78">
        <v>0.41316294713812668</v>
      </c>
      <c r="M319" s="78">
        <v>0.41322702987551724</v>
      </c>
      <c r="N319" s="78">
        <v>0.41329120197823305</v>
      </c>
      <c r="O319" s="78">
        <v>0.41335537634504771</v>
      </c>
      <c r="P319" s="78">
        <v>0.41341946622451803</v>
      </c>
      <c r="Q319" s="78">
        <v>0.41348338567141518</v>
      </c>
      <c r="R319" s="78">
        <v>0.4135470499915978</v>
      </c>
      <c r="S319" s="78">
        <v>0.41361037617060836</v>
      </c>
      <c r="T319" s="78">
        <v>0.41367328328160929</v>
      </c>
      <c r="U319" s="78">
        <v>0.41373569286867645</v>
      </c>
      <c r="V319" s="78">
        <v>0.4137975293019408</v>
      </c>
      <c r="W319" s="78">
        <v>0.41385872010157554</v>
      </c>
      <c r="X319" s="78">
        <v>0.41391919622818424</v>
      </c>
      <c r="Y319" s="78">
        <v>0.41397889233771051</v>
      </c>
      <c r="Z319" s="78">
        <v>0.4140377469995698</v>
      </c>
      <c r="AA319" s="78">
        <v>0.4140957028772756</v>
      </c>
      <c r="AB319" s="78">
        <v>0.414152706871386</v>
      </c>
      <c r="AC319" s="78">
        <v>0.41420871022511996</v>
      </c>
      <c r="AD319" s="78">
        <v>0.41426366859347852</v>
      </c>
      <c r="AE319" s="78">
        <v>0.41431754207714533</v>
      </c>
      <c r="AF319" s="78">
        <v>0.41437029522282964</v>
      </c>
      <c r="AG319" s="78">
        <v>0.41442189699204396</v>
      </c>
      <c r="AH319" s="78">
        <v>0.41447232070058021</v>
      </c>
      <c r="AI319" s="78">
        <v>0.41452154393116708</v>
      </c>
      <c r="AJ319" s="78">
        <v>0.41456954842194033</v>
      </c>
      <c r="AK319" s="78">
        <v>0.41461631993346199</v>
      </c>
      <c r="AL319" s="78">
        <v>0.41466184809707129</v>
      </c>
      <c r="AM319" s="78">
        <v>0.41470612624734682</v>
      </c>
      <c r="AN319" s="78">
        <v>0.41474915124142009</v>
      </c>
      <c r="AO319" s="78">
        <v>0.41479092326779371</v>
      </c>
      <c r="AP319" s="78">
        <v>0.41483144564720947</v>
      </c>
      <c r="AQ319" s="78">
        <v>0.41487072462796459</v>
      </c>
      <c r="AR319" s="78">
        <v>0.41490876917792019</v>
      </c>
      <c r="AS319" s="78">
        <v>0.414945590775263</v>
      </c>
      <c r="AT319" s="78">
        <v>0.41498120319989756</v>
      </c>
      <c r="AU319" s="78">
        <v>0.41501562232715394</v>
      </c>
      <c r="AV319" s="78">
        <v>0.41504886592529411</v>
      </c>
      <c r="AW319" s="78">
        <v>0.41508095345811657</v>
      </c>
      <c r="AX319" s="86">
        <v>0.41511190589376068</v>
      </c>
    </row>
    <row r="320" spans="1:50" x14ac:dyDescent="0.25">
      <c r="A320" s="356"/>
      <c r="B320" s="359"/>
      <c r="C320" s="350"/>
      <c r="D320" s="2" t="s">
        <v>8</v>
      </c>
      <c r="E320" s="160" t="str">
        <f>A299&amp;"/"&amp;B315&amp;"/"&amp;C319&amp;"/"&amp;D320</f>
        <v>Fuel oil fired power plants/Steam turbine/CHP/M</v>
      </c>
      <c r="F320" s="76" t="str">
        <f>A299</f>
        <v>Fuel oil fired power plants</v>
      </c>
      <c r="G320" s="76" t="str">
        <f>B315</f>
        <v>Steam turbine</v>
      </c>
      <c r="H320" s="76" t="str">
        <f>C319</f>
        <v>CHP</v>
      </c>
      <c r="I320" s="161" t="str">
        <f t="shared" si="81"/>
        <v>M</v>
      </c>
      <c r="J320" s="76">
        <v>0.39336704488908025</v>
      </c>
      <c r="K320" s="76">
        <v>0.39342765786099709</v>
      </c>
      <c r="L320" s="76">
        <v>0.39348852108393012</v>
      </c>
      <c r="M320" s="76">
        <v>0.3935495522623973</v>
      </c>
      <c r="N320" s="76">
        <v>0.3936106685506981</v>
      </c>
      <c r="O320" s="76">
        <v>0.39367178699528349</v>
      </c>
      <c r="P320" s="76">
        <v>0.39373282497573142</v>
      </c>
      <c r="Q320" s="76">
        <v>0.39379370063944297</v>
      </c>
      <c r="R320" s="76">
        <v>0.39385433332533121</v>
      </c>
      <c r="S320" s="76">
        <v>0.39391464397200798</v>
      </c>
      <c r="T320" s="76">
        <v>0.39397455550629451</v>
      </c>
      <c r="U320" s="76">
        <v>0.39403399320826327</v>
      </c>
      <c r="V320" s="76">
        <v>0.39409288504946738</v>
      </c>
      <c r="W320" s="76">
        <v>0.39415116200150052</v>
      </c>
      <c r="X320" s="76">
        <v>0.39420875831255642</v>
      </c>
      <c r="Y320" s="76">
        <v>0.39426561175020047</v>
      </c>
      <c r="Z320" s="76">
        <v>0.39432166380911404</v>
      </c>
      <c r="AA320" s="76">
        <v>0.3943768598831196</v>
      </c>
      <c r="AB320" s="76">
        <v>0.39443114940131996</v>
      </c>
      <c r="AC320" s="76">
        <v>0.39448448592868568</v>
      </c>
      <c r="AD320" s="76">
        <v>0.39453682723188427</v>
      </c>
      <c r="AE320" s="76">
        <v>0.394588135311567</v>
      </c>
      <c r="AF320" s="76">
        <v>0.39463837640269489</v>
      </c>
      <c r="AG320" s="76">
        <v>0.3946875209448038</v>
      </c>
      <c r="AH320" s="76">
        <v>0.39473554352436213</v>
      </c>
      <c r="AI320" s="76">
        <v>0.39478242279158765</v>
      </c>
      <c r="AJ320" s="76">
        <v>0.39482814135422878</v>
      </c>
      <c r="AK320" s="76">
        <v>0.39487268565091621</v>
      </c>
      <c r="AL320" s="76">
        <v>0.39491604580673456</v>
      </c>
      <c r="AM320" s="76">
        <v>0.39495821547366361</v>
      </c>
      <c r="AN320" s="76">
        <v>0.39499919165849534</v>
      </c>
      <c r="AO320" s="76">
        <v>0.39503897454075593</v>
      </c>
      <c r="AP320" s="76">
        <v>0.3950775672830566</v>
      </c>
      <c r="AQ320" s="76">
        <v>0.39511497583615673</v>
      </c>
      <c r="AR320" s="76">
        <v>0.39515120874087639</v>
      </c>
      <c r="AS320" s="76">
        <v>0.39518627692882191</v>
      </c>
      <c r="AT320" s="76">
        <v>0.39522019352371196</v>
      </c>
      <c r="AU320" s="76">
        <v>0.39525297364490852</v>
      </c>
      <c r="AV320" s="76">
        <v>0.39528463421456578</v>
      </c>
      <c r="AW320" s="76">
        <v>0.39531519376963475</v>
      </c>
      <c r="AX320" s="84">
        <v>0.39534467227977205</v>
      </c>
    </row>
    <row r="321" spans="1:50" x14ac:dyDescent="0.25">
      <c r="A321" s="356"/>
      <c r="B321" s="359"/>
      <c r="C321" s="350"/>
      <c r="D321" s="2" t="s">
        <v>10</v>
      </c>
      <c r="E321" s="160" t="str">
        <f>A299&amp;"/"&amp;B315&amp;"/"&amp;C319&amp;"/"&amp;D321</f>
        <v>Fuel oil fired power plants/Steam turbine/CHP/S</v>
      </c>
      <c r="F321" s="76" t="str">
        <f>A299</f>
        <v>Fuel oil fired power plants</v>
      </c>
      <c r="G321" s="76" t="str">
        <f>B315</f>
        <v>Steam turbine</v>
      </c>
      <c r="H321" s="76" t="str">
        <f>C319</f>
        <v>CHP</v>
      </c>
      <c r="I321" s="161" t="str">
        <f t="shared" si="81"/>
        <v>S</v>
      </c>
      <c r="J321" s="76">
        <v>0.37463528084674308</v>
      </c>
      <c r="K321" s="76">
        <v>0.3746930074866639</v>
      </c>
      <c r="L321" s="76">
        <v>0.3747509724608859</v>
      </c>
      <c r="M321" s="76">
        <v>0.37480909739275936</v>
      </c>
      <c r="N321" s="76">
        <v>0.37486730338161717</v>
      </c>
      <c r="O321" s="76">
        <v>0.37492551142407954</v>
      </c>
      <c r="P321" s="76">
        <v>0.37498364283402996</v>
      </c>
      <c r="Q321" s="76">
        <v>0.37504161965661242</v>
      </c>
      <c r="R321" s="76">
        <v>0.37509936507174396</v>
      </c>
      <c r="S321" s="76">
        <v>0.37515680378286476</v>
      </c>
      <c r="T321" s="76">
        <v>0.37521386238694715</v>
      </c>
      <c r="U321" s="76">
        <v>0.3752704697221555</v>
      </c>
      <c r="V321" s="76">
        <v>0.37532655718996899</v>
      </c>
      <c r="W321" s="76">
        <v>0.37538205904904814</v>
      </c>
      <c r="X321" s="76">
        <v>0.37543691267862517</v>
      </c>
      <c r="Y321" s="76">
        <v>0.37549105880971478</v>
      </c>
      <c r="Z321" s="76">
        <v>0.37554444172296575</v>
      </c>
      <c r="AA321" s="76">
        <v>0.37559700941249485</v>
      </c>
      <c r="AB321" s="76">
        <v>0.37564871371554281</v>
      </c>
      <c r="AC321" s="76">
        <v>0.3756995104082721</v>
      </c>
      <c r="AD321" s="76">
        <v>0.37574935926846126</v>
      </c>
      <c r="AE321" s="76">
        <v>0.37579822410625424</v>
      </c>
      <c r="AF321" s="76">
        <v>0.37584607276447135</v>
      </c>
      <c r="AG321" s="76">
        <v>0.37589287709028929</v>
      </c>
      <c r="AH321" s="76">
        <v>0.37593861288034486</v>
      </c>
      <c r="AI321" s="76">
        <v>0.37598325980151204</v>
      </c>
      <c r="AJ321" s="76">
        <v>0.37602680128974175</v>
      </c>
      <c r="AK321" s="76">
        <v>0.37606922442944396</v>
      </c>
      <c r="AL321" s="76">
        <v>0.37611051981593768</v>
      </c>
      <c r="AM321" s="76">
        <v>0.37615068140348923</v>
      </c>
      <c r="AN321" s="76">
        <v>0.37618970634142412</v>
      </c>
      <c r="AO321" s="76">
        <v>0.37622759480071993</v>
      </c>
      <c r="AP321" s="76">
        <v>0.37626434979338724</v>
      </c>
      <c r="AQ321" s="76">
        <v>0.376299976986816</v>
      </c>
      <c r="AR321" s="76">
        <v>0.37633448451512036</v>
      </c>
      <c r="AS321" s="76">
        <v>0.37636788278935418</v>
      </c>
      <c r="AT321" s="76">
        <v>0.37640018430829714</v>
      </c>
      <c r="AU321" s="76">
        <v>0.37643140347134141</v>
      </c>
      <c r="AV321" s="76">
        <v>0.37646155639482459</v>
      </c>
      <c r="AW321" s="76">
        <v>0.37649066073298554</v>
      </c>
      <c r="AX321" s="84">
        <v>0.37651873550454484</v>
      </c>
    </row>
    <row r="322" spans="1:50" x14ac:dyDescent="0.25">
      <c r="A322" s="356"/>
      <c r="B322" s="359"/>
      <c r="C322" s="360"/>
      <c r="D322" s="59" t="s">
        <v>20</v>
      </c>
      <c r="E322" s="166" t="str">
        <f>A299&amp;"/"&amp;B315&amp;"/"&amp;C319&amp;"/"&amp;D322</f>
        <v>Fuel oil fired power plants/Steam turbine/CHP/XS</v>
      </c>
      <c r="F322" s="79" t="str">
        <f>A299</f>
        <v>Fuel oil fired power plants</v>
      </c>
      <c r="G322" s="79" t="str">
        <f>B315</f>
        <v>Steam turbine</v>
      </c>
      <c r="H322" s="79" t="str">
        <f>C319</f>
        <v>CHP</v>
      </c>
      <c r="I322" s="167" t="str">
        <f t="shared" si="81"/>
        <v>XS</v>
      </c>
      <c r="J322" s="79">
        <v>0.35679550556832673</v>
      </c>
      <c r="K322" s="79">
        <v>0.35685048332063229</v>
      </c>
      <c r="L322" s="79">
        <v>0.3569056880579865</v>
      </c>
      <c r="M322" s="79">
        <v>0.35696104513596127</v>
      </c>
      <c r="N322" s="79">
        <v>0.35701647941106396</v>
      </c>
      <c r="O322" s="79">
        <v>0.35707191564198049</v>
      </c>
      <c r="P322" s="79">
        <v>0.35712727888955231</v>
      </c>
      <c r="Q322" s="79">
        <v>0.35718249491105941</v>
      </c>
      <c r="R322" s="79">
        <v>0.35723749054451809</v>
      </c>
      <c r="S322" s="79">
        <v>0.35729219407891882</v>
      </c>
      <c r="T322" s="79">
        <v>0.35734653560661628</v>
      </c>
      <c r="U322" s="79">
        <v>0.35740044735443388</v>
      </c>
      <c r="V322" s="79">
        <v>0.3574538639904466</v>
      </c>
      <c r="W322" s="79">
        <v>0.35750672290385532</v>
      </c>
      <c r="X322" s="79">
        <v>0.35755896445583346</v>
      </c>
      <c r="Y322" s="79">
        <v>0.35761053219972833</v>
      </c>
      <c r="Z322" s="79">
        <v>0.3576613730694912</v>
      </c>
      <c r="AA322" s="79">
        <v>0.35771143753570939</v>
      </c>
      <c r="AB322" s="79">
        <v>0.35776067972908843</v>
      </c>
      <c r="AC322" s="79">
        <v>0.35780905753168768</v>
      </c>
      <c r="AD322" s="79">
        <v>0.35785653263662975</v>
      </c>
      <c r="AE322" s="79">
        <v>0.35790307057738496</v>
      </c>
      <c r="AF322" s="79">
        <v>0.35794864072806792</v>
      </c>
      <c r="AG322" s="79">
        <v>0.35799321627646602</v>
      </c>
      <c r="AH322" s="79">
        <v>0.358036774171757</v>
      </c>
      <c r="AI322" s="79">
        <v>0.35807929504905911</v>
      </c>
      <c r="AJ322" s="79">
        <v>0.35812076313308738</v>
      </c>
      <c r="AK322" s="79">
        <v>0.35816116612328003</v>
      </c>
      <c r="AL322" s="79">
        <v>0.35820049506279777</v>
      </c>
      <c r="AM322" s="79">
        <v>0.3582387441937992</v>
      </c>
      <c r="AN322" s="79">
        <v>0.35827591080135629</v>
      </c>
      <c r="AO322" s="79">
        <v>0.35831199504830474</v>
      </c>
      <c r="AP322" s="79">
        <v>0.35834699980322593</v>
      </c>
      <c r="AQ322" s="79">
        <v>0.35838093046363423</v>
      </c>
      <c r="AR322" s="79">
        <v>0.35841379477630514</v>
      </c>
      <c r="AS322" s="79">
        <v>0.35844560265652775</v>
      </c>
      <c r="AT322" s="79">
        <v>0.358476366007902</v>
      </c>
      <c r="AU322" s="79">
        <v>0.35850609854413473</v>
      </c>
      <c r="AV322" s="79">
        <v>0.3585348156141186</v>
      </c>
      <c r="AW322" s="79">
        <v>0.35856253403141475</v>
      </c>
      <c r="AX322" s="87">
        <v>0.35858927190909035</v>
      </c>
    </row>
    <row r="323" spans="1:50" x14ac:dyDescent="0.25">
      <c r="A323" s="356"/>
      <c r="B323" s="359"/>
      <c r="C323" s="361" t="s">
        <v>15</v>
      </c>
      <c r="D323" s="58" t="s">
        <v>7</v>
      </c>
      <c r="E323" s="164" t="str">
        <f>A299&amp;"/"&amp;B315&amp;"/"&amp;C323&amp;"/"&amp;D323</f>
        <v>Fuel oil fired power plants/Steam turbine/Electricity only with CCS/L</v>
      </c>
      <c r="F323" s="78" t="str">
        <f>A299</f>
        <v>Fuel oil fired power plants</v>
      </c>
      <c r="G323" s="78" t="str">
        <f>B315</f>
        <v>Steam turbine</v>
      </c>
      <c r="H323" s="78" t="str">
        <f>C323</f>
        <v>Electricity only with CCS</v>
      </c>
      <c r="I323" s="165" t="str">
        <f t="shared" si="81"/>
        <v>L</v>
      </c>
      <c r="J323" s="78" t="s">
        <v>112</v>
      </c>
      <c r="K323" s="78" t="s">
        <v>112</v>
      </c>
      <c r="L323" s="78" t="s">
        <v>112</v>
      </c>
      <c r="M323" s="78" t="s">
        <v>112</v>
      </c>
      <c r="N323" s="78" t="s">
        <v>112</v>
      </c>
      <c r="O323" s="78" t="s">
        <v>112</v>
      </c>
      <c r="P323" s="78" t="s">
        <v>112</v>
      </c>
      <c r="Q323" s="78" t="s">
        <v>112</v>
      </c>
      <c r="R323" s="78" t="s">
        <v>112</v>
      </c>
      <c r="S323" s="78" t="s">
        <v>112</v>
      </c>
      <c r="T323" s="78" t="s">
        <v>112</v>
      </c>
      <c r="U323" s="78" t="s">
        <v>112</v>
      </c>
      <c r="V323" s="78" t="s">
        <v>112</v>
      </c>
      <c r="W323" s="78" t="s">
        <v>112</v>
      </c>
      <c r="X323" s="78" t="s">
        <v>112</v>
      </c>
      <c r="Y323" s="78" t="s">
        <v>112</v>
      </c>
      <c r="Z323" s="78" t="s">
        <v>112</v>
      </c>
      <c r="AA323" s="78" t="s">
        <v>112</v>
      </c>
      <c r="AB323" s="78" t="s">
        <v>112</v>
      </c>
      <c r="AC323" s="78" t="s">
        <v>112</v>
      </c>
      <c r="AD323" s="78" t="s">
        <v>112</v>
      </c>
      <c r="AE323" s="78">
        <v>0.43270374937798833</v>
      </c>
      <c r="AF323" s="78">
        <v>0.43270374937798833</v>
      </c>
      <c r="AG323" s="78">
        <v>0.43270374937798833</v>
      </c>
      <c r="AH323" s="78">
        <v>0.43270374937798833</v>
      </c>
      <c r="AI323" s="78">
        <v>0.43270374937798833</v>
      </c>
      <c r="AJ323" s="78">
        <v>0.43270374937798833</v>
      </c>
      <c r="AK323" s="78">
        <v>0.43270374937798833</v>
      </c>
      <c r="AL323" s="78">
        <v>0.43270374937798833</v>
      </c>
      <c r="AM323" s="78">
        <v>0.43270374937798833</v>
      </c>
      <c r="AN323" s="78">
        <v>0.43270374937798833</v>
      </c>
      <c r="AO323" s="78">
        <v>0.43270374937798833</v>
      </c>
      <c r="AP323" s="78">
        <v>0.43270374937798833</v>
      </c>
      <c r="AQ323" s="78">
        <v>0.43270374937798833</v>
      </c>
      <c r="AR323" s="78">
        <v>0.43270374937798833</v>
      </c>
      <c r="AS323" s="78">
        <v>0.43270374937798833</v>
      </c>
      <c r="AT323" s="78">
        <v>0.43270374937798833</v>
      </c>
      <c r="AU323" s="78">
        <v>0.43270374937798833</v>
      </c>
      <c r="AV323" s="78">
        <v>0.43270374937798833</v>
      </c>
      <c r="AW323" s="78">
        <v>0.43270374937798833</v>
      </c>
      <c r="AX323" s="86">
        <v>0.43270374937798833</v>
      </c>
    </row>
    <row r="324" spans="1:50" x14ac:dyDescent="0.25">
      <c r="A324" s="356"/>
      <c r="B324" s="359"/>
      <c r="C324" s="360"/>
      <c r="D324" s="59" t="s">
        <v>8</v>
      </c>
      <c r="E324" s="166" t="str">
        <f>A299&amp;"/"&amp;B315&amp;"/"&amp;C323&amp;"/"&amp;D324</f>
        <v>Fuel oil fired power plants/Steam turbine/Electricity only with CCS/M</v>
      </c>
      <c r="F324" s="79" t="str">
        <f>A299</f>
        <v>Fuel oil fired power plants</v>
      </c>
      <c r="G324" s="79" t="str">
        <f>B315</f>
        <v>Steam turbine</v>
      </c>
      <c r="H324" s="79" t="str">
        <f>C323</f>
        <v>Electricity only with CCS</v>
      </c>
      <c r="I324" s="167" t="str">
        <f t="shared" si="81"/>
        <v>M</v>
      </c>
      <c r="J324" s="79" t="s">
        <v>112</v>
      </c>
      <c r="K324" s="79" t="s">
        <v>112</v>
      </c>
      <c r="L324" s="79" t="s">
        <v>112</v>
      </c>
      <c r="M324" s="79" t="s">
        <v>112</v>
      </c>
      <c r="N324" s="79" t="s">
        <v>112</v>
      </c>
      <c r="O324" s="79" t="s">
        <v>112</v>
      </c>
      <c r="P324" s="79" t="s">
        <v>112</v>
      </c>
      <c r="Q324" s="79" t="s">
        <v>112</v>
      </c>
      <c r="R324" s="79" t="s">
        <v>112</v>
      </c>
      <c r="S324" s="79" t="s">
        <v>112</v>
      </c>
      <c r="T324" s="79" t="s">
        <v>112</v>
      </c>
      <c r="U324" s="79" t="s">
        <v>112</v>
      </c>
      <c r="V324" s="79" t="s">
        <v>112</v>
      </c>
      <c r="W324" s="79" t="s">
        <v>112</v>
      </c>
      <c r="X324" s="79" t="s">
        <v>112</v>
      </c>
      <c r="Y324" s="79" t="s">
        <v>112</v>
      </c>
      <c r="Z324" s="79" t="s">
        <v>112</v>
      </c>
      <c r="AA324" s="79" t="s">
        <v>112</v>
      </c>
      <c r="AB324" s="79" t="s">
        <v>112</v>
      </c>
      <c r="AC324" s="79" t="s">
        <v>112</v>
      </c>
      <c r="AD324" s="79" t="s">
        <v>112</v>
      </c>
      <c r="AE324" s="79">
        <v>0.41209880893141743</v>
      </c>
      <c r="AF324" s="79">
        <v>0.41209880893141743</v>
      </c>
      <c r="AG324" s="79">
        <v>0.41209880893141743</v>
      </c>
      <c r="AH324" s="79">
        <v>0.41209880893141743</v>
      </c>
      <c r="AI324" s="79">
        <v>0.41209880893141743</v>
      </c>
      <c r="AJ324" s="79">
        <v>0.41209880893141743</v>
      </c>
      <c r="AK324" s="79">
        <v>0.41209880893141743</v>
      </c>
      <c r="AL324" s="79">
        <v>0.41209880893141743</v>
      </c>
      <c r="AM324" s="79">
        <v>0.41209880893141743</v>
      </c>
      <c r="AN324" s="79">
        <v>0.41209880893141743</v>
      </c>
      <c r="AO324" s="79">
        <v>0.41209880893141743</v>
      </c>
      <c r="AP324" s="79">
        <v>0.41209880893141743</v>
      </c>
      <c r="AQ324" s="79">
        <v>0.41209880893141743</v>
      </c>
      <c r="AR324" s="79">
        <v>0.41209880893141743</v>
      </c>
      <c r="AS324" s="79">
        <v>0.41209880893141743</v>
      </c>
      <c r="AT324" s="79">
        <v>0.41209880893141743</v>
      </c>
      <c r="AU324" s="79">
        <v>0.41209880893141743</v>
      </c>
      <c r="AV324" s="79">
        <v>0.41209880893141743</v>
      </c>
      <c r="AW324" s="79">
        <v>0.41209880893141743</v>
      </c>
      <c r="AX324" s="87">
        <v>0.41209880893141743</v>
      </c>
    </row>
    <row r="325" spans="1:50" x14ac:dyDescent="0.25">
      <c r="A325" s="356"/>
      <c r="B325" s="359"/>
      <c r="C325" s="361" t="s">
        <v>16</v>
      </c>
      <c r="D325" s="2" t="s">
        <v>7</v>
      </c>
      <c r="E325" s="160" t="str">
        <f>A299&amp;"/"&amp;B315&amp;"/"&amp;C325&amp;"/"&amp;D325</f>
        <v>Fuel oil fired power plants/Steam turbine/CHP with CCS/L</v>
      </c>
      <c r="F325" s="76" t="str">
        <f>A299</f>
        <v>Fuel oil fired power plants</v>
      </c>
      <c r="G325" s="76" t="str">
        <f>B315</f>
        <v>Steam turbine</v>
      </c>
      <c r="H325" s="76" t="str">
        <f>C325</f>
        <v>CHP with CCS</v>
      </c>
      <c r="I325" s="161" t="str">
        <f t="shared" si="81"/>
        <v>L</v>
      </c>
      <c r="J325" s="76" t="s">
        <v>112</v>
      </c>
      <c r="K325" s="76" t="s">
        <v>112</v>
      </c>
      <c r="L325" s="76" t="s">
        <v>112</v>
      </c>
      <c r="M325" s="76" t="s">
        <v>112</v>
      </c>
      <c r="N325" s="76" t="s">
        <v>112</v>
      </c>
      <c r="O325" s="76" t="s">
        <v>112</v>
      </c>
      <c r="P325" s="76" t="s">
        <v>112</v>
      </c>
      <c r="Q325" s="76" t="s">
        <v>112</v>
      </c>
      <c r="R325" s="76" t="s">
        <v>112</v>
      </c>
      <c r="S325" s="76" t="s">
        <v>112</v>
      </c>
      <c r="T325" s="76" t="s">
        <v>112</v>
      </c>
      <c r="U325" s="76" t="s">
        <v>112</v>
      </c>
      <c r="V325" s="76" t="s">
        <v>112</v>
      </c>
      <c r="W325" s="76" t="s">
        <v>112</v>
      </c>
      <c r="X325" s="76" t="s">
        <v>112</v>
      </c>
      <c r="Y325" s="76" t="s">
        <v>112</v>
      </c>
      <c r="Z325" s="76" t="s">
        <v>112</v>
      </c>
      <c r="AA325" s="76" t="s">
        <v>112</v>
      </c>
      <c r="AB325" s="76" t="s">
        <v>112</v>
      </c>
      <c r="AC325" s="76" t="s">
        <v>112</v>
      </c>
      <c r="AD325" s="76" t="s">
        <v>112</v>
      </c>
      <c r="AE325" s="76">
        <v>0.39336704488908025</v>
      </c>
      <c r="AF325" s="76">
        <v>0.39336704488908025</v>
      </c>
      <c r="AG325" s="76">
        <v>0.39336704488908025</v>
      </c>
      <c r="AH325" s="76">
        <v>0.39336704488908025</v>
      </c>
      <c r="AI325" s="76">
        <v>0.39336704488908025</v>
      </c>
      <c r="AJ325" s="76">
        <v>0.39336704488908025</v>
      </c>
      <c r="AK325" s="76">
        <v>0.39336704488908025</v>
      </c>
      <c r="AL325" s="76">
        <v>0.39336704488908025</v>
      </c>
      <c r="AM325" s="76">
        <v>0.39336704488908025</v>
      </c>
      <c r="AN325" s="76">
        <v>0.39336704488908025</v>
      </c>
      <c r="AO325" s="76">
        <v>0.39336704488908025</v>
      </c>
      <c r="AP325" s="76">
        <v>0.39336704488908025</v>
      </c>
      <c r="AQ325" s="76">
        <v>0.39336704488908025</v>
      </c>
      <c r="AR325" s="76">
        <v>0.39336704488908025</v>
      </c>
      <c r="AS325" s="76">
        <v>0.39336704488908025</v>
      </c>
      <c r="AT325" s="76">
        <v>0.39336704488908025</v>
      </c>
      <c r="AU325" s="76">
        <v>0.39336704488908025</v>
      </c>
      <c r="AV325" s="76">
        <v>0.39336704488908025</v>
      </c>
      <c r="AW325" s="76">
        <v>0.39336704488908025</v>
      </c>
      <c r="AX325" s="84">
        <v>0.39336704488908025</v>
      </c>
    </row>
    <row r="326" spans="1:50" x14ac:dyDescent="0.25">
      <c r="A326" s="357"/>
      <c r="B326" s="362"/>
      <c r="C326" s="354"/>
      <c r="D326" s="4" t="s">
        <v>8</v>
      </c>
      <c r="E326" s="168" t="str">
        <f>A299&amp;"/"&amp;B315&amp;"/"&amp;C325&amp;"/"&amp;D326</f>
        <v>Fuel oil fired power plants/Steam turbine/CHP with CCS/M</v>
      </c>
      <c r="F326" s="80" t="str">
        <f>A299</f>
        <v>Fuel oil fired power plants</v>
      </c>
      <c r="G326" s="80" t="str">
        <f>B315</f>
        <v>Steam turbine</v>
      </c>
      <c r="H326" s="80" t="str">
        <f>C325</f>
        <v>CHP with CCS</v>
      </c>
      <c r="I326" s="169" t="str">
        <f t="shared" si="81"/>
        <v>M</v>
      </c>
      <c r="J326" s="80" t="s">
        <v>112</v>
      </c>
      <c r="K326" s="80" t="s">
        <v>112</v>
      </c>
      <c r="L326" s="80" t="s">
        <v>112</v>
      </c>
      <c r="M326" s="80" t="s">
        <v>112</v>
      </c>
      <c r="N326" s="80" t="s">
        <v>112</v>
      </c>
      <c r="O326" s="80" t="s">
        <v>112</v>
      </c>
      <c r="P326" s="80" t="s">
        <v>112</v>
      </c>
      <c r="Q326" s="80" t="s">
        <v>112</v>
      </c>
      <c r="R326" s="80" t="s">
        <v>112</v>
      </c>
      <c r="S326" s="80" t="s">
        <v>112</v>
      </c>
      <c r="T326" s="80" t="s">
        <v>112</v>
      </c>
      <c r="U326" s="80" t="s">
        <v>112</v>
      </c>
      <c r="V326" s="80" t="s">
        <v>112</v>
      </c>
      <c r="W326" s="80" t="s">
        <v>112</v>
      </c>
      <c r="X326" s="80" t="s">
        <v>112</v>
      </c>
      <c r="Y326" s="80" t="s">
        <v>112</v>
      </c>
      <c r="Z326" s="80" t="s">
        <v>112</v>
      </c>
      <c r="AA326" s="80" t="s">
        <v>112</v>
      </c>
      <c r="AB326" s="80" t="s">
        <v>112</v>
      </c>
      <c r="AC326" s="80" t="s">
        <v>112</v>
      </c>
      <c r="AD326" s="80" t="s">
        <v>112</v>
      </c>
      <c r="AE326" s="80">
        <v>0.37463528084674308</v>
      </c>
      <c r="AF326" s="80">
        <v>0.37463528084674308</v>
      </c>
      <c r="AG326" s="80">
        <v>0.37463528084674308</v>
      </c>
      <c r="AH326" s="80">
        <v>0.37463528084674308</v>
      </c>
      <c r="AI326" s="80">
        <v>0.37463528084674308</v>
      </c>
      <c r="AJ326" s="80">
        <v>0.37463528084674308</v>
      </c>
      <c r="AK326" s="80">
        <v>0.37463528084674308</v>
      </c>
      <c r="AL326" s="80">
        <v>0.37463528084674308</v>
      </c>
      <c r="AM326" s="80">
        <v>0.37463528084674308</v>
      </c>
      <c r="AN326" s="80">
        <v>0.37463528084674308</v>
      </c>
      <c r="AO326" s="80">
        <v>0.37463528084674308</v>
      </c>
      <c r="AP326" s="80">
        <v>0.37463528084674308</v>
      </c>
      <c r="AQ326" s="80">
        <v>0.37463528084674308</v>
      </c>
      <c r="AR326" s="80">
        <v>0.37463528084674308</v>
      </c>
      <c r="AS326" s="80">
        <v>0.37463528084674308</v>
      </c>
      <c r="AT326" s="80">
        <v>0.37463528084674308</v>
      </c>
      <c r="AU326" s="80">
        <v>0.37463528084674308</v>
      </c>
      <c r="AV326" s="80">
        <v>0.37463528084674308</v>
      </c>
      <c r="AW326" s="80">
        <v>0.37463528084674308</v>
      </c>
      <c r="AX326" s="88">
        <v>0.37463528084674308</v>
      </c>
    </row>
    <row r="327" spans="1:50" x14ac:dyDescent="0.25">
      <c r="A327" s="355" t="s">
        <v>30</v>
      </c>
      <c r="B327" s="358" t="s">
        <v>13</v>
      </c>
      <c r="C327" s="353" t="s">
        <v>6</v>
      </c>
      <c r="D327" s="3" t="s">
        <v>7</v>
      </c>
      <c r="E327" s="162" t="str">
        <f>A327&amp;"/"&amp;B327&amp;"/"&amp;C327&amp;"/"&amp;D327</f>
        <v>Biomass and waste fired power plants/Integrated gasification combined cycle/Electricity only/L</v>
      </c>
      <c r="F327" s="77" t="str">
        <f>A327</f>
        <v>Biomass and waste fired power plants</v>
      </c>
      <c r="G327" s="77" t="str">
        <f>B327</f>
        <v>Integrated gasification combined cycle</v>
      </c>
      <c r="H327" s="77" t="str">
        <f>C327</f>
        <v>Electricity only</v>
      </c>
      <c r="I327" s="163" t="str">
        <f t="shared" si="81"/>
        <v>L</v>
      </c>
      <c r="J327" s="77">
        <v>0.44150110375275936</v>
      </c>
      <c r="K327" s="77">
        <v>0.44150264776146814</v>
      </c>
      <c r="L327" s="77">
        <v>0.44150463023419695</v>
      </c>
      <c r="M327" s="77">
        <v>0.44150717565807002</v>
      </c>
      <c r="N327" s="77">
        <v>0.44151044384671612</v>
      </c>
      <c r="O327" s="77">
        <v>0.44151463995379031</v>
      </c>
      <c r="P327" s="77">
        <v>0.44152002731755791</v>
      </c>
      <c r="Q327" s="77">
        <v>0.44152694393219039</v>
      </c>
      <c r="R327" s="77">
        <v>0.44153582356194238</v>
      </c>
      <c r="S327" s="77">
        <v>0.44154722279399655</v>
      </c>
      <c r="T327" s="77">
        <v>0.44156185567899126</v>
      </c>
      <c r="U327" s="77">
        <v>0.44158063805225006</v>
      </c>
      <c r="V327" s="77">
        <v>0.44160474418316686</v>
      </c>
      <c r="W327" s="77">
        <v>0.44163567908639617</v>
      </c>
      <c r="X327" s="77">
        <v>0.44167537066748713</v>
      </c>
      <c r="Y327" s="77">
        <v>0.44172628688408166</v>
      </c>
      <c r="Z327" s="77">
        <v>0.44179158428654564</v>
      </c>
      <c r="AA327" s="77">
        <v>0.4418752956383688</v>
      </c>
      <c r="AB327" s="77">
        <v>0.44198256573794997</v>
      </c>
      <c r="AC327" s="77">
        <v>0.44211994591418863</v>
      </c>
      <c r="AD327" s="77">
        <v>0.44229575864572912</v>
      </c>
      <c r="AE327" s="77">
        <v>0.44252054381185635</v>
      </c>
      <c r="AF327" s="77">
        <v>0.44280759629028787</v>
      </c>
      <c r="AG327" s="77">
        <v>0.44317359945333268</v>
      </c>
      <c r="AH327" s="77">
        <v>0.44363934820571793</v>
      </c>
      <c r="AI327" s="77">
        <v>0.44423053503150817</v>
      </c>
      <c r="AJ327" s="77">
        <v>0.44497853818082272</v>
      </c>
      <c r="AK327" s="77">
        <v>0.44592109649597661</v>
      </c>
      <c r="AL327" s="77">
        <v>0.44710267412743188</v>
      </c>
      <c r="AM327" s="77">
        <v>0.44857420701564704</v>
      </c>
      <c r="AN327" s="77">
        <v>0.45039178735617225</v>
      </c>
      <c r="AO327" s="77">
        <v>0.45261370924517064</v>
      </c>
      <c r="AP327" s="77">
        <v>0.45529523332839411</v>
      </c>
      <c r="AQ327" s="77">
        <v>0.45848055009865007</v>
      </c>
      <c r="AR327" s="77">
        <v>0.46219190171125879</v>
      </c>
      <c r="AS327" s="77">
        <v>0.46641682431708781</v>
      </c>
      <c r="AT327" s="77">
        <v>0.47109599439187821</v>
      </c>
      <c r="AU327" s="77">
        <v>0.47611578838930019</v>
      </c>
      <c r="AV327" s="77">
        <v>0.48131040402564246</v>
      </c>
      <c r="AW327" s="77">
        <v>0.48647696011358021</v>
      </c>
      <c r="AX327" s="85">
        <v>0.49140281115376738</v>
      </c>
    </row>
    <row r="328" spans="1:50" x14ac:dyDescent="0.25">
      <c r="A328" s="356"/>
      <c r="B328" s="359"/>
      <c r="C328" s="360"/>
      <c r="D328" s="2" t="s">
        <v>8</v>
      </c>
      <c r="E328" s="160" t="str">
        <f>A327&amp;"/"&amp;B327&amp;"/"&amp;C327&amp;"/"&amp;D328</f>
        <v>Biomass and waste fired power plants/Integrated gasification combined cycle/Electricity only/M</v>
      </c>
      <c r="F328" s="76" t="str">
        <f>A327</f>
        <v>Biomass and waste fired power plants</v>
      </c>
      <c r="G328" s="76" t="str">
        <f>B327</f>
        <v>Integrated gasification combined cycle</v>
      </c>
      <c r="H328" s="76" t="str">
        <f>C327</f>
        <v>Electricity only</v>
      </c>
      <c r="I328" s="161" t="str">
        <f t="shared" si="81"/>
        <v>M</v>
      </c>
      <c r="J328" s="76">
        <v>0.42047724166929457</v>
      </c>
      <c r="K328" s="76">
        <v>0.42048510397561267</v>
      </c>
      <c r="L328" s="76">
        <v>0.4204947055578897</v>
      </c>
      <c r="M328" s="76">
        <v>0.4205064307788588</v>
      </c>
      <c r="N328" s="76">
        <v>0.42052074874759759</v>
      </c>
      <c r="O328" s="76">
        <v>0.42053823190949147</v>
      </c>
      <c r="P328" s="76">
        <v>0.42055957866718902</v>
      </c>
      <c r="Q328" s="76">
        <v>0.42058564088348799</v>
      </c>
      <c r="R328" s="76">
        <v>0.42061745728524852</v>
      </c>
      <c r="S328" s="76">
        <v>0.42065629398298893</v>
      </c>
      <c r="T328" s="76">
        <v>0.42070369354516057</v>
      </c>
      <c r="U328" s="76">
        <v>0.4207615343186491</v>
      </c>
      <c r="V328" s="76">
        <v>0.42083210196389326</v>
      </c>
      <c r="W328" s="76">
        <v>0.42091817546467641</v>
      </c>
      <c r="X328" s="76">
        <v>0.42102313016081061</v>
      </c>
      <c r="Y328" s="76">
        <v>0.42115106060462909</v>
      </c>
      <c r="Z328" s="76">
        <v>0.42130692620683574</v>
      </c>
      <c r="AA328" s="76">
        <v>0.42149672263086674</v>
      </c>
      <c r="AB328" s="76">
        <v>0.42172768159070162</v>
      </c>
      <c r="AC328" s="76">
        <v>0.4220085009166647</v>
      </c>
      <c r="AD328" s="76">
        <v>0.42234960520487475</v>
      </c>
      <c r="AE328" s="76">
        <v>0.42276343467635447</v>
      </c>
      <c r="AF328" s="76">
        <v>0.4232647555229806</v>
      </c>
      <c r="AG328" s="76">
        <v>0.4238709783370927</v>
      </c>
      <c r="AH328" s="76">
        <v>0.42460246139128471</v>
      </c>
      <c r="AI328" s="76">
        <v>0.42548276165545679</v>
      </c>
      <c r="AJ328" s="76">
        <v>0.42653877770498727</v>
      </c>
      <c r="AK328" s="76">
        <v>0.42780070474261983</v>
      </c>
      <c r="AL328" s="76">
        <v>0.42930169360483861</v>
      </c>
      <c r="AM328" s="76">
        <v>0.4310770758151774</v>
      </c>
      <c r="AN328" s="76">
        <v>0.43316299213806142</v>
      </c>
      <c r="AO328" s="76">
        <v>0.4355942547816713</v>
      </c>
      <c r="AP328" s="76">
        <v>0.43840130226586888</v>
      </c>
      <c r="AQ328" s="76">
        <v>0.44160619597782386</v>
      </c>
      <c r="AR328" s="76">
        <v>0.44521778439920495</v>
      </c>
      <c r="AS328" s="76">
        <v>0.44922643863715533</v>
      </c>
      <c r="AT328" s="76">
        <v>0.45359912091501842</v>
      </c>
      <c r="AU328" s="76">
        <v>0.45827590578746402</v>
      </c>
      <c r="AV328" s="76">
        <v>0.4631692787079279</v>
      </c>
      <c r="AW328" s="76">
        <v>0.4681673898508012</v>
      </c>
      <c r="AX328" s="84">
        <v>0.47314179141267698</v>
      </c>
    </row>
    <row r="329" spans="1:50" x14ac:dyDescent="0.25">
      <c r="A329" s="356"/>
      <c r="B329" s="359"/>
      <c r="C329" s="361" t="s">
        <v>14</v>
      </c>
      <c r="D329" s="58" t="s">
        <v>7</v>
      </c>
      <c r="E329" s="164" t="str">
        <f>A327&amp;"/"&amp;B327&amp;"/"&amp;C329&amp;"/"&amp;D329</f>
        <v>Biomass and waste fired power plants/Integrated gasification combined cycle/CHP/L</v>
      </c>
      <c r="F329" s="78" t="str">
        <f>A327</f>
        <v>Biomass and waste fired power plants</v>
      </c>
      <c r="G329" s="78" t="str">
        <f>B327</f>
        <v>Integrated gasification combined cycle</v>
      </c>
      <c r="H329" s="78" t="str">
        <f>C329</f>
        <v>CHP</v>
      </c>
      <c r="I329" s="165" t="str">
        <f t="shared" si="81"/>
        <v>L</v>
      </c>
      <c r="J329" s="78">
        <v>0.40136463977523573</v>
      </c>
      <c r="K329" s="78">
        <v>0.40136593544635657</v>
      </c>
      <c r="L329" s="78">
        <v>0.40136759905763086</v>
      </c>
      <c r="M329" s="78">
        <v>0.401369735072306</v>
      </c>
      <c r="N329" s="78">
        <v>0.40137247759718608</v>
      </c>
      <c r="O329" s="78">
        <v>0.40137599878486757</v>
      </c>
      <c r="P329" s="78">
        <v>0.40138051961121557</v>
      </c>
      <c r="Q329" s="78">
        <v>0.40138632369545191</v>
      </c>
      <c r="R329" s="78">
        <v>0.40139377501506873</v>
      </c>
      <c r="S329" s="78">
        <v>0.4014033406021037</v>
      </c>
      <c r="T329" s="78">
        <v>0.40141561960317634</v>
      </c>
      <c r="U329" s="78">
        <v>0.40143138045738763</v>
      </c>
      <c r="V329" s="78">
        <v>0.4014516084099754</v>
      </c>
      <c r="W329" s="78">
        <v>0.4014775661530478</v>
      </c>
      <c r="X329" s="78">
        <v>0.40151087108483724</v>
      </c>
      <c r="Y329" s="78">
        <v>0.40155359351879466</v>
      </c>
      <c r="Z329" s="78">
        <v>0.40160838115596237</v>
      </c>
      <c r="AA329" s="78">
        <v>0.40167861623873857</v>
      </c>
      <c r="AB329" s="78">
        <v>0.40176861296975147</v>
      </c>
      <c r="AC329" s="78">
        <v>0.40188386386984459</v>
      </c>
      <c r="AD329" s="78">
        <v>0.40203134450095757</v>
      </c>
      <c r="AE329" s="78">
        <v>0.40221988592164887</v>
      </c>
      <c r="AF329" s="78">
        <v>0.40246062257469223</v>
      </c>
      <c r="AG329" s="78">
        <v>0.40276751872761918</v>
      </c>
      <c r="AH329" s="78">
        <v>0.40315796707883372</v>
      </c>
      <c r="AI329" s="78">
        <v>0.40365343572513218</v>
      </c>
      <c r="AJ329" s="78">
        <v>0.40428011026137289</v>
      </c>
      <c r="AK329" s="78">
        <v>0.40506943128758549</v>
      </c>
      <c r="AL329" s="78">
        <v>0.40605835898418779</v>
      </c>
      <c r="AM329" s="78">
        <v>0.4072891033235761</v>
      </c>
      <c r="AN329" s="78">
        <v>0.40880794692473182</v>
      </c>
      <c r="AO329" s="78">
        <v>0.41066268187669802</v>
      </c>
      <c r="AP329" s="78">
        <v>0.41289813874527065</v>
      </c>
      <c r="AQ329" s="78">
        <v>0.41554940695733922</v>
      </c>
      <c r="AR329" s="78">
        <v>0.41863277161132806</v>
      </c>
      <c r="AS329" s="78">
        <v>0.42213524786127499</v>
      </c>
      <c r="AT329" s="78">
        <v>0.42600485434772434</v>
      </c>
      <c r="AU329" s="78">
        <v>0.43014505520912905</v>
      </c>
      <c r="AV329" s="78">
        <v>0.43441727967666938</v>
      </c>
      <c r="AW329" s="78">
        <v>0.43865408098120068</v>
      </c>
      <c r="AX329" s="86">
        <v>0.44268196209629762</v>
      </c>
    </row>
    <row r="330" spans="1:50" x14ac:dyDescent="0.25">
      <c r="A330" s="356"/>
      <c r="B330" s="359"/>
      <c r="C330" s="360"/>
      <c r="D330" s="59" t="s">
        <v>8</v>
      </c>
      <c r="E330" s="166" t="str">
        <f>A327&amp;"/"&amp;B327&amp;"/"&amp;C329&amp;"/"&amp;D330</f>
        <v>Biomass and waste fired power plants/Integrated gasification combined cycle/CHP/M</v>
      </c>
      <c r="F330" s="79" t="str">
        <f>A327</f>
        <v>Biomass and waste fired power plants</v>
      </c>
      <c r="G330" s="79" t="str">
        <f>B327</f>
        <v>Integrated gasification combined cycle</v>
      </c>
      <c r="H330" s="79" t="str">
        <f>C329</f>
        <v>CHP</v>
      </c>
      <c r="I330" s="167" t="str">
        <f t="shared" si="81"/>
        <v>M</v>
      </c>
      <c r="J330" s="79">
        <v>0.38225203788117684</v>
      </c>
      <c r="K330" s="79">
        <v>0.38225872428794039</v>
      </c>
      <c r="L330" s="79">
        <v>0.38226688980884893</v>
      </c>
      <c r="M330" s="79">
        <v>0.38227686129732413</v>
      </c>
      <c r="N330" s="79">
        <v>0.38228903766524325</v>
      </c>
      <c r="O330" s="79">
        <v>0.38230390568578793</v>
      </c>
      <c r="P330" s="79">
        <v>0.38232205922101092</v>
      </c>
      <c r="Q330" s="79">
        <v>0.38234422259612499</v>
      </c>
      <c r="R330" s="79">
        <v>0.38237127898470846</v>
      </c>
      <c r="S330" s="79">
        <v>0.3824043048341299</v>
      </c>
      <c r="T330" s="79">
        <v>0.38244461154950576</v>
      </c>
      <c r="U330" s="79">
        <v>0.38249379586666049</v>
      </c>
      <c r="V330" s="79">
        <v>0.38255380057614446</v>
      </c>
      <c r="W330" s="79">
        <v>0.38262698750276469</v>
      </c>
      <c r="X330" s="79">
        <v>0.38271622488192047</v>
      </c>
      <c r="Y330" s="79">
        <v>0.38282499147701232</v>
      </c>
      <c r="Z330" s="79">
        <v>0.3829574999050227</v>
      </c>
      <c r="AA330" s="79">
        <v>0.38311884160741594</v>
      </c>
      <c r="AB330" s="79">
        <v>0.38331515561018453</v>
      </c>
      <c r="AC330" s="79">
        <v>0.3835538224965595</v>
      </c>
      <c r="AD330" s="79">
        <v>0.38384368363300742</v>
      </c>
      <c r="AE330" s="79">
        <v>0.38419528331446373</v>
      </c>
      <c r="AF330" s="79">
        <v>0.38462112768448747</v>
      </c>
      <c r="AG330" s="79">
        <v>0.38513594846907528</v>
      </c>
      <c r="AH330" s="79">
        <v>0.38575695105233293</v>
      </c>
      <c r="AI330" s="79">
        <v>0.38650401447867877</v>
      </c>
      <c r="AJ330" s="79">
        <v>0.38739979495971039</v>
      </c>
      <c r="AK330" s="79">
        <v>0.38846966420200296</v>
      </c>
      <c r="AL330" s="79">
        <v>0.38974139018352166</v>
      </c>
      <c r="AM330" s="79">
        <v>0.391244443661241</v>
      </c>
      <c r="AN330" s="79">
        <v>0.39300879467366895</v>
      </c>
      <c r="AO330" s="79">
        <v>0.39506306022575421</v>
      </c>
      <c r="AP330" s="79">
        <v>0.39743189338891644</v>
      </c>
      <c r="AQ330" s="79">
        <v>0.40013258602408808</v>
      </c>
      <c r="AR330" s="79">
        <v>0.4031710126875459</v>
      </c>
      <c r="AS330" s="79">
        <v>0.4065372806102473</v>
      </c>
      <c r="AT330" s="79">
        <v>0.41020174813823135</v>
      </c>
      <c r="AU330" s="79">
        <v>0.41411235895815696</v>
      </c>
      <c r="AV330" s="79">
        <v>0.41819438068156561</v>
      </c>
      <c r="AW330" s="79">
        <v>0.42235347296760806</v>
      </c>
      <c r="AX330" s="87">
        <v>0.42648243187660012</v>
      </c>
    </row>
    <row r="331" spans="1:50" x14ac:dyDescent="0.25">
      <c r="A331" s="356"/>
      <c r="B331" s="359"/>
      <c r="C331" s="361" t="s">
        <v>15</v>
      </c>
      <c r="D331" s="58" t="s">
        <v>7</v>
      </c>
      <c r="E331" s="164" t="str">
        <f>A327&amp;"/"&amp;B327&amp;"/"&amp;C331&amp;"/"&amp;D331</f>
        <v>Biomass and waste fired power plants/Integrated gasification combined cycle/Electricity only with CCS/L</v>
      </c>
      <c r="F331" s="78" t="str">
        <f>A327</f>
        <v>Biomass and waste fired power plants</v>
      </c>
      <c r="G331" s="78" t="str">
        <f>B327</f>
        <v>Integrated gasification combined cycle</v>
      </c>
      <c r="H331" s="78" t="str">
        <f>C331</f>
        <v>Electricity only with CCS</v>
      </c>
      <c r="I331" s="165" t="str">
        <f t="shared" si="81"/>
        <v>L</v>
      </c>
      <c r="J331" s="78" t="s">
        <v>112</v>
      </c>
      <c r="K331" s="78" t="s">
        <v>112</v>
      </c>
      <c r="L331" s="78" t="s">
        <v>112</v>
      </c>
      <c r="M331" s="78" t="s">
        <v>112</v>
      </c>
      <c r="N331" s="78" t="s">
        <v>112</v>
      </c>
      <c r="O331" s="78" t="s">
        <v>112</v>
      </c>
      <c r="P331" s="78" t="s">
        <v>112</v>
      </c>
      <c r="Q331" s="78" t="s">
        <v>112</v>
      </c>
      <c r="R331" s="78" t="s">
        <v>112</v>
      </c>
      <c r="S331" s="78" t="s">
        <v>112</v>
      </c>
      <c r="T331" s="78" t="s">
        <v>112</v>
      </c>
      <c r="U331" s="78" t="s">
        <v>112</v>
      </c>
      <c r="V331" s="78" t="s">
        <v>112</v>
      </c>
      <c r="W331" s="78" t="s">
        <v>112</v>
      </c>
      <c r="X331" s="78" t="s">
        <v>112</v>
      </c>
      <c r="Y331" s="78" t="s">
        <v>112</v>
      </c>
      <c r="Z331" s="78" t="s">
        <v>112</v>
      </c>
      <c r="AA331" s="78" t="s">
        <v>112</v>
      </c>
      <c r="AB331" s="78" t="s">
        <v>112</v>
      </c>
      <c r="AC331" s="78" t="s">
        <v>112</v>
      </c>
      <c r="AD331" s="78" t="s">
        <v>112</v>
      </c>
      <c r="AE331" s="78">
        <v>0.42056535662361272</v>
      </c>
      <c r="AF331" s="78">
        <v>0.42059620631189992</v>
      </c>
      <c r="AG331" s="78">
        <v>0.42063782041133035</v>
      </c>
      <c r="AH331" s="78">
        <v>0.42069394147114869</v>
      </c>
      <c r="AI331" s="78">
        <v>0.42076960218909254</v>
      </c>
      <c r="AJ331" s="78">
        <v>0.42087156110563689</v>
      </c>
      <c r="AK331" s="78">
        <v>0.42100887801894143</v>
      </c>
      <c r="AL331" s="78">
        <v>0.42119366780790457</v>
      </c>
      <c r="AM331" s="78">
        <v>0.42144207686941881</v>
      </c>
      <c r="AN331" s="78">
        <v>0.4217755277529931</v>
      </c>
      <c r="AO331" s="78">
        <v>0.42222226909267557</v>
      </c>
      <c r="AP331" s="78">
        <v>0.42281923934242444</v>
      </c>
      <c r="AQ331" s="78">
        <v>0.42361418693368852</v>
      </c>
      <c r="AR331" s="78">
        <v>0.42466785976179322</v>
      </c>
      <c r="AS331" s="78">
        <v>0.42605584721350465</v>
      </c>
      <c r="AT331" s="78">
        <v>0.42786928986281525</v>
      </c>
      <c r="AU331" s="78">
        <v>0.4302131511463414</v>
      </c>
      <c r="AV331" s="78">
        <v>0.43320014435086152</v>
      </c>
      <c r="AW331" s="78">
        <v>0.43693799966874386</v>
      </c>
      <c r="AX331" s="86">
        <v>0.44150814684556861</v>
      </c>
    </row>
    <row r="332" spans="1:50" x14ac:dyDescent="0.25">
      <c r="A332" s="356"/>
      <c r="B332" s="359"/>
      <c r="C332" s="360"/>
      <c r="D332" s="59" t="s">
        <v>8</v>
      </c>
      <c r="E332" s="166" t="str">
        <f>A327&amp;"/"&amp;B327&amp;"/"&amp;C331&amp;"/"&amp;D332</f>
        <v>Biomass and waste fired power plants/Integrated gasification combined cycle/Electricity only with CCS/M</v>
      </c>
      <c r="F332" s="79" t="str">
        <f>A327</f>
        <v>Biomass and waste fired power plants</v>
      </c>
      <c r="G332" s="79" t="str">
        <f>B327</f>
        <v>Integrated gasification combined cycle</v>
      </c>
      <c r="H332" s="79" t="str">
        <f>C331</f>
        <v>Electricity only with CCS</v>
      </c>
      <c r="I332" s="167" t="str">
        <f t="shared" si="81"/>
        <v>M</v>
      </c>
      <c r="J332" s="79" t="s">
        <v>112</v>
      </c>
      <c r="K332" s="79" t="s">
        <v>112</v>
      </c>
      <c r="L332" s="79" t="s">
        <v>112</v>
      </c>
      <c r="M332" s="79" t="s">
        <v>112</v>
      </c>
      <c r="N332" s="79" t="s">
        <v>112</v>
      </c>
      <c r="O332" s="79" t="s">
        <v>112</v>
      </c>
      <c r="P332" s="79" t="s">
        <v>112</v>
      </c>
      <c r="Q332" s="79" t="s">
        <v>112</v>
      </c>
      <c r="R332" s="79" t="s">
        <v>112</v>
      </c>
      <c r="S332" s="79" t="s">
        <v>112</v>
      </c>
      <c r="T332" s="79" t="s">
        <v>112</v>
      </c>
      <c r="U332" s="79" t="s">
        <v>112</v>
      </c>
      <c r="V332" s="79" t="s">
        <v>112</v>
      </c>
      <c r="W332" s="79" t="s">
        <v>112</v>
      </c>
      <c r="X332" s="79" t="s">
        <v>112</v>
      </c>
      <c r="Y332" s="79" t="s">
        <v>112</v>
      </c>
      <c r="Z332" s="79" t="s">
        <v>112</v>
      </c>
      <c r="AA332" s="79" t="s">
        <v>112</v>
      </c>
      <c r="AB332" s="79" t="s">
        <v>112</v>
      </c>
      <c r="AC332" s="79" t="s">
        <v>112</v>
      </c>
      <c r="AD332" s="79" t="s">
        <v>112</v>
      </c>
      <c r="AE332" s="79">
        <v>0.40049122176259799</v>
      </c>
      <c r="AF332" s="79">
        <v>0.40050660717735453</v>
      </c>
      <c r="AG332" s="79">
        <v>0.40052843330618942</v>
      </c>
      <c r="AH332" s="79">
        <v>0.40055939234273841</v>
      </c>
      <c r="AI332" s="79">
        <v>0.40060329770918662</v>
      </c>
      <c r="AJ332" s="79">
        <v>0.40066554687256623</v>
      </c>
      <c r="AK332" s="79">
        <v>0.40075377100606174</v>
      </c>
      <c r="AL332" s="79">
        <v>0.40087874267499446</v>
      </c>
      <c r="AM332" s="79">
        <v>0.40105563549017353</v>
      </c>
      <c r="AN332" s="79">
        <v>0.40130575509011124</v>
      </c>
      <c r="AO332" s="79">
        <v>0.40165888353050355</v>
      </c>
      <c r="AP332" s="79">
        <v>0.40215638591726838</v>
      </c>
      <c r="AQ332" s="79">
        <v>0.40285519029219313</v>
      </c>
      <c r="AR332" s="79">
        <v>0.40383261316070795</v>
      </c>
      <c r="AS332" s="79">
        <v>0.40519166322236377</v>
      </c>
      <c r="AT332" s="79">
        <v>0.40706575691661739</v>
      </c>
      <c r="AU332" s="79">
        <v>0.40962052509955627</v>
      </c>
      <c r="AV332" s="79">
        <v>0.41304847293463476</v>
      </c>
      <c r="AW332" s="79">
        <v>0.41755003020726034</v>
      </c>
      <c r="AX332" s="87">
        <v>0.42329355675586705</v>
      </c>
    </row>
    <row r="333" spans="1:50" x14ac:dyDescent="0.25">
      <c r="A333" s="356"/>
      <c r="B333" s="359"/>
      <c r="C333" s="361" t="s">
        <v>16</v>
      </c>
      <c r="D333" s="2" t="s">
        <v>7</v>
      </c>
      <c r="E333" s="160" t="str">
        <f>A327&amp;"/"&amp;B327&amp;"/"&amp;C333&amp;"/"&amp;D333</f>
        <v>Biomass and waste fired power plants/Integrated gasification combined cycle/CHP with CCS/L</v>
      </c>
      <c r="F333" s="76" t="str">
        <f>A327</f>
        <v>Biomass and waste fired power plants</v>
      </c>
      <c r="G333" s="76" t="str">
        <f>B327</f>
        <v>Integrated gasification combined cycle</v>
      </c>
      <c r="H333" s="76" t="str">
        <f>C333</f>
        <v>CHP with CCS</v>
      </c>
      <c r="I333" s="161" t="str">
        <f t="shared" si="81"/>
        <v>L</v>
      </c>
      <c r="J333" s="76" t="s">
        <v>112</v>
      </c>
      <c r="K333" s="76" t="s">
        <v>112</v>
      </c>
      <c r="L333" s="76" t="s">
        <v>112</v>
      </c>
      <c r="M333" s="76" t="s">
        <v>112</v>
      </c>
      <c r="N333" s="76" t="s">
        <v>112</v>
      </c>
      <c r="O333" s="76" t="s">
        <v>112</v>
      </c>
      <c r="P333" s="76" t="s">
        <v>112</v>
      </c>
      <c r="Q333" s="76" t="s">
        <v>112</v>
      </c>
      <c r="R333" s="76" t="s">
        <v>112</v>
      </c>
      <c r="S333" s="76" t="s">
        <v>112</v>
      </c>
      <c r="T333" s="76" t="s">
        <v>112</v>
      </c>
      <c r="U333" s="76" t="s">
        <v>112</v>
      </c>
      <c r="V333" s="76" t="s">
        <v>112</v>
      </c>
      <c r="W333" s="76" t="s">
        <v>112</v>
      </c>
      <c r="X333" s="76" t="s">
        <v>112</v>
      </c>
      <c r="Y333" s="76" t="s">
        <v>112</v>
      </c>
      <c r="Z333" s="76" t="s">
        <v>112</v>
      </c>
      <c r="AA333" s="76" t="s">
        <v>112</v>
      </c>
      <c r="AB333" s="76" t="s">
        <v>112</v>
      </c>
      <c r="AC333" s="76" t="s">
        <v>112</v>
      </c>
      <c r="AD333" s="76" t="s">
        <v>112</v>
      </c>
      <c r="AE333" s="76">
        <v>0.38232697283281203</v>
      </c>
      <c r="AF333" s="76">
        <v>0.38235320738759582</v>
      </c>
      <c r="AG333" s="76">
        <v>0.38238859540024189</v>
      </c>
      <c r="AH333" s="76">
        <v>0.38243631884286056</v>
      </c>
      <c r="AI333" s="76">
        <v>0.3825006561946287</v>
      </c>
      <c r="AJ333" s="76">
        <v>0.38258735241606151</v>
      </c>
      <c r="AK333" s="76">
        <v>0.38270410729922061</v>
      </c>
      <c r="AL333" s="76">
        <v>0.38286121474143064</v>
      </c>
      <c r="AM333" s="76">
        <v>0.38307238991345011</v>
      </c>
      <c r="AN333" s="76">
        <v>0.38335582200153623</v>
      </c>
      <c r="AO333" s="76">
        <v>0.38373548221458587</v>
      </c>
      <c r="AP333" s="76">
        <v>0.38424269118162424</v>
      </c>
      <c r="AQ333" s="76">
        <v>0.38491789192541004</v>
      </c>
      <c r="AR333" s="76">
        <v>0.38581246163271926</v>
      </c>
      <c r="AS333" s="76">
        <v>0.38699019702251447</v>
      </c>
      <c r="AT333" s="76">
        <v>0.38852779301607093</v>
      </c>
      <c r="AU333" s="76">
        <v>0.39051319429139192</v>
      </c>
      <c r="AV333" s="76">
        <v>0.39304020376132059</v>
      </c>
      <c r="AW333" s="76">
        <v>0.39619742501461319</v>
      </c>
      <c r="AX333" s="84">
        <v>0.40005002369394405</v>
      </c>
    </row>
    <row r="334" spans="1:50" x14ac:dyDescent="0.25">
      <c r="A334" s="356"/>
      <c r="B334" s="362"/>
      <c r="C334" s="354"/>
      <c r="D334" s="4" t="s">
        <v>8</v>
      </c>
      <c r="E334" s="168" t="str">
        <f>A327&amp;"/"&amp;B327&amp;"/"&amp;C333&amp;"/"&amp;D334</f>
        <v>Biomass and waste fired power plants/Integrated gasification combined cycle/CHP with CCS/M</v>
      </c>
      <c r="F334" s="80" t="str">
        <f>A327</f>
        <v>Biomass and waste fired power plants</v>
      </c>
      <c r="G334" s="80" t="str">
        <f>B327</f>
        <v>Integrated gasification combined cycle</v>
      </c>
      <c r="H334" s="80" t="str">
        <f>C333</f>
        <v>CHP with CCS</v>
      </c>
      <c r="I334" s="169" t="str">
        <f t="shared" si="81"/>
        <v>M</v>
      </c>
      <c r="J334" s="80" t="s">
        <v>112</v>
      </c>
      <c r="K334" s="80" t="s">
        <v>112</v>
      </c>
      <c r="L334" s="80" t="s">
        <v>112</v>
      </c>
      <c r="M334" s="80" t="s">
        <v>112</v>
      </c>
      <c r="N334" s="80" t="s">
        <v>112</v>
      </c>
      <c r="O334" s="80" t="s">
        <v>112</v>
      </c>
      <c r="P334" s="80" t="s">
        <v>112</v>
      </c>
      <c r="Q334" s="80" t="s">
        <v>112</v>
      </c>
      <c r="R334" s="80" t="s">
        <v>112</v>
      </c>
      <c r="S334" s="80" t="s">
        <v>112</v>
      </c>
      <c r="T334" s="80" t="s">
        <v>112</v>
      </c>
      <c r="U334" s="80" t="s">
        <v>112</v>
      </c>
      <c r="V334" s="80" t="s">
        <v>112</v>
      </c>
      <c r="W334" s="80" t="s">
        <v>112</v>
      </c>
      <c r="X334" s="80" t="s">
        <v>112</v>
      </c>
      <c r="Y334" s="80" t="s">
        <v>112</v>
      </c>
      <c r="Z334" s="80" t="s">
        <v>112</v>
      </c>
      <c r="AA334" s="80" t="s">
        <v>112</v>
      </c>
      <c r="AB334" s="80" t="s">
        <v>112</v>
      </c>
      <c r="AC334" s="80" t="s">
        <v>112</v>
      </c>
      <c r="AD334" s="80" t="s">
        <v>112</v>
      </c>
      <c r="AE334" s="80">
        <v>0.36407911481201449</v>
      </c>
      <c r="AF334" s="80">
        <v>0.36409150259712925</v>
      </c>
      <c r="AG334" s="80">
        <v>0.36410907593465236</v>
      </c>
      <c r="AH334" s="80">
        <v>0.3641340020819952</v>
      </c>
      <c r="AI334" s="80">
        <v>0.36416935061589717</v>
      </c>
      <c r="AJ334" s="80">
        <v>0.36421946559770407</v>
      </c>
      <c r="AK334" s="80">
        <v>0.3642904876916781</v>
      </c>
      <c r="AL334" s="80">
        <v>0.36439108305898948</v>
      </c>
      <c r="AM334" s="80">
        <v>0.36453345369858298</v>
      </c>
      <c r="AN334" s="80">
        <v>0.36473472343815694</v>
      </c>
      <c r="AO334" s="80">
        <v>0.36501881027585448</v>
      </c>
      <c r="AP334" s="80">
        <v>0.36541889784717702</v>
      </c>
      <c r="AQ334" s="80">
        <v>0.36598058222142027</v>
      </c>
      <c r="AR334" s="80">
        <v>0.36676564809651069</v>
      </c>
      <c r="AS334" s="80">
        <v>0.36785613828443608</v>
      </c>
      <c r="AT334" s="80">
        <v>0.36935779576069927</v>
      </c>
      <c r="AU334" s="80">
        <v>0.37140093025792931</v>
      </c>
      <c r="AV334" s="80">
        <v>0.37413523791941578</v>
      </c>
      <c r="AW334" s="80">
        <v>0.3777134455497913</v>
      </c>
      <c r="AX334" s="88">
        <v>0.38225823422282879</v>
      </c>
    </row>
    <row r="335" spans="1:50" x14ac:dyDescent="0.25">
      <c r="A335" s="356"/>
      <c r="B335" s="358" t="s">
        <v>18</v>
      </c>
      <c r="C335" s="353" t="s">
        <v>6</v>
      </c>
      <c r="D335" s="3" t="s">
        <v>7</v>
      </c>
      <c r="E335" s="162" t="str">
        <f>A327&amp;"/"&amp;B335&amp;"/"&amp;C335&amp;"/"&amp;D335</f>
        <v>Biomass and waste fired power plants/Fluidized bed combustion/Electricity only/L</v>
      </c>
      <c r="F335" s="77" t="str">
        <f>A327</f>
        <v>Biomass and waste fired power plants</v>
      </c>
      <c r="G335" s="77" t="str">
        <f>B335</f>
        <v>Fluidized bed combustion</v>
      </c>
      <c r="H335" s="77" t="str">
        <f>C335</f>
        <v>Electricity only</v>
      </c>
      <c r="I335" s="163" t="str">
        <f t="shared" si="81"/>
        <v>L</v>
      </c>
      <c r="J335" s="77">
        <v>0.38910505836575876</v>
      </c>
      <c r="K335" s="77">
        <v>0.38910922942261877</v>
      </c>
      <c r="L335" s="77">
        <v>0.38911432245677552</v>
      </c>
      <c r="M335" s="77">
        <v>0.38912054085665843</v>
      </c>
      <c r="N335" s="77">
        <v>0.38912813267829849</v>
      </c>
      <c r="O335" s="77">
        <v>0.3891374003568539</v>
      </c>
      <c r="P335" s="77">
        <v>0.38914871248124244</v>
      </c>
      <c r="Q335" s="77">
        <v>0.38916251804625207</v>
      </c>
      <c r="R335" s="77">
        <v>0.38917936366771672</v>
      </c>
      <c r="S335" s="77">
        <v>0.38919991432350814</v>
      </c>
      <c r="T335" s="77">
        <v>0.38922497826290314</v>
      </c>
      <c r="U335" s="77">
        <v>0.38925553680323044</v>
      </c>
      <c r="V335" s="77">
        <v>0.38929277979512794</v>
      </c>
      <c r="W335" s="77">
        <v>0.38933814756930785</v>
      </c>
      <c r="X335" s="77">
        <v>0.38939338015193381</v>
      </c>
      <c r="Y335" s="77">
        <v>0.38946057441234899</v>
      </c>
      <c r="Z335" s="77">
        <v>0.38954224952654359</v>
      </c>
      <c r="AA335" s="77">
        <v>0.38964142061690521</v>
      </c>
      <c r="AB335" s="77">
        <v>0.3897616795439619</v>
      </c>
      <c r="AC335" s="77">
        <v>0.38990728041773531</v>
      </c>
      <c r="AD335" s="77">
        <v>0.39008322525707995</v>
      </c>
      <c r="AE335" s="77">
        <v>0.39029534210431588</v>
      </c>
      <c r="AF335" s="77">
        <v>0.39055034352876367</v>
      </c>
      <c r="AG335" s="77">
        <v>0.39085584759458486</v>
      </c>
      <c r="AH335" s="77">
        <v>0.3912203359541207</v>
      </c>
      <c r="AI335" s="77">
        <v>0.39165301506537936</v>
      </c>
      <c r="AJ335" s="77">
        <v>0.39216353766025613</v>
      </c>
      <c r="AK335" s="77">
        <v>0.39276153477672282</v>
      </c>
      <c r="AL335" s="77">
        <v>0.39345590799376506</v>
      </c>
      <c r="AM335" s="77">
        <v>0.39425384329925295</v>
      </c>
      <c r="AN335" s="77">
        <v>0.39515954061075909</v>
      </c>
      <c r="AO335" s="77">
        <v>0.39617271486781663</v>
      </c>
      <c r="AP335" s="77">
        <v>0.39728701996263976</v>
      </c>
      <c r="AQ335" s="77">
        <v>0.39848866750242351</v>
      </c>
      <c r="AR335" s="77">
        <v>0.39975562874223924</v>
      </c>
      <c r="AS335" s="77">
        <v>0.40105786356252432</v>
      </c>
      <c r="AT335" s="77">
        <v>0.40235894234602454</v>
      </c>
      <c r="AU335" s="77">
        <v>0.4036191614115554</v>
      </c>
      <c r="AV335" s="77">
        <v>0.40479982060088726</v>
      </c>
      <c r="AW335" s="77">
        <v>0.40586786662065194</v>
      </c>
      <c r="AX335" s="85">
        <v>0.40679982740862169</v>
      </c>
    </row>
    <row r="336" spans="1:50" x14ac:dyDescent="0.25">
      <c r="A336" s="356"/>
      <c r="B336" s="359"/>
      <c r="C336" s="350"/>
      <c r="D336" s="2" t="s">
        <v>8</v>
      </c>
      <c r="E336" s="160" t="str">
        <f>A327&amp;"/"&amp;B335&amp;"/"&amp;C335&amp;"/"&amp;D336</f>
        <v>Biomass and waste fired power plants/Fluidized bed combustion/Electricity only/M</v>
      </c>
      <c r="F336" s="76" t="str">
        <f>A327</f>
        <v>Biomass and waste fired power plants</v>
      </c>
      <c r="G336" s="76" t="str">
        <f>B335</f>
        <v>Fluidized bed combustion</v>
      </c>
      <c r="H336" s="76" t="str">
        <f>C335</f>
        <v>Electricity only</v>
      </c>
      <c r="I336" s="161" t="str">
        <f t="shared" si="81"/>
        <v>M</v>
      </c>
      <c r="J336" s="76">
        <v>0.37057624606262735</v>
      </c>
      <c r="K336" s="76">
        <v>0.37058428010521111</v>
      </c>
      <c r="L336" s="76">
        <v>0.37059384550974578</v>
      </c>
      <c r="M336" s="76">
        <v>0.37060523300378972</v>
      </c>
      <c r="N336" s="76">
        <v>0.37061878802244586</v>
      </c>
      <c r="O336" s="76">
        <v>0.37063492079925314</v>
      </c>
      <c r="P336" s="76">
        <v>0.37065411823287137</v>
      </c>
      <c r="Q336" s="76">
        <v>0.37067695780579402</v>
      </c>
      <c r="R336" s="76">
        <v>0.37070412385840523</v>
      </c>
      <c r="S336" s="76">
        <v>0.37073642654370531</v>
      </c>
      <c r="T336" s="76">
        <v>0.3707748238000862</v>
      </c>
      <c r="U336" s="76">
        <v>0.37082044667441438</v>
      </c>
      <c r="V336" s="76">
        <v>0.37087462829494749</v>
      </c>
      <c r="W336" s="76">
        <v>0.37093893671853412</v>
      </c>
      <c r="X336" s="76">
        <v>0.37101521173870955</v>
      </c>
      <c r="Y336" s="76">
        <v>0.37110560551301663</v>
      </c>
      <c r="Z336" s="76">
        <v>0.3712126265125153</v>
      </c>
      <c r="AA336" s="76">
        <v>0.37133918576692604</v>
      </c>
      <c r="AB336" s="76">
        <v>0.37148864361695044</v>
      </c>
      <c r="AC336" s="76">
        <v>0.37166485412278244</v>
      </c>
      <c r="AD336" s="76">
        <v>0.37187220284109068</v>
      </c>
      <c r="AE336" s="76">
        <v>0.37211563180393892</v>
      </c>
      <c r="AF336" s="76">
        <v>0.37240064317131283</v>
      </c>
      <c r="AG336" s="76">
        <v>0.37273327020695446</v>
      </c>
      <c r="AH336" s="76">
        <v>0.37312000108969201</v>
      </c>
      <c r="AI336" s="76">
        <v>0.37356763796975673</v>
      </c>
      <c r="AJ336" s="76">
        <v>0.37408307127663243</v>
      </c>
      <c r="AK336" s="76">
        <v>0.37467294868019502</v>
      </c>
      <c r="AL336" s="76">
        <v>0.37534322092032285</v>
      </c>
      <c r="AM336" s="76">
        <v>0.3760985550682881</v>
      </c>
      <c r="AN336" s="76">
        <v>0.37694162200558984</v>
      </c>
      <c r="AO336" s="76">
        <v>0.37787229086888069</v>
      </c>
      <c r="AP336" s="76">
        <v>0.37888679904167433</v>
      </c>
      <c r="AQ336" s="76">
        <v>0.3799770085730983</v>
      </c>
      <c r="AR336" s="76">
        <v>0.38112989990182133</v>
      </c>
      <c r="AS336" s="76">
        <v>0.38232747659350619</v>
      </c>
      <c r="AT336" s="76">
        <v>0.38354724162718634</v>
      </c>
      <c r="AU336" s="76">
        <v>0.38476334028509479</v>
      </c>
      <c r="AV336" s="76">
        <v>0.38594834357234492</v>
      </c>
      <c r="AW336" s="76">
        <v>0.38707548910802009</v>
      </c>
      <c r="AX336" s="84">
        <v>0.38812104867340896</v>
      </c>
    </row>
    <row r="337" spans="1:50" x14ac:dyDescent="0.25">
      <c r="A337" s="356"/>
      <c r="B337" s="359"/>
      <c r="C337" s="350"/>
      <c r="D337" s="2" t="s">
        <v>10</v>
      </c>
      <c r="E337" s="160" t="str">
        <f>A327&amp;"/"&amp;B335&amp;"/"&amp;C335&amp;"/"&amp;D337</f>
        <v>Biomass and waste fired power plants/Fluidized bed combustion/Electricity only/S</v>
      </c>
      <c r="F337" s="76" t="str">
        <f>A327</f>
        <v>Biomass and waste fired power plants</v>
      </c>
      <c r="G337" s="76" t="str">
        <f>B335</f>
        <v>Fluidized bed combustion</v>
      </c>
      <c r="H337" s="76" t="str">
        <f>C335</f>
        <v>Electricity only</v>
      </c>
      <c r="I337" s="161" t="str">
        <f t="shared" si="81"/>
        <v>S</v>
      </c>
      <c r="J337" s="76">
        <v>0.3529297581548832</v>
      </c>
      <c r="K337" s="76">
        <v>0.35294698911901989</v>
      </c>
      <c r="L337" s="76">
        <v>0.35296698769541107</v>
      </c>
      <c r="M337" s="76">
        <v>0.35299019448916735</v>
      </c>
      <c r="N337" s="76">
        <v>0.35301711888246767</v>
      </c>
      <c r="O337" s="76">
        <v>0.3530483492932171</v>
      </c>
      <c r="P337" s="76">
        <v>0.35308456479597344</v>
      </c>
      <c r="Q337" s="76">
        <v>0.35312654822533646</v>
      </c>
      <c r="R337" s="76">
        <v>0.35317520086857385</v>
      </c>
      <c r="S337" s="76">
        <v>0.35323155882837803</v>
      </c>
      <c r="T337" s="76">
        <v>0.35329681109335909</v>
      </c>
      <c r="U337" s="76">
        <v>0.3533723192867449</v>
      </c>
      <c r="V337" s="76">
        <v>0.35345963896456628</v>
      </c>
      <c r="W337" s="76">
        <v>0.35356054219309596</v>
      </c>
      <c r="X337" s="76">
        <v>0.35367704093895563</v>
      </c>
      <c r="Y337" s="76">
        <v>0.35381141053935022</v>
      </c>
      <c r="Z337" s="76">
        <v>0.3539662121676545</v>
      </c>
      <c r="AA337" s="76">
        <v>0.35414431275350677</v>
      </c>
      <c r="AB337" s="76">
        <v>0.35434890024020282</v>
      </c>
      <c r="AC337" s="76">
        <v>0.35458349135372619</v>
      </c>
      <c r="AD337" s="76">
        <v>0.35485192821583916</v>
      </c>
      <c r="AE337" s="76">
        <v>0.35515835917612526</v>
      </c>
      <c r="AF337" s="76">
        <v>0.35550719821426346</v>
      </c>
      <c r="AG337" s="76">
        <v>0.35590305627207547</v>
      </c>
      <c r="AH337" s="76">
        <v>0.35635063708166465</v>
      </c>
      <c r="AI337" s="76">
        <v>0.35685458971826917</v>
      </c>
      <c r="AJ337" s="76">
        <v>0.35741931058907173</v>
      </c>
      <c r="AK337" s="76">
        <v>0.35804868934756057</v>
      </c>
      <c r="AL337" s="76">
        <v>0.35874579685500058</v>
      </c>
      <c r="AM337" s="76">
        <v>0.35951251935457496</v>
      </c>
      <c r="AN337" s="76">
        <v>0.3603491518785838</v>
      </c>
      <c r="AO337" s="76">
        <v>0.36125397555870503</v>
      </c>
      <c r="AP337" s="76">
        <v>0.36222285718486552</v>
      </c>
      <c r="AQ337" s="76">
        <v>0.36324892318547941</v>
      </c>
      <c r="AR337" s="76">
        <v>0.36432237098583742</v>
      </c>
      <c r="AS337" s="76">
        <v>0.36543048408544737</v>
      </c>
      <c r="AT337" s="76">
        <v>0.36655790845210323</v>
      </c>
      <c r="AU337" s="76">
        <v>0.36768722341785703</v>
      </c>
      <c r="AV337" s="76">
        <v>0.36879979991642925</v>
      </c>
      <c r="AW337" s="76">
        <v>0.36987688752593662</v>
      </c>
      <c r="AX337" s="84">
        <v>0.37090081994923219</v>
      </c>
    </row>
    <row r="338" spans="1:50" x14ac:dyDescent="0.25">
      <c r="A338" s="356"/>
      <c r="B338" s="359"/>
      <c r="C338" s="360"/>
      <c r="D338" s="2" t="s">
        <v>20</v>
      </c>
      <c r="E338" s="160" t="str">
        <f>A327&amp;"/"&amp;B335&amp;"/"&amp;C335&amp;"/"&amp;D338</f>
        <v>Biomass and waste fired power plants/Fluidized bed combustion/Electricity only/XS</v>
      </c>
      <c r="F338" s="76" t="str">
        <f>A327</f>
        <v>Biomass and waste fired power plants</v>
      </c>
      <c r="G338" s="76" t="str">
        <f>B335</f>
        <v>Fluidized bed combustion</v>
      </c>
      <c r="H338" s="76" t="str">
        <f>C335</f>
        <v>Electricity only</v>
      </c>
      <c r="I338" s="161" t="str">
        <f t="shared" si="81"/>
        <v>XS</v>
      </c>
      <c r="J338" s="76">
        <v>0.33612357919512686</v>
      </c>
      <c r="K338" s="76">
        <v>0.33614342534120573</v>
      </c>
      <c r="L338" s="76">
        <v>0.3361664569549323</v>
      </c>
      <c r="M338" s="76">
        <v>0.33619318039836849</v>
      </c>
      <c r="N338" s="76">
        <v>0.33622418080652983</v>
      </c>
      <c r="O338" s="76">
        <v>0.33626013374178398</v>
      </c>
      <c r="P338" s="76">
        <v>0.33630181836101219</v>
      </c>
      <c r="Q338" s="76">
        <v>0.33635013221497284</v>
      </c>
      <c r="R338" s="76">
        <v>0.33640610777768387</v>
      </c>
      <c r="S338" s="76">
        <v>0.33647093076579265</v>
      </c>
      <c r="T338" s="76">
        <v>0.33654596024762062</v>
      </c>
      <c r="U338" s="76">
        <v>0.33663275045085306</v>
      </c>
      <c r="V338" s="76">
        <v>0.33673307404656005</v>
      </c>
      <c r="W338" s="76">
        <v>0.33684894650282915</v>
      </c>
      <c r="X338" s="76">
        <v>0.33698265084866741</v>
      </c>
      <c r="Y338" s="76">
        <v>0.33713676185044172</v>
      </c>
      <c r="Z338" s="76">
        <v>0.33731416815969967</v>
      </c>
      <c r="AA338" s="76">
        <v>0.33751809042325587</v>
      </c>
      <c r="AB338" s="76">
        <v>0.33775209263722644</v>
      </c>
      <c r="AC338" s="76">
        <v>0.33802008316734272</v>
      </c>
      <c r="AD338" s="76">
        <v>0.33832630085533177</v>
      </c>
      <c r="AE338" s="76">
        <v>0.33867528052016133</v>
      </c>
      <c r="AF338" s="76">
        <v>0.33907179102281532</v>
      </c>
      <c r="AG338" s="76">
        <v>0.3395207380395559</v>
      </c>
      <c r="AH338" s="76">
        <v>0.34002702301873738</v>
      </c>
      <c r="AI338" s="76">
        <v>0.34059534983470585</v>
      </c>
      <c r="AJ338" s="76">
        <v>0.34122997188715082</v>
      </c>
      <c r="AK338" s="76">
        <v>0.34193437543866284</v>
      </c>
      <c r="AL338" s="76">
        <v>0.34271090051850323</v>
      </c>
      <c r="AM338" s="76">
        <v>0.34356030935916043</v>
      </c>
      <c r="AN338" s="76">
        <v>0.34448132436989365</v>
      </c>
      <c r="AO338" s="76">
        <v>0.3454701726963077</v>
      </c>
      <c r="AP338" s="76">
        <v>0.34652019093241671</v>
      </c>
      <c r="AQ338" s="76">
        <v>0.34762155845567416</v>
      </c>
      <c r="AR338" s="76">
        <v>0.34876123640110618</v>
      </c>
      <c r="AS338" s="76">
        <v>0.34992318561939784</v>
      </c>
      <c r="AT338" s="76">
        <v>0.35108891561665406</v>
      </c>
      <c r="AU338" s="76">
        <v>0.35223837487585613</v>
      </c>
      <c r="AV338" s="76">
        <v>0.35335113424368969</v>
      </c>
      <c r="AW338" s="76">
        <v>0.35440774983949802</v>
      </c>
      <c r="AX338" s="84">
        <v>0.35539113728309829</v>
      </c>
    </row>
    <row r="339" spans="1:50" x14ac:dyDescent="0.25">
      <c r="A339" s="356"/>
      <c r="B339" s="359"/>
      <c r="C339" s="361" t="s">
        <v>14</v>
      </c>
      <c r="D339" s="58" t="s">
        <v>7</v>
      </c>
      <c r="E339" s="164" t="str">
        <f>A327&amp;"/"&amp;B335&amp;"/"&amp;C339&amp;"/"&amp;D339</f>
        <v>Biomass and waste fired power plants/Fluidized bed combustion/CHP/L</v>
      </c>
      <c r="F339" s="78" t="str">
        <f>A327</f>
        <v>Biomass and waste fired power plants</v>
      </c>
      <c r="G339" s="78" t="str">
        <f>B335</f>
        <v>Fluidized bed combustion</v>
      </c>
      <c r="H339" s="78" t="str">
        <f>C339</f>
        <v>CHP</v>
      </c>
      <c r="I339" s="165" t="str">
        <f t="shared" si="81"/>
        <v>L</v>
      </c>
      <c r="J339" s="78">
        <v>0.35373187124159888</v>
      </c>
      <c r="K339" s="78">
        <v>0.35373309223653437</v>
      </c>
      <c r="L339" s="78">
        <v>0.35373458339731262</v>
      </c>
      <c r="M339" s="78">
        <v>0.35373640445788751</v>
      </c>
      <c r="N339" s="78">
        <v>0.35373862833741787</v>
      </c>
      <c r="O339" s="78">
        <v>0.35374134403983204</v>
      </c>
      <c r="P339" s="78">
        <v>0.35374466018570855</v>
      </c>
      <c r="Q339" s="78">
        <v>0.35374870931173574</v>
      </c>
      <c r="R339" s="78">
        <v>0.35375365310064982</v>
      </c>
      <c r="S339" s="78">
        <v>0.3537596887371765</v>
      </c>
      <c r="T339" s="78">
        <v>0.35376705662368108</v>
      </c>
      <c r="U339" s="78">
        <v>0.35377604973338644</v>
      </c>
      <c r="V339" s="78">
        <v>0.35378702492929359</v>
      </c>
      <c r="W339" s="78">
        <v>0.35380041663292761</v>
      </c>
      <c r="X339" s="78">
        <v>0.35381675328746126</v>
      </c>
      <c r="Y339" s="78">
        <v>0.35383667712187228</v>
      </c>
      <c r="Z339" s="78">
        <v>0.35386096778152609</v>
      </c>
      <c r="AA339" s="78">
        <v>0.35389057043737121</v>
      </c>
      <c r="AB339" s="78">
        <v>0.35392662900696292</v>
      </c>
      <c r="AC339" s="78">
        <v>0.35397052509423643</v>
      </c>
      <c r="AD339" s="78">
        <v>0.35402392314875081</v>
      </c>
      <c r="AE339" s="78">
        <v>0.35408882211101939</v>
      </c>
      <c r="AF339" s="78">
        <v>0.35416761337970726</v>
      </c>
      <c r="AG339" s="78">
        <v>0.35426314421313804</v>
      </c>
      <c r="AH339" s="78">
        <v>0.35437878453313215</v>
      </c>
      <c r="AI339" s="78">
        <v>0.35451849336918345</v>
      </c>
      <c r="AJ339" s="78">
        <v>0.35468687866916399</v>
      </c>
      <c r="AK339" s="78">
        <v>0.3548892407013734</v>
      </c>
      <c r="AL339" s="78">
        <v>0.35513158461255351</v>
      </c>
      <c r="AM339" s="78">
        <v>0.35542058185750491</v>
      </c>
      <c r="AN339" s="78">
        <v>0.35576345346596305</v>
      </c>
      <c r="AO339" s="78">
        <v>0.35616774134913648</v>
      </c>
      <c r="AP339" s="78">
        <v>0.35664092895004601</v>
      </c>
      <c r="AQ339" s="78">
        <v>0.35718987281677145</v>
      </c>
      <c r="AR339" s="78">
        <v>0.35782001715349643</v>
      </c>
      <c r="AS339" s="78">
        <v>0.35853439053533626</v>
      </c>
      <c r="AT339" s="78">
        <v>0.3593324340528275</v>
      </c>
      <c r="AU339" s="78">
        <v>0.36020878559954322</v>
      </c>
      <c r="AV339" s="78">
        <v>0.36115223823993764</v>
      </c>
      <c r="AW339" s="78">
        <v>0.36214517699995069</v>
      </c>
      <c r="AX339" s="86">
        <v>0.36316383353762222</v>
      </c>
    </row>
    <row r="340" spans="1:50" x14ac:dyDescent="0.25">
      <c r="A340" s="356"/>
      <c r="B340" s="359"/>
      <c r="C340" s="350"/>
      <c r="D340" s="2" t="s">
        <v>8</v>
      </c>
      <c r="E340" s="160" t="str">
        <f>A327&amp;"/"&amp;B335&amp;"/"&amp;C339&amp;"/"&amp;D340</f>
        <v>Biomass and waste fired power plants/Fluidized bed combustion/CHP/M</v>
      </c>
      <c r="F340" s="76" t="str">
        <f>A327</f>
        <v>Biomass and waste fired power plants</v>
      </c>
      <c r="G340" s="76" t="str">
        <f>B335</f>
        <v>Fluidized bed combustion</v>
      </c>
      <c r="H340" s="76" t="str">
        <f>C339</f>
        <v>CHP</v>
      </c>
      <c r="I340" s="161" t="str">
        <f t="shared" si="81"/>
        <v>M</v>
      </c>
      <c r="J340" s="76">
        <v>0.33688749642057031</v>
      </c>
      <c r="K340" s="76">
        <v>0.33689020462518632</v>
      </c>
      <c r="L340" s="76">
        <v>0.33689343002851274</v>
      </c>
      <c r="M340" s="76">
        <v>0.33689727123508395</v>
      </c>
      <c r="N340" s="76">
        <v>0.33690184557842984</v>
      </c>
      <c r="O340" s="76">
        <v>0.33690729264912728</v>
      </c>
      <c r="P340" s="76">
        <v>0.33691377847513704</v>
      </c>
      <c r="Q340" s="76">
        <v>0.33692150046984898</v>
      </c>
      <c r="R340" s="76">
        <v>0.33693069328146197</v>
      </c>
      <c r="S340" s="76">
        <v>0.33694163569744984</v>
      </c>
      <c r="T340" s="76">
        <v>0.33695465877959607</v>
      </c>
      <c r="U340" s="76">
        <v>0.33697015542786879</v>
      </c>
      <c r="V340" s="76">
        <v>0.3369885915941942</v>
      </c>
      <c r="W340" s="76">
        <v>0.33701051938827248</v>
      </c>
      <c r="X340" s="76">
        <v>0.33703659233428152</v>
      </c>
      <c r="Y340" s="76">
        <v>0.33706758304557777</v>
      </c>
      <c r="Z340" s="76">
        <v>0.33710440357836813</v>
      </c>
      <c r="AA340" s="76">
        <v>0.33714812869620214</v>
      </c>
      <c r="AB340" s="76">
        <v>0.33720002221292295</v>
      </c>
      <c r="AC340" s="76">
        <v>0.33726156646569633</v>
      </c>
      <c r="AD340" s="76">
        <v>0.33733449477932614</v>
      </c>
      <c r="AE340" s="76">
        <v>0.33742082648847777</v>
      </c>
      <c r="AF340" s="76">
        <v>0.33752290364759646</v>
      </c>
      <c r="AG340" s="76">
        <v>0.33764342793243729</v>
      </c>
      <c r="AH340" s="76">
        <v>0.3377854953679183</v>
      </c>
      <c r="AI340" s="76">
        <v>0.33795262534684212</v>
      </c>
      <c r="AJ340" s="76">
        <v>0.33814877888152317</v>
      </c>
      <c r="AK340" s="76">
        <v>0.33837835912833109</v>
      </c>
      <c r="AL340" s="76">
        <v>0.33864618497135307</v>
      </c>
      <c r="AM340" s="76">
        <v>0.33895742597617262</v>
      </c>
      <c r="AN340" s="76">
        <v>0.3393174846291967</v>
      </c>
      <c r="AO340" s="76">
        <v>0.33973181001995861</v>
      </c>
      <c r="AP340" s="76">
        <v>0.34020562690894868</v>
      </c>
      <c r="AQ340" s="76">
        <v>0.3407435667649294</v>
      </c>
      <c r="AR340" s="76">
        <v>0.34134919453428653</v>
      </c>
      <c r="AS340" s="76">
        <v>0.34202443842151137</v>
      </c>
      <c r="AT340" s="76">
        <v>0.34276895114515155</v>
      </c>
      <c r="AU340" s="76">
        <v>0.34357945981773641</v>
      </c>
      <c r="AV340" s="76">
        <v>0.34444919470706503</v>
      </c>
      <c r="AW340" s="76">
        <v>0.34536751734093646</v>
      </c>
      <c r="AX340" s="84">
        <v>0.34631988378131123</v>
      </c>
    </row>
    <row r="341" spans="1:50" x14ac:dyDescent="0.25">
      <c r="A341" s="356"/>
      <c r="B341" s="359"/>
      <c r="C341" s="350"/>
      <c r="D341" s="2" t="s">
        <v>10</v>
      </c>
      <c r="E341" s="160" t="str">
        <f>A327&amp;"/"&amp;B335&amp;"/"&amp;C339&amp;"/"&amp;D341</f>
        <v>Biomass and waste fired power plants/Fluidized bed combustion/CHP/S</v>
      </c>
      <c r="F341" s="76" t="str">
        <f>A327</f>
        <v>Biomass and waste fired power plants</v>
      </c>
      <c r="G341" s="76" t="str">
        <f>B335</f>
        <v>Fluidized bed combustion</v>
      </c>
      <c r="H341" s="76" t="str">
        <f>C339</f>
        <v>CHP</v>
      </c>
      <c r="I341" s="161" t="str">
        <f t="shared" si="81"/>
        <v>S</v>
      </c>
      <c r="J341" s="76">
        <v>0.32084523468625742</v>
      </c>
      <c r="K341" s="76">
        <v>0.32085190377135325</v>
      </c>
      <c r="L341" s="76">
        <v>0.32085964822310298</v>
      </c>
      <c r="M341" s="76">
        <v>0.32086864070491405</v>
      </c>
      <c r="N341" s="76">
        <v>0.32087908134656751</v>
      </c>
      <c r="O341" s="76">
        <v>0.32089120202367205</v>
      </c>
      <c r="P341" s="76">
        <v>0.32090527127241542</v>
      </c>
      <c r="Q341" s="76">
        <v>0.32092159992275981</v>
      </c>
      <c r="R341" s="76">
        <v>0.32094054754000978</v>
      </c>
      <c r="S341" s="76">
        <v>0.32096252977034517</v>
      </c>
      <c r="T341" s="76">
        <v>0.32098802668955534</v>
      </c>
      <c r="U341" s="76">
        <v>0.3210175922545962</v>
      </c>
      <c r="V341" s="76">
        <v>0.32105186495298266</v>
      </c>
      <c r="W341" s="76">
        <v>0.32109157973309888</v>
      </c>
      <c r="X341" s="76">
        <v>0.32113758127613701</v>
      </c>
      <c r="Y341" s="76">
        <v>0.32119083863345005</v>
      </c>
      <c r="Z341" s="76">
        <v>0.32125246119632694</v>
      </c>
      <c r="AA341" s="76">
        <v>0.32132371588179365</v>
      </c>
      <c r="AB341" s="76">
        <v>0.32140604529960404</v>
      </c>
      <c r="AC341" s="76">
        <v>0.32150108650190423</v>
      </c>
      <c r="AD341" s="76">
        <v>0.3216106896961558</v>
      </c>
      <c r="AE341" s="76">
        <v>0.32173693601042674</v>
      </c>
      <c r="AF341" s="76">
        <v>0.32188215302422779</v>
      </c>
      <c r="AG341" s="76">
        <v>0.32204892630505266</v>
      </c>
      <c r="AH341" s="76">
        <v>0.32224010461236741</v>
      </c>
      <c r="AI341" s="76">
        <v>0.32245879574785463</v>
      </c>
      <c r="AJ341" s="76">
        <v>0.32270834926068881</v>
      </c>
      <c r="AK341" s="76">
        <v>0.32299232140381456</v>
      </c>
      <c r="AL341" s="76">
        <v>0.32331441696642788</v>
      </c>
      <c r="AM341" s="76">
        <v>0.32367840202059528</v>
      </c>
      <c r="AN341" s="76">
        <v>0.32408798143102213</v>
      </c>
      <c r="AO341" s="76">
        <v>0.3245466354867878</v>
      </c>
      <c r="AP341" s="76">
        <v>0.32505741160740659</v>
      </c>
      <c r="AQ341" s="76">
        <v>0.32562267019468483</v>
      </c>
      <c r="AR341" s="76">
        <v>0.32624378877269572</v>
      </c>
      <c r="AS341" s="76">
        <v>0.32692083585552806</v>
      </c>
      <c r="AT341" s="76">
        <v>0.32765223542061156</v>
      </c>
      <c r="AU341" s="76">
        <v>0.32843445373107266</v>
      </c>
      <c r="AV341" s="76">
        <v>0.32926175093913279</v>
      </c>
      <c r="AW341" s="76">
        <v>0.33012604778495708</v>
      </c>
      <c r="AX341" s="84">
        <v>0.33101695931199415</v>
      </c>
    </row>
    <row r="342" spans="1:50" x14ac:dyDescent="0.25">
      <c r="A342" s="356"/>
      <c r="B342" s="359"/>
      <c r="C342" s="360"/>
      <c r="D342" s="59" t="s">
        <v>20</v>
      </c>
      <c r="E342" s="166" t="str">
        <f>A327&amp;"/"&amp;B335&amp;"/"&amp;C339&amp;"/"&amp;D342</f>
        <v>Biomass and waste fired power plants/Fluidized bed combustion/CHP/XS</v>
      </c>
      <c r="F342" s="79" t="str">
        <f>A327</f>
        <v>Biomass and waste fired power plants</v>
      </c>
      <c r="G342" s="79" t="str">
        <f>B335</f>
        <v>Fluidized bed combustion</v>
      </c>
      <c r="H342" s="79" t="str">
        <f>C339</f>
        <v>CHP</v>
      </c>
      <c r="I342" s="167" t="str">
        <f t="shared" si="81"/>
        <v>XS</v>
      </c>
      <c r="J342" s="79">
        <v>0.30556689017738803</v>
      </c>
      <c r="K342" s="79">
        <v>0.30557461247937984</v>
      </c>
      <c r="L342" s="79">
        <v>0.30558357955725035</v>
      </c>
      <c r="M342" s="79">
        <v>0.30559399112889479</v>
      </c>
      <c r="N342" s="79">
        <v>0.30560607863104916</v>
      </c>
      <c r="O342" s="79">
        <v>0.30562011014328394</v>
      </c>
      <c r="P342" s="79">
        <v>0.30563639603654719</v>
      </c>
      <c r="Q342" s="79">
        <v>0.30565529543870307</v>
      </c>
      <c r="R342" s="79">
        <v>0.30567722361606725</v>
      </c>
      <c r="S342" s="79">
        <v>0.30570266037477101</v>
      </c>
      <c r="T342" s="79">
        <v>0.30573215958772654</v>
      </c>
      <c r="U342" s="79">
        <v>0.30576635995038826</v>
      </c>
      <c r="V342" s="79">
        <v>0.3058059970592012</v>
      </c>
      <c r="W342" s="79">
        <v>0.30585191688761987</v>
      </c>
      <c r="X342" s="79">
        <v>0.30590509070191102</v>
      </c>
      <c r="Y342" s="79">
        <v>0.30596663140746588</v>
      </c>
      <c r="Z342" s="79">
        <v>0.30603781123940571</v>
      </c>
      <c r="AA342" s="79">
        <v>0.30612008060050183</v>
      </c>
      <c r="AB342" s="79">
        <v>0.30621508769454225</v>
      </c>
      <c r="AC342" s="79">
        <v>0.30632469839192467</v>
      </c>
      <c r="AD342" s="79">
        <v>0.30645101548224934</v>
      </c>
      <c r="AE342" s="79">
        <v>0.30659639610061329</v>
      </c>
      <c r="AF342" s="79">
        <v>0.30676346564493051</v>
      </c>
      <c r="AG342" s="79">
        <v>0.3069551259184643</v>
      </c>
      <c r="AH342" s="79">
        <v>0.3071745545295011</v>
      </c>
      <c r="AI342" s="79">
        <v>0.30742519176732347</v>
      </c>
      <c r="AJ342" s="79">
        <v>0.30771071028288227</v>
      </c>
      <c r="AK342" s="79">
        <v>0.30803496200411762</v>
      </c>
      <c r="AL342" s="79">
        <v>0.30840189593538303</v>
      </c>
      <c r="AM342" s="79">
        <v>0.30881544002902578</v>
      </c>
      <c r="AN342" s="79">
        <v>0.30927934047046091</v>
      </c>
      <c r="AO342" s="79">
        <v>0.30979695288620729</v>
      </c>
      <c r="AP342" s="79">
        <v>0.3103709826601872</v>
      </c>
      <c r="AQ342" s="79">
        <v>0.31100317625914503</v>
      </c>
      <c r="AR342" s="79">
        <v>0.31169397267505305</v>
      </c>
      <c r="AS342" s="79">
        <v>0.31244213395484505</v>
      </c>
      <c r="AT342" s="79">
        <v>0.31324438588240355</v>
      </c>
      <c r="AU342" s="79">
        <v>0.31409511284164704</v>
      </c>
      <c r="AV342" s="79">
        <v>0.31498616213022584</v>
      </c>
      <c r="AW342" s="79">
        <v>0.31590681866683545</v>
      </c>
      <c r="AX342" s="87">
        <v>0.31684400656363099</v>
      </c>
    </row>
    <row r="343" spans="1:50" x14ac:dyDescent="0.25">
      <c r="A343" s="356"/>
      <c r="B343" s="359"/>
      <c r="C343" s="361" t="s">
        <v>15</v>
      </c>
      <c r="D343" s="58" t="s">
        <v>7</v>
      </c>
      <c r="E343" s="164" t="str">
        <f>A327&amp;"/"&amp;B335&amp;"/"&amp;C343&amp;"/"&amp;D343</f>
        <v>Biomass and waste fired power plants/Fluidized bed combustion/Electricity only with CCS/L</v>
      </c>
      <c r="F343" s="78" t="str">
        <f>A327</f>
        <v>Biomass and waste fired power plants</v>
      </c>
      <c r="G343" s="78" t="str">
        <f>B335</f>
        <v>Fluidized bed combustion</v>
      </c>
      <c r="H343" s="78" t="str">
        <f>C343</f>
        <v>Electricity only with CCS</v>
      </c>
      <c r="I343" s="165" t="str">
        <f t="shared" si="81"/>
        <v>L</v>
      </c>
      <c r="J343" s="78" t="s">
        <v>112</v>
      </c>
      <c r="K343" s="78" t="s">
        <v>112</v>
      </c>
      <c r="L343" s="78" t="s">
        <v>112</v>
      </c>
      <c r="M343" s="78" t="s">
        <v>112</v>
      </c>
      <c r="N343" s="78" t="s">
        <v>112</v>
      </c>
      <c r="O343" s="78" t="s">
        <v>112</v>
      </c>
      <c r="P343" s="78" t="s">
        <v>112</v>
      </c>
      <c r="Q343" s="78" t="s">
        <v>112</v>
      </c>
      <c r="R343" s="78" t="s">
        <v>112</v>
      </c>
      <c r="S343" s="78" t="s">
        <v>112</v>
      </c>
      <c r="T343" s="78" t="s">
        <v>112</v>
      </c>
      <c r="U343" s="78" t="s">
        <v>112</v>
      </c>
      <c r="V343" s="78" t="s">
        <v>112</v>
      </c>
      <c r="W343" s="78" t="s">
        <v>112</v>
      </c>
      <c r="X343" s="78" t="s">
        <v>112</v>
      </c>
      <c r="Y343" s="78" t="s">
        <v>112</v>
      </c>
      <c r="Z343" s="78" t="s">
        <v>112</v>
      </c>
      <c r="AA343" s="78" t="s">
        <v>112</v>
      </c>
      <c r="AB343" s="78" t="s">
        <v>112</v>
      </c>
      <c r="AC343" s="78" t="s">
        <v>112</v>
      </c>
      <c r="AD343" s="78" t="s">
        <v>112</v>
      </c>
      <c r="AE343" s="78">
        <v>0.37066871769466364</v>
      </c>
      <c r="AF343" s="78">
        <v>0.37069491842261015</v>
      </c>
      <c r="AG343" s="78">
        <v>0.37072851970656895</v>
      </c>
      <c r="AH343" s="78">
        <v>0.37077159695271233</v>
      </c>
      <c r="AI343" s="78">
        <v>0.37082679796656631</v>
      </c>
      <c r="AJ343" s="78">
        <v>0.37089749462025617</v>
      </c>
      <c r="AK343" s="78">
        <v>0.37098797070133843</v>
      </c>
      <c r="AL343" s="78">
        <v>0.37110365194434852</v>
      </c>
      <c r="AM343" s="78">
        <v>0.37125138339157149</v>
      </c>
      <c r="AN343" s="78">
        <v>0.37143975670013785</v>
      </c>
      <c r="AO343" s="78">
        <v>0.37167948463973544</v>
      </c>
      <c r="AP343" s="78">
        <v>0.37198381009218795</v>
      </c>
      <c r="AQ343" s="78">
        <v>0.37236892002302407</v>
      </c>
      <c r="AR343" s="78">
        <v>0.37285430827436639</v>
      </c>
      <c r="AS343" s="78">
        <v>0.37346299180951165</v>
      </c>
      <c r="AT343" s="78">
        <v>0.37422143198101226</v>
      </c>
      <c r="AU343" s="78">
        <v>0.37515894896400959</v>
      </c>
      <c r="AV343" s="78">
        <v>0.3763063571819511</v>
      </c>
      <c r="AW343" s="78">
        <v>0.37769352293738501</v>
      </c>
      <c r="AX343" s="86">
        <v>0.3793456058483986</v>
      </c>
    </row>
    <row r="344" spans="1:50" x14ac:dyDescent="0.25">
      <c r="A344" s="356"/>
      <c r="B344" s="359"/>
      <c r="C344" s="360"/>
      <c r="D344" s="59" t="s">
        <v>8</v>
      </c>
      <c r="E344" s="166" t="str">
        <f>A327&amp;"/"&amp;B335&amp;"/"&amp;C343&amp;"/"&amp;D344</f>
        <v>Biomass and waste fired power plants/Fluidized bed combustion/Electricity only with CCS/M</v>
      </c>
      <c r="F344" s="79" t="str">
        <f>A327</f>
        <v>Biomass and waste fired power plants</v>
      </c>
      <c r="G344" s="79" t="str">
        <f>B335</f>
        <v>Fluidized bed combustion</v>
      </c>
      <c r="H344" s="79" t="str">
        <f>C343</f>
        <v>Electricity only with CCS</v>
      </c>
      <c r="I344" s="167" t="str">
        <f t="shared" si="81"/>
        <v>M</v>
      </c>
      <c r="J344" s="79" t="s">
        <v>112</v>
      </c>
      <c r="K344" s="79" t="s">
        <v>112</v>
      </c>
      <c r="L344" s="79" t="s">
        <v>112</v>
      </c>
      <c r="M344" s="79" t="s">
        <v>112</v>
      </c>
      <c r="N344" s="79" t="s">
        <v>112</v>
      </c>
      <c r="O344" s="79" t="s">
        <v>112</v>
      </c>
      <c r="P344" s="79" t="s">
        <v>112</v>
      </c>
      <c r="Q344" s="79" t="s">
        <v>112</v>
      </c>
      <c r="R344" s="79" t="s">
        <v>112</v>
      </c>
      <c r="S344" s="79" t="s">
        <v>112</v>
      </c>
      <c r="T344" s="79" t="s">
        <v>112</v>
      </c>
      <c r="U344" s="79" t="s">
        <v>112</v>
      </c>
      <c r="V344" s="79" t="s">
        <v>112</v>
      </c>
      <c r="W344" s="79" t="s">
        <v>112</v>
      </c>
      <c r="X344" s="79" t="s">
        <v>112</v>
      </c>
      <c r="Y344" s="79" t="s">
        <v>112</v>
      </c>
      <c r="Z344" s="79" t="s">
        <v>112</v>
      </c>
      <c r="AA344" s="79" t="s">
        <v>112</v>
      </c>
      <c r="AB344" s="79" t="s">
        <v>112</v>
      </c>
      <c r="AC344" s="79" t="s">
        <v>112</v>
      </c>
      <c r="AD344" s="79" t="s">
        <v>112</v>
      </c>
      <c r="AE344" s="79">
        <v>0.35302370097734764</v>
      </c>
      <c r="AF344" s="79">
        <v>0.35305031978131501</v>
      </c>
      <c r="AG344" s="79">
        <v>0.35308445802583921</v>
      </c>
      <c r="AH344" s="79">
        <v>0.35312822497131202</v>
      </c>
      <c r="AI344" s="79">
        <v>0.35318431194664968</v>
      </c>
      <c r="AJ344" s="79">
        <v>0.35325614679396666</v>
      </c>
      <c r="AK344" s="79">
        <v>0.35334808529985856</v>
      </c>
      <c r="AL344" s="79">
        <v>0.35346564584921047</v>
      </c>
      <c r="AM344" s="79">
        <v>0.35361579274890964</v>
      </c>
      <c r="AN344" s="79">
        <v>0.35380727121927263</v>
      </c>
      <c r="AO344" s="79">
        <v>0.35405099176790433</v>
      </c>
      <c r="AP344" s="79">
        <v>0.35436045181356263</v>
      </c>
      <c r="AQ344" s="79">
        <v>0.35475216563379197</v>
      </c>
      <c r="AR344" s="79">
        <v>0.35524604702236795</v>
      </c>
      <c r="AS344" s="79">
        <v>0.35586564949330207</v>
      </c>
      <c r="AT344" s="79">
        <v>0.35663811494808795</v>
      </c>
      <c r="AU344" s="79">
        <v>0.35759361647072668</v>
      </c>
      <c r="AV344" s="79">
        <v>0.3587640172379904</v>
      </c>
      <c r="AW344" s="79">
        <v>0.3601804354742415</v>
      </c>
      <c r="AX344" s="87">
        <v>0.3618694583214685</v>
      </c>
    </row>
    <row r="345" spans="1:50" x14ac:dyDescent="0.25">
      <c r="A345" s="356"/>
      <c r="B345" s="359"/>
      <c r="C345" s="361" t="s">
        <v>16</v>
      </c>
      <c r="D345" s="2" t="s">
        <v>7</v>
      </c>
      <c r="E345" s="160" t="str">
        <f>A327&amp;"/"&amp;B335&amp;"/"&amp;C345&amp;"/"&amp;D345</f>
        <v>Biomass and waste fired power plants/Fluidized bed combustion/CHP with CCS/L</v>
      </c>
      <c r="F345" s="76" t="str">
        <f>A327</f>
        <v>Biomass and waste fired power plants</v>
      </c>
      <c r="G345" s="76" t="str">
        <f>B335</f>
        <v>Fluidized bed combustion</v>
      </c>
      <c r="H345" s="76" t="str">
        <f>C345</f>
        <v>CHP with CCS</v>
      </c>
      <c r="I345" s="161" t="str">
        <f t="shared" si="81"/>
        <v>L</v>
      </c>
      <c r="J345" s="76" t="s">
        <v>112</v>
      </c>
      <c r="K345" s="76" t="s">
        <v>112</v>
      </c>
      <c r="L345" s="76" t="s">
        <v>112</v>
      </c>
      <c r="M345" s="76" t="s">
        <v>112</v>
      </c>
      <c r="N345" s="76" t="s">
        <v>112</v>
      </c>
      <c r="O345" s="76" t="s">
        <v>112</v>
      </c>
      <c r="P345" s="76" t="s">
        <v>112</v>
      </c>
      <c r="Q345" s="76" t="s">
        <v>112</v>
      </c>
      <c r="R345" s="76" t="s">
        <v>112</v>
      </c>
      <c r="S345" s="76" t="s">
        <v>112</v>
      </c>
      <c r="T345" s="76" t="s">
        <v>112</v>
      </c>
      <c r="U345" s="76" t="s">
        <v>112</v>
      </c>
      <c r="V345" s="76" t="s">
        <v>112</v>
      </c>
      <c r="W345" s="76" t="s">
        <v>112</v>
      </c>
      <c r="X345" s="76" t="s">
        <v>112</v>
      </c>
      <c r="Y345" s="76" t="s">
        <v>112</v>
      </c>
      <c r="Z345" s="76" t="s">
        <v>112</v>
      </c>
      <c r="AA345" s="76" t="s">
        <v>112</v>
      </c>
      <c r="AB345" s="76" t="s">
        <v>112</v>
      </c>
      <c r="AC345" s="76" t="s">
        <v>112</v>
      </c>
      <c r="AD345" s="76" t="s">
        <v>112</v>
      </c>
      <c r="AE345" s="76">
        <v>0.33695474124402935</v>
      </c>
      <c r="AF345" s="76">
        <v>0.3369737916136395</v>
      </c>
      <c r="AG345" s="76">
        <v>0.33699822116744066</v>
      </c>
      <c r="AH345" s="76">
        <v>0.33702953733629137</v>
      </c>
      <c r="AI345" s="76">
        <v>0.33706966259024307</v>
      </c>
      <c r="AJ345" s="76">
        <v>0.33712104394937065</v>
      </c>
      <c r="AK345" s="76">
        <v>0.33718678831522925</v>
      </c>
      <c r="AL345" s="76">
        <v>0.33727082769014444</v>
      </c>
      <c r="AM345" s="76">
        <v>0.33737811756145525</v>
      </c>
      <c r="AN345" s="76">
        <v>0.33751486963572258</v>
      </c>
      <c r="AO345" s="76">
        <v>0.33768881583470611</v>
      </c>
      <c r="AP345" s="76">
        <v>0.33790949273759063</v>
      </c>
      <c r="AQ345" s="76">
        <v>0.33818852276762928</v>
      </c>
      <c r="AR345" s="76">
        <v>0.33853984836562917</v>
      </c>
      <c r="AS345" s="76">
        <v>0.33897984636149742</v>
      </c>
      <c r="AT345" s="76">
        <v>0.33952721140055803</v>
      </c>
      <c r="AU345" s="76">
        <v>0.34020245317525405</v>
      </c>
      <c r="AV345" s="76">
        <v>0.34102681382105854</v>
      </c>
      <c r="AW345" s="76">
        <v>0.34202040341257145</v>
      </c>
      <c r="AX345" s="84">
        <v>0.34319941299220724</v>
      </c>
    </row>
    <row r="346" spans="1:50" x14ac:dyDescent="0.25">
      <c r="A346" s="356"/>
      <c r="B346" s="362"/>
      <c r="C346" s="354"/>
      <c r="D346" s="4" t="s">
        <v>8</v>
      </c>
      <c r="E346" s="168" t="str">
        <f>A327&amp;"/"&amp;B335&amp;"/"&amp;C345&amp;"/"&amp;D346</f>
        <v>Biomass and waste fired power plants/Fluidized bed combustion/CHP with CCS/M</v>
      </c>
      <c r="F346" s="80" t="str">
        <f>A327</f>
        <v>Biomass and waste fired power plants</v>
      </c>
      <c r="G346" s="80" t="str">
        <f>B335</f>
        <v>Fluidized bed combustion</v>
      </c>
      <c r="H346" s="80" t="str">
        <f>C345</f>
        <v>CHP with CCS</v>
      </c>
      <c r="I346" s="169" t="str">
        <f t="shared" si="81"/>
        <v>M</v>
      </c>
      <c r="J346" s="80" t="s">
        <v>112</v>
      </c>
      <c r="K346" s="80" t="s">
        <v>112</v>
      </c>
      <c r="L346" s="80" t="s">
        <v>112</v>
      </c>
      <c r="M346" s="80" t="s">
        <v>112</v>
      </c>
      <c r="N346" s="80" t="s">
        <v>112</v>
      </c>
      <c r="O346" s="80" t="s">
        <v>112</v>
      </c>
      <c r="P346" s="80" t="s">
        <v>112</v>
      </c>
      <c r="Q346" s="80" t="s">
        <v>112</v>
      </c>
      <c r="R346" s="80" t="s">
        <v>112</v>
      </c>
      <c r="S346" s="80" t="s">
        <v>112</v>
      </c>
      <c r="T346" s="80" t="s">
        <v>112</v>
      </c>
      <c r="U346" s="80" t="s">
        <v>112</v>
      </c>
      <c r="V346" s="80" t="s">
        <v>112</v>
      </c>
      <c r="W346" s="80" t="s">
        <v>112</v>
      </c>
      <c r="X346" s="80" t="s">
        <v>112</v>
      </c>
      <c r="Y346" s="80" t="s">
        <v>112</v>
      </c>
      <c r="Z346" s="80" t="s">
        <v>112</v>
      </c>
      <c r="AA346" s="80" t="s">
        <v>112</v>
      </c>
      <c r="AB346" s="80" t="s">
        <v>112</v>
      </c>
      <c r="AC346" s="80" t="s">
        <v>112</v>
      </c>
      <c r="AD346" s="80" t="s">
        <v>112</v>
      </c>
      <c r="AE346" s="80">
        <v>0.32091728660716179</v>
      </c>
      <c r="AF346" s="80">
        <v>0.32093770023785667</v>
      </c>
      <c r="AG346" s="80">
        <v>0.32096387890757166</v>
      </c>
      <c r="AH346" s="80">
        <v>0.32099743876801839</v>
      </c>
      <c r="AI346" s="80">
        <v>0.32104044132569137</v>
      </c>
      <c r="AJ346" s="80">
        <v>0.32109551119910407</v>
      </c>
      <c r="AK346" s="80">
        <v>0.32116598180477429</v>
      </c>
      <c r="AL346" s="80">
        <v>0.3212560734884376</v>
      </c>
      <c r="AM346" s="80">
        <v>0.32137110786122547</v>
      </c>
      <c r="AN346" s="80">
        <v>0.32151775999327115</v>
      </c>
      <c r="AO346" s="80">
        <v>0.32170434573264772</v>
      </c>
      <c r="AP346" s="80">
        <v>0.32194113340394914</v>
      </c>
      <c r="AQ346" s="80">
        <v>0.32224065566850241</v>
      </c>
      <c r="AR346" s="80">
        <v>0.32261797619872828</v>
      </c>
      <c r="AS346" s="80">
        <v>0.32309083496313712</v>
      </c>
      <c r="AT346" s="80">
        <v>0.3236795546616853</v>
      </c>
      <c r="AU346" s="80">
        <v>0.32440654245712885</v>
      </c>
      <c r="AV346" s="80">
        <v>0.3252951770242053</v>
      </c>
      <c r="AW346" s="80">
        <v>0.3263678560343008</v>
      </c>
      <c r="AX346" s="88">
        <v>0.32764303577023862</v>
      </c>
    </row>
    <row r="347" spans="1:50" x14ac:dyDescent="0.25">
      <c r="A347" s="356"/>
      <c r="B347" s="358" t="s">
        <v>19</v>
      </c>
      <c r="C347" s="353" t="s">
        <v>6</v>
      </c>
      <c r="D347" s="3" t="s">
        <v>7</v>
      </c>
      <c r="E347" s="162" t="str">
        <f>A327&amp;"/"&amp;B347&amp;"/"&amp;C347&amp;"/"&amp;D347</f>
        <v>Biomass and waste fired power plants/Steam turbine/Electricity only/L</v>
      </c>
      <c r="F347" s="77" t="str">
        <f>A327</f>
        <v>Biomass and waste fired power plants</v>
      </c>
      <c r="G347" s="77" t="str">
        <f>B347</f>
        <v>Steam turbine</v>
      </c>
      <c r="H347" s="77" t="str">
        <f>C347</f>
        <v>Electricity only</v>
      </c>
      <c r="I347" s="163" t="str">
        <f t="shared" si="81"/>
        <v>L</v>
      </c>
      <c r="J347" s="77">
        <v>0.39339103068450043</v>
      </c>
      <c r="K347" s="77">
        <v>0.39344695058753743</v>
      </c>
      <c r="L347" s="77">
        <v>0.39350283159940491</v>
      </c>
      <c r="M347" s="77">
        <v>0.39355864504141097</v>
      </c>
      <c r="N347" s="77">
        <v>0.39361436249647941</v>
      </c>
      <c r="O347" s="77">
        <v>0.39366995586322751</v>
      </c>
      <c r="P347" s="77">
        <v>0.39372539740841822</v>
      </c>
      <c r="Q347" s="77">
        <v>0.39378065981759564</v>
      </c>
      <c r="R347" s="77">
        <v>0.39383571624372904</v>
      </c>
      <c r="S347" s="77">
        <v>0.39389054035370369</v>
      </c>
      <c r="T347" s="77">
        <v>0.39394510637251245</v>
      </c>
      <c r="U347" s="77">
        <v>0.39399938912501792</v>
      </c>
      <c r="V347" s="77">
        <v>0.39405336407517072</v>
      </c>
      <c r="W347" s="77">
        <v>0.39410700736258653</v>
      </c>
      <c r="X347" s="77">
        <v>0.39416029583640194</v>
      </c>
      <c r="Y347" s="77">
        <v>0.39421320708634339</v>
      </c>
      <c r="Z347" s="77">
        <v>0.39426571947096356</v>
      </c>
      <c r="AA347" s="77">
        <v>0.39431781214301254</v>
      </c>
      <c r="AB347" s="77">
        <v>0.3943694650719291</v>
      </c>
      <c r="AC347" s="77">
        <v>0.39442065906345208</v>
      </c>
      <c r="AD347" s="77">
        <v>0.39447137577636676</v>
      </c>
      <c r="AE347" s="77">
        <v>0.39452159773641549</v>
      </c>
      <c r="AF347" s="77">
        <v>0.39457130834741316</v>
      </c>
      <c r="AG347" s="77">
        <v>0.39462049189962511</v>
      </c>
      <c r="AH347" s="77">
        <v>0.3946691335754704</v>
      </c>
      <c r="AI347" s="77">
        <v>0.39471721945262955</v>
      </c>
      <c r="AJ347" s="77">
        <v>0.39476473650464178</v>
      </c>
      <c r="AK347" s="77">
        <v>0.39481167259908756</v>
      </c>
      <c r="AL347" s="77">
        <v>0.39485801649345786</v>
      </c>
      <c r="AM347" s="77">
        <v>0.39490375782881981</v>
      </c>
      <c r="AN347" s="77">
        <v>0.39494888712139326</v>
      </c>
      <c r="AO347" s="77">
        <v>0.39499339575215664</v>
      </c>
      <c r="AP347" s="77">
        <v>0.39503727595460508</v>
      </c>
      <c r="AQ347" s="77">
        <v>0.39508052080078626</v>
      </c>
      <c r="AR347" s="77">
        <v>0.39512312418573997</v>
      </c>
      <c r="AS347" s="77">
        <v>0.39516508081046992</v>
      </c>
      <c r="AT347" s="77">
        <v>0.39520638616357506</v>
      </c>
      <c r="AU347" s="77">
        <v>0.3952470365016677</v>
      </c>
      <c r="AV347" s="77">
        <v>0.39528702882870448</v>
      </c>
      <c r="AW347" s="77">
        <v>0.39532636087435263</v>
      </c>
      <c r="AX347" s="85">
        <v>0.39536503107151399</v>
      </c>
    </row>
    <row r="348" spans="1:50" x14ac:dyDescent="0.25">
      <c r="A348" s="356"/>
      <c r="B348" s="359"/>
      <c r="C348" s="350"/>
      <c r="D348" s="2" t="s">
        <v>8</v>
      </c>
      <c r="E348" s="160" t="str">
        <f>A327&amp;"/"&amp;B347&amp;"/"&amp;C347&amp;"/"&amp;D348</f>
        <v>Biomass and waste fired power plants/Steam turbine/Electricity only/M</v>
      </c>
      <c r="F348" s="76" t="str">
        <f>A327</f>
        <v>Biomass and waste fired power plants</v>
      </c>
      <c r="G348" s="76" t="str">
        <f>B347</f>
        <v>Steam turbine</v>
      </c>
      <c r="H348" s="76" t="str">
        <f>C347</f>
        <v>Electricity only</v>
      </c>
      <c r="I348" s="161" t="str">
        <f t="shared" si="81"/>
        <v>M</v>
      </c>
      <c r="J348" s="76">
        <v>0.37465812446142899</v>
      </c>
      <c r="K348" s="76">
        <v>0.3746980736349495</v>
      </c>
      <c r="L348" s="76">
        <v>0.37473800777502131</v>
      </c>
      <c r="M348" s="76">
        <v>0.37477790633932823</v>
      </c>
      <c r="N348" s="76">
        <v>0.3748177489466778</v>
      </c>
      <c r="O348" s="76">
        <v>0.37485751541613943</v>
      </c>
      <c r="P348" s="76">
        <v>0.37489718580512127</v>
      </c>
      <c r="Q348" s="76">
        <v>0.37493674044624498</v>
      </c>
      <c r="R348" s="76">
        <v>0.37497615998288791</v>
      </c>
      <c r="S348" s="76">
        <v>0.37501542540327126</v>
      </c>
      <c r="T348" s="76">
        <v>0.37505451807298124</v>
      </c>
      <c r="U348" s="76">
        <v>0.37509341976582627</v>
      </c>
      <c r="V348" s="76">
        <v>0.37513211269293889</v>
      </c>
      <c r="W348" s="76">
        <v>0.37517057953004596</v>
      </c>
      <c r="X348" s="76">
        <v>0.37520880344284208</v>
      </c>
      <c r="Y348" s="76">
        <v>0.37524676811041191</v>
      </c>
      <c r="Z348" s="76">
        <v>0.37528445774666136</v>
      </c>
      <c r="AA348" s="76">
        <v>0.3753218571197246</v>
      </c>
      <c r="AB348" s="76">
        <v>0.37535895156933152</v>
      </c>
      <c r="AC348" s="76">
        <v>0.37539572702212581</v>
      </c>
      <c r="AD348" s="76">
        <v>0.37543217000493928</v>
      </c>
      <c r="AE348" s="76">
        <v>0.37546826765603358</v>
      </c>
      <c r="AF348" s="76">
        <v>0.37550400773433451</v>
      </c>
      <c r="AG348" s="76">
        <v>0.37553937862669257</v>
      </c>
      <c r="AH348" s="76">
        <v>0.37557436935320798</v>
      </c>
      <c r="AI348" s="76">
        <v>0.37560896957067358</v>
      </c>
      <c r="AJ348" s="76">
        <v>0.3756431695741887</v>
      </c>
      <c r="AK348" s="76">
        <v>0.37567696029700998</v>
      </c>
      <c r="AL348" s="76">
        <v>0.37571033330870629</v>
      </c>
      <c r="AM348" s="76">
        <v>0.37574328081169345</v>
      </c>
      <c r="AN348" s="76">
        <v>0.37577579563622726</v>
      </c>
      <c r="AO348" s="76">
        <v>0.37580787123393555</v>
      </c>
      <c r="AP348" s="76">
        <v>0.37583950166997704</v>
      </c>
      <c r="AQ348" s="76">
        <v>0.3758706816139139</v>
      </c>
      <c r="AR348" s="76">
        <v>0.37590140632938601</v>
      </c>
      <c r="AS348" s="76">
        <v>0.37593167166267943</v>
      </c>
      <c r="AT348" s="76">
        <v>0.37596147403027846</v>
      </c>
      <c r="AU348" s="76">
        <v>0.37599081040549326</v>
      </c>
      <c r="AV348" s="76">
        <v>0.37601967830425115</v>
      </c>
      <c r="AW348" s="76">
        <v>0.37604807577014299</v>
      </c>
      <c r="AX348" s="84">
        <v>0.37607600135881014</v>
      </c>
    </row>
    <row r="349" spans="1:50" x14ac:dyDescent="0.25">
      <c r="A349" s="356"/>
      <c r="B349" s="359"/>
      <c r="C349" s="350"/>
      <c r="D349" s="2" t="s">
        <v>10</v>
      </c>
      <c r="E349" s="160" t="str">
        <f>A327&amp;"/"&amp;B347&amp;"/"&amp;C347&amp;"/"&amp;D349</f>
        <v>Biomass and waste fired power plants/Steam turbine/Electricity only/S</v>
      </c>
      <c r="F349" s="76" t="str">
        <f>A327</f>
        <v>Biomass and waste fired power plants</v>
      </c>
      <c r="G349" s="76" t="str">
        <f>B347</f>
        <v>Steam turbine</v>
      </c>
      <c r="H349" s="76" t="str">
        <f>C347</f>
        <v>Electricity only</v>
      </c>
      <c r="I349" s="161" t="str">
        <f t="shared" si="81"/>
        <v>S</v>
      </c>
      <c r="J349" s="76">
        <v>0.35681726139183711</v>
      </c>
      <c r="K349" s="76">
        <v>0.35684896961994561</v>
      </c>
      <c r="L349" s="76">
        <v>0.35688067097978643</v>
      </c>
      <c r="M349" s="76">
        <v>0.35691234915018166</v>
      </c>
      <c r="N349" s="76">
        <v>0.35694398792754511</v>
      </c>
      <c r="O349" s="76">
        <v>0.35697557125712154</v>
      </c>
      <c r="P349" s="76">
        <v>0.35700708326342478</v>
      </c>
      <c r="Q349" s="76">
        <v>0.35703850827976152</v>
      </c>
      <c r="R349" s="76">
        <v>0.35706983087673244</v>
      </c>
      <c r="S349" s="76">
        <v>0.35710103588961617</v>
      </c>
      <c r="T349" s="76">
        <v>0.35713210844453985</v>
      </c>
      <c r="U349" s="76">
        <v>0.35716303398335936</v>
      </c>
      <c r="V349" s="76">
        <v>0.35719379828717257</v>
      </c>
      <c r="W349" s="76">
        <v>0.35722438749840202</v>
      </c>
      <c r="X349" s="76">
        <v>0.35725478814139389</v>
      </c>
      <c r="Y349" s="76">
        <v>0.35728498714148499</v>
      </c>
      <c r="Z349" s="76">
        <v>0.35731497184250388</v>
      </c>
      <c r="AA349" s="76">
        <v>0.35734473002267758</v>
      </c>
      <c r="AB349" s="76">
        <v>0.35737424990892708</v>
      </c>
      <c r="AC349" s="76">
        <v>0.35740352018954208</v>
      </c>
      <c r="AD349" s="76">
        <v>0.35743253002523601</v>
      </c>
      <c r="AE349" s="76">
        <v>0.35746126905858694</v>
      </c>
      <c r="AF349" s="76">
        <v>0.3574897274218834</v>
      </c>
      <c r="AG349" s="76">
        <v>0.35751789574339632</v>
      </c>
      <c r="AH349" s="76">
        <v>0.35754576515210851</v>
      </c>
      <c r="AI349" s="76">
        <v>0.3575733272809381</v>
      </c>
      <c r="AJ349" s="76">
        <v>0.35760057426849989</v>
      </c>
      <c r="AK349" s="76">
        <v>0.35762749875945149</v>
      </c>
      <c r="AL349" s="76">
        <v>0.35765409390347863</v>
      </c>
      <c r="AM349" s="76">
        <v>0.35768035335297627</v>
      </c>
      <c r="AN349" s="76">
        <v>0.3577062712594869</v>
      </c>
      <c r="AO349" s="76">
        <v>0.35773184226896088</v>
      </c>
      <c r="AP349" s="76">
        <v>0.35775706151590386</v>
      </c>
      <c r="AQ349" s="76">
        <v>0.35778192461648295</v>
      </c>
      <c r="AR349" s="76">
        <v>0.35780642766065868</v>
      </c>
      <c r="AS349" s="76">
        <v>0.35783056720341661</v>
      </c>
      <c r="AT349" s="76">
        <v>0.35785434025516993</v>
      </c>
      <c r="AU349" s="76">
        <v>0.35787774427140356</v>
      </c>
      <c r="AV349" s="76">
        <v>0.35790077714163288</v>
      </c>
      <c r="AW349" s="76">
        <v>0.35792343717774727</v>
      </c>
      <c r="AX349" s="84">
        <v>0.35794572310180822</v>
      </c>
    </row>
    <row r="350" spans="1:50" x14ac:dyDescent="0.25">
      <c r="A350" s="356"/>
      <c r="B350" s="359"/>
      <c r="C350" s="360"/>
      <c r="D350" s="2" t="s">
        <v>20</v>
      </c>
      <c r="E350" s="160" t="str">
        <f>A327&amp;"/"&amp;B347&amp;"/"&amp;C347&amp;"/"&amp;D350</f>
        <v>Biomass and waste fired power plants/Steam turbine/Electricity only/XS</v>
      </c>
      <c r="F350" s="76" t="str">
        <f>A327</f>
        <v>Biomass and waste fired power plants</v>
      </c>
      <c r="G350" s="76" t="str">
        <f>B347</f>
        <v>Steam turbine</v>
      </c>
      <c r="H350" s="76" t="str">
        <f>C347</f>
        <v>Electricity only</v>
      </c>
      <c r="I350" s="161" t="str">
        <f t="shared" si="81"/>
        <v>XS</v>
      </c>
      <c r="J350" s="76">
        <v>0.33982596323032105</v>
      </c>
      <c r="K350" s="76">
        <v>0.33984598163164015</v>
      </c>
      <c r="L350" s="76">
        <v>0.33986591120898313</v>
      </c>
      <c r="M350" s="76">
        <v>0.3398857429160792</v>
      </c>
      <c r="N350" s="76">
        <v>0.33990546791671994</v>
      </c>
      <c r="O350" s="76">
        <v>0.33992507759833385</v>
      </c>
      <c r="P350" s="76">
        <v>0.33994456358467395</v>
      </c>
      <c r="Q350" s="76">
        <v>0.33996391774759055</v>
      </c>
      <c r="R350" s="76">
        <v>0.33998313221786292</v>
      </c>
      <c r="S350" s="76">
        <v>0.34000219939507403</v>
      </c>
      <c r="T350" s="76">
        <v>0.34002111195651319</v>
      </c>
      <c r="U350" s="76">
        <v>0.34003986286510035</v>
      </c>
      <c r="V350" s="76">
        <v>0.34005844537632895</v>
      </c>
      <c r="W350" s="76">
        <v>0.34007685304423085</v>
      </c>
      <c r="X350" s="76">
        <v>0.34009507972636949</v>
      </c>
      <c r="Y350" s="76">
        <v>0.3401131195878746</v>
      </c>
      <c r="Z350" s="76">
        <v>0.34013096710453378</v>
      </c>
      <c r="AA350" s="76">
        <v>0.3401486170649628</v>
      </c>
      <c r="AB350" s="76">
        <v>0.34016606457187692</v>
      </c>
      <c r="AC350" s="76">
        <v>0.34018330504249211</v>
      </c>
      <c r="AD350" s="76">
        <v>0.34020033420808654</v>
      </c>
      <c r="AE350" s="76">
        <v>0.34021714811275483</v>
      </c>
      <c r="AF350" s="76">
        <v>0.34023374311139304</v>
      </c>
      <c r="AG350" s="76">
        <v>0.34025011586694914</v>
      </c>
      <c r="AH350" s="76">
        <v>0.34026626334698162</v>
      </c>
      <c r="AI350" s="76">
        <v>0.3402821828195644</v>
      </c>
      <c r="AJ350" s="76">
        <v>0.34029787184858323</v>
      </c>
      <c r="AK350" s="76">
        <v>0.34031332828846306</v>
      </c>
      <c r="AL350" s="76">
        <v>0.3403285502783725</v>
      </c>
      <c r="AM350" s="76">
        <v>0.34034353623594765</v>
      </c>
      <c r="AN350" s="76">
        <v>0.34035828485057823</v>
      </c>
      <c r="AO350" s="76">
        <v>0.34037279507630075</v>
      </c>
      <c r="AP350" s="76">
        <v>0.34038706612433961</v>
      </c>
      <c r="AQ350" s="76">
        <v>0.34040109745533986</v>
      </c>
      <c r="AR350" s="76">
        <v>0.34041488877133036</v>
      </c>
      <c r="AS350" s="76">
        <v>0.34042844000745881</v>
      </c>
      <c r="AT350" s="76">
        <v>0.34044175132353705</v>
      </c>
      <c r="AU350" s="76">
        <v>0.34045482309543251</v>
      </c>
      <c r="AV350" s="76">
        <v>0.3404676559063437</v>
      </c>
      <c r="AW350" s="76">
        <v>0.34048025053799064</v>
      </c>
      <c r="AX350" s="84">
        <v>0.34049260796175634</v>
      </c>
    </row>
    <row r="351" spans="1:50" x14ac:dyDescent="0.25">
      <c r="A351" s="356"/>
      <c r="B351" s="359"/>
      <c r="C351" s="361" t="s">
        <v>14</v>
      </c>
      <c r="D351" s="58" t="s">
        <v>7</v>
      </c>
      <c r="E351" s="164" t="str">
        <f>A327&amp;"/"&amp;B347&amp;"/"&amp;C351&amp;"/"&amp;D351</f>
        <v>Biomass and waste fired power plants/Steam turbine/CHP/L</v>
      </c>
      <c r="F351" s="78" t="str">
        <f>A327</f>
        <v>Biomass and waste fired power plants</v>
      </c>
      <c r="G351" s="78" t="str">
        <f>B347</f>
        <v>Steam turbine</v>
      </c>
      <c r="H351" s="78" t="str">
        <f>C351</f>
        <v>CHP</v>
      </c>
      <c r="I351" s="165" t="str">
        <f t="shared" si="81"/>
        <v>L</v>
      </c>
      <c r="J351" s="78">
        <v>0.35762820971318215</v>
      </c>
      <c r="K351" s="78">
        <v>0.35765980713032791</v>
      </c>
      <c r="L351" s="78">
        <v>0.35769133417776516</v>
      </c>
      <c r="M351" s="78">
        <v>0.357722783875565</v>
      </c>
      <c r="N351" s="78">
        <v>0.35775414933651062</v>
      </c>
      <c r="O351" s="78">
        <v>0.35778542377128242</v>
      </c>
      <c r="P351" s="78">
        <v>0.35781660049344532</v>
      </c>
      <c r="Q351" s="78">
        <v>0.35784767292423192</v>
      </c>
      <c r="R351" s="78">
        <v>0.35787863459711772</v>
      </c>
      <c r="S351" s="78">
        <v>0.35790947916218124</v>
      </c>
      <c r="T351" s="78">
        <v>0.35794020039024665</v>
      </c>
      <c r="U351" s="78">
        <v>0.35797079217680494</v>
      </c>
      <c r="V351" s="78">
        <v>0.35800124854571025</v>
      </c>
      <c r="W351" s="78">
        <v>0.3580315636526496</v>
      </c>
      <c r="X351" s="78">
        <v>0.35806173178838396</v>
      </c>
      <c r="Y351" s="78">
        <v>0.35809174738175925</v>
      </c>
      <c r="Z351" s="78">
        <v>0.35812160500248763</v>
      </c>
      <c r="AA351" s="78">
        <v>0.35815129936369761</v>
      </c>
      <c r="AB351" s="78">
        <v>0.35818082532425471</v>
      </c>
      <c r="AC351" s="78">
        <v>0.35821017789085313</v>
      </c>
      <c r="AD351" s="78">
        <v>0.3582393522198799</v>
      </c>
      <c r="AE351" s="78">
        <v>0.35826834361905335</v>
      </c>
      <c r="AF351" s="78">
        <v>0.35829714754883979</v>
      </c>
      <c r="AG351" s="78">
        <v>0.35832575962364865</v>
      </c>
      <c r="AH351" s="78">
        <v>0.3583541756128123</v>
      </c>
      <c r="AI351" s="78">
        <v>0.35838239144135164</v>
      </c>
      <c r="AJ351" s="78">
        <v>0.35841040319053447</v>
      </c>
      <c r="AK351" s="78">
        <v>0.35843820709822777</v>
      </c>
      <c r="AL351" s="78">
        <v>0.35846579955905145</v>
      </c>
      <c r="AM351" s="78">
        <v>0.35849317712433748</v>
      </c>
      <c r="AN351" s="78">
        <v>0.35852033650189957</v>
      </c>
      <c r="AO351" s="78">
        <v>0.3585472745556193</v>
      </c>
      <c r="AP351" s="78">
        <v>0.35857398830485487</v>
      </c>
      <c r="AQ351" s="78">
        <v>0.35860047492367753</v>
      </c>
      <c r="AR351" s="78">
        <v>0.35862673173994353</v>
      </c>
      <c r="AS351" s="78">
        <v>0.35865275623420589</v>
      </c>
      <c r="AT351" s="78">
        <v>0.35867854603847393</v>
      </c>
      <c r="AU351" s="78">
        <v>0.35870409893482752</v>
      </c>
      <c r="AV351" s="78">
        <v>0.35872941285389048</v>
      </c>
      <c r="AW351" s="78">
        <v>0.35875448587317277</v>
      </c>
      <c r="AX351" s="86">
        <v>0.35877931621528641</v>
      </c>
    </row>
    <row r="352" spans="1:50" x14ac:dyDescent="0.25">
      <c r="A352" s="356"/>
      <c r="B352" s="359"/>
      <c r="C352" s="350"/>
      <c r="D352" s="2" t="s">
        <v>8</v>
      </c>
      <c r="E352" s="160" t="str">
        <f>A327&amp;"/"&amp;B347&amp;"/"&amp;C351&amp;"/"&amp;D352</f>
        <v>Biomass and waste fired power plants/Steam turbine/CHP/M</v>
      </c>
      <c r="F352" s="76" t="str">
        <f>A327</f>
        <v>Biomass and waste fired power plants</v>
      </c>
      <c r="G352" s="76" t="str">
        <f>B347</f>
        <v>Steam turbine</v>
      </c>
      <c r="H352" s="76" t="str">
        <f>C351</f>
        <v>CHP</v>
      </c>
      <c r="I352" s="161" t="str">
        <f t="shared" si="81"/>
        <v>M</v>
      </c>
      <c r="J352" s="76">
        <v>0.34059829496493538</v>
      </c>
      <c r="K352" s="76">
        <v>0.34061726924326102</v>
      </c>
      <c r="L352" s="76">
        <v>0.34063615968510808</v>
      </c>
      <c r="M352" s="76">
        <v>0.34065496275361112</v>
      </c>
      <c r="N352" s="76">
        <v>0.34067367499129647</v>
      </c>
      <c r="O352" s="76">
        <v>0.34069229302195214</v>
      </c>
      <c r="P352" s="76">
        <v>0.34071081355236377</v>
      </c>
      <c r="Q352" s="76">
        <v>0.34072923337391742</v>
      </c>
      <c r="R352" s="76">
        <v>0.34074754936406954</v>
      </c>
      <c r="S352" s="76">
        <v>0.34076575848768226</v>
      </c>
      <c r="T352" s="76">
        <v>0.34078385779822767</v>
      </c>
      <c r="U352" s="76">
        <v>0.34080184443885908</v>
      </c>
      <c r="V352" s="76">
        <v>0.34081971564335117</v>
      </c>
      <c r="W352" s="76">
        <v>0.34083746873691195</v>
      </c>
      <c r="X352" s="76">
        <v>0.34085510113686507</v>
      </c>
      <c r="Y352" s="76">
        <v>0.34087261035320737</v>
      </c>
      <c r="Z352" s="76">
        <v>0.34088999398904202</v>
      </c>
      <c r="AA352" s="76">
        <v>0.34090724974088943</v>
      </c>
      <c r="AB352" s="76">
        <v>0.34092437539888026</v>
      </c>
      <c r="AC352" s="76">
        <v>0.34094136884683007</v>
      </c>
      <c r="AD352" s="76">
        <v>0.34095822806220205</v>
      </c>
      <c r="AE352" s="76">
        <v>0.34097495111595805</v>
      </c>
      <c r="AF352" s="76">
        <v>0.34099153617230288</v>
      </c>
      <c r="AG352" s="76">
        <v>0.34100798148832379</v>
      </c>
      <c r="AH352" s="76">
        <v>0.34102428541352986</v>
      </c>
      <c r="AI352" s="76">
        <v>0.34104044638929409</v>
      </c>
      <c r="AJ352" s="76">
        <v>0.34105646294820191</v>
      </c>
      <c r="AK352" s="76">
        <v>0.34107233371331003</v>
      </c>
      <c r="AL352" s="76">
        <v>0.34108805739731946</v>
      </c>
      <c r="AM352" s="76">
        <v>0.34110363280166583</v>
      </c>
      <c r="AN352" s="76">
        <v>0.34111905881553251</v>
      </c>
      <c r="AO352" s="76">
        <v>0.34113433441478841</v>
      </c>
      <c r="AP352" s="76">
        <v>0.34114945866085605</v>
      </c>
      <c r="AQ352" s="76">
        <v>0.34116443069951286</v>
      </c>
      <c r="AR352" s="76">
        <v>0.34117924975963004</v>
      </c>
      <c r="AS352" s="76">
        <v>0.34119391515185354</v>
      </c>
      <c r="AT352" s="76">
        <v>0.34120842626722903</v>
      </c>
      <c r="AU352" s="76">
        <v>0.34122278257577771</v>
      </c>
      <c r="AV352" s="76">
        <v>0.34123698362502375</v>
      </c>
      <c r="AW352" s="76">
        <v>0.34125102903847981</v>
      </c>
      <c r="AX352" s="84">
        <v>0.34126491851409207</v>
      </c>
    </row>
    <row r="353" spans="1:50" x14ac:dyDescent="0.25">
      <c r="A353" s="356"/>
      <c r="B353" s="359"/>
      <c r="C353" s="350"/>
      <c r="D353" s="2" t="s">
        <v>10</v>
      </c>
      <c r="E353" s="160" t="str">
        <f>A327&amp;"/"&amp;B347&amp;"/"&amp;C351&amp;"/"&amp;D353</f>
        <v>Biomass and waste fired power plants/Steam turbine/CHP/S</v>
      </c>
      <c r="F353" s="76" t="str">
        <f>A327</f>
        <v>Biomass and waste fired power plants</v>
      </c>
      <c r="G353" s="76" t="str">
        <f>B347</f>
        <v>Steam turbine</v>
      </c>
      <c r="H353" s="76" t="str">
        <f>C351</f>
        <v>CHP</v>
      </c>
      <c r="I353" s="161" t="str">
        <f t="shared" si="81"/>
        <v>S</v>
      </c>
      <c r="J353" s="76">
        <v>0.3243793285380337</v>
      </c>
      <c r="K353" s="76">
        <v>0.32439157768094651</v>
      </c>
      <c r="L353" s="76">
        <v>0.32440374274722317</v>
      </c>
      <c r="M353" s="76">
        <v>0.32441582207336617</v>
      </c>
      <c r="N353" s="76">
        <v>0.32442781405824905</v>
      </c>
      <c r="O353" s="76">
        <v>0.32443971716333719</v>
      </c>
      <c r="P353" s="76">
        <v>0.32445152991282827</v>
      </c>
      <c r="Q353" s="76">
        <v>0.32446325089371703</v>
      </c>
      <c r="R353" s="76">
        <v>0.32447487875578357</v>
      </c>
      <c r="S353" s="76">
        <v>0.32448641221150881</v>
      </c>
      <c r="T353" s="76">
        <v>0.32449785003591913</v>
      </c>
      <c r="U353" s="76">
        <v>0.32450919106636006</v>
      </c>
      <c r="V353" s="76">
        <v>0.32452043420220478</v>
      </c>
      <c r="W353" s="76">
        <v>0.32453157840449648</v>
      </c>
      <c r="X353" s="76">
        <v>0.32454262269552903</v>
      </c>
      <c r="Y353" s="76">
        <v>0.324553566158367</v>
      </c>
      <c r="Z353" s="76">
        <v>0.32456440793630825</v>
      </c>
      <c r="AA353" s="76">
        <v>0.32457514723229181</v>
      </c>
      <c r="AB353" s="76">
        <v>0.32458578330825233</v>
      </c>
      <c r="AC353" s="76">
        <v>0.3245963154844248</v>
      </c>
      <c r="AD353" s="76">
        <v>0.32460674313860211</v>
      </c>
      <c r="AE353" s="76">
        <v>0.32461706570534715</v>
      </c>
      <c r="AF353" s="76">
        <v>0.32462728267516261</v>
      </c>
      <c r="AG353" s="76">
        <v>0.32463739359362148</v>
      </c>
      <c r="AH353" s="76">
        <v>0.32464739806045972</v>
      </c>
      <c r="AI353" s="76">
        <v>0.32465729572863444</v>
      </c>
      <c r="AJ353" s="76">
        <v>0.32466708630335001</v>
      </c>
      <c r="AK353" s="76">
        <v>0.32467676954105468</v>
      </c>
      <c r="AL353" s="76">
        <v>0.32468634524840961</v>
      </c>
      <c r="AM353" s="76">
        <v>0.32469581328123354</v>
      </c>
      <c r="AN353" s="76">
        <v>0.32470517354342482</v>
      </c>
      <c r="AO353" s="76">
        <v>0.32471442598586331</v>
      </c>
      <c r="AP353" s="76">
        <v>0.32472357060529522</v>
      </c>
      <c r="AQ353" s="76">
        <v>0.32473260744320159</v>
      </c>
      <c r="AR353" s="76">
        <v>0.32474153658465393</v>
      </c>
      <c r="AS353" s="76">
        <v>0.32475035815715841</v>
      </c>
      <c r="AT353" s="76">
        <v>0.32475907232949136</v>
      </c>
      <c r="AU353" s="76">
        <v>0.32476767931052675</v>
      </c>
      <c r="AV353" s="76">
        <v>0.32477617934805936</v>
      </c>
      <c r="AW353" s="76">
        <v>0.32478457272762445</v>
      </c>
      <c r="AX353" s="84">
        <v>0.32479285977131467</v>
      </c>
    </row>
    <row r="354" spans="1:50" x14ac:dyDescent="0.25">
      <c r="A354" s="356"/>
      <c r="B354" s="359"/>
      <c r="C354" s="360"/>
      <c r="D354" s="59" t="s">
        <v>20</v>
      </c>
      <c r="E354" s="166" t="str">
        <f>A327&amp;"/"&amp;B347&amp;"/"&amp;C351&amp;"/"&amp;D354</f>
        <v>Biomass and waste fired power plants/Steam turbine/CHP/XS</v>
      </c>
      <c r="F354" s="79" t="str">
        <f>A327</f>
        <v>Biomass and waste fired power plants</v>
      </c>
      <c r="G354" s="79" t="str">
        <f>B347</f>
        <v>Steam turbine</v>
      </c>
      <c r="H354" s="79" t="str">
        <f>C351</f>
        <v>CHP</v>
      </c>
      <c r="I354" s="167" t="str">
        <f t="shared" si="81"/>
        <v>XS</v>
      </c>
      <c r="J354" s="79">
        <v>0.3089326938457464</v>
      </c>
      <c r="K354" s="79">
        <v>0.30893986900605419</v>
      </c>
      <c r="L354" s="79">
        <v>0.30894697578155811</v>
      </c>
      <c r="M354" s="79">
        <v>0.3089540137128694</v>
      </c>
      <c r="N354" s="79">
        <v>0.30896098237826769</v>
      </c>
      <c r="O354" s="79">
        <v>0.30896788139321985</v>
      </c>
      <c r="P354" s="79">
        <v>0.30897471040986885</v>
      </c>
      <c r="Q354" s="79">
        <v>0.30898146911649632</v>
      </c>
      <c r="R354" s="79">
        <v>0.30898815723695922</v>
      </c>
      <c r="S354" s="79">
        <v>0.30899477453010249</v>
      </c>
      <c r="T354" s="79">
        <v>0.30900132078915027</v>
      </c>
      <c r="U354" s="79">
        <v>0.30900779584107557</v>
      </c>
      <c r="V354" s="79">
        <v>0.3090141995459515</v>
      </c>
      <c r="W354" s="79">
        <v>0.30902053179628464</v>
      </c>
      <c r="X354" s="79">
        <v>0.3090267925163328</v>
      </c>
      <c r="Y354" s="79">
        <v>0.30903298166140841</v>
      </c>
      <c r="Z354" s="79">
        <v>0.30903909921716843</v>
      </c>
      <c r="AA354" s="79">
        <v>0.30904514519889359</v>
      </c>
      <c r="AB354" s="79">
        <v>0.30905111965075677</v>
      </c>
      <c r="AC354" s="79">
        <v>0.309057022645084</v>
      </c>
      <c r="AD354" s="79">
        <v>0.3090628542816064</v>
      </c>
      <c r="AE354" s="79">
        <v>0.30906861468670771</v>
      </c>
      <c r="AF354" s="79">
        <v>0.3090743040126665</v>
      </c>
      <c r="AG354" s="79">
        <v>0.30907992243689503</v>
      </c>
      <c r="AH354" s="79">
        <v>0.30908547016117532</v>
      </c>
      <c r="AI354" s="79">
        <v>0.30909094741089538</v>
      </c>
      <c r="AJ354" s="79">
        <v>0.3090963544342839</v>
      </c>
      <c r="AK354" s="79">
        <v>0.30910169150164718</v>
      </c>
      <c r="AL354" s="79">
        <v>0.3091069589046076</v>
      </c>
      <c r="AM354" s="79">
        <v>0.30911215695534489</v>
      </c>
      <c r="AN354" s="79">
        <v>0.30911728598584209</v>
      </c>
      <c r="AO354" s="79">
        <v>0.30912234634713559</v>
      </c>
      <c r="AP354" s="79">
        <v>0.30912733840857126</v>
      </c>
      <c r="AQ354" s="79">
        <v>0.30913226255706683</v>
      </c>
      <c r="AR354" s="79">
        <v>0.30913711919638182</v>
      </c>
      <c r="AS354" s="79">
        <v>0.30914190874639425</v>
      </c>
      <c r="AT354" s="79">
        <v>0.30914663164238781</v>
      </c>
      <c r="AU354" s="79">
        <v>0.3091512883343463</v>
      </c>
      <c r="AV354" s="79">
        <v>0.30915587928625871</v>
      </c>
      <c r="AW354" s="79">
        <v>0.30916040497543434</v>
      </c>
      <c r="AX354" s="87">
        <v>0.30916486589182879</v>
      </c>
    </row>
    <row r="355" spans="1:50" x14ac:dyDescent="0.25">
      <c r="A355" s="356"/>
      <c r="B355" s="359"/>
      <c r="C355" s="361" t="s">
        <v>15</v>
      </c>
      <c r="D355" s="58" t="s">
        <v>7</v>
      </c>
      <c r="E355" s="164" t="str">
        <f>A327&amp;"/"&amp;B347&amp;"/"&amp;C355&amp;"/"&amp;D355</f>
        <v>Biomass and waste fired power plants/Steam turbine/Electricity only with CCS/L</v>
      </c>
      <c r="F355" s="78" t="str">
        <f>A327</f>
        <v>Biomass and waste fired power plants</v>
      </c>
      <c r="G355" s="78" t="str">
        <f>B347</f>
        <v>Steam turbine</v>
      </c>
      <c r="H355" s="78" t="str">
        <f>C355</f>
        <v>Electricity only with CCS</v>
      </c>
      <c r="I355" s="165" t="str">
        <f t="shared" si="81"/>
        <v>L</v>
      </c>
      <c r="J355" s="78" t="s">
        <v>112</v>
      </c>
      <c r="K355" s="78" t="s">
        <v>112</v>
      </c>
      <c r="L355" s="78" t="s">
        <v>112</v>
      </c>
      <c r="M355" s="78" t="s">
        <v>112</v>
      </c>
      <c r="N355" s="78" t="s">
        <v>112</v>
      </c>
      <c r="O355" s="78" t="s">
        <v>112</v>
      </c>
      <c r="P355" s="78" t="s">
        <v>112</v>
      </c>
      <c r="Q355" s="78" t="s">
        <v>112</v>
      </c>
      <c r="R355" s="78" t="s">
        <v>112</v>
      </c>
      <c r="S355" s="78" t="s">
        <v>112</v>
      </c>
      <c r="T355" s="78" t="s">
        <v>112</v>
      </c>
      <c r="U355" s="78" t="s">
        <v>112</v>
      </c>
      <c r="V355" s="78" t="s">
        <v>112</v>
      </c>
      <c r="W355" s="78" t="s">
        <v>112</v>
      </c>
      <c r="X355" s="78" t="s">
        <v>112</v>
      </c>
      <c r="Y355" s="78" t="s">
        <v>112</v>
      </c>
      <c r="Z355" s="78" t="s">
        <v>112</v>
      </c>
      <c r="AA355" s="78" t="s">
        <v>112</v>
      </c>
      <c r="AB355" s="78" t="s">
        <v>112</v>
      </c>
      <c r="AC355" s="78" t="s">
        <v>112</v>
      </c>
      <c r="AD355" s="78" t="s">
        <v>112</v>
      </c>
      <c r="AE355" s="78">
        <v>0.37465812446142899</v>
      </c>
      <c r="AF355" s="78">
        <v>0.37465812446142899</v>
      </c>
      <c r="AG355" s="78">
        <v>0.37465812446142899</v>
      </c>
      <c r="AH355" s="78">
        <v>0.37465812446142899</v>
      </c>
      <c r="AI355" s="78">
        <v>0.37465812446142899</v>
      </c>
      <c r="AJ355" s="78">
        <v>0.37465812446142899</v>
      </c>
      <c r="AK355" s="78">
        <v>0.37465812446142899</v>
      </c>
      <c r="AL355" s="78">
        <v>0.37465812446142899</v>
      </c>
      <c r="AM355" s="78">
        <v>0.37465812446142899</v>
      </c>
      <c r="AN355" s="78">
        <v>0.37465812446142899</v>
      </c>
      <c r="AO355" s="78">
        <v>0.37465812446142899</v>
      </c>
      <c r="AP355" s="78">
        <v>0.37465812446142899</v>
      </c>
      <c r="AQ355" s="78">
        <v>0.37465812446142899</v>
      </c>
      <c r="AR355" s="78">
        <v>0.37465812446142899</v>
      </c>
      <c r="AS355" s="78">
        <v>0.37465812446142899</v>
      </c>
      <c r="AT355" s="78">
        <v>0.37465812446142899</v>
      </c>
      <c r="AU355" s="78">
        <v>0.37465812446142899</v>
      </c>
      <c r="AV355" s="78">
        <v>0.37465812446142899</v>
      </c>
      <c r="AW355" s="78">
        <v>0.37465812446142899</v>
      </c>
      <c r="AX355" s="86">
        <v>0.37465812446142899</v>
      </c>
    </row>
    <row r="356" spans="1:50" x14ac:dyDescent="0.25">
      <c r="A356" s="356"/>
      <c r="B356" s="359"/>
      <c r="C356" s="360"/>
      <c r="D356" s="59" t="s">
        <v>8</v>
      </c>
      <c r="E356" s="166" t="str">
        <f>A327&amp;"/"&amp;B347&amp;"/"&amp;C355&amp;"/"&amp;D356</f>
        <v>Biomass and waste fired power plants/Steam turbine/Electricity only with CCS/M</v>
      </c>
      <c r="F356" s="79" t="str">
        <f>A327</f>
        <v>Biomass and waste fired power plants</v>
      </c>
      <c r="G356" s="79" t="str">
        <f>B347</f>
        <v>Steam turbine</v>
      </c>
      <c r="H356" s="79" t="str">
        <f>C355</f>
        <v>Electricity only with CCS</v>
      </c>
      <c r="I356" s="167" t="str">
        <f t="shared" si="81"/>
        <v>M</v>
      </c>
      <c r="J356" s="79" t="s">
        <v>112</v>
      </c>
      <c r="K356" s="79" t="s">
        <v>112</v>
      </c>
      <c r="L356" s="79" t="s">
        <v>112</v>
      </c>
      <c r="M356" s="79" t="s">
        <v>112</v>
      </c>
      <c r="N356" s="79" t="s">
        <v>112</v>
      </c>
      <c r="O356" s="79" t="s">
        <v>112</v>
      </c>
      <c r="P356" s="79" t="s">
        <v>112</v>
      </c>
      <c r="Q356" s="79" t="s">
        <v>112</v>
      </c>
      <c r="R356" s="79" t="s">
        <v>112</v>
      </c>
      <c r="S356" s="79" t="s">
        <v>112</v>
      </c>
      <c r="T356" s="79" t="s">
        <v>112</v>
      </c>
      <c r="U356" s="79" t="s">
        <v>112</v>
      </c>
      <c r="V356" s="79" t="s">
        <v>112</v>
      </c>
      <c r="W356" s="79" t="s">
        <v>112</v>
      </c>
      <c r="X356" s="79" t="s">
        <v>112</v>
      </c>
      <c r="Y356" s="79" t="s">
        <v>112</v>
      </c>
      <c r="Z356" s="79" t="s">
        <v>112</v>
      </c>
      <c r="AA356" s="79" t="s">
        <v>112</v>
      </c>
      <c r="AB356" s="79" t="s">
        <v>112</v>
      </c>
      <c r="AC356" s="79" t="s">
        <v>112</v>
      </c>
      <c r="AD356" s="79" t="s">
        <v>112</v>
      </c>
      <c r="AE356" s="79">
        <v>0.35681726139183711</v>
      </c>
      <c r="AF356" s="79">
        <v>0.35681726139183711</v>
      </c>
      <c r="AG356" s="79">
        <v>0.35681726139183711</v>
      </c>
      <c r="AH356" s="79">
        <v>0.35681726139183711</v>
      </c>
      <c r="AI356" s="79">
        <v>0.35681726139183711</v>
      </c>
      <c r="AJ356" s="79">
        <v>0.35681726139183711</v>
      </c>
      <c r="AK356" s="79">
        <v>0.35681726139183711</v>
      </c>
      <c r="AL356" s="79">
        <v>0.35681726139183711</v>
      </c>
      <c r="AM356" s="79">
        <v>0.35681726139183711</v>
      </c>
      <c r="AN356" s="79">
        <v>0.35681726139183711</v>
      </c>
      <c r="AO356" s="79">
        <v>0.35681726139183711</v>
      </c>
      <c r="AP356" s="79">
        <v>0.35681726139183711</v>
      </c>
      <c r="AQ356" s="79">
        <v>0.35681726139183711</v>
      </c>
      <c r="AR356" s="79">
        <v>0.35681726139183711</v>
      </c>
      <c r="AS356" s="79">
        <v>0.35681726139183711</v>
      </c>
      <c r="AT356" s="79">
        <v>0.35681726139183711</v>
      </c>
      <c r="AU356" s="79">
        <v>0.35681726139183711</v>
      </c>
      <c r="AV356" s="79">
        <v>0.35681726139183711</v>
      </c>
      <c r="AW356" s="79">
        <v>0.35681726139183711</v>
      </c>
      <c r="AX356" s="87">
        <v>0.35681726139183711</v>
      </c>
    </row>
    <row r="357" spans="1:50" x14ac:dyDescent="0.25">
      <c r="A357" s="356"/>
      <c r="B357" s="359"/>
      <c r="C357" s="361" t="s">
        <v>16</v>
      </c>
      <c r="D357" s="2" t="s">
        <v>7</v>
      </c>
      <c r="E357" s="160" t="str">
        <f>A327&amp;"/"&amp;B347&amp;"/"&amp;C357&amp;"/"&amp;D357</f>
        <v>Biomass and waste fired power plants/Steam turbine/CHP with CCS/L</v>
      </c>
      <c r="F357" s="76" t="str">
        <f>A327</f>
        <v>Biomass and waste fired power plants</v>
      </c>
      <c r="G357" s="76" t="str">
        <f>B347</f>
        <v>Steam turbine</v>
      </c>
      <c r="H357" s="76" t="str">
        <f>C357</f>
        <v>CHP with CCS</v>
      </c>
      <c r="I357" s="161" t="str">
        <f t="shared" si="81"/>
        <v>L</v>
      </c>
      <c r="J357" s="76" t="s">
        <v>112</v>
      </c>
      <c r="K357" s="76" t="s">
        <v>112</v>
      </c>
      <c r="L357" s="76" t="s">
        <v>112</v>
      </c>
      <c r="M357" s="76" t="s">
        <v>112</v>
      </c>
      <c r="N357" s="76" t="s">
        <v>112</v>
      </c>
      <c r="O357" s="76" t="s">
        <v>112</v>
      </c>
      <c r="P357" s="76" t="s">
        <v>112</v>
      </c>
      <c r="Q357" s="76" t="s">
        <v>112</v>
      </c>
      <c r="R357" s="76" t="s">
        <v>112</v>
      </c>
      <c r="S357" s="76" t="s">
        <v>112</v>
      </c>
      <c r="T357" s="76" t="s">
        <v>112</v>
      </c>
      <c r="U357" s="76" t="s">
        <v>112</v>
      </c>
      <c r="V357" s="76" t="s">
        <v>112</v>
      </c>
      <c r="W357" s="76" t="s">
        <v>112</v>
      </c>
      <c r="X357" s="76" t="s">
        <v>112</v>
      </c>
      <c r="Y357" s="76" t="s">
        <v>112</v>
      </c>
      <c r="Z357" s="76" t="s">
        <v>112</v>
      </c>
      <c r="AA357" s="76" t="s">
        <v>112</v>
      </c>
      <c r="AB357" s="76" t="s">
        <v>112</v>
      </c>
      <c r="AC357" s="76" t="s">
        <v>112</v>
      </c>
      <c r="AD357" s="76" t="s">
        <v>112</v>
      </c>
      <c r="AE357" s="76">
        <v>0.34059829496493538</v>
      </c>
      <c r="AF357" s="76">
        <v>0.34059829496493538</v>
      </c>
      <c r="AG357" s="76">
        <v>0.34059829496493538</v>
      </c>
      <c r="AH357" s="76">
        <v>0.34059829496493538</v>
      </c>
      <c r="AI357" s="76">
        <v>0.34059829496493538</v>
      </c>
      <c r="AJ357" s="76">
        <v>0.34059829496493538</v>
      </c>
      <c r="AK357" s="76">
        <v>0.34059829496493538</v>
      </c>
      <c r="AL357" s="76">
        <v>0.34059829496493538</v>
      </c>
      <c r="AM357" s="76">
        <v>0.34059829496493538</v>
      </c>
      <c r="AN357" s="76">
        <v>0.34059829496493538</v>
      </c>
      <c r="AO357" s="76">
        <v>0.34059829496493538</v>
      </c>
      <c r="AP357" s="76">
        <v>0.34059829496493538</v>
      </c>
      <c r="AQ357" s="76">
        <v>0.34059829496493538</v>
      </c>
      <c r="AR357" s="76">
        <v>0.34059829496493538</v>
      </c>
      <c r="AS357" s="76">
        <v>0.34059829496493538</v>
      </c>
      <c r="AT357" s="76">
        <v>0.34059829496493538</v>
      </c>
      <c r="AU357" s="76">
        <v>0.34059829496493538</v>
      </c>
      <c r="AV357" s="76">
        <v>0.34059829496493538</v>
      </c>
      <c r="AW357" s="76">
        <v>0.34059829496493538</v>
      </c>
      <c r="AX357" s="84">
        <v>0.34059829496493538</v>
      </c>
    </row>
    <row r="358" spans="1:50" x14ac:dyDescent="0.25">
      <c r="A358" s="357"/>
      <c r="B358" s="362"/>
      <c r="C358" s="354"/>
      <c r="D358" s="4" t="s">
        <v>8</v>
      </c>
      <c r="E358" s="168" t="str">
        <f>A327&amp;"/"&amp;B347&amp;"/"&amp;C357&amp;"/"&amp;D358</f>
        <v>Biomass and waste fired power plants/Steam turbine/CHP with CCS/M</v>
      </c>
      <c r="F358" s="80" t="str">
        <f>A327</f>
        <v>Biomass and waste fired power plants</v>
      </c>
      <c r="G358" s="80" t="str">
        <f>B347</f>
        <v>Steam turbine</v>
      </c>
      <c r="H358" s="80" t="str">
        <f>C357</f>
        <v>CHP with CCS</v>
      </c>
      <c r="I358" s="169" t="str">
        <f t="shared" si="81"/>
        <v>M</v>
      </c>
      <c r="J358" s="80" t="s">
        <v>112</v>
      </c>
      <c r="K358" s="80" t="s">
        <v>112</v>
      </c>
      <c r="L358" s="80" t="s">
        <v>112</v>
      </c>
      <c r="M358" s="80" t="s">
        <v>112</v>
      </c>
      <c r="N358" s="80" t="s">
        <v>112</v>
      </c>
      <c r="O358" s="80" t="s">
        <v>112</v>
      </c>
      <c r="P358" s="80" t="s">
        <v>112</v>
      </c>
      <c r="Q358" s="80" t="s">
        <v>112</v>
      </c>
      <c r="R358" s="80" t="s">
        <v>112</v>
      </c>
      <c r="S358" s="80" t="s">
        <v>112</v>
      </c>
      <c r="T358" s="80" t="s">
        <v>112</v>
      </c>
      <c r="U358" s="80" t="s">
        <v>112</v>
      </c>
      <c r="V358" s="80" t="s">
        <v>112</v>
      </c>
      <c r="W358" s="80" t="s">
        <v>112</v>
      </c>
      <c r="X358" s="80" t="s">
        <v>112</v>
      </c>
      <c r="Y358" s="80" t="s">
        <v>112</v>
      </c>
      <c r="Z358" s="80" t="s">
        <v>112</v>
      </c>
      <c r="AA358" s="80" t="s">
        <v>112</v>
      </c>
      <c r="AB358" s="80" t="s">
        <v>112</v>
      </c>
      <c r="AC358" s="80" t="s">
        <v>112</v>
      </c>
      <c r="AD358" s="80" t="s">
        <v>112</v>
      </c>
      <c r="AE358" s="80">
        <v>0.3243793285380337</v>
      </c>
      <c r="AF358" s="80">
        <v>0.3243793285380337</v>
      </c>
      <c r="AG358" s="80">
        <v>0.3243793285380337</v>
      </c>
      <c r="AH358" s="80">
        <v>0.3243793285380337</v>
      </c>
      <c r="AI358" s="80">
        <v>0.3243793285380337</v>
      </c>
      <c r="AJ358" s="80">
        <v>0.3243793285380337</v>
      </c>
      <c r="AK358" s="80">
        <v>0.3243793285380337</v>
      </c>
      <c r="AL358" s="80">
        <v>0.3243793285380337</v>
      </c>
      <c r="AM358" s="80">
        <v>0.3243793285380337</v>
      </c>
      <c r="AN358" s="80">
        <v>0.3243793285380337</v>
      </c>
      <c r="AO358" s="80">
        <v>0.3243793285380337</v>
      </c>
      <c r="AP358" s="80">
        <v>0.3243793285380337</v>
      </c>
      <c r="AQ358" s="80">
        <v>0.3243793285380337</v>
      </c>
      <c r="AR358" s="80">
        <v>0.3243793285380337</v>
      </c>
      <c r="AS358" s="80">
        <v>0.3243793285380337</v>
      </c>
      <c r="AT358" s="80">
        <v>0.3243793285380337</v>
      </c>
      <c r="AU358" s="80">
        <v>0.3243793285380337</v>
      </c>
      <c r="AV358" s="80">
        <v>0.3243793285380337</v>
      </c>
      <c r="AW358" s="80">
        <v>0.3243793285380337</v>
      </c>
      <c r="AX358" s="88">
        <v>0.3243793285380337</v>
      </c>
    </row>
    <row r="359" spans="1:50" x14ac:dyDescent="0.25">
      <c r="A359" s="355" t="s">
        <v>31</v>
      </c>
      <c r="B359" s="358" t="s">
        <v>32</v>
      </c>
      <c r="C359" s="369" t="s">
        <v>6</v>
      </c>
      <c r="D359" s="3" t="s">
        <v>8</v>
      </c>
      <c r="E359" s="162" t="str">
        <f>A359&amp;"/"&amp;B359&amp;"/"&amp;C359&amp;"/"&amp;D359</f>
        <v>Fuel cells/Natural gas fuel cell power plant/Electricity only/M</v>
      </c>
      <c r="F359" s="77" t="str">
        <f>A359</f>
        <v>Fuel cells</v>
      </c>
      <c r="G359" s="77" t="str">
        <f>B359</f>
        <v>Natural gas fuel cell power plant</v>
      </c>
      <c r="H359" s="77" t="str">
        <f>C359</f>
        <v>Electricity only</v>
      </c>
      <c r="I359" s="163" t="str">
        <f t="shared" si="81"/>
        <v>M</v>
      </c>
      <c r="J359" s="77" t="s">
        <v>112</v>
      </c>
      <c r="K359" s="77" t="s">
        <v>112</v>
      </c>
      <c r="L359" s="77" t="s">
        <v>112</v>
      </c>
      <c r="M359" s="77" t="s">
        <v>112</v>
      </c>
      <c r="N359" s="77" t="s">
        <v>112</v>
      </c>
      <c r="O359" s="77" t="s">
        <v>112</v>
      </c>
      <c r="P359" s="77" t="s">
        <v>112</v>
      </c>
      <c r="Q359" s="77" t="s">
        <v>112</v>
      </c>
      <c r="R359" s="77" t="s">
        <v>112</v>
      </c>
      <c r="S359" s="77" t="s">
        <v>112</v>
      </c>
      <c r="T359" s="77" t="s">
        <v>112</v>
      </c>
      <c r="U359" s="77" t="s">
        <v>112</v>
      </c>
      <c r="V359" s="77" t="s">
        <v>112</v>
      </c>
      <c r="W359" s="77" t="s">
        <v>112</v>
      </c>
      <c r="X359" s="77" t="s">
        <v>112</v>
      </c>
      <c r="Y359" s="77" t="s">
        <v>112</v>
      </c>
      <c r="Z359" s="77" t="s">
        <v>112</v>
      </c>
      <c r="AA359" s="77" t="s">
        <v>112</v>
      </c>
      <c r="AB359" s="77" t="s">
        <v>112</v>
      </c>
      <c r="AC359" s="77" t="s">
        <v>112</v>
      </c>
      <c r="AD359" s="77" t="s">
        <v>112</v>
      </c>
      <c r="AE359" s="77">
        <v>0.6839945280437757</v>
      </c>
      <c r="AF359" s="77">
        <v>0.6839945280437757</v>
      </c>
      <c r="AG359" s="77">
        <v>0.6839945280437757</v>
      </c>
      <c r="AH359" s="77">
        <v>0.6839945280437757</v>
      </c>
      <c r="AI359" s="77">
        <v>0.68509021392759284</v>
      </c>
      <c r="AJ359" s="77">
        <v>0.68547063640360661</v>
      </c>
      <c r="AK359" s="77">
        <v>0.68598177177797715</v>
      </c>
      <c r="AL359" s="77">
        <v>0.68666741309857193</v>
      </c>
      <c r="AM359" s="77">
        <v>0.68758511019641411</v>
      </c>
      <c r="AN359" s="77">
        <v>0.6888097381042787</v>
      </c>
      <c r="AO359" s="77">
        <v>0.69043735150994034</v>
      </c>
      <c r="AP359" s="77">
        <v>0.69258872197831756</v>
      </c>
      <c r="AQ359" s="77">
        <v>0.69541129123011669</v>
      </c>
      <c r="AR359" s="77">
        <v>0.69907718226901827</v>
      </c>
      <c r="AS359" s="77">
        <v>0.70377331263158249</v>
      </c>
      <c r="AT359" s="77">
        <v>0.70967777221213901</v>
      </c>
      <c r="AU359" s="77">
        <v>0.71691554896978327</v>
      </c>
      <c r="AV359" s="77">
        <v>0.72548931335835176</v>
      </c>
      <c r="AW359" s="77">
        <v>0.73519261708373496</v>
      </c>
      <c r="AX359" s="85">
        <v>0.74553829483470957</v>
      </c>
    </row>
    <row r="360" spans="1:50" x14ac:dyDescent="0.25">
      <c r="A360" s="356"/>
      <c r="B360" s="359"/>
      <c r="C360" s="370"/>
      <c r="D360" s="2" t="s">
        <v>10</v>
      </c>
      <c r="E360" s="160" t="str">
        <f>A359&amp;"/"&amp;B359&amp;"/"&amp;C359&amp;"/"&amp;D360</f>
        <v>Fuel cells/Natural gas fuel cell power plant/Electricity only/S</v>
      </c>
      <c r="F360" s="76" t="str">
        <f>A359</f>
        <v>Fuel cells</v>
      </c>
      <c r="G360" s="76" t="str">
        <f>B359</f>
        <v>Natural gas fuel cell power plant</v>
      </c>
      <c r="H360" s="76" t="str">
        <f>C359</f>
        <v>Electricity only</v>
      </c>
      <c r="I360" s="161" t="str">
        <f t="shared" si="81"/>
        <v>S</v>
      </c>
      <c r="J360" s="76" t="s">
        <v>112</v>
      </c>
      <c r="K360" s="76" t="s">
        <v>112</v>
      </c>
      <c r="L360" s="76" t="s">
        <v>112</v>
      </c>
      <c r="M360" s="76" t="s">
        <v>112</v>
      </c>
      <c r="N360" s="76" t="s">
        <v>112</v>
      </c>
      <c r="O360" s="76" t="s">
        <v>112</v>
      </c>
      <c r="P360" s="76" t="s">
        <v>112</v>
      </c>
      <c r="Q360" s="76" t="s">
        <v>112</v>
      </c>
      <c r="R360" s="76" t="s">
        <v>112</v>
      </c>
      <c r="S360" s="76" t="s">
        <v>112</v>
      </c>
      <c r="T360" s="76" t="s">
        <v>112</v>
      </c>
      <c r="U360" s="76" t="s">
        <v>112</v>
      </c>
      <c r="V360" s="76" t="s">
        <v>112</v>
      </c>
      <c r="W360" s="76" t="s">
        <v>112</v>
      </c>
      <c r="X360" s="76" t="s">
        <v>112</v>
      </c>
      <c r="Y360" s="76" t="s">
        <v>112</v>
      </c>
      <c r="Z360" s="76" t="s">
        <v>112</v>
      </c>
      <c r="AA360" s="76" t="s">
        <v>112</v>
      </c>
      <c r="AB360" s="76" t="s">
        <v>112</v>
      </c>
      <c r="AC360" s="76">
        <v>0.65142336004169099</v>
      </c>
      <c r="AD360" s="76">
        <v>0.65142336004169099</v>
      </c>
      <c r="AE360" s="76">
        <v>0.65142336004169099</v>
      </c>
      <c r="AF360" s="76">
        <v>0.65142336004169099</v>
      </c>
      <c r="AG360" s="76">
        <v>0.65142336004169099</v>
      </c>
      <c r="AH360" s="76">
        <v>0.65142336004169099</v>
      </c>
      <c r="AI360" s="76">
        <v>0.65224493673725115</v>
      </c>
      <c r="AJ360" s="76">
        <v>0.65253016471228131</v>
      </c>
      <c r="AK360" s="76">
        <v>0.65291337941014971</v>
      </c>
      <c r="AL360" s="76">
        <v>0.65342739815006035</v>
      </c>
      <c r="AM360" s="76">
        <v>0.65411534187654485</v>
      </c>
      <c r="AN360" s="76">
        <v>0.65503330906729063</v>
      </c>
      <c r="AO360" s="76">
        <v>0.65625327326772831</v>
      </c>
      <c r="AP360" s="76">
        <v>0.65786577264777357</v>
      </c>
      <c r="AQ360" s="76">
        <v>0.65998149370216208</v>
      </c>
      <c r="AR360" s="76">
        <v>0.66273009976838781</v>
      </c>
      <c r="AS360" s="76">
        <v>0.66625358485064345</v>
      </c>
      <c r="AT360" s="76">
        <v>0.6706902204211268</v>
      </c>
      <c r="AU360" s="76">
        <v>0.67614453136343855</v>
      </c>
      <c r="AV360" s="76">
        <v>0.68264046375127785</v>
      </c>
      <c r="AW360" s="76">
        <v>0.69006201732568917</v>
      </c>
      <c r="AX360" s="84">
        <v>0.69810064532513283</v>
      </c>
    </row>
    <row r="361" spans="1:50" x14ac:dyDescent="0.25">
      <c r="A361" s="356"/>
      <c r="B361" s="368"/>
      <c r="C361" s="371"/>
      <c r="D361" s="59" t="s">
        <v>20</v>
      </c>
      <c r="E361" s="166" t="str">
        <f>A359&amp;"/"&amp;B359&amp;"/"&amp;C359&amp;"/"&amp;D361</f>
        <v>Fuel cells/Natural gas fuel cell power plant/Electricity only/XS</v>
      </c>
      <c r="F361" s="79" t="str">
        <f>A359</f>
        <v>Fuel cells</v>
      </c>
      <c r="G361" s="79" t="str">
        <f>B359</f>
        <v>Natural gas fuel cell power plant</v>
      </c>
      <c r="H361" s="79" t="str">
        <f>C359</f>
        <v>Electricity only</v>
      </c>
      <c r="I361" s="167" t="str">
        <f t="shared" si="81"/>
        <v>XS</v>
      </c>
      <c r="J361" s="79" t="s">
        <v>112</v>
      </c>
      <c r="K361" s="79" t="s">
        <v>112</v>
      </c>
      <c r="L361" s="79" t="s">
        <v>112</v>
      </c>
      <c r="M361" s="79" t="s">
        <v>112</v>
      </c>
      <c r="N361" s="79" t="s">
        <v>112</v>
      </c>
      <c r="O361" s="79" t="s">
        <v>112</v>
      </c>
      <c r="P361" s="79" t="s">
        <v>112</v>
      </c>
      <c r="Q361" s="79" t="s">
        <v>112</v>
      </c>
      <c r="R361" s="79" t="s">
        <v>112</v>
      </c>
      <c r="S361" s="79" t="s">
        <v>112</v>
      </c>
      <c r="T361" s="79" t="s">
        <v>112</v>
      </c>
      <c r="U361" s="79" t="s">
        <v>112</v>
      </c>
      <c r="V361" s="79" t="s">
        <v>112</v>
      </c>
      <c r="W361" s="79" t="s">
        <v>112</v>
      </c>
      <c r="X361" s="79" t="s">
        <v>112</v>
      </c>
      <c r="Y361" s="79" t="s">
        <v>112</v>
      </c>
      <c r="Z361" s="79">
        <v>0.62040320003970573</v>
      </c>
      <c r="AA361" s="79">
        <v>0.62040320003970573</v>
      </c>
      <c r="AB361" s="79">
        <v>0.62040320003970573</v>
      </c>
      <c r="AC361" s="79">
        <v>0.62040320003970573</v>
      </c>
      <c r="AD361" s="79">
        <v>0.62040320003970573</v>
      </c>
      <c r="AE361" s="79">
        <v>0.62040320003970573</v>
      </c>
      <c r="AF361" s="79">
        <v>0.62040320003970573</v>
      </c>
      <c r="AG361" s="79">
        <v>0.62040320003970573</v>
      </c>
      <c r="AH361" s="79">
        <v>0.62040320003970573</v>
      </c>
      <c r="AI361" s="79">
        <v>0.62100998563526932</v>
      </c>
      <c r="AJ361" s="79">
        <v>0.62122066077826499</v>
      </c>
      <c r="AK361" s="79">
        <v>0.62150372541121934</v>
      </c>
      <c r="AL361" s="79">
        <v>0.62188343727170547</v>
      </c>
      <c r="AM361" s="79">
        <v>0.62239168336294837</v>
      </c>
      <c r="AN361" s="79">
        <v>0.62306997394218544</v>
      </c>
      <c r="AO361" s="79">
        <v>0.62397162126260608</v>
      </c>
      <c r="AP361" s="79">
        <v>0.62516380476419708</v>
      </c>
      <c r="AQ361" s="79">
        <v>0.62672890073851006</v>
      </c>
      <c r="AR361" s="79">
        <v>0.62876393813891029</v>
      </c>
      <c r="AS361" s="79">
        <v>0.63137631637919167</v>
      </c>
      <c r="AT361" s="79">
        <v>0.63467311009458016</v>
      </c>
      <c r="AU361" s="79">
        <v>0.6387408619941034</v>
      </c>
      <c r="AV361" s="79">
        <v>0.64361383036581832</v>
      </c>
      <c r="AW361" s="79">
        <v>0.64923300996432509</v>
      </c>
      <c r="AX361" s="87">
        <v>0.65540735506546366</v>
      </c>
    </row>
    <row r="362" spans="1:50" x14ac:dyDescent="0.25">
      <c r="A362" s="356"/>
      <c r="B362" s="359" t="s">
        <v>33</v>
      </c>
      <c r="C362" s="350" t="s">
        <v>6</v>
      </c>
      <c r="D362" s="2" t="s">
        <v>8</v>
      </c>
      <c r="E362" s="160" t="str">
        <f>A359&amp;"/"&amp;B362&amp;"/"&amp;C362&amp;"/"&amp;D362</f>
        <v>Fuel cells/Hydrogen fuel cell power plant/Electricity only/M</v>
      </c>
      <c r="F362" s="76" t="str">
        <f>A359</f>
        <v>Fuel cells</v>
      </c>
      <c r="G362" s="76" t="str">
        <f>B362</f>
        <v>Hydrogen fuel cell power plant</v>
      </c>
      <c r="H362" s="76" t="str">
        <f>C362</f>
        <v>Electricity only</v>
      </c>
      <c r="I362" s="161" t="str">
        <f t="shared" si="81"/>
        <v>M</v>
      </c>
      <c r="J362" s="76" t="s">
        <v>112</v>
      </c>
      <c r="K362" s="76" t="s">
        <v>112</v>
      </c>
      <c r="L362" s="76" t="s">
        <v>112</v>
      </c>
      <c r="M362" s="76" t="s">
        <v>112</v>
      </c>
      <c r="N362" s="76" t="s">
        <v>112</v>
      </c>
      <c r="O362" s="76" t="s">
        <v>112</v>
      </c>
      <c r="P362" s="76" t="s">
        <v>112</v>
      </c>
      <c r="Q362" s="76" t="s">
        <v>112</v>
      </c>
      <c r="R362" s="76" t="s">
        <v>112</v>
      </c>
      <c r="S362" s="76" t="s">
        <v>112</v>
      </c>
      <c r="T362" s="76" t="s">
        <v>112</v>
      </c>
      <c r="U362" s="76" t="s">
        <v>112</v>
      </c>
      <c r="V362" s="76" t="s">
        <v>112</v>
      </c>
      <c r="W362" s="76" t="s">
        <v>112</v>
      </c>
      <c r="X362" s="76" t="s">
        <v>112</v>
      </c>
      <c r="Y362" s="76" t="s">
        <v>112</v>
      </c>
      <c r="Z362" s="76" t="s">
        <v>112</v>
      </c>
      <c r="AA362" s="76" t="s">
        <v>112</v>
      </c>
      <c r="AB362" s="76" t="s">
        <v>112</v>
      </c>
      <c r="AC362" s="76" t="s">
        <v>112</v>
      </c>
      <c r="AD362" s="76" t="s">
        <v>112</v>
      </c>
      <c r="AE362" s="76" t="s">
        <v>112</v>
      </c>
      <c r="AF362" s="76" t="s">
        <v>112</v>
      </c>
      <c r="AG362" s="76">
        <v>0.75700227100681305</v>
      </c>
      <c r="AH362" s="76">
        <v>0.75700227100681305</v>
      </c>
      <c r="AI362" s="76">
        <v>0.75700227100681305</v>
      </c>
      <c r="AJ362" s="76">
        <v>0.75700227100681305</v>
      </c>
      <c r="AK362" s="76">
        <v>0.75700227100681305</v>
      </c>
      <c r="AL362" s="76">
        <v>0.75700227100681305</v>
      </c>
      <c r="AM362" s="76">
        <v>0.75700227100681305</v>
      </c>
      <c r="AN362" s="76">
        <v>0.7617883280069051</v>
      </c>
      <c r="AO362" s="76">
        <v>0.76340143307179387</v>
      </c>
      <c r="AP362" s="76">
        <v>0.76552997499537789</v>
      </c>
      <c r="AQ362" s="76">
        <v>0.76831623061408572</v>
      </c>
      <c r="AR362" s="76">
        <v>0.77192405098416716</v>
      </c>
      <c r="AS362" s="76">
        <v>0.77652751218906135</v>
      </c>
      <c r="AT362" s="76">
        <v>0.78228577316794834</v>
      </c>
      <c r="AU362" s="76">
        <v>0.78929817892282361</v>
      </c>
      <c r="AV362" s="76">
        <v>0.79753738212245606</v>
      </c>
      <c r="AW362" s="76">
        <v>0.80677086987789459</v>
      </c>
      <c r="AX362" s="84">
        <v>0.81650541273966437</v>
      </c>
    </row>
    <row r="363" spans="1:50" x14ac:dyDescent="0.25">
      <c r="A363" s="356"/>
      <c r="B363" s="359"/>
      <c r="C363" s="350"/>
      <c r="D363" s="2" t="s">
        <v>10</v>
      </c>
      <c r="E363" s="160" t="str">
        <f>A359&amp;"/"&amp;B362&amp;"/"&amp;C362&amp;"/"&amp;D363</f>
        <v>Fuel cells/Hydrogen fuel cell power plant/Electricity only/S</v>
      </c>
      <c r="F363" s="76" t="str">
        <f>A359</f>
        <v>Fuel cells</v>
      </c>
      <c r="G363" s="76" t="str">
        <f>B362</f>
        <v>Hydrogen fuel cell power plant</v>
      </c>
      <c r="H363" s="76" t="str">
        <f>C362</f>
        <v>Electricity only</v>
      </c>
      <c r="I363" s="161" t="str">
        <f t="shared" si="81"/>
        <v>S</v>
      </c>
      <c r="J363" s="76" t="s">
        <v>112</v>
      </c>
      <c r="K363" s="76" t="s">
        <v>112</v>
      </c>
      <c r="L363" s="76" t="s">
        <v>112</v>
      </c>
      <c r="M363" s="76" t="s">
        <v>112</v>
      </c>
      <c r="N363" s="76" t="s">
        <v>112</v>
      </c>
      <c r="O363" s="76" t="s">
        <v>112</v>
      </c>
      <c r="P363" s="76" t="s">
        <v>112</v>
      </c>
      <c r="Q363" s="76" t="s">
        <v>112</v>
      </c>
      <c r="R363" s="76" t="s">
        <v>112</v>
      </c>
      <c r="S363" s="76" t="s">
        <v>112</v>
      </c>
      <c r="T363" s="76" t="s">
        <v>112</v>
      </c>
      <c r="U363" s="76" t="s">
        <v>112</v>
      </c>
      <c r="V363" s="76" t="s">
        <v>112</v>
      </c>
      <c r="W363" s="76" t="s">
        <v>112</v>
      </c>
      <c r="X363" s="76" t="s">
        <v>112</v>
      </c>
      <c r="Y363" s="76" t="s">
        <v>112</v>
      </c>
      <c r="Z363" s="76" t="s">
        <v>112</v>
      </c>
      <c r="AA363" s="76" t="s">
        <v>112</v>
      </c>
      <c r="AB363" s="76" t="s">
        <v>112</v>
      </c>
      <c r="AC363" s="76" t="s">
        <v>112</v>
      </c>
      <c r="AD363" s="76" t="s">
        <v>112</v>
      </c>
      <c r="AE363" s="76">
        <v>0.72095454381601232</v>
      </c>
      <c r="AF363" s="76">
        <v>0.72095454381601232</v>
      </c>
      <c r="AG363" s="76">
        <v>0.72095454381601232</v>
      </c>
      <c r="AH363" s="76">
        <v>0.72095454381601232</v>
      </c>
      <c r="AI363" s="76">
        <v>0.72095454381601232</v>
      </c>
      <c r="AJ363" s="76">
        <v>0.72095454381601232</v>
      </c>
      <c r="AK363" s="76">
        <v>0.72095454381601232</v>
      </c>
      <c r="AL363" s="76">
        <v>0.72095454381601232</v>
      </c>
      <c r="AM363" s="76">
        <v>0.72095454381601232</v>
      </c>
      <c r="AN363" s="76">
        <v>0.72405353292857599</v>
      </c>
      <c r="AO363" s="76">
        <v>0.72510131400471367</v>
      </c>
      <c r="AP363" s="76">
        <v>0.72648671967715295</v>
      </c>
      <c r="AQ363" s="76">
        <v>0.72830547730786288</v>
      </c>
      <c r="AR363" s="76">
        <v>0.73067034173886547</v>
      </c>
      <c r="AS363" s="76">
        <v>0.73370611905654581</v>
      </c>
      <c r="AT363" s="76">
        <v>0.73753723793049974</v>
      </c>
      <c r="AU363" s="76">
        <v>0.7422642674088934</v>
      </c>
      <c r="AV363" s="76">
        <v>0.74792701816394225</v>
      </c>
      <c r="AW363" s="76">
        <v>0.75445692172311563</v>
      </c>
      <c r="AX363" s="84">
        <v>0.76163196878197814</v>
      </c>
    </row>
    <row r="364" spans="1:50" x14ac:dyDescent="0.25">
      <c r="A364" s="357"/>
      <c r="B364" s="362"/>
      <c r="C364" s="354"/>
      <c r="D364" s="4" t="s">
        <v>20</v>
      </c>
      <c r="E364" s="160" t="str">
        <f>A359&amp;"/"&amp;B362&amp;"/"&amp;C362&amp;"/"&amp;D364</f>
        <v>Fuel cells/Hydrogen fuel cell power plant/Electricity only/XS</v>
      </c>
      <c r="F364" s="76" t="str">
        <f>A359</f>
        <v>Fuel cells</v>
      </c>
      <c r="G364" s="76" t="str">
        <f>B362</f>
        <v>Hydrogen fuel cell power plant</v>
      </c>
      <c r="H364" s="76" t="str">
        <f>C362</f>
        <v>Electricity only</v>
      </c>
      <c r="I364" s="161" t="str">
        <f t="shared" si="81"/>
        <v>XS</v>
      </c>
      <c r="J364" s="76" t="s">
        <v>112</v>
      </c>
      <c r="K364" s="76" t="s">
        <v>112</v>
      </c>
      <c r="L364" s="76" t="s">
        <v>112</v>
      </c>
      <c r="M364" s="76" t="s">
        <v>112</v>
      </c>
      <c r="N364" s="76" t="s">
        <v>112</v>
      </c>
      <c r="O364" s="76" t="s">
        <v>112</v>
      </c>
      <c r="P364" s="76" t="s">
        <v>112</v>
      </c>
      <c r="Q364" s="76" t="s">
        <v>112</v>
      </c>
      <c r="R364" s="76" t="s">
        <v>112</v>
      </c>
      <c r="S364" s="76" t="s">
        <v>112</v>
      </c>
      <c r="T364" s="76" t="s">
        <v>112</v>
      </c>
      <c r="U364" s="76" t="s">
        <v>112</v>
      </c>
      <c r="V364" s="76" t="s">
        <v>112</v>
      </c>
      <c r="W364" s="76" t="s">
        <v>112</v>
      </c>
      <c r="X364" s="76" t="s">
        <v>112</v>
      </c>
      <c r="Y364" s="76" t="s">
        <v>112</v>
      </c>
      <c r="Z364" s="76" t="s">
        <v>112</v>
      </c>
      <c r="AA364" s="76" t="s">
        <v>112</v>
      </c>
      <c r="AB364" s="76">
        <v>0.68662337506286886</v>
      </c>
      <c r="AC364" s="76">
        <v>0.68662337506286886</v>
      </c>
      <c r="AD364" s="76">
        <v>0.68662337506286886</v>
      </c>
      <c r="AE364" s="76">
        <v>0.68662337506286886</v>
      </c>
      <c r="AF364" s="76">
        <v>0.68662337506286886</v>
      </c>
      <c r="AG364" s="76">
        <v>0.68662337506286886</v>
      </c>
      <c r="AH364" s="76">
        <v>0.68662337506286886</v>
      </c>
      <c r="AI364" s="76">
        <v>0.68662337506286886</v>
      </c>
      <c r="AJ364" s="76">
        <v>0.68662337506286886</v>
      </c>
      <c r="AK364" s="76">
        <v>0.68662337506286886</v>
      </c>
      <c r="AL364" s="76">
        <v>0.68662337506286886</v>
      </c>
      <c r="AM364" s="76">
        <v>0.68662337506286886</v>
      </c>
      <c r="AN364" s="76">
        <v>0.68920168757640721</v>
      </c>
      <c r="AO364" s="76">
        <v>0.69007152588053911</v>
      </c>
      <c r="AP364" s="76">
        <v>0.69122016684312326</v>
      </c>
      <c r="AQ364" s="76">
        <v>0.69272552221526495</v>
      </c>
      <c r="AR364" s="76">
        <v>0.69467847546247086</v>
      </c>
      <c r="AS364" s="76">
        <v>0.6971781198924889</v>
      </c>
      <c r="AT364" s="76">
        <v>0.70032070491247411</v>
      </c>
      <c r="AU364" s="76">
        <v>0.70417958371725664</v>
      </c>
      <c r="AV364" s="76">
        <v>0.70877484869838092</v>
      </c>
      <c r="AW364" s="76">
        <v>0.714035923195254</v>
      </c>
      <c r="AX364" s="84">
        <v>0.71976904650323703</v>
      </c>
    </row>
    <row r="365" spans="1:50" x14ac:dyDescent="0.25">
      <c r="A365" s="355" t="s">
        <v>34</v>
      </c>
      <c r="B365" s="358" t="s">
        <v>35</v>
      </c>
      <c r="C365" s="353" t="s">
        <v>6</v>
      </c>
      <c r="D365" s="3" t="s">
        <v>7</v>
      </c>
      <c r="E365" s="162" t="str">
        <f>A365&amp;"/"&amp;B365&amp;"/"&amp;C365&amp;"/"&amp;D365</f>
        <v>Wind power plants/Onshore/Electricity only/L</v>
      </c>
      <c r="F365" s="77" t="str">
        <f>A365</f>
        <v>Wind power plants</v>
      </c>
      <c r="G365" s="77" t="str">
        <f>B365</f>
        <v>Onshore</v>
      </c>
      <c r="H365" s="77" t="str">
        <f>C365</f>
        <v>Electricity only</v>
      </c>
      <c r="I365" s="163" t="str">
        <f t="shared" si="81"/>
        <v>L</v>
      </c>
      <c r="J365" s="77">
        <v>1</v>
      </c>
      <c r="K365" s="77">
        <v>1</v>
      </c>
      <c r="L365" s="77">
        <v>1</v>
      </c>
      <c r="M365" s="77">
        <v>1</v>
      </c>
      <c r="N365" s="77">
        <v>1</v>
      </c>
      <c r="O365" s="77">
        <v>1</v>
      </c>
      <c r="P365" s="77">
        <v>1</v>
      </c>
      <c r="Q365" s="77">
        <v>1</v>
      </c>
      <c r="R365" s="77">
        <v>1</v>
      </c>
      <c r="S365" s="77">
        <v>1</v>
      </c>
      <c r="T365" s="77">
        <v>1</v>
      </c>
      <c r="U365" s="77">
        <v>1</v>
      </c>
      <c r="V365" s="77">
        <v>1</v>
      </c>
      <c r="W365" s="77">
        <v>1</v>
      </c>
      <c r="X365" s="77">
        <v>1</v>
      </c>
      <c r="Y365" s="77">
        <v>1</v>
      </c>
      <c r="Z365" s="77">
        <v>1</v>
      </c>
      <c r="AA365" s="77">
        <v>1</v>
      </c>
      <c r="AB365" s="77">
        <v>1</v>
      </c>
      <c r="AC365" s="77">
        <v>1</v>
      </c>
      <c r="AD365" s="77">
        <v>1</v>
      </c>
      <c r="AE365" s="77">
        <v>1</v>
      </c>
      <c r="AF365" s="77">
        <v>1</v>
      </c>
      <c r="AG365" s="77">
        <v>1</v>
      </c>
      <c r="AH365" s="77">
        <v>1</v>
      </c>
      <c r="AI365" s="77">
        <v>1</v>
      </c>
      <c r="AJ365" s="77">
        <v>1</v>
      </c>
      <c r="AK365" s="77">
        <v>1</v>
      </c>
      <c r="AL365" s="77">
        <v>1</v>
      </c>
      <c r="AM365" s="77">
        <v>1</v>
      </c>
      <c r="AN365" s="77">
        <v>1</v>
      </c>
      <c r="AO365" s="77">
        <v>1</v>
      </c>
      <c r="AP365" s="77">
        <v>1</v>
      </c>
      <c r="AQ365" s="77">
        <v>1</v>
      </c>
      <c r="AR365" s="77">
        <v>1</v>
      </c>
      <c r="AS365" s="77">
        <v>1</v>
      </c>
      <c r="AT365" s="77">
        <v>1</v>
      </c>
      <c r="AU365" s="77">
        <v>1</v>
      </c>
      <c r="AV365" s="77">
        <v>1</v>
      </c>
      <c r="AW365" s="77">
        <v>1</v>
      </c>
      <c r="AX365" s="85">
        <v>1</v>
      </c>
    </row>
    <row r="366" spans="1:50" x14ac:dyDescent="0.25">
      <c r="A366" s="356"/>
      <c r="B366" s="359"/>
      <c r="C366" s="350"/>
      <c r="D366" s="2" t="s">
        <v>8</v>
      </c>
      <c r="E366" s="160" t="str">
        <f>A365&amp;"/"&amp;B365&amp;"/"&amp;C365&amp;"/"&amp;D366</f>
        <v>Wind power plants/Onshore/Electricity only/M</v>
      </c>
      <c r="F366" s="76" t="str">
        <f>A365</f>
        <v>Wind power plants</v>
      </c>
      <c r="G366" s="76" t="str">
        <f>B365</f>
        <v>Onshore</v>
      </c>
      <c r="H366" s="76" t="str">
        <f>C365</f>
        <v>Electricity only</v>
      </c>
      <c r="I366" s="161" t="str">
        <f t="shared" si="81"/>
        <v>M</v>
      </c>
      <c r="J366" s="76">
        <v>1</v>
      </c>
      <c r="K366" s="76">
        <v>1</v>
      </c>
      <c r="L366" s="76">
        <v>1</v>
      </c>
      <c r="M366" s="76">
        <v>1</v>
      </c>
      <c r="N366" s="76">
        <v>1</v>
      </c>
      <c r="O366" s="76">
        <v>1</v>
      </c>
      <c r="P366" s="76">
        <v>1</v>
      </c>
      <c r="Q366" s="76">
        <v>1</v>
      </c>
      <c r="R366" s="76">
        <v>1</v>
      </c>
      <c r="S366" s="76">
        <v>1</v>
      </c>
      <c r="T366" s="76">
        <v>1</v>
      </c>
      <c r="U366" s="76">
        <v>1</v>
      </c>
      <c r="V366" s="76">
        <v>1</v>
      </c>
      <c r="W366" s="76">
        <v>1</v>
      </c>
      <c r="X366" s="76">
        <v>1</v>
      </c>
      <c r="Y366" s="76">
        <v>1</v>
      </c>
      <c r="Z366" s="76">
        <v>1</v>
      </c>
      <c r="AA366" s="76">
        <v>1</v>
      </c>
      <c r="AB366" s="76">
        <v>1</v>
      </c>
      <c r="AC366" s="76">
        <v>1</v>
      </c>
      <c r="AD366" s="76">
        <v>1</v>
      </c>
      <c r="AE366" s="76">
        <v>1</v>
      </c>
      <c r="AF366" s="76">
        <v>1</v>
      </c>
      <c r="AG366" s="76">
        <v>1</v>
      </c>
      <c r="AH366" s="76">
        <v>1</v>
      </c>
      <c r="AI366" s="76">
        <v>1</v>
      </c>
      <c r="AJ366" s="76">
        <v>1</v>
      </c>
      <c r="AK366" s="76">
        <v>1</v>
      </c>
      <c r="AL366" s="76">
        <v>1</v>
      </c>
      <c r="AM366" s="76">
        <v>1</v>
      </c>
      <c r="AN366" s="76">
        <v>1</v>
      </c>
      <c r="AO366" s="76">
        <v>1</v>
      </c>
      <c r="AP366" s="76">
        <v>1</v>
      </c>
      <c r="AQ366" s="76">
        <v>1</v>
      </c>
      <c r="AR366" s="76">
        <v>1</v>
      </c>
      <c r="AS366" s="76">
        <v>1</v>
      </c>
      <c r="AT366" s="76">
        <v>1</v>
      </c>
      <c r="AU366" s="76">
        <v>1</v>
      </c>
      <c r="AV366" s="76">
        <v>1</v>
      </c>
      <c r="AW366" s="76">
        <v>1</v>
      </c>
      <c r="AX366" s="84">
        <v>1</v>
      </c>
    </row>
    <row r="367" spans="1:50" x14ac:dyDescent="0.25">
      <c r="A367" s="356"/>
      <c r="B367" s="359"/>
      <c r="C367" s="350"/>
      <c r="D367" s="2" t="s">
        <v>10</v>
      </c>
      <c r="E367" s="160" t="str">
        <f>A365&amp;"/"&amp;B365&amp;"/"&amp;C365&amp;"/"&amp;D367</f>
        <v>Wind power plants/Onshore/Electricity only/S</v>
      </c>
      <c r="F367" s="76" t="str">
        <f>A365</f>
        <v>Wind power plants</v>
      </c>
      <c r="G367" s="76" t="str">
        <f>B365</f>
        <v>Onshore</v>
      </c>
      <c r="H367" s="76" t="str">
        <f>C365</f>
        <v>Electricity only</v>
      </c>
      <c r="I367" s="161" t="str">
        <f t="shared" si="81"/>
        <v>S</v>
      </c>
      <c r="J367" s="76">
        <v>1</v>
      </c>
      <c r="K367" s="76">
        <v>1</v>
      </c>
      <c r="L367" s="76">
        <v>1</v>
      </c>
      <c r="M367" s="76">
        <v>1</v>
      </c>
      <c r="N367" s="76">
        <v>1</v>
      </c>
      <c r="O367" s="76">
        <v>1</v>
      </c>
      <c r="P367" s="76">
        <v>1</v>
      </c>
      <c r="Q367" s="76">
        <v>1</v>
      </c>
      <c r="R367" s="76">
        <v>1</v>
      </c>
      <c r="S367" s="76">
        <v>1</v>
      </c>
      <c r="T367" s="76">
        <v>1</v>
      </c>
      <c r="U367" s="76">
        <v>1</v>
      </c>
      <c r="V367" s="76">
        <v>1</v>
      </c>
      <c r="W367" s="76">
        <v>1</v>
      </c>
      <c r="X367" s="76">
        <v>1</v>
      </c>
      <c r="Y367" s="76">
        <v>1</v>
      </c>
      <c r="Z367" s="76">
        <v>1</v>
      </c>
      <c r="AA367" s="76">
        <v>1</v>
      </c>
      <c r="AB367" s="76">
        <v>1</v>
      </c>
      <c r="AC367" s="76">
        <v>1</v>
      </c>
      <c r="AD367" s="76">
        <v>1</v>
      </c>
      <c r="AE367" s="76">
        <v>1</v>
      </c>
      <c r="AF367" s="76">
        <v>1</v>
      </c>
      <c r="AG367" s="76">
        <v>1</v>
      </c>
      <c r="AH367" s="76">
        <v>1</v>
      </c>
      <c r="AI367" s="76">
        <v>1</v>
      </c>
      <c r="AJ367" s="76">
        <v>1</v>
      </c>
      <c r="AK367" s="76">
        <v>1</v>
      </c>
      <c r="AL367" s="76">
        <v>1</v>
      </c>
      <c r="AM367" s="76">
        <v>1</v>
      </c>
      <c r="AN367" s="76">
        <v>1</v>
      </c>
      <c r="AO367" s="76">
        <v>1</v>
      </c>
      <c r="AP367" s="76">
        <v>1</v>
      </c>
      <c r="AQ367" s="76">
        <v>1</v>
      </c>
      <c r="AR367" s="76">
        <v>1</v>
      </c>
      <c r="AS367" s="76">
        <v>1</v>
      </c>
      <c r="AT367" s="76">
        <v>1</v>
      </c>
      <c r="AU367" s="76">
        <v>1</v>
      </c>
      <c r="AV367" s="76">
        <v>1</v>
      </c>
      <c r="AW367" s="76">
        <v>1</v>
      </c>
      <c r="AX367" s="84">
        <v>1</v>
      </c>
    </row>
    <row r="368" spans="1:50" x14ac:dyDescent="0.25">
      <c r="A368" s="356"/>
      <c r="B368" s="368"/>
      <c r="C368" s="360"/>
      <c r="D368" s="59" t="s">
        <v>20</v>
      </c>
      <c r="E368" s="166" t="str">
        <f>A365&amp;"/"&amp;B365&amp;"/"&amp;C365&amp;"/"&amp;D368</f>
        <v>Wind power plants/Onshore/Electricity only/XS</v>
      </c>
      <c r="F368" s="79" t="str">
        <f>A365</f>
        <v>Wind power plants</v>
      </c>
      <c r="G368" s="79" t="str">
        <f>B365</f>
        <v>Onshore</v>
      </c>
      <c r="H368" s="79" t="str">
        <f>C365</f>
        <v>Electricity only</v>
      </c>
      <c r="I368" s="167" t="str">
        <f t="shared" si="81"/>
        <v>XS</v>
      </c>
      <c r="J368" s="79">
        <v>1</v>
      </c>
      <c r="K368" s="79">
        <v>1</v>
      </c>
      <c r="L368" s="79">
        <v>1</v>
      </c>
      <c r="M368" s="79">
        <v>1</v>
      </c>
      <c r="N368" s="79">
        <v>1</v>
      </c>
      <c r="O368" s="79">
        <v>1</v>
      </c>
      <c r="P368" s="79">
        <v>1</v>
      </c>
      <c r="Q368" s="79">
        <v>1</v>
      </c>
      <c r="R368" s="79">
        <v>1</v>
      </c>
      <c r="S368" s="79">
        <v>1</v>
      </c>
      <c r="T368" s="79">
        <v>1</v>
      </c>
      <c r="U368" s="79">
        <v>1</v>
      </c>
      <c r="V368" s="79">
        <v>1</v>
      </c>
      <c r="W368" s="79">
        <v>1</v>
      </c>
      <c r="X368" s="79">
        <v>1</v>
      </c>
      <c r="Y368" s="79">
        <v>1</v>
      </c>
      <c r="Z368" s="79">
        <v>1</v>
      </c>
      <c r="AA368" s="79">
        <v>1</v>
      </c>
      <c r="AB368" s="79">
        <v>1</v>
      </c>
      <c r="AC368" s="79">
        <v>1</v>
      </c>
      <c r="AD368" s="79">
        <v>1</v>
      </c>
      <c r="AE368" s="79">
        <v>1</v>
      </c>
      <c r="AF368" s="79">
        <v>1</v>
      </c>
      <c r="AG368" s="79">
        <v>1</v>
      </c>
      <c r="AH368" s="79">
        <v>1</v>
      </c>
      <c r="AI368" s="79">
        <v>1</v>
      </c>
      <c r="AJ368" s="79">
        <v>1</v>
      </c>
      <c r="AK368" s="79">
        <v>1</v>
      </c>
      <c r="AL368" s="79">
        <v>1</v>
      </c>
      <c r="AM368" s="79">
        <v>1</v>
      </c>
      <c r="AN368" s="79">
        <v>1</v>
      </c>
      <c r="AO368" s="79">
        <v>1</v>
      </c>
      <c r="AP368" s="79">
        <v>1</v>
      </c>
      <c r="AQ368" s="79">
        <v>1</v>
      </c>
      <c r="AR368" s="79">
        <v>1</v>
      </c>
      <c r="AS368" s="79">
        <v>1</v>
      </c>
      <c r="AT368" s="79">
        <v>1</v>
      </c>
      <c r="AU368" s="79">
        <v>1</v>
      </c>
      <c r="AV368" s="79">
        <v>1</v>
      </c>
      <c r="AW368" s="79">
        <v>1</v>
      </c>
      <c r="AX368" s="87">
        <v>1</v>
      </c>
    </row>
    <row r="369" spans="1:50" x14ac:dyDescent="0.25">
      <c r="A369" s="356"/>
      <c r="B369" s="359" t="s">
        <v>36</v>
      </c>
      <c r="C369" s="361" t="s">
        <v>6</v>
      </c>
      <c r="D369" s="2" t="s">
        <v>7</v>
      </c>
      <c r="E369" s="160" t="str">
        <f>A365&amp;"/"&amp;B369&amp;"/"&amp;C369&amp;"/"&amp;D369</f>
        <v>Wind power plants/Offshore/Electricity only/L</v>
      </c>
      <c r="F369" s="76" t="str">
        <f>A365</f>
        <v>Wind power plants</v>
      </c>
      <c r="G369" s="76" t="str">
        <f>B369</f>
        <v>Offshore</v>
      </c>
      <c r="H369" s="76" t="str">
        <f>C369</f>
        <v>Electricity only</v>
      </c>
      <c r="I369" s="161" t="str">
        <f t="shared" si="81"/>
        <v>L</v>
      </c>
      <c r="J369" s="76">
        <v>1</v>
      </c>
      <c r="K369" s="76">
        <v>1</v>
      </c>
      <c r="L369" s="76">
        <v>1</v>
      </c>
      <c r="M369" s="76">
        <v>1</v>
      </c>
      <c r="N369" s="76">
        <v>1</v>
      </c>
      <c r="O369" s="76">
        <v>1</v>
      </c>
      <c r="P369" s="76">
        <v>1</v>
      </c>
      <c r="Q369" s="76">
        <v>1</v>
      </c>
      <c r="R369" s="76">
        <v>1</v>
      </c>
      <c r="S369" s="76">
        <v>1</v>
      </c>
      <c r="T369" s="76">
        <v>1</v>
      </c>
      <c r="U369" s="76">
        <v>1</v>
      </c>
      <c r="V369" s="76">
        <v>1</v>
      </c>
      <c r="W369" s="76">
        <v>1</v>
      </c>
      <c r="X369" s="76">
        <v>1</v>
      </c>
      <c r="Y369" s="76">
        <v>1</v>
      </c>
      <c r="Z369" s="76">
        <v>1</v>
      </c>
      <c r="AA369" s="76">
        <v>1</v>
      </c>
      <c r="AB369" s="76">
        <v>1</v>
      </c>
      <c r="AC369" s="76">
        <v>1</v>
      </c>
      <c r="AD369" s="76">
        <v>1</v>
      </c>
      <c r="AE369" s="76">
        <v>1</v>
      </c>
      <c r="AF369" s="76">
        <v>1</v>
      </c>
      <c r="AG369" s="76">
        <v>1</v>
      </c>
      <c r="AH369" s="76">
        <v>1</v>
      </c>
      <c r="AI369" s="76">
        <v>1</v>
      </c>
      <c r="AJ369" s="76">
        <v>1</v>
      </c>
      <c r="AK369" s="76">
        <v>1</v>
      </c>
      <c r="AL369" s="76">
        <v>1</v>
      </c>
      <c r="AM369" s="76">
        <v>1</v>
      </c>
      <c r="AN369" s="76">
        <v>1</v>
      </c>
      <c r="AO369" s="76">
        <v>1</v>
      </c>
      <c r="AP369" s="76">
        <v>1</v>
      </c>
      <c r="AQ369" s="76">
        <v>1</v>
      </c>
      <c r="AR369" s="76">
        <v>1</v>
      </c>
      <c r="AS369" s="76">
        <v>1</v>
      </c>
      <c r="AT369" s="76">
        <v>1</v>
      </c>
      <c r="AU369" s="76">
        <v>1</v>
      </c>
      <c r="AV369" s="76">
        <v>1</v>
      </c>
      <c r="AW369" s="76">
        <v>1</v>
      </c>
      <c r="AX369" s="84">
        <v>1</v>
      </c>
    </row>
    <row r="370" spans="1:50" x14ac:dyDescent="0.25">
      <c r="A370" s="356"/>
      <c r="B370" s="359"/>
      <c r="C370" s="350"/>
      <c r="D370" s="2" t="s">
        <v>8</v>
      </c>
      <c r="E370" s="160" t="str">
        <f>A365&amp;"/"&amp;B369&amp;"/"&amp;C369&amp;"/"&amp;D370</f>
        <v>Wind power plants/Offshore/Electricity only/M</v>
      </c>
      <c r="F370" s="76" t="str">
        <f>A365</f>
        <v>Wind power plants</v>
      </c>
      <c r="G370" s="76" t="str">
        <f>B369</f>
        <v>Offshore</v>
      </c>
      <c r="H370" s="76" t="str">
        <f>C369</f>
        <v>Electricity only</v>
      </c>
      <c r="I370" s="161" t="str">
        <f t="shared" si="81"/>
        <v>M</v>
      </c>
      <c r="J370" s="76">
        <v>1</v>
      </c>
      <c r="K370" s="76">
        <v>1</v>
      </c>
      <c r="L370" s="76">
        <v>1</v>
      </c>
      <c r="M370" s="76">
        <v>1</v>
      </c>
      <c r="N370" s="76">
        <v>1</v>
      </c>
      <c r="O370" s="76">
        <v>1</v>
      </c>
      <c r="P370" s="76">
        <v>1</v>
      </c>
      <c r="Q370" s="76">
        <v>1</v>
      </c>
      <c r="R370" s="76">
        <v>1</v>
      </c>
      <c r="S370" s="76">
        <v>1</v>
      </c>
      <c r="T370" s="76">
        <v>1</v>
      </c>
      <c r="U370" s="76">
        <v>1</v>
      </c>
      <c r="V370" s="76">
        <v>1</v>
      </c>
      <c r="W370" s="76">
        <v>1</v>
      </c>
      <c r="X370" s="76">
        <v>1</v>
      </c>
      <c r="Y370" s="76">
        <v>1</v>
      </c>
      <c r="Z370" s="76">
        <v>1</v>
      </c>
      <c r="AA370" s="76">
        <v>1</v>
      </c>
      <c r="AB370" s="76">
        <v>1</v>
      </c>
      <c r="AC370" s="76">
        <v>1</v>
      </c>
      <c r="AD370" s="76">
        <v>1</v>
      </c>
      <c r="AE370" s="76">
        <v>1</v>
      </c>
      <c r="AF370" s="76">
        <v>1</v>
      </c>
      <c r="AG370" s="76">
        <v>1</v>
      </c>
      <c r="AH370" s="76">
        <v>1</v>
      </c>
      <c r="AI370" s="76">
        <v>1</v>
      </c>
      <c r="AJ370" s="76">
        <v>1</v>
      </c>
      <c r="AK370" s="76">
        <v>1</v>
      </c>
      <c r="AL370" s="76">
        <v>1</v>
      </c>
      <c r="AM370" s="76">
        <v>1</v>
      </c>
      <c r="AN370" s="76">
        <v>1</v>
      </c>
      <c r="AO370" s="76">
        <v>1</v>
      </c>
      <c r="AP370" s="76">
        <v>1</v>
      </c>
      <c r="AQ370" s="76">
        <v>1</v>
      </c>
      <c r="AR370" s="76">
        <v>1</v>
      </c>
      <c r="AS370" s="76">
        <v>1</v>
      </c>
      <c r="AT370" s="76">
        <v>1</v>
      </c>
      <c r="AU370" s="76">
        <v>1</v>
      </c>
      <c r="AV370" s="76">
        <v>1</v>
      </c>
      <c r="AW370" s="76">
        <v>1</v>
      </c>
      <c r="AX370" s="84">
        <v>1</v>
      </c>
    </row>
    <row r="371" spans="1:50" x14ac:dyDescent="0.25">
      <c r="A371" s="356"/>
      <c r="B371" s="359"/>
      <c r="C371" s="350"/>
      <c r="D371" s="2" t="s">
        <v>10</v>
      </c>
      <c r="E371" s="160" t="str">
        <f>A365&amp;"/"&amp;B369&amp;"/"&amp;C369&amp;"/"&amp;D371</f>
        <v>Wind power plants/Offshore/Electricity only/S</v>
      </c>
      <c r="F371" s="76" t="str">
        <f>A365</f>
        <v>Wind power plants</v>
      </c>
      <c r="G371" s="76" t="str">
        <f>B369</f>
        <v>Offshore</v>
      </c>
      <c r="H371" s="76" t="str">
        <f>C369</f>
        <v>Electricity only</v>
      </c>
      <c r="I371" s="161" t="str">
        <f t="shared" si="81"/>
        <v>S</v>
      </c>
      <c r="J371" s="76">
        <v>1</v>
      </c>
      <c r="K371" s="76">
        <v>1</v>
      </c>
      <c r="L371" s="76">
        <v>1</v>
      </c>
      <c r="M371" s="76">
        <v>1</v>
      </c>
      <c r="N371" s="76">
        <v>1</v>
      </c>
      <c r="O371" s="76">
        <v>1</v>
      </c>
      <c r="P371" s="76">
        <v>1</v>
      </c>
      <c r="Q371" s="76">
        <v>1</v>
      </c>
      <c r="R371" s="76">
        <v>1</v>
      </c>
      <c r="S371" s="76">
        <v>1</v>
      </c>
      <c r="T371" s="76">
        <v>1</v>
      </c>
      <c r="U371" s="76">
        <v>1</v>
      </c>
      <c r="V371" s="76">
        <v>1</v>
      </c>
      <c r="W371" s="76">
        <v>1</v>
      </c>
      <c r="X371" s="76">
        <v>1</v>
      </c>
      <c r="Y371" s="76">
        <v>1</v>
      </c>
      <c r="Z371" s="76">
        <v>1</v>
      </c>
      <c r="AA371" s="76">
        <v>1</v>
      </c>
      <c r="AB371" s="76">
        <v>1</v>
      </c>
      <c r="AC371" s="76">
        <v>1</v>
      </c>
      <c r="AD371" s="76">
        <v>1</v>
      </c>
      <c r="AE371" s="76">
        <v>1</v>
      </c>
      <c r="AF371" s="76">
        <v>1</v>
      </c>
      <c r="AG371" s="76">
        <v>1</v>
      </c>
      <c r="AH371" s="76">
        <v>1</v>
      </c>
      <c r="AI371" s="76">
        <v>1</v>
      </c>
      <c r="AJ371" s="76">
        <v>1</v>
      </c>
      <c r="AK371" s="76">
        <v>1</v>
      </c>
      <c r="AL371" s="76">
        <v>1</v>
      </c>
      <c r="AM371" s="76">
        <v>1</v>
      </c>
      <c r="AN371" s="76">
        <v>1</v>
      </c>
      <c r="AO371" s="76">
        <v>1</v>
      </c>
      <c r="AP371" s="76">
        <v>1</v>
      </c>
      <c r="AQ371" s="76">
        <v>1</v>
      </c>
      <c r="AR371" s="76">
        <v>1</v>
      </c>
      <c r="AS371" s="76">
        <v>1</v>
      </c>
      <c r="AT371" s="76">
        <v>1</v>
      </c>
      <c r="AU371" s="76">
        <v>1</v>
      </c>
      <c r="AV371" s="76">
        <v>1</v>
      </c>
      <c r="AW371" s="76">
        <v>1</v>
      </c>
      <c r="AX371" s="84">
        <v>1</v>
      </c>
    </row>
    <row r="372" spans="1:50" x14ac:dyDescent="0.25">
      <c r="A372" s="357"/>
      <c r="B372" s="362"/>
      <c r="C372" s="354"/>
      <c r="D372" s="4" t="s">
        <v>20</v>
      </c>
      <c r="E372" s="168" t="str">
        <f>A365&amp;"/"&amp;B369&amp;"/"&amp;C369&amp;"/"&amp;D372</f>
        <v>Wind power plants/Offshore/Electricity only/XS</v>
      </c>
      <c r="F372" s="80" t="str">
        <f>A365</f>
        <v>Wind power plants</v>
      </c>
      <c r="G372" s="80" t="str">
        <f>B369</f>
        <v>Offshore</v>
      </c>
      <c r="H372" s="80" t="str">
        <f>C369</f>
        <v>Electricity only</v>
      </c>
      <c r="I372" s="169" t="str">
        <f t="shared" si="81"/>
        <v>XS</v>
      </c>
      <c r="J372" s="80">
        <v>1</v>
      </c>
      <c r="K372" s="80">
        <v>1</v>
      </c>
      <c r="L372" s="80">
        <v>1</v>
      </c>
      <c r="M372" s="80">
        <v>1</v>
      </c>
      <c r="N372" s="80">
        <v>1</v>
      </c>
      <c r="O372" s="80">
        <v>1</v>
      </c>
      <c r="P372" s="80">
        <v>1</v>
      </c>
      <c r="Q372" s="80">
        <v>1</v>
      </c>
      <c r="R372" s="80">
        <v>1</v>
      </c>
      <c r="S372" s="80">
        <v>1</v>
      </c>
      <c r="T372" s="80">
        <v>1</v>
      </c>
      <c r="U372" s="80">
        <v>1</v>
      </c>
      <c r="V372" s="80">
        <v>1</v>
      </c>
      <c r="W372" s="80">
        <v>1</v>
      </c>
      <c r="X372" s="80">
        <v>1</v>
      </c>
      <c r="Y372" s="80">
        <v>1</v>
      </c>
      <c r="Z372" s="80">
        <v>1</v>
      </c>
      <c r="AA372" s="80">
        <v>1</v>
      </c>
      <c r="AB372" s="80">
        <v>1</v>
      </c>
      <c r="AC372" s="80">
        <v>1</v>
      </c>
      <c r="AD372" s="80">
        <v>1</v>
      </c>
      <c r="AE372" s="80">
        <v>1</v>
      </c>
      <c r="AF372" s="80">
        <v>1</v>
      </c>
      <c r="AG372" s="80">
        <v>1</v>
      </c>
      <c r="AH372" s="80">
        <v>1</v>
      </c>
      <c r="AI372" s="80">
        <v>1</v>
      </c>
      <c r="AJ372" s="80">
        <v>1</v>
      </c>
      <c r="AK372" s="80">
        <v>1</v>
      </c>
      <c r="AL372" s="80">
        <v>1</v>
      </c>
      <c r="AM372" s="80">
        <v>1</v>
      </c>
      <c r="AN372" s="80">
        <v>1</v>
      </c>
      <c r="AO372" s="80">
        <v>1</v>
      </c>
      <c r="AP372" s="80">
        <v>1</v>
      </c>
      <c r="AQ372" s="80">
        <v>1</v>
      </c>
      <c r="AR372" s="80">
        <v>1</v>
      </c>
      <c r="AS372" s="80">
        <v>1</v>
      </c>
      <c r="AT372" s="80">
        <v>1</v>
      </c>
      <c r="AU372" s="80">
        <v>1</v>
      </c>
      <c r="AV372" s="80">
        <v>1</v>
      </c>
      <c r="AW372" s="80">
        <v>1</v>
      </c>
      <c r="AX372" s="88">
        <v>1</v>
      </c>
    </row>
    <row r="373" spans="1:50" x14ac:dyDescent="0.25">
      <c r="A373" s="355" t="s">
        <v>37</v>
      </c>
      <c r="B373" s="358" t="s">
        <v>37</v>
      </c>
      <c r="C373" s="353" t="s">
        <v>6</v>
      </c>
      <c r="D373" s="3" t="s">
        <v>7</v>
      </c>
      <c r="E373" s="162" t="str">
        <f>A373&amp;"/"&amp;B373&amp;"/"&amp;C373&amp;"/"&amp;D373</f>
        <v>Solar PV power plants/Solar PV power plants/Electricity only/L</v>
      </c>
      <c r="F373" s="77" t="str">
        <f>A373</f>
        <v>Solar PV power plants</v>
      </c>
      <c r="G373" s="77" t="str">
        <f>B373</f>
        <v>Solar PV power plants</v>
      </c>
      <c r="H373" s="77" t="str">
        <f>C373</f>
        <v>Electricity only</v>
      </c>
      <c r="I373" s="163" t="str">
        <f t="shared" si="81"/>
        <v>L</v>
      </c>
      <c r="J373" s="77">
        <v>1</v>
      </c>
      <c r="K373" s="77">
        <v>1</v>
      </c>
      <c r="L373" s="77">
        <v>1</v>
      </c>
      <c r="M373" s="77">
        <v>1</v>
      </c>
      <c r="N373" s="77">
        <v>1</v>
      </c>
      <c r="O373" s="77">
        <v>1</v>
      </c>
      <c r="P373" s="77">
        <v>1</v>
      </c>
      <c r="Q373" s="77">
        <v>1</v>
      </c>
      <c r="R373" s="77">
        <v>1</v>
      </c>
      <c r="S373" s="77">
        <v>1</v>
      </c>
      <c r="T373" s="77">
        <v>1</v>
      </c>
      <c r="U373" s="77">
        <v>1</v>
      </c>
      <c r="V373" s="77">
        <v>1</v>
      </c>
      <c r="W373" s="77">
        <v>1</v>
      </c>
      <c r="X373" s="77">
        <v>1</v>
      </c>
      <c r="Y373" s="77">
        <v>1</v>
      </c>
      <c r="Z373" s="77">
        <v>1</v>
      </c>
      <c r="AA373" s="77">
        <v>1</v>
      </c>
      <c r="AB373" s="77">
        <v>1</v>
      </c>
      <c r="AC373" s="77">
        <v>1</v>
      </c>
      <c r="AD373" s="77">
        <v>1</v>
      </c>
      <c r="AE373" s="77">
        <v>1</v>
      </c>
      <c r="AF373" s="77">
        <v>1</v>
      </c>
      <c r="AG373" s="77">
        <v>1</v>
      </c>
      <c r="AH373" s="77">
        <v>1</v>
      </c>
      <c r="AI373" s="77">
        <v>1</v>
      </c>
      <c r="AJ373" s="77">
        <v>1</v>
      </c>
      <c r="AK373" s="77">
        <v>1</v>
      </c>
      <c r="AL373" s="77">
        <v>1</v>
      </c>
      <c r="AM373" s="77">
        <v>1</v>
      </c>
      <c r="AN373" s="77">
        <v>1</v>
      </c>
      <c r="AO373" s="77">
        <v>1</v>
      </c>
      <c r="AP373" s="77">
        <v>1</v>
      </c>
      <c r="AQ373" s="77">
        <v>1</v>
      </c>
      <c r="AR373" s="77">
        <v>1</v>
      </c>
      <c r="AS373" s="77">
        <v>1</v>
      </c>
      <c r="AT373" s="77">
        <v>1</v>
      </c>
      <c r="AU373" s="77">
        <v>1</v>
      </c>
      <c r="AV373" s="77">
        <v>1</v>
      </c>
      <c r="AW373" s="77">
        <v>1</v>
      </c>
      <c r="AX373" s="85">
        <v>1</v>
      </c>
    </row>
    <row r="374" spans="1:50" x14ac:dyDescent="0.25">
      <c r="A374" s="356"/>
      <c r="B374" s="359"/>
      <c r="C374" s="350"/>
      <c r="D374" s="2" t="s">
        <v>8</v>
      </c>
      <c r="E374" s="160" t="str">
        <f>A373&amp;"/"&amp;B373&amp;"/"&amp;C373&amp;"/"&amp;D374</f>
        <v>Solar PV power plants/Solar PV power plants/Electricity only/M</v>
      </c>
      <c r="F374" s="76" t="str">
        <f>A373</f>
        <v>Solar PV power plants</v>
      </c>
      <c r="G374" s="76" t="str">
        <f>B373</f>
        <v>Solar PV power plants</v>
      </c>
      <c r="H374" s="76" t="str">
        <f>C373</f>
        <v>Electricity only</v>
      </c>
      <c r="I374" s="161" t="str">
        <f t="shared" si="81"/>
        <v>M</v>
      </c>
      <c r="J374" s="76">
        <v>1</v>
      </c>
      <c r="K374" s="76">
        <v>1</v>
      </c>
      <c r="L374" s="76">
        <v>1</v>
      </c>
      <c r="M374" s="76">
        <v>1</v>
      </c>
      <c r="N374" s="76">
        <v>1</v>
      </c>
      <c r="O374" s="76">
        <v>1</v>
      </c>
      <c r="P374" s="76">
        <v>1</v>
      </c>
      <c r="Q374" s="76">
        <v>1</v>
      </c>
      <c r="R374" s="76">
        <v>1</v>
      </c>
      <c r="S374" s="76">
        <v>1</v>
      </c>
      <c r="T374" s="76">
        <v>1</v>
      </c>
      <c r="U374" s="76">
        <v>1</v>
      </c>
      <c r="V374" s="76">
        <v>1</v>
      </c>
      <c r="W374" s="76">
        <v>1</v>
      </c>
      <c r="X374" s="76">
        <v>1</v>
      </c>
      <c r="Y374" s="76">
        <v>1</v>
      </c>
      <c r="Z374" s="76">
        <v>1</v>
      </c>
      <c r="AA374" s="76">
        <v>1</v>
      </c>
      <c r="AB374" s="76">
        <v>1</v>
      </c>
      <c r="AC374" s="76">
        <v>1</v>
      </c>
      <c r="AD374" s="76">
        <v>1</v>
      </c>
      <c r="AE374" s="76">
        <v>1</v>
      </c>
      <c r="AF374" s="76">
        <v>1</v>
      </c>
      <c r="AG374" s="76">
        <v>1</v>
      </c>
      <c r="AH374" s="76">
        <v>1</v>
      </c>
      <c r="AI374" s="76">
        <v>1</v>
      </c>
      <c r="AJ374" s="76">
        <v>1</v>
      </c>
      <c r="AK374" s="76">
        <v>1</v>
      </c>
      <c r="AL374" s="76">
        <v>1</v>
      </c>
      <c r="AM374" s="76">
        <v>1</v>
      </c>
      <c r="AN374" s="76">
        <v>1</v>
      </c>
      <c r="AO374" s="76">
        <v>1</v>
      </c>
      <c r="AP374" s="76">
        <v>1</v>
      </c>
      <c r="AQ374" s="76">
        <v>1</v>
      </c>
      <c r="AR374" s="76">
        <v>1</v>
      </c>
      <c r="AS374" s="76">
        <v>1</v>
      </c>
      <c r="AT374" s="76">
        <v>1</v>
      </c>
      <c r="AU374" s="76">
        <v>1</v>
      </c>
      <c r="AV374" s="76">
        <v>1</v>
      </c>
      <c r="AW374" s="76">
        <v>1</v>
      </c>
      <c r="AX374" s="84">
        <v>1</v>
      </c>
    </row>
    <row r="375" spans="1:50" x14ac:dyDescent="0.25">
      <c r="A375" s="356"/>
      <c r="B375" s="359"/>
      <c r="C375" s="350"/>
      <c r="D375" s="2" t="s">
        <v>10</v>
      </c>
      <c r="E375" s="160" t="str">
        <f>A373&amp;"/"&amp;B373&amp;"/"&amp;C373&amp;"/"&amp;D375</f>
        <v>Solar PV power plants/Solar PV power plants/Electricity only/S</v>
      </c>
      <c r="F375" s="76" t="str">
        <f>A373</f>
        <v>Solar PV power plants</v>
      </c>
      <c r="G375" s="76" t="str">
        <f>B373</f>
        <v>Solar PV power plants</v>
      </c>
      <c r="H375" s="76" t="str">
        <f>C373</f>
        <v>Electricity only</v>
      </c>
      <c r="I375" s="161" t="str">
        <f t="shared" si="81"/>
        <v>S</v>
      </c>
      <c r="J375" s="76">
        <v>1</v>
      </c>
      <c r="K375" s="76">
        <v>1</v>
      </c>
      <c r="L375" s="76">
        <v>1</v>
      </c>
      <c r="M375" s="76">
        <v>1</v>
      </c>
      <c r="N375" s="76">
        <v>1</v>
      </c>
      <c r="O375" s="76">
        <v>1</v>
      </c>
      <c r="P375" s="76">
        <v>1</v>
      </c>
      <c r="Q375" s="76">
        <v>1</v>
      </c>
      <c r="R375" s="76">
        <v>1</v>
      </c>
      <c r="S375" s="76">
        <v>1</v>
      </c>
      <c r="T375" s="76">
        <v>1</v>
      </c>
      <c r="U375" s="76">
        <v>1</v>
      </c>
      <c r="V375" s="76">
        <v>1</v>
      </c>
      <c r="W375" s="76">
        <v>1</v>
      </c>
      <c r="X375" s="76">
        <v>1</v>
      </c>
      <c r="Y375" s="76">
        <v>1</v>
      </c>
      <c r="Z375" s="76">
        <v>1</v>
      </c>
      <c r="AA375" s="76">
        <v>1</v>
      </c>
      <c r="AB375" s="76">
        <v>1</v>
      </c>
      <c r="AC375" s="76">
        <v>1</v>
      </c>
      <c r="AD375" s="76">
        <v>1</v>
      </c>
      <c r="AE375" s="76">
        <v>1</v>
      </c>
      <c r="AF375" s="76">
        <v>1</v>
      </c>
      <c r="AG375" s="76">
        <v>1</v>
      </c>
      <c r="AH375" s="76">
        <v>1</v>
      </c>
      <c r="AI375" s="76">
        <v>1</v>
      </c>
      <c r="AJ375" s="76">
        <v>1</v>
      </c>
      <c r="AK375" s="76">
        <v>1</v>
      </c>
      <c r="AL375" s="76">
        <v>1</v>
      </c>
      <c r="AM375" s="76">
        <v>1</v>
      </c>
      <c r="AN375" s="76">
        <v>1</v>
      </c>
      <c r="AO375" s="76">
        <v>1</v>
      </c>
      <c r="AP375" s="76">
        <v>1</v>
      </c>
      <c r="AQ375" s="76">
        <v>1</v>
      </c>
      <c r="AR375" s="76">
        <v>1</v>
      </c>
      <c r="AS375" s="76">
        <v>1</v>
      </c>
      <c r="AT375" s="76">
        <v>1</v>
      </c>
      <c r="AU375" s="76">
        <v>1</v>
      </c>
      <c r="AV375" s="76">
        <v>1</v>
      </c>
      <c r="AW375" s="76">
        <v>1</v>
      </c>
      <c r="AX375" s="84">
        <v>1</v>
      </c>
    </row>
    <row r="376" spans="1:50" x14ac:dyDescent="0.25">
      <c r="A376" s="357"/>
      <c r="B376" s="362"/>
      <c r="C376" s="354"/>
      <c r="D376" s="4" t="s">
        <v>20</v>
      </c>
      <c r="E376" s="168" t="str">
        <f>A373&amp;"/"&amp;B373&amp;"/"&amp;C373&amp;"/"&amp;D376</f>
        <v>Solar PV power plants/Solar PV power plants/Electricity only/XS</v>
      </c>
      <c r="F376" s="80" t="str">
        <f>A373</f>
        <v>Solar PV power plants</v>
      </c>
      <c r="G376" s="80" t="str">
        <f>B373</f>
        <v>Solar PV power plants</v>
      </c>
      <c r="H376" s="80" t="str">
        <f>C373</f>
        <v>Electricity only</v>
      </c>
      <c r="I376" s="169" t="str">
        <f t="shared" si="81"/>
        <v>XS</v>
      </c>
      <c r="J376" s="80">
        <v>1</v>
      </c>
      <c r="K376" s="80">
        <v>1</v>
      </c>
      <c r="L376" s="80">
        <v>1</v>
      </c>
      <c r="M376" s="80">
        <v>1</v>
      </c>
      <c r="N376" s="80">
        <v>1</v>
      </c>
      <c r="O376" s="80">
        <v>1</v>
      </c>
      <c r="P376" s="80">
        <v>1</v>
      </c>
      <c r="Q376" s="80">
        <v>1</v>
      </c>
      <c r="R376" s="80">
        <v>1</v>
      </c>
      <c r="S376" s="80">
        <v>1</v>
      </c>
      <c r="T376" s="80">
        <v>1</v>
      </c>
      <c r="U376" s="80">
        <v>1</v>
      </c>
      <c r="V376" s="80">
        <v>1</v>
      </c>
      <c r="W376" s="80">
        <v>1</v>
      </c>
      <c r="X376" s="80">
        <v>1</v>
      </c>
      <c r="Y376" s="80">
        <v>1</v>
      </c>
      <c r="Z376" s="80">
        <v>1</v>
      </c>
      <c r="AA376" s="80">
        <v>1</v>
      </c>
      <c r="AB376" s="80">
        <v>1</v>
      </c>
      <c r="AC376" s="80">
        <v>1</v>
      </c>
      <c r="AD376" s="80">
        <v>1</v>
      </c>
      <c r="AE376" s="80">
        <v>1</v>
      </c>
      <c r="AF376" s="80">
        <v>1</v>
      </c>
      <c r="AG376" s="80">
        <v>1</v>
      </c>
      <c r="AH376" s="80">
        <v>1</v>
      </c>
      <c r="AI376" s="80">
        <v>1</v>
      </c>
      <c r="AJ376" s="80">
        <v>1</v>
      </c>
      <c r="AK376" s="80">
        <v>1</v>
      </c>
      <c r="AL376" s="80">
        <v>1</v>
      </c>
      <c r="AM376" s="80">
        <v>1</v>
      </c>
      <c r="AN376" s="80">
        <v>1</v>
      </c>
      <c r="AO376" s="80">
        <v>1</v>
      </c>
      <c r="AP376" s="80">
        <v>1</v>
      </c>
      <c r="AQ376" s="80">
        <v>1</v>
      </c>
      <c r="AR376" s="80">
        <v>1</v>
      </c>
      <c r="AS376" s="80">
        <v>1</v>
      </c>
      <c r="AT376" s="80">
        <v>1</v>
      </c>
      <c r="AU376" s="80">
        <v>1</v>
      </c>
      <c r="AV376" s="80">
        <v>1</v>
      </c>
      <c r="AW376" s="80">
        <v>1</v>
      </c>
      <c r="AX376" s="88">
        <v>1</v>
      </c>
    </row>
    <row r="377" spans="1:50" x14ac:dyDescent="0.25">
      <c r="A377" s="355" t="s">
        <v>38</v>
      </c>
      <c r="B377" s="358" t="s">
        <v>38</v>
      </c>
      <c r="C377" s="353" t="s">
        <v>6</v>
      </c>
      <c r="D377" s="3" t="s">
        <v>7</v>
      </c>
      <c r="E377" s="162" t="str">
        <f>A377&amp;"/"&amp;B377&amp;"/"&amp;C377&amp;"/"&amp;D377</f>
        <v>Solar thermal power plants/Solar thermal power plants/Electricity only/L</v>
      </c>
      <c r="F377" s="77" t="str">
        <f>A377</f>
        <v>Solar thermal power plants</v>
      </c>
      <c r="G377" s="77" t="str">
        <f>B377</f>
        <v>Solar thermal power plants</v>
      </c>
      <c r="H377" s="77" t="str">
        <f>C377</f>
        <v>Electricity only</v>
      </c>
      <c r="I377" s="163" t="str">
        <f t="shared" si="81"/>
        <v>L</v>
      </c>
      <c r="J377" s="77">
        <v>0.2103049421661409</v>
      </c>
      <c r="K377" s="77">
        <v>0.2103049421661409</v>
      </c>
      <c r="L377" s="77">
        <v>0.2103049421661409</v>
      </c>
      <c r="M377" s="77">
        <v>0.2103049421661409</v>
      </c>
      <c r="N377" s="77">
        <v>0.2103049421661409</v>
      </c>
      <c r="O377" s="77">
        <v>0.2103049421661409</v>
      </c>
      <c r="P377" s="77">
        <v>0.2103049421661409</v>
      </c>
      <c r="Q377" s="77">
        <v>0.2103049421661409</v>
      </c>
      <c r="R377" s="77">
        <v>0.2103049421661409</v>
      </c>
      <c r="S377" s="77">
        <v>0.2103049421661409</v>
      </c>
      <c r="T377" s="77">
        <v>0.2103049421661409</v>
      </c>
      <c r="U377" s="77">
        <v>0.2103049421661409</v>
      </c>
      <c r="V377" s="77">
        <v>0.2103049421661409</v>
      </c>
      <c r="W377" s="77">
        <v>0.2103049421661409</v>
      </c>
      <c r="X377" s="77">
        <v>0.2103049421661409</v>
      </c>
      <c r="Y377" s="77">
        <v>0.2103049421661409</v>
      </c>
      <c r="Z377" s="77">
        <v>0.2103049421661409</v>
      </c>
      <c r="AA377" s="77">
        <v>0.2103049421661409</v>
      </c>
      <c r="AB377" s="77">
        <v>0.2103049421661409</v>
      </c>
      <c r="AC377" s="77">
        <v>0.2103049421661409</v>
      </c>
      <c r="AD377" s="77">
        <v>0.2103049421661409</v>
      </c>
      <c r="AE377" s="77">
        <v>0.2103049421661409</v>
      </c>
      <c r="AF377" s="77">
        <v>0.2103049421661409</v>
      </c>
      <c r="AG377" s="77">
        <v>0.2103049421661409</v>
      </c>
      <c r="AH377" s="77">
        <v>0.2103049421661409</v>
      </c>
      <c r="AI377" s="77">
        <v>0.2103049421661409</v>
      </c>
      <c r="AJ377" s="77">
        <v>0.2103049421661409</v>
      </c>
      <c r="AK377" s="77">
        <v>0.2103049421661409</v>
      </c>
      <c r="AL377" s="77">
        <v>0.2103049421661409</v>
      </c>
      <c r="AM377" s="77">
        <v>0.2103049421661409</v>
      </c>
      <c r="AN377" s="77">
        <v>0.2103049421661409</v>
      </c>
      <c r="AO377" s="77">
        <v>0.2103049421661409</v>
      </c>
      <c r="AP377" s="77">
        <v>0.2103049421661409</v>
      </c>
      <c r="AQ377" s="77">
        <v>0.2103049421661409</v>
      </c>
      <c r="AR377" s="77">
        <v>0.2103049421661409</v>
      </c>
      <c r="AS377" s="77">
        <v>0.2103049421661409</v>
      </c>
      <c r="AT377" s="77">
        <v>0.2103049421661409</v>
      </c>
      <c r="AU377" s="77">
        <v>0.2103049421661409</v>
      </c>
      <c r="AV377" s="77">
        <v>0.2103049421661409</v>
      </c>
      <c r="AW377" s="77">
        <v>0.2103049421661409</v>
      </c>
      <c r="AX377" s="85">
        <v>0.2103049421661409</v>
      </c>
    </row>
    <row r="378" spans="1:50" x14ac:dyDescent="0.25">
      <c r="A378" s="356"/>
      <c r="B378" s="359"/>
      <c r="C378" s="350"/>
      <c r="D378" s="2" t="s">
        <v>8</v>
      </c>
      <c r="E378" s="160" t="str">
        <f>A377&amp;"/"&amp;B377&amp;"/"&amp;C377&amp;"/"&amp;D378</f>
        <v>Solar thermal power plants/Solar thermal power plants/Electricity only/M</v>
      </c>
      <c r="F378" s="76" t="str">
        <f>A377</f>
        <v>Solar thermal power plants</v>
      </c>
      <c r="G378" s="76" t="str">
        <f>B377</f>
        <v>Solar thermal power plants</v>
      </c>
      <c r="H378" s="76" t="str">
        <f>C377</f>
        <v>Electricity only</v>
      </c>
      <c r="I378" s="161" t="str">
        <f t="shared" si="81"/>
        <v>M</v>
      </c>
      <c r="J378" s="76">
        <v>0.2103049421661409</v>
      </c>
      <c r="K378" s="76">
        <v>0.2103049421661409</v>
      </c>
      <c r="L378" s="76">
        <v>0.2103049421661409</v>
      </c>
      <c r="M378" s="76">
        <v>0.2103049421661409</v>
      </c>
      <c r="N378" s="76">
        <v>0.2103049421661409</v>
      </c>
      <c r="O378" s="76">
        <v>0.2103049421661409</v>
      </c>
      <c r="P378" s="76">
        <v>0.2103049421661409</v>
      </c>
      <c r="Q378" s="76">
        <v>0.2103049421661409</v>
      </c>
      <c r="R378" s="76">
        <v>0.2103049421661409</v>
      </c>
      <c r="S378" s="76">
        <v>0.2103049421661409</v>
      </c>
      <c r="T378" s="76">
        <v>0.2103049421661409</v>
      </c>
      <c r="U378" s="76">
        <v>0.2103049421661409</v>
      </c>
      <c r="V378" s="76">
        <v>0.2103049421661409</v>
      </c>
      <c r="W378" s="76">
        <v>0.2103049421661409</v>
      </c>
      <c r="X378" s="76">
        <v>0.2103049421661409</v>
      </c>
      <c r="Y378" s="76">
        <v>0.2103049421661409</v>
      </c>
      <c r="Z378" s="76">
        <v>0.2103049421661409</v>
      </c>
      <c r="AA378" s="76">
        <v>0.2103049421661409</v>
      </c>
      <c r="AB378" s="76">
        <v>0.2103049421661409</v>
      </c>
      <c r="AC378" s="76">
        <v>0.2103049421661409</v>
      </c>
      <c r="AD378" s="76">
        <v>0.2103049421661409</v>
      </c>
      <c r="AE378" s="76">
        <v>0.2103049421661409</v>
      </c>
      <c r="AF378" s="76">
        <v>0.2103049421661409</v>
      </c>
      <c r="AG378" s="76">
        <v>0.2103049421661409</v>
      </c>
      <c r="AH378" s="76">
        <v>0.2103049421661409</v>
      </c>
      <c r="AI378" s="76">
        <v>0.2103049421661409</v>
      </c>
      <c r="AJ378" s="76">
        <v>0.2103049421661409</v>
      </c>
      <c r="AK378" s="76">
        <v>0.2103049421661409</v>
      </c>
      <c r="AL378" s="76">
        <v>0.2103049421661409</v>
      </c>
      <c r="AM378" s="76">
        <v>0.2103049421661409</v>
      </c>
      <c r="AN378" s="76">
        <v>0.2103049421661409</v>
      </c>
      <c r="AO378" s="76">
        <v>0.2103049421661409</v>
      </c>
      <c r="AP378" s="76">
        <v>0.2103049421661409</v>
      </c>
      <c r="AQ378" s="76">
        <v>0.2103049421661409</v>
      </c>
      <c r="AR378" s="76">
        <v>0.2103049421661409</v>
      </c>
      <c r="AS378" s="76">
        <v>0.2103049421661409</v>
      </c>
      <c r="AT378" s="76">
        <v>0.2103049421661409</v>
      </c>
      <c r="AU378" s="76">
        <v>0.2103049421661409</v>
      </c>
      <c r="AV378" s="76">
        <v>0.2103049421661409</v>
      </c>
      <c r="AW378" s="76">
        <v>0.2103049421661409</v>
      </c>
      <c r="AX378" s="84">
        <v>0.2103049421661409</v>
      </c>
    </row>
    <row r="379" spans="1:50" x14ac:dyDescent="0.25">
      <c r="A379" s="356"/>
      <c r="B379" s="359"/>
      <c r="C379" s="350"/>
      <c r="D379" s="2" t="s">
        <v>10</v>
      </c>
      <c r="E379" s="160" t="str">
        <f>A377&amp;"/"&amp;B377&amp;"/"&amp;C377&amp;"/"&amp;D379</f>
        <v>Solar thermal power plants/Solar thermal power plants/Electricity only/S</v>
      </c>
      <c r="F379" s="76" t="str">
        <f>A377</f>
        <v>Solar thermal power plants</v>
      </c>
      <c r="G379" s="76" t="str">
        <f>B377</f>
        <v>Solar thermal power plants</v>
      </c>
      <c r="H379" s="76" t="str">
        <f>C377</f>
        <v>Electricity only</v>
      </c>
      <c r="I379" s="161" t="str">
        <f t="shared" si="81"/>
        <v>S</v>
      </c>
      <c r="J379" s="76">
        <v>0.2103049421661409</v>
      </c>
      <c r="K379" s="76">
        <v>0.2103049421661409</v>
      </c>
      <c r="L379" s="76">
        <v>0.2103049421661409</v>
      </c>
      <c r="M379" s="76">
        <v>0.2103049421661409</v>
      </c>
      <c r="N379" s="76">
        <v>0.2103049421661409</v>
      </c>
      <c r="O379" s="76">
        <v>0.2103049421661409</v>
      </c>
      <c r="P379" s="76">
        <v>0.2103049421661409</v>
      </c>
      <c r="Q379" s="76">
        <v>0.2103049421661409</v>
      </c>
      <c r="R379" s="76">
        <v>0.2103049421661409</v>
      </c>
      <c r="S379" s="76">
        <v>0.2103049421661409</v>
      </c>
      <c r="T379" s="76">
        <v>0.2103049421661409</v>
      </c>
      <c r="U379" s="76">
        <v>0.2103049421661409</v>
      </c>
      <c r="V379" s="76">
        <v>0.2103049421661409</v>
      </c>
      <c r="W379" s="76">
        <v>0.2103049421661409</v>
      </c>
      <c r="X379" s="76">
        <v>0.2103049421661409</v>
      </c>
      <c r="Y379" s="76">
        <v>0.2103049421661409</v>
      </c>
      <c r="Z379" s="76">
        <v>0.2103049421661409</v>
      </c>
      <c r="AA379" s="76">
        <v>0.2103049421661409</v>
      </c>
      <c r="AB379" s="76">
        <v>0.2103049421661409</v>
      </c>
      <c r="AC379" s="76">
        <v>0.2103049421661409</v>
      </c>
      <c r="AD379" s="76">
        <v>0.2103049421661409</v>
      </c>
      <c r="AE379" s="76">
        <v>0.2103049421661409</v>
      </c>
      <c r="AF379" s="76">
        <v>0.2103049421661409</v>
      </c>
      <c r="AG379" s="76">
        <v>0.2103049421661409</v>
      </c>
      <c r="AH379" s="76">
        <v>0.2103049421661409</v>
      </c>
      <c r="AI379" s="76">
        <v>0.2103049421661409</v>
      </c>
      <c r="AJ379" s="76">
        <v>0.2103049421661409</v>
      </c>
      <c r="AK379" s="76">
        <v>0.2103049421661409</v>
      </c>
      <c r="AL379" s="76">
        <v>0.2103049421661409</v>
      </c>
      <c r="AM379" s="76">
        <v>0.2103049421661409</v>
      </c>
      <c r="AN379" s="76">
        <v>0.2103049421661409</v>
      </c>
      <c r="AO379" s="76">
        <v>0.2103049421661409</v>
      </c>
      <c r="AP379" s="76">
        <v>0.2103049421661409</v>
      </c>
      <c r="AQ379" s="76">
        <v>0.2103049421661409</v>
      </c>
      <c r="AR379" s="76">
        <v>0.2103049421661409</v>
      </c>
      <c r="AS379" s="76">
        <v>0.2103049421661409</v>
      </c>
      <c r="AT379" s="76">
        <v>0.2103049421661409</v>
      </c>
      <c r="AU379" s="76">
        <v>0.2103049421661409</v>
      </c>
      <c r="AV379" s="76">
        <v>0.2103049421661409</v>
      </c>
      <c r="AW379" s="76">
        <v>0.2103049421661409</v>
      </c>
      <c r="AX379" s="84">
        <v>0.2103049421661409</v>
      </c>
    </row>
    <row r="380" spans="1:50" x14ac:dyDescent="0.25">
      <c r="A380" s="357"/>
      <c r="B380" s="362"/>
      <c r="C380" s="354"/>
      <c r="D380" s="4" t="s">
        <v>20</v>
      </c>
      <c r="E380" s="168" t="str">
        <f>A377&amp;"/"&amp;B377&amp;"/"&amp;C377&amp;"/"&amp;D380</f>
        <v>Solar thermal power plants/Solar thermal power plants/Electricity only/XS</v>
      </c>
      <c r="F380" s="80" t="str">
        <f>A377</f>
        <v>Solar thermal power plants</v>
      </c>
      <c r="G380" s="80" t="str">
        <f>B377</f>
        <v>Solar thermal power plants</v>
      </c>
      <c r="H380" s="80" t="str">
        <f>C377</f>
        <v>Electricity only</v>
      </c>
      <c r="I380" s="169" t="str">
        <f t="shared" si="81"/>
        <v>XS</v>
      </c>
      <c r="J380" s="80">
        <v>0.2103049421661409</v>
      </c>
      <c r="K380" s="80">
        <v>0.2103049421661409</v>
      </c>
      <c r="L380" s="80">
        <v>0.2103049421661409</v>
      </c>
      <c r="M380" s="80">
        <v>0.2103049421661409</v>
      </c>
      <c r="N380" s="80">
        <v>0.2103049421661409</v>
      </c>
      <c r="O380" s="80">
        <v>0.2103049421661409</v>
      </c>
      <c r="P380" s="80">
        <v>0.2103049421661409</v>
      </c>
      <c r="Q380" s="80">
        <v>0.2103049421661409</v>
      </c>
      <c r="R380" s="80">
        <v>0.2103049421661409</v>
      </c>
      <c r="S380" s="80">
        <v>0.2103049421661409</v>
      </c>
      <c r="T380" s="80">
        <v>0.2103049421661409</v>
      </c>
      <c r="U380" s="80">
        <v>0.2103049421661409</v>
      </c>
      <c r="V380" s="80">
        <v>0.2103049421661409</v>
      </c>
      <c r="W380" s="80">
        <v>0.2103049421661409</v>
      </c>
      <c r="X380" s="80">
        <v>0.2103049421661409</v>
      </c>
      <c r="Y380" s="80">
        <v>0.2103049421661409</v>
      </c>
      <c r="Z380" s="80">
        <v>0.2103049421661409</v>
      </c>
      <c r="AA380" s="80">
        <v>0.2103049421661409</v>
      </c>
      <c r="AB380" s="80">
        <v>0.2103049421661409</v>
      </c>
      <c r="AC380" s="80">
        <v>0.2103049421661409</v>
      </c>
      <c r="AD380" s="80">
        <v>0.2103049421661409</v>
      </c>
      <c r="AE380" s="80">
        <v>0.2103049421661409</v>
      </c>
      <c r="AF380" s="80">
        <v>0.2103049421661409</v>
      </c>
      <c r="AG380" s="80">
        <v>0.2103049421661409</v>
      </c>
      <c r="AH380" s="80">
        <v>0.2103049421661409</v>
      </c>
      <c r="AI380" s="80">
        <v>0.2103049421661409</v>
      </c>
      <c r="AJ380" s="80">
        <v>0.2103049421661409</v>
      </c>
      <c r="AK380" s="80">
        <v>0.2103049421661409</v>
      </c>
      <c r="AL380" s="80">
        <v>0.2103049421661409</v>
      </c>
      <c r="AM380" s="80">
        <v>0.2103049421661409</v>
      </c>
      <c r="AN380" s="80">
        <v>0.2103049421661409</v>
      </c>
      <c r="AO380" s="80">
        <v>0.2103049421661409</v>
      </c>
      <c r="AP380" s="80">
        <v>0.2103049421661409</v>
      </c>
      <c r="AQ380" s="80">
        <v>0.2103049421661409</v>
      </c>
      <c r="AR380" s="80">
        <v>0.2103049421661409</v>
      </c>
      <c r="AS380" s="80">
        <v>0.2103049421661409</v>
      </c>
      <c r="AT380" s="80">
        <v>0.2103049421661409</v>
      </c>
      <c r="AU380" s="80">
        <v>0.2103049421661409</v>
      </c>
      <c r="AV380" s="80">
        <v>0.2103049421661409</v>
      </c>
      <c r="AW380" s="80">
        <v>0.2103049421661409</v>
      </c>
      <c r="AX380" s="88">
        <v>0.2103049421661409</v>
      </c>
    </row>
    <row r="381" spans="1:50" x14ac:dyDescent="0.25">
      <c r="A381" s="355" t="s">
        <v>39</v>
      </c>
      <c r="B381" s="358" t="s">
        <v>39</v>
      </c>
      <c r="C381" s="353" t="s">
        <v>6</v>
      </c>
      <c r="D381" s="3" t="s">
        <v>7</v>
      </c>
      <c r="E381" s="162" t="str">
        <f>A381&amp;"/"&amp;B381&amp;"/"&amp;C381&amp;"/"&amp;D381</f>
        <v>Geothermal power plants/Geothermal power plants/Electricity only/L</v>
      </c>
      <c r="F381" s="77" t="str">
        <f>A381</f>
        <v>Geothermal power plants</v>
      </c>
      <c r="G381" s="77" t="str">
        <f>B381</f>
        <v>Geothermal power plants</v>
      </c>
      <c r="H381" s="77" t="str">
        <f>C381</f>
        <v>Electricity only</v>
      </c>
      <c r="I381" s="163" t="str">
        <f t="shared" si="81"/>
        <v>L</v>
      </c>
      <c r="J381" s="77">
        <v>0.1</v>
      </c>
      <c r="K381" s="77">
        <v>0.1</v>
      </c>
      <c r="L381" s="77">
        <v>0.1</v>
      </c>
      <c r="M381" s="77">
        <v>0.1</v>
      </c>
      <c r="N381" s="77">
        <v>0.1</v>
      </c>
      <c r="O381" s="77">
        <v>0.1</v>
      </c>
      <c r="P381" s="77">
        <v>0.1</v>
      </c>
      <c r="Q381" s="77">
        <v>0.1</v>
      </c>
      <c r="R381" s="77">
        <v>0.1</v>
      </c>
      <c r="S381" s="77">
        <v>0.1</v>
      </c>
      <c r="T381" s="77">
        <v>0.1</v>
      </c>
      <c r="U381" s="77">
        <v>0.1</v>
      </c>
      <c r="V381" s="77">
        <v>0.1</v>
      </c>
      <c r="W381" s="77">
        <v>0.1</v>
      </c>
      <c r="X381" s="77">
        <v>0.1</v>
      </c>
      <c r="Y381" s="77">
        <v>0.1</v>
      </c>
      <c r="Z381" s="77">
        <v>0.1</v>
      </c>
      <c r="AA381" s="77">
        <v>0.1</v>
      </c>
      <c r="AB381" s="77">
        <v>0.1</v>
      </c>
      <c r="AC381" s="77">
        <v>0.1</v>
      </c>
      <c r="AD381" s="77">
        <v>0.1</v>
      </c>
      <c r="AE381" s="77">
        <v>0.1</v>
      </c>
      <c r="AF381" s="77">
        <v>0.1</v>
      </c>
      <c r="AG381" s="77">
        <v>0.1</v>
      </c>
      <c r="AH381" s="77">
        <v>0.1</v>
      </c>
      <c r="AI381" s="77">
        <v>0.1</v>
      </c>
      <c r="AJ381" s="77">
        <v>0.1</v>
      </c>
      <c r="AK381" s="77">
        <v>0.1</v>
      </c>
      <c r="AL381" s="77">
        <v>0.1</v>
      </c>
      <c r="AM381" s="77">
        <v>0.1</v>
      </c>
      <c r="AN381" s="77">
        <v>0.1</v>
      </c>
      <c r="AO381" s="77">
        <v>0.1</v>
      </c>
      <c r="AP381" s="77">
        <v>0.1</v>
      </c>
      <c r="AQ381" s="77">
        <v>0.1</v>
      </c>
      <c r="AR381" s="77">
        <v>0.1</v>
      </c>
      <c r="AS381" s="77">
        <v>0.1</v>
      </c>
      <c r="AT381" s="77">
        <v>0.1</v>
      </c>
      <c r="AU381" s="77">
        <v>0.1</v>
      </c>
      <c r="AV381" s="77">
        <v>0.1</v>
      </c>
      <c r="AW381" s="77">
        <v>0.1</v>
      </c>
      <c r="AX381" s="85">
        <v>0.1</v>
      </c>
    </row>
    <row r="382" spans="1:50" x14ac:dyDescent="0.25">
      <c r="A382" s="356"/>
      <c r="B382" s="359"/>
      <c r="C382" s="350"/>
      <c r="D382" s="2" t="s">
        <v>8</v>
      </c>
      <c r="E382" s="160" t="str">
        <f>A381&amp;"/"&amp;B381&amp;"/"&amp;C381&amp;"/"&amp;D382</f>
        <v>Geothermal power plants/Geothermal power plants/Electricity only/M</v>
      </c>
      <c r="F382" s="76" t="str">
        <f>A381</f>
        <v>Geothermal power plants</v>
      </c>
      <c r="G382" s="76" t="str">
        <f>B381</f>
        <v>Geothermal power plants</v>
      </c>
      <c r="H382" s="76" t="str">
        <f>C381</f>
        <v>Electricity only</v>
      </c>
      <c r="I382" s="161" t="str">
        <f t="shared" si="81"/>
        <v>M</v>
      </c>
      <c r="J382" s="76">
        <v>0.1</v>
      </c>
      <c r="K382" s="76">
        <v>0.1</v>
      </c>
      <c r="L382" s="76">
        <v>0.1</v>
      </c>
      <c r="M382" s="76">
        <v>0.1</v>
      </c>
      <c r="N382" s="76">
        <v>0.1</v>
      </c>
      <c r="O382" s="76">
        <v>0.1</v>
      </c>
      <c r="P382" s="76">
        <v>0.1</v>
      </c>
      <c r="Q382" s="76">
        <v>0.1</v>
      </c>
      <c r="R382" s="76">
        <v>0.1</v>
      </c>
      <c r="S382" s="76">
        <v>0.1</v>
      </c>
      <c r="T382" s="76">
        <v>0.1</v>
      </c>
      <c r="U382" s="76">
        <v>0.1</v>
      </c>
      <c r="V382" s="76">
        <v>0.1</v>
      </c>
      <c r="W382" s="76">
        <v>0.1</v>
      </c>
      <c r="X382" s="76">
        <v>0.1</v>
      </c>
      <c r="Y382" s="76">
        <v>0.1</v>
      </c>
      <c r="Z382" s="76">
        <v>0.1</v>
      </c>
      <c r="AA382" s="76">
        <v>0.1</v>
      </c>
      <c r="AB382" s="76">
        <v>0.1</v>
      </c>
      <c r="AC382" s="76">
        <v>0.1</v>
      </c>
      <c r="AD382" s="76">
        <v>0.1</v>
      </c>
      <c r="AE382" s="76">
        <v>0.1</v>
      </c>
      <c r="AF382" s="76">
        <v>0.1</v>
      </c>
      <c r="AG382" s="76">
        <v>0.1</v>
      </c>
      <c r="AH382" s="76">
        <v>0.1</v>
      </c>
      <c r="AI382" s="76">
        <v>0.1</v>
      </c>
      <c r="AJ382" s="76">
        <v>0.1</v>
      </c>
      <c r="AK382" s="76">
        <v>0.1</v>
      </c>
      <c r="AL382" s="76">
        <v>0.1</v>
      </c>
      <c r="AM382" s="76">
        <v>0.1</v>
      </c>
      <c r="AN382" s="76">
        <v>0.1</v>
      </c>
      <c r="AO382" s="76">
        <v>0.1</v>
      </c>
      <c r="AP382" s="76">
        <v>0.1</v>
      </c>
      <c r="AQ382" s="76">
        <v>0.1</v>
      </c>
      <c r="AR382" s="76">
        <v>0.1</v>
      </c>
      <c r="AS382" s="76">
        <v>0.1</v>
      </c>
      <c r="AT382" s="76">
        <v>0.1</v>
      </c>
      <c r="AU382" s="76">
        <v>0.1</v>
      </c>
      <c r="AV382" s="76">
        <v>0.1</v>
      </c>
      <c r="AW382" s="76">
        <v>0.1</v>
      </c>
      <c r="AX382" s="84">
        <v>0.1</v>
      </c>
    </row>
    <row r="383" spans="1:50" x14ac:dyDescent="0.25">
      <c r="A383" s="357"/>
      <c r="B383" s="362"/>
      <c r="C383" s="354"/>
      <c r="D383" s="4" t="s">
        <v>10</v>
      </c>
      <c r="E383" s="168" t="str">
        <f>A381&amp;"/"&amp;B381&amp;"/"&amp;C381&amp;"/"&amp;D383</f>
        <v>Geothermal power plants/Geothermal power plants/Electricity only/S</v>
      </c>
      <c r="F383" s="80" t="str">
        <f>A381</f>
        <v>Geothermal power plants</v>
      </c>
      <c r="G383" s="80" t="str">
        <f>B381</f>
        <v>Geothermal power plants</v>
      </c>
      <c r="H383" s="80" t="str">
        <f>C381</f>
        <v>Electricity only</v>
      </c>
      <c r="I383" s="169" t="str">
        <f t="shared" ref="I383:I397" si="82">D383</f>
        <v>S</v>
      </c>
      <c r="J383" s="80">
        <v>0.1</v>
      </c>
      <c r="K383" s="80">
        <v>0.1</v>
      </c>
      <c r="L383" s="80">
        <v>0.1</v>
      </c>
      <c r="M383" s="80">
        <v>0.1</v>
      </c>
      <c r="N383" s="80">
        <v>0.1</v>
      </c>
      <c r="O383" s="80">
        <v>0.1</v>
      </c>
      <c r="P383" s="80">
        <v>0.1</v>
      </c>
      <c r="Q383" s="80">
        <v>0.1</v>
      </c>
      <c r="R383" s="80">
        <v>0.1</v>
      </c>
      <c r="S383" s="80">
        <v>0.1</v>
      </c>
      <c r="T383" s="80">
        <v>0.1</v>
      </c>
      <c r="U383" s="80">
        <v>0.1</v>
      </c>
      <c r="V383" s="80">
        <v>0.1</v>
      </c>
      <c r="W383" s="80">
        <v>0.1</v>
      </c>
      <c r="X383" s="80">
        <v>0.1</v>
      </c>
      <c r="Y383" s="80">
        <v>0.1</v>
      </c>
      <c r="Z383" s="80">
        <v>0.1</v>
      </c>
      <c r="AA383" s="80">
        <v>0.1</v>
      </c>
      <c r="AB383" s="80">
        <v>0.1</v>
      </c>
      <c r="AC383" s="80">
        <v>0.1</v>
      </c>
      <c r="AD383" s="80">
        <v>0.1</v>
      </c>
      <c r="AE383" s="80">
        <v>0.1</v>
      </c>
      <c r="AF383" s="80">
        <v>0.1</v>
      </c>
      <c r="AG383" s="80">
        <v>0.1</v>
      </c>
      <c r="AH383" s="80">
        <v>0.1</v>
      </c>
      <c r="AI383" s="80">
        <v>0.1</v>
      </c>
      <c r="AJ383" s="80">
        <v>0.1</v>
      </c>
      <c r="AK383" s="80">
        <v>0.1</v>
      </c>
      <c r="AL383" s="80">
        <v>0.1</v>
      </c>
      <c r="AM383" s="80">
        <v>0.1</v>
      </c>
      <c r="AN383" s="80">
        <v>0.1</v>
      </c>
      <c r="AO383" s="80">
        <v>0.1</v>
      </c>
      <c r="AP383" s="80">
        <v>0.1</v>
      </c>
      <c r="AQ383" s="80">
        <v>0.1</v>
      </c>
      <c r="AR383" s="80">
        <v>0.1</v>
      </c>
      <c r="AS383" s="80">
        <v>0.1</v>
      </c>
      <c r="AT383" s="80">
        <v>0.1</v>
      </c>
      <c r="AU383" s="80">
        <v>0.1</v>
      </c>
      <c r="AV383" s="80">
        <v>0.1</v>
      </c>
      <c r="AW383" s="80">
        <v>0.1</v>
      </c>
      <c r="AX383" s="88">
        <v>0.1</v>
      </c>
    </row>
    <row r="384" spans="1:50" x14ac:dyDescent="0.25">
      <c r="A384" s="355" t="s">
        <v>40</v>
      </c>
      <c r="B384" s="5" t="s">
        <v>41</v>
      </c>
      <c r="C384" s="6" t="s">
        <v>6</v>
      </c>
      <c r="D384" s="60" t="s">
        <v>8</v>
      </c>
      <c r="E384" s="170" t="str">
        <f>A384&amp;"/"&amp;B384&amp;"/"&amp;C384&amp;"/"&amp;D384</f>
        <v>Tide, wave and ocean power plants/Tidal/Electricity only/M</v>
      </c>
      <c r="F384" s="81" t="str">
        <f>A384</f>
        <v>Tide, wave and ocean power plants</v>
      </c>
      <c r="G384" s="81" t="str">
        <f>B384</f>
        <v>Tidal</v>
      </c>
      <c r="H384" s="81" t="str">
        <f>C384</f>
        <v>Electricity only</v>
      </c>
      <c r="I384" s="171" t="str">
        <f t="shared" si="82"/>
        <v>M</v>
      </c>
      <c r="J384" s="81">
        <v>1</v>
      </c>
      <c r="K384" s="81">
        <v>1</v>
      </c>
      <c r="L384" s="81">
        <v>1</v>
      </c>
      <c r="M384" s="81">
        <v>1</v>
      </c>
      <c r="N384" s="81">
        <v>1</v>
      </c>
      <c r="O384" s="81">
        <v>1</v>
      </c>
      <c r="P384" s="81">
        <v>1</v>
      </c>
      <c r="Q384" s="81">
        <v>1</v>
      </c>
      <c r="R384" s="81">
        <v>1</v>
      </c>
      <c r="S384" s="81">
        <v>1</v>
      </c>
      <c r="T384" s="81">
        <v>1</v>
      </c>
      <c r="U384" s="81">
        <v>1</v>
      </c>
      <c r="V384" s="81">
        <v>1</v>
      </c>
      <c r="W384" s="81">
        <v>1</v>
      </c>
      <c r="X384" s="81">
        <v>1</v>
      </c>
      <c r="Y384" s="81">
        <v>1</v>
      </c>
      <c r="Z384" s="81">
        <v>1</v>
      </c>
      <c r="AA384" s="81">
        <v>1</v>
      </c>
      <c r="AB384" s="81">
        <v>1</v>
      </c>
      <c r="AC384" s="81">
        <v>1</v>
      </c>
      <c r="AD384" s="81">
        <v>1</v>
      </c>
      <c r="AE384" s="81">
        <v>1</v>
      </c>
      <c r="AF384" s="81">
        <v>1</v>
      </c>
      <c r="AG384" s="81">
        <v>1</v>
      </c>
      <c r="AH384" s="81">
        <v>1</v>
      </c>
      <c r="AI384" s="81">
        <v>1</v>
      </c>
      <c r="AJ384" s="81">
        <v>1</v>
      </c>
      <c r="AK384" s="81">
        <v>1</v>
      </c>
      <c r="AL384" s="81">
        <v>1</v>
      </c>
      <c r="AM384" s="81">
        <v>1</v>
      </c>
      <c r="AN384" s="81">
        <v>1</v>
      </c>
      <c r="AO384" s="81">
        <v>1</v>
      </c>
      <c r="AP384" s="81">
        <v>1</v>
      </c>
      <c r="AQ384" s="81">
        <v>1</v>
      </c>
      <c r="AR384" s="81">
        <v>1</v>
      </c>
      <c r="AS384" s="81">
        <v>1</v>
      </c>
      <c r="AT384" s="81">
        <v>1</v>
      </c>
      <c r="AU384" s="81">
        <v>1</v>
      </c>
      <c r="AV384" s="81">
        <v>1</v>
      </c>
      <c r="AW384" s="81">
        <v>1</v>
      </c>
      <c r="AX384" s="89">
        <v>1</v>
      </c>
    </row>
    <row r="385" spans="1:50" x14ac:dyDescent="0.25">
      <c r="A385" s="357"/>
      <c r="B385" s="279" t="s">
        <v>42</v>
      </c>
      <c r="C385" s="7" t="s">
        <v>6</v>
      </c>
      <c r="D385" s="4" t="s">
        <v>8</v>
      </c>
      <c r="E385" s="168" t="str">
        <f>A384&amp;"/"&amp;B385&amp;"/"&amp;C385&amp;"/"&amp;D385</f>
        <v>Tide, wave and ocean power plants/Wave/Electricity only/M</v>
      </c>
      <c r="F385" s="80" t="str">
        <f>A384</f>
        <v>Tide, wave and ocean power plants</v>
      </c>
      <c r="G385" s="80" t="str">
        <f>B385</f>
        <v>Wave</v>
      </c>
      <c r="H385" s="80" t="str">
        <f>C385</f>
        <v>Electricity only</v>
      </c>
      <c r="I385" s="169" t="str">
        <f t="shared" si="82"/>
        <v>M</v>
      </c>
      <c r="J385" s="80">
        <v>1</v>
      </c>
      <c r="K385" s="80">
        <v>1</v>
      </c>
      <c r="L385" s="80">
        <v>1</v>
      </c>
      <c r="M385" s="80">
        <v>1</v>
      </c>
      <c r="N385" s="80">
        <v>1</v>
      </c>
      <c r="O385" s="80">
        <v>1</v>
      </c>
      <c r="P385" s="80">
        <v>1</v>
      </c>
      <c r="Q385" s="80">
        <v>1</v>
      </c>
      <c r="R385" s="80">
        <v>1</v>
      </c>
      <c r="S385" s="80">
        <v>1</v>
      </c>
      <c r="T385" s="80">
        <v>1</v>
      </c>
      <c r="U385" s="80">
        <v>1</v>
      </c>
      <c r="V385" s="80">
        <v>1</v>
      </c>
      <c r="W385" s="80">
        <v>1</v>
      </c>
      <c r="X385" s="80">
        <v>1</v>
      </c>
      <c r="Y385" s="80">
        <v>1</v>
      </c>
      <c r="Z385" s="80">
        <v>1</v>
      </c>
      <c r="AA385" s="80">
        <v>1</v>
      </c>
      <c r="AB385" s="80">
        <v>1</v>
      </c>
      <c r="AC385" s="80">
        <v>1</v>
      </c>
      <c r="AD385" s="80">
        <v>1</v>
      </c>
      <c r="AE385" s="80">
        <v>1</v>
      </c>
      <c r="AF385" s="80">
        <v>1</v>
      </c>
      <c r="AG385" s="80">
        <v>1</v>
      </c>
      <c r="AH385" s="80">
        <v>1</v>
      </c>
      <c r="AI385" s="80">
        <v>1</v>
      </c>
      <c r="AJ385" s="80">
        <v>1</v>
      </c>
      <c r="AK385" s="80">
        <v>1</v>
      </c>
      <c r="AL385" s="80">
        <v>1</v>
      </c>
      <c r="AM385" s="80">
        <v>1</v>
      </c>
      <c r="AN385" s="80">
        <v>1</v>
      </c>
      <c r="AO385" s="80">
        <v>1</v>
      </c>
      <c r="AP385" s="80">
        <v>1</v>
      </c>
      <c r="AQ385" s="80">
        <v>1</v>
      </c>
      <c r="AR385" s="80">
        <v>1</v>
      </c>
      <c r="AS385" s="80">
        <v>1</v>
      </c>
      <c r="AT385" s="80">
        <v>1</v>
      </c>
      <c r="AU385" s="80">
        <v>1</v>
      </c>
      <c r="AV385" s="80">
        <v>1</v>
      </c>
      <c r="AW385" s="80">
        <v>1</v>
      </c>
      <c r="AX385" s="88">
        <v>1</v>
      </c>
    </row>
    <row r="386" spans="1:50" x14ac:dyDescent="0.25">
      <c r="A386" s="355" t="s">
        <v>43</v>
      </c>
      <c r="B386" s="358" t="s">
        <v>44</v>
      </c>
      <c r="C386" s="353" t="s">
        <v>6</v>
      </c>
      <c r="D386" s="3" t="s">
        <v>7</v>
      </c>
      <c r="E386" s="162" t="str">
        <f>A386&amp;"/"&amp;B386&amp;"/"&amp;C386&amp;"/"&amp;D386</f>
        <v>Hydro plants/Run-of-river/Electricity only/L</v>
      </c>
      <c r="F386" s="77" t="str">
        <f>A386</f>
        <v>Hydro plants</v>
      </c>
      <c r="G386" s="77" t="str">
        <f>B386</f>
        <v>Run-of-river</v>
      </c>
      <c r="H386" s="77" t="str">
        <f>C386</f>
        <v>Electricity only</v>
      </c>
      <c r="I386" s="163" t="str">
        <f t="shared" si="82"/>
        <v>L</v>
      </c>
      <c r="J386" s="77">
        <v>1</v>
      </c>
      <c r="K386" s="77">
        <v>1</v>
      </c>
      <c r="L386" s="77">
        <v>1</v>
      </c>
      <c r="M386" s="77">
        <v>1</v>
      </c>
      <c r="N386" s="77">
        <v>1</v>
      </c>
      <c r="O386" s="77">
        <v>1</v>
      </c>
      <c r="P386" s="77">
        <v>1</v>
      </c>
      <c r="Q386" s="77">
        <v>1</v>
      </c>
      <c r="R386" s="77">
        <v>1</v>
      </c>
      <c r="S386" s="77">
        <v>1</v>
      </c>
      <c r="T386" s="77">
        <v>1</v>
      </c>
      <c r="U386" s="77">
        <v>1</v>
      </c>
      <c r="V386" s="77">
        <v>1</v>
      </c>
      <c r="W386" s="77">
        <v>1</v>
      </c>
      <c r="X386" s="77">
        <v>1</v>
      </c>
      <c r="Y386" s="77">
        <v>1</v>
      </c>
      <c r="Z386" s="77">
        <v>1</v>
      </c>
      <c r="AA386" s="77">
        <v>1</v>
      </c>
      <c r="AB386" s="77">
        <v>1</v>
      </c>
      <c r="AC386" s="77">
        <v>1</v>
      </c>
      <c r="AD386" s="77">
        <v>1</v>
      </c>
      <c r="AE386" s="77">
        <v>1</v>
      </c>
      <c r="AF386" s="77">
        <v>1</v>
      </c>
      <c r="AG386" s="77">
        <v>1</v>
      </c>
      <c r="AH386" s="77">
        <v>1</v>
      </c>
      <c r="AI386" s="77">
        <v>1</v>
      </c>
      <c r="AJ386" s="77">
        <v>1</v>
      </c>
      <c r="AK386" s="77">
        <v>1</v>
      </c>
      <c r="AL386" s="77">
        <v>1</v>
      </c>
      <c r="AM386" s="77">
        <v>1</v>
      </c>
      <c r="AN386" s="77">
        <v>1</v>
      </c>
      <c r="AO386" s="77">
        <v>1</v>
      </c>
      <c r="AP386" s="77">
        <v>1</v>
      </c>
      <c r="AQ386" s="77">
        <v>1</v>
      </c>
      <c r="AR386" s="77">
        <v>1</v>
      </c>
      <c r="AS386" s="77">
        <v>1</v>
      </c>
      <c r="AT386" s="77">
        <v>1</v>
      </c>
      <c r="AU386" s="77">
        <v>1</v>
      </c>
      <c r="AV386" s="77">
        <v>1</v>
      </c>
      <c r="AW386" s="77">
        <v>1</v>
      </c>
      <c r="AX386" s="85">
        <v>1</v>
      </c>
    </row>
    <row r="387" spans="1:50" x14ac:dyDescent="0.25">
      <c r="A387" s="356"/>
      <c r="B387" s="359"/>
      <c r="C387" s="350"/>
      <c r="D387" s="2" t="s">
        <v>8</v>
      </c>
      <c r="E387" s="160" t="str">
        <f>A386&amp;"/"&amp;B386&amp;"/"&amp;C386&amp;"/"&amp;D387</f>
        <v>Hydro plants/Run-of-river/Electricity only/M</v>
      </c>
      <c r="F387" s="76" t="str">
        <f>A386</f>
        <v>Hydro plants</v>
      </c>
      <c r="G387" s="76" t="str">
        <f>B386</f>
        <v>Run-of-river</v>
      </c>
      <c r="H387" s="76" t="str">
        <f>C386</f>
        <v>Electricity only</v>
      </c>
      <c r="I387" s="161" t="str">
        <f t="shared" si="82"/>
        <v>M</v>
      </c>
      <c r="J387" s="76">
        <v>1</v>
      </c>
      <c r="K387" s="76">
        <v>1</v>
      </c>
      <c r="L387" s="76">
        <v>1</v>
      </c>
      <c r="M387" s="76">
        <v>1</v>
      </c>
      <c r="N387" s="76">
        <v>1</v>
      </c>
      <c r="O387" s="76">
        <v>1</v>
      </c>
      <c r="P387" s="76">
        <v>1</v>
      </c>
      <c r="Q387" s="76">
        <v>1</v>
      </c>
      <c r="R387" s="76">
        <v>1</v>
      </c>
      <c r="S387" s="76">
        <v>1</v>
      </c>
      <c r="T387" s="76">
        <v>1</v>
      </c>
      <c r="U387" s="76">
        <v>1</v>
      </c>
      <c r="V387" s="76">
        <v>1</v>
      </c>
      <c r="W387" s="76">
        <v>1</v>
      </c>
      <c r="X387" s="76">
        <v>1</v>
      </c>
      <c r="Y387" s="76">
        <v>1</v>
      </c>
      <c r="Z387" s="76">
        <v>1</v>
      </c>
      <c r="AA387" s="76">
        <v>1</v>
      </c>
      <c r="AB387" s="76">
        <v>1</v>
      </c>
      <c r="AC387" s="76">
        <v>1</v>
      </c>
      <c r="AD387" s="76">
        <v>1</v>
      </c>
      <c r="AE387" s="76">
        <v>1</v>
      </c>
      <c r="AF387" s="76">
        <v>1</v>
      </c>
      <c r="AG387" s="76">
        <v>1</v>
      </c>
      <c r="AH387" s="76">
        <v>1</v>
      </c>
      <c r="AI387" s="76">
        <v>1</v>
      </c>
      <c r="AJ387" s="76">
        <v>1</v>
      </c>
      <c r="AK387" s="76">
        <v>1</v>
      </c>
      <c r="AL387" s="76">
        <v>1</v>
      </c>
      <c r="AM387" s="76">
        <v>1</v>
      </c>
      <c r="AN387" s="76">
        <v>1</v>
      </c>
      <c r="AO387" s="76">
        <v>1</v>
      </c>
      <c r="AP387" s="76">
        <v>1</v>
      </c>
      <c r="AQ387" s="76">
        <v>1</v>
      </c>
      <c r="AR387" s="76">
        <v>1</v>
      </c>
      <c r="AS387" s="76">
        <v>1</v>
      </c>
      <c r="AT387" s="76">
        <v>1</v>
      </c>
      <c r="AU387" s="76">
        <v>1</v>
      </c>
      <c r="AV387" s="76">
        <v>1</v>
      </c>
      <c r="AW387" s="76">
        <v>1</v>
      </c>
      <c r="AX387" s="84">
        <v>1</v>
      </c>
    </row>
    <row r="388" spans="1:50" x14ac:dyDescent="0.25">
      <c r="A388" s="356"/>
      <c r="B388" s="359"/>
      <c r="C388" s="350"/>
      <c r="D388" s="2" t="s">
        <v>10</v>
      </c>
      <c r="E388" s="160" t="str">
        <f>A386&amp;"/"&amp;B386&amp;"/"&amp;C386&amp;"/"&amp;D388</f>
        <v>Hydro plants/Run-of-river/Electricity only/S</v>
      </c>
      <c r="F388" s="76" t="str">
        <f>A386</f>
        <v>Hydro plants</v>
      </c>
      <c r="G388" s="76" t="str">
        <f>B386</f>
        <v>Run-of-river</v>
      </c>
      <c r="H388" s="76" t="str">
        <f>C386</f>
        <v>Electricity only</v>
      </c>
      <c r="I388" s="161" t="str">
        <f t="shared" si="82"/>
        <v>S</v>
      </c>
      <c r="J388" s="76">
        <v>1</v>
      </c>
      <c r="K388" s="76">
        <v>1</v>
      </c>
      <c r="L388" s="76">
        <v>1</v>
      </c>
      <c r="M388" s="76">
        <v>1</v>
      </c>
      <c r="N388" s="76">
        <v>1</v>
      </c>
      <c r="O388" s="76">
        <v>1</v>
      </c>
      <c r="P388" s="76">
        <v>1</v>
      </c>
      <c r="Q388" s="76">
        <v>1</v>
      </c>
      <c r="R388" s="76">
        <v>1</v>
      </c>
      <c r="S388" s="76">
        <v>1</v>
      </c>
      <c r="T388" s="76">
        <v>1</v>
      </c>
      <c r="U388" s="76">
        <v>1</v>
      </c>
      <c r="V388" s="76">
        <v>1</v>
      </c>
      <c r="W388" s="76">
        <v>1</v>
      </c>
      <c r="X388" s="76">
        <v>1</v>
      </c>
      <c r="Y388" s="76">
        <v>1</v>
      </c>
      <c r="Z388" s="76">
        <v>1</v>
      </c>
      <c r="AA388" s="76">
        <v>1</v>
      </c>
      <c r="AB388" s="76">
        <v>1</v>
      </c>
      <c r="AC388" s="76">
        <v>1</v>
      </c>
      <c r="AD388" s="76">
        <v>1</v>
      </c>
      <c r="AE388" s="76">
        <v>1</v>
      </c>
      <c r="AF388" s="76">
        <v>1</v>
      </c>
      <c r="AG388" s="76">
        <v>1</v>
      </c>
      <c r="AH388" s="76">
        <v>1</v>
      </c>
      <c r="AI388" s="76">
        <v>1</v>
      </c>
      <c r="AJ388" s="76">
        <v>1</v>
      </c>
      <c r="AK388" s="76">
        <v>1</v>
      </c>
      <c r="AL388" s="76">
        <v>1</v>
      </c>
      <c r="AM388" s="76">
        <v>1</v>
      </c>
      <c r="AN388" s="76">
        <v>1</v>
      </c>
      <c r="AO388" s="76">
        <v>1</v>
      </c>
      <c r="AP388" s="76">
        <v>1</v>
      </c>
      <c r="AQ388" s="76">
        <v>1</v>
      </c>
      <c r="AR388" s="76">
        <v>1</v>
      </c>
      <c r="AS388" s="76">
        <v>1</v>
      </c>
      <c r="AT388" s="76">
        <v>1</v>
      </c>
      <c r="AU388" s="76">
        <v>1</v>
      </c>
      <c r="AV388" s="76">
        <v>1</v>
      </c>
      <c r="AW388" s="76">
        <v>1</v>
      </c>
      <c r="AX388" s="84">
        <v>1</v>
      </c>
    </row>
    <row r="389" spans="1:50" x14ac:dyDescent="0.25">
      <c r="A389" s="356"/>
      <c r="B389" s="368"/>
      <c r="C389" s="360"/>
      <c r="D389" s="59" t="s">
        <v>20</v>
      </c>
      <c r="E389" s="166" t="str">
        <f>A386&amp;"/"&amp;B386&amp;"/"&amp;C386&amp;"/"&amp;D389</f>
        <v>Hydro plants/Run-of-river/Electricity only/XS</v>
      </c>
      <c r="F389" s="79" t="str">
        <f>A386</f>
        <v>Hydro plants</v>
      </c>
      <c r="G389" s="79" t="str">
        <f>B386</f>
        <v>Run-of-river</v>
      </c>
      <c r="H389" s="79" t="str">
        <f>C386</f>
        <v>Electricity only</v>
      </c>
      <c r="I389" s="167" t="str">
        <f t="shared" si="82"/>
        <v>XS</v>
      </c>
      <c r="J389" s="79">
        <v>1</v>
      </c>
      <c r="K389" s="79">
        <v>1</v>
      </c>
      <c r="L389" s="79">
        <v>1</v>
      </c>
      <c r="M389" s="79">
        <v>1</v>
      </c>
      <c r="N389" s="79">
        <v>1</v>
      </c>
      <c r="O389" s="79">
        <v>1</v>
      </c>
      <c r="P389" s="79">
        <v>1</v>
      </c>
      <c r="Q389" s="79">
        <v>1</v>
      </c>
      <c r="R389" s="79">
        <v>1</v>
      </c>
      <c r="S389" s="79">
        <v>1</v>
      </c>
      <c r="T389" s="79">
        <v>1</v>
      </c>
      <c r="U389" s="79">
        <v>1</v>
      </c>
      <c r="V389" s="79">
        <v>1</v>
      </c>
      <c r="W389" s="79">
        <v>1</v>
      </c>
      <c r="X389" s="79">
        <v>1</v>
      </c>
      <c r="Y389" s="79">
        <v>1</v>
      </c>
      <c r="Z389" s="79">
        <v>1</v>
      </c>
      <c r="AA389" s="79">
        <v>1</v>
      </c>
      <c r="AB389" s="79">
        <v>1</v>
      </c>
      <c r="AC389" s="79">
        <v>1</v>
      </c>
      <c r="AD389" s="79">
        <v>1</v>
      </c>
      <c r="AE389" s="79">
        <v>1</v>
      </c>
      <c r="AF389" s="79">
        <v>1</v>
      </c>
      <c r="AG389" s="79">
        <v>1</v>
      </c>
      <c r="AH389" s="79">
        <v>1</v>
      </c>
      <c r="AI389" s="79">
        <v>1</v>
      </c>
      <c r="AJ389" s="79">
        <v>1</v>
      </c>
      <c r="AK389" s="79">
        <v>1</v>
      </c>
      <c r="AL389" s="79">
        <v>1</v>
      </c>
      <c r="AM389" s="79">
        <v>1</v>
      </c>
      <c r="AN389" s="79">
        <v>1</v>
      </c>
      <c r="AO389" s="79">
        <v>1</v>
      </c>
      <c r="AP389" s="79">
        <v>1</v>
      </c>
      <c r="AQ389" s="79">
        <v>1</v>
      </c>
      <c r="AR389" s="79">
        <v>1</v>
      </c>
      <c r="AS389" s="79">
        <v>1</v>
      </c>
      <c r="AT389" s="79">
        <v>1</v>
      </c>
      <c r="AU389" s="79">
        <v>1</v>
      </c>
      <c r="AV389" s="79">
        <v>1</v>
      </c>
      <c r="AW389" s="79">
        <v>1</v>
      </c>
      <c r="AX389" s="87">
        <v>1</v>
      </c>
    </row>
    <row r="390" spans="1:50" x14ac:dyDescent="0.25">
      <c r="A390" s="356"/>
      <c r="B390" s="359" t="s">
        <v>45</v>
      </c>
      <c r="C390" s="350" t="s">
        <v>6</v>
      </c>
      <c r="D390" s="2" t="s">
        <v>7</v>
      </c>
      <c r="E390" s="160" t="str">
        <f>A386&amp;"/"&amp;B390&amp;"/"&amp;C390&amp;"/"&amp;D390</f>
        <v>Hydro plants/Reservoirs (dams)/Electricity only/L</v>
      </c>
      <c r="F390" s="76" t="str">
        <f>A386</f>
        <v>Hydro plants</v>
      </c>
      <c r="G390" s="76" t="str">
        <f>B390</f>
        <v>Reservoirs (dams)</v>
      </c>
      <c r="H390" s="76" t="str">
        <f>C390</f>
        <v>Electricity only</v>
      </c>
      <c r="I390" s="161" t="str">
        <f t="shared" si="82"/>
        <v>L</v>
      </c>
      <c r="J390" s="76">
        <v>1</v>
      </c>
      <c r="K390" s="76">
        <v>1</v>
      </c>
      <c r="L390" s="76">
        <v>1</v>
      </c>
      <c r="M390" s="76">
        <v>1</v>
      </c>
      <c r="N390" s="76">
        <v>1</v>
      </c>
      <c r="O390" s="76">
        <v>1</v>
      </c>
      <c r="P390" s="76">
        <v>1</v>
      </c>
      <c r="Q390" s="76">
        <v>1</v>
      </c>
      <c r="R390" s="76">
        <v>1</v>
      </c>
      <c r="S390" s="76">
        <v>1</v>
      </c>
      <c r="T390" s="76">
        <v>1</v>
      </c>
      <c r="U390" s="76">
        <v>1</v>
      </c>
      <c r="V390" s="76">
        <v>1</v>
      </c>
      <c r="W390" s="76">
        <v>1</v>
      </c>
      <c r="X390" s="76">
        <v>1</v>
      </c>
      <c r="Y390" s="76">
        <v>1</v>
      </c>
      <c r="Z390" s="76">
        <v>1</v>
      </c>
      <c r="AA390" s="76">
        <v>1</v>
      </c>
      <c r="AB390" s="76">
        <v>1</v>
      </c>
      <c r="AC390" s="76">
        <v>1</v>
      </c>
      <c r="AD390" s="76">
        <v>1</v>
      </c>
      <c r="AE390" s="76">
        <v>1</v>
      </c>
      <c r="AF390" s="76">
        <v>1</v>
      </c>
      <c r="AG390" s="76">
        <v>1</v>
      </c>
      <c r="AH390" s="76">
        <v>1</v>
      </c>
      <c r="AI390" s="76">
        <v>1</v>
      </c>
      <c r="AJ390" s="76">
        <v>1</v>
      </c>
      <c r="AK390" s="76">
        <v>1</v>
      </c>
      <c r="AL390" s="76">
        <v>1</v>
      </c>
      <c r="AM390" s="76">
        <v>1</v>
      </c>
      <c r="AN390" s="76">
        <v>1</v>
      </c>
      <c r="AO390" s="76">
        <v>1</v>
      </c>
      <c r="AP390" s="76">
        <v>1</v>
      </c>
      <c r="AQ390" s="76">
        <v>1</v>
      </c>
      <c r="AR390" s="76">
        <v>1</v>
      </c>
      <c r="AS390" s="76">
        <v>1</v>
      </c>
      <c r="AT390" s="76">
        <v>1</v>
      </c>
      <c r="AU390" s="76">
        <v>1</v>
      </c>
      <c r="AV390" s="76">
        <v>1</v>
      </c>
      <c r="AW390" s="76">
        <v>1</v>
      </c>
      <c r="AX390" s="84">
        <v>1</v>
      </c>
    </row>
    <row r="391" spans="1:50" x14ac:dyDescent="0.25">
      <c r="A391" s="356"/>
      <c r="B391" s="359"/>
      <c r="C391" s="350"/>
      <c r="D391" s="2" t="s">
        <v>8</v>
      </c>
      <c r="E391" s="160" t="str">
        <f>A386&amp;"/"&amp;B390&amp;"/"&amp;C390&amp;"/"&amp;D391</f>
        <v>Hydro plants/Reservoirs (dams)/Electricity only/M</v>
      </c>
      <c r="F391" s="76" t="str">
        <f>A386</f>
        <v>Hydro plants</v>
      </c>
      <c r="G391" s="76" t="str">
        <f>B390</f>
        <v>Reservoirs (dams)</v>
      </c>
      <c r="H391" s="76" t="str">
        <f>C390</f>
        <v>Electricity only</v>
      </c>
      <c r="I391" s="161" t="str">
        <f t="shared" si="82"/>
        <v>M</v>
      </c>
      <c r="J391" s="76">
        <v>1</v>
      </c>
      <c r="K391" s="76">
        <v>1</v>
      </c>
      <c r="L391" s="76">
        <v>1</v>
      </c>
      <c r="M391" s="76">
        <v>1</v>
      </c>
      <c r="N391" s="76">
        <v>1</v>
      </c>
      <c r="O391" s="76">
        <v>1</v>
      </c>
      <c r="P391" s="76">
        <v>1</v>
      </c>
      <c r="Q391" s="76">
        <v>1</v>
      </c>
      <c r="R391" s="76">
        <v>1</v>
      </c>
      <c r="S391" s="76">
        <v>1</v>
      </c>
      <c r="T391" s="76">
        <v>1</v>
      </c>
      <c r="U391" s="76">
        <v>1</v>
      </c>
      <c r="V391" s="76">
        <v>1</v>
      </c>
      <c r="W391" s="76">
        <v>1</v>
      </c>
      <c r="X391" s="76">
        <v>1</v>
      </c>
      <c r="Y391" s="76">
        <v>1</v>
      </c>
      <c r="Z391" s="76">
        <v>1</v>
      </c>
      <c r="AA391" s="76">
        <v>1</v>
      </c>
      <c r="AB391" s="76">
        <v>1</v>
      </c>
      <c r="AC391" s="76">
        <v>1</v>
      </c>
      <c r="AD391" s="76">
        <v>1</v>
      </c>
      <c r="AE391" s="76">
        <v>1</v>
      </c>
      <c r="AF391" s="76">
        <v>1</v>
      </c>
      <c r="AG391" s="76">
        <v>1</v>
      </c>
      <c r="AH391" s="76">
        <v>1</v>
      </c>
      <c r="AI391" s="76">
        <v>1</v>
      </c>
      <c r="AJ391" s="76">
        <v>1</v>
      </c>
      <c r="AK391" s="76">
        <v>1</v>
      </c>
      <c r="AL391" s="76">
        <v>1</v>
      </c>
      <c r="AM391" s="76">
        <v>1</v>
      </c>
      <c r="AN391" s="76">
        <v>1</v>
      </c>
      <c r="AO391" s="76">
        <v>1</v>
      </c>
      <c r="AP391" s="76">
        <v>1</v>
      </c>
      <c r="AQ391" s="76">
        <v>1</v>
      </c>
      <c r="AR391" s="76">
        <v>1</v>
      </c>
      <c r="AS391" s="76">
        <v>1</v>
      </c>
      <c r="AT391" s="76">
        <v>1</v>
      </c>
      <c r="AU391" s="76">
        <v>1</v>
      </c>
      <c r="AV391" s="76">
        <v>1</v>
      </c>
      <c r="AW391" s="76">
        <v>1</v>
      </c>
      <c r="AX391" s="84">
        <v>1</v>
      </c>
    </row>
    <row r="392" spans="1:50" x14ac:dyDescent="0.25">
      <c r="A392" s="356"/>
      <c r="B392" s="359"/>
      <c r="C392" s="350"/>
      <c r="D392" s="2" t="s">
        <v>10</v>
      </c>
      <c r="E392" s="160" t="str">
        <f>A386&amp;"/"&amp;B390&amp;"/"&amp;C390&amp;"/"&amp;D392</f>
        <v>Hydro plants/Reservoirs (dams)/Electricity only/S</v>
      </c>
      <c r="F392" s="76" t="str">
        <f>A386</f>
        <v>Hydro plants</v>
      </c>
      <c r="G392" s="76" t="str">
        <f>B390</f>
        <v>Reservoirs (dams)</v>
      </c>
      <c r="H392" s="76" t="str">
        <f>C390</f>
        <v>Electricity only</v>
      </c>
      <c r="I392" s="161" t="str">
        <f t="shared" si="82"/>
        <v>S</v>
      </c>
      <c r="J392" s="76">
        <v>1</v>
      </c>
      <c r="K392" s="76">
        <v>1</v>
      </c>
      <c r="L392" s="76">
        <v>1</v>
      </c>
      <c r="M392" s="76">
        <v>1</v>
      </c>
      <c r="N392" s="76">
        <v>1</v>
      </c>
      <c r="O392" s="76">
        <v>1</v>
      </c>
      <c r="P392" s="76">
        <v>1</v>
      </c>
      <c r="Q392" s="76">
        <v>1</v>
      </c>
      <c r="R392" s="76">
        <v>1</v>
      </c>
      <c r="S392" s="76">
        <v>1</v>
      </c>
      <c r="T392" s="76">
        <v>1</v>
      </c>
      <c r="U392" s="76">
        <v>1</v>
      </c>
      <c r="V392" s="76">
        <v>1</v>
      </c>
      <c r="W392" s="76">
        <v>1</v>
      </c>
      <c r="X392" s="76">
        <v>1</v>
      </c>
      <c r="Y392" s="76">
        <v>1</v>
      </c>
      <c r="Z392" s="76">
        <v>1</v>
      </c>
      <c r="AA392" s="76">
        <v>1</v>
      </c>
      <c r="AB392" s="76">
        <v>1</v>
      </c>
      <c r="AC392" s="76">
        <v>1</v>
      </c>
      <c r="AD392" s="76">
        <v>1</v>
      </c>
      <c r="AE392" s="76">
        <v>1</v>
      </c>
      <c r="AF392" s="76">
        <v>1</v>
      </c>
      <c r="AG392" s="76">
        <v>1</v>
      </c>
      <c r="AH392" s="76">
        <v>1</v>
      </c>
      <c r="AI392" s="76">
        <v>1</v>
      </c>
      <c r="AJ392" s="76">
        <v>1</v>
      </c>
      <c r="AK392" s="76">
        <v>1</v>
      </c>
      <c r="AL392" s="76">
        <v>1</v>
      </c>
      <c r="AM392" s="76">
        <v>1</v>
      </c>
      <c r="AN392" s="76">
        <v>1</v>
      </c>
      <c r="AO392" s="76">
        <v>1</v>
      </c>
      <c r="AP392" s="76">
        <v>1</v>
      </c>
      <c r="AQ392" s="76">
        <v>1</v>
      </c>
      <c r="AR392" s="76">
        <v>1</v>
      </c>
      <c r="AS392" s="76">
        <v>1</v>
      </c>
      <c r="AT392" s="76">
        <v>1</v>
      </c>
      <c r="AU392" s="76">
        <v>1</v>
      </c>
      <c r="AV392" s="76">
        <v>1</v>
      </c>
      <c r="AW392" s="76">
        <v>1</v>
      </c>
      <c r="AX392" s="84">
        <v>1</v>
      </c>
    </row>
    <row r="393" spans="1:50" x14ac:dyDescent="0.25">
      <c r="A393" s="357"/>
      <c r="B393" s="362"/>
      <c r="C393" s="354"/>
      <c r="D393" s="4" t="s">
        <v>20</v>
      </c>
      <c r="E393" s="168" t="str">
        <f>A386&amp;"/"&amp;B390&amp;"/"&amp;C390&amp;"/"&amp;D393</f>
        <v>Hydro plants/Reservoirs (dams)/Electricity only/XS</v>
      </c>
      <c r="F393" s="80" t="str">
        <f>A386</f>
        <v>Hydro plants</v>
      </c>
      <c r="G393" s="80" t="str">
        <f>B390</f>
        <v>Reservoirs (dams)</v>
      </c>
      <c r="H393" s="80" t="str">
        <f>C390</f>
        <v>Electricity only</v>
      </c>
      <c r="I393" s="169" t="str">
        <f t="shared" si="82"/>
        <v>XS</v>
      </c>
      <c r="J393" s="80">
        <v>1</v>
      </c>
      <c r="K393" s="80">
        <v>1</v>
      </c>
      <c r="L393" s="80">
        <v>1</v>
      </c>
      <c r="M393" s="80">
        <v>1</v>
      </c>
      <c r="N393" s="80">
        <v>1</v>
      </c>
      <c r="O393" s="80">
        <v>1</v>
      </c>
      <c r="P393" s="80">
        <v>1</v>
      </c>
      <c r="Q393" s="80">
        <v>1</v>
      </c>
      <c r="R393" s="80">
        <v>1</v>
      </c>
      <c r="S393" s="80">
        <v>1</v>
      </c>
      <c r="T393" s="80">
        <v>1</v>
      </c>
      <c r="U393" s="80">
        <v>1</v>
      </c>
      <c r="V393" s="80">
        <v>1</v>
      </c>
      <c r="W393" s="80">
        <v>1</v>
      </c>
      <c r="X393" s="80">
        <v>1</v>
      </c>
      <c r="Y393" s="80">
        <v>1</v>
      </c>
      <c r="Z393" s="80">
        <v>1</v>
      </c>
      <c r="AA393" s="80">
        <v>1</v>
      </c>
      <c r="AB393" s="80">
        <v>1</v>
      </c>
      <c r="AC393" s="80">
        <v>1</v>
      </c>
      <c r="AD393" s="80">
        <v>1</v>
      </c>
      <c r="AE393" s="80">
        <v>1</v>
      </c>
      <c r="AF393" s="80">
        <v>1</v>
      </c>
      <c r="AG393" s="80">
        <v>1</v>
      </c>
      <c r="AH393" s="80">
        <v>1</v>
      </c>
      <c r="AI393" s="80">
        <v>1</v>
      </c>
      <c r="AJ393" s="80">
        <v>1</v>
      </c>
      <c r="AK393" s="80">
        <v>1</v>
      </c>
      <c r="AL393" s="80">
        <v>1</v>
      </c>
      <c r="AM393" s="80">
        <v>1</v>
      </c>
      <c r="AN393" s="80">
        <v>1</v>
      </c>
      <c r="AO393" s="80">
        <v>1</v>
      </c>
      <c r="AP393" s="80">
        <v>1</v>
      </c>
      <c r="AQ393" s="80">
        <v>1</v>
      </c>
      <c r="AR393" s="80">
        <v>1</v>
      </c>
      <c r="AS393" s="80">
        <v>1</v>
      </c>
      <c r="AT393" s="80">
        <v>1</v>
      </c>
      <c r="AU393" s="80">
        <v>1</v>
      </c>
      <c r="AV393" s="80">
        <v>1</v>
      </c>
      <c r="AW393" s="80">
        <v>1</v>
      </c>
      <c r="AX393" s="88">
        <v>1</v>
      </c>
    </row>
    <row r="394" spans="1:50" x14ac:dyDescent="0.25">
      <c r="A394" s="356" t="s">
        <v>46</v>
      </c>
      <c r="B394" s="359" t="s">
        <v>46</v>
      </c>
      <c r="C394" s="353" t="s">
        <v>6</v>
      </c>
      <c r="D394" s="2" t="s">
        <v>7</v>
      </c>
      <c r="E394" s="160" t="str">
        <f>A394&amp;"/"&amp;B394&amp;"/"&amp;C394&amp;"/"&amp;D394</f>
        <v>Pump storage/Pump storage/Electricity only/L</v>
      </c>
      <c r="F394" s="76" t="str">
        <f>A394</f>
        <v>Pump storage</v>
      </c>
      <c r="G394" s="76" t="str">
        <f>B394</f>
        <v>Pump storage</v>
      </c>
      <c r="H394" s="76" t="str">
        <f>C394</f>
        <v>Electricity only</v>
      </c>
      <c r="I394" s="161" t="str">
        <f t="shared" si="82"/>
        <v>L</v>
      </c>
      <c r="J394" s="76">
        <v>0.77</v>
      </c>
      <c r="K394" s="76">
        <v>0.77000217415019645</v>
      </c>
      <c r="L394" s="76">
        <v>0.77000445915596916</v>
      </c>
      <c r="M394" s="76">
        <v>0.77000686063655455</v>
      </c>
      <c r="N394" s="76">
        <v>0.7700093844925604</v>
      </c>
      <c r="O394" s="76">
        <v>0.77001203691969144</v>
      </c>
      <c r="P394" s="76">
        <v>0.77001482442310587</v>
      </c>
      <c r="Q394" s="76">
        <v>0.77001775383242732</v>
      </c>
      <c r="R394" s="76">
        <v>0.77002083231744056</v>
      </c>
      <c r="S394" s="76">
        <v>0.7700240674044917</v>
      </c>
      <c r="T394" s="76">
        <v>0.77002746699362434</v>
      </c>
      <c r="U394" s="76">
        <v>0.77003103937647532</v>
      </c>
      <c r="V394" s="76">
        <v>0.77003479325495905</v>
      </c>
      <c r="W394" s="76">
        <v>0.77003873776076437</v>
      </c>
      <c r="X394" s="76">
        <v>0.77004288247569508</v>
      </c>
      <c r="Y394" s="76">
        <v>0.77004723745287917</v>
      </c>
      <c r="Z394" s="76">
        <v>0.77005181323887339</v>
      </c>
      <c r="AA394" s="76">
        <v>0.77005662089669091</v>
      </c>
      <c r="AB394" s="76">
        <v>0.77006167202977804</v>
      </c>
      <c r="AC394" s="76">
        <v>0.77006697880696373</v>
      </c>
      <c r="AD394" s="76">
        <v>0.7700725539884099</v>
      </c>
      <c r="AE394" s="76">
        <v>0.77007841095258023</v>
      </c>
      <c r="AF394" s="76">
        <v>0.77008456372425471</v>
      </c>
      <c r="AG394" s="76">
        <v>0.7700910270036061</v>
      </c>
      <c r="AH394" s="76">
        <v>0.77009781619635675</v>
      </c>
      <c r="AI394" s="76">
        <v>0.77010494744503066</v>
      </c>
      <c r="AJ394" s="76">
        <v>0.77011243766131299</v>
      </c>
      <c r="AK394" s="76">
        <v>0.7701203045595244</v>
      </c>
      <c r="AL394" s="76">
        <v>0.77012856669121521</v>
      </c>
      <c r="AM394" s="76">
        <v>0.7701372434808782</v>
      </c>
      <c r="AN394" s="76">
        <v>0.77014635526277297</v>
      </c>
      <c r="AO394" s="76">
        <v>0.77015592331885174</v>
      </c>
      <c r="AP394" s="76">
        <v>0.7701659699177662</v>
      </c>
      <c r="AQ394" s="76">
        <v>0.77017651835492729</v>
      </c>
      <c r="AR394" s="76">
        <v>0.77018759299358452</v>
      </c>
      <c r="AS394" s="76">
        <v>0.77019921930687751</v>
      </c>
      <c r="AT394" s="76">
        <v>0.770211423920803</v>
      </c>
      <c r="AU394" s="76">
        <v>0.77022423465803036</v>
      </c>
      <c r="AV394" s="76">
        <v>0.77023768058248143</v>
      </c>
      <c r="AW394" s="76">
        <v>0.77025179204457994</v>
      </c>
      <c r="AX394" s="84">
        <v>0.77026660072705366</v>
      </c>
    </row>
    <row r="395" spans="1:50" x14ac:dyDescent="0.25">
      <c r="A395" s="356"/>
      <c r="B395" s="359"/>
      <c r="C395" s="350"/>
      <c r="D395" s="2" t="s">
        <v>8</v>
      </c>
      <c r="E395" s="160" t="str">
        <f>A394&amp;"/"&amp;B394&amp;"/"&amp;C394&amp;"/"&amp;D395</f>
        <v>Pump storage/Pump storage/Electricity only/M</v>
      </c>
      <c r="F395" s="76" t="str">
        <f>A394</f>
        <v>Pump storage</v>
      </c>
      <c r="G395" s="76" t="str">
        <f>B394</f>
        <v>Pump storage</v>
      </c>
      <c r="H395" s="76" t="str">
        <f>C394</f>
        <v>Electricity only</v>
      </c>
      <c r="I395" s="161" t="str">
        <f t="shared" si="82"/>
        <v>M</v>
      </c>
      <c r="J395" s="76">
        <v>0.75</v>
      </c>
      <c r="K395" s="76">
        <v>0.75000120196272679</v>
      </c>
      <c r="L395" s="76">
        <v>0.75000253013083773</v>
      </c>
      <c r="M395" s="76">
        <v>0.75000399773189053</v>
      </c>
      <c r="N395" s="76">
        <v>0.75000561937452737</v>
      </c>
      <c r="O395" s="76">
        <v>0.75000741119150338</v>
      </c>
      <c r="P395" s="76">
        <v>0.75000939099726638</v>
      </c>
      <c r="Q395" s="76">
        <v>0.75001157846151567</v>
      </c>
      <c r="R395" s="76">
        <v>0.75001399530028345</v>
      </c>
      <c r="S395" s="76">
        <v>0.75001666548622681</v>
      </c>
      <c r="T395" s="76">
        <v>0.75001961547995566</v>
      </c>
      <c r="U395" s="76">
        <v>0.75002287448436966</v>
      </c>
      <c r="V395" s="76">
        <v>0.75002647472414086</v>
      </c>
      <c r="W395" s="76">
        <v>0.75003045175263328</v>
      </c>
      <c r="X395" s="76">
        <v>0.75003484478872073</v>
      </c>
      <c r="Y395" s="76">
        <v>0.75003969708612928</v>
      </c>
      <c r="Z395" s="76">
        <v>0.75004505633809737</v>
      </c>
      <c r="AA395" s="76">
        <v>0.75005097512030594</v>
      </c>
      <c r="AB395" s="76">
        <v>0.75005751137517396</v>
      </c>
      <c r="AC395" s="76">
        <v>0.75006472894075271</v>
      </c>
      <c r="AD395" s="76">
        <v>0.75007269812754485</v>
      </c>
      <c r="AE395" s="76">
        <v>0.75008149634664667</v>
      </c>
      <c r="AF395" s="76">
        <v>0.75009120879261748</v>
      </c>
      <c r="AG395" s="76">
        <v>0.75010192918442986</v>
      </c>
      <c r="AH395" s="76">
        <v>0.75011376056770895</v>
      </c>
      <c r="AI395" s="76">
        <v>0.75012681618120924</v>
      </c>
      <c r="AJ395" s="76">
        <v>0.75014122039008435</v>
      </c>
      <c r="AK395" s="76">
        <v>0.7501571096879196</v>
      </c>
      <c r="AL395" s="76">
        <v>0.75017463376871074</v>
      </c>
      <c r="AM395" s="76">
        <v>0.75019395666889732</v>
      </c>
      <c r="AN395" s="76">
        <v>0.7502152579781769</v>
      </c>
      <c r="AO395" s="76">
        <v>0.75023873411604192</v>
      </c>
      <c r="AP395" s="76">
        <v>0.75026459966873404</v>
      </c>
      <c r="AQ395" s="76">
        <v>0.75029308877852074</v>
      </c>
      <c r="AR395" s="76">
        <v>0.75032445657375979</v>
      </c>
      <c r="AS395" s="76">
        <v>0.75035898062404793</v>
      </c>
      <c r="AT395" s="76">
        <v>0.75039696239973586</v>
      </c>
      <c r="AU395" s="76">
        <v>0.75043872870913553</v>
      </c>
      <c r="AV395" s="76">
        <v>0.75048463307974012</v>
      </c>
      <c r="AW395" s="76">
        <v>0.75053505704166668</v>
      </c>
      <c r="AX395" s="84">
        <v>0.75059041126221659</v>
      </c>
    </row>
    <row r="396" spans="1:50" x14ac:dyDescent="0.25">
      <c r="A396" s="356"/>
      <c r="B396" s="359"/>
      <c r="C396" s="350"/>
      <c r="D396" s="2" t="s">
        <v>10</v>
      </c>
      <c r="E396" s="160" t="str">
        <f>A394&amp;"/"&amp;B394&amp;"/"&amp;C394&amp;"/"&amp;D396</f>
        <v>Pump storage/Pump storage/Electricity only/S</v>
      </c>
      <c r="F396" s="76" t="str">
        <f>A394</f>
        <v>Pump storage</v>
      </c>
      <c r="G396" s="76" t="str">
        <f>B394</f>
        <v>Pump storage</v>
      </c>
      <c r="H396" s="76" t="str">
        <f>C394</f>
        <v>Electricity only</v>
      </c>
      <c r="I396" s="161" t="str">
        <f t="shared" si="82"/>
        <v>S</v>
      </c>
      <c r="J396" s="76">
        <v>0.71</v>
      </c>
      <c r="K396" s="76">
        <v>0.71000036284945744</v>
      </c>
      <c r="L396" s="76">
        <v>0.71000078439919057</v>
      </c>
      <c r="M396" s="76">
        <v>0.71000127414150249</v>
      </c>
      <c r="N396" s="76">
        <v>0.71000184310228376</v>
      </c>
      <c r="O396" s="76">
        <v>0.71000250408829446</v>
      </c>
      <c r="P396" s="76">
        <v>0.71000327197414648</v>
      </c>
      <c r="Q396" s="76">
        <v>0.71000416403530298</v>
      </c>
      <c r="R396" s="76">
        <v>0.71000520033439374</v>
      </c>
      <c r="S396" s="76">
        <v>0.71000640416927008</v>
      </c>
      <c r="T396" s="76">
        <v>0.71000780259252516</v>
      </c>
      <c r="U396" s="76">
        <v>0.71000942701367464</v>
      </c>
      <c r="V396" s="76">
        <v>0.71001131389688732</v>
      </c>
      <c r="W396" s="76">
        <v>0.71001350556906384</v>
      </c>
      <c r="X396" s="76">
        <v>0.71001605115522848</v>
      </c>
      <c r="Y396" s="76">
        <v>0.71001900766063575</v>
      </c>
      <c r="Z396" s="76">
        <v>0.71002244122171776</v>
      </c>
      <c r="AA396" s="76">
        <v>0.71002642855102083</v>
      </c>
      <c r="AB396" s="76">
        <v>0.71003105860459736</v>
      </c>
      <c r="AC396" s="76">
        <v>0.71003643450392717</v>
      </c>
      <c r="AD396" s="76">
        <v>0.71004267574828217</v>
      </c>
      <c r="AE396" s="76">
        <v>0.71004992075746387</v>
      </c>
      <c r="AF396" s="76">
        <v>0.71005832978890027</v>
      </c>
      <c r="AG396" s="76">
        <v>0.71006808827700385</v>
      </c>
      <c r="AH396" s="76">
        <v>0.71007941064618241</v>
      </c>
      <c r="AI396" s="76">
        <v>0.71009254465155447</v>
      </c>
      <c r="AJ396" s="76">
        <v>0.71010777630268096</v>
      </c>
      <c r="AK396" s="76">
        <v>0.71012543542470885</v>
      </c>
      <c r="AL396" s="76">
        <v>0.71014590190715432</v>
      </c>
      <c r="AM396" s="76">
        <v>0.71016961268173262</v>
      </c>
      <c r="AN396" s="76">
        <v>0.71019706945531091</v>
      </c>
      <c r="AO396" s="76">
        <v>0.71022884719983226</v>
      </c>
      <c r="AP396" s="76">
        <v>0.71026560336493028</v>
      </c>
      <c r="AQ396" s="76">
        <v>0.71030808772723131</v>
      </c>
      <c r="AR396" s="76">
        <v>0.7103571527185758</v>
      </c>
      <c r="AS396" s="76">
        <v>0.71041376397852041</v>
      </c>
      <c r="AT396" s="76">
        <v>0.71047901074895137</v>
      </c>
      <c r="AU396" s="76">
        <v>0.71055411556493209</v>
      </c>
      <c r="AV396" s="76">
        <v>0.71064044249137726</v>
      </c>
      <c r="AW396" s="76">
        <v>0.71073950290735244</v>
      </c>
      <c r="AX396" s="84">
        <v>0.71085295755064626</v>
      </c>
    </row>
    <row r="397" spans="1:50" ht="11" thickBot="1" x14ac:dyDescent="0.3">
      <c r="A397" s="372"/>
      <c r="B397" s="373"/>
      <c r="C397" s="374"/>
      <c r="D397" s="158" t="s">
        <v>20</v>
      </c>
      <c r="E397" s="172" t="str">
        <f>A394&amp;"/"&amp;B394&amp;"/"&amp;C394&amp;"/"&amp;D397</f>
        <v>Pump storage/Pump storage/Electricity only/XS</v>
      </c>
      <c r="F397" s="82" t="str">
        <f>A394</f>
        <v>Pump storage</v>
      </c>
      <c r="G397" s="82" t="str">
        <f>B394</f>
        <v>Pump storage</v>
      </c>
      <c r="H397" s="82" t="str">
        <f>C394</f>
        <v>Electricity only</v>
      </c>
      <c r="I397" s="173" t="str">
        <f t="shared" si="82"/>
        <v>XS</v>
      </c>
      <c r="J397" s="82">
        <v>0.68</v>
      </c>
      <c r="K397" s="82">
        <v>0.68000008753591978</v>
      </c>
      <c r="L397" s="82">
        <v>0.68000019445115778</v>
      </c>
      <c r="M397" s="82">
        <v>0.68000032503567176</v>
      </c>
      <c r="N397" s="82">
        <v>0.68000048452889561</v>
      </c>
      <c r="O397" s="82">
        <v>0.68000067932979169</v>
      </c>
      <c r="P397" s="82">
        <v>0.68000091725332978</v>
      </c>
      <c r="Q397" s="82">
        <v>0.68000120784363116</v>
      </c>
      <c r="R397" s="82">
        <v>0.68000156275626433</v>
      </c>
      <c r="S397" s="82">
        <v>0.68000199622491508</v>
      </c>
      <c r="T397" s="82">
        <v>0.6800025256309814</v>
      </c>
      <c r="U397" s="82">
        <v>0.680003172198683</v>
      </c>
      <c r="V397" s="82">
        <v>0.68000396184318601</v>
      </c>
      <c r="W397" s="82">
        <v>0.68000492620518493</v>
      </c>
      <c r="X397" s="82">
        <v>0.68000610391257488</v>
      </c>
      <c r="Y397" s="82">
        <v>0.68000754211852987</v>
      </c>
      <c r="Z397" s="82">
        <v>0.68000929837574342</v>
      </c>
      <c r="AA397" s="82">
        <v>0.68001144291911797</v>
      </c>
      <c r="AB397" s="82">
        <v>0.68001406144414667</v>
      </c>
      <c r="AC397" s="82">
        <v>0.68001725848598715</v>
      </c>
      <c r="AD397" s="82">
        <v>0.68002116152516745</v>
      </c>
      <c r="AE397" s="82">
        <v>0.68002592597031031</v>
      </c>
      <c r="AF397" s="82">
        <v>0.6800317411964758</v>
      </c>
      <c r="AG397" s="82">
        <v>0.68003883784972718</v>
      </c>
      <c r="AH397" s="82">
        <v>0.6800474966640272</v>
      </c>
      <c r="AI397" s="82">
        <v>0.68005805907464878</v>
      </c>
      <c r="AJ397" s="82">
        <v>0.68007093995105361</v>
      </c>
      <c r="AK397" s="82">
        <v>0.68008664280831366</v>
      </c>
      <c r="AL397" s="82">
        <v>0.68010577788395621</v>
      </c>
      <c r="AM397" s="82">
        <v>0.68012908347769052</v>
      </c>
      <c r="AN397" s="82">
        <v>0.6801574509310232</v>
      </c>
      <c r="AO397" s="82">
        <v>0.68019195355186957</v>
      </c>
      <c r="AP397" s="82">
        <v>0.68023387963632309</v>
      </c>
      <c r="AQ397" s="82">
        <v>0.68028476946440675</v>
      </c>
      <c r="AR397" s="82">
        <v>0.68034645569306995</v>
      </c>
      <c r="AS397" s="82">
        <v>0.68042110586607529</v>
      </c>
      <c r="AT397" s="82">
        <v>0.68051126472021217</v>
      </c>
      <c r="AU397" s="82">
        <v>0.68061989249677579</v>
      </c>
      <c r="AV397" s="82">
        <v>0.68075039348448707</v>
      </c>
      <c r="AW397" s="82">
        <v>0.68090662649240818</v>
      </c>
      <c r="AX397" s="90">
        <v>0.68109288596077866</v>
      </c>
    </row>
    <row r="403" spans="1:50" ht="11" thickBot="1" x14ac:dyDescent="0.3"/>
    <row r="404" spans="1:50" x14ac:dyDescent="0.25">
      <c r="A404" s="343" t="s">
        <v>49</v>
      </c>
      <c r="B404" s="345" t="s">
        <v>50</v>
      </c>
      <c r="C404" s="345" t="s">
        <v>51</v>
      </c>
      <c r="D404" s="345" t="s">
        <v>52</v>
      </c>
      <c r="E404" s="290"/>
      <c r="F404" s="290"/>
      <c r="G404" s="290"/>
      <c r="H404" s="290"/>
      <c r="I404" s="290"/>
      <c r="J404" s="1" t="s">
        <v>94</v>
      </c>
      <c r="K404" s="289"/>
      <c r="L404" s="289"/>
      <c r="M404" s="289"/>
      <c r="N404" s="289"/>
      <c r="O404" s="289"/>
      <c r="P404" s="289"/>
      <c r="Q404" s="289"/>
      <c r="R404" s="289"/>
      <c r="S404" s="289"/>
      <c r="T404" s="289"/>
      <c r="U404" s="289"/>
      <c r="V404" s="289"/>
      <c r="W404" s="289"/>
      <c r="X404" s="289"/>
      <c r="Y404" s="289"/>
      <c r="Z404" s="289"/>
      <c r="AA404" s="289"/>
      <c r="AB404" s="289"/>
      <c r="AC404" s="289"/>
      <c r="AD404" s="289"/>
      <c r="AE404" s="289"/>
      <c r="AF404" s="289"/>
      <c r="AG404" s="289"/>
      <c r="AH404" s="289"/>
      <c r="AI404" s="289"/>
      <c r="AJ404" s="289"/>
      <c r="AK404" s="289"/>
      <c r="AL404" s="289"/>
      <c r="AM404" s="289"/>
      <c r="AN404" s="289"/>
      <c r="AO404" s="289"/>
      <c r="AP404" s="289"/>
      <c r="AQ404" s="289"/>
      <c r="AR404" s="289"/>
      <c r="AS404" s="289"/>
      <c r="AT404" s="289"/>
      <c r="AU404" s="289"/>
      <c r="AV404" s="289"/>
      <c r="AW404" s="289"/>
      <c r="AX404" s="288"/>
    </row>
    <row r="405" spans="1:50" ht="11" thickBot="1" x14ac:dyDescent="0.3">
      <c r="A405" s="344"/>
      <c r="B405" s="346"/>
      <c r="C405" s="346"/>
      <c r="D405" s="346"/>
      <c r="E405" s="291"/>
      <c r="F405" s="291"/>
      <c r="G405" s="291"/>
      <c r="H405" s="291"/>
      <c r="I405" s="291"/>
      <c r="J405" s="68">
        <v>2010</v>
      </c>
      <c r="K405" s="68">
        <v>2011</v>
      </c>
      <c r="L405" s="68">
        <v>2012</v>
      </c>
      <c r="M405" s="68">
        <v>2013</v>
      </c>
      <c r="N405" s="68">
        <v>2014</v>
      </c>
      <c r="O405" s="68">
        <v>2015</v>
      </c>
      <c r="P405" s="68">
        <v>2016</v>
      </c>
      <c r="Q405" s="68">
        <v>2017</v>
      </c>
      <c r="R405" s="68">
        <v>2018</v>
      </c>
      <c r="S405" s="68">
        <v>2019</v>
      </c>
      <c r="T405" s="68">
        <v>2020</v>
      </c>
      <c r="U405" s="68">
        <v>2021</v>
      </c>
      <c r="V405" s="68">
        <v>2022</v>
      </c>
      <c r="W405" s="68">
        <v>2023</v>
      </c>
      <c r="X405" s="68">
        <v>2024</v>
      </c>
      <c r="Y405" s="68">
        <v>2025</v>
      </c>
      <c r="Z405" s="68">
        <v>2026</v>
      </c>
      <c r="AA405" s="68">
        <v>2027</v>
      </c>
      <c r="AB405" s="68">
        <v>2028</v>
      </c>
      <c r="AC405" s="68">
        <v>2029</v>
      </c>
      <c r="AD405" s="68">
        <v>2030</v>
      </c>
      <c r="AE405" s="68">
        <v>2031</v>
      </c>
      <c r="AF405" s="68">
        <v>2032</v>
      </c>
      <c r="AG405" s="68">
        <v>2033</v>
      </c>
      <c r="AH405" s="68">
        <v>2034</v>
      </c>
      <c r="AI405" s="68">
        <v>2035</v>
      </c>
      <c r="AJ405" s="68">
        <v>2036</v>
      </c>
      <c r="AK405" s="68">
        <v>2037</v>
      </c>
      <c r="AL405" s="68">
        <v>2038</v>
      </c>
      <c r="AM405" s="68">
        <v>2039</v>
      </c>
      <c r="AN405" s="68">
        <v>2040</v>
      </c>
      <c r="AO405" s="68">
        <v>2041</v>
      </c>
      <c r="AP405" s="68">
        <v>2042</v>
      </c>
      <c r="AQ405" s="68">
        <v>2043</v>
      </c>
      <c r="AR405" s="68">
        <v>2044</v>
      </c>
      <c r="AS405" s="68">
        <v>2045</v>
      </c>
      <c r="AT405" s="68">
        <v>2046</v>
      </c>
      <c r="AU405" s="68">
        <v>2047</v>
      </c>
      <c r="AV405" s="68">
        <v>2048</v>
      </c>
      <c r="AW405" s="68">
        <v>2049</v>
      </c>
      <c r="AX405" s="83">
        <v>2050</v>
      </c>
    </row>
    <row r="406" spans="1:50" x14ac:dyDescent="0.25">
      <c r="A406" s="347" t="s">
        <v>4</v>
      </c>
      <c r="B406" s="349" t="s">
        <v>5</v>
      </c>
      <c r="C406" s="350" t="s">
        <v>6</v>
      </c>
      <c r="D406" s="2" t="s">
        <v>7</v>
      </c>
      <c r="E406" s="160" t="str">
        <f>A406&amp;"/"&amp;B406&amp;"/"&amp;C406&amp;"/"&amp;D406</f>
        <v>Nuclear power plants/Nuclear - current/Electricity only/L</v>
      </c>
      <c r="F406" s="76" t="str">
        <f>A406</f>
        <v>Nuclear power plants</v>
      </c>
      <c r="G406" s="76" t="str">
        <f>B406</f>
        <v>Nuclear - current</v>
      </c>
      <c r="H406" s="76" t="str">
        <f>C406</f>
        <v>Electricity only</v>
      </c>
      <c r="I406" s="161" t="str">
        <f>D406</f>
        <v>L</v>
      </c>
      <c r="J406" s="76">
        <v>4.3999999999999997E-2</v>
      </c>
      <c r="K406" s="76">
        <v>4.3999999999999997E-2</v>
      </c>
      <c r="L406" s="76">
        <v>4.3999999999999997E-2</v>
      </c>
      <c r="M406" s="76">
        <v>4.3999999999999997E-2</v>
      </c>
      <c r="N406" s="76">
        <v>4.3999999999999997E-2</v>
      </c>
      <c r="O406" s="76">
        <v>4.3999999999999997E-2</v>
      </c>
      <c r="P406" s="76">
        <v>4.3999999999999997E-2</v>
      </c>
      <c r="Q406" s="76">
        <v>4.3999999999999997E-2</v>
      </c>
      <c r="R406" s="76">
        <v>4.3999999999999997E-2</v>
      </c>
      <c r="S406" s="76">
        <v>4.3999999999999997E-2</v>
      </c>
      <c r="T406" s="76">
        <v>4.3999999999999997E-2</v>
      </c>
      <c r="U406" s="76">
        <v>4.3999999999999997E-2</v>
      </c>
      <c r="V406" s="76">
        <v>4.3999999999999997E-2</v>
      </c>
      <c r="W406" s="76">
        <v>4.3999999999999997E-2</v>
      </c>
      <c r="X406" s="76">
        <v>4.3999999999999997E-2</v>
      </c>
      <c r="Y406" s="76">
        <v>4.3999999999999997E-2</v>
      </c>
      <c r="Z406" s="76">
        <v>4.3999999999999997E-2</v>
      </c>
      <c r="AA406" s="76">
        <v>4.3999999999999997E-2</v>
      </c>
      <c r="AB406" s="76">
        <v>4.3999999999999997E-2</v>
      </c>
      <c r="AC406" s="76">
        <v>4.3999999999999997E-2</v>
      </c>
      <c r="AD406" s="76">
        <v>4.3999999999999997E-2</v>
      </c>
      <c r="AE406" s="76">
        <v>4.3999999999999997E-2</v>
      </c>
      <c r="AF406" s="76">
        <v>4.3999999999999997E-2</v>
      </c>
      <c r="AG406" s="76">
        <v>4.3999999999999997E-2</v>
      </c>
      <c r="AH406" s="76">
        <v>4.3999999999999997E-2</v>
      </c>
      <c r="AI406" s="76">
        <v>4.3999999999999997E-2</v>
      </c>
      <c r="AJ406" s="76">
        <v>4.3999999999999997E-2</v>
      </c>
      <c r="AK406" s="76">
        <v>4.3999999999999997E-2</v>
      </c>
      <c r="AL406" s="76">
        <v>4.3999999999999997E-2</v>
      </c>
      <c r="AM406" s="76">
        <v>4.3999999999999997E-2</v>
      </c>
      <c r="AN406" s="76">
        <v>4.3999999999999997E-2</v>
      </c>
      <c r="AO406" s="76">
        <v>4.3999999999999997E-2</v>
      </c>
      <c r="AP406" s="76">
        <v>4.3999999999999997E-2</v>
      </c>
      <c r="AQ406" s="76">
        <v>4.3999999999999997E-2</v>
      </c>
      <c r="AR406" s="76">
        <v>4.3999999999999997E-2</v>
      </c>
      <c r="AS406" s="76">
        <v>4.3999999999999997E-2</v>
      </c>
      <c r="AT406" s="76">
        <v>4.3999999999999997E-2</v>
      </c>
      <c r="AU406" s="76">
        <v>4.3999999999999997E-2</v>
      </c>
      <c r="AV406" s="76">
        <v>4.3999999999999997E-2</v>
      </c>
      <c r="AW406" s="76">
        <v>4.3999999999999997E-2</v>
      </c>
      <c r="AX406" s="84">
        <v>4.3999999999999997E-2</v>
      </c>
    </row>
    <row r="407" spans="1:50" x14ac:dyDescent="0.25">
      <c r="A407" s="347"/>
      <c r="B407" s="349"/>
      <c r="C407" s="350"/>
      <c r="D407" s="4" t="s">
        <v>8</v>
      </c>
      <c r="E407" s="168" t="str">
        <f>A406&amp;"/"&amp;B406&amp;"/"&amp;C406&amp;"/"&amp;D407</f>
        <v>Nuclear power plants/Nuclear - current/Electricity only/M</v>
      </c>
      <c r="F407" s="80" t="str">
        <f>A406</f>
        <v>Nuclear power plants</v>
      </c>
      <c r="G407" s="80" t="str">
        <f>B406</f>
        <v>Nuclear - current</v>
      </c>
      <c r="H407" s="80" t="str">
        <f>C406</f>
        <v>Electricity only</v>
      </c>
      <c r="I407" s="169" t="str">
        <f t="shared" ref="I407:I470" si="83">D407</f>
        <v>M</v>
      </c>
      <c r="J407" s="80">
        <v>6.6000000000000003E-2</v>
      </c>
      <c r="K407" s="80">
        <v>6.6000000000000003E-2</v>
      </c>
      <c r="L407" s="80">
        <v>6.6000000000000003E-2</v>
      </c>
      <c r="M407" s="80">
        <v>6.6000000000000003E-2</v>
      </c>
      <c r="N407" s="80">
        <v>6.6000000000000003E-2</v>
      </c>
      <c r="O407" s="80">
        <v>6.6000000000000003E-2</v>
      </c>
      <c r="P407" s="80">
        <v>6.6000000000000003E-2</v>
      </c>
      <c r="Q407" s="80">
        <v>6.6000000000000003E-2</v>
      </c>
      <c r="R407" s="80">
        <v>6.6000000000000003E-2</v>
      </c>
      <c r="S407" s="80">
        <v>6.6000000000000003E-2</v>
      </c>
      <c r="T407" s="80">
        <v>6.6000000000000003E-2</v>
      </c>
      <c r="U407" s="80">
        <v>6.6000000000000003E-2</v>
      </c>
      <c r="V407" s="80">
        <v>6.6000000000000003E-2</v>
      </c>
      <c r="W407" s="80">
        <v>6.6000000000000003E-2</v>
      </c>
      <c r="X407" s="80">
        <v>6.6000000000000003E-2</v>
      </c>
      <c r="Y407" s="80">
        <v>6.6000000000000003E-2</v>
      </c>
      <c r="Z407" s="80">
        <v>6.6000000000000003E-2</v>
      </c>
      <c r="AA407" s="80">
        <v>6.6000000000000003E-2</v>
      </c>
      <c r="AB407" s="80">
        <v>6.6000000000000003E-2</v>
      </c>
      <c r="AC407" s="80">
        <v>6.6000000000000003E-2</v>
      </c>
      <c r="AD407" s="80">
        <v>6.6000000000000003E-2</v>
      </c>
      <c r="AE407" s="80">
        <v>6.6000000000000003E-2</v>
      </c>
      <c r="AF407" s="80">
        <v>6.6000000000000003E-2</v>
      </c>
      <c r="AG407" s="80">
        <v>6.6000000000000003E-2</v>
      </c>
      <c r="AH407" s="80">
        <v>6.6000000000000003E-2</v>
      </c>
      <c r="AI407" s="80">
        <v>6.6000000000000003E-2</v>
      </c>
      <c r="AJ407" s="80">
        <v>6.6000000000000003E-2</v>
      </c>
      <c r="AK407" s="80">
        <v>6.6000000000000003E-2</v>
      </c>
      <c r="AL407" s="80">
        <v>6.6000000000000003E-2</v>
      </c>
      <c r="AM407" s="80">
        <v>6.6000000000000003E-2</v>
      </c>
      <c r="AN407" s="80">
        <v>6.6000000000000003E-2</v>
      </c>
      <c r="AO407" s="80">
        <v>6.6000000000000003E-2</v>
      </c>
      <c r="AP407" s="80">
        <v>6.6000000000000003E-2</v>
      </c>
      <c r="AQ407" s="80">
        <v>6.6000000000000003E-2</v>
      </c>
      <c r="AR407" s="80">
        <v>6.6000000000000003E-2</v>
      </c>
      <c r="AS407" s="80">
        <v>6.6000000000000003E-2</v>
      </c>
      <c r="AT407" s="80">
        <v>6.6000000000000003E-2</v>
      </c>
      <c r="AU407" s="80">
        <v>6.6000000000000003E-2</v>
      </c>
      <c r="AV407" s="80">
        <v>6.6000000000000003E-2</v>
      </c>
      <c r="AW407" s="80">
        <v>6.6000000000000003E-2</v>
      </c>
      <c r="AX407" s="88">
        <v>6.6000000000000003E-2</v>
      </c>
    </row>
    <row r="408" spans="1:50" x14ac:dyDescent="0.25">
      <c r="A408" s="347"/>
      <c r="B408" s="351" t="s">
        <v>9</v>
      </c>
      <c r="C408" s="353" t="s">
        <v>6</v>
      </c>
      <c r="D408" s="2" t="s">
        <v>7</v>
      </c>
      <c r="E408" s="160" t="str">
        <f>A406&amp;"/"&amp;B408&amp;"/"&amp;C408&amp;"/"&amp;D408</f>
        <v>Nuclear power plants/Nuclear III/Electricity only/L</v>
      </c>
      <c r="F408" s="76" t="str">
        <f>A406</f>
        <v>Nuclear power plants</v>
      </c>
      <c r="G408" s="76" t="str">
        <f>B408</f>
        <v>Nuclear III</v>
      </c>
      <c r="H408" s="76" t="str">
        <f>C408</f>
        <v>Electricity only</v>
      </c>
      <c r="I408" s="161" t="str">
        <f t="shared" si="83"/>
        <v>L</v>
      </c>
      <c r="J408" s="76">
        <v>4.0480000000000002E-2</v>
      </c>
      <c r="K408" s="76">
        <v>4.0480000000000002E-2</v>
      </c>
      <c r="L408" s="76">
        <v>4.0480000000000002E-2</v>
      </c>
      <c r="M408" s="76">
        <v>4.0480000000000002E-2</v>
      </c>
      <c r="N408" s="76">
        <v>4.0480000000000002E-2</v>
      </c>
      <c r="O408" s="76">
        <v>4.0480000000000002E-2</v>
      </c>
      <c r="P408" s="76">
        <v>4.0480000000000002E-2</v>
      </c>
      <c r="Q408" s="76">
        <v>4.0480000000000002E-2</v>
      </c>
      <c r="R408" s="76">
        <v>4.0480000000000002E-2</v>
      </c>
      <c r="S408" s="76">
        <v>4.0480000000000002E-2</v>
      </c>
      <c r="T408" s="76">
        <v>4.0480000000000002E-2</v>
      </c>
      <c r="U408" s="76">
        <v>4.0480000000000002E-2</v>
      </c>
      <c r="V408" s="76">
        <v>4.0480000000000002E-2</v>
      </c>
      <c r="W408" s="76">
        <v>4.0480000000000002E-2</v>
      </c>
      <c r="X408" s="76">
        <v>4.0480000000000002E-2</v>
      </c>
      <c r="Y408" s="76">
        <v>4.0480000000000002E-2</v>
      </c>
      <c r="Z408" s="76">
        <v>4.0480000000000002E-2</v>
      </c>
      <c r="AA408" s="76">
        <v>4.0480000000000002E-2</v>
      </c>
      <c r="AB408" s="76">
        <v>4.0480000000000002E-2</v>
      </c>
      <c r="AC408" s="76">
        <v>4.0480000000000002E-2</v>
      </c>
      <c r="AD408" s="76">
        <v>4.0480000000000002E-2</v>
      </c>
      <c r="AE408" s="76">
        <v>4.0480000000000002E-2</v>
      </c>
      <c r="AF408" s="76">
        <v>4.0480000000000002E-2</v>
      </c>
      <c r="AG408" s="76">
        <v>4.0480000000000002E-2</v>
      </c>
      <c r="AH408" s="76">
        <v>4.0480000000000002E-2</v>
      </c>
      <c r="AI408" s="76">
        <v>4.0480000000000002E-2</v>
      </c>
      <c r="AJ408" s="76">
        <v>4.0480000000000002E-2</v>
      </c>
      <c r="AK408" s="76">
        <v>4.0480000000000002E-2</v>
      </c>
      <c r="AL408" s="76">
        <v>4.0480000000000002E-2</v>
      </c>
      <c r="AM408" s="76">
        <v>4.0480000000000002E-2</v>
      </c>
      <c r="AN408" s="76">
        <v>4.0480000000000002E-2</v>
      </c>
      <c r="AO408" s="76">
        <v>4.0480000000000002E-2</v>
      </c>
      <c r="AP408" s="76">
        <v>4.0480000000000002E-2</v>
      </c>
      <c r="AQ408" s="76">
        <v>4.0480000000000002E-2</v>
      </c>
      <c r="AR408" s="76">
        <v>4.0480000000000002E-2</v>
      </c>
      <c r="AS408" s="76">
        <v>4.0480000000000002E-2</v>
      </c>
      <c r="AT408" s="76">
        <v>4.0480000000000002E-2</v>
      </c>
      <c r="AU408" s="76">
        <v>4.0480000000000002E-2</v>
      </c>
      <c r="AV408" s="76">
        <v>4.0480000000000002E-2</v>
      </c>
      <c r="AW408" s="76">
        <v>4.0480000000000002E-2</v>
      </c>
      <c r="AX408" s="84">
        <v>4.0480000000000002E-2</v>
      </c>
    </row>
    <row r="409" spans="1:50" x14ac:dyDescent="0.25">
      <c r="A409" s="347"/>
      <c r="B409" s="349"/>
      <c r="C409" s="350"/>
      <c r="D409" s="2" t="s">
        <v>8</v>
      </c>
      <c r="E409" s="160" t="str">
        <f>A406&amp;"/"&amp;B408&amp;"/"&amp;C408&amp;"/"&amp;D409</f>
        <v>Nuclear power plants/Nuclear III/Electricity only/M</v>
      </c>
      <c r="F409" s="76" t="str">
        <f>A406</f>
        <v>Nuclear power plants</v>
      </c>
      <c r="G409" s="76" t="str">
        <f>B408</f>
        <v>Nuclear III</v>
      </c>
      <c r="H409" s="76" t="str">
        <f>C408</f>
        <v>Electricity only</v>
      </c>
      <c r="I409" s="161" t="str">
        <f t="shared" si="83"/>
        <v>M</v>
      </c>
      <c r="J409" s="76">
        <v>5.9400000000000001E-2</v>
      </c>
      <c r="K409" s="76">
        <v>5.9400000000000001E-2</v>
      </c>
      <c r="L409" s="76">
        <v>5.9400000000000001E-2</v>
      </c>
      <c r="M409" s="76">
        <v>5.9400000000000001E-2</v>
      </c>
      <c r="N409" s="76">
        <v>5.9400000000000001E-2</v>
      </c>
      <c r="O409" s="76">
        <v>5.9400000000000001E-2</v>
      </c>
      <c r="P409" s="76">
        <v>5.9400000000000001E-2</v>
      </c>
      <c r="Q409" s="76">
        <v>5.9400000000000001E-2</v>
      </c>
      <c r="R409" s="76">
        <v>5.9400000000000001E-2</v>
      </c>
      <c r="S409" s="76">
        <v>5.9400000000000001E-2</v>
      </c>
      <c r="T409" s="76">
        <v>5.9400000000000001E-2</v>
      </c>
      <c r="U409" s="76">
        <v>5.9400000000000001E-2</v>
      </c>
      <c r="V409" s="76">
        <v>5.9400000000000001E-2</v>
      </c>
      <c r="W409" s="76">
        <v>5.9400000000000001E-2</v>
      </c>
      <c r="X409" s="76">
        <v>5.9400000000000001E-2</v>
      </c>
      <c r="Y409" s="76">
        <v>5.9400000000000001E-2</v>
      </c>
      <c r="Z409" s="76">
        <v>5.9400000000000001E-2</v>
      </c>
      <c r="AA409" s="76">
        <v>5.9400000000000001E-2</v>
      </c>
      <c r="AB409" s="76">
        <v>5.9400000000000001E-2</v>
      </c>
      <c r="AC409" s="76">
        <v>5.9400000000000001E-2</v>
      </c>
      <c r="AD409" s="76">
        <v>5.9400000000000001E-2</v>
      </c>
      <c r="AE409" s="76">
        <v>5.9400000000000001E-2</v>
      </c>
      <c r="AF409" s="76">
        <v>5.9400000000000001E-2</v>
      </c>
      <c r="AG409" s="76">
        <v>5.9400000000000001E-2</v>
      </c>
      <c r="AH409" s="76">
        <v>5.9400000000000001E-2</v>
      </c>
      <c r="AI409" s="76">
        <v>5.9400000000000001E-2</v>
      </c>
      <c r="AJ409" s="76">
        <v>5.9400000000000001E-2</v>
      </c>
      <c r="AK409" s="76">
        <v>5.9400000000000001E-2</v>
      </c>
      <c r="AL409" s="76">
        <v>5.9400000000000001E-2</v>
      </c>
      <c r="AM409" s="76">
        <v>5.9400000000000001E-2</v>
      </c>
      <c r="AN409" s="76">
        <v>5.9400000000000001E-2</v>
      </c>
      <c r="AO409" s="76">
        <v>5.9400000000000001E-2</v>
      </c>
      <c r="AP409" s="76">
        <v>5.9400000000000001E-2</v>
      </c>
      <c r="AQ409" s="76">
        <v>5.9400000000000001E-2</v>
      </c>
      <c r="AR409" s="76">
        <v>5.9400000000000001E-2</v>
      </c>
      <c r="AS409" s="76">
        <v>5.9400000000000001E-2</v>
      </c>
      <c r="AT409" s="76">
        <v>5.9400000000000001E-2</v>
      </c>
      <c r="AU409" s="76">
        <v>5.9400000000000001E-2</v>
      </c>
      <c r="AV409" s="76">
        <v>5.9400000000000001E-2</v>
      </c>
      <c r="AW409" s="76">
        <v>5.9400000000000001E-2</v>
      </c>
      <c r="AX409" s="84">
        <v>5.9400000000000001E-2</v>
      </c>
    </row>
    <row r="410" spans="1:50" x14ac:dyDescent="0.25">
      <c r="A410" s="347"/>
      <c r="B410" s="352"/>
      <c r="C410" s="354"/>
      <c r="D410" s="4" t="s">
        <v>10</v>
      </c>
      <c r="E410" s="168" t="str">
        <f>A406&amp;"/"&amp;B408&amp;"/"&amp;C408&amp;"/"&amp;D410</f>
        <v>Nuclear power plants/Nuclear III/Electricity only/S</v>
      </c>
      <c r="F410" s="80" t="str">
        <f>A406</f>
        <v>Nuclear power plants</v>
      </c>
      <c r="G410" s="80" t="str">
        <f>B408</f>
        <v>Nuclear III</v>
      </c>
      <c r="H410" s="80" t="str">
        <f>C408</f>
        <v>Electricity only</v>
      </c>
      <c r="I410" s="169" t="str">
        <f t="shared" si="83"/>
        <v>S</v>
      </c>
      <c r="J410" s="80" t="s">
        <v>112</v>
      </c>
      <c r="K410" s="80" t="s">
        <v>112</v>
      </c>
      <c r="L410" s="80" t="s">
        <v>112</v>
      </c>
      <c r="M410" s="80" t="s">
        <v>112</v>
      </c>
      <c r="N410" s="80" t="s">
        <v>112</v>
      </c>
      <c r="O410" s="80" t="s">
        <v>112</v>
      </c>
      <c r="P410" s="80" t="s">
        <v>112</v>
      </c>
      <c r="Q410" s="80" t="s">
        <v>112</v>
      </c>
      <c r="R410" s="80" t="s">
        <v>112</v>
      </c>
      <c r="S410" s="80" t="s">
        <v>112</v>
      </c>
      <c r="T410" s="80" t="s">
        <v>112</v>
      </c>
      <c r="U410" s="80" t="s">
        <v>112</v>
      </c>
      <c r="V410" s="80" t="s">
        <v>112</v>
      </c>
      <c r="W410" s="80" t="s">
        <v>112</v>
      </c>
      <c r="X410" s="80" t="s">
        <v>112</v>
      </c>
      <c r="Y410" s="80">
        <v>6.0588000000000003E-2</v>
      </c>
      <c r="Z410" s="80">
        <v>6.0588000000000003E-2</v>
      </c>
      <c r="AA410" s="80">
        <v>6.0588000000000003E-2</v>
      </c>
      <c r="AB410" s="80">
        <v>6.0588000000000003E-2</v>
      </c>
      <c r="AC410" s="80">
        <v>6.0588000000000003E-2</v>
      </c>
      <c r="AD410" s="80">
        <v>6.0588000000000003E-2</v>
      </c>
      <c r="AE410" s="80">
        <v>6.0588000000000003E-2</v>
      </c>
      <c r="AF410" s="80">
        <v>6.0588000000000003E-2</v>
      </c>
      <c r="AG410" s="80">
        <v>6.0588000000000003E-2</v>
      </c>
      <c r="AH410" s="80">
        <v>6.0588000000000003E-2</v>
      </c>
      <c r="AI410" s="80">
        <v>6.0588000000000003E-2</v>
      </c>
      <c r="AJ410" s="80">
        <v>6.0588000000000003E-2</v>
      </c>
      <c r="AK410" s="80">
        <v>6.0588000000000003E-2</v>
      </c>
      <c r="AL410" s="80">
        <v>6.0588000000000003E-2</v>
      </c>
      <c r="AM410" s="80">
        <v>6.0588000000000003E-2</v>
      </c>
      <c r="AN410" s="80">
        <v>6.0588000000000003E-2</v>
      </c>
      <c r="AO410" s="80">
        <v>6.0588000000000003E-2</v>
      </c>
      <c r="AP410" s="80">
        <v>6.0588000000000003E-2</v>
      </c>
      <c r="AQ410" s="80">
        <v>6.0588000000000003E-2</v>
      </c>
      <c r="AR410" s="80">
        <v>6.0588000000000003E-2</v>
      </c>
      <c r="AS410" s="80">
        <v>6.0588000000000003E-2</v>
      </c>
      <c r="AT410" s="80">
        <v>6.0588000000000003E-2</v>
      </c>
      <c r="AU410" s="80">
        <v>6.0588000000000003E-2</v>
      </c>
      <c r="AV410" s="80">
        <v>6.0588000000000003E-2</v>
      </c>
      <c r="AW410" s="80">
        <v>6.0588000000000003E-2</v>
      </c>
      <c r="AX410" s="88">
        <v>6.0588000000000003E-2</v>
      </c>
    </row>
    <row r="411" spans="1:50" x14ac:dyDescent="0.25">
      <c r="A411" s="347"/>
      <c r="B411" s="349" t="s">
        <v>11</v>
      </c>
      <c r="C411" s="363" t="s">
        <v>6</v>
      </c>
      <c r="D411" s="2" t="s">
        <v>7</v>
      </c>
      <c r="E411" s="160" t="str">
        <f>A406&amp;"/"&amp;B411&amp;"/"&amp;C411&amp;"/"&amp;D411</f>
        <v>Nuclear power plants/Nuclear IV/Electricity only/L</v>
      </c>
      <c r="F411" s="76" t="str">
        <f>A406</f>
        <v>Nuclear power plants</v>
      </c>
      <c r="G411" s="76" t="str">
        <f>B411</f>
        <v>Nuclear IV</v>
      </c>
      <c r="H411" s="76" t="str">
        <f>C411</f>
        <v>Electricity only</v>
      </c>
      <c r="I411" s="161" t="str">
        <f t="shared" si="83"/>
        <v>L</v>
      </c>
      <c r="J411" s="76" t="s">
        <v>112</v>
      </c>
      <c r="K411" s="76" t="s">
        <v>112</v>
      </c>
      <c r="L411" s="76" t="s">
        <v>112</v>
      </c>
      <c r="M411" s="76" t="s">
        <v>112</v>
      </c>
      <c r="N411" s="76" t="s">
        <v>112</v>
      </c>
      <c r="O411" s="76" t="s">
        <v>112</v>
      </c>
      <c r="P411" s="76" t="s">
        <v>112</v>
      </c>
      <c r="Q411" s="76" t="s">
        <v>112</v>
      </c>
      <c r="R411" s="76" t="s">
        <v>112</v>
      </c>
      <c r="S411" s="76" t="s">
        <v>112</v>
      </c>
      <c r="T411" s="76" t="s">
        <v>112</v>
      </c>
      <c r="U411" s="76" t="s">
        <v>112</v>
      </c>
      <c r="V411" s="76" t="s">
        <v>112</v>
      </c>
      <c r="W411" s="76" t="s">
        <v>112</v>
      </c>
      <c r="X411" s="76" t="s">
        <v>112</v>
      </c>
      <c r="Y411" s="76" t="s">
        <v>112</v>
      </c>
      <c r="Z411" s="76" t="s">
        <v>112</v>
      </c>
      <c r="AA411" s="76" t="s">
        <v>112</v>
      </c>
      <c r="AB411" s="76" t="s">
        <v>112</v>
      </c>
      <c r="AC411" s="76" t="s">
        <v>112</v>
      </c>
      <c r="AD411" s="76" t="s">
        <v>112</v>
      </c>
      <c r="AE411" s="76" t="s">
        <v>112</v>
      </c>
      <c r="AF411" s="76" t="s">
        <v>112</v>
      </c>
      <c r="AG411" s="76" t="s">
        <v>112</v>
      </c>
      <c r="AH411" s="76" t="s">
        <v>112</v>
      </c>
      <c r="AI411" s="76">
        <v>3.8455999999999997E-2</v>
      </c>
      <c r="AJ411" s="76">
        <v>3.8455999999999997E-2</v>
      </c>
      <c r="AK411" s="76">
        <v>3.8455999999999997E-2</v>
      </c>
      <c r="AL411" s="76">
        <v>3.8455999999999997E-2</v>
      </c>
      <c r="AM411" s="76">
        <v>3.8455999999999997E-2</v>
      </c>
      <c r="AN411" s="76">
        <v>3.8455999999999997E-2</v>
      </c>
      <c r="AO411" s="76">
        <v>3.8455999999999997E-2</v>
      </c>
      <c r="AP411" s="76">
        <v>3.8455999999999997E-2</v>
      </c>
      <c r="AQ411" s="76">
        <v>3.8455999999999997E-2</v>
      </c>
      <c r="AR411" s="76">
        <v>3.8455999999999997E-2</v>
      </c>
      <c r="AS411" s="76">
        <v>3.8455999999999997E-2</v>
      </c>
      <c r="AT411" s="76">
        <v>3.8455999999999997E-2</v>
      </c>
      <c r="AU411" s="76">
        <v>3.8455999999999997E-2</v>
      </c>
      <c r="AV411" s="76">
        <v>3.8455999999999997E-2</v>
      </c>
      <c r="AW411" s="76">
        <v>3.8455999999999997E-2</v>
      </c>
      <c r="AX411" s="84">
        <v>3.8455999999999997E-2</v>
      </c>
    </row>
    <row r="412" spans="1:50" x14ac:dyDescent="0.25">
      <c r="A412" s="348"/>
      <c r="B412" s="352"/>
      <c r="C412" s="364"/>
      <c r="D412" s="4" t="s">
        <v>8</v>
      </c>
      <c r="E412" s="160" t="str">
        <f>A406&amp;"/"&amp;B411&amp;"/"&amp;C411&amp;"/"&amp;D412</f>
        <v>Nuclear power plants/Nuclear IV/Electricity only/M</v>
      </c>
      <c r="F412" s="76" t="str">
        <f>A406</f>
        <v>Nuclear power plants</v>
      </c>
      <c r="G412" s="76" t="str">
        <f>B411</f>
        <v>Nuclear IV</v>
      </c>
      <c r="H412" s="76" t="str">
        <f>C411</f>
        <v>Electricity only</v>
      </c>
      <c r="I412" s="161" t="str">
        <f t="shared" si="83"/>
        <v>M</v>
      </c>
      <c r="J412" s="76" t="s">
        <v>112</v>
      </c>
      <c r="K412" s="76" t="s">
        <v>112</v>
      </c>
      <c r="L412" s="76" t="s">
        <v>112</v>
      </c>
      <c r="M412" s="76" t="s">
        <v>112</v>
      </c>
      <c r="N412" s="76" t="s">
        <v>112</v>
      </c>
      <c r="O412" s="76" t="s">
        <v>112</v>
      </c>
      <c r="P412" s="76" t="s">
        <v>112</v>
      </c>
      <c r="Q412" s="76" t="s">
        <v>112</v>
      </c>
      <c r="R412" s="76" t="s">
        <v>112</v>
      </c>
      <c r="S412" s="76" t="s">
        <v>112</v>
      </c>
      <c r="T412" s="76" t="s">
        <v>112</v>
      </c>
      <c r="U412" s="76" t="s">
        <v>112</v>
      </c>
      <c r="V412" s="76" t="s">
        <v>112</v>
      </c>
      <c r="W412" s="76" t="s">
        <v>112</v>
      </c>
      <c r="X412" s="76" t="s">
        <v>112</v>
      </c>
      <c r="Y412" s="76" t="s">
        <v>112</v>
      </c>
      <c r="Z412" s="76" t="s">
        <v>112</v>
      </c>
      <c r="AA412" s="76" t="s">
        <v>112</v>
      </c>
      <c r="AB412" s="76" t="s">
        <v>112</v>
      </c>
      <c r="AC412" s="76" t="s">
        <v>112</v>
      </c>
      <c r="AD412" s="76" t="s">
        <v>112</v>
      </c>
      <c r="AE412" s="76" t="s">
        <v>112</v>
      </c>
      <c r="AF412" s="76" t="s">
        <v>112</v>
      </c>
      <c r="AG412" s="76" t="s">
        <v>112</v>
      </c>
      <c r="AH412" s="76" t="s">
        <v>112</v>
      </c>
      <c r="AI412" s="76">
        <v>5.6430000000000001E-2</v>
      </c>
      <c r="AJ412" s="76">
        <v>5.6430000000000001E-2</v>
      </c>
      <c r="AK412" s="76">
        <v>5.6430000000000001E-2</v>
      </c>
      <c r="AL412" s="76">
        <v>5.6430000000000001E-2</v>
      </c>
      <c r="AM412" s="76">
        <v>5.6430000000000001E-2</v>
      </c>
      <c r="AN412" s="76">
        <v>5.6430000000000001E-2</v>
      </c>
      <c r="AO412" s="76">
        <v>5.6430000000000001E-2</v>
      </c>
      <c r="AP412" s="76">
        <v>5.6430000000000001E-2</v>
      </c>
      <c r="AQ412" s="76">
        <v>5.6430000000000001E-2</v>
      </c>
      <c r="AR412" s="76">
        <v>5.6430000000000001E-2</v>
      </c>
      <c r="AS412" s="76">
        <v>5.6430000000000001E-2</v>
      </c>
      <c r="AT412" s="76">
        <v>5.6430000000000001E-2</v>
      </c>
      <c r="AU412" s="76">
        <v>5.6430000000000001E-2</v>
      </c>
      <c r="AV412" s="76">
        <v>5.6430000000000001E-2</v>
      </c>
      <c r="AW412" s="76">
        <v>5.6430000000000001E-2</v>
      </c>
      <c r="AX412" s="84">
        <v>5.6430000000000001E-2</v>
      </c>
    </row>
    <row r="413" spans="1:50" x14ac:dyDescent="0.25">
      <c r="A413" s="355" t="s">
        <v>12</v>
      </c>
      <c r="B413" s="358" t="s">
        <v>13</v>
      </c>
      <c r="C413" s="353" t="s">
        <v>6</v>
      </c>
      <c r="D413" s="3" t="s">
        <v>7</v>
      </c>
      <c r="E413" s="162" t="str">
        <f>A413&amp;"/"&amp;B413&amp;"/"&amp;C413&amp;"/"&amp;D413</f>
        <v>Coal fired power plants/Integrated gasification combined cycle/Electricity only/L</v>
      </c>
      <c r="F413" s="77" t="str">
        <f>A413</f>
        <v>Coal fired power plants</v>
      </c>
      <c r="G413" s="77" t="str">
        <f>B413</f>
        <v>Integrated gasification combined cycle</v>
      </c>
      <c r="H413" s="77" t="str">
        <f>C413</f>
        <v>Electricity only</v>
      </c>
      <c r="I413" s="163" t="str">
        <f t="shared" si="83"/>
        <v>L</v>
      </c>
      <c r="J413" s="77">
        <v>0.06</v>
      </c>
      <c r="K413" s="77">
        <v>0.06</v>
      </c>
      <c r="L413" s="77">
        <v>0.06</v>
      </c>
      <c r="M413" s="77">
        <v>0.06</v>
      </c>
      <c r="N413" s="77">
        <v>0.06</v>
      </c>
      <c r="O413" s="77">
        <v>0.06</v>
      </c>
      <c r="P413" s="77">
        <v>0.06</v>
      </c>
      <c r="Q413" s="77">
        <v>0.06</v>
      </c>
      <c r="R413" s="77">
        <v>0.06</v>
      </c>
      <c r="S413" s="77">
        <v>0.06</v>
      </c>
      <c r="T413" s="77">
        <v>0.06</v>
      </c>
      <c r="U413" s="77">
        <v>0.06</v>
      </c>
      <c r="V413" s="77">
        <v>0.06</v>
      </c>
      <c r="W413" s="77">
        <v>0.06</v>
      </c>
      <c r="X413" s="77">
        <v>0.06</v>
      </c>
      <c r="Y413" s="77">
        <v>0.06</v>
      </c>
      <c r="Z413" s="77">
        <v>0.06</v>
      </c>
      <c r="AA413" s="77">
        <v>0.06</v>
      </c>
      <c r="AB413" s="77">
        <v>0.06</v>
      </c>
      <c r="AC413" s="77">
        <v>0.06</v>
      </c>
      <c r="AD413" s="77">
        <v>0.06</v>
      </c>
      <c r="AE413" s="77">
        <v>0.06</v>
      </c>
      <c r="AF413" s="77">
        <v>0.06</v>
      </c>
      <c r="AG413" s="77">
        <v>0.06</v>
      </c>
      <c r="AH413" s="77">
        <v>0.06</v>
      </c>
      <c r="AI413" s="77">
        <v>0.06</v>
      </c>
      <c r="AJ413" s="77">
        <v>0.06</v>
      </c>
      <c r="AK413" s="77">
        <v>0.06</v>
      </c>
      <c r="AL413" s="77">
        <v>0.06</v>
      </c>
      <c r="AM413" s="77">
        <v>0.06</v>
      </c>
      <c r="AN413" s="77">
        <v>0.06</v>
      </c>
      <c r="AO413" s="77">
        <v>0.06</v>
      </c>
      <c r="AP413" s="77">
        <v>0.06</v>
      </c>
      <c r="AQ413" s="77">
        <v>0.06</v>
      </c>
      <c r="AR413" s="77">
        <v>0.06</v>
      </c>
      <c r="AS413" s="77">
        <v>0.06</v>
      </c>
      <c r="AT413" s="77">
        <v>0.06</v>
      </c>
      <c r="AU413" s="77">
        <v>0.06</v>
      </c>
      <c r="AV413" s="77">
        <v>0.06</v>
      </c>
      <c r="AW413" s="77">
        <v>0.06</v>
      </c>
      <c r="AX413" s="85">
        <v>0.06</v>
      </c>
    </row>
    <row r="414" spans="1:50" x14ac:dyDescent="0.25">
      <c r="A414" s="356"/>
      <c r="B414" s="359"/>
      <c r="C414" s="360"/>
      <c r="D414" s="2" t="s">
        <v>8</v>
      </c>
      <c r="E414" s="160" t="str">
        <f>A413&amp;"/"&amp;B413&amp;"/"&amp;C413&amp;"/"&amp;D414</f>
        <v>Coal fired power plants/Integrated gasification combined cycle/Electricity only/M</v>
      </c>
      <c r="F414" s="76" t="str">
        <f>A413</f>
        <v>Coal fired power plants</v>
      </c>
      <c r="G414" s="76" t="str">
        <f>B413</f>
        <v>Integrated gasification combined cycle</v>
      </c>
      <c r="H414" s="76" t="str">
        <f>C413</f>
        <v>Electricity only</v>
      </c>
      <c r="I414" s="161" t="str">
        <f t="shared" si="83"/>
        <v>M</v>
      </c>
      <c r="J414" s="76">
        <v>6.3E-2</v>
      </c>
      <c r="K414" s="76">
        <v>6.3E-2</v>
      </c>
      <c r="L414" s="76">
        <v>6.3E-2</v>
      </c>
      <c r="M414" s="76">
        <v>6.3E-2</v>
      </c>
      <c r="N414" s="76">
        <v>6.3E-2</v>
      </c>
      <c r="O414" s="76">
        <v>6.3E-2</v>
      </c>
      <c r="P414" s="76">
        <v>6.3E-2</v>
      </c>
      <c r="Q414" s="76">
        <v>6.3E-2</v>
      </c>
      <c r="R414" s="76">
        <v>6.3E-2</v>
      </c>
      <c r="S414" s="76">
        <v>6.3E-2</v>
      </c>
      <c r="T414" s="76">
        <v>6.3E-2</v>
      </c>
      <c r="U414" s="76">
        <v>6.3E-2</v>
      </c>
      <c r="V414" s="76">
        <v>6.3E-2</v>
      </c>
      <c r="W414" s="76">
        <v>6.3E-2</v>
      </c>
      <c r="X414" s="76">
        <v>6.3E-2</v>
      </c>
      <c r="Y414" s="76">
        <v>6.3E-2</v>
      </c>
      <c r="Z414" s="76">
        <v>6.3E-2</v>
      </c>
      <c r="AA414" s="76">
        <v>6.3E-2</v>
      </c>
      <c r="AB414" s="76">
        <v>6.3E-2</v>
      </c>
      <c r="AC414" s="76">
        <v>6.3E-2</v>
      </c>
      <c r="AD414" s="76">
        <v>6.3E-2</v>
      </c>
      <c r="AE414" s="76">
        <v>6.3E-2</v>
      </c>
      <c r="AF414" s="76">
        <v>6.3E-2</v>
      </c>
      <c r="AG414" s="76">
        <v>6.3E-2</v>
      </c>
      <c r="AH414" s="76">
        <v>6.3E-2</v>
      </c>
      <c r="AI414" s="76">
        <v>6.3E-2</v>
      </c>
      <c r="AJ414" s="76">
        <v>6.3E-2</v>
      </c>
      <c r="AK414" s="76">
        <v>6.3E-2</v>
      </c>
      <c r="AL414" s="76">
        <v>6.3E-2</v>
      </c>
      <c r="AM414" s="76">
        <v>6.3E-2</v>
      </c>
      <c r="AN414" s="76">
        <v>6.3E-2</v>
      </c>
      <c r="AO414" s="76">
        <v>6.3E-2</v>
      </c>
      <c r="AP414" s="76">
        <v>6.3E-2</v>
      </c>
      <c r="AQ414" s="76">
        <v>6.3E-2</v>
      </c>
      <c r="AR414" s="76">
        <v>6.3E-2</v>
      </c>
      <c r="AS414" s="76">
        <v>6.3E-2</v>
      </c>
      <c r="AT414" s="76">
        <v>6.3E-2</v>
      </c>
      <c r="AU414" s="76">
        <v>6.3E-2</v>
      </c>
      <c r="AV414" s="76">
        <v>6.3E-2</v>
      </c>
      <c r="AW414" s="76">
        <v>6.3E-2</v>
      </c>
      <c r="AX414" s="84">
        <v>6.3E-2</v>
      </c>
    </row>
    <row r="415" spans="1:50" x14ac:dyDescent="0.25">
      <c r="A415" s="356"/>
      <c r="B415" s="359"/>
      <c r="C415" s="361" t="s">
        <v>14</v>
      </c>
      <c r="D415" s="58" t="s">
        <v>7</v>
      </c>
      <c r="E415" s="164" t="str">
        <f>A413&amp;"/"&amp;B413&amp;"/"&amp;C415&amp;"/"&amp;D415</f>
        <v>Coal fired power plants/Integrated gasification combined cycle/CHP/L</v>
      </c>
      <c r="F415" s="78" t="str">
        <f>A413</f>
        <v>Coal fired power plants</v>
      </c>
      <c r="G415" s="78" t="str">
        <f>B413</f>
        <v>Integrated gasification combined cycle</v>
      </c>
      <c r="H415" s="78" t="str">
        <f>C415</f>
        <v>CHP</v>
      </c>
      <c r="I415" s="165" t="str">
        <f t="shared" si="83"/>
        <v>L</v>
      </c>
      <c r="J415" s="78">
        <v>6.6000000000000003E-2</v>
      </c>
      <c r="K415" s="78">
        <v>6.6000000000000003E-2</v>
      </c>
      <c r="L415" s="78">
        <v>6.6000000000000003E-2</v>
      </c>
      <c r="M415" s="78">
        <v>6.6000000000000003E-2</v>
      </c>
      <c r="N415" s="78">
        <v>6.6000000000000003E-2</v>
      </c>
      <c r="O415" s="78">
        <v>6.6000000000000003E-2</v>
      </c>
      <c r="P415" s="78">
        <v>6.6000000000000003E-2</v>
      </c>
      <c r="Q415" s="78">
        <v>6.6000000000000003E-2</v>
      </c>
      <c r="R415" s="78">
        <v>6.6000000000000003E-2</v>
      </c>
      <c r="S415" s="78">
        <v>6.6000000000000003E-2</v>
      </c>
      <c r="T415" s="78">
        <v>6.6000000000000003E-2</v>
      </c>
      <c r="U415" s="78">
        <v>6.6000000000000003E-2</v>
      </c>
      <c r="V415" s="78">
        <v>6.6000000000000003E-2</v>
      </c>
      <c r="W415" s="78">
        <v>6.6000000000000003E-2</v>
      </c>
      <c r="X415" s="78">
        <v>6.6000000000000003E-2</v>
      </c>
      <c r="Y415" s="78">
        <v>6.6000000000000003E-2</v>
      </c>
      <c r="Z415" s="78">
        <v>6.6000000000000003E-2</v>
      </c>
      <c r="AA415" s="78">
        <v>6.6000000000000003E-2</v>
      </c>
      <c r="AB415" s="78">
        <v>6.6000000000000003E-2</v>
      </c>
      <c r="AC415" s="78">
        <v>6.6000000000000003E-2</v>
      </c>
      <c r="AD415" s="78">
        <v>6.6000000000000003E-2</v>
      </c>
      <c r="AE415" s="78">
        <v>6.6000000000000003E-2</v>
      </c>
      <c r="AF415" s="78">
        <v>6.6000000000000003E-2</v>
      </c>
      <c r="AG415" s="78">
        <v>6.6000000000000003E-2</v>
      </c>
      <c r="AH415" s="78">
        <v>6.6000000000000003E-2</v>
      </c>
      <c r="AI415" s="78">
        <v>6.6000000000000003E-2</v>
      </c>
      <c r="AJ415" s="78">
        <v>6.6000000000000003E-2</v>
      </c>
      <c r="AK415" s="78">
        <v>6.6000000000000003E-2</v>
      </c>
      <c r="AL415" s="78">
        <v>6.6000000000000003E-2</v>
      </c>
      <c r="AM415" s="78">
        <v>6.6000000000000003E-2</v>
      </c>
      <c r="AN415" s="78">
        <v>6.6000000000000003E-2</v>
      </c>
      <c r="AO415" s="78">
        <v>6.6000000000000003E-2</v>
      </c>
      <c r="AP415" s="78">
        <v>6.6000000000000003E-2</v>
      </c>
      <c r="AQ415" s="78">
        <v>6.6000000000000003E-2</v>
      </c>
      <c r="AR415" s="78">
        <v>6.6000000000000003E-2</v>
      </c>
      <c r="AS415" s="78">
        <v>6.6000000000000003E-2</v>
      </c>
      <c r="AT415" s="78">
        <v>6.6000000000000003E-2</v>
      </c>
      <c r="AU415" s="78">
        <v>6.6000000000000003E-2</v>
      </c>
      <c r="AV415" s="78">
        <v>6.6000000000000003E-2</v>
      </c>
      <c r="AW415" s="78">
        <v>6.6000000000000003E-2</v>
      </c>
      <c r="AX415" s="86">
        <v>6.6000000000000003E-2</v>
      </c>
    </row>
    <row r="416" spans="1:50" x14ac:dyDescent="0.25">
      <c r="A416" s="356"/>
      <c r="B416" s="359"/>
      <c r="C416" s="360"/>
      <c r="D416" s="59" t="s">
        <v>8</v>
      </c>
      <c r="E416" s="166" t="str">
        <f>A413&amp;"/"&amp;B413&amp;"/"&amp;C415&amp;"/"&amp;D416</f>
        <v>Coal fired power plants/Integrated gasification combined cycle/CHP/M</v>
      </c>
      <c r="F416" s="79" t="str">
        <f>A413</f>
        <v>Coal fired power plants</v>
      </c>
      <c r="G416" s="79" t="str">
        <f>B413</f>
        <v>Integrated gasification combined cycle</v>
      </c>
      <c r="H416" s="79" t="str">
        <f>C415</f>
        <v>CHP</v>
      </c>
      <c r="I416" s="167" t="str">
        <f t="shared" si="83"/>
        <v>M</v>
      </c>
      <c r="J416" s="79">
        <v>6.93E-2</v>
      </c>
      <c r="K416" s="79">
        <v>6.93E-2</v>
      </c>
      <c r="L416" s="79">
        <v>6.93E-2</v>
      </c>
      <c r="M416" s="79">
        <v>6.93E-2</v>
      </c>
      <c r="N416" s="79">
        <v>6.93E-2</v>
      </c>
      <c r="O416" s="79">
        <v>6.93E-2</v>
      </c>
      <c r="P416" s="79">
        <v>6.93E-2</v>
      </c>
      <c r="Q416" s="79">
        <v>6.93E-2</v>
      </c>
      <c r="R416" s="79">
        <v>6.93E-2</v>
      </c>
      <c r="S416" s="79">
        <v>6.93E-2</v>
      </c>
      <c r="T416" s="79">
        <v>6.93E-2</v>
      </c>
      <c r="U416" s="79">
        <v>6.93E-2</v>
      </c>
      <c r="V416" s="79">
        <v>6.93E-2</v>
      </c>
      <c r="W416" s="79">
        <v>6.93E-2</v>
      </c>
      <c r="X416" s="79">
        <v>6.93E-2</v>
      </c>
      <c r="Y416" s="79">
        <v>6.93E-2</v>
      </c>
      <c r="Z416" s="79">
        <v>6.93E-2</v>
      </c>
      <c r="AA416" s="79">
        <v>6.93E-2</v>
      </c>
      <c r="AB416" s="79">
        <v>6.93E-2</v>
      </c>
      <c r="AC416" s="79">
        <v>6.93E-2</v>
      </c>
      <c r="AD416" s="79">
        <v>6.93E-2</v>
      </c>
      <c r="AE416" s="79">
        <v>6.93E-2</v>
      </c>
      <c r="AF416" s="79">
        <v>6.93E-2</v>
      </c>
      <c r="AG416" s="79">
        <v>6.93E-2</v>
      </c>
      <c r="AH416" s="79">
        <v>6.93E-2</v>
      </c>
      <c r="AI416" s="79">
        <v>6.93E-2</v>
      </c>
      <c r="AJ416" s="79">
        <v>6.93E-2</v>
      </c>
      <c r="AK416" s="79">
        <v>6.93E-2</v>
      </c>
      <c r="AL416" s="79">
        <v>6.93E-2</v>
      </c>
      <c r="AM416" s="79">
        <v>6.93E-2</v>
      </c>
      <c r="AN416" s="79">
        <v>6.93E-2</v>
      </c>
      <c r="AO416" s="79">
        <v>6.93E-2</v>
      </c>
      <c r="AP416" s="79">
        <v>6.93E-2</v>
      </c>
      <c r="AQ416" s="79">
        <v>6.93E-2</v>
      </c>
      <c r="AR416" s="79">
        <v>6.93E-2</v>
      </c>
      <c r="AS416" s="79">
        <v>6.93E-2</v>
      </c>
      <c r="AT416" s="79">
        <v>6.93E-2</v>
      </c>
      <c r="AU416" s="79">
        <v>6.93E-2</v>
      </c>
      <c r="AV416" s="79">
        <v>6.93E-2</v>
      </c>
      <c r="AW416" s="79">
        <v>6.93E-2</v>
      </c>
      <c r="AX416" s="87">
        <v>6.93E-2</v>
      </c>
    </row>
    <row r="417" spans="1:50" x14ac:dyDescent="0.25">
      <c r="A417" s="356"/>
      <c r="B417" s="359"/>
      <c r="C417" s="361" t="s">
        <v>15</v>
      </c>
      <c r="D417" s="58" t="s">
        <v>7</v>
      </c>
      <c r="E417" s="164" t="str">
        <f>A413&amp;"/"&amp;B413&amp;"/"&amp;C417&amp;"/"&amp;D417</f>
        <v>Coal fired power plants/Integrated gasification combined cycle/Electricity only with CCS/L</v>
      </c>
      <c r="F417" s="78" t="str">
        <f>A413</f>
        <v>Coal fired power plants</v>
      </c>
      <c r="G417" s="78" t="str">
        <f>B413</f>
        <v>Integrated gasification combined cycle</v>
      </c>
      <c r="H417" s="78" t="str">
        <f>C417</f>
        <v>Electricity only with CCS</v>
      </c>
      <c r="I417" s="165" t="str">
        <f t="shared" si="83"/>
        <v>L</v>
      </c>
      <c r="J417" s="78" t="s">
        <v>112</v>
      </c>
      <c r="K417" s="78" t="s">
        <v>112</v>
      </c>
      <c r="L417" s="78" t="s">
        <v>112</v>
      </c>
      <c r="M417" s="78" t="s">
        <v>112</v>
      </c>
      <c r="N417" s="78" t="s">
        <v>112</v>
      </c>
      <c r="O417" s="78" t="s">
        <v>112</v>
      </c>
      <c r="P417" s="78" t="s">
        <v>112</v>
      </c>
      <c r="Q417" s="78" t="s">
        <v>112</v>
      </c>
      <c r="R417" s="78" t="s">
        <v>112</v>
      </c>
      <c r="S417" s="78" t="s">
        <v>112</v>
      </c>
      <c r="T417" s="78" t="s">
        <v>112</v>
      </c>
      <c r="U417" s="78" t="s">
        <v>112</v>
      </c>
      <c r="V417" s="78" t="s">
        <v>112</v>
      </c>
      <c r="W417" s="78" t="s">
        <v>112</v>
      </c>
      <c r="X417" s="78" t="s">
        <v>112</v>
      </c>
      <c r="Y417" s="78" t="s">
        <v>112</v>
      </c>
      <c r="Z417" s="78" t="s">
        <v>112</v>
      </c>
      <c r="AA417" s="78" t="s">
        <v>112</v>
      </c>
      <c r="AB417" s="78" t="s">
        <v>112</v>
      </c>
      <c r="AC417" s="78" t="s">
        <v>112</v>
      </c>
      <c r="AD417" s="78" t="s">
        <v>112</v>
      </c>
      <c r="AE417" s="78">
        <v>0.21</v>
      </c>
      <c r="AF417" s="78">
        <v>0.21</v>
      </c>
      <c r="AG417" s="78">
        <v>0.21</v>
      </c>
      <c r="AH417" s="78">
        <v>0.21</v>
      </c>
      <c r="AI417" s="78">
        <v>0.21</v>
      </c>
      <c r="AJ417" s="78">
        <v>0.21</v>
      </c>
      <c r="AK417" s="78">
        <v>0.21</v>
      </c>
      <c r="AL417" s="78">
        <v>0.21</v>
      </c>
      <c r="AM417" s="78">
        <v>0.21</v>
      </c>
      <c r="AN417" s="78">
        <v>0.21</v>
      </c>
      <c r="AO417" s="78">
        <v>0.21</v>
      </c>
      <c r="AP417" s="78">
        <v>0.21</v>
      </c>
      <c r="AQ417" s="78">
        <v>0.21</v>
      </c>
      <c r="AR417" s="78">
        <v>0.21</v>
      </c>
      <c r="AS417" s="78">
        <v>0.21</v>
      </c>
      <c r="AT417" s="78">
        <v>0.21</v>
      </c>
      <c r="AU417" s="78">
        <v>0.21</v>
      </c>
      <c r="AV417" s="78">
        <v>0.21</v>
      </c>
      <c r="AW417" s="78">
        <v>0.21</v>
      </c>
      <c r="AX417" s="86">
        <v>0.21</v>
      </c>
    </row>
    <row r="418" spans="1:50" x14ac:dyDescent="0.25">
      <c r="A418" s="356"/>
      <c r="B418" s="359"/>
      <c r="C418" s="360"/>
      <c r="D418" s="59" t="s">
        <v>8</v>
      </c>
      <c r="E418" s="166" t="str">
        <f>A413&amp;"/"&amp;B413&amp;"/"&amp;C417&amp;"/"&amp;D418</f>
        <v>Coal fired power plants/Integrated gasification combined cycle/Electricity only with CCS/M</v>
      </c>
      <c r="F418" s="79" t="str">
        <f>A413</f>
        <v>Coal fired power plants</v>
      </c>
      <c r="G418" s="79" t="str">
        <f>B413</f>
        <v>Integrated gasification combined cycle</v>
      </c>
      <c r="H418" s="79" t="str">
        <f>C417</f>
        <v>Electricity only with CCS</v>
      </c>
      <c r="I418" s="167" t="str">
        <f t="shared" si="83"/>
        <v>M</v>
      </c>
      <c r="J418" s="79" t="s">
        <v>112</v>
      </c>
      <c r="K418" s="79" t="s">
        <v>112</v>
      </c>
      <c r="L418" s="79" t="s">
        <v>112</v>
      </c>
      <c r="M418" s="79" t="s">
        <v>112</v>
      </c>
      <c r="N418" s="79" t="s">
        <v>112</v>
      </c>
      <c r="O418" s="79" t="s">
        <v>112</v>
      </c>
      <c r="P418" s="79" t="s">
        <v>112</v>
      </c>
      <c r="Q418" s="79" t="s">
        <v>112</v>
      </c>
      <c r="R418" s="79" t="s">
        <v>112</v>
      </c>
      <c r="S418" s="79" t="s">
        <v>112</v>
      </c>
      <c r="T418" s="79" t="s">
        <v>112</v>
      </c>
      <c r="U418" s="79" t="s">
        <v>112</v>
      </c>
      <c r="V418" s="79" t="s">
        <v>112</v>
      </c>
      <c r="W418" s="79" t="s">
        <v>112</v>
      </c>
      <c r="X418" s="79" t="s">
        <v>112</v>
      </c>
      <c r="Y418" s="79" t="s">
        <v>112</v>
      </c>
      <c r="Z418" s="79" t="s">
        <v>112</v>
      </c>
      <c r="AA418" s="79" t="s">
        <v>112</v>
      </c>
      <c r="AB418" s="79" t="s">
        <v>112</v>
      </c>
      <c r="AC418" s="79" t="s">
        <v>112</v>
      </c>
      <c r="AD418" s="79" t="s">
        <v>112</v>
      </c>
      <c r="AE418" s="79">
        <v>0.2205</v>
      </c>
      <c r="AF418" s="79">
        <v>0.2205</v>
      </c>
      <c r="AG418" s="79">
        <v>0.2205</v>
      </c>
      <c r="AH418" s="79">
        <v>0.2205</v>
      </c>
      <c r="AI418" s="79">
        <v>0.2205</v>
      </c>
      <c r="AJ418" s="79">
        <v>0.2205</v>
      </c>
      <c r="AK418" s="79">
        <v>0.2205</v>
      </c>
      <c r="AL418" s="79">
        <v>0.2205</v>
      </c>
      <c r="AM418" s="79">
        <v>0.2205</v>
      </c>
      <c r="AN418" s="79">
        <v>0.2205</v>
      </c>
      <c r="AO418" s="79">
        <v>0.2205</v>
      </c>
      <c r="AP418" s="79">
        <v>0.2205</v>
      </c>
      <c r="AQ418" s="79">
        <v>0.2205</v>
      </c>
      <c r="AR418" s="79">
        <v>0.2205</v>
      </c>
      <c r="AS418" s="79">
        <v>0.2205</v>
      </c>
      <c r="AT418" s="79">
        <v>0.2205</v>
      </c>
      <c r="AU418" s="79">
        <v>0.2205</v>
      </c>
      <c r="AV418" s="79">
        <v>0.2205</v>
      </c>
      <c r="AW418" s="79">
        <v>0.2205</v>
      </c>
      <c r="AX418" s="87">
        <v>0.2205</v>
      </c>
    </row>
    <row r="419" spans="1:50" x14ac:dyDescent="0.25">
      <c r="A419" s="356"/>
      <c r="B419" s="359"/>
      <c r="C419" s="361" t="s">
        <v>16</v>
      </c>
      <c r="D419" s="2" t="s">
        <v>7</v>
      </c>
      <c r="E419" s="160" t="str">
        <f>A413&amp;"/"&amp;B413&amp;"/"&amp;C419&amp;"/"&amp;D419</f>
        <v>Coal fired power plants/Integrated gasification combined cycle/CHP with CCS/L</v>
      </c>
      <c r="F419" s="76" t="str">
        <f>A413</f>
        <v>Coal fired power plants</v>
      </c>
      <c r="G419" s="76" t="str">
        <f>B413</f>
        <v>Integrated gasification combined cycle</v>
      </c>
      <c r="H419" s="76" t="str">
        <f>C419</f>
        <v>CHP with CCS</v>
      </c>
      <c r="I419" s="161" t="str">
        <f t="shared" si="83"/>
        <v>L</v>
      </c>
      <c r="J419" s="76" t="s">
        <v>112</v>
      </c>
      <c r="K419" s="76" t="s">
        <v>112</v>
      </c>
      <c r="L419" s="76" t="s">
        <v>112</v>
      </c>
      <c r="M419" s="76" t="s">
        <v>112</v>
      </c>
      <c r="N419" s="76" t="s">
        <v>112</v>
      </c>
      <c r="O419" s="76" t="s">
        <v>112</v>
      </c>
      <c r="P419" s="76" t="s">
        <v>112</v>
      </c>
      <c r="Q419" s="76" t="s">
        <v>112</v>
      </c>
      <c r="R419" s="76" t="s">
        <v>112</v>
      </c>
      <c r="S419" s="76" t="s">
        <v>112</v>
      </c>
      <c r="T419" s="76" t="s">
        <v>112</v>
      </c>
      <c r="U419" s="76" t="s">
        <v>112</v>
      </c>
      <c r="V419" s="76" t="s">
        <v>112</v>
      </c>
      <c r="W419" s="76" t="s">
        <v>112</v>
      </c>
      <c r="X419" s="76" t="s">
        <v>112</v>
      </c>
      <c r="Y419" s="76" t="s">
        <v>112</v>
      </c>
      <c r="Z419" s="76" t="s">
        <v>112</v>
      </c>
      <c r="AA419" s="76" t="s">
        <v>112</v>
      </c>
      <c r="AB419" s="76" t="s">
        <v>112</v>
      </c>
      <c r="AC419" s="76" t="s">
        <v>112</v>
      </c>
      <c r="AD419" s="76" t="s">
        <v>112</v>
      </c>
      <c r="AE419" s="76">
        <v>0.23100000000000001</v>
      </c>
      <c r="AF419" s="76">
        <v>0.23100000000000001</v>
      </c>
      <c r="AG419" s="76">
        <v>0.23100000000000001</v>
      </c>
      <c r="AH419" s="76">
        <v>0.23100000000000001</v>
      </c>
      <c r="AI419" s="76">
        <v>0.23100000000000001</v>
      </c>
      <c r="AJ419" s="76">
        <v>0.23100000000000001</v>
      </c>
      <c r="AK419" s="76">
        <v>0.23100000000000001</v>
      </c>
      <c r="AL419" s="76">
        <v>0.23100000000000001</v>
      </c>
      <c r="AM419" s="76">
        <v>0.23100000000000001</v>
      </c>
      <c r="AN419" s="76">
        <v>0.23100000000000001</v>
      </c>
      <c r="AO419" s="76">
        <v>0.23100000000000001</v>
      </c>
      <c r="AP419" s="76">
        <v>0.23100000000000001</v>
      </c>
      <c r="AQ419" s="76">
        <v>0.23100000000000001</v>
      </c>
      <c r="AR419" s="76">
        <v>0.23100000000000001</v>
      </c>
      <c r="AS419" s="76">
        <v>0.23100000000000001</v>
      </c>
      <c r="AT419" s="76">
        <v>0.23100000000000001</v>
      </c>
      <c r="AU419" s="76">
        <v>0.23100000000000001</v>
      </c>
      <c r="AV419" s="76">
        <v>0.23100000000000001</v>
      </c>
      <c r="AW419" s="76">
        <v>0.23100000000000001</v>
      </c>
      <c r="AX419" s="84">
        <v>0.23100000000000001</v>
      </c>
    </row>
    <row r="420" spans="1:50" x14ac:dyDescent="0.25">
      <c r="A420" s="356"/>
      <c r="B420" s="362"/>
      <c r="C420" s="354"/>
      <c r="D420" s="4" t="s">
        <v>8</v>
      </c>
      <c r="E420" s="168" t="str">
        <f>A413&amp;"/"&amp;B413&amp;"/"&amp;C419&amp;"/"&amp;D420</f>
        <v>Coal fired power plants/Integrated gasification combined cycle/CHP with CCS/M</v>
      </c>
      <c r="F420" s="80" t="str">
        <f>A413</f>
        <v>Coal fired power plants</v>
      </c>
      <c r="G420" s="80" t="str">
        <f>B413</f>
        <v>Integrated gasification combined cycle</v>
      </c>
      <c r="H420" s="80" t="str">
        <f>C419</f>
        <v>CHP with CCS</v>
      </c>
      <c r="I420" s="169" t="str">
        <f t="shared" si="83"/>
        <v>M</v>
      </c>
      <c r="J420" s="80" t="s">
        <v>112</v>
      </c>
      <c r="K420" s="80" t="s">
        <v>112</v>
      </c>
      <c r="L420" s="80" t="s">
        <v>112</v>
      </c>
      <c r="M420" s="80" t="s">
        <v>112</v>
      </c>
      <c r="N420" s="80" t="s">
        <v>112</v>
      </c>
      <c r="O420" s="80" t="s">
        <v>112</v>
      </c>
      <c r="P420" s="80" t="s">
        <v>112</v>
      </c>
      <c r="Q420" s="80" t="s">
        <v>112</v>
      </c>
      <c r="R420" s="80" t="s">
        <v>112</v>
      </c>
      <c r="S420" s="80" t="s">
        <v>112</v>
      </c>
      <c r="T420" s="80" t="s">
        <v>112</v>
      </c>
      <c r="U420" s="80" t="s">
        <v>112</v>
      </c>
      <c r="V420" s="80" t="s">
        <v>112</v>
      </c>
      <c r="W420" s="80" t="s">
        <v>112</v>
      </c>
      <c r="X420" s="80" t="s">
        <v>112</v>
      </c>
      <c r="Y420" s="80" t="s">
        <v>112</v>
      </c>
      <c r="Z420" s="80" t="s">
        <v>112</v>
      </c>
      <c r="AA420" s="80" t="s">
        <v>112</v>
      </c>
      <c r="AB420" s="80" t="s">
        <v>112</v>
      </c>
      <c r="AC420" s="80" t="s">
        <v>112</v>
      </c>
      <c r="AD420" s="80" t="s">
        <v>112</v>
      </c>
      <c r="AE420" s="80">
        <v>0.24255000000000002</v>
      </c>
      <c r="AF420" s="80">
        <v>0.24255000000000002</v>
      </c>
      <c r="AG420" s="80">
        <v>0.24255000000000002</v>
      </c>
      <c r="AH420" s="80">
        <v>0.24255000000000002</v>
      </c>
      <c r="AI420" s="80">
        <v>0.24255000000000002</v>
      </c>
      <c r="AJ420" s="80">
        <v>0.24255000000000002</v>
      </c>
      <c r="AK420" s="80">
        <v>0.24255000000000002</v>
      </c>
      <c r="AL420" s="80">
        <v>0.24255000000000002</v>
      </c>
      <c r="AM420" s="80">
        <v>0.24255000000000002</v>
      </c>
      <c r="AN420" s="80">
        <v>0.24255000000000002</v>
      </c>
      <c r="AO420" s="80">
        <v>0.24255000000000002</v>
      </c>
      <c r="AP420" s="80">
        <v>0.24255000000000002</v>
      </c>
      <c r="AQ420" s="80">
        <v>0.24255000000000002</v>
      </c>
      <c r="AR420" s="80">
        <v>0.24255000000000002</v>
      </c>
      <c r="AS420" s="80">
        <v>0.24255000000000002</v>
      </c>
      <c r="AT420" s="80">
        <v>0.24255000000000002</v>
      </c>
      <c r="AU420" s="80">
        <v>0.24255000000000002</v>
      </c>
      <c r="AV420" s="80">
        <v>0.24255000000000002</v>
      </c>
      <c r="AW420" s="80">
        <v>0.24255000000000002</v>
      </c>
      <c r="AX420" s="88">
        <v>0.24255000000000002</v>
      </c>
    </row>
    <row r="421" spans="1:50" x14ac:dyDescent="0.25">
      <c r="A421" s="356"/>
      <c r="B421" s="358" t="s">
        <v>17</v>
      </c>
      <c r="C421" s="353" t="s">
        <v>6</v>
      </c>
      <c r="D421" s="3" t="s">
        <v>7</v>
      </c>
      <c r="E421" s="162" t="str">
        <f>A413&amp;"/"&amp;B421&amp;"/"&amp;C421&amp;"/"&amp;D421</f>
        <v>Coal fired power plants/Supercritical steam turbine/Electricity only/L</v>
      </c>
      <c r="F421" s="77" t="str">
        <f>A413</f>
        <v>Coal fired power plants</v>
      </c>
      <c r="G421" s="77" t="str">
        <f>B421</f>
        <v>Supercritical steam turbine</v>
      </c>
      <c r="H421" s="77" t="str">
        <f>C421</f>
        <v>Electricity only</v>
      </c>
      <c r="I421" s="163" t="str">
        <f t="shared" si="83"/>
        <v>L</v>
      </c>
      <c r="J421" s="77">
        <v>0.05</v>
      </c>
      <c r="K421" s="77">
        <v>0.05</v>
      </c>
      <c r="L421" s="77">
        <v>0.05</v>
      </c>
      <c r="M421" s="77">
        <v>0.05</v>
      </c>
      <c r="N421" s="77">
        <v>0.05</v>
      </c>
      <c r="O421" s="77">
        <v>0.05</v>
      </c>
      <c r="P421" s="77">
        <v>0.05</v>
      </c>
      <c r="Q421" s="77">
        <v>0.05</v>
      </c>
      <c r="R421" s="77">
        <v>0.05</v>
      </c>
      <c r="S421" s="77">
        <v>0.05</v>
      </c>
      <c r="T421" s="77">
        <v>0.05</v>
      </c>
      <c r="U421" s="77">
        <v>0.05</v>
      </c>
      <c r="V421" s="77">
        <v>0.05</v>
      </c>
      <c r="W421" s="77">
        <v>0.05</v>
      </c>
      <c r="X421" s="77">
        <v>0.05</v>
      </c>
      <c r="Y421" s="77">
        <v>0.05</v>
      </c>
      <c r="Z421" s="77">
        <v>0.05</v>
      </c>
      <c r="AA421" s="77">
        <v>0.05</v>
      </c>
      <c r="AB421" s="77">
        <v>0.05</v>
      </c>
      <c r="AC421" s="77">
        <v>0.05</v>
      </c>
      <c r="AD421" s="77">
        <v>0.05</v>
      </c>
      <c r="AE421" s="77">
        <v>0.05</v>
      </c>
      <c r="AF421" s="77">
        <v>0.05</v>
      </c>
      <c r="AG421" s="77">
        <v>0.05</v>
      </c>
      <c r="AH421" s="77">
        <v>0.05</v>
      </c>
      <c r="AI421" s="77">
        <v>0.05</v>
      </c>
      <c r="AJ421" s="77">
        <v>0.05</v>
      </c>
      <c r="AK421" s="77">
        <v>0.05</v>
      </c>
      <c r="AL421" s="77">
        <v>0.05</v>
      </c>
      <c r="AM421" s="77">
        <v>0.05</v>
      </c>
      <c r="AN421" s="77">
        <v>0.05</v>
      </c>
      <c r="AO421" s="77">
        <v>0.05</v>
      </c>
      <c r="AP421" s="77">
        <v>0.05</v>
      </c>
      <c r="AQ421" s="77">
        <v>0.05</v>
      </c>
      <c r="AR421" s="77">
        <v>0.05</v>
      </c>
      <c r="AS421" s="77">
        <v>0.05</v>
      </c>
      <c r="AT421" s="77">
        <v>0.05</v>
      </c>
      <c r="AU421" s="77">
        <v>0.05</v>
      </c>
      <c r="AV421" s="77">
        <v>0.05</v>
      </c>
      <c r="AW421" s="77">
        <v>0.05</v>
      </c>
      <c r="AX421" s="85">
        <v>0.05</v>
      </c>
    </row>
    <row r="422" spans="1:50" x14ac:dyDescent="0.25">
      <c r="A422" s="356"/>
      <c r="B422" s="359"/>
      <c r="C422" s="360"/>
      <c r="D422" s="2" t="s">
        <v>8</v>
      </c>
      <c r="E422" s="160" t="str">
        <f>A413&amp;"/"&amp;B421&amp;"/"&amp;C421&amp;"/"&amp;D422</f>
        <v>Coal fired power plants/Supercritical steam turbine/Electricity only/M</v>
      </c>
      <c r="F422" s="76" t="str">
        <f>A413</f>
        <v>Coal fired power plants</v>
      </c>
      <c r="G422" s="76" t="str">
        <f>B421</f>
        <v>Supercritical steam turbine</v>
      </c>
      <c r="H422" s="76" t="str">
        <f>C421</f>
        <v>Electricity only</v>
      </c>
      <c r="I422" s="161" t="str">
        <f t="shared" si="83"/>
        <v>M</v>
      </c>
      <c r="J422" s="76">
        <v>5.2500000000000005E-2</v>
      </c>
      <c r="K422" s="76">
        <v>5.2500000000000005E-2</v>
      </c>
      <c r="L422" s="76">
        <v>5.2500000000000005E-2</v>
      </c>
      <c r="M422" s="76">
        <v>5.2500000000000005E-2</v>
      </c>
      <c r="N422" s="76">
        <v>5.2500000000000005E-2</v>
      </c>
      <c r="O422" s="76">
        <v>5.2500000000000005E-2</v>
      </c>
      <c r="P422" s="76">
        <v>5.2500000000000005E-2</v>
      </c>
      <c r="Q422" s="76">
        <v>5.2500000000000005E-2</v>
      </c>
      <c r="R422" s="76">
        <v>5.2500000000000005E-2</v>
      </c>
      <c r="S422" s="76">
        <v>5.2500000000000005E-2</v>
      </c>
      <c r="T422" s="76">
        <v>5.2500000000000005E-2</v>
      </c>
      <c r="U422" s="76">
        <v>5.2500000000000005E-2</v>
      </c>
      <c r="V422" s="76">
        <v>5.2500000000000005E-2</v>
      </c>
      <c r="W422" s="76">
        <v>5.2500000000000005E-2</v>
      </c>
      <c r="X422" s="76">
        <v>5.2500000000000005E-2</v>
      </c>
      <c r="Y422" s="76">
        <v>5.2500000000000005E-2</v>
      </c>
      <c r="Z422" s="76">
        <v>5.2500000000000005E-2</v>
      </c>
      <c r="AA422" s="76">
        <v>5.2500000000000005E-2</v>
      </c>
      <c r="AB422" s="76">
        <v>5.2500000000000005E-2</v>
      </c>
      <c r="AC422" s="76">
        <v>5.2500000000000005E-2</v>
      </c>
      <c r="AD422" s="76">
        <v>5.2500000000000005E-2</v>
      </c>
      <c r="AE422" s="76">
        <v>5.2500000000000005E-2</v>
      </c>
      <c r="AF422" s="76">
        <v>5.2500000000000005E-2</v>
      </c>
      <c r="AG422" s="76">
        <v>5.2500000000000005E-2</v>
      </c>
      <c r="AH422" s="76">
        <v>5.2500000000000005E-2</v>
      </c>
      <c r="AI422" s="76">
        <v>5.2500000000000005E-2</v>
      </c>
      <c r="AJ422" s="76">
        <v>5.2500000000000005E-2</v>
      </c>
      <c r="AK422" s="76">
        <v>5.2500000000000005E-2</v>
      </c>
      <c r="AL422" s="76">
        <v>5.2500000000000005E-2</v>
      </c>
      <c r="AM422" s="76">
        <v>5.2500000000000005E-2</v>
      </c>
      <c r="AN422" s="76">
        <v>5.2500000000000005E-2</v>
      </c>
      <c r="AO422" s="76">
        <v>5.2500000000000005E-2</v>
      </c>
      <c r="AP422" s="76">
        <v>5.2500000000000005E-2</v>
      </c>
      <c r="AQ422" s="76">
        <v>5.2500000000000005E-2</v>
      </c>
      <c r="AR422" s="76">
        <v>5.2500000000000005E-2</v>
      </c>
      <c r="AS422" s="76">
        <v>5.2500000000000005E-2</v>
      </c>
      <c r="AT422" s="76">
        <v>5.2500000000000005E-2</v>
      </c>
      <c r="AU422" s="76">
        <v>5.2500000000000005E-2</v>
      </c>
      <c r="AV422" s="76">
        <v>5.2500000000000005E-2</v>
      </c>
      <c r="AW422" s="76">
        <v>5.2500000000000005E-2</v>
      </c>
      <c r="AX422" s="84">
        <v>5.2500000000000005E-2</v>
      </c>
    </row>
    <row r="423" spans="1:50" x14ac:dyDescent="0.25">
      <c r="A423" s="356"/>
      <c r="B423" s="359"/>
      <c r="C423" s="361" t="s">
        <v>14</v>
      </c>
      <c r="D423" s="58" t="s">
        <v>7</v>
      </c>
      <c r="E423" s="164" t="str">
        <f>A413&amp;"/"&amp;B421&amp;"/"&amp;C423&amp;"/"&amp;D423</f>
        <v>Coal fired power plants/Supercritical steam turbine/CHP/L</v>
      </c>
      <c r="F423" s="78" t="str">
        <f>A413</f>
        <v>Coal fired power plants</v>
      </c>
      <c r="G423" s="78" t="str">
        <f>B421</f>
        <v>Supercritical steam turbine</v>
      </c>
      <c r="H423" s="78" t="str">
        <f>C423</f>
        <v>CHP</v>
      </c>
      <c r="I423" s="165" t="str">
        <f t="shared" si="83"/>
        <v>L</v>
      </c>
      <c r="J423" s="78">
        <v>5.5000000000000007E-2</v>
      </c>
      <c r="K423" s="78">
        <v>5.5000000000000007E-2</v>
      </c>
      <c r="L423" s="78">
        <v>5.5000000000000007E-2</v>
      </c>
      <c r="M423" s="78">
        <v>5.5000000000000007E-2</v>
      </c>
      <c r="N423" s="78">
        <v>5.5000000000000007E-2</v>
      </c>
      <c r="O423" s="78">
        <v>5.5000000000000007E-2</v>
      </c>
      <c r="P423" s="78">
        <v>5.5000000000000007E-2</v>
      </c>
      <c r="Q423" s="78">
        <v>5.5000000000000007E-2</v>
      </c>
      <c r="R423" s="78">
        <v>5.5000000000000007E-2</v>
      </c>
      <c r="S423" s="78">
        <v>5.5000000000000007E-2</v>
      </c>
      <c r="T423" s="78">
        <v>5.5000000000000007E-2</v>
      </c>
      <c r="U423" s="78">
        <v>5.5000000000000007E-2</v>
      </c>
      <c r="V423" s="78">
        <v>5.5000000000000007E-2</v>
      </c>
      <c r="W423" s="78">
        <v>5.5000000000000007E-2</v>
      </c>
      <c r="X423" s="78">
        <v>5.5000000000000007E-2</v>
      </c>
      <c r="Y423" s="78">
        <v>5.5000000000000007E-2</v>
      </c>
      <c r="Z423" s="78">
        <v>5.5000000000000007E-2</v>
      </c>
      <c r="AA423" s="78">
        <v>5.5000000000000007E-2</v>
      </c>
      <c r="AB423" s="78">
        <v>5.5000000000000007E-2</v>
      </c>
      <c r="AC423" s="78">
        <v>5.5000000000000007E-2</v>
      </c>
      <c r="AD423" s="78">
        <v>5.5000000000000007E-2</v>
      </c>
      <c r="AE423" s="78">
        <v>5.5000000000000007E-2</v>
      </c>
      <c r="AF423" s="78">
        <v>5.5000000000000007E-2</v>
      </c>
      <c r="AG423" s="78">
        <v>5.5000000000000007E-2</v>
      </c>
      <c r="AH423" s="78">
        <v>5.5000000000000007E-2</v>
      </c>
      <c r="AI423" s="78">
        <v>5.5000000000000007E-2</v>
      </c>
      <c r="AJ423" s="78">
        <v>5.5000000000000007E-2</v>
      </c>
      <c r="AK423" s="78">
        <v>5.5000000000000007E-2</v>
      </c>
      <c r="AL423" s="78">
        <v>5.5000000000000007E-2</v>
      </c>
      <c r="AM423" s="78">
        <v>5.5000000000000007E-2</v>
      </c>
      <c r="AN423" s="78">
        <v>5.5000000000000007E-2</v>
      </c>
      <c r="AO423" s="78">
        <v>5.5000000000000007E-2</v>
      </c>
      <c r="AP423" s="78">
        <v>5.5000000000000007E-2</v>
      </c>
      <c r="AQ423" s="78">
        <v>5.5000000000000007E-2</v>
      </c>
      <c r="AR423" s="78">
        <v>5.5000000000000007E-2</v>
      </c>
      <c r="AS423" s="78">
        <v>5.5000000000000007E-2</v>
      </c>
      <c r="AT423" s="78">
        <v>5.5000000000000007E-2</v>
      </c>
      <c r="AU423" s="78">
        <v>5.5000000000000007E-2</v>
      </c>
      <c r="AV423" s="78">
        <v>5.5000000000000007E-2</v>
      </c>
      <c r="AW423" s="78">
        <v>5.5000000000000007E-2</v>
      </c>
      <c r="AX423" s="86">
        <v>5.5000000000000007E-2</v>
      </c>
    </row>
    <row r="424" spans="1:50" x14ac:dyDescent="0.25">
      <c r="A424" s="356"/>
      <c r="B424" s="359"/>
      <c r="C424" s="360"/>
      <c r="D424" s="59" t="s">
        <v>8</v>
      </c>
      <c r="E424" s="166" t="str">
        <f>A413&amp;"/"&amp;B421&amp;"/"&amp;C423&amp;"/"&amp;D424</f>
        <v>Coal fired power plants/Supercritical steam turbine/CHP/M</v>
      </c>
      <c r="F424" s="79" t="str">
        <f>A413</f>
        <v>Coal fired power plants</v>
      </c>
      <c r="G424" s="79" t="str">
        <f>B421</f>
        <v>Supercritical steam turbine</v>
      </c>
      <c r="H424" s="79" t="str">
        <f>C423</f>
        <v>CHP</v>
      </c>
      <c r="I424" s="167" t="str">
        <f t="shared" si="83"/>
        <v>M</v>
      </c>
      <c r="J424" s="79">
        <v>5.775000000000001E-2</v>
      </c>
      <c r="K424" s="79">
        <v>5.775000000000001E-2</v>
      </c>
      <c r="L424" s="79">
        <v>5.775000000000001E-2</v>
      </c>
      <c r="M424" s="79">
        <v>5.775000000000001E-2</v>
      </c>
      <c r="N424" s="79">
        <v>5.775000000000001E-2</v>
      </c>
      <c r="O424" s="79">
        <v>5.775000000000001E-2</v>
      </c>
      <c r="P424" s="79">
        <v>5.775000000000001E-2</v>
      </c>
      <c r="Q424" s="79">
        <v>5.775000000000001E-2</v>
      </c>
      <c r="R424" s="79">
        <v>5.775000000000001E-2</v>
      </c>
      <c r="S424" s="79">
        <v>5.775000000000001E-2</v>
      </c>
      <c r="T424" s="79">
        <v>5.775000000000001E-2</v>
      </c>
      <c r="U424" s="79">
        <v>5.775000000000001E-2</v>
      </c>
      <c r="V424" s="79">
        <v>5.775000000000001E-2</v>
      </c>
      <c r="W424" s="79">
        <v>5.775000000000001E-2</v>
      </c>
      <c r="X424" s="79">
        <v>5.775000000000001E-2</v>
      </c>
      <c r="Y424" s="79">
        <v>5.775000000000001E-2</v>
      </c>
      <c r="Z424" s="79">
        <v>5.775000000000001E-2</v>
      </c>
      <c r="AA424" s="79">
        <v>5.775000000000001E-2</v>
      </c>
      <c r="AB424" s="79">
        <v>5.775000000000001E-2</v>
      </c>
      <c r="AC424" s="79">
        <v>5.775000000000001E-2</v>
      </c>
      <c r="AD424" s="79">
        <v>5.775000000000001E-2</v>
      </c>
      <c r="AE424" s="79">
        <v>5.775000000000001E-2</v>
      </c>
      <c r="AF424" s="79">
        <v>5.775000000000001E-2</v>
      </c>
      <c r="AG424" s="79">
        <v>5.775000000000001E-2</v>
      </c>
      <c r="AH424" s="79">
        <v>5.775000000000001E-2</v>
      </c>
      <c r="AI424" s="79">
        <v>5.775000000000001E-2</v>
      </c>
      <c r="AJ424" s="79">
        <v>5.775000000000001E-2</v>
      </c>
      <c r="AK424" s="79">
        <v>5.775000000000001E-2</v>
      </c>
      <c r="AL424" s="79">
        <v>5.775000000000001E-2</v>
      </c>
      <c r="AM424" s="79">
        <v>5.775000000000001E-2</v>
      </c>
      <c r="AN424" s="79">
        <v>5.775000000000001E-2</v>
      </c>
      <c r="AO424" s="79">
        <v>5.775000000000001E-2</v>
      </c>
      <c r="AP424" s="79">
        <v>5.775000000000001E-2</v>
      </c>
      <c r="AQ424" s="79">
        <v>5.775000000000001E-2</v>
      </c>
      <c r="AR424" s="79">
        <v>5.775000000000001E-2</v>
      </c>
      <c r="AS424" s="79">
        <v>5.775000000000001E-2</v>
      </c>
      <c r="AT424" s="79">
        <v>5.775000000000001E-2</v>
      </c>
      <c r="AU424" s="79">
        <v>5.775000000000001E-2</v>
      </c>
      <c r="AV424" s="79">
        <v>5.775000000000001E-2</v>
      </c>
      <c r="AW424" s="79">
        <v>5.775000000000001E-2</v>
      </c>
      <c r="AX424" s="87">
        <v>5.775000000000001E-2</v>
      </c>
    </row>
    <row r="425" spans="1:50" x14ac:dyDescent="0.25">
      <c r="A425" s="356"/>
      <c r="B425" s="359"/>
      <c r="C425" s="361" t="s">
        <v>15</v>
      </c>
      <c r="D425" s="58" t="s">
        <v>7</v>
      </c>
      <c r="E425" s="164" t="str">
        <f>A413&amp;"/"&amp;B421&amp;"/"&amp;C425&amp;"/"&amp;D425</f>
        <v>Coal fired power plants/Supercritical steam turbine/Electricity only with CCS/L</v>
      </c>
      <c r="F425" s="78" t="str">
        <f>A413</f>
        <v>Coal fired power plants</v>
      </c>
      <c r="G425" s="78" t="str">
        <f>B421</f>
        <v>Supercritical steam turbine</v>
      </c>
      <c r="H425" s="78" t="str">
        <f>C425</f>
        <v>Electricity only with CCS</v>
      </c>
      <c r="I425" s="165" t="str">
        <f t="shared" si="83"/>
        <v>L</v>
      </c>
      <c r="J425" s="78" t="s">
        <v>112</v>
      </c>
      <c r="K425" s="78" t="s">
        <v>112</v>
      </c>
      <c r="L425" s="78" t="s">
        <v>112</v>
      </c>
      <c r="M425" s="78" t="s">
        <v>112</v>
      </c>
      <c r="N425" s="78" t="s">
        <v>112</v>
      </c>
      <c r="O425" s="78" t="s">
        <v>112</v>
      </c>
      <c r="P425" s="78" t="s">
        <v>112</v>
      </c>
      <c r="Q425" s="78" t="s">
        <v>112</v>
      </c>
      <c r="R425" s="78" t="s">
        <v>112</v>
      </c>
      <c r="S425" s="78" t="s">
        <v>112</v>
      </c>
      <c r="T425" s="78" t="s">
        <v>112</v>
      </c>
      <c r="U425" s="78" t="s">
        <v>112</v>
      </c>
      <c r="V425" s="78" t="s">
        <v>112</v>
      </c>
      <c r="W425" s="78" t="s">
        <v>112</v>
      </c>
      <c r="X425" s="78" t="s">
        <v>112</v>
      </c>
      <c r="Y425" s="78" t="s">
        <v>112</v>
      </c>
      <c r="Z425" s="78" t="s">
        <v>112</v>
      </c>
      <c r="AA425" s="78" t="s">
        <v>112</v>
      </c>
      <c r="AB425" s="78" t="s">
        <v>112</v>
      </c>
      <c r="AC425" s="78" t="s">
        <v>112</v>
      </c>
      <c r="AD425" s="78" t="s">
        <v>112</v>
      </c>
      <c r="AE425" s="78">
        <v>0.21250000000000002</v>
      </c>
      <c r="AF425" s="78">
        <v>0.21250000000000002</v>
      </c>
      <c r="AG425" s="78">
        <v>0.21250000000000002</v>
      </c>
      <c r="AH425" s="78">
        <v>0.21250000000000002</v>
      </c>
      <c r="AI425" s="78">
        <v>0.21250000000000002</v>
      </c>
      <c r="AJ425" s="78">
        <v>0.21250000000000002</v>
      </c>
      <c r="AK425" s="78">
        <v>0.21250000000000002</v>
      </c>
      <c r="AL425" s="78">
        <v>0.21250000000000002</v>
      </c>
      <c r="AM425" s="78">
        <v>0.21250000000000002</v>
      </c>
      <c r="AN425" s="78">
        <v>0.21250000000000002</v>
      </c>
      <c r="AO425" s="78">
        <v>0.21250000000000002</v>
      </c>
      <c r="AP425" s="78">
        <v>0.21250000000000002</v>
      </c>
      <c r="AQ425" s="78">
        <v>0.21250000000000002</v>
      </c>
      <c r="AR425" s="78">
        <v>0.21250000000000002</v>
      </c>
      <c r="AS425" s="78">
        <v>0.21250000000000002</v>
      </c>
      <c r="AT425" s="78">
        <v>0.21250000000000002</v>
      </c>
      <c r="AU425" s="78">
        <v>0.21250000000000002</v>
      </c>
      <c r="AV425" s="78">
        <v>0.21250000000000002</v>
      </c>
      <c r="AW425" s="78">
        <v>0.21250000000000002</v>
      </c>
      <c r="AX425" s="86">
        <v>0.21250000000000002</v>
      </c>
    </row>
    <row r="426" spans="1:50" x14ac:dyDescent="0.25">
      <c r="A426" s="356"/>
      <c r="B426" s="359"/>
      <c r="C426" s="360"/>
      <c r="D426" s="59" t="s">
        <v>8</v>
      </c>
      <c r="E426" s="166" t="str">
        <f>A413&amp;"/"&amp;B421&amp;"/"&amp;C425&amp;"/"&amp;D426</f>
        <v>Coal fired power plants/Supercritical steam turbine/Electricity only with CCS/M</v>
      </c>
      <c r="F426" s="79" t="str">
        <f>A413</f>
        <v>Coal fired power plants</v>
      </c>
      <c r="G426" s="79" t="str">
        <f>B421</f>
        <v>Supercritical steam turbine</v>
      </c>
      <c r="H426" s="79" t="str">
        <f>C425</f>
        <v>Electricity only with CCS</v>
      </c>
      <c r="I426" s="167" t="str">
        <f t="shared" si="83"/>
        <v>M</v>
      </c>
      <c r="J426" s="79" t="s">
        <v>112</v>
      </c>
      <c r="K426" s="79" t="s">
        <v>112</v>
      </c>
      <c r="L426" s="79" t="s">
        <v>112</v>
      </c>
      <c r="M426" s="79" t="s">
        <v>112</v>
      </c>
      <c r="N426" s="79" t="s">
        <v>112</v>
      </c>
      <c r="O426" s="79" t="s">
        <v>112</v>
      </c>
      <c r="P426" s="79" t="s">
        <v>112</v>
      </c>
      <c r="Q426" s="79" t="s">
        <v>112</v>
      </c>
      <c r="R426" s="79" t="s">
        <v>112</v>
      </c>
      <c r="S426" s="79" t="s">
        <v>112</v>
      </c>
      <c r="T426" s="79" t="s">
        <v>112</v>
      </c>
      <c r="U426" s="79" t="s">
        <v>112</v>
      </c>
      <c r="V426" s="79" t="s">
        <v>112</v>
      </c>
      <c r="W426" s="79" t="s">
        <v>112</v>
      </c>
      <c r="X426" s="79" t="s">
        <v>112</v>
      </c>
      <c r="Y426" s="79" t="s">
        <v>112</v>
      </c>
      <c r="Z426" s="79" t="s">
        <v>112</v>
      </c>
      <c r="AA426" s="79" t="s">
        <v>112</v>
      </c>
      <c r="AB426" s="79" t="s">
        <v>112</v>
      </c>
      <c r="AC426" s="79" t="s">
        <v>112</v>
      </c>
      <c r="AD426" s="79" t="s">
        <v>112</v>
      </c>
      <c r="AE426" s="79">
        <v>0.22312500000000005</v>
      </c>
      <c r="AF426" s="79">
        <v>0.22312500000000005</v>
      </c>
      <c r="AG426" s="79">
        <v>0.22312500000000005</v>
      </c>
      <c r="AH426" s="79">
        <v>0.22312500000000005</v>
      </c>
      <c r="AI426" s="79">
        <v>0.22312500000000005</v>
      </c>
      <c r="AJ426" s="79">
        <v>0.22312500000000005</v>
      </c>
      <c r="AK426" s="79">
        <v>0.22312500000000005</v>
      </c>
      <c r="AL426" s="79">
        <v>0.22312500000000005</v>
      </c>
      <c r="AM426" s="79">
        <v>0.22312500000000005</v>
      </c>
      <c r="AN426" s="79">
        <v>0.22312500000000005</v>
      </c>
      <c r="AO426" s="79">
        <v>0.22312500000000005</v>
      </c>
      <c r="AP426" s="79">
        <v>0.22312500000000005</v>
      </c>
      <c r="AQ426" s="79">
        <v>0.22312500000000005</v>
      </c>
      <c r="AR426" s="79">
        <v>0.22312500000000005</v>
      </c>
      <c r="AS426" s="79">
        <v>0.22312500000000005</v>
      </c>
      <c r="AT426" s="79">
        <v>0.22312500000000005</v>
      </c>
      <c r="AU426" s="79">
        <v>0.22312500000000005</v>
      </c>
      <c r="AV426" s="79">
        <v>0.22312500000000005</v>
      </c>
      <c r="AW426" s="79">
        <v>0.22312500000000005</v>
      </c>
      <c r="AX426" s="87">
        <v>0.22312500000000005</v>
      </c>
    </row>
    <row r="427" spans="1:50" x14ac:dyDescent="0.25">
      <c r="A427" s="356"/>
      <c r="B427" s="359"/>
      <c r="C427" s="361" t="s">
        <v>16</v>
      </c>
      <c r="D427" s="2" t="s">
        <v>7</v>
      </c>
      <c r="E427" s="160" t="str">
        <f>A413&amp;"/"&amp;B421&amp;"/"&amp;C427&amp;"/"&amp;D427</f>
        <v>Coal fired power plants/Supercritical steam turbine/CHP with CCS/L</v>
      </c>
      <c r="F427" s="76" t="str">
        <f>A413</f>
        <v>Coal fired power plants</v>
      </c>
      <c r="G427" s="76" t="str">
        <f>B421</f>
        <v>Supercritical steam turbine</v>
      </c>
      <c r="H427" s="76" t="str">
        <f>C427</f>
        <v>CHP with CCS</v>
      </c>
      <c r="I427" s="161" t="str">
        <f t="shared" si="83"/>
        <v>L</v>
      </c>
      <c r="J427" s="76" t="s">
        <v>112</v>
      </c>
      <c r="K427" s="76" t="s">
        <v>112</v>
      </c>
      <c r="L427" s="76" t="s">
        <v>112</v>
      </c>
      <c r="M427" s="76" t="s">
        <v>112</v>
      </c>
      <c r="N427" s="76" t="s">
        <v>112</v>
      </c>
      <c r="O427" s="76" t="s">
        <v>112</v>
      </c>
      <c r="P427" s="76" t="s">
        <v>112</v>
      </c>
      <c r="Q427" s="76" t="s">
        <v>112</v>
      </c>
      <c r="R427" s="76" t="s">
        <v>112</v>
      </c>
      <c r="S427" s="76" t="s">
        <v>112</v>
      </c>
      <c r="T427" s="76" t="s">
        <v>112</v>
      </c>
      <c r="U427" s="76" t="s">
        <v>112</v>
      </c>
      <c r="V427" s="76" t="s">
        <v>112</v>
      </c>
      <c r="W427" s="76" t="s">
        <v>112</v>
      </c>
      <c r="X427" s="76" t="s">
        <v>112</v>
      </c>
      <c r="Y427" s="76" t="s">
        <v>112</v>
      </c>
      <c r="Z427" s="76" t="s">
        <v>112</v>
      </c>
      <c r="AA427" s="76" t="s">
        <v>112</v>
      </c>
      <c r="AB427" s="76" t="s">
        <v>112</v>
      </c>
      <c r="AC427" s="76" t="s">
        <v>112</v>
      </c>
      <c r="AD427" s="76" t="s">
        <v>112</v>
      </c>
      <c r="AE427" s="76">
        <v>0.23375000000000004</v>
      </c>
      <c r="AF427" s="76">
        <v>0.23375000000000004</v>
      </c>
      <c r="AG427" s="76">
        <v>0.23375000000000004</v>
      </c>
      <c r="AH427" s="76">
        <v>0.23375000000000004</v>
      </c>
      <c r="AI427" s="76">
        <v>0.23375000000000004</v>
      </c>
      <c r="AJ427" s="76">
        <v>0.23375000000000004</v>
      </c>
      <c r="AK427" s="76">
        <v>0.23375000000000004</v>
      </c>
      <c r="AL427" s="76">
        <v>0.23375000000000004</v>
      </c>
      <c r="AM427" s="76">
        <v>0.23375000000000004</v>
      </c>
      <c r="AN427" s="76">
        <v>0.23375000000000004</v>
      </c>
      <c r="AO427" s="76">
        <v>0.23375000000000004</v>
      </c>
      <c r="AP427" s="76">
        <v>0.23375000000000004</v>
      </c>
      <c r="AQ427" s="76">
        <v>0.23375000000000004</v>
      </c>
      <c r="AR427" s="76">
        <v>0.23375000000000004</v>
      </c>
      <c r="AS427" s="76">
        <v>0.23375000000000004</v>
      </c>
      <c r="AT427" s="76">
        <v>0.23375000000000004</v>
      </c>
      <c r="AU427" s="76">
        <v>0.23375000000000004</v>
      </c>
      <c r="AV427" s="76">
        <v>0.23375000000000004</v>
      </c>
      <c r="AW427" s="76">
        <v>0.23375000000000004</v>
      </c>
      <c r="AX427" s="84">
        <v>0.23375000000000004</v>
      </c>
    </row>
    <row r="428" spans="1:50" x14ac:dyDescent="0.25">
      <c r="A428" s="356"/>
      <c r="B428" s="362"/>
      <c r="C428" s="354"/>
      <c r="D428" s="4" t="s">
        <v>8</v>
      </c>
      <c r="E428" s="168" t="str">
        <f>A413&amp;"/"&amp;B421&amp;"/"&amp;C427&amp;"/"&amp;D428</f>
        <v>Coal fired power plants/Supercritical steam turbine/CHP with CCS/M</v>
      </c>
      <c r="F428" s="80" t="str">
        <f>A413</f>
        <v>Coal fired power plants</v>
      </c>
      <c r="G428" s="80" t="str">
        <f>B421</f>
        <v>Supercritical steam turbine</v>
      </c>
      <c r="H428" s="80" t="str">
        <f>C427</f>
        <v>CHP with CCS</v>
      </c>
      <c r="I428" s="169" t="str">
        <f t="shared" si="83"/>
        <v>M</v>
      </c>
      <c r="J428" s="80" t="s">
        <v>112</v>
      </c>
      <c r="K428" s="80" t="s">
        <v>112</v>
      </c>
      <c r="L428" s="80" t="s">
        <v>112</v>
      </c>
      <c r="M428" s="80" t="s">
        <v>112</v>
      </c>
      <c r="N428" s="80" t="s">
        <v>112</v>
      </c>
      <c r="O428" s="80" t="s">
        <v>112</v>
      </c>
      <c r="P428" s="80" t="s">
        <v>112</v>
      </c>
      <c r="Q428" s="80" t="s">
        <v>112</v>
      </c>
      <c r="R428" s="80" t="s">
        <v>112</v>
      </c>
      <c r="S428" s="80" t="s">
        <v>112</v>
      </c>
      <c r="T428" s="80" t="s">
        <v>112</v>
      </c>
      <c r="U428" s="80" t="s">
        <v>112</v>
      </c>
      <c r="V428" s="80" t="s">
        <v>112</v>
      </c>
      <c r="W428" s="80" t="s">
        <v>112</v>
      </c>
      <c r="X428" s="80" t="s">
        <v>112</v>
      </c>
      <c r="Y428" s="80" t="s">
        <v>112</v>
      </c>
      <c r="Z428" s="80" t="s">
        <v>112</v>
      </c>
      <c r="AA428" s="80" t="s">
        <v>112</v>
      </c>
      <c r="AB428" s="80" t="s">
        <v>112</v>
      </c>
      <c r="AC428" s="80" t="s">
        <v>112</v>
      </c>
      <c r="AD428" s="80" t="s">
        <v>112</v>
      </c>
      <c r="AE428" s="80">
        <v>0.24543750000000006</v>
      </c>
      <c r="AF428" s="80">
        <v>0.24543750000000006</v>
      </c>
      <c r="AG428" s="80">
        <v>0.24543750000000006</v>
      </c>
      <c r="AH428" s="80">
        <v>0.24543750000000006</v>
      </c>
      <c r="AI428" s="80">
        <v>0.24543750000000006</v>
      </c>
      <c r="AJ428" s="80">
        <v>0.24543750000000006</v>
      </c>
      <c r="AK428" s="80">
        <v>0.24543750000000006</v>
      </c>
      <c r="AL428" s="80">
        <v>0.24543750000000006</v>
      </c>
      <c r="AM428" s="80">
        <v>0.24543750000000006</v>
      </c>
      <c r="AN428" s="80">
        <v>0.24543750000000006</v>
      </c>
      <c r="AO428" s="80">
        <v>0.24543750000000006</v>
      </c>
      <c r="AP428" s="80">
        <v>0.24543750000000006</v>
      </c>
      <c r="AQ428" s="80">
        <v>0.24543750000000006</v>
      </c>
      <c r="AR428" s="80">
        <v>0.24543750000000006</v>
      </c>
      <c r="AS428" s="80">
        <v>0.24543750000000006</v>
      </c>
      <c r="AT428" s="80">
        <v>0.24543750000000006</v>
      </c>
      <c r="AU428" s="80">
        <v>0.24543750000000006</v>
      </c>
      <c r="AV428" s="80">
        <v>0.24543750000000006</v>
      </c>
      <c r="AW428" s="80">
        <v>0.24543750000000006</v>
      </c>
      <c r="AX428" s="88">
        <v>0.24543750000000006</v>
      </c>
    </row>
    <row r="429" spans="1:50" x14ac:dyDescent="0.25">
      <c r="A429" s="356"/>
      <c r="B429" s="358" t="s">
        <v>18</v>
      </c>
      <c r="C429" s="353" t="s">
        <v>6</v>
      </c>
      <c r="D429" s="3" t="s">
        <v>7</v>
      </c>
      <c r="E429" s="162" t="str">
        <f>A413&amp;"/"&amp;B429&amp;"/"&amp;C429&amp;"/"&amp;D429</f>
        <v>Coal fired power plants/Fluidized bed combustion/Electricity only/L</v>
      </c>
      <c r="F429" s="77" t="str">
        <f>A413</f>
        <v>Coal fired power plants</v>
      </c>
      <c r="G429" s="77" t="str">
        <f>B429</f>
        <v>Fluidized bed combustion</v>
      </c>
      <c r="H429" s="77" t="str">
        <f>C429</f>
        <v>Electricity only</v>
      </c>
      <c r="I429" s="163" t="str">
        <f t="shared" si="83"/>
        <v>L</v>
      </c>
      <c r="J429" s="77">
        <v>4.7E-2</v>
      </c>
      <c r="K429" s="77">
        <v>4.7E-2</v>
      </c>
      <c r="L429" s="77">
        <v>4.7E-2</v>
      </c>
      <c r="M429" s="77">
        <v>4.7E-2</v>
      </c>
      <c r="N429" s="77">
        <v>4.7E-2</v>
      </c>
      <c r="O429" s="77">
        <v>4.7E-2</v>
      </c>
      <c r="P429" s="77">
        <v>4.7E-2</v>
      </c>
      <c r="Q429" s="77">
        <v>4.7E-2</v>
      </c>
      <c r="R429" s="77">
        <v>4.7E-2</v>
      </c>
      <c r="S429" s="77">
        <v>4.7E-2</v>
      </c>
      <c r="T429" s="77">
        <v>4.7E-2</v>
      </c>
      <c r="U429" s="77">
        <v>4.7E-2</v>
      </c>
      <c r="V429" s="77">
        <v>4.7E-2</v>
      </c>
      <c r="W429" s="77">
        <v>4.7E-2</v>
      </c>
      <c r="X429" s="77">
        <v>4.7E-2</v>
      </c>
      <c r="Y429" s="77">
        <v>4.7E-2</v>
      </c>
      <c r="Z429" s="77">
        <v>4.7E-2</v>
      </c>
      <c r="AA429" s="77">
        <v>4.7E-2</v>
      </c>
      <c r="AB429" s="77">
        <v>4.7E-2</v>
      </c>
      <c r="AC429" s="77">
        <v>4.7E-2</v>
      </c>
      <c r="AD429" s="77">
        <v>4.7E-2</v>
      </c>
      <c r="AE429" s="77">
        <v>4.7E-2</v>
      </c>
      <c r="AF429" s="77">
        <v>4.7E-2</v>
      </c>
      <c r="AG429" s="77">
        <v>4.7E-2</v>
      </c>
      <c r="AH429" s="77">
        <v>4.7E-2</v>
      </c>
      <c r="AI429" s="77">
        <v>4.7E-2</v>
      </c>
      <c r="AJ429" s="77">
        <v>4.7E-2</v>
      </c>
      <c r="AK429" s="77">
        <v>4.7E-2</v>
      </c>
      <c r="AL429" s="77">
        <v>4.7E-2</v>
      </c>
      <c r="AM429" s="77">
        <v>4.7E-2</v>
      </c>
      <c r="AN429" s="77">
        <v>4.7E-2</v>
      </c>
      <c r="AO429" s="77">
        <v>4.7E-2</v>
      </c>
      <c r="AP429" s="77">
        <v>4.7E-2</v>
      </c>
      <c r="AQ429" s="77">
        <v>4.7E-2</v>
      </c>
      <c r="AR429" s="77">
        <v>4.7E-2</v>
      </c>
      <c r="AS429" s="77">
        <v>4.7E-2</v>
      </c>
      <c r="AT429" s="77">
        <v>4.7E-2</v>
      </c>
      <c r="AU429" s="77">
        <v>4.7E-2</v>
      </c>
      <c r="AV429" s="77">
        <v>4.7E-2</v>
      </c>
      <c r="AW429" s="77">
        <v>4.7E-2</v>
      </c>
      <c r="AX429" s="85">
        <v>4.7E-2</v>
      </c>
    </row>
    <row r="430" spans="1:50" x14ac:dyDescent="0.25">
      <c r="A430" s="356"/>
      <c r="B430" s="359"/>
      <c r="C430" s="350"/>
      <c r="D430" s="2" t="s">
        <v>8</v>
      </c>
      <c r="E430" s="160" t="str">
        <f>A413&amp;"/"&amp;B429&amp;"/"&amp;C429&amp;"/"&amp;D430</f>
        <v>Coal fired power plants/Fluidized bed combustion/Electricity only/M</v>
      </c>
      <c r="F430" s="76" t="str">
        <f>A413</f>
        <v>Coal fired power plants</v>
      </c>
      <c r="G430" s="76" t="str">
        <f>B429</f>
        <v>Fluidized bed combustion</v>
      </c>
      <c r="H430" s="76" t="str">
        <f>C429</f>
        <v>Electricity only</v>
      </c>
      <c r="I430" s="161" t="str">
        <f t="shared" si="83"/>
        <v>M</v>
      </c>
      <c r="J430" s="76">
        <v>4.9350000000000005E-2</v>
      </c>
      <c r="K430" s="76">
        <v>4.9350000000000005E-2</v>
      </c>
      <c r="L430" s="76">
        <v>4.9350000000000005E-2</v>
      </c>
      <c r="M430" s="76">
        <v>4.9350000000000005E-2</v>
      </c>
      <c r="N430" s="76">
        <v>4.9350000000000005E-2</v>
      </c>
      <c r="O430" s="76">
        <v>4.9350000000000005E-2</v>
      </c>
      <c r="P430" s="76">
        <v>4.9350000000000005E-2</v>
      </c>
      <c r="Q430" s="76">
        <v>4.9350000000000005E-2</v>
      </c>
      <c r="R430" s="76">
        <v>4.9350000000000005E-2</v>
      </c>
      <c r="S430" s="76">
        <v>4.9350000000000005E-2</v>
      </c>
      <c r="T430" s="76">
        <v>4.9350000000000005E-2</v>
      </c>
      <c r="U430" s="76">
        <v>4.9350000000000005E-2</v>
      </c>
      <c r="V430" s="76">
        <v>4.9350000000000005E-2</v>
      </c>
      <c r="W430" s="76">
        <v>4.9350000000000005E-2</v>
      </c>
      <c r="X430" s="76">
        <v>4.9350000000000005E-2</v>
      </c>
      <c r="Y430" s="76">
        <v>4.9350000000000005E-2</v>
      </c>
      <c r="Z430" s="76">
        <v>4.9350000000000005E-2</v>
      </c>
      <c r="AA430" s="76">
        <v>4.9350000000000005E-2</v>
      </c>
      <c r="AB430" s="76">
        <v>4.9350000000000005E-2</v>
      </c>
      <c r="AC430" s="76">
        <v>4.9350000000000005E-2</v>
      </c>
      <c r="AD430" s="76">
        <v>4.9350000000000005E-2</v>
      </c>
      <c r="AE430" s="76">
        <v>4.9350000000000005E-2</v>
      </c>
      <c r="AF430" s="76">
        <v>4.9350000000000005E-2</v>
      </c>
      <c r="AG430" s="76">
        <v>4.9350000000000005E-2</v>
      </c>
      <c r="AH430" s="76">
        <v>4.9350000000000005E-2</v>
      </c>
      <c r="AI430" s="76">
        <v>4.9350000000000005E-2</v>
      </c>
      <c r="AJ430" s="76">
        <v>4.9350000000000005E-2</v>
      </c>
      <c r="AK430" s="76">
        <v>4.9350000000000005E-2</v>
      </c>
      <c r="AL430" s="76">
        <v>4.9350000000000005E-2</v>
      </c>
      <c r="AM430" s="76">
        <v>4.9350000000000005E-2</v>
      </c>
      <c r="AN430" s="76">
        <v>4.9350000000000005E-2</v>
      </c>
      <c r="AO430" s="76">
        <v>4.9350000000000005E-2</v>
      </c>
      <c r="AP430" s="76">
        <v>4.9350000000000005E-2</v>
      </c>
      <c r="AQ430" s="76">
        <v>4.9350000000000005E-2</v>
      </c>
      <c r="AR430" s="76">
        <v>4.9350000000000005E-2</v>
      </c>
      <c r="AS430" s="76">
        <v>4.9350000000000005E-2</v>
      </c>
      <c r="AT430" s="76">
        <v>4.9350000000000005E-2</v>
      </c>
      <c r="AU430" s="76">
        <v>4.9350000000000005E-2</v>
      </c>
      <c r="AV430" s="76">
        <v>4.9350000000000005E-2</v>
      </c>
      <c r="AW430" s="76">
        <v>4.9350000000000005E-2</v>
      </c>
      <c r="AX430" s="84">
        <v>4.9350000000000005E-2</v>
      </c>
    </row>
    <row r="431" spans="1:50" x14ac:dyDescent="0.25">
      <c r="A431" s="356"/>
      <c r="B431" s="359"/>
      <c r="C431" s="360"/>
      <c r="D431" s="2" t="s">
        <v>10</v>
      </c>
      <c r="E431" s="160" t="str">
        <f>A413&amp;"/"&amp;B429&amp;"/"&amp;C429&amp;"/"&amp;D431</f>
        <v>Coal fired power plants/Fluidized bed combustion/Electricity only/S</v>
      </c>
      <c r="F431" s="76" t="str">
        <f>A413</f>
        <v>Coal fired power plants</v>
      </c>
      <c r="G431" s="76" t="str">
        <f>B429</f>
        <v>Fluidized bed combustion</v>
      </c>
      <c r="H431" s="76" t="str">
        <f>C429</f>
        <v>Electricity only</v>
      </c>
      <c r="I431" s="161" t="str">
        <f t="shared" si="83"/>
        <v>S</v>
      </c>
      <c r="J431" s="76">
        <v>5.1817500000000009E-2</v>
      </c>
      <c r="K431" s="76">
        <v>5.1817500000000009E-2</v>
      </c>
      <c r="L431" s="76">
        <v>5.1817500000000009E-2</v>
      </c>
      <c r="M431" s="76">
        <v>5.1817500000000009E-2</v>
      </c>
      <c r="N431" s="76">
        <v>5.1817500000000009E-2</v>
      </c>
      <c r="O431" s="76">
        <v>5.1817500000000009E-2</v>
      </c>
      <c r="P431" s="76">
        <v>5.1817500000000009E-2</v>
      </c>
      <c r="Q431" s="76">
        <v>5.1817500000000009E-2</v>
      </c>
      <c r="R431" s="76">
        <v>5.1817500000000009E-2</v>
      </c>
      <c r="S431" s="76">
        <v>5.1817500000000009E-2</v>
      </c>
      <c r="T431" s="76">
        <v>5.1817500000000009E-2</v>
      </c>
      <c r="U431" s="76">
        <v>5.1817500000000009E-2</v>
      </c>
      <c r="V431" s="76">
        <v>5.1817500000000009E-2</v>
      </c>
      <c r="W431" s="76">
        <v>5.1817500000000009E-2</v>
      </c>
      <c r="X431" s="76">
        <v>5.1817500000000009E-2</v>
      </c>
      <c r="Y431" s="76">
        <v>5.1817500000000009E-2</v>
      </c>
      <c r="Z431" s="76">
        <v>5.1817500000000009E-2</v>
      </c>
      <c r="AA431" s="76">
        <v>5.1817500000000009E-2</v>
      </c>
      <c r="AB431" s="76">
        <v>5.1817500000000009E-2</v>
      </c>
      <c r="AC431" s="76">
        <v>5.1817500000000009E-2</v>
      </c>
      <c r="AD431" s="76">
        <v>5.1817500000000009E-2</v>
      </c>
      <c r="AE431" s="76">
        <v>5.1817500000000009E-2</v>
      </c>
      <c r="AF431" s="76">
        <v>5.1817500000000009E-2</v>
      </c>
      <c r="AG431" s="76">
        <v>5.1817500000000009E-2</v>
      </c>
      <c r="AH431" s="76">
        <v>5.1817500000000009E-2</v>
      </c>
      <c r="AI431" s="76">
        <v>5.1817500000000009E-2</v>
      </c>
      <c r="AJ431" s="76">
        <v>5.1817500000000009E-2</v>
      </c>
      <c r="AK431" s="76">
        <v>5.1817500000000009E-2</v>
      </c>
      <c r="AL431" s="76">
        <v>5.1817500000000009E-2</v>
      </c>
      <c r="AM431" s="76">
        <v>5.1817500000000009E-2</v>
      </c>
      <c r="AN431" s="76">
        <v>5.1817500000000009E-2</v>
      </c>
      <c r="AO431" s="76">
        <v>5.1817500000000009E-2</v>
      </c>
      <c r="AP431" s="76">
        <v>5.1817500000000009E-2</v>
      </c>
      <c r="AQ431" s="76">
        <v>5.1817500000000009E-2</v>
      </c>
      <c r="AR431" s="76">
        <v>5.1817500000000009E-2</v>
      </c>
      <c r="AS431" s="76">
        <v>5.1817500000000009E-2</v>
      </c>
      <c r="AT431" s="76">
        <v>5.1817500000000009E-2</v>
      </c>
      <c r="AU431" s="76">
        <v>5.1817500000000009E-2</v>
      </c>
      <c r="AV431" s="76">
        <v>5.1817500000000009E-2</v>
      </c>
      <c r="AW431" s="76">
        <v>5.1817500000000009E-2</v>
      </c>
      <c r="AX431" s="84">
        <v>5.1817500000000009E-2</v>
      </c>
    </row>
    <row r="432" spans="1:50" x14ac:dyDescent="0.25">
      <c r="A432" s="356"/>
      <c r="B432" s="359"/>
      <c r="C432" s="361" t="s">
        <v>14</v>
      </c>
      <c r="D432" s="58" t="s">
        <v>7</v>
      </c>
      <c r="E432" s="164" t="str">
        <f>A413&amp;"/"&amp;B429&amp;"/"&amp;C432&amp;"/"&amp;D432</f>
        <v>Coal fired power plants/Fluidized bed combustion/CHP/L</v>
      </c>
      <c r="F432" s="78" t="str">
        <f>A413</f>
        <v>Coal fired power plants</v>
      </c>
      <c r="G432" s="78" t="str">
        <f>B429</f>
        <v>Fluidized bed combustion</v>
      </c>
      <c r="H432" s="78" t="str">
        <f>C432</f>
        <v>CHP</v>
      </c>
      <c r="I432" s="165" t="str">
        <f t="shared" si="83"/>
        <v>L</v>
      </c>
      <c r="J432" s="78">
        <v>5.1700000000000003E-2</v>
      </c>
      <c r="K432" s="78">
        <v>5.1700000000000003E-2</v>
      </c>
      <c r="L432" s="78">
        <v>5.1700000000000003E-2</v>
      </c>
      <c r="M432" s="78">
        <v>5.1700000000000003E-2</v>
      </c>
      <c r="N432" s="78">
        <v>5.1700000000000003E-2</v>
      </c>
      <c r="O432" s="78">
        <v>5.1700000000000003E-2</v>
      </c>
      <c r="P432" s="78">
        <v>5.1700000000000003E-2</v>
      </c>
      <c r="Q432" s="78">
        <v>5.1700000000000003E-2</v>
      </c>
      <c r="R432" s="78">
        <v>5.1700000000000003E-2</v>
      </c>
      <c r="S432" s="78">
        <v>5.1700000000000003E-2</v>
      </c>
      <c r="T432" s="78">
        <v>5.1700000000000003E-2</v>
      </c>
      <c r="U432" s="78">
        <v>5.1700000000000003E-2</v>
      </c>
      <c r="V432" s="78">
        <v>5.1700000000000003E-2</v>
      </c>
      <c r="W432" s="78">
        <v>5.1700000000000003E-2</v>
      </c>
      <c r="X432" s="78">
        <v>5.1700000000000003E-2</v>
      </c>
      <c r="Y432" s="78">
        <v>5.1700000000000003E-2</v>
      </c>
      <c r="Z432" s="78">
        <v>5.1700000000000003E-2</v>
      </c>
      <c r="AA432" s="78">
        <v>5.1700000000000003E-2</v>
      </c>
      <c r="AB432" s="78">
        <v>5.1700000000000003E-2</v>
      </c>
      <c r="AC432" s="78">
        <v>5.1700000000000003E-2</v>
      </c>
      <c r="AD432" s="78">
        <v>5.1700000000000003E-2</v>
      </c>
      <c r="AE432" s="78">
        <v>5.1700000000000003E-2</v>
      </c>
      <c r="AF432" s="78">
        <v>5.1700000000000003E-2</v>
      </c>
      <c r="AG432" s="78">
        <v>5.1700000000000003E-2</v>
      </c>
      <c r="AH432" s="78">
        <v>5.1700000000000003E-2</v>
      </c>
      <c r="AI432" s="78">
        <v>5.1700000000000003E-2</v>
      </c>
      <c r="AJ432" s="78">
        <v>5.1700000000000003E-2</v>
      </c>
      <c r="AK432" s="78">
        <v>5.1700000000000003E-2</v>
      </c>
      <c r="AL432" s="78">
        <v>5.1700000000000003E-2</v>
      </c>
      <c r="AM432" s="78">
        <v>5.1700000000000003E-2</v>
      </c>
      <c r="AN432" s="78">
        <v>5.1700000000000003E-2</v>
      </c>
      <c r="AO432" s="78">
        <v>5.1700000000000003E-2</v>
      </c>
      <c r="AP432" s="78">
        <v>5.1700000000000003E-2</v>
      </c>
      <c r="AQ432" s="78">
        <v>5.1700000000000003E-2</v>
      </c>
      <c r="AR432" s="78">
        <v>5.1700000000000003E-2</v>
      </c>
      <c r="AS432" s="78">
        <v>5.1700000000000003E-2</v>
      </c>
      <c r="AT432" s="78">
        <v>5.1700000000000003E-2</v>
      </c>
      <c r="AU432" s="78">
        <v>5.1700000000000003E-2</v>
      </c>
      <c r="AV432" s="78">
        <v>5.1700000000000003E-2</v>
      </c>
      <c r="AW432" s="78">
        <v>5.1700000000000003E-2</v>
      </c>
      <c r="AX432" s="86">
        <v>5.1700000000000003E-2</v>
      </c>
    </row>
    <row r="433" spans="1:50" x14ac:dyDescent="0.25">
      <c r="A433" s="356"/>
      <c r="B433" s="359"/>
      <c r="C433" s="350"/>
      <c r="D433" s="2" t="s">
        <v>8</v>
      </c>
      <c r="E433" s="160" t="str">
        <f>A413&amp;"/"&amp;B429&amp;"/"&amp;C432&amp;"/"&amp;D433</f>
        <v>Coal fired power plants/Fluidized bed combustion/CHP/M</v>
      </c>
      <c r="F433" s="76" t="str">
        <f>A413</f>
        <v>Coal fired power plants</v>
      </c>
      <c r="G433" s="76" t="str">
        <f>B429</f>
        <v>Fluidized bed combustion</v>
      </c>
      <c r="H433" s="76" t="str">
        <f>C432</f>
        <v>CHP</v>
      </c>
      <c r="I433" s="161" t="str">
        <f t="shared" si="83"/>
        <v>M</v>
      </c>
      <c r="J433" s="76">
        <v>5.4285000000000007E-2</v>
      </c>
      <c r="K433" s="76">
        <v>5.4285000000000007E-2</v>
      </c>
      <c r="L433" s="76">
        <v>5.4285000000000007E-2</v>
      </c>
      <c r="M433" s="76">
        <v>5.4285000000000007E-2</v>
      </c>
      <c r="N433" s="76">
        <v>5.4285000000000007E-2</v>
      </c>
      <c r="O433" s="76">
        <v>5.4285000000000007E-2</v>
      </c>
      <c r="P433" s="76">
        <v>5.4285000000000007E-2</v>
      </c>
      <c r="Q433" s="76">
        <v>5.4285000000000007E-2</v>
      </c>
      <c r="R433" s="76">
        <v>5.4285000000000007E-2</v>
      </c>
      <c r="S433" s="76">
        <v>5.4285000000000007E-2</v>
      </c>
      <c r="T433" s="76">
        <v>5.4285000000000007E-2</v>
      </c>
      <c r="U433" s="76">
        <v>5.4285000000000007E-2</v>
      </c>
      <c r="V433" s="76">
        <v>5.4285000000000007E-2</v>
      </c>
      <c r="W433" s="76">
        <v>5.4285000000000007E-2</v>
      </c>
      <c r="X433" s="76">
        <v>5.4285000000000007E-2</v>
      </c>
      <c r="Y433" s="76">
        <v>5.4285000000000007E-2</v>
      </c>
      <c r="Z433" s="76">
        <v>5.4285000000000007E-2</v>
      </c>
      <c r="AA433" s="76">
        <v>5.4285000000000007E-2</v>
      </c>
      <c r="AB433" s="76">
        <v>5.4285000000000007E-2</v>
      </c>
      <c r="AC433" s="76">
        <v>5.4285000000000007E-2</v>
      </c>
      <c r="AD433" s="76">
        <v>5.4285000000000007E-2</v>
      </c>
      <c r="AE433" s="76">
        <v>5.4285000000000007E-2</v>
      </c>
      <c r="AF433" s="76">
        <v>5.4285000000000007E-2</v>
      </c>
      <c r="AG433" s="76">
        <v>5.4285000000000007E-2</v>
      </c>
      <c r="AH433" s="76">
        <v>5.4285000000000007E-2</v>
      </c>
      <c r="AI433" s="76">
        <v>5.4285000000000007E-2</v>
      </c>
      <c r="AJ433" s="76">
        <v>5.4285000000000007E-2</v>
      </c>
      <c r="AK433" s="76">
        <v>5.4285000000000007E-2</v>
      </c>
      <c r="AL433" s="76">
        <v>5.4285000000000007E-2</v>
      </c>
      <c r="AM433" s="76">
        <v>5.4285000000000007E-2</v>
      </c>
      <c r="AN433" s="76">
        <v>5.4285000000000007E-2</v>
      </c>
      <c r="AO433" s="76">
        <v>5.4285000000000007E-2</v>
      </c>
      <c r="AP433" s="76">
        <v>5.4285000000000007E-2</v>
      </c>
      <c r="AQ433" s="76">
        <v>5.4285000000000007E-2</v>
      </c>
      <c r="AR433" s="76">
        <v>5.4285000000000007E-2</v>
      </c>
      <c r="AS433" s="76">
        <v>5.4285000000000007E-2</v>
      </c>
      <c r="AT433" s="76">
        <v>5.4285000000000007E-2</v>
      </c>
      <c r="AU433" s="76">
        <v>5.4285000000000007E-2</v>
      </c>
      <c r="AV433" s="76">
        <v>5.4285000000000007E-2</v>
      </c>
      <c r="AW433" s="76">
        <v>5.4285000000000007E-2</v>
      </c>
      <c r="AX433" s="84">
        <v>5.4285000000000007E-2</v>
      </c>
    </row>
    <row r="434" spans="1:50" x14ac:dyDescent="0.25">
      <c r="A434" s="356"/>
      <c r="B434" s="359"/>
      <c r="C434" s="360"/>
      <c r="D434" s="59" t="s">
        <v>10</v>
      </c>
      <c r="E434" s="166" t="str">
        <f>A413&amp;"/"&amp;B429&amp;"/"&amp;C432&amp;"/"&amp;D434</f>
        <v>Coal fired power plants/Fluidized bed combustion/CHP/S</v>
      </c>
      <c r="F434" s="79" t="str">
        <f>A413</f>
        <v>Coal fired power plants</v>
      </c>
      <c r="G434" s="79" t="str">
        <f>B429</f>
        <v>Fluidized bed combustion</v>
      </c>
      <c r="H434" s="79" t="str">
        <f>C432</f>
        <v>CHP</v>
      </c>
      <c r="I434" s="167" t="str">
        <f t="shared" si="83"/>
        <v>S</v>
      </c>
      <c r="J434" s="79">
        <v>5.6999250000000015E-2</v>
      </c>
      <c r="K434" s="79">
        <v>5.6999250000000015E-2</v>
      </c>
      <c r="L434" s="79">
        <v>5.6999250000000015E-2</v>
      </c>
      <c r="M434" s="79">
        <v>5.6999250000000015E-2</v>
      </c>
      <c r="N434" s="79">
        <v>5.6999250000000015E-2</v>
      </c>
      <c r="O434" s="79">
        <v>5.6999250000000015E-2</v>
      </c>
      <c r="P434" s="79">
        <v>5.6999250000000015E-2</v>
      </c>
      <c r="Q434" s="79">
        <v>5.6999250000000015E-2</v>
      </c>
      <c r="R434" s="79">
        <v>5.6999250000000015E-2</v>
      </c>
      <c r="S434" s="79">
        <v>5.6999250000000015E-2</v>
      </c>
      <c r="T434" s="79">
        <v>5.6999250000000015E-2</v>
      </c>
      <c r="U434" s="79">
        <v>5.6999250000000015E-2</v>
      </c>
      <c r="V434" s="79">
        <v>5.6999250000000015E-2</v>
      </c>
      <c r="W434" s="79">
        <v>5.6999250000000015E-2</v>
      </c>
      <c r="X434" s="79">
        <v>5.6999250000000015E-2</v>
      </c>
      <c r="Y434" s="79">
        <v>5.6999250000000015E-2</v>
      </c>
      <c r="Z434" s="79">
        <v>5.6999250000000015E-2</v>
      </c>
      <c r="AA434" s="79">
        <v>5.6999250000000015E-2</v>
      </c>
      <c r="AB434" s="79">
        <v>5.6999250000000015E-2</v>
      </c>
      <c r="AC434" s="79">
        <v>5.6999250000000015E-2</v>
      </c>
      <c r="AD434" s="79">
        <v>5.6999250000000015E-2</v>
      </c>
      <c r="AE434" s="79">
        <v>5.6999250000000015E-2</v>
      </c>
      <c r="AF434" s="79">
        <v>5.6999250000000015E-2</v>
      </c>
      <c r="AG434" s="79">
        <v>5.6999250000000015E-2</v>
      </c>
      <c r="AH434" s="79">
        <v>5.6999250000000015E-2</v>
      </c>
      <c r="AI434" s="79">
        <v>5.6999250000000015E-2</v>
      </c>
      <c r="AJ434" s="79">
        <v>5.6999250000000015E-2</v>
      </c>
      <c r="AK434" s="79">
        <v>5.6999250000000015E-2</v>
      </c>
      <c r="AL434" s="79">
        <v>5.6999250000000015E-2</v>
      </c>
      <c r="AM434" s="79">
        <v>5.6999250000000015E-2</v>
      </c>
      <c r="AN434" s="79">
        <v>5.6999250000000015E-2</v>
      </c>
      <c r="AO434" s="79">
        <v>5.6999250000000015E-2</v>
      </c>
      <c r="AP434" s="79">
        <v>5.6999250000000015E-2</v>
      </c>
      <c r="AQ434" s="79">
        <v>5.6999250000000015E-2</v>
      </c>
      <c r="AR434" s="79">
        <v>5.6999250000000015E-2</v>
      </c>
      <c r="AS434" s="79">
        <v>5.6999250000000015E-2</v>
      </c>
      <c r="AT434" s="79">
        <v>5.6999250000000015E-2</v>
      </c>
      <c r="AU434" s="79">
        <v>5.6999250000000015E-2</v>
      </c>
      <c r="AV434" s="79">
        <v>5.6999250000000015E-2</v>
      </c>
      <c r="AW434" s="79">
        <v>5.6999250000000015E-2</v>
      </c>
      <c r="AX434" s="87">
        <v>5.6999250000000015E-2</v>
      </c>
    </row>
    <row r="435" spans="1:50" x14ac:dyDescent="0.25">
      <c r="A435" s="356"/>
      <c r="B435" s="359"/>
      <c r="C435" s="361" t="s">
        <v>15</v>
      </c>
      <c r="D435" s="58" t="s">
        <v>7</v>
      </c>
      <c r="E435" s="164" t="str">
        <f>A413&amp;"/"&amp;B429&amp;"/"&amp;C435&amp;"/"&amp;D435</f>
        <v>Coal fired power plants/Fluidized bed combustion/Electricity only with CCS/L</v>
      </c>
      <c r="F435" s="78" t="str">
        <f>A413</f>
        <v>Coal fired power plants</v>
      </c>
      <c r="G435" s="78" t="str">
        <f>B429</f>
        <v>Fluidized bed combustion</v>
      </c>
      <c r="H435" s="78" t="str">
        <f>C435</f>
        <v>Electricity only with CCS</v>
      </c>
      <c r="I435" s="165" t="str">
        <f t="shared" si="83"/>
        <v>L</v>
      </c>
      <c r="J435" s="78" t="s">
        <v>112</v>
      </c>
      <c r="K435" s="78" t="s">
        <v>112</v>
      </c>
      <c r="L435" s="78" t="s">
        <v>112</v>
      </c>
      <c r="M435" s="78" t="s">
        <v>112</v>
      </c>
      <c r="N435" s="78" t="s">
        <v>112</v>
      </c>
      <c r="O435" s="78" t="s">
        <v>112</v>
      </c>
      <c r="P435" s="78" t="s">
        <v>112</v>
      </c>
      <c r="Q435" s="78" t="s">
        <v>112</v>
      </c>
      <c r="R435" s="78" t="s">
        <v>112</v>
      </c>
      <c r="S435" s="78" t="s">
        <v>112</v>
      </c>
      <c r="T435" s="78" t="s">
        <v>112</v>
      </c>
      <c r="U435" s="78" t="s">
        <v>112</v>
      </c>
      <c r="V435" s="78" t="s">
        <v>112</v>
      </c>
      <c r="W435" s="78" t="s">
        <v>112</v>
      </c>
      <c r="X435" s="78" t="s">
        <v>112</v>
      </c>
      <c r="Y435" s="78" t="s">
        <v>112</v>
      </c>
      <c r="Z435" s="78" t="s">
        <v>112</v>
      </c>
      <c r="AA435" s="78" t="s">
        <v>112</v>
      </c>
      <c r="AB435" s="78" t="s">
        <v>112</v>
      </c>
      <c r="AC435" s="78" t="s">
        <v>112</v>
      </c>
      <c r="AD435" s="78" t="s">
        <v>112</v>
      </c>
      <c r="AE435" s="78">
        <v>0.22325</v>
      </c>
      <c r="AF435" s="78">
        <v>0.22325</v>
      </c>
      <c r="AG435" s="78">
        <v>0.22325</v>
      </c>
      <c r="AH435" s="78">
        <v>0.22325</v>
      </c>
      <c r="AI435" s="78">
        <v>0.22325</v>
      </c>
      <c r="AJ435" s="78">
        <v>0.22325</v>
      </c>
      <c r="AK435" s="78">
        <v>0.22325</v>
      </c>
      <c r="AL435" s="78">
        <v>0.22325</v>
      </c>
      <c r="AM435" s="78">
        <v>0.22325</v>
      </c>
      <c r="AN435" s="78">
        <v>0.22325</v>
      </c>
      <c r="AO435" s="78">
        <v>0.22325</v>
      </c>
      <c r="AP435" s="78">
        <v>0.22325</v>
      </c>
      <c r="AQ435" s="78">
        <v>0.22325</v>
      </c>
      <c r="AR435" s="78">
        <v>0.22325</v>
      </c>
      <c r="AS435" s="78">
        <v>0.22325</v>
      </c>
      <c r="AT435" s="78">
        <v>0.22325</v>
      </c>
      <c r="AU435" s="78">
        <v>0.22325</v>
      </c>
      <c r="AV435" s="78">
        <v>0.22325</v>
      </c>
      <c r="AW435" s="78">
        <v>0.22325</v>
      </c>
      <c r="AX435" s="86">
        <v>0.22325</v>
      </c>
    </row>
    <row r="436" spans="1:50" x14ac:dyDescent="0.25">
      <c r="A436" s="356"/>
      <c r="B436" s="359"/>
      <c r="C436" s="360"/>
      <c r="D436" s="59" t="s">
        <v>8</v>
      </c>
      <c r="E436" s="166" t="str">
        <f>A413&amp;"/"&amp;B429&amp;"/"&amp;C435&amp;"/"&amp;D436</f>
        <v>Coal fired power plants/Fluidized bed combustion/Electricity only with CCS/M</v>
      </c>
      <c r="F436" s="79" t="str">
        <f>A413</f>
        <v>Coal fired power plants</v>
      </c>
      <c r="G436" s="79" t="str">
        <f>B429</f>
        <v>Fluidized bed combustion</v>
      </c>
      <c r="H436" s="79" t="str">
        <f>C435</f>
        <v>Electricity only with CCS</v>
      </c>
      <c r="I436" s="167" t="str">
        <f t="shared" si="83"/>
        <v>M</v>
      </c>
      <c r="J436" s="79" t="s">
        <v>112</v>
      </c>
      <c r="K436" s="79" t="s">
        <v>112</v>
      </c>
      <c r="L436" s="79" t="s">
        <v>112</v>
      </c>
      <c r="M436" s="79" t="s">
        <v>112</v>
      </c>
      <c r="N436" s="79" t="s">
        <v>112</v>
      </c>
      <c r="O436" s="79" t="s">
        <v>112</v>
      </c>
      <c r="P436" s="79" t="s">
        <v>112</v>
      </c>
      <c r="Q436" s="79" t="s">
        <v>112</v>
      </c>
      <c r="R436" s="79" t="s">
        <v>112</v>
      </c>
      <c r="S436" s="79" t="s">
        <v>112</v>
      </c>
      <c r="T436" s="79" t="s">
        <v>112</v>
      </c>
      <c r="U436" s="79" t="s">
        <v>112</v>
      </c>
      <c r="V436" s="79" t="s">
        <v>112</v>
      </c>
      <c r="W436" s="79" t="s">
        <v>112</v>
      </c>
      <c r="X436" s="79" t="s">
        <v>112</v>
      </c>
      <c r="Y436" s="79" t="s">
        <v>112</v>
      </c>
      <c r="Z436" s="79" t="s">
        <v>112</v>
      </c>
      <c r="AA436" s="79" t="s">
        <v>112</v>
      </c>
      <c r="AB436" s="79" t="s">
        <v>112</v>
      </c>
      <c r="AC436" s="79" t="s">
        <v>112</v>
      </c>
      <c r="AD436" s="79" t="s">
        <v>112</v>
      </c>
      <c r="AE436" s="79">
        <v>0.23441250000000002</v>
      </c>
      <c r="AF436" s="79">
        <v>0.23441250000000002</v>
      </c>
      <c r="AG436" s="79">
        <v>0.23441250000000002</v>
      </c>
      <c r="AH436" s="79">
        <v>0.23441250000000002</v>
      </c>
      <c r="AI436" s="79">
        <v>0.23441250000000002</v>
      </c>
      <c r="AJ436" s="79">
        <v>0.23441250000000002</v>
      </c>
      <c r="AK436" s="79">
        <v>0.23441250000000002</v>
      </c>
      <c r="AL436" s="79">
        <v>0.23441250000000002</v>
      </c>
      <c r="AM436" s="79">
        <v>0.23441250000000002</v>
      </c>
      <c r="AN436" s="79">
        <v>0.23441250000000002</v>
      </c>
      <c r="AO436" s="79">
        <v>0.23441250000000002</v>
      </c>
      <c r="AP436" s="79">
        <v>0.23441250000000002</v>
      </c>
      <c r="AQ436" s="79">
        <v>0.23441250000000002</v>
      </c>
      <c r="AR436" s="79">
        <v>0.23441250000000002</v>
      </c>
      <c r="AS436" s="79">
        <v>0.23441250000000002</v>
      </c>
      <c r="AT436" s="79">
        <v>0.23441250000000002</v>
      </c>
      <c r="AU436" s="79">
        <v>0.23441250000000002</v>
      </c>
      <c r="AV436" s="79">
        <v>0.23441250000000002</v>
      </c>
      <c r="AW436" s="79">
        <v>0.23441250000000002</v>
      </c>
      <c r="AX436" s="87">
        <v>0.23441250000000002</v>
      </c>
    </row>
    <row r="437" spans="1:50" x14ac:dyDescent="0.25">
      <c r="A437" s="356"/>
      <c r="B437" s="359"/>
      <c r="C437" s="361" t="s">
        <v>16</v>
      </c>
      <c r="D437" s="2" t="s">
        <v>7</v>
      </c>
      <c r="E437" s="160" t="str">
        <f>A413&amp;"/"&amp;B429&amp;"/"&amp;C437&amp;"/"&amp;D437</f>
        <v>Coal fired power plants/Fluidized bed combustion/CHP with CCS/L</v>
      </c>
      <c r="F437" s="76" t="str">
        <f>A413</f>
        <v>Coal fired power plants</v>
      </c>
      <c r="G437" s="76" t="str">
        <f>B429</f>
        <v>Fluidized bed combustion</v>
      </c>
      <c r="H437" s="76" t="str">
        <f>C437</f>
        <v>CHP with CCS</v>
      </c>
      <c r="I437" s="161" t="str">
        <f t="shared" si="83"/>
        <v>L</v>
      </c>
      <c r="J437" s="76" t="s">
        <v>112</v>
      </c>
      <c r="K437" s="76" t="s">
        <v>112</v>
      </c>
      <c r="L437" s="76" t="s">
        <v>112</v>
      </c>
      <c r="M437" s="76" t="s">
        <v>112</v>
      </c>
      <c r="N437" s="76" t="s">
        <v>112</v>
      </c>
      <c r="O437" s="76" t="s">
        <v>112</v>
      </c>
      <c r="P437" s="76" t="s">
        <v>112</v>
      </c>
      <c r="Q437" s="76" t="s">
        <v>112</v>
      </c>
      <c r="R437" s="76" t="s">
        <v>112</v>
      </c>
      <c r="S437" s="76" t="s">
        <v>112</v>
      </c>
      <c r="T437" s="76" t="s">
        <v>112</v>
      </c>
      <c r="U437" s="76" t="s">
        <v>112</v>
      </c>
      <c r="V437" s="76" t="s">
        <v>112</v>
      </c>
      <c r="W437" s="76" t="s">
        <v>112</v>
      </c>
      <c r="X437" s="76" t="s">
        <v>112</v>
      </c>
      <c r="Y437" s="76" t="s">
        <v>112</v>
      </c>
      <c r="Z437" s="76" t="s">
        <v>112</v>
      </c>
      <c r="AA437" s="76" t="s">
        <v>112</v>
      </c>
      <c r="AB437" s="76" t="s">
        <v>112</v>
      </c>
      <c r="AC437" s="76" t="s">
        <v>112</v>
      </c>
      <c r="AD437" s="76" t="s">
        <v>112</v>
      </c>
      <c r="AE437" s="76">
        <v>0.24557500000000002</v>
      </c>
      <c r="AF437" s="76">
        <v>0.24557500000000002</v>
      </c>
      <c r="AG437" s="76">
        <v>0.24557500000000002</v>
      </c>
      <c r="AH437" s="76">
        <v>0.24557500000000002</v>
      </c>
      <c r="AI437" s="76">
        <v>0.24557500000000002</v>
      </c>
      <c r="AJ437" s="76">
        <v>0.24557500000000002</v>
      </c>
      <c r="AK437" s="76">
        <v>0.24557500000000002</v>
      </c>
      <c r="AL437" s="76">
        <v>0.24557500000000002</v>
      </c>
      <c r="AM437" s="76">
        <v>0.24557500000000002</v>
      </c>
      <c r="AN437" s="76">
        <v>0.24557500000000002</v>
      </c>
      <c r="AO437" s="76">
        <v>0.24557500000000002</v>
      </c>
      <c r="AP437" s="76">
        <v>0.24557500000000002</v>
      </c>
      <c r="AQ437" s="76">
        <v>0.24557500000000002</v>
      </c>
      <c r="AR437" s="76">
        <v>0.24557500000000002</v>
      </c>
      <c r="AS437" s="76">
        <v>0.24557500000000002</v>
      </c>
      <c r="AT437" s="76">
        <v>0.24557500000000002</v>
      </c>
      <c r="AU437" s="76">
        <v>0.24557500000000002</v>
      </c>
      <c r="AV437" s="76">
        <v>0.24557500000000002</v>
      </c>
      <c r="AW437" s="76">
        <v>0.24557500000000002</v>
      </c>
      <c r="AX437" s="84">
        <v>0.24557500000000002</v>
      </c>
    </row>
    <row r="438" spans="1:50" x14ac:dyDescent="0.25">
      <c r="A438" s="356"/>
      <c r="B438" s="362"/>
      <c r="C438" s="354"/>
      <c r="D438" s="4" t="s">
        <v>8</v>
      </c>
      <c r="E438" s="168" t="str">
        <f>A413&amp;"/"&amp;B429&amp;"/"&amp;C437&amp;"/"&amp;D438</f>
        <v>Coal fired power plants/Fluidized bed combustion/CHP with CCS/M</v>
      </c>
      <c r="F438" s="80" t="str">
        <f>A413</f>
        <v>Coal fired power plants</v>
      </c>
      <c r="G438" s="80" t="str">
        <f>B429</f>
        <v>Fluidized bed combustion</v>
      </c>
      <c r="H438" s="80" t="str">
        <f>C437</f>
        <v>CHP with CCS</v>
      </c>
      <c r="I438" s="169" t="str">
        <f t="shared" si="83"/>
        <v>M</v>
      </c>
      <c r="J438" s="80" t="s">
        <v>112</v>
      </c>
      <c r="K438" s="80" t="s">
        <v>112</v>
      </c>
      <c r="L438" s="80" t="s">
        <v>112</v>
      </c>
      <c r="M438" s="80" t="s">
        <v>112</v>
      </c>
      <c r="N438" s="80" t="s">
        <v>112</v>
      </c>
      <c r="O438" s="80" t="s">
        <v>112</v>
      </c>
      <c r="P438" s="80" t="s">
        <v>112</v>
      </c>
      <c r="Q438" s="80" t="s">
        <v>112</v>
      </c>
      <c r="R438" s="80" t="s">
        <v>112</v>
      </c>
      <c r="S438" s="80" t="s">
        <v>112</v>
      </c>
      <c r="T438" s="80" t="s">
        <v>112</v>
      </c>
      <c r="U438" s="80" t="s">
        <v>112</v>
      </c>
      <c r="V438" s="80" t="s">
        <v>112</v>
      </c>
      <c r="W438" s="80" t="s">
        <v>112</v>
      </c>
      <c r="X438" s="80" t="s">
        <v>112</v>
      </c>
      <c r="Y438" s="80" t="s">
        <v>112</v>
      </c>
      <c r="Z438" s="80" t="s">
        <v>112</v>
      </c>
      <c r="AA438" s="80" t="s">
        <v>112</v>
      </c>
      <c r="AB438" s="80" t="s">
        <v>112</v>
      </c>
      <c r="AC438" s="80" t="s">
        <v>112</v>
      </c>
      <c r="AD438" s="80" t="s">
        <v>112</v>
      </c>
      <c r="AE438" s="80">
        <v>0.25785375000000005</v>
      </c>
      <c r="AF438" s="80">
        <v>0.25785375000000005</v>
      </c>
      <c r="AG438" s="80">
        <v>0.25785375000000005</v>
      </c>
      <c r="AH438" s="80">
        <v>0.25785375000000005</v>
      </c>
      <c r="AI438" s="80">
        <v>0.25785375000000005</v>
      </c>
      <c r="AJ438" s="80">
        <v>0.25785375000000005</v>
      </c>
      <c r="AK438" s="80">
        <v>0.25785375000000005</v>
      </c>
      <c r="AL438" s="80">
        <v>0.25785375000000005</v>
      </c>
      <c r="AM438" s="80">
        <v>0.25785375000000005</v>
      </c>
      <c r="AN438" s="80">
        <v>0.25785375000000005</v>
      </c>
      <c r="AO438" s="80">
        <v>0.25785375000000005</v>
      </c>
      <c r="AP438" s="80">
        <v>0.25785375000000005</v>
      </c>
      <c r="AQ438" s="80">
        <v>0.25785375000000005</v>
      </c>
      <c r="AR438" s="80">
        <v>0.25785375000000005</v>
      </c>
      <c r="AS438" s="80">
        <v>0.25785375000000005</v>
      </c>
      <c r="AT438" s="80">
        <v>0.25785375000000005</v>
      </c>
      <c r="AU438" s="80">
        <v>0.25785375000000005</v>
      </c>
      <c r="AV438" s="80">
        <v>0.25785375000000005</v>
      </c>
      <c r="AW438" s="80">
        <v>0.25785375000000005</v>
      </c>
      <c r="AX438" s="88">
        <v>0.25785375000000005</v>
      </c>
    </row>
    <row r="439" spans="1:50" x14ac:dyDescent="0.25">
      <c r="A439" s="356"/>
      <c r="B439" s="358" t="s">
        <v>19</v>
      </c>
      <c r="C439" s="353" t="s">
        <v>6</v>
      </c>
      <c r="D439" s="3" t="s">
        <v>7</v>
      </c>
      <c r="E439" s="162" t="str">
        <f>A413&amp;"/"&amp;B439&amp;"/"&amp;C439&amp;"/"&amp;D439</f>
        <v>Coal fired power plants/Steam turbine/Electricity only/L</v>
      </c>
      <c r="F439" s="77" t="str">
        <f>A413</f>
        <v>Coal fired power plants</v>
      </c>
      <c r="G439" s="77" t="str">
        <f>B439</f>
        <v>Steam turbine</v>
      </c>
      <c r="H439" s="77" t="str">
        <f>C439</f>
        <v>Electricity only</v>
      </c>
      <c r="I439" s="163" t="str">
        <f t="shared" si="83"/>
        <v>L</v>
      </c>
      <c r="J439" s="77">
        <v>5.8000000000000003E-2</v>
      </c>
      <c r="K439" s="77">
        <v>5.8000000000000003E-2</v>
      </c>
      <c r="L439" s="77">
        <v>5.8000000000000003E-2</v>
      </c>
      <c r="M439" s="77">
        <v>5.8000000000000003E-2</v>
      </c>
      <c r="N439" s="77">
        <v>5.8000000000000003E-2</v>
      </c>
      <c r="O439" s="77">
        <v>5.8000000000000003E-2</v>
      </c>
      <c r="P439" s="77">
        <v>5.8000000000000003E-2</v>
      </c>
      <c r="Q439" s="77">
        <v>5.8000000000000003E-2</v>
      </c>
      <c r="R439" s="77">
        <v>5.8000000000000003E-2</v>
      </c>
      <c r="S439" s="77">
        <v>5.8000000000000003E-2</v>
      </c>
      <c r="T439" s="77">
        <v>5.8000000000000003E-2</v>
      </c>
      <c r="U439" s="77">
        <v>5.8000000000000003E-2</v>
      </c>
      <c r="V439" s="77">
        <v>5.8000000000000003E-2</v>
      </c>
      <c r="W439" s="77">
        <v>5.8000000000000003E-2</v>
      </c>
      <c r="X439" s="77">
        <v>5.8000000000000003E-2</v>
      </c>
      <c r="Y439" s="77">
        <v>5.8000000000000003E-2</v>
      </c>
      <c r="Z439" s="77">
        <v>5.8000000000000003E-2</v>
      </c>
      <c r="AA439" s="77">
        <v>5.8000000000000003E-2</v>
      </c>
      <c r="AB439" s="77">
        <v>5.8000000000000003E-2</v>
      </c>
      <c r="AC439" s="77">
        <v>5.8000000000000003E-2</v>
      </c>
      <c r="AD439" s="77">
        <v>5.8000000000000003E-2</v>
      </c>
      <c r="AE439" s="77">
        <v>5.8000000000000003E-2</v>
      </c>
      <c r="AF439" s="77">
        <v>5.8000000000000003E-2</v>
      </c>
      <c r="AG439" s="77">
        <v>5.8000000000000003E-2</v>
      </c>
      <c r="AH439" s="77">
        <v>5.8000000000000003E-2</v>
      </c>
      <c r="AI439" s="77">
        <v>5.8000000000000003E-2</v>
      </c>
      <c r="AJ439" s="77">
        <v>5.8000000000000003E-2</v>
      </c>
      <c r="AK439" s="77">
        <v>5.8000000000000003E-2</v>
      </c>
      <c r="AL439" s="77">
        <v>5.8000000000000003E-2</v>
      </c>
      <c r="AM439" s="77">
        <v>5.8000000000000003E-2</v>
      </c>
      <c r="AN439" s="77">
        <v>5.8000000000000003E-2</v>
      </c>
      <c r="AO439" s="77">
        <v>5.8000000000000003E-2</v>
      </c>
      <c r="AP439" s="77">
        <v>5.8000000000000003E-2</v>
      </c>
      <c r="AQ439" s="77">
        <v>5.8000000000000003E-2</v>
      </c>
      <c r="AR439" s="77">
        <v>5.8000000000000003E-2</v>
      </c>
      <c r="AS439" s="77">
        <v>5.8000000000000003E-2</v>
      </c>
      <c r="AT439" s="77">
        <v>5.8000000000000003E-2</v>
      </c>
      <c r="AU439" s="77">
        <v>5.8000000000000003E-2</v>
      </c>
      <c r="AV439" s="77">
        <v>5.8000000000000003E-2</v>
      </c>
      <c r="AW439" s="77">
        <v>5.8000000000000003E-2</v>
      </c>
      <c r="AX439" s="85">
        <v>5.8000000000000003E-2</v>
      </c>
    </row>
    <row r="440" spans="1:50" x14ac:dyDescent="0.25">
      <c r="A440" s="356"/>
      <c r="B440" s="359"/>
      <c r="C440" s="350"/>
      <c r="D440" s="2" t="s">
        <v>8</v>
      </c>
      <c r="E440" s="160" t="str">
        <f>A413&amp;"/"&amp;B439&amp;"/"&amp;C439&amp;"/"&amp;D440</f>
        <v>Coal fired power plants/Steam turbine/Electricity only/M</v>
      </c>
      <c r="F440" s="76" t="str">
        <f>A413</f>
        <v>Coal fired power plants</v>
      </c>
      <c r="G440" s="76" t="str">
        <f>B439</f>
        <v>Steam turbine</v>
      </c>
      <c r="H440" s="76" t="str">
        <f>C439</f>
        <v>Electricity only</v>
      </c>
      <c r="I440" s="161" t="str">
        <f t="shared" si="83"/>
        <v>M</v>
      </c>
      <c r="J440" s="76">
        <v>6.0900000000000003E-2</v>
      </c>
      <c r="K440" s="76">
        <v>6.0900000000000003E-2</v>
      </c>
      <c r="L440" s="76">
        <v>6.0900000000000003E-2</v>
      </c>
      <c r="M440" s="76">
        <v>6.0900000000000003E-2</v>
      </c>
      <c r="N440" s="76">
        <v>6.0900000000000003E-2</v>
      </c>
      <c r="O440" s="76">
        <v>6.0900000000000003E-2</v>
      </c>
      <c r="P440" s="76">
        <v>6.0900000000000003E-2</v>
      </c>
      <c r="Q440" s="76">
        <v>6.0900000000000003E-2</v>
      </c>
      <c r="R440" s="76">
        <v>6.0900000000000003E-2</v>
      </c>
      <c r="S440" s="76">
        <v>6.0900000000000003E-2</v>
      </c>
      <c r="T440" s="76">
        <v>6.0900000000000003E-2</v>
      </c>
      <c r="U440" s="76">
        <v>6.0900000000000003E-2</v>
      </c>
      <c r="V440" s="76">
        <v>6.0900000000000003E-2</v>
      </c>
      <c r="W440" s="76">
        <v>6.0900000000000003E-2</v>
      </c>
      <c r="X440" s="76">
        <v>6.0900000000000003E-2</v>
      </c>
      <c r="Y440" s="76">
        <v>6.0900000000000003E-2</v>
      </c>
      <c r="Z440" s="76">
        <v>6.0900000000000003E-2</v>
      </c>
      <c r="AA440" s="76">
        <v>6.0900000000000003E-2</v>
      </c>
      <c r="AB440" s="76">
        <v>6.0900000000000003E-2</v>
      </c>
      <c r="AC440" s="76">
        <v>6.0900000000000003E-2</v>
      </c>
      <c r="AD440" s="76">
        <v>6.0900000000000003E-2</v>
      </c>
      <c r="AE440" s="76">
        <v>6.0900000000000003E-2</v>
      </c>
      <c r="AF440" s="76">
        <v>6.0900000000000003E-2</v>
      </c>
      <c r="AG440" s="76">
        <v>6.0900000000000003E-2</v>
      </c>
      <c r="AH440" s="76">
        <v>6.0900000000000003E-2</v>
      </c>
      <c r="AI440" s="76">
        <v>6.0900000000000003E-2</v>
      </c>
      <c r="AJ440" s="76">
        <v>6.0900000000000003E-2</v>
      </c>
      <c r="AK440" s="76">
        <v>6.0900000000000003E-2</v>
      </c>
      <c r="AL440" s="76">
        <v>6.0900000000000003E-2</v>
      </c>
      <c r="AM440" s="76">
        <v>6.0900000000000003E-2</v>
      </c>
      <c r="AN440" s="76">
        <v>6.0900000000000003E-2</v>
      </c>
      <c r="AO440" s="76">
        <v>6.0900000000000003E-2</v>
      </c>
      <c r="AP440" s="76">
        <v>6.0900000000000003E-2</v>
      </c>
      <c r="AQ440" s="76">
        <v>6.0900000000000003E-2</v>
      </c>
      <c r="AR440" s="76">
        <v>6.0900000000000003E-2</v>
      </c>
      <c r="AS440" s="76">
        <v>6.0900000000000003E-2</v>
      </c>
      <c r="AT440" s="76">
        <v>6.0900000000000003E-2</v>
      </c>
      <c r="AU440" s="76">
        <v>6.0900000000000003E-2</v>
      </c>
      <c r="AV440" s="76">
        <v>6.0900000000000003E-2</v>
      </c>
      <c r="AW440" s="76">
        <v>6.0900000000000003E-2</v>
      </c>
      <c r="AX440" s="84">
        <v>6.0900000000000003E-2</v>
      </c>
    </row>
    <row r="441" spans="1:50" x14ac:dyDescent="0.25">
      <c r="A441" s="356"/>
      <c r="B441" s="359"/>
      <c r="C441" s="350"/>
      <c r="D441" s="2" t="s">
        <v>10</v>
      </c>
      <c r="E441" s="160" t="str">
        <f>A413&amp;"/"&amp;B439&amp;"/"&amp;C439&amp;"/"&amp;D441</f>
        <v>Coal fired power plants/Steam turbine/Electricity only/S</v>
      </c>
      <c r="F441" s="76" t="str">
        <f>A413</f>
        <v>Coal fired power plants</v>
      </c>
      <c r="G441" s="76" t="str">
        <f>B439</f>
        <v>Steam turbine</v>
      </c>
      <c r="H441" s="76" t="str">
        <f>C439</f>
        <v>Electricity only</v>
      </c>
      <c r="I441" s="161" t="str">
        <f t="shared" si="83"/>
        <v>S</v>
      </c>
      <c r="J441" s="76">
        <v>6.3945000000000002E-2</v>
      </c>
      <c r="K441" s="76">
        <v>6.3945000000000002E-2</v>
      </c>
      <c r="L441" s="76">
        <v>6.3945000000000002E-2</v>
      </c>
      <c r="M441" s="76">
        <v>6.3945000000000002E-2</v>
      </c>
      <c r="N441" s="76">
        <v>6.3945000000000002E-2</v>
      </c>
      <c r="O441" s="76">
        <v>6.3945000000000002E-2</v>
      </c>
      <c r="P441" s="76">
        <v>6.3945000000000002E-2</v>
      </c>
      <c r="Q441" s="76">
        <v>6.3945000000000002E-2</v>
      </c>
      <c r="R441" s="76">
        <v>6.3945000000000002E-2</v>
      </c>
      <c r="S441" s="76">
        <v>6.3945000000000002E-2</v>
      </c>
      <c r="T441" s="76">
        <v>6.3945000000000002E-2</v>
      </c>
      <c r="U441" s="76">
        <v>6.3945000000000002E-2</v>
      </c>
      <c r="V441" s="76">
        <v>6.3945000000000002E-2</v>
      </c>
      <c r="W441" s="76">
        <v>6.3945000000000002E-2</v>
      </c>
      <c r="X441" s="76">
        <v>6.3945000000000002E-2</v>
      </c>
      <c r="Y441" s="76">
        <v>6.3945000000000002E-2</v>
      </c>
      <c r="Z441" s="76">
        <v>6.3945000000000002E-2</v>
      </c>
      <c r="AA441" s="76">
        <v>6.3945000000000002E-2</v>
      </c>
      <c r="AB441" s="76">
        <v>6.3945000000000002E-2</v>
      </c>
      <c r="AC441" s="76">
        <v>6.3945000000000002E-2</v>
      </c>
      <c r="AD441" s="76">
        <v>6.3945000000000002E-2</v>
      </c>
      <c r="AE441" s="76">
        <v>6.3945000000000002E-2</v>
      </c>
      <c r="AF441" s="76">
        <v>6.3945000000000002E-2</v>
      </c>
      <c r="AG441" s="76">
        <v>6.3945000000000002E-2</v>
      </c>
      <c r="AH441" s="76">
        <v>6.3945000000000002E-2</v>
      </c>
      <c r="AI441" s="76">
        <v>6.3945000000000002E-2</v>
      </c>
      <c r="AJ441" s="76">
        <v>6.3945000000000002E-2</v>
      </c>
      <c r="AK441" s="76">
        <v>6.3945000000000002E-2</v>
      </c>
      <c r="AL441" s="76">
        <v>6.3945000000000002E-2</v>
      </c>
      <c r="AM441" s="76">
        <v>6.3945000000000002E-2</v>
      </c>
      <c r="AN441" s="76">
        <v>6.3945000000000002E-2</v>
      </c>
      <c r="AO441" s="76">
        <v>6.3945000000000002E-2</v>
      </c>
      <c r="AP441" s="76">
        <v>6.3945000000000002E-2</v>
      </c>
      <c r="AQ441" s="76">
        <v>6.3945000000000002E-2</v>
      </c>
      <c r="AR441" s="76">
        <v>6.3945000000000002E-2</v>
      </c>
      <c r="AS441" s="76">
        <v>6.3945000000000002E-2</v>
      </c>
      <c r="AT441" s="76">
        <v>6.3945000000000002E-2</v>
      </c>
      <c r="AU441" s="76">
        <v>6.3945000000000002E-2</v>
      </c>
      <c r="AV441" s="76">
        <v>6.3945000000000002E-2</v>
      </c>
      <c r="AW441" s="76">
        <v>6.3945000000000002E-2</v>
      </c>
      <c r="AX441" s="84">
        <v>6.3945000000000002E-2</v>
      </c>
    </row>
    <row r="442" spans="1:50" x14ac:dyDescent="0.25">
      <c r="A442" s="356"/>
      <c r="B442" s="359"/>
      <c r="C442" s="360"/>
      <c r="D442" s="2" t="s">
        <v>20</v>
      </c>
      <c r="E442" s="160" t="str">
        <f>A413&amp;"/"&amp;B439&amp;"/"&amp;C439&amp;"/"&amp;D442</f>
        <v>Coal fired power plants/Steam turbine/Electricity only/XS</v>
      </c>
      <c r="F442" s="76" t="str">
        <f>A413</f>
        <v>Coal fired power plants</v>
      </c>
      <c r="G442" s="76" t="str">
        <f>B439</f>
        <v>Steam turbine</v>
      </c>
      <c r="H442" s="76" t="str">
        <f>C439</f>
        <v>Electricity only</v>
      </c>
      <c r="I442" s="161" t="str">
        <f t="shared" si="83"/>
        <v>XS</v>
      </c>
      <c r="J442" s="76">
        <v>6.7142250000000001E-2</v>
      </c>
      <c r="K442" s="76">
        <v>6.7142250000000001E-2</v>
      </c>
      <c r="L442" s="76">
        <v>6.7142250000000001E-2</v>
      </c>
      <c r="M442" s="76">
        <v>6.7142250000000001E-2</v>
      </c>
      <c r="N442" s="76">
        <v>6.7142250000000001E-2</v>
      </c>
      <c r="O442" s="76">
        <v>6.7142250000000001E-2</v>
      </c>
      <c r="P442" s="76">
        <v>6.7142250000000001E-2</v>
      </c>
      <c r="Q442" s="76">
        <v>6.7142250000000001E-2</v>
      </c>
      <c r="R442" s="76">
        <v>6.7142250000000001E-2</v>
      </c>
      <c r="S442" s="76">
        <v>6.7142250000000001E-2</v>
      </c>
      <c r="T442" s="76">
        <v>6.7142250000000001E-2</v>
      </c>
      <c r="U442" s="76">
        <v>6.7142250000000001E-2</v>
      </c>
      <c r="V442" s="76">
        <v>6.7142250000000001E-2</v>
      </c>
      <c r="W442" s="76">
        <v>6.7142250000000001E-2</v>
      </c>
      <c r="X442" s="76">
        <v>6.7142250000000001E-2</v>
      </c>
      <c r="Y442" s="76">
        <v>6.7142250000000001E-2</v>
      </c>
      <c r="Z442" s="76">
        <v>6.7142250000000001E-2</v>
      </c>
      <c r="AA442" s="76">
        <v>6.7142250000000001E-2</v>
      </c>
      <c r="AB442" s="76">
        <v>6.7142250000000001E-2</v>
      </c>
      <c r="AC442" s="76">
        <v>6.7142250000000001E-2</v>
      </c>
      <c r="AD442" s="76">
        <v>6.7142250000000001E-2</v>
      </c>
      <c r="AE442" s="76">
        <v>6.7142250000000001E-2</v>
      </c>
      <c r="AF442" s="76">
        <v>6.7142250000000001E-2</v>
      </c>
      <c r="AG442" s="76">
        <v>6.7142250000000001E-2</v>
      </c>
      <c r="AH442" s="76">
        <v>6.7142250000000001E-2</v>
      </c>
      <c r="AI442" s="76">
        <v>6.7142250000000001E-2</v>
      </c>
      <c r="AJ442" s="76">
        <v>6.7142250000000001E-2</v>
      </c>
      <c r="AK442" s="76">
        <v>6.7142250000000001E-2</v>
      </c>
      <c r="AL442" s="76">
        <v>6.7142250000000001E-2</v>
      </c>
      <c r="AM442" s="76">
        <v>6.7142250000000001E-2</v>
      </c>
      <c r="AN442" s="76">
        <v>6.7142250000000001E-2</v>
      </c>
      <c r="AO442" s="76">
        <v>6.7142250000000001E-2</v>
      </c>
      <c r="AP442" s="76">
        <v>6.7142250000000001E-2</v>
      </c>
      <c r="AQ442" s="76">
        <v>6.7142250000000001E-2</v>
      </c>
      <c r="AR442" s="76">
        <v>6.7142250000000001E-2</v>
      </c>
      <c r="AS442" s="76">
        <v>6.7142250000000001E-2</v>
      </c>
      <c r="AT442" s="76">
        <v>6.7142250000000001E-2</v>
      </c>
      <c r="AU442" s="76">
        <v>6.7142250000000001E-2</v>
      </c>
      <c r="AV442" s="76">
        <v>6.7142250000000001E-2</v>
      </c>
      <c r="AW442" s="76">
        <v>6.7142250000000001E-2</v>
      </c>
      <c r="AX442" s="84">
        <v>6.7142250000000001E-2</v>
      </c>
    </row>
    <row r="443" spans="1:50" x14ac:dyDescent="0.25">
      <c r="A443" s="356"/>
      <c r="B443" s="359"/>
      <c r="C443" s="361" t="s">
        <v>14</v>
      </c>
      <c r="D443" s="58" t="s">
        <v>7</v>
      </c>
      <c r="E443" s="164" t="str">
        <f>A413&amp;"/"&amp;B439&amp;"/"&amp;C443&amp;"/"&amp;D443</f>
        <v>Coal fired power plants/Steam turbine/CHP/L</v>
      </c>
      <c r="F443" s="78" t="str">
        <f>A413</f>
        <v>Coal fired power plants</v>
      </c>
      <c r="G443" s="78" t="str">
        <f>B439</f>
        <v>Steam turbine</v>
      </c>
      <c r="H443" s="78" t="str">
        <f>C443</f>
        <v>CHP</v>
      </c>
      <c r="I443" s="165" t="str">
        <f t="shared" si="83"/>
        <v>L</v>
      </c>
      <c r="J443" s="78">
        <v>6.3800000000000009E-2</v>
      </c>
      <c r="K443" s="78">
        <v>6.3800000000000009E-2</v>
      </c>
      <c r="L443" s="78">
        <v>6.3800000000000009E-2</v>
      </c>
      <c r="M443" s="78">
        <v>6.3800000000000009E-2</v>
      </c>
      <c r="N443" s="78">
        <v>6.3800000000000009E-2</v>
      </c>
      <c r="O443" s="78">
        <v>6.3800000000000009E-2</v>
      </c>
      <c r="P443" s="78">
        <v>6.3800000000000009E-2</v>
      </c>
      <c r="Q443" s="78">
        <v>6.3800000000000009E-2</v>
      </c>
      <c r="R443" s="78">
        <v>6.3800000000000009E-2</v>
      </c>
      <c r="S443" s="78">
        <v>6.3800000000000009E-2</v>
      </c>
      <c r="T443" s="78">
        <v>6.3800000000000009E-2</v>
      </c>
      <c r="U443" s="78">
        <v>6.3800000000000009E-2</v>
      </c>
      <c r="V443" s="78">
        <v>6.3800000000000009E-2</v>
      </c>
      <c r="W443" s="78">
        <v>6.3800000000000009E-2</v>
      </c>
      <c r="X443" s="78">
        <v>6.3800000000000009E-2</v>
      </c>
      <c r="Y443" s="78">
        <v>6.3800000000000009E-2</v>
      </c>
      <c r="Z443" s="78">
        <v>6.3800000000000009E-2</v>
      </c>
      <c r="AA443" s="78">
        <v>6.3800000000000009E-2</v>
      </c>
      <c r="AB443" s="78">
        <v>6.3800000000000009E-2</v>
      </c>
      <c r="AC443" s="78">
        <v>6.3800000000000009E-2</v>
      </c>
      <c r="AD443" s="78">
        <v>6.3800000000000009E-2</v>
      </c>
      <c r="AE443" s="78">
        <v>6.3800000000000009E-2</v>
      </c>
      <c r="AF443" s="78">
        <v>6.3800000000000009E-2</v>
      </c>
      <c r="AG443" s="78">
        <v>6.3800000000000009E-2</v>
      </c>
      <c r="AH443" s="78">
        <v>6.3800000000000009E-2</v>
      </c>
      <c r="AI443" s="78">
        <v>6.3800000000000009E-2</v>
      </c>
      <c r="AJ443" s="78">
        <v>6.3800000000000009E-2</v>
      </c>
      <c r="AK443" s="78">
        <v>6.3800000000000009E-2</v>
      </c>
      <c r="AL443" s="78">
        <v>6.3800000000000009E-2</v>
      </c>
      <c r="AM443" s="78">
        <v>6.3800000000000009E-2</v>
      </c>
      <c r="AN443" s="78">
        <v>6.3800000000000009E-2</v>
      </c>
      <c r="AO443" s="78">
        <v>6.3800000000000009E-2</v>
      </c>
      <c r="AP443" s="78">
        <v>6.3800000000000009E-2</v>
      </c>
      <c r="AQ443" s="78">
        <v>6.3800000000000009E-2</v>
      </c>
      <c r="AR443" s="78">
        <v>6.3800000000000009E-2</v>
      </c>
      <c r="AS443" s="78">
        <v>6.3800000000000009E-2</v>
      </c>
      <c r="AT443" s="78">
        <v>6.3800000000000009E-2</v>
      </c>
      <c r="AU443" s="78">
        <v>6.3800000000000009E-2</v>
      </c>
      <c r="AV443" s="78">
        <v>6.3800000000000009E-2</v>
      </c>
      <c r="AW443" s="78">
        <v>6.3800000000000009E-2</v>
      </c>
      <c r="AX443" s="86">
        <v>6.3800000000000009E-2</v>
      </c>
    </row>
    <row r="444" spans="1:50" x14ac:dyDescent="0.25">
      <c r="A444" s="356"/>
      <c r="B444" s="359"/>
      <c r="C444" s="350"/>
      <c r="D444" s="2" t="s">
        <v>8</v>
      </c>
      <c r="E444" s="160" t="str">
        <f>A413&amp;"/"&amp;B439&amp;"/"&amp;C443&amp;"/"&amp;D444</f>
        <v>Coal fired power plants/Steam turbine/CHP/M</v>
      </c>
      <c r="F444" s="76" t="str">
        <f>A413</f>
        <v>Coal fired power plants</v>
      </c>
      <c r="G444" s="76" t="str">
        <f>B439</f>
        <v>Steam turbine</v>
      </c>
      <c r="H444" s="76" t="str">
        <f>C443</f>
        <v>CHP</v>
      </c>
      <c r="I444" s="161" t="str">
        <f t="shared" si="83"/>
        <v>M</v>
      </c>
      <c r="J444" s="76">
        <v>6.6990000000000008E-2</v>
      </c>
      <c r="K444" s="76">
        <v>6.6990000000000008E-2</v>
      </c>
      <c r="L444" s="76">
        <v>6.6990000000000008E-2</v>
      </c>
      <c r="M444" s="76">
        <v>6.6990000000000008E-2</v>
      </c>
      <c r="N444" s="76">
        <v>6.6990000000000008E-2</v>
      </c>
      <c r="O444" s="76">
        <v>6.6990000000000008E-2</v>
      </c>
      <c r="P444" s="76">
        <v>6.6990000000000008E-2</v>
      </c>
      <c r="Q444" s="76">
        <v>6.6990000000000008E-2</v>
      </c>
      <c r="R444" s="76">
        <v>6.6990000000000008E-2</v>
      </c>
      <c r="S444" s="76">
        <v>6.6990000000000008E-2</v>
      </c>
      <c r="T444" s="76">
        <v>6.6990000000000008E-2</v>
      </c>
      <c r="U444" s="76">
        <v>6.6990000000000008E-2</v>
      </c>
      <c r="V444" s="76">
        <v>6.6990000000000008E-2</v>
      </c>
      <c r="W444" s="76">
        <v>6.6990000000000008E-2</v>
      </c>
      <c r="X444" s="76">
        <v>6.6990000000000008E-2</v>
      </c>
      <c r="Y444" s="76">
        <v>6.6990000000000008E-2</v>
      </c>
      <c r="Z444" s="76">
        <v>6.6990000000000008E-2</v>
      </c>
      <c r="AA444" s="76">
        <v>6.6990000000000008E-2</v>
      </c>
      <c r="AB444" s="76">
        <v>6.6990000000000008E-2</v>
      </c>
      <c r="AC444" s="76">
        <v>6.6990000000000008E-2</v>
      </c>
      <c r="AD444" s="76">
        <v>6.6990000000000008E-2</v>
      </c>
      <c r="AE444" s="76">
        <v>6.6990000000000008E-2</v>
      </c>
      <c r="AF444" s="76">
        <v>6.6990000000000008E-2</v>
      </c>
      <c r="AG444" s="76">
        <v>6.6990000000000008E-2</v>
      </c>
      <c r="AH444" s="76">
        <v>6.6990000000000008E-2</v>
      </c>
      <c r="AI444" s="76">
        <v>6.6990000000000008E-2</v>
      </c>
      <c r="AJ444" s="76">
        <v>6.6990000000000008E-2</v>
      </c>
      <c r="AK444" s="76">
        <v>6.6990000000000008E-2</v>
      </c>
      <c r="AL444" s="76">
        <v>6.6990000000000008E-2</v>
      </c>
      <c r="AM444" s="76">
        <v>6.6990000000000008E-2</v>
      </c>
      <c r="AN444" s="76">
        <v>6.6990000000000008E-2</v>
      </c>
      <c r="AO444" s="76">
        <v>6.6990000000000008E-2</v>
      </c>
      <c r="AP444" s="76">
        <v>6.6990000000000008E-2</v>
      </c>
      <c r="AQ444" s="76">
        <v>6.6990000000000008E-2</v>
      </c>
      <c r="AR444" s="76">
        <v>6.6990000000000008E-2</v>
      </c>
      <c r="AS444" s="76">
        <v>6.6990000000000008E-2</v>
      </c>
      <c r="AT444" s="76">
        <v>6.6990000000000008E-2</v>
      </c>
      <c r="AU444" s="76">
        <v>6.6990000000000008E-2</v>
      </c>
      <c r="AV444" s="76">
        <v>6.6990000000000008E-2</v>
      </c>
      <c r="AW444" s="76">
        <v>6.6990000000000008E-2</v>
      </c>
      <c r="AX444" s="84">
        <v>6.6990000000000008E-2</v>
      </c>
    </row>
    <row r="445" spans="1:50" x14ac:dyDescent="0.25">
      <c r="A445" s="356"/>
      <c r="B445" s="359"/>
      <c r="C445" s="350"/>
      <c r="D445" s="2" t="s">
        <v>10</v>
      </c>
      <c r="E445" s="160" t="str">
        <f>A413&amp;"/"&amp;B439&amp;"/"&amp;C443&amp;"/"&amp;D445</f>
        <v>Coal fired power plants/Steam turbine/CHP/S</v>
      </c>
      <c r="F445" s="76" t="str">
        <f>A413</f>
        <v>Coal fired power plants</v>
      </c>
      <c r="G445" s="76" t="str">
        <f>B439</f>
        <v>Steam turbine</v>
      </c>
      <c r="H445" s="76" t="str">
        <f>C443</f>
        <v>CHP</v>
      </c>
      <c r="I445" s="161" t="str">
        <f t="shared" si="83"/>
        <v>S</v>
      </c>
      <c r="J445" s="76">
        <v>7.0339500000000013E-2</v>
      </c>
      <c r="K445" s="76">
        <v>7.0339500000000013E-2</v>
      </c>
      <c r="L445" s="76">
        <v>7.0339500000000013E-2</v>
      </c>
      <c r="M445" s="76">
        <v>7.0339500000000013E-2</v>
      </c>
      <c r="N445" s="76">
        <v>7.0339500000000013E-2</v>
      </c>
      <c r="O445" s="76">
        <v>7.0339500000000013E-2</v>
      </c>
      <c r="P445" s="76">
        <v>7.0339500000000013E-2</v>
      </c>
      <c r="Q445" s="76">
        <v>7.0339500000000013E-2</v>
      </c>
      <c r="R445" s="76">
        <v>7.0339500000000013E-2</v>
      </c>
      <c r="S445" s="76">
        <v>7.0339500000000013E-2</v>
      </c>
      <c r="T445" s="76">
        <v>7.0339500000000013E-2</v>
      </c>
      <c r="U445" s="76">
        <v>7.0339500000000013E-2</v>
      </c>
      <c r="V445" s="76">
        <v>7.0339500000000013E-2</v>
      </c>
      <c r="W445" s="76">
        <v>7.0339500000000013E-2</v>
      </c>
      <c r="X445" s="76">
        <v>7.0339500000000013E-2</v>
      </c>
      <c r="Y445" s="76">
        <v>7.0339500000000013E-2</v>
      </c>
      <c r="Z445" s="76">
        <v>7.0339500000000013E-2</v>
      </c>
      <c r="AA445" s="76">
        <v>7.0339500000000013E-2</v>
      </c>
      <c r="AB445" s="76">
        <v>7.0339500000000013E-2</v>
      </c>
      <c r="AC445" s="76">
        <v>7.0339500000000013E-2</v>
      </c>
      <c r="AD445" s="76">
        <v>7.0339500000000013E-2</v>
      </c>
      <c r="AE445" s="76">
        <v>7.0339500000000013E-2</v>
      </c>
      <c r="AF445" s="76">
        <v>7.0339500000000013E-2</v>
      </c>
      <c r="AG445" s="76">
        <v>7.0339500000000013E-2</v>
      </c>
      <c r="AH445" s="76">
        <v>7.0339500000000013E-2</v>
      </c>
      <c r="AI445" s="76">
        <v>7.0339500000000013E-2</v>
      </c>
      <c r="AJ445" s="76">
        <v>7.0339500000000013E-2</v>
      </c>
      <c r="AK445" s="76">
        <v>7.0339500000000013E-2</v>
      </c>
      <c r="AL445" s="76">
        <v>7.0339500000000013E-2</v>
      </c>
      <c r="AM445" s="76">
        <v>7.0339500000000013E-2</v>
      </c>
      <c r="AN445" s="76">
        <v>7.0339500000000013E-2</v>
      </c>
      <c r="AO445" s="76">
        <v>7.0339500000000013E-2</v>
      </c>
      <c r="AP445" s="76">
        <v>7.0339500000000013E-2</v>
      </c>
      <c r="AQ445" s="76">
        <v>7.0339500000000013E-2</v>
      </c>
      <c r="AR445" s="76">
        <v>7.0339500000000013E-2</v>
      </c>
      <c r="AS445" s="76">
        <v>7.0339500000000013E-2</v>
      </c>
      <c r="AT445" s="76">
        <v>7.0339500000000013E-2</v>
      </c>
      <c r="AU445" s="76">
        <v>7.0339500000000013E-2</v>
      </c>
      <c r="AV445" s="76">
        <v>7.0339500000000013E-2</v>
      </c>
      <c r="AW445" s="76">
        <v>7.0339500000000013E-2</v>
      </c>
      <c r="AX445" s="84">
        <v>7.0339500000000013E-2</v>
      </c>
    </row>
    <row r="446" spans="1:50" x14ac:dyDescent="0.25">
      <c r="A446" s="356"/>
      <c r="B446" s="359"/>
      <c r="C446" s="360"/>
      <c r="D446" s="59" t="s">
        <v>20</v>
      </c>
      <c r="E446" s="166" t="str">
        <f>A413&amp;"/"&amp;B439&amp;"/"&amp;C443&amp;"/"&amp;D446</f>
        <v>Coal fired power plants/Steam turbine/CHP/XS</v>
      </c>
      <c r="F446" s="79" t="str">
        <f>A413</f>
        <v>Coal fired power plants</v>
      </c>
      <c r="G446" s="79" t="str">
        <f>B439</f>
        <v>Steam turbine</v>
      </c>
      <c r="H446" s="79" t="str">
        <f>C443</f>
        <v>CHP</v>
      </c>
      <c r="I446" s="167" t="str">
        <f t="shared" si="83"/>
        <v>XS</v>
      </c>
      <c r="J446" s="79">
        <v>7.3856475000000005E-2</v>
      </c>
      <c r="K446" s="79">
        <v>7.3856475000000005E-2</v>
      </c>
      <c r="L446" s="79">
        <v>7.3856475000000005E-2</v>
      </c>
      <c r="M446" s="79">
        <v>7.3856475000000005E-2</v>
      </c>
      <c r="N446" s="79">
        <v>7.3856475000000005E-2</v>
      </c>
      <c r="O446" s="79">
        <v>7.3856475000000005E-2</v>
      </c>
      <c r="P446" s="79">
        <v>7.3856475000000005E-2</v>
      </c>
      <c r="Q446" s="79">
        <v>7.3856475000000005E-2</v>
      </c>
      <c r="R446" s="79">
        <v>7.3856475000000005E-2</v>
      </c>
      <c r="S446" s="79">
        <v>7.3856475000000005E-2</v>
      </c>
      <c r="T446" s="79">
        <v>7.3856475000000005E-2</v>
      </c>
      <c r="U446" s="79">
        <v>7.3856475000000005E-2</v>
      </c>
      <c r="V446" s="79">
        <v>7.3856475000000005E-2</v>
      </c>
      <c r="W446" s="79">
        <v>7.3856475000000005E-2</v>
      </c>
      <c r="X446" s="79">
        <v>7.3856475000000005E-2</v>
      </c>
      <c r="Y446" s="79">
        <v>7.3856475000000005E-2</v>
      </c>
      <c r="Z446" s="79">
        <v>7.3856475000000005E-2</v>
      </c>
      <c r="AA446" s="79">
        <v>7.3856475000000005E-2</v>
      </c>
      <c r="AB446" s="79">
        <v>7.3856475000000005E-2</v>
      </c>
      <c r="AC446" s="79">
        <v>7.3856475000000005E-2</v>
      </c>
      <c r="AD446" s="79">
        <v>7.3856475000000005E-2</v>
      </c>
      <c r="AE446" s="79">
        <v>7.3856475000000005E-2</v>
      </c>
      <c r="AF446" s="79">
        <v>7.3856475000000005E-2</v>
      </c>
      <c r="AG446" s="79">
        <v>7.3856475000000005E-2</v>
      </c>
      <c r="AH446" s="79">
        <v>7.3856475000000005E-2</v>
      </c>
      <c r="AI446" s="79">
        <v>7.3856475000000005E-2</v>
      </c>
      <c r="AJ446" s="79">
        <v>7.3856475000000005E-2</v>
      </c>
      <c r="AK446" s="79">
        <v>7.3856475000000005E-2</v>
      </c>
      <c r="AL446" s="79">
        <v>7.3856475000000005E-2</v>
      </c>
      <c r="AM446" s="79">
        <v>7.3856475000000005E-2</v>
      </c>
      <c r="AN446" s="79">
        <v>7.3856475000000005E-2</v>
      </c>
      <c r="AO446" s="79">
        <v>7.3856475000000005E-2</v>
      </c>
      <c r="AP446" s="79">
        <v>7.3856475000000005E-2</v>
      </c>
      <c r="AQ446" s="79">
        <v>7.3856475000000005E-2</v>
      </c>
      <c r="AR446" s="79">
        <v>7.3856475000000005E-2</v>
      </c>
      <c r="AS446" s="79">
        <v>7.3856475000000005E-2</v>
      </c>
      <c r="AT446" s="79">
        <v>7.3856475000000005E-2</v>
      </c>
      <c r="AU446" s="79">
        <v>7.3856475000000005E-2</v>
      </c>
      <c r="AV446" s="79">
        <v>7.3856475000000005E-2</v>
      </c>
      <c r="AW446" s="79">
        <v>7.3856475000000005E-2</v>
      </c>
      <c r="AX446" s="87">
        <v>7.3856475000000005E-2</v>
      </c>
    </row>
    <row r="447" spans="1:50" x14ac:dyDescent="0.25">
      <c r="A447" s="356"/>
      <c r="B447" s="359"/>
      <c r="C447" s="361" t="s">
        <v>15</v>
      </c>
      <c r="D447" s="58" t="s">
        <v>7</v>
      </c>
      <c r="E447" s="164" t="str">
        <f>A413&amp;"/"&amp;B439&amp;"/"&amp;C447&amp;"/"&amp;D447</f>
        <v>Coal fired power plants/Steam turbine/Electricity only with CCS/L</v>
      </c>
      <c r="F447" s="78" t="str">
        <f>A413</f>
        <v>Coal fired power plants</v>
      </c>
      <c r="G447" s="78" t="str">
        <f>B439</f>
        <v>Steam turbine</v>
      </c>
      <c r="H447" s="78" t="str">
        <f>C447</f>
        <v>Electricity only with CCS</v>
      </c>
      <c r="I447" s="165" t="str">
        <f t="shared" si="83"/>
        <v>L</v>
      </c>
      <c r="J447" s="78" t="s">
        <v>112</v>
      </c>
      <c r="K447" s="78" t="s">
        <v>112</v>
      </c>
      <c r="L447" s="78" t="s">
        <v>112</v>
      </c>
      <c r="M447" s="78" t="s">
        <v>112</v>
      </c>
      <c r="N447" s="78" t="s">
        <v>112</v>
      </c>
      <c r="O447" s="78" t="s">
        <v>112</v>
      </c>
      <c r="P447" s="78" t="s">
        <v>112</v>
      </c>
      <c r="Q447" s="78" t="s">
        <v>112</v>
      </c>
      <c r="R447" s="78" t="s">
        <v>112</v>
      </c>
      <c r="S447" s="78" t="s">
        <v>112</v>
      </c>
      <c r="T447" s="78" t="s">
        <v>112</v>
      </c>
      <c r="U447" s="78" t="s">
        <v>112</v>
      </c>
      <c r="V447" s="78" t="s">
        <v>112</v>
      </c>
      <c r="W447" s="78" t="s">
        <v>112</v>
      </c>
      <c r="X447" s="78" t="s">
        <v>112</v>
      </c>
      <c r="Y447" s="78" t="s">
        <v>112</v>
      </c>
      <c r="Z447" s="78" t="s">
        <v>112</v>
      </c>
      <c r="AA447" s="78" t="s">
        <v>112</v>
      </c>
      <c r="AB447" s="78" t="s">
        <v>112</v>
      </c>
      <c r="AC447" s="78" t="s">
        <v>112</v>
      </c>
      <c r="AD447" s="78" t="s">
        <v>112</v>
      </c>
      <c r="AE447" s="78">
        <v>0.22910000000000003</v>
      </c>
      <c r="AF447" s="78">
        <v>0.22910000000000003</v>
      </c>
      <c r="AG447" s="78">
        <v>0.22910000000000003</v>
      </c>
      <c r="AH447" s="78">
        <v>0.22910000000000003</v>
      </c>
      <c r="AI447" s="78">
        <v>0.22910000000000003</v>
      </c>
      <c r="AJ447" s="78">
        <v>0.22910000000000003</v>
      </c>
      <c r="AK447" s="78">
        <v>0.22910000000000003</v>
      </c>
      <c r="AL447" s="78">
        <v>0.22910000000000003</v>
      </c>
      <c r="AM447" s="78">
        <v>0.22910000000000003</v>
      </c>
      <c r="AN447" s="78">
        <v>0.22910000000000003</v>
      </c>
      <c r="AO447" s="78">
        <v>0.22910000000000003</v>
      </c>
      <c r="AP447" s="78">
        <v>0.22910000000000003</v>
      </c>
      <c r="AQ447" s="78">
        <v>0.22910000000000003</v>
      </c>
      <c r="AR447" s="78">
        <v>0.22910000000000003</v>
      </c>
      <c r="AS447" s="78">
        <v>0.22910000000000003</v>
      </c>
      <c r="AT447" s="78">
        <v>0.22910000000000003</v>
      </c>
      <c r="AU447" s="78">
        <v>0.22910000000000003</v>
      </c>
      <c r="AV447" s="78">
        <v>0.22910000000000003</v>
      </c>
      <c r="AW447" s="78">
        <v>0.22910000000000003</v>
      </c>
      <c r="AX447" s="86">
        <v>0.22910000000000003</v>
      </c>
    </row>
    <row r="448" spans="1:50" x14ac:dyDescent="0.25">
      <c r="A448" s="356"/>
      <c r="B448" s="359"/>
      <c r="C448" s="360"/>
      <c r="D448" s="59" t="s">
        <v>8</v>
      </c>
      <c r="E448" s="166" t="str">
        <f>A413&amp;"/"&amp;B439&amp;"/"&amp;C447&amp;"/"&amp;D448</f>
        <v>Coal fired power plants/Steam turbine/Electricity only with CCS/M</v>
      </c>
      <c r="F448" s="79" t="str">
        <f>A413</f>
        <v>Coal fired power plants</v>
      </c>
      <c r="G448" s="79" t="str">
        <f>B439</f>
        <v>Steam turbine</v>
      </c>
      <c r="H448" s="79" t="str">
        <f>C447</f>
        <v>Electricity only with CCS</v>
      </c>
      <c r="I448" s="167" t="str">
        <f t="shared" si="83"/>
        <v>M</v>
      </c>
      <c r="J448" s="79" t="s">
        <v>112</v>
      </c>
      <c r="K448" s="79" t="s">
        <v>112</v>
      </c>
      <c r="L448" s="79" t="s">
        <v>112</v>
      </c>
      <c r="M448" s="79" t="s">
        <v>112</v>
      </c>
      <c r="N448" s="79" t="s">
        <v>112</v>
      </c>
      <c r="O448" s="79" t="s">
        <v>112</v>
      </c>
      <c r="P448" s="79" t="s">
        <v>112</v>
      </c>
      <c r="Q448" s="79" t="s">
        <v>112</v>
      </c>
      <c r="R448" s="79" t="s">
        <v>112</v>
      </c>
      <c r="S448" s="79" t="s">
        <v>112</v>
      </c>
      <c r="T448" s="79" t="s">
        <v>112</v>
      </c>
      <c r="U448" s="79" t="s">
        <v>112</v>
      </c>
      <c r="V448" s="79" t="s">
        <v>112</v>
      </c>
      <c r="W448" s="79" t="s">
        <v>112</v>
      </c>
      <c r="X448" s="79" t="s">
        <v>112</v>
      </c>
      <c r="Y448" s="79" t="s">
        <v>112</v>
      </c>
      <c r="Z448" s="79" t="s">
        <v>112</v>
      </c>
      <c r="AA448" s="79" t="s">
        <v>112</v>
      </c>
      <c r="AB448" s="79" t="s">
        <v>112</v>
      </c>
      <c r="AC448" s="79" t="s">
        <v>112</v>
      </c>
      <c r="AD448" s="79" t="s">
        <v>112</v>
      </c>
      <c r="AE448" s="79">
        <v>0.24055500000000005</v>
      </c>
      <c r="AF448" s="79">
        <v>0.24055500000000005</v>
      </c>
      <c r="AG448" s="79">
        <v>0.24055500000000005</v>
      </c>
      <c r="AH448" s="79">
        <v>0.24055500000000005</v>
      </c>
      <c r="AI448" s="79">
        <v>0.24055500000000005</v>
      </c>
      <c r="AJ448" s="79">
        <v>0.24055500000000005</v>
      </c>
      <c r="AK448" s="79">
        <v>0.24055500000000005</v>
      </c>
      <c r="AL448" s="79">
        <v>0.24055500000000005</v>
      </c>
      <c r="AM448" s="79">
        <v>0.24055500000000005</v>
      </c>
      <c r="AN448" s="79">
        <v>0.24055500000000005</v>
      </c>
      <c r="AO448" s="79">
        <v>0.24055500000000005</v>
      </c>
      <c r="AP448" s="79">
        <v>0.24055500000000005</v>
      </c>
      <c r="AQ448" s="79">
        <v>0.24055500000000005</v>
      </c>
      <c r="AR448" s="79">
        <v>0.24055500000000005</v>
      </c>
      <c r="AS448" s="79">
        <v>0.24055500000000005</v>
      </c>
      <c r="AT448" s="79">
        <v>0.24055500000000005</v>
      </c>
      <c r="AU448" s="79">
        <v>0.24055500000000005</v>
      </c>
      <c r="AV448" s="79">
        <v>0.24055500000000005</v>
      </c>
      <c r="AW448" s="79">
        <v>0.24055500000000005</v>
      </c>
      <c r="AX448" s="87">
        <v>0.24055500000000005</v>
      </c>
    </row>
    <row r="449" spans="1:50" x14ac:dyDescent="0.25">
      <c r="A449" s="356"/>
      <c r="B449" s="359"/>
      <c r="C449" s="361" t="s">
        <v>16</v>
      </c>
      <c r="D449" s="2" t="s">
        <v>7</v>
      </c>
      <c r="E449" s="160" t="str">
        <f>A413&amp;"/"&amp;B439&amp;"/"&amp;C449&amp;"/"&amp;D449</f>
        <v>Coal fired power plants/Steam turbine/CHP with CCS/L</v>
      </c>
      <c r="F449" s="76" t="str">
        <f>A413</f>
        <v>Coal fired power plants</v>
      </c>
      <c r="G449" s="76" t="str">
        <f>B439</f>
        <v>Steam turbine</v>
      </c>
      <c r="H449" s="76" t="str">
        <f>C449</f>
        <v>CHP with CCS</v>
      </c>
      <c r="I449" s="161" t="str">
        <f t="shared" si="83"/>
        <v>L</v>
      </c>
      <c r="J449" s="76" t="s">
        <v>112</v>
      </c>
      <c r="K449" s="76" t="s">
        <v>112</v>
      </c>
      <c r="L449" s="76" t="s">
        <v>112</v>
      </c>
      <c r="M449" s="76" t="s">
        <v>112</v>
      </c>
      <c r="N449" s="76" t="s">
        <v>112</v>
      </c>
      <c r="O449" s="76" t="s">
        <v>112</v>
      </c>
      <c r="P449" s="76" t="s">
        <v>112</v>
      </c>
      <c r="Q449" s="76" t="s">
        <v>112</v>
      </c>
      <c r="R449" s="76" t="s">
        <v>112</v>
      </c>
      <c r="S449" s="76" t="s">
        <v>112</v>
      </c>
      <c r="T449" s="76" t="s">
        <v>112</v>
      </c>
      <c r="U449" s="76" t="s">
        <v>112</v>
      </c>
      <c r="V449" s="76" t="s">
        <v>112</v>
      </c>
      <c r="W449" s="76" t="s">
        <v>112</v>
      </c>
      <c r="X449" s="76" t="s">
        <v>112</v>
      </c>
      <c r="Y449" s="76" t="s">
        <v>112</v>
      </c>
      <c r="Z449" s="76" t="s">
        <v>112</v>
      </c>
      <c r="AA449" s="76" t="s">
        <v>112</v>
      </c>
      <c r="AB449" s="76" t="s">
        <v>112</v>
      </c>
      <c r="AC449" s="76" t="s">
        <v>112</v>
      </c>
      <c r="AD449" s="76" t="s">
        <v>112</v>
      </c>
      <c r="AE449" s="76">
        <v>0.25201000000000007</v>
      </c>
      <c r="AF449" s="76">
        <v>0.25201000000000007</v>
      </c>
      <c r="AG449" s="76">
        <v>0.25201000000000007</v>
      </c>
      <c r="AH449" s="76">
        <v>0.25201000000000007</v>
      </c>
      <c r="AI449" s="76">
        <v>0.25201000000000007</v>
      </c>
      <c r="AJ449" s="76">
        <v>0.25201000000000007</v>
      </c>
      <c r="AK449" s="76">
        <v>0.25201000000000007</v>
      </c>
      <c r="AL449" s="76">
        <v>0.25201000000000007</v>
      </c>
      <c r="AM449" s="76">
        <v>0.25201000000000007</v>
      </c>
      <c r="AN449" s="76">
        <v>0.25201000000000007</v>
      </c>
      <c r="AO449" s="76">
        <v>0.25201000000000007</v>
      </c>
      <c r="AP449" s="76">
        <v>0.25201000000000007</v>
      </c>
      <c r="AQ449" s="76">
        <v>0.25201000000000007</v>
      </c>
      <c r="AR449" s="76">
        <v>0.25201000000000007</v>
      </c>
      <c r="AS449" s="76">
        <v>0.25201000000000007</v>
      </c>
      <c r="AT449" s="76">
        <v>0.25201000000000007</v>
      </c>
      <c r="AU449" s="76">
        <v>0.25201000000000007</v>
      </c>
      <c r="AV449" s="76">
        <v>0.25201000000000007</v>
      </c>
      <c r="AW449" s="76">
        <v>0.25201000000000007</v>
      </c>
      <c r="AX449" s="84">
        <v>0.25201000000000007</v>
      </c>
    </row>
    <row r="450" spans="1:50" x14ac:dyDescent="0.25">
      <c r="A450" s="357"/>
      <c r="B450" s="362"/>
      <c r="C450" s="354"/>
      <c r="D450" s="4" t="s">
        <v>8</v>
      </c>
      <c r="E450" s="168" t="str">
        <f>A413&amp;"/"&amp;B439&amp;"/"&amp;C449&amp;"/"&amp;D450</f>
        <v>Coal fired power plants/Steam turbine/CHP with CCS/M</v>
      </c>
      <c r="F450" s="80" t="str">
        <f>A413</f>
        <v>Coal fired power plants</v>
      </c>
      <c r="G450" s="80" t="str">
        <f>B439</f>
        <v>Steam turbine</v>
      </c>
      <c r="H450" s="80" t="str">
        <f>C449</f>
        <v>CHP with CCS</v>
      </c>
      <c r="I450" s="169" t="str">
        <f t="shared" si="83"/>
        <v>M</v>
      </c>
      <c r="J450" s="80" t="s">
        <v>112</v>
      </c>
      <c r="K450" s="80" t="s">
        <v>112</v>
      </c>
      <c r="L450" s="80" t="s">
        <v>112</v>
      </c>
      <c r="M450" s="80" t="s">
        <v>112</v>
      </c>
      <c r="N450" s="80" t="s">
        <v>112</v>
      </c>
      <c r="O450" s="80" t="s">
        <v>112</v>
      </c>
      <c r="P450" s="80" t="s">
        <v>112</v>
      </c>
      <c r="Q450" s="80" t="s">
        <v>112</v>
      </c>
      <c r="R450" s="80" t="s">
        <v>112</v>
      </c>
      <c r="S450" s="80" t="s">
        <v>112</v>
      </c>
      <c r="T450" s="80" t="s">
        <v>112</v>
      </c>
      <c r="U450" s="80" t="s">
        <v>112</v>
      </c>
      <c r="V450" s="80" t="s">
        <v>112</v>
      </c>
      <c r="W450" s="80" t="s">
        <v>112</v>
      </c>
      <c r="X450" s="80" t="s">
        <v>112</v>
      </c>
      <c r="Y450" s="80" t="s">
        <v>112</v>
      </c>
      <c r="Z450" s="80" t="s">
        <v>112</v>
      </c>
      <c r="AA450" s="80" t="s">
        <v>112</v>
      </c>
      <c r="AB450" s="80" t="s">
        <v>112</v>
      </c>
      <c r="AC450" s="80" t="s">
        <v>112</v>
      </c>
      <c r="AD450" s="80" t="s">
        <v>112</v>
      </c>
      <c r="AE450" s="80">
        <v>0.26461050000000008</v>
      </c>
      <c r="AF450" s="80">
        <v>0.26461050000000008</v>
      </c>
      <c r="AG450" s="80">
        <v>0.26461050000000008</v>
      </c>
      <c r="AH450" s="80">
        <v>0.26461050000000008</v>
      </c>
      <c r="AI450" s="80">
        <v>0.26461050000000008</v>
      </c>
      <c r="AJ450" s="80">
        <v>0.26461050000000008</v>
      </c>
      <c r="AK450" s="80">
        <v>0.26461050000000008</v>
      </c>
      <c r="AL450" s="80">
        <v>0.26461050000000008</v>
      </c>
      <c r="AM450" s="80">
        <v>0.26461050000000008</v>
      </c>
      <c r="AN450" s="80">
        <v>0.26461050000000008</v>
      </c>
      <c r="AO450" s="80">
        <v>0.26461050000000008</v>
      </c>
      <c r="AP450" s="80">
        <v>0.26461050000000008</v>
      </c>
      <c r="AQ450" s="80">
        <v>0.26461050000000008</v>
      </c>
      <c r="AR450" s="80">
        <v>0.26461050000000008</v>
      </c>
      <c r="AS450" s="80">
        <v>0.26461050000000008</v>
      </c>
      <c r="AT450" s="80">
        <v>0.26461050000000008</v>
      </c>
      <c r="AU450" s="80">
        <v>0.26461050000000008</v>
      </c>
      <c r="AV450" s="80">
        <v>0.26461050000000008</v>
      </c>
      <c r="AW450" s="80">
        <v>0.26461050000000008</v>
      </c>
      <c r="AX450" s="88">
        <v>0.26461050000000008</v>
      </c>
    </row>
    <row r="451" spans="1:50" x14ac:dyDescent="0.25">
      <c r="A451" s="355" t="s">
        <v>21</v>
      </c>
      <c r="B451" s="358" t="s">
        <v>13</v>
      </c>
      <c r="C451" s="353" t="s">
        <v>6</v>
      </c>
      <c r="D451" s="3" t="s">
        <v>7</v>
      </c>
      <c r="E451" s="162" t="str">
        <f>A451&amp;"/"&amp;B451&amp;"/"&amp;C451&amp;"/"&amp;D451</f>
        <v>Lignite fired power plants/Integrated gasification combined cycle/Electricity only/L</v>
      </c>
      <c r="F451" s="77" t="str">
        <f>A451</f>
        <v>Lignite fired power plants</v>
      </c>
      <c r="G451" s="77" t="str">
        <f>B451</f>
        <v>Integrated gasification combined cycle</v>
      </c>
      <c r="H451" s="77" t="str">
        <f>C451</f>
        <v>Electricity only</v>
      </c>
      <c r="I451" s="163" t="str">
        <f t="shared" si="83"/>
        <v>L</v>
      </c>
      <c r="J451" s="77">
        <v>0.08</v>
      </c>
      <c r="K451" s="77">
        <v>0.08</v>
      </c>
      <c r="L451" s="77">
        <v>0.08</v>
      </c>
      <c r="M451" s="77">
        <v>0.08</v>
      </c>
      <c r="N451" s="77">
        <v>0.08</v>
      </c>
      <c r="O451" s="77">
        <v>0.08</v>
      </c>
      <c r="P451" s="77">
        <v>0.08</v>
      </c>
      <c r="Q451" s="77">
        <v>0.08</v>
      </c>
      <c r="R451" s="77">
        <v>0.08</v>
      </c>
      <c r="S451" s="77">
        <v>0.08</v>
      </c>
      <c r="T451" s="77">
        <v>0.08</v>
      </c>
      <c r="U451" s="77">
        <v>0.08</v>
      </c>
      <c r="V451" s="77">
        <v>0.08</v>
      </c>
      <c r="W451" s="77">
        <v>0.08</v>
      </c>
      <c r="X451" s="77">
        <v>0.08</v>
      </c>
      <c r="Y451" s="77">
        <v>0.08</v>
      </c>
      <c r="Z451" s="77">
        <v>0.08</v>
      </c>
      <c r="AA451" s="77">
        <v>0.08</v>
      </c>
      <c r="AB451" s="77">
        <v>0.08</v>
      </c>
      <c r="AC451" s="77">
        <v>0.08</v>
      </c>
      <c r="AD451" s="77">
        <v>0.08</v>
      </c>
      <c r="AE451" s="77">
        <v>0.08</v>
      </c>
      <c r="AF451" s="77">
        <v>0.08</v>
      </c>
      <c r="AG451" s="77">
        <v>0.08</v>
      </c>
      <c r="AH451" s="77">
        <v>0.08</v>
      </c>
      <c r="AI451" s="77">
        <v>0.08</v>
      </c>
      <c r="AJ451" s="77">
        <v>0.08</v>
      </c>
      <c r="AK451" s="77">
        <v>0.08</v>
      </c>
      <c r="AL451" s="77">
        <v>0.08</v>
      </c>
      <c r="AM451" s="77">
        <v>0.08</v>
      </c>
      <c r="AN451" s="77">
        <v>0.08</v>
      </c>
      <c r="AO451" s="77">
        <v>0.08</v>
      </c>
      <c r="AP451" s="77">
        <v>0.08</v>
      </c>
      <c r="AQ451" s="77">
        <v>0.08</v>
      </c>
      <c r="AR451" s="77">
        <v>0.08</v>
      </c>
      <c r="AS451" s="77">
        <v>0.08</v>
      </c>
      <c r="AT451" s="77">
        <v>0.08</v>
      </c>
      <c r="AU451" s="77">
        <v>0.08</v>
      </c>
      <c r="AV451" s="77">
        <v>0.08</v>
      </c>
      <c r="AW451" s="77">
        <v>0.08</v>
      </c>
      <c r="AX451" s="85">
        <v>0.08</v>
      </c>
    </row>
    <row r="452" spans="1:50" x14ac:dyDescent="0.25">
      <c r="A452" s="356"/>
      <c r="B452" s="359"/>
      <c r="C452" s="360"/>
      <c r="D452" s="2" t="s">
        <v>8</v>
      </c>
      <c r="E452" s="160" t="str">
        <f>A451&amp;"/"&amp;B451&amp;"/"&amp;C451&amp;"/"&amp;D452</f>
        <v>Lignite fired power plants/Integrated gasification combined cycle/Electricity only/M</v>
      </c>
      <c r="F452" s="76" t="str">
        <f>A451</f>
        <v>Lignite fired power plants</v>
      </c>
      <c r="G452" s="76" t="str">
        <f>B451</f>
        <v>Integrated gasification combined cycle</v>
      </c>
      <c r="H452" s="76" t="str">
        <f>C451</f>
        <v>Electricity only</v>
      </c>
      <c r="I452" s="161" t="str">
        <f t="shared" si="83"/>
        <v>M</v>
      </c>
      <c r="J452" s="76">
        <v>8.4000000000000005E-2</v>
      </c>
      <c r="K452" s="76">
        <v>8.4000000000000005E-2</v>
      </c>
      <c r="L452" s="76">
        <v>8.4000000000000005E-2</v>
      </c>
      <c r="M452" s="76">
        <v>8.4000000000000005E-2</v>
      </c>
      <c r="N452" s="76">
        <v>8.4000000000000005E-2</v>
      </c>
      <c r="O452" s="76">
        <v>8.4000000000000005E-2</v>
      </c>
      <c r="P452" s="76">
        <v>8.4000000000000005E-2</v>
      </c>
      <c r="Q452" s="76">
        <v>8.4000000000000005E-2</v>
      </c>
      <c r="R452" s="76">
        <v>8.4000000000000005E-2</v>
      </c>
      <c r="S452" s="76">
        <v>8.4000000000000005E-2</v>
      </c>
      <c r="T452" s="76">
        <v>8.4000000000000005E-2</v>
      </c>
      <c r="U452" s="76">
        <v>8.4000000000000005E-2</v>
      </c>
      <c r="V452" s="76">
        <v>8.4000000000000005E-2</v>
      </c>
      <c r="W452" s="76">
        <v>8.4000000000000005E-2</v>
      </c>
      <c r="X452" s="76">
        <v>8.4000000000000005E-2</v>
      </c>
      <c r="Y452" s="76">
        <v>8.4000000000000005E-2</v>
      </c>
      <c r="Z452" s="76">
        <v>8.4000000000000005E-2</v>
      </c>
      <c r="AA452" s="76">
        <v>8.4000000000000005E-2</v>
      </c>
      <c r="AB452" s="76">
        <v>8.4000000000000005E-2</v>
      </c>
      <c r="AC452" s="76">
        <v>8.4000000000000005E-2</v>
      </c>
      <c r="AD452" s="76">
        <v>8.4000000000000005E-2</v>
      </c>
      <c r="AE452" s="76">
        <v>8.4000000000000005E-2</v>
      </c>
      <c r="AF452" s="76">
        <v>8.4000000000000005E-2</v>
      </c>
      <c r="AG452" s="76">
        <v>8.4000000000000005E-2</v>
      </c>
      <c r="AH452" s="76">
        <v>8.4000000000000005E-2</v>
      </c>
      <c r="AI452" s="76">
        <v>8.4000000000000005E-2</v>
      </c>
      <c r="AJ452" s="76">
        <v>8.4000000000000005E-2</v>
      </c>
      <c r="AK452" s="76">
        <v>8.4000000000000005E-2</v>
      </c>
      <c r="AL452" s="76">
        <v>8.4000000000000005E-2</v>
      </c>
      <c r="AM452" s="76">
        <v>8.4000000000000005E-2</v>
      </c>
      <c r="AN452" s="76">
        <v>8.4000000000000005E-2</v>
      </c>
      <c r="AO452" s="76">
        <v>8.4000000000000005E-2</v>
      </c>
      <c r="AP452" s="76">
        <v>8.4000000000000005E-2</v>
      </c>
      <c r="AQ452" s="76">
        <v>8.4000000000000005E-2</v>
      </c>
      <c r="AR452" s="76">
        <v>8.4000000000000005E-2</v>
      </c>
      <c r="AS452" s="76">
        <v>8.4000000000000005E-2</v>
      </c>
      <c r="AT452" s="76">
        <v>8.4000000000000005E-2</v>
      </c>
      <c r="AU452" s="76">
        <v>8.4000000000000005E-2</v>
      </c>
      <c r="AV452" s="76">
        <v>8.4000000000000005E-2</v>
      </c>
      <c r="AW452" s="76">
        <v>8.4000000000000005E-2</v>
      </c>
      <c r="AX452" s="84">
        <v>8.4000000000000005E-2</v>
      </c>
    </row>
    <row r="453" spans="1:50" x14ac:dyDescent="0.25">
      <c r="A453" s="356"/>
      <c r="B453" s="359"/>
      <c r="C453" s="361" t="s">
        <v>14</v>
      </c>
      <c r="D453" s="58" t="s">
        <v>7</v>
      </c>
      <c r="E453" s="164" t="str">
        <f>A451&amp;"/"&amp;B451&amp;"/"&amp;C453&amp;"/"&amp;D453</f>
        <v>Lignite fired power plants/Integrated gasification combined cycle/CHP/L</v>
      </c>
      <c r="F453" s="78" t="str">
        <f>A451</f>
        <v>Lignite fired power plants</v>
      </c>
      <c r="G453" s="78" t="str">
        <f>B451</f>
        <v>Integrated gasification combined cycle</v>
      </c>
      <c r="H453" s="78" t="str">
        <f>C453</f>
        <v>CHP</v>
      </c>
      <c r="I453" s="165" t="str">
        <f t="shared" si="83"/>
        <v>L</v>
      </c>
      <c r="J453" s="78" t="s">
        <v>112</v>
      </c>
      <c r="K453" s="78" t="s">
        <v>112</v>
      </c>
      <c r="L453" s="78" t="s">
        <v>112</v>
      </c>
      <c r="M453" s="78" t="s">
        <v>112</v>
      </c>
      <c r="N453" s="78" t="s">
        <v>112</v>
      </c>
      <c r="O453" s="78" t="s">
        <v>112</v>
      </c>
      <c r="P453" s="78" t="s">
        <v>112</v>
      </c>
      <c r="Q453" s="78" t="s">
        <v>112</v>
      </c>
      <c r="R453" s="78" t="s">
        <v>112</v>
      </c>
      <c r="S453" s="78" t="s">
        <v>112</v>
      </c>
      <c r="T453" s="78">
        <v>8.8000000000000009E-2</v>
      </c>
      <c r="U453" s="78">
        <v>8.8000000000000009E-2</v>
      </c>
      <c r="V453" s="78">
        <v>8.8000000000000009E-2</v>
      </c>
      <c r="W453" s="78">
        <v>8.8000000000000009E-2</v>
      </c>
      <c r="X453" s="78">
        <v>8.8000000000000009E-2</v>
      </c>
      <c r="Y453" s="78">
        <v>8.8000000000000009E-2</v>
      </c>
      <c r="Z453" s="78">
        <v>8.8000000000000009E-2</v>
      </c>
      <c r="AA453" s="78">
        <v>8.8000000000000009E-2</v>
      </c>
      <c r="AB453" s="78">
        <v>8.8000000000000009E-2</v>
      </c>
      <c r="AC453" s="78">
        <v>8.8000000000000009E-2</v>
      </c>
      <c r="AD453" s="78">
        <v>8.8000000000000009E-2</v>
      </c>
      <c r="AE453" s="78">
        <v>8.8000000000000009E-2</v>
      </c>
      <c r="AF453" s="78">
        <v>8.8000000000000009E-2</v>
      </c>
      <c r="AG453" s="78">
        <v>8.8000000000000009E-2</v>
      </c>
      <c r="AH453" s="78">
        <v>8.8000000000000009E-2</v>
      </c>
      <c r="AI453" s="78">
        <v>8.8000000000000009E-2</v>
      </c>
      <c r="AJ453" s="78">
        <v>8.8000000000000009E-2</v>
      </c>
      <c r="AK453" s="78">
        <v>8.8000000000000009E-2</v>
      </c>
      <c r="AL453" s="78">
        <v>8.8000000000000009E-2</v>
      </c>
      <c r="AM453" s="78">
        <v>8.8000000000000009E-2</v>
      </c>
      <c r="AN453" s="78">
        <v>8.8000000000000009E-2</v>
      </c>
      <c r="AO453" s="78">
        <v>8.8000000000000009E-2</v>
      </c>
      <c r="AP453" s="78">
        <v>8.8000000000000009E-2</v>
      </c>
      <c r="AQ453" s="78">
        <v>8.8000000000000009E-2</v>
      </c>
      <c r="AR453" s="78">
        <v>8.8000000000000009E-2</v>
      </c>
      <c r="AS453" s="78">
        <v>8.8000000000000009E-2</v>
      </c>
      <c r="AT453" s="78">
        <v>8.8000000000000009E-2</v>
      </c>
      <c r="AU453" s="78">
        <v>8.8000000000000009E-2</v>
      </c>
      <c r="AV453" s="78">
        <v>8.8000000000000009E-2</v>
      </c>
      <c r="AW453" s="78">
        <v>8.8000000000000009E-2</v>
      </c>
      <c r="AX453" s="86">
        <v>8.8000000000000009E-2</v>
      </c>
    </row>
    <row r="454" spans="1:50" x14ac:dyDescent="0.25">
      <c r="A454" s="356"/>
      <c r="B454" s="359"/>
      <c r="C454" s="360"/>
      <c r="D454" s="59" t="s">
        <v>8</v>
      </c>
      <c r="E454" s="166" t="str">
        <f>A451&amp;"/"&amp;B451&amp;"/"&amp;C453&amp;"/"&amp;D454</f>
        <v>Lignite fired power plants/Integrated gasification combined cycle/CHP/M</v>
      </c>
      <c r="F454" s="79" t="str">
        <f>A451</f>
        <v>Lignite fired power plants</v>
      </c>
      <c r="G454" s="79" t="str">
        <f>B451</f>
        <v>Integrated gasification combined cycle</v>
      </c>
      <c r="H454" s="79" t="str">
        <f>C453</f>
        <v>CHP</v>
      </c>
      <c r="I454" s="167" t="str">
        <f t="shared" si="83"/>
        <v>M</v>
      </c>
      <c r="J454" s="79" t="s">
        <v>112</v>
      </c>
      <c r="K454" s="79" t="s">
        <v>112</v>
      </c>
      <c r="L454" s="79" t="s">
        <v>112</v>
      </c>
      <c r="M454" s="79" t="s">
        <v>112</v>
      </c>
      <c r="N454" s="79" t="s">
        <v>112</v>
      </c>
      <c r="O454" s="79" t="s">
        <v>112</v>
      </c>
      <c r="P454" s="79" t="s">
        <v>112</v>
      </c>
      <c r="Q454" s="79" t="s">
        <v>112</v>
      </c>
      <c r="R454" s="79" t="s">
        <v>112</v>
      </c>
      <c r="S454" s="79" t="s">
        <v>112</v>
      </c>
      <c r="T454" s="79">
        <v>9.240000000000001E-2</v>
      </c>
      <c r="U454" s="79">
        <v>9.240000000000001E-2</v>
      </c>
      <c r="V454" s="79">
        <v>9.240000000000001E-2</v>
      </c>
      <c r="W454" s="79">
        <v>9.240000000000001E-2</v>
      </c>
      <c r="X454" s="79">
        <v>9.240000000000001E-2</v>
      </c>
      <c r="Y454" s="79">
        <v>9.240000000000001E-2</v>
      </c>
      <c r="Z454" s="79">
        <v>9.240000000000001E-2</v>
      </c>
      <c r="AA454" s="79">
        <v>9.240000000000001E-2</v>
      </c>
      <c r="AB454" s="79">
        <v>9.240000000000001E-2</v>
      </c>
      <c r="AC454" s="79">
        <v>9.240000000000001E-2</v>
      </c>
      <c r="AD454" s="79">
        <v>9.240000000000001E-2</v>
      </c>
      <c r="AE454" s="79">
        <v>9.240000000000001E-2</v>
      </c>
      <c r="AF454" s="79">
        <v>9.240000000000001E-2</v>
      </c>
      <c r="AG454" s="79">
        <v>9.240000000000001E-2</v>
      </c>
      <c r="AH454" s="79">
        <v>9.240000000000001E-2</v>
      </c>
      <c r="AI454" s="79">
        <v>9.240000000000001E-2</v>
      </c>
      <c r="AJ454" s="79">
        <v>9.240000000000001E-2</v>
      </c>
      <c r="AK454" s="79">
        <v>9.240000000000001E-2</v>
      </c>
      <c r="AL454" s="79">
        <v>9.240000000000001E-2</v>
      </c>
      <c r="AM454" s="79">
        <v>9.240000000000001E-2</v>
      </c>
      <c r="AN454" s="79">
        <v>9.240000000000001E-2</v>
      </c>
      <c r="AO454" s="79">
        <v>9.240000000000001E-2</v>
      </c>
      <c r="AP454" s="79">
        <v>9.240000000000001E-2</v>
      </c>
      <c r="AQ454" s="79">
        <v>9.240000000000001E-2</v>
      </c>
      <c r="AR454" s="79">
        <v>9.240000000000001E-2</v>
      </c>
      <c r="AS454" s="79">
        <v>9.240000000000001E-2</v>
      </c>
      <c r="AT454" s="79">
        <v>9.240000000000001E-2</v>
      </c>
      <c r="AU454" s="79">
        <v>9.240000000000001E-2</v>
      </c>
      <c r="AV454" s="79">
        <v>9.240000000000001E-2</v>
      </c>
      <c r="AW454" s="79">
        <v>9.240000000000001E-2</v>
      </c>
      <c r="AX454" s="87">
        <v>9.240000000000001E-2</v>
      </c>
    </row>
    <row r="455" spans="1:50" x14ac:dyDescent="0.25">
      <c r="A455" s="356"/>
      <c r="B455" s="359"/>
      <c r="C455" s="361" t="s">
        <v>15</v>
      </c>
      <c r="D455" s="58" t="s">
        <v>7</v>
      </c>
      <c r="E455" s="164" t="str">
        <f>A451&amp;"/"&amp;B451&amp;"/"&amp;C455&amp;"/"&amp;D455</f>
        <v>Lignite fired power plants/Integrated gasification combined cycle/Electricity only with CCS/L</v>
      </c>
      <c r="F455" s="78" t="str">
        <f>A451</f>
        <v>Lignite fired power plants</v>
      </c>
      <c r="G455" s="78" t="str">
        <f>B451</f>
        <v>Integrated gasification combined cycle</v>
      </c>
      <c r="H455" s="78" t="str">
        <f>C455</f>
        <v>Electricity only with CCS</v>
      </c>
      <c r="I455" s="165" t="str">
        <f t="shared" si="83"/>
        <v>L</v>
      </c>
      <c r="J455" s="78" t="s">
        <v>112</v>
      </c>
      <c r="K455" s="78" t="s">
        <v>112</v>
      </c>
      <c r="L455" s="78" t="s">
        <v>112</v>
      </c>
      <c r="M455" s="78" t="s">
        <v>112</v>
      </c>
      <c r="N455" s="78" t="s">
        <v>112</v>
      </c>
      <c r="O455" s="78" t="s">
        <v>112</v>
      </c>
      <c r="P455" s="78" t="s">
        <v>112</v>
      </c>
      <c r="Q455" s="78" t="s">
        <v>112</v>
      </c>
      <c r="R455" s="78" t="s">
        <v>112</v>
      </c>
      <c r="S455" s="78" t="s">
        <v>112</v>
      </c>
      <c r="T455" s="78" t="s">
        <v>112</v>
      </c>
      <c r="U455" s="78" t="s">
        <v>112</v>
      </c>
      <c r="V455" s="78" t="s">
        <v>112</v>
      </c>
      <c r="W455" s="78" t="s">
        <v>112</v>
      </c>
      <c r="X455" s="78" t="s">
        <v>112</v>
      </c>
      <c r="Y455" s="78" t="s">
        <v>112</v>
      </c>
      <c r="Z455" s="78" t="s">
        <v>112</v>
      </c>
      <c r="AA455" s="78" t="s">
        <v>112</v>
      </c>
      <c r="AB455" s="78" t="s">
        <v>112</v>
      </c>
      <c r="AC455" s="78" t="s">
        <v>112</v>
      </c>
      <c r="AD455" s="78" t="s">
        <v>112</v>
      </c>
      <c r="AE455" s="78">
        <v>0.26</v>
      </c>
      <c r="AF455" s="78">
        <v>0.26</v>
      </c>
      <c r="AG455" s="78">
        <v>0.26</v>
      </c>
      <c r="AH455" s="78">
        <v>0.26</v>
      </c>
      <c r="AI455" s="78">
        <v>0.26</v>
      </c>
      <c r="AJ455" s="78">
        <v>0.26</v>
      </c>
      <c r="AK455" s="78">
        <v>0.26</v>
      </c>
      <c r="AL455" s="78">
        <v>0.26</v>
      </c>
      <c r="AM455" s="78">
        <v>0.26</v>
      </c>
      <c r="AN455" s="78">
        <v>0.26</v>
      </c>
      <c r="AO455" s="78">
        <v>0.26</v>
      </c>
      <c r="AP455" s="78">
        <v>0.26</v>
      </c>
      <c r="AQ455" s="78">
        <v>0.26</v>
      </c>
      <c r="AR455" s="78">
        <v>0.26</v>
      </c>
      <c r="AS455" s="78">
        <v>0.26</v>
      </c>
      <c r="AT455" s="78">
        <v>0.26</v>
      </c>
      <c r="AU455" s="78">
        <v>0.26</v>
      </c>
      <c r="AV455" s="78">
        <v>0.26</v>
      </c>
      <c r="AW455" s="78">
        <v>0.26</v>
      </c>
      <c r="AX455" s="86">
        <v>0.26</v>
      </c>
    </row>
    <row r="456" spans="1:50" x14ac:dyDescent="0.25">
      <c r="A456" s="356"/>
      <c r="B456" s="359"/>
      <c r="C456" s="360"/>
      <c r="D456" s="59" t="s">
        <v>8</v>
      </c>
      <c r="E456" s="166" t="str">
        <f>A451&amp;"/"&amp;B451&amp;"/"&amp;C455&amp;"/"&amp;D456</f>
        <v>Lignite fired power plants/Integrated gasification combined cycle/Electricity only with CCS/M</v>
      </c>
      <c r="F456" s="79" t="str">
        <f>A451</f>
        <v>Lignite fired power plants</v>
      </c>
      <c r="G456" s="79" t="str">
        <f>B451</f>
        <v>Integrated gasification combined cycle</v>
      </c>
      <c r="H456" s="79" t="str">
        <f>C455</f>
        <v>Electricity only with CCS</v>
      </c>
      <c r="I456" s="167" t="str">
        <f t="shared" si="83"/>
        <v>M</v>
      </c>
      <c r="J456" s="79" t="s">
        <v>112</v>
      </c>
      <c r="K456" s="79" t="s">
        <v>112</v>
      </c>
      <c r="L456" s="79" t="s">
        <v>112</v>
      </c>
      <c r="M456" s="79" t="s">
        <v>112</v>
      </c>
      <c r="N456" s="79" t="s">
        <v>112</v>
      </c>
      <c r="O456" s="79" t="s">
        <v>112</v>
      </c>
      <c r="P456" s="79" t="s">
        <v>112</v>
      </c>
      <c r="Q456" s="79" t="s">
        <v>112</v>
      </c>
      <c r="R456" s="79" t="s">
        <v>112</v>
      </c>
      <c r="S456" s="79" t="s">
        <v>112</v>
      </c>
      <c r="T456" s="79" t="s">
        <v>112</v>
      </c>
      <c r="U456" s="79" t="s">
        <v>112</v>
      </c>
      <c r="V456" s="79" t="s">
        <v>112</v>
      </c>
      <c r="W456" s="79" t="s">
        <v>112</v>
      </c>
      <c r="X456" s="79" t="s">
        <v>112</v>
      </c>
      <c r="Y456" s="79" t="s">
        <v>112</v>
      </c>
      <c r="Z456" s="79" t="s">
        <v>112</v>
      </c>
      <c r="AA456" s="79" t="s">
        <v>112</v>
      </c>
      <c r="AB456" s="79" t="s">
        <v>112</v>
      </c>
      <c r="AC456" s="79" t="s">
        <v>112</v>
      </c>
      <c r="AD456" s="79" t="s">
        <v>112</v>
      </c>
      <c r="AE456" s="79">
        <v>0.27300000000000002</v>
      </c>
      <c r="AF456" s="79">
        <v>0.27300000000000002</v>
      </c>
      <c r="AG456" s="79">
        <v>0.27300000000000002</v>
      </c>
      <c r="AH456" s="79">
        <v>0.27300000000000002</v>
      </c>
      <c r="AI456" s="79">
        <v>0.27300000000000002</v>
      </c>
      <c r="AJ456" s="79">
        <v>0.27300000000000002</v>
      </c>
      <c r="AK456" s="79">
        <v>0.27300000000000002</v>
      </c>
      <c r="AL456" s="79">
        <v>0.27300000000000002</v>
      </c>
      <c r="AM456" s="79">
        <v>0.27300000000000002</v>
      </c>
      <c r="AN456" s="79">
        <v>0.27300000000000002</v>
      </c>
      <c r="AO456" s="79">
        <v>0.27300000000000002</v>
      </c>
      <c r="AP456" s="79">
        <v>0.27300000000000002</v>
      </c>
      <c r="AQ456" s="79">
        <v>0.27300000000000002</v>
      </c>
      <c r="AR456" s="79">
        <v>0.27300000000000002</v>
      </c>
      <c r="AS456" s="79">
        <v>0.27300000000000002</v>
      </c>
      <c r="AT456" s="79">
        <v>0.27300000000000002</v>
      </c>
      <c r="AU456" s="79">
        <v>0.27300000000000002</v>
      </c>
      <c r="AV456" s="79">
        <v>0.27300000000000002</v>
      </c>
      <c r="AW456" s="79">
        <v>0.27300000000000002</v>
      </c>
      <c r="AX456" s="87">
        <v>0.27300000000000002</v>
      </c>
    </row>
    <row r="457" spans="1:50" x14ac:dyDescent="0.25">
      <c r="A457" s="356"/>
      <c r="B457" s="359"/>
      <c r="C457" s="361" t="s">
        <v>16</v>
      </c>
      <c r="D457" s="2" t="s">
        <v>7</v>
      </c>
      <c r="E457" s="160" t="str">
        <f>A451&amp;"/"&amp;B451&amp;"/"&amp;C457&amp;"/"&amp;D457</f>
        <v>Lignite fired power plants/Integrated gasification combined cycle/CHP with CCS/L</v>
      </c>
      <c r="F457" s="76" t="str">
        <f>A451</f>
        <v>Lignite fired power plants</v>
      </c>
      <c r="G457" s="76" t="str">
        <f>B451</f>
        <v>Integrated gasification combined cycle</v>
      </c>
      <c r="H457" s="76" t="str">
        <f>C457</f>
        <v>CHP with CCS</v>
      </c>
      <c r="I457" s="161" t="str">
        <f t="shared" si="83"/>
        <v>L</v>
      </c>
      <c r="J457" s="76" t="s">
        <v>112</v>
      </c>
      <c r="K457" s="76" t="s">
        <v>112</v>
      </c>
      <c r="L457" s="76" t="s">
        <v>112</v>
      </c>
      <c r="M457" s="76" t="s">
        <v>112</v>
      </c>
      <c r="N457" s="76" t="s">
        <v>112</v>
      </c>
      <c r="O457" s="76" t="s">
        <v>112</v>
      </c>
      <c r="P457" s="76" t="s">
        <v>112</v>
      </c>
      <c r="Q457" s="76" t="s">
        <v>112</v>
      </c>
      <c r="R457" s="76" t="s">
        <v>112</v>
      </c>
      <c r="S457" s="76" t="s">
        <v>112</v>
      </c>
      <c r="T457" s="76" t="s">
        <v>112</v>
      </c>
      <c r="U457" s="76" t="s">
        <v>112</v>
      </c>
      <c r="V457" s="76" t="s">
        <v>112</v>
      </c>
      <c r="W457" s="76" t="s">
        <v>112</v>
      </c>
      <c r="X457" s="76" t="s">
        <v>112</v>
      </c>
      <c r="Y457" s="76" t="s">
        <v>112</v>
      </c>
      <c r="Z457" s="76" t="s">
        <v>112</v>
      </c>
      <c r="AA457" s="76" t="s">
        <v>112</v>
      </c>
      <c r="AB457" s="76" t="s">
        <v>112</v>
      </c>
      <c r="AC457" s="76" t="s">
        <v>112</v>
      </c>
      <c r="AD457" s="76" t="s">
        <v>112</v>
      </c>
      <c r="AE457" s="76">
        <v>0.28600000000000003</v>
      </c>
      <c r="AF457" s="76">
        <v>0.28600000000000003</v>
      </c>
      <c r="AG457" s="76">
        <v>0.28600000000000003</v>
      </c>
      <c r="AH457" s="76">
        <v>0.28600000000000003</v>
      </c>
      <c r="AI457" s="76">
        <v>0.28600000000000003</v>
      </c>
      <c r="AJ457" s="76">
        <v>0.28600000000000003</v>
      </c>
      <c r="AK457" s="76">
        <v>0.28600000000000003</v>
      </c>
      <c r="AL457" s="76">
        <v>0.28600000000000003</v>
      </c>
      <c r="AM457" s="76">
        <v>0.28600000000000003</v>
      </c>
      <c r="AN457" s="76">
        <v>0.28600000000000003</v>
      </c>
      <c r="AO457" s="76">
        <v>0.28600000000000003</v>
      </c>
      <c r="AP457" s="76">
        <v>0.28600000000000003</v>
      </c>
      <c r="AQ457" s="76">
        <v>0.28600000000000003</v>
      </c>
      <c r="AR457" s="76">
        <v>0.28600000000000003</v>
      </c>
      <c r="AS457" s="76">
        <v>0.28600000000000003</v>
      </c>
      <c r="AT457" s="76">
        <v>0.28600000000000003</v>
      </c>
      <c r="AU457" s="76">
        <v>0.28600000000000003</v>
      </c>
      <c r="AV457" s="76">
        <v>0.28600000000000003</v>
      </c>
      <c r="AW457" s="76">
        <v>0.28600000000000003</v>
      </c>
      <c r="AX457" s="84">
        <v>0.28600000000000003</v>
      </c>
    </row>
    <row r="458" spans="1:50" x14ac:dyDescent="0.25">
      <c r="A458" s="356"/>
      <c r="B458" s="359"/>
      <c r="C458" s="354"/>
      <c r="D458" s="2" t="s">
        <v>8</v>
      </c>
      <c r="E458" s="168" t="str">
        <f>A451&amp;"/"&amp;B451&amp;"/"&amp;C457&amp;"/"&amp;D458</f>
        <v>Lignite fired power plants/Integrated gasification combined cycle/CHP with CCS/M</v>
      </c>
      <c r="F458" s="80" t="str">
        <f>A451</f>
        <v>Lignite fired power plants</v>
      </c>
      <c r="G458" s="80" t="str">
        <f>B451</f>
        <v>Integrated gasification combined cycle</v>
      </c>
      <c r="H458" s="80" t="str">
        <f>C457</f>
        <v>CHP with CCS</v>
      </c>
      <c r="I458" s="169" t="str">
        <f t="shared" si="83"/>
        <v>M</v>
      </c>
      <c r="J458" s="80" t="s">
        <v>112</v>
      </c>
      <c r="K458" s="80" t="s">
        <v>112</v>
      </c>
      <c r="L458" s="80" t="s">
        <v>112</v>
      </c>
      <c r="M458" s="80" t="s">
        <v>112</v>
      </c>
      <c r="N458" s="80" t="s">
        <v>112</v>
      </c>
      <c r="O458" s="80" t="s">
        <v>112</v>
      </c>
      <c r="P458" s="80" t="s">
        <v>112</v>
      </c>
      <c r="Q458" s="80" t="s">
        <v>112</v>
      </c>
      <c r="R458" s="80" t="s">
        <v>112</v>
      </c>
      <c r="S458" s="80" t="s">
        <v>112</v>
      </c>
      <c r="T458" s="80" t="s">
        <v>112</v>
      </c>
      <c r="U458" s="80" t="s">
        <v>112</v>
      </c>
      <c r="V458" s="80" t="s">
        <v>112</v>
      </c>
      <c r="W458" s="80" t="s">
        <v>112</v>
      </c>
      <c r="X458" s="80" t="s">
        <v>112</v>
      </c>
      <c r="Y458" s="80" t="s">
        <v>112</v>
      </c>
      <c r="Z458" s="80" t="s">
        <v>112</v>
      </c>
      <c r="AA458" s="80" t="s">
        <v>112</v>
      </c>
      <c r="AB458" s="80" t="s">
        <v>112</v>
      </c>
      <c r="AC458" s="80" t="s">
        <v>112</v>
      </c>
      <c r="AD458" s="80" t="s">
        <v>112</v>
      </c>
      <c r="AE458" s="80">
        <v>0.30030000000000007</v>
      </c>
      <c r="AF458" s="80">
        <v>0.30030000000000007</v>
      </c>
      <c r="AG458" s="80">
        <v>0.30030000000000007</v>
      </c>
      <c r="AH458" s="80">
        <v>0.30030000000000007</v>
      </c>
      <c r="AI458" s="80">
        <v>0.30030000000000007</v>
      </c>
      <c r="AJ458" s="80">
        <v>0.30030000000000007</v>
      </c>
      <c r="AK458" s="80">
        <v>0.30030000000000007</v>
      </c>
      <c r="AL458" s="80">
        <v>0.30030000000000007</v>
      </c>
      <c r="AM458" s="80">
        <v>0.30030000000000007</v>
      </c>
      <c r="AN458" s="80">
        <v>0.30030000000000007</v>
      </c>
      <c r="AO458" s="80">
        <v>0.30030000000000007</v>
      </c>
      <c r="AP458" s="80">
        <v>0.30030000000000007</v>
      </c>
      <c r="AQ458" s="80">
        <v>0.30030000000000007</v>
      </c>
      <c r="AR458" s="80">
        <v>0.30030000000000007</v>
      </c>
      <c r="AS458" s="80">
        <v>0.30030000000000007</v>
      </c>
      <c r="AT458" s="80">
        <v>0.30030000000000007</v>
      </c>
      <c r="AU458" s="80">
        <v>0.30030000000000007</v>
      </c>
      <c r="AV458" s="80">
        <v>0.30030000000000007</v>
      </c>
      <c r="AW458" s="80">
        <v>0.30030000000000007</v>
      </c>
      <c r="AX458" s="88">
        <v>0.30030000000000007</v>
      </c>
    </row>
    <row r="459" spans="1:50" x14ac:dyDescent="0.25">
      <c r="A459" s="356"/>
      <c r="B459" s="358" t="s">
        <v>17</v>
      </c>
      <c r="C459" s="353" t="s">
        <v>6</v>
      </c>
      <c r="D459" s="3" t="s">
        <v>7</v>
      </c>
      <c r="E459" s="162" t="str">
        <f>A451&amp;"/"&amp;B459&amp;"/"&amp;C459&amp;"/"&amp;D459</f>
        <v>Lignite fired power plants/Supercritical steam turbine/Electricity only/L</v>
      </c>
      <c r="F459" s="77" t="str">
        <f>A451</f>
        <v>Lignite fired power plants</v>
      </c>
      <c r="G459" s="77" t="str">
        <f>B459</f>
        <v>Supercritical steam turbine</v>
      </c>
      <c r="H459" s="77" t="str">
        <f>C459</f>
        <v>Electricity only</v>
      </c>
      <c r="I459" s="163" t="str">
        <f t="shared" si="83"/>
        <v>L</v>
      </c>
      <c r="J459" s="77">
        <v>6.0999999999999999E-2</v>
      </c>
      <c r="K459" s="77">
        <v>6.0999999999999999E-2</v>
      </c>
      <c r="L459" s="77">
        <v>6.0999999999999999E-2</v>
      </c>
      <c r="M459" s="77">
        <v>6.0999999999999999E-2</v>
      </c>
      <c r="N459" s="77">
        <v>6.0999999999999999E-2</v>
      </c>
      <c r="O459" s="77">
        <v>6.0999999999999999E-2</v>
      </c>
      <c r="P459" s="77">
        <v>6.0999999999999999E-2</v>
      </c>
      <c r="Q459" s="77">
        <v>6.0999999999999999E-2</v>
      </c>
      <c r="R459" s="77">
        <v>6.0999999999999999E-2</v>
      </c>
      <c r="S459" s="77">
        <v>6.0999999999999999E-2</v>
      </c>
      <c r="T459" s="77">
        <v>6.0999999999999999E-2</v>
      </c>
      <c r="U459" s="77">
        <v>6.0999999999999999E-2</v>
      </c>
      <c r="V459" s="77">
        <v>6.0999999999999999E-2</v>
      </c>
      <c r="W459" s="77">
        <v>6.0999999999999999E-2</v>
      </c>
      <c r="X459" s="77">
        <v>6.0999999999999999E-2</v>
      </c>
      <c r="Y459" s="77">
        <v>6.0999999999999999E-2</v>
      </c>
      <c r="Z459" s="77">
        <v>6.0999999999999999E-2</v>
      </c>
      <c r="AA459" s="77">
        <v>6.0999999999999999E-2</v>
      </c>
      <c r="AB459" s="77">
        <v>6.0999999999999999E-2</v>
      </c>
      <c r="AC459" s="77">
        <v>6.0999999999999999E-2</v>
      </c>
      <c r="AD459" s="77">
        <v>6.0999999999999999E-2</v>
      </c>
      <c r="AE459" s="77">
        <v>6.0999999999999999E-2</v>
      </c>
      <c r="AF459" s="77">
        <v>6.0999999999999999E-2</v>
      </c>
      <c r="AG459" s="77">
        <v>6.0999999999999999E-2</v>
      </c>
      <c r="AH459" s="77">
        <v>6.0999999999999999E-2</v>
      </c>
      <c r="AI459" s="77">
        <v>6.0999999999999999E-2</v>
      </c>
      <c r="AJ459" s="77">
        <v>6.0999999999999999E-2</v>
      </c>
      <c r="AK459" s="77">
        <v>6.0999999999999999E-2</v>
      </c>
      <c r="AL459" s="77">
        <v>6.0999999999999999E-2</v>
      </c>
      <c r="AM459" s="77">
        <v>6.0999999999999999E-2</v>
      </c>
      <c r="AN459" s="77">
        <v>6.0999999999999999E-2</v>
      </c>
      <c r="AO459" s="77">
        <v>6.0999999999999999E-2</v>
      </c>
      <c r="AP459" s="77">
        <v>6.0999999999999999E-2</v>
      </c>
      <c r="AQ459" s="77">
        <v>6.0999999999999999E-2</v>
      </c>
      <c r="AR459" s="77">
        <v>6.0999999999999999E-2</v>
      </c>
      <c r="AS459" s="77">
        <v>6.0999999999999999E-2</v>
      </c>
      <c r="AT459" s="77">
        <v>6.0999999999999999E-2</v>
      </c>
      <c r="AU459" s="77">
        <v>6.0999999999999999E-2</v>
      </c>
      <c r="AV459" s="77">
        <v>6.0999999999999999E-2</v>
      </c>
      <c r="AW459" s="77">
        <v>6.0999999999999999E-2</v>
      </c>
      <c r="AX459" s="85">
        <v>6.0999999999999999E-2</v>
      </c>
    </row>
    <row r="460" spans="1:50" x14ac:dyDescent="0.25">
      <c r="A460" s="356"/>
      <c r="B460" s="359"/>
      <c r="C460" s="360"/>
      <c r="D460" s="2" t="s">
        <v>8</v>
      </c>
      <c r="E460" s="160" t="str">
        <f>A451&amp;"/"&amp;B459&amp;"/"&amp;C459&amp;"/"&amp;D460</f>
        <v>Lignite fired power plants/Supercritical steam turbine/Electricity only/M</v>
      </c>
      <c r="F460" s="76" t="str">
        <f>A451</f>
        <v>Lignite fired power plants</v>
      </c>
      <c r="G460" s="76" t="str">
        <f>B459</f>
        <v>Supercritical steam turbine</v>
      </c>
      <c r="H460" s="76" t="str">
        <f>C459</f>
        <v>Electricity only</v>
      </c>
      <c r="I460" s="161" t="str">
        <f t="shared" si="83"/>
        <v>M</v>
      </c>
      <c r="J460" s="76">
        <v>6.4049999999999996E-2</v>
      </c>
      <c r="K460" s="76">
        <v>6.4049999999999996E-2</v>
      </c>
      <c r="L460" s="76">
        <v>6.4049999999999996E-2</v>
      </c>
      <c r="M460" s="76">
        <v>6.4049999999999996E-2</v>
      </c>
      <c r="N460" s="76">
        <v>6.4049999999999996E-2</v>
      </c>
      <c r="O460" s="76">
        <v>6.4049999999999996E-2</v>
      </c>
      <c r="P460" s="76">
        <v>6.4049999999999996E-2</v>
      </c>
      <c r="Q460" s="76">
        <v>6.4049999999999996E-2</v>
      </c>
      <c r="R460" s="76">
        <v>6.4049999999999996E-2</v>
      </c>
      <c r="S460" s="76">
        <v>6.4049999999999996E-2</v>
      </c>
      <c r="T460" s="76">
        <v>6.4049999999999996E-2</v>
      </c>
      <c r="U460" s="76">
        <v>6.4049999999999996E-2</v>
      </c>
      <c r="V460" s="76">
        <v>6.4049999999999996E-2</v>
      </c>
      <c r="W460" s="76">
        <v>6.4049999999999996E-2</v>
      </c>
      <c r="X460" s="76">
        <v>6.4049999999999996E-2</v>
      </c>
      <c r="Y460" s="76">
        <v>6.4049999999999996E-2</v>
      </c>
      <c r="Z460" s="76">
        <v>6.4049999999999996E-2</v>
      </c>
      <c r="AA460" s="76">
        <v>6.4049999999999996E-2</v>
      </c>
      <c r="AB460" s="76">
        <v>6.4049999999999996E-2</v>
      </c>
      <c r="AC460" s="76">
        <v>6.4049999999999996E-2</v>
      </c>
      <c r="AD460" s="76">
        <v>6.4049999999999996E-2</v>
      </c>
      <c r="AE460" s="76">
        <v>6.4049999999999996E-2</v>
      </c>
      <c r="AF460" s="76">
        <v>6.4049999999999996E-2</v>
      </c>
      <c r="AG460" s="76">
        <v>6.4049999999999996E-2</v>
      </c>
      <c r="AH460" s="76">
        <v>6.4049999999999996E-2</v>
      </c>
      <c r="AI460" s="76">
        <v>6.4049999999999996E-2</v>
      </c>
      <c r="AJ460" s="76">
        <v>6.4049999999999996E-2</v>
      </c>
      <c r="AK460" s="76">
        <v>6.4049999999999996E-2</v>
      </c>
      <c r="AL460" s="76">
        <v>6.4049999999999996E-2</v>
      </c>
      <c r="AM460" s="76">
        <v>6.4049999999999996E-2</v>
      </c>
      <c r="AN460" s="76">
        <v>6.4049999999999996E-2</v>
      </c>
      <c r="AO460" s="76">
        <v>6.4049999999999996E-2</v>
      </c>
      <c r="AP460" s="76">
        <v>6.4049999999999996E-2</v>
      </c>
      <c r="AQ460" s="76">
        <v>6.4049999999999996E-2</v>
      </c>
      <c r="AR460" s="76">
        <v>6.4049999999999996E-2</v>
      </c>
      <c r="AS460" s="76">
        <v>6.4049999999999996E-2</v>
      </c>
      <c r="AT460" s="76">
        <v>6.4049999999999996E-2</v>
      </c>
      <c r="AU460" s="76">
        <v>6.4049999999999996E-2</v>
      </c>
      <c r="AV460" s="76">
        <v>6.4049999999999996E-2</v>
      </c>
      <c r="AW460" s="76">
        <v>6.4049999999999996E-2</v>
      </c>
      <c r="AX460" s="84">
        <v>6.4049999999999996E-2</v>
      </c>
    </row>
    <row r="461" spans="1:50" x14ac:dyDescent="0.25">
      <c r="A461" s="356"/>
      <c r="B461" s="359"/>
      <c r="C461" s="361" t="s">
        <v>14</v>
      </c>
      <c r="D461" s="58" t="s">
        <v>7</v>
      </c>
      <c r="E461" s="164" t="str">
        <f>A451&amp;"/"&amp;B459&amp;"/"&amp;C461&amp;"/"&amp;D461</f>
        <v>Lignite fired power plants/Supercritical steam turbine/CHP/L</v>
      </c>
      <c r="F461" s="78" t="str">
        <f>A451</f>
        <v>Lignite fired power plants</v>
      </c>
      <c r="G461" s="78" t="str">
        <f>B459</f>
        <v>Supercritical steam turbine</v>
      </c>
      <c r="H461" s="78" t="str">
        <f>C461</f>
        <v>CHP</v>
      </c>
      <c r="I461" s="165" t="str">
        <f t="shared" si="83"/>
        <v>L</v>
      </c>
      <c r="J461" s="78">
        <v>6.7100000000000007E-2</v>
      </c>
      <c r="K461" s="78">
        <v>6.7100000000000007E-2</v>
      </c>
      <c r="L461" s="78">
        <v>6.7100000000000007E-2</v>
      </c>
      <c r="M461" s="78">
        <v>6.7100000000000007E-2</v>
      </c>
      <c r="N461" s="78">
        <v>6.7100000000000007E-2</v>
      </c>
      <c r="O461" s="78">
        <v>6.7100000000000007E-2</v>
      </c>
      <c r="P461" s="78">
        <v>6.7100000000000007E-2</v>
      </c>
      <c r="Q461" s="78">
        <v>6.7100000000000007E-2</v>
      </c>
      <c r="R461" s="78">
        <v>6.7100000000000007E-2</v>
      </c>
      <c r="S461" s="78">
        <v>6.7100000000000007E-2</v>
      </c>
      <c r="T461" s="78">
        <v>6.7100000000000007E-2</v>
      </c>
      <c r="U461" s="78">
        <v>6.7100000000000007E-2</v>
      </c>
      <c r="V461" s="78">
        <v>6.7100000000000007E-2</v>
      </c>
      <c r="W461" s="78">
        <v>6.7100000000000007E-2</v>
      </c>
      <c r="X461" s="78">
        <v>6.7100000000000007E-2</v>
      </c>
      <c r="Y461" s="78">
        <v>6.7100000000000007E-2</v>
      </c>
      <c r="Z461" s="78">
        <v>6.7100000000000007E-2</v>
      </c>
      <c r="AA461" s="78">
        <v>6.7100000000000007E-2</v>
      </c>
      <c r="AB461" s="78">
        <v>6.7100000000000007E-2</v>
      </c>
      <c r="AC461" s="78">
        <v>6.7100000000000007E-2</v>
      </c>
      <c r="AD461" s="78">
        <v>6.7100000000000007E-2</v>
      </c>
      <c r="AE461" s="78">
        <v>6.7100000000000007E-2</v>
      </c>
      <c r="AF461" s="78">
        <v>6.7100000000000007E-2</v>
      </c>
      <c r="AG461" s="78">
        <v>6.7100000000000007E-2</v>
      </c>
      <c r="AH461" s="78">
        <v>6.7100000000000007E-2</v>
      </c>
      <c r="AI461" s="78">
        <v>6.7100000000000007E-2</v>
      </c>
      <c r="AJ461" s="78">
        <v>6.7100000000000007E-2</v>
      </c>
      <c r="AK461" s="78">
        <v>6.7100000000000007E-2</v>
      </c>
      <c r="AL461" s="78">
        <v>6.7100000000000007E-2</v>
      </c>
      <c r="AM461" s="78">
        <v>6.7100000000000007E-2</v>
      </c>
      <c r="AN461" s="78">
        <v>6.7100000000000007E-2</v>
      </c>
      <c r="AO461" s="78">
        <v>6.7100000000000007E-2</v>
      </c>
      <c r="AP461" s="78">
        <v>6.7100000000000007E-2</v>
      </c>
      <c r="AQ461" s="78">
        <v>6.7100000000000007E-2</v>
      </c>
      <c r="AR461" s="78">
        <v>6.7100000000000007E-2</v>
      </c>
      <c r="AS461" s="78">
        <v>6.7100000000000007E-2</v>
      </c>
      <c r="AT461" s="78">
        <v>6.7100000000000007E-2</v>
      </c>
      <c r="AU461" s="78">
        <v>6.7100000000000007E-2</v>
      </c>
      <c r="AV461" s="78">
        <v>6.7100000000000007E-2</v>
      </c>
      <c r="AW461" s="78">
        <v>6.7100000000000007E-2</v>
      </c>
      <c r="AX461" s="86">
        <v>6.7100000000000007E-2</v>
      </c>
    </row>
    <row r="462" spans="1:50" x14ac:dyDescent="0.25">
      <c r="A462" s="356"/>
      <c r="B462" s="359"/>
      <c r="C462" s="360"/>
      <c r="D462" s="59" t="s">
        <v>8</v>
      </c>
      <c r="E462" s="166" t="str">
        <f>A451&amp;"/"&amp;B459&amp;"/"&amp;C461&amp;"/"&amp;D462</f>
        <v>Lignite fired power plants/Supercritical steam turbine/CHP/M</v>
      </c>
      <c r="F462" s="79" t="str">
        <f>A451</f>
        <v>Lignite fired power plants</v>
      </c>
      <c r="G462" s="79" t="str">
        <f>B459</f>
        <v>Supercritical steam turbine</v>
      </c>
      <c r="H462" s="79" t="str">
        <f>C461</f>
        <v>CHP</v>
      </c>
      <c r="I462" s="167" t="str">
        <f t="shared" si="83"/>
        <v>M</v>
      </c>
      <c r="J462" s="79">
        <v>7.0455000000000004E-2</v>
      </c>
      <c r="K462" s="79">
        <v>7.0455000000000004E-2</v>
      </c>
      <c r="L462" s="79">
        <v>7.0455000000000004E-2</v>
      </c>
      <c r="M462" s="79">
        <v>7.0455000000000004E-2</v>
      </c>
      <c r="N462" s="79">
        <v>7.0455000000000004E-2</v>
      </c>
      <c r="O462" s="79">
        <v>7.0455000000000004E-2</v>
      </c>
      <c r="P462" s="79">
        <v>7.0455000000000004E-2</v>
      </c>
      <c r="Q462" s="79">
        <v>7.0455000000000004E-2</v>
      </c>
      <c r="R462" s="79">
        <v>7.0455000000000004E-2</v>
      </c>
      <c r="S462" s="79">
        <v>7.0455000000000004E-2</v>
      </c>
      <c r="T462" s="79">
        <v>7.0455000000000004E-2</v>
      </c>
      <c r="U462" s="79">
        <v>7.0455000000000004E-2</v>
      </c>
      <c r="V462" s="79">
        <v>7.0455000000000004E-2</v>
      </c>
      <c r="W462" s="79">
        <v>7.0455000000000004E-2</v>
      </c>
      <c r="X462" s="79">
        <v>7.0455000000000004E-2</v>
      </c>
      <c r="Y462" s="79">
        <v>7.0455000000000004E-2</v>
      </c>
      <c r="Z462" s="79">
        <v>7.0455000000000004E-2</v>
      </c>
      <c r="AA462" s="79">
        <v>7.0455000000000004E-2</v>
      </c>
      <c r="AB462" s="79">
        <v>7.0455000000000004E-2</v>
      </c>
      <c r="AC462" s="79">
        <v>7.0455000000000004E-2</v>
      </c>
      <c r="AD462" s="79">
        <v>7.0455000000000004E-2</v>
      </c>
      <c r="AE462" s="79">
        <v>7.0455000000000004E-2</v>
      </c>
      <c r="AF462" s="79">
        <v>7.0455000000000004E-2</v>
      </c>
      <c r="AG462" s="79">
        <v>7.0455000000000004E-2</v>
      </c>
      <c r="AH462" s="79">
        <v>7.0455000000000004E-2</v>
      </c>
      <c r="AI462" s="79">
        <v>7.0455000000000004E-2</v>
      </c>
      <c r="AJ462" s="79">
        <v>7.0455000000000004E-2</v>
      </c>
      <c r="AK462" s="79">
        <v>7.0455000000000004E-2</v>
      </c>
      <c r="AL462" s="79">
        <v>7.0455000000000004E-2</v>
      </c>
      <c r="AM462" s="79">
        <v>7.0455000000000004E-2</v>
      </c>
      <c r="AN462" s="79">
        <v>7.0455000000000004E-2</v>
      </c>
      <c r="AO462" s="79">
        <v>7.0455000000000004E-2</v>
      </c>
      <c r="AP462" s="79">
        <v>7.0455000000000004E-2</v>
      </c>
      <c r="AQ462" s="79">
        <v>7.0455000000000004E-2</v>
      </c>
      <c r="AR462" s="79">
        <v>7.0455000000000004E-2</v>
      </c>
      <c r="AS462" s="79">
        <v>7.0455000000000004E-2</v>
      </c>
      <c r="AT462" s="79">
        <v>7.0455000000000004E-2</v>
      </c>
      <c r="AU462" s="79">
        <v>7.0455000000000004E-2</v>
      </c>
      <c r="AV462" s="79">
        <v>7.0455000000000004E-2</v>
      </c>
      <c r="AW462" s="79">
        <v>7.0455000000000004E-2</v>
      </c>
      <c r="AX462" s="87">
        <v>7.0455000000000004E-2</v>
      </c>
    </row>
    <row r="463" spans="1:50" x14ac:dyDescent="0.25">
      <c r="A463" s="356"/>
      <c r="B463" s="359"/>
      <c r="C463" s="361" t="s">
        <v>15</v>
      </c>
      <c r="D463" s="58" t="s">
        <v>7</v>
      </c>
      <c r="E463" s="164" t="str">
        <f>A451&amp;"/"&amp;B459&amp;"/"&amp;C463&amp;"/"&amp;D463</f>
        <v>Lignite fired power plants/Supercritical steam turbine/Electricity only with CCS/L</v>
      </c>
      <c r="F463" s="78" t="str">
        <f>A451</f>
        <v>Lignite fired power plants</v>
      </c>
      <c r="G463" s="78" t="str">
        <f>B459</f>
        <v>Supercritical steam turbine</v>
      </c>
      <c r="H463" s="78" t="str">
        <f>C463</f>
        <v>Electricity only with CCS</v>
      </c>
      <c r="I463" s="165" t="str">
        <f t="shared" si="83"/>
        <v>L</v>
      </c>
      <c r="J463" s="78" t="s">
        <v>112</v>
      </c>
      <c r="K463" s="78" t="s">
        <v>112</v>
      </c>
      <c r="L463" s="78" t="s">
        <v>112</v>
      </c>
      <c r="M463" s="78" t="s">
        <v>112</v>
      </c>
      <c r="N463" s="78" t="s">
        <v>112</v>
      </c>
      <c r="O463" s="78" t="s">
        <v>112</v>
      </c>
      <c r="P463" s="78" t="s">
        <v>112</v>
      </c>
      <c r="Q463" s="78" t="s">
        <v>112</v>
      </c>
      <c r="R463" s="78" t="s">
        <v>112</v>
      </c>
      <c r="S463" s="78" t="s">
        <v>112</v>
      </c>
      <c r="T463" s="78" t="s">
        <v>112</v>
      </c>
      <c r="U463" s="78" t="s">
        <v>112</v>
      </c>
      <c r="V463" s="78" t="s">
        <v>112</v>
      </c>
      <c r="W463" s="78" t="s">
        <v>112</v>
      </c>
      <c r="X463" s="78" t="s">
        <v>112</v>
      </c>
      <c r="Y463" s="78" t="s">
        <v>112</v>
      </c>
      <c r="Z463" s="78" t="s">
        <v>112</v>
      </c>
      <c r="AA463" s="78" t="s">
        <v>112</v>
      </c>
      <c r="AB463" s="78" t="s">
        <v>112</v>
      </c>
      <c r="AC463" s="78" t="s">
        <v>112</v>
      </c>
      <c r="AD463" s="78" t="s">
        <v>112</v>
      </c>
      <c r="AE463" s="78">
        <v>0.27449999999999997</v>
      </c>
      <c r="AF463" s="78">
        <v>0.27449999999999997</v>
      </c>
      <c r="AG463" s="78">
        <v>0.27449999999999997</v>
      </c>
      <c r="AH463" s="78">
        <v>0.27449999999999997</v>
      </c>
      <c r="AI463" s="78">
        <v>0.27449999999999997</v>
      </c>
      <c r="AJ463" s="78">
        <v>0.27449999999999997</v>
      </c>
      <c r="AK463" s="78">
        <v>0.27449999999999997</v>
      </c>
      <c r="AL463" s="78">
        <v>0.27449999999999997</v>
      </c>
      <c r="AM463" s="78">
        <v>0.27449999999999997</v>
      </c>
      <c r="AN463" s="78">
        <v>0.27449999999999997</v>
      </c>
      <c r="AO463" s="78">
        <v>0.27449999999999997</v>
      </c>
      <c r="AP463" s="78">
        <v>0.27449999999999997</v>
      </c>
      <c r="AQ463" s="78">
        <v>0.27449999999999997</v>
      </c>
      <c r="AR463" s="78">
        <v>0.27449999999999997</v>
      </c>
      <c r="AS463" s="78">
        <v>0.27449999999999997</v>
      </c>
      <c r="AT463" s="78">
        <v>0.27449999999999997</v>
      </c>
      <c r="AU463" s="78">
        <v>0.27449999999999997</v>
      </c>
      <c r="AV463" s="78">
        <v>0.27449999999999997</v>
      </c>
      <c r="AW463" s="78">
        <v>0.27449999999999997</v>
      </c>
      <c r="AX463" s="86">
        <v>0.27449999999999997</v>
      </c>
    </row>
    <row r="464" spans="1:50" x14ac:dyDescent="0.25">
      <c r="A464" s="356"/>
      <c r="B464" s="359"/>
      <c r="C464" s="360"/>
      <c r="D464" s="59" t="s">
        <v>8</v>
      </c>
      <c r="E464" s="166" t="str">
        <f>A451&amp;"/"&amp;B459&amp;"/"&amp;C463&amp;"/"&amp;D464</f>
        <v>Lignite fired power plants/Supercritical steam turbine/Electricity only with CCS/M</v>
      </c>
      <c r="F464" s="79" t="str">
        <f>A451</f>
        <v>Lignite fired power plants</v>
      </c>
      <c r="G464" s="79" t="str">
        <f>B459</f>
        <v>Supercritical steam turbine</v>
      </c>
      <c r="H464" s="79" t="str">
        <f>C463</f>
        <v>Electricity only with CCS</v>
      </c>
      <c r="I464" s="167" t="str">
        <f t="shared" si="83"/>
        <v>M</v>
      </c>
      <c r="J464" s="79" t="s">
        <v>112</v>
      </c>
      <c r="K464" s="79" t="s">
        <v>112</v>
      </c>
      <c r="L464" s="79" t="s">
        <v>112</v>
      </c>
      <c r="M464" s="79" t="s">
        <v>112</v>
      </c>
      <c r="N464" s="79" t="s">
        <v>112</v>
      </c>
      <c r="O464" s="79" t="s">
        <v>112</v>
      </c>
      <c r="P464" s="79" t="s">
        <v>112</v>
      </c>
      <c r="Q464" s="79" t="s">
        <v>112</v>
      </c>
      <c r="R464" s="79" t="s">
        <v>112</v>
      </c>
      <c r="S464" s="79" t="s">
        <v>112</v>
      </c>
      <c r="T464" s="79" t="s">
        <v>112</v>
      </c>
      <c r="U464" s="79" t="s">
        <v>112</v>
      </c>
      <c r="V464" s="79" t="s">
        <v>112</v>
      </c>
      <c r="W464" s="79" t="s">
        <v>112</v>
      </c>
      <c r="X464" s="79" t="s">
        <v>112</v>
      </c>
      <c r="Y464" s="79" t="s">
        <v>112</v>
      </c>
      <c r="Z464" s="79" t="s">
        <v>112</v>
      </c>
      <c r="AA464" s="79" t="s">
        <v>112</v>
      </c>
      <c r="AB464" s="79" t="s">
        <v>112</v>
      </c>
      <c r="AC464" s="79" t="s">
        <v>112</v>
      </c>
      <c r="AD464" s="79" t="s">
        <v>112</v>
      </c>
      <c r="AE464" s="79">
        <v>0.28822499999999995</v>
      </c>
      <c r="AF464" s="79">
        <v>0.28822499999999995</v>
      </c>
      <c r="AG464" s="79">
        <v>0.28822499999999995</v>
      </c>
      <c r="AH464" s="79">
        <v>0.28822499999999995</v>
      </c>
      <c r="AI464" s="79">
        <v>0.28822499999999995</v>
      </c>
      <c r="AJ464" s="79">
        <v>0.28822499999999995</v>
      </c>
      <c r="AK464" s="79">
        <v>0.28822499999999995</v>
      </c>
      <c r="AL464" s="79">
        <v>0.28822499999999995</v>
      </c>
      <c r="AM464" s="79">
        <v>0.28822499999999995</v>
      </c>
      <c r="AN464" s="79">
        <v>0.28822499999999995</v>
      </c>
      <c r="AO464" s="79">
        <v>0.28822499999999995</v>
      </c>
      <c r="AP464" s="79">
        <v>0.28822499999999995</v>
      </c>
      <c r="AQ464" s="79">
        <v>0.28822499999999995</v>
      </c>
      <c r="AR464" s="79">
        <v>0.28822499999999995</v>
      </c>
      <c r="AS464" s="79">
        <v>0.28822499999999995</v>
      </c>
      <c r="AT464" s="79">
        <v>0.28822499999999995</v>
      </c>
      <c r="AU464" s="79">
        <v>0.28822499999999995</v>
      </c>
      <c r="AV464" s="79">
        <v>0.28822499999999995</v>
      </c>
      <c r="AW464" s="79">
        <v>0.28822499999999995</v>
      </c>
      <c r="AX464" s="87">
        <v>0.28822499999999995</v>
      </c>
    </row>
    <row r="465" spans="1:50" x14ac:dyDescent="0.25">
      <c r="A465" s="356"/>
      <c r="B465" s="359"/>
      <c r="C465" s="361" t="s">
        <v>16</v>
      </c>
      <c r="D465" s="2" t="s">
        <v>7</v>
      </c>
      <c r="E465" s="160" t="str">
        <f>A451&amp;"/"&amp;B459&amp;"/"&amp;C465&amp;"/"&amp;D465</f>
        <v>Lignite fired power plants/Supercritical steam turbine/CHP with CCS/L</v>
      </c>
      <c r="F465" s="76" t="str">
        <f>A451</f>
        <v>Lignite fired power plants</v>
      </c>
      <c r="G465" s="76" t="str">
        <f>B459</f>
        <v>Supercritical steam turbine</v>
      </c>
      <c r="H465" s="76" t="str">
        <f>C465</f>
        <v>CHP with CCS</v>
      </c>
      <c r="I465" s="161" t="str">
        <f t="shared" si="83"/>
        <v>L</v>
      </c>
      <c r="J465" s="76" t="s">
        <v>112</v>
      </c>
      <c r="K465" s="76" t="s">
        <v>112</v>
      </c>
      <c r="L465" s="76" t="s">
        <v>112</v>
      </c>
      <c r="M465" s="76" t="s">
        <v>112</v>
      </c>
      <c r="N465" s="76" t="s">
        <v>112</v>
      </c>
      <c r="O465" s="76" t="s">
        <v>112</v>
      </c>
      <c r="P465" s="76" t="s">
        <v>112</v>
      </c>
      <c r="Q465" s="76" t="s">
        <v>112</v>
      </c>
      <c r="R465" s="76" t="s">
        <v>112</v>
      </c>
      <c r="S465" s="76" t="s">
        <v>112</v>
      </c>
      <c r="T465" s="76" t="s">
        <v>112</v>
      </c>
      <c r="U465" s="76" t="s">
        <v>112</v>
      </c>
      <c r="V465" s="76" t="s">
        <v>112</v>
      </c>
      <c r="W465" s="76" t="s">
        <v>112</v>
      </c>
      <c r="X465" s="76" t="s">
        <v>112</v>
      </c>
      <c r="Y465" s="76" t="s">
        <v>112</v>
      </c>
      <c r="Z465" s="76" t="s">
        <v>112</v>
      </c>
      <c r="AA465" s="76" t="s">
        <v>112</v>
      </c>
      <c r="AB465" s="76" t="s">
        <v>112</v>
      </c>
      <c r="AC465" s="76" t="s">
        <v>112</v>
      </c>
      <c r="AD465" s="76" t="s">
        <v>112</v>
      </c>
      <c r="AE465" s="76">
        <v>0.30195</v>
      </c>
      <c r="AF465" s="76">
        <v>0.30195</v>
      </c>
      <c r="AG465" s="76">
        <v>0.30195</v>
      </c>
      <c r="AH465" s="76">
        <v>0.30195</v>
      </c>
      <c r="AI465" s="76">
        <v>0.30195</v>
      </c>
      <c r="AJ465" s="76">
        <v>0.30195</v>
      </c>
      <c r="AK465" s="76">
        <v>0.30195</v>
      </c>
      <c r="AL465" s="76">
        <v>0.30195</v>
      </c>
      <c r="AM465" s="76">
        <v>0.30195</v>
      </c>
      <c r="AN465" s="76">
        <v>0.30195</v>
      </c>
      <c r="AO465" s="76">
        <v>0.30195</v>
      </c>
      <c r="AP465" s="76">
        <v>0.30195</v>
      </c>
      <c r="AQ465" s="76">
        <v>0.30195</v>
      </c>
      <c r="AR465" s="76">
        <v>0.30195</v>
      </c>
      <c r="AS465" s="76">
        <v>0.30195</v>
      </c>
      <c r="AT465" s="76">
        <v>0.30195</v>
      </c>
      <c r="AU465" s="76">
        <v>0.30195</v>
      </c>
      <c r="AV465" s="76">
        <v>0.30195</v>
      </c>
      <c r="AW465" s="76">
        <v>0.30195</v>
      </c>
      <c r="AX465" s="84">
        <v>0.30195</v>
      </c>
    </row>
    <row r="466" spans="1:50" x14ac:dyDescent="0.25">
      <c r="A466" s="356"/>
      <c r="B466" s="362"/>
      <c r="C466" s="354"/>
      <c r="D466" s="4" t="s">
        <v>8</v>
      </c>
      <c r="E466" s="168" t="str">
        <f>A451&amp;"/"&amp;B459&amp;"/"&amp;C465&amp;"/"&amp;D466</f>
        <v>Lignite fired power plants/Supercritical steam turbine/CHP with CCS/M</v>
      </c>
      <c r="F466" s="80" t="str">
        <f>A451</f>
        <v>Lignite fired power plants</v>
      </c>
      <c r="G466" s="80" t="str">
        <f>B459</f>
        <v>Supercritical steam turbine</v>
      </c>
      <c r="H466" s="80" t="str">
        <f>C465</f>
        <v>CHP with CCS</v>
      </c>
      <c r="I466" s="169" t="str">
        <f t="shared" si="83"/>
        <v>M</v>
      </c>
      <c r="J466" s="80" t="s">
        <v>112</v>
      </c>
      <c r="K466" s="80" t="s">
        <v>112</v>
      </c>
      <c r="L466" s="80" t="s">
        <v>112</v>
      </c>
      <c r="M466" s="80" t="s">
        <v>112</v>
      </c>
      <c r="N466" s="80" t="s">
        <v>112</v>
      </c>
      <c r="O466" s="80" t="s">
        <v>112</v>
      </c>
      <c r="P466" s="80" t="s">
        <v>112</v>
      </c>
      <c r="Q466" s="80" t="s">
        <v>112</v>
      </c>
      <c r="R466" s="80" t="s">
        <v>112</v>
      </c>
      <c r="S466" s="80" t="s">
        <v>112</v>
      </c>
      <c r="T466" s="80" t="s">
        <v>112</v>
      </c>
      <c r="U466" s="80" t="s">
        <v>112</v>
      </c>
      <c r="V466" s="80" t="s">
        <v>112</v>
      </c>
      <c r="W466" s="80" t="s">
        <v>112</v>
      </c>
      <c r="X466" s="80" t="s">
        <v>112</v>
      </c>
      <c r="Y466" s="80" t="s">
        <v>112</v>
      </c>
      <c r="Z466" s="80" t="s">
        <v>112</v>
      </c>
      <c r="AA466" s="80" t="s">
        <v>112</v>
      </c>
      <c r="AB466" s="80" t="s">
        <v>112</v>
      </c>
      <c r="AC466" s="80" t="s">
        <v>112</v>
      </c>
      <c r="AD466" s="80" t="s">
        <v>112</v>
      </c>
      <c r="AE466" s="80">
        <v>0.31704749999999998</v>
      </c>
      <c r="AF466" s="80">
        <v>0.31704749999999998</v>
      </c>
      <c r="AG466" s="80">
        <v>0.31704749999999998</v>
      </c>
      <c r="AH466" s="80">
        <v>0.31704749999999998</v>
      </c>
      <c r="AI466" s="80">
        <v>0.31704749999999998</v>
      </c>
      <c r="AJ466" s="80">
        <v>0.31704749999999998</v>
      </c>
      <c r="AK466" s="80">
        <v>0.31704749999999998</v>
      </c>
      <c r="AL466" s="80">
        <v>0.31704749999999998</v>
      </c>
      <c r="AM466" s="80">
        <v>0.31704749999999998</v>
      </c>
      <c r="AN466" s="80">
        <v>0.31704749999999998</v>
      </c>
      <c r="AO466" s="80">
        <v>0.31704749999999998</v>
      </c>
      <c r="AP466" s="80">
        <v>0.31704749999999998</v>
      </c>
      <c r="AQ466" s="80">
        <v>0.31704749999999998</v>
      </c>
      <c r="AR466" s="80">
        <v>0.31704749999999998</v>
      </c>
      <c r="AS466" s="80">
        <v>0.31704749999999998</v>
      </c>
      <c r="AT466" s="80">
        <v>0.31704749999999998</v>
      </c>
      <c r="AU466" s="80">
        <v>0.31704749999999998</v>
      </c>
      <c r="AV466" s="80">
        <v>0.31704749999999998</v>
      </c>
      <c r="AW466" s="80">
        <v>0.31704749999999998</v>
      </c>
      <c r="AX466" s="88">
        <v>0.31704749999999998</v>
      </c>
    </row>
    <row r="467" spans="1:50" x14ac:dyDescent="0.25">
      <c r="A467" s="356"/>
      <c r="B467" s="358" t="s">
        <v>18</v>
      </c>
      <c r="C467" s="353" t="s">
        <v>6</v>
      </c>
      <c r="D467" s="3" t="s">
        <v>7</v>
      </c>
      <c r="E467" s="162" t="str">
        <f>A451&amp;"/"&amp;B467&amp;"/"&amp;C467&amp;"/"&amp;D467</f>
        <v>Lignite fired power plants/Fluidized bed combustion/Electricity only/L</v>
      </c>
      <c r="F467" s="77" t="str">
        <f>A451</f>
        <v>Lignite fired power plants</v>
      </c>
      <c r="G467" s="77" t="str">
        <f>B467</f>
        <v>Fluidized bed combustion</v>
      </c>
      <c r="H467" s="77" t="str">
        <f>C467</f>
        <v>Electricity only</v>
      </c>
      <c r="I467" s="163" t="str">
        <f t="shared" si="83"/>
        <v>L</v>
      </c>
      <c r="J467" s="77">
        <v>5.1999999999999998E-2</v>
      </c>
      <c r="K467" s="77">
        <v>5.1999999999999998E-2</v>
      </c>
      <c r="L467" s="77">
        <v>5.1999999999999998E-2</v>
      </c>
      <c r="M467" s="77">
        <v>5.1999999999999998E-2</v>
      </c>
      <c r="N467" s="77">
        <v>5.1999999999999998E-2</v>
      </c>
      <c r="O467" s="77">
        <v>5.1999999999999998E-2</v>
      </c>
      <c r="P467" s="77">
        <v>5.1999999999999998E-2</v>
      </c>
      <c r="Q467" s="77">
        <v>5.1999999999999998E-2</v>
      </c>
      <c r="R467" s="77">
        <v>5.1999999999999998E-2</v>
      </c>
      <c r="S467" s="77">
        <v>5.1999999999999998E-2</v>
      </c>
      <c r="T467" s="77">
        <v>5.1999999999999998E-2</v>
      </c>
      <c r="U467" s="77">
        <v>5.1999999999999998E-2</v>
      </c>
      <c r="V467" s="77">
        <v>5.1999999999999998E-2</v>
      </c>
      <c r="W467" s="77">
        <v>5.1999999999999998E-2</v>
      </c>
      <c r="X467" s="77">
        <v>5.1999999999999998E-2</v>
      </c>
      <c r="Y467" s="77">
        <v>5.1999999999999998E-2</v>
      </c>
      <c r="Z467" s="77">
        <v>5.1999999999999998E-2</v>
      </c>
      <c r="AA467" s="77">
        <v>5.1999999999999998E-2</v>
      </c>
      <c r="AB467" s="77">
        <v>5.1999999999999998E-2</v>
      </c>
      <c r="AC467" s="77">
        <v>5.1999999999999998E-2</v>
      </c>
      <c r="AD467" s="77">
        <v>5.1999999999999998E-2</v>
      </c>
      <c r="AE467" s="77">
        <v>5.1999999999999998E-2</v>
      </c>
      <c r="AF467" s="77">
        <v>5.1999999999999998E-2</v>
      </c>
      <c r="AG467" s="77">
        <v>5.1999999999999998E-2</v>
      </c>
      <c r="AH467" s="77">
        <v>5.1999999999999998E-2</v>
      </c>
      <c r="AI467" s="77">
        <v>5.1999999999999998E-2</v>
      </c>
      <c r="AJ467" s="77">
        <v>5.1999999999999998E-2</v>
      </c>
      <c r="AK467" s="77">
        <v>5.1999999999999998E-2</v>
      </c>
      <c r="AL467" s="77">
        <v>5.1999999999999998E-2</v>
      </c>
      <c r="AM467" s="77">
        <v>5.1999999999999998E-2</v>
      </c>
      <c r="AN467" s="77">
        <v>5.1999999999999998E-2</v>
      </c>
      <c r="AO467" s="77">
        <v>5.1999999999999998E-2</v>
      </c>
      <c r="AP467" s="77">
        <v>5.1999999999999998E-2</v>
      </c>
      <c r="AQ467" s="77">
        <v>5.1999999999999998E-2</v>
      </c>
      <c r="AR467" s="77">
        <v>5.1999999999999998E-2</v>
      </c>
      <c r="AS467" s="77">
        <v>5.1999999999999998E-2</v>
      </c>
      <c r="AT467" s="77">
        <v>5.1999999999999998E-2</v>
      </c>
      <c r="AU467" s="77">
        <v>5.1999999999999998E-2</v>
      </c>
      <c r="AV467" s="77">
        <v>5.1999999999999998E-2</v>
      </c>
      <c r="AW467" s="77">
        <v>5.1999999999999998E-2</v>
      </c>
      <c r="AX467" s="85">
        <v>5.1999999999999998E-2</v>
      </c>
    </row>
    <row r="468" spans="1:50" x14ac:dyDescent="0.25">
      <c r="A468" s="356"/>
      <c r="B468" s="359"/>
      <c r="C468" s="350"/>
      <c r="D468" s="2" t="s">
        <v>8</v>
      </c>
      <c r="E468" s="160" t="str">
        <f>A451&amp;"/"&amp;B467&amp;"/"&amp;C467&amp;"/"&amp;D468</f>
        <v>Lignite fired power plants/Fluidized bed combustion/Electricity only/M</v>
      </c>
      <c r="F468" s="76" t="str">
        <f>A451</f>
        <v>Lignite fired power plants</v>
      </c>
      <c r="G468" s="76" t="str">
        <f>B467</f>
        <v>Fluidized bed combustion</v>
      </c>
      <c r="H468" s="76" t="str">
        <f>C467</f>
        <v>Electricity only</v>
      </c>
      <c r="I468" s="161" t="str">
        <f t="shared" si="83"/>
        <v>M</v>
      </c>
      <c r="J468" s="76">
        <v>5.4600000000000003E-2</v>
      </c>
      <c r="K468" s="76">
        <v>5.4600000000000003E-2</v>
      </c>
      <c r="L468" s="76">
        <v>5.4600000000000003E-2</v>
      </c>
      <c r="M468" s="76">
        <v>5.4600000000000003E-2</v>
      </c>
      <c r="N468" s="76">
        <v>5.4600000000000003E-2</v>
      </c>
      <c r="O468" s="76">
        <v>5.4600000000000003E-2</v>
      </c>
      <c r="P468" s="76">
        <v>5.4600000000000003E-2</v>
      </c>
      <c r="Q468" s="76">
        <v>5.4600000000000003E-2</v>
      </c>
      <c r="R468" s="76">
        <v>5.4600000000000003E-2</v>
      </c>
      <c r="S468" s="76">
        <v>5.4600000000000003E-2</v>
      </c>
      <c r="T468" s="76">
        <v>5.4600000000000003E-2</v>
      </c>
      <c r="U468" s="76">
        <v>5.4600000000000003E-2</v>
      </c>
      <c r="V468" s="76">
        <v>5.4600000000000003E-2</v>
      </c>
      <c r="W468" s="76">
        <v>5.4600000000000003E-2</v>
      </c>
      <c r="X468" s="76">
        <v>5.4600000000000003E-2</v>
      </c>
      <c r="Y468" s="76">
        <v>5.4600000000000003E-2</v>
      </c>
      <c r="Z468" s="76">
        <v>5.4600000000000003E-2</v>
      </c>
      <c r="AA468" s="76">
        <v>5.4600000000000003E-2</v>
      </c>
      <c r="AB468" s="76">
        <v>5.4600000000000003E-2</v>
      </c>
      <c r="AC468" s="76">
        <v>5.4600000000000003E-2</v>
      </c>
      <c r="AD468" s="76">
        <v>5.4600000000000003E-2</v>
      </c>
      <c r="AE468" s="76">
        <v>5.4600000000000003E-2</v>
      </c>
      <c r="AF468" s="76">
        <v>5.4600000000000003E-2</v>
      </c>
      <c r="AG468" s="76">
        <v>5.4600000000000003E-2</v>
      </c>
      <c r="AH468" s="76">
        <v>5.4600000000000003E-2</v>
      </c>
      <c r="AI468" s="76">
        <v>5.4600000000000003E-2</v>
      </c>
      <c r="AJ468" s="76">
        <v>5.4600000000000003E-2</v>
      </c>
      <c r="AK468" s="76">
        <v>5.4600000000000003E-2</v>
      </c>
      <c r="AL468" s="76">
        <v>5.4600000000000003E-2</v>
      </c>
      <c r="AM468" s="76">
        <v>5.4600000000000003E-2</v>
      </c>
      <c r="AN468" s="76">
        <v>5.4600000000000003E-2</v>
      </c>
      <c r="AO468" s="76">
        <v>5.4600000000000003E-2</v>
      </c>
      <c r="AP468" s="76">
        <v>5.4600000000000003E-2</v>
      </c>
      <c r="AQ468" s="76">
        <v>5.4600000000000003E-2</v>
      </c>
      <c r="AR468" s="76">
        <v>5.4600000000000003E-2</v>
      </c>
      <c r="AS468" s="76">
        <v>5.4600000000000003E-2</v>
      </c>
      <c r="AT468" s="76">
        <v>5.4600000000000003E-2</v>
      </c>
      <c r="AU468" s="76">
        <v>5.4600000000000003E-2</v>
      </c>
      <c r="AV468" s="76">
        <v>5.4600000000000003E-2</v>
      </c>
      <c r="AW468" s="76">
        <v>5.4600000000000003E-2</v>
      </c>
      <c r="AX468" s="84">
        <v>5.4600000000000003E-2</v>
      </c>
    </row>
    <row r="469" spans="1:50" x14ac:dyDescent="0.25">
      <c r="A469" s="356"/>
      <c r="B469" s="359"/>
      <c r="C469" s="360"/>
      <c r="D469" s="2" t="s">
        <v>10</v>
      </c>
      <c r="E469" s="160" t="str">
        <f>A451&amp;"/"&amp;B467&amp;"/"&amp;C467&amp;"/"&amp;D469</f>
        <v>Lignite fired power plants/Fluidized bed combustion/Electricity only/S</v>
      </c>
      <c r="F469" s="76" t="str">
        <f>A451</f>
        <v>Lignite fired power plants</v>
      </c>
      <c r="G469" s="76" t="str">
        <f>B467</f>
        <v>Fluidized bed combustion</v>
      </c>
      <c r="H469" s="76" t="str">
        <f>C467</f>
        <v>Electricity only</v>
      </c>
      <c r="I469" s="161" t="str">
        <f t="shared" si="83"/>
        <v>S</v>
      </c>
      <c r="J469" s="76">
        <v>5.7330000000000006E-2</v>
      </c>
      <c r="K469" s="76">
        <v>5.7330000000000006E-2</v>
      </c>
      <c r="L469" s="76">
        <v>5.7330000000000006E-2</v>
      </c>
      <c r="M469" s="76">
        <v>5.7330000000000006E-2</v>
      </c>
      <c r="N469" s="76">
        <v>5.7330000000000006E-2</v>
      </c>
      <c r="O469" s="76">
        <v>5.7330000000000006E-2</v>
      </c>
      <c r="P469" s="76">
        <v>5.7330000000000006E-2</v>
      </c>
      <c r="Q469" s="76">
        <v>5.7330000000000006E-2</v>
      </c>
      <c r="R469" s="76">
        <v>5.7330000000000006E-2</v>
      </c>
      <c r="S469" s="76">
        <v>5.7330000000000006E-2</v>
      </c>
      <c r="T469" s="76">
        <v>5.7330000000000006E-2</v>
      </c>
      <c r="U469" s="76">
        <v>5.7330000000000006E-2</v>
      </c>
      <c r="V469" s="76">
        <v>5.7330000000000006E-2</v>
      </c>
      <c r="W469" s="76">
        <v>5.7330000000000006E-2</v>
      </c>
      <c r="X469" s="76">
        <v>5.7330000000000006E-2</v>
      </c>
      <c r="Y469" s="76">
        <v>5.7330000000000006E-2</v>
      </c>
      <c r="Z469" s="76">
        <v>5.7330000000000006E-2</v>
      </c>
      <c r="AA469" s="76">
        <v>5.7330000000000006E-2</v>
      </c>
      <c r="AB469" s="76">
        <v>5.7330000000000006E-2</v>
      </c>
      <c r="AC469" s="76">
        <v>5.7330000000000006E-2</v>
      </c>
      <c r="AD469" s="76">
        <v>5.7330000000000006E-2</v>
      </c>
      <c r="AE469" s="76">
        <v>5.7330000000000006E-2</v>
      </c>
      <c r="AF469" s="76">
        <v>5.7330000000000006E-2</v>
      </c>
      <c r="AG469" s="76">
        <v>5.7330000000000006E-2</v>
      </c>
      <c r="AH469" s="76">
        <v>5.7330000000000006E-2</v>
      </c>
      <c r="AI469" s="76">
        <v>5.7330000000000006E-2</v>
      </c>
      <c r="AJ469" s="76">
        <v>5.7330000000000006E-2</v>
      </c>
      <c r="AK469" s="76">
        <v>5.7330000000000006E-2</v>
      </c>
      <c r="AL469" s="76">
        <v>5.7330000000000006E-2</v>
      </c>
      <c r="AM469" s="76">
        <v>5.7330000000000006E-2</v>
      </c>
      <c r="AN469" s="76">
        <v>5.7330000000000006E-2</v>
      </c>
      <c r="AO469" s="76">
        <v>5.7330000000000006E-2</v>
      </c>
      <c r="AP469" s="76">
        <v>5.7330000000000006E-2</v>
      </c>
      <c r="AQ469" s="76">
        <v>5.7330000000000006E-2</v>
      </c>
      <c r="AR469" s="76">
        <v>5.7330000000000006E-2</v>
      </c>
      <c r="AS469" s="76">
        <v>5.7330000000000006E-2</v>
      </c>
      <c r="AT469" s="76">
        <v>5.7330000000000006E-2</v>
      </c>
      <c r="AU469" s="76">
        <v>5.7330000000000006E-2</v>
      </c>
      <c r="AV469" s="76">
        <v>5.7330000000000006E-2</v>
      </c>
      <c r="AW469" s="76">
        <v>5.7330000000000006E-2</v>
      </c>
      <c r="AX469" s="84">
        <v>5.7330000000000006E-2</v>
      </c>
    </row>
    <row r="470" spans="1:50" x14ac:dyDescent="0.25">
      <c r="A470" s="356"/>
      <c r="B470" s="359"/>
      <c r="C470" s="361" t="s">
        <v>14</v>
      </c>
      <c r="D470" s="58" t="s">
        <v>7</v>
      </c>
      <c r="E470" s="164" t="str">
        <f>A451&amp;"/"&amp;B467&amp;"/"&amp;C470&amp;"/"&amp;D470</f>
        <v>Lignite fired power plants/Fluidized bed combustion/CHP/L</v>
      </c>
      <c r="F470" s="78" t="str">
        <f>A451</f>
        <v>Lignite fired power plants</v>
      </c>
      <c r="G470" s="78" t="str">
        <f>B467</f>
        <v>Fluidized bed combustion</v>
      </c>
      <c r="H470" s="78" t="str">
        <f>C470</f>
        <v>CHP</v>
      </c>
      <c r="I470" s="165" t="str">
        <f t="shared" si="83"/>
        <v>L</v>
      </c>
      <c r="J470" s="78">
        <v>5.7200000000000001E-2</v>
      </c>
      <c r="K470" s="78">
        <v>5.7200000000000001E-2</v>
      </c>
      <c r="L470" s="78">
        <v>5.7200000000000001E-2</v>
      </c>
      <c r="M470" s="78">
        <v>5.7200000000000001E-2</v>
      </c>
      <c r="N470" s="78">
        <v>5.7200000000000001E-2</v>
      </c>
      <c r="O470" s="78">
        <v>5.7200000000000001E-2</v>
      </c>
      <c r="P470" s="78">
        <v>5.7200000000000001E-2</v>
      </c>
      <c r="Q470" s="78">
        <v>5.7200000000000001E-2</v>
      </c>
      <c r="R470" s="78">
        <v>5.7200000000000001E-2</v>
      </c>
      <c r="S470" s="78">
        <v>5.7200000000000001E-2</v>
      </c>
      <c r="T470" s="78">
        <v>5.7200000000000001E-2</v>
      </c>
      <c r="U470" s="78">
        <v>5.7200000000000001E-2</v>
      </c>
      <c r="V470" s="78">
        <v>5.7200000000000001E-2</v>
      </c>
      <c r="W470" s="78">
        <v>5.7200000000000001E-2</v>
      </c>
      <c r="X470" s="78">
        <v>5.7200000000000001E-2</v>
      </c>
      <c r="Y470" s="78">
        <v>5.7200000000000001E-2</v>
      </c>
      <c r="Z470" s="78">
        <v>5.7200000000000001E-2</v>
      </c>
      <c r="AA470" s="78">
        <v>5.7200000000000001E-2</v>
      </c>
      <c r="AB470" s="78">
        <v>5.7200000000000001E-2</v>
      </c>
      <c r="AC470" s="78">
        <v>5.7200000000000001E-2</v>
      </c>
      <c r="AD470" s="78">
        <v>5.7200000000000001E-2</v>
      </c>
      <c r="AE470" s="78">
        <v>5.7200000000000001E-2</v>
      </c>
      <c r="AF470" s="78">
        <v>5.7200000000000001E-2</v>
      </c>
      <c r="AG470" s="78">
        <v>5.7200000000000001E-2</v>
      </c>
      <c r="AH470" s="78">
        <v>5.7200000000000001E-2</v>
      </c>
      <c r="AI470" s="78">
        <v>5.7200000000000001E-2</v>
      </c>
      <c r="AJ470" s="78">
        <v>5.7200000000000001E-2</v>
      </c>
      <c r="AK470" s="78">
        <v>5.7200000000000001E-2</v>
      </c>
      <c r="AL470" s="78">
        <v>5.7200000000000001E-2</v>
      </c>
      <c r="AM470" s="78">
        <v>5.7200000000000001E-2</v>
      </c>
      <c r="AN470" s="78">
        <v>5.7200000000000001E-2</v>
      </c>
      <c r="AO470" s="78">
        <v>5.7200000000000001E-2</v>
      </c>
      <c r="AP470" s="78">
        <v>5.7200000000000001E-2</v>
      </c>
      <c r="AQ470" s="78">
        <v>5.7200000000000001E-2</v>
      </c>
      <c r="AR470" s="78">
        <v>5.7200000000000001E-2</v>
      </c>
      <c r="AS470" s="78">
        <v>5.7200000000000001E-2</v>
      </c>
      <c r="AT470" s="78">
        <v>5.7200000000000001E-2</v>
      </c>
      <c r="AU470" s="78">
        <v>5.7200000000000001E-2</v>
      </c>
      <c r="AV470" s="78">
        <v>5.7200000000000001E-2</v>
      </c>
      <c r="AW470" s="78">
        <v>5.7200000000000001E-2</v>
      </c>
      <c r="AX470" s="86">
        <v>5.7200000000000001E-2</v>
      </c>
    </row>
    <row r="471" spans="1:50" x14ac:dyDescent="0.25">
      <c r="A471" s="356"/>
      <c r="B471" s="359"/>
      <c r="C471" s="350"/>
      <c r="D471" s="2" t="s">
        <v>8</v>
      </c>
      <c r="E471" s="160" t="str">
        <f>A451&amp;"/"&amp;B467&amp;"/"&amp;C470&amp;"/"&amp;D471</f>
        <v>Lignite fired power plants/Fluidized bed combustion/CHP/M</v>
      </c>
      <c r="F471" s="76" t="str">
        <f>A451</f>
        <v>Lignite fired power plants</v>
      </c>
      <c r="G471" s="76" t="str">
        <f>B467</f>
        <v>Fluidized bed combustion</v>
      </c>
      <c r="H471" s="76" t="str">
        <f>C470</f>
        <v>CHP</v>
      </c>
      <c r="I471" s="161" t="str">
        <f t="shared" ref="I471:I534" si="84">D471</f>
        <v>M</v>
      </c>
      <c r="J471" s="76">
        <v>6.0060000000000009E-2</v>
      </c>
      <c r="K471" s="76">
        <v>6.0060000000000009E-2</v>
      </c>
      <c r="L471" s="76">
        <v>6.0060000000000009E-2</v>
      </c>
      <c r="M471" s="76">
        <v>6.0060000000000009E-2</v>
      </c>
      <c r="N471" s="76">
        <v>6.0060000000000009E-2</v>
      </c>
      <c r="O471" s="76">
        <v>6.0060000000000009E-2</v>
      </c>
      <c r="P471" s="76">
        <v>6.0060000000000009E-2</v>
      </c>
      <c r="Q471" s="76">
        <v>6.0060000000000009E-2</v>
      </c>
      <c r="R471" s="76">
        <v>6.0060000000000009E-2</v>
      </c>
      <c r="S471" s="76">
        <v>6.0060000000000009E-2</v>
      </c>
      <c r="T471" s="76">
        <v>6.0060000000000009E-2</v>
      </c>
      <c r="U471" s="76">
        <v>6.0060000000000009E-2</v>
      </c>
      <c r="V471" s="76">
        <v>6.0060000000000009E-2</v>
      </c>
      <c r="W471" s="76">
        <v>6.0060000000000009E-2</v>
      </c>
      <c r="X471" s="76">
        <v>6.0060000000000009E-2</v>
      </c>
      <c r="Y471" s="76">
        <v>6.0060000000000009E-2</v>
      </c>
      <c r="Z471" s="76">
        <v>6.0060000000000009E-2</v>
      </c>
      <c r="AA471" s="76">
        <v>6.0060000000000009E-2</v>
      </c>
      <c r="AB471" s="76">
        <v>6.0060000000000009E-2</v>
      </c>
      <c r="AC471" s="76">
        <v>6.0060000000000009E-2</v>
      </c>
      <c r="AD471" s="76">
        <v>6.0060000000000009E-2</v>
      </c>
      <c r="AE471" s="76">
        <v>6.0060000000000009E-2</v>
      </c>
      <c r="AF471" s="76">
        <v>6.0060000000000009E-2</v>
      </c>
      <c r="AG471" s="76">
        <v>6.0060000000000009E-2</v>
      </c>
      <c r="AH471" s="76">
        <v>6.0060000000000009E-2</v>
      </c>
      <c r="AI471" s="76">
        <v>6.0060000000000009E-2</v>
      </c>
      <c r="AJ471" s="76">
        <v>6.0060000000000009E-2</v>
      </c>
      <c r="AK471" s="76">
        <v>6.0060000000000009E-2</v>
      </c>
      <c r="AL471" s="76">
        <v>6.0060000000000009E-2</v>
      </c>
      <c r="AM471" s="76">
        <v>6.0060000000000009E-2</v>
      </c>
      <c r="AN471" s="76">
        <v>6.0060000000000009E-2</v>
      </c>
      <c r="AO471" s="76">
        <v>6.0060000000000009E-2</v>
      </c>
      <c r="AP471" s="76">
        <v>6.0060000000000009E-2</v>
      </c>
      <c r="AQ471" s="76">
        <v>6.0060000000000009E-2</v>
      </c>
      <c r="AR471" s="76">
        <v>6.0060000000000009E-2</v>
      </c>
      <c r="AS471" s="76">
        <v>6.0060000000000009E-2</v>
      </c>
      <c r="AT471" s="76">
        <v>6.0060000000000009E-2</v>
      </c>
      <c r="AU471" s="76">
        <v>6.0060000000000009E-2</v>
      </c>
      <c r="AV471" s="76">
        <v>6.0060000000000009E-2</v>
      </c>
      <c r="AW471" s="76">
        <v>6.0060000000000009E-2</v>
      </c>
      <c r="AX471" s="84">
        <v>6.0060000000000009E-2</v>
      </c>
    </row>
    <row r="472" spans="1:50" x14ac:dyDescent="0.25">
      <c r="A472" s="356"/>
      <c r="B472" s="359"/>
      <c r="C472" s="360"/>
      <c r="D472" s="59" t="s">
        <v>10</v>
      </c>
      <c r="E472" s="166" t="str">
        <f>A451&amp;"/"&amp;B467&amp;"/"&amp;C470&amp;"/"&amp;D472</f>
        <v>Lignite fired power plants/Fluidized bed combustion/CHP/S</v>
      </c>
      <c r="F472" s="79" t="str">
        <f>A451</f>
        <v>Lignite fired power plants</v>
      </c>
      <c r="G472" s="79" t="str">
        <f>B467</f>
        <v>Fluidized bed combustion</v>
      </c>
      <c r="H472" s="79" t="str">
        <f>C470</f>
        <v>CHP</v>
      </c>
      <c r="I472" s="167" t="str">
        <f t="shared" si="84"/>
        <v>S</v>
      </c>
      <c r="J472" s="79">
        <v>6.3063000000000008E-2</v>
      </c>
      <c r="K472" s="79">
        <v>6.3063000000000008E-2</v>
      </c>
      <c r="L472" s="79">
        <v>6.3063000000000008E-2</v>
      </c>
      <c r="M472" s="79">
        <v>6.3063000000000008E-2</v>
      </c>
      <c r="N472" s="79">
        <v>6.3063000000000008E-2</v>
      </c>
      <c r="O472" s="79">
        <v>6.3063000000000008E-2</v>
      </c>
      <c r="P472" s="79">
        <v>6.3063000000000008E-2</v>
      </c>
      <c r="Q472" s="79">
        <v>6.3063000000000008E-2</v>
      </c>
      <c r="R472" s="79">
        <v>6.3063000000000008E-2</v>
      </c>
      <c r="S472" s="79">
        <v>6.3063000000000008E-2</v>
      </c>
      <c r="T472" s="79">
        <v>6.3063000000000008E-2</v>
      </c>
      <c r="U472" s="79">
        <v>6.3063000000000008E-2</v>
      </c>
      <c r="V472" s="79">
        <v>6.3063000000000008E-2</v>
      </c>
      <c r="W472" s="79">
        <v>6.3063000000000008E-2</v>
      </c>
      <c r="X472" s="79">
        <v>6.3063000000000008E-2</v>
      </c>
      <c r="Y472" s="79">
        <v>6.3063000000000008E-2</v>
      </c>
      <c r="Z472" s="79">
        <v>6.3063000000000008E-2</v>
      </c>
      <c r="AA472" s="79">
        <v>6.3063000000000008E-2</v>
      </c>
      <c r="AB472" s="79">
        <v>6.3063000000000008E-2</v>
      </c>
      <c r="AC472" s="79">
        <v>6.3063000000000008E-2</v>
      </c>
      <c r="AD472" s="79">
        <v>6.3063000000000008E-2</v>
      </c>
      <c r="AE472" s="79">
        <v>6.3063000000000008E-2</v>
      </c>
      <c r="AF472" s="79">
        <v>6.3063000000000008E-2</v>
      </c>
      <c r="AG472" s="79">
        <v>6.3063000000000008E-2</v>
      </c>
      <c r="AH472" s="79">
        <v>6.3063000000000008E-2</v>
      </c>
      <c r="AI472" s="79">
        <v>6.3063000000000008E-2</v>
      </c>
      <c r="AJ472" s="79">
        <v>6.3063000000000008E-2</v>
      </c>
      <c r="AK472" s="79">
        <v>6.3063000000000008E-2</v>
      </c>
      <c r="AL472" s="79">
        <v>6.3063000000000008E-2</v>
      </c>
      <c r="AM472" s="79">
        <v>6.3063000000000008E-2</v>
      </c>
      <c r="AN472" s="79">
        <v>6.3063000000000008E-2</v>
      </c>
      <c r="AO472" s="79">
        <v>6.3063000000000008E-2</v>
      </c>
      <c r="AP472" s="79">
        <v>6.3063000000000008E-2</v>
      </c>
      <c r="AQ472" s="79">
        <v>6.3063000000000008E-2</v>
      </c>
      <c r="AR472" s="79">
        <v>6.3063000000000008E-2</v>
      </c>
      <c r="AS472" s="79">
        <v>6.3063000000000008E-2</v>
      </c>
      <c r="AT472" s="79">
        <v>6.3063000000000008E-2</v>
      </c>
      <c r="AU472" s="79">
        <v>6.3063000000000008E-2</v>
      </c>
      <c r="AV472" s="79">
        <v>6.3063000000000008E-2</v>
      </c>
      <c r="AW472" s="79">
        <v>6.3063000000000008E-2</v>
      </c>
      <c r="AX472" s="87">
        <v>6.3063000000000008E-2</v>
      </c>
    </row>
    <row r="473" spans="1:50" x14ac:dyDescent="0.25">
      <c r="A473" s="356"/>
      <c r="B473" s="359"/>
      <c r="C473" s="361" t="s">
        <v>15</v>
      </c>
      <c r="D473" s="58" t="s">
        <v>7</v>
      </c>
      <c r="E473" s="164" t="str">
        <f>A451&amp;"/"&amp;B467&amp;"/"&amp;C473&amp;"/"&amp;D473</f>
        <v>Lignite fired power plants/Fluidized bed combustion/Electricity only with CCS/L</v>
      </c>
      <c r="F473" s="78" t="str">
        <f>A451</f>
        <v>Lignite fired power plants</v>
      </c>
      <c r="G473" s="78" t="str">
        <f>B467</f>
        <v>Fluidized bed combustion</v>
      </c>
      <c r="H473" s="78" t="str">
        <f>C473</f>
        <v>Electricity only with CCS</v>
      </c>
      <c r="I473" s="165" t="str">
        <f t="shared" si="84"/>
        <v>L</v>
      </c>
      <c r="J473" s="78" t="s">
        <v>112</v>
      </c>
      <c r="K473" s="78" t="s">
        <v>112</v>
      </c>
      <c r="L473" s="78" t="s">
        <v>112</v>
      </c>
      <c r="M473" s="78" t="s">
        <v>112</v>
      </c>
      <c r="N473" s="78" t="s">
        <v>112</v>
      </c>
      <c r="O473" s="78" t="s">
        <v>112</v>
      </c>
      <c r="P473" s="78" t="s">
        <v>112</v>
      </c>
      <c r="Q473" s="78" t="s">
        <v>112</v>
      </c>
      <c r="R473" s="78" t="s">
        <v>112</v>
      </c>
      <c r="S473" s="78" t="s">
        <v>112</v>
      </c>
      <c r="T473" s="78" t="s">
        <v>112</v>
      </c>
      <c r="U473" s="78" t="s">
        <v>112</v>
      </c>
      <c r="V473" s="78" t="s">
        <v>112</v>
      </c>
      <c r="W473" s="78" t="s">
        <v>112</v>
      </c>
      <c r="X473" s="78" t="s">
        <v>112</v>
      </c>
      <c r="Y473" s="78" t="s">
        <v>112</v>
      </c>
      <c r="Z473" s="78" t="s">
        <v>112</v>
      </c>
      <c r="AA473" s="78" t="s">
        <v>112</v>
      </c>
      <c r="AB473" s="78" t="s">
        <v>112</v>
      </c>
      <c r="AC473" s="78" t="s">
        <v>112</v>
      </c>
      <c r="AD473" s="78" t="s">
        <v>112</v>
      </c>
      <c r="AE473" s="78">
        <v>0.28599999999999998</v>
      </c>
      <c r="AF473" s="78">
        <v>0.28599999999999998</v>
      </c>
      <c r="AG473" s="78">
        <v>0.28599999999999998</v>
      </c>
      <c r="AH473" s="78">
        <v>0.28599999999999998</v>
      </c>
      <c r="AI473" s="78">
        <v>0.28599999999999998</v>
      </c>
      <c r="AJ473" s="78">
        <v>0.28599999999999998</v>
      </c>
      <c r="AK473" s="78">
        <v>0.28599999999999998</v>
      </c>
      <c r="AL473" s="78">
        <v>0.28599999999999998</v>
      </c>
      <c r="AM473" s="78">
        <v>0.28599999999999998</v>
      </c>
      <c r="AN473" s="78">
        <v>0.28599999999999998</v>
      </c>
      <c r="AO473" s="78">
        <v>0.28599999999999998</v>
      </c>
      <c r="AP473" s="78">
        <v>0.28599999999999998</v>
      </c>
      <c r="AQ473" s="78">
        <v>0.28599999999999998</v>
      </c>
      <c r="AR473" s="78">
        <v>0.28599999999999998</v>
      </c>
      <c r="AS473" s="78">
        <v>0.28599999999999998</v>
      </c>
      <c r="AT473" s="78">
        <v>0.28599999999999998</v>
      </c>
      <c r="AU473" s="78">
        <v>0.28599999999999998</v>
      </c>
      <c r="AV473" s="78">
        <v>0.28599999999999998</v>
      </c>
      <c r="AW473" s="78">
        <v>0.28599999999999998</v>
      </c>
      <c r="AX473" s="86">
        <v>0.28599999999999998</v>
      </c>
    </row>
    <row r="474" spans="1:50" x14ac:dyDescent="0.25">
      <c r="A474" s="356"/>
      <c r="B474" s="359"/>
      <c r="C474" s="360"/>
      <c r="D474" s="59" t="s">
        <v>8</v>
      </c>
      <c r="E474" s="166" t="str">
        <f>A451&amp;"/"&amp;B467&amp;"/"&amp;C473&amp;"/"&amp;D474</f>
        <v>Lignite fired power plants/Fluidized bed combustion/Electricity only with CCS/M</v>
      </c>
      <c r="F474" s="79" t="str">
        <f>A451</f>
        <v>Lignite fired power plants</v>
      </c>
      <c r="G474" s="79" t="str">
        <f>B467</f>
        <v>Fluidized bed combustion</v>
      </c>
      <c r="H474" s="79" t="str">
        <f>C473</f>
        <v>Electricity only with CCS</v>
      </c>
      <c r="I474" s="167" t="str">
        <f t="shared" si="84"/>
        <v>M</v>
      </c>
      <c r="J474" s="79" t="s">
        <v>112</v>
      </c>
      <c r="K474" s="79" t="s">
        <v>112</v>
      </c>
      <c r="L474" s="79" t="s">
        <v>112</v>
      </c>
      <c r="M474" s="79" t="s">
        <v>112</v>
      </c>
      <c r="N474" s="79" t="s">
        <v>112</v>
      </c>
      <c r="O474" s="79" t="s">
        <v>112</v>
      </c>
      <c r="P474" s="79" t="s">
        <v>112</v>
      </c>
      <c r="Q474" s="79" t="s">
        <v>112</v>
      </c>
      <c r="R474" s="79" t="s">
        <v>112</v>
      </c>
      <c r="S474" s="79" t="s">
        <v>112</v>
      </c>
      <c r="T474" s="79" t="s">
        <v>112</v>
      </c>
      <c r="U474" s="79" t="s">
        <v>112</v>
      </c>
      <c r="V474" s="79" t="s">
        <v>112</v>
      </c>
      <c r="W474" s="79" t="s">
        <v>112</v>
      </c>
      <c r="X474" s="79" t="s">
        <v>112</v>
      </c>
      <c r="Y474" s="79" t="s">
        <v>112</v>
      </c>
      <c r="Z474" s="79" t="s">
        <v>112</v>
      </c>
      <c r="AA474" s="79" t="s">
        <v>112</v>
      </c>
      <c r="AB474" s="79" t="s">
        <v>112</v>
      </c>
      <c r="AC474" s="79" t="s">
        <v>112</v>
      </c>
      <c r="AD474" s="79" t="s">
        <v>112</v>
      </c>
      <c r="AE474" s="79">
        <v>0.30030000000000001</v>
      </c>
      <c r="AF474" s="79">
        <v>0.30030000000000001</v>
      </c>
      <c r="AG474" s="79">
        <v>0.30030000000000001</v>
      </c>
      <c r="AH474" s="79">
        <v>0.30030000000000001</v>
      </c>
      <c r="AI474" s="79">
        <v>0.30030000000000001</v>
      </c>
      <c r="AJ474" s="79">
        <v>0.30030000000000001</v>
      </c>
      <c r="AK474" s="79">
        <v>0.30030000000000001</v>
      </c>
      <c r="AL474" s="79">
        <v>0.30030000000000001</v>
      </c>
      <c r="AM474" s="79">
        <v>0.30030000000000001</v>
      </c>
      <c r="AN474" s="79">
        <v>0.30030000000000001</v>
      </c>
      <c r="AO474" s="79">
        <v>0.30030000000000001</v>
      </c>
      <c r="AP474" s="79">
        <v>0.30030000000000001</v>
      </c>
      <c r="AQ474" s="79">
        <v>0.30030000000000001</v>
      </c>
      <c r="AR474" s="79">
        <v>0.30030000000000001</v>
      </c>
      <c r="AS474" s="79">
        <v>0.30030000000000001</v>
      </c>
      <c r="AT474" s="79">
        <v>0.30030000000000001</v>
      </c>
      <c r="AU474" s="79">
        <v>0.30030000000000001</v>
      </c>
      <c r="AV474" s="79">
        <v>0.30030000000000001</v>
      </c>
      <c r="AW474" s="79">
        <v>0.30030000000000001</v>
      </c>
      <c r="AX474" s="87">
        <v>0.30030000000000001</v>
      </c>
    </row>
    <row r="475" spans="1:50" x14ac:dyDescent="0.25">
      <c r="A475" s="356"/>
      <c r="B475" s="359"/>
      <c r="C475" s="361" t="s">
        <v>16</v>
      </c>
      <c r="D475" s="2" t="s">
        <v>7</v>
      </c>
      <c r="E475" s="160" t="str">
        <f>A451&amp;"/"&amp;B467&amp;"/"&amp;C475&amp;"/"&amp;D475</f>
        <v>Lignite fired power plants/Fluidized bed combustion/CHP with CCS/L</v>
      </c>
      <c r="F475" s="76" t="str">
        <f>A451</f>
        <v>Lignite fired power plants</v>
      </c>
      <c r="G475" s="76" t="str">
        <f>B467</f>
        <v>Fluidized bed combustion</v>
      </c>
      <c r="H475" s="76" t="str">
        <f>C475</f>
        <v>CHP with CCS</v>
      </c>
      <c r="I475" s="161" t="str">
        <f t="shared" si="84"/>
        <v>L</v>
      </c>
      <c r="J475" s="76" t="s">
        <v>112</v>
      </c>
      <c r="K475" s="76" t="s">
        <v>112</v>
      </c>
      <c r="L475" s="76" t="s">
        <v>112</v>
      </c>
      <c r="M475" s="76" t="s">
        <v>112</v>
      </c>
      <c r="N475" s="76" t="s">
        <v>112</v>
      </c>
      <c r="O475" s="76" t="s">
        <v>112</v>
      </c>
      <c r="P475" s="76" t="s">
        <v>112</v>
      </c>
      <c r="Q475" s="76" t="s">
        <v>112</v>
      </c>
      <c r="R475" s="76" t="s">
        <v>112</v>
      </c>
      <c r="S475" s="76" t="s">
        <v>112</v>
      </c>
      <c r="T475" s="76" t="s">
        <v>112</v>
      </c>
      <c r="U475" s="76" t="s">
        <v>112</v>
      </c>
      <c r="V475" s="76" t="s">
        <v>112</v>
      </c>
      <c r="W475" s="76" t="s">
        <v>112</v>
      </c>
      <c r="X475" s="76" t="s">
        <v>112</v>
      </c>
      <c r="Y475" s="76" t="s">
        <v>112</v>
      </c>
      <c r="Z475" s="76" t="s">
        <v>112</v>
      </c>
      <c r="AA475" s="76" t="s">
        <v>112</v>
      </c>
      <c r="AB475" s="76" t="s">
        <v>112</v>
      </c>
      <c r="AC475" s="76" t="s">
        <v>112</v>
      </c>
      <c r="AD475" s="76" t="s">
        <v>112</v>
      </c>
      <c r="AE475" s="76">
        <v>0.31459999999999999</v>
      </c>
      <c r="AF475" s="76">
        <v>0.31459999999999999</v>
      </c>
      <c r="AG475" s="76">
        <v>0.31459999999999999</v>
      </c>
      <c r="AH475" s="76">
        <v>0.31459999999999999</v>
      </c>
      <c r="AI475" s="76">
        <v>0.31459999999999999</v>
      </c>
      <c r="AJ475" s="76">
        <v>0.31459999999999999</v>
      </c>
      <c r="AK475" s="76">
        <v>0.31459999999999999</v>
      </c>
      <c r="AL475" s="76">
        <v>0.31459999999999999</v>
      </c>
      <c r="AM475" s="76">
        <v>0.31459999999999999</v>
      </c>
      <c r="AN475" s="76">
        <v>0.31459999999999999</v>
      </c>
      <c r="AO475" s="76">
        <v>0.31459999999999999</v>
      </c>
      <c r="AP475" s="76">
        <v>0.31459999999999999</v>
      </c>
      <c r="AQ475" s="76">
        <v>0.31459999999999999</v>
      </c>
      <c r="AR475" s="76">
        <v>0.31459999999999999</v>
      </c>
      <c r="AS475" s="76">
        <v>0.31459999999999999</v>
      </c>
      <c r="AT475" s="76">
        <v>0.31459999999999999</v>
      </c>
      <c r="AU475" s="76">
        <v>0.31459999999999999</v>
      </c>
      <c r="AV475" s="76">
        <v>0.31459999999999999</v>
      </c>
      <c r="AW475" s="76">
        <v>0.31459999999999999</v>
      </c>
      <c r="AX475" s="84">
        <v>0.31459999999999999</v>
      </c>
    </row>
    <row r="476" spans="1:50" x14ac:dyDescent="0.25">
      <c r="A476" s="356"/>
      <c r="B476" s="362"/>
      <c r="C476" s="354"/>
      <c r="D476" s="4" t="s">
        <v>8</v>
      </c>
      <c r="E476" s="168" t="str">
        <f>A451&amp;"/"&amp;B467&amp;"/"&amp;C475&amp;"/"&amp;D476</f>
        <v>Lignite fired power plants/Fluidized bed combustion/CHP with CCS/M</v>
      </c>
      <c r="F476" s="80" t="str">
        <f>A451</f>
        <v>Lignite fired power plants</v>
      </c>
      <c r="G476" s="80" t="str">
        <f>B467</f>
        <v>Fluidized bed combustion</v>
      </c>
      <c r="H476" s="80" t="str">
        <f>C475</f>
        <v>CHP with CCS</v>
      </c>
      <c r="I476" s="169" t="str">
        <f t="shared" si="84"/>
        <v>M</v>
      </c>
      <c r="J476" s="80" t="s">
        <v>112</v>
      </c>
      <c r="K476" s="80" t="s">
        <v>112</v>
      </c>
      <c r="L476" s="80" t="s">
        <v>112</v>
      </c>
      <c r="M476" s="80" t="s">
        <v>112</v>
      </c>
      <c r="N476" s="80" t="s">
        <v>112</v>
      </c>
      <c r="O476" s="80" t="s">
        <v>112</v>
      </c>
      <c r="P476" s="80" t="s">
        <v>112</v>
      </c>
      <c r="Q476" s="80" t="s">
        <v>112</v>
      </c>
      <c r="R476" s="80" t="s">
        <v>112</v>
      </c>
      <c r="S476" s="80" t="s">
        <v>112</v>
      </c>
      <c r="T476" s="80" t="s">
        <v>112</v>
      </c>
      <c r="U476" s="80" t="s">
        <v>112</v>
      </c>
      <c r="V476" s="80" t="s">
        <v>112</v>
      </c>
      <c r="W476" s="80" t="s">
        <v>112</v>
      </c>
      <c r="X476" s="80" t="s">
        <v>112</v>
      </c>
      <c r="Y476" s="80" t="s">
        <v>112</v>
      </c>
      <c r="Z476" s="80" t="s">
        <v>112</v>
      </c>
      <c r="AA476" s="80" t="s">
        <v>112</v>
      </c>
      <c r="AB476" s="80" t="s">
        <v>112</v>
      </c>
      <c r="AC476" s="80" t="s">
        <v>112</v>
      </c>
      <c r="AD476" s="80" t="s">
        <v>112</v>
      </c>
      <c r="AE476" s="80">
        <v>0.33033000000000001</v>
      </c>
      <c r="AF476" s="80">
        <v>0.33033000000000001</v>
      </c>
      <c r="AG476" s="80">
        <v>0.33033000000000001</v>
      </c>
      <c r="AH476" s="80">
        <v>0.33033000000000001</v>
      </c>
      <c r="AI476" s="80">
        <v>0.33033000000000001</v>
      </c>
      <c r="AJ476" s="80">
        <v>0.33033000000000001</v>
      </c>
      <c r="AK476" s="80">
        <v>0.33033000000000001</v>
      </c>
      <c r="AL476" s="80">
        <v>0.33033000000000001</v>
      </c>
      <c r="AM476" s="80">
        <v>0.33033000000000001</v>
      </c>
      <c r="AN476" s="80">
        <v>0.33033000000000001</v>
      </c>
      <c r="AO476" s="80">
        <v>0.33033000000000001</v>
      </c>
      <c r="AP476" s="80">
        <v>0.33033000000000001</v>
      </c>
      <c r="AQ476" s="80">
        <v>0.33033000000000001</v>
      </c>
      <c r="AR476" s="80">
        <v>0.33033000000000001</v>
      </c>
      <c r="AS476" s="80">
        <v>0.33033000000000001</v>
      </c>
      <c r="AT476" s="80">
        <v>0.33033000000000001</v>
      </c>
      <c r="AU476" s="80">
        <v>0.33033000000000001</v>
      </c>
      <c r="AV476" s="80">
        <v>0.33033000000000001</v>
      </c>
      <c r="AW476" s="80">
        <v>0.33033000000000001</v>
      </c>
      <c r="AX476" s="88">
        <v>0.33033000000000001</v>
      </c>
    </row>
    <row r="477" spans="1:50" x14ac:dyDescent="0.25">
      <c r="A477" s="356"/>
      <c r="B477" s="358" t="s">
        <v>19</v>
      </c>
      <c r="C477" s="353" t="s">
        <v>6</v>
      </c>
      <c r="D477" s="3" t="s">
        <v>7</v>
      </c>
      <c r="E477" s="162" t="str">
        <f>A451&amp;"/"&amp;B477&amp;"/"&amp;C477&amp;"/"&amp;D477</f>
        <v>Lignite fired power plants/Steam turbine/Electricity only/L</v>
      </c>
      <c r="F477" s="77" t="str">
        <f>A451</f>
        <v>Lignite fired power plants</v>
      </c>
      <c r="G477" s="77" t="str">
        <f>B477</f>
        <v>Steam turbine</v>
      </c>
      <c r="H477" s="77" t="str">
        <f>C477</f>
        <v>Electricity only</v>
      </c>
      <c r="I477" s="163" t="str">
        <f t="shared" si="84"/>
        <v>L</v>
      </c>
      <c r="J477" s="77">
        <v>0.08</v>
      </c>
      <c r="K477" s="77">
        <v>0.08</v>
      </c>
      <c r="L477" s="77">
        <v>0.08</v>
      </c>
      <c r="M477" s="77">
        <v>0.08</v>
      </c>
      <c r="N477" s="77">
        <v>0.08</v>
      </c>
      <c r="O477" s="77">
        <v>0.08</v>
      </c>
      <c r="P477" s="77">
        <v>0.08</v>
      </c>
      <c r="Q477" s="77">
        <v>0.08</v>
      </c>
      <c r="R477" s="77">
        <v>0.08</v>
      </c>
      <c r="S477" s="77">
        <v>0.08</v>
      </c>
      <c r="T477" s="77">
        <v>0.08</v>
      </c>
      <c r="U477" s="77">
        <v>0.08</v>
      </c>
      <c r="V477" s="77">
        <v>0.08</v>
      </c>
      <c r="W477" s="77">
        <v>0.08</v>
      </c>
      <c r="X477" s="77">
        <v>0.08</v>
      </c>
      <c r="Y477" s="77">
        <v>0.08</v>
      </c>
      <c r="Z477" s="77">
        <v>0.08</v>
      </c>
      <c r="AA477" s="77">
        <v>0.08</v>
      </c>
      <c r="AB477" s="77">
        <v>0.08</v>
      </c>
      <c r="AC477" s="77">
        <v>0.08</v>
      </c>
      <c r="AD477" s="77">
        <v>0.08</v>
      </c>
      <c r="AE477" s="77">
        <v>0.08</v>
      </c>
      <c r="AF477" s="77">
        <v>0.08</v>
      </c>
      <c r="AG477" s="77">
        <v>0.08</v>
      </c>
      <c r="AH477" s="77">
        <v>0.08</v>
      </c>
      <c r="AI477" s="77">
        <v>0.08</v>
      </c>
      <c r="AJ477" s="77">
        <v>0.08</v>
      </c>
      <c r="AK477" s="77">
        <v>0.08</v>
      </c>
      <c r="AL477" s="77">
        <v>0.08</v>
      </c>
      <c r="AM477" s="77">
        <v>0.08</v>
      </c>
      <c r="AN477" s="77">
        <v>0.08</v>
      </c>
      <c r="AO477" s="77">
        <v>0.08</v>
      </c>
      <c r="AP477" s="77">
        <v>0.08</v>
      </c>
      <c r="AQ477" s="77">
        <v>0.08</v>
      </c>
      <c r="AR477" s="77">
        <v>0.08</v>
      </c>
      <c r="AS477" s="77">
        <v>0.08</v>
      </c>
      <c r="AT477" s="77">
        <v>0.08</v>
      </c>
      <c r="AU477" s="77">
        <v>0.08</v>
      </c>
      <c r="AV477" s="77">
        <v>0.08</v>
      </c>
      <c r="AW477" s="77">
        <v>0.08</v>
      </c>
      <c r="AX477" s="85">
        <v>0.08</v>
      </c>
    </row>
    <row r="478" spans="1:50" x14ac:dyDescent="0.25">
      <c r="A478" s="356"/>
      <c r="B478" s="359"/>
      <c r="C478" s="350"/>
      <c r="D478" s="2" t="s">
        <v>8</v>
      </c>
      <c r="E478" s="160" t="str">
        <f>A451&amp;"/"&amp;B477&amp;"/"&amp;C477&amp;"/"&amp;D478</f>
        <v>Lignite fired power plants/Steam turbine/Electricity only/M</v>
      </c>
      <c r="F478" s="76" t="str">
        <f>A451</f>
        <v>Lignite fired power plants</v>
      </c>
      <c r="G478" s="76" t="str">
        <f>B477</f>
        <v>Steam turbine</v>
      </c>
      <c r="H478" s="76" t="str">
        <f>C477</f>
        <v>Electricity only</v>
      </c>
      <c r="I478" s="161" t="str">
        <f t="shared" si="84"/>
        <v>M</v>
      </c>
      <c r="J478" s="76">
        <v>8.4000000000000005E-2</v>
      </c>
      <c r="K478" s="76">
        <v>8.4000000000000005E-2</v>
      </c>
      <c r="L478" s="76">
        <v>8.4000000000000005E-2</v>
      </c>
      <c r="M478" s="76">
        <v>8.4000000000000005E-2</v>
      </c>
      <c r="N478" s="76">
        <v>8.4000000000000005E-2</v>
      </c>
      <c r="O478" s="76">
        <v>8.4000000000000005E-2</v>
      </c>
      <c r="P478" s="76">
        <v>8.4000000000000005E-2</v>
      </c>
      <c r="Q478" s="76">
        <v>8.4000000000000005E-2</v>
      </c>
      <c r="R478" s="76">
        <v>8.4000000000000005E-2</v>
      </c>
      <c r="S478" s="76">
        <v>8.4000000000000005E-2</v>
      </c>
      <c r="T478" s="76">
        <v>8.4000000000000005E-2</v>
      </c>
      <c r="U478" s="76">
        <v>8.4000000000000005E-2</v>
      </c>
      <c r="V478" s="76">
        <v>8.4000000000000005E-2</v>
      </c>
      <c r="W478" s="76">
        <v>8.4000000000000005E-2</v>
      </c>
      <c r="X478" s="76">
        <v>8.4000000000000005E-2</v>
      </c>
      <c r="Y478" s="76">
        <v>8.4000000000000005E-2</v>
      </c>
      <c r="Z478" s="76">
        <v>8.4000000000000005E-2</v>
      </c>
      <c r="AA478" s="76">
        <v>8.4000000000000005E-2</v>
      </c>
      <c r="AB478" s="76">
        <v>8.4000000000000005E-2</v>
      </c>
      <c r="AC478" s="76">
        <v>8.4000000000000005E-2</v>
      </c>
      <c r="AD478" s="76">
        <v>8.4000000000000005E-2</v>
      </c>
      <c r="AE478" s="76">
        <v>8.4000000000000005E-2</v>
      </c>
      <c r="AF478" s="76">
        <v>8.4000000000000005E-2</v>
      </c>
      <c r="AG478" s="76">
        <v>8.4000000000000005E-2</v>
      </c>
      <c r="AH478" s="76">
        <v>8.4000000000000005E-2</v>
      </c>
      <c r="AI478" s="76">
        <v>8.4000000000000005E-2</v>
      </c>
      <c r="AJ478" s="76">
        <v>8.4000000000000005E-2</v>
      </c>
      <c r="AK478" s="76">
        <v>8.4000000000000005E-2</v>
      </c>
      <c r="AL478" s="76">
        <v>8.4000000000000005E-2</v>
      </c>
      <c r="AM478" s="76">
        <v>8.4000000000000005E-2</v>
      </c>
      <c r="AN478" s="76">
        <v>8.4000000000000005E-2</v>
      </c>
      <c r="AO478" s="76">
        <v>8.4000000000000005E-2</v>
      </c>
      <c r="AP478" s="76">
        <v>8.4000000000000005E-2</v>
      </c>
      <c r="AQ478" s="76">
        <v>8.4000000000000005E-2</v>
      </c>
      <c r="AR478" s="76">
        <v>8.4000000000000005E-2</v>
      </c>
      <c r="AS478" s="76">
        <v>8.4000000000000005E-2</v>
      </c>
      <c r="AT478" s="76">
        <v>8.4000000000000005E-2</v>
      </c>
      <c r="AU478" s="76">
        <v>8.4000000000000005E-2</v>
      </c>
      <c r="AV478" s="76">
        <v>8.4000000000000005E-2</v>
      </c>
      <c r="AW478" s="76">
        <v>8.4000000000000005E-2</v>
      </c>
      <c r="AX478" s="84">
        <v>8.4000000000000005E-2</v>
      </c>
    </row>
    <row r="479" spans="1:50" x14ac:dyDescent="0.25">
      <c r="A479" s="356"/>
      <c r="B479" s="359"/>
      <c r="C479" s="350"/>
      <c r="D479" s="2" t="s">
        <v>10</v>
      </c>
      <c r="E479" s="160" t="str">
        <f>A451&amp;"/"&amp;B477&amp;"/"&amp;C477&amp;"/"&amp;D479</f>
        <v>Lignite fired power plants/Steam turbine/Electricity only/S</v>
      </c>
      <c r="F479" s="76" t="str">
        <f>A451</f>
        <v>Lignite fired power plants</v>
      </c>
      <c r="G479" s="76" t="str">
        <f>B477</f>
        <v>Steam turbine</v>
      </c>
      <c r="H479" s="76" t="str">
        <f>C477</f>
        <v>Electricity only</v>
      </c>
      <c r="I479" s="161" t="str">
        <f t="shared" si="84"/>
        <v>S</v>
      </c>
      <c r="J479" s="76">
        <v>8.8200000000000014E-2</v>
      </c>
      <c r="K479" s="76">
        <v>8.8200000000000014E-2</v>
      </c>
      <c r="L479" s="76">
        <v>8.8200000000000014E-2</v>
      </c>
      <c r="M479" s="76">
        <v>8.8200000000000014E-2</v>
      </c>
      <c r="N479" s="76">
        <v>8.8200000000000014E-2</v>
      </c>
      <c r="O479" s="76">
        <v>8.8200000000000014E-2</v>
      </c>
      <c r="P479" s="76">
        <v>8.8200000000000014E-2</v>
      </c>
      <c r="Q479" s="76">
        <v>8.8200000000000014E-2</v>
      </c>
      <c r="R479" s="76">
        <v>8.8200000000000014E-2</v>
      </c>
      <c r="S479" s="76">
        <v>8.8200000000000014E-2</v>
      </c>
      <c r="T479" s="76">
        <v>8.8200000000000014E-2</v>
      </c>
      <c r="U479" s="76">
        <v>8.8200000000000014E-2</v>
      </c>
      <c r="V479" s="76">
        <v>8.8200000000000014E-2</v>
      </c>
      <c r="W479" s="76">
        <v>8.8200000000000014E-2</v>
      </c>
      <c r="X479" s="76">
        <v>8.8200000000000014E-2</v>
      </c>
      <c r="Y479" s="76">
        <v>8.8200000000000014E-2</v>
      </c>
      <c r="Z479" s="76">
        <v>8.8200000000000014E-2</v>
      </c>
      <c r="AA479" s="76">
        <v>8.8200000000000014E-2</v>
      </c>
      <c r="AB479" s="76">
        <v>8.8200000000000014E-2</v>
      </c>
      <c r="AC479" s="76">
        <v>8.8200000000000014E-2</v>
      </c>
      <c r="AD479" s="76">
        <v>8.8200000000000014E-2</v>
      </c>
      <c r="AE479" s="76">
        <v>8.8200000000000014E-2</v>
      </c>
      <c r="AF479" s="76">
        <v>8.8200000000000014E-2</v>
      </c>
      <c r="AG479" s="76">
        <v>8.8200000000000014E-2</v>
      </c>
      <c r="AH479" s="76">
        <v>8.8200000000000014E-2</v>
      </c>
      <c r="AI479" s="76">
        <v>8.8200000000000014E-2</v>
      </c>
      <c r="AJ479" s="76">
        <v>8.8200000000000014E-2</v>
      </c>
      <c r="AK479" s="76">
        <v>8.8200000000000014E-2</v>
      </c>
      <c r="AL479" s="76">
        <v>8.8200000000000014E-2</v>
      </c>
      <c r="AM479" s="76">
        <v>8.8200000000000014E-2</v>
      </c>
      <c r="AN479" s="76">
        <v>8.8200000000000014E-2</v>
      </c>
      <c r="AO479" s="76">
        <v>8.8200000000000014E-2</v>
      </c>
      <c r="AP479" s="76">
        <v>8.8200000000000014E-2</v>
      </c>
      <c r="AQ479" s="76">
        <v>8.8200000000000014E-2</v>
      </c>
      <c r="AR479" s="76">
        <v>8.8200000000000014E-2</v>
      </c>
      <c r="AS479" s="76">
        <v>8.8200000000000014E-2</v>
      </c>
      <c r="AT479" s="76">
        <v>8.8200000000000014E-2</v>
      </c>
      <c r="AU479" s="76">
        <v>8.8200000000000014E-2</v>
      </c>
      <c r="AV479" s="76">
        <v>8.8200000000000014E-2</v>
      </c>
      <c r="AW479" s="76">
        <v>8.8200000000000014E-2</v>
      </c>
      <c r="AX479" s="84">
        <v>8.8200000000000014E-2</v>
      </c>
    </row>
    <row r="480" spans="1:50" x14ac:dyDescent="0.25">
      <c r="A480" s="356"/>
      <c r="B480" s="359"/>
      <c r="C480" s="360"/>
      <c r="D480" s="2" t="s">
        <v>20</v>
      </c>
      <c r="E480" s="160" t="str">
        <f>A451&amp;"/"&amp;B477&amp;"/"&amp;C477&amp;"/"&amp;D480</f>
        <v>Lignite fired power plants/Steam turbine/Electricity only/XS</v>
      </c>
      <c r="F480" s="76" t="str">
        <f>A451</f>
        <v>Lignite fired power plants</v>
      </c>
      <c r="G480" s="76" t="str">
        <f>B477</f>
        <v>Steam turbine</v>
      </c>
      <c r="H480" s="76" t="str">
        <f>C477</f>
        <v>Electricity only</v>
      </c>
      <c r="I480" s="161" t="str">
        <f t="shared" si="84"/>
        <v>XS</v>
      </c>
      <c r="J480" s="76">
        <v>9.2610000000000026E-2</v>
      </c>
      <c r="K480" s="76">
        <v>9.2610000000000026E-2</v>
      </c>
      <c r="L480" s="76">
        <v>9.2610000000000026E-2</v>
      </c>
      <c r="M480" s="76">
        <v>9.2610000000000026E-2</v>
      </c>
      <c r="N480" s="76">
        <v>9.2610000000000026E-2</v>
      </c>
      <c r="O480" s="76">
        <v>9.2610000000000026E-2</v>
      </c>
      <c r="P480" s="76">
        <v>9.2610000000000026E-2</v>
      </c>
      <c r="Q480" s="76">
        <v>9.2610000000000026E-2</v>
      </c>
      <c r="R480" s="76">
        <v>9.2610000000000026E-2</v>
      </c>
      <c r="S480" s="76">
        <v>9.2610000000000026E-2</v>
      </c>
      <c r="T480" s="76">
        <v>9.2610000000000026E-2</v>
      </c>
      <c r="U480" s="76">
        <v>9.2610000000000026E-2</v>
      </c>
      <c r="V480" s="76">
        <v>9.2610000000000026E-2</v>
      </c>
      <c r="W480" s="76">
        <v>9.2610000000000026E-2</v>
      </c>
      <c r="X480" s="76">
        <v>9.2610000000000026E-2</v>
      </c>
      <c r="Y480" s="76">
        <v>9.2610000000000026E-2</v>
      </c>
      <c r="Z480" s="76">
        <v>9.2610000000000026E-2</v>
      </c>
      <c r="AA480" s="76">
        <v>9.2610000000000026E-2</v>
      </c>
      <c r="AB480" s="76">
        <v>9.2610000000000026E-2</v>
      </c>
      <c r="AC480" s="76">
        <v>9.2610000000000026E-2</v>
      </c>
      <c r="AD480" s="76">
        <v>9.2610000000000026E-2</v>
      </c>
      <c r="AE480" s="76">
        <v>9.2610000000000026E-2</v>
      </c>
      <c r="AF480" s="76">
        <v>9.2610000000000026E-2</v>
      </c>
      <c r="AG480" s="76">
        <v>9.2610000000000026E-2</v>
      </c>
      <c r="AH480" s="76">
        <v>9.2610000000000026E-2</v>
      </c>
      <c r="AI480" s="76">
        <v>9.2610000000000026E-2</v>
      </c>
      <c r="AJ480" s="76">
        <v>9.2610000000000026E-2</v>
      </c>
      <c r="AK480" s="76">
        <v>9.2610000000000026E-2</v>
      </c>
      <c r="AL480" s="76">
        <v>9.2610000000000026E-2</v>
      </c>
      <c r="AM480" s="76">
        <v>9.2610000000000026E-2</v>
      </c>
      <c r="AN480" s="76">
        <v>9.2610000000000026E-2</v>
      </c>
      <c r="AO480" s="76">
        <v>9.2610000000000026E-2</v>
      </c>
      <c r="AP480" s="76">
        <v>9.2610000000000026E-2</v>
      </c>
      <c r="AQ480" s="76">
        <v>9.2610000000000026E-2</v>
      </c>
      <c r="AR480" s="76">
        <v>9.2610000000000026E-2</v>
      </c>
      <c r="AS480" s="76">
        <v>9.2610000000000026E-2</v>
      </c>
      <c r="AT480" s="76">
        <v>9.2610000000000026E-2</v>
      </c>
      <c r="AU480" s="76">
        <v>9.2610000000000026E-2</v>
      </c>
      <c r="AV480" s="76">
        <v>9.2610000000000026E-2</v>
      </c>
      <c r="AW480" s="76">
        <v>9.2610000000000026E-2</v>
      </c>
      <c r="AX480" s="84">
        <v>9.2610000000000026E-2</v>
      </c>
    </row>
    <row r="481" spans="1:50" x14ac:dyDescent="0.25">
      <c r="A481" s="356"/>
      <c r="B481" s="359"/>
      <c r="C481" s="361" t="s">
        <v>14</v>
      </c>
      <c r="D481" s="58" t="s">
        <v>7</v>
      </c>
      <c r="E481" s="164" t="str">
        <f>A451&amp;"/"&amp;B477&amp;"/"&amp;C481&amp;"/"&amp;D481</f>
        <v>Lignite fired power plants/Steam turbine/CHP/L</v>
      </c>
      <c r="F481" s="78" t="str">
        <f>A451</f>
        <v>Lignite fired power plants</v>
      </c>
      <c r="G481" s="78" t="str">
        <f>B477</f>
        <v>Steam turbine</v>
      </c>
      <c r="H481" s="78" t="str">
        <f>C481</f>
        <v>CHP</v>
      </c>
      <c r="I481" s="165" t="str">
        <f t="shared" si="84"/>
        <v>L</v>
      </c>
      <c r="J481" s="78">
        <v>8.8000000000000009E-2</v>
      </c>
      <c r="K481" s="78">
        <v>8.8000000000000009E-2</v>
      </c>
      <c r="L481" s="78">
        <v>8.8000000000000009E-2</v>
      </c>
      <c r="M481" s="78">
        <v>8.8000000000000009E-2</v>
      </c>
      <c r="N481" s="78">
        <v>8.8000000000000009E-2</v>
      </c>
      <c r="O481" s="78">
        <v>8.8000000000000009E-2</v>
      </c>
      <c r="P481" s="78">
        <v>8.8000000000000009E-2</v>
      </c>
      <c r="Q481" s="78">
        <v>8.8000000000000009E-2</v>
      </c>
      <c r="R481" s="78">
        <v>8.8000000000000009E-2</v>
      </c>
      <c r="S481" s="78">
        <v>8.8000000000000009E-2</v>
      </c>
      <c r="T481" s="78">
        <v>8.8000000000000009E-2</v>
      </c>
      <c r="U481" s="78">
        <v>8.8000000000000009E-2</v>
      </c>
      <c r="V481" s="78">
        <v>8.8000000000000009E-2</v>
      </c>
      <c r="W481" s="78">
        <v>8.8000000000000009E-2</v>
      </c>
      <c r="X481" s="78">
        <v>8.8000000000000009E-2</v>
      </c>
      <c r="Y481" s="78">
        <v>8.8000000000000009E-2</v>
      </c>
      <c r="Z481" s="78">
        <v>8.8000000000000009E-2</v>
      </c>
      <c r="AA481" s="78">
        <v>8.8000000000000009E-2</v>
      </c>
      <c r="AB481" s="78">
        <v>8.8000000000000009E-2</v>
      </c>
      <c r="AC481" s="78">
        <v>8.8000000000000009E-2</v>
      </c>
      <c r="AD481" s="78">
        <v>8.8000000000000009E-2</v>
      </c>
      <c r="AE481" s="78">
        <v>8.8000000000000009E-2</v>
      </c>
      <c r="AF481" s="78">
        <v>8.8000000000000009E-2</v>
      </c>
      <c r="AG481" s="78">
        <v>8.8000000000000009E-2</v>
      </c>
      <c r="AH481" s="78">
        <v>8.8000000000000009E-2</v>
      </c>
      <c r="AI481" s="78">
        <v>8.8000000000000009E-2</v>
      </c>
      <c r="AJ481" s="78">
        <v>8.8000000000000009E-2</v>
      </c>
      <c r="AK481" s="78">
        <v>8.8000000000000009E-2</v>
      </c>
      <c r="AL481" s="78">
        <v>8.8000000000000009E-2</v>
      </c>
      <c r="AM481" s="78">
        <v>8.8000000000000009E-2</v>
      </c>
      <c r="AN481" s="78">
        <v>8.8000000000000009E-2</v>
      </c>
      <c r="AO481" s="78">
        <v>8.8000000000000009E-2</v>
      </c>
      <c r="AP481" s="78">
        <v>8.8000000000000009E-2</v>
      </c>
      <c r="AQ481" s="78">
        <v>8.8000000000000009E-2</v>
      </c>
      <c r="AR481" s="78">
        <v>8.8000000000000009E-2</v>
      </c>
      <c r="AS481" s="78">
        <v>8.8000000000000009E-2</v>
      </c>
      <c r="AT481" s="78">
        <v>8.8000000000000009E-2</v>
      </c>
      <c r="AU481" s="78">
        <v>8.8000000000000009E-2</v>
      </c>
      <c r="AV481" s="78">
        <v>8.8000000000000009E-2</v>
      </c>
      <c r="AW481" s="78">
        <v>8.8000000000000009E-2</v>
      </c>
      <c r="AX481" s="86">
        <v>8.8000000000000009E-2</v>
      </c>
    </row>
    <row r="482" spans="1:50" x14ac:dyDescent="0.25">
      <c r="A482" s="356"/>
      <c r="B482" s="359"/>
      <c r="C482" s="350"/>
      <c r="D482" s="2" t="s">
        <v>8</v>
      </c>
      <c r="E482" s="160" t="str">
        <f>A451&amp;"/"&amp;B477&amp;"/"&amp;C481&amp;"/"&amp;D482</f>
        <v>Lignite fired power plants/Steam turbine/CHP/M</v>
      </c>
      <c r="F482" s="76" t="str">
        <f>A451</f>
        <v>Lignite fired power plants</v>
      </c>
      <c r="G482" s="76" t="str">
        <f>B477</f>
        <v>Steam turbine</v>
      </c>
      <c r="H482" s="76" t="str">
        <f>C481</f>
        <v>CHP</v>
      </c>
      <c r="I482" s="161" t="str">
        <f t="shared" si="84"/>
        <v>M</v>
      </c>
      <c r="J482" s="76">
        <v>9.240000000000001E-2</v>
      </c>
      <c r="K482" s="76">
        <v>9.240000000000001E-2</v>
      </c>
      <c r="L482" s="76">
        <v>9.240000000000001E-2</v>
      </c>
      <c r="M482" s="76">
        <v>9.240000000000001E-2</v>
      </c>
      <c r="N482" s="76">
        <v>9.240000000000001E-2</v>
      </c>
      <c r="O482" s="76">
        <v>9.240000000000001E-2</v>
      </c>
      <c r="P482" s="76">
        <v>9.240000000000001E-2</v>
      </c>
      <c r="Q482" s="76">
        <v>9.240000000000001E-2</v>
      </c>
      <c r="R482" s="76">
        <v>9.240000000000001E-2</v>
      </c>
      <c r="S482" s="76">
        <v>9.240000000000001E-2</v>
      </c>
      <c r="T482" s="76">
        <v>9.240000000000001E-2</v>
      </c>
      <c r="U482" s="76">
        <v>9.240000000000001E-2</v>
      </c>
      <c r="V482" s="76">
        <v>9.240000000000001E-2</v>
      </c>
      <c r="W482" s="76">
        <v>9.240000000000001E-2</v>
      </c>
      <c r="X482" s="76">
        <v>9.240000000000001E-2</v>
      </c>
      <c r="Y482" s="76">
        <v>9.240000000000001E-2</v>
      </c>
      <c r="Z482" s="76">
        <v>9.240000000000001E-2</v>
      </c>
      <c r="AA482" s="76">
        <v>9.240000000000001E-2</v>
      </c>
      <c r="AB482" s="76">
        <v>9.240000000000001E-2</v>
      </c>
      <c r="AC482" s="76">
        <v>9.240000000000001E-2</v>
      </c>
      <c r="AD482" s="76">
        <v>9.240000000000001E-2</v>
      </c>
      <c r="AE482" s="76">
        <v>9.240000000000001E-2</v>
      </c>
      <c r="AF482" s="76">
        <v>9.240000000000001E-2</v>
      </c>
      <c r="AG482" s="76">
        <v>9.240000000000001E-2</v>
      </c>
      <c r="AH482" s="76">
        <v>9.240000000000001E-2</v>
      </c>
      <c r="AI482" s="76">
        <v>9.240000000000001E-2</v>
      </c>
      <c r="AJ482" s="76">
        <v>9.240000000000001E-2</v>
      </c>
      <c r="AK482" s="76">
        <v>9.240000000000001E-2</v>
      </c>
      <c r="AL482" s="76">
        <v>9.240000000000001E-2</v>
      </c>
      <c r="AM482" s="76">
        <v>9.240000000000001E-2</v>
      </c>
      <c r="AN482" s="76">
        <v>9.240000000000001E-2</v>
      </c>
      <c r="AO482" s="76">
        <v>9.240000000000001E-2</v>
      </c>
      <c r="AP482" s="76">
        <v>9.240000000000001E-2</v>
      </c>
      <c r="AQ482" s="76">
        <v>9.240000000000001E-2</v>
      </c>
      <c r="AR482" s="76">
        <v>9.240000000000001E-2</v>
      </c>
      <c r="AS482" s="76">
        <v>9.240000000000001E-2</v>
      </c>
      <c r="AT482" s="76">
        <v>9.240000000000001E-2</v>
      </c>
      <c r="AU482" s="76">
        <v>9.240000000000001E-2</v>
      </c>
      <c r="AV482" s="76">
        <v>9.240000000000001E-2</v>
      </c>
      <c r="AW482" s="76">
        <v>9.240000000000001E-2</v>
      </c>
      <c r="AX482" s="84">
        <v>9.240000000000001E-2</v>
      </c>
    </row>
    <row r="483" spans="1:50" x14ac:dyDescent="0.25">
      <c r="A483" s="356"/>
      <c r="B483" s="359"/>
      <c r="C483" s="350"/>
      <c r="D483" s="2" t="s">
        <v>10</v>
      </c>
      <c r="E483" s="160" t="str">
        <f>A451&amp;"/"&amp;B477&amp;"/"&amp;C481&amp;"/"&amp;D483</f>
        <v>Lignite fired power plants/Steam turbine/CHP/S</v>
      </c>
      <c r="F483" s="76" t="str">
        <f>A451</f>
        <v>Lignite fired power plants</v>
      </c>
      <c r="G483" s="76" t="str">
        <f>B477</f>
        <v>Steam turbine</v>
      </c>
      <c r="H483" s="76" t="str">
        <f>C481</f>
        <v>CHP</v>
      </c>
      <c r="I483" s="161" t="str">
        <f t="shared" si="84"/>
        <v>S</v>
      </c>
      <c r="J483" s="76">
        <v>9.7020000000000023E-2</v>
      </c>
      <c r="K483" s="76">
        <v>9.7020000000000023E-2</v>
      </c>
      <c r="L483" s="76">
        <v>9.7020000000000023E-2</v>
      </c>
      <c r="M483" s="76">
        <v>9.7020000000000023E-2</v>
      </c>
      <c r="N483" s="76">
        <v>9.7020000000000023E-2</v>
      </c>
      <c r="O483" s="76">
        <v>9.7020000000000023E-2</v>
      </c>
      <c r="P483" s="76">
        <v>9.7020000000000023E-2</v>
      </c>
      <c r="Q483" s="76">
        <v>9.7020000000000023E-2</v>
      </c>
      <c r="R483" s="76">
        <v>9.7020000000000023E-2</v>
      </c>
      <c r="S483" s="76">
        <v>9.7020000000000023E-2</v>
      </c>
      <c r="T483" s="76">
        <v>9.7020000000000023E-2</v>
      </c>
      <c r="U483" s="76">
        <v>9.7020000000000023E-2</v>
      </c>
      <c r="V483" s="76">
        <v>9.7020000000000023E-2</v>
      </c>
      <c r="W483" s="76">
        <v>9.7020000000000023E-2</v>
      </c>
      <c r="X483" s="76">
        <v>9.7020000000000023E-2</v>
      </c>
      <c r="Y483" s="76">
        <v>9.7020000000000023E-2</v>
      </c>
      <c r="Z483" s="76">
        <v>9.7020000000000023E-2</v>
      </c>
      <c r="AA483" s="76">
        <v>9.7020000000000023E-2</v>
      </c>
      <c r="AB483" s="76">
        <v>9.7020000000000023E-2</v>
      </c>
      <c r="AC483" s="76">
        <v>9.7020000000000023E-2</v>
      </c>
      <c r="AD483" s="76">
        <v>9.7020000000000023E-2</v>
      </c>
      <c r="AE483" s="76">
        <v>9.7020000000000023E-2</v>
      </c>
      <c r="AF483" s="76">
        <v>9.7020000000000023E-2</v>
      </c>
      <c r="AG483" s="76">
        <v>9.7020000000000023E-2</v>
      </c>
      <c r="AH483" s="76">
        <v>9.7020000000000023E-2</v>
      </c>
      <c r="AI483" s="76">
        <v>9.7020000000000023E-2</v>
      </c>
      <c r="AJ483" s="76">
        <v>9.7020000000000023E-2</v>
      </c>
      <c r="AK483" s="76">
        <v>9.7020000000000023E-2</v>
      </c>
      <c r="AL483" s="76">
        <v>9.7020000000000023E-2</v>
      </c>
      <c r="AM483" s="76">
        <v>9.7020000000000023E-2</v>
      </c>
      <c r="AN483" s="76">
        <v>9.7020000000000023E-2</v>
      </c>
      <c r="AO483" s="76">
        <v>9.7020000000000023E-2</v>
      </c>
      <c r="AP483" s="76">
        <v>9.7020000000000023E-2</v>
      </c>
      <c r="AQ483" s="76">
        <v>9.7020000000000023E-2</v>
      </c>
      <c r="AR483" s="76">
        <v>9.7020000000000023E-2</v>
      </c>
      <c r="AS483" s="76">
        <v>9.7020000000000023E-2</v>
      </c>
      <c r="AT483" s="76">
        <v>9.7020000000000023E-2</v>
      </c>
      <c r="AU483" s="76">
        <v>9.7020000000000023E-2</v>
      </c>
      <c r="AV483" s="76">
        <v>9.7020000000000023E-2</v>
      </c>
      <c r="AW483" s="76">
        <v>9.7020000000000023E-2</v>
      </c>
      <c r="AX483" s="84">
        <v>9.7020000000000023E-2</v>
      </c>
    </row>
    <row r="484" spans="1:50" x14ac:dyDescent="0.25">
      <c r="A484" s="356"/>
      <c r="B484" s="359"/>
      <c r="C484" s="360"/>
      <c r="D484" s="59" t="s">
        <v>20</v>
      </c>
      <c r="E484" s="166" t="str">
        <f>A451&amp;"/"&amp;B477&amp;"/"&amp;C481&amp;"/"&amp;D484</f>
        <v>Lignite fired power plants/Steam turbine/CHP/XS</v>
      </c>
      <c r="F484" s="79" t="str">
        <f>A451</f>
        <v>Lignite fired power plants</v>
      </c>
      <c r="G484" s="79" t="str">
        <f>B477</f>
        <v>Steam turbine</v>
      </c>
      <c r="H484" s="79" t="str">
        <f>C481</f>
        <v>CHP</v>
      </c>
      <c r="I484" s="167" t="str">
        <f t="shared" si="84"/>
        <v>XS</v>
      </c>
      <c r="J484" s="79">
        <v>0.10187100000000003</v>
      </c>
      <c r="K484" s="79">
        <v>0.10187100000000003</v>
      </c>
      <c r="L484" s="79">
        <v>0.10187100000000003</v>
      </c>
      <c r="M484" s="79">
        <v>0.10187100000000003</v>
      </c>
      <c r="N484" s="79">
        <v>0.10187100000000003</v>
      </c>
      <c r="O484" s="79">
        <v>0.10187100000000003</v>
      </c>
      <c r="P484" s="79">
        <v>0.10187100000000003</v>
      </c>
      <c r="Q484" s="79">
        <v>0.10187100000000003</v>
      </c>
      <c r="R484" s="79">
        <v>0.10187100000000003</v>
      </c>
      <c r="S484" s="79">
        <v>0.10187100000000003</v>
      </c>
      <c r="T484" s="79">
        <v>0.10187100000000003</v>
      </c>
      <c r="U484" s="79">
        <v>0.10187100000000003</v>
      </c>
      <c r="V484" s="79">
        <v>0.10187100000000003</v>
      </c>
      <c r="W484" s="79">
        <v>0.10187100000000003</v>
      </c>
      <c r="X484" s="79">
        <v>0.10187100000000003</v>
      </c>
      <c r="Y484" s="79">
        <v>0.10187100000000003</v>
      </c>
      <c r="Z484" s="79">
        <v>0.10187100000000003</v>
      </c>
      <c r="AA484" s="79">
        <v>0.10187100000000003</v>
      </c>
      <c r="AB484" s="79">
        <v>0.10187100000000003</v>
      </c>
      <c r="AC484" s="79">
        <v>0.10187100000000003</v>
      </c>
      <c r="AD484" s="79">
        <v>0.10187100000000003</v>
      </c>
      <c r="AE484" s="79">
        <v>0.10187100000000003</v>
      </c>
      <c r="AF484" s="79">
        <v>0.10187100000000003</v>
      </c>
      <c r="AG484" s="79">
        <v>0.10187100000000003</v>
      </c>
      <c r="AH484" s="79">
        <v>0.10187100000000003</v>
      </c>
      <c r="AI484" s="79">
        <v>0.10187100000000003</v>
      </c>
      <c r="AJ484" s="79">
        <v>0.10187100000000003</v>
      </c>
      <c r="AK484" s="79">
        <v>0.10187100000000003</v>
      </c>
      <c r="AL484" s="79">
        <v>0.10187100000000003</v>
      </c>
      <c r="AM484" s="79">
        <v>0.10187100000000003</v>
      </c>
      <c r="AN484" s="79">
        <v>0.10187100000000003</v>
      </c>
      <c r="AO484" s="79">
        <v>0.10187100000000003</v>
      </c>
      <c r="AP484" s="79">
        <v>0.10187100000000003</v>
      </c>
      <c r="AQ484" s="79">
        <v>0.10187100000000003</v>
      </c>
      <c r="AR484" s="79">
        <v>0.10187100000000003</v>
      </c>
      <c r="AS484" s="79">
        <v>0.10187100000000003</v>
      </c>
      <c r="AT484" s="79">
        <v>0.10187100000000003</v>
      </c>
      <c r="AU484" s="79">
        <v>0.10187100000000003</v>
      </c>
      <c r="AV484" s="79">
        <v>0.10187100000000003</v>
      </c>
      <c r="AW484" s="79">
        <v>0.10187100000000003</v>
      </c>
      <c r="AX484" s="87">
        <v>0.10187100000000003</v>
      </c>
    </row>
    <row r="485" spans="1:50" x14ac:dyDescent="0.25">
      <c r="A485" s="356"/>
      <c r="B485" s="359"/>
      <c r="C485" s="361" t="s">
        <v>15</v>
      </c>
      <c r="D485" s="58" t="s">
        <v>7</v>
      </c>
      <c r="E485" s="164" t="str">
        <f>A451&amp;"/"&amp;B477&amp;"/"&amp;C485&amp;"/"&amp;D485</f>
        <v>Lignite fired power plants/Steam turbine/Electricity only with CCS/L</v>
      </c>
      <c r="F485" s="78" t="str">
        <f>A451</f>
        <v>Lignite fired power plants</v>
      </c>
      <c r="G485" s="78" t="str">
        <f>B477</f>
        <v>Steam turbine</v>
      </c>
      <c r="H485" s="78" t="str">
        <f>C485</f>
        <v>Electricity only with CCS</v>
      </c>
      <c r="I485" s="165" t="str">
        <f t="shared" si="84"/>
        <v>L</v>
      </c>
      <c r="J485" s="78" t="s">
        <v>112</v>
      </c>
      <c r="K485" s="78" t="s">
        <v>112</v>
      </c>
      <c r="L485" s="78" t="s">
        <v>112</v>
      </c>
      <c r="M485" s="78" t="s">
        <v>112</v>
      </c>
      <c r="N485" s="78" t="s">
        <v>112</v>
      </c>
      <c r="O485" s="78" t="s">
        <v>112</v>
      </c>
      <c r="P485" s="78" t="s">
        <v>112</v>
      </c>
      <c r="Q485" s="78" t="s">
        <v>112</v>
      </c>
      <c r="R485" s="78" t="s">
        <v>112</v>
      </c>
      <c r="S485" s="78" t="s">
        <v>112</v>
      </c>
      <c r="T485" s="78" t="s">
        <v>112</v>
      </c>
      <c r="U485" s="78" t="s">
        <v>112</v>
      </c>
      <c r="V485" s="78" t="s">
        <v>112</v>
      </c>
      <c r="W485" s="78" t="s">
        <v>112</v>
      </c>
      <c r="X485" s="78" t="s">
        <v>112</v>
      </c>
      <c r="Y485" s="78" t="s">
        <v>112</v>
      </c>
      <c r="Z485" s="78" t="s">
        <v>112</v>
      </c>
      <c r="AA485" s="78" t="s">
        <v>112</v>
      </c>
      <c r="AB485" s="78" t="s">
        <v>112</v>
      </c>
      <c r="AC485" s="78" t="s">
        <v>112</v>
      </c>
      <c r="AD485" s="78" t="s">
        <v>112</v>
      </c>
      <c r="AE485" s="78">
        <v>0.3</v>
      </c>
      <c r="AF485" s="78">
        <v>0.3</v>
      </c>
      <c r="AG485" s="78">
        <v>0.3</v>
      </c>
      <c r="AH485" s="78">
        <v>0.3</v>
      </c>
      <c r="AI485" s="78">
        <v>0.3</v>
      </c>
      <c r="AJ485" s="78">
        <v>0.3</v>
      </c>
      <c r="AK485" s="78">
        <v>0.3</v>
      </c>
      <c r="AL485" s="78">
        <v>0.3</v>
      </c>
      <c r="AM485" s="78">
        <v>0.3</v>
      </c>
      <c r="AN485" s="78">
        <v>0.3</v>
      </c>
      <c r="AO485" s="78">
        <v>0.3</v>
      </c>
      <c r="AP485" s="78">
        <v>0.3</v>
      </c>
      <c r="AQ485" s="78">
        <v>0.3</v>
      </c>
      <c r="AR485" s="78">
        <v>0.3</v>
      </c>
      <c r="AS485" s="78">
        <v>0.3</v>
      </c>
      <c r="AT485" s="78">
        <v>0.3</v>
      </c>
      <c r="AU485" s="78">
        <v>0.3</v>
      </c>
      <c r="AV485" s="78">
        <v>0.3</v>
      </c>
      <c r="AW485" s="78">
        <v>0.3</v>
      </c>
      <c r="AX485" s="86">
        <v>0.3</v>
      </c>
    </row>
    <row r="486" spans="1:50" x14ac:dyDescent="0.25">
      <c r="A486" s="356"/>
      <c r="B486" s="359"/>
      <c r="C486" s="360"/>
      <c r="D486" s="59" t="s">
        <v>8</v>
      </c>
      <c r="E486" s="166" t="str">
        <f>A451&amp;"/"&amp;B477&amp;"/"&amp;C485&amp;"/"&amp;D486</f>
        <v>Lignite fired power plants/Steam turbine/Electricity only with CCS/M</v>
      </c>
      <c r="F486" s="79" t="str">
        <f>A451</f>
        <v>Lignite fired power plants</v>
      </c>
      <c r="G486" s="79" t="str">
        <f>B477</f>
        <v>Steam turbine</v>
      </c>
      <c r="H486" s="79" t="str">
        <f>C485</f>
        <v>Electricity only with CCS</v>
      </c>
      <c r="I486" s="167" t="str">
        <f t="shared" si="84"/>
        <v>M</v>
      </c>
      <c r="J486" s="79" t="s">
        <v>112</v>
      </c>
      <c r="K486" s="79" t="s">
        <v>112</v>
      </c>
      <c r="L486" s="79" t="s">
        <v>112</v>
      </c>
      <c r="M486" s="79" t="s">
        <v>112</v>
      </c>
      <c r="N486" s="79" t="s">
        <v>112</v>
      </c>
      <c r="O486" s="79" t="s">
        <v>112</v>
      </c>
      <c r="P486" s="79" t="s">
        <v>112</v>
      </c>
      <c r="Q486" s="79" t="s">
        <v>112</v>
      </c>
      <c r="R486" s="79" t="s">
        <v>112</v>
      </c>
      <c r="S486" s="79" t="s">
        <v>112</v>
      </c>
      <c r="T486" s="79" t="s">
        <v>112</v>
      </c>
      <c r="U486" s="79" t="s">
        <v>112</v>
      </c>
      <c r="V486" s="79" t="s">
        <v>112</v>
      </c>
      <c r="W486" s="79" t="s">
        <v>112</v>
      </c>
      <c r="X486" s="79" t="s">
        <v>112</v>
      </c>
      <c r="Y486" s="79" t="s">
        <v>112</v>
      </c>
      <c r="Z486" s="79" t="s">
        <v>112</v>
      </c>
      <c r="AA486" s="79" t="s">
        <v>112</v>
      </c>
      <c r="AB486" s="79" t="s">
        <v>112</v>
      </c>
      <c r="AC486" s="79" t="s">
        <v>112</v>
      </c>
      <c r="AD486" s="79" t="s">
        <v>112</v>
      </c>
      <c r="AE486" s="79">
        <v>0.315</v>
      </c>
      <c r="AF486" s="79">
        <v>0.315</v>
      </c>
      <c r="AG486" s="79">
        <v>0.315</v>
      </c>
      <c r="AH486" s="79">
        <v>0.315</v>
      </c>
      <c r="AI486" s="79">
        <v>0.315</v>
      </c>
      <c r="AJ486" s="79">
        <v>0.315</v>
      </c>
      <c r="AK486" s="79">
        <v>0.315</v>
      </c>
      <c r="AL486" s="79">
        <v>0.315</v>
      </c>
      <c r="AM486" s="79">
        <v>0.315</v>
      </c>
      <c r="AN486" s="79">
        <v>0.315</v>
      </c>
      <c r="AO486" s="79">
        <v>0.315</v>
      </c>
      <c r="AP486" s="79">
        <v>0.315</v>
      </c>
      <c r="AQ486" s="79">
        <v>0.315</v>
      </c>
      <c r="AR486" s="79">
        <v>0.315</v>
      </c>
      <c r="AS486" s="79">
        <v>0.315</v>
      </c>
      <c r="AT486" s="79">
        <v>0.315</v>
      </c>
      <c r="AU486" s="79">
        <v>0.315</v>
      </c>
      <c r="AV486" s="79">
        <v>0.315</v>
      </c>
      <c r="AW486" s="79">
        <v>0.315</v>
      </c>
      <c r="AX486" s="87">
        <v>0.315</v>
      </c>
    </row>
    <row r="487" spans="1:50" x14ac:dyDescent="0.25">
      <c r="A487" s="356"/>
      <c r="B487" s="359"/>
      <c r="C487" s="361" t="s">
        <v>16</v>
      </c>
      <c r="D487" s="2" t="s">
        <v>7</v>
      </c>
      <c r="E487" s="160" t="str">
        <f>A451&amp;"/"&amp;B477&amp;"/"&amp;C487&amp;"/"&amp;D487</f>
        <v>Lignite fired power plants/Steam turbine/CHP with CCS/L</v>
      </c>
      <c r="F487" s="76" t="str">
        <f>A451</f>
        <v>Lignite fired power plants</v>
      </c>
      <c r="G487" s="76" t="str">
        <f>B477</f>
        <v>Steam turbine</v>
      </c>
      <c r="H487" s="76" t="str">
        <f>C487</f>
        <v>CHP with CCS</v>
      </c>
      <c r="I487" s="161" t="str">
        <f t="shared" si="84"/>
        <v>L</v>
      </c>
      <c r="J487" s="76" t="s">
        <v>112</v>
      </c>
      <c r="K487" s="76" t="s">
        <v>112</v>
      </c>
      <c r="L487" s="76" t="s">
        <v>112</v>
      </c>
      <c r="M487" s="76" t="s">
        <v>112</v>
      </c>
      <c r="N487" s="76" t="s">
        <v>112</v>
      </c>
      <c r="O487" s="76" t="s">
        <v>112</v>
      </c>
      <c r="P487" s="76" t="s">
        <v>112</v>
      </c>
      <c r="Q487" s="76" t="s">
        <v>112</v>
      </c>
      <c r="R487" s="76" t="s">
        <v>112</v>
      </c>
      <c r="S487" s="76" t="s">
        <v>112</v>
      </c>
      <c r="T487" s="76" t="s">
        <v>112</v>
      </c>
      <c r="U487" s="76" t="s">
        <v>112</v>
      </c>
      <c r="V487" s="76" t="s">
        <v>112</v>
      </c>
      <c r="W487" s="76" t="s">
        <v>112</v>
      </c>
      <c r="X487" s="76" t="s">
        <v>112</v>
      </c>
      <c r="Y487" s="76" t="s">
        <v>112</v>
      </c>
      <c r="Z487" s="76" t="s">
        <v>112</v>
      </c>
      <c r="AA487" s="76" t="s">
        <v>112</v>
      </c>
      <c r="AB487" s="76" t="s">
        <v>112</v>
      </c>
      <c r="AC487" s="76" t="s">
        <v>112</v>
      </c>
      <c r="AD487" s="76" t="s">
        <v>112</v>
      </c>
      <c r="AE487" s="76">
        <v>0.33</v>
      </c>
      <c r="AF487" s="76">
        <v>0.33</v>
      </c>
      <c r="AG487" s="76">
        <v>0.33</v>
      </c>
      <c r="AH487" s="76">
        <v>0.33</v>
      </c>
      <c r="AI487" s="76">
        <v>0.33</v>
      </c>
      <c r="AJ487" s="76">
        <v>0.33</v>
      </c>
      <c r="AK487" s="76">
        <v>0.33</v>
      </c>
      <c r="AL487" s="76">
        <v>0.33</v>
      </c>
      <c r="AM487" s="76">
        <v>0.33</v>
      </c>
      <c r="AN487" s="76">
        <v>0.33</v>
      </c>
      <c r="AO487" s="76">
        <v>0.33</v>
      </c>
      <c r="AP487" s="76">
        <v>0.33</v>
      </c>
      <c r="AQ487" s="76">
        <v>0.33</v>
      </c>
      <c r="AR487" s="76">
        <v>0.33</v>
      </c>
      <c r="AS487" s="76">
        <v>0.33</v>
      </c>
      <c r="AT487" s="76">
        <v>0.33</v>
      </c>
      <c r="AU487" s="76">
        <v>0.33</v>
      </c>
      <c r="AV487" s="76">
        <v>0.33</v>
      </c>
      <c r="AW487" s="76">
        <v>0.33</v>
      </c>
      <c r="AX487" s="84">
        <v>0.33</v>
      </c>
    </row>
    <row r="488" spans="1:50" x14ac:dyDescent="0.25">
      <c r="A488" s="357"/>
      <c r="B488" s="362"/>
      <c r="C488" s="354"/>
      <c r="D488" s="4" t="s">
        <v>8</v>
      </c>
      <c r="E488" s="168" t="str">
        <f>A451&amp;"/"&amp;B477&amp;"/"&amp;C487&amp;"/"&amp;D488</f>
        <v>Lignite fired power plants/Steam turbine/CHP with CCS/M</v>
      </c>
      <c r="F488" s="80" t="str">
        <f>A451</f>
        <v>Lignite fired power plants</v>
      </c>
      <c r="G488" s="80" t="str">
        <f>B477</f>
        <v>Steam turbine</v>
      </c>
      <c r="H488" s="80" t="str">
        <f>C487</f>
        <v>CHP with CCS</v>
      </c>
      <c r="I488" s="169" t="str">
        <f t="shared" si="84"/>
        <v>M</v>
      </c>
      <c r="J488" s="80" t="s">
        <v>112</v>
      </c>
      <c r="K488" s="80" t="s">
        <v>112</v>
      </c>
      <c r="L488" s="80" t="s">
        <v>112</v>
      </c>
      <c r="M488" s="80" t="s">
        <v>112</v>
      </c>
      <c r="N488" s="80" t="s">
        <v>112</v>
      </c>
      <c r="O488" s="80" t="s">
        <v>112</v>
      </c>
      <c r="P488" s="80" t="s">
        <v>112</v>
      </c>
      <c r="Q488" s="80" t="s">
        <v>112</v>
      </c>
      <c r="R488" s="80" t="s">
        <v>112</v>
      </c>
      <c r="S488" s="80" t="s">
        <v>112</v>
      </c>
      <c r="T488" s="80" t="s">
        <v>112</v>
      </c>
      <c r="U488" s="80" t="s">
        <v>112</v>
      </c>
      <c r="V488" s="80" t="s">
        <v>112</v>
      </c>
      <c r="W488" s="80" t="s">
        <v>112</v>
      </c>
      <c r="X488" s="80" t="s">
        <v>112</v>
      </c>
      <c r="Y488" s="80" t="s">
        <v>112</v>
      </c>
      <c r="Z488" s="80" t="s">
        <v>112</v>
      </c>
      <c r="AA488" s="80" t="s">
        <v>112</v>
      </c>
      <c r="AB488" s="80" t="s">
        <v>112</v>
      </c>
      <c r="AC488" s="80" t="s">
        <v>112</v>
      </c>
      <c r="AD488" s="80" t="s">
        <v>112</v>
      </c>
      <c r="AE488" s="80">
        <v>0.34650000000000003</v>
      </c>
      <c r="AF488" s="80">
        <v>0.34650000000000003</v>
      </c>
      <c r="AG488" s="80">
        <v>0.34650000000000003</v>
      </c>
      <c r="AH488" s="80">
        <v>0.34650000000000003</v>
      </c>
      <c r="AI488" s="80">
        <v>0.34650000000000003</v>
      </c>
      <c r="AJ488" s="80">
        <v>0.34650000000000003</v>
      </c>
      <c r="AK488" s="80">
        <v>0.34650000000000003</v>
      </c>
      <c r="AL488" s="80">
        <v>0.34650000000000003</v>
      </c>
      <c r="AM488" s="80">
        <v>0.34650000000000003</v>
      </c>
      <c r="AN488" s="80">
        <v>0.34650000000000003</v>
      </c>
      <c r="AO488" s="80">
        <v>0.34650000000000003</v>
      </c>
      <c r="AP488" s="80">
        <v>0.34650000000000003</v>
      </c>
      <c r="AQ488" s="80">
        <v>0.34650000000000003</v>
      </c>
      <c r="AR488" s="80">
        <v>0.34650000000000003</v>
      </c>
      <c r="AS488" s="80">
        <v>0.34650000000000003</v>
      </c>
      <c r="AT488" s="80">
        <v>0.34650000000000003</v>
      </c>
      <c r="AU488" s="80">
        <v>0.34650000000000003</v>
      </c>
      <c r="AV488" s="80">
        <v>0.34650000000000003</v>
      </c>
      <c r="AW488" s="80">
        <v>0.34650000000000003</v>
      </c>
      <c r="AX488" s="88">
        <v>0.34650000000000003</v>
      </c>
    </row>
    <row r="489" spans="1:50" x14ac:dyDescent="0.25">
      <c r="A489" s="356" t="s">
        <v>22</v>
      </c>
      <c r="B489" s="358" t="s">
        <v>23</v>
      </c>
      <c r="C489" s="353" t="s">
        <v>6</v>
      </c>
      <c r="D489" s="3" t="s">
        <v>7</v>
      </c>
      <c r="E489" s="162" t="str">
        <f>A489&amp;"/"&amp;B489&amp;"/"&amp;C489&amp;"/"&amp;D489</f>
        <v>Gas fired power plants (Natural gas, biogas)/Gas turbine combined cycle/Electricity only/L</v>
      </c>
      <c r="F489" s="77" t="str">
        <f>A489</f>
        <v>Gas fired power plants (Natural gas, biogas)</v>
      </c>
      <c r="G489" s="77" t="str">
        <f>B489</f>
        <v>Gas turbine combined cycle</v>
      </c>
      <c r="H489" s="77" t="str">
        <f>C489</f>
        <v>Electricity only</v>
      </c>
      <c r="I489" s="163" t="str">
        <f t="shared" si="84"/>
        <v>L</v>
      </c>
      <c r="J489" s="77">
        <v>0.03</v>
      </c>
      <c r="K489" s="77">
        <v>0.03</v>
      </c>
      <c r="L489" s="77">
        <v>0.03</v>
      </c>
      <c r="M489" s="77">
        <v>0.03</v>
      </c>
      <c r="N489" s="77">
        <v>0.03</v>
      </c>
      <c r="O489" s="77">
        <v>0.03</v>
      </c>
      <c r="P489" s="77">
        <v>0.03</v>
      </c>
      <c r="Q489" s="77">
        <v>0.03</v>
      </c>
      <c r="R489" s="77">
        <v>0.03</v>
      </c>
      <c r="S489" s="77">
        <v>0.03</v>
      </c>
      <c r="T489" s="77">
        <v>0.03</v>
      </c>
      <c r="U489" s="77">
        <v>0.03</v>
      </c>
      <c r="V489" s="77">
        <v>0.03</v>
      </c>
      <c r="W489" s="77">
        <v>0.03</v>
      </c>
      <c r="X489" s="77">
        <v>0.03</v>
      </c>
      <c r="Y489" s="77">
        <v>0.03</v>
      </c>
      <c r="Z489" s="77">
        <v>0.03</v>
      </c>
      <c r="AA489" s="77">
        <v>0.03</v>
      </c>
      <c r="AB489" s="77">
        <v>0.03</v>
      </c>
      <c r="AC489" s="77">
        <v>0.03</v>
      </c>
      <c r="AD489" s="77">
        <v>0.03</v>
      </c>
      <c r="AE489" s="77">
        <v>0.03</v>
      </c>
      <c r="AF489" s="77">
        <v>0.03</v>
      </c>
      <c r="AG489" s="77">
        <v>0.03</v>
      </c>
      <c r="AH489" s="77">
        <v>0.03</v>
      </c>
      <c r="AI489" s="77">
        <v>0.03</v>
      </c>
      <c r="AJ489" s="77">
        <v>0.03</v>
      </c>
      <c r="AK489" s="77">
        <v>0.03</v>
      </c>
      <c r="AL489" s="77">
        <v>0.03</v>
      </c>
      <c r="AM489" s="77">
        <v>0.03</v>
      </c>
      <c r="AN489" s="77">
        <v>0.03</v>
      </c>
      <c r="AO489" s="77">
        <v>0.03</v>
      </c>
      <c r="AP489" s="77">
        <v>0.03</v>
      </c>
      <c r="AQ489" s="77">
        <v>0.03</v>
      </c>
      <c r="AR489" s="77">
        <v>0.03</v>
      </c>
      <c r="AS489" s="77">
        <v>0.03</v>
      </c>
      <c r="AT489" s="77">
        <v>0.03</v>
      </c>
      <c r="AU489" s="77">
        <v>0.03</v>
      </c>
      <c r="AV489" s="77">
        <v>0.03</v>
      </c>
      <c r="AW489" s="77">
        <v>0.03</v>
      </c>
      <c r="AX489" s="85">
        <v>0.03</v>
      </c>
    </row>
    <row r="490" spans="1:50" x14ac:dyDescent="0.25">
      <c r="A490" s="356"/>
      <c r="B490" s="359"/>
      <c r="C490" s="350"/>
      <c r="D490" s="2" t="s">
        <v>8</v>
      </c>
      <c r="E490" s="160" t="str">
        <f>A489&amp;"/"&amp;B489&amp;"/"&amp;C489&amp;"/"&amp;D490</f>
        <v>Gas fired power plants (Natural gas, biogas)/Gas turbine combined cycle/Electricity only/M</v>
      </c>
      <c r="F490" s="76" t="str">
        <f>A489</f>
        <v>Gas fired power plants (Natural gas, biogas)</v>
      </c>
      <c r="G490" s="76" t="str">
        <f>B489</f>
        <v>Gas turbine combined cycle</v>
      </c>
      <c r="H490" s="76" t="str">
        <f>C489</f>
        <v>Electricity only</v>
      </c>
      <c r="I490" s="161" t="str">
        <f t="shared" si="84"/>
        <v>M</v>
      </c>
      <c r="J490" s="76">
        <v>3.15E-2</v>
      </c>
      <c r="K490" s="76">
        <v>3.15E-2</v>
      </c>
      <c r="L490" s="76">
        <v>3.15E-2</v>
      </c>
      <c r="M490" s="76">
        <v>3.15E-2</v>
      </c>
      <c r="N490" s="76">
        <v>3.15E-2</v>
      </c>
      <c r="O490" s="76">
        <v>3.15E-2</v>
      </c>
      <c r="P490" s="76">
        <v>3.15E-2</v>
      </c>
      <c r="Q490" s="76">
        <v>3.15E-2</v>
      </c>
      <c r="R490" s="76">
        <v>3.15E-2</v>
      </c>
      <c r="S490" s="76">
        <v>3.15E-2</v>
      </c>
      <c r="T490" s="76">
        <v>3.15E-2</v>
      </c>
      <c r="U490" s="76">
        <v>3.15E-2</v>
      </c>
      <c r="V490" s="76">
        <v>3.15E-2</v>
      </c>
      <c r="W490" s="76">
        <v>3.15E-2</v>
      </c>
      <c r="X490" s="76">
        <v>3.15E-2</v>
      </c>
      <c r="Y490" s="76">
        <v>3.15E-2</v>
      </c>
      <c r="Z490" s="76">
        <v>3.15E-2</v>
      </c>
      <c r="AA490" s="76">
        <v>3.15E-2</v>
      </c>
      <c r="AB490" s="76">
        <v>3.15E-2</v>
      </c>
      <c r="AC490" s="76">
        <v>3.15E-2</v>
      </c>
      <c r="AD490" s="76">
        <v>3.15E-2</v>
      </c>
      <c r="AE490" s="76">
        <v>3.15E-2</v>
      </c>
      <c r="AF490" s="76">
        <v>3.15E-2</v>
      </c>
      <c r="AG490" s="76">
        <v>3.15E-2</v>
      </c>
      <c r="AH490" s="76">
        <v>3.15E-2</v>
      </c>
      <c r="AI490" s="76">
        <v>3.15E-2</v>
      </c>
      <c r="AJ490" s="76">
        <v>3.15E-2</v>
      </c>
      <c r="AK490" s="76">
        <v>3.15E-2</v>
      </c>
      <c r="AL490" s="76">
        <v>3.15E-2</v>
      </c>
      <c r="AM490" s="76">
        <v>3.15E-2</v>
      </c>
      <c r="AN490" s="76">
        <v>3.15E-2</v>
      </c>
      <c r="AO490" s="76">
        <v>3.15E-2</v>
      </c>
      <c r="AP490" s="76">
        <v>3.15E-2</v>
      </c>
      <c r="AQ490" s="76">
        <v>3.15E-2</v>
      </c>
      <c r="AR490" s="76">
        <v>3.15E-2</v>
      </c>
      <c r="AS490" s="76">
        <v>3.15E-2</v>
      </c>
      <c r="AT490" s="76">
        <v>3.15E-2</v>
      </c>
      <c r="AU490" s="76">
        <v>3.15E-2</v>
      </c>
      <c r="AV490" s="76">
        <v>3.15E-2</v>
      </c>
      <c r="AW490" s="76">
        <v>3.15E-2</v>
      </c>
      <c r="AX490" s="84">
        <v>3.15E-2</v>
      </c>
    </row>
    <row r="491" spans="1:50" x14ac:dyDescent="0.25">
      <c r="A491" s="356"/>
      <c r="B491" s="359"/>
      <c r="C491" s="350"/>
      <c r="D491" s="2" t="s">
        <v>10</v>
      </c>
      <c r="E491" s="160" t="str">
        <f>A489&amp;"/"&amp;B489&amp;"/"&amp;C489&amp;"/"&amp;D491</f>
        <v>Gas fired power plants (Natural gas, biogas)/Gas turbine combined cycle/Electricity only/S</v>
      </c>
      <c r="F491" s="76" t="str">
        <f>A489</f>
        <v>Gas fired power plants (Natural gas, biogas)</v>
      </c>
      <c r="G491" s="76" t="str">
        <f>B489</f>
        <v>Gas turbine combined cycle</v>
      </c>
      <c r="H491" s="76" t="str">
        <f>C489</f>
        <v>Electricity only</v>
      </c>
      <c r="I491" s="161" t="str">
        <f t="shared" si="84"/>
        <v>S</v>
      </c>
      <c r="J491" s="76">
        <v>3.3075E-2</v>
      </c>
      <c r="K491" s="76">
        <v>3.3075E-2</v>
      </c>
      <c r="L491" s="76">
        <v>3.3075E-2</v>
      </c>
      <c r="M491" s="76">
        <v>3.3075E-2</v>
      </c>
      <c r="N491" s="76">
        <v>3.3075E-2</v>
      </c>
      <c r="O491" s="76">
        <v>3.3075E-2</v>
      </c>
      <c r="P491" s="76">
        <v>3.3075E-2</v>
      </c>
      <c r="Q491" s="76">
        <v>3.3075E-2</v>
      </c>
      <c r="R491" s="76">
        <v>3.3075E-2</v>
      </c>
      <c r="S491" s="76">
        <v>3.3075E-2</v>
      </c>
      <c r="T491" s="76">
        <v>3.3075E-2</v>
      </c>
      <c r="U491" s="76">
        <v>3.3075E-2</v>
      </c>
      <c r="V491" s="76">
        <v>3.3075E-2</v>
      </c>
      <c r="W491" s="76">
        <v>3.3075E-2</v>
      </c>
      <c r="X491" s="76">
        <v>3.3075E-2</v>
      </c>
      <c r="Y491" s="76">
        <v>3.3075E-2</v>
      </c>
      <c r="Z491" s="76">
        <v>3.3075E-2</v>
      </c>
      <c r="AA491" s="76">
        <v>3.3075E-2</v>
      </c>
      <c r="AB491" s="76">
        <v>3.3075E-2</v>
      </c>
      <c r="AC491" s="76">
        <v>3.3075E-2</v>
      </c>
      <c r="AD491" s="76">
        <v>3.3075E-2</v>
      </c>
      <c r="AE491" s="76">
        <v>3.3075E-2</v>
      </c>
      <c r="AF491" s="76">
        <v>3.3075E-2</v>
      </c>
      <c r="AG491" s="76">
        <v>3.3075E-2</v>
      </c>
      <c r="AH491" s="76">
        <v>3.3075E-2</v>
      </c>
      <c r="AI491" s="76">
        <v>3.3075E-2</v>
      </c>
      <c r="AJ491" s="76">
        <v>3.3075E-2</v>
      </c>
      <c r="AK491" s="76">
        <v>3.3075E-2</v>
      </c>
      <c r="AL491" s="76">
        <v>3.3075E-2</v>
      </c>
      <c r="AM491" s="76">
        <v>3.3075E-2</v>
      </c>
      <c r="AN491" s="76">
        <v>3.3075E-2</v>
      </c>
      <c r="AO491" s="76">
        <v>3.3075E-2</v>
      </c>
      <c r="AP491" s="76">
        <v>3.3075E-2</v>
      </c>
      <c r="AQ491" s="76">
        <v>3.3075E-2</v>
      </c>
      <c r="AR491" s="76">
        <v>3.3075E-2</v>
      </c>
      <c r="AS491" s="76">
        <v>3.3075E-2</v>
      </c>
      <c r="AT491" s="76">
        <v>3.3075E-2</v>
      </c>
      <c r="AU491" s="76">
        <v>3.3075E-2</v>
      </c>
      <c r="AV491" s="76">
        <v>3.3075E-2</v>
      </c>
      <c r="AW491" s="76">
        <v>3.3075E-2</v>
      </c>
      <c r="AX491" s="84">
        <v>3.3075E-2</v>
      </c>
    </row>
    <row r="492" spans="1:50" x14ac:dyDescent="0.25">
      <c r="A492" s="356"/>
      <c r="B492" s="359"/>
      <c r="C492" s="360"/>
      <c r="D492" s="2" t="s">
        <v>20</v>
      </c>
      <c r="E492" s="160" t="str">
        <f>A489&amp;"/"&amp;B489&amp;"/"&amp;C489&amp;"/"&amp;D492</f>
        <v>Gas fired power plants (Natural gas, biogas)/Gas turbine combined cycle/Electricity only/XS</v>
      </c>
      <c r="F492" s="76" t="str">
        <f>A489</f>
        <v>Gas fired power plants (Natural gas, biogas)</v>
      </c>
      <c r="G492" s="76" t="str">
        <f>B489</f>
        <v>Gas turbine combined cycle</v>
      </c>
      <c r="H492" s="76" t="str">
        <f>C489</f>
        <v>Electricity only</v>
      </c>
      <c r="I492" s="161" t="str">
        <f t="shared" si="84"/>
        <v>XS</v>
      </c>
      <c r="J492" s="76">
        <v>3.4728750000000003E-2</v>
      </c>
      <c r="K492" s="76">
        <v>3.4728750000000003E-2</v>
      </c>
      <c r="L492" s="76">
        <v>3.4728750000000003E-2</v>
      </c>
      <c r="M492" s="76">
        <v>3.4728750000000003E-2</v>
      </c>
      <c r="N492" s="76">
        <v>3.4728750000000003E-2</v>
      </c>
      <c r="O492" s="76">
        <v>3.4728750000000003E-2</v>
      </c>
      <c r="P492" s="76">
        <v>3.4728750000000003E-2</v>
      </c>
      <c r="Q492" s="76">
        <v>3.4728750000000003E-2</v>
      </c>
      <c r="R492" s="76">
        <v>3.4728750000000003E-2</v>
      </c>
      <c r="S492" s="76">
        <v>3.4728750000000003E-2</v>
      </c>
      <c r="T492" s="76">
        <v>3.4728750000000003E-2</v>
      </c>
      <c r="U492" s="76">
        <v>3.4728750000000003E-2</v>
      </c>
      <c r="V492" s="76">
        <v>3.4728750000000003E-2</v>
      </c>
      <c r="W492" s="76">
        <v>3.4728750000000003E-2</v>
      </c>
      <c r="X492" s="76">
        <v>3.4728750000000003E-2</v>
      </c>
      <c r="Y492" s="76">
        <v>3.4728750000000003E-2</v>
      </c>
      <c r="Z492" s="76">
        <v>3.4728750000000003E-2</v>
      </c>
      <c r="AA492" s="76">
        <v>3.4728750000000003E-2</v>
      </c>
      <c r="AB492" s="76">
        <v>3.4728750000000003E-2</v>
      </c>
      <c r="AC492" s="76">
        <v>3.4728750000000003E-2</v>
      </c>
      <c r="AD492" s="76">
        <v>3.4728750000000003E-2</v>
      </c>
      <c r="AE492" s="76">
        <v>3.4728750000000003E-2</v>
      </c>
      <c r="AF492" s="76">
        <v>3.4728750000000003E-2</v>
      </c>
      <c r="AG492" s="76">
        <v>3.4728750000000003E-2</v>
      </c>
      <c r="AH492" s="76">
        <v>3.4728750000000003E-2</v>
      </c>
      <c r="AI492" s="76">
        <v>3.4728750000000003E-2</v>
      </c>
      <c r="AJ492" s="76">
        <v>3.4728750000000003E-2</v>
      </c>
      <c r="AK492" s="76">
        <v>3.4728750000000003E-2</v>
      </c>
      <c r="AL492" s="76">
        <v>3.4728750000000003E-2</v>
      </c>
      <c r="AM492" s="76">
        <v>3.4728750000000003E-2</v>
      </c>
      <c r="AN492" s="76">
        <v>3.4728750000000003E-2</v>
      </c>
      <c r="AO492" s="76">
        <v>3.4728750000000003E-2</v>
      </c>
      <c r="AP492" s="76">
        <v>3.4728750000000003E-2</v>
      </c>
      <c r="AQ492" s="76">
        <v>3.4728750000000003E-2</v>
      </c>
      <c r="AR492" s="76">
        <v>3.4728750000000003E-2</v>
      </c>
      <c r="AS492" s="76">
        <v>3.4728750000000003E-2</v>
      </c>
      <c r="AT492" s="76">
        <v>3.4728750000000003E-2</v>
      </c>
      <c r="AU492" s="76">
        <v>3.4728750000000003E-2</v>
      </c>
      <c r="AV492" s="76">
        <v>3.4728750000000003E-2</v>
      </c>
      <c r="AW492" s="76">
        <v>3.4728750000000003E-2</v>
      </c>
      <c r="AX492" s="84">
        <v>3.4728750000000003E-2</v>
      </c>
    </row>
    <row r="493" spans="1:50" x14ac:dyDescent="0.25">
      <c r="A493" s="356"/>
      <c r="B493" s="359"/>
      <c r="C493" s="361" t="s">
        <v>14</v>
      </c>
      <c r="D493" s="58" t="s">
        <v>7</v>
      </c>
      <c r="E493" s="164" t="str">
        <f>A489&amp;"/"&amp;B489&amp;"/"&amp;C493&amp;"/"&amp;D493</f>
        <v>Gas fired power plants (Natural gas, biogas)/Gas turbine combined cycle/CHP/L</v>
      </c>
      <c r="F493" s="78" t="str">
        <f>A489</f>
        <v>Gas fired power plants (Natural gas, biogas)</v>
      </c>
      <c r="G493" s="78" t="str">
        <f>B489</f>
        <v>Gas turbine combined cycle</v>
      </c>
      <c r="H493" s="78" t="str">
        <f>C493</f>
        <v>CHP</v>
      </c>
      <c r="I493" s="165" t="str">
        <f t="shared" si="84"/>
        <v>L</v>
      </c>
      <c r="J493" s="78">
        <v>3.3000000000000002E-2</v>
      </c>
      <c r="K493" s="78">
        <v>3.3000000000000002E-2</v>
      </c>
      <c r="L493" s="78">
        <v>3.3000000000000002E-2</v>
      </c>
      <c r="M493" s="78">
        <v>3.3000000000000002E-2</v>
      </c>
      <c r="N493" s="78">
        <v>3.3000000000000002E-2</v>
      </c>
      <c r="O493" s="78">
        <v>3.3000000000000002E-2</v>
      </c>
      <c r="P493" s="78">
        <v>3.3000000000000002E-2</v>
      </c>
      <c r="Q493" s="78">
        <v>3.3000000000000002E-2</v>
      </c>
      <c r="R493" s="78">
        <v>3.3000000000000002E-2</v>
      </c>
      <c r="S493" s="78">
        <v>3.3000000000000002E-2</v>
      </c>
      <c r="T493" s="78">
        <v>3.3000000000000002E-2</v>
      </c>
      <c r="U493" s="78">
        <v>3.3000000000000002E-2</v>
      </c>
      <c r="V493" s="78">
        <v>3.3000000000000002E-2</v>
      </c>
      <c r="W493" s="78">
        <v>3.3000000000000002E-2</v>
      </c>
      <c r="X493" s="78">
        <v>3.3000000000000002E-2</v>
      </c>
      <c r="Y493" s="78">
        <v>3.3000000000000002E-2</v>
      </c>
      <c r="Z493" s="78">
        <v>3.3000000000000002E-2</v>
      </c>
      <c r="AA493" s="78">
        <v>3.3000000000000002E-2</v>
      </c>
      <c r="AB493" s="78">
        <v>3.3000000000000002E-2</v>
      </c>
      <c r="AC493" s="78">
        <v>3.3000000000000002E-2</v>
      </c>
      <c r="AD493" s="78">
        <v>3.3000000000000002E-2</v>
      </c>
      <c r="AE493" s="78">
        <v>3.3000000000000002E-2</v>
      </c>
      <c r="AF493" s="78">
        <v>3.3000000000000002E-2</v>
      </c>
      <c r="AG493" s="78">
        <v>3.3000000000000002E-2</v>
      </c>
      <c r="AH493" s="78">
        <v>3.3000000000000002E-2</v>
      </c>
      <c r="AI493" s="78">
        <v>3.3000000000000002E-2</v>
      </c>
      <c r="AJ493" s="78">
        <v>3.3000000000000002E-2</v>
      </c>
      <c r="AK493" s="78">
        <v>3.3000000000000002E-2</v>
      </c>
      <c r="AL493" s="78">
        <v>3.3000000000000002E-2</v>
      </c>
      <c r="AM493" s="78">
        <v>3.3000000000000002E-2</v>
      </c>
      <c r="AN493" s="78">
        <v>3.3000000000000002E-2</v>
      </c>
      <c r="AO493" s="78">
        <v>3.3000000000000002E-2</v>
      </c>
      <c r="AP493" s="78">
        <v>3.3000000000000002E-2</v>
      </c>
      <c r="AQ493" s="78">
        <v>3.3000000000000002E-2</v>
      </c>
      <c r="AR493" s="78">
        <v>3.3000000000000002E-2</v>
      </c>
      <c r="AS493" s="78">
        <v>3.3000000000000002E-2</v>
      </c>
      <c r="AT493" s="78">
        <v>3.3000000000000002E-2</v>
      </c>
      <c r="AU493" s="78">
        <v>3.3000000000000002E-2</v>
      </c>
      <c r="AV493" s="78">
        <v>3.3000000000000002E-2</v>
      </c>
      <c r="AW493" s="78">
        <v>3.3000000000000002E-2</v>
      </c>
      <c r="AX493" s="86">
        <v>3.3000000000000002E-2</v>
      </c>
    </row>
    <row r="494" spans="1:50" x14ac:dyDescent="0.25">
      <c r="A494" s="356"/>
      <c r="B494" s="359"/>
      <c r="C494" s="350"/>
      <c r="D494" s="2" t="s">
        <v>8</v>
      </c>
      <c r="E494" s="160" t="str">
        <f>A489&amp;"/"&amp;B489&amp;"/"&amp;C493&amp;"/"&amp;D494</f>
        <v>Gas fired power plants (Natural gas, biogas)/Gas turbine combined cycle/CHP/M</v>
      </c>
      <c r="F494" s="76" t="str">
        <f>A489</f>
        <v>Gas fired power plants (Natural gas, biogas)</v>
      </c>
      <c r="G494" s="76" t="str">
        <f>B489</f>
        <v>Gas turbine combined cycle</v>
      </c>
      <c r="H494" s="76" t="str">
        <f>C493</f>
        <v>CHP</v>
      </c>
      <c r="I494" s="161" t="str">
        <f t="shared" si="84"/>
        <v>M</v>
      </c>
      <c r="J494" s="76">
        <v>3.465E-2</v>
      </c>
      <c r="K494" s="76">
        <v>3.465E-2</v>
      </c>
      <c r="L494" s="76">
        <v>3.465E-2</v>
      </c>
      <c r="M494" s="76">
        <v>3.465E-2</v>
      </c>
      <c r="N494" s="76">
        <v>3.465E-2</v>
      </c>
      <c r="O494" s="76">
        <v>3.465E-2</v>
      </c>
      <c r="P494" s="76">
        <v>3.465E-2</v>
      </c>
      <c r="Q494" s="76">
        <v>3.465E-2</v>
      </c>
      <c r="R494" s="76">
        <v>3.465E-2</v>
      </c>
      <c r="S494" s="76">
        <v>3.465E-2</v>
      </c>
      <c r="T494" s="76">
        <v>3.465E-2</v>
      </c>
      <c r="U494" s="76">
        <v>3.465E-2</v>
      </c>
      <c r="V494" s="76">
        <v>3.465E-2</v>
      </c>
      <c r="W494" s="76">
        <v>3.465E-2</v>
      </c>
      <c r="X494" s="76">
        <v>3.465E-2</v>
      </c>
      <c r="Y494" s="76">
        <v>3.465E-2</v>
      </c>
      <c r="Z494" s="76">
        <v>3.465E-2</v>
      </c>
      <c r="AA494" s="76">
        <v>3.465E-2</v>
      </c>
      <c r="AB494" s="76">
        <v>3.465E-2</v>
      </c>
      <c r="AC494" s="76">
        <v>3.465E-2</v>
      </c>
      <c r="AD494" s="76">
        <v>3.465E-2</v>
      </c>
      <c r="AE494" s="76">
        <v>3.465E-2</v>
      </c>
      <c r="AF494" s="76">
        <v>3.465E-2</v>
      </c>
      <c r="AG494" s="76">
        <v>3.465E-2</v>
      </c>
      <c r="AH494" s="76">
        <v>3.465E-2</v>
      </c>
      <c r="AI494" s="76">
        <v>3.465E-2</v>
      </c>
      <c r="AJ494" s="76">
        <v>3.465E-2</v>
      </c>
      <c r="AK494" s="76">
        <v>3.465E-2</v>
      </c>
      <c r="AL494" s="76">
        <v>3.465E-2</v>
      </c>
      <c r="AM494" s="76">
        <v>3.465E-2</v>
      </c>
      <c r="AN494" s="76">
        <v>3.465E-2</v>
      </c>
      <c r="AO494" s="76">
        <v>3.465E-2</v>
      </c>
      <c r="AP494" s="76">
        <v>3.465E-2</v>
      </c>
      <c r="AQ494" s="76">
        <v>3.465E-2</v>
      </c>
      <c r="AR494" s="76">
        <v>3.465E-2</v>
      </c>
      <c r="AS494" s="76">
        <v>3.465E-2</v>
      </c>
      <c r="AT494" s="76">
        <v>3.465E-2</v>
      </c>
      <c r="AU494" s="76">
        <v>3.465E-2</v>
      </c>
      <c r="AV494" s="76">
        <v>3.465E-2</v>
      </c>
      <c r="AW494" s="76">
        <v>3.465E-2</v>
      </c>
      <c r="AX494" s="84">
        <v>3.465E-2</v>
      </c>
    </row>
    <row r="495" spans="1:50" x14ac:dyDescent="0.25">
      <c r="A495" s="356"/>
      <c r="B495" s="359"/>
      <c r="C495" s="350"/>
      <c r="D495" s="2" t="s">
        <v>10</v>
      </c>
      <c r="E495" s="160" t="str">
        <f>A489&amp;"/"&amp;B489&amp;"/"&amp;C493&amp;"/"&amp;D495</f>
        <v>Gas fired power plants (Natural gas, biogas)/Gas turbine combined cycle/CHP/S</v>
      </c>
      <c r="F495" s="76" t="str">
        <f>A489</f>
        <v>Gas fired power plants (Natural gas, biogas)</v>
      </c>
      <c r="G495" s="76" t="str">
        <f>B489</f>
        <v>Gas turbine combined cycle</v>
      </c>
      <c r="H495" s="76" t="str">
        <f>C493</f>
        <v>CHP</v>
      </c>
      <c r="I495" s="161" t="str">
        <f t="shared" si="84"/>
        <v>S</v>
      </c>
      <c r="J495" s="76">
        <v>3.6382500000000005E-2</v>
      </c>
      <c r="K495" s="76">
        <v>3.6382500000000005E-2</v>
      </c>
      <c r="L495" s="76">
        <v>3.6382500000000005E-2</v>
      </c>
      <c r="M495" s="76">
        <v>3.6382500000000005E-2</v>
      </c>
      <c r="N495" s="76">
        <v>3.6382500000000005E-2</v>
      </c>
      <c r="O495" s="76">
        <v>3.6382500000000005E-2</v>
      </c>
      <c r="P495" s="76">
        <v>3.6382500000000005E-2</v>
      </c>
      <c r="Q495" s="76">
        <v>3.6382500000000005E-2</v>
      </c>
      <c r="R495" s="76">
        <v>3.6382500000000005E-2</v>
      </c>
      <c r="S495" s="76">
        <v>3.6382500000000005E-2</v>
      </c>
      <c r="T495" s="76">
        <v>3.6382500000000005E-2</v>
      </c>
      <c r="U495" s="76">
        <v>3.6382500000000005E-2</v>
      </c>
      <c r="V495" s="76">
        <v>3.6382500000000005E-2</v>
      </c>
      <c r="W495" s="76">
        <v>3.6382500000000005E-2</v>
      </c>
      <c r="X495" s="76">
        <v>3.6382500000000005E-2</v>
      </c>
      <c r="Y495" s="76">
        <v>3.6382500000000005E-2</v>
      </c>
      <c r="Z495" s="76">
        <v>3.6382500000000005E-2</v>
      </c>
      <c r="AA495" s="76">
        <v>3.6382500000000005E-2</v>
      </c>
      <c r="AB495" s="76">
        <v>3.6382500000000005E-2</v>
      </c>
      <c r="AC495" s="76">
        <v>3.6382500000000005E-2</v>
      </c>
      <c r="AD495" s="76">
        <v>3.6382500000000005E-2</v>
      </c>
      <c r="AE495" s="76">
        <v>3.6382500000000005E-2</v>
      </c>
      <c r="AF495" s="76">
        <v>3.6382500000000005E-2</v>
      </c>
      <c r="AG495" s="76">
        <v>3.6382500000000005E-2</v>
      </c>
      <c r="AH495" s="76">
        <v>3.6382500000000005E-2</v>
      </c>
      <c r="AI495" s="76">
        <v>3.6382500000000005E-2</v>
      </c>
      <c r="AJ495" s="76">
        <v>3.6382500000000005E-2</v>
      </c>
      <c r="AK495" s="76">
        <v>3.6382500000000005E-2</v>
      </c>
      <c r="AL495" s="76">
        <v>3.6382500000000005E-2</v>
      </c>
      <c r="AM495" s="76">
        <v>3.6382500000000005E-2</v>
      </c>
      <c r="AN495" s="76">
        <v>3.6382500000000005E-2</v>
      </c>
      <c r="AO495" s="76">
        <v>3.6382500000000005E-2</v>
      </c>
      <c r="AP495" s="76">
        <v>3.6382500000000005E-2</v>
      </c>
      <c r="AQ495" s="76">
        <v>3.6382500000000005E-2</v>
      </c>
      <c r="AR495" s="76">
        <v>3.6382500000000005E-2</v>
      </c>
      <c r="AS495" s="76">
        <v>3.6382500000000005E-2</v>
      </c>
      <c r="AT495" s="76">
        <v>3.6382500000000005E-2</v>
      </c>
      <c r="AU495" s="76">
        <v>3.6382500000000005E-2</v>
      </c>
      <c r="AV495" s="76">
        <v>3.6382500000000005E-2</v>
      </c>
      <c r="AW495" s="76">
        <v>3.6382500000000005E-2</v>
      </c>
      <c r="AX495" s="84">
        <v>3.6382500000000005E-2</v>
      </c>
    </row>
    <row r="496" spans="1:50" x14ac:dyDescent="0.25">
      <c r="A496" s="356"/>
      <c r="B496" s="359"/>
      <c r="C496" s="360"/>
      <c r="D496" s="59" t="s">
        <v>20</v>
      </c>
      <c r="E496" s="166" t="str">
        <f>A489&amp;"/"&amp;B489&amp;"/"&amp;C493&amp;"/"&amp;D496</f>
        <v>Gas fired power plants (Natural gas, biogas)/Gas turbine combined cycle/CHP/XS</v>
      </c>
      <c r="F496" s="79" t="str">
        <f>A489</f>
        <v>Gas fired power plants (Natural gas, biogas)</v>
      </c>
      <c r="G496" s="79" t="str">
        <f>B489</f>
        <v>Gas turbine combined cycle</v>
      </c>
      <c r="H496" s="79" t="str">
        <f>C493</f>
        <v>CHP</v>
      </c>
      <c r="I496" s="167" t="str">
        <f t="shared" si="84"/>
        <v>XS</v>
      </c>
      <c r="J496" s="79">
        <v>3.8201625000000003E-2</v>
      </c>
      <c r="K496" s="79">
        <v>3.8201625000000003E-2</v>
      </c>
      <c r="L496" s="79">
        <v>3.8201625000000003E-2</v>
      </c>
      <c r="M496" s="79">
        <v>3.8201625000000003E-2</v>
      </c>
      <c r="N496" s="79">
        <v>3.8201625000000003E-2</v>
      </c>
      <c r="O496" s="79">
        <v>3.8201625000000003E-2</v>
      </c>
      <c r="P496" s="79">
        <v>3.8201625000000003E-2</v>
      </c>
      <c r="Q496" s="79">
        <v>3.8201625000000003E-2</v>
      </c>
      <c r="R496" s="79">
        <v>3.8201625000000003E-2</v>
      </c>
      <c r="S496" s="79">
        <v>3.8201625000000003E-2</v>
      </c>
      <c r="T496" s="79">
        <v>3.8201625000000003E-2</v>
      </c>
      <c r="U496" s="79">
        <v>3.8201625000000003E-2</v>
      </c>
      <c r="V496" s="79">
        <v>3.8201625000000003E-2</v>
      </c>
      <c r="W496" s="79">
        <v>3.8201625000000003E-2</v>
      </c>
      <c r="X496" s="79">
        <v>3.8201625000000003E-2</v>
      </c>
      <c r="Y496" s="79">
        <v>3.8201625000000003E-2</v>
      </c>
      <c r="Z496" s="79">
        <v>3.8201625000000003E-2</v>
      </c>
      <c r="AA496" s="79">
        <v>3.8201625000000003E-2</v>
      </c>
      <c r="AB496" s="79">
        <v>3.8201625000000003E-2</v>
      </c>
      <c r="AC496" s="79">
        <v>3.8201625000000003E-2</v>
      </c>
      <c r="AD496" s="79">
        <v>3.8201625000000003E-2</v>
      </c>
      <c r="AE496" s="79">
        <v>3.8201625000000003E-2</v>
      </c>
      <c r="AF496" s="79">
        <v>3.8201625000000003E-2</v>
      </c>
      <c r="AG496" s="79">
        <v>3.8201625000000003E-2</v>
      </c>
      <c r="AH496" s="79">
        <v>3.8201625000000003E-2</v>
      </c>
      <c r="AI496" s="79">
        <v>3.8201625000000003E-2</v>
      </c>
      <c r="AJ496" s="79">
        <v>3.8201625000000003E-2</v>
      </c>
      <c r="AK496" s="79">
        <v>3.8201625000000003E-2</v>
      </c>
      <c r="AL496" s="79">
        <v>3.8201625000000003E-2</v>
      </c>
      <c r="AM496" s="79">
        <v>3.8201625000000003E-2</v>
      </c>
      <c r="AN496" s="79">
        <v>3.8201625000000003E-2</v>
      </c>
      <c r="AO496" s="79">
        <v>3.8201625000000003E-2</v>
      </c>
      <c r="AP496" s="79">
        <v>3.8201625000000003E-2</v>
      </c>
      <c r="AQ496" s="79">
        <v>3.8201625000000003E-2</v>
      </c>
      <c r="AR496" s="79">
        <v>3.8201625000000003E-2</v>
      </c>
      <c r="AS496" s="79">
        <v>3.8201625000000003E-2</v>
      </c>
      <c r="AT496" s="79">
        <v>3.8201625000000003E-2</v>
      </c>
      <c r="AU496" s="79">
        <v>3.8201625000000003E-2</v>
      </c>
      <c r="AV496" s="79">
        <v>3.8201625000000003E-2</v>
      </c>
      <c r="AW496" s="79">
        <v>3.8201625000000003E-2</v>
      </c>
      <c r="AX496" s="87">
        <v>3.8201625000000003E-2</v>
      </c>
    </row>
    <row r="497" spans="1:50" x14ac:dyDescent="0.25">
      <c r="A497" s="356"/>
      <c r="B497" s="359"/>
      <c r="C497" s="361" t="s">
        <v>15</v>
      </c>
      <c r="D497" s="58" t="s">
        <v>7</v>
      </c>
      <c r="E497" s="164" t="str">
        <f>A489&amp;"/"&amp;B489&amp;"/"&amp;C497&amp;"/"&amp;D497</f>
        <v>Gas fired power plants (Natural gas, biogas)/Gas turbine combined cycle/Electricity only with CCS/L</v>
      </c>
      <c r="F497" s="78" t="str">
        <f>A489</f>
        <v>Gas fired power plants (Natural gas, biogas)</v>
      </c>
      <c r="G497" s="78" t="str">
        <f>B489</f>
        <v>Gas turbine combined cycle</v>
      </c>
      <c r="H497" s="78" t="str">
        <f>C497</f>
        <v>Electricity only with CCS</v>
      </c>
      <c r="I497" s="165" t="str">
        <f t="shared" si="84"/>
        <v>L</v>
      </c>
      <c r="J497" s="78" t="s">
        <v>112</v>
      </c>
      <c r="K497" s="78" t="s">
        <v>112</v>
      </c>
      <c r="L497" s="78" t="s">
        <v>112</v>
      </c>
      <c r="M497" s="78" t="s">
        <v>112</v>
      </c>
      <c r="N497" s="78" t="s">
        <v>112</v>
      </c>
      <c r="O497" s="78" t="s">
        <v>112</v>
      </c>
      <c r="P497" s="78" t="s">
        <v>112</v>
      </c>
      <c r="Q497" s="78" t="s">
        <v>112</v>
      </c>
      <c r="R497" s="78" t="s">
        <v>112</v>
      </c>
      <c r="S497" s="78" t="s">
        <v>112</v>
      </c>
      <c r="T497" s="78" t="s">
        <v>112</v>
      </c>
      <c r="U497" s="78" t="s">
        <v>112</v>
      </c>
      <c r="V497" s="78" t="s">
        <v>112</v>
      </c>
      <c r="W497" s="78" t="s">
        <v>112</v>
      </c>
      <c r="X497" s="78" t="s">
        <v>112</v>
      </c>
      <c r="Y497" s="78" t="s">
        <v>112</v>
      </c>
      <c r="Z497" s="78" t="s">
        <v>112</v>
      </c>
      <c r="AA497" s="78" t="s">
        <v>112</v>
      </c>
      <c r="AB497" s="78" t="s">
        <v>112</v>
      </c>
      <c r="AC497" s="78" t="s">
        <v>112</v>
      </c>
      <c r="AD497" s="78" t="s">
        <v>112</v>
      </c>
      <c r="AE497" s="78">
        <v>0.16499999999999998</v>
      </c>
      <c r="AF497" s="78">
        <v>0.16499999999999998</v>
      </c>
      <c r="AG497" s="78">
        <v>0.16499999999999998</v>
      </c>
      <c r="AH497" s="78">
        <v>0.16499999999999998</v>
      </c>
      <c r="AI497" s="78">
        <v>0.16499999999999998</v>
      </c>
      <c r="AJ497" s="78">
        <v>0.16499999999999998</v>
      </c>
      <c r="AK497" s="78">
        <v>0.16499999999999998</v>
      </c>
      <c r="AL497" s="78">
        <v>0.16499999999999998</v>
      </c>
      <c r="AM497" s="78">
        <v>0.16499999999999998</v>
      </c>
      <c r="AN497" s="78">
        <v>0.16499999999999998</v>
      </c>
      <c r="AO497" s="78">
        <v>0.16499999999999998</v>
      </c>
      <c r="AP497" s="78">
        <v>0.16499999999999998</v>
      </c>
      <c r="AQ497" s="78">
        <v>0.16499999999999998</v>
      </c>
      <c r="AR497" s="78">
        <v>0.16499999999999998</v>
      </c>
      <c r="AS497" s="78">
        <v>0.16499999999999998</v>
      </c>
      <c r="AT497" s="78">
        <v>0.16499999999999998</v>
      </c>
      <c r="AU497" s="78">
        <v>0.16499999999999998</v>
      </c>
      <c r="AV497" s="78">
        <v>0.16499999999999998</v>
      </c>
      <c r="AW497" s="78">
        <v>0.16499999999999998</v>
      </c>
      <c r="AX497" s="86">
        <v>0.16499999999999998</v>
      </c>
    </row>
    <row r="498" spans="1:50" x14ac:dyDescent="0.25">
      <c r="A498" s="356"/>
      <c r="B498" s="359"/>
      <c r="C498" s="360"/>
      <c r="D498" s="59" t="s">
        <v>8</v>
      </c>
      <c r="E498" s="166" t="str">
        <f>A489&amp;"/"&amp;B489&amp;"/"&amp;C497&amp;"/"&amp;D498</f>
        <v>Gas fired power plants (Natural gas, biogas)/Gas turbine combined cycle/Electricity only with CCS/M</v>
      </c>
      <c r="F498" s="79" t="str">
        <f>A489</f>
        <v>Gas fired power plants (Natural gas, biogas)</v>
      </c>
      <c r="G498" s="79" t="str">
        <f>B489</f>
        <v>Gas turbine combined cycle</v>
      </c>
      <c r="H498" s="79" t="str">
        <f>C497</f>
        <v>Electricity only with CCS</v>
      </c>
      <c r="I498" s="167" t="str">
        <f t="shared" si="84"/>
        <v>M</v>
      </c>
      <c r="J498" s="79" t="s">
        <v>112</v>
      </c>
      <c r="K498" s="79" t="s">
        <v>112</v>
      </c>
      <c r="L498" s="79" t="s">
        <v>112</v>
      </c>
      <c r="M498" s="79" t="s">
        <v>112</v>
      </c>
      <c r="N498" s="79" t="s">
        <v>112</v>
      </c>
      <c r="O498" s="79" t="s">
        <v>112</v>
      </c>
      <c r="P498" s="79" t="s">
        <v>112</v>
      </c>
      <c r="Q498" s="79" t="s">
        <v>112</v>
      </c>
      <c r="R498" s="79" t="s">
        <v>112</v>
      </c>
      <c r="S498" s="79" t="s">
        <v>112</v>
      </c>
      <c r="T498" s="79" t="s">
        <v>112</v>
      </c>
      <c r="U498" s="79" t="s">
        <v>112</v>
      </c>
      <c r="V498" s="79" t="s">
        <v>112</v>
      </c>
      <c r="W498" s="79" t="s">
        <v>112</v>
      </c>
      <c r="X498" s="79" t="s">
        <v>112</v>
      </c>
      <c r="Y498" s="79" t="s">
        <v>112</v>
      </c>
      <c r="Z498" s="79" t="s">
        <v>112</v>
      </c>
      <c r="AA498" s="79" t="s">
        <v>112</v>
      </c>
      <c r="AB498" s="79" t="s">
        <v>112</v>
      </c>
      <c r="AC498" s="79" t="s">
        <v>112</v>
      </c>
      <c r="AD498" s="79" t="s">
        <v>112</v>
      </c>
      <c r="AE498" s="79">
        <v>0.17324999999999999</v>
      </c>
      <c r="AF498" s="79">
        <v>0.17324999999999999</v>
      </c>
      <c r="AG498" s="79">
        <v>0.17324999999999999</v>
      </c>
      <c r="AH498" s="79">
        <v>0.17324999999999999</v>
      </c>
      <c r="AI498" s="79">
        <v>0.17324999999999999</v>
      </c>
      <c r="AJ498" s="79">
        <v>0.17324999999999999</v>
      </c>
      <c r="AK498" s="79">
        <v>0.17324999999999999</v>
      </c>
      <c r="AL498" s="79">
        <v>0.17324999999999999</v>
      </c>
      <c r="AM498" s="79">
        <v>0.17324999999999999</v>
      </c>
      <c r="AN498" s="79">
        <v>0.17324999999999999</v>
      </c>
      <c r="AO498" s="79">
        <v>0.17324999999999999</v>
      </c>
      <c r="AP498" s="79">
        <v>0.17324999999999999</v>
      </c>
      <c r="AQ498" s="79">
        <v>0.17324999999999999</v>
      </c>
      <c r="AR498" s="79">
        <v>0.17324999999999999</v>
      </c>
      <c r="AS498" s="79">
        <v>0.17324999999999999</v>
      </c>
      <c r="AT498" s="79">
        <v>0.17324999999999999</v>
      </c>
      <c r="AU498" s="79">
        <v>0.17324999999999999</v>
      </c>
      <c r="AV498" s="79">
        <v>0.17324999999999999</v>
      </c>
      <c r="AW498" s="79">
        <v>0.17324999999999999</v>
      </c>
      <c r="AX498" s="87">
        <v>0.17324999999999999</v>
      </c>
    </row>
    <row r="499" spans="1:50" x14ac:dyDescent="0.25">
      <c r="A499" s="356"/>
      <c r="B499" s="359"/>
      <c r="C499" s="361" t="s">
        <v>16</v>
      </c>
      <c r="D499" s="2" t="s">
        <v>7</v>
      </c>
      <c r="E499" s="160" t="str">
        <f>A489&amp;"/"&amp;B489&amp;"/"&amp;C499&amp;"/"&amp;D499</f>
        <v>Gas fired power plants (Natural gas, biogas)/Gas turbine combined cycle/CHP with CCS/L</v>
      </c>
      <c r="F499" s="76" t="str">
        <f>A489</f>
        <v>Gas fired power plants (Natural gas, biogas)</v>
      </c>
      <c r="G499" s="76" t="str">
        <f>B489</f>
        <v>Gas turbine combined cycle</v>
      </c>
      <c r="H499" s="76" t="str">
        <f>C499</f>
        <v>CHP with CCS</v>
      </c>
      <c r="I499" s="161" t="str">
        <f t="shared" si="84"/>
        <v>L</v>
      </c>
      <c r="J499" s="76" t="s">
        <v>112</v>
      </c>
      <c r="K499" s="76" t="s">
        <v>112</v>
      </c>
      <c r="L499" s="76" t="s">
        <v>112</v>
      </c>
      <c r="M499" s="76" t="s">
        <v>112</v>
      </c>
      <c r="N499" s="76" t="s">
        <v>112</v>
      </c>
      <c r="O499" s="76" t="s">
        <v>112</v>
      </c>
      <c r="P499" s="76" t="s">
        <v>112</v>
      </c>
      <c r="Q499" s="76" t="s">
        <v>112</v>
      </c>
      <c r="R499" s="76" t="s">
        <v>112</v>
      </c>
      <c r="S499" s="76" t="s">
        <v>112</v>
      </c>
      <c r="T499" s="76" t="s">
        <v>112</v>
      </c>
      <c r="U499" s="76" t="s">
        <v>112</v>
      </c>
      <c r="V499" s="76" t="s">
        <v>112</v>
      </c>
      <c r="W499" s="76" t="s">
        <v>112</v>
      </c>
      <c r="X499" s="76" t="s">
        <v>112</v>
      </c>
      <c r="Y499" s="76" t="s">
        <v>112</v>
      </c>
      <c r="Z499" s="76" t="s">
        <v>112</v>
      </c>
      <c r="AA499" s="76" t="s">
        <v>112</v>
      </c>
      <c r="AB499" s="76" t="s">
        <v>112</v>
      </c>
      <c r="AC499" s="76" t="s">
        <v>112</v>
      </c>
      <c r="AD499" s="76" t="s">
        <v>112</v>
      </c>
      <c r="AE499" s="76">
        <v>0.18149999999999999</v>
      </c>
      <c r="AF499" s="76">
        <v>0.18149999999999999</v>
      </c>
      <c r="AG499" s="76">
        <v>0.18149999999999999</v>
      </c>
      <c r="AH499" s="76">
        <v>0.18149999999999999</v>
      </c>
      <c r="AI499" s="76">
        <v>0.18149999999999999</v>
      </c>
      <c r="AJ499" s="76">
        <v>0.18149999999999999</v>
      </c>
      <c r="AK499" s="76">
        <v>0.18149999999999999</v>
      </c>
      <c r="AL499" s="76">
        <v>0.18149999999999999</v>
      </c>
      <c r="AM499" s="76">
        <v>0.18149999999999999</v>
      </c>
      <c r="AN499" s="76">
        <v>0.18149999999999999</v>
      </c>
      <c r="AO499" s="76">
        <v>0.18149999999999999</v>
      </c>
      <c r="AP499" s="76">
        <v>0.18149999999999999</v>
      </c>
      <c r="AQ499" s="76">
        <v>0.18149999999999999</v>
      </c>
      <c r="AR499" s="76">
        <v>0.18149999999999999</v>
      </c>
      <c r="AS499" s="76">
        <v>0.18149999999999999</v>
      </c>
      <c r="AT499" s="76">
        <v>0.18149999999999999</v>
      </c>
      <c r="AU499" s="76">
        <v>0.18149999999999999</v>
      </c>
      <c r="AV499" s="76">
        <v>0.18149999999999999</v>
      </c>
      <c r="AW499" s="76">
        <v>0.18149999999999999</v>
      </c>
      <c r="AX499" s="84">
        <v>0.18149999999999999</v>
      </c>
    </row>
    <row r="500" spans="1:50" x14ac:dyDescent="0.25">
      <c r="A500" s="356"/>
      <c r="B500" s="362"/>
      <c r="C500" s="354"/>
      <c r="D500" s="4" t="s">
        <v>8</v>
      </c>
      <c r="E500" s="168" t="str">
        <f>A489&amp;"/"&amp;B489&amp;"/"&amp;C499&amp;"/"&amp;D500</f>
        <v>Gas fired power plants (Natural gas, biogas)/Gas turbine combined cycle/CHP with CCS/M</v>
      </c>
      <c r="F500" s="80" t="str">
        <f>A489</f>
        <v>Gas fired power plants (Natural gas, biogas)</v>
      </c>
      <c r="G500" s="80" t="str">
        <f>B489</f>
        <v>Gas turbine combined cycle</v>
      </c>
      <c r="H500" s="80" t="str">
        <f>C499</f>
        <v>CHP with CCS</v>
      </c>
      <c r="I500" s="169" t="str">
        <f t="shared" si="84"/>
        <v>M</v>
      </c>
      <c r="J500" s="80" t="s">
        <v>112</v>
      </c>
      <c r="K500" s="80" t="s">
        <v>112</v>
      </c>
      <c r="L500" s="80" t="s">
        <v>112</v>
      </c>
      <c r="M500" s="80" t="s">
        <v>112</v>
      </c>
      <c r="N500" s="80" t="s">
        <v>112</v>
      </c>
      <c r="O500" s="80" t="s">
        <v>112</v>
      </c>
      <c r="P500" s="80" t="s">
        <v>112</v>
      </c>
      <c r="Q500" s="80" t="s">
        <v>112</v>
      </c>
      <c r="R500" s="80" t="s">
        <v>112</v>
      </c>
      <c r="S500" s="80" t="s">
        <v>112</v>
      </c>
      <c r="T500" s="80" t="s">
        <v>112</v>
      </c>
      <c r="U500" s="80" t="s">
        <v>112</v>
      </c>
      <c r="V500" s="80" t="s">
        <v>112</v>
      </c>
      <c r="W500" s="80" t="s">
        <v>112</v>
      </c>
      <c r="X500" s="80" t="s">
        <v>112</v>
      </c>
      <c r="Y500" s="80" t="s">
        <v>112</v>
      </c>
      <c r="Z500" s="80" t="s">
        <v>112</v>
      </c>
      <c r="AA500" s="80" t="s">
        <v>112</v>
      </c>
      <c r="AB500" s="80" t="s">
        <v>112</v>
      </c>
      <c r="AC500" s="80" t="s">
        <v>112</v>
      </c>
      <c r="AD500" s="80" t="s">
        <v>112</v>
      </c>
      <c r="AE500" s="80">
        <v>0.19057499999999999</v>
      </c>
      <c r="AF500" s="80">
        <v>0.19057499999999999</v>
      </c>
      <c r="AG500" s="80">
        <v>0.19057499999999999</v>
      </c>
      <c r="AH500" s="80">
        <v>0.19057499999999999</v>
      </c>
      <c r="AI500" s="80">
        <v>0.19057499999999999</v>
      </c>
      <c r="AJ500" s="80">
        <v>0.19057499999999999</v>
      </c>
      <c r="AK500" s="80">
        <v>0.19057499999999999</v>
      </c>
      <c r="AL500" s="80">
        <v>0.19057499999999999</v>
      </c>
      <c r="AM500" s="80">
        <v>0.19057499999999999</v>
      </c>
      <c r="AN500" s="80">
        <v>0.19057499999999999</v>
      </c>
      <c r="AO500" s="80">
        <v>0.19057499999999999</v>
      </c>
      <c r="AP500" s="80">
        <v>0.19057499999999999</v>
      </c>
      <c r="AQ500" s="80">
        <v>0.19057499999999999</v>
      </c>
      <c r="AR500" s="80">
        <v>0.19057499999999999</v>
      </c>
      <c r="AS500" s="80">
        <v>0.19057499999999999</v>
      </c>
      <c r="AT500" s="80">
        <v>0.19057499999999999</v>
      </c>
      <c r="AU500" s="80">
        <v>0.19057499999999999</v>
      </c>
      <c r="AV500" s="80">
        <v>0.19057499999999999</v>
      </c>
      <c r="AW500" s="80">
        <v>0.19057499999999999</v>
      </c>
      <c r="AX500" s="88">
        <v>0.19057499999999999</v>
      </c>
    </row>
    <row r="501" spans="1:50" x14ac:dyDescent="0.25">
      <c r="A501" s="356"/>
      <c r="B501" s="358" t="s">
        <v>24</v>
      </c>
      <c r="C501" s="353" t="s">
        <v>6</v>
      </c>
      <c r="D501" s="3" t="s">
        <v>8</v>
      </c>
      <c r="E501" s="162" t="str">
        <f>A489&amp;"/"&amp;B501&amp;"/"&amp;C501&amp;"/"&amp;D501</f>
        <v>Gas fired power plants (Natural gas, biogas)/Gas turbine /Electricity only/M</v>
      </c>
      <c r="F501" s="77" t="str">
        <f>A489</f>
        <v>Gas fired power plants (Natural gas, biogas)</v>
      </c>
      <c r="G501" s="77" t="str">
        <f>B501</f>
        <v xml:space="preserve">Gas turbine </v>
      </c>
      <c r="H501" s="77" t="str">
        <f>C501</f>
        <v>Electricity only</v>
      </c>
      <c r="I501" s="163" t="str">
        <f t="shared" si="84"/>
        <v>M</v>
      </c>
      <c r="J501" s="77">
        <v>2.5000000000000001E-2</v>
      </c>
      <c r="K501" s="77">
        <v>2.5000000000000001E-2</v>
      </c>
      <c r="L501" s="77">
        <v>2.5000000000000001E-2</v>
      </c>
      <c r="M501" s="77">
        <v>2.5000000000000001E-2</v>
      </c>
      <c r="N501" s="77">
        <v>2.5000000000000001E-2</v>
      </c>
      <c r="O501" s="77">
        <v>2.5000000000000001E-2</v>
      </c>
      <c r="P501" s="77">
        <v>2.5000000000000001E-2</v>
      </c>
      <c r="Q501" s="77">
        <v>2.5000000000000001E-2</v>
      </c>
      <c r="R501" s="77">
        <v>2.5000000000000001E-2</v>
      </c>
      <c r="S501" s="77">
        <v>2.5000000000000001E-2</v>
      </c>
      <c r="T501" s="77">
        <v>2.5000000000000001E-2</v>
      </c>
      <c r="U501" s="77">
        <v>2.5000000000000001E-2</v>
      </c>
      <c r="V501" s="77">
        <v>2.5000000000000001E-2</v>
      </c>
      <c r="W501" s="77">
        <v>2.5000000000000001E-2</v>
      </c>
      <c r="X501" s="77">
        <v>2.5000000000000001E-2</v>
      </c>
      <c r="Y501" s="77">
        <v>2.5000000000000001E-2</v>
      </c>
      <c r="Z501" s="77">
        <v>2.5000000000000001E-2</v>
      </c>
      <c r="AA501" s="77">
        <v>2.5000000000000001E-2</v>
      </c>
      <c r="AB501" s="77">
        <v>2.5000000000000001E-2</v>
      </c>
      <c r="AC501" s="77">
        <v>2.5000000000000001E-2</v>
      </c>
      <c r="AD501" s="77">
        <v>2.5000000000000001E-2</v>
      </c>
      <c r="AE501" s="77">
        <v>2.5000000000000001E-2</v>
      </c>
      <c r="AF501" s="77">
        <v>2.5000000000000001E-2</v>
      </c>
      <c r="AG501" s="77">
        <v>2.5000000000000001E-2</v>
      </c>
      <c r="AH501" s="77">
        <v>2.5000000000000001E-2</v>
      </c>
      <c r="AI501" s="77">
        <v>2.5000000000000001E-2</v>
      </c>
      <c r="AJ501" s="77">
        <v>2.5000000000000001E-2</v>
      </c>
      <c r="AK501" s="77">
        <v>2.5000000000000001E-2</v>
      </c>
      <c r="AL501" s="77">
        <v>2.5000000000000001E-2</v>
      </c>
      <c r="AM501" s="77">
        <v>2.5000000000000001E-2</v>
      </c>
      <c r="AN501" s="77">
        <v>2.5000000000000001E-2</v>
      </c>
      <c r="AO501" s="77">
        <v>2.5000000000000001E-2</v>
      </c>
      <c r="AP501" s="77">
        <v>2.5000000000000001E-2</v>
      </c>
      <c r="AQ501" s="77">
        <v>2.5000000000000001E-2</v>
      </c>
      <c r="AR501" s="77">
        <v>2.5000000000000001E-2</v>
      </c>
      <c r="AS501" s="77">
        <v>2.5000000000000001E-2</v>
      </c>
      <c r="AT501" s="77">
        <v>2.5000000000000001E-2</v>
      </c>
      <c r="AU501" s="77">
        <v>2.5000000000000001E-2</v>
      </c>
      <c r="AV501" s="77">
        <v>2.5000000000000001E-2</v>
      </c>
      <c r="AW501" s="77">
        <v>2.5000000000000001E-2</v>
      </c>
      <c r="AX501" s="85">
        <v>2.5000000000000001E-2</v>
      </c>
    </row>
    <row r="502" spans="1:50" x14ac:dyDescent="0.25">
      <c r="A502" s="356"/>
      <c r="B502" s="359"/>
      <c r="C502" s="350"/>
      <c r="D502" s="2" t="s">
        <v>10</v>
      </c>
      <c r="E502" s="160" t="str">
        <f>A489&amp;"/"&amp;B501&amp;"/"&amp;C501&amp;"/"&amp;D502</f>
        <v>Gas fired power plants (Natural gas, biogas)/Gas turbine /Electricity only/S</v>
      </c>
      <c r="F502" s="76" t="str">
        <f>A489</f>
        <v>Gas fired power plants (Natural gas, biogas)</v>
      </c>
      <c r="G502" s="76" t="str">
        <f>B501</f>
        <v xml:space="preserve">Gas turbine </v>
      </c>
      <c r="H502" s="76" t="str">
        <f>C501</f>
        <v>Electricity only</v>
      </c>
      <c r="I502" s="161" t="str">
        <f t="shared" si="84"/>
        <v>S</v>
      </c>
      <c r="J502" s="76">
        <v>2.6250000000000002E-2</v>
      </c>
      <c r="K502" s="76">
        <v>2.6250000000000002E-2</v>
      </c>
      <c r="L502" s="76">
        <v>2.6250000000000002E-2</v>
      </c>
      <c r="M502" s="76">
        <v>2.6250000000000002E-2</v>
      </c>
      <c r="N502" s="76">
        <v>2.6250000000000002E-2</v>
      </c>
      <c r="O502" s="76">
        <v>2.6250000000000002E-2</v>
      </c>
      <c r="P502" s="76">
        <v>2.6250000000000002E-2</v>
      </c>
      <c r="Q502" s="76">
        <v>2.6250000000000002E-2</v>
      </c>
      <c r="R502" s="76">
        <v>2.6250000000000002E-2</v>
      </c>
      <c r="S502" s="76">
        <v>2.6250000000000002E-2</v>
      </c>
      <c r="T502" s="76">
        <v>2.6250000000000002E-2</v>
      </c>
      <c r="U502" s="76">
        <v>2.6250000000000002E-2</v>
      </c>
      <c r="V502" s="76">
        <v>2.6250000000000002E-2</v>
      </c>
      <c r="W502" s="76">
        <v>2.6250000000000002E-2</v>
      </c>
      <c r="X502" s="76">
        <v>2.6250000000000002E-2</v>
      </c>
      <c r="Y502" s="76">
        <v>2.6250000000000002E-2</v>
      </c>
      <c r="Z502" s="76">
        <v>2.6250000000000002E-2</v>
      </c>
      <c r="AA502" s="76">
        <v>2.6250000000000002E-2</v>
      </c>
      <c r="AB502" s="76">
        <v>2.6250000000000002E-2</v>
      </c>
      <c r="AC502" s="76">
        <v>2.6250000000000002E-2</v>
      </c>
      <c r="AD502" s="76">
        <v>2.6250000000000002E-2</v>
      </c>
      <c r="AE502" s="76">
        <v>2.6250000000000002E-2</v>
      </c>
      <c r="AF502" s="76">
        <v>2.6250000000000002E-2</v>
      </c>
      <c r="AG502" s="76">
        <v>2.6250000000000002E-2</v>
      </c>
      <c r="AH502" s="76">
        <v>2.6250000000000002E-2</v>
      </c>
      <c r="AI502" s="76">
        <v>2.6250000000000002E-2</v>
      </c>
      <c r="AJ502" s="76">
        <v>2.6250000000000002E-2</v>
      </c>
      <c r="AK502" s="76">
        <v>2.6250000000000002E-2</v>
      </c>
      <c r="AL502" s="76">
        <v>2.6250000000000002E-2</v>
      </c>
      <c r="AM502" s="76">
        <v>2.6250000000000002E-2</v>
      </c>
      <c r="AN502" s="76">
        <v>2.6250000000000002E-2</v>
      </c>
      <c r="AO502" s="76">
        <v>2.6250000000000002E-2</v>
      </c>
      <c r="AP502" s="76">
        <v>2.6250000000000002E-2</v>
      </c>
      <c r="AQ502" s="76">
        <v>2.6250000000000002E-2</v>
      </c>
      <c r="AR502" s="76">
        <v>2.6250000000000002E-2</v>
      </c>
      <c r="AS502" s="76">
        <v>2.6250000000000002E-2</v>
      </c>
      <c r="AT502" s="76">
        <v>2.6250000000000002E-2</v>
      </c>
      <c r="AU502" s="76">
        <v>2.6250000000000002E-2</v>
      </c>
      <c r="AV502" s="76">
        <v>2.6250000000000002E-2</v>
      </c>
      <c r="AW502" s="76">
        <v>2.6250000000000002E-2</v>
      </c>
      <c r="AX502" s="84">
        <v>2.6250000000000002E-2</v>
      </c>
    </row>
    <row r="503" spans="1:50" x14ac:dyDescent="0.25">
      <c r="A503" s="356"/>
      <c r="B503" s="359"/>
      <c r="C503" s="360"/>
      <c r="D503" s="59" t="s">
        <v>20</v>
      </c>
      <c r="E503" s="160" t="str">
        <f>A489&amp;"/"&amp;B501&amp;"/"&amp;C501&amp;"/"&amp;D503</f>
        <v>Gas fired power plants (Natural gas, biogas)/Gas turbine /Electricity only/XS</v>
      </c>
      <c r="F503" s="76" t="str">
        <f>A489</f>
        <v>Gas fired power plants (Natural gas, biogas)</v>
      </c>
      <c r="G503" s="76" t="str">
        <f>B501</f>
        <v xml:space="preserve">Gas turbine </v>
      </c>
      <c r="H503" s="76" t="str">
        <f>C501</f>
        <v>Electricity only</v>
      </c>
      <c r="I503" s="161" t="str">
        <f t="shared" si="84"/>
        <v>XS</v>
      </c>
      <c r="J503" s="76">
        <v>2.7562500000000004E-2</v>
      </c>
      <c r="K503" s="76">
        <v>2.7562500000000004E-2</v>
      </c>
      <c r="L503" s="76">
        <v>2.7562500000000004E-2</v>
      </c>
      <c r="M503" s="76">
        <v>2.7562500000000004E-2</v>
      </c>
      <c r="N503" s="76">
        <v>2.7562500000000004E-2</v>
      </c>
      <c r="O503" s="76">
        <v>2.7562500000000004E-2</v>
      </c>
      <c r="P503" s="76">
        <v>2.7562500000000004E-2</v>
      </c>
      <c r="Q503" s="76">
        <v>2.7562500000000004E-2</v>
      </c>
      <c r="R503" s="76">
        <v>2.7562500000000004E-2</v>
      </c>
      <c r="S503" s="76">
        <v>2.7562500000000004E-2</v>
      </c>
      <c r="T503" s="76">
        <v>2.7562500000000004E-2</v>
      </c>
      <c r="U503" s="76">
        <v>2.7562500000000004E-2</v>
      </c>
      <c r="V503" s="76">
        <v>2.7562500000000004E-2</v>
      </c>
      <c r="W503" s="76">
        <v>2.7562500000000004E-2</v>
      </c>
      <c r="X503" s="76">
        <v>2.7562500000000004E-2</v>
      </c>
      <c r="Y503" s="76">
        <v>2.7562500000000004E-2</v>
      </c>
      <c r="Z503" s="76">
        <v>2.7562500000000004E-2</v>
      </c>
      <c r="AA503" s="76">
        <v>2.7562500000000004E-2</v>
      </c>
      <c r="AB503" s="76">
        <v>2.7562500000000004E-2</v>
      </c>
      <c r="AC503" s="76">
        <v>2.7562500000000004E-2</v>
      </c>
      <c r="AD503" s="76">
        <v>2.7562500000000004E-2</v>
      </c>
      <c r="AE503" s="76">
        <v>2.7562500000000004E-2</v>
      </c>
      <c r="AF503" s="76">
        <v>2.7562500000000004E-2</v>
      </c>
      <c r="AG503" s="76">
        <v>2.7562500000000004E-2</v>
      </c>
      <c r="AH503" s="76">
        <v>2.7562500000000004E-2</v>
      </c>
      <c r="AI503" s="76">
        <v>2.7562500000000004E-2</v>
      </c>
      <c r="AJ503" s="76">
        <v>2.7562500000000004E-2</v>
      </c>
      <c r="AK503" s="76">
        <v>2.7562500000000004E-2</v>
      </c>
      <c r="AL503" s="76">
        <v>2.7562500000000004E-2</v>
      </c>
      <c r="AM503" s="76">
        <v>2.7562500000000004E-2</v>
      </c>
      <c r="AN503" s="76">
        <v>2.7562500000000004E-2</v>
      </c>
      <c r="AO503" s="76">
        <v>2.7562500000000004E-2</v>
      </c>
      <c r="AP503" s="76">
        <v>2.7562500000000004E-2</v>
      </c>
      <c r="AQ503" s="76">
        <v>2.7562500000000004E-2</v>
      </c>
      <c r="AR503" s="76">
        <v>2.7562500000000004E-2</v>
      </c>
      <c r="AS503" s="76">
        <v>2.7562500000000004E-2</v>
      </c>
      <c r="AT503" s="76">
        <v>2.7562500000000004E-2</v>
      </c>
      <c r="AU503" s="76">
        <v>2.7562500000000004E-2</v>
      </c>
      <c r="AV503" s="76">
        <v>2.7562500000000004E-2</v>
      </c>
      <c r="AW503" s="76">
        <v>2.7562500000000004E-2</v>
      </c>
      <c r="AX503" s="84">
        <v>2.7562500000000004E-2</v>
      </c>
    </row>
    <row r="504" spans="1:50" x14ac:dyDescent="0.25">
      <c r="A504" s="356"/>
      <c r="B504" s="359"/>
      <c r="C504" s="361" t="s">
        <v>14</v>
      </c>
      <c r="D504" s="2" t="s">
        <v>8</v>
      </c>
      <c r="E504" s="164" t="str">
        <f>A489&amp;"/"&amp;B501&amp;"/"&amp;C504&amp;"/"&amp;D504</f>
        <v>Gas fired power plants (Natural gas, biogas)/Gas turbine /CHP/M</v>
      </c>
      <c r="F504" s="78" t="str">
        <f>A489</f>
        <v>Gas fired power plants (Natural gas, biogas)</v>
      </c>
      <c r="G504" s="78" t="str">
        <f>B501</f>
        <v xml:space="preserve">Gas turbine </v>
      </c>
      <c r="H504" s="78" t="str">
        <f>C504</f>
        <v>CHP</v>
      </c>
      <c r="I504" s="165" t="str">
        <f t="shared" si="84"/>
        <v>M</v>
      </c>
      <c r="J504" s="78">
        <v>2.7500000000000004E-2</v>
      </c>
      <c r="K504" s="78">
        <v>2.7500000000000004E-2</v>
      </c>
      <c r="L504" s="78">
        <v>2.7500000000000004E-2</v>
      </c>
      <c r="M504" s="78">
        <v>2.7500000000000004E-2</v>
      </c>
      <c r="N504" s="78">
        <v>2.7500000000000004E-2</v>
      </c>
      <c r="O504" s="78">
        <v>2.7500000000000004E-2</v>
      </c>
      <c r="P504" s="78">
        <v>2.7500000000000004E-2</v>
      </c>
      <c r="Q504" s="78">
        <v>2.7500000000000004E-2</v>
      </c>
      <c r="R504" s="78">
        <v>2.7500000000000004E-2</v>
      </c>
      <c r="S504" s="78">
        <v>2.7500000000000004E-2</v>
      </c>
      <c r="T504" s="78">
        <v>2.7500000000000004E-2</v>
      </c>
      <c r="U504" s="78">
        <v>2.7500000000000004E-2</v>
      </c>
      <c r="V504" s="78">
        <v>2.7500000000000004E-2</v>
      </c>
      <c r="W504" s="78">
        <v>2.7500000000000004E-2</v>
      </c>
      <c r="X504" s="78">
        <v>2.7500000000000004E-2</v>
      </c>
      <c r="Y504" s="78">
        <v>2.7500000000000004E-2</v>
      </c>
      <c r="Z504" s="78">
        <v>2.7500000000000004E-2</v>
      </c>
      <c r="AA504" s="78">
        <v>2.7500000000000004E-2</v>
      </c>
      <c r="AB504" s="78">
        <v>2.7500000000000004E-2</v>
      </c>
      <c r="AC504" s="78">
        <v>2.7500000000000004E-2</v>
      </c>
      <c r="AD504" s="78">
        <v>2.7500000000000004E-2</v>
      </c>
      <c r="AE504" s="78">
        <v>2.7500000000000004E-2</v>
      </c>
      <c r="AF504" s="78">
        <v>2.7500000000000004E-2</v>
      </c>
      <c r="AG504" s="78">
        <v>2.7500000000000004E-2</v>
      </c>
      <c r="AH504" s="78">
        <v>2.7500000000000004E-2</v>
      </c>
      <c r="AI504" s="78">
        <v>2.7500000000000004E-2</v>
      </c>
      <c r="AJ504" s="78">
        <v>2.7500000000000004E-2</v>
      </c>
      <c r="AK504" s="78">
        <v>2.7500000000000004E-2</v>
      </c>
      <c r="AL504" s="78">
        <v>2.7500000000000004E-2</v>
      </c>
      <c r="AM504" s="78">
        <v>2.7500000000000004E-2</v>
      </c>
      <c r="AN504" s="78">
        <v>2.7500000000000004E-2</v>
      </c>
      <c r="AO504" s="78">
        <v>2.7500000000000004E-2</v>
      </c>
      <c r="AP504" s="78">
        <v>2.7500000000000004E-2</v>
      </c>
      <c r="AQ504" s="78">
        <v>2.7500000000000004E-2</v>
      </c>
      <c r="AR504" s="78">
        <v>2.7500000000000004E-2</v>
      </c>
      <c r="AS504" s="78">
        <v>2.7500000000000004E-2</v>
      </c>
      <c r="AT504" s="78">
        <v>2.7500000000000004E-2</v>
      </c>
      <c r="AU504" s="78">
        <v>2.7500000000000004E-2</v>
      </c>
      <c r="AV504" s="78">
        <v>2.7500000000000004E-2</v>
      </c>
      <c r="AW504" s="78">
        <v>2.7500000000000004E-2</v>
      </c>
      <c r="AX504" s="86">
        <v>2.7500000000000004E-2</v>
      </c>
    </row>
    <row r="505" spans="1:50" x14ac:dyDescent="0.25">
      <c r="A505" s="356"/>
      <c r="B505" s="359"/>
      <c r="C505" s="350"/>
      <c r="D505" s="2" t="s">
        <v>10</v>
      </c>
      <c r="E505" s="160" t="str">
        <f>A489&amp;"/"&amp;B501&amp;"/"&amp;C504&amp;"/"&amp;D505</f>
        <v>Gas fired power plants (Natural gas, biogas)/Gas turbine /CHP/S</v>
      </c>
      <c r="F505" s="76" t="str">
        <f>A489</f>
        <v>Gas fired power plants (Natural gas, biogas)</v>
      </c>
      <c r="G505" s="76" t="str">
        <f>B501</f>
        <v xml:space="preserve">Gas turbine </v>
      </c>
      <c r="H505" s="76" t="str">
        <f>C504</f>
        <v>CHP</v>
      </c>
      <c r="I505" s="161" t="str">
        <f t="shared" si="84"/>
        <v>S</v>
      </c>
      <c r="J505" s="76">
        <v>2.8875000000000005E-2</v>
      </c>
      <c r="K505" s="76">
        <v>2.8875000000000005E-2</v>
      </c>
      <c r="L505" s="76">
        <v>2.8875000000000005E-2</v>
      </c>
      <c r="M505" s="76">
        <v>2.8875000000000005E-2</v>
      </c>
      <c r="N505" s="76">
        <v>2.8875000000000005E-2</v>
      </c>
      <c r="O505" s="76">
        <v>2.8875000000000005E-2</v>
      </c>
      <c r="P505" s="76">
        <v>2.8875000000000005E-2</v>
      </c>
      <c r="Q505" s="76">
        <v>2.8875000000000005E-2</v>
      </c>
      <c r="R505" s="76">
        <v>2.8875000000000005E-2</v>
      </c>
      <c r="S505" s="76">
        <v>2.8875000000000005E-2</v>
      </c>
      <c r="T505" s="76">
        <v>2.8875000000000005E-2</v>
      </c>
      <c r="U505" s="76">
        <v>2.8875000000000005E-2</v>
      </c>
      <c r="V505" s="76">
        <v>2.8875000000000005E-2</v>
      </c>
      <c r="W505" s="76">
        <v>2.8875000000000005E-2</v>
      </c>
      <c r="X505" s="76">
        <v>2.8875000000000005E-2</v>
      </c>
      <c r="Y505" s="76">
        <v>2.8875000000000005E-2</v>
      </c>
      <c r="Z505" s="76">
        <v>2.8875000000000005E-2</v>
      </c>
      <c r="AA505" s="76">
        <v>2.8875000000000005E-2</v>
      </c>
      <c r="AB505" s="76">
        <v>2.8875000000000005E-2</v>
      </c>
      <c r="AC505" s="76">
        <v>2.8875000000000005E-2</v>
      </c>
      <c r="AD505" s="76">
        <v>2.8875000000000005E-2</v>
      </c>
      <c r="AE505" s="76">
        <v>2.8875000000000005E-2</v>
      </c>
      <c r="AF505" s="76">
        <v>2.8875000000000005E-2</v>
      </c>
      <c r="AG505" s="76">
        <v>2.8875000000000005E-2</v>
      </c>
      <c r="AH505" s="76">
        <v>2.8875000000000005E-2</v>
      </c>
      <c r="AI505" s="76">
        <v>2.8875000000000005E-2</v>
      </c>
      <c r="AJ505" s="76">
        <v>2.8875000000000005E-2</v>
      </c>
      <c r="AK505" s="76">
        <v>2.8875000000000005E-2</v>
      </c>
      <c r="AL505" s="76">
        <v>2.8875000000000005E-2</v>
      </c>
      <c r="AM505" s="76">
        <v>2.8875000000000005E-2</v>
      </c>
      <c r="AN505" s="76">
        <v>2.8875000000000005E-2</v>
      </c>
      <c r="AO505" s="76">
        <v>2.8875000000000005E-2</v>
      </c>
      <c r="AP505" s="76">
        <v>2.8875000000000005E-2</v>
      </c>
      <c r="AQ505" s="76">
        <v>2.8875000000000005E-2</v>
      </c>
      <c r="AR505" s="76">
        <v>2.8875000000000005E-2</v>
      </c>
      <c r="AS505" s="76">
        <v>2.8875000000000005E-2</v>
      </c>
      <c r="AT505" s="76">
        <v>2.8875000000000005E-2</v>
      </c>
      <c r="AU505" s="76">
        <v>2.8875000000000005E-2</v>
      </c>
      <c r="AV505" s="76">
        <v>2.8875000000000005E-2</v>
      </c>
      <c r="AW505" s="76">
        <v>2.8875000000000005E-2</v>
      </c>
      <c r="AX505" s="84">
        <v>2.8875000000000005E-2</v>
      </c>
    </row>
    <row r="506" spans="1:50" x14ac:dyDescent="0.25">
      <c r="A506" s="356"/>
      <c r="B506" s="362"/>
      <c r="C506" s="354"/>
      <c r="D506" s="4" t="s">
        <v>20</v>
      </c>
      <c r="E506" s="168" t="str">
        <f>A489&amp;"/"&amp;B501&amp;"/"&amp;C504&amp;"/"&amp;D506</f>
        <v>Gas fired power plants (Natural gas, biogas)/Gas turbine /CHP/XS</v>
      </c>
      <c r="F506" s="80" t="str">
        <f>A489</f>
        <v>Gas fired power plants (Natural gas, biogas)</v>
      </c>
      <c r="G506" s="80" t="str">
        <f>B501</f>
        <v xml:space="preserve">Gas turbine </v>
      </c>
      <c r="H506" s="80" t="str">
        <f>C504</f>
        <v>CHP</v>
      </c>
      <c r="I506" s="169" t="str">
        <f t="shared" si="84"/>
        <v>XS</v>
      </c>
      <c r="J506" s="80">
        <v>3.0318750000000005E-2</v>
      </c>
      <c r="K506" s="80">
        <v>3.0318750000000005E-2</v>
      </c>
      <c r="L506" s="80">
        <v>3.0318750000000005E-2</v>
      </c>
      <c r="M506" s="80">
        <v>3.0318750000000005E-2</v>
      </c>
      <c r="N506" s="80">
        <v>3.0318750000000005E-2</v>
      </c>
      <c r="O506" s="80">
        <v>3.0318750000000005E-2</v>
      </c>
      <c r="P506" s="80">
        <v>3.0318750000000005E-2</v>
      </c>
      <c r="Q506" s="80">
        <v>3.0318750000000005E-2</v>
      </c>
      <c r="R506" s="80">
        <v>3.0318750000000005E-2</v>
      </c>
      <c r="S506" s="80">
        <v>3.0318750000000005E-2</v>
      </c>
      <c r="T506" s="80">
        <v>3.0318750000000005E-2</v>
      </c>
      <c r="U506" s="80">
        <v>3.0318750000000005E-2</v>
      </c>
      <c r="V506" s="80">
        <v>3.0318750000000005E-2</v>
      </c>
      <c r="W506" s="80">
        <v>3.0318750000000005E-2</v>
      </c>
      <c r="X506" s="80">
        <v>3.0318750000000005E-2</v>
      </c>
      <c r="Y506" s="80">
        <v>3.0318750000000005E-2</v>
      </c>
      <c r="Z506" s="80">
        <v>3.0318750000000005E-2</v>
      </c>
      <c r="AA506" s="80">
        <v>3.0318750000000005E-2</v>
      </c>
      <c r="AB506" s="80">
        <v>3.0318750000000005E-2</v>
      </c>
      <c r="AC506" s="80">
        <v>3.0318750000000005E-2</v>
      </c>
      <c r="AD506" s="80">
        <v>3.0318750000000005E-2</v>
      </c>
      <c r="AE506" s="80">
        <v>3.0318750000000005E-2</v>
      </c>
      <c r="AF506" s="80">
        <v>3.0318750000000005E-2</v>
      </c>
      <c r="AG506" s="80">
        <v>3.0318750000000005E-2</v>
      </c>
      <c r="AH506" s="80">
        <v>3.0318750000000005E-2</v>
      </c>
      <c r="AI506" s="80">
        <v>3.0318750000000005E-2</v>
      </c>
      <c r="AJ506" s="80">
        <v>3.0318750000000005E-2</v>
      </c>
      <c r="AK506" s="80">
        <v>3.0318750000000005E-2</v>
      </c>
      <c r="AL506" s="80">
        <v>3.0318750000000005E-2</v>
      </c>
      <c r="AM506" s="80">
        <v>3.0318750000000005E-2</v>
      </c>
      <c r="AN506" s="80">
        <v>3.0318750000000005E-2</v>
      </c>
      <c r="AO506" s="80">
        <v>3.0318750000000005E-2</v>
      </c>
      <c r="AP506" s="80">
        <v>3.0318750000000005E-2</v>
      </c>
      <c r="AQ506" s="80">
        <v>3.0318750000000005E-2</v>
      </c>
      <c r="AR506" s="80">
        <v>3.0318750000000005E-2</v>
      </c>
      <c r="AS506" s="80">
        <v>3.0318750000000005E-2</v>
      </c>
      <c r="AT506" s="80">
        <v>3.0318750000000005E-2</v>
      </c>
      <c r="AU506" s="80">
        <v>3.0318750000000005E-2</v>
      </c>
      <c r="AV506" s="80">
        <v>3.0318750000000005E-2</v>
      </c>
      <c r="AW506" s="80">
        <v>3.0318750000000005E-2</v>
      </c>
      <c r="AX506" s="88">
        <v>3.0318750000000005E-2</v>
      </c>
    </row>
    <row r="507" spans="1:50" x14ac:dyDescent="0.25">
      <c r="A507" s="356"/>
      <c r="B507" s="358" t="s">
        <v>19</v>
      </c>
      <c r="C507" s="353" t="s">
        <v>6</v>
      </c>
      <c r="D507" s="3" t="s">
        <v>7</v>
      </c>
      <c r="E507" s="162" t="str">
        <f>A489&amp;"/"&amp;B507&amp;"/"&amp;C507&amp;"/"&amp;D507</f>
        <v>Gas fired power plants (Natural gas, biogas)/Steam turbine/Electricity only/L</v>
      </c>
      <c r="F507" s="77" t="str">
        <f>A489</f>
        <v>Gas fired power plants (Natural gas, biogas)</v>
      </c>
      <c r="G507" s="77" t="str">
        <f>B507</f>
        <v>Steam turbine</v>
      </c>
      <c r="H507" s="77" t="str">
        <f>C507</f>
        <v>Electricity only</v>
      </c>
      <c r="I507" s="163" t="str">
        <f t="shared" si="84"/>
        <v>L</v>
      </c>
      <c r="J507" s="77">
        <v>4.2000000000000003E-2</v>
      </c>
      <c r="K507" s="77">
        <v>4.2000000000000003E-2</v>
      </c>
      <c r="L507" s="77">
        <v>4.2000000000000003E-2</v>
      </c>
      <c r="M507" s="77">
        <v>4.2000000000000003E-2</v>
      </c>
      <c r="N507" s="77">
        <v>4.2000000000000003E-2</v>
      </c>
      <c r="O507" s="77">
        <v>4.2000000000000003E-2</v>
      </c>
      <c r="P507" s="77">
        <v>4.2000000000000003E-2</v>
      </c>
      <c r="Q507" s="77">
        <v>4.2000000000000003E-2</v>
      </c>
      <c r="R507" s="77">
        <v>4.2000000000000003E-2</v>
      </c>
      <c r="S507" s="77">
        <v>4.2000000000000003E-2</v>
      </c>
      <c r="T507" s="77">
        <v>4.2000000000000003E-2</v>
      </c>
      <c r="U507" s="77">
        <v>4.2000000000000003E-2</v>
      </c>
      <c r="V507" s="77">
        <v>4.2000000000000003E-2</v>
      </c>
      <c r="W507" s="77">
        <v>4.2000000000000003E-2</v>
      </c>
      <c r="X507" s="77">
        <v>4.2000000000000003E-2</v>
      </c>
      <c r="Y507" s="77">
        <v>4.2000000000000003E-2</v>
      </c>
      <c r="Z507" s="77">
        <v>4.2000000000000003E-2</v>
      </c>
      <c r="AA507" s="77">
        <v>4.2000000000000003E-2</v>
      </c>
      <c r="AB507" s="77">
        <v>4.2000000000000003E-2</v>
      </c>
      <c r="AC507" s="77">
        <v>4.2000000000000003E-2</v>
      </c>
      <c r="AD507" s="77">
        <v>4.2000000000000003E-2</v>
      </c>
      <c r="AE507" s="77">
        <v>4.2000000000000003E-2</v>
      </c>
      <c r="AF507" s="77">
        <v>4.2000000000000003E-2</v>
      </c>
      <c r="AG507" s="77">
        <v>4.2000000000000003E-2</v>
      </c>
      <c r="AH507" s="77">
        <v>4.2000000000000003E-2</v>
      </c>
      <c r="AI507" s="77">
        <v>4.2000000000000003E-2</v>
      </c>
      <c r="AJ507" s="77">
        <v>4.2000000000000003E-2</v>
      </c>
      <c r="AK507" s="77">
        <v>4.2000000000000003E-2</v>
      </c>
      <c r="AL507" s="77">
        <v>4.2000000000000003E-2</v>
      </c>
      <c r="AM507" s="77">
        <v>4.2000000000000003E-2</v>
      </c>
      <c r="AN507" s="77">
        <v>4.2000000000000003E-2</v>
      </c>
      <c r="AO507" s="77">
        <v>4.2000000000000003E-2</v>
      </c>
      <c r="AP507" s="77">
        <v>4.2000000000000003E-2</v>
      </c>
      <c r="AQ507" s="77">
        <v>4.2000000000000003E-2</v>
      </c>
      <c r="AR507" s="77">
        <v>4.2000000000000003E-2</v>
      </c>
      <c r="AS507" s="77">
        <v>4.2000000000000003E-2</v>
      </c>
      <c r="AT507" s="77">
        <v>4.2000000000000003E-2</v>
      </c>
      <c r="AU507" s="77">
        <v>4.2000000000000003E-2</v>
      </c>
      <c r="AV507" s="77">
        <v>4.2000000000000003E-2</v>
      </c>
      <c r="AW507" s="77">
        <v>4.2000000000000003E-2</v>
      </c>
      <c r="AX507" s="85">
        <v>4.2000000000000003E-2</v>
      </c>
    </row>
    <row r="508" spans="1:50" x14ac:dyDescent="0.25">
      <c r="A508" s="356"/>
      <c r="B508" s="359"/>
      <c r="C508" s="350"/>
      <c r="D508" s="2" t="s">
        <v>8</v>
      </c>
      <c r="E508" s="160" t="str">
        <f>A489&amp;"/"&amp;B507&amp;"/"&amp;C507&amp;"/"&amp;D508</f>
        <v>Gas fired power plants (Natural gas, biogas)/Steam turbine/Electricity only/M</v>
      </c>
      <c r="F508" s="76" t="str">
        <f>A489</f>
        <v>Gas fired power plants (Natural gas, biogas)</v>
      </c>
      <c r="G508" s="76" t="str">
        <f>B507</f>
        <v>Steam turbine</v>
      </c>
      <c r="H508" s="76" t="str">
        <f>C507</f>
        <v>Electricity only</v>
      </c>
      <c r="I508" s="161" t="str">
        <f t="shared" si="84"/>
        <v>M</v>
      </c>
      <c r="J508" s="76">
        <v>4.4100000000000007E-2</v>
      </c>
      <c r="K508" s="76">
        <v>4.4100000000000007E-2</v>
      </c>
      <c r="L508" s="76">
        <v>4.4100000000000007E-2</v>
      </c>
      <c r="M508" s="76">
        <v>4.4100000000000007E-2</v>
      </c>
      <c r="N508" s="76">
        <v>4.4100000000000007E-2</v>
      </c>
      <c r="O508" s="76">
        <v>4.4100000000000007E-2</v>
      </c>
      <c r="P508" s="76">
        <v>4.4100000000000007E-2</v>
      </c>
      <c r="Q508" s="76">
        <v>4.4100000000000007E-2</v>
      </c>
      <c r="R508" s="76">
        <v>4.4100000000000007E-2</v>
      </c>
      <c r="S508" s="76">
        <v>4.4100000000000007E-2</v>
      </c>
      <c r="T508" s="76">
        <v>4.4100000000000007E-2</v>
      </c>
      <c r="U508" s="76">
        <v>4.4100000000000007E-2</v>
      </c>
      <c r="V508" s="76">
        <v>4.4100000000000007E-2</v>
      </c>
      <c r="W508" s="76">
        <v>4.4100000000000007E-2</v>
      </c>
      <c r="X508" s="76">
        <v>4.4100000000000007E-2</v>
      </c>
      <c r="Y508" s="76">
        <v>4.4100000000000007E-2</v>
      </c>
      <c r="Z508" s="76">
        <v>4.4100000000000007E-2</v>
      </c>
      <c r="AA508" s="76">
        <v>4.4100000000000007E-2</v>
      </c>
      <c r="AB508" s="76">
        <v>4.4100000000000007E-2</v>
      </c>
      <c r="AC508" s="76">
        <v>4.4100000000000007E-2</v>
      </c>
      <c r="AD508" s="76">
        <v>4.4100000000000007E-2</v>
      </c>
      <c r="AE508" s="76">
        <v>4.4100000000000007E-2</v>
      </c>
      <c r="AF508" s="76">
        <v>4.4100000000000007E-2</v>
      </c>
      <c r="AG508" s="76">
        <v>4.4100000000000007E-2</v>
      </c>
      <c r="AH508" s="76">
        <v>4.4100000000000007E-2</v>
      </c>
      <c r="AI508" s="76">
        <v>4.4100000000000007E-2</v>
      </c>
      <c r="AJ508" s="76">
        <v>4.4100000000000007E-2</v>
      </c>
      <c r="AK508" s="76">
        <v>4.4100000000000007E-2</v>
      </c>
      <c r="AL508" s="76">
        <v>4.4100000000000007E-2</v>
      </c>
      <c r="AM508" s="76">
        <v>4.4100000000000007E-2</v>
      </c>
      <c r="AN508" s="76">
        <v>4.4100000000000007E-2</v>
      </c>
      <c r="AO508" s="76">
        <v>4.4100000000000007E-2</v>
      </c>
      <c r="AP508" s="76">
        <v>4.4100000000000007E-2</v>
      </c>
      <c r="AQ508" s="76">
        <v>4.4100000000000007E-2</v>
      </c>
      <c r="AR508" s="76">
        <v>4.4100000000000007E-2</v>
      </c>
      <c r="AS508" s="76">
        <v>4.4100000000000007E-2</v>
      </c>
      <c r="AT508" s="76">
        <v>4.4100000000000007E-2</v>
      </c>
      <c r="AU508" s="76">
        <v>4.4100000000000007E-2</v>
      </c>
      <c r="AV508" s="76">
        <v>4.4100000000000007E-2</v>
      </c>
      <c r="AW508" s="76">
        <v>4.4100000000000007E-2</v>
      </c>
      <c r="AX508" s="84">
        <v>4.4100000000000007E-2</v>
      </c>
    </row>
    <row r="509" spans="1:50" x14ac:dyDescent="0.25">
      <c r="A509" s="356"/>
      <c r="B509" s="359"/>
      <c r="C509" s="350"/>
      <c r="D509" s="2" t="s">
        <v>10</v>
      </c>
      <c r="E509" s="160" t="str">
        <f>A489&amp;"/"&amp;B507&amp;"/"&amp;C507&amp;"/"&amp;D509</f>
        <v>Gas fired power plants (Natural gas, biogas)/Steam turbine/Electricity only/S</v>
      </c>
      <c r="F509" s="76" t="str">
        <f>A489</f>
        <v>Gas fired power plants (Natural gas, biogas)</v>
      </c>
      <c r="G509" s="76" t="str">
        <f>B507</f>
        <v>Steam turbine</v>
      </c>
      <c r="H509" s="76" t="str">
        <f>C507</f>
        <v>Electricity only</v>
      </c>
      <c r="I509" s="161" t="str">
        <f t="shared" si="84"/>
        <v>S</v>
      </c>
      <c r="J509" s="76">
        <v>4.6305000000000013E-2</v>
      </c>
      <c r="K509" s="76">
        <v>4.6305000000000013E-2</v>
      </c>
      <c r="L509" s="76">
        <v>4.6305000000000013E-2</v>
      </c>
      <c r="M509" s="76">
        <v>4.6305000000000013E-2</v>
      </c>
      <c r="N509" s="76">
        <v>4.6305000000000013E-2</v>
      </c>
      <c r="O509" s="76">
        <v>4.6305000000000013E-2</v>
      </c>
      <c r="P509" s="76">
        <v>4.6305000000000013E-2</v>
      </c>
      <c r="Q509" s="76">
        <v>4.6305000000000013E-2</v>
      </c>
      <c r="R509" s="76">
        <v>4.6305000000000013E-2</v>
      </c>
      <c r="S509" s="76">
        <v>4.6305000000000013E-2</v>
      </c>
      <c r="T509" s="76">
        <v>4.6305000000000013E-2</v>
      </c>
      <c r="U509" s="76">
        <v>4.6305000000000013E-2</v>
      </c>
      <c r="V509" s="76">
        <v>4.6305000000000013E-2</v>
      </c>
      <c r="W509" s="76">
        <v>4.6305000000000013E-2</v>
      </c>
      <c r="X509" s="76">
        <v>4.6305000000000013E-2</v>
      </c>
      <c r="Y509" s="76">
        <v>4.6305000000000013E-2</v>
      </c>
      <c r="Z509" s="76">
        <v>4.6305000000000013E-2</v>
      </c>
      <c r="AA509" s="76">
        <v>4.6305000000000013E-2</v>
      </c>
      <c r="AB509" s="76">
        <v>4.6305000000000013E-2</v>
      </c>
      <c r="AC509" s="76">
        <v>4.6305000000000013E-2</v>
      </c>
      <c r="AD509" s="76">
        <v>4.6305000000000013E-2</v>
      </c>
      <c r="AE509" s="76">
        <v>4.6305000000000013E-2</v>
      </c>
      <c r="AF509" s="76">
        <v>4.6305000000000013E-2</v>
      </c>
      <c r="AG509" s="76">
        <v>4.6305000000000013E-2</v>
      </c>
      <c r="AH509" s="76">
        <v>4.6305000000000013E-2</v>
      </c>
      <c r="AI509" s="76">
        <v>4.6305000000000013E-2</v>
      </c>
      <c r="AJ509" s="76">
        <v>4.6305000000000013E-2</v>
      </c>
      <c r="AK509" s="76">
        <v>4.6305000000000013E-2</v>
      </c>
      <c r="AL509" s="76">
        <v>4.6305000000000013E-2</v>
      </c>
      <c r="AM509" s="76">
        <v>4.6305000000000013E-2</v>
      </c>
      <c r="AN509" s="76">
        <v>4.6305000000000013E-2</v>
      </c>
      <c r="AO509" s="76">
        <v>4.6305000000000013E-2</v>
      </c>
      <c r="AP509" s="76">
        <v>4.6305000000000013E-2</v>
      </c>
      <c r="AQ509" s="76">
        <v>4.6305000000000013E-2</v>
      </c>
      <c r="AR509" s="76">
        <v>4.6305000000000013E-2</v>
      </c>
      <c r="AS509" s="76">
        <v>4.6305000000000013E-2</v>
      </c>
      <c r="AT509" s="76">
        <v>4.6305000000000013E-2</v>
      </c>
      <c r="AU509" s="76">
        <v>4.6305000000000013E-2</v>
      </c>
      <c r="AV509" s="76">
        <v>4.6305000000000013E-2</v>
      </c>
      <c r="AW509" s="76">
        <v>4.6305000000000013E-2</v>
      </c>
      <c r="AX509" s="84">
        <v>4.6305000000000013E-2</v>
      </c>
    </row>
    <row r="510" spans="1:50" x14ac:dyDescent="0.25">
      <c r="A510" s="356"/>
      <c r="B510" s="359"/>
      <c r="C510" s="360"/>
      <c r="D510" s="2" t="s">
        <v>20</v>
      </c>
      <c r="E510" s="160" t="str">
        <f>A489&amp;"/"&amp;B507&amp;"/"&amp;C507&amp;"/"&amp;D510</f>
        <v>Gas fired power plants (Natural gas, biogas)/Steam turbine/Electricity only/XS</v>
      </c>
      <c r="F510" s="76" t="str">
        <f>A489</f>
        <v>Gas fired power plants (Natural gas, biogas)</v>
      </c>
      <c r="G510" s="76" t="str">
        <f>B507</f>
        <v>Steam turbine</v>
      </c>
      <c r="H510" s="76" t="str">
        <f>C507</f>
        <v>Electricity only</v>
      </c>
      <c r="I510" s="161" t="str">
        <f t="shared" si="84"/>
        <v>XS</v>
      </c>
      <c r="J510" s="76">
        <v>4.8620250000000018E-2</v>
      </c>
      <c r="K510" s="76">
        <v>4.8620250000000018E-2</v>
      </c>
      <c r="L510" s="76">
        <v>4.8620250000000018E-2</v>
      </c>
      <c r="M510" s="76">
        <v>4.8620250000000018E-2</v>
      </c>
      <c r="N510" s="76">
        <v>4.8620250000000018E-2</v>
      </c>
      <c r="O510" s="76">
        <v>4.8620250000000018E-2</v>
      </c>
      <c r="P510" s="76">
        <v>4.8620250000000018E-2</v>
      </c>
      <c r="Q510" s="76">
        <v>4.8620250000000018E-2</v>
      </c>
      <c r="R510" s="76">
        <v>4.8620250000000018E-2</v>
      </c>
      <c r="S510" s="76">
        <v>4.8620250000000018E-2</v>
      </c>
      <c r="T510" s="76">
        <v>4.8620250000000018E-2</v>
      </c>
      <c r="U510" s="76">
        <v>4.8620250000000018E-2</v>
      </c>
      <c r="V510" s="76">
        <v>4.8620250000000018E-2</v>
      </c>
      <c r="W510" s="76">
        <v>4.8620250000000018E-2</v>
      </c>
      <c r="X510" s="76">
        <v>4.8620250000000018E-2</v>
      </c>
      <c r="Y510" s="76">
        <v>4.8620250000000018E-2</v>
      </c>
      <c r="Z510" s="76">
        <v>4.8620250000000018E-2</v>
      </c>
      <c r="AA510" s="76">
        <v>4.8620250000000018E-2</v>
      </c>
      <c r="AB510" s="76">
        <v>4.8620250000000018E-2</v>
      </c>
      <c r="AC510" s="76">
        <v>4.8620250000000018E-2</v>
      </c>
      <c r="AD510" s="76">
        <v>4.8620250000000018E-2</v>
      </c>
      <c r="AE510" s="76">
        <v>4.8620250000000018E-2</v>
      </c>
      <c r="AF510" s="76">
        <v>4.8620250000000018E-2</v>
      </c>
      <c r="AG510" s="76">
        <v>4.8620250000000018E-2</v>
      </c>
      <c r="AH510" s="76">
        <v>4.8620250000000018E-2</v>
      </c>
      <c r="AI510" s="76">
        <v>4.8620250000000018E-2</v>
      </c>
      <c r="AJ510" s="76">
        <v>4.8620250000000018E-2</v>
      </c>
      <c r="AK510" s="76">
        <v>4.8620250000000018E-2</v>
      </c>
      <c r="AL510" s="76">
        <v>4.8620250000000018E-2</v>
      </c>
      <c r="AM510" s="76">
        <v>4.8620250000000018E-2</v>
      </c>
      <c r="AN510" s="76">
        <v>4.8620250000000018E-2</v>
      </c>
      <c r="AO510" s="76">
        <v>4.8620250000000018E-2</v>
      </c>
      <c r="AP510" s="76">
        <v>4.8620250000000018E-2</v>
      </c>
      <c r="AQ510" s="76">
        <v>4.8620250000000018E-2</v>
      </c>
      <c r="AR510" s="76">
        <v>4.8620250000000018E-2</v>
      </c>
      <c r="AS510" s="76">
        <v>4.8620250000000018E-2</v>
      </c>
      <c r="AT510" s="76">
        <v>4.8620250000000018E-2</v>
      </c>
      <c r="AU510" s="76">
        <v>4.8620250000000018E-2</v>
      </c>
      <c r="AV510" s="76">
        <v>4.8620250000000018E-2</v>
      </c>
      <c r="AW510" s="76">
        <v>4.8620250000000018E-2</v>
      </c>
      <c r="AX510" s="84">
        <v>4.8620250000000018E-2</v>
      </c>
    </row>
    <row r="511" spans="1:50" x14ac:dyDescent="0.25">
      <c r="A511" s="356"/>
      <c r="B511" s="359"/>
      <c r="C511" s="361" t="s">
        <v>14</v>
      </c>
      <c r="D511" s="58" t="s">
        <v>7</v>
      </c>
      <c r="E511" s="164" t="str">
        <f>A489&amp;"/"&amp;B507&amp;"/"&amp;C511&amp;"/"&amp;D511</f>
        <v>Gas fired power plants (Natural gas, biogas)/Steam turbine/CHP/L</v>
      </c>
      <c r="F511" s="78" t="str">
        <f>A489</f>
        <v>Gas fired power plants (Natural gas, biogas)</v>
      </c>
      <c r="G511" s="78" t="str">
        <f>B507</f>
        <v>Steam turbine</v>
      </c>
      <c r="H511" s="78" t="str">
        <f>C511</f>
        <v>CHP</v>
      </c>
      <c r="I511" s="165" t="str">
        <f t="shared" si="84"/>
        <v>L</v>
      </c>
      <c r="J511" s="78">
        <v>4.6200000000000005E-2</v>
      </c>
      <c r="K511" s="78">
        <v>4.6200000000000005E-2</v>
      </c>
      <c r="L511" s="78">
        <v>4.6200000000000005E-2</v>
      </c>
      <c r="M511" s="78">
        <v>4.6200000000000005E-2</v>
      </c>
      <c r="N511" s="78">
        <v>4.6200000000000005E-2</v>
      </c>
      <c r="O511" s="78">
        <v>4.6200000000000005E-2</v>
      </c>
      <c r="P511" s="78">
        <v>4.6200000000000005E-2</v>
      </c>
      <c r="Q511" s="78">
        <v>4.6200000000000005E-2</v>
      </c>
      <c r="R511" s="78">
        <v>4.6200000000000005E-2</v>
      </c>
      <c r="S511" s="78">
        <v>4.6200000000000005E-2</v>
      </c>
      <c r="T511" s="78">
        <v>4.6200000000000005E-2</v>
      </c>
      <c r="U511" s="78">
        <v>4.6200000000000005E-2</v>
      </c>
      <c r="V511" s="78">
        <v>4.6200000000000005E-2</v>
      </c>
      <c r="W511" s="78">
        <v>4.6200000000000005E-2</v>
      </c>
      <c r="X511" s="78">
        <v>4.6200000000000005E-2</v>
      </c>
      <c r="Y511" s="78">
        <v>4.6200000000000005E-2</v>
      </c>
      <c r="Z511" s="78">
        <v>4.6200000000000005E-2</v>
      </c>
      <c r="AA511" s="78">
        <v>4.6200000000000005E-2</v>
      </c>
      <c r="AB511" s="78">
        <v>4.6200000000000005E-2</v>
      </c>
      <c r="AC511" s="78">
        <v>4.6200000000000005E-2</v>
      </c>
      <c r="AD511" s="78">
        <v>4.6200000000000005E-2</v>
      </c>
      <c r="AE511" s="78">
        <v>4.6200000000000005E-2</v>
      </c>
      <c r="AF511" s="78">
        <v>4.6200000000000005E-2</v>
      </c>
      <c r="AG511" s="78">
        <v>4.6200000000000005E-2</v>
      </c>
      <c r="AH511" s="78">
        <v>4.6200000000000005E-2</v>
      </c>
      <c r="AI511" s="78">
        <v>4.6200000000000005E-2</v>
      </c>
      <c r="AJ511" s="78">
        <v>4.6200000000000005E-2</v>
      </c>
      <c r="AK511" s="78">
        <v>4.6200000000000005E-2</v>
      </c>
      <c r="AL511" s="78">
        <v>4.6200000000000005E-2</v>
      </c>
      <c r="AM511" s="78">
        <v>4.6200000000000005E-2</v>
      </c>
      <c r="AN511" s="78">
        <v>4.6200000000000005E-2</v>
      </c>
      <c r="AO511" s="78">
        <v>4.6200000000000005E-2</v>
      </c>
      <c r="AP511" s="78">
        <v>4.6200000000000005E-2</v>
      </c>
      <c r="AQ511" s="78">
        <v>4.6200000000000005E-2</v>
      </c>
      <c r="AR511" s="78">
        <v>4.6200000000000005E-2</v>
      </c>
      <c r="AS511" s="78">
        <v>4.6200000000000005E-2</v>
      </c>
      <c r="AT511" s="78">
        <v>4.6200000000000005E-2</v>
      </c>
      <c r="AU511" s="78">
        <v>4.6200000000000005E-2</v>
      </c>
      <c r="AV511" s="78">
        <v>4.6200000000000005E-2</v>
      </c>
      <c r="AW511" s="78">
        <v>4.6200000000000005E-2</v>
      </c>
      <c r="AX511" s="86">
        <v>4.6200000000000005E-2</v>
      </c>
    </row>
    <row r="512" spans="1:50" x14ac:dyDescent="0.25">
      <c r="A512" s="356"/>
      <c r="B512" s="359"/>
      <c r="C512" s="350"/>
      <c r="D512" s="2" t="s">
        <v>8</v>
      </c>
      <c r="E512" s="160" t="str">
        <f>A489&amp;"/"&amp;B507&amp;"/"&amp;C511&amp;"/"&amp;D512</f>
        <v>Gas fired power plants (Natural gas, biogas)/Steam turbine/CHP/M</v>
      </c>
      <c r="F512" s="76" t="str">
        <f>A489</f>
        <v>Gas fired power plants (Natural gas, biogas)</v>
      </c>
      <c r="G512" s="76" t="str">
        <f>B507</f>
        <v>Steam turbine</v>
      </c>
      <c r="H512" s="76" t="str">
        <f>C511</f>
        <v>CHP</v>
      </c>
      <c r="I512" s="161" t="str">
        <f t="shared" si="84"/>
        <v>M</v>
      </c>
      <c r="J512" s="76">
        <v>4.8510000000000011E-2</v>
      </c>
      <c r="K512" s="76">
        <v>4.8510000000000011E-2</v>
      </c>
      <c r="L512" s="76">
        <v>4.8510000000000011E-2</v>
      </c>
      <c r="M512" s="76">
        <v>4.8510000000000011E-2</v>
      </c>
      <c r="N512" s="76">
        <v>4.8510000000000011E-2</v>
      </c>
      <c r="O512" s="76">
        <v>4.8510000000000011E-2</v>
      </c>
      <c r="P512" s="76">
        <v>4.8510000000000011E-2</v>
      </c>
      <c r="Q512" s="76">
        <v>4.8510000000000011E-2</v>
      </c>
      <c r="R512" s="76">
        <v>4.8510000000000011E-2</v>
      </c>
      <c r="S512" s="76">
        <v>4.8510000000000011E-2</v>
      </c>
      <c r="T512" s="76">
        <v>4.8510000000000011E-2</v>
      </c>
      <c r="U512" s="76">
        <v>4.8510000000000011E-2</v>
      </c>
      <c r="V512" s="76">
        <v>4.8510000000000011E-2</v>
      </c>
      <c r="W512" s="76">
        <v>4.8510000000000011E-2</v>
      </c>
      <c r="X512" s="76">
        <v>4.8510000000000011E-2</v>
      </c>
      <c r="Y512" s="76">
        <v>4.8510000000000011E-2</v>
      </c>
      <c r="Z512" s="76">
        <v>4.8510000000000011E-2</v>
      </c>
      <c r="AA512" s="76">
        <v>4.8510000000000011E-2</v>
      </c>
      <c r="AB512" s="76">
        <v>4.8510000000000011E-2</v>
      </c>
      <c r="AC512" s="76">
        <v>4.8510000000000011E-2</v>
      </c>
      <c r="AD512" s="76">
        <v>4.8510000000000011E-2</v>
      </c>
      <c r="AE512" s="76">
        <v>4.8510000000000011E-2</v>
      </c>
      <c r="AF512" s="76">
        <v>4.8510000000000011E-2</v>
      </c>
      <c r="AG512" s="76">
        <v>4.8510000000000011E-2</v>
      </c>
      <c r="AH512" s="76">
        <v>4.8510000000000011E-2</v>
      </c>
      <c r="AI512" s="76">
        <v>4.8510000000000011E-2</v>
      </c>
      <c r="AJ512" s="76">
        <v>4.8510000000000011E-2</v>
      </c>
      <c r="AK512" s="76">
        <v>4.8510000000000011E-2</v>
      </c>
      <c r="AL512" s="76">
        <v>4.8510000000000011E-2</v>
      </c>
      <c r="AM512" s="76">
        <v>4.8510000000000011E-2</v>
      </c>
      <c r="AN512" s="76">
        <v>4.8510000000000011E-2</v>
      </c>
      <c r="AO512" s="76">
        <v>4.8510000000000011E-2</v>
      </c>
      <c r="AP512" s="76">
        <v>4.8510000000000011E-2</v>
      </c>
      <c r="AQ512" s="76">
        <v>4.8510000000000011E-2</v>
      </c>
      <c r="AR512" s="76">
        <v>4.8510000000000011E-2</v>
      </c>
      <c r="AS512" s="76">
        <v>4.8510000000000011E-2</v>
      </c>
      <c r="AT512" s="76">
        <v>4.8510000000000011E-2</v>
      </c>
      <c r="AU512" s="76">
        <v>4.8510000000000011E-2</v>
      </c>
      <c r="AV512" s="76">
        <v>4.8510000000000011E-2</v>
      </c>
      <c r="AW512" s="76">
        <v>4.8510000000000011E-2</v>
      </c>
      <c r="AX512" s="84">
        <v>4.8510000000000011E-2</v>
      </c>
    </row>
    <row r="513" spans="1:50" x14ac:dyDescent="0.25">
      <c r="A513" s="356"/>
      <c r="B513" s="359"/>
      <c r="C513" s="350"/>
      <c r="D513" s="2" t="s">
        <v>10</v>
      </c>
      <c r="E513" s="160" t="str">
        <f>A489&amp;"/"&amp;B507&amp;"/"&amp;C511&amp;"/"&amp;D513</f>
        <v>Gas fired power plants (Natural gas, biogas)/Steam turbine/CHP/S</v>
      </c>
      <c r="F513" s="76" t="str">
        <f>A489</f>
        <v>Gas fired power plants (Natural gas, biogas)</v>
      </c>
      <c r="G513" s="76" t="str">
        <f>B507</f>
        <v>Steam turbine</v>
      </c>
      <c r="H513" s="76" t="str">
        <f>C511</f>
        <v>CHP</v>
      </c>
      <c r="I513" s="161" t="str">
        <f t="shared" si="84"/>
        <v>S</v>
      </c>
      <c r="J513" s="76">
        <v>5.0935500000000015E-2</v>
      </c>
      <c r="K513" s="76">
        <v>5.0935500000000015E-2</v>
      </c>
      <c r="L513" s="76">
        <v>5.0935500000000015E-2</v>
      </c>
      <c r="M513" s="76">
        <v>5.0935500000000015E-2</v>
      </c>
      <c r="N513" s="76">
        <v>5.0935500000000015E-2</v>
      </c>
      <c r="O513" s="76">
        <v>5.0935500000000015E-2</v>
      </c>
      <c r="P513" s="76">
        <v>5.0935500000000015E-2</v>
      </c>
      <c r="Q513" s="76">
        <v>5.0935500000000015E-2</v>
      </c>
      <c r="R513" s="76">
        <v>5.0935500000000015E-2</v>
      </c>
      <c r="S513" s="76">
        <v>5.0935500000000015E-2</v>
      </c>
      <c r="T513" s="76">
        <v>5.0935500000000015E-2</v>
      </c>
      <c r="U513" s="76">
        <v>5.0935500000000015E-2</v>
      </c>
      <c r="V513" s="76">
        <v>5.0935500000000015E-2</v>
      </c>
      <c r="W513" s="76">
        <v>5.0935500000000015E-2</v>
      </c>
      <c r="X513" s="76">
        <v>5.0935500000000015E-2</v>
      </c>
      <c r="Y513" s="76">
        <v>5.0935500000000015E-2</v>
      </c>
      <c r="Z513" s="76">
        <v>5.0935500000000015E-2</v>
      </c>
      <c r="AA513" s="76">
        <v>5.0935500000000015E-2</v>
      </c>
      <c r="AB513" s="76">
        <v>5.0935500000000015E-2</v>
      </c>
      <c r="AC513" s="76">
        <v>5.0935500000000015E-2</v>
      </c>
      <c r="AD513" s="76">
        <v>5.0935500000000015E-2</v>
      </c>
      <c r="AE513" s="76">
        <v>5.0935500000000015E-2</v>
      </c>
      <c r="AF513" s="76">
        <v>5.0935500000000015E-2</v>
      </c>
      <c r="AG513" s="76">
        <v>5.0935500000000015E-2</v>
      </c>
      <c r="AH513" s="76">
        <v>5.0935500000000015E-2</v>
      </c>
      <c r="AI513" s="76">
        <v>5.0935500000000015E-2</v>
      </c>
      <c r="AJ513" s="76">
        <v>5.0935500000000015E-2</v>
      </c>
      <c r="AK513" s="76">
        <v>5.0935500000000015E-2</v>
      </c>
      <c r="AL513" s="76">
        <v>5.0935500000000015E-2</v>
      </c>
      <c r="AM513" s="76">
        <v>5.0935500000000015E-2</v>
      </c>
      <c r="AN513" s="76">
        <v>5.0935500000000015E-2</v>
      </c>
      <c r="AO513" s="76">
        <v>5.0935500000000015E-2</v>
      </c>
      <c r="AP513" s="76">
        <v>5.0935500000000015E-2</v>
      </c>
      <c r="AQ513" s="76">
        <v>5.0935500000000015E-2</v>
      </c>
      <c r="AR513" s="76">
        <v>5.0935500000000015E-2</v>
      </c>
      <c r="AS513" s="76">
        <v>5.0935500000000015E-2</v>
      </c>
      <c r="AT513" s="76">
        <v>5.0935500000000015E-2</v>
      </c>
      <c r="AU513" s="76">
        <v>5.0935500000000015E-2</v>
      </c>
      <c r="AV513" s="76">
        <v>5.0935500000000015E-2</v>
      </c>
      <c r="AW513" s="76">
        <v>5.0935500000000015E-2</v>
      </c>
      <c r="AX513" s="84">
        <v>5.0935500000000015E-2</v>
      </c>
    </row>
    <row r="514" spans="1:50" x14ac:dyDescent="0.25">
      <c r="A514" s="356"/>
      <c r="B514" s="359"/>
      <c r="C514" s="360"/>
      <c r="D514" s="59" t="s">
        <v>20</v>
      </c>
      <c r="E514" s="166" t="str">
        <f>A489&amp;"/"&amp;B507&amp;"/"&amp;C511&amp;"/"&amp;D514</f>
        <v>Gas fired power plants (Natural gas, biogas)/Steam turbine/CHP/XS</v>
      </c>
      <c r="F514" s="79" t="str">
        <f>A489</f>
        <v>Gas fired power plants (Natural gas, biogas)</v>
      </c>
      <c r="G514" s="79" t="str">
        <f>B507</f>
        <v>Steam turbine</v>
      </c>
      <c r="H514" s="79" t="str">
        <f>C511</f>
        <v>CHP</v>
      </c>
      <c r="I514" s="167" t="str">
        <f t="shared" si="84"/>
        <v>XS</v>
      </c>
      <c r="J514" s="79">
        <v>5.3482275000000024E-2</v>
      </c>
      <c r="K514" s="79">
        <v>5.3482275000000024E-2</v>
      </c>
      <c r="L514" s="79">
        <v>5.3482275000000024E-2</v>
      </c>
      <c r="M514" s="79">
        <v>5.3482275000000024E-2</v>
      </c>
      <c r="N514" s="79">
        <v>5.3482275000000024E-2</v>
      </c>
      <c r="O514" s="79">
        <v>5.3482275000000024E-2</v>
      </c>
      <c r="P514" s="79">
        <v>5.3482275000000024E-2</v>
      </c>
      <c r="Q514" s="79">
        <v>5.3482275000000024E-2</v>
      </c>
      <c r="R514" s="79">
        <v>5.3482275000000024E-2</v>
      </c>
      <c r="S514" s="79">
        <v>5.3482275000000024E-2</v>
      </c>
      <c r="T514" s="79">
        <v>5.3482275000000024E-2</v>
      </c>
      <c r="U514" s="79">
        <v>5.3482275000000024E-2</v>
      </c>
      <c r="V514" s="79">
        <v>5.3482275000000024E-2</v>
      </c>
      <c r="W514" s="79">
        <v>5.3482275000000024E-2</v>
      </c>
      <c r="X514" s="79">
        <v>5.3482275000000024E-2</v>
      </c>
      <c r="Y514" s="79">
        <v>5.3482275000000024E-2</v>
      </c>
      <c r="Z514" s="79">
        <v>5.3482275000000024E-2</v>
      </c>
      <c r="AA514" s="79">
        <v>5.3482275000000024E-2</v>
      </c>
      <c r="AB514" s="79">
        <v>5.3482275000000024E-2</v>
      </c>
      <c r="AC514" s="79">
        <v>5.3482275000000024E-2</v>
      </c>
      <c r="AD514" s="79">
        <v>5.3482275000000024E-2</v>
      </c>
      <c r="AE514" s="79">
        <v>5.3482275000000024E-2</v>
      </c>
      <c r="AF514" s="79">
        <v>5.3482275000000024E-2</v>
      </c>
      <c r="AG514" s="79">
        <v>5.3482275000000024E-2</v>
      </c>
      <c r="AH514" s="79">
        <v>5.3482275000000024E-2</v>
      </c>
      <c r="AI514" s="79">
        <v>5.3482275000000024E-2</v>
      </c>
      <c r="AJ514" s="79">
        <v>5.3482275000000024E-2</v>
      </c>
      <c r="AK514" s="79">
        <v>5.3482275000000024E-2</v>
      </c>
      <c r="AL514" s="79">
        <v>5.3482275000000024E-2</v>
      </c>
      <c r="AM514" s="79">
        <v>5.3482275000000024E-2</v>
      </c>
      <c r="AN514" s="79">
        <v>5.3482275000000024E-2</v>
      </c>
      <c r="AO514" s="79">
        <v>5.3482275000000024E-2</v>
      </c>
      <c r="AP514" s="79">
        <v>5.3482275000000024E-2</v>
      </c>
      <c r="AQ514" s="79">
        <v>5.3482275000000024E-2</v>
      </c>
      <c r="AR514" s="79">
        <v>5.3482275000000024E-2</v>
      </c>
      <c r="AS514" s="79">
        <v>5.3482275000000024E-2</v>
      </c>
      <c r="AT514" s="79">
        <v>5.3482275000000024E-2</v>
      </c>
      <c r="AU514" s="79">
        <v>5.3482275000000024E-2</v>
      </c>
      <c r="AV514" s="79">
        <v>5.3482275000000024E-2</v>
      </c>
      <c r="AW514" s="79">
        <v>5.3482275000000024E-2</v>
      </c>
      <c r="AX514" s="87">
        <v>5.3482275000000024E-2</v>
      </c>
    </row>
    <row r="515" spans="1:50" x14ac:dyDescent="0.25">
      <c r="A515" s="356"/>
      <c r="B515" s="359"/>
      <c r="C515" s="361" t="s">
        <v>15</v>
      </c>
      <c r="D515" s="58" t="s">
        <v>7</v>
      </c>
      <c r="E515" s="164" t="str">
        <f>A489&amp;"/"&amp;B507&amp;"/"&amp;C515&amp;"/"&amp;D515</f>
        <v>Gas fired power plants (Natural gas, biogas)/Steam turbine/Electricity only with CCS/L</v>
      </c>
      <c r="F515" s="78" t="str">
        <f>A489</f>
        <v>Gas fired power plants (Natural gas, biogas)</v>
      </c>
      <c r="G515" s="78" t="str">
        <f>B507</f>
        <v>Steam turbine</v>
      </c>
      <c r="H515" s="78" t="str">
        <f>C515</f>
        <v>Electricity only with CCS</v>
      </c>
      <c r="I515" s="165" t="str">
        <f t="shared" si="84"/>
        <v>L</v>
      </c>
      <c r="J515" s="78" t="s">
        <v>112</v>
      </c>
      <c r="K515" s="78" t="s">
        <v>112</v>
      </c>
      <c r="L515" s="78" t="s">
        <v>112</v>
      </c>
      <c r="M515" s="78" t="s">
        <v>112</v>
      </c>
      <c r="N515" s="78" t="s">
        <v>112</v>
      </c>
      <c r="O515" s="78" t="s">
        <v>112</v>
      </c>
      <c r="P515" s="78" t="s">
        <v>112</v>
      </c>
      <c r="Q515" s="78" t="s">
        <v>112</v>
      </c>
      <c r="R515" s="78" t="s">
        <v>112</v>
      </c>
      <c r="S515" s="78" t="s">
        <v>112</v>
      </c>
      <c r="T515" s="78" t="s">
        <v>112</v>
      </c>
      <c r="U515" s="78" t="s">
        <v>112</v>
      </c>
      <c r="V515" s="78" t="s">
        <v>112</v>
      </c>
      <c r="W515" s="78" t="s">
        <v>112</v>
      </c>
      <c r="X515" s="78" t="s">
        <v>112</v>
      </c>
      <c r="Y515" s="78" t="s">
        <v>112</v>
      </c>
      <c r="Z515" s="78" t="s">
        <v>112</v>
      </c>
      <c r="AA515" s="78" t="s">
        <v>112</v>
      </c>
      <c r="AB515" s="78" t="s">
        <v>112</v>
      </c>
      <c r="AC515" s="78" t="s">
        <v>112</v>
      </c>
      <c r="AD515" s="78" t="s">
        <v>112</v>
      </c>
      <c r="AE515" s="78">
        <v>0.21000000000000002</v>
      </c>
      <c r="AF515" s="78">
        <v>0.21000000000000002</v>
      </c>
      <c r="AG515" s="78">
        <v>0.21000000000000002</v>
      </c>
      <c r="AH515" s="78">
        <v>0.21000000000000002</v>
      </c>
      <c r="AI515" s="78">
        <v>0.21000000000000002</v>
      </c>
      <c r="AJ515" s="78">
        <v>0.21000000000000002</v>
      </c>
      <c r="AK515" s="78">
        <v>0.21000000000000002</v>
      </c>
      <c r="AL515" s="78">
        <v>0.21000000000000002</v>
      </c>
      <c r="AM515" s="78">
        <v>0.21000000000000002</v>
      </c>
      <c r="AN515" s="78">
        <v>0.21000000000000002</v>
      </c>
      <c r="AO515" s="78">
        <v>0.21000000000000002</v>
      </c>
      <c r="AP515" s="78">
        <v>0.21000000000000002</v>
      </c>
      <c r="AQ515" s="78">
        <v>0.21000000000000002</v>
      </c>
      <c r="AR515" s="78">
        <v>0.21000000000000002</v>
      </c>
      <c r="AS515" s="78">
        <v>0.21000000000000002</v>
      </c>
      <c r="AT515" s="78">
        <v>0.21000000000000002</v>
      </c>
      <c r="AU515" s="78">
        <v>0.21000000000000002</v>
      </c>
      <c r="AV515" s="78">
        <v>0.21000000000000002</v>
      </c>
      <c r="AW515" s="78">
        <v>0.21000000000000002</v>
      </c>
      <c r="AX515" s="86">
        <v>0.21000000000000002</v>
      </c>
    </row>
    <row r="516" spans="1:50" x14ac:dyDescent="0.25">
      <c r="A516" s="356"/>
      <c r="B516" s="359"/>
      <c r="C516" s="360"/>
      <c r="D516" s="59" t="s">
        <v>8</v>
      </c>
      <c r="E516" s="166" t="str">
        <f>A489&amp;"/"&amp;B507&amp;"/"&amp;C515&amp;"/"&amp;D516</f>
        <v>Gas fired power plants (Natural gas, biogas)/Steam turbine/Electricity only with CCS/M</v>
      </c>
      <c r="F516" s="79" t="str">
        <f>A489</f>
        <v>Gas fired power plants (Natural gas, biogas)</v>
      </c>
      <c r="G516" s="79" t="str">
        <f>B507</f>
        <v>Steam turbine</v>
      </c>
      <c r="H516" s="79" t="str">
        <f>C515</f>
        <v>Electricity only with CCS</v>
      </c>
      <c r="I516" s="167" t="str">
        <f t="shared" si="84"/>
        <v>M</v>
      </c>
      <c r="J516" s="79" t="s">
        <v>112</v>
      </c>
      <c r="K516" s="79" t="s">
        <v>112</v>
      </c>
      <c r="L516" s="79" t="s">
        <v>112</v>
      </c>
      <c r="M516" s="79" t="s">
        <v>112</v>
      </c>
      <c r="N516" s="79" t="s">
        <v>112</v>
      </c>
      <c r="O516" s="79" t="s">
        <v>112</v>
      </c>
      <c r="P516" s="79" t="s">
        <v>112</v>
      </c>
      <c r="Q516" s="79" t="s">
        <v>112</v>
      </c>
      <c r="R516" s="79" t="s">
        <v>112</v>
      </c>
      <c r="S516" s="79" t="s">
        <v>112</v>
      </c>
      <c r="T516" s="79" t="s">
        <v>112</v>
      </c>
      <c r="U516" s="79" t="s">
        <v>112</v>
      </c>
      <c r="V516" s="79" t="s">
        <v>112</v>
      </c>
      <c r="W516" s="79" t="s">
        <v>112</v>
      </c>
      <c r="X516" s="79" t="s">
        <v>112</v>
      </c>
      <c r="Y516" s="79" t="s">
        <v>112</v>
      </c>
      <c r="Z516" s="79" t="s">
        <v>112</v>
      </c>
      <c r="AA516" s="79" t="s">
        <v>112</v>
      </c>
      <c r="AB516" s="79" t="s">
        <v>112</v>
      </c>
      <c r="AC516" s="79" t="s">
        <v>112</v>
      </c>
      <c r="AD516" s="79" t="s">
        <v>112</v>
      </c>
      <c r="AE516" s="79">
        <v>0.22050000000000003</v>
      </c>
      <c r="AF516" s="79">
        <v>0.22050000000000003</v>
      </c>
      <c r="AG516" s="79">
        <v>0.22050000000000003</v>
      </c>
      <c r="AH516" s="79">
        <v>0.22050000000000003</v>
      </c>
      <c r="AI516" s="79">
        <v>0.22050000000000003</v>
      </c>
      <c r="AJ516" s="79">
        <v>0.22050000000000003</v>
      </c>
      <c r="AK516" s="79">
        <v>0.22050000000000003</v>
      </c>
      <c r="AL516" s="79">
        <v>0.22050000000000003</v>
      </c>
      <c r="AM516" s="79">
        <v>0.22050000000000003</v>
      </c>
      <c r="AN516" s="79">
        <v>0.22050000000000003</v>
      </c>
      <c r="AO516" s="79">
        <v>0.22050000000000003</v>
      </c>
      <c r="AP516" s="79">
        <v>0.22050000000000003</v>
      </c>
      <c r="AQ516" s="79">
        <v>0.22050000000000003</v>
      </c>
      <c r="AR516" s="79">
        <v>0.22050000000000003</v>
      </c>
      <c r="AS516" s="79">
        <v>0.22050000000000003</v>
      </c>
      <c r="AT516" s="79">
        <v>0.22050000000000003</v>
      </c>
      <c r="AU516" s="79">
        <v>0.22050000000000003</v>
      </c>
      <c r="AV516" s="79">
        <v>0.22050000000000003</v>
      </c>
      <c r="AW516" s="79">
        <v>0.22050000000000003</v>
      </c>
      <c r="AX516" s="87">
        <v>0.22050000000000003</v>
      </c>
    </row>
    <row r="517" spans="1:50" x14ac:dyDescent="0.25">
      <c r="A517" s="356"/>
      <c r="B517" s="359"/>
      <c r="C517" s="361" t="s">
        <v>16</v>
      </c>
      <c r="D517" s="2" t="s">
        <v>7</v>
      </c>
      <c r="E517" s="160" t="str">
        <f>A489&amp;"/"&amp;B507&amp;"/"&amp;C517&amp;"/"&amp;D517</f>
        <v>Gas fired power plants (Natural gas, biogas)/Steam turbine/CHP with CCS/L</v>
      </c>
      <c r="F517" s="76" t="str">
        <f>A489</f>
        <v>Gas fired power plants (Natural gas, biogas)</v>
      </c>
      <c r="G517" s="76" t="str">
        <f>B507</f>
        <v>Steam turbine</v>
      </c>
      <c r="H517" s="76" t="str">
        <f>C517</f>
        <v>CHP with CCS</v>
      </c>
      <c r="I517" s="161" t="str">
        <f t="shared" si="84"/>
        <v>L</v>
      </c>
      <c r="J517" s="76" t="s">
        <v>112</v>
      </c>
      <c r="K517" s="76" t="s">
        <v>112</v>
      </c>
      <c r="L517" s="76" t="s">
        <v>112</v>
      </c>
      <c r="M517" s="76" t="s">
        <v>112</v>
      </c>
      <c r="N517" s="76" t="s">
        <v>112</v>
      </c>
      <c r="O517" s="76" t="s">
        <v>112</v>
      </c>
      <c r="P517" s="76" t="s">
        <v>112</v>
      </c>
      <c r="Q517" s="76" t="s">
        <v>112</v>
      </c>
      <c r="R517" s="76" t="s">
        <v>112</v>
      </c>
      <c r="S517" s="76" t="s">
        <v>112</v>
      </c>
      <c r="T517" s="76" t="s">
        <v>112</v>
      </c>
      <c r="U517" s="76" t="s">
        <v>112</v>
      </c>
      <c r="V517" s="76" t="s">
        <v>112</v>
      </c>
      <c r="W517" s="76" t="s">
        <v>112</v>
      </c>
      <c r="X517" s="76" t="s">
        <v>112</v>
      </c>
      <c r="Y517" s="76" t="s">
        <v>112</v>
      </c>
      <c r="Z517" s="76" t="s">
        <v>112</v>
      </c>
      <c r="AA517" s="76" t="s">
        <v>112</v>
      </c>
      <c r="AB517" s="76" t="s">
        <v>112</v>
      </c>
      <c r="AC517" s="76" t="s">
        <v>112</v>
      </c>
      <c r="AD517" s="76" t="s">
        <v>112</v>
      </c>
      <c r="AE517" s="76">
        <v>0.23100000000000004</v>
      </c>
      <c r="AF517" s="76">
        <v>0.23100000000000004</v>
      </c>
      <c r="AG517" s="76">
        <v>0.23100000000000004</v>
      </c>
      <c r="AH517" s="76">
        <v>0.23100000000000004</v>
      </c>
      <c r="AI517" s="76">
        <v>0.23100000000000004</v>
      </c>
      <c r="AJ517" s="76">
        <v>0.23100000000000004</v>
      </c>
      <c r="AK517" s="76">
        <v>0.23100000000000004</v>
      </c>
      <c r="AL517" s="76">
        <v>0.23100000000000004</v>
      </c>
      <c r="AM517" s="76">
        <v>0.23100000000000004</v>
      </c>
      <c r="AN517" s="76">
        <v>0.23100000000000004</v>
      </c>
      <c r="AO517" s="76">
        <v>0.23100000000000004</v>
      </c>
      <c r="AP517" s="76">
        <v>0.23100000000000004</v>
      </c>
      <c r="AQ517" s="76">
        <v>0.23100000000000004</v>
      </c>
      <c r="AR517" s="76">
        <v>0.23100000000000004</v>
      </c>
      <c r="AS517" s="76">
        <v>0.23100000000000004</v>
      </c>
      <c r="AT517" s="76">
        <v>0.23100000000000004</v>
      </c>
      <c r="AU517" s="76">
        <v>0.23100000000000004</v>
      </c>
      <c r="AV517" s="76">
        <v>0.23100000000000004</v>
      </c>
      <c r="AW517" s="76">
        <v>0.23100000000000004</v>
      </c>
      <c r="AX517" s="84">
        <v>0.23100000000000004</v>
      </c>
    </row>
    <row r="518" spans="1:50" x14ac:dyDescent="0.25">
      <c r="A518" s="356"/>
      <c r="B518" s="362"/>
      <c r="C518" s="354"/>
      <c r="D518" s="4" t="s">
        <v>8</v>
      </c>
      <c r="E518" s="168" t="str">
        <f>A489&amp;"/"&amp;B507&amp;"/"&amp;C517&amp;"/"&amp;D518</f>
        <v>Gas fired power plants (Natural gas, biogas)/Steam turbine/CHP with CCS/M</v>
      </c>
      <c r="F518" s="80" t="str">
        <f>A489</f>
        <v>Gas fired power plants (Natural gas, biogas)</v>
      </c>
      <c r="G518" s="80" t="str">
        <f>B507</f>
        <v>Steam turbine</v>
      </c>
      <c r="H518" s="80" t="str">
        <f>C517</f>
        <v>CHP with CCS</v>
      </c>
      <c r="I518" s="169" t="str">
        <f t="shared" si="84"/>
        <v>M</v>
      </c>
      <c r="J518" s="80" t="s">
        <v>112</v>
      </c>
      <c r="K518" s="80" t="s">
        <v>112</v>
      </c>
      <c r="L518" s="80" t="s">
        <v>112</v>
      </c>
      <c r="M518" s="80" t="s">
        <v>112</v>
      </c>
      <c r="N518" s="80" t="s">
        <v>112</v>
      </c>
      <c r="O518" s="80" t="s">
        <v>112</v>
      </c>
      <c r="P518" s="80" t="s">
        <v>112</v>
      </c>
      <c r="Q518" s="80" t="s">
        <v>112</v>
      </c>
      <c r="R518" s="80" t="s">
        <v>112</v>
      </c>
      <c r="S518" s="80" t="s">
        <v>112</v>
      </c>
      <c r="T518" s="80" t="s">
        <v>112</v>
      </c>
      <c r="U518" s="80" t="s">
        <v>112</v>
      </c>
      <c r="V518" s="80" t="s">
        <v>112</v>
      </c>
      <c r="W518" s="80" t="s">
        <v>112</v>
      </c>
      <c r="X518" s="80" t="s">
        <v>112</v>
      </c>
      <c r="Y518" s="80" t="s">
        <v>112</v>
      </c>
      <c r="Z518" s="80" t="s">
        <v>112</v>
      </c>
      <c r="AA518" s="80" t="s">
        <v>112</v>
      </c>
      <c r="AB518" s="80" t="s">
        <v>112</v>
      </c>
      <c r="AC518" s="80" t="s">
        <v>112</v>
      </c>
      <c r="AD518" s="80" t="s">
        <v>112</v>
      </c>
      <c r="AE518" s="80">
        <v>0.24255000000000004</v>
      </c>
      <c r="AF518" s="80">
        <v>0.24255000000000004</v>
      </c>
      <c r="AG518" s="80">
        <v>0.24255000000000004</v>
      </c>
      <c r="AH518" s="80">
        <v>0.24255000000000004</v>
      </c>
      <c r="AI518" s="80">
        <v>0.24255000000000004</v>
      </c>
      <c r="AJ518" s="80">
        <v>0.24255000000000004</v>
      </c>
      <c r="AK518" s="80">
        <v>0.24255000000000004</v>
      </c>
      <c r="AL518" s="80">
        <v>0.24255000000000004</v>
      </c>
      <c r="AM518" s="80">
        <v>0.24255000000000004</v>
      </c>
      <c r="AN518" s="80">
        <v>0.24255000000000004</v>
      </c>
      <c r="AO518" s="80">
        <v>0.24255000000000004</v>
      </c>
      <c r="AP518" s="80">
        <v>0.24255000000000004</v>
      </c>
      <c r="AQ518" s="80">
        <v>0.24255000000000004</v>
      </c>
      <c r="AR518" s="80">
        <v>0.24255000000000004</v>
      </c>
      <c r="AS518" s="80">
        <v>0.24255000000000004</v>
      </c>
      <c r="AT518" s="80">
        <v>0.24255000000000004</v>
      </c>
      <c r="AU518" s="80">
        <v>0.24255000000000004</v>
      </c>
      <c r="AV518" s="80">
        <v>0.24255000000000004</v>
      </c>
      <c r="AW518" s="80">
        <v>0.24255000000000004</v>
      </c>
      <c r="AX518" s="88">
        <v>0.24255000000000004</v>
      </c>
    </row>
    <row r="519" spans="1:50" x14ac:dyDescent="0.25">
      <c r="A519" s="356"/>
      <c r="B519" s="358" t="s">
        <v>25</v>
      </c>
      <c r="C519" s="353" t="s">
        <v>6</v>
      </c>
      <c r="D519" s="3" t="s">
        <v>10</v>
      </c>
      <c r="E519" s="162" t="str">
        <f>A489&amp;"/"&amp;B519&amp;"/"&amp;C519&amp;"/"&amp;D519</f>
        <v>Gas fired power plants (Natural gas, biogas)/Internal combustion engine/Electricity only/S</v>
      </c>
      <c r="F519" s="77" t="str">
        <f>A489</f>
        <v>Gas fired power plants (Natural gas, biogas)</v>
      </c>
      <c r="G519" s="77" t="str">
        <f>B519</f>
        <v>Internal combustion engine</v>
      </c>
      <c r="H519" s="77" t="str">
        <f>C519</f>
        <v>Electricity only</v>
      </c>
      <c r="I519" s="163" t="str">
        <f t="shared" si="84"/>
        <v>S</v>
      </c>
      <c r="J519" s="77">
        <v>2.4E-2</v>
      </c>
      <c r="K519" s="77">
        <v>2.4E-2</v>
      </c>
      <c r="L519" s="77">
        <v>2.4E-2</v>
      </c>
      <c r="M519" s="77">
        <v>2.4E-2</v>
      </c>
      <c r="N519" s="77">
        <v>2.4E-2</v>
      </c>
      <c r="O519" s="77">
        <v>2.4E-2</v>
      </c>
      <c r="P519" s="77">
        <v>2.4E-2</v>
      </c>
      <c r="Q519" s="77">
        <v>2.4E-2</v>
      </c>
      <c r="R519" s="77">
        <v>2.4E-2</v>
      </c>
      <c r="S519" s="77">
        <v>2.4E-2</v>
      </c>
      <c r="T519" s="77">
        <v>2.4E-2</v>
      </c>
      <c r="U519" s="77">
        <v>2.4E-2</v>
      </c>
      <c r="V519" s="77">
        <v>2.4E-2</v>
      </c>
      <c r="W519" s="77">
        <v>2.4E-2</v>
      </c>
      <c r="X519" s="77">
        <v>2.4E-2</v>
      </c>
      <c r="Y519" s="77">
        <v>2.4E-2</v>
      </c>
      <c r="Z519" s="77">
        <v>2.4E-2</v>
      </c>
      <c r="AA519" s="77">
        <v>2.4E-2</v>
      </c>
      <c r="AB519" s="77">
        <v>2.4E-2</v>
      </c>
      <c r="AC519" s="77">
        <v>2.4E-2</v>
      </c>
      <c r="AD519" s="77">
        <v>2.4E-2</v>
      </c>
      <c r="AE519" s="77">
        <v>2.4E-2</v>
      </c>
      <c r="AF519" s="77">
        <v>2.4E-2</v>
      </c>
      <c r="AG519" s="77">
        <v>2.4E-2</v>
      </c>
      <c r="AH519" s="77">
        <v>2.4E-2</v>
      </c>
      <c r="AI519" s="77">
        <v>2.4E-2</v>
      </c>
      <c r="AJ519" s="77">
        <v>2.4E-2</v>
      </c>
      <c r="AK519" s="77">
        <v>2.4E-2</v>
      </c>
      <c r="AL519" s="77">
        <v>2.4E-2</v>
      </c>
      <c r="AM519" s="77">
        <v>2.4E-2</v>
      </c>
      <c r="AN519" s="77">
        <v>2.4E-2</v>
      </c>
      <c r="AO519" s="77">
        <v>2.4E-2</v>
      </c>
      <c r="AP519" s="77">
        <v>2.4E-2</v>
      </c>
      <c r="AQ519" s="77">
        <v>2.4E-2</v>
      </c>
      <c r="AR519" s="77">
        <v>2.4E-2</v>
      </c>
      <c r="AS519" s="77">
        <v>2.4E-2</v>
      </c>
      <c r="AT519" s="77">
        <v>2.4E-2</v>
      </c>
      <c r="AU519" s="77">
        <v>2.4E-2</v>
      </c>
      <c r="AV519" s="77">
        <v>2.4E-2</v>
      </c>
      <c r="AW519" s="77">
        <v>2.4E-2</v>
      </c>
      <c r="AX519" s="85">
        <v>2.4E-2</v>
      </c>
    </row>
    <row r="520" spans="1:50" x14ac:dyDescent="0.25">
      <c r="A520" s="356"/>
      <c r="B520" s="359"/>
      <c r="C520" s="360"/>
      <c r="D520" s="59" t="s">
        <v>20</v>
      </c>
      <c r="E520" s="160" t="str">
        <f>A489&amp;"/"&amp;B519&amp;"/"&amp;C519&amp;"/"&amp;D520</f>
        <v>Gas fired power plants (Natural gas, biogas)/Internal combustion engine/Electricity only/XS</v>
      </c>
      <c r="F520" s="76" t="str">
        <f>A489</f>
        <v>Gas fired power plants (Natural gas, biogas)</v>
      </c>
      <c r="G520" s="76" t="str">
        <f>B519</f>
        <v>Internal combustion engine</v>
      </c>
      <c r="H520" s="76" t="str">
        <f>C519</f>
        <v>Electricity only</v>
      </c>
      <c r="I520" s="161" t="str">
        <f t="shared" si="84"/>
        <v>XS</v>
      </c>
      <c r="J520" s="76">
        <v>2.52E-2</v>
      </c>
      <c r="K520" s="76">
        <v>2.52E-2</v>
      </c>
      <c r="L520" s="76">
        <v>2.52E-2</v>
      </c>
      <c r="M520" s="76">
        <v>2.52E-2</v>
      </c>
      <c r="N520" s="76">
        <v>2.52E-2</v>
      </c>
      <c r="O520" s="76">
        <v>2.52E-2</v>
      </c>
      <c r="P520" s="76">
        <v>2.52E-2</v>
      </c>
      <c r="Q520" s="76">
        <v>2.52E-2</v>
      </c>
      <c r="R520" s="76">
        <v>2.52E-2</v>
      </c>
      <c r="S520" s="76">
        <v>2.52E-2</v>
      </c>
      <c r="T520" s="76">
        <v>2.52E-2</v>
      </c>
      <c r="U520" s="76">
        <v>2.52E-2</v>
      </c>
      <c r="V520" s="76">
        <v>2.52E-2</v>
      </c>
      <c r="W520" s="76">
        <v>2.52E-2</v>
      </c>
      <c r="X520" s="76">
        <v>2.52E-2</v>
      </c>
      <c r="Y520" s="76">
        <v>2.52E-2</v>
      </c>
      <c r="Z520" s="76">
        <v>2.52E-2</v>
      </c>
      <c r="AA520" s="76">
        <v>2.52E-2</v>
      </c>
      <c r="AB520" s="76">
        <v>2.52E-2</v>
      </c>
      <c r="AC520" s="76">
        <v>2.52E-2</v>
      </c>
      <c r="AD520" s="76">
        <v>2.52E-2</v>
      </c>
      <c r="AE520" s="76">
        <v>2.52E-2</v>
      </c>
      <c r="AF520" s="76">
        <v>2.52E-2</v>
      </c>
      <c r="AG520" s="76">
        <v>2.52E-2</v>
      </c>
      <c r="AH520" s="76">
        <v>2.52E-2</v>
      </c>
      <c r="AI520" s="76">
        <v>2.52E-2</v>
      </c>
      <c r="AJ520" s="76">
        <v>2.52E-2</v>
      </c>
      <c r="AK520" s="76">
        <v>2.52E-2</v>
      </c>
      <c r="AL520" s="76">
        <v>2.52E-2</v>
      </c>
      <c r="AM520" s="76">
        <v>2.52E-2</v>
      </c>
      <c r="AN520" s="76">
        <v>2.52E-2</v>
      </c>
      <c r="AO520" s="76">
        <v>2.52E-2</v>
      </c>
      <c r="AP520" s="76">
        <v>2.52E-2</v>
      </c>
      <c r="AQ520" s="76">
        <v>2.52E-2</v>
      </c>
      <c r="AR520" s="76">
        <v>2.52E-2</v>
      </c>
      <c r="AS520" s="76">
        <v>2.52E-2</v>
      </c>
      <c r="AT520" s="76">
        <v>2.52E-2</v>
      </c>
      <c r="AU520" s="76">
        <v>2.52E-2</v>
      </c>
      <c r="AV520" s="76">
        <v>2.52E-2</v>
      </c>
      <c r="AW520" s="76">
        <v>2.52E-2</v>
      </c>
      <c r="AX520" s="84">
        <v>2.52E-2</v>
      </c>
    </row>
    <row r="521" spans="1:50" x14ac:dyDescent="0.25">
      <c r="A521" s="356"/>
      <c r="B521" s="359"/>
      <c r="C521" s="361" t="s">
        <v>14</v>
      </c>
      <c r="D521" s="2" t="s">
        <v>10</v>
      </c>
      <c r="E521" s="164" t="str">
        <f>A489&amp;"/"&amp;B519&amp;"/"&amp;C521&amp;"/"&amp;D521</f>
        <v>Gas fired power plants (Natural gas, biogas)/Internal combustion engine/CHP/S</v>
      </c>
      <c r="F521" s="78" t="str">
        <f>A489</f>
        <v>Gas fired power plants (Natural gas, biogas)</v>
      </c>
      <c r="G521" s="78" t="str">
        <f>B519</f>
        <v>Internal combustion engine</v>
      </c>
      <c r="H521" s="78" t="str">
        <f>C521</f>
        <v>CHP</v>
      </c>
      <c r="I521" s="165" t="str">
        <f t="shared" si="84"/>
        <v>S</v>
      </c>
      <c r="J521" s="78">
        <v>2.6400000000000003E-2</v>
      </c>
      <c r="K521" s="78">
        <v>2.6400000000000003E-2</v>
      </c>
      <c r="L521" s="78">
        <v>2.6400000000000003E-2</v>
      </c>
      <c r="M521" s="78">
        <v>2.6400000000000003E-2</v>
      </c>
      <c r="N521" s="78">
        <v>2.6400000000000003E-2</v>
      </c>
      <c r="O521" s="78">
        <v>2.6400000000000003E-2</v>
      </c>
      <c r="P521" s="78">
        <v>2.6400000000000003E-2</v>
      </c>
      <c r="Q521" s="78">
        <v>2.6400000000000003E-2</v>
      </c>
      <c r="R521" s="78">
        <v>2.6400000000000003E-2</v>
      </c>
      <c r="S521" s="78">
        <v>2.6400000000000003E-2</v>
      </c>
      <c r="T521" s="78">
        <v>2.6400000000000003E-2</v>
      </c>
      <c r="U521" s="78">
        <v>2.6400000000000003E-2</v>
      </c>
      <c r="V521" s="78">
        <v>2.6400000000000003E-2</v>
      </c>
      <c r="W521" s="78">
        <v>2.6400000000000003E-2</v>
      </c>
      <c r="X521" s="78">
        <v>2.6400000000000003E-2</v>
      </c>
      <c r="Y521" s="78">
        <v>2.6400000000000003E-2</v>
      </c>
      <c r="Z521" s="78">
        <v>2.6400000000000003E-2</v>
      </c>
      <c r="AA521" s="78">
        <v>2.6400000000000003E-2</v>
      </c>
      <c r="AB521" s="78">
        <v>2.6400000000000003E-2</v>
      </c>
      <c r="AC521" s="78">
        <v>2.6400000000000003E-2</v>
      </c>
      <c r="AD521" s="78">
        <v>2.6400000000000003E-2</v>
      </c>
      <c r="AE521" s="78">
        <v>2.6400000000000003E-2</v>
      </c>
      <c r="AF521" s="78">
        <v>2.6400000000000003E-2</v>
      </c>
      <c r="AG521" s="78">
        <v>2.6400000000000003E-2</v>
      </c>
      <c r="AH521" s="78">
        <v>2.6400000000000003E-2</v>
      </c>
      <c r="AI521" s="78">
        <v>2.6400000000000003E-2</v>
      </c>
      <c r="AJ521" s="78">
        <v>2.6400000000000003E-2</v>
      </c>
      <c r="AK521" s="78">
        <v>2.6400000000000003E-2</v>
      </c>
      <c r="AL521" s="78">
        <v>2.6400000000000003E-2</v>
      </c>
      <c r="AM521" s="78">
        <v>2.6400000000000003E-2</v>
      </c>
      <c r="AN521" s="78">
        <v>2.6400000000000003E-2</v>
      </c>
      <c r="AO521" s="78">
        <v>2.6400000000000003E-2</v>
      </c>
      <c r="AP521" s="78">
        <v>2.6400000000000003E-2</v>
      </c>
      <c r="AQ521" s="78">
        <v>2.6400000000000003E-2</v>
      </c>
      <c r="AR521" s="78">
        <v>2.6400000000000003E-2</v>
      </c>
      <c r="AS521" s="78">
        <v>2.6400000000000003E-2</v>
      </c>
      <c r="AT521" s="78">
        <v>2.6400000000000003E-2</v>
      </c>
      <c r="AU521" s="78">
        <v>2.6400000000000003E-2</v>
      </c>
      <c r="AV521" s="78">
        <v>2.6400000000000003E-2</v>
      </c>
      <c r="AW521" s="78">
        <v>2.6400000000000003E-2</v>
      </c>
      <c r="AX521" s="86">
        <v>2.6400000000000003E-2</v>
      </c>
    </row>
    <row r="522" spans="1:50" x14ac:dyDescent="0.25">
      <c r="A522" s="356"/>
      <c r="B522" s="362"/>
      <c r="C522" s="354"/>
      <c r="D522" s="4" t="s">
        <v>20</v>
      </c>
      <c r="E522" s="168" t="str">
        <f>A489&amp;"/"&amp;B519&amp;"/"&amp;C521&amp;"/"&amp;D522</f>
        <v>Gas fired power plants (Natural gas, biogas)/Internal combustion engine/CHP/XS</v>
      </c>
      <c r="F522" s="80" t="str">
        <f>A489</f>
        <v>Gas fired power plants (Natural gas, biogas)</v>
      </c>
      <c r="G522" s="80" t="str">
        <f>B519</f>
        <v>Internal combustion engine</v>
      </c>
      <c r="H522" s="80" t="str">
        <f>C521</f>
        <v>CHP</v>
      </c>
      <c r="I522" s="169" t="str">
        <f t="shared" si="84"/>
        <v>XS</v>
      </c>
      <c r="J522" s="80">
        <v>2.7720000000000002E-2</v>
      </c>
      <c r="K522" s="80">
        <v>2.7720000000000002E-2</v>
      </c>
      <c r="L522" s="80">
        <v>2.7720000000000002E-2</v>
      </c>
      <c r="M522" s="80">
        <v>2.7720000000000002E-2</v>
      </c>
      <c r="N522" s="80">
        <v>2.7720000000000002E-2</v>
      </c>
      <c r="O522" s="80">
        <v>2.7720000000000002E-2</v>
      </c>
      <c r="P522" s="80">
        <v>2.7720000000000002E-2</v>
      </c>
      <c r="Q522" s="80">
        <v>2.7720000000000002E-2</v>
      </c>
      <c r="R522" s="80">
        <v>2.7720000000000002E-2</v>
      </c>
      <c r="S522" s="80">
        <v>2.7720000000000002E-2</v>
      </c>
      <c r="T522" s="80">
        <v>2.7720000000000002E-2</v>
      </c>
      <c r="U522" s="80">
        <v>2.7720000000000002E-2</v>
      </c>
      <c r="V522" s="80">
        <v>2.7720000000000002E-2</v>
      </c>
      <c r="W522" s="80">
        <v>2.7720000000000002E-2</v>
      </c>
      <c r="X522" s="80">
        <v>2.7720000000000002E-2</v>
      </c>
      <c r="Y522" s="80">
        <v>2.7720000000000002E-2</v>
      </c>
      <c r="Z522" s="80">
        <v>2.7720000000000002E-2</v>
      </c>
      <c r="AA522" s="80">
        <v>2.7720000000000002E-2</v>
      </c>
      <c r="AB522" s="80">
        <v>2.7720000000000002E-2</v>
      </c>
      <c r="AC522" s="80">
        <v>2.7720000000000002E-2</v>
      </c>
      <c r="AD522" s="80">
        <v>2.7720000000000002E-2</v>
      </c>
      <c r="AE522" s="80">
        <v>2.7720000000000002E-2</v>
      </c>
      <c r="AF522" s="80">
        <v>2.7720000000000002E-2</v>
      </c>
      <c r="AG522" s="80">
        <v>2.7720000000000002E-2</v>
      </c>
      <c r="AH522" s="80">
        <v>2.7720000000000002E-2</v>
      </c>
      <c r="AI522" s="80">
        <v>2.7720000000000002E-2</v>
      </c>
      <c r="AJ522" s="80">
        <v>2.7720000000000002E-2</v>
      </c>
      <c r="AK522" s="80">
        <v>2.7720000000000002E-2</v>
      </c>
      <c r="AL522" s="80">
        <v>2.7720000000000002E-2</v>
      </c>
      <c r="AM522" s="80">
        <v>2.7720000000000002E-2</v>
      </c>
      <c r="AN522" s="80">
        <v>2.7720000000000002E-2</v>
      </c>
      <c r="AO522" s="80">
        <v>2.7720000000000002E-2</v>
      </c>
      <c r="AP522" s="80">
        <v>2.7720000000000002E-2</v>
      </c>
      <c r="AQ522" s="80">
        <v>2.7720000000000002E-2</v>
      </c>
      <c r="AR522" s="80">
        <v>2.7720000000000002E-2</v>
      </c>
      <c r="AS522" s="80">
        <v>2.7720000000000002E-2</v>
      </c>
      <c r="AT522" s="80">
        <v>2.7720000000000002E-2</v>
      </c>
      <c r="AU522" s="80">
        <v>2.7720000000000002E-2</v>
      </c>
      <c r="AV522" s="80">
        <v>2.7720000000000002E-2</v>
      </c>
      <c r="AW522" s="80">
        <v>2.7720000000000002E-2</v>
      </c>
      <c r="AX522" s="88">
        <v>2.7720000000000002E-2</v>
      </c>
    </row>
    <row r="523" spans="1:50" x14ac:dyDescent="0.25">
      <c r="A523" s="355" t="s">
        <v>26</v>
      </c>
      <c r="B523" s="358" t="s">
        <v>19</v>
      </c>
      <c r="C523" s="353" t="s">
        <v>6</v>
      </c>
      <c r="D523" s="3" t="s">
        <v>7</v>
      </c>
      <c r="E523" s="162" t="str">
        <f>A523&amp;"/"&amp;B523&amp;"/"&amp;C523&amp;"/"&amp;D523</f>
        <v>Derived gas fired power plants/Steam turbine/Electricity only/L</v>
      </c>
      <c r="F523" s="77" t="str">
        <f>A523</f>
        <v>Derived gas fired power plants</v>
      </c>
      <c r="G523" s="77" t="str">
        <f>B523</f>
        <v>Steam turbine</v>
      </c>
      <c r="H523" s="77" t="str">
        <f>C523</f>
        <v>Electricity only</v>
      </c>
      <c r="I523" s="163" t="str">
        <f t="shared" si="84"/>
        <v>L</v>
      </c>
      <c r="J523" s="77">
        <v>5.7000000000000002E-2</v>
      </c>
      <c r="K523" s="77">
        <v>5.7000000000000002E-2</v>
      </c>
      <c r="L523" s="77">
        <v>5.7000000000000002E-2</v>
      </c>
      <c r="M523" s="77">
        <v>5.7000000000000002E-2</v>
      </c>
      <c r="N523" s="77">
        <v>5.7000000000000002E-2</v>
      </c>
      <c r="O523" s="77">
        <v>5.7000000000000002E-2</v>
      </c>
      <c r="P523" s="77">
        <v>5.7000000000000002E-2</v>
      </c>
      <c r="Q523" s="77">
        <v>5.7000000000000002E-2</v>
      </c>
      <c r="R523" s="77">
        <v>5.7000000000000002E-2</v>
      </c>
      <c r="S523" s="77">
        <v>5.7000000000000002E-2</v>
      </c>
      <c r="T523" s="77">
        <v>5.7000000000000002E-2</v>
      </c>
      <c r="U523" s="77">
        <v>5.7000000000000002E-2</v>
      </c>
      <c r="V523" s="77">
        <v>5.7000000000000002E-2</v>
      </c>
      <c r="W523" s="77">
        <v>5.7000000000000002E-2</v>
      </c>
      <c r="X523" s="77">
        <v>5.7000000000000002E-2</v>
      </c>
      <c r="Y523" s="77">
        <v>5.7000000000000002E-2</v>
      </c>
      <c r="Z523" s="77">
        <v>5.7000000000000002E-2</v>
      </c>
      <c r="AA523" s="77">
        <v>5.7000000000000002E-2</v>
      </c>
      <c r="AB523" s="77">
        <v>5.7000000000000002E-2</v>
      </c>
      <c r="AC523" s="77">
        <v>5.7000000000000002E-2</v>
      </c>
      <c r="AD523" s="77">
        <v>5.7000000000000002E-2</v>
      </c>
      <c r="AE523" s="77">
        <v>5.7000000000000002E-2</v>
      </c>
      <c r="AF523" s="77">
        <v>5.7000000000000002E-2</v>
      </c>
      <c r="AG523" s="77">
        <v>5.7000000000000002E-2</v>
      </c>
      <c r="AH523" s="77">
        <v>5.7000000000000002E-2</v>
      </c>
      <c r="AI523" s="77">
        <v>5.7000000000000002E-2</v>
      </c>
      <c r="AJ523" s="77">
        <v>5.7000000000000002E-2</v>
      </c>
      <c r="AK523" s="77">
        <v>5.7000000000000002E-2</v>
      </c>
      <c r="AL523" s="77">
        <v>5.7000000000000002E-2</v>
      </c>
      <c r="AM523" s="77">
        <v>5.7000000000000002E-2</v>
      </c>
      <c r="AN523" s="77">
        <v>5.7000000000000002E-2</v>
      </c>
      <c r="AO523" s="77">
        <v>5.7000000000000002E-2</v>
      </c>
      <c r="AP523" s="77">
        <v>5.7000000000000002E-2</v>
      </c>
      <c r="AQ523" s="77">
        <v>5.7000000000000002E-2</v>
      </c>
      <c r="AR523" s="77">
        <v>5.7000000000000002E-2</v>
      </c>
      <c r="AS523" s="77">
        <v>5.7000000000000002E-2</v>
      </c>
      <c r="AT523" s="77">
        <v>5.7000000000000002E-2</v>
      </c>
      <c r="AU523" s="77">
        <v>5.7000000000000002E-2</v>
      </c>
      <c r="AV523" s="77">
        <v>5.7000000000000002E-2</v>
      </c>
      <c r="AW523" s="77">
        <v>5.7000000000000002E-2</v>
      </c>
      <c r="AX523" s="85">
        <v>5.7000000000000002E-2</v>
      </c>
    </row>
    <row r="524" spans="1:50" x14ac:dyDescent="0.25">
      <c r="A524" s="356"/>
      <c r="B524" s="359"/>
      <c r="C524" s="350"/>
      <c r="D524" s="2" t="s">
        <v>8</v>
      </c>
      <c r="E524" s="160" t="str">
        <f>A523&amp;"/"&amp;B523&amp;"/"&amp;C523&amp;"/"&amp;D524</f>
        <v>Derived gas fired power plants/Steam turbine/Electricity only/M</v>
      </c>
      <c r="F524" s="76" t="str">
        <f>A523</f>
        <v>Derived gas fired power plants</v>
      </c>
      <c r="G524" s="76" t="str">
        <f>B523</f>
        <v>Steam turbine</v>
      </c>
      <c r="H524" s="76" t="str">
        <f>C523</f>
        <v>Electricity only</v>
      </c>
      <c r="I524" s="161" t="str">
        <f t="shared" si="84"/>
        <v>M</v>
      </c>
      <c r="J524" s="76">
        <v>5.9850000000000007E-2</v>
      </c>
      <c r="K524" s="76">
        <v>5.9850000000000007E-2</v>
      </c>
      <c r="L524" s="76">
        <v>5.9850000000000007E-2</v>
      </c>
      <c r="M524" s="76">
        <v>5.9850000000000007E-2</v>
      </c>
      <c r="N524" s="76">
        <v>5.9850000000000007E-2</v>
      </c>
      <c r="O524" s="76">
        <v>5.9850000000000007E-2</v>
      </c>
      <c r="P524" s="76">
        <v>5.9850000000000007E-2</v>
      </c>
      <c r="Q524" s="76">
        <v>5.9850000000000007E-2</v>
      </c>
      <c r="R524" s="76">
        <v>5.9850000000000007E-2</v>
      </c>
      <c r="S524" s="76">
        <v>5.9850000000000007E-2</v>
      </c>
      <c r="T524" s="76">
        <v>5.9850000000000007E-2</v>
      </c>
      <c r="U524" s="76">
        <v>5.9850000000000007E-2</v>
      </c>
      <c r="V524" s="76">
        <v>5.9850000000000007E-2</v>
      </c>
      <c r="W524" s="76">
        <v>5.9850000000000007E-2</v>
      </c>
      <c r="X524" s="76">
        <v>5.9850000000000007E-2</v>
      </c>
      <c r="Y524" s="76">
        <v>5.9850000000000007E-2</v>
      </c>
      <c r="Z524" s="76">
        <v>5.9850000000000007E-2</v>
      </c>
      <c r="AA524" s="76">
        <v>5.9850000000000007E-2</v>
      </c>
      <c r="AB524" s="76">
        <v>5.9850000000000007E-2</v>
      </c>
      <c r="AC524" s="76">
        <v>5.9850000000000007E-2</v>
      </c>
      <c r="AD524" s="76">
        <v>5.9850000000000007E-2</v>
      </c>
      <c r="AE524" s="76">
        <v>5.9850000000000007E-2</v>
      </c>
      <c r="AF524" s="76">
        <v>5.9850000000000007E-2</v>
      </c>
      <c r="AG524" s="76">
        <v>5.9850000000000007E-2</v>
      </c>
      <c r="AH524" s="76">
        <v>5.9850000000000007E-2</v>
      </c>
      <c r="AI524" s="76">
        <v>5.9850000000000007E-2</v>
      </c>
      <c r="AJ524" s="76">
        <v>5.9850000000000007E-2</v>
      </c>
      <c r="AK524" s="76">
        <v>5.9850000000000007E-2</v>
      </c>
      <c r="AL524" s="76">
        <v>5.9850000000000007E-2</v>
      </c>
      <c r="AM524" s="76">
        <v>5.9850000000000007E-2</v>
      </c>
      <c r="AN524" s="76">
        <v>5.9850000000000007E-2</v>
      </c>
      <c r="AO524" s="76">
        <v>5.9850000000000007E-2</v>
      </c>
      <c r="AP524" s="76">
        <v>5.9850000000000007E-2</v>
      </c>
      <c r="AQ524" s="76">
        <v>5.9850000000000007E-2</v>
      </c>
      <c r="AR524" s="76">
        <v>5.9850000000000007E-2</v>
      </c>
      <c r="AS524" s="76">
        <v>5.9850000000000007E-2</v>
      </c>
      <c r="AT524" s="76">
        <v>5.9850000000000007E-2</v>
      </c>
      <c r="AU524" s="76">
        <v>5.9850000000000007E-2</v>
      </c>
      <c r="AV524" s="76">
        <v>5.9850000000000007E-2</v>
      </c>
      <c r="AW524" s="76">
        <v>5.9850000000000007E-2</v>
      </c>
      <c r="AX524" s="84">
        <v>5.9850000000000007E-2</v>
      </c>
    </row>
    <row r="525" spans="1:50" x14ac:dyDescent="0.25">
      <c r="A525" s="356"/>
      <c r="B525" s="359"/>
      <c r="C525" s="350"/>
      <c r="D525" s="2" t="s">
        <v>10</v>
      </c>
      <c r="E525" s="160" t="str">
        <f>A523&amp;"/"&amp;B523&amp;"/"&amp;C523&amp;"/"&amp;D525</f>
        <v>Derived gas fired power plants/Steam turbine/Electricity only/S</v>
      </c>
      <c r="F525" s="76" t="str">
        <f>A523</f>
        <v>Derived gas fired power plants</v>
      </c>
      <c r="G525" s="76" t="str">
        <f>B523</f>
        <v>Steam turbine</v>
      </c>
      <c r="H525" s="76" t="str">
        <f>C523</f>
        <v>Electricity only</v>
      </c>
      <c r="I525" s="161" t="str">
        <f t="shared" si="84"/>
        <v>S</v>
      </c>
      <c r="J525" s="76">
        <v>6.2842500000000009E-2</v>
      </c>
      <c r="K525" s="76">
        <v>6.2842500000000009E-2</v>
      </c>
      <c r="L525" s="76">
        <v>6.2842500000000009E-2</v>
      </c>
      <c r="M525" s="76">
        <v>6.2842500000000009E-2</v>
      </c>
      <c r="N525" s="76">
        <v>6.2842500000000009E-2</v>
      </c>
      <c r="O525" s="76">
        <v>6.2842500000000009E-2</v>
      </c>
      <c r="P525" s="76">
        <v>6.2842500000000009E-2</v>
      </c>
      <c r="Q525" s="76">
        <v>6.2842500000000009E-2</v>
      </c>
      <c r="R525" s="76">
        <v>6.2842500000000009E-2</v>
      </c>
      <c r="S525" s="76">
        <v>6.2842500000000009E-2</v>
      </c>
      <c r="T525" s="76">
        <v>6.2842500000000009E-2</v>
      </c>
      <c r="U525" s="76">
        <v>6.2842500000000009E-2</v>
      </c>
      <c r="V525" s="76">
        <v>6.2842500000000009E-2</v>
      </c>
      <c r="W525" s="76">
        <v>6.2842500000000009E-2</v>
      </c>
      <c r="X525" s="76">
        <v>6.2842500000000009E-2</v>
      </c>
      <c r="Y525" s="76">
        <v>6.2842500000000009E-2</v>
      </c>
      <c r="Z525" s="76">
        <v>6.2842500000000009E-2</v>
      </c>
      <c r="AA525" s="76">
        <v>6.2842500000000009E-2</v>
      </c>
      <c r="AB525" s="76">
        <v>6.2842500000000009E-2</v>
      </c>
      <c r="AC525" s="76">
        <v>6.2842500000000009E-2</v>
      </c>
      <c r="AD525" s="76">
        <v>6.2842500000000009E-2</v>
      </c>
      <c r="AE525" s="76">
        <v>6.2842500000000009E-2</v>
      </c>
      <c r="AF525" s="76">
        <v>6.2842500000000009E-2</v>
      </c>
      <c r="AG525" s="76">
        <v>6.2842500000000009E-2</v>
      </c>
      <c r="AH525" s="76">
        <v>6.2842500000000009E-2</v>
      </c>
      <c r="AI525" s="76">
        <v>6.2842500000000009E-2</v>
      </c>
      <c r="AJ525" s="76">
        <v>6.2842500000000009E-2</v>
      </c>
      <c r="AK525" s="76">
        <v>6.2842500000000009E-2</v>
      </c>
      <c r="AL525" s="76">
        <v>6.2842500000000009E-2</v>
      </c>
      <c r="AM525" s="76">
        <v>6.2842500000000009E-2</v>
      </c>
      <c r="AN525" s="76">
        <v>6.2842500000000009E-2</v>
      </c>
      <c r="AO525" s="76">
        <v>6.2842500000000009E-2</v>
      </c>
      <c r="AP525" s="76">
        <v>6.2842500000000009E-2</v>
      </c>
      <c r="AQ525" s="76">
        <v>6.2842500000000009E-2</v>
      </c>
      <c r="AR525" s="76">
        <v>6.2842500000000009E-2</v>
      </c>
      <c r="AS525" s="76">
        <v>6.2842500000000009E-2</v>
      </c>
      <c r="AT525" s="76">
        <v>6.2842500000000009E-2</v>
      </c>
      <c r="AU525" s="76">
        <v>6.2842500000000009E-2</v>
      </c>
      <c r="AV525" s="76">
        <v>6.2842500000000009E-2</v>
      </c>
      <c r="AW525" s="76">
        <v>6.2842500000000009E-2</v>
      </c>
      <c r="AX525" s="84">
        <v>6.2842500000000009E-2</v>
      </c>
    </row>
    <row r="526" spans="1:50" x14ac:dyDescent="0.25">
      <c r="A526" s="356"/>
      <c r="B526" s="359"/>
      <c r="C526" s="360"/>
      <c r="D526" s="2" t="s">
        <v>20</v>
      </c>
      <c r="E526" s="160" t="str">
        <f>A523&amp;"/"&amp;B523&amp;"/"&amp;C523&amp;"/"&amp;D526</f>
        <v>Derived gas fired power plants/Steam turbine/Electricity only/XS</v>
      </c>
      <c r="F526" s="76" t="str">
        <f>A523</f>
        <v>Derived gas fired power plants</v>
      </c>
      <c r="G526" s="76" t="str">
        <f>B523</f>
        <v>Steam turbine</v>
      </c>
      <c r="H526" s="76" t="str">
        <f>C523</f>
        <v>Electricity only</v>
      </c>
      <c r="I526" s="161" t="str">
        <f t="shared" si="84"/>
        <v>XS</v>
      </c>
      <c r="J526" s="76">
        <v>6.5984625000000019E-2</v>
      </c>
      <c r="K526" s="76">
        <v>6.5984625000000019E-2</v>
      </c>
      <c r="L526" s="76">
        <v>6.5984625000000019E-2</v>
      </c>
      <c r="M526" s="76">
        <v>6.5984625000000019E-2</v>
      </c>
      <c r="N526" s="76">
        <v>6.5984625000000019E-2</v>
      </c>
      <c r="O526" s="76">
        <v>6.5984625000000019E-2</v>
      </c>
      <c r="P526" s="76">
        <v>6.5984625000000019E-2</v>
      </c>
      <c r="Q526" s="76">
        <v>6.5984625000000019E-2</v>
      </c>
      <c r="R526" s="76">
        <v>6.5984625000000019E-2</v>
      </c>
      <c r="S526" s="76">
        <v>6.5984625000000019E-2</v>
      </c>
      <c r="T526" s="76">
        <v>6.5984625000000019E-2</v>
      </c>
      <c r="U526" s="76">
        <v>6.5984625000000019E-2</v>
      </c>
      <c r="V526" s="76">
        <v>6.5984625000000019E-2</v>
      </c>
      <c r="W526" s="76">
        <v>6.5984625000000019E-2</v>
      </c>
      <c r="X526" s="76">
        <v>6.5984625000000019E-2</v>
      </c>
      <c r="Y526" s="76">
        <v>6.5984625000000019E-2</v>
      </c>
      <c r="Z526" s="76">
        <v>6.5984625000000019E-2</v>
      </c>
      <c r="AA526" s="76">
        <v>6.5984625000000019E-2</v>
      </c>
      <c r="AB526" s="76">
        <v>6.5984625000000019E-2</v>
      </c>
      <c r="AC526" s="76">
        <v>6.5984625000000019E-2</v>
      </c>
      <c r="AD526" s="76">
        <v>6.5984625000000019E-2</v>
      </c>
      <c r="AE526" s="76">
        <v>6.5984625000000019E-2</v>
      </c>
      <c r="AF526" s="76">
        <v>6.5984625000000019E-2</v>
      </c>
      <c r="AG526" s="76">
        <v>6.5984625000000019E-2</v>
      </c>
      <c r="AH526" s="76">
        <v>6.5984625000000019E-2</v>
      </c>
      <c r="AI526" s="76">
        <v>6.5984625000000019E-2</v>
      </c>
      <c r="AJ526" s="76">
        <v>6.5984625000000019E-2</v>
      </c>
      <c r="AK526" s="76">
        <v>6.5984625000000019E-2</v>
      </c>
      <c r="AL526" s="76">
        <v>6.5984625000000019E-2</v>
      </c>
      <c r="AM526" s="76">
        <v>6.5984625000000019E-2</v>
      </c>
      <c r="AN526" s="76">
        <v>6.5984625000000019E-2</v>
      </c>
      <c r="AO526" s="76">
        <v>6.5984625000000019E-2</v>
      </c>
      <c r="AP526" s="76">
        <v>6.5984625000000019E-2</v>
      </c>
      <c r="AQ526" s="76">
        <v>6.5984625000000019E-2</v>
      </c>
      <c r="AR526" s="76">
        <v>6.5984625000000019E-2</v>
      </c>
      <c r="AS526" s="76">
        <v>6.5984625000000019E-2</v>
      </c>
      <c r="AT526" s="76">
        <v>6.5984625000000019E-2</v>
      </c>
      <c r="AU526" s="76">
        <v>6.5984625000000019E-2</v>
      </c>
      <c r="AV526" s="76">
        <v>6.5984625000000019E-2</v>
      </c>
      <c r="AW526" s="76">
        <v>6.5984625000000019E-2</v>
      </c>
      <c r="AX526" s="84">
        <v>6.5984625000000019E-2</v>
      </c>
    </row>
    <row r="527" spans="1:50" x14ac:dyDescent="0.25">
      <c r="A527" s="356"/>
      <c r="B527" s="359"/>
      <c r="C527" s="361" t="s">
        <v>14</v>
      </c>
      <c r="D527" s="58" t="s">
        <v>7</v>
      </c>
      <c r="E527" s="164" t="str">
        <f>A523&amp;"/"&amp;B523&amp;"/"&amp;C527&amp;"/"&amp;D527</f>
        <v>Derived gas fired power plants/Steam turbine/CHP/L</v>
      </c>
      <c r="F527" s="78" t="str">
        <f>A523</f>
        <v>Derived gas fired power plants</v>
      </c>
      <c r="G527" s="78" t="str">
        <f>B523</f>
        <v>Steam turbine</v>
      </c>
      <c r="H527" s="78" t="str">
        <f>C527</f>
        <v>CHP</v>
      </c>
      <c r="I527" s="165" t="str">
        <f t="shared" si="84"/>
        <v>L</v>
      </c>
      <c r="J527" s="78">
        <v>6.2700000000000006E-2</v>
      </c>
      <c r="K527" s="78">
        <v>6.2700000000000006E-2</v>
      </c>
      <c r="L527" s="78">
        <v>6.2700000000000006E-2</v>
      </c>
      <c r="M527" s="78">
        <v>6.2700000000000006E-2</v>
      </c>
      <c r="N527" s="78">
        <v>6.2700000000000006E-2</v>
      </c>
      <c r="O527" s="78">
        <v>6.2700000000000006E-2</v>
      </c>
      <c r="P527" s="78">
        <v>6.2700000000000006E-2</v>
      </c>
      <c r="Q527" s="78">
        <v>6.2700000000000006E-2</v>
      </c>
      <c r="R527" s="78">
        <v>6.2700000000000006E-2</v>
      </c>
      <c r="S527" s="78">
        <v>6.2700000000000006E-2</v>
      </c>
      <c r="T527" s="78">
        <v>6.2700000000000006E-2</v>
      </c>
      <c r="U527" s="78">
        <v>6.2700000000000006E-2</v>
      </c>
      <c r="V527" s="78">
        <v>6.2700000000000006E-2</v>
      </c>
      <c r="W527" s="78">
        <v>6.2700000000000006E-2</v>
      </c>
      <c r="X527" s="78">
        <v>6.2700000000000006E-2</v>
      </c>
      <c r="Y527" s="78">
        <v>6.2700000000000006E-2</v>
      </c>
      <c r="Z527" s="78">
        <v>6.2700000000000006E-2</v>
      </c>
      <c r="AA527" s="78">
        <v>6.2700000000000006E-2</v>
      </c>
      <c r="AB527" s="78">
        <v>6.2700000000000006E-2</v>
      </c>
      <c r="AC527" s="78">
        <v>6.2700000000000006E-2</v>
      </c>
      <c r="AD527" s="78">
        <v>6.2700000000000006E-2</v>
      </c>
      <c r="AE527" s="78">
        <v>6.2700000000000006E-2</v>
      </c>
      <c r="AF527" s="78">
        <v>6.2700000000000006E-2</v>
      </c>
      <c r="AG527" s="78">
        <v>6.2700000000000006E-2</v>
      </c>
      <c r="AH527" s="78">
        <v>6.2700000000000006E-2</v>
      </c>
      <c r="AI527" s="78">
        <v>6.2700000000000006E-2</v>
      </c>
      <c r="AJ527" s="78">
        <v>6.2700000000000006E-2</v>
      </c>
      <c r="AK527" s="78">
        <v>6.2700000000000006E-2</v>
      </c>
      <c r="AL527" s="78">
        <v>6.2700000000000006E-2</v>
      </c>
      <c r="AM527" s="78">
        <v>6.2700000000000006E-2</v>
      </c>
      <c r="AN527" s="78">
        <v>6.2700000000000006E-2</v>
      </c>
      <c r="AO527" s="78">
        <v>6.2700000000000006E-2</v>
      </c>
      <c r="AP527" s="78">
        <v>6.2700000000000006E-2</v>
      </c>
      <c r="AQ527" s="78">
        <v>6.2700000000000006E-2</v>
      </c>
      <c r="AR527" s="78">
        <v>6.2700000000000006E-2</v>
      </c>
      <c r="AS527" s="78">
        <v>6.2700000000000006E-2</v>
      </c>
      <c r="AT527" s="78">
        <v>6.2700000000000006E-2</v>
      </c>
      <c r="AU527" s="78">
        <v>6.2700000000000006E-2</v>
      </c>
      <c r="AV527" s="78">
        <v>6.2700000000000006E-2</v>
      </c>
      <c r="AW527" s="78">
        <v>6.2700000000000006E-2</v>
      </c>
      <c r="AX527" s="86">
        <v>6.2700000000000006E-2</v>
      </c>
    </row>
    <row r="528" spans="1:50" x14ac:dyDescent="0.25">
      <c r="A528" s="356"/>
      <c r="B528" s="359"/>
      <c r="C528" s="350"/>
      <c r="D528" s="2" t="s">
        <v>8</v>
      </c>
      <c r="E528" s="160" t="str">
        <f>A523&amp;"/"&amp;B523&amp;"/"&amp;C527&amp;"/"&amp;D528</f>
        <v>Derived gas fired power plants/Steam turbine/CHP/M</v>
      </c>
      <c r="F528" s="76" t="str">
        <f>A523</f>
        <v>Derived gas fired power plants</v>
      </c>
      <c r="G528" s="76" t="str">
        <f>B523</f>
        <v>Steam turbine</v>
      </c>
      <c r="H528" s="76" t="str">
        <f>C527</f>
        <v>CHP</v>
      </c>
      <c r="I528" s="161" t="str">
        <f t="shared" si="84"/>
        <v>M</v>
      </c>
      <c r="J528" s="76">
        <v>6.5835000000000019E-2</v>
      </c>
      <c r="K528" s="76">
        <v>6.5835000000000019E-2</v>
      </c>
      <c r="L528" s="76">
        <v>6.5835000000000019E-2</v>
      </c>
      <c r="M528" s="76">
        <v>6.5835000000000019E-2</v>
      </c>
      <c r="N528" s="76">
        <v>6.5835000000000019E-2</v>
      </c>
      <c r="O528" s="76">
        <v>6.5835000000000019E-2</v>
      </c>
      <c r="P528" s="76">
        <v>6.5835000000000019E-2</v>
      </c>
      <c r="Q528" s="76">
        <v>6.5835000000000019E-2</v>
      </c>
      <c r="R528" s="76">
        <v>6.5835000000000019E-2</v>
      </c>
      <c r="S528" s="76">
        <v>6.5835000000000019E-2</v>
      </c>
      <c r="T528" s="76">
        <v>6.5835000000000019E-2</v>
      </c>
      <c r="U528" s="76">
        <v>6.5835000000000019E-2</v>
      </c>
      <c r="V528" s="76">
        <v>6.5835000000000019E-2</v>
      </c>
      <c r="W528" s="76">
        <v>6.5835000000000019E-2</v>
      </c>
      <c r="X528" s="76">
        <v>6.5835000000000019E-2</v>
      </c>
      <c r="Y528" s="76">
        <v>6.5835000000000019E-2</v>
      </c>
      <c r="Z528" s="76">
        <v>6.5835000000000019E-2</v>
      </c>
      <c r="AA528" s="76">
        <v>6.5835000000000019E-2</v>
      </c>
      <c r="AB528" s="76">
        <v>6.5835000000000019E-2</v>
      </c>
      <c r="AC528" s="76">
        <v>6.5835000000000019E-2</v>
      </c>
      <c r="AD528" s="76">
        <v>6.5835000000000019E-2</v>
      </c>
      <c r="AE528" s="76">
        <v>6.5835000000000019E-2</v>
      </c>
      <c r="AF528" s="76">
        <v>6.5835000000000019E-2</v>
      </c>
      <c r="AG528" s="76">
        <v>6.5835000000000019E-2</v>
      </c>
      <c r="AH528" s="76">
        <v>6.5835000000000019E-2</v>
      </c>
      <c r="AI528" s="76">
        <v>6.5835000000000019E-2</v>
      </c>
      <c r="AJ528" s="76">
        <v>6.5835000000000019E-2</v>
      </c>
      <c r="AK528" s="76">
        <v>6.5835000000000019E-2</v>
      </c>
      <c r="AL528" s="76">
        <v>6.5835000000000019E-2</v>
      </c>
      <c r="AM528" s="76">
        <v>6.5835000000000019E-2</v>
      </c>
      <c r="AN528" s="76">
        <v>6.5835000000000019E-2</v>
      </c>
      <c r="AO528" s="76">
        <v>6.5835000000000019E-2</v>
      </c>
      <c r="AP528" s="76">
        <v>6.5835000000000019E-2</v>
      </c>
      <c r="AQ528" s="76">
        <v>6.5835000000000019E-2</v>
      </c>
      <c r="AR528" s="76">
        <v>6.5835000000000019E-2</v>
      </c>
      <c r="AS528" s="76">
        <v>6.5835000000000019E-2</v>
      </c>
      <c r="AT528" s="76">
        <v>6.5835000000000019E-2</v>
      </c>
      <c r="AU528" s="76">
        <v>6.5835000000000019E-2</v>
      </c>
      <c r="AV528" s="76">
        <v>6.5835000000000019E-2</v>
      </c>
      <c r="AW528" s="76">
        <v>6.5835000000000019E-2</v>
      </c>
      <c r="AX528" s="84">
        <v>6.5835000000000019E-2</v>
      </c>
    </row>
    <row r="529" spans="1:50" x14ac:dyDescent="0.25">
      <c r="A529" s="356"/>
      <c r="B529" s="359"/>
      <c r="C529" s="350"/>
      <c r="D529" s="2" t="s">
        <v>10</v>
      </c>
      <c r="E529" s="160" t="str">
        <f>A523&amp;"/"&amp;B523&amp;"/"&amp;C527&amp;"/"&amp;D529</f>
        <v>Derived gas fired power plants/Steam turbine/CHP/S</v>
      </c>
      <c r="F529" s="76" t="str">
        <f>A523</f>
        <v>Derived gas fired power plants</v>
      </c>
      <c r="G529" s="76" t="str">
        <f>B523</f>
        <v>Steam turbine</v>
      </c>
      <c r="H529" s="76" t="str">
        <f>C527</f>
        <v>CHP</v>
      </c>
      <c r="I529" s="161" t="str">
        <f t="shared" si="84"/>
        <v>S</v>
      </c>
      <c r="J529" s="76">
        <v>6.9126750000000015E-2</v>
      </c>
      <c r="K529" s="76">
        <v>6.9126750000000015E-2</v>
      </c>
      <c r="L529" s="76">
        <v>6.9126750000000015E-2</v>
      </c>
      <c r="M529" s="76">
        <v>6.9126750000000015E-2</v>
      </c>
      <c r="N529" s="76">
        <v>6.9126750000000015E-2</v>
      </c>
      <c r="O529" s="76">
        <v>6.9126750000000015E-2</v>
      </c>
      <c r="P529" s="76">
        <v>6.9126750000000015E-2</v>
      </c>
      <c r="Q529" s="76">
        <v>6.9126750000000015E-2</v>
      </c>
      <c r="R529" s="76">
        <v>6.9126750000000015E-2</v>
      </c>
      <c r="S529" s="76">
        <v>6.9126750000000015E-2</v>
      </c>
      <c r="T529" s="76">
        <v>6.9126750000000015E-2</v>
      </c>
      <c r="U529" s="76">
        <v>6.9126750000000015E-2</v>
      </c>
      <c r="V529" s="76">
        <v>6.9126750000000015E-2</v>
      </c>
      <c r="W529" s="76">
        <v>6.9126750000000015E-2</v>
      </c>
      <c r="X529" s="76">
        <v>6.9126750000000015E-2</v>
      </c>
      <c r="Y529" s="76">
        <v>6.9126750000000015E-2</v>
      </c>
      <c r="Z529" s="76">
        <v>6.9126750000000015E-2</v>
      </c>
      <c r="AA529" s="76">
        <v>6.9126750000000015E-2</v>
      </c>
      <c r="AB529" s="76">
        <v>6.9126750000000015E-2</v>
      </c>
      <c r="AC529" s="76">
        <v>6.9126750000000015E-2</v>
      </c>
      <c r="AD529" s="76">
        <v>6.9126750000000015E-2</v>
      </c>
      <c r="AE529" s="76">
        <v>6.9126750000000015E-2</v>
      </c>
      <c r="AF529" s="76">
        <v>6.9126750000000015E-2</v>
      </c>
      <c r="AG529" s="76">
        <v>6.9126750000000015E-2</v>
      </c>
      <c r="AH529" s="76">
        <v>6.9126750000000015E-2</v>
      </c>
      <c r="AI529" s="76">
        <v>6.9126750000000015E-2</v>
      </c>
      <c r="AJ529" s="76">
        <v>6.9126750000000015E-2</v>
      </c>
      <c r="AK529" s="76">
        <v>6.9126750000000015E-2</v>
      </c>
      <c r="AL529" s="76">
        <v>6.9126750000000015E-2</v>
      </c>
      <c r="AM529" s="76">
        <v>6.9126750000000015E-2</v>
      </c>
      <c r="AN529" s="76">
        <v>6.9126750000000015E-2</v>
      </c>
      <c r="AO529" s="76">
        <v>6.9126750000000015E-2</v>
      </c>
      <c r="AP529" s="76">
        <v>6.9126750000000015E-2</v>
      </c>
      <c r="AQ529" s="76">
        <v>6.9126750000000015E-2</v>
      </c>
      <c r="AR529" s="76">
        <v>6.9126750000000015E-2</v>
      </c>
      <c r="AS529" s="76">
        <v>6.9126750000000015E-2</v>
      </c>
      <c r="AT529" s="76">
        <v>6.9126750000000015E-2</v>
      </c>
      <c r="AU529" s="76">
        <v>6.9126750000000015E-2</v>
      </c>
      <c r="AV529" s="76">
        <v>6.9126750000000015E-2</v>
      </c>
      <c r="AW529" s="76">
        <v>6.9126750000000015E-2</v>
      </c>
      <c r="AX529" s="84">
        <v>6.9126750000000015E-2</v>
      </c>
    </row>
    <row r="530" spans="1:50" x14ac:dyDescent="0.25">
      <c r="A530" s="356"/>
      <c r="B530" s="359"/>
      <c r="C530" s="360"/>
      <c r="D530" s="59" t="s">
        <v>20</v>
      </c>
      <c r="E530" s="166" t="str">
        <f>A523&amp;"/"&amp;B523&amp;"/"&amp;C527&amp;"/"&amp;D530</f>
        <v>Derived gas fired power plants/Steam turbine/CHP/XS</v>
      </c>
      <c r="F530" s="79" t="str">
        <f>A523</f>
        <v>Derived gas fired power plants</v>
      </c>
      <c r="G530" s="79" t="str">
        <f>B523</f>
        <v>Steam turbine</v>
      </c>
      <c r="H530" s="79" t="str">
        <f>C527</f>
        <v>CHP</v>
      </c>
      <c r="I530" s="167" t="str">
        <f t="shared" si="84"/>
        <v>XS</v>
      </c>
      <c r="J530" s="79">
        <v>7.2583087500000032E-2</v>
      </c>
      <c r="K530" s="79">
        <v>7.2583087500000032E-2</v>
      </c>
      <c r="L530" s="79">
        <v>7.2583087500000032E-2</v>
      </c>
      <c r="M530" s="79">
        <v>7.2583087500000032E-2</v>
      </c>
      <c r="N530" s="79">
        <v>7.2583087500000032E-2</v>
      </c>
      <c r="O530" s="79">
        <v>7.2583087500000032E-2</v>
      </c>
      <c r="P530" s="79">
        <v>7.2583087500000032E-2</v>
      </c>
      <c r="Q530" s="79">
        <v>7.2583087500000032E-2</v>
      </c>
      <c r="R530" s="79">
        <v>7.2583087500000032E-2</v>
      </c>
      <c r="S530" s="79">
        <v>7.2583087500000032E-2</v>
      </c>
      <c r="T530" s="79">
        <v>7.2583087500000032E-2</v>
      </c>
      <c r="U530" s="79">
        <v>7.2583087500000032E-2</v>
      </c>
      <c r="V530" s="79">
        <v>7.2583087500000032E-2</v>
      </c>
      <c r="W530" s="79">
        <v>7.2583087500000032E-2</v>
      </c>
      <c r="X530" s="79">
        <v>7.2583087500000032E-2</v>
      </c>
      <c r="Y530" s="79">
        <v>7.2583087500000032E-2</v>
      </c>
      <c r="Z530" s="79">
        <v>7.2583087500000032E-2</v>
      </c>
      <c r="AA530" s="79">
        <v>7.2583087500000032E-2</v>
      </c>
      <c r="AB530" s="79">
        <v>7.2583087500000032E-2</v>
      </c>
      <c r="AC530" s="79">
        <v>7.2583087500000032E-2</v>
      </c>
      <c r="AD530" s="79">
        <v>7.2583087500000032E-2</v>
      </c>
      <c r="AE530" s="79">
        <v>7.2583087500000032E-2</v>
      </c>
      <c r="AF530" s="79">
        <v>7.2583087500000032E-2</v>
      </c>
      <c r="AG530" s="79">
        <v>7.2583087500000032E-2</v>
      </c>
      <c r="AH530" s="79">
        <v>7.2583087500000032E-2</v>
      </c>
      <c r="AI530" s="79">
        <v>7.2583087500000032E-2</v>
      </c>
      <c r="AJ530" s="79">
        <v>7.2583087500000032E-2</v>
      </c>
      <c r="AK530" s="79">
        <v>7.2583087500000032E-2</v>
      </c>
      <c r="AL530" s="79">
        <v>7.2583087500000032E-2</v>
      </c>
      <c r="AM530" s="79">
        <v>7.2583087500000032E-2</v>
      </c>
      <c r="AN530" s="79">
        <v>7.2583087500000032E-2</v>
      </c>
      <c r="AO530" s="79">
        <v>7.2583087500000032E-2</v>
      </c>
      <c r="AP530" s="79">
        <v>7.2583087500000032E-2</v>
      </c>
      <c r="AQ530" s="79">
        <v>7.2583087500000032E-2</v>
      </c>
      <c r="AR530" s="79">
        <v>7.2583087500000032E-2</v>
      </c>
      <c r="AS530" s="79">
        <v>7.2583087500000032E-2</v>
      </c>
      <c r="AT530" s="79">
        <v>7.2583087500000032E-2</v>
      </c>
      <c r="AU530" s="79">
        <v>7.2583087500000032E-2</v>
      </c>
      <c r="AV530" s="79">
        <v>7.2583087500000032E-2</v>
      </c>
      <c r="AW530" s="79">
        <v>7.2583087500000032E-2</v>
      </c>
      <c r="AX530" s="87">
        <v>7.2583087500000032E-2</v>
      </c>
    </row>
    <row r="531" spans="1:50" x14ac:dyDescent="0.25">
      <c r="A531" s="356"/>
      <c r="B531" s="359"/>
      <c r="C531" s="361" t="s">
        <v>15</v>
      </c>
      <c r="D531" s="58" t="s">
        <v>7</v>
      </c>
      <c r="E531" s="164" t="str">
        <f>A523&amp;"/"&amp;B523&amp;"/"&amp;C531&amp;"/"&amp;D531</f>
        <v>Derived gas fired power plants/Steam turbine/Electricity only with CCS/L</v>
      </c>
      <c r="F531" s="78" t="str">
        <f>A523</f>
        <v>Derived gas fired power plants</v>
      </c>
      <c r="G531" s="78" t="str">
        <f>B523</f>
        <v>Steam turbine</v>
      </c>
      <c r="H531" s="78" t="str">
        <f>C531</f>
        <v>Electricity only with CCS</v>
      </c>
      <c r="I531" s="165" t="str">
        <f t="shared" si="84"/>
        <v>L</v>
      </c>
      <c r="J531" s="78" t="s">
        <v>112</v>
      </c>
      <c r="K531" s="78" t="s">
        <v>112</v>
      </c>
      <c r="L531" s="78" t="s">
        <v>112</v>
      </c>
      <c r="M531" s="78" t="s">
        <v>112</v>
      </c>
      <c r="N531" s="78" t="s">
        <v>112</v>
      </c>
      <c r="O531" s="78" t="s">
        <v>112</v>
      </c>
      <c r="P531" s="78" t="s">
        <v>112</v>
      </c>
      <c r="Q531" s="78" t="s">
        <v>112</v>
      </c>
      <c r="R531" s="78" t="s">
        <v>112</v>
      </c>
      <c r="S531" s="78" t="s">
        <v>112</v>
      </c>
      <c r="T531" s="78" t="s">
        <v>112</v>
      </c>
      <c r="U531" s="78" t="s">
        <v>112</v>
      </c>
      <c r="V531" s="78" t="s">
        <v>112</v>
      </c>
      <c r="W531" s="78" t="s">
        <v>112</v>
      </c>
      <c r="X531" s="78" t="s">
        <v>112</v>
      </c>
      <c r="Y531" s="78" t="s">
        <v>112</v>
      </c>
      <c r="Z531" s="78" t="s">
        <v>112</v>
      </c>
      <c r="AA531" s="78" t="s">
        <v>112</v>
      </c>
      <c r="AB531" s="78" t="s">
        <v>112</v>
      </c>
      <c r="AC531" s="78" t="s">
        <v>112</v>
      </c>
      <c r="AD531" s="78" t="s">
        <v>112</v>
      </c>
      <c r="AE531" s="78">
        <v>0.28500000000000003</v>
      </c>
      <c r="AF531" s="78">
        <v>0.28500000000000003</v>
      </c>
      <c r="AG531" s="78">
        <v>0.28500000000000003</v>
      </c>
      <c r="AH531" s="78">
        <v>0.28500000000000003</v>
      </c>
      <c r="AI531" s="78">
        <v>0.28500000000000003</v>
      </c>
      <c r="AJ531" s="78">
        <v>0.28500000000000003</v>
      </c>
      <c r="AK531" s="78">
        <v>0.28500000000000003</v>
      </c>
      <c r="AL531" s="78">
        <v>0.28500000000000003</v>
      </c>
      <c r="AM531" s="78">
        <v>0.28500000000000003</v>
      </c>
      <c r="AN531" s="78">
        <v>0.28500000000000003</v>
      </c>
      <c r="AO531" s="78">
        <v>0.28500000000000003</v>
      </c>
      <c r="AP531" s="78">
        <v>0.28500000000000003</v>
      </c>
      <c r="AQ531" s="78">
        <v>0.28500000000000003</v>
      </c>
      <c r="AR531" s="78">
        <v>0.28500000000000003</v>
      </c>
      <c r="AS531" s="78">
        <v>0.28500000000000003</v>
      </c>
      <c r="AT531" s="78">
        <v>0.28500000000000003</v>
      </c>
      <c r="AU531" s="78">
        <v>0.28500000000000003</v>
      </c>
      <c r="AV531" s="78">
        <v>0.28500000000000003</v>
      </c>
      <c r="AW531" s="78">
        <v>0.28500000000000003</v>
      </c>
      <c r="AX531" s="86">
        <v>0.28500000000000003</v>
      </c>
    </row>
    <row r="532" spans="1:50" x14ac:dyDescent="0.25">
      <c r="A532" s="356"/>
      <c r="B532" s="359"/>
      <c r="C532" s="360"/>
      <c r="D532" s="59" t="s">
        <v>8</v>
      </c>
      <c r="E532" s="166" t="str">
        <f>A523&amp;"/"&amp;B523&amp;"/"&amp;C531&amp;"/"&amp;D532</f>
        <v>Derived gas fired power plants/Steam turbine/Electricity only with CCS/M</v>
      </c>
      <c r="F532" s="79" t="str">
        <f>A523</f>
        <v>Derived gas fired power plants</v>
      </c>
      <c r="G532" s="79" t="str">
        <f>B523</f>
        <v>Steam turbine</v>
      </c>
      <c r="H532" s="79" t="str">
        <f>C531</f>
        <v>Electricity only with CCS</v>
      </c>
      <c r="I532" s="167" t="str">
        <f t="shared" si="84"/>
        <v>M</v>
      </c>
      <c r="J532" s="79" t="s">
        <v>112</v>
      </c>
      <c r="K532" s="79" t="s">
        <v>112</v>
      </c>
      <c r="L532" s="79" t="s">
        <v>112</v>
      </c>
      <c r="M532" s="79" t="s">
        <v>112</v>
      </c>
      <c r="N532" s="79" t="s">
        <v>112</v>
      </c>
      <c r="O532" s="79" t="s">
        <v>112</v>
      </c>
      <c r="P532" s="79" t="s">
        <v>112</v>
      </c>
      <c r="Q532" s="79" t="s">
        <v>112</v>
      </c>
      <c r="R532" s="79" t="s">
        <v>112</v>
      </c>
      <c r="S532" s="79" t="s">
        <v>112</v>
      </c>
      <c r="T532" s="79" t="s">
        <v>112</v>
      </c>
      <c r="U532" s="79" t="s">
        <v>112</v>
      </c>
      <c r="V532" s="79" t="s">
        <v>112</v>
      </c>
      <c r="W532" s="79" t="s">
        <v>112</v>
      </c>
      <c r="X532" s="79" t="s">
        <v>112</v>
      </c>
      <c r="Y532" s="79" t="s">
        <v>112</v>
      </c>
      <c r="Z532" s="79" t="s">
        <v>112</v>
      </c>
      <c r="AA532" s="79" t="s">
        <v>112</v>
      </c>
      <c r="AB532" s="79" t="s">
        <v>112</v>
      </c>
      <c r="AC532" s="79" t="s">
        <v>112</v>
      </c>
      <c r="AD532" s="79" t="s">
        <v>112</v>
      </c>
      <c r="AE532" s="79">
        <v>0.29925000000000007</v>
      </c>
      <c r="AF532" s="79">
        <v>0.29925000000000007</v>
      </c>
      <c r="AG532" s="79">
        <v>0.29925000000000007</v>
      </c>
      <c r="AH532" s="79">
        <v>0.29925000000000007</v>
      </c>
      <c r="AI532" s="79">
        <v>0.29925000000000007</v>
      </c>
      <c r="AJ532" s="79">
        <v>0.29925000000000007</v>
      </c>
      <c r="AK532" s="79">
        <v>0.29925000000000007</v>
      </c>
      <c r="AL532" s="79">
        <v>0.29925000000000007</v>
      </c>
      <c r="AM532" s="79">
        <v>0.29925000000000007</v>
      </c>
      <c r="AN532" s="79">
        <v>0.29925000000000007</v>
      </c>
      <c r="AO532" s="79">
        <v>0.29925000000000007</v>
      </c>
      <c r="AP532" s="79">
        <v>0.29925000000000007</v>
      </c>
      <c r="AQ532" s="79">
        <v>0.29925000000000007</v>
      </c>
      <c r="AR532" s="79">
        <v>0.29925000000000007</v>
      </c>
      <c r="AS532" s="79">
        <v>0.29925000000000007</v>
      </c>
      <c r="AT532" s="79">
        <v>0.29925000000000007</v>
      </c>
      <c r="AU532" s="79">
        <v>0.29925000000000007</v>
      </c>
      <c r="AV532" s="79">
        <v>0.29925000000000007</v>
      </c>
      <c r="AW532" s="79">
        <v>0.29925000000000007</v>
      </c>
      <c r="AX532" s="87">
        <v>0.29925000000000007</v>
      </c>
    </row>
    <row r="533" spans="1:50" x14ac:dyDescent="0.25">
      <c r="A533" s="356"/>
      <c r="B533" s="359"/>
      <c r="C533" s="361" t="s">
        <v>16</v>
      </c>
      <c r="D533" s="2" t="s">
        <v>7</v>
      </c>
      <c r="E533" s="160" t="str">
        <f>A523&amp;"/"&amp;B523&amp;"/"&amp;C533&amp;"/"&amp;D533</f>
        <v>Derived gas fired power plants/Steam turbine/CHP with CCS/L</v>
      </c>
      <c r="F533" s="76" t="str">
        <f>A523</f>
        <v>Derived gas fired power plants</v>
      </c>
      <c r="G533" s="76" t="str">
        <f>B523</f>
        <v>Steam turbine</v>
      </c>
      <c r="H533" s="76" t="str">
        <f>C533</f>
        <v>CHP with CCS</v>
      </c>
      <c r="I533" s="161" t="str">
        <f t="shared" si="84"/>
        <v>L</v>
      </c>
      <c r="J533" s="76" t="s">
        <v>112</v>
      </c>
      <c r="K533" s="76" t="s">
        <v>112</v>
      </c>
      <c r="L533" s="76" t="s">
        <v>112</v>
      </c>
      <c r="M533" s="76" t="s">
        <v>112</v>
      </c>
      <c r="N533" s="76" t="s">
        <v>112</v>
      </c>
      <c r="O533" s="76" t="s">
        <v>112</v>
      </c>
      <c r="P533" s="76" t="s">
        <v>112</v>
      </c>
      <c r="Q533" s="76" t="s">
        <v>112</v>
      </c>
      <c r="R533" s="76" t="s">
        <v>112</v>
      </c>
      <c r="S533" s="76" t="s">
        <v>112</v>
      </c>
      <c r="T533" s="76" t="s">
        <v>112</v>
      </c>
      <c r="U533" s="76" t="s">
        <v>112</v>
      </c>
      <c r="V533" s="76" t="s">
        <v>112</v>
      </c>
      <c r="W533" s="76" t="s">
        <v>112</v>
      </c>
      <c r="X533" s="76" t="s">
        <v>112</v>
      </c>
      <c r="Y533" s="76" t="s">
        <v>112</v>
      </c>
      <c r="Z533" s="76" t="s">
        <v>112</v>
      </c>
      <c r="AA533" s="76" t="s">
        <v>112</v>
      </c>
      <c r="AB533" s="76" t="s">
        <v>112</v>
      </c>
      <c r="AC533" s="76" t="s">
        <v>112</v>
      </c>
      <c r="AD533" s="76" t="s">
        <v>112</v>
      </c>
      <c r="AE533" s="76">
        <v>0.31350000000000006</v>
      </c>
      <c r="AF533" s="76">
        <v>0.31350000000000006</v>
      </c>
      <c r="AG533" s="76">
        <v>0.31350000000000006</v>
      </c>
      <c r="AH533" s="76">
        <v>0.31350000000000006</v>
      </c>
      <c r="AI533" s="76">
        <v>0.31350000000000006</v>
      </c>
      <c r="AJ533" s="76">
        <v>0.31350000000000006</v>
      </c>
      <c r="AK533" s="76">
        <v>0.31350000000000006</v>
      </c>
      <c r="AL533" s="76">
        <v>0.31350000000000006</v>
      </c>
      <c r="AM533" s="76">
        <v>0.31350000000000006</v>
      </c>
      <c r="AN533" s="76">
        <v>0.31350000000000006</v>
      </c>
      <c r="AO533" s="76">
        <v>0.31350000000000006</v>
      </c>
      <c r="AP533" s="76">
        <v>0.31350000000000006</v>
      </c>
      <c r="AQ533" s="76">
        <v>0.31350000000000006</v>
      </c>
      <c r="AR533" s="76">
        <v>0.31350000000000006</v>
      </c>
      <c r="AS533" s="76">
        <v>0.31350000000000006</v>
      </c>
      <c r="AT533" s="76">
        <v>0.31350000000000006</v>
      </c>
      <c r="AU533" s="76">
        <v>0.31350000000000006</v>
      </c>
      <c r="AV533" s="76">
        <v>0.31350000000000006</v>
      </c>
      <c r="AW533" s="76">
        <v>0.31350000000000006</v>
      </c>
      <c r="AX533" s="84">
        <v>0.31350000000000006</v>
      </c>
    </row>
    <row r="534" spans="1:50" x14ac:dyDescent="0.25">
      <c r="A534" s="357"/>
      <c r="B534" s="362"/>
      <c r="C534" s="354"/>
      <c r="D534" s="4" t="s">
        <v>8</v>
      </c>
      <c r="E534" s="168" t="str">
        <f>A523&amp;"/"&amp;B523&amp;"/"&amp;C533&amp;"/"&amp;D534</f>
        <v>Derived gas fired power plants/Steam turbine/CHP with CCS/M</v>
      </c>
      <c r="F534" s="80" t="str">
        <f>A523</f>
        <v>Derived gas fired power plants</v>
      </c>
      <c r="G534" s="80" t="str">
        <f>B523</f>
        <v>Steam turbine</v>
      </c>
      <c r="H534" s="80" t="str">
        <f>C533</f>
        <v>CHP with CCS</v>
      </c>
      <c r="I534" s="169" t="str">
        <f t="shared" si="84"/>
        <v>M</v>
      </c>
      <c r="J534" s="80" t="s">
        <v>112</v>
      </c>
      <c r="K534" s="80" t="s">
        <v>112</v>
      </c>
      <c r="L534" s="80" t="s">
        <v>112</v>
      </c>
      <c r="M534" s="80" t="s">
        <v>112</v>
      </c>
      <c r="N534" s="80" t="s">
        <v>112</v>
      </c>
      <c r="O534" s="80" t="s">
        <v>112</v>
      </c>
      <c r="P534" s="80" t="s">
        <v>112</v>
      </c>
      <c r="Q534" s="80" t="s">
        <v>112</v>
      </c>
      <c r="R534" s="80" t="s">
        <v>112</v>
      </c>
      <c r="S534" s="80" t="s">
        <v>112</v>
      </c>
      <c r="T534" s="80" t="s">
        <v>112</v>
      </c>
      <c r="U534" s="80" t="s">
        <v>112</v>
      </c>
      <c r="V534" s="80" t="s">
        <v>112</v>
      </c>
      <c r="W534" s="80" t="s">
        <v>112</v>
      </c>
      <c r="X534" s="80" t="s">
        <v>112</v>
      </c>
      <c r="Y534" s="80" t="s">
        <v>112</v>
      </c>
      <c r="Z534" s="80" t="s">
        <v>112</v>
      </c>
      <c r="AA534" s="80" t="s">
        <v>112</v>
      </c>
      <c r="AB534" s="80" t="s">
        <v>112</v>
      </c>
      <c r="AC534" s="80" t="s">
        <v>112</v>
      </c>
      <c r="AD534" s="80" t="s">
        <v>112</v>
      </c>
      <c r="AE534" s="80">
        <v>0.32917500000000011</v>
      </c>
      <c r="AF534" s="80">
        <v>0.32917500000000011</v>
      </c>
      <c r="AG534" s="80">
        <v>0.32917500000000011</v>
      </c>
      <c r="AH534" s="80">
        <v>0.32917500000000011</v>
      </c>
      <c r="AI534" s="80">
        <v>0.32917500000000011</v>
      </c>
      <c r="AJ534" s="80">
        <v>0.32917500000000011</v>
      </c>
      <c r="AK534" s="80">
        <v>0.32917500000000011</v>
      </c>
      <c r="AL534" s="80">
        <v>0.32917500000000011</v>
      </c>
      <c r="AM534" s="80">
        <v>0.32917500000000011</v>
      </c>
      <c r="AN534" s="80">
        <v>0.32917500000000011</v>
      </c>
      <c r="AO534" s="80">
        <v>0.32917500000000011</v>
      </c>
      <c r="AP534" s="80">
        <v>0.32917500000000011</v>
      </c>
      <c r="AQ534" s="80">
        <v>0.32917500000000011</v>
      </c>
      <c r="AR534" s="80">
        <v>0.32917500000000011</v>
      </c>
      <c r="AS534" s="80">
        <v>0.32917500000000011</v>
      </c>
      <c r="AT534" s="80">
        <v>0.32917500000000011</v>
      </c>
      <c r="AU534" s="80">
        <v>0.32917500000000011</v>
      </c>
      <c r="AV534" s="80">
        <v>0.32917500000000011</v>
      </c>
      <c r="AW534" s="80">
        <v>0.32917500000000011</v>
      </c>
      <c r="AX534" s="88">
        <v>0.32917500000000011</v>
      </c>
    </row>
    <row r="535" spans="1:50" x14ac:dyDescent="0.25">
      <c r="A535" s="356" t="s">
        <v>27</v>
      </c>
      <c r="B535" s="365" t="s">
        <v>19</v>
      </c>
      <c r="C535" s="353" t="s">
        <v>6</v>
      </c>
      <c r="D535" s="2" t="s">
        <v>7</v>
      </c>
      <c r="E535" s="162" t="str">
        <f>A535&amp;"/"&amp;B535&amp;"/"&amp;C535&amp;"/"&amp;D535</f>
        <v>Refinery gas fired power plants/Steam turbine/Electricity only/L</v>
      </c>
      <c r="F535" s="77" t="str">
        <f>A535</f>
        <v>Refinery gas fired power plants</v>
      </c>
      <c r="G535" s="77" t="str">
        <f>B535</f>
        <v>Steam turbine</v>
      </c>
      <c r="H535" s="77" t="str">
        <f>C535</f>
        <v>Electricity only</v>
      </c>
      <c r="I535" s="163" t="str">
        <f t="shared" ref="I535:I598" si="85">D535</f>
        <v>L</v>
      </c>
      <c r="J535" s="77">
        <v>4.2999999999999997E-2</v>
      </c>
      <c r="K535" s="77">
        <v>4.2999999999999997E-2</v>
      </c>
      <c r="L535" s="77">
        <v>4.2999999999999997E-2</v>
      </c>
      <c r="M535" s="77">
        <v>4.2999999999999997E-2</v>
      </c>
      <c r="N535" s="77">
        <v>4.2999999999999997E-2</v>
      </c>
      <c r="O535" s="77">
        <v>4.2999999999999997E-2</v>
      </c>
      <c r="P535" s="77">
        <v>4.2999999999999997E-2</v>
      </c>
      <c r="Q535" s="77">
        <v>4.2999999999999997E-2</v>
      </c>
      <c r="R535" s="77">
        <v>4.2999999999999997E-2</v>
      </c>
      <c r="S535" s="77">
        <v>4.2999999999999997E-2</v>
      </c>
      <c r="T535" s="77">
        <v>4.2999999999999997E-2</v>
      </c>
      <c r="U535" s="77">
        <v>4.2999999999999997E-2</v>
      </c>
      <c r="V535" s="77">
        <v>4.2999999999999997E-2</v>
      </c>
      <c r="W535" s="77">
        <v>4.2999999999999997E-2</v>
      </c>
      <c r="X535" s="77">
        <v>4.2999999999999997E-2</v>
      </c>
      <c r="Y535" s="77">
        <v>4.2999999999999997E-2</v>
      </c>
      <c r="Z535" s="77">
        <v>4.2999999999999997E-2</v>
      </c>
      <c r="AA535" s="77">
        <v>4.2999999999999997E-2</v>
      </c>
      <c r="AB535" s="77">
        <v>4.2999999999999997E-2</v>
      </c>
      <c r="AC535" s="77">
        <v>4.2999999999999997E-2</v>
      </c>
      <c r="AD535" s="77">
        <v>4.2999999999999997E-2</v>
      </c>
      <c r="AE535" s="77">
        <v>4.2999999999999997E-2</v>
      </c>
      <c r="AF535" s="77">
        <v>4.2999999999999997E-2</v>
      </c>
      <c r="AG535" s="77">
        <v>4.2999999999999997E-2</v>
      </c>
      <c r="AH535" s="77">
        <v>4.2999999999999997E-2</v>
      </c>
      <c r="AI535" s="77">
        <v>4.2999999999999997E-2</v>
      </c>
      <c r="AJ535" s="77">
        <v>4.2999999999999997E-2</v>
      </c>
      <c r="AK535" s="77">
        <v>4.2999999999999997E-2</v>
      </c>
      <c r="AL535" s="77">
        <v>4.2999999999999997E-2</v>
      </c>
      <c r="AM535" s="77">
        <v>4.2999999999999997E-2</v>
      </c>
      <c r="AN535" s="77">
        <v>4.2999999999999997E-2</v>
      </c>
      <c r="AO535" s="77">
        <v>4.2999999999999997E-2</v>
      </c>
      <c r="AP535" s="77">
        <v>4.2999999999999997E-2</v>
      </c>
      <c r="AQ535" s="77">
        <v>4.2999999999999997E-2</v>
      </c>
      <c r="AR535" s="77">
        <v>4.2999999999999997E-2</v>
      </c>
      <c r="AS535" s="77">
        <v>4.2999999999999997E-2</v>
      </c>
      <c r="AT535" s="77">
        <v>4.2999999999999997E-2</v>
      </c>
      <c r="AU535" s="77">
        <v>4.2999999999999997E-2</v>
      </c>
      <c r="AV535" s="77">
        <v>4.2999999999999997E-2</v>
      </c>
      <c r="AW535" s="77">
        <v>4.2999999999999997E-2</v>
      </c>
      <c r="AX535" s="85">
        <v>4.2999999999999997E-2</v>
      </c>
    </row>
    <row r="536" spans="1:50" x14ac:dyDescent="0.25">
      <c r="A536" s="356"/>
      <c r="B536" s="366"/>
      <c r="C536" s="350"/>
      <c r="D536" s="2" t="s">
        <v>8</v>
      </c>
      <c r="E536" s="160" t="str">
        <f>A535&amp;"/"&amp;B535&amp;"/"&amp;C535&amp;"/"&amp;D536</f>
        <v>Refinery gas fired power plants/Steam turbine/Electricity only/M</v>
      </c>
      <c r="F536" s="76" t="str">
        <f>A535</f>
        <v>Refinery gas fired power plants</v>
      </c>
      <c r="G536" s="76" t="str">
        <f>B535</f>
        <v>Steam turbine</v>
      </c>
      <c r="H536" s="76" t="str">
        <f>C535</f>
        <v>Electricity only</v>
      </c>
      <c r="I536" s="161" t="str">
        <f t="shared" si="85"/>
        <v>M</v>
      </c>
      <c r="J536" s="76">
        <v>4.5149999999999996E-2</v>
      </c>
      <c r="K536" s="76">
        <v>4.5149999999999996E-2</v>
      </c>
      <c r="L536" s="76">
        <v>4.5149999999999996E-2</v>
      </c>
      <c r="M536" s="76">
        <v>4.5149999999999996E-2</v>
      </c>
      <c r="N536" s="76">
        <v>4.5149999999999996E-2</v>
      </c>
      <c r="O536" s="76">
        <v>4.5149999999999996E-2</v>
      </c>
      <c r="P536" s="76">
        <v>4.5149999999999996E-2</v>
      </c>
      <c r="Q536" s="76">
        <v>4.5149999999999996E-2</v>
      </c>
      <c r="R536" s="76">
        <v>4.5149999999999996E-2</v>
      </c>
      <c r="S536" s="76">
        <v>4.5149999999999996E-2</v>
      </c>
      <c r="T536" s="76">
        <v>4.5149999999999996E-2</v>
      </c>
      <c r="U536" s="76">
        <v>4.5149999999999996E-2</v>
      </c>
      <c r="V536" s="76">
        <v>4.5149999999999996E-2</v>
      </c>
      <c r="W536" s="76">
        <v>4.5149999999999996E-2</v>
      </c>
      <c r="X536" s="76">
        <v>4.5149999999999996E-2</v>
      </c>
      <c r="Y536" s="76">
        <v>4.5149999999999996E-2</v>
      </c>
      <c r="Z536" s="76">
        <v>4.5149999999999996E-2</v>
      </c>
      <c r="AA536" s="76">
        <v>4.5149999999999996E-2</v>
      </c>
      <c r="AB536" s="76">
        <v>4.5149999999999996E-2</v>
      </c>
      <c r="AC536" s="76">
        <v>4.5149999999999996E-2</v>
      </c>
      <c r="AD536" s="76">
        <v>4.5149999999999996E-2</v>
      </c>
      <c r="AE536" s="76">
        <v>4.5149999999999996E-2</v>
      </c>
      <c r="AF536" s="76">
        <v>4.5149999999999996E-2</v>
      </c>
      <c r="AG536" s="76">
        <v>4.5149999999999996E-2</v>
      </c>
      <c r="AH536" s="76">
        <v>4.5149999999999996E-2</v>
      </c>
      <c r="AI536" s="76">
        <v>4.5149999999999996E-2</v>
      </c>
      <c r="AJ536" s="76">
        <v>4.5149999999999996E-2</v>
      </c>
      <c r="AK536" s="76">
        <v>4.5149999999999996E-2</v>
      </c>
      <c r="AL536" s="76">
        <v>4.5149999999999996E-2</v>
      </c>
      <c r="AM536" s="76">
        <v>4.5149999999999996E-2</v>
      </c>
      <c r="AN536" s="76">
        <v>4.5149999999999996E-2</v>
      </c>
      <c r="AO536" s="76">
        <v>4.5149999999999996E-2</v>
      </c>
      <c r="AP536" s="76">
        <v>4.5149999999999996E-2</v>
      </c>
      <c r="AQ536" s="76">
        <v>4.5149999999999996E-2</v>
      </c>
      <c r="AR536" s="76">
        <v>4.5149999999999996E-2</v>
      </c>
      <c r="AS536" s="76">
        <v>4.5149999999999996E-2</v>
      </c>
      <c r="AT536" s="76">
        <v>4.5149999999999996E-2</v>
      </c>
      <c r="AU536" s="76">
        <v>4.5149999999999996E-2</v>
      </c>
      <c r="AV536" s="76">
        <v>4.5149999999999996E-2</v>
      </c>
      <c r="AW536" s="76">
        <v>4.5149999999999996E-2</v>
      </c>
      <c r="AX536" s="84">
        <v>4.5149999999999996E-2</v>
      </c>
    </row>
    <row r="537" spans="1:50" x14ac:dyDescent="0.25">
      <c r="A537" s="356"/>
      <c r="B537" s="366"/>
      <c r="C537" s="360"/>
      <c r="D537" s="2" t="s">
        <v>10</v>
      </c>
      <c r="E537" s="160" t="str">
        <f>A535&amp;"/"&amp;B535&amp;"/"&amp;C535&amp;"/"&amp;D537</f>
        <v>Refinery gas fired power plants/Steam turbine/Electricity only/S</v>
      </c>
      <c r="F537" s="76" t="str">
        <f>A535</f>
        <v>Refinery gas fired power plants</v>
      </c>
      <c r="G537" s="76" t="str">
        <f>B535</f>
        <v>Steam turbine</v>
      </c>
      <c r="H537" s="76" t="str">
        <f>C535</f>
        <v>Electricity only</v>
      </c>
      <c r="I537" s="161" t="str">
        <f t="shared" si="85"/>
        <v>S</v>
      </c>
      <c r="J537" s="76">
        <v>4.7407499999999998E-2</v>
      </c>
      <c r="K537" s="76">
        <v>4.7407499999999998E-2</v>
      </c>
      <c r="L537" s="76">
        <v>4.7407499999999998E-2</v>
      </c>
      <c r="M537" s="76">
        <v>4.7407499999999998E-2</v>
      </c>
      <c r="N537" s="76">
        <v>4.7407499999999998E-2</v>
      </c>
      <c r="O537" s="76">
        <v>4.7407499999999998E-2</v>
      </c>
      <c r="P537" s="76">
        <v>4.7407499999999998E-2</v>
      </c>
      <c r="Q537" s="76">
        <v>4.7407499999999998E-2</v>
      </c>
      <c r="R537" s="76">
        <v>4.7407499999999998E-2</v>
      </c>
      <c r="S537" s="76">
        <v>4.7407499999999998E-2</v>
      </c>
      <c r="T537" s="76">
        <v>4.7407499999999998E-2</v>
      </c>
      <c r="U537" s="76">
        <v>4.7407499999999998E-2</v>
      </c>
      <c r="V537" s="76">
        <v>4.7407499999999998E-2</v>
      </c>
      <c r="W537" s="76">
        <v>4.7407499999999998E-2</v>
      </c>
      <c r="X537" s="76">
        <v>4.7407499999999998E-2</v>
      </c>
      <c r="Y537" s="76">
        <v>4.7407499999999998E-2</v>
      </c>
      <c r="Z537" s="76">
        <v>4.7407499999999998E-2</v>
      </c>
      <c r="AA537" s="76">
        <v>4.7407499999999998E-2</v>
      </c>
      <c r="AB537" s="76">
        <v>4.7407499999999998E-2</v>
      </c>
      <c r="AC537" s="76">
        <v>4.7407499999999998E-2</v>
      </c>
      <c r="AD537" s="76">
        <v>4.7407499999999998E-2</v>
      </c>
      <c r="AE537" s="76">
        <v>4.7407499999999998E-2</v>
      </c>
      <c r="AF537" s="76">
        <v>4.7407499999999998E-2</v>
      </c>
      <c r="AG537" s="76">
        <v>4.7407499999999998E-2</v>
      </c>
      <c r="AH537" s="76">
        <v>4.7407499999999998E-2</v>
      </c>
      <c r="AI537" s="76">
        <v>4.7407499999999998E-2</v>
      </c>
      <c r="AJ537" s="76">
        <v>4.7407499999999998E-2</v>
      </c>
      <c r="AK537" s="76">
        <v>4.7407499999999998E-2</v>
      </c>
      <c r="AL537" s="76">
        <v>4.7407499999999998E-2</v>
      </c>
      <c r="AM537" s="76">
        <v>4.7407499999999998E-2</v>
      </c>
      <c r="AN537" s="76">
        <v>4.7407499999999998E-2</v>
      </c>
      <c r="AO537" s="76">
        <v>4.7407499999999998E-2</v>
      </c>
      <c r="AP537" s="76">
        <v>4.7407499999999998E-2</v>
      </c>
      <c r="AQ537" s="76">
        <v>4.7407499999999998E-2</v>
      </c>
      <c r="AR537" s="76">
        <v>4.7407499999999998E-2</v>
      </c>
      <c r="AS537" s="76">
        <v>4.7407499999999998E-2</v>
      </c>
      <c r="AT537" s="76">
        <v>4.7407499999999998E-2</v>
      </c>
      <c r="AU537" s="76">
        <v>4.7407499999999998E-2</v>
      </c>
      <c r="AV537" s="76">
        <v>4.7407499999999998E-2</v>
      </c>
      <c r="AW537" s="76">
        <v>4.7407499999999998E-2</v>
      </c>
      <c r="AX537" s="84">
        <v>4.7407499999999998E-2</v>
      </c>
    </row>
    <row r="538" spans="1:50" x14ac:dyDescent="0.25">
      <c r="A538" s="356"/>
      <c r="B538" s="366"/>
      <c r="C538" s="361" t="s">
        <v>14</v>
      </c>
      <c r="D538" s="58" t="s">
        <v>7</v>
      </c>
      <c r="E538" s="164" t="str">
        <f>A535&amp;"/"&amp;B535&amp;"/"&amp;C538&amp;"/"&amp;D538</f>
        <v>Refinery gas fired power plants/Steam turbine/CHP/L</v>
      </c>
      <c r="F538" s="78" t="str">
        <f>A535</f>
        <v>Refinery gas fired power plants</v>
      </c>
      <c r="G538" s="78" t="str">
        <f>B535</f>
        <v>Steam turbine</v>
      </c>
      <c r="H538" s="78" t="str">
        <f>C538</f>
        <v>CHP</v>
      </c>
      <c r="I538" s="165" t="str">
        <f t="shared" si="85"/>
        <v>L</v>
      </c>
      <c r="J538" s="78">
        <v>4.7300000000000002E-2</v>
      </c>
      <c r="K538" s="78">
        <v>4.7300000000000002E-2</v>
      </c>
      <c r="L538" s="78">
        <v>4.7300000000000002E-2</v>
      </c>
      <c r="M538" s="78">
        <v>4.7300000000000002E-2</v>
      </c>
      <c r="N538" s="78">
        <v>4.7300000000000002E-2</v>
      </c>
      <c r="O538" s="78">
        <v>4.7300000000000002E-2</v>
      </c>
      <c r="P538" s="78">
        <v>4.7300000000000002E-2</v>
      </c>
      <c r="Q538" s="78">
        <v>4.7300000000000002E-2</v>
      </c>
      <c r="R538" s="78">
        <v>4.7300000000000002E-2</v>
      </c>
      <c r="S538" s="78">
        <v>4.7300000000000002E-2</v>
      </c>
      <c r="T538" s="78">
        <v>4.7300000000000002E-2</v>
      </c>
      <c r="U538" s="78">
        <v>4.7300000000000002E-2</v>
      </c>
      <c r="V538" s="78">
        <v>4.7300000000000002E-2</v>
      </c>
      <c r="W538" s="78">
        <v>4.7300000000000002E-2</v>
      </c>
      <c r="X538" s="78">
        <v>4.7300000000000002E-2</v>
      </c>
      <c r="Y538" s="78">
        <v>4.7300000000000002E-2</v>
      </c>
      <c r="Z538" s="78">
        <v>4.7300000000000002E-2</v>
      </c>
      <c r="AA538" s="78">
        <v>4.7300000000000002E-2</v>
      </c>
      <c r="AB538" s="78">
        <v>4.7300000000000002E-2</v>
      </c>
      <c r="AC538" s="78">
        <v>4.7300000000000002E-2</v>
      </c>
      <c r="AD538" s="78">
        <v>4.7300000000000002E-2</v>
      </c>
      <c r="AE538" s="78">
        <v>4.7300000000000002E-2</v>
      </c>
      <c r="AF538" s="78">
        <v>4.7300000000000002E-2</v>
      </c>
      <c r="AG538" s="78">
        <v>4.7300000000000002E-2</v>
      </c>
      <c r="AH538" s="78">
        <v>4.7300000000000002E-2</v>
      </c>
      <c r="AI538" s="78">
        <v>4.7300000000000002E-2</v>
      </c>
      <c r="AJ538" s="78">
        <v>4.7300000000000002E-2</v>
      </c>
      <c r="AK538" s="78">
        <v>4.7300000000000002E-2</v>
      </c>
      <c r="AL538" s="78">
        <v>4.7300000000000002E-2</v>
      </c>
      <c r="AM538" s="78">
        <v>4.7300000000000002E-2</v>
      </c>
      <c r="AN538" s="78">
        <v>4.7300000000000002E-2</v>
      </c>
      <c r="AO538" s="78">
        <v>4.7300000000000002E-2</v>
      </c>
      <c r="AP538" s="78">
        <v>4.7300000000000002E-2</v>
      </c>
      <c r="AQ538" s="78">
        <v>4.7300000000000002E-2</v>
      </c>
      <c r="AR538" s="78">
        <v>4.7300000000000002E-2</v>
      </c>
      <c r="AS538" s="78">
        <v>4.7300000000000002E-2</v>
      </c>
      <c r="AT538" s="78">
        <v>4.7300000000000002E-2</v>
      </c>
      <c r="AU538" s="78">
        <v>4.7300000000000002E-2</v>
      </c>
      <c r="AV538" s="78">
        <v>4.7300000000000002E-2</v>
      </c>
      <c r="AW538" s="78">
        <v>4.7300000000000002E-2</v>
      </c>
      <c r="AX538" s="86">
        <v>4.7300000000000002E-2</v>
      </c>
    </row>
    <row r="539" spans="1:50" x14ac:dyDescent="0.25">
      <c r="A539" s="356"/>
      <c r="B539" s="366"/>
      <c r="C539" s="350"/>
      <c r="D539" s="2" t="s">
        <v>8</v>
      </c>
      <c r="E539" s="160" t="str">
        <f>A535&amp;"/"&amp;B535&amp;"/"&amp;C538&amp;"/"&amp;D539</f>
        <v>Refinery gas fired power plants/Steam turbine/CHP/M</v>
      </c>
      <c r="F539" s="76" t="str">
        <f>A535</f>
        <v>Refinery gas fired power plants</v>
      </c>
      <c r="G539" s="76" t="str">
        <f>B535</f>
        <v>Steam turbine</v>
      </c>
      <c r="H539" s="76" t="str">
        <f>C538</f>
        <v>CHP</v>
      </c>
      <c r="I539" s="161" t="str">
        <f t="shared" si="85"/>
        <v>M</v>
      </c>
      <c r="J539" s="76">
        <v>4.9665000000000001E-2</v>
      </c>
      <c r="K539" s="76">
        <v>4.9665000000000001E-2</v>
      </c>
      <c r="L539" s="76">
        <v>4.9665000000000001E-2</v>
      </c>
      <c r="M539" s="76">
        <v>4.9665000000000001E-2</v>
      </c>
      <c r="N539" s="76">
        <v>4.9665000000000001E-2</v>
      </c>
      <c r="O539" s="76">
        <v>4.9665000000000001E-2</v>
      </c>
      <c r="P539" s="76">
        <v>4.9665000000000001E-2</v>
      </c>
      <c r="Q539" s="76">
        <v>4.9665000000000001E-2</v>
      </c>
      <c r="R539" s="76">
        <v>4.9665000000000001E-2</v>
      </c>
      <c r="S539" s="76">
        <v>4.9665000000000001E-2</v>
      </c>
      <c r="T539" s="76">
        <v>4.9665000000000001E-2</v>
      </c>
      <c r="U539" s="76">
        <v>4.9665000000000001E-2</v>
      </c>
      <c r="V539" s="76">
        <v>4.9665000000000001E-2</v>
      </c>
      <c r="W539" s="76">
        <v>4.9665000000000001E-2</v>
      </c>
      <c r="X539" s="76">
        <v>4.9665000000000001E-2</v>
      </c>
      <c r="Y539" s="76">
        <v>4.9665000000000001E-2</v>
      </c>
      <c r="Z539" s="76">
        <v>4.9665000000000001E-2</v>
      </c>
      <c r="AA539" s="76">
        <v>4.9665000000000001E-2</v>
      </c>
      <c r="AB539" s="76">
        <v>4.9665000000000001E-2</v>
      </c>
      <c r="AC539" s="76">
        <v>4.9665000000000001E-2</v>
      </c>
      <c r="AD539" s="76">
        <v>4.9665000000000001E-2</v>
      </c>
      <c r="AE539" s="76">
        <v>4.9665000000000001E-2</v>
      </c>
      <c r="AF539" s="76">
        <v>4.9665000000000001E-2</v>
      </c>
      <c r="AG539" s="76">
        <v>4.9665000000000001E-2</v>
      </c>
      <c r="AH539" s="76">
        <v>4.9665000000000001E-2</v>
      </c>
      <c r="AI539" s="76">
        <v>4.9665000000000001E-2</v>
      </c>
      <c r="AJ539" s="76">
        <v>4.9665000000000001E-2</v>
      </c>
      <c r="AK539" s="76">
        <v>4.9665000000000001E-2</v>
      </c>
      <c r="AL539" s="76">
        <v>4.9665000000000001E-2</v>
      </c>
      <c r="AM539" s="76">
        <v>4.9665000000000001E-2</v>
      </c>
      <c r="AN539" s="76">
        <v>4.9665000000000001E-2</v>
      </c>
      <c r="AO539" s="76">
        <v>4.9665000000000001E-2</v>
      </c>
      <c r="AP539" s="76">
        <v>4.9665000000000001E-2</v>
      </c>
      <c r="AQ539" s="76">
        <v>4.9665000000000001E-2</v>
      </c>
      <c r="AR539" s="76">
        <v>4.9665000000000001E-2</v>
      </c>
      <c r="AS539" s="76">
        <v>4.9665000000000001E-2</v>
      </c>
      <c r="AT539" s="76">
        <v>4.9665000000000001E-2</v>
      </c>
      <c r="AU539" s="76">
        <v>4.9665000000000001E-2</v>
      </c>
      <c r="AV539" s="76">
        <v>4.9665000000000001E-2</v>
      </c>
      <c r="AW539" s="76">
        <v>4.9665000000000001E-2</v>
      </c>
      <c r="AX539" s="84">
        <v>4.9665000000000001E-2</v>
      </c>
    </row>
    <row r="540" spans="1:50" x14ac:dyDescent="0.25">
      <c r="A540" s="356"/>
      <c r="B540" s="366"/>
      <c r="C540" s="360"/>
      <c r="D540" s="59" t="s">
        <v>10</v>
      </c>
      <c r="E540" s="166" t="str">
        <f>A535&amp;"/"&amp;B535&amp;"/"&amp;C538&amp;"/"&amp;D540</f>
        <v>Refinery gas fired power plants/Steam turbine/CHP/S</v>
      </c>
      <c r="F540" s="79" t="str">
        <f>A535</f>
        <v>Refinery gas fired power plants</v>
      </c>
      <c r="G540" s="79" t="str">
        <f>B535</f>
        <v>Steam turbine</v>
      </c>
      <c r="H540" s="79" t="str">
        <f>C538</f>
        <v>CHP</v>
      </c>
      <c r="I540" s="167" t="str">
        <f t="shared" si="85"/>
        <v>S</v>
      </c>
      <c r="J540" s="79">
        <v>5.214825E-2</v>
      </c>
      <c r="K540" s="79">
        <v>5.214825E-2</v>
      </c>
      <c r="L540" s="79">
        <v>5.214825E-2</v>
      </c>
      <c r="M540" s="79">
        <v>5.214825E-2</v>
      </c>
      <c r="N540" s="79">
        <v>5.214825E-2</v>
      </c>
      <c r="O540" s="79">
        <v>5.214825E-2</v>
      </c>
      <c r="P540" s="79">
        <v>5.214825E-2</v>
      </c>
      <c r="Q540" s="79">
        <v>5.214825E-2</v>
      </c>
      <c r="R540" s="79">
        <v>5.214825E-2</v>
      </c>
      <c r="S540" s="79">
        <v>5.214825E-2</v>
      </c>
      <c r="T540" s="79">
        <v>5.214825E-2</v>
      </c>
      <c r="U540" s="79">
        <v>5.214825E-2</v>
      </c>
      <c r="V540" s="79">
        <v>5.214825E-2</v>
      </c>
      <c r="W540" s="79">
        <v>5.214825E-2</v>
      </c>
      <c r="X540" s="79">
        <v>5.214825E-2</v>
      </c>
      <c r="Y540" s="79">
        <v>5.214825E-2</v>
      </c>
      <c r="Z540" s="79">
        <v>5.214825E-2</v>
      </c>
      <c r="AA540" s="79">
        <v>5.214825E-2</v>
      </c>
      <c r="AB540" s="79">
        <v>5.214825E-2</v>
      </c>
      <c r="AC540" s="79">
        <v>5.214825E-2</v>
      </c>
      <c r="AD540" s="79">
        <v>5.214825E-2</v>
      </c>
      <c r="AE540" s="79">
        <v>5.214825E-2</v>
      </c>
      <c r="AF540" s="79">
        <v>5.214825E-2</v>
      </c>
      <c r="AG540" s="79">
        <v>5.214825E-2</v>
      </c>
      <c r="AH540" s="79">
        <v>5.214825E-2</v>
      </c>
      <c r="AI540" s="79">
        <v>5.214825E-2</v>
      </c>
      <c r="AJ540" s="79">
        <v>5.214825E-2</v>
      </c>
      <c r="AK540" s="79">
        <v>5.214825E-2</v>
      </c>
      <c r="AL540" s="79">
        <v>5.214825E-2</v>
      </c>
      <c r="AM540" s="79">
        <v>5.214825E-2</v>
      </c>
      <c r="AN540" s="79">
        <v>5.214825E-2</v>
      </c>
      <c r="AO540" s="79">
        <v>5.214825E-2</v>
      </c>
      <c r="AP540" s="79">
        <v>5.214825E-2</v>
      </c>
      <c r="AQ540" s="79">
        <v>5.214825E-2</v>
      </c>
      <c r="AR540" s="79">
        <v>5.214825E-2</v>
      </c>
      <c r="AS540" s="79">
        <v>5.214825E-2</v>
      </c>
      <c r="AT540" s="79">
        <v>5.214825E-2</v>
      </c>
      <c r="AU540" s="79">
        <v>5.214825E-2</v>
      </c>
      <c r="AV540" s="79">
        <v>5.214825E-2</v>
      </c>
      <c r="AW540" s="79">
        <v>5.214825E-2</v>
      </c>
      <c r="AX540" s="87">
        <v>5.214825E-2</v>
      </c>
    </row>
    <row r="541" spans="1:50" x14ac:dyDescent="0.25">
      <c r="A541" s="356"/>
      <c r="B541" s="366"/>
      <c r="C541" s="361" t="s">
        <v>15</v>
      </c>
      <c r="D541" s="58" t="s">
        <v>7</v>
      </c>
      <c r="E541" s="164" t="str">
        <f>A535&amp;"/"&amp;B535&amp;"/"&amp;C541&amp;"/"&amp;D541</f>
        <v>Refinery gas fired power plants/Steam turbine/Electricity only with CCS/L</v>
      </c>
      <c r="F541" s="78" t="str">
        <f>A535</f>
        <v>Refinery gas fired power plants</v>
      </c>
      <c r="G541" s="78" t="str">
        <f>B535</f>
        <v>Steam turbine</v>
      </c>
      <c r="H541" s="78" t="str">
        <f>C541</f>
        <v>Electricity only with CCS</v>
      </c>
      <c r="I541" s="165" t="str">
        <f t="shared" si="85"/>
        <v>L</v>
      </c>
      <c r="J541" s="78" t="s">
        <v>112</v>
      </c>
      <c r="K541" s="78" t="s">
        <v>112</v>
      </c>
      <c r="L541" s="78" t="s">
        <v>112</v>
      </c>
      <c r="M541" s="78" t="s">
        <v>112</v>
      </c>
      <c r="N541" s="78" t="s">
        <v>112</v>
      </c>
      <c r="O541" s="78" t="s">
        <v>112</v>
      </c>
      <c r="P541" s="78" t="s">
        <v>112</v>
      </c>
      <c r="Q541" s="78" t="s">
        <v>112</v>
      </c>
      <c r="R541" s="78" t="s">
        <v>112</v>
      </c>
      <c r="S541" s="78" t="s">
        <v>112</v>
      </c>
      <c r="T541" s="78" t="s">
        <v>112</v>
      </c>
      <c r="U541" s="78" t="s">
        <v>112</v>
      </c>
      <c r="V541" s="78" t="s">
        <v>112</v>
      </c>
      <c r="W541" s="78" t="s">
        <v>112</v>
      </c>
      <c r="X541" s="78" t="s">
        <v>112</v>
      </c>
      <c r="Y541" s="78" t="s">
        <v>112</v>
      </c>
      <c r="Z541" s="78" t="s">
        <v>112</v>
      </c>
      <c r="AA541" s="78" t="s">
        <v>112</v>
      </c>
      <c r="AB541" s="78" t="s">
        <v>112</v>
      </c>
      <c r="AC541" s="78" t="s">
        <v>112</v>
      </c>
      <c r="AD541" s="78" t="s">
        <v>112</v>
      </c>
      <c r="AE541" s="78">
        <v>0.24724999999999997</v>
      </c>
      <c r="AF541" s="78">
        <v>0.24724999999999997</v>
      </c>
      <c r="AG541" s="78">
        <v>0.24724999999999997</v>
      </c>
      <c r="AH541" s="78">
        <v>0.24724999999999997</v>
      </c>
      <c r="AI541" s="78">
        <v>0.24724999999999997</v>
      </c>
      <c r="AJ541" s="78">
        <v>0.24724999999999997</v>
      </c>
      <c r="AK541" s="78">
        <v>0.24724999999999997</v>
      </c>
      <c r="AL541" s="78">
        <v>0.24724999999999997</v>
      </c>
      <c r="AM541" s="78">
        <v>0.24724999999999997</v>
      </c>
      <c r="AN541" s="78">
        <v>0.24724999999999997</v>
      </c>
      <c r="AO541" s="78">
        <v>0.24724999999999997</v>
      </c>
      <c r="AP541" s="78">
        <v>0.24724999999999997</v>
      </c>
      <c r="AQ541" s="78">
        <v>0.24724999999999997</v>
      </c>
      <c r="AR541" s="78">
        <v>0.24724999999999997</v>
      </c>
      <c r="AS541" s="78">
        <v>0.24724999999999997</v>
      </c>
      <c r="AT541" s="78">
        <v>0.24724999999999997</v>
      </c>
      <c r="AU541" s="78">
        <v>0.24724999999999997</v>
      </c>
      <c r="AV541" s="78">
        <v>0.24724999999999997</v>
      </c>
      <c r="AW541" s="78">
        <v>0.24724999999999997</v>
      </c>
      <c r="AX541" s="86">
        <v>0.24724999999999997</v>
      </c>
    </row>
    <row r="542" spans="1:50" x14ac:dyDescent="0.25">
      <c r="A542" s="356"/>
      <c r="B542" s="366"/>
      <c r="C542" s="360"/>
      <c r="D542" s="59" t="s">
        <v>8</v>
      </c>
      <c r="E542" s="166" t="str">
        <f>A535&amp;"/"&amp;B535&amp;"/"&amp;C541&amp;"/"&amp;D542</f>
        <v>Refinery gas fired power plants/Steam turbine/Electricity only with CCS/M</v>
      </c>
      <c r="F542" s="79" t="str">
        <f>A535</f>
        <v>Refinery gas fired power plants</v>
      </c>
      <c r="G542" s="79" t="str">
        <f>B535</f>
        <v>Steam turbine</v>
      </c>
      <c r="H542" s="79" t="str">
        <f>C541</f>
        <v>Electricity only with CCS</v>
      </c>
      <c r="I542" s="167" t="str">
        <f t="shared" si="85"/>
        <v>M</v>
      </c>
      <c r="J542" s="79" t="s">
        <v>112</v>
      </c>
      <c r="K542" s="79" t="s">
        <v>112</v>
      </c>
      <c r="L542" s="79" t="s">
        <v>112</v>
      </c>
      <c r="M542" s="79" t="s">
        <v>112</v>
      </c>
      <c r="N542" s="79" t="s">
        <v>112</v>
      </c>
      <c r="O542" s="79" t="s">
        <v>112</v>
      </c>
      <c r="P542" s="79" t="s">
        <v>112</v>
      </c>
      <c r="Q542" s="79" t="s">
        <v>112</v>
      </c>
      <c r="R542" s="79" t="s">
        <v>112</v>
      </c>
      <c r="S542" s="79" t="s">
        <v>112</v>
      </c>
      <c r="T542" s="79" t="s">
        <v>112</v>
      </c>
      <c r="U542" s="79" t="s">
        <v>112</v>
      </c>
      <c r="V542" s="79" t="s">
        <v>112</v>
      </c>
      <c r="W542" s="79" t="s">
        <v>112</v>
      </c>
      <c r="X542" s="79" t="s">
        <v>112</v>
      </c>
      <c r="Y542" s="79" t="s">
        <v>112</v>
      </c>
      <c r="Z542" s="79" t="s">
        <v>112</v>
      </c>
      <c r="AA542" s="79" t="s">
        <v>112</v>
      </c>
      <c r="AB542" s="79" t="s">
        <v>112</v>
      </c>
      <c r="AC542" s="79" t="s">
        <v>112</v>
      </c>
      <c r="AD542" s="79" t="s">
        <v>112</v>
      </c>
      <c r="AE542" s="79">
        <v>0.25961249999999997</v>
      </c>
      <c r="AF542" s="79">
        <v>0.25961249999999997</v>
      </c>
      <c r="AG542" s="79">
        <v>0.25961249999999997</v>
      </c>
      <c r="AH542" s="79">
        <v>0.25961249999999997</v>
      </c>
      <c r="AI542" s="79">
        <v>0.25961249999999997</v>
      </c>
      <c r="AJ542" s="79">
        <v>0.25961249999999997</v>
      </c>
      <c r="AK542" s="79">
        <v>0.25961249999999997</v>
      </c>
      <c r="AL542" s="79">
        <v>0.25961249999999997</v>
      </c>
      <c r="AM542" s="79">
        <v>0.25961249999999997</v>
      </c>
      <c r="AN542" s="79">
        <v>0.25961249999999997</v>
      </c>
      <c r="AO542" s="79">
        <v>0.25961249999999997</v>
      </c>
      <c r="AP542" s="79">
        <v>0.25961249999999997</v>
      </c>
      <c r="AQ542" s="79">
        <v>0.25961249999999997</v>
      </c>
      <c r="AR542" s="79">
        <v>0.25961249999999997</v>
      </c>
      <c r="AS542" s="79">
        <v>0.25961249999999997</v>
      </c>
      <c r="AT542" s="79">
        <v>0.25961249999999997</v>
      </c>
      <c r="AU542" s="79">
        <v>0.25961249999999997</v>
      </c>
      <c r="AV542" s="79">
        <v>0.25961249999999997</v>
      </c>
      <c r="AW542" s="79">
        <v>0.25961249999999997</v>
      </c>
      <c r="AX542" s="87">
        <v>0.25961249999999997</v>
      </c>
    </row>
    <row r="543" spans="1:50" x14ac:dyDescent="0.25">
      <c r="A543" s="356"/>
      <c r="B543" s="366"/>
      <c r="C543" s="361" t="s">
        <v>16</v>
      </c>
      <c r="D543" s="2" t="s">
        <v>7</v>
      </c>
      <c r="E543" s="160" t="str">
        <f>A535&amp;"/"&amp;B535&amp;"/"&amp;C543&amp;"/"&amp;D543</f>
        <v>Refinery gas fired power plants/Steam turbine/CHP with CCS/L</v>
      </c>
      <c r="F543" s="76" t="str">
        <f>A535</f>
        <v>Refinery gas fired power plants</v>
      </c>
      <c r="G543" s="76" t="str">
        <f>B535</f>
        <v>Steam turbine</v>
      </c>
      <c r="H543" s="76" t="str">
        <f>C543</f>
        <v>CHP with CCS</v>
      </c>
      <c r="I543" s="161" t="str">
        <f t="shared" si="85"/>
        <v>L</v>
      </c>
      <c r="J543" s="76" t="s">
        <v>112</v>
      </c>
      <c r="K543" s="76" t="s">
        <v>112</v>
      </c>
      <c r="L543" s="76" t="s">
        <v>112</v>
      </c>
      <c r="M543" s="76" t="s">
        <v>112</v>
      </c>
      <c r="N543" s="76" t="s">
        <v>112</v>
      </c>
      <c r="O543" s="76" t="s">
        <v>112</v>
      </c>
      <c r="P543" s="76" t="s">
        <v>112</v>
      </c>
      <c r="Q543" s="76" t="s">
        <v>112</v>
      </c>
      <c r="R543" s="76" t="s">
        <v>112</v>
      </c>
      <c r="S543" s="76" t="s">
        <v>112</v>
      </c>
      <c r="T543" s="76" t="s">
        <v>112</v>
      </c>
      <c r="U543" s="76" t="s">
        <v>112</v>
      </c>
      <c r="V543" s="76" t="s">
        <v>112</v>
      </c>
      <c r="W543" s="76" t="s">
        <v>112</v>
      </c>
      <c r="X543" s="76" t="s">
        <v>112</v>
      </c>
      <c r="Y543" s="76" t="s">
        <v>112</v>
      </c>
      <c r="Z543" s="76" t="s">
        <v>112</v>
      </c>
      <c r="AA543" s="76" t="s">
        <v>112</v>
      </c>
      <c r="AB543" s="76" t="s">
        <v>112</v>
      </c>
      <c r="AC543" s="76" t="s">
        <v>112</v>
      </c>
      <c r="AD543" s="76" t="s">
        <v>112</v>
      </c>
      <c r="AE543" s="76">
        <v>0.27197499999999997</v>
      </c>
      <c r="AF543" s="76">
        <v>0.27197499999999997</v>
      </c>
      <c r="AG543" s="76">
        <v>0.27197499999999997</v>
      </c>
      <c r="AH543" s="76">
        <v>0.27197499999999997</v>
      </c>
      <c r="AI543" s="76">
        <v>0.27197499999999997</v>
      </c>
      <c r="AJ543" s="76">
        <v>0.27197499999999997</v>
      </c>
      <c r="AK543" s="76">
        <v>0.27197499999999997</v>
      </c>
      <c r="AL543" s="76">
        <v>0.27197499999999997</v>
      </c>
      <c r="AM543" s="76">
        <v>0.27197499999999997</v>
      </c>
      <c r="AN543" s="76">
        <v>0.27197499999999997</v>
      </c>
      <c r="AO543" s="76">
        <v>0.27197499999999997</v>
      </c>
      <c r="AP543" s="76">
        <v>0.27197499999999997</v>
      </c>
      <c r="AQ543" s="76">
        <v>0.27197499999999997</v>
      </c>
      <c r="AR543" s="76">
        <v>0.27197499999999997</v>
      </c>
      <c r="AS543" s="76">
        <v>0.27197499999999997</v>
      </c>
      <c r="AT543" s="76">
        <v>0.27197499999999997</v>
      </c>
      <c r="AU543" s="76">
        <v>0.27197499999999997</v>
      </c>
      <c r="AV543" s="76">
        <v>0.27197499999999997</v>
      </c>
      <c r="AW543" s="76">
        <v>0.27197499999999997</v>
      </c>
      <c r="AX543" s="84">
        <v>0.27197499999999997</v>
      </c>
    </row>
    <row r="544" spans="1:50" x14ac:dyDescent="0.25">
      <c r="A544" s="357"/>
      <c r="B544" s="367"/>
      <c r="C544" s="354"/>
      <c r="D544" s="4" t="s">
        <v>8</v>
      </c>
      <c r="E544" s="168" t="str">
        <f>A535&amp;"/"&amp;B535&amp;"/"&amp;C543&amp;"/"&amp;D544</f>
        <v>Refinery gas fired power plants/Steam turbine/CHP with CCS/M</v>
      </c>
      <c r="F544" s="80" t="str">
        <f>A535</f>
        <v>Refinery gas fired power plants</v>
      </c>
      <c r="G544" s="80" t="str">
        <f>B535</f>
        <v>Steam turbine</v>
      </c>
      <c r="H544" s="80" t="str">
        <f>C543</f>
        <v>CHP with CCS</v>
      </c>
      <c r="I544" s="169" t="str">
        <f t="shared" si="85"/>
        <v>M</v>
      </c>
      <c r="J544" s="80" t="s">
        <v>112</v>
      </c>
      <c r="K544" s="80" t="s">
        <v>112</v>
      </c>
      <c r="L544" s="80" t="s">
        <v>112</v>
      </c>
      <c r="M544" s="80" t="s">
        <v>112</v>
      </c>
      <c r="N544" s="80" t="s">
        <v>112</v>
      </c>
      <c r="O544" s="80" t="s">
        <v>112</v>
      </c>
      <c r="P544" s="80" t="s">
        <v>112</v>
      </c>
      <c r="Q544" s="80" t="s">
        <v>112</v>
      </c>
      <c r="R544" s="80" t="s">
        <v>112</v>
      </c>
      <c r="S544" s="80" t="s">
        <v>112</v>
      </c>
      <c r="T544" s="80" t="s">
        <v>112</v>
      </c>
      <c r="U544" s="80" t="s">
        <v>112</v>
      </c>
      <c r="V544" s="80" t="s">
        <v>112</v>
      </c>
      <c r="W544" s="80" t="s">
        <v>112</v>
      </c>
      <c r="X544" s="80" t="s">
        <v>112</v>
      </c>
      <c r="Y544" s="80" t="s">
        <v>112</v>
      </c>
      <c r="Z544" s="80" t="s">
        <v>112</v>
      </c>
      <c r="AA544" s="80" t="s">
        <v>112</v>
      </c>
      <c r="AB544" s="80" t="s">
        <v>112</v>
      </c>
      <c r="AC544" s="80" t="s">
        <v>112</v>
      </c>
      <c r="AD544" s="80" t="s">
        <v>112</v>
      </c>
      <c r="AE544" s="80">
        <v>0.28557375000000002</v>
      </c>
      <c r="AF544" s="80">
        <v>0.28557375000000002</v>
      </c>
      <c r="AG544" s="80">
        <v>0.28557375000000002</v>
      </c>
      <c r="AH544" s="80">
        <v>0.28557375000000002</v>
      </c>
      <c r="AI544" s="80">
        <v>0.28557375000000002</v>
      </c>
      <c r="AJ544" s="80">
        <v>0.28557375000000002</v>
      </c>
      <c r="AK544" s="80">
        <v>0.28557375000000002</v>
      </c>
      <c r="AL544" s="80">
        <v>0.28557375000000002</v>
      </c>
      <c r="AM544" s="80">
        <v>0.28557375000000002</v>
      </c>
      <c r="AN544" s="80">
        <v>0.28557375000000002</v>
      </c>
      <c r="AO544" s="80">
        <v>0.28557375000000002</v>
      </c>
      <c r="AP544" s="80">
        <v>0.28557375000000002</v>
      </c>
      <c r="AQ544" s="80">
        <v>0.28557375000000002</v>
      </c>
      <c r="AR544" s="80">
        <v>0.28557375000000002</v>
      </c>
      <c r="AS544" s="80">
        <v>0.28557375000000002</v>
      </c>
      <c r="AT544" s="80">
        <v>0.28557375000000002</v>
      </c>
      <c r="AU544" s="80">
        <v>0.28557375000000002</v>
      </c>
      <c r="AV544" s="80">
        <v>0.28557375000000002</v>
      </c>
      <c r="AW544" s="80">
        <v>0.28557375000000002</v>
      </c>
      <c r="AX544" s="88">
        <v>0.28557375000000002</v>
      </c>
    </row>
    <row r="545" spans="1:50" x14ac:dyDescent="0.25">
      <c r="A545" s="355" t="s">
        <v>28</v>
      </c>
      <c r="B545" s="358" t="s">
        <v>23</v>
      </c>
      <c r="C545" s="353" t="s">
        <v>6</v>
      </c>
      <c r="D545" s="3" t="s">
        <v>7</v>
      </c>
      <c r="E545" s="162" t="str">
        <f>A545&amp;"/"&amp;B545&amp;"/"&amp;C545&amp;"/"&amp;D545</f>
        <v>Diesel oil fired power plants/Gas turbine combined cycle/Electricity only/L</v>
      </c>
      <c r="F545" s="77" t="str">
        <f>A545</f>
        <v>Diesel oil fired power plants</v>
      </c>
      <c r="G545" s="77" t="str">
        <f>B545</f>
        <v>Gas turbine combined cycle</v>
      </c>
      <c r="H545" s="77" t="str">
        <f>C545</f>
        <v>Electricity only</v>
      </c>
      <c r="I545" s="163" t="str">
        <f t="shared" si="85"/>
        <v>L</v>
      </c>
      <c r="J545" s="77">
        <v>3.2000000000000001E-2</v>
      </c>
      <c r="K545" s="77">
        <v>3.2000000000000001E-2</v>
      </c>
      <c r="L545" s="77">
        <v>3.2000000000000001E-2</v>
      </c>
      <c r="M545" s="77">
        <v>3.2000000000000001E-2</v>
      </c>
      <c r="N545" s="77">
        <v>3.2000000000000001E-2</v>
      </c>
      <c r="O545" s="77">
        <v>3.2000000000000001E-2</v>
      </c>
      <c r="P545" s="77">
        <v>3.2000000000000001E-2</v>
      </c>
      <c r="Q545" s="77">
        <v>3.2000000000000001E-2</v>
      </c>
      <c r="R545" s="77">
        <v>3.2000000000000001E-2</v>
      </c>
      <c r="S545" s="77">
        <v>3.2000000000000001E-2</v>
      </c>
      <c r="T545" s="77">
        <v>3.2000000000000001E-2</v>
      </c>
      <c r="U545" s="77">
        <v>3.2000000000000001E-2</v>
      </c>
      <c r="V545" s="77">
        <v>3.2000000000000001E-2</v>
      </c>
      <c r="W545" s="77">
        <v>3.2000000000000001E-2</v>
      </c>
      <c r="X545" s="77">
        <v>3.2000000000000001E-2</v>
      </c>
      <c r="Y545" s="77">
        <v>3.2000000000000001E-2</v>
      </c>
      <c r="Z545" s="77">
        <v>3.2000000000000001E-2</v>
      </c>
      <c r="AA545" s="77">
        <v>3.2000000000000001E-2</v>
      </c>
      <c r="AB545" s="77">
        <v>3.2000000000000001E-2</v>
      </c>
      <c r="AC545" s="77">
        <v>3.2000000000000001E-2</v>
      </c>
      <c r="AD545" s="77">
        <v>3.2000000000000001E-2</v>
      </c>
      <c r="AE545" s="77">
        <v>3.2000000000000001E-2</v>
      </c>
      <c r="AF545" s="77">
        <v>3.2000000000000001E-2</v>
      </c>
      <c r="AG545" s="77">
        <v>3.2000000000000001E-2</v>
      </c>
      <c r="AH545" s="77">
        <v>3.2000000000000001E-2</v>
      </c>
      <c r="AI545" s="77">
        <v>3.2000000000000001E-2</v>
      </c>
      <c r="AJ545" s="77">
        <v>3.2000000000000001E-2</v>
      </c>
      <c r="AK545" s="77">
        <v>3.2000000000000001E-2</v>
      </c>
      <c r="AL545" s="77">
        <v>3.2000000000000001E-2</v>
      </c>
      <c r="AM545" s="77">
        <v>3.2000000000000001E-2</v>
      </c>
      <c r="AN545" s="77">
        <v>3.2000000000000001E-2</v>
      </c>
      <c r="AO545" s="77">
        <v>3.2000000000000001E-2</v>
      </c>
      <c r="AP545" s="77">
        <v>3.2000000000000001E-2</v>
      </c>
      <c r="AQ545" s="77">
        <v>3.2000000000000001E-2</v>
      </c>
      <c r="AR545" s="77">
        <v>3.2000000000000001E-2</v>
      </c>
      <c r="AS545" s="77">
        <v>3.2000000000000001E-2</v>
      </c>
      <c r="AT545" s="77">
        <v>3.2000000000000001E-2</v>
      </c>
      <c r="AU545" s="77">
        <v>3.2000000000000001E-2</v>
      </c>
      <c r="AV545" s="77">
        <v>3.2000000000000001E-2</v>
      </c>
      <c r="AW545" s="77">
        <v>3.2000000000000001E-2</v>
      </c>
      <c r="AX545" s="85">
        <v>3.2000000000000001E-2</v>
      </c>
    </row>
    <row r="546" spans="1:50" x14ac:dyDescent="0.25">
      <c r="A546" s="356"/>
      <c r="B546" s="359"/>
      <c r="C546" s="360"/>
      <c r="D546" s="2" t="s">
        <v>8</v>
      </c>
      <c r="E546" s="160" t="str">
        <f>A545&amp;"/"&amp;B545&amp;"/"&amp;C545&amp;"/"&amp;D546</f>
        <v>Diesel oil fired power plants/Gas turbine combined cycle/Electricity only/M</v>
      </c>
      <c r="F546" s="76" t="str">
        <f>A545</f>
        <v>Diesel oil fired power plants</v>
      </c>
      <c r="G546" s="76" t="str">
        <f>B545</f>
        <v>Gas turbine combined cycle</v>
      </c>
      <c r="H546" s="76" t="str">
        <f>C545</f>
        <v>Electricity only</v>
      </c>
      <c r="I546" s="161" t="str">
        <f t="shared" si="85"/>
        <v>M</v>
      </c>
      <c r="J546" s="76">
        <v>3.3600000000000005E-2</v>
      </c>
      <c r="K546" s="76">
        <v>3.3600000000000005E-2</v>
      </c>
      <c r="L546" s="76">
        <v>3.3600000000000005E-2</v>
      </c>
      <c r="M546" s="76">
        <v>3.3600000000000005E-2</v>
      </c>
      <c r="N546" s="76">
        <v>3.3600000000000005E-2</v>
      </c>
      <c r="O546" s="76">
        <v>3.3600000000000005E-2</v>
      </c>
      <c r="P546" s="76">
        <v>3.3600000000000005E-2</v>
      </c>
      <c r="Q546" s="76">
        <v>3.3600000000000005E-2</v>
      </c>
      <c r="R546" s="76">
        <v>3.3600000000000005E-2</v>
      </c>
      <c r="S546" s="76">
        <v>3.3600000000000005E-2</v>
      </c>
      <c r="T546" s="76">
        <v>3.3600000000000005E-2</v>
      </c>
      <c r="U546" s="76">
        <v>3.3600000000000005E-2</v>
      </c>
      <c r="V546" s="76">
        <v>3.3600000000000005E-2</v>
      </c>
      <c r="W546" s="76">
        <v>3.3600000000000005E-2</v>
      </c>
      <c r="X546" s="76">
        <v>3.3600000000000005E-2</v>
      </c>
      <c r="Y546" s="76">
        <v>3.3600000000000005E-2</v>
      </c>
      <c r="Z546" s="76">
        <v>3.3600000000000005E-2</v>
      </c>
      <c r="AA546" s="76">
        <v>3.3600000000000005E-2</v>
      </c>
      <c r="AB546" s="76">
        <v>3.3600000000000005E-2</v>
      </c>
      <c r="AC546" s="76">
        <v>3.3600000000000005E-2</v>
      </c>
      <c r="AD546" s="76">
        <v>3.3600000000000005E-2</v>
      </c>
      <c r="AE546" s="76">
        <v>3.3600000000000005E-2</v>
      </c>
      <c r="AF546" s="76">
        <v>3.3600000000000005E-2</v>
      </c>
      <c r="AG546" s="76">
        <v>3.3600000000000005E-2</v>
      </c>
      <c r="AH546" s="76">
        <v>3.3600000000000005E-2</v>
      </c>
      <c r="AI546" s="76">
        <v>3.3600000000000005E-2</v>
      </c>
      <c r="AJ546" s="76">
        <v>3.3600000000000005E-2</v>
      </c>
      <c r="AK546" s="76">
        <v>3.3600000000000005E-2</v>
      </c>
      <c r="AL546" s="76">
        <v>3.3600000000000005E-2</v>
      </c>
      <c r="AM546" s="76">
        <v>3.3600000000000005E-2</v>
      </c>
      <c r="AN546" s="76">
        <v>3.3600000000000005E-2</v>
      </c>
      <c r="AO546" s="76">
        <v>3.3600000000000005E-2</v>
      </c>
      <c r="AP546" s="76">
        <v>3.3600000000000005E-2</v>
      </c>
      <c r="AQ546" s="76">
        <v>3.3600000000000005E-2</v>
      </c>
      <c r="AR546" s="76">
        <v>3.3600000000000005E-2</v>
      </c>
      <c r="AS546" s="76">
        <v>3.3600000000000005E-2</v>
      </c>
      <c r="AT546" s="76">
        <v>3.3600000000000005E-2</v>
      </c>
      <c r="AU546" s="76">
        <v>3.3600000000000005E-2</v>
      </c>
      <c r="AV546" s="76">
        <v>3.3600000000000005E-2</v>
      </c>
      <c r="AW546" s="76">
        <v>3.3600000000000005E-2</v>
      </c>
      <c r="AX546" s="84">
        <v>3.3600000000000005E-2</v>
      </c>
    </row>
    <row r="547" spans="1:50" x14ac:dyDescent="0.25">
      <c r="A547" s="356"/>
      <c r="B547" s="359"/>
      <c r="C547" s="361" t="s">
        <v>14</v>
      </c>
      <c r="D547" s="58" t="s">
        <v>7</v>
      </c>
      <c r="E547" s="164" t="str">
        <f>A545&amp;"/"&amp;B545&amp;"/"&amp;C547&amp;"/"&amp;D547</f>
        <v>Diesel oil fired power plants/Gas turbine combined cycle/CHP/L</v>
      </c>
      <c r="F547" s="78" t="str">
        <f>A545</f>
        <v>Diesel oil fired power plants</v>
      </c>
      <c r="G547" s="78" t="str">
        <f>B545</f>
        <v>Gas turbine combined cycle</v>
      </c>
      <c r="H547" s="78" t="str">
        <f>C547</f>
        <v>CHP</v>
      </c>
      <c r="I547" s="165" t="str">
        <f t="shared" si="85"/>
        <v>L</v>
      </c>
      <c r="J547" s="78">
        <v>3.5200000000000002E-2</v>
      </c>
      <c r="K547" s="78">
        <v>3.5200000000000002E-2</v>
      </c>
      <c r="L547" s="78">
        <v>3.5200000000000002E-2</v>
      </c>
      <c r="M547" s="78">
        <v>3.5200000000000002E-2</v>
      </c>
      <c r="N547" s="78">
        <v>3.5200000000000002E-2</v>
      </c>
      <c r="O547" s="78">
        <v>3.5200000000000002E-2</v>
      </c>
      <c r="P547" s="78">
        <v>3.5200000000000002E-2</v>
      </c>
      <c r="Q547" s="78">
        <v>3.5200000000000002E-2</v>
      </c>
      <c r="R547" s="78">
        <v>3.5200000000000002E-2</v>
      </c>
      <c r="S547" s="78">
        <v>3.5200000000000002E-2</v>
      </c>
      <c r="T547" s="78">
        <v>3.5200000000000002E-2</v>
      </c>
      <c r="U547" s="78">
        <v>3.5200000000000002E-2</v>
      </c>
      <c r="V547" s="78">
        <v>3.5200000000000002E-2</v>
      </c>
      <c r="W547" s="78">
        <v>3.5200000000000002E-2</v>
      </c>
      <c r="X547" s="78">
        <v>3.5200000000000002E-2</v>
      </c>
      <c r="Y547" s="78">
        <v>3.5200000000000002E-2</v>
      </c>
      <c r="Z547" s="78">
        <v>3.5200000000000002E-2</v>
      </c>
      <c r="AA547" s="78">
        <v>3.5200000000000002E-2</v>
      </c>
      <c r="AB547" s="78">
        <v>3.5200000000000002E-2</v>
      </c>
      <c r="AC547" s="78">
        <v>3.5200000000000002E-2</v>
      </c>
      <c r="AD547" s="78">
        <v>3.5200000000000002E-2</v>
      </c>
      <c r="AE547" s="78">
        <v>3.5200000000000002E-2</v>
      </c>
      <c r="AF547" s="78">
        <v>3.5200000000000002E-2</v>
      </c>
      <c r="AG547" s="78">
        <v>3.5200000000000002E-2</v>
      </c>
      <c r="AH547" s="78">
        <v>3.5200000000000002E-2</v>
      </c>
      <c r="AI547" s="78">
        <v>3.5200000000000002E-2</v>
      </c>
      <c r="AJ547" s="78">
        <v>3.5200000000000002E-2</v>
      </c>
      <c r="AK547" s="78">
        <v>3.5200000000000002E-2</v>
      </c>
      <c r="AL547" s="78">
        <v>3.5200000000000002E-2</v>
      </c>
      <c r="AM547" s="78">
        <v>3.5200000000000002E-2</v>
      </c>
      <c r="AN547" s="78">
        <v>3.5200000000000002E-2</v>
      </c>
      <c r="AO547" s="78">
        <v>3.5200000000000002E-2</v>
      </c>
      <c r="AP547" s="78">
        <v>3.5200000000000002E-2</v>
      </c>
      <c r="AQ547" s="78">
        <v>3.5200000000000002E-2</v>
      </c>
      <c r="AR547" s="78">
        <v>3.5200000000000002E-2</v>
      </c>
      <c r="AS547" s="78">
        <v>3.5200000000000002E-2</v>
      </c>
      <c r="AT547" s="78">
        <v>3.5200000000000002E-2</v>
      </c>
      <c r="AU547" s="78">
        <v>3.5200000000000002E-2</v>
      </c>
      <c r="AV547" s="78">
        <v>3.5200000000000002E-2</v>
      </c>
      <c r="AW547" s="78">
        <v>3.5200000000000002E-2</v>
      </c>
      <c r="AX547" s="86">
        <v>3.5200000000000002E-2</v>
      </c>
    </row>
    <row r="548" spans="1:50" x14ac:dyDescent="0.25">
      <c r="A548" s="356"/>
      <c r="B548" s="359"/>
      <c r="C548" s="360"/>
      <c r="D548" s="59" t="s">
        <v>8</v>
      </c>
      <c r="E548" s="166" t="str">
        <f>A545&amp;"/"&amp;B545&amp;"/"&amp;C547&amp;"/"&amp;D548</f>
        <v>Diesel oil fired power plants/Gas turbine combined cycle/CHP/M</v>
      </c>
      <c r="F548" s="79" t="str">
        <f>A545</f>
        <v>Diesel oil fired power plants</v>
      </c>
      <c r="G548" s="79" t="str">
        <f>B545</f>
        <v>Gas turbine combined cycle</v>
      </c>
      <c r="H548" s="79" t="str">
        <f>C547</f>
        <v>CHP</v>
      </c>
      <c r="I548" s="167" t="str">
        <f t="shared" si="85"/>
        <v>M</v>
      </c>
      <c r="J548" s="79">
        <v>3.6960000000000007E-2</v>
      </c>
      <c r="K548" s="79">
        <v>3.6960000000000007E-2</v>
      </c>
      <c r="L548" s="79">
        <v>3.6960000000000007E-2</v>
      </c>
      <c r="M548" s="79">
        <v>3.6960000000000007E-2</v>
      </c>
      <c r="N548" s="79">
        <v>3.6960000000000007E-2</v>
      </c>
      <c r="O548" s="79">
        <v>3.6960000000000007E-2</v>
      </c>
      <c r="P548" s="79">
        <v>3.6960000000000007E-2</v>
      </c>
      <c r="Q548" s="79">
        <v>3.6960000000000007E-2</v>
      </c>
      <c r="R548" s="79">
        <v>3.6960000000000007E-2</v>
      </c>
      <c r="S548" s="79">
        <v>3.6960000000000007E-2</v>
      </c>
      <c r="T548" s="79">
        <v>3.6960000000000007E-2</v>
      </c>
      <c r="U548" s="79">
        <v>3.6960000000000007E-2</v>
      </c>
      <c r="V548" s="79">
        <v>3.6960000000000007E-2</v>
      </c>
      <c r="W548" s="79">
        <v>3.6960000000000007E-2</v>
      </c>
      <c r="X548" s="79">
        <v>3.6960000000000007E-2</v>
      </c>
      <c r="Y548" s="79">
        <v>3.6960000000000007E-2</v>
      </c>
      <c r="Z548" s="79">
        <v>3.6960000000000007E-2</v>
      </c>
      <c r="AA548" s="79">
        <v>3.6960000000000007E-2</v>
      </c>
      <c r="AB548" s="79">
        <v>3.6960000000000007E-2</v>
      </c>
      <c r="AC548" s="79">
        <v>3.6960000000000007E-2</v>
      </c>
      <c r="AD548" s="79">
        <v>3.6960000000000007E-2</v>
      </c>
      <c r="AE548" s="79">
        <v>3.6960000000000007E-2</v>
      </c>
      <c r="AF548" s="79">
        <v>3.6960000000000007E-2</v>
      </c>
      <c r="AG548" s="79">
        <v>3.6960000000000007E-2</v>
      </c>
      <c r="AH548" s="79">
        <v>3.6960000000000007E-2</v>
      </c>
      <c r="AI548" s="79">
        <v>3.6960000000000007E-2</v>
      </c>
      <c r="AJ548" s="79">
        <v>3.6960000000000007E-2</v>
      </c>
      <c r="AK548" s="79">
        <v>3.6960000000000007E-2</v>
      </c>
      <c r="AL548" s="79">
        <v>3.6960000000000007E-2</v>
      </c>
      <c r="AM548" s="79">
        <v>3.6960000000000007E-2</v>
      </c>
      <c r="AN548" s="79">
        <v>3.6960000000000007E-2</v>
      </c>
      <c r="AO548" s="79">
        <v>3.6960000000000007E-2</v>
      </c>
      <c r="AP548" s="79">
        <v>3.6960000000000007E-2</v>
      </c>
      <c r="AQ548" s="79">
        <v>3.6960000000000007E-2</v>
      </c>
      <c r="AR548" s="79">
        <v>3.6960000000000007E-2</v>
      </c>
      <c r="AS548" s="79">
        <v>3.6960000000000007E-2</v>
      </c>
      <c r="AT548" s="79">
        <v>3.6960000000000007E-2</v>
      </c>
      <c r="AU548" s="79">
        <v>3.6960000000000007E-2</v>
      </c>
      <c r="AV548" s="79">
        <v>3.6960000000000007E-2</v>
      </c>
      <c r="AW548" s="79">
        <v>3.6960000000000007E-2</v>
      </c>
      <c r="AX548" s="87">
        <v>3.6960000000000007E-2</v>
      </c>
    </row>
    <row r="549" spans="1:50" x14ac:dyDescent="0.25">
      <c r="A549" s="356"/>
      <c r="B549" s="359"/>
      <c r="C549" s="361" t="s">
        <v>15</v>
      </c>
      <c r="D549" s="58" t="s">
        <v>7</v>
      </c>
      <c r="E549" s="164" t="str">
        <f>A545&amp;"/"&amp;B545&amp;"/"&amp;C549&amp;"/"&amp;D549</f>
        <v>Diesel oil fired power plants/Gas turbine combined cycle/Electricity only with CCS/L</v>
      </c>
      <c r="F549" s="78" t="str">
        <f>A545</f>
        <v>Diesel oil fired power plants</v>
      </c>
      <c r="G549" s="78" t="str">
        <f>B545</f>
        <v>Gas turbine combined cycle</v>
      </c>
      <c r="H549" s="78" t="str">
        <f>C549</f>
        <v>Electricity only with CCS</v>
      </c>
      <c r="I549" s="165" t="str">
        <f t="shared" si="85"/>
        <v>L</v>
      </c>
      <c r="J549" s="78" t="s">
        <v>112</v>
      </c>
      <c r="K549" s="78" t="s">
        <v>112</v>
      </c>
      <c r="L549" s="78" t="s">
        <v>112</v>
      </c>
      <c r="M549" s="78" t="s">
        <v>112</v>
      </c>
      <c r="N549" s="78" t="s">
        <v>112</v>
      </c>
      <c r="O549" s="78" t="s">
        <v>112</v>
      </c>
      <c r="P549" s="78" t="s">
        <v>112</v>
      </c>
      <c r="Q549" s="78" t="s">
        <v>112</v>
      </c>
      <c r="R549" s="78" t="s">
        <v>112</v>
      </c>
      <c r="S549" s="78" t="s">
        <v>112</v>
      </c>
      <c r="T549" s="78" t="s">
        <v>112</v>
      </c>
      <c r="U549" s="78" t="s">
        <v>112</v>
      </c>
      <c r="V549" s="78" t="s">
        <v>112</v>
      </c>
      <c r="W549" s="78" t="s">
        <v>112</v>
      </c>
      <c r="X549" s="78" t="s">
        <v>112</v>
      </c>
      <c r="Y549" s="78" t="s">
        <v>112</v>
      </c>
      <c r="Z549" s="78" t="s">
        <v>112</v>
      </c>
      <c r="AA549" s="78" t="s">
        <v>112</v>
      </c>
      <c r="AB549" s="78" t="s">
        <v>112</v>
      </c>
      <c r="AC549" s="78" t="s">
        <v>112</v>
      </c>
      <c r="AD549" s="78" t="s">
        <v>112</v>
      </c>
      <c r="AE549" s="78">
        <v>0.10400000000000001</v>
      </c>
      <c r="AF549" s="78">
        <v>0.10400000000000001</v>
      </c>
      <c r="AG549" s="78">
        <v>0.10400000000000001</v>
      </c>
      <c r="AH549" s="78">
        <v>0.10400000000000001</v>
      </c>
      <c r="AI549" s="78">
        <v>0.10400000000000001</v>
      </c>
      <c r="AJ549" s="78">
        <v>0.10400000000000001</v>
      </c>
      <c r="AK549" s="78">
        <v>0.10400000000000001</v>
      </c>
      <c r="AL549" s="78">
        <v>0.10400000000000001</v>
      </c>
      <c r="AM549" s="78">
        <v>0.10400000000000001</v>
      </c>
      <c r="AN549" s="78">
        <v>0.10400000000000001</v>
      </c>
      <c r="AO549" s="78">
        <v>0.10400000000000001</v>
      </c>
      <c r="AP549" s="78">
        <v>0.10400000000000001</v>
      </c>
      <c r="AQ549" s="78">
        <v>0.10400000000000001</v>
      </c>
      <c r="AR549" s="78">
        <v>0.10400000000000001</v>
      </c>
      <c r="AS549" s="78">
        <v>0.10400000000000001</v>
      </c>
      <c r="AT549" s="78">
        <v>0.10400000000000001</v>
      </c>
      <c r="AU549" s="78">
        <v>0.10400000000000001</v>
      </c>
      <c r="AV549" s="78">
        <v>0.10400000000000001</v>
      </c>
      <c r="AW549" s="78">
        <v>0.10400000000000001</v>
      </c>
      <c r="AX549" s="86">
        <v>0.10400000000000001</v>
      </c>
    </row>
    <row r="550" spans="1:50" x14ac:dyDescent="0.25">
      <c r="A550" s="356"/>
      <c r="B550" s="359"/>
      <c r="C550" s="360"/>
      <c r="D550" s="59" t="s">
        <v>8</v>
      </c>
      <c r="E550" s="166" t="str">
        <f>A545&amp;"/"&amp;B545&amp;"/"&amp;C549&amp;"/"&amp;D550</f>
        <v>Diesel oil fired power plants/Gas turbine combined cycle/Electricity only with CCS/M</v>
      </c>
      <c r="F550" s="79" t="str">
        <f>A545</f>
        <v>Diesel oil fired power plants</v>
      </c>
      <c r="G550" s="79" t="str">
        <f>B545</f>
        <v>Gas turbine combined cycle</v>
      </c>
      <c r="H550" s="79" t="str">
        <f>C549</f>
        <v>Electricity only with CCS</v>
      </c>
      <c r="I550" s="167" t="str">
        <f t="shared" si="85"/>
        <v>M</v>
      </c>
      <c r="J550" s="79" t="s">
        <v>112</v>
      </c>
      <c r="K550" s="79" t="s">
        <v>112</v>
      </c>
      <c r="L550" s="79" t="s">
        <v>112</v>
      </c>
      <c r="M550" s="79" t="s">
        <v>112</v>
      </c>
      <c r="N550" s="79" t="s">
        <v>112</v>
      </c>
      <c r="O550" s="79" t="s">
        <v>112</v>
      </c>
      <c r="P550" s="79" t="s">
        <v>112</v>
      </c>
      <c r="Q550" s="79" t="s">
        <v>112</v>
      </c>
      <c r="R550" s="79" t="s">
        <v>112</v>
      </c>
      <c r="S550" s="79" t="s">
        <v>112</v>
      </c>
      <c r="T550" s="79" t="s">
        <v>112</v>
      </c>
      <c r="U550" s="79" t="s">
        <v>112</v>
      </c>
      <c r="V550" s="79" t="s">
        <v>112</v>
      </c>
      <c r="W550" s="79" t="s">
        <v>112</v>
      </c>
      <c r="X550" s="79" t="s">
        <v>112</v>
      </c>
      <c r="Y550" s="79" t="s">
        <v>112</v>
      </c>
      <c r="Z550" s="79" t="s">
        <v>112</v>
      </c>
      <c r="AA550" s="79" t="s">
        <v>112</v>
      </c>
      <c r="AB550" s="79" t="s">
        <v>112</v>
      </c>
      <c r="AC550" s="79" t="s">
        <v>112</v>
      </c>
      <c r="AD550" s="79" t="s">
        <v>112</v>
      </c>
      <c r="AE550" s="79">
        <v>0.10920000000000002</v>
      </c>
      <c r="AF550" s="79">
        <v>0.10920000000000002</v>
      </c>
      <c r="AG550" s="79">
        <v>0.10920000000000002</v>
      </c>
      <c r="AH550" s="79">
        <v>0.10920000000000002</v>
      </c>
      <c r="AI550" s="79">
        <v>0.10920000000000002</v>
      </c>
      <c r="AJ550" s="79">
        <v>0.10920000000000002</v>
      </c>
      <c r="AK550" s="79">
        <v>0.10920000000000002</v>
      </c>
      <c r="AL550" s="79">
        <v>0.10920000000000002</v>
      </c>
      <c r="AM550" s="79">
        <v>0.10920000000000002</v>
      </c>
      <c r="AN550" s="79">
        <v>0.10920000000000002</v>
      </c>
      <c r="AO550" s="79">
        <v>0.10920000000000002</v>
      </c>
      <c r="AP550" s="79">
        <v>0.10920000000000002</v>
      </c>
      <c r="AQ550" s="79">
        <v>0.10920000000000002</v>
      </c>
      <c r="AR550" s="79">
        <v>0.10920000000000002</v>
      </c>
      <c r="AS550" s="79">
        <v>0.10920000000000002</v>
      </c>
      <c r="AT550" s="79">
        <v>0.10920000000000002</v>
      </c>
      <c r="AU550" s="79">
        <v>0.10920000000000002</v>
      </c>
      <c r="AV550" s="79">
        <v>0.10920000000000002</v>
      </c>
      <c r="AW550" s="79">
        <v>0.10920000000000002</v>
      </c>
      <c r="AX550" s="87">
        <v>0.10920000000000002</v>
      </c>
    </row>
    <row r="551" spans="1:50" x14ac:dyDescent="0.25">
      <c r="A551" s="356"/>
      <c r="B551" s="359"/>
      <c r="C551" s="361" t="s">
        <v>16</v>
      </c>
      <c r="D551" s="2" t="s">
        <v>7</v>
      </c>
      <c r="E551" s="160" t="str">
        <f>A545&amp;"/"&amp;B545&amp;"/"&amp;C551&amp;"/"&amp;D551</f>
        <v>Diesel oil fired power plants/Gas turbine combined cycle/CHP with CCS/L</v>
      </c>
      <c r="F551" s="76" t="str">
        <f>A545</f>
        <v>Diesel oil fired power plants</v>
      </c>
      <c r="G551" s="76" t="str">
        <f>B545</f>
        <v>Gas turbine combined cycle</v>
      </c>
      <c r="H551" s="76" t="str">
        <f>C551</f>
        <v>CHP with CCS</v>
      </c>
      <c r="I551" s="161" t="str">
        <f t="shared" si="85"/>
        <v>L</v>
      </c>
      <c r="J551" s="76" t="s">
        <v>112</v>
      </c>
      <c r="K551" s="76" t="s">
        <v>112</v>
      </c>
      <c r="L551" s="76" t="s">
        <v>112</v>
      </c>
      <c r="M551" s="76" t="s">
        <v>112</v>
      </c>
      <c r="N551" s="76" t="s">
        <v>112</v>
      </c>
      <c r="O551" s="76" t="s">
        <v>112</v>
      </c>
      <c r="P551" s="76" t="s">
        <v>112</v>
      </c>
      <c r="Q551" s="76" t="s">
        <v>112</v>
      </c>
      <c r="R551" s="76" t="s">
        <v>112</v>
      </c>
      <c r="S551" s="76" t="s">
        <v>112</v>
      </c>
      <c r="T551" s="76" t="s">
        <v>112</v>
      </c>
      <c r="U551" s="76" t="s">
        <v>112</v>
      </c>
      <c r="V551" s="76" t="s">
        <v>112</v>
      </c>
      <c r="W551" s="76" t="s">
        <v>112</v>
      </c>
      <c r="X551" s="76" t="s">
        <v>112</v>
      </c>
      <c r="Y551" s="76" t="s">
        <v>112</v>
      </c>
      <c r="Z551" s="76" t="s">
        <v>112</v>
      </c>
      <c r="AA551" s="76" t="s">
        <v>112</v>
      </c>
      <c r="AB551" s="76" t="s">
        <v>112</v>
      </c>
      <c r="AC551" s="76" t="s">
        <v>112</v>
      </c>
      <c r="AD551" s="76" t="s">
        <v>112</v>
      </c>
      <c r="AE551" s="76">
        <v>0.11440000000000002</v>
      </c>
      <c r="AF551" s="76">
        <v>0.11440000000000002</v>
      </c>
      <c r="AG551" s="76">
        <v>0.11440000000000002</v>
      </c>
      <c r="AH551" s="76">
        <v>0.11440000000000002</v>
      </c>
      <c r="AI551" s="76">
        <v>0.11440000000000002</v>
      </c>
      <c r="AJ551" s="76">
        <v>0.11440000000000002</v>
      </c>
      <c r="AK551" s="76">
        <v>0.11440000000000002</v>
      </c>
      <c r="AL551" s="76">
        <v>0.11440000000000002</v>
      </c>
      <c r="AM551" s="76">
        <v>0.11440000000000002</v>
      </c>
      <c r="AN551" s="76">
        <v>0.11440000000000002</v>
      </c>
      <c r="AO551" s="76">
        <v>0.11440000000000002</v>
      </c>
      <c r="AP551" s="76">
        <v>0.11440000000000002</v>
      </c>
      <c r="AQ551" s="76">
        <v>0.11440000000000002</v>
      </c>
      <c r="AR551" s="76">
        <v>0.11440000000000002</v>
      </c>
      <c r="AS551" s="76">
        <v>0.11440000000000002</v>
      </c>
      <c r="AT551" s="76">
        <v>0.11440000000000002</v>
      </c>
      <c r="AU551" s="76">
        <v>0.11440000000000002</v>
      </c>
      <c r="AV551" s="76">
        <v>0.11440000000000002</v>
      </c>
      <c r="AW551" s="76">
        <v>0.11440000000000002</v>
      </c>
      <c r="AX551" s="84">
        <v>0.11440000000000002</v>
      </c>
    </row>
    <row r="552" spans="1:50" x14ac:dyDescent="0.25">
      <c r="A552" s="356"/>
      <c r="B552" s="362"/>
      <c r="C552" s="354"/>
      <c r="D552" s="4" t="s">
        <v>8</v>
      </c>
      <c r="E552" s="168" t="str">
        <f>A545&amp;"/"&amp;B545&amp;"/"&amp;C551&amp;"/"&amp;D552</f>
        <v>Diesel oil fired power plants/Gas turbine combined cycle/CHP with CCS/M</v>
      </c>
      <c r="F552" s="80" t="str">
        <f>A545</f>
        <v>Diesel oil fired power plants</v>
      </c>
      <c r="G552" s="80" t="str">
        <f>B545</f>
        <v>Gas turbine combined cycle</v>
      </c>
      <c r="H552" s="80" t="str">
        <f>C551</f>
        <v>CHP with CCS</v>
      </c>
      <c r="I552" s="169" t="str">
        <f t="shared" si="85"/>
        <v>M</v>
      </c>
      <c r="J552" s="80" t="s">
        <v>112</v>
      </c>
      <c r="K552" s="80" t="s">
        <v>112</v>
      </c>
      <c r="L552" s="80" t="s">
        <v>112</v>
      </c>
      <c r="M552" s="80" t="s">
        <v>112</v>
      </c>
      <c r="N552" s="80" t="s">
        <v>112</v>
      </c>
      <c r="O552" s="80" t="s">
        <v>112</v>
      </c>
      <c r="P552" s="80" t="s">
        <v>112</v>
      </c>
      <c r="Q552" s="80" t="s">
        <v>112</v>
      </c>
      <c r="R552" s="80" t="s">
        <v>112</v>
      </c>
      <c r="S552" s="80" t="s">
        <v>112</v>
      </c>
      <c r="T552" s="80" t="s">
        <v>112</v>
      </c>
      <c r="U552" s="80" t="s">
        <v>112</v>
      </c>
      <c r="V552" s="80" t="s">
        <v>112</v>
      </c>
      <c r="W552" s="80" t="s">
        <v>112</v>
      </c>
      <c r="X552" s="80" t="s">
        <v>112</v>
      </c>
      <c r="Y552" s="80" t="s">
        <v>112</v>
      </c>
      <c r="Z552" s="80" t="s">
        <v>112</v>
      </c>
      <c r="AA552" s="80" t="s">
        <v>112</v>
      </c>
      <c r="AB552" s="80" t="s">
        <v>112</v>
      </c>
      <c r="AC552" s="80" t="s">
        <v>112</v>
      </c>
      <c r="AD552" s="80" t="s">
        <v>112</v>
      </c>
      <c r="AE552" s="80">
        <v>0.12012000000000003</v>
      </c>
      <c r="AF552" s="80">
        <v>0.12012000000000003</v>
      </c>
      <c r="AG552" s="80">
        <v>0.12012000000000003</v>
      </c>
      <c r="AH552" s="80">
        <v>0.12012000000000003</v>
      </c>
      <c r="AI552" s="80">
        <v>0.12012000000000003</v>
      </c>
      <c r="AJ552" s="80">
        <v>0.12012000000000003</v>
      </c>
      <c r="AK552" s="80">
        <v>0.12012000000000003</v>
      </c>
      <c r="AL552" s="80">
        <v>0.12012000000000003</v>
      </c>
      <c r="AM552" s="80">
        <v>0.12012000000000003</v>
      </c>
      <c r="AN552" s="80">
        <v>0.12012000000000003</v>
      </c>
      <c r="AO552" s="80">
        <v>0.12012000000000003</v>
      </c>
      <c r="AP552" s="80">
        <v>0.12012000000000003</v>
      </c>
      <c r="AQ552" s="80">
        <v>0.12012000000000003</v>
      </c>
      <c r="AR552" s="80">
        <v>0.12012000000000003</v>
      </c>
      <c r="AS552" s="80">
        <v>0.12012000000000003</v>
      </c>
      <c r="AT552" s="80">
        <v>0.12012000000000003</v>
      </c>
      <c r="AU552" s="80">
        <v>0.12012000000000003</v>
      </c>
      <c r="AV552" s="80">
        <v>0.12012000000000003</v>
      </c>
      <c r="AW552" s="80">
        <v>0.12012000000000003</v>
      </c>
      <c r="AX552" s="88">
        <v>0.12012000000000003</v>
      </c>
    </row>
    <row r="553" spans="1:50" x14ac:dyDescent="0.25">
      <c r="A553" s="356"/>
      <c r="B553" s="358" t="s">
        <v>24</v>
      </c>
      <c r="C553" s="353" t="s">
        <v>6</v>
      </c>
      <c r="D553" s="3" t="s">
        <v>7</v>
      </c>
      <c r="E553" s="162" t="str">
        <f>A545&amp;"/"&amp;B553&amp;"/"&amp;C553&amp;"/"&amp;D553</f>
        <v>Diesel oil fired power plants/Gas turbine /Electricity only/L</v>
      </c>
      <c r="F553" s="77" t="str">
        <f>A545</f>
        <v>Diesel oil fired power plants</v>
      </c>
      <c r="G553" s="77" t="str">
        <f>B553</f>
        <v xml:space="preserve">Gas turbine </v>
      </c>
      <c r="H553" s="77" t="str">
        <f>C553</f>
        <v>Electricity only</v>
      </c>
      <c r="I553" s="163" t="str">
        <f t="shared" si="85"/>
        <v>L</v>
      </c>
      <c r="J553" s="77">
        <v>2.9000000000000001E-2</v>
      </c>
      <c r="K553" s="77">
        <v>2.9000000000000001E-2</v>
      </c>
      <c r="L553" s="77">
        <v>2.9000000000000001E-2</v>
      </c>
      <c r="M553" s="77">
        <v>2.9000000000000001E-2</v>
      </c>
      <c r="N553" s="77">
        <v>2.9000000000000001E-2</v>
      </c>
      <c r="O553" s="77">
        <v>2.9000000000000001E-2</v>
      </c>
      <c r="P553" s="77">
        <v>2.9000000000000001E-2</v>
      </c>
      <c r="Q553" s="77">
        <v>2.9000000000000001E-2</v>
      </c>
      <c r="R553" s="77">
        <v>2.9000000000000001E-2</v>
      </c>
      <c r="S553" s="77">
        <v>2.9000000000000001E-2</v>
      </c>
      <c r="T553" s="77">
        <v>2.9000000000000001E-2</v>
      </c>
      <c r="U553" s="77">
        <v>2.9000000000000001E-2</v>
      </c>
      <c r="V553" s="77">
        <v>2.9000000000000001E-2</v>
      </c>
      <c r="W553" s="77">
        <v>2.9000000000000001E-2</v>
      </c>
      <c r="X553" s="77">
        <v>2.9000000000000001E-2</v>
      </c>
      <c r="Y553" s="77">
        <v>2.9000000000000001E-2</v>
      </c>
      <c r="Z553" s="77">
        <v>2.9000000000000001E-2</v>
      </c>
      <c r="AA553" s="77">
        <v>2.9000000000000001E-2</v>
      </c>
      <c r="AB553" s="77">
        <v>2.9000000000000001E-2</v>
      </c>
      <c r="AC553" s="77">
        <v>2.9000000000000001E-2</v>
      </c>
      <c r="AD553" s="77">
        <v>2.9000000000000001E-2</v>
      </c>
      <c r="AE553" s="77">
        <v>2.9000000000000001E-2</v>
      </c>
      <c r="AF553" s="77">
        <v>2.9000000000000001E-2</v>
      </c>
      <c r="AG553" s="77">
        <v>2.9000000000000001E-2</v>
      </c>
      <c r="AH553" s="77">
        <v>2.9000000000000001E-2</v>
      </c>
      <c r="AI553" s="77">
        <v>2.9000000000000001E-2</v>
      </c>
      <c r="AJ553" s="77">
        <v>2.9000000000000001E-2</v>
      </c>
      <c r="AK553" s="77">
        <v>2.9000000000000001E-2</v>
      </c>
      <c r="AL553" s="77">
        <v>2.9000000000000001E-2</v>
      </c>
      <c r="AM553" s="77">
        <v>2.9000000000000001E-2</v>
      </c>
      <c r="AN553" s="77">
        <v>2.9000000000000001E-2</v>
      </c>
      <c r="AO553" s="77">
        <v>2.9000000000000001E-2</v>
      </c>
      <c r="AP553" s="77">
        <v>2.9000000000000001E-2</v>
      </c>
      <c r="AQ553" s="77">
        <v>2.9000000000000001E-2</v>
      </c>
      <c r="AR553" s="77">
        <v>2.9000000000000001E-2</v>
      </c>
      <c r="AS553" s="77">
        <v>2.9000000000000001E-2</v>
      </c>
      <c r="AT553" s="77">
        <v>2.9000000000000001E-2</v>
      </c>
      <c r="AU553" s="77">
        <v>2.9000000000000001E-2</v>
      </c>
      <c r="AV553" s="77">
        <v>2.9000000000000001E-2</v>
      </c>
      <c r="AW553" s="77">
        <v>2.9000000000000001E-2</v>
      </c>
      <c r="AX553" s="85">
        <v>2.9000000000000001E-2</v>
      </c>
    </row>
    <row r="554" spans="1:50" x14ac:dyDescent="0.25">
      <c r="A554" s="356"/>
      <c r="B554" s="359"/>
      <c r="C554" s="350"/>
      <c r="D554" s="2" t="s">
        <v>8</v>
      </c>
      <c r="E554" s="160" t="str">
        <f>A545&amp;"/"&amp;B553&amp;"/"&amp;C553&amp;"/"&amp;D554</f>
        <v>Diesel oil fired power plants/Gas turbine /Electricity only/M</v>
      </c>
      <c r="F554" s="76" t="str">
        <f>A545</f>
        <v>Diesel oil fired power plants</v>
      </c>
      <c r="G554" s="76" t="str">
        <f>B553</f>
        <v xml:space="preserve">Gas turbine </v>
      </c>
      <c r="H554" s="76" t="str">
        <f>C553</f>
        <v>Electricity only</v>
      </c>
      <c r="I554" s="161" t="str">
        <f t="shared" si="85"/>
        <v>M</v>
      </c>
      <c r="J554" s="76">
        <v>3.0450000000000001E-2</v>
      </c>
      <c r="K554" s="76">
        <v>3.0450000000000001E-2</v>
      </c>
      <c r="L554" s="76">
        <v>3.0450000000000001E-2</v>
      </c>
      <c r="M554" s="76">
        <v>3.0450000000000001E-2</v>
      </c>
      <c r="N554" s="76">
        <v>3.0450000000000001E-2</v>
      </c>
      <c r="O554" s="76">
        <v>3.0450000000000001E-2</v>
      </c>
      <c r="P554" s="76">
        <v>3.0450000000000001E-2</v>
      </c>
      <c r="Q554" s="76">
        <v>3.0450000000000001E-2</v>
      </c>
      <c r="R554" s="76">
        <v>3.0450000000000001E-2</v>
      </c>
      <c r="S554" s="76">
        <v>3.0450000000000001E-2</v>
      </c>
      <c r="T554" s="76">
        <v>3.0450000000000001E-2</v>
      </c>
      <c r="U554" s="76">
        <v>3.0450000000000001E-2</v>
      </c>
      <c r="V554" s="76">
        <v>3.0450000000000001E-2</v>
      </c>
      <c r="W554" s="76">
        <v>3.0450000000000001E-2</v>
      </c>
      <c r="X554" s="76">
        <v>3.0450000000000001E-2</v>
      </c>
      <c r="Y554" s="76">
        <v>3.0450000000000001E-2</v>
      </c>
      <c r="Z554" s="76">
        <v>3.0450000000000001E-2</v>
      </c>
      <c r="AA554" s="76">
        <v>3.0450000000000001E-2</v>
      </c>
      <c r="AB554" s="76">
        <v>3.0450000000000001E-2</v>
      </c>
      <c r="AC554" s="76">
        <v>3.0450000000000001E-2</v>
      </c>
      <c r="AD554" s="76">
        <v>3.0450000000000001E-2</v>
      </c>
      <c r="AE554" s="76">
        <v>3.0450000000000001E-2</v>
      </c>
      <c r="AF554" s="76">
        <v>3.0450000000000001E-2</v>
      </c>
      <c r="AG554" s="76">
        <v>3.0450000000000001E-2</v>
      </c>
      <c r="AH554" s="76">
        <v>3.0450000000000001E-2</v>
      </c>
      <c r="AI554" s="76">
        <v>3.0450000000000001E-2</v>
      </c>
      <c r="AJ554" s="76">
        <v>3.0450000000000001E-2</v>
      </c>
      <c r="AK554" s="76">
        <v>3.0450000000000001E-2</v>
      </c>
      <c r="AL554" s="76">
        <v>3.0450000000000001E-2</v>
      </c>
      <c r="AM554" s="76">
        <v>3.0450000000000001E-2</v>
      </c>
      <c r="AN554" s="76">
        <v>3.0450000000000001E-2</v>
      </c>
      <c r="AO554" s="76">
        <v>3.0450000000000001E-2</v>
      </c>
      <c r="AP554" s="76">
        <v>3.0450000000000001E-2</v>
      </c>
      <c r="AQ554" s="76">
        <v>3.0450000000000001E-2</v>
      </c>
      <c r="AR554" s="76">
        <v>3.0450000000000001E-2</v>
      </c>
      <c r="AS554" s="76">
        <v>3.0450000000000001E-2</v>
      </c>
      <c r="AT554" s="76">
        <v>3.0450000000000001E-2</v>
      </c>
      <c r="AU554" s="76">
        <v>3.0450000000000001E-2</v>
      </c>
      <c r="AV554" s="76">
        <v>3.0450000000000001E-2</v>
      </c>
      <c r="AW554" s="76">
        <v>3.0450000000000001E-2</v>
      </c>
      <c r="AX554" s="84">
        <v>3.0450000000000001E-2</v>
      </c>
    </row>
    <row r="555" spans="1:50" x14ac:dyDescent="0.25">
      <c r="A555" s="356"/>
      <c r="B555" s="359"/>
      <c r="C555" s="350"/>
      <c r="D555" s="2" t="s">
        <v>10</v>
      </c>
      <c r="E555" s="160" t="str">
        <f>A545&amp;"/"&amp;B553&amp;"/"&amp;C553&amp;"/"&amp;D555</f>
        <v>Diesel oil fired power plants/Gas turbine /Electricity only/S</v>
      </c>
      <c r="F555" s="76" t="str">
        <f>A545</f>
        <v>Diesel oil fired power plants</v>
      </c>
      <c r="G555" s="76" t="str">
        <f>B553</f>
        <v xml:space="preserve">Gas turbine </v>
      </c>
      <c r="H555" s="76" t="str">
        <f>C553</f>
        <v>Electricity only</v>
      </c>
      <c r="I555" s="161" t="str">
        <f t="shared" si="85"/>
        <v>S</v>
      </c>
      <c r="J555" s="76">
        <v>3.1972500000000001E-2</v>
      </c>
      <c r="K555" s="76">
        <v>3.1972500000000001E-2</v>
      </c>
      <c r="L555" s="76">
        <v>3.1972500000000001E-2</v>
      </c>
      <c r="M555" s="76">
        <v>3.1972500000000001E-2</v>
      </c>
      <c r="N555" s="76">
        <v>3.1972500000000001E-2</v>
      </c>
      <c r="O555" s="76">
        <v>3.1972500000000001E-2</v>
      </c>
      <c r="P555" s="76">
        <v>3.1972500000000001E-2</v>
      </c>
      <c r="Q555" s="76">
        <v>3.1972500000000001E-2</v>
      </c>
      <c r="R555" s="76">
        <v>3.1972500000000001E-2</v>
      </c>
      <c r="S555" s="76">
        <v>3.1972500000000001E-2</v>
      </c>
      <c r="T555" s="76">
        <v>3.1972500000000001E-2</v>
      </c>
      <c r="U555" s="76">
        <v>3.1972500000000001E-2</v>
      </c>
      <c r="V555" s="76">
        <v>3.1972500000000001E-2</v>
      </c>
      <c r="W555" s="76">
        <v>3.1972500000000001E-2</v>
      </c>
      <c r="X555" s="76">
        <v>3.1972500000000001E-2</v>
      </c>
      <c r="Y555" s="76">
        <v>3.1972500000000001E-2</v>
      </c>
      <c r="Z555" s="76">
        <v>3.1972500000000001E-2</v>
      </c>
      <c r="AA555" s="76">
        <v>3.1972500000000001E-2</v>
      </c>
      <c r="AB555" s="76">
        <v>3.1972500000000001E-2</v>
      </c>
      <c r="AC555" s="76">
        <v>3.1972500000000001E-2</v>
      </c>
      <c r="AD555" s="76">
        <v>3.1972500000000001E-2</v>
      </c>
      <c r="AE555" s="76">
        <v>3.1972500000000001E-2</v>
      </c>
      <c r="AF555" s="76">
        <v>3.1972500000000001E-2</v>
      </c>
      <c r="AG555" s="76">
        <v>3.1972500000000001E-2</v>
      </c>
      <c r="AH555" s="76">
        <v>3.1972500000000001E-2</v>
      </c>
      <c r="AI555" s="76">
        <v>3.1972500000000001E-2</v>
      </c>
      <c r="AJ555" s="76">
        <v>3.1972500000000001E-2</v>
      </c>
      <c r="AK555" s="76">
        <v>3.1972500000000001E-2</v>
      </c>
      <c r="AL555" s="76">
        <v>3.1972500000000001E-2</v>
      </c>
      <c r="AM555" s="76">
        <v>3.1972500000000001E-2</v>
      </c>
      <c r="AN555" s="76">
        <v>3.1972500000000001E-2</v>
      </c>
      <c r="AO555" s="76">
        <v>3.1972500000000001E-2</v>
      </c>
      <c r="AP555" s="76">
        <v>3.1972500000000001E-2</v>
      </c>
      <c r="AQ555" s="76">
        <v>3.1972500000000001E-2</v>
      </c>
      <c r="AR555" s="76">
        <v>3.1972500000000001E-2</v>
      </c>
      <c r="AS555" s="76">
        <v>3.1972500000000001E-2</v>
      </c>
      <c r="AT555" s="76">
        <v>3.1972500000000001E-2</v>
      </c>
      <c r="AU555" s="76">
        <v>3.1972500000000001E-2</v>
      </c>
      <c r="AV555" s="76">
        <v>3.1972500000000001E-2</v>
      </c>
      <c r="AW555" s="76">
        <v>3.1972500000000001E-2</v>
      </c>
      <c r="AX555" s="84">
        <v>3.1972500000000001E-2</v>
      </c>
    </row>
    <row r="556" spans="1:50" x14ac:dyDescent="0.25">
      <c r="A556" s="356"/>
      <c r="B556" s="359"/>
      <c r="C556" s="360"/>
      <c r="D556" s="2" t="s">
        <v>20</v>
      </c>
      <c r="E556" s="160" t="str">
        <f>A545&amp;"/"&amp;B553&amp;"/"&amp;C553&amp;"/"&amp;D556</f>
        <v>Diesel oil fired power plants/Gas turbine /Electricity only/XS</v>
      </c>
      <c r="F556" s="76" t="str">
        <f>A545</f>
        <v>Diesel oil fired power plants</v>
      </c>
      <c r="G556" s="76" t="str">
        <f>B553</f>
        <v xml:space="preserve">Gas turbine </v>
      </c>
      <c r="H556" s="76" t="str">
        <f>C553</f>
        <v>Electricity only</v>
      </c>
      <c r="I556" s="161" t="str">
        <f t="shared" si="85"/>
        <v>XS</v>
      </c>
      <c r="J556" s="76">
        <v>3.3571125E-2</v>
      </c>
      <c r="K556" s="76">
        <v>3.3571125E-2</v>
      </c>
      <c r="L556" s="76">
        <v>3.3571125E-2</v>
      </c>
      <c r="M556" s="76">
        <v>3.3571125E-2</v>
      </c>
      <c r="N556" s="76">
        <v>3.3571125E-2</v>
      </c>
      <c r="O556" s="76">
        <v>3.3571125E-2</v>
      </c>
      <c r="P556" s="76">
        <v>3.3571125E-2</v>
      </c>
      <c r="Q556" s="76">
        <v>3.3571125E-2</v>
      </c>
      <c r="R556" s="76">
        <v>3.3571125E-2</v>
      </c>
      <c r="S556" s="76">
        <v>3.3571125E-2</v>
      </c>
      <c r="T556" s="76">
        <v>3.3571125E-2</v>
      </c>
      <c r="U556" s="76">
        <v>3.3571125E-2</v>
      </c>
      <c r="V556" s="76">
        <v>3.3571125E-2</v>
      </c>
      <c r="W556" s="76">
        <v>3.3571125E-2</v>
      </c>
      <c r="X556" s="76">
        <v>3.3571125E-2</v>
      </c>
      <c r="Y556" s="76">
        <v>3.3571125E-2</v>
      </c>
      <c r="Z556" s="76">
        <v>3.3571125E-2</v>
      </c>
      <c r="AA556" s="76">
        <v>3.3571125E-2</v>
      </c>
      <c r="AB556" s="76">
        <v>3.3571125E-2</v>
      </c>
      <c r="AC556" s="76">
        <v>3.3571125E-2</v>
      </c>
      <c r="AD556" s="76">
        <v>3.3571125E-2</v>
      </c>
      <c r="AE556" s="76">
        <v>3.3571125E-2</v>
      </c>
      <c r="AF556" s="76">
        <v>3.3571125E-2</v>
      </c>
      <c r="AG556" s="76">
        <v>3.3571125E-2</v>
      </c>
      <c r="AH556" s="76">
        <v>3.3571125E-2</v>
      </c>
      <c r="AI556" s="76">
        <v>3.3571125E-2</v>
      </c>
      <c r="AJ556" s="76">
        <v>3.3571125E-2</v>
      </c>
      <c r="AK556" s="76">
        <v>3.3571125E-2</v>
      </c>
      <c r="AL556" s="76">
        <v>3.3571125E-2</v>
      </c>
      <c r="AM556" s="76">
        <v>3.3571125E-2</v>
      </c>
      <c r="AN556" s="76">
        <v>3.3571125E-2</v>
      </c>
      <c r="AO556" s="76">
        <v>3.3571125E-2</v>
      </c>
      <c r="AP556" s="76">
        <v>3.3571125E-2</v>
      </c>
      <c r="AQ556" s="76">
        <v>3.3571125E-2</v>
      </c>
      <c r="AR556" s="76">
        <v>3.3571125E-2</v>
      </c>
      <c r="AS556" s="76">
        <v>3.3571125E-2</v>
      </c>
      <c r="AT556" s="76">
        <v>3.3571125E-2</v>
      </c>
      <c r="AU556" s="76">
        <v>3.3571125E-2</v>
      </c>
      <c r="AV556" s="76">
        <v>3.3571125E-2</v>
      </c>
      <c r="AW556" s="76">
        <v>3.3571125E-2</v>
      </c>
      <c r="AX556" s="84">
        <v>3.3571125E-2</v>
      </c>
    </row>
    <row r="557" spans="1:50" x14ac:dyDescent="0.25">
      <c r="A557" s="356"/>
      <c r="B557" s="359"/>
      <c r="C557" s="361" t="s">
        <v>14</v>
      </c>
      <c r="D557" s="58" t="s">
        <v>7</v>
      </c>
      <c r="E557" s="164" t="str">
        <f>A545&amp;"/"&amp;B553&amp;"/"&amp;C557&amp;"/"&amp;D557</f>
        <v>Diesel oil fired power plants/Gas turbine /CHP/L</v>
      </c>
      <c r="F557" s="78" t="str">
        <f>A545</f>
        <v>Diesel oil fired power plants</v>
      </c>
      <c r="G557" s="78" t="str">
        <f>B553</f>
        <v xml:space="preserve">Gas turbine </v>
      </c>
      <c r="H557" s="78" t="str">
        <f>C557</f>
        <v>CHP</v>
      </c>
      <c r="I557" s="165" t="str">
        <f t="shared" si="85"/>
        <v>L</v>
      </c>
      <c r="J557" s="78">
        <v>3.1900000000000005E-2</v>
      </c>
      <c r="K557" s="78">
        <v>3.1900000000000005E-2</v>
      </c>
      <c r="L557" s="78">
        <v>3.1900000000000005E-2</v>
      </c>
      <c r="M557" s="78">
        <v>3.1900000000000005E-2</v>
      </c>
      <c r="N557" s="78">
        <v>3.1900000000000005E-2</v>
      </c>
      <c r="O557" s="78">
        <v>3.1900000000000005E-2</v>
      </c>
      <c r="P557" s="78">
        <v>3.1900000000000005E-2</v>
      </c>
      <c r="Q557" s="78">
        <v>3.1900000000000005E-2</v>
      </c>
      <c r="R557" s="78">
        <v>3.1900000000000005E-2</v>
      </c>
      <c r="S557" s="78">
        <v>3.1900000000000005E-2</v>
      </c>
      <c r="T557" s="78">
        <v>3.1900000000000005E-2</v>
      </c>
      <c r="U557" s="78">
        <v>3.1900000000000005E-2</v>
      </c>
      <c r="V557" s="78">
        <v>3.1900000000000005E-2</v>
      </c>
      <c r="W557" s="78">
        <v>3.1900000000000005E-2</v>
      </c>
      <c r="X557" s="78">
        <v>3.1900000000000005E-2</v>
      </c>
      <c r="Y557" s="78">
        <v>3.1900000000000005E-2</v>
      </c>
      <c r="Z557" s="78">
        <v>3.1900000000000005E-2</v>
      </c>
      <c r="AA557" s="78">
        <v>3.1900000000000005E-2</v>
      </c>
      <c r="AB557" s="78">
        <v>3.1900000000000005E-2</v>
      </c>
      <c r="AC557" s="78">
        <v>3.1900000000000005E-2</v>
      </c>
      <c r="AD557" s="78">
        <v>3.1900000000000005E-2</v>
      </c>
      <c r="AE557" s="78">
        <v>3.1900000000000005E-2</v>
      </c>
      <c r="AF557" s="78">
        <v>3.1900000000000005E-2</v>
      </c>
      <c r="AG557" s="78">
        <v>3.1900000000000005E-2</v>
      </c>
      <c r="AH557" s="78">
        <v>3.1900000000000005E-2</v>
      </c>
      <c r="AI557" s="78">
        <v>3.1900000000000005E-2</v>
      </c>
      <c r="AJ557" s="78">
        <v>3.1900000000000005E-2</v>
      </c>
      <c r="AK557" s="78">
        <v>3.1900000000000005E-2</v>
      </c>
      <c r="AL557" s="78">
        <v>3.1900000000000005E-2</v>
      </c>
      <c r="AM557" s="78">
        <v>3.1900000000000005E-2</v>
      </c>
      <c r="AN557" s="78">
        <v>3.1900000000000005E-2</v>
      </c>
      <c r="AO557" s="78">
        <v>3.1900000000000005E-2</v>
      </c>
      <c r="AP557" s="78">
        <v>3.1900000000000005E-2</v>
      </c>
      <c r="AQ557" s="78">
        <v>3.1900000000000005E-2</v>
      </c>
      <c r="AR557" s="78">
        <v>3.1900000000000005E-2</v>
      </c>
      <c r="AS557" s="78">
        <v>3.1900000000000005E-2</v>
      </c>
      <c r="AT557" s="78">
        <v>3.1900000000000005E-2</v>
      </c>
      <c r="AU557" s="78">
        <v>3.1900000000000005E-2</v>
      </c>
      <c r="AV557" s="78">
        <v>3.1900000000000005E-2</v>
      </c>
      <c r="AW557" s="78">
        <v>3.1900000000000005E-2</v>
      </c>
      <c r="AX557" s="86">
        <v>3.1900000000000005E-2</v>
      </c>
    </row>
    <row r="558" spans="1:50" x14ac:dyDescent="0.25">
      <c r="A558" s="356"/>
      <c r="B558" s="359"/>
      <c r="C558" s="350"/>
      <c r="D558" s="2" t="s">
        <v>8</v>
      </c>
      <c r="E558" s="160" t="str">
        <f>A545&amp;"/"&amp;B553&amp;"/"&amp;C557&amp;"/"&amp;D558</f>
        <v>Diesel oil fired power plants/Gas turbine /CHP/M</v>
      </c>
      <c r="F558" s="76" t="str">
        <f>A545</f>
        <v>Diesel oil fired power plants</v>
      </c>
      <c r="G558" s="76" t="str">
        <f>B553</f>
        <v xml:space="preserve">Gas turbine </v>
      </c>
      <c r="H558" s="76" t="str">
        <f>C557</f>
        <v>CHP</v>
      </c>
      <c r="I558" s="161" t="str">
        <f t="shared" si="85"/>
        <v>M</v>
      </c>
      <c r="J558" s="76">
        <v>3.3495000000000004E-2</v>
      </c>
      <c r="K558" s="76">
        <v>3.3495000000000004E-2</v>
      </c>
      <c r="L558" s="76">
        <v>3.3495000000000004E-2</v>
      </c>
      <c r="M558" s="76">
        <v>3.3495000000000004E-2</v>
      </c>
      <c r="N558" s="76">
        <v>3.3495000000000004E-2</v>
      </c>
      <c r="O558" s="76">
        <v>3.3495000000000004E-2</v>
      </c>
      <c r="P558" s="76">
        <v>3.3495000000000004E-2</v>
      </c>
      <c r="Q558" s="76">
        <v>3.3495000000000004E-2</v>
      </c>
      <c r="R558" s="76">
        <v>3.3495000000000004E-2</v>
      </c>
      <c r="S558" s="76">
        <v>3.3495000000000004E-2</v>
      </c>
      <c r="T558" s="76">
        <v>3.3495000000000004E-2</v>
      </c>
      <c r="U558" s="76">
        <v>3.3495000000000004E-2</v>
      </c>
      <c r="V558" s="76">
        <v>3.3495000000000004E-2</v>
      </c>
      <c r="W558" s="76">
        <v>3.3495000000000004E-2</v>
      </c>
      <c r="X558" s="76">
        <v>3.3495000000000004E-2</v>
      </c>
      <c r="Y558" s="76">
        <v>3.3495000000000004E-2</v>
      </c>
      <c r="Z558" s="76">
        <v>3.3495000000000004E-2</v>
      </c>
      <c r="AA558" s="76">
        <v>3.3495000000000004E-2</v>
      </c>
      <c r="AB558" s="76">
        <v>3.3495000000000004E-2</v>
      </c>
      <c r="AC558" s="76">
        <v>3.3495000000000004E-2</v>
      </c>
      <c r="AD558" s="76">
        <v>3.3495000000000004E-2</v>
      </c>
      <c r="AE558" s="76">
        <v>3.3495000000000004E-2</v>
      </c>
      <c r="AF558" s="76">
        <v>3.3495000000000004E-2</v>
      </c>
      <c r="AG558" s="76">
        <v>3.3495000000000004E-2</v>
      </c>
      <c r="AH558" s="76">
        <v>3.3495000000000004E-2</v>
      </c>
      <c r="AI558" s="76">
        <v>3.3495000000000004E-2</v>
      </c>
      <c r="AJ558" s="76">
        <v>3.3495000000000004E-2</v>
      </c>
      <c r="AK558" s="76">
        <v>3.3495000000000004E-2</v>
      </c>
      <c r="AL558" s="76">
        <v>3.3495000000000004E-2</v>
      </c>
      <c r="AM558" s="76">
        <v>3.3495000000000004E-2</v>
      </c>
      <c r="AN558" s="76">
        <v>3.3495000000000004E-2</v>
      </c>
      <c r="AO558" s="76">
        <v>3.3495000000000004E-2</v>
      </c>
      <c r="AP558" s="76">
        <v>3.3495000000000004E-2</v>
      </c>
      <c r="AQ558" s="76">
        <v>3.3495000000000004E-2</v>
      </c>
      <c r="AR558" s="76">
        <v>3.3495000000000004E-2</v>
      </c>
      <c r="AS558" s="76">
        <v>3.3495000000000004E-2</v>
      </c>
      <c r="AT558" s="76">
        <v>3.3495000000000004E-2</v>
      </c>
      <c r="AU558" s="76">
        <v>3.3495000000000004E-2</v>
      </c>
      <c r="AV558" s="76">
        <v>3.3495000000000004E-2</v>
      </c>
      <c r="AW558" s="76">
        <v>3.3495000000000004E-2</v>
      </c>
      <c r="AX558" s="84">
        <v>3.3495000000000004E-2</v>
      </c>
    </row>
    <row r="559" spans="1:50" x14ac:dyDescent="0.25">
      <c r="A559" s="356"/>
      <c r="B559" s="359"/>
      <c r="C559" s="350"/>
      <c r="D559" s="2" t="s">
        <v>10</v>
      </c>
      <c r="E559" s="160" t="str">
        <f>A545&amp;"/"&amp;B553&amp;"/"&amp;C557&amp;"/"&amp;D559</f>
        <v>Diesel oil fired power plants/Gas turbine /CHP/S</v>
      </c>
      <c r="F559" s="76" t="str">
        <f>A545</f>
        <v>Diesel oil fired power plants</v>
      </c>
      <c r="G559" s="76" t="str">
        <f>B553</f>
        <v xml:space="preserve">Gas turbine </v>
      </c>
      <c r="H559" s="76" t="str">
        <f>C557</f>
        <v>CHP</v>
      </c>
      <c r="I559" s="161" t="str">
        <f t="shared" si="85"/>
        <v>S</v>
      </c>
      <c r="J559" s="76">
        <v>3.5169750000000007E-2</v>
      </c>
      <c r="K559" s="76">
        <v>3.5169750000000007E-2</v>
      </c>
      <c r="L559" s="76">
        <v>3.5169750000000007E-2</v>
      </c>
      <c r="M559" s="76">
        <v>3.5169750000000007E-2</v>
      </c>
      <c r="N559" s="76">
        <v>3.5169750000000007E-2</v>
      </c>
      <c r="O559" s="76">
        <v>3.5169750000000007E-2</v>
      </c>
      <c r="P559" s="76">
        <v>3.5169750000000007E-2</v>
      </c>
      <c r="Q559" s="76">
        <v>3.5169750000000007E-2</v>
      </c>
      <c r="R559" s="76">
        <v>3.5169750000000007E-2</v>
      </c>
      <c r="S559" s="76">
        <v>3.5169750000000007E-2</v>
      </c>
      <c r="T559" s="76">
        <v>3.5169750000000007E-2</v>
      </c>
      <c r="U559" s="76">
        <v>3.5169750000000007E-2</v>
      </c>
      <c r="V559" s="76">
        <v>3.5169750000000007E-2</v>
      </c>
      <c r="W559" s="76">
        <v>3.5169750000000007E-2</v>
      </c>
      <c r="X559" s="76">
        <v>3.5169750000000007E-2</v>
      </c>
      <c r="Y559" s="76">
        <v>3.5169750000000007E-2</v>
      </c>
      <c r="Z559" s="76">
        <v>3.5169750000000007E-2</v>
      </c>
      <c r="AA559" s="76">
        <v>3.5169750000000007E-2</v>
      </c>
      <c r="AB559" s="76">
        <v>3.5169750000000007E-2</v>
      </c>
      <c r="AC559" s="76">
        <v>3.5169750000000007E-2</v>
      </c>
      <c r="AD559" s="76">
        <v>3.5169750000000007E-2</v>
      </c>
      <c r="AE559" s="76">
        <v>3.5169750000000007E-2</v>
      </c>
      <c r="AF559" s="76">
        <v>3.5169750000000007E-2</v>
      </c>
      <c r="AG559" s="76">
        <v>3.5169750000000007E-2</v>
      </c>
      <c r="AH559" s="76">
        <v>3.5169750000000007E-2</v>
      </c>
      <c r="AI559" s="76">
        <v>3.5169750000000007E-2</v>
      </c>
      <c r="AJ559" s="76">
        <v>3.5169750000000007E-2</v>
      </c>
      <c r="AK559" s="76">
        <v>3.5169750000000007E-2</v>
      </c>
      <c r="AL559" s="76">
        <v>3.5169750000000007E-2</v>
      </c>
      <c r="AM559" s="76">
        <v>3.5169750000000007E-2</v>
      </c>
      <c r="AN559" s="76">
        <v>3.5169750000000007E-2</v>
      </c>
      <c r="AO559" s="76">
        <v>3.5169750000000007E-2</v>
      </c>
      <c r="AP559" s="76">
        <v>3.5169750000000007E-2</v>
      </c>
      <c r="AQ559" s="76">
        <v>3.5169750000000007E-2</v>
      </c>
      <c r="AR559" s="76">
        <v>3.5169750000000007E-2</v>
      </c>
      <c r="AS559" s="76">
        <v>3.5169750000000007E-2</v>
      </c>
      <c r="AT559" s="76">
        <v>3.5169750000000007E-2</v>
      </c>
      <c r="AU559" s="76">
        <v>3.5169750000000007E-2</v>
      </c>
      <c r="AV559" s="76">
        <v>3.5169750000000007E-2</v>
      </c>
      <c r="AW559" s="76">
        <v>3.5169750000000007E-2</v>
      </c>
      <c r="AX559" s="84">
        <v>3.5169750000000007E-2</v>
      </c>
    </row>
    <row r="560" spans="1:50" x14ac:dyDescent="0.25">
      <c r="A560" s="356"/>
      <c r="B560" s="359"/>
      <c r="C560" s="360"/>
      <c r="D560" s="59" t="s">
        <v>20</v>
      </c>
      <c r="E560" s="166" t="str">
        <f>A545&amp;"/"&amp;B553&amp;"/"&amp;C557&amp;"/"&amp;D560</f>
        <v>Diesel oil fired power plants/Gas turbine /CHP/XS</v>
      </c>
      <c r="F560" s="79" t="str">
        <f>A545</f>
        <v>Diesel oil fired power plants</v>
      </c>
      <c r="G560" s="79" t="str">
        <f>B553</f>
        <v xml:space="preserve">Gas turbine </v>
      </c>
      <c r="H560" s="79" t="str">
        <f>C557</f>
        <v>CHP</v>
      </c>
      <c r="I560" s="167" t="str">
        <f t="shared" si="85"/>
        <v>XS</v>
      </c>
      <c r="J560" s="79">
        <v>3.6928237500000002E-2</v>
      </c>
      <c r="K560" s="79">
        <v>3.6928237500000002E-2</v>
      </c>
      <c r="L560" s="79">
        <v>3.6928237500000002E-2</v>
      </c>
      <c r="M560" s="79">
        <v>3.6928237500000002E-2</v>
      </c>
      <c r="N560" s="79">
        <v>3.6928237500000002E-2</v>
      </c>
      <c r="O560" s="79">
        <v>3.6928237500000002E-2</v>
      </c>
      <c r="P560" s="79">
        <v>3.6928237500000002E-2</v>
      </c>
      <c r="Q560" s="79">
        <v>3.6928237500000002E-2</v>
      </c>
      <c r="R560" s="79">
        <v>3.6928237500000002E-2</v>
      </c>
      <c r="S560" s="79">
        <v>3.6928237500000002E-2</v>
      </c>
      <c r="T560" s="79">
        <v>3.6928237500000002E-2</v>
      </c>
      <c r="U560" s="79">
        <v>3.6928237500000002E-2</v>
      </c>
      <c r="V560" s="79">
        <v>3.6928237500000002E-2</v>
      </c>
      <c r="W560" s="79">
        <v>3.6928237500000002E-2</v>
      </c>
      <c r="X560" s="79">
        <v>3.6928237500000002E-2</v>
      </c>
      <c r="Y560" s="79">
        <v>3.6928237500000002E-2</v>
      </c>
      <c r="Z560" s="79">
        <v>3.6928237500000002E-2</v>
      </c>
      <c r="AA560" s="79">
        <v>3.6928237500000002E-2</v>
      </c>
      <c r="AB560" s="79">
        <v>3.6928237500000002E-2</v>
      </c>
      <c r="AC560" s="79">
        <v>3.6928237500000002E-2</v>
      </c>
      <c r="AD560" s="79">
        <v>3.6928237500000002E-2</v>
      </c>
      <c r="AE560" s="79">
        <v>3.6928237500000002E-2</v>
      </c>
      <c r="AF560" s="79">
        <v>3.6928237500000002E-2</v>
      </c>
      <c r="AG560" s="79">
        <v>3.6928237500000002E-2</v>
      </c>
      <c r="AH560" s="79">
        <v>3.6928237500000002E-2</v>
      </c>
      <c r="AI560" s="79">
        <v>3.6928237500000002E-2</v>
      </c>
      <c r="AJ560" s="79">
        <v>3.6928237500000002E-2</v>
      </c>
      <c r="AK560" s="79">
        <v>3.6928237500000002E-2</v>
      </c>
      <c r="AL560" s="79">
        <v>3.6928237500000002E-2</v>
      </c>
      <c r="AM560" s="79">
        <v>3.6928237500000002E-2</v>
      </c>
      <c r="AN560" s="79">
        <v>3.6928237500000002E-2</v>
      </c>
      <c r="AO560" s="79">
        <v>3.6928237500000002E-2</v>
      </c>
      <c r="AP560" s="79">
        <v>3.6928237500000002E-2</v>
      </c>
      <c r="AQ560" s="79">
        <v>3.6928237500000002E-2</v>
      </c>
      <c r="AR560" s="79">
        <v>3.6928237500000002E-2</v>
      </c>
      <c r="AS560" s="79">
        <v>3.6928237500000002E-2</v>
      </c>
      <c r="AT560" s="79">
        <v>3.6928237500000002E-2</v>
      </c>
      <c r="AU560" s="79">
        <v>3.6928237500000002E-2</v>
      </c>
      <c r="AV560" s="79">
        <v>3.6928237500000002E-2</v>
      </c>
      <c r="AW560" s="79">
        <v>3.6928237500000002E-2</v>
      </c>
      <c r="AX560" s="87">
        <v>3.6928237500000002E-2</v>
      </c>
    </row>
    <row r="561" spans="1:50" x14ac:dyDescent="0.25">
      <c r="A561" s="356"/>
      <c r="B561" s="359"/>
      <c r="C561" s="361" t="s">
        <v>15</v>
      </c>
      <c r="D561" s="58" t="s">
        <v>7</v>
      </c>
      <c r="E561" s="164" t="str">
        <f>A545&amp;"/"&amp;B553&amp;"/"&amp;C561&amp;"/"&amp;D561</f>
        <v>Diesel oil fired power plants/Gas turbine /Electricity only with CCS/L</v>
      </c>
      <c r="F561" s="78" t="str">
        <f>A545</f>
        <v>Diesel oil fired power plants</v>
      </c>
      <c r="G561" s="78" t="str">
        <f>B553</f>
        <v xml:space="preserve">Gas turbine </v>
      </c>
      <c r="H561" s="78" t="str">
        <f>C561</f>
        <v>Electricity only with CCS</v>
      </c>
      <c r="I561" s="165" t="str">
        <f t="shared" si="85"/>
        <v>L</v>
      </c>
      <c r="J561" s="78" t="s">
        <v>112</v>
      </c>
      <c r="K561" s="78" t="s">
        <v>112</v>
      </c>
      <c r="L561" s="78" t="s">
        <v>112</v>
      </c>
      <c r="M561" s="78" t="s">
        <v>112</v>
      </c>
      <c r="N561" s="78" t="s">
        <v>112</v>
      </c>
      <c r="O561" s="78" t="s">
        <v>112</v>
      </c>
      <c r="P561" s="78" t="s">
        <v>112</v>
      </c>
      <c r="Q561" s="78" t="s">
        <v>112</v>
      </c>
      <c r="R561" s="78" t="s">
        <v>112</v>
      </c>
      <c r="S561" s="78" t="s">
        <v>112</v>
      </c>
      <c r="T561" s="78" t="s">
        <v>112</v>
      </c>
      <c r="U561" s="78" t="s">
        <v>112</v>
      </c>
      <c r="V561" s="78" t="s">
        <v>112</v>
      </c>
      <c r="W561" s="78" t="s">
        <v>112</v>
      </c>
      <c r="X561" s="78" t="s">
        <v>112</v>
      </c>
      <c r="Y561" s="78" t="s">
        <v>112</v>
      </c>
      <c r="Z561" s="78" t="s">
        <v>112</v>
      </c>
      <c r="AA561" s="78" t="s">
        <v>112</v>
      </c>
      <c r="AB561" s="78" t="s">
        <v>112</v>
      </c>
      <c r="AC561" s="78" t="s">
        <v>112</v>
      </c>
      <c r="AD561" s="78" t="s">
        <v>112</v>
      </c>
      <c r="AE561" s="78">
        <v>0.14500000000000002</v>
      </c>
      <c r="AF561" s="78">
        <v>0.14500000000000002</v>
      </c>
      <c r="AG561" s="78">
        <v>0.14500000000000002</v>
      </c>
      <c r="AH561" s="78">
        <v>0.14500000000000002</v>
      </c>
      <c r="AI561" s="78">
        <v>0.14500000000000002</v>
      </c>
      <c r="AJ561" s="78">
        <v>0.14500000000000002</v>
      </c>
      <c r="AK561" s="78">
        <v>0.14500000000000002</v>
      </c>
      <c r="AL561" s="78">
        <v>0.14500000000000002</v>
      </c>
      <c r="AM561" s="78">
        <v>0.14500000000000002</v>
      </c>
      <c r="AN561" s="78">
        <v>0.14500000000000002</v>
      </c>
      <c r="AO561" s="78">
        <v>0.14500000000000002</v>
      </c>
      <c r="AP561" s="78">
        <v>0.14500000000000002</v>
      </c>
      <c r="AQ561" s="78">
        <v>0.14500000000000002</v>
      </c>
      <c r="AR561" s="78">
        <v>0.14500000000000002</v>
      </c>
      <c r="AS561" s="78">
        <v>0.14500000000000002</v>
      </c>
      <c r="AT561" s="78">
        <v>0.14500000000000002</v>
      </c>
      <c r="AU561" s="78">
        <v>0.14500000000000002</v>
      </c>
      <c r="AV561" s="78">
        <v>0.14500000000000002</v>
      </c>
      <c r="AW561" s="78">
        <v>0.14500000000000002</v>
      </c>
      <c r="AX561" s="86">
        <v>0.14500000000000002</v>
      </c>
    </row>
    <row r="562" spans="1:50" x14ac:dyDescent="0.25">
      <c r="A562" s="356"/>
      <c r="B562" s="359"/>
      <c r="C562" s="360"/>
      <c r="D562" s="59" t="s">
        <v>8</v>
      </c>
      <c r="E562" s="166" t="str">
        <f>A545&amp;"/"&amp;B553&amp;"/"&amp;C561&amp;"/"&amp;D562</f>
        <v>Diesel oil fired power plants/Gas turbine /Electricity only with CCS/M</v>
      </c>
      <c r="F562" s="79" t="str">
        <f>A545</f>
        <v>Diesel oil fired power plants</v>
      </c>
      <c r="G562" s="79" t="str">
        <f>B553</f>
        <v xml:space="preserve">Gas turbine </v>
      </c>
      <c r="H562" s="79" t="str">
        <f>C561</f>
        <v>Electricity only with CCS</v>
      </c>
      <c r="I562" s="167" t="str">
        <f t="shared" si="85"/>
        <v>M</v>
      </c>
      <c r="J562" s="79" t="s">
        <v>112</v>
      </c>
      <c r="K562" s="79" t="s">
        <v>112</v>
      </c>
      <c r="L562" s="79" t="s">
        <v>112</v>
      </c>
      <c r="M562" s="79" t="s">
        <v>112</v>
      </c>
      <c r="N562" s="79" t="s">
        <v>112</v>
      </c>
      <c r="O562" s="79" t="s">
        <v>112</v>
      </c>
      <c r="P562" s="79" t="s">
        <v>112</v>
      </c>
      <c r="Q562" s="79" t="s">
        <v>112</v>
      </c>
      <c r="R562" s="79" t="s">
        <v>112</v>
      </c>
      <c r="S562" s="79" t="s">
        <v>112</v>
      </c>
      <c r="T562" s="79" t="s">
        <v>112</v>
      </c>
      <c r="U562" s="79" t="s">
        <v>112</v>
      </c>
      <c r="V562" s="79" t="s">
        <v>112</v>
      </c>
      <c r="W562" s="79" t="s">
        <v>112</v>
      </c>
      <c r="X562" s="79" t="s">
        <v>112</v>
      </c>
      <c r="Y562" s="79" t="s">
        <v>112</v>
      </c>
      <c r="Z562" s="79" t="s">
        <v>112</v>
      </c>
      <c r="AA562" s="79" t="s">
        <v>112</v>
      </c>
      <c r="AB562" s="79" t="s">
        <v>112</v>
      </c>
      <c r="AC562" s="79" t="s">
        <v>112</v>
      </c>
      <c r="AD562" s="79" t="s">
        <v>112</v>
      </c>
      <c r="AE562" s="79">
        <v>0.15225000000000002</v>
      </c>
      <c r="AF562" s="79">
        <v>0.15225000000000002</v>
      </c>
      <c r="AG562" s="79">
        <v>0.15225000000000002</v>
      </c>
      <c r="AH562" s="79">
        <v>0.15225000000000002</v>
      </c>
      <c r="AI562" s="79">
        <v>0.15225000000000002</v>
      </c>
      <c r="AJ562" s="79">
        <v>0.15225000000000002</v>
      </c>
      <c r="AK562" s="79">
        <v>0.15225000000000002</v>
      </c>
      <c r="AL562" s="79">
        <v>0.15225000000000002</v>
      </c>
      <c r="AM562" s="79">
        <v>0.15225000000000002</v>
      </c>
      <c r="AN562" s="79">
        <v>0.15225000000000002</v>
      </c>
      <c r="AO562" s="79">
        <v>0.15225000000000002</v>
      </c>
      <c r="AP562" s="79">
        <v>0.15225000000000002</v>
      </c>
      <c r="AQ562" s="79">
        <v>0.15225000000000002</v>
      </c>
      <c r="AR562" s="79">
        <v>0.15225000000000002</v>
      </c>
      <c r="AS562" s="79">
        <v>0.15225000000000002</v>
      </c>
      <c r="AT562" s="79">
        <v>0.15225000000000002</v>
      </c>
      <c r="AU562" s="79">
        <v>0.15225000000000002</v>
      </c>
      <c r="AV562" s="79">
        <v>0.15225000000000002</v>
      </c>
      <c r="AW562" s="79">
        <v>0.15225000000000002</v>
      </c>
      <c r="AX562" s="87">
        <v>0.15225000000000002</v>
      </c>
    </row>
    <row r="563" spans="1:50" x14ac:dyDescent="0.25">
      <c r="A563" s="356"/>
      <c r="B563" s="359"/>
      <c r="C563" s="361" t="s">
        <v>16</v>
      </c>
      <c r="D563" s="2" t="s">
        <v>7</v>
      </c>
      <c r="E563" s="160" t="str">
        <f>A545&amp;"/"&amp;B553&amp;"/"&amp;C563&amp;"/"&amp;D563</f>
        <v>Diesel oil fired power plants/Gas turbine /CHP with CCS/L</v>
      </c>
      <c r="F563" s="76" t="str">
        <f>A545</f>
        <v>Diesel oil fired power plants</v>
      </c>
      <c r="G563" s="76" t="str">
        <f>B553</f>
        <v xml:space="preserve">Gas turbine </v>
      </c>
      <c r="H563" s="76" t="str">
        <f>C563</f>
        <v>CHP with CCS</v>
      </c>
      <c r="I563" s="161" t="str">
        <f t="shared" si="85"/>
        <v>L</v>
      </c>
      <c r="J563" s="76" t="s">
        <v>112</v>
      </c>
      <c r="K563" s="76" t="s">
        <v>112</v>
      </c>
      <c r="L563" s="76" t="s">
        <v>112</v>
      </c>
      <c r="M563" s="76" t="s">
        <v>112</v>
      </c>
      <c r="N563" s="76" t="s">
        <v>112</v>
      </c>
      <c r="O563" s="76" t="s">
        <v>112</v>
      </c>
      <c r="P563" s="76" t="s">
        <v>112</v>
      </c>
      <c r="Q563" s="76" t="s">
        <v>112</v>
      </c>
      <c r="R563" s="76" t="s">
        <v>112</v>
      </c>
      <c r="S563" s="76" t="s">
        <v>112</v>
      </c>
      <c r="T563" s="76" t="s">
        <v>112</v>
      </c>
      <c r="U563" s="76" t="s">
        <v>112</v>
      </c>
      <c r="V563" s="76" t="s">
        <v>112</v>
      </c>
      <c r="W563" s="76" t="s">
        <v>112</v>
      </c>
      <c r="X563" s="76" t="s">
        <v>112</v>
      </c>
      <c r="Y563" s="76" t="s">
        <v>112</v>
      </c>
      <c r="Z563" s="76" t="s">
        <v>112</v>
      </c>
      <c r="AA563" s="76" t="s">
        <v>112</v>
      </c>
      <c r="AB563" s="76" t="s">
        <v>112</v>
      </c>
      <c r="AC563" s="76" t="s">
        <v>112</v>
      </c>
      <c r="AD563" s="76" t="s">
        <v>112</v>
      </c>
      <c r="AE563" s="76">
        <v>0.15950000000000003</v>
      </c>
      <c r="AF563" s="76">
        <v>0.15950000000000003</v>
      </c>
      <c r="AG563" s="76">
        <v>0.15950000000000003</v>
      </c>
      <c r="AH563" s="76">
        <v>0.15950000000000003</v>
      </c>
      <c r="AI563" s="76">
        <v>0.15950000000000003</v>
      </c>
      <c r="AJ563" s="76">
        <v>0.15950000000000003</v>
      </c>
      <c r="AK563" s="76">
        <v>0.15950000000000003</v>
      </c>
      <c r="AL563" s="76">
        <v>0.15950000000000003</v>
      </c>
      <c r="AM563" s="76">
        <v>0.15950000000000003</v>
      </c>
      <c r="AN563" s="76">
        <v>0.15950000000000003</v>
      </c>
      <c r="AO563" s="76">
        <v>0.15950000000000003</v>
      </c>
      <c r="AP563" s="76">
        <v>0.15950000000000003</v>
      </c>
      <c r="AQ563" s="76">
        <v>0.15950000000000003</v>
      </c>
      <c r="AR563" s="76">
        <v>0.15950000000000003</v>
      </c>
      <c r="AS563" s="76">
        <v>0.15950000000000003</v>
      </c>
      <c r="AT563" s="76">
        <v>0.15950000000000003</v>
      </c>
      <c r="AU563" s="76">
        <v>0.15950000000000003</v>
      </c>
      <c r="AV563" s="76">
        <v>0.15950000000000003</v>
      </c>
      <c r="AW563" s="76">
        <v>0.15950000000000003</v>
      </c>
      <c r="AX563" s="84">
        <v>0.15950000000000003</v>
      </c>
    </row>
    <row r="564" spans="1:50" x14ac:dyDescent="0.25">
      <c r="A564" s="356"/>
      <c r="B564" s="362"/>
      <c r="C564" s="354"/>
      <c r="D564" s="4" t="s">
        <v>8</v>
      </c>
      <c r="E564" s="168" t="str">
        <f>A545&amp;"/"&amp;B553&amp;"/"&amp;C563&amp;"/"&amp;D564</f>
        <v>Diesel oil fired power plants/Gas turbine /CHP with CCS/M</v>
      </c>
      <c r="F564" s="80" t="str">
        <f>A545</f>
        <v>Diesel oil fired power plants</v>
      </c>
      <c r="G564" s="80" t="str">
        <f>B553</f>
        <v xml:space="preserve">Gas turbine </v>
      </c>
      <c r="H564" s="80" t="str">
        <f>C563</f>
        <v>CHP with CCS</v>
      </c>
      <c r="I564" s="169" t="str">
        <f t="shared" si="85"/>
        <v>M</v>
      </c>
      <c r="J564" s="80" t="s">
        <v>112</v>
      </c>
      <c r="K564" s="80" t="s">
        <v>112</v>
      </c>
      <c r="L564" s="80" t="s">
        <v>112</v>
      </c>
      <c r="M564" s="80" t="s">
        <v>112</v>
      </c>
      <c r="N564" s="80" t="s">
        <v>112</v>
      </c>
      <c r="O564" s="80" t="s">
        <v>112</v>
      </c>
      <c r="P564" s="80" t="s">
        <v>112</v>
      </c>
      <c r="Q564" s="80" t="s">
        <v>112</v>
      </c>
      <c r="R564" s="80" t="s">
        <v>112</v>
      </c>
      <c r="S564" s="80" t="s">
        <v>112</v>
      </c>
      <c r="T564" s="80" t="s">
        <v>112</v>
      </c>
      <c r="U564" s="80" t="s">
        <v>112</v>
      </c>
      <c r="V564" s="80" t="s">
        <v>112</v>
      </c>
      <c r="W564" s="80" t="s">
        <v>112</v>
      </c>
      <c r="X564" s="80" t="s">
        <v>112</v>
      </c>
      <c r="Y564" s="80" t="s">
        <v>112</v>
      </c>
      <c r="Z564" s="80" t="s">
        <v>112</v>
      </c>
      <c r="AA564" s="80" t="s">
        <v>112</v>
      </c>
      <c r="AB564" s="80" t="s">
        <v>112</v>
      </c>
      <c r="AC564" s="80" t="s">
        <v>112</v>
      </c>
      <c r="AD564" s="80" t="s">
        <v>112</v>
      </c>
      <c r="AE564" s="80">
        <v>0.16747500000000004</v>
      </c>
      <c r="AF564" s="80">
        <v>0.16747500000000004</v>
      </c>
      <c r="AG564" s="80">
        <v>0.16747500000000004</v>
      </c>
      <c r="AH564" s="80">
        <v>0.16747500000000004</v>
      </c>
      <c r="AI564" s="80">
        <v>0.16747500000000004</v>
      </c>
      <c r="AJ564" s="80">
        <v>0.16747500000000004</v>
      </c>
      <c r="AK564" s="80">
        <v>0.16747500000000004</v>
      </c>
      <c r="AL564" s="80">
        <v>0.16747500000000004</v>
      </c>
      <c r="AM564" s="80">
        <v>0.16747500000000004</v>
      </c>
      <c r="AN564" s="80">
        <v>0.16747500000000004</v>
      </c>
      <c r="AO564" s="80">
        <v>0.16747500000000004</v>
      </c>
      <c r="AP564" s="80">
        <v>0.16747500000000004</v>
      </c>
      <c r="AQ564" s="80">
        <v>0.16747500000000004</v>
      </c>
      <c r="AR564" s="80">
        <v>0.16747500000000004</v>
      </c>
      <c r="AS564" s="80">
        <v>0.16747500000000004</v>
      </c>
      <c r="AT564" s="80">
        <v>0.16747500000000004</v>
      </c>
      <c r="AU564" s="80">
        <v>0.16747500000000004</v>
      </c>
      <c r="AV564" s="80">
        <v>0.16747500000000004</v>
      </c>
      <c r="AW564" s="80">
        <v>0.16747500000000004</v>
      </c>
      <c r="AX564" s="88">
        <v>0.16747500000000004</v>
      </c>
    </row>
    <row r="565" spans="1:50" x14ac:dyDescent="0.25">
      <c r="A565" s="356"/>
      <c r="B565" s="358" t="s">
        <v>19</v>
      </c>
      <c r="C565" s="353" t="s">
        <v>6</v>
      </c>
      <c r="D565" s="3" t="s">
        <v>7</v>
      </c>
      <c r="E565" s="162" t="str">
        <f>A545&amp;"/"&amp;B565&amp;"/"&amp;C565&amp;"/"&amp;D565</f>
        <v>Diesel oil fired power plants/Steam turbine/Electricity only/L</v>
      </c>
      <c r="F565" s="77" t="str">
        <f>A545</f>
        <v>Diesel oil fired power plants</v>
      </c>
      <c r="G565" s="77" t="str">
        <f>B565</f>
        <v>Steam turbine</v>
      </c>
      <c r="H565" s="77" t="str">
        <f>C565</f>
        <v>Electricity only</v>
      </c>
      <c r="I565" s="163" t="str">
        <f t="shared" si="85"/>
        <v>L</v>
      </c>
      <c r="J565" s="77">
        <v>4.7E-2</v>
      </c>
      <c r="K565" s="77">
        <v>4.7E-2</v>
      </c>
      <c r="L565" s="77">
        <v>4.7E-2</v>
      </c>
      <c r="M565" s="77">
        <v>4.7E-2</v>
      </c>
      <c r="N565" s="77">
        <v>4.7E-2</v>
      </c>
      <c r="O565" s="77">
        <v>4.7E-2</v>
      </c>
      <c r="P565" s="77">
        <v>4.7E-2</v>
      </c>
      <c r="Q565" s="77">
        <v>4.7E-2</v>
      </c>
      <c r="R565" s="77">
        <v>4.7E-2</v>
      </c>
      <c r="S565" s="77">
        <v>4.7E-2</v>
      </c>
      <c r="T565" s="77">
        <v>4.7E-2</v>
      </c>
      <c r="U565" s="77">
        <v>4.7E-2</v>
      </c>
      <c r="V565" s="77">
        <v>4.7E-2</v>
      </c>
      <c r="W565" s="77">
        <v>4.7E-2</v>
      </c>
      <c r="X565" s="77">
        <v>4.7E-2</v>
      </c>
      <c r="Y565" s="77">
        <v>4.7E-2</v>
      </c>
      <c r="Z565" s="77">
        <v>4.7E-2</v>
      </c>
      <c r="AA565" s="77">
        <v>4.7E-2</v>
      </c>
      <c r="AB565" s="77">
        <v>4.7E-2</v>
      </c>
      <c r="AC565" s="77">
        <v>4.7E-2</v>
      </c>
      <c r="AD565" s="77">
        <v>4.7E-2</v>
      </c>
      <c r="AE565" s="77">
        <v>4.7E-2</v>
      </c>
      <c r="AF565" s="77">
        <v>4.7E-2</v>
      </c>
      <c r="AG565" s="77">
        <v>4.7E-2</v>
      </c>
      <c r="AH565" s="77">
        <v>4.7E-2</v>
      </c>
      <c r="AI565" s="77">
        <v>4.7E-2</v>
      </c>
      <c r="AJ565" s="77">
        <v>4.7E-2</v>
      </c>
      <c r="AK565" s="77">
        <v>4.7E-2</v>
      </c>
      <c r="AL565" s="77">
        <v>4.7E-2</v>
      </c>
      <c r="AM565" s="77">
        <v>4.7E-2</v>
      </c>
      <c r="AN565" s="77">
        <v>4.7E-2</v>
      </c>
      <c r="AO565" s="77">
        <v>4.7E-2</v>
      </c>
      <c r="AP565" s="77">
        <v>4.7E-2</v>
      </c>
      <c r="AQ565" s="77">
        <v>4.7E-2</v>
      </c>
      <c r="AR565" s="77">
        <v>4.7E-2</v>
      </c>
      <c r="AS565" s="77">
        <v>4.7E-2</v>
      </c>
      <c r="AT565" s="77">
        <v>4.7E-2</v>
      </c>
      <c r="AU565" s="77">
        <v>4.7E-2</v>
      </c>
      <c r="AV565" s="77">
        <v>4.7E-2</v>
      </c>
      <c r="AW565" s="77">
        <v>4.7E-2</v>
      </c>
      <c r="AX565" s="85">
        <v>4.7E-2</v>
      </c>
    </row>
    <row r="566" spans="1:50" x14ac:dyDescent="0.25">
      <c r="A566" s="356"/>
      <c r="B566" s="359"/>
      <c r="C566" s="350"/>
      <c r="D566" s="2" t="s">
        <v>8</v>
      </c>
      <c r="E566" s="160" t="str">
        <f>A545&amp;"/"&amp;B565&amp;"/"&amp;C565&amp;"/"&amp;D566</f>
        <v>Diesel oil fired power plants/Steam turbine/Electricity only/M</v>
      </c>
      <c r="F566" s="76" t="str">
        <f>A545</f>
        <v>Diesel oil fired power plants</v>
      </c>
      <c r="G566" s="76" t="str">
        <f>B565</f>
        <v>Steam turbine</v>
      </c>
      <c r="H566" s="76" t="str">
        <f>C565</f>
        <v>Electricity only</v>
      </c>
      <c r="I566" s="161" t="str">
        <f t="shared" si="85"/>
        <v>M</v>
      </c>
      <c r="J566" s="76">
        <v>4.9350000000000005E-2</v>
      </c>
      <c r="K566" s="76">
        <v>4.9350000000000005E-2</v>
      </c>
      <c r="L566" s="76">
        <v>4.9350000000000005E-2</v>
      </c>
      <c r="M566" s="76">
        <v>4.9350000000000005E-2</v>
      </c>
      <c r="N566" s="76">
        <v>4.9350000000000005E-2</v>
      </c>
      <c r="O566" s="76">
        <v>4.9350000000000005E-2</v>
      </c>
      <c r="P566" s="76">
        <v>4.9350000000000005E-2</v>
      </c>
      <c r="Q566" s="76">
        <v>4.9350000000000005E-2</v>
      </c>
      <c r="R566" s="76">
        <v>4.9350000000000005E-2</v>
      </c>
      <c r="S566" s="76">
        <v>4.9350000000000005E-2</v>
      </c>
      <c r="T566" s="76">
        <v>4.9350000000000005E-2</v>
      </c>
      <c r="U566" s="76">
        <v>4.9350000000000005E-2</v>
      </c>
      <c r="V566" s="76">
        <v>4.9350000000000005E-2</v>
      </c>
      <c r="W566" s="76">
        <v>4.9350000000000005E-2</v>
      </c>
      <c r="X566" s="76">
        <v>4.9350000000000005E-2</v>
      </c>
      <c r="Y566" s="76">
        <v>4.9350000000000005E-2</v>
      </c>
      <c r="Z566" s="76">
        <v>4.9350000000000005E-2</v>
      </c>
      <c r="AA566" s="76">
        <v>4.9350000000000005E-2</v>
      </c>
      <c r="AB566" s="76">
        <v>4.9350000000000005E-2</v>
      </c>
      <c r="AC566" s="76">
        <v>4.9350000000000005E-2</v>
      </c>
      <c r="AD566" s="76">
        <v>4.9350000000000005E-2</v>
      </c>
      <c r="AE566" s="76">
        <v>4.9350000000000005E-2</v>
      </c>
      <c r="AF566" s="76">
        <v>4.9350000000000005E-2</v>
      </c>
      <c r="AG566" s="76">
        <v>4.9350000000000005E-2</v>
      </c>
      <c r="AH566" s="76">
        <v>4.9350000000000005E-2</v>
      </c>
      <c r="AI566" s="76">
        <v>4.9350000000000005E-2</v>
      </c>
      <c r="AJ566" s="76">
        <v>4.9350000000000005E-2</v>
      </c>
      <c r="AK566" s="76">
        <v>4.9350000000000005E-2</v>
      </c>
      <c r="AL566" s="76">
        <v>4.9350000000000005E-2</v>
      </c>
      <c r="AM566" s="76">
        <v>4.9350000000000005E-2</v>
      </c>
      <c r="AN566" s="76">
        <v>4.9350000000000005E-2</v>
      </c>
      <c r="AO566" s="76">
        <v>4.9350000000000005E-2</v>
      </c>
      <c r="AP566" s="76">
        <v>4.9350000000000005E-2</v>
      </c>
      <c r="AQ566" s="76">
        <v>4.9350000000000005E-2</v>
      </c>
      <c r="AR566" s="76">
        <v>4.9350000000000005E-2</v>
      </c>
      <c r="AS566" s="76">
        <v>4.9350000000000005E-2</v>
      </c>
      <c r="AT566" s="76">
        <v>4.9350000000000005E-2</v>
      </c>
      <c r="AU566" s="76">
        <v>4.9350000000000005E-2</v>
      </c>
      <c r="AV566" s="76">
        <v>4.9350000000000005E-2</v>
      </c>
      <c r="AW566" s="76">
        <v>4.9350000000000005E-2</v>
      </c>
      <c r="AX566" s="84">
        <v>4.9350000000000005E-2</v>
      </c>
    </row>
    <row r="567" spans="1:50" x14ac:dyDescent="0.25">
      <c r="A567" s="356"/>
      <c r="B567" s="359"/>
      <c r="C567" s="360"/>
      <c r="D567" s="2" t="s">
        <v>10</v>
      </c>
      <c r="E567" s="160" t="str">
        <f>A545&amp;"/"&amp;B565&amp;"/"&amp;C565&amp;"/"&amp;D567</f>
        <v>Diesel oil fired power plants/Steam turbine/Electricity only/S</v>
      </c>
      <c r="F567" s="76" t="str">
        <f>A545</f>
        <v>Diesel oil fired power plants</v>
      </c>
      <c r="G567" s="76" t="str">
        <f>B565</f>
        <v>Steam turbine</v>
      </c>
      <c r="H567" s="76" t="str">
        <f>C565</f>
        <v>Electricity only</v>
      </c>
      <c r="I567" s="161" t="str">
        <f t="shared" si="85"/>
        <v>S</v>
      </c>
      <c r="J567" s="76">
        <v>5.1817500000000009E-2</v>
      </c>
      <c r="K567" s="76">
        <v>5.1817500000000009E-2</v>
      </c>
      <c r="L567" s="76">
        <v>5.1817500000000009E-2</v>
      </c>
      <c r="M567" s="76">
        <v>5.1817500000000009E-2</v>
      </c>
      <c r="N567" s="76">
        <v>5.1817500000000009E-2</v>
      </c>
      <c r="O567" s="76">
        <v>5.1817500000000009E-2</v>
      </c>
      <c r="P567" s="76">
        <v>5.1817500000000009E-2</v>
      </c>
      <c r="Q567" s="76">
        <v>5.1817500000000009E-2</v>
      </c>
      <c r="R567" s="76">
        <v>5.1817500000000009E-2</v>
      </c>
      <c r="S567" s="76">
        <v>5.1817500000000009E-2</v>
      </c>
      <c r="T567" s="76">
        <v>5.1817500000000009E-2</v>
      </c>
      <c r="U567" s="76">
        <v>5.1817500000000009E-2</v>
      </c>
      <c r="V567" s="76">
        <v>5.1817500000000009E-2</v>
      </c>
      <c r="W567" s="76">
        <v>5.1817500000000009E-2</v>
      </c>
      <c r="X567" s="76">
        <v>5.1817500000000009E-2</v>
      </c>
      <c r="Y567" s="76">
        <v>5.1817500000000009E-2</v>
      </c>
      <c r="Z567" s="76">
        <v>5.1817500000000009E-2</v>
      </c>
      <c r="AA567" s="76">
        <v>5.1817500000000009E-2</v>
      </c>
      <c r="AB567" s="76">
        <v>5.1817500000000009E-2</v>
      </c>
      <c r="AC567" s="76">
        <v>5.1817500000000009E-2</v>
      </c>
      <c r="AD567" s="76">
        <v>5.1817500000000009E-2</v>
      </c>
      <c r="AE567" s="76">
        <v>5.1817500000000009E-2</v>
      </c>
      <c r="AF567" s="76">
        <v>5.1817500000000009E-2</v>
      </c>
      <c r="AG567" s="76">
        <v>5.1817500000000009E-2</v>
      </c>
      <c r="AH567" s="76">
        <v>5.1817500000000009E-2</v>
      </c>
      <c r="AI567" s="76">
        <v>5.1817500000000009E-2</v>
      </c>
      <c r="AJ567" s="76">
        <v>5.1817500000000009E-2</v>
      </c>
      <c r="AK567" s="76">
        <v>5.1817500000000009E-2</v>
      </c>
      <c r="AL567" s="76">
        <v>5.1817500000000009E-2</v>
      </c>
      <c r="AM567" s="76">
        <v>5.1817500000000009E-2</v>
      </c>
      <c r="AN567" s="76">
        <v>5.1817500000000009E-2</v>
      </c>
      <c r="AO567" s="76">
        <v>5.1817500000000009E-2</v>
      </c>
      <c r="AP567" s="76">
        <v>5.1817500000000009E-2</v>
      </c>
      <c r="AQ567" s="76">
        <v>5.1817500000000009E-2</v>
      </c>
      <c r="AR567" s="76">
        <v>5.1817500000000009E-2</v>
      </c>
      <c r="AS567" s="76">
        <v>5.1817500000000009E-2</v>
      </c>
      <c r="AT567" s="76">
        <v>5.1817500000000009E-2</v>
      </c>
      <c r="AU567" s="76">
        <v>5.1817500000000009E-2</v>
      </c>
      <c r="AV567" s="76">
        <v>5.1817500000000009E-2</v>
      </c>
      <c r="AW567" s="76">
        <v>5.1817500000000009E-2</v>
      </c>
      <c r="AX567" s="84">
        <v>5.1817500000000009E-2</v>
      </c>
    </row>
    <row r="568" spans="1:50" x14ac:dyDescent="0.25">
      <c r="A568" s="356"/>
      <c r="B568" s="359"/>
      <c r="C568" s="361" t="s">
        <v>14</v>
      </c>
      <c r="D568" s="58" t="s">
        <v>7</v>
      </c>
      <c r="E568" s="164" t="str">
        <f>A545&amp;"/"&amp;B565&amp;"/"&amp;C568&amp;"/"&amp;D568</f>
        <v>Diesel oil fired power plants/Steam turbine/CHP/L</v>
      </c>
      <c r="F568" s="78" t="str">
        <f>A545</f>
        <v>Diesel oil fired power plants</v>
      </c>
      <c r="G568" s="78" t="str">
        <f>B565</f>
        <v>Steam turbine</v>
      </c>
      <c r="H568" s="78" t="str">
        <f>C568</f>
        <v>CHP</v>
      </c>
      <c r="I568" s="165" t="str">
        <f t="shared" si="85"/>
        <v>L</v>
      </c>
      <c r="J568" s="78">
        <v>5.1700000000000003E-2</v>
      </c>
      <c r="K568" s="78">
        <v>5.1700000000000003E-2</v>
      </c>
      <c r="L568" s="78">
        <v>5.1700000000000003E-2</v>
      </c>
      <c r="M568" s="78">
        <v>5.1700000000000003E-2</v>
      </c>
      <c r="N568" s="78">
        <v>5.1700000000000003E-2</v>
      </c>
      <c r="O568" s="78">
        <v>5.1700000000000003E-2</v>
      </c>
      <c r="P568" s="78">
        <v>5.1700000000000003E-2</v>
      </c>
      <c r="Q568" s="78">
        <v>5.1700000000000003E-2</v>
      </c>
      <c r="R568" s="78">
        <v>5.1700000000000003E-2</v>
      </c>
      <c r="S568" s="78">
        <v>5.1700000000000003E-2</v>
      </c>
      <c r="T568" s="78">
        <v>5.1700000000000003E-2</v>
      </c>
      <c r="U568" s="78">
        <v>5.1700000000000003E-2</v>
      </c>
      <c r="V568" s="78">
        <v>5.1700000000000003E-2</v>
      </c>
      <c r="W568" s="78">
        <v>5.1700000000000003E-2</v>
      </c>
      <c r="X568" s="78">
        <v>5.1700000000000003E-2</v>
      </c>
      <c r="Y568" s="78">
        <v>5.1700000000000003E-2</v>
      </c>
      <c r="Z568" s="78">
        <v>5.1700000000000003E-2</v>
      </c>
      <c r="AA568" s="78">
        <v>5.1700000000000003E-2</v>
      </c>
      <c r="AB568" s="78">
        <v>5.1700000000000003E-2</v>
      </c>
      <c r="AC568" s="78">
        <v>5.1700000000000003E-2</v>
      </c>
      <c r="AD568" s="78">
        <v>5.1700000000000003E-2</v>
      </c>
      <c r="AE568" s="78">
        <v>5.1700000000000003E-2</v>
      </c>
      <c r="AF568" s="78">
        <v>5.1700000000000003E-2</v>
      </c>
      <c r="AG568" s="78">
        <v>5.1700000000000003E-2</v>
      </c>
      <c r="AH568" s="78">
        <v>5.1700000000000003E-2</v>
      </c>
      <c r="AI568" s="78">
        <v>5.1700000000000003E-2</v>
      </c>
      <c r="AJ568" s="78">
        <v>5.1700000000000003E-2</v>
      </c>
      <c r="AK568" s="78">
        <v>5.1700000000000003E-2</v>
      </c>
      <c r="AL568" s="78">
        <v>5.1700000000000003E-2</v>
      </c>
      <c r="AM568" s="78">
        <v>5.1700000000000003E-2</v>
      </c>
      <c r="AN568" s="78">
        <v>5.1700000000000003E-2</v>
      </c>
      <c r="AO568" s="78">
        <v>5.1700000000000003E-2</v>
      </c>
      <c r="AP568" s="78">
        <v>5.1700000000000003E-2</v>
      </c>
      <c r="AQ568" s="78">
        <v>5.1700000000000003E-2</v>
      </c>
      <c r="AR568" s="78">
        <v>5.1700000000000003E-2</v>
      </c>
      <c r="AS568" s="78">
        <v>5.1700000000000003E-2</v>
      </c>
      <c r="AT568" s="78">
        <v>5.1700000000000003E-2</v>
      </c>
      <c r="AU568" s="78">
        <v>5.1700000000000003E-2</v>
      </c>
      <c r="AV568" s="78">
        <v>5.1700000000000003E-2</v>
      </c>
      <c r="AW568" s="78">
        <v>5.1700000000000003E-2</v>
      </c>
      <c r="AX568" s="86">
        <v>5.1700000000000003E-2</v>
      </c>
    </row>
    <row r="569" spans="1:50" x14ac:dyDescent="0.25">
      <c r="A569" s="356"/>
      <c r="B569" s="359"/>
      <c r="C569" s="350"/>
      <c r="D569" s="2" t="s">
        <v>8</v>
      </c>
      <c r="E569" s="160" t="str">
        <f>A545&amp;"/"&amp;B565&amp;"/"&amp;C568&amp;"/"&amp;D569</f>
        <v>Diesel oil fired power plants/Steam turbine/CHP/M</v>
      </c>
      <c r="F569" s="76" t="str">
        <f>A545</f>
        <v>Diesel oil fired power plants</v>
      </c>
      <c r="G569" s="76" t="str">
        <f>B565</f>
        <v>Steam turbine</v>
      </c>
      <c r="H569" s="76" t="str">
        <f>C568</f>
        <v>CHP</v>
      </c>
      <c r="I569" s="161" t="str">
        <f t="shared" si="85"/>
        <v>M</v>
      </c>
      <c r="J569" s="76">
        <v>5.4285000000000007E-2</v>
      </c>
      <c r="K569" s="76">
        <v>5.4285000000000007E-2</v>
      </c>
      <c r="L569" s="76">
        <v>5.4285000000000007E-2</v>
      </c>
      <c r="M569" s="76">
        <v>5.4285000000000007E-2</v>
      </c>
      <c r="N569" s="76">
        <v>5.4285000000000007E-2</v>
      </c>
      <c r="O569" s="76">
        <v>5.4285000000000007E-2</v>
      </c>
      <c r="P569" s="76">
        <v>5.4285000000000007E-2</v>
      </c>
      <c r="Q569" s="76">
        <v>5.4285000000000007E-2</v>
      </c>
      <c r="R569" s="76">
        <v>5.4285000000000007E-2</v>
      </c>
      <c r="S569" s="76">
        <v>5.4285000000000007E-2</v>
      </c>
      <c r="T569" s="76">
        <v>5.4285000000000007E-2</v>
      </c>
      <c r="U569" s="76">
        <v>5.4285000000000007E-2</v>
      </c>
      <c r="V569" s="76">
        <v>5.4285000000000007E-2</v>
      </c>
      <c r="W569" s="76">
        <v>5.4285000000000007E-2</v>
      </c>
      <c r="X569" s="76">
        <v>5.4285000000000007E-2</v>
      </c>
      <c r="Y569" s="76">
        <v>5.4285000000000007E-2</v>
      </c>
      <c r="Z569" s="76">
        <v>5.4285000000000007E-2</v>
      </c>
      <c r="AA569" s="76">
        <v>5.4285000000000007E-2</v>
      </c>
      <c r="AB569" s="76">
        <v>5.4285000000000007E-2</v>
      </c>
      <c r="AC569" s="76">
        <v>5.4285000000000007E-2</v>
      </c>
      <c r="AD569" s="76">
        <v>5.4285000000000007E-2</v>
      </c>
      <c r="AE569" s="76">
        <v>5.4285000000000007E-2</v>
      </c>
      <c r="AF569" s="76">
        <v>5.4285000000000007E-2</v>
      </c>
      <c r="AG569" s="76">
        <v>5.4285000000000007E-2</v>
      </c>
      <c r="AH569" s="76">
        <v>5.4285000000000007E-2</v>
      </c>
      <c r="AI569" s="76">
        <v>5.4285000000000007E-2</v>
      </c>
      <c r="AJ569" s="76">
        <v>5.4285000000000007E-2</v>
      </c>
      <c r="AK569" s="76">
        <v>5.4285000000000007E-2</v>
      </c>
      <c r="AL569" s="76">
        <v>5.4285000000000007E-2</v>
      </c>
      <c r="AM569" s="76">
        <v>5.4285000000000007E-2</v>
      </c>
      <c r="AN569" s="76">
        <v>5.4285000000000007E-2</v>
      </c>
      <c r="AO569" s="76">
        <v>5.4285000000000007E-2</v>
      </c>
      <c r="AP569" s="76">
        <v>5.4285000000000007E-2</v>
      </c>
      <c r="AQ569" s="76">
        <v>5.4285000000000007E-2</v>
      </c>
      <c r="AR569" s="76">
        <v>5.4285000000000007E-2</v>
      </c>
      <c r="AS569" s="76">
        <v>5.4285000000000007E-2</v>
      </c>
      <c r="AT569" s="76">
        <v>5.4285000000000007E-2</v>
      </c>
      <c r="AU569" s="76">
        <v>5.4285000000000007E-2</v>
      </c>
      <c r="AV569" s="76">
        <v>5.4285000000000007E-2</v>
      </c>
      <c r="AW569" s="76">
        <v>5.4285000000000007E-2</v>
      </c>
      <c r="AX569" s="84">
        <v>5.4285000000000007E-2</v>
      </c>
    </row>
    <row r="570" spans="1:50" x14ac:dyDescent="0.25">
      <c r="A570" s="356"/>
      <c r="B570" s="359"/>
      <c r="C570" s="360"/>
      <c r="D570" s="59" t="s">
        <v>10</v>
      </c>
      <c r="E570" s="166" t="str">
        <f>A545&amp;"/"&amp;B565&amp;"/"&amp;C568&amp;"/"&amp;D570</f>
        <v>Diesel oil fired power plants/Steam turbine/CHP/S</v>
      </c>
      <c r="F570" s="79" t="str">
        <f>A545</f>
        <v>Diesel oil fired power plants</v>
      </c>
      <c r="G570" s="79" t="str">
        <f>B565</f>
        <v>Steam turbine</v>
      </c>
      <c r="H570" s="79" t="str">
        <f>C568</f>
        <v>CHP</v>
      </c>
      <c r="I570" s="167" t="str">
        <f t="shared" si="85"/>
        <v>S</v>
      </c>
      <c r="J570" s="79">
        <v>5.6999250000000015E-2</v>
      </c>
      <c r="K570" s="79">
        <v>5.6999250000000015E-2</v>
      </c>
      <c r="L570" s="79">
        <v>5.6999250000000015E-2</v>
      </c>
      <c r="M570" s="79">
        <v>5.6999250000000015E-2</v>
      </c>
      <c r="N570" s="79">
        <v>5.6999250000000015E-2</v>
      </c>
      <c r="O570" s="79">
        <v>5.6999250000000015E-2</v>
      </c>
      <c r="P570" s="79">
        <v>5.6999250000000015E-2</v>
      </c>
      <c r="Q570" s="79">
        <v>5.6999250000000015E-2</v>
      </c>
      <c r="R570" s="79">
        <v>5.6999250000000015E-2</v>
      </c>
      <c r="S570" s="79">
        <v>5.6999250000000015E-2</v>
      </c>
      <c r="T570" s="79">
        <v>5.6999250000000015E-2</v>
      </c>
      <c r="U570" s="79">
        <v>5.6999250000000015E-2</v>
      </c>
      <c r="V570" s="79">
        <v>5.6999250000000015E-2</v>
      </c>
      <c r="W570" s="79">
        <v>5.6999250000000015E-2</v>
      </c>
      <c r="X570" s="79">
        <v>5.6999250000000015E-2</v>
      </c>
      <c r="Y570" s="79">
        <v>5.6999250000000015E-2</v>
      </c>
      <c r="Z570" s="79">
        <v>5.6999250000000015E-2</v>
      </c>
      <c r="AA570" s="79">
        <v>5.6999250000000015E-2</v>
      </c>
      <c r="AB570" s="79">
        <v>5.6999250000000015E-2</v>
      </c>
      <c r="AC570" s="79">
        <v>5.6999250000000015E-2</v>
      </c>
      <c r="AD570" s="79">
        <v>5.6999250000000015E-2</v>
      </c>
      <c r="AE570" s="79">
        <v>5.6999250000000015E-2</v>
      </c>
      <c r="AF570" s="79">
        <v>5.6999250000000015E-2</v>
      </c>
      <c r="AG570" s="79">
        <v>5.6999250000000015E-2</v>
      </c>
      <c r="AH570" s="79">
        <v>5.6999250000000015E-2</v>
      </c>
      <c r="AI570" s="79">
        <v>5.6999250000000015E-2</v>
      </c>
      <c r="AJ570" s="79">
        <v>5.6999250000000015E-2</v>
      </c>
      <c r="AK570" s="79">
        <v>5.6999250000000015E-2</v>
      </c>
      <c r="AL570" s="79">
        <v>5.6999250000000015E-2</v>
      </c>
      <c r="AM570" s="79">
        <v>5.6999250000000015E-2</v>
      </c>
      <c r="AN570" s="79">
        <v>5.6999250000000015E-2</v>
      </c>
      <c r="AO570" s="79">
        <v>5.6999250000000015E-2</v>
      </c>
      <c r="AP570" s="79">
        <v>5.6999250000000015E-2</v>
      </c>
      <c r="AQ570" s="79">
        <v>5.6999250000000015E-2</v>
      </c>
      <c r="AR570" s="79">
        <v>5.6999250000000015E-2</v>
      </c>
      <c r="AS570" s="79">
        <v>5.6999250000000015E-2</v>
      </c>
      <c r="AT570" s="79">
        <v>5.6999250000000015E-2</v>
      </c>
      <c r="AU570" s="79">
        <v>5.6999250000000015E-2</v>
      </c>
      <c r="AV570" s="79">
        <v>5.6999250000000015E-2</v>
      </c>
      <c r="AW570" s="79">
        <v>5.6999250000000015E-2</v>
      </c>
      <c r="AX570" s="87">
        <v>5.6999250000000015E-2</v>
      </c>
    </row>
    <row r="571" spans="1:50" x14ac:dyDescent="0.25">
      <c r="A571" s="356"/>
      <c r="B571" s="359"/>
      <c r="C571" s="361" t="s">
        <v>15</v>
      </c>
      <c r="D571" s="58" t="s">
        <v>7</v>
      </c>
      <c r="E571" s="164" t="str">
        <f>A545&amp;"/"&amp;B565&amp;"/"&amp;C571&amp;"/"&amp;D571</f>
        <v>Diesel oil fired power plants/Steam turbine/Electricity only with CCS/L</v>
      </c>
      <c r="F571" s="78" t="str">
        <f>A545</f>
        <v>Diesel oil fired power plants</v>
      </c>
      <c r="G571" s="78" t="str">
        <f>B565</f>
        <v>Steam turbine</v>
      </c>
      <c r="H571" s="78" t="str">
        <f>C571</f>
        <v>Electricity only with CCS</v>
      </c>
      <c r="I571" s="165" t="str">
        <f t="shared" si="85"/>
        <v>L</v>
      </c>
      <c r="J571" s="78" t="s">
        <v>112</v>
      </c>
      <c r="K571" s="78" t="s">
        <v>112</v>
      </c>
      <c r="L571" s="78" t="s">
        <v>112</v>
      </c>
      <c r="M571" s="78" t="s">
        <v>112</v>
      </c>
      <c r="N571" s="78" t="s">
        <v>112</v>
      </c>
      <c r="O571" s="78" t="s">
        <v>112</v>
      </c>
      <c r="P571" s="78" t="s">
        <v>112</v>
      </c>
      <c r="Q571" s="78" t="s">
        <v>112</v>
      </c>
      <c r="R571" s="78" t="s">
        <v>112</v>
      </c>
      <c r="S571" s="78" t="s">
        <v>112</v>
      </c>
      <c r="T571" s="78" t="s">
        <v>112</v>
      </c>
      <c r="U571" s="78" t="s">
        <v>112</v>
      </c>
      <c r="V571" s="78" t="s">
        <v>112</v>
      </c>
      <c r="W571" s="78" t="s">
        <v>112</v>
      </c>
      <c r="X571" s="78" t="s">
        <v>112</v>
      </c>
      <c r="Y571" s="78" t="s">
        <v>112</v>
      </c>
      <c r="Z571" s="78" t="s">
        <v>112</v>
      </c>
      <c r="AA571" s="78" t="s">
        <v>112</v>
      </c>
      <c r="AB571" s="78" t="s">
        <v>112</v>
      </c>
      <c r="AC571" s="78" t="s">
        <v>112</v>
      </c>
      <c r="AD571" s="78" t="s">
        <v>112</v>
      </c>
      <c r="AE571" s="78">
        <v>0.27024999999999999</v>
      </c>
      <c r="AF571" s="78">
        <v>0.27024999999999999</v>
      </c>
      <c r="AG571" s="78">
        <v>0.27024999999999999</v>
      </c>
      <c r="AH571" s="78">
        <v>0.27024999999999999</v>
      </c>
      <c r="AI571" s="78">
        <v>0.27024999999999999</v>
      </c>
      <c r="AJ571" s="78">
        <v>0.27024999999999999</v>
      </c>
      <c r="AK571" s="78">
        <v>0.27024999999999999</v>
      </c>
      <c r="AL571" s="78">
        <v>0.27024999999999999</v>
      </c>
      <c r="AM571" s="78">
        <v>0.27024999999999999</v>
      </c>
      <c r="AN571" s="78">
        <v>0.27024999999999999</v>
      </c>
      <c r="AO571" s="78">
        <v>0.27024999999999999</v>
      </c>
      <c r="AP571" s="78">
        <v>0.27024999999999999</v>
      </c>
      <c r="AQ571" s="78">
        <v>0.27024999999999999</v>
      </c>
      <c r="AR571" s="78">
        <v>0.27024999999999999</v>
      </c>
      <c r="AS571" s="78">
        <v>0.27024999999999999</v>
      </c>
      <c r="AT571" s="78">
        <v>0.27024999999999999</v>
      </c>
      <c r="AU571" s="78">
        <v>0.27024999999999999</v>
      </c>
      <c r="AV571" s="78">
        <v>0.27024999999999999</v>
      </c>
      <c r="AW571" s="78">
        <v>0.27024999999999999</v>
      </c>
      <c r="AX571" s="86">
        <v>0.27024999999999999</v>
      </c>
    </row>
    <row r="572" spans="1:50" x14ac:dyDescent="0.25">
      <c r="A572" s="356"/>
      <c r="B572" s="359"/>
      <c r="C572" s="360"/>
      <c r="D572" s="59" t="s">
        <v>8</v>
      </c>
      <c r="E572" s="166" t="str">
        <f>A545&amp;"/"&amp;B565&amp;"/"&amp;C571&amp;"/"&amp;D572</f>
        <v>Diesel oil fired power plants/Steam turbine/Electricity only with CCS/M</v>
      </c>
      <c r="F572" s="79" t="str">
        <f>A545</f>
        <v>Diesel oil fired power plants</v>
      </c>
      <c r="G572" s="79" t="str">
        <f>B565</f>
        <v>Steam turbine</v>
      </c>
      <c r="H572" s="79" t="str">
        <f>C571</f>
        <v>Electricity only with CCS</v>
      </c>
      <c r="I572" s="167" t="str">
        <f t="shared" si="85"/>
        <v>M</v>
      </c>
      <c r="J572" s="79" t="s">
        <v>112</v>
      </c>
      <c r="K572" s="79" t="s">
        <v>112</v>
      </c>
      <c r="L572" s="79" t="s">
        <v>112</v>
      </c>
      <c r="M572" s="79" t="s">
        <v>112</v>
      </c>
      <c r="N572" s="79" t="s">
        <v>112</v>
      </c>
      <c r="O572" s="79" t="s">
        <v>112</v>
      </c>
      <c r="P572" s="79" t="s">
        <v>112</v>
      </c>
      <c r="Q572" s="79" t="s">
        <v>112</v>
      </c>
      <c r="R572" s="79" t="s">
        <v>112</v>
      </c>
      <c r="S572" s="79" t="s">
        <v>112</v>
      </c>
      <c r="T572" s="79" t="s">
        <v>112</v>
      </c>
      <c r="U572" s="79" t="s">
        <v>112</v>
      </c>
      <c r="V572" s="79" t="s">
        <v>112</v>
      </c>
      <c r="W572" s="79" t="s">
        <v>112</v>
      </c>
      <c r="X572" s="79" t="s">
        <v>112</v>
      </c>
      <c r="Y572" s="79" t="s">
        <v>112</v>
      </c>
      <c r="Z572" s="79" t="s">
        <v>112</v>
      </c>
      <c r="AA572" s="79" t="s">
        <v>112</v>
      </c>
      <c r="AB572" s="79" t="s">
        <v>112</v>
      </c>
      <c r="AC572" s="79" t="s">
        <v>112</v>
      </c>
      <c r="AD572" s="79" t="s">
        <v>112</v>
      </c>
      <c r="AE572" s="79">
        <v>0.28376250000000003</v>
      </c>
      <c r="AF572" s="79">
        <v>0.28376250000000003</v>
      </c>
      <c r="AG572" s="79">
        <v>0.28376250000000003</v>
      </c>
      <c r="AH572" s="79">
        <v>0.28376250000000003</v>
      </c>
      <c r="AI572" s="79">
        <v>0.28376250000000003</v>
      </c>
      <c r="AJ572" s="79">
        <v>0.28376250000000003</v>
      </c>
      <c r="AK572" s="79">
        <v>0.28376250000000003</v>
      </c>
      <c r="AL572" s="79">
        <v>0.28376250000000003</v>
      </c>
      <c r="AM572" s="79">
        <v>0.28376250000000003</v>
      </c>
      <c r="AN572" s="79">
        <v>0.28376250000000003</v>
      </c>
      <c r="AO572" s="79">
        <v>0.28376250000000003</v>
      </c>
      <c r="AP572" s="79">
        <v>0.28376250000000003</v>
      </c>
      <c r="AQ572" s="79">
        <v>0.28376250000000003</v>
      </c>
      <c r="AR572" s="79">
        <v>0.28376250000000003</v>
      </c>
      <c r="AS572" s="79">
        <v>0.28376250000000003</v>
      </c>
      <c r="AT572" s="79">
        <v>0.28376250000000003</v>
      </c>
      <c r="AU572" s="79">
        <v>0.28376250000000003</v>
      </c>
      <c r="AV572" s="79">
        <v>0.28376250000000003</v>
      </c>
      <c r="AW572" s="79">
        <v>0.28376250000000003</v>
      </c>
      <c r="AX572" s="87">
        <v>0.28376250000000003</v>
      </c>
    </row>
    <row r="573" spans="1:50" x14ac:dyDescent="0.25">
      <c r="A573" s="356"/>
      <c r="B573" s="359"/>
      <c r="C573" s="361" t="s">
        <v>16</v>
      </c>
      <c r="D573" s="2" t="s">
        <v>7</v>
      </c>
      <c r="E573" s="160" t="str">
        <f>A545&amp;"/"&amp;B565&amp;"/"&amp;C573&amp;"/"&amp;D573</f>
        <v>Diesel oil fired power plants/Steam turbine/CHP with CCS/L</v>
      </c>
      <c r="F573" s="76" t="str">
        <f>A545</f>
        <v>Diesel oil fired power plants</v>
      </c>
      <c r="G573" s="76" t="str">
        <f>B565</f>
        <v>Steam turbine</v>
      </c>
      <c r="H573" s="76" t="str">
        <f>C573</f>
        <v>CHP with CCS</v>
      </c>
      <c r="I573" s="161" t="str">
        <f t="shared" si="85"/>
        <v>L</v>
      </c>
      <c r="J573" s="76" t="s">
        <v>112</v>
      </c>
      <c r="K573" s="76" t="s">
        <v>112</v>
      </c>
      <c r="L573" s="76" t="s">
        <v>112</v>
      </c>
      <c r="M573" s="76" t="s">
        <v>112</v>
      </c>
      <c r="N573" s="76" t="s">
        <v>112</v>
      </c>
      <c r="O573" s="76" t="s">
        <v>112</v>
      </c>
      <c r="P573" s="76" t="s">
        <v>112</v>
      </c>
      <c r="Q573" s="76" t="s">
        <v>112</v>
      </c>
      <c r="R573" s="76" t="s">
        <v>112</v>
      </c>
      <c r="S573" s="76" t="s">
        <v>112</v>
      </c>
      <c r="T573" s="76" t="s">
        <v>112</v>
      </c>
      <c r="U573" s="76" t="s">
        <v>112</v>
      </c>
      <c r="V573" s="76" t="s">
        <v>112</v>
      </c>
      <c r="W573" s="76" t="s">
        <v>112</v>
      </c>
      <c r="X573" s="76" t="s">
        <v>112</v>
      </c>
      <c r="Y573" s="76" t="s">
        <v>112</v>
      </c>
      <c r="Z573" s="76" t="s">
        <v>112</v>
      </c>
      <c r="AA573" s="76" t="s">
        <v>112</v>
      </c>
      <c r="AB573" s="76" t="s">
        <v>112</v>
      </c>
      <c r="AC573" s="76" t="s">
        <v>112</v>
      </c>
      <c r="AD573" s="76" t="s">
        <v>112</v>
      </c>
      <c r="AE573" s="76">
        <v>0.29727500000000001</v>
      </c>
      <c r="AF573" s="76">
        <v>0.29727500000000001</v>
      </c>
      <c r="AG573" s="76">
        <v>0.29727500000000001</v>
      </c>
      <c r="AH573" s="76">
        <v>0.29727500000000001</v>
      </c>
      <c r="AI573" s="76">
        <v>0.29727500000000001</v>
      </c>
      <c r="AJ573" s="76">
        <v>0.29727500000000001</v>
      </c>
      <c r="AK573" s="76">
        <v>0.29727500000000001</v>
      </c>
      <c r="AL573" s="76">
        <v>0.29727500000000001</v>
      </c>
      <c r="AM573" s="76">
        <v>0.29727500000000001</v>
      </c>
      <c r="AN573" s="76">
        <v>0.29727500000000001</v>
      </c>
      <c r="AO573" s="76">
        <v>0.29727500000000001</v>
      </c>
      <c r="AP573" s="76">
        <v>0.29727500000000001</v>
      </c>
      <c r="AQ573" s="76">
        <v>0.29727500000000001</v>
      </c>
      <c r="AR573" s="76">
        <v>0.29727500000000001</v>
      </c>
      <c r="AS573" s="76">
        <v>0.29727500000000001</v>
      </c>
      <c r="AT573" s="76">
        <v>0.29727500000000001</v>
      </c>
      <c r="AU573" s="76">
        <v>0.29727500000000001</v>
      </c>
      <c r="AV573" s="76">
        <v>0.29727500000000001</v>
      </c>
      <c r="AW573" s="76">
        <v>0.29727500000000001</v>
      </c>
      <c r="AX573" s="84">
        <v>0.29727500000000001</v>
      </c>
    </row>
    <row r="574" spans="1:50" x14ac:dyDescent="0.25">
      <c r="A574" s="356"/>
      <c r="B574" s="362"/>
      <c r="C574" s="354"/>
      <c r="D574" s="4" t="s">
        <v>8</v>
      </c>
      <c r="E574" s="168" t="str">
        <f>A545&amp;"/"&amp;B565&amp;"/"&amp;C573&amp;"/"&amp;D574</f>
        <v>Diesel oil fired power plants/Steam turbine/CHP with CCS/M</v>
      </c>
      <c r="F574" s="80" t="str">
        <f>A545</f>
        <v>Diesel oil fired power plants</v>
      </c>
      <c r="G574" s="80" t="str">
        <f>B565</f>
        <v>Steam turbine</v>
      </c>
      <c r="H574" s="80" t="str">
        <f>C573</f>
        <v>CHP with CCS</v>
      </c>
      <c r="I574" s="169" t="str">
        <f t="shared" si="85"/>
        <v>M</v>
      </c>
      <c r="J574" s="80" t="s">
        <v>112</v>
      </c>
      <c r="K574" s="80" t="s">
        <v>112</v>
      </c>
      <c r="L574" s="80" t="s">
        <v>112</v>
      </c>
      <c r="M574" s="80" t="s">
        <v>112</v>
      </c>
      <c r="N574" s="80" t="s">
        <v>112</v>
      </c>
      <c r="O574" s="80" t="s">
        <v>112</v>
      </c>
      <c r="P574" s="80" t="s">
        <v>112</v>
      </c>
      <c r="Q574" s="80" t="s">
        <v>112</v>
      </c>
      <c r="R574" s="80" t="s">
        <v>112</v>
      </c>
      <c r="S574" s="80" t="s">
        <v>112</v>
      </c>
      <c r="T574" s="80" t="s">
        <v>112</v>
      </c>
      <c r="U574" s="80" t="s">
        <v>112</v>
      </c>
      <c r="V574" s="80" t="s">
        <v>112</v>
      </c>
      <c r="W574" s="80" t="s">
        <v>112</v>
      </c>
      <c r="X574" s="80" t="s">
        <v>112</v>
      </c>
      <c r="Y574" s="80" t="s">
        <v>112</v>
      </c>
      <c r="Z574" s="80" t="s">
        <v>112</v>
      </c>
      <c r="AA574" s="80" t="s">
        <v>112</v>
      </c>
      <c r="AB574" s="80" t="s">
        <v>112</v>
      </c>
      <c r="AC574" s="80" t="s">
        <v>112</v>
      </c>
      <c r="AD574" s="80" t="s">
        <v>112</v>
      </c>
      <c r="AE574" s="80">
        <v>0.31213875000000008</v>
      </c>
      <c r="AF574" s="80">
        <v>0.31213875000000008</v>
      </c>
      <c r="AG574" s="80">
        <v>0.31213875000000008</v>
      </c>
      <c r="AH574" s="80">
        <v>0.31213875000000008</v>
      </c>
      <c r="AI574" s="80">
        <v>0.31213875000000008</v>
      </c>
      <c r="AJ574" s="80">
        <v>0.31213875000000008</v>
      </c>
      <c r="AK574" s="80">
        <v>0.31213875000000008</v>
      </c>
      <c r="AL574" s="80">
        <v>0.31213875000000008</v>
      </c>
      <c r="AM574" s="80">
        <v>0.31213875000000008</v>
      </c>
      <c r="AN574" s="80">
        <v>0.31213875000000008</v>
      </c>
      <c r="AO574" s="80">
        <v>0.31213875000000008</v>
      </c>
      <c r="AP574" s="80">
        <v>0.31213875000000008</v>
      </c>
      <c r="AQ574" s="80">
        <v>0.31213875000000008</v>
      </c>
      <c r="AR574" s="80">
        <v>0.31213875000000008</v>
      </c>
      <c r="AS574" s="80">
        <v>0.31213875000000008</v>
      </c>
      <c r="AT574" s="80">
        <v>0.31213875000000008</v>
      </c>
      <c r="AU574" s="80">
        <v>0.31213875000000008</v>
      </c>
      <c r="AV574" s="80">
        <v>0.31213875000000008</v>
      </c>
      <c r="AW574" s="80">
        <v>0.31213875000000008</v>
      </c>
      <c r="AX574" s="88">
        <v>0.31213875000000008</v>
      </c>
    </row>
    <row r="575" spans="1:50" x14ac:dyDescent="0.25">
      <c r="A575" s="356"/>
      <c r="B575" s="358" t="s">
        <v>25</v>
      </c>
      <c r="C575" s="353" t="s">
        <v>6</v>
      </c>
      <c r="D575" s="3" t="s">
        <v>10</v>
      </c>
      <c r="E575" s="162" t="str">
        <f>A545&amp;"/"&amp;B575&amp;"/"&amp;C575&amp;"/"&amp;D575</f>
        <v>Diesel oil fired power plants/Internal combustion engine/Electricity only/S</v>
      </c>
      <c r="F575" s="77" t="str">
        <f>A545</f>
        <v>Diesel oil fired power plants</v>
      </c>
      <c r="G575" s="77" t="str">
        <f>B575</f>
        <v>Internal combustion engine</v>
      </c>
      <c r="H575" s="77" t="str">
        <f>C575</f>
        <v>Electricity only</v>
      </c>
      <c r="I575" s="163" t="str">
        <f t="shared" si="85"/>
        <v>S</v>
      </c>
      <c r="J575" s="77">
        <v>2.5999999999999999E-2</v>
      </c>
      <c r="K575" s="77">
        <v>2.5999999999999999E-2</v>
      </c>
      <c r="L575" s="77">
        <v>2.5999999999999999E-2</v>
      </c>
      <c r="M575" s="77">
        <v>2.5999999999999999E-2</v>
      </c>
      <c r="N575" s="77">
        <v>2.5999999999999999E-2</v>
      </c>
      <c r="O575" s="77">
        <v>2.5999999999999999E-2</v>
      </c>
      <c r="P575" s="77">
        <v>2.5999999999999999E-2</v>
      </c>
      <c r="Q575" s="77">
        <v>2.5999999999999999E-2</v>
      </c>
      <c r="R575" s="77">
        <v>2.5999999999999999E-2</v>
      </c>
      <c r="S575" s="77">
        <v>2.5999999999999999E-2</v>
      </c>
      <c r="T575" s="77">
        <v>2.5999999999999999E-2</v>
      </c>
      <c r="U575" s="77">
        <v>2.5999999999999999E-2</v>
      </c>
      <c r="V575" s="77">
        <v>2.5999999999999999E-2</v>
      </c>
      <c r="W575" s="77">
        <v>2.5999999999999999E-2</v>
      </c>
      <c r="X575" s="77">
        <v>2.5999999999999999E-2</v>
      </c>
      <c r="Y575" s="77">
        <v>2.5999999999999999E-2</v>
      </c>
      <c r="Z575" s="77">
        <v>2.5999999999999999E-2</v>
      </c>
      <c r="AA575" s="77">
        <v>2.5999999999999999E-2</v>
      </c>
      <c r="AB575" s="77">
        <v>2.5999999999999999E-2</v>
      </c>
      <c r="AC575" s="77">
        <v>2.5999999999999999E-2</v>
      </c>
      <c r="AD575" s="77">
        <v>2.5999999999999999E-2</v>
      </c>
      <c r="AE575" s="77">
        <v>2.5999999999999999E-2</v>
      </c>
      <c r="AF575" s="77">
        <v>2.5999999999999999E-2</v>
      </c>
      <c r="AG575" s="77">
        <v>2.5999999999999999E-2</v>
      </c>
      <c r="AH575" s="77">
        <v>2.5999999999999999E-2</v>
      </c>
      <c r="AI575" s="77">
        <v>2.5999999999999999E-2</v>
      </c>
      <c r="AJ575" s="77">
        <v>2.5999999999999999E-2</v>
      </c>
      <c r="AK575" s="77">
        <v>2.5999999999999999E-2</v>
      </c>
      <c r="AL575" s="77">
        <v>2.5999999999999999E-2</v>
      </c>
      <c r="AM575" s="77">
        <v>2.5999999999999999E-2</v>
      </c>
      <c r="AN575" s="77">
        <v>2.5999999999999999E-2</v>
      </c>
      <c r="AO575" s="77">
        <v>2.5999999999999999E-2</v>
      </c>
      <c r="AP575" s="77">
        <v>2.5999999999999999E-2</v>
      </c>
      <c r="AQ575" s="77">
        <v>2.5999999999999999E-2</v>
      </c>
      <c r="AR575" s="77">
        <v>2.5999999999999999E-2</v>
      </c>
      <c r="AS575" s="77">
        <v>2.5999999999999999E-2</v>
      </c>
      <c r="AT575" s="77">
        <v>2.5999999999999999E-2</v>
      </c>
      <c r="AU575" s="77">
        <v>2.5999999999999999E-2</v>
      </c>
      <c r="AV575" s="77">
        <v>2.5999999999999999E-2</v>
      </c>
      <c r="AW575" s="77">
        <v>2.5999999999999999E-2</v>
      </c>
      <c r="AX575" s="85">
        <v>2.5999999999999999E-2</v>
      </c>
    </row>
    <row r="576" spans="1:50" x14ac:dyDescent="0.25">
      <c r="A576" s="356"/>
      <c r="B576" s="359"/>
      <c r="C576" s="360"/>
      <c r="D576" s="59" t="s">
        <v>20</v>
      </c>
      <c r="E576" s="160" t="str">
        <f>A545&amp;"/"&amp;B575&amp;"/"&amp;C575&amp;"/"&amp;D576</f>
        <v>Diesel oil fired power plants/Internal combustion engine/Electricity only/XS</v>
      </c>
      <c r="F576" s="76" t="str">
        <f>A545</f>
        <v>Diesel oil fired power plants</v>
      </c>
      <c r="G576" s="76" t="str">
        <f>B575</f>
        <v>Internal combustion engine</v>
      </c>
      <c r="H576" s="76" t="str">
        <f>C575</f>
        <v>Electricity only</v>
      </c>
      <c r="I576" s="161" t="str">
        <f t="shared" si="85"/>
        <v>XS</v>
      </c>
      <c r="J576" s="76">
        <v>2.7300000000000001E-2</v>
      </c>
      <c r="K576" s="76">
        <v>2.7300000000000001E-2</v>
      </c>
      <c r="L576" s="76">
        <v>2.7300000000000001E-2</v>
      </c>
      <c r="M576" s="76">
        <v>2.7300000000000001E-2</v>
      </c>
      <c r="N576" s="76">
        <v>2.7300000000000001E-2</v>
      </c>
      <c r="O576" s="76">
        <v>2.7300000000000001E-2</v>
      </c>
      <c r="P576" s="76">
        <v>2.7300000000000001E-2</v>
      </c>
      <c r="Q576" s="76">
        <v>2.7300000000000001E-2</v>
      </c>
      <c r="R576" s="76">
        <v>2.7300000000000001E-2</v>
      </c>
      <c r="S576" s="76">
        <v>2.7300000000000001E-2</v>
      </c>
      <c r="T576" s="76">
        <v>2.7300000000000001E-2</v>
      </c>
      <c r="U576" s="76">
        <v>2.7300000000000001E-2</v>
      </c>
      <c r="V576" s="76">
        <v>2.7300000000000001E-2</v>
      </c>
      <c r="W576" s="76">
        <v>2.7300000000000001E-2</v>
      </c>
      <c r="X576" s="76">
        <v>2.7300000000000001E-2</v>
      </c>
      <c r="Y576" s="76">
        <v>2.7300000000000001E-2</v>
      </c>
      <c r="Z576" s="76">
        <v>2.7300000000000001E-2</v>
      </c>
      <c r="AA576" s="76">
        <v>2.7300000000000001E-2</v>
      </c>
      <c r="AB576" s="76">
        <v>2.7300000000000001E-2</v>
      </c>
      <c r="AC576" s="76">
        <v>2.7300000000000001E-2</v>
      </c>
      <c r="AD576" s="76">
        <v>2.7300000000000001E-2</v>
      </c>
      <c r="AE576" s="76">
        <v>2.7300000000000001E-2</v>
      </c>
      <c r="AF576" s="76">
        <v>2.7300000000000001E-2</v>
      </c>
      <c r="AG576" s="76">
        <v>2.7300000000000001E-2</v>
      </c>
      <c r="AH576" s="76">
        <v>2.7300000000000001E-2</v>
      </c>
      <c r="AI576" s="76">
        <v>2.7300000000000001E-2</v>
      </c>
      <c r="AJ576" s="76">
        <v>2.7300000000000001E-2</v>
      </c>
      <c r="AK576" s="76">
        <v>2.7300000000000001E-2</v>
      </c>
      <c r="AL576" s="76">
        <v>2.7300000000000001E-2</v>
      </c>
      <c r="AM576" s="76">
        <v>2.7300000000000001E-2</v>
      </c>
      <c r="AN576" s="76">
        <v>2.7300000000000001E-2</v>
      </c>
      <c r="AO576" s="76">
        <v>2.7300000000000001E-2</v>
      </c>
      <c r="AP576" s="76">
        <v>2.7300000000000001E-2</v>
      </c>
      <c r="AQ576" s="76">
        <v>2.7300000000000001E-2</v>
      </c>
      <c r="AR576" s="76">
        <v>2.7300000000000001E-2</v>
      </c>
      <c r="AS576" s="76">
        <v>2.7300000000000001E-2</v>
      </c>
      <c r="AT576" s="76">
        <v>2.7300000000000001E-2</v>
      </c>
      <c r="AU576" s="76">
        <v>2.7300000000000001E-2</v>
      </c>
      <c r="AV576" s="76">
        <v>2.7300000000000001E-2</v>
      </c>
      <c r="AW576" s="76">
        <v>2.7300000000000001E-2</v>
      </c>
      <c r="AX576" s="84">
        <v>2.7300000000000001E-2</v>
      </c>
    </row>
    <row r="577" spans="1:50" x14ac:dyDescent="0.25">
      <c r="A577" s="356"/>
      <c r="B577" s="359"/>
      <c r="C577" s="350" t="s">
        <v>14</v>
      </c>
      <c r="D577" s="2" t="s">
        <v>10</v>
      </c>
      <c r="E577" s="164" t="str">
        <f>A545&amp;"/"&amp;B575&amp;"/"&amp;C577&amp;"/"&amp;D577</f>
        <v>Diesel oil fired power plants/Internal combustion engine/CHP/S</v>
      </c>
      <c r="F577" s="78" t="str">
        <f>A545</f>
        <v>Diesel oil fired power plants</v>
      </c>
      <c r="G577" s="78" t="str">
        <f>B575</f>
        <v>Internal combustion engine</v>
      </c>
      <c r="H577" s="78" t="str">
        <f>C577</f>
        <v>CHP</v>
      </c>
      <c r="I577" s="165" t="str">
        <f t="shared" si="85"/>
        <v>S</v>
      </c>
      <c r="J577" s="78">
        <v>2.86E-2</v>
      </c>
      <c r="K577" s="78">
        <v>2.86E-2</v>
      </c>
      <c r="L577" s="78">
        <v>2.86E-2</v>
      </c>
      <c r="M577" s="78">
        <v>2.86E-2</v>
      </c>
      <c r="N577" s="78">
        <v>2.86E-2</v>
      </c>
      <c r="O577" s="78">
        <v>2.86E-2</v>
      </c>
      <c r="P577" s="78">
        <v>2.86E-2</v>
      </c>
      <c r="Q577" s="78">
        <v>2.86E-2</v>
      </c>
      <c r="R577" s="78">
        <v>2.86E-2</v>
      </c>
      <c r="S577" s="78">
        <v>2.86E-2</v>
      </c>
      <c r="T577" s="78">
        <v>2.86E-2</v>
      </c>
      <c r="U577" s="78">
        <v>2.86E-2</v>
      </c>
      <c r="V577" s="78">
        <v>2.86E-2</v>
      </c>
      <c r="W577" s="78">
        <v>2.86E-2</v>
      </c>
      <c r="X577" s="78">
        <v>2.86E-2</v>
      </c>
      <c r="Y577" s="78">
        <v>2.86E-2</v>
      </c>
      <c r="Z577" s="78">
        <v>2.86E-2</v>
      </c>
      <c r="AA577" s="78">
        <v>2.86E-2</v>
      </c>
      <c r="AB577" s="78">
        <v>2.86E-2</v>
      </c>
      <c r="AC577" s="78">
        <v>2.86E-2</v>
      </c>
      <c r="AD577" s="78">
        <v>2.86E-2</v>
      </c>
      <c r="AE577" s="78">
        <v>2.86E-2</v>
      </c>
      <c r="AF577" s="78">
        <v>2.86E-2</v>
      </c>
      <c r="AG577" s="78">
        <v>2.86E-2</v>
      </c>
      <c r="AH577" s="78">
        <v>2.86E-2</v>
      </c>
      <c r="AI577" s="78">
        <v>2.86E-2</v>
      </c>
      <c r="AJ577" s="78">
        <v>2.86E-2</v>
      </c>
      <c r="AK577" s="78">
        <v>2.86E-2</v>
      </c>
      <c r="AL577" s="78">
        <v>2.86E-2</v>
      </c>
      <c r="AM577" s="78">
        <v>2.86E-2</v>
      </c>
      <c r="AN577" s="78">
        <v>2.86E-2</v>
      </c>
      <c r="AO577" s="78">
        <v>2.86E-2</v>
      </c>
      <c r="AP577" s="78">
        <v>2.86E-2</v>
      </c>
      <c r="AQ577" s="78">
        <v>2.86E-2</v>
      </c>
      <c r="AR577" s="78">
        <v>2.86E-2</v>
      </c>
      <c r="AS577" s="78">
        <v>2.86E-2</v>
      </c>
      <c r="AT577" s="78">
        <v>2.86E-2</v>
      </c>
      <c r="AU577" s="78">
        <v>2.86E-2</v>
      </c>
      <c r="AV577" s="78">
        <v>2.86E-2</v>
      </c>
      <c r="AW577" s="78">
        <v>2.86E-2</v>
      </c>
      <c r="AX577" s="86">
        <v>2.86E-2</v>
      </c>
    </row>
    <row r="578" spans="1:50" x14ac:dyDescent="0.25">
      <c r="A578" s="357"/>
      <c r="B578" s="362"/>
      <c r="C578" s="354"/>
      <c r="D578" s="4" t="s">
        <v>20</v>
      </c>
      <c r="E578" s="168" t="str">
        <f>A545&amp;"/"&amp;B575&amp;"/"&amp;C577&amp;"/"&amp;D578</f>
        <v>Diesel oil fired power plants/Internal combustion engine/CHP/XS</v>
      </c>
      <c r="F578" s="80" t="str">
        <f>A545</f>
        <v>Diesel oil fired power plants</v>
      </c>
      <c r="G578" s="80" t="str">
        <f>B575</f>
        <v>Internal combustion engine</v>
      </c>
      <c r="H578" s="80" t="str">
        <f>C577</f>
        <v>CHP</v>
      </c>
      <c r="I578" s="169" t="str">
        <f t="shared" si="85"/>
        <v>XS</v>
      </c>
      <c r="J578" s="80">
        <v>3.0030000000000005E-2</v>
      </c>
      <c r="K578" s="80">
        <v>3.0030000000000005E-2</v>
      </c>
      <c r="L578" s="80">
        <v>3.0030000000000005E-2</v>
      </c>
      <c r="M578" s="80">
        <v>3.0030000000000005E-2</v>
      </c>
      <c r="N578" s="80">
        <v>3.0030000000000005E-2</v>
      </c>
      <c r="O578" s="80">
        <v>3.0030000000000005E-2</v>
      </c>
      <c r="P578" s="80">
        <v>3.0030000000000005E-2</v>
      </c>
      <c r="Q578" s="80">
        <v>3.0030000000000005E-2</v>
      </c>
      <c r="R578" s="80">
        <v>3.0030000000000005E-2</v>
      </c>
      <c r="S578" s="80">
        <v>3.0030000000000005E-2</v>
      </c>
      <c r="T578" s="80">
        <v>3.0030000000000005E-2</v>
      </c>
      <c r="U578" s="80">
        <v>3.0030000000000005E-2</v>
      </c>
      <c r="V578" s="80">
        <v>3.0030000000000005E-2</v>
      </c>
      <c r="W578" s="80">
        <v>3.0030000000000005E-2</v>
      </c>
      <c r="X578" s="80">
        <v>3.0030000000000005E-2</v>
      </c>
      <c r="Y578" s="80">
        <v>3.0030000000000005E-2</v>
      </c>
      <c r="Z578" s="80">
        <v>3.0030000000000005E-2</v>
      </c>
      <c r="AA578" s="80">
        <v>3.0030000000000005E-2</v>
      </c>
      <c r="AB578" s="80">
        <v>3.0030000000000005E-2</v>
      </c>
      <c r="AC578" s="80">
        <v>3.0030000000000005E-2</v>
      </c>
      <c r="AD578" s="80">
        <v>3.0030000000000005E-2</v>
      </c>
      <c r="AE578" s="80">
        <v>3.0030000000000005E-2</v>
      </c>
      <c r="AF578" s="80">
        <v>3.0030000000000005E-2</v>
      </c>
      <c r="AG578" s="80">
        <v>3.0030000000000005E-2</v>
      </c>
      <c r="AH578" s="80">
        <v>3.0030000000000005E-2</v>
      </c>
      <c r="AI578" s="80">
        <v>3.0030000000000005E-2</v>
      </c>
      <c r="AJ578" s="80">
        <v>3.0030000000000005E-2</v>
      </c>
      <c r="AK578" s="80">
        <v>3.0030000000000005E-2</v>
      </c>
      <c r="AL578" s="80">
        <v>3.0030000000000005E-2</v>
      </c>
      <c r="AM578" s="80">
        <v>3.0030000000000005E-2</v>
      </c>
      <c r="AN578" s="80">
        <v>3.0030000000000005E-2</v>
      </c>
      <c r="AO578" s="80">
        <v>3.0030000000000005E-2</v>
      </c>
      <c r="AP578" s="80">
        <v>3.0030000000000005E-2</v>
      </c>
      <c r="AQ578" s="80">
        <v>3.0030000000000005E-2</v>
      </c>
      <c r="AR578" s="80">
        <v>3.0030000000000005E-2</v>
      </c>
      <c r="AS578" s="80">
        <v>3.0030000000000005E-2</v>
      </c>
      <c r="AT578" s="80">
        <v>3.0030000000000005E-2</v>
      </c>
      <c r="AU578" s="80">
        <v>3.0030000000000005E-2</v>
      </c>
      <c r="AV578" s="80">
        <v>3.0030000000000005E-2</v>
      </c>
      <c r="AW578" s="80">
        <v>3.0030000000000005E-2</v>
      </c>
      <c r="AX578" s="88">
        <v>3.0030000000000005E-2</v>
      </c>
    </row>
    <row r="579" spans="1:50" x14ac:dyDescent="0.25">
      <c r="A579" s="355" t="s">
        <v>29</v>
      </c>
      <c r="B579" s="358" t="s">
        <v>13</v>
      </c>
      <c r="C579" s="353" t="s">
        <v>6</v>
      </c>
      <c r="D579" s="3" t="s">
        <v>7</v>
      </c>
      <c r="E579" s="162" t="str">
        <f>A579&amp;"/"&amp;B579&amp;"/"&amp;C579&amp;"/"&amp;D579</f>
        <v>Fuel oil fired power plants/Integrated gasification combined cycle/Electricity only/L</v>
      </c>
      <c r="F579" s="77" t="str">
        <f>A579</f>
        <v>Fuel oil fired power plants</v>
      </c>
      <c r="G579" s="77" t="str">
        <f>B579</f>
        <v>Integrated gasification combined cycle</v>
      </c>
      <c r="H579" s="77" t="str">
        <f>C579</f>
        <v>Electricity only</v>
      </c>
      <c r="I579" s="163" t="str">
        <f t="shared" si="85"/>
        <v>L</v>
      </c>
      <c r="J579" s="77">
        <v>5.8999999999999997E-2</v>
      </c>
      <c r="K579" s="77">
        <v>5.8999999999999997E-2</v>
      </c>
      <c r="L579" s="77">
        <v>5.8999999999999997E-2</v>
      </c>
      <c r="M579" s="77">
        <v>5.8999999999999997E-2</v>
      </c>
      <c r="N579" s="77">
        <v>5.8999999999999997E-2</v>
      </c>
      <c r="O579" s="77">
        <v>5.8999999999999997E-2</v>
      </c>
      <c r="P579" s="77">
        <v>5.8999999999999997E-2</v>
      </c>
      <c r="Q579" s="77">
        <v>5.8999999999999997E-2</v>
      </c>
      <c r="R579" s="77">
        <v>5.8999999999999997E-2</v>
      </c>
      <c r="S579" s="77">
        <v>5.8999999999999997E-2</v>
      </c>
      <c r="T579" s="77">
        <v>5.8999999999999997E-2</v>
      </c>
      <c r="U579" s="77">
        <v>5.8999999999999997E-2</v>
      </c>
      <c r="V579" s="77">
        <v>5.8999999999999997E-2</v>
      </c>
      <c r="W579" s="77">
        <v>5.8999999999999997E-2</v>
      </c>
      <c r="X579" s="77">
        <v>5.8999999999999997E-2</v>
      </c>
      <c r="Y579" s="77">
        <v>5.8999999999999997E-2</v>
      </c>
      <c r="Z579" s="77">
        <v>5.8999999999999997E-2</v>
      </c>
      <c r="AA579" s="77">
        <v>5.8999999999999997E-2</v>
      </c>
      <c r="AB579" s="77">
        <v>5.8999999999999997E-2</v>
      </c>
      <c r="AC579" s="77">
        <v>5.8999999999999997E-2</v>
      </c>
      <c r="AD579" s="77">
        <v>5.8999999999999997E-2</v>
      </c>
      <c r="AE579" s="77">
        <v>5.8999999999999997E-2</v>
      </c>
      <c r="AF579" s="77">
        <v>5.8999999999999997E-2</v>
      </c>
      <c r="AG579" s="77">
        <v>5.8999999999999997E-2</v>
      </c>
      <c r="AH579" s="77">
        <v>5.8999999999999997E-2</v>
      </c>
      <c r="AI579" s="77">
        <v>5.8999999999999997E-2</v>
      </c>
      <c r="AJ579" s="77">
        <v>5.8999999999999997E-2</v>
      </c>
      <c r="AK579" s="77">
        <v>5.8999999999999997E-2</v>
      </c>
      <c r="AL579" s="77">
        <v>5.8999999999999997E-2</v>
      </c>
      <c r="AM579" s="77">
        <v>5.8999999999999997E-2</v>
      </c>
      <c r="AN579" s="77">
        <v>5.8999999999999997E-2</v>
      </c>
      <c r="AO579" s="77">
        <v>5.8999999999999997E-2</v>
      </c>
      <c r="AP579" s="77">
        <v>5.8999999999999997E-2</v>
      </c>
      <c r="AQ579" s="77">
        <v>5.8999999999999997E-2</v>
      </c>
      <c r="AR579" s="77">
        <v>5.8999999999999997E-2</v>
      </c>
      <c r="AS579" s="77">
        <v>5.8999999999999997E-2</v>
      </c>
      <c r="AT579" s="77">
        <v>5.8999999999999997E-2</v>
      </c>
      <c r="AU579" s="77">
        <v>5.8999999999999997E-2</v>
      </c>
      <c r="AV579" s="77">
        <v>5.8999999999999997E-2</v>
      </c>
      <c r="AW579" s="77">
        <v>5.8999999999999997E-2</v>
      </c>
      <c r="AX579" s="85">
        <v>5.8999999999999997E-2</v>
      </c>
    </row>
    <row r="580" spans="1:50" x14ac:dyDescent="0.25">
      <c r="A580" s="356"/>
      <c r="B580" s="359"/>
      <c r="C580" s="360"/>
      <c r="D580" s="2" t="s">
        <v>8</v>
      </c>
      <c r="E580" s="160" t="str">
        <f>A579&amp;"/"&amp;B579&amp;"/"&amp;C579&amp;"/"&amp;D580</f>
        <v>Fuel oil fired power plants/Integrated gasification combined cycle/Electricity only/M</v>
      </c>
      <c r="F580" s="76" t="str">
        <f>A579</f>
        <v>Fuel oil fired power plants</v>
      </c>
      <c r="G580" s="76" t="str">
        <f>B579</f>
        <v>Integrated gasification combined cycle</v>
      </c>
      <c r="H580" s="76" t="str">
        <f>C579</f>
        <v>Electricity only</v>
      </c>
      <c r="I580" s="161" t="str">
        <f t="shared" si="85"/>
        <v>M</v>
      </c>
      <c r="J580" s="76">
        <v>6.1949999999999998E-2</v>
      </c>
      <c r="K580" s="76">
        <v>6.1949999999999998E-2</v>
      </c>
      <c r="L580" s="76">
        <v>6.1949999999999998E-2</v>
      </c>
      <c r="M580" s="76">
        <v>6.1949999999999998E-2</v>
      </c>
      <c r="N580" s="76">
        <v>6.1949999999999998E-2</v>
      </c>
      <c r="O580" s="76">
        <v>6.1949999999999998E-2</v>
      </c>
      <c r="P580" s="76">
        <v>6.1949999999999998E-2</v>
      </c>
      <c r="Q580" s="76">
        <v>6.1949999999999998E-2</v>
      </c>
      <c r="R580" s="76">
        <v>6.1949999999999998E-2</v>
      </c>
      <c r="S580" s="76">
        <v>6.1949999999999998E-2</v>
      </c>
      <c r="T580" s="76">
        <v>6.1949999999999998E-2</v>
      </c>
      <c r="U580" s="76">
        <v>6.1949999999999998E-2</v>
      </c>
      <c r="V580" s="76">
        <v>6.1949999999999998E-2</v>
      </c>
      <c r="W580" s="76">
        <v>6.1949999999999998E-2</v>
      </c>
      <c r="X580" s="76">
        <v>6.1949999999999998E-2</v>
      </c>
      <c r="Y580" s="76">
        <v>6.1949999999999998E-2</v>
      </c>
      <c r="Z580" s="76">
        <v>6.1949999999999998E-2</v>
      </c>
      <c r="AA580" s="76">
        <v>6.1949999999999998E-2</v>
      </c>
      <c r="AB580" s="76">
        <v>6.1949999999999998E-2</v>
      </c>
      <c r="AC580" s="76">
        <v>6.1949999999999998E-2</v>
      </c>
      <c r="AD580" s="76">
        <v>6.1949999999999998E-2</v>
      </c>
      <c r="AE580" s="76">
        <v>6.1949999999999998E-2</v>
      </c>
      <c r="AF580" s="76">
        <v>6.1949999999999998E-2</v>
      </c>
      <c r="AG580" s="76">
        <v>6.1949999999999998E-2</v>
      </c>
      <c r="AH580" s="76">
        <v>6.1949999999999998E-2</v>
      </c>
      <c r="AI580" s="76">
        <v>6.1949999999999998E-2</v>
      </c>
      <c r="AJ580" s="76">
        <v>6.1949999999999998E-2</v>
      </c>
      <c r="AK580" s="76">
        <v>6.1949999999999998E-2</v>
      </c>
      <c r="AL580" s="76">
        <v>6.1949999999999998E-2</v>
      </c>
      <c r="AM580" s="76">
        <v>6.1949999999999998E-2</v>
      </c>
      <c r="AN580" s="76">
        <v>6.1949999999999998E-2</v>
      </c>
      <c r="AO580" s="76">
        <v>6.1949999999999998E-2</v>
      </c>
      <c r="AP580" s="76">
        <v>6.1949999999999998E-2</v>
      </c>
      <c r="AQ580" s="76">
        <v>6.1949999999999998E-2</v>
      </c>
      <c r="AR580" s="76">
        <v>6.1949999999999998E-2</v>
      </c>
      <c r="AS580" s="76">
        <v>6.1949999999999998E-2</v>
      </c>
      <c r="AT580" s="76">
        <v>6.1949999999999998E-2</v>
      </c>
      <c r="AU580" s="76">
        <v>6.1949999999999998E-2</v>
      </c>
      <c r="AV580" s="76">
        <v>6.1949999999999998E-2</v>
      </c>
      <c r="AW580" s="76">
        <v>6.1949999999999998E-2</v>
      </c>
      <c r="AX580" s="84">
        <v>6.1949999999999998E-2</v>
      </c>
    </row>
    <row r="581" spans="1:50" x14ac:dyDescent="0.25">
      <c r="A581" s="356"/>
      <c r="B581" s="359"/>
      <c r="C581" s="361" t="s">
        <v>14</v>
      </c>
      <c r="D581" s="58" t="s">
        <v>7</v>
      </c>
      <c r="E581" s="164" t="str">
        <f>A579&amp;"/"&amp;B579&amp;"/"&amp;C581&amp;"/"&amp;D581</f>
        <v>Fuel oil fired power plants/Integrated gasification combined cycle/CHP/L</v>
      </c>
      <c r="F581" s="78" t="str">
        <f>A579</f>
        <v>Fuel oil fired power plants</v>
      </c>
      <c r="G581" s="78" t="str">
        <f>B579</f>
        <v>Integrated gasification combined cycle</v>
      </c>
      <c r="H581" s="78" t="str">
        <f>C581</f>
        <v>CHP</v>
      </c>
      <c r="I581" s="165" t="str">
        <f t="shared" si="85"/>
        <v>L</v>
      </c>
      <c r="J581" s="78">
        <v>6.4899999999999999E-2</v>
      </c>
      <c r="K581" s="78">
        <v>6.4899999999999999E-2</v>
      </c>
      <c r="L581" s="78">
        <v>6.4899999999999999E-2</v>
      </c>
      <c r="M581" s="78">
        <v>6.4899999999999999E-2</v>
      </c>
      <c r="N581" s="78">
        <v>6.4899999999999999E-2</v>
      </c>
      <c r="O581" s="78">
        <v>6.4899999999999999E-2</v>
      </c>
      <c r="P581" s="78">
        <v>6.4899999999999999E-2</v>
      </c>
      <c r="Q581" s="78">
        <v>6.4899999999999999E-2</v>
      </c>
      <c r="R581" s="78">
        <v>6.4899999999999999E-2</v>
      </c>
      <c r="S581" s="78">
        <v>6.4899999999999999E-2</v>
      </c>
      <c r="T581" s="78">
        <v>6.4899999999999999E-2</v>
      </c>
      <c r="U581" s="78">
        <v>6.4899999999999999E-2</v>
      </c>
      <c r="V581" s="78">
        <v>6.4899999999999999E-2</v>
      </c>
      <c r="W581" s="78">
        <v>6.4899999999999999E-2</v>
      </c>
      <c r="X581" s="78">
        <v>6.4899999999999999E-2</v>
      </c>
      <c r="Y581" s="78">
        <v>6.4899999999999999E-2</v>
      </c>
      <c r="Z581" s="78">
        <v>6.4899999999999999E-2</v>
      </c>
      <c r="AA581" s="78">
        <v>6.4899999999999999E-2</v>
      </c>
      <c r="AB581" s="78">
        <v>6.4899999999999999E-2</v>
      </c>
      <c r="AC581" s="78">
        <v>6.4899999999999999E-2</v>
      </c>
      <c r="AD581" s="78">
        <v>6.4899999999999999E-2</v>
      </c>
      <c r="AE581" s="78">
        <v>6.4899999999999999E-2</v>
      </c>
      <c r="AF581" s="78">
        <v>6.4899999999999999E-2</v>
      </c>
      <c r="AG581" s="78">
        <v>6.4899999999999999E-2</v>
      </c>
      <c r="AH581" s="78">
        <v>6.4899999999999999E-2</v>
      </c>
      <c r="AI581" s="78">
        <v>6.4899999999999999E-2</v>
      </c>
      <c r="AJ581" s="78">
        <v>6.4899999999999999E-2</v>
      </c>
      <c r="AK581" s="78">
        <v>6.4899999999999999E-2</v>
      </c>
      <c r="AL581" s="78">
        <v>6.4899999999999999E-2</v>
      </c>
      <c r="AM581" s="78">
        <v>6.4899999999999999E-2</v>
      </c>
      <c r="AN581" s="78">
        <v>6.4899999999999999E-2</v>
      </c>
      <c r="AO581" s="78">
        <v>6.4899999999999999E-2</v>
      </c>
      <c r="AP581" s="78">
        <v>6.4899999999999999E-2</v>
      </c>
      <c r="AQ581" s="78">
        <v>6.4899999999999999E-2</v>
      </c>
      <c r="AR581" s="78">
        <v>6.4899999999999999E-2</v>
      </c>
      <c r="AS581" s="78">
        <v>6.4899999999999999E-2</v>
      </c>
      <c r="AT581" s="78">
        <v>6.4899999999999999E-2</v>
      </c>
      <c r="AU581" s="78">
        <v>6.4899999999999999E-2</v>
      </c>
      <c r="AV581" s="78">
        <v>6.4899999999999999E-2</v>
      </c>
      <c r="AW581" s="78">
        <v>6.4899999999999999E-2</v>
      </c>
      <c r="AX581" s="86">
        <v>6.4899999999999999E-2</v>
      </c>
    </row>
    <row r="582" spans="1:50" x14ac:dyDescent="0.25">
      <c r="A582" s="356"/>
      <c r="B582" s="359"/>
      <c r="C582" s="360"/>
      <c r="D582" s="59" t="s">
        <v>8</v>
      </c>
      <c r="E582" s="166" t="str">
        <f>A579&amp;"/"&amp;B579&amp;"/"&amp;C581&amp;"/"&amp;D582</f>
        <v>Fuel oil fired power plants/Integrated gasification combined cycle/CHP/M</v>
      </c>
      <c r="F582" s="79" t="str">
        <f>A579</f>
        <v>Fuel oil fired power plants</v>
      </c>
      <c r="G582" s="79" t="str">
        <f>B579</f>
        <v>Integrated gasification combined cycle</v>
      </c>
      <c r="H582" s="79" t="str">
        <f>C581</f>
        <v>CHP</v>
      </c>
      <c r="I582" s="167" t="str">
        <f t="shared" si="85"/>
        <v>M</v>
      </c>
      <c r="J582" s="79">
        <v>6.8144999999999997E-2</v>
      </c>
      <c r="K582" s="79">
        <v>6.8144999999999997E-2</v>
      </c>
      <c r="L582" s="79">
        <v>6.8144999999999997E-2</v>
      </c>
      <c r="M582" s="79">
        <v>6.8144999999999997E-2</v>
      </c>
      <c r="N582" s="79">
        <v>6.8144999999999997E-2</v>
      </c>
      <c r="O582" s="79">
        <v>6.8144999999999997E-2</v>
      </c>
      <c r="P582" s="79">
        <v>6.8144999999999997E-2</v>
      </c>
      <c r="Q582" s="79">
        <v>6.8144999999999997E-2</v>
      </c>
      <c r="R582" s="79">
        <v>6.8144999999999997E-2</v>
      </c>
      <c r="S582" s="79">
        <v>6.8144999999999997E-2</v>
      </c>
      <c r="T582" s="79">
        <v>6.8144999999999997E-2</v>
      </c>
      <c r="U582" s="79">
        <v>6.8144999999999997E-2</v>
      </c>
      <c r="V582" s="79">
        <v>6.8144999999999997E-2</v>
      </c>
      <c r="W582" s="79">
        <v>6.8144999999999997E-2</v>
      </c>
      <c r="X582" s="79">
        <v>6.8144999999999997E-2</v>
      </c>
      <c r="Y582" s="79">
        <v>6.8144999999999997E-2</v>
      </c>
      <c r="Z582" s="79">
        <v>6.8144999999999997E-2</v>
      </c>
      <c r="AA582" s="79">
        <v>6.8144999999999997E-2</v>
      </c>
      <c r="AB582" s="79">
        <v>6.8144999999999997E-2</v>
      </c>
      <c r="AC582" s="79">
        <v>6.8144999999999997E-2</v>
      </c>
      <c r="AD582" s="79">
        <v>6.8144999999999997E-2</v>
      </c>
      <c r="AE582" s="79">
        <v>6.8144999999999997E-2</v>
      </c>
      <c r="AF582" s="79">
        <v>6.8144999999999997E-2</v>
      </c>
      <c r="AG582" s="79">
        <v>6.8144999999999997E-2</v>
      </c>
      <c r="AH582" s="79">
        <v>6.8144999999999997E-2</v>
      </c>
      <c r="AI582" s="79">
        <v>6.8144999999999997E-2</v>
      </c>
      <c r="AJ582" s="79">
        <v>6.8144999999999997E-2</v>
      </c>
      <c r="AK582" s="79">
        <v>6.8144999999999997E-2</v>
      </c>
      <c r="AL582" s="79">
        <v>6.8144999999999997E-2</v>
      </c>
      <c r="AM582" s="79">
        <v>6.8144999999999997E-2</v>
      </c>
      <c r="AN582" s="79">
        <v>6.8144999999999997E-2</v>
      </c>
      <c r="AO582" s="79">
        <v>6.8144999999999997E-2</v>
      </c>
      <c r="AP582" s="79">
        <v>6.8144999999999997E-2</v>
      </c>
      <c r="AQ582" s="79">
        <v>6.8144999999999997E-2</v>
      </c>
      <c r="AR582" s="79">
        <v>6.8144999999999997E-2</v>
      </c>
      <c r="AS582" s="79">
        <v>6.8144999999999997E-2</v>
      </c>
      <c r="AT582" s="79">
        <v>6.8144999999999997E-2</v>
      </c>
      <c r="AU582" s="79">
        <v>6.8144999999999997E-2</v>
      </c>
      <c r="AV582" s="79">
        <v>6.8144999999999997E-2</v>
      </c>
      <c r="AW582" s="79">
        <v>6.8144999999999997E-2</v>
      </c>
      <c r="AX582" s="87">
        <v>6.8144999999999997E-2</v>
      </c>
    </row>
    <row r="583" spans="1:50" x14ac:dyDescent="0.25">
      <c r="A583" s="356"/>
      <c r="B583" s="359"/>
      <c r="C583" s="361" t="s">
        <v>15</v>
      </c>
      <c r="D583" s="58" t="s">
        <v>7</v>
      </c>
      <c r="E583" s="164" t="str">
        <f>A579&amp;"/"&amp;B579&amp;"/"&amp;C583&amp;"/"&amp;D583</f>
        <v>Fuel oil fired power plants/Integrated gasification combined cycle/Electricity only with CCS/L</v>
      </c>
      <c r="F583" s="78" t="str">
        <f>A579</f>
        <v>Fuel oil fired power plants</v>
      </c>
      <c r="G583" s="78" t="str">
        <f>B579</f>
        <v>Integrated gasification combined cycle</v>
      </c>
      <c r="H583" s="78" t="str">
        <f>C583</f>
        <v>Electricity only with CCS</v>
      </c>
      <c r="I583" s="165" t="str">
        <f t="shared" si="85"/>
        <v>L</v>
      </c>
      <c r="J583" s="78" t="s">
        <v>112</v>
      </c>
      <c r="K583" s="78" t="s">
        <v>112</v>
      </c>
      <c r="L583" s="78" t="s">
        <v>112</v>
      </c>
      <c r="M583" s="78" t="s">
        <v>112</v>
      </c>
      <c r="N583" s="78" t="s">
        <v>112</v>
      </c>
      <c r="O583" s="78" t="s">
        <v>112</v>
      </c>
      <c r="P583" s="78" t="s">
        <v>112</v>
      </c>
      <c r="Q583" s="78" t="s">
        <v>112</v>
      </c>
      <c r="R583" s="78" t="s">
        <v>112</v>
      </c>
      <c r="S583" s="78" t="s">
        <v>112</v>
      </c>
      <c r="T583" s="78" t="s">
        <v>112</v>
      </c>
      <c r="U583" s="78" t="s">
        <v>112</v>
      </c>
      <c r="V583" s="78" t="s">
        <v>112</v>
      </c>
      <c r="W583" s="78" t="s">
        <v>112</v>
      </c>
      <c r="X583" s="78" t="s">
        <v>112</v>
      </c>
      <c r="Y583" s="78" t="s">
        <v>112</v>
      </c>
      <c r="Z583" s="78" t="s">
        <v>112</v>
      </c>
      <c r="AA583" s="78" t="s">
        <v>112</v>
      </c>
      <c r="AB583" s="78" t="s">
        <v>112</v>
      </c>
      <c r="AC583" s="78" t="s">
        <v>112</v>
      </c>
      <c r="AD583" s="78" t="s">
        <v>112</v>
      </c>
      <c r="AE583" s="78">
        <v>0.19174999999999998</v>
      </c>
      <c r="AF583" s="78">
        <v>0.19174999999999998</v>
      </c>
      <c r="AG583" s="78">
        <v>0.19174999999999998</v>
      </c>
      <c r="AH583" s="78">
        <v>0.19174999999999998</v>
      </c>
      <c r="AI583" s="78">
        <v>0.19174999999999998</v>
      </c>
      <c r="AJ583" s="78">
        <v>0.19174999999999998</v>
      </c>
      <c r="AK583" s="78">
        <v>0.19174999999999998</v>
      </c>
      <c r="AL583" s="78">
        <v>0.19174999999999998</v>
      </c>
      <c r="AM583" s="78">
        <v>0.19174999999999998</v>
      </c>
      <c r="AN583" s="78">
        <v>0.19174999999999998</v>
      </c>
      <c r="AO583" s="78">
        <v>0.19174999999999998</v>
      </c>
      <c r="AP583" s="78">
        <v>0.19174999999999998</v>
      </c>
      <c r="AQ583" s="78">
        <v>0.19174999999999998</v>
      </c>
      <c r="AR583" s="78">
        <v>0.19174999999999998</v>
      </c>
      <c r="AS583" s="78">
        <v>0.19174999999999998</v>
      </c>
      <c r="AT583" s="78">
        <v>0.19174999999999998</v>
      </c>
      <c r="AU583" s="78">
        <v>0.19174999999999998</v>
      </c>
      <c r="AV583" s="78">
        <v>0.19174999999999998</v>
      </c>
      <c r="AW583" s="78">
        <v>0.19174999999999998</v>
      </c>
      <c r="AX583" s="86">
        <v>0.19174999999999998</v>
      </c>
    </row>
    <row r="584" spans="1:50" x14ac:dyDescent="0.25">
      <c r="A584" s="356"/>
      <c r="B584" s="359"/>
      <c r="C584" s="360"/>
      <c r="D584" s="59" t="s">
        <v>8</v>
      </c>
      <c r="E584" s="166" t="str">
        <f>A579&amp;"/"&amp;B579&amp;"/"&amp;C583&amp;"/"&amp;D584</f>
        <v>Fuel oil fired power plants/Integrated gasification combined cycle/Electricity only with CCS/M</v>
      </c>
      <c r="F584" s="79" t="str">
        <f>A579</f>
        <v>Fuel oil fired power plants</v>
      </c>
      <c r="G584" s="79" t="str">
        <f>B579</f>
        <v>Integrated gasification combined cycle</v>
      </c>
      <c r="H584" s="79" t="str">
        <f>C583</f>
        <v>Electricity only with CCS</v>
      </c>
      <c r="I584" s="167" t="str">
        <f t="shared" si="85"/>
        <v>M</v>
      </c>
      <c r="J584" s="79" t="s">
        <v>112</v>
      </c>
      <c r="K584" s="79" t="s">
        <v>112</v>
      </c>
      <c r="L584" s="79" t="s">
        <v>112</v>
      </c>
      <c r="M584" s="79" t="s">
        <v>112</v>
      </c>
      <c r="N584" s="79" t="s">
        <v>112</v>
      </c>
      <c r="O584" s="79" t="s">
        <v>112</v>
      </c>
      <c r="P584" s="79" t="s">
        <v>112</v>
      </c>
      <c r="Q584" s="79" t="s">
        <v>112</v>
      </c>
      <c r="R584" s="79" t="s">
        <v>112</v>
      </c>
      <c r="S584" s="79" t="s">
        <v>112</v>
      </c>
      <c r="T584" s="79" t="s">
        <v>112</v>
      </c>
      <c r="U584" s="79" t="s">
        <v>112</v>
      </c>
      <c r="V584" s="79" t="s">
        <v>112</v>
      </c>
      <c r="W584" s="79" t="s">
        <v>112</v>
      </c>
      <c r="X584" s="79" t="s">
        <v>112</v>
      </c>
      <c r="Y584" s="79" t="s">
        <v>112</v>
      </c>
      <c r="Z584" s="79" t="s">
        <v>112</v>
      </c>
      <c r="AA584" s="79" t="s">
        <v>112</v>
      </c>
      <c r="AB584" s="79" t="s">
        <v>112</v>
      </c>
      <c r="AC584" s="79" t="s">
        <v>112</v>
      </c>
      <c r="AD584" s="79" t="s">
        <v>112</v>
      </c>
      <c r="AE584" s="79">
        <v>0.20133749999999997</v>
      </c>
      <c r="AF584" s="79">
        <v>0.20133749999999997</v>
      </c>
      <c r="AG584" s="79">
        <v>0.20133749999999997</v>
      </c>
      <c r="AH584" s="79">
        <v>0.20133749999999997</v>
      </c>
      <c r="AI584" s="79">
        <v>0.20133749999999997</v>
      </c>
      <c r="AJ584" s="79">
        <v>0.20133749999999997</v>
      </c>
      <c r="AK584" s="79">
        <v>0.20133749999999997</v>
      </c>
      <c r="AL584" s="79">
        <v>0.20133749999999997</v>
      </c>
      <c r="AM584" s="79">
        <v>0.20133749999999997</v>
      </c>
      <c r="AN584" s="79">
        <v>0.20133749999999997</v>
      </c>
      <c r="AO584" s="79">
        <v>0.20133749999999997</v>
      </c>
      <c r="AP584" s="79">
        <v>0.20133749999999997</v>
      </c>
      <c r="AQ584" s="79">
        <v>0.20133749999999997</v>
      </c>
      <c r="AR584" s="79">
        <v>0.20133749999999997</v>
      </c>
      <c r="AS584" s="79">
        <v>0.20133749999999997</v>
      </c>
      <c r="AT584" s="79">
        <v>0.20133749999999997</v>
      </c>
      <c r="AU584" s="79">
        <v>0.20133749999999997</v>
      </c>
      <c r="AV584" s="79">
        <v>0.20133749999999997</v>
      </c>
      <c r="AW584" s="79">
        <v>0.20133749999999997</v>
      </c>
      <c r="AX584" s="87">
        <v>0.20133749999999997</v>
      </c>
    </row>
    <row r="585" spans="1:50" x14ac:dyDescent="0.25">
      <c r="A585" s="356"/>
      <c r="B585" s="359"/>
      <c r="C585" s="361" t="s">
        <v>16</v>
      </c>
      <c r="D585" s="2" t="s">
        <v>7</v>
      </c>
      <c r="E585" s="160" t="str">
        <f>A579&amp;"/"&amp;B579&amp;"/"&amp;C585&amp;"/"&amp;D585</f>
        <v>Fuel oil fired power plants/Integrated gasification combined cycle/CHP with CCS/L</v>
      </c>
      <c r="F585" s="76" t="str">
        <f>A579</f>
        <v>Fuel oil fired power plants</v>
      </c>
      <c r="G585" s="76" t="str">
        <f>B579</f>
        <v>Integrated gasification combined cycle</v>
      </c>
      <c r="H585" s="76" t="str">
        <f>C585</f>
        <v>CHP with CCS</v>
      </c>
      <c r="I585" s="161" t="str">
        <f t="shared" si="85"/>
        <v>L</v>
      </c>
      <c r="J585" s="76" t="s">
        <v>112</v>
      </c>
      <c r="K585" s="76" t="s">
        <v>112</v>
      </c>
      <c r="L585" s="76" t="s">
        <v>112</v>
      </c>
      <c r="M585" s="76" t="s">
        <v>112</v>
      </c>
      <c r="N585" s="76" t="s">
        <v>112</v>
      </c>
      <c r="O585" s="76" t="s">
        <v>112</v>
      </c>
      <c r="P585" s="76" t="s">
        <v>112</v>
      </c>
      <c r="Q585" s="76" t="s">
        <v>112</v>
      </c>
      <c r="R585" s="76" t="s">
        <v>112</v>
      </c>
      <c r="S585" s="76" t="s">
        <v>112</v>
      </c>
      <c r="T585" s="76" t="s">
        <v>112</v>
      </c>
      <c r="U585" s="76" t="s">
        <v>112</v>
      </c>
      <c r="V585" s="76" t="s">
        <v>112</v>
      </c>
      <c r="W585" s="76" t="s">
        <v>112</v>
      </c>
      <c r="X585" s="76" t="s">
        <v>112</v>
      </c>
      <c r="Y585" s="76" t="s">
        <v>112</v>
      </c>
      <c r="Z585" s="76" t="s">
        <v>112</v>
      </c>
      <c r="AA585" s="76" t="s">
        <v>112</v>
      </c>
      <c r="AB585" s="76" t="s">
        <v>112</v>
      </c>
      <c r="AC585" s="76" t="s">
        <v>112</v>
      </c>
      <c r="AD585" s="76" t="s">
        <v>112</v>
      </c>
      <c r="AE585" s="76">
        <v>0.210925</v>
      </c>
      <c r="AF585" s="76">
        <v>0.210925</v>
      </c>
      <c r="AG585" s="76">
        <v>0.210925</v>
      </c>
      <c r="AH585" s="76">
        <v>0.210925</v>
      </c>
      <c r="AI585" s="76">
        <v>0.210925</v>
      </c>
      <c r="AJ585" s="76">
        <v>0.210925</v>
      </c>
      <c r="AK585" s="76">
        <v>0.210925</v>
      </c>
      <c r="AL585" s="76">
        <v>0.210925</v>
      </c>
      <c r="AM585" s="76">
        <v>0.210925</v>
      </c>
      <c r="AN585" s="76">
        <v>0.210925</v>
      </c>
      <c r="AO585" s="76">
        <v>0.210925</v>
      </c>
      <c r="AP585" s="76">
        <v>0.210925</v>
      </c>
      <c r="AQ585" s="76">
        <v>0.210925</v>
      </c>
      <c r="AR585" s="76">
        <v>0.210925</v>
      </c>
      <c r="AS585" s="76">
        <v>0.210925</v>
      </c>
      <c r="AT585" s="76">
        <v>0.210925</v>
      </c>
      <c r="AU585" s="76">
        <v>0.210925</v>
      </c>
      <c r="AV585" s="76">
        <v>0.210925</v>
      </c>
      <c r="AW585" s="76">
        <v>0.210925</v>
      </c>
      <c r="AX585" s="84">
        <v>0.210925</v>
      </c>
    </row>
    <row r="586" spans="1:50" x14ac:dyDescent="0.25">
      <c r="A586" s="356"/>
      <c r="B586" s="362"/>
      <c r="C586" s="354"/>
      <c r="D586" s="4" t="s">
        <v>8</v>
      </c>
      <c r="E586" s="168" t="str">
        <f>A579&amp;"/"&amp;B579&amp;"/"&amp;C585&amp;"/"&amp;D586</f>
        <v>Fuel oil fired power plants/Integrated gasification combined cycle/CHP with CCS/M</v>
      </c>
      <c r="F586" s="80" t="str">
        <f>A579</f>
        <v>Fuel oil fired power plants</v>
      </c>
      <c r="G586" s="80" t="str">
        <f>B579</f>
        <v>Integrated gasification combined cycle</v>
      </c>
      <c r="H586" s="80" t="str">
        <f>C585</f>
        <v>CHP with CCS</v>
      </c>
      <c r="I586" s="169" t="str">
        <f t="shared" si="85"/>
        <v>M</v>
      </c>
      <c r="J586" s="80" t="s">
        <v>112</v>
      </c>
      <c r="K586" s="80" t="s">
        <v>112</v>
      </c>
      <c r="L586" s="80" t="s">
        <v>112</v>
      </c>
      <c r="M586" s="80" t="s">
        <v>112</v>
      </c>
      <c r="N586" s="80" t="s">
        <v>112</v>
      </c>
      <c r="O586" s="80" t="s">
        <v>112</v>
      </c>
      <c r="P586" s="80" t="s">
        <v>112</v>
      </c>
      <c r="Q586" s="80" t="s">
        <v>112</v>
      </c>
      <c r="R586" s="80" t="s">
        <v>112</v>
      </c>
      <c r="S586" s="80" t="s">
        <v>112</v>
      </c>
      <c r="T586" s="80" t="s">
        <v>112</v>
      </c>
      <c r="U586" s="80" t="s">
        <v>112</v>
      </c>
      <c r="V586" s="80" t="s">
        <v>112</v>
      </c>
      <c r="W586" s="80" t="s">
        <v>112</v>
      </c>
      <c r="X586" s="80" t="s">
        <v>112</v>
      </c>
      <c r="Y586" s="80" t="s">
        <v>112</v>
      </c>
      <c r="Z586" s="80" t="s">
        <v>112</v>
      </c>
      <c r="AA586" s="80" t="s">
        <v>112</v>
      </c>
      <c r="AB586" s="80" t="s">
        <v>112</v>
      </c>
      <c r="AC586" s="80" t="s">
        <v>112</v>
      </c>
      <c r="AD586" s="80" t="s">
        <v>112</v>
      </c>
      <c r="AE586" s="80">
        <v>0.22147124999999998</v>
      </c>
      <c r="AF586" s="80">
        <v>0.22147124999999998</v>
      </c>
      <c r="AG586" s="80">
        <v>0.22147124999999998</v>
      </c>
      <c r="AH586" s="80">
        <v>0.22147124999999998</v>
      </c>
      <c r="AI586" s="80">
        <v>0.22147124999999998</v>
      </c>
      <c r="AJ586" s="80">
        <v>0.22147124999999998</v>
      </c>
      <c r="AK586" s="80">
        <v>0.22147124999999998</v>
      </c>
      <c r="AL586" s="80">
        <v>0.22147124999999998</v>
      </c>
      <c r="AM586" s="80">
        <v>0.22147124999999998</v>
      </c>
      <c r="AN586" s="80">
        <v>0.22147124999999998</v>
      </c>
      <c r="AO586" s="80">
        <v>0.22147124999999998</v>
      </c>
      <c r="AP586" s="80">
        <v>0.22147124999999998</v>
      </c>
      <c r="AQ586" s="80">
        <v>0.22147124999999998</v>
      </c>
      <c r="AR586" s="80">
        <v>0.22147124999999998</v>
      </c>
      <c r="AS586" s="80">
        <v>0.22147124999999998</v>
      </c>
      <c r="AT586" s="80">
        <v>0.22147124999999998</v>
      </c>
      <c r="AU586" s="80">
        <v>0.22147124999999998</v>
      </c>
      <c r="AV586" s="80">
        <v>0.22147124999999998</v>
      </c>
      <c r="AW586" s="80">
        <v>0.22147124999999998</v>
      </c>
      <c r="AX586" s="88">
        <v>0.22147124999999998</v>
      </c>
    </row>
    <row r="587" spans="1:50" x14ac:dyDescent="0.25">
      <c r="A587" s="356"/>
      <c r="B587" s="358" t="s">
        <v>17</v>
      </c>
      <c r="C587" s="353" t="s">
        <v>6</v>
      </c>
      <c r="D587" s="3" t="s">
        <v>7</v>
      </c>
      <c r="E587" s="162" t="str">
        <f>A579&amp;"/"&amp;B587&amp;"/"&amp;C587&amp;"/"&amp;D587</f>
        <v>Fuel oil fired power plants/Supercritical steam turbine/Electricity only/L</v>
      </c>
      <c r="F587" s="77" t="str">
        <f>A579</f>
        <v>Fuel oil fired power plants</v>
      </c>
      <c r="G587" s="77" t="str">
        <f>B587</f>
        <v>Supercritical steam turbine</v>
      </c>
      <c r="H587" s="77" t="str">
        <f>C587</f>
        <v>Electricity only</v>
      </c>
      <c r="I587" s="163" t="str">
        <f t="shared" si="85"/>
        <v>L</v>
      </c>
      <c r="J587" s="77">
        <v>5.0999999999999997E-2</v>
      </c>
      <c r="K587" s="77">
        <v>5.0999999999999997E-2</v>
      </c>
      <c r="L587" s="77">
        <v>5.0999999999999997E-2</v>
      </c>
      <c r="M587" s="77">
        <v>5.0999999999999997E-2</v>
      </c>
      <c r="N587" s="77">
        <v>5.0999999999999997E-2</v>
      </c>
      <c r="O587" s="77">
        <v>5.0999999999999997E-2</v>
      </c>
      <c r="P587" s="77">
        <v>5.0999999999999997E-2</v>
      </c>
      <c r="Q587" s="77">
        <v>5.0999999999999997E-2</v>
      </c>
      <c r="R587" s="77">
        <v>5.0999999999999997E-2</v>
      </c>
      <c r="S587" s="77">
        <v>5.0999999999999997E-2</v>
      </c>
      <c r="T587" s="77">
        <v>5.0999999999999997E-2</v>
      </c>
      <c r="U587" s="77">
        <v>5.0999999999999997E-2</v>
      </c>
      <c r="V587" s="77">
        <v>5.0999999999999997E-2</v>
      </c>
      <c r="W587" s="77">
        <v>5.0999999999999997E-2</v>
      </c>
      <c r="X587" s="77">
        <v>5.0999999999999997E-2</v>
      </c>
      <c r="Y587" s="77">
        <v>5.0999999999999997E-2</v>
      </c>
      <c r="Z587" s="77">
        <v>5.0999999999999997E-2</v>
      </c>
      <c r="AA587" s="77">
        <v>5.0999999999999997E-2</v>
      </c>
      <c r="AB587" s="77">
        <v>5.0999999999999997E-2</v>
      </c>
      <c r="AC587" s="77">
        <v>5.0999999999999997E-2</v>
      </c>
      <c r="AD587" s="77">
        <v>5.0999999999999997E-2</v>
      </c>
      <c r="AE587" s="77">
        <v>5.0999999999999997E-2</v>
      </c>
      <c r="AF587" s="77">
        <v>5.0999999999999997E-2</v>
      </c>
      <c r="AG587" s="77">
        <v>5.0999999999999997E-2</v>
      </c>
      <c r="AH587" s="77">
        <v>5.0999999999999997E-2</v>
      </c>
      <c r="AI587" s="77">
        <v>5.0999999999999997E-2</v>
      </c>
      <c r="AJ587" s="77">
        <v>5.0999999999999997E-2</v>
      </c>
      <c r="AK587" s="77">
        <v>5.0999999999999997E-2</v>
      </c>
      <c r="AL587" s="77">
        <v>5.0999999999999997E-2</v>
      </c>
      <c r="AM587" s="77">
        <v>5.0999999999999997E-2</v>
      </c>
      <c r="AN587" s="77">
        <v>5.0999999999999997E-2</v>
      </c>
      <c r="AO587" s="77">
        <v>5.0999999999999997E-2</v>
      </c>
      <c r="AP587" s="77">
        <v>5.0999999999999997E-2</v>
      </c>
      <c r="AQ587" s="77">
        <v>5.0999999999999997E-2</v>
      </c>
      <c r="AR587" s="77">
        <v>5.0999999999999997E-2</v>
      </c>
      <c r="AS587" s="77">
        <v>5.0999999999999997E-2</v>
      </c>
      <c r="AT587" s="77">
        <v>5.0999999999999997E-2</v>
      </c>
      <c r="AU587" s="77">
        <v>5.0999999999999997E-2</v>
      </c>
      <c r="AV587" s="77">
        <v>5.0999999999999997E-2</v>
      </c>
      <c r="AW587" s="77">
        <v>5.0999999999999997E-2</v>
      </c>
      <c r="AX587" s="85">
        <v>5.0999999999999997E-2</v>
      </c>
    </row>
    <row r="588" spans="1:50" x14ac:dyDescent="0.25">
      <c r="A588" s="356"/>
      <c r="B588" s="359"/>
      <c r="C588" s="360"/>
      <c r="D588" s="2" t="s">
        <v>8</v>
      </c>
      <c r="E588" s="160" t="str">
        <f>A579&amp;"/"&amp;B587&amp;"/"&amp;C587&amp;"/"&amp;D588</f>
        <v>Fuel oil fired power plants/Supercritical steam turbine/Electricity only/M</v>
      </c>
      <c r="F588" s="76" t="str">
        <f>A579</f>
        <v>Fuel oil fired power plants</v>
      </c>
      <c r="G588" s="76" t="str">
        <f>B587</f>
        <v>Supercritical steam turbine</v>
      </c>
      <c r="H588" s="76" t="str">
        <f>C587</f>
        <v>Electricity only</v>
      </c>
      <c r="I588" s="161" t="str">
        <f t="shared" si="85"/>
        <v>M</v>
      </c>
      <c r="J588" s="76">
        <v>5.355E-2</v>
      </c>
      <c r="K588" s="76">
        <v>5.355E-2</v>
      </c>
      <c r="L588" s="76">
        <v>5.355E-2</v>
      </c>
      <c r="M588" s="76">
        <v>5.355E-2</v>
      </c>
      <c r="N588" s="76">
        <v>5.355E-2</v>
      </c>
      <c r="O588" s="76">
        <v>5.355E-2</v>
      </c>
      <c r="P588" s="76">
        <v>5.355E-2</v>
      </c>
      <c r="Q588" s="76">
        <v>5.355E-2</v>
      </c>
      <c r="R588" s="76">
        <v>5.355E-2</v>
      </c>
      <c r="S588" s="76">
        <v>5.355E-2</v>
      </c>
      <c r="T588" s="76">
        <v>5.355E-2</v>
      </c>
      <c r="U588" s="76">
        <v>5.355E-2</v>
      </c>
      <c r="V588" s="76">
        <v>5.355E-2</v>
      </c>
      <c r="W588" s="76">
        <v>5.355E-2</v>
      </c>
      <c r="X588" s="76">
        <v>5.355E-2</v>
      </c>
      <c r="Y588" s="76">
        <v>5.355E-2</v>
      </c>
      <c r="Z588" s="76">
        <v>5.355E-2</v>
      </c>
      <c r="AA588" s="76">
        <v>5.355E-2</v>
      </c>
      <c r="AB588" s="76">
        <v>5.355E-2</v>
      </c>
      <c r="AC588" s="76">
        <v>5.355E-2</v>
      </c>
      <c r="AD588" s="76">
        <v>5.355E-2</v>
      </c>
      <c r="AE588" s="76">
        <v>5.355E-2</v>
      </c>
      <c r="AF588" s="76">
        <v>5.355E-2</v>
      </c>
      <c r="AG588" s="76">
        <v>5.355E-2</v>
      </c>
      <c r="AH588" s="76">
        <v>5.355E-2</v>
      </c>
      <c r="AI588" s="76">
        <v>5.355E-2</v>
      </c>
      <c r="AJ588" s="76">
        <v>5.355E-2</v>
      </c>
      <c r="AK588" s="76">
        <v>5.355E-2</v>
      </c>
      <c r="AL588" s="76">
        <v>5.355E-2</v>
      </c>
      <c r="AM588" s="76">
        <v>5.355E-2</v>
      </c>
      <c r="AN588" s="76">
        <v>5.355E-2</v>
      </c>
      <c r="AO588" s="76">
        <v>5.355E-2</v>
      </c>
      <c r="AP588" s="76">
        <v>5.355E-2</v>
      </c>
      <c r="AQ588" s="76">
        <v>5.355E-2</v>
      </c>
      <c r="AR588" s="76">
        <v>5.355E-2</v>
      </c>
      <c r="AS588" s="76">
        <v>5.355E-2</v>
      </c>
      <c r="AT588" s="76">
        <v>5.355E-2</v>
      </c>
      <c r="AU588" s="76">
        <v>5.355E-2</v>
      </c>
      <c r="AV588" s="76">
        <v>5.355E-2</v>
      </c>
      <c r="AW588" s="76">
        <v>5.355E-2</v>
      </c>
      <c r="AX588" s="84">
        <v>5.355E-2</v>
      </c>
    </row>
    <row r="589" spans="1:50" x14ac:dyDescent="0.25">
      <c r="A589" s="356"/>
      <c r="B589" s="359"/>
      <c r="C589" s="361" t="s">
        <v>14</v>
      </c>
      <c r="D589" s="58" t="s">
        <v>7</v>
      </c>
      <c r="E589" s="164" t="str">
        <f>A579&amp;"/"&amp;B587&amp;"/"&amp;C589&amp;"/"&amp;D589</f>
        <v>Fuel oil fired power plants/Supercritical steam turbine/CHP/L</v>
      </c>
      <c r="F589" s="78" t="str">
        <f>A579</f>
        <v>Fuel oil fired power plants</v>
      </c>
      <c r="G589" s="78" t="str">
        <f>B587</f>
        <v>Supercritical steam turbine</v>
      </c>
      <c r="H589" s="78" t="str">
        <f>C589</f>
        <v>CHP</v>
      </c>
      <c r="I589" s="165" t="str">
        <f t="shared" si="85"/>
        <v>L</v>
      </c>
      <c r="J589" s="78">
        <v>5.6100000000000004E-2</v>
      </c>
      <c r="K589" s="78">
        <v>5.6100000000000004E-2</v>
      </c>
      <c r="L589" s="78">
        <v>5.6100000000000004E-2</v>
      </c>
      <c r="M589" s="78">
        <v>5.6100000000000004E-2</v>
      </c>
      <c r="N589" s="78">
        <v>5.6100000000000004E-2</v>
      </c>
      <c r="O589" s="78">
        <v>5.6100000000000004E-2</v>
      </c>
      <c r="P589" s="78">
        <v>5.6100000000000004E-2</v>
      </c>
      <c r="Q589" s="78">
        <v>5.6100000000000004E-2</v>
      </c>
      <c r="R589" s="78">
        <v>5.6100000000000004E-2</v>
      </c>
      <c r="S589" s="78">
        <v>5.6100000000000004E-2</v>
      </c>
      <c r="T589" s="78">
        <v>5.6100000000000004E-2</v>
      </c>
      <c r="U589" s="78">
        <v>5.6100000000000004E-2</v>
      </c>
      <c r="V589" s="78">
        <v>5.6100000000000004E-2</v>
      </c>
      <c r="W589" s="78">
        <v>5.6100000000000004E-2</v>
      </c>
      <c r="X589" s="78">
        <v>5.6100000000000004E-2</v>
      </c>
      <c r="Y589" s="78">
        <v>5.6100000000000004E-2</v>
      </c>
      <c r="Z589" s="78">
        <v>5.6100000000000004E-2</v>
      </c>
      <c r="AA589" s="78">
        <v>5.6100000000000004E-2</v>
      </c>
      <c r="AB589" s="78">
        <v>5.6100000000000004E-2</v>
      </c>
      <c r="AC589" s="78">
        <v>5.6100000000000004E-2</v>
      </c>
      <c r="AD589" s="78">
        <v>5.6100000000000004E-2</v>
      </c>
      <c r="AE589" s="78">
        <v>5.6100000000000004E-2</v>
      </c>
      <c r="AF589" s="78">
        <v>5.6100000000000004E-2</v>
      </c>
      <c r="AG589" s="78">
        <v>5.6100000000000004E-2</v>
      </c>
      <c r="AH589" s="78">
        <v>5.6100000000000004E-2</v>
      </c>
      <c r="AI589" s="78">
        <v>5.6100000000000004E-2</v>
      </c>
      <c r="AJ589" s="78">
        <v>5.6100000000000004E-2</v>
      </c>
      <c r="AK589" s="78">
        <v>5.6100000000000004E-2</v>
      </c>
      <c r="AL589" s="78">
        <v>5.6100000000000004E-2</v>
      </c>
      <c r="AM589" s="78">
        <v>5.6100000000000004E-2</v>
      </c>
      <c r="AN589" s="78">
        <v>5.6100000000000004E-2</v>
      </c>
      <c r="AO589" s="78">
        <v>5.6100000000000004E-2</v>
      </c>
      <c r="AP589" s="78">
        <v>5.6100000000000004E-2</v>
      </c>
      <c r="AQ589" s="78">
        <v>5.6100000000000004E-2</v>
      </c>
      <c r="AR589" s="78">
        <v>5.6100000000000004E-2</v>
      </c>
      <c r="AS589" s="78">
        <v>5.6100000000000004E-2</v>
      </c>
      <c r="AT589" s="78">
        <v>5.6100000000000004E-2</v>
      </c>
      <c r="AU589" s="78">
        <v>5.6100000000000004E-2</v>
      </c>
      <c r="AV589" s="78">
        <v>5.6100000000000004E-2</v>
      </c>
      <c r="AW589" s="78">
        <v>5.6100000000000004E-2</v>
      </c>
      <c r="AX589" s="86">
        <v>5.6100000000000004E-2</v>
      </c>
    </row>
    <row r="590" spans="1:50" x14ac:dyDescent="0.25">
      <c r="A590" s="356"/>
      <c r="B590" s="359"/>
      <c r="C590" s="360"/>
      <c r="D590" s="59" t="s">
        <v>8</v>
      </c>
      <c r="E590" s="166" t="str">
        <f>A579&amp;"/"&amp;B587&amp;"/"&amp;C589&amp;"/"&amp;D590</f>
        <v>Fuel oil fired power plants/Supercritical steam turbine/CHP/M</v>
      </c>
      <c r="F590" s="79" t="str">
        <f>A579</f>
        <v>Fuel oil fired power plants</v>
      </c>
      <c r="G590" s="79" t="str">
        <f>B587</f>
        <v>Supercritical steam turbine</v>
      </c>
      <c r="H590" s="79" t="str">
        <f>C589</f>
        <v>CHP</v>
      </c>
      <c r="I590" s="167" t="str">
        <f t="shared" si="85"/>
        <v>M</v>
      </c>
      <c r="J590" s="79">
        <v>5.8905000000000006E-2</v>
      </c>
      <c r="K590" s="79">
        <v>5.8905000000000006E-2</v>
      </c>
      <c r="L590" s="79">
        <v>5.8905000000000006E-2</v>
      </c>
      <c r="M590" s="79">
        <v>5.8905000000000006E-2</v>
      </c>
      <c r="N590" s="79">
        <v>5.8905000000000006E-2</v>
      </c>
      <c r="O590" s="79">
        <v>5.8905000000000006E-2</v>
      </c>
      <c r="P590" s="79">
        <v>5.8905000000000006E-2</v>
      </c>
      <c r="Q590" s="79">
        <v>5.8905000000000006E-2</v>
      </c>
      <c r="R590" s="79">
        <v>5.8905000000000006E-2</v>
      </c>
      <c r="S590" s="79">
        <v>5.8905000000000006E-2</v>
      </c>
      <c r="T590" s="79">
        <v>5.8905000000000006E-2</v>
      </c>
      <c r="U590" s="79">
        <v>5.8905000000000006E-2</v>
      </c>
      <c r="V590" s="79">
        <v>5.8905000000000006E-2</v>
      </c>
      <c r="W590" s="79">
        <v>5.8905000000000006E-2</v>
      </c>
      <c r="X590" s="79">
        <v>5.8905000000000006E-2</v>
      </c>
      <c r="Y590" s="79">
        <v>5.8905000000000006E-2</v>
      </c>
      <c r="Z590" s="79">
        <v>5.8905000000000006E-2</v>
      </c>
      <c r="AA590" s="79">
        <v>5.8905000000000006E-2</v>
      </c>
      <c r="AB590" s="79">
        <v>5.8905000000000006E-2</v>
      </c>
      <c r="AC590" s="79">
        <v>5.8905000000000006E-2</v>
      </c>
      <c r="AD590" s="79">
        <v>5.8905000000000006E-2</v>
      </c>
      <c r="AE590" s="79">
        <v>5.8905000000000006E-2</v>
      </c>
      <c r="AF590" s="79">
        <v>5.8905000000000006E-2</v>
      </c>
      <c r="AG590" s="79">
        <v>5.8905000000000006E-2</v>
      </c>
      <c r="AH590" s="79">
        <v>5.8905000000000006E-2</v>
      </c>
      <c r="AI590" s="79">
        <v>5.8905000000000006E-2</v>
      </c>
      <c r="AJ590" s="79">
        <v>5.8905000000000006E-2</v>
      </c>
      <c r="AK590" s="79">
        <v>5.8905000000000006E-2</v>
      </c>
      <c r="AL590" s="79">
        <v>5.8905000000000006E-2</v>
      </c>
      <c r="AM590" s="79">
        <v>5.8905000000000006E-2</v>
      </c>
      <c r="AN590" s="79">
        <v>5.8905000000000006E-2</v>
      </c>
      <c r="AO590" s="79">
        <v>5.8905000000000006E-2</v>
      </c>
      <c r="AP590" s="79">
        <v>5.8905000000000006E-2</v>
      </c>
      <c r="AQ590" s="79">
        <v>5.8905000000000006E-2</v>
      </c>
      <c r="AR590" s="79">
        <v>5.8905000000000006E-2</v>
      </c>
      <c r="AS590" s="79">
        <v>5.8905000000000006E-2</v>
      </c>
      <c r="AT590" s="79">
        <v>5.8905000000000006E-2</v>
      </c>
      <c r="AU590" s="79">
        <v>5.8905000000000006E-2</v>
      </c>
      <c r="AV590" s="79">
        <v>5.8905000000000006E-2</v>
      </c>
      <c r="AW590" s="79">
        <v>5.8905000000000006E-2</v>
      </c>
      <c r="AX590" s="87">
        <v>5.8905000000000006E-2</v>
      </c>
    </row>
    <row r="591" spans="1:50" x14ac:dyDescent="0.25">
      <c r="A591" s="356"/>
      <c r="B591" s="359"/>
      <c r="C591" s="361" t="s">
        <v>15</v>
      </c>
      <c r="D591" s="58" t="s">
        <v>7</v>
      </c>
      <c r="E591" s="164" t="str">
        <f>A579&amp;"/"&amp;B587&amp;"/"&amp;C591&amp;"/"&amp;D591</f>
        <v>Fuel oil fired power plants/Supercritical steam turbine/Electricity only with CCS/L</v>
      </c>
      <c r="F591" s="78" t="str">
        <f>A579</f>
        <v>Fuel oil fired power plants</v>
      </c>
      <c r="G591" s="78" t="str">
        <f>B587</f>
        <v>Supercritical steam turbine</v>
      </c>
      <c r="H591" s="78" t="str">
        <f>C591</f>
        <v>Electricity only with CCS</v>
      </c>
      <c r="I591" s="165" t="str">
        <f t="shared" si="85"/>
        <v>L</v>
      </c>
      <c r="J591" s="78" t="s">
        <v>112</v>
      </c>
      <c r="K591" s="78" t="s">
        <v>112</v>
      </c>
      <c r="L591" s="78" t="s">
        <v>112</v>
      </c>
      <c r="M591" s="78" t="s">
        <v>112</v>
      </c>
      <c r="N591" s="78" t="s">
        <v>112</v>
      </c>
      <c r="O591" s="78" t="s">
        <v>112</v>
      </c>
      <c r="P591" s="78" t="s">
        <v>112</v>
      </c>
      <c r="Q591" s="78" t="s">
        <v>112</v>
      </c>
      <c r="R591" s="78" t="s">
        <v>112</v>
      </c>
      <c r="S591" s="78" t="s">
        <v>112</v>
      </c>
      <c r="T591" s="78" t="s">
        <v>112</v>
      </c>
      <c r="U591" s="78" t="s">
        <v>112</v>
      </c>
      <c r="V591" s="78" t="s">
        <v>112</v>
      </c>
      <c r="W591" s="78" t="s">
        <v>112</v>
      </c>
      <c r="X591" s="78" t="s">
        <v>112</v>
      </c>
      <c r="Y591" s="78" t="s">
        <v>112</v>
      </c>
      <c r="Z591" s="78" t="s">
        <v>112</v>
      </c>
      <c r="AA591" s="78" t="s">
        <v>112</v>
      </c>
      <c r="AB591" s="78" t="s">
        <v>112</v>
      </c>
      <c r="AC591" s="78" t="s">
        <v>112</v>
      </c>
      <c r="AD591" s="78" t="s">
        <v>112</v>
      </c>
      <c r="AE591" s="78">
        <v>0.19635</v>
      </c>
      <c r="AF591" s="78">
        <v>0.19635</v>
      </c>
      <c r="AG591" s="78">
        <v>0.19635</v>
      </c>
      <c r="AH591" s="78">
        <v>0.19635</v>
      </c>
      <c r="AI591" s="78">
        <v>0.19635</v>
      </c>
      <c r="AJ591" s="78">
        <v>0.19635</v>
      </c>
      <c r="AK591" s="78">
        <v>0.19635</v>
      </c>
      <c r="AL591" s="78">
        <v>0.19635</v>
      </c>
      <c r="AM591" s="78">
        <v>0.19635</v>
      </c>
      <c r="AN591" s="78">
        <v>0.19635</v>
      </c>
      <c r="AO591" s="78">
        <v>0.19635</v>
      </c>
      <c r="AP591" s="78">
        <v>0.19635</v>
      </c>
      <c r="AQ591" s="78">
        <v>0.19635</v>
      </c>
      <c r="AR591" s="78">
        <v>0.19635</v>
      </c>
      <c r="AS591" s="78">
        <v>0.19635</v>
      </c>
      <c r="AT591" s="78">
        <v>0.19635</v>
      </c>
      <c r="AU591" s="78">
        <v>0.19635</v>
      </c>
      <c r="AV591" s="78">
        <v>0.19635</v>
      </c>
      <c r="AW591" s="78">
        <v>0.19635</v>
      </c>
      <c r="AX591" s="86">
        <v>0.19635</v>
      </c>
    </row>
    <row r="592" spans="1:50" x14ac:dyDescent="0.25">
      <c r="A592" s="356"/>
      <c r="B592" s="359"/>
      <c r="C592" s="360"/>
      <c r="D592" s="59" t="s">
        <v>8</v>
      </c>
      <c r="E592" s="166" t="str">
        <f>A579&amp;"/"&amp;B587&amp;"/"&amp;C591&amp;"/"&amp;D592</f>
        <v>Fuel oil fired power plants/Supercritical steam turbine/Electricity only with CCS/M</v>
      </c>
      <c r="F592" s="79" t="str">
        <f>A579</f>
        <v>Fuel oil fired power plants</v>
      </c>
      <c r="G592" s="79" t="str">
        <f>B587</f>
        <v>Supercritical steam turbine</v>
      </c>
      <c r="H592" s="79" t="str">
        <f>C591</f>
        <v>Electricity only with CCS</v>
      </c>
      <c r="I592" s="167" t="str">
        <f t="shared" si="85"/>
        <v>M</v>
      </c>
      <c r="J592" s="79" t="s">
        <v>112</v>
      </c>
      <c r="K592" s="79" t="s">
        <v>112</v>
      </c>
      <c r="L592" s="79" t="s">
        <v>112</v>
      </c>
      <c r="M592" s="79" t="s">
        <v>112</v>
      </c>
      <c r="N592" s="79" t="s">
        <v>112</v>
      </c>
      <c r="O592" s="79" t="s">
        <v>112</v>
      </c>
      <c r="P592" s="79" t="s">
        <v>112</v>
      </c>
      <c r="Q592" s="79" t="s">
        <v>112</v>
      </c>
      <c r="R592" s="79" t="s">
        <v>112</v>
      </c>
      <c r="S592" s="79" t="s">
        <v>112</v>
      </c>
      <c r="T592" s="79" t="s">
        <v>112</v>
      </c>
      <c r="U592" s="79" t="s">
        <v>112</v>
      </c>
      <c r="V592" s="79" t="s">
        <v>112</v>
      </c>
      <c r="W592" s="79" t="s">
        <v>112</v>
      </c>
      <c r="X592" s="79" t="s">
        <v>112</v>
      </c>
      <c r="Y592" s="79" t="s">
        <v>112</v>
      </c>
      <c r="Z592" s="79" t="s">
        <v>112</v>
      </c>
      <c r="AA592" s="79" t="s">
        <v>112</v>
      </c>
      <c r="AB592" s="79" t="s">
        <v>112</v>
      </c>
      <c r="AC592" s="79" t="s">
        <v>112</v>
      </c>
      <c r="AD592" s="79" t="s">
        <v>112</v>
      </c>
      <c r="AE592" s="79">
        <v>0.2061675</v>
      </c>
      <c r="AF592" s="79">
        <v>0.2061675</v>
      </c>
      <c r="AG592" s="79">
        <v>0.2061675</v>
      </c>
      <c r="AH592" s="79">
        <v>0.2061675</v>
      </c>
      <c r="AI592" s="79">
        <v>0.2061675</v>
      </c>
      <c r="AJ592" s="79">
        <v>0.2061675</v>
      </c>
      <c r="AK592" s="79">
        <v>0.2061675</v>
      </c>
      <c r="AL592" s="79">
        <v>0.2061675</v>
      </c>
      <c r="AM592" s="79">
        <v>0.2061675</v>
      </c>
      <c r="AN592" s="79">
        <v>0.2061675</v>
      </c>
      <c r="AO592" s="79">
        <v>0.2061675</v>
      </c>
      <c r="AP592" s="79">
        <v>0.2061675</v>
      </c>
      <c r="AQ592" s="79">
        <v>0.2061675</v>
      </c>
      <c r="AR592" s="79">
        <v>0.2061675</v>
      </c>
      <c r="AS592" s="79">
        <v>0.2061675</v>
      </c>
      <c r="AT592" s="79">
        <v>0.2061675</v>
      </c>
      <c r="AU592" s="79">
        <v>0.2061675</v>
      </c>
      <c r="AV592" s="79">
        <v>0.2061675</v>
      </c>
      <c r="AW592" s="79">
        <v>0.2061675</v>
      </c>
      <c r="AX592" s="87">
        <v>0.2061675</v>
      </c>
    </row>
    <row r="593" spans="1:50" x14ac:dyDescent="0.25">
      <c r="A593" s="356"/>
      <c r="B593" s="359"/>
      <c r="C593" s="361" t="s">
        <v>16</v>
      </c>
      <c r="D593" s="2" t="s">
        <v>7</v>
      </c>
      <c r="E593" s="160" t="str">
        <f>A579&amp;"/"&amp;B587&amp;"/"&amp;C593&amp;"/"&amp;D593</f>
        <v>Fuel oil fired power plants/Supercritical steam turbine/CHP with CCS/L</v>
      </c>
      <c r="F593" s="76" t="str">
        <f>A579</f>
        <v>Fuel oil fired power plants</v>
      </c>
      <c r="G593" s="76" t="str">
        <f>B587</f>
        <v>Supercritical steam turbine</v>
      </c>
      <c r="H593" s="76" t="str">
        <f>C593</f>
        <v>CHP with CCS</v>
      </c>
      <c r="I593" s="161" t="str">
        <f t="shared" si="85"/>
        <v>L</v>
      </c>
      <c r="J593" s="76" t="s">
        <v>112</v>
      </c>
      <c r="K593" s="76" t="s">
        <v>112</v>
      </c>
      <c r="L593" s="76" t="s">
        <v>112</v>
      </c>
      <c r="M593" s="76" t="s">
        <v>112</v>
      </c>
      <c r="N593" s="76" t="s">
        <v>112</v>
      </c>
      <c r="O593" s="76" t="s">
        <v>112</v>
      </c>
      <c r="P593" s="76" t="s">
        <v>112</v>
      </c>
      <c r="Q593" s="76" t="s">
        <v>112</v>
      </c>
      <c r="R593" s="76" t="s">
        <v>112</v>
      </c>
      <c r="S593" s="76" t="s">
        <v>112</v>
      </c>
      <c r="T593" s="76" t="s">
        <v>112</v>
      </c>
      <c r="U593" s="76" t="s">
        <v>112</v>
      </c>
      <c r="V593" s="76" t="s">
        <v>112</v>
      </c>
      <c r="W593" s="76" t="s">
        <v>112</v>
      </c>
      <c r="X593" s="76" t="s">
        <v>112</v>
      </c>
      <c r="Y593" s="76" t="s">
        <v>112</v>
      </c>
      <c r="Z593" s="76" t="s">
        <v>112</v>
      </c>
      <c r="AA593" s="76" t="s">
        <v>112</v>
      </c>
      <c r="AB593" s="76" t="s">
        <v>112</v>
      </c>
      <c r="AC593" s="76" t="s">
        <v>112</v>
      </c>
      <c r="AD593" s="76" t="s">
        <v>112</v>
      </c>
      <c r="AE593" s="76">
        <v>0.21598500000000001</v>
      </c>
      <c r="AF593" s="76">
        <v>0.21598500000000001</v>
      </c>
      <c r="AG593" s="76">
        <v>0.21598500000000001</v>
      </c>
      <c r="AH593" s="76">
        <v>0.21598500000000001</v>
      </c>
      <c r="AI593" s="76">
        <v>0.21598500000000001</v>
      </c>
      <c r="AJ593" s="76">
        <v>0.21598500000000001</v>
      </c>
      <c r="AK593" s="76">
        <v>0.21598500000000001</v>
      </c>
      <c r="AL593" s="76">
        <v>0.21598500000000001</v>
      </c>
      <c r="AM593" s="76">
        <v>0.21598500000000001</v>
      </c>
      <c r="AN593" s="76">
        <v>0.21598500000000001</v>
      </c>
      <c r="AO593" s="76">
        <v>0.21598500000000001</v>
      </c>
      <c r="AP593" s="76">
        <v>0.21598500000000001</v>
      </c>
      <c r="AQ593" s="76">
        <v>0.21598500000000001</v>
      </c>
      <c r="AR593" s="76">
        <v>0.21598500000000001</v>
      </c>
      <c r="AS593" s="76">
        <v>0.21598500000000001</v>
      </c>
      <c r="AT593" s="76">
        <v>0.21598500000000001</v>
      </c>
      <c r="AU593" s="76">
        <v>0.21598500000000001</v>
      </c>
      <c r="AV593" s="76">
        <v>0.21598500000000001</v>
      </c>
      <c r="AW593" s="76">
        <v>0.21598500000000001</v>
      </c>
      <c r="AX593" s="84">
        <v>0.21598500000000001</v>
      </c>
    </row>
    <row r="594" spans="1:50" x14ac:dyDescent="0.25">
      <c r="A594" s="356"/>
      <c r="B594" s="362"/>
      <c r="C594" s="354"/>
      <c r="D594" s="4" t="s">
        <v>8</v>
      </c>
      <c r="E594" s="168" t="str">
        <f>A579&amp;"/"&amp;B587&amp;"/"&amp;C593&amp;"/"&amp;D594</f>
        <v>Fuel oil fired power plants/Supercritical steam turbine/CHP with CCS/M</v>
      </c>
      <c r="F594" s="80" t="str">
        <f>A579</f>
        <v>Fuel oil fired power plants</v>
      </c>
      <c r="G594" s="80" t="str">
        <f>B587</f>
        <v>Supercritical steam turbine</v>
      </c>
      <c r="H594" s="80" t="str">
        <f>C593</f>
        <v>CHP with CCS</v>
      </c>
      <c r="I594" s="169" t="str">
        <f t="shared" si="85"/>
        <v>M</v>
      </c>
      <c r="J594" s="80" t="s">
        <v>112</v>
      </c>
      <c r="K594" s="80" t="s">
        <v>112</v>
      </c>
      <c r="L594" s="80" t="s">
        <v>112</v>
      </c>
      <c r="M594" s="80" t="s">
        <v>112</v>
      </c>
      <c r="N594" s="80" t="s">
        <v>112</v>
      </c>
      <c r="O594" s="80" t="s">
        <v>112</v>
      </c>
      <c r="P594" s="80" t="s">
        <v>112</v>
      </c>
      <c r="Q594" s="80" t="s">
        <v>112</v>
      </c>
      <c r="R594" s="80" t="s">
        <v>112</v>
      </c>
      <c r="S594" s="80" t="s">
        <v>112</v>
      </c>
      <c r="T594" s="80" t="s">
        <v>112</v>
      </c>
      <c r="U594" s="80" t="s">
        <v>112</v>
      </c>
      <c r="V594" s="80" t="s">
        <v>112</v>
      </c>
      <c r="W594" s="80" t="s">
        <v>112</v>
      </c>
      <c r="X594" s="80" t="s">
        <v>112</v>
      </c>
      <c r="Y594" s="80" t="s">
        <v>112</v>
      </c>
      <c r="Z594" s="80" t="s">
        <v>112</v>
      </c>
      <c r="AA594" s="80" t="s">
        <v>112</v>
      </c>
      <c r="AB594" s="80" t="s">
        <v>112</v>
      </c>
      <c r="AC594" s="80" t="s">
        <v>112</v>
      </c>
      <c r="AD594" s="80" t="s">
        <v>112</v>
      </c>
      <c r="AE594" s="80">
        <v>0.22678425000000002</v>
      </c>
      <c r="AF594" s="80">
        <v>0.22678425000000002</v>
      </c>
      <c r="AG594" s="80">
        <v>0.22678425000000002</v>
      </c>
      <c r="AH594" s="80">
        <v>0.22678425000000002</v>
      </c>
      <c r="AI594" s="80">
        <v>0.22678425000000002</v>
      </c>
      <c r="AJ594" s="80">
        <v>0.22678425000000002</v>
      </c>
      <c r="AK594" s="80">
        <v>0.22678425000000002</v>
      </c>
      <c r="AL594" s="80">
        <v>0.22678425000000002</v>
      </c>
      <c r="AM594" s="80">
        <v>0.22678425000000002</v>
      </c>
      <c r="AN594" s="80">
        <v>0.22678425000000002</v>
      </c>
      <c r="AO594" s="80">
        <v>0.22678425000000002</v>
      </c>
      <c r="AP594" s="80">
        <v>0.22678425000000002</v>
      </c>
      <c r="AQ594" s="80">
        <v>0.22678425000000002</v>
      </c>
      <c r="AR594" s="80">
        <v>0.22678425000000002</v>
      </c>
      <c r="AS594" s="80">
        <v>0.22678425000000002</v>
      </c>
      <c r="AT594" s="80">
        <v>0.22678425000000002</v>
      </c>
      <c r="AU594" s="80">
        <v>0.22678425000000002</v>
      </c>
      <c r="AV594" s="80">
        <v>0.22678425000000002</v>
      </c>
      <c r="AW594" s="80">
        <v>0.22678425000000002</v>
      </c>
      <c r="AX594" s="88">
        <v>0.22678425000000002</v>
      </c>
    </row>
    <row r="595" spans="1:50" x14ac:dyDescent="0.25">
      <c r="A595" s="356"/>
      <c r="B595" s="358" t="s">
        <v>19</v>
      </c>
      <c r="C595" s="353" t="s">
        <v>6</v>
      </c>
      <c r="D595" s="3" t="s">
        <v>7</v>
      </c>
      <c r="E595" s="162" t="str">
        <f>A579&amp;"/"&amp;B595&amp;"/"&amp;C595&amp;"/"&amp;D595</f>
        <v>Fuel oil fired power plants/Steam turbine/Electricity only/L</v>
      </c>
      <c r="F595" s="77" t="str">
        <f>A579</f>
        <v>Fuel oil fired power plants</v>
      </c>
      <c r="G595" s="77" t="str">
        <f>B595</f>
        <v>Steam turbine</v>
      </c>
      <c r="H595" s="77" t="str">
        <f>C595</f>
        <v>Electricity only</v>
      </c>
      <c r="I595" s="163" t="str">
        <f t="shared" si="85"/>
        <v>L</v>
      </c>
      <c r="J595" s="77">
        <v>4.8000000000000001E-2</v>
      </c>
      <c r="K595" s="77">
        <v>4.8000000000000001E-2</v>
      </c>
      <c r="L595" s="77">
        <v>4.8000000000000001E-2</v>
      </c>
      <c r="M595" s="77">
        <v>4.8000000000000001E-2</v>
      </c>
      <c r="N595" s="77">
        <v>4.8000000000000001E-2</v>
      </c>
      <c r="O595" s="77">
        <v>4.8000000000000001E-2</v>
      </c>
      <c r="P595" s="77">
        <v>4.8000000000000001E-2</v>
      </c>
      <c r="Q595" s="77">
        <v>4.8000000000000001E-2</v>
      </c>
      <c r="R595" s="77">
        <v>4.8000000000000001E-2</v>
      </c>
      <c r="S595" s="77">
        <v>4.8000000000000001E-2</v>
      </c>
      <c r="T595" s="77">
        <v>4.8000000000000001E-2</v>
      </c>
      <c r="U595" s="77">
        <v>4.8000000000000001E-2</v>
      </c>
      <c r="V595" s="77">
        <v>4.8000000000000001E-2</v>
      </c>
      <c r="W595" s="77">
        <v>4.8000000000000001E-2</v>
      </c>
      <c r="X595" s="77">
        <v>4.8000000000000001E-2</v>
      </c>
      <c r="Y595" s="77">
        <v>4.8000000000000001E-2</v>
      </c>
      <c r="Z595" s="77">
        <v>4.8000000000000001E-2</v>
      </c>
      <c r="AA595" s="77">
        <v>4.8000000000000001E-2</v>
      </c>
      <c r="AB595" s="77">
        <v>4.8000000000000001E-2</v>
      </c>
      <c r="AC595" s="77">
        <v>4.8000000000000001E-2</v>
      </c>
      <c r="AD595" s="77">
        <v>4.8000000000000001E-2</v>
      </c>
      <c r="AE595" s="77">
        <v>4.8000000000000001E-2</v>
      </c>
      <c r="AF595" s="77">
        <v>4.8000000000000001E-2</v>
      </c>
      <c r="AG595" s="77">
        <v>4.8000000000000001E-2</v>
      </c>
      <c r="AH595" s="77">
        <v>4.8000000000000001E-2</v>
      </c>
      <c r="AI595" s="77">
        <v>4.8000000000000001E-2</v>
      </c>
      <c r="AJ595" s="77">
        <v>4.8000000000000001E-2</v>
      </c>
      <c r="AK595" s="77">
        <v>4.8000000000000001E-2</v>
      </c>
      <c r="AL595" s="77">
        <v>4.8000000000000001E-2</v>
      </c>
      <c r="AM595" s="77">
        <v>4.8000000000000001E-2</v>
      </c>
      <c r="AN595" s="77">
        <v>4.8000000000000001E-2</v>
      </c>
      <c r="AO595" s="77">
        <v>4.8000000000000001E-2</v>
      </c>
      <c r="AP595" s="77">
        <v>4.8000000000000001E-2</v>
      </c>
      <c r="AQ595" s="77">
        <v>4.8000000000000001E-2</v>
      </c>
      <c r="AR595" s="77">
        <v>4.8000000000000001E-2</v>
      </c>
      <c r="AS595" s="77">
        <v>4.8000000000000001E-2</v>
      </c>
      <c r="AT595" s="77">
        <v>4.8000000000000001E-2</v>
      </c>
      <c r="AU595" s="77">
        <v>4.8000000000000001E-2</v>
      </c>
      <c r="AV595" s="77">
        <v>4.8000000000000001E-2</v>
      </c>
      <c r="AW595" s="77">
        <v>4.8000000000000001E-2</v>
      </c>
      <c r="AX595" s="85">
        <v>4.8000000000000001E-2</v>
      </c>
    </row>
    <row r="596" spans="1:50" x14ac:dyDescent="0.25">
      <c r="A596" s="356"/>
      <c r="B596" s="359"/>
      <c r="C596" s="350"/>
      <c r="D596" s="2" t="s">
        <v>8</v>
      </c>
      <c r="E596" s="160" t="str">
        <f>A579&amp;"/"&amp;B595&amp;"/"&amp;C595&amp;"/"&amp;D596</f>
        <v>Fuel oil fired power plants/Steam turbine/Electricity only/M</v>
      </c>
      <c r="F596" s="76" t="str">
        <f>A579</f>
        <v>Fuel oil fired power plants</v>
      </c>
      <c r="G596" s="76" t="str">
        <f>B595</f>
        <v>Steam turbine</v>
      </c>
      <c r="H596" s="76" t="str">
        <f>C595</f>
        <v>Electricity only</v>
      </c>
      <c r="I596" s="161" t="str">
        <f t="shared" si="85"/>
        <v>M</v>
      </c>
      <c r="J596" s="76">
        <v>5.04E-2</v>
      </c>
      <c r="K596" s="76">
        <v>5.04E-2</v>
      </c>
      <c r="L596" s="76">
        <v>5.04E-2</v>
      </c>
      <c r="M596" s="76">
        <v>5.04E-2</v>
      </c>
      <c r="N596" s="76">
        <v>5.04E-2</v>
      </c>
      <c r="O596" s="76">
        <v>5.04E-2</v>
      </c>
      <c r="P596" s="76">
        <v>5.04E-2</v>
      </c>
      <c r="Q596" s="76">
        <v>5.04E-2</v>
      </c>
      <c r="R596" s="76">
        <v>5.04E-2</v>
      </c>
      <c r="S596" s="76">
        <v>5.04E-2</v>
      </c>
      <c r="T596" s="76">
        <v>5.04E-2</v>
      </c>
      <c r="U596" s="76">
        <v>5.04E-2</v>
      </c>
      <c r="V596" s="76">
        <v>5.04E-2</v>
      </c>
      <c r="W596" s="76">
        <v>5.04E-2</v>
      </c>
      <c r="X596" s="76">
        <v>5.04E-2</v>
      </c>
      <c r="Y596" s="76">
        <v>5.04E-2</v>
      </c>
      <c r="Z596" s="76">
        <v>5.04E-2</v>
      </c>
      <c r="AA596" s="76">
        <v>5.04E-2</v>
      </c>
      <c r="AB596" s="76">
        <v>5.04E-2</v>
      </c>
      <c r="AC596" s="76">
        <v>5.04E-2</v>
      </c>
      <c r="AD596" s="76">
        <v>5.04E-2</v>
      </c>
      <c r="AE596" s="76">
        <v>5.04E-2</v>
      </c>
      <c r="AF596" s="76">
        <v>5.04E-2</v>
      </c>
      <c r="AG596" s="76">
        <v>5.04E-2</v>
      </c>
      <c r="AH596" s="76">
        <v>5.04E-2</v>
      </c>
      <c r="AI596" s="76">
        <v>5.04E-2</v>
      </c>
      <c r="AJ596" s="76">
        <v>5.04E-2</v>
      </c>
      <c r="AK596" s="76">
        <v>5.04E-2</v>
      </c>
      <c r="AL596" s="76">
        <v>5.04E-2</v>
      </c>
      <c r="AM596" s="76">
        <v>5.04E-2</v>
      </c>
      <c r="AN596" s="76">
        <v>5.04E-2</v>
      </c>
      <c r="AO596" s="76">
        <v>5.04E-2</v>
      </c>
      <c r="AP596" s="76">
        <v>5.04E-2</v>
      </c>
      <c r="AQ596" s="76">
        <v>5.04E-2</v>
      </c>
      <c r="AR596" s="76">
        <v>5.04E-2</v>
      </c>
      <c r="AS596" s="76">
        <v>5.04E-2</v>
      </c>
      <c r="AT596" s="76">
        <v>5.04E-2</v>
      </c>
      <c r="AU596" s="76">
        <v>5.04E-2</v>
      </c>
      <c r="AV596" s="76">
        <v>5.04E-2</v>
      </c>
      <c r="AW596" s="76">
        <v>5.04E-2</v>
      </c>
      <c r="AX596" s="84">
        <v>5.04E-2</v>
      </c>
    </row>
    <row r="597" spans="1:50" x14ac:dyDescent="0.25">
      <c r="A597" s="356"/>
      <c r="B597" s="359"/>
      <c r="C597" s="350"/>
      <c r="D597" s="2" t="s">
        <v>10</v>
      </c>
      <c r="E597" s="160" t="str">
        <f>A579&amp;"/"&amp;B595&amp;"/"&amp;C595&amp;"/"&amp;D597</f>
        <v>Fuel oil fired power plants/Steam turbine/Electricity only/S</v>
      </c>
      <c r="F597" s="76" t="str">
        <f>A579</f>
        <v>Fuel oil fired power plants</v>
      </c>
      <c r="G597" s="76" t="str">
        <f>B595</f>
        <v>Steam turbine</v>
      </c>
      <c r="H597" s="76" t="str">
        <f>C595</f>
        <v>Electricity only</v>
      </c>
      <c r="I597" s="161" t="str">
        <f t="shared" si="85"/>
        <v>S</v>
      </c>
      <c r="J597" s="76">
        <v>5.2920000000000002E-2</v>
      </c>
      <c r="K597" s="76">
        <v>5.2920000000000002E-2</v>
      </c>
      <c r="L597" s="76">
        <v>5.2920000000000002E-2</v>
      </c>
      <c r="M597" s="76">
        <v>5.2920000000000002E-2</v>
      </c>
      <c r="N597" s="76">
        <v>5.2920000000000002E-2</v>
      </c>
      <c r="O597" s="76">
        <v>5.2920000000000002E-2</v>
      </c>
      <c r="P597" s="76">
        <v>5.2920000000000002E-2</v>
      </c>
      <c r="Q597" s="76">
        <v>5.2920000000000002E-2</v>
      </c>
      <c r="R597" s="76">
        <v>5.2920000000000002E-2</v>
      </c>
      <c r="S597" s="76">
        <v>5.2920000000000002E-2</v>
      </c>
      <c r="T597" s="76">
        <v>5.2920000000000002E-2</v>
      </c>
      <c r="U597" s="76">
        <v>5.2920000000000002E-2</v>
      </c>
      <c r="V597" s="76">
        <v>5.2920000000000002E-2</v>
      </c>
      <c r="W597" s="76">
        <v>5.2920000000000002E-2</v>
      </c>
      <c r="X597" s="76">
        <v>5.2920000000000002E-2</v>
      </c>
      <c r="Y597" s="76">
        <v>5.2920000000000002E-2</v>
      </c>
      <c r="Z597" s="76">
        <v>5.2920000000000002E-2</v>
      </c>
      <c r="AA597" s="76">
        <v>5.2920000000000002E-2</v>
      </c>
      <c r="AB597" s="76">
        <v>5.2920000000000002E-2</v>
      </c>
      <c r="AC597" s="76">
        <v>5.2920000000000002E-2</v>
      </c>
      <c r="AD597" s="76">
        <v>5.2920000000000002E-2</v>
      </c>
      <c r="AE597" s="76">
        <v>5.2920000000000002E-2</v>
      </c>
      <c r="AF597" s="76">
        <v>5.2920000000000002E-2</v>
      </c>
      <c r="AG597" s="76">
        <v>5.2920000000000002E-2</v>
      </c>
      <c r="AH597" s="76">
        <v>5.2920000000000002E-2</v>
      </c>
      <c r="AI597" s="76">
        <v>5.2920000000000002E-2</v>
      </c>
      <c r="AJ597" s="76">
        <v>5.2920000000000002E-2</v>
      </c>
      <c r="AK597" s="76">
        <v>5.2920000000000002E-2</v>
      </c>
      <c r="AL597" s="76">
        <v>5.2920000000000002E-2</v>
      </c>
      <c r="AM597" s="76">
        <v>5.2920000000000002E-2</v>
      </c>
      <c r="AN597" s="76">
        <v>5.2920000000000002E-2</v>
      </c>
      <c r="AO597" s="76">
        <v>5.2920000000000002E-2</v>
      </c>
      <c r="AP597" s="76">
        <v>5.2920000000000002E-2</v>
      </c>
      <c r="AQ597" s="76">
        <v>5.2920000000000002E-2</v>
      </c>
      <c r="AR597" s="76">
        <v>5.2920000000000002E-2</v>
      </c>
      <c r="AS597" s="76">
        <v>5.2920000000000002E-2</v>
      </c>
      <c r="AT597" s="76">
        <v>5.2920000000000002E-2</v>
      </c>
      <c r="AU597" s="76">
        <v>5.2920000000000002E-2</v>
      </c>
      <c r="AV597" s="76">
        <v>5.2920000000000002E-2</v>
      </c>
      <c r="AW597" s="76">
        <v>5.2920000000000002E-2</v>
      </c>
      <c r="AX597" s="84">
        <v>5.2920000000000002E-2</v>
      </c>
    </row>
    <row r="598" spans="1:50" x14ac:dyDescent="0.25">
      <c r="A598" s="356"/>
      <c r="B598" s="359"/>
      <c r="C598" s="360"/>
      <c r="D598" s="2" t="s">
        <v>20</v>
      </c>
      <c r="E598" s="160" t="str">
        <f>A579&amp;"/"&amp;B595&amp;"/"&amp;C595&amp;"/"&amp;D598</f>
        <v>Fuel oil fired power plants/Steam turbine/Electricity only/XS</v>
      </c>
      <c r="F598" s="76" t="str">
        <f>A579</f>
        <v>Fuel oil fired power plants</v>
      </c>
      <c r="G598" s="76" t="str">
        <f>B595</f>
        <v>Steam turbine</v>
      </c>
      <c r="H598" s="76" t="str">
        <f>C595</f>
        <v>Electricity only</v>
      </c>
      <c r="I598" s="161" t="str">
        <f t="shared" si="85"/>
        <v>XS</v>
      </c>
      <c r="J598" s="76">
        <v>5.5566000000000004E-2</v>
      </c>
      <c r="K598" s="76">
        <v>5.5566000000000004E-2</v>
      </c>
      <c r="L598" s="76">
        <v>5.5566000000000004E-2</v>
      </c>
      <c r="M598" s="76">
        <v>5.5566000000000004E-2</v>
      </c>
      <c r="N598" s="76">
        <v>5.5566000000000004E-2</v>
      </c>
      <c r="O598" s="76">
        <v>5.5566000000000004E-2</v>
      </c>
      <c r="P598" s="76">
        <v>5.5566000000000004E-2</v>
      </c>
      <c r="Q598" s="76">
        <v>5.5566000000000004E-2</v>
      </c>
      <c r="R598" s="76">
        <v>5.5566000000000004E-2</v>
      </c>
      <c r="S598" s="76">
        <v>5.5566000000000004E-2</v>
      </c>
      <c r="T598" s="76">
        <v>5.5566000000000004E-2</v>
      </c>
      <c r="U598" s="76">
        <v>5.5566000000000004E-2</v>
      </c>
      <c r="V598" s="76">
        <v>5.5566000000000004E-2</v>
      </c>
      <c r="W598" s="76">
        <v>5.5566000000000004E-2</v>
      </c>
      <c r="X598" s="76">
        <v>5.5566000000000004E-2</v>
      </c>
      <c r="Y598" s="76">
        <v>5.5566000000000004E-2</v>
      </c>
      <c r="Z598" s="76">
        <v>5.5566000000000004E-2</v>
      </c>
      <c r="AA598" s="76">
        <v>5.5566000000000004E-2</v>
      </c>
      <c r="AB598" s="76">
        <v>5.5566000000000004E-2</v>
      </c>
      <c r="AC598" s="76">
        <v>5.5566000000000004E-2</v>
      </c>
      <c r="AD598" s="76">
        <v>5.5566000000000004E-2</v>
      </c>
      <c r="AE598" s="76">
        <v>5.5566000000000004E-2</v>
      </c>
      <c r="AF598" s="76">
        <v>5.5566000000000004E-2</v>
      </c>
      <c r="AG598" s="76">
        <v>5.5566000000000004E-2</v>
      </c>
      <c r="AH598" s="76">
        <v>5.5566000000000004E-2</v>
      </c>
      <c r="AI598" s="76">
        <v>5.5566000000000004E-2</v>
      </c>
      <c r="AJ598" s="76">
        <v>5.5566000000000004E-2</v>
      </c>
      <c r="AK598" s="76">
        <v>5.5566000000000004E-2</v>
      </c>
      <c r="AL598" s="76">
        <v>5.5566000000000004E-2</v>
      </c>
      <c r="AM598" s="76">
        <v>5.5566000000000004E-2</v>
      </c>
      <c r="AN598" s="76">
        <v>5.5566000000000004E-2</v>
      </c>
      <c r="AO598" s="76">
        <v>5.5566000000000004E-2</v>
      </c>
      <c r="AP598" s="76">
        <v>5.5566000000000004E-2</v>
      </c>
      <c r="AQ598" s="76">
        <v>5.5566000000000004E-2</v>
      </c>
      <c r="AR598" s="76">
        <v>5.5566000000000004E-2</v>
      </c>
      <c r="AS598" s="76">
        <v>5.5566000000000004E-2</v>
      </c>
      <c r="AT598" s="76">
        <v>5.5566000000000004E-2</v>
      </c>
      <c r="AU598" s="76">
        <v>5.5566000000000004E-2</v>
      </c>
      <c r="AV598" s="76">
        <v>5.5566000000000004E-2</v>
      </c>
      <c r="AW598" s="76">
        <v>5.5566000000000004E-2</v>
      </c>
      <c r="AX598" s="84">
        <v>5.5566000000000004E-2</v>
      </c>
    </row>
    <row r="599" spans="1:50" x14ac:dyDescent="0.25">
      <c r="A599" s="356"/>
      <c r="B599" s="359"/>
      <c r="C599" s="361" t="s">
        <v>14</v>
      </c>
      <c r="D599" s="58" t="s">
        <v>7</v>
      </c>
      <c r="E599" s="164" t="str">
        <f>A579&amp;"/"&amp;B595&amp;"/"&amp;C599&amp;"/"&amp;D599</f>
        <v>Fuel oil fired power plants/Steam turbine/CHP/L</v>
      </c>
      <c r="F599" s="78" t="str">
        <f>A579</f>
        <v>Fuel oil fired power plants</v>
      </c>
      <c r="G599" s="78" t="str">
        <f>B595</f>
        <v>Steam turbine</v>
      </c>
      <c r="H599" s="78" t="str">
        <f>C599</f>
        <v>CHP</v>
      </c>
      <c r="I599" s="165" t="str">
        <f t="shared" ref="I599:I662" si="86">D599</f>
        <v>L</v>
      </c>
      <c r="J599" s="78">
        <v>5.2800000000000007E-2</v>
      </c>
      <c r="K599" s="78">
        <v>5.2800000000000007E-2</v>
      </c>
      <c r="L599" s="78">
        <v>5.2800000000000007E-2</v>
      </c>
      <c r="M599" s="78">
        <v>5.2800000000000007E-2</v>
      </c>
      <c r="N599" s="78">
        <v>5.2800000000000007E-2</v>
      </c>
      <c r="O599" s="78">
        <v>5.2800000000000007E-2</v>
      </c>
      <c r="P599" s="78">
        <v>5.2800000000000007E-2</v>
      </c>
      <c r="Q599" s="78">
        <v>5.2800000000000007E-2</v>
      </c>
      <c r="R599" s="78">
        <v>5.2800000000000007E-2</v>
      </c>
      <c r="S599" s="78">
        <v>5.2800000000000007E-2</v>
      </c>
      <c r="T599" s="78">
        <v>5.2800000000000007E-2</v>
      </c>
      <c r="U599" s="78">
        <v>5.2800000000000007E-2</v>
      </c>
      <c r="V599" s="78">
        <v>5.2800000000000007E-2</v>
      </c>
      <c r="W599" s="78">
        <v>5.2800000000000007E-2</v>
      </c>
      <c r="X599" s="78">
        <v>5.2800000000000007E-2</v>
      </c>
      <c r="Y599" s="78">
        <v>5.2800000000000007E-2</v>
      </c>
      <c r="Z599" s="78">
        <v>5.2800000000000007E-2</v>
      </c>
      <c r="AA599" s="78">
        <v>5.2800000000000007E-2</v>
      </c>
      <c r="AB599" s="78">
        <v>5.2800000000000007E-2</v>
      </c>
      <c r="AC599" s="78">
        <v>5.2800000000000007E-2</v>
      </c>
      <c r="AD599" s="78">
        <v>5.2800000000000007E-2</v>
      </c>
      <c r="AE599" s="78">
        <v>5.2800000000000007E-2</v>
      </c>
      <c r="AF599" s="78">
        <v>5.2800000000000007E-2</v>
      </c>
      <c r="AG599" s="78">
        <v>5.2800000000000007E-2</v>
      </c>
      <c r="AH599" s="78">
        <v>5.2800000000000007E-2</v>
      </c>
      <c r="AI599" s="78">
        <v>5.2800000000000007E-2</v>
      </c>
      <c r="AJ599" s="78">
        <v>5.2800000000000007E-2</v>
      </c>
      <c r="AK599" s="78">
        <v>5.2800000000000007E-2</v>
      </c>
      <c r="AL599" s="78">
        <v>5.2800000000000007E-2</v>
      </c>
      <c r="AM599" s="78">
        <v>5.2800000000000007E-2</v>
      </c>
      <c r="AN599" s="78">
        <v>5.2800000000000007E-2</v>
      </c>
      <c r="AO599" s="78">
        <v>5.2800000000000007E-2</v>
      </c>
      <c r="AP599" s="78">
        <v>5.2800000000000007E-2</v>
      </c>
      <c r="AQ599" s="78">
        <v>5.2800000000000007E-2</v>
      </c>
      <c r="AR599" s="78">
        <v>5.2800000000000007E-2</v>
      </c>
      <c r="AS599" s="78">
        <v>5.2800000000000007E-2</v>
      </c>
      <c r="AT599" s="78">
        <v>5.2800000000000007E-2</v>
      </c>
      <c r="AU599" s="78">
        <v>5.2800000000000007E-2</v>
      </c>
      <c r="AV599" s="78">
        <v>5.2800000000000007E-2</v>
      </c>
      <c r="AW599" s="78">
        <v>5.2800000000000007E-2</v>
      </c>
      <c r="AX599" s="86">
        <v>5.2800000000000007E-2</v>
      </c>
    </row>
    <row r="600" spans="1:50" x14ac:dyDescent="0.25">
      <c r="A600" s="356"/>
      <c r="B600" s="359"/>
      <c r="C600" s="350"/>
      <c r="D600" s="2" t="s">
        <v>8</v>
      </c>
      <c r="E600" s="160" t="str">
        <f>A579&amp;"/"&amp;B595&amp;"/"&amp;C599&amp;"/"&amp;D600</f>
        <v>Fuel oil fired power plants/Steam turbine/CHP/M</v>
      </c>
      <c r="F600" s="76" t="str">
        <f>A579</f>
        <v>Fuel oil fired power plants</v>
      </c>
      <c r="G600" s="76" t="str">
        <f>B595</f>
        <v>Steam turbine</v>
      </c>
      <c r="H600" s="76" t="str">
        <f>C599</f>
        <v>CHP</v>
      </c>
      <c r="I600" s="161" t="str">
        <f t="shared" si="86"/>
        <v>M</v>
      </c>
      <c r="J600" s="76">
        <v>5.5440000000000003E-2</v>
      </c>
      <c r="K600" s="76">
        <v>5.5440000000000003E-2</v>
      </c>
      <c r="L600" s="76">
        <v>5.5440000000000003E-2</v>
      </c>
      <c r="M600" s="76">
        <v>5.5440000000000003E-2</v>
      </c>
      <c r="N600" s="76">
        <v>5.5440000000000003E-2</v>
      </c>
      <c r="O600" s="76">
        <v>5.5440000000000003E-2</v>
      </c>
      <c r="P600" s="76">
        <v>5.5440000000000003E-2</v>
      </c>
      <c r="Q600" s="76">
        <v>5.5440000000000003E-2</v>
      </c>
      <c r="R600" s="76">
        <v>5.5440000000000003E-2</v>
      </c>
      <c r="S600" s="76">
        <v>5.5440000000000003E-2</v>
      </c>
      <c r="T600" s="76">
        <v>5.5440000000000003E-2</v>
      </c>
      <c r="U600" s="76">
        <v>5.5440000000000003E-2</v>
      </c>
      <c r="V600" s="76">
        <v>5.5440000000000003E-2</v>
      </c>
      <c r="W600" s="76">
        <v>5.5440000000000003E-2</v>
      </c>
      <c r="X600" s="76">
        <v>5.5440000000000003E-2</v>
      </c>
      <c r="Y600" s="76">
        <v>5.5440000000000003E-2</v>
      </c>
      <c r="Z600" s="76">
        <v>5.5440000000000003E-2</v>
      </c>
      <c r="AA600" s="76">
        <v>5.5440000000000003E-2</v>
      </c>
      <c r="AB600" s="76">
        <v>5.5440000000000003E-2</v>
      </c>
      <c r="AC600" s="76">
        <v>5.5440000000000003E-2</v>
      </c>
      <c r="AD600" s="76">
        <v>5.5440000000000003E-2</v>
      </c>
      <c r="AE600" s="76">
        <v>5.5440000000000003E-2</v>
      </c>
      <c r="AF600" s="76">
        <v>5.5440000000000003E-2</v>
      </c>
      <c r="AG600" s="76">
        <v>5.5440000000000003E-2</v>
      </c>
      <c r="AH600" s="76">
        <v>5.5440000000000003E-2</v>
      </c>
      <c r="AI600" s="76">
        <v>5.5440000000000003E-2</v>
      </c>
      <c r="AJ600" s="76">
        <v>5.5440000000000003E-2</v>
      </c>
      <c r="AK600" s="76">
        <v>5.5440000000000003E-2</v>
      </c>
      <c r="AL600" s="76">
        <v>5.5440000000000003E-2</v>
      </c>
      <c r="AM600" s="76">
        <v>5.5440000000000003E-2</v>
      </c>
      <c r="AN600" s="76">
        <v>5.5440000000000003E-2</v>
      </c>
      <c r="AO600" s="76">
        <v>5.5440000000000003E-2</v>
      </c>
      <c r="AP600" s="76">
        <v>5.5440000000000003E-2</v>
      </c>
      <c r="AQ600" s="76">
        <v>5.5440000000000003E-2</v>
      </c>
      <c r="AR600" s="76">
        <v>5.5440000000000003E-2</v>
      </c>
      <c r="AS600" s="76">
        <v>5.5440000000000003E-2</v>
      </c>
      <c r="AT600" s="76">
        <v>5.5440000000000003E-2</v>
      </c>
      <c r="AU600" s="76">
        <v>5.5440000000000003E-2</v>
      </c>
      <c r="AV600" s="76">
        <v>5.5440000000000003E-2</v>
      </c>
      <c r="AW600" s="76">
        <v>5.5440000000000003E-2</v>
      </c>
      <c r="AX600" s="84">
        <v>5.5440000000000003E-2</v>
      </c>
    </row>
    <row r="601" spans="1:50" x14ac:dyDescent="0.25">
      <c r="A601" s="356"/>
      <c r="B601" s="359"/>
      <c r="C601" s="350"/>
      <c r="D601" s="2" t="s">
        <v>10</v>
      </c>
      <c r="E601" s="160" t="str">
        <f>A579&amp;"/"&amp;B595&amp;"/"&amp;C599&amp;"/"&amp;D601</f>
        <v>Fuel oil fired power plants/Steam turbine/CHP/S</v>
      </c>
      <c r="F601" s="76" t="str">
        <f>A579</f>
        <v>Fuel oil fired power plants</v>
      </c>
      <c r="G601" s="76" t="str">
        <f>B595</f>
        <v>Steam turbine</v>
      </c>
      <c r="H601" s="76" t="str">
        <f>C599</f>
        <v>CHP</v>
      </c>
      <c r="I601" s="161" t="str">
        <f t="shared" si="86"/>
        <v>S</v>
      </c>
      <c r="J601" s="76">
        <v>5.8212000000000007E-2</v>
      </c>
      <c r="K601" s="76">
        <v>5.8212000000000007E-2</v>
      </c>
      <c r="L601" s="76">
        <v>5.8212000000000007E-2</v>
      </c>
      <c r="M601" s="76">
        <v>5.8212000000000007E-2</v>
      </c>
      <c r="N601" s="76">
        <v>5.8212000000000007E-2</v>
      </c>
      <c r="O601" s="76">
        <v>5.8212000000000007E-2</v>
      </c>
      <c r="P601" s="76">
        <v>5.8212000000000007E-2</v>
      </c>
      <c r="Q601" s="76">
        <v>5.8212000000000007E-2</v>
      </c>
      <c r="R601" s="76">
        <v>5.8212000000000007E-2</v>
      </c>
      <c r="S601" s="76">
        <v>5.8212000000000007E-2</v>
      </c>
      <c r="T601" s="76">
        <v>5.8212000000000007E-2</v>
      </c>
      <c r="U601" s="76">
        <v>5.8212000000000007E-2</v>
      </c>
      <c r="V601" s="76">
        <v>5.8212000000000007E-2</v>
      </c>
      <c r="W601" s="76">
        <v>5.8212000000000007E-2</v>
      </c>
      <c r="X601" s="76">
        <v>5.8212000000000007E-2</v>
      </c>
      <c r="Y601" s="76">
        <v>5.8212000000000007E-2</v>
      </c>
      <c r="Z601" s="76">
        <v>5.8212000000000007E-2</v>
      </c>
      <c r="AA601" s="76">
        <v>5.8212000000000007E-2</v>
      </c>
      <c r="AB601" s="76">
        <v>5.8212000000000007E-2</v>
      </c>
      <c r="AC601" s="76">
        <v>5.8212000000000007E-2</v>
      </c>
      <c r="AD601" s="76">
        <v>5.8212000000000007E-2</v>
      </c>
      <c r="AE601" s="76">
        <v>5.8212000000000007E-2</v>
      </c>
      <c r="AF601" s="76">
        <v>5.8212000000000007E-2</v>
      </c>
      <c r="AG601" s="76">
        <v>5.8212000000000007E-2</v>
      </c>
      <c r="AH601" s="76">
        <v>5.8212000000000007E-2</v>
      </c>
      <c r="AI601" s="76">
        <v>5.8212000000000007E-2</v>
      </c>
      <c r="AJ601" s="76">
        <v>5.8212000000000007E-2</v>
      </c>
      <c r="AK601" s="76">
        <v>5.8212000000000007E-2</v>
      </c>
      <c r="AL601" s="76">
        <v>5.8212000000000007E-2</v>
      </c>
      <c r="AM601" s="76">
        <v>5.8212000000000007E-2</v>
      </c>
      <c r="AN601" s="76">
        <v>5.8212000000000007E-2</v>
      </c>
      <c r="AO601" s="76">
        <v>5.8212000000000007E-2</v>
      </c>
      <c r="AP601" s="76">
        <v>5.8212000000000007E-2</v>
      </c>
      <c r="AQ601" s="76">
        <v>5.8212000000000007E-2</v>
      </c>
      <c r="AR601" s="76">
        <v>5.8212000000000007E-2</v>
      </c>
      <c r="AS601" s="76">
        <v>5.8212000000000007E-2</v>
      </c>
      <c r="AT601" s="76">
        <v>5.8212000000000007E-2</v>
      </c>
      <c r="AU601" s="76">
        <v>5.8212000000000007E-2</v>
      </c>
      <c r="AV601" s="76">
        <v>5.8212000000000007E-2</v>
      </c>
      <c r="AW601" s="76">
        <v>5.8212000000000007E-2</v>
      </c>
      <c r="AX601" s="84">
        <v>5.8212000000000007E-2</v>
      </c>
    </row>
    <row r="602" spans="1:50" x14ac:dyDescent="0.25">
      <c r="A602" s="356"/>
      <c r="B602" s="359"/>
      <c r="C602" s="360"/>
      <c r="D602" s="59" t="s">
        <v>20</v>
      </c>
      <c r="E602" s="166" t="str">
        <f>A579&amp;"/"&amp;B595&amp;"/"&amp;C599&amp;"/"&amp;D602</f>
        <v>Fuel oil fired power plants/Steam turbine/CHP/XS</v>
      </c>
      <c r="F602" s="79" t="str">
        <f>A579</f>
        <v>Fuel oil fired power plants</v>
      </c>
      <c r="G602" s="79" t="str">
        <f>B595</f>
        <v>Steam turbine</v>
      </c>
      <c r="H602" s="79" t="str">
        <f>C599</f>
        <v>CHP</v>
      </c>
      <c r="I602" s="167" t="str">
        <f t="shared" si="86"/>
        <v>XS</v>
      </c>
      <c r="J602" s="79">
        <v>6.1122600000000013E-2</v>
      </c>
      <c r="K602" s="79">
        <v>6.1122600000000013E-2</v>
      </c>
      <c r="L602" s="79">
        <v>6.1122600000000013E-2</v>
      </c>
      <c r="M602" s="79">
        <v>6.1122600000000013E-2</v>
      </c>
      <c r="N602" s="79">
        <v>6.1122600000000013E-2</v>
      </c>
      <c r="O602" s="79">
        <v>6.1122600000000013E-2</v>
      </c>
      <c r="P602" s="79">
        <v>6.1122600000000013E-2</v>
      </c>
      <c r="Q602" s="79">
        <v>6.1122600000000013E-2</v>
      </c>
      <c r="R602" s="79">
        <v>6.1122600000000013E-2</v>
      </c>
      <c r="S602" s="79">
        <v>6.1122600000000013E-2</v>
      </c>
      <c r="T602" s="79">
        <v>6.1122600000000013E-2</v>
      </c>
      <c r="U602" s="79">
        <v>6.1122600000000013E-2</v>
      </c>
      <c r="V602" s="79">
        <v>6.1122600000000013E-2</v>
      </c>
      <c r="W602" s="79">
        <v>6.1122600000000013E-2</v>
      </c>
      <c r="X602" s="79">
        <v>6.1122600000000013E-2</v>
      </c>
      <c r="Y602" s="79">
        <v>6.1122600000000013E-2</v>
      </c>
      <c r="Z602" s="79">
        <v>6.1122600000000013E-2</v>
      </c>
      <c r="AA602" s="79">
        <v>6.1122600000000013E-2</v>
      </c>
      <c r="AB602" s="79">
        <v>6.1122600000000013E-2</v>
      </c>
      <c r="AC602" s="79">
        <v>6.1122600000000013E-2</v>
      </c>
      <c r="AD602" s="79">
        <v>6.1122600000000013E-2</v>
      </c>
      <c r="AE602" s="79">
        <v>6.1122600000000013E-2</v>
      </c>
      <c r="AF602" s="79">
        <v>6.1122600000000013E-2</v>
      </c>
      <c r="AG602" s="79">
        <v>6.1122600000000013E-2</v>
      </c>
      <c r="AH602" s="79">
        <v>6.1122600000000013E-2</v>
      </c>
      <c r="AI602" s="79">
        <v>6.1122600000000013E-2</v>
      </c>
      <c r="AJ602" s="79">
        <v>6.1122600000000013E-2</v>
      </c>
      <c r="AK602" s="79">
        <v>6.1122600000000013E-2</v>
      </c>
      <c r="AL602" s="79">
        <v>6.1122600000000013E-2</v>
      </c>
      <c r="AM602" s="79">
        <v>6.1122600000000013E-2</v>
      </c>
      <c r="AN602" s="79">
        <v>6.1122600000000013E-2</v>
      </c>
      <c r="AO602" s="79">
        <v>6.1122600000000013E-2</v>
      </c>
      <c r="AP602" s="79">
        <v>6.1122600000000013E-2</v>
      </c>
      <c r="AQ602" s="79">
        <v>6.1122600000000013E-2</v>
      </c>
      <c r="AR602" s="79">
        <v>6.1122600000000013E-2</v>
      </c>
      <c r="AS602" s="79">
        <v>6.1122600000000013E-2</v>
      </c>
      <c r="AT602" s="79">
        <v>6.1122600000000013E-2</v>
      </c>
      <c r="AU602" s="79">
        <v>6.1122600000000013E-2</v>
      </c>
      <c r="AV602" s="79">
        <v>6.1122600000000013E-2</v>
      </c>
      <c r="AW602" s="79">
        <v>6.1122600000000013E-2</v>
      </c>
      <c r="AX602" s="87">
        <v>6.1122600000000013E-2</v>
      </c>
    </row>
    <row r="603" spans="1:50" x14ac:dyDescent="0.25">
      <c r="A603" s="356"/>
      <c r="B603" s="359"/>
      <c r="C603" s="361" t="s">
        <v>15</v>
      </c>
      <c r="D603" s="58" t="s">
        <v>7</v>
      </c>
      <c r="E603" s="164" t="str">
        <f>A579&amp;"/"&amp;B595&amp;"/"&amp;C603&amp;"/"&amp;D603</f>
        <v>Fuel oil fired power plants/Steam turbine/Electricity only with CCS/L</v>
      </c>
      <c r="F603" s="78" t="str">
        <f>A579</f>
        <v>Fuel oil fired power plants</v>
      </c>
      <c r="G603" s="78" t="str">
        <f>B595</f>
        <v>Steam turbine</v>
      </c>
      <c r="H603" s="78" t="str">
        <f>C603</f>
        <v>Electricity only with CCS</v>
      </c>
      <c r="I603" s="165" t="str">
        <f t="shared" si="86"/>
        <v>L</v>
      </c>
      <c r="J603" s="78" t="s">
        <v>112</v>
      </c>
      <c r="K603" s="78" t="s">
        <v>112</v>
      </c>
      <c r="L603" s="78" t="s">
        <v>112</v>
      </c>
      <c r="M603" s="78" t="s">
        <v>112</v>
      </c>
      <c r="N603" s="78" t="s">
        <v>112</v>
      </c>
      <c r="O603" s="78" t="s">
        <v>112</v>
      </c>
      <c r="P603" s="78" t="s">
        <v>112</v>
      </c>
      <c r="Q603" s="78" t="s">
        <v>112</v>
      </c>
      <c r="R603" s="78" t="s">
        <v>112</v>
      </c>
      <c r="S603" s="78" t="s">
        <v>112</v>
      </c>
      <c r="T603" s="78" t="s">
        <v>112</v>
      </c>
      <c r="U603" s="78" t="s">
        <v>112</v>
      </c>
      <c r="V603" s="78" t="s">
        <v>112</v>
      </c>
      <c r="W603" s="78" t="s">
        <v>112</v>
      </c>
      <c r="X603" s="78" t="s">
        <v>112</v>
      </c>
      <c r="Y603" s="78" t="s">
        <v>112</v>
      </c>
      <c r="Z603" s="78" t="s">
        <v>112</v>
      </c>
      <c r="AA603" s="78" t="s">
        <v>112</v>
      </c>
      <c r="AB603" s="78" t="s">
        <v>112</v>
      </c>
      <c r="AC603" s="78" t="s">
        <v>112</v>
      </c>
      <c r="AD603" s="78" t="s">
        <v>112</v>
      </c>
      <c r="AE603" s="78">
        <v>0.24</v>
      </c>
      <c r="AF603" s="78">
        <v>0.24</v>
      </c>
      <c r="AG603" s="78">
        <v>0.24</v>
      </c>
      <c r="AH603" s="78">
        <v>0.24</v>
      </c>
      <c r="AI603" s="78">
        <v>0.24</v>
      </c>
      <c r="AJ603" s="78">
        <v>0.24</v>
      </c>
      <c r="AK603" s="78">
        <v>0.24</v>
      </c>
      <c r="AL603" s="78">
        <v>0.24</v>
      </c>
      <c r="AM603" s="78">
        <v>0.24</v>
      </c>
      <c r="AN603" s="78">
        <v>0.24</v>
      </c>
      <c r="AO603" s="78">
        <v>0.24</v>
      </c>
      <c r="AP603" s="78">
        <v>0.24</v>
      </c>
      <c r="AQ603" s="78">
        <v>0.24</v>
      </c>
      <c r="AR603" s="78">
        <v>0.24</v>
      </c>
      <c r="AS603" s="78">
        <v>0.24</v>
      </c>
      <c r="AT603" s="78">
        <v>0.24</v>
      </c>
      <c r="AU603" s="78">
        <v>0.24</v>
      </c>
      <c r="AV603" s="78">
        <v>0.24</v>
      </c>
      <c r="AW603" s="78">
        <v>0.24</v>
      </c>
      <c r="AX603" s="86">
        <v>0.24</v>
      </c>
    </row>
    <row r="604" spans="1:50" x14ac:dyDescent="0.25">
      <c r="A604" s="356"/>
      <c r="B604" s="359"/>
      <c r="C604" s="360"/>
      <c r="D604" s="59" t="s">
        <v>8</v>
      </c>
      <c r="E604" s="166" t="str">
        <f>A579&amp;"/"&amp;B595&amp;"/"&amp;C603&amp;"/"&amp;D604</f>
        <v>Fuel oil fired power plants/Steam turbine/Electricity only with CCS/M</v>
      </c>
      <c r="F604" s="79" t="str">
        <f>A579</f>
        <v>Fuel oil fired power plants</v>
      </c>
      <c r="G604" s="79" t="str">
        <f>B595</f>
        <v>Steam turbine</v>
      </c>
      <c r="H604" s="79" t="str">
        <f>C603</f>
        <v>Electricity only with CCS</v>
      </c>
      <c r="I604" s="167" t="str">
        <f t="shared" si="86"/>
        <v>M</v>
      </c>
      <c r="J604" s="79" t="s">
        <v>112</v>
      </c>
      <c r="K604" s="79" t="s">
        <v>112</v>
      </c>
      <c r="L604" s="79" t="s">
        <v>112</v>
      </c>
      <c r="M604" s="79" t="s">
        <v>112</v>
      </c>
      <c r="N604" s="79" t="s">
        <v>112</v>
      </c>
      <c r="O604" s="79" t="s">
        <v>112</v>
      </c>
      <c r="P604" s="79" t="s">
        <v>112</v>
      </c>
      <c r="Q604" s="79" t="s">
        <v>112</v>
      </c>
      <c r="R604" s="79" t="s">
        <v>112</v>
      </c>
      <c r="S604" s="79" t="s">
        <v>112</v>
      </c>
      <c r="T604" s="79" t="s">
        <v>112</v>
      </c>
      <c r="U604" s="79" t="s">
        <v>112</v>
      </c>
      <c r="V604" s="79" t="s">
        <v>112</v>
      </c>
      <c r="W604" s="79" t="s">
        <v>112</v>
      </c>
      <c r="X604" s="79" t="s">
        <v>112</v>
      </c>
      <c r="Y604" s="79" t="s">
        <v>112</v>
      </c>
      <c r="Z604" s="79" t="s">
        <v>112</v>
      </c>
      <c r="AA604" s="79" t="s">
        <v>112</v>
      </c>
      <c r="AB604" s="79" t="s">
        <v>112</v>
      </c>
      <c r="AC604" s="79" t="s">
        <v>112</v>
      </c>
      <c r="AD604" s="79" t="s">
        <v>112</v>
      </c>
      <c r="AE604" s="79">
        <v>0.252</v>
      </c>
      <c r="AF604" s="79">
        <v>0.252</v>
      </c>
      <c r="AG604" s="79">
        <v>0.252</v>
      </c>
      <c r="AH604" s="79">
        <v>0.252</v>
      </c>
      <c r="AI604" s="79">
        <v>0.252</v>
      </c>
      <c r="AJ604" s="79">
        <v>0.252</v>
      </c>
      <c r="AK604" s="79">
        <v>0.252</v>
      </c>
      <c r="AL604" s="79">
        <v>0.252</v>
      </c>
      <c r="AM604" s="79">
        <v>0.252</v>
      </c>
      <c r="AN604" s="79">
        <v>0.252</v>
      </c>
      <c r="AO604" s="79">
        <v>0.252</v>
      </c>
      <c r="AP604" s="79">
        <v>0.252</v>
      </c>
      <c r="AQ604" s="79">
        <v>0.252</v>
      </c>
      <c r="AR604" s="79">
        <v>0.252</v>
      </c>
      <c r="AS604" s="79">
        <v>0.252</v>
      </c>
      <c r="AT604" s="79">
        <v>0.252</v>
      </c>
      <c r="AU604" s="79">
        <v>0.252</v>
      </c>
      <c r="AV604" s="79">
        <v>0.252</v>
      </c>
      <c r="AW604" s="79">
        <v>0.252</v>
      </c>
      <c r="AX604" s="87">
        <v>0.252</v>
      </c>
    </row>
    <row r="605" spans="1:50" x14ac:dyDescent="0.25">
      <c r="A605" s="356"/>
      <c r="B605" s="359"/>
      <c r="C605" s="361" t="s">
        <v>16</v>
      </c>
      <c r="D605" s="2" t="s">
        <v>7</v>
      </c>
      <c r="E605" s="160" t="str">
        <f>A579&amp;"/"&amp;B595&amp;"/"&amp;C605&amp;"/"&amp;D605</f>
        <v>Fuel oil fired power plants/Steam turbine/CHP with CCS/L</v>
      </c>
      <c r="F605" s="76" t="str">
        <f>A579</f>
        <v>Fuel oil fired power plants</v>
      </c>
      <c r="G605" s="76" t="str">
        <f>B595</f>
        <v>Steam turbine</v>
      </c>
      <c r="H605" s="76" t="str">
        <f>C605</f>
        <v>CHP with CCS</v>
      </c>
      <c r="I605" s="161" t="str">
        <f t="shared" si="86"/>
        <v>L</v>
      </c>
      <c r="J605" s="76" t="s">
        <v>112</v>
      </c>
      <c r="K605" s="76" t="s">
        <v>112</v>
      </c>
      <c r="L605" s="76" t="s">
        <v>112</v>
      </c>
      <c r="M605" s="76" t="s">
        <v>112</v>
      </c>
      <c r="N605" s="76" t="s">
        <v>112</v>
      </c>
      <c r="O605" s="76" t="s">
        <v>112</v>
      </c>
      <c r="P605" s="76" t="s">
        <v>112</v>
      </c>
      <c r="Q605" s="76" t="s">
        <v>112</v>
      </c>
      <c r="R605" s="76" t="s">
        <v>112</v>
      </c>
      <c r="S605" s="76" t="s">
        <v>112</v>
      </c>
      <c r="T605" s="76" t="s">
        <v>112</v>
      </c>
      <c r="U605" s="76" t="s">
        <v>112</v>
      </c>
      <c r="V605" s="76" t="s">
        <v>112</v>
      </c>
      <c r="W605" s="76" t="s">
        <v>112</v>
      </c>
      <c r="X605" s="76" t="s">
        <v>112</v>
      </c>
      <c r="Y605" s="76" t="s">
        <v>112</v>
      </c>
      <c r="Z605" s="76" t="s">
        <v>112</v>
      </c>
      <c r="AA605" s="76" t="s">
        <v>112</v>
      </c>
      <c r="AB605" s="76" t="s">
        <v>112</v>
      </c>
      <c r="AC605" s="76" t="s">
        <v>112</v>
      </c>
      <c r="AD605" s="76" t="s">
        <v>112</v>
      </c>
      <c r="AE605" s="76">
        <v>0.26400000000000001</v>
      </c>
      <c r="AF605" s="76">
        <v>0.26400000000000001</v>
      </c>
      <c r="AG605" s="76">
        <v>0.26400000000000001</v>
      </c>
      <c r="AH605" s="76">
        <v>0.26400000000000001</v>
      </c>
      <c r="AI605" s="76">
        <v>0.26400000000000001</v>
      </c>
      <c r="AJ605" s="76">
        <v>0.26400000000000001</v>
      </c>
      <c r="AK605" s="76">
        <v>0.26400000000000001</v>
      </c>
      <c r="AL605" s="76">
        <v>0.26400000000000001</v>
      </c>
      <c r="AM605" s="76">
        <v>0.26400000000000001</v>
      </c>
      <c r="AN605" s="76">
        <v>0.26400000000000001</v>
      </c>
      <c r="AO605" s="76">
        <v>0.26400000000000001</v>
      </c>
      <c r="AP605" s="76">
        <v>0.26400000000000001</v>
      </c>
      <c r="AQ605" s="76">
        <v>0.26400000000000001</v>
      </c>
      <c r="AR605" s="76">
        <v>0.26400000000000001</v>
      </c>
      <c r="AS605" s="76">
        <v>0.26400000000000001</v>
      </c>
      <c r="AT605" s="76">
        <v>0.26400000000000001</v>
      </c>
      <c r="AU605" s="76">
        <v>0.26400000000000001</v>
      </c>
      <c r="AV605" s="76">
        <v>0.26400000000000001</v>
      </c>
      <c r="AW605" s="76">
        <v>0.26400000000000001</v>
      </c>
      <c r="AX605" s="84">
        <v>0.26400000000000001</v>
      </c>
    </row>
    <row r="606" spans="1:50" x14ac:dyDescent="0.25">
      <c r="A606" s="357"/>
      <c r="B606" s="362"/>
      <c r="C606" s="354"/>
      <c r="D606" s="4" t="s">
        <v>8</v>
      </c>
      <c r="E606" s="168" t="str">
        <f>A579&amp;"/"&amp;B595&amp;"/"&amp;C605&amp;"/"&amp;D606</f>
        <v>Fuel oil fired power plants/Steam turbine/CHP with CCS/M</v>
      </c>
      <c r="F606" s="80" t="str">
        <f>A579</f>
        <v>Fuel oil fired power plants</v>
      </c>
      <c r="G606" s="80" t="str">
        <f>B595</f>
        <v>Steam turbine</v>
      </c>
      <c r="H606" s="80" t="str">
        <f>C605</f>
        <v>CHP with CCS</v>
      </c>
      <c r="I606" s="169" t="str">
        <f t="shared" si="86"/>
        <v>M</v>
      </c>
      <c r="J606" s="80" t="s">
        <v>112</v>
      </c>
      <c r="K606" s="80" t="s">
        <v>112</v>
      </c>
      <c r="L606" s="80" t="s">
        <v>112</v>
      </c>
      <c r="M606" s="80" t="s">
        <v>112</v>
      </c>
      <c r="N606" s="80" t="s">
        <v>112</v>
      </c>
      <c r="O606" s="80" t="s">
        <v>112</v>
      </c>
      <c r="P606" s="80" t="s">
        <v>112</v>
      </c>
      <c r="Q606" s="80" t="s">
        <v>112</v>
      </c>
      <c r="R606" s="80" t="s">
        <v>112</v>
      </c>
      <c r="S606" s="80" t="s">
        <v>112</v>
      </c>
      <c r="T606" s="80" t="s">
        <v>112</v>
      </c>
      <c r="U606" s="80" t="s">
        <v>112</v>
      </c>
      <c r="V606" s="80" t="s">
        <v>112</v>
      </c>
      <c r="W606" s="80" t="s">
        <v>112</v>
      </c>
      <c r="X606" s="80" t="s">
        <v>112</v>
      </c>
      <c r="Y606" s="80" t="s">
        <v>112</v>
      </c>
      <c r="Z606" s="80" t="s">
        <v>112</v>
      </c>
      <c r="AA606" s="80" t="s">
        <v>112</v>
      </c>
      <c r="AB606" s="80" t="s">
        <v>112</v>
      </c>
      <c r="AC606" s="80" t="s">
        <v>112</v>
      </c>
      <c r="AD606" s="80" t="s">
        <v>112</v>
      </c>
      <c r="AE606" s="80">
        <v>0.2772</v>
      </c>
      <c r="AF606" s="80">
        <v>0.2772</v>
      </c>
      <c r="AG606" s="80">
        <v>0.2772</v>
      </c>
      <c r="AH606" s="80">
        <v>0.2772</v>
      </c>
      <c r="AI606" s="80">
        <v>0.2772</v>
      </c>
      <c r="AJ606" s="80">
        <v>0.2772</v>
      </c>
      <c r="AK606" s="80">
        <v>0.2772</v>
      </c>
      <c r="AL606" s="80">
        <v>0.2772</v>
      </c>
      <c r="AM606" s="80">
        <v>0.2772</v>
      </c>
      <c r="AN606" s="80">
        <v>0.2772</v>
      </c>
      <c r="AO606" s="80">
        <v>0.2772</v>
      </c>
      <c r="AP606" s="80">
        <v>0.2772</v>
      </c>
      <c r="AQ606" s="80">
        <v>0.2772</v>
      </c>
      <c r="AR606" s="80">
        <v>0.2772</v>
      </c>
      <c r="AS606" s="80">
        <v>0.2772</v>
      </c>
      <c r="AT606" s="80">
        <v>0.2772</v>
      </c>
      <c r="AU606" s="80">
        <v>0.2772</v>
      </c>
      <c r="AV606" s="80">
        <v>0.2772</v>
      </c>
      <c r="AW606" s="80">
        <v>0.2772</v>
      </c>
      <c r="AX606" s="88">
        <v>0.2772</v>
      </c>
    </row>
    <row r="607" spans="1:50" x14ac:dyDescent="0.25">
      <c r="A607" s="355" t="s">
        <v>30</v>
      </c>
      <c r="B607" s="358" t="s">
        <v>13</v>
      </c>
      <c r="C607" s="353" t="s">
        <v>6</v>
      </c>
      <c r="D607" s="3" t="s">
        <v>7</v>
      </c>
      <c r="E607" s="162" t="str">
        <f>A607&amp;"/"&amp;B607&amp;"/"&amp;C607&amp;"/"&amp;D607</f>
        <v>Biomass and waste fired power plants/Integrated gasification combined cycle/Electricity only/L</v>
      </c>
      <c r="F607" s="77" t="str">
        <f>A607</f>
        <v>Biomass and waste fired power plants</v>
      </c>
      <c r="G607" s="77" t="str">
        <f>B607</f>
        <v>Integrated gasification combined cycle</v>
      </c>
      <c r="H607" s="77" t="str">
        <f>C607</f>
        <v>Electricity only</v>
      </c>
      <c r="I607" s="163" t="str">
        <f t="shared" si="86"/>
        <v>L</v>
      </c>
      <c r="J607" s="77">
        <v>6.2E-2</v>
      </c>
      <c r="K607" s="77">
        <v>6.2E-2</v>
      </c>
      <c r="L607" s="77">
        <v>6.2E-2</v>
      </c>
      <c r="M607" s="77">
        <v>6.2E-2</v>
      </c>
      <c r="N607" s="77">
        <v>6.2E-2</v>
      </c>
      <c r="O607" s="77">
        <v>6.2E-2</v>
      </c>
      <c r="P607" s="77">
        <v>6.2E-2</v>
      </c>
      <c r="Q607" s="77">
        <v>6.2E-2</v>
      </c>
      <c r="R607" s="77">
        <v>6.2E-2</v>
      </c>
      <c r="S607" s="77">
        <v>6.2E-2</v>
      </c>
      <c r="T607" s="77">
        <v>6.2E-2</v>
      </c>
      <c r="U607" s="77">
        <v>6.2E-2</v>
      </c>
      <c r="V607" s="77">
        <v>6.2E-2</v>
      </c>
      <c r="W607" s="77">
        <v>6.2E-2</v>
      </c>
      <c r="X607" s="77">
        <v>6.2E-2</v>
      </c>
      <c r="Y607" s="77">
        <v>6.2E-2</v>
      </c>
      <c r="Z607" s="77">
        <v>6.2E-2</v>
      </c>
      <c r="AA607" s="77">
        <v>6.2E-2</v>
      </c>
      <c r="AB607" s="77">
        <v>6.2E-2</v>
      </c>
      <c r="AC607" s="77">
        <v>6.2E-2</v>
      </c>
      <c r="AD607" s="77">
        <v>6.2E-2</v>
      </c>
      <c r="AE607" s="77">
        <v>6.2E-2</v>
      </c>
      <c r="AF607" s="77">
        <v>6.2E-2</v>
      </c>
      <c r="AG607" s="77">
        <v>6.2E-2</v>
      </c>
      <c r="AH607" s="77">
        <v>6.2E-2</v>
      </c>
      <c r="AI607" s="77">
        <v>6.2E-2</v>
      </c>
      <c r="AJ607" s="77">
        <v>6.2E-2</v>
      </c>
      <c r="AK607" s="77">
        <v>6.2E-2</v>
      </c>
      <c r="AL607" s="77">
        <v>6.2E-2</v>
      </c>
      <c r="AM607" s="77">
        <v>6.2E-2</v>
      </c>
      <c r="AN607" s="77">
        <v>6.2E-2</v>
      </c>
      <c r="AO607" s="77">
        <v>6.2E-2</v>
      </c>
      <c r="AP607" s="77">
        <v>6.2E-2</v>
      </c>
      <c r="AQ607" s="77">
        <v>6.2E-2</v>
      </c>
      <c r="AR607" s="77">
        <v>6.2E-2</v>
      </c>
      <c r="AS607" s="77">
        <v>6.2E-2</v>
      </c>
      <c r="AT607" s="77">
        <v>6.2E-2</v>
      </c>
      <c r="AU607" s="77">
        <v>6.2E-2</v>
      </c>
      <c r="AV607" s="77">
        <v>6.2E-2</v>
      </c>
      <c r="AW607" s="77">
        <v>6.2E-2</v>
      </c>
      <c r="AX607" s="85">
        <v>6.2E-2</v>
      </c>
    </row>
    <row r="608" spans="1:50" x14ac:dyDescent="0.25">
      <c r="A608" s="356"/>
      <c r="B608" s="359"/>
      <c r="C608" s="360"/>
      <c r="D608" s="2" t="s">
        <v>8</v>
      </c>
      <c r="E608" s="160" t="str">
        <f>A607&amp;"/"&amp;B607&amp;"/"&amp;C607&amp;"/"&amp;D608</f>
        <v>Biomass and waste fired power plants/Integrated gasification combined cycle/Electricity only/M</v>
      </c>
      <c r="F608" s="76" t="str">
        <f>A607</f>
        <v>Biomass and waste fired power plants</v>
      </c>
      <c r="G608" s="76" t="str">
        <f>B607</f>
        <v>Integrated gasification combined cycle</v>
      </c>
      <c r="H608" s="76" t="str">
        <f>C607</f>
        <v>Electricity only</v>
      </c>
      <c r="I608" s="161" t="str">
        <f t="shared" si="86"/>
        <v>M</v>
      </c>
      <c r="J608" s="76">
        <v>6.5100000000000005E-2</v>
      </c>
      <c r="K608" s="76">
        <v>6.5100000000000005E-2</v>
      </c>
      <c r="L608" s="76">
        <v>6.5100000000000005E-2</v>
      </c>
      <c r="M608" s="76">
        <v>6.5100000000000005E-2</v>
      </c>
      <c r="N608" s="76">
        <v>6.5100000000000005E-2</v>
      </c>
      <c r="O608" s="76">
        <v>6.5100000000000005E-2</v>
      </c>
      <c r="P608" s="76">
        <v>6.5100000000000005E-2</v>
      </c>
      <c r="Q608" s="76">
        <v>6.5100000000000005E-2</v>
      </c>
      <c r="R608" s="76">
        <v>6.5100000000000005E-2</v>
      </c>
      <c r="S608" s="76">
        <v>6.5100000000000005E-2</v>
      </c>
      <c r="T608" s="76">
        <v>6.5100000000000005E-2</v>
      </c>
      <c r="U608" s="76">
        <v>6.5100000000000005E-2</v>
      </c>
      <c r="V608" s="76">
        <v>6.5100000000000005E-2</v>
      </c>
      <c r="W608" s="76">
        <v>6.5100000000000005E-2</v>
      </c>
      <c r="X608" s="76">
        <v>6.5100000000000005E-2</v>
      </c>
      <c r="Y608" s="76">
        <v>6.5100000000000005E-2</v>
      </c>
      <c r="Z608" s="76">
        <v>6.5100000000000005E-2</v>
      </c>
      <c r="AA608" s="76">
        <v>6.5100000000000005E-2</v>
      </c>
      <c r="AB608" s="76">
        <v>6.5100000000000005E-2</v>
      </c>
      <c r="AC608" s="76">
        <v>6.5100000000000005E-2</v>
      </c>
      <c r="AD608" s="76">
        <v>6.5100000000000005E-2</v>
      </c>
      <c r="AE608" s="76">
        <v>6.5100000000000005E-2</v>
      </c>
      <c r="AF608" s="76">
        <v>6.5100000000000005E-2</v>
      </c>
      <c r="AG608" s="76">
        <v>6.5100000000000005E-2</v>
      </c>
      <c r="AH608" s="76">
        <v>6.5100000000000005E-2</v>
      </c>
      <c r="AI608" s="76">
        <v>6.5100000000000005E-2</v>
      </c>
      <c r="AJ608" s="76">
        <v>6.5100000000000005E-2</v>
      </c>
      <c r="AK608" s="76">
        <v>6.5100000000000005E-2</v>
      </c>
      <c r="AL608" s="76">
        <v>6.5100000000000005E-2</v>
      </c>
      <c r="AM608" s="76">
        <v>6.5100000000000005E-2</v>
      </c>
      <c r="AN608" s="76">
        <v>6.5100000000000005E-2</v>
      </c>
      <c r="AO608" s="76">
        <v>6.5100000000000005E-2</v>
      </c>
      <c r="AP608" s="76">
        <v>6.5100000000000005E-2</v>
      </c>
      <c r="AQ608" s="76">
        <v>6.5100000000000005E-2</v>
      </c>
      <c r="AR608" s="76">
        <v>6.5100000000000005E-2</v>
      </c>
      <c r="AS608" s="76">
        <v>6.5100000000000005E-2</v>
      </c>
      <c r="AT608" s="76">
        <v>6.5100000000000005E-2</v>
      </c>
      <c r="AU608" s="76">
        <v>6.5100000000000005E-2</v>
      </c>
      <c r="AV608" s="76">
        <v>6.5100000000000005E-2</v>
      </c>
      <c r="AW608" s="76">
        <v>6.5100000000000005E-2</v>
      </c>
      <c r="AX608" s="84">
        <v>6.5100000000000005E-2</v>
      </c>
    </row>
    <row r="609" spans="1:50" x14ac:dyDescent="0.25">
      <c r="A609" s="356"/>
      <c r="B609" s="359"/>
      <c r="C609" s="361" t="s">
        <v>14</v>
      </c>
      <c r="D609" s="58" t="s">
        <v>7</v>
      </c>
      <c r="E609" s="164" t="str">
        <f>A607&amp;"/"&amp;B607&amp;"/"&amp;C609&amp;"/"&amp;D609</f>
        <v>Biomass and waste fired power plants/Integrated gasification combined cycle/CHP/L</v>
      </c>
      <c r="F609" s="78" t="str">
        <f>A607</f>
        <v>Biomass and waste fired power plants</v>
      </c>
      <c r="G609" s="78" t="str">
        <f>B607</f>
        <v>Integrated gasification combined cycle</v>
      </c>
      <c r="H609" s="78" t="str">
        <f>C609</f>
        <v>CHP</v>
      </c>
      <c r="I609" s="165" t="str">
        <f t="shared" si="86"/>
        <v>L</v>
      </c>
      <c r="J609" s="78">
        <v>6.8200000000000011E-2</v>
      </c>
      <c r="K609" s="78">
        <v>6.8200000000000011E-2</v>
      </c>
      <c r="L609" s="78">
        <v>6.8200000000000011E-2</v>
      </c>
      <c r="M609" s="78">
        <v>6.8200000000000011E-2</v>
      </c>
      <c r="N609" s="78">
        <v>6.8200000000000011E-2</v>
      </c>
      <c r="O609" s="78">
        <v>6.8200000000000011E-2</v>
      </c>
      <c r="P609" s="78">
        <v>6.8200000000000011E-2</v>
      </c>
      <c r="Q609" s="78">
        <v>6.8200000000000011E-2</v>
      </c>
      <c r="R609" s="78">
        <v>6.8200000000000011E-2</v>
      </c>
      <c r="S609" s="78">
        <v>6.8200000000000011E-2</v>
      </c>
      <c r="T609" s="78">
        <v>6.8200000000000011E-2</v>
      </c>
      <c r="U609" s="78">
        <v>6.8200000000000011E-2</v>
      </c>
      <c r="V609" s="78">
        <v>6.8200000000000011E-2</v>
      </c>
      <c r="W609" s="78">
        <v>6.8200000000000011E-2</v>
      </c>
      <c r="X609" s="78">
        <v>6.8200000000000011E-2</v>
      </c>
      <c r="Y609" s="78">
        <v>6.8200000000000011E-2</v>
      </c>
      <c r="Z609" s="78">
        <v>6.8200000000000011E-2</v>
      </c>
      <c r="AA609" s="78">
        <v>6.8200000000000011E-2</v>
      </c>
      <c r="AB609" s="78">
        <v>6.8200000000000011E-2</v>
      </c>
      <c r="AC609" s="78">
        <v>6.8200000000000011E-2</v>
      </c>
      <c r="AD609" s="78">
        <v>6.8200000000000011E-2</v>
      </c>
      <c r="AE609" s="78">
        <v>6.8200000000000011E-2</v>
      </c>
      <c r="AF609" s="78">
        <v>6.8200000000000011E-2</v>
      </c>
      <c r="AG609" s="78">
        <v>6.8200000000000011E-2</v>
      </c>
      <c r="AH609" s="78">
        <v>6.8200000000000011E-2</v>
      </c>
      <c r="AI609" s="78">
        <v>6.8200000000000011E-2</v>
      </c>
      <c r="AJ609" s="78">
        <v>6.8200000000000011E-2</v>
      </c>
      <c r="AK609" s="78">
        <v>6.8200000000000011E-2</v>
      </c>
      <c r="AL609" s="78">
        <v>6.8200000000000011E-2</v>
      </c>
      <c r="AM609" s="78">
        <v>6.8200000000000011E-2</v>
      </c>
      <c r="AN609" s="78">
        <v>6.8200000000000011E-2</v>
      </c>
      <c r="AO609" s="78">
        <v>6.8200000000000011E-2</v>
      </c>
      <c r="AP609" s="78">
        <v>6.8200000000000011E-2</v>
      </c>
      <c r="AQ609" s="78">
        <v>6.8200000000000011E-2</v>
      </c>
      <c r="AR609" s="78">
        <v>6.8200000000000011E-2</v>
      </c>
      <c r="AS609" s="78">
        <v>6.8200000000000011E-2</v>
      </c>
      <c r="AT609" s="78">
        <v>6.8200000000000011E-2</v>
      </c>
      <c r="AU609" s="78">
        <v>6.8200000000000011E-2</v>
      </c>
      <c r="AV609" s="78">
        <v>6.8200000000000011E-2</v>
      </c>
      <c r="AW609" s="78">
        <v>6.8200000000000011E-2</v>
      </c>
      <c r="AX609" s="86">
        <v>6.8200000000000011E-2</v>
      </c>
    </row>
    <row r="610" spans="1:50" x14ac:dyDescent="0.25">
      <c r="A610" s="356"/>
      <c r="B610" s="359"/>
      <c r="C610" s="360"/>
      <c r="D610" s="59" t="s">
        <v>8</v>
      </c>
      <c r="E610" s="166" t="str">
        <f>A607&amp;"/"&amp;B607&amp;"/"&amp;C609&amp;"/"&amp;D610</f>
        <v>Biomass and waste fired power plants/Integrated gasification combined cycle/CHP/M</v>
      </c>
      <c r="F610" s="79" t="str">
        <f>A607</f>
        <v>Biomass and waste fired power plants</v>
      </c>
      <c r="G610" s="79" t="str">
        <f>B607</f>
        <v>Integrated gasification combined cycle</v>
      </c>
      <c r="H610" s="79" t="str">
        <f>C609</f>
        <v>CHP</v>
      </c>
      <c r="I610" s="167" t="str">
        <f t="shared" si="86"/>
        <v>M</v>
      </c>
      <c r="J610" s="79">
        <v>7.1610000000000007E-2</v>
      </c>
      <c r="K610" s="79">
        <v>7.1610000000000007E-2</v>
      </c>
      <c r="L610" s="79">
        <v>7.1610000000000007E-2</v>
      </c>
      <c r="M610" s="79">
        <v>7.1610000000000007E-2</v>
      </c>
      <c r="N610" s="79">
        <v>7.1610000000000007E-2</v>
      </c>
      <c r="O610" s="79">
        <v>7.1610000000000007E-2</v>
      </c>
      <c r="P610" s="79">
        <v>7.1610000000000007E-2</v>
      </c>
      <c r="Q610" s="79">
        <v>7.1610000000000007E-2</v>
      </c>
      <c r="R610" s="79">
        <v>7.1610000000000007E-2</v>
      </c>
      <c r="S610" s="79">
        <v>7.1610000000000007E-2</v>
      </c>
      <c r="T610" s="79">
        <v>7.1610000000000007E-2</v>
      </c>
      <c r="U610" s="79">
        <v>7.1610000000000007E-2</v>
      </c>
      <c r="V610" s="79">
        <v>7.1610000000000007E-2</v>
      </c>
      <c r="W610" s="79">
        <v>7.1610000000000007E-2</v>
      </c>
      <c r="X610" s="79">
        <v>7.1610000000000007E-2</v>
      </c>
      <c r="Y610" s="79">
        <v>7.1610000000000007E-2</v>
      </c>
      <c r="Z610" s="79">
        <v>7.1610000000000007E-2</v>
      </c>
      <c r="AA610" s="79">
        <v>7.1610000000000007E-2</v>
      </c>
      <c r="AB610" s="79">
        <v>7.1610000000000007E-2</v>
      </c>
      <c r="AC610" s="79">
        <v>7.1610000000000007E-2</v>
      </c>
      <c r="AD610" s="79">
        <v>7.1610000000000007E-2</v>
      </c>
      <c r="AE610" s="79">
        <v>7.1610000000000007E-2</v>
      </c>
      <c r="AF610" s="79">
        <v>7.1610000000000007E-2</v>
      </c>
      <c r="AG610" s="79">
        <v>7.1610000000000007E-2</v>
      </c>
      <c r="AH610" s="79">
        <v>7.1610000000000007E-2</v>
      </c>
      <c r="AI610" s="79">
        <v>7.1610000000000007E-2</v>
      </c>
      <c r="AJ610" s="79">
        <v>7.1610000000000007E-2</v>
      </c>
      <c r="AK610" s="79">
        <v>7.1610000000000007E-2</v>
      </c>
      <c r="AL610" s="79">
        <v>7.1610000000000007E-2</v>
      </c>
      <c r="AM610" s="79">
        <v>7.1610000000000007E-2</v>
      </c>
      <c r="AN610" s="79">
        <v>7.1610000000000007E-2</v>
      </c>
      <c r="AO610" s="79">
        <v>7.1610000000000007E-2</v>
      </c>
      <c r="AP610" s="79">
        <v>7.1610000000000007E-2</v>
      </c>
      <c r="AQ610" s="79">
        <v>7.1610000000000007E-2</v>
      </c>
      <c r="AR610" s="79">
        <v>7.1610000000000007E-2</v>
      </c>
      <c r="AS610" s="79">
        <v>7.1610000000000007E-2</v>
      </c>
      <c r="AT610" s="79">
        <v>7.1610000000000007E-2</v>
      </c>
      <c r="AU610" s="79">
        <v>7.1610000000000007E-2</v>
      </c>
      <c r="AV610" s="79">
        <v>7.1610000000000007E-2</v>
      </c>
      <c r="AW610" s="79">
        <v>7.1610000000000007E-2</v>
      </c>
      <c r="AX610" s="87">
        <v>7.1610000000000007E-2</v>
      </c>
    </row>
    <row r="611" spans="1:50" x14ac:dyDescent="0.25">
      <c r="A611" s="356"/>
      <c r="B611" s="359"/>
      <c r="C611" s="361" t="s">
        <v>15</v>
      </c>
      <c r="D611" s="58" t="s">
        <v>7</v>
      </c>
      <c r="E611" s="164" t="str">
        <f>A607&amp;"/"&amp;B607&amp;"/"&amp;C611&amp;"/"&amp;D611</f>
        <v>Biomass and waste fired power plants/Integrated gasification combined cycle/Electricity only with CCS/L</v>
      </c>
      <c r="F611" s="78" t="str">
        <f>A607</f>
        <v>Biomass and waste fired power plants</v>
      </c>
      <c r="G611" s="78" t="str">
        <f>B607</f>
        <v>Integrated gasification combined cycle</v>
      </c>
      <c r="H611" s="78" t="str">
        <f>C611</f>
        <v>Electricity only with CCS</v>
      </c>
      <c r="I611" s="165" t="str">
        <f t="shared" si="86"/>
        <v>L</v>
      </c>
      <c r="J611" s="78" t="s">
        <v>112</v>
      </c>
      <c r="K611" s="78" t="s">
        <v>112</v>
      </c>
      <c r="L611" s="78" t="s">
        <v>112</v>
      </c>
      <c r="M611" s="78" t="s">
        <v>112</v>
      </c>
      <c r="N611" s="78" t="s">
        <v>112</v>
      </c>
      <c r="O611" s="78" t="s">
        <v>112</v>
      </c>
      <c r="P611" s="78" t="s">
        <v>112</v>
      </c>
      <c r="Q611" s="78" t="s">
        <v>112</v>
      </c>
      <c r="R611" s="78" t="s">
        <v>112</v>
      </c>
      <c r="S611" s="78" t="s">
        <v>112</v>
      </c>
      <c r="T611" s="78" t="s">
        <v>112</v>
      </c>
      <c r="U611" s="78" t="s">
        <v>112</v>
      </c>
      <c r="V611" s="78" t="s">
        <v>112</v>
      </c>
      <c r="W611" s="78" t="s">
        <v>112</v>
      </c>
      <c r="X611" s="78" t="s">
        <v>112</v>
      </c>
      <c r="Y611" s="78" t="s">
        <v>112</v>
      </c>
      <c r="Z611" s="78" t="s">
        <v>112</v>
      </c>
      <c r="AA611" s="78" t="s">
        <v>112</v>
      </c>
      <c r="AB611" s="78" t="s">
        <v>112</v>
      </c>
      <c r="AC611" s="78" t="s">
        <v>112</v>
      </c>
      <c r="AD611" s="78" t="s">
        <v>112</v>
      </c>
      <c r="AE611" s="78">
        <v>0.217</v>
      </c>
      <c r="AF611" s="78">
        <v>0.217</v>
      </c>
      <c r="AG611" s="78">
        <v>0.217</v>
      </c>
      <c r="AH611" s="78">
        <v>0.217</v>
      </c>
      <c r="AI611" s="78">
        <v>0.217</v>
      </c>
      <c r="AJ611" s="78">
        <v>0.217</v>
      </c>
      <c r="AK611" s="78">
        <v>0.217</v>
      </c>
      <c r="AL611" s="78">
        <v>0.217</v>
      </c>
      <c r="AM611" s="78">
        <v>0.217</v>
      </c>
      <c r="AN611" s="78">
        <v>0.217</v>
      </c>
      <c r="AO611" s="78">
        <v>0.217</v>
      </c>
      <c r="AP611" s="78">
        <v>0.217</v>
      </c>
      <c r="AQ611" s="78">
        <v>0.217</v>
      </c>
      <c r="AR611" s="78">
        <v>0.217</v>
      </c>
      <c r="AS611" s="78">
        <v>0.217</v>
      </c>
      <c r="AT611" s="78">
        <v>0.217</v>
      </c>
      <c r="AU611" s="78">
        <v>0.217</v>
      </c>
      <c r="AV611" s="78">
        <v>0.217</v>
      </c>
      <c r="AW611" s="78">
        <v>0.217</v>
      </c>
      <c r="AX611" s="86">
        <v>0.217</v>
      </c>
    </row>
    <row r="612" spans="1:50" x14ac:dyDescent="0.25">
      <c r="A612" s="356"/>
      <c r="B612" s="359"/>
      <c r="C612" s="360"/>
      <c r="D612" s="59" t="s">
        <v>8</v>
      </c>
      <c r="E612" s="166" t="str">
        <f>A607&amp;"/"&amp;B607&amp;"/"&amp;C611&amp;"/"&amp;D612</f>
        <v>Biomass and waste fired power plants/Integrated gasification combined cycle/Electricity only with CCS/M</v>
      </c>
      <c r="F612" s="79" t="str">
        <f>A607</f>
        <v>Biomass and waste fired power plants</v>
      </c>
      <c r="G612" s="79" t="str">
        <f>B607</f>
        <v>Integrated gasification combined cycle</v>
      </c>
      <c r="H612" s="79" t="str">
        <f>C611</f>
        <v>Electricity only with CCS</v>
      </c>
      <c r="I612" s="167" t="str">
        <f t="shared" si="86"/>
        <v>M</v>
      </c>
      <c r="J612" s="79" t="s">
        <v>112</v>
      </c>
      <c r="K612" s="79" t="s">
        <v>112</v>
      </c>
      <c r="L612" s="79" t="s">
        <v>112</v>
      </c>
      <c r="M612" s="79" t="s">
        <v>112</v>
      </c>
      <c r="N612" s="79" t="s">
        <v>112</v>
      </c>
      <c r="O612" s="79" t="s">
        <v>112</v>
      </c>
      <c r="P612" s="79" t="s">
        <v>112</v>
      </c>
      <c r="Q612" s="79" t="s">
        <v>112</v>
      </c>
      <c r="R612" s="79" t="s">
        <v>112</v>
      </c>
      <c r="S612" s="79" t="s">
        <v>112</v>
      </c>
      <c r="T612" s="79" t="s">
        <v>112</v>
      </c>
      <c r="U612" s="79" t="s">
        <v>112</v>
      </c>
      <c r="V612" s="79" t="s">
        <v>112</v>
      </c>
      <c r="W612" s="79" t="s">
        <v>112</v>
      </c>
      <c r="X612" s="79" t="s">
        <v>112</v>
      </c>
      <c r="Y612" s="79" t="s">
        <v>112</v>
      </c>
      <c r="Z612" s="79" t="s">
        <v>112</v>
      </c>
      <c r="AA612" s="79" t="s">
        <v>112</v>
      </c>
      <c r="AB612" s="79" t="s">
        <v>112</v>
      </c>
      <c r="AC612" s="79" t="s">
        <v>112</v>
      </c>
      <c r="AD612" s="79" t="s">
        <v>112</v>
      </c>
      <c r="AE612" s="79">
        <v>0.22785</v>
      </c>
      <c r="AF612" s="79">
        <v>0.22785</v>
      </c>
      <c r="AG612" s="79">
        <v>0.22785</v>
      </c>
      <c r="AH612" s="79">
        <v>0.22785</v>
      </c>
      <c r="AI612" s="79">
        <v>0.22785</v>
      </c>
      <c r="AJ612" s="79">
        <v>0.22785</v>
      </c>
      <c r="AK612" s="79">
        <v>0.22785</v>
      </c>
      <c r="AL612" s="79">
        <v>0.22785</v>
      </c>
      <c r="AM612" s="79">
        <v>0.22785</v>
      </c>
      <c r="AN612" s="79">
        <v>0.22785</v>
      </c>
      <c r="AO612" s="79">
        <v>0.22785</v>
      </c>
      <c r="AP612" s="79">
        <v>0.22785</v>
      </c>
      <c r="AQ612" s="79">
        <v>0.22785</v>
      </c>
      <c r="AR612" s="79">
        <v>0.22785</v>
      </c>
      <c r="AS612" s="79">
        <v>0.22785</v>
      </c>
      <c r="AT612" s="79">
        <v>0.22785</v>
      </c>
      <c r="AU612" s="79">
        <v>0.22785</v>
      </c>
      <c r="AV612" s="79">
        <v>0.22785</v>
      </c>
      <c r="AW612" s="79">
        <v>0.22785</v>
      </c>
      <c r="AX612" s="87">
        <v>0.22785</v>
      </c>
    </row>
    <row r="613" spans="1:50" x14ac:dyDescent="0.25">
      <c r="A613" s="356"/>
      <c r="B613" s="359"/>
      <c r="C613" s="361" t="s">
        <v>16</v>
      </c>
      <c r="D613" s="2" t="s">
        <v>7</v>
      </c>
      <c r="E613" s="160" t="str">
        <f>A607&amp;"/"&amp;B607&amp;"/"&amp;C613&amp;"/"&amp;D613</f>
        <v>Biomass and waste fired power plants/Integrated gasification combined cycle/CHP with CCS/L</v>
      </c>
      <c r="F613" s="76" t="str">
        <f>A607</f>
        <v>Biomass and waste fired power plants</v>
      </c>
      <c r="G613" s="76" t="str">
        <f>B607</f>
        <v>Integrated gasification combined cycle</v>
      </c>
      <c r="H613" s="76" t="str">
        <f>C613</f>
        <v>CHP with CCS</v>
      </c>
      <c r="I613" s="161" t="str">
        <f t="shared" si="86"/>
        <v>L</v>
      </c>
      <c r="J613" s="76" t="s">
        <v>112</v>
      </c>
      <c r="K613" s="76" t="s">
        <v>112</v>
      </c>
      <c r="L613" s="76" t="s">
        <v>112</v>
      </c>
      <c r="M613" s="76" t="s">
        <v>112</v>
      </c>
      <c r="N613" s="76" t="s">
        <v>112</v>
      </c>
      <c r="O613" s="76" t="s">
        <v>112</v>
      </c>
      <c r="P613" s="76" t="s">
        <v>112</v>
      </c>
      <c r="Q613" s="76" t="s">
        <v>112</v>
      </c>
      <c r="R613" s="76" t="s">
        <v>112</v>
      </c>
      <c r="S613" s="76" t="s">
        <v>112</v>
      </c>
      <c r="T613" s="76" t="s">
        <v>112</v>
      </c>
      <c r="U613" s="76" t="s">
        <v>112</v>
      </c>
      <c r="V613" s="76" t="s">
        <v>112</v>
      </c>
      <c r="W613" s="76" t="s">
        <v>112</v>
      </c>
      <c r="X613" s="76" t="s">
        <v>112</v>
      </c>
      <c r="Y613" s="76" t="s">
        <v>112</v>
      </c>
      <c r="Z613" s="76" t="s">
        <v>112</v>
      </c>
      <c r="AA613" s="76" t="s">
        <v>112</v>
      </c>
      <c r="AB613" s="76" t="s">
        <v>112</v>
      </c>
      <c r="AC613" s="76" t="s">
        <v>112</v>
      </c>
      <c r="AD613" s="76" t="s">
        <v>112</v>
      </c>
      <c r="AE613" s="76">
        <v>0.23870000000000002</v>
      </c>
      <c r="AF613" s="76">
        <v>0.23870000000000002</v>
      </c>
      <c r="AG613" s="76">
        <v>0.23870000000000002</v>
      </c>
      <c r="AH613" s="76">
        <v>0.23870000000000002</v>
      </c>
      <c r="AI613" s="76">
        <v>0.23870000000000002</v>
      </c>
      <c r="AJ613" s="76">
        <v>0.23870000000000002</v>
      </c>
      <c r="AK613" s="76">
        <v>0.23870000000000002</v>
      </c>
      <c r="AL613" s="76">
        <v>0.23870000000000002</v>
      </c>
      <c r="AM613" s="76">
        <v>0.23870000000000002</v>
      </c>
      <c r="AN613" s="76">
        <v>0.23870000000000002</v>
      </c>
      <c r="AO613" s="76">
        <v>0.23870000000000002</v>
      </c>
      <c r="AP613" s="76">
        <v>0.23870000000000002</v>
      </c>
      <c r="AQ613" s="76">
        <v>0.23870000000000002</v>
      </c>
      <c r="AR613" s="76">
        <v>0.23870000000000002</v>
      </c>
      <c r="AS613" s="76">
        <v>0.23870000000000002</v>
      </c>
      <c r="AT613" s="76">
        <v>0.23870000000000002</v>
      </c>
      <c r="AU613" s="76">
        <v>0.23870000000000002</v>
      </c>
      <c r="AV613" s="76">
        <v>0.23870000000000002</v>
      </c>
      <c r="AW613" s="76">
        <v>0.23870000000000002</v>
      </c>
      <c r="AX613" s="84">
        <v>0.23870000000000002</v>
      </c>
    </row>
    <row r="614" spans="1:50" x14ac:dyDescent="0.25">
      <c r="A614" s="356"/>
      <c r="B614" s="362"/>
      <c r="C614" s="354"/>
      <c r="D614" s="4" t="s">
        <v>8</v>
      </c>
      <c r="E614" s="168" t="str">
        <f>A607&amp;"/"&amp;B607&amp;"/"&amp;C613&amp;"/"&amp;D614</f>
        <v>Biomass and waste fired power plants/Integrated gasification combined cycle/CHP with CCS/M</v>
      </c>
      <c r="F614" s="80" t="str">
        <f>A607</f>
        <v>Biomass and waste fired power plants</v>
      </c>
      <c r="G614" s="80" t="str">
        <f>B607</f>
        <v>Integrated gasification combined cycle</v>
      </c>
      <c r="H614" s="80" t="str">
        <f>C613</f>
        <v>CHP with CCS</v>
      </c>
      <c r="I614" s="169" t="str">
        <f t="shared" si="86"/>
        <v>M</v>
      </c>
      <c r="J614" s="80" t="s">
        <v>112</v>
      </c>
      <c r="K614" s="80" t="s">
        <v>112</v>
      </c>
      <c r="L614" s="80" t="s">
        <v>112</v>
      </c>
      <c r="M614" s="80" t="s">
        <v>112</v>
      </c>
      <c r="N614" s="80" t="s">
        <v>112</v>
      </c>
      <c r="O614" s="80" t="s">
        <v>112</v>
      </c>
      <c r="P614" s="80" t="s">
        <v>112</v>
      </c>
      <c r="Q614" s="80" t="s">
        <v>112</v>
      </c>
      <c r="R614" s="80" t="s">
        <v>112</v>
      </c>
      <c r="S614" s="80" t="s">
        <v>112</v>
      </c>
      <c r="T614" s="80" t="s">
        <v>112</v>
      </c>
      <c r="U614" s="80" t="s">
        <v>112</v>
      </c>
      <c r="V614" s="80" t="s">
        <v>112</v>
      </c>
      <c r="W614" s="80" t="s">
        <v>112</v>
      </c>
      <c r="X614" s="80" t="s">
        <v>112</v>
      </c>
      <c r="Y614" s="80" t="s">
        <v>112</v>
      </c>
      <c r="Z614" s="80" t="s">
        <v>112</v>
      </c>
      <c r="AA614" s="80" t="s">
        <v>112</v>
      </c>
      <c r="AB614" s="80" t="s">
        <v>112</v>
      </c>
      <c r="AC614" s="80" t="s">
        <v>112</v>
      </c>
      <c r="AD614" s="80" t="s">
        <v>112</v>
      </c>
      <c r="AE614" s="80">
        <v>0.250635</v>
      </c>
      <c r="AF614" s="80">
        <v>0.250635</v>
      </c>
      <c r="AG614" s="80">
        <v>0.250635</v>
      </c>
      <c r="AH614" s="80">
        <v>0.250635</v>
      </c>
      <c r="AI614" s="80">
        <v>0.250635</v>
      </c>
      <c r="AJ614" s="80">
        <v>0.250635</v>
      </c>
      <c r="AK614" s="80">
        <v>0.250635</v>
      </c>
      <c r="AL614" s="80">
        <v>0.250635</v>
      </c>
      <c r="AM614" s="80">
        <v>0.250635</v>
      </c>
      <c r="AN614" s="80">
        <v>0.250635</v>
      </c>
      <c r="AO614" s="80">
        <v>0.250635</v>
      </c>
      <c r="AP614" s="80">
        <v>0.250635</v>
      </c>
      <c r="AQ614" s="80">
        <v>0.250635</v>
      </c>
      <c r="AR614" s="80">
        <v>0.250635</v>
      </c>
      <c r="AS614" s="80">
        <v>0.250635</v>
      </c>
      <c r="AT614" s="80">
        <v>0.250635</v>
      </c>
      <c r="AU614" s="80">
        <v>0.250635</v>
      </c>
      <c r="AV614" s="80">
        <v>0.250635</v>
      </c>
      <c r="AW614" s="80">
        <v>0.250635</v>
      </c>
      <c r="AX614" s="88">
        <v>0.250635</v>
      </c>
    </row>
    <row r="615" spans="1:50" x14ac:dyDescent="0.25">
      <c r="A615" s="356"/>
      <c r="B615" s="358" t="s">
        <v>18</v>
      </c>
      <c r="C615" s="353" t="s">
        <v>6</v>
      </c>
      <c r="D615" s="3" t="s">
        <v>7</v>
      </c>
      <c r="E615" s="162" t="str">
        <f>A607&amp;"/"&amp;B615&amp;"/"&amp;C615&amp;"/"&amp;D615</f>
        <v>Biomass and waste fired power plants/Fluidized bed combustion/Electricity only/L</v>
      </c>
      <c r="F615" s="77" t="str">
        <f>A607</f>
        <v>Biomass and waste fired power plants</v>
      </c>
      <c r="G615" s="77" t="str">
        <f>B615</f>
        <v>Fluidized bed combustion</v>
      </c>
      <c r="H615" s="77" t="str">
        <f>C615</f>
        <v>Electricity only</v>
      </c>
      <c r="I615" s="163" t="str">
        <f t="shared" si="86"/>
        <v>L</v>
      </c>
      <c r="J615" s="77">
        <v>6.8000000000000005E-2</v>
      </c>
      <c r="K615" s="77">
        <v>6.8000000000000005E-2</v>
      </c>
      <c r="L615" s="77">
        <v>6.8000000000000005E-2</v>
      </c>
      <c r="M615" s="77">
        <v>6.8000000000000005E-2</v>
      </c>
      <c r="N615" s="77">
        <v>6.8000000000000005E-2</v>
      </c>
      <c r="O615" s="77">
        <v>6.8000000000000005E-2</v>
      </c>
      <c r="P615" s="77">
        <v>6.8000000000000005E-2</v>
      </c>
      <c r="Q615" s="77">
        <v>6.8000000000000005E-2</v>
      </c>
      <c r="R615" s="77">
        <v>6.8000000000000005E-2</v>
      </c>
      <c r="S615" s="77">
        <v>6.8000000000000005E-2</v>
      </c>
      <c r="T615" s="77">
        <v>6.8000000000000005E-2</v>
      </c>
      <c r="U615" s="77">
        <v>6.8000000000000005E-2</v>
      </c>
      <c r="V615" s="77">
        <v>6.8000000000000005E-2</v>
      </c>
      <c r="W615" s="77">
        <v>6.8000000000000005E-2</v>
      </c>
      <c r="X615" s="77">
        <v>6.8000000000000005E-2</v>
      </c>
      <c r="Y615" s="77">
        <v>6.8000000000000005E-2</v>
      </c>
      <c r="Z615" s="77">
        <v>6.8000000000000005E-2</v>
      </c>
      <c r="AA615" s="77">
        <v>6.8000000000000005E-2</v>
      </c>
      <c r="AB615" s="77">
        <v>6.8000000000000005E-2</v>
      </c>
      <c r="AC615" s="77">
        <v>6.8000000000000005E-2</v>
      </c>
      <c r="AD615" s="77">
        <v>6.8000000000000005E-2</v>
      </c>
      <c r="AE615" s="77">
        <v>6.8000000000000005E-2</v>
      </c>
      <c r="AF615" s="77">
        <v>6.8000000000000005E-2</v>
      </c>
      <c r="AG615" s="77">
        <v>6.8000000000000005E-2</v>
      </c>
      <c r="AH615" s="77">
        <v>6.8000000000000005E-2</v>
      </c>
      <c r="AI615" s="77">
        <v>6.8000000000000005E-2</v>
      </c>
      <c r="AJ615" s="77">
        <v>6.8000000000000005E-2</v>
      </c>
      <c r="AK615" s="77">
        <v>6.8000000000000005E-2</v>
      </c>
      <c r="AL615" s="77">
        <v>6.8000000000000005E-2</v>
      </c>
      <c r="AM615" s="77">
        <v>6.8000000000000005E-2</v>
      </c>
      <c r="AN615" s="77">
        <v>6.8000000000000005E-2</v>
      </c>
      <c r="AO615" s="77">
        <v>6.8000000000000005E-2</v>
      </c>
      <c r="AP615" s="77">
        <v>6.8000000000000005E-2</v>
      </c>
      <c r="AQ615" s="77">
        <v>6.8000000000000005E-2</v>
      </c>
      <c r="AR615" s="77">
        <v>6.8000000000000005E-2</v>
      </c>
      <c r="AS615" s="77">
        <v>6.8000000000000005E-2</v>
      </c>
      <c r="AT615" s="77">
        <v>6.8000000000000005E-2</v>
      </c>
      <c r="AU615" s="77">
        <v>6.8000000000000005E-2</v>
      </c>
      <c r="AV615" s="77">
        <v>6.8000000000000005E-2</v>
      </c>
      <c r="AW615" s="77">
        <v>6.8000000000000005E-2</v>
      </c>
      <c r="AX615" s="85">
        <v>6.8000000000000005E-2</v>
      </c>
    </row>
    <row r="616" spans="1:50" x14ac:dyDescent="0.25">
      <c r="A616" s="356"/>
      <c r="B616" s="359"/>
      <c r="C616" s="350"/>
      <c r="D616" s="2" t="s">
        <v>8</v>
      </c>
      <c r="E616" s="160" t="str">
        <f>A607&amp;"/"&amp;B615&amp;"/"&amp;C615&amp;"/"&amp;D616</f>
        <v>Biomass and waste fired power plants/Fluidized bed combustion/Electricity only/M</v>
      </c>
      <c r="F616" s="76" t="str">
        <f>A607</f>
        <v>Biomass and waste fired power plants</v>
      </c>
      <c r="G616" s="76" t="str">
        <f>B615</f>
        <v>Fluidized bed combustion</v>
      </c>
      <c r="H616" s="76" t="str">
        <f>C615</f>
        <v>Electricity only</v>
      </c>
      <c r="I616" s="161" t="str">
        <f t="shared" si="86"/>
        <v>M</v>
      </c>
      <c r="J616" s="76">
        <v>7.1400000000000005E-2</v>
      </c>
      <c r="K616" s="76">
        <v>7.1400000000000005E-2</v>
      </c>
      <c r="L616" s="76">
        <v>7.1400000000000005E-2</v>
      </c>
      <c r="M616" s="76">
        <v>7.1400000000000005E-2</v>
      </c>
      <c r="N616" s="76">
        <v>7.1400000000000005E-2</v>
      </c>
      <c r="O616" s="76">
        <v>7.1400000000000005E-2</v>
      </c>
      <c r="P616" s="76">
        <v>7.1400000000000005E-2</v>
      </c>
      <c r="Q616" s="76">
        <v>7.1400000000000005E-2</v>
      </c>
      <c r="R616" s="76">
        <v>7.1400000000000005E-2</v>
      </c>
      <c r="S616" s="76">
        <v>7.1400000000000005E-2</v>
      </c>
      <c r="T616" s="76">
        <v>7.1400000000000005E-2</v>
      </c>
      <c r="U616" s="76">
        <v>7.1400000000000005E-2</v>
      </c>
      <c r="V616" s="76">
        <v>7.1400000000000005E-2</v>
      </c>
      <c r="W616" s="76">
        <v>7.1400000000000005E-2</v>
      </c>
      <c r="X616" s="76">
        <v>7.1400000000000005E-2</v>
      </c>
      <c r="Y616" s="76">
        <v>7.1400000000000005E-2</v>
      </c>
      <c r="Z616" s="76">
        <v>7.1400000000000005E-2</v>
      </c>
      <c r="AA616" s="76">
        <v>7.1400000000000005E-2</v>
      </c>
      <c r="AB616" s="76">
        <v>7.1400000000000005E-2</v>
      </c>
      <c r="AC616" s="76">
        <v>7.1400000000000005E-2</v>
      </c>
      <c r="AD616" s="76">
        <v>7.1400000000000005E-2</v>
      </c>
      <c r="AE616" s="76">
        <v>7.1400000000000005E-2</v>
      </c>
      <c r="AF616" s="76">
        <v>7.1400000000000005E-2</v>
      </c>
      <c r="AG616" s="76">
        <v>7.1400000000000005E-2</v>
      </c>
      <c r="AH616" s="76">
        <v>7.1400000000000005E-2</v>
      </c>
      <c r="AI616" s="76">
        <v>7.1400000000000005E-2</v>
      </c>
      <c r="AJ616" s="76">
        <v>7.1400000000000005E-2</v>
      </c>
      <c r="AK616" s="76">
        <v>7.1400000000000005E-2</v>
      </c>
      <c r="AL616" s="76">
        <v>7.1400000000000005E-2</v>
      </c>
      <c r="AM616" s="76">
        <v>7.1400000000000005E-2</v>
      </c>
      <c r="AN616" s="76">
        <v>7.1400000000000005E-2</v>
      </c>
      <c r="AO616" s="76">
        <v>7.1400000000000005E-2</v>
      </c>
      <c r="AP616" s="76">
        <v>7.1400000000000005E-2</v>
      </c>
      <c r="AQ616" s="76">
        <v>7.1400000000000005E-2</v>
      </c>
      <c r="AR616" s="76">
        <v>7.1400000000000005E-2</v>
      </c>
      <c r="AS616" s="76">
        <v>7.1400000000000005E-2</v>
      </c>
      <c r="AT616" s="76">
        <v>7.1400000000000005E-2</v>
      </c>
      <c r="AU616" s="76">
        <v>7.1400000000000005E-2</v>
      </c>
      <c r="AV616" s="76">
        <v>7.1400000000000005E-2</v>
      </c>
      <c r="AW616" s="76">
        <v>7.1400000000000005E-2</v>
      </c>
      <c r="AX616" s="84">
        <v>7.1400000000000005E-2</v>
      </c>
    </row>
    <row r="617" spans="1:50" x14ac:dyDescent="0.25">
      <c r="A617" s="356"/>
      <c r="B617" s="359"/>
      <c r="C617" s="350"/>
      <c r="D617" s="2" t="s">
        <v>10</v>
      </c>
      <c r="E617" s="160" t="str">
        <f>A607&amp;"/"&amp;B615&amp;"/"&amp;C615&amp;"/"&amp;D617</f>
        <v>Biomass and waste fired power plants/Fluidized bed combustion/Electricity only/S</v>
      </c>
      <c r="F617" s="76" t="str">
        <f>A607</f>
        <v>Biomass and waste fired power plants</v>
      </c>
      <c r="G617" s="76" t="str">
        <f>B615</f>
        <v>Fluidized bed combustion</v>
      </c>
      <c r="H617" s="76" t="str">
        <f>C615</f>
        <v>Electricity only</v>
      </c>
      <c r="I617" s="161" t="str">
        <f t="shared" si="86"/>
        <v>S</v>
      </c>
      <c r="J617" s="76">
        <v>7.4970000000000009E-2</v>
      </c>
      <c r="K617" s="76">
        <v>7.4970000000000009E-2</v>
      </c>
      <c r="L617" s="76">
        <v>7.4970000000000009E-2</v>
      </c>
      <c r="M617" s="76">
        <v>7.4970000000000009E-2</v>
      </c>
      <c r="N617" s="76">
        <v>7.4970000000000009E-2</v>
      </c>
      <c r="O617" s="76">
        <v>7.4970000000000009E-2</v>
      </c>
      <c r="P617" s="76">
        <v>7.4970000000000009E-2</v>
      </c>
      <c r="Q617" s="76">
        <v>7.4970000000000009E-2</v>
      </c>
      <c r="R617" s="76">
        <v>7.4970000000000009E-2</v>
      </c>
      <c r="S617" s="76">
        <v>7.4970000000000009E-2</v>
      </c>
      <c r="T617" s="76">
        <v>7.4970000000000009E-2</v>
      </c>
      <c r="U617" s="76">
        <v>7.4970000000000009E-2</v>
      </c>
      <c r="V617" s="76">
        <v>7.4970000000000009E-2</v>
      </c>
      <c r="W617" s="76">
        <v>7.4970000000000009E-2</v>
      </c>
      <c r="X617" s="76">
        <v>7.4970000000000009E-2</v>
      </c>
      <c r="Y617" s="76">
        <v>7.4970000000000009E-2</v>
      </c>
      <c r="Z617" s="76">
        <v>7.4970000000000009E-2</v>
      </c>
      <c r="AA617" s="76">
        <v>7.4970000000000009E-2</v>
      </c>
      <c r="AB617" s="76">
        <v>7.4970000000000009E-2</v>
      </c>
      <c r="AC617" s="76">
        <v>7.4970000000000009E-2</v>
      </c>
      <c r="AD617" s="76">
        <v>7.4970000000000009E-2</v>
      </c>
      <c r="AE617" s="76">
        <v>7.4970000000000009E-2</v>
      </c>
      <c r="AF617" s="76">
        <v>7.4970000000000009E-2</v>
      </c>
      <c r="AG617" s="76">
        <v>7.4970000000000009E-2</v>
      </c>
      <c r="AH617" s="76">
        <v>7.4970000000000009E-2</v>
      </c>
      <c r="AI617" s="76">
        <v>7.4970000000000009E-2</v>
      </c>
      <c r="AJ617" s="76">
        <v>7.4970000000000009E-2</v>
      </c>
      <c r="AK617" s="76">
        <v>7.4970000000000009E-2</v>
      </c>
      <c r="AL617" s="76">
        <v>7.4970000000000009E-2</v>
      </c>
      <c r="AM617" s="76">
        <v>7.4970000000000009E-2</v>
      </c>
      <c r="AN617" s="76">
        <v>7.4970000000000009E-2</v>
      </c>
      <c r="AO617" s="76">
        <v>7.4970000000000009E-2</v>
      </c>
      <c r="AP617" s="76">
        <v>7.4970000000000009E-2</v>
      </c>
      <c r="AQ617" s="76">
        <v>7.4970000000000009E-2</v>
      </c>
      <c r="AR617" s="76">
        <v>7.4970000000000009E-2</v>
      </c>
      <c r="AS617" s="76">
        <v>7.4970000000000009E-2</v>
      </c>
      <c r="AT617" s="76">
        <v>7.4970000000000009E-2</v>
      </c>
      <c r="AU617" s="76">
        <v>7.4970000000000009E-2</v>
      </c>
      <c r="AV617" s="76">
        <v>7.4970000000000009E-2</v>
      </c>
      <c r="AW617" s="76">
        <v>7.4970000000000009E-2</v>
      </c>
      <c r="AX617" s="84">
        <v>7.4970000000000009E-2</v>
      </c>
    </row>
    <row r="618" spans="1:50" x14ac:dyDescent="0.25">
      <c r="A618" s="356"/>
      <c r="B618" s="359"/>
      <c r="C618" s="360"/>
      <c r="D618" s="2" t="s">
        <v>20</v>
      </c>
      <c r="E618" s="160" t="str">
        <f>A607&amp;"/"&amp;B615&amp;"/"&amp;C615&amp;"/"&amp;D618</f>
        <v>Biomass and waste fired power plants/Fluidized bed combustion/Electricity only/XS</v>
      </c>
      <c r="F618" s="76" t="str">
        <f>A607</f>
        <v>Biomass and waste fired power plants</v>
      </c>
      <c r="G618" s="76" t="str">
        <f>B615</f>
        <v>Fluidized bed combustion</v>
      </c>
      <c r="H618" s="76" t="str">
        <f>C615</f>
        <v>Electricity only</v>
      </c>
      <c r="I618" s="161" t="str">
        <f t="shared" si="86"/>
        <v>XS</v>
      </c>
      <c r="J618" s="76">
        <v>7.8718500000000011E-2</v>
      </c>
      <c r="K618" s="76">
        <v>7.8718500000000011E-2</v>
      </c>
      <c r="L618" s="76">
        <v>7.8718500000000011E-2</v>
      </c>
      <c r="M618" s="76">
        <v>7.8718500000000011E-2</v>
      </c>
      <c r="N618" s="76">
        <v>7.8718500000000011E-2</v>
      </c>
      <c r="O618" s="76">
        <v>7.8718500000000011E-2</v>
      </c>
      <c r="P618" s="76">
        <v>7.8718500000000011E-2</v>
      </c>
      <c r="Q618" s="76">
        <v>7.8718500000000011E-2</v>
      </c>
      <c r="R618" s="76">
        <v>7.8718500000000011E-2</v>
      </c>
      <c r="S618" s="76">
        <v>7.8718500000000011E-2</v>
      </c>
      <c r="T618" s="76">
        <v>7.8718500000000011E-2</v>
      </c>
      <c r="U618" s="76">
        <v>7.8718500000000011E-2</v>
      </c>
      <c r="V618" s="76">
        <v>7.8718500000000011E-2</v>
      </c>
      <c r="W618" s="76">
        <v>7.8718500000000011E-2</v>
      </c>
      <c r="X618" s="76">
        <v>7.8718500000000011E-2</v>
      </c>
      <c r="Y618" s="76">
        <v>7.8718500000000011E-2</v>
      </c>
      <c r="Z618" s="76">
        <v>7.8718500000000011E-2</v>
      </c>
      <c r="AA618" s="76">
        <v>7.8718500000000011E-2</v>
      </c>
      <c r="AB618" s="76">
        <v>7.8718500000000011E-2</v>
      </c>
      <c r="AC618" s="76">
        <v>7.8718500000000011E-2</v>
      </c>
      <c r="AD618" s="76">
        <v>7.8718500000000011E-2</v>
      </c>
      <c r="AE618" s="76">
        <v>7.8718500000000011E-2</v>
      </c>
      <c r="AF618" s="76">
        <v>7.8718500000000011E-2</v>
      </c>
      <c r="AG618" s="76">
        <v>7.8718500000000011E-2</v>
      </c>
      <c r="AH618" s="76">
        <v>7.8718500000000011E-2</v>
      </c>
      <c r="AI618" s="76">
        <v>7.8718500000000011E-2</v>
      </c>
      <c r="AJ618" s="76">
        <v>7.8718500000000011E-2</v>
      </c>
      <c r="AK618" s="76">
        <v>7.8718500000000011E-2</v>
      </c>
      <c r="AL618" s="76">
        <v>7.8718500000000011E-2</v>
      </c>
      <c r="AM618" s="76">
        <v>7.8718500000000011E-2</v>
      </c>
      <c r="AN618" s="76">
        <v>7.8718500000000011E-2</v>
      </c>
      <c r="AO618" s="76">
        <v>7.8718500000000011E-2</v>
      </c>
      <c r="AP618" s="76">
        <v>7.8718500000000011E-2</v>
      </c>
      <c r="AQ618" s="76">
        <v>7.8718500000000011E-2</v>
      </c>
      <c r="AR618" s="76">
        <v>7.8718500000000011E-2</v>
      </c>
      <c r="AS618" s="76">
        <v>7.8718500000000011E-2</v>
      </c>
      <c r="AT618" s="76">
        <v>7.8718500000000011E-2</v>
      </c>
      <c r="AU618" s="76">
        <v>7.8718500000000011E-2</v>
      </c>
      <c r="AV618" s="76">
        <v>7.8718500000000011E-2</v>
      </c>
      <c r="AW618" s="76">
        <v>7.8718500000000011E-2</v>
      </c>
      <c r="AX618" s="84">
        <v>7.8718500000000011E-2</v>
      </c>
    </row>
    <row r="619" spans="1:50" x14ac:dyDescent="0.25">
      <c r="A619" s="356"/>
      <c r="B619" s="359"/>
      <c r="C619" s="361" t="s">
        <v>14</v>
      </c>
      <c r="D619" s="58" t="s">
        <v>7</v>
      </c>
      <c r="E619" s="164" t="str">
        <f>A607&amp;"/"&amp;B615&amp;"/"&amp;C619&amp;"/"&amp;D619</f>
        <v>Biomass and waste fired power plants/Fluidized bed combustion/CHP/L</v>
      </c>
      <c r="F619" s="78" t="str">
        <f>A607</f>
        <v>Biomass and waste fired power plants</v>
      </c>
      <c r="G619" s="78" t="str">
        <f>B615</f>
        <v>Fluidized bed combustion</v>
      </c>
      <c r="H619" s="78" t="str">
        <f>C619</f>
        <v>CHP</v>
      </c>
      <c r="I619" s="165" t="str">
        <f t="shared" si="86"/>
        <v>L</v>
      </c>
      <c r="J619" s="78">
        <v>7.4800000000000005E-2</v>
      </c>
      <c r="K619" s="78">
        <v>7.4800000000000005E-2</v>
      </c>
      <c r="L619" s="78">
        <v>7.4800000000000005E-2</v>
      </c>
      <c r="M619" s="78">
        <v>7.4800000000000005E-2</v>
      </c>
      <c r="N619" s="78">
        <v>7.4800000000000005E-2</v>
      </c>
      <c r="O619" s="78">
        <v>7.4800000000000005E-2</v>
      </c>
      <c r="P619" s="78">
        <v>7.4800000000000005E-2</v>
      </c>
      <c r="Q619" s="78">
        <v>7.4800000000000005E-2</v>
      </c>
      <c r="R619" s="78">
        <v>7.4800000000000005E-2</v>
      </c>
      <c r="S619" s="78">
        <v>7.4800000000000005E-2</v>
      </c>
      <c r="T619" s="78">
        <v>7.4800000000000005E-2</v>
      </c>
      <c r="U619" s="78">
        <v>7.4800000000000005E-2</v>
      </c>
      <c r="V619" s="78">
        <v>7.4800000000000005E-2</v>
      </c>
      <c r="W619" s="78">
        <v>7.4800000000000005E-2</v>
      </c>
      <c r="X619" s="78">
        <v>7.4800000000000005E-2</v>
      </c>
      <c r="Y619" s="78">
        <v>7.4800000000000005E-2</v>
      </c>
      <c r="Z619" s="78">
        <v>7.4800000000000005E-2</v>
      </c>
      <c r="AA619" s="78">
        <v>7.4800000000000005E-2</v>
      </c>
      <c r="AB619" s="78">
        <v>7.4800000000000005E-2</v>
      </c>
      <c r="AC619" s="78">
        <v>7.4800000000000005E-2</v>
      </c>
      <c r="AD619" s="78">
        <v>7.4800000000000005E-2</v>
      </c>
      <c r="AE619" s="78">
        <v>7.4800000000000005E-2</v>
      </c>
      <c r="AF619" s="78">
        <v>7.4800000000000005E-2</v>
      </c>
      <c r="AG619" s="78">
        <v>7.4800000000000005E-2</v>
      </c>
      <c r="AH619" s="78">
        <v>7.4800000000000005E-2</v>
      </c>
      <c r="AI619" s="78">
        <v>7.4800000000000005E-2</v>
      </c>
      <c r="AJ619" s="78">
        <v>7.4800000000000005E-2</v>
      </c>
      <c r="AK619" s="78">
        <v>7.4800000000000005E-2</v>
      </c>
      <c r="AL619" s="78">
        <v>7.4800000000000005E-2</v>
      </c>
      <c r="AM619" s="78">
        <v>7.4800000000000005E-2</v>
      </c>
      <c r="AN619" s="78">
        <v>7.4800000000000005E-2</v>
      </c>
      <c r="AO619" s="78">
        <v>7.4800000000000005E-2</v>
      </c>
      <c r="AP619" s="78">
        <v>7.4800000000000005E-2</v>
      </c>
      <c r="AQ619" s="78">
        <v>7.4800000000000005E-2</v>
      </c>
      <c r="AR619" s="78">
        <v>7.4800000000000005E-2</v>
      </c>
      <c r="AS619" s="78">
        <v>7.4800000000000005E-2</v>
      </c>
      <c r="AT619" s="78">
        <v>7.4800000000000005E-2</v>
      </c>
      <c r="AU619" s="78">
        <v>7.4800000000000005E-2</v>
      </c>
      <c r="AV619" s="78">
        <v>7.4800000000000005E-2</v>
      </c>
      <c r="AW619" s="78">
        <v>7.4800000000000005E-2</v>
      </c>
      <c r="AX619" s="86">
        <v>7.4800000000000005E-2</v>
      </c>
    </row>
    <row r="620" spans="1:50" x14ac:dyDescent="0.25">
      <c r="A620" s="356"/>
      <c r="B620" s="359"/>
      <c r="C620" s="350"/>
      <c r="D620" s="2" t="s">
        <v>8</v>
      </c>
      <c r="E620" s="160" t="str">
        <f>A607&amp;"/"&amp;B615&amp;"/"&amp;C619&amp;"/"&amp;D620</f>
        <v>Biomass and waste fired power plants/Fluidized bed combustion/CHP/M</v>
      </c>
      <c r="F620" s="76" t="str">
        <f>A607</f>
        <v>Biomass and waste fired power plants</v>
      </c>
      <c r="G620" s="76" t="str">
        <f>B615</f>
        <v>Fluidized bed combustion</v>
      </c>
      <c r="H620" s="76" t="str">
        <f>C619</f>
        <v>CHP</v>
      </c>
      <c r="I620" s="161" t="str">
        <f t="shared" si="86"/>
        <v>M</v>
      </c>
      <c r="J620" s="76">
        <v>7.8540000000000013E-2</v>
      </c>
      <c r="K620" s="76">
        <v>7.8540000000000013E-2</v>
      </c>
      <c r="L620" s="76">
        <v>7.8540000000000013E-2</v>
      </c>
      <c r="M620" s="76">
        <v>7.8540000000000013E-2</v>
      </c>
      <c r="N620" s="76">
        <v>7.8540000000000013E-2</v>
      </c>
      <c r="O620" s="76">
        <v>7.8540000000000013E-2</v>
      </c>
      <c r="P620" s="76">
        <v>7.8540000000000013E-2</v>
      </c>
      <c r="Q620" s="76">
        <v>7.8540000000000013E-2</v>
      </c>
      <c r="R620" s="76">
        <v>7.8540000000000013E-2</v>
      </c>
      <c r="S620" s="76">
        <v>7.8540000000000013E-2</v>
      </c>
      <c r="T620" s="76">
        <v>7.8540000000000013E-2</v>
      </c>
      <c r="U620" s="76">
        <v>7.8540000000000013E-2</v>
      </c>
      <c r="V620" s="76">
        <v>7.8540000000000013E-2</v>
      </c>
      <c r="W620" s="76">
        <v>7.8540000000000013E-2</v>
      </c>
      <c r="X620" s="76">
        <v>7.8540000000000013E-2</v>
      </c>
      <c r="Y620" s="76">
        <v>7.8540000000000013E-2</v>
      </c>
      <c r="Z620" s="76">
        <v>7.8540000000000013E-2</v>
      </c>
      <c r="AA620" s="76">
        <v>7.8540000000000013E-2</v>
      </c>
      <c r="AB620" s="76">
        <v>7.8540000000000013E-2</v>
      </c>
      <c r="AC620" s="76">
        <v>7.8540000000000013E-2</v>
      </c>
      <c r="AD620" s="76">
        <v>7.8540000000000013E-2</v>
      </c>
      <c r="AE620" s="76">
        <v>7.8540000000000013E-2</v>
      </c>
      <c r="AF620" s="76">
        <v>7.8540000000000013E-2</v>
      </c>
      <c r="AG620" s="76">
        <v>7.8540000000000013E-2</v>
      </c>
      <c r="AH620" s="76">
        <v>7.8540000000000013E-2</v>
      </c>
      <c r="AI620" s="76">
        <v>7.8540000000000013E-2</v>
      </c>
      <c r="AJ620" s="76">
        <v>7.8540000000000013E-2</v>
      </c>
      <c r="AK620" s="76">
        <v>7.8540000000000013E-2</v>
      </c>
      <c r="AL620" s="76">
        <v>7.8540000000000013E-2</v>
      </c>
      <c r="AM620" s="76">
        <v>7.8540000000000013E-2</v>
      </c>
      <c r="AN620" s="76">
        <v>7.8540000000000013E-2</v>
      </c>
      <c r="AO620" s="76">
        <v>7.8540000000000013E-2</v>
      </c>
      <c r="AP620" s="76">
        <v>7.8540000000000013E-2</v>
      </c>
      <c r="AQ620" s="76">
        <v>7.8540000000000013E-2</v>
      </c>
      <c r="AR620" s="76">
        <v>7.8540000000000013E-2</v>
      </c>
      <c r="AS620" s="76">
        <v>7.8540000000000013E-2</v>
      </c>
      <c r="AT620" s="76">
        <v>7.8540000000000013E-2</v>
      </c>
      <c r="AU620" s="76">
        <v>7.8540000000000013E-2</v>
      </c>
      <c r="AV620" s="76">
        <v>7.8540000000000013E-2</v>
      </c>
      <c r="AW620" s="76">
        <v>7.8540000000000013E-2</v>
      </c>
      <c r="AX620" s="84">
        <v>7.8540000000000013E-2</v>
      </c>
    </row>
    <row r="621" spans="1:50" x14ac:dyDescent="0.25">
      <c r="A621" s="356"/>
      <c r="B621" s="359"/>
      <c r="C621" s="350"/>
      <c r="D621" s="2" t="s">
        <v>10</v>
      </c>
      <c r="E621" s="160" t="str">
        <f>A607&amp;"/"&amp;B615&amp;"/"&amp;C619&amp;"/"&amp;D621</f>
        <v>Biomass and waste fired power plants/Fluidized bed combustion/CHP/S</v>
      </c>
      <c r="F621" s="76" t="str">
        <f>A607</f>
        <v>Biomass and waste fired power plants</v>
      </c>
      <c r="G621" s="76" t="str">
        <f>B615</f>
        <v>Fluidized bed combustion</v>
      </c>
      <c r="H621" s="76" t="str">
        <f>C619</f>
        <v>CHP</v>
      </c>
      <c r="I621" s="161" t="str">
        <f t="shared" si="86"/>
        <v>S</v>
      </c>
      <c r="J621" s="76">
        <v>8.2467000000000013E-2</v>
      </c>
      <c r="K621" s="76">
        <v>8.2467000000000013E-2</v>
      </c>
      <c r="L621" s="76">
        <v>8.2467000000000013E-2</v>
      </c>
      <c r="M621" s="76">
        <v>8.2467000000000013E-2</v>
      </c>
      <c r="N621" s="76">
        <v>8.2467000000000013E-2</v>
      </c>
      <c r="O621" s="76">
        <v>8.2467000000000013E-2</v>
      </c>
      <c r="P621" s="76">
        <v>8.2467000000000013E-2</v>
      </c>
      <c r="Q621" s="76">
        <v>8.2467000000000013E-2</v>
      </c>
      <c r="R621" s="76">
        <v>8.2467000000000013E-2</v>
      </c>
      <c r="S621" s="76">
        <v>8.2467000000000013E-2</v>
      </c>
      <c r="T621" s="76">
        <v>8.2467000000000013E-2</v>
      </c>
      <c r="U621" s="76">
        <v>8.2467000000000013E-2</v>
      </c>
      <c r="V621" s="76">
        <v>8.2467000000000013E-2</v>
      </c>
      <c r="W621" s="76">
        <v>8.2467000000000013E-2</v>
      </c>
      <c r="X621" s="76">
        <v>8.2467000000000013E-2</v>
      </c>
      <c r="Y621" s="76">
        <v>8.2467000000000013E-2</v>
      </c>
      <c r="Z621" s="76">
        <v>8.2467000000000013E-2</v>
      </c>
      <c r="AA621" s="76">
        <v>8.2467000000000013E-2</v>
      </c>
      <c r="AB621" s="76">
        <v>8.2467000000000013E-2</v>
      </c>
      <c r="AC621" s="76">
        <v>8.2467000000000013E-2</v>
      </c>
      <c r="AD621" s="76">
        <v>8.2467000000000013E-2</v>
      </c>
      <c r="AE621" s="76">
        <v>8.2467000000000013E-2</v>
      </c>
      <c r="AF621" s="76">
        <v>8.2467000000000013E-2</v>
      </c>
      <c r="AG621" s="76">
        <v>8.2467000000000013E-2</v>
      </c>
      <c r="AH621" s="76">
        <v>8.2467000000000013E-2</v>
      </c>
      <c r="AI621" s="76">
        <v>8.2467000000000013E-2</v>
      </c>
      <c r="AJ621" s="76">
        <v>8.2467000000000013E-2</v>
      </c>
      <c r="AK621" s="76">
        <v>8.2467000000000013E-2</v>
      </c>
      <c r="AL621" s="76">
        <v>8.2467000000000013E-2</v>
      </c>
      <c r="AM621" s="76">
        <v>8.2467000000000013E-2</v>
      </c>
      <c r="AN621" s="76">
        <v>8.2467000000000013E-2</v>
      </c>
      <c r="AO621" s="76">
        <v>8.2467000000000013E-2</v>
      </c>
      <c r="AP621" s="76">
        <v>8.2467000000000013E-2</v>
      </c>
      <c r="AQ621" s="76">
        <v>8.2467000000000013E-2</v>
      </c>
      <c r="AR621" s="76">
        <v>8.2467000000000013E-2</v>
      </c>
      <c r="AS621" s="76">
        <v>8.2467000000000013E-2</v>
      </c>
      <c r="AT621" s="76">
        <v>8.2467000000000013E-2</v>
      </c>
      <c r="AU621" s="76">
        <v>8.2467000000000013E-2</v>
      </c>
      <c r="AV621" s="76">
        <v>8.2467000000000013E-2</v>
      </c>
      <c r="AW621" s="76">
        <v>8.2467000000000013E-2</v>
      </c>
      <c r="AX621" s="84">
        <v>8.2467000000000013E-2</v>
      </c>
    </row>
    <row r="622" spans="1:50" x14ac:dyDescent="0.25">
      <c r="A622" s="356"/>
      <c r="B622" s="359"/>
      <c r="C622" s="360"/>
      <c r="D622" s="59" t="s">
        <v>20</v>
      </c>
      <c r="E622" s="166" t="str">
        <f>A607&amp;"/"&amp;B615&amp;"/"&amp;C619&amp;"/"&amp;D622</f>
        <v>Biomass and waste fired power plants/Fluidized bed combustion/CHP/XS</v>
      </c>
      <c r="F622" s="79" t="str">
        <f>A607</f>
        <v>Biomass and waste fired power plants</v>
      </c>
      <c r="G622" s="79" t="str">
        <f>B615</f>
        <v>Fluidized bed combustion</v>
      </c>
      <c r="H622" s="79" t="str">
        <f>C619</f>
        <v>CHP</v>
      </c>
      <c r="I622" s="167" t="str">
        <f t="shared" si="86"/>
        <v>XS</v>
      </c>
      <c r="J622" s="79">
        <v>8.6590350000000024E-2</v>
      </c>
      <c r="K622" s="79">
        <v>8.6590350000000024E-2</v>
      </c>
      <c r="L622" s="79">
        <v>8.6590350000000024E-2</v>
      </c>
      <c r="M622" s="79">
        <v>8.6590350000000024E-2</v>
      </c>
      <c r="N622" s="79">
        <v>8.6590350000000024E-2</v>
      </c>
      <c r="O622" s="79">
        <v>8.6590350000000024E-2</v>
      </c>
      <c r="P622" s="79">
        <v>8.6590350000000024E-2</v>
      </c>
      <c r="Q622" s="79">
        <v>8.6590350000000024E-2</v>
      </c>
      <c r="R622" s="79">
        <v>8.6590350000000024E-2</v>
      </c>
      <c r="S622" s="79">
        <v>8.6590350000000024E-2</v>
      </c>
      <c r="T622" s="79">
        <v>8.6590350000000024E-2</v>
      </c>
      <c r="U622" s="79">
        <v>8.6590350000000024E-2</v>
      </c>
      <c r="V622" s="79">
        <v>8.6590350000000024E-2</v>
      </c>
      <c r="W622" s="79">
        <v>8.6590350000000024E-2</v>
      </c>
      <c r="X622" s="79">
        <v>8.6590350000000024E-2</v>
      </c>
      <c r="Y622" s="79">
        <v>8.6590350000000024E-2</v>
      </c>
      <c r="Z622" s="79">
        <v>8.6590350000000024E-2</v>
      </c>
      <c r="AA622" s="79">
        <v>8.6590350000000024E-2</v>
      </c>
      <c r="AB622" s="79">
        <v>8.6590350000000024E-2</v>
      </c>
      <c r="AC622" s="79">
        <v>8.6590350000000024E-2</v>
      </c>
      <c r="AD622" s="79">
        <v>8.6590350000000024E-2</v>
      </c>
      <c r="AE622" s="79">
        <v>8.6590350000000024E-2</v>
      </c>
      <c r="AF622" s="79">
        <v>8.6590350000000024E-2</v>
      </c>
      <c r="AG622" s="79">
        <v>8.6590350000000024E-2</v>
      </c>
      <c r="AH622" s="79">
        <v>8.6590350000000024E-2</v>
      </c>
      <c r="AI622" s="79">
        <v>8.6590350000000024E-2</v>
      </c>
      <c r="AJ622" s="79">
        <v>8.6590350000000024E-2</v>
      </c>
      <c r="AK622" s="79">
        <v>8.6590350000000024E-2</v>
      </c>
      <c r="AL622" s="79">
        <v>8.6590350000000024E-2</v>
      </c>
      <c r="AM622" s="79">
        <v>8.6590350000000024E-2</v>
      </c>
      <c r="AN622" s="79">
        <v>8.6590350000000024E-2</v>
      </c>
      <c r="AO622" s="79">
        <v>8.6590350000000024E-2</v>
      </c>
      <c r="AP622" s="79">
        <v>8.6590350000000024E-2</v>
      </c>
      <c r="AQ622" s="79">
        <v>8.6590350000000024E-2</v>
      </c>
      <c r="AR622" s="79">
        <v>8.6590350000000024E-2</v>
      </c>
      <c r="AS622" s="79">
        <v>8.6590350000000024E-2</v>
      </c>
      <c r="AT622" s="79">
        <v>8.6590350000000024E-2</v>
      </c>
      <c r="AU622" s="79">
        <v>8.6590350000000024E-2</v>
      </c>
      <c r="AV622" s="79">
        <v>8.6590350000000024E-2</v>
      </c>
      <c r="AW622" s="79">
        <v>8.6590350000000024E-2</v>
      </c>
      <c r="AX622" s="87">
        <v>8.6590350000000024E-2</v>
      </c>
    </row>
    <row r="623" spans="1:50" x14ac:dyDescent="0.25">
      <c r="A623" s="356"/>
      <c r="B623" s="359"/>
      <c r="C623" s="361" t="s">
        <v>15</v>
      </c>
      <c r="D623" s="58" t="s">
        <v>7</v>
      </c>
      <c r="E623" s="164" t="str">
        <f>A607&amp;"/"&amp;B615&amp;"/"&amp;C623&amp;"/"&amp;D623</f>
        <v>Biomass and waste fired power plants/Fluidized bed combustion/Electricity only with CCS/L</v>
      </c>
      <c r="F623" s="78" t="str">
        <f>A607</f>
        <v>Biomass and waste fired power plants</v>
      </c>
      <c r="G623" s="78" t="str">
        <f>B615</f>
        <v>Fluidized bed combustion</v>
      </c>
      <c r="H623" s="78" t="str">
        <f>C623</f>
        <v>Electricity only with CCS</v>
      </c>
      <c r="I623" s="165" t="str">
        <f t="shared" si="86"/>
        <v>L</v>
      </c>
      <c r="J623" s="78" t="s">
        <v>112</v>
      </c>
      <c r="K623" s="78" t="s">
        <v>112</v>
      </c>
      <c r="L623" s="78" t="s">
        <v>112</v>
      </c>
      <c r="M623" s="78" t="s">
        <v>112</v>
      </c>
      <c r="N623" s="78" t="s">
        <v>112</v>
      </c>
      <c r="O623" s="78" t="s">
        <v>112</v>
      </c>
      <c r="P623" s="78" t="s">
        <v>112</v>
      </c>
      <c r="Q623" s="78" t="s">
        <v>112</v>
      </c>
      <c r="R623" s="78" t="s">
        <v>112</v>
      </c>
      <c r="S623" s="78" t="s">
        <v>112</v>
      </c>
      <c r="T623" s="78" t="s">
        <v>112</v>
      </c>
      <c r="U623" s="78" t="s">
        <v>112</v>
      </c>
      <c r="V623" s="78" t="s">
        <v>112</v>
      </c>
      <c r="W623" s="78" t="s">
        <v>112</v>
      </c>
      <c r="X623" s="78" t="s">
        <v>112</v>
      </c>
      <c r="Y623" s="78" t="s">
        <v>112</v>
      </c>
      <c r="Z623" s="78" t="s">
        <v>112</v>
      </c>
      <c r="AA623" s="78" t="s">
        <v>112</v>
      </c>
      <c r="AB623" s="78" t="s">
        <v>112</v>
      </c>
      <c r="AC623" s="78" t="s">
        <v>112</v>
      </c>
      <c r="AD623" s="78" t="s">
        <v>112</v>
      </c>
      <c r="AE623" s="78">
        <v>0.255</v>
      </c>
      <c r="AF623" s="78">
        <v>0.255</v>
      </c>
      <c r="AG623" s="78">
        <v>0.255</v>
      </c>
      <c r="AH623" s="78">
        <v>0.255</v>
      </c>
      <c r="AI623" s="78">
        <v>0.255</v>
      </c>
      <c r="AJ623" s="78">
        <v>0.255</v>
      </c>
      <c r="AK623" s="78">
        <v>0.255</v>
      </c>
      <c r="AL623" s="78">
        <v>0.255</v>
      </c>
      <c r="AM623" s="78">
        <v>0.255</v>
      </c>
      <c r="AN623" s="78">
        <v>0.255</v>
      </c>
      <c r="AO623" s="78">
        <v>0.255</v>
      </c>
      <c r="AP623" s="78">
        <v>0.255</v>
      </c>
      <c r="AQ623" s="78">
        <v>0.255</v>
      </c>
      <c r="AR623" s="78">
        <v>0.255</v>
      </c>
      <c r="AS623" s="78">
        <v>0.255</v>
      </c>
      <c r="AT623" s="78">
        <v>0.255</v>
      </c>
      <c r="AU623" s="78">
        <v>0.255</v>
      </c>
      <c r="AV623" s="78">
        <v>0.255</v>
      </c>
      <c r="AW623" s="78">
        <v>0.255</v>
      </c>
      <c r="AX623" s="86">
        <v>0.255</v>
      </c>
    </row>
    <row r="624" spans="1:50" x14ac:dyDescent="0.25">
      <c r="A624" s="356"/>
      <c r="B624" s="359"/>
      <c r="C624" s="360"/>
      <c r="D624" s="59" t="s">
        <v>8</v>
      </c>
      <c r="E624" s="166" t="str">
        <f>A607&amp;"/"&amp;B615&amp;"/"&amp;C623&amp;"/"&amp;D624</f>
        <v>Biomass and waste fired power plants/Fluidized bed combustion/Electricity only with CCS/M</v>
      </c>
      <c r="F624" s="79" t="str">
        <f>A607</f>
        <v>Biomass and waste fired power plants</v>
      </c>
      <c r="G624" s="79" t="str">
        <f>B615</f>
        <v>Fluidized bed combustion</v>
      </c>
      <c r="H624" s="79" t="str">
        <f>C623</f>
        <v>Electricity only with CCS</v>
      </c>
      <c r="I624" s="167" t="str">
        <f t="shared" si="86"/>
        <v>M</v>
      </c>
      <c r="J624" s="79" t="s">
        <v>112</v>
      </c>
      <c r="K624" s="79" t="s">
        <v>112</v>
      </c>
      <c r="L624" s="79" t="s">
        <v>112</v>
      </c>
      <c r="M624" s="79" t="s">
        <v>112</v>
      </c>
      <c r="N624" s="79" t="s">
        <v>112</v>
      </c>
      <c r="O624" s="79" t="s">
        <v>112</v>
      </c>
      <c r="P624" s="79" t="s">
        <v>112</v>
      </c>
      <c r="Q624" s="79" t="s">
        <v>112</v>
      </c>
      <c r="R624" s="79" t="s">
        <v>112</v>
      </c>
      <c r="S624" s="79" t="s">
        <v>112</v>
      </c>
      <c r="T624" s="79" t="s">
        <v>112</v>
      </c>
      <c r="U624" s="79" t="s">
        <v>112</v>
      </c>
      <c r="V624" s="79" t="s">
        <v>112</v>
      </c>
      <c r="W624" s="79" t="s">
        <v>112</v>
      </c>
      <c r="X624" s="79" t="s">
        <v>112</v>
      </c>
      <c r="Y624" s="79" t="s">
        <v>112</v>
      </c>
      <c r="Z624" s="79" t="s">
        <v>112</v>
      </c>
      <c r="AA624" s="79" t="s">
        <v>112</v>
      </c>
      <c r="AB624" s="79" t="s">
        <v>112</v>
      </c>
      <c r="AC624" s="79" t="s">
        <v>112</v>
      </c>
      <c r="AD624" s="79" t="s">
        <v>112</v>
      </c>
      <c r="AE624" s="79">
        <v>0.26775000000000004</v>
      </c>
      <c r="AF624" s="79">
        <v>0.26775000000000004</v>
      </c>
      <c r="AG624" s="79">
        <v>0.26775000000000004</v>
      </c>
      <c r="AH624" s="79">
        <v>0.26775000000000004</v>
      </c>
      <c r="AI624" s="79">
        <v>0.26775000000000004</v>
      </c>
      <c r="AJ624" s="79">
        <v>0.26775000000000004</v>
      </c>
      <c r="AK624" s="79">
        <v>0.26775000000000004</v>
      </c>
      <c r="AL624" s="79">
        <v>0.26775000000000004</v>
      </c>
      <c r="AM624" s="79">
        <v>0.26775000000000004</v>
      </c>
      <c r="AN624" s="79">
        <v>0.26775000000000004</v>
      </c>
      <c r="AO624" s="79">
        <v>0.26775000000000004</v>
      </c>
      <c r="AP624" s="79">
        <v>0.26775000000000004</v>
      </c>
      <c r="AQ624" s="79">
        <v>0.26775000000000004</v>
      </c>
      <c r="AR624" s="79">
        <v>0.26775000000000004</v>
      </c>
      <c r="AS624" s="79">
        <v>0.26775000000000004</v>
      </c>
      <c r="AT624" s="79">
        <v>0.26775000000000004</v>
      </c>
      <c r="AU624" s="79">
        <v>0.26775000000000004</v>
      </c>
      <c r="AV624" s="79">
        <v>0.26775000000000004</v>
      </c>
      <c r="AW624" s="79">
        <v>0.26775000000000004</v>
      </c>
      <c r="AX624" s="87">
        <v>0.26775000000000004</v>
      </c>
    </row>
    <row r="625" spans="1:50" x14ac:dyDescent="0.25">
      <c r="A625" s="356"/>
      <c r="B625" s="359"/>
      <c r="C625" s="361" t="s">
        <v>16</v>
      </c>
      <c r="D625" s="2" t="s">
        <v>7</v>
      </c>
      <c r="E625" s="160" t="str">
        <f>A607&amp;"/"&amp;B615&amp;"/"&amp;C625&amp;"/"&amp;D625</f>
        <v>Biomass and waste fired power plants/Fluidized bed combustion/CHP with CCS/L</v>
      </c>
      <c r="F625" s="76" t="str">
        <f>A607</f>
        <v>Biomass and waste fired power plants</v>
      </c>
      <c r="G625" s="76" t="str">
        <f>B615</f>
        <v>Fluidized bed combustion</v>
      </c>
      <c r="H625" s="76" t="str">
        <f>C625</f>
        <v>CHP with CCS</v>
      </c>
      <c r="I625" s="161" t="str">
        <f t="shared" si="86"/>
        <v>L</v>
      </c>
      <c r="J625" s="76" t="s">
        <v>112</v>
      </c>
      <c r="K625" s="76" t="s">
        <v>112</v>
      </c>
      <c r="L625" s="76" t="s">
        <v>112</v>
      </c>
      <c r="M625" s="76" t="s">
        <v>112</v>
      </c>
      <c r="N625" s="76" t="s">
        <v>112</v>
      </c>
      <c r="O625" s="76" t="s">
        <v>112</v>
      </c>
      <c r="P625" s="76" t="s">
        <v>112</v>
      </c>
      <c r="Q625" s="76" t="s">
        <v>112</v>
      </c>
      <c r="R625" s="76" t="s">
        <v>112</v>
      </c>
      <c r="S625" s="76" t="s">
        <v>112</v>
      </c>
      <c r="T625" s="76" t="s">
        <v>112</v>
      </c>
      <c r="U625" s="76" t="s">
        <v>112</v>
      </c>
      <c r="V625" s="76" t="s">
        <v>112</v>
      </c>
      <c r="W625" s="76" t="s">
        <v>112</v>
      </c>
      <c r="X625" s="76" t="s">
        <v>112</v>
      </c>
      <c r="Y625" s="76" t="s">
        <v>112</v>
      </c>
      <c r="Z625" s="76" t="s">
        <v>112</v>
      </c>
      <c r="AA625" s="76" t="s">
        <v>112</v>
      </c>
      <c r="AB625" s="76" t="s">
        <v>112</v>
      </c>
      <c r="AC625" s="76" t="s">
        <v>112</v>
      </c>
      <c r="AD625" s="76" t="s">
        <v>112</v>
      </c>
      <c r="AE625" s="76">
        <v>0.28050000000000003</v>
      </c>
      <c r="AF625" s="76">
        <v>0.28050000000000003</v>
      </c>
      <c r="AG625" s="76">
        <v>0.28050000000000003</v>
      </c>
      <c r="AH625" s="76">
        <v>0.28050000000000003</v>
      </c>
      <c r="AI625" s="76">
        <v>0.28050000000000003</v>
      </c>
      <c r="AJ625" s="76">
        <v>0.28050000000000003</v>
      </c>
      <c r="AK625" s="76">
        <v>0.28050000000000003</v>
      </c>
      <c r="AL625" s="76">
        <v>0.28050000000000003</v>
      </c>
      <c r="AM625" s="76">
        <v>0.28050000000000003</v>
      </c>
      <c r="AN625" s="76">
        <v>0.28050000000000003</v>
      </c>
      <c r="AO625" s="76">
        <v>0.28050000000000003</v>
      </c>
      <c r="AP625" s="76">
        <v>0.28050000000000003</v>
      </c>
      <c r="AQ625" s="76">
        <v>0.28050000000000003</v>
      </c>
      <c r="AR625" s="76">
        <v>0.28050000000000003</v>
      </c>
      <c r="AS625" s="76">
        <v>0.28050000000000003</v>
      </c>
      <c r="AT625" s="76">
        <v>0.28050000000000003</v>
      </c>
      <c r="AU625" s="76">
        <v>0.28050000000000003</v>
      </c>
      <c r="AV625" s="76">
        <v>0.28050000000000003</v>
      </c>
      <c r="AW625" s="76">
        <v>0.28050000000000003</v>
      </c>
      <c r="AX625" s="84">
        <v>0.28050000000000003</v>
      </c>
    </row>
    <row r="626" spans="1:50" x14ac:dyDescent="0.25">
      <c r="A626" s="356"/>
      <c r="B626" s="362"/>
      <c r="C626" s="354"/>
      <c r="D626" s="4" t="s">
        <v>8</v>
      </c>
      <c r="E626" s="168" t="str">
        <f>A607&amp;"/"&amp;B615&amp;"/"&amp;C625&amp;"/"&amp;D626</f>
        <v>Biomass and waste fired power plants/Fluidized bed combustion/CHP with CCS/M</v>
      </c>
      <c r="F626" s="80" t="str">
        <f>A607</f>
        <v>Biomass and waste fired power plants</v>
      </c>
      <c r="G626" s="80" t="str">
        <f>B615</f>
        <v>Fluidized bed combustion</v>
      </c>
      <c r="H626" s="80" t="str">
        <f>C625</f>
        <v>CHP with CCS</v>
      </c>
      <c r="I626" s="169" t="str">
        <f t="shared" si="86"/>
        <v>M</v>
      </c>
      <c r="J626" s="80" t="s">
        <v>112</v>
      </c>
      <c r="K626" s="80" t="s">
        <v>112</v>
      </c>
      <c r="L626" s="80" t="s">
        <v>112</v>
      </c>
      <c r="M626" s="80" t="s">
        <v>112</v>
      </c>
      <c r="N626" s="80" t="s">
        <v>112</v>
      </c>
      <c r="O626" s="80" t="s">
        <v>112</v>
      </c>
      <c r="P626" s="80" t="s">
        <v>112</v>
      </c>
      <c r="Q626" s="80" t="s">
        <v>112</v>
      </c>
      <c r="R626" s="80" t="s">
        <v>112</v>
      </c>
      <c r="S626" s="80" t="s">
        <v>112</v>
      </c>
      <c r="T626" s="80" t="s">
        <v>112</v>
      </c>
      <c r="U626" s="80" t="s">
        <v>112</v>
      </c>
      <c r="V626" s="80" t="s">
        <v>112</v>
      </c>
      <c r="W626" s="80" t="s">
        <v>112</v>
      </c>
      <c r="X626" s="80" t="s">
        <v>112</v>
      </c>
      <c r="Y626" s="80" t="s">
        <v>112</v>
      </c>
      <c r="Z626" s="80" t="s">
        <v>112</v>
      </c>
      <c r="AA626" s="80" t="s">
        <v>112</v>
      </c>
      <c r="AB626" s="80" t="s">
        <v>112</v>
      </c>
      <c r="AC626" s="80" t="s">
        <v>112</v>
      </c>
      <c r="AD626" s="80" t="s">
        <v>112</v>
      </c>
      <c r="AE626" s="80">
        <v>0.29452500000000009</v>
      </c>
      <c r="AF626" s="80">
        <v>0.29452500000000009</v>
      </c>
      <c r="AG626" s="80">
        <v>0.29452500000000009</v>
      </c>
      <c r="AH626" s="80">
        <v>0.29452500000000009</v>
      </c>
      <c r="AI626" s="80">
        <v>0.29452500000000009</v>
      </c>
      <c r="AJ626" s="80">
        <v>0.29452500000000009</v>
      </c>
      <c r="AK626" s="80">
        <v>0.29452500000000009</v>
      </c>
      <c r="AL626" s="80">
        <v>0.29452500000000009</v>
      </c>
      <c r="AM626" s="80">
        <v>0.29452500000000009</v>
      </c>
      <c r="AN626" s="80">
        <v>0.29452500000000009</v>
      </c>
      <c r="AO626" s="80">
        <v>0.29452500000000009</v>
      </c>
      <c r="AP626" s="80">
        <v>0.29452500000000009</v>
      </c>
      <c r="AQ626" s="80">
        <v>0.29452500000000009</v>
      </c>
      <c r="AR626" s="80">
        <v>0.29452500000000009</v>
      </c>
      <c r="AS626" s="80">
        <v>0.29452500000000009</v>
      </c>
      <c r="AT626" s="80">
        <v>0.29452500000000009</v>
      </c>
      <c r="AU626" s="80">
        <v>0.29452500000000009</v>
      </c>
      <c r="AV626" s="80">
        <v>0.29452500000000009</v>
      </c>
      <c r="AW626" s="80">
        <v>0.29452500000000009</v>
      </c>
      <c r="AX626" s="88">
        <v>0.29452500000000009</v>
      </c>
    </row>
    <row r="627" spans="1:50" x14ac:dyDescent="0.25">
      <c r="A627" s="356"/>
      <c r="B627" s="358" t="s">
        <v>19</v>
      </c>
      <c r="C627" s="353" t="s">
        <v>6</v>
      </c>
      <c r="D627" s="3" t="s">
        <v>7</v>
      </c>
      <c r="E627" s="162" t="str">
        <f>A607&amp;"/"&amp;B627&amp;"/"&amp;C627&amp;"/"&amp;D627</f>
        <v>Biomass and waste fired power plants/Steam turbine/Electricity only/L</v>
      </c>
      <c r="F627" s="77" t="str">
        <f>A607</f>
        <v>Biomass and waste fired power plants</v>
      </c>
      <c r="G627" s="77" t="str">
        <f>B627</f>
        <v>Steam turbine</v>
      </c>
      <c r="H627" s="77" t="str">
        <f>C627</f>
        <v>Electricity only</v>
      </c>
      <c r="I627" s="163" t="str">
        <f t="shared" si="86"/>
        <v>L</v>
      </c>
      <c r="J627" s="77">
        <v>7.0000000000000007E-2</v>
      </c>
      <c r="K627" s="77">
        <v>7.0000000000000007E-2</v>
      </c>
      <c r="L627" s="77">
        <v>7.0000000000000007E-2</v>
      </c>
      <c r="M627" s="77">
        <v>7.0000000000000007E-2</v>
      </c>
      <c r="N627" s="77">
        <v>7.0000000000000007E-2</v>
      </c>
      <c r="O627" s="77">
        <v>7.0000000000000007E-2</v>
      </c>
      <c r="P627" s="77">
        <v>7.0000000000000007E-2</v>
      </c>
      <c r="Q627" s="77">
        <v>7.0000000000000007E-2</v>
      </c>
      <c r="R627" s="77">
        <v>7.0000000000000007E-2</v>
      </c>
      <c r="S627" s="77">
        <v>7.0000000000000007E-2</v>
      </c>
      <c r="T627" s="77">
        <v>7.0000000000000007E-2</v>
      </c>
      <c r="U627" s="77">
        <v>7.0000000000000007E-2</v>
      </c>
      <c r="V627" s="77">
        <v>7.0000000000000007E-2</v>
      </c>
      <c r="W627" s="77">
        <v>7.0000000000000007E-2</v>
      </c>
      <c r="X627" s="77">
        <v>7.0000000000000007E-2</v>
      </c>
      <c r="Y627" s="77">
        <v>7.0000000000000007E-2</v>
      </c>
      <c r="Z627" s="77">
        <v>7.0000000000000007E-2</v>
      </c>
      <c r="AA627" s="77">
        <v>7.0000000000000007E-2</v>
      </c>
      <c r="AB627" s="77">
        <v>7.0000000000000007E-2</v>
      </c>
      <c r="AC627" s="77">
        <v>7.0000000000000007E-2</v>
      </c>
      <c r="AD627" s="77">
        <v>7.0000000000000007E-2</v>
      </c>
      <c r="AE627" s="77">
        <v>7.0000000000000007E-2</v>
      </c>
      <c r="AF627" s="77">
        <v>7.0000000000000007E-2</v>
      </c>
      <c r="AG627" s="77">
        <v>7.0000000000000007E-2</v>
      </c>
      <c r="AH627" s="77">
        <v>7.0000000000000007E-2</v>
      </c>
      <c r="AI627" s="77">
        <v>7.0000000000000007E-2</v>
      </c>
      <c r="AJ627" s="77">
        <v>7.0000000000000007E-2</v>
      </c>
      <c r="AK627" s="77">
        <v>7.0000000000000007E-2</v>
      </c>
      <c r="AL627" s="77">
        <v>7.0000000000000007E-2</v>
      </c>
      <c r="AM627" s="77">
        <v>7.0000000000000007E-2</v>
      </c>
      <c r="AN627" s="77">
        <v>7.0000000000000007E-2</v>
      </c>
      <c r="AO627" s="77">
        <v>7.0000000000000007E-2</v>
      </c>
      <c r="AP627" s="77">
        <v>7.0000000000000007E-2</v>
      </c>
      <c r="AQ627" s="77">
        <v>7.0000000000000007E-2</v>
      </c>
      <c r="AR627" s="77">
        <v>7.0000000000000007E-2</v>
      </c>
      <c r="AS627" s="77">
        <v>7.0000000000000007E-2</v>
      </c>
      <c r="AT627" s="77">
        <v>7.0000000000000007E-2</v>
      </c>
      <c r="AU627" s="77">
        <v>7.0000000000000007E-2</v>
      </c>
      <c r="AV627" s="77">
        <v>7.0000000000000007E-2</v>
      </c>
      <c r="AW627" s="77">
        <v>7.0000000000000007E-2</v>
      </c>
      <c r="AX627" s="85">
        <v>7.0000000000000007E-2</v>
      </c>
    </row>
    <row r="628" spans="1:50" x14ac:dyDescent="0.25">
      <c r="A628" s="356"/>
      <c r="B628" s="359"/>
      <c r="C628" s="350"/>
      <c r="D628" s="2" t="s">
        <v>8</v>
      </c>
      <c r="E628" s="160" t="str">
        <f>A607&amp;"/"&amp;B627&amp;"/"&amp;C627&amp;"/"&amp;D628</f>
        <v>Biomass and waste fired power plants/Steam turbine/Electricity only/M</v>
      </c>
      <c r="F628" s="76" t="str">
        <f>A607</f>
        <v>Biomass and waste fired power plants</v>
      </c>
      <c r="G628" s="76" t="str">
        <f>B627</f>
        <v>Steam turbine</v>
      </c>
      <c r="H628" s="76" t="str">
        <f>C627</f>
        <v>Electricity only</v>
      </c>
      <c r="I628" s="161" t="str">
        <f t="shared" si="86"/>
        <v>M</v>
      </c>
      <c r="J628" s="76">
        <v>7.350000000000001E-2</v>
      </c>
      <c r="K628" s="76">
        <v>7.350000000000001E-2</v>
      </c>
      <c r="L628" s="76">
        <v>7.350000000000001E-2</v>
      </c>
      <c r="M628" s="76">
        <v>7.350000000000001E-2</v>
      </c>
      <c r="N628" s="76">
        <v>7.350000000000001E-2</v>
      </c>
      <c r="O628" s="76">
        <v>7.350000000000001E-2</v>
      </c>
      <c r="P628" s="76">
        <v>7.350000000000001E-2</v>
      </c>
      <c r="Q628" s="76">
        <v>7.350000000000001E-2</v>
      </c>
      <c r="R628" s="76">
        <v>7.350000000000001E-2</v>
      </c>
      <c r="S628" s="76">
        <v>7.350000000000001E-2</v>
      </c>
      <c r="T628" s="76">
        <v>7.350000000000001E-2</v>
      </c>
      <c r="U628" s="76">
        <v>7.350000000000001E-2</v>
      </c>
      <c r="V628" s="76">
        <v>7.350000000000001E-2</v>
      </c>
      <c r="W628" s="76">
        <v>7.350000000000001E-2</v>
      </c>
      <c r="X628" s="76">
        <v>7.350000000000001E-2</v>
      </c>
      <c r="Y628" s="76">
        <v>7.350000000000001E-2</v>
      </c>
      <c r="Z628" s="76">
        <v>7.350000000000001E-2</v>
      </c>
      <c r="AA628" s="76">
        <v>7.350000000000001E-2</v>
      </c>
      <c r="AB628" s="76">
        <v>7.350000000000001E-2</v>
      </c>
      <c r="AC628" s="76">
        <v>7.350000000000001E-2</v>
      </c>
      <c r="AD628" s="76">
        <v>7.350000000000001E-2</v>
      </c>
      <c r="AE628" s="76">
        <v>7.350000000000001E-2</v>
      </c>
      <c r="AF628" s="76">
        <v>7.350000000000001E-2</v>
      </c>
      <c r="AG628" s="76">
        <v>7.350000000000001E-2</v>
      </c>
      <c r="AH628" s="76">
        <v>7.350000000000001E-2</v>
      </c>
      <c r="AI628" s="76">
        <v>7.350000000000001E-2</v>
      </c>
      <c r="AJ628" s="76">
        <v>7.350000000000001E-2</v>
      </c>
      <c r="AK628" s="76">
        <v>7.350000000000001E-2</v>
      </c>
      <c r="AL628" s="76">
        <v>7.350000000000001E-2</v>
      </c>
      <c r="AM628" s="76">
        <v>7.350000000000001E-2</v>
      </c>
      <c r="AN628" s="76">
        <v>7.350000000000001E-2</v>
      </c>
      <c r="AO628" s="76">
        <v>7.350000000000001E-2</v>
      </c>
      <c r="AP628" s="76">
        <v>7.350000000000001E-2</v>
      </c>
      <c r="AQ628" s="76">
        <v>7.350000000000001E-2</v>
      </c>
      <c r="AR628" s="76">
        <v>7.350000000000001E-2</v>
      </c>
      <c r="AS628" s="76">
        <v>7.350000000000001E-2</v>
      </c>
      <c r="AT628" s="76">
        <v>7.350000000000001E-2</v>
      </c>
      <c r="AU628" s="76">
        <v>7.350000000000001E-2</v>
      </c>
      <c r="AV628" s="76">
        <v>7.350000000000001E-2</v>
      </c>
      <c r="AW628" s="76">
        <v>7.350000000000001E-2</v>
      </c>
      <c r="AX628" s="84">
        <v>7.350000000000001E-2</v>
      </c>
    </row>
    <row r="629" spans="1:50" x14ac:dyDescent="0.25">
      <c r="A629" s="356"/>
      <c r="B629" s="359"/>
      <c r="C629" s="350"/>
      <c r="D629" s="2" t="s">
        <v>10</v>
      </c>
      <c r="E629" s="160" t="str">
        <f>A607&amp;"/"&amp;B627&amp;"/"&amp;C627&amp;"/"&amp;D629</f>
        <v>Biomass and waste fired power plants/Steam turbine/Electricity only/S</v>
      </c>
      <c r="F629" s="76" t="str">
        <f>A607</f>
        <v>Biomass and waste fired power plants</v>
      </c>
      <c r="G629" s="76" t="str">
        <f>B627</f>
        <v>Steam turbine</v>
      </c>
      <c r="H629" s="76" t="str">
        <f>C627</f>
        <v>Electricity only</v>
      </c>
      <c r="I629" s="161" t="str">
        <f t="shared" si="86"/>
        <v>S</v>
      </c>
      <c r="J629" s="76">
        <v>7.7175000000000007E-2</v>
      </c>
      <c r="K629" s="76">
        <v>7.7175000000000007E-2</v>
      </c>
      <c r="L629" s="76">
        <v>7.7175000000000007E-2</v>
      </c>
      <c r="M629" s="76">
        <v>7.7175000000000007E-2</v>
      </c>
      <c r="N629" s="76">
        <v>7.7175000000000007E-2</v>
      </c>
      <c r="O629" s="76">
        <v>7.7175000000000007E-2</v>
      </c>
      <c r="P629" s="76">
        <v>7.7175000000000007E-2</v>
      </c>
      <c r="Q629" s="76">
        <v>7.7175000000000007E-2</v>
      </c>
      <c r="R629" s="76">
        <v>7.7175000000000007E-2</v>
      </c>
      <c r="S629" s="76">
        <v>7.7175000000000007E-2</v>
      </c>
      <c r="T629" s="76">
        <v>7.7175000000000007E-2</v>
      </c>
      <c r="U629" s="76">
        <v>7.7175000000000007E-2</v>
      </c>
      <c r="V629" s="76">
        <v>7.7175000000000007E-2</v>
      </c>
      <c r="W629" s="76">
        <v>7.7175000000000007E-2</v>
      </c>
      <c r="X629" s="76">
        <v>7.7175000000000007E-2</v>
      </c>
      <c r="Y629" s="76">
        <v>7.7175000000000007E-2</v>
      </c>
      <c r="Z629" s="76">
        <v>7.7175000000000007E-2</v>
      </c>
      <c r="AA629" s="76">
        <v>7.7175000000000007E-2</v>
      </c>
      <c r="AB629" s="76">
        <v>7.7175000000000007E-2</v>
      </c>
      <c r="AC629" s="76">
        <v>7.7175000000000007E-2</v>
      </c>
      <c r="AD629" s="76">
        <v>7.7175000000000007E-2</v>
      </c>
      <c r="AE629" s="76">
        <v>7.7175000000000007E-2</v>
      </c>
      <c r="AF629" s="76">
        <v>7.7175000000000007E-2</v>
      </c>
      <c r="AG629" s="76">
        <v>7.7175000000000007E-2</v>
      </c>
      <c r="AH629" s="76">
        <v>7.7175000000000007E-2</v>
      </c>
      <c r="AI629" s="76">
        <v>7.7175000000000007E-2</v>
      </c>
      <c r="AJ629" s="76">
        <v>7.7175000000000007E-2</v>
      </c>
      <c r="AK629" s="76">
        <v>7.7175000000000007E-2</v>
      </c>
      <c r="AL629" s="76">
        <v>7.7175000000000007E-2</v>
      </c>
      <c r="AM629" s="76">
        <v>7.7175000000000007E-2</v>
      </c>
      <c r="AN629" s="76">
        <v>7.7175000000000007E-2</v>
      </c>
      <c r="AO629" s="76">
        <v>7.7175000000000007E-2</v>
      </c>
      <c r="AP629" s="76">
        <v>7.7175000000000007E-2</v>
      </c>
      <c r="AQ629" s="76">
        <v>7.7175000000000007E-2</v>
      </c>
      <c r="AR629" s="76">
        <v>7.7175000000000007E-2</v>
      </c>
      <c r="AS629" s="76">
        <v>7.7175000000000007E-2</v>
      </c>
      <c r="AT629" s="76">
        <v>7.7175000000000007E-2</v>
      </c>
      <c r="AU629" s="76">
        <v>7.7175000000000007E-2</v>
      </c>
      <c r="AV629" s="76">
        <v>7.7175000000000007E-2</v>
      </c>
      <c r="AW629" s="76">
        <v>7.7175000000000007E-2</v>
      </c>
      <c r="AX629" s="84">
        <v>7.7175000000000007E-2</v>
      </c>
    </row>
    <row r="630" spans="1:50" x14ac:dyDescent="0.25">
      <c r="A630" s="356"/>
      <c r="B630" s="359"/>
      <c r="C630" s="360"/>
      <c r="D630" s="2" t="s">
        <v>20</v>
      </c>
      <c r="E630" s="160" t="str">
        <f>A607&amp;"/"&amp;B627&amp;"/"&amp;C627&amp;"/"&amp;D630</f>
        <v>Biomass and waste fired power plants/Steam turbine/Electricity only/XS</v>
      </c>
      <c r="F630" s="76" t="str">
        <f>A607</f>
        <v>Biomass and waste fired power plants</v>
      </c>
      <c r="G630" s="76" t="str">
        <f>B627</f>
        <v>Steam turbine</v>
      </c>
      <c r="H630" s="76" t="str">
        <f>C627</f>
        <v>Electricity only</v>
      </c>
      <c r="I630" s="161" t="str">
        <f t="shared" si="86"/>
        <v>XS</v>
      </c>
      <c r="J630" s="76">
        <v>8.1033750000000015E-2</v>
      </c>
      <c r="K630" s="76">
        <v>8.1033750000000015E-2</v>
      </c>
      <c r="L630" s="76">
        <v>8.1033750000000015E-2</v>
      </c>
      <c r="M630" s="76">
        <v>8.1033750000000015E-2</v>
      </c>
      <c r="N630" s="76">
        <v>8.1033750000000015E-2</v>
      </c>
      <c r="O630" s="76">
        <v>8.1033750000000015E-2</v>
      </c>
      <c r="P630" s="76">
        <v>8.1033750000000015E-2</v>
      </c>
      <c r="Q630" s="76">
        <v>8.1033750000000015E-2</v>
      </c>
      <c r="R630" s="76">
        <v>8.1033750000000015E-2</v>
      </c>
      <c r="S630" s="76">
        <v>8.1033750000000015E-2</v>
      </c>
      <c r="T630" s="76">
        <v>8.1033750000000015E-2</v>
      </c>
      <c r="U630" s="76">
        <v>8.1033750000000015E-2</v>
      </c>
      <c r="V630" s="76">
        <v>8.1033750000000015E-2</v>
      </c>
      <c r="W630" s="76">
        <v>8.1033750000000015E-2</v>
      </c>
      <c r="X630" s="76">
        <v>8.1033750000000015E-2</v>
      </c>
      <c r="Y630" s="76">
        <v>8.1033750000000015E-2</v>
      </c>
      <c r="Z630" s="76">
        <v>8.1033750000000015E-2</v>
      </c>
      <c r="AA630" s="76">
        <v>8.1033750000000015E-2</v>
      </c>
      <c r="AB630" s="76">
        <v>8.1033750000000015E-2</v>
      </c>
      <c r="AC630" s="76">
        <v>8.1033750000000015E-2</v>
      </c>
      <c r="AD630" s="76">
        <v>8.1033750000000015E-2</v>
      </c>
      <c r="AE630" s="76">
        <v>8.1033750000000015E-2</v>
      </c>
      <c r="AF630" s="76">
        <v>8.1033750000000015E-2</v>
      </c>
      <c r="AG630" s="76">
        <v>8.1033750000000015E-2</v>
      </c>
      <c r="AH630" s="76">
        <v>8.1033750000000015E-2</v>
      </c>
      <c r="AI630" s="76">
        <v>8.1033750000000015E-2</v>
      </c>
      <c r="AJ630" s="76">
        <v>8.1033750000000015E-2</v>
      </c>
      <c r="AK630" s="76">
        <v>8.1033750000000015E-2</v>
      </c>
      <c r="AL630" s="76">
        <v>8.1033750000000015E-2</v>
      </c>
      <c r="AM630" s="76">
        <v>8.1033750000000015E-2</v>
      </c>
      <c r="AN630" s="76">
        <v>8.1033750000000015E-2</v>
      </c>
      <c r="AO630" s="76">
        <v>8.1033750000000015E-2</v>
      </c>
      <c r="AP630" s="76">
        <v>8.1033750000000015E-2</v>
      </c>
      <c r="AQ630" s="76">
        <v>8.1033750000000015E-2</v>
      </c>
      <c r="AR630" s="76">
        <v>8.1033750000000015E-2</v>
      </c>
      <c r="AS630" s="76">
        <v>8.1033750000000015E-2</v>
      </c>
      <c r="AT630" s="76">
        <v>8.1033750000000015E-2</v>
      </c>
      <c r="AU630" s="76">
        <v>8.1033750000000015E-2</v>
      </c>
      <c r="AV630" s="76">
        <v>8.1033750000000015E-2</v>
      </c>
      <c r="AW630" s="76">
        <v>8.1033750000000015E-2</v>
      </c>
      <c r="AX630" s="84">
        <v>8.1033750000000015E-2</v>
      </c>
    </row>
    <row r="631" spans="1:50" x14ac:dyDescent="0.25">
      <c r="A631" s="356"/>
      <c r="B631" s="359"/>
      <c r="C631" s="361" t="s">
        <v>14</v>
      </c>
      <c r="D631" s="58" t="s">
        <v>7</v>
      </c>
      <c r="E631" s="164" t="str">
        <f>A607&amp;"/"&amp;B627&amp;"/"&amp;C631&amp;"/"&amp;D631</f>
        <v>Biomass and waste fired power plants/Steam turbine/CHP/L</v>
      </c>
      <c r="F631" s="78" t="str">
        <f>A607</f>
        <v>Biomass and waste fired power plants</v>
      </c>
      <c r="G631" s="78" t="str">
        <f>B627</f>
        <v>Steam turbine</v>
      </c>
      <c r="H631" s="78" t="str">
        <f>C631</f>
        <v>CHP</v>
      </c>
      <c r="I631" s="165" t="str">
        <f t="shared" si="86"/>
        <v>L</v>
      </c>
      <c r="J631" s="78">
        <v>7.7000000000000013E-2</v>
      </c>
      <c r="K631" s="78">
        <v>7.7000000000000013E-2</v>
      </c>
      <c r="L631" s="78">
        <v>7.7000000000000013E-2</v>
      </c>
      <c r="M631" s="78">
        <v>7.7000000000000013E-2</v>
      </c>
      <c r="N631" s="78">
        <v>7.7000000000000013E-2</v>
      </c>
      <c r="O631" s="78">
        <v>7.7000000000000013E-2</v>
      </c>
      <c r="P631" s="78">
        <v>7.7000000000000013E-2</v>
      </c>
      <c r="Q631" s="78">
        <v>7.7000000000000013E-2</v>
      </c>
      <c r="R631" s="78">
        <v>7.7000000000000013E-2</v>
      </c>
      <c r="S631" s="78">
        <v>7.7000000000000013E-2</v>
      </c>
      <c r="T631" s="78">
        <v>7.7000000000000013E-2</v>
      </c>
      <c r="U631" s="78">
        <v>7.7000000000000013E-2</v>
      </c>
      <c r="V631" s="78">
        <v>7.7000000000000013E-2</v>
      </c>
      <c r="W631" s="78">
        <v>7.7000000000000013E-2</v>
      </c>
      <c r="X631" s="78">
        <v>7.7000000000000013E-2</v>
      </c>
      <c r="Y631" s="78">
        <v>7.7000000000000013E-2</v>
      </c>
      <c r="Z631" s="78">
        <v>7.7000000000000013E-2</v>
      </c>
      <c r="AA631" s="78">
        <v>7.7000000000000013E-2</v>
      </c>
      <c r="AB631" s="78">
        <v>7.7000000000000013E-2</v>
      </c>
      <c r="AC631" s="78">
        <v>7.7000000000000013E-2</v>
      </c>
      <c r="AD631" s="78">
        <v>7.7000000000000013E-2</v>
      </c>
      <c r="AE631" s="78">
        <v>7.7000000000000013E-2</v>
      </c>
      <c r="AF631" s="78">
        <v>7.7000000000000013E-2</v>
      </c>
      <c r="AG631" s="78">
        <v>7.7000000000000013E-2</v>
      </c>
      <c r="AH631" s="78">
        <v>7.7000000000000013E-2</v>
      </c>
      <c r="AI631" s="78">
        <v>7.7000000000000013E-2</v>
      </c>
      <c r="AJ631" s="78">
        <v>7.7000000000000013E-2</v>
      </c>
      <c r="AK631" s="78">
        <v>7.7000000000000013E-2</v>
      </c>
      <c r="AL631" s="78">
        <v>7.7000000000000013E-2</v>
      </c>
      <c r="AM631" s="78">
        <v>7.7000000000000013E-2</v>
      </c>
      <c r="AN631" s="78">
        <v>7.7000000000000013E-2</v>
      </c>
      <c r="AO631" s="78">
        <v>7.7000000000000013E-2</v>
      </c>
      <c r="AP631" s="78">
        <v>7.7000000000000013E-2</v>
      </c>
      <c r="AQ631" s="78">
        <v>7.7000000000000013E-2</v>
      </c>
      <c r="AR631" s="78">
        <v>7.7000000000000013E-2</v>
      </c>
      <c r="AS631" s="78">
        <v>7.7000000000000013E-2</v>
      </c>
      <c r="AT631" s="78">
        <v>7.7000000000000013E-2</v>
      </c>
      <c r="AU631" s="78">
        <v>7.7000000000000013E-2</v>
      </c>
      <c r="AV631" s="78">
        <v>7.7000000000000013E-2</v>
      </c>
      <c r="AW631" s="78">
        <v>7.7000000000000013E-2</v>
      </c>
      <c r="AX631" s="86">
        <v>7.7000000000000013E-2</v>
      </c>
    </row>
    <row r="632" spans="1:50" x14ac:dyDescent="0.25">
      <c r="A632" s="356"/>
      <c r="B632" s="359"/>
      <c r="C632" s="350"/>
      <c r="D632" s="2" t="s">
        <v>8</v>
      </c>
      <c r="E632" s="160" t="str">
        <f>A607&amp;"/"&amp;B627&amp;"/"&amp;C631&amp;"/"&amp;D632</f>
        <v>Biomass and waste fired power plants/Steam turbine/CHP/M</v>
      </c>
      <c r="F632" s="76" t="str">
        <f>A607</f>
        <v>Biomass and waste fired power plants</v>
      </c>
      <c r="G632" s="76" t="str">
        <f>B627</f>
        <v>Steam turbine</v>
      </c>
      <c r="H632" s="76" t="str">
        <f>C631</f>
        <v>CHP</v>
      </c>
      <c r="I632" s="161" t="str">
        <f t="shared" si="86"/>
        <v>M</v>
      </c>
      <c r="J632" s="76">
        <v>8.0850000000000019E-2</v>
      </c>
      <c r="K632" s="76">
        <v>8.0850000000000019E-2</v>
      </c>
      <c r="L632" s="76">
        <v>8.0850000000000019E-2</v>
      </c>
      <c r="M632" s="76">
        <v>8.0850000000000019E-2</v>
      </c>
      <c r="N632" s="76">
        <v>8.0850000000000019E-2</v>
      </c>
      <c r="O632" s="76">
        <v>8.0850000000000019E-2</v>
      </c>
      <c r="P632" s="76">
        <v>8.0850000000000019E-2</v>
      </c>
      <c r="Q632" s="76">
        <v>8.0850000000000019E-2</v>
      </c>
      <c r="R632" s="76">
        <v>8.0850000000000019E-2</v>
      </c>
      <c r="S632" s="76">
        <v>8.0850000000000019E-2</v>
      </c>
      <c r="T632" s="76">
        <v>8.0850000000000019E-2</v>
      </c>
      <c r="U632" s="76">
        <v>8.0850000000000019E-2</v>
      </c>
      <c r="V632" s="76">
        <v>8.0850000000000019E-2</v>
      </c>
      <c r="W632" s="76">
        <v>8.0850000000000019E-2</v>
      </c>
      <c r="X632" s="76">
        <v>8.0850000000000019E-2</v>
      </c>
      <c r="Y632" s="76">
        <v>8.0850000000000019E-2</v>
      </c>
      <c r="Z632" s="76">
        <v>8.0850000000000019E-2</v>
      </c>
      <c r="AA632" s="76">
        <v>8.0850000000000019E-2</v>
      </c>
      <c r="AB632" s="76">
        <v>8.0850000000000019E-2</v>
      </c>
      <c r="AC632" s="76">
        <v>8.0850000000000019E-2</v>
      </c>
      <c r="AD632" s="76">
        <v>8.0850000000000019E-2</v>
      </c>
      <c r="AE632" s="76">
        <v>8.0850000000000019E-2</v>
      </c>
      <c r="AF632" s="76">
        <v>8.0850000000000019E-2</v>
      </c>
      <c r="AG632" s="76">
        <v>8.0850000000000019E-2</v>
      </c>
      <c r="AH632" s="76">
        <v>8.0850000000000019E-2</v>
      </c>
      <c r="AI632" s="76">
        <v>8.0850000000000019E-2</v>
      </c>
      <c r="AJ632" s="76">
        <v>8.0850000000000019E-2</v>
      </c>
      <c r="AK632" s="76">
        <v>8.0850000000000019E-2</v>
      </c>
      <c r="AL632" s="76">
        <v>8.0850000000000019E-2</v>
      </c>
      <c r="AM632" s="76">
        <v>8.0850000000000019E-2</v>
      </c>
      <c r="AN632" s="76">
        <v>8.0850000000000019E-2</v>
      </c>
      <c r="AO632" s="76">
        <v>8.0850000000000019E-2</v>
      </c>
      <c r="AP632" s="76">
        <v>8.0850000000000019E-2</v>
      </c>
      <c r="AQ632" s="76">
        <v>8.0850000000000019E-2</v>
      </c>
      <c r="AR632" s="76">
        <v>8.0850000000000019E-2</v>
      </c>
      <c r="AS632" s="76">
        <v>8.0850000000000019E-2</v>
      </c>
      <c r="AT632" s="76">
        <v>8.0850000000000019E-2</v>
      </c>
      <c r="AU632" s="76">
        <v>8.0850000000000019E-2</v>
      </c>
      <c r="AV632" s="76">
        <v>8.0850000000000019E-2</v>
      </c>
      <c r="AW632" s="76">
        <v>8.0850000000000019E-2</v>
      </c>
      <c r="AX632" s="84">
        <v>8.0850000000000019E-2</v>
      </c>
    </row>
    <row r="633" spans="1:50" x14ac:dyDescent="0.25">
      <c r="A633" s="356"/>
      <c r="B633" s="359"/>
      <c r="C633" s="350"/>
      <c r="D633" s="2" t="s">
        <v>10</v>
      </c>
      <c r="E633" s="160" t="str">
        <f>A607&amp;"/"&amp;B627&amp;"/"&amp;C631&amp;"/"&amp;D633</f>
        <v>Biomass and waste fired power plants/Steam turbine/CHP/S</v>
      </c>
      <c r="F633" s="76" t="str">
        <f>A607</f>
        <v>Biomass and waste fired power plants</v>
      </c>
      <c r="G633" s="76" t="str">
        <f>B627</f>
        <v>Steam turbine</v>
      </c>
      <c r="H633" s="76" t="str">
        <f>C631</f>
        <v>CHP</v>
      </c>
      <c r="I633" s="161" t="str">
        <f t="shared" si="86"/>
        <v>S</v>
      </c>
      <c r="J633" s="76">
        <v>8.489250000000001E-2</v>
      </c>
      <c r="K633" s="76">
        <v>8.489250000000001E-2</v>
      </c>
      <c r="L633" s="76">
        <v>8.489250000000001E-2</v>
      </c>
      <c r="M633" s="76">
        <v>8.489250000000001E-2</v>
      </c>
      <c r="N633" s="76">
        <v>8.489250000000001E-2</v>
      </c>
      <c r="O633" s="76">
        <v>8.489250000000001E-2</v>
      </c>
      <c r="P633" s="76">
        <v>8.489250000000001E-2</v>
      </c>
      <c r="Q633" s="76">
        <v>8.489250000000001E-2</v>
      </c>
      <c r="R633" s="76">
        <v>8.489250000000001E-2</v>
      </c>
      <c r="S633" s="76">
        <v>8.489250000000001E-2</v>
      </c>
      <c r="T633" s="76">
        <v>8.489250000000001E-2</v>
      </c>
      <c r="U633" s="76">
        <v>8.489250000000001E-2</v>
      </c>
      <c r="V633" s="76">
        <v>8.489250000000001E-2</v>
      </c>
      <c r="W633" s="76">
        <v>8.489250000000001E-2</v>
      </c>
      <c r="X633" s="76">
        <v>8.489250000000001E-2</v>
      </c>
      <c r="Y633" s="76">
        <v>8.489250000000001E-2</v>
      </c>
      <c r="Z633" s="76">
        <v>8.489250000000001E-2</v>
      </c>
      <c r="AA633" s="76">
        <v>8.489250000000001E-2</v>
      </c>
      <c r="AB633" s="76">
        <v>8.489250000000001E-2</v>
      </c>
      <c r="AC633" s="76">
        <v>8.489250000000001E-2</v>
      </c>
      <c r="AD633" s="76">
        <v>8.489250000000001E-2</v>
      </c>
      <c r="AE633" s="76">
        <v>8.489250000000001E-2</v>
      </c>
      <c r="AF633" s="76">
        <v>8.489250000000001E-2</v>
      </c>
      <c r="AG633" s="76">
        <v>8.489250000000001E-2</v>
      </c>
      <c r="AH633" s="76">
        <v>8.489250000000001E-2</v>
      </c>
      <c r="AI633" s="76">
        <v>8.489250000000001E-2</v>
      </c>
      <c r="AJ633" s="76">
        <v>8.489250000000001E-2</v>
      </c>
      <c r="AK633" s="76">
        <v>8.489250000000001E-2</v>
      </c>
      <c r="AL633" s="76">
        <v>8.489250000000001E-2</v>
      </c>
      <c r="AM633" s="76">
        <v>8.489250000000001E-2</v>
      </c>
      <c r="AN633" s="76">
        <v>8.489250000000001E-2</v>
      </c>
      <c r="AO633" s="76">
        <v>8.489250000000001E-2</v>
      </c>
      <c r="AP633" s="76">
        <v>8.489250000000001E-2</v>
      </c>
      <c r="AQ633" s="76">
        <v>8.489250000000001E-2</v>
      </c>
      <c r="AR633" s="76">
        <v>8.489250000000001E-2</v>
      </c>
      <c r="AS633" s="76">
        <v>8.489250000000001E-2</v>
      </c>
      <c r="AT633" s="76">
        <v>8.489250000000001E-2</v>
      </c>
      <c r="AU633" s="76">
        <v>8.489250000000001E-2</v>
      </c>
      <c r="AV633" s="76">
        <v>8.489250000000001E-2</v>
      </c>
      <c r="AW633" s="76">
        <v>8.489250000000001E-2</v>
      </c>
      <c r="AX633" s="84">
        <v>8.489250000000001E-2</v>
      </c>
    </row>
    <row r="634" spans="1:50" x14ac:dyDescent="0.25">
      <c r="A634" s="356"/>
      <c r="B634" s="359"/>
      <c r="C634" s="360"/>
      <c r="D634" s="59" t="s">
        <v>20</v>
      </c>
      <c r="E634" s="166" t="str">
        <f>A607&amp;"/"&amp;B627&amp;"/"&amp;C631&amp;"/"&amp;D634</f>
        <v>Biomass and waste fired power plants/Steam turbine/CHP/XS</v>
      </c>
      <c r="F634" s="79" t="str">
        <f>A607</f>
        <v>Biomass and waste fired power plants</v>
      </c>
      <c r="G634" s="79" t="str">
        <f>B627</f>
        <v>Steam turbine</v>
      </c>
      <c r="H634" s="79" t="str">
        <f>C631</f>
        <v>CHP</v>
      </c>
      <c r="I634" s="167" t="str">
        <f t="shared" si="86"/>
        <v>XS</v>
      </c>
      <c r="J634" s="79">
        <v>8.9137125000000025E-2</v>
      </c>
      <c r="K634" s="79">
        <v>8.9137125000000025E-2</v>
      </c>
      <c r="L634" s="79">
        <v>8.9137125000000025E-2</v>
      </c>
      <c r="M634" s="79">
        <v>8.9137125000000025E-2</v>
      </c>
      <c r="N634" s="79">
        <v>8.9137125000000025E-2</v>
      </c>
      <c r="O634" s="79">
        <v>8.9137125000000025E-2</v>
      </c>
      <c r="P634" s="79">
        <v>8.9137125000000025E-2</v>
      </c>
      <c r="Q634" s="79">
        <v>8.9137125000000025E-2</v>
      </c>
      <c r="R634" s="79">
        <v>8.9137125000000025E-2</v>
      </c>
      <c r="S634" s="79">
        <v>8.9137125000000025E-2</v>
      </c>
      <c r="T634" s="79">
        <v>8.9137125000000025E-2</v>
      </c>
      <c r="U634" s="79">
        <v>8.9137125000000025E-2</v>
      </c>
      <c r="V634" s="79">
        <v>8.9137125000000025E-2</v>
      </c>
      <c r="W634" s="79">
        <v>8.9137125000000025E-2</v>
      </c>
      <c r="X634" s="79">
        <v>8.9137125000000025E-2</v>
      </c>
      <c r="Y634" s="79">
        <v>8.9137125000000025E-2</v>
      </c>
      <c r="Z634" s="79">
        <v>8.9137125000000025E-2</v>
      </c>
      <c r="AA634" s="79">
        <v>8.9137125000000025E-2</v>
      </c>
      <c r="AB634" s="79">
        <v>8.9137125000000025E-2</v>
      </c>
      <c r="AC634" s="79">
        <v>8.9137125000000025E-2</v>
      </c>
      <c r="AD634" s="79">
        <v>8.9137125000000025E-2</v>
      </c>
      <c r="AE634" s="79">
        <v>8.9137125000000025E-2</v>
      </c>
      <c r="AF634" s="79">
        <v>8.9137125000000025E-2</v>
      </c>
      <c r="AG634" s="79">
        <v>8.9137125000000025E-2</v>
      </c>
      <c r="AH634" s="79">
        <v>8.9137125000000025E-2</v>
      </c>
      <c r="AI634" s="79">
        <v>8.9137125000000025E-2</v>
      </c>
      <c r="AJ634" s="79">
        <v>8.9137125000000025E-2</v>
      </c>
      <c r="AK634" s="79">
        <v>8.9137125000000025E-2</v>
      </c>
      <c r="AL634" s="79">
        <v>8.9137125000000025E-2</v>
      </c>
      <c r="AM634" s="79">
        <v>8.9137125000000025E-2</v>
      </c>
      <c r="AN634" s="79">
        <v>8.9137125000000025E-2</v>
      </c>
      <c r="AO634" s="79">
        <v>8.9137125000000025E-2</v>
      </c>
      <c r="AP634" s="79">
        <v>8.9137125000000025E-2</v>
      </c>
      <c r="AQ634" s="79">
        <v>8.9137125000000025E-2</v>
      </c>
      <c r="AR634" s="79">
        <v>8.9137125000000025E-2</v>
      </c>
      <c r="AS634" s="79">
        <v>8.9137125000000025E-2</v>
      </c>
      <c r="AT634" s="79">
        <v>8.9137125000000025E-2</v>
      </c>
      <c r="AU634" s="79">
        <v>8.9137125000000025E-2</v>
      </c>
      <c r="AV634" s="79">
        <v>8.9137125000000025E-2</v>
      </c>
      <c r="AW634" s="79">
        <v>8.9137125000000025E-2</v>
      </c>
      <c r="AX634" s="87">
        <v>8.9137125000000025E-2</v>
      </c>
    </row>
    <row r="635" spans="1:50" x14ac:dyDescent="0.25">
      <c r="A635" s="356"/>
      <c r="B635" s="359"/>
      <c r="C635" s="361" t="s">
        <v>15</v>
      </c>
      <c r="D635" s="58" t="s">
        <v>7</v>
      </c>
      <c r="E635" s="164" t="str">
        <f>A607&amp;"/"&amp;B627&amp;"/"&amp;C635&amp;"/"&amp;D635</f>
        <v>Biomass and waste fired power plants/Steam turbine/Electricity only with CCS/L</v>
      </c>
      <c r="F635" s="78" t="str">
        <f>A607</f>
        <v>Biomass and waste fired power plants</v>
      </c>
      <c r="G635" s="78" t="str">
        <f>B627</f>
        <v>Steam turbine</v>
      </c>
      <c r="H635" s="78" t="str">
        <f>C635</f>
        <v>Electricity only with CCS</v>
      </c>
      <c r="I635" s="165" t="str">
        <f t="shared" si="86"/>
        <v>L</v>
      </c>
      <c r="J635" s="78" t="s">
        <v>112</v>
      </c>
      <c r="K635" s="78" t="s">
        <v>112</v>
      </c>
      <c r="L635" s="78" t="s">
        <v>112</v>
      </c>
      <c r="M635" s="78" t="s">
        <v>112</v>
      </c>
      <c r="N635" s="78" t="s">
        <v>112</v>
      </c>
      <c r="O635" s="78" t="s">
        <v>112</v>
      </c>
      <c r="P635" s="78" t="s">
        <v>112</v>
      </c>
      <c r="Q635" s="78" t="s">
        <v>112</v>
      </c>
      <c r="R635" s="78" t="s">
        <v>112</v>
      </c>
      <c r="S635" s="78" t="s">
        <v>112</v>
      </c>
      <c r="T635" s="78" t="s">
        <v>112</v>
      </c>
      <c r="U635" s="78" t="s">
        <v>112</v>
      </c>
      <c r="V635" s="78" t="s">
        <v>112</v>
      </c>
      <c r="W635" s="78" t="s">
        <v>112</v>
      </c>
      <c r="X635" s="78" t="s">
        <v>112</v>
      </c>
      <c r="Y635" s="78" t="s">
        <v>112</v>
      </c>
      <c r="Z635" s="78" t="s">
        <v>112</v>
      </c>
      <c r="AA635" s="78" t="s">
        <v>112</v>
      </c>
      <c r="AB635" s="78" t="s">
        <v>112</v>
      </c>
      <c r="AC635" s="78" t="s">
        <v>112</v>
      </c>
      <c r="AD635" s="78" t="s">
        <v>112</v>
      </c>
      <c r="AE635" s="78">
        <v>0.26250000000000001</v>
      </c>
      <c r="AF635" s="78">
        <v>0.26250000000000001</v>
      </c>
      <c r="AG635" s="78">
        <v>0.26250000000000001</v>
      </c>
      <c r="AH635" s="78">
        <v>0.26250000000000001</v>
      </c>
      <c r="AI635" s="78">
        <v>0.26250000000000001</v>
      </c>
      <c r="AJ635" s="78">
        <v>0.26250000000000001</v>
      </c>
      <c r="AK635" s="78">
        <v>0.26250000000000001</v>
      </c>
      <c r="AL635" s="78">
        <v>0.26250000000000001</v>
      </c>
      <c r="AM635" s="78">
        <v>0.26250000000000001</v>
      </c>
      <c r="AN635" s="78">
        <v>0.26250000000000001</v>
      </c>
      <c r="AO635" s="78">
        <v>0.26250000000000001</v>
      </c>
      <c r="AP635" s="78">
        <v>0.26250000000000001</v>
      </c>
      <c r="AQ635" s="78">
        <v>0.26250000000000001</v>
      </c>
      <c r="AR635" s="78">
        <v>0.26250000000000001</v>
      </c>
      <c r="AS635" s="78">
        <v>0.26250000000000001</v>
      </c>
      <c r="AT635" s="78">
        <v>0.26250000000000001</v>
      </c>
      <c r="AU635" s="78">
        <v>0.26250000000000001</v>
      </c>
      <c r="AV635" s="78">
        <v>0.26250000000000001</v>
      </c>
      <c r="AW635" s="78">
        <v>0.26250000000000001</v>
      </c>
      <c r="AX635" s="86">
        <v>0.26250000000000001</v>
      </c>
    </row>
    <row r="636" spans="1:50" x14ac:dyDescent="0.25">
      <c r="A636" s="356"/>
      <c r="B636" s="359"/>
      <c r="C636" s="360"/>
      <c r="D636" s="59" t="s">
        <v>8</v>
      </c>
      <c r="E636" s="166" t="str">
        <f>A607&amp;"/"&amp;B627&amp;"/"&amp;C635&amp;"/"&amp;D636</f>
        <v>Biomass and waste fired power plants/Steam turbine/Electricity only with CCS/M</v>
      </c>
      <c r="F636" s="79" t="str">
        <f>A607</f>
        <v>Biomass and waste fired power plants</v>
      </c>
      <c r="G636" s="79" t="str">
        <f>B627</f>
        <v>Steam turbine</v>
      </c>
      <c r="H636" s="79" t="str">
        <f>C635</f>
        <v>Electricity only with CCS</v>
      </c>
      <c r="I636" s="167" t="str">
        <f t="shared" si="86"/>
        <v>M</v>
      </c>
      <c r="J636" s="79" t="s">
        <v>112</v>
      </c>
      <c r="K636" s="79" t="s">
        <v>112</v>
      </c>
      <c r="L636" s="79" t="s">
        <v>112</v>
      </c>
      <c r="M636" s="79" t="s">
        <v>112</v>
      </c>
      <c r="N636" s="79" t="s">
        <v>112</v>
      </c>
      <c r="O636" s="79" t="s">
        <v>112</v>
      </c>
      <c r="P636" s="79" t="s">
        <v>112</v>
      </c>
      <c r="Q636" s="79" t="s">
        <v>112</v>
      </c>
      <c r="R636" s="79" t="s">
        <v>112</v>
      </c>
      <c r="S636" s="79" t="s">
        <v>112</v>
      </c>
      <c r="T636" s="79" t="s">
        <v>112</v>
      </c>
      <c r="U636" s="79" t="s">
        <v>112</v>
      </c>
      <c r="V636" s="79" t="s">
        <v>112</v>
      </c>
      <c r="W636" s="79" t="s">
        <v>112</v>
      </c>
      <c r="X636" s="79" t="s">
        <v>112</v>
      </c>
      <c r="Y636" s="79" t="s">
        <v>112</v>
      </c>
      <c r="Z636" s="79" t="s">
        <v>112</v>
      </c>
      <c r="AA636" s="79" t="s">
        <v>112</v>
      </c>
      <c r="AB636" s="79" t="s">
        <v>112</v>
      </c>
      <c r="AC636" s="79" t="s">
        <v>112</v>
      </c>
      <c r="AD636" s="79" t="s">
        <v>112</v>
      </c>
      <c r="AE636" s="79">
        <v>0.27562500000000001</v>
      </c>
      <c r="AF636" s="79">
        <v>0.27562500000000001</v>
      </c>
      <c r="AG636" s="79">
        <v>0.27562500000000001</v>
      </c>
      <c r="AH636" s="79">
        <v>0.27562500000000001</v>
      </c>
      <c r="AI636" s="79">
        <v>0.27562500000000001</v>
      </c>
      <c r="AJ636" s="79">
        <v>0.27562500000000001</v>
      </c>
      <c r="AK636" s="79">
        <v>0.27562500000000001</v>
      </c>
      <c r="AL636" s="79">
        <v>0.27562500000000001</v>
      </c>
      <c r="AM636" s="79">
        <v>0.27562500000000001</v>
      </c>
      <c r="AN636" s="79">
        <v>0.27562500000000001</v>
      </c>
      <c r="AO636" s="79">
        <v>0.27562500000000001</v>
      </c>
      <c r="AP636" s="79">
        <v>0.27562500000000001</v>
      </c>
      <c r="AQ636" s="79">
        <v>0.27562500000000001</v>
      </c>
      <c r="AR636" s="79">
        <v>0.27562500000000001</v>
      </c>
      <c r="AS636" s="79">
        <v>0.27562500000000001</v>
      </c>
      <c r="AT636" s="79">
        <v>0.27562500000000001</v>
      </c>
      <c r="AU636" s="79">
        <v>0.27562500000000001</v>
      </c>
      <c r="AV636" s="79">
        <v>0.27562500000000001</v>
      </c>
      <c r="AW636" s="79">
        <v>0.27562500000000001</v>
      </c>
      <c r="AX636" s="87">
        <v>0.27562500000000001</v>
      </c>
    </row>
    <row r="637" spans="1:50" x14ac:dyDescent="0.25">
      <c r="A637" s="356"/>
      <c r="B637" s="359"/>
      <c r="C637" s="361" t="s">
        <v>16</v>
      </c>
      <c r="D637" s="2" t="s">
        <v>7</v>
      </c>
      <c r="E637" s="160" t="str">
        <f>A607&amp;"/"&amp;B627&amp;"/"&amp;C637&amp;"/"&amp;D637</f>
        <v>Biomass and waste fired power plants/Steam turbine/CHP with CCS/L</v>
      </c>
      <c r="F637" s="76" t="str">
        <f>A607</f>
        <v>Biomass and waste fired power plants</v>
      </c>
      <c r="G637" s="76" t="str">
        <f>B627</f>
        <v>Steam turbine</v>
      </c>
      <c r="H637" s="76" t="str">
        <f>C637</f>
        <v>CHP with CCS</v>
      </c>
      <c r="I637" s="161" t="str">
        <f t="shared" si="86"/>
        <v>L</v>
      </c>
      <c r="J637" s="76" t="s">
        <v>112</v>
      </c>
      <c r="K637" s="76" t="s">
        <v>112</v>
      </c>
      <c r="L637" s="76" t="s">
        <v>112</v>
      </c>
      <c r="M637" s="76" t="s">
        <v>112</v>
      </c>
      <c r="N637" s="76" t="s">
        <v>112</v>
      </c>
      <c r="O637" s="76" t="s">
        <v>112</v>
      </c>
      <c r="P637" s="76" t="s">
        <v>112</v>
      </c>
      <c r="Q637" s="76" t="s">
        <v>112</v>
      </c>
      <c r="R637" s="76" t="s">
        <v>112</v>
      </c>
      <c r="S637" s="76" t="s">
        <v>112</v>
      </c>
      <c r="T637" s="76" t="s">
        <v>112</v>
      </c>
      <c r="U637" s="76" t="s">
        <v>112</v>
      </c>
      <c r="V637" s="76" t="s">
        <v>112</v>
      </c>
      <c r="W637" s="76" t="s">
        <v>112</v>
      </c>
      <c r="X637" s="76" t="s">
        <v>112</v>
      </c>
      <c r="Y637" s="76" t="s">
        <v>112</v>
      </c>
      <c r="Z637" s="76" t="s">
        <v>112</v>
      </c>
      <c r="AA637" s="76" t="s">
        <v>112</v>
      </c>
      <c r="AB637" s="76" t="s">
        <v>112</v>
      </c>
      <c r="AC637" s="76" t="s">
        <v>112</v>
      </c>
      <c r="AD637" s="76" t="s">
        <v>112</v>
      </c>
      <c r="AE637" s="76">
        <v>0.28875000000000006</v>
      </c>
      <c r="AF637" s="76">
        <v>0.28875000000000006</v>
      </c>
      <c r="AG637" s="76">
        <v>0.28875000000000006</v>
      </c>
      <c r="AH637" s="76">
        <v>0.28875000000000006</v>
      </c>
      <c r="AI637" s="76">
        <v>0.28875000000000006</v>
      </c>
      <c r="AJ637" s="76">
        <v>0.28875000000000006</v>
      </c>
      <c r="AK637" s="76">
        <v>0.28875000000000006</v>
      </c>
      <c r="AL637" s="76">
        <v>0.28875000000000006</v>
      </c>
      <c r="AM637" s="76">
        <v>0.28875000000000006</v>
      </c>
      <c r="AN637" s="76">
        <v>0.28875000000000006</v>
      </c>
      <c r="AO637" s="76">
        <v>0.28875000000000006</v>
      </c>
      <c r="AP637" s="76">
        <v>0.28875000000000006</v>
      </c>
      <c r="AQ637" s="76">
        <v>0.28875000000000006</v>
      </c>
      <c r="AR637" s="76">
        <v>0.28875000000000006</v>
      </c>
      <c r="AS637" s="76">
        <v>0.28875000000000006</v>
      </c>
      <c r="AT637" s="76">
        <v>0.28875000000000006</v>
      </c>
      <c r="AU637" s="76">
        <v>0.28875000000000006</v>
      </c>
      <c r="AV637" s="76">
        <v>0.28875000000000006</v>
      </c>
      <c r="AW637" s="76">
        <v>0.28875000000000006</v>
      </c>
      <c r="AX637" s="84">
        <v>0.28875000000000006</v>
      </c>
    </row>
    <row r="638" spans="1:50" x14ac:dyDescent="0.25">
      <c r="A638" s="357"/>
      <c r="B638" s="362"/>
      <c r="C638" s="354"/>
      <c r="D638" s="4" t="s">
        <v>8</v>
      </c>
      <c r="E638" s="168" t="str">
        <f>A607&amp;"/"&amp;B627&amp;"/"&amp;C637&amp;"/"&amp;D638</f>
        <v>Biomass and waste fired power plants/Steam turbine/CHP with CCS/M</v>
      </c>
      <c r="F638" s="80" t="str">
        <f>A607</f>
        <v>Biomass and waste fired power plants</v>
      </c>
      <c r="G638" s="80" t="str">
        <f>B627</f>
        <v>Steam turbine</v>
      </c>
      <c r="H638" s="80" t="str">
        <f>C637</f>
        <v>CHP with CCS</v>
      </c>
      <c r="I638" s="169" t="str">
        <f t="shared" si="86"/>
        <v>M</v>
      </c>
      <c r="J638" s="80" t="s">
        <v>112</v>
      </c>
      <c r="K638" s="80" t="s">
        <v>112</v>
      </c>
      <c r="L638" s="80" t="s">
        <v>112</v>
      </c>
      <c r="M638" s="80" t="s">
        <v>112</v>
      </c>
      <c r="N638" s="80" t="s">
        <v>112</v>
      </c>
      <c r="O638" s="80" t="s">
        <v>112</v>
      </c>
      <c r="P638" s="80" t="s">
        <v>112</v>
      </c>
      <c r="Q638" s="80" t="s">
        <v>112</v>
      </c>
      <c r="R638" s="80" t="s">
        <v>112</v>
      </c>
      <c r="S638" s="80" t="s">
        <v>112</v>
      </c>
      <c r="T638" s="80" t="s">
        <v>112</v>
      </c>
      <c r="U638" s="80" t="s">
        <v>112</v>
      </c>
      <c r="V638" s="80" t="s">
        <v>112</v>
      </c>
      <c r="W638" s="80" t="s">
        <v>112</v>
      </c>
      <c r="X638" s="80" t="s">
        <v>112</v>
      </c>
      <c r="Y638" s="80" t="s">
        <v>112</v>
      </c>
      <c r="Z638" s="80" t="s">
        <v>112</v>
      </c>
      <c r="AA638" s="80" t="s">
        <v>112</v>
      </c>
      <c r="AB638" s="80" t="s">
        <v>112</v>
      </c>
      <c r="AC638" s="80" t="s">
        <v>112</v>
      </c>
      <c r="AD638" s="80" t="s">
        <v>112</v>
      </c>
      <c r="AE638" s="80">
        <v>0.30318750000000005</v>
      </c>
      <c r="AF638" s="80">
        <v>0.30318750000000005</v>
      </c>
      <c r="AG638" s="80">
        <v>0.30318750000000005</v>
      </c>
      <c r="AH638" s="80">
        <v>0.30318750000000005</v>
      </c>
      <c r="AI638" s="80">
        <v>0.30318750000000005</v>
      </c>
      <c r="AJ638" s="80">
        <v>0.30318750000000005</v>
      </c>
      <c r="AK638" s="80">
        <v>0.30318750000000005</v>
      </c>
      <c r="AL638" s="80">
        <v>0.30318750000000005</v>
      </c>
      <c r="AM638" s="80">
        <v>0.30318750000000005</v>
      </c>
      <c r="AN638" s="80">
        <v>0.30318750000000005</v>
      </c>
      <c r="AO638" s="80">
        <v>0.30318750000000005</v>
      </c>
      <c r="AP638" s="80">
        <v>0.30318750000000005</v>
      </c>
      <c r="AQ638" s="80">
        <v>0.30318750000000005</v>
      </c>
      <c r="AR638" s="80">
        <v>0.30318750000000005</v>
      </c>
      <c r="AS638" s="80">
        <v>0.30318750000000005</v>
      </c>
      <c r="AT638" s="80">
        <v>0.30318750000000005</v>
      </c>
      <c r="AU638" s="80">
        <v>0.30318750000000005</v>
      </c>
      <c r="AV638" s="80">
        <v>0.30318750000000005</v>
      </c>
      <c r="AW638" s="80">
        <v>0.30318750000000005</v>
      </c>
      <c r="AX638" s="88">
        <v>0.30318750000000005</v>
      </c>
    </row>
    <row r="639" spans="1:50" x14ac:dyDescent="0.25">
      <c r="A639" s="355" t="s">
        <v>31</v>
      </c>
      <c r="B639" s="358" t="s">
        <v>32</v>
      </c>
      <c r="C639" s="353" t="s">
        <v>6</v>
      </c>
      <c r="D639" s="3" t="s">
        <v>8</v>
      </c>
      <c r="E639" s="162" t="str">
        <f>A639&amp;"/"&amp;B639&amp;"/"&amp;C639&amp;"/"&amp;D639</f>
        <v>Fuel cells/Natural gas fuel cell power plant/Electricity only/M</v>
      </c>
      <c r="F639" s="77" t="str">
        <f>A639</f>
        <v>Fuel cells</v>
      </c>
      <c r="G639" s="77" t="str">
        <f>B639</f>
        <v>Natural gas fuel cell power plant</v>
      </c>
      <c r="H639" s="77" t="str">
        <f>C639</f>
        <v>Electricity only</v>
      </c>
      <c r="I639" s="163" t="str">
        <f t="shared" si="86"/>
        <v>M</v>
      </c>
      <c r="J639" s="77" t="s">
        <v>112</v>
      </c>
      <c r="K639" s="77" t="s">
        <v>112</v>
      </c>
      <c r="L639" s="77" t="s">
        <v>112</v>
      </c>
      <c r="M639" s="77" t="s">
        <v>112</v>
      </c>
      <c r="N639" s="77" t="s">
        <v>112</v>
      </c>
      <c r="O639" s="77" t="s">
        <v>112</v>
      </c>
      <c r="P639" s="77" t="s">
        <v>112</v>
      </c>
      <c r="Q639" s="77" t="s">
        <v>112</v>
      </c>
      <c r="R639" s="77" t="s">
        <v>112</v>
      </c>
      <c r="S639" s="77" t="s">
        <v>112</v>
      </c>
      <c r="T639" s="77" t="s">
        <v>112</v>
      </c>
      <c r="U639" s="77" t="s">
        <v>112</v>
      </c>
      <c r="V639" s="77" t="s">
        <v>112</v>
      </c>
      <c r="W639" s="77" t="s">
        <v>112</v>
      </c>
      <c r="X639" s="77" t="s">
        <v>112</v>
      </c>
      <c r="Y639" s="77" t="s">
        <v>112</v>
      </c>
      <c r="Z639" s="77" t="s">
        <v>112</v>
      </c>
      <c r="AA639" s="77" t="s">
        <v>112</v>
      </c>
      <c r="AB639" s="77" t="s">
        <v>112</v>
      </c>
      <c r="AC639" s="77" t="s">
        <v>112</v>
      </c>
      <c r="AD639" s="77" t="s">
        <v>112</v>
      </c>
      <c r="AE639" s="77">
        <v>0.153</v>
      </c>
      <c r="AF639" s="77">
        <v>0.153</v>
      </c>
      <c r="AG639" s="77">
        <v>0.153</v>
      </c>
      <c r="AH639" s="77">
        <v>0.153</v>
      </c>
      <c r="AI639" s="77">
        <v>0.153</v>
      </c>
      <c r="AJ639" s="77">
        <v>0.153</v>
      </c>
      <c r="AK639" s="77">
        <v>0.153</v>
      </c>
      <c r="AL639" s="77">
        <v>0.153</v>
      </c>
      <c r="AM639" s="77">
        <v>0.153</v>
      </c>
      <c r="AN639" s="77">
        <v>0.153</v>
      </c>
      <c r="AO639" s="77">
        <v>0.153</v>
      </c>
      <c r="AP639" s="77">
        <v>0.153</v>
      </c>
      <c r="AQ639" s="77">
        <v>0.153</v>
      </c>
      <c r="AR639" s="77">
        <v>0.153</v>
      </c>
      <c r="AS639" s="77">
        <v>0.153</v>
      </c>
      <c r="AT639" s="77">
        <v>0.153</v>
      </c>
      <c r="AU639" s="77">
        <v>0.153</v>
      </c>
      <c r="AV639" s="77">
        <v>0.153</v>
      </c>
      <c r="AW639" s="77">
        <v>0.153</v>
      </c>
      <c r="AX639" s="85">
        <v>0.153</v>
      </c>
    </row>
    <row r="640" spans="1:50" x14ac:dyDescent="0.25">
      <c r="A640" s="356"/>
      <c r="B640" s="359"/>
      <c r="C640" s="350"/>
      <c r="D640" s="2" t="s">
        <v>10</v>
      </c>
      <c r="E640" s="160" t="str">
        <f>A639&amp;"/"&amp;B639&amp;"/"&amp;C639&amp;"/"&amp;D640</f>
        <v>Fuel cells/Natural gas fuel cell power plant/Electricity only/S</v>
      </c>
      <c r="F640" s="76" t="str">
        <f>A639</f>
        <v>Fuel cells</v>
      </c>
      <c r="G640" s="76" t="str">
        <f>B639</f>
        <v>Natural gas fuel cell power plant</v>
      </c>
      <c r="H640" s="76" t="str">
        <f>C639</f>
        <v>Electricity only</v>
      </c>
      <c r="I640" s="161" t="str">
        <f t="shared" si="86"/>
        <v>S</v>
      </c>
      <c r="J640" s="76" t="s">
        <v>112</v>
      </c>
      <c r="K640" s="76" t="s">
        <v>112</v>
      </c>
      <c r="L640" s="76" t="s">
        <v>112</v>
      </c>
      <c r="M640" s="76" t="s">
        <v>112</v>
      </c>
      <c r="N640" s="76" t="s">
        <v>112</v>
      </c>
      <c r="O640" s="76" t="s">
        <v>112</v>
      </c>
      <c r="P640" s="76" t="s">
        <v>112</v>
      </c>
      <c r="Q640" s="76" t="s">
        <v>112</v>
      </c>
      <c r="R640" s="76" t="s">
        <v>112</v>
      </c>
      <c r="S640" s="76" t="s">
        <v>112</v>
      </c>
      <c r="T640" s="76" t="s">
        <v>112</v>
      </c>
      <c r="U640" s="76" t="s">
        <v>112</v>
      </c>
      <c r="V640" s="76" t="s">
        <v>112</v>
      </c>
      <c r="W640" s="76" t="s">
        <v>112</v>
      </c>
      <c r="X640" s="76" t="s">
        <v>112</v>
      </c>
      <c r="Y640" s="76" t="s">
        <v>112</v>
      </c>
      <c r="Z640" s="76" t="s">
        <v>112</v>
      </c>
      <c r="AA640" s="76" t="s">
        <v>112</v>
      </c>
      <c r="AB640" s="76" t="s">
        <v>112</v>
      </c>
      <c r="AC640" s="76">
        <v>0.16065000000000002</v>
      </c>
      <c r="AD640" s="76">
        <v>0.16065000000000002</v>
      </c>
      <c r="AE640" s="76">
        <v>0.16065000000000002</v>
      </c>
      <c r="AF640" s="76">
        <v>0.16065000000000002</v>
      </c>
      <c r="AG640" s="76">
        <v>0.16065000000000002</v>
      </c>
      <c r="AH640" s="76">
        <v>0.16065000000000002</v>
      </c>
      <c r="AI640" s="76">
        <v>0.16065000000000002</v>
      </c>
      <c r="AJ640" s="76">
        <v>0.16065000000000002</v>
      </c>
      <c r="AK640" s="76">
        <v>0.16065000000000002</v>
      </c>
      <c r="AL640" s="76">
        <v>0.16065000000000002</v>
      </c>
      <c r="AM640" s="76">
        <v>0.16065000000000002</v>
      </c>
      <c r="AN640" s="76">
        <v>0.16065000000000002</v>
      </c>
      <c r="AO640" s="76">
        <v>0.16065000000000002</v>
      </c>
      <c r="AP640" s="76">
        <v>0.16065000000000002</v>
      </c>
      <c r="AQ640" s="76">
        <v>0.16065000000000002</v>
      </c>
      <c r="AR640" s="76">
        <v>0.16065000000000002</v>
      </c>
      <c r="AS640" s="76">
        <v>0.16065000000000002</v>
      </c>
      <c r="AT640" s="76">
        <v>0.16065000000000002</v>
      </c>
      <c r="AU640" s="76">
        <v>0.16065000000000002</v>
      </c>
      <c r="AV640" s="76">
        <v>0.16065000000000002</v>
      </c>
      <c r="AW640" s="76">
        <v>0.16065000000000002</v>
      </c>
      <c r="AX640" s="84">
        <v>0.16065000000000002</v>
      </c>
    </row>
    <row r="641" spans="1:50" x14ac:dyDescent="0.25">
      <c r="A641" s="356"/>
      <c r="B641" s="368"/>
      <c r="C641" s="360"/>
      <c r="D641" s="59" t="s">
        <v>20</v>
      </c>
      <c r="E641" s="166" t="str">
        <f>A639&amp;"/"&amp;B639&amp;"/"&amp;C639&amp;"/"&amp;D641</f>
        <v>Fuel cells/Natural gas fuel cell power plant/Electricity only/XS</v>
      </c>
      <c r="F641" s="79" t="str">
        <f>A639</f>
        <v>Fuel cells</v>
      </c>
      <c r="G641" s="79" t="str">
        <f>B639</f>
        <v>Natural gas fuel cell power plant</v>
      </c>
      <c r="H641" s="79" t="str">
        <f>C639</f>
        <v>Electricity only</v>
      </c>
      <c r="I641" s="167" t="str">
        <f t="shared" si="86"/>
        <v>XS</v>
      </c>
      <c r="J641" s="79" t="s">
        <v>112</v>
      </c>
      <c r="K641" s="79" t="s">
        <v>112</v>
      </c>
      <c r="L641" s="79" t="s">
        <v>112</v>
      </c>
      <c r="M641" s="79" t="s">
        <v>112</v>
      </c>
      <c r="N641" s="79" t="s">
        <v>112</v>
      </c>
      <c r="O641" s="79" t="s">
        <v>112</v>
      </c>
      <c r="P641" s="79" t="s">
        <v>112</v>
      </c>
      <c r="Q641" s="79" t="s">
        <v>112</v>
      </c>
      <c r="R641" s="79" t="s">
        <v>112</v>
      </c>
      <c r="S641" s="79" t="s">
        <v>112</v>
      </c>
      <c r="T641" s="79" t="s">
        <v>112</v>
      </c>
      <c r="U641" s="79" t="s">
        <v>112</v>
      </c>
      <c r="V641" s="79" t="s">
        <v>112</v>
      </c>
      <c r="W641" s="79" t="s">
        <v>112</v>
      </c>
      <c r="X641" s="79" t="s">
        <v>112</v>
      </c>
      <c r="Y641" s="79" t="s">
        <v>112</v>
      </c>
      <c r="Z641" s="79">
        <v>0.16868250000000001</v>
      </c>
      <c r="AA641" s="79">
        <v>0.16868250000000001</v>
      </c>
      <c r="AB641" s="79">
        <v>0.16868250000000001</v>
      </c>
      <c r="AC641" s="79">
        <v>0.16868250000000001</v>
      </c>
      <c r="AD641" s="79">
        <v>0.16868250000000001</v>
      </c>
      <c r="AE641" s="79">
        <v>0.16868250000000001</v>
      </c>
      <c r="AF641" s="79">
        <v>0.16868250000000001</v>
      </c>
      <c r="AG641" s="79">
        <v>0.16868250000000001</v>
      </c>
      <c r="AH641" s="79">
        <v>0.16868250000000001</v>
      </c>
      <c r="AI641" s="79">
        <v>0.16868250000000001</v>
      </c>
      <c r="AJ641" s="79">
        <v>0.16868250000000001</v>
      </c>
      <c r="AK641" s="79">
        <v>0.16868250000000001</v>
      </c>
      <c r="AL641" s="79">
        <v>0.16868250000000001</v>
      </c>
      <c r="AM641" s="79">
        <v>0.16868250000000001</v>
      </c>
      <c r="AN641" s="79">
        <v>0.16868250000000001</v>
      </c>
      <c r="AO641" s="79">
        <v>0.16868250000000001</v>
      </c>
      <c r="AP641" s="79">
        <v>0.16868250000000001</v>
      </c>
      <c r="AQ641" s="79">
        <v>0.16868250000000001</v>
      </c>
      <c r="AR641" s="79">
        <v>0.16868250000000001</v>
      </c>
      <c r="AS641" s="79">
        <v>0.16868250000000001</v>
      </c>
      <c r="AT641" s="79">
        <v>0.16868250000000001</v>
      </c>
      <c r="AU641" s="79">
        <v>0.16868250000000001</v>
      </c>
      <c r="AV641" s="79">
        <v>0.16868250000000001</v>
      </c>
      <c r="AW641" s="79">
        <v>0.16868250000000001</v>
      </c>
      <c r="AX641" s="87">
        <v>0.16868250000000001</v>
      </c>
    </row>
    <row r="642" spans="1:50" x14ac:dyDescent="0.25">
      <c r="A642" s="356"/>
      <c r="B642" s="359" t="s">
        <v>33</v>
      </c>
      <c r="C642" s="350" t="s">
        <v>6</v>
      </c>
      <c r="D642" s="2" t="s">
        <v>8</v>
      </c>
      <c r="E642" s="160" t="str">
        <f>A639&amp;"/"&amp;B642&amp;"/"&amp;C642&amp;"/"&amp;D642</f>
        <v>Fuel cells/Hydrogen fuel cell power plant/Electricity only/M</v>
      </c>
      <c r="F642" s="76" t="str">
        <f>A639</f>
        <v>Fuel cells</v>
      </c>
      <c r="G642" s="76" t="str">
        <f>B642</f>
        <v>Hydrogen fuel cell power plant</v>
      </c>
      <c r="H642" s="76" t="str">
        <f>C642</f>
        <v>Electricity only</v>
      </c>
      <c r="I642" s="161" t="str">
        <f t="shared" si="86"/>
        <v>M</v>
      </c>
      <c r="J642" s="76" t="s">
        <v>112</v>
      </c>
      <c r="K642" s="76" t="s">
        <v>112</v>
      </c>
      <c r="L642" s="76" t="s">
        <v>112</v>
      </c>
      <c r="M642" s="76" t="s">
        <v>112</v>
      </c>
      <c r="N642" s="76" t="s">
        <v>112</v>
      </c>
      <c r="O642" s="76" t="s">
        <v>112</v>
      </c>
      <c r="P642" s="76" t="s">
        <v>112</v>
      </c>
      <c r="Q642" s="76" t="s">
        <v>112</v>
      </c>
      <c r="R642" s="76" t="s">
        <v>112</v>
      </c>
      <c r="S642" s="76" t="s">
        <v>112</v>
      </c>
      <c r="T642" s="76" t="s">
        <v>112</v>
      </c>
      <c r="U642" s="76" t="s">
        <v>112</v>
      </c>
      <c r="V642" s="76" t="s">
        <v>112</v>
      </c>
      <c r="W642" s="76" t="s">
        <v>112</v>
      </c>
      <c r="X642" s="76" t="s">
        <v>112</v>
      </c>
      <c r="Y642" s="76" t="s">
        <v>112</v>
      </c>
      <c r="Z642" s="76" t="s">
        <v>112</v>
      </c>
      <c r="AA642" s="76" t="s">
        <v>112</v>
      </c>
      <c r="AB642" s="76" t="s">
        <v>112</v>
      </c>
      <c r="AC642" s="76" t="s">
        <v>112</v>
      </c>
      <c r="AD642" s="76" t="s">
        <v>112</v>
      </c>
      <c r="AE642" s="76" t="s">
        <v>112</v>
      </c>
      <c r="AF642" s="76" t="s">
        <v>112</v>
      </c>
      <c r="AG642" s="76">
        <v>3.6999999999999998E-2</v>
      </c>
      <c r="AH642" s="76">
        <v>3.6999999999999998E-2</v>
      </c>
      <c r="AI642" s="76">
        <v>3.6999999999999998E-2</v>
      </c>
      <c r="AJ642" s="76">
        <v>3.6999999999999998E-2</v>
      </c>
      <c r="AK642" s="76">
        <v>3.6999999999999998E-2</v>
      </c>
      <c r="AL642" s="76">
        <v>3.6999999999999998E-2</v>
      </c>
      <c r="AM642" s="76">
        <v>3.6999999999999998E-2</v>
      </c>
      <c r="AN642" s="76">
        <v>3.6999999999999998E-2</v>
      </c>
      <c r="AO642" s="76">
        <v>3.6999999999999998E-2</v>
      </c>
      <c r="AP642" s="76">
        <v>3.6999999999999998E-2</v>
      </c>
      <c r="AQ642" s="76">
        <v>3.6999999999999998E-2</v>
      </c>
      <c r="AR642" s="76">
        <v>3.6999999999999998E-2</v>
      </c>
      <c r="AS642" s="76">
        <v>3.6999999999999998E-2</v>
      </c>
      <c r="AT642" s="76">
        <v>3.6999999999999998E-2</v>
      </c>
      <c r="AU642" s="76">
        <v>3.6999999999999998E-2</v>
      </c>
      <c r="AV642" s="76">
        <v>3.6999999999999998E-2</v>
      </c>
      <c r="AW642" s="76">
        <v>3.6999999999999998E-2</v>
      </c>
      <c r="AX642" s="84">
        <v>3.6999999999999998E-2</v>
      </c>
    </row>
    <row r="643" spans="1:50" x14ac:dyDescent="0.25">
      <c r="A643" s="356"/>
      <c r="B643" s="359"/>
      <c r="C643" s="350"/>
      <c r="D643" s="2" t="s">
        <v>10</v>
      </c>
      <c r="E643" s="160" t="str">
        <f>A639&amp;"/"&amp;B642&amp;"/"&amp;C642&amp;"/"&amp;D643</f>
        <v>Fuel cells/Hydrogen fuel cell power plant/Electricity only/S</v>
      </c>
      <c r="F643" s="76" t="str">
        <f>A639</f>
        <v>Fuel cells</v>
      </c>
      <c r="G643" s="76" t="str">
        <f>B642</f>
        <v>Hydrogen fuel cell power plant</v>
      </c>
      <c r="H643" s="76" t="str">
        <f>C642</f>
        <v>Electricity only</v>
      </c>
      <c r="I643" s="161" t="str">
        <f t="shared" si="86"/>
        <v>S</v>
      </c>
      <c r="J643" s="76" t="s">
        <v>112</v>
      </c>
      <c r="K643" s="76" t="s">
        <v>112</v>
      </c>
      <c r="L643" s="76" t="s">
        <v>112</v>
      </c>
      <c r="M643" s="76" t="s">
        <v>112</v>
      </c>
      <c r="N643" s="76" t="s">
        <v>112</v>
      </c>
      <c r="O643" s="76" t="s">
        <v>112</v>
      </c>
      <c r="P643" s="76" t="s">
        <v>112</v>
      </c>
      <c r="Q643" s="76" t="s">
        <v>112</v>
      </c>
      <c r="R643" s="76" t="s">
        <v>112</v>
      </c>
      <c r="S643" s="76" t="s">
        <v>112</v>
      </c>
      <c r="T643" s="76" t="s">
        <v>112</v>
      </c>
      <c r="U643" s="76" t="s">
        <v>112</v>
      </c>
      <c r="V643" s="76" t="s">
        <v>112</v>
      </c>
      <c r="W643" s="76" t="s">
        <v>112</v>
      </c>
      <c r="X643" s="76" t="s">
        <v>112</v>
      </c>
      <c r="Y643" s="76" t="s">
        <v>112</v>
      </c>
      <c r="Z643" s="76" t="s">
        <v>112</v>
      </c>
      <c r="AA643" s="76" t="s">
        <v>112</v>
      </c>
      <c r="AB643" s="76" t="s">
        <v>112</v>
      </c>
      <c r="AC643" s="76" t="s">
        <v>112</v>
      </c>
      <c r="AD643" s="76" t="s">
        <v>112</v>
      </c>
      <c r="AE643" s="76">
        <v>3.8850000000000003E-2</v>
      </c>
      <c r="AF643" s="76">
        <v>3.8850000000000003E-2</v>
      </c>
      <c r="AG643" s="76">
        <v>3.8850000000000003E-2</v>
      </c>
      <c r="AH643" s="76">
        <v>3.8850000000000003E-2</v>
      </c>
      <c r="AI643" s="76">
        <v>3.8850000000000003E-2</v>
      </c>
      <c r="AJ643" s="76">
        <v>3.8850000000000003E-2</v>
      </c>
      <c r="AK643" s="76">
        <v>3.8850000000000003E-2</v>
      </c>
      <c r="AL643" s="76">
        <v>3.8850000000000003E-2</v>
      </c>
      <c r="AM643" s="76">
        <v>3.8850000000000003E-2</v>
      </c>
      <c r="AN643" s="76">
        <v>3.8850000000000003E-2</v>
      </c>
      <c r="AO643" s="76">
        <v>3.8850000000000003E-2</v>
      </c>
      <c r="AP643" s="76">
        <v>3.8850000000000003E-2</v>
      </c>
      <c r="AQ643" s="76">
        <v>3.8850000000000003E-2</v>
      </c>
      <c r="AR643" s="76">
        <v>3.8850000000000003E-2</v>
      </c>
      <c r="AS643" s="76">
        <v>3.8850000000000003E-2</v>
      </c>
      <c r="AT643" s="76">
        <v>3.8850000000000003E-2</v>
      </c>
      <c r="AU643" s="76">
        <v>3.8850000000000003E-2</v>
      </c>
      <c r="AV643" s="76">
        <v>3.8850000000000003E-2</v>
      </c>
      <c r="AW643" s="76">
        <v>3.8850000000000003E-2</v>
      </c>
      <c r="AX643" s="84">
        <v>3.8850000000000003E-2</v>
      </c>
    </row>
    <row r="644" spans="1:50" x14ac:dyDescent="0.25">
      <c r="A644" s="357"/>
      <c r="B644" s="362"/>
      <c r="C644" s="354"/>
      <c r="D644" s="4" t="s">
        <v>20</v>
      </c>
      <c r="E644" s="160" t="str">
        <f>A639&amp;"/"&amp;B642&amp;"/"&amp;C642&amp;"/"&amp;D644</f>
        <v>Fuel cells/Hydrogen fuel cell power plant/Electricity only/XS</v>
      </c>
      <c r="F644" s="76" t="str">
        <f>A639</f>
        <v>Fuel cells</v>
      </c>
      <c r="G644" s="76" t="str">
        <f>B642</f>
        <v>Hydrogen fuel cell power plant</v>
      </c>
      <c r="H644" s="76" t="str">
        <f>C642</f>
        <v>Electricity only</v>
      </c>
      <c r="I644" s="161" t="str">
        <f t="shared" si="86"/>
        <v>XS</v>
      </c>
      <c r="J644" s="76" t="s">
        <v>112</v>
      </c>
      <c r="K644" s="76" t="s">
        <v>112</v>
      </c>
      <c r="L644" s="76" t="s">
        <v>112</v>
      </c>
      <c r="M644" s="76" t="s">
        <v>112</v>
      </c>
      <c r="N644" s="76" t="s">
        <v>112</v>
      </c>
      <c r="O644" s="76" t="s">
        <v>112</v>
      </c>
      <c r="P644" s="76" t="s">
        <v>112</v>
      </c>
      <c r="Q644" s="76" t="s">
        <v>112</v>
      </c>
      <c r="R644" s="76" t="s">
        <v>112</v>
      </c>
      <c r="S644" s="76" t="s">
        <v>112</v>
      </c>
      <c r="T644" s="76" t="s">
        <v>112</v>
      </c>
      <c r="U644" s="76" t="s">
        <v>112</v>
      </c>
      <c r="V644" s="76" t="s">
        <v>112</v>
      </c>
      <c r="W644" s="76" t="s">
        <v>112</v>
      </c>
      <c r="X644" s="76" t="s">
        <v>112</v>
      </c>
      <c r="Y644" s="76" t="s">
        <v>112</v>
      </c>
      <c r="Z644" s="76" t="s">
        <v>112</v>
      </c>
      <c r="AA644" s="76" t="s">
        <v>112</v>
      </c>
      <c r="AB644" s="76">
        <v>4.0792500000000002E-2</v>
      </c>
      <c r="AC644" s="76">
        <v>4.0792500000000002E-2</v>
      </c>
      <c r="AD644" s="76">
        <v>4.0792500000000002E-2</v>
      </c>
      <c r="AE644" s="76">
        <v>4.0792500000000002E-2</v>
      </c>
      <c r="AF644" s="76">
        <v>4.0792500000000002E-2</v>
      </c>
      <c r="AG644" s="76">
        <v>4.0792500000000002E-2</v>
      </c>
      <c r="AH644" s="76">
        <v>4.0792500000000002E-2</v>
      </c>
      <c r="AI644" s="76">
        <v>4.0792500000000002E-2</v>
      </c>
      <c r="AJ644" s="76">
        <v>4.0792500000000002E-2</v>
      </c>
      <c r="AK644" s="76">
        <v>4.0792500000000002E-2</v>
      </c>
      <c r="AL644" s="76">
        <v>4.0792500000000002E-2</v>
      </c>
      <c r="AM644" s="76">
        <v>4.0792500000000002E-2</v>
      </c>
      <c r="AN644" s="76">
        <v>4.0792500000000002E-2</v>
      </c>
      <c r="AO644" s="76">
        <v>4.0792500000000002E-2</v>
      </c>
      <c r="AP644" s="76">
        <v>4.0792500000000002E-2</v>
      </c>
      <c r="AQ644" s="76">
        <v>4.0792500000000002E-2</v>
      </c>
      <c r="AR644" s="76">
        <v>4.0792500000000002E-2</v>
      </c>
      <c r="AS644" s="76">
        <v>4.0792500000000002E-2</v>
      </c>
      <c r="AT644" s="76">
        <v>4.0792500000000002E-2</v>
      </c>
      <c r="AU644" s="76">
        <v>4.0792500000000002E-2</v>
      </c>
      <c r="AV644" s="76">
        <v>4.0792500000000002E-2</v>
      </c>
      <c r="AW644" s="76">
        <v>4.0792500000000002E-2</v>
      </c>
      <c r="AX644" s="84">
        <v>4.0792500000000002E-2</v>
      </c>
    </row>
    <row r="645" spans="1:50" x14ac:dyDescent="0.25">
      <c r="A645" s="355" t="s">
        <v>34</v>
      </c>
      <c r="B645" s="358" t="s">
        <v>35</v>
      </c>
      <c r="C645" s="353" t="s">
        <v>6</v>
      </c>
      <c r="D645" s="3" t="s">
        <v>7</v>
      </c>
      <c r="E645" s="162" t="str">
        <f>A645&amp;"/"&amp;B645&amp;"/"&amp;C645&amp;"/"&amp;D645</f>
        <v>Wind power plants/Onshore/Electricity only/L</v>
      </c>
      <c r="F645" s="77" t="str">
        <f>A645</f>
        <v>Wind power plants</v>
      </c>
      <c r="G645" s="77" t="str">
        <f>B645</f>
        <v>Onshore</v>
      </c>
      <c r="H645" s="77" t="str">
        <f>C645</f>
        <v>Electricity only</v>
      </c>
      <c r="I645" s="163" t="str">
        <f t="shared" si="86"/>
        <v>L</v>
      </c>
      <c r="J645" s="77">
        <v>0</v>
      </c>
      <c r="K645" s="77">
        <v>0</v>
      </c>
      <c r="L645" s="77">
        <v>0</v>
      </c>
      <c r="M645" s="77">
        <v>0</v>
      </c>
      <c r="N645" s="77">
        <v>0</v>
      </c>
      <c r="O645" s="77">
        <v>0</v>
      </c>
      <c r="P645" s="77">
        <v>0</v>
      </c>
      <c r="Q645" s="77">
        <v>0</v>
      </c>
      <c r="R645" s="77">
        <v>0</v>
      </c>
      <c r="S645" s="77">
        <v>0</v>
      </c>
      <c r="T645" s="77">
        <v>0</v>
      </c>
      <c r="U645" s="77">
        <v>0</v>
      </c>
      <c r="V645" s="77">
        <v>0</v>
      </c>
      <c r="W645" s="77">
        <v>0</v>
      </c>
      <c r="X645" s="77">
        <v>0</v>
      </c>
      <c r="Y645" s="77">
        <v>0</v>
      </c>
      <c r="Z645" s="77">
        <v>0</v>
      </c>
      <c r="AA645" s="77">
        <v>0</v>
      </c>
      <c r="AB645" s="77">
        <v>0</v>
      </c>
      <c r="AC645" s="77">
        <v>0</v>
      </c>
      <c r="AD645" s="77">
        <v>0</v>
      </c>
      <c r="AE645" s="77">
        <v>0</v>
      </c>
      <c r="AF645" s="77">
        <v>0</v>
      </c>
      <c r="AG645" s="77">
        <v>0</v>
      </c>
      <c r="AH645" s="77">
        <v>0</v>
      </c>
      <c r="AI645" s="77">
        <v>0</v>
      </c>
      <c r="AJ645" s="77">
        <v>0</v>
      </c>
      <c r="AK645" s="77">
        <v>0</v>
      </c>
      <c r="AL645" s="77">
        <v>0</v>
      </c>
      <c r="AM645" s="77">
        <v>0</v>
      </c>
      <c r="AN645" s="77">
        <v>0</v>
      </c>
      <c r="AO645" s="77">
        <v>0</v>
      </c>
      <c r="AP645" s="77">
        <v>0</v>
      </c>
      <c r="AQ645" s="77">
        <v>0</v>
      </c>
      <c r="AR645" s="77">
        <v>0</v>
      </c>
      <c r="AS645" s="77">
        <v>0</v>
      </c>
      <c r="AT645" s="77">
        <v>0</v>
      </c>
      <c r="AU645" s="77">
        <v>0</v>
      </c>
      <c r="AV645" s="77">
        <v>0</v>
      </c>
      <c r="AW645" s="77">
        <v>0</v>
      </c>
      <c r="AX645" s="85">
        <v>0</v>
      </c>
    </row>
    <row r="646" spans="1:50" x14ac:dyDescent="0.25">
      <c r="A646" s="356"/>
      <c r="B646" s="359"/>
      <c r="C646" s="350"/>
      <c r="D646" s="2" t="s">
        <v>8</v>
      </c>
      <c r="E646" s="160" t="str">
        <f>A645&amp;"/"&amp;B645&amp;"/"&amp;C645&amp;"/"&amp;D646</f>
        <v>Wind power plants/Onshore/Electricity only/M</v>
      </c>
      <c r="F646" s="76" t="str">
        <f>A645</f>
        <v>Wind power plants</v>
      </c>
      <c r="G646" s="76" t="str">
        <f>B645</f>
        <v>Onshore</v>
      </c>
      <c r="H646" s="76" t="str">
        <f>C645</f>
        <v>Electricity only</v>
      </c>
      <c r="I646" s="161" t="str">
        <f t="shared" si="86"/>
        <v>M</v>
      </c>
      <c r="J646" s="76">
        <v>0</v>
      </c>
      <c r="K646" s="76">
        <v>0</v>
      </c>
      <c r="L646" s="76">
        <v>0</v>
      </c>
      <c r="M646" s="76">
        <v>0</v>
      </c>
      <c r="N646" s="76">
        <v>0</v>
      </c>
      <c r="O646" s="76">
        <v>0</v>
      </c>
      <c r="P646" s="76">
        <v>0</v>
      </c>
      <c r="Q646" s="76">
        <v>0</v>
      </c>
      <c r="R646" s="76">
        <v>0</v>
      </c>
      <c r="S646" s="76">
        <v>0</v>
      </c>
      <c r="T646" s="76">
        <v>0</v>
      </c>
      <c r="U646" s="76">
        <v>0</v>
      </c>
      <c r="V646" s="76">
        <v>0</v>
      </c>
      <c r="W646" s="76">
        <v>0</v>
      </c>
      <c r="X646" s="76">
        <v>0</v>
      </c>
      <c r="Y646" s="76">
        <v>0</v>
      </c>
      <c r="Z646" s="76">
        <v>0</v>
      </c>
      <c r="AA646" s="76">
        <v>0</v>
      </c>
      <c r="AB646" s="76">
        <v>0</v>
      </c>
      <c r="AC646" s="76">
        <v>0</v>
      </c>
      <c r="AD646" s="76">
        <v>0</v>
      </c>
      <c r="AE646" s="76">
        <v>0</v>
      </c>
      <c r="AF646" s="76">
        <v>0</v>
      </c>
      <c r="AG646" s="76">
        <v>0</v>
      </c>
      <c r="AH646" s="76">
        <v>0</v>
      </c>
      <c r="AI646" s="76">
        <v>0</v>
      </c>
      <c r="AJ646" s="76">
        <v>0</v>
      </c>
      <c r="AK646" s="76">
        <v>0</v>
      </c>
      <c r="AL646" s="76">
        <v>0</v>
      </c>
      <c r="AM646" s="76">
        <v>0</v>
      </c>
      <c r="AN646" s="76">
        <v>0</v>
      </c>
      <c r="AO646" s="76">
        <v>0</v>
      </c>
      <c r="AP646" s="76">
        <v>0</v>
      </c>
      <c r="AQ646" s="76">
        <v>0</v>
      </c>
      <c r="AR646" s="76">
        <v>0</v>
      </c>
      <c r="AS646" s="76">
        <v>0</v>
      </c>
      <c r="AT646" s="76">
        <v>0</v>
      </c>
      <c r="AU646" s="76">
        <v>0</v>
      </c>
      <c r="AV646" s="76">
        <v>0</v>
      </c>
      <c r="AW646" s="76">
        <v>0</v>
      </c>
      <c r="AX646" s="84">
        <v>0</v>
      </c>
    </row>
    <row r="647" spans="1:50" x14ac:dyDescent="0.25">
      <c r="A647" s="356"/>
      <c r="B647" s="359"/>
      <c r="C647" s="350"/>
      <c r="D647" s="2" t="s">
        <v>10</v>
      </c>
      <c r="E647" s="160" t="str">
        <f>A645&amp;"/"&amp;B645&amp;"/"&amp;C645&amp;"/"&amp;D647</f>
        <v>Wind power plants/Onshore/Electricity only/S</v>
      </c>
      <c r="F647" s="76" t="str">
        <f>A645</f>
        <v>Wind power plants</v>
      </c>
      <c r="G647" s="76" t="str">
        <f>B645</f>
        <v>Onshore</v>
      </c>
      <c r="H647" s="76" t="str">
        <f>C645</f>
        <v>Electricity only</v>
      </c>
      <c r="I647" s="161" t="str">
        <f t="shared" si="86"/>
        <v>S</v>
      </c>
      <c r="J647" s="76">
        <v>0</v>
      </c>
      <c r="K647" s="76">
        <v>0</v>
      </c>
      <c r="L647" s="76">
        <v>0</v>
      </c>
      <c r="M647" s="76">
        <v>0</v>
      </c>
      <c r="N647" s="76">
        <v>0</v>
      </c>
      <c r="O647" s="76">
        <v>0</v>
      </c>
      <c r="P647" s="76">
        <v>0</v>
      </c>
      <c r="Q647" s="76">
        <v>0</v>
      </c>
      <c r="R647" s="76">
        <v>0</v>
      </c>
      <c r="S647" s="76">
        <v>0</v>
      </c>
      <c r="T647" s="76">
        <v>0</v>
      </c>
      <c r="U647" s="76">
        <v>0</v>
      </c>
      <c r="V647" s="76">
        <v>0</v>
      </c>
      <c r="W647" s="76">
        <v>0</v>
      </c>
      <c r="X647" s="76">
        <v>0</v>
      </c>
      <c r="Y647" s="76">
        <v>0</v>
      </c>
      <c r="Z647" s="76">
        <v>0</v>
      </c>
      <c r="AA647" s="76">
        <v>0</v>
      </c>
      <c r="AB647" s="76">
        <v>0</v>
      </c>
      <c r="AC647" s="76">
        <v>0</v>
      </c>
      <c r="AD647" s="76">
        <v>0</v>
      </c>
      <c r="AE647" s="76">
        <v>0</v>
      </c>
      <c r="AF647" s="76">
        <v>0</v>
      </c>
      <c r="AG647" s="76">
        <v>0</v>
      </c>
      <c r="AH647" s="76">
        <v>0</v>
      </c>
      <c r="AI647" s="76">
        <v>0</v>
      </c>
      <c r="AJ647" s="76">
        <v>0</v>
      </c>
      <c r="AK647" s="76">
        <v>0</v>
      </c>
      <c r="AL647" s="76">
        <v>0</v>
      </c>
      <c r="AM647" s="76">
        <v>0</v>
      </c>
      <c r="AN647" s="76">
        <v>0</v>
      </c>
      <c r="AO647" s="76">
        <v>0</v>
      </c>
      <c r="AP647" s="76">
        <v>0</v>
      </c>
      <c r="AQ647" s="76">
        <v>0</v>
      </c>
      <c r="AR647" s="76">
        <v>0</v>
      </c>
      <c r="AS647" s="76">
        <v>0</v>
      </c>
      <c r="AT647" s="76">
        <v>0</v>
      </c>
      <c r="AU647" s="76">
        <v>0</v>
      </c>
      <c r="AV647" s="76">
        <v>0</v>
      </c>
      <c r="AW647" s="76">
        <v>0</v>
      </c>
      <c r="AX647" s="84">
        <v>0</v>
      </c>
    </row>
    <row r="648" spans="1:50" x14ac:dyDescent="0.25">
      <c r="A648" s="356"/>
      <c r="B648" s="368"/>
      <c r="C648" s="360"/>
      <c r="D648" s="59" t="s">
        <v>20</v>
      </c>
      <c r="E648" s="166" t="str">
        <f>A645&amp;"/"&amp;B645&amp;"/"&amp;C645&amp;"/"&amp;D648</f>
        <v>Wind power plants/Onshore/Electricity only/XS</v>
      </c>
      <c r="F648" s="79" t="str">
        <f>A645</f>
        <v>Wind power plants</v>
      </c>
      <c r="G648" s="79" t="str">
        <f>B645</f>
        <v>Onshore</v>
      </c>
      <c r="H648" s="79" t="str">
        <f>C645</f>
        <v>Electricity only</v>
      </c>
      <c r="I648" s="167" t="str">
        <f t="shared" si="86"/>
        <v>XS</v>
      </c>
      <c r="J648" s="79">
        <v>0</v>
      </c>
      <c r="K648" s="79">
        <v>0</v>
      </c>
      <c r="L648" s="79">
        <v>0</v>
      </c>
      <c r="M648" s="79">
        <v>0</v>
      </c>
      <c r="N648" s="79">
        <v>0</v>
      </c>
      <c r="O648" s="79">
        <v>0</v>
      </c>
      <c r="P648" s="79">
        <v>0</v>
      </c>
      <c r="Q648" s="79">
        <v>0</v>
      </c>
      <c r="R648" s="79">
        <v>0</v>
      </c>
      <c r="S648" s="79">
        <v>0</v>
      </c>
      <c r="T648" s="79">
        <v>0</v>
      </c>
      <c r="U648" s="79">
        <v>0</v>
      </c>
      <c r="V648" s="79">
        <v>0</v>
      </c>
      <c r="W648" s="79">
        <v>0</v>
      </c>
      <c r="X648" s="79">
        <v>0</v>
      </c>
      <c r="Y648" s="79">
        <v>0</v>
      </c>
      <c r="Z648" s="79">
        <v>0</v>
      </c>
      <c r="AA648" s="79">
        <v>0</v>
      </c>
      <c r="AB648" s="79">
        <v>0</v>
      </c>
      <c r="AC648" s="79">
        <v>0</v>
      </c>
      <c r="AD648" s="79">
        <v>0</v>
      </c>
      <c r="AE648" s="79">
        <v>0</v>
      </c>
      <c r="AF648" s="79">
        <v>0</v>
      </c>
      <c r="AG648" s="79">
        <v>0</v>
      </c>
      <c r="AH648" s="79">
        <v>0</v>
      </c>
      <c r="AI648" s="79">
        <v>0</v>
      </c>
      <c r="AJ648" s="79">
        <v>0</v>
      </c>
      <c r="AK648" s="79">
        <v>0</v>
      </c>
      <c r="AL648" s="79">
        <v>0</v>
      </c>
      <c r="AM648" s="79">
        <v>0</v>
      </c>
      <c r="AN648" s="79">
        <v>0</v>
      </c>
      <c r="AO648" s="79">
        <v>0</v>
      </c>
      <c r="AP648" s="79">
        <v>0</v>
      </c>
      <c r="AQ648" s="79">
        <v>0</v>
      </c>
      <c r="AR648" s="79">
        <v>0</v>
      </c>
      <c r="AS648" s="79">
        <v>0</v>
      </c>
      <c r="AT648" s="79">
        <v>0</v>
      </c>
      <c r="AU648" s="79">
        <v>0</v>
      </c>
      <c r="AV648" s="79">
        <v>0</v>
      </c>
      <c r="AW648" s="79">
        <v>0</v>
      </c>
      <c r="AX648" s="87">
        <v>0</v>
      </c>
    </row>
    <row r="649" spans="1:50" x14ac:dyDescent="0.25">
      <c r="A649" s="356"/>
      <c r="B649" s="359" t="s">
        <v>36</v>
      </c>
      <c r="C649" s="361" t="s">
        <v>6</v>
      </c>
      <c r="D649" s="2" t="s">
        <v>7</v>
      </c>
      <c r="E649" s="160" t="str">
        <f>A645&amp;"/"&amp;B649&amp;"/"&amp;C649&amp;"/"&amp;D649</f>
        <v>Wind power plants/Offshore/Electricity only/L</v>
      </c>
      <c r="F649" s="76" t="str">
        <f>A645</f>
        <v>Wind power plants</v>
      </c>
      <c r="G649" s="76" t="str">
        <f>B649</f>
        <v>Offshore</v>
      </c>
      <c r="H649" s="76" t="str">
        <f>C649</f>
        <v>Electricity only</v>
      </c>
      <c r="I649" s="161" t="str">
        <f t="shared" si="86"/>
        <v>L</v>
      </c>
      <c r="J649" s="76">
        <v>0</v>
      </c>
      <c r="K649" s="76">
        <v>0</v>
      </c>
      <c r="L649" s="76">
        <v>0</v>
      </c>
      <c r="M649" s="76">
        <v>0</v>
      </c>
      <c r="N649" s="76">
        <v>0</v>
      </c>
      <c r="O649" s="76">
        <v>0</v>
      </c>
      <c r="P649" s="76">
        <v>0</v>
      </c>
      <c r="Q649" s="76">
        <v>0</v>
      </c>
      <c r="R649" s="76">
        <v>0</v>
      </c>
      <c r="S649" s="76">
        <v>0</v>
      </c>
      <c r="T649" s="76">
        <v>0</v>
      </c>
      <c r="U649" s="76">
        <v>0</v>
      </c>
      <c r="V649" s="76">
        <v>0</v>
      </c>
      <c r="W649" s="76">
        <v>0</v>
      </c>
      <c r="X649" s="76">
        <v>0</v>
      </c>
      <c r="Y649" s="76">
        <v>0</v>
      </c>
      <c r="Z649" s="76">
        <v>0</v>
      </c>
      <c r="AA649" s="76">
        <v>0</v>
      </c>
      <c r="AB649" s="76">
        <v>0</v>
      </c>
      <c r="AC649" s="76">
        <v>0</v>
      </c>
      <c r="AD649" s="76">
        <v>0</v>
      </c>
      <c r="AE649" s="76">
        <v>0</v>
      </c>
      <c r="AF649" s="76">
        <v>0</v>
      </c>
      <c r="AG649" s="76">
        <v>0</v>
      </c>
      <c r="AH649" s="76">
        <v>0</v>
      </c>
      <c r="AI649" s="76">
        <v>0</v>
      </c>
      <c r="AJ649" s="76">
        <v>0</v>
      </c>
      <c r="AK649" s="76">
        <v>0</v>
      </c>
      <c r="AL649" s="76">
        <v>0</v>
      </c>
      <c r="AM649" s="76">
        <v>0</v>
      </c>
      <c r="AN649" s="76">
        <v>0</v>
      </c>
      <c r="AO649" s="76">
        <v>0</v>
      </c>
      <c r="AP649" s="76">
        <v>0</v>
      </c>
      <c r="AQ649" s="76">
        <v>0</v>
      </c>
      <c r="AR649" s="76">
        <v>0</v>
      </c>
      <c r="AS649" s="76">
        <v>0</v>
      </c>
      <c r="AT649" s="76">
        <v>0</v>
      </c>
      <c r="AU649" s="76">
        <v>0</v>
      </c>
      <c r="AV649" s="76">
        <v>0</v>
      </c>
      <c r="AW649" s="76">
        <v>0</v>
      </c>
      <c r="AX649" s="84">
        <v>0</v>
      </c>
    </row>
    <row r="650" spans="1:50" x14ac:dyDescent="0.25">
      <c r="A650" s="356"/>
      <c r="B650" s="359"/>
      <c r="C650" s="350"/>
      <c r="D650" s="2" t="s">
        <v>8</v>
      </c>
      <c r="E650" s="160" t="str">
        <f>A645&amp;"/"&amp;B649&amp;"/"&amp;C649&amp;"/"&amp;D650</f>
        <v>Wind power plants/Offshore/Electricity only/M</v>
      </c>
      <c r="F650" s="76" t="str">
        <f>A645</f>
        <v>Wind power plants</v>
      </c>
      <c r="G650" s="76" t="str">
        <f>B649</f>
        <v>Offshore</v>
      </c>
      <c r="H650" s="76" t="str">
        <f>C649</f>
        <v>Electricity only</v>
      </c>
      <c r="I650" s="161" t="str">
        <f t="shared" si="86"/>
        <v>M</v>
      </c>
      <c r="J650" s="76">
        <v>0</v>
      </c>
      <c r="K650" s="76">
        <v>0</v>
      </c>
      <c r="L650" s="76">
        <v>0</v>
      </c>
      <c r="M650" s="76">
        <v>0</v>
      </c>
      <c r="N650" s="76">
        <v>0</v>
      </c>
      <c r="O650" s="76">
        <v>0</v>
      </c>
      <c r="P650" s="76">
        <v>0</v>
      </c>
      <c r="Q650" s="76">
        <v>0</v>
      </c>
      <c r="R650" s="76">
        <v>0</v>
      </c>
      <c r="S650" s="76">
        <v>0</v>
      </c>
      <c r="T650" s="76">
        <v>0</v>
      </c>
      <c r="U650" s="76">
        <v>0</v>
      </c>
      <c r="V650" s="76">
        <v>0</v>
      </c>
      <c r="W650" s="76">
        <v>0</v>
      </c>
      <c r="X650" s="76">
        <v>0</v>
      </c>
      <c r="Y650" s="76">
        <v>0</v>
      </c>
      <c r="Z650" s="76">
        <v>0</v>
      </c>
      <c r="AA650" s="76">
        <v>0</v>
      </c>
      <c r="AB650" s="76">
        <v>0</v>
      </c>
      <c r="AC650" s="76">
        <v>0</v>
      </c>
      <c r="AD650" s="76">
        <v>0</v>
      </c>
      <c r="AE650" s="76">
        <v>0</v>
      </c>
      <c r="AF650" s="76">
        <v>0</v>
      </c>
      <c r="AG650" s="76">
        <v>0</v>
      </c>
      <c r="AH650" s="76">
        <v>0</v>
      </c>
      <c r="AI650" s="76">
        <v>0</v>
      </c>
      <c r="AJ650" s="76">
        <v>0</v>
      </c>
      <c r="AK650" s="76">
        <v>0</v>
      </c>
      <c r="AL650" s="76">
        <v>0</v>
      </c>
      <c r="AM650" s="76">
        <v>0</v>
      </c>
      <c r="AN650" s="76">
        <v>0</v>
      </c>
      <c r="AO650" s="76">
        <v>0</v>
      </c>
      <c r="AP650" s="76">
        <v>0</v>
      </c>
      <c r="AQ650" s="76">
        <v>0</v>
      </c>
      <c r="AR650" s="76">
        <v>0</v>
      </c>
      <c r="AS650" s="76">
        <v>0</v>
      </c>
      <c r="AT650" s="76">
        <v>0</v>
      </c>
      <c r="AU650" s="76">
        <v>0</v>
      </c>
      <c r="AV650" s="76">
        <v>0</v>
      </c>
      <c r="AW650" s="76">
        <v>0</v>
      </c>
      <c r="AX650" s="84">
        <v>0</v>
      </c>
    </row>
    <row r="651" spans="1:50" x14ac:dyDescent="0.25">
      <c r="A651" s="356"/>
      <c r="B651" s="359"/>
      <c r="C651" s="350"/>
      <c r="D651" s="2" t="s">
        <v>10</v>
      </c>
      <c r="E651" s="160" t="str">
        <f>A645&amp;"/"&amp;B649&amp;"/"&amp;C649&amp;"/"&amp;D651</f>
        <v>Wind power plants/Offshore/Electricity only/S</v>
      </c>
      <c r="F651" s="76" t="str">
        <f>A645</f>
        <v>Wind power plants</v>
      </c>
      <c r="G651" s="76" t="str">
        <f>B649</f>
        <v>Offshore</v>
      </c>
      <c r="H651" s="76" t="str">
        <f>C649</f>
        <v>Electricity only</v>
      </c>
      <c r="I651" s="161" t="str">
        <f t="shared" si="86"/>
        <v>S</v>
      </c>
      <c r="J651" s="76">
        <v>0</v>
      </c>
      <c r="K651" s="76">
        <v>0</v>
      </c>
      <c r="L651" s="76">
        <v>0</v>
      </c>
      <c r="M651" s="76">
        <v>0</v>
      </c>
      <c r="N651" s="76">
        <v>0</v>
      </c>
      <c r="O651" s="76">
        <v>0</v>
      </c>
      <c r="P651" s="76">
        <v>0</v>
      </c>
      <c r="Q651" s="76">
        <v>0</v>
      </c>
      <c r="R651" s="76">
        <v>0</v>
      </c>
      <c r="S651" s="76">
        <v>0</v>
      </c>
      <c r="T651" s="76">
        <v>0</v>
      </c>
      <c r="U651" s="76">
        <v>0</v>
      </c>
      <c r="V651" s="76">
        <v>0</v>
      </c>
      <c r="W651" s="76">
        <v>0</v>
      </c>
      <c r="X651" s="76">
        <v>0</v>
      </c>
      <c r="Y651" s="76">
        <v>0</v>
      </c>
      <c r="Z651" s="76">
        <v>0</v>
      </c>
      <c r="AA651" s="76">
        <v>0</v>
      </c>
      <c r="AB651" s="76">
        <v>0</v>
      </c>
      <c r="AC651" s="76">
        <v>0</v>
      </c>
      <c r="AD651" s="76">
        <v>0</v>
      </c>
      <c r="AE651" s="76">
        <v>0</v>
      </c>
      <c r="AF651" s="76">
        <v>0</v>
      </c>
      <c r="AG651" s="76">
        <v>0</v>
      </c>
      <c r="AH651" s="76">
        <v>0</v>
      </c>
      <c r="AI651" s="76">
        <v>0</v>
      </c>
      <c r="AJ651" s="76">
        <v>0</v>
      </c>
      <c r="AK651" s="76">
        <v>0</v>
      </c>
      <c r="AL651" s="76">
        <v>0</v>
      </c>
      <c r="AM651" s="76">
        <v>0</v>
      </c>
      <c r="AN651" s="76">
        <v>0</v>
      </c>
      <c r="AO651" s="76">
        <v>0</v>
      </c>
      <c r="AP651" s="76">
        <v>0</v>
      </c>
      <c r="AQ651" s="76">
        <v>0</v>
      </c>
      <c r="AR651" s="76">
        <v>0</v>
      </c>
      <c r="AS651" s="76">
        <v>0</v>
      </c>
      <c r="AT651" s="76">
        <v>0</v>
      </c>
      <c r="AU651" s="76">
        <v>0</v>
      </c>
      <c r="AV651" s="76">
        <v>0</v>
      </c>
      <c r="AW651" s="76">
        <v>0</v>
      </c>
      <c r="AX651" s="84">
        <v>0</v>
      </c>
    </row>
    <row r="652" spans="1:50" x14ac:dyDescent="0.25">
      <c r="A652" s="357"/>
      <c r="B652" s="362"/>
      <c r="C652" s="354"/>
      <c r="D652" s="4" t="s">
        <v>20</v>
      </c>
      <c r="E652" s="168" t="str">
        <f>A645&amp;"/"&amp;B649&amp;"/"&amp;C649&amp;"/"&amp;D652</f>
        <v>Wind power plants/Offshore/Electricity only/XS</v>
      </c>
      <c r="F652" s="80" t="str">
        <f>A645</f>
        <v>Wind power plants</v>
      </c>
      <c r="G652" s="80" t="str">
        <f>B649</f>
        <v>Offshore</v>
      </c>
      <c r="H652" s="80" t="str">
        <f>C649</f>
        <v>Electricity only</v>
      </c>
      <c r="I652" s="169" t="str">
        <f t="shared" si="86"/>
        <v>XS</v>
      </c>
      <c r="J652" s="80">
        <v>0</v>
      </c>
      <c r="K652" s="80">
        <v>0</v>
      </c>
      <c r="L652" s="80">
        <v>0</v>
      </c>
      <c r="M652" s="80">
        <v>0</v>
      </c>
      <c r="N652" s="80">
        <v>0</v>
      </c>
      <c r="O652" s="80">
        <v>0</v>
      </c>
      <c r="P652" s="80">
        <v>0</v>
      </c>
      <c r="Q652" s="80">
        <v>0</v>
      </c>
      <c r="R652" s="80">
        <v>0</v>
      </c>
      <c r="S652" s="80">
        <v>0</v>
      </c>
      <c r="T652" s="80">
        <v>0</v>
      </c>
      <c r="U652" s="80">
        <v>0</v>
      </c>
      <c r="V652" s="80">
        <v>0</v>
      </c>
      <c r="W652" s="80">
        <v>0</v>
      </c>
      <c r="X652" s="80">
        <v>0</v>
      </c>
      <c r="Y652" s="80">
        <v>0</v>
      </c>
      <c r="Z652" s="80">
        <v>0</v>
      </c>
      <c r="AA652" s="80">
        <v>0</v>
      </c>
      <c r="AB652" s="80">
        <v>0</v>
      </c>
      <c r="AC652" s="80">
        <v>0</v>
      </c>
      <c r="AD652" s="80">
        <v>0</v>
      </c>
      <c r="AE652" s="80">
        <v>0</v>
      </c>
      <c r="AF652" s="80">
        <v>0</v>
      </c>
      <c r="AG652" s="80">
        <v>0</v>
      </c>
      <c r="AH652" s="80">
        <v>0</v>
      </c>
      <c r="AI652" s="80">
        <v>0</v>
      </c>
      <c r="AJ652" s="80">
        <v>0</v>
      </c>
      <c r="AK652" s="80">
        <v>0</v>
      </c>
      <c r="AL652" s="80">
        <v>0</v>
      </c>
      <c r="AM652" s="80">
        <v>0</v>
      </c>
      <c r="AN652" s="80">
        <v>0</v>
      </c>
      <c r="AO652" s="80">
        <v>0</v>
      </c>
      <c r="AP652" s="80">
        <v>0</v>
      </c>
      <c r="AQ652" s="80">
        <v>0</v>
      </c>
      <c r="AR652" s="80">
        <v>0</v>
      </c>
      <c r="AS652" s="80">
        <v>0</v>
      </c>
      <c r="AT652" s="80">
        <v>0</v>
      </c>
      <c r="AU652" s="80">
        <v>0</v>
      </c>
      <c r="AV652" s="80">
        <v>0</v>
      </c>
      <c r="AW652" s="80">
        <v>0</v>
      </c>
      <c r="AX652" s="88">
        <v>0</v>
      </c>
    </row>
    <row r="653" spans="1:50" x14ac:dyDescent="0.25">
      <c r="A653" s="355" t="s">
        <v>37</v>
      </c>
      <c r="B653" s="358" t="s">
        <v>37</v>
      </c>
      <c r="C653" s="353" t="s">
        <v>6</v>
      </c>
      <c r="D653" s="3" t="s">
        <v>7</v>
      </c>
      <c r="E653" s="162" t="str">
        <f>A653&amp;"/"&amp;B653&amp;"/"&amp;C653&amp;"/"&amp;D653</f>
        <v>Solar PV power plants/Solar PV power plants/Electricity only/L</v>
      </c>
      <c r="F653" s="77" t="str">
        <f>A653</f>
        <v>Solar PV power plants</v>
      </c>
      <c r="G653" s="77" t="str">
        <f>B653</f>
        <v>Solar PV power plants</v>
      </c>
      <c r="H653" s="77" t="str">
        <f>C653</f>
        <v>Electricity only</v>
      </c>
      <c r="I653" s="163" t="str">
        <f t="shared" si="86"/>
        <v>L</v>
      </c>
      <c r="J653" s="77">
        <v>0</v>
      </c>
      <c r="K653" s="77">
        <v>0</v>
      </c>
      <c r="L653" s="77">
        <v>0</v>
      </c>
      <c r="M653" s="77">
        <v>0</v>
      </c>
      <c r="N653" s="77">
        <v>0</v>
      </c>
      <c r="O653" s="77">
        <v>0</v>
      </c>
      <c r="P653" s="77">
        <v>0</v>
      </c>
      <c r="Q653" s="77">
        <v>0</v>
      </c>
      <c r="R653" s="77">
        <v>0</v>
      </c>
      <c r="S653" s="77">
        <v>0</v>
      </c>
      <c r="T653" s="77">
        <v>0</v>
      </c>
      <c r="U653" s="77">
        <v>0</v>
      </c>
      <c r="V653" s="77">
        <v>0</v>
      </c>
      <c r="W653" s="77">
        <v>0</v>
      </c>
      <c r="X653" s="77">
        <v>0</v>
      </c>
      <c r="Y653" s="77">
        <v>0</v>
      </c>
      <c r="Z653" s="77">
        <v>0</v>
      </c>
      <c r="AA653" s="77">
        <v>0</v>
      </c>
      <c r="AB653" s="77">
        <v>0</v>
      </c>
      <c r="AC653" s="77">
        <v>0</v>
      </c>
      <c r="AD653" s="77">
        <v>0</v>
      </c>
      <c r="AE653" s="77">
        <v>0</v>
      </c>
      <c r="AF653" s="77">
        <v>0</v>
      </c>
      <c r="AG653" s="77">
        <v>0</v>
      </c>
      <c r="AH653" s="77">
        <v>0</v>
      </c>
      <c r="AI653" s="77">
        <v>0</v>
      </c>
      <c r="AJ653" s="77">
        <v>0</v>
      </c>
      <c r="AK653" s="77">
        <v>0</v>
      </c>
      <c r="AL653" s="77">
        <v>0</v>
      </c>
      <c r="AM653" s="77">
        <v>0</v>
      </c>
      <c r="AN653" s="77">
        <v>0</v>
      </c>
      <c r="AO653" s="77">
        <v>0</v>
      </c>
      <c r="AP653" s="77">
        <v>0</v>
      </c>
      <c r="AQ653" s="77">
        <v>0</v>
      </c>
      <c r="AR653" s="77">
        <v>0</v>
      </c>
      <c r="AS653" s="77">
        <v>0</v>
      </c>
      <c r="AT653" s="77">
        <v>0</v>
      </c>
      <c r="AU653" s="77">
        <v>0</v>
      </c>
      <c r="AV653" s="77">
        <v>0</v>
      </c>
      <c r="AW653" s="77">
        <v>0</v>
      </c>
      <c r="AX653" s="85">
        <v>0</v>
      </c>
    </row>
    <row r="654" spans="1:50" x14ac:dyDescent="0.25">
      <c r="A654" s="356"/>
      <c r="B654" s="359"/>
      <c r="C654" s="350"/>
      <c r="D654" s="2" t="s">
        <v>8</v>
      </c>
      <c r="E654" s="160" t="str">
        <f>A653&amp;"/"&amp;B653&amp;"/"&amp;C653&amp;"/"&amp;D654</f>
        <v>Solar PV power plants/Solar PV power plants/Electricity only/M</v>
      </c>
      <c r="F654" s="76" t="str">
        <f>A653</f>
        <v>Solar PV power plants</v>
      </c>
      <c r="G654" s="76" t="str">
        <f>B653</f>
        <v>Solar PV power plants</v>
      </c>
      <c r="H654" s="76" t="str">
        <f>C653</f>
        <v>Electricity only</v>
      </c>
      <c r="I654" s="161" t="str">
        <f t="shared" si="86"/>
        <v>M</v>
      </c>
      <c r="J654" s="76">
        <v>0</v>
      </c>
      <c r="K654" s="76">
        <v>0</v>
      </c>
      <c r="L654" s="76">
        <v>0</v>
      </c>
      <c r="M654" s="76">
        <v>0</v>
      </c>
      <c r="N654" s="76">
        <v>0</v>
      </c>
      <c r="O654" s="76">
        <v>0</v>
      </c>
      <c r="P654" s="76">
        <v>0</v>
      </c>
      <c r="Q654" s="76">
        <v>0</v>
      </c>
      <c r="R654" s="76">
        <v>0</v>
      </c>
      <c r="S654" s="76">
        <v>0</v>
      </c>
      <c r="T654" s="76">
        <v>0</v>
      </c>
      <c r="U654" s="76">
        <v>0</v>
      </c>
      <c r="V654" s="76">
        <v>0</v>
      </c>
      <c r="W654" s="76">
        <v>0</v>
      </c>
      <c r="X654" s="76">
        <v>0</v>
      </c>
      <c r="Y654" s="76">
        <v>0</v>
      </c>
      <c r="Z654" s="76">
        <v>0</v>
      </c>
      <c r="AA654" s="76">
        <v>0</v>
      </c>
      <c r="AB654" s="76">
        <v>0</v>
      </c>
      <c r="AC654" s="76">
        <v>0</v>
      </c>
      <c r="AD654" s="76">
        <v>0</v>
      </c>
      <c r="AE654" s="76">
        <v>0</v>
      </c>
      <c r="AF654" s="76">
        <v>0</v>
      </c>
      <c r="AG654" s="76">
        <v>0</v>
      </c>
      <c r="AH654" s="76">
        <v>0</v>
      </c>
      <c r="AI654" s="76">
        <v>0</v>
      </c>
      <c r="AJ654" s="76">
        <v>0</v>
      </c>
      <c r="AK654" s="76">
        <v>0</v>
      </c>
      <c r="AL654" s="76">
        <v>0</v>
      </c>
      <c r="AM654" s="76">
        <v>0</v>
      </c>
      <c r="AN654" s="76">
        <v>0</v>
      </c>
      <c r="AO654" s="76">
        <v>0</v>
      </c>
      <c r="AP654" s="76">
        <v>0</v>
      </c>
      <c r="AQ654" s="76">
        <v>0</v>
      </c>
      <c r="AR654" s="76">
        <v>0</v>
      </c>
      <c r="AS654" s="76">
        <v>0</v>
      </c>
      <c r="AT654" s="76">
        <v>0</v>
      </c>
      <c r="AU654" s="76">
        <v>0</v>
      </c>
      <c r="AV654" s="76">
        <v>0</v>
      </c>
      <c r="AW654" s="76">
        <v>0</v>
      </c>
      <c r="AX654" s="84">
        <v>0</v>
      </c>
    </row>
    <row r="655" spans="1:50" x14ac:dyDescent="0.25">
      <c r="A655" s="356"/>
      <c r="B655" s="359"/>
      <c r="C655" s="350"/>
      <c r="D655" s="2" t="s">
        <v>10</v>
      </c>
      <c r="E655" s="160" t="str">
        <f>A653&amp;"/"&amp;B653&amp;"/"&amp;C653&amp;"/"&amp;D655</f>
        <v>Solar PV power plants/Solar PV power plants/Electricity only/S</v>
      </c>
      <c r="F655" s="76" t="str">
        <f>A653</f>
        <v>Solar PV power plants</v>
      </c>
      <c r="G655" s="76" t="str">
        <f>B653</f>
        <v>Solar PV power plants</v>
      </c>
      <c r="H655" s="76" t="str">
        <f>C653</f>
        <v>Electricity only</v>
      </c>
      <c r="I655" s="161" t="str">
        <f t="shared" si="86"/>
        <v>S</v>
      </c>
      <c r="J655" s="76">
        <v>0</v>
      </c>
      <c r="K655" s="76">
        <v>0</v>
      </c>
      <c r="L655" s="76">
        <v>0</v>
      </c>
      <c r="M655" s="76">
        <v>0</v>
      </c>
      <c r="N655" s="76">
        <v>0</v>
      </c>
      <c r="O655" s="76">
        <v>0</v>
      </c>
      <c r="P655" s="76">
        <v>0</v>
      </c>
      <c r="Q655" s="76">
        <v>0</v>
      </c>
      <c r="R655" s="76">
        <v>0</v>
      </c>
      <c r="S655" s="76">
        <v>0</v>
      </c>
      <c r="T655" s="76">
        <v>0</v>
      </c>
      <c r="U655" s="76">
        <v>0</v>
      </c>
      <c r="V655" s="76">
        <v>0</v>
      </c>
      <c r="W655" s="76">
        <v>0</v>
      </c>
      <c r="X655" s="76">
        <v>0</v>
      </c>
      <c r="Y655" s="76">
        <v>0</v>
      </c>
      <c r="Z655" s="76">
        <v>0</v>
      </c>
      <c r="AA655" s="76">
        <v>0</v>
      </c>
      <c r="AB655" s="76">
        <v>0</v>
      </c>
      <c r="AC655" s="76">
        <v>0</v>
      </c>
      <c r="AD655" s="76">
        <v>0</v>
      </c>
      <c r="AE655" s="76">
        <v>0</v>
      </c>
      <c r="AF655" s="76">
        <v>0</v>
      </c>
      <c r="AG655" s="76">
        <v>0</v>
      </c>
      <c r="AH655" s="76">
        <v>0</v>
      </c>
      <c r="AI655" s="76">
        <v>0</v>
      </c>
      <c r="AJ655" s="76">
        <v>0</v>
      </c>
      <c r="AK655" s="76">
        <v>0</v>
      </c>
      <c r="AL655" s="76">
        <v>0</v>
      </c>
      <c r="AM655" s="76">
        <v>0</v>
      </c>
      <c r="AN655" s="76">
        <v>0</v>
      </c>
      <c r="AO655" s="76">
        <v>0</v>
      </c>
      <c r="AP655" s="76">
        <v>0</v>
      </c>
      <c r="AQ655" s="76">
        <v>0</v>
      </c>
      <c r="AR655" s="76">
        <v>0</v>
      </c>
      <c r="AS655" s="76">
        <v>0</v>
      </c>
      <c r="AT655" s="76">
        <v>0</v>
      </c>
      <c r="AU655" s="76">
        <v>0</v>
      </c>
      <c r="AV655" s="76">
        <v>0</v>
      </c>
      <c r="AW655" s="76">
        <v>0</v>
      </c>
      <c r="AX655" s="84">
        <v>0</v>
      </c>
    </row>
    <row r="656" spans="1:50" x14ac:dyDescent="0.25">
      <c r="A656" s="357"/>
      <c r="B656" s="362"/>
      <c r="C656" s="354"/>
      <c r="D656" s="4" t="s">
        <v>20</v>
      </c>
      <c r="E656" s="168" t="str">
        <f>A653&amp;"/"&amp;B653&amp;"/"&amp;C653&amp;"/"&amp;D656</f>
        <v>Solar PV power plants/Solar PV power plants/Electricity only/XS</v>
      </c>
      <c r="F656" s="80" t="str">
        <f>A653</f>
        <v>Solar PV power plants</v>
      </c>
      <c r="G656" s="80" t="str">
        <f>B653</f>
        <v>Solar PV power plants</v>
      </c>
      <c r="H656" s="80" t="str">
        <f>C653</f>
        <v>Electricity only</v>
      </c>
      <c r="I656" s="169" t="str">
        <f t="shared" si="86"/>
        <v>XS</v>
      </c>
      <c r="J656" s="80">
        <v>0</v>
      </c>
      <c r="K656" s="80">
        <v>0</v>
      </c>
      <c r="L656" s="80">
        <v>0</v>
      </c>
      <c r="M656" s="80">
        <v>0</v>
      </c>
      <c r="N656" s="80">
        <v>0</v>
      </c>
      <c r="O656" s="80">
        <v>0</v>
      </c>
      <c r="P656" s="80">
        <v>0</v>
      </c>
      <c r="Q656" s="80">
        <v>0</v>
      </c>
      <c r="R656" s="80">
        <v>0</v>
      </c>
      <c r="S656" s="80">
        <v>0</v>
      </c>
      <c r="T656" s="80">
        <v>0</v>
      </c>
      <c r="U656" s="80">
        <v>0</v>
      </c>
      <c r="V656" s="80">
        <v>0</v>
      </c>
      <c r="W656" s="80">
        <v>0</v>
      </c>
      <c r="X656" s="80">
        <v>0</v>
      </c>
      <c r="Y656" s="80">
        <v>0</v>
      </c>
      <c r="Z656" s="80">
        <v>0</v>
      </c>
      <c r="AA656" s="80">
        <v>0</v>
      </c>
      <c r="AB656" s="80">
        <v>0</v>
      </c>
      <c r="AC656" s="80">
        <v>0</v>
      </c>
      <c r="AD656" s="80">
        <v>0</v>
      </c>
      <c r="AE656" s="80">
        <v>0</v>
      </c>
      <c r="AF656" s="80">
        <v>0</v>
      </c>
      <c r="AG656" s="80">
        <v>0</v>
      </c>
      <c r="AH656" s="80">
        <v>0</v>
      </c>
      <c r="AI656" s="80">
        <v>0</v>
      </c>
      <c r="AJ656" s="80">
        <v>0</v>
      </c>
      <c r="AK656" s="80">
        <v>0</v>
      </c>
      <c r="AL656" s="80">
        <v>0</v>
      </c>
      <c r="AM656" s="80">
        <v>0</v>
      </c>
      <c r="AN656" s="80">
        <v>0</v>
      </c>
      <c r="AO656" s="80">
        <v>0</v>
      </c>
      <c r="AP656" s="80">
        <v>0</v>
      </c>
      <c r="AQ656" s="80">
        <v>0</v>
      </c>
      <c r="AR656" s="80">
        <v>0</v>
      </c>
      <c r="AS656" s="80">
        <v>0</v>
      </c>
      <c r="AT656" s="80">
        <v>0</v>
      </c>
      <c r="AU656" s="80">
        <v>0</v>
      </c>
      <c r="AV656" s="80">
        <v>0</v>
      </c>
      <c r="AW656" s="80">
        <v>0</v>
      </c>
      <c r="AX656" s="88">
        <v>0</v>
      </c>
    </row>
    <row r="657" spans="1:50" x14ac:dyDescent="0.25">
      <c r="A657" s="355" t="s">
        <v>38</v>
      </c>
      <c r="B657" s="358" t="s">
        <v>38</v>
      </c>
      <c r="C657" s="353" t="s">
        <v>6</v>
      </c>
      <c r="D657" s="3" t="s">
        <v>7</v>
      </c>
      <c r="E657" s="162" t="str">
        <f>A657&amp;"/"&amp;B657&amp;"/"&amp;C657&amp;"/"&amp;D657</f>
        <v>Solar thermal power plants/Solar thermal power plants/Electricity only/L</v>
      </c>
      <c r="F657" s="77" t="str">
        <f>A657</f>
        <v>Solar thermal power plants</v>
      </c>
      <c r="G657" s="77" t="str">
        <f>B657</f>
        <v>Solar thermal power plants</v>
      </c>
      <c r="H657" s="77" t="str">
        <f>C657</f>
        <v>Electricity only</v>
      </c>
      <c r="I657" s="163" t="str">
        <f t="shared" si="86"/>
        <v>L</v>
      </c>
      <c r="J657" s="77">
        <v>0</v>
      </c>
      <c r="K657" s="77">
        <v>0</v>
      </c>
      <c r="L657" s="77">
        <v>0</v>
      </c>
      <c r="M657" s="77">
        <v>0</v>
      </c>
      <c r="N657" s="77">
        <v>0</v>
      </c>
      <c r="O657" s="77">
        <v>0</v>
      </c>
      <c r="P657" s="77">
        <v>0</v>
      </c>
      <c r="Q657" s="77">
        <v>0</v>
      </c>
      <c r="R657" s="77">
        <v>0</v>
      </c>
      <c r="S657" s="77">
        <v>0</v>
      </c>
      <c r="T657" s="77">
        <v>0</v>
      </c>
      <c r="U657" s="77">
        <v>0</v>
      </c>
      <c r="V657" s="77">
        <v>0</v>
      </c>
      <c r="W657" s="77">
        <v>0</v>
      </c>
      <c r="X657" s="77">
        <v>0</v>
      </c>
      <c r="Y657" s="77">
        <v>0</v>
      </c>
      <c r="Z657" s="77">
        <v>0</v>
      </c>
      <c r="AA657" s="77">
        <v>0</v>
      </c>
      <c r="AB657" s="77">
        <v>0</v>
      </c>
      <c r="AC657" s="77">
        <v>0</v>
      </c>
      <c r="AD657" s="77">
        <v>0</v>
      </c>
      <c r="AE657" s="77">
        <v>0</v>
      </c>
      <c r="AF657" s="77">
        <v>0</v>
      </c>
      <c r="AG657" s="77">
        <v>0</v>
      </c>
      <c r="AH657" s="77">
        <v>0</v>
      </c>
      <c r="AI657" s="77">
        <v>0</v>
      </c>
      <c r="AJ657" s="77">
        <v>0</v>
      </c>
      <c r="AK657" s="77">
        <v>0</v>
      </c>
      <c r="AL657" s="77">
        <v>0</v>
      </c>
      <c r="AM657" s="77">
        <v>0</v>
      </c>
      <c r="AN657" s="77">
        <v>0</v>
      </c>
      <c r="AO657" s="77">
        <v>0</v>
      </c>
      <c r="AP657" s="77">
        <v>0</v>
      </c>
      <c r="AQ657" s="77">
        <v>0</v>
      </c>
      <c r="AR657" s="77">
        <v>0</v>
      </c>
      <c r="AS657" s="77">
        <v>0</v>
      </c>
      <c r="AT657" s="77">
        <v>0</v>
      </c>
      <c r="AU657" s="77">
        <v>0</v>
      </c>
      <c r="AV657" s="77">
        <v>0</v>
      </c>
      <c r="AW657" s="77">
        <v>0</v>
      </c>
      <c r="AX657" s="85">
        <v>0</v>
      </c>
    </row>
    <row r="658" spans="1:50" x14ac:dyDescent="0.25">
      <c r="A658" s="356"/>
      <c r="B658" s="359"/>
      <c r="C658" s="350"/>
      <c r="D658" s="2" t="s">
        <v>8</v>
      </c>
      <c r="E658" s="160" t="str">
        <f>A657&amp;"/"&amp;B657&amp;"/"&amp;C657&amp;"/"&amp;D658</f>
        <v>Solar thermal power plants/Solar thermal power plants/Electricity only/M</v>
      </c>
      <c r="F658" s="76" t="str">
        <f>A657</f>
        <v>Solar thermal power plants</v>
      </c>
      <c r="G658" s="76" t="str">
        <f>B657</f>
        <v>Solar thermal power plants</v>
      </c>
      <c r="H658" s="76" t="str">
        <f>C657</f>
        <v>Electricity only</v>
      </c>
      <c r="I658" s="161" t="str">
        <f t="shared" si="86"/>
        <v>M</v>
      </c>
      <c r="J658" s="76">
        <v>0</v>
      </c>
      <c r="K658" s="76">
        <v>0</v>
      </c>
      <c r="L658" s="76">
        <v>0</v>
      </c>
      <c r="M658" s="76">
        <v>0</v>
      </c>
      <c r="N658" s="76">
        <v>0</v>
      </c>
      <c r="O658" s="76">
        <v>0</v>
      </c>
      <c r="P658" s="76">
        <v>0</v>
      </c>
      <c r="Q658" s="76">
        <v>0</v>
      </c>
      <c r="R658" s="76">
        <v>0</v>
      </c>
      <c r="S658" s="76">
        <v>0</v>
      </c>
      <c r="T658" s="76">
        <v>0</v>
      </c>
      <c r="U658" s="76">
        <v>0</v>
      </c>
      <c r="V658" s="76">
        <v>0</v>
      </c>
      <c r="W658" s="76">
        <v>0</v>
      </c>
      <c r="X658" s="76">
        <v>0</v>
      </c>
      <c r="Y658" s="76">
        <v>0</v>
      </c>
      <c r="Z658" s="76">
        <v>0</v>
      </c>
      <c r="AA658" s="76">
        <v>0</v>
      </c>
      <c r="AB658" s="76">
        <v>0</v>
      </c>
      <c r="AC658" s="76">
        <v>0</v>
      </c>
      <c r="AD658" s="76">
        <v>0</v>
      </c>
      <c r="AE658" s="76">
        <v>0</v>
      </c>
      <c r="AF658" s="76">
        <v>0</v>
      </c>
      <c r="AG658" s="76">
        <v>0</v>
      </c>
      <c r="AH658" s="76">
        <v>0</v>
      </c>
      <c r="AI658" s="76">
        <v>0</v>
      </c>
      <c r="AJ658" s="76">
        <v>0</v>
      </c>
      <c r="AK658" s="76">
        <v>0</v>
      </c>
      <c r="AL658" s="76">
        <v>0</v>
      </c>
      <c r="AM658" s="76">
        <v>0</v>
      </c>
      <c r="AN658" s="76">
        <v>0</v>
      </c>
      <c r="AO658" s="76">
        <v>0</v>
      </c>
      <c r="AP658" s="76">
        <v>0</v>
      </c>
      <c r="AQ658" s="76">
        <v>0</v>
      </c>
      <c r="AR658" s="76">
        <v>0</v>
      </c>
      <c r="AS658" s="76">
        <v>0</v>
      </c>
      <c r="AT658" s="76">
        <v>0</v>
      </c>
      <c r="AU658" s="76">
        <v>0</v>
      </c>
      <c r="AV658" s="76">
        <v>0</v>
      </c>
      <c r="AW658" s="76">
        <v>0</v>
      </c>
      <c r="AX658" s="84">
        <v>0</v>
      </c>
    </row>
    <row r="659" spans="1:50" x14ac:dyDescent="0.25">
      <c r="A659" s="356"/>
      <c r="B659" s="359"/>
      <c r="C659" s="350"/>
      <c r="D659" s="2" t="s">
        <v>10</v>
      </c>
      <c r="E659" s="160" t="str">
        <f>A657&amp;"/"&amp;B657&amp;"/"&amp;C657&amp;"/"&amp;D659</f>
        <v>Solar thermal power plants/Solar thermal power plants/Electricity only/S</v>
      </c>
      <c r="F659" s="76" t="str">
        <f>A657</f>
        <v>Solar thermal power plants</v>
      </c>
      <c r="G659" s="76" t="str">
        <f>B657</f>
        <v>Solar thermal power plants</v>
      </c>
      <c r="H659" s="76" t="str">
        <f>C657</f>
        <v>Electricity only</v>
      </c>
      <c r="I659" s="161" t="str">
        <f t="shared" si="86"/>
        <v>S</v>
      </c>
      <c r="J659" s="76">
        <v>0</v>
      </c>
      <c r="K659" s="76">
        <v>0</v>
      </c>
      <c r="L659" s="76">
        <v>0</v>
      </c>
      <c r="M659" s="76">
        <v>0</v>
      </c>
      <c r="N659" s="76">
        <v>0</v>
      </c>
      <c r="O659" s="76">
        <v>0</v>
      </c>
      <c r="P659" s="76">
        <v>0</v>
      </c>
      <c r="Q659" s="76">
        <v>0</v>
      </c>
      <c r="R659" s="76">
        <v>0</v>
      </c>
      <c r="S659" s="76">
        <v>0</v>
      </c>
      <c r="T659" s="76">
        <v>0</v>
      </c>
      <c r="U659" s="76">
        <v>0</v>
      </c>
      <c r="V659" s="76">
        <v>0</v>
      </c>
      <c r="W659" s="76">
        <v>0</v>
      </c>
      <c r="X659" s="76">
        <v>0</v>
      </c>
      <c r="Y659" s="76">
        <v>0</v>
      </c>
      <c r="Z659" s="76">
        <v>0</v>
      </c>
      <c r="AA659" s="76">
        <v>0</v>
      </c>
      <c r="AB659" s="76">
        <v>0</v>
      </c>
      <c r="AC659" s="76">
        <v>0</v>
      </c>
      <c r="AD659" s="76">
        <v>0</v>
      </c>
      <c r="AE659" s="76">
        <v>0</v>
      </c>
      <c r="AF659" s="76">
        <v>0</v>
      </c>
      <c r="AG659" s="76">
        <v>0</v>
      </c>
      <c r="AH659" s="76">
        <v>0</v>
      </c>
      <c r="AI659" s="76">
        <v>0</v>
      </c>
      <c r="AJ659" s="76">
        <v>0</v>
      </c>
      <c r="AK659" s="76">
        <v>0</v>
      </c>
      <c r="AL659" s="76">
        <v>0</v>
      </c>
      <c r="AM659" s="76">
        <v>0</v>
      </c>
      <c r="AN659" s="76">
        <v>0</v>
      </c>
      <c r="AO659" s="76">
        <v>0</v>
      </c>
      <c r="AP659" s="76">
        <v>0</v>
      </c>
      <c r="AQ659" s="76">
        <v>0</v>
      </c>
      <c r="AR659" s="76">
        <v>0</v>
      </c>
      <c r="AS659" s="76">
        <v>0</v>
      </c>
      <c r="AT659" s="76">
        <v>0</v>
      </c>
      <c r="AU659" s="76">
        <v>0</v>
      </c>
      <c r="AV659" s="76">
        <v>0</v>
      </c>
      <c r="AW659" s="76">
        <v>0</v>
      </c>
      <c r="AX659" s="84">
        <v>0</v>
      </c>
    </row>
    <row r="660" spans="1:50" x14ac:dyDescent="0.25">
      <c r="A660" s="357"/>
      <c r="B660" s="362"/>
      <c r="C660" s="354"/>
      <c r="D660" s="4" t="s">
        <v>20</v>
      </c>
      <c r="E660" s="168" t="str">
        <f>A657&amp;"/"&amp;B657&amp;"/"&amp;C657&amp;"/"&amp;D660</f>
        <v>Solar thermal power plants/Solar thermal power plants/Electricity only/XS</v>
      </c>
      <c r="F660" s="80" t="str">
        <f>A657</f>
        <v>Solar thermal power plants</v>
      </c>
      <c r="G660" s="80" t="str">
        <f>B657</f>
        <v>Solar thermal power plants</v>
      </c>
      <c r="H660" s="80" t="str">
        <f>C657</f>
        <v>Electricity only</v>
      </c>
      <c r="I660" s="169" t="str">
        <f t="shared" si="86"/>
        <v>XS</v>
      </c>
      <c r="J660" s="80">
        <v>0</v>
      </c>
      <c r="K660" s="80">
        <v>0</v>
      </c>
      <c r="L660" s="80">
        <v>0</v>
      </c>
      <c r="M660" s="80">
        <v>0</v>
      </c>
      <c r="N660" s="80">
        <v>0</v>
      </c>
      <c r="O660" s="80">
        <v>0</v>
      </c>
      <c r="P660" s="80">
        <v>0</v>
      </c>
      <c r="Q660" s="80">
        <v>0</v>
      </c>
      <c r="R660" s="80">
        <v>0</v>
      </c>
      <c r="S660" s="80">
        <v>0</v>
      </c>
      <c r="T660" s="80">
        <v>0</v>
      </c>
      <c r="U660" s="80">
        <v>0</v>
      </c>
      <c r="V660" s="80">
        <v>0</v>
      </c>
      <c r="W660" s="80">
        <v>0</v>
      </c>
      <c r="X660" s="80">
        <v>0</v>
      </c>
      <c r="Y660" s="80">
        <v>0</v>
      </c>
      <c r="Z660" s="80">
        <v>0</v>
      </c>
      <c r="AA660" s="80">
        <v>0</v>
      </c>
      <c r="AB660" s="80">
        <v>0</v>
      </c>
      <c r="AC660" s="80">
        <v>0</v>
      </c>
      <c r="AD660" s="80">
        <v>0</v>
      </c>
      <c r="AE660" s="80">
        <v>0</v>
      </c>
      <c r="AF660" s="80">
        <v>0</v>
      </c>
      <c r="AG660" s="80">
        <v>0</v>
      </c>
      <c r="AH660" s="80">
        <v>0</v>
      </c>
      <c r="AI660" s="80">
        <v>0</v>
      </c>
      <c r="AJ660" s="80">
        <v>0</v>
      </c>
      <c r="AK660" s="80">
        <v>0</v>
      </c>
      <c r="AL660" s="80">
        <v>0</v>
      </c>
      <c r="AM660" s="80">
        <v>0</v>
      </c>
      <c r="AN660" s="80">
        <v>0</v>
      </c>
      <c r="AO660" s="80">
        <v>0</v>
      </c>
      <c r="AP660" s="80">
        <v>0</v>
      </c>
      <c r="AQ660" s="80">
        <v>0</v>
      </c>
      <c r="AR660" s="80">
        <v>0</v>
      </c>
      <c r="AS660" s="80">
        <v>0</v>
      </c>
      <c r="AT660" s="80">
        <v>0</v>
      </c>
      <c r="AU660" s="80">
        <v>0</v>
      </c>
      <c r="AV660" s="80">
        <v>0</v>
      </c>
      <c r="AW660" s="80">
        <v>0</v>
      </c>
      <c r="AX660" s="88">
        <v>0</v>
      </c>
    </row>
    <row r="661" spans="1:50" x14ac:dyDescent="0.25">
      <c r="A661" s="355" t="s">
        <v>39</v>
      </c>
      <c r="B661" s="358" t="s">
        <v>39</v>
      </c>
      <c r="C661" s="353" t="s">
        <v>6</v>
      </c>
      <c r="D661" s="3" t="s">
        <v>7</v>
      </c>
      <c r="E661" s="162" t="str">
        <f>A661&amp;"/"&amp;B661&amp;"/"&amp;C661&amp;"/"&amp;D661</f>
        <v>Geothermal power plants/Geothermal power plants/Electricity only/L</v>
      </c>
      <c r="F661" s="77" t="str">
        <f>A661</f>
        <v>Geothermal power plants</v>
      </c>
      <c r="G661" s="77" t="str">
        <f>B661</f>
        <v>Geothermal power plants</v>
      </c>
      <c r="H661" s="77" t="str">
        <f>C661</f>
        <v>Electricity only</v>
      </c>
      <c r="I661" s="163" t="str">
        <f t="shared" si="86"/>
        <v>L</v>
      </c>
      <c r="J661" s="77">
        <v>0.05</v>
      </c>
      <c r="K661" s="77">
        <v>0.05</v>
      </c>
      <c r="L661" s="77">
        <v>0.05</v>
      </c>
      <c r="M661" s="77">
        <v>0.05</v>
      </c>
      <c r="N661" s="77">
        <v>0.05</v>
      </c>
      <c r="O661" s="77">
        <v>0.05</v>
      </c>
      <c r="P661" s="77">
        <v>0.05</v>
      </c>
      <c r="Q661" s="77">
        <v>0.05</v>
      </c>
      <c r="R661" s="77">
        <v>0.05</v>
      </c>
      <c r="S661" s="77">
        <v>0.05</v>
      </c>
      <c r="T661" s="77">
        <v>0.05</v>
      </c>
      <c r="U661" s="77">
        <v>0.05</v>
      </c>
      <c r="V661" s="77">
        <v>0.05</v>
      </c>
      <c r="W661" s="77">
        <v>0.05</v>
      </c>
      <c r="X661" s="77">
        <v>0.05</v>
      </c>
      <c r="Y661" s="77">
        <v>0.05</v>
      </c>
      <c r="Z661" s="77">
        <v>0.05</v>
      </c>
      <c r="AA661" s="77">
        <v>0.05</v>
      </c>
      <c r="AB661" s="77">
        <v>0.05</v>
      </c>
      <c r="AC661" s="77">
        <v>0.05</v>
      </c>
      <c r="AD661" s="77">
        <v>0.05</v>
      </c>
      <c r="AE661" s="77">
        <v>0.05</v>
      </c>
      <c r="AF661" s="77">
        <v>0.05</v>
      </c>
      <c r="AG661" s="77">
        <v>0.05</v>
      </c>
      <c r="AH661" s="77">
        <v>0.05</v>
      </c>
      <c r="AI661" s="77">
        <v>0.05</v>
      </c>
      <c r="AJ661" s="77">
        <v>0.05</v>
      </c>
      <c r="AK661" s="77">
        <v>0.05</v>
      </c>
      <c r="AL661" s="77">
        <v>0.05</v>
      </c>
      <c r="AM661" s="77">
        <v>0.05</v>
      </c>
      <c r="AN661" s="77">
        <v>0.05</v>
      </c>
      <c r="AO661" s="77">
        <v>0.05</v>
      </c>
      <c r="AP661" s="77">
        <v>0.05</v>
      </c>
      <c r="AQ661" s="77">
        <v>0.05</v>
      </c>
      <c r="AR661" s="77">
        <v>0.05</v>
      </c>
      <c r="AS661" s="77">
        <v>0.05</v>
      </c>
      <c r="AT661" s="77">
        <v>0.05</v>
      </c>
      <c r="AU661" s="77">
        <v>0.05</v>
      </c>
      <c r="AV661" s="77">
        <v>0.05</v>
      </c>
      <c r="AW661" s="77">
        <v>0.05</v>
      </c>
      <c r="AX661" s="85">
        <v>0.05</v>
      </c>
    </row>
    <row r="662" spans="1:50" x14ac:dyDescent="0.25">
      <c r="A662" s="356"/>
      <c r="B662" s="359"/>
      <c r="C662" s="350"/>
      <c r="D662" s="2" t="s">
        <v>8</v>
      </c>
      <c r="E662" s="160" t="str">
        <f>A661&amp;"/"&amp;B661&amp;"/"&amp;C661&amp;"/"&amp;D662</f>
        <v>Geothermal power plants/Geothermal power plants/Electricity only/M</v>
      </c>
      <c r="F662" s="76" t="str">
        <f>A661</f>
        <v>Geothermal power plants</v>
      </c>
      <c r="G662" s="76" t="str">
        <f>B661</f>
        <v>Geothermal power plants</v>
      </c>
      <c r="H662" s="76" t="str">
        <f>C661</f>
        <v>Electricity only</v>
      </c>
      <c r="I662" s="161" t="str">
        <f t="shared" si="86"/>
        <v>M</v>
      </c>
      <c r="J662" s="76">
        <v>6.5000000000000002E-2</v>
      </c>
      <c r="K662" s="76">
        <v>6.5000000000000002E-2</v>
      </c>
      <c r="L662" s="76">
        <v>6.5000000000000002E-2</v>
      </c>
      <c r="M662" s="76">
        <v>6.5000000000000002E-2</v>
      </c>
      <c r="N662" s="76">
        <v>6.5000000000000002E-2</v>
      </c>
      <c r="O662" s="76">
        <v>6.5000000000000002E-2</v>
      </c>
      <c r="P662" s="76">
        <v>6.5000000000000002E-2</v>
      </c>
      <c r="Q662" s="76">
        <v>6.5000000000000002E-2</v>
      </c>
      <c r="R662" s="76">
        <v>6.5000000000000002E-2</v>
      </c>
      <c r="S662" s="76">
        <v>6.5000000000000002E-2</v>
      </c>
      <c r="T662" s="76">
        <v>6.5000000000000002E-2</v>
      </c>
      <c r="U662" s="76">
        <v>6.5000000000000002E-2</v>
      </c>
      <c r="V662" s="76">
        <v>6.5000000000000002E-2</v>
      </c>
      <c r="W662" s="76">
        <v>6.5000000000000002E-2</v>
      </c>
      <c r="X662" s="76">
        <v>6.5000000000000002E-2</v>
      </c>
      <c r="Y662" s="76">
        <v>6.5000000000000002E-2</v>
      </c>
      <c r="Z662" s="76">
        <v>6.5000000000000002E-2</v>
      </c>
      <c r="AA662" s="76">
        <v>6.5000000000000002E-2</v>
      </c>
      <c r="AB662" s="76">
        <v>6.5000000000000002E-2</v>
      </c>
      <c r="AC662" s="76">
        <v>6.5000000000000002E-2</v>
      </c>
      <c r="AD662" s="76">
        <v>6.5000000000000002E-2</v>
      </c>
      <c r="AE662" s="76">
        <v>6.5000000000000002E-2</v>
      </c>
      <c r="AF662" s="76">
        <v>6.5000000000000002E-2</v>
      </c>
      <c r="AG662" s="76">
        <v>6.5000000000000002E-2</v>
      </c>
      <c r="AH662" s="76">
        <v>6.5000000000000002E-2</v>
      </c>
      <c r="AI662" s="76">
        <v>6.5000000000000002E-2</v>
      </c>
      <c r="AJ662" s="76">
        <v>6.5000000000000002E-2</v>
      </c>
      <c r="AK662" s="76">
        <v>6.5000000000000002E-2</v>
      </c>
      <c r="AL662" s="76">
        <v>6.5000000000000002E-2</v>
      </c>
      <c r="AM662" s="76">
        <v>6.5000000000000002E-2</v>
      </c>
      <c r="AN662" s="76">
        <v>6.5000000000000002E-2</v>
      </c>
      <c r="AO662" s="76">
        <v>6.5000000000000002E-2</v>
      </c>
      <c r="AP662" s="76">
        <v>6.5000000000000002E-2</v>
      </c>
      <c r="AQ662" s="76">
        <v>6.5000000000000002E-2</v>
      </c>
      <c r="AR662" s="76">
        <v>6.5000000000000002E-2</v>
      </c>
      <c r="AS662" s="76">
        <v>6.5000000000000002E-2</v>
      </c>
      <c r="AT662" s="76">
        <v>6.5000000000000002E-2</v>
      </c>
      <c r="AU662" s="76">
        <v>6.5000000000000002E-2</v>
      </c>
      <c r="AV662" s="76">
        <v>6.5000000000000002E-2</v>
      </c>
      <c r="AW662" s="76">
        <v>6.5000000000000002E-2</v>
      </c>
      <c r="AX662" s="84">
        <v>6.5000000000000002E-2</v>
      </c>
    </row>
    <row r="663" spans="1:50" x14ac:dyDescent="0.25">
      <c r="A663" s="357"/>
      <c r="B663" s="362"/>
      <c r="C663" s="354"/>
      <c r="D663" s="4" t="s">
        <v>10</v>
      </c>
      <c r="E663" s="168" t="str">
        <f>A661&amp;"/"&amp;B661&amp;"/"&amp;C661&amp;"/"&amp;D663</f>
        <v>Geothermal power plants/Geothermal power plants/Electricity only/S</v>
      </c>
      <c r="F663" s="80" t="str">
        <f>A661</f>
        <v>Geothermal power plants</v>
      </c>
      <c r="G663" s="80" t="str">
        <f>B661</f>
        <v>Geothermal power plants</v>
      </c>
      <c r="H663" s="80" t="str">
        <f>C661</f>
        <v>Electricity only</v>
      </c>
      <c r="I663" s="169" t="str">
        <f t="shared" ref="I663:I677" si="87">D663</f>
        <v>S</v>
      </c>
      <c r="J663" s="80">
        <v>0.09</v>
      </c>
      <c r="K663" s="80">
        <v>0.09</v>
      </c>
      <c r="L663" s="80">
        <v>0.09</v>
      </c>
      <c r="M663" s="80">
        <v>0.09</v>
      </c>
      <c r="N663" s="80">
        <v>0.09</v>
      </c>
      <c r="O663" s="80">
        <v>0.09</v>
      </c>
      <c r="P663" s="80">
        <v>0.09</v>
      </c>
      <c r="Q663" s="80">
        <v>0.09</v>
      </c>
      <c r="R663" s="80">
        <v>0.09</v>
      </c>
      <c r="S663" s="80">
        <v>0.09</v>
      </c>
      <c r="T663" s="80">
        <v>0.09</v>
      </c>
      <c r="U663" s="80">
        <v>0.09</v>
      </c>
      <c r="V663" s="80">
        <v>0.09</v>
      </c>
      <c r="W663" s="80">
        <v>0.09</v>
      </c>
      <c r="X663" s="80">
        <v>0.09</v>
      </c>
      <c r="Y663" s="80">
        <v>0.09</v>
      </c>
      <c r="Z663" s="80">
        <v>0.09</v>
      </c>
      <c r="AA663" s="80">
        <v>0.09</v>
      </c>
      <c r="AB663" s="80">
        <v>0.09</v>
      </c>
      <c r="AC663" s="80">
        <v>0.09</v>
      </c>
      <c r="AD663" s="80">
        <v>0.09</v>
      </c>
      <c r="AE663" s="80">
        <v>0.09</v>
      </c>
      <c r="AF663" s="80">
        <v>0.09</v>
      </c>
      <c r="AG663" s="80">
        <v>0.09</v>
      </c>
      <c r="AH663" s="80">
        <v>0.09</v>
      </c>
      <c r="AI663" s="80">
        <v>0.09</v>
      </c>
      <c r="AJ663" s="80">
        <v>0.09</v>
      </c>
      <c r="AK663" s="80">
        <v>0.09</v>
      </c>
      <c r="AL663" s="80">
        <v>0.09</v>
      </c>
      <c r="AM663" s="80">
        <v>0.09</v>
      </c>
      <c r="AN663" s="80">
        <v>0.09</v>
      </c>
      <c r="AO663" s="80">
        <v>0.09</v>
      </c>
      <c r="AP663" s="80">
        <v>0.09</v>
      </c>
      <c r="AQ663" s="80">
        <v>0.09</v>
      </c>
      <c r="AR663" s="80">
        <v>0.09</v>
      </c>
      <c r="AS663" s="80">
        <v>0.09</v>
      </c>
      <c r="AT663" s="80">
        <v>0.09</v>
      </c>
      <c r="AU663" s="80">
        <v>0.09</v>
      </c>
      <c r="AV663" s="80">
        <v>0.09</v>
      </c>
      <c r="AW663" s="80">
        <v>0.09</v>
      </c>
      <c r="AX663" s="88">
        <v>0.09</v>
      </c>
    </row>
    <row r="664" spans="1:50" x14ac:dyDescent="0.25">
      <c r="A664" s="355" t="s">
        <v>40</v>
      </c>
      <c r="B664" s="5" t="s">
        <v>41</v>
      </c>
      <c r="C664" s="6" t="s">
        <v>6</v>
      </c>
      <c r="D664" s="60" t="s">
        <v>8</v>
      </c>
      <c r="E664" s="170" t="str">
        <f>A664&amp;"/"&amp;B664&amp;"/"&amp;C664&amp;"/"&amp;D664</f>
        <v>Tide, wave and ocean power plants/Tidal/Electricity only/M</v>
      </c>
      <c r="F664" s="81" t="str">
        <f>A664</f>
        <v>Tide, wave and ocean power plants</v>
      </c>
      <c r="G664" s="81" t="str">
        <f>B664</f>
        <v>Tidal</v>
      </c>
      <c r="H664" s="81" t="str">
        <f>C664</f>
        <v>Electricity only</v>
      </c>
      <c r="I664" s="171" t="str">
        <f t="shared" si="87"/>
        <v>M</v>
      </c>
      <c r="J664" s="81">
        <v>0</v>
      </c>
      <c r="K664" s="81">
        <v>0</v>
      </c>
      <c r="L664" s="81">
        <v>0</v>
      </c>
      <c r="M664" s="81">
        <v>0</v>
      </c>
      <c r="N664" s="81">
        <v>0</v>
      </c>
      <c r="O664" s="81">
        <v>0</v>
      </c>
      <c r="P664" s="81">
        <v>0</v>
      </c>
      <c r="Q664" s="81">
        <v>0</v>
      </c>
      <c r="R664" s="81">
        <v>0</v>
      </c>
      <c r="S664" s="81">
        <v>0</v>
      </c>
      <c r="T664" s="81">
        <v>0</v>
      </c>
      <c r="U664" s="81">
        <v>0</v>
      </c>
      <c r="V664" s="81">
        <v>0</v>
      </c>
      <c r="W664" s="81">
        <v>0</v>
      </c>
      <c r="X664" s="81">
        <v>0</v>
      </c>
      <c r="Y664" s="81">
        <v>0</v>
      </c>
      <c r="Z664" s="81">
        <v>0</v>
      </c>
      <c r="AA664" s="81">
        <v>0</v>
      </c>
      <c r="AB664" s="81">
        <v>0</v>
      </c>
      <c r="AC664" s="81">
        <v>0</v>
      </c>
      <c r="AD664" s="81">
        <v>0</v>
      </c>
      <c r="AE664" s="81">
        <v>0</v>
      </c>
      <c r="AF664" s="81">
        <v>0</v>
      </c>
      <c r="AG664" s="81">
        <v>0</v>
      </c>
      <c r="AH664" s="81">
        <v>0</v>
      </c>
      <c r="AI664" s="81">
        <v>0</v>
      </c>
      <c r="AJ664" s="81">
        <v>0</v>
      </c>
      <c r="AK664" s="81">
        <v>0</v>
      </c>
      <c r="AL664" s="81">
        <v>0</v>
      </c>
      <c r="AM664" s="81">
        <v>0</v>
      </c>
      <c r="AN664" s="81">
        <v>0</v>
      </c>
      <c r="AO664" s="81">
        <v>0</v>
      </c>
      <c r="AP664" s="81">
        <v>0</v>
      </c>
      <c r="AQ664" s="81">
        <v>0</v>
      </c>
      <c r="AR664" s="81">
        <v>0</v>
      </c>
      <c r="AS664" s="81">
        <v>0</v>
      </c>
      <c r="AT664" s="81">
        <v>0</v>
      </c>
      <c r="AU664" s="81">
        <v>0</v>
      </c>
      <c r="AV664" s="81">
        <v>0</v>
      </c>
      <c r="AW664" s="81">
        <v>0</v>
      </c>
      <c r="AX664" s="89">
        <v>0</v>
      </c>
    </row>
    <row r="665" spans="1:50" x14ac:dyDescent="0.25">
      <c r="A665" s="357"/>
      <c r="B665" s="279" t="s">
        <v>42</v>
      </c>
      <c r="C665" s="7" t="s">
        <v>6</v>
      </c>
      <c r="D665" s="4" t="s">
        <v>8</v>
      </c>
      <c r="E665" s="168" t="str">
        <f>A664&amp;"/"&amp;B665&amp;"/"&amp;C665&amp;"/"&amp;D665</f>
        <v>Tide, wave and ocean power plants/Wave/Electricity only/M</v>
      </c>
      <c r="F665" s="80" t="str">
        <f>A664</f>
        <v>Tide, wave and ocean power plants</v>
      </c>
      <c r="G665" s="80" t="str">
        <f>B665</f>
        <v>Wave</v>
      </c>
      <c r="H665" s="80" t="str">
        <f>C665</f>
        <v>Electricity only</v>
      </c>
      <c r="I665" s="169" t="str">
        <f t="shared" si="87"/>
        <v>M</v>
      </c>
      <c r="J665" s="80">
        <v>0</v>
      </c>
      <c r="K665" s="80">
        <v>0</v>
      </c>
      <c r="L665" s="80">
        <v>0</v>
      </c>
      <c r="M665" s="80">
        <v>0</v>
      </c>
      <c r="N665" s="80">
        <v>0</v>
      </c>
      <c r="O665" s="80">
        <v>0</v>
      </c>
      <c r="P665" s="80">
        <v>0</v>
      </c>
      <c r="Q665" s="80">
        <v>0</v>
      </c>
      <c r="R665" s="80">
        <v>0</v>
      </c>
      <c r="S665" s="80">
        <v>0</v>
      </c>
      <c r="T665" s="80">
        <v>0</v>
      </c>
      <c r="U665" s="80">
        <v>0</v>
      </c>
      <c r="V665" s="80">
        <v>0</v>
      </c>
      <c r="W665" s="80">
        <v>0</v>
      </c>
      <c r="X665" s="80">
        <v>0</v>
      </c>
      <c r="Y665" s="80">
        <v>0</v>
      </c>
      <c r="Z665" s="80">
        <v>0</v>
      </c>
      <c r="AA665" s="80">
        <v>0</v>
      </c>
      <c r="AB665" s="80">
        <v>0</v>
      </c>
      <c r="AC665" s="80">
        <v>0</v>
      </c>
      <c r="AD665" s="80">
        <v>0</v>
      </c>
      <c r="AE665" s="80">
        <v>0</v>
      </c>
      <c r="AF665" s="80">
        <v>0</v>
      </c>
      <c r="AG665" s="80">
        <v>0</v>
      </c>
      <c r="AH665" s="80">
        <v>0</v>
      </c>
      <c r="AI665" s="80">
        <v>0</v>
      </c>
      <c r="AJ665" s="80">
        <v>0</v>
      </c>
      <c r="AK665" s="80">
        <v>0</v>
      </c>
      <c r="AL665" s="80">
        <v>0</v>
      </c>
      <c r="AM665" s="80">
        <v>0</v>
      </c>
      <c r="AN665" s="80">
        <v>0</v>
      </c>
      <c r="AO665" s="80">
        <v>0</v>
      </c>
      <c r="AP665" s="80">
        <v>0</v>
      </c>
      <c r="AQ665" s="80">
        <v>0</v>
      </c>
      <c r="AR665" s="80">
        <v>0</v>
      </c>
      <c r="AS665" s="80">
        <v>0</v>
      </c>
      <c r="AT665" s="80">
        <v>0</v>
      </c>
      <c r="AU665" s="80">
        <v>0</v>
      </c>
      <c r="AV665" s="80">
        <v>0</v>
      </c>
      <c r="AW665" s="80">
        <v>0</v>
      </c>
      <c r="AX665" s="88">
        <v>0</v>
      </c>
    </row>
    <row r="666" spans="1:50" x14ac:dyDescent="0.25">
      <c r="A666" s="355" t="s">
        <v>43</v>
      </c>
      <c r="B666" s="358" t="s">
        <v>44</v>
      </c>
      <c r="C666" s="353" t="s">
        <v>6</v>
      </c>
      <c r="D666" s="3" t="s">
        <v>7</v>
      </c>
      <c r="E666" s="162" t="str">
        <f>A666&amp;"/"&amp;B666&amp;"/"&amp;C666&amp;"/"&amp;D666</f>
        <v>Hydro plants/Run-of-river/Electricity only/L</v>
      </c>
      <c r="F666" s="77" t="str">
        <f>A666</f>
        <v>Hydro plants</v>
      </c>
      <c r="G666" s="77" t="str">
        <f>B666</f>
        <v>Run-of-river</v>
      </c>
      <c r="H666" s="77" t="str">
        <f>C666</f>
        <v>Electricity only</v>
      </c>
      <c r="I666" s="163" t="str">
        <f t="shared" si="87"/>
        <v>L</v>
      </c>
      <c r="J666" s="77">
        <v>0</v>
      </c>
      <c r="K666" s="77">
        <v>0</v>
      </c>
      <c r="L666" s="77">
        <v>0</v>
      </c>
      <c r="M666" s="77">
        <v>0</v>
      </c>
      <c r="N666" s="77">
        <v>0</v>
      </c>
      <c r="O666" s="77">
        <v>0</v>
      </c>
      <c r="P666" s="77">
        <v>0</v>
      </c>
      <c r="Q666" s="77">
        <v>0</v>
      </c>
      <c r="R666" s="77">
        <v>0</v>
      </c>
      <c r="S666" s="77">
        <v>0</v>
      </c>
      <c r="T666" s="77">
        <v>0</v>
      </c>
      <c r="U666" s="77">
        <v>0</v>
      </c>
      <c r="V666" s="77">
        <v>0</v>
      </c>
      <c r="W666" s="77">
        <v>0</v>
      </c>
      <c r="X666" s="77">
        <v>0</v>
      </c>
      <c r="Y666" s="77">
        <v>0</v>
      </c>
      <c r="Z666" s="77">
        <v>0</v>
      </c>
      <c r="AA666" s="77">
        <v>0</v>
      </c>
      <c r="AB666" s="77">
        <v>0</v>
      </c>
      <c r="AC666" s="77">
        <v>0</v>
      </c>
      <c r="AD666" s="77">
        <v>0</v>
      </c>
      <c r="AE666" s="77">
        <v>0</v>
      </c>
      <c r="AF666" s="77">
        <v>0</v>
      </c>
      <c r="AG666" s="77">
        <v>0</v>
      </c>
      <c r="AH666" s="77">
        <v>0</v>
      </c>
      <c r="AI666" s="77">
        <v>0</v>
      </c>
      <c r="AJ666" s="77">
        <v>0</v>
      </c>
      <c r="AK666" s="77">
        <v>0</v>
      </c>
      <c r="AL666" s="77">
        <v>0</v>
      </c>
      <c r="AM666" s="77">
        <v>0</v>
      </c>
      <c r="AN666" s="77">
        <v>0</v>
      </c>
      <c r="AO666" s="77">
        <v>0</v>
      </c>
      <c r="AP666" s="77">
        <v>0</v>
      </c>
      <c r="AQ666" s="77">
        <v>0</v>
      </c>
      <c r="AR666" s="77">
        <v>0</v>
      </c>
      <c r="AS666" s="77">
        <v>0</v>
      </c>
      <c r="AT666" s="77">
        <v>0</v>
      </c>
      <c r="AU666" s="77">
        <v>0</v>
      </c>
      <c r="AV666" s="77">
        <v>0</v>
      </c>
      <c r="AW666" s="77">
        <v>0</v>
      </c>
      <c r="AX666" s="85">
        <v>0</v>
      </c>
    </row>
    <row r="667" spans="1:50" x14ac:dyDescent="0.25">
      <c r="A667" s="356"/>
      <c r="B667" s="359"/>
      <c r="C667" s="350"/>
      <c r="D667" s="2" t="s">
        <v>8</v>
      </c>
      <c r="E667" s="160" t="str">
        <f>A666&amp;"/"&amp;B666&amp;"/"&amp;C666&amp;"/"&amp;D667</f>
        <v>Hydro plants/Run-of-river/Electricity only/M</v>
      </c>
      <c r="F667" s="76" t="str">
        <f>A666</f>
        <v>Hydro plants</v>
      </c>
      <c r="G667" s="76" t="str">
        <f>B666</f>
        <v>Run-of-river</v>
      </c>
      <c r="H667" s="76" t="str">
        <f>C666</f>
        <v>Electricity only</v>
      </c>
      <c r="I667" s="161" t="str">
        <f t="shared" si="87"/>
        <v>M</v>
      </c>
      <c r="J667" s="76">
        <v>0</v>
      </c>
      <c r="K667" s="76">
        <v>0</v>
      </c>
      <c r="L667" s="76">
        <v>0</v>
      </c>
      <c r="M667" s="76">
        <v>0</v>
      </c>
      <c r="N667" s="76">
        <v>0</v>
      </c>
      <c r="O667" s="76">
        <v>0</v>
      </c>
      <c r="P667" s="76">
        <v>0</v>
      </c>
      <c r="Q667" s="76">
        <v>0</v>
      </c>
      <c r="R667" s="76">
        <v>0</v>
      </c>
      <c r="S667" s="76">
        <v>0</v>
      </c>
      <c r="T667" s="76">
        <v>0</v>
      </c>
      <c r="U667" s="76">
        <v>0</v>
      </c>
      <c r="V667" s="76">
        <v>0</v>
      </c>
      <c r="W667" s="76">
        <v>0</v>
      </c>
      <c r="X667" s="76">
        <v>0</v>
      </c>
      <c r="Y667" s="76">
        <v>0</v>
      </c>
      <c r="Z667" s="76">
        <v>0</v>
      </c>
      <c r="AA667" s="76">
        <v>0</v>
      </c>
      <c r="AB667" s="76">
        <v>0</v>
      </c>
      <c r="AC667" s="76">
        <v>0</v>
      </c>
      <c r="AD667" s="76">
        <v>0</v>
      </c>
      <c r="AE667" s="76">
        <v>0</v>
      </c>
      <c r="AF667" s="76">
        <v>0</v>
      </c>
      <c r="AG667" s="76">
        <v>0</v>
      </c>
      <c r="AH667" s="76">
        <v>0</v>
      </c>
      <c r="AI667" s="76">
        <v>0</v>
      </c>
      <c r="AJ667" s="76">
        <v>0</v>
      </c>
      <c r="AK667" s="76">
        <v>0</v>
      </c>
      <c r="AL667" s="76">
        <v>0</v>
      </c>
      <c r="AM667" s="76">
        <v>0</v>
      </c>
      <c r="AN667" s="76">
        <v>0</v>
      </c>
      <c r="AO667" s="76">
        <v>0</v>
      </c>
      <c r="AP667" s="76">
        <v>0</v>
      </c>
      <c r="AQ667" s="76">
        <v>0</v>
      </c>
      <c r="AR667" s="76">
        <v>0</v>
      </c>
      <c r="AS667" s="76">
        <v>0</v>
      </c>
      <c r="AT667" s="76">
        <v>0</v>
      </c>
      <c r="AU667" s="76">
        <v>0</v>
      </c>
      <c r="AV667" s="76">
        <v>0</v>
      </c>
      <c r="AW667" s="76">
        <v>0</v>
      </c>
      <c r="AX667" s="84">
        <v>0</v>
      </c>
    </row>
    <row r="668" spans="1:50" x14ac:dyDescent="0.25">
      <c r="A668" s="356"/>
      <c r="B668" s="359"/>
      <c r="C668" s="350"/>
      <c r="D668" s="2" t="s">
        <v>10</v>
      </c>
      <c r="E668" s="160" t="str">
        <f>A666&amp;"/"&amp;B666&amp;"/"&amp;C666&amp;"/"&amp;D668</f>
        <v>Hydro plants/Run-of-river/Electricity only/S</v>
      </c>
      <c r="F668" s="76" t="str">
        <f>A666</f>
        <v>Hydro plants</v>
      </c>
      <c r="G668" s="76" t="str">
        <f>B666</f>
        <v>Run-of-river</v>
      </c>
      <c r="H668" s="76" t="str">
        <f>C666</f>
        <v>Electricity only</v>
      </c>
      <c r="I668" s="161" t="str">
        <f t="shared" si="87"/>
        <v>S</v>
      </c>
      <c r="J668" s="76">
        <v>0</v>
      </c>
      <c r="K668" s="76">
        <v>0</v>
      </c>
      <c r="L668" s="76">
        <v>0</v>
      </c>
      <c r="M668" s="76">
        <v>0</v>
      </c>
      <c r="N668" s="76">
        <v>0</v>
      </c>
      <c r="O668" s="76">
        <v>0</v>
      </c>
      <c r="P668" s="76">
        <v>0</v>
      </c>
      <c r="Q668" s="76">
        <v>0</v>
      </c>
      <c r="R668" s="76">
        <v>0</v>
      </c>
      <c r="S668" s="76">
        <v>0</v>
      </c>
      <c r="T668" s="76">
        <v>0</v>
      </c>
      <c r="U668" s="76">
        <v>0</v>
      </c>
      <c r="V668" s="76">
        <v>0</v>
      </c>
      <c r="W668" s="76">
        <v>0</v>
      </c>
      <c r="X668" s="76">
        <v>0</v>
      </c>
      <c r="Y668" s="76">
        <v>0</v>
      </c>
      <c r="Z668" s="76">
        <v>0</v>
      </c>
      <c r="AA668" s="76">
        <v>0</v>
      </c>
      <c r="AB668" s="76">
        <v>0</v>
      </c>
      <c r="AC668" s="76">
        <v>0</v>
      </c>
      <c r="AD668" s="76">
        <v>0</v>
      </c>
      <c r="AE668" s="76">
        <v>0</v>
      </c>
      <c r="AF668" s="76">
        <v>0</v>
      </c>
      <c r="AG668" s="76">
        <v>0</v>
      </c>
      <c r="AH668" s="76">
        <v>0</v>
      </c>
      <c r="AI668" s="76">
        <v>0</v>
      </c>
      <c r="AJ668" s="76">
        <v>0</v>
      </c>
      <c r="AK668" s="76">
        <v>0</v>
      </c>
      <c r="AL668" s="76">
        <v>0</v>
      </c>
      <c r="AM668" s="76">
        <v>0</v>
      </c>
      <c r="AN668" s="76">
        <v>0</v>
      </c>
      <c r="AO668" s="76">
        <v>0</v>
      </c>
      <c r="AP668" s="76">
        <v>0</v>
      </c>
      <c r="AQ668" s="76">
        <v>0</v>
      </c>
      <c r="AR668" s="76">
        <v>0</v>
      </c>
      <c r="AS668" s="76">
        <v>0</v>
      </c>
      <c r="AT668" s="76">
        <v>0</v>
      </c>
      <c r="AU668" s="76">
        <v>0</v>
      </c>
      <c r="AV668" s="76">
        <v>0</v>
      </c>
      <c r="AW668" s="76">
        <v>0</v>
      </c>
      <c r="AX668" s="84">
        <v>0</v>
      </c>
    </row>
    <row r="669" spans="1:50" x14ac:dyDescent="0.25">
      <c r="A669" s="356"/>
      <c r="B669" s="368"/>
      <c r="C669" s="360"/>
      <c r="D669" s="59" t="s">
        <v>20</v>
      </c>
      <c r="E669" s="166" t="str">
        <f>A666&amp;"/"&amp;B666&amp;"/"&amp;C666&amp;"/"&amp;D669</f>
        <v>Hydro plants/Run-of-river/Electricity only/XS</v>
      </c>
      <c r="F669" s="79" t="str">
        <f>A666</f>
        <v>Hydro plants</v>
      </c>
      <c r="G669" s="79" t="str">
        <f>B666</f>
        <v>Run-of-river</v>
      </c>
      <c r="H669" s="79" t="str">
        <f>C666</f>
        <v>Electricity only</v>
      </c>
      <c r="I669" s="167" t="str">
        <f t="shared" si="87"/>
        <v>XS</v>
      </c>
      <c r="J669" s="79">
        <v>0</v>
      </c>
      <c r="K669" s="79">
        <v>0</v>
      </c>
      <c r="L669" s="79">
        <v>0</v>
      </c>
      <c r="M669" s="79">
        <v>0</v>
      </c>
      <c r="N669" s="79">
        <v>0</v>
      </c>
      <c r="O669" s="79">
        <v>0</v>
      </c>
      <c r="P669" s="79">
        <v>0</v>
      </c>
      <c r="Q669" s="79">
        <v>0</v>
      </c>
      <c r="R669" s="79">
        <v>0</v>
      </c>
      <c r="S669" s="79">
        <v>0</v>
      </c>
      <c r="T669" s="79">
        <v>0</v>
      </c>
      <c r="U669" s="79">
        <v>0</v>
      </c>
      <c r="V669" s="79">
        <v>0</v>
      </c>
      <c r="W669" s="79">
        <v>0</v>
      </c>
      <c r="X669" s="79">
        <v>0</v>
      </c>
      <c r="Y669" s="79">
        <v>0</v>
      </c>
      <c r="Z669" s="79">
        <v>0</v>
      </c>
      <c r="AA669" s="79">
        <v>0</v>
      </c>
      <c r="AB669" s="79">
        <v>0</v>
      </c>
      <c r="AC669" s="79">
        <v>0</v>
      </c>
      <c r="AD669" s="79">
        <v>0</v>
      </c>
      <c r="AE669" s="79">
        <v>0</v>
      </c>
      <c r="AF669" s="79">
        <v>0</v>
      </c>
      <c r="AG669" s="79">
        <v>0</v>
      </c>
      <c r="AH669" s="79">
        <v>0</v>
      </c>
      <c r="AI669" s="79">
        <v>0</v>
      </c>
      <c r="AJ669" s="79">
        <v>0</v>
      </c>
      <c r="AK669" s="79">
        <v>0</v>
      </c>
      <c r="AL669" s="79">
        <v>0</v>
      </c>
      <c r="AM669" s="79">
        <v>0</v>
      </c>
      <c r="AN669" s="79">
        <v>0</v>
      </c>
      <c r="AO669" s="79">
        <v>0</v>
      </c>
      <c r="AP669" s="79">
        <v>0</v>
      </c>
      <c r="AQ669" s="79">
        <v>0</v>
      </c>
      <c r="AR669" s="79">
        <v>0</v>
      </c>
      <c r="AS669" s="79">
        <v>0</v>
      </c>
      <c r="AT669" s="79">
        <v>0</v>
      </c>
      <c r="AU669" s="79">
        <v>0</v>
      </c>
      <c r="AV669" s="79">
        <v>0</v>
      </c>
      <c r="AW669" s="79">
        <v>0</v>
      </c>
      <c r="AX669" s="87">
        <v>0</v>
      </c>
    </row>
    <row r="670" spans="1:50" x14ac:dyDescent="0.25">
      <c r="A670" s="356"/>
      <c r="B670" s="359" t="s">
        <v>45</v>
      </c>
      <c r="C670" s="350" t="s">
        <v>6</v>
      </c>
      <c r="D670" s="2" t="s">
        <v>7</v>
      </c>
      <c r="E670" s="160" t="str">
        <f>A666&amp;"/"&amp;B670&amp;"/"&amp;C670&amp;"/"&amp;D670</f>
        <v>Hydro plants/Reservoirs (dams)/Electricity only/L</v>
      </c>
      <c r="F670" s="76" t="str">
        <f>A666</f>
        <v>Hydro plants</v>
      </c>
      <c r="G670" s="76" t="str">
        <f>B670</f>
        <v>Reservoirs (dams)</v>
      </c>
      <c r="H670" s="76" t="str">
        <f>C670</f>
        <v>Electricity only</v>
      </c>
      <c r="I670" s="161" t="str">
        <f t="shared" si="87"/>
        <v>L</v>
      </c>
      <c r="J670" s="76">
        <v>0</v>
      </c>
      <c r="K670" s="76">
        <v>0</v>
      </c>
      <c r="L670" s="76">
        <v>0</v>
      </c>
      <c r="M670" s="76">
        <v>0</v>
      </c>
      <c r="N670" s="76">
        <v>0</v>
      </c>
      <c r="O670" s="76">
        <v>0</v>
      </c>
      <c r="P670" s="76">
        <v>0</v>
      </c>
      <c r="Q670" s="76">
        <v>0</v>
      </c>
      <c r="R670" s="76">
        <v>0</v>
      </c>
      <c r="S670" s="76">
        <v>0</v>
      </c>
      <c r="T670" s="76">
        <v>0</v>
      </c>
      <c r="U670" s="76">
        <v>0</v>
      </c>
      <c r="V670" s="76">
        <v>0</v>
      </c>
      <c r="W670" s="76">
        <v>0</v>
      </c>
      <c r="X670" s="76">
        <v>0</v>
      </c>
      <c r="Y670" s="76">
        <v>0</v>
      </c>
      <c r="Z670" s="76">
        <v>0</v>
      </c>
      <c r="AA670" s="76">
        <v>0</v>
      </c>
      <c r="AB670" s="76">
        <v>0</v>
      </c>
      <c r="AC670" s="76">
        <v>0</v>
      </c>
      <c r="AD670" s="76">
        <v>0</v>
      </c>
      <c r="AE670" s="76">
        <v>0</v>
      </c>
      <c r="AF670" s="76">
        <v>0</v>
      </c>
      <c r="AG670" s="76">
        <v>0</v>
      </c>
      <c r="AH670" s="76">
        <v>0</v>
      </c>
      <c r="AI670" s="76">
        <v>0</v>
      </c>
      <c r="AJ670" s="76">
        <v>0</v>
      </c>
      <c r="AK670" s="76">
        <v>0</v>
      </c>
      <c r="AL670" s="76">
        <v>0</v>
      </c>
      <c r="AM670" s="76">
        <v>0</v>
      </c>
      <c r="AN670" s="76">
        <v>0</v>
      </c>
      <c r="AO670" s="76">
        <v>0</v>
      </c>
      <c r="AP670" s="76">
        <v>0</v>
      </c>
      <c r="AQ670" s="76">
        <v>0</v>
      </c>
      <c r="AR670" s="76">
        <v>0</v>
      </c>
      <c r="AS670" s="76">
        <v>0</v>
      </c>
      <c r="AT670" s="76">
        <v>0</v>
      </c>
      <c r="AU670" s="76">
        <v>0</v>
      </c>
      <c r="AV670" s="76">
        <v>0</v>
      </c>
      <c r="AW670" s="76">
        <v>0</v>
      </c>
      <c r="AX670" s="84">
        <v>0</v>
      </c>
    </row>
    <row r="671" spans="1:50" x14ac:dyDescent="0.25">
      <c r="A671" s="356"/>
      <c r="B671" s="359"/>
      <c r="C671" s="350"/>
      <c r="D671" s="2" t="s">
        <v>8</v>
      </c>
      <c r="E671" s="160" t="str">
        <f>A666&amp;"/"&amp;B670&amp;"/"&amp;C670&amp;"/"&amp;D671</f>
        <v>Hydro plants/Reservoirs (dams)/Electricity only/M</v>
      </c>
      <c r="F671" s="76" t="str">
        <f>A666</f>
        <v>Hydro plants</v>
      </c>
      <c r="G671" s="76" t="str">
        <f>B670</f>
        <v>Reservoirs (dams)</v>
      </c>
      <c r="H671" s="76" t="str">
        <f>C670</f>
        <v>Electricity only</v>
      </c>
      <c r="I671" s="161" t="str">
        <f t="shared" si="87"/>
        <v>M</v>
      </c>
      <c r="J671" s="76">
        <v>0</v>
      </c>
      <c r="K671" s="76">
        <v>0</v>
      </c>
      <c r="L671" s="76">
        <v>0</v>
      </c>
      <c r="M671" s="76">
        <v>0</v>
      </c>
      <c r="N671" s="76">
        <v>0</v>
      </c>
      <c r="O671" s="76">
        <v>0</v>
      </c>
      <c r="P671" s="76">
        <v>0</v>
      </c>
      <c r="Q671" s="76">
        <v>0</v>
      </c>
      <c r="R671" s="76">
        <v>0</v>
      </c>
      <c r="S671" s="76">
        <v>0</v>
      </c>
      <c r="T671" s="76">
        <v>0</v>
      </c>
      <c r="U671" s="76">
        <v>0</v>
      </c>
      <c r="V671" s="76">
        <v>0</v>
      </c>
      <c r="W671" s="76">
        <v>0</v>
      </c>
      <c r="X671" s="76">
        <v>0</v>
      </c>
      <c r="Y671" s="76">
        <v>0</v>
      </c>
      <c r="Z671" s="76">
        <v>0</v>
      </c>
      <c r="AA671" s="76">
        <v>0</v>
      </c>
      <c r="AB671" s="76">
        <v>0</v>
      </c>
      <c r="AC671" s="76">
        <v>0</v>
      </c>
      <c r="AD671" s="76">
        <v>0</v>
      </c>
      <c r="AE671" s="76">
        <v>0</v>
      </c>
      <c r="AF671" s="76">
        <v>0</v>
      </c>
      <c r="AG671" s="76">
        <v>0</v>
      </c>
      <c r="AH671" s="76">
        <v>0</v>
      </c>
      <c r="AI671" s="76">
        <v>0</v>
      </c>
      <c r="AJ671" s="76">
        <v>0</v>
      </c>
      <c r="AK671" s="76">
        <v>0</v>
      </c>
      <c r="AL671" s="76">
        <v>0</v>
      </c>
      <c r="AM671" s="76">
        <v>0</v>
      </c>
      <c r="AN671" s="76">
        <v>0</v>
      </c>
      <c r="AO671" s="76">
        <v>0</v>
      </c>
      <c r="AP671" s="76">
        <v>0</v>
      </c>
      <c r="AQ671" s="76">
        <v>0</v>
      </c>
      <c r="AR671" s="76">
        <v>0</v>
      </c>
      <c r="AS671" s="76">
        <v>0</v>
      </c>
      <c r="AT671" s="76">
        <v>0</v>
      </c>
      <c r="AU671" s="76">
        <v>0</v>
      </c>
      <c r="AV671" s="76">
        <v>0</v>
      </c>
      <c r="AW671" s="76">
        <v>0</v>
      </c>
      <c r="AX671" s="84">
        <v>0</v>
      </c>
    </row>
    <row r="672" spans="1:50" x14ac:dyDescent="0.25">
      <c r="A672" s="356"/>
      <c r="B672" s="359"/>
      <c r="C672" s="350"/>
      <c r="D672" s="2" t="s">
        <v>10</v>
      </c>
      <c r="E672" s="160" t="str">
        <f>A666&amp;"/"&amp;B670&amp;"/"&amp;C670&amp;"/"&amp;D672</f>
        <v>Hydro plants/Reservoirs (dams)/Electricity only/S</v>
      </c>
      <c r="F672" s="76" t="str">
        <f>A666</f>
        <v>Hydro plants</v>
      </c>
      <c r="G672" s="76" t="str">
        <f>B670</f>
        <v>Reservoirs (dams)</v>
      </c>
      <c r="H672" s="76" t="str">
        <f>C670</f>
        <v>Electricity only</v>
      </c>
      <c r="I672" s="161" t="str">
        <f t="shared" si="87"/>
        <v>S</v>
      </c>
      <c r="J672" s="76">
        <v>0</v>
      </c>
      <c r="K672" s="76">
        <v>0</v>
      </c>
      <c r="L672" s="76">
        <v>0</v>
      </c>
      <c r="M672" s="76">
        <v>0</v>
      </c>
      <c r="N672" s="76">
        <v>0</v>
      </c>
      <c r="O672" s="76">
        <v>0</v>
      </c>
      <c r="P672" s="76">
        <v>0</v>
      </c>
      <c r="Q672" s="76">
        <v>0</v>
      </c>
      <c r="R672" s="76">
        <v>0</v>
      </c>
      <c r="S672" s="76">
        <v>0</v>
      </c>
      <c r="T672" s="76">
        <v>0</v>
      </c>
      <c r="U672" s="76">
        <v>0</v>
      </c>
      <c r="V672" s="76">
        <v>0</v>
      </c>
      <c r="W672" s="76">
        <v>0</v>
      </c>
      <c r="X672" s="76">
        <v>0</v>
      </c>
      <c r="Y672" s="76">
        <v>0</v>
      </c>
      <c r="Z672" s="76">
        <v>0</v>
      </c>
      <c r="AA672" s="76">
        <v>0</v>
      </c>
      <c r="AB672" s="76">
        <v>0</v>
      </c>
      <c r="AC672" s="76">
        <v>0</v>
      </c>
      <c r="AD672" s="76">
        <v>0</v>
      </c>
      <c r="AE672" s="76">
        <v>0</v>
      </c>
      <c r="AF672" s="76">
        <v>0</v>
      </c>
      <c r="AG672" s="76">
        <v>0</v>
      </c>
      <c r="AH672" s="76">
        <v>0</v>
      </c>
      <c r="AI672" s="76">
        <v>0</v>
      </c>
      <c r="AJ672" s="76">
        <v>0</v>
      </c>
      <c r="AK672" s="76">
        <v>0</v>
      </c>
      <c r="AL672" s="76">
        <v>0</v>
      </c>
      <c r="AM672" s="76">
        <v>0</v>
      </c>
      <c r="AN672" s="76">
        <v>0</v>
      </c>
      <c r="AO672" s="76">
        <v>0</v>
      </c>
      <c r="AP672" s="76">
        <v>0</v>
      </c>
      <c r="AQ672" s="76">
        <v>0</v>
      </c>
      <c r="AR672" s="76">
        <v>0</v>
      </c>
      <c r="AS672" s="76">
        <v>0</v>
      </c>
      <c r="AT672" s="76">
        <v>0</v>
      </c>
      <c r="AU672" s="76">
        <v>0</v>
      </c>
      <c r="AV672" s="76">
        <v>0</v>
      </c>
      <c r="AW672" s="76">
        <v>0</v>
      </c>
      <c r="AX672" s="84">
        <v>0</v>
      </c>
    </row>
    <row r="673" spans="1:50" x14ac:dyDescent="0.25">
      <c r="A673" s="357"/>
      <c r="B673" s="362"/>
      <c r="C673" s="354"/>
      <c r="D673" s="4" t="s">
        <v>20</v>
      </c>
      <c r="E673" s="168" t="str">
        <f>A666&amp;"/"&amp;B670&amp;"/"&amp;C670&amp;"/"&amp;D673</f>
        <v>Hydro plants/Reservoirs (dams)/Electricity only/XS</v>
      </c>
      <c r="F673" s="80" t="str">
        <f>A666</f>
        <v>Hydro plants</v>
      </c>
      <c r="G673" s="80" t="str">
        <f>B670</f>
        <v>Reservoirs (dams)</v>
      </c>
      <c r="H673" s="80" t="str">
        <f>C670</f>
        <v>Electricity only</v>
      </c>
      <c r="I673" s="169" t="str">
        <f t="shared" si="87"/>
        <v>XS</v>
      </c>
      <c r="J673" s="80">
        <v>0</v>
      </c>
      <c r="K673" s="80">
        <v>0</v>
      </c>
      <c r="L673" s="80">
        <v>0</v>
      </c>
      <c r="M673" s="80">
        <v>0</v>
      </c>
      <c r="N673" s="80">
        <v>0</v>
      </c>
      <c r="O673" s="80">
        <v>0</v>
      </c>
      <c r="P673" s="80">
        <v>0</v>
      </c>
      <c r="Q673" s="80">
        <v>0</v>
      </c>
      <c r="R673" s="80">
        <v>0</v>
      </c>
      <c r="S673" s="80">
        <v>0</v>
      </c>
      <c r="T673" s="80">
        <v>0</v>
      </c>
      <c r="U673" s="80">
        <v>0</v>
      </c>
      <c r="V673" s="80">
        <v>0</v>
      </c>
      <c r="W673" s="80">
        <v>0</v>
      </c>
      <c r="X673" s="80">
        <v>0</v>
      </c>
      <c r="Y673" s="80">
        <v>0</v>
      </c>
      <c r="Z673" s="80">
        <v>0</v>
      </c>
      <c r="AA673" s="80">
        <v>0</v>
      </c>
      <c r="AB673" s="80">
        <v>0</v>
      </c>
      <c r="AC673" s="80">
        <v>0</v>
      </c>
      <c r="AD673" s="80">
        <v>0</v>
      </c>
      <c r="AE673" s="80">
        <v>0</v>
      </c>
      <c r="AF673" s="80">
        <v>0</v>
      </c>
      <c r="AG673" s="80">
        <v>0</v>
      </c>
      <c r="AH673" s="80">
        <v>0</v>
      </c>
      <c r="AI673" s="80">
        <v>0</v>
      </c>
      <c r="AJ673" s="80">
        <v>0</v>
      </c>
      <c r="AK673" s="80">
        <v>0</v>
      </c>
      <c r="AL673" s="80">
        <v>0</v>
      </c>
      <c r="AM673" s="80">
        <v>0</v>
      </c>
      <c r="AN673" s="80">
        <v>0</v>
      </c>
      <c r="AO673" s="80">
        <v>0</v>
      </c>
      <c r="AP673" s="80">
        <v>0</v>
      </c>
      <c r="AQ673" s="80">
        <v>0</v>
      </c>
      <c r="AR673" s="80">
        <v>0</v>
      </c>
      <c r="AS673" s="80">
        <v>0</v>
      </c>
      <c r="AT673" s="80">
        <v>0</v>
      </c>
      <c r="AU673" s="80">
        <v>0</v>
      </c>
      <c r="AV673" s="80">
        <v>0</v>
      </c>
      <c r="AW673" s="80">
        <v>0</v>
      </c>
      <c r="AX673" s="88">
        <v>0</v>
      </c>
    </row>
    <row r="674" spans="1:50" x14ac:dyDescent="0.25">
      <c r="A674" s="356" t="s">
        <v>46</v>
      </c>
      <c r="B674" s="359" t="s">
        <v>46</v>
      </c>
      <c r="C674" s="353" t="s">
        <v>6</v>
      </c>
      <c r="D674" s="2" t="s">
        <v>7</v>
      </c>
      <c r="E674" s="160" t="str">
        <f>A674&amp;"/"&amp;B674&amp;"/"&amp;C674&amp;"/"&amp;D674</f>
        <v>Pump storage/Pump storage/Electricity only/L</v>
      </c>
      <c r="F674" s="76" t="str">
        <f>A674</f>
        <v>Pump storage</v>
      </c>
      <c r="G674" s="76" t="str">
        <f>B674</f>
        <v>Pump storage</v>
      </c>
      <c r="H674" s="76" t="str">
        <f>C674</f>
        <v>Electricity only</v>
      </c>
      <c r="I674" s="161" t="str">
        <f t="shared" si="87"/>
        <v>L</v>
      </c>
      <c r="J674" s="76">
        <v>0</v>
      </c>
      <c r="K674" s="76">
        <v>0</v>
      </c>
      <c r="L674" s="76">
        <v>0</v>
      </c>
      <c r="M674" s="76">
        <v>0</v>
      </c>
      <c r="N674" s="76">
        <v>0</v>
      </c>
      <c r="O674" s="76">
        <v>0</v>
      </c>
      <c r="P674" s="76">
        <v>0</v>
      </c>
      <c r="Q674" s="76">
        <v>0</v>
      </c>
      <c r="R674" s="76">
        <v>0</v>
      </c>
      <c r="S674" s="76">
        <v>0</v>
      </c>
      <c r="T674" s="76">
        <v>0</v>
      </c>
      <c r="U674" s="76">
        <v>0</v>
      </c>
      <c r="V674" s="76">
        <v>0</v>
      </c>
      <c r="W674" s="76">
        <v>0</v>
      </c>
      <c r="X674" s="76">
        <v>0</v>
      </c>
      <c r="Y674" s="76">
        <v>0</v>
      </c>
      <c r="Z674" s="76">
        <v>0</v>
      </c>
      <c r="AA674" s="76">
        <v>0</v>
      </c>
      <c r="AB674" s="76">
        <v>0</v>
      </c>
      <c r="AC674" s="76">
        <v>0</v>
      </c>
      <c r="AD674" s="76">
        <v>0</v>
      </c>
      <c r="AE674" s="76">
        <v>0</v>
      </c>
      <c r="AF674" s="76">
        <v>0</v>
      </c>
      <c r="AG674" s="76">
        <v>0</v>
      </c>
      <c r="AH674" s="76">
        <v>0</v>
      </c>
      <c r="AI674" s="76">
        <v>0</v>
      </c>
      <c r="AJ674" s="76">
        <v>0</v>
      </c>
      <c r="AK674" s="76">
        <v>0</v>
      </c>
      <c r="AL674" s="76">
        <v>0</v>
      </c>
      <c r="AM674" s="76">
        <v>0</v>
      </c>
      <c r="AN674" s="76">
        <v>0</v>
      </c>
      <c r="AO674" s="76">
        <v>0</v>
      </c>
      <c r="AP674" s="76">
        <v>0</v>
      </c>
      <c r="AQ674" s="76">
        <v>0</v>
      </c>
      <c r="AR674" s="76">
        <v>0</v>
      </c>
      <c r="AS674" s="76">
        <v>0</v>
      </c>
      <c r="AT674" s="76">
        <v>0</v>
      </c>
      <c r="AU674" s="76">
        <v>0</v>
      </c>
      <c r="AV674" s="76">
        <v>0</v>
      </c>
      <c r="AW674" s="76">
        <v>0</v>
      </c>
      <c r="AX674" s="84">
        <v>0</v>
      </c>
    </row>
    <row r="675" spans="1:50" x14ac:dyDescent="0.25">
      <c r="A675" s="356"/>
      <c r="B675" s="359"/>
      <c r="C675" s="350"/>
      <c r="D675" s="2" t="s">
        <v>8</v>
      </c>
      <c r="E675" s="160" t="str">
        <f>A674&amp;"/"&amp;B674&amp;"/"&amp;C674&amp;"/"&amp;D675</f>
        <v>Pump storage/Pump storage/Electricity only/M</v>
      </c>
      <c r="F675" s="76" t="str">
        <f>A674</f>
        <v>Pump storage</v>
      </c>
      <c r="G675" s="76" t="str">
        <f>B674</f>
        <v>Pump storage</v>
      </c>
      <c r="H675" s="76" t="str">
        <f>C674</f>
        <v>Electricity only</v>
      </c>
      <c r="I675" s="161" t="str">
        <f t="shared" si="87"/>
        <v>M</v>
      </c>
      <c r="J675" s="76">
        <v>0</v>
      </c>
      <c r="K675" s="76">
        <v>0</v>
      </c>
      <c r="L675" s="76">
        <v>0</v>
      </c>
      <c r="M675" s="76">
        <v>0</v>
      </c>
      <c r="N675" s="76">
        <v>0</v>
      </c>
      <c r="O675" s="76">
        <v>0</v>
      </c>
      <c r="P675" s="76">
        <v>0</v>
      </c>
      <c r="Q675" s="76">
        <v>0</v>
      </c>
      <c r="R675" s="76">
        <v>0</v>
      </c>
      <c r="S675" s="76">
        <v>0</v>
      </c>
      <c r="T675" s="76">
        <v>0</v>
      </c>
      <c r="U675" s="76">
        <v>0</v>
      </c>
      <c r="V675" s="76">
        <v>0</v>
      </c>
      <c r="W675" s="76">
        <v>0</v>
      </c>
      <c r="X675" s="76">
        <v>0</v>
      </c>
      <c r="Y675" s="76">
        <v>0</v>
      </c>
      <c r="Z675" s="76">
        <v>0</v>
      </c>
      <c r="AA675" s="76">
        <v>0</v>
      </c>
      <c r="AB675" s="76">
        <v>0</v>
      </c>
      <c r="AC675" s="76">
        <v>0</v>
      </c>
      <c r="AD675" s="76">
        <v>0</v>
      </c>
      <c r="AE675" s="76">
        <v>0</v>
      </c>
      <c r="AF675" s="76">
        <v>0</v>
      </c>
      <c r="AG675" s="76">
        <v>0</v>
      </c>
      <c r="AH675" s="76">
        <v>0</v>
      </c>
      <c r="AI675" s="76">
        <v>0</v>
      </c>
      <c r="AJ675" s="76">
        <v>0</v>
      </c>
      <c r="AK675" s="76">
        <v>0</v>
      </c>
      <c r="AL675" s="76">
        <v>0</v>
      </c>
      <c r="AM675" s="76">
        <v>0</v>
      </c>
      <c r="AN675" s="76">
        <v>0</v>
      </c>
      <c r="AO675" s="76">
        <v>0</v>
      </c>
      <c r="AP675" s="76">
        <v>0</v>
      </c>
      <c r="AQ675" s="76">
        <v>0</v>
      </c>
      <c r="AR675" s="76">
        <v>0</v>
      </c>
      <c r="AS675" s="76">
        <v>0</v>
      </c>
      <c r="AT675" s="76">
        <v>0</v>
      </c>
      <c r="AU675" s="76">
        <v>0</v>
      </c>
      <c r="AV675" s="76">
        <v>0</v>
      </c>
      <c r="AW675" s="76">
        <v>0</v>
      </c>
      <c r="AX675" s="84">
        <v>0</v>
      </c>
    </row>
    <row r="676" spans="1:50" x14ac:dyDescent="0.25">
      <c r="A676" s="356"/>
      <c r="B676" s="359"/>
      <c r="C676" s="350"/>
      <c r="D676" s="2" t="s">
        <v>10</v>
      </c>
      <c r="E676" s="160" t="str">
        <f>A674&amp;"/"&amp;B674&amp;"/"&amp;C674&amp;"/"&amp;D676</f>
        <v>Pump storage/Pump storage/Electricity only/S</v>
      </c>
      <c r="F676" s="76" t="str">
        <f>A674</f>
        <v>Pump storage</v>
      </c>
      <c r="G676" s="76" t="str">
        <f>B674</f>
        <v>Pump storage</v>
      </c>
      <c r="H676" s="76" t="str">
        <f>C674</f>
        <v>Electricity only</v>
      </c>
      <c r="I676" s="161" t="str">
        <f t="shared" si="87"/>
        <v>S</v>
      </c>
      <c r="J676" s="76">
        <v>0</v>
      </c>
      <c r="K676" s="76">
        <v>0</v>
      </c>
      <c r="L676" s="76">
        <v>0</v>
      </c>
      <c r="M676" s="76">
        <v>0</v>
      </c>
      <c r="N676" s="76">
        <v>0</v>
      </c>
      <c r="O676" s="76">
        <v>0</v>
      </c>
      <c r="P676" s="76">
        <v>0</v>
      </c>
      <c r="Q676" s="76">
        <v>0</v>
      </c>
      <c r="R676" s="76">
        <v>0</v>
      </c>
      <c r="S676" s="76">
        <v>0</v>
      </c>
      <c r="T676" s="76">
        <v>0</v>
      </c>
      <c r="U676" s="76">
        <v>0</v>
      </c>
      <c r="V676" s="76">
        <v>0</v>
      </c>
      <c r="W676" s="76">
        <v>0</v>
      </c>
      <c r="X676" s="76">
        <v>0</v>
      </c>
      <c r="Y676" s="76">
        <v>0</v>
      </c>
      <c r="Z676" s="76">
        <v>0</v>
      </c>
      <c r="AA676" s="76">
        <v>0</v>
      </c>
      <c r="AB676" s="76">
        <v>0</v>
      </c>
      <c r="AC676" s="76">
        <v>0</v>
      </c>
      <c r="AD676" s="76">
        <v>0</v>
      </c>
      <c r="AE676" s="76">
        <v>0</v>
      </c>
      <c r="AF676" s="76">
        <v>0</v>
      </c>
      <c r="AG676" s="76">
        <v>0</v>
      </c>
      <c r="AH676" s="76">
        <v>0</v>
      </c>
      <c r="AI676" s="76">
        <v>0</v>
      </c>
      <c r="AJ676" s="76">
        <v>0</v>
      </c>
      <c r="AK676" s="76">
        <v>0</v>
      </c>
      <c r="AL676" s="76">
        <v>0</v>
      </c>
      <c r="AM676" s="76">
        <v>0</v>
      </c>
      <c r="AN676" s="76">
        <v>0</v>
      </c>
      <c r="AO676" s="76">
        <v>0</v>
      </c>
      <c r="AP676" s="76">
        <v>0</v>
      </c>
      <c r="AQ676" s="76">
        <v>0</v>
      </c>
      <c r="AR676" s="76">
        <v>0</v>
      </c>
      <c r="AS676" s="76">
        <v>0</v>
      </c>
      <c r="AT676" s="76">
        <v>0</v>
      </c>
      <c r="AU676" s="76">
        <v>0</v>
      </c>
      <c r="AV676" s="76">
        <v>0</v>
      </c>
      <c r="AW676" s="76">
        <v>0</v>
      </c>
      <c r="AX676" s="84">
        <v>0</v>
      </c>
    </row>
    <row r="677" spans="1:50" ht="11" thickBot="1" x14ac:dyDescent="0.3">
      <c r="A677" s="372"/>
      <c r="B677" s="373"/>
      <c r="C677" s="374"/>
      <c r="D677" s="158" t="s">
        <v>20</v>
      </c>
      <c r="E677" s="172" t="str">
        <f>A674&amp;"/"&amp;B674&amp;"/"&amp;C674&amp;"/"&amp;D677</f>
        <v>Pump storage/Pump storage/Electricity only/XS</v>
      </c>
      <c r="F677" s="82" t="str">
        <f>A674</f>
        <v>Pump storage</v>
      </c>
      <c r="G677" s="82" t="str">
        <f>B674</f>
        <v>Pump storage</v>
      </c>
      <c r="H677" s="82" t="str">
        <f>C674</f>
        <v>Electricity only</v>
      </c>
      <c r="I677" s="173" t="str">
        <f t="shared" si="87"/>
        <v>XS</v>
      </c>
      <c r="J677" s="82">
        <v>0</v>
      </c>
      <c r="K677" s="82">
        <v>0</v>
      </c>
      <c r="L677" s="82">
        <v>0</v>
      </c>
      <c r="M677" s="82">
        <v>0</v>
      </c>
      <c r="N677" s="82">
        <v>0</v>
      </c>
      <c r="O677" s="82">
        <v>0</v>
      </c>
      <c r="P677" s="82">
        <v>0</v>
      </c>
      <c r="Q677" s="82">
        <v>0</v>
      </c>
      <c r="R677" s="82">
        <v>0</v>
      </c>
      <c r="S677" s="82">
        <v>0</v>
      </c>
      <c r="T677" s="82">
        <v>0</v>
      </c>
      <c r="U677" s="82">
        <v>0</v>
      </c>
      <c r="V677" s="82">
        <v>0</v>
      </c>
      <c r="W677" s="82">
        <v>0</v>
      </c>
      <c r="X677" s="82">
        <v>0</v>
      </c>
      <c r="Y677" s="82">
        <v>0</v>
      </c>
      <c r="Z677" s="82">
        <v>0</v>
      </c>
      <c r="AA677" s="82">
        <v>0</v>
      </c>
      <c r="AB677" s="82">
        <v>0</v>
      </c>
      <c r="AC677" s="82">
        <v>0</v>
      </c>
      <c r="AD677" s="82">
        <v>0</v>
      </c>
      <c r="AE677" s="82">
        <v>0</v>
      </c>
      <c r="AF677" s="82">
        <v>0</v>
      </c>
      <c r="AG677" s="82">
        <v>0</v>
      </c>
      <c r="AH677" s="82">
        <v>0</v>
      </c>
      <c r="AI677" s="82">
        <v>0</v>
      </c>
      <c r="AJ677" s="82">
        <v>0</v>
      </c>
      <c r="AK677" s="82">
        <v>0</v>
      </c>
      <c r="AL677" s="82">
        <v>0</v>
      </c>
      <c r="AM677" s="82">
        <v>0</v>
      </c>
      <c r="AN677" s="82">
        <v>0</v>
      </c>
      <c r="AO677" s="82">
        <v>0</v>
      </c>
      <c r="AP677" s="82">
        <v>0</v>
      </c>
      <c r="AQ677" s="82">
        <v>0</v>
      </c>
      <c r="AR677" s="82">
        <v>0</v>
      </c>
      <c r="AS677" s="82">
        <v>0</v>
      </c>
      <c r="AT677" s="82">
        <v>0</v>
      </c>
      <c r="AU677" s="82">
        <v>0</v>
      </c>
      <c r="AV677" s="82">
        <v>0</v>
      </c>
      <c r="AW677" s="82">
        <v>0</v>
      </c>
      <c r="AX677" s="90">
        <v>0</v>
      </c>
    </row>
    <row r="683" spans="1:50" ht="11" thickBot="1" x14ac:dyDescent="0.3"/>
    <row r="684" spans="1:50" x14ac:dyDescent="0.25">
      <c r="A684" s="343" t="s">
        <v>49</v>
      </c>
      <c r="B684" s="345" t="s">
        <v>50</v>
      </c>
      <c r="C684" s="345" t="s">
        <v>51</v>
      </c>
      <c r="D684" s="345" t="s">
        <v>52</v>
      </c>
      <c r="E684" s="290"/>
      <c r="F684" s="290"/>
      <c r="G684" s="290"/>
      <c r="H684" s="290"/>
      <c r="I684" s="290"/>
      <c r="J684" s="1" t="s">
        <v>1</v>
      </c>
      <c r="K684" s="289"/>
      <c r="L684" s="289"/>
      <c r="M684" s="289"/>
      <c r="N684" s="289"/>
      <c r="O684" s="289"/>
      <c r="P684" s="289"/>
      <c r="Q684" s="289"/>
      <c r="R684" s="289"/>
      <c r="S684" s="289"/>
      <c r="T684" s="289"/>
      <c r="U684" s="289"/>
      <c r="V684" s="289"/>
      <c r="W684" s="289"/>
      <c r="X684" s="289"/>
      <c r="Y684" s="289"/>
      <c r="Z684" s="289"/>
      <c r="AA684" s="289"/>
      <c r="AB684" s="289"/>
      <c r="AC684" s="289"/>
      <c r="AD684" s="289"/>
      <c r="AE684" s="289"/>
      <c r="AF684" s="289"/>
      <c r="AG684" s="289"/>
      <c r="AH684" s="289"/>
      <c r="AI684" s="289"/>
      <c r="AJ684" s="289"/>
      <c r="AK684" s="289"/>
      <c r="AL684" s="289"/>
      <c r="AM684" s="289"/>
      <c r="AN684" s="289"/>
      <c r="AO684" s="289"/>
      <c r="AP684" s="289"/>
      <c r="AQ684" s="289"/>
      <c r="AR684" s="289"/>
      <c r="AS684" s="289"/>
      <c r="AT684" s="289"/>
      <c r="AU684" s="289"/>
      <c r="AV684" s="289"/>
      <c r="AW684" s="289"/>
      <c r="AX684" s="288"/>
    </row>
    <row r="685" spans="1:50" ht="11" thickBot="1" x14ac:dyDescent="0.3">
      <c r="A685" s="344"/>
      <c r="B685" s="346"/>
      <c r="C685" s="346"/>
      <c r="D685" s="346"/>
      <c r="E685" s="291"/>
      <c r="F685" s="291"/>
      <c r="G685" s="291"/>
      <c r="H685" s="291"/>
      <c r="I685" s="291"/>
      <c r="J685" s="68">
        <v>2010</v>
      </c>
      <c r="K685" s="68">
        <v>2011</v>
      </c>
      <c r="L685" s="68">
        <v>2012</v>
      </c>
      <c r="M685" s="68">
        <v>2013</v>
      </c>
      <c r="N685" s="68">
        <v>2014</v>
      </c>
      <c r="O685" s="68">
        <v>2015</v>
      </c>
      <c r="P685" s="68">
        <v>2016</v>
      </c>
      <c r="Q685" s="68">
        <v>2017</v>
      </c>
      <c r="R685" s="68">
        <v>2018</v>
      </c>
      <c r="S685" s="68">
        <v>2019</v>
      </c>
      <c r="T685" s="68">
        <v>2020</v>
      </c>
      <c r="U685" s="68">
        <v>2021</v>
      </c>
      <c r="V685" s="68">
        <v>2022</v>
      </c>
      <c r="W685" s="68">
        <v>2023</v>
      </c>
      <c r="X685" s="68">
        <v>2024</v>
      </c>
      <c r="Y685" s="68">
        <v>2025</v>
      </c>
      <c r="Z685" s="68">
        <v>2026</v>
      </c>
      <c r="AA685" s="68">
        <v>2027</v>
      </c>
      <c r="AB685" s="68">
        <v>2028</v>
      </c>
      <c r="AC685" s="68">
        <v>2029</v>
      </c>
      <c r="AD685" s="68">
        <v>2030</v>
      </c>
      <c r="AE685" s="68">
        <v>2031</v>
      </c>
      <c r="AF685" s="68">
        <v>2032</v>
      </c>
      <c r="AG685" s="68">
        <v>2033</v>
      </c>
      <c r="AH685" s="68">
        <v>2034</v>
      </c>
      <c r="AI685" s="68">
        <v>2035</v>
      </c>
      <c r="AJ685" s="68">
        <v>2036</v>
      </c>
      <c r="AK685" s="68">
        <v>2037</v>
      </c>
      <c r="AL685" s="68">
        <v>2038</v>
      </c>
      <c r="AM685" s="68">
        <v>2039</v>
      </c>
      <c r="AN685" s="68">
        <v>2040</v>
      </c>
      <c r="AO685" s="68">
        <v>2041</v>
      </c>
      <c r="AP685" s="68">
        <v>2042</v>
      </c>
      <c r="AQ685" s="68">
        <v>2043</v>
      </c>
      <c r="AR685" s="68">
        <v>2044</v>
      </c>
      <c r="AS685" s="68">
        <v>2045</v>
      </c>
      <c r="AT685" s="68">
        <v>2046</v>
      </c>
      <c r="AU685" s="68">
        <v>2047</v>
      </c>
      <c r="AV685" s="68">
        <v>2048</v>
      </c>
      <c r="AW685" s="68">
        <v>2049</v>
      </c>
      <c r="AX685" s="83">
        <v>2050</v>
      </c>
    </row>
    <row r="686" spans="1:50" x14ac:dyDescent="0.25">
      <c r="A686" s="347" t="s">
        <v>4</v>
      </c>
      <c r="B686" s="349" t="s">
        <v>5</v>
      </c>
      <c r="C686" s="350" t="s">
        <v>6</v>
      </c>
      <c r="D686" s="2" t="s">
        <v>7</v>
      </c>
      <c r="E686" s="160" t="str">
        <f>A686&amp;"/"&amp;B686&amp;"/"&amp;C686&amp;"/"&amp;D686</f>
        <v>Nuclear power plants/Nuclear - current/Electricity only/L</v>
      </c>
      <c r="F686" s="76" t="str">
        <f>A686</f>
        <v>Nuclear power plants</v>
      </c>
      <c r="G686" s="76" t="str">
        <f>B686</f>
        <v>Nuclear - current</v>
      </c>
      <c r="H686" s="76" t="str">
        <f>C686</f>
        <v>Electricity only</v>
      </c>
      <c r="I686" s="161" t="str">
        <f>D686</f>
        <v>L</v>
      </c>
      <c r="J686" s="76">
        <v>0.92</v>
      </c>
      <c r="K686" s="76">
        <v>0.92</v>
      </c>
      <c r="L686" s="76">
        <v>0.92</v>
      </c>
      <c r="M686" s="76">
        <v>0.92</v>
      </c>
      <c r="N686" s="76">
        <v>0.92</v>
      </c>
      <c r="O686" s="76">
        <v>0.92</v>
      </c>
      <c r="P686" s="76">
        <v>0.92</v>
      </c>
      <c r="Q686" s="76">
        <v>0.92</v>
      </c>
      <c r="R686" s="76">
        <v>0.92</v>
      </c>
      <c r="S686" s="76">
        <v>0.92</v>
      </c>
      <c r="T686" s="76">
        <v>0.92</v>
      </c>
      <c r="U686" s="76">
        <v>0.92</v>
      </c>
      <c r="V686" s="76">
        <v>0.92</v>
      </c>
      <c r="W686" s="76">
        <v>0.92</v>
      </c>
      <c r="X686" s="76">
        <v>0.92</v>
      </c>
      <c r="Y686" s="76">
        <v>0.92</v>
      </c>
      <c r="Z686" s="76">
        <v>0.92</v>
      </c>
      <c r="AA686" s="76">
        <v>0.92</v>
      </c>
      <c r="AB686" s="76">
        <v>0.92</v>
      </c>
      <c r="AC686" s="76">
        <v>0.92</v>
      </c>
      <c r="AD686" s="76">
        <v>0.92</v>
      </c>
      <c r="AE686" s="76">
        <v>0.92</v>
      </c>
      <c r="AF686" s="76">
        <v>0.92</v>
      </c>
      <c r="AG686" s="76">
        <v>0.92</v>
      </c>
      <c r="AH686" s="76">
        <v>0.92</v>
      </c>
      <c r="AI686" s="76">
        <v>0.92</v>
      </c>
      <c r="AJ686" s="76">
        <v>0.92</v>
      </c>
      <c r="AK686" s="76">
        <v>0.92</v>
      </c>
      <c r="AL686" s="76">
        <v>0.92</v>
      </c>
      <c r="AM686" s="76">
        <v>0.92</v>
      </c>
      <c r="AN686" s="76">
        <v>0.92</v>
      </c>
      <c r="AO686" s="76">
        <v>0.92</v>
      </c>
      <c r="AP686" s="76">
        <v>0.92</v>
      </c>
      <c r="AQ686" s="76">
        <v>0.92</v>
      </c>
      <c r="AR686" s="76">
        <v>0.92</v>
      </c>
      <c r="AS686" s="76">
        <v>0.92</v>
      </c>
      <c r="AT686" s="76">
        <v>0.92</v>
      </c>
      <c r="AU686" s="76">
        <v>0.92</v>
      </c>
      <c r="AV686" s="76">
        <v>0.92</v>
      </c>
      <c r="AW686" s="76">
        <v>0.92</v>
      </c>
      <c r="AX686" s="84">
        <v>0.92</v>
      </c>
    </row>
    <row r="687" spans="1:50" x14ac:dyDescent="0.25">
      <c r="A687" s="347"/>
      <c r="B687" s="349"/>
      <c r="C687" s="350"/>
      <c r="D687" s="4" t="s">
        <v>8</v>
      </c>
      <c r="E687" s="168" t="str">
        <f>A686&amp;"/"&amp;B686&amp;"/"&amp;C686&amp;"/"&amp;D687</f>
        <v>Nuclear power plants/Nuclear - current/Electricity only/M</v>
      </c>
      <c r="F687" s="80" t="str">
        <f>A686</f>
        <v>Nuclear power plants</v>
      </c>
      <c r="G687" s="80" t="str">
        <f>B686</f>
        <v>Nuclear - current</v>
      </c>
      <c r="H687" s="80" t="str">
        <f>C686</f>
        <v>Electricity only</v>
      </c>
      <c r="I687" s="169" t="str">
        <f t="shared" ref="I687:I750" si="88">D687</f>
        <v>M</v>
      </c>
      <c r="J687" s="80">
        <v>0.92</v>
      </c>
      <c r="K687" s="80">
        <v>0.92</v>
      </c>
      <c r="L687" s="80">
        <v>0.92</v>
      </c>
      <c r="M687" s="80">
        <v>0.92</v>
      </c>
      <c r="N687" s="80">
        <v>0.92</v>
      </c>
      <c r="O687" s="80">
        <v>0.92</v>
      </c>
      <c r="P687" s="80">
        <v>0.92</v>
      </c>
      <c r="Q687" s="80">
        <v>0.92</v>
      </c>
      <c r="R687" s="80">
        <v>0.92</v>
      </c>
      <c r="S687" s="80">
        <v>0.92</v>
      </c>
      <c r="T687" s="80">
        <v>0.92</v>
      </c>
      <c r="U687" s="80">
        <v>0.92</v>
      </c>
      <c r="V687" s="80">
        <v>0.92</v>
      </c>
      <c r="W687" s="80">
        <v>0.92</v>
      </c>
      <c r="X687" s="80">
        <v>0.92</v>
      </c>
      <c r="Y687" s="80">
        <v>0.92</v>
      </c>
      <c r="Z687" s="80">
        <v>0.92</v>
      </c>
      <c r="AA687" s="80">
        <v>0.92</v>
      </c>
      <c r="AB687" s="80">
        <v>0.92</v>
      </c>
      <c r="AC687" s="80">
        <v>0.92</v>
      </c>
      <c r="AD687" s="80">
        <v>0.92</v>
      </c>
      <c r="AE687" s="80">
        <v>0.92</v>
      </c>
      <c r="AF687" s="80">
        <v>0.92</v>
      </c>
      <c r="AG687" s="80">
        <v>0.92</v>
      </c>
      <c r="AH687" s="80">
        <v>0.92</v>
      </c>
      <c r="AI687" s="80">
        <v>0.92</v>
      </c>
      <c r="AJ687" s="80">
        <v>0.92</v>
      </c>
      <c r="AK687" s="80">
        <v>0.92</v>
      </c>
      <c r="AL687" s="80">
        <v>0.92</v>
      </c>
      <c r="AM687" s="80">
        <v>0.92</v>
      </c>
      <c r="AN687" s="80">
        <v>0.92</v>
      </c>
      <c r="AO687" s="80">
        <v>0.92</v>
      </c>
      <c r="AP687" s="80">
        <v>0.92</v>
      </c>
      <c r="AQ687" s="80">
        <v>0.92</v>
      </c>
      <c r="AR687" s="80">
        <v>0.92</v>
      </c>
      <c r="AS687" s="80">
        <v>0.92</v>
      </c>
      <c r="AT687" s="80">
        <v>0.92</v>
      </c>
      <c r="AU687" s="80">
        <v>0.92</v>
      </c>
      <c r="AV687" s="80">
        <v>0.92</v>
      </c>
      <c r="AW687" s="80">
        <v>0.92</v>
      </c>
      <c r="AX687" s="88">
        <v>0.92</v>
      </c>
    </row>
    <row r="688" spans="1:50" x14ac:dyDescent="0.25">
      <c r="A688" s="347"/>
      <c r="B688" s="351" t="s">
        <v>9</v>
      </c>
      <c r="C688" s="353" t="s">
        <v>6</v>
      </c>
      <c r="D688" s="2" t="s">
        <v>7</v>
      </c>
      <c r="E688" s="160" t="str">
        <f>A686&amp;"/"&amp;B688&amp;"/"&amp;C688&amp;"/"&amp;D688</f>
        <v>Nuclear power plants/Nuclear III/Electricity only/L</v>
      </c>
      <c r="F688" s="76" t="str">
        <f>A686</f>
        <v>Nuclear power plants</v>
      </c>
      <c r="G688" s="76" t="str">
        <f>B688</f>
        <v>Nuclear III</v>
      </c>
      <c r="H688" s="76" t="str">
        <f>C688</f>
        <v>Electricity only</v>
      </c>
      <c r="I688" s="161" t="str">
        <f t="shared" si="88"/>
        <v>L</v>
      </c>
      <c r="J688" s="76">
        <v>0.94</v>
      </c>
      <c r="K688" s="76">
        <v>0.94</v>
      </c>
      <c r="L688" s="76">
        <v>0.94</v>
      </c>
      <c r="M688" s="76">
        <v>0.94</v>
      </c>
      <c r="N688" s="76">
        <v>0.94</v>
      </c>
      <c r="O688" s="76">
        <v>0.94</v>
      </c>
      <c r="P688" s="76">
        <v>0.94</v>
      </c>
      <c r="Q688" s="76">
        <v>0.94</v>
      </c>
      <c r="R688" s="76">
        <v>0.94</v>
      </c>
      <c r="S688" s="76">
        <v>0.94</v>
      </c>
      <c r="T688" s="76">
        <v>0.94</v>
      </c>
      <c r="U688" s="76">
        <v>0.94</v>
      </c>
      <c r="V688" s="76">
        <v>0.94</v>
      </c>
      <c r="W688" s="76">
        <v>0.94</v>
      </c>
      <c r="X688" s="76">
        <v>0.94</v>
      </c>
      <c r="Y688" s="76">
        <v>0.94</v>
      </c>
      <c r="Z688" s="76">
        <v>0.94</v>
      </c>
      <c r="AA688" s="76">
        <v>0.94</v>
      </c>
      <c r="AB688" s="76">
        <v>0.94</v>
      </c>
      <c r="AC688" s="76">
        <v>0.94</v>
      </c>
      <c r="AD688" s="76">
        <v>0.94</v>
      </c>
      <c r="AE688" s="76">
        <v>0.94</v>
      </c>
      <c r="AF688" s="76">
        <v>0.94</v>
      </c>
      <c r="AG688" s="76">
        <v>0.94</v>
      </c>
      <c r="AH688" s="76">
        <v>0.94</v>
      </c>
      <c r="AI688" s="76">
        <v>0.94</v>
      </c>
      <c r="AJ688" s="76">
        <v>0.94</v>
      </c>
      <c r="AK688" s="76">
        <v>0.94</v>
      </c>
      <c r="AL688" s="76">
        <v>0.94</v>
      </c>
      <c r="AM688" s="76">
        <v>0.94</v>
      </c>
      <c r="AN688" s="76">
        <v>0.94</v>
      </c>
      <c r="AO688" s="76">
        <v>0.94</v>
      </c>
      <c r="AP688" s="76">
        <v>0.94</v>
      </c>
      <c r="AQ688" s="76">
        <v>0.94</v>
      </c>
      <c r="AR688" s="76">
        <v>0.94</v>
      </c>
      <c r="AS688" s="76">
        <v>0.94</v>
      </c>
      <c r="AT688" s="76">
        <v>0.94</v>
      </c>
      <c r="AU688" s="76">
        <v>0.94</v>
      </c>
      <c r="AV688" s="76">
        <v>0.94</v>
      </c>
      <c r="AW688" s="76">
        <v>0.94</v>
      </c>
      <c r="AX688" s="84">
        <v>0.94</v>
      </c>
    </row>
    <row r="689" spans="1:50" x14ac:dyDescent="0.25">
      <c r="A689" s="347"/>
      <c r="B689" s="349"/>
      <c r="C689" s="350"/>
      <c r="D689" s="2" t="s">
        <v>8</v>
      </c>
      <c r="E689" s="160" t="str">
        <f>A686&amp;"/"&amp;B688&amp;"/"&amp;C688&amp;"/"&amp;D689</f>
        <v>Nuclear power plants/Nuclear III/Electricity only/M</v>
      </c>
      <c r="F689" s="76" t="str">
        <f>A686</f>
        <v>Nuclear power plants</v>
      </c>
      <c r="G689" s="76" t="str">
        <f>B688</f>
        <v>Nuclear III</v>
      </c>
      <c r="H689" s="76" t="str">
        <f>C688</f>
        <v>Electricity only</v>
      </c>
      <c r="I689" s="161" t="str">
        <f t="shared" si="88"/>
        <v>M</v>
      </c>
      <c r="J689" s="76">
        <v>0.94</v>
      </c>
      <c r="K689" s="76">
        <v>0.94</v>
      </c>
      <c r="L689" s="76">
        <v>0.94</v>
      </c>
      <c r="M689" s="76">
        <v>0.94</v>
      </c>
      <c r="N689" s="76">
        <v>0.94</v>
      </c>
      <c r="O689" s="76">
        <v>0.94</v>
      </c>
      <c r="P689" s="76">
        <v>0.94</v>
      </c>
      <c r="Q689" s="76">
        <v>0.94</v>
      </c>
      <c r="R689" s="76">
        <v>0.94</v>
      </c>
      <c r="S689" s="76">
        <v>0.94</v>
      </c>
      <c r="T689" s="76">
        <v>0.94</v>
      </c>
      <c r="U689" s="76">
        <v>0.94</v>
      </c>
      <c r="V689" s="76">
        <v>0.94</v>
      </c>
      <c r="W689" s="76">
        <v>0.94</v>
      </c>
      <c r="X689" s="76">
        <v>0.94</v>
      </c>
      <c r="Y689" s="76">
        <v>0.94</v>
      </c>
      <c r="Z689" s="76">
        <v>0.94</v>
      </c>
      <c r="AA689" s="76">
        <v>0.94</v>
      </c>
      <c r="AB689" s="76">
        <v>0.94</v>
      </c>
      <c r="AC689" s="76">
        <v>0.94</v>
      </c>
      <c r="AD689" s="76">
        <v>0.94</v>
      </c>
      <c r="AE689" s="76">
        <v>0.94</v>
      </c>
      <c r="AF689" s="76">
        <v>0.94</v>
      </c>
      <c r="AG689" s="76">
        <v>0.94</v>
      </c>
      <c r="AH689" s="76">
        <v>0.94</v>
      </c>
      <c r="AI689" s="76">
        <v>0.94</v>
      </c>
      <c r="AJ689" s="76">
        <v>0.94</v>
      </c>
      <c r="AK689" s="76">
        <v>0.94</v>
      </c>
      <c r="AL689" s="76">
        <v>0.94</v>
      </c>
      <c r="AM689" s="76">
        <v>0.94</v>
      </c>
      <c r="AN689" s="76">
        <v>0.94</v>
      </c>
      <c r="AO689" s="76">
        <v>0.94</v>
      </c>
      <c r="AP689" s="76">
        <v>0.94</v>
      </c>
      <c r="AQ689" s="76">
        <v>0.94</v>
      </c>
      <c r="AR689" s="76">
        <v>0.94</v>
      </c>
      <c r="AS689" s="76">
        <v>0.94</v>
      </c>
      <c r="AT689" s="76">
        <v>0.94</v>
      </c>
      <c r="AU689" s="76">
        <v>0.94</v>
      </c>
      <c r="AV689" s="76">
        <v>0.94</v>
      </c>
      <c r="AW689" s="76">
        <v>0.94</v>
      </c>
      <c r="AX689" s="84">
        <v>0.94</v>
      </c>
    </row>
    <row r="690" spans="1:50" x14ac:dyDescent="0.25">
      <c r="A690" s="347"/>
      <c r="B690" s="352"/>
      <c r="C690" s="354"/>
      <c r="D690" s="4" t="s">
        <v>10</v>
      </c>
      <c r="E690" s="168" t="str">
        <f>A686&amp;"/"&amp;B688&amp;"/"&amp;C688&amp;"/"&amp;D690</f>
        <v>Nuclear power plants/Nuclear III/Electricity only/S</v>
      </c>
      <c r="F690" s="80" t="str">
        <f>A686</f>
        <v>Nuclear power plants</v>
      </c>
      <c r="G690" s="80" t="str">
        <f>B688</f>
        <v>Nuclear III</v>
      </c>
      <c r="H690" s="80" t="str">
        <f>C688</f>
        <v>Electricity only</v>
      </c>
      <c r="I690" s="169" t="str">
        <f t="shared" si="88"/>
        <v>S</v>
      </c>
      <c r="J690" s="80" t="s">
        <v>112</v>
      </c>
      <c r="K690" s="80" t="s">
        <v>112</v>
      </c>
      <c r="L690" s="80" t="s">
        <v>112</v>
      </c>
      <c r="M690" s="80" t="s">
        <v>112</v>
      </c>
      <c r="N690" s="80" t="s">
        <v>112</v>
      </c>
      <c r="O690" s="80" t="s">
        <v>112</v>
      </c>
      <c r="P690" s="80" t="s">
        <v>112</v>
      </c>
      <c r="Q690" s="80" t="s">
        <v>112</v>
      </c>
      <c r="R690" s="80" t="s">
        <v>112</v>
      </c>
      <c r="S690" s="80" t="s">
        <v>112</v>
      </c>
      <c r="T690" s="80" t="s">
        <v>112</v>
      </c>
      <c r="U690" s="80" t="s">
        <v>112</v>
      </c>
      <c r="V690" s="80" t="s">
        <v>112</v>
      </c>
      <c r="W690" s="80" t="s">
        <v>112</v>
      </c>
      <c r="X690" s="80" t="s">
        <v>112</v>
      </c>
      <c r="Y690" s="80">
        <v>0.94</v>
      </c>
      <c r="Z690" s="80">
        <v>0.94</v>
      </c>
      <c r="AA690" s="80">
        <v>0.94</v>
      </c>
      <c r="AB690" s="80">
        <v>0.94</v>
      </c>
      <c r="AC690" s="80">
        <v>0.94</v>
      </c>
      <c r="AD690" s="80">
        <v>0.94</v>
      </c>
      <c r="AE690" s="80">
        <v>0.94</v>
      </c>
      <c r="AF690" s="80">
        <v>0.94</v>
      </c>
      <c r="AG690" s="80">
        <v>0.94</v>
      </c>
      <c r="AH690" s="80">
        <v>0.94</v>
      </c>
      <c r="AI690" s="80">
        <v>0.94</v>
      </c>
      <c r="AJ690" s="80">
        <v>0.94</v>
      </c>
      <c r="AK690" s="80">
        <v>0.94</v>
      </c>
      <c r="AL690" s="80">
        <v>0.94</v>
      </c>
      <c r="AM690" s="80">
        <v>0.94</v>
      </c>
      <c r="AN690" s="80">
        <v>0.94</v>
      </c>
      <c r="AO690" s="80">
        <v>0.94</v>
      </c>
      <c r="AP690" s="80">
        <v>0.94</v>
      </c>
      <c r="AQ690" s="80">
        <v>0.94</v>
      </c>
      <c r="AR690" s="80">
        <v>0.94</v>
      </c>
      <c r="AS690" s="80">
        <v>0.94</v>
      </c>
      <c r="AT690" s="80">
        <v>0.94</v>
      </c>
      <c r="AU690" s="80">
        <v>0.94</v>
      </c>
      <c r="AV690" s="80">
        <v>0.94</v>
      </c>
      <c r="AW690" s="80">
        <v>0.94</v>
      </c>
      <c r="AX690" s="88">
        <v>0.94</v>
      </c>
    </row>
    <row r="691" spans="1:50" x14ac:dyDescent="0.25">
      <c r="A691" s="347"/>
      <c r="B691" s="349" t="s">
        <v>11</v>
      </c>
      <c r="C691" s="363" t="s">
        <v>6</v>
      </c>
      <c r="D691" s="2" t="s">
        <v>7</v>
      </c>
      <c r="E691" s="160" t="str">
        <f>A686&amp;"/"&amp;B691&amp;"/"&amp;C691&amp;"/"&amp;D691</f>
        <v>Nuclear power plants/Nuclear IV/Electricity only/L</v>
      </c>
      <c r="F691" s="76" t="str">
        <f>A686</f>
        <v>Nuclear power plants</v>
      </c>
      <c r="G691" s="76" t="str">
        <f>B691</f>
        <v>Nuclear IV</v>
      </c>
      <c r="H691" s="76" t="str">
        <f>C691</f>
        <v>Electricity only</v>
      </c>
      <c r="I691" s="161" t="str">
        <f t="shared" si="88"/>
        <v>L</v>
      </c>
      <c r="J691" s="76" t="s">
        <v>112</v>
      </c>
      <c r="K691" s="76" t="s">
        <v>112</v>
      </c>
      <c r="L691" s="76" t="s">
        <v>112</v>
      </c>
      <c r="M691" s="76" t="s">
        <v>112</v>
      </c>
      <c r="N691" s="76" t="s">
        <v>112</v>
      </c>
      <c r="O691" s="76" t="s">
        <v>112</v>
      </c>
      <c r="P691" s="76" t="s">
        <v>112</v>
      </c>
      <c r="Q691" s="76" t="s">
        <v>112</v>
      </c>
      <c r="R691" s="76" t="s">
        <v>112</v>
      </c>
      <c r="S691" s="76" t="s">
        <v>112</v>
      </c>
      <c r="T691" s="76" t="s">
        <v>112</v>
      </c>
      <c r="U691" s="76" t="s">
        <v>112</v>
      </c>
      <c r="V691" s="76" t="s">
        <v>112</v>
      </c>
      <c r="W691" s="76" t="s">
        <v>112</v>
      </c>
      <c r="X691" s="76" t="s">
        <v>112</v>
      </c>
      <c r="Y691" s="76" t="s">
        <v>112</v>
      </c>
      <c r="Z691" s="76" t="s">
        <v>112</v>
      </c>
      <c r="AA691" s="76" t="s">
        <v>112</v>
      </c>
      <c r="AB691" s="76" t="s">
        <v>112</v>
      </c>
      <c r="AC691" s="76" t="s">
        <v>112</v>
      </c>
      <c r="AD691" s="76" t="s">
        <v>112</v>
      </c>
      <c r="AE691" s="76" t="s">
        <v>112</v>
      </c>
      <c r="AF691" s="76" t="s">
        <v>112</v>
      </c>
      <c r="AG691" s="76" t="s">
        <v>112</v>
      </c>
      <c r="AH691" s="76" t="s">
        <v>112</v>
      </c>
      <c r="AI691" s="76">
        <v>0.95</v>
      </c>
      <c r="AJ691" s="76">
        <v>0.95</v>
      </c>
      <c r="AK691" s="76">
        <v>0.95</v>
      </c>
      <c r="AL691" s="76">
        <v>0.95</v>
      </c>
      <c r="AM691" s="76">
        <v>0.95</v>
      </c>
      <c r="AN691" s="76">
        <v>0.95</v>
      </c>
      <c r="AO691" s="76">
        <v>0.95</v>
      </c>
      <c r="AP691" s="76">
        <v>0.95</v>
      </c>
      <c r="AQ691" s="76">
        <v>0.95</v>
      </c>
      <c r="AR691" s="76">
        <v>0.95</v>
      </c>
      <c r="AS691" s="76">
        <v>0.95</v>
      </c>
      <c r="AT691" s="76">
        <v>0.95</v>
      </c>
      <c r="AU691" s="76">
        <v>0.95</v>
      </c>
      <c r="AV691" s="76">
        <v>0.95</v>
      </c>
      <c r="AW691" s="76">
        <v>0.95</v>
      </c>
      <c r="AX691" s="84">
        <v>0.95</v>
      </c>
    </row>
    <row r="692" spans="1:50" x14ac:dyDescent="0.25">
      <c r="A692" s="348"/>
      <c r="B692" s="352"/>
      <c r="C692" s="364"/>
      <c r="D692" s="4" t="s">
        <v>8</v>
      </c>
      <c r="E692" s="160" t="str">
        <f>A686&amp;"/"&amp;B691&amp;"/"&amp;C691&amp;"/"&amp;D692</f>
        <v>Nuclear power plants/Nuclear IV/Electricity only/M</v>
      </c>
      <c r="F692" s="76" t="str">
        <f>A686</f>
        <v>Nuclear power plants</v>
      </c>
      <c r="G692" s="76" t="str">
        <f>B691</f>
        <v>Nuclear IV</v>
      </c>
      <c r="H692" s="76" t="str">
        <f>C691</f>
        <v>Electricity only</v>
      </c>
      <c r="I692" s="161" t="str">
        <f t="shared" si="88"/>
        <v>M</v>
      </c>
      <c r="J692" s="76" t="s">
        <v>112</v>
      </c>
      <c r="K692" s="76" t="s">
        <v>112</v>
      </c>
      <c r="L692" s="76" t="s">
        <v>112</v>
      </c>
      <c r="M692" s="76" t="s">
        <v>112</v>
      </c>
      <c r="N692" s="76" t="s">
        <v>112</v>
      </c>
      <c r="O692" s="76" t="s">
        <v>112</v>
      </c>
      <c r="P692" s="76" t="s">
        <v>112</v>
      </c>
      <c r="Q692" s="76" t="s">
        <v>112</v>
      </c>
      <c r="R692" s="76" t="s">
        <v>112</v>
      </c>
      <c r="S692" s="76" t="s">
        <v>112</v>
      </c>
      <c r="T692" s="76" t="s">
        <v>112</v>
      </c>
      <c r="U692" s="76" t="s">
        <v>112</v>
      </c>
      <c r="V692" s="76" t="s">
        <v>112</v>
      </c>
      <c r="W692" s="76" t="s">
        <v>112</v>
      </c>
      <c r="X692" s="76" t="s">
        <v>112</v>
      </c>
      <c r="Y692" s="76" t="s">
        <v>112</v>
      </c>
      <c r="Z692" s="76" t="s">
        <v>112</v>
      </c>
      <c r="AA692" s="76" t="s">
        <v>112</v>
      </c>
      <c r="AB692" s="76" t="s">
        <v>112</v>
      </c>
      <c r="AC692" s="76" t="s">
        <v>112</v>
      </c>
      <c r="AD692" s="76" t="s">
        <v>112</v>
      </c>
      <c r="AE692" s="76" t="s">
        <v>112</v>
      </c>
      <c r="AF692" s="76" t="s">
        <v>112</v>
      </c>
      <c r="AG692" s="76" t="s">
        <v>112</v>
      </c>
      <c r="AH692" s="76" t="s">
        <v>112</v>
      </c>
      <c r="AI692" s="76">
        <v>0.95</v>
      </c>
      <c r="AJ692" s="76">
        <v>0.95</v>
      </c>
      <c r="AK692" s="76">
        <v>0.95</v>
      </c>
      <c r="AL692" s="76">
        <v>0.95</v>
      </c>
      <c r="AM692" s="76">
        <v>0.95</v>
      </c>
      <c r="AN692" s="76">
        <v>0.95</v>
      </c>
      <c r="AO692" s="76">
        <v>0.95</v>
      </c>
      <c r="AP692" s="76">
        <v>0.95</v>
      </c>
      <c r="AQ692" s="76">
        <v>0.95</v>
      </c>
      <c r="AR692" s="76">
        <v>0.95</v>
      </c>
      <c r="AS692" s="76">
        <v>0.95</v>
      </c>
      <c r="AT692" s="76">
        <v>0.95</v>
      </c>
      <c r="AU692" s="76">
        <v>0.95</v>
      </c>
      <c r="AV692" s="76">
        <v>0.95</v>
      </c>
      <c r="AW692" s="76">
        <v>0.95</v>
      </c>
      <c r="AX692" s="84">
        <v>0.95</v>
      </c>
    </row>
    <row r="693" spans="1:50" x14ac:dyDescent="0.25">
      <c r="A693" s="355" t="s">
        <v>12</v>
      </c>
      <c r="B693" s="358" t="s">
        <v>13</v>
      </c>
      <c r="C693" s="353" t="s">
        <v>6</v>
      </c>
      <c r="D693" s="3" t="s">
        <v>7</v>
      </c>
      <c r="E693" s="162" t="str">
        <f>A693&amp;"/"&amp;B693&amp;"/"&amp;C693&amp;"/"&amp;D693</f>
        <v>Coal fired power plants/Integrated gasification combined cycle/Electricity only/L</v>
      </c>
      <c r="F693" s="77" t="str">
        <f>A693</f>
        <v>Coal fired power plants</v>
      </c>
      <c r="G693" s="77" t="str">
        <f>B693</f>
        <v>Integrated gasification combined cycle</v>
      </c>
      <c r="H693" s="77" t="str">
        <f>C693</f>
        <v>Electricity only</v>
      </c>
      <c r="I693" s="163" t="str">
        <f t="shared" si="88"/>
        <v>L</v>
      </c>
      <c r="J693" s="77">
        <v>0.9</v>
      </c>
      <c r="K693" s="77">
        <v>0.9</v>
      </c>
      <c r="L693" s="77">
        <v>0.9</v>
      </c>
      <c r="M693" s="77">
        <v>0.9</v>
      </c>
      <c r="N693" s="77">
        <v>0.9</v>
      </c>
      <c r="O693" s="77">
        <v>0.9</v>
      </c>
      <c r="P693" s="77">
        <v>0.9</v>
      </c>
      <c r="Q693" s="77">
        <v>0.9</v>
      </c>
      <c r="R693" s="77">
        <v>0.9</v>
      </c>
      <c r="S693" s="77">
        <v>0.9</v>
      </c>
      <c r="T693" s="77">
        <v>0.9</v>
      </c>
      <c r="U693" s="77">
        <v>0.9</v>
      </c>
      <c r="V693" s="77">
        <v>0.9</v>
      </c>
      <c r="W693" s="77">
        <v>0.9</v>
      </c>
      <c r="X693" s="77">
        <v>0.9</v>
      </c>
      <c r="Y693" s="77">
        <v>0.9</v>
      </c>
      <c r="Z693" s="77">
        <v>0.9</v>
      </c>
      <c r="AA693" s="77">
        <v>0.9</v>
      </c>
      <c r="AB693" s="77">
        <v>0.9</v>
      </c>
      <c r="AC693" s="77">
        <v>0.9</v>
      </c>
      <c r="AD693" s="77">
        <v>0.9</v>
      </c>
      <c r="AE693" s="77">
        <v>0.9</v>
      </c>
      <c r="AF693" s="77">
        <v>0.9</v>
      </c>
      <c r="AG693" s="77">
        <v>0.9</v>
      </c>
      <c r="AH693" s="77">
        <v>0.9</v>
      </c>
      <c r="AI693" s="77">
        <v>0.9</v>
      </c>
      <c r="AJ693" s="77">
        <v>0.9</v>
      </c>
      <c r="AK693" s="77">
        <v>0.9</v>
      </c>
      <c r="AL693" s="77">
        <v>0.9</v>
      </c>
      <c r="AM693" s="77">
        <v>0.9</v>
      </c>
      <c r="AN693" s="77">
        <v>0.9</v>
      </c>
      <c r="AO693" s="77">
        <v>0.9</v>
      </c>
      <c r="AP693" s="77">
        <v>0.9</v>
      </c>
      <c r="AQ693" s="77">
        <v>0.9</v>
      </c>
      <c r="AR693" s="77">
        <v>0.9</v>
      </c>
      <c r="AS693" s="77">
        <v>0.9</v>
      </c>
      <c r="AT693" s="77">
        <v>0.9</v>
      </c>
      <c r="AU693" s="77">
        <v>0.9</v>
      </c>
      <c r="AV693" s="77">
        <v>0.9</v>
      </c>
      <c r="AW693" s="77">
        <v>0.9</v>
      </c>
      <c r="AX693" s="85">
        <v>0.9</v>
      </c>
    </row>
    <row r="694" spans="1:50" x14ac:dyDescent="0.25">
      <c r="A694" s="356"/>
      <c r="B694" s="359"/>
      <c r="C694" s="360"/>
      <c r="D694" s="2" t="s">
        <v>8</v>
      </c>
      <c r="E694" s="160" t="str">
        <f>A693&amp;"/"&amp;B693&amp;"/"&amp;C693&amp;"/"&amp;D694</f>
        <v>Coal fired power plants/Integrated gasification combined cycle/Electricity only/M</v>
      </c>
      <c r="F694" s="76" t="str">
        <f>A693</f>
        <v>Coal fired power plants</v>
      </c>
      <c r="G694" s="76" t="str">
        <f>B693</f>
        <v>Integrated gasification combined cycle</v>
      </c>
      <c r="H694" s="76" t="str">
        <f>C693</f>
        <v>Electricity only</v>
      </c>
      <c r="I694" s="161" t="str">
        <f t="shared" si="88"/>
        <v>M</v>
      </c>
      <c r="J694" s="76">
        <v>0.9</v>
      </c>
      <c r="K694" s="76">
        <v>0.9</v>
      </c>
      <c r="L694" s="76">
        <v>0.9</v>
      </c>
      <c r="M694" s="76">
        <v>0.9</v>
      </c>
      <c r="N694" s="76">
        <v>0.9</v>
      </c>
      <c r="O694" s="76">
        <v>0.9</v>
      </c>
      <c r="P694" s="76">
        <v>0.9</v>
      </c>
      <c r="Q694" s="76">
        <v>0.9</v>
      </c>
      <c r="R694" s="76">
        <v>0.9</v>
      </c>
      <c r="S694" s="76">
        <v>0.9</v>
      </c>
      <c r="T694" s="76">
        <v>0.9</v>
      </c>
      <c r="U694" s="76">
        <v>0.9</v>
      </c>
      <c r="V694" s="76">
        <v>0.9</v>
      </c>
      <c r="W694" s="76">
        <v>0.9</v>
      </c>
      <c r="X694" s="76">
        <v>0.9</v>
      </c>
      <c r="Y694" s="76">
        <v>0.9</v>
      </c>
      <c r="Z694" s="76">
        <v>0.9</v>
      </c>
      <c r="AA694" s="76">
        <v>0.9</v>
      </c>
      <c r="AB694" s="76">
        <v>0.9</v>
      </c>
      <c r="AC694" s="76">
        <v>0.9</v>
      </c>
      <c r="AD694" s="76">
        <v>0.9</v>
      </c>
      <c r="AE694" s="76">
        <v>0.9</v>
      </c>
      <c r="AF694" s="76">
        <v>0.9</v>
      </c>
      <c r="AG694" s="76">
        <v>0.9</v>
      </c>
      <c r="AH694" s="76">
        <v>0.9</v>
      </c>
      <c r="AI694" s="76">
        <v>0.9</v>
      </c>
      <c r="AJ694" s="76">
        <v>0.9</v>
      </c>
      <c r="AK694" s="76">
        <v>0.9</v>
      </c>
      <c r="AL694" s="76">
        <v>0.9</v>
      </c>
      <c r="AM694" s="76">
        <v>0.9</v>
      </c>
      <c r="AN694" s="76">
        <v>0.9</v>
      </c>
      <c r="AO694" s="76">
        <v>0.9</v>
      </c>
      <c r="AP694" s="76">
        <v>0.9</v>
      </c>
      <c r="AQ694" s="76">
        <v>0.9</v>
      </c>
      <c r="AR694" s="76">
        <v>0.9</v>
      </c>
      <c r="AS694" s="76">
        <v>0.9</v>
      </c>
      <c r="AT694" s="76">
        <v>0.9</v>
      </c>
      <c r="AU694" s="76">
        <v>0.9</v>
      </c>
      <c r="AV694" s="76">
        <v>0.9</v>
      </c>
      <c r="AW694" s="76">
        <v>0.9</v>
      </c>
      <c r="AX694" s="84">
        <v>0.9</v>
      </c>
    </row>
    <row r="695" spans="1:50" x14ac:dyDescent="0.25">
      <c r="A695" s="356"/>
      <c r="B695" s="359"/>
      <c r="C695" s="361" t="s">
        <v>14</v>
      </c>
      <c r="D695" s="58" t="s">
        <v>7</v>
      </c>
      <c r="E695" s="164" t="str">
        <f>A693&amp;"/"&amp;B693&amp;"/"&amp;C695&amp;"/"&amp;D695</f>
        <v>Coal fired power plants/Integrated gasification combined cycle/CHP/L</v>
      </c>
      <c r="F695" s="78" t="str">
        <f>A693</f>
        <v>Coal fired power plants</v>
      </c>
      <c r="G695" s="78" t="str">
        <f>B693</f>
        <v>Integrated gasification combined cycle</v>
      </c>
      <c r="H695" s="78" t="str">
        <f>C695</f>
        <v>CHP</v>
      </c>
      <c r="I695" s="165" t="str">
        <f t="shared" si="88"/>
        <v>L</v>
      </c>
      <c r="J695" s="78">
        <v>0.9</v>
      </c>
      <c r="K695" s="78">
        <v>0.9</v>
      </c>
      <c r="L695" s="78">
        <v>0.9</v>
      </c>
      <c r="M695" s="78">
        <v>0.9</v>
      </c>
      <c r="N695" s="78">
        <v>0.9</v>
      </c>
      <c r="O695" s="78">
        <v>0.9</v>
      </c>
      <c r="P695" s="78">
        <v>0.9</v>
      </c>
      <c r="Q695" s="78">
        <v>0.9</v>
      </c>
      <c r="R695" s="78">
        <v>0.9</v>
      </c>
      <c r="S695" s="78">
        <v>0.9</v>
      </c>
      <c r="T695" s="78">
        <v>0.9</v>
      </c>
      <c r="U695" s="78">
        <v>0.9</v>
      </c>
      <c r="V695" s="78">
        <v>0.9</v>
      </c>
      <c r="W695" s="78">
        <v>0.9</v>
      </c>
      <c r="X695" s="78">
        <v>0.9</v>
      </c>
      <c r="Y695" s="78">
        <v>0.9</v>
      </c>
      <c r="Z695" s="78">
        <v>0.9</v>
      </c>
      <c r="AA695" s="78">
        <v>0.9</v>
      </c>
      <c r="AB695" s="78">
        <v>0.9</v>
      </c>
      <c r="AC695" s="78">
        <v>0.9</v>
      </c>
      <c r="AD695" s="78">
        <v>0.9</v>
      </c>
      <c r="AE695" s="78">
        <v>0.9</v>
      </c>
      <c r="AF695" s="78">
        <v>0.9</v>
      </c>
      <c r="AG695" s="78">
        <v>0.9</v>
      </c>
      <c r="AH695" s="78">
        <v>0.9</v>
      </c>
      <c r="AI695" s="78">
        <v>0.9</v>
      </c>
      <c r="AJ695" s="78">
        <v>0.9</v>
      </c>
      <c r="AK695" s="78">
        <v>0.9</v>
      </c>
      <c r="AL695" s="78">
        <v>0.9</v>
      </c>
      <c r="AM695" s="78">
        <v>0.9</v>
      </c>
      <c r="AN695" s="78">
        <v>0.9</v>
      </c>
      <c r="AO695" s="78">
        <v>0.9</v>
      </c>
      <c r="AP695" s="78">
        <v>0.9</v>
      </c>
      <c r="AQ695" s="78">
        <v>0.9</v>
      </c>
      <c r="AR695" s="78">
        <v>0.9</v>
      </c>
      <c r="AS695" s="78">
        <v>0.9</v>
      </c>
      <c r="AT695" s="78">
        <v>0.9</v>
      </c>
      <c r="AU695" s="78">
        <v>0.9</v>
      </c>
      <c r="AV695" s="78">
        <v>0.9</v>
      </c>
      <c r="AW695" s="78">
        <v>0.9</v>
      </c>
      <c r="AX695" s="86">
        <v>0.9</v>
      </c>
    </row>
    <row r="696" spans="1:50" x14ac:dyDescent="0.25">
      <c r="A696" s="356"/>
      <c r="B696" s="359"/>
      <c r="C696" s="360"/>
      <c r="D696" s="59" t="s">
        <v>8</v>
      </c>
      <c r="E696" s="166" t="str">
        <f>A693&amp;"/"&amp;B693&amp;"/"&amp;C695&amp;"/"&amp;D696</f>
        <v>Coal fired power plants/Integrated gasification combined cycle/CHP/M</v>
      </c>
      <c r="F696" s="79" t="str">
        <f>A693</f>
        <v>Coal fired power plants</v>
      </c>
      <c r="G696" s="79" t="str">
        <f>B693</f>
        <v>Integrated gasification combined cycle</v>
      </c>
      <c r="H696" s="79" t="str">
        <f>C695</f>
        <v>CHP</v>
      </c>
      <c r="I696" s="167" t="str">
        <f t="shared" si="88"/>
        <v>M</v>
      </c>
      <c r="J696" s="79">
        <v>0.9</v>
      </c>
      <c r="K696" s="79">
        <v>0.9</v>
      </c>
      <c r="L696" s="79">
        <v>0.9</v>
      </c>
      <c r="M696" s="79">
        <v>0.9</v>
      </c>
      <c r="N696" s="79">
        <v>0.9</v>
      </c>
      <c r="O696" s="79">
        <v>0.9</v>
      </c>
      <c r="P696" s="79">
        <v>0.9</v>
      </c>
      <c r="Q696" s="79">
        <v>0.9</v>
      </c>
      <c r="R696" s="79">
        <v>0.9</v>
      </c>
      <c r="S696" s="79">
        <v>0.9</v>
      </c>
      <c r="T696" s="79">
        <v>0.9</v>
      </c>
      <c r="U696" s="79">
        <v>0.9</v>
      </c>
      <c r="V696" s="79">
        <v>0.9</v>
      </c>
      <c r="W696" s="79">
        <v>0.9</v>
      </c>
      <c r="X696" s="79">
        <v>0.9</v>
      </c>
      <c r="Y696" s="79">
        <v>0.9</v>
      </c>
      <c r="Z696" s="79">
        <v>0.9</v>
      </c>
      <c r="AA696" s="79">
        <v>0.9</v>
      </c>
      <c r="AB696" s="79">
        <v>0.9</v>
      </c>
      <c r="AC696" s="79">
        <v>0.9</v>
      </c>
      <c r="AD696" s="79">
        <v>0.9</v>
      </c>
      <c r="AE696" s="79">
        <v>0.9</v>
      </c>
      <c r="AF696" s="79">
        <v>0.9</v>
      </c>
      <c r="AG696" s="79">
        <v>0.9</v>
      </c>
      <c r="AH696" s="79">
        <v>0.9</v>
      </c>
      <c r="AI696" s="79">
        <v>0.9</v>
      </c>
      <c r="AJ696" s="79">
        <v>0.9</v>
      </c>
      <c r="AK696" s="79">
        <v>0.9</v>
      </c>
      <c r="AL696" s="79">
        <v>0.9</v>
      </c>
      <c r="AM696" s="79">
        <v>0.9</v>
      </c>
      <c r="AN696" s="79">
        <v>0.9</v>
      </c>
      <c r="AO696" s="79">
        <v>0.9</v>
      </c>
      <c r="AP696" s="79">
        <v>0.9</v>
      </c>
      <c r="AQ696" s="79">
        <v>0.9</v>
      </c>
      <c r="AR696" s="79">
        <v>0.9</v>
      </c>
      <c r="AS696" s="79">
        <v>0.9</v>
      </c>
      <c r="AT696" s="79">
        <v>0.9</v>
      </c>
      <c r="AU696" s="79">
        <v>0.9</v>
      </c>
      <c r="AV696" s="79">
        <v>0.9</v>
      </c>
      <c r="AW696" s="79">
        <v>0.9</v>
      </c>
      <c r="AX696" s="87">
        <v>0.9</v>
      </c>
    </row>
    <row r="697" spans="1:50" x14ac:dyDescent="0.25">
      <c r="A697" s="356"/>
      <c r="B697" s="359"/>
      <c r="C697" s="361" t="s">
        <v>15</v>
      </c>
      <c r="D697" s="58" t="s">
        <v>7</v>
      </c>
      <c r="E697" s="164" t="str">
        <f>A693&amp;"/"&amp;B693&amp;"/"&amp;C697&amp;"/"&amp;D697</f>
        <v>Coal fired power plants/Integrated gasification combined cycle/Electricity only with CCS/L</v>
      </c>
      <c r="F697" s="78" t="str">
        <f>A693</f>
        <v>Coal fired power plants</v>
      </c>
      <c r="G697" s="78" t="str">
        <f>B693</f>
        <v>Integrated gasification combined cycle</v>
      </c>
      <c r="H697" s="78" t="str">
        <f>C697</f>
        <v>Electricity only with CCS</v>
      </c>
      <c r="I697" s="165" t="str">
        <f t="shared" si="88"/>
        <v>L</v>
      </c>
      <c r="J697" s="78" t="s">
        <v>112</v>
      </c>
      <c r="K697" s="78" t="s">
        <v>112</v>
      </c>
      <c r="L697" s="78" t="s">
        <v>112</v>
      </c>
      <c r="M697" s="78" t="s">
        <v>112</v>
      </c>
      <c r="N697" s="78" t="s">
        <v>112</v>
      </c>
      <c r="O697" s="78" t="s">
        <v>112</v>
      </c>
      <c r="P697" s="78" t="s">
        <v>112</v>
      </c>
      <c r="Q697" s="78" t="s">
        <v>112</v>
      </c>
      <c r="R697" s="78" t="s">
        <v>112</v>
      </c>
      <c r="S697" s="78" t="s">
        <v>112</v>
      </c>
      <c r="T697" s="78" t="s">
        <v>112</v>
      </c>
      <c r="U697" s="78" t="s">
        <v>112</v>
      </c>
      <c r="V697" s="78" t="s">
        <v>112</v>
      </c>
      <c r="W697" s="78" t="s">
        <v>112</v>
      </c>
      <c r="X697" s="78" t="s">
        <v>112</v>
      </c>
      <c r="Y697" s="78" t="s">
        <v>112</v>
      </c>
      <c r="Z697" s="78" t="s">
        <v>112</v>
      </c>
      <c r="AA697" s="78" t="s">
        <v>112</v>
      </c>
      <c r="AB697" s="78" t="s">
        <v>112</v>
      </c>
      <c r="AC697" s="78" t="s">
        <v>112</v>
      </c>
      <c r="AD697" s="78" t="s">
        <v>112</v>
      </c>
      <c r="AE697" s="78">
        <v>0.9</v>
      </c>
      <c r="AF697" s="78">
        <v>0.9</v>
      </c>
      <c r="AG697" s="78">
        <v>0.9</v>
      </c>
      <c r="AH697" s="78">
        <v>0.9</v>
      </c>
      <c r="AI697" s="78">
        <v>0.9</v>
      </c>
      <c r="AJ697" s="78">
        <v>0.9</v>
      </c>
      <c r="AK697" s="78">
        <v>0.9</v>
      </c>
      <c r="AL697" s="78">
        <v>0.9</v>
      </c>
      <c r="AM697" s="78">
        <v>0.9</v>
      </c>
      <c r="AN697" s="78">
        <v>0.9</v>
      </c>
      <c r="AO697" s="78">
        <v>0.9</v>
      </c>
      <c r="AP697" s="78">
        <v>0.9</v>
      </c>
      <c r="AQ697" s="78">
        <v>0.9</v>
      </c>
      <c r="AR697" s="78">
        <v>0.9</v>
      </c>
      <c r="AS697" s="78">
        <v>0.9</v>
      </c>
      <c r="AT697" s="78">
        <v>0.9</v>
      </c>
      <c r="AU697" s="78">
        <v>0.9</v>
      </c>
      <c r="AV697" s="78">
        <v>0.9</v>
      </c>
      <c r="AW697" s="78">
        <v>0.9</v>
      </c>
      <c r="AX697" s="86">
        <v>0.9</v>
      </c>
    </row>
    <row r="698" spans="1:50" x14ac:dyDescent="0.25">
      <c r="A698" s="356"/>
      <c r="B698" s="359"/>
      <c r="C698" s="360"/>
      <c r="D698" s="59" t="s">
        <v>8</v>
      </c>
      <c r="E698" s="166" t="str">
        <f>A693&amp;"/"&amp;B693&amp;"/"&amp;C697&amp;"/"&amp;D698</f>
        <v>Coal fired power plants/Integrated gasification combined cycle/Electricity only with CCS/M</v>
      </c>
      <c r="F698" s="79" t="str">
        <f>A693</f>
        <v>Coal fired power plants</v>
      </c>
      <c r="G698" s="79" t="str">
        <f>B693</f>
        <v>Integrated gasification combined cycle</v>
      </c>
      <c r="H698" s="79" t="str">
        <f>C697</f>
        <v>Electricity only with CCS</v>
      </c>
      <c r="I698" s="167" t="str">
        <f t="shared" si="88"/>
        <v>M</v>
      </c>
      <c r="J698" s="79" t="s">
        <v>112</v>
      </c>
      <c r="K698" s="79" t="s">
        <v>112</v>
      </c>
      <c r="L698" s="79" t="s">
        <v>112</v>
      </c>
      <c r="M698" s="79" t="s">
        <v>112</v>
      </c>
      <c r="N698" s="79" t="s">
        <v>112</v>
      </c>
      <c r="O698" s="79" t="s">
        <v>112</v>
      </c>
      <c r="P698" s="79" t="s">
        <v>112</v>
      </c>
      <c r="Q698" s="79" t="s">
        <v>112</v>
      </c>
      <c r="R698" s="79" t="s">
        <v>112</v>
      </c>
      <c r="S698" s="79" t="s">
        <v>112</v>
      </c>
      <c r="T698" s="79" t="s">
        <v>112</v>
      </c>
      <c r="U698" s="79" t="s">
        <v>112</v>
      </c>
      <c r="V698" s="79" t="s">
        <v>112</v>
      </c>
      <c r="W698" s="79" t="s">
        <v>112</v>
      </c>
      <c r="X698" s="79" t="s">
        <v>112</v>
      </c>
      <c r="Y698" s="79" t="s">
        <v>112</v>
      </c>
      <c r="Z698" s="79" t="s">
        <v>112</v>
      </c>
      <c r="AA698" s="79" t="s">
        <v>112</v>
      </c>
      <c r="AB698" s="79" t="s">
        <v>112</v>
      </c>
      <c r="AC698" s="79" t="s">
        <v>112</v>
      </c>
      <c r="AD698" s="79" t="s">
        <v>112</v>
      </c>
      <c r="AE698" s="79">
        <v>0.9</v>
      </c>
      <c r="AF698" s="79">
        <v>0.9</v>
      </c>
      <c r="AG698" s="79">
        <v>0.9</v>
      </c>
      <c r="AH698" s="79">
        <v>0.9</v>
      </c>
      <c r="AI698" s="79">
        <v>0.9</v>
      </c>
      <c r="AJ698" s="79">
        <v>0.9</v>
      </c>
      <c r="AK698" s="79">
        <v>0.9</v>
      </c>
      <c r="AL698" s="79">
        <v>0.9</v>
      </c>
      <c r="AM698" s="79">
        <v>0.9</v>
      </c>
      <c r="AN698" s="79">
        <v>0.9</v>
      </c>
      <c r="AO698" s="79">
        <v>0.9</v>
      </c>
      <c r="AP698" s="79">
        <v>0.9</v>
      </c>
      <c r="AQ698" s="79">
        <v>0.9</v>
      </c>
      <c r="AR698" s="79">
        <v>0.9</v>
      </c>
      <c r="AS698" s="79">
        <v>0.9</v>
      </c>
      <c r="AT698" s="79">
        <v>0.9</v>
      </c>
      <c r="AU698" s="79">
        <v>0.9</v>
      </c>
      <c r="AV698" s="79">
        <v>0.9</v>
      </c>
      <c r="AW698" s="79">
        <v>0.9</v>
      </c>
      <c r="AX698" s="87">
        <v>0.9</v>
      </c>
    </row>
    <row r="699" spans="1:50" x14ac:dyDescent="0.25">
      <c r="A699" s="356"/>
      <c r="B699" s="359"/>
      <c r="C699" s="361" t="s">
        <v>16</v>
      </c>
      <c r="D699" s="2" t="s">
        <v>7</v>
      </c>
      <c r="E699" s="160" t="str">
        <f>A693&amp;"/"&amp;B693&amp;"/"&amp;C699&amp;"/"&amp;D699</f>
        <v>Coal fired power plants/Integrated gasification combined cycle/CHP with CCS/L</v>
      </c>
      <c r="F699" s="76" t="str">
        <f>A693</f>
        <v>Coal fired power plants</v>
      </c>
      <c r="G699" s="76" t="str">
        <f>B693</f>
        <v>Integrated gasification combined cycle</v>
      </c>
      <c r="H699" s="76" t="str">
        <f>C699</f>
        <v>CHP with CCS</v>
      </c>
      <c r="I699" s="161" t="str">
        <f t="shared" si="88"/>
        <v>L</v>
      </c>
      <c r="J699" s="76" t="s">
        <v>112</v>
      </c>
      <c r="K699" s="76" t="s">
        <v>112</v>
      </c>
      <c r="L699" s="76" t="s">
        <v>112</v>
      </c>
      <c r="M699" s="76" t="s">
        <v>112</v>
      </c>
      <c r="N699" s="76" t="s">
        <v>112</v>
      </c>
      <c r="O699" s="76" t="s">
        <v>112</v>
      </c>
      <c r="P699" s="76" t="s">
        <v>112</v>
      </c>
      <c r="Q699" s="76" t="s">
        <v>112</v>
      </c>
      <c r="R699" s="76" t="s">
        <v>112</v>
      </c>
      <c r="S699" s="76" t="s">
        <v>112</v>
      </c>
      <c r="T699" s="76" t="s">
        <v>112</v>
      </c>
      <c r="U699" s="76" t="s">
        <v>112</v>
      </c>
      <c r="V699" s="76" t="s">
        <v>112</v>
      </c>
      <c r="W699" s="76" t="s">
        <v>112</v>
      </c>
      <c r="X699" s="76" t="s">
        <v>112</v>
      </c>
      <c r="Y699" s="76" t="s">
        <v>112</v>
      </c>
      <c r="Z699" s="76" t="s">
        <v>112</v>
      </c>
      <c r="AA699" s="76" t="s">
        <v>112</v>
      </c>
      <c r="AB699" s="76" t="s">
        <v>112</v>
      </c>
      <c r="AC699" s="76" t="s">
        <v>112</v>
      </c>
      <c r="AD699" s="76" t="s">
        <v>112</v>
      </c>
      <c r="AE699" s="76">
        <v>0.9</v>
      </c>
      <c r="AF699" s="76">
        <v>0.9</v>
      </c>
      <c r="AG699" s="76">
        <v>0.9</v>
      </c>
      <c r="AH699" s="76">
        <v>0.9</v>
      </c>
      <c r="AI699" s="76">
        <v>0.9</v>
      </c>
      <c r="AJ699" s="76">
        <v>0.9</v>
      </c>
      <c r="AK699" s="76">
        <v>0.9</v>
      </c>
      <c r="AL699" s="76">
        <v>0.9</v>
      </c>
      <c r="AM699" s="76">
        <v>0.9</v>
      </c>
      <c r="AN699" s="76">
        <v>0.9</v>
      </c>
      <c r="AO699" s="76">
        <v>0.9</v>
      </c>
      <c r="AP699" s="76">
        <v>0.9</v>
      </c>
      <c r="AQ699" s="76">
        <v>0.9</v>
      </c>
      <c r="AR699" s="76">
        <v>0.9</v>
      </c>
      <c r="AS699" s="76">
        <v>0.9</v>
      </c>
      <c r="AT699" s="76">
        <v>0.9</v>
      </c>
      <c r="AU699" s="76">
        <v>0.9</v>
      </c>
      <c r="AV699" s="76">
        <v>0.9</v>
      </c>
      <c r="AW699" s="76">
        <v>0.9</v>
      </c>
      <c r="AX699" s="84">
        <v>0.9</v>
      </c>
    </row>
    <row r="700" spans="1:50" x14ac:dyDescent="0.25">
      <c r="A700" s="356"/>
      <c r="B700" s="362"/>
      <c r="C700" s="354"/>
      <c r="D700" s="4" t="s">
        <v>8</v>
      </c>
      <c r="E700" s="168" t="str">
        <f>A693&amp;"/"&amp;B693&amp;"/"&amp;C699&amp;"/"&amp;D700</f>
        <v>Coal fired power plants/Integrated gasification combined cycle/CHP with CCS/M</v>
      </c>
      <c r="F700" s="80" t="str">
        <f>A693</f>
        <v>Coal fired power plants</v>
      </c>
      <c r="G700" s="80" t="str">
        <f>B693</f>
        <v>Integrated gasification combined cycle</v>
      </c>
      <c r="H700" s="80" t="str">
        <f>C699</f>
        <v>CHP with CCS</v>
      </c>
      <c r="I700" s="169" t="str">
        <f t="shared" si="88"/>
        <v>M</v>
      </c>
      <c r="J700" s="80" t="s">
        <v>112</v>
      </c>
      <c r="K700" s="80" t="s">
        <v>112</v>
      </c>
      <c r="L700" s="80" t="s">
        <v>112</v>
      </c>
      <c r="M700" s="80" t="s">
        <v>112</v>
      </c>
      <c r="N700" s="80" t="s">
        <v>112</v>
      </c>
      <c r="O700" s="80" t="s">
        <v>112</v>
      </c>
      <c r="P700" s="80" t="s">
        <v>112</v>
      </c>
      <c r="Q700" s="80" t="s">
        <v>112</v>
      </c>
      <c r="R700" s="80" t="s">
        <v>112</v>
      </c>
      <c r="S700" s="80" t="s">
        <v>112</v>
      </c>
      <c r="T700" s="80" t="s">
        <v>112</v>
      </c>
      <c r="U700" s="80" t="s">
        <v>112</v>
      </c>
      <c r="V700" s="80" t="s">
        <v>112</v>
      </c>
      <c r="W700" s="80" t="s">
        <v>112</v>
      </c>
      <c r="X700" s="80" t="s">
        <v>112</v>
      </c>
      <c r="Y700" s="80" t="s">
        <v>112</v>
      </c>
      <c r="Z700" s="80" t="s">
        <v>112</v>
      </c>
      <c r="AA700" s="80" t="s">
        <v>112</v>
      </c>
      <c r="AB700" s="80" t="s">
        <v>112</v>
      </c>
      <c r="AC700" s="80" t="s">
        <v>112</v>
      </c>
      <c r="AD700" s="80" t="s">
        <v>112</v>
      </c>
      <c r="AE700" s="80">
        <v>0.9</v>
      </c>
      <c r="AF700" s="80">
        <v>0.9</v>
      </c>
      <c r="AG700" s="80">
        <v>0.9</v>
      </c>
      <c r="AH700" s="80">
        <v>0.9</v>
      </c>
      <c r="AI700" s="80">
        <v>0.9</v>
      </c>
      <c r="AJ700" s="80">
        <v>0.9</v>
      </c>
      <c r="AK700" s="80">
        <v>0.9</v>
      </c>
      <c r="AL700" s="80">
        <v>0.9</v>
      </c>
      <c r="AM700" s="80">
        <v>0.9</v>
      </c>
      <c r="AN700" s="80">
        <v>0.9</v>
      </c>
      <c r="AO700" s="80">
        <v>0.9</v>
      </c>
      <c r="AP700" s="80">
        <v>0.9</v>
      </c>
      <c r="AQ700" s="80">
        <v>0.9</v>
      </c>
      <c r="AR700" s="80">
        <v>0.9</v>
      </c>
      <c r="AS700" s="80">
        <v>0.9</v>
      </c>
      <c r="AT700" s="80">
        <v>0.9</v>
      </c>
      <c r="AU700" s="80">
        <v>0.9</v>
      </c>
      <c r="AV700" s="80">
        <v>0.9</v>
      </c>
      <c r="AW700" s="80">
        <v>0.9</v>
      </c>
      <c r="AX700" s="88">
        <v>0.9</v>
      </c>
    </row>
    <row r="701" spans="1:50" x14ac:dyDescent="0.25">
      <c r="A701" s="356"/>
      <c r="B701" s="358" t="s">
        <v>17</v>
      </c>
      <c r="C701" s="353" t="s">
        <v>6</v>
      </c>
      <c r="D701" s="3" t="s">
        <v>7</v>
      </c>
      <c r="E701" s="162" t="str">
        <f>A693&amp;"/"&amp;B701&amp;"/"&amp;C701&amp;"/"&amp;D701</f>
        <v>Coal fired power plants/Supercritical steam turbine/Electricity only/L</v>
      </c>
      <c r="F701" s="77" t="str">
        <f>A693</f>
        <v>Coal fired power plants</v>
      </c>
      <c r="G701" s="77" t="str">
        <f>B701</f>
        <v>Supercritical steam turbine</v>
      </c>
      <c r="H701" s="77" t="str">
        <f>C701</f>
        <v>Electricity only</v>
      </c>
      <c r="I701" s="163" t="str">
        <f t="shared" si="88"/>
        <v>L</v>
      </c>
      <c r="J701" s="77">
        <v>0.91</v>
      </c>
      <c r="K701" s="77">
        <v>0.91</v>
      </c>
      <c r="L701" s="77">
        <v>0.91</v>
      </c>
      <c r="M701" s="77">
        <v>0.91</v>
      </c>
      <c r="N701" s="77">
        <v>0.91</v>
      </c>
      <c r="O701" s="77">
        <v>0.91</v>
      </c>
      <c r="P701" s="77">
        <v>0.91</v>
      </c>
      <c r="Q701" s="77">
        <v>0.91</v>
      </c>
      <c r="R701" s="77">
        <v>0.91</v>
      </c>
      <c r="S701" s="77">
        <v>0.91</v>
      </c>
      <c r="T701" s="77">
        <v>0.91</v>
      </c>
      <c r="U701" s="77">
        <v>0.91</v>
      </c>
      <c r="V701" s="77">
        <v>0.91</v>
      </c>
      <c r="W701" s="77">
        <v>0.91</v>
      </c>
      <c r="X701" s="77">
        <v>0.91</v>
      </c>
      <c r="Y701" s="77">
        <v>0.91</v>
      </c>
      <c r="Z701" s="77">
        <v>0.91</v>
      </c>
      <c r="AA701" s="77">
        <v>0.91</v>
      </c>
      <c r="AB701" s="77">
        <v>0.91</v>
      </c>
      <c r="AC701" s="77">
        <v>0.91</v>
      </c>
      <c r="AD701" s="77">
        <v>0.91</v>
      </c>
      <c r="AE701" s="77">
        <v>0.91</v>
      </c>
      <c r="AF701" s="77">
        <v>0.91</v>
      </c>
      <c r="AG701" s="77">
        <v>0.91</v>
      </c>
      <c r="AH701" s="77">
        <v>0.91</v>
      </c>
      <c r="AI701" s="77">
        <v>0.91</v>
      </c>
      <c r="AJ701" s="77">
        <v>0.91</v>
      </c>
      <c r="AK701" s="77">
        <v>0.91</v>
      </c>
      <c r="AL701" s="77">
        <v>0.91</v>
      </c>
      <c r="AM701" s="77">
        <v>0.91</v>
      </c>
      <c r="AN701" s="77">
        <v>0.91</v>
      </c>
      <c r="AO701" s="77">
        <v>0.91</v>
      </c>
      <c r="AP701" s="77">
        <v>0.91</v>
      </c>
      <c r="AQ701" s="77">
        <v>0.91</v>
      </c>
      <c r="AR701" s="77">
        <v>0.91</v>
      </c>
      <c r="AS701" s="77">
        <v>0.91</v>
      </c>
      <c r="AT701" s="77">
        <v>0.91</v>
      </c>
      <c r="AU701" s="77">
        <v>0.91</v>
      </c>
      <c r="AV701" s="77">
        <v>0.91</v>
      </c>
      <c r="AW701" s="77">
        <v>0.91</v>
      </c>
      <c r="AX701" s="85">
        <v>0.91</v>
      </c>
    </row>
    <row r="702" spans="1:50" x14ac:dyDescent="0.25">
      <c r="A702" s="356"/>
      <c r="B702" s="359"/>
      <c r="C702" s="360"/>
      <c r="D702" s="2" t="s">
        <v>8</v>
      </c>
      <c r="E702" s="160" t="str">
        <f>A693&amp;"/"&amp;B701&amp;"/"&amp;C701&amp;"/"&amp;D702</f>
        <v>Coal fired power plants/Supercritical steam turbine/Electricity only/M</v>
      </c>
      <c r="F702" s="76" t="str">
        <f>A693</f>
        <v>Coal fired power plants</v>
      </c>
      <c r="G702" s="76" t="str">
        <f>B701</f>
        <v>Supercritical steam turbine</v>
      </c>
      <c r="H702" s="76" t="str">
        <f>C701</f>
        <v>Electricity only</v>
      </c>
      <c r="I702" s="161" t="str">
        <f t="shared" si="88"/>
        <v>M</v>
      </c>
      <c r="J702" s="76">
        <v>0.91</v>
      </c>
      <c r="K702" s="76">
        <v>0.91</v>
      </c>
      <c r="L702" s="76">
        <v>0.91</v>
      </c>
      <c r="M702" s="76">
        <v>0.91</v>
      </c>
      <c r="N702" s="76">
        <v>0.91</v>
      </c>
      <c r="O702" s="76">
        <v>0.91</v>
      </c>
      <c r="P702" s="76">
        <v>0.91</v>
      </c>
      <c r="Q702" s="76">
        <v>0.91</v>
      </c>
      <c r="R702" s="76">
        <v>0.91</v>
      </c>
      <c r="S702" s="76">
        <v>0.91</v>
      </c>
      <c r="T702" s="76">
        <v>0.91</v>
      </c>
      <c r="U702" s="76">
        <v>0.91</v>
      </c>
      <c r="V702" s="76">
        <v>0.91</v>
      </c>
      <c r="W702" s="76">
        <v>0.91</v>
      </c>
      <c r="X702" s="76">
        <v>0.91</v>
      </c>
      <c r="Y702" s="76">
        <v>0.91</v>
      </c>
      <c r="Z702" s="76">
        <v>0.91</v>
      </c>
      <c r="AA702" s="76">
        <v>0.91</v>
      </c>
      <c r="AB702" s="76">
        <v>0.91</v>
      </c>
      <c r="AC702" s="76">
        <v>0.91</v>
      </c>
      <c r="AD702" s="76">
        <v>0.91</v>
      </c>
      <c r="AE702" s="76">
        <v>0.91</v>
      </c>
      <c r="AF702" s="76">
        <v>0.91</v>
      </c>
      <c r="AG702" s="76">
        <v>0.91</v>
      </c>
      <c r="AH702" s="76">
        <v>0.91</v>
      </c>
      <c r="AI702" s="76">
        <v>0.91</v>
      </c>
      <c r="AJ702" s="76">
        <v>0.91</v>
      </c>
      <c r="AK702" s="76">
        <v>0.91</v>
      </c>
      <c r="AL702" s="76">
        <v>0.91</v>
      </c>
      <c r="AM702" s="76">
        <v>0.91</v>
      </c>
      <c r="AN702" s="76">
        <v>0.91</v>
      </c>
      <c r="AO702" s="76">
        <v>0.91</v>
      </c>
      <c r="AP702" s="76">
        <v>0.91</v>
      </c>
      <c r="AQ702" s="76">
        <v>0.91</v>
      </c>
      <c r="AR702" s="76">
        <v>0.91</v>
      </c>
      <c r="AS702" s="76">
        <v>0.91</v>
      </c>
      <c r="AT702" s="76">
        <v>0.91</v>
      </c>
      <c r="AU702" s="76">
        <v>0.91</v>
      </c>
      <c r="AV702" s="76">
        <v>0.91</v>
      </c>
      <c r="AW702" s="76">
        <v>0.91</v>
      </c>
      <c r="AX702" s="84">
        <v>0.91</v>
      </c>
    </row>
    <row r="703" spans="1:50" x14ac:dyDescent="0.25">
      <c r="A703" s="356"/>
      <c r="B703" s="359"/>
      <c r="C703" s="361" t="s">
        <v>14</v>
      </c>
      <c r="D703" s="58" t="s">
        <v>7</v>
      </c>
      <c r="E703" s="164" t="str">
        <f>A693&amp;"/"&amp;B701&amp;"/"&amp;C703&amp;"/"&amp;D703</f>
        <v>Coal fired power plants/Supercritical steam turbine/CHP/L</v>
      </c>
      <c r="F703" s="78" t="str">
        <f>A693</f>
        <v>Coal fired power plants</v>
      </c>
      <c r="G703" s="78" t="str">
        <f>B701</f>
        <v>Supercritical steam turbine</v>
      </c>
      <c r="H703" s="78" t="str">
        <f>C703</f>
        <v>CHP</v>
      </c>
      <c r="I703" s="165" t="str">
        <f t="shared" si="88"/>
        <v>L</v>
      </c>
      <c r="J703" s="78">
        <v>0.91</v>
      </c>
      <c r="K703" s="78">
        <v>0.91</v>
      </c>
      <c r="L703" s="78">
        <v>0.91</v>
      </c>
      <c r="M703" s="78">
        <v>0.91</v>
      </c>
      <c r="N703" s="78">
        <v>0.91</v>
      </c>
      <c r="O703" s="78">
        <v>0.91</v>
      </c>
      <c r="P703" s="78">
        <v>0.91</v>
      </c>
      <c r="Q703" s="78">
        <v>0.91</v>
      </c>
      <c r="R703" s="78">
        <v>0.91</v>
      </c>
      <c r="S703" s="78">
        <v>0.91</v>
      </c>
      <c r="T703" s="78">
        <v>0.91</v>
      </c>
      <c r="U703" s="78">
        <v>0.91</v>
      </c>
      <c r="V703" s="78">
        <v>0.91</v>
      </c>
      <c r="W703" s="78">
        <v>0.91</v>
      </c>
      <c r="X703" s="78">
        <v>0.91</v>
      </c>
      <c r="Y703" s="78">
        <v>0.91</v>
      </c>
      <c r="Z703" s="78">
        <v>0.91</v>
      </c>
      <c r="AA703" s="78">
        <v>0.91</v>
      </c>
      <c r="AB703" s="78">
        <v>0.91</v>
      </c>
      <c r="AC703" s="78">
        <v>0.91</v>
      </c>
      <c r="AD703" s="78">
        <v>0.91</v>
      </c>
      <c r="AE703" s="78">
        <v>0.91</v>
      </c>
      <c r="AF703" s="78">
        <v>0.91</v>
      </c>
      <c r="AG703" s="78">
        <v>0.91</v>
      </c>
      <c r="AH703" s="78">
        <v>0.91</v>
      </c>
      <c r="AI703" s="78">
        <v>0.91</v>
      </c>
      <c r="AJ703" s="78">
        <v>0.91</v>
      </c>
      <c r="AK703" s="78">
        <v>0.91</v>
      </c>
      <c r="AL703" s="78">
        <v>0.91</v>
      </c>
      <c r="AM703" s="78">
        <v>0.91</v>
      </c>
      <c r="AN703" s="78">
        <v>0.91</v>
      </c>
      <c r="AO703" s="78">
        <v>0.91</v>
      </c>
      <c r="AP703" s="78">
        <v>0.91</v>
      </c>
      <c r="AQ703" s="78">
        <v>0.91</v>
      </c>
      <c r="AR703" s="78">
        <v>0.91</v>
      </c>
      <c r="AS703" s="78">
        <v>0.91</v>
      </c>
      <c r="AT703" s="78">
        <v>0.91</v>
      </c>
      <c r="AU703" s="78">
        <v>0.91</v>
      </c>
      <c r="AV703" s="78">
        <v>0.91</v>
      </c>
      <c r="AW703" s="78">
        <v>0.91</v>
      </c>
      <c r="AX703" s="86">
        <v>0.91</v>
      </c>
    </row>
    <row r="704" spans="1:50" x14ac:dyDescent="0.25">
      <c r="A704" s="356"/>
      <c r="B704" s="359"/>
      <c r="C704" s="360"/>
      <c r="D704" s="59" t="s">
        <v>8</v>
      </c>
      <c r="E704" s="166" t="str">
        <f>A693&amp;"/"&amp;B701&amp;"/"&amp;C703&amp;"/"&amp;D704</f>
        <v>Coal fired power plants/Supercritical steam turbine/CHP/M</v>
      </c>
      <c r="F704" s="79" t="str">
        <f>A693</f>
        <v>Coal fired power plants</v>
      </c>
      <c r="G704" s="79" t="str">
        <f>B701</f>
        <v>Supercritical steam turbine</v>
      </c>
      <c r="H704" s="79" t="str">
        <f>C703</f>
        <v>CHP</v>
      </c>
      <c r="I704" s="167" t="str">
        <f t="shared" si="88"/>
        <v>M</v>
      </c>
      <c r="J704" s="79">
        <v>0.91</v>
      </c>
      <c r="K704" s="79">
        <v>0.91</v>
      </c>
      <c r="L704" s="79">
        <v>0.91</v>
      </c>
      <c r="M704" s="79">
        <v>0.91</v>
      </c>
      <c r="N704" s="79">
        <v>0.91</v>
      </c>
      <c r="O704" s="79">
        <v>0.91</v>
      </c>
      <c r="P704" s="79">
        <v>0.91</v>
      </c>
      <c r="Q704" s="79">
        <v>0.91</v>
      </c>
      <c r="R704" s="79">
        <v>0.91</v>
      </c>
      <c r="S704" s="79">
        <v>0.91</v>
      </c>
      <c r="T704" s="79">
        <v>0.91</v>
      </c>
      <c r="U704" s="79">
        <v>0.91</v>
      </c>
      <c r="V704" s="79">
        <v>0.91</v>
      </c>
      <c r="W704" s="79">
        <v>0.91</v>
      </c>
      <c r="X704" s="79">
        <v>0.91</v>
      </c>
      <c r="Y704" s="79">
        <v>0.91</v>
      </c>
      <c r="Z704" s="79">
        <v>0.91</v>
      </c>
      <c r="AA704" s="79">
        <v>0.91</v>
      </c>
      <c r="AB704" s="79">
        <v>0.91</v>
      </c>
      <c r="AC704" s="79">
        <v>0.91</v>
      </c>
      <c r="AD704" s="79">
        <v>0.91</v>
      </c>
      <c r="AE704" s="79">
        <v>0.91</v>
      </c>
      <c r="AF704" s="79">
        <v>0.91</v>
      </c>
      <c r="AG704" s="79">
        <v>0.91</v>
      </c>
      <c r="AH704" s="79">
        <v>0.91</v>
      </c>
      <c r="AI704" s="79">
        <v>0.91</v>
      </c>
      <c r="AJ704" s="79">
        <v>0.91</v>
      </c>
      <c r="AK704" s="79">
        <v>0.91</v>
      </c>
      <c r="AL704" s="79">
        <v>0.91</v>
      </c>
      <c r="AM704" s="79">
        <v>0.91</v>
      </c>
      <c r="AN704" s="79">
        <v>0.91</v>
      </c>
      <c r="AO704" s="79">
        <v>0.91</v>
      </c>
      <c r="AP704" s="79">
        <v>0.91</v>
      </c>
      <c r="AQ704" s="79">
        <v>0.91</v>
      </c>
      <c r="AR704" s="79">
        <v>0.91</v>
      </c>
      <c r="AS704" s="79">
        <v>0.91</v>
      </c>
      <c r="AT704" s="79">
        <v>0.91</v>
      </c>
      <c r="AU704" s="79">
        <v>0.91</v>
      </c>
      <c r="AV704" s="79">
        <v>0.91</v>
      </c>
      <c r="AW704" s="79">
        <v>0.91</v>
      </c>
      <c r="AX704" s="87">
        <v>0.91</v>
      </c>
    </row>
    <row r="705" spans="1:50" x14ac:dyDescent="0.25">
      <c r="A705" s="356"/>
      <c r="B705" s="359"/>
      <c r="C705" s="361" t="s">
        <v>15</v>
      </c>
      <c r="D705" s="58" t="s">
        <v>7</v>
      </c>
      <c r="E705" s="164" t="str">
        <f>A693&amp;"/"&amp;B701&amp;"/"&amp;C705&amp;"/"&amp;D705</f>
        <v>Coal fired power plants/Supercritical steam turbine/Electricity only with CCS/L</v>
      </c>
      <c r="F705" s="78" t="str">
        <f>A693</f>
        <v>Coal fired power plants</v>
      </c>
      <c r="G705" s="78" t="str">
        <f>B701</f>
        <v>Supercritical steam turbine</v>
      </c>
      <c r="H705" s="78" t="str">
        <f>C705</f>
        <v>Electricity only with CCS</v>
      </c>
      <c r="I705" s="165" t="str">
        <f t="shared" si="88"/>
        <v>L</v>
      </c>
      <c r="J705" s="78" t="s">
        <v>112</v>
      </c>
      <c r="K705" s="78" t="s">
        <v>112</v>
      </c>
      <c r="L705" s="78" t="s">
        <v>112</v>
      </c>
      <c r="M705" s="78" t="s">
        <v>112</v>
      </c>
      <c r="N705" s="78" t="s">
        <v>112</v>
      </c>
      <c r="O705" s="78" t="s">
        <v>112</v>
      </c>
      <c r="P705" s="78" t="s">
        <v>112</v>
      </c>
      <c r="Q705" s="78" t="s">
        <v>112</v>
      </c>
      <c r="R705" s="78" t="s">
        <v>112</v>
      </c>
      <c r="S705" s="78" t="s">
        <v>112</v>
      </c>
      <c r="T705" s="78" t="s">
        <v>112</v>
      </c>
      <c r="U705" s="78" t="s">
        <v>112</v>
      </c>
      <c r="V705" s="78" t="s">
        <v>112</v>
      </c>
      <c r="W705" s="78" t="s">
        <v>112</v>
      </c>
      <c r="X705" s="78" t="s">
        <v>112</v>
      </c>
      <c r="Y705" s="78" t="s">
        <v>112</v>
      </c>
      <c r="Z705" s="78" t="s">
        <v>112</v>
      </c>
      <c r="AA705" s="78" t="s">
        <v>112</v>
      </c>
      <c r="AB705" s="78" t="s">
        <v>112</v>
      </c>
      <c r="AC705" s="78" t="s">
        <v>112</v>
      </c>
      <c r="AD705" s="78" t="s">
        <v>112</v>
      </c>
      <c r="AE705" s="78">
        <v>0.91</v>
      </c>
      <c r="AF705" s="78">
        <v>0.91</v>
      </c>
      <c r="AG705" s="78">
        <v>0.91</v>
      </c>
      <c r="AH705" s="78">
        <v>0.91</v>
      </c>
      <c r="AI705" s="78">
        <v>0.91</v>
      </c>
      <c r="AJ705" s="78">
        <v>0.91</v>
      </c>
      <c r="AK705" s="78">
        <v>0.91</v>
      </c>
      <c r="AL705" s="78">
        <v>0.91</v>
      </c>
      <c r="AM705" s="78">
        <v>0.91</v>
      </c>
      <c r="AN705" s="78">
        <v>0.91</v>
      </c>
      <c r="AO705" s="78">
        <v>0.91</v>
      </c>
      <c r="AP705" s="78">
        <v>0.91</v>
      </c>
      <c r="AQ705" s="78">
        <v>0.91</v>
      </c>
      <c r="AR705" s="78">
        <v>0.91</v>
      </c>
      <c r="AS705" s="78">
        <v>0.91</v>
      </c>
      <c r="AT705" s="78">
        <v>0.91</v>
      </c>
      <c r="AU705" s="78">
        <v>0.91</v>
      </c>
      <c r="AV705" s="78">
        <v>0.91</v>
      </c>
      <c r="AW705" s="78">
        <v>0.91</v>
      </c>
      <c r="AX705" s="86">
        <v>0.91</v>
      </c>
    </row>
    <row r="706" spans="1:50" x14ac:dyDescent="0.25">
      <c r="A706" s="356"/>
      <c r="B706" s="359"/>
      <c r="C706" s="360"/>
      <c r="D706" s="59" t="s">
        <v>8</v>
      </c>
      <c r="E706" s="166" t="str">
        <f>A693&amp;"/"&amp;B701&amp;"/"&amp;C705&amp;"/"&amp;D706</f>
        <v>Coal fired power plants/Supercritical steam turbine/Electricity only with CCS/M</v>
      </c>
      <c r="F706" s="79" t="str">
        <f>A693</f>
        <v>Coal fired power plants</v>
      </c>
      <c r="G706" s="79" t="str">
        <f>B701</f>
        <v>Supercritical steam turbine</v>
      </c>
      <c r="H706" s="79" t="str">
        <f>C705</f>
        <v>Electricity only with CCS</v>
      </c>
      <c r="I706" s="167" t="str">
        <f t="shared" si="88"/>
        <v>M</v>
      </c>
      <c r="J706" s="79" t="s">
        <v>112</v>
      </c>
      <c r="K706" s="79" t="s">
        <v>112</v>
      </c>
      <c r="L706" s="79" t="s">
        <v>112</v>
      </c>
      <c r="M706" s="79" t="s">
        <v>112</v>
      </c>
      <c r="N706" s="79" t="s">
        <v>112</v>
      </c>
      <c r="O706" s="79" t="s">
        <v>112</v>
      </c>
      <c r="P706" s="79" t="s">
        <v>112</v>
      </c>
      <c r="Q706" s="79" t="s">
        <v>112</v>
      </c>
      <c r="R706" s="79" t="s">
        <v>112</v>
      </c>
      <c r="S706" s="79" t="s">
        <v>112</v>
      </c>
      <c r="T706" s="79" t="s">
        <v>112</v>
      </c>
      <c r="U706" s="79" t="s">
        <v>112</v>
      </c>
      <c r="V706" s="79" t="s">
        <v>112</v>
      </c>
      <c r="W706" s="79" t="s">
        <v>112</v>
      </c>
      <c r="X706" s="79" t="s">
        <v>112</v>
      </c>
      <c r="Y706" s="79" t="s">
        <v>112</v>
      </c>
      <c r="Z706" s="79" t="s">
        <v>112</v>
      </c>
      <c r="AA706" s="79" t="s">
        <v>112</v>
      </c>
      <c r="AB706" s="79" t="s">
        <v>112</v>
      </c>
      <c r="AC706" s="79" t="s">
        <v>112</v>
      </c>
      <c r="AD706" s="79" t="s">
        <v>112</v>
      </c>
      <c r="AE706" s="79">
        <v>0.91</v>
      </c>
      <c r="AF706" s="79">
        <v>0.91</v>
      </c>
      <c r="AG706" s="79">
        <v>0.91</v>
      </c>
      <c r="AH706" s="79">
        <v>0.91</v>
      </c>
      <c r="AI706" s="79">
        <v>0.91</v>
      </c>
      <c r="AJ706" s="79">
        <v>0.91</v>
      </c>
      <c r="AK706" s="79">
        <v>0.91</v>
      </c>
      <c r="AL706" s="79">
        <v>0.91</v>
      </c>
      <c r="AM706" s="79">
        <v>0.91</v>
      </c>
      <c r="AN706" s="79">
        <v>0.91</v>
      </c>
      <c r="AO706" s="79">
        <v>0.91</v>
      </c>
      <c r="AP706" s="79">
        <v>0.91</v>
      </c>
      <c r="AQ706" s="79">
        <v>0.91</v>
      </c>
      <c r="AR706" s="79">
        <v>0.91</v>
      </c>
      <c r="AS706" s="79">
        <v>0.91</v>
      </c>
      <c r="AT706" s="79">
        <v>0.91</v>
      </c>
      <c r="AU706" s="79">
        <v>0.91</v>
      </c>
      <c r="AV706" s="79">
        <v>0.91</v>
      </c>
      <c r="AW706" s="79">
        <v>0.91</v>
      </c>
      <c r="AX706" s="87">
        <v>0.91</v>
      </c>
    </row>
    <row r="707" spans="1:50" x14ac:dyDescent="0.25">
      <c r="A707" s="356"/>
      <c r="B707" s="359"/>
      <c r="C707" s="361" t="s">
        <v>16</v>
      </c>
      <c r="D707" s="2" t="s">
        <v>7</v>
      </c>
      <c r="E707" s="160" t="str">
        <f>A693&amp;"/"&amp;B701&amp;"/"&amp;C707&amp;"/"&amp;D707</f>
        <v>Coal fired power plants/Supercritical steam turbine/CHP with CCS/L</v>
      </c>
      <c r="F707" s="76" t="str">
        <f>A693</f>
        <v>Coal fired power plants</v>
      </c>
      <c r="G707" s="76" t="str">
        <f>B701</f>
        <v>Supercritical steam turbine</v>
      </c>
      <c r="H707" s="76" t="str">
        <f>C707</f>
        <v>CHP with CCS</v>
      </c>
      <c r="I707" s="161" t="str">
        <f t="shared" si="88"/>
        <v>L</v>
      </c>
      <c r="J707" s="76" t="s">
        <v>112</v>
      </c>
      <c r="K707" s="76" t="s">
        <v>112</v>
      </c>
      <c r="L707" s="76" t="s">
        <v>112</v>
      </c>
      <c r="M707" s="76" t="s">
        <v>112</v>
      </c>
      <c r="N707" s="76" t="s">
        <v>112</v>
      </c>
      <c r="O707" s="76" t="s">
        <v>112</v>
      </c>
      <c r="P707" s="76" t="s">
        <v>112</v>
      </c>
      <c r="Q707" s="76" t="s">
        <v>112</v>
      </c>
      <c r="R707" s="76" t="s">
        <v>112</v>
      </c>
      <c r="S707" s="76" t="s">
        <v>112</v>
      </c>
      <c r="T707" s="76" t="s">
        <v>112</v>
      </c>
      <c r="U707" s="76" t="s">
        <v>112</v>
      </c>
      <c r="V707" s="76" t="s">
        <v>112</v>
      </c>
      <c r="W707" s="76" t="s">
        <v>112</v>
      </c>
      <c r="X707" s="76" t="s">
        <v>112</v>
      </c>
      <c r="Y707" s="76" t="s">
        <v>112</v>
      </c>
      <c r="Z707" s="76" t="s">
        <v>112</v>
      </c>
      <c r="AA707" s="76" t="s">
        <v>112</v>
      </c>
      <c r="AB707" s="76" t="s">
        <v>112</v>
      </c>
      <c r="AC707" s="76" t="s">
        <v>112</v>
      </c>
      <c r="AD707" s="76" t="s">
        <v>112</v>
      </c>
      <c r="AE707" s="76">
        <v>0.91</v>
      </c>
      <c r="AF707" s="76">
        <v>0.91</v>
      </c>
      <c r="AG707" s="76">
        <v>0.91</v>
      </c>
      <c r="AH707" s="76">
        <v>0.91</v>
      </c>
      <c r="AI707" s="76">
        <v>0.91</v>
      </c>
      <c r="AJ707" s="76">
        <v>0.91</v>
      </c>
      <c r="AK707" s="76">
        <v>0.91</v>
      </c>
      <c r="AL707" s="76">
        <v>0.91</v>
      </c>
      <c r="AM707" s="76">
        <v>0.91</v>
      </c>
      <c r="AN707" s="76">
        <v>0.91</v>
      </c>
      <c r="AO707" s="76">
        <v>0.91</v>
      </c>
      <c r="AP707" s="76">
        <v>0.91</v>
      </c>
      <c r="AQ707" s="76">
        <v>0.91</v>
      </c>
      <c r="AR707" s="76">
        <v>0.91</v>
      </c>
      <c r="AS707" s="76">
        <v>0.91</v>
      </c>
      <c r="AT707" s="76">
        <v>0.91</v>
      </c>
      <c r="AU707" s="76">
        <v>0.91</v>
      </c>
      <c r="AV707" s="76">
        <v>0.91</v>
      </c>
      <c r="AW707" s="76">
        <v>0.91</v>
      </c>
      <c r="AX707" s="84">
        <v>0.91</v>
      </c>
    </row>
    <row r="708" spans="1:50" x14ac:dyDescent="0.25">
      <c r="A708" s="356"/>
      <c r="B708" s="362"/>
      <c r="C708" s="354"/>
      <c r="D708" s="4" t="s">
        <v>8</v>
      </c>
      <c r="E708" s="168" t="str">
        <f>A693&amp;"/"&amp;B701&amp;"/"&amp;C707&amp;"/"&amp;D708</f>
        <v>Coal fired power plants/Supercritical steam turbine/CHP with CCS/M</v>
      </c>
      <c r="F708" s="80" t="str">
        <f>A693</f>
        <v>Coal fired power plants</v>
      </c>
      <c r="G708" s="80" t="str">
        <f>B701</f>
        <v>Supercritical steam turbine</v>
      </c>
      <c r="H708" s="80" t="str">
        <f>C707</f>
        <v>CHP with CCS</v>
      </c>
      <c r="I708" s="169" t="str">
        <f t="shared" si="88"/>
        <v>M</v>
      </c>
      <c r="J708" s="80" t="s">
        <v>112</v>
      </c>
      <c r="K708" s="80" t="s">
        <v>112</v>
      </c>
      <c r="L708" s="80" t="s">
        <v>112</v>
      </c>
      <c r="M708" s="80" t="s">
        <v>112</v>
      </c>
      <c r="N708" s="80" t="s">
        <v>112</v>
      </c>
      <c r="O708" s="80" t="s">
        <v>112</v>
      </c>
      <c r="P708" s="80" t="s">
        <v>112</v>
      </c>
      <c r="Q708" s="80" t="s">
        <v>112</v>
      </c>
      <c r="R708" s="80" t="s">
        <v>112</v>
      </c>
      <c r="S708" s="80" t="s">
        <v>112</v>
      </c>
      <c r="T708" s="80" t="s">
        <v>112</v>
      </c>
      <c r="U708" s="80" t="s">
        <v>112</v>
      </c>
      <c r="V708" s="80" t="s">
        <v>112</v>
      </c>
      <c r="W708" s="80" t="s">
        <v>112</v>
      </c>
      <c r="X708" s="80" t="s">
        <v>112</v>
      </c>
      <c r="Y708" s="80" t="s">
        <v>112</v>
      </c>
      <c r="Z708" s="80" t="s">
        <v>112</v>
      </c>
      <c r="AA708" s="80" t="s">
        <v>112</v>
      </c>
      <c r="AB708" s="80" t="s">
        <v>112</v>
      </c>
      <c r="AC708" s="80" t="s">
        <v>112</v>
      </c>
      <c r="AD708" s="80" t="s">
        <v>112</v>
      </c>
      <c r="AE708" s="80">
        <v>0.91</v>
      </c>
      <c r="AF708" s="80">
        <v>0.91</v>
      </c>
      <c r="AG708" s="80">
        <v>0.91</v>
      </c>
      <c r="AH708" s="80">
        <v>0.91</v>
      </c>
      <c r="AI708" s="80">
        <v>0.91</v>
      </c>
      <c r="AJ708" s="80">
        <v>0.91</v>
      </c>
      <c r="AK708" s="80">
        <v>0.91</v>
      </c>
      <c r="AL708" s="80">
        <v>0.91</v>
      </c>
      <c r="AM708" s="80">
        <v>0.91</v>
      </c>
      <c r="AN708" s="80">
        <v>0.91</v>
      </c>
      <c r="AO708" s="80">
        <v>0.91</v>
      </c>
      <c r="AP708" s="80">
        <v>0.91</v>
      </c>
      <c r="AQ708" s="80">
        <v>0.91</v>
      </c>
      <c r="AR708" s="80">
        <v>0.91</v>
      </c>
      <c r="AS708" s="80">
        <v>0.91</v>
      </c>
      <c r="AT708" s="80">
        <v>0.91</v>
      </c>
      <c r="AU708" s="80">
        <v>0.91</v>
      </c>
      <c r="AV708" s="80">
        <v>0.91</v>
      </c>
      <c r="AW708" s="80">
        <v>0.91</v>
      </c>
      <c r="AX708" s="88">
        <v>0.91</v>
      </c>
    </row>
    <row r="709" spans="1:50" x14ac:dyDescent="0.25">
      <c r="A709" s="356"/>
      <c r="B709" s="358" t="s">
        <v>18</v>
      </c>
      <c r="C709" s="353" t="s">
        <v>6</v>
      </c>
      <c r="D709" s="3" t="s">
        <v>7</v>
      </c>
      <c r="E709" s="162" t="str">
        <f>A693&amp;"/"&amp;B709&amp;"/"&amp;C709&amp;"/"&amp;D709</f>
        <v>Coal fired power plants/Fluidized bed combustion/Electricity only/L</v>
      </c>
      <c r="F709" s="77" t="str">
        <f>A693</f>
        <v>Coal fired power plants</v>
      </c>
      <c r="G709" s="77" t="str">
        <f>B709</f>
        <v>Fluidized bed combustion</v>
      </c>
      <c r="H709" s="77" t="str">
        <f>C709</f>
        <v>Electricity only</v>
      </c>
      <c r="I709" s="163" t="str">
        <f t="shared" si="88"/>
        <v>L</v>
      </c>
      <c r="J709" s="77">
        <v>0.88</v>
      </c>
      <c r="K709" s="77">
        <v>0.88</v>
      </c>
      <c r="L709" s="77">
        <v>0.88</v>
      </c>
      <c r="M709" s="77">
        <v>0.88</v>
      </c>
      <c r="N709" s="77">
        <v>0.88</v>
      </c>
      <c r="O709" s="77">
        <v>0.88</v>
      </c>
      <c r="P709" s="77">
        <v>0.88</v>
      </c>
      <c r="Q709" s="77">
        <v>0.88</v>
      </c>
      <c r="R709" s="77">
        <v>0.88</v>
      </c>
      <c r="S709" s="77">
        <v>0.88</v>
      </c>
      <c r="T709" s="77">
        <v>0.88</v>
      </c>
      <c r="U709" s="77">
        <v>0.88</v>
      </c>
      <c r="V709" s="77">
        <v>0.88</v>
      </c>
      <c r="W709" s="77">
        <v>0.88</v>
      </c>
      <c r="X709" s="77">
        <v>0.88</v>
      </c>
      <c r="Y709" s="77">
        <v>0.88</v>
      </c>
      <c r="Z709" s="77">
        <v>0.88</v>
      </c>
      <c r="AA709" s="77">
        <v>0.88</v>
      </c>
      <c r="AB709" s="77">
        <v>0.88</v>
      </c>
      <c r="AC709" s="77">
        <v>0.88</v>
      </c>
      <c r="AD709" s="77">
        <v>0.88</v>
      </c>
      <c r="AE709" s="77">
        <v>0.88</v>
      </c>
      <c r="AF709" s="77">
        <v>0.88</v>
      </c>
      <c r="AG709" s="77">
        <v>0.88</v>
      </c>
      <c r="AH709" s="77">
        <v>0.88</v>
      </c>
      <c r="AI709" s="77">
        <v>0.88</v>
      </c>
      <c r="AJ709" s="77">
        <v>0.88</v>
      </c>
      <c r="AK709" s="77">
        <v>0.88</v>
      </c>
      <c r="AL709" s="77">
        <v>0.88</v>
      </c>
      <c r="AM709" s="77">
        <v>0.88</v>
      </c>
      <c r="AN709" s="77">
        <v>0.88</v>
      </c>
      <c r="AO709" s="77">
        <v>0.88</v>
      </c>
      <c r="AP709" s="77">
        <v>0.88</v>
      </c>
      <c r="AQ709" s="77">
        <v>0.88</v>
      </c>
      <c r="AR709" s="77">
        <v>0.88</v>
      </c>
      <c r="AS709" s="77">
        <v>0.88</v>
      </c>
      <c r="AT709" s="77">
        <v>0.88</v>
      </c>
      <c r="AU709" s="77">
        <v>0.88</v>
      </c>
      <c r="AV709" s="77">
        <v>0.88</v>
      </c>
      <c r="AW709" s="77">
        <v>0.88</v>
      </c>
      <c r="AX709" s="85">
        <v>0.88</v>
      </c>
    </row>
    <row r="710" spans="1:50" x14ac:dyDescent="0.25">
      <c r="A710" s="356"/>
      <c r="B710" s="359"/>
      <c r="C710" s="350"/>
      <c r="D710" s="2" t="s">
        <v>8</v>
      </c>
      <c r="E710" s="160" t="str">
        <f>A693&amp;"/"&amp;B709&amp;"/"&amp;C709&amp;"/"&amp;D710</f>
        <v>Coal fired power plants/Fluidized bed combustion/Electricity only/M</v>
      </c>
      <c r="F710" s="76" t="str">
        <f>A693</f>
        <v>Coal fired power plants</v>
      </c>
      <c r="G710" s="76" t="str">
        <f>B709</f>
        <v>Fluidized bed combustion</v>
      </c>
      <c r="H710" s="76" t="str">
        <f>C709</f>
        <v>Electricity only</v>
      </c>
      <c r="I710" s="161" t="str">
        <f t="shared" si="88"/>
        <v>M</v>
      </c>
      <c r="J710" s="76">
        <v>0.88</v>
      </c>
      <c r="K710" s="76">
        <v>0.88</v>
      </c>
      <c r="L710" s="76">
        <v>0.88</v>
      </c>
      <c r="M710" s="76">
        <v>0.88</v>
      </c>
      <c r="N710" s="76">
        <v>0.88</v>
      </c>
      <c r="O710" s="76">
        <v>0.88</v>
      </c>
      <c r="P710" s="76">
        <v>0.88</v>
      </c>
      <c r="Q710" s="76">
        <v>0.88</v>
      </c>
      <c r="R710" s="76">
        <v>0.88</v>
      </c>
      <c r="S710" s="76">
        <v>0.88</v>
      </c>
      <c r="T710" s="76">
        <v>0.88</v>
      </c>
      <c r="U710" s="76">
        <v>0.88</v>
      </c>
      <c r="V710" s="76">
        <v>0.88</v>
      </c>
      <c r="W710" s="76">
        <v>0.88</v>
      </c>
      <c r="X710" s="76">
        <v>0.88</v>
      </c>
      <c r="Y710" s="76">
        <v>0.88</v>
      </c>
      <c r="Z710" s="76">
        <v>0.88</v>
      </c>
      <c r="AA710" s="76">
        <v>0.88</v>
      </c>
      <c r="AB710" s="76">
        <v>0.88</v>
      </c>
      <c r="AC710" s="76">
        <v>0.88</v>
      </c>
      <c r="AD710" s="76">
        <v>0.88</v>
      </c>
      <c r="AE710" s="76">
        <v>0.88</v>
      </c>
      <c r="AF710" s="76">
        <v>0.88</v>
      </c>
      <c r="AG710" s="76">
        <v>0.88</v>
      </c>
      <c r="AH710" s="76">
        <v>0.88</v>
      </c>
      <c r="AI710" s="76">
        <v>0.88</v>
      </c>
      <c r="AJ710" s="76">
        <v>0.88</v>
      </c>
      <c r="AK710" s="76">
        <v>0.88</v>
      </c>
      <c r="AL710" s="76">
        <v>0.88</v>
      </c>
      <c r="AM710" s="76">
        <v>0.88</v>
      </c>
      <c r="AN710" s="76">
        <v>0.88</v>
      </c>
      <c r="AO710" s="76">
        <v>0.88</v>
      </c>
      <c r="AP710" s="76">
        <v>0.88</v>
      </c>
      <c r="AQ710" s="76">
        <v>0.88</v>
      </c>
      <c r="AR710" s="76">
        <v>0.88</v>
      </c>
      <c r="AS710" s="76">
        <v>0.88</v>
      </c>
      <c r="AT710" s="76">
        <v>0.88</v>
      </c>
      <c r="AU710" s="76">
        <v>0.88</v>
      </c>
      <c r="AV710" s="76">
        <v>0.88</v>
      </c>
      <c r="AW710" s="76">
        <v>0.88</v>
      </c>
      <c r="AX710" s="84">
        <v>0.88</v>
      </c>
    </row>
    <row r="711" spans="1:50" x14ac:dyDescent="0.25">
      <c r="A711" s="356"/>
      <c r="B711" s="359"/>
      <c r="C711" s="360"/>
      <c r="D711" s="2" t="s">
        <v>10</v>
      </c>
      <c r="E711" s="160" t="str">
        <f>A693&amp;"/"&amp;B709&amp;"/"&amp;C709&amp;"/"&amp;D711</f>
        <v>Coal fired power plants/Fluidized bed combustion/Electricity only/S</v>
      </c>
      <c r="F711" s="76" t="str">
        <f>A693</f>
        <v>Coal fired power plants</v>
      </c>
      <c r="G711" s="76" t="str">
        <f>B709</f>
        <v>Fluidized bed combustion</v>
      </c>
      <c r="H711" s="76" t="str">
        <f>C709</f>
        <v>Electricity only</v>
      </c>
      <c r="I711" s="161" t="str">
        <f t="shared" si="88"/>
        <v>S</v>
      </c>
      <c r="J711" s="76">
        <v>0.88</v>
      </c>
      <c r="K711" s="76">
        <v>0.88</v>
      </c>
      <c r="L711" s="76">
        <v>0.88</v>
      </c>
      <c r="M711" s="76">
        <v>0.88</v>
      </c>
      <c r="N711" s="76">
        <v>0.88</v>
      </c>
      <c r="O711" s="76">
        <v>0.88</v>
      </c>
      <c r="P711" s="76">
        <v>0.88</v>
      </c>
      <c r="Q711" s="76">
        <v>0.88</v>
      </c>
      <c r="R711" s="76">
        <v>0.88</v>
      </c>
      <c r="S711" s="76">
        <v>0.88</v>
      </c>
      <c r="T711" s="76">
        <v>0.88</v>
      </c>
      <c r="U711" s="76">
        <v>0.88</v>
      </c>
      <c r="V711" s="76">
        <v>0.88</v>
      </c>
      <c r="W711" s="76">
        <v>0.88</v>
      </c>
      <c r="X711" s="76">
        <v>0.88</v>
      </c>
      <c r="Y711" s="76">
        <v>0.88</v>
      </c>
      <c r="Z711" s="76">
        <v>0.88</v>
      </c>
      <c r="AA711" s="76">
        <v>0.88</v>
      </c>
      <c r="AB711" s="76">
        <v>0.88</v>
      </c>
      <c r="AC711" s="76">
        <v>0.88</v>
      </c>
      <c r="AD711" s="76">
        <v>0.88</v>
      </c>
      <c r="AE711" s="76">
        <v>0.88</v>
      </c>
      <c r="AF711" s="76">
        <v>0.88</v>
      </c>
      <c r="AG711" s="76">
        <v>0.88</v>
      </c>
      <c r="AH711" s="76">
        <v>0.88</v>
      </c>
      <c r="AI711" s="76">
        <v>0.88</v>
      </c>
      <c r="AJ711" s="76">
        <v>0.88</v>
      </c>
      <c r="AK711" s="76">
        <v>0.88</v>
      </c>
      <c r="AL711" s="76">
        <v>0.88</v>
      </c>
      <c r="AM711" s="76">
        <v>0.88</v>
      </c>
      <c r="AN711" s="76">
        <v>0.88</v>
      </c>
      <c r="AO711" s="76">
        <v>0.88</v>
      </c>
      <c r="AP711" s="76">
        <v>0.88</v>
      </c>
      <c r="AQ711" s="76">
        <v>0.88</v>
      </c>
      <c r="AR711" s="76">
        <v>0.88</v>
      </c>
      <c r="AS711" s="76">
        <v>0.88</v>
      </c>
      <c r="AT711" s="76">
        <v>0.88</v>
      </c>
      <c r="AU711" s="76">
        <v>0.88</v>
      </c>
      <c r="AV711" s="76">
        <v>0.88</v>
      </c>
      <c r="AW711" s="76">
        <v>0.88</v>
      </c>
      <c r="AX711" s="84">
        <v>0.88</v>
      </c>
    </row>
    <row r="712" spans="1:50" x14ac:dyDescent="0.25">
      <c r="A712" s="356"/>
      <c r="B712" s="359"/>
      <c r="C712" s="361" t="s">
        <v>14</v>
      </c>
      <c r="D712" s="58" t="s">
        <v>7</v>
      </c>
      <c r="E712" s="164" t="str">
        <f>A693&amp;"/"&amp;B709&amp;"/"&amp;C712&amp;"/"&amp;D712</f>
        <v>Coal fired power plants/Fluidized bed combustion/CHP/L</v>
      </c>
      <c r="F712" s="78" t="str">
        <f>A693</f>
        <v>Coal fired power plants</v>
      </c>
      <c r="G712" s="78" t="str">
        <f>B709</f>
        <v>Fluidized bed combustion</v>
      </c>
      <c r="H712" s="78" t="str">
        <f>C712</f>
        <v>CHP</v>
      </c>
      <c r="I712" s="165" t="str">
        <f t="shared" si="88"/>
        <v>L</v>
      </c>
      <c r="J712" s="78">
        <v>0.88</v>
      </c>
      <c r="K712" s="78">
        <v>0.88</v>
      </c>
      <c r="L712" s="78">
        <v>0.88</v>
      </c>
      <c r="M712" s="78">
        <v>0.88</v>
      </c>
      <c r="N712" s="78">
        <v>0.88</v>
      </c>
      <c r="O712" s="78">
        <v>0.88</v>
      </c>
      <c r="P712" s="78">
        <v>0.88</v>
      </c>
      <c r="Q712" s="78">
        <v>0.88</v>
      </c>
      <c r="R712" s="78">
        <v>0.88</v>
      </c>
      <c r="S712" s="78">
        <v>0.88</v>
      </c>
      <c r="T712" s="78">
        <v>0.88</v>
      </c>
      <c r="U712" s="78">
        <v>0.88</v>
      </c>
      <c r="V712" s="78">
        <v>0.88</v>
      </c>
      <c r="W712" s="78">
        <v>0.88</v>
      </c>
      <c r="X712" s="78">
        <v>0.88</v>
      </c>
      <c r="Y712" s="78">
        <v>0.88</v>
      </c>
      <c r="Z712" s="78">
        <v>0.88</v>
      </c>
      <c r="AA712" s="78">
        <v>0.88</v>
      </c>
      <c r="AB712" s="78">
        <v>0.88</v>
      </c>
      <c r="AC712" s="78">
        <v>0.88</v>
      </c>
      <c r="AD712" s="78">
        <v>0.88</v>
      </c>
      <c r="AE712" s="78">
        <v>0.88</v>
      </c>
      <c r="AF712" s="78">
        <v>0.88</v>
      </c>
      <c r="AG712" s="78">
        <v>0.88</v>
      </c>
      <c r="AH712" s="78">
        <v>0.88</v>
      </c>
      <c r="AI712" s="78">
        <v>0.88</v>
      </c>
      <c r="AJ712" s="78">
        <v>0.88</v>
      </c>
      <c r="AK712" s="78">
        <v>0.88</v>
      </c>
      <c r="AL712" s="78">
        <v>0.88</v>
      </c>
      <c r="AM712" s="78">
        <v>0.88</v>
      </c>
      <c r="AN712" s="78">
        <v>0.88</v>
      </c>
      <c r="AO712" s="78">
        <v>0.88</v>
      </c>
      <c r="AP712" s="78">
        <v>0.88</v>
      </c>
      <c r="AQ712" s="78">
        <v>0.88</v>
      </c>
      <c r="AR712" s="78">
        <v>0.88</v>
      </c>
      <c r="AS712" s="78">
        <v>0.88</v>
      </c>
      <c r="AT712" s="78">
        <v>0.88</v>
      </c>
      <c r="AU712" s="78">
        <v>0.88</v>
      </c>
      <c r="AV712" s="78">
        <v>0.88</v>
      </c>
      <c r="AW712" s="78">
        <v>0.88</v>
      </c>
      <c r="AX712" s="86">
        <v>0.88</v>
      </c>
    </row>
    <row r="713" spans="1:50" x14ac:dyDescent="0.25">
      <c r="A713" s="356"/>
      <c r="B713" s="359"/>
      <c r="C713" s="350"/>
      <c r="D713" s="2" t="s">
        <v>8</v>
      </c>
      <c r="E713" s="160" t="str">
        <f>A693&amp;"/"&amp;B709&amp;"/"&amp;C712&amp;"/"&amp;D713</f>
        <v>Coal fired power plants/Fluidized bed combustion/CHP/M</v>
      </c>
      <c r="F713" s="76" t="str">
        <f>A693</f>
        <v>Coal fired power plants</v>
      </c>
      <c r="G713" s="76" t="str">
        <f>B709</f>
        <v>Fluidized bed combustion</v>
      </c>
      <c r="H713" s="76" t="str">
        <f>C712</f>
        <v>CHP</v>
      </c>
      <c r="I713" s="161" t="str">
        <f t="shared" si="88"/>
        <v>M</v>
      </c>
      <c r="J713" s="76">
        <v>0.88</v>
      </c>
      <c r="K713" s="76">
        <v>0.88</v>
      </c>
      <c r="L713" s="76">
        <v>0.88</v>
      </c>
      <c r="M713" s="76">
        <v>0.88</v>
      </c>
      <c r="N713" s="76">
        <v>0.88</v>
      </c>
      <c r="O713" s="76">
        <v>0.88</v>
      </c>
      <c r="P713" s="76">
        <v>0.88</v>
      </c>
      <c r="Q713" s="76">
        <v>0.88</v>
      </c>
      <c r="R713" s="76">
        <v>0.88</v>
      </c>
      <c r="S713" s="76">
        <v>0.88</v>
      </c>
      <c r="T713" s="76">
        <v>0.88</v>
      </c>
      <c r="U713" s="76">
        <v>0.88</v>
      </c>
      <c r="V713" s="76">
        <v>0.88</v>
      </c>
      <c r="W713" s="76">
        <v>0.88</v>
      </c>
      <c r="X713" s="76">
        <v>0.88</v>
      </c>
      <c r="Y713" s="76">
        <v>0.88</v>
      </c>
      <c r="Z713" s="76">
        <v>0.88</v>
      </c>
      <c r="AA713" s="76">
        <v>0.88</v>
      </c>
      <c r="AB713" s="76">
        <v>0.88</v>
      </c>
      <c r="AC713" s="76">
        <v>0.88</v>
      </c>
      <c r="AD713" s="76">
        <v>0.88</v>
      </c>
      <c r="AE713" s="76">
        <v>0.88</v>
      </c>
      <c r="AF713" s="76">
        <v>0.88</v>
      </c>
      <c r="AG713" s="76">
        <v>0.88</v>
      </c>
      <c r="AH713" s="76">
        <v>0.88</v>
      </c>
      <c r="AI713" s="76">
        <v>0.88</v>
      </c>
      <c r="AJ713" s="76">
        <v>0.88</v>
      </c>
      <c r="AK713" s="76">
        <v>0.88</v>
      </c>
      <c r="AL713" s="76">
        <v>0.88</v>
      </c>
      <c r="AM713" s="76">
        <v>0.88</v>
      </c>
      <c r="AN713" s="76">
        <v>0.88</v>
      </c>
      <c r="AO713" s="76">
        <v>0.88</v>
      </c>
      <c r="AP713" s="76">
        <v>0.88</v>
      </c>
      <c r="AQ713" s="76">
        <v>0.88</v>
      </c>
      <c r="AR713" s="76">
        <v>0.88</v>
      </c>
      <c r="AS713" s="76">
        <v>0.88</v>
      </c>
      <c r="AT713" s="76">
        <v>0.88</v>
      </c>
      <c r="AU713" s="76">
        <v>0.88</v>
      </c>
      <c r="AV713" s="76">
        <v>0.88</v>
      </c>
      <c r="AW713" s="76">
        <v>0.88</v>
      </c>
      <c r="AX713" s="84">
        <v>0.88</v>
      </c>
    </row>
    <row r="714" spans="1:50" x14ac:dyDescent="0.25">
      <c r="A714" s="356"/>
      <c r="B714" s="359"/>
      <c r="C714" s="360"/>
      <c r="D714" s="59" t="s">
        <v>10</v>
      </c>
      <c r="E714" s="166" t="str">
        <f>A693&amp;"/"&amp;B709&amp;"/"&amp;C712&amp;"/"&amp;D714</f>
        <v>Coal fired power plants/Fluidized bed combustion/CHP/S</v>
      </c>
      <c r="F714" s="79" t="str">
        <f>A693</f>
        <v>Coal fired power plants</v>
      </c>
      <c r="G714" s="79" t="str">
        <f>B709</f>
        <v>Fluidized bed combustion</v>
      </c>
      <c r="H714" s="79" t="str">
        <f>C712</f>
        <v>CHP</v>
      </c>
      <c r="I714" s="167" t="str">
        <f t="shared" si="88"/>
        <v>S</v>
      </c>
      <c r="J714" s="79">
        <v>0.88</v>
      </c>
      <c r="K714" s="79">
        <v>0.88</v>
      </c>
      <c r="L714" s="79">
        <v>0.88</v>
      </c>
      <c r="M714" s="79">
        <v>0.88</v>
      </c>
      <c r="N714" s="79">
        <v>0.88</v>
      </c>
      <c r="O714" s="79">
        <v>0.88</v>
      </c>
      <c r="P714" s="79">
        <v>0.88</v>
      </c>
      <c r="Q714" s="79">
        <v>0.88</v>
      </c>
      <c r="R714" s="79">
        <v>0.88</v>
      </c>
      <c r="S714" s="79">
        <v>0.88</v>
      </c>
      <c r="T714" s="79">
        <v>0.88</v>
      </c>
      <c r="U714" s="79">
        <v>0.88</v>
      </c>
      <c r="V714" s="79">
        <v>0.88</v>
      </c>
      <c r="W714" s="79">
        <v>0.88</v>
      </c>
      <c r="X714" s="79">
        <v>0.88</v>
      </c>
      <c r="Y714" s="79">
        <v>0.88</v>
      </c>
      <c r="Z714" s="79">
        <v>0.88</v>
      </c>
      <c r="AA714" s="79">
        <v>0.88</v>
      </c>
      <c r="AB714" s="79">
        <v>0.88</v>
      </c>
      <c r="AC714" s="79">
        <v>0.88</v>
      </c>
      <c r="AD714" s="79">
        <v>0.88</v>
      </c>
      <c r="AE714" s="79">
        <v>0.88</v>
      </c>
      <c r="AF714" s="79">
        <v>0.88</v>
      </c>
      <c r="AG714" s="79">
        <v>0.88</v>
      </c>
      <c r="AH714" s="79">
        <v>0.88</v>
      </c>
      <c r="AI714" s="79">
        <v>0.88</v>
      </c>
      <c r="AJ714" s="79">
        <v>0.88</v>
      </c>
      <c r="AK714" s="79">
        <v>0.88</v>
      </c>
      <c r="AL714" s="79">
        <v>0.88</v>
      </c>
      <c r="AM714" s="79">
        <v>0.88</v>
      </c>
      <c r="AN714" s="79">
        <v>0.88</v>
      </c>
      <c r="AO714" s="79">
        <v>0.88</v>
      </c>
      <c r="AP714" s="79">
        <v>0.88</v>
      </c>
      <c r="AQ714" s="79">
        <v>0.88</v>
      </c>
      <c r="AR714" s="79">
        <v>0.88</v>
      </c>
      <c r="AS714" s="79">
        <v>0.88</v>
      </c>
      <c r="AT714" s="79">
        <v>0.88</v>
      </c>
      <c r="AU714" s="79">
        <v>0.88</v>
      </c>
      <c r="AV714" s="79">
        <v>0.88</v>
      </c>
      <c r="AW714" s="79">
        <v>0.88</v>
      </c>
      <c r="AX714" s="87">
        <v>0.88</v>
      </c>
    </row>
    <row r="715" spans="1:50" x14ac:dyDescent="0.25">
      <c r="A715" s="356"/>
      <c r="B715" s="359"/>
      <c r="C715" s="361" t="s">
        <v>15</v>
      </c>
      <c r="D715" s="58" t="s">
        <v>7</v>
      </c>
      <c r="E715" s="164" t="str">
        <f>A693&amp;"/"&amp;B709&amp;"/"&amp;C715&amp;"/"&amp;D715</f>
        <v>Coal fired power plants/Fluidized bed combustion/Electricity only with CCS/L</v>
      </c>
      <c r="F715" s="78" t="str">
        <f>A693</f>
        <v>Coal fired power plants</v>
      </c>
      <c r="G715" s="78" t="str">
        <f>B709</f>
        <v>Fluidized bed combustion</v>
      </c>
      <c r="H715" s="78" t="str">
        <f>C715</f>
        <v>Electricity only with CCS</v>
      </c>
      <c r="I715" s="165" t="str">
        <f t="shared" si="88"/>
        <v>L</v>
      </c>
      <c r="J715" s="78" t="s">
        <v>112</v>
      </c>
      <c r="K715" s="78" t="s">
        <v>112</v>
      </c>
      <c r="L715" s="78" t="s">
        <v>112</v>
      </c>
      <c r="M715" s="78" t="s">
        <v>112</v>
      </c>
      <c r="N715" s="78" t="s">
        <v>112</v>
      </c>
      <c r="O715" s="78" t="s">
        <v>112</v>
      </c>
      <c r="P715" s="78" t="s">
        <v>112</v>
      </c>
      <c r="Q715" s="78" t="s">
        <v>112</v>
      </c>
      <c r="R715" s="78" t="s">
        <v>112</v>
      </c>
      <c r="S715" s="78" t="s">
        <v>112</v>
      </c>
      <c r="T715" s="78" t="s">
        <v>112</v>
      </c>
      <c r="U715" s="78" t="s">
        <v>112</v>
      </c>
      <c r="V715" s="78" t="s">
        <v>112</v>
      </c>
      <c r="W715" s="78" t="s">
        <v>112</v>
      </c>
      <c r="X715" s="78" t="s">
        <v>112</v>
      </c>
      <c r="Y715" s="78" t="s">
        <v>112</v>
      </c>
      <c r="Z715" s="78" t="s">
        <v>112</v>
      </c>
      <c r="AA715" s="78" t="s">
        <v>112</v>
      </c>
      <c r="AB715" s="78" t="s">
        <v>112</v>
      </c>
      <c r="AC715" s="78" t="s">
        <v>112</v>
      </c>
      <c r="AD715" s="78" t="s">
        <v>112</v>
      </c>
      <c r="AE715" s="78">
        <v>0.88</v>
      </c>
      <c r="AF715" s="78">
        <v>0.88</v>
      </c>
      <c r="AG715" s="78">
        <v>0.88</v>
      </c>
      <c r="AH715" s="78">
        <v>0.88</v>
      </c>
      <c r="AI715" s="78">
        <v>0.88</v>
      </c>
      <c r="AJ715" s="78">
        <v>0.88</v>
      </c>
      <c r="AK715" s="78">
        <v>0.88</v>
      </c>
      <c r="AL715" s="78">
        <v>0.88</v>
      </c>
      <c r="AM715" s="78">
        <v>0.88</v>
      </c>
      <c r="AN715" s="78">
        <v>0.88</v>
      </c>
      <c r="AO715" s="78">
        <v>0.88</v>
      </c>
      <c r="AP715" s="78">
        <v>0.88</v>
      </c>
      <c r="AQ715" s="78">
        <v>0.88</v>
      </c>
      <c r="AR715" s="78">
        <v>0.88</v>
      </c>
      <c r="AS715" s="78">
        <v>0.88</v>
      </c>
      <c r="AT715" s="78">
        <v>0.88</v>
      </c>
      <c r="AU715" s="78">
        <v>0.88</v>
      </c>
      <c r="AV715" s="78">
        <v>0.88</v>
      </c>
      <c r="AW715" s="78">
        <v>0.88</v>
      </c>
      <c r="AX715" s="86">
        <v>0.88</v>
      </c>
    </row>
    <row r="716" spans="1:50" x14ac:dyDescent="0.25">
      <c r="A716" s="356"/>
      <c r="B716" s="359"/>
      <c r="C716" s="360"/>
      <c r="D716" s="59" t="s">
        <v>8</v>
      </c>
      <c r="E716" s="166" t="str">
        <f>A693&amp;"/"&amp;B709&amp;"/"&amp;C715&amp;"/"&amp;D716</f>
        <v>Coal fired power plants/Fluidized bed combustion/Electricity only with CCS/M</v>
      </c>
      <c r="F716" s="79" t="str">
        <f>A693</f>
        <v>Coal fired power plants</v>
      </c>
      <c r="G716" s="79" t="str">
        <f>B709</f>
        <v>Fluidized bed combustion</v>
      </c>
      <c r="H716" s="79" t="str">
        <f>C715</f>
        <v>Electricity only with CCS</v>
      </c>
      <c r="I716" s="167" t="str">
        <f t="shared" si="88"/>
        <v>M</v>
      </c>
      <c r="J716" s="79" t="s">
        <v>112</v>
      </c>
      <c r="K716" s="79" t="s">
        <v>112</v>
      </c>
      <c r="L716" s="79" t="s">
        <v>112</v>
      </c>
      <c r="M716" s="79" t="s">
        <v>112</v>
      </c>
      <c r="N716" s="79" t="s">
        <v>112</v>
      </c>
      <c r="O716" s="79" t="s">
        <v>112</v>
      </c>
      <c r="P716" s="79" t="s">
        <v>112</v>
      </c>
      <c r="Q716" s="79" t="s">
        <v>112</v>
      </c>
      <c r="R716" s="79" t="s">
        <v>112</v>
      </c>
      <c r="S716" s="79" t="s">
        <v>112</v>
      </c>
      <c r="T716" s="79" t="s">
        <v>112</v>
      </c>
      <c r="U716" s="79" t="s">
        <v>112</v>
      </c>
      <c r="V716" s="79" t="s">
        <v>112</v>
      </c>
      <c r="W716" s="79" t="s">
        <v>112</v>
      </c>
      <c r="X716" s="79" t="s">
        <v>112</v>
      </c>
      <c r="Y716" s="79" t="s">
        <v>112</v>
      </c>
      <c r="Z716" s="79" t="s">
        <v>112</v>
      </c>
      <c r="AA716" s="79" t="s">
        <v>112</v>
      </c>
      <c r="AB716" s="79" t="s">
        <v>112</v>
      </c>
      <c r="AC716" s="79" t="s">
        <v>112</v>
      </c>
      <c r="AD716" s="79" t="s">
        <v>112</v>
      </c>
      <c r="AE716" s="79">
        <v>0.88</v>
      </c>
      <c r="AF716" s="79">
        <v>0.88</v>
      </c>
      <c r="AG716" s="79">
        <v>0.88</v>
      </c>
      <c r="AH716" s="79">
        <v>0.88</v>
      </c>
      <c r="AI716" s="79">
        <v>0.88</v>
      </c>
      <c r="AJ716" s="79">
        <v>0.88</v>
      </c>
      <c r="AK716" s="79">
        <v>0.88</v>
      </c>
      <c r="AL716" s="79">
        <v>0.88</v>
      </c>
      <c r="AM716" s="79">
        <v>0.88</v>
      </c>
      <c r="AN716" s="79">
        <v>0.88</v>
      </c>
      <c r="AO716" s="79">
        <v>0.88</v>
      </c>
      <c r="AP716" s="79">
        <v>0.88</v>
      </c>
      <c r="AQ716" s="79">
        <v>0.88</v>
      </c>
      <c r="AR716" s="79">
        <v>0.88</v>
      </c>
      <c r="AS716" s="79">
        <v>0.88</v>
      </c>
      <c r="AT716" s="79">
        <v>0.88</v>
      </c>
      <c r="AU716" s="79">
        <v>0.88</v>
      </c>
      <c r="AV716" s="79">
        <v>0.88</v>
      </c>
      <c r="AW716" s="79">
        <v>0.88</v>
      </c>
      <c r="AX716" s="87">
        <v>0.88</v>
      </c>
    </row>
    <row r="717" spans="1:50" x14ac:dyDescent="0.25">
      <c r="A717" s="356"/>
      <c r="B717" s="359"/>
      <c r="C717" s="361" t="s">
        <v>16</v>
      </c>
      <c r="D717" s="2" t="s">
        <v>7</v>
      </c>
      <c r="E717" s="160" t="str">
        <f>A693&amp;"/"&amp;B709&amp;"/"&amp;C717&amp;"/"&amp;D717</f>
        <v>Coal fired power plants/Fluidized bed combustion/CHP with CCS/L</v>
      </c>
      <c r="F717" s="76" t="str">
        <f>A693</f>
        <v>Coal fired power plants</v>
      </c>
      <c r="G717" s="76" t="str">
        <f>B709</f>
        <v>Fluidized bed combustion</v>
      </c>
      <c r="H717" s="76" t="str">
        <f>C717</f>
        <v>CHP with CCS</v>
      </c>
      <c r="I717" s="161" t="str">
        <f t="shared" si="88"/>
        <v>L</v>
      </c>
      <c r="J717" s="76" t="s">
        <v>112</v>
      </c>
      <c r="K717" s="76" t="s">
        <v>112</v>
      </c>
      <c r="L717" s="76" t="s">
        <v>112</v>
      </c>
      <c r="M717" s="76" t="s">
        <v>112</v>
      </c>
      <c r="N717" s="76" t="s">
        <v>112</v>
      </c>
      <c r="O717" s="76" t="s">
        <v>112</v>
      </c>
      <c r="P717" s="76" t="s">
        <v>112</v>
      </c>
      <c r="Q717" s="76" t="s">
        <v>112</v>
      </c>
      <c r="R717" s="76" t="s">
        <v>112</v>
      </c>
      <c r="S717" s="76" t="s">
        <v>112</v>
      </c>
      <c r="T717" s="76" t="s">
        <v>112</v>
      </c>
      <c r="U717" s="76" t="s">
        <v>112</v>
      </c>
      <c r="V717" s="76" t="s">
        <v>112</v>
      </c>
      <c r="W717" s="76" t="s">
        <v>112</v>
      </c>
      <c r="X717" s="76" t="s">
        <v>112</v>
      </c>
      <c r="Y717" s="76" t="s">
        <v>112</v>
      </c>
      <c r="Z717" s="76" t="s">
        <v>112</v>
      </c>
      <c r="AA717" s="76" t="s">
        <v>112</v>
      </c>
      <c r="AB717" s="76" t="s">
        <v>112</v>
      </c>
      <c r="AC717" s="76" t="s">
        <v>112</v>
      </c>
      <c r="AD717" s="76" t="s">
        <v>112</v>
      </c>
      <c r="AE717" s="76">
        <v>0.88</v>
      </c>
      <c r="AF717" s="76">
        <v>0.88</v>
      </c>
      <c r="AG717" s="76">
        <v>0.88</v>
      </c>
      <c r="AH717" s="76">
        <v>0.88</v>
      </c>
      <c r="AI717" s="76">
        <v>0.88</v>
      </c>
      <c r="AJ717" s="76">
        <v>0.88</v>
      </c>
      <c r="AK717" s="76">
        <v>0.88</v>
      </c>
      <c r="AL717" s="76">
        <v>0.88</v>
      </c>
      <c r="AM717" s="76">
        <v>0.88</v>
      </c>
      <c r="AN717" s="76">
        <v>0.88</v>
      </c>
      <c r="AO717" s="76">
        <v>0.88</v>
      </c>
      <c r="AP717" s="76">
        <v>0.88</v>
      </c>
      <c r="AQ717" s="76">
        <v>0.88</v>
      </c>
      <c r="AR717" s="76">
        <v>0.88</v>
      </c>
      <c r="AS717" s="76">
        <v>0.88</v>
      </c>
      <c r="AT717" s="76">
        <v>0.88</v>
      </c>
      <c r="AU717" s="76">
        <v>0.88</v>
      </c>
      <c r="AV717" s="76">
        <v>0.88</v>
      </c>
      <c r="AW717" s="76">
        <v>0.88</v>
      </c>
      <c r="AX717" s="84">
        <v>0.88</v>
      </c>
    </row>
    <row r="718" spans="1:50" x14ac:dyDescent="0.25">
      <c r="A718" s="356"/>
      <c r="B718" s="362"/>
      <c r="C718" s="354"/>
      <c r="D718" s="4" t="s">
        <v>8</v>
      </c>
      <c r="E718" s="168" t="str">
        <f>A693&amp;"/"&amp;B709&amp;"/"&amp;C717&amp;"/"&amp;D718</f>
        <v>Coal fired power plants/Fluidized bed combustion/CHP with CCS/M</v>
      </c>
      <c r="F718" s="80" t="str">
        <f>A693</f>
        <v>Coal fired power plants</v>
      </c>
      <c r="G718" s="80" t="str">
        <f>B709</f>
        <v>Fluidized bed combustion</v>
      </c>
      <c r="H718" s="80" t="str">
        <f>C717</f>
        <v>CHP with CCS</v>
      </c>
      <c r="I718" s="169" t="str">
        <f t="shared" si="88"/>
        <v>M</v>
      </c>
      <c r="J718" s="80" t="s">
        <v>112</v>
      </c>
      <c r="K718" s="80" t="s">
        <v>112</v>
      </c>
      <c r="L718" s="80" t="s">
        <v>112</v>
      </c>
      <c r="M718" s="80" t="s">
        <v>112</v>
      </c>
      <c r="N718" s="80" t="s">
        <v>112</v>
      </c>
      <c r="O718" s="80" t="s">
        <v>112</v>
      </c>
      <c r="P718" s="80" t="s">
        <v>112</v>
      </c>
      <c r="Q718" s="80" t="s">
        <v>112</v>
      </c>
      <c r="R718" s="80" t="s">
        <v>112</v>
      </c>
      <c r="S718" s="80" t="s">
        <v>112</v>
      </c>
      <c r="T718" s="80" t="s">
        <v>112</v>
      </c>
      <c r="U718" s="80" t="s">
        <v>112</v>
      </c>
      <c r="V718" s="80" t="s">
        <v>112</v>
      </c>
      <c r="W718" s="80" t="s">
        <v>112</v>
      </c>
      <c r="X718" s="80" t="s">
        <v>112</v>
      </c>
      <c r="Y718" s="80" t="s">
        <v>112</v>
      </c>
      <c r="Z718" s="80" t="s">
        <v>112</v>
      </c>
      <c r="AA718" s="80" t="s">
        <v>112</v>
      </c>
      <c r="AB718" s="80" t="s">
        <v>112</v>
      </c>
      <c r="AC718" s="80" t="s">
        <v>112</v>
      </c>
      <c r="AD718" s="80" t="s">
        <v>112</v>
      </c>
      <c r="AE718" s="80">
        <v>0.88</v>
      </c>
      <c r="AF718" s="80">
        <v>0.88</v>
      </c>
      <c r="AG718" s="80">
        <v>0.88</v>
      </c>
      <c r="AH718" s="80">
        <v>0.88</v>
      </c>
      <c r="AI718" s="80">
        <v>0.88</v>
      </c>
      <c r="AJ718" s="80">
        <v>0.88</v>
      </c>
      <c r="AK718" s="80">
        <v>0.88</v>
      </c>
      <c r="AL718" s="80">
        <v>0.88</v>
      </c>
      <c r="AM718" s="80">
        <v>0.88</v>
      </c>
      <c r="AN718" s="80">
        <v>0.88</v>
      </c>
      <c r="AO718" s="80">
        <v>0.88</v>
      </c>
      <c r="AP718" s="80">
        <v>0.88</v>
      </c>
      <c r="AQ718" s="80">
        <v>0.88</v>
      </c>
      <c r="AR718" s="80">
        <v>0.88</v>
      </c>
      <c r="AS718" s="80">
        <v>0.88</v>
      </c>
      <c r="AT718" s="80">
        <v>0.88</v>
      </c>
      <c r="AU718" s="80">
        <v>0.88</v>
      </c>
      <c r="AV718" s="80">
        <v>0.88</v>
      </c>
      <c r="AW718" s="80">
        <v>0.88</v>
      </c>
      <c r="AX718" s="88">
        <v>0.88</v>
      </c>
    </row>
    <row r="719" spans="1:50" x14ac:dyDescent="0.25">
      <c r="A719" s="356"/>
      <c r="B719" s="358" t="s">
        <v>19</v>
      </c>
      <c r="C719" s="353" t="s">
        <v>6</v>
      </c>
      <c r="D719" s="3" t="s">
        <v>7</v>
      </c>
      <c r="E719" s="162" t="str">
        <f>A693&amp;"/"&amp;B719&amp;"/"&amp;C719&amp;"/"&amp;D719</f>
        <v>Coal fired power plants/Steam turbine/Electricity only/L</v>
      </c>
      <c r="F719" s="77" t="str">
        <f>A693</f>
        <v>Coal fired power plants</v>
      </c>
      <c r="G719" s="77" t="str">
        <f>B719</f>
        <v>Steam turbine</v>
      </c>
      <c r="H719" s="77" t="str">
        <f>C719</f>
        <v>Electricity only</v>
      </c>
      <c r="I719" s="163" t="str">
        <f t="shared" si="88"/>
        <v>L</v>
      </c>
      <c r="J719" s="77">
        <v>0.92</v>
      </c>
      <c r="K719" s="77">
        <v>0.92</v>
      </c>
      <c r="L719" s="77">
        <v>0.92</v>
      </c>
      <c r="M719" s="77">
        <v>0.92</v>
      </c>
      <c r="N719" s="77">
        <v>0.92</v>
      </c>
      <c r="O719" s="77">
        <v>0.92</v>
      </c>
      <c r="P719" s="77">
        <v>0.92</v>
      </c>
      <c r="Q719" s="77">
        <v>0.92</v>
      </c>
      <c r="R719" s="77">
        <v>0.92</v>
      </c>
      <c r="S719" s="77">
        <v>0.92</v>
      </c>
      <c r="T719" s="77">
        <v>0.92</v>
      </c>
      <c r="U719" s="77">
        <v>0.92</v>
      </c>
      <c r="V719" s="77">
        <v>0.92</v>
      </c>
      <c r="W719" s="77">
        <v>0.92</v>
      </c>
      <c r="X719" s="77">
        <v>0.92</v>
      </c>
      <c r="Y719" s="77">
        <v>0.92</v>
      </c>
      <c r="Z719" s="77">
        <v>0.92</v>
      </c>
      <c r="AA719" s="77">
        <v>0.92</v>
      </c>
      <c r="AB719" s="77">
        <v>0.92</v>
      </c>
      <c r="AC719" s="77">
        <v>0.92</v>
      </c>
      <c r="AD719" s="77">
        <v>0.92</v>
      </c>
      <c r="AE719" s="77">
        <v>0.92</v>
      </c>
      <c r="AF719" s="77">
        <v>0.92</v>
      </c>
      <c r="AG719" s="77">
        <v>0.92</v>
      </c>
      <c r="AH719" s="77">
        <v>0.92</v>
      </c>
      <c r="AI719" s="77">
        <v>0.92</v>
      </c>
      <c r="AJ719" s="77">
        <v>0.92</v>
      </c>
      <c r="AK719" s="77">
        <v>0.92</v>
      </c>
      <c r="AL719" s="77">
        <v>0.92</v>
      </c>
      <c r="AM719" s="77">
        <v>0.92</v>
      </c>
      <c r="AN719" s="77">
        <v>0.92</v>
      </c>
      <c r="AO719" s="77">
        <v>0.92</v>
      </c>
      <c r="AP719" s="77">
        <v>0.92</v>
      </c>
      <c r="AQ719" s="77">
        <v>0.92</v>
      </c>
      <c r="AR719" s="77">
        <v>0.92</v>
      </c>
      <c r="AS719" s="77">
        <v>0.92</v>
      </c>
      <c r="AT719" s="77">
        <v>0.92</v>
      </c>
      <c r="AU719" s="77">
        <v>0.92</v>
      </c>
      <c r="AV719" s="77">
        <v>0.92</v>
      </c>
      <c r="AW719" s="77">
        <v>0.92</v>
      </c>
      <c r="AX719" s="85">
        <v>0.92</v>
      </c>
    </row>
    <row r="720" spans="1:50" x14ac:dyDescent="0.25">
      <c r="A720" s="356"/>
      <c r="B720" s="359"/>
      <c r="C720" s="350"/>
      <c r="D720" s="2" t="s">
        <v>8</v>
      </c>
      <c r="E720" s="160" t="str">
        <f>A693&amp;"/"&amp;B719&amp;"/"&amp;C719&amp;"/"&amp;D720</f>
        <v>Coal fired power plants/Steam turbine/Electricity only/M</v>
      </c>
      <c r="F720" s="76" t="str">
        <f>A693</f>
        <v>Coal fired power plants</v>
      </c>
      <c r="G720" s="76" t="str">
        <f>B719</f>
        <v>Steam turbine</v>
      </c>
      <c r="H720" s="76" t="str">
        <f>C719</f>
        <v>Electricity only</v>
      </c>
      <c r="I720" s="161" t="str">
        <f t="shared" si="88"/>
        <v>M</v>
      </c>
      <c r="J720" s="76">
        <v>0.92</v>
      </c>
      <c r="K720" s="76">
        <v>0.92</v>
      </c>
      <c r="L720" s="76">
        <v>0.92</v>
      </c>
      <c r="M720" s="76">
        <v>0.92</v>
      </c>
      <c r="N720" s="76">
        <v>0.92</v>
      </c>
      <c r="O720" s="76">
        <v>0.92</v>
      </c>
      <c r="P720" s="76">
        <v>0.92</v>
      </c>
      <c r="Q720" s="76">
        <v>0.92</v>
      </c>
      <c r="R720" s="76">
        <v>0.92</v>
      </c>
      <c r="S720" s="76">
        <v>0.92</v>
      </c>
      <c r="T720" s="76">
        <v>0.92</v>
      </c>
      <c r="U720" s="76">
        <v>0.92</v>
      </c>
      <c r="V720" s="76">
        <v>0.92</v>
      </c>
      <c r="W720" s="76">
        <v>0.92</v>
      </c>
      <c r="X720" s="76">
        <v>0.92</v>
      </c>
      <c r="Y720" s="76">
        <v>0.92</v>
      </c>
      <c r="Z720" s="76">
        <v>0.92</v>
      </c>
      <c r="AA720" s="76">
        <v>0.92</v>
      </c>
      <c r="AB720" s="76">
        <v>0.92</v>
      </c>
      <c r="AC720" s="76">
        <v>0.92</v>
      </c>
      <c r="AD720" s="76">
        <v>0.92</v>
      </c>
      <c r="AE720" s="76">
        <v>0.92</v>
      </c>
      <c r="AF720" s="76">
        <v>0.92</v>
      </c>
      <c r="AG720" s="76">
        <v>0.92</v>
      </c>
      <c r="AH720" s="76">
        <v>0.92</v>
      </c>
      <c r="AI720" s="76">
        <v>0.92</v>
      </c>
      <c r="AJ720" s="76">
        <v>0.92</v>
      </c>
      <c r="AK720" s="76">
        <v>0.92</v>
      </c>
      <c r="AL720" s="76">
        <v>0.92</v>
      </c>
      <c r="AM720" s="76">
        <v>0.92</v>
      </c>
      <c r="AN720" s="76">
        <v>0.92</v>
      </c>
      <c r="AO720" s="76">
        <v>0.92</v>
      </c>
      <c r="AP720" s="76">
        <v>0.92</v>
      </c>
      <c r="AQ720" s="76">
        <v>0.92</v>
      </c>
      <c r="AR720" s="76">
        <v>0.92</v>
      </c>
      <c r="AS720" s="76">
        <v>0.92</v>
      </c>
      <c r="AT720" s="76">
        <v>0.92</v>
      </c>
      <c r="AU720" s="76">
        <v>0.92</v>
      </c>
      <c r="AV720" s="76">
        <v>0.92</v>
      </c>
      <c r="AW720" s="76">
        <v>0.92</v>
      </c>
      <c r="AX720" s="84">
        <v>0.92</v>
      </c>
    </row>
    <row r="721" spans="1:50" x14ac:dyDescent="0.25">
      <c r="A721" s="356"/>
      <c r="B721" s="359"/>
      <c r="C721" s="350"/>
      <c r="D721" s="2" t="s">
        <v>10</v>
      </c>
      <c r="E721" s="160" t="str">
        <f>A693&amp;"/"&amp;B719&amp;"/"&amp;C719&amp;"/"&amp;D721</f>
        <v>Coal fired power plants/Steam turbine/Electricity only/S</v>
      </c>
      <c r="F721" s="76" t="str">
        <f>A693</f>
        <v>Coal fired power plants</v>
      </c>
      <c r="G721" s="76" t="str">
        <f>B719</f>
        <v>Steam turbine</v>
      </c>
      <c r="H721" s="76" t="str">
        <f>C719</f>
        <v>Electricity only</v>
      </c>
      <c r="I721" s="161" t="str">
        <f t="shared" si="88"/>
        <v>S</v>
      </c>
      <c r="J721" s="76">
        <v>0.92</v>
      </c>
      <c r="K721" s="76">
        <v>0.92</v>
      </c>
      <c r="L721" s="76">
        <v>0.92</v>
      </c>
      <c r="M721" s="76">
        <v>0.92</v>
      </c>
      <c r="N721" s="76">
        <v>0.92</v>
      </c>
      <c r="O721" s="76">
        <v>0.92</v>
      </c>
      <c r="P721" s="76">
        <v>0.92</v>
      </c>
      <c r="Q721" s="76">
        <v>0.92</v>
      </c>
      <c r="R721" s="76">
        <v>0.92</v>
      </c>
      <c r="S721" s="76">
        <v>0.92</v>
      </c>
      <c r="T721" s="76">
        <v>0.92</v>
      </c>
      <c r="U721" s="76">
        <v>0.92</v>
      </c>
      <c r="V721" s="76">
        <v>0.92</v>
      </c>
      <c r="W721" s="76">
        <v>0.92</v>
      </c>
      <c r="X721" s="76">
        <v>0.92</v>
      </c>
      <c r="Y721" s="76">
        <v>0.92</v>
      </c>
      <c r="Z721" s="76">
        <v>0.92</v>
      </c>
      <c r="AA721" s="76">
        <v>0.92</v>
      </c>
      <c r="AB721" s="76">
        <v>0.92</v>
      </c>
      <c r="AC721" s="76">
        <v>0.92</v>
      </c>
      <c r="AD721" s="76">
        <v>0.92</v>
      </c>
      <c r="AE721" s="76">
        <v>0.92</v>
      </c>
      <c r="AF721" s="76">
        <v>0.92</v>
      </c>
      <c r="AG721" s="76">
        <v>0.92</v>
      </c>
      <c r="AH721" s="76">
        <v>0.92</v>
      </c>
      <c r="AI721" s="76">
        <v>0.92</v>
      </c>
      <c r="AJ721" s="76">
        <v>0.92</v>
      </c>
      <c r="AK721" s="76">
        <v>0.92</v>
      </c>
      <c r="AL721" s="76">
        <v>0.92</v>
      </c>
      <c r="AM721" s="76">
        <v>0.92</v>
      </c>
      <c r="AN721" s="76">
        <v>0.92</v>
      </c>
      <c r="AO721" s="76">
        <v>0.92</v>
      </c>
      <c r="AP721" s="76">
        <v>0.92</v>
      </c>
      <c r="AQ721" s="76">
        <v>0.92</v>
      </c>
      <c r="AR721" s="76">
        <v>0.92</v>
      </c>
      <c r="AS721" s="76">
        <v>0.92</v>
      </c>
      <c r="AT721" s="76">
        <v>0.92</v>
      </c>
      <c r="AU721" s="76">
        <v>0.92</v>
      </c>
      <c r="AV721" s="76">
        <v>0.92</v>
      </c>
      <c r="AW721" s="76">
        <v>0.92</v>
      </c>
      <c r="AX721" s="84">
        <v>0.92</v>
      </c>
    </row>
    <row r="722" spans="1:50" x14ac:dyDescent="0.25">
      <c r="A722" s="356"/>
      <c r="B722" s="359"/>
      <c r="C722" s="360"/>
      <c r="D722" s="2" t="s">
        <v>20</v>
      </c>
      <c r="E722" s="160" t="str">
        <f>A693&amp;"/"&amp;B719&amp;"/"&amp;C719&amp;"/"&amp;D722</f>
        <v>Coal fired power plants/Steam turbine/Electricity only/XS</v>
      </c>
      <c r="F722" s="76" t="str">
        <f>A693</f>
        <v>Coal fired power plants</v>
      </c>
      <c r="G722" s="76" t="str">
        <f>B719</f>
        <v>Steam turbine</v>
      </c>
      <c r="H722" s="76" t="str">
        <f>C719</f>
        <v>Electricity only</v>
      </c>
      <c r="I722" s="161" t="str">
        <f t="shared" si="88"/>
        <v>XS</v>
      </c>
      <c r="J722" s="76">
        <v>0.92</v>
      </c>
      <c r="K722" s="76">
        <v>0.92</v>
      </c>
      <c r="L722" s="76">
        <v>0.92</v>
      </c>
      <c r="M722" s="76">
        <v>0.92</v>
      </c>
      <c r="N722" s="76">
        <v>0.92</v>
      </c>
      <c r="O722" s="76">
        <v>0.92</v>
      </c>
      <c r="P722" s="76">
        <v>0.92</v>
      </c>
      <c r="Q722" s="76">
        <v>0.92</v>
      </c>
      <c r="R722" s="76">
        <v>0.92</v>
      </c>
      <c r="S722" s="76">
        <v>0.92</v>
      </c>
      <c r="T722" s="76">
        <v>0.92</v>
      </c>
      <c r="U722" s="76">
        <v>0.92</v>
      </c>
      <c r="V722" s="76">
        <v>0.92</v>
      </c>
      <c r="W722" s="76">
        <v>0.92</v>
      </c>
      <c r="X722" s="76">
        <v>0.92</v>
      </c>
      <c r="Y722" s="76">
        <v>0.92</v>
      </c>
      <c r="Z722" s="76">
        <v>0.92</v>
      </c>
      <c r="AA722" s="76">
        <v>0.92</v>
      </c>
      <c r="AB722" s="76">
        <v>0.92</v>
      </c>
      <c r="AC722" s="76">
        <v>0.92</v>
      </c>
      <c r="AD722" s="76">
        <v>0.92</v>
      </c>
      <c r="AE722" s="76">
        <v>0.92</v>
      </c>
      <c r="AF722" s="76">
        <v>0.92</v>
      </c>
      <c r="AG722" s="76">
        <v>0.92</v>
      </c>
      <c r="AH722" s="76">
        <v>0.92</v>
      </c>
      <c r="AI722" s="76">
        <v>0.92</v>
      </c>
      <c r="AJ722" s="76">
        <v>0.92</v>
      </c>
      <c r="AK722" s="76">
        <v>0.92</v>
      </c>
      <c r="AL722" s="76">
        <v>0.92</v>
      </c>
      <c r="AM722" s="76">
        <v>0.92</v>
      </c>
      <c r="AN722" s="76">
        <v>0.92</v>
      </c>
      <c r="AO722" s="76">
        <v>0.92</v>
      </c>
      <c r="AP722" s="76">
        <v>0.92</v>
      </c>
      <c r="AQ722" s="76">
        <v>0.92</v>
      </c>
      <c r="AR722" s="76">
        <v>0.92</v>
      </c>
      <c r="AS722" s="76">
        <v>0.92</v>
      </c>
      <c r="AT722" s="76">
        <v>0.92</v>
      </c>
      <c r="AU722" s="76">
        <v>0.92</v>
      </c>
      <c r="AV722" s="76">
        <v>0.92</v>
      </c>
      <c r="AW722" s="76">
        <v>0.92</v>
      </c>
      <c r="AX722" s="84">
        <v>0.92</v>
      </c>
    </row>
    <row r="723" spans="1:50" x14ac:dyDescent="0.25">
      <c r="A723" s="356"/>
      <c r="B723" s="359"/>
      <c r="C723" s="361" t="s">
        <v>14</v>
      </c>
      <c r="D723" s="58" t="s">
        <v>7</v>
      </c>
      <c r="E723" s="164" t="str">
        <f>A693&amp;"/"&amp;B719&amp;"/"&amp;C723&amp;"/"&amp;D723</f>
        <v>Coal fired power plants/Steam turbine/CHP/L</v>
      </c>
      <c r="F723" s="78" t="str">
        <f>A693</f>
        <v>Coal fired power plants</v>
      </c>
      <c r="G723" s="78" t="str">
        <f>B719</f>
        <v>Steam turbine</v>
      </c>
      <c r="H723" s="78" t="str">
        <f>C723</f>
        <v>CHP</v>
      </c>
      <c r="I723" s="165" t="str">
        <f t="shared" si="88"/>
        <v>L</v>
      </c>
      <c r="J723" s="78">
        <v>0.92</v>
      </c>
      <c r="K723" s="78">
        <v>0.92</v>
      </c>
      <c r="L723" s="78">
        <v>0.92</v>
      </c>
      <c r="M723" s="78">
        <v>0.92</v>
      </c>
      <c r="N723" s="78">
        <v>0.92</v>
      </c>
      <c r="O723" s="78">
        <v>0.92</v>
      </c>
      <c r="P723" s="78">
        <v>0.92</v>
      </c>
      <c r="Q723" s="78">
        <v>0.92</v>
      </c>
      <c r="R723" s="78">
        <v>0.92</v>
      </c>
      <c r="S723" s="78">
        <v>0.92</v>
      </c>
      <c r="T723" s="78">
        <v>0.92</v>
      </c>
      <c r="U723" s="78">
        <v>0.92</v>
      </c>
      <c r="V723" s="78">
        <v>0.92</v>
      </c>
      <c r="W723" s="78">
        <v>0.92</v>
      </c>
      <c r="X723" s="78">
        <v>0.92</v>
      </c>
      <c r="Y723" s="78">
        <v>0.92</v>
      </c>
      <c r="Z723" s="78">
        <v>0.92</v>
      </c>
      <c r="AA723" s="78">
        <v>0.92</v>
      </c>
      <c r="AB723" s="78">
        <v>0.92</v>
      </c>
      <c r="AC723" s="78">
        <v>0.92</v>
      </c>
      <c r="AD723" s="78">
        <v>0.92</v>
      </c>
      <c r="AE723" s="78">
        <v>0.92</v>
      </c>
      <c r="AF723" s="78">
        <v>0.92</v>
      </c>
      <c r="AG723" s="78">
        <v>0.92</v>
      </c>
      <c r="AH723" s="78">
        <v>0.92</v>
      </c>
      <c r="AI723" s="78">
        <v>0.92</v>
      </c>
      <c r="AJ723" s="78">
        <v>0.92</v>
      </c>
      <c r="AK723" s="78">
        <v>0.92</v>
      </c>
      <c r="AL723" s="78">
        <v>0.92</v>
      </c>
      <c r="AM723" s="78">
        <v>0.92</v>
      </c>
      <c r="AN723" s="78">
        <v>0.92</v>
      </c>
      <c r="AO723" s="78">
        <v>0.92</v>
      </c>
      <c r="AP723" s="78">
        <v>0.92</v>
      </c>
      <c r="AQ723" s="78">
        <v>0.92</v>
      </c>
      <c r="AR723" s="78">
        <v>0.92</v>
      </c>
      <c r="AS723" s="78">
        <v>0.92</v>
      </c>
      <c r="AT723" s="78">
        <v>0.92</v>
      </c>
      <c r="AU723" s="78">
        <v>0.92</v>
      </c>
      <c r="AV723" s="78">
        <v>0.92</v>
      </c>
      <c r="AW723" s="78">
        <v>0.92</v>
      </c>
      <c r="AX723" s="86">
        <v>0.92</v>
      </c>
    </row>
    <row r="724" spans="1:50" x14ac:dyDescent="0.25">
      <c r="A724" s="356"/>
      <c r="B724" s="359"/>
      <c r="C724" s="350"/>
      <c r="D724" s="2" t="s">
        <v>8</v>
      </c>
      <c r="E724" s="160" t="str">
        <f>A693&amp;"/"&amp;B719&amp;"/"&amp;C723&amp;"/"&amp;D724</f>
        <v>Coal fired power plants/Steam turbine/CHP/M</v>
      </c>
      <c r="F724" s="76" t="str">
        <f>A693</f>
        <v>Coal fired power plants</v>
      </c>
      <c r="G724" s="76" t="str">
        <f>B719</f>
        <v>Steam turbine</v>
      </c>
      <c r="H724" s="76" t="str">
        <f>C723</f>
        <v>CHP</v>
      </c>
      <c r="I724" s="161" t="str">
        <f t="shared" si="88"/>
        <v>M</v>
      </c>
      <c r="J724" s="76">
        <v>0.92</v>
      </c>
      <c r="K724" s="76">
        <v>0.92</v>
      </c>
      <c r="L724" s="76">
        <v>0.92</v>
      </c>
      <c r="M724" s="76">
        <v>0.92</v>
      </c>
      <c r="N724" s="76">
        <v>0.92</v>
      </c>
      <c r="O724" s="76">
        <v>0.92</v>
      </c>
      <c r="P724" s="76">
        <v>0.92</v>
      </c>
      <c r="Q724" s="76">
        <v>0.92</v>
      </c>
      <c r="R724" s="76">
        <v>0.92</v>
      </c>
      <c r="S724" s="76">
        <v>0.92</v>
      </c>
      <c r="T724" s="76">
        <v>0.92</v>
      </c>
      <c r="U724" s="76">
        <v>0.92</v>
      </c>
      <c r="V724" s="76">
        <v>0.92</v>
      </c>
      <c r="W724" s="76">
        <v>0.92</v>
      </c>
      <c r="X724" s="76">
        <v>0.92</v>
      </c>
      <c r="Y724" s="76">
        <v>0.92</v>
      </c>
      <c r="Z724" s="76">
        <v>0.92</v>
      </c>
      <c r="AA724" s="76">
        <v>0.92</v>
      </c>
      <c r="AB724" s="76">
        <v>0.92</v>
      </c>
      <c r="AC724" s="76">
        <v>0.92</v>
      </c>
      <c r="AD724" s="76">
        <v>0.92</v>
      </c>
      <c r="AE724" s="76">
        <v>0.92</v>
      </c>
      <c r="AF724" s="76">
        <v>0.92</v>
      </c>
      <c r="AG724" s="76">
        <v>0.92</v>
      </c>
      <c r="AH724" s="76">
        <v>0.92</v>
      </c>
      <c r="AI724" s="76">
        <v>0.92</v>
      </c>
      <c r="AJ724" s="76">
        <v>0.92</v>
      </c>
      <c r="AK724" s="76">
        <v>0.92</v>
      </c>
      <c r="AL724" s="76">
        <v>0.92</v>
      </c>
      <c r="AM724" s="76">
        <v>0.92</v>
      </c>
      <c r="AN724" s="76">
        <v>0.92</v>
      </c>
      <c r="AO724" s="76">
        <v>0.92</v>
      </c>
      <c r="AP724" s="76">
        <v>0.92</v>
      </c>
      <c r="AQ724" s="76">
        <v>0.92</v>
      </c>
      <c r="AR724" s="76">
        <v>0.92</v>
      </c>
      <c r="AS724" s="76">
        <v>0.92</v>
      </c>
      <c r="AT724" s="76">
        <v>0.92</v>
      </c>
      <c r="AU724" s="76">
        <v>0.92</v>
      </c>
      <c r="AV724" s="76">
        <v>0.92</v>
      </c>
      <c r="AW724" s="76">
        <v>0.92</v>
      </c>
      <c r="AX724" s="84">
        <v>0.92</v>
      </c>
    </row>
    <row r="725" spans="1:50" x14ac:dyDescent="0.25">
      <c r="A725" s="356"/>
      <c r="B725" s="359"/>
      <c r="C725" s="350"/>
      <c r="D725" s="2" t="s">
        <v>10</v>
      </c>
      <c r="E725" s="160" t="str">
        <f>A693&amp;"/"&amp;B719&amp;"/"&amp;C723&amp;"/"&amp;D725</f>
        <v>Coal fired power plants/Steam turbine/CHP/S</v>
      </c>
      <c r="F725" s="76" t="str">
        <f>A693</f>
        <v>Coal fired power plants</v>
      </c>
      <c r="G725" s="76" t="str">
        <f>B719</f>
        <v>Steam turbine</v>
      </c>
      <c r="H725" s="76" t="str">
        <f>C723</f>
        <v>CHP</v>
      </c>
      <c r="I725" s="161" t="str">
        <f t="shared" si="88"/>
        <v>S</v>
      </c>
      <c r="J725" s="76">
        <v>0.92</v>
      </c>
      <c r="K725" s="76">
        <v>0.92</v>
      </c>
      <c r="L725" s="76">
        <v>0.92</v>
      </c>
      <c r="M725" s="76">
        <v>0.92</v>
      </c>
      <c r="N725" s="76">
        <v>0.92</v>
      </c>
      <c r="O725" s="76">
        <v>0.92</v>
      </c>
      <c r="P725" s="76">
        <v>0.92</v>
      </c>
      <c r="Q725" s="76">
        <v>0.92</v>
      </c>
      <c r="R725" s="76">
        <v>0.92</v>
      </c>
      <c r="S725" s="76">
        <v>0.92</v>
      </c>
      <c r="T725" s="76">
        <v>0.92</v>
      </c>
      <c r="U725" s="76">
        <v>0.92</v>
      </c>
      <c r="V725" s="76">
        <v>0.92</v>
      </c>
      <c r="W725" s="76">
        <v>0.92</v>
      </c>
      <c r="X725" s="76">
        <v>0.92</v>
      </c>
      <c r="Y725" s="76">
        <v>0.92</v>
      </c>
      <c r="Z725" s="76">
        <v>0.92</v>
      </c>
      <c r="AA725" s="76">
        <v>0.92</v>
      </c>
      <c r="AB725" s="76">
        <v>0.92</v>
      </c>
      <c r="AC725" s="76">
        <v>0.92</v>
      </c>
      <c r="AD725" s="76">
        <v>0.92</v>
      </c>
      <c r="AE725" s="76">
        <v>0.92</v>
      </c>
      <c r="AF725" s="76">
        <v>0.92</v>
      </c>
      <c r="AG725" s="76">
        <v>0.92</v>
      </c>
      <c r="AH725" s="76">
        <v>0.92</v>
      </c>
      <c r="AI725" s="76">
        <v>0.92</v>
      </c>
      <c r="AJ725" s="76">
        <v>0.92</v>
      </c>
      <c r="AK725" s="76">
        <v>0.92</v>
      </c>
      <c r="AL725" s="76">
        <v>0.92</v>
      </c>
      <c r="AM725" s="76">
        <v>0.92</v>
      </c>
      <c r="AN725" s="76">
        <v>0.92</v>
      </c>
      <c r="AO725" s="76">
        <v>0.92</v>
      </c>
      <c r="AP725" s="76">
        <v>0.92</v>
      </c>
      <c r="AQ725" s="76">
        <v>0.92</v>
      </c>
      <c r="AR725" s="76">
        <v>0.92</v>
      </c>
      <c r="AS725" s="76">
        <v>0.92</v>
      </c>
      <c r="AT725" s="76">
        <v>0.92</v>
      </c>
      <c r="AU725" s="76">
        <v>0.92</v>
      </c>
      <c r="AV725" s="76">
        <v>0.92</v>
      </c>
      <c r="AW725" s="76">
        <v>0.92</v>
      </c>
      <c r="AX725" s="84">
        <v>0.92</v>
      </c>
    </row>
    <row r="726" spans="1:50" x14ac:dyDescent="0.25">
      <c r="A726" s="356"/>
      <c r="B726" s="359"/>
      <c r="C726" s="360"/>
      <c r="D726" s="59" t="s">
        <v>20</v>
      </c>
      <c r="E726" s="166" t="str">
        <f>A693&amp;"/"&amp;B719&amp;"/"&amp;C723&amp;"/"&amp;D726</f>
        <v>Coal fired power plants/Steam turbine/CHP/XS</v>
      </c>
      <c r="F726" s="79" t="str">
        <f>A693</f>
        <v>Coal fired power plants</v>
      </c>
      <c r="G726" s="79" t="str">
        <f>B719</f>
        <v>Steam turbine</v>
      </c>
      <c r="H726" s="79" t="str">
        <f>C723</f>
        <v>CHP</v>
      </c>
      <c r="I726" s="167" t="str">
        <f t="shared" si="88"/>
        <v>XS</v>
      </c>
      <c r="J726" s="79">
        <v>0.92</v>
      </c>
      <c r="K726" s="79">
        <v>0.92</v>
      </c>
      <c r="L726" s="79">
        <v>0.92</v>
      </c>
      <c r="M726" s="79">
        <v>0.92</v>
      </c>
      <c r="N726" s="79">
        <v>0.92</v>
      </c>
      <c r="O726" s="79">
        <v>0.92</v>
      </c>
      <c r="P726" s="79">
        <v>0.92</v>
      </c>
      <c r="Q726" s="79">
        <v>0.92</v>
      </c>
      <c r="R726" s="79">
        <v>0.92</v>
      </c>
      <c r="S726" s="79">
        <v>0.92</v>
      </c>
      <c r="T726" s="79">
        <v>0.92</v>
      </c>
      <c r="U726" s="79">
        <v>0.92</v>
      </c>
      <c r="V726" s="79">
        <v>0.92</v>
      </c>
      <c r="W726" s="79">
        <v>0.92</v>
      </c>
      <c r="X726" s="79">
        <v>0.92</v>
      </c>
      <c r="Y726" s="79">
        <v>0.92</v>
      </c>
      <c r="Z726" s="79">
        <v>0.92</v>
      </c>
      <c r="AA726" s="79">
        <v>0.92</v>
      </c>
      <c r="AB726" s="79">
        <v>0.92</v>
      </c>
      <c r="AC726" s="79">
        <v>0.92</v>
      </c>
      <c r="AD726" s="79">
        <v>0.92</v>
      </c>
      <c r="AE726" s="79">
        <v>0.92</v>
      </c>
      <c r="AF726" s="79">
        <v>0.92</v>
      </c>
      <c r="AG726" s="79">
        <v>0.92</v>
      </c>
      <c r="AH726" s="79">
        <v>0.92</v>
      </c>
      <c r="AI726" s="79">
        <v>0.92</v>
      </c>
      <c r="AJ726" s="79">
        <v>0.92</v>
      </c>
      <c r="AK726" s="79">
        <v>0.92</v>
      </c>
      <c r="AL726" s="79">
        <v>0.92</v>
      </c>
      <c r="AM726" s="79">
        <v>0.92</v>
      </c>
      <c r="AN726" s="79">
        <v>0.92</v>
      </c>
      <c r="AO726" s="79">
        <v>0.92</v>
      </c>
      <c r="AP726" s="79">
        <v>0.92</v>
      </c>
      <c r="AQ726" s="79">
        <v>0.92</v>
      </c>
      <c r="AR726" s="79">
        <v>0.92</v>
      </c>
      <c r="AS726" s="79">
        <v>0.92</v>
      </c>
      <c r="AT726" s="79">
        <v>0.92</v>
      </c>
      <c r="AU726" s="79">
        <v>0.92</v>
      </c>
      <c r="AV726" s="79">
        <v>0.92</v>
      </c>
      <c r="AW726" s="79">
        <v>0.92</v>
      </c>
      <c r="AX726" s="87">
        <v>0.92</v>
      </c>
    </row>
    <row r="727" spans="1:50" x14ac:dyDescent="0.25">
      <c r="A727" s="356"/>
      <c r="B727" s="359"/>
      <c r="C727" s="361" t="s">
        <v>15</v>
      </c>
      <c r="D727" s="58" t="s">
        <v>7</v>
      </c>
      <c r="E727" s="164" t="str">
        <f>A693&amp;"/"&amp;B719&amp;"/"&amp;C727&amp;"/"&amp;D727</f>
        <v>Coal fired power plants/Steam turbine/Electricity only with CCS/L</v>
      </c>
      <c r="F727" s="78" t="str">
        <f>A693</f>
        <v>Coal fired power plants</v>
      </c>
      <c r="G727" s="78" t="str">
        <f>B719</f>
        <v>Steam turbine</v>
      </c>
      <c r="H727" s="78" t="str">
        <f>C727</f>
        <v>Electricity only with CCS</v>
      </c>
      <c r="I727" s="165" t="str">
        <f t="shared" si="88"/>
        <v>L</v>
      </c>
      <c r="J727" s="78" t="s">
        <v>112</v>
      </c>
      <c r="K727" s="78" t="s">
        <v>112</v>
      </c>
      <c r="L727" s="78" t="s">
        <v>112</v>
      </c>
      <c r="M727" s="78" t="s">
        <v>112</v>
      </c>
      <c r="N727" s="78" t="s">
        <v>112</v>
      </c>
      <c r="O727" s="78" t="s">
        <v>112</v>
      </c>
      <c r="P727" s="78" t="s">
        <v>112</v>
      </c>
      <c r="Q727" s="78" t="s">
        <v>112</v>
      </c>
      <c r="R727" s="78" t="s">
        <v>112</v>
      </c>
      <c r="S727" s="78" t="s">
        <v>112</v>
      </c>
      <c r="T727" s="78" t="s">
        <v>112</v>
      </c>
      <c r="U727" s="78" t="s">
        <v>112</v>
      </c>
      <c r="V727" s="78" t="s">
        <v>112</v>
      </c>
      <c r="W727" s="78" t="s">
        <v>112</v>
      </c>
      <c r="X727" s="78" t="s">
        <v>112</v>
      </c>
      <c r="Y727" s="78" t="s">
        <v>112</v>
      </c>
      <c r="Z727" s="78" t="s">
        <v>112</v>
      </c>
      <c r="AA727" s="78" t="s">
        <v>112</v>
      </c>
      <c r="AB727" s="78" t="s">
        <v>112</v>
      </c>
      <c r="AC727" s="78" t="s">
        <v>112</v>
      </c>
      <c r="AD727" s="78" t="s">
        <v>112</v>
      </c>
      <c r="AE727" s="78">
        <v>0.92</v>
      </c>
      <c r="AF727" s="78">
        <v>0.92</v>
      </c>
      <c r="AG727" s="78">
        <v>0.92</v>
      </c>
      <c r="AH727" s="78">
        <v>0.92</v>
      </c>
      <c r="AI727" s="78">
        <v>0.92</v>
      </c>
      <c r="AJ727" s="78">
        <v>0.92</v>
      </c>
      <c r="AK727" s="78">
        <v>0.92</v>
      </c>
      <c r="AL727" s="78">
        <v>0.92</v>
      </c>
      <c r="AM727" s="78">
        <v>0.92</v>
      </c>
      <c r="AN727" s="78">
        <v>0.92</v>
      </c>
      <c r="AO727" s="78">
        <v>0.92</v>
      </c>
      <c r="AP727" s="78">
        <v>0.92</v>
      </c>
      <c r="AQ727" s="78">
        <v>0.92</v>
      </c>
      <c r="AR727" s="78">
        <v>0.92</v>
      </c>
      <c r="AS727" s="78">
        <v>0.92</v>
      </c>
      <c r="AT727" s="78">
        <v>0.92</v>
      </c>
      <c r="AU727" s="78">
        <v>0.92</v>
      </c>
      <c r="AV727" s="78">
        <v>0.92</v>
      </c>
      <c r="AW727" s="78">
        <v>0.92</v>
      </c>
      <c r="AX727" s="86">
        <v>0.92</v>
      </c>
    </row>
    <row r="728" spans="1:50" x14ac:dyDescent="0.25">
      <c r="A728" s="356"/>
      <c r="B728" s="359"/>
      <c r="C728" s="360"/>
      <c r="D728" s="59" t="s">
        <v>8</v>
      </c>
      <c r="E728" s="166" t="str">
        <f>A693&amp;"/"&amp;B719&amp;"/"&amp;C727&amp;"/"&amp;D728</f>
        <v>Coal fired power plants/Steam turbine/Electricity only with CCS/M</v>
      </c>
      <c r="F728" s="79" t="str">
        <f>A693</f>
        <v>Coal fired power plants</v>
      </c>
      <c r="G728" s="79" t="str">
        <f>B719</f>
        <v>Steam turbine</v>
      </c>
      <c r="H728" s="79" t="str">
        <f>C727</f>
        <v>Electricity only with CCS</v>
      </c>
      <c r="I728" s="167" t="str">
        <f t="shared" si="88"/>
        <v>M</v>
      </c>
      <c r="J728" s="79" t="s">
        <v>112</v>
      </c>
      <c r="K728" s="79" t="s">
        <v>112</v>
      </c>
      <c r="L728" s="79" t="s">
        <v>112</v>
      </c>
      <c r="M728" s="79" t="s">
        <v>112</v>
      </c>
      <c r="N728" s="79" t="s">
        <v>112</v>
      </c>
      <c r="O728" s="79" t="s">
        <v>112</v>
      </c>
      <c r="P728" s="79" t="s">
        <v>112</v>
      </c>
      <c r="Q728" s="79" t="s">
        <v>112</v>
      </c>
      <c r="R728" s="79" t="s">
        <v>112</v>
      </c>
      <c r="S728" s="79" t="s">
        <v>112</v>
      </c>
      <c r="T728" s="79" t="s">
        <v>112</v>
      </c>
      <c r="U728" s="79" t="s">
        <v>112</v>
      </c>
      <c r="V728" s="79" t="s">
        <v>112</v>
      </c>
      <c r="W728" s="79" t="s">
        <v>112</v>
      </c>
      <c r="X728" s="79" t="s">
        <v>112</v>
      </c>
      <c r="Y728" s="79" t="s">
        <v>112</v>
      </c>
      <c r="Z728" s="79" t="s">
        <v>112</v>
      </c>
      <c r="AA728" s="79" t="s">
        <v>112</v>
      </c>
      <c r="AB728" s="79" t="s">
        <v>112</v>
      </c>
      <c r="AC728" s="79" t="s">
        <v>112</v>
      </c>
      <c r="AD728" s="79" t="s">
        <v>112</v>
      </c>
      <c r="AE728" s="79">
        <v>0.92</v>
      </c>
      <c r="AF728" s="79">
        <v>0.92</v>
      </c>
      <c r="AG728" s="79">
        <v>0.92</v>
      </c>
      <c r="AH728" s="79">
        <v>0.92</v>
      </c>
      <c r="AI728" s="79">
        <v>0.92</v>
      </c>
      <c r="AJ728" s="79">
        <v>0.92</v>
      </c>
      <c r="AK728" s="79">
        <v>0.92</v>
      </c>
      <c r="AL728" s="79">
        <v>0.92</v>
      </c>
      <c r="AM728" s="79">
        <v>0.92</v>
      </c>
      <c r="AN728" s="79">
        <v>0.92</v>
      </c>
      <c r="AO728" s="79">
        <v>0.92</v>
      </c>
      <c r="AP728" s="79">
        <v>0.92</v>
      </c>
      <c r="AQ728" s="79">
        <v>0.92</v>
      </c>
      <c r="AR728" s="79">
        <v>0.92</v>
      </c>
      <c r="AS728" s="79">
        <v>0.92</v>
      </c>
      <c r="AT728" s="79">
        <v>0.92</v>
      </c>
      <c r="AU728" s="79">
        <v>0.92</v>
      </c>
      <c r="AV728" s="79">
        <v>0.92</v>
      </c>
      <c r="AW728" s="79">
        <v>0.92</v>
      </c>
      <c r="AX728" s="87">
        <v>0.92</v>
      </c>
    </row>
    <row r="729" spans="1:50" x14ac:dyDescent="0.25">
      <c r="A729" s="356"/>
      <c r="B729" s="359"/>
      <c r="C729" s="361" t="s">
        <v>16</v>
      </c>
      <c r="D729" s="2" t="s">
        <v>7</v>
      </c>
      <c r="E729" s="160" t="str">
        <f>A693&amp;"/"&amp;B719&amp;"/"&amp;C729&amp;"/"&amp;D729</f>
        <v>Coal fired power plants/Steam turbine/CHP with CCS/L</v>
      </c>
      <c r="F729" s="76" t="str">
        <f>A693</f>
        <v>Coal fired power plants</v>
      </c>
      <c r="G729" s="76" t="str">
        <f>B719</f>
        <v>Steam turbine</v>
      </c>
      <c r="H729" s="76" t="str">
        <f>C729</f>
        <v>CHP with CCS</v>
      </c>
      <c r="I729" s="161" t="str">
        <f t="shared" si="88"/>
        <v>L</v>
      </c>
      <c r="J729" s="76" t="s">
        <v>112</v>
      </c>
      <c r="K729" s="76" t="s">
        <v>112</v>
      </c>
      <c r="L729" s="76" t="s">
        <v>112</v>
      </c>
      <c r="M729" s="76" t="s">
        <v>112</v>
      </c>
      <c r="N729" s="76" t="s">
        <v>112</v>
      </c>
      <c r="O729" s="76" t="s">
        <v>112</v>
      </c>
      <c r="P729" s="76" t="s">
        <v>112</v>
      </c>
      <c r="Q729" s="76" t="s">
        <v>112</v>
      </c>
      <c r="R729" s="76" t="s">
        <v>112</v>
      </c>
      <c r="S729" s="76" t="s">
        <v>112</v>
      </c>
      <c r="T729" s="76" t="s">
        <v>112</v>
      </c>
      <c r="U729" s="76" t="s">
        <v>112</v>
      </c>
      <c r="V729" s="76" t="s">
        <v>112</v>
      </c>
      <c r="W729" s="76" t="s">
        <v>112</v>
      </c>
      <c r="X729" s="76" t="s">
        <v>112</v>
      </c>
      <c r="Y729" s="76" t="s">
        <v>112</v>
      </c>
      <c r="Z729" s="76" t="s">
        <v>112</v>
      </c>
      <c r="AA729" s="76" t="s">
        <v>112</v>
      </c>
      <c r="AB729" s="76" t="s">
        <v>112</v>
      </c>
      <c r="AC729" s="76" t="s">
        <v>112</v>
      </c>
      <c r="AD729" s="76" t="s">
        <v>112</v>
      </c>
      <c r="AE729" s="76">
        <v>0.92</v>
      </c>
      <c r="AF729" s="76">
        <v>0.92</v>
      </c>
      <c r="AG729" s="76">
        <v>0.92</v>
      </c>
      <c r="AH729" s="76">
        <v>0.92</v>
      </c>
      <c r="AI729" s="76">
        <v>0.92</v>
      </c>
      <c r="AJ729" s="76">
        <v>0.92</v>
      </c>
      <c r="AK729" s="76">
        <v>0.92</v>
      </c>
      <c r="AL729" s="76">
        <v>0.92</v>
      </c>
      <c r="AM729" s="76">
        <v>0.92</v>
      </c>
      <c r="AN729" s="76">
        <v>0.92</v>
      </c>
      <c r="AO729" s="76">
        <v>0.92</v>
      </c>
      <c r="AP729" s="76">
        <v>0.92</v>
      </c>
      <c r="AQ729" s="76">
        <v>0.92</v>
      </c>
      <c r="AR729" s="76">
        <v>0.92</v>
      </c>
      <c r="AS729" s="76">
        <v>0.92</v>
      </c>
      <c r="AT729" s="76">
        <v>0.92</v>
      </c>
      <c r="AU729" s="76">
        <v>0.92</v>
      </c>
      <c r="AV729" s="76">
        <v>0.92</v>
      </c>
      <c r="AW729" s="76">
        <v>0.92</v>
      </c>
      <c r="AX729" s="84">
        <v>0.92</v>
      </c>
    </row>
    <row r="730" spans="1:50" x14ac:dyDescent="0.25">
      <c r="A730" s="357"/>
      <c r="B730" s="362"/>
      <c r="C730" s="354"/>
      <c r="D730" s="4" t="s">
        <v>8</v>
      </c>
      <c r="E730" s="168" t="str">
        <f>A693&amp;"/"&amp;B719&amp;"/"&amp;C729&amp;"/"&amp;D730</f>
        <v>Coal fired power plants/Steam turbine/CHP with CCS/M</v>
      </c>
      <c r="F730" s="80" t="str">
        <f>A693</f>
        <v>Coal fired power plants</v>
      </c>
      <c r="G730" s="80" t="str">
        <f>B719</f>
        <v>Steam turbine</v>
      </c>
      <c r="H730" s="80" t="str">
        <f>C729</f>
        <v>CHP with CCS</v>
      </c>
      <c r="I730" s="169" t="str">
        <f t="shared" si="88"/>
        <v>M</v>
      </c>
      <c r="J730" s="80" t="s">
        <v>112</v>
      </c>
      <c r="K730" s="80" t="s">
        <v>112</v>
      </c>
      <c r="L730" s="80" t="s">
        <v>112</v>
      </c>
      <c r="M730" s="80" t="s">
        <v>112</v>
      </c>
      <c r="N730" s="80" t="s">
        <v>112</v>
      </c>
      <c r="O730" s="80" t="s">
        <v>112</v>
      </c>
      <c r="P730" s="80" t="s">
        <v>112</v>
      </c>
      <c r="Q730" s="80" t="s">
        <v>112</v>
      </c>
      <c r="R730" s="80" t="s">
        <v>112</v>
      </c>
      <c r="S730" s="80" t="s">
        <v>112</v>
      </c>
      <c r="T730" s="80" t="s">
        <v>112</v>
      </c>
      <c r="U730" s="80" t="s">
        <v>112</v>
      </c>
      <c r="V730" s="80" t="s">
        <v>112</v>
      </c>
      <c r="W730" s="80" t="s">
        <v>112</v>
      </c>
      <c r="X730" s="80" t="s">
        <v>112</v>
      </c>
      <c r="Y730" s="80" t="s">
        <v>112</v>
      </c>
      <c r="Z730" s="80" t="s">
        <v>112</v>
      </c>
      <c r="AA730" s="80" t="s">
        <v>112</v>
      </c>
      <c r="AB730" s="80" t="s">
        <v>112</v>
      </c>
      <c r="AC730" s="80" t="s">
        <v>112</v>
      </c>
      <c r="AD730" s="80" t="s">
        <v>112</v>
      </c>
      <c r="AE730" s="80">
        <v>0.92</v>
      </c>
      <c r="AF730" s="80">
        <v>0.92</v>
      </c>
      <c r="AG730" s="80">
        <v>0.92</v>
      </c>
      <c r="AH730" s="80">
        <v>0.92</v>
      </c>
      <c r="AI730" s="80">
        <v>0.92</v>
      </c>
      <c r="AJ730" s="80">
        <v>0.92</v>
      </c>
      <c r="AK730" s="80">
        <v>0.92</v>
      </c>
      <c r="AL730" s="80">
        <v>0.92</v>
      </c>
      <c r="AM730" s="80">
        <v>0.92</v>
      </c>
      <c r="AN730" s="80">
        <v>0.92</v>
      </c>
      <c r="AO730" s="80">
        <v>0.92</v>
      </c>
      <c r="AP730" s="80">
        <v>0.92</v>
      </c>
      <c r="AQ730" s="80">
        <v>0.92</v>
      </c>
      <c r="AR730" s="80">
        <v>0.92</v>
      </c>
      <c r="AS730" s="80">
        <v>0.92</v>
      </c>
      <c r="AT730" s="80">
        <v>0.92</v>
      </c>
      <c r="AU730" s="80">
        <v>0.92</v>
      </c>
      <c r="AV730" s="80">
        <v>0.92</v>
      </c>
      <c r="AW730" s="80">
        <v>0.92</v>
      </c>
      <c r="AX730" s="88">
        <v>0.92</v>
      </c>
    </row>
    <row r="731" spans="1:50" x14ac:dyDescent="0.25">
      <c r="A731" s="355" t="s">
        <v>21</v>
      </c>
      <c r="B731" s="358" t="s">
        <v>13</v>
      </c>
      <c r="C731" s="353" t="s">
        <v>6</v>
      </c>
      <c r="D731" s="3" t="s">
        <v>7</v>
      </c>
      <c r="E731" s="162" t="str">
        <f>A731&amp;"/"&amp;B731&amp;"/"&amp;C731&amp;"/"&amp;D731</f>
        <v>Lignite fired power plants/Integrated gasification combined cycle/Electricity only/L</v>
      </c>
      <c r="F731" s="77" t="str">
        <f>A731</f>
        <v>Lignite fired power plants</v>
      </c>
      <c r="G731" s="77" t="str">
        <f>B731</f>
        <v>Integrated gasification combined cycle</v>
      </c>
      <c r="H731" s="77" t="str">
        <f>C731</f>
        <v>Electricity only</v>
      </c>
      <c r="I731" s="163" t="str">
        <f t="shared" si="88"/>
        <v>L</v>
      </c>
      <c r="J731" s="77">
        <v>0.88</v>
      </c>
      <c r="K731" s="77">
        <v>0.88</v>
      </c>
      <c r="L731" s="77">
        <v>0.88</v>
      </c>
      <c r="M731" s="77">
        <v>0.88</v>
      </c>
      <c r="N731" s="77">
        <v>0.88</v>
      </c>
      <c r="O731" s="77">
        <v>0.88</v>
      </c>
      <c r="P731" s="77">
        <v>0.88</v>
      </c>
      <c r="Q731" s="77">
        <v>0.88</v>
      </c>
      <c r="R731" s="77">
        <v>0.88</v>
      </c>
      <c r="S731" s="77">
        <v>0.88</v>
      </c>
      <c r="T731" s="77">
        <v>0.88</v>
      </c>
      <c r="U731" s="77">
        <v>0.88</v>
      </c>
      <c r="V731" s="77">
        <v>0.88</v>
      </c>
      <c r="W731" s="77">
        <v>0.88</v>
      </c>
      <c r="X731" s="77">
        <v>0.88</v>
      </c>
      <c r="Y731" s="77">
        <v>0.88</v>
      </c>
      <c r="Z731" s="77">
        <v>0.88</v>
      </c>
      <c r="AA731" s="77">
        <v>0.88</v>
      </c>
      <c r="AB731" s="77">
        <v>0.88</v>
      </c>
      <c r="AC731" s="77">
        <v>0.88</v>
      </c>
      <c r="AD731" s="77">
        <v>0.88</v>
      </c>
      <c r="AE731" s="77">
        <v>0.88</v>
      </c>
      <c r="AF731" s="77">
        <v>0.88</v>
      </c>
      <c r="AG731" s="77">
        <v>0.88</v>
      </c>
      <c r="AH731" s="77">
        <v>0.88</v>
      </c>
      <c r="AI731" s="77">
        <v>0.88</v>
      </c>
      <c r="AJ731" s="77">
        <v>0.88</v>
      </c>
      <c r="AK731" s="77">
        <v>0.88</v>
      </c>
      <c r="AL731" s="77">
        <v>0.88</v>
      </c>
      <c r="AM731" s="77">
        <v>0.88</v>
      </c>
      <c r="AN731" s="77">
        <v>0.88</v>
      </c>
      <c r="AO731" s="77">
        <v>0.88</v>
      </c>
      <c r="AP731" s="77">
        <v>0.88</v>
      </c>
      <c r="AQ731" s="77">
        <v>0.88</v>
      </c>
      <c r="AR731" s="77">
        <v>0.88</v>
      </c>
      <c r="AS731" s="77">
        <v>0.88</v>
      </c>
      <c r="AT731" s="77">
        <v>0.88</v>
      </c>
      <c r="AU731" s="77">
        <v>0.88</v>
      </c>
      <c r="AV731" s="77">
        <v>0.88</v>
      </c>
      <c r="AW731" s="77">
        <v>0.88</v>
      </c>
      <c r="AX731" s="85">
        <v>0.88</v>
      </c>
    </row>
    <row r="732" spans="1:50" x14ac:dyDescent="0.25">
      <c r="A732" s="356"/>
      <c r="B732" s="359"/>
      <c r="C732" s="360"/>
      <c r="D732" s="2" t="s">
        <v>8</v>
      </c>
      <c r="E732" s="160" t="str">
        <f>A731&amp;"/"&amp;B731&amp;"/"&amp;C731&amp;"/"&amp;D732</f>
        <v>Lignite fired power plants/Integrated gasification combined cycle/Electricity only/M</v>
      </c>
      <c r="F732" s="76" t="str">
        <f>A731</f>
        <v>Lignite fired power plants</v>
      </c>
      <c r="G732" s="76" t="str">
        <f>B731</f>
        <v>Integrated gasification combined cycle</v>
      </c>
      <c r="H732" s="76" t="str">
        <f>C731</f>
        <v>Electricity only</v>
      </c>
      <c r="I732" s="161" t="str">
        <f t="shared" si="88"/>
        <v>M</v>
      </c>
      <c r="J732" s="76">
        <v>0.88</v>
      </c>
      <c r="K732" s="76">
        <v>0.88</v>
      </c>
      <c r="L732" s="76">
        <v>0.88</v>
      </c>
      <c r="M732" s="76">
        <v>0.88</v>
      </c>
      <c r="N732" s="76">
        <v>0.88</v>
      </c>
      <c r="O732" s="76">
        <v>0.88</v>
      </c>
      <c r="P732" s="76">
        <v>0.88</v>
      </c>
      <c r="Q732" s="76">
        <v>0.88</v>
      </c>
      <c r="R732" s="76">
        <v>0.88</v>
      </c>
      <c r="S732" s="76">
        <v>0.88</v>
      </c>
      <c r="T732" s="76">
        <v>0.88</v>
      </c>
      <c r="U732" s="76">
        <v>0.88</v>
      </c>
      <c r="V732" s="76">
        <v>0.88</v>
      </c>
      <c r="W732" s="76">
        <v>0.88</v>
      </c>
      <c r="X732" s="76">
        <v>0.88</v>
      </c>
      <c r="Y732" s="76">
        <v>0.88</v>
      </c>
      <c r="Z732" s="76">
        <v>0.88</v>
      </c>
      <c r="AA732" s="76">
        <v>0.88</v>
      </c>
      <c r="AB732" s="76">
        <v>0.88</v>
      </c>
      <c r="AC732" s="76">
        <v>0.88</v>
      </c>
      <c r="AD732" s="76">
        <v>0.88</v>
      </c>
      <c r="AE732" s="76">
        <v>0.88</v>
      </c>
      <c r="AF732" s="76">
        <v>0.88</v>
      </c>
      <c r="AG732" s="76">
        <v>0.88</v>
      </c>
      <c r="AH732" s="76">
        <v>0.88</v>
      </c>
      <c r="AI732" s="76">
        <v>0.88</v>
      </c>
      <c r="AJ732" s="76">
        <v>0.88</v>
      </c>
      <c r="AK732" s="76">
        <v>0.88</v>
      </c>
      <c r="AL732" s="76">
        <v>0.88</v>
      </c>
      <c r="AM732" s="76">
        <v>0.88</v>
      </c>
      <c r="AN732" s="76">
        <v>0.88</v>
      </c>
      <c r="AO732" s="76">
        <v>0.88</v>
      </c>
      <c r="AP732" s="76">
        <v>0.88</v>
      </c>
      <c r="AQ732" s="76">
        <v>0.88</v>
      </c>
      <c r="AR732" s="76">
        <v>0.88</v>
      </c>
      <c r="AS732" s="76">
        <v>0.88</v>
      </c>
      <c r="AT732" s="76">
        <v>0.88</v>
      </c>
      <c r="AU732" s="76">
        <v>0.88</v>
      </c>
      <c r="AV732" s="76">
        <v>0.88</v>
      </c>
      <c r="AW732" s="76">
        <v>0.88</v>
      </c>
      <c r="AX732" s="84">
        <v>0.88</v>
      </c>
    </row>
    <row r="733" spans="1:50" x14ac:dyDescent="0.25">
      <c r="A733" s="356"/>
      <c r="B733" s="359"/>
      <c r="C733" s="361" t="s">
        <v>14</v>
      </c>
      <c r="D733" s="58" t="s">
        <v>7</v>
      </c>
      <c r="E733" s="164" t="str">
        <f>A731&amp;"/"&amp;B731&amp;"/"&amp;C733&amp;"/"&amp;D733</f>
        <v>Lignite fired power plants/Integrated gasification combined cycle/CHP/L</v>
      </c>
      <c r="F733" s="78" t="str">
        <f>A731</f>
        <v>Lignite fired power plants</v>
      </c>
      <c r="G733" s="78" t="str">
        <f>B731</f>
        <v>Integrated gasification combined cycle</v>
      </c>
      <c r="H733" s="78" t="str">
        <f>C733</f>
        <v>CHP</v>
      </c>
      <c r="I733" s="165" t="str">
        <f t="shared" si="88"/>
        <v>L</v>
      </c>
      <c r="J733" s="78" t="s">
        <v>112</v>
      </c>
      <c r="K733" s="78" t="s">
        <v>112</v>
      </c>
      <c r="L733" s="78" t="s">
        <v>112</v>
      </c>
      <c r="M733" s="78" t="s">
        <v>112</v>
      </c>
      <c r="N733" s="78" t="s">
        <v>112</v>
      </c>
      <c r="O733" s="78" t="s">
        <v>112</v>
      </c>
      <c r="P733" s="78" t="s">
        <v>112</v>
      </c>
      <c r="Q733" s="78" t="s">
        <v>112</v>
      </c>
      <c r="R733" s="78" t="s">
        <v>112</v>
      </c>
      <c r="S733" s="78" t="s">
        <v>112</v>
      </c>
      <c r="T733" s="78">
        <v>0.88</v>
      </c>
      <c r="U733" s="78">
        <v>0.88</v>
      </c>
      <c r="V733" s="78">
        <v>0.88</v>
      </c>
      <c r="W733" s="78">
        <v>0.88</v>
      </c>
      <c r="X733" s="78">
        <v>0.88</v>
      </c>
      <c r="Y733" s="78">
        <v>0.88</v>
      </c>
      <c r="Z733" s="78">
        <v>0.88</v>
      </c>
      <c r="AA733" s="78">
        <v>0.88</v>
      </c>
      <c r="AB733" s="78">
        <v>0.88</v>
      </c>
      <c r="AC733" s="78">
        <v>0.88</v>
      </c>
      <c r="AD733" s="78">
        <v>0.88</v>
      </c>
      <c r="AE733" s="78">
        <v>0.88</v>
      </c>
      <c r="AF733" s="78">
        <v>0.88</v>
      </c>
      <c r="AG733" s="78">
        <v>0.88</v>
      </c>
      <c r="AH733" s="78">
        <v>0.88</v>
      </c>
      <c r="AI733" s="78">
        <v>0.88</v>
      </c>
      <c r="AJ733" s="78">
        <v>0.88</v>
      </c>
      <c r="AK733" s="78">
        <v>0.88</v>
      </c>
      <c r="AL733" s="78">
        <v>0.88</v>
      </c>
      <c r="AM733" s="78">
        <v>0.88</v>
      </c>
      <c r="AN733" s="78">
        <v>0.88</v>
      </c>
      <c r="AO733" s="78">
        <v>0.88</v>
      </c>
      <c r="AP733" s="78">
        <v>0.88</v>
      </c>
      <c r="AQ733" s="78">
        <v>0.88</v>
      </c>
      <c r="AR733" s="78">
        <v>0.88</v>
      </c>
      <c r="AS733" s="78">
        <v>0.88</v>
      </c>
      <c r="AT733" s="78">
        <v>0.88</v>
      </c>
      <c r="AU733" s="78">
        <v>0.88</v>
      </c>
      <c r="AV733" s="78">
        <v>0.88</v>
      </c>
      <c r="AW733" s="78">
        <v>0.88</v>
      </c>
      <c r="AX733" s="86">
        <v>0.88</v>
      </c>
    </row>
    <row r="734" spans="1:50" x14ac:dyDescent="0.25">
      <c r="A734" s="356"/>
      <c r="B734" s="359"/>
      <c r="C734" s="360"/>
      <c r="D734" s="59" t="s">
        <v>8</v>
      </c>
      <c r="E734" s="166" t="str">
        <f>A731&amp;"/"&amp;B731&amp;"/"&amp;C733&amp;"/"&amp;D734</f>
        <v>Lignite fired power plants/Integrated gasification combined cycle/CHP/M</v>
      </c>
      <c r="F734" s="79" t="str">
        <f>A731</f>
        <v>Lignite fired power plants</v>
      </c>
      <c r="G734" s="79" t="str">
        <f>B731</f>
        <v>Integrated gasification combined cycle</v>
      </c>
      <c r="H734" s="79" t="str">
        <f>C733</f>
        <v>CHP</v>
      </c>
      <c r="I734" s="167" t="str">
        <f t="shared" si="88"/>
        <v>M</v>
      </c>
      <c r="J734" s="79" t="s">
        <v>112</v>
      </c>
      <c r="K734" s="79" t="s">
        <v>112</v>
      </c>
      <c r="L734" s="79" t="s">
        <v>112</v>
      </c>
      <c r="M734" s="79" t="s">
        <v>112</v>
      </c>
      <c r="N734" s="79" t="s">
        <v>112</v>
      </c>
      <c r="O734" s="79" t="s">
        <v>112</v>
      </c>
      <c r="P734" s="79" t="s">
        <v>112</v>
      </c>
      <c r="Q734" s="79" t="s">
        <v>112</v>
      </c>
      <c r="R734" s="79" t="s">
        <v>112</v>
      </c>
      <c r="S734" s="79" t="s">
        <v>112</v>
      </c>
      <c r="T734" s="79">
        <v>0.88</v>
      </c>
      <c r="U734" s="79">
        <v>0.88</v>
      </c>
      <c r="V734" s="79">
        <v>0.88</v>
      </c>
      <c r="W734" s="79">
        <v>0.88</v>
      </c>
      <c r="X734" s="79">
        <v>0.88</v>
      </c>
      <c r="Y734" s="79">
        <v>0.88</v>
      </c>
      <c r="Z734" s="79">
        <v>0.88</v>
      </c>
      <c r="AA734" s="79">
        <v>0.88</v>
      </c>
      <c r="AB734" s="79">
        <v>0.88</v>
      </c>
      <c r="AC734" s="79">
        <v>0.88</v>
      </c>
      <c r="AD734" s="79">
        <v>0.88</v>
      </c>
      <c r="AE734" s="79">
        <v>0.88</v>
      </c>
      <c r="AF734" s="79">
        <v>0.88</v>
      </c>
      <c r="AG734" s="79">
        <v>0.88</v>
      </c>
      <c r="AH734" s="79">
        <v>0.88</v>
      </c>
      <c r="AI734" s="79">
        <v>0.88</v>
      </c>
      <c r="AJ734" s="79">
        <v>0.88</v>
      </c>
      <c r="AK734" s="79">
        <v>0.88</v>
      </c>
      <c r="AL734" s="79">
        <v>0.88</v>
      </c>
      <c r="AM734" s="79">
        <v>0.88</v>
      </c>
      <c r="AN734" s="79">
        <v>0.88</v>
      </c>
      <c r="AO734" s="79">
        <v>0.88</v>
      </c>
      <c r="AP734" s="79">
        <v>0.88</v>
      </c>
      <c r="AQ734" s="79">
        <v>0.88</v>
      </c>
      <c r="AR734" s="79">
        <v>0.88</v>
      </c>
      <c r="AS734" s="79">
        <v>0.88</v>
      </c>
      <c r="AT734" s="79">
        <v>0.88</v>
      </c>
      <c r="AU734" s="79">
        <v>0.88</v>
      </c>
      <c r="AV734" s="79">
        <v>0.88</v>
      </c>
      <c r="AW734" s="79">
        <v>0.88</v>
      </c>
      <c r="AX734" s="87">
        <v>0.88</v>
      </c>
    </row>
    <row r="735" spans="1:50" x14ac:dyDescent="0.25">
      <c r="A735" s="356"/>
      <c r="B735" s="359"/>
      <c r="C735" s="361" t="s">
        <v>15</v>
      </c>
      <c r="D735" s="58" t="s">
        <v>7</v>
      </c>
      <c r="E735" s="164" t="str">
        <f>A731&amp;"/"&amp;B731&amp;"/"&amp;C735&amp;"/"&amp;D735</f>
        <v>Lignite fired power plants/Integrated gasification combined cycle/Electricity only with CCS/L</v>
      </c>
      <c r="F735" s="78" t="str">
        <f>A731</f>
        <v>Lignite fired power plants</v>
      </c>
      <c r="G735" s="78" t="str">
        <f>B731</f>
        <v>Integrated gasification combined cycle</v>
      </c>
      <c r="H735" s="78" t="str">
        <f>C735</f>
        <v>Electricity only with CCS</v>
      </c>
      <c r="I735" s="165" t="str">
        <f t="shared" si="88"/>
        <v>L</v>
      </c>
      <c r="J735" s="78" t="s">
        <v>112</v>
      </c>
      <c r="K735" s="78" t="s">
        <v>112</v>
      </c>
      <c r="L735" s="78" t="s">
        <v>112</v>
      </c>
      <c r="M735" s="78" t="s">
        <v>112</v>
      </c>
      <c r="N735" s="78" t="s">
        <v>112</v>
      </c>
      <c r="O735" s="78" t="s">
        <v>112</v>
      </c>
      <c r="P735" s="78" t="s">
        <v>112</v>
      </c>
      <c r="Q735" s="78" t="s">
        <v>112</v>
      </c>
      <c r="R735" s="78" t="s">
        <v>112</v>
      </c>
      <c r="S735" s="78" t="s">
        <v>112</v>
      </c>
      <c r="T735" s="78" t="s">
        <v>112</v>
      </c>
      <c r="U735" s="78" t="s">
        <v>112</v>
      </c>
      <c r="V735" s="78" t="s">
        <v>112</v>
      </c>
      <c r="W735" s="78" t="s">
        <v>112</v>
      </c>
      <c r="X735" s="78" t="s">
        <v>112</v>
      </c>
      <c r="Y735" s="78" t="s">
        <v>112</v>
      </c>
      <c r="Z735" s="78" t="s">
        <v>112</v>
      </c>
      <c r="AA735" s="78" t="s">
        <v>112</v>
      </c>
      <c r="AB735" s="78" t="s">
        <v>112</v>
      </c>
      <c r="AC735" s="78" t="s">
        <v>112</v>
      </c>
      <c r="AD735" s="78" t="s">
        <v>112</v>
      </c>
      <c r="AE735" s="78">
        <v>0.88</v>
      </c>
      <c r="AF735" s="78">
        <v>0.88</v>
      </c>
      <c r="AG735" s="78">
        <v>0.88</v>
      </c>
      <c r="AH735" s="78">
        <v>0.88</v>
      </c>
      <c r="AI735" s="78">
        <v>0.88</v>
      </c>
      <c r="AJ735" s="78">
        <v>0.88</v>
      </c>
      <c r="AK735" s="78">
        <v>0.88</v>
      </c>
      <c r="AL735" s="78">
        <v>0.88</v>
      </c>
      <c r="AM735" s="78">
        <v>0.88</v>
      </c>
      <c r="AN735" s="78">
        <v>0.88</v>
      </c>
      <c r="AO735" s="78">
        <v>0.88</v>
      </c>
      <c r="AP735" s="78">
        <v>0.88</v>
      </c>
      <c r="AQ735" s="78">
        <v>0.88</v>
      </c>
      <c r="AR735" s="78">
        <v>0.88</v>
      </c>
      <c r="AS735" s="78">
        <v>0.88</v>
      </c>
      <c r="AT735" s="78">
        <v>0.88</v>
      </c>
      <c r="AU735" s="78">
        <v>0.88</v>
      </c>
      <c r="AV735" s="78">
        <v>0.88</v>
      </c>
      <c r="AW735" s="78">
        <v>0.88</v>
      </c>
      <c r="AX735" s="86">
        <v>0.88</v>
      </c>
    </row>
    <row r="736" spans="1:50" x14ac:dyDescent="0.25">
      <c r="A736" s="356"/>
      <c r="B736" s="359"/>
      <c r="C736" s="360"/>
      <c r="D736" s="59" t="s">
        <v>8</v>
      </c>
      <c r="E736" s="166" t="str">
        <f>A731&amp;"/"&amp;B731&amp;"/"&amp;C735&amp;"/"&amp;D736</f>
        <v>Lignite fired power plants/Integrated gasification combined cycle/Electricity only with CCS/M</v>
      </c>
      <c r="F736" s="79" t="str">
        <f>A731</f>
        <v>Lignite fired power plants</v>
      </c>
      <c r="G736" s="79" t="str">
        <f>B731</f>
        <v>Integrated gasification combined cycle</v>
      </c>
      <c r="H736" s="79" t="str">
        <f>C735</f>
        <v>Electricity only with CCS</v>
      </c>
      <c r="I736" s="167" t="str">
        <f t="shared" si="88"/>
        <v>M</v>
      </c>
      <c r="J736" s="79" t="s">
        <v>112</v>
      </c>
      <c r="K736" s="79" t="s">
        <v>112</v>
      </c>
      <c r="L736" s="79" t="s">
        <v>112</v>
      </c>
      <c r="M736" s="79" t="s">
        <v>112</v>
      </c>
      <c r="N736" s="79" t="s">
        <v>112</v>
      </c>
      <c r="O736" s="79" t="s">
        <v>112</v>
      </c>
      <c r="P736" s="79" t="s">
        <v>112</v>
      </c>
      <c r="Q736" s="79" t="s">
        <v>112</v>
      </c>
      <c r="R736" s="79" t="s">
        <v>112</v>
      </c>
      <c r="S736" s="79" t="s">
        <v>112</v>
      </c>
      <c r="T736" s="79" t="s">
        <v>112</v>
      </c>
      <c r="U736" s="79" t="s">
        <v>112</v>
      </c>
      <c r="V736" s="79" t="s">
        <v>112</v>
      </c>
      <c r="W736" s="79" t="s">
        <v>112</v>
      </c>
      <c r="X736" s="79" t="s">
        <v>112</v>
      </c>
      <c r="Y736" s="79" t="s">
        <v>112</v>
      </c>
      <c r="Z736" s="79" t="s">
        <v>112</v>
      </c>
      <c r="AA736" s="79" t="s">
        <v>112</v>
      </c>
      <c r="AB736" s="79" t="s">
        <v>112</v>
      </c>
      <c r="AC736" s="79" t="s">
        <v>112</v>
      </c>
      <c r="AD736" s="79" t="s">
        <v>112</v>
      </c>
      <c r="AE736" s="79">
        <v>0.88</v>
      </c>
      <c r="AF736" s="79">
        <v>0.88</v>
      </c>
      <c r="AG736" s="79">
        <v>0.88</v>
      </c>
      <c r="AH736" s="79">
        <v>0.88</v>
      </c>
      <c r="AI736" s="79">
        <v>0.88</v>
      </c>
      <c r="AJ736" s="79">
        <v>0.88</v>
      </c>
      <c r="AK736" s="79">
        <v>0.88</v>
      </c>
      <c r="AL736" s="79">
        <v>0.88</v>
      </c>
      <c r="AM736" s="79">
        <v>0.88</v>
      </c>
      <c r="AN736" s="79">
        <v>0.88</v>
      </c>
      <c r="AO736" s="79">
        <v>0.88</v>
      </c>
      <c r="AP736" s="79">
        <v>0.88</v>
      </c>
      <c r="AQ736" s="79">
        <v>0.88</v>
      </c>
      <c r="AR736" s="79">
        <v>0.88</v>
      </c>
      <c r="AS736" s="79">
        <v>0.88</v>
      </c>
      <c r="AT736" s="79">
        <v>0.88</v>
      </c>
      <c r="AU736" s="79">
        <v>0.88</v>
      </c>
      <c r="AV736" s="79">
        <v>0.88</v>
      </c>
      <c r="AW736" s="79">
        <v>0.88</v>
      </c>
      <c r="AX736" s="87">
        <v>0.88</v>
      </c>
    </row>
    <row r="737" spans="1:50" x14ac:dyDescent="0.25">
      <c r="A737" s="356"/>
      <c r="B737" s="359"/>
      <c r="C737" s="361" t="s">
        <v>16</v>
      </c>
      <c r="D737" s="2" t="s">
        <v>7</v>
      </c>
      <c r="E737" s="160" t="str">
        <f>A731&amp;"/"&amp;B731&amp;"/"&amp;C737&amp;"/"&amp;D737</f>
        <v>Lignite fired power plants/Integrated gasification combined cycle/CHP with CCS/L</v>
      </c>
      <c r="F737" s="76" t="str">
        <f>A731</f>
        <v>Lignite fired power plants</v>
      </c>
      <c r="G737" s="76" t="str">
        <f>B731</f>
        <v>Integrated gasification combined cycle</v>
      </c>
      <c r="H737" s="76" t="str">
        <f>C737</f>
        <v>CHP with CCS</v>
      </c>
      <c r="I737" s="161" t="str">
        <f t="shared" si="88"/>
        <v>L</v>
      </c>
      <c r="J737" s="76" t="s">
        <v>112</v>
      </c>
      <c r="K737" s="76" t="s">
        <v>112</v>
      </c>
      <c r="L737" s="76" t="s">
        <v>112</v>
      </c>
      <c r="M737" s="76" t="s">
        <v>112</v>
      </c>
      <c r="N737" s="76" t="s">
        <v>112</v>
      </c>
      <c r="O737" s="76" t="s">
        <v>112</v>
      </c>
      <c r="P737" s="76" t="s">
        <v>112</v>
      </c>
      <c r="Q737" s="76" t="s">
        <v>112</v>
      </c>
      <c r="R737" s="76" t="s">
        <v>112</v>
      </c>
      <c r="S737" s="76" t="s">
        <v>112</v>
      </c>
      <c r="T737" s="76" t="s">
        <v>112</v>
      </c>
      <c r="U737" s="76" t="s">
        <v>112</v>
      </c>
      <c r="V737" s="76" t="s">
        <v>112</v>
      </c>
      <c r="W737" s="76" t="s">
        <v>112</v>
      </c>
      <c r="X737" s="76" t="s">
        <v>112</v>
      </c>
      <c r="Y737" s="76" t="s">
        <v>112</v>
      </c>
      <c r="Z737" s="76" t="s">
        <v>112</v>
      </c>
      <c r="AA737" s="76" t="s">
        <v>112</v>
      </c>
      <c r="AB737" s="76" t="s">
        <v>112</v>
      </c>
      <c r="AC737" s="76" t="s">
        <v>112</v>
      </c>
      <c r="AD737" s="76" t="s">
        <v>112</v>
      </c>
      <c r="AE737" s="76">
        <v>0.88</v>
      </c>
      <c r="AF737" s="76">
        <v>0.88</v>
      </c>
      <c r="AG737" s="76">
        <v>0.88</v>
      </c>
      <c r="AH737" s="76">
        <v>0.88</v>
      </c>
      <c r="AI737" s="76">
        <v>0.88</v>
      </c>
      <c r="AJ737" s="76">
        <v>0.88</v>
      </c>
      <c r="AK737" s="76">
        <v>0.88</v>
      </c>
      <c r="AL737" s="76">
        <v>0.88</v>
      </c>
      <c r="AM737" s="76">
        <v>0.88</v>
      </c>
      <c r="AN737" s="76">
        <v>0.88</v>
      </c>
      <c r="AO737" s="76">
        <v>0.88</v>
      </c>
      <c r="AP737" s="76">
        <v>0.88</v>
      </c>
      <c r="AQ737" s="76">
        <v>0.88</v>
      </c>
      <c r="AR737" s="76">
        <v>0.88</v>
      </c>
      <c r="AS737" s="76">
        <v>0.88</v>
      </c>
      <c r="AT737" s="76">
        <v>0.88</v>
      </c>
      <c r="AU737" s="76">
        <v>0.88</v>
      </c>
      <c r="AV737" s="76">
        <v>0.88</v>
      </c>
      <c r="AW737" s="76">
        <v>0.88</v>
      </c>
      <c r="AX737" s="84">
        <v>0.88</v>
      </c>
    </row>
    <row r="738" spans="1:50" x14ac:dyDescent="0.25">
      <c r="A738" s="356"/>
      <c r="B738" s="359"/>
      <c r="C738" s="354"/>
      <c r="D738" s="2" t="s">
        <v>8</v>
      </c>
      <c r="E738" s="168" t="str">
        <f>A731&amp;"/"&amp;B731&amp;"/"&amp;C737&amp;"/"&amp;D738</f>
        <v>Lignite fired power plants/Integrated gasification combined cycle/CHP with CCS/M</v>
      </c>
      <c r="F738" s="80" t="str">
        <f>A731</f>
        <v>Lignite fired power plants</v>
      </c>
      <c r="G738" s="80" t="str">
        <f>B731</f>
        <v>Integrated gasification combined cycle</v>
      </c>
      <c r="H738" s="80" t="str">
        <f>C737</f>
        <v>CHP with CCS</v>
      </c>
      <c r="I738" s="169" t="str">
        <f t="shared" si="88"/>
        <v>M</v>
      </c>
      <c r="J738" s="80" t="s">
        <v>112</v>
      </c>
      <c r="K738" s="80" t="s">
        <v>112</v>
      </c>
      <c r="L738" s="80" t="s">
        <v>112</v>
      </c>
      <c r="M738" s="80" t="s">
        <v>112</v>
      </c>
      <c r="N738" s="80" t="s">
        <v>112</v>
      </c>
      <c r="O738" s="80" t="s">
        <v>112</v>
      </c>
      <c r="P738" s="80" t="s">
        <v>112</v>
      </c>
      <c r="Q738" s="80" t="s">
        <v>112</v>
      </c>
      <c r="R738" s="80" t="s">
        <v>112</v>
      </c>
      <c r="S738" s="80" t="s">
        <v>112</v>
      </c>
      <c r="T738" s="80" t="s">
        <v>112</v>
      </c>
      <c r="U738" s="80" t="s">
        <v>112</v>
      </c>
      <c r="V738" s="80" t="s">
        <v>112</v>
      </c>
      <c r="W738" s="80" t="s">
        <v>112</v>
      </c>
      <c r="X738" s="80" t="s">
        <v>112</v>
      </c>
      <c r="Y738" s="80" t="s">
        <v>112</v>
      </c>
      <c r="Z738" s="80" t="s">
        <v>112</v>
      </c>
      <c r="AA738" s="80" t="s">
        <v>112</v>
      </c>
      <c r="AB738" s="80" t="s">
        <v>112</v>
      </c>
      <c r="AC738" s="80" t="s">
        <v>112</v>
      </c>
      <c r="AD738" s="80" t="s">
        <v>112</v>
      </c>
      <c r="AE738" s="80">
        <v>0.88</v>
      </c>
      <c r="AF738" s="80">
        <v>0.88</v>
      </c>
      <c r="AG738" s="80">
        <v>0.88</v>
      </c>
      <c r="AH738" s="80">
        <v>0.88</v>
      </c>
      <c r="AI738" s="80">
        <v>0.88</v>
      </c>
      <c r="AJ738" s="80">
        <v>0.88</v>
      </c>
      <c r="AK738" s="80">
        <v>0.88</v>
      </c>
      <c r="AL738" s="80">
        <v>0.88</v>
      </c>
      <c r="AM738" s="80">
        <v>0.88</v>
      </c>
      <c r="AN738" s="80">
        <v>0.88</v>
      </c>
      <c r="AO738" s="80">
        <v>0.88</v>
      </c>
      <c r="AP738" s="80">
        <v>0.88</v>
      </c>
      <c r="AQ738" s="80">
        <v>0.88</v>
      </c>
      <c r="AR738" s="80">
        <v>0.88</v>
      </c>
      <c r="AS738" s="80">
        <v>0.88</v>
      </c>
      <c r="AT738" s="80">
        <v>0.88</v>
      </c>
      <c r="AU738" s="80">
        <v>0.88</v>
      </c>
      <c r="AV738" s="80">
        <v>0.88</v>
      </c>
      <c r="AW738" s="80">
        <v>0.88</v>
      </c>
      <c r="AX738" s="88">
        <v>0.88</v>
      </c>
    </row>
    <row r="739" spans="1:50" x14ac:dyDescent="0.25">
      <c r="A739" s="356"/>
      <c r="B739" s="358" t="s">
        <v>17</v>
      </c>
      <c r="C739" s="353" t="s">
        <v>6</v>
      </c>
      <c r="D739" s="3" t="s">
        <v>7</v>
      </c>
      <c r="E739" s="162" t="str">
        <f>A731&amp;"/"&amp;B739&amp;"/"&amp;C739&amp;"/"&amp;D739</f>
        <v>Lignite fired power plants/Supercritical steam turbine/Electricity only/L</v>
      </c>
      <c r="F739" s="77" t="str">
        <f>A731</f>
        <v>Lignite fired power plants</v>
      </c>
      <c r="G739" s="77" t="str">
        <f>B739</f>
        <v>Supercritical steam turbine</v>
      </c>
      <c r="H739" s="77" t="str">
        <f>C739</f>
        <v>Electricity only</v>
      </c>
      <c r="I739" s="163" t="str">
        <f t="shared" si="88"/>
        <v>L</v>
      </c>
      <c r="J739" s="77">
        <v>0.89</v>
      </c>
      <c r="K739" s="77">
        <v>0.89</v>
      </c>
      <c r="L739" s="77">
        <v>0.89</v>
      </c>
      <c r="M739" s="77">
        <v>0.89</v>
      </c>
      <c r="N739" s="77">
        <v>0.89</v>
      </c>
      <c r="O739" s="77">
        <v>0.89</v>
      </c>
      <c r="P739" s="77">
        <v>0.89</v>
      </c>
      <c r="Q739" s="77">
        <v>0.89</v>
      </c>
      <c r="R739" s="77">
        <v>0.89</v>
      </c>
      <c r="S739" s="77">
        <v>0.89</v>
      </c>
      <c r="T739" s="77">
        <v>0.89</v>
      </c>
      <c r="U739" s="77">
        <v>0.89</v>
      </c>
      <c r="V739" s="77">
        <v>0.89</v>
      </c>
      <c r="W739" s="77">
        <v>0.89</v>
      </c>
      <c r="X739" s="77">
        <v>0.89</v>
      </c>
      <c r="Y739" s="77">
        <v>0.89</v>
      </c>
      <c r="Z739" s="77">
        <v>0.89</v>
      </c>
      <c r="AA739" s="77">
        <v>0.89</v>
      </c>
      <c r="AB739" s="77">
        <v>0.89</v>
      </c>
      <c r="AC739" s="77">
        <v>0.89</v>
      </c>
      <c r="AD739" s="77">
        <v>0.89</v>
      </c>
      <c r="AE739" s="77">
        <v>0.89</v>
      </c>
      <c r="AF739" s="77">
        <v>0.89</v>
      </c>
      <c r="AG739" s="77">
        <v>0.89</v>
      </c>
      <c r="AH739" s="77">
        <v>0.89</v>
      </c>
      <c r="AI739" s="77">
        <v>0.89</v>
      </c>
      <c r="AJ739" s="77">
        <v>0.89</v>
      </c>
      <c r="AK739" s="77">
        <v>0.89</v>
      </c>
      <c r="AL739" s="77">
        <v>0.89</v>
      </c>
      <c r="AM739" s="77">
        <v>0.89</v>
      </c>
      <c r="AN739" s="77">
        <v>0.89</v>
      </c>
      <c r="AO739" s="77">
        <v>0.89</v>
      </c>
      <c r="AP739" s="77">
        <v>0.89</v>
      </c>
      <c r="AQ739" s="77">
        <v>0.89</v>
      </c>
      <c r="AR739" s="77">
        <v>0.89</v>
      </c>
      <c r="AS739" s="77">
        <v>0.89</v>
      </c>
      <c r="AT739" s="77">
        <v>0.89</v>
      </c>
      <c r="AU739" s="77">
        <v>0.89</v>
      </c>
      <c r="AV739" s="77">
        <v>0.89</v>
      </c>
      <c r="AW739" s="77">
        <v>0.89</v>
      </c>
      <c r="AX739" s="85">
        <v>0.89</v>
      </c>
    </row>
    <row r="740" spans="1:50" x14ac:dyDescent="0.25">
      <c r="A740" s="356"/>
      <c r="B740" s="359"/>
      <c r="C740" s="360"/>
      <c r="D740" s="2" t="s">
        <v>8</v>
      </c>
      <c r="E740" s="160" t="str">
        <f>A731&amp;"/"&amp;B739&amp;"/"&amp;C739&amp;"/"&amp;D740</f>
        <v>Lignite fired power plants/Supercritical steam turbine/Electricity only/M</v>
      </c>
      <c r="F740" s="76" t="str">
        <f>A731</f>
        <v>Lignite fired power plants</v>
      </c>
      <c r="G740" s="76" t="str">
        <f>B739</f>
        <v>Supercritical steam turbine</v>
      </c>
      <c r="H740" s="76" t="str">
        <f>C739</f>
        <v>Electricity only</v>
      </c>
      <c r="I740" s="161" t="str">
        <f t="shared" si="88"/>
        <v>M</v>
      </c>
      <c r="J740" s="76">
        <v>0.89</v>
      </c>
      <c r="K740" s="76">
        <v>0.89</v>
      </c>
      <c r="L740" s="76">
        <v>0.89</v>
      </c>
      <c r="M740" s="76">
        <v>0.89</v>
      </c>
      <c r="N740" s="76">
        <v>0.89</v>
      </c>
      <c r="O740" s="76">
        <v>0.89</v>
      </c>
      <c r="P740" s="76">
        <v>0.89</v>
      </c>
      <c r="Q740" s="76">
        <v>0.89</v>
      </c>
      <c r="R740" s="76">
        <v>0.89</v>
      </c>
      <c r="S740" s="76">
        <v>0.89</v>
      </c>
      <c r="T740" s="76">
        <v>0.89</v>
      </c>
      <c r="U740" s="76">
        <v>0.89</v>
      </c>
      <c r="V740" s="76">
        <v>0.89</v>
      </c>
      <c r="W740" s="76">
        <v>0.89</v>
      </c>
      <c r="X740" s="76">
        <v>0.89</v>
      </c>
      <c r="Y740" s="76">
        <v>0.89</v>
      </c>
      <c r="Z740" s="76">
        <v>0.89</v>
      </c>
      <c r="AA740" s="76">
        <v>0.89</v>
      </c>
      <c r="AB740" s="76">
        <v>0.89</v>
      </c>
      <c r="AC740" s="76">
        <v>0.89</v>
      </c>
      <c r="AD740" s="76">
        <v>0.89</v>
      </c>
      <c r="AE740" s="76">
        <v>0.89</v>
      </c>
      <c r="AF740" s="76">
        <v>0.89</v>
      </c>
      <c r="AG740" s="76">
        <v>0.89</v>
      </c>
      <c r="AH740" s="76">
        <v>0.89</v>
      </c>
      <c r="AI740" s="76">
        <v>0.89</v>
      </c>
      <c r="AJ740" s="76">
        <v>0.89</v>
      </c>
      <c r="AK740" s="76">
        <v>0.89</v>
      </c>
      <c r="AL740" s="76">
        <v>0.89</v>
      </c>
      <c r="AM740" s="76">
        <v>0.89</v>
      </c>
      <c r="AN740" s="76">
        <v>0.89</v>
      </c>
      <c r="AO740" s="76">
        <v>0.89</v>
      </c>
      <c r="AP740" s="76">
        <v>0.89</v>
      </c>
      <c r="AQ740" s="76">
        <v>0.89</v>
      </c>
      <c r="AR740" s="76">
        <v>0.89</v>
      </c>
      <c r="AS740" s="76">
        <v>0.89</v>
      </c>
      <c r="AT740" s="76">
        <v>0.89</v>
      </c>
      <c r="AU740" s="76">
        <v>0.89</v>
      </c>
      <c r="AV740" s="76">
        <v>0.89</v>
      </c>
      <c r="AW740" s="76">
        <v>0.89</v>
      </c>
      <c r="AX740" s="84">
        <v>0.89</v>
      </c>
    </row>
    <row r="741" spans="1:50" x14ac:dyDescent="0.25">
      <c r="A741" s="356"/>
      <c r="B741" s="359"/>
      <c r="C741" s="361" t="s">
        <v>14</v>
      </c>
      <c r="D741" s="58" t="s">
        <v>7</v>
      </c>
      <c r="E741" s="164" t="str">
        <f>A731&amp;"/"&amp;B739&amp;"/"&amp;C741&amp;"/"&amp;D741</f>
        <v>Lignite fired power plants/Supercritical steam turbine/CHP/L</v>
      </c>
      <c r="F741" s="78" t="str">
        <f>A731</f>
        <v>Lignite fired power plants</v>
      </c>
      <c r="G741" s="78" t="str">
        <f>B739</f>
        <v>Supercritical steam turbine</v>
      </c>
      <c r="H741" s="78" t="str">
        <f>C741</f>
        <v>CHP</v>
      </c>
      <c r="I741" s="165" t="str">
        <f t="shared" si="88"/>
        <v>L</v>
      </c>
      <c r="J741" s="78">
        <v>0.89</v>
      </c>
      <c r="K741" s="78">
        <v>0.89</v>
      </c>
      <c r="L741" s="78">
        <v>0.89</v>
      </c>
      <c r="M741" s="78">
        <v>0.89</v>
      </c>
      <c r="N741" s="78">
        <v>0.89</v>
      </c>
      <c r="O741" s="78">
        <v>0.89</v>
      </c>
      <c r="P741" s="78">
        <v>0.89</v>
      </c>
      <c r="Q741" s="78">
        <v>0.89</v>
      </c>
      <c r="R741" s="78">
        <v>0.89</v>
      </c>
      <c r="S741" s="78">
        <v>0.89</v>
      </c>
      <c r="T741" s="78">
        <v>0.89</v>
      </c>
      <c r="U741" s="78">
        <v>0.89</v>
      </c>
      <c r="V741" s="78">
        <v>0.89</v>
      </c>
      <c r="W741" s="78">
        <v>0.89</v>
      </c>
      <c r="X741" s="78">
        <v>0.89</v>
      </c>
      <c r="Y741" s="78">
        <v>0.89</v>
      </c>
      <c r="Z741" s="78">
        <v>0.89</v>
      </c>
      <c r="AA741" s="78">
        <v>0.89</v>
      </c>
      <c r="AB741" s="78">
        <v>0.89</v>
      </c>
      <c r="AC741" s="78">
        <v>0.89</v>
      </c>
      <c r="AD741" s="78">
        <v>0.89</v>
      </c>
      <c r="AE741" s="78">
        <v>0.89</v>
      </c>
      <c r="AF741" s="78">
        <v>0.89</v>
      </c>
      <c r="AG741" s="78">
        <v>0.89</v>
      </c>
      <c r="AH741" s="78">
        <v>0.89</v>
      </c>
      <c r="AI741" s="78">
        <v>0.89</v>
      </c>
      <c r="AJ741" s="78">
        <v>0.89</v>
      </c>
      <c r="AK741" s="78">
        <v>0.89</v>
      </c>
      <c r="AL741" s="78">
        <v>0.89</v>
      </c>
      <c r="AM741" s="78">
        <v>0.89</v>
      </c>
      <c r="AN741" s="78">
        <v>0.89</v>
      </c>
      <c r="AO741" s="78">
        <v>0.89</v>
      </c>
      <c r="AP741" s="78">
        <v>0.89</v>
      </c>
      <c r="AQ741" s="78">
        <v>0.89</v>
      </c>
      <c r="AR741" s="78">
        <v>0.89</v>
      </c>
      <c r="AS741" s="78">
        <v>0.89</v>
      </c>
      <c r="AT741" s="78">
        <v>0.89</v>
      </c>
      <c r="AU741" s="78">
        <v>0.89</v>
      </c>
      <c r="AV741" s="78">
        <v>0.89</v>
      </c>
      <c r="AW741" s="78">
        <v>0.89</v>
      </c>
      <c r="AX741" s="86">
        <v>0.89</v>
      </c>
    </row>
    <row r="742" spans="1:50" x14ac:dyDescent="0.25">
      <c r="A742" s="356"/>
      <c r="B742" s="359"/>
      <c r="C742" s="360"/>
      <c r="D742" s="59" t="s">
        <v>8</v>
      </c>
      <c r="E742" s="166" t="str">
        <f>A731&amp;"/"&amp;B739&amp;"/"&amp;C741&amp;"/"&amp;D742</f>
        <v>Lignite fired power plants/Supercritical steam turbine/CHP/M</v>
      </c>
      <c r="F742" s="79" t="str">
        <f>A731</f>
        <v>Lignite fired power plants</v>
      </c>
      <c r="G742" s="79" t="str">
        <f>B739</f>
        <v>Supercritical steam turbine</v>
      </c>
      <c r="H742" s="79" t="str">
        <f>C741</f>
        <v>CHP</v>
      </c>
      <c r="I742" s="167" t="str">
        <f t="shared" si="88"/>
        <v>M</v>
      </c>
      <c r="J742" s="79">
        <v>0.89</v>
      </c>
      <c r="K742" s="79">
        <v>0.89</v>
      </c>
      <c r="L742" s="79">
        <v>0.89</v>
      </c>
      <c r="M742" s="79">
        <v>0.89</v>
      </c>
      <c r="N742" s="79">
        <v>0.89</v>
      </c>
      <c r="O742" s="79">
        <v>0.89</v>
      </c>
      <c r="P742" s="79">
        <v>0.89</v>
      </c>
      <c r="Q742" s="79">
        <v>0.89</v>
      </c>
      <c r="R742" s="79">
        <v>0.89</v>
      </c>
      <c r="S742" s="79">
        <v>0.89</v>
      </c>
      <c r="T742" s="79">
        <v>0.89</v>
      </c>
      <c r="U742" s="79">
        <v>0.89</v>
      </c>
      <c r="V742" s="79">
        <v>0.89</v>
      </c>
      <c r="W742" s="79">
        <v>0.89</v>
      </c>
      <c r="X742" s="79">
        <v>0.89</v>
      </c>
      <c r="Y742" s="79">
        <v>0.89</v>
      </c>
      <c r="Z742" s="79">
        <v>0.89</v>
      </c>
      <c r="AA742" s="79">
        <v>0.89</v>
      </c>
      <c r="AB742" s="79">
        <v>0.89</v>
      </c>
      <c r="AC742" s="79">
        <v>0.89</v>
      </c>
      <c r="AD742" s="79">
        <v>0.89</v>
      </c>
      <c r="AE742" s="79">
        <v>0.89</v>
      </c>
      <c r="AF742" s="79">
        <v>0.89</v>
      </c>
      <c r="AG742" s="79">
        <v>0.89</v>
      </c>
      <c r="AH742" s="79">
        <v>0.89</v>
      </c>
      <c r="AI742" s="79">
        <v>0.89</v>
      </c>
      <c r="AJ742" s="79">
        <v>0.89</v>
      </c>
      <c r="AK742" s="79">
        <v>0.89</v>
      </c>
      <c r="AL742" s="79">
        <v>0.89</v>
      </c>
      <c r="AM742" s="79">
        <v>0.89</v>
      </c>
      <c r="AN742" s="79">
        <v>0.89</v>
      </c>
      <c r="AO742" s="79">
        <v>0.89</v>
      </c>
      <c r="AP742" s="79">
        <v>0.89</v>
      </c>
      <c r="AQ742" s="79">
        <v>0.89</v>
      </c>
      <c r="AR742" s="79">
        <v>0.89</v>
      </c>
      <c r="AS742" s="79">
        <v>0.89</v>
      </c>
      <c r="AT742" s="79">
        <v>0.89</v>
      </c>
      <c r="AU742" s="79">
        <v>0.89</v>
      </c>
      <c r="AV742" s="79">
        <v>0.89</v>
      </c>
      <c r="AW742" s="79">
        <v>0.89</v>
      </c>
      <c r="AX742" s="87">
        <v>0.89</v>
      </c>
    </row>
    <row r="743" spans="1:50" x14ac:dyDescent="0.25">
      <c r="A743" s="356"/>
      <c r="B743" s="359"/>
      <c r="C743" s="361" t="s">
        <v>15</v>
      </c>
      <c r="D743" s="58" t="s">
        <v>7</v>
      </c>
      <c r="E743" s="164" t="str">
        <f>A731&amp;"/"&amp;B739&amp;"/"&amp;C743&amp;"/"&amp;D743</f>
        <v>Lignite fired power plants/Supercritical steam turbine/Electricity only with CCS/L</v>
      </c>
      <c r="F743" s="78" t="str">
        <f>A731</f>
        <v>Lignite fired power plants</v>
      </c>
      <c r="G743" s="78" t="str">
        <f>B739</f>
        <v>Supercritical steam turbine</v>
      </c>
      <c r="H743" s="78" t="str">
        <f>C743</f>
        <v>Electricity only with CCS</v>
      </c>
      <c r="I743" s="165" t="str">
        <f t="shared" si="88"/>
        <v>L</v>
      </c>
      <c r="J743" s="78" t="s">
        <v>112</v>
      </c>
      <c r="K743" s="78" t="s">
        <v>112</v>
      </c>
      <c r="L743" s="78" t="s">
        <v>112</v>
      </c>
      <c r="M743" s="78" t="s">
        <v>112</v>
      </c>
      <c r="N743" s="78" t="s">
        <v>112</v>
      </c>
      <c r="O743" s="78" t="s">
        <v>112</v>
      </c>
      <c r="P743" s="78" t="s">
        <v>112</v>
      </c>
      <c r="Q743" s="78" t="s">
        <v>112</v>
      </c>
      <c r="R743" s="78" t="s">
        <v>112</v>
      </c>
      <c r="S743" s="78" t="s">
        <v>112</v>
      </c>
      <c r="T743" s="78" t="s">
        <v>112</v>
      </c>
      <c r="U743" s="78" t="s">
        <v>112</v>
      </c>
      <c r="V743" s="78" t="s">
        <v>112</v>
      </c>
      <c r="W743" s="78" t="s">
        <v>112</v>
      </c>
      <c r="X743" s="78" t="s">
        <v>112</v>
      </c>
      <c r="Y743" s="78" t="s">
        <v>112</v>
      </c>
      <c r="Z743" s="78" t="s">
        <v>112</v>
      </c>
      <c r="AA743" s="78" t="s">
        <v>112</v>
      </c>
      <c r="AB743" s="78" t="s">
        <v>112</v>
      </c>
      <c r="AC743" s="78" t="s">
        <v>112</v>
      </c>
      <c r="AD743" s="78" t="s">
        <v>112</v>
      </c>
      <c r="AE743" s="78">
        <v>0.89</v>
      </c>
      <c r="AF743" s="78">
        <v>0.89</v>
      </c>
      <c r="AG743" s="78">
        <v>0.89</v>
      </c>
      <c r="AH743" s="78">
        <v>0.89</v>
      </c>
      <c r="AI743" s="78">
        <v>0.89</v>
      </c>
      <c r="AJ743" s="78">
        <v>0.89</v>
      </c>
      <c r="AK743" s="78">
        <v>0.89</v>
      </c>
      <c r="AL743" s="78">
        <v>0.89</v>
      </c>
      <c r="AM743" s="78">
        <v>0.89</v>
      </c>
      <c r="AN743" s="78">
        <v>0.89</v>
      </c>
      <c r="AO743" s="78">
        <v>0.89</v>
      </c>
      <c r="AP743" s="78">
        <v>0.89</v>
      </c>
      <c r="AQ743" s="78">
        <v>0.89</v>
      </c>
      <c r="AR743" s="78">
        <v>0.89</v>
      </c>
      <c r="AS743" s="78">
        <v>0.89</v>
      </c>
      <c r="AT743" s="78">
        <v>0.89</v>
      </c>
      <c r="AU743" s="78">
        <v>0.89</v>
      </c>
      <c r="AV743" s="78">
        <v>0.89</v>
      </c>
      <c r="AW743" s="78">
        <v>0.89</v>
      </c>
      <c r="AX743" s="86">
        <v>0.89</v>
      </c>
    </row>
    <row r="744" spans="1:50" x14ac:dyDescent="0.25">
      <c r="A744" s="356"/>
      <c r="B744" s="359"/>
      <c r="C744" s="360"/>
      <c r="D744" s="59" t="s">
        <v>8</v>
      </c>
      <c r="E744" s="166" t="str">
        <f>A731&amp;"/"&amp;B739&amp;"/"&amp;C743&amp;"/"&amp;D744</f>
        <v>Lignite fired power plants/Supercritical steam turbine/Electricity only with CCS/M</v>
      </c>
      <c r="F744" s="79" t="str">
        <f>A731</f>
        <v>Lignite fired power plants</v>
      </c>
      <c r="G744" s="79" t="str">
        <f>B739</f>
        <v>Supercritical steam turbine</v>
      </c>
      <c r="H744" s="79" t="str">
        <f>C743</f>
        <v>Electricity only with CCS</v>
      </c>
      <c r="I744" s="167" t="str">
        <f t="shared" si="88"/>
        <v>M</v>
      </c>
      <c r="J744" s="79" t="s">
        <v>112</v>
      </c>
      <c r="K744" s="79" t="s">
        <v>112</v>
      </c>
      <c r="L744" s="79" t="s">
        <v>112</v>
      </c>
      <c r="M744" s="79" t="s">
        <v>112</v>
      </c>
      <c r="N744" s="79" t="s">
        <v>112</v>
      </c>
      <c r="O744" s="79" t="s">
        <v>112</v>
      </c>
      <c r="P744" s="79" t="s">
        <v>112</v>
      </c>
      <c r="Q744" s="79" t="s">
        <v>112</v>
      </c>
      <c r="R744" s="79" t="s">
        <v>112</v>
      </c>
      <c r="S744" s="79" t="s">
        <v>112</v>
      </c>
      <c r="T744" s="79" t="s">
        <v>112</v>
      </c>
      <c r="U744" s="79" t="s">
        <v>112</v>
      </c>
      <c r="V744" s="79" t="s">
        <v>112</v>
      </c>
      <c r="W744" s="79" t="s">
        <v>112</v>
      </c>
      <c r="X744" s="79" t="s">
        <v>112</v>
      </c>
      <c r="Y744" s="79" t="s">
        <v>112</v>
      </c>
      <c r="Z744" s="79" t="s">
        <v>112</v>
      </c>
      <c r="AA744" s="79" t="s">
        <v>112</v>
      </c>
      <c r="AB744" s="79" t="s">
        <v>112</v>
      </c>
      <c r="AC744" s="79" t="s">
        <v>112</v>
      </c>
      <c r="AD744" s="79" t="s">
        <v>112</v>
      </c>
      <c r="AE744" s="79">
        <v>0.89</v>
      </c>
      <c r="AF744" s="79">
        <v>0.89</v>
      </c>
      <c r="AG744" s="79">
        <v>0.89</v>
      </c>
      <c r="AH744" s="79">
        <v>0.89</v>
      </c>
      <c r="AI744" s="79">
        <v>0.89</v>
      </c>
      <c r="AJ744" s="79">
        <v>0.89</v>
      </c>
      <c r="AK744" s="79">
        <v>0.89</v>
      </c>
      <c r="AL744" s="79">
        <v>0.89</v>
      </c>
      <c r="AM744" s="79">
        <v>0.89</v>
      </c>
      <c r="AN744" s="79">
        <v>0.89</v>
      </c>
      <c r="AO744" s="79">
        <v>0.89</v>
      </c>
      <c r="AP744" s="79">
        <v>0.89</v>
      </c>
      <c r="AQ744" s="79">
        <v>0.89</v>
      </c>
      <c r="AR744" s="79">
        <v>0.89</v>
      </c>
      <c r="AS744" s="79">
        <v>0.89</v>
      </c>
      <c r="AT744" s="79">
        <v>0.89</v>
      </c>
      <c r="AU744" s="79">
        <v>0.89</v>
      </c>
      <c r="AV744" s="79">
        <v>0.89</v>
      </c>
      <c r="AW744" s="79">
        <v>0.89</v>
      </c>
      <c r="AX744" s="87">
        <v>0.89</v>
      </c>
    </row>
    <row r="745" spans="1:50" x14ac:dyDescent="0.25">
      <c r="A745" s="356"/>
      <c r="B745" s="359"/>
      <c r="C745" s="361" t="s">
        <v>16</v>
      </c>
      <c r="D745" s="2" t="s">
        <v>7</v>
      </c>
      <c r="E745" s="160" t="str">
        <f>A731&amp;"/"&amp;B739&amp;"/"&amp;C745&amp;"/"&amp;D745</f>
        <v>Lignite fired power plants/Supercritical steam turbine/CHP with CCS/L</v>
      </c>
      <c r="F745" s="76" t="str">
        <f>A731</f>
        <v>Lignite fired power plants</v>
      </c>
      <c r="G745" s="76" t="str">
        <f>B739</f>
        <v>Supercritical steam turbine</v>
      </c>
      <c r="H745" s="76" t="str">
        <f>C745</f>
        <v>CHP with CCS</v>
      </c>
      <c r="I745" s="161" t="str">
        <f t="shared" si="88"/>
        <v>L</v>
      </c>
      <c r="J745" s="76" t="s">
        <v>112</v>
      </c>
      <c r="K745" s="76" t="s">
        <v>112</v>
      </c>
      <c r="L745" s="76" t="s">
        <v>112</v>
      </c>
      <c r="M745" s="76" t="s">
        <v>112</v>
      </c>
      <c r="N745" s="76" t="s">
        <v>112</v>
      </c>
      <c r="O745" s="76" t="s">
        <v>112</v>
      </c>
      <c r="P745" s="76" t="s">
        <v>112</v>
      </c>
      <c r="Q745" s="76" t="s">
        <v>112</v>
      </c>
      <c r="R745" s="76" t="s">
        <v>112</v>
      </c>
      <c r="S745" s="76" t="s">
        <v>112</v>
      </c>
      <c r="T745" s="76" t="s">
        <v>112</v>
      </c>
      <c r="U745" s="76" t="s">
        <v>112</v>
      </c>
      <c r="V745" s="76" t="s">
        <v>112</v>
      </c>
      <c r="W745" s="76" t="s">
        <v>112</v>
      </c>
      <c r="X745" s="76" t="s">
        <v>112</v>
      </c>
      <c r="Y745" s="76" t="s">
        <v>112</v>
      </c>
      <c r="Z745" s="76" t="s">
        <v>112</v>
      </c>
      <c r="AA745" s="76" t="s">
        <v>112</v>
      </c>
      <c r="AB745" s="76" t="s">
        <v>112</v>
      </c>
      <c r="AC745" s="76" t="s">
        <v>112</v>
      </c>
      <c r="AD745" s="76" t="s">
        <v>112</v>
      </c>
      <c r="AE745" s="76">
        <v>0.89</v>
      </c>
      <c r="AF745" s="76">
        <v>0.89</v>
      </c>
      <c r="AG745" s="76">
        <v>0.89</v>
      </c>
      <c r="AH745" s="76">
        <v>0.89</v>
      </c>
      <c r="AI745" s="76">
        <v>0.89</v>
      </c>
      <c r="AJ745" s="76">
        <v>0.89</v>
      </c>
      <c r="AK745" s="76">
        <v>0.89</v>
      </c>
      <c r="AL745" s="76">
        <v>0.89</v>
      </c>
      <c r="AM745" s="76">
        <v>0.89</v>
      </c>
      <c r="AN745" s="76">
        <v>0.89</v>
      </c>
      <c r="AO745" s="76">
        <v>0.89</v>
      </c>
      <c r="AP745" s="76">
        <v>0.89</v>
      </c>
      <c r="AQ745" s="76">
        <v>0.89</v>
      </c>
      <c r="AR745" s="76">
        <v>0.89</v>
      </c>
      <c r="AS745" s="76">
        <v>0.89</v>
      </c>
      <c r="AT745" s="76">
        <v>0.89</v>
      </c>
      <c r="AU745" s="76">
        <v>0.89</v>
      </c>
      <c r="AV745" s="76">
        <v>0.89</v>
      </c>
      <c r="AW745" s="76">
        <v>0.89</v>
      </c>
      <c r="AX745" s="84">
        <v>0.89</v>
      </c>
    </row>
    <row r="746" spans="1:50" x14ac:dyDescent="0.25">
      <c r="A746" s="356"/>
      <c r="B746" s="362"/>
      <c r="C746" s="354"/>
      <c r="D746" s="4" t="s">
        <v>8</v>
      </c>
      <c r="E746" s="168" t="str">
        <f>A731&amp;"/"&amp;B739&amp;"/"&amp;C745&amp;"/"&amp;D746</f>
        <v>Lignite fired power plants/Supercritical steam turbine/CHP with CCS/M</v>
      </c>
      <c r="F746" s="80" t="str">
        <f>A731</f>
        <v>Lignite fired power plants</v>
      </c>
      <c r="G746" s="80" t="str">
        <f>B739</f>
        <v>Supercritical steam turbine</v>
      </c>
      <c r="H746" s="80" t="str">
        <f>C745</f>
        <v>CHP with CCS</v>
      </c>
      <c r="I746" s="169" t="str">
        <f t="shared" si="88"/>
        <v>M</v>
      </c>
      <c r="J746" s="80" t="s">
        <v>112</v>
      </c>
      <c r="K746" s="80" t="s">
        <v>112</v>
      </c>
      <c r="L746" s="80" t="s">
        <v>112</v>
      </c>
      <c r="M746" s="80" t="s">
        <v>112</v>
      </c>
      <c r="N746" s="80" t="s">
        <v>112</v>
      </c>
      <c r="O746" s="80" t="s">
        <v>112</v>
      </c>
      <c r="P746" s="80" t="s">
        <v>112</v>
      </c>
      <c r="Q746" s="80" t="s">
        <v>112</v>
      </c>
      <c r="R746" s="80" t="s">
        <v>112</v>
      </c>
      <c r="S746" s="80" t="s">
        <v>112</v>
      </c>
      <c r="T746" s="80" t="s">
        <v>112</v>
      </c>
      <c r="U746" s="80" t="s">
        <v>112</v>
      </c>
      <c r="V746" s="80" t="s">
        <v>112</v>
      </c>
      <c r="W746" s="80" t="s">
        <v>112</v>
      </c>
      <c r="X746" s="80" t="s">
        <v>112</v>
      </c>
      <c r="Y746" s="80" t="s">
        <v>112</v>
      </c>
      <c r="Z746" s="80" t="s">
        <v>112</v>
      </c>
      <c r="AA746" s="80" t="s">
        <v>112</v>
      </c>
      <c r="AB746" s="80" t="s">
        <v>112</v>
      </c>
      <c r="AC746" s="80" t="s">
        <v>112</v>
      </c>
      <c r="AD746" s="80" t="s">
        <v>112</v>
      </c>
      <c r="AE746" s="80">
        <v>0.89</v>
      </c>
      <c r="AF746" s="80">
        <v>0.89</v>
      </c>
      <c r="AG746" s="80">
        <v>0.89</v>
      </c>
      <c r="AH746" s="80">
        <v>0.89</v>
      </c>
      <c r="AI746" s="80">
        <v>0.89</v>
      </c>
      <c r="AJ746" s="80">
        <v>0.89</v>
      </c>
      <c r="AK746" s="80">
        <v>0.89</v>
      </c>
      <c r="AL746" s="80">
        <v>0.89</v>
      </c>
      <c r="AM746" s="80">
        <v>0.89</v>
      </c>
      <c r="AN746" s="80">
        <v>0.89</v>
      </c>
      <c r="AO746" s="80">
        <v>0.89</v>
      </c>
      <c r="AP746" s="80">
        <v>0.89</v>
      </c>
      <c r="AQ746" s="80">
        <v>0.89</v>
      </c>
      <c r="AR746" s="80">
        <v>0.89</v>
      </c>
      <c r="AS746" s="80">
        <v>0.89</v>
      </c>
      <c r="AT746" s="80">
        <v>0.89</v>
      </c>
      <c r="AU746" s="80">
        <v>0.89</v>
      </c>
      <c r="AV746" s="80">
        <v>0.89</v>
      </c>
      <c r="AW746" s="80">
        <v>0.89</v>
      </c>
      <c r="AX746" s="88">
        <v>0.89</v>
      </c>
    </row>
    <row r="747" spans="1:50" x14ac:dyDescent="0.25">
      <c r="A747" s="356"/>
      <c r="B747" s="358" t="s">
        <v>18</v>
      </c>
      <c r="C747" s="353" t="s">
        <v>6</v>
      </c>
      <c r="D747" s="3" t="s">
        <v>7</v>
      </c>
      <c r="E747" s="162" t="str">
        <f>A731&amp;"/"&amp;B747&amp;"/"&amp;C747&amp;"/"&amp;D747</f>
        <v>Lignite fired power plants/Fluidized bed combustion/Electricity only/L</v>
      </c>
      <c r="F747" s="77" t="str">
        <f>A731</f>
        <v>Lignite fired power plants</v>
      </c>
      <c r="G747" s="77" t="str">
        <f>B747</f>
        <v>Fluidized bed combustion</v>
      </c>
      <c r="H747" s="77" t="str">
        <f>C747</f>
        <v>Electricity only</v>
      </c>
      <c r="I747" s="163" t="str">
        <f t="shared" si="88"/>
        <v>L</v>
      </c>
      <c r="J747" s="77">
        <v>0.87</v>
      </c>
      <c r="K747" s="77">
        <v>0.87</v>
      </c>
      <c r="L747" s="77">
        <v>0.87</v>
      </c>
      <c r="M747" s="77">
        <v>0.87</v>
      </c>
      <c r="N747" s="77">
        <v>0.87</v>
      </c>
      <c r="O747" s="77">
        <v>0.87</v>
      </c>
      <c r="P747" s="77">
        <v>0.87</v>
      </c>
      <c r="Q747" s="77">
        <v>0.87</v>
      </c>
      <c r="R747" s="77">
        <v>0.87</v>
      </c>
      <c r="S747" s="77">
        <v>0.87</v>
      </c>
      <c r="T747" s="77">
        <v>0.87</v>
      </c>
      <c r="U747" s="77">
        <v>0.87</v>
      </c>
      <c r="V747" s="77">
        <v>0.87</v>
      </c>
      <c r="W747" s="77">
        <v>0.87</v>
      </c>
      <c r="X747" s="77">
        <v>0.87</v>
      </c>
      <c r="Y747" s="77">
        <v>0.87</v>
      </c>
      <c r="Z747" s="77">
        <v>0.87</v>
      </c>
      <c r="AA747" s="77">
        <v>0.87</v>
      </c>
      <c r="AB747" s="77">
        <v>0.87</v>
      </c>
      <c r="AC747" s="77">
        <v>0.87</v>
      </c>
      <c r="AD747" s="77">
        <v>0.87</v>
      </c>
      <c r="AE747" s="77">
        <v>0.87</v>
      </c>
      <c r="AF747" s="77">
        <v>0.87</v>
      </c>
      <c r="AG747" s="77">
        <v>0.87</v>
      </c>
      <c r="AH747" s="77">
        <v>0.87</v>
      </c>
      <c r="AI747" s="77">
        <v>0.87</v>
      </c>
      <c r="AJ747" s="77">
        <v>0.87</v>
      </c>
      <c r="AK747" s="77">
        <v>0.87</v>
      </c>
      <c r="AL747" s="77">
        <v>0.87</v>
      </c>
      <c r="AM747" s="77">
        <v>0.87</v>
      </c>
      <c r="AN747" s="77">
        <v>0.87</v>
      </c>
      <c r="AO747" s="77">
        <v>0.87</v>
      </c>
      <c r="AP747" s="77">
        <v>0.87</v>
      </c>
      <c r="AQ747" s="77">
        <v>0.87</v>
      </c>
      <c r="AR747" s="77">
        <v>0.87</v>
      </c>
      <c r="AS747" s="77">
        <v>0.87</v>
      </c>
      <c r="AT747" s="77">
        <v>0.87</v>
      </c>
      <c r="AU747" s="77">
        <v>0.87</v>
      </c>
      <c r="AV747" s="77">
        <v>0.87</v>
      </c>
      <c r="AW747" s="77">
        <v>0.87</v>
      </c>
      <c r="AX747" s="85">
        <v>0.87</v>
      </c>
    </row>
    <row r="748" spans="1:50" x14ac:dyDescent="0.25">
      <c r="A748" s="356"/>
      <c r="B748" s="359"/>
      <c r="C748" s="350"/>
      <c r="D748" s="2" t="s">
        <v>8</v>
      </c>
      <c r="E748" s="160" t="str">
        <f>A731&amp;"/"&amp;B747&amp;"/"&amp;C747&amp;"/"&amp;D748</f>
        <v>Lignite fired power plants/Fluidized bed combustion/Electricity only/M</v>
      </c>
      <c r="F748" s="76" t="str">
        <f>A731</f>
        <v>Lignite fired power plants</v>
      </c>
      <c r="G748" s="76" t="str">
        <f>B747</f>
        <v>Fluidized bed combustion</v>
      </c>
      <c r="H748" s="76" t="str">
        <f>C747</f>
        <v>Electricity only</v>
      </c>
      <c r="I748" s="161" t="str">
        <f t="shared" si="88"/>
        <v>M</v>
      </c>
      <c r="J748" s="76">
        <v>0.87</v>
      </c>
      <c r="K748" s="76">
        <v>0.87</v>
      </c>
      <c r="L748" s="76">
        <v>0.87</v>
      </c>
      <c r="M748" s="76">
        <v>0.87</v>
      </c>
      <c r="N748" s="76">
        <v>0.87</v>
      </c>
      <c r="O748" s="76">
        <v>0.87</v>
      </c>
      <c r="P748" s="76">
        <v>0.87</v>
      </c>
      <c r="Q748" s="76">
        <v>0.87</v>
      </c>
      <c r="R748" s="76">
        <v>0.87</v>
      </c>
      <c r="S748" s="76">
        <v>0.87</v>
      </c>
      <c r="T748" s="76">
        <v>0.87</v>
      </c>
      <c r="U748" s="76">
        <v>0.87</v>
      </c>
      <c r="V748" s="76">
        <v>0.87</v>
      </c>
      <c r="W748" s="76">
        <v>0.87</v>
      </c>
      <c r="X748" s="76">
        <v>0.87</v>
      </c>
      <c r="Y748" s="76">
        <v>0.87</v>
      </c>
      <c r="Z748" s="76">
        <v>0.87</v>
      </c>
      <c r="AA748" s="76">
        <v>0.87</v>
      </c>
      <c r="AB748" s="76">
        <v>0.87</v>
      </c>
      <c r="AC748" s="76">
        <v>0.87</v>
      </c>
      <c r="AD748" s="76">
        <v>0.87</v>
      </c>
      <c r="AE748" s="76">
        <v>0.87</v>
      </c>
      <c r="AF748" s="76">
        <v>0.87</v>
      </c>
      <c r="AG748" s="76">
        <v>0.87</v>
      </c>
      <c r="AH748" s="76">
        <v>0.87</v>
      </c>
      <c r="AI748" s="76">
        <v>0.87</v>
      </c>
      <c r="AJ748" s="76">
        <v>0.87</v>
      </c>
      <c r="AK748" s="76">
        <v>0.87</v>
      </c>
      <c r="AL748" s="76">
        <v>0.87</v>
      </c>
      <c r="AM748" s="76">
        <v>0.87</v>
      </c>
      <c r="AN748" s="76">
        <v>0.87</v>
      </c>
      <c r="AO748" s="76">
        <v>0.87</v>
      </c>
      <c r="AP748" s="76">
        <v>0.87</v>
      </c>
      <c r="AQ748" s="76">
        <v>0.87</v>
      </c>
      <c r="AR748" s="76">
        <v>0.87</v>
      </c>
      <c r="AS748" s="76">
        <v>0.87</v>
      </c>
      <c r="AT748" s="76">
        <v>0.87</v>
      </c>
      <c r="AU748" s="76">
        <v>0.87</v>
      </c>
      <c r="AV748" s="76">
        <v>0.87</v>
      </c>
      <c r="AW748" s="76">
        <v>0.87</v>
      </c>
      <c r="AX748" s="84">
        <v>0.87</v>
      </c>
    </row>
    <row r="749" spans="1:50" x14ac:dyDescent="0.25">
      <c r="A749" s="356"/>
      <c r="B749" s="359"/>
      <c r="C749" s="360"/>
      <c r="D749" s="2" t="s">
        <v>10</v>
      </c>
      <c r="E749" s="160" t="str">
        <f>A731&amp;"/"&amp;B747&amp;"/"&amp;C747&amp;"/"&amp;D749</f>
        <v>Lignite fired power plants/Fluidized bed combustion/Electricity only/S</v>
      </c>
      <c r="F749" s="76" t="str">
        <f>A731</f>
        <v>Lignite fired power plants</v>
      </c>
      <c r="G749" s="76" t="str">
        <f>B747</f>
        <v>Fluidized bed combustion</v>
      </c>
      <c r="H749" s="76" t="str">
        <f>C747</f>
        <v>Electricity only</v>
      </c>
      <c r="I749" s="161" t="str">
        <f t="shared" si="88"/>
        <v>S</v>
      </c>
      <c r="J749" s="76">
        <v>0.87</v>
      </c>
      <c r="K749" s="76">
        <v>0.87</v>
      </c>
      <c r="L749" s="76">
        <v>0.87</v>
      </c>
      <c r="M749" s="76">
        <v>0.87</v>
      </c>
      <c r="N749" s="76">
        <v>0.87</v>
      </c>
      <c r="O749" s="76">
        <v>0.87</v>
      </c>
      <c r="P749" s="76">
        <v>0.87</v>
      </c>
      <c r="Q749" s="76">
        <v>0.87</v>
      </c>
      <c r="R749" s="76">
        <v>0.87</v>
      </c>
      <c r="S749" s="76">
        <v>0.87</v>
      </c>
      <c r="T749" s="76">
        <v>0.87</v>
      </c>
      <c r="U749" s="76">
        <v>0.87</v>
      </c>
      <c r="V749" s="76">
        <v>0.87</v>
      </c>
      <c r="W749" s="76">
        <v>0.87</v>
      </c>
      <c r="X749" s="76">
        <v>0.87</v>
      </c>
      <c r="Y749" s="76">
        <v>0.87</v>
      </c>
      <c r="Z749" s="76">
        <v>0.87</v>
      </c>
      <c r="AA749" s="76">
        <v>0.87</v>
      </c>
      <c r="AB749" s="76">
        <v>0.87</v>
      </c>
      <c r="AC749" s="76">
        <v>0.87</v>
      </c>
      <c r="AD749" s="76">
        <v>0.87</v>
      </c>
      <c r="AE749" s="76">
        <v>0.87</v>
      </c>
      <c r="AF749" s="76">
        <v>0.87</v>
      </c>
      <c r="AG749" s="76">
        <v>0.87</v>
      </c>
      <c r="AH749" s="76">
        <v>0.87</v>
      </c>
      <c r="AI749" s="76">
        <v>0.87</v>
      </c>
      <c r="AJ749" s="76">
        <v>0.87</v>
      </c>
      <c r="AK749" s="76">
        <v>0.87</v>
      </c>
      <c r="AL749" s="76">
        <v>0.87</v>
      </c>
      <c r="AM749" s="76">
        <v>0.87</v>
      </c>
      <c r="AN749" s="76">
        <v>0.87</v>
      </c>
      <c r="AO749" s="76">
        <v>0.87</v>
      </c>
      <c r="AP749" s="76">
        <v>0.87</v>
      </c>
      <c r="AQ749" s="76">
        <v>0.87</v>
      </c>
      <c r="AR749" s="76">
        <v>0.87</v>
      </c>
      <c r="AS749" s="76">
        <v>0.87</v>
      </c>
      <c r="AT749" s="76">
        <v>0.87</v>
      </c>
      <c r="AU749" s="76">
        <v>0.87</v>
      </c>
      <c r="AV749" s="76">
        <v>0.87</v>
      </c>
      <c r="AW749" s="76">
        <v>0.87</v>
      </c>
      <c r="AX749" s="84">
        <v>0.87</v>
      </c>
    </row>
    <row r="750" spans="1:50" x14ac:dyDescent="0.25">
      <c r="A750" s="356"/>
      <c r="B750" s="359"/>
      <c r="C750" s="361" t="s">
        <v>14</v>
      </c>
      <c r="D750" s="58" t="s">
        <v>7</v>
      </c>
      <c r="E750" s="164" t="str">
        <f>A731&amp;"/"&amp;B747&amp;"/"&amp;C750&amp;"/"&amp;D750</f>
        <v>Lignite fired power plants/Fluidized bed combustion/CHP/L</v>
      </c>
      <c r="F750" s="78" t="str">
        <f>A731</f>
        <v>Lignite fired power plants</v>
      </c>
      <c r="G750" s="78" t="str">
        <f>B747</f>
        <v>Fluidized bed combustion</v>
      </c>
      <c r="H750" s="78" t="str">
        <f>C750</f>
        <v>CHP</v>
      </c>
      <c r="I750" s="165" t="str">
        <f t="shared" si="88"/>
        <v>L</v>
      </c>
      <c r="J750" s="78">
        <v>0.87</v>
      </c>
      <c r="K750" s="78">
        <v>0.87</v>
      </c>
      <c r="L750" s="78">
        <v>0.87</v>
      </c>
      <c r="M750" s="78">
        <v>0.87</v>
      </c>
      <c r="N750" s="78">
        <v>0.87</v>
      </c>
      <c r="O750" s="78">
        <v>0.87</v>
      </c>
      <c r="P750" s="78">
        <v>0.87</v>
      </c>
      <c r="Q750" s="78">
        <v>0.87</v>
      </c>
      <c r="R750" s="78">
        <v>0.87</v>
      </c>
      <c r="S750" s="78">
        <v>0.87</v>
      </c>
      <c r="T750" s="78">
        <v>0.87</v>
      </c>
      <c r="U750" s="78">
        <v>0.87</v>
      </c>
      <c r="V750" s="78">
        <v>0.87</v>
      </c>
      <c r="W750" s="78">
        <v>0.87</v>
      </c>
      <c r="X750" s="78">
        <v>0.87</v>
      </c>
      <c r="Y750" s="78">
        <v>0.87</v>
      </c>
      <c r="Z750" s="78">
        <v>0.87</v>
      </c>
      <c r="AA750" s="78">
        <v>0.87</v>
      </c>
      <c r="AB750" s="78">
        <v>0.87</v>
      </c>
      <c r="AC750" s="78">
        <v>0.87</v>
      </c>
      <c r="AD750" s="78">
        <v>0.87</v>
      </c>
      <c r="AE750" s="78">
        <v>0.87</v>
      </c>
      <c r="AF750" s="78">
        <v>0.87</v>
      </c>
      <c r="AG750" s="78">
        <v>0.87</v>
      </c>
      <c r="AH750" s="78">
        <v>0.87</v>
      </c>
      <c r="AI750" s="78">
        <v>0.87</v>
      </c>
      <c r="AJ750" s="78">
        <v>0.87</v>
      </c>
      <c r="AK750" s="78">
        <v>0.87</v>
      </c>
      <c r="AL750" s="78">
        <v>0.87</v>
      </c>
      <c r="AM750" s="78">
        <v>0.87</v>
      </c>
      <c r="AN750" s="78">
        <v>0.87</v>
      </c>
      <c r="AO750" s="78">
        <v>0.87</v>
      </c>
      <c r="AP750" s="78">
        <v>0.87</v>
      </c>
      <c r="AQ750" s="78">
        <v>0.87</v>
      </c>
      <c r="AR750" s="78">
        <v>0.87</v>
      </c>
      <c r="AS750" s="78">
        <v>0.87</v>
      </c>
      <c r="AT750" s="78">
        <v>0.87</v>
      </c>
      <c r="AU750" s="78">
        <v>0.87</v>
      </c>
      <c r="AV750" s="78">
        <v>0.87</v>
      </c>
      <c r="AW750" s="78">
        <v>0.87</v>
      </c>
      <c r="AX750" s="86">
        <v>0.87</v>
      </c>
    </row>
    <row r="751" spans="1:50" x14ac:dyDescent="0.25">
      <c r="A751" s="356"/>
      <c r="B751" s="359"/>
      <c r="C751" s="350"/>
      <c r="D751" s="2" t="s">
        <v>8</v>
      </c>
      <c r="E751" s="160" t="str">
        <f>A731&amp;"/"&amp;B747&amp;"/"&amp;C750&amp;"/"&amp;D751</f>
        <v>Lignite fired power plants/Fluidized bed combustion/CHP/M</v>
      </c>
      <c r="F751" s="76" t="str">
        <f>A731</f>
        <v>Lignite fired power plants</v>
      </c>
      <c r="G751" s="76" t="str">
        <f>B747</f>
        <v>Fluidized bed combustion</v>
      </c>
      <c r="H751" s="76" t="str">
        <f>C750</f>
        <v>CHP</v>
      </c>
      <c r="I751" s="161" t="str">
        <f t="shared" ref="I751:I814" si="89">D751</f>
        <v>M</v>
      </c>
      <c r="J751" s="76">
        <v>0.87</v>
      </c>
      <c r="K751" s="76">
        <v>0.87</v>
      </c>
      <c r="L751" s="76">
        <v>0.87</v>
      </c>
      <c r="M751" s="76">
        <v>0.87</v>
      </c>
      <c r="N751" s="76">
        <v>0.87</v>
      </c>
      <c r="O751" s="76">
        <v>0.87</v>
      </c>
      <c r="P751" s="76">
        <v>0.87</v>
      </c>
      <c r="Q751" s="76">
        <v>0.87</v>
      </c>
      <c r="R751" s="76">
        <v>0.87</v>
      </c>
      <c r="S751" s="76">
        <v>0.87</v>
      </c>
      <c r="T751" s="76">
        <v>0.87</v>
      </c>
      <c r="U751" s="76">
        <v>0.87</v>
      </c>
      <c r="V751" s="76">
        <v>0.87</v>
      </c>
      <c r="W751" s="76">
        <v>0.87</v>
      </c>
      <c r="X751" s="76">
        <v>0.87</v>
      </c>
      <c r="Y751" s="76">
        <v>0.87</v>
      </c>
      <c r="Z751" s="76">
        <v>0.87</v>
      </c>
      <c r="AA751" s="76">
        <v>0.87</v>
      </c>
      <c r="AB751" s="76">
        <v>0.87</v>
      </c>
      <c r="AC751" s="76">
        <v>0.87</v>
      </c>
      <c r="AD751" s="76">
        <v>0.87</v>
      </c>
      <c r="AE751" s="76">
        <v>0.87</v>
      </c>
      <c r="AF751" s="76">
        <v>0.87</v>
      </c>
      <c r="AG751" s="76">
        <v>0.87</v>
      </c>
      <c r="AH751" s="76">
        <v>0.87</v>
      </c>
      <c r="AI751" s="76">
        <v>0.87</v>
      </c>
      <c r="AJ751" s="76">
        <v>0.87</v>
      </c>
      <c r="AK751" s="76">
        <v>0.87</v>
      </c>
      <c r="AL751" s="76">
        <v>0.87</v>
      </c>
      <c r="AM751" s="76">
        <v>0.87</v>
      </c>
      <c r="AN751" s="76">
        <v>0.87</v>
      </c>
      <c r="AO751" s="76">
        <v>0.87</v>
      </c>
      <c r="AP751" s="76">
        <v>0.87</v>
      </c>
      <c r="AQ751" s="76">
        <v>0.87</v>
      </c>
      <c r="AR751" s="76">
        <v>0.87</v>
      </c>
      <c r="AS751" s="76">
        <v>0.87</v>
      </c>
      <c r="AT751" s="76">
        <v>0.87</v>
      </c>
      <c r="AU751" s="76">
        <v>0.87</v>
      </c>
      <c r="AV751" s="76">
        <v>0.87</v>
      </c>
      <c r="AW751" s="76">
        <v>0.87</v>
      </c>
      <c r="AX751" s="84">
        <v>0.87</v>
      </c>
    </row>
    <row r="752" spans="1:50" x14ac:dyDescent="0.25">
      <c r="A752" s="356"/>
      <c r="B752" s="359"/>
      <c r="C752" s="360"/>
      <c r="D752" s="59" t="s">
        <v>10</v>
      </c>
      <c r="E752" s="166" t="str">
        <f>A731&amp;"/"&amp;B747&amp;"/"&amp;C750&amp;"/"&amp;D752</f>
        <v>Lignite fired power plants/Fluidized bed combustion/CHP/S</v>
      </c>
      <c r="F752" s="79" t="str">
        <f>A731</f>
        <v>Lignite fired power plants</v>
      </c>
      <c r="G752" s="79" t="str">
        <f>B747</f>
        <v>Fluidized bed combustion</v>
      </c>
      <c r="H752" s="79" t="str">
        <f>C750</f>
        <v>CHP</v>
      </c>
      <c r="I752" s="167" t="str">
        <f t="shared" si="89"/>
        <v>S</v>
      </c>
      <c r="J752" s="79">
        <v>0.87</v>
      </c>
      <c r="K752" s="79">
        <v>0.87</v>
      </c>
      <c r="L752" s="79">
        <v>0.87</v>
      </c>
      <c r="M752" s="79">
        <v>0.87</v>
      </c>
      <c r="N752" s="79">
        <v>0.87</v>
      </c>
      <c r="O752" s="79">
        <v>0.87</v>
      </c>
      <c r="P752" s="79">
        <v>0.87</v>
      </c>
      <c r="Q752" s="79">
        <v>0.87</v>
      </c>
      <c r="R752" s="79">
        <v>0.87</v>
      </c>
      <c r="S752" s="79">
        <v>0.87</v>
      </c>
      <c r="T752" s="79">
        <v>0.87</v>
      </c>
      <c r="U752" s="79">
        <v>0.87</v>
      </c>
      <c r="V752" s="79">
        <v>0.87</v>
      </c>
      <c r="W752" s="79">
        <v>0.87</v>
      </c>
      <c r="X752" s="79">
        <v>0.87</v>
      </c>
      <c r="Y752" s="79">
        <v>0.87</v>
      </c>
      <c r="Z752" s="79">
        <v>0.87</v>
      </c>
      <c r="AA752" s="79">
        <v>0.87</v>
      </c>
      <c r="AB752" s="79">
        <v>0.87</v>
      </c>
      <c r="AC752" s="79">
        <v>0.87</v>
      </c>
      <c r="AD752" s="79">
        <v>0.87</v>
      </c>
      <c r="AE752" s="79">
        <v>0.87</v>
      </c>
      <c r="AF752" s="79">
        <v>0.87</v>
      </c>
      <c r="AG752" s="79">
        <v>0.87</v>
      </c>
      <c r="AH752" s="79">
        <v>0.87</v>
      </c>
      <c r="AI752" s="79">
        <v>0.87</v>
      </c>
      <c r="AJ752" s="79">
        <v>0.87</v>
      </c>
      <c r="AK752" s="79">
        <v>0.87</v>
      </c>
      <c r="AL752" s="79">
        <v>0.87</v>
      </c>
      <c r="AM752" s="79">
        <v>0.87</v>
      </c>
      <c r="AN752" s="79">
        <v>0.87</v>
      </c>
      <c r="AO752" s="79">
        <v>0.87</v>
      </c>
      <c r="AP752" s="79">
        <v>0.87</v>
      </c>
      <c r="AQ752" s="79">
        <v>0.87</v>
      </c>
      <c r="AR752" s="79">
        <v>0.87</v>
      </c>
      <c r="AS752" s="79">
        <v>0.87</v>
      </c>
      <c r="AT752" s="79">
        <v>0.87</v>
      </c>
      <c r="AU752" s="79">
        <v>0.87</v>
      </c>
      <c r="AV752" s="79">
        <v>0.87</v>
      </c>
      <c r="AW752" s="79">
        <v>0.87</v>
      </c>
      <c r="AX752" s="87">
        <v>0.87</v>
      </c>
    </row>
    <row r="753" spans="1:50" x14ac:dyDescent="0.25">
      <c r="A753" s="356"/>
      <c r="B753" s="359"/>
      <c r="C753" s="361" t="s">
        <v>15</v>
      </c>
      <c r="D753" s="58" t="s">
        <v>7</v>
      </c>
      <c r="E753" s="164" t="str">
        <f>A731&amp;"/"&amp;B747&amp;"/"&amp;C753&amp;"/"&amp;D753</f>
        <v>Lignite fired power plants/Fluidized bed combustion/Electricity only with CCS/L</v>
      </c>
      <c r="F753" s="78" t="str">
        <f>A731</f>
        <v>Lignite fired power plants</v>
      </c>
      <c r="G753" s="78" t="str">
        <f>B747</f>
        <v>Fluidized bed combustion</v>
      </c>
      <c r="H753" s="78" t="str">
        <f>C753</f>
        <v>Electricity only with CCS</v>
      </c>
      <c r="I753" s="165" t="str">
        <f t="shared" si="89"/>
        <v>L</v>
      </c>
      <c r="J753" s="78" t="s">
        <v>112</v>
      </c>
      <c r="K753" s="78" t="s">
        <v>112</v>
      </c>
      <c r="L753" s="78" t="s">
        <v>112</v>
      </c>
      <c r="M753" s="78" t="s">
        <v>112</v>
      </c>
      <c r="N753" s="78" t="s">
        <v>112</v>
      </c>
      <c r="O753" s="78" t="s">
        <v>112</v>
      </c>
      <c r="P753" s="78" t="s">
        <v>112</v>
      </c>
      <c r="Q753" s="78" t="s">
        <v>112</v>
      </c>
      <c r="R753" s="78" t="s">
        <v>112</v>
      </c>
      <c r="S753" s="78" t="s">
        <v>112</v>
      </c>
      <c r="T753" s="78" t="s">
        <v>112</v>
      </c>
      <c r="U753" s="78" t="s">
        <v>112</v>
      </c>
      <c r="V753" s="78" t="s">
        <v>112</v>
      </c>
      <c r="W753" s="78" t="s">
        <v>112</v>
      </c>
      <c r="X753" s="78" t="s">
        <v>112</v>
      </c>
      <c r="Y753" s="78" t="s">
        <v>112</v>
      </c>
      <c r="Z753" s="78" t="s">
        <v>112</v>
      </c>
      <c r="AA753" s="78" t="s">
        <v>112</v>
      </c>
      <c r="AB753" s="78" t="s">
        <v>112</v>
      </c>
      <c r="AC753" s="78" t="s">
        <v>112</v>
      </c>
      <c r="AD753" s="78" t="s">
        <v>112</v>
      </c>
      <c r="AE753" s="78">
        <v>0.87</v>
      </c>
      <c r="AF753" s="78">
        <v>0.87</v>
      </c>
      <c r="AG753" s="78">
        <v>0.87</v>
      </c>
      <c r="AH753" s="78">
        <v>0.87</v>
      </c>
      <c r="AI753" s="78">
        <v>0.87</v>
      </c>
      <c r="AJ753" s="78">
        <v>0.87</v>
      </c>
      <c r="AK753" s="78">
        <v>0.87</v>
      </c>
      <c r="AL753" s="78">
        <v>0.87</v>
      </c>
      <c r="AM753" s="78">
        <v>0.87</v>
      </c>
      <c r="AN753" s="78">
        <v>0.87</v>
      </c>
      <c r="AO753" s="78">
        <v>0.87</v>
      </c>
      <c r="AP753" s="78">
        <v>0.87</v>
      </c>
      <c r="AQ753" s="78">
        <v>0.87</v>
      </c>
      <c r="AR753" s="78">
        <v>0.87</v>
      </c>
      <c r="AS753" s="78">
        <v>0.87</v>
      </c>
      <c r="AT753" s="78">
        <v>0.87</v>
      </c>
      <c r="AU753" s="78">
        <v>0.87</v>
      </c>
      <c r="AV753" s="78">
        <v>0.87</v>
      </c>
      <c r="AW753" s="78">
        <v>0.87</v>
      </c>
      <c r="AX753" s="86">
        <v>0.87</v>
      </c>
    </row>
    <row r="754" spans="1:50" x14ac:dyDescent="0.25">
      <c r="A754" s="356"/>
      <c r="B754" s="359"/>
      <c r="C754" s="360"/>
      <c r="D754" s="59" t="s">
        <v>8</v>
      </c>
      <c r="E754" s="166" t="str">
        <f>A731&amp;"/"&amp;B747&amp;"/"&amp;C753&amp;"/"&amp;D754</f>
        <v>Lignite fired power plants/Fluidized bed combustion/Electricity only with CCS/M</v>
      </c>
      <c r="F754" s="79" t="str">
        <f>A731</f>
        <v>Lignite fired power plants</v>
      </c>
      <c r="G754" s="79" t="str">
        <f>B747</f>
        <v>Fluidized bed combustion</v>
      </c>
      <c r="H754" s="79" t="str">
        <f>C753</f>
        <v>Electricity only with CCS</v>
      </c>
      <c r="I754" s="167" t="str">
        <f t="shared" si="89"/>
        <v>M</v>
      </c>
      <c r="J754" s="79" t="s">
        <v>112</v>
      </c>
      <c r="K754" s="79" t="s">
        <v>112</v>
      </c>
      <c r="L754" s="79" t="s">
        <v>112</v>
      </c>
      <c r="M754" s="79" t="s">
        <v>112</v>
      </c>
      <c r="N754" s="79" t="s">
        <v>112</v>
      </c>
      <c r="O754" s="79" t="s">
        <v>112</v>
      </c>
      <c r="P754" s="79" t="s">
        <v>112</v>
      </c>
      <c r="Q754" s="79" t="s">
        <v>112</v>
      </c>
      <c r="R754" s="79" t="s">
        <v>112</v>
      </c>
      <c r="S754" s="79" t="s">
        <v>112</v>
      </c>
      <c r="T754" s="79" t="s">
        <v>112</v>
      </c>
      <c r="U754" s="79" t="s">
        <v>112</v>
      </c>
      <c r="V754" s="79" t="s">
        <v>112</v>
      </c>
      <c r="W754" s="79" t="s">
        <v>112</v>
      </c>
      <c r="X754" s="79" t="s">
        <v>112</v>
      </c>
      <c r="Y754" s="79" t="s">
        <v>112</v>
      </c>
      <c r="Z754" s="79" t="s">
        <v>112</v>
      </c>
      <c r="AA754" s="79" t="s">
        <v>112</v>
      </c>
      <c r="AB754" s="79" t="s">
        <v>112</v>
      </c>
      <c r="AC754" s="79" t="s">
        <v>112</v>
      </c>
      <c r="AD754" s="79" t="s">
        <v>112</v>
      </c>
      <c r="AE754" s="79">
        <v>0.87</v>
      </c>
      <c r="AF754" s="79">
        <v>0.87</v>
      </c>
      <c r="AG754" s="79">
        <v>0.87</v>
      </c>
      <c r="AH754" s="79">
        <v>0.87</v>
      </c>
      <c r="AI754" s="79">
        <v>0.87</v>
      </c>
      <c r="AJ754" s="79">
        <v>0.87</v>
      </c>
      <c r="AK754" s="79">
        <v>0.87</v>
      </c>
      <c r="AL754" s="79">
        <v>0.87</v>
      </c>
      <c r="AM754" s="79">
        <v>0.87</v>
      </c>
      <c r="AN754" s="79">
        <v>0.87</v>
      </c>
      <c r="AO754" s="79">
        <v>0.87</v>
      </c>
      <c r="AP754" s="79">
        <v>0.87</v>
      </c>
      <c r="AQ754" s="79">
        <v>0.87</v>
      </c>
      <c r="AR754" s="79">
        <v>0.87</v>
      </c>
      <c r="AS754" s="79">
        <v>0.87</v>
      </c>
      <c r="AT754" s="79">
        <v>0.87</v>
      </c>
      <c r="AU754" s="79">
        <v>0.87</v>
      </c>
      <c r="AV754" s="79">
        <v>0.87</v>
      </c>
      <c r="AW754" s="79">
        <v>0.87</v>
      </c>
      <c r="AX754" s="87">
        <v>0.87</v>
      </c>
    </row>
    <row r="755" spans="1:50" x14ac:dyDescent="0.25">
      <c r="A755" s="356"/>
      <c r="B755" s="359"/>
      <c r="C755" s="361" t="s">
        <v>16</v>
      </c>
      <c r="D755" s="2" t="s">
        <v>7</v>
      </c>
      <c r="E755" s="160" t="str">
        <f>A731&amp;"/"&amp;B747&amp;"/"&amp;C755&amp;"/"&amp;D755</f>
        <v>Lignite fired power plants/Fluidized bed combustion/CHP with CCS/L</v>
      </c>
      <c r="F755" s="76" t="str">
        <f>A731</f>
        <v>Lignite fired power plants</v>
      </c>
      <c r="G755" s="76" t="str">
        <f>B747</f>
        <v>Fluidized bed combustion</v>
      </c>
      <c r="H755" s="76" t="str">
        <f>C755</f>
        <v>CHP with CCS</v>
      </c>
      <c r="I755" s="161" t="str">
        <f t="shared" si="89"/>
        <v>L</v>
      </c>
      <c r="J755" s="76" t="s">
        <v>112</v>
      </c>
      <c r="K755" s="76" t="s">
        <v>112</v>
      </c>
      <c r="L755" s="76" t="s">
        <v>112</v>
      </c>
      <c r="M755" s="76" t="s">
        <v>112</v>
      </c>
      <c r="N755" s="76" t="s">
        <v>112</v>
      </c>
      <c r="O755" s="76" t="s">
        <v>112</v>
      </c>
      <c r="P755" s="76" t="s">
        <v>112</v>
      </c>
      <c r="Q755" s="76" t="s">
        <v>112</v>
      </c>
      <c r="R755" s="76" t="s">
        <v>112</v>
      </c>
      <c r="S755" s="76" t="s">
        <v>112</v>
      </c>
      <c r="T755" s="76" t="s">
        <v>112</v>
      </c>
      <c r="U755" s="76" t="s">
        <v>112</v>
      </c>
      <c r="V755" s="76" t="s">
        <v>112</v>
      </c>
      <c r="W755" s="76" t="s">
        <v>112</v>
      </c>
      <c r="X755" s="76" t="s">
        <v>112</v>
      </c>
      <c r="Y755" s="76" t="s">
        <v>112</v>
      </c>
      <c r="Z755" s="76" t="s">
        <v>112</v>
      </c>
      <c r="AA755" s="76" t="s">
        <v>112</v>
      </c>
      <c r="AB755" s="76" t="s">
        <v>112</v>
      </c>
      <c r="AC755" s="76" t="s">
        <v>112</v>
      </c>
      <c r="AD755" s="76" t="s">
        <v>112</v>
      </c>
      <c r="AE755" s="76">
        <v>0.87</v>
      </c>
      <c r="AF755" s="76">
        <v>0.87</v>
      </c>
      <c r="AG755" s="76">
        <v>0.87</v>
      </c>
      <c r="AH755" s="76">
        <v>0.87</v>
      </c>
      <c r="AI755" s="76">
        <v>0.87</v>
      </c>
      <c r="AJ755" s="76">
        <v>0.87</v>
      </c>
      <c r="AK755" s="76">
        <v>0.87</v>
      </c>
      <c r="AL755" s="76">
        <v>0.87</v>
      </c>
      <c r="AM755" s="76">
        <v>0.87</v>
      </c>
      <c r="AN755" s="76">
        <v>0.87</v>
      </c>
      <c r="AO755" s="76">
        <v>0.87</v>
      </c>
      <c r="AP755" s="76">
        <v>0.87</v>
      </c>
      <c r="AQ755" s="76">
        <v>0.87</v>
      </c>
      <c r="AR755" s="76">
        <v>0.87</v>
      </c>
      <c r="AS755" s="76">
        <v>0.87</v>
      </c>
      <c r="AT755" s="76">
        <v>0.87</v>
      </c>
      <c r="AU755" s="76">
        <v>0.87</v>
      </c>
      <c r="AV755" s="76">
        <v>0.87</v>
      </c>
      <c r="AW755" s="76">
        <v>0.87</v>
      </c>
      <c r="AX755" s="84">
        <v>0.87</v>
      </c>
    </row>
    <row r="756" spans="1:50" x14ac:dyDescent="0.25">
      <c r="A756" s="356"/>
      <c r="B756" s="362"/>
      <c r="C756" s="354"/>
      <c r="D756" s="4" t="s">
        <v>8</v>
      </c>
      <c r="E756" s="168" t="str">
        <f>A731&amp;"/"&amp;B747&amp;"/"&amp;C755&amp;"/"&amp;D756</f>
        <v>Lignite fired power plants/Fluidized bed combustion/CHP with CCS/M</v>
      </c>
      <c r="F756" s="80" t="str">
        <f>A731</f>
        <v>Lignite fired power plants</v>
      </c>
      <c r="G756" s="80" t="str">
        <f>B747</f>
        <v>Fluidized bed combustion</v>
      </c>
      <c r="H756" s="80" t="str">
        <f>C755</f>
        <v>CHP with CCS</v>
      </c>
      <c r="I756" s="169" t="str">
        <f t="shared" si="89"/>
        <v>M</v>
      </c>
      <c r="J756" s="80" t="s">
        <v>112</v>
      </c>
      <c r="K756" s="80" t="s">
        <v>112</v>
      </c>
      <c r="L756" s="80" t="s">
        <v>112</v>
      </c>
      <c r="M756" s="80" t="s">
        <v>112</v>
      </c>
      <c r="N756" s="80" t="s">
        <v>112</v>
      </c>
      <c r="O756" s="80" t="s">
        <v>112</v>
      </c>
      <c r="P756" s="80" t="s">
        <v>112</v>
      </c>
      <c r="Q756" s="80" t="s">
        <v>112</v>
      </c>
      <c r="R756" s="80" t="s">
        <v>112</v>
      </c>
      <c r="S756" s="80" t="s">
        <v>112</v>
      </c>
      <c r="T756" s="80" t="s">
        <v>112</v>
      </c>
      <c r="U756" s="80" t="s">
        <v>112</v>
      </c>
      <c r="V756" s="80" t="s">
        <v>112</v>
      </c>
      <c r="W756" s="80" t="s">
        <v>112</v>
      </c>
      <c r="X756" s="80" t="s">
        <v>112</v>
      </c>
      <c r="Y756" s="80" t="s">
        <v>112</v>
      </c>
      <c r="Z756" s="80" t="s">
        <v>112</v>
      </c>
      <c r="AA756" s="80" t="s">
        <v>112</v>
      </c>
      <c r="AB756" s="80" t="s">
        <v>112</v>
      </c>
      <c r="AC756" s="80" t="s">
        <v>112</v>
      </c>
      <c r="AD756" s="80" t="s">
        <v>112</v>
      </c>
      <c r="AE756" s="80">
        <v>0.87</v>
      </c>
      <c r="AF756" s="80">
        <v>0.87</v>
      </c>
      <c r="AG756" s="80">
        <v>0.87</v>
      </c>
      <c r="AH756" s="80">
        <v>0.87</v>
      </c>
      <c r="AI756" s="80">
        <v>0.87</v>
      </c>
      <c r="AJ756" s="80">
        <v>0.87</v>
      </c>
      <c r="AK756" s="80">
        <v>0.87</v>
      </c>
      <c r="AL756" s="80">
        <v>0.87</v>
      </c>
      <c r="AM756" s="80">
        <v>0.87</v>
      </c>
      <c r="AN756" s="80">
        <v>0.87</v>
      </c>
      <c r="AO756" s="80">
        <v>0.87</v>
      </c>
      <c r="AP756" s="80">
        <v>0.87</v>
      </c>
      <c r="AQ756" s="80">
        <v>0.87</v>
      </c>
      <c r="AR756" s="80">
        <v>0.87</v>
      </c>
      <c r="AS756" s="80">
        <v>0.87</v>
      </c>
      <c r="AT756" s="80">
        <v>0.87</v>
      </c>
      <c r="AU756" s="80">
        <v>0.87</v>
      </c>
      <c r="AV756" s="80">
        <v>0.87</v>
      </c>
      <c r="AW756" s="80">
        <v>0.87</v>
      </c>
      <c r="AX756" s="88">
        <v>0.87</v>
      </c>
    </row>
    <row r="757" spans="1:50" x14ac:dyDescent="0.25">
      <c r="A757" s="356"/>
      <c r="B757" s="358" t="s">
        <v>19</v>
      </c>
      <c r="C757" s="353" t="s">
        <v>6</v>
      </c>
      <c r="D757" s="3" t="s">
        <v>7</v>
      </c>
      <c r="E757" s="162" t="str">
        <f>A731&amp;"/"&amp;B757&amp;"/"&amp;C757&amp;"/"&amp;D757</f>
        <v>Lignite fired power plants/Steam turbine/Electricity only/L</v>
      </c>
      <c r="F757" s="77" t="str">
        <f>A731</f>
        <v>Lignite fired power plants</v>
      </c>
      <c r="G757" s="77" t="str">
        <f>B757</f>
        <v>Steam turbine</v>
      </c>
      <c r="H757" s="77" t="str">
        <f>C757</f>
        <v>Electricity only</v>
      </c>
      <c r="I757" s="163" t="str">
        <f t="shared" si="89"/>
        <v>L</v>
      </c>
      <c r="J757" s="77">
        <v>0.9</v>
      </c>
      <c r="K757" s="77">
        <v>0.9</v>
      </c>
      <c r="L757" s="77">
        <v>0.9</v>
      </c>
      <c r="M757" s="77">
        <v>0.9</v>
      </c>
      <c r="N757" s="77">
        <v>0.9</v>
      </c>
      <c r="O757" s="77">
        <v>0.9</v>
      </c>
      <c r="P757" s="77">
        <v>0.9</v>
      </c>
      <c r="Q757" s="77">
        <v>0.9</v>
      </c>
      <c r="R757" s="77">
        <v>0.9</v>
      </c>
      <c r="S757" s="77">
        <v>0.9</v>
      </c>
      <c r="T757" s="77">
        <v>0.9</v>
      </c>
      <c r="U757" s="77">
        <v>0.9</v>
      </c>
      <c r="V757" s="77">
        <v>0.9</v>
      </c>
      <c r="W757" s="77">
        <v>0.9</v>
      </c>
      <c r="X757" s="77">
        <v>0.9</v>
      </c>
      <c r="Y757" s="77">
        <v>0.9</v>
      </c>
      <c r="Z757" s="77">
        <v>0.9</v>
      </c>
      <c r="AA757" s="77">
        <v>0.9</v>
      </c>
      <c r="AB757" s="77">
        <v>0.9</v>
      </c>
      <c r="AC757" s="77">
        <v>0.9</v>
      </c>
      <c r="AD757" s="77">
        <v>0.9</v>
      </c>
      <c r="AE757" s="77">
        <v>0.9</v>
      </c>
      <c r="AF757" s="77">
        <v>0.9</v>
      </c>
      <c r="AG757" s="77">
        <v>0.9</v>
      </c>
      <c r="AH757" s="77">
        <v>0.9</v>
      </c>
      <c r="AI757" s="77">
        <v>0.9</v>
      </c>
      <c r="AJ757" s="77">
        <v>0.9</v>
      </c>
      <c r="AK757" s="77">
        <v>0.9</v>
      </c>
      <c r="AL757" s="77">
        <v>0.9</v>
      </c>
      <c r="AM757" s="77">
        <v>0.9</v>
      </c>
      <c r="AN757" s="77">
        <v>0.9</v>
      </c>
      <c r="AO757" s="77">
        <v>0.9</v>
      </c>
      <c r="AP757" s="77">
        <v>0.9</v>
      </c>
      <c r="AQ757" s="77">
        <v>0.9</v>
      </c>
      <c r="AR757" s="77">
        <v>0.9</v>
      </c>
      <c r="AS757" s="77">
        <v>0.9</v>
      </c>
      <c r="AT757" s="77">
        <v>0.9</v>
      </c>
      <c r="AU757" s="77">
        <v>0.9</v>
      </c>
      <c r="AV757" s="77">
        <v>0.9</v>
      </c>
      <c r="AW757" s="77">
        <v>0.9</v>
      </c>
      <c r="AX757" s="85">
        <v>0.9</v>
      </c>
    </row>
    <row r="758" spans="1:50" x14ac:dyDescent="0.25">
      <c r="A758" s="356"/>
      <c r="B758" s="359"/>
      <c r="C758" s="350"/>
      <c r="D758" s="2" t="s">
        <v>8</v>
      </c>
      <c r="E758" s="160" t="str">
        <f>A731&amp;"/"&amp;B757&amp;"/"&amp;C757&amp;"/"&amp;D758</f>
        <v>Lignite fired power plants/Steam turbine/Electricity only/M</v>
      </c>
      <c r="F758" s="76" t="str">
        <f>A731</f>
        <v>Lignite fired power plants</v>
      </c>
      <c r="G758" s="76" t="str">
        <f>B757</f>
        <v>Steam turbine</v>
      </c>
      <c r="H758" s="76" t="str">
        <f>C757</f>
        <v>Electricity only</v>
      </c>
      <c r="I758" s="161" t="str">
        <f t="shared" si="89"/>
        <v>M</v>
      </c>
      <c r="J758" s="76">
        <v>0.9</v>
      </c>
      <c r="K758" s="76">
        <v>0.9</v>
      </c>
      <c r="L758" s="76">
        <v>0.9</v>
      </c>
      <c r="M758" s="76">
        <v>0.9</v>
      </c>
      <c r="N758" s="76">
        <v>0.9</v>
      </c>
      <c r="O758" s="76">
        <v>0.9</v>
      </c>
      <c r="P758" s="76">
        <v>0.9</v>
      </c>
      <c r="Q758" s="76">
        <v>0.9</v>
      </c>
      <c r="R758" s="76">
        <v>0.9</v>
      </c>
      <c r="S758" s="76">
        <v>0.9</v>
      </c>
      <c r="T758" s="76">
        <v>0.9</v>
      </c>
      <c r="U758" s="76">
        <v>0.9</v>
      </c>
      <c r="V758" s="76">
        <v>0.9</v>
      </c>
      <c r="W758" s="76">
        <v>0.9</v>
      </c>
      <c r="X758" s="76">
        <v>0.9</v>
      </c>
      <c r="Y758" s="76">
        <v>0.9</v>
      </c>
      <c r="Z758" s="76">
        <v>0.9</v>
      </c>
      <c r="AA758" s="76">
        <v>0.9</v>
      </c>
      <c r="AB758" s="76">
        <v>0.9</v>
      </c>
      <c r="AC758" s="76">
        <v>0.9</v>
      </c>
      <c r="AD758" s="76">
        <v>0.9</v>
      </c>
      <c r="AE758" s="76">
        <v>0.9</v>
      </c>
      <c r="AF758" s="76">
        <v>0.9</v>
      </c>
      <c r="AG758" s="76">
        <v>0.9</v>
      </c>
      <c r="AH758" s="76">
        <v>0.9</v>
      </c>
      <c r="AI758" s="76">
        <v>0.9</v>
      </c>
      <c r="AJ758" s="76">
        <v>0.9</v>
      </c>
      <c r="AK758" s="76">
        <v>0.9</v>
      </c>
      <c r="AL758" s="76">
        <v>0.9</v>
      </c>
      <c r="AM758" s="76">
        <v>0.9</v>
      </c>
      <c r="AN758" s="76">
        <v>0.9</v>
      </c>
      <c r="AO758" s="76">
        <v>0.9</v>
      </c>
      <c r="AP758" s="76">
        <v>0.9</v>
      </c>
      <c r="AQ758" s="76">
        <v>0.9</v>
      </c>
      <c r="AR758" s="76">
        <v>0.9</v>
      </c>
      <c r="AS758" s="76">
        <v>0.9</v>
      </c>
      <c r="AT758" s="76">
        <v>0.9</v>
      </c>
      <c r="AU758" s="76">
        <v>0.9</v>
      </c>
      <c r="AV758" s="76">
        <v>0.9</v>
      </c>
      <c r="AW758" s="76">
        <v>0.9</v>
      </c>
      <c r="AX758" s="84">
        <v>0.9</v>
      </c>
    </row>
    <row r="759" spans="1:50" x14ac:dyDescent="0.25">
      <c r="A759" s="356"/>
      <c r="B759" s="359"/>
      <c r="C759" s="350"/>
      <c r="D759" s="2" t="s">
        <v>10</v>
      </c>
      <c r="E759" s="160" t="str">
        <f>A731&amp;"/"&amp;B757&amp;"/"&amp;C757&amp;"/"&amp;D759</f>
        <v>Lignite fired power plants/Steam turbine/Electricity only/S</v>
      </c>
      <c r="F759" s="76" t="str">
        <f>A731</f>
        <v>Lignite fired power plants</v>
      </c>
      <c r="G759" s="76" t="str">
        <f>B757</f>
        <v>Steam turbine</v>
      </c>
      <c r="H759" s="76" t="str">
        <f>C757</f>
        <v>Electricity only</v>
      </c>
      <c r="I759" s="161" t="str">
        <f t="shared" si="89"/>
        <v>S</v>
      </c>
      <c r="J759" s="76">
        <v>0.9</v>
      </c>
      <c r="K759" s="76">
        <v>0.9</v>
      </c>
      <c r="L759" s="76">
        <v>0.9</v>
      </c>
      <c r="M759" s="76">
        <v>0.9</v>
      </c>
      <c r="N759" s="76">
        <v>0.9</v>
      </c>
      <c r="O759" s="76">
        <v>0.9</v>
      </c>
      <c r="P759" s="76">
        <v>0.9</v>
      </c>
      <c r="Q759" s="76">
        <v>0.9</v>
      </c>
      <c r="R759" s="76">
        <v>0.9</v>
      </c>
      <c r="S759" s="76">
        <v>0.9</v>
      </c>
      <c r="T759" s="76">
        <v>0.9</v>
      </c>
      <c r="U759" s="76">
        <v>0.9</v>
      </c>
      <c r="V759" s="76">
        <v>0.9</v>
      </c>
      <c r="W759" s="76">
        <v>0.9</v>
      </c>
      <c r="X759" s="76">
        <v>0.9</v>
      </c>
      <c r="Y759" s="76">
        <v>0.9</v>
      </c>
      <c r="Z759" s="76">
        <v>0.9</v>
      </c>
      <c r="AA759" s="76">
        <v>0.9</v>
      </c>
      <c r="AB759" s="76">
        <v>0.9</v>
      </c>
      <c r="AC759" s="76">
        <v>0.9</v>
      </c>
      <c r="AD759" s="76">
        <v>0.9</v>
      </c>
      <c r="AE759" s="76">
        <v>0.9</v>
      </c>
      <c r="AF759" s="76">
        <v>0.9</v>
      </c>
      <c r="AG759" s="76">
        <v>0.9</v>
      </c>
      <c r="AH759" s="76">
        <v>0.9</v>
      </c>
      <c r="AI759" s="76">
        <v>0.9</v>
      </c>
      <c r="AJ759" s="76">
        <v>0.9</v>
      </c>
      <c r="AK759" s="76">
        <v>0.9</v>
      </c>
      <c r="AL759" s="76">
        <v>0.9</v>
      </c>
      <c r="AM759" s="76">
        <v>0.9</v>
      </c>
      <c r="AN759" s="76">
        <v>0.9</v>
      </c>
      <c r="AO759" s="76">
        <v>0.9</v>
      </c>
      <c r="AP759" s="76">
        <v>0.9</v>
      </c>
      <c r="AQ759" s="76">
        <v>0.9</v>
      </c>
      <c r="AR759" s="76">
        <v>0.9</v>
      </c>
      <c r="AS759" s="76">
        <v>0.9</v>
      </c>
      <c r="AT759" s="76">
        <v>0.9</v>
      </c>
      <c r="AU759" s="76">
        <v>0.9</v>
      </c>
      <c r="AV759" s="76">
        <v>0.9</v>
      </c>
      <c r="AW759" s="76">
        <v>0.9</v>
      </c>
      <c r="AX759" s="84">
        <v>0.9</v>
      </c>
    </row>
    <row r="760" spans="1:50" x14ac:dyDescent="0.25">
      <c r="A760" s="356"/>
      <c r="B760" s="359"/>
      <c r="C760" s="360"/>
      <c r="D760" s="2" t="s">
        <v>20</v>
      </c>
      <c r="E760" s="160" t="str">
        <f>A731&amp;"/"&amp;B757&amp;"/"&amp;C757&amp;"/"&amp;D760</f>
        <v>Lignite fired power plants/Steam turbine/Electricity only/XS</v>
      </c>
      <c r="F760" s="76" t="str">
        <f>A731</f>
        <v>Lignite fired power plants</v>
      </c>
      <c r="G760" s="76" t="str">
        <f>B757</f>
        <v>Steam turbine</v>
      </c>
      <c r="H760" s="76" t="str">
        <f>C757</f>
        <v>Electricity only</v>
      </c>
      <c r="I760" s="161" t="str">
        <f t="shared" si="89"/>
        <v>XS</v>
      </c>
      <c r="J760" s="76">
        <v>0.9</v>
      </c>
      <c r="K760" s="76">
        <v>0.9</v>
      </c>
      <c r="L760" s="76">
        <v>0.9</v>
      </c>
      <c r="M760" s="76">
        <v>0.9</v>
      </c>
      <c r="N760" s="76">
        <v>0.9</v>
      </c>
      <c r="O760" s="76">
        <v>0.9</v>
      </c>
      <c r="P760" s="76">
        <v>0.9</v>
      </c>
      <c r="Q760" s="76">
        <v>0.9</v>
      </c>
      <c r="R760" s="76">
        <v>0.9</v>
      </c>
      <c r="S760" s="76">
        <v>0.9</v>
      </c>
      <c r="T760" s="76">
        <v>0.9</v>
      </c>
      <c r="U760" s="76">
        <v>0.9</v>
      </c>
      <c r="V760" s="76">
        <v>0.9</v>
      </c>
      <c r="W760" s="76">
        <v>0.9</v>
      </c>
      <c r="X760" s="76">
        <v>0.9</v>
      </c>
      <c r="Y760" s="76">
        <v>0.9</v>
      </c>
      <c r="Z760" s="76">
        <v>0.9</v>
      </c>
      <c r="AA760" s="76">
        <v>0.9</v>
      </c>
      <c r="AB760" s="76">
        <v>0.9</v>
      </c>
      <c r="AC760" s="76">
        <v>0.9</v>
      </c>
      <c r="AD760" s="76">
        <v>0.9</v>
      </c>
      <c r="AE760" s="76">
        <v>0.9</v>
      </c>
      <c r="AF760" s="76">
        <v>0.9</v>
      </c>
      <c r="AG760" s="76">
        <v>0.9</v>
      </c>
      <c r="AH760" s="76">
        <v>0.9</v>
      </c>
      <c r="AI760" s="76">
        <v>0.9</v>
      </c>
      <c r="AJ760" s="76">
        <v>0.9</v>
      </c>
      <c r="AK760" s="76">
        <v>0.9</v>
      </c>
      <c r="AL760" s="76">
        <v>0.9</v>
      </c>
      <c r="AM760" s="76">
        <v>0.9</v>
      </c>
      <c r="AN760" s="76">
        <v>0.9</v>
      </c>
      <c r="AO760" s="76">
        <v>0.9</v>
      </c>
      <c r="AP760" s="76">
        <v>0.9</v>
      </c>
      <c r="AQ760" s="76">
        <v>0.9</v>
      </c>
      <c r="AR760" s="76">
        <v>0.9</v>
      </c>
      <c r="AS760" s="76">
        <v>0.9</v>
      </c>
      <c r="AT760" s="76">
        <v>0.9</v>
      </c>
      <c r="AU760" s="76">
        <v>0.9</v>
      </c>
      <c r="AV760" s="76">
        <v>0.9</v>
      </c>
      <c r="AW760" s="76">
        <v>0.9</v>
      </c>
      <c r="AX760" s="84">
        <v>0.9</v>
      </c>
    </row>
    <row r="761" spans="1:50" x14ac:dyDescent="0.25">
      <c r="A761" s="356"/>
      <c r="B761" s="359"/>
      <c r="C761" s="361" t="s">
        <v>14</v>
      </c>
      <c r="D761" s="58" t="s">
        <v>7</v>
      </c>
      <c r="E761" s="164" t="str">
        <f>A731&amp;"/"&amp;B757&amp;"/"&amp;C761&amp;"/"&amp;D761</f>
        <v>Lignite fired power plants/Steam turbine/CHP/L</v>
      </c>
      <c r="F761" s="78" t="str">
        <f>A731</f>
        <v>Lignite fired power plants</v>
      </c>
      <c r="G761" s="78" t="str">
        <f>B757</f>
        <v>Steam turbine</v>
      </c>
      <c r="H761" s="78" t="str">
        <f>C761</f>
        <v>CHP</v>
      </c>
      <c r="I761" s="165" t="str">
        <f t="shared" si="89"/>
        <v>L</v>
      </c>
      <c r="J761" s="78">
        <v>0.9</v>
      </c>
      <c r="K761" s="78">
        <v>0.9</v>
      </c>
      <c r="L761" s="78">
        <v>0.9</v>
      </c>
      <c r="M761" s="78">
        <v>0.9</v>
      </c>
      <c r="N761" s="78">
        <v>0.9</v>
      </c>
      <c r="O761" s="78">
        <v>0.9</v>
      </c>
      <c r="P761" s="78">
        <v>0.9</v>
      </c>
      <c r="Q761" s="78">
        <v>0.9</v>
      </c>
      <c r="R761" s="78">
        <v>0.9</v>
      </c>
      <c r="S761" s="78">
        <v>0.9</v>
      </c>
      <c r="T761" s="78">
        <v>0.9</v>
      </c>
      <c r="U761" s="78">
        <v>0.9</v>
      </c>
      <c r="V761" s="78">
        <v>0.9</v>
      </c>
      <c r="W761" s="78">
        <v>0.9</v>
      </c>
      <c r="X761" s="78">
        <v>0.9</v>
      </c>
      <c r="Y761" s="78">
        <v>0.9</v>
      </c>
      <c r="Z761" s="78">
        <v>0.9</v>
      </c>
      <c r="AA761" s="78">
        <v>0.9</v>
      </c>
      <c r="AB761" s="78">
        <v>0.9</v>
      </c>
      <c r="AC761" s="78">
        <v>0.9</v>
      </c>
      <c r="AD761" s="78">
        <v>0.9</v>
      </c>
      <c r="AE761" s="78">
        <v>0.9</v>
      </c>
      <c r="AF761" s="78">
        <v>0.9</v>
      </c>
      <c r="AG761" s="78">
        <v>0.9</v>
      </c>
      <c r="AH761" s="78">
        <v>0.9</v>
      </c>
      <c r="AI761" s="78">
        <v>0.9</v>
      </c>
      <c r="AJ761" s="78">
        <v>0.9</v>
      </c>
      <c r="AK761" s="78">
        <v>0.9</v>
      </c>
      <c r="AL761" s="78">
        <v>0.9</v>
      </c>
      <c r="AM761" s="78">
        <v>0.9</v>
      </c>
      <c r="AN761" s="78">
        <v>0.9</v>
      </c>
      <c r="AO761" s="78">
        <v>0.9</v>
      </c>
      <c r="AP761" s="78">
        <v>0.9</v>
      </c>
      <c r="AQ761" s="78">
        <v>0.9</v>
      </c>
      <c r="AR761" s="78">
        <v>0.9</v>
      </c>
      <c r="AS761" s="78">
        <v>0.9</v>
      </c>
      <c r="AT761" s="78">
        <v>0.9</v>
      </c>
      <c r="AU761" s="78">
        <v>0.9</v>
      </c>
      <c r="AV761" s="78">
        <v>0.9</v>
      </c>
      <c r="AW761" s="78">
        <v>0.9</v>
      </c>
      <c r="AX761" s="86">
        <v>0.9</v>
      </c>
    </row>
    <row r="762" spans="1:50" x14ac:dyDescent="0.25">
      <c r="A762" s="356"/>
      <c r="B762" s="359"/>
      <c r="C762" s="350"/>
      <c r="D762" s="2" t="s">
        <v>8</v>
      </c>
      <c r="E762" s="160" t="str">
        <f>A731&amp;"/"&amp;B757&amp;"/"&amp;C761&amp;"/"&amp;D762</f>
        <v>Lignite fired power plants/Steam turbine/CHP/M</v>
      </c>
      <c r="F762" s="76" t="str">
        <f>A731</f>
        <v>Lignite fired power plants</v>
      </c>
      <c r="G762" s="76" t="str">
        <f>B757</f>
        <v>Steam turbine</v>
      </c>
      <c r="H762" s="76" t="str">
        <f>C761</f>
        <v>CHP</v>
      </c>
      <c r="I762" s="161" t="str">
        <f t="shared" si="89"/>
        <v>M</v>
      </c>
      <c r="J762" s="76">
        <v>0.9</v>
      </c>
      <c r="K762" s="76">
        <v>0.9</v>
      </c>
      <c r="L762" s="76">
        <v>0.9</v>
      </c>
      <c r="M762" s="76">
        <v>0.9</v>
      </c>
      <c r="N762" s="76">
        <v>0.9</v>
      </c>
      <c r="O762" s="76">
        <v>0.9</v>
      </c>
      <c r="P762" s="76">
        <v>0.9</v>
      </c>
      <c r="Q762" s="76">
        <v>0.9</v>
      </c>
      <c r="R762" s="76">
        <v>0.9</v>
      </c>
      <c r="S762" s="76">
        <v>0.9</v>
      </c>
      <c r="T762" s="76">
        <v>0.9</v>
      </c>
      <c r="U762" s="76">
        <v>0.9</v>
      </c>
      <c r="V762" s="76">
        <v>0.9</v>
      </c>
      <c r="W762" s="76">
        <v>0.9</v>
      </c>
      <c r="X762" s="76">
        <v>0.9</v>
      </c>
      <c r="Y762" s="76">
        <v>0.9</v>
      </c>
      <c r="Z762" s="76">
        <v>0.9</v>
      </c>
      <c r="AA762" s="76">
        <v>0.9</v>
      </c>
      <c r="AB762" s="76">
        <v>0.9</v>
      </c>
      <c r="AC762" s="76">
        <v>0.9</v>
      </c>
      <c r="AD762" s="76">
        <v>0.9</v>
      </c>
      <c r="AE762" s="76">
        <v>0.9</v>
      </c>
      <c r="AF762" s="76">
        <v>0.9</v>
      </c>
      <c r="AG762" s="76">
        <v>0.9</v>
      </c>
      <c r="AH762" s="76">
        <v>0.9</v>
      </c>
      <c r="AI762" s="76">
        <v>0.9</v>
      </c>
      <c r="AJ762" s="76">
        <v>0.9</v>
      </c>
      <c r="AK762" s="76">
        <v>0.9</v>
      </c>
      <c r="AL762" s="76">
        <v>0.9</v>
      </c>
      <c r="AM762" s="76">
        <v>0.9</v>
      </c>
      <c r="AN762" s="76">
        <v>0.9</v>
      </c>
      <c r="AO762" s="76">
        <v>0.9</v>
      </c>
      <c r="AP762" s="76">
        <v>0.9</v>
      </c>
      <c r="AQ762" s="76">
        <v>0.9</v>
      </c>
      <c r="AR762" s="76">
        <v>0.9</v>
      </c>
      <c r="AS762" s="76">
        <v>0.9</v>
      </c>
      <c r="AT762" s="76">
        <v>0.9</v>
      </c>
      <c r="AU762" s="76">
        <v>0.9</v>
      </c>
      <c r="AV762" s="76">
        <v>0.9</v>
      </c>
      <c r="AW762" s="76">
        <v>0.9</v>
      </c>
      <c r="AX762" s="84">
        <v>0.9</v>
      </c>
    </row>
    <row r="763" spans="1:50" x14ac:dyDescent="0.25">
      <c r="A763" s="356"/>
      <c r="B763" s="359"/>
      <c r="C763" s="350"/>
      <c r="D763" s="2" t="s">
        <v>10</v>
      </c>
      <c r="E763" s="160" t="str">
        <f>A731&amp;"/"&amp;B757&amp;"/"&amp;C761&amp;"/"&amp;D763</f>
        <v>Lignite fired power plants/Steam turbine/CHP/S</v>
      </c>
      <c r="F763" s="76" t="str">
        <f>A731</f>
        <v>Lignite fired power plants</v>
      </c>
      <c r="G763" s="76" t="str">
        <f>B757</f>
        <v>Steam turbine</v>
      </c>
      <c r="H763" s="76" t="str">
        <f>C761</f>
        <v>CHP</v>
      </c>
      <c r="I763" s="161" t="str">
        <f t="shared" si="89"/>
        <v>S</v>
      </c>
      <c r="J763" s="76">
        <v>0.9</v>
      </c>
      <c r="K763" s="76">
        <v>0.9</v>
      </c>
      <c r="L763" s="76">
        <v>0.9</v>
      </c>
      <c r="M763" s="76">
        <v>0.9</v>
      </c>
      <c r="N763" s="76">
        <v>0.9</v>
      </c>
      <c r="O763" s="76">
        <v>0.9</v>
      </c>
      <c r="P763" s="76">
        <v>0.9</v>
      </c>
      <c r="Q763" s="76">
        <v>0.9</v>
      </c>
      <c r="R763" s="76">
        <v>0.9</v>
      </c>
      <c r="S763" s="76">
        <v>0.9</v>
      </c>
      <c r="T763" s="76">
        <v>0.9</v>
      </c>
      <c r="U763" s="76">
        <v>0.9</v>
      </c>
      <c r="V763" s="76">
        <v>0.9</v>
      </c>
      <c r="W763" s="76">
        <v>0.9</v>
      </c>
      <c r="X763" s="76">
        <v>0.9</v>
      </c>
      <c r="Y763" s="76">
        <v>0.9</v>
      </c>
      <c r="Z763" s="76">
        <v>0.9</v>
      </c>
      <c r="AA763" s="76">
        <v>0.9</v>
      </c>
      <c r="AB763" s="76">
        <v>0.9</v>
      </c>
      <c r="AC763" s="76">
        <v>0.9</v>
      </c>
      <c r="AD763" s="76">
        <v>0.9</v>
      </c>
      <c r="AE763" s="76">
        <v>0.9</v>
      </c>
      <c r="AF763" s="76">
        <v>0.9</v>
      </c>
      <c r="AG763" s="76">
        <v>0.9</v>
      </c>
      <c r="AH763" s="76">
        <v>0.9</v>
      </c>
      <c r="AI763" s="76">
        <v>0.9</v>
      </c>
      <c r="AJ763" s="76">
        <v>0.9</v>
      </c>
      <c r="AK763" s="76">
        <v>0.9</v>
      </c>
      <c r="AL763" s="76">
        <v>0.9</v>
      </c>
      <c r="AM763" s="76">
        <v>0.9</v>
      </c>
      <c r="AN763" s="76">
        <v>0.9</v>
      </c>
      <c r="AO763" s="76">
        <v>0.9</v>
      </c>
      <c r="AP763" s="76">
        <v>0.9</v>
      </c>
      <c r="AQ763" s="76">
        <v>0.9</v>
      </c>
      <c r="AR763" s="76">
        <v>0.9</v>
      </c>
      <c r="AS763" s="76">
        <v>0.9</v>
      </c>
      <c r="AT763" s="76">
        <v>0.9</v>
      </c>
      <c r="AU763" s="76">
        <v>0.9</v>
      </c>
      <c r="AV763" s="76">
        <v>0.9</v>
      </c>
      <c r="AW763" s="76">
        <v>0.9</v>
      </c>
      <c r="AX763" s="84">
        <v>0.9</v>
      </c>
    </row>
    <row r="764" spans="1:50" x14ac:dyDescent="0.25">
      <c r="A764" s="356"/>
      <c r="B764" s="359"/>
      <c r="C764" s="360"/>
      <c r="D764" s="59" t="s">
        <v>20</v>
      </c>
      <c r="E764" s="166" t="str">
        <f>A731&amp;"/"&amp;B757&amp;"/"&amp;C761&amp;"/"&amp;D764</f>
        <v>Lignite fired power plants/Steam turbine/CHP/XS</v>
      </c>
      <c r="F764" s="79" t="str">
        <f>A731</f>
        <v>Lignite fired power plants</v>
      </c>
      <c r="G764" s="79" t="str">
        <f>B757</f>
        <v>Steam turbine</v>
      </c>
      <c r="H764" s="79" t="str">
        <f>C761</f>
        <v>CHP</v>
      </c>
      <c r="I764" s="167" t="str">
        <f t="shared" si="89"/>
        <v>XS</v>
      </c>
      <c r="J764" s="79">
        <v>0.9</v>
      </c>
      <c r="K764" s="79">
        <v>0.9</v>
      </c>
      <c r="L764" s="79">
        <v>0.9</v>
      </c>
      <c r="M764" s="79">
        <v>0.9</v>
      </c>
      <c r="N764" s="79">
        <v>0.9</v>
      </c>
      <c r="O764" s="79">
        <v>0.9</v>
      </c>
      <c r="P764" s="79">
        <v>0.9</v>
      </c>
      <c r="Q764" s="79">
        <v>0.9</v>
      </c>
      <c r="R764" s="79">
        <v>0.9</v>
      </c>
      <c r="S764" s="79">
        <v>0.9</v>
      </c>
      <c r="T764" s="79">
        <v>0.9</v>
      </c>
      <c r="U764" s="79">
        <v>0.9</v>
      </c>
      <c r="V764" s="79">
        <v>0.9</v>
      </c>
      <c r="W764" s="79">
        <v>0.9</v>
      </c>
      <c r="X764" s="79">
        <v>0.9</v>
      </c>
      <c r="Y764" s="79">
        <v>0.9</v>
      </c>
      <c r="Z764" s="79">
        <v>0.9</v>
      </c>
      <c r="AA764" s="79">
        <v>0.9</v>
      </c>
      <c r="AB764" s="79">
        <v>0.9</v>
      </c>
      <c r="AC764" s="79">
        <v>0.9</v>
      </c>
      <c r="AD764" s="79">
        <v>0.9</v>
      </c>
      <c r="AE764" s="79">
        <v>0.9</v>
      </c>
      <c r="AF764" s="79">
        <v>0.9</v>
      </c>
      <c r="AG764" s="79">
        <v>0.9</v>
      </c>
      <c r="AH764" s="79">
        <v>0.9</v>
      </c>
      <c r="AI764" s="79">
        <v>0.9</v>
      </c>
      <c r="AJ764" s="79">
        <v>0.9</v>
      </c>
      <c r="AK764" s="79">
        <v>0.9</v>
      </c>
      <c r="AL764" s="79">
        <v>0.9</v>
      </c>
      <c r="AM764" s="79">
        <v>0.9</v>
      </c>
      <c r="AN764" s="79">
        <v>0.9</v>
      </c>
      <c r="AO764" s="79">
        <v>0.9</v>
      </c>
      <c r="AP764" s="79">
        <v>0.9</v>
      </c>
      <c r="AQ764" s="79">
        <v>0.9</v>
      </c>
      <c r="AR764" s="79">
        <v>0.9</v>
      </c>
      <c r="AS764" s="79">
        <v>0.9</v>
      </c>
      <c r="AT764" s="79">
        <v>0.9</v>
      </c>
      <c r="AU764" s="79">
        <v>0.9</v>
      </c>
      <c r="AV764" s="79">
        <v>0.9</v>
      </c>
      <c r="AW764" s="79">
        <v>0.9</v>
      </c>
      <c r="AX764" s="87">
        <v>0.9</v>
      </c>
    </row>
    <row r="765" spans="1:50" x14ac:dyDescent="0.25">
      <c r="A765" s="356"/>
      <c r="B765" s="359"/>
      <c r="C765" s="361" t="s">
        <v>15</v>
      </c>
      <c r="D765" s="58" t="s">
        <v>7</v>
      </c>
      <c r="E765" s="164" t="str">
        <f>A731&amp;"/"&amp;B757&amp;"/"&amp;C765&amp;"/"&amp;D765</f>
        <v>Lignite fired power plants/Steam turbine/Electricity only with CCS/L</v>
      </c>
      <c r="F765" s="78" t="str">
        <f>A731</f>
        <v>Lignite fired power plants</v>
      </c>
      <c r="G765" s="78" t="str">
        <f>B757</f>
        <v>Steam turbine</v>
      </c>
      <c r="H765" s="78" t="str">
        <f>C765</f>
        <v>Electricity only with CCS</v>
      </c>
      <c r="I765" s="165" t="str">
        <f t="shared" si="89"/>
        <v>L</v>
      </c>
      <c r="J765" s="78" t="s">
        <v>112</v>
      </c>
      <c r="K765" s="78" t="s">
        <v>112</v>
      </c>
      <c r="L765" s="78" t="s">
        <v>112</v>
      </c>
      <c r="M765" s="78" t="s">
        <v>112</v>
      </c>
      <c r="N765" s="78" t="s">
        <v>112</v>
      </c>
      <c r="O765" s="78" t="s">
        <v>112</v>
      </c>
      <c r="P765" s="78" t="s">
        <v>112</v>
      </c>
      <c r="Q765" s="78" t="s">
        <v>112</v>
      </c>
      <c r="R765" s="78" t="s">
        <v>112</v>
      </c>
      <c r="S765" s="78" t="s">
        <v>112</v>
      </c>
      <c r="T765" s="78" t="s">
        <v>112</v>
      </c>
      <c r="U765" s="78" t="s">
        <v>112</v>
      </c>
      <c r="V765" s="78" t="s">
        <v>112</v>
      </c>
      <c r="W765" s="78" t="s">
        <v>112</v>
      </c>
      <c r="X765" s="78" t="s">
        <v>112</v>
      </c>
      <c r="Y765" s="78" t="s">
        <v>112</v>
      </c>
      <c r="Z765" s="78" t="s">
        <v>112</v>
      </c>
      <c r="AA765" s="78" t="s">
        <v>112</v>
      </c>
      <c r="AB765" s="78" t="s">
        <v>112</v>
      </c>
      <c r="AC765" s="78" t="s">
        <v>112</v>
      </c>
      <c r="AD765" s="78" t="s">
        <v>112</v>
      </c>
      <c r="AE765" s="78">
        <v>0.9</v>
      </c>
      <c r="AF765" s="78">
        <v>0.9</v>
      </c>
      <c r="AG765" s="78">
        <v>0.9</v>
      </c>
      <c r="AH765" s="78">
        <v>0.9</v>
      </c>
      <c r="AI765" s="78">
        <v>0.9</v>
      </c>
      <c r="AJ765" s="78">
        <v>0.9</v>
      </c>
      <c r="AK765" s="78">
        <v>0.9</v>
      </c>
      <c r="AL765" s="78">
        <v>0.9</v>
      </c>
      <c r="AM765" s="78">
        <v>0.9</v>
      </c>
      <c r="AN765" s="78">
        <v>0.9</v>
      </c>
      <c r="AO765" s="78">
        <v>0.9</v>
      </c>
      <c r="AP765" s="78">
        <v>0.9</v>
      </c>
      <c r="AQ765" s="78">
        <v>0.9</v>
      </c>
      <c r="AR765" s="78">
        <v>0.9</v>
      </c>
      <c r="AS765" s="78">
        <v>0.9</v>
      </c>
      <c r="AT765" s="78">
        <v>0.9</v>
      </c>
      <c r="AU765" s="78">
        <v>0.9</v>
      </c>
      <c r="AV765" s="78">
        <v>0.9</v>
      </c>
      <c r="AW765" s="78">
        <v>0.9</v>
      </c>
      <c r="AX765" s="86">
        <v>0.9</v>
      </c>
    </row>
    <row r="766" spans="1:50" x14ac:dyDescent="0.25">
      <c r="A766" s="356"/>
      <c r="B766" s="359"/>
      <c r="C766" s="360"/>
      <c r="D766" s="59" t="s">
        <v>8</v>
      </c>
      <c r="E766" s="166" t="str">
        <f>A731&amp;"/"&amp;B757&amp;"/"&amp;C765&amp;"/"&amp;D766</f>
        <v>Lignite fired power plants/Steam turbine/Electricity only with CCS/M</v>
      </c>
      <c r="F766" s="79" t="str">
        <f>A731</f>
        <v>Lignite fired power plants</v>
      </c>
      <c r="G766" s="79" t="str">
        <f>B757</f>
        <v>Steam turbine</v>
      </c>
      <c r="H766" s="79" t="str">
        <f>C765</f>
        <v>Electricity only with CCS</v>
      </c>
      <c r="I766" s="167" t="str">
        <f t="shared" si="89"/>
        <v>M</v>
      </c>
      <c r="J766" s="79" t="s">
        <v>112</v>
      </c>
      <c r="K766" s="79" t="s">
        <v>112</v>
      </c>
      <c r="L766" s="79" t="s">
        <v>112</v>
      </c>
      <c r="M766" s="79" t="s">
        <v>112</v>
      </c>
      <c r="N766" s="79" t="s">
        <v>112</v>
      </c>
      <c r="O766" s="79" t="s">
        <v>112</v>
      </c>
      <c r="P766" s="79" t="s">
        <v>112</v>
      </c>
      <c r="Q766" s="79" t="s">
        <v>112</v>
      </c>
      <c r="R766" s="79" t="s">
        <v>112</v>
      </c>
      <c r="S766" s="79" t="s">
        <v>112</v>
      </c>
      <c r="T766" s="79" t="s">
        <v>112</v>
      </c>
      <c r="U766" s="79" t="s">
        <v>112</v>
      </c>
      <c r="V766" s="79" t="s">
        <v>112</v>
      </c>
      <c r="W766" s="79" t="s">
        <v>112</v>
      </c>
      <c r="X766" s="79" t="s">
        <v>112</v>
      </c>
      <c r="Y766" s="79" t="s">
        <v>112</v>
      </c>
      <c r="Z766" s="79" t="s">
        <v>112</v>
      </c>
      <c r="AA766" s="79" t="s">
        <v>112</v>
      </c>
      <c r="AB766" s="79" t="s">
        <v>112</v>
      </c>
      <c r="AC766" s="79" t="s">
        <v>112</v>
      </c>
      <c r="AD766" s="79" t="s">
        <v>112</v>
      </c>
      <c r="AE766" s="79">
        <v>0.9</v>
      </c>
      <c r="AF766" s="79">
        <v>0.9</v>
      </c>
      <c r="AG766" s="79">
        <v>0.9</v>
      </c>
      <c r="AH766" s="79">
        <v>0.9</v>
      </c>
      <c r="AI766" s="79">
        <v>0.9</v>
      </c>
      <c r="AJ766" s="79">
        <v>0.9</v>
      </c>
      <c r="AK766" s="79">
        <v>0.9</v>
      </c>
      <c r="AL766" s="79">
        <v>0.9</v>
      </c>
      <c r="AM766" s="79">
        <v>0.9</v>
      </c>
      <c r="AN766" s="79">
        <v>0.9</v>
      </c>
      <c r="AO766" s="79">
        <v>0.9</v>
      </c>
      <c r="AP766" s="79">
        <v>0.9</v>
      </c>
      <c r="AQ766" s="79">
        <v>0.9</v>
      </c>
      <c r="AR766" s="79">
        <v>0.9</v>
      </c>
      <c r="AS766" s="79">
        <v>0.9</v>
      </c>
      <c r="AT766" s="79">
        <v>0.9</v>
      </c>
      <c r="AU766" s="79">
        <v>0.9</v>
      </c>
      <c r="AV766" s="79">
        <v>0.9</v>
      </c>
      <c r="AW766" s="79">
        <v>0.9</v>
      </c>
      <c r="AX766" s="87">
        <v>0.9</v>
      </c>
    </row>
    <row r="767" spans="1:50" x14ac:dyDescent="0.25">
      <c r="A767" s="356"/>
      <c r="B767" s="359"/>
      <c r="C767" s="361" t="s">
        <v>16</v>
      </c>
      <c r="D767" s="2" t="s">
        <v>7</v>
      </c>
      <c r="E767" s="160" t="str">
        <f>A731&amp;"/"&amp;B757&amp;"/"&amp;C767&amp;"/"&amp;D767</f>
        <v>Lignite fired power plants/Steam turbine/CHP with CCS/L</v>
      </c>
      <c r="F767" s="76" t="str">
        <f>A731</f>
        <v>Lignite fired power plants</v>
      </c>
      <c r="G767" s="76" t="str">
        <f>B757</f>
        <v>Steam turbine</v>
      </c>
      <c r="H767" s="76" t="str">
        <f>C767</f>
        <v>CHP with CCS</v>
      </c>
      <c r="I767" s="161" t="str">
        <f t="shared" si="89"/>
        <v>L</v>
      </c>
      <c r="J767" s="76" t="s">
        <v>112</v>
      </c>
      <c r="K767" s="76" t="s">
        <v>112</v>
      </c>
      <c r="L767" s="76" t="s">
        <v>112</v>
      </c>
      <c r="M767" s="76" t="s">
        <v>112</v>
      </c>
      <c r="N767" s="76" t="s">
        <v>112</v>
      </c>
      <c r="O767" s="76" t="s">
        <v>112</v>
      </c>
      <c r="P767" s="76" t="s">
        <v>112</v>
      </c>
      <c r="Q767" s="76" t="s">
        <v>112</v>
      </c>
      <c r="R767" s="76" t="s">
        <v>112</v>
      </c>
      <c r="S767" s="76" t="s">
        <v>112</v>
      </c>
      <c r="T767" s="76" t="s">
        <v>112</v>
      </c>
      <c r="U767" s="76" t="s">
        <v>112</v>
      </c>
      <c r="V767" s="76" t="s">
        <v>112</v>
      </c>
      <c r="W767" s="76" t="s">
        <v>112</v>
      </c>
      <c r="X767" s="76" t="s">
        <v>112</v>
      </c>
      <c r="Y767" s="76" t="s">
        <v>112</v>
      </c>
      <c r="Z767" s="76" t="s">
        <v>112</v>
      </c>
      <c r="AA767" s="76" t="s">
        <v>112</v>
      </c>
      <c r="AB767" s="76" t="s">
        <v>112</v>
      </c>
      <c r="AC767" s="76" t="s">
        <v>112</v>
      </c>
      <c r="AD767" s="76" t="s">
        <v>112</v>
      </c>
      <c r="AE767" s="76">
        <v>0.9</v>
      </c>
      <c r="AF767" s="76">
        <v>0.9</v>
      </c>
      <c r="AG767" s="76">
        <v>0.9</v>
      </c>
      <c r="AH767" s="76">
        <v>0.9</v>
      </c>
      <c r="AI767" s="76">
        <v>0.9</v>
      </c>
      <c r="AJ767" s="76">
        <v>0.9</v>
      </c>
      <c r="AK767" s="76">
        <v>0.9</v>
      </c>
      <c r="AL767" s="76">
        <v>0.9</v>
      </c>
      <c r="AM767" s="76">
        <v>0.9</v>
      </c>
      <c r="AN767" s="76">
        <v>0.9</v>
      </c>
      <c r="AO767" s="76">
        <v>0.9</v>
      </c>
      <c r="AP767" s="76">
        <v>0.9</v>
      </c>
      <c r="AQ767" s="76">
        <v>0.9</v>
      </c>
      <c r="AR767" s="76">
        <v>0.9</v>
      </c>
      <c r="AS767" s="76">
        <v>0.9</v>
      </c>
      <c r="AT767" s="76">
        <v>0.9</v>
      </c>
      <c r="AU767" s="76">
        <v>0.9</v>
      </c>
      <c r="AV767" s="76">
        <v>0.9</v>
      </c>
      <c r="AW767" s="76">
        <v>0.9</v>
      </c>
      <c r="AX767" s="84">
        <v>0.9</v>
      </c>
    </row>
    <row r="768" spans="1:50" x14ac:dyDescent="0.25">
      <c r="A768" s="357"/>
      <c r="B768" s="362"/>
      <c r="C768" s="354"/>
      <c r="D768" s="4" t="s">
        <v>8</v>
      </c>
      <c r="E768" s="168" t="str">
        <f>A731&amp;"/"&amp;B757&amp;"/"&amp;C767&amp;"/"&amp;D768</f>
        <v>Lignite fired power plants/Steam turbine/CHP with CCS/M</v>
      </c>
      <c r="F768" s="80" t="str">
        <f>A731</f>
        <v>Lignite fired power plants</v>
      </c>
      <c r="G768" s="80" t="str">
        <f>B757</f>
        <v>Steam turbine</v>
      </c>
      <c r="H768" s="80" t="str">
        <f>C767</f>
        <v>CHP with CCS</v>
      </c>
      <c r="I768" s="169" t="str">
        <f t="shared" si="89"/>
        <v>M</v>
      </c>
      <c r="J768" s="80" t="s">
        <v>112</v>
      </c>
      <c r="K768" s="80" t="s">
        <v>112</v>
      </c>
      <c r="L768" s="80" t="s">
        <v>112</v>
      </c>
      <c r="M768" s="80" t="s">
        <v>112</v>
      </c>
      <c r="N768" s="80" t="s">
        <v>112</v>
      </c>
      <c r="O768" s="80" t="s">
        <v>112</v>
      </c>
      <c r="P768" s="80" t="s">
        <v>112</v>
      </c>
      <c r="Q768" s="80" t="s">
        <v>112</v>
      </c>
      <c r="R768" s="80" t="s">
        <v>112</v>
      </c>
      <c r="S768" s="80" t="s">
        <v>112</v>
      </c>
      <c r="T768" s="80" t="s">
        <v>112</v>
      </c>
      <c r="U768" s="80" t="s">
        <v>112</v>
      </c>
      <c r="V768" s="80" t="s">
        <v>112</v>
      </c>
      <c r="W768" s="80" t="s">
        <v>112</v>
      </c>
      <c r="X768" s="80" t="s">
        <v>112</v>
      </c>
      <c r="Y768" s="80" t="s">
        <v>112</v>
      </c>
      <c r="Z768" s="80" t="s">
        <v>112</v>
      </c>
      <c r="AA768" s="80" t="s">
        <v>112</v>
      </c>
      <c r="AB768" s="80" t="s">
        <v>112</v>
      </c>
      <c r="AC768" s="80" t="s">
        <v>112</v>
      </c>
      <c r="AD768" s="80" t="s">
        <v>112</v>
      </c>
      <c r="AE768" s="80">
        <v>0.9</v>
      </c>
      <c r="AF768" s="80">
        <v>0.9</v>
      </c>
      <c r="AG768" s="80">
        <v>0.9</v>
      </c>
      <c r="AH768" s="80">
        <v>0.9</v>
      </c>
      <c r="AI768" s="80">
        <v>0.9</v>
      </c>
      <c r="AJ768" s="80">
        <v>0.9</v>
      </c>
      <c r="AK768" s="80">
        <v>0.9</v>
      </c>
      <c r="AL768" s="80">
        <v>0.9</v>
      </c>
      <c r="AM768" s="80">
        <v>0.9</v>
      </c>
      <c r="AN768" s="80">
        <v>0.9</v>
      </c>
      <c r="AO768" s="80">
        <v>0.9</v>
      </c>
      <c r="AP768" s="80">
        <v>0.9</v>
      </c>
      <c r="AQ768" s="80">
        <v>0.9</v>
      </c>
      <c r="AR768" s="80">
        <v>0.9</v>
      </c>
      <c r="AS768" s="80">
        <v>0.9</v>
      </c>
      <c r="AT768" s="80">
        <v>0.9</v>
      </c>
      <c r="AU768" s="80">
        <v>0.9</v>
      </c>
      <c r="AV768" s="80">
        <v>0.9</v>
      </c>
      <c r="AW768" s="80">
        <v>0.9</v>
      </c>
      <c r="AX768" s="88">
        <v>0.9</v>
      </c>
    </row>
    <row r="769" spans="1:50" x14ac:dyDescent="0.25">
      <c r="A769" s="356" t="s">
        <v>22</v>
      </c>
      <c r="B769" s="358" t="s">
        <v>23</v>
      </c>
      <c r="C769" s="353" t="s">
        <v>6</v>
      </c>
      <c r="D769" s="3" t="s">
        <v>7</v>
      </c>
      <c r="E769" s="162" t="str">
        <f>A769&amp;"/"&amp;B769&amp;"/"&amp;C769&amp;"/"&amp;D769</f>
        <v>Gas fired power plants (Natural gas, biogas)/Gas turbine combined cycle/Electricity only/L</v>
      </c>
      <c r="F769" s="77" t="str">
        <f>A769</f>
        <v>Gas fired power plants (Natural gas, biogas)</v>
      </c>
      <c r="G769" s="77" t="str">
        <f>B769</f>
        <v>Gas turbine combined cycle</v>
      </c>
      <c r="H769" s="77" t="str">
        <f>C769</f>
        <v>Electricity only</v>
      </c>
      <c r="I769" s="163" t="str">
        <f t="shared" si="89"/>
        <v>L</v>
      </c>
      <c r="J769" s="77">
        <v>0.93</v>
      </c>
      <c r="K769" s="77">
        <v>0.93</v>
      </c>
      <c r="L769" s="77">
        <v>0.93</v>
      </c>
      <c r="M769" s="77">
        <v>0.93</v>
      </c>
      <c r="N769" s="77">
        <v>0.93</v>
      </c>
      <c r="O769" s="77">
        <v>0.93</v>
      </c>
      <c r="P769" s="77">
        <v>0.93</v>
      </c>
      <c r="Q769" s="77">
        <v>0.93</v>
      </c>
      <c r="R769" s="77">
        <v>0.93</v>
      </c>
      <c r="S769" s="77">
        <v>0.93</v>
      </c>
      <c r="T769" s="77">
        <v>0.93</v>
      </c>
      <c r="U769" s="77">
        <v>0.93</v>
      </c>
      <c r="V769" s="77">
        <v>0.93</v>
      </c>
      <c r="W769" s="77">
        <v>0.93</v>
      </c>
      <c r="X769" s="77">
        <v>0.93</v>
      </c>
      <c r="Y769" s="77">
        <v>0.93</v>
      </c>
      <c r="Z769" s="77">
        <v>0.93</v>
      </c>
      <c r="AA769" s="77">
        <v>0.93</v>
      </c>
      <c r="AB769" s="77">
        <v>0.93</v>
      </c>
      <c r="AC769" s="77">
        <v>0.93</v>
      </c>
      <c r="AD769" s="77">
        <v>0.93</v>
      </c>
      <c r="AE769" s="77">
        <v>0.93</v>
      </c>
      <c r="AF769" s="77">
        <v>0.93</v>
      </c>
      <c r="AG769" s="77">
        <v>0.93</v>
      </c>
      <c r="AH769" s="77">
        <v>0.93</v>
      </c>
      <c r="AI769" s="77">
        <v>0.93</v>
      </c>
      <c r="AJ769" s="77">
        <v>0.93</v>
      </c>
      <c r="AK769" s="77">
        <v>0.93</v>
      </c>
      <c r="AL769" s="77">
        <v>0.93</v>
      </c>
      <c r="AM769" s="77">
        <v>0.93</v>
      </c>
      <c r="AN769" s="77">
        <v>0.93</v>
      </c>
      <c r="AO769" s="77">
        <v>0.93</v>
      </c>
      <c r="AP769" s="77">
        <v>0.93</v>
      </c>
      <c r="AQ769" s="77">
        <v>0.93</v>
      </c>
      <c r="AR769" s="77">
        <v>0.93</v>
      </c>
      <c r="AS769" s="77">
        <v>0.93</v>
      </c>
      <c r="AT769" s="77">
        <v>0.93</v>
      </c>
      <c r="AU769" s="77">
        <v>0.93</v>
      </c>
      <c r="AV769" s="77">
        <v>0.93</v>
      </c>
      <c r="AW769" s="77">
        <v>0.93</v>
      </c>
      <c r="AX769" s="85">
        <v>0.93</v>
      </c>
    </row>
    <row r="770" spans="1:50" x14ac:dyDescent="0.25">
      <c r="A770" s="356"/>
      <c r="B770" s="359"/>
      <c r="C770" s="350"/>
      <c r="D770" s="2" t="s">
        <v>8</v>
      </c>
      <c r="E770" s="160" t="str">
        <f>A769&amp;"/"&amp;B769&amp;"/"&amp;C769&amp;"/"&amp;D770</f>
        <v>Gas fired power plants (Natural gas, biogas)/Gas turbine combined cycle/Electricity only/M</v>
      </c>
      <c r="F770" s="76" t="str">
        <f>A769</f>
        <v>Gas fired power plants (Natural gas, biogas)</v>
      </c>
      <c r="G770" s="76" t="str">
        <f>B769</f>
        <v>Gas turbine combined cycle</v>
      </c>
      <c r="H770" s="76" t="str">
        <f>C769</f>
        <v>Electricity only</v>
      </c>
      <c r="I770" s="161" t="str">
        <f t="shared" si="89"/>
        <v>M</v>
      </c>
      <c r="J770" s="76">
        <v>0.93</v>
      </c>
      <c r="K770" s="76">
        <v>0.93</v>
      </c>
      <c r="L770" s="76">
        <v>0.93</v>
      </c>
      <c r="M770" s="76">
        <v>0.93</v>
      </c>
      <c r="N770" s="76">
        <v>0.93</v>
      </c>
      <c r="O770" s="76">
        <v>0.93</v>
      </c>
      <c r="P770" s="76">
        <v>0.93</v>
      </c>
      <c r="Q770" s="76">
        <v>0.93</v>
      </c>
      <c r="R770" s="76">
        <v>0.93</v>
      </c>
      <c r="S770" s="76">
        <v>0.93</v>
      </c>
      <c r="T770" s="76">
        <v>0.93</v>
      </c>
      <c r="U770" s="76">
        <v>0.93</v>
      </c>
      <c r="V770" s="76">
        <v>0.93</v>
      </c>
      <c r="W770" s="76">
        <v>0.93</v>
      </c>
      <c r="X770" s="76">
        <v>0.93</v>
      </c>
      <c r="Y770" s="76">
        <v>0.93</v>
      </c>
      <c r="Z770" s="76">
        <v>0.93</v>
      </c>
      <c r="AA770" s="76">
        <v>0.93</v>
      </c>
      <c r="AB770" s="76">
        <v>0.93</v>
      </c>
      <c r="AC770" s="76">
        <v>0.93</v>
      </c>
      <c r="AD770" s="76">
        <v>0.93</v>
      </c>
      <c r="AE770" s="76">
        <v>0.93</v>
      </c>
      <c r="AF770" s="76">
        <v>0.93</v>
      </c>
      <c r="AG770" s="76">
        <v>0.93</v>
      </c>
      <c r="AH770" s="76">
        <v>0.93</v>
      </c>
      <c r="AI770" s="76">
        <v>0.93</v>
      </c>
      <c r="AJ770" s="76">
        <v>0.93</v>
      </c>
      <c r="AK770" s="76">
        <v>0.93</v>
      </c>
      <c r="AL770" s="76">
        <v>0.93</v>
      </c>
      <c r="AM770" s="76">
        <v>0.93</v>
      </c>
      <c r="AN770" s="76">
        <v>0.93</v>
      </c>
      <c r="AO770" s="76">
        <v>0.93</v>
      </c>
      <c r="AP770" s="76">
        <v>0.93</v>
      </c>
      <c r="AQ770" s="76">
        <v>0.93</v>
      </c>
      <c r="AR770" s="76">
        <v>0.93</v>
      </c>
      <c r="AS770" s="76">
        <v>0.93</v>
      </c>
      <c r="AT770" s="76">
        <v>0.93</v>
      </c>
      <c r="AU770" s="76">
        <v>0.93</v>
      </c>
      <c r="AV770" s="76">
        <v>0.93</v>
      </c>
      <c r="AW770" s="76">
        <v>0.93</v>
      </c>
      <c r="AX770" s="84">
        <v>0.93</v>
      </c>
    </row>
    <row r="771" spans="1:50" x14ac:dyDescent="0.25">
      <c r="A771" s="356"/>
      <c r="B771" s="359"/>
      <c r="C771" s="350"/>
      <c r="D771" s="2" t="s">
        <v>10</v>
      </c>
      <c r="E771" s="160" t="str">
        <f>A769&amp;"/"&amp;B769&amp;"/"&amp;C769&amp;"/"&amp;D771</f>
        <v>Gas fired power plants (Natural gas, biogas)/Gas turbine combined cycle/Electricity only/S</v>
      </c>
      <c r="F771" s="76" t="str">
        <f>A769</f>
        <v>Gas fired power plants (Natural gas, biogas)</v>
      </c>
      <c r="G771" s="76" t="str">
        <f>B769</f>
        <v>Gas turbine combined cycle</v>
      </c>
      <c r="H771" s="76" t="str">
        <f>C769</f>
        <v>Electricity only</v>
      </c>
      <c r="I771" s="161" t="str">
        <f t="shared" si="89"/>
        <v>S</v>
      </c>
      <c r="J771" s="76">
        <v>0.93</v>
      </c>
      <c r="K771" s="76">
        <v>0.93</v>
      </c>
      <c r="L771" s="76">
        <v>0.93</v>
      </c>
      <c r="M771" s="76">
        <v>0.93</v>
      </c>
      <c r="N771" s="76">
        <v>0.93</v>
      </c>
      <c r="O771" s="76">
        <v>0.93</v>
      </c>
      <c r="P771" s="76">
        <v>0.93</v>
      </c>
      <c r="Q771" s="76">
        <v>0.93</v>
      </c>
      <c r="R771" s="76">
        <v>0.93</v>
      </c>
      <c r="S771" s="76">
        <v>0.93</v>
      </c>
      <c r="T771" s="76">
        <v>0.93</v>
      </c>
      <c r="U771" s="76">
        <v>0.93</v>
      </c>
      <c r="V771" s="76">
        <v>0.93</v>
      </c>
      <c r="W771" s="76">
        <v>0.93</v>
      </c>
      <c r="X771" s="76">
        <v>0.93</v>
      </c>
      <c r="Y771" s="76">
        <v>0.93</v>
      </c>
      <c r="Z771" s="76">
        <v>0.93</v>
      </c>
      <c r="AA771" s="76">
        <v>0.93</v>
      </c>
      <c r="AB771" s="76">
        <v>0.93</v>
      </c>
      <c r="AC771" s="76">
        <v>0.93</v>
      </c>
      <c r="AD771" s="76">
        <v>0.93</v>
      </c>
      <c r="AE771" s="76">
        <v>0.93</v>
      </c>
      <c r="AF771" s="76">
        <v>0.93</v>
      </c>
      <c r="AG771" s="76">
        <v>0.93</v>
      </c>
      <c r="AH771" s="76">
        <v>0.93</v>
      </c>
      <c r="AI771" s="76">
        <v>0.93</v>
      </c>
      <c r="AJ771" s="76">
        <v>0.93</v>
      </c>
      <c r="AK771" s="76">
        <v>0.93</v>
      </c>
      <c r="AL771" s="76">
        <v>0.93</v>
      </c>
      <c r="AM771" s="76">
        <v>0.93</v>
      </c>
      <c r="AN771" s="76">
        <v>0.93</v>
      </c>
      <c r="AO771" s="76">
        <v>0.93</v>
      </c>
      <c r="AP771" s="76">
        <v>0.93</v>
      </c>
      <c r="AQ771" s="76">
        <v>0.93</v>
      </c>
      <c r="AR771" s="76">
        <v>0.93</v>
      </c>
      <c r="AS771" s="76">
        <v>0.93</v>
      </c>
      <c r="AT771" s="76">
        <v>0.93</v>
      </c>
      <c r="AU771" s="76">
        <v>0.93</v>
      </c>
      <c r="AV771" s="76">
        <v>0.93</v>
      </c>
      <c r="AW771" s="76">
        <v>0.93</v>
      </c>
      <c r="AX771" s="84">
        <v>0.93</v>
      </c>
    </row>
    <row r="772" spans="1:50" x14ac:dyDescent="0.25">
      <c r="A772" s="356"/>
      <c r="B772" s="359"/>
      <c r="C772" s="360"/>
      <c r="D772" s="2" t="s">
        <v>20</v>
      </c>
      <c r="E772" s="160" t="str">
        <f>A769&amp;"/"&amp;B769&amp;"/"&amp;C769&amp;"/"&amp;D772</f>
        <v>Gas fired power plants (Natural gas, biogas)/Gas turbine combined cycle/Electricity only/XS</v>
      </c>
      <c r="F772" s="76" t="str">
        <f>A769</f>
        <v>Gas fired power plants (Natural gas, biogas)</v>
      </c>
      <c r="G772" s="76" t="str">
        <f>B769</f>
        <v>Gas turbine combined cycle</v>
      </c>
      <c r="H772" s="76" t="str">
        <f>C769</f>
        <v>Electricity only</v>
      </c>
      <c r="I772" s="161" t="str">
        <f t="shared" si="89"/>
        <v>XS</v>
      </c>
      <c r="J772" s="76">
        <v>0.93</v>
      </c>
      <c r="K772" s="76">
        <v>0.93</v>
      </c>
      <c r="L772" s="76">
        <v>0.93</v>
      </c>
      <c r="M772" s="76">
        <v>0.93</v>
      </c>
      <c r="N772" s="76">
        <v>0.93</v>
      </c>
      <c r="O772" s="76">
        <v>0.93</v>
      </c>
      <c r="P772" s="76">
        <v>0.93</v>
      </c>
      <c r="Q772" s="76">
        <v>0.93</v>
      </c>
      <c r="R772" s="76">
        <v>0.93</v>
      </c>
      <c r="S772" s="76">
        <v>0.93</v>
      </c>
      <c r="T772" s="76">
        <v>0.93</v>
      </c>
      <c r="U772" s="76">
        <v>0.93</v>
      </c>
      <c r="V772" s="76">
        <v>0.93</v>
      </c>
      <c r="W772" s="76">
        <v>0.93</v>
      </c>
      <c r="X772" s="76">
        <v>0.93</v>
      </c>
      <c r="Y772" s="76">
        <v>0.93</v>
      </c>
      <c r="Z772" s="76">
        <v>0.93</v>
      </c>
      <c r="AA772" s="76">
        <v>0.93</v>
      </c>
      <c r="AB772" s="76">
        <v>0.93</v>
      </c>
      <c r="AC772" s="76">
        <v>0.93</v>
      </c>
      <c r="AD772" s="76">
        <v>0.93</v>
      </c>
      <c r="AE772" s="76">
        <v>0.93</v>
      </c>
      <c r="AF772" s="76">
        <v>0.93</v>
      </c>
      <c r="AG772" s="76">
        <v>0.93</v>
      </c>
      <c r="AH772" s="76">
        <v>0.93</v>
      </c>
      <c r="AI772" s="76">
        <v>0.93</v>
      </c>
      <c r="AJ772" s="76">
        <v>0.93</v>
      </c>
      <c r="AK772" s="76">
        <v>0.93</v>
      </c>
      <c r="AL772" s="76">
        <v>0.93</v>
      </c>
      <c r="AM772" s="76">
        <v>0.93</v>
      </c>
      <c r="AN772" s="76">
        <v>0.93</v>
      </c>
      <c r="AO772" s="76">
        <v>0.93</v>
      </c>
      <c r="AP772" s="76">
        <v>0.93</v>
      </c>
      <c r="AQ772" s="76">
        <v>0.93</v>
      </c>
      <c r="AR772" s="76">
        <v>0.93</v>
      </c>
      <c r="AS772" s="76">
        <v>0.93</v>
      </c>
      <c r="AT772" s="76">
        <v>0.93</v>
      </c>
      <c r="AU772" s="76">
        <v>0.93</v>
      </c>
      <c r="AV772" s="76">
        <v>0.93</v>
      </c>
      <c r="AW772" s="76">
        <v>0.93</v>
      </c>
      <c r="AX772" s="84">
        <v>0.93</v>
      </c>
    </row>
    <row r="773" spans="1:50" x14ac:dyDescent="0.25">
      <c r="A773" s="356"/>
      <c r="B773" s="359"/>
      <c r="C773" s="361" t="s">
        <v>14</v>
      </c>
      <c r="D773" s="58" t="s">
        <v>7</v>
      </c>
      <c r="E773" s="164" t="str">
        <f>A769&amp;"/"&amp;B769&amp;"/"&amp;C773&amp;"/"&amp;D773</f>
        <v>Gas fired power plants (Natural gas, biogas)/Gas turbine combined cycle/CHP/L</v>
      </c>
      <c r="F773" s="78" t="str">
        <f>A769</f>
        <v>Gas fired power plants (Natural gas, biogas)</v>
      </c>
      <c r="G773" s="78" t="str">
        <f>B769</f>
        <v>Gas turbine combined cycle</v>
      </c>
      <c r="H773" s="78" t="str">
        <f>C773</f>
        <v>CHP</v>
      </c>
      <c r="I773" s="165" t="str">
        <f t="shared" si="89"/>
        <v>L</v>
      </c>
      <c r="J773" s="78">
        <v>0.93</v>
      </c>
      <c r="K773" s="78">
        <v>0.93</v>
      </c>
      <c r="L773" s="78">
        <v>0.93</v>
      </c>
      <c r="M773" s="78">
        <v>0.93</v>
      </c>
      <c r="N773" s="78">
        <v>0.93</v>
      </c>
      <c r="O773" s="78">
        <v>0.93</v>
      </c>
      <c r="P773" s="78">
        <v>0.93</v>
      </c>
      <c r="Q773" s="78">
        <v>0.93</v>
      </c>
      <c r="R773" s="78">
        <v>0.93</v>
      </c>
      <c r="S773" s="78">
        <v>0.93</v>
      </c>
      <c r="T773" s="78">
        <v>0.93</v>
      </c>
      <c r="U773" s="78">
        <v>0.93</v>
      </c>
      <c r="V773" s="78">
        <v>0.93</v>
      </c>
      <c r="W773" s="78">
        <v>0.93</v>
      </c>
      <c r="X773" s="78">
        <v>0.93</v>
      </c>
      <c r="Y773" s="78">
        <v>0.93</v>
      </c>
      <c r="Z773" s="78">
        <v>0.93</v>
      </c>
      <c r="AA773" s="78">
        <v>0.93</v>
      </c>
      <c r="AB773" s="78">
        <v>0.93</v>
      </c>
      <c r="AC773" s="78">
        <v>0.93</v>
      </c>
      <c r="AD773" s="78">
        <v>0.93</v>
      </c>
      <c r="AE773" s="78">
        <v>0.93</v>
      </c>
      <c r="AF773" s="78">
        <v>0.93</v>
      </c>
      <c r="AG773" s="78">
        <v>0.93</v>
      </c>
      <c r="AH773" s="78">
        <v>0.93</v>
      </c>
      <c r="AI773" s="78">
        <v>0.93</v>
      </c>
      <c r="AJ773" s="78">
        <v>0.93</v>
      </c>
      <c r="AK773" s="78">
        <v>0.93</v>
      </c>
      <c r="AL773" s="78">
        <v>0.93</v>
      </c>
      <c r="AM773" s="78">
        <v>0.93</v>
      </c>
      <c r="AN773" s="78">
        <v>0.93</v>
      </c>
      <c r="AO773" s="78">
        <v>0.93</v>
      </c>
      <c r="AP773" s="78">
        <v>0.93</v>
      </c>
      <c r="AQ773" s="78">
        <v>0.93</v>
      </c>
      <c r="AR773" s="78">
        <v>0.93</v>
      </c>
      <c r="AS773" s="78">
        <v>0.93</v>
      </c>
      <c r="AT773" s="78">
        <v>0.93</v>
      </c>
      <c r="AU773" s="78">
        <v>0.93</v>
      </c>
      <c r="AV773" s="78">
        <v>0.93</v>
      </c>
      <c r="AW773" s="78">
        <v>0.93</v>
      </c>
      <c r="AX773" s="86">
        <v>0.93</v>
      </c>
    </row>
    <row r="774" spans="1:50" x14ac:dyDescent="0.25">
      <c r="A774" s="356"/>
      <c r="B774" s="359"/>
      <c r="C774" s="350"/>
      <c r="D774" s="2" t="s">
        <v>8</v>
      </c>
      <c r="E774" s="160" t="str">
        <f>A769&amp;"/"&amp;B769&amp;"/"&amp;C773&amp;"/"&amp;D774</f>
        <v>Gas fired power plants (Natural gas, biogas)/Gas turbine combined cycle/CHP/M</v>
      </c>
      <c r="F774" s="76" t="str">
        <f>A769</f>
        <v>Gas fired power plants (Natural gas, biogas)</v>
      </c>
      <c r="G774" s="76" t="str">
        <f>B769</f>
        <v>Gas turbine combined cycle</v>
      </c>
      <c r="H774" s="76" t="str">
        <f>C773</f>
        <v>CHP</v>
      </c>
      <c r="I774" s="161" t="str">
        <f t="shared" si="89"/>
        <v>M</v>
      </c>
      <c r="J774" s="76">
        <v>0.93</v>
      </c>
      <c r="K774" s="76">
        <v>0.93</v>
      </c>
      <c r="L774" s="76">
        <v>0.93</v>
      </c>
      <c r="M774" s="76">
        <v>0.93</v>
      </c>
      <c r="N774" s="76">
        <v>0.93</v>
      </c>
      <c r="O774" s="76">
        <v>0.93</v>
      </c>
      <c r="P774" s="76">
        <v>0.93</v>
      </c>
      <c r="Q774" s="76">
        <v>0.93</v>
      </c>
      <c r="R774" s="76">
        <v>0.93</v>
      </c>
      <c r="S774" s="76">
        <v>0.93</v>
      </c>
      <c r="T774" s="76">
        <v>0.93</v>
      </c>
      <c r="U774" s="76">
        <v>0.93</v>
      </c>
      <c r="V774" s="76">
        <v>0.93</v>
      </c>
      <c r="W774" s="76">
        <v>0.93</v>
      </c>
      <c r="X774" s="76">
        <v>0.93</v>
      </c>
      <c r="Y774" s="76">
        <v>0.93</v>
      </c>
      <c r="Z774" s="76">
        <v>0.93</v>
      </c>
      <c r="AA774" s="76">
        <v>0.93</v>
      </c>
      <c r="AB774" s="76">
        <v>0.93</v>
      </c>
      <c r="AC774" s="76">
        <v>0.93</v>
      </c>
      <c r="AD774" s="76">
        <v>0.93</v>
      </c>
      <c r="AE774" s="76">
        <v>0.93</v>
      </c>
      <c r="AF774" s="76">
        <v>0.93</v>
      </c>
      <c r="AG774" s="76">
        <v>0.93</v>
      </c>
      <c r="AH774" s="76">
        <v>0.93</v>
      </c>
      <c r="AI774" s="76">
        <v>0.93</v>
      </c>
      <c r="AJ774" s="76">
        <v>0.93</v>
      </c>
      <c r="AK774" s="76">
        <v>0.93</v>
      </c>
      <c r="AL774" s="76">
        <v>0.93</v>
      </c>
      <c r="AM774" s="76">
        <v>0.93</v>
      </c>
      <c r="AN774" s="76">
        <v>0.93</v>
      </c>
      <c r="AO774" s="76">
        <v>0.93</v>
      </c>
      <c r="AP774" s="76">
        <v>0.93</v>
      </c>
      <c r="AQ774" s="76">
        <v>0.93</v>
      </c>
      <c r="AR774" s="76">
        <v>0.93</v>
      </c>
      <c r="AS774" s="76">
        <v>0.93</v>
      </c>
      <c r="AT774" s="76">
        <v>0.93</v>
      </c>
      <c r="AU774" s="76">
        <v>0.93</v>
      </c>
      <c r="AV774" s="76">
        <v>0.93</v>
      </c>
      <c r="AW774" s="76">
        <v>0.93</v>
      </c>
      <c r="AX774" s="84">
        <v>0.93</v>
      </c>
    </row>
    <row r="775" spans="1:50" x14ac:dyDescent="0.25">
      <c r="A775" s="356"/>
      <c r="B775" s="359"/>
      <c r="C775" s="350"/>
      <c r="D775" s="2" t="s">
        <v>10</v>
      </c>
      <c r="E775" s="160" t="str">
        <f>A769&amp;"/"&amp;B769&amp;"/"&amp;C773&amp;"/"&amp;D775</f>
        <v>Gas fired power plants (Natural gas, biogas)/Gas turbine combined cycle/CHP/S</v>
      </c>
      <c r="F775" s="76" t="str">
        <f>A769</f>
        <v>Gas fired power plants (Natural gas, biogas)</v>
      </c>
      <c r="G775" s="76" t="str">
        <f>B769</f>
        <v>Gas turbine combined cycle</v>
      </c>
      <c r="H775" s="76" t="str">
        <f>C773</f>
        <v>CHP</v>
      </c>
      <c r="I775" s="161" t="str">
        <f t="shared" si="89"/>
        <v>S</v>
      </c>
      <c r="J775" s="76">
        <v>0.93</v>
      </c>
      <c r="K775" s="76">
        <v>0.93</v>
      </c>
      <c r="L775" s="76">
        <v>0.93</v>
      </c>
      <c r="M775" s="76">
        <v>0.93</v>
      </c>
      <c r="N775" s="76">
        <v>0.93</v>
      </c>
      <c r="O775" s="76">
        <v>0.93</v>
      </c>
      <c r="P775" s="76">
        <v>0.93</v>
      </c>
      <c r="Q775" s="76">
        <v>0.93</v>
      </c>
      <c r="R775" s="76">
        <v>0.93</v>
      </c>
      <c r="S775" s="76">
        <v>0.93</v>
      </c>
      <c r="T775" s="76">
        <v>0.93</v>
      </c>
      <c r="U775" s="76">
        <v>0.93</v>
      </c>
      <c r="V775" s="76">
        <v>0.93</v>
      </c>
      <c r="W775" s="76">
        <v>0.93</v>
      </c>
      <c r="X775" s="76">
        <v>0.93</v>
      </c>
      <c r="Y775" s="76">
        <v>0.93</v>
      </c>
      <c r="Z775" s="76">
        <v>0.93</v>
      </c>
      <c r="AA775" s="76">
        <v>0.93</v>
      </c>
      <c r="AB775" s="76">
        <v>0.93</v>
      </c>
      <c r="AC775" s="76">
        <v>0.93</v>
      </c>
      <c r="AD775" s="76">
        <v>0.93</v>
      </c>
      <c r="AE775" s="76">
        <v>0.93</v>
      </c>
      <c r="AF775" s="76">
        <v>0.93</v>
      </c>
      <c r="AG775" s="76">
        <v>0.93</v>
      </c>
      <c r="AH775" s="76">
        <v>0.93</v>
      </c>
      <c r="AI775" s="76">
        <v>0.93</v>
      </c>
      <c r="AJ775" s="76">
        <v>0.93</v>
      </c>
      <c r="AK775" s="76">
        <v>0.93</v>
      </c>
      <c r="AL775" s="76">
        <v>0.93</v>
      </c>
      <c r="AM775" s="76">
        <v>0.93</v>
      </c>
      <c r="AN775" s="76">
        <v>0.93</v>
      </c>
      <c r="AO775" s="76">
        <v>0.93</v>
      </c>
      <c r="AP775" s="76">
        <v>0.93</v>
      </c>
      <c r="AQ775" s="76">
        <v>0.93</v>
      </c>
      <c r="AR775" s="76">
        <v>0.93</v>
      </c>
      <c r="AS775" s="76">
        <v>0.93</v>
      </c>
      <c r="AT775" s="76">
        <v>0.93</v>
      </c>
      <c r="AU775" s="76">
        <v>0.93</v>
      </c>
      <c r="AV775" s="76">
        <v>0.93</v>
      </c>
      <c r="AW775" s="76">
        <v>0.93</v>
      </c>
      <c r="AX775" s="84">
        <v>0.93</v>
      </c>
    </row>
    <row r="776" spans="1:50" x14ac:dyDescent="0.25">
      <c r="A776" s="356"/>
      <c r="B776" s="359"/>
      <c r="C776" s="360"/>
      <c r="D776" s="59" t="s">
        <v>20</v>
      </c>
      <c r="E776" s="166" t="str">
        <f>A769&amp;"/"&amp;B769&amp;"/"&amp;C773&amp;"/"&amp;D776</f>
        <v>Gas fired power plants (Natural gas, biogas)/Gas turbine combined cycle/CHP/XS</v>
      </c>
      <c r="F776" s="79" t="str">
        <f>A769</f>
        <v>Gas fired power plants (Natural gas, biogas)</v>
      </c>
      <c r="G776" s="79" t="str">
        <f>B769</f>
        <v>Gas turbine combined cycle</v>
      </c>
      <c r="H776" s="79" t="str">
        <f>C773</f>
        <v>CHP</v>
      </c>
      <c r="I776" s="167" t="str">
        <f t="shared" si="89"/>
        <v>XS</v>
      </c>
      <c r="J776" s="79">
        <v>0.93</v>
      </c>
      <c r="K776" s="79">
        <v>0.93</v>
      </c>
      <c r="L776" s="79">
        <v>0.93</v>
      </c>
      <c r="M776" s="79">
        <v>0.93</v>
      </c>
      <c r="N776" s="79">
        <v>0.93</v>
      </c>
      <c r="O776" s="79">
        <v>0.93</v>
      </c>
      <c r="P776" s="79">
        <v>0.93</v>
      </c>
      <c r="Q776" s="79">
        <v>0.93</v>
      </c>
      <c r="R776" s="79">
        <v>0.93</v>
      </c>
      <c r="S776" s="79">
        <v>0.93</v>
      </c>
      <c r="T776" s="79">
        <v>0.93</v>
      </c>
      <c r="U776" s="79">
        <v>0.93</v>
      </c>
      <c r="V776" s="79">
        <v>0.93</v>
      </c>
      <c r="W776" s="79">
        <v>0.93</v>
      </c>
      <c r="X776" s="79">
        <v>0.93</v>
      </c>
      <c r="Y776" s="79">
        <v>0.93</v>
      </c>
      <c r="Z776" s="79">
        <v>0.93</v>
      </c>
      <c r="AA776" s="79">
        <v>0.93</v>
      </c>
      <c r="AB776" s="79">
        <v>0.93</v>
      </c>
      <c r="AC776" s="79">
        <v>0.93</v>
      </c>
      <c r="AD776" s="79">
        <v>0.93</v>
      </c>
      <c r="AE776" s="79">
        <v>0.93</v>
      </c>
      <c r="AF776" s="79">
        <v>0.93</v>
      </c>
      <c r="AG776" s="79">
        <v>0.93</v>
      </c>
      <c r="AH776" s="79">
        <v>0.93</v>
      </c>
      <c r="AI776" s="79">
        <v>0.93</v>
      </c>
      <c r="AJ776" s="79">
        <v>0.93</v>
      </c>
      <c r="AK776" s="79">
        <v>0.93</v>
      </c>
      <c r="AL776" s="79">
        <v>0.93</v>
      </c>
      <c r="AM776" s="79">
        <v>0.93</v>
      </c>
      <c r="AN776" s="79">
        <v>0.93</v>
      </c>
      <c r="AO776" s="79">
        <v>0.93</v>
      </c>
      <c r="AP776" s="79">
        <v>0.93</v>
      </c>
      <c r="AQ776" s="79">
        <v>0.93</v>
      </c>
      <c r="AR776" s="79">
        <v>0.93</v>
      </c>
      <c r="AS776" s="79">
        <v>0.93</v>
      </c>
      <c r="AT776" s="79">
        <v>0.93</v>
      </c>
      <c r="AU776" s="79">
        <v>0.93</v>
      </c>
      <c r="AV776" s="79">
        <v>0.93</v>
      </c>
      <c r="AW776" s="79">
        <v>0.93</v>
      </c>
      <c r="AX776" s="87">
        <v>0.93</v>
      </c>
    </row>
    <row r="777" spans="1:50" x14ac:dyDescent="0.25">
      <c r="A777" s="356"/>
      <c r="B777" s="359"/>
      <c r="C777" s="361" t="s">
        <v>15</v>
      </c>
      <c r="D777" s="58" t="s">
        <v>7</v>
      </c>
      <c r="E777" s="164" t="str">
        <f>A769&amp;"/"&amp;B769&amp;"/"&amp;C777&amp;"/"&amp;D777</f>
        <v>Gas fired power plants (Natural gas, biogas)/Gas turbine combined cycle/Electricity only with CCS/L</v>
      </c>
      <c r="F777" s="78" t="str">
        <f>A769</f>
        <v>Gas fired power plants (Natural gas, biogas)</v>
      </c>
      <c r="G777" s="78" t="str">
        <f>B769</f>
        <v>Gas turbine combined cycle</v>
      </c>
      <c r="H777" s="78" t="str">
        <f>C777</f>
        <v>Electricity only with CCS</v>
      </c>
      <c r="I777" s="165" t="str">
        <f t="shared" si="89"/>
        <v>L</v>
      </c>
      <c r="J777" s="78" t="s">
        <v>112</v>
      </c>
      <c r="K777" s="78" t="s">
        <v>112</v>
      </c>
      <c r="L777" s="78" t="s">
        <v>112</v>
      </c>
      <c r="M777" s="78" t="s">
        <v>112</v>
      </c>
      <c r="N777" s="78" t="s">
        <v>112</v>
      </c>
      <c r="O777" s="78" t="s">
        <v>112</v>
      </c>
      <c r="P777" s="78" t="s">
        <v>112</v>
      </c>
      <c r="Q777" s="78" t="s">
        <v>112</v>
      </c>
      <c r="R777" s="78" t="s">
        <v>112</v>
      </c>
      <c r="S777" s="78" t="s">
        <v>112</v>
      </c>
      <c r="T777" s="78" t="s">
        <v>112</v>
      </c>
      <c r="U777" s="78" t="s">
        <v>112</v>
      </c>
      <c r="V777" s="78" t="s">
        <v>112</v>
      </c>
      <c r="W777" s="78" t="s">
        <v>112</v>
      </c>
      <c r="X777" s="78" t="s">
        <v>112</v>
      </c>
      <c r="Y777" s="78" t="s">
        <v>112</v>
      </c>
      <c r="Z777" s="78" t="s">
        <v>112</v>
      </c>
      <c r="AA777" s="78" t="s">
        <v>112</v>
      </c>
      <c r="AB777" s="78" t="s">
        <v>112</v>
      </c>
      <c r="AC777" s="78" t="s">
        <v>112</v>
      </c>
      <c r="AD777" s="78" t="s">
        <v>112</v>
      </c>
      <c r="AE777" s="78">
        <v>0.93</v>
      </c>
      <c r="AF777" s="78">
        <v>0.93</v>
      </c>
      <c r="AG777" s="78">
        <v>0.93</v>
      </c>
      <c r="AH777" s="78">
        <v>0.93</v>
      </c>
      <c r="AI777" s="78">
        <v>0.93</v>
      </c>
      <c r="AJ777" s="78">
        <v>0.93</v>
      </c>
      <c r="AK777" s="78">
        <v>0.93</v>
      </c>
      <c r="AL777" s="78">
        <v>0.93</v>
      </c>
      <c r="AM777" s="78">
        <v>0.93</v>
      </c>
      <c r="AN777" s="78">
        <v>0.93</v>
      </c>
      <c r="AO777" s="78">
        <v>0.93</v>
      </c>
      <c r="AP777" s="78">
        <v>0.93</v>
      </c>
      <c r="AQ777" s="78">
        <v>0.93</v>
      </c>
      <c r="AR777" s="78">
        <v>0.93</v>
      </c>
      <c r="AS777" s="78">
        <v>0.93</v>
      </c>
      <c r="AT777" s="78">
        <v>0.93</v>
      </c>
      <c r="AU777" s="78">
        <v>0.93</v>
      </c>
      <c r="AV777" s="78">
        <v>0.93</v>
      </c>
      <c r="AW777" s="78">
        <v>0.93</v>
      </c>
      <c r="AX777" s="86">
        <v>0.93</v>
      </c>
    </row>
    <row r="778" spans="1:50" x14ac:dyDescent="0.25">
      <c r="A778" s="356"/>
      <c r="B778" s="359"/>
      <c r="C778" s="360"/>
      <c r="D778" s="59" t="s">
        <v>8</v>
      </c>
      <c r="E778" s="166" t="str">
        <f>A769&amp;"/"&amp;B769&amp;"/"&amp;C777&amp;"/"&amp;D778</f>
        <v>Gas fired power plants (Natural gas, biogas)/Gas turbine combined cycle/Electricity only with CCS/M</v>
      </c>
      <c r="F778" s="79" t="str">
        <f>A769</f>
        <v>Gas fired power plants (Natural gas, biogas)</v>
      </c>
      <c r="G778" s="79" t="str">
        <f>B769</f>
        <v>Gas turbine combined cycle</v>
      </c>
      <c r="H778" s="79" t="str">
        <f>C777</f>
        <v>Electricity only with CCS</v>
      </c>
      <c r="I778" s="167" t="str">
        <f t="shared" si="89"/>
        <v>M</v>
      </c>
      <c r="J778" s="79" t="s">
        <v>112</v>
      </c>
      <c r="K778" s="79" t="s">
        <v>112</v>
      </c>
      <c r="L778" s="79" t="s">
        <v>112</v>
      </c>
      <c r="M778" s="79" t="s">
        <v>112</v>
      </c>
      <c r="N778" s="79" t="s">
        <v>112</v>
      </c>
      <c r="O778" s="79" t="s">
        <v>112</v>
      </c>
      <c r="P778" s="79" t="s">
        <v>112</v>
      </c>
      <c r="Q778" s="79" t="s">
        <v>112</v>
      </c>
      <c r="R778" s="79" t="s">
        <v>112</v>
      </c>
      <c r="S778" s="79" t="s">
        <v>112</v>
      </c>
      <c r="T778" s="79" t="s">
        <v>112</v>
      </c>
      <c r="U778" s="79" t="s">
        <v>112</v>
      </c>
      <c r="V778" s="79" t="s">
        <v>112</v>
      </c>
      <c r="W778" s="79" t="s">
        <v>112</v>
      </c>
      <c r="X778" s="79" t="s">
        <v>112</v>
      </c>
      <c r="Y778" s="79" t="s">
        <v>112</v>
      </c>
      <c r="Z778" s="79" t="s">
        <v>112</v>
      </c>
      <c r="AA778" s="79" t="s">
        <v>112</v>
      </c>
      <c r="AB778" s="79" t="s">
        <v>112</v>
      </c>
      <c r="AC778" s="79" t="s">
        <v>112</v>
      </c>
      <c r="AD778" s="79" t="s">
        <v>112</v>
      </c>
      <c r="AE778" s="79">
        <v>0.93</v>
      </c>
      <c r="AF778" s="79">
        <v>0.93</v>
      </c>
      <c r="AG778" s="79">
        <v>0.93</v>
      </c>
      <c r="AH778" s="79">
        <v>0.93</v>
      </c>
      <c r="AI778" s="79">
        <v>0.93</v>
      </c>
      <c r="AJ778" s="79">
        <v>0.93</v>
      </c>
      <c r="AK778" s="79">
        <v>0.93</v>
      </c>
      <c r="AL778" s="79">
        <v>0.93</v>
      </c>
      <c r="AM778" s="79">
        <v>0.93</v>
      </c>
      <c r="AN778" s="79">
        <v>0.93</v>
      </c>
      <c r="AO778" s="79">
        <v>0.93</v>
      </c>
      <c r="AP778" s="79">
        <v>0.93</v>
      </c>
      <c r="AQ778" s="79">
        <v>0.93</v>
      </c>
      <c r="AR778" s="79">
        <v>0.93</v>
      </c>
      <c r="AS778" s="79">
        <v>0.93</v>
      </c>
      <c r="AT778" s="79">
        <v>0.93</v>
      </c>
      <c r="AU778" s="79">
        <v>0.93</v>
      </c>
      <c r="AV778" s="79">
        <v>0.93</v>
      </c>
      <c r="AW778" s="79">
        <v>0.93</v>
      </c>
      <c r="AX778" s="87">
        <v>0.93</v>
      </c>
    </row>
    <row r="779" spans="1:50" x14ac:dyDescent="0.25">
      <c r="A779" s="356"/>
      <c r="B779" s="359"/>
      <c r="C779" s="361" t="s">
        <v>16</v>
      </c>
      <c r="D779" s="2" t="s">
        <v>7</v>
      </c>
      <c r="E779" s="160" t="str">
        <f>A769&amp;"/"&amp;B769&amp;"/"&amp;C779&amp;"/"&amp;D779</f>
        <v>Gas fired power plants (Natural gas, biogas)/Gas turbine combined cycle/CHP with CCS/L</v>
      </c>
      <c r="F779" s="76" t="str">
        <f>A769</f>
        <v>Gas fired power plants (Natural gas, biogas)</v>
      </c>
      <c r="G779" s="76" t="str">
        <f>B769</f>
        <v>Gas turbine combined cycle</v>
      </c>
      <c r="H779" s="76" t="str">
        <f>C779</f>
        <v>CHP with CCS</v>
      </c>
      <c r="I779" s="161" t="str">
        <f t="shared" si="89"/>
        <v>L</v>
      </c>
      <c r="J779" s="76" t="s">
        <v>112</v>
      </c>
      <c r="K779" s="76" t="s">
        <v>112</v>
      </c>
      <c r="L779" s="76" t="s">
        <v>112</v>
      </c>
      <c r="M779" s="76" t="s">
        <v>112</v>
      </c>
      <c r="N779" s="76" t="s">
        <v>112</v>
      </c>
      <c r="O779" s="76" t="s">
        <v>112</v>
      </c>
      <c r="P779" s="76" t="s">
        <v>112</v>
      </c>
      <c r="Q779" s="76" t="s">
        <v>112</v>
      </c>
      <c r="R779" s="76" t="s">
        <v>112</v>
      </c>
      <c r="S779" s="76" t="s">
        <v>112</v>
      </c>
      <c r="T779" s="76" t="s">
        <v>112</v>
      </c>
      <c r="U779" s="76" t="s">
        <v>112</v>
      </c>
      <c r="V779" s="76" t="s">
        <v>112</v>
      </c>
      <c r="W779" s="76" t="s">
        <v>112</v>
      </c>
      <c r="X779" s="76" t="s">
        <v>112</v>
      </c>
      <c r="Y779" s="76" t="s">
        <v>112</v>
      </c>
      <c r="Z779" s="76" t="s">
        <v>112</v>
      </c>
      <c r="AA779" s="76" t="s">
        <v>112</v>
      </c>
      <c r="AB779" s="76" t="s">
        <v>112</v>
      </c>
      <c r="AC779" s="76" t="s">
        <v>112</v>
      </c>
      <c r="AD779" s="76" t="s">
        <v>112</v>
      </c>
      <c r="AE779" s="76">
        <v>0.93</v>
      </c>
      <c r="AF779" s="76">
        <v>0.93</v>
      </c>
      <c r="AG779" s="76">
        <v>0.93</v>
      </c>
      <c r="AH779" s="76">
        <v>0.93</v>
      </c>
      <c r="AI779" s="76">
        <v>0.93</v>
      </c>
      <c r="AJ779" s="76">
        <v>0.93</v>
      </c>
      <c r="AK779" s="76">
        <v>0.93</v>
      </c>
      <c r="AL779" s="76">
        <v>0.93</v>
      </c>
      <c r="AM779" s="76">
        <v>0.93</v>
      </c>
      <c r="AN779" s="76">
        <v>0.93</v>
      </c>
      <c r="AO779" s="76">
        <v>0.93</v>
      </c>
      <c r="AP779" s="76">
        <v>0.93</v>
      </c>
      <c r="AQ779" s="76">
        <v>0.93</v>
      </c>
      <c r="AR779" s="76">
        <v>0.93</v>
      </c>
      <c r="AS779" s="76">
        <v>0.93</v>
      </c>
      <c r="AT779" s="76">
        <v>0.93</v>
      </c>
      <c r="AU779" s="76">
        <v>0.93</v>
      </c>
      <c r="AV779" s="76">
        <v>0.93</v>
      </c>
      <c r="AW779" s="76">
        <v>0.93</v>
      </c>
      <c r="AX779" s="84">
        <v>0.93</v>
      </c>
    </row>
    <row r="780" spans="1:50" x14ac:dyDescent="0.25">
      <c r="A780" s="356"/>
      <c r="B780" s="362"/>
      <c r="C780" s="354"/>
      <c r="D780" s="4" t="s">
        <v>8</v>
      </c>
      <c r="E780" s="168" t="str">
        <f>A769&amp;"/"&amp;B769&amp;"/"&amp;C779&amp;"/"&amp;D780</f>
        <v>Gas fired power plants (Natural gas, biogas)/Gas turbine combined cycle/CHP with CCS/M</v>
      </c>
      <c r="F780" s="80" t="str">
        <f>A769</f>
        <v>Gas fired power plants (Natural gas, biogas)</v>
      </c>
      <c r="G780" s="80" t="str">
        <f>B769</f>
        <v>Gas turbine combined cycle</v>
      </c>
      <c r="H780" s="80" t="str">
        <f>C779</f>
        <v>CHP with CCS</v>
      </c>
      <c r="I780" s="169" t="str">
        <f t="shared" si="89"/>
        <v>M</v>
      </c>
      <c r="J780" s="80" t="s">
        <v>112</v>
      </c>
      <c r="K780" s="80" t="s">
        <v>112</v>
      </c>
      <c r="L780" s="80" t="s">
        <v>112</v>
      </c>
      <c r="M780" s="80" t="s">
        <v>112</v>
      </c>
      <c r="N780" s="80" t="s">
        <v>112</v>
      </c>
      <c r="O780" s="80" t="s">
        <v>112</v>
      </c>
      <c r="P780" s="80" t="s">
        <v>112</v>
      </c>
      <c r="Q780" s="80" t="s">
        <v>112</v>
      </c>
      <c r="R780" s="80" t="s">
        <v>112</v>
      </c>
      <c r="S780" s="80" t="s">
        <v>112</v>
      </c>
      <c r="T780" s="80" t="s">
        <v>112</v>
      </c>
      <c r="U780" s="80" t="s">
        <v>112</v>
      </c>
      <c r="V780" s="80" t="s">
        <v>112</v>
      </c>
      <c r="W780" s="80" t="s">
        <v>112</v>
      </c>
      <c r="X780" s="80" t="s">
        <v>112</v>
      </c>
      <c r="Y780" s="80" t="s">
        <v>112</v>
      </c>
      <c r="Z780" s="80" t="s">
        <v>112</v>
      </c>
      <c r="AA780" s="80" t="s">
        <v>112</v>
      </c>
      <c r="AB780" s="80" t="s">
        <v>112</v>
      </c>
      <c r="AC780" s="80" t="s">
        <v>112</v>
      </c>
      <c r="AD780" s="80" t="s">
        <v>112</v>
      </c>
      <c r="AE780" s="80">
        <v>0.93</v>
      </c>
      <c r="AF780" s="80">
        <v>0.93</v>
      </c>
      <c r="AG780" s="80">
        <v>0.93</v>
      </c>
      <c r="AH780" s="80">
        <v>0.93</v>
      </c>
      <c r="AI780" s="80">
        <v>0.93</v>
      </c>
      <c r="AJ780" s="80">
        <v>0.93</v>
      </c>
      <c r="AK780" s="80">
        <v>0.93</v>
      </c>
      <c r="AL780" s="80">
        <v>0.93</v>
      </c>
      <c r="AM780" s="80">
        <v>0.93</v>
      </c>
      <c r="AN780" s="80">
        <v>0.93</v>
      </c>
      <c r="AO780" s="80">
        <v>0.93</v>
      </c>
      <c r="AP780" s="80">
        <v>0.93</v>
      </c>
      <c r="AQ780" s="80">
        <v>0.93</v>
      </c>
      <c r="AR780" s="80">
        <v>0.93</v>
      </c>
      <c r="AS780" s="80">
        <v>0.93</v>
      </c>
      <c r="AT780" s="80">
        <v>0.93</v>
      </c>
      <c r="AU780" s="80">
        <v>0.93</v>
      </c>
      <c r="AV780" s="80">
        <v>0.93</v>
      </c>
      <c r="AW780" s="80">
        <v>0.93</v>
      </c>
      <c r="AX780" s="88">
        <v>0.93</v>
      </c>
    </row>
    <row r="781" spans="1:50" x14ac:dyDescent="0.25">
      <c r="A781" s="356"/>
      <c r="B781" s="358" t="s">
        <v>24</v>
      </c>
      <c r="C781" s="353" t="s">
        <v>6</v>
      </c>
      <c r="D781" s="3" t="s">
        <v>8</v>
      </c>
      <c r="E781" s="162" t="str">
        <f>A769&amp;"/"&amp;B781&amp;"/"&amp;C781&amp;"/"&amp;D781</f>
        <v>Gas fired power plants (Natural gas, biogas)/Gas turbine /Electricity only/M</v>
      </c>
      <c r="F781" s="77" t="str">
        <f>A769</f>
        <v>Gas fired power plants (Natural gas, biogas)</v>
      </c>
      <c r="G781" s="77" t="str">
        <f>B781</f>
        <v xml:space="preserve">Gas turbine </v>
      </c>
      <c r="H781" s="77" t="str">
        <f>C781</f>
        <v>Electricity only</v>
      </c>
      <c r="I781" s="163" t="str">
        <f t="shared" si="89"/>
        <v>M</v>
      </c>
      <c r="J781" s="77">
        <v>0.94499999999999995</v>
      </c>
      <c r="K781" s="77">
        <v>0.94499999999999995</v>
      </c>
      <c r="L781" s="77">
        <v>0.94499999999999995</v>
      </c>
      <c r="M781" s="77">
        <v>0.94499999999999995</v>
      </c>
      <c r="N781" s="77">
        <v>0.94499999999999995</v>
      </c>
      <c r="O781" s="77">
        <v>0.94499999999999995</v>
      </c>
      <c r="P781" s="77">
        <v>0.94499999999999995</v>
      </c>
      <c r="Q781" s="77">
        <v>0.94499999999999995</v>
      </c>
      <c r="R781" s="77">
        <v>0.94499999999999995</v>
      </c>
      <c r="S781" s="77">
        <v>0.94499999999999995</v>
      </c>
      <c r="T781" s="77">
        <v>0.94499999999999995</v>
      </c>
      <c r="U781" s="77">
        <v>0.94499999999999995</v>
      </c>
      <c r="V781" s="77">
        <v>0.94499999999999995</v>
      </c>
      <c r="W781" s="77">
        <v>0.94499999999999995</v>
      </c>
      <c r="X781" s="77">
        <v>0.94499999999999995</v>
      </c>
      <c r="Y781" s="77">
        <v>0.94499999999999995</v>
      </c>
      <c r="Z781" s="77">
        <v>0.94499999999999995</v>
      </c>
      <c r="AA781" s="77">
        <v>0.94499999999999995</v>
      </c>
      <c r="AB781" s="77">
        <v>0.94499999999999995</v>
      </c>
      <c r="AC781" s="77">
        <v>0.94499999999999995</v>
      </c>
      <c r="AD781" s="77">
        <v>0.94499999999999995</v>
      </c>
      <c r="AE781" s="77">
        <v>0.94499999999999995</v>
      </c>
      <c r="AF781" s="77">
        <v>0.94499999999999995</v>
      </c>
      <c r="AG781" s="77">
        <v>0.94499999999999995</v>
      </c>
      <c r="AH781" s="77">
        <v>0.94499999999999995</v>
      </c>
      <c r="AI781" s="77">
        <v>0.94499999999999995</v>
      </c>
      <c r="AJ781" s="77">
        <v>0.94499999999999995</v>
      </c>
      <c r="AK781" s="77">
        <v>0.94499999999999995</v>
      </c>
      <c r="AL781" s="77">
        <v>0.94499999999999995</v>
      </c>
      <c r="AM781" s="77">
        <v>0.94499999999999995</v>
      </c>
      <c r="AN781" s="77">
        <v>0.94499999999999995</v>
      </c>
      <c r="AO781" s="77">
        <v>0.94499999999999995</v>
      </c>
      <c r="AP781" s="77">
        <v>0.94499999999999995</v>
      </c>
      <c r="AQ781" s="77">
        <v>0.94499999999999995</v>
      </c>
      <c r="AR781" s="77">
        <v>0.94499999999999995</v>
      </c>
      <c r="AS781" s="77">
        <v>0.94499999999999995</v>
      </c>
      <c r="AT781" s="77">
        <v>0.94499999999999995</v>
      </c>
      <c r="AU781" s="77">
        <v>0.94499999999999995</v>
      </c>
      <c r="AV781" s="77">
        <v>0.94499999999999995</v>
      </c>
      <c r="AW781" s="77">
        <v>0.94499999999999995</v>
      </c>
      <c r="AX781" s="85">
        <v>0.94499999999999995</v>
      </c>
    </row>
    <row r="782" spans="1:50" x14ac:dyDescent="0.25">
      <c r="A782" s="356"/>
      <c r="B782" s="359"/>
      <c r="C782" s="350"/>
      <c r="D782" s="2" t="s">
        <v>10</v>
      </c>
      <c r="E782" s="160" t="str">
        <f>A769&amp;"/"&amp;B781&amp;"/"&amp;C781&amp;"/"&amp;D782</f>
        <v>Gas fired power plants (Natural gas, biogas)/Gas turbine /Electricity only/S</v>
      </c>
      <c r="F782" s="76" t="str">
        <f>A769</f>
        <v>Gas fired power plants (Natural gas, biogas)</v>
      </c>
      <c r="G782" s="76" t="str">
        <f>B781</f>
        <v xml:space="preserve">Gas turbine </v>
      </c>
      <c r="H782" s="76" t="str">
        <f>C781</f>
        <v>Electricity only</v>
      </c>
      <c r="I782" s="161" t="str">
        <f t="shared" si="89"/>
        <v>S</v>
      </c>
      <c r="J782" s="76">
        <v>0.94499999999999995</v>
      </c>
      <c r="K782" s="76">
        <v>0.94499999999999995</v>
      </c>
      <c r="L782" s="76">
        <v>0.94499999999999995</v>
      </c>
      <c r="M782" s="76">
        <v>0.94499999999999995</v>
      </c>
      <c r="N782" s="76">
        <v>0.94499999999999995</v>
      </c>
      <c r="O782" s="76">
        <v>0.94499999999999995</v>
      </c>
      <c r="P782" s="76">
        <v>0.94499999999999995</v>
      </c>
      <c r="Q782" s="76">
        <v>0.94499999999999995</v>
      </c>
      <c r="R782" s="76">
        <v>0.94499999999999995</v>
      </c>
      <c r="S782" s="76">
        <v>0.94499999999999995</v>
      </c>
      <c r="T782" s="76">
        <v>0.94499999999999995</v>
      </c>
      <c r="U782" s="76">
        <v>0.94499999999999995</v>
      </c>
      <c r="V782" s="76">
        <v>0.94499999999999995</v>
      </c>
      <c r="W782" s="76">
        <v>0.94499999999999995</v>
      </c>
      <c r="X782" s="76">
        <v>0.94499999999999995</v>
      </c>
      <c r="Y782" s="76">
        <v>0.94499999999999995</v>
      </c>
      <c r="Z782" s="76">
        <v>0.94499999999999995</v>
      </c>
      <c r="AA782" s="76">
        <v>0.94499999999999995</v>
      </c>
      <c r="AB782" s="76">
        <v>0.94499999999999995</v>
      </c>
      <c r="AC782" s="76">
        <v>0.94499999999999995</v>
      </c>
      <c r="AD782" s="76">
        <v>0.94499999999999995</v>
      </c>
      <c r="AE782" s="76">
        <v>0.94499999999999995</v>
      </c>
      <c r="AF782" s="76">
        <v>0.94499999999999995</v>
      </c>
      <c r="AG782" s="76">
        <v>0.94499999999999995</v>
      </c>
      <c r="AH782" s="76">
        <v>0.94499999999999995</v>
      </c>
      <c r="AI782" s="76">
        <v>0.94499999999999995</v>
      </c>
      <c r="AJ782" s="76">
        <v>0.94499999999999995</v>
      </c>
      <c r="AK782" s="76">
        <v>0.94499999999999995</v>
      </c>
      <c r="AL782" s="76">
        <v>0.94499999999999995</v>
      </c>
      <c r="AM782" s="76">
        <v>0.94499999999999995</v>
      </c>
      <c r="AN782" s="76">
        <v>0.94499999999999995</v>
      </c>
      <c r="AO782" s="76">
        <v>0.94499999999999995</v>
      </c>
      <c r="AP782" s="76">
        <v>0.94499999999999995</v>
      </c>
      <c r="AQ782" s="76">
        <v>0.94499999999999995</v>
      </c>
      <c r="AR782" s="76">
        <v>0.94499999999999995</v>
      </c>
      <c r="AS782" s="76">
        <v>0.94499999999999995</v>
      </c>
      <c r="AT782" s="76">
        <v>0.94499999999999995</v>
      </c>
      <c r="AU782" s="76">
        <v>0.94499999999999995</v>
      </c>
      <c r="AV782" s="76">
        <v>0.94499999999999995</v>
      </c>
      <c r="AW782" s="76">
        <v>0.94499999999999995</v>
      </c>
      <c r="AX782" s="84">
        <v>0.94499999999999995</v>
      </c>
    </row>
    <row r="783" spans="1:50" x14ac:dyDescent="0.25">
      <c r="A783" s="356"/>
      <c r="B783" s="359"/>
      <c r="C783" s="360"/>
      <c r="D783" s="59" t="s">
        <v>20</v>
      </c>
      <c r="E783" s="160" t="str">
        <f>A769&amp;"/"&amp;B781&amp;"/"&amp;C781&amp;"/"&amp;D783</f>
        <v>Gas fired power plants (Natural gas, biogas)/Gas turbine /Electricity only/XS</v>
      </c>
      <c r="F783" s="76" t="str">
        <f>A769</f>
        <v>Gas fired power plants (Natural gas, biogas)</v>
      </c>
      <c r="G783" s="76" t="str">
        <f>B781</f>
        <v xml:space="preserve">Gas turbine </v>
      </c>
      <c r="H783" s="76" t="str">
        <f>C781</f>
        <v>Electricity only</v>
      </c>
      <c r="I783" s="161" t="str">
        <f t="shared" si="89"/>
        <v>XS</v>
      </c>
      <c r="J783" s="76">
        <v>0.94499999999999995</v>
      </c>
      <c r="K783" s="76">
        <v>0.94499999999999995</v>
      </c>
      <c r="L783" s="76">
        <v>0.94499999999999995</v>
      </c>
      <c r="M783" s="76">
        <v>0.94499999999999995</v>
      </c>
      <c r="N783" s="76">
        <v>0.94499999999999995</v>
      </c>
      <c r="O783" s="76">
        <v>0.94499999999999995</v>
      </c>
      <c r="P783" s="76">
        <v>0.94499999999999995</v>
      </c>
      <c r="Q783" s="76">
        <v>0.94499999999999995</v>
      </c>
      <c r="R783" s="76">
        <v>0.94499999999999995</v>
      </c>
      <c r="S783" s="76">
        <v>0.94499999999999995</v>
      </c>
      <c r="T783" s="76">
        <v>0.94499999999999995</v>
      </c>
      <c r="U783" s="76">
        <v>0.94499999999999995</v>
      </c>
      <c r="V783" s="76">
        <v>0.94499999999999995</v>
      </c>
      <c r="W783" s="76">
        <v>0.94499999999999995</v>
      </c>
      <c r="X783" s="76">
        <v>0.94499999999999995</v>
      </c>
      <c r="Y783" s="76">
        <v>0.94499999999999995</v>
      </c>
      <c r="Z783" s="76">
        <v>0.94499999999999995</v>
      </c>
      <c r="AA783" s="76">
        <v>0.94499999999999995</v>
      </c>
      <c r="AB783" s="76">
        <v>0.94499999999999995</v>
      </c>
      <c r="AC783" s="76">
        <v>0.94499999999999995</v>
      </c>
      <c r="AD783" s="76">
        <v>0.94499999999999995</v>
      </c>
      <c r="AE783" s="76">
        <v>0.94499999999999995</v>
      </c>
      <c r="AF783" s="76">
        <v>0.94499999999999995</v>
      </c>
      <c r="AG783" s="76">
        <v>0.94499999999999995</v>
      </c>
      <c r="AH783" s="76">
        <v>0.94499999999999995</v>
      </c>
      <c r="AI783" s="76">
        <v>0.94499999999999995</v>
      </c>
      <c r="AJ783" s="76">
        <v>0.94499999999999995</v>
      </c>
      <c r="AK783" s="76">
        <v>0.94499999999999995</v>
      </c>
      <c r="AL783" s="76">
        <v>0.94499999999999995</v>
      </c>
      <c r="AM783" s="76">
        <v>0.94499999999999995</v>
      </c>
      <c r="AN783" s="76">
        <v>0.94499999999999995</v>
      </c>
      <c r="AO783" s="76">
        <v>0.94499999999999995</v>
      </c>
      <c r="AP783" s="76">
        <v>0.94499999999999995</v>
      </c>
      <c r="AQ783" s="76">
        <v>0.94499999999999995</v>
      </c>
      <c r="AR783" s="76">
        <v>0.94499999999999995</v>
      </c>
      <c r="AS783" s="76">
        <v>0.94499999999999995</v>
      </c>
      <c r="AT783" s="76">
        <v>0.94499999999999995</v>
      </c>
      <c r="AU783" s="76">
        <v>0.94499999999999995</v>
      </c>
      <c r="AV783" s="76">
        <v>0.94499999999999995</v>
      </c>
      <c r="AW783" s="76">
        <v>0.94499999999999995</v>
      </c>
      <c r="AX783" s="84">
        <v>0.94499999999999995</v>
      </c>
    </row>
    <row r="784" spans="1:50" x14ac:dyDescent="0.25">
      <c r="A784" s="356"/>
      <c r="B784" s="359"/>
      <c r="C784" s="361" t="s">
        <v>14</v>
      </c>
      <c r="D784" s="2" t="s">
        <v>8</v>
      </c>
      <c r="E784" s="164" t="str">
        <f>A769&amp;"/"&amp;B781&amp;"/"&amp;C784&amp;"/"&amp;D784</f>
        <v>Gas fired power plants (Natural gas, biogas)/Gas turbine /CHP/M</v>
      </c>
      <c r="F784" s="78" t="str">
        <f>A769</f>
        <v>Gas fired power plants (Natural gas, biogas)</v>
      </c>
      <c r="G784" s="78" t="str">
        <f>B781</f>
        <v xml:space="preserve">Gas turbine </v>
      </c>
      <c r="H784" s="78" t="str">
        <f>C784</f>
        <v>CHP</v>
      </c>
      <c r="I784" s="165" t="str">
        <f t="shared" si="89"/>
        <v>M</v>
      </c>
      <c r="J784" s="78">
        <v>0.94499999999999995</v>
      </c>
      <c r="K784" s="78">
        <v>0.94499999999999995</v>
      </c>
      <c r="L784" s="78">
        <v>0.94499999999999995</v>
      </c>
      <c r="M784" s="78">
        <v>0.94499999999999995</v>
      </c>
      <c r="N784" s="78">
        <v>0.94499999999999995</v>
      </c>
      <c r="O784" s="78">
        <v>0.94499999999999995</v>
      </c>
      <c r="P784" s="78">
        <v>0.94499999999999995</v>
      </c>
      <c r="Q784" s="78">
        <v>0.94499999999999995</v>
      </c>
      <c r="R784" s="78">
        <v>0.94499999999999995</v>
      </c>
      <c r="S784" s="78">
        <v>0.94499999999999995</v>
      </c>
      <c r="T784" s="78">
        <v>0.94499999999999995</v>
      </c>
      <c r="U784" s="78">
        <v>0.94499999999999995</v>
      </c>
      <c r="V784" s="78">
        <v>0.94499999999999995</v>
      </c>
      <c r="W784" s="78">
        <v>0.94499999999999995</v>
      </c>
      <c r="X784" s="78">
        <v>0.94499999999999995</v>
      </c>
      <c r="Y784" s="78">
        <v>0.94499999999999995</v>
      </c>
      <c r="Z784" s="78">
        <v>0.94499999999999995</v>
      </c>
      <c r="AA784" s="78">
        <v>0.94499999999999995</v>
      </c>
      <c r="AB784" s="78">
        <v>0.94499999999999995</v>
      </c>
      <c r="AC784" s="78">
        <v>0.94499999999999995</v>
      </c>
      <c r="AD784" s="78">
        <v>0.94499999999999995</v>
      </c>
      <c r="AE784" s="78">
        <v>0.94499999999999995</v>
      </c>
      <c r="AF784" s="78">
        <v>0.94499999999999995</v>
      </c>
      <c r="AG784" s="78">
        <v>0.94499999999999995</v>
      </c>
      <c r="AH784" s="78">
        <v>0.94499999999999995</v>
      </c>
      <c r="AI784" s="78">
        <v>0.94499999999999995</v>
      </c>
      <c r="AJ784" s="78">
        <v>0.94499999999999995</v>
      </c>
      <c r="AK784" s="78">
        <v>0.94499999999999995</v>
      </c>
      <c r="AL784" s="78">
        <v>0.94499999999999995</v>
      </c>
      <c r="AM784" s="78">
        <v>0.94499999999999995</v>
      </c>
      <c r="AN784" s="78">
        <v>0.94499999999999995</v>
      </c>
      <c r="AO784" s="78">
        <v>0.94499999999999995</v>
      </c>
      <c r="AP784" s="78">
        <v>0.94499999999999995</v>
      </c>
      <c r="AQ784" s="78">
        <v>0.94499999999999995</v>
      </c>
      <c r="AR784" s="78">
        <v>0.94499999999999995</v>
      </c>
      <c r="AS784" s="78">
        <v>0.94499999999999995</v>
      </c>
      <c r="AT784" s="78">
        <v>0.94499999999999995</v>
      </c>
      <c r="AU784" s="78">
        <v>0.94499999999999995</v>
      </c>
      <c r="AV784" s="78">
        <v>0.94499999999999995</v>
      </c>
      <c r="AW784" s="78">
        <v>0.94499999999999995</v>
      </c>
      <c r="AX784" s="86">
        <v>0.94499999999999995</v>
      </c>
    </row>
    <row r="785" spans="1:50" x14ac:dyDescent="0.25">
      <c r="A785" s="356"/>
      <c r="B785" s="359"/>
      <c r="C785" s="350"/>
      <c r="D785" s="2" t="s">
        <v>10</v>
      </c>
      <c r="E785" s="160" t="str">
        <f>A769&amp;"/"&amp;B781&amp;"/"&amp;C784&amp;"/"&amp;D785</f>
        <v>Gas fired power plants (Natural gas, biogas)/Gas turbine /CHP/S</v>
      </c>
      <c r="F785" s="76" t="str">
        <f>A769</f>
        <v>Gas fired power plants (Natural gas, biogas)</v>
      </c>
      <c r="G785" s="76" t="str">
        <f>B781</f>
        <v xml:space="preserve">Gas turbine </v>
      </c>
      <c r="H785" s="76" t="str">
        <f>C784</f>
        <v>CHP</v>
      </c>
      <c r="I785" s="161" t="str">
        <f t="shared" si="89"/>
        <v>S</v>
      </c>
      <c r="J785" s="76">
        <v>0.94499999999999995</v>
      </c>
      <c r="K785" s="76">
        <v>0.94499999999999995</v>
      </c>
      <c r="L785" s="76">
        <v>0.94499999999999995</v>
      </c>
      <c r="M785" s="76">
        <v>0.94499999999999995</v>
      </c>
      <c r="N785" s="76">
        <v>0.94499999999999995</v>
      </c>
      <c r="O785" s="76">
        <v>0.94499999999999995</v>
      </c>
      <c r="P785" s="76">
        <v>0.94499999999999995</v>
      </c>
      <c r="Q785" s="76">
        <v>0.94499999999999995</v>
      </c>
      <c r="R785" s="76">
        <v>0.94499999999999995</v>
      </c>
      <c r="S785" s="76">
        <v>0.94499999999999995</v>
      </c>
      <c r="T785" s="76">
        <v>0.94499999999999995</v>
      </c>
      <c r="U785" s="76">
        <v>0.94499999999999995</v>
      </c>
      <c r="V785" s="76">
        <v>0.94499999999999995</v>
      </c>
      <c r="W785" s="76">
        <v>0.94499999999999995</v>
      </c>
      <c r="X785" s="76">
        <v>0.94499999999999995</v>
      </c>
      <c r="Y785" s="76">
        <v>0.94499999999999995</v>
      </c>
      <c r="Z785" s="76">
        <v>0.94499999999999995</v>
      </c>
      <c r="AA785" s="76">
        <v>0.94499999999999995</v>
      </c>
      <c r="AB785" s="76">
        <v>0.94499999999999995</v>
      </c>
      <c r="AC785" s="76">
        <v>0.94499999999999995</v>
      </c>
      <c r="AD785" s="76">
        <v>0.94499999999999995</v>
      </c>
      <c r="AE785" s="76">
        <v>0.94499999999999995</v>
      </c>
      <c r="AF785" s="76">
        <v>0.94499999999999995</v>
      </c>
      <c r="AG785" s="76">
        <v>0.94499999999999995</v>
      </c>
      <c r="AH785" s="76">
        <v>0.94499999999999995</v>
      </c>
      <c r="AI785" s="76">
        <v>0.94499999999999995</v>
      </c>
      <c r="AJ785" s="76">
        <v>0.94499999999999995</v>
      </c>
      <c r="AK785" s="76">
        <v>0.94499999999999995</v>
      </c>
      <c r="AL785" s="76">
        <v>0.94499999999999995</v>
      </c>
      <c r="AM785" s="76">
        <v>0.94499999999999995</v>
      </c>
      <c r="AN785" s="76">
        <v>0.94499999999999995</v>
      </c>
      <c r="AO785" s="76">
        <v>0.94499999999999995</v>
      </c>
      <c r="AP785" s="76">
        <v>0.94499999999999995</v>
      </c>
      <c r="AQ785" s="76">
        <v>0.94499999999999995</v>
      </c>
      <c r="AR785" s="76">
        <v>0.94499999999999995</v>
      </c>
      <c r="AS785" s="76">
        <v>0.94499999999999995</v>
      </c>
      <c r="AT785" s="76">
        <v>0.94499999999999995</v>
      </c>
      <c r="AU785" s="76">
        <v>0.94499999999999995</v>
      </c>
      <c r="AV785" s="76">
        <v>0.94499999999999995</v>
      </c>
      <c r="AW785" s="76">
        <v>0.94499999999999995</v>
      </c>
      <c r="AX785" s="84">
        <v>0.94499999999999995</v>
      </c>
    </row>
    <row r="786" spans="1:50" x14ac:dyDescent="0.25">
      <c r="A786" s="356"/>
      <c r="B786" s="362"/>
      <c r="C786" s="354"/>
      <c r="D786" s="4" t="s">
        <v>20</v>
      </c>
      <c r="E786" s="168" t="str">
        <f>A769&amp;"/"&amp;B781&amp;"/"&amp;C784&amp;"/"&amp;D786</f>
        <v>Gas fired power plants (Natural gas, biogas)/Gas turbine /CHP/XS</v>
      </c>
      <c r="F786" s="80" t="str">
        <f>A769</f>
        <v>Gas fired power plants (Natural gas, biogas)</v>
      </c>
      <c r="G786" s="80" t="str">
        <f>B781</f>
        <v xml:space="preserve">Gas turbine </v>
      </c>
      <c r="H786" s="80" t="str">
        <f>C784</f>
        <v>CHP</v>
      </c>
      <c r="I786" s="169" t="str">
        <f t="shared" si="89"/>
        <v>XS</v>
      </c>
      <c r="J786" s="80">
        <v>0.94499999999999995</v>
      </c>
      <c r="K786" s="80">
        <v>0.94499999999999995</v>
      </c>
      <c r="L786" s="80">
        <v>0.94499999999999995</v>
      </c>
      <c r="M786" s="80">
        <v>0.94499999999999995</v>
      </c>
      <c r="N786" s="80">
        <v>0.94499999999999995</v>
      </c>
      <c r="O786" s="80">
        <v>0.94499999999999995</v>
      </c>
      <c r="P786" s="80">
        <v>0.94499999999999995</v>
      </c>
      <c r="Q786" s="80">
        <v>0.94499999999999995</v>
      </c>
      <c r="R786" s="80">
        <v>0.94499999999999995</v>
      </c>
      <c r="S786" s="80">
        <v>0.94499999999999995</v>
      </c>
      <c r="T786" s="80">
        <v>0.94499999999999995</v>
      </c>
      <c r="U786" s="80">
        <v>0.94499999999999995</v>
      </c>
      <c r="V786" s="80">
        <v>0.94499999999999995</v>
      </c>
      <c r="W786" s="80">
        <v>0.94499999999999995</v>
      </c>
      <c r="X786" s="80">
        <v>0.94499999999999995</v>
      </c>
      <c r="Y786" s="80">
        <v>0.94499999999999995</v>
      </c>
      <c r="Z786" s="80">
        <v>0.94499999999999995</v>
      </c>
      <c r="AA786" s="80">
        <v>0.94499999999999995</v>
      </c>
      <c r="AB786" s="80">
        <v>0.94499999999999995</v>
      </c>
      <c r="AC786" s="80">
        <v>0.94499999999999995</v>
      </c>
      <c r="AD786" s="80">
        <v>0.94499999999999995</v>
      </c>
      <c r="AE786" s="80">
        <v>0.94499999999999995</v>
      </c>
      <c r="AF786" s="80">
        <v>0.94499999999999995</v>
      </c>
      <c r="AG786" s="80">
        <v>0.94499999999999995</v>
      </c>
      <c r="AH786" s="80">
        <v>0.94499999999999995</v>
      </c>
      <c r="AI786" s="80">
        <v>0.94499999999999995</v>
      </c>
      <c r="AJ786" s="80">
        <v>0.94499999999999995</v>
      </c>
      <c r="AK786" s="80">
        <v>0.94499999999999995</v>
      </c>
      <c r="AL786" s="80">
        <v>0.94499999999999995</v>
      </c>
      <c r="AM786" s="80">
        <v>0.94499999999999995</v>
      </c>
      <c r="AN786" s="80">
        <v>0.94499999999999995</v>
      </c>
      <c r="AO786" s="80">
        <v>0.94499999999999995</v>
      </c>
      <c r="AP786" s="80">
        <v>0.94499999999999995</v>
      </c>
      <c r="AQ786" s="80">
        <v>0.94499999999999995</v>
      </c>
      <c r="AR786" s="80">
        <v>0.94499999999999995</v>
      </c>
      <c r="AS786" s="80">
        <v>0.94499999999999995</v>
      </c>
      <c r="AT786" s="80">
        <v>0.94499999999999995</v>
      </c>
      <c r="AU786" s="80">
        <v>0.94499999999999995</v>
      </c>
      <c r="AV786" s="80">
        <v>0.94499999999999995</v>
      </c>
      <c r="AW786" s="80">
        <v>0.94499999999999995</v>
      </c>
      <c r="AX786" s="88">
        <v>0.94499999999999995</v>
      </c>
    </row>
    <row r="787" spans="1:50" x14ac:dyDescent="0.25">
      <c r="A787" s="356"/>
      <c r="B787" s="358" t="s">
        <v>19</v>
      </c>
      <c r="C787" s="353" t="s">
        <v>6</v>
      </c>
      <c r="D787" s="3" t="s">
        <v>7</v>
      </c>
      <c r="E787" s="162" t="str">
        <f>A769&amp;"/"&amp;B787&amp;"/"&amp;C787&amp;"/"&amp;D787</f>
        <v>Gas fired power plants (Natural gas, biogas)/Steam turbine/Electricity only/L</v>
      </c>
      <c r="F787" s="77" t="str">
        <f>A769</f>
        <v>Gas fired power plants (Natural gas, biogas)</v>
      </c>
      <c r="G787" s="77" t="str">
        <f>B787</f>
        <v>Steam turbine</v>
      </c>
      <c r="H787" s="77" t="str">
        <f>C787</f>
        <v>Electricity only</v>
      </c>
      <c r="I787" s="163" t="str">
        <f t="shared" si="89"/>
        <v>L</v>
      </c>
      <c r="J787" s="77">
        <v>0.91500000000000004</v>
      </c>
      <c r="K787" s="77">
        <v>0.91500000000000004</v>
      </c>
      <c r="L787" s="77">
        <v>0.91500000000000004</v>
      </c>
      <c r="M787" s="77">
        <v>0.91500000000000004</v>
      </c>
      <c r="N787" s="77">
        <v>0.91500000000000004</v>
      </c>
      <c r="O787" s="77">
        <v>0.91500000000000004</v>
      </c>
      <c r="P787" s="77">
        <v>0.91500000000000004</v>
      </c>
      <c r="Q787" s="77">
        <v>0.91500000000000004</v>
      </c>
      <c r="R787" s="77">
        <v>0.91500000000000004</v>
      </c>
      <c r="S787" s="77">
        <v>0.91500000000000004</v>
      </c>
      <c r="T787" s="77">
        <v>0.91500000000000004</v>
      </c>
      <c r="U787" s="77">
        <v>0.91500000000000004</v>
      </c>
      <c r="V787" s="77">
        <v>0.91500000000000004</v>
      </c>
      <c r="W787" s="77">
        <v>0.91500000000000004</v>
      </c>
      <c r="X787" s="77">
        <v>0.91500000000000004</v>
      </c>
      <c r="Y787" s="77">
        <v>0.91500000000000004</v>
      </c>
      <c r="Z787" s="77">
        <v>0.91500000000000004</v>
      </c>
      <c r="AA787" s="77">
        <v>0.91500000000000004</v>
      </c>
      <c r="AB787" s="77">
        <v>0.91500000000000004</v>
      </c>
      <c r="AC787" s="77">
        <v>0.91500000000000004</v>
      </c>
      <c r="AD787" s="77">
        <v>0.91500000000000004</v>
      </c>
      <c r="AE787" s="77">
        <v>0.91500000000000004</v>
      </c>
      <c r="AF787" s="77">
        <v>0.91500000000000004</v>
      </c>
      <c r="AG787" s="77">
        <v>0.91500000000000004</v>
      </c>
      <c r="AH787" s="77">
        <v>0.91500000000000004</v>
      </c>
      <c r="AI787" s="77">
        <v>0.91500000000000004</v>
      </c>
      <c r="AJ787" s="77">
        <v>0.91500000000000004</v>
      </c>
      <c r="AK787" s="77">
        <v>0.91500000000000004</v>
      </c>
      <c r="AL787" s="77">
        <v>0.91500000000000004</v>
      </c>
      <c r="AM787" s="77">
        <v>0.91500000000000004</v>
      </c>
      <c r="AN787" s="77">
        <v>0.91500000000000004</v>
      </c>
      <c r="AO787" s="77">
        <v>0.91500000000000004</v>
      </c>
      <c r="AP787" s="77">
        <v>0.91500000000000004</v>
      </c>
      <c r="AQ787" s="77">
        <v>0.91500000000000004</v>
      </c>
      <c r="AR787" s="77">
        <v>0.91500000000000004</v>
      </c>
      <c r="AS787" s="77">
        <v>0.91500000000000004</v>
      </c>
      <c r="AT787" s="77">
        <v>0.91500000000000004</v>
      </c>
      <c r="AU787" s="77">
        <v>0.91500000000000004</v>
      </c>
      <c r="AV787" s="77">
        <v>0.91500000000000004</v>
      </c>
      <c r="AW787" s="77">
        <v>0.91500000000000004</v>
      </c>
      <c r="AX787" s="85">
        <v>0.91500000000000004</v>
      </c>
    </row>
    <row r="788" spans="1:50" x14ac:dyDescent="0.25">
      <c r="A788" s="356"/>
      <c r="B788" s="359"/>
      <c r="C788" s="350"/>
      <c r="D788" s="2" t="s">
        <v>8</v>
      </c>
      <c r="E788" s="160" t="str">
        <f>A769&amp;"/"&amp;B787&amp;"/"&amp;C787&amp;"/"&amp;D788</f>
        <v>Gas fired power plants (Natural gas, biogas)/Steam turbine/Electricity only/M</v>
      </c>
      <c r="F788" s="76" t="str">
        <f>A769</f>
        <v>Gas fired power plants (Natural gas, biogas)</v>
      </c>
      <c r="G788" s="76" t="str">
        <f>B787</f>
        <v>Steam turbine</v>
      </c>
      <c r="H788" s="76" t="str">
        <f>C787</f>
        <v>Electricity only</v>
      </c>
      <c r="I788" s="161" t="str">
        <f t="shared" si="89"/>
        <v>M</v>
      </c>
      <c r="J788" s="76">
        <v>0.91500000000000004</v>
      </c>
      <c r="K788" s="76">
        <v>0.91500000000000004</v>
      </c>
      <c r="L788" s="76">
        <v>0.91500000000000004</v>
      </c>
      <c r="M788" s="76">
        <v>0.91500000000000004</v>
      </c>
      <c r="N788" s="76">
        <v>0.91500000000000004</v>
      </c>
      <c r="O788" s="76">
        <v>0.91500000000000004</v>
      </c>
      <c r="P788" s="76">
        <v>0.91500000000000004</v>
      </c>
      <c r="Q788" s="76">
        <v>0.91500000000000004</v>
      </c>
      <c r="R788" s="76">
        <v>0.91500000000000004</v>
      </c>
      <c r="S788" s="76">
        <v>0.91500000000000004</v>
      </c>
      <c r="T788" s="76">
        <v>0.91500000000000004</v>
      </c>
      <c r="U788" s="76">
        <v>0.91500000000000004</v>
      </c>
      <c r="V788" s="76">
        <v>0.91500000000000004</v>
      </c>
      <c r="W788" s="76">
        <v>0.91500000000000004</v>
      </c>
      <c r="X788" s="76">
        <v>0.91500000000000004</v>
      </c>
      <c r="Y788" s="76">
        <v>0.91500000000000004</v>
      </c>
      <c r="Z788" s="76">
        <v>0.91500000000000004</v>
      </c>
      <c r="AA788" s="76">
        <v>0.91500000000000004</v>
      </c>
      <c r="AB788" s="76">
        <v>0.91500000000000004</v>
      </c>
      <c r="AC788" s="76">
        <v>0.91500000000000004</v>
      </c>
      <c r="AD788" s="76">
        <v>0.91500000000000004</v>
      </c>
      <c r="AE788" s="76">
        <v>0.91500000000000004</v>
      </c>
      <c r="AF788" s="76">
        <v>0.91500000000000004</v>
      </c>
      <c r="AG788" s="76">
        <v>0.91500000000000004</v>
      </c>
      <c r="AH788" s="76">
        <v>0.91500000000000004</v>
      </c>
      <c r="AI788" s="76">
        <v>0.91500000000000004</v>
      </c>
      <c r="AJ788" s="76">
        <v>0.91500000000000004</v>
      </c>
      <c r="AK788" s="76">
        <v>0.91500000000000004</v>
      </c>
      <c r="AL788" s="76">
        <v>0.91500000000000004</v>
      </c>
      <c r="AM788" s="76">
        <v>0.91500000000000004</v>
      </c>
      <c r="AN788" s="76">
        <v>0.91500000000000004</v>
      </c>
      <c r="AO788" s="76">
        <v>0.91500000000000004</v>
      </c>
      <c r="AP788" s="76">
        <v>0.91500000000000004</v>
      </c>
      <c r="AQ788" s="76">
        <v>0.91500000000000004</v>
      </c>
      <c r="AR788" s="76">
        <v>0.91500000000000004</v>
      </c>
      <c r="AS788" s="76">
        <v>0.91500000000000004</v>
      </c>
      <c r="AT788" s="76">
        <v>0.91500000000000004</v>
      </c>
      <c r="AU788" s="76">
        <v>0.91500000000000004</v>
      </c>
      <c r="AV788" s="76">
        <v>0.91500000000000004</v>
      </c>
      <c r="AW788" s="76">
        <v>0.91500000000000004</v>
      </c>
      <c r="AX788" s="84">
        <v>0.91500000000000004</v>
      </c>
    </row>
    <row r="789" spans="1:50" x14ac:dyDescent="0.25">
      <c r="A789" s="356"/>
      <c r="B789" s="359"/>
      <c r="C789" s="350"/>
      <c r="D789" s="2" t="s">
        <v>10</v>
      </c>
      <c r="E789" s="160" t="str">
        <f>A769&amp;"/"&amp;B787&amp;"/"&amp;C787&amp;"/"&amp;D789</f>
        <v>Gas fired power plants (Natural gas, biogas)/Steam turbine/Electricity only/S</v>
      </c>
      <c r="F789" s="76" t="str">
        <f>A769</f>
        <v>Gas fired power plants (Natural gas, biogas)</v>
      </c>
      <c r="G789" s="76" t="str">
        <f>B787</f>
        <v>Steam turbine</v>
      </c>
      <c r="H789" s="76" t="str">
        <f>C787</f>
        <v>Electricity only</v>
      </c>
      <c r="I789" s="161" t="str">
        <f t="shared" si="89"/>
        <v>S</v>
      </c>
      <c r="J789" s="76">
        <v>0.91500000000000004</v>
      </c>
      <c r="K789" s="76">
        <v>0.91500000000000004</v>
      </c>
      <c r="L789" s="76">
        <v>0.91500000000000004</v>
      </c>
      <c r="M789" s="76">
        <v>0.91500000000000004</v>
      </c>
      <c r="N789" s="76">
        <v>0.91500000000000004</v>
      </c>
      <c r="O789" s="76">
        <v>0.91500000000000004</v>
      </c>
      <c r="P789" s="76">
        <v>0.91500000000000004</v>
      </c>
      <c r="Q789" s="76">
        <v>0.91500000000000004</v>
      </c>
      <c r="R789" s="76">
        <v>0.91500000000000004</v>
      </c>
      <c r="S789" s="76">
        <v>0.91500000000000004</v>
      </c>
      <c r="T789" s="76">
        <v>0.91500000000000004</v>
      </c>
      <c r="U789" s="76">
        <v>0.91500000000000004</v>
      </c>
      <c r="V789" s="76">
        <v>0.91500000000000004</v>
      </c>
      <c r="W789" s="76">
        <v>0.91500000000000004</v>
      </c>
      <c r="X789" s="76">
        <v>0.91500000000000004</v>
      </c>
      <c r="Y789" s="76">
        <v>0.91500000000000004</v>
      </c>
      <c r="Z789" s="76">
        <v>0.91500000000000004</v>
      </c>
      <c r="AA789" s="76">
        <v>0.91500000000000004</v>
      </c>
      <c r="AB789" s="76">
        <v>0.91500000000000004</v>
      </c>
      <c r="AC789" s="76">
        <v>0.91500000000000004</v>
      </c>
      <c r="AD789" s="76">
        <v>0.91500000000000004</v>
      </c>
      <c r="AE789" s="76">
        <v>0.91500000000000004</v>
      </c>
      <c r="AF789" s="76">
        <v>0.91500000000000004</v>
      </c>
      <c r="AG789" s="76">
        <v>0.91500000000000004</v>
      </c>
      <c r="AH789" s="76">
        <v>0.91500000000000004</v>
      </c>
      <c r="AI789" s="76">
        <v>0.91500000000000004</v>
      </c>
      <c r="AJ789" s="76">
        <v>0.91500000000000004</v>
      </c>
      <c r="AK789" s="76">
        <v>0.91500000000000004</v>
      </c>
      <c r="AL789" s="76">
        <v>0.91500000000000004</v>
      </c>
      <c r="AM789" s="76">
        <v>0.91500000000000004</v>
      </c>
      <c r="AN789" s="76">
        <v>0.91500000000000004</v>
      </c>
      <c r="AO789" s="76">
        <v>0.91500000000000004</v>
      </c>
      <c r="AP789" s="76">
        <v>0.91500000000000004</v>
      </c>
      <c r="AQ789" s="76">
        <v>0.91500000000000004</v>
      </c>
      <c r="AR789" s="76">
        <v>0.91500000000000004</v>
      </c>
      <c r="AS789" s="76">
        <v>0.91500000000000004</v>
      </c>
      <c r="AT789" s="76">
        <v>0.91500000000000004</v>
      </c>
      <c r="AU789" s="76">
        <v>0.91500000000000004</v>
      </c>
      <c r="AV789" s="76">
        <v>0.91500000000000004</v>
      </c>
      <c r="AW789" s="76">
        <v>0.91500000000000004</v>
      </c>
      <c r="AX789" s="84">
        <v>0.91500000000000004</v>
      </c>
    </row>
    <row r="790" spans="1:50" x14ac:dyDescent="0.25">
      <c r="A790" s="356"/>
      <c r="B790" s="359"/>
      <c r="C790" s="360"/>
      <c r="D790" s="2" t="s">
        <v>20</v>
      </c>
      <c r="E790" s="160" t="str">
        <f>A769&amp;"/"&amp;B787&amp;"/"&amp;C787&amp;"/"&amp;D790</f>
        <v>Gas fired power plants (Natural gas, biogas)/Steam turbine/Electricity only/XS</v>
      </c>
      <c r="F790" s="76" t="str">
        <f>A769</f>
        <v>Gas fired power plants (Natural gas, biogas)</v>
      </c>
      <c r="G790" s="76" t="str">
        <f>B787</f>
        <v>Steam turbine</v>
      </c>
      <c r="H790" s="76" t="str">
        <f>C787</f>
        <v>Electricity only</v>
      </c>
      <c r="I790" s="161" t="str">
        <f t="shared" si="89"/>
        <v>XS</v>
      </c>
      <c r="J790" s="76">
        <v>0.91500000000000004</v>
      </c>
      <c r="K790" s="76">
        <v>0.91500000000000004</v>
      </c>
      <c r="L790" s="76">
        <v>0.91500000000000004</v>
      </c>
      <c r="M790" s="76">
        <v>0.91500000000000004</v>
      </c>
      <c r="N790" s="76">
        <v>0.91500000000000004</v>
      </c>
      <c r="O790" s="76">
        <v>0.91500000000000004</v>
      </c>
      <c r="P790" s="76">
        <v>0.91500000000000004</v>
      </c>
      <c r="Q790" s="76">
        <v>0.91500000000000004</v>
      </c>
      <c r="R790" s="76">
        <v>0.91500000000000004</v>
      </c>
      <c r="S790" s="76">
        <v>0.91500000000000004</v>
      </c>
      <c r="T790" s="76">
        <v>0.91500000000000004</v>
      </c>
      <c r="U790" s="76">
        <v>0.91500000000000004</v>
      </c>
      <c r="V790" s="76">
        <v>0.91500000000000004</v>
      </c>
      <c r="W790" s="76">
        <v>0.91500000000000004</v>
      </c>
      <c r="X790" s="76">
        <v>0.91500000000000004</v>
      </c>
      <c r="Y790" s="76">
        <v>0.91500000000000004</v>
      </c>
      <c r="Z790" s="76">
        <v>0.91500000000000004</v>
      </c>
      <c r="AA790" s="76">
        <v>0.91500000000000004</v>
      </c>
      <c r="AB790" s="76">
        <v>0.91500000000000004</v>
      </c>
      <c r="AC790" s="76">
        <v>0.91500000000000004</v>
      </c>
      <c r="AD790" s="76">
        <v>0.91500000000000004</v>
      </c>
      <c r="AE790" s="76">
        <v>0.91500000000000004</v>
      </c>
      <c r="AF790" s="76">
        <v>0.91500000000000004</v>
      </c>
      <c r="AG790" s="76">
        <v>0.91500000000000004</v>
      </c>
      <c r="AH790" s="76">
        <v>0.91500000000000004</v>
      </c>
      <c r="AI790" s="76">
        <v>0.91500000000000004</v>
      </c>
      <c r="AJ790" s="76">
        <v>0.91500000000000004</v>
      </c>
      <c r="AK790" s="76">
        <v>0.91500000000000004</v>
      </c>
      <c r="AL790" s="76">
        <v>0.91500000000000004</v>
      </c>
      <c r="AM790" s="76">
        <v>0.91500000000000004</v>
      </c>
      <c r="AN790" s="76">
        <v>0.91500000000000004</v>
      </c>
      <c r="AO790" s="76">
        <v>0.91500000000000004</v>
      </c>
      <c r="AP790" s="76">
        <v>0.91500000000000004</v>
      </c>
      <c r="AQ790" s="76">
        <v>0.91500000000000004</v>
      </c>
      <c r="AR790" s="76">
        <v>0.91500000000000004</v>
      </c>
      <c r="AS790" s="76">
        <v>0.91500000000000004</v>
      </c>
      <c r="AT790" s="76">
        <v>0.91500000000000004</v>
      </c>
      <c r="AU790" s="76">
        <v>0.91500000000000004</v>
      </c>
      <c r="AV790" s="76">
        <v>0.91500000000000004</v>
      </c>
      <c r="AW790" s="76">
        <v>0.91500000000000004</v>
      </c>
      <c r="AX790" s="84">
        <v>0.91500000000000004</v>
      </c>
    </row>
    <row r="791" spans="1:50" x14ac:dyDescent="0.25">
      <c r="A791" s="356"/>
      <c r="B791" s="359"/>
      <c r="C791" s="361" t="s">
        <v>14</v>
      </c>
      <c r="D791" s="58" t="s">
        <v>7</v>
      </c>
      <c r="E791" s="164" t="str">
        <f>A769&amp;"/"&amp;B787&amp;"/"&amp;C791&amp;"/"&amp;D791</f>
        <v>Gas fired power plants (Natural gas, biogas)/Steam turbine/CHP/L</v>
      </c>
      <c r="F791" s="78" t="str">
        <f>A769</f>
        <v>Gas fired power plants (Natural gas, biogas)</v>
      </c>
      <c r="G791" s="78" t="str">
        <f>B787</f>
        <v>Steam turbine</v>
      </c>
      <c r="H791" s="78" t="str">
        <f>C791</f>
        <v>CHP</v>
      </c>
      <c r="I791" s="165" t="str">
        <f t="shared" si="89"/>
        <v>L</v>
      </c>
      <c r="J791" s="78">
        <v>0.91500000000000004</v>
      </c>
      <c r="K791" s="78">
        <v>0.91500000000000004</v>
      </c>
      <c r="L791" s="78">
        <v>0.91500000000000004</v>
      </c>
      <c r="M791" s="78">
        <v>0.91500000000000004</v>
      </c>
      <c r="N791" s="78">
        <v>0.91500000000000004</v>
      </c>
      <c r="O791" s="78">
        <v>0.91500000000000004</v>
      </c>
      <c r="P791" s="78">
        <v>0.91500000000000004</v>
      </c>
      <c r="Q791" s="78">
        <v>0.91500000000000004</v>
      </c>
      <c r="R791" s="78">
        <v>0.91500000000000004</v>
      </c>
      <c r="S791" s="78">
        <v>0.91500000000000004</v>
      </c>
      <c r="T791" s="78">
        <v>0.91500000000000004</v>
      </c>
      <c r="U791" s="78">
        <v>0.91500000000000004</v>
      </c>
      <c r="V791" s="78">
        <v>0.91500000000000004</v>
      </c>
      <c r="W791" s="78">
        <v>0.91500000000000004</v>
      </c>
      <c r="X791" s="78">
        <v>0.91500000000000004</v>
      </c>
      <c r="Y791" s="78">
        <v>0.91500000000000004</v>
      </c>
      <c r="Z791" s="78">
        <v>0.91500000000000004</v>
      </c>
      <c r="AA791" s="78">
        <v>0.91500000000000004</v>
      </c>
      <c r="AB791" s="78">
        <v>0.91500000000000004</v>
      </c>
      <c r="AC791" s="78">
        <v>0.91500000000000004</v>
      </c>
      <c r="AD791" s="78">
        <v>0.91500000000000004</v>
      </c>
      <c r="AE791" s="78">
        <v>0.91500000000000004</v>
      </c>
      <c r="AF791" s="78">
        <v>0.91500000000000004</v>
      </c>
      <c r="AG791" s="78">
        <v>0.91500000000000004</v>
      </c>
      <c r="AH791" s="78">
        <v>0.91500000000000004</v>
      </c>
      <c r="AI791" s="78">
        <v>0.91500000000000004</v>
      </c>
      <c r="AJ791" s="78">
        <v>0.91500000000000004</v>
      </c>
      <c r="AK791" s="78">
        <v>0.91500000000000004</v>
      </c>
      <c r="AL791" s="78">
        <v>0.91500000000000004</v>
      </c>
      <c r="AM791" s="78">
        <v>0.91500000000000004</v>
      </c>
      <c r="AN791" s="78">
        <v>0.91500000000000004</v>
      </c>
      <c r="AO791" s="78">
        <v>0.91500000000000004</v>
      </c>
      <c r="AP791" s="78">
        <v>0.91500000000000004</v>
      </c>
      <c r="AQ791" s="78">
        <v>0.91500000000000004</v>
      </c>
      <c r="AR791" s="78">
        <v>0.91500000000000004</v>
      </c>
      <c r="AS791" s="78">
        <v>0.91500000000000004</v>
      </c>
      <c r="AT791" s="78">
        <v>0.91500000000000004</v>
      </c>
      <c r="AU791" s="78">
        <v>0.91500000000000004</v>
      </c>
      <c r="AV791" s="78">
        <v>0.91500000000000004</v>
      </c>
      <c r="AW791" s="78">
        <v>0.91500000000000004</v>
      </c>
      <c r="AX791" s="86">
        <v>0.91500000000000004</v>
      </c>
    </row>
    <row r="792" spans="1:50" x14ac:dyDescent="0.25">
      <c r="A792" s="356"/>
      <c r="B792" s="359"/>
      <c r="C792" s="350"/>
      <c r="D792" s="2" t="s">
        <v>8</v>
      </c>
      <c r="E792" s="160" t="str">
        <f>A769&amp;"/"&amp;B787&amp;"/"&amp;C791&amp;"/"&amp;D792</f>
        <v>Gas fired power plants (Natural gas, biogas)/Steam turbine/CHP/M</v>
      </c>
      <c r="F792" s="76" t="str">
        <f>A769</f>
        <v>Gas fired power plants (Natural gas, biogas)</v>
      </c>
      <c r="G792" s="76" t="str">
        <f>B787</f>
        <v>Steam turbine</v>
      </c>
      <c r="H792" s="76" t="str">
        <f>C791</f>
        <v>CHP</v>
      </c>
      <c r="I792" s="161" t="str">
        <f t="shared" si="89"/>
        <v>M</v>
      </c>
      <c r="J792" s="76">
        <v>0.91500000000000004</v>
      </c>
      <c r="K792" s="76">
        <v>0.91500000000000004</v>
      </c>
      <c r="L792" s="76">
        <v>0.91500000000000004</v>
      </c>
      <c r="M792" s="76">
        <v>0.91500000000000004</v>
      </c>
      <c r="N792" s="76">
        <v>0.91500000000000004</v>
      </c>
      <c r="O792" s="76">
        <v>0.91500000000000004</v>
      </c>
      <c r="P792" s="76">
        <v>0.91500000000000004</v>
      </c>
      <c r="Q792" s="76">
        <v>0.91500000000000004</v>
      </c>
      <c r="R792" s="76">
        <v>0.91500000000000004</v>
      </c>
      <c r="S792" s="76">
        <v>0.91500000000000004</v>
      </c>
      <c r="T792" s="76">
        <v>0.91500000000000004</v>
      </c>
      <c r="U792" s="76">
        <v>0.91500000000000004</v>
      </c>
      <c r="V792" s="76">
        <v>0.91500000000000004</v>
      </c>
      <c r="W792" s="76">
        <v>0.91500000000000004</v>
      </c>
      <c r="X792" s="76">
        <v>0.91500000000000004</v>
      </c>
      <c r="Y792" s="76">
        <v>0.91500000000000004</v>
      </c>
      <c r="Z792" s="76">
        <v>0.91500000000000004</v>
      </c>
      <c r="AA792" s="76">
        <v>0.91500000000000004</v>
      </c>
      <c r="AB792" s="76">
        <v>0.91500000000000004</v>
      </c>
      <c r="AC792" s="76">
        <v>0.91500000000000004</v>
      </c>
      <c r="AD792" s="76">
        <v>0.91500000000000004</v>
      </c>
      <c r="AE792" s="76">
        <v>0.91500000000000004</v>
      </c>
      <c r="AF792" s="76">
        <v>0.91500000000000004</v>
      </c>
      <c r="AG792" s="76">
        <v>0.91500000000000004</v>
      </c>
      <c r="AH792" s="76">
        <v>0.91500000000000004</v>
      </c>
      <c r="AI792" s="76">
        <v>0.91500000000000004</v>
      </c>
      <c r="AJ792" s="76">
        <v>0.91500000000000004</v>
      </c>
      <c r="AK792" s="76">
        <v>0.91500000000000004</v>
      </c>
      <c r="AL792" s="76">
        <v>0.91500000000000004</v>
      </c>
      <c r="AM792" s="76">
        <v>0.91500000000000004</v>
      </c>
      <c r="AN792" s="76">
        <v>0.91500000000000004</v>
      </c>
      <c r="AO792" s="76">
        <v>0.91500000000000004</v>
      </c>
      <c r="AP792" s="76">
        <v>0.91500000000000004</v>
      </c>
      <c r="AQ792" s="76">
        <v>0.91500000000000004</v>
      </c>
      <c r="AR792" s="76">
        <v>0.91500000000000004</v>
      </c>
      <c r="AS792" s="76">
        <v>0.91500000000000004</v>
      </c>
      <c r="AT792" s="76">
        <v>0.91500000000000004</v>
      </c>
      <c r="AU792" s="76">
        <v>0.91500000000000004</v>
      </c>
      <c r="AV792" s="76">
        <v>0.91500000000000004</v>
      </c>
      <c r="AW792" s="76">
        <v>0.91500000000000004</v>
      </c>
      <c r="AX792" s="84">
        <v>0.91500000000000004</v>
      </c>
    </row>
    <row r="793" spans="1:50" x14ac:dyDescent="0.25">
      <c r="A793" s="356"/>
      <c r="B793" s="359"/>
      <c r="C793" s="350"/>
      <c r="D793" s="2" t="s">
        <v>10</v>
      </c>
      <c r="E793" s="160" t="str">
        <f>A769&amp;"/"&amp;B787&amp;"/"&amp;C791&amp;"/"&amp;D793</f>
        <v>Gas fired power plants (Natural gas, biogas)/Steam turbine/CHP/S</v>
      </c>
      <c r="F793" s="76" t="str">
        <f>A769</f>
        <v>Gas fired power plants (Natural gas, biogas)</v>
      </c>
      <c r="G793" s="76" t="str">
        <f>B787</f>
        <v>Steam turbine</v>
      </c>
      <c r="H793" s="76" t="str">
        <f>C791</f>
        <v>CHP</v>
      </c>
      <c r="I793" s="161" t="str">
        <f t="shared" si="89"/>
        <v>S</v>
      </c>
      <c r="J793" s="76">
        <v>0.91500000000000004</v>
      </c>
      <c r="K793" s="76">
        <v>0.91500000000000004</v>
      </c>
      <c r="L793" s="76">
        <v>0.91500000000000004</v>
      </c>
      <c r="M793" s="76">
        <v>0.91500000000000004</v>
      </c>
      <c r="N793" s="76">
        <v>0.91500000000000004</v>
      </c>
      <c r="O793" s="76">
        <v>0.91500000000000004</v>
      </c>
      <c r="P793" s="76">
        <v>0.91500000000000004</v>
      </c>
      <c r="Q793" s="76">
        <v>0.91500000000000004</v>
      </c>
      <c r="R793" s="76">
        <v>0.91500000000000004</v>
      </c>
      <c r="S793" s="76">
        <v>0.91500000000000004</v>
      </c>
      <c r="T793" s="76">
        <v>0.91500000000000004</v>
      </c>
      <c r="U793" s="76">
        <v>0.91500000000000004</v>
      </c>
      <c r="V793" s="76">
        <v>0.91500000000000004</v>
      </c>
      <c r="W793" s="76">
        <v>0.91500000000000004</v>
      </c>
      <c r="X793" s="76">
        <v>0.91500000000000004</v>
      </c>
      <c r="Y793" s="76">
        <v>0.91500000000000004</v>
      </c>
      <c r="Z793" s="76">
        <v>0.91500000000000004</v>
      </c>
      <c r="AA793" s="76">
        <v>0.91500000000000004</v>
      </c>
      <c r="AB793" s="76">
        <v>0.91500000000000004</v>
      </c>
      <c r="AC793" s="76">
        <v>0.91500000000000004</v>
      </c>
      <c r="AD793" s="76">
        <v>0.91500000000000004</v>
      </c>
      <c r="AE793" s="76">
        <v>0.91500000000000004</v>
      </c>
      <c r="AF793" s="76">
        <v>0.91500000000000004</v>
      </c>
      <c r="AG793" s="76">
        <v>0.91500000000000004</v>
      </c>
      <c r="AH793" s="76">
        <v>0.91500000000000004</v>
      </c>
      <c r="AI793" s="76">
        <v>0.91500000000000004</v>
      </c>
      <c r="AJ793" s="76">
        <v>0.91500000000000004</v>
      </c>
      <c r="AK793" s="76">
        <v>0.91500000000000004</v>
      </c>
      <c r="AL793" s="76">
        <v>0.91500000000000004</v>
      </c>
      <c r="AM793" s="76">
        <v>0.91500000000000004</v>
      </c>
      <c r="AN793" s="76">
        <v>0.91500000000000004</v>
      </c>
      <c r="AO793" s="76">
        <v>0.91500000000000004</v>
      </c>
      <c r="AP793" s="76">
        <v>0.91500000000000004</v>
      </c>
      <c r="AQ793" s="76">
        <v>0.91500000000000004</v>
      </c>
      <c r="AR793" s="76">
        <v>0.91500000000000004</v>
      </c>
      <c r="AS793" s="76">
        <v>0.91500000000000004</v>
      </c>
      <c r="AT793" s="76">
        <v>0.91500000000000004</v>
      </c>
      <c r="AU793" s="76">
        <v>0.91500000000000004</v>
      </c>
      <c r="AV793" s="76">
        <v>0.91500000000000004</v>
      </c>
      <c r="AW793" s="76">
        <v>0.91500000000000004</v>
      </c>
      <c r="AX793" s="84">
        <v>0.91500000000000004</v>
      </c>
    </row>
    <row r="794" spans="1:50" x14ac:dyDescent="0.25">
      <c r="A794" s="356"/>
      <c r="B794" s="359"/>
      <c r="C794" s="360"/>
      <c r="D794" s="59" t="s">
        <v>20</v>
      </c>
      <c r="E794" s="166" t="str">
        <f>A769&amp;"/"&amp;B787&amp;"/"&amp;C791&amp;"/"&amp;D794</f>
        <v>Gas fired power plants (Natural gas, biogas)/Steam turbine/CHP/XS</v>
      </c>
      <c r="F794" s="79" t="str">
        <f>A769</f>
        <v>Gas fired power plants (Natural gas, biogas)</v>
      </c>
      <c r="G794" s="79" t="str">
        <f>B787</f>
        <v>Steam turbine</v>
      </c>
      <c r="H794" s="79" t="str">
        <f>C791</f>
        <v>CHP</v>
      </c>
      <c r="I794" s="167" t="str">
        <f t="shared" si="89"/>
        <v>XS</v>
      </c>
      <c r="J794" s="79">
        <v>0.91500000000000004</v>
      </c>
      <c r="K794" s="79">
        <v>0.91500000000000004</v>
      </c>
      <c r="L794" s="79">
        <v>0.91500000000000004</v>
      </c>
      <c r="M794" s="79">
        <v>0.91500000000000004</v>
      </c>
      <c r="N794" s="79">
        <v>0.91500000000000004</v>
      </c>
      <c r="O794" s="79">
        <v>0.91500000000000004</v>
      </c>
      <c r="P794" s="79">
        <v>0.91500000000000004</v>
      </c>
      <c r="Q794" s="79">
        <v>0.91500000000000004</v>
      </c>
      <c r="R794" s="79">
        <v>0.91500000000000004</v>
      </c>
      <c r="S794" s="79">
        <v>0.91500000000000004</v>
      </c>
      <c r="T794" s="79">
        <v>0.91500000000000004</v>
      </c>
      <c r="U794" s="79">
        <v>0.91500000000000004</v>
      </c>
      <c r="V794" s="79">
        <v>0.91500000000000004</v>
      </c>
      <c r="W794" s="79">
        <v>0.91500000000000004</v>
      </c>
      <c r="X794" s="79">
        <v>0.91500000000000004</v>
      </c>
      <c r="Y794" s="79">
        <v>0.91500000000000004</v>
      </c>
      <c r="Z794" s="79">
        <v>0.91500000000000004</v>
      </c>
      <c r="AA794" s="79">
        <v>0.91500000000000004</v>
      </c>
      <c r="AB794" s="79">
        <v>0.91500000000000004</v>
      </c>
      <c r="AC794" s="79">
        <v>0.91500000000000004</v>
      </c>
      <c r="AD794" s="79">
        <v>0.91500000000000004</v>
      </c>
      <c r="AE794" s="79">
        <v>0.91500000000000004</v>
      </c>
      <c r="AF794" s="79">
        <v>0.91500000000000004</v>
      </c>
      <c r="AG794" s="79">
        <v>0.91500000000000004</v>
      </c>
      <c r="AH794" s="79">
        <v>0.91500000000000004</v>
      </c>
      <c r="AI794" s="79">
        <v>0.91500000000000004</v>
      </c>
      <c r="AJ794" s="79">
        <v>0.91500000000000004</v>
      </c>
      <c r="AK794" s="79">
        <v>0.91500000000000004</v>
      </c>
      <c r="AL794" s="79">
        <v>0.91500000000000004</v>
      </c>
      <c r="AM794" s="79">
        <v>0.91500000000000004</v>
      </c>
      <c r="AN794" s="79">
        <v>0.91500000000000004</v>
      </c>
      <c r="AO794" s="79">
        <v>0.91500000000000004</v>
      </c>
      <c r="AP794" s="79">
        <v>0.91500000000000004</v>
      </c>
      <c r="AQ794" s="79">
        <v>0.91500000000000004</v>
      </c>
      <c r="AR794" s="79">
        <v>0.91500000000000004</v>
      </c>
      <c r="AS794" s="79">
        <v>0.91500000000000004</v>
      </c>
      <c r="AT794" s="79">
        <v>0.91500000000000004</v>
      </c>
      <c r="AU794" s="79">
        <v>0.91500000000000004</v>
      </c>
      <c r="AV794" s="79">
        <v>0.91500000000000004</v>
      </c>
      <c r="AW794" s="79">
        <v>0.91500000000000004</v>
      </c>
      <c r="AX794" s="87">
        <v>0.91500000000000004</v>
      </c>
    </row>
    <row r="795" spans="1:50" x14ac:dyDescent="0.25">
      <c r="A795" s="356"/>
      <c r="B795" s="359"/>
      <c r="C795" s="361" t="s">
        <v>15</v>
      </c>
      <c r="D795" s="58" t="s">
        <v>7</v>
      </c>
      <c r="E795" s="164" t="str">
        <f>A769&amp;"/"&amp;B787&amp;"/"&amp;C795&amp;"/"&amp;D795</f>
        <v>Gas fired power plants (Natural gas, biogas)/Steam turbine/Electricity only with CCS/L</v>
      </c>
      <c r="F795" s="78" t="str">
        <f>A769</f>
        <v>Gas fired power plants (Natural gas, biogas)</v>
      </c>
      <c r="G795" s="78" t="str">
        <f>B787</f>
        <v>Steam turbine</v>
      </c>
      <c r="H795" s="78" t="str">
        <f>C795</f>
        <v>Electricity only with CCS</v>
      </c>
      <c r="I795" s="165" t="str">
        <f t="shared" si="89"/>
        <v>L</v>
      </c>
      <c r="J795" s="78" t="s">
        <v>112</v>
      </c>
      <c r="K795" s="78" t="s">
        <v>112</v>
      </c>
      <c r="L795" s="78" t="s">
        <v>112</v>
      </c>
      <c r="M795" s="78" t="s">
        <v>112</v>
      </c>
      <c r="N795" s="78" t="s">
        <v>112</v>
      </c>
      <c r="O795" s="78" t="s">
        <v>112</v>
      </c>
      <c r="P795" s="78" t="s">
        <v>112</v>
      </c>
      <c r="Q795" s="78" t="s">
        <v>112</v>
      </c>
      <c r="R795" s="78" t="s">
        <v>112</v>
      </c>
      <c r="S795" s="78" t="s">
        <v>112</v>
      </c>
      <c r="T795" s="78" t="s">
        <v>112</v>
      </c>
      <c r="U795" s="78" t="s">
        <v>112</v>
      </c>
      <c r="V795" s="78" t="s">
        <v>112</v>
      </c>
      <c r="W795" s="78" t="s">
        <v>112</v>
      </c>
      <c r="X795" s="78" t="s">
        <v>112</v>
      </c>
      <c r="Y795" s="78" t="s">
        <v>112</v>
      </c>
      <c r="Z795" s="78" t="s">
        <v>112</v>
      </c>
      <c r="AA795" s="78" t="s">
        <v>112</v>
      </c>
      <c r="AB795" s="78" t="s">
        <v>112</v>
      </c>
      <c r="AC795" s="78" t="s">
        <v>112</v>
      </c>
      <c r="AD795" s="78" t="s">
        <v>112</v>
      </c>
      <c r="AE795" s="78">
        <v>0.91500000000000004</v>
      </c>
      <c r="AF795" s="78">
        <v>0.91500000000000004</v>
      </c>
      <c r="AG795" s="78">
        <v>0.91500000000000004</v>
      </c>
      <c r="AH795" s="78">
        <v>0.91500000000000004</v>
      </c>
      <c r="AI795" s="78">
        <v>0.91500000000000004</v>
      </c>
      <c r="AJ795" s="78">
        <v>0.91500000000000004</v>
      </c>
      <c r="AK795" s="78">
        <v>0.91500000000000004</v>
      </c>
      <c r="AL795" s="78">
        <v>0.91500000000000004</v>
      </c>
      <c r="AM795" s="78">
        <v>0.91500000000000004</v>
      </c>
      <c r="AN795" s="78">
        <v>0.91500000000000004</v>
      </c>
      <c r="AO795" s="78">
        <v>0.91500000000000004</v>
      </c>
      <c r="AP795" s="78">
        <v>0.91500000000000004</v>
      </c>
      <c r="AQ795" s="78">
        <v>0.91500000000000004</v>
      </c>
      <c r="AR795" s="78">
        <v>0.91500000000000004</v>
      </c>
      <c r="AS795" s="78">
        <v>0.91500000000000004</v>
      </c>
      <c r="AT795" s="78">
        <v>0.91500000000000004</v>
      </c>
      <c r="AU795" s="78">
        <v>0.91500000000000004</v>
      </c>
      <c r="AV795" s="78">
        <v>0.91500000000000004</v>
      </c>
      <c r="AW795" s="78">
        <v>0.91500000000000004</v>
      </c>
      <c r="AX795" s="86">
        <v>0.91500000000000004</v>
      </c>
    </row>
    <row r="796" spans="1:50" x14ac:dyDescent="0.25">
      <c r="A796" s="356"/>
      <c r="B796" s="359"/>
      <c r="C796" s="360"/>
      <c r="D796" s="59" t="s">
        <v>8</v>
      </c>
      <c r="E796" s="166" t="str">
        <f>A769&amp;"/"&amp;B787&amp;"/"&amp;C795&amp;"/"&amp;D796</f>
        <v>Gas fired power plants (Natural gas, biogas)/Steam turbine/Electricity only with CCS/M</v>
      </c>
      <c r="F796" s="79" t="str">
        <f>A769</f>
        <v>Gas fired power plants (Natural gas, biogas)</v>
      </c>
      <c r="G796" s="79" t="str">
        <f>B787</f>
        <v>Steam turbine</v>
      </c>
      <c r="H796" s="79" t="str">
        <f>C795</f>
        <v>Electricity only with CCS</v>
      </c>
      <c r="I796" s="167" t="str">
        <f t="shared" si="89"/>
        <v>M</v>
      </c>
      <c r="J796" s="79" t="s">
        <v>112</v>
      </c>
      <c r="K796" s="79" t="s">
        <v>112</v>
      </c>
      <c r="L796" s="79" t="s">
        <v>112</v>
      </c>
      <c r="M796" s="79" t="s">
        <v>112</v>
      </c>
      <c r="N796" s="79" t="s">
        <v>112</v>
      </c>
      <c r="O796" s="79" t="s">
        <v>112</v>
      </c>
      <c r="P796" s="79" t="s">
        <v>112</v>
      </c>
      <c r="Q796" s="79" t="s">
        <v>112</v>
      </c>
      <c r="R796" s="79" t="s">
        <v>112</v>
      </c>
      <c r="S796" s="79" t="s">
        <v>112</v>
      </c>
      <c r="T796" s="79" t="s">
        <v>112</v>
      </c>
      <c r="U796" s="79" t="s">
        <v>112</v>
      </c>
      <c r="V796" s="79" t="s">
        <v>112</v>
      </c>
      <c r="W796" s="79" t="s">
        <v>112</v>
      </c>
      <c r="X796" s="79" t="s">
        <v>112</v>
      </c>
      <c r="Y796" s="79" t="s">
        <v>112</v>
      </c>
      <c r="Z796" s="79" t="s">
        <v>112</v>
      </c>
      <c r="AA796" s="79" t="s">
        <v>112</v>
      </c>
      <c r="AB796" s="79" t="s">
        <v>112</v>
      </c>
      <c r="AC796" s="79" t="s">
        <v>112</v>
      </c>
      <c r="AD796" s="79" t="s">
        <v>112</v>
      </c>
      <c r="AE796" s="79">
        <v>0.91500000000000004</v>
      </c>
      <c r="AF796" s="79">
        <v>0.91500000000000004</v>
      </c>
      <c r="AG796" s="79">
        <v>0.91500000000000004</v>
      </c>
      <c r="AH796" s="79">
        <v>0.91500000000000004</v>
      </c>
      <c r="AI796" s="79">
        <v>0.91500000000000004</v>
      </c>
      <c r="AJ796" s="79">
        <v>0.91500000000000004</v>
      </c>
      <c r="AK796" s="79">
        <v>0.91500000000000004</v>
      </c>
      <c r="AL796" s="79">
        <v>0.91500000000000004</v>
      </c>
      <c r="AM796" s="79">
        <v>0.91500000000000004</v>
      </c>
      <c r="AN796" s="79">
        <v>0.91500000000000004</v>
      </c>
      <c r="AO796" s="79">
        <v>0.91500000000000004</v>
      </c>
      <c r="AP796" s="79">
        <v>0.91500000000000004</v>
      </c>
      <c r="AQ796" s="79">
        <v>0.91500000000000004</v>
      </c>
      <c r="AR796" s="79">
        <v>0.91500000000000004</v>
      </c>
      <c r="AS796" s="79">
        <v>0.91500000000000004</v>
      </c>
      <c r="AT796" s="79">
        <v>0.91500000000000004</v>
      </c>
      <c r="AU796" s="79">
        <v>0.91500000000000004</v>
      </c>
      <c r="AV796" s="79">
        <v>0.91500000000000004</v>
      </c>
      <c r="AW796" s="79">
        <v>0.91500000000000004</v>
      </c>
      <c r="AX796" s="87">
        <v>0.91500000000000004</v>
      </c>
    </row>
    <row r="797" spans="1:50" x14ac:dyDescent="0.25">
      <c r="A797" s="356"/>
      <c r="B797" s="359"/>
      <c r="C797" s="361" t="s">
        <v>16</v>
      </c>
      <c r="D797" s="2" t="s">
        <v>7</v>
      </c>
      <c r="E797" s="160" t="str">
        <f>A769&amp;"/"&amp;B787&amp;"/"&amp;C797&amp;"/"&amp;D797</f>
        <v>Gas fired power plants (Natural gas, biogas)/Steam turbine/CHP with CCS/L</v>
      </c>
      <c r="F797" s="76" t="str">
        <f>A769</f>
        <v>Gas fired power plants (Natural gas, biogas)</v>
      </c>
      <c r="G797" s="76" t="str">
        <f>B787</f>
        <v>Steam turbine</v>
      </c>
      <c r="H797" s="76" t="str">
        <f>C797</f>
        <v>CHP with CCS</v>
      </c>
      <c r="I797" s="161" t="str">
        <f t="shared" si="89"/>
        <v>L</v>
      </c>
      <c r="J797" s="76" t="s">
        <v>112</v>
      </c>
      <c r="K797" s="76" t="s">
        <v>112</v>
      </c>
      <c r="L797" s="76" t="s">
        <v>112</v>
      </c>
      <c r="M797" s="76" t="s">
        <v>112</v>
      </c>
      <c r="N797" s="76" t="s">
        <v>112</v>
      </c>
      <c r="O797" s="76" t="s">
        <v>112</v>
      </c>
      <c r="P797" s="76" t="s">
        <v>112</v>
      </c>
      <c r="Q797" s="76" t="s">
        <v>112</v>
      </c>
      <c r="R797" s="76" t="s">
        <v>112</v>
      </c>
      <c r="S797" s="76" t="s">
        <v>112</v>
      </c>
      <c r="T797" s="76" t="s">
        <v>112</v>
      </c>
      <c r="U797" s="76" t="s">
        <v>112</v>
      </c>
      <c r="V797" s="76" t="s">
        <v>112</v>
      </c>
      <c r="W797" s="76" t="s">
        <v>112</v>
      </c>
      <c r="X797" s="76" t="s">
        <v>112</v>
      </c>
      <c r="Y797" s="76" t="s">
        <v>112</v>
      </c>
      <c r="Z797" s="76" t="s">
        <v>112</v>
      </c>
      <c r="AA797" s="76" t="s">
        <v>112</v>
      </c>
      <c r="AB797" s="76" t="s">
        <v>112</v>
      </c>
      <c r="AC797" s="76" t="s">
        <v>112</v>
      </c>
      <c r="AD797" s="76" t="s">
        <v>112</v>
      </c>
      <c r="AE797" s="76">
        <v>0.91500000000000004</v>
      </c>
      <c r="AF797" s="76">
        <v>0.91500000000000004</v>
      </c>
      <c r="AG797" s="76">
        <v>0.91500000000000004</v>
      </c>
      <c r="AH797" s="76">
        <v>0.91500000000000004</v>
      </c>
      <c r="AI797" s="76">
        <v>0.91500000000000004</v>
      </c>
      <c r="AJ797" s="76">
        <v>0.91500000000000004</v>
      </c>
      <c r="AK797" s="76">
        <v>0.91500000000000004</v>
      </c>
      <c r="AL797" s="76">
        <v>0.91500000000000004</v>
      </c>
      <c r="AM797" s="76">
        <v>0.91500000000000004</v>
      </c>
      <c r="AN797" s="76">
        <v>0.91500000000000004</v>
      </c>
      <c r="AO797" s="76">
        <v>0.91500000000000004</v>
      </c>
      <c r="AP797" s="76">
        <v>0.91500000000000004</v>
      </c>
      <c r="AQ797" s="76">
        <v>0.91500000000000004</v>
      </c>
      <c r="AR797" s="76">
        <v>0.91500000000000004</v>
      </c>
      <c r="AS797" s="76">
        <v>0.91500000000000004</v>
      </c>
      <c r="AT797" s="76">
        <v>0.91500000000000004</v>
      </c>
      <c r="AU797" s="76">
        <v>0.91500000000000004</v>
      </c>
      <c r="AV797" s="76">
        <v>0.91500000000000004</v>
      </c>
      <c r="AW797" s="76">
        <v>0.91500000000000004</v>
      </c>
      <c r="AX797" s="84">
        <v>0.91500000000000004</v>
      </c>
    </row>
    <row r="798" spans="1:50" x14ac:dyDescent="0.25">
      <c r="A798" s="356"/>
      <c r="B798" s="362"/>
      <c r="C798" s="354"/>
      <c r="D798" s="4" t="s">
        <v>8</v>
      </c>
      <c r="E798" s="168" t="str">
        <f>A769&amp;"/"&amp;B787&amp;"/"&amp;C797&amp;"/"&amp;D798</f>
        <v>Gas fired power plants (Natural gas, biogas)/Steam turbine/CHP with CCS/M</v>
      </c>
      <c r="F798" s="80" t="str">
        <f>A769</f>
        <v>Gas fired power plants (Natural gas, biogas)</v>
      </c>
      <c r="G798" s="80" t="str">
        <f>B787</f>
        <v>Steam turbine</v>
      </c>
      <c r="H798" s="80" t="str">
        <f>C797</f>
        <v>CHP with CCS</v>
      </c>
      <c r="I798" s="169" t="str">
        <f t="shared" si="89"/>
        <v>M</v>
      </c>
      <c r="J798" s="80" t="s">
        <v>112</v>
      </c>
      <c r="K798" s="80" t="s">
        <v>112</v>
      </c>
      <c r="L798" s="80" t="s">
        <v>112</v>
      </c>
      <c r="M798" s="80" t="s">
        <v>112</v>
      </c>
      <c r="N798" s="80" t="s">
        <v>112</v>
      </c>
      <c r="O798" s="80" t="s">
        <v>112</v>
      </c>
      <c r="P798" s="80" t="s">
        <v>112</v>
      </c>
      <c r="Q798" s="80" t="s">
        <v>112</v>
      </c>
      <c r="R798" s="80" t="s">
        <v>112</v>
      </c>
      <c r="S798" s="80" t="s">
        <v>112</v>
      </c>
      <c r="T798" s="80" t="s">
        <v>112</v>
      </c>
      <c r="U798" s="80" t="s">
        <v>112</v>
      </c>
      <c r="V798" s="80" t="s">
        <v>112</v>
      </c>
      <c r="W798" s="80" t="s">
        <v>112</v>
      </c>
      <c r="X798" s="80" t="s">
        <v>112</v>
      </c>
      <c r="Y798" s="80" t="s">
        <v>112</v>
      </c>
      <c r="Z798" s="80" t="s">
        <v>112</v>
      </c>
      <c r="AA798" s="80" t="s">
        <v>112</v>
      </c>
      <c r="AB798" s="80" t="s">
        <v>112</v>
      </c>
      <c r="AC798" s="80" t="s">
        <v>112</v>
      </c>
      <c r="AD798" s="80" t="s">
        <v>112</v>
      </c>
      <c r="AE798" s="80">
        <v>0.91500000000000004</v>
      </c>
      <c r="AF798" s="80">
        <v>0.91500000000000004</v>
      </c>
      <c r="AG798" s="80">
        <v>0.91500000000000004</v>
      </c>
      <c r="AH798" s="80">
        <v>0.91500000000000004</v>
      </c>
      <c r="AI798" s="80">
        <v>0.91500000000000004</v>
      </c>
      <c r="AJ798" s="80">
        <v>0.91500000000000004</v>
      </c>
      <c r="AK798" s="80">
        <v>0.91500000000000004</v>
      </c>
      <c r="AL798" s="80">
        <v>0.91500000000000004</v>
      </c>
      <c r="AM798" s="80">
        <v>0.91500000000000004</v>
      </c>
      <c r="AN798" s="80">
        <v>0.91500000000000004</v>
      </c>
      <c r="AO798" s="80">
        <v>0.91500000000000004</v>
      </c>
      <c r="AP798" s="80">
        <v>0.91500000000000004</v>
      </c>
      <c r="AQ798" s="80">
        <v>0.91500000000000004</v>
      </c>
      <c r="AR798" s="80">
        <v>0.91500000000000004</v>
      </c>
      <c r="AS798" s="80">
        <v>0.91500000000000004</v>
      </c>
      <c r="AT798" s="80">
        <v>0.91500000000000004</v>
      </c>
      <c r="AU798" s="80">
        <v>0.91500000000000004</v>
      </c>
      <c r="AV798" s="80">
        <v>0.91500000000000004</v>
      </c>
      <c r="AW798" s="80">
        <v>0.91500000000000004</v>
      </c>
      <c r="AX798" s="88">
        <v>0.91500000000000004</v>
      </c>
    </row>
    <row r="799" spans="1:50" x14ac:dyDescent="0.25">
      <c r="A799" s="356"/>
      <c r="B799" s="358" t="s">
        <v>25</v>
      </c>
      <c r="C799" s="353" t="s">
        <v>6</v>
      </c>
      <c r="D799" s="3" t="s">
        <v>10</v>
      </c>
      <c r="E799" s="162" t="str">
        <f>A769&amp;"/"&amp;B799&amp;"/"&amp;C799&amp;"/"&amp;D799</f>
        <v>Gas fired power plants (Natural gas, biogas)/Internal combustion engine/Electricity only/S</v>
      </c>
      <c r="F799" s="77" t="str">
        <f>A769</f>
        <v>Gas fired power plants (Natural gas, biogas)</v>
      </c>
      <c r="G799" s="77" t="str">
        <f>B799</f>
        <v>Internal combustion engine</v>
      </c>
      <c r="H799" s="77" t="str">
        <f>C799</f>
        <v>Electricity only</v>
      </c>
      <c r="I799" s="163" t="str">
        <f t="shared" si="89"/>
        <v>S</v>
      </c>
      <c r="J799" s="77">
        <v>0.95499999999999996</v>
      </c>
      <c r="K799" s="77">
        <v>0.95499999999999996</v>
      </c>
      <c r="L799" s="77">
        <v>0.95499999999999996</v>
      </c>
      <c r="M799" s="77">
        <v>0.95499999999999996</v>
      </c>
      <c r="N799" s="77">
        <v>0.95499999999999996</v>
      </c>
      <c r="O799" s="77">
        <v>0.95499999999999996</v>
      </c>
      <c r="P799" s="77">
        <v>0.95499999999999996</v>
      </c>
      <c r="Q799" s="77">
        <v>0.95499999999999996</v>
      </c>
      <c r="R799" s="77">
        <v>0.95499999999999996</v>
      </c>
      <c r="S799" s="77">
        <v>0.95499999999999996</v>
      </c>
      <c r="T799" s="77">
        <v>0.95499999999999996</v>
      </c>
      <c r="U799" s="77">
        <v>0.95499999999999996</v>
      </c>
      <c r="V799" s="77">
        <v>0.95499999999999996</v>
      </c>
      <c r="W799" s="77">
        <v>0.95499999999999996</v>
      </c>
      <c r="X799" s="77">
        <v>0.95499999999999996</v>
      </c>
      <c r="Y799" s="77">
        <v>0.95499999999999996</v>
      </c>
      <c r="Z799" s="77">
        <v>0.95499999999999996</v>
      </c>
      <c r="AA799" s="77">
        <v>0.95499999999999996</v>
      </c>
      <c r="AB799" s="77">
        <v>0.95499999999999996</v>
      </c>
      <c r="AC799" s="77">
        <v>0.95499999999999996</v>
      </c>
      <c r="AD799" s="77">
        <v>0.95499999999999996</v>
      </c>
      <c r="AE799" s="77">
        <v>0.95499999999999996</v>
      </c>
      <c r="AF799" s="77">
        <v>0.95499999999999996</v>
      </c>
      <c r="AG799" s="77">
        <v>0.95499999999999996</v>
      </c>
      <c r="AH799" s="77">
        <v>0.95499999999999996</v>
      </c>
      <c r="AI799" s="77">
        <v>0.95499999999999996</v>
      </c>
      <c r="AJ799" s="77">
        <v>0.95499999999999996</v>
      </c>
      <c r="AK799" s="77">
        <v>0.95499999999999996</v>
      </c>
      <c r="AL799" s="77">
        <v>0.95499999999999996</v>
      </c>
      <c r="AM799" s="77">
        <v>0.95499999999999996</v>
      </c>
      <c r="AN799" s="77">
        <v>0.95499999999999996</v>
      </c>
      <c r="AO799" s="77">
        <v>0.95499999999999996</v>
      </c>
      <c r="AP799" s="77">
        <v>0.95499999999999996</v>
      </c>
      <c r="AQ799" s="77">
        <v>0.95499999999999996</v>
      </c>
      <c r="AR799" s="77">
        <v>0.95499999999999996</v>
      </c>
      <c r="AS799" s="77">
        <v>0.95499999999999996</v>
      </c>
      <c r="AT799" s="77">
        <v>0.95499999999999996</v>
      </c>
      <c r="AU799" s="77">
        <v>0.95499999999999996</v>
      </c>
      <c r="AV799" s="77">
        <v>0.95499999999999996</v>
      </c>
      <c r="AW799" s="77">
        <v>0.95499999999999996</v>
      </c>
      <c r="AX799" s="85">
        <v>0.95499999999999996</v>
      </c>
    </row>
    <row r="800" spans="1:50" x14ac:dyDescent="0.25">
      <c r="A800" s="356"/>
      <c r="B800" s="359"/>
      <c r="C800" s="360"/>
      <c r="D800" s="59" t="s">
        <v>20</v>
      </c>
      <c r="E800" s="160" t="str">
        <f>A769&amp;"/"&amp;B799&amp;"/"&amp;C799&amp;"/"&amp;D800</f>
        <v>Gas fired power plants (Natural gas, biogas)/Internal combustion engine/Electricity only/XS</v>
      </c>
      <c r="F800" s="76" t="str">
        <f>A769</f>
        <v>Gas fired power plants (Natural gas, biogas)</v>
      </c>
      <c r="G800" s="76" t="str">
        <f>B799</f>
        <v>Internal combustion engine</v>
      </c>
      <c r="H800" s="76" t="str">
        <f>C799</f>
        <v>Electricity only</v>
      </c>
      <c r="I800" s="161" t="str">
        <f t="shared" si="89"/>
        <v>XS</v>
      </c>
      <c r="J800" s="76">
        <v>0.95499999999999996</v>
      </c>
      <c r="K800" s="76">
        <v>0.95499999999999996</v>
      </c>
      <c r="L800" s="76">
        <v>0.95499999999999996</v>
      </c>
      <c r="M800" s="76">
        <v>0.95499999999999996</v>
      </c>
      <c r="N800" s="76">
        <v>0.95499999999999996</v>
      </c>
      <c r="O800" s="76">
        <v>0.95499999999999996</v>
      </c>
      <c r="P800" s="76">
        <v>0.95499999999999996</v>
      </c>
      <c r="Q800" s="76">
        <v>0.95499999999999996</v>
      </c>
      <c r="R800" s="76">
        <v>0.95499999999999996</v>
      </c>
      <c r="S800" s="76">
        <v>0.95499999999999996</v>
      </c>
      <c r="T800" s="76">
        <v>0.95499999999999996</v>
      </c>
      <c r="U800" s="76">
        <v>0.95499999999999996</v>
      </c>
      <c r="V800" s="76">
        <v>0.95499999999999996</v>
      </c>
      <c r="W800" s="76">
        <v>0.95499999999999996</v>
      </c>
      <c r="X800" s="76">
        <v>0.95499999999999996</v>
      </c>
      <c r="Y800" s="76">
        <v>0.95499999999999996</v>
      </c>
      <c r="Z800" s="76">
        <v>0.95499999999999996</v>
      </c>
      <c r="AA800" s="76">
        <v>0.95499999999999996</v>
      </c>
      <c r="AB800" s="76">
        <v>0.95499999999999996</v>
      </c>
      <c r="AC800" s="76">
        <v>0.95499999999999996</v>
      </c>
      <c r="AD800" s="76">
        <v>0.95499999999999996</v>
      </c>
      <c r="AE800" s="76">
        <v>0.95499999999999996</v>
      </c>
      <c r="AF800" s="76">
        <v>0.95499999999999996</v>
      </c>
      <c r="AG800" s="76">
        <v>0.95499999999999996</v>
      </c>
      <c r="AH800" s="76">
        <v>0.95499999999999996</v>
      </c>
      <c r="AI800" s="76">
        <v>0.95499999999999996</v>
      </c>
      <c r="AJ800" s="76">
        <v>0.95499999999999996</v>
      </c>
      <c r="AK800" s="76">
        <v>0.95499999999999996</v>
      </c>
      <c r="AL800" s="76">
        <v>0.95499999999999996</v>
      </c>
      <c r="AM800" s="76">
        <v>0.95499999999999996</v>
      </c>
      <c r="AN800" s="76">
        <v>0.95499999999999996</v>
      </c>
      <c r="AO800" s="76">
        <v>0.95499999999999996</v>
      </c>
      <c r="AP800" s="76">
        <v>0.95499999999999996</v>
      </c>
      <c r="AQ800" s="76">
        <v>0.95499999999999996</v>
      </c>
      <c r="AR800" s="76">
        <v>0.95499999999999996</v>
      </c>
      <c r="AS800" s="76">
        <v>0.95499999999999996</v>
      </c>
      <c r="AT800" s="76">
        <v>0.95499999999999996</v>
      </c>
      <c r="AU800" s="76">
        <v>0.95499999999999996</v>
      </c>
      <c r="AV800" s="76">
        <v>0.95499999999999996</v>
      </c>
      <c r="AW800" s="76">
        <v>0.95499999999999996</v>
      </c>
      <c r="AX800" s="84">
        <v>0.95499999999999996</v>
      </c>
    </row>
    <row r="801" spans="1:50" x14ac:dyDescent="0.25">
      <c r="A801" s="356"/>
      <c r="B801" s="359"/>
      <c r="C801" s="361" t="s">
        <v>14</v>
      </c>
      <c r="D801" s="2" t="s">
        <v>10</v>
      </c>
      <c r="E801" s="164" t="str">
        <f>A769&amp;"/"&amp;B799&amp;"/"&amp;C801&amp;"/"&amp;D801</f>
        <v>Gas fired power plants (Natural gas, biogas)/Internal combustion engine/CHP/S</v>
      </c>
      <c r="F801" s="78" t="str">
        <f>A769</f>
        <v>Gas fired power plants (Natural gas, biogas)</v>
      </c>
      <c r="G801" s="78" t="str">
        <f>B799</f>
        <v>Internal combustion engine</v>
      </c>
      <c r="H801" s="78" t="str">
        <f>C801</f>
        <v>CHP</v>
      </c>
      <c r="I801" s="165" t="str">
        <f t="shared" si="89"/>
        <v>S</v>
      </c>
      <c r="J801" s="78">
        <v>0.95499999999999996</v>
      </c>
      <c r="K801" s="78">
        <v>0.95499999999999996</v>
      </c>
      <c r="L801" s="78">
        <v>0.95499999999999996</v>
      </c>
      <c r="M801" s="78">
        <v>0.95499999999999996</v>
      </c>
      <c r="N801" s="78">
        <v>0.95499999999999996</v>
      </c>
      <c r="O801" s="78">
        <v>0.95499999999999996</v>
      </c>
      <c r="P801" s="78">
        <v>0.95499999999999996</v>
      </c>
      <c r="Q801" s="78">
        <v>0.95499999999999996</v>
      </c>
      <c r="R801" s="78">
        <v>0.95499999999999996</v>
      </c>
      <c r="S801" s="78">
        <v>0.95499999999999996</v>
      </c>
      <c r="T801" s="78">
        <v>0.95499999999999996</v>
      </c>
      <c r="U801" s="78">
        <v>0.95499999999999996</v>
      </c>
      <c r="V801" s="78">
        <v>0.95499999999999996</v>
      </c>
      <c r="W801" s="78">
        <v>0.95499999999999996</v>
      </c>
      <c r="X801" s="78">
        <v>0.95499999999999996</v>
      </c>
      <c r="Y801" s="78">
        <v>0.95499999999999996</v>
      </c>
      <c r="Z801" s="78">
        <v>0.95499999999999996</v>
      </c>
      <c r="AA801" s="78">
        <v>0.95499999999999996</v>
      </c>
      <c r="AB801" s="78">
        <v>0.95499999999999996</v>
      </c>
      <c r="AC801" s="78">
        <v>0.95499999999999996</v>
      </c>
      <c r="AD801" s="78">
        <v>0.95499999999999996</v>
      </c>
      <c r="AE801" s="78">
        <v>0.95499999999999996</v>
      </c>
      <c r="AF801" s="78">
        <v>0.95499999999999996</v>
      </c>
      <c r="AG801" s="78">
        <v>0.95499999999999996</v>
      </c>
      <c r="AH801" s="78">
        <v>0.95499999999999996</v>
      </c>
      <c r="AI801" s="78">
        <v>0.95499999999999996</v>
      </c>
      <c r="AJ801" s="78">
        <v>0.95499999999999996</v>
      </c>
      <c r="AK801" s="78">
        <v>0.95499999999999996</v>
      </c>
      <c r="AL801" s="78">
        <v>0.95499999999999996</v>
      </c>
      <c r="AM801" s="78">
        <v>0.95499999999999996</v>
      </c>
      <c r="AN801" s="78">
        <v>0.95499999999999996</v>
      </c>
      <c r="AO801" s="78">
        <v>0.95499999999999996</v>
      </c>
      <c r="AP801" s="78">
        <v>0.95499999999999996</v>
      </c>
      <c r="AQ801" s="78">
        <v>0.95499999999999996</v>
      </c>
      <c r="AR801" s="78">
        <v>0.95499999999999996</v>
      </c>
      <c r="AS801" s="78">
        <v>0.95499999999999996</v>
      </c>
      <c r="AT801" s="78">
        <v>0.95499999999999996</v>
      </c>
      <c r="AU801" s="78">
        <v>0.95499999999999996</v>
      </c>
      <c r="AV801" s="78">
        <v>0.95499999999999996</v>
      </c>
      <c r="AW801" s="78">
        <v>0.95499999999999996</v>
      </c>
      <c r="AX801" s="86">
        <v>0.95499999999999996</v>
      </c>
    </row>
    <row r="802" spans="1:50" x14ac:dyDescent="0.25">
      <c r="A802" s="356"/>
      <c r="B802" s="362"/>
      <c r="C802" s="354"/>
      <c r="D802" s="4" t="s">
        <v>20</v>
      </c>
      <c r="E802" s="168" t="str">
        <f>A769&amp;"/"&amp;B799&amp;"/"&amp;C801&amp;"/"&amp;D802</f>
        <v>Gas fired power plants (Natural gas, biogas)/Internal combustion engine/CHP/XS</v>
      </c>
      <c r="F802" s="80" t="str">
        <f>A769</f>
        <v>Gas fired power plants (Natural gas, biogas)</v>
      </c>
      <c r="G802" s="80" t="str">
        <f>B799</f>
        <v>Internal combustion engine</v>
      </c>
      <c r="H802" s="80" t="str">
        <f>C801</f>
        <v>CHP</v>
      </c>
      <c r="I802" s="169" t="str">
        <f t="shared" si="89"/>
        <v>XS</v>
      </c>
      <c r="J802" s="80">
        <v>0.95499999999999996</v>
      </c>
      <c r="K802" s="80">
        <v>0.95499999999999996</v>
      </c>
      <c r="L802" s="80">
        <v>0.95499999999999996</v>
      </c>
      <c r="M802" s="80">
        <v>0.95499999999999996</v>
      </c>
      <c r="N802" s="80">
        <v>0.95499999999999996</v>
      </c>
      <c r="O802" s="80">
        <v>0.95499999999999996</v>
      </c>
      <c r="P802" s="80">
        <v>0.95499999999999996</v>
      </c>
      <c r="Q802" s="80">
        <v>0.95499999999999996</v>
      </c>
      <c r="R802" s="80">
        <v>0.95499999999999996</v>
      </c>
      <c r="S802" s="80">
        <v>0.95499999999999996</v>
      </c>
      <c r="T802" s="80">
        <v>0.95499999999999996</v>
      </c>
      <c r="U802" s="80">
        <v>0.95499999999999996</v>
      </c>
      <c r="V802" s="80">
        <v>0.95499999999999996</v>
      </c>
      <c r="W802" s="80">
        <v>0.95499999999999996</v>
      </c>
      <c r="X802" s="80">
        <v>0.95499999999999996</v>
      </c>
      <c r="Y802" s="80">
        <v>0.95499999999999996</v>
      </c>
      <c r="Z802" s="80">
        <v>0.95499999999999996</v>
      </c>
      <c r="AA802" s="80">
        <v>0.95499999999999996</v>
      </c>
      <c r="AB802" s="80">
        <v>0.95499999999999996</v>
      </c>
      <c r="AC802" s="80">
        <v>0.95499999999999996</v>
      </c>
      <c r="AD802" s="80">
        <v>0.95499999999999996</v>
      </c>
      <c r="AE802" s="80">
        <v>0.95499999999999996</v>
      </c>
      <c r="AF802" s="80">
        <v>0.95499999999999996</v>
      </c>
      <c r="AG802" s="80">
        <v>0.95499999999999996</v>
      </c>
      <c r="AH802" s="80">
        <v>0.95499999999999996</v>
      </c>
      <c r="AI802" s="80">
        <v>0.95499999999999996</v>
      </c>
      <c r="AJ802" s="80">
        <v>0.95499999999999996</v>
      </c>
      <c r="AK802" s="80">
        <v>0.95499999999999996</v>
      </c>
      <c r="AL802" s="80">
        <v>0.95499999999999996</v>
      </c>
      <c r="AM802" s="80">
        <v>0.95499999999999996</v>
      </c>
      <c r="AN802" s="80">
        <v>0.95499999999999996</v>
      </c>
      <c r="AO802" s="80">
        <v>0.95499999999999996</v>
      </c>
      <c r="AP802" s="80">
        <v>0.95499999999999996</v>
      </c>
      <c r="AQ802" s="80">
        <v>0.95499999999999996</v>
      </c>
      <c r="AR802" s="80">
        <v>0.95499999999999996</v>
      </c>
      <c r="AS802" s="80">
        <v>0.95499999999999996</v>
      </c>
      <c r="AT802" s="80">
        <v>0.95499999999999996</v>
      </c>
      <c r="AU802" s="80">
        <v>0.95499999999999996</v>
      </c>
      <c r="AV802" s="80">
        <v>0.95499999999999996</v>
      </c>
      <c r="AW802" s="80">
        <v>0.95499999999999996</v>
      </c>
      <c r="AX802" s="88">
        <v>0.95499999999999996</v>
      </c>
    </row>
    <row r="803" spans="1:50" x14ac:dyDescent="0.25">
      <c r="A803" s="355" t="s">
        <v>26</v>
      </c>
      <c r="B803" s="358" t="s">
        <v>19</v>
      </c>
      <c r="C803" s="353" t="s">
        <v>6</v>
      </c>
      <c r="D803" s="3" t="s">
        <v>7</v>
      </c>
      <c r="E803" s="162" t="str">
        <f>A803&amp;"/"&amp;B803&amp;"/"&amp;C803&amp;"/"&amp;D803</f>
        <v>Derived gas fired power plants/Steam turbine/Electricity only/L</v>
      </c>
      <c r="F803" s="77" t="str">
        <f>A803</f>
        <v>Derived gas fired power plants</v>
      </c>
      <c r="G803" s="77" t="str">
        <f>B803</f>
        <v>Steam turbine</v>
      </c>
      <c r="H803" s="77" t="str">
        <f>C803</f>
        <v>Electricity only</v>
      </c>
      <c r="I803" s="163" t="str">
        <f t="shared" si="89"/>
        <v>L</v>
      </c>
      <c r="J803" s="77">
        <v>0.89500000000000002</v>
      </c>
      <c r="K803" s="77">
        <v>0.89500000000000002</v>
      </c>
      <c r="L803" s="77">
        <v>0.89500000000000002</v>
      </c>
      <c r="M803" s="77">
        <v>0.89500000000000002</v>
      </c>
      <c r="N803" s="77">
        <v>0.89500000000000002</v>
      </c>
      <c r="O803" s="77">
        <v>0.89500000000000002</v>
      </c>
      <c r="P803" s="77">
        <v>0.89500000000000002</v>
      </c>
      <c r="Q803" s="77">
        <v>0.89500000000000002</v>
      </c>
      <c r="R803" s="77">
        <v>0.89500000000000002</v>
      </c>
      <c r="S803" s="77">
        <v>0.89500000000000002</v>
      </c>
      <c r="T803" s="77">
        <v>0.89500000000000002</v>
      </c>
      <c r="U803" s="77">
        <v>0.89500000000000002</v>
      </c>
      <c r="V803" s="77">
        <v>0.89500000000000002</v>
      </c>
      <c r="W803" s="77">
        <v>0.89500000000000002</v>
      </c>
      <c r="X803" s="77">
        <v>0.89500000000000002</v>
      </c>
      <c r="Y803" s="77">
        <v>0.89500000000000002</v>
      </c>
      <c r="Z803" s="77">
        <v>0.89500000000000002</v>
      </c>
      <c r="AA803" s="77">
        <v>0.89500000000000002</v>
      </c>
      <c r="AB803" s="77">
        <v>0.89500000000000002</v>
      </c>
      <c r="AC803" s="77">
        <v>0.89500000000000002</v>
      </c>
      <c r="AD803" s="77">
        <v>0.89500000000000002</v>
      </c>
      <c r="AE803" s="77">
        <v>0.89500000000000002</v>
      </c>
      <c r="AF803" s="77">
        <v>0.89500000000000002</v>
      </c>
      <c r="AG803" s="77">
        <v>0.89500000000000002</v>
      </c>
      <c r="AH803" s="77">
        <v>0.89500000000000002</v>
      </c>
      <c r="AI803" s="77">
        <v>0.89500000000000002</v>
      </c>
      <c r="AJ803" s="77">
        <v>0.89500000000000002</v>
      </c>
      <c r="AK803" s="77">
        <v>0.89500000000000002</v>
      </c>
      <c r="AL803" s="77">
        <v>0.89500000000000002</v>
      </c>
      <c r="AM803" s="77">
        <v>0.89500000000000002</v>
      </c>
      <c r="AN803" s="77">
        <v>0.89500000000000002</v>
      </c>
      <c r="AO803" s="77">
        <v>0.89500000000000002</v>
      </c>
      <c r="AP803" s="77">
        <v>0.89500000000000002</v>
      </c>
      <c r="AQ803" s="77">
        <v>0.89500000000000002</v>
      </c>
      <c r="AR803" s="77">
        <v>0.89500000000000002</v>
      </c>
      <c r="AS803" s="77">
        <v>0.89500000000000002</v>
      </c>
      <c r="AT803" s="77">
        <v>0.89500000000000002</v>
      </c>
      <c r="AU803" s="77">
        <v>0.89500000000000002</v>
      </c>
      <c r="AV803" s="77">
        <v>0.89500000000000002</v>
      </c>
      <c r="AW803" s="77">
        <v>0.89500000000000002</v>
      </c>
      <c r="AX803" s="85">
        <v>0.89500000000000002</v>
      </c>
    </row>
    <row r="804" spans="1:50" x14ac:dyDescent="0.25">
      <c r="A804" s="356"/>
      <c r="B804" s="359"/>
      <c r="C804" s="350"/>
      <c r="D804" s="2" t="s">
        <v>8</v>
      </c>
      <c r="E804" s="160" t="str">
        <f>A803&amp;"/"&amp;B803&amp;"/"&amp;C803&amp;"/"&amp;D804</f>
        <v>Derived gas fired power plants/Steam turbine/Electricity only/M</v>
      </c>
      <c r="F804" s="76" t="str">
        <f>A803</f>
        <v>Derived gas fired power plants</v>
      </c>
      <c r="G804" s="76" t="str">
        <f>B803</f>
        <v>Steam turbine</v>
      </c>
      <c r="H804" s="76" t="str">
        <f>C803</f>
        <v>Electricity only</v>
      </c>
      <c r="I804" s="161" t="str">
        <f t="shared" si="89"/>
        <v>M</v>
      </c>
      <c r="J804" s="76">
        <v>0.89500000000000002</v>
      </c>
      <c r="K804" s="76">
        <v>0.89500000000000002</v>
      </c>
      <c r="L804" s="76">
        <v>0.89500000000000002</v>
      </c>
      <c r="M804" s="76">
        <v>0.89500000000000002</v>
      </c>
      <c r="N804" s="76">
        <v>0.89500000000000002</v>
      </c>
      <c r="O804" s="76">
        <v>0.89500000000000002</v>
      </c>
      <c r="P804" s="76">
        <v>0.89500000000000002</v>
      </c>
      <c r="Q804" s="76">
        <v>0.89500000000000002</v>
      </c>
      <c r="R804" s="76">
        <v>0.89500000000000002</v>
      </c>
      <c r="S804" s="76">
        <v>0.89500000000000002</v>
      </c>
      <c r="T804" s="76">
        <v>0.89500000000000002</v>
      </c>
      <c r="U804" s="76">
        <v>0.89500000000000002</v>
      </c>
      <c r="V804" s="76">
        <v>0.89500000000000002</v>
      </c>
      <c r="W804" s="76">
        <v>0.89500000000000002</v>
      </c>
      <c r="X804" s="76">
        <v>0.89500000000000002</v>
      </c>
      <c r="Y804" s="76">
        <v>0.89500000000000002</v>
      </c>
      <c r="Z804" s="76">
        <v>0.89500000000000002</v>
      </c>
      <c r="AA804" s="76">
        <v>0.89500000000000002</v>
      </c>
      <c r="AB804" s="76">
        <v>0.89500000000000002</v>
      </c>
      <c r="AC804" s="76">
        <v>0.89500000000000002</v>
      </c>
      <c r="AD804" s="76">
        <v>0.89500000000000002</v>
      </c>
      <c r="AE804" s="76">
        <v>0.89500000000000002</v>
      </c>
      <c r="AF804" s="76">
        <v>0.89500000000000002</v>
      </c>
      <c r="AG804" s="76">
        <v>0.89500000000000002</v>
      </c>
      <c r="AH804" s="76">
        <v>0.89500000000000002</v>
      </c>
      <c r="AI804" s="76">
        <v>0.89500000000000002</v>
      </c>
      <c r="AJ804" s="76">
        <v>0.89500000000000002</v>
      </c>
      <c r="AK804" s="76">
        <v>0.89500000000000002</v>
      </c>
      <c r="AL804" s="76">
        <v>0.89500000000000002</v>
      </c>
      <c r="AM804" s="76">
        <v>0.89500000000000002</v>
      </c>
      <c r="AN804" s="76">
        <v>0.89500000000000002</v>
      </c>
      <c r="AO804" s="76">
        <v>0.89500000000000002</v>
      </c>
      <c r="AP804" s="76">
        <v>0.89500000000000002</v>
      </c>
      <c r="AQ804" s="76">
        <v>0.89500000000000002</v>
      </c>
      <c r="AR804" s="76">
        <v>0.89500000000000002</v>
      </c>
      <c r="AS804" s="76">
        <v>0.89500000000000002</v>
      </c>
      <c r="AT804" s="76">
        <v>0.89500000000000002</v>
      </c>
      <c r="AU804" s="76">
        <v>0.89500000000000002</v>
      </c>
      <c r="AV804" s="76">
        <v>0.89500000000000002</v>
      </c>
      <c r="AW804" s="76">
        <v>0.89500000000000002</v>
      </c>
      <c r="AX804" s="84">
        <v>0.89500000000000002</v>
      </c>
    </row>
    <row r="805" spans="1:50" x14ac:dyDescent="0.25">
      <c r="A805" s="356"/>
      <c r="B805" s="359"/>
      <c r="C805" s="350"/>
      <c r="D805" s="2" t="s">
        <v>10</v>
      </c>
      <c r="E805" s="160" t="str">
        <f>A803&amp;"/"&amp;B803&amp;"/"&amp;C803&amp;"/"&amp;D805</f>
        <v>Derived gas fired power plants/Steam turbine/Electricity only/S</v>
      </c>
      <c r="F805" s="76" t="str">
        <f>A803</f>
        <v>Derived gas fired power plants</v>
      </c>
      <c r="G805" s="76" t="str">
        <f>B803</f>
        <v>Steam turbine</v>
      </c>
      <c r="H805" s="76" t="str">
        <f>C803</f>
        <v>Electricity only</v>
      </c>
      <c r="I805" s="161" t="str">
        <f t="shared" si="89"/>
        <v>S</v>
      </c>
      <c r="J805" s="76">
        <v>0.89500000000000002</v>
      </c>
      <c r="K805" s="76">
        <v>0.89500000000000002</v>
      </c>
      <c r="L805" s="76">
        <v>0.89500000000000002</v>
      </c>
      <c r="M805" s="76">
        <v>0.89500000000000002</v>
      </c>
      <c r="N805" s="76">
        <v>0.89500000000000002</v>
      </c>
      <c r="O805" s="76">
        <v>0.89500000000000002</v>
      </c>
      <c r="P805" s="76">
        <v>0.89500000000000002</v>
      </c>
      <c r="Q805" s="76">
        <v>0.89500000000000002</v>
      </c>
      <c r="R805" s="76">
        <v>0.89500000000000002</v>
      </c>
      <c r="S805" s="76">
        <v>0.89500000000000002</v>
      </c>
      <c r="T805" s="76">
        <v>0.89500000000000002</v>
      </c>
      <c r="U805" s="76">
        <v>0.89500000000000002</v>
      </c>
      <c r="V805" s="76">
        <v>0.89500000000000002</v>
      </c>
      <c r="W805" s="76">
        <v>0.89500000000000002</v>
      </c>
      <c r="X805" s="76">
        <v>0.89500000000000002</v>
      </c>
      <c r="Y805" s="76">
        <v>0.89500000000000002</v>
      </c>
      <c r="Z805" s="76">
        <v>0.89500000000000002</v>
      </c>
      <c r="AA805" s="76">
        <v>0.89500000000000002</v>
      </c>
      <c r="AB805" s="76">
        <v>0.89500000000000002</v>
      </c>
      <c r="AC805" s="76">
        <v>0.89500000000000002</v>
      </c>
      <c r="AD805" s="76">
        <v>0.89500000000000002</v>
      </c>
      <c r="AE805" s="76">
        <v>0.89500000000000002</v>
      </c>
      <c r="AF805" s="76">
        <v>0.89500000000000002</v>
      </c>
      <c r="AG805" s="76">
        <v>0.89500000000000002</v>
      </c>
      <c r="AH805" s="76">
        <v>0.89500000000000002</v>
      </c>
      <c r="AI805" s="76">
        <v>0.89500000000000002</v>
      </c>
      <c r="AJ805" s="76">
        <v>0.89500000000000002</v>
      </c>
      <c r="AK805" s="76">
        <v>0.89500000000000002</v>
      </c>
      <c r="AL805" s="76">
        <v>0.89500000000000002</v>
      </c>
      <c r="AM805" s="76">
        <v>0.89500000000000002</v>
      </c>
      <c r="AN805" s="76">
        <v>0.89500000000000002</v>
      </c>
      <c r="AO805" s="76">
        <v>0.89500000000000002</v>
      </c>
      <c r="AP805" s="76">
        <v>0.89500000000000002</v>
      </c>
      <c r="AQ805" s="76">
        <v>0.89500000000000002</v>
      </c>
      <c r="AR805" s="76">
        <v>0.89500000000000002</v>
      </c>
      <c r="AS805" s="76">
        <v>0.89500000000000002</v>
      </c>
      <c r="AT805" s="76">
        <v>0.89500000000000002</v>
      </c>
      <c r="AU805" s="76">
        <v>0.89500000000000002</v>
      </c>
      <c r="AV805" s="76">
        <v>0.89500000000000002</v>
      </c>
      <c r="AW805" s="76">
        <v>0.89500000000000002</v>
      </c>
      <c r="AX805" s="84">
        <v>0.89500000000000002</v>
      </c>
    </row>
    <row r="806" spans="1:50" x14ac:dyDescent="0.25">
      <c r="A806" s="356"/>
      <c r="B806" s="359"/>
      <c r="C806" s="360"/>
      <c r="D806" s="2" t="s">
        <v>20</v>
      </c>
      <c r="E806" s="160" t="str">
        <f>A803&amp;"/"&amp;B803&amp;"/"&amp;C803&amp;"/"&amp;D806</f>
        <v>Derived gas fired power plants/Steam turbine/Electricity only/XS</v>
      </c>
      <c r="F806" s="76" t="str">
        <f>A803</f>
        <v>Derived gas fired power plants</v>
      </c>
      <c r="G806" s="76" t="str">
        <f>B803</f>
        <v>Steam turbine</v>
      </c>
      <c r="H806" s="76" t="str">
        <f>C803</f>
        <v>Electricity only</v>
      </c>
      <c r="I806" s="161" t="str">
        <f t="shared" si="89"/>
        <v>XS</v>
      </c>
      <c r="J806" s="76">
        <v>0.89500000000000002</v>
      </c>
      <c r="K806" s="76">
        <v>0.89500000000000002</v>
      </c>
      <c r="L806" s="76">
        <v>0.89500000000000002</v>
      </c>
      <c r="M806" s="76">
        <v>0.89500000000000002</v>
      </c>
      <c r="N806" s="76">
        <v>0.89500000000000002</v>
      </c>
      <c r="O806" s="76">
        <v>0.89500000000000002</v>
      </c>
      <c r="P806" s="76">
        <v>0.89500000000000002</v>
      </c>
      <c r="Q806" s="76">
        <v>0.89500000000000002</v>
      </c>
      <c r="R806" s="76">
        <v>0.89500000000000002</v>
      </c>
      <c r="S806" s="76">
        <v>0.89500000000000002</v>
      </c>
      <c r="T806" s="76">
        <v>0.89500000000000002</v>
      </c>
      <c r="U806" s="76">
        <v>0.89500000000000002</v>
      </c>
      <c r="V806" s="76">
        <v>0.89500000000000002</v>
      </c>
      <c r="W806" s="76">
        <v>0.89500000000000002</v>
      </c>
      <c r="X806" s="76">
        <v>0.89500000000000002</v>
      </c>
      <c r="Y806" s="76">
        <v>0.89500000000000002</v>
      </c>
      <c r="Z806" s="76">
        <v>0.89500000000000002</v>
      </c>
      <c r="AA806" s="76">
        <v>0.89500000000000002</v>
      </c>
      <c r="AB806" s="76">
        <v>0.89500000000000002</v>
      </c>
      <c r="AC806" s="76">
        <v>0.89500000000000002</v>
      </c>
      <c r="AD806" s="76">
        <v>0.89500000000000002</v>
      </c>
      <c r="AE806" s="76">
        <v>0.89500000000000002</v>
      </c>
      <c r="AF806" s="76">
        <v>0.89500000000000002</v>
      </c>
      <c r="AG806" s="76">
        <v>0.89500000000000002</v>
      </c>
      <c r="AH806" s="76">
        <v>0.89500000000000002</v>
      </c>
      <c r="AI806" s="76">
        <v>0.89500000000000002</v>
      </c>
      <c r="AJ806" s="76">
        <v>0.89500000000000002</v>
      </c>
      <c r="AK806" s="76">
        <v>0.89500000000000002</v>
      </c>
      <c r="AL806" s="76">
        <v>0.89500000000000002</v>
      </c>
      <c r="AM806" s="76">
        <v>0.89500000000000002</v>
      </c>
      <c r="AN806" s="76">
        <v>0.89500000000000002</v>
      </c>
      <c r="AO806" s="76">
        <v>0.89500000000000002</v>
      </c>
      <c r="AP806" s="76">
        <v>0.89500000000000002</v>
      </c>
      <c r="AQ806" s="76">
        <v>0.89500000000000002</v>
      </c>
      <c r="AR806" s="76">
        <v>0.89500000000000002</v>
      </c>
      <c r="AS806" s="76">
        <v>0.89500000000000002</v>
      </c>
      <c r="AT806" s="76">
        <v>0.89500000000000002</v>
      </c>
      <c r="AU806" s="76">
        <v>0.89500000000000002</v>
      </c>
      <c r="AV806" s="76">
        <v>0.89500000000000002</v>
      </c>
      <c r="AW806" s="76">
        <v>0.89500000000000002</v>
      </c>
      <c r="AX806" s="84">
        <v>0.89500000000000002</v>
      </c>
    </row>
    <row r="807" spans="1:50" x14ac:dyDescent="0.25">
      <c r="A807" s="356"/>
      <c r="B807" s="359"/>
      <c r="C807" s="361" t="s">
        <v>14</v>
      </c>
      <c r="D807" s="58" t="s">
        <v>7</v>
      </c>
      <c r="E807" s="164" t="str">
        <f>A803&amp;"/"&amp;B803&amp;"/"&amp;C807&amp;"/"&amp;D807</f>
        <v>Derived gas fired power plants/Steam turbine/CHP/L</v>
      </c>
      <c r="F807" s="78" t="str">
        <f>A803</f>
        <v>Derived gas fired power plants</v>
      </c>
      <c r="G807" s="78" t="str">
        <f>B803</f>
        <v>Steam turbine</v>
      </c>
      <c r="H807" s="78" t="str">
        <f>C807</f>
        <v>CHP</v>
      </c>
      <c r="I807" s="165" t="str">
        <f t="shared" si="89"/>
        <v>L</v>
      </c>
      <c r="J807" s="78">
        <v>0.89500000000000002</v>
      </c>
      <c r="K807" s="78">
        <v>0.89500000000000002</v>
      </c>
      <c r="L807" s="78">
        <v>0.89500000000000002</v>
      </c>
      <c r="M807" s="78">
        <v>0.89500000000000002</v>
      </c>
      <c r="N807" s="78">
        <v>0.89500000000000002</v>
      </c>
      <c r="O807" s="78">
        <v>0.89500000000000002</v>
      </c>
      <c r="P807" s="78">
        <v>0.89500000000000002</v>
      </c>
      <c r="Q807" s="78">
        <v>0.89500000000000002</v>
      </c>
      <c r="R807" s="78">
        <v>0.89500000000000002</v>
      </c>
      <c r="S807" s="78">
        <v>0.89500000000000002</v>
      </c>
      <c r="T807" s="78">
        <v>0.89500000000000002</v>
      </c>
      <c r="U807" s="78">
        <v>0.89500000000000002</v>
      </c>
      <c r="V807" s="78">
        <v>0.89500000000000002</v>
      </c>
      <c r="W807" s="78">
        <v>0.89500000000000002</v>
      </c>
      <c r="X807" s="78">
        <v>0.89500000000000002</v>
      </c>
      <c r="Y807" s="78">
        <v>0.89500000000000002</v>
      </c>
      <c r="Z807" s="78">
        <v>0.89500000000000002</v>
      </c>
      <c r="AA807" s="78">
        <v>0.89500000000000002</v>
      </c>
      <c r="AB807" s="78">
        <v>0.89500000000000002</v>
      </c>
      <c r="AC807" s="78">
        <v>0.89500000000000002</v>
      </c>
      <c r="AD807" s="78">
        <v>0.89500000000000002</v>
      </c>
      <c r="AE807" s="78">
        <v>0.89500000000000002</v>
      </c>
      <c r="AF807" s="78">
        <v>0.89500000000000002</v>
      </c>
      <c r="AG807" s="78">
        <v>0.89500000000000002</v>
      </c>
      <c r="AH807" s="78">
        <v>0.89500000000000002</v>
      </c>
      <c r="AI807" s="78">
        <v>0.89500000000000002</v>
      </c>
      <c r="AJ807" s="78">
        <v>0.89500000000000002</v>
      </c>
      <c r="AK807" s="78">
        <v>0.89500000000000002</v>
      </c>
      <c r="AL807" s="78">
        <v>0.89500000000000002</v>
      </c>
      <c r="AM807" s="78">
        <v>0.89500000000000002</v>
      </c>
      <c r="AN807" s="78">
        <v>0.89500000000000002</v>
      </c>
      <c r="AO807" s="78">
        <v>0.89500000000000002</v>
      </c>
      <c r="AP807" s="78">
        <v>0.89500000000000002</v>
      </c>
      <c r="AQ807" s="78">
        <v>0.89500000000000002</v>
      </c>
      <c r="AR807" s="78">
        <v>0.89500000000000002</v>
      </c>
      <c r="AS807" s="78">
        <v>0.89500000000000002</v>
      </c>
      <c r="AT807" s="78">
        <v>0.89500000000000002</v>
      </c>
      <c r="AU807" s="78">
        <v>0.89500000000000002</v>
      </c>
      <c r="AV807" s="78">
        <v>0.89500000000000002</v>
      </c>
      <c r="AW807" s="78">
        <v>0.89500000000000002</v>
      </c>
      <c r="AX807" s="86">
        <v>0.89500000000000002</v>
      </c>
    </row>
    <row r="808" spans="1:50" x14ac:dyDescent="0.25">
      <c r="A808" s="356"/>
      <c r="B808" s="359"/>
      <c r="C808" s="350"/>
      <c r="D808" s="2" t="s">
        <v>8</v>
      </c>
      <c r="E808" s="160" t="str">
        <f>A803&amp;"/"&amp;B803&amp;"/"&amp;C807&amp;"/"&amp;D808</f>
        <v>Derived gas fired power plants/Steam turbine/CHP/M</v>
      </c>
      <c r="F808" s="76" t="str">
        <f>A803</f>
        <v>Derived gas fired power plants</v>
      </c>
      <c r="G808" s="76" t="str">
        <f>B803</f>
        <v>Steam turbine</v>
      </c>
      <c r="H808" s="76" t="str">
        <f>C807</f>
        <v>CHP</v>
      </c>
      <c r="I808" s="161" t="str">
        <f t="shared" si="89"/>
        <v>M</v>
      </c>
      <c r="J808" s="76">
        <v>0.89500000000000002</v>
      </c>
      <c r="K808" s="76">
        <v>0.89500000000000002</v>
      </c>
      <c r="L808" s="76">
        <v>0.89500000000000002</v>
      </c>
      <c r="M808" s="76">
        <v>0.89500000000000002</v>
      </c>
      <c r="N808" s="76">
        <v>0.89500000000000002</v>
      </c>
      <c r="O808" s="76">
        <v>0.89500000000000002</v>
      </c>
      <c r="P808" s="76">
        <v>0.89500000000000002</v>
      </c>
      <c r="Q808" s="76">
        <v>0.89500000000000002</v>
      </c>
      <c r="R808" s="76">
        <v>0.89500000000000002</v>
      </c>
      <c r="S808" s="76">
        <v>0.89500000000000002</v>
      </c>
      <c r="T808" s="76">
        <v>0.89500000000000002</v>
      </c>
      <c r="U808" s="76">
        <v>0.89500000000000002</v>
      </c>
      <c r="V808" s="76">
        <v>0.89500000000000002</v>
      </c>
      <c r="W808" s="76">
        <v>0.89500000000000002</v>
      </c>
      <c r="X808" s="76">
        <v>0.89500000000000002</v>
      </c>
      <c r="Y808" s="76">
        <v>0.89500000000000002</v>
      </c>
      <c r="Z808" s="76">
        <v>0.89500000000000002</v>
      </c>
      <c r="AA808" s="76">
        <v>0.89500000000000002</v>
      </c>
      <c r="AB808" s="76">
        <v>0.89500000000000002</v>
      </c>
      <c r="AC808" s="76">
        <v>0.89500000000000002</v>
      </c>
      <c r="AD808" s="76">
        <v>0.89500000000000002</v>
      </c>
      <c r="AE808" s="76">
        <v>0.89500000000000002</v>
      </c>
      <c r="AF808" s="76">
        <v>0.89500000000000002</v>
      </c>
      <c r="AG808" s="76">
        <v>0.89500000000000002</v>
      </c>
      <c r="AH808" s="76">
        <v>0.89500000000000002</v>
      </c>
      <c r="AI808" s="76">
        <v>0.89500000000000002</v>
      </c>
      <c r="AJ808" s="76">
        <v>0.89500000000000002</v>
      </c>
      <c r="AK808" s="76">
        <v>0.89500000000000002</v>
      </c>
      <c r="AL808" s="76">
        <v>0.89500000000000002</v>
      </c>
      <c r="AM808" s="76">
        <v>0.89500000000000002</v>
      </c>
      <c r="AN808" s="76">
        <v>0.89500000000000002</v>
      </c>
      <c r="AO808" s="76">
        <v>0.89500000000000002</v>
      </c>
      <c r="AP808" s="76">
        <v>0.89500000000000002</v>
      </c>
      <c r="AQ808" s="76">
        <v>0.89500000000000002</v>
      </c>
      <c r="AR808" s="76">
        <v>0.89500000000000002</v>
      </c>
      <c r="AS808" s="76">
        <v>0.89500000000000002</v>
      </c>
      <c r="AT808" s="76">
        <v>0.89500000000000002</v>
      </c>
      <c r="AU808" s="76">
        <v>0.89500000000000002</v>
      </c>
      <c r="AV808" s="76">
        <v>0.89500000000000002</v>
      </c>
      <c r="AW808" s="76">
        <v>0.89500000000000002</v>
      </c>
      <c r="AX808" s="84">
        <v>0.89500000000000002</v>
      </c>
    </row>
    <row r="809" spans="1:50" x14ac:dyDescent="0.25">
      <c r="A809" s="356"/>
      <c r="B809" s="359"/>
      <c r="C809" s="350"/>
      <c r="D809" s="2" t="s">
        <v>10</v>
      </c>
      <c r="E809" s="160" t="str">
        <f>A803&amp;"/"&amp;B803&amp;"/"&amp;C807&amp;"/"&amp;D809</f>
        <v>Derived gas fired power plants/Steam turbine/CHP/S</v>
      </c>
      <c r="F809" s="76" t="str">
        <f>A803</f>
        <v>Derived gas fired power plants</v>
      </c>
      <c r="G809" s="76" t="str">
        <f>B803</f>
        <v>Steam turbine</v>
      </c>
      <c r="H809" s="76" t="str">
        <f>C807</f>
        <v>CHP</v>
      </c>
      <c r="I809" s="161" t="str">
        <f t="shared" si="89"/>
        <v>S</v>
      </c>
      <c r="J809" s="76">
        <v>0.89500000000000002</v>
      </c>
      <c r="K809" s="76">
        <v>0.89500000000000002</v>
      </c>
      <c r="L809" s="76">
        <v>0.89500000000000002</v>
      </c>
      <c r="M809" s="76">
        <v>0.89500000000000002</v>
      </c>
      <c r="N809" s="76">
        <v>0.89500000000000002</v>
      </c>
      <c r="O809" s="76">
        <v>0.89500000000000002</v>
      </c>
      <c r="P809" s="76">
        <v>0.89500000000000002</v>
      </c>
      <c r="Q809" s="76">
        <v>0.89500000000000002</v>
      </c>
      <c r="R809" s="76">
        <v>0.89500000000000002</v>
      </c>
      <c r="S809" s="76">
        <v>0.89500000000000002</v>
      </c>
      <c r="T809" s="76">
        <v>0.89500000000000002</v>
      </c>
      <c r="U809" s="76">
        <v>0.89500000000000002</v>
      </c>
      <c r="V809" s="76">
        <v>0.89500000000000002</v>
      </c>
      <c r="W809" s="76">
        <v>0.89500000000000002</v>
      </c>
      <c r="X809" s="76">
        <v>0.89500000000000002</v>
      </c>
      <c r="Y809" s="76">
        <v>0.89500000000000002</v>
      </c>
      <c r="Z809" s="76">
        <v>0.89500000000000002</v>
      </c>
      <c r="AA809" s="76">
        <v>0.89500000000000002</v>
      </c>
      <c r="AB809" s="76">
        <v>0.89500000000000002</v>
      </c>
      <c r="AC809" s="76">
        <v>0.89500000000000002</v>
      </c>
      <c r="AD809" s="76">
        <v>0.89500000000000002</v>
      </c>
      <c r="AE809" s="76">
        <v>0.89500000000000002</v>
      </c>
      <c r="AF809" s="76">
        <v>0.89500000000000002</v>
      </c>
      <c r="AG809" s="76">
        <v>0.89500000000000002</v>
      </c>
      <c r="AH809" s="76">
        <v>0.89500000000000002</v>
      </c>
      <c r="AI809" s="76">
        <v>0.89500000000000002</v>
      </c>
      <c r="AJ809" s="76">
        <v>0.89500000000000002</v>
      </c>
      <c r="AK809" s="76">
        <v>0.89500000000000002</v>
      </c>
      <c r="AL809" s="76">
        <v>0.89500000000000002</v>
      </c>
      <c r="AM809" s="76">
        <v>0.89500000000000002</v>
      </c>
      <c r="AN809" s="76">
        <v>0.89500000000000002</v>
      </c>
      <c r="AO809" s="76">
        <v>0.89500000000000002</v>
      </c>
      <c r="AP809" s="76">
        <v>0.89500000000000002</v>
      </c>
      <c r="AQ809" s="76">
        <v>0.89500000000000002</v>
      </c>
      <c r="AR809" s="76">
        <v>0.89500000000000002</v>
      </c>
      <c r="AS809" s="76">
        <v>0.89500000000000002</v>
      </c>
      <c r="AT809" s="76">
        <v>0.89500000000000002</v>
      </c>
      <c r="AU809" s="76">
        <v>0.89500000000000002</v>
      </c>
      <c r="AV809" s="76">
        <v>0.89500000000000002</v>
      </c>
      <c r="AW809" s="76">
        <v>0.89500000000000002</v>
      </c>
      <c r="AX809" s="84">
        <v>0.89500000000000002</v>
      </c>
    </row>
    <row r="810" spans="1:50" x14ac:dyDescent="0.25">
      <c r="A810" s="356"/>
      <c r="B810" s="359"/>
      <c r="C810" s="360"/>
      <c r="D810" s="59" t="s">
        <v>20</v>
      </c>
      <c r="E810" s="166" t="str">
        <f>A803&amp;"/"&amp;B803&amp;"/"&amp;C807&amp;"/"&amp;D810</f>
        <v>Derived gas fired power plants/Steam turbine/CHP/XS</v>
      </c>
      <c r="F810" s="79" t="str">
        <f>A803</f>
        <v>Derived gas fired power plants</v>
      </c>
      <c r="G810" s="79" t="str">
        <f>B803</f>
        <v>Steam turbine</v>
      </c>
      <c r="H810" s="79" t="str">
        <f>C807</f>
        <v>CHP</v>
      </c>
      <c r="I810" s="167" t="str">
        <f t="shared" si="89"/>
        <v>XS</v>
      </c>
      <c r="J810" s="79">
        <v>0.89500000000000002</v>
      </c>
      <c r="K810" s="79">
        <v>0.89500000000000002</v>
      </c>
      <c r="L810" s="79">
        <v>0.89500000000000002</v>
      </c>
      <c r="M810" s="79">
        <v>0.89500000000000002</v>
      </c>
      <c r="N810" s="79">
        <v>0.89500000000000002</v>
      </c>
      <c r="O810" s="79">
        <v>0.89500000000000002</v>
      </c>
      <c r="P810" s="79">
        <v>0.89500000000000002</v>
      </c>
      <c r="Q810" s="79">
        <v>0.89500000000000002</v>
      </c>
      <c r="R810" s="79">
        <v>0.89500000000000002</v>
      </c>
      <c r="S810" s="79">
        <v>0.89500000000000002</v>
      </c>
      <c r="T810" s="79">
        <v>0.89500000000000002</v>
      </c>
      <c r="U810" s="79">
        <v>0.89500000000000002</v>
      </c>
      <c r="V810" s="79">
        <v>0.89500000000000002</v>
      </c>
      <c r="W810" s="79">
        <v>0.89500000000000002</v>
      </c>
      <c r="X810" s="79">
        <v>0.89500000000000002</v>
      </c>
      <c r="Y810" s="79">
        <v>0.89500000000000002</v>
      </c>
      <c r="Z810" s="79">
        <v>0.89500000000000002</v>
      </c>
      <c r="AA810" s="79">
        <v>0.89500000000000002</v>
      </c>
      <c r="AB810" s="79">
        <v>0.89500000000000002</v>
      </c>
      <c r="AC810" s="79">
        <v>0.89500000000000002</v>
      </c>
      <c r="AD810" s="79">
        <v>0.89500000000000002</v>
      </c>
      <c r="AE810" s="79">
        <v>0.89500000000000002</v>
      </c>
      <c r="AF810" s="79">
        <v>0.89500000000000002</v>
      </c>
      <c r="AG810" s="79">
        <v>0.89500000000000002</v>
      </c>
      <c r="AH810" s="79">
        <v>0.89500000000000002</v>
      </c>
      <c r="AI810" s="79">
        <v>0.89500000000000002</v>
      </c>
      <c r="AJ810" s="79">
        <v>0.89500000000000002</v>
      </c>
      <c r="AK810" s="79">
        <v>0.89500000000000002</v>
      </c>
      <c r="AL810" s="79">
        <v>0.89500000000000002</v>
      </c>
      <c r="AM810" s="79">
        <v>0.89500000000000002</v>
      </c>
      <c r="AN810" s="79">
        <v>0.89500000000000002</v>
      </c>
      <c r="AO810" s="79">
        <v>0.89500000000000002</v>
      </c>
      <c r="AP810" s="79">
        <v>0.89500000000000002</v>
      </c>
      <c r="AQ810" s="79">
        <v>0.89500000000000002</v>
      </c>
      <c r="AR810" s="79">
        <v>0.89500000000000002</v>
      </c>
      <c r="AS810" s="79">
        <v>0.89500000000000002</v>
      </c>
      <c r="AT810" s="79">
        <v>0.89500000000000002</v>
      </c>
      <c r="AU810" s="79">
        <v>0.89500000000000002</v>
      </c>
      <c r="AV810" s="79">
        <v>0.89500000000000002</v>
      </c>
      <c r="AW810" s="79">
        <v>0.89500000000000002</v>
      </c>
      <c r="AX810" s="87">
        <v>0.89500000000000002</v>
      </c>
    </row>
    <row r="811" spans="1:50" x14ac:dyDescent="0.25">
      <c r="A811" s="356"/>
      <c r="B811" s="359"/>
      <c r="C811" s="361" t="s">
        <v>15</v>
      </c>
      <c r="D811" s="58" t="s">
        <v>7</v>
      </c>
      <c r="E811" s="164" t="str">
        <f>A803&amp;"/"&amp;B803&amp;"/"&amp;C811&amp;"/"&amp;D811</f>
        <v>Derived gas fired power plants/Steam turbine/Electricity only with CCS/L</v>
      </c>
      <c r="F811" s="78" t="str">
        <f>A803</f>
        <v>Derived gas fired power plants</v>
      </c>
      <c r="G811" s="78" t="str">
        <f>B803</f>
        <v>Steam turbine</v>
      </c>
      <c r="H811" s="78" t="str">
        <f>C811</f>
        <v>Electricity only with CCS</v>
      </c>
      <c r="I811" s="165" t="str">
        <f t="shared" si="89"/>
        <v>L</v>
      </c>
      <c r="J811" s="78" t="s">
        <v>112</v>
      </c>
      <c r="K811" s="78" t="s">
        <v>112</v>
      </c>
      <c r="L811" s="78" t="s">
        <v>112</v>
      </c>
      <c r="M811" s="78" t="s">
        <v>112</v>
      </c>
      <c r="N811" s="78" t="s">
        <v>112</v>
      </c>
      <c r="O811" s="78" t="s">
        <v>112</v>
      </c>
      <c r="P811" s="78" t="s">
        <v>112</v>
      </c>
      <c r="Q811" s="78" t="s">
        <v>112</v>
      </c>
      <c r="R811" s="78" t="s">
        <v>112</v>
      </c>
      <c r="S811" s="78" t="s">
        <v>112</v>
      </c>
      <c r="T811" s="78" t="s">
        <v>112</v>
      </c>
      <c r="U811" s="78" t="s">
        <v>112</v>
      </c>
      <c r="V811" s="78" t="s">
        <v>112</v>
      </c>
      <c r="W811" s="78" t="s">
        <v>112</v>
      </c>
      <c r="X811" s="78" t="s">
        <v>112</v>
      </c>
      <c r="Y811" s="78" t="s">
        <v>112</v>
      </c>
      <c r="Z811" s="78" t="s">
        <v>112</v>
      </c>
      <c r="AA811" s="78" t="s">
        <v>112</v>
      </c>
      <c r="AB811" s="78" t="s">
        <v>112</v>
      </c>
      <c r="AC811" s="78" t="s">
        <v>112</v>
      </c>
      <c r="AD811" s="78" t="s">
        <v>112</v>
      </c>
      <c r="AE811" s="78">
        <v>0.89500000000000002</v>
      </c>
      <c r="AF811" s="78">
        <v>0.89500000000000002</v>
      </c>
      <c r="AG811" s="78">
        <v>0.89500000000000002</v>
      </c>
      <c r="AH811" s="78">
        <v>0.89500000000000002</v>
      </c>
      <c r="AI811" s="78">
        <v>0.89500000000000002</v>
      </c>
      <c r="AJ811" s="78">
        <v>0.89500000000000002</v>
      </c>
      <c r="AK811" s="78">
        <v>0.89500000000000002</v>
      </c>
      <c r="AL811" s="78">
        <v>0.89500000000000002</v>
      </c>
      <c r="AM811" s="78">
        <v>0.89500000000000002</v>
      </c>
      <c r="AN811" s="78">
        <v>0.89500000000000002</v>
      </c>
      <c r="AO811" s="78">
        <v>0.89500000000000002</v>
      </c>
      <c r="AP811" s="78">
        <v>0.89500000000000002</v>
      </c>
      <c r="AQ811" s="78">
        <v>0.89500000000000002</v>
      </c>
      <c r="AR811" s="78">
        <v>0.89500000000000002</v>
      </c>
      <c r="AS811" s="78">
        <v>0.89500000000000002</v>
      </c>
      <c r="AT811" s="78">
        <v>0.89500000000000002</v>
      </c>
      <c r="AU811" s="78">
        <v>0.89500000000000002</v>
      </c>
      <c r="AV811" s="78">
        <v>0.89500000000000002</v>
      </c>
      <c r="AW811" s="78">
        <v>0.89500000000000002</v>
      </c>
      <c r="AX811" s="86">
        <v>0.89500000000000002</v>
      </c>
    </row>
    <row r="812" spans="1:50" x14ac:dyDescent="0.25">
      <c r="A812" s="356"/>
      <c r="B812" s="359"/>
      <c r="C812" s="360"/>
      <c r="D812" s="59" t="s">
        <v>8</v>
      </c>
      <c r="E812" s="166" t="str">
        <f>A803&amp;"/"&amp;B803&amp;"/"&amp;C811&amp;"/"&amp;D812</f>
        <v>Derived gas fired power plants/Steam turbine/Electricity only with CCS/M</v>
      </c>
      <c r="F812" s="79" t="str">
        <f>A803</f>
        <v>Derived gas fired power plants</v>
      </c>
      <c r="G812" s="79" t="str">
        <f>B803</f>
        <v>Steam turbine</v>
      </c>
      <c r="H812" s="79" t="str">
        <f>C811</f>
        <v>Electricity only with CCS</v>
      </c>
      <c r="I812" s="167" t="str">
        <f t="shared" si="89"/>
        <v>M</v>
      </c>
      <c r="J812" s="79" t="s">
        <v>112</v>
      </c>
      <c r="K812" s="79" t="s">
        <v>112</v>
      </c>
      <c r="L812" s="79" t="s">
        <v>112</v>
      </c>
      <c r="M812" s="79" t="s">
        <v>112</v>
      </c>
      <c r="N812" s="79" t="s">
        <v>112</v>
      </c>
      <c r="O812" s="79" t="s">
        <v>112</v>
      </c>
      <c r="P812" s="79" t="s">
        <v>112</v>
      </c>
      <c r="Q812" s="79" t="s">
        <v>112</v>
      </c>
      <c r="R812" s="79" t="s">
        <v>112</v>
      </c>
      <c r="S812" s="79" t="s">
        <v>112</v>
      </c>
      <c r="T812" s="79" t="s">
        <v>112</v>
      </c>
      <c r="U812" s="79" t="s">
        <v>112</v>
      </c>
      <c r="V812" s="79" t="s">
        <v>112</v>
      </c>
      <c r="W812" s="79" t="s">
        <v>112</v>
      </c>
      <c r="X812" s="79" t="s">
        <v>112</v>
      </c>
      <c r="Y812" s="79" t="s">
        <v>112</v>
      </c>
      <c r="Z812" s="79" t="s">
        <v>112</v>
      </c>
      <c r="AA812" s="79" t="s">
        <v>112</v>
      </c>
      <c r="AB812" s="79" t="s">
        <v>112</v>
      </c>
      <c r="AC812" s="79" t="s">
        <v>112</v>
      </c>
      <c r="AD812" s="79" t="s">
        <v>112</v>
      </c>
      <c r="AE812" s="79">
        <v>0.89500000000000002</v>
      </c>
      <c r="AF812" s="79">
        <v>0.89500000000000002</v>
      </c>
      <c r="AG812" s="79">
        <v>0.89500000000000002</v>
      </c>
      <c r="AH812" s="79">
        <v>0.89500000000000002</v>
      </c>
      <c r="AI812" s="79">
        <v>0.89500000000000002</v>
      </c>
      <c r="AJ812" s="79">
        <v>0.89500000000000002</v>
      </c>
      <c r="AK812" s="79">
        <v>0.89500000000000002</v>
      </c>
      <c r="AL812" s="79">
        <v>0.89500000000000002</v>
      </c>
      <c r="AM812" s="79">
        <v>0.89500000000000002</v>
      </c>
      <c r="AN812" s="79">
        <v>0.89500000000000002</v>
      </c>
      <c r="AO812" s="79">
        <v>0.89500000000000002</v>
      </c>
      <c r="AP812" s="79">
        <v>0.89500000000000002</v>
      </c>
      <c r="AQ812" s="79">
        <v>0.89500000000000002</v>
      </c>
      <c r="AR812" s="79">
        <v>0.89500000000000002</v>
      </c>
      <c r="AS812" s="79">
        <v>0.89500000000000002</v>
      </c>
      <c r="AT812" s="79">
        <v>0.89500000000000002</v>
      </c>
      <c r="AU812" s="79">
        <v>0.89500000000000002</v>
      </c>
      <c r="AV812" s="79">
        <v>0.89500000000000002</v>
      </c>
      <c r="AW812" s="79">
        <v>0.89500000000000002</v>
      </c>
      <c r="AX812" s="87">
        <v>0.89500000000000002</v>
      </c>
    </row>
    <row r="813" spans="1:50" x14ac:dyDescent="0.25">
      <c r="A813" s="356"/>
      <c r="B813" s="359"/>
      <c r="C813" s="361" t="s">
        <v>16</v>
      </c>
      <c r="D813" s="2" t="s">
        <v>7</v>
      </c>
      <c r="E813" s="160" t="str">
        <f>A803&amp;"/"&amp;B803&amp;"/"&amp;C813&amp;"/"&amp;D813</f>
        <v>Derived gas fired power plants/Steam turbine/CHP with CCS/L</v>
      </c>
      <c r="F813" s="76" t="str">
        <f>A803</f>
        <v>Derived gas fired power plants</v>
      </c>
      <c r="G813" s="76" t="str">
        <f>B803</f>
        <v>Steam turbine</v>
      </c>
      <c r="H813" s="76" t="str">
        <f>C813</f>
        <v>CHP with CCS</v>
      </c>
      <c r="I813" s="161" t="str">
        <f t="shared" si="89"/>
        <v>L</v>
      </c>
      <c r="J813" s="76" t="s">
        <v>112</v>
      </c>
      <c r="K813" s="76" t="s">
        <v>112</v>
      </c>
      <c r="L813" s="76" t="s">
        <v>112</v>
      </c>
      <c r="M813" s="76" t="s">
        <v>112</v>
      </c>
      <c r="N813" s="76" t="s">
        <v>112</v>
      </c>
      <c r="O813" s="76" t="s">
        <v>112</v>
      </c>
      <c r="P813" s="76" t="s">
        <v>112</v>
      </c>
      <c r="Q813" s="76" t="s">
        <v>112</v>
      </c>
      <c r="R813" s="76" t="s">
        <v>112</v>
      </c>
      <c r="S813" s="76" t="s">
        <v>112</v>
      </c>
      <c r="T813" s="76" t="s">
        <v>112</v>
      </c>
      <c r="U813" s="76" t="s">
        <v>112</v>
      </c>
      <c r="V813" s="76" t="s">
        <v>112</v>
      </c>
      <c r="W813" s="76" t="s">
        <v>112</v>
      </c>
      <c r="X813" s="76" t="s">
        <v>112</v>
      </c>
      <c r="Y813" s="76" t="s">
        <v>112</v>
      </c>
      <c r="Z813" s="76" t="s">
        <v>112</v>
      </c>
      <c r="AA813" s="76" t="s">
        <v>112</v>
      </c>
      <c r="AB813" s="76" t="s">
        <v>112</v>
      </c>
      <c r="AC813" s="76" t="s">
        <v>112</v>
      </c>
      <c r="AD813" s="76" t="s">
        <v>112</v>
      </c>
      <c r="AE813" s="76">
        <v>0.89500000000000002</v>
      </c>
      <c r="AF813" s="76">
        <v>0.89500000000000002</v>
      </c>
      <c r="AG813" s="76">
        <v>0.89500000000000002</v>
      </c>
      <c r="AH813" s="76">
        <v>0.89500000000000002</v>
      </c>
      <c r="AI813" s="76">
        <v>0.89500000000000002</v>
      </c>
      <c r="AJ813" s="76">
        <v>0.89500000000000002</v>
      </c>
      <c r="AK813" s="76">
        <v>0.89500000000000002</v>
      </c>
      <c r="AL813" s="76">
        <v>0.89500000000000002</v>
      </c>
      <c r="AM813" s="76">
        <v>0.89500000000000002</v>
      </c>
      <c r="AN813" s="76">
        <v>0.89500000000000002</v>
      </c>
      <c r="AO813" s="76">
        <v>0.89500000000000002</v>
      </c>
      <c r="AP813" s="76">
        <v>0.89500000000000002</v>
      </c>
      <c r="AQ813" s="76">
        <v>0.89500000000000002</v>
      </c>
      <c r="AR813" s="76">
        <v>0.89500000000000002</v>
      </c>
      <c r="AS813" s="76">
        <v>0.89500000000000002</v>
      </c>
      <c r="AT813" s="76">
        <v>0.89500000000000002</v>
      </c>
      <c r="AU813" s="76">
        <v>0.89500000000000002</v>
      </c>
      <c r="AV813" s="76">
        <v>0.89500000000000002</v>
      </c>
      <c r="AW813" s="76">
        <v>0.89500000000000002</v>
      </c>
      <c r="AX813" s="84">
        <v>0.89500000000000002</v>
      </c>
    </row>
    <row r="814" spans="1:50" x14ac:dyDescent="0.25">
      <c r="A814" s="357"/>
      <c r="B814" s="362"/>
      <c r="C814" s="354"/>
      <c r="D814" s="4" t="s">
        <v>8</v>
      </c>
      <c r="E814" s="168" t="str">
        <f>A803&amp;"/"&amp;B803&amp;"/"&amp;C813&amp;"/"&amp;D814</f>
        <v>Derived gas fired power plants/Steam turbine/CHP with CCS/M</v>
      </c>
      <c r="F814" s="80" t="str">
        <f>A803</f>
        <v>Derived gas fired power plants</v>
      </c>
      <c r="G814" s="80" t="str">
        <f>B803</f>
        <v>Steam turbine</v>
      </c>
      <c r="H814" s="80" t="str">
        <f>C813</f>
        <v>CHP with CCS</v>
      </c>
      <c r="I814" s="169" t="str">
        <f t="shared" si="89"/>
        <v>M</v>
      </c>
      <c r="J814" s="80" t="s">
        <v>112</v>
      </c>
      <c r="K814" s="80" t="s">
        <v>112</v>
      </c>
      <c r="L814" s="80" t="s">
        <v>112</v>
      </c>
      <c r="M814" s="80" t="s">
        <v>112</v>
      </c>
      <c r="N814" s="80" t="s">
        <v>112</v>
      </c>
      <c r="O814" s="80" t="s">
        <v>112</v>
      </c>
      <c r="P814" s="80" t="s">
        <v>112</v>
      </c>
      <c r="Q814" s="80" t="s">
        <v>112</v>
      </c>
      <c r="R814" s="80" t="s">
        <v>112</v>
      </c>
      <c r="S814" s="80" t="s">
        <v>112</v>
      </c>
      <c r="T814" s="80" t="s">
        <v>112</v>
      </c>
      <c r="U814" s="80" t="s">
        <v>112</v>
      </c>
      <c r="V814" s="80" t="s">
        <v>112</v>
      </c>
      <c r="W814" s="80" t="s">
        <v>112</v>
      </c>
      <c r="X814" s="80" t="s">
        <v>112</v>
      </c>
      <c r="Y814" s="80" t="s">
        <v>112</v>
      </c>
      <c r="Z814" s="80" t="s">
        <v>112</v>
      </c>
      <c r="AA814" s="80" t="s">
        <v>112</v>
      </c>
      <c r="AB814" s="80" t="s">
        <v>112</v>
      </c>
      <c r="AC814" s="80" t="s">
        <v>112</v>
      </c>
      <c r="AD814" s="80" t="s">
        <v>112</v>
      </c>
      <c r="AE814" s="80">
        <v>0.89500000000000002</v>
      </c>
      <c r="AF814" s="80">
        <v>0.89500000000000002</v>
      </c>
      <c r="AG814" s="80">
        <v>0.89500000000000002</v>
      </c>
      <c r="AH814" s="80">
        <v>0.89500000000000002</v>
      </c>
      <c r="AI814" s="80">
        <v>0.89500000000000002</v>
      </c>
      <c r="AJ814" s="80">
        <v>0.89500000000000002</v>
      </c>
      <c r="AK814" s="80">
        <v>0.89500000000000002</v>
      </c>
      <c r="AL814" s="80">
        <v>0.89500000000000002</v>
      </c>
      <c r="AM814" s="80">
        <v>0.89500000000000002</v>
      </c>
      <c r="AN814" s="80">
        <v>0.89500000000000002</v>
      </c>
      <c r="AO814" s="80">
        <v>0.89500000000000002</v>
      </c>
      <c r="AP814" s="80">
        <v>0.89500000000000002</v>
      </c>
      <c r="AQ814" s="80">
        <v>0.89500000000000002</v>
      </c>
      <c r="AR814" s="80">
        <v>0.89500000000000002</v>
      </c>
      <c r="AS814" s="80">
        <v>0.89500000000000002</v>
      </c>
      <c r="AT814" s="80">
        <v>0.89500000000000002</v>
      </c>
      <c r="AU814" s="80">
        <v>0.89500000000000002</v>
      </c>
      <c r="AV814" s="80">
        <v>0.89500000000000002</v>
      </c>
      <c r="AW814" s="80">
        <v>0.89500000000000002</v>
      </c>
      <c r="AX814" s="88">
        <v>0.89500000000000002</v>
      </c>
    </row>
    <row r="815" spans="1:50" x14ac:dyDescent="0.25">
      <c r="A815" s="356" t="s">
        <v>27</v>
      </c>
      <c r="B815" s="365" t="s">
        <v>19</v>
      </c>
      <c r="C815" s="353" t="s">
        <v>6</v>
      </c>
      <c r="D815" s="2" t="s">
        <v>7</v>
      </c>
      <c r="E815" s="162" t="str">
        <f>A815&amp;"/"&amp;B815&amp;"/"&amp;C815&amp;"/"&amp;D815</f>
        <v>Refinery gas fired power plants/Steam turbine/Electricity only/L</v>
      </c>
      <c r="F815" s="77" t="str">
        <f>A815</f>
        <v>Refinery gas fired power plants</v>
      </c>
      <c r="G815" s="77" t="str">
        <f>B815</f>
        <v>Steam turbine</v>
      </c>
      <c r="H815" s="77" t="str">
        <f>C815</f>
        <v>Electricity only</v>
      </c>
      <c r="I815" s="163" t="str">
        <f t="shared" ref="I815:I878" si="90">D815</f>
        <v>L</v>
      </c>
      <c r="J815" s="77">
        <v>0.90500000000000003</v>
      </c>
      <c r="K815" s="77">
        <v>0.90500000000000003</v>
      </c>
      <c r="L815" s="77">
        <v>0.90500000000000003</v>
      </c>
      <c r="M815" s="77">
        <v>0.90500000000000003</v>
      </c>
      <c r="N815" s="77">
        <v>0.90500000000000003</v>
      </c>
      <c r="O815" s="77">
        <v>0.90500000000000003</v>
      </c>
      <c r="P815" s="77">
        <v>0.90500000000000003</v>
      </c>
      <c r="Q815" s="77">
        <v>0.90500000000000003</v>
      </c>
      <c r="R815" s="77">
        <v>0.90500000000000003</v>
      </c>
      <c r="S815" s="77">
        <v>0.90500000000000003</v>
      </c>
      <c r="T815" s="77">
        <v>0.90500000000000003</v>
      </c>
      <c r="U815" s="77">
        <v>0.90500000000000003</v>
      </c>
      <c r="V815" s="77">
        <v>0.90500000000000003</v>
      </c>
      <c r="W815" s="77">
        <v>0.90500000000000003</v>
      </c>
      <c r="X815" s="77">
        <v>0.90500000000000003</v>
      </c>
      <c r="Y815" s="77">
        <v>0.90500000000000003</v>
      </c>
      <c r="Z815" s="77">
        <v>0.90500000000000003</v>
      </c>
      <c r="AA815" s="77">
        <v>0.90500000000000003</v>
      </c>
      <c r="AB815" s="77">
        <v>0.90500000000000003</v>
      </c>
      <c r="AC815" s="77">
        <v>0.90500000000000003</v>
      </c>
      <c r="AD815" s="77">
        <v>0.90500000000000003</v>
      </c>
      <c r="AE815" s="77">
        <v>0.90500000000000003</v>
      </c>
      <c r="AF815" s="77">
        <v>0.90500000000000003</v>
      </c>
      <c r="AG815" s="77">
        <v>0.90500000000000003</v>
      </c>
      <c r="AH815" s="77">
        <v>0.90500000000000003</v>
      </c>
      <c r="AI815" s="77">
        <v>0.90500000000000003</v>
      </c>
      <c r="AJ815" s="77">
        <v>0.90500000000000003</v>
      </c>
      <c r="AK815" s="77">
        <v>0.90500000000000003</v>
      </c>
      <c r="AL815" s="77">
        <v>0.90500000000000003</v>
      </c>
      <c r="AM815" s="77">
        <v>0.90500000000000003</v>
      </c>
      <c r="AN815" s="77">
        <v>0.90500000000000003</v>
      </c>
      <c r="AO815" s="77">
        <v>0.90500000000000003</v>
      </c>
      <c r="AP815" s="77">
        <v>0.90500000000000003</v>
      </c>
      <c r="AQ815" s="77">
        <v>0.90500000000000003</v>
      </c>
      <c r="AR815" s="77">
        <v>0.90500000000000003</v>
      </c>
      <c r="AS815" s="77">
        <v>0.90500000000000003</v>
      </c>
      <c r="AT815" s="77">
        <v>0.90500000000000003</v>
      </c>
      <c r="AU815" s="77">
        <v>0.90500000000000003</v>
      </c>
      <c r="AV815" s="77">
        <v>0.90500000000000003</v>
      </c>
      <c r="AW815" s="77">
        <v>0.90500000000000003</v>
      </c>
      <c r="AX815" s="85">
        <v>0.90500000000000003</v>
      </c>
    </row>
    <row r="816" spans="1:50" x14ac:dyDescent="0.25">
      <c r="A816" s="356"/>
      <c r="B816" s="366"/>
      <c r="C816" s="350"/>
      <c r="D816" s="2" t="s">
        <v>8</v>
      </c>
      <c r="E816" s="160" t="str">
        <f>A815&amp;"/"&amp;B815&amp;"/"&amp;C815&amp;"/"&amp;D816</f>
        <v>Refinery gas fired power plants/Steam turbine/Electricity only/M</v>
      </c>
      <c r="F816" s="76" t="str">
        <f>A815</f>
        <v>Refinery gas fired power plants</v>
      </c>
      <c r="G816" s="76" t="str">
        <f>B815</f>
        <v>Steam turbine</v>
      </c>
      <c r="H816" s="76" t="str">
        <f>C815</f>
        <v>Electricity only</v>
      </c>
      <c r="I816" s="161" t="str">
        <f t="shared" si="90"/>
        <v>M</v>
      </c>
      <c r="J816" s="76">
        <v>0.90500000000000003</v>
      </c>
      <c r="K816" s="76">
        <v>0.90500000000000003</v>
      </c>
      <c r="L816" s="76">
        <v>0.90500000000000003</v>
      </c>
      <c r="M816" s="76">
        <v>0.90500000000000003</v>
      </c>
      <c r="N816" s="76">
        <v>0.90500000000000003</v>
      </c>
      <c r="O816" s="76">
        <v>0.90500000000000003</v>
      </c>
      <c r="P816" s="76">
        <v>0.90500000000000003</v>
      </c>
      <c r="Q816" s="76">
        <v>0.90500000000000003</v>
      </c>
      <c r="R816" s="76">
        <v>0.90500000000000003</v>
      </c>
      <c r="S816" s="76">
        <v>0.90500000000000003</v>
      </c>
      <c r="T816" s="76">
        <v>0.90500000000000003</v>
      </c>
      <c r="U816" s="76">
        <v>0.90500000000000003</v>
      </c>
      <c r="V816" s="76">
        <v>0.90500000000000003</v>
      </c>
      <c r="W816" s="76">
        <v>0.90500000000000003</v>
      </c>
      <c r="X816" s="76">
        <v>0.90500000000000003</v>
      </c>
      <c r="Y816" s="76">
        <v>0.90500000000000003</v>
      </c>
      <c r="Z816" s="76">
        <v>0.90500000000000003</v>
      </c>
      <c r="AA816" s="76">
        <v>0.90500000000000003</v>
      </c>
      <c r="AB816" s="76">
        <v>0.90500000000000003</v>
      </c>
      <c r="AC816" s="76">
        <v>0.90500000000000003</v>
      </c>
      <c r="AD816" s="76">
        <v>0.90500000000000003</v>
      </c>
      <c r="AE816" s="76">
        <v>0.90500000000000003</v>
      </c>
      <c r="AF816" s="76">
        <v>0.90500000000000003</v>
      </c>
      <c r="AG816" s="76">
        <v>0.90500000000000003</v>
      </c>
      <c r="AH816" s="76">
        <v>0.90500000000000003</v>
      </c>
      <c r="AI816" s="76">
        <v>0.90500000000000003</v>
      </c>
      <c r="AJ816" s="76">
        <v>0.90500000000000003</v>
      </c>
      <c r="AK816" s="76">
        <v>0.90500000000000003</v>
      </c>
      <c r="AL816" s="76">
        <v>0.90500000000000003</v>
      </c>
      <c r="AM816" s="76">
        <v>0.90500000000000003</v>
      </c>
      <c r="AN816" s="76">
        <v>0.90500000000000003</v>
      </c>
      <c r="AO816" s="76">
        <v>0.90500000000000003</v>
      </c>
      <c r="AP816" s="76">
        <v>0.90500000000000003</v>
      </c>
      <c r="AQ816" s="76">
        <v>0.90500000000000003</v>
      </c>
      <c r="AR816" s="76">
        <v>0.90500000000000003</v>
      </c>
      <c r="AS816" s="76">
        <v>0.90500000000000003</v>
      </c>
      <c r="AT816" s="76">
        <v>0.90500000000000003</v>
      </c>
      <c r="AU816" s="76">
        <v>0.90500000000000003</v>
      </c>
      <c r="AV816" s="76">
        <v>0.90500000000000003</v>
      </c>
      <c r="AW816" s="76">
        <v>0.90500000000000003</v>
      </c>
      <c r="AX816" s="84">
        <v>0.90500000000000003</v>
      </c>
    </row>
    <row r="817" spans="1:50" x14ac:dyDescent="0.25">
      <c r="A817" s="356"/>
      <c r="B817" s="366"/>
      <c r="C817" s="360"/>
      <c r="D817" s="2" t="s">
        <v>10</v>
      </c>
      <c r="E817" s="160" t="str">
        <f>A815&amp;"/"&amp;B815&amp;"/"&amp;C815&amp;"/"&amp;D817</f>
        <v>Refinery gas fired power plants/Steam turbine/Electricity only/S</v>
      </c>
      <c r="F817" s="76" t="str">
        <f>A815</f>
        <v>Refinery gas fired power plants</v>
      </c>
      <c r="G817" s="76" t="str">
        <f>B815</f>
        <v>Steam turbine</v>
      </c>
      <c r="H817" s="76" t="str">
        <f>C815</f>
        <v>Electricity only</v>
      </c>
      <c r="I817" s="161" t="str">
        <f t="shared" si="90"/>
        <v>S</v>
      </c>
      <c r="J817" s="76">
        <v>0.90500000000000003</v>
      </c>
      <c r="K817" s="76">
        <v>0.90500000000000003</v>
      </c>
      <c r="L817" s="76">
        <v>0.90500000000000003</v>
      </c>
      <c r="M817" s="76">
        <v>0.90500000000000003</v>
      </c>
      <c r="N817" s="76">
        <v>0.90500000000000003</v>
      </c>
      <c r="O817" s="76">
        <v>0.90500000000000003</v>
      </c>
      <c r="P817" s="76">
        <v>0.90500000000000003</v>
      </c>
      <c r="Q817" s="76">
        <v>0.90500000000000003</v>
      </c>
      <c r="R817" s="76">
        <v>0.90500000000000003</v>
      </c>
      <c r="S817" s="76">
        <v>0.90500000000000003</v>
      </c>
      <c r="T817" s="76">
        <v>0.90500000000000003</v>
      </c>
      <c r="U817" s="76">
        <v>0.90500000000000003</v>
      </c>
      <c r="V817" s="76">
        <v>0.90500000000000003</v>
      </c>
      <c r="W817" s="76">
        <v>0.90500000000000003</v>
      </c>
      <c r="X817" s="76">
        <v>0.90500000000000003</v>
      </c>
      <c r="Y817" s="76">
        <v>0.90500000000000003</v>
      </c>
      <c r="Z817" s="76">
        <v>0.90500000000000003</v>
      </c>
      <c r="AA817" s="76">
        <v>0.90500000000000003</v>
      </c>
      <c r="AB817" s="76">
        <v>0.90500000000000003</v>
      </c>
      <c r="AC817" s="76">
        <v>0.90500000000000003</v>
      </c>
      <c r="AD817" s="76">
        <v>0.90500000000000003</v>
      </c>
      <c r="AE817" s="76">
        <v>0.90500000000000003</v>
      </c>
      <c r="AF817" s="76">
        <v>0.90500000000000003</v>
      </c>
      <c r="AG817" s="76">
        <v>0.90500000000000003</v>
      </c>
      <c r="AH817" s="76">
        <v>0.90500000000000003</v>
      </c>
      <c r="AI817" s="76">
        <v>0.90500000000000003</v>
      </c>
      <c r="AJ817" s="76">
        <v>0.90500000000000003</v>
      </c>
      <c r="AK817" s="76">
        <v>0.90500000000000003</v>
      </c>
      <c r="AL817" s="76">
        <v>0.90500000000000003</v>
      </c>
      <c r="AM817" s="76">
        <v>0.90500000000000003</v>
      </c>
      <c r="AN817" s="76">
        <v>0.90500000000000003</v>
      </c>
      <c r="AO817" s="76">
        <v>0.90500000000000003</v>
      </c>
      <c r="AP817" s="76">
        <v>0.90500000000000003</v>
      </c>
      <c r="AQ817" s="76">
        <v>0.90500000000000003</v>
      </c>
      <c r="AR817" s="76">
        <v>0.90500000000000003</v>
      </c>
      <c r="AS817" s="76">
        <v>0.90500000000000003</v>
      </c>
      <c r="AT817" s="76">
        <v>0.90500000000000003</v>
      </c>
      <c r="AU817" s="76">
        <v>0.90500000000000003</v>
      </c>
      <c r="AV817" s="76">
        <v>0.90500000000000003</v>
      </c>
      <c r="AW817" s="76">
        <v>0.90500000000000003</v>
      </c>
      <c r="AX817" s="84">
        <v>0.90500000000000003</v>
      </c>
    </row>
    <row r="818" spans="1:50" x14ac:dyDescent="0.25">
      <c r="A818" s="356"/>
      <c r="B818" s="366"/>
      <c r="C818" s="361" t="s">
        <v>14</v>
      </c>
      <c r="D818" s="58" t="s">
        <v>7</v>
      </c>
      <c r="E818" s="164" t="str">
        <f>A815&amp;"/"&amp;B815&amp;"/"&amp;C818&amp;"/"&amp;D818</f>
        <v>Refinery gas fired power plants/Steam turbine/CHP/L</v>
      </c>
      <c r="F818" s="78" t="str">
        <f>A815</f>
        <v>Refinery gas fired power plants</v>
      </c>
      <c r="G818" s="78" t="str">
        <f>B815</f>
        <v>Steam turbine</v>
      </c>
      <c r="H818" s="78" t="str">
        <f>C818</f>
        <v>CHP</v>
      </c>
      <c r="I818" s="165" t="str">
        <f t="shared" si="90"/>
        <v>L</v>
      </c>
      <c r="J818" s="78">
        <v>0.90500000000000003</v>
      </c>
      <c r="K818" s="78">
        <v>0.90500000000000003</v>
      </c>
      <c r="L818" s="78">
        <v>0.90500000000000003</v>
      </c>
      <c r="M818" s="78">
        <v>0.90500000000000003</v>
      </c>
      <c r="N818" s="78">
        <v>0.90500000000000003</v>
      </c>
      <c r="O818" s="78">
        <v>0.90500000000000003</v>
      </c>
      <c r="P818" s="78">
        <v>0.90500000000000003</v>
      </c>
      <c r="Q818" s="78">
        <v>0.90500000000000003</v>
      </c>
      <c r="R818" s="78">
        <v>0.90500000000000003</v>
      </c>
      <c r="S818" s="78">
        <v>0.90500000000000003</v>
      </c>
      <c r="T818" s="78">
        <v>0.90500000000000003</v>
      </c>
      <c r="U818" s="78">
        <v>0.90500000000000003</v>
      </c>
      <c r="V818" s="78">
        <v>0.90500000000000003</v>
      </c>
      <c r="W818" s="78">
        <v>0.90500000000000003</v>
      </c>
      <c r="X818" s="78">
        <v>0.90500000000000003</v>
      </c>
      <c r="Y818" s="78">
        <v>0.90500000000000003</v>
      </c>
      <c r="Z818" s="78">
        <v>0.90500000000000003</v>
      </c>
      <c r="AA818" s="78">
        <v>0.90500000000000003</v>
      </c>
      <c r="AB818" s="78">
        <v>0.90500000000000003</v>
      </c>
      <c r="AC818" s="78">
        <v>0.90500000000000003</v>
      </c>
      <c r="AD818" s="78">
        <v>0.90500000000000003</v>
      </c>
      <c r="AE818" s="78">
        <v>0.90500000000000003</v>
      </c>
      <c r="AF818" s="78">
        <v>0.90500000000000003</v>
      </c>
      <c r="AG818" s="78">
        <v>0.90500000000000003</v>
      </c>
      <c r="AH818" s="78">
        <v>0.90500000000000003</v>
      </c>
      <c r="AI818" s="78">
        <v>0.90500000000000003</v>
      </c>
      <c r="AJ818" s="78">
        <v>0.90500000000000003</v>
      </c>
      <c r="AK818" s="78">
        <v>0.90500000000000003</v>
      </c>
      <c r="AL818" s="78">
        <v>0.90500000000000003</v>
      </c>
      <c r="AM818" s="78">
        <v>0.90500000000000003</v>
      </c>
      <c r="AN818" s="78">
        <v>0.90500000000000003</v>
      </c>
      <c r="AO818" s="78">
        <v>0.90500000000000003</v>
      </c>
      <c r="AP818" s="78">
        <v>0.90500000000000003</v>
      </c>
      <c r="AQ818" s="78">
        <v>0.90500000000000003</v>
      </c>
      <c r="AR818" s="78">
        <v>0.90500000000000003</v>
      </c>
      <c r="AS818" s="78">
        <v>0.90500000000000003</v>
      </c>
      <c r="AT818" s="78">
        <v>0.90500000000000003</v>
      </c>
      <c r="AU818" s="78">
        <v>0.90500000000000003</v>
      </c>
      <c r="AV818" s="78">
        <v>0.90500000000000003</v>
      </c>
      <c r="AW818" s="78">
        <v>0.90500000000000003</v>
      </c>
      <c r="AX818" s="86">
        <v>0.90500000000000003</v>
      </c>
    </row>
    <row r="819" spans="1:50" x14ac:dyDescent="0.25">
      <c r="A819" s="356"/>
      <c r="B819" s="366"/>
      <c r="C819" s="350"/>
      <c r="D819" s="2" t="s">
        <v>8</v>
      </c>
      <c r="E819" s="160" t="str">
        <f>A815&amp;"/"&amp;B815&amp;"/"&amp;C818&amp;"/"&amp;D819</f>
        <v>Refinery gas fired power plants/Steam turbine/CHP/M</v>
      </c>
      <c r="F819" s="76" t="str">
        <f>A815</f>
        <v>Refinery gas fired power plants</v>
      </c>
      <c r="G819" s="76" t="str">
        <f>B815</f>
        <v>Steam turbine</v>
      </c>
      <c r="H819" s="76" t="str">
        <f>C818</f>
        <v>CHP</v>
      </c>
      <c r="I819" s="161" t="str">
        <f t="shared" si="90"/>
        <v>M</v>
      </c>
      <c r="J819" s="76">
        <v>0.90500000000000003</v>
      </c>
      <c r="K819" s="76">
        <v>0.90500000000000003</v>
      </c>
      <c r="L819" s="76">
        <v>0.90500000000000003</v>
      </c>
      <c r="M819" s="76">
        <v>0.90500000000000003</v>
      </c>
      <c r="N819" s="76">
        <v>0.90500000000000003</v>
      </c>
      <c r="O819" s="76">
        <v>0.90500000000000003</v>
      </c>
      <c r="P819" s="76">
        <v>0.90500000000000003</v>
      </c>
      <c r="Q819" s="76">
        <v>0.90500000000000003</v>
      </c>
      <c r="R819" s="76">
        <v>0.90500000000000003</v>
      </c>
      <c r="S819" s="76">
        <v>0.90500000000000003</v>
      </c>
      <c r="T819" s="76">
        <v>0.90500000000000003</v>
      </c>
      <c r="U819" s="76">
        <v>0.90500000000000003</v>
      </c>
      <c r="V819" s="76">
        <v>0.90500000000000003</v>
      </c>
      <c r="W819" s="76">
        <v>0.90500000000000003</v>
      </c>
      <c r="X819" s="76">
        <v>0.90500000000000003</v>
      </c>
      <c r="Y819" s="76">
        <v>0.90500000000000003</v>
      </c>
      <c r="Z819" s="76">
        <v>0.90500000000000003</v>
      </c>
      <c r="AA819" s="76">
        <v>0.90500000000000003</v>
      </c>
      <c r="AB819" s="76">
        <v>0.90500000000000003</v>
      </c>
      <c r="AC819" s="76">
        <v>0.90500000000000003</v>
      </c>
      <c r="AD819" s="76">
        <v>0.90500000000000003</v>
      </c>
      <c r="AE819" s="76">
        <v>0.90500000000000003</v>
      </c>
      <c r="AF819" s="76">
        <v>0.90500000000000003</v>
      </c>
      <c r="AG819" s="76">
        <v>0.90500000000000003</v>
      </c>
      <c r="AH819" s="76">
        <v>0.90500000000000003</v>
      </c>
      <c r="AI819" s="76">
        <v>0.90500000000000003</v>
      </c>
      <c r="AJ819" s="76">
        <v>0.90500000000000003</v>
      </c>
      <c r="AK819" s="76">
        <v>0.90500000000000003</v>
      </c>
      <c r="AL819" s="76">
        <v>0.90500000000000003</v>
      </c>
      <c r="AM819" s="76">
        <v>0.90500000000000003</v>
      </c>
      <c r="AN819" s="76">
        <v>0.90500000000000003</v>
      </c>
      <c r="AO819" s="76">
        <v>0.90500000000000003</v>
      </c>
      <c r="AP819" s="76">
        <v>0.90500000000000003</v>
      </c>
      <c r="AQ819" s="76">
        <v>0.90500000000000003</v>
      </c>
      <c r="AR819" s="76">
        <v>0.90500000000000003</v>
      </c>
      <c r="AS819" s="76">
        <v>0.90500000000000003</v>
      </c>
      <c r="AT819" s="76">
        <v>0.90500000000000003</v>
      </c>
      <c r="AU819" s="76">
        <v>0.90500000000000003</v>
      </c>
      <c r="AV819" s="76">
        <v>0.90500000000000003</v>
      </c>
      <c r="AW819" s="76">
        <v>0.90500000000000003</v>
      </c>
      <c r="AX819" s="84">
        <v>0.90500000000000003</v>
      </c>
    </row>
    <row r="820" spans="1:50" x14ac:dyDescent="0.25">
      <c r="A820" s="356"/>
      <c r="B820" s="366"/>
      <c r="C820" s="360"/>
      <c r="D820" s="59" t="s">
        <v>10</v>
      </c>
      <c r="E820" s="166" t="str">
        <f>A815&amp;"/"&amp;B815&amp;"/"&amp;C818&amp;"/"&amp;D820</f>
        <v>Refinery gas fired power plants/Steam turbine/CHP/S</v>
      </c>
      <c r="F820" s="79" t="str">
        <f>A815</f>
        <v>Refinery gas fired power plants</v>
      </c>
      <c r="G820" s="79" t="str">
        <f>B815</f>
        <v>Steam turbine</v>
      </c>
      <c r="H820" s="79" t="str">
        <f>C818</f>
        <v>CHP</v>
      </c>
      <c r="I820" s="167" t="str">
        <f t="shared" si="90"/>
        <v>S</v>
      </c>
      <c r="J820" s="79">
        <v>0.90500000000000003</v>
      </c>
      <c r="K820" s="79">
        <v>0.90500000000000003</v>
      </c>
      <c r="L820" s="79">
        <v>0.90500000000000003</v>
      </c>
      <c r="M820" s="79">
        <v>0.90500000000000003</v>
      </c>
      <c r="N820" s="79">
        <v>0.90500000000000003</v>
      </c>
      <c r="O820" s="79">
        <v>0.90500000000000003</v>
      </c>
      <c r="P820" s="79">
        <v>0.90500000000000003</v>
      </c>
      <c r="Q820" s="79">
        <v>0.90500000000000003</v>
      </c>
      <c r="R820" s="79">
        <v>0.90500000000000003</v>
      </c>
      <c r="S820" s="79">
        <v>0.90500000000000003</v>
      </c>
      <c r="T820" s="79">
        <v>0.90500000000000003</v>
      </c>
      <c r="U820" s="79">
        <v>0.90500000000000003</v>
      </c>
      <c r="V820" s="79">
        <v>0.90500000000000003</v>
      </c>
      <c r="W820" s="79">
        <v>0.90500000000000003</v>
      </c>
      <c r="X820" s="79">
        <v>0.90500000000000003</v>
      </c>
      <c r="Y820" s="79">
        <v>0.90500000000000003</v>
      </c>
      <c r="Z820" s="79">
        <v>0.90500000000000003</v>
      </c>
      <c r="AA820" s="79">
        <v>0.90500000000000003</v>
      </c>
      <c r="AB820" s="79">
        <v>0.90500000000000003</v>
      </c>
      <c r="AC820" s="79">
        <v>0.90500000000000003</v>
      </c>
      <c r="AD820" s="79">
        <v>0.90500000000000003</v>
      </c>
      <c r="AE820" s="79">
        <v>0.90500000000000003</v>
      </c>
      <c r="AF820" s="79">
        <v>0.90500000000000003</v>
      </c>
      <c r="AG820" s="79">
        <v>0.90500000000000003</v>
      </c>
      <c r="AH820" s="79">
        <v>0.90500000000000003</v>
      </c>
      <c r="AI820" s="79">
        <v>0.90500000000000003</v>
      </c>
      <c r="AJ820" s="79">
        <v>0.90500000000000003</v>
      </c>
      <c r="AK820" s="79">
        <v>0.90500000000000003</v>
      </c>
      <c r="AL820" s="79">
        <v>0.90500000000000003</v>
      </c>
      <c r="AM820" s="79">
        <v>0.90500000000000003</v>
      </c>
      <c r="AN820" s="79">
        <v>0.90500000000000003</v>
      </c>
      <c r="AO820" s="79">
        <v>0.90500000000000003</v>
      </c>
      <c r="AP820" s="79">
        <v>0.90500000000000003</v>
      </c>
      <c r="AQ820" s="79">
        <v>0.90500000000000003</v>
      </c>
      <c r="AR820" s="79">
        <v>0.90500000000000003</v>
      </c>
      <c r="AS820" s="79">
        <v>0.90500000000000003</v>
      </c>
      <c r="AT820" s="79">
        <v>0.90500000000000003</v>
      </c>
      <c r="AU820" s="79">
        <v>0.90500000000000003</v>
      </c>
      <c r="AV820" s="79">
        <v>0.90500000000000003</v>
      </c>
      <c r="AW820" s="79">
        <v>0.90500000000000003</v>
      </c>
      <c r="AX820" s="87">
        <v>0.90500000000000003</v>
      </c>
    </row>
    <row r="821" spans="1:50" x14ac:dyDescent="0.25">
      <c r="A821" s="356"/>
      <c r="B821" s="366"/>
      <c r="C821" s="361" t="s">
        <v>15</v>
      </c>
      <c r="D821" s="58" t="s">
        <v>7</v>
      </c>
      <c r="E821" s="164" t="str">
        <f>A815&amp;"/"&amp;B815&amp;"/"&amp;C821&amp;"/"&amp;D821</f>
        <v>Refinery gas fired power plants/Steam turbine/Electricity only with CCS/L</v>
      </c>
      <c r="F821" s="78" t="str">
        <f>A815</f>
        <v>Refinery gas fired power plants</v>
      </c>
      <c r="G821" s="78" t="str">
        <f>B815</f>
        <v>Steam turbine</v>
      </c>
      <c r="H821" s="78" t="str">
        <f>C821</f>
        <v>Electricity only with CCS</v>
      </c>
      <c r="I821" s="165" t="str">
        <f t="shared" si="90"/>
        <v>L</v>
      </c>
      <c r="J821" s="78" t="s">
        <v>112</v>
      </c>
      <c r="K821" s="78" t="s">
        <v>112</v>
      </c>
      <c r="L821" s="78" t="s">
        <v>112</v>
      </c>
      <c r="M821" s="78" t="s">
        <v>112</v>
      </c>
      <c r="N821" s="78" t="s">
        <v>112</v>
      </c>
      <c r="O821" s="78" t="s">
        <v>112</v>
      </c>
      <c r="P821" s="78" t="s">
        <v>112</v>
      </c>
      <c r="Q821" s="78" t="s">
        <v>112</v>
      </c>
      <c r="R821" s="78" t="s">
        <v>112</v>
      </c>
      <c r="S821" s="78" t="s">
        <v>112</v>
      </c>
      <c r="T821" s="78" t="s">
        <v>112</v>
      </c>
      <c r="U821" s="78" t="s">
        <v>112</v>
      </c>
      <c r="V821" s="78" t="s">
        <v>112</v>
      </c>
      <c r="W821" s="78" t="s">
        <v>112</v>
      </c>
      <c r="X821" s="78" t="s">
        <v>112</v>
      </c>
      <c r="Y821" s="78" t="s">
        <v>112</v>
      </c>
      <c r="Z821" s="78" t="s">
        <v>112</v>
      </c>
      <c r="AA821" s="78" t="s">
        <v>112</v>
      </c>
      <c r="AB821" s="78" t="s">
        <v>112</v>
      </c>
      <c r="AC821" s="78" t="s">
        <v>112</v>
      </c>
      <c r="AD821" s="78" t="s">
        <v>112</v>
      </c>
      <c r="AE821" s="78">
        <v>0.90500000000000003</v>
      </c>
      <c r="AF821" s="78">
        <v>0.90500000000000003</v>
      </c>
      <c r="AG821" s="78">
        <v>0.90500000000000003</v>
      </c>
      <c r="AH821" s="78">
        <v>0.90500000000000003</v>
      </c>
      <c r="AI821" s="78">
        <v>0.90500000000000003</v>
      </c>
      <c r="AJ821" s="78">
        <v>0.90500000000000003</v>
      </c>
      <c r="AK821" s="78">
        <v>0.90500000000000003</v>
      </c>
      <c r="AL821" s="78">
        <v>0.90500000000000003</v>
      </c>
      <c r="AM821" s="78">
        <v>0.90500000000000003</v>
      </c>
      <c r="AN821" s="78">
        <v>0.90500000000000003</v>
      </c>
      <c r="AO821" s="78">
        <v>0.90500000000000003</v>
      </c>
      <c r="AP821" s="78">
        <v>0.90500000000000003</v>
      </c>
      <c r="AQ821" s="78">
        <v>0.90500000000000003</v>
      </c>
      <c r="AR821" s="78">
        <v>0.90500000000000003</v>
      </c>
      <c r="AS821" s="78">
        <v>0.90500000000000003</v>
      </c>
      <c r="AT821" s="78">
        <v>0.90500000000000003</v>
      </c>
      <c r="AU821" s="78">
        <v>0.90500000000000003</v>
      </c>
      <c r="AV821" s="78">
        <v>0.90500000000000003</v>
      </c>
      <c r="AW821" s="78">
        <v>0.90500000000000003</v>
      </c>
      <c r="AX821" s="86">
        <v>0.90500000000000003</v>
      </c>
    </row>
    <row r="822" spans="1:50" x14ac:dyDescent="0.25">
      <c r="A822" s="356"/>
      <c r="B822" s="366"/>
      <c r="C822" s="360"/>
      <c r="D822" s="59" t="s">
        <v>8</v>
      </c>
      <c r="E822" s="166" t="str">
        <f>A815&amp;"/"&amp;B815&amp;"/"&amp;C821&amp;"/"&amp;D822</f>
        <v>Refinery gas fired power plants/Steam turbine/Electricity only with CCS/M</v>
      </c>
      <c r="F822" s="79" t="str">
        <f>A815</f>
        <v>Refinery gas fired power plants</v>
      </c>
      <c r="G822" s="79" t="str">
        <f>B815</f>
        <v>Steam turbine</v>
      </c>
      <c r="H822" s="79" t="str">
        <f>C821</f>
        <v>Electricity only with CCS</v>
      </c>
      <c r="I822" s="167" t="str">
        <f t="shared" si="90"/>
        <v>M</v>
      </c>
      <c r="J822" s="79" t="s">
        <v>112</v>
      </c>
      <c r="K822" s="79" t="s">
        <v>112</v>
      </c>
      <c r="L822" s="79" t="s">
        <v>112</v>
      </c>
      <c r="M822" s="79" t="s">
        <v>112</v>
      </c>
      <c r="N822" s="79" t="s">
        <v>112</v>
      </c>
      <c r="O822" s="79" t="s">
        <v>112</v>
      </c>
      <c r="P822" s="79" t="s">
        <v>112</v>
      </c>
      <c r="Q822" s="79" t="s">
        <v>112</v>
      </c>
      <c r="R822" s="79" t="s">
        <v>112</v>
      </c>
      <c r="S822" s="79" t="s">
        <v>112</v>
      </c>
      <c r="T822" s="79" t="s">
        <v>112</v>
      </c>
      <c r="U822" s="79" t="s">
        <v>112</v>
      </c>
      <c r="V822" s="79" t="s">
        <v>112</v>
      </c>
      <c r="W822" s="79" t="s">
        <v>112</v>
      </c>
      <c r="X822" s="79" t="s">
        <v>112</v>
      </c>
      <c r="Y822" s="79" t="s">
        <v>112</v>
      </c>
      <c r="Z822" s="79" t="s">
        <v>112</v>
      </c>
      <c r="AA822" s="79" t="s">
        <v>112</v>
      </c>
      <c r="AB822" s="79" t="s">
        <v>112</v>
      </c>
      <c r="AC822" s="79" t="s">
        <v>112</v>
      </c>
      <c r="AD822" s="79" t="s">
        <v>112</v>
      </c>
      <c r="AE822" s="79">
        <v>0.90500000000000003</v>
      </c>
      <c r="AF822" s="79">
        <v>0.90500000000000003</v>
      </c>
      <c r="AG822" s="79">
        <v>0.90500000000000003</v>
      </c>
      <c r="AH822" s="79">
        <v>0.90500000000000003</v>
      </c>
      <c r="AI822" s="79">
        <v>0.90500000000000003</v>
      </c>
      <c r="AJ822" s="79">
        <v>0.90500000000000003</v>
      </c>
      <c r="AK822" s="79">
        <v>0.90500000000000003</v>
      </c>
      <c r="AL822" s="79">
        <v>0.90500000000000003</v>
      </c>
      <c r="AM822" s="79">
        <v>0.90500000000000003</v>
      </c>
      <c r="AN822" s="79">
        <v>0.90500000000000003</v>
      </c>
      <c r="AO822" s="79">
        <v>0.90500000000000003</v>
      </c>
      <c r="AP822" s="79">
        <v>0.90500000000000003</v>
      </c>
      <c r="AQ822" s="79">
        <v>0.90500000000000003</v>
      </c>
      <c r="AR822" s="79">
        <v>0.90500000000000003</v>
      </c>
      <c r="AS822" s="79">
        <v>0.90500000000000003</v>
      </c>
      <c r="AT822" s="79">
        <v>0.90500000000000003</v>
      </c>
      <c r="AU822" s="79">
        <v>0.90500000000000003</v>
      </c>
      <c r="AV822" s="79">
        <v>0.90500000000000003</v>
      </c>
      <c r="AW822" s="79">
        <v>0.90500000000000003</v>
      </c>
      <c r="AX822" s="87">
        <v>0.90500000000000003</v>
      </c>
    </row>
    <row r="823" spans="1:50" x14ac:dyDescent="0.25">
      <c r="A823" s="356"/>
      <c r="B823" s="366"/>
      <c r="C823" s="361" t="s">
        <v>16</v>
      </c>
      <c r="D823" s="2" t="s">
        <v>7</v>
      </c>
      <c r="E823" s="160" t="str">
        <f>A815&amp;"/"&amp;B815&amp;"/"&amp;C823&amp;"/"&amp;D823</f>
        <v>Refinery gas fired power plants/Steam turbine/CHP with CCS/L</v>
      </c>
      <c r="F823" s="76" t="str">
        <f>A815</f>
        <v>Refinery gas fired power plants</v>
      </c>
      <c r="G823" s="76" t="str">
        <f>B815</f>
        <v>Steam turbine</v>
      </c>
      <c r="H823" s="76" t="str">
        <f>C823</f>
        <v>CHP with CCS</v>
      </c>
      <c r="I823" s="161" t="str">
        <f t="shared" si="90"/>
        <v>L</v>
      </c>
      <c r="J823" s="76" t="s">
        <v>112</v>
      </c>
      <c r="K823" s="76" t="s">
        <v>112</v>
      </c>
      <c r="L823" s="76" t="s">
        <v>112</v>
      </c>
      <c r="M823" s="76" t="s">
        <v>112</v>
      </c>
      <c r="N823" s="76" t="s">
        <v>112</v>
      </c>
      <c r="O823" s="76" t="s">
        <v>112</v>
      </c>
      <c r="P823" s="76" t="s">
        <v>112</v>
      </c>
      <c r="Q823" s="76" t="s">
        <v>112</v>
      </c>
      <c r="R823" s="76" t="s">
        <v>112</v>
      </c>
      <c r="S823" s="76" t="s">
        <v>112</v>
      </c>
      <c r="T823" s="76" t="s">
        <v>112</v>
      </c>
      <c r="U823" s="76" t="s">
        <v>112</v>
      </c>
      <c r="V823" s="76" t="s">
        <v>112</v>
      </c>
      <c r="W823" s="76" t="s">
        <v>112</v>
      </c>
      <c r="X823" s="76" t="s">
        <v>112</v>
      </c>
      <c r="Y823" s="76" t="s">
        <v>112</v>
      </c>
      <c r="Z823" s="76" t="s">
        <v>112</v>
      </c>
      <c r="AA823" s="76" t="s">
        <v>112</v>
      </c>
      <c r="AB823" s="76" t="s">
        <v>112</v>
      </c>
      <c r="AC823" s="76" t="s">
        <v>112</v>
      </c>
      <c r="AD823" s="76" t="s">
        <v>112</v>
      </c>
      <c r="AE823" s="76">
        <v>0.90500000000000003</v>
      </c>
      <c r="AF823" s="76">
        <v>0.90500000000000003</v>
      </c>
      <c r="AG823" s="76">
        <v>0.90500000000000003</v>
      </c>
      <c r="AH823" s="76">
        <v>0.90500000000000003</v>
      </c>
      <c r="AI823" s="76">
        <v>0.90500000000000003</v>
      </c>
      <c r="AJ823" s="76">
        <v>0.90500000000000003</v>
      </c>
      <c r="AK823" s="76">
        <v>0.90500000000000003</v>
      </c>
      <c r="AL823" s="76">
        <v>0.90500000000000003</v>
      </c>
      <c r="AM823" s="76">
        <v>0.90500000000000003</v>
      </c>
      <c r="AN823" s="76">
        <v>0.90500000000000003</v>
      </c>
      <c r="AO823" s="76">
        <v>0.90500000000000003</v>
      </c>
      <c r="AP823" s="76">
        <v>0.90500000000000003</v>
      </c>
      <c r="AQ823" s="76">
        <v>0.90500000000000003</v>
      </c>
      <c r="AR823" s="76">
        <v>0.90500000000000003</v>
      </c>
      <c r="AS823" s="76">
        <v>0.90500000000000003</v>
      </c>
      <c r="AT823" s="76">
        <v>0.90500000000000003</v>
      </c>
      <c r="AU823" s="76">
        <v>0.90500000000000003</v>
      </c>
      <c r="AV823" s="76">
        <v>0.90500000000000003</v>
      </c>
      <c r="AW823" s="76">
        <v>0.90500000000000003</v>
      </c>
      <c r="AX823" s="84">
        <v>0.90500000000000003</v>
      </c>
    </row>
    <row r="824" spans="1:50" x14ac:dyDescent="0.25">
      <c r="A824" s="357"/>
      <c r="B824" s="367"/>
      <c r="C824" s="354"/>
      <c r="D824" s="4" t="s">
        <v>8</v>
      </c>
      <c r="E824" s="168" t="str">
        <f>A815&amp;"/"&amp;B815&amp;"/"&amp;C823&amp;"/"&amp;D824</f>
        <v>Refinery gas fired power plants/Steam turbine/CHP with CCS/M</v>
      </c>
      <c r="F824" s="80" t="str">
        <f>A815</f>
        <v>Refinery gas fired power plants</v>
      </c>
      <c r="G824" s="80" t="str">
        <f>B815</f>
        <v>Steam turbine</v>
      </c>
      <c r="H824" s="80" t="str">
        <f>C823</f>
        <v>CHP with CCS</v>
      </c>
      <c r="I824" s="169" t="str">
        <f t="shared" si="90"/>
        <v>M</v>
      </c>
      <c r="J824" s="80" t="s">
        <v>112</v>
      </c>
      <c r="K824" s="80" t="s">
        <v>112</v>
      </c>
      <c r="L824" s="80" t="s">
        <v>112</v>
      </c>
      <c r="M824" s="80" t="s">
        <v>112</v>
      </c>
      <c r="N824" s="80" t="s">
        <v>112</v>
      </c>
      <c r="O824" s="80" t="s">
        <v>112</v>
      </c>
      <c r="P824" s="80" t="s">
        <v>112</v>
      </c>
      <c r="Q824" s="80" t="s">
        <v>112</v>
      </c>
      <c r="R824" s="80" t="s">
        <v>112</v>
      </c>
      <c r="S824" s="80" t="s">
        <v>112</v>
      </c>
      <c r="T824" s="80" t="s">
        <v>112</v>
      </c>
      <c r="U824" s="80" t="s">
        <v>112</v>
      </c>
      <c r="V824" s="80" t="s">
        <v>112</v>
      </c>
      <c r="W824" s="80" t="s">
        <v>112</v>
      </c>
      <c r="X824" s="80" t="s">
        <v>112</v>
      </c>
      <c r="Y824" s="80" t="s">
        <v>112</v>
      </c>
      <c r="Z824" s="80" t="s">
        <v>112</v>
      </c>
      <c r="AA824" s="80" t="s">
        <v>112</v>
      </c>
      <c r="AB824" s="80" t="s">
        <v>112</v>
      </c>
      <c r="AC824" s="80" t="s">
        <v>112</v>
      </c>
      <c r="AD824" s="80" t="s">
        <v>112</v>
      </c>
      <c r="AE824" s="80">
        <v>0.90500000000000003</v>
      </c>
      <c r="AF824" s="80">
        <v>0.90500000000000003</v>
      </c>
      <c r="AG824" s="80">
        <v>0.90500000000000003</v>
      </c>
      <c r="AH824" s="80">
        <v>0.90500000000000003</v>
      </c>
      <c r="AI824" s="80">
        <v>0.90500000000000003</v>
      </c>
      <c r="AJ824" s="80">
        <v>0.90500000000000003</v>
      </c>
      <c r="AK824" s="80">
        <v>0.90500000000000003</v>
      </c>
      <c r="AL824" s="80">
        <v>0.90500000000000003</v>
      </c>
      <c r="AM824" s="80">
        <v>0.90500000000000003</v>
      </c>
      <c r="AN824" s="80">
        <v>0.90500000000000003</v>
      </c>
      <c r="AO824" s="80">
        <v>0.90500000000000003</v>
      </c>
      <c r="AP824" s="80">
        <v>0.90500000000000003</v>
      </c>
      <c r="AQ824" s="80">
        <v>0.90500000000000003</v>
      </c>
      <c r="AR824" s="80">
        <v>0.90500000000000003</v>
      </c>
      <c r="AS824" s="80">
        <v>0.90500000000000003</v>
      </c>
      <c r="AT824" s="80">
        <v>0.90500000000000003</v>
      </c>
      <c r="AU824" s="80">
        <v>0.90500000000000003</v>
      </c>
      <c r="AV824" s="80">
        <v>0.90500000000000003</v>
      </c>
      <c r="AW824" s="80">
        <v>0.90500000000000003</v>
      </c>
      <c r="AX824" s="88">
        <v>0.90500000000000003</v>
      </c>
    </row>
    <row r="825" spans="1:50" x14ac:dyDescent="0.25">
      <c r="A825" s="355" t="s">
        <v>28</v>
      </c>
      <c r="B825" s="358" t="s">
        <v>23</v>
      </c>
      <c r="C825" s="353" t="s">
        <v>6</v>
      </c>
      <c r="D825" s="3" t="s">
        <v>7</v>
      </c>
      <c r="E825" s="162" t="str">
        <f>A825&amp;"/"&amp;B825&amp;"/"&amp;C825&amp;"/"&amp;D825</f>
        <v>Diesel oil fired power plants/Gas turbine combined cycle/Electricity only/L</v>
      </c>
      <c r="F825" s="77" t="str">
        <f>A825</f>
        <v>Diesel oil fired power plants</v>
      </c>
      <c r="G825" s="77" t="str">
        <f>B825</f>
        <v>Gas turbine combined cycle</v>
      </c>
      <c r="H825" s="77" t="str">
        <f>C825</f>
        <v>Electricity only</v>
      </c>
      <c r="I825" s="163" t="str">
        <f t="shared" si="90"/>
        <v>L</v>
      </c>
      <c r="J825" s="77">
        <v>0.91500000000000004</v>
      </c>
      <c r="K825" s="77">
        <v>0.91500000000000004</v>
      </c>
      <c r="L825" s="77">
        <v>0.91500000000000004</v>
      </c>
      <c r="M825" s="77">
        <v>0.91500000000000004</v>
      </c>
      <c r="N825" s="77">
        <v>0.91500000000000004</v>
      </c>
      <c r="O825" s="77">
        <v>0.91500000000000004</v>
      </c>
      <c r="P825" s="77">
        <v>0.91500000000000004</v>
      </c>
      <c r="Q825" s="77">
        <v>0.91500000000000004</v>
      </c>
      <c r="R825" s="77">
        <v>0.91500000000000004</v>
      </c>
      <c r="S825" s="77">
        <v>0.91500000000000004</v>
      </c>
      <c r="T825" s="77">
        <v>0.91500000000000004</v>
      </c>
      <c r="U825" s="77">
        <v>0.91500000000000004</v>
      </c>
      <c r="V825" s="77">
        <v>0.91500000000000004</v>
      </c>
      <c r="W825" s="77">
        <v>0.91500000000000004</v>
      </c>
      <c r="X825" s="77">
        <v>0.91500000000000004</v>
      </c>
      <c r="Y825" s="77">
        <v>0.91500000000000004</v>
      </c>
      <c r="Z825" s="77">
        <v>0.91500000000000004</v>
      </c>
      <c r="AA825" s="77">
        <v>0.91500000000000004</v>
      </c>
      <c r="AB825" s="77">
        <v>0.91500000000000004</v>
      </c>
      <c r="AC825" s="77">
        <v>0.91500000000000004</v>
      </c>
      <c r="AD825" s="77">
        <v>0.91500000000000004</v>
      </c>
      <c r="AE825" s="77">
        <v>0.91500000000000004</v>
      </c>
      <c r="AF825" s="77">
        <v>0.91500000000000004</v>
      </c>
      <c r="AG825" s="77">
        <v>0.91500000000000004</v>
      </c>
      <c r="AH825" s="77">
        <v>0.91500000000000004</v>
      </c>
      <c r="AI825" s="77">
        <v>0.91500000000000004</v>
      </c>
      <c r="AJ825" s="77">
        <v>0.91500000000000004</v>
      </c>
      <c r="AK825" s="77">
        <v>0.91500000000000004</v>
      </c>
      <c r="AL825" s="77">
        <v>0.91500000000000004</v>
      </c>
      <c r="AM825" s="77">
        <v>0.91500000000000004</v>
      </c>
      <c r="AN825" s="77">
        <v>0.91500000000000004</v>
      </c>
      <c r="AO825" s="77">
        <v>0.91500000000000004</v>
      </c>
      <c r="AP825" s="77">
        <v>0.91500000000000004</v>
      </c>
      <c r="AQ825" s="77">
        <v>0.91500000000000004</v>
      </c>
      <c r="AR825" s="77">
        <v>0.91500000000000004</v>
      </c>
      <c r="AS825" s="77">
        <v>0.91500000000000004</v>
      </c>
      <c r="AT825" s="77">
        <v>0.91500000000000004</v>
      </c>
      <c r="AU825" s="77">
        <v>0.91500000000000004</v>
      </c>
      <c r="AV825" s="77">
        <v>0.91500000000000004</v>
      </c>
      <c r="AW825" s="77">
        <v>0.91500000000000004</v>
      </c>
      <c r="AX825" s="85">
        <v>0.91500000000000004</v>
      </c>
    </row>
    <row r="826" spans="1:50" x14ac:dyDescent="0.25">
      <c r="A826" s="356"/>
      <c r="B826" s="359"/>
      <c r="C826" s="360"/>
      <c r="D826" s="2" t="s">
        <v>8</v>
      </c>
      <c r="E826" s="160" t="str">
        <f>A825&amp;"/"&amp;B825&amp;"/"&amp;C825&amp;"/"&amp;D826</f>
        <v>Diesel oil fired power plants/Gas turbine combined cycle/Electricity only/M</v>
      </c>
      <c r="F826" s="76" t="str">
        <f>A825</f>
        <v>Diesel oil fired power plants</v>
      </c>
      <c r="G826" s="76" t="str">
        <f>B825</f>
        <v>Gas turbine combined cycle</v>
      </c>
      <c r="H826" s="76" t="str">
        <f>C825</f>
        <v>Electricity only</v>
      </c>
      <c r="I826" s="161" t="str">
        <f t="shared" si="90"/>
        <v>M</v>
      </c>
      <c r="J826" s="76">
        <v>0.91500000000000004</v>
      </c>
      <c r="K826" s="76">
        <v>0.91500000000000004</v>
      </c>
      <c r="L826" s="76">
        <v>0.91500000000000004</v>
      </c>
      <c r="M826" s="76">
        <v>0.91500000000000004</v>
      </c>
      <c r="N826" s="76">
        <v>0.91500000000000004</v>
      </c>
      <c r="O826" s="76">
        <v>0.91500000000000004</v>
      </c>
      <c r="P826" s="76">
        <v>0.91500000000000004</v>
      </c>
      <c r="Q826" s="76">
        <v>0.91500000000000004</v>
      </c>
      <c r="R826" s="76">
        <v>0.91500000000000004</v>
      </c>
      <c r="S826" s="76">
        <v>0.91500000000000004</v>
      </c>
      <c r="T826" s="76">
        <v>0.91500000000000004</v>
      </c>
      <c r="U826" s="76">
        <v>0.91500000000000004</v>
      </c>
      <c r="V826" s="76">
        <v>0.91500000000000004</v>
      </c>
      <c r="W826" s="76">
        <v>0.91500000000000004</v>
      </c>
      <c r="X826" s="76">
        <v>0.91500000000000004</v>
      </c>
      <c r="Y826" s="76">
        <v>0.91500000000000004</v>
      </c>
      <c r="Z826" s="76">
        <v>0.91500000000000004</v>
      </c>
      <c r="AA826" s="76">
        <v>0.91500000000000004</v>
      </c>
      <c r="AB826" s="76">
        <v>0.91500000000000004</v>
      </c>
      <c r="AC826" s="76">
        <v>0.91500000000000004</v>
      </c>
      <c r="AD826" s="76">
        <v>0.91500000000000004</v>
      </c>
      <c r="AE826" s="76">
        <v>0.91500000000000004</v>
      </c>
      <c r="AF826" s="76">
        <v>0.91500000000000004</v>
      </c>
      <c r="AG826" s="76">
        <v>0.91500000000000004</v>
      </c>
      <c r="AH826" s="76">
        <v>0.91500000000000004</v>
      </c>
      <c r="AI826" s="76">
        <v>0.91500000000000004</v>
      </c>
      <c r="AJ826" s="76">
        <v>0.91500000000000004</v>
      </c>
      <c r="AK826" s="76">
        <v>0.91500000000000004</v>
      </c>
      <c r="AL826" s="76">
        <v>0.91500000000000004</v>
      </c>
      <c r="AM826" s="76">
        <v>0.91500000000000004</v>
      </c>
      <c r="AN826" s="76">
        <v>0.91500000000000004</v>
      </c>
      <c r="AO826" s="76">
        <v>0.91500000000000004</v>
      </c>
      <c r="AP826" s="76">
        <v>0.91500000000000004</v>
      </c>
      <c r="AQ826" s="76">
        <v>0.91500000000000004</v>
      </c>
      <c r="AR826" s="76">
        <v>0.91500000000000004</v>
      </c>
      <c r="AS826" s="76">
        <v>0.91500000000000004</v>
      </c>
      <c r="AT826" s="76">
        <v>0.91500000000000004</v>
      </c>
      <c r="AU826" s="76">
        <v>0.91500000000000004</v>
      </c>
      <c r="AV826" s="76">
        <v>0.91500000000000004</v>
      </c>
      <c r="AW826" s="76">
        <v>0.91500000000000004</v>
      </c>
      <c r="AX826" s="84">
        <v>0.91500000000000004</v>
      </c>
    </row>
    <row r="827" spans="1:50" x14ac:dyDescent="0.25">
      <c r="A827" s="356"/>
      <c r="B827" s="359"/>
      <c r="C827" s="361" t="s">
        <v>14</v>
      </c>
      <c r="D827" s="58" t="s">
        <v>7</v>
      </c>
      <c r="E827" s="164" t="str">
        <f>A825&amp;"/"&amp;B825&amp;"/"&amp;C827&amp;"/"&amp;D827</f>
        <v>Diesel oil fired power plants/Gas turbine combined cycle/CHP/L</v>
      </c>
      <c r="F827" s="78" t="str">
        <f>A825</f>
        <v>Diesel oil fired power plants</v>
      </c>
      <c r="G827" s="78" t="str">
        <f>B825</f>
        <v>Gas turbine combined cycle</v>
      </c>
      <c r="H827" s="78" t="str">
        <f>C827</f>
        <v>CHP</v>
      </c>
      <c r="I827" s="165" t="str">
        <f t="shared" si="90"/>
        <v>L</v>
      </c>
      <c r="J827" s="78">
        <v>0.91500000000000004</v>
      </c>
      <c r="K827" s="78">
        <v>0.91500000000000004</v>
      </c>
      <c r="L827" s="78">
        <v>0.91500000000000004</v>
      </c>
      <c r="M827" s="78">
        <v>0.91500000000000004</v>
      </c>
      <c r="N827" s="78">
        <v>0.91500000000000004</v>
      </c>
      <c r="O827" s="78">
        <v>0.91500000000000004</v>
      </c>
      <c r="P827" s="78">
        <v>0.91500000000000004</v>
      </c>
      <c r="Q827" s="78">
        <v>0.91500000000000004</v>
      </c>
      <c r="R827" s="78">
        <v>0.91500000000000004</v>
      </c>
      <c r="S827" s="78">
        <v>0.91500000000000004</v>
      </c>
      <c r="T827" s="78">
        <v>0.91500000000000004</v>
      </c>
      <c r="U827" s="78">
        <v>0.91500000000000004</v>
      </c>
      <c r="V827" s="78">
        <v>0.91500000000000004</v>
      </c>
      <c r="W827" s="78">
        <v>0.91500000000000004</v>
      </c>
      <c r="X827" s="78">
        <v>0.91500000000000004</v>
      </c>
      <c r="Y827" s="78">
        <v>0.91500000000000004</v>
      </c>
      <c r="Z827" s="78">
        <v>0.91500000000000004</v>
      </c>
      <c r="AA827" s="78">
        <v>0.91500000000000004</v>
      </c>
      <c r="AB827" s="78">
        <v>0.91500000000000004</v>
      </c>
      <c r="AC827" s="78">
        <v>0.91500000000000004</v>
      </c>
      <c r="AD827" s="78">
        <v>0.91500000000000004</v>
      </c>
      <c r="AE827" s="78">
        <v>0.91500000000000004</v>
      </c>
      <c r="AF827" s="78">
        <v>0.91500000000000004</v>
      </c>
      <c r="AG827" s="78">
        <v>0.91500000000000004</v>
      </c>
      <c r="AH827" s="78">
        <v>0.91500000000000004</v>
      </c>
      <c r="AI827" s="78">
        <v>0.91500000000000004</v>
      </c>
      <c r="AJ827" s="78">
        <v>0.91500000000000004</v>
      </c>
      <c r="AK827" s="78">
        <v>0.91500000000000004</v>
      </c>
      <c r="AL827" s="78">
        <v>0.91500000000000004</v>
      </c>
      <c r="AM827" s="78">
        <v>0.91500000000000004</v>
      </c>
      <c r="AN827" s="78">
        <v>0.91500000000000004</v>
      </c>
      <c r="AO827" s="78">
        <v>0.91500000000000004</v>
      </c>
      <c r="AP827" s="78">
        <v>0.91500000000000004</v>
      </c>
      <c r="AQ827" s="78">
        <v>0.91500000000000004</v>
      </c>
      <c r="AR827" s="78">
        <v>0.91500000000000004</v>
      </c>
      <c r="AS827" s="78">
        <v>0.91500000000000004</v>
      </c>
      <c r="AT827" s="78">
        <v>0.91500000000000004</v>
      </c>
      <c r="AU827" s="78">
        <v>0.91500000000000004</v>
      </c>
      <c r="AV827" s="78">
        <v>0.91500000000000004</v>
      </c>
      <c r="AW827" s="78">
        <v>0.91500000000000004</v>
      </c>
      <c r="AX827" s="86">
        <v>0.91500000000000004</v>
      </c>
    </row>
    <row r="828" spans="1:50" x14ac:dyDescent="0.25">
      <c r="A828" s="356"/>
      <c r="B828" s="359"/>
      <c r="C828" s="360"/>
      <c r="D828" s="59" t="s">
        <v>8</v>
      </c>
      <c r="E828" s="166" t="str">
        <f>A825&amp;"/"&amp;B825&amp;"/"&amp;C827&amp;"/"&amp;D828</f>
        <v>Diesel oil fired power plants/Gas turbine combined cycle/CHP/M</v>
      </c>
      <c r="F828" s="79" t="str">
        <f>A825</f>
        <v>Diesel oil fired power plants</v>
      </c>
      <c r="G828" s="79" t="str">
        <f>B825</f>
        <v>Gas turbine combined cycle</v>
      </c>
      <c r="H828" s="79" t="str">
        <f>C827</f>
        <v>CHP</v>
      </c>
      <c r="I828" s="167" t="str">
        <f t="shared" si="90"/>
        <v>M</v>
      </c>
      <c r="J828" s="79">
        <v>0.91500000000000004</v>
      </c>
      <c r="K828" s="79">
        <v>0.91500000000000004</v>
      </c>
      <c r="L828" s="79">
        <v>0.91500000000000004</v>
      </c>
      <c r="M828" s="79">
        <v>0.91500000000000004</v>
      </c>
      <c r="N828" s="79">
        <v>0.91500000000000004</v>
      </c>
      <c r="O828" s="79">
        <v>0.91500000000000004</v>
      </c>
      <c r="P828" s="79">
        <v>0.91500000000000004</v>
      </c>
      <c r="Q828" s="79">
        <v>0.91500000000000004</v>
      </c>
      <c r="R828" s="79">
        <v>0.91500000000000004</v>
      </c>
      <c r="S828" s="79">
        <v>0.91500000000000004</v>
      </c>
      <c r="T828" s="79">
        <v>0.91500000000000004</v>
      </c>
      <c r="U828" s="79">
        <v>0.91500000000000004</v>
      </c>
      <c r="V828" s="79">
        <v>0.91500000000000004</v>
      </c>
      <c r="W828" s="79">
        <v>0.91500000000000004</v>
      </c>
      <c r="X828" s="79">
        <v>0.91500000000000004</v>
      </c>
      <c r="Y828" s="79">
        <v>0.91500000000000004</v>
      </c>
      <c r="Z828" s="79">
        <v>0.91500000000000004</v>
      </c>
      <c r="AA828" s="79">
        <v>0.91500000000000004</v>
      </c>
      <c r="AB828" s="79">
        <v>0.91500000000000004</v>
      </c>
      <c r="AC828" s="79">
        <v>0.91500000000000004</v>
      </c>
      <c r="AD828" s="79">
        <v>0.91500000000000004</v>
      </c>
      <c r="AE828" s="79">
        <v>0.91500000000000004</v>
      </c>
      <c r="AF828" s="79">
        <v>0.91500000000000004</v>
      </c>
      <c r="AG828" s="79">
        <v>0.91500000000000004</v>
      </c>
      <c r="AH828" s="79">
        <v>0.91500000000000004</v>
      </c>
      <c r="AI828" s="79">
        <v>0.91500000000000004</v>
      </c>
      <c r="AJ828" s="79">
        <v>0.91500000000000004</v>
      </c>
      <c r="AK828" s="79">
        <v>0.91500000000000004</v>
      </c>
      <c r="AL828" s="79">
        <v>0.91500000000000004</v>
      </c>
      <c r="AM828" s="79">
        <v>0.91500000000000004</v>
      </c>
      <c r="AN828" s="79">
        <v>0.91500000000000004</v>
      </c>
      <c r="AO828" s="79">
        <v>0.91500000000000004</v>
      </c>
      <c r="AP828" s="79">
        <v>0.91500000000000004</v>
      </c>
      <c r="AQ828" s="79">
        <v>0.91500000000000004</v>
      </c>
      <c r="AR828" s="79">
        <v>0.91500000000000004</v>
      </c>
      <c r="AS828" s="79">
        <v>0.91500000000000004</v>
      </c>
      <c r="AT828" s="79">
        <v>0.91500000000000004</v>
      </c>
      <c r="AU828" s="79">
        <v>0.91500000000000004</v>
      </c>
      <c r="AV828" s="79">
        <v>0.91500000000000004</v>
      </c>
      <c r="AW828" s="79">
        <v>0.91500000000000004</v>
      </c>
      <c r="AX828" s="87">
        <v>0.91500000000000004</v>
      </c>
    </row>
    <row r="829" spans="1:50" x14ac:dyDescent="0.25">
      <c r="A829" s="356"/>
      <c r="B829" s="359"/>
      <c r="C829" s="361" t="s">
        <v>15</v>
      </c>
      <c r="D829" s="58" t="s">
        <v>7</v>
      </c>
      <c r="E829" s="164" t="str">
        <f>A825&amp;"/"&amp;B825&amp;"/"&amp;C829&amp;"/"&amp;D829</f>
        <v>Diesel oil fired power plants/Gas turbine combined cycle/Electricity only with CCS/L</v>
      </c>
      <c r="F829" s="78" t="str">
        <f>A825</f>
        <v>Diesel oil fired power plants</v>
      </c>
      <c r="G829" s="78" t="str">
        <f>B825</f>
        <v>Gas turbine combined cycle</v>
      </c>
      <c r="H829" s="78" t="str">
        <f>C829</f>
        <v>Electricity only with CCS</v>
      </c>
      <c r="I829" s="165" t="str">
        <f t="shared" si="90"/>
        <v>L</v>
      </c>
      <c r="J829" s="78" t="s">
        <v>112</v>
      </c>
      <c r="K829" s="78" t="s">
        <v>112</v>
      </c>
      <c r="L829" s="78" t="s">
        <v>112</v>
      </c>
      <c r="M829" s="78" t="s">
        <v>112</v>
      </c>
      <c r="N829" s="78" t="s">
        <v>112</v>
      </c>
      <c r="O829" s="78" t="s">
        <v>112</v>
      </c>
      <c r="P829" s="78" t="s">
        <v>112</v>
      </c>
      <c r="Q829" s="78" t="s">
        <v>112</v>
      </c>
      <c r="R829" s="78" t="s">
        <v>112</v>
      </c>
      <c r="S829" s="78" t="s">
        <v>112</v>
      </c>
      <c r="T829" s="78" t="s">
        <v>112</v>
      </c>
      <c r="U829" s="78" t="s">
        <v>112</v>
      </c>
      <c r="V829" s="78" t="s">
        <v>112</v>
      </c>
      <c r="W829" s="78" t="s">
        <v>112</v>
      </c>
      <c r="X829" s="78" t="s">
        <v>112</v>
      </c>
      <c r="Y829" s="78" t="s">
        <v>112</v>
      </c>
      <c r="Z829" s="78" t="s">
        <v>112</v>
      </c>
      <c r="AA829" s="78" t="s">
        <v>112</v>
      </c>
      <c r="AB829" s="78" t="s">
        <v>112</v>
      </c>
      <c r="AC829" s="78" t="s">
        <v>112</v>
      </c>
      <c r="AD829" s="78" t="s">
        <v>112</v>
      </c>
      <c r="AE829" s="78">
        <v>0.91500000000000004</v>
      </c>
      <c r="AF829" s="78">
        <v>0.91500000000000004</v>
      </c>
      <c r="AG829" s="78">
        <v>0.91500000000000004</v>
      </c>
      <c r="AH829" s="78">
        <v>0.91500000000000004</v>
      </c>
      <c r="AI829" s="78">
        <v>0.91500000000000004</v>
      </c>
      <c r="AJ829" s="78">
        <v>0.91500000000000004</v>
      </c>
      <c r="AK829" s="78">
        <v>0.91500000000000004</v>
      </c>
      <c r="AL829" s="78">
        <v>0.91500000000000004</v>
      </c>
      <c r="AM829" s="78">
        <v>0.91500000000000004</v>
      </c>
      <c r="AN829" s="78">
        <v>0.91500000000000004</v>
      </c>
      <c r="AO829" s="78">
        <v>0.91500000000000004</v>
      </c>
      <c r="AP829" s="78">
        <v>0.91500000000000004</v>
      </c>
      <c r="AQ829" s="78">
        <v>0.91500000000000004</v>
      </c>
      <c r="AR829" s="78">
        <v>0.91500000000000004</v>
      </c>
      <c r="AS829" s="78">
        <v>0.91500000000000004</v>
      </c>
      <c r="AT829" s="78">
        <v>0.91500000000000004</v>
      </c>
      <c r="AU829" s="78">
        <v>0.91500000000000004</v>
      </c>
      <c r="AV829" s="78">
        <v>0.91500000000000004</v>
      </c>
      <c r="AW829" s="78">
        <v>0.91500000000000004</v>
      </c>
      <c r="AX829" s="86">
        <v>0.91500000000000004</v>
      </c>
    </row>
    <row r="830" spans="1:50" x14ac:dyDescent="0.25">
      <c r="A830" s="356"/>
      <c r="B830" s="359"/>
      <c r="C830" s="360"/>
      <c r="D830" s="59" t="s">
        <v>8</v>
      </c>
      <c r="E830" s="166" t="str">
        <f>A825&amp;"/"&amp;B825&amp;"/"&amp;C829&amp;"/"&amp;D830</f>
        <v>Diesel oil fired power plants/Gas turbine combined cycle/Electricity only with CCS/M</v>
      </c>
      <c r="F830" s="79" t="str">
        <f>A825</f>
        <v>Diesel oil fired power plants</v>
      </c>
      <c r="G830" s="79" t="str">
        <f>B825</f>
        <v>Gas turbine combined cycle</v>
      </c>
      <c r="H830" s="79" t="str">
        <f>C829</f>
        <v>Electricity only with CCS</v>
      </c>
      <c r="I830" s="167" t="str">
        <f t="shared" si="90"/>
        <v>M</v>
      </c>
      <c r="J830" s="79" t="s">
        <v>112</v>
      </c>
      <c r="K830" s="79" t="s">
        <v>112</v>
      </c>
      <c r="L830" s="79" t="s">
        <v>112</v>
      </c>
      <c r="M830" s="79" t="s">
        <v>112</v>
      </c>
      <c r="N830" s="79" t="s">
        <v>112</v>
      </c>
      <c r="O830" s="79" t="s">
        <v>112</v>
      </c>
      <c r="P830" s="79" t="s">
        <v>112</v>
      </c>
      <c r="Q830" s="79" t="s">
        <v>112</v>
      </c>
      <c r="R830" s="79" t="s">
        <v>112</v>
      </c>
      <c r="S830" s="79" t="s">
        <v>112</v>
      </c>
      <c r="T830" s="79" t="s">
        <v>112</v>
      </c>
      <c r="U830" s="79" t="s">
        <v>112</v>
      </c>
      <c r="V830" s="79" t="s">
        <v>112</v>
      </c>
      <c r="W830" s="79" t="s">
        <v>112</v>
      </c>
      <c r="X830" s="79" t="s">
        <v>112</v>
      </c>
      <c r="Y830" s="79" t="s">
        <v>112</v>
      </c>
      <c r="Z830" s="79" t="s">
        <v>112</v>
      </c>
      <c r="AA830" s="79" t="s">
        <v>112</v>
      </c>
      <c r="AB830" s="79" t="s">
        <v>112</v>
      </c>
      <c r="AC830" s="79" t="s">
        <v>112</v>
      </c>
      <c r="AD830" s="79" t="s">
        <v>112</v>
      </c>
      <c r="AE830" s="79">
        <v>0.91500000000000004</v>
      </c>
      <c r="AF830" s="79">
        <v>0.91500000000000004</v>
      </c>
      <c r="AG830" s="79">
        <v>0.91500000000000004</v>
      </c>
      <c r="AH830" s="79">
        <v>0.91500000000000004</v>
      </c>
      <c r="AI830" s="79">
        <v>0.91500000000000004</v>
      </c>
      <c r="AJ830" s="79">
        <v>0.91500000000000004</v>
      </c>
      <c r="AK830" s="79">
        <v>0.91500000000000004</v>
      </c>
      <c r="AL830" s="79">
        <v>0.91500000000000004</v>
      </c>
      <c r="AM830" s="79">
        <v>0.91500000000000004</v>
      </c>
      <c r="AN830" s="79">
        <v>0.91500000000000004</v>
      </c>
      <c r="AO830" s="79">
        <v>0.91500000000000004</v>
      </c>
      <c r="AP830" s="79">
        <v>0.91500000000000004</v>
      </c>
      <c r="AQ830" s="79">
        <v>0.91500000000000004</v>
      </c>
      <c r="AR830" s="79">
        <v>0.91500000000000004</v>
      </c>
      <c r="AS830" s="79">
        <v>0.91500000000000004</v>
      </c>
      <c r="AT830" s="79">
        <v>0.91500000000000004</v>
      </c>
      <c r="AU830" s="79">
        <v>0.91500000000000004</v>
      </c>
      <c r="AV830" s="79">
        <v>0.91500000000000004</v>
      </c>
      <c r="AW830" s="79">
        <v>0.91500000000000004</v>
      </c>
      <c r="AX830" s="87">
        <v>0.91500000000000004</v>
      </c>
    </row>
    <row r="831" spans="1:50" x14ac:dyDescent="0.25">
      <c r="A831" s="356"/>
      <c r="B831" s="359"/>
      <c r="C831" s="361" t="s">
        <v>16</v>
      </c>
      <c r="D831" s="2" t="s">
        <v>7</v>
      </c>
      <c r="E831" s="160" t="str">
        <f>A825&amp;"/"&amp;B825&amp;"/"&amp;C831&amp;"/"&amp;D831</f>
        <v>Diesel oil fired power plants/Gas turbine combined cycle/CHP with CCS/L</v>
      </c>
      <c r="F831" s="76" t="str">
        <f>A825</f>
        <v>Diesel oil fired power plants</v>
      </c>
      <c r="G831" s="76" t="str">
        <f>B825</f>
        <v>Gas turbine combined cycle</v>
      </c>
      <c r="H831" s="76" t="str">
        <f>C831</f>
        <v>CHP with CCS</v>
      </c>
      <c r="I831" s="161" t="str">
        <f t="shared" si="90"/>
        <v>L</v>
      </c>
      <c r="J831" s="76" t="s">
        <v>112</v>
      </c>
      <c r="K831" s="76" t="s">
        <v>112</v>
      </c>
      <c r="L831" s="76" t="s">
        <v>112</v>
      </c>
      <c r="M831" s="76" t="s">
        <v>112</v>
      </c>
      <c r="N831" s="76" t="s">
        <v>112</v>
      </c>
      <c r="O831" s="76" t="s">
        <v>112</v>
      </c>
      <c r="P831" s="76" t="s">
        <v>112</v>
      </c>
      <c r="Q831" s="76" t="s">
        <v>112</v>
      </c>
      <c r="R831" s="76" t="s">
        <v>112</v>
      </c>
      <c r="S831" s="76" t="s">
        <v>112</v>
      </c>
      <c r="T831" s="76" t="s">
        <v>112</v>
      </c>
      <c r="U831" s="76" t="s">
        <v>112</v>
      </c>
      <c r="V831" s="76" t="s">
        <v>112</v>
      </c>
      <c r="W831" s="76" t="s">
        <v>112</v>
      </c>
      <c r="X831" s="76" t="s">
        <v>112</v>
      </c>
      <c r="Y831" s="76" t="s">
        <v>112</v>
      </c>
      <c r="Z831" s="76" t="s">
        <v>112</v>
      </c>
      <c r="AA831" s="76" t="s">
        <v>112</v>
      </c>
      <c r="AB831" s="76" t="s">
        <v>112</v>
      </c>
      <c r="AC831" s="76" t="s">
        <v>112</v>
      </c>
      <c r="AD831" s="76" t="s">
        <v>112</v>
      </c>
      <c r="AE831" s="76">
        <v>0.91500000000000004</v>
      </c>
      <c r="AF831" s="76">
        <v>0.91500000000000004</v>
      </c>
      <c r="AG831" s="76">
        <v>0.91500000000000004</v>
      </c>
      <c r="AH831" s="76">
        <v>0.91500000000000004</v>
      </c>
      <c r="AI831" s="76">
        <v>0.91500000000000004</v>
      </c>
      <c r="AJ831" s="76">
        <v>0.91500000000000004</v>
      </c>
      <c r="AK831" s="76">
        <v>0.91500000000000004</v>
      </c>
      <c r="AL831" s="76">
        <v>0.91500000000000004</v>
      </c>
      <c r="AM831" s="76">
        <v>0.91500000000000004</v>
      </c>
      <c r="AN831" s="76">
        <v>0.91500000000000004</v>
      </c>
      <c r="AO831" s="76">
        <v>0.91500000000000004</v>
      </c>
      <c r="AP831" s="76">
        <v>0.91500000000000004</v>
      </c>
      <c r="AQ831" s="76">
        <v>0.91500000000000004</v>
      </c>
      <c r="AR831" s="76">
        <v>0.91500000000000004</v>
      </c>
      <c r="AS831" s="76">
        <v>0.91500000000000004</v>
      </c>
      <c r="AT831" s="76">
        <v>0.91500000000000004</v>
      </c>
      <c r="AU831" s="76">
        <v>0.91500000000000004</v>
      </c>
      <c r="AV831" s="76">
        <v>0.91500000000000004</v>
      </c>
      <c r="AW831" s="76">
        <v>0.91500000000000004</v>
      </c>
      <c r="AX831" s="84">
        <v>0.91500000000000004</v>
      </c>
    </row>
    <row r="832" spans="1:50" x14ac:dyDescent="0.25">
      <c r="A832" s="356"/>
      <c r="B832" s="362"/>
      <c r="C832" s="354"/>
      <c r="D832" s="4" t="s">
        <v>8</v>
      </c>
      <c r="E832" s="168" t="str">
        <f>A825&amp;"/"&amp;B825&amp;"/"&amp;C831&amp;"/"&amp;D832</f>
        <v>Diesel oil fired power plants/Gas turbine combined cycle/CHP with CCS/M</v>
      </c>
      <c r="F832" s="80" t="str">
        <f>A825</f>
        <v>Diesel oil fired power plants</v>
      </c>
      <c r="G832" s="80" t="str">
        <f>B825</f>
        <v>Gas turbine combined cycle</v>
      </c>
      <c r="H832" s="80" t="str">
        <f>C831</f>
        <v>CHP with CCS</v>
      </c>
      <c r="I832" s="169" t="str">
        <f t="shared" si="90"/>
        <v>M</v>
      </c>
      <c r="J832" s="80" t="s">
        <v>112</v>
      </c>
      <c r="K832" s="80" t="s">
        <v>112</v>
      </c>
      <c r="L832" s="80" t="s">
        <v>112</v>
      </c>
      <c r="M832" s="80" t="s">
        <v>112</v>
      </c>
      <c r="N832" s="80" t="s">
        <v>112</v>
      </c>
      <c r="O832" s="80" t="s">
        <v>112</v>
      </c>
      <c r="P832" s="80" t="s">
        <v>112</v>
      </c>
      <c r="Q832" s="80" t="s">
        <v>112</v>
      </c>
      <c r="R832" s="80" t="s">
        <v>112</v>
      </c>
      <c r="S832" s="80" t="s">
        <v>112</v>
      </c>
      <c r="T832" s="80" t="s">
        <v>112</v>
      </c>
      <c r="U832" s="80" t="s">
        <v>112</v>
      </c>
      <c r="V832" s="80" t="s">
        <v>112</v>
      </c>
      <c r="W832" s="80" t="s">
        <v>112</v>
      </c>
      <c r="X832" s="80" t="s">
        <v>112</v>
      </c>
      <c r="Y832" s="80" t="s">
        <v>112</v>
      </c>
      <c r="Z832" s="80" t="s">
        <v>112</v>
      </c>
      <c r="AA832" s="80" t="s">
        <v>112</v>
      </c>
      <c r="AB832" s="80" t="s">
        <v>112</v>
      </c>
      <c r="AC832" s="80" t="s">
        <v>112</v>
      </c>
      <c r="AD832" s="80" t="s">
        <v>112</v>
      </c>
      <c r="AE832" s="80">
        <v>0.91500000000000004</v>
      </c>
      <c r="AF832" s="80">
        <v>0.91500000000000004</v>
      </c>
      <c r="AG832" s="80">
        <v>0.91500000000000004</v>
      </c>
      <c r="AH832" s="80">
        <v>0.91500000000000004</v>
      </c>
      <c r="AI832" s="80">
        <v>0.91500000000000004</v>
      </c>
      <c r="AJ832" s="80">
        <v>0.91500000000000004</v>
      </c>
      <c r="AK832" s="80">
        <v>0.91500000000000004</v>
      </c>
      <c r="AL832" s="80">
        <v>0.91500000000000004</v>
      </c>
      <c r="AM832" s="80">
        <v>0.91500000000000004</v>
      </c>
      <c r="AN832" s="80">
        <v>0.91500000000000004</v>
      </c>
      <c r="AO832" s="80">
        <v>0.91500000000000004</v>
      </c>
      <c r="AP832" s="80">
        <v>0.91500000000000004</v>
      </c>
      <c r="AQ832" s="80">
        <v>0.91500000000000004</v>
      </c>
      <c r="AR832" s="80">
        <v>0.91500000000000004</v>
      </c>
      <c r="AS832" s="80">
        <v>0.91500000000000004</v>
      </c>
      <c r="AT832" s="80">
        <v>0.91500000000000004</v>
      </c>
      <c r="AU832" s="80">
        <v>0.91500000000000004</v>
      </c>
      <c r="AV832" s="80">
        <v>0.91500000000000004</v>
      </c>
      <c r="AW832" s="80">
        <v>0.91500000000000004</v>
      </c>
      <c r="AX832" s="88">
        <v>0.91500000000000004</v>
      </c>
    </row>
    <row r="833" spans="1:50" x14ac:dyDescent="0.25">
      <c r="A833" s="356"/>
      <c r="B833" s="358" t="s">
        <v>24</v>
      </c>
      <c r="C833" s="353" t="s">
        <v>6</v>
      </c>
      <c r="D833" s="3" t="s">
        <v>7</v>
      </c>
      <c r="E833" s="162" t="str">
        <f>A825&amp;"/"&amp;B833&amp;"/"&amp;C833&amp;"/"&amp;D833</f>
        <v>Diesel oil fired power plants/Gas turbine /Electricity only/L</v>
      </c>
      <c r="F833" s="77" t="str">
        <f>A825</f>
        <v>Diesel oil fired power plants</v>
      </c>
      <c r="G833" s="77" t="str">
        <f>B833</f>
        <v xml:space="preserve">Gas turbine </v>
      </c>
      <c r="H833" s="77" t="str">
        <f>C833</f>
        <v>Electricity only</v>
      </c>
      <c r="I833" s="163" t="str">
        <f t="shared" si="90"/>
        <v>L</v>
      </c>
      <c r="J833" s="77">
        <v>0.94</v>
      </c>
      <c r="K833" s="77">
        <v>0.94</v>
      </c>
      <c r="L833" s="77">
        <v>0.94</v>
      </c>
      <c r="M833" s="77">
        <v>0.94</v>
      </c>
      <c r="N833" s="77">
        <v>0.94</v>
      </c>
      <c r="O833" s="77">
        <v>0.94</v>
      </c>
      <c r="P833" s="77">
        <v>0.94</v>
      </c>
      <c r="Q833" s="77">
        <v>0.94</v>
      </c>
      <c r="R833" s="77">
        <v>0.94</v>
      </c>
      <c r="S833" s="77">
        <v>0.94</v>
      </c>
      <c r="T833" s="77">
        <v>0.94</v>
      </c>
      <c r="U833" s="77">
        <v>0.94</v>
      </c>
      <c r="V833" s="77">
        <v>0.94</v>
      </c>
      <c r="W833" s="77">
        <v>0.94</v>
      </c>
      <c r="X833" s="77">
        <v>0.94</v>
      </c>
      <c r="Y833" s="77">
        <v>0.94</v>
      </c>
      <c r="Z833" s="77">
        <v>0.94</v>
      </c>
      <c r="AA833" s="77">
        <v>0.94</v>
      </c>
      <c r="AB833" s="77">
        <v>0.94</v>
      </c>
      <c r="AC833" s="77">
        <v>0.94</v>
      </c>
      <c r="AD833" s="77">
        <v>0.94</v>
      </c>
      <c r="AE833" s="77">
        <v>0.94</v>
      </c>
      <c r="AF833" s="77">
        <v>0.94</v>
      </c>
      <c r="AG833" s="77">
        <v>0.94</v>
      </c>
      <c r="AH833" s="77">
        <v>0.94</v>
      </c>
      <c r="AI833" s="77">
        <v>0.94</v>
      </c>
      <c r="AJ833" s="77">
        <v>0.94</v>
      </c>
      <c r="AK833" s="77">
        <v>0.94</v>
      </c>
      <c r="AL833" s="77">
        <v>0.94</v>
      </c>
      <c r="AM833" s="77">
        <v>0.94</v>
      </c>
      <c r="AN833" s="77">
        <v>0.94</v>
      </c>
      <c r="AO833" s="77">
        <v>0.94</v>
      </c>
      <c r="AP833" s="77">
        <v>0.94</v>
      </c>
      <c r="AQ833" s="77">
        <v>0.94</v>
      </c>
      <c r="AR833" s="77">
        <v>0.94</v>
      </c>
      <c r="AS833" s="77">
        <v>0.94</v>
      </c>
      <c r="AT833" s="77">
        <v>0.94</v>
      </c>
      <c r="AU833" s="77">
        <v>0.94</v>
      </c>
      <c r="AV833" s="77">
        <v>0.94</v>
      </c>
      <c r="AW833" s="77">
        <v>0.94</v>
      </c>
      <c r="AX833" s="85">
        <v>0.94</v>
      </c>
    </row>
    <row r="834" spans="1:50" x14ac:dyDescent="0.25">
      <c r="A834" s="356"/>
      <c r="B834" s="359"/>
      <c r="C834" s="350"/>
      <c r="D834" s="2" t="s">
        <v>8</v>
      </c>
      <c r="E834" s="160" t="str">
        <f>A825&amp;"/"&amp;B833&amp;"/"&amp;C833&amp;"/"&amp;D834</f>
        <v>Diesel oil fired power plants/Gas turbine /Electricity only/M</v>
      </c>
      <c r="F834" s="76" t="str">
        <f>A825</f>
        <v>Diesel oil fired power plants</v>
      </c>
      <c r="G834" s="76" t="str">
        <f>B833</f>
        <v xml:space="preserve">Gas turbine </v>
      </c>
      <c r="H834" s="76" t="str">
        <f>C833</f>
        <v>Electricity only</v>
      </c>
      <c r="I834" s="161" t="str">
        <f t="shared" si="90"/>
        <v>M</v>
      </c>
      <c r="J834" s="76">
        <v>0.94</v>
      </c>
      <c r="K834" s="76">
        <v>0.94</v>
      </c>
      <c r="L834" s="76">
        <v>0.94</v>
      </c>
      <c r="M834" s="76">
        <v>0.94</v>
      </c>
      <c r="N834" s="76">
        <v>0.94</v>
      </c>
      <c r="O834" s="76">
        <v>0.94</v>
      </c>
      <c r="P834" s="76">
        <v>0.94</v>
      </c>
      <c r="Q834" s="76">
        <v>0.94</v>
      </c>
      <c r="R834" s="76">
        <v>0.94</v>
      </c>
      <c r="S834" s="76">
        <v>0.94</v>
      </c>
      <c r="T834" s="76">
        <v>0.94</v>
      </c>
      <c r="U834" s="76">
        <v>0.94</v>
      </c>
      <c r="V834" s="76">
        <v>0.94</v>
      </c>
      <c r="W834" s="76">
        <v>0.94</v>
      </c>
      <c r="X834" s="76">
        <v>0.94</v>
      </c>
      <c r="Y834" s="76">
        <v>0.94</v>
      </c>
      <c r="Z834" s="76">
        <v>0.94</v>
      </c>
      <c r="AA834" s="76">
        <v>0.94</v>
      </c>
      <c r="AB834" s="76">
        <v>0.94</v>
      </c>
      <c r="AC834" s="76">
        <v>0.94</v>
      </c>
      <c r="AD834" s="76">
        <v>0.94</v>
      </c>
      <c r="AE834" s="76">
        <v>0.94</v>
      </c>
      <c r="AF834" s="76">
        <v>0.94</v>
      </c>
      <c r="AG834" s="76">
        <v>0.94</v>
      </c>
      <c r="AH834" s="76">
        <v>0.94</v>
      </c>
      <c r="AI834" s="76">
        <v>0.94</v>
      </c>
      <c r="AJ834" s="76">
        <v>0.94</v>
      </c>
      <c r="AK834" s="76">
        <v>0.94</v>
      </c>
      <c r="AL834" s="76">
        <v>0.94</v>
      </c>
      <c r="AM834" s="76">
        <v>0.94</v>
      </c>
      <c r="AN834" s="76">
        <v>0.94</v>
      </c>
      <c r="AO834" s="76">
        <v>0.94</v>
      </c>
      <c r="AP834" s="76">
        <v>0.94</v>
      </c>
      <c r="AQ834" s="76">
        <v>0.94</v>
      </c>
      <c r="AR834" s="76">
        <v>0.94</v>
      </c>
      <c r="AS834" s="76">
        <v>0.94</v>
      </c>
      <c r="AT834" s="76">
        <v>0.94</v>
      </c>
      <c r="AU834" s="76">
        <v>0.94</v>
      </c>
      <c r="AV834" s="76">
        <v>0.94</v>
      </c>
      <c r="AW834" s="76">
        <v>0.94</v>
      </c>
      <c r="AX834" s="84">
        <v>0.94</v>
      </c>
    </row>
    <row r="835" spans="1:50" x14ac:dyDescent="0.25">
      <c r="A835" s="356"/>
      <c r="B835" s="359"/>
      <c r="C835" s="350"/>
      <c r="D835" s="2" t="s">
        <v>10</v>
      </c>
      <c r="E835" s="160" t="str">
        <f>A825&amp;"/"&amp;B833&amp;"/"&amp;C833&amp;"/"&amp;D835</f>
        <v>Diesel oil fired power plants/Gas turbine /Electricity only/S</v>
      </c>
      <c r="F835" s="76" t="str">
        <f>A825</f>
        <v>Diesel oil fired power plants</v>
      </c>
      <c r="G835" s="76" t="str">
        <f>B833</f>
        <v xml:space="preserve">Gas turbine </v>
      </c>
      <c r="H835" s="76" t="str">
        <f>C833</f>
        <v>Electricity only</v>
      </c>
      <c r="I835" s="161" t="str">
        <f t="shared" si="90"/>
        <v>S</v>
      </c>
      <c r="J835" s="76">
        <v>0.94</v>
      </c>
      <c r="K835" s="76">
        <v>0.94</v>
      </c>
      <c r="L835" s="76">
        <v>0.94</v>
      </c>
      <c r="M835" s="76">
        <v>0.94</v>
      </c>
      <c r="N835" s="76">
        <v>0.94</v>
      </c>
      <c r="O835" s="76">
        <v>0.94</v>
      </c>
      <c r="P835" s="76">
        <v>0.94</v>
      </c>
      <c r="Q835" s="76">
        <v>0.94</v>
      </c>
      <c r="R835" s="76">
        <v>0.94</v>
      </c>
      <c r="S835" s="76">
        <v>0.94</v>
      </c>
      <c r="T835" s="76">
        <v>0.94</v>
      </c>
      <c r="U835" s="76">
        <v>0.94</v>
      </c>
      <c r="V835" s="76">
        <v>0.94</v>
      </c>
      <c r="W835" s="76">
        <v>0.94</v>
      </c>
      <c r="X835" s="76">
        <v>0.94</v>
      </c>
      <c r="Y835" s="76">
        <v>0.94</v>
      </c>
      <c r="Z835" s="76">
        <v>0.94</v>
      </c>
      <c r="AA835" s="76">
        <v>0.94</v>
      </c>
      <c r="AB835" s="76">
        <v>0.94</v>
      </c>
      <c r="AC835" s="76">
        <v>0.94</v>
      </c>
      <c r="AD835" s="76">
        <v>0.94</v>
      </c>
      <c r="AE835" s="76">
        <v>0.94</v>
      </c>
      <c r="AF835" s="76">
        <v>0.94</v>
      </c>
      <c r="AG835" s="76">
        <v>0.94</v>
      </c>
      <c r="AH835" s="76">
        <v>0.94</v>
      </c>
      <c r="AI835" s="76">
        <v>0.94</v>
      </c>
      <c r="AJ835" s="76">
        <v>0.94</v>
      </c>
      <c r="AK835" s="76">
        <v>0.94</v>
      </c>
      <c r="AL835" s="76">
        <v>0.94</v>
      </c>
      <c r="AM835" s="76">
        <v>0.94</v>
      </c>
      <c r="AN835" s="76">
        <v>0.94</v>
      </c>
      <c r="AO835" s="76">
        <v>0.94</v>
      </c>
      <c r="AP835" s="76">
        <v>0.94</v>
      </c>
      <c r="AQ835" s="76">
        <v>0.94</v>
      </c>
      <c r="AR835" s="76">
        <v>0.94</v>
      </c>
      <c r="AS835" s="76">
        <v>0.94</v>
      </c>
      <c r="AT835" s="76">
        <v>0.94</v>
      </c>
      <c r="AU835" s="76">
        <v>0.94</v>
      </c>
      <c r="AV835" s="76">
        <v>0.94</v>
      </c>
      <c r="AW835" s="76">
        <v>0.94</v>
      </c>
      <c r="AX835" s="84">
        <v>0.94</v>
      </c>
    </row>
    <row r="836" spans="1:50" x14ac:dyDescent="0.25">
      <c r="A836" s="356"/>
      <c r="B836" s="359"/>
      <c r="C836" s="360"/>
      <c r="D836" s="2" t="s">
        <v>20</v>
      </c>
      <c r="E836" s="160" t="str">
        <f>A825&amp;"/"&amp;B833&amp;"/"&amp;C833&amp;"/"&amp;D836</f>
        <v>Diesel oil fired power plants/Gas turbine /Electricity only/XS</v>
      </c>
      <c r="F836" s="76" t="str">
        <f>A825</f>
        <v>Diesel oil fired power plants</v>
      </c>
      <c r="G836" s="76" t="str">
        <f>B833</f>
        <v xml:space="preserve">Gas turbine </v>
      </c>
      <c r="H836" s="76" t="str">
        <f>C833</f>
        <v>Electricity only</v>
      </c>
      <c r="I836" s="161" t="str">
        <f t="shared" si="90"/>
        <v>XS</v>
      </c>
      <c r="J836" s="76">
        <v>0.94</v>
      </c>
      <c r="K836" s="76">
        <v>0.94</v>
      </c>
      <c r="L836" s="76">
        <v>0.94</v>
      </c>
      <c r="M836" s="76">
        <v>0.94</v>
      </c>
      <c r="N836" s="76">
        <v>0.94</v>
      </c>
      <c r="O836" s="76">
        <v>0.94</v>
      </c>
      <c r="P836" s="76">
        <v>0.94</v>
      </c>
      <c r="Q836" s="76">
        <v>0.94</v>
      </c>
      <c r="R836" s="76">
        <v>0.94</v>
      </c>
      <c r="S836" s="76">
        <v>0.94</v>
      </c>
      <c r="T836" s="76">
        <v>0.94</v>
      </c>
      <c r="U836" s="76">
        <v>0.94</v>
      </c>
      <c r="V836" s="76">
        <v>0.94</v>
      </c>
      <c r="W836" s="76">
        <v>0.94</v>
      </c>
      <c r="X836" s="76">
        <v>0.94</v>
      </c>
      <c r="Y836" s="76">
        <v>0.94</v>
      </c>
      <c r="Z836" s="76">
        <v>0.94</v>
      </c>
      <c r="AA836" s="76">
        <v>0.94</v>
      </c>
      <c r="AB836" s="76">
        <v>0.94</v>
      </c>
      <c r="AC836" s="76">
        <v>0.94</v>
      </c>
      <c r="AD836" s="76">
        <v>0.94</v>
      </c>
      <c r="AE836" s="76">
        <v>0.94</v>
      </c>
      <c r="AF836" s="76">
        <v>0.94</v>
      </c>
      <c r="AG836" s="76">
        <v>0.94</v>
      </c>
      <c r="AH836" s="76">
        <v>0.94</v>
      </c>
      <c r="AI836" s="76">
        <v>0.94</v>
      </c>
      <c r="AJ836" s="76">
        <v>0.94</v>
      </c>
      <c r="AK836" s="76">
        <v>0.94</v>
      </c>
      <c r="AL836" s="76">
        <v>0.94</v>
      </c>
      <c r="AM836" s="76">
        <v>0.94</v>
      </c>
      <c r="AN836" s="76">
        <v>0.94</v>
      </c>
      <c r="AO836" s="76">
        <v>0.94</v>
      </c>
      <c r="AP836" s="76">
        <v>0.94</v>
      </c>
      <c r="AQ836" s="76">
        <v>0.94</v>
      </c>
      <c r="AR836" s="76">
        <v>0.94</v>
      </c>
      <c r="AS836" s="76">
        <v>0.94</v>
      </c>
      <c r="AT836" s="76">
        <v>0.94</v>
      </c>
      <c r="AU836" s="76">
        <v>0.94</v>
      </c>
      <c r="AV836" s="76">
        <v>0.94</v>
      </c>
      <c r="AW836" s="76">
        <v>0.94</v>
      </c>
      <c r="AX836" s="84">
        <v>0.94</v>
      </c>
    </row>
    <row r="837" spans="1:50" x14ac:dyDescent="0.25">
      <c r="A837" s="356"/>
      <c r="B837" s="359"/>
      <c r="C837" s="361" t="s">
        <v>14</v>
      </c>
      <c r="D837" s="58" t="s">
        <v>7</v>
      </c>
      <c r="E837" s="164" t="str">
        <f>A825&amp;"/"&amp;B833&amp;"/"&amp;C837&amp;"/"&amp;D837</f>
        <v>Diesel oil fired power plants/Gas turbine /CHP/L</v>
      </c>
      <c r="F837" s="78" t="str">
        <f>A825</f>
        <v>Diesel oil fired power plants</v>
      </c>
      <c r="G837" s="78" t="str">
        <f>B833</f>
        <v xml:space="preserve">Gas turbine </v>
      </c>
      <c r="H837" s="78" t="str">
        <f>C837</f>
        <v>CHP</v>
      </c>
      <c r="I837" s="165" t="str">
        <f t="shared" si="90"/>
        <v>L</v>
      </c>
      <c r="J837" s="78">
        <v>0.94</v>
      </c>
      <c r="K837" s="78">
        <v>0.94</v>
      </c>
      <c r="L837" s="78">
        <v>0.94</v>
      </c>
      <c r="M837" s="78">
        <v>0.94</v>
      </c>
      <c r="N837" s="78">
        <v>0.94</v>
      </c>
      <c r="O837" s="78">
        <v>0.94</v>
      </c>
      <c r="P837" s="78">
        <v>0.94</v>
      </c>
      <c r="Q837" s="78">
        <v>0.94</v>
      </c>
      <c r="R837" s="78">
        <v>0.94</v>
      </c>
      <c r="S837" s="78">
        <v>0.94</v>
      </c>
      <c r="T837" s="78">
        <v>0.94</v>
      </c>
      <c r="U837" s="78">
        <v>0.94</v>
      </c>
      <c r="V837" s="78">
        <v>0.94</v>
      </c>
      <c r="W837" s="78">
        <v>0.94</v>
      </c>
      <c r="X837" s="78">
        <v>0.94</v>
      </c>
      <c r="Y837" s="78">
        <v>0.94</v>
      </c>
      <c r="Z837" s="78">
        <v>0.94</v>
      </c>
      <c r="AA837" s="78">
        <v>0.94</v>
      </c>
      <c r="AB837" s="78">
        <v>0.94</v>
      </c>
      <c r="AC837" s="78">
        <v>0.94</v>
      </c>
      <c r="AD837" s="78">
        <v>0.94</v>
      </c>
      <c r="AE837" s="78">
        <v>0.94</v>
      </c>
      <c r="AF837" s="78">
        <v>0.94</v>
      </c>
      <c r="AG837" s="78">
        <v>0.94</v>
      </c>
      <c r="AH837" s="78">
        <v>0.94</v>
      </c>
      <c r="AI837" s="78">
        <v>0.94</v>
      </c>
      <c r="AJ837" s="78">
        <v>0.94</v>
      </c>
      <c r="AK837" s="78">
        <v>0.94</v>
      </c>
      <c r="AL837" s="78">
        <v>0.94</v>
      </c>
      <c r="AM837" s="78">
        <v>0.94</v>
      </c>
      <c r="AN837" s="78">
        <v>0.94</v>
      </c>
      <c r="AO837" s="78">
        <v>0.94</v>
      </c>
      <c r="AP837" s="78">
        <v>0.94</v>
      </c>
      <c r="AQ837" s="78">
        <v>0.94</v>
      </c>
      <c r="AR837" s="78">
        <v>0.94</v>
      </c>
      <c r="AS837" s="78">
        <v>0.94</v>
      </c>
      <c r="AT837" s="78">
        <v>0.94</v>
      </c>
      <c r="AU837" s="78">
        <v>0.94</v>
      </c>
      <c r="AV837" s="78">
        <v>0.94</v>
      </c>
      <c r="AW837" s="78">
        <v>0.94</v>
      </c>
      <c r="AX837" s="86">
        <v>0.94</v>
      </c>
    </row>
    <row r="838" spans="1:50" x14ac:dyDescent="0.25">
      <c r="A838" s="356"/>
      <c r="B838" s="359"/>
      <c r="C838" s="350"/>
      <c r="D838" s="2" t="s">
        <v>8</v>
      </c>
      <c r="E838" s="160" t="str">
        <f>A825&amp;"/"&amp;B833&amp;"/"&amp;C837&amp;"/"&amp;D838</f>
        <v>Diesel oil fired power plants/Gas turbine /CHP/M</v>
      </c>
      <c r="F838" s="76" t="str">
        <f>A825</f>
        <v>Diesel oil fired power plants</v>
      </c>
      <c r="G838" s="76" t="str">
        <f>B833</f>
        <v xml:space="preserve">Gas turbine </v>
      </c>
      <c r="H838" s="76" t="str">
        <f>C837</f>
        <v>CHP</v>
      </c>
      <c r="I838" s="161" t="str">
        <f t="shared" si="90"/>
        <v>M</v>
      </c>
      <c r="J838" s="76">
        <v>0.94</v>
      </c>
      <c r="K838" s="76">
        <v>0.94</v>
      </c>
      <c r="L838" s="76">
        <v>0.94</v>
      </c>
      <c r="M838" s="76">
        <v>0.94</v>
      </c>
      <c r="N838" s="76">
        <v>0.94</v>
      </c>
      <c r="O838" s="76">
        <v>0.94</v>
      </c>
      <c r="P838" s="76">
        <v>0.94</v>
      </c>
      <c r="Q838" s="76">
        <v>0.94</v>
      </c>
      <c r="R838" s="76">
        <v>0.94</v>
      </c>
      <c r="S838" s="76">
        <v>0.94</v>
      </c>
      <c r="T838" s="76">
        <v>0.94</v>
      </c>
      <c r="U838" s="76">
        <v>0.94</v>
      </c>
      <c r="V838" s="76">
        <v>0.94</v>
      </c>
      <c r="W838" s="76">
        <v>0.94</v>
      </c>
      <c r="X838" s="76">
        <v>0.94</v>
      </c>
      <c r="Y838" s="76">
        <v>0.94</v>
      </c>
      <c r="Z838" s="76">
        <v>0.94</v>
      </c>
      <c r="AA838" s="76">
        <v>0.94</v>
      </c>
      <c r="AB838" s="76">
        <v>0.94</v>
      </c>
      <c r="AC838" s="76">
        <v>0.94</v>
      </c>
      <c r="AD838" s="76">
        <v>0.94</v>
      </c>
      <c r="AE838" s="76">
        <v>0.94</v>
      </c>
      <c r="AF838" s="76">
        <v>0.94</v>
      </c>
      <c r="AG838" s="76">
        <v>0.94</v>
      </c>
      <c r="AH838" s="76">
        <v>0.94</v>
      </c>
      <c r="AI838" s="76">
        <v>0.94</v>
      </c>
      <c r="AJ838" s="76">
        <v>0.94</v>
      </c>
      <c r="AK838" s="76">
        <v>0.94</v>
      </c>
      <c r="AL838" s="76">
        <v>0.94</v>
      </c>
      <c r="AM838" s="76">
        <v>0.94</v>
      </c>
      <c r="AN838" s="76">
        <v>0.94</v>
      </c>
      <c r="AO838" s="76">
        <v>0.94</v>
      </c>
      <c r="AP838" s="76">
        <v>0.94</v>
      </c>
      <c r="AQ838" s="76">
        <v>0.94</v>
      </c>
      <c r="AR838" s="76">
        <v>0.94</v>
      </c>
      <c r="AS838" s="76">
        <v>0.94</v>
      </c>
      <c r="AT838" s="76">
        <v>0.94</v>
      </c>
      <c r="AU838" s="76">
        <v>0.94</v>
      </c>
      <c r="AV838" s="76">
        <v>0.94</v>
      </c>
      <c r="AW838" s="76">
        <v>0.94</v>
      </c>
      <c r="AX838" s="84">
        <v>0.94</v>
      </c>
    </row>
    <row r="839" spans="1:50" x14ac:dyDescent="0.25">
      <c r="A839" s="356"/>
      <c r="B839" s="359"/>
      <c r="C839" s="350"/>
      <c r="D839" s="2" t="s">
        <v>10</v>
      </c>
      <c r="E839" s="160" t="str">
        <f>A825&amp;"/"&amp;B833&amp;"/"&amp;C837&amp;"/"&amp;D839</f>
        <v>Diesel oil fired power plants/Gas turbine /CHP/S</v>
      </c>
      <c r="F839" s="76" t="str">
        <f>A825</f>
        <v>Diesel oil fired power plants</v>
      </c>
      <c r="G839" s="76" t="str">
        <f>B833</f>
        <v xml:space="preserve">Gas turbine </v>
      </c>
      <c r="H839" s="76" t="str">
        <f>C837</f>
        <v>CHP</v>
      </c>
      <c r="I839" s="161" t="str">
        <f t="shared" si="90"/>
        <v>S</v>
      </c>
      <c r="J839" s="76">
        <v>0.94</v>
      </c>
      <c r="K839" s="76">
        <v>0.94</v>
      </c>
      <c r="L839" s="76">
        <v>0.94</v>
      </c>
      <c r="M839" s="76">
        <v>0.94</v>
      </c>
      <c r="N839" s="76">
        <v>0.94</v>
      </c>
      <c r="O839" s="76">
        <v>0.94</v>
      </c>
      <c r="P839" s="76">
        <v>0.94</v>
      </c>
      <c r="Q839" s="76">
        <v>0.94</v>
      </c>
      <c r="R839" s="76">
        <v>0.94</v>
      </c>
      <c r="S839" s="76">
        <v>0.94</v>
      </c>
      <c r="T839" s="76">
        <v>0.94</v>
      </c>
      <c r="U839" s="76">
        <v>0.94</v>
      </c>
      <c r="V839" s="76">
        <v>0.94</v>
      </c>
      <c r="W839" s="76">
        <v>0.94</v>
      </c>
      <c r="X839" s="76">
        <v>0.94</v>
      </c>
      <c r="Y839" s="76">
        <v>0.94</v>
      </c>
      <c r="Z839" s="76">
        <v>0.94</v>
      </c>
      <c r="AA839" s="76">
        <v>0.94</v>
      </c>
      <c r="AB839" s="76">
        <v>0.94</v>
      </c>
      <c r="AC839" s="76">
        <v>0.94</v>
      </c>
      <c r="AD839" s="76">
        <v>0.94</v>
      </c>
      <c r="AE839" s="76">
        <v>0.94</v>
      </c>
      <c r="AF839" s="76">
        <v>0.94</v>
      </c>
      <c r="AG839" s="76">
        <v>0.94</v>
      </c>
      <c r="AH839" s="76">
        <v>0.94</v>
      </c>
      <c r="AI839" s="76">
        <v>0.94</v>
      </c>
      <c r="AJ839" s="76">
        <v>0.94</v>
      </c>
      <c r="AK839" s="76">
        <v>0.94</v>
      </c>
      <c r="AL839" s="76">
        <v>0.94</v>
      </c>
      <c r="AM839" s="76">
        <v>0.94</v>
      </c>
      <c r="AN839" s="76">
        <v>0.94</v>
      </c>
      <c r="AO839" s="76">
        <v>0.94</v>
      </c>
      <c r="AP839" s="76">
        <v>0.94</v>
      </c>
      <c r="AQ839" s="76">
        <v>0.94</v>
      </c>
      <c r="AR839" s="76">
        <v>0.94</v>
      </c>
      <c r="AS839" s="76">
        <v>0.94</v>
      </c>
      <c r="AT839" s="76">
        <v>0.94</v>
      </c>
      <c r="AU839" s="76">
        <v>0.94</v>
      </c>
      <c r="AV839" s="76">
        <v>0.94</v>
      </c>
      <c r="AW839" s="76">
        <v>0.94</v>
      </c>
      <c r="AX839" s="84">
        <v>0.94</v>
      </c>
    </row>
    <row r="840" spans="1:50" x14ac:dyDescent="0.25">
      <c r="A840" s="356"/>
      <c r="B840" s="359"/>
      <c r="C840" s="360"/>
      <c r="D840" s="59" t="s">
        <v>20</v>
      </c>
      <c r="E840" s="166" t="str">
        <f>A825&amp;"/"&amp;B833&amp;"/"&amp;C837&amp;"/"&amp;D840</f>
        <v>Diesel oil fired power plants/Gas turbine /CHP/XS</v>
      </c>
      <c r="F840" s="79" t="str">
        <f>A825</f>
        <v>Diesel oil fired power plants</v>
      </c>
      <c r="G840" s="79" t="str">
        <f>B833</f>
        <v xml:space="preserve">Gas turbine </v>
      </c>
      <c r="H840" s="79" t="str">
        <f>C837</f>
        <v>CHP</v>
      </c>
      <c r="I840" s="167" t="str">
        <f t="shared" si="90"/>
        <v>XS</v>
      </c>
      <c r="J840" s="79">
        <v>0.94</v>
      </c>
      <c r="K840" s="79">
        <v>0.94</v>
      </c>
      <c r="L840" s="79">
        <v>0.94</v>
      </c>
      <c r="M840" s="79">
        <v>0.94</v>
      </c>
      <c r="N840" s="79">
        <v>0.94</v>
      </c>
      <c r="O840" s="79">
        <v>0.94</v>
      </c>
      <c r="P840" s="79">
        <v>0.94</v>
      </c>
      <c r="Q840" s="79">
        <v>0.94</v>
      </c>
      <c r="R840" s="79">
        <v>0.94</v>
      </c>
      <c r="S840" s="79">
        <v>0.94</v>
      </c>
      <c r="T840" s="79">
        <v>0.94</v>
      </c>
      <c r="U840" s="79">
        <v>0.94</v>
      </c>
      <c r="V840" s="79">
        <v>0.94</v>
      </c>
      <c r="W840" s="79">
        <v>0.94</v>
      </c>
      <c r="X840" s="79">
        <v>0.94</v>
      </c>
      <c r="Y840" s="79">
        <v>0.94</v>
      </c>
      <c r="Z840" s="79">
        <v>0.94</v>
      </c>
      <c r="AA840" s="79">
        <v>0.94</v>
      </c>
      <c r="AB840" s="79">
        <v>0.94</v>
      </c>
      <c r="AC840" s="79">
        <v>0.94</v>
      </c>
      <c r="AD840" s="79">
        <v>0.94</v>
      </c>
      <c r="AE840" s="79">
        <v>0.94</v>
      </c>
      <c r="AF840" s="79">
        <v>0.94</v>
      </c>
      <c r="AG840" s="79">
        <v>0.94</v>
      </c>
      <c r="AH840" s="79">
        <v>0.94</v>
      </c>
      <c r="AI840" s="79">
        <v>0.94</v>
      </c>
      <c r="AJ840" s="79">
        <v>0.94</v>
      </c>
      <c r="AK840" s="79">
        <v>0.94</v>
      </c>
      <c r="AL840" s="79">
        <v>0.94</v>
      </c>
      <c r="AM840" s="79">
        <v>0.94</v>
      </c>
      <c r="AN840" s="79">
        <v>0.94</v>
      </c>
      <c r="AO840" s="79">
        <v>0.94</v>
      </c>
      <c r="AP840" s="79">
        <v>0.94</v>
      </c>
      <c r="AQ840" s="79">
        <v>0.94</v>
      </c>
      <c r="AR840" s="79">
        <v>0.94</v>
      </c>
      <c r="AS840" s="79">
        <v>0.94</v>
      </c>
      <c r="AT840" s="79">
        <v>0.94</v>
      </c>
      <c r="AU840" s="79">
        <v>0.94</v>
      </c>
      <c r="AV840" s="79">
        <v>0.94</v>
      </c>
      <c r="AW840" s="79">
        <v>0.94</v>
      </c>
      <c r="AX840" s="87">
        <v>0.94</v>
      </c>
    </row>
    <row r="841" spans="1:50" x14ac:dyDescent="0.25">
      <c r="A841" s="356"/>
      <c r="B841" s="359"/>
      <c r="C841" s="361" t="s">
        <v>15</v>
      </c>
      <c r="D841" s="58" t="s">
        <v>7</v>
      </c>
      <c r="E841" s="164" t="str">
        <f>A825&amp;"/"&amp;B833&amp;"/"&amp;C841&amp;"/"&amp;D841</f>
        <v>Diesel oil fired power plants/Gas turbine /Electricity only with CCS/L</v>
      </c>
      <c r="F841" s="78" t="str">
        <f>A825</f>
        <v>Diesel oil fired power plants</v>
      </c>
      <c r="G841" s="78" t="str">
        <f>B833</f>
        <v xml:space="preserve">Gas turbine </v>
      </c>
      <c r="H841" s="78" t="str">
        <f>C841</f>
        <v>Electricity only with CCS</v>
      </c>
      <c r="I841" s="165" t="str">
        <f t="shared" si="90"/>
        <v>L</v>
      </c>
      <c r="J841" s="78" t="s">
        <v>112</v>
      </c>
      <c r="K841" s="78" t="s">
        <v>112</v>
      </c>
      <c r="L841" s="78" t="s">
        <v>112</v>
      </c>
      <c r="M841" s="78" t="s">
        <v>112</v>
      </c>
      <c r="N841" s="78" t="s">
        <v>112</v>
      </c>
      <c r="O841" s="78" t="s">
        <v>112</v>
      </c>
      <c r="P841" s="78" t="s">
        <v>112</v>
      </c>
      <c r="Q841" s="78" t="s">
        <v>112</v>
      </c>
      <c r="R841" s="78" t="s">
        <v>112</v>
      </c>
      <c r="S841" s="78" t="s">
        <v>112</v>
      </c>
      <c r="T841" s="78" t="s">
        <v>112</v>
      </c>
      <c r="U841" s="78" t="s">
        <v>112</v>
      </c>
      <c r="V841" s="78" t="s">
        <v>112</v>
      </c>
      <c r="W841" s="78" t="s">
        <v>112</v>
      </c>
      <c r="X841" s="78" t="s">
        <v>112</v>
      </c>
      <c r="Y841" s="78" t="s">
        <v>112</v>
      </c>
      <c r="Z841" s="78" t="s">
        <v>112</v>
      </c>
      <c r="AA841" s="78" t="s">
        <v>112</v>
      </c>
      <c r="AB841" s="78" t="s">
        <v>112</v>
      </c>
      <c r="AC841" s="78" t="s">
        <v>112</v>
      </c>
      <c r="AD841" s="78" t="s">
        <v>112</v>
      </c>
      <c r="AE841" s="78">
        <v>0.94</v>
      </c>
      <c r="AF841" s="78">
        <v>0.94</v>
      </c>
      <c r="AG841" s="78">
        <v>0.94</v>
      </c>
      <c r="AH841" s="78">
        <v>0.94</v>
      </c>
      <c r="AI841" s="78">
        <v>0.94</v>
      </c>
      <c r="AJ841" s="78">
        <v>0.94</v>
      </c>
      <c r="AK841" s="78">
        <v>0.94</v>
      </c>
      <c r="AL841" s="78">
        <v>0.94</v>
      </c>
      <c r="AM841" s="78">
        <v>0.94</v>
      </c>
      <c r="AN841" s="78">
        <v>0.94</v>
      </c>
      <c r="AO841" s="78">
        <v>0.94</v>
      </c>
      <c r="AP841" s="78">
        <v>0.94</v>
      </c>
      <c r="AQ841" s="78">
        <v>0.94</v>
      </c>
      <c r="AR841" s="78">
        <v>0.94</v>
      </c>
      <c r="AS841" s="78">
        <v>0.94</v>
      </c>
      <c r="AT841" s="78">
        <v>0.94</v>
      </c>
      <c r="AU841" s="78">
        <v>0.94</v>
      </c>
      <c r="AV841" s="78">
        <v>0.94</v>
      </c>
      <c r="AW841" s="78">
        <v>0.94</v>
      </c>
      <c r="AX841" s="86">
        <v>0.94</v>
      </c>
    </row>
    <row r="842" spans="1:50" x14ac:dyDescent="0.25">
      <c r="A842" s="356"/>
      <c r="B842" s="359"/>
      <c r="C842" s="360"/>
      <c r="D842" s="59" t="s">
        <v>8</v>
      </c>
      <c r="E842" s="166" t="str">
        <f>A825&amp;"/"&amp;B833&amp;"/"&amp;C841&amp;"/"&amp;D842</f>
        <v>Diesel oil fired power plants/Gas turbine /Electricity only with CCS/M</v>
      </c>
      <c r="F842" s="79" t="str">
        <f>A825</f>
        <v>Diesel oil fired power plants</v>
      </c>
      <c r="G842" s="79" t="str">
        <f>B833</f>
        <v xml:space="preserve">Gas turbine </v>
      </c>
      <c r="H842" s="79" t="str">
        <f>C841</f>
        <v>Electricity only with CCS</v>
      </c>
      <c r="I842" s="167" t="str">
        <f t="shared" si="90"/>
        <v>M</v>
      </c>
      <c r="J842" s="79" t="s">
        <v>112</v>
      </c>
      <c r="K842" s="79" t="s">
        <v>112</v>
      </c>
      <c r="L842" s="79" t="s">
        <v>112</v>
      </c>
      <c r="M842" s="79" t="s">
        <v>112</v>
      </c>
      <c r="N842" s="79" t="s">
        <v>112</v>
      </c>
      <c r="O842" s="79" t="s">
        <v>112</v>
      </c>
      <c r="P842" s="79" t="s">
        <v>112</v>
      </c>
      <c r="Q842" s="79" t="s">
        <v>112</v>
      </c>
      <c r="R842" s="79" t="s">
        <v>112</v>
      </c>
      <c r="S842" s="79" t="s">
        <v>112</v>
      </c>
      <c r="T842" s="79" t="s">
        <v>112</v>
      </c>
      <c r="U842" s="79" t="s">
        <v>112</v>
      </c>
      <c r="V842" s="79" t="s">
        <v>112</v>
      </c>
      <c r="W842" s="79" t="s">
        <v>112</v>
      </c>
      <c r="X842" s="79" t="s">
        <v>112</v>
      </c>
      <c r="Y842" s="79" t="s">
        <v>112</v>
      </c>
      <c r="Z842" s="79" t="s">
        <v>112</v>
      </c>
      <c r="AA842" s="79" t="s">
        <v>112</v>
      </c>
      <c r="AB842" s="79" t="s">
        <v>112</v>
      </c>
      <c r="AC842" s="79" t="s">
        <v>112</v>
      </c>
      <c r="AD842" s="79" t="s">
        <v>112</v>
      </c>
      <c r="AE842" s="79">
        <v>0.94</v>
      </c>
      <c r="AF842" s="79">
        <v>0.94</v>
      </c>
      <c r="AG842" s="79">
        <v>0.94</v>
      </c>
      <c r="AH842" s="79">
        <v>0.94</v>
      </c>
      <c r="AI842" s="79">
        <v>0.94</v>
      </c>
      <c r="AJ842" s="79">
        <v>0.94</v>
      </c>
      <c r="AK842" s="79">
        <v>0.94</v>
      </c>
      <c r="AL842" s="79">
        <v>0.94</v>
      </c>
      <c r="AM842" s="79">
        <v>0.94</v>
      </c>
      <c r="AN842" s="79">
        <v>0.94</v>
      </c>
      <c r="AO842" s="79">
        <v>0.94</v>
      </c>
      <c r="AP842" s="79">
        <v>0.94</v>
      </c>
      <c r="AQ842" s="79">
        <v>0.94</v>
      </c>
      <c r="AR842" s="79">
        <v>0.94</v>
      </c>
      <c r="AS842" s="79">
        <v>0.94</v>
      </c>
      <c r="AT842" s="79">
        <v>0.94</v>
      </c>
      <c r="AU842" s="79">
        <v>0.94</v>
      </c>
      <c r="AV842" s="79">
        <v>0.94</v>
      </c>
      <c r="AW842" s="79">
        <v>0.94</v>
      </c>
      <c r="AX842" s="87">
        <v>0.94</v>
      </c>
    </row>
    <row r="843" spans="1:50" x14ac:dyDescent="0.25">
      <c r="A843" s="356"/>
      <c r="B843" s="359"/>
      <c r="C843" s="361" t="s">
        <v>16</v>
      </c>
      <c r="D843" s="2" t="s">
        <v>7</v>
      </c>
      <c r="E843" s="160" t="str">
        <f>A825&amp;"/"&amp;B833&amp;"/"&amp;C843&amp;"/"&amp;D843</f>
        <v>Diesel oil fired power plants/Gas turbine /CHP with CCS/L</v>
      </c>
      <c r="F843" s="76" t="str">
        <f>A825</f>
        <v>Diesel oil fired power plants</v>
      </c>
      <c r="G843" s="76" t="str">
        <f>B833</f>
        <v xml:space="preserve">Gas turbine </v>
      </c>
      <c r="H843" s="76" t="str">
        <f>C843</f>
        <v>CHP with CCS</v>
      </c>
      <c r="I843" s="161" t="str">
        <f t="shared" si="90"/>
        <v>L</v>
      </c>
      <c r="J843" s="76" t="s">
        <v>112</v>
      </c>
      <c r="K843" s="76" t="s">
        <v>112</v>
      </c>
      <c r="L843" s="76" t="s">
        <v>112</v>
      </c>
      <c r="M843" s="76" t="s">
        <v>112</v>
      </c>
      <c r="N843" s="76" t="s">
        <v>112</v>
      </c>
      <c r="O843" s="76" t="s">
        <v>112</v>
      </c>
      <c r="P843" s="76" t="s">
        <v>112</v>
      </c>
      <c r="Q843" s="76" t="s">
        <v>112</v>
      </c>
      <c r="R843" s="76" t="s">
        <v>112</v>
      </c>
      <c r="S843" s="76" t="s">
        <v>112</v>
      </c>
      <c r="T843" s="76" t="s">
        <v>112</v>
      </c>
      <c r="U843" s="76" t="s">
        <v>112</v>
      </c>
      <c r="V843" s="76" t="s">
        <v>112</v>
      </c>
      <c r="W843" s="76" t="s">
        <v>112</v>
      </c>
      <c r="X843" s="76" t="s">
        <v>112</v>
      </c>
      <c r="Y843" s="76" t="s">
        <v>112</v>
      </c>
      <c r="Z843" s="76" t="s">
        <v>112</v>
      </c>
      <c r="AA843" s="76" t="s">
        <v>112</v>
      </c>
      <c r="AB843" s="76" t="s">
        <v>112</v>
      </c>
      <c r="AC843" s="76" t="s">
        <v>112</v>
      </c>
      <c r="AD843" s="76" t="s">
        <v>112</v>
      </c>
      <c r="AE843" s="76">
        <v>0.94</v>
      </c>
      <c r="AF843" s="76">
        <v>0.94</v>
      </c>
      <c r="AG843" s="76">
        <v>0.94</v>
      </c>
      <c r="AH843" s="76">
        <v>0.94</v>
      </c>
      <c r="AI843" s="76">
        <v>0.94</v>
      </c>
      <c r="AJ843" s="76">
        <v>0.94</v>
      </c>
      <c r="AK843" s="76">
        <v>0.94</v>
      </c>
      <c r="AL843" s="76">
        <v>0.94</v>
      </c>
      <c r="AM843" s="76">
        <v>0.94</v>
      </c>
      <c r="AN843" s="76">
        <v>0.94</v>
      </c>
      <c r="AO843" s="76">
        <v>0.94</v>
      </c>
      <c r="AP843" s="76">
        <v>0.94</v>
      </c>
      <c r="AQ843" s="76">
        <v>0.94</v>
      </c>
      <c r="AR843" s="76">
        <v>0.94</v>
      </c>
      <c r="AS843" s="76">
        <v>0.94</v>
      </c>
      <c r="AT843" s="76">
        <v>0.94</v>
      </c>
      <c r="AU843" s="76">
        <v>0.94</v>
      </c>
      <c r="AV843" s="76">
        <v>0.94</v>
      </c>
      <c r="AW843" s="76">
        <v>0.94</v>
      </c>
      <c r="AX843" s="84">
        <v>0.94</v>
      </c>
    </row>
    <row r="844" spans="1:50" x14ac:dyDescent="0.25">
      <c r="A844" s="356"/>
      <c r="B844" s="362"/>
      <c r="C844" s="354"/>
      <c r="D844" s="4" t="s">
        <v>8</v>
      </c>
      <c r="E844" s="168" t="str">
        <f>A825&amp;"/"&amp;B833&amp;"/"&amp;C843&amp;"/"&amp;D844</f>
        <v>Diesel oil fired power plants/Gas turbine /CHP with CCS/M</v>
      </c>
      <c r="F844" s="80" t="str">
        <f>A825</f>
        <v>Diesel oil fired power plants</v>
      </c>
      <c r="G844" s="80" t="str">
        <f>B833</f>
        <v xml:space="preserve">Gas turbine </v>
      </c>
      <c r="H844" s="80" t="str">
        <f>C843</f>
        <v>CHP with CCS</v>
      </c>
      <c r="I844" s="169" t="str">
        <f t="shared" si="90"/>
        <v>M</v>
      </c>
      <c r="J844" s="80" t="s">
        <v>112</v>
      </c>
      <c r="K844" s="80" t="s">
        <v>112</v>
      </c>
      <c r="L844" s="80" t="s">
        <v>112</v>
      </c>
      <c r="M844" s="80" t="s">
        <v>112</v>
      </c>
      <c r="N844" s="80" t="s">
        <v>112</v>
      </c>
      <c r="O844" s="80" t="s">
        <v>112</v>
      </c>
      <c r="P844" s="80" t="s">
        <v>112</v>
      </c>
      <c r="Q844" s="80" t="s">
        <v>112</v>
      </c>
      <c r="R844" s="80" t="s">
        <v>112</v>
      </c>
      <c r="S844" s="80" t="s">
        <v>112</v>
      </c>
      <c r="T844" s="80" t="s">
        <v>112</v>
      </c>
      <c r="U844" s="80" t="s">
        <v>112</v>
      </c>
      <c r="V844" s="80" t="s">
        <v>112</v>
      </c>
      <c r="W844" s="80" t="s">
        <v>112</v>
      </c>
      <c r="X844" s="80" t="s">
        <v>112</v>
      </c>
      <c r="Y844" s="80" t="s">
        <v>112</v>
      </c>
      <c r="Z844" s="80" t="s">
        <v>112</v>
      </c>
      <c r="AA844" s="80" t="s">
        <v>112</v>
      </c>
      <c r="AB844" s="80" t="s">
        <v>112</v>
      </c>
      <c r="AC844" s="80" t="s">
        <v>112</v>
      </c>
      <c r="AD844" s="80" t="s">
        <v>112</v>
      </c>
      <c r="AE844" s="80">
        <v>0.94</v>
      </c>
      <c r="AF844" s="80">
        <v>0.94</v>
      </c>
      <c r="AG844" s="80">
        <v>0.94</v>
      </c>
      <c r="AH844" s="80">
        <v>0.94</v>
      </c>
      <c r="AI844" s="80">
        <v>0.94</v>
      </c>
      <c r="AJ844" s="80">
        <v>0.94</v>
      </c>
      <c r="AK844" s="80">
        <v>0.94</v>
      </c>
      <c r="AL844" s="80">
        <v>0.94</v>
      </c>
      <c r="AM844" s="80">
        <v>0.94</v>
      </c>
      <c r="AN844" s="80">
        <v>0.94</v>
      </c>
      <c r="AO844" s="80">
        <v>0.94</v>
      </c>
      <c r="AP844" s="80">
        <v>0.94</v>
      </c>
      <c r="AQ844" s="80">
        <v>0.94</v>
      </c>
      <c r="AR844" s="80">
        <v>0.94</v>
      </c>
      <c r="AS844" s="80">
        <v>0.94</v>
      </c>
      <c r="AT844" s="80">
        <v>0.94</v>
      </c>
      <c r="AU844" s="80">
        <v>0.94</v>
      </c>
      <c r="AV844" s="80">
        <v>0.94</v>
      </c>
      <c r="AW844" s="80">
        <v>0.94</v>
      </c>
      <c r="AX844" s="88">
        <v>0.94</v>
      </c>
    </row>
    <row r="845" spans="1:50" x14ac:dyDescent="0.25">
      <c r="A845" s="356"/>
      <c r="B845" s="358" t="s">
        <v>19</v>
      </c>
      <c r="C845" s="353" t="s">
        <v>6</v>
      </c>
      <c r="D845" s="3" t="s">
        <v>7</v>
      </c>
      <c r="E845" s="162" t="str">
        <f>A825&amp;"/"&amp;B845&amp;"/"&amp;C845&amp;"/"&amp;D845</f>
        <v>Diesel oil fired power plants/Steam turbine/Electricity only/L</v>
      </c>
      <c r="F845" s="77" t="str">
        <f>A825</f>
        <v>Diesel oil fired power plants</v>
      </c>
      <c r="G845" s="77" t="str">
        <f>B845</f>
        <v>Steam turbine</v>
      </c>
      <c r="H845" s="77" t="str">
        <f>C845</f>
        <v>Electricity only</v>
      </c>
      <c r="I845" s="163" t="str">
        <f t="shared" si="90"/>
        <v>L</v>
      </c>
      <c r="J845" s="77">
        <v>0.90500000000000003</v>
      </c>
      <c r="K845" s="77">
        <v>0.90500000000000003</v>
      </c>
      <c r="L845" s="77">
        <v>0.90500000000000003</v>
      </c>
      <c r="M845" s="77">
        <v>0.90500000000000003</v>
      </c>
      <c r="N845" s="77">
        <v>0.90500000000000003</v>
      </c>
      <c r="O845" s="77">
        <v>0.90500000000000003</v>
      </c>
      <c r="P845" s="77">
        <v>0.90500000000000003</v>
      </c>
      <c r="Q845" s="77">
        <v>0.90500000000000003</v>
      </c>
      <c r="R845" s="77">
        <v>0.90500000000000003</v>
      </c>
      <c r="S845" s="77">
        <v>0.90500000000000003</v>
      </c>
      <c r="T845" s="77">
        <v>0.90500000000000003</v>
      </c>
      <c r="U845" s="77">
        <v>0.90500000000000003</v>
      </c>
      <c r="V845" s="77">
        <v>0.90500000000000003</v>
      </c>
      <c r="W845" s="77">
        <v>0.90500000000000003</v>
      </c>
      <c r="X845" s="77">
        <v>0.90500000000000003</v>
      </c>
      <c r="Y845" s="77">
        <v>0.90500000000000003</v>
      </c>
      <c r="Z845" s="77">
        <v>0.90500000000000003</v>
      </c>
      <c r="AA845" s="77">
        <v>0.90500000000000003</v>
      </c>
      <c r="AB845" s="77">
        <v>0.90500000000000003</v>
      </c>
      <c r="AC845" s="77">
        <v>0.90500000000000003</v>
      </c>
      <c r="AD845" s="77">
        <v>0.90500000000000003</v>
      </c>
      <c r="AE845" s="77">
        <v>0.90500000000000003</v>
      </c>
      <c r="AF845" s="77">
        <v>0.90500000000000003</v>
      </c>
      <c r="AG845" s="77">
        <v>0.90500000000000003</v>
      </c>
      <c r="AH845" s="77">
        <v>0.90500000000000003</v>
      </c>
      <c r="AI845" s="77">
        <v>0.90500000000000003</v>
      </c>
      <c r="AJ845" s="77">
        <v>0.90500000000000003</v>
      </c>
      <c r="AK845" s="77">
        <v>0.90500000000000003</v>
      </c>
      <c r="AL845" s="77">
        <v>0.90500000000000003</v>
      </c>
      <c r="AM845" s="77">
        <v>0.90500000000000003</v>
      </c>
      <c r="AN845" s="77">
        <v>0.90500000000000003</v>
      </c>
      <c r="AO845" s="77">
        <v>0.90500000000000003</v>
      </c>
      <c r="AP845" s="77">
        <v>0.90500000000000003</v>
      </c>
      <c r="AQ845" s="77">
        <v>0.90500000000000003</v>
      </c>
      <c r="AR845" s="77">
        <v>0.90500000000000003</v>
      </c>
      <c r="AS845" s="77">
        <v>0.90500000000000003</v>
      </c>
      <c r="AT845" s="77">
        <v>0.90500000000000003</v>
      </c>
      <c r="AU845" s="77">
        <v>0.90500000000000003</v>
      </c>
      <c r="AV845" s="77">
        <v>0.90500000000000003</v>
      </c>
      <c r="AW845" s="77">
        <v>0.90500000000000003</v>
      </c>
      <c r="AX845" s="85">
        <v>0.90500000000000003</v>
      </c>
    </row>
    <row r="846" spans="1:50" x14ac:dyDescent="0.25">
      <c r="A846" s="356"/>
      <c r="B846" s="359"/>
      <c r="C846" s="350"/>
      <c r="D846" s="2" t="s">
        <v>8</v>
      </c>
      <c r="E846" s="160" t="str">
        <f>A825&amp;"/"&amp;B845&amp;"/"&amp;C845&amp;"/"&amp;D846</f>
        <v>Diesel oil fired power plants/Steam turbine/Electricity only/M</v>
      </c>
      <c r="F846" s="76" t="str">
        <f>A825</f>
        <v>Diesel oil fired power plants</v>
      </c>
      <c r="G846" s="76" t="str">
        <f>B845</f>
        <v>Steam turbine</v>
      </c>
      <c r="H846" s="76" t="str">
        <f>C845</f>
        <v>Electricity only</v>
      </c>
      <c r="I846" s="161" t="str">
        <f t="shared" si="90"/>
        <v>M</v>
      </c>
      <c r="J846" s="76">
        <v>0.90500000000000003</v>
      </c>
      <c r="K846" s="76">
        <v>0.90500000000000003</v>
      </c>
      <c r="L846" s="76">
        <v>0.90500000000000003</v>
      </c>
      <c r="M846" s="76">
        <v>0.90500000000000003</v>
      </c>
      <c r="N846" s="76">
        <v>0.90500000000000003</v>
      </c>
      <c r="O846" s="76">
        <v>0.90500000000000003</v>
      </c>
      <c r="P846" s="76">
        <v>0.90500000000000003</v>
      </c>
      <c r="Q846" s="76">
        <v>0.90500000000000003</v>
      </c>
      <c r="R846" s="76">
        <v>0.90500000000000003</v>
      </c>
      <c r="S846" s="76">
        <v>0.90500000000000003</v>
      </c>
      <c r="T846" s="76">
        <v>0.90500000000000003</v>
      </c>
      <c r="U846" s="76">
        <v>0.90500000000000003</v>
      </c>
      <c r="V846" s="76">
        <v>0.90500000000000003</v>
      </c>
      <c r="W846" s="76">
        <v>0.90500000000000003</v>
      </c>
      <c r="X846" s="76">
        <v>0.90500000000000003</v>
      </c>
      <c r="Y846" s="76">
        <v>0.90500000000000003</v>
      </c>
      <c r="Z846" s="76">
        <v>0.90500000000000003</v>
      </c>
      <c r="AA846" s="76">
        <v>0.90500000000000003</v>
      </c>
      <c r="AB846" s="76">
        <v>0.90500000000000003</v>
      </c>
      <c r="AC846" s="76">
        <v>0.90500000000000003</v>
      </c>
      <c r="AD846" s="76">
        <v>0.90500000000000003</v>
      </c>
      <c r="AE846" s="76">
        <v>0.90500000000000003</v>
      </c>
      <c r="AF846" s="76">
        <v>0.90500000000000003</v>
      </c>
      <c r="AG846" s="76">
        <v>0.90500000000000003</v>
      </c>
      <c r="AH846" s="76">
        <v>0.90500000000000003</v>
      </c>
      <c r="AI846" s="76">
        <v>0.90500000000000003</v>
      </c>
      <c r="AJ846" s="76">
        <v>0.90500000000000003</v>
      </c>
      <c r="AK846" s="76">
        <v>0.90500000000000003</v>
      </c>
      <c r="AL846" s="76">
        <v>0.90500000000000003</v>
      </c>
      <c r="AM846" s="76">
        <v>0.90500000000000003</v>
      </c>
      <c r="AN846" s="76">
        <v>0.90500000000000003</v>
      </c>
      <c r="AO846" s="76">
        <v>0.90500000000000003</v>
      </c>
      <c r="AP846" s="76">
        <v>0.90500000000000003</v>
      </c>
      <c r="AQ846" s="76">
        <v>0.90500000000000003</v>
      </c>
      <c r="AR846" s="76">
        <v>0.90500000000000003</v>
      </c>
      <c r="AS846" s="76">
        <v>0.90500000000000003</v>
      </c>
      <c r="AT846" s="76">
        <v>0.90500000000000003</v>
      </c>
      <c r="AU846" s="76">
        <v>0.90500000000000003</v>
      </c>
      <c r="AV846" s="76">
        <v>0.90500000000000003</v>
      </c>
      <c r="AW846" s="76">
        <v>0.90500000000000003</v>
      </c>
      <c r="AX846" s="84">
        <v>0.90500000000000003</v>
      </c>
    </row>
    <row r="847" spans="1:50" x14ac:dyDescent="0.25">
      <c r="A847" s="356"/>
      <c r="B847" s="359"/>
      <c r="C847" s="360"/>
      <c r="D847" s="2" t="s">
        <v>10</v>
      </c>
      <c r="E847" s="160" t="str">
        <f>A825&amp;"/"&amp;B845&amp;"/"&amp;C845&amp;"/"&amp;D847</f>
        <v>Diesel oil fired power plants/Steam turbine/Electricity only/S</v>
      </c>
      <c r="F847" s="76" t="str">
        <f>A825</f>
        <v>Diesel oil fired power plants</v>
      </c>
      <c r="G847" s="76" t="str">
        <f>B845</f>
        <v>Steam turbine</v>
      </c>
      <c r="H847" s="76" t="str">
        <f>C845</f>
        <v>Electricity only</v>
      </c>
      <c r="I847" s="161" t="str">
        <f t="shared" si="90"/>
        <v>S</v>
      </c>
      <c r="J847" s="76">
        <v>0.90500000000000003</v>
      </c>
      <c r="K847" s="76">
        <v>0.90500000000000003</v>
      </c>
      <c r="L847" s="76">
        <v>0.90500000000000003</v>
      </c>
      <c r="M847" s="76">
        <v>0.90500000000000003</v>
      </c>
      <c r="N847" s="76">
        <v>0.90500000000000003</v>
      </c>
      <c r="O847" s="76">
        <v>0.90500000000000003</v>
      </c>
      <c r="P847" s="76">
        <v>0.90500000000000003</v>
      </c>
      <c r="Q847" s="76">
        <v>0.90500000000000003</v>
      </c>
      <c r="R847" s="76">
        <v>0.90500000000000003</v>
      </c>
      <c r="S847" s="76">
        <v>0.90500000000000003</v>
      </c>
      <c r="T847" s="76">
        <v>0.90500000000000003</v>
      </c>
      <c r="U847" s="76">
        <v>0.90500000000000003</v>
      </c>
      <c r="V847" s="76">
        <v>0.90500000000000003</v>
      </c>
      <c r="W847" s="76">
        <v>0.90500000000000003</v>
      </c>
      <c r="X847" s="76">
        <v>0.90500000000000003</v>
      </c>
      <c r="Y847" s="76">
        <v>0.90500000000000003</v>
      </c>
      <c r="Z847" s="76">
        <v>0.90500000000000003</v>
      </c>
      <c r="AA847" s="76">
        <v>0.90500000000000003</v>
      </c>
      <c r="AB847" s="76">
        <v>0.90500000000000003</v>
      </c>
      <c r="AC847" s="76">
        <v>0.90500000000000003</v>
      </c>
      <c r="AD847" s="76">
        <v>0.90500000000000003</v>
      </c>
      <c r="AE847" s="76">
        <v>0.90500000000000003</v>
      </c>
      <c r="AF847" s="76">
        <v>0.90500000000000003</v>
      </c>
      <c r="AG847" s="76">
        <v>0.90500000000000003</v>
      </c>
      <c r="AH847" s="76">
        <v>0.90500000000000003</v>
      </c>
      <c r="AI847" s="76">
        <v>0.90500000000000003</v>
      </c>
      <c r="AJ847" s="76">
        <v>0.90500000000000003</v>
      </c>
      <c r="AK847" s="76">
        <v>0.90500000000000003</v>
      </c>
      <c r="AL847" s="76">
        <v>0.90500000000000003</v>
      </c>
      <c r="AM847" s="76">
        <v>0.90500000000000003</v>
      </c>
      <c r="AN847" s="76">
        <v>0.90500000000000003</v>
      </c>
      <c r="AO847" s="76">
        <v>0.90500000000000003</v>
      </c>
      <c r="AP847" s="76">
        <v>0.90500000000000003</v>
      </c>
      <c r="AQ847" s="76">
        <v>0.90500000000000003</v>
      </c>
      <c r="AR847" s="76">
        <v>0.90500000000000003</v>
      </c>
      <c r="AS847" s="76">
        <v>0.90500000000000003</v>
      </c>
      <c r="AT847" s="76">
        <v>0.90500000000000003</v>
      </c>
      <c r="AU847" s="76">
        <v>0.90500000000000003</v>
      </c>
      <c r="AV847" s="76">
        <v>0.90500000000000003</v>
      </c>
      <c r="AW847" s="76">
        <v>0.90500000000000003</v>
      </c>
      <c r="AX847" s="84">
        <v>0.90500000000000003</v>
      </c>
    </row>
    <row r="848" spans="1:50" x14ac:dyDescent="0.25">
      <c r="A848" s="356"/>
      <c r="B848" s="359"/>
      <c r="C848" s="361" t="s">
        <v>14</v>
      </c>
      <c r="D848" s="58" t="s">
        <v>7</v>
      </c>
      <c r="E848" s="164" t="str">
        <f>A825&amp;"/"&amp;B845&amp;"/"&amp;C848&amp;"/"&amp;D848</f>
        <v>Diesel oil fired power plants/Steam turbine/CHP/L</v>
      </c>
      <c r="F848" s="78" t="str">
        <f>A825</f>
        <v>Diesel oil fired power plants</v>
      </c>
      <c r="G848" s="78" t="str">
        <f>B845</f>
        <v>Steam turbine</v>
      </c>
      <c r="H848" s="78" t="str">
        <f>C848</f>
        <v>CHP</v>
      </c>
      <c r="I848" s="165" t="str">
        <f t="shared" si="90"/>
        <v>L</v>
      </c>
      <c r="J848" s="78">
        <v>0.90500000000000003</v>
      </c>
      <c r="K848" s="78">
        <v>0.90500000000000003</v>
      </c>
      <c r="L848" s="78">
        <v>0.90500000000000003</v>
      </c>
      <c r="M848" s="78">
        <v>0.90500000000000003</v>
      </c>
      <c r="N848" s="78">
        <v>0.90500000000000003</v>
      </c>
      <c r="O848" s="78">
        <v>0.90500000000000003</v>
      </c>
      <c r="P848" s="78">
        <v>0.90500000000000003</v>
      </c>
      <c r="Q848" s="78">
        <v>0.90500000000000003</v>
      </c>
      <c r="R848" s="78">
        <v>0.90500000000000003</v>
      </c>
      <c r="S848" s="78">
        <v>0.90500000000000003</v>
      </c>
      <c r="T848" s="78">
        <v>0.90500000000000003</v>
      </c>
      <c r="U848" s="78">
        <v>0.90500000000000003</v>
      </c>
      <c r="V848" s="78">
        <v>0.90500000000000003</v>
      </c>
      <c r="W848" s="78">
        <v>0.90500000000000003</v>
      </c>
      <c r="X848" s="78">
        <v>0.90500000000000003</v>
      </c>
      <c r="Y848" s="78">
        <v>0.90500000000000003</v>
      </c>
      <c r="Z848" s="78">
        <v>0.90500000000000003</v>
      </c>
      <c r="AA848" s="78">
        <v>0.90500000000000003</v>
      </c>
      <c r="AB848" s="78">
        <v>0.90500000000000003</v>
      </c>
      <c r="AC848" s="78">
        <v>0.90500000000000003</v>
      </c>
      <c r="AD848" s="78">
        <v>0.90500000000000003</v>
      </c>
      <c r="AE848" s="78">
        <v>0.90500000000000003</v>
      </c>
      <c r="AF848" s="78">
        <v>0.90500000000000003</v>
      </c>
      <c r="AG848" s="78">
        <v>0.90500000000000003</v>
      </c>
      <c r="AH848" s="78">
        <v>0.90500000000000003</v>
      </c>
      <c r="AI848" s="78">
        <v>0.90500000000000003</v>
      </c>
      <c r="AJ848" s="78">
        <v>0.90500000000000003</v>
      </c>
      <c r="AK848" s="78">
        <v>0.90500000000000003</v>
      </c>
      <c r="AL848" s="78">
        <v>0.90500000000000003</v>
      </c>
      <c r="AM848" s="78">
        <v>0.90500000000000003</v>
      </c>
      <c r="AN848" s="78">
        <v>0.90500000000000003</v>
      </c>
      <c r="AO848" s="78">
        <v>0.90500000000000003</v>
      </c>
      <c r="AP848" s="78">
        <v>0.90500000000000003</v>
      </c>
      <c r="AQ848" s="78">
        <v>0.90500000000000003</v>
      </c>
      <c r="AR848" s="78">
        <v>0.90500000000000003</v>
      </c>
      <c r="AS848" s="78">
        <v>0.90500000000000003</v>
      </c>
      <c r="AT848" s="78">
        <v>0.90500000000000003</v>
      </c>
      <c r="AU848" s="78">
        <v>0.90500000000000003</v>
      </c>
      <c r="AV848" s="78">
        <v>0.90500000000000003</v>
      </c>
      <c r="AW848" s="78">
        <v>0.90500000000000003</v>
      </c>
      <c r="AX848" s="86">
        <v>0.90500000000000003</v>
      </c>
    </row>
    <row r="849" spans="1:50" x14ac:dyDescent="0.25">
      <c r="A849" s="356"/>
      <c r="B849" s="359"/>
      <c r="C849" s="350"/>
      <c r="D849" s="2" t="s">
        <v>8</v>
      </c>
      <c r="E849" s="160" t="str">
        <f>A825&amp;"/"&amp;B845&amp;"/"&amp;C848&amp;"/"&amp;D849</f>
        <v>Diesel oil fired power plants/Steam turbine/CHP/M</v>
      </c>
      <c r="F849" s="76" t="str">
        <f>A825</f>
        <v>Diesel oil fired power plants</v>
      </c>
      <c r="G849" s="76" t="str">
        <f>B845</f>
        <v>Steam turbine</v>
      </c>
      <c r="H849" s="76" t="str">
        <f>C848</f>
        <v>CHP</v>
      </c>
      <c r="I849" s="161" t="str">
        <f t="shared" si="90"/>
        <v>M</v>
      </c>
      <c r="J849" s="76">
        <v>0.90500000000000003</v>
      </c>
      <c r="K849" s="76">
        <v>0.90500000000000003</v>
      </c>
      <c r="L849" s="76">
        <v>0.90500000000000003</v>
      </c>
      <c r="M849" s="76">
        <v>0.90500000000000003</v>
      </c>
      <c r="N849" s="76">
        <v>0.90500000000000003</v>
      </c>
      <c r="O849" s="76">
        <v>0.90500000000000003</v>
      </c>
      <c r="P849" s="76">
        <v>0.90500000000000003</v>
      </c>
      <c r="Q849" s="76">
        <v>0.90500000000000003</v>
      </c>
      <c r="R849" s="76">
        <v>0.90500000000000003</v>
      </c>
      <c r="S849" s="76">
        <v>0.90500000000000003</v>
      </c>
      <c r="T849" s="76">
        <v>0.90500000000000003</v>
      </c>
      <c r="U849" s="76">
        <v>0.90500000000000003</v>
      </c>
      <c r="V849" s="76">
        <v>0.90500000000000003</v>
      </c>
      <c r="W849" s="76">
        <v>0.90500000000000003</v>
      </c>
      <c r="X849" s="76">
        <v>0.90500000000000003</v>
      </c>
      <c r="Y849" s="76">
        <v>0.90500000000000003</v>
      </c>
      <c r="Z849" s="76">
        <v>0.90500000000000003</v>
      </c>
      <c r="AA849" s="76">
        <v>0.90500000000000003</v>
      </c>
      <c r="AB849" s="76">
        <v>0.90500000000000003</v>
      </c>
      <c r="AC849" s="76">
        <v>0.90500000000000003</v>
      </c>
      <c r="AD849" s="76">
        <v>0.90500000000000003</v>
      </c>
      <c r="AE849" s="76">
        <v>0.90500000000000003</v>
      </c>
      <c r="AF849" s="76">
        <v>0.90500000000000003</v>
      </c>
      <c r="AG849" s="76">
        <v>0.90500000000000003</v>
      </c>
      <c r="AH849" s="76">
        <v>0.90500000000000003</v>
      </c>
      <c r="AI849" s="76">
        <v>0.90500000000000003</v>
      </c>
      <c r="AJ849" s="76">
        <v>0.90500000000000003</v>
      </c>
      <c r="AK849" s="76">
        <v>0.90500000000000003</v>
      </c>
      <c r="AL849" s="76">
        <v>0.90500000000000003</v>
      </c>
      <c r="AM849" s="76">
        <v>0.90500000000000003</v>
      </c>
      <c r="AN849" s="76">
        <v>0.90500000000000003</v>
      </c>
      <c r="AO849" s="76">
        <v>0.90500000000000003</v>
      </c>
      <c r="AP849" s="76">
        <v>0.90500000000000003</v>
      </c>
      <c r="AQ849" s="76">
        <v>0.90500000000000003</v>
      </c>
      <c r="AR849" s="76">
        <v>0.90500000000000003</v>
      </c>
      <c r="AS849" s="76">
        <v>0.90500000000000003</v>
      </c>
      <c r="AT849" s="76">
        <v>0.90500000000000003</v>
      </c>
      <c r="AU849" s="76">
        <v>0.90500000000000003</v>
      </c>
      <c r="AV849" s="76">
        <v>0.90500000000000003</v>
      </c>
      <c r="AW849" s="76">
        <v>0.90500000000000003</v>
      </c>
      <c r="AX849" s="84">
        <v>0.90500000000000003</v>
      </c>
    </row>
    <row r="850" spans="1:50" x14ac:dyDescent="0.25">
      <c r="A850" s="356"/>
      <c r="B850" s="359"/>
      <c r="C850" s="360"/>
      <c r="D850" s="59" t="s">
        <v>10</v>
      </c>
      <c r="E850" s="166" t="str">
        <f>A825&amp;"/"&amp;B845&amp;"/"&amp;C848&amp;"/"&amp;D850</f>
        <v>Diesel oil fired power plants/Steam turbine/CHP/S</v>
      </c>
      <c r="F850" s="79" t="str">
        <f>A825</f>
        <v>Diesel oil fired power plants</v>
      </c>
      <c r="G850" s="79" t="str">
        <f>B845</f>
        <v>Steam turbine</v>
      </c>
      <c r="H850" s="79" t="str">
        <f>C848</f>
        <v>CHP</v>
      </c>
      <c r="I850" s="167" t="str">
        <f t="shared" si="90"/>
        <v>S</v>
      </c>
      <c r="J850" s="79">
        <v>0.90500000000000003</v>
      </c>
      <c r="K850" s="79">
        <v>0.90500000000000003</v>
      </c>
      <c r="L850" s="79">
        <v>0.90500000000000003</v>
      </c>
      <c r="M850" s="79">
        <v>0.90500000000000003</v>
      </c>
      <c r="N850" s="79">
        <v>0.90500000000000003</v>
      </c>
      <c r="O850" s="79">
        <v>0.90500000000000003</v>
      </c>
      <c r="P850" s="79">
        <v>0.90500000000000003</v>
      </c>
      <c r="Q850" s="79">
        <v>0.90500000000000003</v>
      </c>
      <c r="R850" s="79">
        <v>0.90500000000000003</v>
      </c>
      <c r="S850" s="79">
        <v>0.90500000000000003</v>
      </c>
      <c r="T850" s="79">
        <v>0.90500000000000003</v>
      </c>
      <c r="U850" s="79">
        <v>0.90500000000000003</v>
      </c>
      <c r="V850" s="79">
        <v>0.90500000000000003</v>
      </c>
      <c r="W850" s="79">
        <v>0.90500000000000003</v>
      </c>
      <c r="X850" s="79">
        <v>0.90500000000000003</v>
      </c>
      <c r="Y850" s="79">
        <v>0.90500000000000003</v>
      </c>
      <c r="Z850" s="79">
        <v>0.90500000000000003</v>
      </c>
      <c r="AA850" s="79">
        <v>0.90500000000000003</v>
      </c>
      <c r="AB850" s="79">
        <v>0.90500000000000003</v>
      </c>
      <c r="AC850" s="79">
        <v>0.90500000000000003</v>
      </c>
      <c r="AD850" s="79">
        <v>0.90500000000000003</v>
      </c>
      <c r="AE850" s="79">
        <v>0.90500000000000003</v>
      </c>
      <c r="AF850" s="79">
        <v>0.90500000000000003</v>
      </c>
      <c r="AG850" s="79">
        <v>0.90500000000000003</v>
      </c>
      <c r="AH850" s="79">
        <v>0.90500000000000003</v>
      </c>
      <c r="AI850" s="79">
        <v>0.90500000000000003</v>
      </c>
      <c r="AJ850" s="79">
        <v>0.90500000000000003</v>
      </c>
      <c r="AK850" s="79">
        <v>0.90500000000000003</v>
      </c>
      <c r="AL850" s="79">
        <v>0.90500000000000003</v>
      </c>
      <c r="AM850" s="79">
        <v>0.90500000000000003</v>
      </c>
      <c r="AN850" s="79">
        <v>0.90500000000000003</v>
      </c>
      <c r="AO850" s="79">
        <v>0.90500000000000003</v>
      </c>
      <c r="AP850" s="79">
        <v>0.90500000000000003</v>
      </c>
      <c r="AQ850" s="79">
        <v>0.90500000000000003</v>
      </c>
      <c r="AR850" s="79">
        <v>0.90500000000000003</v>
      </c>
      <c r="AS850" s="79">
        <v>0.90500000000000003</v>
      </c>
      <c r="AT850" s="79">
        <v>0.90500000000000003</v>
      </c>
      <c r="AU850" s="79">
        <v>0.90500000000000003</v>
      </c>
      <c r="AV850" s="79">
        <v>0.90500000000000003</v>
      </c>
      <c r="AW850" s="79">
        <v>0.90500000000000003</v>
      </c>
      <c r="AX850" s="87">
        <v>0.90500000000000003</v>
      </c>
    </row>
    <row r="851" spans="1:50" x14ac:dyDescent="0.25">
      <c r="A851" s="356"/>
      <c r="B851" s="359"/>
      <c r="C851" s="361" t="s">
        <v>15</v>
      </c>
      <c r="D851" s="58" t="s">
        <v>7</v>
      </c>
      <c r="E851" s="164" t="str">
        <f>A825&amp;"/"&amp;B845&amp;"/"&amp;C851&amp;"/"&amp;D851</f>
        <v>Diesel oil fired power plants/Steam turbine/Electricity only with CCS/L</v>
      </c>
      <c r="F851" s="78" t="str">
        <f>A825</f>
        <v>Diesel oil fired power plants</v>
      </c>
      <c r="G851" s="78" t="str">
        <f>B845</f>
        <v>Steam turbine</v>
      </c>
      <c r="H851" s="78" t="str">
        <f>C851</f>
        <v>Electricity only with CCS</v>
      </c>
      <c r="I851" s="165" t="str">
        <f t="shared" si="90"/>
        <v>L</v>
      </c>
      <c r="J851" s="78" t="s">
        <v>112</v>
      </c>
      <c r="K851" s="78" t="s">
        <v>112</v>
      </c>
      <c r="L851" s="78" t="s">
        <v>112</v>
      </c>
      <c r="M851" s="78" t="s">
        <v>112</v>
      </c>
      <c r="N851" s="78" t="s">
        <v>112</v>
      </c>
      <c r="O851" s="78" t="s">
        <v>112</v>
      </c>
      <c r="P851" s="78" t="s">
        <v>112</v>
      </c>
      <c r="Q851" s="78" t="s">
        <v>112</v>
      </c>
      <c r="R851" s="78" t="s">
        <v>112</v>
      </c>
      <c r="S851" s="78" t="s">
        <v>112</v>
      </c>
      <c r="T851" s="78" t="s">
        <v>112</v>
      </c>
      <c r="U851" s="78" t="s">
        <v>112</v>
      </c>
      <c r="V851" s="78" t="s">
        <v>112</v>
      </c>
      <c r="W851" s="78" t="s">
        <v>112</v>
      </c>
      <c r="X851" s="78" t="s">
        <v>112</v>
      </c>
      <c r="Y851" s="78" t="s">
        <v>112</v>
      </c>
      <c r="Z851" s="78" t="s">
        <v>112</v>
      </c>
      <c r="AA851" s="78" t="s">
        <v>112</v>
      </c>
      <c r="AB851" s="78" t="s">
        <v>112</v>
      </c>
      <c r="AC851" s="78" t="s">
        <v>112</v>
      </c>
      <c r="AD851" s="78" t="s">
        <v>112</v>
      </c>
      <c r="AE851" s="78">
        <v>0.90500000000000003</v>
      </c>
      <c r="AF851" s="78">
        <v>0.90500000000000003</v>
      </c>
      <c r="AG851" s="78">
        <v>0.90500000000000003</v>
      </c>
      <c r="AH851" s="78">
        <v>0.90500000000000003</v>
      </c>
      <c r="AI851" s="78">
        <v>0.90500000000000003</v>
      </c>
      <c r="AJ851" s="78">
        <v>0.90500000000000003</v>
      </c>
      <c r="AK851" s="78">
        <v>0.90500000000000003</v>
      </c>
      <c r="AL851" s="78">
        <v>0.90500000000000003</v>
      </c>
      <c r="AM851" s="78">
        <v>0.90500000000000003</v>
      </c>
      <c r="AN851" s="78">
        <v>0.90500000000000003</v>
      </c>
      <c r="AO851" s="78">
        <v>0.90500000000000003</v>
      </c>
      <c r="AP851" s="78">
        <v>0.90500000000000003</v>
      </c>
      <c r="AQ851" s="78">
        <v>0.90500000000000003</v>
      </c>
      <c r="AR851" s="78">
        <v>0.90500000000000003</v>
      </c>
      <c r="AS851" s="78">
        <v>0.90500000000000003</v>
      </c>
      <c r="AT851" s="78">
        <v>0.90500000000000003</v>
      </c>
      <c r="AU851" s="78">
        <v>0.90500000000000003</v>
      </c>
      <c r="AV851" s="78">
        <v>0.90500000000000003</v>
      </c>
      <c r="AW851" s="78">
        <v>0.90500000000000003</v>
      </c>
      <c r="AX851" s="86">
        <v>0.90500000000000003</v>
      </c>
    </row>
    <row r="852" spans="1:50" x14ac:dyDescent="0.25">
      <c r="A852" s="356"/>
      <c r="B852" s="359"/>
      <c r="C852" s="360"/>
      <c r="D852" s="59" t="s">
        <v>8</v>
      </c>
      <c r="E852" s="166" t="str">
        <f>A825&amp;"/"&amp;B845&amp;"/"&amp;C851&amp;"/"&amp;D852</f>
        <v>Diesel oil fired power plants/Steam turbine/Electricity only with CCS/M</v>
      </c>
      <c r="F852" s="79" t="str">
        <f>A825</f>
        <v>Diesel oil fired power plants</v>
      </c>
      <c r="G852" s="79" t="str">
        <f>B845</f>
        <v>Steam turbine</v>
      </c>
      <c r="H852" s="79" t="str">
        <f>C851</f>
        <v>Electricity only with CCS</v>
      </c>
      <c r="I852" s="167" t="str">
        <f t="shared" si="90"/>
        <v>M</v>
      </c>
      <c r="J852" s="79" t="s">
        <v>112</v>
      </c>
      <c r="K852" s="79" t="s">
        <v>112</v>
      </c>
      <c r="L852" s="79" t="s">
        <v>112</v>
      </c>
      <c r="M852" s="79" t="s">
        <v>112</v>
      </c>
      <c r="N852" s="79" t="s">
        <v>112</v>
      </c>
      <c r="O852" s="79" t="s">
        <v>112</v>
      </c>
      <c r="P852" s="79" t="s">
        <v>112</v>
      </c>
      <c r="Q852" s="79" t="s">
        <v>112</v>
      </c>
      <c r="R852" s="79" t="s">
        <v>112</v>
      </c>
      <c r="S852" s="79" t="s">
        <v>112</v>
      </c>
      <c r="T852" s="79" t="s">
        <v>112</v>
      </c>
      <c r="U852" s="79" t="s">
        <v>112</v>
      </c>
      <c r="V852" s="79" t="s">
        <v>112</v>
      </c>
      <c r="W852" s="79" t="s">
        <v>112</v>
      </c>
      <c r="X852" s="79" t="s">
        <v>112</v>
      </c>
      <c r="Y852" s="79" t="s">
        <v>112</v>
      </c>
      <c r="Z852" s="79" t="s">
        <v>112</v>
      </c>
      <c r="AA852" s="79" t="s">
        <v>112</v>
      </c>
      <c r="AB852" s="79" t="s">
        <v>112</v>
      </c>
      <c r="AC852" s="79" t="s">
        <v>112</v>
      </c>
      <c r="AD852" s="79" t="s">
        <v>112</v>
      </c>
      <c r="AE852" s="79">
        <v>0.90500000000000003</v>
      </c>
      <c r="AF852" s="79">
        <v>0.90500000000000003</v>
      </c>
      <c r="AG852" s="79">
        <v>0.90500000000000003</v>
      </c>
      <c r="AH852" s="79">
        <v>0.90500000000000003</v>
      </c>
      <c r="AI852" s="79">
        <v>0.90500000000000003</v>
      </c>
      <c r="AJ852" s="79">
        <v>0.90500000000000003</v>
      </c>
      <c r="AK852" s="79">
        <v>0.90500000000000003</v>
      </c>
      <c r="AL852" s="79">
        <v>0.90500000000000003</v>
      </c>
      <c r="AM852" s="79">
        <v>0.90500000000000003</v>
      </c>
      <c r="AN852" s="79">
        <v>0.90500000000000003</v>
      </c>
      <c r="AO852" s="79">
        <v>0.90500000000000003</v>
      </c>
      <c r="AP852" s="79">
        <v>0.90500000000000003</v>
      </c>
      <c r="AQ852" s="79">
        <v>0.90500000000000003</v>
      </c>
      <c r="AR852" s="79">
        <v>0.90500000000000003</v>
      </c>
      <c r="AS852" s="79">
        <v>0.90500000000000003</v>
      </c>
      <c r="AT852" s="79">
        <v>0.90500000000000003</v>
      </c>
      <c r="AU852" s="79">
        <v>0.90500000000000003</v>
      </c>
      <c r="AV852" s="79">
        <v>0.90500000000000003</v>
      </c>
      <c r="AW852" s="79">
        <v>0.90500000000000003</v>
      </c>
      <c r="AX852" s="87">
        <v>0.90500000000000003</v>
      </c>
    </row>
    <row r="853" spans="1:50" x14ac:dyDescent="0.25">
      <c r="A853" s="356"/>
      <c r="B853" s="359"/>
      <c r="C853" s="361" t="s">
        <v>16</v>
      </c>
      <c r="D853" s="2" t="s">
        <v>7</v>
      </c>
      <c r="E853" s="160" t="str">
        <f>A825&amp;"/"&amp;B845&amp;"/"&amp;C853&amp;"/"&amp;D853</f>
        <v>Diesel oil fired power plants/Steam turbine/CHP with CCS/L</v>
      </c>
      <c r="F853" s="76" t="str">
        <f>A825</f>
        <v>Diesel oil fired power plants</v>
      </c>
      <c r="G853" s="76" t="str">
        <f>B845</f>
        <v>Steam turbine</v>
      </c>
      <c r="H853" s="76" t="str">
        <f>C853</f>
        <v>CHP with CCS</v>
      </c>
      <c r="I853" s="161" t="str">
        <f t="shared" si="90"/>
        <v>L</v>
      </c>
      <c r="J853" s="76" t="s">
        <v>112</v>
      </c>
      <c r="K853" s="76" t="s">
        <v>112</v>
      </c>
      <c r="L853" s="76" t="s">
        <v>112</v>
      </c>
      <c r="M853" s="76" t="s">
        <v>112</v>
      </c>
      <c r="N853" s="76" t="s">
        <v>112</v>
      </c>
      <c r="O853" s="76" t="s">
        <v>112</v>
      </c>
      <c r="P853" s="76" t="s">
        <v>112</v>
      </c>
      <c r="Q853" s="76" t="s">
        <v>112</v>
      </c>
      <c r="R853" s="76" t="s">
        <v>112</v>
      </c>
      <c r="S853" s="76" t="s">
        <v>112</v>
      </c>
      <c r="T853" s="76" t="s">
        <v>112</v>
      </c>
      <c r="U853" s="76" t="s">
        <v>112</v>
      </c>
      <c r="V853" s="76" t="s">
        <v>112</v>
      </c>
      <c r="W853" s="76" t="s">
        <v>112</v>
      </c>
      <c r="X853" s="76" t="s">
        <v>112</v>
      </c>
      <c r="Y853" s="76" t="s">
        <v>112</v>
      </c>
      <c r="Z853" s="76" t="s">
        <v>112</v>
      </c>
      <c r="AA853" s="76" t="s">
        <v>112</v>
      </c>
      <c r="AB853" s="76" t="s">
        <v>112</v>
      </c>
      <c r="AC853" s="76" t="s">
        <v>112</v>
      </c>
      <c r="AD853" s="76" t="s">
        <v>112</v>
      </c>
      <c r="AE853" s="76">
        <v>0.90500000000000003</v>
      </c>
      <c r="AF853" s="76">
        <v>0.90500000000000003</v>
      </c>
      <c r="AG853" s="76">
        <v>0.90500000000000003</v>
      </c>
      <c r="AH853" s="76">
        <v>0.90500000000000003</v>
      </c>
      <c r="AI853" s="76">
        <v>0.90500000000000003</v>
      </c>
      <c r="AJ853" s="76">
        <v>0.90500000000000003</v>
      </c>
      <c r="AK853" s="76">
        <v>0.90500000000000003</v>
      </c>
      <c r="AL853" s="76">
        <v>0.90500000000000003</v>
      </c>
      <c r="AM853" s="76">
        <v>0.90500000000000003</v>
      </c>
      <c r="AN853" s="76">
        <v>0.90500000000000003</v>
      </c>
      <c r="AO853" s="76">
        <v>0.90500000000000003</v>
      </c>
      <c r="AP853" s="76">
        <v>0.90500000000000003</v>
      </c>
      <c r="AQ853" s="76">
        <v>0.90500000000000003</v>
      </c>
      <c r="AR853" s="76">
        <v>0.90500000000000003</v>
      </c>
      <c r="AS853" s="76">
        <v>0.90500000000000003</v>
      </c>
      <c r="AT853" s="76">
        <v>0.90500000000000003</v>
      </c>
      <c r="AU853" s="76">
        <v>0.90500000000000003</v>
      </c>
      <c r="AV853" s="76">
        <v>0.90500000000000003</v>
      </c>
      <c r="AW853" s="76">
        <v>0.90500000000000003</v>
      </c>
      <c r="AX853" s="84">
        <v>0.90500000000000003</v>
      </c>
    </row>
    <row r="854" spans="1:50" x14ac:dyDescent="0.25">
      <c r="A854" s="356"/>
      <c r="B854" s="362"/>
      <c r="C854" s="354"/>
      <c r="D854" s="4" t="s">
        <v>8</v>
      </c>
      <c r="E854" s="168" t="str">
        <f>A825&amp;"/"&amp;B845&amp;"/"&amp;C853&amp;"/"&amp;D854</f>
        <v>Diesel oil fired power plants/Steam turbine/CHP with CCS/M</v>
      </c>
      <c r="F854" s="80" t="str">
        <f>A825</f>
        <v>Diesel oil fired power plants</v>
      </c>
      <c r="G854" s="80" t="str">
        <f>B845</f>
        <v>Steam turbine</v>
      </c>
      <c r="H854" s="80" t="str">
        <f>C853</f>
        <v>CHP with CCS</v>
      </c>
      <c r="I854" s="169" t="str">
        <f t="shared" si="90"/>
        <v>M</v>
      </c>
      <c r="J854" s="80" t="s">
        <v>112</v>
      </c>
      <c r="K854" s="80" t="s">
        <v>112</v>
      </c>
      <c r="L854" s="80" t="s">
        <v>112</v>
      </c>
      <c r="M854" s="80" t="s">
        <v>112</v>
      </c>
      <c r="N854" s="80" t="s">
        <v>112</v>
      </c>
      <c r="O854" s="80" t="s">
        <v>112</v>
      </c>
      <c r="P854" s="80" t="s">
        <v>112</v>
      </c>
      <c r="Q854" s="80" t="s">
        <v>112</v>
      </c>
      <c r="R854" s="80" t="s">
        <v>112</v>
      </c>
      <c r="S854" s="80" t="s">
        <v>112</v>
      </c>
      <c r="T854" s="80" t="s">
        <v>112</v>
      </c>
      <c r="U854" s="80" t="s">
        <v>112</v>
      </c>
      <c r="V854" s="80" t="s">
        <v>112</v>
      </c>
      <c r="W854" s="80" t="s">
        <v>112</v>
      </c>
      <c r="X854" s="80" t="s">
        <v>112</v>
      </c>
      <c r="Y854" s="80" t="s">
        <v>112</v>
      </c>
      <c r="Z854" s="80" t="s">
        <v>112</v>
      </c>
      <c r="AA854" s="80" t="s">
        <v>112</v>
      </c>
      <c r="AB854" s="80" t="s">
        <v>112</v>
      </c>
      <c r="AC854" s="80" t="s">
        <v>112</v>
      </c>
      <c r="AD854" s="80" t="s">
        <v>112</v>
      </c>
      <c r="AE854" s="80">
        <v>0.90500000000000003</v>
      </c>
      <c r="AF854" s="80">
        <v>0.90500000000000003</v>
      </c>
      <c r="AG854" s="80">
        <v>0.90500000000000003</v>
      </c>
      <c r="AH854" s="80">
        <v>0.90500000000000003</v>
      </c>
      <c r="AI854" s="80">
        <v>0.90500000000000003</v>
      </c>
      <c r="AJ854" s="80">
        <v>0.90500000000000003</v>
      </c>
      <c r="AK854" s="80">
        <v>0.90500000000000003</v>
      </c>
      <c r="AL854" s="80">
        <v>0.90500000000000003</v>
      </c>
      <c r="AM854" s="80">
        <v>0.90500000000000003</v>
      </c>
      <c r="AN854" s="80">
        <v>0.90500000000000003</v>
      </c>
      <c r="AO854" s="80">
        <v>0.90500000000000003</v>
      </c>
      <c r="AP854" s="80">
        <v>0.90500000000000003</v>
      </c>
      <c r="AQ854" s="80">
        <v>0.90500000000000003</v>
      </c>
      <c r="AR854" s="80">
        <v>0.90500000000000003</v>
      </c>
      <c r="AS854" s="80">
        <v>0.90500000000000003</v>
      </c>
      <c r="AT854" s="80">
        <v>0.90500000000000003</v>
      </c>
      <c r="AU854" s="80">
        <v>0.90500000000000003</v>
      </c>
      <c r="AV854" s="80">
        <v>0.90500000000000003</v>
      </c>
      <c r="AW854" s="80">
        <v>0.90500000000000003</v>
      </c>
      <c r="AX854" s="88">
        <v>0.90500000000000003</v>
      </c>
    </row>
    <row r="855" spans="1:50" x14ac:dyDescent="0.25">
      <c r="A855" s="356"/>
      <c r="B855" s="358" t="s">
        <v>25</v>
      </c>
      <c r="C855" s="353" t="s">
        <v>6</v>
      </c>
      <c r="D855" s="3" t="s">
        <v>10</v>
      </c>
      <c r="E855" s="162" t="str">
        <f>A825&amp;"/"&amp;B855&amp;"/"&amp;C855&amp;"/"&amp;D855</f>
        <v>Diesel oil fired power plants/Internal combustion engine/Electricity only/S</v>
      </c>
      <c r="F855" s="77" t="str">
        <f>A825</f>
        <v>Diesel oil fired power plants</v>
      </c>
      <c r="G855" s="77" t="str">
        <f>B855</f>
        <v>Internal combustion engine</v>
      </c>
      <c r="H855" s="77" t="str">
        <f>C855</f>
        <v>Electricity only</v>
      </c>
      <c r="I855" s="163" t="str">
        <f t="shared" si="90"/>
        <v>S</v>
      </c>
      <c r="J855" s="77">
        <v>0.95499999999999996</v>
      </c>
      <c r="K855" s="77">
        <v>0.95499999999999996</v>
      </c>
      <c r="L855" s="77">
        <v>0.95499999999999996</v>
      </c>
      <c r="M855" s="77">
        <v>0.95499999999999996</v>
      </c>
      <c r="N855" s="77">
        <v>0.95499999999999996</v>
      </c>
      <c r="O855" s="77">
        <v>0.95499999999999996</v>
      </c>
      <c r="P855" s="77">
        <v>0.95499999999999996</v>
      </c>
      <c r="Q855" s="77">
        <v>0.95499999999999996</v>
      </c>
      <c r="R855" s="77">
        <v>0.95499999999999996</v>
      </c>
      <c r="S855" s="77">
        <v>0.95499999999999996</v>
      </c>
      <c r="T855" s="77">
        <v>0.95499999999999996</v>
      </c>
      <c r="U855" s="77">
        <v>0.95499999999999996</v>
      </c>
      <c r="V855" s="77">
        <v>0.95499999999999996</v>
      </c>
      <c r="W855" s="77">
        <v>0.95499999999999996</v>
      </c>
      <c r="X855" s="77">
        <v>0.95499999999999996</v>
      </c>
      <c r="Y855" s="77">
        <v>0.95499999999999996</v>
      </c>
      <c r="Z855" s="77">
        <v>0.95499999999999996</v>
      </c>
      <c r="AA855" s="77">
        <v>0.95499999999999996</v>
      </c>
      <c r="AB855" s="77">
        <v>0.95499999999999996</v>
      </c>
      <c r="AC855" s="77">
        <v>0.95499999999999996</v>
      </c>
      <c r="AD855" s="77">
        <v>0.95499999999999996</v>
      </c>
      <c r="AE855" s="77">
        <v>0.95499999999999996</v>
      </c>
      <c r="AF855" s="77">
        <v>0.95499999999999996</v>
      </c>
      <c r="AG855" s="77">
        <v>0.95499999999999996</v>
      </c>
      <c r="AH855" s="77">
        <v>0.95499999999999996</v>
      </c>
      <c r="AI855" s="77">
        <v>0.95499999999999996</v>
      </c>
      <c r="AJ855" s="77">
        <v>0.95499999999999996</v>
      </c>
      <c r="AK855" s="77">
        <v>0.95499999999999996</v>
      </c>
      <c r="AL855" s="77">
        <v>0.95499999999999996</v>
      </c>
      <c r="AM855" s="77">
        <v>0.95499999999999996</v>
      </c>
      <c r="AN855" s="77">
        <v>0.95499999999999996</v>
      </c>
      <c r="AO855" s="77">
        <v>0.95499999999999996</v>
      </c>
      <c r="AP855" s="77">
        <v>0.95499999999999996</v>
      </c>
      <c r="AQ855" s="77">
        <v>0.95499999999999996</v>
      </c>
      <c r="AR855" s="77">
        <v>0.95499999999999996</v>
      </c>
      <c r="AS855" s="77">
        <v>0.95499999999999996</v>
      </c>
      <c r="AT855" s="77">
        <v>0.95499999999999996</v>
      </c>
      <c r="AU855" s="77">
        <v>0.95499999999999996</v>
      </c>
      <c r="AV855" s="77">
        <v>0.95499999999999996</v>
      </c>
      <c r="AW855" s="77">
        <v>0.95499999999999996</v>
      </c>
      <c r="AX855" s="85">
        <v>0.95499999999999996</v>
      </c>
    </row>
    <row r="856" spans="1:50" x14ac:dyDescent="0.25">
      <c r="A856" s="356"/>
      <c r="B856" s="359"/>
      <c r="C856" s="360"/>
      <c r="D856" s="59" t="s">
        <v>20</v>
      </c>
      <c r="E856" s="160" t="str">
        <f>A825&amp;"/"&amp;B855&amp;"/"&amp;C855&amp;"/"&amp;D856</f>
        <v>Diesel oil fired power plants/Internal combustion engine/Electricity only/XS</v>
      </c>
      <c r="F856" s="76" t="str">
        <f>A825</f>
        <v>Diesel oil fired power plants</v>
      </c>
      <c r="G856" s="76" t="str">
        <f>B855</f>
        <v>Internal combustion engine</v>
      </c>
      <c r="H856" s="76" t="str">
        <f>C855</f>
        <v>Electricity only</v>
      </c>
      <c r="I856" s="161" t="str">
        <f t="shared" si="90"/>
        <v>XS</v>
      </c>
      <c r="J856" s="76">
        <v>0.95499999999999996</v>
      </c>
      <c r="K856" s="76">
        <v>0.95499999999999996</v>
      </c>
      <c r="L856" s="76">
        <v>0.95499999999999996</v>
      </c>
      <c r="M856" s="76">
        <v>0.95499999999999996</v>
      </c>
      <c r="N856" s="76">
        <v>0.95499999999999996</v>
      </c>
      <c r="O856" s="76">
        <v>0.95499999999999996</v>
      </c>
      <c r="P856" s="76">
        <v>0.95499999999999996</v>
      </c>
      <c r="Q856" s="76">
        <v>0.95499999999999996</v>
      </c>
      <c r="R856" s="76">
        <v>0.95499999999999996</v>
      </c>
      <c r="S856" s="76">
        <v>0.95499999999999996</v>
      </c>
      <c r="T856" s="76">
        <v>0.95499999999999996</v>
      </c>
      <c r="U856" s="76">
        <v>0.95499999999999996</v>
      </c>
      <c r="V856" s="76">
        <v>0.95499999999999996</v>
      </c>
      <c r="W856" s="76">
        <v>0.95499999999999996</v>
      </c>
      <c r="X856" s="76">
        <v>0.95499999999999996</v>
      </c>
      <c r="Y856" s="76">
        <v>0.95499999999999996</v>
      </c>
      <c r="Z856" s="76">
        <v>0.95499999999999996</v>
      </c>
      <c r="AA856" s="76">
        <v>0.95499999999999996</v>
      </c>
      <c r="AB856" s="76">
        <v>0.95499999999999996</v>
      </c>
      <c r="AC856" s="76">
        <v>0.95499999999999996</v>
      </c>
      <c r="AD856" s="76">
        <v>0.95499999999999996</v>
      </c>
      <c r="AE856" s="76">
        <v>0.95499999999999996</v>
      </c>
      <c r="AF856" s="76">
        <v>0.95499999999999996</v>
      </c>
      <c r="AG856" s="76">
        <v>0.95499999999999996</v>
      </c>
      <c r="AH856" s="76">
        <v>0.95499999999999996</v>
      </c>
      <c r="AI856" s="76">
        <v>0.95499999999999996</v>
      </c>
      <c r="AJ856" s="76">
        <v>0.95499999999999996</v>
      </c>
      <c r="AK856" s="76">
        <v>0.95499999999999996</v>
      </c>
      <c r="AL856" s="76">
        <v>0.95499999999999996</v>
      </c>
      <c r="AM856" s="76">
        <v>0.95499999999999996</v>
      </c>
      <c r="AN856" s="76">
        <v>0.95499999999999996</v>
      </c>
      <c r="AO856" s="76">
        <v>0.95499999999999996</v>
      </c>
      <c r="AP856" s="76">
        <v>0.95499999999999996</v>
      </c>
      <c r="AQ856" s="76">
        <v>0.95499999999999996</v>
      </c>
      <c r="AR856" s="76">
        <v>0.95499999999999996</v>
      </c>
      <c r="AS856" s="76">
        <v>0.95499999999999996</v>
      </c>
      <c r="AT856" s="76">
        <v>0.95499999999999996</v>
      </c>
      <c r="AU856" s="76">
        <v>0.95499999999999996</v>
      </c>
      <c r="AV856" s="76">
        <v>0.95499999999999996</v>
      </c>
      <c r="AW856" s="76">
        <v>0.95499999999999996</v>
      </c>
      <c r="AX856" s="84">
        <v>0.95499999999999996</v>
      </c>
    </row>
    <row r="857" spans="1:50" x14ac:dyDescent="0.25">
      <c r="A857" s="356"/>
      <c r="B857" s="359"/>
      <c r="C857" s="350" t="s">
        <v>14</v>
      </c>
      <c r="D857" s="2" t="s">
        <v>10</v>
      </c>
      <c r="E857" s="164" t="str">
        <f>A825&amp;"/"&amp;B855&amp;"/"&amp;C857&amp;"/"&amp;D857</f>
        <v>Diesel oil fired power plants/Internal combustion engine/CHP/S</v>
      </c>
      <c r="F857" s="78" t="str">
        <f>A825</f>
        <v>Diesel oil fired power plants</v>
      </c>
      <c r="G857" s="78" t="str">
        <f>B855</f>
        <v>Internal combustion engine</v>
      </c>
      <c r="H857" s="78" t="str">
        <f>C857</f>
        <v>CHP</v>
      </c>
      <c r="I857" s="165" t="str">
        <f t="shared" si="90"/>
        <v>S</v>
      </c>
      <c r="J857" s="78">
        <v>0.95499999999999996</v>
      </c>
      <c r="K857" s="78">
        <v>0.95499999999999996</v>
      </c>
      <c r="L857" s="78">
        <v>0.95499999999999996</v>
      </c>
      <c r="M857" s="78">
        <v>0.95499999999999996</v>
      </c>
      <c r="N857" s="78">
        <v>0.95499999999999996</v>
      </c>
      <c r="O857" s="78">
        <v>0.95499999999999996</v>
      </c>
      <c r="P857" s="78">
        <v>0.95499999999999996</v>
      </c>
      <c r="Q857" s="78">
        <v>0.95499999999999996</v>
      </c>
      <c r="R857" s="78">
        <v>0.95499999999999996</v>
      </c>
      <c r="S857" s="78">
        <v>0.95499999999999996</v>
      </c>
      <c r="T857" s="78">
        <v>0.95499999999999996</v>
      </c>
      <c r="U857" s="78">
        <v>0.95499999999999996</v>
      </c>
      <c r="V857" s="78">
        <v>0.95499999999999996</v>
      </c>
      <c r="W857" s="78">
        <v>0.95499999999999996</v>
      </c>
      <c r="X857" s="78">
        <v>0.95499999999999996</v>
      </c>
      <c r="Y857" s="78">
        <v>0.95499999999999996</v>
      </c>
      <c r="Z857" s="78">
        <v>0.95499999999999996</v>
      </c>
      <c r="AA857" s="78">
        <v>0.95499999999999996</v>
      </c>
      <c r="AB857" s="78">
        <v>0.95499999999999996</v>
      </c>
      <c r="AC857" s="78">
        <v>0.95499999999999996</v>
      </c>
      <c r="AD857" s="78">
        <v>0.95499999999999996</v>
      </c>
      <c r="AE857" s="78">
        <v>0.95499999999999996</v>
      </c>
      <c r="AF857" s="78">
        <v>0.95499999999999996</v>
      </c>
      <c r="AG857" s="78">
        <v>0.95499999999999996</v>
      </c>
      <c r="AH857" s="78">
        <v>0.95499999999999996</v>
      </c>
      <c r="AI857" s="78">
        <v>0.95499999999999996</v>
      </c>
      <c r="AJ857" s="78">
        <v>0.95499999999999996</v>
      </c>
      <c r="AK857" s="78">
        <v>0.95499999999999996</v>
      </c>
      <c r="AL857" s="78">
        <v>0.95499999999999996</v>
      </c>
      <c r="AM857" s="78">
        <v>0.95499999999999996</v>
      </c>
      <c r="AN857" s="78">
        <v>0.95499999999999996</v>
      </c>
      <c r="AO857" s="78">
        <v>0.95499999999999996</v>
      </c>
      <c r="AP857" s="78">
        <v>0.95499999999999996</v>
      </c>
      <c r="AQ857" s="78">
        <v>0.95499999999999996</v>
      </c>
      <c r="AR857" s="78">
        <v>0.95499999999999996</v>
      </c>
      <c r="AS857" s="78">
        <v>0.95499999999999996</v>
      </c>
      <c r="AT857" s="78">
        <v>0.95499999999999996</v>
      </c>
      <c r="AU857" s="78">
        <v>0.95499999999999996</v>
      </c>
      <c r="AV857" s="78">
        <v>0.95499999999999996</v>
      </c>
      <c r="AW857" s="78">
        <v>0.95499999999999996</v>
      </c>
      <c r="AX857" s="86">
        <v>0.95499999999999996</v>
      </c>
    </row>
    <row r="858" spans="1:50" x14ac:dyDescent="0.25">
      <c r="A858" s="357"/>
      <c r="B858" s="362"/>
      <c r="C858" s="354"/>
      <c r="D858" s="4" t="s">
        <v>20</v>
      </c>
      <c r="E858" s="168" t="str">
        <f>A825&amp;"/"&amp;B855&amp;"/"&amp;C857&amp;"/"&amp;D858</f>
        <v>Diesel oil fired power plants/Internal combustion engine/CHP/XS</v>
      </c>
      <c r="F858" s="80" t="str">
        <f>A825</f>
        <v>Diesel oil fired power plants</v>
      </c>
      <c r="G858" s="80" t="str">
        <f>B855</f>
        <v>Internal combustion engine</v>
      </c>
      <c r="H858" s="80" t="str">
        <f>C857</f>
        <v>CHP</v>
      </c>
      <c r="I858" s="169" t="str">
        <f t="shared" si="90"/>
        <v>XS</v>
      </c>
      <c r="J858" s="80">
        <v>0.95499999999999996</v>
      </c>
      <c r="K858" s="80">
        <v>0.95499999999999996</v>
      </c>
      <c r="L858" s="80">
        <v>0.95499999999999996</v>
      </c>
      <c r="M858" s="80">
        <v>0.95499999999999996</v>
      </c>
      <c r="N858" s="80">
        <v>0.95499999999999996</v>
      </c>
      <c r="O858" s="80">
        <v>0.95499999999999996</v>
      </c>
      <c r="P858" s="80">
        <v>0.95499999999999996</v>
      </c>
      <c r="Q858" s="80">
        <v>0.95499999999999996</v>
      </c>
      <c r="R858" s="80">
        <v>0.95499999999999996</v>
      </c>
      <c r="S858" s="80">
        <v>0.95499999999999996</v>
      </c>
      <c r="T858" s="80">
        <v>0.95499999999999996</v>
      </c>
      <c r="U858" s="80">
        <v>0.95499999999999996</v>
      </c>
      <c r="V858" s="80">
        <v>0.95499999999999996</v>
      </c>
      <c r="W858" s="80">
        <v>0.95499999999999996</v>
      </c>
      <c r="X858" s="80">
        <v>0.95499999999999996</v>
      </c>
      <c r="Y858" s="80">
        <v>0.95499999999999996</v>
      </c>
      <c r="Z858" s="80">
        <v>0.95499999999999996</v>
      </c>
      <c r="AA858" s="80">
        <v>0.95499999999999996</v>
      </c>
      <c r="AB858" s="80">
        <v>0.95499999999999996</v>
      </c>
      <c r="AC858" s="80">
        <v>0.95499999999999996</v>
      </c>
      <c r="AD858" s="80">
        <v>0.95499999999999996</v>
      </c>
      <c r="AE858" s="80">
        <v>0.95499999999999996</v>
      </c>
      <c r="AF858" s="80">
        <v>0.95499999999999996</v>
      </c>
      <c r="AG858" s="80">
        <v>0.95499999999999996</v>
      </c>
      <c r="AH858" s="80">
        <v>0.95499999999999996</v>
      </c>
      <c r="AI858" s="80">
        <v>0.95499999999999996</v>
      </c>
      <c r="AJ858" s="80">
        <v>0.95499999999999996</v>
      </c>
      <c r="AK858" s="80">
        <v>0.95499999999999996</v>
      </c>
      <c r="AL858" s="80">
        <v>0.95499999999999996</v>
      </c>
      <c r="AM858" s="80">
        <v>0.95499999999999996</v>
      </c>
      <c r="AN858" s="80">
        <v>0.95499999999999996</v>
      </c>
      <c r="AO858" s="80">
        <v>0.95499999999999996</v>
      </c>
      <c r="AP858" s="80">
        <v>0.95499999999999996</v>
      </c>
      <c r="AQ858" s="80">
        <v>0.95499999999999996</v>
      </c>
      <c r="AR858" s="80">
        <v>0.95499999999999996</v>
      </c>
      <c r="AS858" s="80">
        <v>0.95499999999999996</v>
      </c>
      <c r="AT858" s="80">
        <v>0.95499999999999996</v>
      </c>
      <c r="AU858" s="80">
        <v>0.95499999999999996</v>
      </c>
      <c r="AV858" s="80">
        <v>0.95499999999999996</v>
      </c>
      <c r="AW858" s="80">
        <v>0.95499999999999996</v>
      </c>
      <c r="AX858" s="88">
        <v>0.95499999999999996</v>
      </c>
    </row>
    <row r="859" spans="1:50" x14ac:dyDescent="0.25">
      <c r="A859" s="355" t="s">
        <v>29</v>
      </c>
      <c r="B859" s="358" t="s">
        <v>13</v>
      </c>
      <c r="C859" s="353" t="s">
        <v>6</v>
      </c>
      <c r="D859" s="3" t="s">
        <v>7</v>
      </c>
      <c r="E859" s="162" t="str">
        <f>A859&amp;"/"&amp;B859&amp;"/"&amp;C859&amp;"/"&amp;D859</f>
        <v>Fuel oil fired power plants/Integrated gasification combined cycle/Electricity only/L</v>
      </c>
      <c r="F859" s="77" t="str">
        <f>A859</f>
        <v>Fuel oil fired power plants</v>
      </c>
      <c r="G859" s="77" t="str">
        <f>B859</f>
        <v>Integrated gasification combined cycle</v>
      </c>
      <c r="H859" s="77" t="str">
        <f>C859</f>
        <v>Electricity only</v>
      </c>
      <c r="I859" s="163" t="str">
        <f t="shared" si="90"/>
        <v>L</v>
      </c>
      <c r="J859" s="77">
        <v>0.90500000000000003</v>
      </c>
      <c r="K859" s="77">
        <v>0.90500000000000003</v>
      </c>
      <c r="L859" s="77">
        <v>0.90500000000000003</v>
      </c>
      <c r="M859" s="77">
        <v>0.90500000000000003</v>
      </c>
      <c r="N859" s="77">
        <v>0.90500000000000003</v>
      </c>
      <c r="O859" s="77">
        <v>0.90500000000000003</v>
      </c>
      <c r="P859" s="77">
        <v>0.90500000000000003</v>
      </c>
      <c r="Q859" s="77">
        <v>0.90500000000000003</v>
      </c>
      <c r="R859" s="77">
        <v>0.90500000000000003</v>
      </c>
      <c r="S859" s="77">
        <v>0.90500000000000003</v>
      </c>
      <c r="T859" s="77">
        <v>0.90500000000000003</v>
      </c>
      <c r="U859" s="77">
        <v>0.90500000000000003</v>
      </c>
      <c r="V859" s="77">
        <v>0.90500000000000003</v>
      </c>
      <c r="W859" s="77">
        <v>0.90500000000000003</v>
      </c>
      <c r="X859" s="77">
        <v>0.90500000000000003</v>
      </c>
      <c r="Y859" s="77">
        <v>0.90500000000000003</v>
      </c>
      <c r="Z859" s="77">
        <v>0.90500000000000003</v>
      </c>
      <c r="AA859" s="77">
        <v>0.90500000000000003</v>
      </c>
      <c r="AB859" s="77">
        <v>0.90500000000000003</v>
      </c>
      <c r="AC859" s="77">
        <v>0.90500000000000003</v>
      </c>
      <c r="AD859" s="77">
        <v>0.90500000000000003</v>
      </c>
      <c r="AE859" s="77">
        <v>0.90500000000000003</v>
      </c>
      <c r="AF859" s="77">
        <v>0.90500000000000003</v>
      </c>
      <c r="AG859" s="77">
        <v>0.90500000000000003</v>
      </c>
      <c r="AH859" s="77">
        <v>0.90500000000000003</v>
      </c>
      <c r="AI859" s="77">
        <v>0.90500000000000003</v>
      </c>
      <c r="AJ859" s="77">
        <v>0.90500000000000003</v>
      </c>
      <c r="AK859" s="77">
        <v>0.90500000000000003</v>
      </c>
      <c r="AL859" s="77">
        <v>0.90500000000000003</v>
      </c>
      <c r="AM859" s="77">
        <v>0.90500000000000003</v>
      </c>
      <c r="AN859" s="77">
        <v>0.90500000000000003</v>
      </c>
      <c r="AO859" s="77">
        <v>0.90500000000000003</v>
      </c>
      <c r="AP859" s="77">
        <v>0.90500000000000003</v>
      </c>
      <c r="AQ859" s="77">
        <v>0.90500000000000003</v>
      </c>
      <c r="AR859" s="77">
        <v>0.90500000000000003</v>
      </c>
      <c r="AS859" s="77">
        <v>0.90500000000000003</v>
      </c>
      <c r="AT859" s="77">
        <v>0.90500000000000003</v>
      </c>
      <c r="AU859" s="77">
        <v>0.90500000000000003</v>
      </c>
      <c r="AV859" s="77">
        <v>0.90500000000000003</v>
      </c>
      <c r="AW859" s="77">
        <v>0.90500000000000003</v>
      </c>
      <c r="AX859" s="85">
        <v>0.90500000000000003</v>
      </c>
    </row>
    <row r="860" spans="1:50" x14ac:dyDescent="0.25">
      <c r="A860" s="356"/>
      <c r="B860" s="359"/>
      <c r="C860" s="360"/>
      <c r="D860" s="2" t="s">
        <v>8</v>
      </c>
      <c r="E860" s="160" t="str">
        <f>A859&amp;"/"&amp;B859&amp;"/"&amp;C859&amp;"/"&amp;D860</f>
        <v>Fuel oil fired power plants/Integrated gasification combined cycle/Electricity only/M</v>
      </c>
      <c r="F860" s="76" t="str">
        <f>A859</f>
        <v>Fuel oil fired power plants</v>
      </c>
      <c r="G860" s="76" t="str">
        <f>B859</f>
        <v>Integrated gasification combined cycle</v>
      </c>
      <c r="H860" s="76" t="str">
        <f>C859</f>
        <v>Electricity only</v>
      </c>
      <c r="I860" s="161" t="str">
        <f t="shared" si="90"/>
        <v>M</v>
      </c>
      <c r="J860" s="76">
        <v>0.90500000000000003</v>
      </c>
      <c r="K860" s="76">
        <v>0.90500000000000003</v>
      </c>
      <c r="L860" s="76">
        <v>0.90500000000000003</v>
      </c>
      <c r="M860" s="76">
        <v>0.90500000000000003</v>
      </c>
      <c r="N860" s="76">
        <v>0.90500000000000003</v>
      </c>
      <c r="O860" s="76">
        <v>0.90500000000000003</v>
      </c>
      <c r="P860" s="76">
        <v>0.90500000000000003</v>
      </c>
      <c r="Q860" s="76">
        <v>0.90500000000000003</v>
      </c>
      <c r="R860" s="76">
        <v>0.90500000000000003</v>
      </c>
      <c r="S860" s="76">
        <v>0.90500000000000003</v>
      </c>
      <c r="T860" s="76">
        <v>0.90500000000000003</v>
      </c>
      <c r="U860" s="76">
        <v>0.90500000000000003</v>
      </c>
      <c r="V860" s="76">
        <v>0.90500000000000003</v>
      </c>
      <c r="W860" s="76">
        <v>0.90500000000000003</v>
      </c>
      <c r="X860" s="76">
        <v>0.90500000000000003</v>
      </c>
      <c r="Y860" s="76">
        <v>0.90500000000000003</v>
      </c>
      <c r="Z860" s="76">
        <v>0.90500000000000003</v>
      </c>
      <c r="AA860" s="76">
        <v>0.90500000000000003</v>
      </c>
      <c r="AB860" s="76">
        <v>0.90500000000000003</v>
      </c>
      <c r="AC860" s="76">
        <v>0.90500000000000003</v>
      </c>
      <c r="AD860" s="76">
        <v>0.90500000000000003</v>
      </c>
      <c r="AE860" s="76">
        <v>0.90500000000000003</v>
      </c>
      <c r="AF860" s="76">
        <v>0.90500000000000003</v>
      </c>
      <c r="AG860" s="76">
        <v>0.90500000000000003</v>
      </c>
      <c r="AH860" s="76">
        <v>0.90500000000000003</v>
      </c>
      <c r="AI860" s="76">
        <v>0.90500000000000003</v>
      </c>
      <c r="AJ860" s="76">
        <v>0.90500000000000003</v>
      </c>
      <c r="AK860" s="76">
        <v>0.90500000000000003</v>
      </c>
      <c r="AL860" s="76">
        <v>0.90500000000000003</v>
      </c>
      <c r="AM860" s="76">
        <v>0.90500000000000003</v>
      </c>
      <c r="AN860" s="76">
        <v>0.90500000000000003</v>
      </c>
      <c r="AO860" s="76">
        <v>0.90500000000000003</v>
      </c>
      <c r="AP860" s="76">
        <v>0.90500000000000003</v>
      </c>
      <c r="AQ860" s="76">
        <v>0.90500000000000003</v>
      </c>
      <c r="AR860" s="76">
        <v>0.90500000000000003</v>
      </c>
      <c r="AS860" s="76">
        <v>0.90500000000000003</v>
      </c>
      <c r="AT860" s="76">
        <v>0.90500000000000003</v>
      </c>
      <c r="AU860" s="76">
        <v>0.90500000000000003</v>
      </c>
      <c r="AV860" s="76">
        <v>0.90500000000000003</v>
      </c>
      <c r="AW860" s="76">
        <v>0.90500000000000003</v>
      </c>
      <c r="AX860" s="84">
        <v>0.90500000000000003</v>
      </c>
    </row>
    <row r="861" spans="1:50" x14ac:dyDescent="0.25">
      <c r="A861" s="356"/>
      <c r="B861" s="359"/>
      <c r="C861" s="361" t="s">
        <v>14</v>
      </c>
      <c r="D861" s="58" t="s">
        <v>7</v>
      </c>
      <c r="E861" s="164" t="str">
        <f>A859&amp;"/"&amp;B859&amp;"/"&amp;C861&amp;"/"&amp;D861</f>
        <v>Fuel oil fired power plants/Integrated gasification combined cycle/CHP/L</v>
      </c>
      <c r="F861" s="78" t="str">
        <f>A859</f>
        <v>Fuel oil fired power plants</v>
      </c>
      <c r="G861" s="78" t="str">
        <f>B859</f>
        <v>Integrated gasification combined cycle</v>
      </c>
      <c r="H861" s="78" t="str">
        <f>C861</f>
        <v>CHP</v>
      </c>
      <c r="I861" s="165" t="str">
        <f t="shared" si="90"/>
        <v>L</v>
      </c>
      <c r="J861" s="78">
        <v>0.90500000000000003</v>
      </c>
      <c r="K861" s="78">
        <v>0.90500000000000003</v>
      </c>
      <c r="L861" s="78">
        <v>0.90500000000000003</v>
      </c>
      <c r="M861" s="78">
        <v>0.90500000000000003</v>
      </c>
      <c r="N861" s="78">
        <v>0.90500000000000003</v>
      </c>
      <c r="O861" s="78">
        <v>0.90500000000000003</v>
      </c>
      <c r="P861" s="78">
        <v>0.90500000000000003</v>
      </c>
      <c r="Q861" s="78">
        <v>0.90500000000000003</v>
      </c>
      <c r="R861" s="78">
        <v>0.90500000000000003</v>
      </c>
      <c r="S861" s="78">
        <v>0.90500000000000003</v>
      </c>
      <c r="T861" s="78">
        <v>0.90500000000000003</v>
      </c>
      <c r="U861" s="78">
        <v>0.90500000000000003</v>
      </c>
      <c r="V861" s="78">
        <v>0.90500000000000003</v>
      </c>
      <c r="W861" s="78">
        <v>0.90500000000000003</v>
      </c>
      <c r="X861" s="78">
        <v>0.90500000000000003</v>
      </c>
      <c r="Y861" s="78">
        <v>0.90500000000000003</v>
      </c>
      <c r="Z861" s="78">
        <v>0.90500000000000003</v>
      </c>
      <c r="AA861" s="78">
        <v>0.90500000000000003</v>
      </c>
      <c r="AB861" s="78">
        <v>0.90500000000000003</v>
      </c>
      <c r="AC861" s="78">
        <v>0.90500000000000003</v>
      </c>
      <c r="AD861" s="78">
        <v>0.90500000000000003</v>
      </c>
      <c r="AE861" s="78">
        <v>0.90500000000000003</v>
      </c>
      <c r="AF861" s="78">
        <v>0.90500000000000003</v>
      </c>
      <c r="AG861" s="78">
        <v>0.90500000000000003</v>
      </c>
      <c r="AH861" s="78">
        <v>0.90500000000000003</v>
      </c>
      <c r="AI861" s="78">
        <v>0.90500000000000003</v>
      </c>
      <c r="AJ861" s="78">
        <v>0.90500000000000003</v>
      </c>
      <c r="AK861" s="78">
        <v>0.90500000000000003</v>
      </c>
      <c r="AL861" s="78">
        <v>0.90500000000000003</v>
      </c>
      <c r="AM861" s="78">
        <v>0.90500000000000003</v>
      </c>
      <c r="AN861" s="78">
        <v>0.90500000000000003</v>
      </c>
      <c r="AO861" s="78">
        <v>0.90500000000000003</v>
      </c>
      <c r="AP861" s="78">
        <v>0.90500000000000003</v>
      </c>
      <c r="AQ861" s="78">
        <v>0.90500000000000003</v>
      </c>
      <c r="AR861" s="78">
        <v>0.90500000000000003</v>
      </c>
      <c r="AS861" s="78">
        <v>0.90500000000000003</v>
      </c>
      <c r="AT861" s="78">
        <v>0.90500000000000003</v>
      </c>
      <c r="AU861" s="78">
        <v>0.90500000000000003</v>
      </c>
      <c r="AV861" s="78">
        <v>0.90500000000000003</v>
      </c>
      <c r="AW861" s="78">
        <v>0.90500000000000003</v>
      </c>
      <c r="AX861" s="86">
        <v>0.90500000000000003</v>
      </c>
    </row>
    <row r="862" spans="1:50" x14ac:dyDescent="0.25">
      <c r="A862" s="356"/>
      <c r="B862" s="359"/>
      <c r="C862" s="360"/>
      <c r="D862" s="59" t="s">
        <v>8</v>
      </c>
      <c r="E862" s="166" t="str">
        <f>A859&amp;"/"&amp;B859&amp;"/"&amp;C861&amp;"/"&amp;D862</f>
        <v>Fuel oil fired power plants/Integrated gasification combined cycle/CHP/M</v>
      </c>
      <c r="F862" s="79" t="str">
        <f>A859</f>
        <v>Fuel oil fired power plants</v>
      </c>
      <c r="G862" s="79" t="str">
        <f>B859</f>
        <v>Integrated gasification combined cycle</v>
      </c>
      <c r="H862" s="79" t="str">
        <f>C861</f>
        <v>CHP</v>
      </c>
      <c r="I862" s="167" t="str">
        <f t="shared" si="90"/>
        <v>M</v>
      </c>
      <c r="J862" s="79">
        <v>0.90500000000000003</v>
      </c>
      <c r="K862" s="79">
        <v>0.90500000000000003</v>
      </c>
      <c r="L862" s="79">
        <v>0.90500000000000003</v>
      </c>
      <c r="M862" s="79">
        <v>0.90500000000000003</v>
      </c>
      <c r="N862" s="79">
        <v>0.90500000000000003</v>
      </c>
      <c r="O862" s="79">
        <v>0.90500000000000003</v>
      </c>
      <c r="P862" s="79">
        <v>0.90500000000000003</v>
      </c>
      <c r="Q862" s="79">
        <v>0.90500000000000003</v>
      </c>
      <c r="R862" s="79">
        <v>0.90500000000000003</v>
      </c>
      <c r="S862" s="79">
        <v>0.90500000000000003</v>
      </c>
      <c r="T862" s="79">
        <v>0.90500000000000003</v>
      </c>
      <c r="U862" s="79">
        <v>0.90500000000000003</v>
      </c>
      <c r="V862" s="79">
        <v>0.90500000000000003</v>
      </c>
      <c r="W862" s="79">
        <v>0.90500000000000003</v>
      </c>
      <c r="X862" s="79">
        <v>0.90500000000000003</v>
      </c>
      <c r="Y862" s="79">
        <v>0.90500000000000003</v>
      </c>
      <c r="Z862" s="79">
        <v>0.90500000000000003</v>
      </c>
      <c r="AA862" s="79">
        <v>0.90500000000000003</v>
      </c>
      <c r="AB862" s="79">
        <v>0.90500000000000003</v>
      </c>
      <c r="AC862" s="79">
        <v>0.90500000000000003</v>
      </c>
      <c r="AD862" s="79">
        <v>0.90500000000000003</v>
      </c>
      <c r="AE862" s="79">
        <v>0.90500000000000003</v>
      </c>
      <c r="AF862" s="79">
        <v>0.90500000000000003</v>
      </c>
      <c r="AG862" s="79">
        <v>0.90500000000000003</v>
      </c>
      <c r="AH862" s="79">
        <v>0.90500000000000003</v>
      </c>
      <c r="AI862" s="79">
        <v>0.90500000000000003</v>
      </c>
      <c r="AJ862" s="79">
        <v>0.90500000000000003</v>
      </c>
      <c r="AK862" s="79">
        <v>0.90500000000000003</v>
      </c>
      <c r="AL862" s="79">
        <v>0.90500000000000003</v>
      </c>
      <c r="AM862" s="79">
        <v>0.90500000000000003</v>
      </c>
      <c r="AN862" s="79">
        <v>0.90500000000000003</v>
      </c>
      <c r="AO862" s="79">
        <v>0.90500000000000003</v>
      </c>
      <c r="AP862" s="79">
        <v>0.90500000000000003</v>
      </c>
      <c r="AQ862" s="79">
        <v>0.90500000000000003</v>
      </c>
      <c r="AR862" s="79">
        <v>0.90500000000000003</v>
      </c>
      <c r="AS862" s="79">
        <v>0.90500000000000003</v>
      </c>
      <c r="AT862" s="79">
        <v>0.90500000000000003</v>
      </c>
      <c r="AU862" s="79">
        <v>0.90500000000000003</v>
      </c>
      <c r="AV862" s="79">
        <v>0.90500000000000003</v>
      </c>
      <c r="AW862" s="79">
        <v>0.90500000000000003</v>
      </c>
      <c r="AX862" s="87">
        <v>0.90500000000000003</v>
      </c>
    </row>
    <row r="863" spans="1:50" x14ac:dyDescent="0.25">
      <c r="A863" s="356"/>
      <c r="B863" s="359"/>
      <c r="C863" s="361" t="s">
        <v>15</v>
      </c>
      <c r="D863" s="58" t="s">
        <v>7</v>
      </c>
      <c r="E863" s="164" t="str">
        <f>A859&amp;"/"&amp;B859&amp;"/"&amp;C863&amp;"/"&amp;D863</f>
        <v>Fuel oil fired power plants/Integrated gasification combined cycle/Electricity only with CCS/L</v>
      </c>
      <c r="F863" s="78" t="str">
        <f>A859</f>
        <v>Fuel oil fired power plants</v>
      </c>
      <c r="G863" s="78" t="str">
        <f>B859</f>
        <v>Integrated gasification combined cycle</v>
      </c>
      <c r="H863" s="78" t="str">
        <f>C863</f>
        <v>Electricity only with CCS</v>
      </c>
      <c r="I863" s="165" t="str">
        <f t="shared" si="90"/>
        <v>L</v>
      </c>
      <c r="J863" s="78" t="s">
        <v>112</v>
      </c>
      <c r="K863" s="78" t="s">
        <v>112</v>
      </c>
      <c r="L863" s="78" t="s">
        <v>112</v>
      </c>
      <c r="M863" s="78" t="s">
        <v>112</v>
      </c>
      <c r="N863" s="78" t="s">
        <v>112</v>
      </c>
      <c r="O863" s="78" t="s">
        <v>112</v>
      </c>
      <c r="P863" s="78" t="s">
        <v>112</v>
      </c>
      <c r="Q863" s="78" t="s">
        <v>112</v>
      </c>
      <c r="R863" s="78" t="s">
        <v>112</v>
      </c>
      <c r="S863" s="78" t="s">
        <v>112</v>
      </c>
      <c r="T863" s="78" t="s">
        <v>112</v>
      </c>
      <c r="U863" s="78" t="s">
        <v>112</v>
      </c>
      <c r="V863" s="78" t="s">
        <v>112</v>
      </c>
      <c r="W863" s="78" t="s">
        <v>112</v>
      </c>
      <c r="X863" s="78" t="s">
        <v>112</v>
      </c>
      <c r="Y863" s="78" t="s">
        <v>112</v>
      </c>
      <c r="Z863" s="78" t="s">
        <v>112</v>
      </c>
      <c r="AA863" s="78" t="s">
        <v>112</v>
      </c>
      <c r="AB863" s="78" t="s">
        <v>112</v>
      </c>
      <c r="AC863" s="78" t="s">
        <v>112</v>
      </c>
      <c r="AD863" s="78" t="s">
        <v>112</v>
      </c>
      <c r="AE863" s="78">
        <v>0.90500000000000003</v>
      </c>
      <c r="AF863" s="78">
        <v>0.90500000000000003</v>
      </c>
      <c r="AG863" s="78">
        <v>0.90500000000000003</v>
      </c>
      <c r="AH863" s="78">
        <v>0.90500000000000003</v>
      </c>
      <c r="AI863" s="78">
        <v>0.90500000000000003</v>
      </c>
      <c r="AJ863" s="78">
        <v>0.90500000000000003</v>
      </c>
      <c r="AK863" s="78">
        <v>0.90500000000000003</v>
      </c>
      <c r="AL863" s="78">
        <v>0.90500000000000003</v>
      </c>
      <c r="AM863" s="78">
        <v>0.90500000000000003</v>
      </c>
      <c r="AN863" s="78">
        <v>0.90500000000000003</v>
      </c>
      <c r="AO863" s="78">
        <v>0.90500000000000003</v>
      </c>
      <c r="AP863" s="78">
        <v>0.90500000000000003</v>
      </c>
      <c r="AQ863" s="78">
        <v>0.90500000000000003</v>
      </c>
      <c r="AR863" s="78">
        <v>0.90500000000000003</v>
      </c>
      <c r="AS863" s="78">
        <v>0.90500000000000003</v>
      </c>
      <c r="AT863" s="78">
        <v>0.90500000000000003</v>
      </c>
      <c r="AU863" s="78">
        <v>0.90500000000000003</v>
      </c>
      <c r="AV863" s="78">
        <v>0.90500000000000003</v>
      </c>
      <c r="AW863" s="78">
        <v>0.90500000000000003</v>
      </c>
      <c r="AX863" s="86">
        <v>0.90500000000000003</v>
      </c>
    </row>
    <row r="864" spans="1:50" x14ac:dyDescent="0.25">
      <c r="A864" s="356"/>
      <c r="B864" s="359"/>
      <c r="C864" s="360"/>
      <c r="D864" s="59" t="s">
        <v>8</v>
      </c>
      <c r="E864" s="166" t="str">
        <f>A859&amp;"/"&amp;B859&amp;"/"&amp;C863&amp;"/"&amp;D864</f>
        <v>Fuel oil fired power plants/Integrated gasification combined cycle/Electricity only with CCS/M</v>
      </c>
      <c r="F864" s="79" t="str">
        <f>A859</f>
        <v>Fuel oil fired power plants</v>
      </c>
      <c r="G864" s="79" t="str">
        <f>B859</f>
        <v>Integrated gasification combined cycle</v>
      </c>
      <c r="H864" s="79" t="str">
        <f>C863</f>
        <v>Electricity only with CCS</v>
      </c>
      <c r="I864" s="167" t="str">
        <f t="shared" si="90"/>
        <v>M</v>
      </c>
      <c r="J864" s="79" t="s">
        <v>112</v>
      </c>
      <c r="K864" s="79" t="s">
        <v>112</v>
      </c>
      <c r="L864" s="79" t="s">
        <v>112</v>
      </c>
      <c r="M864" s="79" t="s">
        <v>112</v>
      </c>
      <c r="N864" s="79" t="s">
        <v>112</v>
      </c>
      <c r="O864" s="79" t="s">
        <v>112</v>
      </c>
      <c r="P864" s="79" t="s">
        <v>112</v>
      </c>
      <c r="Q864" s="79" t="s">
        <v>112</v>
      </c>
      <c r="R864" s="79" t="s">
        <v>112</v>
      </c>
      <c r="S864" s="79" t="s">
        <v>112</v>
      </c>
      <c r="T864" s="79" t="s">
        <v>112</v>
      </c>
      <c r="U864" s="79" t="s">
        <v>112</v>
      </c>
      <c r="V864" s="79" t="s">
        <v>112</v>
      </c>
      <c r="W864" s="79" t="s">
        <v>112</v>
      </c>
      <c r="X864" s="79" t="s">
        <v>112</v>
      </c>
      <c r="Y864" s="79" t="s">
        <v>112</v>
      </c>
      <c r="Z864" s="79" t="s">
        <v>112</v>
      </c>
      <c r="AA864" s="79" t="s">
        <v>112</v>
      </c>
      <c r="AB864" s="79" t="s">
        <v>112</v>
      </c>
      <c r="AC864" s="79" t="s">
        <v>112</v>
      </c>
      <c r="AD864" s="79" t="s">
        <v>112</v>
      </c>
      <c r="AE864" s="79">
        <v>0.90500000000000003</v>
      </c>
      <c r="AF864" s="79">
        <v>0.90500000000000003</v>
      </c>
      <c r="AG864" s="79">
        <v>0.90500000000000003</v>
      </c>
      <c r="AH864" s="79">
        <v>0.90500000000000003</v>
      </c>
      <c r="AI864" s="79">
        <v>0.90500000000000003</v>
      </c>
      <c r="AJ864" s="79">
        <v>0.90500000000000003</v>
      </c>
      <c r="AK864" s="79">
        <v>0.90500000000000003</v>
      </c>
      <c r="AL864" s="79">
        <v>0.90500000000000003</v>
      </c>
      <c r="AM864" s="79">
        <v>0.90500000000000003</v>
      </c>
      <c r="AN864" s="79">
        <v>0.90500000000000003</v>
      </c>
      <c r="AO864" s="79">
        <v>0.90500000000000003</v>
      </c>
      <c r="AP864" s="79">
        <v>0.90500000000000003</v>
      </c>
      <c r="AQ864" s="79">
        <v>0.90500000000000003</v>
      </c>
      <c r="AR864" s="79">
        <v>0.90500000000000003</v>
      </c>
      <c r="AS864" s="79">
        <v>0.90500000000000003</v>
      </c>
      <c r="AT864" s="79">
        <v>0.90500000000000003</v>
      </c>
      <c r="AU864" s="79">
        <v>0.90500000000000003</v>
      </c>
      <c r="AV864" s="79">
        <v>0.90500000000000003</v>
      </c>
      <c r="AW864" s="79">
        <v>0.90500000000000003</v>
      </c>
      <c r="AX864" s="87">
        <v>0.90500000000000003</v>
      </c>
    </row>
    <row r="865" spans="1:50" x14ac:dyDescent="0.25">
      <c r="A865" s="356"/>
      <c r="B865" s="359"/>
      <c r="C865" s="361" t="s">
        <v>16</v>
      </c>
      <c r="D865" s="2" t="s">
        <v>7</v>
      </c>
      <c r="E865" s="160" t="str">
        <f>A859&amp;"/"&amp;B859&amp;"/"&amp;C865&amp;"/"&amp;D865</f>
        <v>Fuel oil fired power plants/Integrated gasification combined cycle/CHP with CCS/L</v>
      </c>
      <c r="F865" s="76" t="str">
        <f>A859</f>
        <v>Fuel oil fired power plants</v>
      </c>
      <c r="G865" s="76" t="str">
        <f>B859</f>
        <v>Integrated gasification combined cycle</v>
      </c>
      <c r="H865" s="76" t="str">
        <f>C865</f>
        <v>CHP with CCS</v>
      </c>
      <c r="I865" s="161" t="str">
        <f t="shared" si="90"/>
        <v>L</v>
      </c>
      <c r="J865" s="76" t="s">
        <v>112</v>
      </c>
      <c r="K865" s="76" t="s">
        <v>112</v>
      </c>
      <c r="L865" s="76" t="s">
        <v>112</v>
      </c>
      <c r="M865" s="76" t="s">
        <v>112</v>
      </c>
      <c r="N865" s="76" t="s">
        <v>112</v>
      </c>
      <c r="O865" s="76" t="s">
        <v>112</v>
      </c>
      <c r="P865" s="76" t="s">
        <v>112</v>
      </c>
      <c r="Q865" s="76" t="s">
        <v>112</v>
      </c>
      <c r="R865" s="76" t="s">
        <v>112</v>
      </c>
      <c r="S865" s="76" t="s">
        <v>112</v>
      </c>
      <c r="T865" s="76" t="s">
        <v>112</v>
      </c>
      <c r="U865" s="76" t="s">
        <v>112</v>
      </c>
      <c r="V865" s="76" t="s">
        <v>112</v>
      </c>
      <c r="W865" s="76" t="s">
        <v>112</v>
      </c>
      <c r="X865" s="76" t="s">
        <v>112</v>
      </c>
      <c r="Y865" s="76" t="s">
        <v>112</v>
      </c>
      <c r="Z865" s="76" t="s">
        <v>112</v>
      </c>
      <c r="AA865" s="76" t="s">
        <v>112</v>
      </c>
      <c r="AB865" s="76" t="s">
        <v>112</v>
      </c>
      <c r="AC865" s="76" t="s">
        <v>112</v>
      </c>
      <c r="AD865" s="76" t="s">
        <v>112</v>
      </c>
      <c r="AE865" s="76">
        <v>0.90500000000000003</v>
      </c>
      <c r="AF865" s="76">
        <v>0.90500000000000003</v>
      </c>
      <c r="AG865" s="76">
        <v>0.90500000000000003</v>
      </c>
      <c r="AH865" s="76">
        <v>0.90500000000000003</v>
      </c>
      <c r="AI865" s="76">
        <v>0.90500000000000003</v>
      </c>
      <c r="AJ865" s="76">
        <v>0.90500000000000003</v>
      </c>
      <c r="AK865" s="76">
        <v>0.90500000000000003</v>
      </c>
      <c r="AL865" s="76">
        <v>0.90500000000000003</v>
      </c>
      <c r="AM865" s="76">
        <v>0.90500000000000003</v>
      </c>
      <c r="AN865" s="76">
        <v>0.90500000000000003</v>
      </c>
      <c r="AO865" s="76">
        <v>0.90500000000000003</v>
      </c>
      <c r="AP865" s="76">
        <v>0.90500000000000003</v>
      </c>
      <c r="AQ865" s="76">
        <v>0.90500000000000003</v>
      </c>
      <c r="AR865" s="76">
        <v>0.90500000000000003</v>
      </c>
      <c r="AS865" s="76">
        <v>0.90500000000000003</v>
      </c>
      <c r="AT865" s="76">
        <v>0.90500000000000003</v>
      </c>
      <c r="AU865" s="76">
        <v>0.90500000000000003</v>
      </c>
      <c r="AV865" s="76">
        <v>0.90500000000000003</v>
      </c>
      <c r="AW865" s="76">
        <v>0.90500000000000003</v>
      </c>
      <c r="AX865" s="84">
        <v>0.90500000000000003</v>
      </c>
    </row>
    <row r="866" spans="1:50" x14ac:dyDescent="0.25">
      <c r="A866" s="356"/>
      <c r="B866" s="362"/>
      <c r="C866" s="354"/>
      <c r="D866" s="4" t="s">
        <v>8</v>
      </c>
      <c r="E866" s="168" t="str">
        <f>A859&amp;"/"&amp;B859&amp;"/"&amp;C865&amp;"/"&amp;D866</f>
        <v>Fuel oil fired power plants/Integrated gasification combined cycle/CHP with CCS/M</v>
      </c>
      <c r="F866" s="80" t="str">
        <f>A859</f>
        <v>Fuel oil fired power plants</v>
      </c>
      <c r="G866" s="80" t="str">
        <f>B859</f>
        <v>Integrated gasification combined cycle</v>
      </c>
      <c r="H866" s="80" t="str">
        <f>C865</f>
        <v>CHP with CCS</v>
      </c>
      <c r="I866" s="169" t="str">
        <f t="shared" si="90"/>
        <v>M</v>
      </c>
      <c r="J866" s="80" t="s">
        <v>112</v>
      </c>
      <c r="K866" s="80" t="s">
        <v>112</v>
      </c>
      <c r="L866" s="80" t="s">
        <v>112</v>
      </c>
      <c r="M866" s="80" t="s">
        <v>112</v>
      </c>
      <c r="N866" s="80" t="s">
        <v>112</v>
      </c>
      <c r="O866" s="80" t="s">
        <v>112</v>
      </c>
      <c r="P866" s="80" t="s">
        <v>112</v>
      </c>
      <c r="Q866" s="80" t="s">
        <v>112</v>
      </c>
      <c r="R866" s="80" t="s">
        <v>112</v>
      </c>
      <c r="S866" s="80" t="s">
        <v>112</v>
      </c>
      <c r="T866" s="80" t="s">
        <v>112</v>
      </c>
      <c r="U866" s="80" t="s">
        <v>112</v>
      </c>
      <c r="V866" s="80" t="s">
        <v>112</v>
      </c>
      <c r="W866" s="80" t="s">
        <v>112</v>
      </c>
      <c r="X866" s="80" t="s">
        <v>112</v>
      </c>
      <c r="Y866" s="80" t="s">
        <v>112</v>
      </c>
      <c r="Z866" s="80" t="s">
        <v>112</v>
      </c>
      <c r="AA866" s="80" t="s">
        <v>112</v>
      </c>
      <c r="AB866" s="80" t="s">
        <v>112</v>
      </c>
      <c r="AC866" s="80" t="s">
        <v>112</v>
      </c>
      <c r="AD866" s="80" t="s">
        <v>112</v>
      </c>
      <c r="AE866" s="80">
        <v>0.90500000000000003</v>
      </c>
      <c r="AF866" s="80">
        <v>0.90500000000000003</v>
      </c>
      <c r="AG866" s="80">
        <v>0.90500000000000003</v>
      </c>
      <c r="AH866" s="80">
        <v>0.90500000000000003</v>
      </c>
      <c r="AI866" s="80">
        <v>0.90500000000000003</v>
      </c>
      <c r="AJ866" s="80">
        <v>0.90500000000000003</v>
      </c>
      <c r="AK866" s="80">
        <v>0.90500000000000003</v>
      </c>
      <c r="AL866" s="80">
        <v>0.90500000000000003</v>
      </c>
      <c r="AM866" s="80">
        <v>0.90500000000000003</v>
      </c>
      <c r="AN866" s="80">
        <v>0.90500000000000003</v>
      </c>
      <c r="AO866" s="80">
        <v>0.90500000000000003</v>
      </c>
      <c r="AP866" s="80">
        <v>0.90500000000000003</v>
      </c>
      <c r="AQ866" s="80">
        <v>0.90500000000000003</v>
      </c>
      <c r="AR866" s="80">
        <v>0.90500000000000003</v>
      </c>
      <c r="AS866" s="80">
        <v>0.90500000000000003</v>
      </c>
      <c r="AT866" s="80">
        <v>0.90500000000000003</v>
      </c>
      <c r="AU866" s="80">
        <v>0.90500000000000003</v>
      </c>
      <c r="AV866" s="80">
        <v>0.90500000000000003</v>
      </c>
      <c r="AW866" s="80">
        <v>0.90500000000000003</v>
      </c>
      <c r="AX866" s="88">
        <v>0.90500000000000003</v>
      </c>
    </row>
    <row r="867" spans="1:50" x14ac:dyDescent="0.25">
      <c r="A867" s="356"/>
      <c r="B867" s="358" t="s">
        <v>17</v>
      </c>
      <c r="C867" s="353" t="s">
        <v>6</v>
      </c>
      <c r="D867" s="3" t="s">
        <v>7</v>
      </c>
      <c r="E867" s="162" t="str">
        <f>A859&amp;"/"&amp;B867&amp;"/"&amp;C867&amp;"/"&amp;D867</f>
        <v>Fuel oil fired power plants/Supercritical steam turbine/Electricity only/L</v>
      </c>
      <c r="F867" s="77" t="str">
        <f>A859</f>
        <v>Fuel oil fired power plants</v>
      </c>
      <c r="G867" s="77" t="str">
        <f>B867</f>
        <v>Supercritical steam turbine</v>
      </c>
      <c r="H867" s="77" t="str">
        <f>C867</f>
        <v>Electricity only</v>
      </c>
      <c r="I867" s="163" t="str">
        <f t="shared" si="90"/>
        <v>L</v>
      </c>
      <c r="J867" s="77">
        <v>0.91500000000000004</v>
      </c>
      <c r="K867" s="77">
        <v>0.91500000000000004</v>
      </c>
      <c r="L867" s="77">
        <v>0.91500000000000004</v>
      </c>
      <c r="M867" s="77">
        <v>0.91500000000000004</v>
      </c>
      <c r="N867" s="77">
        <v>0.91500000000000004</v>
      </c>
      <c r="O867" s="77">
        <v>0.91500000000000004</v>
      </c>
      <c r="P867" s="77">
        <v>0.91500000000000004</v>
      </c>
      <c r="Q867" s="77">
        <v>0.91500000000000004</v>
      </c>
      <c r="R867" s="77">
        <v>0.91500000000000004</v>
      </c>
      <c r="S867" s="77">
        <v>0.91500000000000004</v>
      </c>
      <c r="T867" s="77">
        <v>0.91500000000000004</v>
      </c>
      <c r="U867" s="77">
        <v>0.91500000000000004</v>
      </c>
      <c r="V867" s="77">
        <v>0.91500000000000004</v>
      </c>
      <c r="W867" s="77">
        <v>0.91500000000000004</v>
      </c>
      <c r="X867" s="77">
        <v>0.91500000000000004</v>
      </c>
      <c r="Y867" s="77">
        <v>0.91500000000000004</v>
      </c>
      <c r="Z867" s="77">
        <v>0.91500000000000004</v>
      </c>
      <c r="AA867" s="77">
        <v>0.91500000000000004</v>
      </c>
      <c r="AB867" s="77">
        <v>0.91500000000000004</v>
      </c>
      <c r="AC867" s="77">
        <v>0.91500000000000004</v>
      </c>
      <c r="AD867" s="77">
        <v>0.91500000000000004</v>
      </c>
      <c r="AE867" s="77">
        <v>0.91500000000000004</v>
      </c>
      <c r="AF867" s="77">
        <v>0.91500000000000004</v>
      </c>
      <c r="AG867" s="77">
        <v>0.91500000000000004</v>
      </c>
      <c r="AH867" s="77">
        <v>0.91500000000000004</v>
      </c>
      <c r="AI867" s="77">
        <v>0.91500000000000004</v>
      </c>
      <c r="AJ867" s="77">
        <v>0.91500000000000004</v>
      </c>
      <c r="AK867" s="77">
        <v>0.91500000000000004</v>
      </c>
      <c r="AL867" s="77">
        <v>0.91500000000000004</v>
      </c>
      <c r="AM867" s="77">
        <v>0.91500000000000004</v>
      </c>
      <c r="AN867" s="77">
        <v>0.91500000000000004</v>
      </c>
      <c r="AO867" s="77">
        <v>0.91500000000000004</v>
      </c>
      <c r="AP867" s="77">
        <v>0.91500000000000004</v>
      </c>
      <c r="AQ867" s="77">
        <v>0.91500000000000004</v>
      </c>
      <c r="AR867" s="77">
        <v>0.91500000000000004</v>
      </c>
      <c r="AS867" s="77">
        <v>0.91500000000000004</v>
      </c>
      <c r="AT867" s="77">
        <v>0.91500000000000004</v>
      </c>
      <c r="AU867" s="77">
        <v>0.91500000000000004</v>
      </c>
      <c r="AV867" s="77">
        <v>0.91500000000000004</v>
      </c>
      <c r="AW867" s="77">
        <v>0.91500000000000004</v>
      </c>
      <c r="AX867" s="85">
        <v>0.91500000000000004</v>
      </c>
    </row>
    <row r="868" spans="1:50" x14ac:dyDescent="0.25">
      <c r="A868" s="356"/>
      <c r="B868" s="359"/>
      <c r="C868" s="360"/>
      <c r="D868" s="2" t="s">
        <v>8</v>
      </c>
      <c r="E868" s="160" t="str">
        <f>A859&amp;"/"&amp;B867&amp;"/"&amp;C867&amp;"/"&amp;D868</f>
        <v>Fuel oil fired power plants/Supercritical steam turbine/Electricity only/M</v>
      </c>
      <c r="F868" s="76" t="str">
        <f>A859</f>
        <v>Fuel oil fired power plants</v>
      </c>
      <c r="G868" s="76" t="str">
        <f>B867</f>
        <v>Supercritical steam turbine</v>
      </c>
      <c r="H868" s="76" t="str">
        <f>C867</f>
        <v>Electricity only</v>
      </c>
      <c r="I868" s="161" t="str">
        <f t="shared" si="90"/>
        <v>M</v>
      </c>
      <c r="J868" s="76">
        <v>0.91500000000000004</v>
      </c>
      <c r="K868" s="76">
        <v>0.91500000000000004</v>
      </c>
      <c r="L868" s="76">
        <v>0.91500000000000004</v>
      </c>
      <c r="M868" s="76">
        <v>0.91500000000000004</v>
      </c>
      <c r="N868" s="76">
        <v>0.91500000000000004</v>
      </c>
      <c r="O868" s="76">
        <v>0.91500000000000004</v>
      </c>
      <c r="P868" s="76">
        <v>0.91500000000000004</v>
      </c>
      <c r="Q868" s="76">
        <v>0.91500000000000004</v>
      </c>
      <c r="R868" s="76">
        <v>0.91500000000000004</v>
      </c>
      <c r="S868" s="76">
        <v>0.91500000000000004</v>
      </c>
      <c r="T868" s="76">
        <v>0.91500000000000004</v>
      </c>
      <c r="U868" s="76">
        <v>0.91500000000000004</v>
      </c>
      <c r="V868" s="76">
        <v>0.91500000000000004</v>
      </c>
      <c r="W868" s="76">
        <v>0.91500000000000004</v>
      </c>
      <c r="X868" s="76">
        <v>0.91500000000000004</v>
      </c>
      <c r="Y868" s="76">
        <v>0.91500000000000004</v>
      </c>
      <c r="Z868" s="76">
        <v>0.91500000000000004</v>
      </c>
      <c r="AA868" s="76">
        <v>0.91500000000000004</v>
      </c>
      <c r="AB868" s="76">
        <v>0.91500000000000004</v>
      </c>
      <c r="AC868" s="76">
        <v>0.91500000000000004</v>
      </c>
      <c r="AD868" s="76">
        <v>0.91500000000000004</v>
      </c>
      <c r="AE868" s="76">
        <v>0.91500000000000004</v>
      </c>
      <c r="AF868" s="76">
        <v>0.91500000000000004</v>
      </c>
      <c r="AG868" s="76">
        <v>0.91500000000000004</v>
      </c>
      <c r="AH868" s="76">
        <v>0.91500000000000004</v>
      </c>
      <c r="AI868" s="76">
        <v>0.91500000000000004</v>
      </c>
      <c r="AJ868" s="76">
        <v>0.91500000000000004</v>
      </c>
      <c r="AK868" s="76">
        <v>0.91500000000000004</v>
      </c>
      <c r="AL868" s="76">
        <v>0.91500000000000004</v>
      </c>
      <c r="AM868" s="76">
        <v>0.91500000000000004</v>
      </c>
      <c r="AN868" s="76">
        <v>0.91500000000000004</v>
      </c>
      <c r="AO868" s="76">
        <v>0.91500000000000004</v>
      </c>
      <c r="AP868" s="76">
        <v>0.91500000000000004</v>
      </c>
      <c r="AQ868" s="76">
        <v>0.91500000000000004</v>
      </c>
      <c r="AR868" s="76">
        <v>0.91500000000000004</v>
      </c>
      <c r="AS868" s="76">
        <v>0.91500000000000004</v>
      </c>
      <c r="AT868" s="76">
        <v>0.91500000000000004</v>
      </c>
      <c r="AU868" s="76">
        <v>0.91500000000000004</v>
      </c>
      <c r="AV868" s="76">
        <v>0.91500000000000004</v>
      </c>
      <c r="AW868" s="76">
        <v>0.91500000000000004</v>
      </c>
      <c r="AX868" s="84">
        <v>0.91500000000000004</v>
      </c>
    </row>
    <row r="869" spans="1:50" x14ac:dyDescent="0.25">
      <c r="A869" s="356"/>
      <c r="B869" s="359"/>
      <c r="C869" s="361" t="s">
        <v>14</v>
      </c>
      <c r="D869" s="58" t="s">
        <v>7</v>
      </c>
      <c r="E869" s="164" t="str">
        <f>A859&amp;"/"&amp;B867&amp;"/"&amp;C869&amp;"/"&amp;D869</f>
        <v>Fuel oil fired power plants/Supercritical steam turbine/CHP/L</v>
      </c>
      <c r="F869" s="78" t="str">
        <f>A859</f>
        <v>Fuel oil fired power plants</v>
      </c>
      <c r="G869" s="78" t="str">
        <f>B867</f>
        <v>Supercritical steam turbine</v>
      </c>
      <c r="H869" s="78" t="str">
        <f>C869</f>
        <v>CHP</v>
      </c>
      <c r="I869" s="165" t="str">
        <f t="shared" si="90"/>
        <v>L</v>
      </c>
      <c r="J869" s="78">
        <v>0.91500000000000004</v>
      </c>
      <c r="K869" s="78">
        <v>0.91500000000000004</v>
      </c>
      <c r="L869" s="78">
        <v>0.91500000000000004</v>
      </c>
      <c r="M869" s="78">
        <v>0.91500000000000004</v>
      </c>
      <c r="N869" s="78">
        <v>0.91500000000000004</v>
      </c>
      <c r="O869" s="78">
        <v>0.91500000000000004</v>
      </c>
      <c r="P869" s="78">
        <v>0.91500000000000004</v>
      </c>
      <c r="Q869" s="78">
        <v>0.91500000000000004</v>
      </c>
      <c r="R869" s="78">
        <v>0.91500000000000004</v>
      </c>
      <c r="S869" s="78">
        <v>0.91500000000000004</v>
      </c>
      <c r="T869" s="78">
        <v>0.91500000000000004</v>
      </c>
      <c r="U869" s="78">
        <v>0.91500000000000004</v>
      </c>
      <c r="V869" s="78">
        <v>0.91500000000000004</v>
      </c>
      <c r="W869" s="78">
        <v>0.91500000000000004</v>
      </c>
      <c r="X869" s="78">
        <v>0.91500000000000004</v>
      </c>
      <c r="Y869" s="78">
        <v>0.91500000000000004</v>
      </c>
      <c r="Z869" s="78">
        <v>0.91500000000000004</v>
      </c>
      <c r="AA869" s="78">
        <v>0.91500000000000004</v>
      </c>
      <c r="AB869" s="78">
        <v>0.91500000000000004</v>
      </c>
      <c r="AC869" s="78">
        <v>0.91500000000000004</v>
      </c>
      <c r="AD869" s="78">
        <v>0.91500000000000004</v>
      </c>
      <c r="AE869" s="78">
        <v>0.91500000000000004</v>
      </c>
      <c r="AF869" s="78">
        <v>0.91500000000000004</v>
      </c>
      <c r="AG869" s="78">
        <v>0.91500000000000004</v>
      </c>
      <c r="AH869" s="78">
        <v>0.91500000000000004</v>
      </c>
      <c r="AI869" s="78">
        <v>0.91500000000000004</v>
      </c>
      <c r="AJ869" s="78">
        <v>0.91500000000000004</v>
      </c>
      <c r="AK869" s="78">
        <v>0.91500000000000004</v>
      </c>
      <c r="AL869" s="78">
        <v>0.91500000000000004</v>
      </c>
      <c r="AM869" s="78">
        <v>0.91500000000000004</v>
      </c>
      <c r="AN869" s="78">
        <v>0.91500000000000004</v>
      </c>
      <c r="AO869" s="78">
        <v>0.91500000000000004</v>
      </c>
      <c r="AP869" s="78">
        <v>0.91500000000000004</v>
      </c>
      <c r="AQ869" s="78">
        <v>0.91500000000000004</v>
      </c>
      <c r="AR869" s="78">
        <v>0.91500000000000004</v>
      </c>
      <c r="AS869" s="78">
        <v>0.91500000000000004</v>
      </c>
      <c r="AT869" s="78">
        <v>0.91500000000000004</v>
      </c>
      <c r="AU869" s="78">
        <v>0.91500000000000004</v>
      </c>
      <c r="AV869" s="78">
        <v>0.91500000000000004</v>
      </c>
      <c r="AW869" s="78">
        <v>0.91500000000000004</v>
      </c>
      <c r="AX869" s="86">
        <v>0.91500000000000004</v>
      </c>
    </row>
    <row r="870" spans="1:50" x14ac:dyDescent="0.25">
      <c r="A870" s="356"/>
      <c r="B870" s="359"/>
      <c r="C870" s="360"/>
      <c r="D870" s="59" t="s">
        <v>8</v>
      </c>
      <c r="E870" s="166" t="str">
        <f>A859&amp;"/"&amp;B867&amp;"/"&amp;C869&amp;"/"&amp;D870</f>
        <v>Fuel oil fired power plants/Supercritical steam turbine/CHP/M</v>
      </c>
      <c r="F870" s="79" t="str">
        <f>A859</f>
        <v>Fuel oil fired power plants</v>
      </c>
      <c r="G870" s="79" t="str">
        <f>B867</f>
        <v>Supercritical steam turbine</v>
      </c>
      <c r="H870" s="79" t="str">
        <f>C869</f>
        <v>CHP</v>
      </c>
      <c r="I870" s="167" t="str">
        <f t="shared" si="90"/>
        <v>M</v>
      </c>
      <c r="J870" s="79">
        <v>0.91500000000000004</v>
      </c>
      <c r="K870" s="79">
        <v>0.91500000000000004</v>
      </c>
      <c r="L870" s="79">
        <v>0.91500000000000004</v>
      </c>
      <c r="M870" s="79">
        <v>0.91500000000000004</v>
      </c>
      <c r="N870" s="79">
        <v>0.91500000000000004</v>
      </c>
      <c r="O870" s="79">
        <v>0.91500000000000004</v>
      </c>
      <c r="P870" s="79">
        <v>0.91500000000000004</v>
      </c>
      <c r="Q870" s="79">
        <v>0.91500000000000004</v>
      </c>
      <c r="R870" s="79">
        <v>0.91500000000000004</v>
      </c>
      <c r="S870" s="79">
        <v>0.91500000000000004</v>
      </c>
      <c r="T870" s="79">
        <v>0.91500000000000004</v>
      </c>
      <c r="U870" s="79">
        <v>0.91500000000000004</v>
      </c>
      <c r="V870" s="79">
        <v>0.91500000000000004</v>
      </c>
      <c r="W870" s="79">
        <v>0.91500000000000004</v>
      </c>
      <c r="X870" s="79">
        <v>0.91500000000000004</v>
      </c>
      <c r="Y870" s="79">
        <v>0.91500000000000004</v>
      </c>
      <c r="Z870" s="79">
        <v>0.91500000000000004</v>
      </c>
      <c r="AA870" s="79">
        <v>0.91500000000000004</v>
      </c>
      <c r="AB870" s="79">
        <v>0.91500000000000004</v>
      </c>
      <c r="AC870" s="79">
        <v>0.91500000000000004</v>
      </c>
      <c r="AD870" s="79">
        <v>0.91500000000000004</v>
      </c>
      <c r="AE870" s="79">
        <v>0.91500000000000004</v>
      </c>
      <c r="AF870" s="79">
        <v>0.91500000000000004</v>
      </c>
      <c r="AG870" s="79">
        <v>0.91500000000000004</v>
      </c>
      <c r="AH870" s="79">
        <v>0.91500000000000004</v>
      </c>
      <c r="AI870" s="79">
        <v>0.91500000000000004</v>
      </c>
      <c r="AJ870" s="79">
        <v>0.91500000000000004</v>
      </c>
      <c r="AK870" s="79">
        <v>0.91500000000000004</v>
      </c>
      <c r="AL870" s="79">
        <v>0.91500000000000004</v>
      </c>
      <c r="AM870" s="79">
        <v>0.91500000000000004</v>
      </c>
      <c r="AN870" s="79">
        <v>0.91500000000000004</v>
      </c>
      <c r="AO870" s="79">
        <v>0.91500000000000004</v>
      </c>
      <c r="AP870" s="79">
        <v>0.91500000000000004</v>
      </c>
      <c r="AQ870" s="79">
        <v>0.91500000000000004</v>
      </c>
      <c r="AR870" s="79">
        <v>0.91500000000000004</v>
      </c>
      <c r="AS870" s="79">
        <v>0.91500000000000004</v>
      </c>
      <c r="AT870" s="79">
        <v>0.91500000000000004</v>
      </c>
      <c r="AU870" s="79">
        <v>0.91500000000000004</v>
      </c>
      <c r="AV870" s="79">
        <v>0.91500000000000004</v>
      </c>
      <c r="AW870" s="79">
        <v>0.91500000000000004</v>
      </c>
      <c r="AX870" s="87">
        <v>0.91500000000000004</v>
      </c>
    </row>
    <row r="871" spans="1:50" x14ac:dyDescent="0.25">
      <c r="A871" s="356"/>
      <c r="B871" s="359"/>
      <c r="C871" s="361" t="s">
        <v>15</v>
      </c>
      <c r="D871" s="58" t="s">
        <v>7</v>
      </c>
      <c r="E871" s="164" t="str">
        <f>A859&amp;"/"&amp;B867&amp;"/"&amp;C871&amp;"/"&amp;D871</f>
        <v>Fuel oil fired power plants/Supercritical steam turbine/Electricity only with CCS/L</v>
      </c>
      <c r="F871" s="78" t="str">
        <f>A859</f>
        <v>Fuel oil fired power plants</v>
      </c>
      <c r="G871" s="78" t="str">
        <f>B867</f>
        <v>Supercritical steam turbine</v>
      </c>
      <c r="H871" s="78" t="str">
        <f>C871</f>
        <v>Electricity only with CCS</v>
      </c>
      <c r="I871" s="165" t="str">
        <f t="shared" si="90"/>
        <v>L</v>
      </c>
      <c r="J871" s="78" t="s">
        <v>112</v>
      </c>
      <c r="K871" s="78" t="s">
        <v>112</v>
      </c>
      <c r="L871" s="78" t="s">
        <v>112</v>
      </c>
      <c r="M871" s="78" t="s">
        <v>112</v>
      </c>
      <c r="N871" s="78" t="s">
        <v>112</v>
      </c>
      <c r="O871" s="78" t="s">
        <v>112</v>
      </c>
      <c r="P871" s="78" t="s">
        <v>112</v>
      </c>
      <c r="Q871" s="78" t="s">
        <v>112</v>
      </c>
      <c r="R871" s="78" t="s">
        <v>112</v>
      </c>
      <c r="S871" s="78" t="s">
        <v>112</v>
      </c>
      <c r="T871" s="78" t="s">
        <v>112</v>
      </c>
      <c r="U871" s="78" t="s">
        <v>112</v>
      </c>
      <c r="V871" s="78" t="s">
        <v>112</v>
      </c>
      <c r="W871" s="78" t="s">
        <v>112</v>
      </c>
      <c r="X871" s="78" t="s">
        <v>112</v>
      </c>
      <c r="Y871" s="78" t="s">
        <v>112</v>
      </c>
      <c r="Z871" s="78" t="s">
        <v>112</v>
      </c>
      <c r="AA871" s="78" t="s">
        <v>112</v>
      </c>
      <c r="AB871" s="78" t="s">
        <v>112</v>
      </c>
      <c r="AC871" s="78" t="s">
        <v>112</v>
      </c>
      <c r="AD871" s="78" t="s">
        <v>112</v>
      </c>
      <c r="AE871" s="78">
        <v>0.91500000000000004</v>
      </c>
      <c r="AF871" s="78">
        <v>0.91500000000000004</v>
      </c>
      <c r="AG871" s="78">
        <v>0.91500000000000004</v>
      </c>
      <c r="AH871" s="78">
        <v>0.91500000000000004</v>
      </c>
      <c r="AI871" s="78">
        <v>0.91500000000000004</v>
      </c>
      <c r="AJ871" s="78">
        <v>0.91500000000000004</v>
      </c>
      <c r="AK871" s="78">
        <v>0.91500000000000004</v>
      </c>
      <c r="AL871" s="78">
        <v>0.91500000000000004</v>
      </c>
      <c r="AM871" s="78">
        <v>0.91500000000000004</v>
      </c>
      <c r="AN871" s="78">
        <v>0.91500000000000004</v>
      </c>
      <c r="AO871" s="78">
        <v>0.91500000000000004</v>
      </c>
      <c r="AP871" s="78">
        <v>0.91500000000000004</v>
      </c>
      <c r="AQ871" s="78">
        <v>0.91500000000000004</v>
      </c>
      <c r="AR871" s="78">
        <v>0.91500000000000004</v>
      </c>
      <c r="AS871" s="78">
        <v>0.91500000000000004</v>
      </c>
      <c r="AT871" s="78">
        <v>0.91500000000000004</v>
      </c>
      <c r="AU871" s="78">
        <v>0.91500000000000004</v>
      </c>
      <c r="AV871" s="78">
        <v>0.91500000000000004</v>
      </c>
      <c r="AW871" s="78">
        <v>0.91500000000000004</v>
      </c>
      <c r="AX871" s="86">
        <v>0.91500000000000004</v>
      </c>
    </row>
    <row r="872" spans="1:50" x14ac:dyDescent="0.25">
      <c r="A872" s="356"/>
      <c r="B872" s="359"/>
      <c r="C872" s="360"/>
      <c r="D872" s="59" t="s">
        <v>8</v>
      </c>
      <c r="E872" s="166" t="str">
        <f>A859&amp;"/"&amp;B867&amp;"/"&amp;C871&amp;"/"&amp;D872</f>
        <v>Fuel oil fired power plants/Supercritical steam turbine/Electricity only with CCS/M</v>
      </c>
      <c r="F872" s="79" t="str">
        <f>A859</f>
        <v>Fuel oil fired power plants</v>
      </c>
      <c r="G872" s="79" t="str">
        <f>B867</f>
        <v>Supercritical steam turbine</v>
      </c>
      <c r="H872" s="79" t="str">
        <f>C871</f>
        <v>Electricity only with CCS</v>
      </c>
      <c r="I872" s="167" t="str">
        <f t="shared" si="90"/>
        <v>M</v>
      </c>
      <c r="J872" s="79" t="s">
        <v>112</v>
      </c>
      <c r="K872" s="79" t="s">
        <v>112</v>
      </c>
      <c r="L872" s="79" t="s">
        <v>112</v>
      </c>
      <c r="M872" s="79" t="s">
        <v>112</v>
      </c>
      <c r="N872" s="79" t="s">
        <v>112</v>
      </c>
      <c r="O872" s="79" t="s">
        <v>112</v>
      </c>
      <c r="P872" s="79" t="s">
        <v>112</v>
      </c>
      <c r="Q872" s="79" t="s">
        <v>112</v>
      </c>
      <c r="R872" s="79" t="s">
        <v>112</v>
      </c>
      <c r="S872" s="79" t="s">
        <v>112</v>
      </c>
      <c r="T872" s="79" t="s">
        <v>112</v>
      </c>
      <c r="U872" s="79" t="s">
        <v>112</v>
      </c>
      <c r="V872" s="79" t="s">
        <v>112</v>
      </c>
      <c r="W872" s="79" t="s">
        <v>112</v>
      </c>
      <c r="X872" s="79" t="s">
        <v>112</v>
      </c>
      <c r="Y872" s="79" t="s">
        <v>112</v>
      </c>
      <c r="Z872" s="79" t="s">
        <v>112</v>
      </c>
      <c r="AA872" s="79" t="s">
        <v>112</v>
      </c>
      <c r="AB872" s="79" t="s">
        <v>112</v>
      </c>
      <c r="AC872" s="79" t="s">
        <v>112</v>
      </c>
      <c r="AD872" s="79" t="s">
        <v>112</v>
      </c>
      <c r="AE872" s="79">
        <v>0.91500000000000004</v>
      </c>
      <c r="AF872" s="79">
        <v>0.91500000000000004</v>
      </c>
      <c r="AG872" s="79">
        <v>0.91500000000000004</v>
      </c>
      <c r="AH872" s="79">
        <v>0.91500000000000004</v>
      </c>
      <c r="AI872" s="79">
        <v>0.91500000000000004</v>
      </c>
      <c r="AJ872" s="79">
        <v>0.91500000000000004</v>
      </c>
      <c r="AK872" s="79">
        <v>0.91500000000000004</v>
      </c>
      <c r="AL872" s="79">
        <v>0.91500000000000004</v>
      </c>
      <c r="AM872" s="79">
        <v>0.91500000000000004</v>
      </c>
      <c r="AN872" s="79">
        <v>0.91500000000000004</v>
      </c>
      <c r="AO872" s="79">
        <v>0.91500000000000004</v>
      </c>
      <c r="AP872" s="79">
        <v>0.91500000000000004</v>
      </c>
      <c r="AQ872" s="79">
        <v>0.91500000000000004</v>
      </c>
      <c r="AR872" s="79">
        <v>0.91500000000000004</v>
      </c>
      <c r="AS872" s="79">
        <v>0.91500000000000004</v>
      </c>
      <c r="AT872" s="79">
        <v>0.91500000000000004</v>
      </c>
      <c r="AU872" s="79">
        <v>0.91500000000000004</v>
      </c>
      <c r="AV872" s="79">
        <v>0.91500000000000004</v>
      </c>
      <c r="AW872" s="79">
        <v>0.91500000000000004</v>
      </c>
      <c r="AX872" s="87">
        <v>0.91500000000000004</v>
      </c>
    </row>
    <row r="873" spans="1:50" x14ac:dyDescent="0.25">
      <c r="A873" s="356"/>
      <c r="B873" s="359"/>
      <c r="C873" s="361" t="s">
        <v>16</v>
      </c>
      <c r="D873" s="2" t="s">
        <v>7</v>
      </c>
      <c r="E873" s="160" t="str">
        <f>A859&amp;"/"&amp;B867&amp;"/"&amp;C873&amp;"/"&amp;D873</f>
        <v>Fuel oil fired power plants/Supercritical steam turbine/CHP with CCS/L</v>
      </c>
      <c r="F873" s="76" t="str">
        <f>A859</f>
        <v>Fuel oil fired power plants</v>
      </c>
      <c r="G873" s="76" t="str">
        <f>B867</f>
        <v>Supercritical steam turbine</v>
      </c>
      <c r="H873" s="76" t="str">
        <f>C873</f>
        <v>CHP with CCS</v>
      </c>
      <c r="I873" s="161" t="str">
        <f t="shared" si="90"/>
        <v>L</v>
      </c>
      <c r="J873" s="76" t="s">
        <v>112</v>
      </c>
      <c r="K873" s="76" t="s">
        <v>112</v>
      </c>
      <c r="L873" s="76" t="s">
        <v>112</v>
      </c>
      <c r="M873" s="76" t="s">
        <v>112</v>
      </c>
      <c r="N873" s="76" t="s">
        <v>112</v>
      </c>
      <c r="O873" s="76" t="s">
        <v>112</v>
      </c>
      <c r="P873" s="76" t="s">
        <v>112</v>
      </c>
      <c r="Q873" s="76" t="s">
        <v>112</v>
      </c>
      <c r="R873" s="76" t="s">
        <v>112</v>
      </c>
      <c r="S873" s="76" t="s">
        <v>112</v>
      </c>
      <c r="T873" s="76" t="s">
        <v>112</v>
      </c>
      <c r="U873" s="76" t="s">
        <v>112</v>
      </c>
      <c r="V873" s="76" t="s">
        <v>112</v>
      </c>
      <c r="W873" s="76" t="s">
        <v>112</v>
      </c>
      <c r="X873" s="76" t="s">
        <v>112</v>
      </c>
      <c r="Y873" s="76" t="s">
        <v>112</v>
      </c>
      <c r="Z873" s="76" t="s">
        <v>112</v>
      </c>
      <c r="AA873" s="76" t="s">
        <v>112</v>
      </c>
      <c r="AB873" s="76" t="s">
        <v>112</v>
      </c>
      <c r="AC873" s="76" t="s">
        <v>112</v>
      </c>
      <c r="AD873" s="76" t="s">
        <v>112</v>
      </c>
      <c r="AE873" s="76">
        <v>0.91500000000000004</v>
      </c>
      <c r="AF873" s="76">
        <v>0.91500000000000004</v>
      </c>
      <c r="AG873" s="76">
        <v>0.91500000000000004</v>
      </c>
      <c r="AH873" s="76">
        <v>0.91500000000000004</v>
      </c>
      <c r="AI873" s="76">
        <v>0.91500000000000004</v>
      </c>
      <c r="AJ873" s="76">
        <v>0.91500000000000004</v>
      </c>
      <c r="AK873" s="76">
        <v>0.91500000000000004</v>
      </c>
      <c r="AL873" s="76">
        <v>0.91500000000000004</v>
      </c>
      <c r="AM873" s="76">
        <v>0.91500000000000004</v>
      </c>
      <c r="AN873" s="76">
        <v>0.91500000000000004</v>
      </c>
      <c r="AO873" s="76">
        <v>0.91500000000000004</v>
      </c>
      <c r="AP873" s="76">
        <v>0.91500000000000004</v>
      </c>
      <c r="AQ873" s="76">
        <v>0.91500000000000004</v>
      </c>
      <c r="AR873" s="76">
        <v>0.91500000000000004</v>
      </c>
      <c r="AS873" s="76">
        <v>0.91500000000000004</v>
      </c>
      <c r="AT873" s="76">
        <v>0.91500000000000004</v>
      </c>
      <c r="AU873" s="76">
        <v>0.91500000000000004</v>
      </c>
      <c r="AV873" s="76">
        <v>0.91500000000000004</v>
      </c>
      <c r="AW873" s="76">
        <v>0.91500000000000004</v>
      </c>
      <c r="AX873" s="84">
        <v>0.91500000000000004</v>
      </c>
    </row>
    <row r="874" spans="1:50" x14ac:dyDescent="0.25">
      <c r="A874" s="356"/>
      <c r="B874" s="362"/>
      <c r="C874" s="354"/>
      <c r="D874" s="4" t="s">
        <v>8</v>
      </c>
      <c r="E874" s="168" t="str">
        <f>A859&amp;"/"&amp;B867&amp;"/"&amp;C873&amp;"/"&amp;D874</f>
        <v>Fuel oil fired power plants/Supercritical steam turbine/CHP with CCS/M</v>
      </c>
      <c r="F874" s="80" t="str">
        <f>A859</f>
        <v>Fuel oil fired power plants</v>
      </c>
      <c r="G874" s="80" t="str">
        <f>B867</f>
        <v>Supercritical steam turbine</v>
      </c>
      <c r="H874" s="80" t="str">
        <f>C873</f>
        <v>CHP with CCS</v>
      </c>
      <c r="I874" s="169" t="str">
        <f t="shared" si="90"/>
        <v>M</v>
      </c>
      <c r="J874" s="80" t="s">
        <v>112</v>
      </c>
      <c r="K874" s="80" t="s">
        <v>112</v>
      </c>
      <c r="L874" s="80" t="s">
        <v>112</v>
      </c>
      <c r="M874" s="80" t="s">
        <v>112</v>
      </c>
      <c r="N874" s="80" t="s">
        <v>112</v>
      </c>
      <c r="O874" s="80" t="s">
        <v>112</v>
      </c>
      <c r="P874" s="80" t="s">
        <v>112</v>
      </c>
      <c r="Q874" s="80" t="s">
        <v>112</v>
      </c>
      <c r="R874" s="80" t="s">
        <v>112</v>
      </c>
      <c r="S874" s="80" t="s">
        <v>112</v>
      </c>
      <c r="T874" s="80" t="s">
        <v>112</v>
      </c>
      <c r="U874" s="80" t="s">
        <v>112</v>
      </c>
      <c r="V874" s="80" t="s">
        <v>112</v>
      </c>
      <c r="W874" s="80" t="s">
        <v>112</v>
      </c>
      <c r="X874" s="80" t="s">
        <v>112</v>
      </c>
      <c r="Y874" s="80" t="s">
        <v>112</v>
      </c>
      <c r="Z874" s="80" t="s">
        <v>112</v>
      </c>
      <c r="AA874" s="80" t="s">
        <v>112</v>
      </c>
      <c r="AB874" s="80" t="s">
        <v>112</v>
      </c>
      <c r="AC874" s="80" t="s">
        <v>112</v>
      </c>
      <c r="AD874" s="80" t="s">
        <v>112</v>
      </c>
      <c r="AE874" s="80">
        <v>0.91500000000000004</v>
      </c>
      <c r="AF874" s="80">
        <v>0.91500000000000004</v>
      </c>
      <c r="AG874" s="80">
        <v>0.91500000000000004</v>
      </c>
      <c r="AH874" s="80">
        <v>0.91500000000000004</v>
      </c>
      <c r="AI874" s="80">
        <v>0.91500000000000004</v>
      </c>
      <c r="AJ874" s="80">
        <v>0.91500000000000004</v>
      </c>
      <c r="AK874" s="80">
        <v>0.91500000000000004</v>
      </c>
      <c r="AL874" s="80">
        <v>0.91500000000000004</v>
      </c>
      <c r="AM874" s="80">
        <v>0.91500000000000004</v>
      </c>
      <c r="AN874" s="80">
        <v>0.91500000000000004</v>
      </c>
      <c r="AO874" s="80">
        <v>0.91500000000000004</v>
      </c>
      <c r="AP874" s="80">
        <v>0.91500000000000004</v>
      </c>
      <c r="AQ874" s="80">
        <v>0.91500000000000004</v>
      </c>
      <c r="AR874" s="80">
        <v>0.91500000000000004</v>
      </c>
      <c r="AS874" s="80">
        <v>0.91500000000000004</v>
      </c>
      <c r="AT874" s="80">
        <v>0.91500000000000004</v>
      </c>
      <c r="AU874" s="80">
        <v>0.91500000000000004</v>
      </c>
      <c r="AV874" s="80">
        <v>0.91500000000000004</v>
      </c>
      <c r="AW874" s="80">
        <v>0.91500000000000004</v>
      </c>
      <c r="AX874" s="88">
        <v>0.91500000000000004</v>
      </c>
    </row>
    <row r="875" spans="1:50" x14ac:dyDescent="0.25">
      <c r="A875" s="356"/>
      <c r="B875" s="358" t="s">
        <v>19</v>
      </c>
      <c r="C875" s="353" t="s">
        <v>6</v>
      </c>
      <c r="D875" s="3" t="s">
        <v>7</v>
      </c>
      <c r="E875" s="162" t="str">
        <f>A859&amp;"/"&amp;B875&amp;"/"&amp;C875&amp;"/"&amp;D875</f>
        <v>Fuel oil fired power plants/Steam turbine/Electricity only/L</v>
      </c>
      <c r="F875" s="77" t="str">
        <f>A859</f>
        <v>Fuel oil fired power plants</v>
      </c>
      <c r="G875" s="77" t="str">
        <f>B875</f>
        <v>Steam turbine</v>
      </c>
      <c r="H875" s="77" t="str">
        <f>C875</f>
        <v>Electricity only</v>
      </c>
      <c r="I875" s="163" t="str">
        <f t="shared" si="90"/>
        <v>L</v>
      </c>
      <c r="J875" s="77">
        <v>0.92500000000000004</v>
      </c>
      <c r="K875" s="77">
        <v>0.92500000000000004</v>
      </c>
      <c r="L875" s="77">
        <v>0.92500000000000004</v>
      </c>
      <c r="M875" s="77">
        <v>0.92500000000000004</v>
      </c>
      <c r="N875" s="77">
        <v>0.92500000000000004</v>
      </c>
      <c r="O875" s="77">
        <v>0.92500000000000004</v>
      </c>
      <c r="P875" s="77">
        <v>0.92500000000000004</v>
      </c>
      <c r="Q875" s="77">
        <v>0.92500000000000004</v>
      </c>
      <c r="R875" s="77">
        <v>0.92500000000000004</v>
      </c>
      <c r="S875" s="77">
        <v>0.92500000000000004</v>
      </c>
      <c r="T875" s="77">
        <v>0.92500000000000004</v>
      </c>
      <c r="U875" s="77">
        <v>0.92500000000000004</v>
      </c>
      <c r="V875" s="77">
        <v>0.92500000000000004</v>
      </c>
      <c r="W875" s="77">
        <v>0.92500000000000004</v>
      </c>
      <c r="X875" s="77">
        <v>0.92500000000000004</v>
      </c>
      <c r="Y875" s="77">
        <v>0.92500000000000004</v>
      </c>
      <c r="Z875" s="77">
        <v>0.92500000000000004</v>
      </c>
      <c r="AA875" s="77">
        <v>0.92500000000000004</v>
      </c>
      <c r="AB875" s="77">
        <v>0.92500000000000004</v>
      </c>
      <c r="AC875" s="77">
        <v>0.92500000000000004</v>
      </c>
      <c r="AD875" s="77">
        <v>0.92500000000000004</v>
      </c>
      <c r="AE875" s="77">
        <v>0.92500000000000004</v>
      </c>
      <c r="AF875" s="77">
        <v>0.92500000000000004</v>
      </c>
      <c r="AG875" s="77">
        <v>0.92500000000000004</v>
      </c>
      <c r="AH875" s="77">
        <v>0.92500000000000004</v>
      </c>
      <c r="AI875" s="77">
        <v>0.92500000000000004</v>
      </c>
      <c r="AJ875" s="77">
        <v>0.92500000000000004</v>
      </c>
      <c r="AK875" s="77">
        <v>0.92500000000000004</v>
      </c>
      <c r="AL875" s="77">
        <v>0.92500000000000004</v>
      </c>
      <c r="AM875" s="77">
        <v>0.92500000000000004</v>
      </c>
      <c r="AN875" s="77">
        <v>0.92500000000000004</v>
      </c>
      <c r="AO875" s="77">
        <v>0.92500000000000004</v>
      </c>
      <c r="AP875" s="77">
        <v>0.92500000000000004</v>
      </c>
      <c r="AQ875" s="77">
        <v>0.92500000000000004</v>
      </c>
      <c r="AR875" s="77">
        <v>0.92500000000000004</v>
      </c>
      <c r="AS875" s="77">
        <v>0.92500000000000004</v>
      </c>
      <c r="AT875" s="77">
        <v>0.92500000000000004</v>
      </c>
      <c r="AU875" s="77">
        <v>0.92500000000000004</v>
      </c>
      <c r="AV875" s="77">
        <v>0.92500000000000004</v>
      </c>
      <c r="AW875" s="77">
        <v>0.92500000000000004</v>
      </c>
      <c r="AX875" s="85">
        <v>0.92500000000000004</v>
      </c>
    </row>
    <row r="876" spans="1:50" x14ac:dyDescent="0.25">
      <c r="A876" s="356"/>
      <c r="B876" s="359"/>
      <c r="C876" s="350"/>
      <c r="D876" s="2" t="s">
        <v>8</v>
      </c>
      <c r="E876" s="160" t="str">
        <f>A859&amp;"/"&amp;B875&amp;"/"&amp;C875&amp;"/"&amp;D876</f>
        <v>Fuel oil fired power plants/Steam turbine/Electricity only/M</v>
      </c>
      <c r="F876" s="76" t="str">
        <f>A859</f>
        <v>Fuel oil fired power plants</v>
      </c>
      <c r="G876" s="76" t="str">
        <f>B875</f>
        <v>Steam turbine</v>
      </c>
      <c r="H876" s="76" t="str">
        <f>C875</f>
        <v>Electricity only</v>
      </c>
      <c r="I876" s="161" t="str">
        <f t="shared" si="90"/>
        <v>M</v>
      </c>
      <c r="J876" s="76">
        <v>0.92500000000000004</v>
      </c>
      <c r="K876" s="76">
        <v>0.92500000000000004</v>
      </c>
      <c r="L876" s="76">
        <v>0.92500000000000004</v>
      </c>
      <c r="M876" s="76">
        <v>0.92500000000000004</v>
      </c>
      <c r="N876" s="76">
        <v>0.92500000000000004</v>
      </c>
      <c r="O876" s="76">
        <v>0.92500000000000004</v>
      </c>
      <c r="P876" s="76">
        <v>0.92500000000000004</v>
      </c>
      <c r="Q876" s="76">
        <v>0.92500000000000004</v>
      </c>
      <c r="R876" s="76">
        <v>0.92500000000000004</v>
      </c>
      <c r="S876" s="76">
        <v>0.92500000000000004</v>
      </c>
      <c r="T876" s="76">
        <v>0.92500000000000004</v>
      </c>
      <c r="U876" s="76">
        <v>0.92500000000000004</v>
      </c>
      <c r="V876" s="76">
        <v>0.92500000000000004</v>
      </c>
      <c r="W876" s="76">
        <v>0.92500000000000004</v>
      </c>
      <c r="X876" s="76">
        <v>0.92500000000000004</v>
      </c>
      <c r="Y876" s="76">
        <v>0.92500000000000004</v>
      </c>
      <c r="Z876" s="76">
        <v>0.92500000000000004</v>
      </c>
      <c r="AA876" s="76">
        <v>0.92500000000000004</v>
      </c>
      <c r="AB876" s="76">
        <v>0.92500000000000004</v>
      </c>
      <c r="AC876" s="76">
        <v>0.92500000000000004</v>
      </c>
      <c r="AD876" s="76">
        <v>0.92500000000000004</v>
      </c>
      <c r="AE876" s="76">
        <v>0.92500000000000004</v>
      </c>
      <c r="AF876" s="76">
        <v>0.92500000000000004</v>
      </c>
      <c r="AG876" s="76">
        <v>0.92500000000000004</v>
      </c>
      <c r="AH876" s="76">
        <v>0.92500000000000004</v>
      </c>
      <c r="AI876" s="76">
        <v>0.92500000000000004</v>
      </c>
      <c r="AJ876" s="76">
        <v>0.92500000000000004</v>
      </c>
      <c r="AK876" s="76">
        <v>0.92500000000000004</v>
      </c>
      <c r="AL876" s="76">
        <v>0.92500000000000004</v>
      </c>
      <c r="AM876" s="76">
        <v>0.92500000000000004</v>
      </c>
      <c r="AN876" s="76">
        <v>0.92500000000000004</v>
      </c>
      <c r="AO876" s="76">
        <v>0.92500000000000004</v>
      </c>
      <c r="AP876" s="76">
        <v>0.92500000000000004</v>
      </c>
      <c r="AQ876" s="76">
        <v>0.92500000000000004</v>
      </c>
      <c r="AR876" s="76">
        <v>0.92500000000000004</v>
      </c>
      <c r="AS876" s="76">
        <v>0.92500000000000004</v>
      </c>
      <c r="AT876" s="76">
        <v>0.92500000000000004</v>
      </c>
      <c r="AU876" s="76">
        <v>0.92500000000000004</v>
      </c>
      <c r="AV876" s="76">
        <v>0.92500000000000004</v>
      </c>
      <c r="AW876" s="76">
        <v>0.92500000000000004</v>
      </c>
      <c r="AX876" s="84">
        <v>0.92500000000000004</v>
      </c>
    </row>
    <row r="877" spans="1:50" x14ac:dyDescent="0.25">
      <c r="A877" s="356"/>
      <c r="B877" s="359"/>
      <c r="C877" s="350"/>
      <c r="D877" s="2" t="s">
        <v>10</v>
      </c>
      <c r="E877" s="160" t="str">
        <f>A859&amp;"/"&amp;B875&amp;"/"&amp;C875&amp;"/"&amp;D877</f>
        <v>Fuel oil fired power plants/Steam turbine/Electricity only/S</v>
      </c>
      <c r="F877" s="76" t="str">
        <f>A859</f>
        <v>Fuel oil fired power plants</v>
      </c>
      <c r="G877" s="76" t="str">
        <f>B875</f>
        <v>Steam turbine</v>
      </c>
      <c r="H877" s="76" t="str">
        <f>C875</f>
        <v>Electricity only</v>
      </c>
      <c r="I877" s="161" t="str">
        <f t="shared" si="90"/>
        <v>S</v>
      </c>
      <c r="J877" s="76">
        <v>0.92500000000000004</v>
      </c>
      <c r="K877" s="76">
        <v>0.92500000000000004</v>
      </c>
      <c r="L877" s="76">
        <v>0.92500000000000004</v>
      </c>
      <c r="M877" s="76">
        <v>0.92500000000000004</v>
      </c>
      <c r="N877" s="76">
        <v>0.92500000000000004</v>
      </c>
      <c r="O877" s="76">
        <v>0.92500000000000004</v>
      </c>
      <c r="P877" s="76">
        <v>0.92500000000000004</v>
      </c>
      <c r="Q877" s="76">
        <v>0.92500000000000004</v>
      </c>
      <c r="R877" s="76">
        <v>0.92500000000000004</v>
      </c>
      <c r="S877" s="76">
        <v>0.92500000000000004</v>
      </c>
      <c r="T877" s="76">
        <v>0.92500000000000004</v>
      </c>
      <c r="U877" s="76">
        <v>0.92500000000000004</v>
      </c>
      <c r="V877" s="76">
        <v>0.92500000000000004</v>
      </c>
      <c r="W877" s="76">
        <v>0.92500000000000004</v>
      </c>
      <c r="X877" s="76">
        <v>0.92500000000000004</v>
      </c>
      <c r="Y877" s="76">
        <v>0.92500000000000004</v>
      </c>
      <c r="Z877" s="76">
        <v>0.92500000000000004</v>
      </c>
      <c r="AA877" s="76">
        <v>0.92500000000000004</v>
      </c>
      <c r="AB877" s="76">
        <v>0.92500000000000004</v>
      </c>
      <c r="AC877" s="76">
        <v>0.92500000000000004</v>
      </c>
      <c r="AD877" s="76">
        <v>0.92500000000000004</v>
      </c>
      <c r="AE877" s="76">
        <v>0.92500000000000004</v>
      </c>
      <c r="AF877" s="76">
        <v>0.92500000000000004</v>
      </c>
      <c r="AG877" s="76">
        <v>0.92500000000000004</v>
      </c>
      <c r="AH877" s="76">
        <v>0.92500000000000004</v>
      </c>
      <c r="AI877" s="76">
        <v>0.92500000000000004</v>
      </c>
      <c r="AJ877" s="76">
        <v>0.92500000000000004</v>
      </c>
      <c r="AK877" s="76">
        <v>0.92500000000000004</v>
      </c>
      <c r="AL877" s="76">
        <v>0.92500000000000004</v>
      </c>
      <c r="AM877" s="76">
        <v>0.92500000000000004</v>
      </c>
      <c r="AN877" s="76">
        <v>0.92500000000000004</v>
      </c>
      <c r="AO877" s="76">
        <v>0.92500000000000004</v>
      </c>
      <c r="AP877" s="76">
        <v>0.92500000000000004</v>
      </c>
      <c r="AQ877" s="76">
        <v>0.92500000000000004</v>
      </c>
      <c r="AR877" s="76">
        <v>0.92500000000000004</v>
      </c>
      <c r="AS877" s="76">
        <v>0.92500000000000004</v>
      </c>
      <c r="AT877" s="76">
        <v>0.92500000000000004</v>
      </c>
      <c r="AU877" s="76">
        <v>0.92500000000000004</v>
      </c>
      <c r="AV877" s="76">
        <v>0.92500000000000004</v>
      </c>
      <c r="AW877" s="76">
        <v>0.92500000000000004</v>
      </c>
      <c r="AX877" s="84">
        <v>0.92500000000000004</v>
      </c>
    </row>
    <row r="878" spans="1:50" x14ac:dyDescent="0.25">
      <c r="A878" s="356"/>
      <c r="B878" s="359"/>
      <c r="C878" s="360"/>
      <c r="D878" s="2" t="s">
        <v>20</v>
      </c>
      <c r="E878" s="160" t="str">
        <f>A859&amp;"/"&amp;B875&amp;"/"&amp;C875&amp;"/"&amp;D878</f>
        <v>Fuel oil fired power plants/Steam turbine/Electricity only/XS</v>
      </c>
      <c r="F878" s="76" t="str">
        <f>A859</f>
        <v>Fuel oil fired power plants</v>
      </c>
      <c r="G878" s="76" t="str">
        <f>B875</f>
        <v>Steam turbine</v>
      </c>
      <c r="H878" s="76" t="str">
        <f>C875</f>
        <v>Electricity only</v>
      </c>
      <c r="I878" s="161" t="str">
        <f t="shared" si="90"/>
        <v>XS</v>
      </c>
      <c r="J878" s="76">
        <v>0.92500000000000004</v>
      </c>
      <c r="K878" s="76">
        <v>0.92500000000000004</v>
      </c>
      <c r="L878" s="76">
        <v>0.92500000000000004</v>
      </c>
      <c r="M878" s="76">
        <v>0.92500000000000004</v>
      </c>
      <c r="N878" s="76">
        <v>0.92500000000000004</v>
      </c>
      <c r="O878" s="76">
        <v>0.92500000000000004</v>
      </c>
      <c r="P878" s="76">
        <v>0.92500000000000004</v>
      </c>
      <c r="Q878" s="76">
        <v>0.92500000000000004</v>
      </c>
      <c r="R878" s="76">
        <v>0.92500000000000004</v>
      </c>
      <c r="S878" s="76">
        <v>0.92500000000000004</v>
      </c>
      <c r="T878" s="76">
        <v>0.92500000000000004</v>
      </c>
      <c r="U878" s="76">
        <v>0.92500000000000004</v>
      </c>
      <c r="V878" s="76">
        <v>0.92500000000000004</v>
      </c>
      <c r="W878" s="76">
        <v>0.92500000000000004</v>
      </c>
      <c r="X878" s="76">
        <v>0.92500000000000004</v>
      </c>
      <c r="Y878" s="76">
        <v>0.92500000000000004</v>
      </c>
      <c r="Z878" s="76">
        <v>0.92500000000000004</v>
      </c>
      <c r="AA878" s="76">
        <v>0.92500000000000004</v>
      </c>
      <c r="AB878" s="76">
        <v>0.92500000000000004</v>
      </c>
      <c r="AC878" s="76">
        <v>0.92500000000000004</v>
      </c>
      <c r="AD878" s="76">
        <v>0.92500000000000004</v>
      </c>
      <c r="AE878" s="76">
        <v>0.92500000000000004</v>
      </c>
      <c r="AF878" s="76">
        <v>0.92500000000000004</v>
      </c>
      <c r="AG878" s="76">
        <v>0.92500000000000004</v>
      </c>
      <c r="AH878" s="76">
        <v>0.92500000000000004</v>
      </c>
      <c r="AI878" s="76">
        <v>0.92500000000000004</v>
      </c>
      <c r="AJ878" s="76">
        <v>0.92500000000000004</v>
      </c>
      <c r="AK878" s="76">
        <v>0.92500000000000004</v>
      </c>
      <c r="AL878" s="76">
        <v>0.92500000000000004</v>
      </c>
      <c r="AM878" s="76">
        <v>0.92500000000000004</v>
      </c>
      <c r="AN878" s="76">
        <v>0.92500000000000004</v>
      </c>
      <c r="AO878" s="76">
        <v>0.92500000000000004</v>
      </c>
      <c r="AP878" s="76">
        <v>0.92500000000000004</v>
      </c>
      <c r="AQ878" s="76">
        <v>0.92500000000000004</v>
      </c>
      <c r="AR878" s="76">
        <v>0.92500000000000004</v>
      </c>
      <c r="AS878" s="76">
        <v>0.92500000000000004</v>
      </c>
      <c r="AT878" s="76">
        <v>0.92500000000000004</v>
      </c>
      <c r="AU878" s="76">
        <v>0.92500000000000004</v>
      </c>
      <c r="AV878" s="76">
        <v>0.92500000000000004</v>
      </c>
      <c r="AW878" s="76">
        <v>0.92500000000000004</v>
      </c>
      <c r="AX878" s="84">
        <v>0.92500000000000004</v>
      </c>
    </row>
    <row r="879" spans="1:50" x14ac:dyDescent="0.25">
      <c r="A879" s="356"/>
      <c r="B879" s="359"/>
      <c r="C879" s="361" t="s">
        <v>14</v>
      </c>
      <c r="D879" s="58" t="s">
        <v>7</v>
      </c>
      <c r="E879" s="164" t="str">
        <f>A859&amp;"/"&amp;B875&amp;"/"&amp;C879&amp;"/"&amp;D879</f>
        <v>Fuel oil fired power plants/Steam turbine/CHP/L</v>
      </c>
      <c r="F879" s="78" t="str">
        <f>A859</f>
        <v>Fuel oil fired power plants</v>
      </c>
      <c r="G879" s="78" t="str">
        <f>B875</f>
        <v>Steam turbine</v>
      </c>
      <c r="H879" s="78" t="str">
        <f>C879</f>
        <v>CHP</v>
      </c>
      <c r="I879" s="165" t="str">
        <f t="shared" ref="I879:I942" si="91">D879</f>
        <v>L</v>
      </c>
      <c r="J879" s="78">
        <v>0.92500000000000004</v>
      </c>
      <c r="K879" s="78">
        <v>0.92500000000000004</v>
      </c>
      <c r="L879" s="78">
        <v>0.92500000000000004</v>
      </c>
      <c r="M879" s="78">
        <v>0.92500000000000004</v>
      </c>
      <c r="N879" s="78">
        <v>0.92500000000000004</v>
      </c>
      <c r="O879" s="78">
        <v>0.92500000000000004</v>
      </c>
      <c r="P879" s="78">
        <v>0.92500000000000004</v>
      </c>
      <c r="Q879" s="78">
        <v>0.92500000000000004</v>
      </c>
      <c r="R879" s="78">
        <v>0.92500000000000004</v>
      </c>
      <c r="S879" s="78">
        <v>0.92500000000000004</v>
      </c>
      <c r="T879" s="78">
        <v>0.92500000000000004</v>
      </c>
      <c r="U879" s="78">
        <v>0.92500000000000004</v>
      </c>
      <c r="V879" s="78">
        <v>0.92500000000000004</v>
      </c>
      <c r="W879" s="78">
        <v>0.92500000000000004</v>
      </c>
      <c r="X879" s="78">
        <v>0.92500000000000004</v>
      </c>
      <c r="Y879" s="78">
        <v>0.92500000000000004</v>
      </c>
      <c r="Z879" s="78">
        <v>0.92500000000000004</v>
      </c>
      <c r="AA879" s="78">
        <v>0.92500000000000004</v>
      </c>
      <c r="AB879" s="78">
        <v>0.92500000000000004</v>
      </c>
      <c r="AC879" s="78">
        <v>0.92500000000000004</v>
      </c>
      <c r="AD879" s="78">
        <v>0.92500000000000004</v>
      </c>
      <c r="AE879" s="78">
        <v>0.92500000000000004</v>
      </c>
      <c r="AF879" s="78">
        <v>0.92500000000000004</v>
      </c>
      <c r="AG879" s="78">
        <v>0.92500000000000004</v>
      </c>
      <c r="AH879" s="78">
        <v>0.92500000000000004</v>
      </c>
      <c r="AI879" s="78">
        <v>0.92500000000000004</v>
      </c>
      <c r="AJ879" s="78">
        <v>0.92500000000000004</v>
      </c>
      <c r="AK879" s="78">
        <v>0.92500000000000004</v>
      </c>
      <c r="AL879" s="78">
        <v>0.92500000000000004</v>
      </c>
      <c r="AM879" s="78">
        <v>0.92500000000000004</v>
      </c>
      <c r="AN879" s="78">
        <v>0.92500000000000004</v>
      </c>
      <c r="AO879" s="78">
        <v>0.92500000000000004</v>
      </c>
      <c r="AP879" s="78">
        <v>0.92500000000000004</v>
      </c>
      <c r="AQ879" s="78">
        <v>0.92500000000000004</v>
      </c>
      <c r="AR879" s="78">
        <v>0.92500000000000004</v>
      </c>
      <c r="AS879" s="78">
        <v>0.92500000000000004</v>
      </c>
      <c r="AT879" s="78">
        <v>0.92500000000000004</v>
      </c>
      <c r="AU879" s="78">
        <v>0.92500000000000004</v>
      </c>
      <c r="AV879" s="78">
        <v>0.92500000000000004</v>
      </c>
      <c r="AW879" s="78">
        <v>0.92500000000000004</v>
      </c>
      <c r="AX879" s="86">
        <v>0.92500000000000004</v>
      </c>
    </row>
    <row r="880" spans="1:50" x14ac:dyDescent="0.25">
      <c r="A880" s="356"/>
      <c r="B880" s="359"/>
      <c r="C880" s="350"/>
      <c r="D880" s="2" t="s">
        <v>8</v>
      </c>
      <c r="E880" s="160" t="str">
        <f>A859&amp;"/"&amp;B875&amp;"/"&amp;C879&amp;"/"&amp;D880</f>
        <v>Fuel oil fired power plants/Steam turbine/CHP/M</v>
      </c>
      <c r="F880" s="76" t="str">
        <f>A859</f>
        <v>Fuel oil fired power plants</v>
      </c>
      <c r="G880" s="76" t="str">
        <f>B875</f>
        <v>Steam turbine</v>
      </c>
      <c r="H880" s="76" t="str">
        <f>C879</f>
        <v>CHP</v>
      </c>
      <c r="I880" s="161" t="str">
        <f t="shared" si="91"/>
        <v>M</v>
      </c>
      <c r="J880" s="76">
        <v>0.92500000000000004</v>
      </c>
      <c r="K880" s="76">
        <v>0.92500000000000004</v>
      </c>
      <c r="L880" s="76">
        <v>0.92500000000000004</v>
      </c>
      <c r="M880" s="76">
        <v>0.92500000000000004</v>
      </c>
      <c r="N880" s="76">
        <v>0.92500000000000004</v>
      </c>
      <c r="O880" s="76">
        <v>0.92500000000000004</v>
      </c>
      <c r="P880" s="76">
        <v>0.92500000000000004</v>
      </c>
      <c r="Q880" s="76">
        <v>0.92500000000000004</v>
      </c>
      <c r="R880" s="76">
        <v>0.92500000000000004</v>
      </c>
      <c r="S880" s="76">
        <v>0.92500000000000004</v>
      </c>
      <c r="T880" s="76">
        <v>0.92500000000000004</v>
      </c>
      <c r="U880" s="76">
        <v>0.92500000000000004</v>
      </c>
      <c r="V880" s="76">
        <v>0.92500000000000004</v>
      </c>
      <c r="W880" s="76">
        <v>0.92500000000000004</v>
      </c>
      <c r="X880" s="76">
        <v>0.92500000000000004</v>
      </c>
      <c r="Y880" s="76">
        <v>0.92500000000000004</v>
      </c>
      <c r="Z880" s="76">
        <v>0.92500000000000004</v>
      </c>
      <c r="AA880" s="76">
        <v>0.92500000000000004</v>
      </c>
      <c r="AB880" s="76">
        <v>0.92500000000000004</v>
      </c>
      <c r="AC880" s="76">
        <v>0.92500000000000004</v>
      </c>
      <c r="AD880" s="76">
        <v>0.92500000000000004</v>
      </c>
      <c r="AE880" s="76">
        <v>0.92500000000000004</v>
      </c>
      <c r="AF880" s="76">
        <v>0.92500000000000004</v>
      </c>
      <c r="AG880" s="76">
        <v>0.92500000000000004</v>
      </c>
      <c r="AH880" s="76">
        <v>0.92500000000000004</v>
      </c>
      <c r="AI880" s="76">
        <v>0.92500000000000004</v>
      </c>
      <c r="AJ880" s="76">
        <v>0.92500000000000004</v>
      </c>
      <c r="AK880" s="76">
        <v>0.92500000000000004</v>
      </c>
      <c r="AL880" s="76">
        <v>0.92500000000000004</v>
      </c>
      <c r="AM880" s="76">
        <v>0.92500000000000004</v>
      </c>
      <c r="AN880" s="76">
        <v>0.92500000000000004</v>
      </c>
      <c r="AO880" s="76">
        <v>0.92500000000000004</v>
      </c>
      <c r="AP880" s="76">
        <v>0.92500000000000004</v>
      </c>
      <c r="AQ880" s="76">
        <v>0.92500000000000004</v>
      </c>
      <c r="AR880" s="76">
        <v>0.92500000000000004</v>
      </c>
      <c r="AS880" s="76">
        <v>0.92500000000000004</v>
      </c>
      <c r="AT880" s="76">
        <v>0.92500000000000004</v>
      </c>
      <c r="AU880" s="76">
        <v>0.92500000000000004</v>
      </c>
      <c r="AV880" s="76">
        <v>0.92500000000000004</v>
      </c>
      <c r="AW880" s="76">
        <v>0.92500000000000004</v>
      </c>
      <c r="AX880" s="84">
        <v>0.92500000000000004</v>
      </c>
    </row>
    <row r="881" spans="1:50" x14ac:dyDescent="0.25">
      <c r="A881" s="356"/>
      <c r="B881" s="359"/>
      <c r="C881" s="350"/>
      <c r="D881" s="2" t="s">
        <v>10</v>
      </c>
      <c r="E881" s="160" t="str">
        <f>A859&amp;"/"&amp;B875&amp;"/"&amp;C879&amp;"/"&amp;D881</f>
        <v>Fuel oil fired power plants/Steam turbine/CHP/S</v>
      </c>
      <c r="F881" s="76" t="str">
        <f>A859</f>
        <v>Fuel oil fired power plants</v>
      </c>
      <c r="G881" s="76" t="str">
        <f>B875</f>
        <v>Steam turbine</v>
      </c>
      <c r="H881" s="76" t="str">
        <f>C879</f>
        <v>CHP</v>
      </c>
      <c r="I881" s="161" t="str">
        <f t="shared" si="91"/>
        <v>S</v>
      </c>
      <c r="J881" s="76">
        <v>0.92500000000000004</v>
      </c>
      <c r="K881" s="76">
        <v>0.92500000000000004</v>
      </c>
      <c r="L881" s="76">
        <v>0.92500000000000004</v>
      </c>
      <c r="M881" s="76">
        <v>0.92500000000000004</v>
      </c>
      <c r="N881" s="76">
        <v>0.92500000000000004</v>
      </c>
      <c r="O881" s="76">
        <v>0.92500000000000004</v>
      </c>
      <c r="P881" s="76">
        <v>0.92500000000000004</v>
      </c>
      <c r="Q881" s="76">
        <v>0.92500000000000004</v>
      </c>
      <c r="R881" s="76">
        <v>0.92500000000000004</v>
      </c>
      <c r="S881" s="76">
        <v>0.92500000000000004</v>
      </c>
      <c r="T881" s="76">
        <v>0.92500000000000004</v>
      </c>
      <c r="U881" s="76">
        <v>0.92500000000000004</v>
      </c>
      <c r="V881" s="76">
        <v>0.92500000000000004</v>
      </c>
      <c r="W881" s="76">
        <v>0.92500000000000004</v>
      </c>
      <c r="X881" s="76">
        <v>0.92500000000000004</v>
      </c>
      <c r="Y881" s="76">
        <v>0.92500000000000004</v>
      </c>
      <c r="Z881" s="76">
        <v>0.92500000000000004</v>
      </c>
      <c r="AA881" s="76">
        <v>0.92500000000000004</v>
      </c>
      <c r="AB881" s="76">
        <v>0.92500000000000004</v>
      </c>
      <c r="AC881" s="76">
        <v>0.92500000000000004</v>
      </c>
      <c r="AD881" s="76">
        <v>0.92500000000000004</v>
      </c>
      <c r="AE881" s="76">
        <v>0.92500000000000004</v>
      </c>
      <c r="AF881" s="76">
        <v>0.92500000000000004</v>
      </c>
      <c r="AG881" s="76">
        <v>0.92500000000000004</v>
      </c>
      <c r="AH881" s="76">
        <v>0.92500000000000004</v>
      </c>
      <c r="AI881" s="76">
        <v>0.92500000000000004</v>
      </c>
      <c r="AJ881" s="76">
        <v>0.92500000000000004</v>
      </c>
      <c r="AK881" s="76">
        <v>0.92500000000000004</v>
      </c>
      <c r="AL881" s="76">
        <v>0.92500000000000004</v>
      </c>
      <c r="AM881" s="76">
        <v>0.92500000000000004</v>
      </c>
      <c r="AN881" s="76">
        <v>0.92500000000000004</v>
      </c>
      <c r="AO881" s="76">
        <v>0.92500000000000004</v>
      </c>
      <c r="AP881" s="76">
        <v>0.92500000000000004</v>
      </c>
      <c r="AQ881" s="76">
        <v>0.92500000000000004</v>
      </c>
      <c r="AR881" s="76">
        <v>0.92500000000000004</v>
      </c>
      <c r="AS881" s="76">
        <v>0.92500000000000004</v>
      </c>
      <c r="AT881" s="76">
        <v>0.92500000000000004</v>
      </c>
      <c r="AU881" s="76">
        <v>0.92500000000000004</v>
      </c>
      <c r="AV881" s="76">
        <v>0.92500000000000004</v>
      </c>
      <c r="AW881" s="76">
        <v>0.92500000000000004</v>
      </c>
      <c r="AX881" s="84">
        <v>0.92500000000000004</v>
      </c>
    </row>
    <row r="882" spans="1:50" x14ac:dyDescent="0.25">
      <c r="A882" s="356"/>
      <c r="B882" s="359"/>
      <c r="C882" s="360"/>
      <c r="D882" s="59" t="s">
        <v>20</v>
      </c>
      <c r="E882" s="166" t="str">
        <f>A859&amp;"/"&amp;B875&amp;"/"&amp;C879&amp;"/"&amp;D882</f>
        <v>Fuel oil fired power plants/Steam turbine/CHP/XS</v>
      </c>
      <c r="F882" s="79" t="str">
        <f>A859</f>
        <v>Fuel oil fired power plants</v>
      </c>
      <c r="G882" s="79" t="str">
        <f>B875</f>
        <v>Steam turbine</v>
      </c>
      <c r="H882" s="79" t="str">
        <f>C879</f>
        <v>CHP</v>
      </c>
      <c r="I882" s="167" t="str">
        <f t="shared" si="91"/>
        <v>XS</v>
      </c>
      <c r="J882" s="79">
        <v>0.92500000000000004</v>
      </c>
      <c r="K882" s="79">
        <v>0.92500000000000004</v>
      </c>
      <c r="L882" s="79">
        <v>0.92500000000000004</v>
      </c>
      <c r="M882" s="79">
        <v>0.92500000000000004</v>
      </c>
      <c r="N882" s="79">
        <v>0.92500000000000004</v>
      </c>
      <c r="O882" s="79">
        <v>0.92500000000000004</v>
      </c>
      <c r="P882" s="79">
        <v>0.92500000000000004</v>
      </c>
      <c r="Q882" s="79">
        <v>0.92500000000000004</v>
      </c>
      <c r="R882" s="79">
        <v>0.92500000000000004</v>
      </c>
      <c r="S882" s="79">
        <v>0.92500000000000004</v>
      </c>
      <c r="T882" s="79">
        <v>0.92500000000000004</v>
      </c>
      <c r="U882" s="79">
        <v>0.92500000000000004</v>
      </c>
      <c r="V882" s="79">
        <v>0.92500000000000004</v>
      </c>
      <c r="W882" s="79">
        <v>0.92500000000000004</v>
      </c>
      <c r="X882" s="79">
        <v>0.92500000000000004</v>
      </c>
      <c r="Y882" s="79">
        <v>0.92500000000000004</v>
      </c>
      <c r="Z882" s="79">
        <v>0.92500000000000004</v>
      </c>
      <c r="AA882" s="79">
        <v>0.92500000000000004</v>
      </c>
      <c r="AB882" s="79">
        <v>0.92500000000000004</v>
      </c>
      <c r="AC882" s="79">
        <v>0.92500000000000004</v>
      </c>
      <c r="AD882" s="79">
        <v>0.92500000000000004</v>
      </c>
      <c r="AE882" s="79">
        <v>0.92500000000000004</v>
      </c>
      <c r="AF882" s="79">
        <v>0.92500000000000004</v>
      </c>
      <c r="AG882" s="79">
        <v>0.92500000000000004</v>
      </c>
      <c r="AH882" s="79">
        <v>0.92500000000000004</v>
      </c>
      <c r="AI882" s="79">
        <v>0.92500000000000004</v>
      </c>
      <c r="AJ882" s="79">
        <v>0.92500000000000004</v>
      </c>
      <c r="AK882" s="79">
        <v>0.92500000000000004</v>
      </c>
      <c r="AL882" s="79">
        <v>0.92500000000000004</v>
      </c>
      <c r="AM882" s="79">
        <v>0.92500000000000004</v>
      </c>
      <c r="AN882" s="79">
        <v>0.92500000000000004</v>
      </c>
      <c r="AO882" s="79">
        <v>0.92500000000000004</v>
      </c>
      <c r="AP882" s="79">
        <v>0.92500000000000004</v>
      </c>
      <c r="AQ882" s="79">
        <v>0.92500000000000004</v>
      </c>
      <c r="AR882" s="79">
        <v>0.92500000000000004</v>
      </c>
      <c r="AS882" s="79">
        <v>0.92500000000000004</v>
      </c>
      <c r="AT882" s="79">
        <v>0.92500000000000004</v>
      </c>
      <c r="AU882" s="79">
        <v>0.92500000000000004</v>
      </c>
      <c r="AV882" s="79">
        <v>0.92500000000000004</v>
      </c>
      <c r="AW882" s="79">
        <v>0.92500000000000004</v>
      </c>
      <c r="AX882" s="87">
        <v>0.92500000000000004</v>
      </c>
    </row>
    <row r="883" spans="1:50" x14ac:dyDescent="0.25">
      <c r="A883" s="356"/>
      <c r="B883" s="359"/>
      <c r="C883" s="361" t="s">
        <v>15</v>
      </c>
      <c r="D883" s="58" t="s">
        <v>7</v>
      </c>
      <c r="E883" s="164" t="str">
        <f>A859&amp;"/"&amp;B875&amp;"/"&amp;C883&amp;"/"&amp;D883</f>
        <v>Fuel oil fired power plants/Steam turbine/Electricity only with CCS/L</v>
      </c>
      <c r="F883" s="78" t="str">
        <f>A859</f>
        <v>Fuel oil fired power plants</v>
      </c>
      <c r="G883" s="78" t="str">
        <f>B875</f>
        <v>Steam turbine</v>
      </c>
      <c r="H883" s="78" t="str">
        <f>C883</f>
        <v>Electricity only with CCS</v>
      </c>
      <c r="I883" s="165" t="str">
        <f t="shared" si="91"/>
        <v>L</v>
      </c>
      <c r="J883" s="78" t="s">
        <v>112</v>
      </c>
      <c r="K883" s="78" t="s">
        <v>112</v>
      </c>
      <c r="L883" s="78" t="s">
        <v>112</v>
      </c>
      <c r="M883" s="78" t="s">
        <v>112</v>
      </c>
      <c r="N883" s="78" t="s">
        <v>112</v>
      </c>
      <c r="O883" s="78" t="s">
        <v>112</v>
      </c>
      <c r="P883" s="78" t="s">
        <v>112</v>
      </c>
      <c r="Q883" s="78" t="s">
        <v>112</v>
      </c>
      <c r="R883" s="78" t="s">
        <v>112</v>
      </c>
      <c r="S883" s="78" t="s">
        <v>112</v>
      </c>
      <c r="T883" s="78" t="s">
        <v>112</v>
      </c>
      <c r="U883" s="78" t="s">
        <v>112</v>
      </c>
      <c r="V883" s="78" t="s">
        <v>112</v>
      </c>
      <c r="W883" s="78" t="s">
        <v>112</v>
      </c>
      <c r="X883" s="78" t="s">
        <v>112</v>
      </c>
      <c r="Y883" s="78" t="s">
        <v>112</v>
      </c>
      <c r="Z883" s="78" t="s">
        <v>112</v>
      </c>
      <c r="AA883" s="78" t="s">
        <v>112</v>
      </c>
      <c r="AB883" s="78" t="s">
        <v>112</v>
      </c>
      <c r="AC883" s="78" t="s">
        <v>112</v>
      </c>
      <c r="AD883" s="78" t="s">
        <v>112</v>
      </c>
      <c r="AE883" s="78">
        <v>0.92500000000000004</v>
      </c>
      <c r="AF883" s="78">
        <v>0.92500000000000004</v>
      </c>
      <c r="AG883" s="78">
        <v>0.92500000000000004</v>
      </c>
      <c r="AH883" s="78">
        <v>0.92500000000000004</v>
      </c>
      <c r="AI883" s="78">
        <v>0.92500000000000004</v>
      </c>
      <c r="AJ883" s="78">
        <v>0.92500000000000004</v>
      </c>
      <c r="AK883" s="78">
        <v>0.92500000000000004</v>
      </c>
      <c r="AL883" s="78">
        <v>0.92500000000000004</v>
      </c>
      <c r="AM883" s="78">
        <v>0.92500000000000004</v>
      </c>
      <c r="AN883" s="78">
        <v>0.92500000000000004</v>
      </c>
      <c r="AO883" s="78">
        <v>0.92500000000000004</v>
      </c>
      <c r="AP883" s="78">
        <v>0.92500000000000004</v>
      </c>
      <c r="AQ883" s="78">
        <v>0.92500000000000004</v>
      </c>
      <c r="AR883" s="78">
        <v>0.92500000000000004</v>
      </c>
      <c r="AS883" s="78">
        <v>0.92500000000000004</v>
      </c>
      <c r="AT883" s="78">
        <v>0.92500000000000004</v>
      </c>
      <c r="AU883" s="78">
        <v>0.92500000000000004</v>
      </c>
      <c r="AV883" s="78">
        <v>0.92500000000000004</v>
      </c>
      <c r="AW883" s="78">
        <v>0.92500000000000004</v>
      </c>
      <c r="AX883" s="86">
        <v>0.92500000000000004</v>
      </c>
    </row>
    <row r="884" spans="1:50" x14ac:dyDescent="0.25">
      <c r="A884" s="356"/>
      <c r="B884" s="359"/>
      <c r="C884" s="360"/>
      <c r="D884" s="59" t="s">
        <v>8</v>
      </c>
      <c r="E884" s="166" t="str">
        <f>A859&amp;"/"&amp;B875&amp;"/"&amp;C883&amp;"/"&amp;D884</f>
        <v>Fuel oil fired power plants/Steam turbine/Electricity only with CCS/M</v>
      </c>
      <c r="F884" s="79" t="str">
        <f>A859</f>
        <v>Fuel oil fired power plants</v>
      </c>
      <c r="G884" s="79" t="str">
        <f>B875</f>
        <v>Steam turbine</v>
      </c>
      <c r="H884" s="79" t="str">
        <f>C883</f>
        <v>Electricity only with CCS</v>
      </c>
      <c r="I884" s="167" t="str">
        <f t="shared" si="91"/>
        <v>M</v>
      </c>
      <c r="J884" s="79" t="s">
        <v>112</v>
      </c>
      <c r="K884" s="79" t="s">
        <v>112</v>
      </c>
      <c r="L884" s="79" t="s">
        <v>112</v>
      </c>
      <c r="M884" s="79" t="s">
        <v>112</v>
      </c>
      <c r="N884" s="79" t="s">
        <v>112</v>
      </c>
      <c r="O884" s="79" t="s">
        <v>112</v>
      </c>
      <c r="P884" s="79" t="s">
        <v>112</v>
      </c>
      <c r="Q884" s="79" t="s">
        <v>112</v>
      </c>
      <c r="R884" s="79" t="s">
        <v>112</v>
      </c>
      <c r="S884" s="79" t="s">
        <v>112</v>
      </c>
      <c r="T884" s="79" t="s">
        <v>112</v>
      </c>
      <c r="U884" s="79" t="s">
        <v>112</v>
      </c>
      <c r="V884" s="79" t="s">
        <v>112</v>
      </c>
      <c r="W884" s="79" t="s">
        <v>112</v>
      </c>
      <c r="X884" s="79" t="s">
        <v>112</v>
      </c>
      <c r="Y884" s="79" t="s">
        <v>112</v>
      </c>
      <c r="Z884" s="79" t="s">
        <v>112</v>
      </c>
      <c r="AA884" s="79" t="s">
        <v>112</v>
      </c>
      <c r="AB884" s="79" t="s">
        <v>112</v>
      </c>
      <c r="AC884" s="79" t="s">
        <v>112</v>
      </c>
      <c r="AD884" s="79" t="s">
        <v>112</v>
      </c>
      <c r="AE884" s="79">
        <v>0.92500000000000004</v>
      </c>
      <c r="AF884" s="79">
        <v>0.92500000000000004</v>
      </c>
      <c r="AG884" s="79">
        <v>0.92500000000000004</v>
      </c>
      <c r="AH884" s="79">
        <v>0.92500000000000004</v>
      </c>
      <c r="AI884" s="79">
        <v>0.92500000000000004</v>
      </c>
      <c r="AJ884" s="79">
        <v>0.92500000000000004</v>
      </c>
      <c r="AK884" s="79">
        <v>0.92500000000000004</v>
      </c>
      <c r="AL884" s="79">
        <v>0.92500000000000004</v>
      </c>
      <c r="AM884" s="79">
        <v>0.92500000000000004</v>
      </c>
      <c r="AN884" s="79">
        <v>0.92500000000000004</v>
      </c>
      <c r="AO884" s="79">
        <v>0.92500000000000004</v>
      </c>
      <c r="AP884" s="79">
        <v>0.92500000000000004</v>
      </c>
      <c r="AQ884" s="79">
        <v>0.92500000000000004</v>
      </c>
      <c r="AR884" s="79">
        <v>0.92500000000000004</v>
      </c>
      <c r="AS884" s="79">
        <v>0.92500000000000004</v>
      </c>
      <c r="AT884" s="79">
        <v>0.92500000000000004</v>
      </c>
      <c r="AU884" s="79">
        <v>0.92500000000000004</v>
      </c>
      <c r="AV884" s="79">
        <v>0.92500000000000004</v>
      </c>
      <c r="AW884" s="79">
        <v>0.92500000000000004</v>
      </c>
      <c r="AX884" s="87">
        <v>0.92500000000000004</v>
      </c>
    </row>
    <row r="885" spans="1:50" x14ac:dyDescent="0.25">
      <c r="A885" s="356"/>
      <c r="B885" s="359"/>
      <c r="C885" s="361" t="s">
        <v>16</v>
      </c>
      <c r="D885" s="2" t="s">
        <v>7</v>
      </c>
      <c r="E885" s="160" t="str">
        <f>A859&amp;"/"&amp;B875&amp;"/"&amp;C885&amp;"/"&amp;D885</f>
        <v>Fuel oil fired power plants/Steam turbine/CHP with CCS/L</v>
      </c>
      <c r="F885" s="76" t="str">
        <f>A859</f>
        <v>Fuel oil fired power plants</v>
      </c>
      <c r="G885" s="76" t="str">
        <f>B875</f>
        <v>Steam turbine</v>
      </c>
      <c r="H885" s="76" t="str">
        <f>C885</f>
        <v>CHP with CCS</v>
      </c>
      <c r="I885" s="161" t="str">
        <f t="shared" si="91"/>
        <v>L</v>
      </c>
      <c r="J885" s="76" t="s">
        <v>112</v>
      </c>
      <c r="K885" s="76" t="s">
        <v>112</v>
      </c>
      <c r="L885" s="76" t="s">
        <v>112</v>
      </c>
      <c r="M885" s="76" t="s">
        <v>112</v>
      </c>
      <c r="N885" s="76" t="s">
        <v>112</v>
      </c>
      <c r="O885" s="76" t="s">
        <v>112</v>
      </c>
      <c r="P885" s="76" t="s">
        <v>112</v>
      </c>
      <c r="Q885" s="76" t="s">
        <v>112</v>
      </c>
      <c r="R885" s="76" t="s">
        <v>112</v>
      </c>
      <c r="S885" s="76" t="s">
        <v>112</v>
      </c>
      <c r="T885" s="76" t="s">
        <v>112</v>
      </c>
      <c r="U885" s="76" t="s">
        <v>112</v>
      </c>
      <c r="V885" s="76" t="s">
        <v>112</v>
      </c>
      <c r="W885" s="76" t="s">
        <v>112</v>
      </c>
      <c r="X885" s="76" t="s">
        <v>112</v>
      </c>
      <c r="Y885" s="76" t="s">
        <v>112</v>
      </c>
      <c r="Z885" s="76" t="s">
        <v>112</v>
      </c>
      <c r="AA885" s="76" t="s">
        <v>112</v>
      </c>
      <c r="AB885" s="76" t="s">
        <v>112</v>
      </c>
      <c r="AC885" s="76" t="s">
        <v>112</v>
      </c>
      <c r="AD885" s="76" t="s">
        <v>112</v>
      </c>
      <c r="AE885" s="76">
        <v>0.92500000000000004</v>
      </c>
      <c r="AF885" s="76">
        <v>0.92500000000000004</v>
      </c>
      <c r="AG885" s="76">
        <v>0.92500000000000004</v>
      </c>
      <c r="AH885" s="76">
        <v>0.92500000000000004</v>
      </c>
      <c r="AI885" s="76">
        <v>0.92500000000000004</v>
      </c>
      <c r="AJ885" s="76">
        <v>0.92500000000000004</v>
      </c>
      <c r="AK885" s="76">
        <v>0.92500000000000004</v>
      </c>
      <c r="AL885" s="76">
        <v>0.92500000000000004</v>
      </c>
      <c r="AM885" s="76">
        <v>0.92500000000000004</v>
      </c>
      <c r="AN885" s="76">
        <v>0.92500000000000004</v>
      </c>
      <c r="AO885" s="76">
        <v>0.92500000000000004</v>
      </c>
      <c r="AP885" s="76">
        <v>0.92500000000000004</v>
      </c>
      <c r="AQ885" s="76">
        <v>0.92500000000000004</v>
      </c>
      <c r="AR885" s="76">
        <v>0.92500000000000004</v>
      </c>
      <c r="AS885" s="76">
        <v>0.92500000000000004</v>
      </c>
      <c r="AT885" s="76">
        <v>0.92500000000000004</v>
      </c>
      <c r="AU885" s="76">
        <v>0.92500000000000004</v>
      </c>
      <c r="AV885" s="76">
        <v>0.92500000000000004</v>
      </c>
      <c r="AW885" s="76">
        <v>0.92500000000000004</v>
      </c>
      <c r="AX885" s="84">
        <v>0.92500000000000004</v>
      </c>
    </row>
    <row r="886" spans="1:50" x14ac:dyDescent="0.25">
      <c r="A886" s="357"/>
      <c r="B886" s="362"/>
      <c r="C886" s="354"/>
      <c r="D886" s="4" t="s">
        <v>8</v>
      </c>
      <c r="E886" s="168" t="str">
        <f>A859&amp;"/"&amp;B875&amp;"/"&amp;C885&amp;"/"&amp;D886</f>
        <v>Fuel oil fired power plants/Steam turbine/CHP with CCS/M</v>
      </c>
      <c r="F886" s="80" t="str">
        <f>A859</f>
        <v>Fuel oil fired power plants</v>
      </c>
      <c r="G886" s="80" t="str">
        <f>B875</f>
        <v>Steam turbine</v>
      </c>
      <c r="H886" s="80" t="str">
        <f>C885</f>
        <v>CHP with CCS</v>
      </c>
      <c r="I886" s="169" t="str">
        <f t="shared" si="91"/>
        <v>M</v>
      </c>
      <c r="J886" s="80" t="s">
        <v>112</v>
      </c>
      <c r="K886" s="80" t="s">
        <v>112</v>
      </c>
      <c r="L886" s="80" t="s">
        <v>112</v>
      </c>
      <c r="M886" s="80" t="s">
        <v>112</v>
      </c>
      <c r="N886" s="80" t="s">
        <v>112</v>
      </c>
      <c r="O886" s="80" t="s">
        <v>112</v>
      </c>
      <c r="P886" s="80" t="s">
        <v>112</v>
      </c>
      <c r="Q886" s="80" t="s">
        <v>112</v>
      </c>
      <c r="R886" s="80" t="s">
        <v>112</v>
      </c>
      <c r="S886" s="80" t="s">
        <v>112</v>
      </c>
      <c r="T886" s="80" t="s">
        <v>112</v>
      </c>
      <c r="U886" s="80" t="s">
        <v>112</v>
      </c>
      <c r="V886" s="80" t="s">
        <v>112</v>
      </c>
      <c r="W886" s="80" t="s">
        <v>112</v>
      </c>
      <c r="X886" s="80" t="s">
        <v>112</v>
      </c>
      <c r="Y886" s="80" t="s">
        <v>112</v>
      </c>
      <c r="Z886" s="80" t="s">
        <v>112</v>
      </c>
      <c r="AA886" s="80" t="s">
        <v>112</v>
      </c>
      <c r="AB886" s="80" t="s">
        <v>112</v>
      </c>
      <c r="AC886" s="80" t="s">
        <v>112</v>
      </c>
      <c r="AD886" s="80" t="s">
        <v>112</v>
      </c>
      <c r="AE886" s="80">
        <v>0.92500000000000004</v>
      </c>
      <c r="AF886" s="80">
        <v>0.92500000000000004</v>
      </c>
      <c r="AG886" s="80">
        <v>0.92500000000000004</v>
      </c>
      <c r="AH886" s="80">
        <v>0.92500000000000004</v>
      </c>
      <c r="AI886" s="80">
        <v>0.92500000000000004</v>
      </c>
      <c r="AJ886" s="80">
        <v>0.92500000000000004</v>
      </c>
      <c r="AK886" s="80">
        <v>0.92500000000000004</v>
      </c>
      <c r="AL886" s="80">
        <v>0.92500000000000004</v>
      </c>
      <c r="AM886" s="80">
        <v>0.92500000000000004</v>
      </c>
      <c r="AN886" s="80">
        <v>0.92500000000000004</v>
      </c>
      <c r="AO886" s="80">
        <v>0.92500000000000004</v>
      </c>
      <c r="AP886" s="80">
        <v>0.92500000000000004</v>
      </c>
      <c r="AQ886" s="80">
        <v>0.92500000000000004</v>
      </c>
      <c r="AR886" s="80">
        <v>0.92500000000000004</v>
      </c>
      <c r="AS886" s="80">
        <v>0.92500000000000004</v>
      </c>
      <c r="AT886" s="80">
        <v>0.92500000000000004</v>
      </c>
      <c r="AU886" s="80">
        <v>0.92500000000000004</v>
      </c>
      <c r="AV886" s="80">
        <v>0.92500000000000004</v>
      </c>
      <c r="AW886" s="80">
        <v>0.92500000000000004</v>
      </c>
      <c r="AX886" s="88">
        <v>0.92500000000000004</v>
      </c>
    </row>
    <row r="887" spans="1:50" x14ac:dyDescent="0.25">
      <c r="A887" s="355" t="s">
        <v>30</v>
      </c>
      <c r="B887" s="358" t="s">
        <v>13</v>
      </c>
      <c r="C887" s="353" t="s">
        <v>6</v>
      </c>
      <c r="D887" s="3" t="s">
        <v>7</v>
      </c>
      <c r="E887" s="162" t="str">
        <f>A887&amp;"/"&amp;B887&amp;"/"&amp;C887&amp;"/"&amp;D887</f>
        <v>Biomass and waste fired power plants/Integrated gasification combined cycle/Electricity only/L</v>
      </c>
      <c r="F887" s="77" t="str">
        <f>A887</f>
        <v>Biomass and waste fired power plants</v>
      </c>
      <c r="G887" s="77" t="str">
        <f>B887</f>
        <v>Integrated gasification combined cycle</v>
      </c>
      <c r="H887" s="77" t="str">
        <f>C887</f>
        <v>Electricity only</v>
      </c>
      <c r="I887" s="163" t="str">
        <f t="shared" si="91"/>
        <v>L</v>
      </c>
      <c r="J887" s="77">
        <v>0.87</v>
      </c>
      <c r="K887" s="77">
        <v>0.87</v>
      </c>
      <c r="L887" s="77">
        <v>0.87</v>
      </c>
      <c r="M887" s="77">
        <v>0.87</v>
      </c>
      <c r="N887" s="77">
        <v>0.87</v>
      </c>
      <c r="O887" s="77">
        <v>0.87</v>
      </c>
      <c r="P887" s="77">
        <v>0.87</v>
      </c>
      <c r="Q887" s="77">
        <v>0.87</v>
      </c>
      <c r="R887" s="77">
        <v>0.87</v>
      </c>
      <c r="S887" s="77">
        <v>0.87</v>
      </c>
      <c r="T887" s="77">
        <v>0.87</v>
      </c>
      <c r="U887" s="77">
        <v>0.87</v>
      </c>
      <c r="V887" s="77">
        <v>0.87</v>
      </c>
      <c r="W887" s="77">
        <v>0.87</v>
      </c>
      <c r="X887" s="77">
        <v>0.87</v>
      </c>
      <c r="Y887" s="77">
        <v>0.87</v>
      </c>
      <c r="Z887" s="77">
        <v>0.87</v>
      </c>
      <c r="AA887" s="77">
        <v>0.87</v>
      </c>
      <c r="AB887" s="77">
        <v>0.87</v>
      </c>
      <c r="AC887" s="77">
        <v>0.87</v>
      </c>
      <c r="AD887" s="77">
        <v>0.87</v>
      </c>
      <c r="AE887" s="77">
        <v>0.87</v>
      </c>
      <c r="AF887" s="77">
        <v>0.87</v>
      </c>
      <c r="AG887" s="77">
        <v>0.87</v>
      </c>
      <c r="AH887" s="77">
        <v>0.87</v>
      </c>
      <c r="AI887" s="77">
        <v>0.87</v>
      </c>
      <c r="AJ887" s="77">
        <v>0.87</v>
      </c>
      <c r="AK887" s="77">
        <v>0.87</v>
      </c>
      <c r="AL887" s="77">
        <v>0.87</v>
      </c>
      <c r="AM887" s="77">
        <v>0.87</v>
      </c>
      <c r="AN887" s="77">
        <v>0.87</v>
      </c>
      <c r="AO887" s="77">
        <v>0.87</v>
      </c>
      <c r="AP887" s="77">
        <v>0.87</v>
      </c>
      <c r="AQ887" s="77">
        <v>0.87</v>
      </c>
      <c r="AR887" s="77">
        <v>0.87</v>
      </c>
      <c r="AS887" s="77">
        <v>0.87</v>
      </c>
      <c r="AT887" s="77">
        <v>0.87</v>
      </c>
      <c r="AU887" s="77">
        <v>0.87</v>
      </c>
      <c r="AV887" s="77">
        <v>0.87</v>
      </c>
      <c r="AW887" s="77">
        <v>0.87</v>
      </c>
      <c r="AX887" s="85">
        <v>0.87</v>
      </c>
    </row>
    <row r="888" spans="1:50" x14ac:dyDescent="0.25">
      <c r="A888" s="356"/>
      <c r="B888" s="359"/>
      <c r="C888" s="360"/>
      <c r="D888" s="2" t="s">
        <v>8</v>
      </c>
      <c r="E888" s="160" t="str">
        <f>A887&amp;"/"&amp;B887&amp;"/"&amp;C887&amp;"/"&amp;D888</f>
        <v>Biomass and waste fired power plants/Integrated gasification combined cycle/Electricity only/M</v>
      </c>
      <c r="F888" s="76" t="str">
        <f>A887</f>
        <v>Biomass and waste fired power plants</v>
      </c>
      <c r="G888" s="76" t="str">
        <f>B887</f>
        <v>Integrated gasification combined cycle</v>
      </c>
      <c r="H888" s="76" t="str">
        <f>C887</f>
        <v>Electricity only</v>
      </c>
      <c r="I888" s="161" t="str">
        <f t="shared" si="91"/>
        <v>M</v>
      </c>
      <c r="J888" s="76">
        <v>0.87</v>
      </c>
      <c r="K888" s="76">
        <v>0.87</v>
      </c>
      <c r="L888" s="76">
        <v>0.87</v>
      </c>
      <c r="M888" s="76">
        <v>0.87</v>
      </c>
      <c r="N888" s="76">
        <v>0.87</v>
      </c>
      <c r="O888" s="76">
        <v>0.87</v>
      </c>
      <c r="P888" s="76">
        <v>0.87</v>
      </c>
      <c r="Q888" s="76">
        <v>0.87</v>
      </c>
      <c r="R888" s="76">
        <v>0.87</v>
      </c>
      <c r="S888" s="76">
        <v>0.87</v>
      </c>
      <c r="T888" s="76">
        <v>0.87</v>
      </c>
      <c r="U888" s="76">
        <v>0.87</v>
      </c>
      <c r="V888" s="76">
        <v>0.87</v>
      </c>
      <c r="W888" s="76">
        <v>0.87</v>
      </c>
      <c r="X888" s="76">
        <v>0.87</v>
      </c>
      <c r="Y888" s="76">
        <v>0.87</v>
      </c>
      <c r="Z888" s="76">
        <v>0.87</v>
      </c>
      <c r="AA888" s="76">
        <v>0.87</v>
      </c>
      <c r="AB888" s="76">
        <v>0.87</v>
      </c>
      <c r="AC888" s="76">
        <v>0.87</v>
      </c>
      <c r="AD888" s="76">
        <v>0.87</v>
      </c>
      <c r="AE888" s="76">
        <v>0.87</v>
      </c>
      <c r="AF888" s="76">
        <v>0.87</v>
      </c>
      <c r="AG888" s="76">
        <v>0.87</v>
      </c>
      <c r="AH888" s="76">
        <v>0.87</v>
      </c>
      <c r="AI888" s="76">
        <v>0.87</v>
      </c>
      <c r="AJ888" s="76">
        <v>0.87</v>
      </c>
      <c r="AK888" s="76">
        <v>0.87</v>
      </c>
      <c r="AL888" s="76">
        <v>0.87</v>
      </c>
      <c r="AM888" s="76">
        <v>0.87</v>
      </c>
      <c r="AN888" s="76">
        <v>0.87</v>
      </c>
      <c r="AO888" s="76">
        <v>0.87</v>
      </c>
      <c r="AP888" s="76">
        <v>0.87</v>
      </c>
      <c r="AQ888" s="76">
        <v>0.87</v>
      </c>
      <c r="AR888" s="76">
        <v>0.87</v>
      </c>
      <c r="AS888" s="76">
        <v>0.87</v>
      </c>
      <c r="AT888" s="76">
        <v>0.87</v>
      </c>
      <c r="AU888" s="76">
        <v>0.87</v>
      </c>
      <c r="AV888" s="76">
        <v>0.87</v>
      </c>
      <c r="AW888" s="76">
        <v>0.87</v>
      </c>
      <c r="AX888" s="84">
        <v>0.87</v>
      </c>
    </row>
    <row r="889" spans="1:50" x14ac:dyDescent="0.25">
      <c r="A889" s="356"/>
      <c r="B889" s="359"/>
      <c r="C889" s="361" t="s">
        <v>14</v>
      </c>
      <c r="D889" s="58" t="s">
        <v>7</v>
      </c>
      <c r="E889" s="164" t="str">
        <f>A887&amp;"/"&amp;B887&amp;"/"&amp;C889&amp;"/"&amp;D889</f>
        <v>Biomass and waste fired power plants/Integrated gasification combined cycle/CHP/L</v>
      </c>
      <c r="F889" s="78" t="str">
        <f>A887</f>
        <v>Biomass and waste fired power plants</v>
      </c>
      <c r="G889" s="78" t="str">
        <f>B887</f>
        <v>Integrated gasification combined cycle</v>
      </c>
      <c r="H889" s="78" t="str">
        <f>C889</f>
        <v>CHP</v>
      </c>
      <c r="I889" s="165" t="str">
        <f t="shared" si="91"/>
        <v>L</v>
      </c>
      <c r="J889" s="78">
        <v>0.87</v>
      </c>
      <c r="K889" s="78">
        <v>0.87</v>
      </c>
      <c r="L889" s="78">
        <v>0.87</v>
      </c>
      <c r="M889" s="78">
        <v>0.87</v>
      </c>
      <c r="N889" s="78">
        <v>0.87</v>
      </c>
      <c r="O889" s="78">
        <v>0.87</v>
      </c>
      <c r="P889" s="78">
        <v>0.87</v>
      </c>
      <c r="Q889" s="78">
        <v>0.87</v>
      </c>
      <c r="R889" s="78">
        <v>0.87</v>
      </c>
      <c r="S889" s="78">
        <v>0.87</v>
      </c>
      <c r="T889" s="78">
        <v>0.87</v>
      </c>
      <c r="U889" s="78">
        <v>0.87</v>
      </c>
      <c r="V889" s="78">
        <v>0.87</v>
      </c>
      <c r="W889" s="78">
        <v>0.87</v>
      </c>
      <c r="X889" s="78">
        <v>0.87</v>
      </c>
      <c r="Y889" s="78">
        <v>0.87</v>
      </c>
      <c r="Z889" s="78">
        <v>0.87</v>
      </c>
      <c r="AA889" s="78">
        <v>0.87</v>
      </c>
      <c r="AB889" s="78">
        <v>0.87</v>
      </c>
      <c r="AC889" s="78">
        <v>0.87</v>
      </c>
      <c r="AD889" s="78">
        <v>0.87</v>
      </c>
      <c r="AE889" s="78">
        <v>0.87</v>
      </c>
      <c r="AF889" s="78">
        <v>0.87</v>
      </c>
      <c r="AG889" s="78">
        <v>0.87</v>
      </c>
      <c r="AH889" s="78">
        <v>0.87</v>
      </c>
      <c r="AI889" s="78">
        <v>0.87</v>
      </c>
      <c r="AJ889" s="78">
        <v>0.87</v>
      </c>
      <c r="AK889" s="78">
        <v>0.87</v>
      </c>
      <c r="AL889" s="78">
        <v>0.87</v>
      </c>
      <c r="AM889" s="78">
        <v>0.87</v>
      </c>
      <c r="AN889" s="78">
        <v>0.87</v>
      </c>
      <c r="AO889" s="78">
        <v>0.87</v>
      </c>
      <c r="AP889" s="78">
        <v>0.87</v>
      </c>
      <c r="AQ889" s="78">
        <v>0.87</v>
      </c>
      <c r="AR889" s="78">
        <v>0.87</v>
      </c>
      <c r="AS889" s="78">
        <v>0.87</v>
      </c>
      <c r="AT889" s="78">
        <v>0.87</v>
      </c>
      <c r="AU889" s="78">
        <v>0.87</v>
      </c>
      <c r="AV889" s="78">
        <v>0.87</v>
      </c>
      <c r="AW889" s="78">
        <v>0.87</v>
      </c>
      <c r="AX889" s="86">
        <v>0.87</v>
      </c>
    </row>
    <row r="890" spans="1:50" x14ac:dyDescent="0.25">
      <c r="A890" s="356"/>
      <c r="B890" s="359"/>
      <c r="C890" s="360"/>
      <c r="D890" s="59" t="s">
        <v>8</v>
      </c>
      <c r="E890" s="166" t="str">
        <f>A887&amp;"/"&amp;B887&amp;"/"&amp;C889&amp;"/"&amp;D890</f>
        <v>Biomass and waste fired power plants/Integrated gasification combined cycle/CHP/M</v>
      </c>
      <c r="F890" s="79" t="str">
        <f>A887</f>
        <v>Biomass and waste fired power plants</v>
      </c>
      <c r="G890" s="79" t="str">
        <f>B887</f>
        <v>Integrated gasification combined cycle</v>
      </c>
      <c r="H890" s="79" t="str">
        <f>C889</f>
        <v>CHP</v>
      </c>
      <c r="I890" s="167" t="str">
        <f t="shared" si="91"/>
        <v>M</v>
      </c>
      <c r="J890" s="79">
        <v>0.87</v>
      </c>
      <c r="K890" s="79">
        <v>0.87</v>
      </c>
      <c r="L890" s="79">
        <v>0.87</v>
      </c>
      <c r="M890" s="79">
        <v>0.87</v>
      </c>
      <c r="N890" s="79">
        <v>0.87</v>
      </c>
      <c r="O890" s="79">
        <v>0.87</v>
      </c>
      <c r="P890" s="79">
        <v>0.87</v>
      </c>
      <c r="Q890" s="79">
        <v>0.87</v>
      </c>
      <c r="R890" s="79">
        <v>0.87</v>
      </c>
      <c r="S890" s="79">
        <v>0.87</v>
      </c>
      <c r="T890" s="79">
        <v>0.87</v>
      </c>
      <c r="U890" s="79">
        <v>0.87</v>
      </c>
      <c r="V890" s="79">
        <v>0.87</v>
      </c>
      <c r="W890" s="79">
        <v>0.87</v>
      </c>
      <c r="X890" s="79">
        <v>0.87</v>
      </c>
      <c r="Y890" s="79">
        <v>0.87</v>
      </c>
      <c r="Z890" s="79">
        <v>0.87</v>
      </c>
      <c r="AA890" s="79">
        <v>0.87</v>
      </c>
      <c r="AB890" s="79">
        <v>0.87</v>
      </c>
      <c r="AC890" s="79">
        <v>0.87</v>
      </c>
      <c r="AD890" s="79">
        <v>0.87</v>
      </c>
      <c r="AE890" s="79">
        <v>0.87</v>
      </c>
      <c r="AF890" s="79">
        <v>0.87</v>
      </c>
      <c r="AG890" s="79">
        <v>0.87</v>
      </c>
      <c r="AH890" s="79">
        <v>0.87</v>
      </c>
      <c r="AI890" s="79">
        <v>0.87</v>
      </c>
      <c r="AJ890" s="79">
        <v>0.87</v>
      </c>
      <c r="AK890" s="79">
        <v>0.87</v>
      </c>
      <c r="AL890" s="79">
        <v>0.87</v>
      </c>
      <c r="AM890" s="79">
        <v>0.87</v>
      </c>
      <c r="AN890" s="79">
        <v>0.87</v>
      </c>
      <c r="AO890" s="79">
        <v>0.87</v>
      </c>
      <c r="AP890" s="79">
        <v>0.87</v>
      </c>
      <c r="AQ890" s="79">
        <v>0.87</v>
      </c>
      <c r="AR890" s="79">
        <v>0.87</v>
      </c>
      <c r="AS890" s="79">
        <v>0.87</v>
      </c>
      <c r="AT890" s="79">
        <v>0.87</v>
      </c>
      <c r="AU890" s="79">
        <v>0.87</v>
      </c>
      <c r="AV890" s="79">
        <v>0.87</v>
      </c>
      <c r="AW890" s="79">
        <v>0.87</v>
      </c>
      <c r="AX890" s="87">
        <v>0.87</v>
      </c>
    </row>
    <row r="891" spans="1:50" x14ac:dyDescent="0.25">
      <c r="A891" s="356"/>
      <c r="B891" s="359"/>
      <c r="C891" s="361" t="s">
        <v>15</v>
      </c>
      <c r="D891" s="58" t="s">
        <v>7</v>
      </c>
      <c r="E891" s="164" t="str">
        <f>A887&amp;"/"&amp;B887&amp;"/"&amp;C891&amp;"/"&amp;D891</f>
        <v>Biomass and waste fired power plants/Integrated gasification combined cycle/Electricity only with CCS/L</v>
      </c>
      <c r="F891" s="78" t="str">
        <f>A887</f>
        <v>Biomass and waste fired power plants</v>
      </c>
      <c r="G891" s="78" t="str">
        <f>B887</f>
        <v>Integrated gasification combined cycle</v>
      </c>
      <c r="H891" s="78" t="str">
        <f>C891</f>
        <v>Electricity only with CCS</v>
      </c>
      <c r="I891" s="165" t="str">
        <f t="shared" si="91"/>
        <v>L</v>
      </c>
      <c r="J891" s="78" t="s">
        <v>112</v>
      </c>
      <c r="K891" s="78" t="s">
        <v>112</v>
      </c>
      <c r="L891" s="78" t="s">
        <v>112</v>
      </c>
      <c r="M891" s="78" t="s">
        <v>112</v>
      </c>
      <c r="N891" s="78" t="s">
        <v>112</v>
      </c>
      <c r="O891" s="78" t="s">
        <v>112</v>
      </c>
      <c r="P891" s="78" t="s">
        <v>112</v>
      </c>
      <c r="Q891" s="78" t="s">
        <v>112</v>
      </c>
      <c r="R891" s="78" t="s">
        <v>112</v>
      </c>
      <c r="S891" s="78" t="s">
        <v>112</v>
      </c>
      <c r="T891" s="78" t="s">
        <v>112</v>
      </c>
      <c r="U891" s="78" t="s">
        <v>112</v>
      </c>
      <c r="V891" s="78" t="s">
        <v>112</v>
      </c>
      <c r="W891" s="78" t="s">
        <v>112</v>
      </c>
      <c r="X891" s="78" t="s">
        <v>112</v>
      </c>
      <c r="Y891" s="78" t="s">
        <v>112</v>
      </c>
      <c r="Z891" s="78" t="s">
        <v>112</v>
      </c>
      <c r="AA891" s="78" t="s">
        <v>112</v>
      </c>
      <c r="AB891" s="78" t="s">
        <v>112</v>
      </c>
      <c r="AC891" s="78" t="s">
        <v>112</v>
      </c>
      <c r="AD891" s="78" t="s">
        <v>112</v>
      </c>
      <c r="AE891" s="78">
        <v>0.87</v>
      </c>
      <c r="AF891" s="78">
        <v>0.87</v>
      </c>
      <c r="AG891" s="78">
        <v>0.87</v>
      </c>
      <c r="AH891" s="78">
        <v>0.87</v>
      </c>
      <c r="AI891" s="78">
        <v>0.87</v>
      </c>
      <c r="AJ891" s="78">
        <v>0.87</v>
      </c>
      <c r="AK891" s="78">
        <v>0.87</v>
      </c>
      <c r="AL891" s="78">
        <v>0.87</v>
      </c>
      <c r="AM891" s="78">
        <v>0.87</v>
      </c>
      <c r="AN891" s="78">
        <v>0.87</v>
      </c>
      <c r="AO891" s="78">
        <v>0.87</v>
      </c>
      <c r="AP891" s="78">
        <v>0.87</v>
      </c>
      <c r="AQ891" s="78">
        <v>0.87</v>
      </c>
      <c r="AR891" s="78">
        <v>0.87</v>
      </c>
      <c r="AS891" s="78">
        <v>0.87</v>
      </c>
      <c r="AT891" s="78">
        <v>0.87</v>
      </c>
      <c r="AU891" s="78">
        <v>0.87</v>
      </c>
      <c r="AV891" s="78">
        <v>0.87</v>
      </c>
      <c r="AW891" s="78">
        <v>0.87</v>
      </c>
      <c r="AX891" s="86">
        <v>0.87</v>
      </c>
    </row>
    <row r="892" spans="1:50" x14ac:dyDescent="0.25">
      <c r="A892" s="356"/>
      <c r="B892" s="359"/>
      <c r="C892" s="360"/>
      <c r="D892" s="59" t="s">
        <v>8</v>
      </c>
      <c r="E892" s="166" t="str">
        <f>A887&amp;"/"&amp;B887&amp;"/"&amp;C891&amp;"/"&amp;D892</f>
        <v>Biomass and waste fired power plants/Integrated gasification combined cycle/Electricity only with CCS/M</v>
      </c>
      <c r="F892" s="79" t="str">
        <f>A887</f>
        <v>Biomass and waste fired power plants</v>
      </c>
      <c r="G892" s="79" t="str">
        <f>B887</f>
        <v>Integrated gasification combined cycle</v>
      </c>
      <c r="H892" s="79" t="str">
        <f>C891</f>
        <v>Electricity only with CCS</v>
      </c>
      <c r="I892" s="167" t="str">
        <f t="shared" si="91"/>
        <v>M</v>
      </c>
      <c r="J892" s="79" t="s">
        <v>112</v>
      </c>
      <c r="K892" s="79" t="s">
        <v>112</v>
      </c>
      <c r="L892" s="79" t="s">
        <v>112</v>
      </c>
      <c r="M892" s="79" t="s">
        <v>112</v>
      </c>
      <c r="N892" s="79" t="s">
        <v>112</v>
      </c>
      <c r="O892" s="79" t="s">
        <v>112</v>
      </c>
      <c r="P892" s="79" t="s">
        <v>112</v>
      </c>
      <c r="Q892" s="79" t="s">
        <v>112</v>
      </c>
      <c r="R892" s="79" t="s">
        <v>112</v>
      </c>
      <c r="S892" s="79" t="s">
        <v>112</v>
      </c>
      <c r="T892" s="79" t="s">
        <v>112</v>
      </c>
      <c r="U892" s="79" t="s">
        <v>112</v>
      </c>
      <c r="V892" s="79" t="s">
        <v>112</v>
      </c>
      <c r="W892" s="79" t="s">
        <v>112</v>
      </c>
      <c r="X892" s="79" t="s">
        <v>112</v>
      </c>
      <c r="Y892" s="79" t="s">
        <v>112</v>
      </c>
      <c r="Z892" s="79" t="s">
        <v>112</v>
      </c>
      <c r="AA892" s="79" t="s">
        <v>112</v>
      </c>
      <c r="AB892" s="79" t="s">
        <v>112</v>
      </c>
      <c r="AC892" s="79" t="s">
        <v>112</v>
      </c>
      <c r="AD892" s="79" t="s">
        <v>112</v>
      </c>
      <c r="AE892" s="79">
        <v>0.87</v>
      </c>
      <c r="AF892" s="79">
        <v>0.87</v>
      </c>
      <c r="AG892" s="79">
        <v>0.87</v>
      </c>
      <c r="AH892" s="79">
        <v>0.87</v>
      </c>
      <c r="AI892" s="79">
        <v>0.87</v>
      </c>
      <c r="AJ892" s="79">
        <v>0.87</v>
      </c>
      <c r="AK892" s="79">
        <v>0.87</v>
      </c>
      <c r="AL892" s="79">
        <v>0.87</v>
      </c>
      <c r="AM892" s="79">
        <v>0.87</v>
      </c>
      <c r="AN892" s="79">
        <v>0.87</v>
      </c>
      <c r="AO892" s="79">
        <v>0.87</v>
      </c>
      <c r="AP892" s="79">
        <v>0.87</v>
      </c>
      <c r="AQ892" s="79">
        <v>0.87</v>
      </c>
      <c r="AR892" s="79">
        <v>0.87</v>
      </c>
      <c r="AS892" s="79">
        <v>0.87</v>
      </c>
      <c r="AT892" s="79">
        <v>0.87</v>
      </c>
      <c r="AU892" s="79">
        <v>0.87</v>
      </c>
      <c r="AV892" s="79">
        <v>0.87</v>
      </c>
      <c r="AW892" s="79">
        <v>0.87</v>
      </c>
      <c r="AX892" s="87">
        <v>0.87</v>
      </c>
    </row>
    <row r="893" spans="1:50" x14ac:dyDescent="0.25">
      <c r="A893" s="356"/>
      <c r="B893" s="359"/>
      <c r="C893" s="361" t="s">
        <v>16</v>
      </c>
      <c r="D893" s="2" t="s">
        <v>7</v>
      </c>
      <c r="E893" s="160" t="str">
        <f>A887&amp;"/"&amp;B887&amp;"/"&amp;C893&amp;"/"&amp;D893</f>
        <v>Biomass and waste fired power plants/Integrated gasification combined cycle/CHP with CCS/L</v>
      </c>
      <c r="F893" s="76" t="str">
        <f>A887</f>
        <v>Biomass and waste fired power plants</v>
      </c>
      <c r="G893" s="76" t="str">
        <f>B887</f>
        <v>Integrated gasification combined cycle</v>
      </c>
      <c r="H893" s="76" t="str">
        <f>C893</f>
        <v>CHP with CCS</v>
      </c>
      <c r="I893" s="161" t="str">
        <f t="shared" si="91"/>
        <v>L</v>
      </c>
      <c r="J893" s="76" t="s">
        <v>112</v>
      </c>
      <c r="K893" s="76" t="s">
        <v>112</v>
      </c>
      <c r="L893" s="76" t="s">
        <v>112</v>
      </c>
      <c r="M893" s="76" t="s">
        <v>112</v>
      </c>
      <c r="N893" s="76" t="s">
        <v>112</v>
      </c>
      <c r="O893" s="76" t="s">
        <v>112</v>
      </c>
      <c r="P893" s="76" t="s">
        <v>112</v>
      </c>
      <c r="Q893" s="76" t="s">
        <v>112</v>
      </c>
      <c r="R893" s="76" t="s">
        <v>112</v>
      </c>
      <c r="S893" s="76" t="s">
        <v>112</v>
      </c>
      <c r="T893" s="76" t="s">
        <v>112</v>
      </c>
      <c r="U893" s="76" t="s">
        <v>112</v>
      </c>
      <c r="V893" s="76" t="s">
        <v>112</v>
      </c>
      <c r="W893" s="76" t="s">
        <v>112</v>
      </c>
      <c r="X893" s="76" t="s">
        <v>112</v>
      </c>
      <c r="Y893" s="76" t="s">
        <v>112</v>
      </c>
      <c r="Z893" s="76" t="s">
        <v>112</v>
      </c>
      <c r="AA893" s="76" t="s">
        <v>112</v>
      </c>
      <c r="AB893" s="76" t="s">
        <v>112</v>
      </c>
      <c r="AC893" s="76" t="s">
        <v>112</v>
      </c>
      <c r="AD893" s="76" t="s">
        <v>112</v>
      </c>
      <c r="AE893" s="76">
        <v>0.87</v>
      </c>
      <c r="AF893" s="76">
        <v>0.87</v>
      </c>
      <c r="AG893" s="76">
        <v>0.87</v>
      </c>
      <c r="AH893" s="76">
        <v>0.87</v>
      </c>
      <c r="AI893" s="76">
        <v>0.87</v>
      </c>
      <c r="AJ893" s="76">
        <v>0.87</v>
      </c>
      <c r="AK893" s="76">
        <v>0.87</v>
      </c>
      <c r="AL893" s="76">
        <v>0.87</v>
      </c>
      <c r="AM893" s="76">
        <v>0.87</v>
      </c>
      <c r="AN893" s="76">
        <v>0.87</v>
      </c>
      <c r="AO893" s="76">
        <v>0.87</v>
      </c>
      <c r="AP893" s="76">
        <v>0.87</v>
      </c>
      <c r="AQ893" s="76">
        <v>0.87</v>
      </c>
      <c r="AR893" s="76">
        <v>0.87</v>
      </c>
      <c r="AS893" s="76">
        <v>0.87</v>
      </c>
      <c r="AT893" s="76">
        <v>0.87</v>
      </c>
      <c r="AU893" s="76">
        <v>0.87</v>
      </c>
      <c r="AV893" s="76">
        <v>0.87</v>
      </c>
      <c r="AW893" s="76">
        <v>0.87</v>
      </c>
      <c r="AX893" s="84">
        <v>0.87</v>
      </c>
    </row>
    <row r="894" spans="1:50" x14ac:dyDescent="0.25">
      <c r="A894" s="356"/>
      <c r="B894" s="362"/>
      <c r="C894" s="354"/>
      <c r="D894" s="4" t="s">
        <v>8</v>
      </c>
      <c r="E894" s="168" t="str">
        <f>A887&amp;"/"&amp;B887&amp;"/"&amp;C893&amp;"/"&amp;D894</f>
        <v>Biomass and waste fired power plants/Integrated gasification combined cycle/CHP with CCS/M</v>
      </c>
      <c r="F894" s="80" t="str">
        <f>A887</f>
        <v>Biomass and waste fired power plants</v>
      </c>
      <c r="G894" s="80" t="str">
        <f>B887</f>
        <v>Integrated gasification combined cycle</v>
      </c>
      <c r="H894" s="80" t="str">
        <f>C893</f>
        <v>CHP with CCS</v>
      </c>
      <c r="I894" s="169" t="str">
        <f t="shared" si="91"/>
        <v>M</v>
      </c>
      <c r="J894" s="80" t="s">
        <v>112</v>
      </c>
      <c r="K894" s="80" t="s">
        <v>112</v>
      </c>
      <c r="L894" s="80" t="s">
        <v>112</v>
      </c>
      <c r="M894" s="80" t="s">
        <v>112</v>
      </c>
      <c r="N894" s="80" t="s">
        <v>112</v>
      </c>
      <c r="O894" s="80" t="s">
        <v>112</v>
      </c>
      <c r="P894" s="80" t="s">
        <v>112</v>
      </c>
      <c r="Q894" s="80" t="s">
        <v>112</v>
      </c>
      <c r="R894" s="80" t="s">
        <v>112</v>
      </c>
      <c r="S894" s="80" t="s">
        <v>112</v>
      </c>
      <c r="T894" s="80" t="s">
        <v>112</v>
      </c>
      <c r="U894" s="80" t="s">
        <v>112</v>
      </c>
      <c r="V894" s="80" t="s">
        <v>112</v>
      </c>
      <c r="W894" s="80" t="s">
        <v>112</v>
      </c>
      <c r="X894" s="80" t="s">
        <v>112</v>
      </c>
      <c r="Y894" s="80" t="s">
        <v>112</v>
      </c>
      <c r="Z894" s="80" t="s">
        <v>112</v>
      </c>
      <c r="AA894" s="80" t="s">
        <v>112</v>
      </c>
      <c r="AB894" s="80" t="s">
        <v>112</v>
      </c>
      <c r="AC894" s="80" t="s">
        <v>112</v>
      </c>
      <c r="AD894" s="80" t="s">
        <v>112</v>
      </c>
      <c r="AE894" s="80">
        <v>0.87</v>
      </c>
      <c r="AF894" s="80">
        <v>0.87</v>
      </c>
      <c r="AG894" s="80">
        <v>0.87</v>
      </c>
      <c r="AH894" s="80">
        <v>0.87</v>
      </c>
      <c r="AI894" s="80">
        <v>0.87</v>
      </c>
      <c r="AJ894" s="80">
        <v>0.87</v>
      </c>
      <c r="AK894" s="80">
        <v>0.87</v>
      </c>
      <c r="AL894" s="80">
        <v>0.87</v>
      </c>
      <c r="AM894" s="80">
        <v>0.87</v>
      </c>
      <c r="AN894" s="80">
        <v>0.87</v>
      </c>
      <c r="AO894" s="80">
        <v>0.87</v>
      </c>
      <c r="AP894" s="80">
        <v>0.87</v>
      </c>
      <c r="AQ894" s="80">
        <v>0.87</v>
      </c>
      <c r="AR894" s="80">
        <v>0.87</v>
      </c>
      <c r="AS894" s="80">
        <v>0.87</v>
      </c>
      <c r="AT894" s="80">
        <v>0.87</v>
      </c>
      <c r="AU894" s="80">
        <v>0.87</v>
      </c>
      <c r="AV894" s="80">
        <v>0.87</v>
      </c>
      <c r="AW894" s="80">
        <v>0.87</v>
      </c>
      <c r="AX894" s="88">
        <v>0.87</v>
      </c>
    </row>
    <row r="895" spans="1:50" x14ac:dyDescent="0.25">
      <c r="A895" s="356"/>
      <c r="B895" s="358" t="s">
        <v>18</v>
      </c>
      <c r="C895" s="353" t="s">
        <v>6</v>
      </c>
      <c r="D895" s="3" t="s">
        <v>7</v>
      </c>
      <c r="E895" s="162" t="str">
        <f>A887&amp;"/"&amp;B895&amp;"/"&amp;C895&amp;"/"&amp;D895</f>
        <v>Biomass and waste fired power plants/Fluidized bed combustion/Electricity only/L</v>
      </c>
      <c r="F895" s="77" t="str">
        <f>A887</f>
        <v>Biomass and waste fired power plants</v>
      </c>
      <c r="G895" s="77" t="str">
        <f>B895</f>
        <v>Fluidized bed combustion</v>
      </c>
      <c r="H895" s="77" t="str">
        <f>C895</f>
        <v>Electricity only</v>
      </c>
      <c r="I895" s="163" t="str">
        <f t="shared" si="91"/>
        <v>L</v>
      </c>
      <c r="J895" s="77">
        <v>0.86499999999999999</v>
      </c>
      <c r="K895" s="77">
        <v>0.86499999999999999</v>
      </c>
      <c r="L895" s="77">
        <v>0.86499999999999999</v>
      </c>
      <c r="M895" s="77">
        <v>0.86499999999999999</v>
      </c>
      <c r="N895" s="77">
        <v>0.86499999999999999</v>
      </c>
      <c r="O895" s="77">
        <v>0.86499999999999999</v>
      </c>
      <c r="P895" s="77">
        <v>0.86499999999999999</v>
      </c>
      <c r="Q895" s="77">
        <v>0.86499999999999999</v>
      </c>
      <c r="R895" s="77">
        <v>0.86499999999999999</v>
      </c>
      <c r="S895" s="77">
        <v>0.86499999999999999</v>
      </c>
      <c r="T895" s="77">
        <v>0.86499999999999999</v>
      </c>
      <c r="U895" s="77">
        <v>0.86499999999999999</v>
      </c>
      <c r="V895" s="77">
        <v>0.86499999999999999</v>
      </c>
      <c r="W895" s="77">
        <v>0.86499999999999999</v>
      </c>
      <c r="X895" s="77">
        <v>0.86499999999999999</v>
      </c>
      <c r="Y895" s="77">
        <v>0.86499999999999999</v>
      </c>
      <c r="Z895" s="77">
        <v>0.86499999999999999</v>
      </c>
      <c r="AA895" s="77">
        <v>0.86499999999999999</v>
      </c>
      <c r="AB895" s="77">
        <v>0.86499999999999999</v>
      </c>
      <c r="AC895" s="77">
        <v>0.86499999999999999</v>
      </c>
      <c r="AD895" s="77">
        <v>0.86499999999999999</v>
      </c>
      <c r="AE895" s="77">
        <v>0.86499999999999999</v>
      </c>
      <c r="AF895" s="77">
        <v>0.86499999999999999</v>
      </c>
      <c r="AG895" s="77">
        <v>0.86499999999999999</v>
      </c>
      <c r="AH895" s="77">
        <v>0.86499999999999999</v>
      </c>
      <c r="AI895" s="77">
        <v>0.86499999999999999</v>
      </c>
      <c r="AJ895" s="77">
        <v>0.86499999999999999</v>
      </c>
      <c r="AK895" s="77">
        <v>0.86499999999999999</v>
      </c>
      <c r="AL895" s="77">
        <v>0.86499999999999999</v>
      </c>
      <c r="AM895" s="77">
        <v>0.86499999999999999</v>
      </c>
      <c r="AN895" s="77">
        <v>0.86499999999999999</v>
      </c>
      <c r="AO895" s="77">
        <v>0.86499999999999999</v>
      </c>
      <c r="AP895" s="77">
        <v>0.86499999999999999</v>
      </c>
      <c r="AQ895" s="77">
        <v>0.86499999999999999</v>
      </c>
      <c r="AR895" s="77">
        <v>0.86499999999999999</v>
      </c>
      <c r="AS895" s="77">
        <v>0.86499999999999999</v>
      </c>
      <c r="AT895" s="77">
        <v>0.86499999999999999</v>
      </c>
      <c r="AU895" s="77">
        <v>0.86499999999999999</v>
      </c>
      <c r="AV895" s="77">
        <v>0.86499999999999999</v>
      </c>
      <c r="AW895" s="77">
        <v>0.86499999999999999</v>
      </c>
      <c r="AX895" s="85">
        <v>0.86499999999999999</v>
      </c>
    </row>
    <row r="896" spans="1:50" x14ac:dyDescent="0.25">
      <c r="A896" s="356"/>
      <c r="B896" s="359"/>
      <c r="C896" s="350"/>
      <c r="D896" s="2" t="s">
        <v>8</v>
      </c>
      <c r="E896" s="160" t="str">
        <f>A887&amp;"/"&amp;B895&amp;"/"&amp;C895&amp;"/"&amp;D896</f>
        <v>Biomass and waste fired power plants/Fluidized bed combustion/Electricity only/M</v>
      </c>
      <c r="F896" s="76" t="str">
        <f>A887</f>
        <v>Biomass and waste fired power plants</v>
      </c>
      <c r="G896" s="76" t="str">
        <f>B895</f>
        <v>Fluidized bed combustion</v>
      </c>
      <c r="H896" s="76" t="str">
        <f>C895</f>
        <v>Electricity only</v>
      </c>
      <c r="I896" s="161" t="str">
        <f t="shared" si="91"/>
        <v>M</v>
      </c>
      <c r="J896" s="76">
        <v>0.86499999999999999</v>
      </c>
      <c r="K896" s="76">
        <v>0.86499999999999999</v>
      </c>
      <c r="L896" s="76">
        <v>0.86499999999999999</v>
      </c>
      <c r="M896" s="76">
        <v>0.86499999999999999</v>
      </c>
      <c r="N896" s="76">
        <v>0.86499999999999999</v>
      </c>
      <c r="O896" s="76">
        <v>0.86499999999999999</v>
      </c>
      <c r="P896" s="76">
        <v>0.86499999999999999</v>
      </c>
      <c r="Q896" s="76">
        <v>0.86499999999999999</v>
      </c>
      <c r="R896" s="76">
        <v>0.86499999999999999</v>
      </c>
      <c r="S896" s="76">
        <v>0.86499999999999999</v>
      </c>
      <c r="T896" s="76">
        <v>0.86499999999999999</v>
      </c>
      <c r="U896" s="76">
        <v>0.86499999999999999</v>
      </c>
      <c r="V896" s="76">
        <v>0.86499999999999999</v>
      </c>
      <c r="W896" s="76">
        <v>0.86499999999999999</v>
      </c>
      <c r="X896" s="76">
        <v>0.86499999999999999</v>
      </c>
      <c r="Y896" s="76">
        <v>0.86499999999999999</v>
      </c>
      <c r="Z896" s="76">
        <v>0.86499999999999999</v>
      </c>
      <c r="AA896" s="76">
        <v>0.86499999999999999</v>
      </c>
      <c r="AB896" s="76">
        <v>0.86499999999999999</v>
      </c>
      <c r="AC896" s="76">
        <v>0.86499999999999999</v>
      </c>
      <c r="AD896" s="76">
        <v>0.86499999999999999</v>
      </c>
      <c r="AE896" s="76">
        <v>0.86499999999999999</v>
      </c>
      <c r="AF896" s="76">
        <v>0.86499999999999999</v>
      </c>
      <c r="AG896" s="76">
        <v>0.86499999999999999</v>
      </c>
      <c r="AH896" s="76">
        <v>0.86499999999999999</v>
      </c>
      <c r="AI896" s="76">
        <v>0.86499999999999999</v>
      </c>
      <c r="AJ896" s="76">
        <v>0.86499999999999999</v>
      </c>
      <c r="AK896" s="76">
        <v>0.86499999999999999</v>
      </c>
      <c r="AL896" s="76">
        <v>0.86499999999999999</v>
      </c>
      <c r="AM896" s="76">
        <v>0.86499999999999999</v>
      </c>
      <c r="AN896" s="76">
        <v>0.86499999999999999</v>
      </c>
      <c r="AO896" s="76">
        <v>0.86499999999999999</v>
      </c>
      <c r="AP896" s="76">
        <v>0.86499999999999999</v>
      </c>
      <c r="AQ896" s="76">
        <v>0.86499999999999999</v>
      </c>
      <c r="AR896" s="76">
        <v>0.86499999999999999</v>
      </c>
      <c r="AS896" s="76">
        <v>0.86499999999999999</v>
      </c>
      <c r="AT896" s="76">
        <v>0.86499999999999999</v>
      </c>
      <c r="AU896" s="76">
        <v>0.86499999999999999</v>
      </c>
      <c r="AV896" s="76">
        <v>0.86499999999999999</v>
      </c>
      <c r="AW896" s="76">
        <v>0.86499999999999999</v>
      </c>
      <c r="AX896" s="84">
        <v>0.86499999999999999</v>
      </c>
    </row>
    <row r="897" spans="1:50" x14ac:dyDescent="0.25">
      <c r="A897" s="356"/>
      <c r="B897" s="359"/>
      <c r="C897" s="350"/>
      <c r="D897" s="2" t="s">
        <v>10</v>
      </c>
      <c r="E897" s="160" t="str">
        <f>A887&amp;"/"&amp;B895&amp;"/"&amp;C895&amp;"/"&amp;D897</f>
        <v>Biomass and waste fired power plants/Fluidized bed combustion/Electricity only/S</v>
      </c>
      <c r="F897" s="76" t="str">
        <f>A887</f>
        <v>Biomass and waste fired power plants</v>
      </c>
      <c r="G897" s="76" t="str">
        <f>B895</f>
        <v>Fluidized bed combustion</v>
      </c>
      <c r="H897" s="76" t="str">
        <f>C895</f>
        <v>Electricity only</v>
      </c>
      <c r="I897" s="161" t="str">
        <f t="shared" si="91"/>
        <v>S</v>
      </c>
      <c r="J897" s="76">
        <v>0.86499999999999999</v>
      </c>
      <c r="K897" s="76">
        <v>0.86499999999999999</v>
      </c>
      <c r="L897" s="76">
        <v>0.86499999999999999</v>
      </c>
      <c r="M897" s="76">
        <v>0.86499999999999999</v>
      </c>
      <c r="N897" s="76">
        <v>0.86499999999999999</v>
      </c>
      <c r="O897" s="76">
        <v>0.86499999999999999</v>
      </c>
      <c r="P897" s="76">
        <v>0.86499999999999999</v>
      </c>
      <c r="Q897" s="76">
        <v>0.86499999999999999</v>
      </c>
      <c r="R897" s="76">
        <v>0.86499999999999999</v>
      </c>
      <c r="S897" s="76">
        <v>0.86499999999999999</v>
      </c>
      <c r="T897" s="76">
        <v>0.86499999999999999</v>
      </c>
      <c r="U897" s="76">
        <v>0.86499999999999999</v>
      </c>
      <c r="V897" s="76">
        <v>0.86499999999999999</v>
      </c>
      <c r="W897" s="76">
        <v>0.86499999999999999</v>
      </c>
      <c r="X897" s="76">
        <v>0.86499999999999999</v>
      </c>
      <c r="Y897" s="76">
        <v>0.86499999999999999</v>
      </c>
      <c r="Z897" s="76">
        <v>0.86499999999999999</v>
      </c>
      <c r="AA897" s="76">
        <v>0.86499999999999999</v>
      </c>
      <c r="AB897" s="76">
        <v>0.86499999999999999</v>
      </c>
      <c r="AC897" s="76">
        <v>0.86499999999999999</v>
      </c>
      <c r="AD897" s="76">
        <v>0.86499999999999999</v>
      </c>
      <c r="AE897" s="76">
        <v>0.86499999999999999</v>
      </c>
      <c r="AF897" s="76">
        <v>0.86499999999999999</v>
      </c>
      <c r="AG897" s="76">
        <v>0.86499999999999999</v>
      </c>
      <c r="AH897" s="76">
        <v>0.86499999999999999</v>
      </c>
      <c r="AI897" s="76">
        <v>0.86499999999999999</v>
      </c>
      <c r="AJ897" s="76">
        <v>0.86499999999999999</v>
      </c>
      <c r="AK897" s="76">
        <v>0.86499999999999999</v>
      </c>
      <c r="AL897" s="76">
        <v>0.86499999999999999</v>
      </c>
      <c r="AM897" s="76">
        <v>0.86499999999999999</v>
      </c>
      <c r="AN897" s="76">
        <v>0.86499999999999999</v>
      </c>
      <c r="AO897" s="76">
        <v>0.86499999999999999</v>
      </c>
      <c r="AP897" s="76">
        <v>0.86499999999999999</v>
      </c>
      <c r="AQ897" s="76">
        <v>0.86499999999999999</v>
      </c>
      <c r="AR897" s="76">
        <v>0.86499999999999999</v>
      </c>
      <c r="AS897" s="76">
        <v>0.86499999999999999</v>
      </c>
      <c r="AT897" s="76">
        <v>0.86499999999999999</v>
      </c>
      <c r="AU897" s="76">
        <v>0.86499999999999999</v>
      </c>
      <c r="AV897" s="76">
        <v>0.86499999999999999</v>
      </c>
      <c r="AW897" s="76">
        <v>0.86499999999999999</v>
      </c>
      <c r="AX897" s="84">
        <v>0.86499999999999999</v>
      </c>
    </row>
    <row r="898" spans="1:50" x14ac:dyDescent="0.25">
      <c r="A898" s="356"/>
      <c r="B898" s="359"/>
      <c r="C898" s="360"/>
      <c r="D898" s="2" t="s">
        <v>20</v>
      </c>
      <c r="E898" s="160" t="str">
        <f>A887&amp;"/"&amp;B895&amp;"/"&amp;C895&amp;"/"&amp;D898</f>
        <v>Biomass and waste fired power plants/Fluidized bed combustion/Electricity only/XS</v>
      </c>
      <c r="F898" s="76" t="str">
        <f>A887</f>
        <v>Biomass and waste fired power plants</v>
      </c>
      <c r="G898" s="76" t="str">
        <f>B895</f>
        <v>Fluidized bed combustion</v>
      </c>
      <c r="H898" s="76" t="str">
        <f>C895</f>
        <v>Electricity only</v>
      </c>
      <c r="I898" s="161" t="str">
        <f t="shared" si="91"/>
        <v>XS</v>
      </c>
      <c r="J898" s="76">
        <v>0.86499999999999999</v>
      </c>
      <c r="K898" s="76">
        <v>0.86499999999999999</v>
      </c>
      <c r="L898" s="76">
        <v>0.86499999999999999</v>
      </c>
      <c r="M898" s="76">
        <v>0.86499999999999999</v>
      </c>
      <c r="N898" s="76">
        <v>0.86499999999999999</v>
      </c>
      <c r="O898" s="76">
        <v>0.86499999999999999</v>
      </c>
      <c r="P898" s="76">
        <v>0.86499999999999999</v>
      </c>
      <c r="Q898" s="76">
        <v>0.86499999999999999</v>
      </c>
      <c r="R898" s="76">
        <v>0.86499999999999999</v>
      </c>
      <c r="S898" s="76">
        <v>0.86499999999999999</v>
      </c>
      <c r="T898" s="76">
        <v>0.86499999999999999</v>
      </c>
      <c r="U898" s="76">
        <v>0.86499999999999999</v>
      </c>
      <c r="V898" s="76">
        <v>0.86499999999999999</v>
      </c>
      <c r="W898" s="76">
        <v>0.86499999999999999</v>
      </c>
      <c r="X898" s="76">
        <v>0.86499999999999999</v>
      </c>
      <c r="Y898" s="76">
        <v>0.86499999999999999</v>
      </c>
      <c r="Z898" s="76">
        <v>0.86499999999999999</v>
      </c>
      <c r="AA898" s="76">
        <v>0.86499999999999999</v>
      </c>
      <c r="AB898" s="76">
        <v>0.86499999999999999</v>
      </c>
      <c r="AC898" s="76">
        <v>0.86499999999999999</v>
      </c>
      <c r="AD898" s="76">
        <v>0.86499999999999999</v>
      </c>
      <c r="AE898" s="76">
        <v>0.86499999999999999</v>
      </c>
      <c r="AF898" s="76">
        <v>0.86499999999999999</v>
      </c>
      <c r="AG898" s="76">
        <v>0.86499999999999999</v>
      </c>
      <c r="AH898" s="76">
        <v>0.86499999999999999</v>
      </c>
      <c r="AI898" s="76">
        <v>0.86499999999999999</v>
      </c>
      <c r="AJ898" s="76">
        <v>0.86499999999999999</v>
      </c>
      <c r="AK898" s="76">
        <v>0.86499999999999999</v>
      </c>
      <c r="AL898" s="76">
        <v>0.86499999999999999</v>
      </c>
      <c r="AM898" s="76">
        <v>0.86499999999999999</v>
      </c>
      <c r="AN898" s="76">
        <v>0.86499999999999999</v>
      </c>
      <c r="AO898" s="76">
        <v>0.86499999999999999</v>
      </c>
      <c r="AP898" s="76">
        <v>0.86499999999999999</v>
      </c>
      <c r="AQ898" s="76">
        <v>0.86499999999999999</v>
      </c>
      <c r="AR898" s="76">
        <v>0.86499999999999999</v>
      </c>
      <c r="AS898" s="76">
        <v>0.86499999999999999</v>
      </c>
      <c r="AT898" s="76">
        <v>0.86499999999999999</v>
      </c>
      <c r="AU898" s="76">
        <v>0.86499999999999999</v>
      </c>
      <c r="AV898" s="76">
        <v>0.86499999999999999</v>
      </c>
      <c r="AW898" s="76">
        <v>0.86499999999999999</v>
      </c>
      <c r="AX898" s="84">
        <v>0.86499999999999999</v>
      </c>
    </row>
    <row r="899" spans="1:50" x14ac:dyDescent="0.25">
      <c r="A899" s="356"/>
      <c r="B899" s="359"/>
      <c r="C899" s="361" t="s">
        <v>14</v>
      </c>
      <c r="D899" s="58" t="s">
        <v>7</v>
      </c>
      <c r="E899" s="164" t="str">
        <f>A887&amp;"/"&amp;B895&amp;"/"&amp;C899&amp;"/"&amp;D899</f>
        <v>Biomass and waste fired power plants/Fluidized bed combustion/CHP/L</v>
      </c>
      <c r="F899" s="78" t="str">
        <f>A887</f>
        <v>Biomass and waste fired power plants</v>
      </c>
      <c r="G899" s="78" t="str">
        <f>B895</f>
        <v>Fluidized bed combustion</v>
      </c>
      <c r="H899" s="78" t="str">
        <f>C899</f>
        <v>CHP</v>
      </c>
      <c r="I899" s="165" t="str">
        <f t="shared" si="91"/>
        <v>L</v>
      </c>
      <c r="J899" s="78">
        <v>0.86499999999999999</v>
      </c>
      <c r="K899" s="78">
        <v>0.86499999999999999</v>
      </c>
      <c r="L899" s="78">
        <v>0.86499999999999999</v>
      </c>
      <c r="M899" s="78">
        <v>0.86499999999999999</v>
      </c>
      <c r="N899" s="78">
        <v>0.86499999999999999</v>
      </c>
      <c r="O899" s="78">
        <v>0.86499999999999999</v>
      </c>
      <c r="P899" s="78">
        <v>0.86499999999999999</v>
      </c>
      <c r="Q899" s="78">
        <v>0.86499999999999999</v>
      </c>
      <c r="R899" s="78">
        <v>0.86499999999999999</v>
      </c>
      <c r="S899" s="78">
        <v>0.86499999999999999</v>
      </c>
      <c r="T899" s="78">
        <v>0.86499999999999999</v>
      </c>
      <c r="U899" s="78">
        <v>0.86499999999999999</v>
      </c>
      <c r="V899" s="78">
        <v>0.86499999999999999</v>
      </c>
      <c r="W899" s="78">
        <v>0.86499999999999999</v>
      </c>
      <c r="X899" s="78">
        <v>0.86499999999999999</v>
      </c>
      <c r="Y899" s="78">
        <v>0.86499999999999999</v>
      </c>
      <c r="Z899" s="78">
        <v>0.86499999999999999</v>
      </c>
      <c r="AA899" s="78">
        <v>0.86499999999999999</v>
      </c>
      <c r="AB899" s="78">
        <v>0.86499999999999999</v>
      </c>
      <c r="AC899" s="78">
        <v>0.86499999999999999</v>
      </c>
      <c r="AD899" s="78">
        <v>0.86499999999999999</v>
      </c>
      <c r="AE899" s="78">
        <v>0.86499999999999999</v>
      </c>
      <c r="AF899" s="78">
        <v>0.86499999999999999</v>
      </c>
      <c r="AG899" s="78">
        <v>0.86499999999999999</v>
      </c>
      <c r="AH899" s="78">
        <v>0.86499999999999999</v>
      </c>
      <c r="AI899" s="78">
        <v>0.86499999999999999</v>
      </c>
      <c r="AJ899" s="78">
        <v>0.86499999999999999</v>
      </c>
      <c r="AK899" s="78">
        <v>0.86499999999999999</v>
      </c>
      <c r="AL899" s="78">
        <v>0.86499999999999999</v>
      </c>
      <c r="AM899" s="78">
        <v>0.86499999999999999</v>
      </c>
      <c r="AN899" s="78">
        <v>0.86499999999999999</v>
      </c>
      <c r="AO899" s="78">
        <v>0.86499999999999999</v>
      </c>
      <c r="AP899" s="78">
        <v>0.86499999999999999</v>
      </c>
      <c r="AQ899" s="78">
        <v>0.86499999999999999</v>
      </c>
      <c r="AR899" s="78">
        <v>0.86499999999999999</v>
      </c>
      <c r="AS899" s="78">
        <v>0.86499999999999999</v>
      </c>
      <c r="AT899" s="78">
        <v>0.86499999999999999</v>
      </c>
      <c r="AU899" s="78">
        <v>0.86499999999999999</v>
      </c>
      <c r="AV899" s="78">
        <v>0.86499999999999999</v>
      </c>
      <c r="AW899" s="78">
        <v>0.86499999999999999</v>
      </c>
      <c r="AX899" s="86">
        <v>0.86499999999999999</v>
      </c>
    </row>
    <row r="900" spans="1:50" x14ac:dyDescent="0.25">
      <c r="A900" s="356"/>
      <c r="B900" s="359"/>
      <c r="C900" s="350"/>
      <c r="D900" s="2" t="s">
        <v>8</v>
      </c>
      <c r="E900" s="160" t="str">
        <f>A887&amp;"/"&amp;B895&amp;"/"&amp;C899&amp;"/"&amp;D900</f>
        <v>Biomass and waste fired power plants/Fluidized bed combustion/CHP/M</v>
      </c>
      <c r="F900" s="76" t="str">
        <f>A887</f>
        <v>Biomass and waste fired power plants</v>
      </c>
      <c r="G900" s="76" t="str">
        <f>B895</f>
        <v>Fluidized bed combustion</v>
      </c>
      <c r="H900" s="76" t="str">
        <f>C899</f>
        <v>CHP</v>
      </c>
      <c r="I900" s="161" t="str">
        <f t="shared" si="91"/>
        <v>M</v>
      </c>
      <c r="J900" s="76">
        <v>0.86499999999999999</v>
      </c>
      <c r="K900" s="76">
        <v>0.86499999999999999</v>
      </c>
      <c r="L900" s="76">
        <v>0.86499999999999999</v>
      </c>
      <c r="M900" s="76">
        <v>0.86499999999999999</v>
      </c>
      <c r="N900" s="76">
        <v>0.86499999999999999</v>
      </c>
      <c r="O900" s="76">
        <v>0.86499999999999999</v>
      </c>
      <c r="P900" s="76">
        <v>0.86499999999999999</v>
      </c>
      <c r="Q900" s="76">
        <v>0.86499999999999999</v>
      </c>
      <c r="R900" s="76">
        <v>0.86499999999999999</v>
      </c>
      <c r="S900" s="76">
        <v>0.86499999999999999</v>
      </c>
      <c r="T900" s="76">
        <v>0.86499999999999999</v>
      </c>
      <c r="U900" s="76">
        <v>0.86499999999999999</v>
      </c>
      <c r="V900" s="76">
        <v>0.86499999999999999</v>
      </c>
      <c r="W900" s="76">
        <v>0.86499999999999999</v>
      </c>
      <c r="X900" s="76">
        <v>0.86499999999999999</v>
      </c>
      <c r="Y900" s="76">
        <v>0.86499999999999999</v>
      </c>
      <c r="Z900" s="76">
        <v>0.86499999999999999</v>
      </c>
      <c r="AA900" s="76">
        <v>0.86499999999999999</v>
      </c>
      <c r="AB900" s="76">
        <v>0.86499999999999999</v>
      </c>
      <c r="AC900" s="76">
        <v>0.86499999999999999</v>
      </c>
      <c r="AD900" s="76">
        <v>0.86499999999999999</v>
      </c>
      <c r="AE900" s="76">
        <v>0.86499999999999999</v>
      </c>
      <c r="AF900" s="76">
        <v>0.86499999999999999</v>
      </c>
      <c r="AG900" s="76">
        <v>0.86499999999999999</v>
      </c>
      <c r="AH900" s="76">
        <v>0.86499999999999999</v>
      </c>
      <c r="AI900" s="76">
        <v>0.86499999999999999</v>
      </c>
      <c r="AJ900" s="76">
        <v>0.86499999999999999</v>
      </c>
      <c r="AK900" s="76">
        <v>0.86499999999999999</v>
      </c>
      <c r="AL900" s="76">
        <v>0.86499999999999999</v>
      </c>
      <c r="AM900" s="76">
        <v>0.86499999999999999</v>
      </c>
      <c r="AN900" s="76">
        <v>0.86499999999999999</v>
      </c>
      <c r="AO900" s="76">
        <v>0.86499999999999999</v>
      </c>
      <c r="AP900" s="76">
        <v>0.86499999999999999</v>
      </c>
      <c r="AQ900" s="76">
        <v>0.86499999999999999</v>
      </c>
      <c r="AR900" s="76">
        <v>0.86499999999999999</v>
      </c>
      <c r="AS900" s="76">
        <v>0.86499999999999999</v>
      </c>
      <c r="AT900" s="76">
        <v>0.86499999999999999</v>
      </c>
      <c r="AU900" s="76">
        <v>0.86499999999999999</v>
      </c>
      <c r="AV900" s="76">
        <v>0.86499999999999999</v>
      </c>
      <c r="AW900" s="76">
        <v>0.86499999999999999</v>
      </c>
      <c r="AX900" s="84">
        <v>0.86499999999999999</v>
      </c>
    </row>
    <row r="901" spans="1:50" x14ac:dyDescent="0.25">
      <c r="A901" s="356"/>
      <c r="B901" s="359"/>
      <c r="C901" s="350"/>
      <c r="D901" s="2" t="s">
        <v>10</v>
      </c>
      <c r="E901" s="160" t="str">
        <f>A887&amp;"/"&amp;B895&amp;"/"&amp;C899&amp;"/"&amp;D901</f>
        <v>Biomass and waste fired power plants/Fluidized bed combustion/CHP/S</v>
      </c>
      <c r="F901" s="76" t="str">
        <f>A887</f>
        <v>Biomass and waste fired power plants</v>
      </c>
      <c r="G901" s="76" t="str">
        <f>B895</f>
        <v>Fluidized bed combustion</v>
      </c>
      <c r="H901" s="76" t="str">
        <f>C899</f>
        <v>CHP</v>
      </c>
      <c r="I901" s="161" t="str">
        <f t="shared" si="91"/>
        <v>S</v>
      </c>
      <c r="J901" s="76">
        <v>0.86499999999999999</v>
      </c>
      <c r="K901" s="76">
        <v>0.86499999999999999</v>
      </c>
      <c r="L901" s="76">
        <v>0.86499999999999999</v>
      </c>
      <c r="M901" s="76">
        <v>0.86499999999999999</v>
      </c>
      <c r="N901" s="76">
        <v>0.86499999999999999</v>
      </c>
      <c r="O901" s="76">
        <v>0.86499999999999999</v>
      </c>
      <c r="P901" s="76">
        <v>0.86499999999999999</v>
      </c>
      <c r="Q901" s="76">
        <v>0.86499999999999999</v>
      </c>
      <c r="R901" s="76">
        <v>0.86499999999999999</v>
      </c>
      <c r="S901" s="76">
        <v>0.86499999999999999</v>
      </c>
      <c r="T901" s="76">
        <v>0.86499999999999999</v>
      </c>
      <c r="U901" s="76">
        <v>0.86499999999999999</v>
      </c>
      <c r="V901" s="76">
        <v>0.86499999999999999</v>
      </c>
      <c r="W901" s="76">
        <v>0.86499999999999999</v>
      </c>
      <c r="X901" s="76">
        <v>0.86499999999999999</v>
      </c>
      <c r="Y901" s="76">
        <v>0.86499999999999999</v>
      </c>
      <c r="Z901" s="76">
        <v>0.86499999999999999</v>
      </c>
      <c r="AA901" s="76">
        <v>0.86499999999999999</v>
      </c>
      <c r="AB901" s="76">
        <v>0.86499999999999999</v>
      </c>
      <c r="AC901" s="76">
        <v>0.86499999999999999</v>
      </c>
      <c r="AD901" s="76">
        <v>0.86499999999999999</v>
      </c>
      <c r="AE901" s="76">
        <v>0.86499999999999999</v>
      </c>
      <c r="AF901" s="76">
        <v>0.86499999999999999</v>
      </c>
      <c r="AG901" s="76">
        <v>0.86499999999999999</v>
      </c>
      <c r="AH901" s="76">
        <v>0.86499999999999999</v>
      </c>
      <c r="AI901" s="76">
        <v>0.86499999999999999</v>
      </c>
      <c r="AJ901" s="76">
        <v>0.86499999999999999</v>
      </c>
      <c r="AK901" s="76">
        <v>0.86499999999999999</v>
      </c>
      <c r="AL901" s="76">
        <v>0.86499999999999999</v>
      </c>
      <c r="AM901" s="76">
        <v>0.86499999999999999</v>
      </c>
      <c r="AN901" s="76">
        <v>0.86499999999999999</v>
      </c>
      <c r="AO901" s="76">
        <v>0.86499999999999999</v>
      </c>
      <c r="AP901" s="76">
        <v>0.86499999999999999</v>
      </c>
      <c r="AQ901" s="76">
        <v>0.86499999999999999</v>
      </c>
      <c r="AR901" s="76">
        <v>0.86499999999999999</v>
      </c>
      <c r="AS901" s="76">
        <v>0.86499999999999999</v>
      </c>
      <c r="AT901" s="76">
        <v>0.86499999999999999</v>
      </c>
      <c r="AU901" s="76">
        <v>0.86499999999999999</v>
      </c>
      <c r="AV901" s="76">
        <v>0.86499999999999999</v>
      </c>
      <c r="AW901" s="76">
        <v>0.86499999999999999</v>
      </c>
      <c r="AX901" s="84">
        <v>0.86499999999999999</v>
      </c>
    </row>
    <row r="902" spans="1:50" x14ac:dyDescent="0.25">
      <c r="A902" s="356"/>
      <c r="B902" s="359"/>
      <c r="C902" s="360"/>
      <c r="D902" s="59" t="s">
        <v>20</v>
      </c>
      <c r="E902" s="166" t="str">
        <f>A887&amp;"/"&amp;B895&amp;"/"&amp;C899&amp;"/"&amp;D902</f>
        <v>Biomass and waste fired power plants/Fluidized bed combustion/CHP/XS</v>
      </c>
      <c r="F902" s="79" t="str">
        <f>A887</f>
        <v>Biomass and waste fired power plants</v>
      </c>
      <c r="G902" s="79" t="str">
        <f>B895</f>
        <v>Fluidized bed combustion</v>
      </c>
      <c r="H902" s="79" t="str">
        <f>C899</f>
        <v>CHP</v>
      </c>
      <c r="I902" s="167" t="str">
        <f t="shared" si="91"/>
        <v>XS</v>
      </c>
      <c r="J902" s="79">
        <v>0.86499999999999999</v>
      </c>
      <c r="K902" s="79">
        <v>0.86499999999999999</v>
      </c>
      <c r="L902" s="79">
        <v>0.86499999999999999</v>
      </c>
      <c r="M902" s="79">
        <v>0.86499999999999999</v>
      </c>
      <c r="N902" s="79">
        <v>0.86499999999999999</v>
      </c>
      <c r="O902" s="79">
        <v>0.86499999999999999</v>
      </c>
      <c r="P902" s="79">
        <v>0.86499999999999999</v>
      </c>
      <c r="Q902" s="79">
        <v>0.86499999999999999</v>
      </c>
      <c r="R902" s="79">
        <v>0.86499999999999999</v>
      </c>
      <c r="S902" s="79">
        <v>0.86499999999999999</v>
      </c>
      <c r="T902" s="79">
        <v>0.86499999999999999</v>
      </c>
      <c r="U902" s="79">
        <v>0.86499999999999999</v>
      </c>
      <c r="V902" s="79">
        <v>0.86499999999999999</v>
      </c>
      <c r="W902" s="79">
        <v>0.86499999999999999</v>
      </c>
      <c r="X902" s="79">
        <v>0.86499999999999999</v>
      </c>
      <c r="Y902" s="79">
        <v>0.86499999999999999</v>
      </c>
      <c r="Z902" s="79">
        <v>0.86499999999999999</v>
      </c>
      <c r="AA902" s="79">
        <v>0.86499999999999999</v>
      </c>
      <c r="AB902" s="79">
        <v>0.86499999999999999</v>
      </c>
      <c r="AC902" s="79">
        <v>0.86499999999999999</v>
      </c>
      <c r="AD902" s="79">
        <v>0.86499999999999999</v>
      </c>
      <c r="AE902" s="79">
        <v>0.86499999999999999</v>
      </c>
      <c r="AF902" s="79">
        <v>0.86499999999999999</v>
      </c>
      <c r="AG902" s="79">
        <v>0.86499999999999999</v>
      </c>
      <c r="AH902" s="79">
        <v>0.86499999999999999</v>
      </c>
      <c r="AI902" s="79">
        <v>0.86499999999999999</v>
      </c>
      <c r="AJ902" s="79">
        <v>0.86499999999999999</v>
      </c>
      <c r="AK902" s="79">
        <v>0.86499999999999999</v>
      </c>
      <c r="AL902" s="79">
        <v>0.86499999999999999</v>
      </c>
      <c r="AM902" s="79">
        <v>0.86499999999999999</v>
      </c>
      <c r="AN902" s="79">
        <v>0.86499999999999999</v>
      </c>
      <c r="AO902" s="79">
        <v>0.86499999999999999</v>
      </c>
      <c r="AP902" s="79">
        <v>0.86499999999999999</v>
      </c>
      <c r="AQ902" s="79">
        <v>0.86499999999999999</v>
      </c>
      <c r="AR902" s="79">
        <v>0.86499999999999999</v>
      </c>
      <c r="AS902" s="79">
        <v>0.86499999999999999</v>
      </c>
      <c r="AT902" s="79">
        <v>0.86499999999999999</v>
      </c>
      <c r="AU902" s="79">
        <v>0.86499999999999999</v>
      </c>
      <c r="AV902" s="79">
        <v>0.86499999999999999</v>
      </c>
      <c r="AW902" s="79">
        <v>0.86499999999999999</v>
      </c>
      <c r="AX902" s="87">
        <v>0.86499999999999999</v>
      </c>
    </row>
    <row r="903" spans="1:50" x14ac:dyDescent="0.25">
      <c r="A903" s="356"/>
      <c r="B903" s="359"/>
      <c r="C903" s="361" t="s">
        <v>15</v>
      </c>
      <c r="D903" s="58" t="s">
        <v>7</v>
      </c>
      <c r="E903" s="164" t="str">
        <f>A887&amp;"/"&amp;B895&amp;"/"&amp;C903&amp;"/"&amp;D903</f>
        <v>Biomass and waste fired power plants/Fluidized bed combustion/Electricity only with CCS/L</v>
      </c>
      <c r="F903" s="78" t="str">
        <f>A887</f>
        <v>Biomass and waste fired power plants</v>
      </c>
      <c r="G903" s="78" t="str">
        <f>B895</f>
        <v>Fluidized bed combustion</v>
      </c>
      <c r="H903" s="78" t="str">
        <f>C903</f>
        <v>Electricity only with CCS</v>
      </c>
      <c r="I903" s="165" t="str">
        <f t="shared" si="91"/>
        <v>L</v>
      </c>
      <c r="J903" s="78" t="s">
        <v>112</v>
      </c>
      <c r="K903" s="78" t="s">
        <v>112</v>
      </c>
      <c r="L903" s="78" t="s">
        <v>112</v>
      </c>
      <c r="M903" s="78" t="s">
        <v>112</v>
      </c>
      <c r="N903" s="78" t="s">
        <v>112</v>
      </c>
      <c r="O903" s="78" t="s">
        <v>112</v>
      </c>
      <c r="P903" s="78" t="s">
        <v>112</v>
      </c>
      <c r="Q903" s="78" t="s">
        <v>112</v>
      </c>
      <c r="R903" s="78" t="s">
        <v>112</v>
      </c>
      <c r="S903" s="78" t="s">
        <v>112</v>
      </c>
      <c r="T903" s="78" t="s">
        <v>112</v>
      </c>
      <c r="U903" s="78" t="s">
        <v>112</v>
      </c>
      <c r="V903" s="78" t="s">
        <v>112</v>
      </c>
      <c r="W903" s="78" t="s">
        <v>112</v>
      </c>
      <c r="X903" s="78" t="s">
        <v>112</v>
      </c>
      <c r="Y903" s="78" t="s">
        <v>112</v>
      </c>
      <c r="Z903" s="78" t="s">
        <v>112</v>
      </c>
      <c r="AA903" s="78" t="s">
        <v>112</v>
      </c>
      <c r="AB903" s="78" t="s">
        <v>112</v>
      </c>
      <c r="AC903" s="78" t="s">
        <v>112</v>
      </c>
      <c r="AD903" s="78" t="s">
        <v>112</v>
      </c>
      <c r="AE903" s="78">
        <v>0.86499999999999999</v>
      </c>
      <c r="AF903" s="78">
        <v>0.86499999999999999</v>
      </c>
      <c r="AG903" s="78">
        <v>0.86499999999999999</v>
      </c>
      <c r="AH903" s="78">
        <v>0.86499999999999999</v>
      </c>
      <c r="AI903" s="78">
        <v>0.86499999999999999</v>
      </c>
      <c r="AJ903" s="78">
        <v>0.86499999999999999</v>
      </c>
      <c r="AK903" s="78">
        <v>0.86499999999999999</v>
      </c>
      <c r="AL903" s="78">
        <v>0.86499999999999999</v>
      </c>
      <c r="AM903" s="78">
        <v>0.86499999999999999</v>
      </c>
      <c r="AN903" s="78">
        <v>0.86499999999999999</v>
      </c>
      <c r="AO903" s="78">
        <v>0.86499999999999999</v>
      </c>
      <c r="AP903" s="78">
        <v>0.86499999999999999</v>
      </c>
      <c r="AQ903" s="78">
        <v>0.86499999999999999</v>
      </c>
      <c r="AR903" s="78">
        <v>0.86499999999999999</v>
      </c>
      <c r="AS903" s="78">
        <v>0.86499999999999999</v>
      </c>
      <c r="AT903" s="78">
        <v>0.86499999999999999</v>
      </c>
      <c r="AU903" s="78">
        <v>0.86499999999999999</v>
      </c>
      <c r="AV903" s="78">
        <v>0.86499999999999999</v>
      </c>
      <c r="AW903" s="78">
        <v>0.86499999999999999</v>
      </c>
      <c r="AX903" s="86">
        <v>0.86499999999999999</v>
      </c>
    </row>
    <row r="904" spans="1:50" x14ac:dyDescent="0.25">
      <c r="A904" s="356"/>
      <c r="B904" s="359"/>
      <c r="C904" s="360"/>
      <c r="D904" s="59" t="s">
        <v>8</v>
      </c>
      <c r="E904" s="166" t="str">
        <f>A887&amp;"/"&amp;B895&amp;"/"&amp;C903&amp;"/"&amp;D904</f>
        <v>Biomass and waste fired power plants/Fluidized bed combustion/Electricity only with CCS/M</v>
      </c>
      <c r="F904" s="79" t="str">
        <f>A887</f>
        <v>Biomass and waste fired power plants</v>
      </c>
      <c r="G904" s="79" t="str">
        <f>B895</f>
        <v>Fluidized bed combustion</v>
      </c>
      <c r="H904" s="79" t="str">
        <f>C903</f>
        <v>Electricity only with CCS</v>
      </c>
      <c r="I904" s="167" t="str">
        <f t="shared" si="91"/>
        <v>M</v>
      </c>
      <c r="J904" s="79" t="s">
        <v>112</v>
      </c>
      <c r="K904" s="79" t="s">
        <v>112</v>
      </c>
      <c r="L904" s="79" t="s">
        <v>112</v>
      </c>
      <c r="M904" s="79" t="s">
        <v>112</v>
      </c>
      <c r="N904" s="79" t="s">
        <v>112</v>
      </c>
      <c r="O904" s="79" t="s">
        <v>112</v>
      </c>
      <c r="P904" s="79" t="s">
        <v>112</v>
      </c>
      <c r="Q904" s="79" t="s">
        <v>112</v>
      </c>
      <c r="R904" s="79" t="s">
        <v>112</v>
      </c>
      <c r="S904" s="79" t="s">
        <v>112</v>
      </c>
      <c r="T904" s="79" t="s">
        <v>112</v>
      </c>
      <c r="U904" s="79" t="s">
        <v>112</v>
      </c>
      <c r="V904" s="79" t="s">
        <v>112</v>
      </c>
      <c r="W904" s="79" t="s">
        <v>112</v>
      </c>
      <c r="X904" s="79" t="s">
        <v>112</v>
      </c>
      <c r="Y904" s="79" t="s">
        <v>112</v>
      </c>
      <c r="Z904" s="79" t="s">
        <v>112</v>
      </c>
      <c r="AA904" s="79" t="s">
        <v>112</v>
      </c>
      <c r="AB904" s="79" t="s">
        <v>112</v>
      </c>
      <c r="AC904" s="79" t="s">
        <v>112</v>
      </c>
      <c r="AD904" s="79" t="s">
        <v>112</v>
      </c>
      <c r="AE904" s="79">
        <v>0.86499999999999999</v>
      </c>
      <c r="AF904" s="79">
        <v>0.86499999999999999</v>
      </c>
      <c r="AG904" s="79">
        <v>0.86499999999999999</v>
      </c>
      <c r="AH904" s="79">
        <v>0.86499999999999999</v>
      </c>
      <c r="AI904" s="79">
        <v>0.86499999999999999</v>
      </c>
      <c r="AJ904" s="79">
        <v>0.86499999999999999</v>
      </c>
      <c r="AK904" s="79">
        <v>0.86499999999999999</v>
      </c>
      <c r="AL904" s="79">
        <v>0.86499999999999999</v>
      </c>
      <c r="AM904" s="79">
        <v>0.86499999999999999</v>
      </c>
      <c r="AN904" s="79">
        <v>0.86499999999999999</v>
      </c>
      <c r="AO904" s="79">
        <v>0.86499999999999999</v>
      </c>
      <c r="AP904" s="79">
        <v>0.86499999999999999</v>
      </c>
      <c r="AQ904" s="79">
        <v>0.86499999999999999</v>
      </c>
      <c r="AR904" s="79">
        <v>0.86499999999999999</v>
      </c>
      <c r="AS904" s="79">
        <v>0.86499999999999999</v>
      </c>
      <c r="AT904" s="79">
        <v>0.86499999999999999</v>
      </c>
      <c r="AU904" s="79">
        <v>0.86499999999999999</v>
      </c>
      <c r="AV904" s="79">
        <v>0.86499999999999999</v>
      </c>
      <c r="AW904" s="79">
        <v>0.86499999999999999</v>
      </c>
      <c r="AX904" s="87">
        <v>0.86499999999999999</v>
      </c>
    </row>
    <row r="905" spans="1:50" x14ac:dyDescent="0.25">
      <c r="A905" s="356"/>
      <c r="B905" s="359"/>
      <c r="C905" s="361" t="s">
        <v>16</v>
      </c>
      <c r="D905" s="2" t="s">
        <v>7</v>
      </c>
      <c r="E905" s="160" t="str">
        <f>A887&amp;"/"&amp;B895&amp;"/"&amp;C905&amp;"/"&amp;D905</f>
        <v>Biomass and waste fired power plants/Fluidized bed combustion/CHP with CCS/L</v>
      </c>
      <c r="F905" s="76" t="str">
        <f>A887</f>
        <v>Biomass and waste fired power plants</v>
      </c>
      <c r="G905" s="76" t="str">
        <f>B895</f>
        <v>Fluidized bed combustion</v>
      </c>
      <c r="H905" s="76" t="str">
        <f>C905</f>
        <v>CHP with CCS</v>
      </c>
      <c r="I905" s="161" t="str">
        <f t="shared" si="91"/>
        <v>L</v>
      </c>
      <c r="J905" s="76" t="s">
        <v>112</v>
      </c>
      <c r="K905" s="76" t="s">
        <v>112</v>
      </c>
      <c r="L905" s="76" t="s">
        <v>112</v>
      </c>
      <c r="M905" s="76" t="s">
        <v>112</v>
      </c>
      <c r="N905" s="76" t="s">
        <v>112</v>
      </c>
      <c r="O905" s="76" t="s">
        <v>112</v>
      </c>
      <c r="P905" s="76" t="s">
        <v>112</v>
      </c>
      <c r="Q905" s="76" t="s">
        <v>112</v>
      </c>
      <c r="R905" s="76" t="s">
        <v>112</v>
      </c>
      <c r="S905" s="76" t="s">
        <v>112</v>
      </c>
      <c r="T905" s="76" t="s">
        <v>112</v>
      </c>
      <c r="U905" s="76" t="s">
        <v>112</v>
      </c>
      <c r="V905" s="76" t="s">
        <v>112</v>
      </c>
      <c r="W905" s="76" t="s">
        <v>112</v>
      </c>
      <c r="X905" s="76" t="s">
        <v>112</v>
      </c>
      <c r="Y905" s="76" t="s">
        <v>112</v>
      </c>
      <c r="Z905" s="76" t="s">
        <v>112</v>
      </c>
      <c r="AA905" s="76" t="s">
        <v>112</v>
      </c>
      <c r="AB905" s="76" t="s">
        <v>112</v>
      </c>
      <c r="AC905" s="76" t="s">
        <v>112</v>
      </c>
      <c r="AD905" s="76" t="s">
        <v>112</v>
      </c>
      <c r="AE905" s="76">
        <v>0.86499999999999999</v>
      </c>
      <c r="AF905" s="76">
        <v>0.86499999999999999</v>
      </c>
      <c r="AG905" s="76">
        <v>0.86499999999999999</v>
      </c>
      <c r="AH905" s="76">
        <v>0.86499999999999999</v>
      </c>
      <c r="AI905" s="76">
        <v>0.86499999999999999</v>
      </c>
      <c r="AJ905" s="76">
        <v>0.86499999999999999</v>
      </c>
      <c r="AK905" s="76">
        <v>0.86499999999999999</v>
      </c>
      <c r="AL905" s="76">
        <v>0.86499999999999999</v>
      </c>
      <c r="AM905" s="76">
        <v>0.86499999999999999</v>
      </c>
      <c r="AN905" s="76">
        <v>0.86499999999999999</v>
      </c>
      <c r="AO905" s="76">
        <v>0.86499999999999999</v>
      </c>
      <c r="AP905" s="76">
        <v>0.86499999999999999</v>
      </c>
      <c r="AQ905" s="76">
        <v>0.86499999999999999</v>
      </c>
      <c r="AR905" s="76">
        <v>0.86499999999999999</v>
      </c>
      <c r="AS905" s="76">
        <v>0.86499999999999999</v>
      </c>
      <c r="AT905" s="76">
        <v>0.86499999999999999</v>
      </c>
      <c r="AU905" s="76">
        <v>0.86499999999999999</v>
      </c>
      <c r="AV905" s="76">
        <v>0.86499999999999999</v>
      </c>
      <c r="AW905" s="76">
        <v>0.86499999999999999</v>
      </c>
      <c r="AX905" s="84">
        <v>0.86499999999999999</v>
      </c>
    </row>
    <row r="906" spans="1:50" x14ac:dyDescent="0.25">
      <c r="A906" s="356"/>
      <c r="B906" s="362"/>
      <c r="C906" s="354"/>
      <c r="D906" s="4" t="s">
        <v>8</v>
      </c>
      <c r="E906" s="168" t="str">
        <f>A887&amp;"/"&amp;B895&amp;"/"&amp;C905&amp;"/"&amp;D906</f>
        <v>Biomass and waste fired power plants/Fluidized bed combustion/CHP with CCS/M</v>
      </c>
      <c r="F906" s="80" t="str">
        <f>A887</f>
        <v>Biomass and waste fired power plants</v>
      </c>
      <c r="G906" s="80" t="str">
        <f>B895</f>
        <v>Fluidized bed combustion</v>
      </c>
      <c r="H906" s="80" t="str">
        <f>C905</f>
        <v>CHP with CCS</v>
      </c>
      <c r="I906" s="169" t="str">
        <f t="shared" si="91"/>
        <v>M</v>
      </c>
      <c r="J906" s="80" t="s">
        <v>112</v>
      </c>
      <c r="K906" s="80" t="s">
        <v>112</v>
      </c>
      <c r="L906" s="80" t="s">
        <v>112</v>
      </c>
      <c r="M906" s="80" t="s">
        <v>112</v>
      </c>
      <c r="N906" s="80" t="s">
        <v>112</v>
      </c>
      <c r="O906" s="80" t="s">
        <v>112</v>
      </c>
      <c r="P906" s="80" t="s">
        <v>112</v>
      </c>
      <c r="Q906" s="80" t="s">
        <v>112</v>
      </c>
      <c r="R906" s="80" t="s">
        <v>112</v>
      </c>
      <c r="S906" s="80" t="s">
        <v>112</v>
      </c>
      <c r="T906" s="80" t="s">
        <v>112</v>
      </c>
      <c r="U906" s="80" t="s">
        <v>112</v>
      </c>
      <c r="V906" s="80" t="s">
        <v>112</v>
      </c>
      <c r="W906" s="80" t="s">
        <v>112</v>
      </c>
      <c r="X906" s="80" t="s">
        <v>112</v>
      </c>
      <c r="Y906" s="80" t="s">
        <v>112</v>
      </c>
      <c r="Z906" s="80" t="s">
        <v>112</v>
      </c>
      <c r="AA906" s="80" t="s">
        <v>112</v>
      </c>
      <c r="AB906" s="80" t="s">
        <v>112</v>
      </c>
      <c r="AC906" s="80" t="s">
        <v>112</v>
      </c>
      <c r="AD906" s="80" t="s">
        <v>112</v>
      </c>
      <c r="AE906" s="80">
        <v>0.86499999999999999</v>
      </c>
      <c r="AF906" s="80">
        <v>0.86499999999999999</v>
      </c>
      <c r="AG906" s="80">
        <v>0.86499999999999999</v>
      </c>
      <c r="AH906" s="80">
        <v>0.86499999999999999</v>
      </c>
      <c r="AI906" s="80">
        <v>0.86499999999999999</v>
      </c>
      <c r="AJ906" s="80">
        <v>0.86499999999999999</v>
      </c>
      <c r="AK906" s="80">
        <v>0.86499999999999999</v>
      </c>
      <c r="AL906" s="80">
        <v>0.86499999999999999</v>
      </c>
      <c r="AM906" s="80">
        <v>0.86499999999999999</v>
      </c>
      <c r="AN906" s="80">
        <v>0.86499999999999999</v>
      </c>
      <c r="AO906" s="80">
        <v>0.86499999999999999</v>
      </c>
      <c r="AP906" s="80">
        <v>0.86499999999999999</v>
      </c>
      <c r="AQ906" s="80">
        <v>0.86499999999999999</v>
      </c>
      <c r="AR906" s="80">
        <v>0.86499999999999999</v>
      </c>
      <c r="AS906" s="80">
        <v>0.86499999999999999</v>
      </c>
      <c r="AT906" s="80">
        <v>0.86499999999999999</v>
      </c>
      <c r="AU906" s="80">
        <v>0.86499999999999999</v>
      </c>
      <c r="AV906" s="80">
        <v>0.86499999999999999</v>
      </c>
      <c r="AW906" s="80">
        <v>0.86499999999999999</v>
      </c>
      <c r="AX906" s="88">
        <v>0.86499999999999999</v>
      </c>
    </row>
    <row r="907" spans="1:50" x14ac:dyDescent="0.25">
      <c r="A907" s="356"/>
      <c r="B907" s="358" t="s">
        <v>19</v>
      </c>
      <c r="C907" s="353" t="s">
        <v>6</v>
      </c>
      <c r="D907" s="3" t="s">
        <v>7</v>
      </c>
      <c r="E907" s="162" t="str">
        <f>A887&amp;"/"&amp;B907&amp;"/"&amp;C907&amp;"/"&amp;D907</f>
        <v>Biomass and waste fired power plants/Steam turbine/Electricity only/L</v>
      </c>
      <c r="F907" s="77" t="str">
        <f>A887</f>
        <v>Biomass and waste fired power plants</v>
      </c>
      <c r="G907" s="77" t="str">
        <f>B907</f>
        <v>Steam turbine</v>
      </c>
      <c r="H907" s="77" t="str">
        <f>C907</f>
        <v>Electricity only</v>
      </c>
      <c r="I907" s="163" t="str">
        <f t="shared" si="91"/>
        <v>L</v>
      </c>
      <c r="J907" s="77">
        <v>0.89</v>
      </c>
      <c r="K907" s="77">
        <v>0.89</v>
      </c>
      <c r="L907" s="77">
        <v>0.89</v>
      </c>
      <c r="M907" s="77">
        <v>0.89</v>
      </c>
      <c r="N907" s="77">
        <v>0.89</v>
      </c>
      <c r="O907" s="77">
        <v>0.89</v>
      </c>
      <c r="P907" s="77">
        <v>0.89</v>
      </c>
      <c r="Q907" s="77">
        <v>0.89</v>
      </c>
      <c r="R907" s="77">
        <v>0.89</v>
      </c>
      <c r="S907" s="77">
        <v>0.89</v>
      </c>
      <c r="T907" s="77">
        <v>0.89</v>
      </c>
      <c r="U907" s="77">
        <v>0.89</v>
      </c>
      <c r="V907" s="77">
        <v>0.89</v>
      </c>
      <c r="W907" s="77">
        <v>0.89</v>
      </c>
      <c r="X907" s="77">
        <v>0.89</v>
      </c>
      <c r="Y907" s="77">
        <v>0.89</v>
      </c>
      <c r="Z907" s="77">
        <v>0.89</v>
      </c>
      <c r="AA907" s="77">
        <v>0.89</v>
      </c>
      <c r="AB907" s="77">
        <v>0.89</v>
      </c>
      <c r="AC907" s="77">
        <v>0.89</v>
      </c>
      <c r="AD907" s="77">
        <v>0.89</v>
      </c>
      <c r="AE907" s="77">
        <v>0.89</v>
      </c>
      <c r="AF907" s="77">
        <v>0.89</v>
      </c>
      <c r="AG907" s="77">
        <v>0.89</v>
      </c>
      <c r="AH907" s="77">
        <v>0.89</v>
      </c>
      <c r="AI907" s="77">
        <v>0.89</v>
      </c>
      <c r="AJ907" s="77">
        <v>0.89</v>
      </c>
      <c r="AK907" s="77">
        <v>0.89</v>
      </c>
      <c r="AL907" s="77">
        <v>0.89</v>
      </c>
      <c r="AM907" s="77">
        <v>0.89</v>
      </c>
      <c r="AN907" s="77">
        <v>0.89</v>
      </c>
      <c r="AO907" s="77">
        <v>0.89</v>
      </c>
      <c r="AP907" s="77">
        <v>0.89</v>
      </c>
      <c r="AQ907" s="77">
        <v>0.89</v>
      </c>
      <c r="AR907" s="77">
        <v>0.89</v>
      </c>
      <c r="AS907" s="77">
        <v>0.89</v>
      </c>
      <c r="AT907" s="77">
        <v>0.89</v>
      </c>
      <c r="AU907" s="77">
        <v>0.89</v>
      </c>
      <c r="AV907" s="77">
        <v>0.89</v>
      </c>
      <c r="AW907" s="77">
        <v>0.89</v>
      </c>
      <c r="AX907" s="85">
        <v>0.89</v>
      </c>
    </row>
    <row r="908" spans="1:50" x14ac:dyDescent="0.25">
      <c r="A908" s="356"/>
      <c r="B908" s="359"/>
      <c r="C908" s="350"/>
      <c r="D908" s="2" t="s">
        <v>8</v>
      </c>
      <c r="E908" s="160" t="str">
        <f>A887&amp;"/"&amp;B907&amp;"/"&amp;C907&amp;"/"&amp;D908</f>
        <v>Biomass and waste fired power plants/Steam turbine/Electricity only/M</v>
      </c>
      <c r="F908" s="76" t="str">
        <f>A887</f>
        <v>Biomass and waste fired power plants</v>
      </c>
      <c r="G908" s="76" t="str">
        <f>B907</f>
        <v>Steam turbine</v>
      </c>
      <c r="H908" s="76" t="str">
        <f>C907</f>
        <v>Electricity only</v>
      </c>
      <c r="I908" s="161" t="str">
        <f t="shared" si="91"/>
        <v>M</v>
      </c>
      <c r="J908" s="76">
        <v>0.89</v>
      </c>
      <c r="K908" s="76">
        <v>0.89</v>
      </c>
      <c r="L908" s="76">
        <v>0.89</v>
      </c>
      <c r="M908" s="76">
        <v>0.89</v>
      </c>
      <c r="N908" s="76">
        <v>0.89</v>
      </c>
      <c r="O908" s="76">
        <v>0.89</v>
      </c>
      <c r="P908" s="76">
        <v>0.89</v>
      </c>
      <c r="Q908" s="76">
        <v>0.89</v>
      </c>
      <c r="R908" s="76">
        <v>0.89</v>
      </c>
      <c r="S908" s="76">
        <v>0.89</v>
      </c>
      <c r="T908" s="76">
        <v>0.89</v>
      </c>
      <c r="U908" s="76">
        <v>0.89</v>
      </c>
      <c r="V908" s="76">
        <v>0.89</v>
      </c>
      <c r="W908" s="76">
        <v>0.89</v>
      </c>
      <c r="X908" s="76">
        <v>0.89</v>
      </c>
      <c r="Y908" s="76">
        <v>0.89</v>
      </c>
      <c r="Z908" s="76">
        <v>0.89</v>
      </c>
      <c r="AA908" s="76">
        <v>0.89</v>
      </c>
      <c r="AB908" s="76">
        <v>0.89</v>
      </c>
      <c r="AC908" s="76">
        <v>0.89</v>
      </c>
      <c r="AD908" s="76">
        <v>0.89</v>
      </c>
      <c r="AE908" s="76">
        <v>0.89</v>
      </c>
      <c r="AF908" s="76">
        <v>0.89</v>
      </c>
      <c r="AG908" s="76">
        <v>0.89</v>
      </c>
      <c r="AH908" s="76">
        <v>0.89</v>
      </c>
      <c r="AI908" s="76">
        <v>0.89</v>
      </c>
      <c r="AJ908" s="76">
        <v>0.89</v>
      </c>
      <c r="AK908" s="76">
        <v>0.89</v>
      </c>
      <c r="AL908" s="76">
        <v>0.89</v>
      </c>
      <c r="AM908" s="76">
        <v>0.89</v>
      </c>
      <c r="AN908" s="76">
        <v>0.89</v>
      </c>
      <c r="AO908" s="76">
        <v>0.89</v>
      </c>
      <c r="AP908" s="76">
        <v>0.89</v>
      </c>
      <c r="AQ908" s="76">
        <v>0.89</v>
      </c>
      <c r="AR908" s="76">
        <v>0.89</v>
      </c>
      <c r="AS908" s="76">
        <v>0.89</v>
      </c>
      <c r="AT908" s="76">
        <v>0.89</v>
      </c>
      <c r="AU908" s="76">
        <v>0.89</v>
      </c>
      <c r="AV908" s="76">
        <v>0.89</v>
      </c>
      <c r="AW908" s="76">
        <v>0.89</v>
      </c>
      <c r="AX908" s="84">
        <v>0.89</v>
      </c>
    </row>
    <row r="909" spans="1:50" x14ac:dyDescent="0.25">
      <c r="A909" s="356"/>
      <c r="B909" s="359"/>
      <c r="C909" s="350"/>
      <c r="D909" s="2" t="s">
        <v>10</v>
      </c>
      <c r="E909" s="160" t="str">
        <f>A887&amp;"/"&amp;B907&amp;"/"&amp;C907&amp;"/"&amp;D909</f>
        <v>Biomass and waste fired power plants/Steam turbine/Electricity only/S</v>
      </c>
      <c r="F909" s="76" t="str">
        <f>A887</f>
        <v>Biomass and waste fired power plants</v>
      </c>
      <c r="G909" s="76" t="str">
        <f>B907</f>
        <v>Steam turbine</v>
      </c>
      <c r="H909" s="76" t="str">
        <f>C907</f>
        <v>Electricity only</v>
      </c>
      <c r="I909" s="161" t="str">
        <f t="shared" si="91"/>
        <v>S</v>
      </c>
      <c r="J909" s="76">
        <v>0.89</v>
      </c>
      <c r="K909" s="76">
        <v>0.89</v>
      </c>
      <c r="L909" s="76">
        <v>0.89</v>
      </c>
      <c r="M909" s="76">
        <v>0.89</v>
      </c>
      <c r="N909" s="76">
        <v>0.89</v>
      </c>
      <c r="O909" s="76">
        <v>0.89</v>
      </c>
      <c r="P909" s="76">
        <v>0.89</v>
      </c>
      <c r="Q909" s="76">
        <v>0.89</v>
      </c>
      <c r="R909" s="76">
        <v>0.89</v>
      </c>
      <c r="S909" s="76">
        <v>0.89</v>
      </c>
      <c r="T909" s="76">
        <v>0.89</v>
      </c>
      <c r="U909" s="76">
        <v>0.89</v>
      </c>
      <c r="V909" s="76">
        <v>0.89</v>
      </c>
      <c r="W909" s="76">
        <v>0.89</v>
      </c>
      <c r="X909" s="76">
        <v>0.89</v>
      </c>
      <c r="Y909" s="76">
        <v>0.89</v>
      </c>
      <c r="Z909" s="76">
        <v>0.89</v>
      </c>
      <c r="AA909" s="76">
        <v>0.89</v>
      </c>
      <c r="AB909" s="76">
        <v>0.89</v>
      </c>
      <c r="AC909" s="76">
        <v>0.89</v>
      </c>
      <c r="AD909" s="76">
        <v>0.89</v>
      </c>
      <c r="AE909" s="76">
        <v>0.89</v>
      </c>
      <c r="AF909" s="76">
        <v>0.89</v>
      </c>
      <c r="AG909" s="76">
        <v>0.89</v>
      </c>
      <c r="AH909" s="76">
        <v>0.89</v>
      </c>
      <c r="AI909" s="76">
        <v>0.89</v>
      </c>
      <c r="AJ909" s="76">
        <v>0.89</v>
      </c>
      <c r="AK909" s="76">
        <v>0.89</v>
      </c>
      <c r="AL909" s="76">
        <v>0.89</v>
      </c>
      <c r="AM909" s="76">
        <v>0.89</v>
      </c>
      <c r="AN909" s="76">
        <v>0.89</v>
      </c>
      <c r="AO909" s="76">
        <v>0.89</v>
      </c>
      <c r="AP909" s="76">
        <v>0.89</v>
      </c>
      <c r="AQ909" s="76">
        <v>0.89</v>
      </c>
      <c r="AR909" s="76">
        <v>0.89</v>
      </c>
      <c r="AS909" s="76">
        <v>0.89</v>
      </c>
      <c r="AT909" s="76">
        <v>0.89</v>
      </c>
      <c r="AU909" s="76">
        <v>0.89</v>
      </c>
      <c r="AV909" s="76">
        <v>0.89</v>
      </c>
      <c r="AW909" s="76">
        <v>0.89</v>
      </c>
      <c r="AX909" s="84">
        <v>0.89</v>
      </c>
    </row>
    <row r="910" spans="1:50" x14ac:dyDescent="0.25">
      <c r="A910" s="356"/>
      <c r="B910" s="359"/>
      <c r="C910" s="360"/>
      <c r="D910" s="2" t="s">
        <v>20</v>
      </c>
      <c r="E910" s="160" t="str">
        <f>A887&amp;"/"&amp;B907&amp;"/"&amp;C907&amp;"/"&amp;D910</f>
        <v>Biomass and waste fired power plants/Steam turbine/Electricity only/XS</v>
      </c>
      <c r="F910" s="76" t="str">
        <f>A887</f>
        <v>Biomass and waste fired power plants</v>
      </c>
      <c r="G910" s="76" t="str">
        <f>B907</f>
        <v>Steam turbine</v>
      </c>
      <c r="H910" s="76" t="str">
        <f>C907</f>
        <v>Electricity only</v>
      </c>
      <c r="I910" s="161" t="str">
        <f t="shared" si="91"/>
        <v>XS</v>
      </c>
      <c r="J910" s="76">
        <v>0.89</v>
      </c>
      <c r="K910" s="76">
        <v>0.89</v>
      </c>
      <c r="L910" s="76">
        <v>0.89</v>
      </c>
      <c r="M910" s="76">
        <v>0.89</v>
      </c>
      <c r="N910" s="76">
        <v>0.89</v>
      </c>
      <c r="O910" s="76">
        <v>0.89</v>
      </c>
      <c r="P910" s="76">
        <v>0.89</v>
      </c>
      <c r="Q910" s="76">
        <v>0.89</v>
      </c>
      <c r="R910" s="76">
        <v>0.89</v>
      </c>
      <c r="S910" s="76">
        <v>0.89</v>
      </c>
      <c r="T910" s="76">
        <v>0.89</v>
      </c>
      <c r="U910" s="76">
        <v>0.89</v>
      </c>
      <c r="V910" s="76">
        <v>0.89</v>
      </c>
      <c r="W910" s="76">
        <v>0.89</v>
      </c>
      <c r="X910" s="76">
        <v>0.89</v>
      </c>
      <c r="Y910" s="76">
        <v>0.89</v>
      </c>
      <c r="Z910" s="76">
        <v>0.89</v>
      </c>
      <c r="AA910" s="76">
        <v>0.89</v>
      </c>
      <c r="AB910" s="76">
        <v>0.89</v>
      </c>
      <c r="AC910" s="76">
        <v>0.89</v>
      </c>
      <c r="AD910" s="76">
        <v>0.89</v>
      </c>
      <c r="AE910" s="76">
        <v>0.89</v>
      </c>
      <c r="AF910" s="76">
        <v>0.89</v>
      </c>
      <c r="AG910" s="76">
        <v>0.89</v>
      </c>
      <c r="AH910" s="76">
        <v>0.89</v>
      </c>
      <c r="AI910" s="76">
        <v>0.89</v>
      </c>
      <c r="AJ910" s="76">
        <v>0.89</v>
      </c>
      <c r="AK910" s="76">
        <v>0.89</v>
      </c>
      <c r="AL910" s="76">
        <v>0.89</v>
      </c>
      <c r="AM910" s="76">
        <v>0.89</v>
      </c>
      <c r="AN910" s="76">
        <v>0.89</v>
      </c>
      <c r="AO910" s="76">
        <v>0.89</v>
      </c>
      <c r="AP910" s="76">
        <v>0.89</v>
      </c>
      <c r="AQ910" s="76">
        <v>0.89</v>
      </c>
      <c r="AR910" s="76">
        <v>0.89</v>
      </c>
      <c r="AS910" s="76">
        <v>0.89</v>
      </c>
      <c r="AT910" s="76">
        <v>0.89</v>
      </c>
      <c r="AU910" s="76">
        <v>0.89</v>
      </c>
      <c r="AV910" s="76">
        <v>0.89</v>
      </c>
      <c r="AW910" s="76">
        <v>0.89</v>
      </c>
      <c r="AX910" s="84">
        <v>0.89</v>
      </c>
    </row>
    <row r="911" spans="1:50" x14ac:dyDescent="0.25">
      <c r="A911" s="356"/>
      <c r="B911" s="359"/>
      <c r="C911" s="361" t="s">
        <v>14</v>
      </c>
      <c r="D911" s="58" t="s">
        <v>7</v>
      </c>
      <c r="E911" s="164" t="str">
        <f>A887&amp;"/"&amp;B907&amp;"/"&amp;C911&amp;"/"&amp;D911</f>
        <v>Biomass and waste fired power plants/Steam turbine/CHP/L</v>
      </c>
      <c r="F911" s="78" t="str">
        <f>A887</f>
        <v>Biomass and waste fired power plants</v>
      </c>
      <c r="G911" s="78" t="str">
        <f>B907</f>
        <v>Steam turbine</v>
      </c>
      <c r="H911" s="78" t="str">
        <f>C911</f>
        <v>CHP</v>
      </c>
      <c r="I911" s="165" t="str">
        <f t="shared" si="91"/>
        <v>L</v>
      </c>
      <c r="J911" s="78">
        <v>0.89</v>
      </c>
      <c r="K911" s="78">
        <v>0.89</v>
      </c>
      <c r="L911" s="78">
        <v>0.89</v>
      </c>
      <c r="M911" s="78">
        <v>0.89</v>
      </c>
      <c r="N911" s="78">
        <v>0.89</v>
      </c>
      <c r="O911" s="78">
        <v>0.89</v>
      </c>
      <c r="P911" s="78">
        <v>0.89</v>
      </c>
      <c r="Q911" s="78">
        <v>0.89</v>
      </c>
      <c r="R911" s="78">
        <v>0.89</v>
      </c>
      <c r="S911" s="78">
        <v>0.89</v>
      </c>
      <c r="T911" s="78">
        <v>0.89</v>
      </c>
      <c r="U911" s="78">
        <v>0.89</v>
      </c>
      <c r="V911" s="78">
        <v>0.89</v>
      </c>
      <c r="W911" s="78">
        <v>0.89</v>
      </c>
      <c r="X911" s="78">
        <v>0.89</v>
      </c>
      <c r="Y911" s="78">
        <v>0.89</v>
      </c>
      <c r="Z911" s="78">
        <v>0.89</v>
      </c>
      <c r="AA911" s="78">
        <v>0.89</v>
      </c>
      <c r="AB911" s="78">
        <v>0.89</v>
      </c>
      <c r="AC911" s="78">
        <v>0.89</v>
      </c>
      <c r="AD911" s="78">
        <v>0.89</v>
      </c>
      <c r="AE911" s="78">
        <v>0.89</v>
      </c>
      <c r="AF911" s="78">
        <v>0.89</v>
      </c>
      <c r="AG911" s="78">
        <v>0.89</v>
      </c>
      <c r="AH911" s="78">
        <v>0.89</v>
      </c>
      <c r="AI911" s="78">
        <v>0.89</v>
      </c>
      <c r="AJ911" s="78">
        <v>0.89</v>
      </c>
      <c r="AK911" s="78">
        <v>0.89</v>
      </c>
      <c r="AL911" s="78">
        <v>0.89</v>
      </c>
      <c r="AM911" s="78">
        <v>0.89</v>
      </c>
      <c r="AN911" s="78">
        <v>0.89</v>
      </c>
      <c r="AO911" s="78">
        <v>0.89</v>
      </c>
      <c r="AP911" s="78">
        <v>0.89</v>
      </c>
      <c r="AQ911" s="78">
        <v>0.89</v>
      </c>
      <c r="AR911" s="78">
        <v>0.89</v>
      </c>
      <c r="AS911" s="78">
        <v>0.89</v>
      </c>
      <c r="AT911" s="78">
        <v>0.89</v>
      </c>
      <c r="AU911" s="78">
        <v>0.89</v>
      </c>
      <c r="AV911" s="78">
        <v>0.89</v>
      </c>
      <c r="AW911" s="78">
        <v>0.89</v>
      </c>
      <c r="AX911" s="86">
        <v>0.89</v>
      </c>
    </row>
    <row r="912" spans="1:50" x14ac:dyDescent="0.25">
      <c r="A912" s="356"/>
      <c r="B912" s="359"/>
      <c r="C912" s="350"/>
      <c r="D912" s="2" t="s">
        <v>8</v>
      </c>
      <c r="E912" s="160" t="str">
        <f>A887&amp;"/"&amp;B907&amp;"/"&amp;C911&amp;"/"&amp;D912</f>
        <v>Biomass and waste fired power plants/Steam turbine/CHP/M</v>
      </c>
      <c r="F912" s="76" t="str">
        <f>A887</f>
        <v>Biomass and waste fired power plants</v>
      </c>
      <c r="G912" s="76" t="str">
        <f>B907</f>
        <v>Steam turbine</v>
      </c>
      <c r="H912" s="76" t="str">
        <f>C911</f>
        <v>CHP</v>
      </c>
      <c r="I912" s="161" t="str">
        <f t="shared" si="91"/>
        <v>M</v>
      </c>
      <c r="J912" s="76">
        <v>0.89</v>
      </c>
      <c r="K912" s="76">
        <v>0.89</v>
      </c>
      <c r="L912" s="76">
        <v>0.89</v>
      </c>
      <c r="M912" s="76">
        <v>0.89</v>
      </c>
      <c r="N912" s="76">
        <v>0.89</v>
      </c>
      <c r="O912" s="76">
        <v>0.89</v>
      </c>
      <c r="P912" s="76">
        <v>0.89</v>
      </c>
      <c r="Q912" s="76">
        <v>0.89</v>
      </c>
      <c r="R912" s="76">
        <v>0.89</v>
      </c>
      <c r="S912" s="76">
        <v>0.89</v>
      </c>
      <c r="T912" s="76">
        <v>0.89</v>
      </c>
      <c r="U912" s="76">
        <v>0.89</v>
      </c>
      <c r="V912" s="76">
        <v>0.89</v>
      </c>
      <c r="W912" s="76">
        <v>0.89</v>
      </c>
      <c r="X912" s="76">
        <v>0.89</v>
      </c>
      <c r="Y912" s="76">
        <v>0.89</v>
      </c>
      <c r="Z912" s="76">
        <v>0.89</v>
      </c>
      <c r="AA912" s="76">
        <v>0.89</v>
      </c>
      <c r="AB912" s="76">
        <v>0.89</v>
      </c>
      <c r="AC912" s="76">
        <v>0.89</v>
      </c>
      <c r="AD912" s="76">
        <v>0.89</v>
      </c>
      <c r="AE912" s="76">
        <v>0.89</v>
      </c>
      <c r="AF912" s="76">
        <v>0.89</v>
      </c>
      <c r="AG912" s="76">
        <v>0.89</v>
      </c>
      <c r="AH912" s="76">
        <v>0.89</v>
      </c>
      <c r="AI912" s="76">
        <v>0.89</v>
      </c>
      <c r="AJ912" s="76">
        <v>0.89</v>
      </c>
      <c r="AK912" s="76">
        <v>0.89</v>
      </c>
      <c r="AL912" s="76">
        <v>0.89</v>
      </c>
      <c r="AM912" s="76">
        <v>0.89</v>
      </c>
      <c r="AN912" s="76">
        <v>0.89</v>
      </c>
      <c r="AO912" s="76">
        <v>0.89</v>
      </c>
      <c r="AP912" s="76">
        <v>0.89</v>
      </c>
      <c r="AQ912" s="76">
        <v>0.89</v>
      </c>
      <c r="AR912" s="76">
        <v>0.89</v>
      </c>
      <c r="AS912" s="76">
        <v>0.89</v>
      </c>
      <c r="AT912" s="76">
        <v>0.89</v>
      </c>
      <c r="AU912" s="76">
        <v>0.89</v>
      </c>
      <c r="AV912" s="76">
        <v>0.89</v>
      </c>
      <c r="AW912" s="76">
        <v>0.89</v>
      </c>
      <c r="AX912" s="84">
        <v>0.89</v>
      </c>
    </row>
    <row r="913" spans="1:50" x14ac:dyDescent="0.25">
      <c r="A913" s="356"/>
      <c r="B913" s="359"/>
      <c r="C913" s="350"/>
      <c r="D913" s="2" t="s">
        <v>10</v>
      </c>
      <c r="E913" s="160" t="str">
        <f>A887&amp;"/"&amp;B907&amp;"/"&amp;C911&amp;"/"&amp;D913</f>
        <v>Biomass and waste fired power plants/Steam turbine/CHP/S</v>
      </c>
      <c r="F913" s="76" t="str">
        <f>A887</f>
        <v>Biomass and waste fired power plants</v>
      </c>
      <c r="G913" s="76" t="str">
        <f>B907</f>
        <v>Steam turbine</v>
      </c>
      <c r="H913" s="76" t="str">
        <f>C911</f>
        <v>CHP</v>
      </c>
      <c r="I913" s="161" t="str">
        <f t="shared" si="91"/>
        <v>S</v>
      </c>
      <c r="J913" s="76">
        <v>0.89</v>
      </c>
      <c r="K913" s="76">
        <v>0.89</v>
      </c>
      <c r="L913" s="76">
        <v>0.89</v>
      </c>
      <c r="M913" s="76">
        <v>0.89</v>
      </c>
      <c r="N913" s="76">
        <v>0.89</v>
      </c>
      <c r="O913" s="76">
        <v>0.89</v>
      </c>
      <c r="P913" s="76">
        <v>0.89</v>
      </c>
      <c r="Q913" s="76">
        <v>0.89</v>
      </c>
      <c r="R913" s="76">
        <v>0.89</v>
      </c>
      <c r="S913" s="76">
        <v>0.89</v>
      </c>
      <c r="T913" s="76">
        <v>0.89</v>
      </c>
      <c r="U913" s="76">
        <v>0.89</v>
      </c>
      <c r="V913" s="76">
        <v>0.89</v>
      </c>
      <c r="W913" s="76">
        <v>0.89</v>
      </c>
      <c r="X913" s="76">
        <v>0.89</v>
      </c>
      <c r="Y913" s="76">
        <v>0.89</v>
      </c>
      <c r="Z913" s="76">
        <v>0.89</v>
      </c>
      <c r="AA913" s="76">
        <v>0.89</v>
      </c>
      <c r="AB913" s="76">
        <v>0.89</v>
      </c>
      <c r="AC913" s="76">
        <v>0.89</v>
      </c>
      <c r="AD913" s="76">
        <v>0.89</v>
      </c>
      <c r="AE913" s="76">
        <v>0.89</v>
      </c>
      <c r="AF913" s="76">
        <v>0.89</v>
      </c>
      <c r="AG913" s="76">
        <v>0.89</v>
      </c>
      <c r="AH913" s="76">
        <v>0.89</v>
      </c>
      <c r="AI913" s="76">
        <v>0.89</v>
      </c>
      <c r="AJ913" s="76">
        <v>0.89</v>
      </c>
      <c r="AK913" s="76">
        <v>0.89</v>
      </c>
      <c r="AL913" s="76">
        <v>0.89</v>
      </c>
      <c r="AM913" s="76">
        <v>0.89</v>
      </c>
      <c r="AN913" s="76">
        <v>0.89</v>
      </c>
      <c r="AO913" s="76">
        <v>0.89</v>
      </c>
      <c r="AP913" s="76">
        <v>0.89</v>
      </c>
      <c r="AQ913" s="76">
        <v>0.89</v>
      </c>
      <c r="AR913" s="76">
        <v>0.89</v>
      </c>
      <c r="AS913" s="76">
        <v>0.89</v>
      </c>
      <c r="AT913" s="76">
        <v>0.89</v>
      </c>
      <c r="AU913" s="76">
        <v>0.89</v>
      </c>
      <c r="AV913" s="76">
        <v>0.89</v>
      </c>
      <c r="AW913" s="76">
        <v>0.89</v>
      </c>
      <c r="AX913" s="84">
        <v>0.89</v>
      </c>
    </row>
    <row r="914" spans="1:50" x14ac:dyDescent="0.25">
      <c r="A914" s="356"/>
      <c r="B914" s="359"/>
      <c r="C914" s="360"/>
      <c r="D914" s="59" t="s">
        <v>20</v>
      </c>
      <c r="E914" s="166" t="str">
        <f>A887&amp;"/"&amp;B907&amp;"/"&amp;C911&amp;"/"&amp;D914</f>
        <v>Biomass and waste fired power plants/Steam turbine/CHP/XS</v>
      </c>
      <c r="F914" s="79" t="str">
        <f>A887</f>
        <v>Biomass and waste fired power plants</v>
      </c>
      <c r="G914" s="79" t="str">
        <f>B907</f>
        <v>Steam turbine</v>
      </c>
      <c r="H914" s="79" t="str">
        <f>C911</f>
        <v>CHP</v>
      </c>
      <c r="I914" s="167" t="str">
        <f t="shared" si="91"/>
        <v>XS</v>
      </c>
      <c r="J914" s="79">
        <v>0.89</v>
      </c>
      <c r="K914" s="79">
        <v>0.89</v>
      </c>
      <c r="L914" s="79">
        <v>0.89</v>
      </c>
      <c r="M914" s="79">
        <v>0.89</v>
      </c>
      <c r="N914" s="79">
        <v>0.89</v>
      </c>
      <c r="O914" s="79">
        <v>0.89</v>
      </c>
      <c r="P914" s="79">
        <v>0.89</v>
      </c>
      <c r="Q914" s="79">
        <v>0.89</v>
      </c>
      <c r="R914" s="79">
        <v>0.89</v>
      </c>
      <c r="S914" s="79">
        <v>0.89</v>
      </c>
      <c r="T914" s="79">
        <v>0.89</v>
      </c>
      <c r="U914" s="79">
        <v>0.89</v>
      </c>
      <c r="V914" s="79">
        <v>0.89</v>
      </c>
      <c r="W914" s="79">
        <v>0.89</v>
      </c>
      <c r="X914" s="79">
        <v>0.89</v>
      </c>
      <c r="Y914" s="79">
        <v>0.89</v>
      </c>
      <c r="Z914" s="79">
        <v>0.89</v>
      </c>
      <c r="AA914" s="79">
        <v>0.89</v>
      </c>
      <c r="AB914" s="79">
        <v>0.89</v>
      </c>
      <c r="AC914" s="79">
        <v>0.89</v>
      </c>
      <c r="AD914" s="79">
        <v>0.89</v>
      </c>
      <c r="AE914" s="79">
        <v>0.89</v>
      </c>
      <c r="AF914" s="79">
        <v>0.89</v>
      </c>
      <c r="AG914" s="79">
        <v>0.89</v>
      </c>
      <c r="AH914" s="79">
        <v>0.89</v>
      </c>
      <c r="AI914" s="79">
        <v>0.89</v>
      </c>
      <c r="AJ914" s="79">
        <v>0.89</v>
      </c>
      <c r="AK914" s="79">
        <v>0.89</v>
      </c>
      <c r="AL914" s="79">
        <v>0.89</v>
      </c>
      <c r="AM914" s="79">
        <v>0.89</v>
      </c>
      <c r="AN914" s="79">
        <v>0.89</v>
      </c>
      <c r="AO914" s="79">
        <v>0.89</v>
      </c>
      <c r="AP914" s="79">
        <v>0.89</v>
      </c>
      <c r="AQ914" s="79">
        <v>0.89</v>
      </c>
      <c r="AR914" s="79">
        <v>0.89</v>
      </c>
      <c r="AS914" s="79">
        <v>0.89</v>
      </c>
      <c r="AT914" s="79">
        <v>0.89</v>
      </c>
      <c r="AU914" s="79">
        <v>0.89</v>
      </c>
      <c r="AV914" s="79">
        <v>0.89</v>
      </c>
      <c r="AW914" s="79">
        <v>0.89</v>
      </c>
      <c r="AX914" s="87">
        <v>0.89</v>
      </c>
    </row>
    <row r="915" spans="1:50" x14ac:dyDescent="0.25">
      <c r="A915" s="356"/>
      <c r="B915" s="359"/>
      <c r="C915" s="361" t="s">
        <v>15</v>
      </c>
      <c r="D915" s="58" t="s">
        <v>7</v>
      </c>
      <c r="E915" s="164" t="str">
        <f>A887&amp;"/"&amp;B907&amp;"/"&amp;C915&amp;"/"&amp;D915</f>
        <v>Biomass and waste fired power plants/Steam turbine/Electricity only with CCS/L</v>
      </c>
      <c r="F915" s="78" t="str">
        <f>A887</f>
        <v>Biomass and waste fired power plants</v>
      </c>
      <c r="G915" s="78" t="str">
        <f>B907</f>
        <v>Steam turbine</v>
      </c>
      <c r="H915" s="78" t="str">
        <f>C915</f>
        <v>Electricity only with CCS</v>
      </c>
      <c r="I915" s="165" t="str">
        <f t="shared" si="91"/>
        <v>L</v>
      </c>
      <c r="J915" s="78" t="s">
        <v>112</v>
      </c>
      <c r="K915" s="78" t="s">
        <v>112</v>
      </c>
      <c r="L915" s="78" t="s">
        <v>112</v>
      </c>
      <c r="M915" s="78" t="s">
        <v>112</v>
      </c>
      <c r="N915" s="78" t="s">
        <v>112</v>
      </c>
      <c r="O915" s="78" t="s">
        <v>112</v>
      </c>
      <c r="P915" s="78" t="s">
        <v>112</v>
      </c>
      <c r="Q915" s="78" t="s">
        <v>112</v>
      </c>
      <c r="R915" s="78" t="s">
        <v>112</v>
      </c>
      <c r="S915" s="78" t="s">
        <v>112</v>
      </c>
      <c r="T915" s="78" t="s">
        <v>112</v>
      </c>
      <c r="U915" s="78" t="s">
        <v>112</v>
      </c>
      <c r="V915" s="78" t="s">
        <v>112</v>
      </c>
      <c r="W915" s="78" t="s">
        <v>112</v>
      </c>
      <c r="X915" s="78" t="s">
        <v>112</v>
      </c>
      <c r="Y915" s="78" t="s">
        <v>112</v>
      </c>
      <c r="Z915" s="78" t="s">
        <v>112</v>
      </c>
      <c r="AA915" s="78" t="s">
        <v>112</v>
      </c>
      <c r="AB915" s="78" t="s">
        <v>112</v>
      </c>
      <c r="AC915" s="78" t="s">
        <v>112</v>
      </c>
      <c r="AD915" s="78" t="s">
        <v>112</v>
      </c>
      <c r="AE915" s="78">
        <v>0.89</v>
      </c>
      <c r="AF915" s="78">
        <v>0.89</v>
      </c>
      <c r="AG915" s="78">
        <v>0.89</v>
      </c>
      <c r="AH915" s="78">
        <v>0.89</v>
      </c>
      <c r="AI915" s="78">
        <v>0.89</v>
      </c>
      <c r="AJ915" s="78">
        <v>0.89</v>
      </c>
      <c r="AK915" s="78">
        <v>0.89</v>
      </c>
      <c r="AL915" s="78">
        <v>0.89</v>
      </c>
      <c r="AM915" s="78">
        <v>0.89</v>
      </c>
      <c r="AN915" s="78">
        <v>0.89</v>
      </c>
      <c r="AO915" s="78">
        <v>0.89</v>
      </c>
      <c r="AP915" s="78">
        <v>0.89</v>
      </c>
      <c r="AQ915" s="78">
        <v>0.89</v>
      </c>
      <c r="AR915" s="78">
        <v>0.89</v>
      </c>
      <c r="AS915" s="78">
        <v>0.89</v>
      </c>
      <c r="AT915" s="78">
        <v>0.89</v>
      </c>
      <c r="AU915" s="78">
        <v>0.89</v>
      </c>
      <c r="AV915" s="78">
        <v>0.89</v>
      </c>
      <c r="AW915" s="78">
        <v>0.89</v>
      </c>
      <c r="AX915" s="86">
        <v>0.89</v>
      </c>
    </row>
    <row r="916" spans="1:50" x14ac:dyDescent="0.25">
      <c r="A916" s="356"/>
      <c r="B916" s="359"/>
      <c r="C916" s="360"/>
      <c r="D916" s="59" t="s">
        <v>8</v>
      </c>
      <c r="E916" s="166" t="str">
        <f>A887&amp;"/"&amp;B907&amp;"/"&amp;C915&amp;"/"&amp;D916</f>
        <v>Biomass and waste fired power plants/Steam turbine/Electricity only with CCS/M</v>
      </c>
      <c r="F916" s="79" t="str">
        <f>A887</f>
        <v>Biomass and waste fired power plants</v>
      </c>
      <c r="G916" s="79" t="str">
        <f>B907</f>
        <v>Steam turbine</v>
      </c>
      <c r="H916" s="79" t="str">
        <f>C915</f>
        <v>Electricity only with CCS</v>
      </c>
      <c r="I916" s="167" t="str">
        <f t="shared" si="91"/>
        <v>M</v>
      </c>
      <c r="J916" s="79" t="s">
        <v>112</v>
      </c>
      <c r="K916" s="79" t="s">
        <v>112</v>
      </c>
      <c r="L916" s="79" t="s">
        <v>112</v>
      </c>
      <c r="M916" s="79" t="s">
        <v>112</v>
      </c>
      <c r="N916" s="79" t="s">
        <v>112</v>
      </c>
      <c r="O916" s="79" t="s">
        <v>112</v>
      </c>
      <c r="P916" s="79" t="s">
        <v>112</v>
      </c>
      <c r="Q916" s="79" t="s">
        <v>112</v>
      </c>
      <c r="R916" s="79" t="s">
        <v>112</v>
      </c>
      <c r="S916" s="79" t="s">
        <v>112</v>
      </c>
      <c r="T916" s="79" t="s">
        <v>112</v>
      </c>
      <c r="U916" s="79" t="s">
        <v>112</v>
      </c>
      <c r="V916" s="79" t="s">
        <v>112</v>
      </c>
      <c r="W916" s="79" t="s">
        <v>112</v>
      </c>
      <c r="X916" s="79" t="s">
        <v>112</v>
      </c>
      <c r="Y916" s="79" t="s">
        <v>112</v>
      </c>
      <c r="Z916" s="79" t="s">
        <v>112</v>
      </c>
      <c r="AA916" s="79" t="s">
        <v>112</v>
      </c>
      <c r="AB916" s="79" t="s">
        <v>112</v>
      </c>
      <c r="AC916" s="79" t="s">
        <v>112</v>
      </c>
      <c r="AD916" s="79" t="s">
        <v>112</v>
      </c>
      <c r="AE916" s="79">
        <v>0.89</v>
      </c>
      <c r="AF916" s="79">
        <v>0.89</v>
      </c>
      <c r="AG916" s="79">
        <v>0.89</v>
      </c>
      <c r="AH916" s="79">
        <v>0.89</v>
      </c>
      <c r="AI916" s="79">
        <v>0.89</v>
      </c>
      <c r="AJ916" s="79">
        <v>0.89</v>
      </c>
      <c r="AK916" s="79">
        <v>0.89</v>
      </c>
      <c r="AL916" s="79">
        <v>0.89</v>
      </c>
      <c r="AM916" s="79">
        <v>0.89</v>
      </c>
      <c r="AN916" s="79">
        <v>0.89</v>
      </c>
      <c r="AO916" s="79">
        <v>0.89</v>
      </c>
      <c r="AP916" s="79">
        <v>0.89</v>
      </c>
      <c r="AQ916" s="79">
        <v>0.89</v>
      </c>
      <c r="AR916" s="79">
        <v>0.89</v>
      </c>
      <c r="AS916" s="79">
        <v>0.89</v>
      </c>
      <c r="AT916" s="79">
        <v>0.89</v>
      </c>
      <c r="AU916" s="79">
        <v>0.89</v>
      </c>
      <c r="AV916" s="79">
        <v>0.89</v>
      </c>
      <c r="AW916" s="79">
        <v>0.89</v>
      </c>
      <c r="AX916" s="87">
        <v>0.89</v>
      </c>
    </row>
    <row r="917" spans="1:50" x14ac:dyDescent="0.25">
      <c r="A917" s="356"/>
      <c r="B917" s="359"/>
      <c r="C917" s="361" t="s">
        <v>16</v>
      </c>
      <c r="D917" s="2" t="s">
        <v>7</v>
      </c>
      <c r="E917" s="160" t="str">
        <f>A887&amp;"/"&amp;B907&amp;"/"&amp;C917&amp;"/"&amp;D917</f>
        <v>Biomass and waste fired power plants/Steam turbine/CHP with CCS/L</v>
      </c>
      <c r="F917" s="76" t="str">
        <f>A887</f>
        <v>Biomass and waste fired power plants</v>
      </c>
      <c r="G917" s="76" t="str">
        <f>B907</f>
        <v>Steam turbine</v>
      </c>
      <c r="H917" s="76" t="str">
        <f>C917</f>
        <v>CHP with CCS</v>
      </c>
      <c r="I917" s="161" t="str">
        <f t="shared" si="91"/>
        <v>L</v>
      </c>
      <c r="J917" s="76" t="s">
        <v>112</v>
      </c>
      <c r="K917" s="76" t="s">
        <v>112</v>
      </c>
      <c r="L917" s="76" t="s">
        <v>112</v>
      </c>
      <c r="M917" s="76" t="s">
        <v>112</v>
      </c>
      <c r="N917" s="76" t="s">
        <v>112</v>
      </c>
      <c r="O917" s="76" t="s">
        <v>112</v>
      </c>
      <c r="P917" s="76" t="s">
        <v>112</v>
      </c>
      <c r="Q917" s="76" t="s">
        <v>112</v>
      </c>
      <c r="R917" s="76" t="s">
        <v>112</v>
      </c>
      <c r="S917" s="76" t="s">
        <v>112</v>
      </c>
      <c r="T917" s="76" t="s">
        <v>112</v>
      </c>
      <c r="U917" s="76" t="s">
        <v>112</v>
      </c>
      <c r="V917" s="76" t="s">
        <v>112</v>
      </c>
      <c r="W917" s="76" t="s">
        <v>112</v>
      </c>
      <c r="X917" s="76" t="s">
        <v>112</v>
      </c>
      <c r="Y917" s="76" t="s">
        <v>112</v>
      </c>
      <c r="Z917" s="76" t="s">
        <v>112</v>
      </c>
      <c r="AA917" s="76" t="s">
        <v>112</v>
      </c>
      <c r="AB917" s="76" t="s">
        <v>112</v>
      </c>
      <c r="AC917" s="76" t="s">
        <v>112</v>
      </c>
      <c r="AD917" s="76" t="s">
        <v>112</v>
      </c>
      <c r="AE917" s="76">
        <v>0.89</v>
      </c>
      <c r="AF917" s="76">
        <v>0.89</v>
      </c>
      <c r="AG917" s="76">
        <v>0.89</v>
      </c>
      <c r="AH917" s="76">
        <v>0.89</v>
      </c>
      <c r="AI917" s="76">
        <v>0.89</v>
      </c>
      <c r="AJ917" s="76">
        <v>0.89</v>
      </c>
      <c r="AK917" s="76">
        <v>0.89</v>
      </c>
      <c r="AL917" s="76">
        <v>0.89</v>
      </c>
      <c r="AM917" s="76">
        <v>0.89</v>
      </c>
      <c r="AN917" s="76">
        <v>0.89</v>
      </c>
      <c r="AO917" s="76">
        <v>0.89</v>
      </c>
      <c r="AP917" s="76">
        <v>0.89</v>
      </c>
      <c r="AQ917" s="76">
        <v>0.89</v>
      </c>
      <c r="AR917" s="76">
        <v>0.89</v>
      </c>
      <c r="AS917" s="76">
        <v>0.89</v>
      </c>
      <c r="AT917" s="76">
        <v>0.89</v>
      </c>
      <c r="AU917" s="76">
        <v>0.89</v>
      </c>
      <c r="AV917" s="76">
        <v>0.89</v>
      </c>
      <c r="AW917" s="76">
        <v>0.89</v>
      </c>
      <c r="AX917" s="84">
        <v>0.89</v>
      </c>
    </row>
    <row r="918" spans="1:50" x14ac:dyDescent="0.25">
      <c r="A918" s="357"/>
      <c r="B918" s="362"/>
      <c r="C918" s="354"/>
      <c r="D918" s="4" t="s">
        <v>8</v>
      </c>
      <c r="E918" s="168" t="str">
        <f>A887&amp;"/"&amp;B907&amp;"/"&amp;C917&amp;"/"&amp;D918</f>
        <v>Biomass and waste fired power plants/Steam turbine/CHP with CCS/M</v>
      </c>
      <c r="F918" s="80" t="str">
        <f>A887</f>
        <v>Biomass and waste fired power plants</v>
      </c>
      <c r="G918" s="80" t="str">
        <f>B907</f>
        <v>Steam turbine</v>
      </c>
      <c r="H918" s="80" t="str">
        <f>C917</f>
        <v>CHP with CCS</v>
      </c>
      <c r="I918" s="169" t="str">
        <f t="shared" si="91"/>
        <v>M</v>
      </c>
      <c r="J918" s="80" t="s">
        <v>112</v>
      </c>
      <c r="K918" s="80" t="s">
        <v>112</v>
      </c>
      <c r="L918" s="80" t="s">
        <v>112</v>
      </c>
      <c r="M918" s="80" t="s">
        <v>112</v>
      </c>
      <c r="N918" s="80" t="s">
        <v>112</v>
      </c>
      <c r="O918" s="80" t="s">
        <v>112</v>
      </c>
      <c r="P918" s="80" t="s">
        <v>112</v>
      </c>
      <c r="Q918" s="80" t="s">
        <v>112</v>
      </c>
      <c r="R918" s="80" t="s">
        <v>112</v>
      </c>
      <c r="S918" s="80" t="s">
        <v>112</v>
      </c>
      <c r="T918" s="80" t="s">
        <v>112</v>
      </c>
      <c r="U918" s="80" t="s">
        <v>112</v>
      </c>
      <c r="V918" s="80" t="s">
        <v>112</v>
      </c>
      <c r="W918" s="80" t="s">
        <v>112</v>
      </c>
      <c r="X918" s="80" t="s">
        <v>112</v>
      </c>
      <c r="Y918" s="80" t="s">
        <v>112</v>
      </c>
      <c r="Z918" s="80" t="s">
        <v>112</v>
      </c>
      <c r="AA918" s="80" t="s">
        <v>112</v>
      </c>
      <c r="AB918" s="80" t="s">
        <v>112</v>
      </c>
      <c r="AC918" s="80" t="s">
        <v>112</v>
      </c>
      <c r="AD918" s="80" t="s">
        <v>112</v>
      </c>
      <c r="AE918" s="80">
        <v>0.89</v>
      </c>
      <c r="AF918" s="80">
        <v>0.89</v>
      </c>
      <c r="AG918" s="80">
        <v>0.89</v>
      </c>
      <c r="AH918" s="80">
        <v>0.89</v>
      </c>
      <c r="AI918" s="80">
        <v>0.89</v>
      </c>
      <c r="AJ918" s="80">
        <v>0.89</v>
      </c>
      <c r="AK918" s="80">
        <v>0.89</v>
      </c>
      <c r="AL918" s="80">
        <v>0.89</v>
      </c>
      <c r="AM918" s="80">
        <v>0.89</v>
      </c>
      <c r="AN918" s="80">
        <v>0.89</v>
      </c>
      <c r="AO918" s="80">
        <v>0.89</v>
      </c>
      <c r="AP918" s="80">
        <v>0.89</v>
      </c>
      <c r="AQ918" s="80">
        <v>0.89</v>
      </c>
      <c r="AR918" s="80">
        <v>0.89</v>
      </c>
      <c r="AS918" s="80">
        <v>0.89</v>
      </c>
      <c r="AT918" s="80">
        <v>0.89</v>
      </c>
      <c r="AU918" s="80">
        <v>0.89</v>
      </c>
      <c r="AV918" s="80">
        <v>0.89</v>
      </c>
      <c r="AW918" s="80">
        <v>0.89</v>
      </c>
      <c r="AX918" s="88">
        <v>0.89</v>
      </c>
    </row>
    <row r="919" spans="1:50" x14ac:dyDescent="0.25">
      <c r="A919" s="355" t="s">
        <v>31</v>
      </c>
      <c r="B919" s="358" t="s">
        <v>32</v>
      </c>
      <c r="C919" s="353" t="s">
        <v>6</v>
      </c>
      <c r="D919" s="3" t="s">
        <v>8</v>
      </c>
      <c r="E919" s="162" t="str">
        <f>A919&amp;"/"&amp;B919&amp;"/"&amp;C919&amp;"/"&amp;D919</f>
        <v>Fuel cells/Natural gas fuel cell power plant/Electricity only/M</v>
      </c>
      <c r="F919" s="77" t="str">
        <f>A919</f>
        <v>Fuel cells</v>
      </c>
      <c r="G919" s="77" t="str">
        <f>B919</f>
        <v>Natural gas fuel cell power plant</v>
      </c>
      <c r="H919" s="77" t="str">
        <f>C919</f>
        <v>Electricity only</v>
      </c>
      <c r="I919" s="163" t="str">
        <f t="shared" si="91"/>
        <v>M</v>
      </c>
      <c r="J919" s="77" t="s">
        <v>112</v>
      </c>
      <c r="K919" s="77" t="s">
        <v>112</v>
      </c>
      <c r="L919" s="77" t="s">
        <v>112</v>
      </c>
      <c r="M919" s="77" t="s">
        <v>112</v>
      </c>
      <c r="N919" s="77" t="s">
        <v>112</v>
      </c>
      <c r="O919" s="77" t="s">
        <v>112</v>
      </c>
      <c r="P919" s="77" t="s">
        <v>112</v>
      </c>
      <c r="Q919" s="77" t="s">
        <v>112</v>
      </c>
      <c r="R919" s="77" t="s">
        <v>112</v>
      </c>
      <c r="S919" s="77" t="s">
        <v>112</v>
      </c>
      <c r="T919" s="77" t="s">
        <v>112</v>
      </c>
      <c r="U919" s="77" t="s">
        <v>112</v>
      </c>
      <c r="V919" s="77" t="s">
        <v>112</v>
      </c>
      <c r="W919" s="77" t="s">
        <v>112</v>
      </c>
      <c r="X919" s="77" t="s">
        <v>112</v>
      </c>
      <c r="Y919" s="77" t="s">
        <v>112</v>
      </c>
      <c r="Z919" s="77" t="s">
        <v>112</v>
      </c>
      <c r="AA919" s="77" t="s">
        <v>112</v>
      </c>
      <c r="AB919" s="77" t="s">
        <v>112</v>
      </c>
      <c r="AC919" s="77" t="s">
        <v>112</v>
      </c>
      <c r="AD919" s="77" t="s">
        <v>112</v>
      </c>
      <c r="AE919" s="77">
        <v>0.96499999999999997</v>
      </c>
      <c r="AF919" s="77">
        <v>0.96499999999999997</v>
      </c>
      <c r="AG919" s="77">
        <v>0.96499999999999997</v>
      </c>
      <c r="AH919" s="77">
        <v>0.96499999999999997</v>
      </c>
      <c r="AI919" s="77">
        <v>0.96499999999999997</v>
      </c>
      <c r="AJ919" s="77">
        <v>0.96499999999999997</v>
      </c>
      <c r="AK919" s="77">
        <v>0.96499999999999997</v>
      </c>
      <c r="AL919" s="77">
        <v>0.96499999999999997</v>
      </c>
      <c r="AM919" s="77">
        <v>0.96499999999999997</v>
      </c>
      <c r="AN919" s="77">
        <v>0.96499999999999997</v>
      </c>
      <c r="AO919" s="77">
        <v>0.96499999999999997</v>
      </c>
      <c r="AP919" s="77">
        <v>0.96499999999999997</v>
      </c>
      <c r="AQ919" s="77">
        <v>0.96499999999999997</v>
      </c>
      <c r="AR919" s="77">
        <v>0.96499999999999997</v>
      </c>
      <c r="AS919" s="77">
        <v>0.96499999999999997</v>
      </c>
      <c r="AT919" s="77">
        <v>0.96499999999999997</v>
      </c>
      <c r="AU919" s="77">
        <v>0.96499999999999997</v>
      </c>
      <c r="AV919" s="77">
        <v>0.96499999999999997</v>
      </c>
      <c r="AW919" s="77">
        <v>0.96499999999999997</v>
      </c>
      <c r="AX919" s="85">
        <v>0.96499999999999997</v>
      </c>
    </row>
    <row r="920" spans="1:50" x14ac:dyDescent="0.25">
      <c r="A920" s="356"/>
      <c r="B920" s="359"/>
      <c r="C920" s="350"/>
      <c r="D920" s="2" t="s">
        <v>10</v>
      </c>
      <c r="E920" s="160" t="str">
        <f>A919&amp;"/"&amp;B919&amp;"/"&amp;C919&amp;"/"&amp;D920</f>
        <v>Fuel cells/Natural gas fuel cell power plant/Electricity only/S</v>
      </c>
      <c r="F920" s="76" t="str">
        <f>A919</f>
        <v>Fuel cells</v>
      </c>
      <c r="G920" s="76" t="str">
        <f>B919</f>
        <v>Natural gas fuel cell power plant</v>
      </c>
      <c r="H920" s="76" t="str">
        <f>C919</f>
        <v>Electricity only</v>
      </c>
      <c r="I920" s="161" t="str">
        <f t="shared" si="91"/>
        <v>S</v>
      </c>
      <c r="J920" s="76" t="s">
        <v>112</v>
      </c>
      <c r="K920" s="76" t="s">
        <v>112</v>
      </c>
      <c r="L920" s="76" t="s">
        <v>112</v>
      </c>
      <c r="M920" s="76" t="s">
        <v>112</v>
      </c>
      <c r="N920" s="76" t="s">
        <v>112</v>
      </c>
      <c r="O920" s="76" t="s">
        <v>112</v>
      </c>
      <c r="P920" s="76" t="s">
        <v>112</v>
      </c>
      <c r="Q920" s="76" t="s">
        <v>112</v>
      </c>
      <c r="R920" s="76" t="s">
        <v>112</v>
      </c>
      <c r="S920" s="76" t="s">
        <v>112</v>
      </c>
      <c r="T920" s="76" t="s">
        <v>112</v>
      </c>
      <c r="U920" s="76" t="s">
        <v>112</v>
      </c>
      <c r="V920" s="76" t="s">
        <v>112</v>
      </c>
      <c r="W920" s="76" t="s">
        <v>112</v>
      </c>
      <c r="X920" s="76" t="s">
        <v>112</v>
      </c>
      <c r="Y920" s="76" t="s">
        <v>112</v>
      </c>
      <c r="Z920" s="76" t="s">
        <v>112</v>
      </c>
      <c r="AA920" s="76" t="s">
        <v>112</v>
      </c>
      <c r="AB920" s="76" t="s">
        <v>112</v>
      </c>
      <c r="AC920" s="76">
        <v>0.96499999999999997</v>
      </c>
      <c r="AD920" s="76">
        <v>0.96499999999999997</v>
      </c>
      <c r="AE920" s="76">
        <v>0.96499999999999997</v>
      </c>
      <c r="AF920" s="76">
        <v>0.96499999999999997</v>
      </c>
      <c r="AG920" s="76">
        <v>0.96499999999999997</v>
      </c>
      <c r="AH920" s="76">
        <v>0.96499999999999997</v>
      </c>
      <c r="AI920" s="76">
        <v>0.96499999999999997</v>
      </c>
      <c r="AJ920" s="76">
        <v>0.96499999999999997</v>
      </c>
      <c r="AK920" s="76">
        <v>0.96499999999999997</v>
      </c>
      <c r="AL920" s="76">
        <v>0.96499999999999997</v>
      </c>
      <c r="AM920" s="76">
        <v>0.96499999999999997</v>
      </c>
      <c r="AN920" s="76">
        <v>0.96499999999999997</v>
      </c>
      <c r="AO920" s="76">
        <v>0.96499999999999997</v>
      </c>
      <c r="AP920" s="76">
        <v>0.96499999999999997</v>
      </c>
      <c r="AQ920" s="76">
        <v>0.96499999999999997</v>
      </c>
      <c r="AR920" s="76">
        <v>0.96499999999999997</v>
      </c>
      <c r="AS920" s="76">
        <v>0.96499999999999997</v>
      </c>
      <c r="AT920" s="76">
        <v>0.96499999999999997</v>
      </c>
      <c r="AU920" s="76">
        <v>0.96499999999999997</v>
      </c>
      <c r="AV920" s="76">
        <v>0.96499999999999997</v>
      </c>
      <c r="AW920" s="76">
        <v>0.96499999999999997</v>
      </c>
      <c r="AX920" s="84">
        <v>0.96499999999999997</v>
      </c>
    </row>
    <row r="921" spans="1:50" x14ac:dyDescent="0.25">
      <c r="A921" s="356"/>
      <c r="B921" s="368"/>
      <c r="C921" s="360"/>
      <c r="D921" s="59" t="s">
        <v>20</v>
      </c>
      <c r="E921" s="166" t="str">
        <f>A919&amp;"/"&amp;B919&amp;"/"&amp;C919&amp;"/"&amp;D921</f>
        <v>Fuel cells/Natural gas fuel cell power plant/Electricity only/XS</v>
      </c>
      <c r="F921" s="79" t="str">
        <f>A919</f>
        <v>Fuel cells</v>
      </c>
      <c r="G921" s="79" t="str">
        <f>B919</f>
        <v>Natural gas fuel cell power plant</v>
      </c>
      <c r="H921" s="79" t="str">
        <f>C919</f>
        <v>Electricity only</v>
      </c>
      <c r="I921" s="167" t="str">
        <f t="shared" si="91"/>
        <v>XS</v>
      </c>
      <c r="J921" s="79" t="s">
        <v>112</v>
      </c>
      <c r="K921" s="79" t="s">
        <v>112</v>
      </c>
      <c r="L921" s="79" t="s">
        <v>112</v>
      </c>
      <c r="M921" s="79" t="s">
        <v>112</v>
      </c>
      <c r="N921" s="79" t="s">
        <v>112</v>
      </c>
      <c r="O921" s="79" t="s">
        <v>112</v>
      </c>
      <c r="P921" s="79" t="s">
        <v>112</v>
      </c>
      <c r="Q921" s="79" t="s">
        <v>112</v>
      </c>
      <c r="R921" s="79" t="s">
        <v>112</v>
      </c>
      <c r="S921" s="79" t="s">
        <v>112</v>
      </c>
      <c r="T921" s="79" t="s">
        <v>112</v>
      </c>
      <c r="U921" s="79" t="s">
        <v>112</v>
      </c>
      <c r="V921" s="79" t="s">
        <v>112</v>
      </c>
      <c r="W921" s="79" t="s">
        <v>112</v>
      </c>
      <c r="X921" s="79" t="s">
        <v>112</v>
      </c>
      <c r="Y921" s="79" t="s">
        <v>112</v>
      </c>
      <c r="Z921" s="79">
        <v>0.96499999999999997</v>
      </c>
      <c r="AA921" s="79">
        <v>0.96499999999999997</v>
      </c>
      <c r="AB921" s="79">
        <v>0.96499999999999997</v>
      </c>
      <c r="AC921" s="79">
        <v>0.96499999999999997</v>
      </c>
      <c r="AD921" s="79">
        <v>0.96499999999999997</v>
      </c>
      <c r="AE921" s="79">
        <v>0.96499999999999997</v>
      </c>
      <c r="AF921" s="79">
        <v>0.96499999999999997</v>
      </c>
      <c r="AG921" s="79">
        <v>0.96499999999999997</v>
      </c>
      <c r="AH921" s="79">
        <v>0.96499999999999997</v>
      </c>
      <c r="AI921" s="79">
        <v>0.96499999999999997</v>
      </c>
      <c r="AJ921" s="79">
        <v>0.96499999999999997</v>
      </c>
      <c r="AK921" s="79">
        <v>0.96499999999999997</v>
      </c>
      <c r="AL921" s="79">
        <v>0.96499999999999997</v>
      </c>
      <c r="AM921" s="79">
        <v>0.96499999999999997</v>
      </c>
      <c r="AN921" s="79">
        <v>0.96499999999999997</v>
      </c>
      <c r="AO921" s="79">
        <v>0.96499999999999997</v>
      </c>
      <c r="AP921" s="79">
        <v>0.96499999999999997</v>
      </c>
      <c r="AQ921" s="79">
        <v>0.96499999999999997</v>
      </c>
      <c r="AR921" s="79">
        <v>0.96499999999999997</v>
      </c>
      <c r="AS921" s="79">
        <v>0.96499999999999997</v>
      </c>
      <c r="AT921" s="79">
        <v>0.96499999999999997</v>
      </c>
      <c r="AU921" s="79">
        <v>0.96499999999999997</v>
      </c>
      <c r="AV921" s="79">
        <v>0.96499999999999997</v>
      </c>
      <c r="AW921" s="79">
        <v>0.96499999999999997</v>
      </c>
      <c r="AX921" s="87">
        <v>0.96499999999999997</v>
      </c>
    </row>
    <row r="922" spans="1:50" x14ac:dyDescent="0.25">
      <c r="A922" s="356"/>
      <c r="B922" s="359" t="s">
        <v>33</v>
      </c>
      <c r="C922" s="350" t="s">
        <v>6</v>
      </c>
      <c r="D922" s="2" t="s">
        <v>8</v>
      </c>
      <c r="E922" s="160" t="str">
        <f>A919&amp;"/"&amp;B922&amp;"/"&amp;C922&amp;"/"&amp;D922</f>
        <v>Fuel cells/Hydrogen fuel cell power plant/Electricity only/M</v>
      </c>
      <c r="F922" s="76" t="str">
        <f>A919</f>
        <v>Fuel cells</v>
      </c>
      <c r="G922" s="76" t="str">
        <f>B922</f>
        <v>Hydrogen fuel cell power plant</v>
      </c>
      <c r="H922" s="76" t="str">
        <f>C922</f>
        <v>Electricity only</v>
      </c>
      <c r="I922" s="161" t="str">
        <f t="shared" si="91"/>
        <v>M</v>
      </c>
      <c r="J922" s="76" t="s">
        <v>112</v>
      </c>
      <c r="K922" s="76" t="s">
        <v>112</v>
      </c>
      <c r="L922" s="76" t="s">
        <v>112</v>
      </c>
      <c r="M922" s="76" t="s">
        <v>112</v>
      </c>
      <c r="N922" s="76" t="s">
        <v>112</v>
      </c>
      <c r="O922" s="76" t="s">
        <v>112</v>
      </c>
      <c r="P922" s="76" t="s">
        <v>112</v>
      </c>
      <c r="Q922" s="76" t="s">
        <v>112</v>
      </c>
      <c r="R922" s="76" t="s">
        <v>112</v>
      </c>
      <c r="S922" s="76" t="s">
        <v>112</v>
      </c>
      <c r="T922" s="76" t="s">
        <v>112</v>
      </c>
      <c r="U922" s="76" t="s">
        <v>112</v>
      </c>
      <c r="V922" s="76" t="s">
        <v>112</v>
      </c>
      <c r="W922" s="76" t="s">
        <v>112</v>
      </c>
      <c r="X922" s="76" t="s">
        <v>112</v>
      </c>
      <c r="Y922" s="76" t="s">
        <v>112</v>
      </c>
      <c r="Z922" s="76" t="s">
        <v>112</v>
      </c>
      <c r="AA922" s="76" t="s">
        <v>112</v>
      </c>
      <c r="AB922" s="76" t="s">
        <v>112</v>
      </c>
      <c r="AC922" s="76" t="s">
        <v>112</v>
      </c>
      <c r="AD922" s="76" t="s">
        <v>112</v>
      </c>
      <c r="AE922" s="76" t="s">
        <v>112</v>
      </c>
      <c r="AF922" s="76" t="s">
        <v>112</v>
      </c>
      <c r="AG922" s="76">
        <v>0.96499999999999997</v>
      </c>
      <c r="AH922" s="76">
        <v>0.96499999999999997</v>
      </c>
      <c r="AI922" s="76">
        <v>0.96499999999999997</v>
      </c>
      <c r="AJ922" s="76">
        <v>0.96499999999999997</v>
      </c>
      <c r="AK922" s="76">
        <v>0.96499999999999997</v>
      </c>
      <c r="AL922" s="76">
        <v>0.96499999999999997</v>
      </c>
      <c r="AM922" s="76">
        <v>0.96499999999999997</v>
      </c>
      <c r="AN922" s="76">
        <v>0.96499999999999997</v>
      </c>
      <c r="AO922" s="76">
        <v>0.96499999999999997</v>
      </c>
      <c r="AP922" s="76">
        <v>0.96499999999999997</v>
      </c>
      <c r="AQ922" s="76">
        <v>0.96499999999999997</v>
      </c>
      <c r="AR922" s="76">
        <v>0.96499999999999997</v>
      </c>
      <c r="AS922" s="76">
        <v>0.96499999999999997</v>
      </c>
      <c r="AT922" s="76">
        <v>0.96499999999999997</v>
      </c>
      <c r="AU922" s="76">
        <v>0.96499999999999997</v>
      </c>
      <c r="AV922" s="76">
        <v>0.96499999999999997</v>
      </c>
      <c r="AW922" s="76">
        <v>0.96499999999999997</v>
      </c>
      <c r="AX922" s="84">
        <v>0.96499999999999997</v>
      </c>
    </row>
    <row r="923" spans="1:50" x14ac:dyDescent="0.25">
      <c r="A923" s="356"/>
      <c r="B923" s="359"/>
      <c r="C923" s="350"/>
      <c r="D923" s="2" t="s">
        <v>10</v>
      </c>
      <c r="E923" s="160" t="str">
        <f>A919&amp;"/"&amp;B922&amp;"/"&amp;C922&amp;"/"&amp;D923</f>
        <v>Fuel cells/Hydrogen fuel cell power plant/Electricity only/S</v>
      </c>
      <c r="F923" s="76" t="str">
        <f>A919</f>
        <v>Fuel cells</v>
      </c>
      <c r="G923" s="76" t="str">
        <f>B922</f>
        <v>Hydrogen fuel cell power plant</v>
      </c>
      <c r="H923" s="76" t="str">
        <f>C922</f>
        <v>Electricity only</v>
      </c>
      <c r="I923" s="161" t="str">
        <f t="shared" si="91"/>
        <v>S</v>
      </c>
      <c r="J923" s="76" t="s">
        <v>112</v>
      </c>
      <c r="K923" s="76" t="s">
        <v>112</v>
      </c>
      <c r="L923" s="76" t="s">
        <v>112</v>
      </c>
      <c r="M923" s="76" t="s">
        <v>112</v>
      </c>
      <c r="N923" s="76" t="s">
        <v>112</v>
      </c>
      <c r="O923" s="76" t="s">
        <v>112</v>
      </c>
      <c r="P923" s="76" t="s">
        <v>112</v>
      </c>
      <c r="Q923" s="76" t="s">
        <v>112</v>
      </c>
      <c r="R923" s="76" t="s">
        <v>112</v>
      </c>
      <c r="S923" s="76" t="s">
        <v>112</v>
      </c>
      <c r="T923" s="76" t="s">
        <v>112</v>
      </c>
      <c r="U923" s="76" t="s">
        <v>112</v>
      </c>
      <c r="V923" s="76" t="s">
        <v>112</v>
      </c>
      <c r="W923" s="76" t="s">
        <v>112</v>
      </c>
      <c r="X923" s="76" t="s">
        <v>112</v>
      </c>
      <c r="Y923" s="76" t="s">
        <v>112</v>
      </c>
      <c r="Z923" s="76" t="s">
        <v>112</v>
      </c>
      <c r="AA923" s="76" t="s">
        <v>112</v>
      </c>
      <c r="AB923" s="76" t="s">
        <v>112</v>
      </c>
      <c r="AC923" s="76" t="s">
        <v>112</v>
      </c>
      <c r="AD923" s="76" t="s">
        <v>112</v>
      </c>
      <c r="AE923" s="76">
        <v>0.96499999999999997</v>
      </c>
      <c r="AF923" s="76">
        <v>0.96499999999999997</v>
      </c>
      <c r="AG923" s="76">
        <v>0.96499999999999997</v>
      </c>
      <c r="AH923" s="76">
        <v>0.96499999999999997</v>
      </c>
      <c r="AI923" s="76">
        <v>0.96499999999999997</v>
      </c>
      <c r="AJ923" s="76">
        <v>0.96499999999999997</v>
      </c>
      <c r="AK923" s="76">
        <v>0.96499999999999997</v>
      </c>
      <c r="AL923" s="76">
        <v>0.96499999999999997</v>
      </c>
      <c r="AM923" s="76">
        <v>0.96499999999999997</v>
      </c>
      <c r="AN923" s="76">
        <v>0.96499999999999997</v>
      </c>
      <c r="AO923" s="76">
        <v>0.96499999999999997</v>
      </c>
      <c r="AP923" s="76">
        <v>0.96499999999999997</v>
      </c>
      <c r="AQ923" s="76">
        <v>0.96499999999999997</v>
      </c>
      <c r="AR923" s="76">
        <v>0.96499999999999997</v>
      </c>
      <c r="AS923" s="76">
        <v>0.96499999999999997</v>
      </c>
      <c r="AT923" s="76">
        <v>0.96499999999999997</v>
      </c>
      <c r="AU923" s="76">
        <v>0.96499999999999997</v>
      </c>
      <c r="AV923" s="76">
        <v>0.96499999999999997</v>
      </c>
      <c r="AW923" s="76">
        <v>0.96499999999999997</v>
      </c>
      <c r="AX923" s="84">
        <v>0.96499999999999997</v>
      </c>
    </row>
    <row r="924" spans="1:50" x14ac:dyDescent="0.25">
      <c r="A924" s="357"/>
      <c r="B924" s="362"/>
      <c r="C924" s="354"/>
      <c r="D924" s="4" t="s">
        <v>20</v>
      </c>
      <c r="E924" s="160" t="str">
        <f>A919&amp;"/"&amp;B922&amp;"/"&amp;C922&amp;"/"&amp;D924</f>
        <v>Fuel cells/Hydrogen fuel cell power plant/Electricity only/XS</v>
      </c>
      <c r="F924" s="76" t="str">
        <f>A919</f>
        <v>Fuel cells</v>
      </c>
      <c r="G924" s="76" t="str">
        <f>B922</f>
        <v>Hydrogen fuel cell power plant</v>
      </c>
      <c r="H924" s="76" t="str">
        <f>C922</f>
        <v>Electricity only</v>
      </c>
      <c r="I924" s="161" t="str">
        <f t="shared" si="91"/>
        <v>XS</v>
      </c>
      <c r="J924" s="76" t="s">
        <v>112</v>
      </c>
      <c r="K924" s="76" t="s">
        <v>112</v>
      </c>
      <c r="L924" s="76" t="s">
        <v>112</v>
      </c>
      <c r="M924" s="76" t="s">
        <v>112</v>
      </c>
      <c r="N924" s="76" t="s">
        <v>112</v>
      </c>
      <c r="O924" s="76" t="s">
        <v>112</v>
      </c>
      <c r="P924" s="76" t="s">
        <v>112</v>
      </c>
      <c r="Q924" s="76" t="s">
        <v>112</v>
      </c>
      <c r="R924" s="76" t="s">
        <v>112</v>
      </c>
      <c r="S924" s="76" t="s">
        <v>112</v>
      </c>
      <c r="T924" s="76" t="s">
        <v>112</v>
      </c>
      <c r="U924" s="76" t="s">
        <v>112</v>
      </c>
      <c r="V924" s="76" t="s">
        <v>112</v>
      </c>
      <c r="W924" s="76" t="s">
        <v>112</v>
      </c>
      <c r="X924" s="76" t="s">
        <v>112</v>
      </c>
      <c r="Y924" s="76" t="s">
        <v>112</v>
      </c>
      <c r="Z924" s="76" t="s">
        <v>112</v>
      </c>
      <c r="AA924" s="76" t="s">
        <v>112</v>
      </c>
      <c r="AB924" s="76">
        <v>0.96499999999999997</v>
      </c>
      <c r="AC924" s="76">
        <v>0.96499999999999997</v>
      </c>
      <c r="AD924" s="76">
        <v>0.96499999999999997</v>
      </c>
      <c r="AE924" s="76">
        <v>0.96499999999999997</v>
      </c>
      <c r="AF924" s="76">
        <v>0.96499999999999997</v>
      </c>
      <c r="AG924" s="76">
        <v>0.96499999999999997</v>
      </c>
      <c r="AH924" s="76">
        <v>0.96499999999999997</v>
      </c>
      <c r="AI924" s="76">
        <v>0.96499999999999997</v>
      </c>
      <c r="AJ924" s="76">
        <v>0.96499999999999997</v>
      </c>
      <c r="AK924" s="76">
        <v>0.96499999999999997</v>
      </c>
      <c r="AL924" s="76">
        <v>0.96499999999999997</v>
      </c>
      <c r="AM924" s="76">
        <v>0.96499999999999997</v>
      </c>
      <c r="AN924" s="76">
        <v>0.96499999999999997</v>
      </c>
      <c r="AO924" s="76">
        <v>0.96499999999999997</v>
      </c>
      <c r="AP924" s="76">
        <v>0.96499999999999997</v>
      </c>
      <c r="AQ924" s="76">
        <v>0.96499999999999997</v>
      </c>
      <c r="AR924" s="76">
        <v>0.96499999999999997</v>
      </c>
      <c r="AS924" s="76">
        <v>0.96499999999999997</v>
      </c>
      <c r="AT924" s="76">
        <v>0.96499999999999997</v>
      </c>
      <c r="AU924" s="76">
        <v>0.96499999999999997</v>
      </c>
      <c r="AV924" s="76">
        <v>0.96499999999999997</v>
      </c>
      <c r="AW924" s="76">
        <v>0.96499999999999997</v>
      </c>
      <c r="AX924" s="84">
        <v>0.96499999999999997</v>
      </c>
    </row>
    <row r="925" spans="1:50" x14ac:dyDescent="0.25">
      <c r="A925" s="355" t="s">
        <v>34</v>
      </c>
      <c r="B925" s="358" t="s">
        <v>35</v>
      </c>
      <c r="C925" s="353" t="s">
        <v>6</v>
      </c>
      <c r="D925" s="3" t="s">
        <v>7</v>
      </c>
      <c r="E925" s="162" t="str">
        <f>A925&amp;"/"&amp;B925&amp;"/"&amp;C925&amp;"/"&amp;D925</f>
        <v>Wind power plants/Onshore/Electricity only/L</v>
      </c>
      <c r="F925" s="77" t="str">
        <f>A925</f>
        <v>Wind power plants</v>
      </c>
      <c r="G925" s="77" t="str">
        <f>B925</f>
        <v>Onshore</v>
      </c>
      <c r="H925" s="77" t="str">
        <f>C925</f>
        <v>Electricity only</v>
      </c>
      <c r="I925" s="163" t="str">
        <f t="shared" si="91"/>
        <v>L</v>
      </c>
      <c r="J925" s="77">
        <v>0.96999999999999986</v>
      </c>
      <c r="K925" s="77">
        <v>0.96999999999999986</v>
      </c>
      <c r="L925" s="77">
        <v>0.96999999999999986</v>
      </c>
      <c r="M925" s="77">
        <v>0.96999999999999986</v>
      </c>
      <c r="N925" s="77">
        <v>0.96999999999999986</v>
      </c>
      <c r="O925" s="77">
        <v>0.96999999999999986</v>
      </c>
      <c r="P925" s="77">
        <v>0.96999999999999986</v>
      </c>
      <c r="Q925" s="77">
        <v>0.96999999999999986</v>
      </c>
      <c r="R925" s="77">
        <v>0.96999999999999986</v>
      </c>
      <c r="S925" s="77">
        <v>0.96999999999999986</v>
      </c>
      <c r="T925" s="77">
        <v>0.96999999999999986</v>
      </c>
      <c r="U925" s="77">
        <v>0.96999999999999986</v>
      </c>
      <c r="V925" s="77">
        <v>0.96999999999999986</v>
      </c>
      <c r="W925" s="77">
        <v>0.96999999999999986</v>
      </c>
      <c r="X925" s="77">
        <v>0.96999999999999986</v>
      </c>
      <c r="Y925" s="77">
        <v>0.96999999999999986</v>
      </c>
      <c r="Z925" s="77">
        <v>0.96999999999999986</v>
      </c>
      <c r="AA925" s="77">
        <v>0.96999999999999986</v>
      </c>
      <c r="AB925" s="77">
        <v>0.96999999999999986</v>
      </c>
      <c r="AC925" s="77">
        <v>0.96999999999999986</v>
      </c>
      <c r="AD925" s="77">
        <v>0.96999999999999986</v>
      </c>
      <c r="AE925" s="77">
        <v>0.96999999999999986</v>
      </c>
      <c r="AF925" s="77">
        <v>0.96999999999999986</v>
      </c>
      <c r="AG925" s="77">
        <v>0.96999999999999986</v>
      </c>
      <c r="AH925" s="77">
        <v>0.96999999999999986</v>
      </c>
      <c r="AI925" s="77">
        <v>0.96999999999999986</v>
      </c>
      <c r="AJ925" s="77">
        <v>0.96999999999999986</v>
      </c>
      <c r="AK925" s="77">
        <v>0.96999999999999986</v>
      </c>
      <c r="AL925" s="77">
        <v>0.96999999999999986</v>
      </c>
      <c r="AM925" s="77">
        <v>0.96999999999999986</v>
      </c>
      <c r="AN925" s="77">
        <v>0.96999999999999986</v>
      </c>
      <c r="AO925" s="77">
        <v>0.96999999999999986</v>
      </c>
      <c r="AP925" s="77">
        <v>0.96999999999999986</v>
      </c>
      <c r="AQ925" s="77">
        <v>0.96999999999999986</v>
      </c>
      <c r="AR925" s="77">
        <v>0.96999999999999986</v>
      </c>
      <c r="AS925" s="77">
        <v>0.96999999999999986</v>
      </c>
      <c r="AT925" s="77">
        <v>0.96999999999999986</v>
      </c>
      <c r="AU925" s="77">
        <v>0.96999999999999986</v>
      </c>
      <c r="AV925" s="77">
        <v>0.96999999999999986</v>
      </c>
      <c r="AW925" s="77">
        <v>0.96999999999999986</v>
      </c>
      <c r="AX925" s="85">
        <v>0.96999999999999986</v>
      </c>
    </row>
    <row r="926" spans="1:50" x14ac:dyDescent="0.25">
      <c r="A926" s="356"/>
      <c r="B926" s="359"/>
      <c r="C926" s="350"/>
      <c r="D926" s="2" t="s">
        <v>8</v>
      </c>
      <c r="E926" s="160" t="str">
        <f>A925&amp;"/"&amp;B925&amp;"/"&amp;C925&amp;"/"&amp;D926</f>
        <v>Wind power plants/Onshore/Electricity only/M</v>
      </c>
      <c r="F926" s="76" t="str">
        <f>A925</f>
        <v>Wind power plants</v>
      </c>
      <c r="G926" s="76" t="str">
        <f>B925</f>
        <v>Onshore</v>
      </c>
      <c r="H926" s="76" t="str">
        <f>C925</f>
        <v>Electricity only</v>
      </c>
      <c r="I926" s="161" t="str">
        <f t="shared" si="91"/>
        <v>M</v>
      </c>
      <c r="J926" s="76">
        <v>0.96999999999999986</v>
      </c>
      <c r="K926" s="76">
        <v>0.96999999999999986</v>
      </c>
      <c r="L926" s="76">
        <v>0.96999999999999986</v>
      </c>
      <c r="M926" s="76">
        <v>0.96999999999999986</v>
      </c>
      <c r="N926" s="76">
        <v>0.96999999999999986</v>
      </c>
      <c r="O926" s="76">
        <v>0.96999999999999986</v>
      </c>
      <c r="P926" s="76">
        <v>0.96999999999999986</v>
      </c>
      <c r="Q926" s="76">
        <v>0.96999999999999986</v>
      </c>
      <c r="R926" s="76">
        <v>0.96999999999999986</v>
      </c>
      <c r="S926" s="76">
        <v>0.96999999999999986</v>
      </c>
      <c r="T926" s="76">
        <v>0.96999999999999986</v>
      </c>
      <c r="U926" s="76">
        <v>0.96999999999999986</v>
      </c>
      <c r="V926" s="76">
        <v>0.96999999999999986</v>
      </c>
      <c r="W926" s="76">
        <v>0.96999999999999986</v>
      </c>
      <c r="X926" s="76">
        <v>0.96999999999999986</v>
      </c>
      <c r="Y926" s="76">
        <v>0.96999999999999986</v>
      </c>
      <c r="Z926" s="76">
        <v>0.96999999999999986</v>
      </c>
      <c r="AA926" s="76">
        <v>0.96999999999999986</v>
      </c>
      <c r="AB926" s="76">
        <v>0.96999999999999986</v>
      </c>
      <c r="AC926" s="76">
        <v>0.96999999999999986</v>
      </c>
      <c r="AD926" s="76">
        <v>0.96999999999999986</v>
      </c>
      <c r="AE926" s="76">
        <v>0.96999999999999986</v>
      </c>
      <c r="AF926" s="76">
        <v>0.96999999999999986</v>
      </c>
      <c r="AG926" s="76">
        <v>0.96999999999999986</v>
      </c>
      <c r="AH926" s="76">
        <v>0.96999999999999986</v>
      </c>
      <c r="AI926" s="76">
        <v>0.96999999999999986</v>
      </c>
      <c r="AJ926" s="76">
        <v>0.96999999999999986</v>
      </c>
      <c r="AK926" s="76">
        <v>0.96999999999999986</v>
      </c>
      <c r="AL926" s="76">
        <v>0.96999999999999986</v>
      </c>
      <c r="AM926" s="76">
        <v>0.96999999999999986</v>
      </c>
      <c r="AN926" s="76">
        <v>0.96999999999999986</v>
      </c>
      <c r="AO926" s="76">
        <v>0.96999999999999986</v>
      </c>
      <c r="AP926" s="76">
        <v>0.96999999999999986</v>
      </c>
      <c r="AQ926" s="76">
        <v>0.96999999999999986</v>
      </c>
      <c r="AR926" s="76">
        <v>0.96999999999999986</v>
      </c>
      <c r="AS926" s="76">
        <v>0.96999999999999986</v>
      </c>
      <c r="AT926" s="76">
        <v>0.96999999999999986</v>
      </c>
      <c r="AU926" s="76">
        <v>0.96999999999999986</v>
      </c>
      <c r="AV926" s="76">
        <v>0.96999999999999986</v>
      </c>
      <c r="AW926" s="76">
        <v>0.96999999999999986</v>
      </c>
      <c r="AX926" s="84">
        <v>0.96999999999999986</v>
      </c>
    </row>
    <row r="927" spans="1:50" x14ac:dyDescent="0.25">
      <c r="A927" s="356"/>
      <c r="B927" s="359"/>
      <c r="C927" s="350"/>
      <c r="D927" s="2" t="s">
        <v>10</v>
      </c>
      <c r="E927" s="160" t="str">
        <f>A925&amp;"/"&amp;B925&amp;"/"&amp;C925&amp;"/"&amp;D927</f>
        <v>Wind power plants/Onshore/Electricity only/S</v>
      </c>
      <c r="F927" s="76" t="str">
        <f>A925</f>
        <v>Wind power plants</v>
      </c>
      <c r="G927" s="76" t="str">
        <f>B925</f>
        <v>Onshore</v>
      </c>
      <c r="H927" s="76" t="str">
        <f>C925</f>
        <v>Electricity only</v>
      </c>
      <c r="I927" s="161" t="str">
        <f t="shared" si="91"/>
        <v>S</v>
      </c>
      <c r="J927" s="76">
        <v>0.96999999999999986</v>
      </c>
      <c r="K927" s="76">
        <v>0.96999999999999986</v>
      </c>
      <c r="L927" s="76">
        <v>0.96999999999999986</v>
      </c>
      <c r="M927" s="76">
        <v>0.96999999999999986</v>
      </c>
      <c r="N927" s="76">
        <v>0.96999999999999986</v>
      </c>
      <c r="O927" s="76">
        <v>0.96999999999999986</v>
      </c>
      <c r="P927" s="76">
        <v>0.96999999999999986</v>
      </c>
      <c r="Q927" s="76">
        <v>0.96999999999999986</v>
      </c>
      <c r="R927" s="76">
        <v>0.96999999999999986</v>
      </c>
      <c r="S927" s="76">
        <v>0.96999999999999986</v>
      </c>
      <c r="T927" s="76">
        <v>0.96999999999999986</v>
      </c>
      <c r="U927" s="76">
        <v>0.96999999999999986</v>
      </c>
      <c r="V927" s="76">
        <v>0.96999999999999986</v>
      </c>
      <c r="W927" s="76">
        <v>0.96999999999999986</v>
      </c>
      <c r="X927" s="76">
        <v>0.96999999999999986</v>
      </c>
      <c r="Y927" s="76">
        <v>0.96999999999999986</v>
      </c>
      <c r="Z927" s="76">
        <v>0.96999999999999986</v>
      </c>
      <c r="AA927" s="76">
        <v>0.96999999999999986</v>
      </c>
      <c r="AB927" s="76">
        <v>0.96999999999999986</v>
      </c>
      <c r="AC927" s="76">
        <v>0.96999999999999986</v>
      </c>
      <c r="AD927" s="76">
        <v>0.96999999999999986</v>
      </c>
      <c r="AE927" s="76">
        <v>0.96999999999999986</v>
      </c>
      <c r="AF927" s="76">
        <v>0.96999999999999986</v>
      </c>
      <c r="AG927" s="76">
        <v>0.96999999999999986</v>
      </c>
      <c r="AH927" s="76">
        <v>0.96999999999999986</v>
      </c>
      <c r="AI927" s="76">
        <v>0.96999999999999986</v>
      </c>
      <c r="AJ927" s="76">
        <v>0.96999999999999986</v>
      </c>
      <c r="AK927" s="76">
        <v>0.96999999999999986</v>
      </c>
      <c r="AL927" s="76">
        <v>0.96999999999999986</v>
      </c>
      <c r="AM927" s="76">
        <v>0.96999999999999986</v>
      </c>
      <c r="AN927" s="76">
        <v>0.96999999999999986</v>
      </c>
      <c r="AO927" s="76">
        <v>0.96999999999999986</v>
      </c>
      <c r="AP927" s="76">
        <v>0.96999999999999986</v>
      </c>
      <c r="AQ927" s="76">
        <v>0.96999999999999986</v>
      </c>
      <c r="AR927" s="76">
        <v>0.96999999999999986</v>
      </c>
      <c r="AS927" s="76">
        <v>0.96999999999999986</v>
      </c>
      <c r="AT927" s="76">
        <v>0.96999999999999986</v>
      </c>
      <c r="AU927" s="76">
        <v>0.96999999999999986</v>
      </c>
      <c r="AV927" s="76">
        <v>0.96999999999999986</v>
      </c>
      <c r="AW927" s="76">
        <v>0.96999999999999986</v>
      </c>
      <c r="AX927" s="84">
        <v>0.96999999999999986</v>
      </c>
    </row>
    <row r="928" spans="1:50" x14ac:dyDescent="0.25">
      <c r="A928" s="356"/>
      <c r="B928" s="368"/>
      <c r="C928" s="360"/>
      <c r="D928" s="59" t="s">
        <v>20</v>
      </c>
      <c r="E928" s="166" t="str">
        <f>A925&amp;"/"&amp;B925&amp;"/"&amp;C925&amp;"/"&amp;D928</f>
        <v>Wind power plants/Onshore/Electricity only/XS</v>
      </c>
      <c r="F928" s="79" t="str">
        <f>A925</f>
        <v>Wind power plants</v>
      </c>
      <c r="G928" s="79" t="str">
        <f>B925</f>
        <v>Onshore</v>
      </c>
      <c r="H928" s="79" t="str">
        <f>C925</f>
        <v>Electricity only</v>
      </c>
      <c r="I928" s="167" t="str">
        <f t="shared" si="91"/>
        <v>XS</v>
      </c>
      <c r="J928" s="79">
        <v>0.96999999999999986</v>
      </c>
      <c r="K928" s="79">
        <v>0.96999999999999986</v>
      </c>
      <c r="L928" s="79">
        <v>0.96999999999999986</v>
      </c>
      <c r="M928" s="79">
        <v>0.96999999999999986</v>
      </c>
      <c r="N928" s="79">
        <v>0.96999999999999986</v>
      </c>
      <c r="O928" s="79">
        <v>0.96999999999999986</v>
      </c>
      <c r="P928" s="79">
        <v>0.96999999999999986</v>
      </c>
      <c r="Q928" s="79">
        <v>0.96999999999999986</v>
      </c>
      <c r="R928" s="79">
        <v>0.96999999999999986</v>
      </c>
      <c r="S928" s="79">
        <v>0.96999999999999986</v>
      </c>
      <c r="T928" s="79">
        <v>0.96999999999999986</v>
      </c>
      <c r="U928" s="79">
        <v>0.96999999999999986</v>
      </c>
      <c r="V928" s="79">
        <v>0.96999999999999986</v>
      </c>
      <c r="W928" s="79">
        <v>0.96999999999999986</v>
      </c>
      <c r="X928" s="79">
        <v>0.96999999999999986</v>
      </c>
      <c r="Y928" s="79">
        <v>0.96999999999999986</v>
      </c>
      <c r="Z928" s="79">
        <v>0.96999999999999986</v>
      </c>
      <c r="AA928" s="79">
        <v>0.96999999999999986</v>
      </c>
      <c r="AB928" s="79">
        <v>0.96999999999999986</v>
      </c>
      <c r="AC928" s="79">
        <v>0.96999999999999986</v>
      </c>
      <c r="AD928" s="79">
        <v>0.96999999999999986</v>
      </c>
      <c r="AE928" s="79">
        <v>0.96999999999999986</v>
      </c>
      <c r="AF928" s="79">
        <v>0.96999999999999986</v>
      </c>
      <c r="AG928" s="79">
        <v>0.96999999999999986</v>
      </c>
      <c r="AH928" s="79">
        <v>0.96999999999999986</v>
      </c>
      <c r="AI928" s="79">
        <v>0.96999999999999986</v>
      </c>
      <c r="AJ928" s="79">
        <v>0.96999999999999986</v>
      </c>
      <c r="AK928" s="79">
        <v>0.96999999999999986</v>
      </c>
      <c r="AL928" s="79">
        <v>0.96999999999999986</v>
      </c>
      <c r="AM928" s="79">
        <v>0.96999999999999986</v>
      </c>
      <c r="AN928" s="79">
        <v>0.96999999999999986</v>
      </c>
      <c r="AO928" s="79">
        <v>0.96999999999999986</v>
      </c>
      <c r="AP928" s="79">
        <v>0.96999999999999986</v>
      </c>
      <c r="AQ928" s="79">
        <v>0.96999999999999986</v>
      </c>
      <c r="AR928" s="79">
        <v>0.96999999999999986</v>
      </c>
      <c r="AS928" s="79">
        <v>0.96999999999999986</v>
      </c>
      <c r="AT928" s="79">
        <v>0.96999999999999986</v>
      </c>
      <c r="AU928" s="79">
        <v>0.96999999999999986</v>
      </c>
      <c r="AV928" s="79">
        <v>0.96999999999999986</v>
      </c>
      <c r="AW928" s="79">
        <v>0.96999999999999986</v>
      </c>
      <c r="AX928" s="87">
        <v>0.96999999999999986</v>
      </c>
    </row>
    <row r="929" spans="1:50" x14ac:dyDescent="0.25">
      <c r="A929" s="356"/>
      <c r="B929" s="359" t="s">
        <v>36</v>
      </c>
      <c r="C929" s="361" t="s">
        <v>6</v>
      </c>
      <c r="D929" s="2" t="s">
        <v>7</v>
      </c>
      <c r="E929" s="160" t="str">
        <f>A925&amp;"/"&amp;B929&amp;"/"&amp;C929&amp;"/"&amp;D929</f>
        <v>Wind power plants/Offshore/Electricity only/L</v>
      </c>
      <c r="F929" s="76" t="str">
        <f>A925</f>
        <v>Wind power plants</v>
      </c>
      <c r="G929" s="76" t="str">
        <f>B929</f>
        <v>Offshore</v>
      </c>
      <c r="H929" s="76" t="str">
        <f>C929</f>
        <v>Electricity only</v>
      </c>
      <c r="I929" s="161" t="str">
        <f t="shared" si="91"/>
        <v>L</v>
      </c>
      <c r="J929" s="76">
        <v>0.95</v>
      </c>
      <c r="K929" s="76">
        <v>0.95</v>
      </c>
      <c r="L929" s="76">
        <v>0.95</v>
      </c>
      <c r="M929" s="76">
        <v>0.95</v>
      </c>
      <c r="N929" s="76">
        <v>0.95</v>
      </c>
      <c r="O929" s="76">
        <v>0.95</v>
      </c>
      <c r="P929" s="76">
        <v>0.95</v>
      </c>
      <c r="Q929" s="76">
        <v>0.95</v>
      </c>
      <c r="R929" s="76">
        <v>0.95</v>
      </c>
      <c r="S929" s="76">
        <v>0.95</v>
      </c>
      <c r="T929" s="76">
        <v>0.95</v>
      </c>
      <c r="U929" s="76">
        <v>0.95</v>
      </c>
      <c r="V929" s="76">
        <v>0.95</v>
      </c>
      <c r="W929" s="76">
        <v>0.95</v>
      </c>
      <c r="X929" s="76">
        <v>0.95</v>
      </c>
      <c r="Y929" s="76">
        <v>0.95</v>
      </c>
      <c r="Z929" s="76">
        <v>0.95</v>
      </c>
      <c r="AA929" s="76">
        <v>0.95</v>
      </c>
      <c r="AB929" s="76">
        <v>0.95</v>
      </c>
      <c r="AC929" s="76">
        <v>0.95</v>
      </c>
      <c r="AD929" s="76">
        <v>0.95</v>
      </c>
      <c r="AE929" s="76">
        <v>0.95</v>
      </c>
      <c r="AF929" s="76">
        <v>0.95</v>
      </c>
      <c r="AG929" s="76">
        <v>0.95</v>
      </c>
      <c r="AH929" s="76">
        <v>0.95</v>
      </c>
      <c r="AI929" s="76">
        <v>0.95</v>
      </c>
      <c r="AJ929" s="76">
        <v>0.95</v>
      </c>
      <c r="AK929" s="76">
        <v>0.95</v>
      </c>
      <c r="AL929" s="76">
        <v>0.95</v>
      </c>
      <c r="AM929" s="76">
        <v>0.95</v>
      </c>
      <c r="AN929" s="76">
        <v>0.95</v>
      </c>
      <c r="AO929" s="76">
        <v>0.95</v>
      </c>
      <c r="AP929" s="76">
        <v>0.95</v>
      </c>
      <c r="AQ929" s="76">
        <v>0.95</v>
      </c>
      <c r="AR929" s="76">
        <v>0.95</v>
      </c>
      <c r="AS929" s="76">
        <v>0.95</v>
      </c>
      <c r="AT929" s="76">
        <v>0.95</v>
      </c>
      <c r="AU929" s="76">
        <v>0.95</v>
      </c>
      <c r="AV929" s="76">
        <v>0.95</v>
      </c>
      <c r="AW929" s="76">
        <v>0.95</v>
      </c>
      <c r="AX929" s="84">
        <v>0.95</v>
      </c>
    </row>
    <row r="930" spans="1:50" x14ac:dyDescent="0.25">
      <c r="A930" s="356"/>
      <c r="B930" s="359"/>
      <c r="C930" s="350"/>
      <c r="D930" s="2" t="s">
        <v>8</v>
      </c>
      <c r="E930" s="160" t="str">
        <f>A925&amp;"/"&amp;B929&amp;"/"&amp;C929&amp;"/"&amp;D930</f>
        <v>Wind power plants/Offshore/Electricity only/M</v>
      </c>
      <c r="F930" s="76" t="str">
        <f>A925</f>
        <v>Wind power plants</v>
      </c>
      <c r="G930" s="76" t="str">
        <f>B929</f>
        <v>Offshore</v>
      </c>
      <c r="H930" s="76" t="str">
        <f>C929</f>
        <v>Electricity only</v>
      </c>
      <c r="I930" s="161" t="str">
        <f t="shared" si="91"/>
        <v>M</v>
      </c>
      <c r="J930" s="76">
        <v>0.95</v>
      </c>
      <c r="K930" s="76">
        <v>0.95</v>
      </c>
      <c r="L930" s="76">
        <v>0.95</v>
      </c>
      <c r="M930" s="76">
        <v>0.95</v>
      </c>
      <c r="N930" s="76">
        <v>0.95</v>
      </c>
      <c r="O930" s="76">
        <v>0.95</v>
      </c>
      <c r="P930" s="76">
        <v>0.95</v>
      </c>
      <c r="Q930" s="76">
        <v>0.95</v>
      </c>
      <c r="R930" s="76">
        <v>0.95</v>
      </c>
      <c r="S930" s="76">
        <v>0.95</v>
      </c>
      <c r="T930" s="76">
        <v>0.95</v>
      </c>
      <c r="U930" s="76">
        <v>0.95</v>
      </c>
      <c r="V930" s="76">
        <v>0.95</v>
      </c>
      <c r="W930" s="76">
        <v>0.95</v>
      </c>
      <c r="X930" s="76">
        <v>0.95</v>
      </c>
      <c r="Y930" s="76">
        <v>0.95</v>
      </c>
      <c r="Z930" s="76">
        <v>0.95</v>
      </c>
      <c r="AA930" s="76">
        <v>0.95</v>
      </c>
      <c r="AB930" s="76">
        <v>0.95</v>
      </c>
      <c r="AC930" s="76">
        <v>0.95</v>
      </c>
      <c r="AD930" s="76">
        <v>0.95</v>
      </c>
      <c r="AE930" s="76">
        <v>0.95</v>
      </c>
      <c r="AF930" s="76">
        <v>0.95</v>
      </c>
      <c r="AG930" s="76">
        <v>0.95</v>
      </c>
      <c r="AH930" s="76">
        <v>0.95</v>
      </c>
      <c r="AI930" s="76">
        <v>0.95</v>
      </c>
      <c r="AJ930" s="76">
        <v>0.95</v>
      </c>
      <c r="AK930" s="76">
        <v>0.95</v>
      </c>
      <c r="AL930" s="76">
        <v>0.95</v>
      </c>
      <c r="AM930" s="76">
        <v>0.95</v>
      </c>
      <c r="AN930" s="76">
        <v>0.95</v>
      </c>
      <c r="AO930" s="76">
        <v>0.95</v>
      </c>
      <c r="AP930" s="76">
        <v>0.95</v>
      </c>
      <c r="AQ930" s="76">
        <v>0.95</v>
      </c>
      <c r="AR930" s="76">
        <v>0.95</v>
      </c>
      <c r="AS930" s="76">
        <v>0.95</v>
      </c>
      <c r="AT930" s="76">
        <v>0.95</v>
      </c>
      <c r="AU930" s="76">
        <v>0.95</v>
      </c>
      <c r="AV930" s="76">
        <v>0.95</v>
      </c>
      <c r="AW930" s="76">
        <v>0.95</v>
      </c>
      <c r="AX930" s="84">
        <v>0.95</v>
      </c>
    </row>
    <row r="931" spans="1:50" x14ac:dyDescent="0.25">
      <c r="A931" s="356"/>
      <c r="B931" s="359"/>
      <c r="C931" s="350"/>
      <c r="D931" s="2" t="s">
        <v>10</v>
      </c>
      <c r="E931" s="160" t="str">
        <f>A925&amp;"/"&amp;B929&amp;"/"&amp;C929&amp;"/"&amp;D931</f>
        <v>Wind power plants/Offshore/Electricity only/S</v>
      </c>
      <c r="F931" s="76" t="str">
        <f>A925</f>
        <v>Wind power plants</v>
      </c>
      <c r="G931" s="76" t="str">
        <f>B929</f>
        <v>Offshore</v>
      </c>
      <c r="H931" s="76" t="str">
        <f>C929</f>
        <v>Electricity only</v>
      </c>
      <c r="I931" s="161" t="str">
        <f t="shared" si="91"/>
        <v>S</v>
      </c>
      <c r="J931" s="76">
        <v>0.95</v>
      </c>
      <c r="K931" s="76">
        <v>0.95</v>
      </c>
      <c r="L931" s="76">
        <v>0.95</v>
      </c>
      <c r="M931" s="76">
        <v>0.95</v>
      </c>
      <c r="N931" s="76">
        <v>0.95</v>
      </c>
      <c r="O931" s="76">
        <v>0.95</v>
      </c>
      <c r="P931" s="76">
        <v>0.95</v>
      </c>
      <c r="Q931" s="76">
        <v>0.95</v>
      </c>
      <c r="R931" s="76">
        <v>0.95</v>
      </c>
      <c r="S931" s="76">
        <v>0.95</v>
      </c>
      <c r="T931" s="76">
        <v>0.95</v>
      </c>
      <c r="U931" s="76">
        <v>0.95</v>
      </c>
      <c r="V931" s="76">
        <v>0.95</v>
      </c>
      <c r="W931" s="76">
        <v>0.95</v>
      </c>
      <c r="X931" s="76">
        <v>0.95</v>
      </c>
      <c r="Y931" s="76">
        <v>0.95</v>
      </c>
      <c r="Z931" s="76">
        <v>0.95</v>
      </c>
      <c r="AA931" s="76">
        <v>0.95</v>
      </c>
      <c r="AB931" s="76">
        <v>0.95</v>
      </c>
      <c r="AC931" s="76">
        <v>0.95</v>
      </c>
      <c r="AD931" s="76">
        <v>0.95</v>
      </c>
      <c r="AE931" s="76">
        <v>0.95</v>
      </c>
      <c r="AF931" s="76">
        <v>0.95</v>
      </c>
      <c r="AG931" s="76">
        <v>0.95</v>
      </c>
      <c r="AH931" s="76">
        <v>0.95</v>
      </c>
      <c r="AI931" s="76">
        <v>0.95</v>
      </c>
      <c r="AJ931" s="76">
        <v>0.95</v>
      </c>
      <c r="AK931" s="76">
        <v>0.95</v>
      </c>
      <c r="AL931" s="76">
        <v>0.95</v>
      </c>
      <c r="AM931" s="76">
        <v>0.95</v>
      </c>
      <c r="AN931" s="76">
        <v>0.95</v>
      </c>
      <c r="AO931" s="76">
        <v>0.95</v>
      </c>
      <c r="AP931" s="76">
        <v>0.95</v>
      </c>
      <c r="AQ931" s="76">
        <v>0.95</v>
      </c>
      <c r="AR931" s="76">
        <v>0.95</v>
      </c>
      <c r="AS931" s="76">
        <v>0.95</v>
      </c>
      <c r="AT931" s="76">
        <v>0.95</v>
      </c>
      <c r="AU931" s="76">
        <v>0.95</v>
      </c>
      <c r="AV931" s="76">
        <v>0.95</v>
      </c>
      <c r="AW931" s="76">
        <v>0.95</v>
      </c>
      <c r="AX931" s="84">
        <v>0.95</v>
      </c>
    </row>
    <row r="932" spans="1:50" x14ac:dyDescent="0.25">
      <c r="A932" s="357"/>
      <c r="B932" s="362"/>
      <c r="C932" s="354"/>
      <c r="D932" s="4" t="s">
        <v>20</v>
      </c>
      <c r="E932" s="168" t="str">
        <f>A925&amp;"/"&amp;B929&amp;"/"&amp;C929&amp;"/"&amp;D932</f>
        <v>Wind power plants/Offshore/Electricity only/XS</v>
      </c>
      <c r="F932" s="80" t="str">
        <f>A925</f>
        <v>Wind power plants</v>
      </c>
      <c r="G932" s="80" t="str">
        <f>B929</f>
        <v>Offshore</v>
      </c>
      <c r="H932" s="80" t="str">
        <f>C929</f>
        <v>Electricity only</v>
      </c>
      <c r="I932" s="169" t="str">
        <f t="shared" si="91"/>
        <v>XS</v>
      </c>
      <c r="J932" s="80">
        <v>0.95</v>
      </c>
      <c r="K932" s="80">
        <v>0.95</v>
      </c>
      <c r="L932" s="80">
        <v>0.95</v>
      </c>
      <c r="M932" s="80">
        <v>0.95</v>
      </c>
      <c r="N932" s="80">
        <v>0.95</v>
      </c>
      <c r="O932" s="80">
        <v>0.95</v>
      </c>
      <c r="P932" s="80">
        <v>0.95</v>
      </c>
      <c r="Q932" s="80">
        <v>0.95</v>
      </c>
      <c r="R932" s="80">
        <v>0.95</v>
      </c>
      <c r="S932" s="80">
        <v>0.95</v>
      </c>
      <c r="T932" s="80">
        <v>0.95</v>
      </c>
      <c r="U932" s="80">
        <v>0.95</v>
      </c>
      <c r="V932" s="80">
        <v>0.95</v>
      </c>
      <c r="W932" s="80">
        <v>0.95</v>
      </c>
      <c r="X932" s="80">
        <v>0.95</v>
      </c>
      <c r="Y932" s="80">
        <v>0.95</v>
      </c>
      <c r="Z932" s="80">
        <v>0.95</v>
      </c>
      <c r="AA932" s="80">
        <v>0.95</v>
      </c>
      <c r="AB932" s="80">
        <v>0.95</v>
      </c>
      <c r="AC932" s="80">
        <v>0.95</v>
      </c>
      <c r="AD932" s="80">
        <v>0.95</v>
      </c>
      <c r="AE932" s="80">
        <v>0.95</v>
      </c>
      <c r="AF932" s="80">
        <v>0.95</v>
      </c>
      <c r="AG932" s="80">
        <v>0.95</v>
      </c>
      <c r="AH932" s="80">
        <v>0.95</v>
      </c>
      <c r="AI932" s="80">
        <v>0.95</v>
      </c>
      <c r="AJ932" s="80">
        <v>0.95</v>
      </c>
      <c r="AK932" s="80">
        <v>0.95</v>
      </c>
      <c r="AL932" s="80">
        <v>0.95</v>
      </c>
      <c r="AM932" s="80">
        <v>0.95</v>
      </c>
      <c r="AN932" s="80">
        <v>0.95</v>
      </c>
      <c r="AO932" s="80">
        <v>0.95</v>
      </c>
      <c r="AP932" s="80">
        <v>0.95</v>
      </c>
      <c r="AQ932" s="80">
        <v>0.95</v>
      </c>
      <c r="AR932" s="80">
        <v>0.95</v>
      </c>
      <c r="AS932" s="80">
        <v>0.95</v>
      </c>
      <c r="AT932" s="80">
        <v>0.95</v>
      </c>
      <c r="AU932" s="80">
        <v>0.95</v>
      </c>
      <c r="AV932" s="80">
        <v>0.95</v>
      </c>
      <c r="AW932" s="80">
        <v>0.95</v>
      </c>
      <c r="AX932" s="88">
        <v>0.95</v>
      </c>
    </row>
    <row r="933" spans="1:50" x14ac:dyDescent="0.25">
      <c r="A933" s="355" t="s">
        <v>37</v>
      </c>
      <c r="B933" s="358" t="s">
        <v>37</v>
      </c>
      <c r="C933" s="353" t="s">
        <v>6</v>
      </c>
      <c r="D933" s="3" t="s">
        <v>7</v>
      </c>
      <c r="E933" s="162" t="str">
        <f>A933&amp;"/"&amp;B933&amp;"/"&amp;C933&amp;"/"&amp;D933</f>
        <v>Solar PV power plants/Solar PV power plants/Electricity only/L</v>
      </c>
      <c r="F933" s="77" t="str">
        <f>A933</f>
        <v>Solar PV power plants</v>
      </c>
      <c r="G933" s="77" t="str">
        <f>B933</f>
        <v>Solar PV power plants</v>
      </c>
      <c r="H933" s="77" t="str">
        <f>C933</f>
        <v>Electricity only</v>
      </c>
      <c r="I933" s="163" t="str">
        <f t="shared" si="91"/>
        <v>L</v>
      </c>
      <c r="J933" s="77">
        <v>0.97</v>
      </c>
      <c r="K933" s="77">
        <v>0.97</v>
      </c>
      <c r="L933" s="77">
        <v>0.97</v>
      </c>
      <c r="M933" s="77">
        <v>0.97</v>
      </c>
      <c r="N933" s="77">
        <v>0.97</v>
      </c>
      <c r="O933" s="77">
        <v>0.97</v>
      </c>
      <c r="P933" s="77">
        <v>0.97</v>
      </c>
      <c r="Q933" s="77">
        <v>0.97</v>
      </c>
      <c r="R933" s="77">
        <v>0.97</v>
      </c>
      <c r="S933" s="77">
        <v>0.97</v>
      </c>
      <c r="T933" s="77">
        <v>0.97</v>
      </c>
      <c r="U933" s="77">
        <v>0.97</v>
      </c>
      <c r="V933" s="77">
        <v>0.97</v>
      </c>
      <c r="W933" s="77">
        <v>0.97</v>
      </c>
      <c r="X933" s="77">
        <v>0.97</v>
      </c>
      <c r="Y933" s="77">
        <v>0.97</v>
      </c>
      <c r="Z933" s="77">
        <v>0.97</v>
      </c>
      <c r="AA933" s="77">
        <v>0.97</v>
      </c>
      <c r="AB933" s="77">
        <v>0.97</v>
      </c>
      <c r="AC933" s="77">
        <v>0.97</v>
      </c>
      <c r="AD933" s="77">
        <v>0.97</v>
      </c>
      <c r="AE933" s="77">
        <v>0.97</v>
      </c>
      <c r="AF933" s="77">
        <v>0.97</v>
      </c>
      <c r="AG933" s="77">
        <v>0.97</v>
      </c>
      <c r="AH933" s="77">
        <v>0.97</v>
      </c>
      <c r="AI933" s="77">
        <v>0.97</v>
      </c>
      <c r="AJ933" s="77">
        <v>0.97</v>
      </c>
      <c r="AK933" s="77">
        <v>0.97</v>
      </c>
      <c r="AL933" s="77">
        <v>0.97</v>
      </c>
      <c r="AM933" s="77">
        <v>0.97</v>
      </c>
      <c r="AN933" s="77">
        <v>0.97</v>
      </c>
      <c r="AO933" s="77">
        <v>0.97</v>
      </c>
      <c r="AP933" s="77">
        <v>0.97</v>
      </c>
      <c r="AQ933" s="77">
        <v>0.97</v>
      </c>
      <c r="AR933" s="77">
        <v>0.97</v>
      </c>
      <c r="AS933" s="77">
        <v>0.97</v>
      </c>
      <c r="AT933" s="77">
        <v>0.97</v>
      </c>
      <c r="AU933" s="77">
        <v>0.97</v>
      </c>
      <c r="AV933" s="77">
        <v>0.97</v>
      </c>
      <c r="AW933" s="77">
        <v>0.97</v>
      </c>
      <c r="AX933" s="85">
        <v>0.97</v>
      </c>
    </row>
    <row r="934" spans="1:50" x14ac:dyDescent="0.25">
      <c r="A934" s="356"/>
      <c r="B934" s="359"/>
      <c r="C934" s="350"/>
      <c r="D934" s="2" t="s">
        <v>8</v>
      </c>
      <c r="E934" s="160" t="str">
        <f>A933&amp;"/"&amp;B933&amp;"/"&amp;C933&amp;"/"&amp;D934</f>
        <v>Solar PV power plants/Solar PV power plants/Electricity only/M</v>
      </c>
      <c r="F934" s="76" t="str">
        <f>A933</f>
        <v>Solar PV power plants</v>
      </c>
      <c r="G934" s="76" t="str">
        <f>B933</f>
        <v>Solar PV power plants</v>
      </c>
      <c r="H934" s="76" t="str">
        <f>C933</f>
        <v>Electricity only</v>
      </c>
      <c r="I934" s="161" t="str">
        <f t="shared" si="91"/>
        <v>M</v>
      </c>
      <c r="J934" s="76">
        <v>0.98</v>
      </c>
      <c r="K934" s="76">
        <v>0.98</v>
      </c>
      <c r="L934" s="76">
        <v>0.98</v>
      </c>
      <c r="M934" s="76">
        <v>0.98</v>
      </c>
      <c r="N934" s="76">
        <v>0.98</v>
      </c>
      <c r="O934" s="76">
        <v>0.98</v>
      </c>
      <c r="P934" s="76">
        <v>0.98</v>
      </c>
      <c r="Q934" s="76">
        <v>0.98</v>
      </c>
      <c r="R934" s="76">
        <v>0.98</v>
      </c>
      <c r="S934" s="76">
        <v>0.98</v>
      </c>
      <c r="T934" s="76">
        <v>0.98</v>
      </c>
      <c r="U934" s="76">
        <v>0.98</v>
      </c>
      <c r="V934" s="76">
        <v>0.98</v>
      </c>
      <c r="W934" s="76">
        <v>0.98</v>
      </c>
      <c r="X934" s="76">
        <v>0.98</v>
      </c>
      <c r="Y934" s="76">
        <v>0.98</v>
      </c>
      <c r="Z934" s="76">
        <v>0.98</v>
      </c>
      <c r="AA934" s="76">
        <v>0.98</v>
      </c>
      <c r="AB934" s="76">
        <v>0.98</v>
      </c>
      <c r="AC934" s="76">
        <v>0.98</v>
      </c>
      <c r="AD934" s="76">
        <v>0.98</v>
      </c>
      <c r="AE934" s="76">
        <v>0.98</v>
      </c>
      <c r="AF934" s="76">
        <v>0.98</v>
      </c>
      <c r="AG934" s="76">
        <v>0.98</v>
      </c>
      <c r="AH934" s="76">
        <v>0.98</v>
      </c>
      <c r="AI934" s="76">
        <v>0.98</v>
      </c>
      <c r="AJ934" s="76">
        <v>0.98</v>
      </c>
      <c r="AK934" s="76">
        <v>0.98</v>
      </c>
      <c r="AL934" s="76">
        <v>0.98</v>
      </c>
      <c r="AM934" s="76">
        <v>0.98</v>
      </c>
      <c r="AN934" s="76">
        <v>0.98</v>
      </c>
      <c r="AO934" s="76">
        <v>0.98</v>
      </c>
      <c r="AP934" s="76">
        <v>0.98</v>
      </c>
      <c r="AQ934" s="76">
        <v>0.98</v>
      </c>
      <c r="AR934" s="76">
        <v>0.98</v>
      </c>
      <c r="AS934" s="76">
        <v>0.98</v>
      </c>
      <c r="AT934" s="76">
        <v>0.98</v>
      </c>
      <c r="AU934" s="76">
        <v>0.98</v>
      </c>
      <c r="AV934" s="76">
        <v>0.98</v>
      </c>
      <c r="AW934" s="76">
        <v>0.98</v>
      </c>
      <c r="AX934" s="84">
        <v>0.98</v>
      </c>
    </row>
    <row r="935" spans="1:50" x14ac:dyDescent="0.25">
      <c r="A935" s="356"/>
      <c r="B935" s="359"/>
      <c r="C935" s="350"/>
      <c r="D935" s="2" t="s">
        <v>10</v>
      </c>
      <c r="E935" s="160" t="str">
        <f>A933&amp;"/"&amp;B933&amp;"/"&amp;C933&amp;"/"&amp;D935</f>
        <v>Solar PV power plants/Solar PV power plants/Electricity only/S</v>
      </c>
      <c r="F935" s="76" t="str">
        <f>A933</f>
        <v>Solar PV power plants</v>
      </c>
      <c r="G935" s="76" t="str">
        <f>B933</f>
        <v>Solar PV power plants</v>
      </c>
      <c r="H935" s="76" t="str">
        <f>C933</f>
        <v>Electricity only</v>
      </c>
      <c r="I935" s="161" t="str">
        <f t="shared" si="91"/>
        <v>S</v>
      </c>
      <c r="J935" s="76">
        <v>0.99</v>
      </c>
      <c r="K935" s="76">
        <v>0.99</v>
      </c>
      <c r="L935" s="76">
        <v>0.99</v>
      </c>
      <c r="M935" s="76">
        <v>0.99</v>
      </c>
      <c r="N935" s="76">
        <v>0.99</v>
      </c>
      <c r="O935" s="76">
        <v>0.99</v>
      </c>
      <c r="P935" s="76">
        <v>0.99</v>
      </c>
      <c r="Q935" s="76">
        <v>0.99</v>
      </c>
      <c r="R935" s="76">
        <v>0.99</v>
      </c>
      <c r="S935" s="76">
        <v>0.99</v>
      </c>
      <c r="T935" s="76">
        <v>0.99</v>
      </c>
      <c r="U935" s="76">
        <v>0.99</v>
      </c>
      <c r="V935" s="76">
        <v>0.99</v>
      </c>
      <c r="W935" s="76">
        <v>0.99</v>
      </c>
      <c r="X935" s="76">
        <v>0.99</v>
      </c>
      <c r="Y935" s="76">
        <v>0.99</v>
      </c>
      <c r="Z935" s="76">
        <v>0.99</v>
      </c>
      <c r="AA935" s="76">
        <v>0.99</v>
      </c>
      <c r="AB935" s="76">
        <v>0.99</v>
      </c>
      <c r="AC935" s="76">
        <v>0.99</v>
      </c>
      <c r="AD935" s="76">
        <v>0.99</v>
      </c>
      <c r="AE935" s="76">
        <v>0.99</v>
      </c>
      <c r="AF935" s="76">
        <v>0.99</v>
      </c>
      <c r="AG935" s="76">
        <v>0.99</v>
      </c>
      <c r="AH935" s="76">
        <v>0.99</v>
      </c>
      <c r="AI935" s="76">
        <v>0.99</v>
      </c>
      <c r="AJ935" s="76">
        <v>0.99</v>
      </c>
      <c r="AK935" s="76">
        <v>0.99</v>
      </c>
      <c r="AL935" s="76">
        <v>0.99</v>
      </c>
      <c r="AM935" s="76">
        <v>0.99</v>
      </c>
      <c r="AN935" s="76">
        <v>0.99</v>
      </c>
      <c r="AO935" s="76">
        <v>0.99</v>
      </c>
      <c r="AP935" s="76">
        <v>0.99</v>
      </c>
      <c r="AQ935" s="76">
        <v>0.99</v>
      </c>
      <c r="AR935" s="76">
        <v>0.99</v>
      </c>
      <c r="AS935" s="76">
        <v>0.99</v>
      </c>
      <c r="AT935" s="76">
        <v>0.99</v>
      </c>
      <c r="AU935" s="76">
        <v>0.99</v>
      </c>
      <c r="AV935" s="76">
        <v>0.99</v>
      </c>
      <c r="AW935" s="76">
        <v>0.99</v>
      </c>
      <c r="AX935" s="84">
        <v>0.99</v>
      </c>
    </row>
    <row r="936" spans="1:50" x14ac:dyDescent="0.25">
      <c r="A936" s="357"/>
      <c r="B936" s="362"/>
      <c r="C936" s="354"/>
      <c r="D936" s="4" t="s">
        <v>20</v>
      </c>
      <c r="E936" s="168" t="str">
        <f>A933&amp;"/"&amp;B933&amp;"/"&amp;C933&amp;"/"&amp;D936</f>
        <v>Solar PV power plants/Solar PV power plants/Electricity only/XS</v>
      </c>
      <c r="F936" s="80" t="str">
        <f>A933</f>
        <v>Solar PV power plants</v>
      </c>
      <c r="G936" s="80" t="str">
        <f>B933</f>
        <v>Solar PV power plants</v>
      </c>
      <c r="H936" s="80" t="str">
        <f>C933</f>
        <v>Electricity only</v>
      </c>
      <c r="I936" s="169" t="str">
        <f t="shared" si="91"/>
        <v>XS</v>
      </c>
      <c r="J936" s="80">
        <v>0.99</v>
      </c>
      <c r="K936" s="80">
        <v>0.99</v>
      </c>
      <c r="L936" s="80">
        <v>0.99</v>
      </c>
      <c r="M936" s="80">
        <v>0.99</v>
      </c>
      <c r="N936" s="80">
        <v>0.99</v>
      </c>
      <c r="O936" s="80">
        <v>0.99</v>
      </c>
      <c r="P936" s="80">
        <v>0.99</v>
      </c>
      <c r="Q936" s="80">
        <v>0.99</v>
      </c>
      <c r="R936" s="80">
        <v>0.99</v>
      </c>
      <c r="S936" s="80">
        <v>0.99</v>
      </c>
      <c r="T936" s="80">
        <v>0.99</v>
      </c>
      <c r="U936" s="80">
        <v>0.99</v>
      </c>
      <c r="V936" s="80">
        <v>0.99</v>
      </c>
      <c r="W936" s="80">
        <v>0.99</v>
      </c>
      <c r="X936" s="80">
        <v>0.99</v>
      </c>
      <c r="Y936" s="80">
        <v>0.99</v>
      </c>
      <c r="Z936" s="80">
        <v>0.99</v>
      </c>
      <c r="AA936" s="80">
        <v>0.99</v>
      </c>
      <c r="AB936" s="80">
        <v>0.99</v>
      </c>
      <c r="AC936" s="80">
        <v>0.99</v>
      </c>
      <c r="AD936" s="80">
        <v>0.99</v>
      </c>
      <c r="AE936" s="80">
        <v>0.99</v>
      </c>
      <c r="AF936" s="80">
        <v>0.99</v>
      </c>
      <c r="AG936" s="80">
        <v>0.99</v>
      </c>
      <c r="AH936" s="80">
        <v>0.99</v>
      </c>
      <c r="AI936" s="80">
        <v>0.99</v>
      </c>
      <c r="AJ936" s="80">
        <v>0.99</v>
      </c>
      <c r="AK936" s="80">
        <v>0.99</v>
      </c>
      <c r="AL936" s="80">
        <v>0.99</v>
      </c>
      <c r="AM936" s="80">
        <v>0.99</v>
      </c>
      <c r="AN936" s="80">
        <v>0.99</v>
      </c>
      <c r="AO936" s="80">
        <v>0.99</v>
      </c>
      <c r="AP936" s="80">
        <v>0.99</v>
      </c>
      <c r="AQ936" s="80">
        <v>0.99</v>
      </c>
      <c r="AR936" s="80">
        <v>0.99</v>
      </c>
      <c r="AS936" s="80">
        <v>0.99</v>
      </c>
      <c r="AT936" s="80">
        <v>0.99</v>
      </c>
      <c r="AU936" s="80">
        <v>0.99</v>
      </c>
      <c r="AV936" s="80">
        <v>0.99</v>
      </c>
      <c r="AW936" s="80">
        <v>0.99</v>
      </c>
      <c r="AX936" s="88">
        <v>0.99</v>
      </c>
    </row>
    <row r="937" spans="1:50" x14ac:dyDescent="0.25">
      <c r="A937" s="355" t="s">
        <v>38</v>
      </c>
      <c r="B937" s="358" t="s">
        <v>38</v>
      </c>
      <c r="C937" s="353" t="s">
        <v>6</v>
      </c>
      <c r="D937" s="3" t="s">
        <v>7</v>
      </c>
      <c r="E937" s="162" t="str">
        <f>A937&amp;"/"&amp;B937&amp;"/"&amp;C937&amp;"/"&amp;D937</f>
        <v>Solar thermal power plants/Solar thermal power plants/Electricity only/L</v>
      </c>
      <c r="F937" s="77" t="str">
        <f>A937</f>
        <v>Solar thermal power plants</v>
      </c>
      <c r="G937" s="77" t="str">
        <f>B937</f>
        <v>Solar thermal power plants</v>
      </c>
      <c r="H937" s="77" t="str">
        <f>C937</f>
        <v>Electricity only</v>
      </c>
      <c r="I937" s="163" t="str">
        <f t="shared" si="91"/>
        <v>L</v>
      </c>
      <c r="J937" s="77">
        <v>0.95</v>
      </c>
      <c r="K937" s="77">
        <v>0.95</v>
      </c>
      <c r="L937" s="77">
        <v>0.95</v>
      </c>
      <c r="M937" s="77">
        <v>0.95</v>
      </c>
      <c r="N937" s="77">
        <v>0.95</v>
      </c>
      <c r="O937" s="77">
        <v>0.95</v>
      </c>
      <c r="P937" s="77">
        <v>0.95</v>
      </c>
      <c r="Q937" s="77">
        <v>0.95</v>
      </c>
      <c r="R937" s="77">
        <v>0.95</v>
      </c>
      <c r="S937" s="77">
        <v>0.95</v>
      </c>
      <c r="T937" s="77">
        <v>0.95</v>
      </c>
      <c r="U937" s="77">
        <v>0.95</v>
      </c>
      <c r="V937" s="77">
        <v>0.95</v>
      </c>
      <c r="W937" s="77">
        <v>0.95</v>
      </c>
      <c r="X937" s="77">
        <v>0.95</v>
      </c>
      <c r="Y937" s="77">
        <v>0.95</v>
      </c>
      <c r="Z937" s="77">
        <v>0.95</v>
      </c>
      <c r="AA937" s="77">
        <v>0.95</v>
      </c>
      <c r="AB937" s="77">
        <v>0.95</v>
      </c>
      <c r="AC937" s="77">
        <v>0.95</v>
      </c>
      <c r="AD937" s="77">
        <v>0.95</v>
      </c>
      <c r="AE937" s="77">
        <v>0.95</v>
      </c>
      <c r="AF937" s="77">
        <v>0.95</v>
      </c>
      <c r="AG937" s="77">
        <v>0.95</v>
      </c>
      <c r="AH937" s="77">
        <v>0.95</v>
      </c>
      <c r="AI937" s="77">
        <v>0.95</v>
      </c>
      <c r="AJ937" s="77">
        <v>0.95</v>
      </c>
      <c r="AK937" s="77">
        <v>0.95</v>
      </c>
      <c r="AL937" s="77">
        <v>0.95</v>
      </c>
      <c r="AM937" s="77">
        <v>0.95</v>
      </c>
      <c r="AN937" s="77">
        <v>0.95</v>
      </c>
      <c r="AO937" s="77">
        <v>0.95</v>
      </c>
      <c r="AP937" s="77">
        <v>0.95</v>
      </c>
      <c r="AQ937" s="77">
        <v>0.95</v>
      </c>
      <c r="AR937" s="77">
        <v>0.95</v>
      </c>
      <c r="AS937" s="77">
        <v>0.95</v>
      </c>
      <c r="AT937" s="77">
        <v>0.95</v>
      </c>
      <c r="AU937" s="77">
        <v>0.95</v>
      </c>
      <c r="AV937" s="77">
        <v>0.95</v>
      </c>
      <c r="AW937" s="77">
        <v>0.95</v>
      </c>
      <c r="AX937" s="85">
        <v>0.95</v>
      </c>
    </row>
    <row r="938" spans="1:50" x14ac:dyDescent="0.25">
      <c r="A938" s="356"/>
      <c r="B938" s="359"/>
      <c r="C938" s="350"/>
      <c r="D938" s="2" t="s">
        <v>8</v>
      </c>
      <c r="E938" s="160" t="str">
        <f>A937&amp;"/"&amp;B937&amp;"/"&amp;C937&amp;"/"&amp;D938</f>
        <v>Solar thermal power plants/Solar thermal power plants/Electricity only/M</v>
      </c>
      <c r="F938" s="76" t="str">
        <f>A937</f>
        <v>Solar thermal power plants</v>
      </c>
      <c r="G938" s="76" t="str">
        <f>B937</f>
        <v>Solar thermal power plants</v>
      </c>
      <c r="H938" s="76" t="str">
        <f>C937</f>
        <v>Electricity only</v>
      </c>
      <c r="I938" s="161" t="str">
        <f t="shared" si="91"/>
        <v>M</v>
      </c>
      <c r="J938" s="76">
        <v>0.96</v>
      </c>
      <c r="K938" s="76">
        <v>0.96</v>
      </c>
      <c r="L938" s="76">
        <v>0.96</v>
      </c>
      <c r="M938" s="76">
        <v>0.96</v>
      </c>
      <c r="N938" s="76">
        <v>0.96</v>
      </c>
      <c r="O938" s="76">
        <v>0.96</v>
      </c>
      <c r="P938" s="76">
        <v>0.96</v>
      </c>
      <c r="Q938" s="76">
        <v>0.96</v>
      </c>
      <c r="R938" s="76">
        <v>0.96</v>
      </c>
      <c r="S938" s="76">
        <v>0.96</v>
      </c>
      <c r="T938" s="76">
        <v>0.96</v>
      </c>
      <c r="U938" s="76">
        <v>0.96</v>
      </c>
      <c r="V938" s="76">
        <v>0.96</v>
      </c>
      <c r="W938" s="76">
        <v>0.96</v>
      </c>
      <c r="X938" s="76">
        <v>0.96</v>
      </c>
      <c r="Y938" s="76">
        <v>0.96</v>
      </c>
      <c r="Z938" s="76">
        <v>0.96</v>
      </c>
      <c r="AA938" s="76">
        <v>0.96</v>
      </c>
      <c r="AB938" s="76">
        <v>0.96</v>
      </c>
      <c r="AC938" s="76">
        <v>0.96</v>
      </c>
      <c r="AD938" s="76">
        <v>0.96</v>
      </c>
      <c r="AE938" s="76">
        <v>0.96</v>
      </c>
      <c r="AF938" s="76">
        <v>0.96</v>
      </c>
      <c r="AG938" s="76">
        <v>0.96</v>
      </c>
      <c r="AH938" s="76">
        <v>0.96</v>
      </c>
      <c r="AI938" s="76">
        <v>0.96</v>
      </c>
      <c r="AJ938" s="76">
        <v>0.96</v>
      </c>
      <c r="AK938" s="76">
        <v>0.96</v>
      </c>
      <c r="AL938" s="76">
        <v>0.96</v>
      </c>
      <c r="AM938" s="76">
        <v>0.96</v>
      </c>
      <c r="AN938" s="76">
        <v>0.96</v>
      </c>
      <c r="AO938" s="76">
        <v>0.96</v>
      </c>
      <c r="AP938" s="76">
        <v>0.96</v>
      </c>
      <c r="AQ938" s="76">
        <v>0.96</v>
      </c>
      <c r="AR938" s="76">
        <v>0.96</v>
      </c>
      <c r="AS938" s="76">
        <v>0.96</v>
      </c>
      <c r="AT938" s="76">
        <v>0.96</v>
      </c>
      <c r="AU938" s="76">
        <v>0.96</v>
      </c>
      <c r="AV938" s="76">
        <v>0.96</v>
      </c>
      <c r="AW938" s="76">
        <v>0.96</v>
      </c>
      <c r="AX938" s="84">
        <v>0.96</v>
      </c>
    </row>
    <row r="939" spans="1:50" x14ac:dyDescent="0.25">
      <c r="A939" s="356"/>
      <c r="B939" s="359"/>
      <c r="C939" s="350"/>
      <c r="D939" s="2" t="s">
        <v>10</v>
      </c>
      <c r="E939" s="160" t="str">
        <f>A937&amp;"/"&amp;B937&amp;"/"&amp;C937&amp;"/"&amp;D939</f>
        <v>Solar thermal power plants/Solar thermal power plants/Electricity only/S</v>
      </c>
      <c r="F939" s="76" t="str">
        <f>A937</f>
        <v>Solar thermal power plants</v>
      </c>
      <c r="G939" s="76" t="str">
        <f>B937</f>
        <v>Solar thermal power plants</v>
      </c>
      <c r="H939" s="76" t="str">
        <f>C937</f>
        <v>Electricity only</v>
      </c>
      <c r="I939" s="161" t="str">
        <f t="shared" si="91"/>
        <v>S</v>
      </c>
      <c r="J939" s="76">
        <v>0.97</v>
      </c>
      <c r="K939" s="76">
        <v>0.97</v>
      </c>
      <c r="L939" s="76">
        <v>0.97</v>
      </c>
      <c r="M939" s="76">
        <v>0.97</v>
      </c>
      <c r="N939" s="76">
        <v>0.97</v>
      </c>
      <c r="O939" s="76">
        <v>0.97</v>
      </c>
      <c r="P939" s="76">
        <v>0.97</v>
      </c>
      <c r="Q939" s="76">
        <v>0.97</v>
      </c>
      <c r="R939" s="76">
        <v>0.97</v>
      </c>
      <c r="S939" s="76">
        <v>0.97</v>
      </c>
      <c r="T939" s="76">
        <v>0.97</v>
      </c>
      <c r="U939" s="76">
        <v>0.97</v>
      </c>
      <c r="V939" s="76">
        <v>0.97</v>
      </c>
      <c r="W939" s="76">
        <v>0.97</v>
      </c>
      <c r="X939" s="76">
        <v>0.97</v>
      </c>
      <c r="Y939" s="76">
        <v>0.97</v>
      </c>
      <c r="Z939" s="76">
        <v>0.97</v>
      </c>
      <c r="AA939" s="76">
        <v>0.97</v>
      </c>
      <c r="AB939" s="76">
        <v>0.97</v>
      </c>
      <c r="AC939" s="76">
        <v>0.97</v>
      </c>
      <c r="AD939" s="76">
        <v>0.97</v>
      </c>
      <c r="AE939" s="76">
        <v>0.97</v>
      </c>
      <c r="AF939" s="76">
        <v>0.97</v>
      </c>
      <c r="AG939" s="76">
        <v>0.97</v>
      </c>
      <c r="AH939" s="76">
        <v>0.97</v>
      </c>
      <c r="AI939" s="76">
        <v>0.97</v>
      </c>
      <c r="AJ939" s="76">
        <v>0.97</v>
      </c>
      <c r="AK939" s="76">
        <v>0.97</v>
      </c>
      <c r="AL939" s="76">
        <v>0.97</v>
      </c>
      <c r="AM939" s="76">
        <v>0.97</v>
      </c>
      <c r="AN939" s="76">
        <v>0.97</v>
      </c>
      <c r="AO939" s="76">
        <v>0.97</v>
      </c>
      <c r="AP939" s="76">
        <v>0.97</v>
      </c>
      <c r="AQ939" s="76">
        <v>0.97</v>
      </c>
      <c r="AR939" s="76">
        <v>0.97</v>
      </c>
      <c r="AS939" s="76">
        <v>0.97</v>
      </c>
      <c r="AT939" s="76">
        <v>0.97</v>
      </c>
      <c r="AU939" s="76">
        <v>0.97</v>
      </c>
      <c r="AV939" s="76">
        <v>0.97</v>
      </c>
      <c r="AW939" s="76">
        <v>0.97</v>
      </c>
      <c r="AX939" s="84">
        <v>0.97</v>
      </c>
    </row>
    <row r="940" spans="1:50" x14ac:dyDescent="0.25">
      <c r="A940" s="357"/>
      <c r="B940" s="362"/>
      <c r="C940" s="354"/>
      <c r="D940" s="4" t="s">
        <v>20</v>
      </c>
      <c r="E940" s="168" t="str">
        <f>A937&amp;"/"&amp;B937&amp;"/"&amp;C937&amp;"/"&amp;D940</f>
        <v>Solar thermal power plants/Solar thermal power plants/Electricity only/XS</v>
      </c>
      <c r="F940" s="80" t="str">
        <f>A937</f>
        <v>Solar thermal power plants</v>
      </c>
      <c r="G940" s="80" t="str">
        <f>B937</f>
        <v>Solar thermal power plants</v>
      </c>
      <c r="H940" s="80" t="str">
        <f>C937</f>
        <v>Electricity only</v>
      </c>
      <c r="I940" s="169" t="str">
        <f t="shared" si="91"/>
        <v>XS</v>
      </c>
      <c r="J940" s="80">
        <v>0.98</v>
      </c>
      <c r="K940" s="80">
        <v>0.98</v>
      </c>
      <c r="L940" s="80">
        <v>0.98</v>
      </c>
      <c r="M940" s="80">
        <v>0.98</v>
      </c>
      <c r="N940" s="80">
        <v>0.98</v>
      </c>
      <c r="O940" s="80">
        <v>0.98</v>
      </c>
      <c r="P940" s="80">
        <v>0.98</v>
      </c>
      <c r="Q940" s="80">
        <v>0.98</v>
      </c>
      <c r="R940" s="80">
        <v>0.98</v>
      </c>
      <c r="S940" s="80">
        <v>0.98</v>
      </c>
      <c r="T940" s="80">
        <v>0.98</v>
      </c>
      <c r="U940" s="80">
        <v>0.98</v>
      </c>
      <c r="V940" s="80">
        <v>0.98</v>
      </c>
      <c r="W940" s="80">
        <v>0.98</v>
      </c>
      <c r="X940" s="80">
        <v>0.98</v>
      </c>
      <c r="Y940" s="80">
        <v>0.98</v>
      </c>
      <c r="Z940" s="80">
        <v>0.98</v>
      </c>
      <c r="AA940" s="80">
        <v>0.98</v>
      </c>
      <c r="AB940" s="80">
        <v>0.98</v>
      </c>
      <c r="AC940" s="80">
        <v>0.98</v>
      </c>
      <c r="AD940" s="80">
        <v>0.98</v>
      </c>
      <c r="AE940" s="80">
        <v>0.98</v>
      </c>
      <c r="AF940" s="80">
        <v>0.98</v>
      </c>
      <c r="AG940" s="80">
        <v>0.98</v>
      </c>
      <c r="AH940" s="80">
        <v>0.98</v>
      </c>
      <c r="AI940" s="80">
        <v>0.98</v>
      </c>
      <c r="AJ940" s="80">
        <v>0.98</v>
      </c>
      <c r="AK940" s="80">
        <v>0.98</v>
      </c>
      <c r="AL940" s="80">
        <v>0.98</v>
      </c>
      <c r="AM940" s="80">
        <v>0.98</v>
      </c>
      <c r="AN940" s="80">
        <v>0.98</v>
      </c>
      <c r="AO940" s="80">
        <v>0.98</v>
      </c>
      <c r="AP940" s="80">
        <v>0.98</v>
      </c>
      <c r="AQ940" s="80">
        <v>0.98</v>
      </c>
      <c r="AR940" s="80">
        <v>0.98</v>
      </c>
      <c r="AS940" s="80">
        <v>0.98</v>
      </c>
      <c r="AT940" s="80">
        <v>0.98</v>
      </c>
      <c r="AU940" s="80">
        <v>0.98</v>
      </c>
      <c r="AV940" s="80">
        <v>0.98</v>
      </c>
      <c r="AW940" s="80">
        <v>0.98</v>
      </c>
      <c r="AX940" s="88">
        <v>0.98</v>
      </c>
    </row>
    <row r="941" spans="1:50" x14ac:dyDescent="0.25">
      <c r="A941" s="355" t="s">
        <v>39</v>
      </c>
      <c r="B941" s="358" t="s">
        <v>39</v>
      </c>
      <c r="C941" s="353" t="s">
        <v>6</v>
      </c>
      <c r="D941" s="3" t="s">
        <v>7</v>
      </c>
      <c r="E941" s="162" t="str">
        <f>A941&amp;"/"&amp;B941&amp;"/"&amp;C941&amp;"/"&amp;D941</f>
        <v>Geothermal power plants/Geothermal power plants/Electricity only/L</v>
      </c>
      <c r="F941" s="77" t="str">
        <f>A941</f>
        <v>Geothermal power plants</v>
      </c>
      <c r="G941" s="77" t="str">
        <f>B941</f>
        <v>Geothermal power plants</v>
      </c>
      <c r="H941" s="77" t="str">
        <f>C941</f>
        <v>Electricity only</v>
      </c>
      <c r="I941" s="163" t="str">
        <f t="shared" si="91"/>
        <v>L</v>
      </c>
      <c r="J941" s="77">
        <v>0.95</v>
      </c>
      <c r="K941" s="77">
        <v>0.95</v>
      </c>
      <c r="L941" s="77">
        <v>0.95</v>
      </c>
      <c r="M941" s="77">
        <v>0.95</v>
      </c>
      <c r="N941" s="77">
        <v>0.95</v>
      </c>
      <c r="O941" s="77">
        <v>0.95</v>
      </c>
      <c r="P941" s="77">
        <v>0.95</v>
      </c>
      <c r="Q941" s="77">
        <v>0.95</v>
      </c>
      <c r="R941" s="77">
        <v>0.95</v>
      </c>
      <c r="S941" s="77">
        <v>0.95</v>
      </c>
      <c r="T941" s="77">
        <v>0.95</v>
      </c>
      <c r="U941" s="77">
        <v>0.95</v>
      </c>
      <c r="V941" s="77">
        <v>0.95</v>
      </c>
      <c r="W941" s="77">
        <v>0.95</v>
      </c>
      <c r="X941" s="77">
        <v>0.95</v>
      </c>
      <c r="Y941" s="77">
        <v>0.95</v>
      </c>
      <c r="Z941" s="77">
        <v>0.95</v>
      </c>
      <c r="AA941" s="77">
        <v>0.95</v>
      </c>
      <c r="AB941" s="77">
        <v>0.95</v>
      </c>
      <c r="AC941" s="77">
        <v>0.95</v>
      </c>
      <c r="AD941" s="77">
        <v>0.95</v>
      </c>
      <c r="AE941" s="77">
        <v>0.95</v>
      </c>
      <c r="AF941" s="77">
        <v>0.95</v>
      </c>
      <c r="AG941" s="77">
        <v>0.95</v>
      </c>
      <c r="AH941" s="77">
        <v>0.95</v>
      </c>
      <c r="AI941" s="77">
        <v>0.95</v>
      </c>
      <c r="AJ941" s="77">
        <v>0.95</v>
      </c>
      <c r="AK941" s="77">
        <v>0.95</v>
      </c>
      <c r="AL941" s="77">
        <v>0.95</v>
      </c>
      <c r="AM941" s="77">
        <v>0.95</v>
      </c>
      <c r="AN941" s="77">
        <v>0.95</v>
      </c>
      <c r="AO941" s="77">
        <v>0.95</v>
      </c>
      <c r="AP941" s="77">
        <v>0.95</v>
      </c>
      <c r="AQ941" s="77">
        <v>0.95</v>
      </c>
      <c r="AR941" s="77">
        <v>0.95</v>
      </c>
      <c r="AS941" s="77">
        <v>0.95</v>
      </c>
      <c r="AT941" s="77">
        <v>0.95</v>
      </c>
      <c r="AU941" s="77">
        <v>0.95</v>
      </c>
      <c r="AV941" s="77">
        <v>0.95</v>
      </c>
      <c r="AW941" s="77">
        <v>0.95</v>
      </c>
      <c r="AX941" s="85">
        <v>0.95</v>
      </c>
    </row>
    <row r="942" spans="1:50" x14ac:dyDescent="0.25">
      <c r="A942" s="356"/>
      <c r="B942" s="359"/>
      <c r="C942" s="350"/>
      <c r="D942" s="2" t="s">
        <v>8</v>
      </c>
      <c r="E942" s="160" t="str">
        <f>A941&amp;"/"&amp;B941&amp;"/"&amp;C941&amp;"/"&amp;D942</f>
        <v>Geothermal power plants/Geothermal power plants/Electricity only/M</v>
      </c>
      <c r="F942" s="76" t="str">
        <f>A941</f>
        <v>Geothermal power plants</v>
      </c>
      <c r="G942" s="76" t="str">
        <f>B941</f>
        <v>Geothermal power plants</v>
      </c>
      <c r="H942" s="76" t="str">
        <f>C941</f>
        <v>Electricity only</v>
      </c>
      <c r="I942" s="161" t="str">
        <f t="shared" si="91"/>
        <v>M</v>
      </c>
      <c r="J942" s="76">
        <v>0.95</v>
      </c>
      <c r="K942" s="76">
        <v>0.95</v>
      </c>
      <c r="L942" s="76">
        <v>0.95</v>
      </c>
      <c r="M942" s="76">
        <v>0.95</v>
      </c>
      <c r="N942" s="76">
        <v>0.95</v>
      </c>
      <c r="O942" s="76">
        <v>0.95</v>
      </c>
      <c r="P942" s="76">
        <v>0.95</v>
      </c>
      <c r="Q942" s="76">
        <v>0.95</v>
      </c>
      <c r="R942" s="76">
        <v>0.95</v>
      </c>
      <c r="S942" s="76">
        <v>0.95</v>
      </c>
      <c r="T942" s="76">
        <v>0.95</v>
      </c>
      <c r="U942" s="76">
        <v>0.95</v>
      </c>
      <c r="V942" s="76">
        <v>0.95</v>
      </c>
      <c r="W942" s="76">
        <v>0.95</v>
      </c>
      <c r="X942" s="76">
        <v>0.95</v>
      </c>
      <c r="Y942" s="76">
        <v>0.95</v>
      </c>
      <c r="Z942" s="76">
        <v>0.95</v>
      </c>
      <c r="AA942" s="76">
        <v>0.95</v>
      </c>
      <c r="AB942" s="76">
        <v>0.95</v>
      </c>
      <c r="AC942" s="76">
        <v>0.95</v>
      </c>
      <c r="AD942" s="76">
        <v>0.95</v>
      </c>
      <c r="AE942" s="76">
        <v>0.95</v>
      </c>
      <c r="AF942" s="76">
        <v>0.95</v>
      </c>
      <c r="AG942" s="76">
        <v>0.95</v>
      </c>
      <c r="AH942" s="76">
        <v>0.95</v>
      </c>
      <c r="AI942" s="76">
        <v>0.95</v>
      </c>
      <c r="AJ942" s="76">
        <v>0.95</v>
      </c>
      <c r="AK942" s="76">
        <v>0.95</v>
      </c>
      <c r="AL942" s="76">
        <v>0.95</v>
      </c>
      <c r="AM942" s="76">
        <v>0.95</v>
      </c>
      <c r="AN942" s="76">
        <v>0.95</v>
      </c>
      <c r="AO942" s="76">
        <v>0.95</v>
      </c>
      <c r="AP942" s="76">
        <v>0.95</v>
      </c>
      <c r="AQ942" s="76">
        <v>0.95</v>
      </c>
      <c r="AR942" s="76">
        <v>0.95</v>
      </c>
      <c r="AS942" s="76">
        <v>0.95</v>
      </c>
      <c r="AT942" s="76">
        <v>0.95</v>
      </c>
      <c r="AU942" s="76">
        <v>0.95</v>
      </c>
      <c r="AV942" s="76">
        <v>0.95</v>
      </c>
      <c r="AW942" s="76">
        <v>0.95</v>
      </c>
      <c r="AX942" s="84">
        <v>0.95</v>
      </c>
    </row>
    <row r="943" spans="1:50" x14ac:dyDescent="0.25">
      <c r="A943" s="357"/>
      <c r="B943" s="362"/>
      <c r="C943" s="354"/>
      <c r="D943" s="4" t="s">
        <v>10</v>
      </c>
      <c r="E943" s="168" t="str">
        <f>A941&amp;"/"&amp;B941&amp;"/"&amp;C941&amp;"/"&amp;D943</f>
        <v>Geothermal power plants/Geothermal power plants/Electricity only/S</v>
      </c>
      <c r="F943" s="80" t="str">
        <f>A941</f>
        <v>Geothermal power plants</v>
      </c>
      <c r="G943" s="80" t="str">
        <f>B941</f>
        <v>Geothermal power plants</v>
      </c>
      <c r="H943" s="80" t="str">
        <f>C941</f>
        <v>Electricity only</v>
      </c>
      <c r="I943" s="169" t="str">
        <f t="shared" ref="I943:I957" si="92">D943</f>
        <v>S</v>
      </c>
      <c r="J943" s="80">
        <v>0.95</v>
      </c>
      <c r="K943" s="80">
        <v>0.95</v>
      </c>
      <c r="L943" s="80">
        <v>0.95</v>
      </c>
      <c r="M943" s="80">
        <v>0.95</v>
      </c>
      <c r="N943" s="80">
        <v>0.95</v>
      </c>
      <c r="O943" s="80">
        <v>0.95</v>
      </c>
      <c r="P943" s="80">
        <v>0.95</v>
      </c>
      <c r="Q943" s="80">
        <v>0.95</v>
      </c>
      <c r="R943" s="80">
        <v>0.95</v>
      </c>
      <c r="S943" s="80">
        <v>0.95</v>
      </c>
      <c r="T943" s="80">
        <v>0.95</v>
      </c>
      <c r="U943" s="80">
        <v>0.95</v>
      </c>
      <c r="V943" s="80">
        <v>0.95</v>
      </c>
      <c r="W943" s="80">
        <v>0.95</v>
      </c>
      <c r="X943" s="80">
        <v>0.95</v>
      </c>
      <c r="Y943" s="80">
        <v>0.95</v>
      </c>
      <c r="Z943" s="80">
        <v>0.95</v>
      </c>
      <c r="AA943" s="80">
        <v>0.95</v>
      </c>
      <c r="AB943" s="80">
        <v>0.95</v>
      </c>
      <c r="AC943" s="80">
        <v>0.95</v>
      </c>
      <c r="AD943" s="80">
        <v>0.95</v>
      </c>
      <c r="AE943" s="80">
        <v>0.95</v>
      </c>
      <c r="AF943" s="80">
        <v>0.95</v>
      </c>
      <c r="AG943" s="80">
        <v>0.95</v>
      </c>
      <c r="AH943" s="80">
        <v>0.95</v>
      </c>
      <c r="AI943" s="80">
        <v>0.95</v>
      </c>
      <c r="AJ943" s="80">
        <v>0.95</v>
      </c>
      <c r="AK943" s="80">
        <v>0.95</v>
      </c>
      <c r="AL943" s="80">
        <v>0.95</v>
      </c>
      <c r="AM943" s="80">
        <v>0.95</v>
      </c>
      <c r="AN943" s="80">
        <v>0.95</v>
      </c>
      <c r="AO943" s="80">
        <v>0.95</v>
      </c>
      <c r="AP943" s="80">
        <v>0.95</v>
      </c>
      <c r="AQ943" s="80">
        <v>0.95</v>
      </c>
      <c r="AR943" s="80">
        <v>0.95</v>
      </c>
      <c r="AS943" s="80">
        <v>0.95</v>
      </c>
      <c r="AT943" s="80">
        <v>0.95</v>
      </c>
      <c r="AU943" s="80">
        <v>0.95</v>
      </c>
      <c r="AV943" s="80">
        <v>0.95</v>
      </c>
      <c r="AW943" s="80">
        <v>0.95</v>
      </c>
      <c r="AX943" s="88">
        <v>0.95</v>
      </c>
    </row>
    <row r="944" spans="1:50" x14ac:dyDescent="0.25">
      <c r="A944" s="355" t="s">
        <v>40</v>
      </c>
      <c r="B944" s="5" t="s">
        <v>41</v>
      </c>
      <c r="C944" s="6" t="s">
        <v>6</v>
      </c>
      <c r="D944" s="60" t="s">
        <v>8</v>
      </c>
      <c r="E944" s="170" t="str">
        <f>A944&amp;"/"&amp;B944&amp;"/"&amp;C944&amp;"/"&amp;D944</f>
        <v>Tide, wave and ocean power plants/Tidal/Electricity only/M</v>
      </c>
      <c r="F944" s="81" t="str">
        <f>A944</f>
        <v>Tide, wave and ocean power plants</v>
      </c>
      <c r="G944" s="81" t="str">
        <f>B944</f>
        <v>Tidal</v>
      </c>
      <c r="H944" s="81" t="str">
        <f>C944</f>
        <v>Electricity only</v>
      </c>
      <c r="I944" s="171" t="str">
        <f t="shared" si="92"/>
        <v>M</v>
      </c>
      <c r="J944" s="81">
        <v>0.9</v>
      </c>
      <c r="K944" s="81">
        <v>0.9</v>
      </c>
      <c r="L944" s="81">
        <v>0.9</v>
      </c>
      <c r="M944" s="81">
        <v>0.9</v>
      </c>
      <c r="N944" s="81">
        <v>0.9</v>
      </c>
      <c r="O944" s="81">
        <v>0.9</v>
      </c>
      <c r="P944" s="81">
        <v>0.9</v>
      </c>
      <c r="Q944" s="81">
        <v>0.9</v>
      </c>
      <c r="R944" s="81">
        <v>0.9</v>
      </c>
      <c r="S944" s="81">
        <v>0.9</v>
      </c>
      <c r="T944" s="81">
        <v>0.9</v>
      </c>
      <c r="U944" s="81">
        <v>0.9</v>
      </c>
      <c r="V944" s="81">
        <v>0.9</v>
      </c>
      <c r="W944" s="81">
        <v>0.9</v>
      </c>
      <c r="X944" s="81">
        <v>0.9</v>
      </c>
      <c r="Y944" s="81">
        <v>0.9</v>
      </c>
      <c r="Z944" s="81">
        <v>0.9</v>
      </c>
      <c r="AA944" s="81">
        <v>0.9</v>
      </c>
      <c r="AB944" s="81">
        <v>0.9</v>
      </c>
      <c r="AC944" s="81">
        <v>0.9</v>
      </c>
      <c r="AD944" s="81">
        <v>0.9</v>
      </c>
      <c r="AE944" s="81">
        <v>0.9</v>
      </c>
      <c r="AF944" s="81">
        <v>0.9</v>
      </c>
      <c r="AG944" s="81">
        <v>0.9</v>
      </c>
      <c r="AH944" s="81">
        <v>0.9</v>
      </c>
      <c r="AI944" s="81">
        <v>0.9</v>
      </c>
      <c r="AJ944" s="81">
        <v>0.9</v>
      </c>
      <c r="AK944" s="81">
        <v>0.9</v>
      </c>
      <c r="AL944" s="81">
        <v>0.9</v>
      </c>
      <c r="AM944" s="81">
        <v>0.9</v>
      </c>
      <c r="AN944" s="81">
        <v>0.9</v>
      </c>
      <c r="AO944" s="81">
        <v>0.9</v>
      </c>
      <c r="AP944" s="81">
        <v>0.9</v>
      </c>
      <c r="AQ944" s="81">
        <v>0.9</v>
      </c>
      <c r="AR944" s="81">
        <v>0.9</v>
      </c>
      <c r="AS944" s="81">
        <v>0.9</v>
      </c>
      <c r="AT944" s="81">
        <v>0.9</v>
      </c>
      <c r="AU944" s="81">
        <v>0.9</v>
      </c>
      <c r="AV944" s="81">
        <v>0.9</v>
      </c>
      <c r="AW944" s="81">
        <v>0.9</v>
      </c>
      <c r="AX944" s="89">
        <v>0.9</v>
      </c>
    </row>
    <row r="945" spans="1:50" x14ac:dyDescent="0.25">
      <c r="A945" s="357"/>
      <c r="B945" s="279" t="s">
        <v>42</v>
      </c>
      <c r="C945" s="7" t="s">
        <v>6</v>
      </c>
      <c r="D945" s="4" t="s">
        <v>8</v>
      </c>
      <c r="E945" s="168" t="str">
        <f>A944&amp;"/"&amp;B945&amp;"/"&amp;C945&amp;"/"&amp;D945</f>
        <v>Tide, wave and ocean power plants/Wave/Electricity only/M</v>
      </c>
      <c r="F945" s="80" t="str">
        <f>A944</f>
        <v>Tide, wave and ocean power plants</v>
      </c>
      <c r="G945" s="80" t="str">
        <f>B945</f>
        <v>Wave</v>
      </c>
      <c r="H945" s="80" t="str">
        <f>C945</f>
        <v>Electricity only</v>
      </c>
      <c r="I945" s="169" t="str">
        <f t="shared" si="92"/>
        <v>M</v>
      </c>
      <c r="J945" s="80">
        <v>0.92</v>
      </c>
      <c r="K945" s="80">
        <v>0.92</v>
      </c>
      <c r="L945" s="80">
        <v>0.92</v>
      </c>
      <c r="M945" s="80">
        <v>0.92</v>
      </c>
      <c r="N945" s="80">
        <v>0.92</v>
      </c>
      <c r="O945" s="80">
        <v>0.92</v>
      </c>
      <c r="P945" s="80">
        <v>0.92</v>
      </c>
      <c r="Q945" s="80">
        <v>0.92</v>
      </c>
      <c r="R945" s="80">
        <v>0.92</v>
      </c>
      <c r="S945" s="80">
        <v>0.92</v>
      </c>
      <c r="T945" s="80">
        <v>0.92</v>
      </c>
      <c r="U945" s="80">
        <v>0.92</v>
      </c>
      <c r="V945" s="80">
        <v>0.92</v>
      </c>
      <c r="W945" s="80">
        <v>0.92</v>
      </c>
      <c r="X945" s="80">
        <v>0.92</v>
      </c>
      <c r="Y945" s="80">
        <v>0.92</v>
      </c>
      <c r="Z945" s="80">
        <v>0.92</v>
      </c>
      <c r="AA945" s="80">
        <v>0.92</v>
      </c>
      <c r="AB945" s="80">
        <v>0.92</v>
      </c>
      <c r="AC945" s="80">
        <v>0.92</v>
      </c>
      <c r="AD945" s="80">
        <v>0.92</v>
      </c>
      <c r="AE945" s="80">
        <v>0.92</v>
      </c>
      <c r="AF945" s="80">
        <v>0.92</v>
      </c>
      <c r="AG945" s="80">
        <v>0.92</v>
      </c>
      <c r="AH945" s="80">
        <v>0.92</v>
      </c>
      <c r="AI945" s="80">
        <v>0.92</v>
      </c>
      <c r="AJ945" s="80">
        <v>0.92</v>
      </c>
      <c r="AK945" s="80">
        <v>0.92</v>
      </c>
      <c r="AL945" s="80">
        <v>0.92</v>
      </c>
      <c r="AM945" s="80">
        <v>0.92</v>
      </c>
      <c r="AN945" s="80">
        <v>0.92</v>
      </c>
      <c r="AO945" s="80">
        <v>0.92</v>
      </c>
      <c r="AP945" s="80">
        <v>0.92</v>
      </c>
      <c r="AQ945" s="80">
        <v>0.92</v>
      </c>
      <c r="AR945" s="80">
        <v>0.92</v>
      </c>
      <c r="AS945" s="80">
        <v>0.92</v>
      </c>
      <c r="AT945" s="80">
        <v>0.92</v>
      </c>
      <c r="AU945" s="80">
        <v>0.92</v>
      </c>
      <c r="AV945" s="80">
        <v>0.92</v>
      </c>
      <c r="AW945" s="80">
        <v>0.92</v>
      </c>
      <c r="AX945" s="88">
        <v>0.92</v>
      </c>
    </row>
    <row r="946" spans="1:50" x14ac:dyDescent="0.25">
      <c r="A946" s="355" t="s">
        <v>43</v>
      </c>
      <c r="B946" s="358" t="s">
        <v>44</v>
      </c>
      <c r="C946" s="353" t="s">
        <v>6</v>
      </c>
      <c r="D946" s="3" t="s">
        <v>7</v>
      </c>
      <c r="E946" s="162" t="str">
        <f>A946&amp;"/"&amp;B946&amp;"/"&amp;C946&amp;"/"&amp;D946</f>
        <v>Hydro plants/Run-of-river/Electricity only/L</v>
      </c>
      <c r="F946" s="77" t="str">
        <f>A946</f>
        <v>Hydro plants</v>
      </c>
      <c r="G946" s="77" t="str">
        <f>B946</f>
        <v>Run-of-river</v>
      </c>
      <c r="H946" s="77" t="str">
        <f>C946</f>
        <v>Electricity only</v>
      </c>
      <c r="I946" s="163" t="str">
        <f t="shared" si="92"/>
        <v>L</v>
      </c>
      <c r="J946" s="77">
        <v>0.93</v>
      </c>
      <c r="K946" s="77">
        <v>0.93</v>
      </c>
      <c r="L946" s="77">
        <v>0.93</v>
      </c>
      <c r="M946" s="77">
        <v>0.93</v>
      </c>
      <c r="N946" s="77">
        <v>0.93</v>
      </c>
      <c r="O946" s="77">
        <v>0.93</v>
      </c>
      <c r="P946" s="77">
        <v>0.93</v>
      </c>
      <c r="Q946" s="77">
        <v>0.93</v>
      </c>
      <c r="R946" s="77">
        <v>0.93</v>
      </c>
      <c r="S946" s="77">
        <v>0.93</v>
      </c>
      <c r="T946" s="77">
        <v>0.93</v>
      </c>
      <c r="U946" s="77">
        <v>0.93</v>
      </c>
      <c r="V946" s="77">
        <v>0.93</v>
      </c>
      <c r="W946" s="77">
        <v>0.93</v>
      </c>
      <c r="X946" s="77">
        <v>0.93</v>
      </c>
      <c r="Y946" s="77">
        <v>0.93</v>
      </c>
      <c r="Z946" s="77">
        <v>0.93</v>
      </c>
      <c r="AA946" s="77">
        <v>0.93</v>
      </c>
      <c r="AB946" s="77">
        <v>0.93</v>
      </c>
      <c r="AC946" s="77">
        <v>0.93</v>
      </c>
      <c r="AD946" s="77">
        <v>0.93</v>
      </c>
      <c r="AE946" s="77">
        <v>0.93</v>
      </c>
      <c r="AF946" s="77">
        <v>0.93</v>
      </c>
      <c r="AG946" s="77">
        <v>0.93</v>
      </c>
      <c r="AH946" s="77">
        <v>0.93</v>
      </c>
      <c r="AI946" s="77">
        <v>0.93</v>
      </c>
      <c r="AJ946" s="77">
        <v>0.93</v>
      </c>
      <c r="AK946" s="77">
        <v>0.93</v>
      </c>
      <c r="AL946" s="77">
        <v>0.93</v>
      </c>
      <c r="AM946" s="77">
        <v>0.93</v>
      </c>
      <c r="AN946" s="77">
        <v>0.93</v>
      </c>
      <c r="AO946" s="77">
        <v>0.93</v>
      </c>
      <c r="AP946" s="77">
        <v>0.93</v>
      </c>
      <c r="AQ946" s="77">
        <v>0.93</v>
      </c>
      <c r="AR946" s="77">
        <v>0.93</v>
      </c>
      <c r="AS946" s="77">
        <v>0.93</v>
      </c>
      <c r="AT946" s="77">
        <v>0.93</v>
      </c>
      <c r="AU946" s="77">
        <v>0.93</v>
      </c>
      <c r="AV946" s="77">
        <v>0.93</v>
      </c>
      <c r="AW946" s="77">
        <v>0.93</v>
      </c>
      <c r="AX946" s="85">
        <v>0.93</v>
      </c>
    </row>
    <row r="947" spans="1:50" x14ac:dyDescent="0.25">
      <c r="A947" s="356"/>
      <c r="B947" s="359"/>
      <c r="C947" s="350"/>
      <c r="D947" s="2" t="s">
        <v>8</v>
      </c>
      <c r="E947" s="160" t="str">
        <f>A946&amp;"/"&amp;B946&amp;"/"&amp;C946&amp;"/"&amp;D947</f>
        <v>Hydro plants/Run-of-river/Electricity only/M</v>
      </c>
      <c r="F947" s="76" t="str">
        <f>A946</f>
        <v>Hydro plants</v>
      </c>
      <c r="G947" s="76" t="str">
        <f>B946</f>
        <v>Run-of-river</v>
      </c>
      <c r="H947" s="76" t="str">
        <f>C946</f>
        <v>Electricity only</v>
      </c>
      <c r="I947" s="161" t="str">
        <f t="shared" si="92"/>
        <v>M</v>
      </c>
      <c r="J947" s="76">
        <v>0.93</v>
      </c>
      <c r="K947" s="76">
        <v>0.93</v>
      </c>
      <c r="L947" s="76">
        <v>0.93</v>
      </c>
      <c r="M947" s="76">
        <v>0.93</v>
      </c>
      <c r="N947" s="76">
        <v>0.93</v>
      </c>
      <c r="O947" s="76">
        <v>0.93</v>
      </c>
      <c r="P947" s="76">
        <v>0.93</v>
      </c>
      <c r="Q947" s="76">
        <v>0.93</v>
      </c>
      <c r="R947" s="76">
        <v>0.93</v>
      </c>
      <c r="S947" s="76">
        <v>0.93</v>
      </c>
      <c r="T947" s="76">
        <v>0.93</v>
      </c>
      <c r="U947" s="76">
        <v>0.93</v>
      </c>
      <c r="V947" s="76">
        <v>0.93</v>
      </c>
      <c r="W947" s="76">
        <v>0.93</v>
      </c>
      <c r="X947" s="76">
        <v>0.93</v>
      </c>
      <c r="Y947" s="76">
        <v>0.93</v>
      </c>
      <c r="Z947" s="76">
        <v>0.93</v>
      </c>
      <c r="AA947" s="76">
        <v>0.93</v>
      </c>
      <c r="AB947" s="76">
        <v>0.93</v>
      </c>
      <c r="AC947" s="76">
        <v>0.93</v>
      </c>
      <c r="AD947" s="76">
        <v>0.93</v>
      </c>
      <c r="AE947" s="76">
        <v>0.93</v>
      </c>
      <c r="AF947" s="76">
        <v>0.93</v>
      </c>
      <c r="AG947" s="76">
        <v>0.93</v>
      </c>
      <c r="AH947" s="76">
        <v>0.93</v>
      </c>
      <c r="AI947" s="76">
        <v>0.93</v>
      </c>
      <c r="AJ947" s="76">
        <v>0.93</v>
      </c>
      <c r="AK947" s="76">
        <v>0.93</v>
      </c>
      <c r="AL947" s="76">
        <v>0.93</v>
      </c>
      <c r="AM947" s="76">
        <v>0.93</v>
      </c>
      <c r="AN947" s="76">
        <v>0.93</v>
      </c>
      <c r="AO947" s="76">
        <v>0.93</v>
      </c>
      <c r="AP947" s="76">
        <v>0.93</v>
      </c>
      <c r="AQ947" s="76">
        <v>0.93</v>
      </c>
      <c r="AR947" s="76">
        <v>0.93</v>
      </c>
      <c r="AS947" s="76">
        <v>0.93</v>
      </c>
      <c r="AT947" s="76">
        <v>0.93</v>
      </c>
      <c r="AU947" s="76">
        <v>0.93</v>
      </c>
      <c r="AV947" s="76">
        <v>0.93</v>
      </c>
      <c r="AW947" s="76">
        <v>0.93</v>
      </c>
      <c r="AX947" s="84">
        <v>0.93</v>
      </c>
    </row>
    <row r="948" spans="1:50" x14ac:dyDescent="0.25">
      <c r="A948" s="356"/>
      <c r="B948" s="359"/>
      <c r="C948" s="350"/>
      <c r="D948" s="2" t="s">
        <v>10</v>
      </c>
      <c r="E948" s="160" t="str">
        <f>A946&amp;"/"&amp;B946&amp;"/"&amp;C946&amp;"/"&amp;D948</f>
        <v>Hydro plants/Run-of-river/Electricity only/S</v>
      </c>
      <c r="F948" s="76" t="str">
        <f>A946</f>
        <v>Hydro plants</v>
      </c>
      <c r="G948" s="76" t="str">
        <f>B946</f>
        <v>Run-of-river</v>
      </c>
      <c r="H948" s="76" t="str">
        <f>C946</f>
        <v>Electricity only</v>
      </c>
      <c r="I948" s="161" t="str">
        <f t="shared" si="92"/>
        <v>S</v>
      </c>
      <c r="J948" s="76">
        <v>0.93</v>
      </c>
      <c r="K948" s="76">
        <v>0.93</v>
      </c>
      <c r="L948" s="76">
        <v>0.93</v>
      </c>
      <c r="M948" s="76">
        <v>0.93</v>
      </c>
      <c r="N948" s="76">
        <v>0.93</v>
      </c>
      <c r="O948" s="76">
        <v>0.93</v>
      </c>
      <c r="P948" s="76">
        <v>0.93</v>
      </c>
      <c r="Q948" s="76">
        <v>0.93</v>
      </c>
      <c r="R948" s="76">
        <v>0.93</v>
      </c>
      <c r="S948" s="76">
        <v>0.93</v>
      </c>
      <c r="T948" s="76">
        <v>0.93</v>
      </c>
      <c r="U948" s="76">
        <v>0.93</v>
      </c>
      <c r="V948" s="76">
        <v>0.93</v>
      </c>
      <c r="W948" s="76">
        <v>0.93</v>
      </c>
      <c r="X948" s="76">
        <v>0.93</v>
      </c>
      <c r="Y948" s="76">
        <v>0.93</v>
      </c>
      <c r="Z948" s="76">
        <v>0.93</v>
      </c>
      <c r="AA948" s="76">
        <v>0.93</v>
      </c>
      <c r="AB948" s="76">
        <v>0.93</v>
      </c>
      <c r="AC948" s="76">
        <v>0.93</v>
      </c>
      <c r="AD948" s="76">
        <v>0.93</v>
      </c>
      <c r="AE948" s="76">
        <v>0.93</v>
      </c>
      <c r="AF948" s="76">
        <v>0.93</v>
      </c>
      <c r="AG948" s="76">
        <v>0.93</v>
      </c>
      <c r="AH948" s="76">
        <v>0.93</v>
      </c>
      <c r="AI948" s="76">
        <v>0.93</v>
      </c>
      <c r="AJ948" s="76">
        <v>0.93</v>
      </c>
      <c r="AK948" s="76">
        <v>0.93</v>
      </c>
      <c r="AL948" s="76">
        <v>0.93</v>
      </c>
      <c r="AM948" s="76">
        <v>0.93</v>
      </c>
      <c r="AN948" s="76">
        <v>0.93</v>
      </c>
      <c r="AO948" s="76">
        <v>0.93</v>
      </c>
      <c r="AP948" s="76">
        <v>0.93</v>
      </c>
      <c r="AQ948" s="76">
        <v>0.93</v>
      </c>
      <c r="AR948" s="76">
        <v>0.93</v>
      </c>
      <c r="AS948" s="76">
        <v>0.93</v>
      </c>
      <c r="AT948" s="76">
        <v>0.93</v>
      </c>
      <c r="AU948" s="76">
        <v>0.93</v>
      </c>
      <c r="AV948" s="76">
        <v>0.93</v>
      </c>
      <c r="AW948" s="76">
        <v>0.93</v>
      </c>
      <c r="AX948" s="84">
        <v>0.93</v>
      </c>
    </row>
    <row r="949" spans="1:50" x14ac:dyDescent="0.25">
      <c r="A949" s="356"/>
      <c r="B949" s="368"/>
      <c r="C949" s="360"/>
      <c r="D949" s="59" t="s">
        <v>20</v>
      </c>
      <c r="E949" s="166" t="str">
        <f>A946&amp;"/"&amp;B946&amp;"/"&amp;C946&amp;"/"&amp;D949</f>
        <v>Hydro plants/Run-of-river/Electricity only/XS</v>
      </c>
      <c r="F949" s="79" t="str">
        <f>A946</f>
        <v>Hydro plants</v>
      </c>
      <c r="G949" s="79" t="str">
        <f>B946</f>
        <v>Run-of-river</v>
      </c>
      <c r="H949" s="79" t="str">
        <f>C946</f>
        <v>Electricity only</v>
      </c>
      <c r="I949" s="167" t="str">
        <f t="shared" si="92"/>
        <v>XS</v>
      </c>
      <c r="J949" s="79">
        <v>0.93</v>
      </c>
      <c r="K949" s="79">
        <v>0.93</v>
      </c>
      <c r="L949" s="79">
        <v>0.93</v>
      </c>
      <c r="M949" s="79">
        <v>0.93</v>
      </c>
      <c r="N949" s="79">
        <v>0.93</v>
      </c>
      <c r="O949" s="79">
        <v>0.93</v>
      </c>
      <c r="P949" s="79">
        <v>0.93</v>
      </c>
      <c r="Q949" s="79">
        <v>0.93</v>
      </c>
      <c r="R949" s="79">
        <v>0.93</v>
      </c>
      <c r="S949" s="79">
        <v>0.93</v>
      </c>
      <c r="T949" s="79">
        <v>0.93</v>
      </c>
      <c r="U949" s="79">
        <v>0.93</v>
      </c>
      <c r="V949" s="79">
        <v>0.93</v>
      </c>
      <c r="W949" s="79">
        <v>0.93</v>
      </c>
      <c r="X949" s="79">
        <v>0.93</v>
      </c>
      <c r="Y949" s="79">
        <v>0.93</v>
      </c>
      <c r="Z949" s="79">
        <v>0.93</v>
      </c>
      <c r="AA949" s="79">
        <v>0.93</v>
      </c>
      <c r="AB949" s="79">
        <v>0.93</v>
      </c>
      <c r="AC949" s="79">
        <v>0.93</v>
      </c>
      <c r="AD949" s="79">
        <v>0.93</v>
      </c>
      <c r="AE949" s="79">
        <v>0.93</v>
      </c>
      <c r="AF949" s="79">
        <v>0.93</v>
      </c>
      <c r="AG949" s="79">
        <v>0.93</v>
      </c>
      <c r="AH949" s="79">
        <v>0.93</v>
      </c>
      <c r="AI949" s="79">
        <v>0.93</v>
      </c>
      <c r="AJ949" s="79">
        <v>0.93</v>
      </c>
      <c r="AK949" s="79">
        <v>0.93</v>
      </c>
      <c r="AL949" s="79">
        <v>0.93</v>
      </c>
      <c r="AM949" s="79">
        <v>0.93</v>
      </c>
      <c r="AN949" s="79">
        <v>0.93</v>
      </c>
      <c r="AO949" s="79">
        <v>0.93</v>
      </c>
      <c r="AP949" s="79">
        <v>0.93</v>
      </c>
      <c r="AQ949" s="79">
        <v>0.93</v>
      </c>
      <c r="AR949" s="79">
        <v>0.93</v>
      </c>
      <c r="AS949" s="79">
        <v>0.93</v>
      </c>
      <c r="AT949" s="79">
        <v>0.93</v>
      </c>
      <c r="AU949" s="79">
        <v>0.93</v>
      </c>
      <c r="AV949" s="79">
        <v>0.93</v>
      </c>
      <c r="AW949" s="79">
        <v>0.93</v>
      </c>
      <c r="AX949" s="87">
        <v>0.93</v>
      </c>
    </row>
    <row r="950" spans="1:50" x14ac:dyDescent="0.25">
      <c r="A950" s="356"/>
      <c r="B950" s="359" t="s">
        <v>45</v>
      </c>
      <c r="C950" s="350" t="s">
        <v>6</v>
      </c>
      <c r="D950" s="2" t="s">
        <v>7</v>
      </c>
      <c r="E950" s="160" t="str">
        <f>A946&amp;"/"&amp;B950&amp;"/"&amp;C950&amp;"/"&amp;D950</f>
        <v>Hydro plants/Reservoirs (dams)/Electricity only/L</v>
      </c>
      <c r="F950" s="76" t="str">
        <f>A946</f>
        <v>Hydro plants</v>
      </c>
      <c r="G950" s="76" t="str">
        <f>B950</f>
        <v>Reservoirs (dams)</v>
      </c>
      <c r="H950" s="76" t="str">
        <f>C950</f>
        <v>Electricity only</v>
      </c>
      <c r="I950" s="161" t="str">
        <f t="shared" si="92"/>
        <v>L</v>
      </c>
      <c r="J950" s="76">
        <v>0.96</v>
      </c>
      <c r="K950" s="76">
        <v>0.96</v>
      </c>
      <c r="L950" s="76">
        <v>0.96</v>
      </c>
      <c r="M950" s="76">
        <v>0.96</v>
      </c>
      <c r="N950" s="76">
        <v>0.96</v>
      </c>
      <c r="O950" s="76">
        <v>0.96</v>
      </c>
      <c r="P950" s="76">
        <v>0.96</v>
      </c>
      <c r="Q950" s="76">
        <v>0.96</v>
      </c>
      <c r="R950" s="76">
        <v>0.96</v>
      </c>
      <c r="S950" s="76">
        <v>0.96</v>
      </c>
      <c r="T950" s="76">
        <v>0.96</v>
      </c>
      <c r="U950" s="76">
        <v>0.96</v>
      </c>
      <c r="V950" s="76">
        <v>0.96</v>
      </c>
      <c r="W950" s="76">
        <v>0.96</v>
      </c>
      <c r="X950" s="76">
        <v>0.96</v>
      </c>
      <c r="Y950" s="76">
        <v>0.96</v>
      </c>
      <c r="Z950" s="76">
        <v>0.96</v>
      </c>
      <c r="AA950" s="76">
        <v>0.96</v>
      </c>
      <c r="AB950" s="76">
        <v>0.96</v>
      </c>
      <c r="AC950" s="76">
        <v>0.96</v>
      </c>
      <c r="AD950" s="76">
        <v>0.96</v>
      </c>
      <c r="AE950" s="76">
        <v>0.96</v>
      </c>
      <c r="AF950" s="76">
        <v>0.96</v>
      </c>
      <c r="AG950" s="76">
        <v>0.96</v>
      </c>
      <c r="AH950" s="76">
        <v>0.96</v>
      </c>
      <c r="AI950" s="76">
        <v>0.96</v>
      </c>
      <c r="AJ950" s="76">
        <v>0.96</v>
      </c>
      <c r="AK950" s="76">
        <v>0.96</v>
      </c>
      <c r="AL950" s="76">
        <v>0.96</v>
      </c>
      <c r="AM950" s="76">
        <v>0.96</v>
      </c>
      <c r="AN950" s="76">
        <v>0.96</v>
      </c>
      <c r="AO950" s="76">
        <v>0.96</v>
      </c>
      <c r="AP950" s="76">
        <v>0.96</v>
      </c>
      <c r="AQ950" s="76">
        <v>0.96</v>
      </c>
      <c r="AR950" s="76">
        <v>0.96</v>
      </c>
      <c r="AS950" s="76">
        <v>0.96</v>
      </c>
      <c r="AT950" s="76">
        <v>0.96</v>
      </c>
      <c r="AU950" s="76">
        <v>0.96</v>
      </c>
      <c r="AV950" s="76">
        <v>0.96</v>
      </c>
      <c r="AW950" s="76">
        <v>0.96</v>
      </c>
      <c r="AX950" s="84">
        <v>0.96</v>
      </c>
    </row>
    <row r="951" spans="1:50" x14ac:dyDescent="0.25">
      <c r="A951" s="356"/>
      <c r="B951" s="359"/>
      <c r="C951" s="350"/>
      <c r="D951" s="2" t="s">
        <v>8</v>
      </c>
      <c r="E951" s="160" t="str">
        <f>A946&amp;"/"&amp;B950&amp;"/"&amp;C950&amp;"/"&amp;D951</f>
        <v>Hydro plants/Reservoirs (dams)/Electricity only/M</v>
      </c>
      <c r="F951" s="76" t="str">
        <f>A946</f>
        <v>Hydro plants</v>
      </c>
      <c r="G951" s="76" t="str">
        <f>B950</f>
        <v>Reservoirs (dams)</v>
      </c>
      <c r="H951" s="76" t="str">
        <f>C950</f>
        <v>Electricity only</v>
      </c>
      <c r="I951" s="161" t="str">
        <f t="shared" si="92"/>
        <v>M</v>
      </c>
      <c r="J951" s="76">
        <v>0.96</v>
      </c>
      <c r="K951" s="76">
        <v>0.96</v>
      </c>
      <c r="L951" s="76">
        <v>0.96</v>
      </c>
      <c r="M951" s="76">
        <v>0.96</v>
      </c>
      <c r="N951" s="76">
        <v>0.96</v>
      </c>
      <c r="O951" s="76">
        <v>0.96</v>
      </c>
      <c r="P951" s="76">
        <v>0.96</v>
      </c>
      <c r="Q951" s="76">
        <v>0.96</v>
      </c>
      <c r="R951" s="76">
        <v>0.96</v>
      </c>
      <c r="S951" s="76">
        <v>0.96</v>
      </c>
      <c r="T951" s="76">
        <v>0.96</v>
      </c>
      <c r="U951" s="76">
        <v>0.96</v>
      </c>
      <c r="V951" s="76">
        <v>0.96</v>
      </c>
      <c r="W951" s="76">
        <v>0.96</v>
      </c>
      <c r="X951" s="76">
        <v>0.96</v>
      </c>
      <c r="Y951" s="76">
        <v>0.96</v>
      </c>
      <c r="Z951" s="76">
        <v>0.96</v>
      </c>
      <c r="AA951" s="76">
        <v>0.96</v>
      </c>
      <c r="AB951" s="76">
        <v>0.96</v>
      </c>
      <c r="AC951" s="76">
        <v>0.96</v>
      </c>
      <c r="AD951" s="76">
        <v>0.96</v>
      </c>
      <c r="AE951" s="76">
        <v>0.96</v>
      </c>
      <c r="AF951" s="76">
        <v>0.96</v>
      </c>
      <c r="AG951" s="76">
        <v>0.96</v>
      </c>
      <c r="AH951" s="76">
        <v>0.96</v>
      </c>
      <c r="AI951" s="76">
        <v>0.96</v>
      </c>
      <c r="AJ951" s="76">
        <v>0.96</v>
      </c>
      <c r="AK951" s="76">
        <v>0.96</v>
      </c>
      <c r="AL951" s="76">
        <v>0.96</v>
      </c>
      <c r="AM951" s="76">
        <v>0.96</v>
      </c>
      <c r="AN951" s="76">
        <v>0.96</v>
      </c>
      <c r="AO951" s="76">
        <v>0.96</v>
      </c>
      <c r="AP951" s="76">
        <v>0.96</v>
      </c>
      <c r="AQ951" s="76">
        <v>0.96</v>
      </c>
      <c r="AR951" s="76">
        <v>0.96</v>
      </c>
      <c r="AS951" s="76">
        <v>0.96</v>
      </c>
      <c r="AT951" s="76">
        <v>0.96</v>
      </c>
      <c r="AU951" s="76">
        <v>0.96</v>
      </c>
      <c r="AV951" s="76">
        <v>0.96</v>
      </c>
      <c r="AW951" s="76">
        <v>0.96</v>
      </c>
      <c r="AX951" s="84">
        <v>0.96</v>
      </c>
    </row>
    <row r="952" spans="1:50" x14ac:dyDescent="0.25">
      <c r="A952" s="356"/>
      <c r="B952" s="359"/>
      <c r="C952" s="350"/>
      <c r="D952" s="2" t="s">
        <v>10</v>
      </c>
      <c r="E952" s="160" t="str">
        <f>A946&amp;"/"&amp;B950&amp;"/"&amp;C950&amp;"/"&amp;D952</f>
        <v>Hydro plants/Reservoirs (dams)/Electricity only/S</v>
      </c>
      <c r="F952" s="76" t="str">
        <f>A946</f>
        <v>Hydro plants</v>
      </c>
      <c r="G952" s="76" t="str">
        <f>B950</f>
        <v>Reservoirs (dams)</v>
      </c>
      <c r="H952" s="76" t="str">
        <f>C950</f>
        <v>Electricity only</v>
      </c>
      <c r="I952" s="161" t="str">
        <f t="shared" si="92"/>
        <v>S</v>
      </c>
      <c r="J952" s="76">
        <v>0.96</v>
      </c>
      <c r="K952" s="76">
        <v>0.96</v>
      </c>
      <c r="L952" s="76">
        <v>0.96</v>
      </c>
      <c r="M952" s="76">
        <v>0.96</v>
      </c>
      <c r="N952" s="76">
        <v>0.96</v>
      </c>
      <c r="O952" s="76">
        <v>0.96</v>
      </c>
      <c r="P952" s="76">
        <v>0.96</v>
      </c>
      <c r="Q952" s="76">
        <v>0.96</v>
      </c>
      <c r="R952" s="76">
        <v>0.96</v>
      </c>
      <c r="S952" s="76">
        <v>0.96</v>
      </c>
      <c r="T952" s="76">
        <v>0.96</v>
      </c>
      <c r="U952" s="76">
        <v>0.96</v>
      </c>
      <c r="V952" s="76">
        <v>0.96</v>
      </c>
      <c r="W952" s="76">
        <v>0.96</v>
      </c>
      <c r="X952" s="76">
        <v>0.96</v>
      </c>
      <c r="Y952" s="76">
        <v>0.96</v>
      </c>
      <c r="Z952" s="76">
        <v>0.96</v>
      </c>
      <c r="AA952" s="76">
        <v>0.96</v>
      </c>
      <c r="AB952" s="76">
        <v>0.96</v>
      </c>
      <c r="AC952" s="76">
        <v>0.96</v>
      </c>
      <c r="AD952" s="76">
        <v>0.96</v>
      </c>
      <c r="AE952" s="76">
        <v>0.96</v>
      </c>
      <c r="AF952" s="76">
        <v>0.96</v>
      </c>
      <c r="AG952" s="76">
        <v>0.96</v>
      </c>
      <c r="AH952" s="76">
        <v>0.96</v>
      </c>
      <c r="AI952" s="76">
        <v>0.96</v>
      </c>
      <c r="AJ952" s="76">
        <v>0.96</v>
      </c>
      <c r="AK952" s="76">
        <v>0.96</v>
      </c>
      <c r="AL952" s="76">
        <v>0.96</v>
      </c>
      <c r="AM952" s="76">
        <v>0.96</v>
      </c>
      <c r="AN952" s="76">
        <v>0.96</v>
      </c>
      <c r="AO952" s="76">
        <v>0.96</v>
      </c>
      <c r="AP952" s="76">
        <v>0.96</v>
      </c>
      <c r="AQ952" s="76">
        <v>0.96</v>
      </c>
      <c r="AR952" s="76">
        <v>0.96</v>
      </c>
      <c r="AS952" s="76">
        <v>0.96</v>
      </c>
      <c r="AT952" s="76">
        <v>0.96</v>
      </c>
      <c r="AU952" s="76">
        <v>0.96</v>
      </c>
      <c r="AV952" s="76">
        <v>0.96</v>
      </c>
      <c r="AW952" s="76">
        <v>0.96</v>
      </c>
      <c r="AX952" s="84">
        <v>0.96</v>
      </c>
    </row>
    <row r="953" spans="1:50" x14ac:dyDescent="0.25">
      <c r="A953" s="357"/>
      <c r="B953" s="362"/>
      <c r="C953" s="354"/>
      <c r="D953" s="4" t="s">
        <v>20</v>
      </c>
      <c r="E953" s="168" t="str">
        <f>A946&amp;"/"&amp;B950&amp;"/"&amp;C950&amp;"/"&amp;D953</f>
        <v>Hydro plants/Reservoirs (dams)/Electricity only/XS</v>
      </c>
      <c r="F953" s="80" t="str">
        <f>A946</f>
        <v>Hydro plants</v>
      </c>
      <c r="G953" s="80" t="str">
        <f>B950</f>
        <v>Reservoirs (dams)</v>
      </c>
      <c r="H953" s="80" t="str">
        <f>C950</f>
        <v>Electricity only</v>
      </c>
      <c r="I953" s="169" t="str">
        <f t="shared" si="92"/>
        <v>XS</v>
      </c>
      <c r="J953" s="80">
        <v>0.96</v>
      </c>
      <c r="K953" s="80">
        <v>0.96</v>
      </c>
      <c r="L953" s="80">
        <v>0.96</v>
      </c>
      <c r="M953" s="80">
        <v>0.96</v>
      </c>
      <c r="N953" s="80">
        <v>0.96</v>
      </c>
      <c r="O953" s="80">
        <v>0.96</v>
      </c>
      <c r="P953" s="80">
        <v>0.96</v>
      </c>
      <c r="Q953" s="80">
        <v>0.96</v>
      </c>
      <c r="R953" s="80">
        <v>0.96</v>
      </c>
      <c r="S953" s="80">
        <v>0.96</v>
      </c>
      <c r="T953" s="80">
        <v>0.96</v>
      </c>
      <c r="U953" s="80">
        <v>0.96</v>
      </c>
      <c r="V953" s="80">
        <v>0.96</v>
      </c>
      <c r="W953" s="80">
        <v>0.96</v>
      </c>
      <c r="X953" s="80">
        <v>0.96</v>
      </c>
      <c r="Y953" s="80">
        <v>0.96</v>
      </c>
      <c r="Z953" s="80">
        <v>0.96</v>
      </c>
      <c r="AA953" s="80">
        <v>0.96</v>
      </c>
      <c r="AB953" s="80">
        <v>0.96</v>
      </c>
      <c r="AC953" s="80">
        <v>0.96</v>
      </c>
      <c r="AD953" s="80">
        <v>0.96</v>
      </c>
      <c r="AE953" s="80">
        <v>0.96</v>
      </c>
      <c r="AF953" s="80">
        <v>0.96</v>
      </c>
      <c r="AG953" s="80">
        <v>0.96</v>
      </c>
      <c r="AH953" s="80">
        <v>0.96</v>
      </c>
      <c r="AI953" s="80">
        <v>0.96</v>
      </c>
      <c r="AJ953" s="80">
        <v>0.96</v>
      </c>
      <c r="AK953" s="80">
        <v>0.96</v>
      </c>
      <c r="AL953" s="80">
        <v>0.96</v>
      </c>
      <c r="AM953" s="80">
        <v>0.96</v>
      </c>
      <c r="AN953" s="80">
        <v>0.96</v>
      </c>
      <c r="AO953" s="80">
        <v>0.96</v>
      </c>
      <c r="AP953" s="80">
        <v>0.96</v>
      </c>
      <c r="AQ953" s="80">
        <v>0.96</v>
      </c>
      <c r="AR953" s="80">
        <v>0.96</v>
      </c>
      <c r="AS953" s="80">
        <v>0.96</v>
      </c>
      <c r="AT953" s="80">
        <v>0.96</v>
      </c>
      <c r="AU953" s="80">
        <v>0.96</v>
      </c>
      <c r="AV953" s="80">
        <v>0.96</v>
      </c>
      <c r="AW953" s="80">
        <v>0.96</v>
      </c>
      <c r="AX953" s="88">
        <v>0.96</v>
      </c>
    </row>
    <row r="954" spans="1:50" x14ac:dyDescent="0.25">
      <c r="A954" s="356" t="s">
        <v>46</v>
      </c>
      <c r="B954" s="359" t="s">
        <v>46</v>
      </c>
      <c r="C954" s="353" t="s">
        <v>6</v>
      </c>
      <c r="D954" s="2" t="s">
        <v>7</v>
      </c>
      <c r="E954" s="160" t="str">
        <f>A954&amp;"/"&amp;B954&amp;"/"&amp;C954&amp;"/"&amp;D954</f>
        <v>Pump storage/Pump storage/Electricity only/L</v>
      </c>
      <c r="F954" s="76" t="str">
        <f>A954</f>
        <v>Pump storage</v>
      </c>
      <c r="G954" s="76" t="str">
        <f>B954</f>
        <v>Pump storage</v>
      </c>
      <c r="H954" s="76" t="str">
        <f>C954</f>
        <v>Electricity only</v>
      </c>
      <c r="I954" s="161" t="str">
        <f t="shared" si="92"/>
        <v>L</v>
      </c>
      <c r="J954" s="76">
        <v>0.95</v>
      </c>
      <c r="K954" s="76">
        <v>0.95</v>
      </c>
      <c r="L954" s="76">
        <v>0.95</v>
      </c>
      <c r="M954" s="76">
        <v>0.95</v>
      </c>
      <c r="N954" s="76">
        <v>0.95</v>
      </c>
      <c r="O954" s="76">
        <v>0.95</v>
      </c>
      <c r="P954" s="76">
        <v>0.95</v>
      </c>
      <c r="Q954" s="76">
        <v>0.95</v>
      </c>
      <c r="R954" s="76">
        <v>0.95</v>
      </c>
      <c r="S954" s="76">
        <v>0.95</v>
      </c>
      <c r="T954" s="76">
        <v>0.95</v>
      </c>
      <c r="U954" s="76">
        <v>0.95</v>
      </c>
      <c r="V954" s="76">
        <v>0.95</v>
      </c>
      <c r="W954" s="76">
        <v>0.95</v>
      </c>
      <c r="X954" s="76">
        <v>0.95</v>
      </c>
      <c r="Y954" s="76">
        <v>0.95</v>
      </c>
      <c r="Z954" s="76">
        <v>0.95</v>
      </c>
      <c r="AA954" s="76">
        <v>0.95</v>
      </c>
      <c r="AB954" s="76">
        <v>0.95</v>
      </c>
      <c r="AC954" s="76">
        <v>0.95</v>
      </c>
      <c r="AD954" s="76">
        <v>0.95</v>
      </c>
      <c r="AE954" s="76">
        <v>0.95</v>
      </c>
      <c r="AF954" s="76">
        <v>0.95</v>
      </c>
      <c r="AG954" s="76">
        <v>0.95</v>
      </c>
      <c r="AH954" s="76">
        <v>0.95</v>
      </c>
      <c r="AI954" s="76">
        <v>0.95</v>
      </c>
      <c r="AJ954" s="76">
        <v>0.95</v>
      </c>
      <c r="AK954" s="76">
        <v>0.95</v>
      </c>
      <c r="AL954" s="76">
        <v>0.95</v>
      </c>
      <c r="AM954" s="76">
        <v>0.95</v>
      </c>
      <c r="AN954" s="76">
        <v>0.95</v>
      </c>
      <c r="AO954" s="76">
        <v>0.95</v>
      </c>
      <c r="AP954" s="76">
        <v>0.95</v>
      </c>
      <c r="AQ954" s="76">
        <v>0.95</v>
      </c>
      <c r="AR954" s="76">
        <v>0.95</v>
      </c>
      <c r="AS954" s="76">
        <v>0.95</v>
      </c>
      <c r="AT954" s="76">
        <v>0.95</v>
      </c>
      <c r="AU954" s="76">
        <v>0.95</v>
      </c>
      <c r="AV954" s="76">
        <v>0.95</v>
      </c>
      <c r="AW954" s="76">
        <v>0.95</v>
      </c>
      <c r="AX954" s="84">
        <v>0.95</v>
      </c>
    </row>
    <row r="955" spans="1:50" x14ac:dyDescent="0.25">
      <c r="A955" s="356"/>
      <c r="B955" s="359"/>
      <c r="C955" s="350"/>
      <c r="D955" s="2" t="s">
        <v>8</v>
      </c>
      <c r="E955" s="160" t="str">
        <f>A954&amp;"/"&amp;B954&amp;"/"&amp;C954&amp;"/"&amp;D955</f>
        <v>Pump storage/Pump storage/Electricity only/M</v>
      </c>
      <c r="F955" s="76" t="str">
        <f>A954</f>
        <v>Pump storage</v>
      </c>
      <c r="G955" s="76" t="str">
        <f>B954</f>
        <v>Pump storage</v>
      </c>
      <c r="H955" s="76" t="str">
        <f>C954</f>
        <v>Electricity only</v>
      </c>
      <c r="I955" s="161" t="str">
        <f t="shared" si="92"/>
        <v>M</v>
      </c>
      <c r="J955" s="76">
        <v>0.95</v>
      </c>
      <c r="K955" s="76">
        <v>0.95</v>
      </c>
      <c r="L955" s="76">
        <v>0.95</v>
      </c>
      <c r="M955" s="76">
        <v>0.95</v>
      </c>
      <c r="N955" s="76">
        <v>0.95</v>
      </c>
      <c r="O955" s="76">
        <v>0.95</v>
      </c>
      <c r="P955" s="76">
        <v>0.95</v>
      </c>
      <c r="Q955" s="76">
        <v>0.95</v>
      </c>
      <c r="R955" s="76">
        <v>0.95</v>
      </c>
      <c r="S955" s="76">
        <v>0.95</v>
      </c>
      <c r="T955" s="76">
        <v>0.95</v>
      </c>
      <c r="U955" s="76">
        <v>0.95</v>
      </c>
      <c r="V955" s="76">
        <v>0.95</v>
      </c>
      <c r="W955" s="76">
        <v>0.95</v>
      </c>
      <c r="X955" s="76">
        <v>0.95</v>
      </c>
      <c r="Y955" s="76">
        <v>0.95</v>
      </c>
      <c r="Z955" s="76">
        <v>0.95</v>
      </c>
      <c r="AA955" s="76">
        <v>0.95</v>
      </c>
      <c r="AB955" s="76">
        <v>0.95</v>
      </c>
      <c r="AC955" s="76">
        <v>0.95</v>
      </c>
      <c r="AD955" s="76">
        <v>0.95</v>
      </c>
      <c r="AE955" s="76">
        <v>0.95</v>
      </c>
      <c r="AF955" s="76">
        <v>0.95</v>
      </c>
      <c r="AG955" s="76">
        <v>0.95</v>
      </c>
      <c r="AH955" s="76">
        <v>0.95</v>
      </c>
      <c r="AI955" s="76">
        <v>0.95</v>
      </c>
      <c r="AJ955" s="76">
        <v>0.95</v>
      </c>
      <c r="AK955" s="76">
        <v>0.95</v>
      </c>
      <c r="AL955" s="76">
        <v>0.95</v>
      </c>
      <c r="AM955" s="76">
        <v>0.95</v>
      </c>
      <c r="AN955" s="76">
        <v>0.95</v>
      </c>
      <c r="AO955" s="76">
        <v>0.95</v>
      </c>
      <c r="AP955" s="76">
        <v>0.95</v>
      </c>
      <c r="AQ955" s="76">
        <v>0.95</v>
      </c>
      <c r="AR955" s="76">
        <v>0.95</v>
      </c>
      <c r="AS955" s="76">
        <v>0.95</v>
      </c>
      <c r="AT955" s="76">
        <v>0.95</v>
      </c>
      <c r="AU955" s="76">
        <v>0.95</v>
      </c>
      <c r="AV955" s="76">
        <v>0.95</v>
      </c>
      <c r="AW955" s="76">
        <v>0.95</v>
      </c>
      <c r="AX955" s="84">
        <v>0.95</v>
      </c>
    </row>
    <row r="956" spans="1:50" x14ac:dyDescent="0.25">
      <c r="A956" s="356"/>
      <c r="B956" s="359"/>
      <c r="C956" s="350"/>
      <c r="D956" s="2" t="s">
        <v>10</v>
      </c>
      <c r="E956" s="160" t="str">
        <f>A954&amp;"/"&amp;B954&amp;"/"&amp;C954&amp;"/"&amp;D956</f>
        <v>Pump storage/Pump storage/Electricity only/S</v>
      </c>
      <c r="F956" s="76" t="str">
        <f>A954</f>
        <v>Pump storage</v>
      </c>
      <c r="G956" s="76" t="str">
        <f>B954</f>
        <v>Pump storage</v>
      </c>
      <c r="H956" s="76" t="str">
        <f>C954</f>
        <v>Electricity only</v>
      </c>
      <c r="I956" s="161" t="str">
        <f t="shared" si="92"/>
        <v>S</v>
      </c>
      <c r="J956" s="76">
        <v>0.95</v>
      </c>
      <c r="K956" s="76">
        <v>0.95</v>
      </c>
      <c r="L956" s="76">
        <v>0.95</v>
      </c>
      <c r="M956" s="76">
        <v>0.95</v>
      </c>
      <c r="N956" s="76">
        <v>0.95</v>
      </c>
      <c r="O956" s="76">
        <v>0.95</v>
      </c>
      <c r="P956" s="76">
        <v>0.95</v>
      </c>
      <c r="Q956" s="76">
        <v>0.95</v>
      </c>
      <c r="R956" s="76">
        <v>0.95</v>
      </c>
      <c r="S956" s="76">
        <v>0.95</v>
      </c>
      <c r="T956" s="76">
        <v>0.95</v>
      </c>
      <c r="U956" s="76">
        <v>0.95</v>
      </c>
      <c r="V956" s="76">
        <v>0.95</v>
      </c>
      <c r="W956" s="76">
        <v>0.95</v>
      </c>
      <c r="X956" s="76">
        <v>0.95</v>
      </c>
      <c r="Y956" s="76">
        <v>0.95</v>
      </c>
      <c r="Z956" s="76">
        <v>0.95</v>
      </c>
      <c r="AA956" s="76">
        <v>0.95</v>
      </c>
      <c r="AB956" s="76">
        <v>0.95</v>
      </c>
      <c r="AC956" s="76">
        <v>0.95</v>
      </c>
      <c r="AD956" s="76">
        <v>0.95</v>
      </c>
      <c r="AE956" s="76">
        <v>0.95</v>
      </c>
      <c r="AF956" s="76">
        <v>0.95</v>
      </c>
      <c r="AG956" s="76">
        <v>0.95</v>
      </c>
      <c r="AH956" s="76">
        <v>0.95</v>
      </c>
      <c r="AI956" s="76">
        <v>0.95</v>
      </c>
      <c r="AJ956" s="76">
        <v>0.95</v>
      </c>
      <c r="AK956" s="76">
        <v>0.95</v>
      </c>
      <c r="AL956" s="76">
        <v>0.95</v>
      </c>
      <c r="AM956" s="76">
        <v>0.95</v>
      </c>
      <c r="AN956" s="76">
        <v>0.95</v>
      </c>
      <c r="AO956" s="76">
        <v>0.95</v>
      </c>
      <c r="AP956" s="76">
        <v>0.95</v>
      </c>
      <c r="AQ956" s="76">
        <v>0.95</v>
      </c>
      <c r="AR956" s="76">
        <v>0.95</v>
      </c>
      <c r="AS956" s="76">
        <v>0.95</v>
      </c>
      <c r="AT956" s="76">
        <v>0.95</v>
      </c>
      <c r="AU956" s="76">
        <v>0.95</v>
      </c>
      <c r="AV956" s="76">
        <v>0.95</v>
      </c>
      <c r="AW956" s="76">
        <v>0.95</v>
      </c>
      <c r="AX956" s="84">
        <v>0.95</v>
      </c>
    </row>
    <row r="957" spans="1:50" ht="11" thickBot="1" x14ac:dyDescent="0.3">
      <c r="A957" s="372"/>
      <c r="B957" s="373"/>
      <c r="C957" s="374"/>
      <c r="D957" s="158" t="s">
        <v>20</v>
      </c>
      <c r="E957" s="172" t="str">
        <f>A954&amp;"/"&amp;B954&amp;"/"&amp;C954&amp;"/"&amp;D957</f>
        <v>Pump storage/Pump storage/Electricity only/XS</v>
      </c>
      <c r="F957" s="82" t="str">
        <f>A954</f>
        <v>Pump storage</v>
      </c>
      <c r="G957" s="82" t="str">
        <f>B954</f>
        <v>Pump storage</v>
      </c>
      <c r="H957" s="82" t="str">
        <f>C954</f>
        <v>Electricity only</v>
      </c>
      <c r="I957" s="173" t="str">
        <f t="shared" si="92"/>
        <v>XS</v>
      </c>
      <c r="J957" s="82">
        <v>0.95</v>
      </c>
      <c r="K957" s="82">
        <v>0.95</v>
      </c>
      <c r="L957" s="82">
        <v>0.95</v>
      </c>
      <c r="M957" s="82">
        <v>0.95</v>
      </c>
      <c r="N957" s="82">
        <v>0.95</v>
      </c>
      <c r="O957" s="82">
        <v>0.95</v>
      </c>
      <c r="P957" s="82">
        <v>0.95</v>
      </c>
      <c r="Q957" s="82">
        <v>0.95</v>
      </c>
      <c r="R957" s="82">
        <v>0.95</v>
      </c>
      <c r="S957" s="82">
        <v>0.95</v>
      </c>
      <c r="T957" s="82">
        <v>0.95</v>
      </c>
      <c r="U957" s="82">
        <v>0.95</v>
      </c>
      <c r="V957" s="82">
        <v>0.95</v>
      </c>
      <c r="W957" s="82">
        <v>0.95</v>
      </c>
      <c r="X957" s="82">
        <v>0.95</v>
      </c>
      <c r="Y957" s="82">
        <v>0.95</v>
      </c>
      <c r="Z957" s="82">
        <v>0.95</v>
      </c>
      <c r="AA957" s="82">
        <v>0.95</v>
      </c>
      <c r="AB957" s="82">
        <v>0.95</v>
      </c>
      <c r="AC957" s="82">
        <v>0.95</v>
      </c>
      <c r="AD957" s="82">
        <v>0.95</v>
      </c>
      <c r="AE957" s="82">
        <v>0.95</v>
      </c>
      <c r="AF957" s="82">
        <v>0.95</v>
      </c>
      <c r="AG957" s="82">
        <v>0.95</v>
      </c>
      <c r="AH957" s="82">
        <v>0.95</v>
      </c>
      <c r="AI957" s="82">
        <v>0.95</v>
      </c>
      <c r="AJ957" s="82">
        <v>0.95</v>
      </c>
      <c r="AK957" s="82">
        <v>0.95</v>
      </c>
      <c r="AL957" s="82">
        <v>0.95</v>
      </c>
      <c r="AM957" s="82">
        <v>0.95</v>
      </c>
      <c r="AN957" s="82">
        <v>0.95</v>
      </c>
      <c r="AO957" s="82">
        <v>0.95</v>
      </c>
      <c r="AP957" s="82">
        <v>0.95</v>
      </c>
      <c r="AQ957" s="82">
        <v>0.95</v>
      </c>
      <c r="AR957" s="82">
        <v>0.95</v>
      </c>
      <c r="AS957" s="82">
        <v>0.95</v>
      </c>
      <c r="AT957" s="82">
        <v>0.95</v>
      </c>
      <c r="AU957" s="82">
        <v>0.95</v>
      </c>
      <c r="AV957" s="82">
        <v>0.95</v>
      </c>
      <c r="AW957" s="82">
        <v>0.95</v>
      </c>
      <c r="AX957" s="90">
        <v>0.95</v>
      </c>
    </row>
    <row r="963" spans="1:50" ht="11" thickBot="1" x14ac:dyDescent="0.3"/>
    <row r="964" spans="1:50" x14ac:dyDescent="0.25">
      <c r="A964" s="343" t="s">
        <v>49</v>
      </c>
      <c r="B964" s="345" t="s">
        <v>50</v>
      </c>
      <c r="C964" s="345" t="s">
        <v>51</v>
      </c>
      <c r="D964" s="345" t="s">
        <v>52</v>
      </c>
      <c r="E964" s="290"/>
      <c r="F964" s="290"/>
      <c r="G964" s="290"/>
      <c r="H964" s="290"/>
      <c r="I964" s="290"/>
      <c r="J964" s="1" t="s">
        <v>99</v>
      </c>
      <c r="K964" s="289"/>
      <c r="L964" s="289"/>
      <c r="M964" s="289"/>
      <c r="N964" s="289"/>
      <c r="O964" s="289"/>
      <c r="P964" s="289"/>
      <c r="Q964" s="289"/>
      <c r="R964" s="289"/>
      <c r="S964" s="289"/>
      <c r="T964" s="289"/>
      <c r="U964" s="289"/>
      <c r="V964" s="289"/>
      <c r="W964" s="289"/>
      <c r="X964" s="289"/>
      <c r="Y964" s="289"/>
      <c r="Z964" s="289"/>
      <c r="AA964" s="289"/>
      <c r="AB964" s="289"/>
      <c r="AC964" s="289"/>
      <c r="AD964" s="289"/>
      <c r="AE964" s="289"/>
      <c r="AF964" s="289"/>
      <c r="AG964" s="289"/>
      <c r="AH964" s="289"/>
      <c r="AI964" s="289"/>
      <c r="AJ964" s="289"/>
      <c r="AK964" s="289"/>
      <c r="AL964" s="289"/>
      <c r="AM964" s="289"/>
      <c r="AN964" s="289"/>
      <c r="AO964" s="289"/>
      <c r="AP964" s="289"/>
      <c r="AQ964" s="289"/>
      <c r="AR964" s="289"/>
      <c r="AS964" s="289"/>
      <c r="AT964" s="289"/>
      <c r="AU964" s="289"/>
      <c r="AV964" s="289"/>
      <c r="AW964" s="289"/>
      <c r="AX964" s="288"/>
    </row>
    <row r="965" spans="1:50" ht="11" thickBot="1" x14ac:dyDescent="0.3">
      <c r="A965" s="344"/>
      <c r="B965" s="346"/>
      <c r="C965" s="346"/>
      <c r="D965" s="346"/>
      <c r="E965" s="291"/>
      <c r="F965" s="291"/>
      <c r="G965" s="291"/>
      <c r="H965" s="291"/>
      <c r="I965" s="291"/>
      <c r="J965" s="68">
        <v>2010</v>
      </c>
      <c r="K965" s="68">
        <v>2011</v>
      </c>
      <c r="L965" s="68">
        <v>2012</v>
      </c>
      <c r="M965" s="68">
        <v>2013</v>
      </c>
      <c r="N965" s="68">
        <v>2014</v>
      </c>
      <c r="O965" s="68">
        <v>2015</v>
      </c>
      <c r="P965" s="68">
        <v>2016</v>
      </c>
      <c r="Q965" s="68">
        <v>2017</v>
      </c>
      <c r="R965" s="68">
        <v>2018</v>
      </c>
      <c r="S965" s="68">
        <v>2019</v>
      </c>
      <c r="T965" s="68">
        <v>2020</v>
      </c>
      <c r="U965" s="68">
        <v>2021</v>
      </c>
      <c r="V965" s="68">
        <v>2022</v>
      </c>
      <c r="W965" s="68">
        <v>2023</v>
      </c>
      <c r="X965" s="68">
        <v>2024</v>
      </c>
      <c r="Y965" s="68">
        <v>2025</v>
      </c>
      <c r="Z965" s="68">
        <v>2026</v>
      </c>
      <c r="AA965" s="68">
        <v>2027</v>
      </c>
      <c r="AB965" s="68">
        <v>2028</v>
      </c>
      <c r="AC965" s="68">
        <v>2029</v>
      </c>
      <c r="AD965" s="68">
        <v>2030</v>
      </c>
      <c r="AE965" s="68">
        <v>2031</v>
      </c>
      <c r="AF965" s="68">
        <v>2032</v>
      </c>
      <c r="AG965" s="68">
        <v>2033</v>
      </c>
      <c r="AH965" s="68">
        <v>2034</v>
      </c>
      <c r="AI965" s="68">
        <v>2035</v>
      </c>
      <c r="AJ965" s="68">
        <v>2036</v>
      </c>
      <c r="AK965" s="68">
        <v>2037</v>
      </c>
      <c r="AL965" s="68">
        <v>2038</v>
      </c>
      <c r="AM965" s="68">
        <v>2039</v>
      </c>
      <c r="AN965" s="68">
        <v>2040</v>
      </c>
      <c r="AO965" s="68">
        <v>2041</v>
      </c>
      <c r="AP965" s="68">
        <v>2042</v>
      </c>
      <c r="AQ965" s="68">
        <v>2043</v>
      </c>
      <c r="AR965" s="68">
        <v>2044</v>
      </c>
      <c r="AS965" s="68">
        <v>2045</v>
      </c>
      <c r="AT965" s="68">
        <v>2046</v>
      </c>
      <c r="AU965" s="68">
        <v>2047</v>
      </c>
      <c r="AV965" s="68">
        <v>2048</v>
      </c>
      <c r="AW965" s="68">
        <v>2049</v>
      </c>
      <c r="AX965" s="83">
        <v>2050</v>
      </c>
    </row>
    <row r="966" spans="1:50" x14ac:dyDescent="0.25">
      <c r="A966" s="347" t="s">
        <v>4</v>
      </c>
      <c r="B966" s="349" t="s">
        <v>5</v>
      </c>
      <c r="C966" s="350" t="s">
        <v>6</v>
      </c>
      <c r="D966" s="2" t="s">
        <v>7</v>
      </c>
      <c r="E966" s="160" t="str">
        <f>A966&amp;"/"&amp;B966&amp;"/"&amp;C966&amp;"/"&amp;D966</f>
        <v>Nuclear power plants/Nuclear - current/Electricity only/L</v>
      </c>
      <c r="F966" s="76" t="str">
        <f>A966</f>
        <v>Nuclear power plants</v>
      </c>
      <c r="G966" s="76" t="str">
        <f>B966</f>
        <v>Nuclear - current</v>
      </c>
      <c r="H966" s="76" t="str">
        <f>C966</f>
        <v>Electricity only</v>
      </c>
      <c r="I966" s="161" t="str">
        <f>D966</f>
        <v>L</v>
      </c>
      <c r="J966" s="91">
        <v>4900</v>
      </c>
      <c r="K966" s="91">
        <v>4900</v>
      </c>
      <c r="L966" s="91">
        <v>4900</v>
      </c>
      <c r="M966" s="91">
        <v>4900</v>
      </c>
      <c r="N966" s="91">
        <v>4900</v>
      </c>
      <c r="O966" s="91">
        <v>4900</v>
      </c>
      <c r="P966" s="91">
        <v>4900</v>
      </c>
      <c r="Q966" s="91">
        <v>4900</v>
      </c>
      <c r="R966" s="91">
        <v>4900</v>
      </c>
      <c r="S966" s="91">
        <v>4900</v>
      </c>
      <c r="T966" s="91">
        <v>4900</v>
      </c>
      <c r="U966" s="91">
        <v>4900</v>
      </c>
      <c r="V966" s="91">
        <v>4900</v>
      </c>
      <c r="W966" s="91">
        <v>4900</v>
      </c>
      <c r="X966" s="91">
        <v>4900</v>
      </c>
      <c r="Y966" s="91">
        <v>4900</v>
      </c>
      <c r="Z966" s="91">
        <v>4900</v>
      </c>
      <c r="AA966" s="91">
        <v>4900</v>
      </c>
      <c r="AB966" s="91">
        <v>4900</v>
      </c>
      <c r="AC966" s="91">
        <v>4900</v>
      </c>
      <c r="AD966" s="91">
        <v>4900</v>
      </c>
      <c r="AE966" s="91">
        <v>4900</v>
      </c>
      <c r="AF966" s="91">
        <v>4900</v>
      </c>
      <c r="AG966" s="91">
        <v>4900</v>
      </c>
      <c r="AH966" s="91">
        <v>4900</v>
      </c>
      <c r="AI966" s="91">
        <v>4900</v>
      </c>
      <c r="AJ966" s="91">
        <v>4900</v>
      </c>
      <c r="AK966" s="91">
        <v>4900</v>
      </c>
      <c r="AL966" s="91">
        <v>4900</v>
      </c>
      <c r="AM966" s="91">
        <v>4900</v>
      </c>
      <c r="AN966" s="91">
        <v>4900</v>
      </c>
      <c r="AO966" s="91">
        <v>4900</v>
      </c>
      <c r="AP966" s="91">
        <v>4900</v>
      </c>
      <c r="AQ966" s="91">
        <v>4900</v>
      </c>
      <c r="AR966" s="91">
        <v>4900</v>
      </c>
      <c r="AS966" s="91">
        <v>4900</v>
      </c>
      <c r="AT966" s="91">
        <v>4900</v>
      </c>
      <c r="AU966" s="91">
        <v>4900</v>
      </c>
      <c r="AV966" s="91">
        <v>4900</v>
      </c>
      <c r="AW966" s="91">
        <v>4900</v>
      </c>
      <c r="AX966" s="92">
        <v>4900</v>
      </c>
    </row>
    <row r="967" spans="1:50" x14ac:dyDescent="0.25">
      <c r="A967" s="347"/>
      <c r="B967" s="349"/>
      <c r="C967" s="350"/>
      <c r="D967" s="4" t="s">
        <v>8</v>
      </c>
      <c r="E967" s="168" t="str">
        <f>A966&amp;"/"&amp;B966&amp;"/"&amp;C966&amp;"/"&amp;D967</f>
        <v>Nuclear power plants/Nuclear - current/Electricity only/M</v>
      </c>
      <c r="F967" s="80" t="str">
        <f>A966</f>
        <v>Nuclear power plants</v>
      </c>
      <c r="G967" s="80" t="str">
        <f>B966</f>
        <v>Nuclear - current</v>
      </c>
      <c r="H967" s="80" t="str">
        <f>C966</f>
        <v>Electricity only</v>
      </c>
      <c r="I967" s="169" t="str">
        <f t="shared" ref="I967:I1030" si="93">D967</f>
        <v>M</v>
      </c>
      <c r="J967" s="99">
        <v>5145</v>
      </c>
      <c r="K967" s="99">
        <v>5145</v>
      </c>
      <c r="L967" s="99">
        <v>5145</v>
      </c>
      <c r="M967" s="99">
        <v>5145</v>
      </c>
      <c r="N967" s="99">
        <v>5145</v>
      </c>
      <c r="O967" s="99">
        <v>5145</v>
      </c>
      <c r="P967" s="99">
        <v>5145</v>
      </c>
      <c r="Q967" s="99">
        <v>5145</v>
      </c>
      <c r="R967" s="99">
        <v>5145</v>
      </c>
      <c r="S967" s="99">
        <v>5145</v>
      </c>
      <c r="T967" s="99">
        <v>5145</v>
      </c>
      <c r="U967" s="99">
        <v>5145</v>
      </c>
      <c r="V967" s="99">
        <v>5145</v>
      </c>
      <c r="W967" s="99">
        <v>5145</v>
      </c>
      <c r="X967" s="99">
        <v>5145</v>
      </c>
      <c r="Y967" s="99">
        <v>5145</v>
      </c>
      <c r="Z967" s="99">
        <v>5145</v>
      </c>
      <c r="AA967" s="99">
        <v>5145</v>
      </c>
      <c r="AB967" s="99">
        <v>5145</v>
      </c>
      <c r="AC967" s="99">
        <v>5145</v>
      </c>
      <c r="AD967" s="99">
        <v>5145</v>
      </c>
      <c r="AE967" s="99">
        <v>5145</v>
      </c>
      <c r="AF967" s="99">
        <v>5145</v>
      </c>
      <c r="AG967" s="99">
        <v>5145</v>
      </c>
      <c r="AH967" s="99">
        <v>5145</v>
      </c>
      <c r="AI967" s="99">
        <v>5145</v>
      </c>
      <c r="AJ967" s="99">
        <v>5145</v>
      </c>
      <c r="AK967" s="99">
        <v>5145</v>
      </c>
      <c r="AL967" s="99">
        <v>5145</v>
      </c>
      <c r="AM967" s="99">
        <v>5145</v>
      </c>
      <c r="AN967" s="99">
        <v>5145</v>
      </c>
      <c r="AO967" s="99">
        <v>5145</v>
      </c>
      <c r="AP967" s="99">
        <v>5145</v>
      </c>
      <c r="AQ967" s="99">
        <v>5145</v>
      </c>
      <c r="AR967" s="99">
        <v>5145</v>
      </c>
      <c r="AS967" s="99">
        <v>5145</v>
      </c>
      <c r="AT967" s="99">
        <v>5145</v>
      </c>
      <c r="AU967" s="99">
        <v>5145</v>
      </c>
      <c r="AV967" s="99">
        <v>5145</v>
      </c>
      <c r="AW967" s="99">
        <v>5145</v>
      </c>
      <c r="AX967" s="100">
        <v>5145</v>
      </c>
    </row>
    <row r="968" spans="1:50" x14ac:dyDescent="0.25">
      <c r="A968" s="347"/>
      <c r="B968" s="351" t="s">
        <v>9</v>
      </c>
      <c r="C968" s="353" t="s">
        <v>6</v>
      </c>
      <c r="D968" s="2" t="s">
        <v>7</v>
      </c>
      <c r="E968" s="160" t="str">
        <f>A966&amp;"/"&amp;B968&amp;"/"&amp;C968&amp;"/"&amp;D968</f>
        <v>Nuclear power plants/Nuclear III/Electricity only/L</v>
      </c>
      <c r="F968" s="76" t="str">
        <f>A966</f>
        <v>Nuclear power plants</v>
      </c>
      <c r="G968" s="76" t="str">
        <f>B968</f>
        <v>Nuclear III</v>
      </c>
      <c r="H968" s="76" t="str">
        <f>C968</f>
        <v>Electricity only</v>
      </c>
      <c r="I968" s="161" t="str">
        <f t="shared" si="93"/>
        <v>L</v>
      </c>
      <c r="J968" s="91">
        <v>6945.7500000000009</v>
      </c>
      <c r="K968" s="91">
        <v>6942.9158233104772</v>
      </c>
      <c r="L968" s="91">
        <v>6939.4648052455013</v>
      </c>
      <c r="M968" s="91">
        <v>6935.2655380990482</v>
      </c>
      <c r="N968" s="91">
        <v>6930.1599970944853</v>
      </c>
      <c r="O968" s="91">
        <v>6923.9588155807223</v>
      </c>
      <c r="P968" s="91">
        <v>6916.4360490842919</v>
      </c>
      <c r="Q968" s="91">
        <v>6907.3235472083379</v>
      </c>
      <c r="R968" s="91">
        <v>6896.3051694026326</v>
      </c>
      <c r="S968" s="91">
        <v>6883.0112510815106</v>
      </c>
      <c r="T968" s="91">
        <v>6867.0139642093127</v>
      </c>
      <c r="U968" s="91">
        <v>6847.8245321817303</v>
      </c>
      <c r="V968" s="91">
        <v>6824.8936539717215</v>
      </c>
      <c r="W968" s="91">
        <v>6797.6169477452167</v>
      </c>
      <c r="X968" s="91">
        <v>6765.3476827120185</v>
      </c>
      <c r="Y968" s="91">
        <v>6727.4194141699827</v>
      </c>
      <c r="Z968" s="91">
        <v>6683.1811747396787</v>
      </c>
      <c r="AA968" s="91">
        <v>6632.0473206204188</v>
      </c>
      <c r="AB968" s="91">
        <v>6573.5626410238738</v>
      </c>
      <c r="AC968" s="91">
        <v>6507.4806030601103</v>
      </c>
      <c r="AD968" s="91">
        <v>6433.8485399188012</v>
      </c>
      <c r="AE968" s="91">
        <v>6353.0886104111132</v>
      </c>
      <c r="AF968" s="91">
        <v>6266.058627553095</v>
      </c>
      <c r="AG968" s="91">
        <v>6174.0743184632574</v>
      </c>
      <c r="AH968" s="91">
        <v>6078.8765067631266</v>
      </c>
      <c r="AI968" s="91">
        <v>5982.5346418210638</v>
      </c>
      <c r="AJ968" s="91">
        <v>5887.2915165945251</v>
      </c>
      <c r="AK968" s="91">
        <v>5795.3695638531381</v>
      </c>
      <c r="AL968" s="91">
        <v>5708.7713241925194</v>
      </c>
      <c r="AM968" s="91">
        <v>5629.110309978505</v>
      </c>
      <c r="AN968" s="91">
        <v>5557.5014310275728</v>
      </c>
      <c r="AO968" s="91">
        <v>5494.5248357378614</v>
      </c>
      <c r="AP968" s="91">
        <v>5440.259291673</v>
      </c>
      <c r="AQ968" s="91">
        <v>5394.3672809247273</v>
      </c>
      <c r="AR968" s="91">
        <v>5356.2074910750243</v>
      </c>
      <c r="AS968" s="91">
        <v>5324.951439930489</v>
      </c>
      <c r="AT968" s="91">
        <v>5299.6870501834646</v>
      </c>
      <c r="AU968" s="91">
        <v>5279.4997726574402</v>
      </c>
      <c r="AV968" s="91">
        <v>5263.5287461319822</v>
      </c>
      <c r="AW968" s="91">
        <v>5251.0001952696475</v>
      </c>
      <c r="AX968" s="92">
        <v>5241.2426700765336</v>
      </c>
    </row>
    <row r="969" spans="1:50" x14ac:dyDescent="0.25">
      <c r="A969" s="347"/>
      <c r="B969" s="349"/>
      <c r="C969" s="350"/>
      <c r="D969" s="2" t="s">
        <v>8</v>
      </c>
      <c r="E969" s="160" t="str">
        <f>A966&amp;"/"&amp;B968&amp;"/"&amp;C968&amp;"/"&amp;D969</f>
        <v>Nuclear power plants/Nuclear III/Electricity only/M</v>
      </c>
      <c r="F969" s="76" t="str">
        <f>A966</f>
        <v>Nuclear power plants</v>
      </c>
      <c r="G969" s="76" t="str">
        <f>B968</f>
        <v>Nuclear III</v>
      </c>
      <c r="H969" s="76" t="str">
        <f>C968</f>
        <v>Electricity only</v>
      </c>
      <c r="I969" s="161" t="str">
        <f t="shared" si="93"/>
        <v>M</v>
      </c>
      <c r="J969" s="91">
        <v>7293.0375000000004</v>
      </c>
      <c r="K969" s="91">
        <v>7288.7798030273998</v>
      </c>
      <c r="L969" s="91">
        <v>7283.8517602959473</v>
      </c>
      <c r="M969" s="91">
        <v>7278.1512787846896</v>
      </c>
      <c r="N969" s="91">
        <v>7271.5618969222469</v>
      </c>
      <c r="O969" s="91">
        <v>7263.9511673052311</v>
      </c>
      <c r="P969" s="91">
        <v>7255.1690008329533</v>
      </c>
      <c r="Q969" s="91">
        <v>7245.0460310973212</v>
      </c>
      <c r="R969" s="91">
        <v>7233.3920835295776</v>
      </c>
      <c r="S969" s="91">
        <v>7219.9948660670179</v>
      </c>
      <c r="T969" s="91">
        <v>7204.6190374785856</v>
      </c>
      <c r="U969" s="91">
        <v>7187.0058558698547</v>
      </c>
      <c r="V969" s="91">
        <v>7166.8736620829213</v>
      </c>
      <c r="W969" s="91">
        <v>7143.919507821769</v>
      </c>
      <c r="X969" s="91">
        <v>7117.8222910067716</v>
      </c>
      <c r="Y969" s="91">
        <v>7088.2478024185721</v>
      </c>
      <c r="Z969" s="91">
        <v>7054.8561053854883</v>
      </c>
      <c r="AA969" s="91">
        <v>7017.311646921773</v>
      </c>
      <c r="AB969" s="91">
        <v>6975.2964132449233</v>
      </c>
      <c r="AC969" s="91">
        <v>6928.5262720304418</v>
      </c>
      <c r="AD969" s="91">
        <v>6876.7703675540715</v>
      </c>
      <c r="AE969" s="91">
        <v>6819.8730418900577</v>
      </c>
      <c r="AF969" s="91">
        <v>6757.7772534152391</v>
      </c>
      <c r="AG969" s="91">
        <v>6690.5478904917763</v>
      </c>
      <c r="AH969" s="91">
        <v>6618.3928090431073</v>
      </c>
      <c r="AI969" s="91">
        <v>6541.6789730669607</v>
      </c>
      <c r="AJ969" s="91">
        <v>6460.9408902485902</v>
      </c>
      <c r="AK969" s="91">
        <v>6376.8787535616048</v>
      </c>
      <c r="AL969" s="91">
        <v>6290.3444223050656</v>
      </c>
      <c r="AM969" s="91">
        <v>6202.314606326966</v>
      </c>
      <c r="AN969" s="91">
        <v>6113.8522278461323</v>
      </c>
      <c r="AO969" s="91">
        <v>6026.0586650068853</v>
      </c>
      <c r="AP969" s="91">
        <v>5940.0210805952811</v>
      </c>
      <c r="AQ969" s="91">
        <v>5856.7599602061491</v>
      </c>
      <c r="AR969" s="91">
        <v>5777.1820867010119</v>
      </c>
      <c r="AS969" s="91">
        <v>5702.043412903744</v>
      </c>
      <c r="AT969" s="91">
        <v>5631.9248262416004</v>
      </c>
      <c r="AU969" s="91">
        <v>5567.2219553345631</v>
      </c>
      <c r="AV969" s="91">
        <v>5508.1483393744011</v>
      </c>
      <c r="AW969" s="91">
        <v>5454.7498061079805</v>
      </c>
      <c r="AX969" s="92">
        <v>5406.9269908878578</v>
      </c>
    </row>
    <row r="970" spans="1:50" x14ac:dyDescent="0.25">
      <c r="A970" s="347"/>
      <c r="B970" s="352"/>
      <c r="C970" s="354"/>
      <c r="D970" s="4" t="s">
        <v>10</v>
      </c>
      <c r="E970" s="80" t="str">
        <f>A966&amp;"/"&amp;B968&amp;"/"&amp;C968&amp;"/"&amp;D970</f>
        <v>Nuclear power plants/Nuclear III/Electricity only/S</v>
      </c>
      <c r="F970" s="80" t="str">
        <f>A966</f>
        <v>Nuclear power plants</v>
      </c>
      <c r="G970" s="80" t="str">
        <f>B968</f>
        <v>Nuclear III</v>
      </c>
      <c r="H970" s="80" t="str">
        <f>C968</f>
        <v>Electricity only</v>
      </c>
      <c r="I970" s="80" t="str">
        <f t="shared" si="93"/>
        <v>S</v>
      </c>
      <c r="J970" s="99" t="s">
        <v>112</v>
      </c>
      <c r="K970" s="99" t="s">
        <v>112</v>
      </c>
      <c r="L970" s="99" t="s">
        <v>112</v>
      </c>
      <c r="M970" s="99" t="s">
        <v>112</v>
      </c>
      <c r="N970" s="99" t="s">
        <v>112</v>
      </c>
      <c r="O970" s="99" t="s">
        <v>112</v>
      </c>
      <c r="P970" s="99" t="s">
        <v>112</v>
      </c>
      <c r="Q970" s="99" t="s">
        <v>112</v>
      </c>
      <c r="R970" s="99" t="s">
        <v>112</v>
      </c>
      <c r="S970" s="99" t="s">
        <v>112</v>
      </c>
      <c r="T970" s="99" t="s">
        <v>112</v>
      </c>
      <c r="U970" s="99" t="s">
        <v>112</v>
      </c>
      <c r="V970" s="99" t="s">
        <v>112</v>
      </c>
      <c r="W970" s="99" t="s">
        <v>112</v>
      </c>
      <c r="X970" s="99" t="s">
        <v>112</v>
      </c>
      <c r="Y970" s="99">
        <v>7736.4149353557041</v>
      </c>
      <c r="Z970" s="99">
        <v>7701.7145820886426</v>
      </c>
      <c r="AA970" s="99">
        <v>7664.3524177057425</v>
      </c>
      <c r="AB970" s="99">
        <v>7624.2205171136829</v>
      </c>
      <c r="AC970" s="99">
        <v>7581.2246785969655</v>
      </c>
      <c r="AD970" s="99">
        <v>7535.2881609407086</v>
      </c>
      <c r="AE970" s="99">
        <v>7486.3556482798595</v>
      </c>
      <c r="AF970" s="99">
        <v>7434.397342791357</v>
      </c>
      <c r="AG970" s="99">
        <v>7379.4130547309887</v>
      </c>
      <c r="AH970" s="99">
        <v>7321.4361291158639</v>
      </c>
      <c r="AI970" s="99">
        <v>7260.5370212402286</v>
      </c>
      <c r="AJ970" s="99">
        <v>7196.8263123994957</v>
      </c>
      <c r="AK970" s="99">
        <v>7130.4569462117925</v>
      </c>
      <c r="AL970" s="99">
        <v>7061.6254682552399</v>
      </c>
      <c r="AM970" s="99">
        <v>6990.5720703566776</v>
      </c>
      <c r="AN970" s="99">
        <v>6917.5792776883018</v>
      </c>
      <c r="AO970" s="99">
        <v>6842.969172162233</v>
      </c>
      <c r="AP970" s="99">
        <v>6767.0991177228398</v>
      </c>
      <c r="AQ970" s="99">
        <v>6690.3560380169474</v>
      </c>
      <c r="AR970" s="99">
        <v>6613.1493883929506</v>
      </c>
      <c r="AS970" s="99">
        <v>6535.9030543575664</v>
      </c>
      <c r="AT970" s="99">
        <v>6459.0464887506714</v>
      </c>
      <c r="AU970" s="99">
        <v>6383.0054614676455</v>
      </c>
      <c r="AV970" s="99">
        <v>6308.1928314897941</v>
      </c>
      <c r="AW970" s="99">
        <v>6234.9997567348455</v>
      </c>
      <c r="AX970" s="100">
        <v>6163.7877315615333</v>
      </c>
    </row>
    <row r="971" spans="1:50" x14ac:dyDescent="0.25">
      <c r="A971" s="347"/>
      <c r="B971" s="349" t="s">
        <v>11</v>
      </c>
      <c r="C971" s="363" t="s">
        <v>6</v>
      </c>
      <c r="D971" s="2" t="s">
        <v>7</v>
      </c>
      <c r="E971" s="160" t="str">
        <f>A966&amp;"/"&amp;B971&amp;"/"&amp;C971&amp;"/"&amp;D971</f>
        <v>Nuclear power plants/Nuclear IV/Electricity only/L</v>
      </c>
      <c r="F971" s="76" t="str">
        <f>A966</f>
        <v>Nuclear power plants</v>
      </c>
      <c r="G971" s="76" t="str">
        <f>B971</f>
        <v>Nuclear IV</v>
      </c>
      <c r="H971" s="76" t="str">
        <f>C971</f>
        <v>Electricity only</v>
      </c>
      <c r="I971" s="161" t="str">
        <f t="shared" si="93"/>
        <v>L</v>
      </c>
      <c r="J971" s="91" t="s">
        <v>112</v>
      </c>
      <c r="K971" s="91" t="s">
        <v>112</v>
      </c>
      <c r="L971" s="91" t="s">
        <v>112</v>
      </c>
      <c r="M971" s="91" t="s">
        <v>112</v>
      </c>
      <c r="N971" s="91" t="s">
        <v>112</v>
      </c>
      <c r="O971" s="91" t="s">
        <v>112</v>
      </c>
      <c r="P971" s="91" t="s">
        <v>112</v>
      </c>
      <c r="Q971" s="91" t="s">
        <v>112</v>
      </c>
      <c r="R971" s="91" t="s">
        <v>112</v>
      </c>
      <c r="S971" s="91" t="s">
        <v>112</v>
      </c>
      <c r="T971" s="91" t="s">
        <v>112</v>
      </c>
      <c r="U971" s="91" t="s">
        <v>112</v>
      </c>
      <c r="V971" s="91" t="s">
        <v>112</v>
      </c>
      <c r="W971" s="91" t="s">
        <v>112</v>
      </c>
      <c r="X971" s="91" t="s">
        <v>112</v>
      </c>
      <c r="Y971" s="91" t="s">
        <v>112</v>
      </c>
      <c r="Z971" s="91" t="s">
        <v>112</v>
      </c>
      <c r="AA971" s="91" t="s">
        <v>112</v>
      </c>
      <c r="AB971" s="91" t="s">
        <v>112</v>
      </c>
      <c r="AC971" s="91" t="s">
        <v>112</v>
      </c>
      <c r="AD971" s="91" t="s">
        <v>112</v>
      </c>
      <c r="AE971" s="91" t="s">
        <v>112</v>
      </c>
      <c r="AF971" s="91" t="s">
        <v>112</v>
      </c>
      <c r="AG971" s="91" t="s">
        <v>112</v>
      </c>
      <c r="AH971" s="91" t="s">
        <v>112</v>
      </c>
      <c r="AI971" s="91">
        <v>9448.0816581055224</v>
      </c>
      <c r="AJ971" s="91">
        <v>9410.3120291159357</v>
      </c>
      <c r="AK971" s="91">
        <v>9365.0239331582616</v>
      </c>
      <c r="AL971" s="91">
        <v>9310.9350369784115</v>
      </c>
      <c r="AM971" s="91">
        <v>9246.6422913097504</v>
      </c>
      <c r="AN971" s="91">
        <v>9170.6574245971242</v>
      </c>
      <c r="AO971" s="91">
        <v>9081.4686178210559</v>
      </c>
      <c r="AP971" s="91">
        <v>8977.6356990322365</v>
      </c>
      <c r="AQ971" s="91">
        <v>8857.9249307487426</v>
      </c>
      <c r="AR971" s="91">
        <v>8721.4855794010273</v>
      </c>
      <c r="AS971" s="91">
        <v>8568.0628444776194</v>
      </c>
      <c r="AT971" s="91">
        <v>8398.2297451935174</v>
      </c>
      <c r="AU971" s="91">
        <v>8213.6049234016918</v>
      </c>
      <c r="AV971" s="91">
        <v>8017.0071609931929</v>
      </c>
      <c r="AW971" s="91">
        <v>7812.4869739594187</v>
      </c>
      <c r="AX971" s="92">
        <v>7605.1795050000019</v>
      </c>
    </row>
    <row r="972" spans="1:50" x14ac:dyDescent="0.25">
      <c r="A972" s="348"/>
      <c r="B972" s="352"/>
      <c r="C972" s="364"/>
      <c r="D972" s="4" t="s">
        <v>8</v>
      </c>
      <c r="E972" s="160" t="str">
        <f>A966&amp;"/"&amp;B971&amp;"/"&amp;C971&amp;"/"&amp;D972</f>
        <v>Nuclear power plants/Nuclear IV/Electricity only/M</v>
      </c>
      <c r="F972" s="76" t="str">
        <f>A966</f>
        <v>Nuclear power plants</v>
      </c>
      <c r="G972" s="76" t="str">
        <f>B971</f>
        <v>Nuclear IV</v>
      </c>
      <c r="H972" s="76" t="str">
        <f>C971</f>
        <v>Electricity only</v>
      </c>
      <c r="I972" s="161" t="str">
        <f t="shared" si="93"/>
        <v>M</v>
      </c>
      <c r="J972" s="91" t="s">
        <v>112</v>
      </c>
      <c r="K972" s="91" t="s">
        <v>112</v>
      </c>
      <c r="L972" s="91" t="s">
        <v>112</v>
      </c>
      <c r="M972" s="91" t="s">
        <v>112</v>
      </c>
      <c r="N972" s="91" t="s">
        <v>112</v>
      </c>
      <c r="O972" s="91" t="s">
        <v>112</v>
      </c>
      <c r="P972" s="91" t="s">
        <v>112</v>
      </c>
      <c r="Q972" s="91" t="s">
        <v>112</v>
      </c>
      <c r="R972" s="91" t="s">
        <v>112</v>
      </c>
      <c r="S972" s="91" t="s">
        <v>112</v>
      </c>
      <c r="T972" s="91" t="s">
        <v>112</v>
      </c>
      <c r="U972" s="91" t="s">
        <v>112</v>
      </c>
      <c r="V972" s="91" t="s">
        <v>112</v>
      </c>
      <c r="W972" s="91" t="s">
        <v>112</v>
      </c>
      <c r="X972" s="91" t="s">
        <v>112</v>
      </c>
      <c r="Y972" s="91" t="s">
        <v>112</v>
      </c>
      <c r="Z972" s="91" t="s">
        <v>112</v>
      </c>
      <c r="AA972" s="91" t="s">
        <v>112</v>
      </c>
      <c r="AB972" s="91" t="s">
        <v>112</v>
      </c>
      <c r="AC972" s="91" t="s">
        <v>112</v>
      </c>
      <c r="AD972" s="91" t="s">
        <v>112</v>
      </c>
      <c r="AE972" s="91" t="s">
        <v>112</v>
      </c>
      <c r="AF972" s="91" t="s">
        <v>112</v>
      </c>
      <c r="AG972" s="91" t="s">
        <v>112</v>
      </c>
      <c r="AH972" s="91" t="s">
        <v>112</v>
      </c>
      <c r="AI972" s="91">
        <v>10060.140268527684</v>
      </c>
      <c r="AJ972" s="91">
        <v>10046.676561664042</v>
      </c>
      <c r="AK972" s="91">
        <v>10029.498994477961</v>
      </c>
      <c r="AL972" s="91">
        <v>10007.62247299831</v>
      </c>
      <c r="AM972" s="91">
        <v>9979.8254621910655</v>
      </c>
      <c r="AN972" s="91">
        <v>9944.6089263471913</v>
      </c>
      <c r="AO972" s="91">
        <v>9900.1584092624817</v>
      </c>
      <c r="AP972" s="91">
        <v>9844.317593174077</v>
      </c>
      <c r="AQ972" s="91">
        <v>9774.5868139049198</v>
      </c>
      <c r="AR972" s="91">
        <v>9688.1666212813325</v>
      </c>
      <c r="AS972" s="91">
        <v>9582.0737217566111</v>
      </c>
      <c r="AT972" s="91">
        <v>9453.3621382212623</v>
      </c>
      <c r="AU972" s="91">
        <v>9299.4813303635401</v>
      </c>
      <c r="AV972" s="91">
        <v>9118.7875975056941</v>
      </c>
      <c r="AW972" s="91">
        <v>8911.1861141475456</v>
      </c>
      <c r="AX972" s="92">
        <v>8678.8131168292839</v>
      </c>
    </row>
    <row r="973" spans="1:50" x14ac:dyDescent="0.25">
      <c r="A973" s="355" t="s">
        <v>12</v>
      </c>
      <c r="B973" s="358" t="s">
        <v>13</v>
      </c>
      <c r="C973" s="353" t="s">
        <v>6</v>
      </c>
      <c r="D973" s="3" t="s">
        <v>7</v>
      </c>
      <c r="E973" s="162" t="str">
        <f>A973&amp;"/"&amp;B973&amp;"/"&amp;C973&amp;"/"&amp;D973</f>
        <v>Coal fired power plants/Integrated gasification combined cycle/Electricity only/L</v>
      </c>
      <c r="F973" s="77" t="str">
        <f>A973</f>
        <v>Coal fired power plants</v>
      </c>
      <c r="G973" s="77" t="str">
        <f>B973</f>
        <v>Integrated gasification combined cycle</v>
      </c>
      <c r="H973" s="77" t="str">
        <f>C973</f>
        <v>Electricity only</v>
      </c>
      <c r="I973" s="163" t="str">
        <f t="shared" si="93"/>
        <v>L</v>
      </c>
      <c r="J973" s="93">
        <v>2480</v>
      </c>
      <c r="K973" s="93">
        <v>2479.9799854764105</v>
      </c>
      <c r="L973" s="93">
        <v>2479.9542875826196</v>
      </c>
      <c r="M973" s="93">
        <v>2479.9212929163427</v>
      </c>
      <c r="N973" s="93">
        <v>2479.8789303593576</v>
      </c>
      <c r="O973" s="93">
        <v>2479.8245414190228</v>
      </c>
      <c r="P973" s="93">
        <v>2479.7547139667345</v>
      </c>
      <c r="Q973" s="93">
        <v>2479.665069121696</v>
      </c>
      <c r="R973" s="93">
        <v>2479.5499882101585</v>
      </c>
      <c r="S973" s="93">
        <v>2479.4022631719786</v>
      </c>
      <c r="T973" s="93">
        <v>2479.212649316516</v>
      </c>
      <c r="U973" s="93">
        <v>2478.96929375329</v>
      </c>
      <c r="V973" s="93">
        <v>2478.6570059290225</v>
      </c>
      <c r="W973" s="93">
        <v>2478.2563282874589</v>
      </c>
      <c r="X973" s="93">
        <v>2477.7423549757932</v>
      </c>
      <c r="Y973" s="93">
        <v>2477.0832347231849</v>
      </c>
      <c r="Z973" s="93">
        <v>2476.238280750827</v>
      </c>
      <c r="AA973" s="93">
        <v>2475.1555965805119</v>
      </c>
      <c r="AB973" s="93">
        <v>2473.7691135231125</v>
      </c>
      <c r="AC973" s="93">
        <v>2471.9949265971195</v>
      </c>
      <c r="AD973" s="93">
        <v>2469.7268162694945</v>
      </c>
      <c r="AE973" s="93">
        <v>2466.8308632343642</v>
      </c>
      <c r="AF973" s="93">
        <v>2463.1391178174163</v>
      </c>
      <c r="AG973" s="93">
        <v>2458.4423982380836</v>
      </c>
      <c r="AH973" s="93">
        <v>2452.4824975707943</v>
      </c>
      <c r="AI973" s="93">
        <v>2444.9444249761482</v>
      </c>
      <c r="AJ973" s="93">
        <v>2435.4498496978222</v>
      </c>
      <c r="AK973" s="93">
        <v>2423.5537110739697</v>
      </c>
      <c r="AL973" s="93">
        <v>2408.7470245681584</v>
      </c>
      <c r="AM973" s="93">
        <v>2390.4701731461232</v>
      </c>
      <c r="AN973" s="93">
        <v>2368.1421366409104</v>
      </c>
      <c r="AO973" s="93">
        <v>2341.2115370887041</v>
      </c>
      <c r="AP973" s="93">
        <v>2309.2339599684851</v>
      </c>
      <c r="AQ973" s="93">
        <v>2271.9752848953194</v>
      </c>
      <c r="AR973" s="93">
        <v>2229.5315172762325</v>
      </c>
      <c r="AS973" s="93">
        <v>2182.4422845348086</v>
      </c>
      <c r="AT973" s="93">
        <v>2131.7616572125057</v>
      </c>
      <c r="AU973" s="93">
        <v>2079.0444770403265</v>
      </c>
      <c r="AV973" s="93">
        <v>2026.2186588743632</v>
      </c>
      <c r="AW973" s="93">
        <v>1975.3477826067251</v>
      </c>
      <c r="AX973" s="94">
        <v>1928.3334705977479</v>
      </c>
    </row>
    <row r="974" spans="1:50" x14ac:dyDescent="0.25">
      <c r="A974" s="356"/>
      <c r="B974" s="359"/>
      <c r="C974" s="360"/>
      <c r="D974" s="2" t="s">
        <v>8</v>
      </c>
      <c r="E974" s="160" t="str">
        <f>A973&amp;"/"&amp;B973&amp;"/"&amp;C973&amp;"/"&amp;D974</f>
        <v>Coal fired power plants/Integrated gasification combined cycle/Electricity only/M</v>
      </c>
      <c r="F974" s="76" t="str">
        <f>A973</f>
        <v>Coal fired power plants</v>
      </c>
      <c r="G974" s="76" t="str">
        <f>B973</f>
        <v>Integrated gasification combined cycle</v>
      </c>
      <c r="H974" s="76" t="str">
        <f>C973</f>
        <v>Electricity only</v>
      </c>
      <c r="I974" s="161" t="str">
        <f t="shared" si="93"/>
        <v>M</v>
      </c>
      <c r="J974" s="91">
        <v>2666</v>
      </c>
      <c r="K974" s="91">
        <v>2665.8874380065199</v>
      </c>
      <c r="L974" s="91">
        <v>2665.7499839479988</v>
      </c>
      <c r="M974" s="91">
        <v>2665.5821411325969</v>
      </c>
      <c r="N974" s="91">
        <v>2665.3772029955148</v>
      </c>
      <c r="O974" s="91">
        <v>2665.1269887168073</v>
      </c>
      <c r="P974" s="91">
        <v>2664.8215220112793</v>
      </c>
      <c r="Q974" s="91">
        <v>2664.4486413416139</v>
      </c>
      <c r="R974" s="91">
        <v>2663.99352760901</v>
      </c>
      <c r="S974" s="91">
        <v>2663.4381328868367</v>
      </c>
      <c r="T974" s="91">
        <v>2662.7604910096206</v>
      </c>
      <c r="U974" s="91">
        <v>2661.9338878881458</v>
      </c>
      <c r="V974" s="91">
        <v>2660.9258664452855</v>
      </c>
      <c r="W974" s="91">
        <v>2659.6970383313892</v>
      </c>
      <c r="X974" s="91">
        <v>2658.1996725404579</v>
      </c>
      <c r="Y974" s="91">
        <v>2656.376030437822</v>
      </c>
      <c r="Z974" s="91">
        <v>2654.1564186466926</v>
      </c>
      <c r="AA974" s="91">
        <v>2651.4569373953245</v>
      </c>
      <c r="AB974" s="91">
        <v>2648.1769147212008</v>
      </c>
      <c r="AC974" s="91">
        <v>2644.1960397726771</v>
      </c>
      <c r="AD974" s="91">
        <v>2639.3712459765165</v>
      </c>
      <c r="AE974" s="91">
        <v>2633.5334530819473</v>
      </c>
      <c r="AF974" s="91">
        <v>2626.484363429719</v>
      </c>
      <c r="AG974" s="91">
        <v>2617.9936304370749</v>
      </c>
      <c r="AH974" s="91">
        <v>2607.7968838342326</v>
      </c>
      <c r="AI974" s="91">
        <v>2595.595310619914</v>
      </c>
      <c r="AJ974" s="91">
        <v>2581.0577479997905</v>
      </c>
      <c r="AK974" s="91">
        <v>2563.8265220999365</v>
      </c>
      <c r="AL974" s="91">
        <v>2543.5285117393705</v>
      </c>
      <c r="AM974" s="91">
        <v>2519.7930341933011</v>
      </c>
      <c r="AN974" s="91">
        <v>2492.2779897776227</v>
      </c>
      <c r="AO974" s="91">
        <v>2460.7050641770588</v>
      </c>
      <c r="AP974" s="91">
        <v>2424.9034579357563</v>
      </c>
      <c r="AQ974" s="91">
        <v>2384.8594534804897</v>
      </c>
      <c r="AR974" s="91">
        <v>2340.7662309100028</v>
      </c>
      <c r="AS974" s="91">
        <v>2293.0652047358167</v>
      </c>
      <c r="AT974" s="91">
        <v>2242.4678015538357</v>
      </c>
      <c r="AU974" s="91">
        <v>2189.9464682445537</v>
      </c>
      <c r="AV974" s="91">
        <v>2136.6871302846976</v>
      </c>
      <c r="AW974" s="91">
        <v>2084.0027002742445</v>
      </c>
      <c r="AX974" s="92">
        <v>2033.2172062580605</v>
      </c>
    </row>
    <row r="975" spans="1:50" x14ac:dyDescent="0.25">
      <c r="A975" s="356"/>
      <c r="B975" s="359"/>
      <c r="C975" s="361" t="s">
        <v>14</v>
      </c>
      <c r="D975" s="58" t="s">
        <v>7</v>
      </c>
      <c r="E975" s="164" t="str">
        <f>A973&amp;"/"&amp;B973&amp;"/"&amp;C975&amp;"/"&amp;D975</f>
        <v>Coal fired power plants/Integrated gasification combined cycle/CHP/L</v>
      </c>
      <c r="F975" s="78" t="str">
        <f>A973</f>
        <v>Coal fired power plants</v>
      </c>
      <c r="G975" s="78" t="str">
        <f>B973</f>
        <v>Integrated gasification combined cycle</v>
      </c>
      <c r="H975" s="78" t="str">
        <f>C975</f>
        <v>CHP</v>
      </c>
      <c r="I975" s="165" t="str">
        <f t="shared" si="93"/>
        <v>L</v>
      </c>
      <c r="J975" s="95">
        <v>2870</v>
      </c>
      <c r="K975" s="95">
        <v>2869.9783821624242</v>
      </c>
      <c r="L975" s="95">
        <v>2869.9506256739155</v>
      </c>
      <c r="M975" s="95">
        <v>2869.9149878865228</v>
      </c>
      <c r="N975" s="95">
        <v>2869.8692317698656</v>
      </c>
      <c r="O975" s="95">
        <v>2869.8104858660308</v>
      </c>
      <c r="P975" s="95">
        <v>2869.7350647092308</v>
      </c>
      <c r="Q975" s="95">
        <v>2869.6382386373584</v>
      </c>
      <c r="R975" s="95">
        <v>2869.513938878607</v>
      </c>
      <c r="S975" s="95">
        <v>2869.3543799529598</v>
      </c>
      <c r="T975" s="95">
        <v>2869.1495766004737</v>
      </c>
      <c r="U975" s="95">
        <v>2868.8867264249247</v>
      </c>
      <c r="V975" s="95">
        <v>2868.5494219953798</v>
      </c>
      <c r="W975" s="95">
        <v>2868.1166470588732</v>
      </c>
      <c r="X975" s="95">
        <v>2867.5615006163271</v>
      </c>
      <c r="Y975" s="95">
        <v>2866.8495798703648</v>
      </c>
      <c r="Z975" s="95">
        <v>2865.9369387249521</v>
      </c>
      <c r="AA975" s="95">
        <v>2864.7675234033591</v>
      </c>
      <c r="AB975" s="95">
        <v>2863.2699726171682</v>
      </c>
      <c r="AC975" s="95">
        <v>2861.353659964308</v>
      </c>
      <c r="AD975" s="95">
        <v>2858.9038569276418</v>
      </c>
      <c r="AE975" s="95">
        <v>2855.7759162569018</v>
      </c>
      <c r="AF975" s="95">
        <v>2851.7884342447251</v>
      </c>
      <c r="AG975" s="95">
        <v>2846.7154720754352</v>
      </c>
      <c r="AH975" s="95">
        <v>2840.2781385052285</v>
      </c>
      <c r="AI975" s="95">
        <v>2832.136209557571</v>
      </c>
      <c r="AJ975" s="95">
        <v>2821.8810473349058</v>
      </c>
      <c r="AK975" s="95">
        <v>2809.0319384664544</v>
      </c>
      <c r="AL975" s="95">
        <v>2793.0391249233494</v>
      </c>
      <c r="AM975" s="95">
        <v>2773.2981601347105</v>
      </c>
      <c r="AN975" s="95">
        <v>2749.1814798449404</v>
      </c>
      <c r="AO975" s="95">
        <v>2720.0935365651649</v>
      </c>
      <c r="AP975" s="95">
        <v>2685.5543148261754</v>
      </c>
      <c r="AQ975" s="95">
        <v>2645.310939438009</v>
      </c>
      <c r="AR975" s="95">
        <v>2599.4671065634143</v>
      </c>
      <c r="AS975" s="95">
        <v>2548.6056718443174</v>
      </c>
      <c r="AT975" s="95">
        <v>2493.8651448064106</v>
      </c>
      <c r="AU975" s="95">
        <v>2436.9249217064603</v>
      </c>
      <c r="AV975" s="95">
        <v>2379.8673578917178</v>
      </c>
      <c r="AW975" s="95">
        <v>2324.9213415359736</v>
      </c>
      <c r="AX975" s="96">
        <v>2274.1408292639117</v>
      </c>
    </row>
    <row r="976" spans="1:50" x14ac:dyDescent="0.25">
      <c r="A976" s="356"/>
      <c r="B976" s="359"/>
      <c r="C976" s="360"/>
      <c r="D976" s="59" t="s">
        <v>8</v>
      </c>
      <c r="E976" s="166" t="str">
        <f>A973&amp;"/"&amp;B973&amp;"/"&amp;C975&amp;"/"&amp;D976</f>
        <v>Coal fired power plants/Integrated gasification combined cycle/CHP/M</v>
      </c>
      <c r="F976" s="79" t="str">
        <f>A973</f>
        <v>Coal fired power plants</v>
      </c>
      <c r="G976" s="79" t="str">
        <f>B973</f>
        <v>Integrated gasification combined cycle</v>
      </c>
      <c r="H976" s="79" t="str">
        <f>C975</f>
        <v>CHP</v>
      </c>
      <c r="I976" s="167" t="str">
        <f t="shared" si="93"/>
        <v>M</v>
      </c>
      <c r="J976" s="97">
        <v>3056</v>
      </c>
      <c r="K976" s="97">
        <v>3055.8783447442024</v>
      </c>
      <c r="L976" s="97">
        <v>3055.7297865307874</v>
      </c>
      <c r="M976" s="97">
        <v>3055.5483846205138</v>
      </c>
      <c r="N976" s="97">
        <v>3055.3268906622193</v>
      </c>
      <c r="O976" s="97">
        <v>3055.0564629526589</v>
      </c>
      <c r="P976" s="97">
        <v>3054.7263192776072</v>
      </c>
      <c r="Q976" s="97">
        <v>3054.3233156362567</v>
      </c>
      <c r="R976" s="97">
        <v>3053.8314357765885</v>
      </c>
      <c r="S976" s="97">
        <v>3053.2311737795699</v>
      </c>
      <c r="T976" s="97">
        <v>3052.4987889544341</v>
      </c>
      <c r="U976" s="97">
        <v>3051.605409128108</v>
      </c>
      <c r="V976" s="97">
        <v>3050.5159551953075</v>
      </c>
      <c r="W976" s="97">
        <v>3049.1878568389666</v>
      </c>
      <c r="X976" s="97">
        <v>3047.5695271284976</v>
      </c>
      <c r="Y976" s="97">
        <v>3045.598563043548</v>
      </c>
      <c r="Z976" s="97">
        <v>3043.1996410639981</v>
      </c>
      <c r="AA976" s="97">
        <v>3040.282083618516</v>
      </c>
      <c r="AB976" s="97">
        <v>3036.7370860122569</v>
      </c>
      <c r="AC976" s="97">
        <v>3032.4346181437677</v>
      </c>
      <c r="AD976" s="97">
        <v>3027.2200558808245</v>
      </c>
      <c r="AE976" s="97">
        <v>3020.9106599122092</v>
      </c>
      <c r="AF976" s="97">
        <v>3013.2921132050187</v>
      </c>
      <c r="AG976" s="97">
        <v>3004.1154607471672</v>
      </c>
      <c r="AH976" s="97">
        <v>2993.0949752536139</v>
      </c>
      <c r="AI976" s="97">
        <v>2979.9077042696081</v>
      </c>
      <c r="AJ976" s="97">
        <v>2964.1957321860773</v>
      </c>
      <c r="AK976" s="97">
        <v>2945.5724906305259</v>
      </c>
      <c r="AL976" s="97">
        <v>2923.6347160207056</v>
      </c>
      <c r="AM976" s="97">
        <v>2897.9817802199768</v>
      </c>
      <c r="AN976" s="97">
        <v>2868.2439471985176</v>
      </c>
      <c r="AO976" s="97">
        <v>2834.1204191633055</v>
      </c>
      <c r="AP976" s="97">
        <v>2795.4265987129475</v>
      </c>
      <c r="AQ976" s="97">
        <v>2752.1476601071745</v>
      </c>
      <c r="AR976" s="97">
        <v>2704.4923893989062</v>
      </c>
      <c r="AS976" s="97">
        <v>2652.9378605422535</v>
      </c>
      <c r="AT976" s="97">
        <v>2598.2529723620323</v>
      </c>
      <c r="AU976" s="97">
        <v>2541.4887303560899</v>
      </c>
      <c r="AV976" s="97">
        <v>2483.9268643762853</v>
      </c>
      <c r="AW976" s="97">
        <v>2426.9863499866788</v>
      </c>
      <c r="AX976" s="98">
        <v>2372.0981761516759</v>
      </c>
    </row>
    <row r="977" spans="1:50" x14ac:dyDescent="0.25">
      <c r="A977" s="356"/>
      <c r="B977" s="359"/>
      <c r="C977" s="361" t="s">
        <v>15</v>
      </c>
      <c r="D977" s="58" t="s">
        <v>7</v>
      </c>
      <c r="E977" s="164" t="str">
        <f>A973&amp;"/"&amp;B973&amp;"/"&amp;C977&amp;"/"&amp;D977</f>
        <v>Coal fired power plants/Integrated gasification combined cycle/Electricity only with CCS/L</v>
      </c>
      <c r="F977" s="78" t="str">
        <f>A973</f>
        <v>Coal fired power plants</v>
      </c>
      <c r="G977" s="78" t="str">
        <f>B973</f>
        <v>Integrated gasification combined cycle</v>
      </c>
      <c r="H977" s="78" t="str">
        <f>C977</f>
        <v>Electricity only with CCS</v>
      </c>
      <c r="I977" s="165" t="str">
        <f t="shared" si="93"/>
        <v>L</v>
      </c>
      <c r="J977" s="95" t="s">
        <v>112</v>
      </c>
      <c r="K977" s="95" t="s">
        <v>112</v>
      </c>
      <c r="L977" s="95" t="s">
        <v>112</v>
      </c>
      <c r="M977" s="95" t="s">
        <v>112</v>
      </c>
      <c r="N977" s="95" t="s">
        <v>112</v>
      </c>
      <c r="O977" s="95" t="s">
        <v>112</v>
      </c>
      <c r="P977" s="95" t="s">
        <v>112</v>
      </c>
      <c r="Q977" s="95" t="s">
        <v>112</v>
      </c>
      <c r="R977" s="95" t="s">
        <v>112</v>
      </c>
      <c r="S977" s="95" t="s">
        <v>112</v>
      </c>
      <c r="T977" s="95" t="s">
        <v>112</v>
      </c>
      <c r="U977" s="95" t="s">
        <v>112</v>
      </c>
      <c r="V977" s="95" t="s">
        <v>112</v>
      </c>
      <c r="W977" s="95" t="s">
        <v>112</v>
      </c>
      <c r="X977" s="95" t="s">
        <v>112</v>
      </c>
      <c r="Y977" s="95" t="s">
        <v>112</v>
      </c>
      <c r="Z977" s="95" t="s">
        <v>112</v>
      </c>
      <c r="AA977" s="95" t="s">
        <v>112</v>
      </c>
      <c r="AB977" s="95" t="s">
        <v>112</v>
      </c>
      <c r="AC977" s="95" t="s">
        <v>112</v>
      </c>
      <c r="AD977" s="95" t="s">
        <v>112</v>
      </c>
      <c r="AE977" s="95">
        <v>3594.2957836636369</v>
      </c>
      <c r="AF977" s="95">
        <v>3593.7004746644161</v>
      </c>
      <c r="AG977" s="95">
        <v>3592.8976514278265</v>
      </c>
      <c r="AH977" s="95">
        <v>3591.8153357784813</v>
      </c>
      <c r="AI977" s="95">
        <v>3590.3568759400341</v>
      </c>
      <c r="AJ977" s="95">
        <v>3588.3927277776811</v>
      </c>
      <c r="AK977" s="95">
        <v>3585.7496939405255</v>
      </c>
      <c r="AL977" s="95">
        <v>3582.196995985898</v>
      </c>
      <c r="AM977" s="95">
        <v>3577.4285397633803</v>
      </c>
      <c r="AN977" s="95">
        <v>3571.0408629125345</v>
      </c>
      <c r="AO977" s="95">
        <v>3562.5066716642523</v>
      </c>
      <c r="AP977" s="95">
        <v>3551.1448250977255</v>
      </c>
      <c r="AQ977" s="95">
        <v>3536.0894780437961</v>
      </c>
      <c r="AR977" s="95">
        <v>3516.2643400715842</v>
      </c>
      <c r="AS977" s="95">
        <v>3490.3731406321017</v>
      </c>
      <c r="AT977" s="95">
        <v>3456.9245153942929</v>
      </c>
      <c r="AU977" s="95">
        <v>3414.3174850885816</v>
      </c>
      <c r="AV977" s="95">
        <v>3361.0185712803668</v>
      </c>
      <c r="AW977" s="95">
        <v>3295.8551589757922</v>
      </c>
      <c r="AX977" s="96">
        <v>3218.42</v>
      </c>
    </row>
    <row r="978" spans="1:50" x14ac:dyDescent="0.25">
      <c r="A978" s="356"/>
      <c r="B978" s="359"/>
      <c r="C978" s="360"/>
      <c r="D978" s="59" t="s">
        <v>8</v>
      </c>
      <c r="E978" s="166" t="str">
        <f>A973&amp;"/"&amp;B973&amp;"/"&amp;C977&amp;"/"&amp;D978</f>
        <v>Coal fired power plants/Integrated gasification combined cycle/Electricity only with CCS/M</v>
      </c>
      <c r="F978" s="79" t="str">
        <f>A973</f>
        <v>Coal fired power plants</v>
      </c>
      <c r="G978" s="79" t="str">
        <f>B973</f>
        <v>Integrated gasification combined cycle</v>
      </c>
      <c r="H978" s="79" t="str">
        <f>C977</f>
        <v>Electricity only with CCS</v>
      </c>
      <c r="I978" s="167" t="str">
        <f t="shared" si="93"/>
        <v>M</v>
      </c>
      <c r="J978" s="97" t="s">
        <v>112</v>
      </c>
      <c r="K978" s="97" t="s">
        <v>112</v>
      </c>
      <c r="L978" s="97" t="s">
        <v>112</v>
      </c>
      <c r="M978" s="97" t="s">
        <v>112</v>
      </c>
      <c r="N978" s="97" t="s">
        <v>112</v>
      </c>
      <c r="O978" s="97" t="s">
        <v>112</v>
      </c>
      <c r="P978" s="97" t="s">
        <v>112</v>
      </c>
      <c r="Q978" s="97" t="s">
        <v>112</v>
      </c>
      <c r="R978" s="97" t="s">
        <v>112</v>
      </c>
      <c r="S978" s="97" t="s">
        <v>112</v>
      </c>
      <c r="T978" s="97" t="s">
        <v>112</v>
      </c>
      <c r="U978" s="97" t="s">
        <v>112</v>
      </c>
      <c r="V978" s="97" t="s">
        <v>112</v>
      </c>
      <c r="W978" s="97" t="s">
        <v>112</v>
      </c>
      <c r="X978" s="97" t="s">
        <v>112</v>
      </c>
      <c r="Y978" s="97" t="s">
        <v>112</v>
      </c>
      <c r="Z978" s="97" t="s">
        <v>112</v>
      </c>
      <c r="AA978" s="97" t="s">
        <v>112</v>
      </c>
      <c r="AB978" s="97" t="s">
        <v>112</v>
      </c>
      <c r="AC978" s="97" t="s">
        <v>112</v>
      </c>
      <c r="AD978" s="97" t="s">
        <v>112</v>
      </c>
      <c r="AE978" s="97">
        <v>3837.0458156432901</v>
      </c>
      <c r="AF978" s="97">
        <v>3836.7299612070178</v>
      </c>
      <c r="AG978" s="97">
        <v>3836.2819447559568</v>
      </c>
      <c r="AH978" s="97">
        <v>3835.6465862735622</v>
      </c>
      <c r="AI978" s="97">
        <v>3834.7457886125771</v>
      </c>
      <c r="AJ978" s="97">
        <v>3833.4691424511716</v>
      </c>
      <c r="AK978" s="97">
        <v>3831.6608037321839</v>
      </c>
      <c r="AL978" s="97">
        <v>3829.101290322139</v>
      </c>
      <c r="AM978" s="97">
        <v>3825.4824824187199</v>
      </c>
      <c r="AN978" s="97">
        <v>3820.3737926327985</v>
      </c>
      <c r="AO978" s="97">
        <v>3813.1773909976027</v>
      </c>
      <c r="AP978" s="97">
        <v>3803.0709432499916</v>
      </c>
      <c r="AQ978" s="97">
        <v>3788.9383557796473</v>
      </c>
      <c r="AR978" s="97">
        <v>3769.2939413345625</v>
      </c>
      <c r="AS978" s="97">
        <v>3742.2154144748674</v>
      </c>
      <c r="AT978" s="97">
        <v>3705.318788787717</v>
      </c>
      <c r="AU978" s="97">
        <v>3655.8346512138291</v>
      </c>
      <c r="AV978" s="97">
        <v>3590.8747014010069</v>
      </c>
      <c r="AW978" s="97">
        <v>3507.9876577116984</v>
      </c>
      <c r="AX978" s="98">
        <v>3406.0475000000001</v>
      </c>
    </row>
    <row r="979" spans="1:50" x14ac:dyDescent="0.25">
      <c r="A979" s="356"/>
      <c r="B979" s="359"/>
      <c r="C979" s="361" t="s">
        <v>16</v>
      </c>
      <c r="D979" s="2" t="s">
        <v>7</v>
      </c>
      <c r="E979" s="160" t="str">
        <f>A973&amp;"/"&amp;B973&amp;"/"&amp;C979&amp;"/"&amp;D979</f>
        <v>Coal fired power plants/Integrated gasification combined cycle/CHP with CCS/L</v>
      </c>
      <c r="F979" s="76" t="str">
        <f>A973</f>
        <v>Coal fired power plants</v>
      </c>
      <c r="G979" s="76" t="str">
        <f>B973</f>
        <v>Integrated gasification combined cycle</v>
      </c>
      <c r="H979" s="76" t="str">
        <f>C979</f>
        <v>CHP with CCS</v>
      </c>
      <c r="I979" s="161" t="str">
        <f t="shared" si="93"/>
        <v>L</v>
      </c>
      <c r="J979" s="91" t="s">
        <v>112</v>
      </c>
      <c r="K979" s="91" t="s">
        <v>112</v>
      </c>
      <c r="L979" s="91" t="s">
        <v>112</v>
      </c>
      <c r="M979" s="91" t="s">
        <v>112</v>
      </c>
      <c r="N979" s="91" t="s">
        <v>112</v>
      </c>
      <c r="O979" s="91" t="s">
        <v>112</v>
      </c>
      <c r="P979" s="91" t="s">
        <v>112</v>
      </c>
      <c r="Q979" s="91" t="s">
        <v>112</v>
      </c>
      <c r="R979" s="91" t="s">
        <v>112</v>
      </c>
      <c r="S979" s="91" t="s">
        <v>112</v>
      </c>
      <c r="T979" s="91" t="s">
        <v>112</v>
      </c>
      <c r="U979" s="91" t="s">
        <v>112</v>
      </c>
      <c r="V979" s="91" t="s">
        <v>112</v>
      </c>
      <c r="W979" s="91" t="s">
        <v>112</v>
      </c>
      <c r="X979" s="91" t="s">
        <v>112</v>
      </c>
      <c r="Y979" s="91" t="s">
        <v>112</v>
      </c>
      <c r="Z979" s="91" t="s">
        <v>112</v>
      </c>
      <c r="AA979" s="91" t="s">
        <v>112</v>
      </c>
      <c r="AB979" s="91" t="s">
        <v>112</v>
      </c>
      <c r="AC979" s="91" t="s">
        <v>112</v>
      </c>
      <c r="AD979" s="91" t="s">
        <v>112</v>
      </c>
      <c r="AE979" s="91">
        <v>3984.2189002983273</v>
      </c>
      <c r="AF979" s="91">
        <v>3983.5967347561418</v>
      </c>
      <c r="AG979" s="91">
        <v>3982.7576932584898</v>
      </c>
      <c r="AH979" s="91">
        <v>3981.6265504340527</v>
      </c>
      <c r="AI979" s="91">
        <v>3980.1022941951392</v>
      </c>
      <c r="AJ979" s="91">
        <v>3978.0495362022934</v>
      </c>
      <c r="AK979" s="91">
        <v>3975.2872655454385</v>
      </c>
      <c r="AL979" s="91">
        <v>3971.5742925313289</v>
      </c>
      <c r="AM979" s="91">
        <v>3966.5907139948795</v>
      </c>
      <c r="AN979" s="91">
        <v>3959.9148659287225</v>
      </c>
      <c r="AO979" s="91">
        <v>3950.9956664339143</v>
      </c>
      <c r="AP979" s="91">
        <v>3939.1212458581335</v>
      </c>
      <c r="AQ979" s="91">
        <v>3923.3866976237478</v>
      </c>
      <c r="AR979" s="91">
        <v>3902.6671759441924</v>
      </c>
      <c r="AS979" s="91">
        <v>3875.6079308157114</v>
      </c>
      <c r="AT979" s="91">
        <v>3840.6503170660617</v>
      </c>
      <c r="AU979" s="91">
        <v>3796.1211294579839</v>
      </c>
      <c r="AV979" s="91">
        <v>3740.4177087960979</v>
      </c>
      <c r="AW979" s="91">
        <v>3672.314539181295</v>
      </c>
      <c r="AX979" s="92">
        <v>3591.3860000000004</v>
      </c>
    </row>
    <row r="980" spans="1:50" x14ac:dyDescent="0.25">
      <c r="A980" s="356"/>
      <c r="B980" s="362"/>
      <c r="C980" s="354"/>
      <c r="D980" s="4" t="s">
        <v>8</v>
      </c>
      <c r="E980" s="168" t="str">
        <f>A973&amp;"/"&amp;B973&amp;"/"&amp;C979&amp;"/"&amp;D980</f>
        <v>Coal fired power plants/Integrated gasification combined cycle/CHP with CCS/M</v>
      </c>
      <c r="F980" s="80" t="str">
        <f>A973</f>
        <v>Coal fired power plants</v>
      </c>
      <c r="G980" s="80" t="str">
        <f>B973</f>
        <v>Integrated gasification combined cycle</v>
      </c>
      <c r="H980" s="80" t="str">
        <f>C979</f>
        <v>CHP with CCS</v>
      </c>
      <c r="I980" s="169" t="str">
        <f t="shared" si="93"/>
        <v>M</v>
      </c>
      <c r="J980" s="99" t="s">
        <v>112</v>
      </c>
      <c r="K980" s="99" t="s">
        <v>112</v>
      </c>
      <c r="L980" s="99" t="s">
        <v>112</v>
      </c>
      <c r="M980" s="99" t="s">
        <v>112</v>
      </c>
      <c r="N980" s="99" t="s">
        <v>112</v>
      </c>
      <c r="O980" s="99" t="s">
        <v>112</v>
      </c>
      <c r="P980" s="99" t="s">
        <v>112</v>
      </c>
      <c r="Q980" s="99" t="s">
        <v>112</v>
      </c>
      <c r="R980" s="99" t="s">
        <v>112</v>
      </c>
      <c r="S980" s="99" t="s">
        <v>112</v>
      </c>
      <c r="T980" s="99" t="s">
        <v>112</v>
      </c>
      <c r="U980" s="99" t="s">
        <v>112</v>
      </c>
      <c r="V980" s="99" t="s">
        <v>112</v>
      </c>
      <c r="W980" s="99" t="s">
        <v>112</v>
      </c>
      <c r="X980" s="99" t="s">
        <v>112</v>
      </c>
      <c r="Y980" s="99" t="s">
        <v>112</v>
      </c>
      <c r="Z980" s="99" t="s">
        <v>112</v>
      </c>
      <c r="AA980" s="99" t="s">
        <v>112</v>
      </c>
      <c r="AB980" s="99" t="s">
        <v>112</v>
      </c>
      <c r="AC980" s="99" t="s">
        <v>112</v>
      </c>
      <c r="AD980" s="99" t="s">
        <v>112</v>
      </c>
      <c r="AE980" s="99">
        <v>4227.0245632267415</v>
      </c>
      <c r="AF980" s="99">
        <v>4226.6998082212795</v>
      </c>
      <c r="AG980" s="99">
        <v>4226.2391669628305</v>
      </c>
      <c r="AH980" s="99">
        <v>4225.5859044984645</v>
      </c>
      <c r="AI980" s="99">
        <v>4224.6597229549488</v>
      </c>
      <c r="AJ980" s="99">
        <v>4223.3471017487609</v>
      </c>
      <c r="AK980" s="99">
        <v>4221.487805240241</v>
      </c>
      <c r="AL980" s="99">
        <v>4218.8561664345052</v>
      </c>
      <c r="AM980" s="99">
        <v>4215.1353829169157</v>
      </c>
      <c r="AN980" s="99">
        <v>4209.8827336304003</v>
      </c>
      <c r="AO980" s="99">
        <v>4202.4835421549724</v>
      </c>
      <c r="AP980" s="99">
        <v>4192.0923013916381</v>
      </c>
      <c r="AQ980" s="99">
        <v>4177.5614669500355</v>
      </c>
      <c r="AR980" s="99">
        <v>4157.3634858936493</v>
      </c>
      <c r="AS980" s="99">
        <v>4129.5219040498177</v>
      </c>
      <c r="AT980" s="99">
        <v>4091.5855558447365</v>
      </c>
      <c r="AU980" s="99">
        <v>4040.706987990091</v>
      </c>
      <c r="AV980" s="99">
        <v>3973.9165097393379</v>
      </c>
      <c r="AW980" s="99">
        <v>3888.693763959026</v>
      </c>
      <c r="AX980" s="100">
        <v>3783.8810000000003</v>
      </c>
    </row>
    <row r="981" spans="1:50" x14ac:dyDescent="0.25">
      <c r="A981" s="356"/>
      <c r="B981" s="358" t="s">
        <v>17</v>
      </c>
      <c r="C981" s="353" t="s">
        <v>6</v>
      </c>
      <c r="D981" s="3" t="s">
        <v>7</v>
      </c>
      <c r="E981" s="162" t="str">
        <f>A973&amp;"/"&amp;B981&amp;"/"&amp;C981&amp;"/"&amp;D981</f>
        <v>Coal fired power plants/Supercritical steam turbine/Electricity only/L</v>
      </c>
      <c r="F981" s="77" t="str">
        <f>A973</f>
        <v>Coal fired power plants</v>
      </c>
      <c r="G981" s="77" t="str">
        <f>B981</f>
        <v>Supercritical steam turbine</v>
      </c>
      <c r="H981" s="77" t="str">
        <f>C981</f>
        <v>Electricity only</v>
      </c>
      <c r="I981" s="163" t="str">
        <f t="shared" si="93"/>
        <v>L</v>
      </c>
      <c r="J981" s="93">
        <v>1745</v>
      </c>
      <c r="K981" s="93">
        <v>1744.8811597531308</v>
      </c>
      <c r="L981" s="93">
        <v>1744.7361177118908</v>
      </c>
      <c r="M981" s="93">
        <v>1744.5591265274952</v>
      </c>
      <c r="N981" s="93">
        <v>1744.3431926821479</v>
      </c>
      <c r="O981" s="93">
        <v>1744.0798134003915</v>
      </c>
      <c r="P981" s="93">
        <v>1743.7586615148953</v>
      </c>
      <c r="Q981" s="93">
        <v>1743.3672097327421</v>
      </c>
      <c r="R981" s="93">
        <v>1742.890285248664</v>
      </c>
      <c r="S981" s="93">
        <v>1742.3095456743174</v>
      </c>
      <c r="T981" s="93">
        <v>1741.6028681826526</v>
      </c>
      <c r="U981" s="93">
        <v>1740.7436461742268</v>
      </c>
      <c r="V981" s="93">
        <v>1739.6999924798588</v>
      </c>
      <c r="W981" s="93">
        <v>1738.433856270444</v>
      </c>
      <c r="X981" s="93">
        <v>1736.900074000087</v>
      </c>
      <c r="Y981" s="93">
        <v>1735.045394859688</v>
      </c>
      <c r="Z981" s="93">
        <v>1732.8075507724657</v>
      </c>
      <c r="AA981" s="93">
        <v>1730.1144825291703</v>
      </c>
      <c r="AB981" s="93">
        <v>1726.8838895095355</v>
      </c>
      <c r="AC981" s="93">
        <v>1723.0233414095444</v>
      </c>
      <c r="AD981" s="93">
        <v>1718.4312739780898</v>
      </c>
      <c r="AE981" s="93">
        <v>1712.9992780708039</v>
      </c>
      <c r="AF981" s="93">
        <v>1706.6161629388612</v>
      </c>
      <c r="AG981" s="93">
        <v>1699.1742960128279</v>
      </c>
      <c r="AH981" s="93">
        <v>1690.5786396434785</v>
      </c>
      <c r="AI981" s="93">
        <v>1680.7586516216252</v>
      </c>
      <c r="AJ981" s="93">
        <v>1669.6827208582508</v>
      </c>
      <c r="AK981" s="93">
        <v>1657.3740349855643</v>
      </c>
      <c r="AL981" s="93">
        <v>1643.9257734257787</v>
      </c>
      <c r="AM981" s="93">
        <v>1629.5124903081235</v>
      </c>
      <c r="AN981" s="93">
        <v>1614.3938852682049</v>
      </c>
      <c r="AO981" s="93">
        <v>1598.9073729812958</v>
      </c>
      <c r="AP981" s="93">
        <v>1583.4473940347243</v>
      </c>
      <c r="AQ981" s="93">
        <v>1568.4322998163218</v>
      </c>
      <c r="AR981" s="93">
        <v>1554.263253532702</v>
      </c>
      <c r="AS981" s="93">
        <v>1541.2826331081337</v>
      </c>
      <c r="AT981" s="93">
        <v>1529.7404740361467</v>
      </c>
      <c r="AU981" s="93">
        <v>1519.7757874397093</v>
      </c>
      <c r="AV981" s="93">
        <v>1511.415604104041</v>
      </c>
      <c r="AW981" s="93">
        <v>1504.5898992475784</v>
      </c>
      <c r="AX981" s="94">
        <v>1499.1569719094248</v>
      </c>
    </row>
    <row r="982" spans="1:50" x14ac:dyDescent="0.25">
      <c r="A982" s="356"/>
      <c r="B982" s="359"/>
      <c r="C982" s="360"/>
      <c r="D982" s="2" t="s">
        <v>8</v>
      </c>
      <c r="E982" s="160" t="str">
        <f>A973&amp;"/"&amp;B981&amp;"/"&amp;C981&amp;"/"&amp;D982</f>
        <v>Coal fired power plants/Supercritical steam turbine/Electricity only/M</v>
      </c>
      <c r="F982" s="76" t="str">
        <f>A973</f>
        <v>Coal fired power plants</v>
      </c>
      <c r="G982" s="76" t="str">
        <f>B981</f>
        <v>Supercritical steam turbine</v>
      </c>
      <c r="H982" s="76" t="str">
        <f>C981</f>
        <v>Electricity only</v>
      </c>
      <c r="I982" s="161" t="str">
        <f t="shared" si="93"/>
        <v>M</v>
      </c>
      <c r="J982" s="91">
        <v>1902.0500000000002</v>
      </c>
      <c r="K982" s="91">
        <v>1901.8223330331557</v>
      </c>
      <c r="L982" s="91">
        <v>1901.5514100260577</v>
      </c>
      <c r="M982" s="91">
        <v>1901.2290769710319</v>
      </c>
      <c r="N982" s="91">
        <v>1900.8456696775004</v>
      </c>
      <c r="O982" s="91">
        <v>1900.3897452896858</v>
      </c>
      <c r="P982" s="91">
        <v>1899.8477707745483</v>
      </c>
      <c r="Q982" s="91">
        <v>1899.2037634966746</v>
      </c>
      <c r="R982" s="91">
        <v>1898.4388793714916</v>
      </c>
      <c r="S982" s="91">
        <v>1897.5309450205596</v>
      </c>
      <c r="T982" s="91">
        <v>1896.4539321126645</v>
      </c>
      <c r="U982" s="91">
        <v>1895.1773750258549</v>
      </c>
      <c r="V982" s="91">
        <v>1893.6657375870227</v>
      </c>
      <c r="W982" s="91">
        <v>1891.8777415464956</v>
      </c>
      <c r="X982" s="91">
        <v>1889.7656793703377</v>
      </c>
      <c r="Y982" s="91">
        <v>1887.2747477414357</v>
      </c>
      <c r="Z982" s="91">
        <v>1884.3424567546647</v>
      </c>
      <c r="AA982" s="91">
        <v>1880.8981939655391</v>
      </c>
      <c r="AB982" s="91">
        <v>1876.8630526103689</v>
      </c>
      <c r="AC982" s="91">
        <v>1872.1500690085925</v>
      </c>
      <c r="AD982" s="91">
        <v>1866.6650533749355</v>
      </c>
      <c r="AE982" s="91">
        <v>1860.308236474569</v>
      </c>
      <c r="AF982" s="91">
        <v>1852.9769835196087</v>
      </c>
      <c r="AG982" s="91">
        <v>1844.5698333775192</v>
      </c>
      <c r="AH982" s="91">
        <v>1834.9920870999701</v>
      </c>
      <c r="AI982" s="91">
        <v>1824.1630720806002</v>
      </c>
      <c r="AJ982" s="91">
        <v>1812.0250231728739</v>
      </c>
      <c r="AK982" s="91">
        <v>1798.5532333823253</v>
      </c>
      <c r="AL982" s="91">
        <v>1783.7667377210653</v>
      </c>
      <c r="AM982" s="91">
        <v>1767.7383437180099</v>
      </c>
      <c r="AN982" s="91">
        <v>1750.6023995725973</v>
      </c>
      <c r="AO982" s="91">
        <v>1732.5584352694357</v>
      </c>
      <c r="AP982" s="91">
        <v>1713.8688894506681</v>
      </c>
      <c r="AQ982" s="91">
        <v>1694.8496835072781</v>
      </c>
      <c r="AR982" s="91">
        <v>1675.8534555891861</v>
      </c>
      <c r="AS982" s="91">
        <v>1657.2466764148637</v>
      </c>
      <c r="AT982" s="91">
        <v>1639.3833028961719</v>
      </c>
      <c r="AU982" s="91">
        <v>1622.5786448382642</v>
      </c>
      <c r="AV982" s="91">
        <v>1607.0873429264752</v>
      </c>
      <c r="AW982" s="91">
        <v>1593.0886378881441</v>
      </c>
      <c r="AX982" s="92">
        <v>1580.6806327602785</v>
      </c>
    </row>
    <row r="983" spans="1:50" x14ac:dyDescent="0.25">
      <c r="A983" s="356"/>
      <c r="B983" s="359"/>
      <c r="C983" s="361" t="s">
        <v>14</v>
      </c>
      <c r="D983" s="58" t="s">
        <v>7</v>
      </c>
      <c r="E983" s="164" t="str">
        <f>A973&amp;"/"&amp;B981&amp;"/"&amp;C983&amp;"/"&amp;D983</f>
        <v>Coal fired power plants/Supercritical steam turbine/CHP/L</v>
      </c>
      <c r="F983" s="78" t="str">
        <f>A973</f>
        <v>Coal fired power plants</v>
      </c>
      <c r="G983" s="78" t="str">
        <f>B981</f>
        <v>Supercritical steam turbine</v>
      </c>
      <c r="H983" s="78" t="str">
        <f>C983</f>
        <v>CHP</v>
      </c>
      <c r="I983" s="165" t="str">
        <f t="shared" si="93"/>
        <v>L</v>
      </c>
      <c r="J983" s="95">
        <v>2160</v>
      </c>
      <c r="K983" s="95">
        <v>2159.8725106348775</v>
      </c>
      <c r="L983" s="95">
        <v>2159.7169125253063</v>
      </c>
      <c r="M983" s="95">
        <v>2159.527040034081</v>
      </c>
      <c r="N983" s="95">
        <v>2159.2953906595881</v>
      </c>
      <c r="O983" s="95">
        <v>2159.0128427997324</v>
      </c>
      <c r="P983" s="95">
        <v>2158.6683176824549</v>
      </c>
      <c r="Q983" s="95">
        <v>2158.2483762863571</v>
      </c>
      <c r="R983" s="95">
        <v>2157.7367415389681</v>
      </c>
      <c r="S983" s="95">
        <v>2157.1137361044825</v>
      </c>
      <c r="T983" s="95">
        <v>2156.3556270704444</v>
      </c>
      <c r="U983" s="95">
        <v>2155.4338714258752</v>
      </c>
      <c r="V983" s="95">
        <v>2154.3142612735219</v>
      </c>
      <c r="W983" s="95">
        <v>2152.9559764689234</v>
      </c>
      <c r="X983" s="95">
        <v>2151.3105664917839</v>
      </c>
      <c r="Y983" s="95">
        <v>2149.3209049726852</v>
      </c>
      <c r="Z983" s="95">
        <v>2146.9201920034702</v>
      </c>
      <c r="AA983" s="95">
        <v>2144.0311239510643</v>
      </c>
      <c r="AB983" s="95">
        <v>2140.5654104079372</v>
      </c>
      <c r="AC983" s="95">
        <v>2136.4238940508121</v>
      </c>
      <c r="AD983" s="95">
        <v>2131.4976188464093</v>
      </c>
      <c r="AE983" s="95">
        <v>2125.6702857011719</v>
      </c>
      <c r="AF983" s="95">
        <v>2118.8226114736667</v>
      </c>
      <c r="AG983" s="95">
        <v>2110.8391301639049</v>
      </c>
      <c r="AH983" s="95">
        <v>2101.6178873424597</v>
      </c>
      <c r="AI983" s="95">
        <v>2091.0832067826259</v>
      </c>
      <c r="AJ983" s="95">
        <v>2079.2011767602553</v>
      </c>
      <c r="AK983" s="95">
        <v>2065.9966724888118</v>
      </c>
      <c r="AL983" s="95">
        <v>2051.5696549301192</v>
      </c>
      <c r="AM983" s="95">
        <v>2036.107382152898</v>
      </c>
      <c r="AN983" s="95">
        <v>2019.8884545685271</v>
      </c>
      <c r="AO983" s="95">
        <v>2003.2748436796478</v>
      </c>
      <c r="AP983" s="95">
        <v>1986.6896972108905</v>
      </c>
      <c r="AQ983" s="95">
        <v>1970.5818139003752</v>
      </c>
      <c r="AR983" s="95">
        <v>1955.3815533600105</v>
      </c>
      <c r="AS983" s="95">
        <v>1941.4562115635681</v>
      </c>
      <c r="AT983" s="95">
        <v>1929.0740214301816</v>
      </c>
      <c r="AU983" s="95">
        <v>1918.3841112247196</v>
      </c>
      <c r="AV983" s="95">
        <v>1909.4154790159112</v>
      </c>
      <c r="AW983" s="95">
        <v>1902.0930036627317</v>
      </c>
      <c r="AX983" s="96">
        <v>1896.2646712976752</v>
      </c>
    </row>
    <row r="984" spans="1:50" x14ac:dyDescent="0.25">
      <c r="A984" s="356"/>
      <c r="B984" s="359"/>
      <c r="C984" s="360"/>
      <c r="D984" s="59" t="s">
        <v>8</v>
      </c>
      <c r="E984" s="166" t="str">
        <f>A973&amp;"/"&amp;B981&amp;"/"&amp;C983&amp;"/"&amp;D984</f>
        <v>Coal fired power plants/Supercritical steam turbine/CHP/M</v>
      </c>
      <c r="F984" s="79" t="str">
        <f>A973</f>
        <v>Coal fired power plants</v>
      </c>
      <c r="G984" s="79" t="str">
        <f>B981</f>
        <v>Supercritical steam turbine</v>
      </c>
      <c r="H984" s="79" t="str">
        <f>C983</f>
        <v>CHP</v>
      </c>
      <c r="I984" s="167" t="str">
        <f t="shared" si="93"/>
        <v>M</v>
      </c>
      <c r="J984" s="97">
        <v>2317.0500000000002</v>
      </c>
      <c r="K984" s="97">
        <v>2316.8003934328885</v>
      </c>
      <c r="L984" s="97">
        <v>2316.5033623673348</v>
      </c>
      <c r="M984" s="97">
        <v>2316.1499670177736</v>
      </c>
      <c r="N984" s="97">
        <v>2315.7296118838235</v>
      </c>
      <c r="O984" s="97">
        <v>2315.2297513951366</v>
      </c>
      <c r="P984" s="97">
        <v>2314.635548379827</v>
      </c>
      <c r="Q984" s="97">
        <v>2313.9294800026146</v>
      </c>
      <c r="R984" s="97">
        <v>2313.0908862295641</v>
      </c>
      <c r="S984" s="97">
        <v>2312.0954568985558</v>
      </c>
      <c r="T984" s="97">
        <v>2310.9146554041608</v>
      </c>
      <c r="U984" s="97">
        <v>2309.5150802414719</v>
      </c>
      <c r="V984" s="97">
        <v>2307.857770720228</v>
      </c>
      <c r="W984" s="97">
        <v>2305.897470726467</v>
      </c>
      <c r="X984" s="97">
        <v>2303.5818752906266</v>
      </c>
      <c r="Y984" s="97">
        <v>2300.8508998600792</v>
      </c>
      <c r="Z984" s="97">
        <v>2297.6360325601618</v>
      </c>
      <c r="AA984" s="97">
        <v>2293.8598562314696</v>
      </c>
      <c r="AB984" s="97">
        <v>2289.4358600960909</v>
      </c>
      <c r="AC984" s="97">
        <v>2284.2687000377082</v>
      </c>
      <c r="AD984" s="97">
        <v>2278.2551094766986</v>
      </c>
      <c r="AE984" s="97">
        <v>2271.2857047086354</v>
      </c>
      <c r="AF984" s="97">
        <v>2263.2479603310626</v>
      </c>
      <c r="AG984" s="97">
        <v>2254.0306376986105</v>
      </c>
      <c r="AH984" s="97">
        <v>2243.5299120020436</v>
      </c>
      <c r="AI984" s="97">
        <v>2231.6573364516803</v>
      </c>
      <c r="AJ984" s="97">
        <v>2218.3495792426256</v>
      </c>
      <c r="AK984" s="97">
        <v>2203.5795524395598</v>
      </c>
      <c r="AL984" s="97">
        <v>2187.3681254030835</v>
      </c>
      <c r="AM984" s="97">
        <v>2169.7951219109032</v>
      </c>
      <c r="AN984" s="97">
        <v>2151.007836905821</v>
      </c>
      <c r="AO984" s="97">
        <v>2131.2250284939623</v>
      </c>
      <c r="AP984" s="97">
        <v>2110.7344257624686</v>
      </c>
      <c r="AQ984" s="97">
        <v>2089.8823945235322</v>
      </c>
      <c r="AR984" s="97">
        <v>2069.0555556350414</v>
      </c>
      <c r="AS984" s="97">
        <v>2048.6556955276433</v>
      </c>
      <c r="AT984" s="97">
        <v>2029.0708809063995</v>
      </c>
      <c r="AU984" s="97">
        <v>2010.646807060934</v>
      </c>
      <c r="AV984" s="97">
        <v>1993.6626536552719</v>
      </c>
      <c r="AW984" s="97">
        <v>1978.3149343218377</v>
      </c>
      <c r="AX984" s="98">
        <v>1964.7112060006216</v>
      </c>
    </row>
    <row r="985" spans="1:50" x14ac:dyDescent="0.25">
      <c r="A985" s="356"/>
      <c r="B985" s="359"/>
      <c r="C985" s="361" t="s">
        <v>15</v>
      </c>
      <c r="D985" s="58" t="s">
        <v>7</v>
      </c>
      <c r="E985" s="164" t="str">
        <f>A973&amp;"/"&amp;B981&amp;"/"&amp;C985&amp;"/"&amp;D985</f>
        <v>Coal fired power plants/Supercritical steam turbine/Electricity only with CCS/L</v>
      </c>
      <c r="F985" s="78" t="str">
        <f>A973</f>
        <v>Coal fired power plants</v>
      </c>
      <c r="G985" s="78" t="str">
        <f>B981</f>
        <v>Supercritical steam turbine</v>
      </c>
      <c r="H985" s="78" t="str">
        <f>C985</f>
        <v>Electricity only with CCS</v>
      </c>
      <c r="I985" s="165" t="str">
        <f t="shared" si="93"/>
        <v>L</v>
      </c>
      <c r="J985" s="95" t="s">
        <v>112</v>
      </c>
      <c r="K985" s="95" t="s">
        <v>112</v>
      </c>
      <c r="L985" s="95" t="s">
        <v>112</v>
      </c>
      <c r="M985" s="95" t="s">
        <v>112</v>
      </c>
      <c r="N985" s="95" t="s">
        <v>112</v>
      </c>
      <c r="O985" s="95" t="s">
        <v>112</v>
      </c>
      <c r="P985" s="95" t="s">
        <v>112</v>
      </c>
      <c r="Q985" s="95" t="s">
        <v>112</v>
      </c>
      <c r="R985" s="95" t="s">
        <v>112</v>
      </c>
      <c r="S985" s="95" t="s">
        <v>112</v>
      </c>
      <c r="T985" s="95" t="s">
        <v>112</v>
      </c>
      <c r="U985" s="95" t="s">
        <v>112</v>
      </c>
      <c r="V985" s="95" t="s">
        <v>112</v>
      </c>
      <c r="W985" s="95" t="s">
        <v>112</v>
      </c>
      <c r="X985" s="95" t="s">
        <v>112</v>
      </c>
      <c r="Y985" s="95" t="s">
        <v>112</v>
      </c>
      <c r="Z985" s="95" t="s">
        <v>112</v>
      </c>
      <c r="AA985" s="95" t="s">
        <v>112</v>
      </c>
      <c r="AB985" s="95" t="s">
        <v>112</v>
      </c>
      <c r="AC985" s="95" t="s">
        <v>112</v>
      </c>
      <c r="AD985" s="95" t="s">
        <v>112</v>
      </c>
      <c r="AE985" s="95">
        <v>3134.2740239956056</v>
      </c>
      <c r="AF985" s="95">
        <v>3132.7962259869719</v>
      </c>
      <c r="AG985" s="95">
        <v>3130.996772996089</v>
      </c>
      <c r="AH985" s="95">
        <v>3128.807131053522</v>
      </c>
      <c r="AI985" s="95">
        <v>3126.1448787793015</v>
      </c>
      <c r="AJ985" s="95">
        <v>3122.9112391236517</v>
      </c>
      <c r="AK985" s="95">
        <v>3118.9883421569625</v>
      </c>
      <c r="AL985" s="95">
        <v>3114.2362796893899</v>
      </c>
      <c r="AM985" s="95">
        <v>3108.4900728728194</v>
      </c>
      <c r="AN985" s="95">
        <v>3101.556761843271</v>
      </c>
      <c r="AO985" s="95">
        <v>3093.2129489436502</v>
      </c>
      <c r="AP985" s="95">
        <v>3083.2032896290511</v>
      </c>
      <c r="AQ985" s="95">
        <v>3071.240628342061</v>
      </c>
      <c r="AR985" s="95">
        <v>3057.0087102801949</v>
      </c>
      <c r="AS985" s="95">
        <v>3040.1686346222987</v>
      </c>
      <c r="AT985" s="95">
        <v>3020.3703908657071</v>
      </c>
      <c r="AU985" s="95">
        <v>2997.2708372512416</v>
      </c>
      <c r="AV985" s="95">
        <v>2970.5591944387215</v>
      </c>
      <c r="AW985" s="95">
        <v>2939.9903652752746</v>
      </c>
      <c r="AX985" s="96">
        <v>2905.4250000000002</v>
      </c>
    </row>
    <row r="986" spans="1:50" x14ac:dyDescent="0.25">
      <c r="A986" s="356"/>
      <c r="B986" s="359"/>
      <c r="C986" s="360"/>
      <c r="D986" s="59" t="s">
        <v>8</v>
      </c>
      <c r="E986" s="166" t="str">
        <f>A973&amp;"/"&amp;B981&amp;"/"&amp;C985&amp;"/"&amp;D986</f>
        <v>Coal fired power plants/Supercritical steam turbine/Electricity only with CCS/M</v>
      </c>
      <c r="F986" s="79" t="str">
        <f>A973</f>
        <v>Coal fired power plants</v>
      </c>
      <c r="G986" s="79" t="str">
        <f>B981</f>
        <v>Supercritical steam turbine</v>
      </c>
      <c r="H986" s="79" t="str">
        <f>C985</f>
        <v>Electricity only with CCS</v>
      </c>
      <c r="I986" s="167" t="str">
        <f t="shared" si="93"/>
        <v>M</v>
      </c>
      <c r="J986" s="97" t="s">
        <v>112</v>
      </c>
      <c r="K986" s="97" t="s">
        <v>112</v>
      </c>
      <c r="L986" s="97" t="s">
        <v>112</v>
      </c>
      <c r="M986" s="97" t="s">
        <v>112</v>
      </c>
      <c r="N986" s="97" t="s">
        <v>112</v>
      </c>
      <c r="O986" s="97" t="s">
        <v>112</v>
      </c>
      <c r="P986" s="97" t="s">
        <v>112</v>
      </c>
      <c r="Q986" s="97" t="s">
        <v>112</v>
      </c>
      <c r="R986" s="97" t="s">
        <v>112</v>
      </c>
      <c r="S986" s="97" t="s">
        <v>112</v>
      </c>
      <c r="T986" s="97" t="s">
        <v>112</v>
      </c>
      <c r="U986" s="97" t="s">
        <v>112</v>
      </c>
      <c r="V986" s="97" t="s">
        <v>112</v>
      </c>
      <c r="W986" s="97" t="s">
        <v>112</v>
      </c>
      <c r="X986" s="97" t="s">
        <v>112</v>
      </c>
      <c r="Y986" s="97" t="s">
        <v>112</v>
      </c>
      <c r="Z986" s="97" t="s">
        <v>112</v>
      </c>
      <c r="AA986" s="97" t="s">
        <v>112</v>
      </c>
      <c r="AB986" s="97" t="s">
        <v>112</v>
      </c>
      <c r="AC986" s="97" t="s">
        <v>112</v>
      </c>
      <c r="AD986" s="97" t="s">
        <v>112</v>
      </c>
      <c r="AE986" s="97">
        <v>3364.8168787445766</v>
      </c>
      <c r="AF986" s="97">
        <v>3363.9580762225105</v>
      </c>
      <c r="AG986" s="97">
        <v>3362.8570845679715</v>
      </c>
      <c r="AH986" s="97">
        <v>3361.4462325408904</v>
      </c>
      <c r="AI986" s="97">
        <v>3359.6393447770233</v>
      </c>
      <c r="AJ986" s="97">
        <v>3357.3269417738675</v>
      </c>
      <c r="AK986" s="97">
        <v>3354.3703622409089</v>
      </c>
      <c r="AL986" s="97">
        <v>3350.5946763228094</v>
      </c>
      <c r="AM986" s="97">
        <v>3345.7803225971056</v>
      </c>
      <c r="AN986" s="97">
        <v>3339.6535383759615</v>
      </c>
      <c r="AO986" s="97">
        <v>3331.8759050656217</v>
      </c>
      <c r="AP986" s="97">
        <v>3322.0337571596147</v>
      </c>
      <c r="AQ986" s="97">
        <v>3309.6288764249293</v>
      </c>
      <c r="AR986" s="97">
        <v>3294.0728809680422</v>
      </c>
      <c r="AS986" s="97">
        <v>3274.6890494359277</v>
      </c>
      <c r="AT986" s="97">
        <v>3250.7269001237723</v>
      </c>
      <c r="AU986" s="97">
        <v>3221.3963272888777</v>
      </c>
      <c r="AV986" s="97">
        <v>3185.9287135156387</v>
      </c>
      <c r="AW986" s="97">
        <v>3143.6708710486018</v>
      </c>
      <c r="AX986" s="98">
        <v>3094.2121875000003</v>
      </c>
    </row>
    <row r="987" spans="1:50" x14ac:dyDescent="0.25">
      <c r="A987" s="356"/>
      <c r="B987" s="359"/>
      <c r="C987" s="361" t="s">
        <v>16</v>
      </c>
      <c r="D987" s="2" t="s">
        <v>7</v>
      </c>
      <c r="E987" s="160" t="str">
        <f>A973&amp;"/"&amp;B981&amp;"/"&amp;C987&amp;"/"&amp;D987</f>
        <v>Coal fired power plants/Supercritical steam turbine/CHP with CCS/L</v>
      </c>
      <c r="F987" s="76" t="str">
        <f>A973</f>
        <v>Coal fired power plants</v>
      </c>
      <c r="G987" s="76" t="str">
        <f>B981</f>
        <v>Supercritical steam turbine</v>
      </c>
      <c r="H987" s="76" t="str">
        <f>C987</f>
        <v>CHP with CCS</v>
      </c>
      <c r="I987" s="161" t="str">
        <f t="shared" si="93"/>
        <v>L</v>
      </c>
      <c r="J987" s="91" t="s">
        <v>112</v>
      </c>
      <c r="K987" s="91" t="s">
        <v>112</v>
      </c>
      <c r="L987" s="91" t="s">
        <v>112</v>
      </c>
      <c r="M987" s="91" t="s">
        <v>112</v>
      </c>
      <c r="N987" s="91" t="s">
        <v>112</v>
      </c>
      <c r="O987" s="91" t="s">
        <v>112</v>
      </c>
      <c r="P987" s="91" t="s">
        <v>112</v>
      </c>
      <c r="Q987" s="91" t="s">
        <v>112</v>
      </c>
      <c r="R987" s="91" t="s">
        <v>112</v>
      </c>
      <c r="S987" s="91" t="s">
        <v>112</v>
      </c>
      <c r="T987" s="91" t="s">
        <v>112</v>
      </c>
      <c r="U987" s="91" t="s">
        <v>112</v>
      </c>
      <c r="V987" s="91" t="s">
        <v>112</v>
      </c>
      <c r="W987" s="91" t="s">
        <v>112</v>
      </c>
      <c r="X987" s="91" t="s">
        <v>112</v>
      </c>
      <c r="Y987" s="91" t="s">
        <v>112</v>
      </c>
      <c r="Z987" s="91" t="s">
        <v>112</v>
      </c>
      <c r="AA987" s="91" t="s">
        <v>112</v>
      </c>
      <c r="AB987" s="91" t="s">
        <v>112</v>
      </c>
      <c r="AC987" s="91" t="s">
        <v>112</v>
      </c>
      <c r="AD987" s="91" t="s">
        <v>112</v>
      </c>
      <c r="AE987" s="91">
        <v>3549.6544702664687</v>
      </c>
      <c r="AF987" s="91">
        <v>3548.2602620210314</v>
      </c>
      <c r="AG987" s="91">
        <v>3546.5625927979654</v>
      </c>
      <c r="AH987" s="91">
        <v>3544.4968051645774</v>
      </c>
      <c r="AI987" s="91">
        <v>3541.9851398013361</v>
      </c>
      <c r="AJ987" s="91">
        <v>3538.9344068565492</v>
      </c>
      <c r="AK987" s="91">
        <v>3535.2334035631325</v>
      </c>
      <c r="AL987" s="91">
        <v>3530.750135459904</v>
      </c>
      <c r="AM987" s="91">
        <v>3525.3289555172837</v>
      </c>
      <c r="AN987" s="91">
        <v>3518.7878184003694</v>
      </c>
      <c r="AO987" s="91">
        <v>3510.9159626561659</v>
      </c>
      <c r="AP987" s="91">
        <v>3501.4724869789097</v>
      </c>
      <c r="AQ987" s="91">
        <v>3490.186478399758</v>
      </c>
      <c r="AR987" s="91">
        <v>3476.7595706665534</v>
      </c>
      <c r="AS987" s="91">
        <v>3460.8720324516858</v>
      </c>
      <c r="AT987" s="91">
        <v>3442.1936511510276</v>
      </c>
      <c r="AU987" s="91">
        <v>3420.4006943822069</v>
      </c>
      <c r="AV987" s="91">
        <v>3395.1999616428138</v>
      </c>
      <c r="AW987" s="91">
        <v>3366.3602193884317</v>
      </c>
      <c r="AX987" s="92">
        <v>3333.75</v>
      </c>
    </row>
    <row r="988" spans="1:50" x14ac:dyDescent="0.25">
      <c r="A988" s="356"/>
      <c r="B988" s="362"/>
      <c r="C988" s="354"/>
      <c r="D988" s="4" t="s">
        <v>8</v>
      </c>
      <c r="E988" s="168" t="str">
        <f>A973&amp;"/"&amp;B981&amp;"/"&amp;C987&amp;"/"&amp;D988</f>
        <v>Coal fired power plants/Supercritical steam turbine/CHP with CCS/M</v>
      </c>
      <c r="F988" s="80" t="str">
        <f>A973</f>
        <v>Coal fired power plants</v>
      </c>
      <c r="G988" s="80" t="str">
        <f>B981</f>
        <v>Supercritical steam turbine</v>
      </c>
      <c r="H988" s="80" t="str">
        <f>C987</f>
        <v>CHP with CCS</v>
      </c>
      <c r="I988" s="169" t="str">
        <f t="shared" si="93"/>
        <v>M</v>
      </c>
      <c r="J988" s="99" t="s">
        <v>112</v>
      </c>
      <c r="K988" s="99" t="s">
        <v>112</v>
      </c>
      <c r="L988" s="99" t="s">
        <v>112</v>
      </c>
      <c r="M988" s="99" t="s">
        <v>112</v>
      </c>
      <c r="N988" s="99" t="s">
        <v>112</v>
      </c>
      <c r="O988" s="99" t="s">
        <v>112</v>
      </c>
      <c r="P988" s="99" t="s">
        <v>112</v>
      </c>
      <c r="Q988" s="99" t="s">
        <v>112</v>
      </c>
      <c r="R988" s="99" t="s">
        <v>112</v>
      </c>
      <c r="S988" s="99" t="s">
        <v>112</v>
      </c>
      <c r="T988" s="99" t="s">
        <v>112</v>
      </c>
      <c r="U988" s="99" t="s">
        <v>112</v>
      </c>
      <c r="V988" s="99" t="s">
        <v>112</v>
      </c>
      <c r="W988" s="99" t="s">
        <v>112</v>
      </c>
      <c r="X988" s="99" t="s">
        <v>112</v>
      </c>
      <c r="Y988" s="99" t="s">
        <v>112</v>
      </c>
      <c r="Z988" s="99" t="s">
        <v>112</v>
      </c>
      <c r="AA988" s="99" t="s">
        <v>112</v>
      </c>
      <c r="AB988" s="99" t="s">
        <v>112</v>
      </c>
      <c r="AC988" s="99" t="s">
        <v>112</v>
      </c>
      <c r="AD988" s="99" t="s">
        <v>112</v>
      </c>
      <c r="AE988" s="99">
        <v>3779.9672599238306</v>
      </c>
      <c r="AF988" s="99">
        <v>3779.1510365554277</v>
      </c>
      <c r="AG988" s="99">
        <v>3778.1046317140804</v>
      </c>
      <c r="AH988" s="99">
        <v>3776.7637292781037</v>
      </c>
      <c r="AI988" s="99">
        <v>3775.0464264301786</v>
      </c>
      <c r="AJ988" s="99">
        <v>3772.8486716264315</v>
      </c>
      <c r="AK988" s="99">
        <v>3770.0386783586709</v>
      </c>
      <c r="AL988" s="99">
        <v>3766.4501897376922</v>
      </c>
      <c r="AM988" s="99">
        <v>3761.8745301259551</v>
      </c>
      <c r="AN988" s="99">
        <v>3756.0515099019021</v>
      </c>
      <c r="AO988" s="99">
        <v>3748.6594891571403</v>
      </c>
      <c r="AP988" s="99">
        <v>3739.3053117883637</v>
      </c>
      <c r="AQ988" s="99">
        <v>3727.5154610627987</v>
      </c>
      <c r="AR988" s="99">
        <v>3712.7307268725322</v>
      </c>
      <c r="AS988" s="99">
        <v>3694.3079394922279</v>
      </c>
      <c r="AT988" s="99">
        <v>3671.5338258593497</v>
      </c>
      <c r="AU988" s="99">
        <v>3643.6574534205697</v>
      </c>
      <c r="AV988" s="99">
        <v>3609.948312565286</v>
      </c>
      <c r="AW988" s="99">
        <v>3569.7856003775119</v>
      </c>
      <c r="AX988" s="100">
        <v>3522.7790625000007</v>
      </c>
    </row>
    <row r="989" spans="1:50" x14ac:dyDescent="0.25">
      <c r="A989" s="356"/>
      <c r="B989" s="358" t="s">
        <v>18</v>
      </c>
      <c r="C989" s="353" t="s">
        <v>6</v>
      </c>
      <c r="D989" s="3" t="s">
        <v>7</v>
      </c>
      <c r="E989" s="162" t="str">
        <f>A973&amp;"/"&amp;B989&amp;"/"&amp;C989&amp;"/"&amp;D989</f>
        <v>Coal fired power plants/Fluidized bed combustion/Electricity only/L</v>
      </c>
      <c r="F989" s="77" t="str">
        <f>A973</f>
        <v>Coal fired power plants</v>
      </c>
      <c r="G989" s="77" t="str">
        <f>B989</f>
        <v>Fluidized bed combustion</v>
      </c>
      <c r="H989" s="77" t="str">
        <f>C989</f>
        <v>Electricity only</v>
      </c>
      <c r="I989" s="163" t="str">
        <f t="shared" si="93"/>
        <v>L</v>
      </c>
      <c r="J989" s="93">
        <v>1815</v>
      </c>
      <c r="K989" s="93">
        <v>1814.9189347858303</v>
      </c>
      <c r="L989" s="93">
        <v>1814.8199558887927</v>
      </c>
      <c r="M989" s="93">
        <v>1814.6991140530909</v>
      </c>
      <c r="N989" s="93">
        <v>1814.5515939293364</v>
      </c>
      <c r="O989" s="93">
        <v>1814.3715263754161</v>
      </c>
      <c r="P989" s="93">
        <v>1814.1517611812062</v>
      </c>
      <c r="Q989" s="93">
        <v>1813.8835924176269</v>
      </c>
      <c r="R989" s="93">
        <v>1813.5564273478285</v>
      </c>
      <c r="S989" s="93">
        <v>1813.1573885166299</v>
      </c>
      <c r="T989" s="93">
        <v>1812.6708373430324</v>
      </c>
      <c r="U989" s="93">
        <v>1812.0778064340823</v>
      </c>
      <c r="V989" s="93">
        <v>1811.3553271690034</v>
      </c>
      <c r="W989" s="93">
        <v>1810.4756392668205</v>
      </c>
      <c r="X989" s="93">
        <v>1809.4052706522</v>
      </c>
      <c r="Y989" s="93">
        <v>1808.1039798665479</v>
      </c>
      <c r="Z989" s="93">
        <v>1806.5235608220357</v>
      </c>
      <c r="AA989" s="93">
        <v>1804.6065226660571</v>
      </c>
      <c r="AB989" s="93">
        <v>1802.2846783449595</v>
      </c>
      <c r="AC989" s="93">
        <v>1799.4777072672177</v>
      </c>
      <c r="AD989" s="93">
        <v>1796.0918040624574</v>
      </c>
      <c r="AE989" s="93">
        <v>1792.0185909416391</v>
      </c>
      <c r="AF989" s="93">
        <v>1787.1345592048556</v>
      </c>
      <c r="AG989" s="93">
        <v>1781.3014174053667</v>
      </c>
      <c r="AH989" s="93">
        <v>1774.3678556459108</v>
      </c>
      <c r="AI989" s="93">
        <v>1766.1733733500207</v>
      </c>
      <c r="AJ989" s="93">
        <v>1756.5549304976807</v>
      </c>
      <c r="AK989" s="93">
        <v>1745.3572137475348</v>
      </c>
      <c r="AL989" s="93">
        <v>1732.4471723963209</v>
      </c>
      <c r="AM989" s="93">
        <v>1717.7330602651509</v>
      </c>
      <c r="AN989" s="93">
        <v>1701.1873987471581</v>
      </c>
      <c r="AO989" s="93">
        <v>1682.8719843028175</v>
      </c>
      <c r="AP989" s="93">
        <v>1662.9613771120889</v>
      </c>
      <c r="AQ989" s="93">
        <v>1641.7595647885782</v>
      </c>
      <c r="AR989" s="93">
        <v>1619.7033695972548</v>
      </c>
      <c r="AS989" s="93">
        <v>1597.346583862294</v>
      </c>
      <c r="AT989" s="93">
        <v>1575.3215971968341</v>
      </c>
      <c r="AU989" s="93">
        <v>1554.2805328110335</v>
      </c>
      <c r="AV989" s="93">
        <v>1534.8244726490498</v>
      </c>
      <c r="AW989" s="93">
        <v>1517.4347726677595</v>
      </c>
      <c r="AX989" s="94">
        <v>1502.4219685959101</v>
      </c>
    </row>
    <row r="990" spans="1:50" x14ac:dyDescent="0.25">
      <c r="A990" s="356"/>
      <c r="B990" s="359"/>
      <c r="C990" s="350"/>
      <c r="D990" s="2" t="s">
        <v>8</v>
      </c>
      <c r="E990" s="160" t="str">
        <f>A973&amp;"/"&amp;B989&amp;"/"&amp;C989&amp;"/"&amp;D990</f>
        <v>Coal fired power plants/Fluidized bed combustion/Electricity only/M</v>
      </c>
      <c r="F990" s="76" t="str">
        <f>A973</f>
        <v>Coal fired power plants</v>
      </c>
      <c r="G990" s="76" t="str">
        <f>B989</f>
        <v>Fluidized bed combustion</v>
      </c>
      <c r="H990" s="76" t="str">
        <f>C989</f>
        <v>Electricity only</v>
      </c>
      <c r="I990" s="161" t="str">
        <f t="shared" si="93"/>
        <v>M</v>
      </c>
      <c r="J990" s="91">
        <v>1969.2749999999999</v>
      </c>
      <c r="K990" s="91">
        <v>1969.1010712240834</v>
      </c>
      <c r="L990" s="91">
        <v>1968.8940113406397</v>
      </c>
      <c r="M990" s="91">
        <v>1968.6475393428921</v>
      </c>
      <c r="N990" s="91">
        <v>1968.3541960161349</v>
      </c>
      <c r="O990" s="91">
        <v>1968.0051281716444</v>
      </c>
      <c r="P990" s="91">
        <v>1967.5898355673207</v>
      </c>
      <c r="Q990" s="91">
        <v>1967.0958749966915</v>
      </c>
      <c r="R990" s="91">
        <v>1966.508515624444</v>
      </c>
      <c r="S990" s="91">
        <v>1965.8103394217032</v>
      </c>
      <c r="T990" s="91">
        <v>1964.9807806372778</v>
      </c>
      <c r="U990" s="91">
        <v>1963.9955988186425</v>
      </c>
      <c r="V990" s="91">
        <v>1962.8262812313501</v>
      </c>
      <c r="W990" s="91">
        <v>1961.4393729809331</v>
      </c>
      <c r="X990" s="91">
        <v>1959.7957372071696</v>
      </c>
      <c r="Y990" s="91">
        <v>1957.8497540419169</v>
      </c>
      <c r="Z990" s="91">
        <v>1955.5484764219013</v>
      </c>
      <c r="AA990" s="91">
        <v>1952.8307743359005</v>
      </c>
      <c r="AB990" s="91">
        <v>1949.6265178299</v>
      </c>
      <c r="AC990" s="91">
        <v>1945.8558743292303</v>
      </c>
      <c r="AD990" s="91">
        <v>1941.4288286620647</v>
      </c>
      <c r="AE990" s="91">
        <v>1936.2450751654262</v>
      </c>
      <c r="AF990" s="91">
        <v>1930.1944798483578</v>
      </c>
      <c r="AG990" s="91">
        <v>1923.1583640651725</v>
      </c>
      <c r="AH990" s="91">
        <v>1915.0119132930226</v>
      </c>
      <c r="AI990" s="91">
        <v>1905.6280539775619</v>
      </c>
      <c r="AJ990" s="91">
        <v>1894.8831496238868</v>
      </c>
      <c r="AK990" s="91">
        <v>1882.6648179782183</v>
      </c>
      <c r="AL990" s="91">
        <v>1868.8820308186987</v>
      </c>
      <c r="AM990" s="91">
        <v>1853.4773909585099</v>
      </c>
      <c r="AN990" s="91">
        <v>1836.4410610139173</v>
      </c>
      <c r="AO990" s="91">
        <v>1817.8252467428908</v>
      </c>
      <c r="AP990" s="91">
        <v>1797.757468905261</v>
      </c>
      <c r="AQ990" s="91">
        <v>1776.4502232398718</v>
      </c>
      <c r="AR990" s="91">
        <v>1754.204243938264</v>
      </c>
      <c r="AS990" s="91">
        <v>1731.4027204657082</v>
      </c>
      <c r="AT990" s="91">
        <v>1708.4947065077904</v>
      </c>
      <c r="AU990" s="91">
        <v>1685.9676733632498</v>
      </c>
      <c r="AV990" s="91">
        <v>1664.3114717585072</v>
      </c>
      <c r="AW990" s="91">
        <v>1643.9783098968951</v>
      </c>
      <c r="AX990" s="92">
        <v>1625.3449525789481</v>
      </c>
    </row>
    <row r="991" spans="1:50" x14ac:dyDescent="0.25">
      <c r="A991" s="356"/>
      <c r="B991" s="359"/>
      <c r="C991" s="360"/>
      <c r="D991" s="2" t="s">
        <v>10</v>
      </c>
      <c r="E991" s="160" t="str">
        <f>A973&amp;"/"&amp;B989&amp;"/"&amp;C989&amp;"/"&amp;D991</f>
        <v>Coal fired power plants/Fluidized bed combustion/Electricity only/S</v>
      </c>
      <c r="F991" s="76" t="str">
        <f>A973</f>
        <v>Coal fired power plants</v>
      </c>
      <c r="G991" s="76" t="str">
        <f>B989</f>
        <v>Fluidized bed combustion</v>
      </c>
      <c r="H991" s="76" t="str">
        <f>C989</f>
        <v>Electricity only</v>
      </c>
      <c r="I991" s="161" t="str">
        <f t="shared" si="93"/>
        <v>S</v>
      </c>
      <c r="J991" s="91">
        <v>2235.127125</v>
      </c>
      <c r="K991" s="91">
        <v>2234.6906719012595</v>
      </c>
      <c r="L991" s="91">
        <v>2234.1842321007348</v>
      </c>
      <c r="M991" s="91">
        <v>2233.5967039092211</v>
      </c>
      <c r="N991" s="91">
        <v>2232.9152666764362</v>
      </c>
      <c r="O991" s="91">
        <v>2232.1251292774973</v>
      </c>
      <c r="P991" s="91">
        <v>2231.209246946963</v>
      </c>
      <c r="Q991" s="91">
        <v>2230.1480043482225</v>
      </c>
      <c r="R991" s="91">
        <v>2228.9188633911272</v>
      </c>
      <c r="S991" s="91">
        <v>2227.4959753283583</v>
      </c>
      <c r="T991" s="91">
        <v>2225.8497582116706</v>
      </c>
      <c r="U991" s="91">
        <v>2223.9464430499875</v>
      </c>
      <c r="V991" s="91">
        <v>2221.7475952009581</v>
      </c>
      <c r="W991" s="91">
        <v>2219.2096219078085</v>
      </c>
      <c r="X991" s="91">
        <v>2216.2832827659072</v>
      </c>
      <c r="Y991" s="91">
        <v>2212.9132275979423</v>
      </c>
      <c r="Z991" s="91">
        <v>2209.0375960621204</v>
      </c>
      <c r="AA991" s="91">
        <v>2204.5877255928913</v>
      </c>
      <c r="AB991" s="91">
        <v>2199.4880291208488</v>
      </c>
      <c r="AC991" s="91">
        <v>2193.6561213135387</v>
      </c>
      <c r="AD991" s="91">
        <v>2187.0032912408174</v>
      </c>
      <c r="AE991" s="91">
        <v>2179.4354391015663</v>
      </c>
      <c r="AF991" s="91">
        <v>2170.8546126206088</v>
      </c>
      <c r="AG991" s="91">
        <v>2161.1612912061796</v>
      </c>
      <c r="AH991" s="91">
        <v>2150.2575674937125</v>
      </c>
      <c r="AI991" s="91">
        <v>2138.0513591435874</v>
      </c>
      <c r="AJ991" s="91">
        <v>2124.461739683617</v>
      </c>
      <c r="AK991" s="91">
        <v>2109.4253959851653</v>
      </c>
      <c r="AL991" s="91">
        <v>2092.9040929794623</v>
      </c>
      <c r="AM991" s="91">
        <v>2074.8928492115087</v>
      </c>
      <c r="AN991" s="91">
        <v>2055.4283045519169</v>
      </c>
      <c r="AO991" s="91">
        <v>2034.5965129553813</v>
      </c>
      <c r="AP991" s="91">
        <v>2012.5391566100704</v>
      </c>
      <c r="AQ991" s="91">
        <v>1989.4570113116929</v>
      </c>
      <c r="AR991" s="91">
        <v>1965.6094691047847</v>
      </c>
      <c r="AS991" s="91">
        <v>1941.309115266035</v>
      </c>
      <c r="AT991" s="91">
        <v>1916.9108092962654</v>
      </c>
      <c r="AU991" s="91">
        <v>1892.7954256278176</v>
      </c>
      <c r="AV991" s="91">
        <v>1869.3492831380086</v>
      </c>
      <c r="AW991" s="91">
        <v>1846.9411669728081</v>
      </c>
      <c r="AX991" s="92">
        <v>1825.8995051963664</v>
      </c>
    </row>
    <row r="992" spans="1:50" x14ac:dyDescent="0.25">
      <c r="A992" s="356"/>
      <c r="B992" s="359"/>
      <c r="C992" s="361" t="s">
        <v>14</v>
      </c>
      <c r="D992" s="58" t="s">
        <v>7</v>
      </c>
      <c r="E992" s="164" t="str">
        <f>A973&amp;"/"&amp;B989&amp;"/"&amp;C992&amp;"/"&amp;D992</f>
        <v>Coal fired power plants/Fluidized bed combustion/CHP/L</v>
      </c>
      <c r="F992" s="78" t="str">
        <f>A973</f>
        <v>Coal fired power plants</v>
      </c>
      <c r="G992" s="78" t="str">
        <f>B989</f>
        <v>Fluidized bed combustion</v>
      </c>
      <c r="H992" s="78" t="str">
        <f>C992</f>
        <v>CHP</v>
      </c>
      <c r="I992" s="165" t="str">
        <f t="shared" si="93"/>
        <v>L</v>
      </c>
      <c r="J992" s="95">
        <v>2163</v>
      </c>
      <c r="K992" s="95">
        <v>2162.9680024919348</v>
      </c>
      <c r="L992" s="95">
        <v>2162.9289256415595</v>
      </c>
      <c r="M992" s="95">
        <v>2162.881204517882</v>
      </c>
      <c r="N992" s="95">
        <v>2162.8229289161427</v>
      </c>
      <c r="O992" s="95">
        <v>2162.7517675056024</v>
      </c>
      <c r="P992" s="95">
        <v>2162.6648754740199</v>
      </c>
      <c r="Q992" s="95">
        <v>2162.5587821572317</v>
      </c>
      <c r="R992" s="95">
        <v>2162.4292544342516</v>
      </c>
      <c r="S992" s="95">
        <v>2162.2711308372973</v>
      </c>
      <c r="T992" s="95">
        <v>2162.078120361195</v>
      </c>
      <c r="U992" s="95">
        <v>2161.8425588519626</v>
      </c>
      <c r="V992" s="95">
        <v>2161.5551146144671</v>
      </c>
      <c r="W992" s="95">
        <v>2161.2044335255582</v>
      </c>
      <c r="X992" s="95">
        <v>2160.7767125224332</v>
      </c>
      <c r="Y992" s="95">
        <v>2160.2551889518627</v>
      </c>
      <c r="Z992" s="95">
        <v>2159.6195320798274</v>
      </c>
      <c r="AA992" s="95">
        <v>2158.8451223436409</v>
      </c>
      <c r="AB992" s="95">
        <v>2157.9022041047601</v>
      </c>
      <c r="AC992" s="95">
        <v>2156.7548993770874</v>
      </c>
      <c r="AD992" s="95">
        <v>2155.3600742205363</v>
      </c>
      <c r="AE992" s="95">
        <v>2153.6660575829915</v>
      </c>
      <c r="AF992" s="95">
        <v>2151.6112262758693</v>
      </c>
      <c r="AG992" s="95">
        <v>2149.1224920864238</v>
      </c>
      <c r="AH992" s="95">
        <v>2146.1137611278127</v>
      </c>
      <c r="AI992" s="95">
        <v>2142.4844854734242</v>
      </c>
      <c r="AJ992" s="95">
        <v>2138.1184973395229</v>
      </c>
      <c r="AK992" s="95">
        <v>2132.8834104496646</v>
      </c>
      <c r="AL992" s="95">
        <v>2126.6309932241165</v>
      </c>
      <c r="AM992" s="95">
        <v>2119.199059890519</v>
      </c>
      <c r="AN992" s="95">
        <v>2110.4155733883117</v>
      </c>
      <c r="AO992" s="95">
        <v>2100.1057746828888</v>
      </c>
      <c r="AP992" s="95">
        <v>2088.1031867976508</v>
      </c>
      <c r="AQ992" s="95">
        <v>2074.2651955912752</v>
      </c>
      <c r="AR992" s="95">
        <v>2058.493460339505</v>
      </c>
      <c r="AS992" s="95">
        <v>2040.7585273241189</v>
      </c>
      <c r="AT992" s="95">
        <v>2021.1266348206859</v>
      </c>
      <c r="AU992" s="95">
        <v>1999.7848900715112</v>
      </c>
      <c r="AV992" s="95">
        <v>1977.0591307566992</v>
      </c>
      <c r="AW992" s="95">
        <v>1953.4175771163668</v>
      </c>
      <c r="AX992" s="96">
        <v>1929.4538270409951</v>
      </c>
    </row>
    <row r="993" spans="1:50" x14ac:dyDescent="0.25">
      <c r="A993" s="356"/>
      <c r="B993" s="359"/>
      <c r="C993" s="350"/>
      <c r="D993" s="2" t="s">
        <v>8</v>
      </c>
      <c r="E993" s="160" t="str">
        <f>A973&amp;"/"&amp;B989&amp;"/"&amp;C992&amp;"/"&amp;D993</f>
        <v>Coal fired power plants/Fluidized bed combustion/CHP/M</v>
      </c>
      <c r="F993" s="76" t="str">
        <f>A973</f>
        <v>Coal fired power plants</v>
      </c>
      <c r="G993" s="76" t="str">
        <f>B989</f>
        <v>Fluidized bed combustion</v>
      </c>
      <c r="H993" s="76" t="str">
        <f>C992</f>
        <v>CHP</v>
      </c>
      <c r="I993" s="161" t="str">
        <f t="shared" si="93"/>
        <v>M</v>
      </c>
      <c r="J993" s="91">
        <v>2317.2749999999996</v>
      </c>
      <c r="K993" s="91">
        <v>2317.1973832682406</v>
      </c>
      <c r="L993" s="91">
        <v>2317.1049472277632</v>
      </c>
      <c r="M993" s="91">
        <v>2316.9948680365242</v>
      </c>
      <c r="N993" s="91">
        <v>2316.8637861083253</v>
      </c>
      <c r="O993" s="91">
        <v>2316.7077054514853</v>
      </c>
      <c r="P993" s="91">
        <v>2316.5218745054035</v>
      </c>
      <c r="Q993" s="91">
        <v>2316.3006452474315</v>
      </c>
      <c r="R993" s="91">
        <v>2316.0373068534091</v>
      </c>
      <c r="S993" s="91">
        <v>2315.7238896649606</v>
      </c>
      <c r="T993" s="91">
        <v>2315.3509346582537</v>
      </c>
      <c r="U993" s="91">
        <v>2314.9072230460979</v>
      </c>
      <c r="V993" s="91">
        <v>2314.3794601173731</v>
      </c>
      <c r="W993" s="91">
        <v>2313.751906986733</v>
      </c>
      <c r="X993" s="91">
        <v>2313.0059536871508</v>
      </c>
      <c r="Y993" s="91">
        <v>2312.1196271265921</v>
      </c>
      <c r="Z993" s="91">
        <v>2311.0670280471418</v>
      </c>
      <c r="AA993" s="91">
        <v>2309.8176925512084</v>
      </c>
      <c r="AB993" s="91">
        <v>2308.3358763828051</v>
      </c>
      <c r="AC993" s="91">
        <v>2306.5797644959539</v>
      </c>
      <c r="AD993" s="91">
        <v>2304.5006151961743</v>
      </c>
      <c r="AE993" s="91">
        <v>2302.0418581844551</v>
      </c>
      <c r="AF993" s="91">
        <v>2299.1381802441665</v>
      </c>
      <c r="AG993" s="91">
        <v>2295.7146523382098</v>
      </c>
      <c r="AH993" s="91">
        <v>2291.6859788460029</v>
      </c>
      <c r="AI993" s="91">
        <v>2286.9559847415658</v>
      </c>
      <c r="AJ993" s="91">
        <v>2281.4175003162063</v>
      </c>
      <c r="AK993" s="91">
        <v>2274.9528549681067</v>
      </c>
      <c r="AL993" s="91">
        <v>2267.4352487189917</v>
      </c>
      <c r="AM993" s="91">
        <v>2258.731325827448</v>
      </c>
      <c r="AN993" s="91">
        <v>2248.7053169321271</v>
      </c>
      <c r="AO993" s="91">
        <v>2237.22512493353</v>
      </c>
      <c r="AP993" s="91">
        <v>2224.1706771154959</v>
      </c>
      <c r="AQ993" s="91">
        <v>2209.4447160776981</v>
      </c>
      <c r="AR993" s="91">
        <v>2192.9859168698927</v>
      </c>
      <c r="AS993" s="91">
        <v>2174.7837689235048</v>
      </c>
      <c r="AT993" s="91">
        <v>2154.8940505037672</v>
      </c>
      <c r="AU993" s="91">
        <v>2133.4530087803578</v>
      </c>
      <c r="AV993" s="91">
        <v>2110.6876808492361</v>
      </c>
      <c r="AW993" s="91">
        <v>2086.9193805300315</v>
      </c>
      <c r="AX993" s="92">
        <v>2062.5575194366907</v>
      </c>
    </row>
    <row r="994" spans="1:50" x14ac:dyDescent="0.25">
      <c r="A994" s="356"/>
      <c r="B994" s="359"/>
      <c r="C994" s="360"/>
      <c r="D994" s="59" t="s">
        <v>10</v>
      </c>
      <c r="E994" s="166" t="str">
        <f>A973&amp;"/"&amp;B989&amp;"/"&amp;C992&amp;"/"&amp;D994</f>
        <v>Coal fired power plants/Fluidized bed combustion/CHP/S</v>
      </c>
      <c r="F994" s="79" t="str">
        <f>A973</f>
        <v>Coal fired power plants</v>
      </c>
      <c r="G994" s="79" t="str">
        <f>B989</f>
        <v>Fluidized bed combustion</v>
      </c>
      <c r="H994" s="79" t="str">
        <f>C992</f>
        <v>CHP</v>
      </c>
      <c r="I994" s="167" t="str">
        <f t="shared" si="93"/>
        <v>S</v>
      </c>
      <c r="J994" s="97">
        <v>2630.127125</v>
      </c>
      <c r="K994" s="97">
        <v>2629.9044062563526</v>
      </c>
      <c r="L994" s="97">
        <v>2629.6458000659677</v>
      </c>
      <c r="M994" s="97">
        <v>2629.3455530341416</v>
      </c>
      <c r="N994" s="97">
        <v>2628.99699960816</v>
      </c>
      <c r="O994" s="97">
        <v>2628.5924210268408</v>
      </c>
      <c r="P994" s="97">
        <v>2628.1228837085246</v>
      </c>
      <c r="Q994" s="97">
        <v>2627.5780545240982</v>
      </c>
      <c r="R994" s="97">
        <v>2626.9459902489798</v>
      </c>
      <c r="S994" s="97">
        <v>2626.212898396026</v>
      </c>
      <c r="T994" s="97">
        <v>2625.362866636669</v>
      </c>
      <c r="U994" s="97">
        <v>2624.3775581702757</v>
      </c>
      <c r="V994" s="97">
        <v>2623.2358707694216</v>
      </c>
      <c r="W994" s="97">
        <v>2621.9135579012277</v>
      </c>
      <c r="X994" s="97">
        <v>2620.3828114196813</v>
      </c>
      <c r="Y994" s="97">
        <v>2618.6118069920194</v>
      </c>
      <c r="Z994" s="97">
        <v>2616.5642158544906</v>
      </c>
      <c r="AA994" s="97">
        <v>2614.1986899242165</v>
      </c>
      <c r="AB994" s="97">
        <v>2611.4683320061185</v>
      </c>
      <c r="AC994" s="97">
        <v>2608.3201691516492</v>
      </c>
      <c r="AD994" s="97">
        <v>2604.6946555037653</v>
      </c>
      <c r="AE994" s="97">
        <v>2600.5252415544446</v>
      </c>
      <c r="AF994" s="97">
        <v>2595.7380599465996</v>
      </c>
      <c r="AG994" s="97">
        <v>2590.2517939248414</v>
      </c>
      <c r="AH994" s="97">
        <v>2583.9778131456569</v>
      </c>
      <c r="AI994" s="97">
        <v>2576.8206821719614</v>
      </c>
      <c r="AJ994" s="97">
        <v>2568.679168206007</v>
      </c>
      <c r="AK994" s="97">
        <v>2559.4478939489682</v>
      </c>
      <c r="AL994" s="97">
        <v>2549.0197949031708</v>
      </c>
      <c r="AM994" s="97">
        <v>2537.2895420847349</v>
      </c>
      <c r="AN994" s="97">
        <v>2524.1580730859591</v>
      </c>
      <c r="AO994" s="97">
        <v>2509.5383270087978</v>
      </c>
      <c r="AP994" s="97">
        <v>2493.3621914335658</v>
      </c>
      <c r="AQ994" s="97">
        <v>2475.5885329791336</v>
      </c>
      <c r="AR994" s="97">
        <v>2456.2119925839465</v>
      </c>
      <c r="AS994" s="97">
        <v>2435.2719875110288</v>
      </c>
      <c r="AT994" s="97">
        <v>2412.8610948167343</v>
      </c>
      <c r="AU994" s="97">
        <v>2389.1317365479626</v>
      </c>
      <c r="AV994" s="97">
        <v>2364.2999078001135</v>
      </c>
      <c r="AW994" s="97">
        <v>2338.644663173407</v>
      </c>
      <c r="AX994" s="98">
        <v>2312.5022826781942</v>
      </c>
    </row>
    <row r="995" spans="1:50" x14ac:dyDescent="0.25">
      <c r="A995" s="356"/>
      <c r="B995" s="359"/>
      <c r="C995" s="361" t="s">
        <v>15</v>
      </c>
      <c r="D995" s="58" t="s">
        <v>7</v>
      </c>
      <c r="E995" s="164" t="str">
        <f>A973&amp;"/"&amp;B989&amp;"/"&amp;C995&amp;"/"&amp;D995</f>
        <v>Coal fired power plants/Fluidized bed combustion/Electricity only with CCS/L</v>
      </c>
      <c r="F995" s="78" t="str">
        <f>A973</f>
        <v>Coal fired power plants</v>
      </c>
      <c r="G995" s="78" t="str">
        <f>B989</f>
        <v>Fluidized bed combustion</v>
      </c>
      <c r="H995" s="78" t="str">
        <f>C995</f>
        <v>Electricity only with CCS</v>
      </c>
      <c r="I995" s="165" t="str">
        <f t="shared" si="93"/>
        <v>L</v>
      </c>
      <c r="J995" s="95" t="s">
        <v>112</v>
      </c>
      <c r="K995" s="95" t="s">
        <v>112</v>
      </c>
      <c r="L995" s="95" t="s">
        <v>112</v>
      </c>
      <c r="M995" s="95" t="s">
        <v>112</v>
      </c>
      <c r="N995" s="95" t="s">
        <v>112</v>
      </c>
      <c r="O995" s="95" t="s">
        <v>112</v>
      </c>
      <c r="P995" s="95" t="s">
        <v>112</v>
      </c>
      <c r="Q995" s="95" t="s">
        <v>112</v>
      </c>
      <c r="R995" s="95" t="s">
        <v>112</v>
      </c>
      <c r="S995" s="95" t="s">
        <v>112</v>
      </c>
      <c r="T995" s="95" t="s">
        <v>112</v>
      </c>
      <c r="U995" s="95" t="s">
        <v>112</v>
      </c>
      <c r="V995" s="95" t="s">
        <v>112</v>
      </c>
      <c r="W995" s="95" t="s">
        <v>112</v>
      </c>
      <c r="X995" s="95" t="s">
        <v>112</v>
      </c>
      <c r="Y995" s="95" t="s">
        <v>112</v>
      </c>
      <c r="Z995" s="95" t="s">
        <v>112</v>
      </c>
      <c r="AA995" s="95" t="s">
        <v>112</v>
      </c>
      <c r="AB995" s="95" t="s">
        <v>112</v>
      </c>
      <c r="AC995" s="95" t="s">
        <v>112</v>
      </c>
      <c r="AD995" s="95" t="s">
        <v>112</v>
      </c>
      <c r="AE995" s="95">
        <v>3762.4722794665131</v>
      </c>
      <c r="AF995" s="95">
        <v>3761.4380426713469</v>
      </c>
      <c r="AG995" s="95">
        <v>3760.1121428852625</v>
      </c>
      <c r="AH995" s="95">
        <v>3758.4130851374675</v>
      </c>
      <c r="AI995" s="95">
        <v>3756.2370903515739</v>
      </c>
      <c r="AJ995" s="95">
        <v>3753.4523147952978</v>
      </c>
      <c r="AK995" s="95">
        <v>3749.8917717574577</v>
      </c>
      <c r="AL995" s="95">
        <v>3745.344797100121</v>
      </c>
      <c r="AM995" s="95">
        <v>3739.5469778807601</v>
      </c>
      <c r="AN995" s="95">
        <v>3732.1686277772824</v>
      </c>
      <c r="AO995" s="95">
        <v>3722.802196796717</v>
      </c>
      <c r="AP995" s="95">
        <v>3710.9495167610594</v>
      </c>
      <c r="AQ995" s="95">
        <v>3696.0105945224523</v>
      </c>
      <c r="AR995" s="95">
        <v>3677.2768548400718</v>
      </c>
      <c r="AS995" s="95">
        <v>3653.9333372248757</v>
      </c>
      <c r="AT995" s="95">
        <v>3625.0762532350814</v>
      </c>
      <c r="AU995" s="95">
        <v>3589.7540960805068</v>
      </c>
      <c r="AV995" s="95">
        <v>3547.0412368858283</v>
      </c>
      <c r="AW995" s="95">
        <v>3496.1510561506557</v>
      </c>
      <c r="AX995" s="96">
        <v>3436.5890625000002</v>
      </c>
    </row>
    <row r="996" spans="1:50" x14ac:dyDescent="0.25">
      <c r="A996" s="356"/>
      <c r="B996" s="359"/>
      <c r="C996" s="360"/>
      <c r="D996" s="59" t="s">
        <v>8</v>
      </c>
      <c r="E996" s="166" t="str">
        <f>A973&amp;"/"&amp;B989&amp;"/"&amp;C995&amp;"/"&amp;D996</f>
        <v>Coal fired power plants/Fluidized bed combustion/Electricity only with CCS/M</v>
      </c>
      <c r="F996" s="79" t="str">
        <f>A973</f>
        <v>Coal fired power plants</v>
      </c>
      <c r="G996" s="79" t="str">
        <f>B989</f>
        <v>Fluidized bed combustion</v>
      </c>
      <c r="H996" s="79" t="str">
        <f>C995</f>
        <v>Electricity only with CCS</v>
      </c>
      <c r="I996" s="167" t="str">
        <f t="shared" si="93"/>
        <v>M</v>
      </c>
      <c r="J996" s="97" t="s">
        <v>112</v>
      </c>
      <c r="K996" s="97" t="s">
        <v>112</v>
      </c>
      <c r="L996" s="97" t="s">
        <v>112</v>
      </c>
      <c r="M996" s="97" t="s">
        <v>112</v>
      </c>
      <c r="N996" s="97" t="s">
        <v>112</v>
      </c>
      <c r="O996" s="97" t="s">
        <v>112</v>
      </c>
      <c r="P996" s="97" t="s">
        <v>112</v>
      </c>
      <c r="Q996" s="97" t="s">
        <v>112</v>
      </c>
      <c r="R996" s="97" t="s">
        <v>112</v>
      </c>
      <c r="S996" s="97" t="s">
        <v>112</v>
      </c>
      <c r="T996" s="97" t="s">
        <v>112</v>
      </c>
      <c r="U996" s="97" t="s">
        <v>112</v>
      </c>
      <c r="V996" s="97" t="s">
        <v>112</v>
      </c>
      <c r="W996" s="97" t="s">
        <v>112</v>
      </c>
      <c r="X996" s="97" t="s">
        <v>112</v>
      </c>
      <c r="Y996" s="97" t="s">
        <v>112</v>
      </c>
      <c r="Z996" s="97" t="s">
        <v>112</v>
      </c>
      <c r="AA996" s="97" t="s">
        <v>112</v>
      </c>
      <c r="AB996" s="97" t="s">
        <v>112</v>
      </c>
      <c r="AC996" s="97" t="s">
        <v>112</v>
      </c>
      <c r="AD996" s="97" t="s">
        <v>112</v>
      </c>
      <c r="AE996" s="97">
        <v>4207.3046139400931</v>
      </c>
      <c r="AF996" s="97">
        <v>4206.0654066120997</v>
      </c>
      <c r="AG996" s="97">
        <v>4204.4767329749029</v>
      </c>
      <c r="AH996" s="97">
        <v>4202.4409469522125</v>
      </c>
      <c r="AI996" s="97">
        <v>4199.8337019799237</v>
      </c>
      <c r="AJ996" s="97">
        <v>4196.4970248356931</v>
      </c>
      <c r="AK996" s="97">
        <v>4192.2308344963558</v>
      </c>
      <c r="AL996" s="97">
        <v>4186.7827162879294</v>
      </c>
      <c r="AM996" s="97">
        <v>4179.8358545087021</v>
      </c>
      <c r="AN996" s="97">
        <v>4170.9952238528776</v>
      </c>
      <c r="AO996" s="97">
        <v>4159.7725039085626</v>
      </c>
      <c r="AP996" s="97">
        <v>4145.5707968863499</v>
      </c>
      <c r="AQ996" s="97">
        <v>4127.6711998144592</v>
      </c>
      <c r="AR996" s="97">
        <v>4105.2247082531267</v>
      </c>
      <c r="AS996" s="97">
        <v>4077.2548485216953</v>
      </c>
      <c r="AT996" s="97">
        <v>4042.6787145920243</v>
      </c>
      <c r="AU996" s="97">
        <v>4000.3562250122241</v>
      </c>
      <c r="AV996" s="97">
        <v>3949.1783048676698</v>
      </c>
      <c r="AW996" s="97">
        <v>3888.2024382337845</v>
      </c>
      <c r="AX996" s="98">
        <v>3816.8361328125006</v>
      </c>
    </row>
    <row r="997" spans="1:50" x14ac:dyDescent="0.25">
      <c r="A997" s="356"/>
      <c r="B997" s="359"/>
      <c r="C997" s="361" t="s">
        <v>16</v>
      </c>
      <c r="D997" s="2" t="s">
        <v>7</v>
      </c>
      <c r="E997" s="160" t="str">
        <f>A973&amp;"/"&amp;B989&amp;"/"&amp;C997&amp;"/"&amp;D997</f>
        <v>Coal fired power plants/Fluidized bed combustion/CHP with CCS/L</v>
      </c>
      <c r="F997" s="76" t="str">
        <f>A973</f>
        <v>Coal fired power plants</v>
      </c>
      <c r="G997" s="76" t="str">
        <f>B989</f>
        <v>Fluidized bed combustion</v>
      </c>
      <c r="H997" s="76" t="str">
        <f>C997</f>
        <v>CHP with CCS</v>
      </c>
      <c r="I997" s="161" t="str">
        <f t="shared" si="93"/>
        <v>L</v>
      </c>
      <c r="J997" s="91" t="s">
        <v>112</v>
      </c>
      <c r="K997" s="91" t="s">
        <v>112</v>
      </c>
      <c r="L997" s="91" t="s">
        <v>112</v>
      </c>
      <c r="M997" s="91" t="s">
        <v>112</v>
      </c>
      <c r="N997" s="91" t="s">
        <v>112</v>
      </c>
      <c r="O997" s="91" t="s">
        <v>112</v>
      </c>
      <c r="P997" s="91" t="s">
        <v>112</v>
      </c>
      <c r="Q997" s="91" t="s">
        <v>112</v>
      </c>
      <c r="R997" s="91" t="s">
        <v>112</v>
      </c>
      <c r="S997" s="91" t="s">
        <v>112</v>
      </c>
      <c r="T997" s="91" t="s">
        <v>112</v>
      </c>
      <c r="U997" s="91" t="s">
        <v>112</v>
      </c>
      <c r="V997" s="91" t="s">
        <v>112</v>
      </c>
      <c r="W997" s="91" t="s">
        <v>112</v>
      </c>
      <c r="X997" s="91" t="s">
        <v>112</v>
      </c>
      <c r="Y997" s="91" t="s">
        <v>112</v>
      </c>
      <c r="Z997" s="91" t="s">
        <v>112</v>
      </c>
      <c r="AA997" s="91" t="s">
        <v>112</v>
      </c>
      <c r="AB997" s="91" t="s">
        <v>112</v>
      </c>
      <c r="AC997" s="91" t="s">
        <v>112</v>
      </c>
      <c r="AD997" s="91" t="s">
        <v>112</v>
      </c>
      <c r="AE997" s="91">
        <v>4110.7047928644351</v>
      </c>
      <c r="AF997" s="91">
        <v>4109.7363902630696</v>
      </c>
      <c r="AG997" s="91">
        <v>4108.4948904363418</v>
      </c>
      <c r="AH997" s="91">
        <v>4106.9039859640534</v>
      </c>
      <c r="AI997" s="91">
        <v>4104.8665038119325</v>
      </c>
      <c r="AJ997" s="91">
        <v>4102.2589927414301</v>
      </c>
      <c r="AK997" s="91">
        <v>4098.9250955563421</v>
      </c>
      <c r="AL997" s="91">
        <v>4094.667557914006</v>
      </c>
      <c r="AM997" s="91">
        <v>4089.238798039557</v>
      </c>
      <c r="AN997" s="91">
        <v>4082.330115746111</v>
      </c>
      <c r="AO997" s="91">
        <v>4073.5599035766299</v>
      </c>
      <c r="AP997" s="91">
        <v>4062.4617041765196</v>
      </c>
      <c r="AQ997" s="91">
        <v>4048.4737168750789</v>
      </c>
      <c r="AR997" s="91">
        <v>4030.9324706860857</v>
      </c>
      <c r="AS997" s="91">
        <v>4009.074881312707</v>
      </c>
      <c r="AT997" s="91">
        <v>3982.0546908358692</v>
      </c>
      <c r="AU997" s="91">
        <v>3948.9809604926731</v>
      </c>
      <c r="AV997" s="91">
        <v>3908.9869821801467</v>
      </c>
      <c r="AW997" s="91">
        <v>3861.3362085485705</v>
      </c>
      <c r="AX997" s="92">
        <v>3805.5656250000002</v>
      </c>
    </row>
    <row r="998" spans="1:50" x14ac:dyDescent="0.25">
      <c r="A998" s="356"/>
      <c r="B998" s="362"/>
      <c r="C998" s="354"/>
      <c r="D998" s="4" t="s">
        <v>8</v>
      </c>
      <c r="E998" s="168" t="str">
        <f>A973&amp;"/"&amp;B989&amp;"/"&amp;C997&amp;"/"&amp;D998</f>
        <v>Coal fired power plants/Fluidized bed combustion/CHP with CCS/M</v>
      </c>
      <c r="F998" s="80" t="str">
        <f>A973</f>
        <v>Coal fired power plants</v>
      </c>
      <c r="G998" s="80" t="str">
        <f>B989</f>
        <v>Fluidized bed combustion</v>
      </c>
      <c r="H998" s="80" t="str">
        <f>C997</f>
        <v>CHP with CCS</v>
      </c>
      <c r="I998" s="169" t="str">
        <f t="shared" si="93"/>
        <v>M</v>
      </c>
      <c r="J998" s="99" t="s">
        <v>112</v>
      </c>
      <c r="K998" s="99" t="s">
        <v>112</v>
      </c>
      <c r="L998" s="99" t="s">
        <v>112</v>
      </c>
      <c r="M998" s="99" t="s">
        <v>112</v>
      </c>
      <c r="N998" s="99" t="s">
        <v>112</v>
      </c>
      <c r="O998" s="99" t="s">
        <v>112</v>
      </c>
      <c r="P998" s="99" t="s">
        <v>112</v>
      </c>
      <c r="Q998" s="99" t="s">
        <v>112</v>
      </c>
      <c r="R998" s="99" t="s">
        <v>112</v>
      </c>
      <c r="S998" s="99" t="s">
        <v>112</v>
      </c>
      <c r="T998" s="99" t="s">
        <v>112</v>
      </c>
      <c r="U998" s="99" t="s">
        <v>112</v>
      </c>
      <c r="V998" s="99" t="s">
        <v>112</v>
      </c>
      <c r="W998" s="99" t="s">
        <v>112</v>
      </c>
      <c r="X998" s="99" t="s">
        <v>112</v>
      </c>
      <c r="Y998" s="99" t="s">
        <v>112</v>
      </c>
      <c r="Z998" s="99" t="s">
        <v>112</v>
      </c>
      <c r="AA998" s="99" t="s">
        <v>112</v>
      </c>
      <c r="AB998" s="99" t="s">
        <v>112</v>
      </c>
      <c r="AC998" s="99" t="s">
        <v>112</v>
      </c>
      <c r="AD998" s="99" t="s">
        <v>112</v>
      </c>
      <c r="AE998" s="99">
        <v>4555.5747529418386</v>
      </c>
      <c r="AF998" s="99">
        <v>4554.4120331777995</v>
      </c>
      <c r="AG998" s="99">
        <v>4552.9214172051143</v>
      </c>
      <c r="AH998" s="99">
        <v>4551.0112859538986</v>
      </c>
      <c r="AI998" s="99">
        <v>4548.5649679000189</v>
      </c>
      <c r="AJ998" s="99">
        <v>4545.4342403985165</v>
      </c>
      <c r="AK998" s="99">
        <v>4541.4313720223827</v>
      </c>
      <c r="AL998" s="99">
        <v>4536.3195278824569</v>
      </c>
      <c r="AM998" s="99">
        <v>4529.8014470849275</v>
      </c>
      <c r="AN998" s="99">
        <v>4521.5064864614005</v>
      </c>
      <c r="AO998" s="99">
        <v>4510.9764661889621</v>
      </c>
      <c r="AP998" s="99">
        <v>4497.651330786035</v>
      </c>
      <c r="AQ998" s="99">
        <v>4480.85655011159</v>
      </c>
      <c r="AR998" s="99">
        <v>4459.7955228063793</v>
      </c>
      <c r="AS998" s="99">
        <v>4433.552046051137</v>
      </c>
      <c r="AT998" s="99">
        <v>4401.1100540003226</v>
      </c>
      <c r="AU998" s="99">
        <v>4361.399834421949</v>
      </c>
      <c r="AV998" s="99">
        <v>4313.3807678055373</v>
      </c>
      <c r="AW998" s="99">
        <v>4256.1685131141467</v>
      </c>
      <c r="AX998" s="100">
        <v>4189.207148437501</v>
      </c>
    </row>
    <row r="999" spans="1:50" x14ac:dyDescent="0.25">
      <c r="A999" s="356"/>
      <c r="B999" s="358" t="s">
        <v>19</v>
      </c>
      <c r="C999" s="353" t="s">
        <v>6</v>
      </c>
      <c r="D999" s="3" t="s">
        <v>7</v>
      </c>
      <c r="E999" s="162" t="str">
        <f>A973&amp;"/"&amp;B999&amp;"/"&amp;C999&amp;"/"&amp;D999</f>
        <v>Coal fired power plants/Steam turbine/Electricity only/L</v>
      </c>
      <c r="F999" s="77" t="str">
        <f>A973</f>
        <v>Coal fired power plants</v>
      </c>
      <c r="G999" s="77" t="str">
        <f>B999</f>
        <v>Steam turbine</v>
      </c>
      <c r="H999" s="77" t="str">
        <f>C999</f>
        <v>Electricity only</v>
      </c>
      <c r="I999" s="163" t="str">
        <f t="shared" si="93"/>
        <v>L</v>
      </c>
      <c r="J999" s="93">
        <v>1485</v>
      </c>
      <c r="K999" s="93">
        <v>1487.6403180409582</v>
      </c>
      <c r="L999" s="93">
        <v>1490.282175801671</v>
      </c>
      <c r="M999" s="93">
        <v>1492.9242116406831</v>
      </c>
      <c r="N999" s="93">
        <v>1495.5650693843572</v>
      </c>
      <c r="O999" s="93">
        <v>1498.2034009796857</v>
      </c>
      <c r="P999" s="93">
        <v>1500.8378690979982</v>
      </c>
      <c r="Q999" s="93">
        <v>1503.4671496795006</v>
      </c>
      <c r="R999" s="93">
        <v>1506.089934409056</v>
      </c>
      <c r="S999" s="93">
        <v>1508.7049331141507</v>
      </c>
      <c r="T999" s="93">
        <v>1511.3108760765629</v>
      </c>
      <c r="U999" s="93">
        <v>1513.906516249885</v>
      </c>
      <c r="V999" s="93">
        <v>1516.4906313757137</v>
      </c>
      <c r="W999" s="93">
        <v>1519.062025992019</v>
      </c>
      <c r="X999" s="93">
        <v>1521.6195333279306</v>
      </c>
      <c r="Y999" s="93">
        <v>1524.1620170799172</v>
      </c>
      <c r="Z999" s="93">
        <v>1526.688373065097</v>
      </c>
      <c r="AA999" s="93">
        <v>1529.1975307481682</v>
      </c>
      <c r="AB999" s="93">
        <v>1531.6884546392155</v>
      </c>
      <c r="AC999" s="93">
        <v>1534.1601455603939</v>
      </c>
      <c r="AD999" s="93">
        <v>1536.6116417802339</v>
      </c>
      <c r="AE999" s="93">
        <v>1539.0420200150306</v>
      </c>
      <c r="AF999" s="93">
        <v>1541.4503962974727</v>
      </c>
      <c r="AG999" s="93">
        <v>1543.8359267133385</v>
      </c>
      <c r="AH999" s="93">
        <v>1546.1978080077229</v>
      </c>
      <c r="AI999" s="93">
        <v>1548.5352780628505</v>
      </c>
      <c r="AJ999" s="93">
        <v>1550.847616250102</v>
      </c>
      <c r="AK999" s="93">
        <v>1553.1341436593896</v>
      </c>
      <c r="AL999" s="93">
        <v>1555.3942232095003</v>
      </c>
      <c r="AM999" s="93">
        <v>1557.6272596434494</v>
      </c>
      <c r="AN999" s="93">
        <v>1559.8326994132783</v>
      </c>
      <c r="AO999" s="93">
        <v>1562.0100304590633</v>
      </c>
      <c r="AP999" s="93">
        <v>1564.1587818871956</v>
      </c>
      <c r="AQ999" s="93">
        <v>1566.2785235532388</v>
      </c>
      <c r="AR999" s="93">
        <v>1568.3688655548722</v>
      </c>
      <c r="AS999" s="93">
        <v>1570.4294576405807</v>
      </c>
      <c r="AT999" s="93">
        <v>1572.45998853987</v>
      </c>
      <c r="AU999" s="93">
        <v>1574.4601852208589</v>
      </c>
      <c r="AV999" s="93">
        <v>1576.429812081132</v>
      </c>
      <c r="AW999" s="93">
        <v>1578.3686700777398</v>
      </c>
      <c r="AX999" s="94">
        <v>1580.2765958021905</v>
      </c>
    </row>
    <row r="1000" spans="1:50" x14ac:dyDescent="0.25">
      <c r="A1000" s="356"/>
      <c r="B1000" s="359"/>
      <c r="C1000" s="350"/>
      <c r="D1000" s="2" t="s">
        <v>8</v>
      </c>
      <c r="E1000" s="160" t="str">
        <f>A973&amp;"/"&amp;B999&amp;"/"&amp;C999&amp;"/"&amp;D1000</f>
        <v>Coal fired power plants/Steam turbine/Electricity only/M</v>
      </c>
      <c r="F1000" s="76" t="str">
        <f>A973</f>
        <v>Coal fired power plants</v>
      </c>
      <c r="G1000" s="76" t="str">
        <f>B999</f>
        <v>Steam turbine</v>
      </c>
      <c r="H1000" s="76" t="str">
        <f>C999</f>
        <v>Electricity only</v>
      </c>
      <c r="I1000" s="161" t="str">
        <f t="shared" si="93"/>
        <v>M</v>
      </c>
      <c r="J1000" s="91">
        <v>1603.8000000000002</v>
      </c>
      <c r="K1000" s="91">
        <v>1606.0812347873882</v>
      </c>
      <c r="L1000" s="91">
        <v>1608.363799892644</v>
      </c>
      <c r="M1000" s="91">
        <v>1610.6465188575505</v>
      </c>
      <c r="N1000" s="91">
        <v>1612.9282199480849</v>
      </c>
      <c r="O1000" s="91">
        <v>1615.2077384464487</v>
      </c>
      <c r="P1000" s="91">
        <v>1617.4839189006709</v>
      </c>
      <c r="Q1000" s="91">
        <v>1619.7556173230887</v>
      </c>
      <c r="R1000" s="91">
        <v>1622.0217033294248</v>
      </c>
      <c r="S1000" s="91">
        <v>1624.2810622106265</v>
      </c>
      <c r="T1000" s="91">
        <v>1626.5325969301507</v>
      </c>
      <c r="U1000" s="91">
        <v>1628.7752300399009</v>
      </c>
      <c r="V1000" s="91">
        <v>1631.0079055086169</v>
      </c>
      <c r="W1000" s="91">
        <v>1633.2295904571047</v>
      </c>
      <c r="X1000" s="91">
        <v>1635.4392767953323</v>
      </c>
      <c r="Y1000" s="91">
        <v>1637.6359827570486</v>
      </c>
      <c r="Z1000" s="91">
        <v>1639.818754328244</v>
      </c>
      <c r="AA1000" s="91">
        <v>1641.9866665664176</v>
      </c>
      <c r="AB1000" s="91">
        <v>1644.1388248082826</v>
      </c>
      <c r="AC1000" s="91">
        <v>1646.2743657641806</v>
      </c>
      <c r="AD1000" s="91">
        <v>1648.3924584981223</v>
      </c>
      <c r="AE1000" s="91">
        <v>1650.4923052929869</v>
      </c>
      <c r="AF1000" s="91">
        <v>1652.5731424010166</v>
      </c>
      <c r="AG1000" s="91">
        <v>1654.6342406803246</v>
      </c>
      <c r="AH1000" s="91">
        <v>1656.6749061186729</v>
      </c>
      <c r="AI1000" s="91">
        <v>1658.6944802463031</v>
      </c>
      <c r="AJ1000" s="91">
        <v>1660.6923404400882</v>
      </c>
      <c r="AK1000" s="91">
        <v>1662.6679001217128</v>
      </c>
      <c r="AL1000" s="91">
        <v>1664.6206088530087</v>
      </c>
      <c r="AM1000" s="91">
        <v>1666.5499523319406</v>
      </c>
      <c r="AN1000" s="91">
        <v>1668.4554522930728</v>
      </c>
      <c r="AO1000" s="91">
        <v>1670.336666316631</v>
      </c>
      <c r="AP1000" s="91">
        <v>1672.1931875505372</v>
      </c>
      <c r="AQ1000" s="91">
        <v>1674.0246443499987</v>
      </c>
      <c r="AR1000" s="91">
        <v>1675.8306998394098</v>
      </c>
      <c r="AS1000" s="91">
        <v>1677.611051401462</v>
      </c>
      <c r="AT1000" s="91">
        <v>1679.3654300984481</v>
      </c>
      <c r="AU1000" s="91">
        <v>1681.0936000308222</v>
      </c>
      <c r="AV1000" s="91">
        <v>1682.7953576380983</v>
      </c>
      <c r="AW1000" s="91">
        <v>1684.4705309471674</v>
      </c>
      <c r="AX1000" s="92">
        <v>1686.1189787730927</v>
      </c>
    </row>
    <row r="1001" spans="1:50" x14ac:dyDescent="0.25">
      <c r="A1001" s="356"/>
      <c r="B1001" s="359"/>
      <c r="C1001" s="350"/>
      <c r="D1001" s="2" t="s">
        <v>10</v>
      </c>
      <c r="E1001" s="160" t="str">
        <f>A973&amp;"/"&amp;B999&amp;"/"&amp;C999&amp;"/"&amp;D1001</f>
        <v>Coal fired power plants/Steam turbine/Electricity only/S</v>
      </c>
      <c r="F1001" s="76" t="str">
        <f>A973</f>
        <v>Coal fired power plants</v>
      </c>
      <c r="G1001" s="76" t="str">
        <f>B999</f>
        <v>Steam turbine</v>
      </c>
      <c r="H1001" s="76" t="str">
        <f>C999</f>
        <v>Electricity only</v>
      </c>
      <c r="I1001" s="161" t="str">
        <f t="shared" si="93"/>
        <v>S</v>
      </c>
      <c r="J1001" s="91">
        <v>1772.1990000000001</v>
      </c>
      <c r="K1001" s="91">
        <v>1774.0895733300479</v>
      </c>
      <c r="L1001" s="91">
        <v>1775.9812491610287</v>
      </c>
      <c r="M1001" s="91">
        <v>1777.8730525031949</v>
      </c>
      <c r="N1001" s="91">
        <v>1779.7640122819753</v>
      </c>
      <c r="O1001" s="91">
        <v>1781.6531632374945</v>
      </c>
      <c r="P1001" s="91">
        <v>1783.5395477889308</v>
      </c>
      <c r="Q1001" s="91">
        <v>1785.4222178565099</v>
      </c>
      <c r="R1001" s="91">
        <v>1787.3002366342607</v>
      </c>
      <c r="S1001" s="91">
        <v>1789.1726803070567</v>
      </c>
      <c r="T1001" s="91">
        <v>1791.0386397058624</v>
      </c>
      <c r="U1001" s="91">
        <v>1792.8972218955678</v>
      </c>
      <c r="V1001" s="91">
        <v>1794.7475516902662</v>
      </c>
      <c r="W1001" s="91">
        <v>1796.5887730913255</v>
      </c>
      <c r="X1001" s="91">
        <v>1798.4200506441316</v>
      </c>
      <c r="Y1001" s="91">
        <v>1800.240570709904</v>
      </c>
      <c r="Z1001" s="91">
        <v>1802.0495426495322</v>
      </c>
      <c r="AA1001" s="91">
        <v>1803.8461999169185</v>
      </c>
      <c r="AB1001" s="91">
        <v>1805.6298010598641</v>
      </c>
      <c r="AC1001" s="91">
        <v>1807.3996306270647</v>
      </c>
      <c r="AD1001" s="91">
        <v>1809.154999980319</v>
      </c>
      <c r="AE1001" s="91">
        <v>1810.8952480115629</v>
      </c>
      <c r="AF1001" s="91">
        <v>1812.6197417648425</v>
      </c>
      <c r="AG1001" s="91">
        <v>1814.3278769638191</v>
      </c>
      <c r="AH1001" s="91">
        <v>1816.01907844585</v>
      </c>
      <c r="AI1001" s="91">
        <v>1817.6928005041236</v>
      </c>
      <c r="AJ1001" s="91">
        <v>1819.348527139723</v>
      </c>
      <c r="AK1001" s="91">
        <v>1820.9857722258696</v>
      </c>
      <c r="AL1001" s="91">
        <v>1822.6040795869308</v>
      </c>
      <c r="AM1001" s="91">
        <v>1824.2030229950956</v>
      </c>
      <c r="AN1001" s="91">
        <v>1825.7822060878841</v>
      </c>
      <c r="AO1001" s="91">
        <v>1827.3412622099079</v>
      </c>
      <c r="AP1001" s="91">
        <v>1828.8798541825076</v>
      </c>
      <c r="AQ1001" s="91">
        <v>1830.3976740050614</v>
      </c>
      <c r="AR1001" s="91">
        <v>1831.8944424919109</v>
      </c>
      <c r="AS1001" s="91">
        <v>1833.3699088489616</v>
      </c>
      <c r="AT1001" s="91">
        <v>1834.8238501940887</v>
      </c>
      <c r="AU1001" s="91">
        <v>1836.2560710255441</v>
      </c>
      <c r="AV1001" s="91">
        <v>1837.666402642574</v>
      </c>
      <c r="AW1001" s="91">
        <v>1839.054702522465</v>
      </c>
      <c r="AX1001" s="92">
        <v>1840.4208536582007</v>
      </c>
    </row>
    <row r="1002" spans="1:50" x14ac:dyDescent="0.25">
      <c r="A1002" s="356"/>
      <c r="B1002" s="359"/>
      <c r="C1002" s="360"/>
      <c r="D1002" s="2" t="s">
        <v>20</v>
      </c>
      <c r="E1002" s="160" t="str">
        <f>A973&amp;"/"&amp;B999&amp;"/"&amp;C999&amp;"/"&amp;D1002</f>
        <v>Coal fired power plants/Steam turbine/Electricity only/XS</v>
      </c>
      <c r="F1002" s="76" t="str">
        <f>A973</f>
        <v>Coal fired power plants</v>
      </c>
      <c r="G1002" s="76" t="str">
        <f>B999</f>
        <v>Steam turbine</v>
      </c>
      <c r="H1002" s="76" t="str">
        <f>C999</f>
        <v>Electricity only</v>
      </c>
      <c r="I1002" s="161" t="str">
        <f t="shared" si="93"/>
        <v>XS</v>
      </c>
      <c r="J1002" s="91">
        <v>2126.6388000000002</v>
      </c>
      <c r="K1002" s="91">
        <v>2128.5184325407413</v>
      </c>
      <c r="L1002" s="91">
        <v>2130.3907150390833</v>
      </c>
      <c r="M1002" s="91">
        <v>2132.2547842244753</v>
      </c>
      <c r="N1002" s="91">
        <v>2134.1097948547358</v>
      </c>
      <c r="O1002" s="91">
        <v>2135.9549210660975</v>
      </c>
      <c r="P1002" s="91">
        <v>2137.789357644931</v>
      </c>
      <c r="Q1002" s="91">
        <v>2139.6123212178345</v>
      </c>
      <c r="R1002" s="91">
        <v>2141.4230513572734</v>
      </c>
      <c r="S1002" s="91">
        <v>2143.2208116004736</v>
      </c>
      <c r="T1002" s="91">
        <v>2145.0048903797692</v>
      </c>
      <c r="U1002" s="91">
        <v>2146.7746018631251</v>
      </c>
      <c r="V1002" s="91">
        <v>2148.5292867040353</v>
      </c>
      <c r="W1002" s="91">
        <v>2150.2683127004912</v>
      </c>
      <c r="X1002" s="91">
        <v>2151.9910753631825</v>
      </c>
      <c r="Y1002" s="91">
        <v>2153.6969983935314</v>
      </c>
      <c r="Z1002" s="91">
        <v>2155.3855340726059</v>
      </c>
      <c r="AA1002" s="91">
        <v>2157.0561635623467</v>
      </c>
      <c r="AB1002" s="91">
        <v>2158.7083971209281</v>
      </c>
      <c r="AC1002" s="91">
        <v>2160.34177423442</v>
      </c>
      <c r="AD1002" s="91">
        <v>2161.9558636672436</v>
      </c>
      <c r="AE1002" s="91">
        <v>2163.5502634341969</v>
      </c>
      <c r="AF1002" s="91">
        <v>2165.1246006970955</v>
      </c>
      <c r="AG1002" s="91">
        <v>2166.6785315892935</v>
      </c>
      <c r="AH1002" s="91">
        <v>2168.2117409715552</v>
      </c>
      <c r="AI1002" s="91">
        <v>2169.7239421229156</v>
      </c>
      <c r="AJ1002" s="91">
        <v>2171.2148763702889</v>
      </c>
      <c r="AK1002" s="91">
        <v>2172.6843126607182</v>
      </c>
      <c r="AL1002" s="91">
        <v>2174.1320470802093</v>
      </c>
      <c r="AM1002" s="91">
        <v>2175.5579023231608</v>
      </c>
      <c r="AN1002" s="91">
        <v>2176.9617271164207</v>
      </c>
      <c r="AO1002" s="91">
        <v>2178.3433956019962</v>
      </c>
      <c r="AP1002" s="91">
        <v>2179.7028066824264</v>
      </c>
      <c r="AQ1002" s="91">
        <v>2181.0398833327727</v>
      </c>
      <c r="AR1002" s="91">
        <v>2182.3545718831292</v>
      </c>
      <c r="AS1002" s="91">
        <v>2183.6468412754612</v>
      </c>
      <c r="AT1002" s="91">
        <v>2184.9166822984807</v>
      </c>
      <c r="AU1002" s="91">
        <v>2186.1641068041699</v>
      </c>
      <c r="AV1002" s="91">
        <v>2187.3891469094119</v>
      </c>
      <c r="AW1002" s="91">
        <v>2188.5918541860729</v>
      </c>
      <c r="AX1002" s="92">
        <v>2189.7722988427204</v>
      </c>
    </row>
    <row r="1003" spans="1:50" x14ac:dyDescent="0.25">
      <c r="A1003" s="356"/>
      <c r="B1003" s="359"/>
      <c r="C1003" s="361" t="s">
        <v>14</v>
      </c>
      <c r="D1003" s="58" t="s">
        <v>7</v>
      </c>
      <c r="E1003" s="164" t="str">
        <f>A973&amp;"/"&amp;B999&amp;"/"&amp;C1003&amp;"/"&amp;D1003</f>
        <v>Coal fired power plants/Steam turbine/CHP/L</v>
      </c>
      <c r="F1003" s="78" t="str">
        <f>A973</f>
        <v>Coal fired power plants</v>
      </c>
      <c r="G1003" s="78" t="str">
        <f>B999</f>
        <v>Steam turbine</v>
      </c>
      <c r="H1003" s="78" t="str">
        <f>C1003</f>
        <v>CHP</v>
      </c>
      <c r="I1003" s="165" t="str">
        <f t="shared" si="93"/>
        <v>L</v>
      </c>
      <c r="J1003" s="95">
        <v>1875</v>
      </c>
      <c r="K1003" s="95">
        <v>1877.0715898593089</v>
      </c>
      <c r="L1003" s="95">
        <v>1879.1402084228494</v>
      </c>
      <c r="M1003" s="95">
        <v>1881.2053873331665</v>
      </c>
      <c r="N1003" s="95">
        <v>1883.2666628895086</v>
      </c>
      <c r="O1003" s="95">
        <v>1885.3235764198384</v>
      </c>
      <c r="P1003" s="95">
        <v>1887.3756746420943</v>
      </c>
      <c r="Q1003" s="95">
        <v>1889.4225100141912</v>
      </c>
      <c r="R1003" s="95">
        <v>1891.463641072279</v>
      </c>
      <c r="S1003" s="95">
        <v>1893.4986327568186</v>
      </c>
      <c r="T1003" s="95">
        <v>1895.5270567260691</v>
      </c>
      <c r="U1003" s="95">
        <v>1897.548491656617</v>
      </c>
      <c r="V1003" s="95">
        <v>1899.5625235306193</v>
      </c>
      <c r="W1003" s="95">
        <v>1901.568745909465</v>
      </c>
      <c r="X1003" s="95">
        <v>1903.5667601936013</v>
      </c>
      <c r="Y1003" s="95">
        <v>1905.5561758683089</v>
      </c>
      <c r="Z1003" s="95">
        <v>1907.5366107352443</v>
      </c>
      <c r="AA1003" s="95">
        <v>1909.5076911296101</v>
      </c>
      <c r="AB1003" s="95">
        <v>1911.4690521228433</v>
      </c>
      <c r="AC1003" s="95">
        <v>1913.4203377107583</v>
      </c>
      <c r="AD1003" s="95">
        <v>1915.3612009871051</v>
      </c>
      <c r="AE1003" s="95">
        <v>1917.2913043025453</v>
      </c>
      <c r="AF1003" s="95">
        <v>1919.2103194090814</v>
      </c>
      <c r="AG1003" s="95">
        <v>1921.1179275900035</v>
      </c>
      <c r="AH1003" s="95">
        <v>1923.0138197754536</v>
      </c>
      <c r="AI1003" s="95">
        <v>1924.8976966437335</v>
      </c>
      <c r="AJ1003" s="95">
        <v>1926.7692687085171</v>
      </c>
      <c r="AK1003" s="95">
        <v>1928.6282563921475</v>
      </c>
      <c r="AL1003" s="95">
        <v>1930.4743900852343</v>
      </c>
      <c r="AM1003" s="95">
        <v>1932.3074101927839</v>
      </c>
      <c r="AN1003" s="95">
        <v>1934.1270671671248</v>
      </c>
      <c r="AO1003" s="95">
        <v>1935.9331215279071</v>
      </c>
      <c r="AP1003" s="95">
        <v>1937.7253438694784</v>
      </c>
      <c r="AQ1003" s="95">
        <v>1939.5035148559575</v>
      </c>
      <c r="AR1003" s="95">
        <v>1941.2674252043425</v>
      </c>
      <c r="AS1003" s="95">
        <v>1943.0168756560061</v>
      </c>
      <c r="AT1003" s="95">
        <v>1944.751676936949</v>
      </c>
      <c r="AU1003" s="95">
        <v>1946.4716497071877</v>
      </c>
      <c r="AV1003" s="95">
        <v>1948.1766244996693</v>
      </c>
      <c r="AW1003" s="95">
        <v>1949.8664416491185</v>
      </c>
      <c r="AX1003" s="96">
        <v>1951.5409512112196</v>
      </c>
    </row>
    <row r="1004" spans="1:50" x14ac:dyDescent="0.25">
      <c r="A1004" s="356"/>
      <c r="B1004" s="359"/>
      <c r="C1004" s="350"/>
      <c r="D1004" s="2" t="s">
        <v>8</v>
      </c>
      <c r="E1004" s="160" t="str">
        <f>A973&amp;"/"&amp;B999&amp;"/"&amp;C1003&amp;"/"&amp;D1004</f>
        <v>Coal fired power plants/Steam turbine/CHP/M</v>
      </c>
      <c r="F1004" s="76" t="str">
        <f>A973</f>
        <v>Coal fired power plants</v>
      </c>
      <c r="G1004" s="76" t="str">
        <f>B999</f>
        <v>Steam turbine</v>
      </c>
      <c r="H1004" s="76" t="str">
        <f>C1003</f>
        <v>CHP</v>
      </c>
      <c r="I1004" s="161" t="str">
        <f t="shared" si="93"/>
        <v>M</v>
      </c>
      <c r="J1004" s="91">
        <v>1993.8000000000002</v>
      </c>
      <c r="K1004" s="91">
        <v>1995.2813306227772</v>
      </c>
      <c r="L1004" s="91">
        <v>1996.7568540280604</v>
      </c>
      <c r="M1004" s="91">
        <v>1998.2262842680586</v>
      </c>
      <c r="N1004" s="91">
        <v>1999.6893410919702</v>
      </c>
      <c r="O1004" s="91">
        <v>2001.145750113516</v>
      </c>
      <c r="P1004" s="91">
        <v>2002.5952429685508</v>
      </c>
      <c r="Q1004" s="91">
        <v>2004.0375574626567</v>
      </c>
      <c r="R1004" s="91">
        <v>2005.4724377086457</v>
      </c>
      <c r="S1004" s="91">
        <v>2006.8996342539319</v>
      </c>
      <c r="T1004" s="91">
        <v>2008.318904197745</v>
      </c>
      <c r="U1004" s="91">
        <v>2009.7300112981941</v>
      </c>
      <c r="V1004" s="91">
        <v>2011.1327260692021</v>
      </c>
      <c r="W1004" s="91">
        <v>2012.5268258673627</v>
      </c>
      <c r="X1004" s="91">
        <v>2013.9120949687867</v>
      </c>
      <c r="Y1004" s="91">
        <v>2015.2883246360277</v>
      </c>
      <c r="Z1004" s="91">
        <v>2016.6553131751998</v>
      </c>
      <c r="AA1004" s="91">
        <v>2018.0128659834147</v>
      </c>
      <c r="AB1004" s="91">
        <v>2019.3607955866837</v>
      </c>
      <c r="AC1004" s="91">
        <v>2020.6989216684533</v>
      </c>
      <c r="AD1004" s="91">
        <v>2022.0270710889508</v>
      </c>
      <c r="AE1004" s="91">
        <v>2023.3450778955385</v>
      </c>
      <c r="AF1004" s="91">
        <v>2024.652783324284</v>
      </c>
      <c r="AG1004" s="91">
        <v>2025.9500357929696</v>
      </c>
      <c r="AH1004" s="91">
        <v>2027.2366908857798</v>
      </c>
      <c r="AI1004" s="91">
        <v>2028.5126113299043</v>
      </c>
      <c r="AJ1004" s="91">
        <v>2029.7776669643206</v>
      </c>
      <c r="AK1004" s="91">
        <v>2031.0317347010157</v>
      </c>
      <c r="AL1004" s="91">
        <v>2032.274698478921</v>
      </c>
      <c r="AM1004" s="91">
        <v>2033.5064492108381</v>
      </c>
      <c r="AN1004" s="91">
        <v>2034.7268847236433</v>
      </c>
      <c r="AO1004" s="91">
        <v>2035.9359096920557</v>
      </c>
      <c r="AP1004" s="91">
        <v>2037.1334355662684</v>
      </c>
      <c r="AQ1004" s="91">
        <v>2038.3193804937343</v>
      </c>
      <c r="AR1004" s="91">
        <v>2039.4936692354077</v>
      </c>
      <c r="AS1004" s="91">
        <v>2040.6562330767399</v>
      </c>
      <c r="AT1004" s="91">
        <v>2041.8070097337313</v>
      </c>
      <c r="AU1004" s="91">
        <v>2042.945943254336</v>
      </c>
      <c r="AV1004" s="91">
        <v>2044.0729839155206</v>
      </c>
      <c r="AW1004" s="91">
        <v>2045.188088116271</v>
      </c>
      <c r="AX1004" s="92">
        <v>2046.2912182668431</v>
      </c>
    </row>
    <row r="1005" spans="1:50" x14ac:dyDescent="0.25">
      <c r="A1005" s="356"/>
      <c r="B1005" s="359"/>
      <c r="C1005" s="350"/>
      <c r="D1005" s="2" t="s">
        <v>10</v>
      </c>
      <c r="E1005" s="160" t="str">
        <f>A973&amp;"/"&amp;B999&amp;"/"&amp;C1003&amp;"/"&amp;D1005</f>
        <v>Coal fired power plants/Steam turbine/CHP/S</v>
      </c>
      <c r="F1005" s="76" t="str">
        <f>A973</f>
        <v>Coal fired power plants</v>
      </c>
      <c r="G1005" s="76" t="str">
        <f>B999</f>
        <v>Steam turbine</v>
      </c>
      <c r="H1005" s="76" t="str">
        <f>C1003</f>
        <v>CHP</v>
      </c>
      <c r="I1005" s="161" t="str">
        <f t="shared" si="93"/>
        <v>S</v>
      </c>
      <c r="J1005" s="91">
        <v>2526.6388000000002</v>
      </c>
      <c r="K1005" s="91">
        <v>2527.7839193101363</v>
      </c>
      <c r="L1005" s="91">
        <v>2528.9215638884534</v>
      </c>
      <c r="M1005" s="91">
        <v>2530.0515702448665</v>
      </c>
      <c r="N1005" s="91">
        <v>2531.1737805701018</v>
      </c>
      <c r="O1005" s="91">
        <v>2532.2880427696032</v>
      </c>
      <c r="P1005" s="91">
        <v>2533.3942104899634</v>
      </c>
      <c r="Q1005" s="91">
        <v>2534.4921431380153</v>
      </c>
      <c r="R1005" s="91">
        <v>2535.5817058927237</v>
      </c>
      <c r="S1005" s="91">
        <v>2536.6627697100307</v>
      </c>
      <c r="T1005" s="91">
        <v>2537.7352113208244</v>
      </c>
      <c r="U1005" s="91">
        <v>2538.7989132222028</v>
      </c>
      <c r="V1005" s="91">
        <v>2539.8537636622186</v>
      </c>
      <c r="W1005" s="91">
        <v>2540.8996566183014</v>
      </c>
      <c r="X1005" s="91">
        <v>2541.9364917695516</v>
      </c>
      <c r="Y1005" s="91">
        <v>2542.9641744631235</v>
      </c>
      <c r="Z1005" s="91">
        <v>2543.9826156749014</v>
      </c>
      <c r="AA1005" s="91">
        <v>2544.9917319646984</v>
      </c>
      <c r="AB1005" s="91">
        <v>2545.9914454261952</v>
      </c>
      <c r="AC1005" s="91">
        <v>2546.9816836318446</v>
      </c>
      <c r="AD1005" s="91">
        <v>2547.962379572984</v>
      </c>
      <c r="AE1005" s="91">
        <v>2548.9334715953742</v>
      </c>
      <c r="AF1005" s="91">
        <v>2549.894903330412</v>
      </c>
      <c r="AG1005" s="91">
        <v>2550.8466236222416</v>
      </c>
      <c r="AH1005" s="91">
        <v>2551.7885864510108</v>
      </c>
      <c r="AI1005" s="91">
        <v>2552.7207508524989</v>
      </c>
      <c r="AJ1005" s="91">
        <v>2553.6430808343575</v>
      </c>
      <c r="AK1005" s="91">
        <v>2554.5555452891908</v>
      </c>
      <c r="AL1005" s="91">
        <v>2555.4581179047159</v>
      </c>
      <c r="AM1005" s="91">
        <v>2556.3507770712213</v>
      </c>
      <c r="AN1005" s="91">
        <v>2557.2335057865548</v>
      </c>
      <c r="AO1005" s="91">
        <v>2558.1062915588641</v>
      </c>
      <c r="AP1005" s="91">
        <v>2558.9691263073032</v>
      </c>
      <c r="AQ1005" s="91">
        <v>2559.8220062609244</v>
      </c>
      <c r="AR1005" s="91">
        <v>2560.6649318559589</v>
      </c>
      <c r="AS1005" s="91">
        <v>2561.4979076316968</v>
      </c>
      <c r="AT1005" s="91">
        <v>2562.3209421251599</v>
      </c>
      <c r="AU1005" s="91">
        <v>2563.1340477647677</v>
      </c>
      <c r="AV1005" s="91">
        <v>2563.9372407631736</v>
      </c>
      <c r="AW1005" s="91">
        <v>2564.7305410094655</v>
      </c>
      <c r="AX1005" s="92">
        <v>2565.5139719609019</v>
      </c>
    </row>
    <row r="1006" spans="1:50" x14ac:dyDescent="0.25">
      <c r="A1006" s="356"/>
      <c r="B1006" s="359"/>
      <c r="C1006" s="360"/>
      <c r="D1006" s="59" t="s">
        <v>20</v>
      </c>
      <c r="E1006" s="166" t="str">
        <f>A973&amp;"/"&amp;B999&amp;"/"&amp;C1003&amp;"/"&amp;D1006</f>
        <v>Coal fired power plants/Steam turbine/CHP/XS</v>
      </c>
      <c r="F1006" s="79" t="str">
        <f>A973</f>
        <v>Coal fired power plants</v>
      </c>
      <c r="G1006" s="79" t="str">
        <f>B999</f>
        <v>Steam turbine</v>
      </c>
      <c r="H1006" s="79" t="str">
        <f>C1003</f>
        <v>CHP</v>
      </c>
      <c r="I1006" s="167" t="str">
        <f t="shared" si="93"/>
        <v>XS</v>
      </c>
      <c r="J1006" s="97">
        <v>2566.6388000000002</v>
      </c>
      <c r="K1006" s="97">
        <v>2567.533070989527</v>
      </c>
      <c r="L1006" s="97">
        <v>2568.4190031689313</v>
      </c>
      <c r="M1006" s="97">
        <v>2569.2965339920243</v>
      </c>
      <c r="N1006" s="97">
        <v>2570.1656056133297</v>
      </c>
      <c r="O1006" s="97">
        <v>2571.0261648338651</v>
      </c>
      <c r="P1006" s="97">
        <v>2571.8781630431304</v>
      </c>
      <c r="Q1006" s="97">
        <v>2572.7215561575122</v>
      </c>
      <c r="R1006" s="97">
        <v>2573.5563045552894</v>
      </c>
      <c r="S1006" s="97">
        <v>2574.3823730084528</v>
      </c>
      <c r="T1006" s="97">
        <v>2575.199730611529</v>
      </c>
      <c r="U1006" s="97">
        <v>2576.0083507076151</v>
      </c>
      <c r="V1006" s="97">
        <v>2576.8082108118133</v>
      </c>
      <c r="W1006" s="97">
        <v>2577.5992925322676</v>
      </c>
      <c r="X1006" s="97">
        <v>2578.381581488989</v>
      </c>
      <c r="Y1006" s="97">
        <v>2579.1550672306685</v>
      </c>
      <c r="Z1006" s="97">
        <v>2579.919743149655</v>
      </c>
      <c r="AA1006" s="97">
        <v>2580.675606395293</v>
      </c>
      <c r="AB1006" s="97">
        <v>2581.4226577857871</v>
      </c>
      <c r="AC1006" s="97">
        <v>2582.1609017187861</v>
      </c>
      <c r="AD1006" s="97">
        <v>2582.8903460808428</v>
      </c>
      <c r="AE1006" s="97">
        <v>2583.6110021559316</v>
      </c>
      <c r="AF1006" s="97">
        <v>2584.3228845331732</v>
      </c>
      <c r="AG1006" s="97">
        <v>2585.0260110139366</v>
      </c>
      <c r="AH1006" s="97">
        <v>2585.7204025184647</v>
      </c>
      <c r="AI1006" s="97">
        <v>2586.4060829921732</v>
      </c>
      <c r="AJ1006" s="97">
        <v>2587.0830793117648</v>
      </c>
      <c r="AK1006" s="97">
        <v>2587.7514211912976</v>
      </c>
      <c r="AL1006" s="97">
        <v>2588.4111410883388</v>
      </c>
      <c r="AM1006" s="97">
        <v>2589.062274110328</v>
      </c>
      <c r="AN1006" s="97">
        <v>2589.7048579212737</v>
      </c>
      <c r="AO1006" s="97">
        <v>2590.3389326488973</v>
      </c>
      <c r="AP1006" s="97">
        <v>2590.9645407923313</v>
      </c>
      <c r="AQ1006" s="97">
        <v>2591.5817271304804</v>
      </c>
      <c r="AR1006" s="97">
        <v>2592.1905386311387</v>
      </c>
      <c r="AS1006" s="97">
        <v>2592.7910243609613</v>
      </c>
      <c r="AT1006" s="97">
        <v>2593.3832353963703</v>
      </c>
      <c r="AU1006" s="97">
        <v>2593.9672247354852</v>
      </c>
      <c r="AV1006" s="97">
        <v>2594.5430472111493</v>
      </c>
      <c r="AW1006" s="97">
        <v>2595.1107594051232</v>
      </c>
      <c r="AX1006" s="98">
        <v>2595.6704195635143</v>
      </c>
    </row>
    <row r="1007" spans="1:50" x14ac:dyDescent="0.25">
      <c r="A1007" s="356"/>
      <c r="B1007" s="359"/>
      <c r="C1007" s="361" t="s">
        <v>15</v>
      </c>
      <c r="D1007" s="58" t="s">
        <v>7</v>
      </c>
      <c r="E1007" s="164" t="str">
        <f>A973&amp;"/"&amp;B999&amp;"/"&amp;C1007&amp;"/"&amp;D1007</f>
        <v>Coal fired power plants/Steam turbine/Electricity only with CCS/L</v>
      </c>
      <c r="F1007" s="78" t="str">
        <f>A973</f>
        <v>Coal fired power plants</v>
      </c>
      <c r="G1007" s="78" t="str">
        <f>B999</f>
        <v>Steam turbine</v>
      </c>
      <c r="H1007" s="78" t="str">
        <f>C1007</f>
        <v>Electricity only with CCS</v>
      </c>
      <c r="I1007" s="165" t="str">
        <f t="shared" si="93"/>
        <v>L</v>
      </c>
      <c r="J1007" s="95" t="s">
        <v>112</v>
      </c>
      <c r="K1007" s="95" t="s">
        <v>112</v>
      </c>
      <c r="L1007" s="95" t="s">
        <v>112</v>
      </c>
      <c r="M1007" s="95" t="s">
        <v>112</v>
      </c>
      <c r="N1007" s="95" t="s">
        <v>112</v>
      </c>
      <c r="O1007" s="95" t="s">
        <v>112</v>
      </c>
      <c r="P1007" s="95" t="s">
        <v>112</v>
      </c>
      <c r="Q1007" s="95" t="s">
        <v>112</v>
      </c>
      <c r="R1007" s="95" t="s">
        <v>112</v>
      </c>
      <c r="S1007" s="95" t="s">
        <v>112</v>
      </c>
      <c r="T1007" s="95" t="s">
        <v>112</v>
      </c>
      <c r="U1007" s="95" t="s">
        <v>112</v>
      </c>
      <c r="V1007" s="95" t="s">
        <v>112</v>
      </c>
      <c r="W1007" s="95" t="s">
        <v>112</v>
      </c>
      <c r="X1007" s="95" t="s">
        <v>112</v>
      </c>
      <c r="Y1007" s="95" t="s">
        <v>112</v>
      </c>
      <c r="Z1007" s="95" t="s">
        <v>112</v>
      </c>
      <c r="AA1007" s="95" t="s">
        <v>112</v>
      </c>
      <c r="AB1007" s="95" t="s">
        <v>112</v>
      </c>
      <c r="AC1007" s="95" t="s">
        <v>112</v>
      </c>
      <c r="AD1007" s="95" t="s">
        <v>112</v>
      </c>
      <c r="AE1007" s="95">
        <v>3192.75</v>
      </c>
      <c r="AF1007" s="95">
        <v>3192.75</v>
      </c>
      <c r="AG1007" s="95">
        <v>3192.75</v>
      </c>
      <c r="AH1007" s="95">
        <v>3192.75</v>
      </c>
      <c r="AI1007" s="95">
        <v>3192.75</v>
      </c>
      <c r="AJ1007" s="95">
        <v>3192.75</v>
      </c>
      <c r="AK1007" s="95">
        <v>3192.75</v>
      </c>
      <c r="AL1007" s="95">
        <v>3192.75</v>
      </c>
      <c r="AM1007" s="95">
        <v>3192.75</v>
      </c>
      <c r="AN1007" s="95">
        <v>3192.75</v>
      </c>
      <c r="AO1007" s="95">
        <v>3192.75</v>
      </c>
      <c r="AP1007" s="95">
        <v>3192.75</v>
      </c>
      <c r="AQ1007" s="95">
        <v>3192.75</v>
      </c>
      <c r="AR1007" s="95">
        <v>3192.75</v>
      </c>
      <c r="AS1007" s="95">
        <v>3192.75</v>
      </c>
      <c r="AT1007" s="95">
        <v>3192.75</v>
      </c>
      <c r="AU1007" s="95">
        <v>3192.75</v>
      </c>
      <c r="AV1007" s="95">
        <v>3192.75</v>
      </c>
      <c r="AW1007" s="95">
        <v>3192.75</v>
      </c>
      <c r="AX1007" s="96">
        <v>3192.75</v>
      </c>
    </row>
    <row r="1008" spans="1:50" x14ac:dyDescent="0.25">
      <c r="A1008" s="356"/>
      <c r="B1008" s="359"/>
      <c r="C1008" s="360"/>
      <c r="D1008" s="59" t="s">
        <v>8</v>
      </c>
      <c r="E1008" s="166" t="str">
        <f>A973&amp;"/"&amp;B999&amp;"/"&amp;C1007&amp;"/"&amp;D1008</f>
        <v>Coal fired power plants/Steam turbine/Electricity only with CCS/M</v>
      </c>
      <c r="F1008" s="79" t="str">
        <f>A973</f>
        <v>Coal fired power plants</v>
      </c>
      <c r="G1008" s="79" t="str">
        <f>B999</f>
        <v>Steam turbine</v>
      </c>
      <c r="H1008" s="79" t="str">
        <f>C1007</f>
        <v>Electricity only with CCS</v>
      </c>
      <c r="I1008" s="167" t="str">
        <f t="shared" si="93"/>
        <v>M</v>
      </c>
      <c r="J1008" s="97" t="s">
        <v>112</v>
      </c>
      <c r="K1008" s="97" t="s">
        <v>112</v>
      </c>
      <c r="L1008" s="97" t="s">
        <v>112</v>
      </c>
      <c r="M1008" s="97" t="s">
        <v>112</v>
      </c>
      <c r="N1008" s="97" t="s">
        <v>112</v>
      </c>
      <c r="O1008" s="97" t="s">
        <v>112</v>
      </c>
      <c r="P1008" s="97" t="s">
        <v>112</v>
      </c>
      <c r="Q1008" s="97" t="s">
        <v>112</v>
      </c>
      <c r="R1008" s="97" t="s">
        <v>112</v>
      </c>
      <c r="S1008" s="97" t="s">
        <v>112</v>
      </c>
      <c r="T1008" s="97" t="s">
        <v>112</v>
      </c>
      <c r="U1008" s="97" t="s">
        <v>112</v>
      </c>
      <c r="V1008" s="97" t="s">
        <v>112</v>
      </c>
      <c r="W1008" s="97" t="s">
        <v>112</v>
      </c>
      <c r="X1008" s="97" t="s">
        <v>112</v>
      </c>
      <c r="Y1008" s="97" t="s">
        <v>112</v>
      </c>
      <c r="Z1008" s="97" t="s">
        <v>112</v>
      </c>
      <c r="AA1008" s="97" t="s">
        <v>112</v>
      </c>
      <c r="AB1008" s="97" t="s">
        <v>112</v>
      </c>
      <c r="AC1008" s="97" t="s">
        <v>112</v>
      </c>
      <c r="AD1008" s="97" t="s">
        <v>112</v>
      </c>
      <c r="AE1008" s="97">
        <v>3668.1374999999998</v>
      </c>
      <c r="AF1008" s="97">
        <v>3668.1374999999998</v>
      </c>
      <c r="AG1008" s="97">
        <v>3668.1374999999998</v>
      </c>
      <c r="AH1008" s="97">
        <v>3668.1374999999998</v>
      </c>
      <c r="AI1008" s="97">
        <v>3668.1374999999998</v>
      </c>
      <c r="AJ1008" s="97">
        <v>3668.1374999999998</v>
      </c>
      <c r="AK1008" s="97">
        <v>3668.1374999999998</v>
      </c>
      <c r="AL1008" s="97">
        <v>3668.1374999999998</v>
      </c>
      <c r="AM1008" s="97">
        <v>3668.1374999999998</v>
      </c>
      <c r="AN1008" s="97">
        <v>3668.1374999999998</v>
      </c>
      <c r="AO1008" s="97">
        <v>3668.1374999999998</v>
      </c>
      <c r="AP1008" s="97">
        <v>3668.1374999999998</v>
      </c>
      <c r="AQ1008" s="97">
        <v>3668.1374999999998</v>
      </c>
      <c r="AR1008" s="97">
        <v>3668.1374999999998</v>
      </c>
      <c r="AS1008" s="97">
        <v>3668.1374999999998</v>
      </c>
      <c r="AT1008" s="97">
        <v>3668.1374999999998</v>
      </c>
      <c r="AU1008" s="97">
        <v>3668.1374999999998</v>
      </c>
      <c r="AV1008" s="97">
        <v>3668.1374999999998</v>
      </c>
      <c r="AW1008" s="97">
        <v>3668.1374999999998</v>
      </c>
      <c r="AX1008" s="98">
        <v>3668.1374999999998</v>
      </c>
    </row>
    <row r="1009" spans="1:50" x14ac:dyDescent="0.25">
      <c r="A1009" s="356"/>
      <c r="B1009" s="359"/>
      <c r="C1009" s="361" t="s">
        <v>16</v>
      </c>
      <c r="D1009" s="2" t="s">
        <v>7</v>
      </c>
      <c r="E1009" s="160" t="str">
        <f>A973&amp;"/"&amp;B999&amp;"/"&amp;C1009&amp;"/"&amp;D1009</f>
        <v>Coal fired power plants/Steam turbine/CHP with CCS/L</v>
      </c>
      <c r="F1009" s="76" t="str">
        <f>A973</f>
        <v>Coal fired power plants</v>
      </c>
      <c r="G1009" s="76" t="str">
        <f>B999</f>
        <v>Steam turbine</v>
      </c>
      <c r="H1009" s="76" t="str">
        <f>C1009</f>
        <v>CHP with CCS</v>
      </c>
      <c r="I1009" s="161" t="str">
        <f t="shared" si="93"/>
        <v>L</v>
      </c>
      <c r="J1009" s="91" t="s">
        <v>112</v>
      </c>
      <c r="K1009" s="91" t="s">
        <v>112</v>
      </c>
      <c r="L1009" s="91" t="s">
        <v>112</v>
      </c>
      <c r="M1009" s="91" t="s">
        <v>112</v>
      </c>
      <c r="N1009" s="91" t="s">
        <v>112</v>
      </c>
      <c r="O1009" s="91" t="s">
        <v>112</v>
      </c>
      <c r="P1009" s="91" t="s">
        <v>112</v>
      </c>
      <c r="Q1009" s="91" t="s">
        <v>112</v>
      </c>
      <c r="R1009" s="91" t="s">
        <v>112</v>
      </c>
      <c r="S1009" s="91" t="s">
        <v>112</v>
      </c>
      <c r="T1009" s="91" t="s">
        <v>112</v>
      </c>
      <c r="U1009" s="91" t="s">
        <v>112</v>
      </c>
      <c r="V1009" s="91" t="s">
        <v>112</v>
      </c>
      <c r="W1009" s="91" t="s">
        <v>112</v>
      </c>
      <c r="X1009" s="91" t="s">
        <v>112</v>
      </c>
      <c r="Y1009" s="91" t="s">
        <v>112</v>
      </c>
      <c r="Z1009" s="91" t="s">
        <v>112</v>
      </c>
      <c r="AA1009" s="91" t="s">
        <v>112</v>
      </c>
      <c r="AB1009" s="91" t="s">
        <v>112</v>
      </c>
      <c r="AC1009" s="91" t="s">
        <v>112</v>
      </c>
      <c r="AD1009" s="91" t="s">
        <v>112</v>
      </c>
      <c r="AE1009" s="91">
        <v>3582.75</v>
      </c>
      <c r="AF1009" s="91">
        <v>3582.75</v>
      </c>
      <c r="AG1009" s="91">
        <v>3582.75</v>
      </c>
      <c r="AH1009" s="91">
        <v>3582.75</v>
      </c>
      <c r="AI1009" s="91">
        <v>3582.75</v>
      </c>
      <c r="AJ1009" s="91">
        <v>3582.75</v>
      </c>
      <c r="AK1009" s="91">
        <v>3582.75</v>
      </c>
      <c r="AL1009" s="91">
        <v>3582.75</v>
      </c>
      <c r="AM1009" s="91">
        <v>3582.75</v>
      </c>
      <c r="AN1009" s="91">
        <v>3582.75</v>
      </c>
      <c r="AO1009" s="91">
        <v>3582.75</v>
      </c>
      <c r="AP1009" s="91">
        <v>3582.75</v>
      </c>
      <c r="AQ1009" s="91">
        <v>3582.75</v>
      </c>
      <c r="AR1009" s="91">
        <v>3582.75</v>
      </c>
      <c r="AS1009" s="91">
        <v>3582.75</v>
      </c>
      <c r="AT1009" s="91">
        <v>3582.75</v>
      </c>
      <c r="AU1009" s="91">
        <v>3582.75</v>
      </c>
      <c r="AV1009" s="91">
        <v>3582.75</v>
      </c>
      <c r="AW1009" s="91">
        <v>3582.75</v>
      </c>
      <c r="AX1009" s="92">
        <v>3582.75</v>
      </c>
    </row>
    <row r="1010" spans="1:50" x14ac:dyDescent="0.25">
      <c r="A1010" s="357"/>
      <c r="B1010" s="362"/>
      <c r="C1010" s="354"/>
      <c r="D1010" s="4" t="s">
        <v>8</v>
      </c>
      <c r="E1010" s="168" t="str">
        <f>A973&amp;"/"&amp;B999&amp;"/"&amp;C1009&amp;"/"&amp;D1010</f>
        <v>Coal fired power plants/Steam turbine/CHP with CCS/M</v>
      </c>
      <c r="F1010" s="80" t="str">
        <f>A973</f>
        <v>Coal fired power plants</v>
      </c>
      <c r="G1010" s="80" t="str">
        <f>B999</f>
        <v>Steam turbine</v>
      </c>
      <c r="H1010" s="80" t="str">
        <f>C1009</f>
        <v>CHP with CCS</v>
      </c>
      <c r="I1010" s="169" t="str">
        <f t="shared" si="93"/>
        <v>M</v>
      </c>
      <c r="J1010" s="99" t="s">
        <v>112</v>
      </c>
      <c r="K1010" s="99" t="s">
        <v>112</v>
      </c>
      <c r="L1010" s="99" t="s">
        <v>112</v>
      </c>
      <c r="M1010" s="99" t="s">
        <v>112</v>
      </c>
      <c r="N1010" s="99" t="s">
        <v>112</v>
      </c>
      <c r="O1010" s="99" t="s">
        <v>112</v>
      </c>
      <c r="P1010" s="99" t="s">
        <v>112</v>
      </c>
      <c r="Q1010" s="99" t="s">
        <v>112</v>
      </c>
      <c r="R1010" s="99" t="s">
        <v>112</v>
      </c>
      <c r="S1010" s="99" t="s">
        <v>112</v>
      </c>
      <c r="T1010" s="99" t="s">
        <v>112</v>
      </c>
      <c r="U1010" s="99" t="s">
        <v>112</v>
      </c>
      <c r="V1010" s="99" t="s">
        <v>112</v>
      </c>
      <c r="W1010" s="99" t="s">
        <v>112</v>
      </c>
      <c r="X1010" s="99" t="s">
        <v>112</v>
      </c>
      <c r="Y1010" s="99" t="s">
        <v>112</v>
      </c>
      <c r="Z1010" s="99" t="s">
        <v>112</v>
      </c>
      <c r="AA1010" s="99" t="s">
        <v>112</v>
      </c>
      <c r="AB1010" s="99" t="s">
        <v>112</v>
      </c>
      <c r="AC1010" s="99" t="s">
        <v>112</v>
      </c>
      <c r="AD1010" s="99" t="s">
        <v>112</v>
      </c>
      <c r="AE1010" s="99">
        <v>4058.1374999999998</v>
      </c>
      <c r="AF1010" s="99">
        <v>4058.1374999999998</v>
      </c>
      <c r="AG1010" s="99">
        <v>4058.1374999999998</v>
      </c>
      <c r="AH1010" s="99">
        <v>4058.1374999999998</v>
      </c>
      <c r="AI1010" s="99">
        <v>4058.1374999999998</v>
      </c>
      <c r="AJ1010" s="99">
        <v>4058.1374999999998</v>
      </c>
      <c r="AK1010" s="99">
        <v>4058.1374999999998</v>
      </c>
      <c r="AL1010" s="99">
        <v>4058.1374999999998</v>
      </c>
      <c r="AM1010" s="99">
        <v>4058.1374999999998</v>
      </c>
      <c r="AN1010" s="99">
        <v>4058.1374999999998</v>
      </c>
      <c r="AO1010" s="99">
        <v>4058.1374999999998</v>
      </c>
      <c r="AP1010" s="99">
        <v>4058.1374999999998</v>
      </c>
      <c r="AQ1010" s="99">
        <v>4058.1374999999998</v>
      </c>
      <c r="AR1010" s="99">
        <v>4058.1374999999998</v>
      </c>
      <c r="AS1010" s="99">
        <v>4058.1374999999998</v>
      </c>
      <c r="AT1010" s="99">
        <v>4058.1374999999998</v>
      </c>
      <c r="AU1010" s="99">
        <v>4058.1374999999998</v>
      </c>
      <c r="AV1010" s="99">
        <v>4058.1374999999998</v>
      </c>
      <c r="AW1010" s="99">
        <v>4058.1374999999998</v>
      </c>
      <c r="AX1010" s="100">
        <v>4058.1374999999998</v>
      </c>
    </row>
    <row r="1011" spans="1:50" x14ac:dyDescent="0.25">
      <c r="A1011" s="355" t="s">
        <v>21</v>
      </c>
      <c r="B1011" s="358" t="s">
        <v>13</v>
      </c>
      <c r="C1011" s="353" t="s">
        <v>6</v>
      </c>
      <c r="D1011" s="3" t="s">
        <v>7</v>
      </c>
      <c r="E1011" s="162" t="str">
        <f>A1011&amp;"/"&amp;B1011&amp;"/"&amp;C1011&amp;"/"&amp;D1011</f>
        <v>Lignite fired power plants/Integrated gasification combined cycle/Electricity only/L</v>
      </c>
      <c r="F1011" s="77" t="str">
        <f>A1011</f>
        <v>Lignite fired power plants</v>
      </c>
      <c r="G1011" s="77" t="str">
        <f>B1011</f>
        <v>Integrated gasification combined cycle</v>
      </c>
      <c r="H1011" s="77" t="str">
        <f>C1011</f>
        <v>Electricity only</v>
      </c>
      <c r="I1011" s="163" t="str">
        <f t="shared" si="93"/>
        <v>L</v>
      </c>
      <c r="J1011" s="93">
        <v>2940</v>
      </c>
      <c r="K1011" s="93">
        <v>2939.9778548980926</v>
      </c>
      <c r="L1011" s="93">
        <v>2939.9494214220595</v>
      </c>
      <c r="M1011" s="93">
        <v>2939.9129144203403</v>
      </c>
      <c r="N1011" s="93">
        <v>2939.8660423008373</v>
      </c>
      <c r="O1011" s="93">
        <v>2939.80586357008</v>
      </c>
      <c r="P1011" s="93">
        <v>2939.7286028728704</v>
      </c>
      <c r="Q1011" s="93">
        <v>2939.629415189489</v>
      </c>
      <c r="R1011" s="93">
        <v>2939.5020837293041</v>
      </c>
      <c r="S1011" s="93">
        <v>2939.3386331225438</v>
      </c>
      <c r="T1011" s="93">
        <v>2939.1288345663384</v>
      </c>
      <c r="U1011" s="93">
        <v>2938.8595734108981</v>
      </c>
      <c r="V1011" s="93">
        <v>2938.5140420440471</v>
      </c>
      <c r="W1011" s="93">
        <v>2938.0707116212848</v>
      </c>
      <c r="X1011" s="93">
        <v>2937.502025021603</v>
      </c>
      <c r="Y1011" s="93">
        <v>2936.772740355007</v>
      </c>
      <c r="Z1011" s="93">
        <v>2935.8378396694629</v>
      </c>
      <c r="AA1011" s="93">
        <v>2934.6399020229528</v>
      </c>
      <c r="AB1011" s="93">
        <v>2933.1058256078304</v>
      </c>
      <c r="AC1011" s="93">
        <v>2931.1427736219739</v>
      </c>
      <c r="AD1011" s="93">
        <v>2928.6332192917303</v>
      </c>
      <c r="AE1011" s="93">
        <v>2925.4289873851185</v>
      </c>
      <c r="AF1011" s="93">
        <v>2921.3442497141086</v>
      </c>
      <c r="AG1011" s="93">
        <v>2916.147556760202</v>
      </c>
      <c r="AH1011" s="93">
        <v>2909.5532150541367</v>
      </c>
      <c r="AI1011" s="93">
        <v>2901.2127024736087</v>
      </c>
      <c r="AJ1011" s="93">
        <v>2890.7074143430741</v>
      </c>
      <c r="AK1011" s="93">
        <v>2877.5449125753921</v>
      </c>
      <c r="AL1011" s="93">
        <v>2861.1620304092849</v>
      </c>
      <c r="AM1011" s="93">
        <v>2840.9395786745813</v>
      </c>
      <c r="AN1011" s="93">
        <v>2816.2346866704265</v>
      </c>
      <c r="AO1011" s="93">
        <v>2786.4372813594373</v>
      </c>
      <c r="AP1011" s="93">
        <v>2751.0556395780332</v>
      </c>
      <c r="AQ1011" s="93">
        <v>2709.8307184486921</v>
      </c>
      <c r="AR1011" s="93">
        <v>2662.8687433088635</v>
      </c>
      <c r="AS1011" s="93">
        <v>2610.7667857917395</v>
      </c>
      <c r="AT1011" s="93">
        <v>2554.6911239480301</v>
      </c>
      <c r="AU1011" s="93">
        <v>2496.3621149188129</v>
      </c>
      <c r="AV1011" s="93">
        <v>2437.9129032061501</v>
      </c>
      <c r="AW1011" s="93">
        <v>2381.6267401100213</v>
      </c>
      <c r="AX1011" s="94">
        <v>2329.6076787581528</v>
      </c>
    </row>
    <row r="1012" spans="1:50" x14ac:dyDescent="0.25">
      <c r="A1012" s="356"/>
      <c r="B1012" s="359"/>
      <c r="C1012" s="360"/>
      <c r="D1012" s="2" t="s">
        <v>8</v>
      </c>
      <c r="E1012" s="160" t="str">
        <f>A1011&amp;"/"&amp;B1011&amp;"/"&amp;C1011&amp;"/"&amp;D1012</f>
        <v>Lignite fired power plants/Integrated gasification combined cycle/Electricity only/M</v>
      </c>
      <c r="F1012" s="76" t="str">
        <f>A1011</f>
        <v>Lignite fired power plants</v>
      </c>
      <c r="G1012" s="76" t="str">
        <f>B1011</f>
        <v>Integrated gasification combined cycle</v>
      </c>
      <c r="H1012" s="76" t="str">
        <f>C1011</f>
        <v>Electricity only</v>
      </c>
      <c r="I1012" s="161" t="str">
        <f t="shared" si="93"/>
        <v>M</v>
      </c>
      <c r="J1012" s="91">
        <v>3160.5</v>
      </c>
      <c r="K1012" s="91">
        <v>3160.3741847395459</v>
      </c>
      <c r="L1012" s="91">
        <v>3160.2205465741345</v>
      </c>
      <c r="M1012" s="91">
        <v>3160.0329416207901</v>
      </c>
      <c r="N1012" s="91">
        <v>3159.8038736707931</v>
      </c>
      <c r="O1012" s="91">
        <v>3159.524198678625</v>
      </c>
      <c r="P1012" s="91">
        <v>3159.1827657319627</v>
      </c>
      <c r="Q1012" s="91">
        <v>3158.7659813705459</v>
      </c>
      <c r="R1012" s="91">
        <v>3158.2572816662005</v>
      </c>
      <c r="S1012" s="91">
        <v>3157.6364936944801</v>
      </c>
      <c r="T1012" s="91">
        <v>3156.8790649510765</v>
      </c>
      <c r="U1012" s="91">
        <v>3155.9551359782022</v>
      </c>
      <c r="V1012" s="91">
        <v>3154.82842813965</v>
      </c>
      <c r="W1012" s="91">
        <v>3153.4549154252468</v>
      </c>
      <c r="X1012" s="91">
        <v>3151.7812468879633</v>
      </c>
      <c r="Y1012" s="91">
        <v>3149.7428856345336</v>
      </c>
      <c r="Z1012" s="91">
        <v>3147.2619324550938</v>
      </c>
      <c r="AA1012" s="91">
        <v>3144.2446090563872</v>
      </c>
      <c r="AB1012" s="91">
        <v>3140.5783901641812</v>
      </c>
      <c r="AC1012" s="91">
        <v>3136.1287992942989</v>
      </c>
      <c r="AD1012" s="91">
        <v>3130.735924938268</v>
      </c>
      <c r="AE1012" s="91">
        <v>3124.2107790093382</v>
      </c>
      <c r="AF1012" s="91">
        <v>3116.3317158980572</v>
      </c>
      <c r="AG1012" s="91">
        <v>3106.8412675691825</v>
      </c>
      <c r="AH1012" s="91">
        <v>3095.4439362856829</v>
      </c>
      <c r="AI1012" s="91">
        <v>3081.8057262251623</v>
      </c>
      <c r="AJ1012" s="91">
        <v>3065.5564828449274</v>
      </c>
      <c r="AK1012" s="91">
        <v>3046.2964190568646</v>
      </c>
      <c r="AL1012" s="91">
        <v>3023.608481669974</v>
      </c>
      <c r="AM1012" s="91">
        <v>2997.0783430579968</v>
      </c>
      <c r="AN1012" s="91">
        <v>2966.3236240578913</v>
      </c>
      <c r="AO1012" s="91">
        <v>2931.0332410882288</v>
      </c>
      <c r="AP1012" s="91">
        <v>2891.0162844346441</v>
      </c>
      <c r="AQ1012" s="91">
        <v>2846.2574213902894</v>
      </c>
      <c r="AR1012" s="91">
        <v>2796.9725774526323</v>
      </c>
      <c r="AS1012" s="91">
        <v>2743.6551401321308</v>
      </c>
      <c r="AT1012" s="91">
        <v>2687.1003007690456</v>
      </c>
      <c r="AU1012" s="91">
        <v>2628.3950040217351</v>
      </c>
      <c r="AV1012" s="91">
        <v>2568.864808527896</v>
      </c>
      <c r="AW1012" s="91">
        <v>2509.9772117581479</v>
      </c>
      <c r="AX1012" s="92">
        <v>2453.2121353819939</v>
      </c>
    </row>
    <row r="1013" spans="1:50" x14ac:dyDescent="0.25">
      <c r="A1013" s="356"/>
      <c r="B1013" s="359"/>
      <c r="C1013" s="361" t="s">
        <v>14</v>
      </c>
      <c r="D1013" s="58" t="s">
        <v>7</v>
      </c>
      <c r="E1013" s="164" t="str">
        <f>A1011&amp;"/"&amp;B1011&amp;"/"&amp;C1013&amp;"/"&amp;D1013</f>
        <v>Lignite fired power plants/Integrated gasification combined cycle/CHP/L</v>
      </c>
      <c r="F1013" s="78" t="str">
        <f>A1011</f>
        <v>Lignite fired power plants</v>
      </c>
      <c r="G1013" s="78" t="str">
        <f>B1011</f>
        <v>Integrated gasification combined cycle</v>
      </c>
      <c r="H1013" s="78" t="str">
        <f>C1013</f>
        <v>CHP</v>
      </c>
      <c r="I1013" s="165" t="str">
        <f t="shared" si="93"/>
        <v>L</v>
      </c>
      <c r="J1013" s="95" t="s">
        <v>112</v>
      </c>
      <c r="K1013" s="95" t="s">
        <v>112</v>
      </c>
      <c r="L1013" s="95" t="s">
        <v>112</v>
      </c>
      <c r="M1013" s="95" t="s">
        <v>112</v>
      </c>
      <c r="N1013" s="95" t="s">
        <v>112</v>
      </c>
      <c r="O1013" s="95" t="s">
        <v>112</v>
      </c>
      <c r="P1013" s="95" t="s">
        <v>112</v>
      </c>
      <c r="Q1013" s="95" t="s">
        <v>112</v>
      </c>
      <c r="R1013" s="95" t="s">
        <v>112</v>
      </c>
      <c r="S1013" s="95" t="s">
        <v>112</v>
      </c>
      <c r="T1013" s="95">
        <v>3309.0892553787548</v>
      </c>
      <c r="U1013" s="95">
        <v>3308.8077610269911</v>
      </c>
      <c r="V1013" s="95">
        <v>3308.4465313205869</v>
      </c>
      <c r="W1013" s="95">
        <v>3307.9830593067027</v>
      </c>
      <c r="X1013" s="95">
        <v>3307.3885358765692</v>
      </c>
      <c r="Y1013" s="95">
        <v>3306.6261180144797</v>
      </c>
      <c r="Z1013" s="95">
        <v>3305.6487424921529</v>
      </c>
      <c r="AA1013" s="95">
        <v>3304.3963795929949</v>
      </c>
      <c r="AB1013" s="95">
        <v>3302.7926063145032</v>
      </c>
      <c r="AC1013" s="95">
        <v>3300.7403680503776</v>
      </c>
      <c r="AD1013" s="95">
        <v>3298.1167984966755</v>
      </c>
      <c r="AE1013" s="95">
        <v>3294.766990456309</v>
      </c>
      <c r="AF1013" s="95">
        <v>3290.4966731097693</v>
      </c>
      <c r="AG1013" s="95">
        <v>3285.0638816178694</v>
      </c>
      <c r="AH1013" s="95">
        <v>3278.1699427546041</v>
      </c>
      <c r="AI1013" s="95">
        <v>3269.4505001807438</v>
      </c>
      <c r="AJ1013" s="95">
        <v>3258.4679309811099</v>
      </c>
      <c r="AK1013" s="95">
        <v>3244.7074243955085</v>
      </c>
      <c r="AL1013" s="95">
        <v>3227.5802276120389</v>
      </c>
      <c r="AM1013" s="95">
        <v>3206.4390201741312</v>
      </c>
      <c r="AN1013" s="95">
        <v>3180.6117241843649</v>
      </c>
      <c r="AO1013" s="95">
        <v>3149.4605494872835</v>
      </c>
      <c r="AP1013" s="95">
        <v>3112.4714327269867</v>
      </c>
      <c r="AQ1013" s="95">
        <v>3069.3735620711182</v>
      </c>
      <c r="AR1013" s="95">
        <v>3020.2779889353837</v>
      </c>
      <c r="AS1013" s="95">
        <v>2965.8089113852907</v>
      </c>
      <c r="AT1013" s="95">
        <v>2907.1855943509172</v>
      </c>
      <c r="AU1013" s="95">
        <v>2846.2065550280981</v>
      </c>
      <c r="AV1013" s="95">
        <v>2785.1018519183831</v>
      </c>
      <c r="AW1013" s="95">
        <v>2726.2584700421339</v>
      </c>
      <c r="AX1013" s="96">
        <v>2671.8760548339005</v>
      </c>
    </row>
    <row r="1014" spans="1:50" x14ac:dyDescent="0.25">
      <c r="A1014" s="356"/>
      <c r="B1014" s="359"/>
      <c r="C1014" s="360"/>
      <c r="D1014" s="59" t="s">
        <v>8</v>
      </c>
      <c r="E1014" s="166" t="str">
        <f>A1011&amp;"/"&amp;B1011&amp;"/"&amp;C1013&amp;"/"&amp;D1014</f>
        <v>Lignite fired power plants/Integrated gasification combined cycle/CHP/M</v>
      </c>
      <c r="F1014" s="79" t="str">
        <f>A1011</f>
        <v>Lignite fired power plants</v>
      </c>
      <c r="G1014" s="79" t="str">
        <f>B1011</f>
        <v>Integrated gasification combined cycle</v>
      </c>
      <c r="H1014" s="79" t="str">
        <f>C1013</f>
        <v>CHP</v>
      </c>
      <c r="I1014" s="167" t="str">
        <f t="shared" si="93"/>
        <v>M</v>
      </c>
      <c r="J1014" s="97" t="s">
        <v>112</v>
      </c>
      <c r="K1014" s="97" t="s">
        <v>112</v>
      </c>
      <c r="L1014" s="97" t="s">
        <v>112</v>
      </c>
      <c r="M1014" s="97" t="s">
        <v>112</v>
      </c>
      <c r="N1014" s="97" t="s">
        <v>112</v>
      </c>
      <c r="O1014" s="97" t="s">
        <v>112</v>
      </c>
      <c r="P1014" s="97" t="s">
        <v>112</v>
      </c>
      <c r="Q1014" s="97" t="s">
        <v>112</v>
      </c>
      <c r="R1014" s="97" t="s">
        <v>112</v>
      </c>
      <c r="S1014" s="97" t="s">
        <v>112</v>
      </c>
      <c r="T1014" s="97">
        <v>3526.7003034915169</v>
      </c>
      <c r="U1014" s="97">
        <v>3525.7307611923916</v>
      </c>
      <c r="V1014" s="97">
        <v>3524.5484290648101</v>
      </c>
      <c r="W1014" s="97">
        <v>3523.1071075843752</v>
      </c>
      <c r="X1014" s="97">
        <v>3521.3508119282678</v>
      </c>
      <c r="Y1014" s="97">
        <v>3519.2118190899437</v>
      </c>
      <c r="Z1014" s="97">
        <v>3516.6083840638366</v>
      </c>
      <c r="AA1014" s="97">
        <v>3513.4420988286356</v>
      </c>
      <c r="AB1014" s="97">
        <v>3509.5948828648502</v>
      </c>
      <c r="AC1014" s="97">
        <v>3504.9256207366898</v>
      </c>
      <c r="AD1014" s="97">
        <v>3499.2665062857441</v>
      </c>
      <c r="AE1014" s="97">
        <v>3492.4192212976131</v>
      </c>
      <c r="AF1014" s="97">
        <v>3484.1511777703063</v>
      </c>
      <c r="AG1014" s="97">
        <v>3474.1921967634862</v>
      </c>
      <c r="AH1014" s="97">
        <v>3462.2321921517469</v>
      </c>
      <c r="AI1014" s="97">
        <v>3447.920679117477</v>
      </c>
      <c r="AJ1014" s="97">
        <v>3430.8692290077274</v>
      </c>
      <c r="AK1014" s="97">
        <v>3410.6583176989452</v>
      </c>
      <c r="AL1014" s="97">
        <v>3386.8503025567597</v>
      </c>
      <c r="AM1014" s="97">
        <v>3359.0104010695845</v>
      </c>
      <c r="AN1014" s="97">
        <v>3326.7373564484701</v>
      </c>
      <c r="AO1014" s="97">
        <v>3289.7047272681411</v>
      </c>
      <c r="AP1014" s="97">
        <v>3247.712178818002</v>
      </c>
      <c r="AQ1014" s="97">
        <v>3200.7436214328463</v>
      </c>
      <c r="AR1014" s="97">
        <v>3149.0256406072303</v>
      </c>
      <c r="AS1014" s="97">
        <v>3093.0759818338206</v>
      </c>
      <c r="AT1014" s="97">
        <v>3033.7290941481115</v>
      </c>
      <c r="AU1014" s="97">
        <v>2972.1255834343506</v>
      </c>
      <c r="AV1014" s="97">
        <v>2909.6564496578485</v>
      </c>
      <c r="AW1014" s="97">
        <v>2847.8616389761523</v>
      </c>
      <c r="AX1014" s="98">
        <v>2788.2941351143127</v>
      </c>
    </row>
    <row r="1015" spans="1:50" x14ac:dyDescent="0.25">
      <c r="A1015" s="356"/>
      <c r="B1015" s="359"/>
      <c r="C1015" s="361" t="s">
        <v>15</v>
      </c>
      <c r="D1015" s="58" t="s">
        <v>7</v>
      </c>
      <c r="E1015" s="164" t="str">
        <f>A1011&amp;"/"&amp;B1011&amp;"/"&amp;C1015&amp;"/"&amp;D1015</f>
        <v>Lignite fired power plants/Integrated gasification combined cycle/Electricity only with CCS/L</v>
      </c>
      <c r="F1015" s="78" t="str">
        <f>A1011</f>
        <v>Lignite fired power plants</v>
      </c>
      <c r="G1015" s="78" t="str">
        <f>B1011</f>
        <v>Integrated gasification combined cycle</v>
      </c>
      <c r="H1015" s="78" t="str">
        <f>C1015</f>
        <v>Electricity only with CCS</v>
      </c>
      <c r="I1015" s="165" t="str">
        <f t="shared" si="93"/>
        <v>L</v>
      </c>
      <c r="J1015" s="95" t="s">
        <v>112</v>
      </c>
      <c r="K1015" s="95" t="s">
        <v>112</v>
      </c>
      <c r="L1015" s="95" t="s">
        <v>112</v>
      </c>
      <c r="M1015" s="95" t="s">
        <v>112</v>
      </c>
      <c r="N1015" s="95" t="s">
        <v>112</v>
      </c>
      <c r="O1015" s="95" t="s">
        <v>112</v>
      </c>
      <c r="P1015" s="95" t="s">
        <v>112</v>
      </c>
      <c r="Q1015" s="95" t="s">
        <v>112</v>
      </c>
      <c r="R1015" s="95" t="s">
        <v>112</v>
      </c>
      <c r="S1015" s="95" t="s">
        <v>112</v>
      </c>
      <c r="T1015" s="95" t="s">
        <v>112</v>
      </c>
      <c r="U1015" s="95" t="s">
        <v>112</v>
      </c>
      <c r="V1015" s="95" t="s">
        <v>112</v>
      </c>
      <c r="W1015" s="95" t="s">
        <v>112</v>
      </c>
      <c r="X1015" s="95" t="s">
        <v>112</v>
      </c>
      <c r="Y1015" s="95" t="s">
        <v>112</v>
      </c>
      <c r="Z1015" s="95" t="s">
        <v>112</v>
      </c>
      <c r="AA1015" s="95" t="s">
        <v>112</v>
      </c>
      <c r="AB1015" s="95" t="s">
        <v>112</v>
      </c>
      <c r="AC1015" s="95" t="s">
        <v>112</v>
      </c>
      <c r="AD1015" s="95" t="s">
        <v>112</v>
      </c>
      <c r="AE1015" s="95">
        <v>4408.0294406210796</v>
      </c>
      <c r="AF1015" s="95">
        <v>4407.3410938972866</v>
      </c>
      <c r="AG1015" s="95">
        <v>4406.4128016231662</v>
      </c>
      <c r="AH1015" s="95">
        <v>4405.1613365314024</v>
      </c>
      <c r="AI1015" s="95">
        <v>4403.4749416459017</v>
      </c>
      <c r="AJ1015" s="95">
        <v>4401.2038270577305</v>
      </c>
      <c r="AK1015" s="95">
        <v>4398.1477273094279</v>
      </c>
      <c r="AL1015" s="95">
        <v>4394.0397968046063</v>
      </c>
      <c r="AM1015" s="95">
        <v>4388.5261035417507</v>
      </c>
      <c r="AN1015" s="95">
        <v>4381.1401301419128</v>
      </c>
      <c r="AO1015" s="95">
        <v>4371.272174855384</v>
      </c>
      <c r="AP1015" s="95">
        <v>4358.1346448154463</v>
      </c>
      <c r="AQ1015" s="95">
        <v>4340.7263764477484</v>
      </c>
      <c r="AR1015" s="95">
        <v>4317.8028715288228</v>
      </c>
      <c r="AS1015" s="95">
        <v>4287.8652721769413</v>
      </c>
      <c r="AT1015" s="95">
        <v>4249.1891365432339</v>
      </c>
      <c r="AU1015" s="95">
        <v>4199.923276695863</v>
      </c>
      <c r="AV1015" s="95">
        <v>4138.2945548898124</v>
      </c>
      <c r="AW1015" s="95">
        <v>4062.9470942773478</v>
      </c>
      <c r="AX1015" s="96">
        <v>3973.41</v>
      </c>
    </row>
    <row r="1016" spans="1:50" x14ac:dyDescent="0.25">
      <c r="A1016" s="356"/>
      <c r="B1016" s="359"/>
      <c r="C1016" s="360"/>
      <c r="D1016" s="59" t="s">
        <v>8</v>
      </c>
      <c r="E1016" s="166" t="str">
        <f>A1011&amp;"/"&amp;B1011&amp;"/"&amp;C1015&amp;"/"&amp;D1016</f>
        <v>Lignite fired power plants/Integrated gasification combined cycle/Electricity only with CCS/M</v>
      </c>
      <c r="F1016" s="79" t="str">
        <f>A1011</f>
        <v>Lignite fired power plants</v>
      </c>
      <c r="G1016" s="79" t="str">
        <f>B1011</f>
        <v>Integrated gasification combined cycle</v>
      </c>
      <c r="H1016" s="79" t="str">
        <f>C1015</f>
        <v>Electricity only with CCS</v>
      </c>
      <c r="I1016" s="167" t="str">
        <f t="shared" si="93"/>
        <v>M</v>
      </c>
      <c r="J1016" s="97" t="s">
        <v>112</v>
      </c>
      <c r="K1016" s="97" t="s">
        <v>112</v>
      </c>
      <c r="L1016" s="97" t="s">
        <v>112</v>
      </c>
      <c r="M1016" s="97" t="s">
        <v>112</v>
      </c>
      <c r="N1016" s="97" t="s">
        <v>112</v>
      </c>
      <c r="O1016" s="97" t="s">
        <v>112</v>
      </c>
      <c r="P1016" s="97" t="s">
        <v>112</v>
      </c>
      <c r="Q1016" s="97" t="s">
        <v>112</v>
      </c>
      <c r="R1016" s="97" t="s">
        <v>112</v>
      </c>
      <c r="S1016" s="97" t="s">
        <v>112</v>
      </c>
      <c r="T1016" s="97" t="s">
        <v>112</v>
      </c>
      <c r="U1016" s="97" t="s">
        <v>112</v>
      </c>
      <c r="V1016" s="97" t="s">
        <v>112</v>
      </c>
      <c r="W1016" s="97" t="s">
        <v>112</v>
      </c>
      <c r="X1016" s="97" t="s">
        <v>112</v>
      </c>
      <c r="Y1016" s="97" t="s">
        <v>112</v>
      </c>
      <c r="Z1016" s="97" t="s">
        <v>112</v>
      </c>
      <c r="AA1016" s="97" t="s">
        <v>112</v>
      </c>
      <c r="AB1016" s="97" t="s">
        <v>112</v>
      </c>
      <c r="AC1016" s="97" t="s">
        <v>112</v>
      </c>
      <c r="AD1016" s="97" t="s">
        <v>112</v>
      </c>
      <c r="AE1016" s="97">
        <v>4703.1372215853607</v>
      </c>
      <c r="AF1016" s="97">
        <v>4702.7758876656653</v>
      </c>
      <c r="AG1016" s="97">
        <v>4702.2633618887257</v>
      </c>
      <c r="AH1016" s="97">
        <v>4701.5365189367467</v>
      </c>
      <c r="AI1016" s="97">
        <v>4700.5060165523628</v>
      </c>
      <c r="AJ1016" s="97">
        <v>4699.0455477142168</v>
      </c>
      <c r="AK1016" s="97">
        <v>4696.976828575167</v>
      </c>
      <c r="AL1016" s="97">
        <v>4694.048774045109</v>
      </c>
      <c r="AM1016" s="97">
        <v>4689.9088985385233</v>
      </c>
      <c r="AN1016" s="97">
        <v>4684.0646149291351</v>
      </c>
      <c r="AO1016" s="97">
        <v>4675.8320124643997</v>
      </c>
      <c r="AP1016" s="97">
        <v>4664.270350003846</v>
      </c>
      <c r="AQ1016" s="97">
        <v>4648.1028290205231</v>
      </c>
      <c r="AR1016" s="97">
        <v>4625.6298400216947</v>
      </c>
      <c r="AS1016" s="97">
        <v>4594.6523101022613</v>
      </c>
      <c r="AT1016" s="97">
        <v>4552.4429856411462</v>
      </c>
      <c r="AU1016" s="97">
        <v>4495.83368927229</v>
      </c>
      <c r="AV1016" s="97">
        <v>4421.5202379047842</v>
      </c>
      <c r="AW1016" s="97">
        <v>4326.6983929379949</v>
      </c>
      <c r="AX1016" s="98">
        <v>4210.08</v>
      </c>
    </row>
    <row r="1017" spans="1:50" x14ac:dyDescent="0.25">
      <c r="A1017" s="356"/>
      <c r="B1017" s="359"/>
      <c r="C1017" s="361" t="s">
        <v>16</v>
      </c>
      <c r="D1017" s="2" t="s">
        <v>7</v>
      </c>
      <c r="E1017" s="160" t="str">
        <f>A1011&amp;"/"&amp;B1011&amp;"/"&amp;C1017&amp;"/"&amp;D1017</f>
        <v>Lignite fired power plants/Integrated gasification combined cycle/CHP with CCS/L</v>
      </c>
      <c r="F1017" s="76" t="str">
        <f>A1011</f>
        <v>Lignite fired power plants</v>
      </c>
      <c r="G1017" s="76" t="str">
        <f>B1011</f>
        <v>Integrated gasification combined cycle</v>
      </c>
      <c r="H1017" s="76" t="str">
        <f>C1017</f>
        <v>CHP with CCS</v>
      </c>
      <c r="I1017" s="161" t="str">
        <f t="shared" si="93"/>
        <v>L</v>
      </c>
      <c r="J1017" s="91" t="s">
        <v>112</v>
      </c>
      <c r="K1017" s="91" t="s">
        <v>112</v>
      </c>
      <c r="L1017" s="91" t="s">
        <v>112</v>
      </c>
      <c r="M1017" s="91" t="s">
        <v>112</v>
      </c>
      <c r="N1017" s="91" t="s">
        <v>112</v>
      </c>
      <c r="O1017" s="91" t="s">
        <v>112</v>
      </c>
      <c r="P1017" s="91" t="s">
        <v>112</v>
      </c>
      <c r="Q1017" s="91" t="s">
        <v>112</v>
      </c>
      <c r="R1017" s="91" t="s">
        <v>112</v>
      </c>
      <c r="S1017" s="91" t="s">
        <v>112</v>
      </c>
      <c r="T1017" s="91" t="s">
        <v>112</v>
      </c>
      <c r="U1017" s="91" t="s">
        <v>112</v>
      </c>
      <c r="V1017" s="91" t="s">
        <v>112</v>
      </c>
      <c r="W1017" s="91" t="s">
        <v>112</v>
      </c>
      <c r="X1017" s="91" t="s">
        <v>112</v>
      </c>
      <c r="Y1017" s="91" t="s">
        <v>112</v>
      </c>
      <c r="Z1017" s="91" t="s">
        <v>112</v>
      </c>
      <c r="AA1017" s="91" t="s">
        <v>112</v>
      </c>
      <c r="AB1017" s="91" t="s">
        <v>112</v>
      </c>
      <c r="AC1017" s="91" t="s">
        <v>112</v>
      </c>
      <c r="AD1017" s="91" t="s">
        <v>112</v>
      </c>
      <c r="AE1017" s="91">
        <v>4777.9935581064492</v>
      </c>
      <c r="AF1017" s="91">
        <v>4777.2926770679578</v>
      </c>
      <c r="AG1017" s="91">
        <v>4776.347481237688</v>
      </c>
      <c r="AH1017" s="91">
        <v>4775.0732278377191</v>
      </c>
      <c r="AI1017" s="91">
        <v>4773.3561248752121</v>
      </c>
      <c r="AJ1017" s="91">
        <v>4771.0436548712605</v>
      </c>
      <c r="AK1017" s="91">
        <v>4767.9319056738204</v>
      </c>
      <c r="AL1017" s="91">
        <v>4763.7491726139397</v>
      </c>
      <c r="AM1017" s="91">
        <v>4758.135078834719</v>
      </c>
      <c r="AN1017" s="91">
        <v>4750.6146120004723</v>
      </c>
      <c r="AO1017" s="91">
        <v>4740.5669681170257</v>
      </c>
      <c r="AP1017" s="91">
        <v>4727.1902127997855</v>
      </c>
      <c r="AQ1017" s="91">
        <v>4709.4649519825971</v>
      </c>
      <c r="AR1017" s="91">
        <v>4686.1240259956085</v>
      </c>
      <c r="AS1017" s="91">
        <v>4655.6412837983862</v>
      </c>
      <c r="AT1017" s="91">
        <v>4616.2608826563346</v>
      </c>
      <c r="AU1017" s="91">
        <v>4566.0979257939453</v>
      </c>
      <c r="AV1017" s="91">
        <v>4503.3469878621072</v>
      </c>
      <c r="AW1017" s="91">
        <v>4426.627502439479</v>
      </c>
      <c r="AX1017" s="92">
        <v>4335.46</v>
      </c>
    </row>
    <row r="1018" spans="1:50" x14ac:dyDescent="0.25">
      <c r="A1018" s="356"/>
      <c r="B1018" s="359"/>
      <c r="C1018" s="354"/>
      <c r="D1018" s="2" t="s">
        <v>8</v>
      </c>
      <c r="E1018" s="168" t="str">
        <f>A1011&amp;"/"&amp;B1011&amp;"/"&amp;C1017&amp;"/"&amp;D1018</f>
        <v>Lignite fired power plants/Integrated gasification combined cycle/CHP with CCS/M</v>
      </c>
      <c r="F1018" s="80" t="str">
        <f>A1011</f>
        <v>Lignite fired power plants</v>
      </c>
      <c r="G1018" s="80" t="str">
        <f>B1011</f>
        <v>Integrated gasification combined cycle</v>
      </c>
      <c r="H1018" s="80" t="str">
        <f>C1017</f>
        <v>CHP with CCS</v>
      </c>
      <c r="I1018" s="169" t="str">
        <f t="shared" si="93"/>
        <v>M</v>
      </c>
      <c r="J1018" s="99" t="s">
        <v>112</v>
      </c>
      <c r="K1018" s="99" t="s">
        <v>112</v>
      </c>
      <c r="L1018" s="99" t="s">
        <v>112</v>
      </c>
      <c r="M1018" s="99" t="s">
        <v>112</v>
      </c>
      <c r="N1018" s="99" t="s">
        <v>112</v>
      </c>
      <c r="O1018" s="99" t="s">
        <v>112</v>
      </c>
      <c r="P1018" s="99" t="s">
        <v>112</v>
      </c>
      <c r="Q1018" s="99" t="s">
        <v>112</v>
      </c>
      <c r="R1018" s="99" t="s">
        <v>112</v>
      </c>
      <c r="S1018" s="99" t="s">
        <v>112</v>
      </c>
      <c r="T1018" s="99" t="s">
        <v>112</v>
      </c>
      <c r="U1018" s="99" t="s">
        <v>112</v>
      </c>
      <c r="V1018" s="99" t="s">
        <v>112</v>
      </c>
      <c r="W1018" s="99" t="s">
        <v>112</v>
      </c>
      <c r="X1018" s="99" t="s">
        <v>112</v>
      </c>
      <c r="Y1018" s="99" t="s">
        <v>112</v>
      </c>
      <c r="Z1018" s="99" t="s">
        <v>112</v>
      </c>
      <c r="AA1018" s="99" t="s">
        <v>112</v>
      </c>
      <c r="AB1018" s="99" t="s">
        <v>112</v>
      </c>
      <c r="AC1018" s="99" t="s">
        <v>112</v>
      </c>
      <c r="AD1018" s="99" t="s">
        <v>112</v>
      </c>
      <c r="AE1018" s="99">
        <v>5073.1225380022843</v>
      </c>
      <c r="AF1018" s="99">
        <v>5072.7550545585182</v>
      </c>
      <c r="AG1018" s="99">
        <v>5072.2338061307828</v>
      </c>
      <c r="AH1018" s="99">
        <v>5071.494593074628</v>
      </c>
      <c r="AI1018" s="99">
        <v>5070.4465526212389</v>
      </c>
      <c r="AJ1018" s="99">
        <v>5068.9612281363216</v>
      </c>
      <c r="AK1018" s="99">
        <v>5066.8573015687762</v>
      </c>
      <c r="AL1018" s="99">
        <v>5063.8794146237924</v>
      </c>
      <c r="AM1018" s="99">
        <v>5059.6690827811435</v>
      </c>
      <c r="AN1018" s="99">
        <v>5053.7253355986659</v>
      </c>
      <c r="AO1018" s="99">
        <v>5045.3526228806131</v>
      </c>
      <c r="AP1018" s="99">
        <v>5033.59419305967</v>
      </c>
      <c r="AQ1018" s="99">
        <v>5017.1515178380378</v>
      </c>
      <c r="AR1018" s="99">
        <v>4994.2960621532602</v>
      </c>
      <c r="AS1018" s="99">
        <v>4962.7913271874568</v>
      </c>
      <c r="AT1018" s="99">
        <v>4919.8636443253454</v>
      </c>
      <c r="AU1018" s="99">
        <v>4862.2909171472966</v>
      </c>
      <c r="AV1018" s="99">
        <v>4786.7127288341408</v>
      </c>
      <c r="AW1018" s="99">
        <v>4690.2771155874871</v>
      </c>
      <c r="AX1018" s="100">
        <v>4571.674</v>
      </c>
    </row>
    <row r="1019" spans="1:50" x14ac:dyDescent="0.25">
      <c r="A1019" s="356"/>
      <c r="B1019" s="358" t="s">
        <v>17</v>
      </c>
      <c r="C1019" s="353" t="s">
        <v>6</v>
      </c>
      <c r="D1019" s="3" t="s">
        <v>7</v>
      </c>
      <c r="E1019" s="162" t="str">
        <f>A1011&amp;"/"&amp;B1019&amp;"/"&amp;C1019&amp;"/"&amp;D1019</f>
        <v>Lignite fired power plants/Supercritical steam turbine/Electricity only/L</v>
      </c>
      <c r="F1019" s="77" t="str">
        <f>A1011</f>
        <v>Lignite fired power plants</v>
      </c>
      <c r="G1019" s="77" t="str">
        <f>B1019</f>
        <v>Supercritical steam turbine</v>
      </c>
      <c r="H1019" s="77" t="str">
        <f>C1019</f>
        <v>Electricity only</v>
      </c>
      <c r="I1019" s="163" t="str">
        <f t="shared" si="93"/>
        <v>L</v>
      </c>
      <c r="J1019" s="93">
        <v>1865</v>
      </c>
      <c r="K1019" s="93">
        <v>1864.8899223768731</v>
      </c>
      <c r="L1019" s="93">
        <v>1864.7555749350445</v>
      </c>
      <c r="M1019" s="93">
        <v>1864.5916341035004</v>
      </c>
      <c r="N1019" s="93">
        <v>1864.3916220278386</v>
      </c>
      <c r="O1019" s="93">
        <v>1864.1476628803243</v>
      </c>
      <c r="P1019" s="93">
        <v>1863.8501909619345</v>
      </c>
      <c r="Q1019" s="93">
        <v>1863.487602673174</v>
      </c>
      <c r="R1019" s="93">
        <v>1863.0458439676736</v>
      </c>
      <c r="S1019" s="93">
        <v>1862.5079249235462</v>
      </c>
      <c r="T1019" s="93">
        <v>1861.853353928879</v>
      </c>
      <c r="U1019" s="93">
        <v>1861.0574862079895</v>
      </c>
      <c r="V1019" s="93">
        <v>1860.0907857755178</v>
      </c>
      <c r="W1019" s="93">
        <v>1858.918007460436</v>
      </c>
      <c r="X1019" s="93">
        <v>1857.4973178273965</v>
      </c>
      <c r="Y1019" s="93">
        <v>1855.7793924879898</v>
      </c>
      <c r="Z1019" s="93">
        <v>1853.7065546696629</v>
      </c>
      <c r="AA1019" s="93">
        <v>1851.2120584114512</v>
      </c>
      <c r="AB1019" s="93">
        <v>1848.2196714864826</v>
      </c>
      <c r="AC1019" s="93">
        <v>1844.6437788910946</v>
      </c>
      <c r="AD1019" s="93">
        <v>1840.390305161367</v>
      </c>
      <c r="AE1019" s="93">
        <v>1835.3588346447618</v>
      </c>
      <c r="AF1019" s="93">
        <v>1829.4463751844389</v>
      </c>
      <c r="AG1019" s="93">
        <v>1822.5532304424455</v>
      </c>
      <c r="AH1019" s="93">
        <v>1814.5913703211513</v>
      </c>
      <c r="AI1019" s="93">
        <v>1805.4954540044432</v>
      </c>
      <c r="AJ1019" s="93">
        <v>1795.2362012304982</v>
      </c>
      <c r="AK1019" s="93">
        <v>1783.8350899035343</v>
      </c>
      <c r="AL1019" s="93">
        <v>1771.3784289095704</v>
      </c>
      <c r="AM1019" s="93">
        <v>1758.0279017199789</v>
      </c>
      <c r="AN1019" s="93">
        <v>1744.024059152918</v>
      </c>
      <c r="AO1019" s="93">
        <v>1729.6794367882144</v>
      </c>
      <c r="AP1019" s="93">
        <v>1715.3593913418104</v>
      </c>
      <c r="AQ1019" s="93">
        <v>1701.4514272797219</v>
      </c>
      <c r="AR1019" s="93">
        <v>1688.3271282483422</v>
      </c>
      <c r="AS1019" s="93">
        <v>1676.303627113914</v>
      </c>
      <c r="AT1019" s="93">
        <v>1665.6125231330038</v>
      </c>
      <c r="AU1019" s="93">
        <v>1656.3825775157879</v>
      </c>
      <c r="AV1019" s="93">
        <v>1648.6388279466084</v>
      </c>
      <c r="AW1019" s="93">
        <v>1642.3164128847195</v>
      </c>
      <c r="AX1019" s="94">
        <v>1637.2840796158166</v>
      </c>
    </row>
    <row r="1020" spans="1:50" x14ac:dyDescent="0.25">
      <c r="A1020" s="356"/>
      <c r="B1020" s="359"/>
      <c r="C1020" s="360"/>
      <c r="D1020" s="2" t="s">
        <v>8</v>
      </c>
      <c r="E1020" s="160" t="str">
        <f>A1011&amp;"/"&amp;B1019&amp;"/"&amp;C1019&amp;"/"&amp;D1020</f>
        <v>Lignite fired power plants/Supercritical steam turbine/Electricity only/M</v>
      </c>
      <c r="F1020" s="76" t="str">
        <f>A1011</f>
        <v>Lignite fired power plants</v>
      </c>
      <c r="G1020" s="76" t="str">
        <f>B1019</f>
        <v>Supercritical steam turbine</v>
      </c>
      <c r="H1020" s="76" t="str">
        <f>C1019</f>
        <v>Electricity only</v>
      </c>
      <c r="I1020" s="161" t="str">
        <f t="shared" si="93"/>
        <v>M</v>
      </c>
      <c r="J1020" s="91">
        <v>2032.8500000000004</v>
      </c>
      <c r="K1020" s="91">
        <v>2032.631009166849</v>
      </c>
      <c r="L1020" s="91">
        <v>2032.370410732801</v>
      </c>
      <c r="M1020" s="91">
        <v>2032.060361430302</v>
      </c>
      <c r="N1020" s="91">
        <v>2031.6915653602775</v>
      </c>
      <c r="O1020" s="91">
        <v>2031.2530157413971</v>
      </c>
      <c r="P1020" s="91">
        <v>2030.7316952693864</v>
      </c>
      <c r="Q1020" s="91">
        <v>2030.1122303892082</v>
      </c>
      <c r="R1020" s="91">
        <v>2029.3764951432941</v>
      </c>
      <c r="S1020" s="91">
        <v>2028.5031611558791</v>
      </c>
      <c r="T1020" s="91">
        <v>2027.4671920063652</v>
      </c>
      <c r="U1020" s="91">
        <v>2026.2392830836088</v>
      </c>
      <c r="V1020" s="91">
        <v>2024.7852524583482</v>
      </c>
      <c r="W1020" s="91">
        <v>2023.0653949488783</v>
      </c>
      <c r="X1020" s="91">
        <v>2021.0338211020696</v>
      </c>
      <c r="Y1020" s="91">
        <v>2018.6378160939828</v>
      </c>
      <c r="Z1020" s="91">
        <v>2015.8172714399454</v>
      </c>
      <c r="AA1020" s="91">
        <v>2012.5042656568239</v>
      </c>
      <c r="AB1020" s="91">
        <v>2008.6228990295153</v>
      </c>
      <c r="AC1020" s="91">
        <v>2004.0895219661447</v>
      </c>
      <c r="AD1020" s="91">
        <v>1998.8135341488992</v>
      </c>
      <c r="AE1020" s="91">
        <v>1992.6989684369994</v>
      </c>
      <c r="AF1020" s="91">
        <v>1985.6471013396349</v>
      </c>
      <c r="AG1020" s="91">
        <v>1977.5603382946508</v>
      </c>
      <c r="AH1020" s="91">
        <v>1968.3475892248136</v>
      </c>
      <c r="AI1020" s="91">
        <v>1957.9312558666402</v>
      </c>
      <c r="AJ1020" s="91">
        <v>1946.2557744387786</v>
      </c>
      <c r="AK1020" s="91">
        <v>1933.2973795027124</v>
      </c>
      <c r="AL1020" s="91">
        <v>1919.0743806675118</v>
      </c>
      <c r="AM1020" s="91">
        <v>1903.6568108485269</v>
      </c>
      <c r="AN1020" s="91">
        <v>1887.1738983854466</v>
      </c>
      <c r="AO1020" s="91">
        <v>1869.8175693981361</v>
      </c>
      <c r="AP1020" s="91">
        <v>1851.8402612853561</v>
      </c>
      <c r="AQ1020" s="91">
        <v>1833.5458560269146</v>
      </c>
      <c r="AR1020" s="91">
        <v>1815.2735531269047</v>
      </c>
      <c r="AS1020" s="91">
        <v>1797.3758575142399</v>
      </c>
      <c r="AT1020" s="91">
        <v>1780.1932371984094</v>
      </c>
      <c r="AU1020" s="91">
        <v>1764.0289858802441</v>
      </c>
      <c r="AV1020" s="91">
        <v>1749.1280401731167</v>
      </c>
      <c r="AW1020" s="91">
        <v>1735.6628101405443</v>
      </c>
      <c r="AX1020" s="92">
        <v>1723.7276602224224</v>
      </c>
    </row>
    <row r="1021" spans="1:50" x14ac:dyDescent="0.25">
      <c r="A1021" s="356"/>
      <c r="B1021" s="359"/>
      <c r="C1021" s="361" t="s">
        <v>14</v>
      </c>
      <c r="D1021" s="58" t="s">
        <v>7</v>
      </c>
      <c r="E1021" s="164" t="str">
        <f>A1011&amp;"/"&amp;B1019&amp;"/"&amp;C1021&amp;"/"&amp;D1021</f>
        <v>Lignite fired power plants/Supercritical steam turbine/CHP/L</v>
      </c>
      <c r="F1021" s="78" t="str">
        <f>A1011</f>
        <v>Lignite fired power plants</v>
      </c>
      <c r="G1021" s="78" t="str">
        <f>B1019</f>
        <v>Supercritical steam turbine</v>
      </c>
      <c r="H1021" s="78" t="str">
        <f>C1021</f>
        <v>CHP</v>
      </c>
      <c r="I1021" s="165" t="str">
        <f t="shared" si="93"/>
        <v>L</v>
      </c>
      <c r="J1021" s="95">
        <v>2260</v>
      </c>
      <c r="K1021" s="95">
        <v>2259.8871301418467</v>
      </c>
      <c r="L1021" s="95">
        <v>2259.7493748354386</v>
      </c>
      <c r="M1021" s="95">
        <v>2259.5812754717681</v>
      </c>
      <c r="N1021" s="95">
        <v>2259.3761898788234</v>
      </c>
      <c r="O1021" s="95">
        <v>2259.1260424501902</v>
      </c>
      <c r="P1021" s="95">
        <v>2258.8210248428004</v>
      </c>
      <c r="Q1021" s="95">
        <v>2258.4492391196168</v>
      </c>
      <c r="R1021" s="95">
        <v>2257.9962747385594</v>
      </c>
      <c r="S1021" s="95">
        <v>2257.44471081045</v>
      </c>
      <c r="T1021" s="95">
        <v>2256.7735359320245</v>
      </c>
      <c r="U1021" s="95">
        <v>2255.9574801868685</v>
      </c>
      <c r="V1021" s="95">
        <v>2254.9662583781965</v>
      </c>
      <c r="W1021" s="95">
        <v>2253.7637313040395</v>
      </c>
      <c r="X1021" s="95">
        <v>2252.3070043798343</v>
      </c>
      <c r="Y1021" s="95">
        <v>2250.5455020520285</v>
      </c>
      <c r="Z1021" s="95">
        <v>2248.420084515893</v>
      </c>
      <c r="AA1021" s="95">
        <v>2245.8623127287556</v>
      </c>
      <c r="AB1021" s="95">
        <v>2242.7940207528959</v>
      </c>
      <c r="AC1021" s="95">
        <v>2239.1274218697718</v>
      </c>
      <c r="AD1021" s="95">
        <v>2234.7660542920844</v>
      </c>
      <c r="AE1021" s="95">
        <v>2229.6069552183453</v>
      </c>
      <c r="AF1021" s="95">
        <v>2223.5445199870137</v>
      </c>
      <c r="AG1021" s="95">
        <v>2216.4765233573603</v>
      </c>
      <c r="AH1021" s="95">
        <v>2208.3127022554681</v>
      </c>
      <c r="AI1021" s="95">
        <v>2198.9860584264989</v>
      </c>
      <c r="AJ1021" s="95">
        <v>2188.4665688839013</v>
      </c>
      <c r="AK1021" s="95">
        <v>2176.7762563415904</v>
      </c>
      <c r="AL1021" s="95">
        <v>2164.003619001523</v>
      </c>
      <c r="AM1021" s="95">
        <v>2150.3144416068749</v>
      </c>
      <c r="AN1021" s="95">
        <v>2135.9553768010537</v>
      </c>
      <c r="AO1021" s="95">
        <v>2121.2468879585485</v>
      </c>
      <c r="AP1021" s="95">
        <v>2106.5635994538011</v>
      </c>
      <c r="AQ1021" s="95">
        <v>2092.302845212369</v>
      </c>
      <c r="AR1021" s="95">
        <v>2078.845634491804</v>
      </c>
      <c r="AS1021" s="95">
        <v>2066.5171445680307</v>
      </c>
      <c r="AT1021" s="95">
        <v>2055.5548494570626</v>
      </c>
      <c r="AU1021" s="95">
        <v>2046.0907765329962</v>
      </c>
      <c r="AV1021" s="95">
        <v>2038.1505985874485</v>
      </c>
      <c r="AW1021" s="95">
        <v>2031.6678087982732</v>
      </c>
      <c r="AX1021" s="96">
        <v>2026.5078250876143</v>
      </c>
    </row>
    <row r="1022" spans="1:50" x14ac:dyDescent="0.25">
      <c r="A1022" s="356"/>
      <c r="B1022" s="359"/>
      <c r="C1022" s="360"/>
      <c r="D1022" s="59" t="s">
        <v>8</v>
      </c>
      <c r="E1022" s="166" t="str">
        <f>A1011&amp;"/"&amp;B1019&amp;"/"&amp;C1021&amp;"/"&amp;D1022</f>
        <v>Lignite fired power plants/Supercritical steam turbine/CHP/M</v>
      </c>
      <c r="F1022" s="79" t="str">
        <f>A1011</f>
        <v>Lignite fired power plants</v>
      </c>
      <c r="G1022" s="79" t="str">
        <f>B1019</f>
        <v>Supercritical steam turbine</v>
      </c>
      <c r="H1022" s="79" t="str">
        <f>C1021</f>
        <v>CHP</v>
      </c>
      <c r="I1022" s="167" t="str">
        <f t="shared" si="93"/>
        <v>M</v>
      </c>
      <c r="J1022" s="97">
        <v>2447.8500000000004</v>
      </c>
      <c r="K1022" s="97">
        <v>2447.6156025510204</v>
      </c>
      <c r="L1022" s="97">
        <v>2447.3366702903859</v>
      </c>
      <c r="M1022" s="97">
        <v>2447.0048081547975</v>
      </c>
      <c r="N1022" s="97">
        <v>2446.610066252757</v>
      </c>
      <c r="O1022" s="97">
        <v>2446.1406634451705</v>
      </c>
      <c r="P1022" s="97">
        <v>2445.5826666241069</v>
      </c>
      <c r="Q1022" s="97">
        <v>2444.9196206620586</v>
      </c>
      <c r="R1022" s="97">
        <v>2444.1321243897924</v>
      </c>
      <c r="S1022" s="97">
        <v>2443.1973489208285</v>
      </c>
      <c r="T1022" s="97">
        <v>2442.0884964525585</v>
      </c>
      <c r="U1022" s="97">
        <v>2440.7742007127213</v>
      </c>
      <c r="V1022" s="97">
        <v>2439.2178749780055</v>
      </c>
      <c r="W1022" s="97">
        <v>2437.3770206964441</v>
      </c>
      <c r="X1022" s="97">
        <v>2435.2025199639047</v>
      </c>
      <c r="Y1022" s="97">
        <v>2432.6379493215736</v>
      </c>
      <c r="Z1022" s="97">
        <v>2429.618971485253</v>
      </c>
      <c r="AA1022" s="97">
        <v>2426.0728865060523</v>
      </c>
      <c r="AB1022" s="97">
        <v>2421.9184549122438</v>
      </c>
      <c r="AC1022" s="97">
        <v>2417.0661421298846</v>
      </c>
      <c r="AD1022" s="97">
        <v>2411.418973856139</v>
      </c>
      <c r="AE1022" s="97">
        <v>2404.874231394243</v>
      </c>
      <c r="AF1022" s="97">
        <v>2397.3262457804894</v>
      </c>
      <c r="AG1022" s="97">
        <v>2388.6705564031063</v>
      </c>
      <c r="AH1022" s="97">
        <v>2378.8096647438974</v>
      </c>
      <c r="AI1022" s="97">
        <v>2367.6605132851387</v>
      </c>
      <c r="AJ1022" s="97">
        <v>2355.1636291785053</v>
      </c>
      <c r="AK1022" s="97">
        <v>2341.2935750206043</v>
      </c>
      <c r="AL1022" s="97">
        <v>2326.0699485525661</v>
      </c>
      <c r="AM1022" s="97">
        <v>2309.5677097006414</v>
      </c>
      <c r="AN1022" s="97">
        <v>2291.9251783786053</v>
      </c>
      <c r="AO1022" s="97">
        <v>2273.3477832440949</v>
      </c>
      <c r="AP1022" s="97">
        <v>2254.1057213708655</v>
      </c>
      <c r="AQ1022" s="97">
        <v>2234.5242536834639</v>
      </c>
      <c r="AR1022" s="97">
        <v>2214.9664433170483</v>
      </c>
      <c r="AS1022" s="97">
        <v>2195.8095949053391</v>
      </c>
      <c r="AT1022" s="97">
        <v>2177.418129331782</v>
      </c>
      <c r="AU1022" s="97">
        <v>2160.1166778548809</v>
      </c>
      <c r="AV1022" s="97">
        <v>2144.1674090618326</v>
      </c>
      <c r="AW1022" s="97">
        <v>2129.7548625449358</v>
      </c>
      <c r="AX1022" s="98">
        <v>2116.9800415455948</v>
      </c>
    </row>
    <row r="1023" spans="1:50" x14ac:dyDescent="0.25">
      <c r="A1023" s="356"/>
      <c r="B1023" s="359"/>
      <c r="C1023" s="361" t="s">
        <v>15</v>
      </c>
      <c r="D1023" s="58" t="s">
        <v>7</v>
      </c>
      <c r="E1023" s="164" t="str">
        <f>A1011&amp;"/"&amp;B1019&amp;"/"&amp;C1023&amp;"/"&amp;D1023</f>
        <v>Lignite fired power plants/Supercritical steam turbine/Electricity only with CCS/L</v>
      </c>
      <c r="F1023" s="78" t="str">
        <f>A1011</f>
        <v>Lignite fired power plants</v>
      </c>
      <c r="G1023" s="78" t="str">
        <f>B1019</f>
        <v>Supercritical steam turbine</v>
      </c>
      <c r="H1023" s="78" t="str">
        <f>C1023</f>
        <v>Electricity only with CCS</v>
      </c>
      <c r="I1023" s="165" t="str">
        <f t="shared" si="93"/>
        <v>L</v>
      </c>
      <c r="J1023" s="95" t="s">
        <v>112</v>
      </c>
      <c r="K1023" s="95" t="s">
        <v>112</v>
      </c>
      <c r="L1023" s="95" t="s">
        <v>112</v>
      </c>
      <c r="M1023" s="95" t="s">
        <v>112</v>
      </c>
      <c r="N1023" s="95" t="s">
        <v>112</v>
      </c>
      <c r="O1023" s="95" t="s">
        <v>112</v>
      </c>
      <c r="P1023" s="95" t="s">
        <v>112</v>
      </c>
      <c r="Q1023" s="95" t="s">
        <v>112</v>
      </c>
      <c r="R1023" s="95" t="s">
        <v>112</v>
      </c>
      <c r="S1023" s="95" t="s">
        <v>112</v>
      </c>
      <c r="T1023" s="95" t="s">
        <v>112</v>
      </c>
      <c r="U1023" s="95" t="s">
        <v>112</v>
      </c>
      <c r="V1023" s="95" t="s">
        <v>112</v>
      </c>
      <c r="W1023" s="95" t="s">
        <v>112</v>
      </c>
      <c r="X1023" s="95" t="s">
        <v>112</v>
      </c>
      <c r="Y1023" s="95" t="s">
        <v>112</v>
      </c>
      <c r="Z1023" s="95" t="s">
        <v>112</v>
      </c>
      <c r="AA1023" s="95" t="s">
        <v>112</v>
      </c>
      <c r="AB1023" s="95" t="s">
        <v>112</v>
      </c>
      <c r="AC1023" s="95" t="s">
        <v>112</v>
      </c>
      <c r="AD1023" s="95" t="s">
        <v>112</v>
      </c>
      <c r="AE1023" s="95">
        <v>3536.6709180597218</v>
      </c>
      <c r="AF1023" s="95">
        <v>3535.1704661274603</v>
      </c>
      <c r="AG1023" s="95">
        <v>3533.3434283987508</v>
      </c>
      <c r="AH1023" s="95">
        <v>3531.1202203117928</v>
      </c>
      <c r="AI1023" s="95">
        <v>3528.4171570070071</v>
      </c>
      <c r="AJ1023" s="95">
        <v>3525.1339472305617</v>
      </c>
      <c r="AK1023" s="95">
        <v>3521.15091416424</v>
      </c>
      <c r="AL1023" s="95">
        <v>3516.3260048937977</v>
      </c>
      <c r="AM1023" s="95">
        <v>3510.4917115257408</v>
      </c>
      <c r="AN1023" s="95">
        <v>3503.4521162153669</v>
      </c>
      <c r="AO1023" s="95">
        <v>3494.9803967283169</v>
      </c>
      <c r="AP1023" s="95">
        <v>3484.8172942121901</v>
      </c>
      <c r="AQ1023" s="95">
        <v>3472.6712511547548</v>
      </c>
      <c r="AR1023" s="95">
        <v>3458.2211647214535</v>
      </c>
      <c r="AS1023" s="95">
        <v>3441.1229389066239</v>
      </c>
      <c r="AT1023" s="95">
        <v>3421.021197717087</v>
      </c>
      <c r="AU1023" s="95">
        <v>3397.5675391976433</v>
      </c>
      <c r="AV1023" s="95">
        <v>3370.4464199122094</v>
      </c>
      <c r="AW1023" s="95">
        <v>3339.4089854879476</v>
      </c>
      <c r="AX1023" s="96">
        <v>3304.3137500000003</v>
      </c>
    </row>
    <row r="1024" spans="1:50" x14ac:dyDescent="0.25">
      <c r="A1024" s="356"/>
      <c r="B1024" s="359"/>
      <c r="C1024" s="360"/>
      <c r="D1024" s="59" t="s">
        <v>8</v>
      </c>
      <c r="E1024" s="166" t="str">
        <f>A1011&amp;"/"&amp;B1019&amp;"/"&amp;C1023&amp;"/"&amp;D1024</f>
        <v>Lignite fired power plants/Supercritical steam turbine/Electricity only with CCS/M</v>
      </c>
      <c r="F1024" s="79" t="str">
        <f>A1011</f>
        <v>Lignite fired power plants</v>
      </c>
      <c r="G1024" s="79" t="str">
        <f>B1019</f>
        <v>Supercritical steam turbine</v>
      </c>
      <c r="H1024" s="79" t="str">
        <f>C1023</f>
        <v>Electricity only with CCS</v>
      </c>
      <c r="I1024" s="167" t="str">
        <f t="shared" si="93"/>
        <v>M</v>
      </c>
      <c r="J1024" s="97" t="s">
        <v>112</v>
      </c>
      <c r="K1024" s="97" t="s">
        <v>112</v>
      </c>
      <c r="L1024" s="97" t="s">
        <v>112</v>
      </c>
      <c r="M1024" s="97" t="s">
        <v>112</v>
      </c>
      <c r="N1024" s="97" t="s">
        <v>112</v>
      </c>
      <c r="O1024" s="97" t="s">
        <v>112</v>
      </c>
      <c r="P1024" s="97" t="s">
        <v>112</v>
      </c>
      <c r="Q1024" s="97" t="s">
        <v>112</v>
      </c>
      <c r="R1024" s="97" t="s">
        <v>112</v>
      </c>
      <c r="S1024" s="97" t="s">
        <v>112</v>
      </c>
      <c r="T1024" s="97" t="s">
        <v>112</v>
      </c>
      <c r="U1024" s="97" t="s">
        <v>112</v>
      </c>
      <c r="V1024" s="97" t="s">
        <v>112</v>
      </c>
      <c r="W1024" s="97" t="s">
        <v>112</v>
      </c>
      <c r="X1024" s="97" t="s">
        <v>112</v>
      </c>
      <c r="Y1024" s="97" t="s">
        <v>112</v>
      </c>
      <c r="Z1024" s="97" t="s">
        <v>112</v>
      </c>
      <c r="AA1024" s="97" t="s">
        <v>112</v>
      </c>
      <c r="AB1024" s="97" t="s">
        <v>112</v>
      </c>
      <c r="AC1024" s="97" t="s">
        <v>112</v>
      </c>
      <c r="AD1024" s="97" t="s">
        <v>112</v>
      </c>
      <c r="AE1024" s="97">
        <v>3792.1198633338977</v>
      </c>
      <c r="AF1024" s="97">
        <v>3791.2265131846198</v>
      </c>
      <c r="AG1024" s="97">
        <v>3790.081231197591</v>
      </c>
      <c r="AH1024" s="97">
        <v>3788.6136238762128</v>
      </c>
      <c r="AI1024" s="97">
        <v>3786.7340492218482</v>
      </c>
      <c r="AJ1024" s="97">
        <v>3784.3286236263439</v>
      </c>
      <c r="AK1024" s="97">
        <v>3781.253107778105</v>
      </c>
      <c r="AL1024" s="97">
        <v>3777.3255348007369</v>
      </c>
      <c r="AM1024" s="97">
        <v>3772.3175108266232</v>
      </c>
      <c r="AN1024" s="97">
        <v>3765.944260331984</v>
      </c>
      <c r="AO1024" s="97">
        <v>3757.8537509304642</v>
      </c>
      <c r="AP1024" s="97">
        <v>3747.6156763147792</v>
      </c>
      <c r="AQ1024" s="97">
        <v>3734.7117760916517</v>
      </c>
      <c r="AR1024" s="97">
        <v>3718.5299991330203</v>
      </c>
      <c r="AS1024" s="97">
        <v>3698.3664011604133</v>
      </c>
      <c r="AT1024" s="97">
        <v>3673.4403103362451</v>
      </c>
      <c r="AU1024" s="97">
        <v>3642.9298368021955</v>
      </c>
      <c r="AV1024" s="97">
        <v>3606.0354434524374</v>
      </c>
      <c r="AW1024" s="97">
        <v>3562.0776663079459</v>
      </c>
      <c r="AX1024" s="98">
        <v>3510.6293750000004</v>
      </c>
    </row>
    <row r="1025" spans="1:50" x14ac:dyDescent="0.25">
      <c r="A1025" s="356"/>
      <c r="B1025" s="359"/>
      <c r="C1025" s="361" t="s">
        <v>16</v>
      </c>
      <c r="D1025" s="2" t="s">
        <v>7</v>
      </c>
      <c r="E1025" s="160" t="str">
        <f>A1011&amp;"/"&amp;B1019&amp;"/"&amp;C1025&amp;"/"&amp;D1025</f>
        <v>Lignite fired power plants/Supercritical steam turbine/CHP with CCS/L</v>
      </c>
      <c r="F1025" s="76" t="str">
        <f>A1011</f>
        <v>Lignite fired power plants</v>
      </c>
      <c r="G1025" s="76" t="str">
        <f>B1019</f>
        <v>Supercritical steam turbine</v>
      </c>
      <c r="H1025" s="76" t="str">
        <f>C1025</f>
        <v>CHP with CCS</v>
      </c>
      <c r="I1025" s="161" t="str">
        <f t="shared" si="93"/>
        <v>L</v>
      </c>
      <c r="J1025" s="91" t="s">
        <v>112</v>
      </c>
      <c r="K1025" s="91" t="s">
        <v>112</v>
      </c>
      <c r="L1025" s="91" t="s">
        <v>112</v>
      </c>
      <c r="M1025" s="91" t="s">
        <v>112</v>
      </c>
      <c r="N1025" s="91" t="s">
        <v>112</v>
      </c>
      <c r="O1025" s="91" t="s">
        <v>112</v>
      </c>
      <c r="P1025" s="91" t="s">
        <v>112</v>
      </c>
      <c r="Q1025" s="91" t="s">
        <v>112</v>
      </c>
      <c r="R1025" s="91" t="s">
        <v>112</v>
      </c>
      <c r="S1025" s="91" t="s">
        <v>112</v>
      </c>
      <c r="T1025" s="91" t="s">
        <v>112</v>
      </c>
      <c r="U1025" s="91" t="s">
        <v>112</v>
      </c>
      <c r="V1025" s="91" t="s">
        <v>112</v>
      </c>
      <c r="W1025" s="91" t="s">
        <v>112</v>
      </c>
      <c r="X1025" s="91" t="s">
        <v>112</v>
      </c>
      <c r="Y1025" s="91" t="s">
        <v>112</v>
      </c>
      <c r="Z1025" s="91" t="s">
        <v>112</v>
      </c>
      <c r="AA1025" s="91" t="s">
        <v>112</v>
      </c>
      <c r="AB1025" s="91" t="s">
        <v>112</v>
      </c>
      <c r="AC1025" s="91" t="s">
        <v>112</v>
      </c>
      <c r="AD1025" s="91" t="s">
        <v>112</v>
      </c>
      <c r="AE1025" s="91">
        <v>3932.1747238554663</v>
      </c>
      <c r="AF1025" s="91">
        <v>3930.7849656279104</v>
      </c>
      <c r="AG1025" s="91">
        <v>3929.0927150059924</v>
      </c>
      <c r="AH1025" s="91">
        <v>3927.0335209298701</v>
      </c>
      <c r="AI1025" s="91">
        <v>3924.5298722713178</v>
      </c>
      <c r="AJ1025" s="91">
        <v>3921.4888766209415</v>
      </c>
      <c r="AK1025" s="91">
        <v>3917.799686147373</v>
      </c>
      <c r="AL1025" s="91">
        <v>3913.3307276878372</v>
      </c>
      <c r="AM1025" s="91">
        <v>3907.9268510051575</v>
      </c>
      <c r="AN1025" s="91">
        <v>3901.4065918146425</v>
      </c>
      <c r="AO1025" s="91">
        <v>3893.5598613692855</v>
      </c>
      <c r="AP1025" s="91">
        <v>3884.1465272693449</v>
      </c>
      <c r="AQ1025" s="91">
        <v>3872.8965412428861</v>
      </c>
      <c r="AR1025" s="91">
        <v>3859.5124893597299</v>
      </c>
      <c r="AS1025" s="91">
        <v>3843.6756608070496</v>
      </c>
      <c r="AT1025" s="91">
        <v>3825.0568969495193</v>
      </c>
      <c r="AU1025" s="91">
        <v>3803.3334986900704</v>
      </c>
      <c r="AV1025" s="91">
        <v>3778.2132013602923</v>
      </c>
      <c r="AW1025" s="91">
        <v>3749.4655094643431</v>
      </c>
      <c r="AX1025" s="92">
        <v>3716.9593749999999</v>
      </c>
    </row>
    <row r="1026" spans="1:50" x14ac:dyDescent="0.25">
      <c r="A1026" s="356"/>
      <c r="B1026" s="362"/>
      <c r="C1026" s="354"/>
      <c r="D1026" s="4" t="s">
        <v>8</v>
      </c>
      <c r="E1026" s="168" t="str">
        <f>A1011&amp;"/"&amp;B1019&amp;"/"&amp;C1025&amp;"/"&amp;D1026</f>
        <v>Lignite fired power plants/Supercritical steam turbine/CHP with CCS/M</v>
      </c>
      <c r="F1026" s="80" t="str">
        <f>A1011</f>
        <v>Lignite fired power plants</v>
      </c>
      <c r="G1026" s="80" t="str">
        <f>B1019</f>
        <v>Supercritical steam turbine</v>
      </c>
      <c r="H1026" s="80" t="str">
        <f>C1025</f>
        <v>CHP with CCS</v>
      </c>
      <c r="I1026" s="169" t="str">
        <f t="shared" si="93"/>
        <v>M</v>
      </c>
      <c r="J1026" s="99" t="s">
        <v>112</v>
      </c>
      <c r="K1026" s="99" t="s">
        <v>112</v>
      </c>
      <c r="L1026" s="99" t="s">
        <v>112</v>
      </c>
      <c r="M1026" s="99" t="s">
        <v>112</v>
      </c>
      <c r="N1026" s="99" t="s">
        <v>112</v>
      </c>
      <c r="O1026" s="99" t="s">
        <v>112</v>
      </c>
      <c r="P1026" s="99" t="s">
        <v>112</v>
      </c>
      <c r="Q1026" s="99" t="s">
        <v>112</v>
      </c>
      <c r="R1026" s="99" t="s">
        <v>112</v>
      </c>
      <c r="S1026" s="99" t="s">
        <v>112</v>
      </c>
      <c r="T1026" s="99" t="s">
        <v>112</v>
      </c>
      <c r="U1026" s="99" t="s">
        <v>112</v>
      </c>
      <c r="V1026" s="99" t="s">
        <v>112</v>
      </c>
      <c r="W1026" s="99" t="s">
        <v>112</v>
      </c>
      <c r="X1026" s="99" t="s">
        <v>112</v>
      </c>
      <c r="Y1026" s="99" t="s">
        <v>112</v>
      </c>
      <c r="Z1026" s="99" t="s">
        <v>112</v>
      </c>
      <c r="AA1026" s="99" t="s">
        <v>112</v>
      </c>
      <c r="AB1026" s="99" t="s">
        <v>112</v>
      </c>
      <c r="AC1026" s="99" t="s">
        <v>112</v>
      </c>
      <c r="AD1026" s="99" t="s">
        <v>112</v>
      </c>
      <c r="AE1026" s="99">
        <v>4207.3582168448766</v>
      </c>
      <c r="AF1026" s="99">
        <v>4206.5323544678085</v>
      </c>
      <c r="AG1026" s="99">
        <v>4205.4735923407916</v>
      </c>
      <c r="AH1026" s="99">
        <v>4204.1168548151809</v>
      </c>
      <c r="AI1026" s="99">
        <v>4202.3792718605182</v>
      </c>
      <c r="AJ1026" s="99">
        <v>4200.1555631593237</v>
      </c>
      <c r="AK1026" s="99">
        <v>4197.3123858998933</v>
      </c>
      <c r="AL1026" s="99">
        <v>4193.6815198191989</v>
      </c>
      <c r="AM1026" s="99">
        <v>4189.0518249710849</v>
      </c>
      <c r="AN1026" s="99">
        <v>4183.1600390824206</v>
      </c>
      <c r="AO1026" s="99">
        <v>4175.6807239097216</v>
      </c>
      <c r="AP1026" s="99">
        <v>4166.2160804599589</v>
      </c>
      <c r="AQ1026" s="99">
        <v>4154.2870001096271</v>
      </c>
      <c r="AR1026" s="99">
        <v>4139.3276688831893</v>
      </c>
      <c r="AS1026" s="99">
        <v>4120.6873216852227</v>
      </c>
      <c r="AT1026" s="99">
        <v>4097.6442622133081</v>
      </c>
      <c r="AU1026" s="99">
        <v>4069.4386899428373</v>
      </c>
      <c r="AV1026" s="99">
        <v>4035.3314684721377</v>
      </c>
      <c r="AW1026" s="99">
        <v>3994.6944636510061</v>
      </c>
      <c r="AX1026" s="100">
        <v>3947.1328125</v>
      </c>
    </row>
    <row r="1027" spans="1:50" x14ac:dyDescent="0.25">
      <c r="A1027" s="356"/>
      <c r="B1027" s="358" t="s">
        <v>18</v>
      </c>
      <c r="C1027" s="353" t="s">
        <v>6</v>
      </c>
      <c r="D1027" s="3" t="s">
        <v>7</v>
      </c>
      <c r="E1027" s="162" t="str">
        <f>A1011&amp;"/"&amp;B1027&amp;"/"&amp;C1027&amp;"/"&amp;D1027</f>
        <v>Lignite fired power plants/Fluidized bed combustion/Electricity only/L</v>
      </c>
      <c r="F1027" s="77" t="str">
        <f>A1011</f>
        <v>Lignite fired power plants</v>
      </c>
      <c r="G1027" s="77" t="str">
        <f>B1027</f>
        <v>Fluidized bed combustion</v>
      </c>
      <c r="H1027" s="77" t="str">
        <f>C1027</f>
        <v>Electricity only</v>
      </c>
      <c r="I1027" s="163" t="str">
        <f t="shared" si="93"/>
        <v>L</v>
      </c>
      <c r="J1027" s="93">
        <v>1930</v>
      </c>
      <c r="K1027" s="93">
        <v>1929.9224185801581</v>
      </c>
      <c r="L1027" s="93">
        <v>1929.8276933216712</v>
      </c>
      <c r="M1027" s="93">
        <v>1929.7120446888259</v>
      </c>
      <c r="N1027" s="93">
        <v>1929.5708642728691</v>
      </c>
      <c r="O1027" s="93">
        <v>1929.3985351592823</v>
      </c>
      <c r="P1027" s="93">
        <v>1929.1882144196998</v>
      </c>
      <c r="Q1027" s="93">
        <v>1928.9315702641422</v>
      </c>
      <c r="R1027" s="93">
        <v>1928.6184651808146</v>
      </c>
      <c r="S1027" s="93">
        <v>1928.2365751258328</v>
      </c>
      <c r="T1027" s="93">
        <v>1927.7709335894476</v>
      </c>
      <c r="U1027" s="93">
        <v>1927.2033883063368</v>
      </c>
      <c r="V1027" s="93">
        <v>1926.5119577369471</v>
      </c>
      <c r="W1027" s="93">
        <v>1925.6700746041142</v>
      </c>
      <c r="X1027" s="93">
        <v>1924.6457053018576</v>
      </c>
      <c r="Y1027" s="93">
        <v>1923.4003377565807</v>
      </c>
      <c r="Z1027" s="93">
        <v>1921.8878375470392</v>
      </c>
      <c r="AA1027" s="93">
        <v>1920.0531845018959</v>
      </c>
      <c r="AB1027" s="93">
        <v>1917.8311219202176</v>
      </c>
      <c r="AC1027" s="93">
        <v>1915.1447810044942</v>
      </c>
      <c r="AD1027" s="93">
        <v>1911.9043876895255</v>
      </c>
      <c r="AE1027" s="93">
        <v>1908.0062217441471</v>
      </c>
      <c r="AF1027" s="93">
        <v>1903.3320822803494</v>
      </c>
      <c r="AG1027" s="93">
        <v>1897.7496209548881</v>
      </c>
      <c r="AH1027" s="93">
        <v>1891.1140304445989</v>
      </c>
      <c r="AI1027" s="93">
        <v>1883.2717077184498</v>
      </c>
      <c r="AJ1027" s="93">
        <v>1874.0666194349706</v>
      </c>
      <c r="AK1027" s="93">
        <v>1863.35012687574</v>
      </c>
      <c r="AL1027" s="93">
        <v>1850.9948972189582</v>
      </c>
      <c r="AM1027" s="93">
        <v>1836.9131270967312</v>
      </c>
      <c r="AN1027" s="93">
        <v>1821.0785188009993</v>
      </c>
      <c r="AO1027" s="93">
        <v>1803.5502130765808</v>
      </c>
      <c r="AP1027" s="93">
        <v>1784.4952683436354</v>
      </c>
      <c r="AQ1027" s="93">
        <v>1764.2046082852676</v>
      </c>
      <c r="AR1027" s="93">
        <v>1743.0962826393561</v>
      </c>
      <c r="AS1027" s="93">
        <v>1721.7002843905259</v>
      </c>
      <c r="AT1027" s="93">
        <v>1700.6218260776313</v>
      </c>
      <c r="AU1027" s="93">
        <v>1680.4850057811379</v>
      </c>
      <c r="AV1027" s="93">
        <v>1661.8650738244626</v>
      </c>
      <c r="AW1027" s="93">
        <v>1645.2226997927814</v>
      </c>
      <c r="AX1027" s="94">
        <v>1630.8550740777387</v>
      </c>
    </row>
    <row r="1028" spans="1:50" x14ac:dyDescent="0.25">
      <c r="A1028" s="356"/>
      <c r="B1028" s="359"/>
      <c r="C1028" s="350"/>
      <c r="D1028" s="2" t="s">
        <v>8</v>
      </c>
      <c r="E1028" s="160" t="str">
        <f>A1011&amp;"/"&amp;B1027&amp;"/"&amp;C1027&amp;"/"&amp;D1028</f>
        <v>Lignite fired power plants/Fluidized bed combustion/Electricity only/M</v>
      </c>
      <c r="F1028" s="76" t="str">
        <f>A1011</f>
        <v>Lignite fired power plants</v>
      </c>
      <c r="G1028" s="76" t="str">
        <f>B1027</f>
        <v>Fluidized bed combustion</v>
      </c>
      <c r="H1028" s="76" t="str">
        <f>C1027</f>
        <v>Electricity only</v>
      </c>
      <c r="I1028" s="161" t="str">
        <f t="shared" si="93"/>
        <v>M</v>
      </c>
      <c r="J1028" s="91">
        <v>2094.0499999999997</v>
      </c>
      <c r="K1028" s="91">
        <v>2093.8818644941048</v>
      </c>
      <c r="L1028" s="91">
        <v>2093.6817014212043</v>
      </c>
      <c r="M1028" s="91">
        <v>2093.4434389841126</v>
      </c>
      <c r="N1028" s="91">
        <v>2093.1598664218081</v>
      </c>
      <c r="O1028" s="91">
        <v>2092.8224254301394</v>
      </c>
      <c r="P1028" s="91">
        <v>2092.4209655121103</v>
      </c>
      <c r="Q1028" s="91">
        <v>2091.9434579231724</v>
      </c>
      <c r="R1028" s="91">
        <v>2091.3756624869402</v>
      </c>
      <c r="S1028" s="91">
        <v>2090.7007413392871</v>
      </c>
      <c r="T1028" s="91">
        <v>2089.8988137390161</v>
      </c>
      <c r="U1028" s="91">
        <v>2088.9464466416125</v>
      </c>
      <c r="V1028" s="91">
        <v>2087.8160770230429</v>
      </c>
      <c r="W1028" s="91">
        <v>2086.4753643141498</v>
      </c>
      <c r="X1028" s="91">
        <v>2084.8864752365821</v>
      </c>
      <c r="Y1028" s="91">
        <v>2083.0053094419727</v>
      </c>
      <c r="Z1028" s="91">
        <v>2080.7806834431603</v>
      </c>
      <c r="AA1028" s="91">
        <v>2078.1535033650325</v>
      </c>
      <c r="AB1028" s="91">
        <v>2075.0559751623873</v>
      </c>
      <c r="AC1028" s="91">
        <v>2071.4109253470642</v>
      </c>
      <c r="AD1028" s="91">
        <v>2067.1313369986397</v>
      </c>
      <c r="AE1028" s="91">
        <v>2062.1202454641984</v>
      </c>
      <c r="AF1028" s="91">
        <v>2056.2711851276385</v>
      </c>
      <c r="AG1028" s="91">
        <v>2049.4694303259616</v>
      </c>
      <c r="AH1028" s="91">
        <v>2041.5943238945822</v>
      </c>
      <c r="AI1028" s="91">
        <v>2032.5230248818903</v>
      </c>
      <c r="AJ1028" s="91">
        <v>2022.1360149131485</v>
      </c>
      <c r="AK1028" s="91">
        <v>2010.3246549952219</v>
      </c>
      <c r="AL1028" s="91">
        <v>1997.0009489006202</v>
      </c>
      <c r="AM1028" s="91">
        <v>1982.1094112446399</v>
      </c>
      <c r="AN1028" s="91">
        <v>1965.6405323099723</v>
      </c>
      <c r="AO1028" s="91">
        <v>1947.6447789700869</v>
      </c>
      <c r="AP1028" s="91">
        <v>1928.2454244864277</v>
      </c>
      <c r="AQ1028" s="91">
        <v>1907.6478867282503</v>
      </c>
      <c r="AR1028" s="91">
        <v>1886.1428829455792</v>
      </c>
      <c r="AS1028" s="91">
        <v>1864.1008392180397</v>
      </c>
      <c r="AT1028" s="91">
        <v>1841.9558520210542</v>
      </c>
      <c r="AU1028" s="91">
        <v>1820.1791558182176</v>
      </c>
      <c r="AV1028" s="91">
        <v>1799.24428524614</v>
      </c>
      <c r="AW1028" s="91">
        <v>1779.5883862263997</v>
      </c>
      <c r="AX1028" s="92">
        <v>1761.5756741684795</v>
      </c>
    </row>
    <row r="1029" spans="1:50" x14ac:dyDescent="0.25">
      <c r="A1029" s="356"/>
      <c r="B1029" s="359"/>
      <c r="C1029" s="360"/>
      <c r="D1029" s="2" t="s">
        <v>10</v>
      </c>
      <c r="E1029" s="160" t="str">
        <f>A1011&amp;"/"&amp;B1027&amp;"/"&amp;C1027&amp;"/"&amp;D1029</f>
        <v>Lignite fired power plants/Fluidized bed combustion/Electricity only/S</v>
      </c>
      <c r="F1029" s="76" t="str">
        <f>A1011</f>
        <v>Lignite fired power plants</v>
      </c>
      <c r="G1029" s="76" t="str">
        <f>B1027</f>
        <v>Fluidized bed combustion</v>
      </c>
      <c r="H1029" s="76" t="str">
        <f>C1027</f>
        <v>Electricity only</v>
      </c>
      <c r="I1029" s="161" t="str">
        <f t="shared" si="93"/>
        <v>S</v>
      </c>
      <c r="J1029" s="91">
        <v>2376.7467499999998</v>
      </c>
      <c r="K1029" s="91">
        <v>2376.321318444157</v>
      </c>
      <c r="L1029" s="91">
        <v>2375.8276675274838</v>
      </c>
      <c r="M1029" s="91">
        <v>2375.2549759064632</v>
      </c>
      <c r="N1029" s="91">
        <v>2374.5907466846065</v>
      </c>
      <c r="O1029" s="91">
        <v>2373.8205622502874</v>
      </c>
      <c r="P1029" s="91">
        <v>2372.9278082614333</v>
      </c>
      <c r="Q1029" s="91">
        <v>2371.8933647182166</v>
      </c>
      <c r="R1029" s="91">
        <v>2370.6952626741795</v>
      </c>
      <c r="S1029" s="91">
        <v>2369.3083061281468</v>
      </c>
      <c r="T1029" s="91">
        <v>2367.7036601507698</v>
      </c>
      <c r="U1029" s="91">
        <v>2365.8484085032701</v>
      </c>
      <c r="V1029" s="91">
        <v>2363.705087115075</v>
      </c>
      <c r="W1029" s="91">
        <v>2361.2312040566007</v>
      </c>
      <c r="X1029" s="91">
        <v>2358.3787623677781</v>
      </c>
      <c r="Y1029" s="91">
        <v>2355.0938096030445</v>
      </c>
      <c r="Z1029" s="91">
        <v>2351.3160475504501</v>
      </c>
      <c r="AA1029" s="91">
        <v>2346.978547547616</v>
      </c>
      <c r="AB1029" s="91">
        <v>2342.0076312895139</v>
      </c>
      <c r="AC1029" s="91">
        <v>2336.3229938813784</v>
      </c>
      <c r="AD1029" s="91">
        <v>2329.8381645680693</v>
      </c>
      <c r="AE1029" s="91">
        <v>2322.4614198060717</v>
      </c>
      <c r="AF1029" s="91">
        <v>2314.0972808625124</v>
      </c>
      <c r="AG1029" s="91">
        <v>2304.6487402918819</v>
      </c>
      <c r="AH1029" s="91">
        <v>2294.0203631378108</v>
      </c>
      <c r="AI1029" s="91">
        <v>2282.1223923722846</v>
      </c>
      <c r="AJ1029" s="91">
        <v>2268.8759451208989</v>
      </c>
      <c r="AK1029" s="91">
        <v>2254.2193070713984</v>
      </c>
      <c r="AL1029" s="91">
        <v>2238.1152086870516</v>
      </c>
      <c r="AM1029" s="91">
        <v>2220.5587943071773</v>
      </c>
      <c r="AN1029" s="91">
        <v>2201.5857785531307</v>
      </c>
      <c r="AO1029" s="91">
        <v>2181.2800422999421</v>
      </c>
      <c r="AP1029" s="91">
        <v>2159.7796899027453</v>
      </c>
      <c r="AQ1029" s="91">
        <v>2137.2804270613974</v>
      </c>
      <c r="AR1029" s="91">
        <v>2114.0350955162799</v>
      </c>
      <c r="AS1029" s="91">
        <v>2090.3483869764887</v>
      </c>
      <c r="AT1029" s="91">
        <v>2066.5661998443393</v>
      </c>
      <c r="AU1029" s="91">
        <v>2043.0597905109535</v>
      </c>
      <c r="AV1029" s="91">
        <v>2020.2057223264426</v>
      </c>
      <c r="AW1029" s="91">
        <v>1998.3634676805652</v>
      </c>
      <c r="AX1029" s="92">
        <v>1977.8531609994882</v>
      </c>
    </row>
    <row r="1030" spans="1:50" x14ac:dyDescent="0.25">
      <c r="A1030" s="356"/>
      <c r="B1030" s="359"/>
      <c r="C1030" s="361" t="s">
        <v>14</v>
      </c>
      <c r="D1030" s="58" t="s">
        <v>7</v>
      </c>
      <c r="E1030" s="164" t="str">
        <f>A1011&amp;"/"&amp;B1027&amp;"/"&amp;C1030&amp;"/"&amp;D1030</f>
        <v>Lignite fired power plants/Fluidized bed combustion/CHP/L</v>
      </c>
      <c r="F1030" s="78" t="str">
        <f>A1011</f>
        <v>Lignite fired power plants</v>
      </c>
      <c r="G1030" s="78" t="str">
        <f>B1027</f>
        <v>Fluidized bed combustion</v>
      </c>
      <c r="H1030" s="78" t="str">
        <f>C1030</f>
        <v>CHP</v>
      </c>
      <c r="I1030" s="165" t="str">
        <f t="shared" si="93"/>
        <v>L</v>
      </c>
      <c r="J1030" s="95">
        <v>2260</v>
      </c>
      <c r="K1030" s="95">
        <v>2259.970282275347</v>
      </c>
      <c r="L1030" s="95">
        <v>2259.9339896028864</v>
      </c>
      <c r="M1030" s="95">
        <v>2259.8896685510508</v>
      </c>
      <c r="N1030" s="95">
        <v>2259.8355450148383</v>
      </c>
      <c r="O1030" s="95">
        <v>2259.7694537679813</v>
      </c>
      <c r="P1030" s="95">
        <v>2259.6887526876394</v>
      </c>
      <c r="Q1030" s="95">
        <v>2259.5902183902376</v>
      </c>
      <c r="R1030" s="95">
        <v>2259.4699193594938</v>
      </c>
      <c r="S1030" s="95">
        <v>2259.3230618759098</v>
      </c>
      <c r="T1030" s="95">
        <v>2259.143803160754</v>
      </c>
      <c r="U1030" s="95">
        <v>2258.9250251216667</v>
      </c>
      <c r="V1030" s="95">
        <v>2258.6580609354069</v>
      </c>
      <c r="W1030" s="95">
        <v>2258.332365446247</v>
      </c>
      <c r="X1030" s="95">
        <v>2257.9351190427692</v>
      </c>
      <c r="Y1030" s="95">
        <v>2257.4507533903366</v>
      </c>
      <c r="Z1030" s="95">
        <v>2256.8603862949235</v>
      </c>
      <c r="AA1030" s="95">
        <v>2256.1411523076504</v>
      </c>
      <c r="AB1030" s="95">
        <v>2255.2654158429173</v>
      </c>
      <c r="AC1030" s="95">
        <v>2254.199855177364</v>
      </c>
      <c r="AD1030" s="95">
        <v>2252.9044096115117</v>
      </c>
      <c r="AE1030" s="95">
        <v>2251.3310895926688</v>
      </c>
      <c r="AF1030" s="95">
        <v>2249.4226625092574</v>
      </c>
      <c r="AG1030" s="95">
        <v>2247.111247594521</v>
      </c>
      <c r="AH1030" s="95">
        <v>2244.3168850460193</v>
      </c>
      <c r="AI1030" s="95">
        <v>2240.9461908542412</v>
      </c>
      <c r="AJ1030" s="95">
        <v>2236.8912740483165</v>
      </c>
      <c r="AK1030" s="95">
        <v>2232.0291807124845</v>
      </c>
      <c r="AL1030" s="95">
        <v>2226.222240586224</v>
      </c>
      <c r="AM1030" s="95">
        <v>2219.3198234355878</v>
      </c>
      <c r="AN1030" s="95">
        <v>2211.1621496306916</v>
      </c>
      <c r="AO1030" s="95">
        <v>2201.5869115049381</v>
      </c>
      <c r="AP1030" s="95">
        <v>2190.4394933632057</v>
      </c>
      <c r="AQ1030" s="95">
        <v>2177.5874421477502</v>
      </c>
      <c r="AR1030" s="95">
        <v>2162.939423790941</v>
      </c>
      <c r="AS1030" s="95">
        <v>2146.4680831160458</v>
      </c>
      <c r="AT1030" s="95">
        <v>2128.2349390023119</v>
      </c>
      <c r="AU1030" s="95">
        <v>2108.4137675293023</v>
      </c>
      <c r="AV1030" s="95">
        <v>2087.3071908399406</v>
      </c>
      <c r="AW1030" s="95">
        <v>2065.3500690534706</v>
      </c>
      <c r="AX1030" s="96">
        <v>2043.093706934874</v>
      </c>
    </row>
    <row r="1031" spans="1:50" x14ac:dyDescent="0.25">
      <c r="A1031" s="356"/>
      <c r="B1031" s="359"/>
      <c r="C1031" s="350"/>
      <c r="D1031" s="2" t="s">
        <v>8</v>
      </c>
      <c r="E1031" s="160" t="str">
        <f>A1011&amp;"/"&amp;B1027&amp;"/"&amp;C1030&amp;"/"&amp;D1031</f>
        <v>Lignite fired power plants/Fluidized bed combustion/CHP/M</v>
      </c>
      <c r="F1031" s="76" t="str">
        <f>A1011</f>
        <v>Lignite fired power plants</v>
      </c>
      <c r="G1031" s="76" t="str">
        <f>B1027</f>
        <v>Fluidized bed combustion</v>
      </c>
      <c r="H1031" s="76" t="str">
        <f>C1030</f>
        <v>CHP</v>
      </c>
      <c r="I1031" s="161" t="str">
        <f t="shared" ref="I1031:I1094" si="94">D1031</f>
        <v>M</v>
      </c>
      <c r="J1031" s="91">
        <v>2424.0499999999997</v>
      </c>
      <c r="K1031" s="91">
        <v>2423.9769261720085</v>
      </c>
      <c r="L1031" s="91">
        <v>2423.8899004087616</v>
      </c>
      <c r="M1031" s="91">
        <v>2423.7862641475626</v>
      </c>
      <c r="N1031" s="91">
        <v>2423.662854438639</v>
      </c>
      <c r="O1031" s="91">
        <v>2423.5159091755208</v>
      </c>
      <c r="P1031" s="91">
        <v>2423.340954906233</v>
      </c>
      <c r="Q1031" s="91">
        <v>2423.1326741866342</v>
      </c>
      <c r="R1031" s="91">
        <v>2422.8847489767963</v>
      </c>
      <c r="S1031" s="91">
        <v>2422.5896760820847</v>
      </c>
      <c r="T1031" s="91">
        <v>2422.2385501149006</v>
      </c>
      <c r="U1031" s="91">
        <v>2421.8208089231548</v>
      </c>
      <c r="V1031" s="91">
        <v>2421.3239359345639</v>
      </c>
      <c r="W1031" s="91">
        <v>2420.7331134600217</v>
      </c>
      <c r="X1031" s="91">
        <v>2420.0308207730222</v>
      </c>
      <c r="Y1031" s="91">
        <v>2419.1963708656049</v>
      </c>
      <c r="Z1031" s="91">
        <v>2418.2053803622389</v>
      </c>
      <c r="AA1031" s="91">
        <v>2417.0291684158683</v>
      </c>
      <c r="AB1031" s="91">
        <v>2415.6340828801781</v>
      </c>
      <c r="AC1031" s="91">
        <v>2413.9807561419234</v>
      </c>
      <c r="AD1031" s="91">
        <v>2412.023299355777</v>
      </c>
      <c r="AE1031" s="91">
        <v>2409.7084532797471</v>
      </c>
      <c r="AF1031" s="91">
        <v>2406.9747274767929</v>
      </c>
      <c r="AG1031" s="91">
        <v>2403.7515785029373</v>
      </c>
      <c r="AH1031" s="91">
        <v>2399.9587030863786</v>
      </c>
      <c r="AI1031" s="91">
        <v>2395.5055553210186</v>
      </c>
      <c r="AJ1031" s="91">
        <v>2390.291238136324</v>
      </c>
      <c r="AK1031" s="91">
        <v>2384.2049681854314</v>
      </c>
      <c r="AL1031" s="91">
        <v>2377.1273670870073</v>
      </c>
      <c r="AM1031" s="91">
        <v>2368.9328844050979</v>
      </c>
      <c r="AN1031" s="91">
        <v>2359.4936973528779</v>
      </c>
      <c r="AO1031" s="91">
        <v>2348.6854404680544</v>
      </c>
      <c r="AP1031" s="91">
        <v>2336.3950688850641</v>
      </c>
      <c r="AQ1031" s="91">
        <v>2322.5310176747817</v>
      </c>
      <c r="AR1031" s="91">
        <v>2307.0355512335036</v>
      </c>
      <c r="AS1031" s="91">
        <v>2289.8987741757537</v>
      </c>
      <c r="AT1031" s="91">
        <v>2271.173200067446</v>
      </c>
      <c r="AU1031" s="91">
        <v>2250.9871015376352</v>
      </c>
      <c r="AV1031" s="91">
        <v>2229.5542272114149</v>
      </c>
      <c r="AW1031" s="91">
        <v>2207.1770844252151</v>
      </c>
      <c r="AX1031" s="92">
        <v>2184.2411219499018</v>
      </c>
    </row>
    <row r="1032" spans="1:50" x14ac:dyDescent="0.25">
      <c r="A1032" s="356"/>
      <c r="B1032" s="359"/>
      <c r="C1032" s="360"/>
      <c r="D1032" s="59" t="s">
        <v>10</v>
      </c>
      <c r="E1032" s="166" t="str">
        <f>A1011&amp;"/"&amp;B1027&amp;"/"&amp;C1030&amp;"/"&amp;D1032</f>
        <v>Lignite fired power plants/Fluidized bed combustion/CHP/S</v>
      </c>
      <c r="F1032" s="79" t="str">
        <f>A1011</f>
        <v>Lignite fired power plants</v>
      </c>
      <c r="G1032" s="79" t="str">
        <f>B1027</f>
        <v>Fluidized bed combustion</v>
      </c>
      <c r="H1032" s="79" t="str">
        <f>C1030</f>
        <v>CHP</v>
      </c>
      <c r="I1032" s="167" t="str">
        <f t="shared" si="94"/>
        <v>S</v>
      </c>
      <c r="J1032" s="97">
        <v>2756.7467499999998</v>
      </c>
      <c r="K1032" s="97">
        <v>2756.5345310243542</v>
      </c>
      <c r="L1032" s="97">
        <v>2756.2881164661521</v>
      </c>
      <c r="M1032" s="97">
        <v>2756.0020241665493</v>
      </c>
      <c r="N1032" s="97">
        <v>2755.6699028111202</v>
      </c>
      <c r="O1032" s="97">
        <v>2755.2843975290339</v>
      </c>
      <c r="P1032" s="97">
        <v>2754.8369959000165</v>
      </c>
      <c r="Q1032" s="97">
        <v>2754.3178519360763</v>
      </c>
      <c r="R1032" s="97">
        <v>2753.715585459483</v>
      </c>
      <c r="S1032" s="97">
        <v>2753.0170542108763</v>
      </c>
      <c r="T1032" s="97">
        <v>2752.2070960264737</v>
      </c>
      <c r="U1032" s="97">
        <v>2751.2682385688181</v>
      </c>
      <c r="V1032" s="97">
        <v>2750.1803744458934</v>
      </c>
      <c r="W1032" s="97">
        <v>2748.920400194173</v>
      </c>
      <c r="X1032" s="97">
        <v>2747.4618186443354</v>
      </c>
      <c r="Y1032" s="97">
        <v>2745.7743057778953</v>
      </c>
      <c r="Z1032" s="97">
        <v>2743.8232455005641</v>
      </c>
      <c r="AA1032" s="97">
        <v>2741.5692390278045</v>
      </c>
      <c r="AB1032" s="97">
        <v>2738.9676000681202</v>
      </c>
      <c r="AC1032" s="97">
        <v>2735.9678530095653</v>
      </c>
      <c r="AD1032" s="97">
        <v>2732.513259202402</v>
      </c>
      <c r="AE1032" s="97">
        <v>2728.5404065233811</v>
      </c>
      <c r="AF1032" s="97">
        <v>2723.9789099900886</v>
      </c>
      <c r="AG1032" s="97">
        <v>2718.7512864134192</v>
      </c>
      <c r="AH1032" s="97">
        <v>2712.7730838051675</v>
      </c>
      <c r="AI1032" s="97">
        <v>2705.9533659003082</v>
      </c>
      <c r="AJ1032" s="97">
        <v>2698.1956723817266</v>
      </c>
      <c r="AK1032" s="97">
        <v>2689.399593818016</v>
      </c>
      <c r="AL1032" s="97">
        <v>2679.4631131195852</v>
      </c>
      <c r="AM1032" s="97">
        <v>2668.2858668922322</v>
      </c>
      <c r="AN1032" s="97">
        <v>2655.7734628888429</v>
      </c>
      <c r="AO1032" s="97">
        <v>2641.8429445773372</v>
      </c>
      <c r="AP1032" s="97">
        <v>2626.4294106041184</v>
      </c>
      <c r="AQ1032" s="97">
        <v>2609.4936667645793</v>
      </c>
      <c r="AR1032" s="97">
        <v>2591.0306066427311</v>
      </c>
      <c r="AS1032" s="97">
        <v>2571.0777892290971</v>
      </c>
      <c r="AT1032" s="97">
        <v>2549.7234271623875</v>
      </c>
      <c r="AU1032" s="97">
        <v>2527.1127567623184</v>
      </c>
      <c r="AV1032" s="97">
        <v>2503.4515903334109</v>
      </c>
      <c r="AW1032" s="97">
        <v>2479.0058268316229</v>
      </c>
      <c r="AX1032" s="98">
        <v>2454.095892810004</v>
      </c>
    </row>
    <row r="1033" spans="1:50" x14ac:dyDescent="0.25">
      <c r="A1033" s="356"/>
      <c r="B1033" s="359"/>
      <c r="C1033" s="361" t="s">
        <v>15</v>
      </c>
      <c r="D1033" s="58" t="s">
        <v>7</v>
      </c>
      <c r="E1033" s="164" t="str">
        <f>A1011&amp;"/"&amp;B1027&amp;"/"&amp;C1033&amp;"/"&amp;D1033</f>
        <v>Lignite fired power plants/Fluidized bed combustion/Electricity only with CCS/L</v>
      </c>
      <c r="F1033" s="78" t="str">
        <f>A1011</f>
        <v>Lignite fired power plants</v>
      </c>
      <c r="G1033" s="78" t="str">
        <f>B1027</f>
        <v>Fluidized bed combustion</v>
      </c>
      <c r="H1033" s="78" t="str">
        <f>C1033</f>
        <v>Electricity only with CCS</v>
      </c>
      <c r="I1033" s="165" t="str">
        <f t="shared" si="94"/>
        <v>L</v>
      </c>
      <c r="J1033" s="95" t="s">
        <v>112</v>
      </c>
      <c r="K1033" s="95" t="s">
        <v>112</v>
      </c>
      <c r="L1033" s="95" t="s">
        <v>112</v>
      </c>
      <c r="M1033" s="95" t="s">
        <v>112</v>
      </c>
      <c r="N1033" s="95" t="s">
        <v>112</v>
      </c>
      <c r="O1033" s="95" t="s">
        <v>112</v>
      </c>
      <c r="P1033" s="95" t="s">
        <v>112</v>
      </c>
      <c r="Q1033" s="95" t="s">
        <v>112</v>
      </c>
      <c r="R1033" s="95" t="s">
        <v>112</v>
      </c>
      <c r="S1033" s="95" t="s">
        <v>112</v>
      </c>
      <c r="T1033" s="95" t="s">
        <v>112</v>
      </c>
      <c r="U1033" s="95" t="s">
        <v>112</v>
      </c>
      <c r="V1033" s="95" t="s">
        <v>112</v>
      </c>
      <c r="W1033" s="95" t="s">
        <v>112</v>
      </c>
      <c r="X1033" s="95" t="s">
        <v>112</v>
      </c>
      <c r="Y1033" s="95" t="s">
        <v>112</v>
      </c>
      <c r="Z1033" s="95" t="s">
        <v>112</v>
      </c>
      <c r="AA1033" s="95" t="s">
        <v>112</v>
      </c>
      <c r="AB1033" s="95" t="s">
        <v>112</v>
      </c>
      <c r="AC1033" s="95" t="s">
        <v>112</v>
      </c>
      <c r="AD1033" s="95" t="s">
        <v>112</v>
      </c>
      <c r="AE1033" s="95">
        <v>4001.0877918807118</v>
      </c>
      <c r="AF1033" s="95">
        <v>4000.0508687562069</v>
      </c>
      <c r="AG1033" s="95">
        <v>3998.7215250745749</v>
      </c>
      <c r="AH1033" s="95">
        <v>3997.0180541897726</v>
      </c>
      <c r="AI1033" s="95">
        <v>3994.83640746937</v>
      </c>
      <c r="AJ1033" s="95">
        <v>3992.0443987298313</v>
      </c>
      <c r="AK1033" s="95">
        <v>3988.4746075282565</v>
      </c>
      <c r="AL1033" s="95">
        <v>3983.9158225471342</v>
      </c>
      <c r="AM1033" s="95">
        <v>3978.1029440570737</v>
      </c>
      <c r="AN1033" s="95">
        <v>3970.7054294078725</v>
      </c>
      <c r="AO1033" s="95">
        <v>3961.3146700351499</v>
      </c>
      <c r="AP1033" s="95">
        <v>3949.4312038175813</v>
      </c>
      <c r="AQ1033" s="95">
        <v>3934.4534791835495</v>
      </c>
      <c r="AR1033" s="95">
        <v>3915.6710804370587</v>
      </c>
      <c r="AS1033" s="95">
        <v>3892.2669303085759</v>
      </c>
      <c r="AT1033" s="95">
        <v>3863.3348928538735</v>
      </c>
      <c r="AU1033" s="95">
        <v>3827.9209898365598</v>
      </c>
      <c r="AV1033" s="95">
        <v>3785.0971881504665</v>
      </c>
      <c r="AW1033" s="95">
        <v>3734.0748251276705</v>
      </c>
      <c r="AX1033" s="96">
        <v>3674.3581250000002</v>
      </c>
    </row>
    <row r="1034" spans="1:50" x14ac:dyDescent="0.25">
      <c r="A1034" s="356"/>
      <c r="B1034" s="359"/>
      <c r="C1034" s="360"/>
      <c r="D1034" s="59" t="s">
        <v>8</v>
      </c>
      <c r="E1034" s="166" t="str">
        <f>A1011&amp;"/"&amp;B1027&amp;"/"&amp;C1033&amp;"/"&amp;D1034</f>
        <v>Lignite fired power plants/Fluidized bed combustion/Electricity only with CCS/M</v>
      </c>
      <c r="F1034" s="79" t="str">
        <f>A1011</f>
        <v>Lignite fired power plants</v>
      </c>
      <c r="G1034" s="79" t="str">
        <f>B1027</f>
        <v>Fluidized bed combustion</v>
      </c>
      <c r="H1034" s="79" t="str">
        <f>C1033</f>
        <v>Electricity only with CCS</v>
      </c>
      <c r="I1034" s="167" t="str">
        <f t="shared" si="94"/>
        <v>M</v>
      </c>
      <c r="J1034" s="97" t="s">
        <v>112</v>
      </c>
      <c r="K1034" s="97" t="s">
        <v>112</v>
      </c>
      <c r="L1034" s="97" t="s">
        <v>112</v>
      </c>
      <c r="M1034" s="97" t="s">
        <v>112</v>
      </c>
      <c r="N1034" s="97" t="s">
        <v>112</v>
      </c>
      <c r="O1034" s="97" t="s">
        <v>112</v>
      </c>
      <c r="P1034" s="97" t="s">
        <v>112</v>
      </c>
      <c r="Q1034" s="97" t="s">
        <v>112</v>
      </c>
      <c r="R1034" s="97" t="s">
        <v>112</v>
      </c>
      <c r="S1034" s="97" t="s">
        <v>112</v>
      </c>
      <c r="T1034" s="97" t="s">
        <v>112</v>
      </c>
      <c r="U1034" s="97" t="s">
        <v>112</v>
      </c>
      <c r="V1034" s="97" t="s">
        <v>112</v>
      </c>
      <c r="W1034" s="97" t="s">
        <v>112</v>
      </c>
      <c r="X1034" s="97" t="s">
        <v>112</v>
      </c>
      <c r="Y1034" s="97" t="s">
        <v>112</v>
      </c>
      <c r="Z1034" s="97" t="s">
        <v>112</v>
      </c>
      <c r="AA1034" s="97" t="s">
        <v>112</v>
      </c>
      <c r="AB1034" s="97" t="s">
        <v>112</v>
      </c>
      <c r="AC1034" s="97" t="s">
        <v>112</v>
      </c>
      <c r="AD1034" s="97" t="s">
        <v>112</v>
      </c>
      <c r="AE1034" s="97">
        <v>4434.182662951609</v>
      </c>
      <c r="AF1034" s="97">
        <v>4432.9637849039109</v>
      </c>
      <c r="AG1034" s="97">
        <v>4431.4011735655222</v>
      </c>
      <c r="AH1034" s="97">
        <v>4429.3987847506623</v>
      </c>
      <c r="AI1034" s="97">
        <v>4426.8343118090434</v>
      </c>
      <c r="AJ1034" s="97">
        <v>4423.5523730797559</v>
      </c>
      <c r="AK1034" s="97">
        <v>4419.3561698823942</v>
      </c>
      <c r="AL1034" s="97">
        <v>4413.9974284228283</v>
      </c>
      <c r="AM1034" s="97">
        <v>4407.1645303824307</v>
      </c>
      <c r="AN1034" s="97">
        <v>4398.4689308723482</v>
      </c>
      <c r="AO1034" s="97">
        <v>4387.4303204101752</v>
      </c>
      <c r="AP1034" s="97">
        <v>4373.4615933552404</v>
      </c>
      <c r="AQ1034" s="97">
        <v>4355.8556403877919</v>
      </c>
      <c r="AR1034" s="97">
        <v>4333.777385043506</v>
      </c>
      <c r="AS1034" s="97">
        <v>4306.2663727587096</v>
      </c>
      <c r="AT1034" s="97">
        <v>4272.2574626521282</v>
      </c>
      <c r="AU1034" s="97">
        <v>4230.6292763854435</v>
      </c>
      <c r="AV1034" s="97">
        <v>4180.2909334932565</v>
      </c>
      <c r="AW1034" s="97">
        <v>4120.3153800886812</v>
      </c>
      <c r="AX1034" s="98">
        <v>4050.1198437500011</v>
      </c>
    </row>
    <row r="1035" spans="1:50" x14ac:dyDescent="0.25">
      <c r="A1035" s="356"/>
      <c r="B1035" s="359"/>
      <c r="C1035" s="361" t="s">
        <v>16</v>
      </c>
      <c r="D1035" s="2" t="s">
        <v>7</v>
      </c>
      <c r="E1035" s="160" t="str">
        <f>A1011&amp;"/"&amp;B1027&amp;"/"&amp;C1035&amp;"/"&amp;D1035</f>
        <v>Lignite fired power plants/Fluidized bed combustion/CHP with CCS/L</v>
      </c>
      <c r="F1035" s="76" t="str">
        <f>A1011</f>
        <v>Lignite fired power plants</v>
      </c>
      <c r="G1035" s="76" t="str">
        <f>B1027</f>
        <v>Fluidized bed combustion</v>
      </c>
      <c r="H1035" s="76" t="str">
        <f>C1035</f>
        <v>CHP with CCS</v>
      </c>
      <c r="I1035" s="161" t="str">
        <f t="shared" si="94"/>
        <v>L</v>
      </c>
      <c r="J1035" s="91" t="s">
        <v>112</v>
      </c>
      <c r="K1035" s="91" t="s">
        <v>112</v>
      </c>
      <c r="L1035" s="91" t="s">
        <v>112</v>
      </c>
      <c r="M1035" s="91" t="s">
        <v>112</v>
      </c>
      <c r="N1035" s="91" t="s">
        <v>112</v>
      </c>
      <c r="O1035" s="91" t="s">
        <v>112</v>
      </c>
      <c r="P1035" s="91" t="s">
        <v>112</v>
      </c>
      <c r="Q1035" s="91" t="s">
        <v>112</v>
      </c>
      <c r="R1035" s="91" t="s">
        <v>112</v>
      </c>
      <c r="S1035" s="91" t="s">
        <v>112</v>
      </c>
      <c r="T1035" s="91" t="s">
        <v>112</v>
      </c>
      <c r="U1035" s="91" t="s">
        <v>112</v>
      </c>
      <c r="V1035" s="91" t="s">
        <v>112</v>
      </c>
      <c r="W1035" s="91" t="s">
        <v>112</v>
      </c>
      <c r="X1035" s="91" t="s">
        <v>112</v>
      </c>
      <c r="Y1035" s="91" t="s">
        <v>112</v>
      </c>
      <c r="Z1035" s="91" t="s">
        <v>112</v>
      </c>
      <c r="AA1035" s="91" t="s">
        <v>112</v>
      </c>
      <c r="AB1035" s="91" t="s">
        <v>112</v>
      </c>
      <c r="AC1035" s="91" t="s">
        <v>112</v>
      </c>
      <c r="AD1035" s="91" t="s">
        <v>112</v>
      </c>
      <c r="AE1035" s="91">
        <v>4331.5067420550422</v>
      </c>
      <c r="AF1035" s="91">
        <v>4330.5884411141024</v>
      </c>
      <c r="AG1035" s="91">
        <v>4329.4111720139854</v>
      </c>
      <c r="AH1035" s="91">
        <v>4327.9025752053985</v>
      </c>
      <c r="AI1035" s="91">
        <v>4325.9705050366474</v>
      </c>
      <c r="AJ1035" s="91">
        <v>4323.4978971913397</v>
      </c>
      <c r="AK1035" s="91">
        <v>4320.3364838310863</v>
      </c>
      <c r="AL1035" s="91">
        <v>4316.2992158419993</v>
      </c>
      <c r="AM1035" s="91">
        <v>4311.151320437948</v>
      </c>
      <c r="AN1035" s="91">
        <v>4304.600068467149</v>
      </c>
      <c r="AO1035" s="91">
        <v>4296.28359546706</v>
      </c>
      <c r="AP1035" s="91">
        <v>4285.7595769054778</v>
      </c>
      <c r="AQ1035" s="91">
        <v>4272.4952776536502</v>
      </c>
      <c r="AR1035" s="91">
        <v>4255.8615523229992</v>
      </c>
      <c r="AS1035" s="91">
        <v>4235.1347958480192</v>
      </c>
      <c r="AT1035" s="91">
        <v>4209.5125326444158</v>
      </c>
      <c r="AU1035" s="91">
        <v>4178.1499179098964</v>
      </c>
      <c r="AV1035" s="91">
        <v>4140.2250838950813</v>
      </c>
      <c r="AW1035" s="91">
        <v>4095.0395895555735</v>
      </c>
      <c r="AX1035" s="92">
        <v>4042.1543750000001</v>
      </c>
    </row>
    <row r="1036" spans="1:50" x14ac:dyDescent="0.25">
      <c r="A1036" s="356"/>
      <c r="B1036" s="362"/>
      <c r="C1036" s="354"/>
      <c r="D1036" s="4" t="s">
        <v>8</v>
      </c>
      <c r="E1036" s="168" t="str">
        <f>A1011&amp;"/"&amp;B1027&amp;"/"&amp;C1035&amp;"/"&amp;D1036</f>
        <v>Lignite fired power plants/Fluidized bed combustion/CHP with CCS/M</v>
      </c>
      <c r="F1036" s="80" t="str">
        <f>A1011</f>
        <v>Lignite fired power plants</v>
      </c>
      <c r="G1036" s="80" t="str">
        <f>B1027</f>
        <v>Fluidized bed combustion</v>
      </c>
      <c r="H1036" s="80" t="str">
        <f>C1035</f>
        <v>CHP with CCS</v>
      </c>
      <c r="I1036" s="169" t="str">
        <f t="shared" si="94"/>
        <v>M</v>
      </c>
      <c r="J1036" s="99" t="s">
        <v>112</v>
      </c>
      <c r="K1036" s="99" t="s">
        <v>112</v>
      </c>
      <c r="L1036" s="99" t="s">
        <v>112</v>
      </c>
      <c r="M1036" s="99" t="s">
        <v>112</v>
      </c>
      <c r="N1036" s="99" t="s">
        <v>112</v>
      </c>
      <c r="O1036" s="99" t="s">
        <v>112</v>
      </c>
      <c r="P1036" s="99" t="s">
        <v>112</v>
      </c>
      <c r="Q1036" s="99" t="s">
        <v>112</v>
      </c>
      <c r="R1036" s="99" t="s">
        <v>112</v>
      </c>
      <c r="S1036" s="99" t="s">
        <v>112</v>
      </c>
      <c r="T1036" s="99" t="s">
        <v>112</v>
      </c>
      <c r="U1036" s="99" t="s">
        <v>112</v>
      </c>
      <c r="V1036" s="99" t="s">
        <v>112</v>
      </c>
      <c r="W1036" s="99" t="s">
        <v>112</v>
      </c>
      <c r="X1036" s="99" t="s">
        <v>112</v>
      </c>
      <c r="Y1036" s="99" t="s">
        <v>112</v>
      </c>
      <c r="Z1036" s="99" t="s">
        <v>112</v>
      </c>
      <c r="AA1036" s="99" t="s">
        <v>112</v>
      </c>
      <c r="AB1036" s="99" t="s">
        <v>112</v>
      </c>
      <c r="AC1036" s="99" t="s">
        <v>112</v>
      </c>
      <c r="AD1036" s="99" t="s">
        <v>112</v>
      </c>
      <c r="AE1036" s="99">
        <v>4764.5232998424099</v>
      </c>
      <c r="AF1036" s="99">
        <v>4763.4008702371884</v>
      </c>
      <c r="AG1036" s="99">
        <v>4761.9619065681209</v>
      </c>
      <c r="AH1036" s="99">
        <v>4760.1179645173079</v>
      </c>
      <c r="AI1036" s="99">
        <v>4757.7564154214833</v>
      </c>
      <c r="AJ1036" s="99">
        <v>4754.7341727949697</v>
      </c>
      <c r="AK1036" s="99">
        <v>4750.8700104145419</v>
      </c>
      <c r="AL1036" s="99">
        <v>4745.9353001108302</v>
      </c>
      <c r="AM1036" s="99">
        <v>4739.6430815706026</v>
      </c>
      <c r="AN1036" s="99">
        <v>4731.6355550229728</v>
      </c>
      <c r="AO1036" s="99">
        <v>4721.470417332087</v>
      </c>
      <c r="AP1036" s="99">
        <v>4708.6070198631387</v>
      </c>
      <c r="AQ1036" s="99">
        <v>4692.3942060577538</v>
      </c>
      <c r="AR1036" s="99">
        <v>4672.0629781085217</v>
      </c>
      <c r="AS1036" s="99">
        <v>4646.7288811359967</v>
      </c>
      <c r="AT1036" s="99">
        <v>4615.4110576531366</v>
      </c>
      <c r="AU1036" s="99">
        <v>4577.0768627222824</v>
      </c>
      <c r="AV1036" s="99">
        <v>4530.7217360164695</v>
      </c>
      <c r="AW1036" s="99">
        <v>4475.4919803752327</v>
      </c>
      <c r="AX1036" s="100">
        <v>4410.8509375000012</v>
      </c>
    </row>
    <row r="1037" spans="1:50" x14ac:dyDescent="0.25">
      <c r="A1037" s="356"/>
      <c r="B1037" s="358" t="s">
        <v>19</v>
      </c>
      <c r="C1037" s="353" t="s">
        <v>6</v>
      </c>
      <c r="D1037" s="3" t="s">
        <v>7</v>
      </c>
      <c r="E1037" s="162" t="str">
        <f>A1011&amp;"/"&amp;B1037&amp;"/"&amp;C1037&amp;"/"&amp;D1037</f>
        <v>Lignite fired power plants/Steam turbine/Electricity only/L</v>
      </c>
      <c r="F1037" s="77" t="str">
        <f>A1011</f>
        <v>Lignite fired power plants</v>
      </c>
      <c r="G1037" s="77" t="str">
        <f>B1037</f>
        <v>Steam turbine</v>
      </c>
      <c r="H1037" s="77" t="str">
        <f>C1037</f>
        <v>Electricity only</v>
      </c>
      <c r="I1037" s="163" t="str">
        <f t="shared" si="94"/>
        <v>L</v>
      </c>
      <c r="J1037" s="93">
        <v>1650</v>
      </c>
      <c r="K1037" s="93">
        <v>1652.3469493697407</v>
      </c>
      <c r="L1037" s="93">
        <v>1654.6952673792632</v>
      </c>
      <c r="M1037" s="93">
        <v>1657.0437436806073</v>
      </c>
      <c r="N1037" s="93">
        <v>1659.3911727860955</v>
      </c>
      <c r="O1037" s="93">
        <v>1661.7363564263874</v>
      </c>
      <c r="P1037" s="93">
        <v>1664.0781058648874</v>
      </c>
      <c r="Q1037" s="93">
        <v>1666.4152441595561</v>
      </c>
      <c r="R1037" s="93">
        <v>1668.7466083636052</v>
      </c>
      <c r="S1037" s="93">
        <v>1671.0710516570227</v>
      </c>
      <c r="T1037" s="93">
        <v>1673.3874454013892</v>
      </c>
      <c r="U1037" s="93">
        <v>1675.6946811110088</v>
      </c>
      <c r="V1037" s="93">
        <v>1677.9916723339677</v>
      </c>
      <c r="W1037" s="93">
        <v>1680.2773564373501</v>
      </c>
      <c r="X1037" s="93">
        <v>1682.5506962914938</v>
      </c>
      <c r="Y1037" s="93">
        <v>1684.8106818488152</v>
      </c>
      <c r="Z1037" s="93">
        <v>1687.0563316134196</v>
      </c>
      <c r="AA1037" s="93">
        <v>1689.2866939983719</v>
      </c>
      <c r="AB1037" s="93">
        <v>1691.5008485681915</v>
      </c>
      <c r="AC1037" s="93">
        <v>1693.6979071647945</v>
      </c>
      <c r="AD1037" s="93">
        <v>1695.8770149157635</v>
      </c>
      <c r="AE1037" s="93">
        <v>1698.0373511244718</v>
      </c>
      <c r="AF1037" s="93">
        <v>1700.1781300421978</v>
      </c>
      <c r="AG1037" s="93">
        <v>1702.2986015229676</v>
      </c>
      <c r="AH1037" s="93">
        <v>1704.3980515624203</v>
      </c>
      <c r="AI1037" s="93">
        <v>1706.4758027225337</v>
      </c>
      <c r="AJ1037" s="93">
        <v>1708.531214444535</v>
      </c>
      <c r="AK1037" s="93">
        <v>1710.5636832527907</v>
      </c>
      <c r="AL1037" s="93">
        <v>1712.5726428528892</v>
      </c>
      <c r="AM1037" s="93">
        <v>1714.5575641275104</v>
      </c>
      <c r="AN1037" s="93">
        <v>1716.5179550340251</v>
      </c>
      <c r="AO1037" s="93">
        <v>1718.4533604080561</v>
      </c>
      <c r="AP1037" s="93">
        <v>1720.3633616775071</v>
      </c>
      <c r="AQ1037" s="93">
        <v>1722.2475764917676</v>
      </c>
      <c r="AR1037" s="93">
        <v>1724.1056582709975</v>
      </c>
      <c r="AS1037" s="93">
        <v>1725.9372956805162</v>
      </c>
      <c r="AT1037" s="93">
        <v>1727.7422120354399</v>
      </c>
      <c r="AU1037" s="93">
        <v>1729.5201646407634</v>
      </c>
      <c r="AV1037" s="93">
        <v>1731.2709440721173</v>
      </c>
      <c r="AW1037" s="93">
        <v>1732.9943734024353</v>
      </c>
      <c r="AX1037" s="94">
        <v>1734.6903073797248</v>
      </c>
    </row>
    <row r="1038" spans="1:50" x14ac:dyDescent="0.25">
      <c r="A1038" s="356"/>
      <c r="B1038" s="359"/>
      <c r="C1038" s="350"/>
      <c r="D1038" s="2" t="s">
        <v>8</v>
      </c>
      <c r="E1038" s="160" t="str">
        <f>A1011&amp;"/"&amp;B1037&amp;"/"&amp;C1037&amp;"/"&amp;D1038</f>
        <v>Lignite fired power plants/Steam turbine/Electricity only/M</v>
      </c>
      <c r="F1038" s="76" t="str">
        <f>A1011</f>
        <v>Lignite fired power plants</v>
      </c>
      <c r="G1038" s="76" t="str">
        <f>B1037</f>
        <v>Steam turbine</v>
      </c>
      <c r="H1038" s="76" t="str">
        <f>C1037</f>
        <v>Electricity only</v>
      </c>
      <c r="I1038" s="161" t="str">
        <f t="shared" si="94"/>
        <v>M</v>
      </c>
      <c r="J1038" s="91">
        <v>1782.0000000000002</v>
      </c>
      <c r="K1038" s="91">
        <v>1783.9010289894902</v>
      </c>
      <c r="L1038" s="91">
        <v>1785.8031665772035</v>
      </c>
      <c r="M1038" s="91">
        <v>1787.7054323812922</v>
      </c>
      <c r="N1038" s="91">
        <v>1789.6068499567375</v>
      </c>
      <c r="O1038" s="91">
        <v>1791.5064487053739</v>
      </c>
      <c r="P1038" s="91">
        <v>1793.4032657505591</v>
      </c>
      <c r="Q1038" s="91">
        <v>1795.2963477692408</v>
      </c>
      <c r="R1038" s="91">
        <v>1797.1847527745206</v>
      </c>
      <c r="S1038" s="91">
        <v>1799.0675518421888</v>
      </c>
      <c r="T1038" s="91">
        <v>1800.9438307751257</v>
      </c>
      <c r="U1038" s="91">
        <v>1802.8126916999174</v>
      </c>
      <c r="V1038" s="91">
        <v>1804.6732545905143</v>
      </c>
      <c r="W1038" s="91">
        <v>1806.524658714254</v>
      </c>
      <c r="X1038" s="91">
        <v>1808.3660639961104</v>
      </c>
      <c r="Y1038" s="91">
        <v>1810.1966522975406</v>
      </c>
      <c r="Z1038" s="91">
        <v>1812.0156286068702</v>
      </c>
      <c r="AA1038" s="91">
        <v>1813.8222221386816</v>
      </c>
      <c r="AB1038" s="91">
        <v>1815.6156873402356</v>
      </c>
      <c r="AC1038" s="91">
        <v>1817.3953048034839</v>
      </c>
      <c r="AD1038" s="91">
        <v>1819.1603820817686</v>
      </c>
      <c r="AE1038" s="91">
        <v>1820.9102544108225</v>
      </c>
      <c r="AF1038" s="91">
        <v>1822.6442853341805</v>
      </c>
      <c r="AG1038" s="91">
        <v>1824.361867233604</v>
      </c>
      <c r="AH1038" s="91">
        <v>1826.0624217655609</v>
      </c>
      <c r="AI1038" s="91">
        <v>1827.7454002052527</v>
      </c>
      <c r="AJ1038" s="91">
        <v>1829.4102837000737</v>
      </c>
      <c r="AK1038" s="91">
        <v>1831.0565834347608</v>
      </c>
      <c r="AL1038" s="91">
        <v>1832.6838407108405</v>
      </c>
      <c r="AM1038" s="91">
        <v>1834.291626943284</v>
      </c>
      <c r="AN1038" s="91">
        <v>1835.8795435775608</v>
      </c>
      <c r="AO1038" s="91">
        <v>1837.447221930526</v>
      </c>
      <c r="AP1038" s="91">
        <v>1838.9943229587811</v>
      </c>
      <c r="AQ1038" s="91">
        <v>1840.5205369583323</v>
      </c>
      <c r="AR1038" s="91">
        <v>1842.0255831995082</v>
      </c>
      <c r="AS1038" s="91">
        <v>1843.5092095012185</v>
      </c>
      <c r="AT1038" s="91">
        <v>1844.9711917487068</v>
      </c>
      <c r="AU1038" s="91">
        <v>1846.4113333590187</v>
      </c>
      <c r="AV1038" s="91">
        <v>1847.8294646984154</v>
      </c>
      <c r="AW1038" s="91">
        <v>1849.2254424559731</v>
      </c>
      <c r="AX1038" s="92">
        <v>1850.5991489775774</v>
      </c>
    </row>
    <row r="1039" spans="1:50" x14ac:dyDescent="0.25">
      <c r="A1039" s="356"/>
      <c r="B1039" s="359"/>
      <c r="C1039" s="350"/>
      <c r="D1039" s="2" t="s">
        <v>10</v>
      </c>
      <c r="E1039" s="160" t="str">
        <f>A1011&amp;"/"&amp;B1037&amp;"/"&amp;C1037&amp;"/"&amp;D1039</f>
        <v>Lignite fired power plants/Steam turbine/Electricity only/S</v>
      </c>
      <c r="F1039" s="76" t="str">
        <f>A1011</f>
        <v>Lignite fired power plants</v>
      </c>
      <c r="G1039" s="76" t="str">
        <f>B1037</f>
        <v>Steam turbine</v>
      </c>
      <c r="H1039" s="76" t="str">
        <f>C1037</f>
        <v>Electricity only</v>
      </c>
      <c r="I1039" s="161" t="str">
        <f t="shared" si="94"/>
        <v>S</v>
      </c>
      <c r="J1039" s="91">
        <v>1969.1100000000001</v>
      </c>
      <c r="K1039" s="91">
        <v>1970.8605308611554</v>
      </c>
      <c r="L1039" s="91">
        <v>1972.6120825565081</v>
      </c>
      <c r="M1039" s="91">
        <v>1974.3637523177731</v>
      </c>
      <c r="N1039" s="91">
        <v>1976.1146410018291</v>
      </c>
      <c r="O1039" s="91">
        <v>1977.8638548495319</v>
      </c>
      <c r="P1039" s="91">
        <v>1979.6105072119731</v>
      </c>
      <c r="Q1039" s="91">
        <v>1981.3537202375092</v>
      </c>
      <c r="R1039" s="91">
        <v>1983.0926265132043</v>
      </c>
      <c r="S1039" s="91">
        <v>1984.8263706546823</v>
      </c>
      <c r="T1039" s="91">
        <v>1986.5541108387615</v>
      </c>
      <c r="U1039" s="91">
        <v>1988.275020273674</v>
      </c>
      <c r="V1039" s="91">
        <v>1989.9882886020985</v>
      </c>
      <c r="W1039" s="91">
        <v>1991.6931232327088</v>
      </c>
      <c r="X1039" s="91">
        <v>1993.3887505964183</v>
      </c>
      <c r="Y1039" s="91">
        <v>1995.0744173239852</v>
      </c>
      <c r="Z1039" s="91">
        <v>1996.7493913421595</v>
      </c>
      <c r="AA1039" s="91">
        <v>1998.4129628860358</v>
      </c>
      <c r="AB1039" s="91">
        <v>2000.0644454258002</v>
      </c>
      <c r="AC1039" s="91">
        <v>2001.7031765065415</v>
      </c>
      <c r="AD1039" s="91">
        <v>2003.3285185002953</v>
      </c>
      <c r="AE1039" s="91">
        <v>2004.9398592699656</v>
      </c>
      <c r="AF1039" s="91">
        <v>2006.5366127452246</v>
      </c>
      <c r="AG1039" s="91">
        <v>2008.1182194109438</v>
      </c>
      <c r="AH1039" s="91">
        <v>2009.6841467091206</v>
      </c>
      <c r="AI1039" s="91">
        <v>2011.23388935567</v>
      </c>
      <c r="AJ1039" s="91">
        <v>2012.7669695738177</v>
      </c>
      <c r="AK1039" s="91">
        <v>2014.2829372461756</v>
      </c>
      <c r="AL1039" s="91">
        <v>2015.7813699878991</v>
      </c>
      <c r="AM1039" s="91">
        <v>2017.2618731436073</v>
      </c>
      <c r="AN1039" s="91">
        <v>2018.7240797110039</v>
      </c>
      <c r="AO1039" s="91">
        <v>2020.1676501943593</v>
      </c>
      <c r="AP1039" s="91">
        <v>2021.5922723912108</v>
      </c>
      <c r="AQ1039" s="91">
        <v>2022.9976611157977</v>
      </c>
      <c r="AR1039" s="91">
        <v>2024.3835578628805</v>
      </c>
      <c r="AS1039" s="91">
        <v>2025.7497304157052</v>
      </c>
      <c r="AT1039" s="91">
        <v>2027.0959724019342</v>
      </c>
      <c r="AU1039" s="91">
        <v>2028.4221028014297</v>
      </c>
      <c r="AV1039" s="91">
        <v>2029.7279654097908</v>
      </c>
      <c r="AW1039" s="91">
        <v>2031.0134282615418</v>
      </c>
      <c r="AX1039" s="92">
        <v>2032.2783830168526</v>
      </c>
    </row>
    <row r="1040" spans="1:50" x14ac:dyDescent="0.25">
      <c r="A1040" s="356"/>
      <c r="B1040" s="359"/>
      <c r="C1040" s="360"/>
      <c r="D1040" s="2" t="s">
        <v>20</v>
      </c>
      <c r="E1040" s="160" t="str">
        <f>A1011&amp;"/"&amp;B1037&amp;"/"&amp;C1037&amp;"/"&amp;D1040</f>
        <v>Lignite fired power plants/Steam turbine/Electricity only/XS</v>
      </c>
      <c r="F1040" s="76" t="str">
        <f>A1011</f>
        <v>Lignite fired power plants</v>
      </c>
      <c r="G1040" s="76" t="str">
        <f>B1037</f>
        <v>Steam turbine</v>
      </c>
      <c r="H1040" s="76" t="str">
        <f>C1037</f>
        <v>Electricity only</v>
      </c>
      <c r="I1040" s="161" t="str">
        <f t="shared" si="94"/>
        <v>XS</v>
      </c>
      <c r="J1040" s="91">
        <v>2362.9320000000002</v>
      </c>
      <c r="K1040" s="91">
        <v>2364.3243204005489</v>
      </c>
      <c r="L1040" s="91">
        <v>2365.7111963252469</v>
      </c>
      <c r="M1040" s="91">
        <v>2367.0919883144265</v>
      </c>
      <c r="N1040" s="91">
        <v>2368.4660702627675</v>
      </c>
      <c r="O1040" s="91">
        <v>2369.8328304193315</v>
      </c>
      <c r="P1040" s="91">
        <v>2371.1916723295785</v>
      </c>
      <c r="Q1040" s="91">
        <v>2372.5420157169146</v>
      </c>
      <c r="R1040" s="91">
        <v>2373.8832973016843</v>
      </c>
      <c r="S1040" s="91">
        <v>2375.2149715559067</v>
      </c>
      <c r="T1040" s="91">
        <v>2376.5365113924217</v>
      </c>
      <c r="U1040" s="91">
        <v>2377.8474087875002</v>
      </c>
      <c r="V1040" s="91">
        <v>2379.1471753363226</v>
      </c>
      <c r="W1040" s="91">
        <v>2380.4353427411047</v>
      </c>
      <c r="X1040" s="91">
        <v>2381.7114632319872</v>
      </c>
      <c r="Y1040" s="91">
        <v>2382.9751099211344</v>
      </c>
      <c r="Z1040" s="91">
        <v>2384.2258770908193</v>
      </c>
      <c r="AA1040" s="91">
        <v>2385.4633804165533</v>
      </c>
      <c r="AB1040" s="91">
        <v>2386.6872571266135</v>
      </c>
      <c r="AC1040" s="91">
        <v>2387.8971660995703</v>
      </c>
      <c r="AD1040" s="91">
        <v>2389.0927879016617</v>
      </c>
      <c r="AE1040" s="91">
        <v>2390.2738247660718</v>
      </c>
      <c r="AF1040" s="91">
        <v>2391.440000516367</v>
      </c>
      <c r="AG1040" s="91">
        <v>2392.5910604365135</v>
      </c>
      <c r="AH1040" s="91">
        <v>2393.726771090041</v>
      </c>
      <c r="AI1040" s="91">
        <v>2394.8469200910486</v>
      </c>
      <c r="AJ1040" s="91">
        <v>2395.9513158298437</v>
      </c>
      <c r="AK1040" s="91">
        <v>2397.0397871560876</v>
      </c>
      <c r="AL1040" s="91">
        <v>2398.1121830223774</v>
      </c>
      <c r="AM1040" s="91">
        <v>2399.1683720912301</v>
      </c>
      <c r="AN1040" s="91">
        <v>2400.2082423084598</v>
      </c>
      <c r="AO1040" s="91">
        <v>2401.2317004459233</v>
      </c>
      <c r="AP1040" s="91">
        <v>2402.238671616612</v>
      </c>
      <c r="AQ1040" s="91">
        <v>2403.2290987650167</v>
      </c>
      <c r="AR1040" s="91">
        <v>2404.2029421356515</v>
      </c>
      <c r="AS1040" s="91">
        <v>2405.1601787225636</v>
      </c>
      <c r="AT1040" s="91">
        <v>2406.1008017025783</v>
      </c>
      <c r="AU1040" s="91">
        <v>2407.0248198549407</v>
      </c>
      <c r="AV1040" s="91">
        <v>2407.9322569699352</v>
      </c>
      <c r="AW1040" s="91">
        <v>2408.8231512489428</v>
      </c>
      <c r="AX1040" s="92">
        <v>2409.6975546983117</v>
      </c>
    </row>
    <row r="1041" spans="1:50" x14ac:dyDescent="0.25">
      <c r="A1041" s="356"/>
      <c r="B1041" s="359"/>
      <c r="C1041" s="361" t="s">
        <v>14</v>
      </c>
      <c r="D1041" s="58" t="s">
        <v>7</v>
      </c>
      <c r="E1041" s="164" t="str">
        <f>A1011&amp;"/"&amp;B1037&amp;"/"&amp;C1041&amp;"/"&amp;D1041</f>
        <v>Lignite fired power plants/Steam turbine/CHP/L</v>
      </c>
      <c r="F1041" s="78" t="str">
        <f>A1011</f>
        <v>Lignite fired power plants</v>
      </c>
      <c r="G1041" s="78" t="str">
        <f>B1037</f>
        <v>Steam turbine</v>
      </c>
      <c r="H1041" s="78" t="str">
        <f>C1041</f>
        <v>CHP</v>
      </c>
      <c r="I1041" s="165" t="str">
        <f t="shared" si="94"/>
        <v>L</v>
      </c>
      <c r="J1041" s="95">
        <v>2040</v>
      </c>
      <c r="K1041" s="95">
        <v>2041.8031118135425</v>
      </c>
      <c r="L1041" s="95">
        <v>2043.6036374112482</v>
      </c>
      <c r="M1041" s="95">
        <v>2045.4011691347882</v>
      </c>
      <c r="N1041" s="95">
        <v>2047.1953033790285</v>
      </c>
      <c r="O1041" s="95">
        <v>2048.9856409158274</v>
      </c>
      <c r="P1041" s="95">
        <v>2050.7717872084791</v>
      </c>
      <c r="Q1041" s="95">
        <v>2052.553352716352</v>
      </c>
      <c r="R1041" s="95">
        <v>2054.3299531893117</v>
      </c>
      <c r="S1041" s="95">
        <v>2056.1012099515351</v>
      </c>
      <c r="T1041" s="95">
        <v>2057.8667501743707</v>
      </c>
      <c r="U1041" s="95">
        <v>2059.6262071379197</v>
      </c>
      <c r="V1041" s="95">
        <v>2061.3792204810511</v>
      </c>
      <c r="W1041" s="95">
        <v>2063.1254364395986</v>
      </c>
      <c r="X1041" s="95">
        <v>2064.8645080725105</v>
      </c>
      <c r="Y1041" s="95">
        <v>2066.5960954757761</v>
      </c>
      <c r="Z1041" s="95">
        <v>2068.3198659839568</v>
      </c>
      <c r="AA1041" s="95">
        <v>2070.0354943592129</v>
      </c>
      <c r="AB1041" s="95">
        <v>2071.7426629677229</v>
      </c>
      <c r="AC1041" s="95">
        <v>2073.4410619434443</v>
      </c>
      <c r="AD1041" s="95">
        <v>2075.1303893391764</v>
      </c>
      <c r="AE1041" s="95">
        <v>2076.8103512649354</v>
      </c>
      <c r="AF1041" s="95">
        <v>2078.4806620136646</v>
      </c>
      <c r="AG1041" s="95">
        <v>2080.1410441743392</v>
      </c>
      <c r="AH1041" s="95">
        <v>2081.7912287325548</v>
      </c>
      <c r="AI1041" s="95">
        <v>2083.4309551587057</v>
      </c>
      <c r="AJ1041" s="95">
        <v>2085.0599714838936</v>
      </c>
      <c r="AK1041" s="95">
        <v>2086.6780343637251</v>
      </c>
      <c r="AL1041" s="95">
        <v>2088.2849091301878</v>
      </c>
      <c r="AM1041" s="95">
        <v>2089.8803698317993</v>
      </c>
      <c r="AN1041" s="95">
        <v>2091.4641992622655</v>
      </c>
      <c r="AO1041" s="95">
        <v>2093.0361889778906</v>
      </c>
      <c r="AP1041" s="95">
        <v>2094.5961393039943</v>
      </c>
      <c r="AQ1041" s="95">
        <v>2096.1438593306257</v>
      </c>
      <c r="AR1041" s="95">
        <v>2097.6791668978599</v>
      </c>
      <c r="AS1041" s="95">
        <v>2099.2018885709881</v>
      </c>
      <c r="AT1041" s="95">
        <v>2100.7118596059204</v>
      </c>
      <c r="AU1041" s="95">
        <v>2102.2089239051361</v>
      </c>
      <c r="AV1041" s="95">
        <v>2103.6929339645121</v>
      </c>
      <c r="AW1041" s="95">
        <v>2105.1637508113927</v>
      </c>
      <c r="AX1041" s="96">
        <v>2106.6212439342457</v>
      </c>
    </row>
    <row r="1042" spans="1:50" x14ac:dyDescent="0.25">
      <c r="A1042" s="356"/>
      <c r="B1042" s="359"/>
      <c r="C1042" s="350"/>
      <c r="D1042" s="2" t="s">
        <v>8</v>
      </c>
      <c r="E1042" s="160" t="str">
        <f>A1011&amp;"/"&amp;B1037&amp;"/"&amp;C1041&amp;"/"&amp;D1042</f>
        <v>Lignite fired power plants/Steam turbine/CHP/M</v>
      </c>
      <c r="F1042" s="76" t="str">
        <f>A1011</f>
        <v>Lignite fired power plants</v>
      </c>
      <c r="G1042" s="76" t="str">
        <f>B1037</f>
        <v>Steam turbine</v>
      </c>
      <c r="H1042" s="76" t="str">
        <f>C1041</f>
        <v>CHP</v>
      </c>
      <c r="I1042" s="161" t="str">
        <f t="shared" si="94"/>
        <v>M</v>
      </c>
      <c r="J1042" s="91">
        <v>2172</v>
      </c>
      <c r="K1042" s="91">
        <v>2173.2102957089496</v>
      </c>
      <c r="L1042" s="91">
        <v>2174.4158467307202</v>
      </c>
      <c r="M1042" s="91">
        <v>2175.616419436587</v>
      </c>
      <c r="N1042" s="91">
        <v>2176.8117848524521</v>
      </c>
      <c r="O1042" s="91">
        <v>2178.0017187957251</v>
      </c>
      <c r="P1042" s="91">
        <v>2179.1860020040972</v>
      </c>
      <c r="Q1042" s="91">
        <v>2180.3644202561277</v>
      </c>
      <c r="R1042" s="91">
        <v>2181.536764483591</v>
      </c>
      <c r="S1042" s="91">
        <v>2182.7028308755416</v>
      </c>
      <c r="T1042" s="91">
        <v>2183.8624209740829</v>
      </c>
      <c r="U1042" s="91">
        <v>2185.0153417618408</v>
      </c>
      <c r="V1042" s="91">
        <v>2186.1614057411625</v>
      </c>
      <c r="W1042" s="91">
        <v>2187.3004310050824</v>
      </c>
      <c r="X1042" s="91">
        <v>2188.4322413001069</v>
      </c>
      <c r="Y1042" s="91">
        <v>2189.556666080895</v>
      </c>
      <c r="Z1042" s="91">
        <v>2190.6735405569266</v>
      </c>
      <c r="AA1042" s="91">
        <v>2191.7827057312579</v>
      </c>
      <c r="AB1042" s="91">
        <v>2192.8840084314911</v>
      </c>
      <c r="AC1042" s="91">
        <v>2193.9773013330873</v>
      </c>
      <c r="AD1042" s="91">
        <v>2195.0624429751733</v>
      </c>
      <c r="AE1042" s="91">
        <v>2196.1392977689998</v>
      </c>
      <c r="AF1042" s="91">
        <v>2197.2077359992268</v>
      </c>
      <c r="AG1042" s="91">
        <v>2198.26763381821</v>
      </c>
      <c r="AH1042" s="91">
        <v>2199.3188732334916</v>
      </c>
      <c r="AI1042" s="91">
        <v>2200.3613420886818</v>
      </c>
      <c r="AJ1042" s="91">
        <v>2201.3949340379568</v>
      </c>
      <c r="AK1042" s="91">
        <v>2202.4195485143719</v>
      </c>
      <c r="AL1042" s="91">
        <v>2203.4350906922268</v>
      </c>
      <c r="AM1042" s="91">
        <v>2204.441471443703</v>
      </c>
      <c r="AN1042" s="91">
        <v>2205.4386072900061</v>
      </c>
      <c r="AO1042" s="91">
        <v>2206.4264203472558</v>
      </c>
      <c r="AP1042" s="91">
        <v>2207.4048382673541</v>
      </c>
      <c r="AQ1042" s="91">
        <v>2208.373794174086</v>
      </c>
      <c r="AR1042" s="91">
        <v>2209.3332265946829</v>
      </c>
      <c r="AS1042" s="91">
        <v>2210.2830793871044</v>
      </c>
      <c r="AT1042" s="91">
        <v>2211.2233016632799</v>
      </c>
      <c r="AU1042" s="91">
        <v>2212.1538477085528</v>
      </c>
      <c r="AV1042" s="91">
        <v>2213.0746768975737</v>
      </c>
      <c r="AW1042" s="91">
        <v>2213.9857536068839</v>
      </c>
      <c r="AX1042" s="92">
        <v>2214.887047124429</v>
      </c>
    </row>
    <row r="1043" spans="1:50" x14ac:dyDescent="0.25">
      <c r="A1043" s="356"/>
      <c r="B1043" s="359"/>
      <c r="C1043" s="350"/>
      <c r="D1043" s="2" t="s">
        <v>10</v>
      </c>
      <c r="E1043" s="160" t="str">
        <f>A1011&amp;"/"&amp;B1037&amp;"/"&amp;C1041&amp;"/"&amp;D1043</f>
        <v>Lignite fired power plants/Steam turbine/CHP/S</v>
      </c>
      <c r="F1043" s="76" t="str">
        <f>A1011</f>
        <v>Lignite fired power plants</v>
      </c>
      <c r="G1043" s="76" t="str">
        <f>B1037</f>
        <v>Steam turbine</v>
      </c>
      <c r="H1043" s="76" t="str">
        <f>C1041</f>
        <v>CHP</v>
      </c>
      <c r="I1043" s="161" t="str">
        <f t="shared" si="94"/>
        <v>S</v>
      </c>
      <c r="J1043" s="91">
        <v>2762.9320000000002</v>
      </c>
      <c r="K1043" s="91">
        <v>2763.9755097891693</v>
      </c>
      <c r="L1043" s="91">
        <v>2765.012208099608</v>
      </c>
      <c r="M1043" s="91">
        <v>2766.0419459481473</v>
      </c>
      <c r="N1043" s="91">
        <v>2767.0645795283549</v>
      </c>
      <c r="O1043" s="91">
        <v>2768.0799702414347</v>
      </c>
      <c r="P1043" s="91">
        <v>2769.0879847203114</v>
      </c>
      <c r="Q1043" s="91">
        <v>2770.0884948470289</v>
      </c>
      <c r="R1043" s="91">
        <v>2771.0813777635844</v>
      </c>
      <c r="S1043" s="91">
        <v>2772.0665158763477</v>
      </c>
      <c r="T1043" s="91">
        <v>2773.0437968542069</v>
      </c>
      <c r="U1043" s="91">
        <v>2774.0131136206091</v>
      </c>
      <c r="V1043" s="91">
        <v>2774.9743643396587</v>
      </c>
      <c r="W1043" s="91">
        <v>2775.9274523964527</v>
      </c>
      <c r="X1043" s="91">
        <v>2776.8722863718363</v>
      </c>
      <c r="Y1043" s="91">
        <v>2777.8087800117646</v>
      </c>
      <c r="Z1043" s="91">
        <v>2778.7368521914723</v>
      </c>
      <c r="AA1043" s="91">
        <v>2779.6564268746451</v>
      </c>
      <c r="AB1043" s="91">
        <v>2780.5674330678003</v>
      </c>
      <c r="AC1043" s="91">
        <v>2781.4698047700826</v>
      </c>
      <c r="AD1043" s="91">
        <v>2782.3634809186892</v>
      </c>
      <c r="AE1043" s="91">
        <v>2783.2484053301268</v>
      </c>
      <c r="AF1043" s="91">
        <v>2784.1245266375308</v>
      </c>
      <c r="AG1043" s="91">
        <v>2784.9917982242414</v>
      </c>
      <c r="AH1043" s="91">
        <v>2785.8501781538725</v>
      </c>
      <c r="AI1043" s="91">
        <v>2786.6996290970692</v>
      </c>
      <c r="AJ1043" s="91">
        <v>2787.5401182551805</v>
      </c>
      <c r="AK1043" s="91">
        <v>2788.3716172810541</v>
      </c>
      <c r="AL1043" s="91">
        <v>2789.194102197167</v>
      </c>
      <c r="AM1043" s="91">
        <v>2790.0075533112949</v>
      </c>
      <c r="AN1043" s="91">
        <v>2790.8119551299333</v>
      </c>
      <c r="AO1043" s="91">
        <v>2791.6072962696649</v>
      </c>
      <c r="AP1043" s="91">
        <v>2792.393569366679</v>
      </c>
      <c r="AQ1043" s="91">
        <v>2793.1707709846341</v>
      </c>
      <c r="AR1043" s="91">
        <v>2793.9389015210536</v>
      </c>
      <c r="AS1043" s="91">
        <v>2794.6979651124448</v>
      </c>
      <c r="AT1043" s="91">
        <v>2795.4479695383161</v>
      </c>
      <c r="AU1043" s="91">
        <v>2796.1889261242795</v>
      </c>
      <c r="AV1043" s="91">
        <v>2796.9208496443962</v>
      </c>
      <c r="AW1043" s="91">
        <v>2797.6437582229419</v>
      </c>
      <c r="AX1043" s="92">
        <v>2798.3576732357492</v>
      </c>
    </row>
    <row r="1044" spans="1:50" x14ac:dyDescent="0.25">
      <c r="A1044" s="356"/>
      <c r="B1044" s="359"/>
      <c r="C1044" s="360"/>
      <c r="D1044" s="59" t="s">
        <v>20</v>
      </c>
      <c r="E1044" s="166" t="str">
        <f>A1011&amp;"/"&amp;B1037&amp;"/"&amp;C1041&amp;"/"&amp;D1044</f>
        <v>Lignite fired power plants/Steam turbine/CHP/XS</v>
      </c>
      <c r="F1044" s="79" t="str">
        <f>A1011</f>
        <v>Lignite fired power plants</v>
      </c>
      <c r="G1044" s="79" t="str">
        <f>B1037</f>
        <v>Steam turbine</v>
      </c>
      <c r="H1044" s="79" t="str">
        <f>C1041</f>
        <v>CHP</v>
      </c>
      <c r="I1044" s="167" t="str">
        <f t="shared" si="94"/>
        <v>XS</v>
      </c>
      <c r="J1044" s="97">
        <v>2802.9320000000002</v>
      </c>
      <c r="K1044" s="97">
        <v>2803.583067009823</v>
      </c>
      <c r="L1044" s="97">
        <v>2804.2280630140608</v>
      </c>
      <c r="M1044" s="97">
        <v>2804.8669424764489</v>
      </c>
      <c r="N1044" s="97">
        <v>2805.4996632830412</v>
      </c>
      <c r="O1044" s="97">
        <v>2806.1261867027324</v>
      </c>
      <c r="P1044" s="97">
        <v>2806.7464773450288</v>
      </c>
      <c r="Q1044" s="97">
        <v>2807.3605031151997</v>
      </c>
      <c r="R1044" s="97">
        <v>2807.9682351669603</v>
      </c>
      <c r="S1044" s="97">
        <v>2808.5696478528334</v>
      </c>
      <c r="T1044" s="97">
        <v>2809.1647186723312</v>
      </c>
      <c r="U1044" s="97">
        <v>2809.7534282181032</v>
      </c>
      <c r="V1044" s="97">
        <v>2810.3357601201956</v>
      </c>
      <c r="W1044" s="97">
        <v>2810.9117009885599</v>
      </c>
      <c r="X1044" s="97">
        <v>2811.481240353959</v>
      </c>
      <c r="Y1044" s="97">
        <v>2812.0443706073984</v>
      </c>
      <c r="Z1044" s="97">
        <v>2812.6010869382299</v>
      </c>
      <c r="AA1044" s="97">
        <v>2813.1513872710548</v>
      </c>
      <c r="AB1044" s="97">
        <v>2813.6952722015612</v>
      </c>
      <c r="AC1044" s="97">
        <v>2814.2327449314234</v>
      </c>
      <c r="AD1044" s="97">
        <v>2814.7638112023842</v>
      </c>
      <c r="AE1044" s="97">
        <v>2815.2884792296527</v>
      </c>
      <c r="AF1044" s="97">
        <v>2815.8067596347246</v>
      </c>
      <c r="AG1044" s="97">
        <v>2816.3186653777479</v>
      </c>
      <c r="AH1044" s="97">
        <v>2816.8242116895417</v>
      </c>
      <c r="AI1044" s="97">
        <v>2817.3234160033785</v>
      </c>
      <c r="AJ1044" s="97">
        <v>2817.8162978866326</v>
      </c>
      <c r="AK1044" s="97">
        <v>2818.3028789723917</v>
      </c>
      <c r="AL1044" s="97">
        <v>2818.7831828911339</v>
      </c>
      <c r="AM1044" s="97">
        <v>2819.2572352025563</v>
      </c>
      <c r="AN1044" s="97">
        <v>2819.7250633276467</v>
      </c>
      <c r="AO1044" s="97">
        <v>2820.1866964810783</v>
      </c>
      <c r="AP1044" s="97">
        <v>2820.6421656040138</v>
      </c>
      <c r="AQ1044" s="97">
        <v>2821.0915032973844</v>
      </c>
      <c r="AR1044" s="97">
        <v>2821.5347437557261</v>
      </c>
      <c r="AS1044" s="97">
        <v>2821.971922701633</v>
      </c>
      <c r="AT1044" s="97">
        <v>2822.4030773208965</v>
      </c>
      <c r="AU1044" s="97">
        <v>2822.8282461983831</v>
      </c>
      <c r="AV1044" s="97">
        <v>2823.2474692547162</v>
      </c>
      <c r="AW1044" s="97">
        <v>2823.6607876838043</v>
      </c>
      <c r="AX1044" s="98">
        <v>2824.0682438912718</v>
      </c>
    </row>
    <row r="1045" spans="1:50" x14ac:dyDescent="0.25">
      <c r="A1045" s="356"/>
      <c r="B1045" s="359"/>
      <c r="C1045" s="361" t="s">
        <v>15</v>
      </c>
      <c r="D1045" s="58" t="s">
        <v>7</v>
      </c>
      <c r="E1045" s="164" t="str">
        <f>A1011&amp;"/"&amp;B1037&amp;"/"&amp;C1045&amp;"/"&amp;D1045</f>
        <v>Lignite fired power plants/Steam turbine/Electricity only with CCS/L</v>
      </c>
      <c r="F1045" s="78" t="str">
        <f>A1011</f>
        <v>Lignite fired power plants</v>
      </c>
      <c r="G1045" s="78" t="str">
        <f>B1037</f>
        <v>Steam turbine</v>
      </c>
      <c r="H1045" s="78" t="str">
        <f>C1045</f>
        <v>Electricity only with CCS</v>
      </c>
      <c r="I1045" s="165" t="str">
        <f t="shared" si="94"/>
        <v>L</v>
      </c>
      <c r="J1045" s="95" t="s">
        <v>112</v>
      </c>
      <c r="K1045" s="95" t="s">
        <v>112</v>
      </c>
      <c r="L1045" s="95" t="s">
        <v>112</v>
      </c>
      <c r="M1045" s="95" t="s">
        <v>112</v>
      </c>
      <c r="N1045" s="95" t="s">
        <v>112</v>
      </c>
      <c r="O1045" s="95" t="s">
        <v>112</v>
      </c>
      <c r="P1045" s="95" t="s">
        <v>112</v>
      </c>
      <c r="Q1045" s="95" t="s">
        <v>112</v>
      </c>
      <c r="R1045" s="95" t="s">
        <v>112</v>
      </c>
      <c r="S1045" s="95" t="s">
        <v>112</v>
      </c>
      <c r="T1045" s="95" t="s">
        <v>112</v>
      </c>
      <c r="U1045" s="95" t="s">
        <v>112</v>
      </c>
      <c r="V1045" s="95" t="s">
        <v>112</v>
      </c>
      <c r="W1045" s="95" t="s">
        <v>112</v>
      </c>
      <c r="X1045" s="95" t="s">
        <v>112</v>
      </c>
      <c r="Y1045" s="95" t="s">
        <v>112</v>
      </c>
      <c r="Z1045" s="95" t="s">
        <v>112</v>
      </c>
      <c r="AA1045" s="95" t="s">
        <v>112</v>
      </c>
      <c r="AB1045" s="95" t="s">
        <v>112</v>
      </c>
      <c r="AC1045" s="95" t="s">
        <v>112</v>
      </c>
      <c r="AD1045" s="95" t="s">
        <v>112</v>
      </c>
      <c r="AE1045" s="95">
        <v>3794.9999999999995</v>
      </c>
      <c r="AF1045" s="95">
        <v>3794.9999999999995</v>
      </c>
      <c r="AG1045" s="95">
        <v>3794.9999999999995</v>
      </c>
      <c r="AH1045" s="95">
        <v>3794.9999999999995</v>
      </c>
      <c r="AI1045" s="95">
        <v>3794.9999999999995</v>
      </c>
      <c r="AJ1045" s="95">
        <v>3794.9999999999995</v>
      </c>
      <c r="AK1045" s="95">
        <v>3794.9999999999995</v>
      </c>
      <c r="AL1045" s="95">
        <v>3794.9999999999995</v>
      </c>
      <c r="AM1045" s="95">
        <v>3794.9999999999995</v>
      </c>
      <c r="AN1045" s="95">
        <v>3794.9999999999995</v>
      </c>
      <c r="AO1045" s="95">
        <v>3794.9999999999995</v>
      </c>
      <c r="AP1045" s="95">
        <v>3794.9999999999995</v>
      </c>
      <c r="AQ1045" s="95">
        <v>3794.9999999999995</v>
      </c>
      <c r="AR1045" s="95">
        <v>3794.9999999999995</v>
      </c>
      <c r="AS1045" s="95">
        <v>3794.9999999999995</v>
      </c>
      <c r="AT1045" s="95">
        <v>3794.9999999999995</v>
      </c>
      <c r="AU1045" s="95">
        <v>3794.9999999999995</v>
      </c>
      <c r="AV1045" s="95">
        <v>3794.9999999999995</v>
      </c>
      <c r="AW1045" s="95">
        <v>3794.9999999999995</v>
      </c>
      <c r="AX1045" s="96">
        <v>3794.9999999999995</v>
      </c>
    </row>
    <row r="1046" spans="1:50" x14ac:dyDescent="0.25">
      <c r="A1046" s="356"/>
      <c r="B1046" s="359"/>
      <c r="C1046" s="360"/>
      <c r="D1046" s="59" t="s">
        <v>8</v>
      </c>
      <c r="E1046" s="166" t="str">
        <f>A1011&amp;"/"&amp;B1037&amp;"/"&amp;C1045&amp;"/"&amp;D1046</f>
        <v>Lignite fired power plants/Steam turbine/Electricity only with CCS/M</v>
      </c>
      <c r="F1046" s="79" t="str">
        <f>A1011</f>
        <v>Lignite fired power plants</v>
      </c>
      <c r="G1046" s="79" t="str">
        <f>B1037</f>
        <v>Steam turbine</v>
      </c>
      <c r="H1046" s="79" t="str">
        <f>C1045</f>
        <v>Electricity only with CCS</v>
      </c>
      <c r="I1046" s="167" t="str">
        <f t="shared" si="94"/>
        <v>M</v>
      </c>
      <c r="J1046" s="97" t="s">
        <v>112</v>
      </c>
      <c r="K1046" s="97" t="s">
        <v>112</v>
      </c>
      <c r="L1046" s="97" t="s">
        <v>112</v>
      </c>
      <c r="M1046" s="97" t="s">
        <v>112</v>
      </c>
      <c r="N1046" s="97" t="s">
        <v>112</v>
      </c>
      <c r="O1046" s="97" t="s">
        <v>112</v>
      </c>
      <c r="P1046" s="97" t="s">
        <v>112</v>
      </c>
      <c r="Q1046" s="97" t="s">
        <v>112</v>
      </c>
      <c r="R1046" s="97" t="s">
        <v>112</v>
      </c>
      <c r="S1046" s="97" t="s">
        <v>112</v>
      </c>
      <c r="T1046" s="97" t="s">
        <v>112</v>
      </c>
      <c r="U1046" s="97" t="s">
        <v>112</v>
      </c>
      <c r="V1046" s="97" t="s">
        <v>112</v>
      </c>
      <c r="W1046" s="97" t="s">
        <v>112</v>
      </c>
      <c r="X1046" s="97" t="s">
        <v>112</v>
      </c>
      <c r="Y1046" s="97" t="s">
        <v>112</v>
      </c>
      <c r="Z1046" s="97" t="s">
        <v>112</v>
      </c>
      <c r="AA1046" s="97" t="s">
        <v>112</v>
      </c>
      <c r="AB1046" s="97" t="s">
        <v>112</v>
      </c>
      <c r="AC1046" s="97" t="s">
        <v>112</v>
      </c>
      <c r="AD1046" s="97" t="s">
        <v>112</v>
      </c>
      <c r="AE1046" s="97">
        <v>4292.25</v>
      </c>
      <c r="AF1046" s="97">
        <v>4292.25</v>
      </c>
      <c r="AG1046" s="97">
        <v>4292.25</v>
      </c>
      <c r="AH1046" s="97">
        <v>4292.25</v>
      </c>
      <c r="AI1046" s="97">
        <v>4292.25</v>
      </c>
      <c r="AJ1046" s="97">
        <v>4292.25</v>
      </c>
      <c r="AK1046" s="97">
        <v>4292.25</v>
      </c>
      <c r="AL1046" s="97">
        <v>4292.25</v>
      </c>
      <c r="AM1046" s="97">
        <v>4292.25</v>
      </c>
      <c r="AN1046" s="97">
        <v>4292.25</v>
      </c>
      <c r="AO1046" s="97">
        <v>4292.25</v>
      </c>
      <c r="AP1046" s="97">
        <v>4292.25</v>
      </c>
      <c r="AQ1046" s="97">
        <v>4292.25</v>
      </c>
      <c r="AR1046" s="97">
        <v>4292.25</v>
      </c>
      <c r="AS1046" s="97">
        <v>4292.25</v>
      </c>
      <c r="AT1046" s="97">
        <v>4292.25</v>
      </c>
      <c r="AU1046" s="97">
        <v>4292.25</v>
      </c>
      <c r="AV1046" s="97">
        <v>4292.25</v>
      </c>
      <c r="AW1046" s="97">
        <v>4292.25</v>
      </c>
      <c r="AX1046" s="98">
        <v>4292.25</v>
      </c>
    </row>
    <row r="1047" spans="1:50" x14ac:dyDescent="0.25">
      <c r="A1047" s="356"/>
      <c r="B1047" s="359"/>
      <c r="C1047" s="361" t="s">
        <v>16</v>
      </c>
      <c r="D1047" s="2" t="s">
        <v>7</v>
      </c>
      <c r="E1047" s="160" t="str">
        <f>A1011&amp;"/"&amp;B1037&amp;"/"&amp;C1047&amp;"/"&amp;D1047</f>
        <v>Lignite fired power plants/Steam turbine/CHP with CCS/L</v>
      </c>
      <c r="F1047" s="76" t="str">
        <f>A1011</f>
        <v>Lignite fired power plants</v>
      </c>
      <c r="G1047" s="76" t="str">
        <f>B1037</f>
        <v>Steam turbine</v>
      </c>
      <c r="H1047" s="76" t="str">
        <f>C1047</f>
        <v>CHP with CCS</v>
      </c>
      <c r="I1047" s="161" t="str">
        <f t="shared" si="94"/>
        <v>L</v>
      </c>
      <c r="J1047" s="91" t="s">
        <v>112</v>
      </c>
      <c r="K1047" s="91" t="s">
        <v>112</v>
      </c>
      <c r="L1047" s="91" t="s">
        <v>112</v>
      </c>
      <c r="M1047" s="91" t="s">
        <v>112</v>
      </c>
      <c r="N1047" s="91" t="s">
        <v>112</v>
      </c>
      <c r="O1047" s="91" t="s">
        <v>112</v>
      </c>
      <c r="P1047" s="91" t="s">
        <v>112</v>
      </c>
      <c r="Q1047" s="91" t="s">
        <v>112</v>
      </c>
      <c r="R1047" s="91" t="s">
        <v>112</v>
      </c>
      <c r="S1047" s="91" t="s">
        <v>112</v>
      </c>
      <c r="T1047" s="91" t="s">
        <v>112</v>
      </c>
      <c r="U1047" s="91" t="s">
        <v>112</v>
      </c>
      <c r="V1047" s="91" t="s">
        <v>112</v>
      </c>
      <c r="W1047" s="91" t="s">
        <v>112</v>
      </c>
      <c r="X1047" s="91" t="s">
        <v>112</v>
      </c>
      <c r="Y1047" s="91" t="s">
        <v>112</v>
      </c>
      <c r="Z1047" s="91" t="s">
        <v>112</v>
      </c>
      <c r="AA1047" s="91" t="s">
        <v>112</v>
      </c>
      <c r="AB1047" s="91" t="s">
        <v>112</v>
      </c>
      <c r="AC1047" s="91" t="s">
        <v>112</v>
      </c>
      <c r="AD1047" s="91" t="s">
        <v>112</v>
      </c>
      <c r="AE1047" s="91">
        <v>4185</v>
      </c>
      <c r="AF1047" s="91">
        <v>4185</v>
      </c>
      <c r="AG1047" s="91">
        <v>4185</v>
      </c>
      <c r="AH1047" s="91">
        <v>4185</v>
      </c>
      <c r="AI1047" s="91">
        <v>4185</v>
      </c>
      <c r="AJ1047" s="91">
        <v>4185</v>
      </c>
      <c r="AK1047" s="91">
        <v>4185</v>
      </c>
      <c r="AL1047" s="91">
        <v>4185</v>
      </c>
      <c r="AM1047" s="91">
        <v>4185</v>
      </c>
      <c r="AN1047" s="91">
        <v>4185</v>
      </c>
      <c r="AO1047" s="91">
        <v>4185</v>
      </c>
      <c r="AP1047" s="91">
        <v>4185</v>
      </c>
      <c r="AQ1047" s="91">
        <v>4185</v>
      </c>
      <c r="AR1047" s="91">
        <v>4185</v>
      </c>
      <c r="AS1047" s="91">
        <v>4185</v>
      </c>
      <c r="AT1047" s="91">
        <v>4185</v>
      </c>
      <c r="AU1047" s="91">
        <v>4185</v>
      </c>
      <c r="AV1047" s="91">
        <v>4185</v>
      </c>
      <c r="AW1047" s="91">
        <v>4185</v>
      </c>
      <c r="AX1047" s="92">
        <v>4185</v>
      </c>
    </row>
    <row r="1048" spans="1:50" x14ac:dyDescent="0.25">
      <c r="A1048" s="357"/>
      <c r="B1048" s="362"/>
      <c r="C1048" s="354"/>
      <c r="D1048" s="4" t="s">
        <v>8</v>
      </c>
      <c r="E1048" s="168" t="str">
        <f>A1011&amp;"/"&amp;B1037&amp;"/"&amp;C1047&amp;"/"&amp;D1048</f>
        <v>Lignite fired power plants/Steam turbine/CHP with CCS/M</v>
      </c>
      <c r="F1048" s="80" t="str">
        <f>A1011</f>
        <v>Lignite fired power plants</v>
      </c>
      <c r="G1048" s="80" t="str">
        <f>B1037</f>
        <v>Steam turbine</v>
      </c>
      <c r="H1048" s="80" t="str">
        <f>C1047</f>
        <v>CHP with CCS</v>
      </c>
      <c r="I1048" s="169" t="str">
        <f t="shared" si="94"/>
        <v>M</v>
      </c>
      <c r="J1048" s="99" t="s">
        <v>112</v>
      </c>
      <c r="K1048" s="99" t="s">
        <v>112</v>
      </c>
      <c r="L1048" s="99" t="s">
        <v>112</v>
      </c>
      <c r="M1048" s="99" t="s">
        <v>112</v>
      </c>
      <c r="N1048" s="99" t="s">
        <v>112</v>
      </c>
      <c r="O1048" s="99" t="s">
        <v>112</v>
      </c>
      <c r="P1048" s="99" t="s">
        <v>112</v>
      </c>
      <c r="Q1048" s="99" t="s">
        <v>112</v>
      </c>
      <c r="R1048" s="99" t="s">
        <v>112</v>
      </c>
      <c r="S1048" s="99" t="s">
        <v>112</v>
      </c>
      <c r="T1048" s="99" t="s">
        <v>112</v>
      </c>
      <c r="U1048" s="99" t="s">
        <v>112</v>
      </c>
      <c r="V1048" s="99" t="s">
        <v>112</v>
      </c>
      <c r="W1048" s="99" t="s">
        <v>112</v>
      </c>
      <c r="X1048" s="99" t="s">
        <v>112</v>
      </c>
      <c r="Y1048" s="99" t="s">
        <v>112</v>
      </c>
      <c r="Z1048" s="99" t="s">
        <v>112</v>
      </c>
      <c r="AA1048" s="99" t="s">
        <v>112</v>
      </c>
      <c r="AB1048" s="99" t="s">
        <v>112</v>
      </c>
      <c r="AC1048" s="99" t="s">
        <v>112</v>
      </c>
      <c r="AD1048" s="99" t="s">
        <v>112</v>
      </c>
      <c r="AE1048" s="99">
        <v>4682.25</v>
      </c>
      <c r="AF1048" s="99">
        <v>4682.25</v>
      </c>
      <c r="AG1048" s="99">
        <v>4682.25</v>
      </c>
      <c r="AH1048" s="99">
        <v>4682.25</v>
      </c>
      <c r="AI1048" s="99">
        <v>4682.25</v>
      </c>
      <c r="AJ1048" s="99">
        <v>4682.25</v>
      </c>
      <c r="AK1048" s="99">
        <v>4682.25</v>
      </c>
      <c r="AL1048" s="99">
        <v>4682.25</v>
      </c>
      <c r="AM1048" s="99">
        <v>4682.25</v>
      </c>
      <c r="AN1048" s="99">
        <v>4682.25</v>
      </c>
      <c r="AO1048" s="99">
        <v>4682.25</v>
      </c>
      <c r="AP1048" s="99">
        <v>4682.25</v>
      </c>
      <c r="AQ1048" s="99">
        <v>4682.25</v>
      </c>
      <c r="AR1048" s="99">
        <v>4682.25</v>
      </c>
      <c r="AS1048" s="99">
        <v>4682.25</v>
      </c>
      <c r="AT1048" s="99">
        <v>4682.25</v>
      </c>
      <c r="AU1048" s="99">
        <v>4682.25</v>
      </c>
      <c r="AV1048" s="99">
        <v>4682.25</v>
      </c>
      <c r="AW1048" s="99">
        <v>4682.25</v>
      </c>
      <c r="AX1048" s="100">
        <v>4682.25</v>
      </c>
    </row>
    <row r="1049" spans="1:50" x14ac:dyDescent="0.25">
      <c r="A1049" s="356" t="s">
        <v>22</v>
      </c>
      <c r="B1049" s="358" t="s">
        <v>23</v>
      </c>
      <c r="C1049" s="353" t="s">
        <v>6</v>
      </c>
      <c r="D1049" s="3" t="s">
        <v>7</v>
      </c>
      <c r="E1049" s="162" t="str">
        <f>A1049&amp;"/"&amp;B1049&amp;"/"&amp;C1049&amp;"/"&amp;D1049</f>
        <v>Gas fired power plants (Natural gas, biogas)/Gas turbine combined cycle/Electricity only/L</v>
      </c>
      <c r="F1049" s="77" t="str">
        <f>A1049</f>
        <v>Gas fired power plants (Natural gas, biogas)</v>
      </c>
      <c r="G1049" s="77" t="str">
        <f>B1049</f>
        <v>Gas turbine combined cycle</v>
      </c>
      <c r="H1049" s="77" t="str">
        <f>C1049</f>
        <v>Electricity only</v>
      </c>
      <c r="I1049" s="163" t="str">
        <f t="shared" si="94"/>
        <v>L</v>
      </c>
      <c r="J1049" s="93">
        <v>875</v>
      </c>
      <c r="K1049" s="93">
        <v>874.37997391297836</v>
      </c>
      <c r="L1049" s="93">
        <v>873.63332598751833</v>
      </c>
      <c r="M1049" s="93">
        <v>872.73690466890469</v>
      </c>
      <c r="N1049" s="93">
        <v>871.66456184885965</v>
      </c>
      <c r="O1049" s="93">
        <v>870.38733662437187</v>
      </c>
      <c r="P1049" s="93">
        <v>868.87395788758727</v>
      </c>
      <c r="Q1049" s="93">
        <v>867.0917860939021</v>
      </c>
      <c r="R1049" s="93">
        <v>865.00831995549424</v>
      </c>
      <c r="S1049" s="93">
        <v>862.59337453744195</v>
      </c>
      <c r="T1049" s="93">
        <v>859.82197796499577</v>
      </c>
      <c r="U1049" s="93">
        <v>856.67792017047873</v>
      </c>
      <c r="V1049" s="93">
        <v>853.15771297175434</v>
      </c>
      <c r="W1049" s="93">
        <v>849.27450067645441</v>
      </c>
      <c r="X1049" s="93">
        <v>845.06124048435481</v>
      </c>
      <c r="Y1049" s="93">
        <v>840.5723330046668</v>
      </c>
      <c r="Z1049" s="93">
        <v>835.88292391335381</v>
      </c>
      <c r="AA1049" s="93">
        <v>831.08539272724624</v>
      </c>
      <c r="AB1049" s="93">
        <v>826.28308829890113</v>
      </c>
      <c r="AC1049" s="93">
        <v>821.58203992163112</v>
      </c>
      <c r="AD1049" s="93">
        <v>817.08194775937545</v>
      </c>
      <c r="AE1049" s="93">
        <v>812.8680089227355</v>
      </c>
      <c r="AF1049" s="93">
        <v>809.00494822602161</v>
      </c>
      <c r="AG1049" s="93">
        <v>805.53405838257879</v>
      </c>
      <c r="AH1049" s="93">
        <v>802.47332747395455</v>
      </c>
      <c r="AI1049" s="93">
        <v>799.82009652279658</v>
      </c>
      <c r="AJ1049" s="93">
        <v>797.55532270203616</v>
      </c>
      <c r="AK1049" s="93">
        <v>795.64846432514764</v>
      </c>
      <c r="AL1049" s="93">
        <v>794.06217841892214</v>
      </c>
      <c r="AM1049" s="93">
        <v>792.75630756851115</v>
      </c>
      <c r="AN1049" s="93">
        <v>791.69091967338443</v>
      </c>
      <c r="AO1049" s="93">
        <v>790.82838618554638</v>
      </c>
      <c r="AP1049" s="93">
        <v>790.13462060969437</v>
      </c>
      <c r="AQ1049" s="93">
        <v>789.57965920214474</v>
      </c>
      <c r="AR1049" s="93">
        <v>789.13777258355151</v>
      </c>
      <c r="AS1049" s="93">
        <v>788.78727368466014</v>
      </c>
      <c r="AT1049" s="93">
        <v>788.51015203152963</v>
      </c>
      <c r="AU1049" s="93">
        <v>788.29162815463985</v>
      </c>
      <c r="AV1049" s="93">
        <v>788.11969062663877</v>
      </c>
      <c r="AW1049" s="93">
        <v>787.98465389464786</v>
      </c>
      <c r="AX1049" s="94">
        <v>787.87875755140465</v>
      </c>
    </row>
    <row r="1050" spans="1:50" x14ac:dyDescent="0.25">
      <c r="A1050" s="356"/>
      <c r="B1050" s="359"/>
      <c r="C1050" s="350"/>
      <c r="D1050" s="2" t="s">
        <v>8</v>
      </c>
      <c r="E1050" s="160" t="str">
        <f>A1049&amp;"/"&amp;B1049&amp;"/"&amp;C1049&amp;"/"&amp;D1050</f>
        <v>Gas fired power plants (Natural gas, biogas)/Gas turbine combined cycle/Electricity only/M</v>
      </c>
      <c r="F1050" s="76" t="str">
        <f>A1049</f>
        <v>Gas fired power plants (Natural gas, biogas)</v>
      </c>
      <c r="G1050" s="76" t="str">
        <f>B1049</f>
        <v>Gas turbine combined cycle</v>
      </c>
      <c r="H1050" s="76" t="str">
        <f>C1049</f>
        <v>Electricity only</v>
      </c>
      <c r="I1050" s="161" t="str">
        <f t="shared" si="94"/>
        <v>M</v>
      </c>
      <c r="J1050" s="91">
        <v>910</v>
      </c>
      <c r="K1050" s="91">
        <v>909.83763748678518</v>
      </c>
      <c r="L1050" s="91">
        <v>909.62985382710394</v>
      </c>
      <c r="M1050" s="91">
        <v>909.3641921299926</v>
      </c>
      <c r="N1050" s="91">
        <v>909.02493845083893</v>
      </c>
      <c r="O1050" s="91">
        <v>908.59237145754082</v>
      </c>
      <c r="P1050" s="91">
        <v>908.04190422480019</v>
      </c>
      <c r="Q1050" s="91">
        <v>907.34314723153841</v>
      </c>
      <c r="R1050" s="91">
        <v>906.45895990536815</v>
      </c>
      <c r="S1050" s="91">
        <v>905.34461823545348</v>
      </c>
      <c r="T1050" s="91">
        <v>903.9473140289607</v>
      </c>
      <c r="U1050" s="91">
        <v>902.20631938650001</v>
      </c>
      <c r="V1050" s="91">
        <v>900.05428898539196</v>
      </c>
      <c r="W1050" s="91">
        <v>897.42030119551885</v>
      </c>
      <c r="X1050" s="91">
        <v>894.23528791365652</v>
      </c>
      <c r="Y1050" s="91">
        <v>890.44035596479034</v>
      </c>
      <c r="Z1050" s="91">
        <v>885.99801033057224</v>
      </c>
      <c r="AA1050" s="91">
        <v>880.90533551429291</v>
      </c>
      <c r="AB1050" s="91">
        <v>875.20683365332854</v>
      </c>
      <c r="AC1050" s="91">
        <v>869.00325895879973</v>
      </c>
      <c r="AD1050" s="91">
        <v>862.45222474134584</v>
      </c>
      <c r="AE1050" s="91">
        <v>855.7574882628362</v>
      </c>
      <c r="AF1050" s="91">
        <v>849.14694372715849</v>
      </c>
      <c r="AG1050" s="91">
        <v>842.84352103899994</v>
      </c>
      <c r="AH1050" s="91">
        <v>837.0363307706142</v>
      </c>
      <c r="AI1050" s="91">
        <v>831.85960092101266</v>
      </c>
      <c r="AJ1050" s="91">
        <v>827.38395852597012</v>
      </c>
      <c r="AK1050" s="91">
        <v>823.62010262145873</v>
      </c>
      <c r="AL1050" s="91">
        <v>820.5312475593372</v>
      </c>
      <c r="AM1050" s="91">
        <v>818.04929196919022</v>
      </c>
      <c r="AN1050" s="91">
        <v>816.09036466097177</v>
      </c>
      <c r="AO1050" s="91">
        <v>814.56715888879035</v>
      </c>
      <c r="AP1050" s="91">
        <v>813.39722445572158</v>
      </c>
      <c r="AQ1050" s="91">
        <v>812.50757370712029</v>
      </c>
      <c r="AR1050" s="91">
        <v>811.83649662072298</v>
      </c>
      <c r="AS1050" s="91">
        <v>811.33355427636127</v>
      </c>
      <c r="AT1050" s="91">
        <v>810.95855609452292</v>
      </c>
      <c r="AU1050" s="91">
        <v>810.68009200300537</v>
      </c>
      <c r="AV1050" s="91">
        <v>810.47397627202645</v>
      </c>
      <c r="AW1050" s="91">
        <v>810.32179803253234</v>
      </c>
      <c r="AX1050" s="92">
        <v>810.20966599980545</v>
      </c>
    </row>
    <row r="1051" spans="1:50" x14ac:dyDescent="0.25">
      <c r="A1051" s="356"/>
      <c r="B1051" s="359"/>
      <c r="C1051" s="350"/>
      <c r="D1051" s="2" t="s">
        <v>10</v>
      </c>
      <c r="E1051" s="160" t="str">
        <f>A1049&amp;"/"&amp;B1049&amp;"/"&amp;C1049&amp;"/"&amp;D1051</f>
        <v>Gas fired power plants (Natural gas, biogas)/Gas turbine combined cycle/Electricity only/S</v>
      </c>
      <c r="F1051" s="76" t="str">
        <f>A1049</f>
        <v>Gas fired power plants (Natural gas, biogas)</v>
      </c>
      <c r="G1051" s="76" t="str">
        <f>B1049</f>
        <v>Gas turbine combined cycle</v>
      </c>
      <c r="H1051" s="76" t="str">
        <f>C1049</f>
        <v>Electricity only</v>
      </c>
      <c r="I1051" s="161" t="str">
        <f t="shared" si="94"/>
        <v>S</v>
      </c>
      <c r="J1051" s="91">
        <v>978.25</v>
      </c>
      <c r="K1051" s="91">
        <v>978.23226696529025</v>
      </c>
      <c r="L1051" s="91">
        <v>978.20833773053585</v>
      </c>
      <c r="M1051" s="91">
        <v>978.17605095294289</v>
      </c>
      <c r="N1051" s="91">
        <v>978.13249441768448</v>
      </c>
      <c r="O1051" s="91">
        <v>978.07374667277043</v>
      </c>
      <c r="P1051" s="91">
        <v>977.99453181066667</v>
      </c>
      <c r="Q1051" s="91">
        <v>977.88775988264968</v>
      </c>
      <c r="R1051" s="91">
        <v>977.7439181147447</v>
      </c>
      <c r="S1051" s="91">
        <v>977.55027003963016</v>
      </c>
      <c r="T1051" s="91">
        <v>977.28981199998316</v>
      </c>
      <c r="U1051" s="91">
        <v>976.93993173706826</v>
      </c>
      <c r="V1051" s="91">
        <v>976.47071695936154</v>
      </c>
      <c r="W1051" s="91">
        <v>975.84288208565545</v>
      </c>
      <c r="X1051" s="91">
        <v>975.00533455035645</v>
      </c>
      <c r="Y1051" s="91">
        <v>973.89251319243965</v>
      </c>
      <c r="Z1051" s="91">
        <v>972.42183601712054</v>
      </c>
      <c r="AA1051" s="91">
        <v>970.491935008459</v>
      </c>
      <c r="AB1051" s="91">
        <v>967.9828604882</v>
      </c>
      <c r="AC1051" s="91">
        <v>964.76007231510505</v>
      </c>
      <c r="AD1051" s="91">
        <v>960.6846065611968</v>
      </c>
      <c r="AE1051" s="91">
        <v>955.63183369208082</v>
      </c>
      <c r="AF1051" s="91">
        <v>949.51988462431564</v>
      </c>
      <c r="AG1051" s="91">
        <v>942.3452276809262</v>
      </c>
      <c r="AH1051" s="91">
        <v>934.21701473295957</v>
      </c>
      <c r="AI1051" s="91">
        <v>925.37594450732934</v>
      </c>
      <c r="AJ1051" s="91">
        <v>916.18247432193414</v>
      </c>
      <c r="AK1051" s="91">
        <v>907.06797201401309</v>
      </c>
      <c r="AL1051" s="91">
        <v>898.45941326571312</v>
      </c>
      <c r="AM1051" s="91">
        <v>890.70330934502351</v>
      </c>
      <c r="AN1051" s="91">
        <v>884.0159154556884</v>
      </c>
      <c r="AO1051" s="91">
        <v>878.47278249684575</v>
      </c>
      <c r="AP1051" s="91">
        <v>874.03201985623832</v>
      </c>
      <c r="AQ1051" s="91">
        <v>870.5745250387082</v>
      </c>
      <c r="AR1051" s="91">
        <v>867.94457916416877</v>
      </c>
      <c r="AS1051" s="91">
        <v>865.98098867768124</v>
      </c>
      <c r="AT1051" s="91">
        <v>864.53617243940255</v>
      </c>
      <c r="AU1051" s="91">
        <v>863.48502282746392</v>
      </c>
      <c r="AV1051" s="91">
        <v>862.72687105409511</v>
      </c>
      <c r="AW1051" s="91">
        <v>862.18363144847808</v>
      </c>
      <c r="AX1051" s="92">
        <v>861.79631089554448</v>
      </c>
    </row>
    <row r="1052" spans="1:50" x14ac:dyDescent="0.25">
      <c r="A1052" s="356"/>
      <c r="B1052" s="359"/>
      <c r="C1052" s="360"/>
      <c r="D1052" s="2" t="s">
        <v>20</v>
      </c>
      <c r="E1052" s="160" t="str">
        <f>A1049&amp;"/"&amp;B1049&amp;"/"&amp;C1049&amp;"/"&amp;D1052</f>
        <v>Gas fired power plants (Natural gas, biogas)/Gas turbine combined cycle/Electricity only/XS</v>
      </c>
      <c r="F1052" s="76" t="str">
        <f>A1049</f>
        <v>Gas fired power plants (Natural gas, biogas)</v>
      </c>
      <c r="G1052" s="76" t="str">
        <f>B1049</f>
        <v>Gas turbine combined cycle</v>
      </c>
      <c r="H1052" s="76" t="str">
        <f>C1049</f>
        <v>Electricity only</v>
      </c>
      <c r="I1052" s="161" t="str">
        <f t="shared" si="94"/>
        <v>XS</v>
      </c>
      <c r="J1052" s="91">
        <v>1124.9875</v>
      </c>
      <c r="K1052" s="91">
        <v>1124.9843726680001</v>
      </c>
      <c r="L1052" s="91">
        <v>1124.9801514128671</v>
      </c>
      <c r="M1052" s="91">
        <v>1124.9744536815936</v>
      </c>
      <c r="N1052" s="91">
        <v>1124.9667632177609</v>
      </c>
      <c r="O1052" s="91">
        <v>1124.9563833960706</v>
      </c>
      <c r="P1052" s="91">
        <v>1124.9423743224086</v>
      </c>
      <c r="Q1052" s="91">
        <v>1124.9234680950492</v>
      </c>
      <c r="R1052" s="91">
        <v>1124.8979547236293</v>
      </c>
      <c r="S1052" s="91">
        <v>1124.8635286896595</v>
      </c>
      <c r="T1052" s="91">
        <v>1124.8170828318928</v>
      </c>
      <c r="U1052" s="91">
        <v>1124.7544319505366</v>
      </c>
      <c r="V1052" s="91">
        <v>1124.6699430338263</v>
      </c>
      <c r="W1052" s="91">
        <v>1124.556042138644</v>
      </c>
      <c r="X1052" s="91">
        <v>1124.4025596486326</v>
      </c>
      <c r="Y1052" s="91">
        <v>1124.1958661444694</v>
      </c>
      <c r="Z1052" s="91">
        <v>1123.9177413676093</v>
      </c>
      <c r="AA1052" s="91">
        <v>1123.5439109427903</v>
      </c>
      <c r="AB1052" s="91">
        <v>1123.0421842021969</v>
      </c>
      <c r="AC1052" s="91">
        <v>1122.3701402534155</v>
      </c>
      <c r="AD1052" s="91">
        <v>1121.4723535819567</v>
      </c>
      <c r="AE1052" s="91">
        <v>1120.2772499853281</v>
      </c>
      <c r="AF1052" s="91">
        <v>1118.6938759517973</v>
      </c>
      <c r="AG1052" s="91">
        <v>1116.6091981504755</v>
      </c>
      <c r="AH1052" s="91">
        <v>1113.8870698576368</v>
      </c>
      <c r="AI1052" s="91">
        <v>1110.3707080868558</v>
      </c>
      <c r="AJ1052" s="91">
        <v>1105.8912837665825</v>
      </c>
      <c r="AK1052" s="91">
        <v>1100.2856250724037</v>
      </c>
      <c r="AL1052" s="91">
        <v>1093.4252569432963</v>
      </c>
      <c r="AM1052" s="91">
        <v>1085.2559554886159</v>
      </c>
      <c r="AN1052" s="91">
        <v>1075.8410687167984</v>
      </c>
      <c r="AO1052" s="91">
        <v>1065.3944291534785</v>
      </c>
      <c r="AP1052" s="91">
        <v>1054.2843923160431</v>
      </c>
      <c r="AQ1052" s="91">
        <v>1042.995659266862</v>
      </c>
      <c r="AR1052" s="91">
        <v>1032.0521193089971</v>
      </c>
      <c r="AS1052" s="91">
        <v>1021.9241193091365</v>
      </c>
      <c r="AT1052" s="91">
        <v>1012.9530016447582</v>
      </c>
      <c r="AU1052" s="91">
        <v>1005.3165893031884</v>
      </c>
      <c r="AV1052" s="91">
        <v>999.03853500608307</v>
      </c>
      <c r="AW1052" s="91">
        <v>994.02690120315128</v>
      </c>
      <c r="AX1052" s="92">
        <v>990.12192956030265</v>
      </c>
    </row>
    <row r="1053" spans="1:50" x14ac:dyDescent="0.25">
      <c r="A1053" s="356"/>
      <c r="B1053" s="359"/>
      <c r="C1053" s="361" t="s">
        <v>14</v>
      </c>
      <c r="D1053" s="58" t="s">
        <v>7</v>
      </c>
      <c r="E1053" s="164" t="str">
        <f>A1049&amp;"/"&amp;B1049&amp;"/"&amp;C1053&amp;"/"&amp;D1053</f>
        <v>Gas fired power plants (Natural gas, biogas)/Gas turbine combined cycle/CHP/L</v>
      </c>
      <c r="F1053" s="78" t="str">
        <f>A1049</f>
        <v>Gas fired power plants (Natural gas, biogas)</v>
      </c>
      <c r="G1053" s="78" t="str">
        <f>B1049</f>
        <v>Gas turbine combined cycle</v>
      </c>
      <c r="H1053" s="78" t="str">
        <f>C1053</f>
        <v>CHP</v>
      </c>
      <c r="I1053" s="165" t="str">
        <f t="shared" si="94"/>
        <v>L</v>
      </c>
      <c r="J1053" s="95">
        <v>1200</v>
      </c>
      <c r="K1053" s="95">
        <v>1199.319742807382</v>
      </c>
      <c r="L1053" s="95">
        <v>1198.500563369163</v>
      </c>
      <c r="M1053" s="95">
        <v>1197.5170611224555</v>
      </c>
      <c r="N1053" s="95">
        <v>1196.3405478570346</v>
      </c>
      <c r="O1053" s="95">
        <v>1194.9392493250252</v>
      </c>
      <c r="P1053" s="95">
        <v>1193.27885665381</v>
      </c>
      <c r="Q1053" s="95">
        <v>1191.3235596001668</v>
      </c>
      <c r="R1053" s="95">
        <v>1189.0376996083137</v>
      </c>
      <c r="S1053" s="95">
        <v>1186.3881594925076</v>
      </c>
      <c r="T1053" s="95">
        <v>1183.3475415387381</v>
      </c>
      <c r="U1053" s="95">
        <v>1179.8980609870396</v>
      </c>
      <c r="V1053" s="95">
        <v>1176.0358908032963</v>
      </c>
      <c r="W1053" s="95">
        <v>1171.7754521707386</v>
      </c>
      <c r="X1053" s="95">
        <v>1167.152903845692</v>
      </c>
      <c r="Y1053" s="95">
        <v>1162.2279310679774</v>
      </c>
      <c r="Z1053" s="95">
        <v>1157.0829793792225</v>
      </c>
      <c r="AA1053" s="95">
        <v>1151.8194023064643</v>
      </c>
      <c r="AB1053" s="95">
        <v>1146.5505883050801</v>
      </c>
      <c r="AC1053" s="95">
        <v>1141.3928666568752</v>
      </c>
      <c r="AD1053" s="95">
        <v>1136.4556226845718</v>
      </c>
      <c r="AE1053" s="95">
        <v>1131.8323297895156</v>
      </c>
      <c r="AF1053" s="95">
        <v>1127.5940003394066</v>
      </c>
      <c r="AG1053" s="95">
        <v>1123.7859383397436</v>
      </c>
      <c r="AH1053" s="95">
        <v>1120.4278792857101</v>
      </c>
      <c r="AI1053" s="95">
        <v>1117.5169058992969</v>
      </c>
      <c r="AJ1053" s="95">
        <v>1115.0321254788055</v>
      </c>
      <c r="AK1053" s="95">
        <v>1112.9400294310192</v>
      </c>
      <c r="AL1053" s="95">
        <v>1111.1996471796174</v>
      </c>
      <c r="AM1053" s="95">
        <v>1109.7669203037378</v>
      </c>
      <c r="AN1053" s="95">
        <v>1108.5980375845131</v>
      </c>
      <c r="AO1053" s="95">
        <v>1107.6517151292851</v>
      </c>
      <c r="AP1053" s="95">
        <v>1106.8905551832077</v>
      </c>
      <c r="AQ1053" s="95">
        <v>1106.2816832389244</v>
      </c>
      <c r="AR1053" s="95">
        <v>1105.796870491668</v>
      </c>
      <c r="AS1053" s="95">
        <v>1105.4123231283127</v>
      </c>
      <c r="AT1053" s="95">
        <v>1105.108281086021</v>
      </c>
      <c r="AU1053" s="95">
        <v>1104.8685291753764</v>
      </c>
      <c r="AV1053" s="95">
        <v>1104.6798891446551</v>
      </c>
      <c r="AW1053" s="95">
        <v>1104.5317345586993</v>
      </c>
      <c r="AX1053" s="96">
        <v>1104.4155511421125</v>
      </c>
    </row>
    <row r="1054" spans="1:50" x14ac:dyDescent="0.25">
      <c r="A1054" s="356"/>
      <c r="B1054" s="359"/>
      <c r="C1054" s="350"/>
      <c r="D1054" s="2" t="s">
        <v>8</v>
      </c>
      <c r="E1054" s="160" t="str">
        <f>A1049&amp;"/"&amp;B1049&amp;"/"&amp;C1053&amp;"/"&amp;D1054</f>
        <v>Gas fired power plants (Natural gas, biogas)/Gas turbine combined cycle/CHP/M</v>
      </c>
      <c r="F1054" s="76" t="str">
        <f>A1049</f>
        <v>Gas fired power plants (Natural gas, biogas)</v>
      </c>
      <c r="G1054" s="76" t="str">
        <f>B1049</f>
        <v>Gas turbine combined cycle</v>
      </c>
      <c r="H1054" s="76" t="str">
        <f>C1053</f>
        <v>CHP</v>
      </c>
      <c r="I1054" s="161" t="str">
        <f t="shared" si="94"/>
        <v>M</v>
      </c>
      <c r="J1054" s="91">
        <v>1235</v>
      </c>
      <c r="K1054" s="91">
        <v>1234.8197143522098</v>
      </c>
      <c r="L1054" s="91">
        <v>1234.5889935352909</v>
      </c>
      <c r="M1054" s="91">
        <v>1234.2940055469401</v>
      </c>
      <c r="N1054" s="91">
        <v>1233.9173017863213</v>
      </c>
      <c r="O1054" s="91">
        <v>1233.4369838911657</v>
      </c>
      <c r="P1054" s="91">
        <v>1232.8257507950705</v>
      </c>
      <c r="Q1054" s="91">
        <v>1232.0498582895655</v>
      </c>
      <c r="R1054" s="91">
        <v>1231.0680658689478</v>
      </c>
      <c r="S1054" s="91">
        <v>1229.8307124562505</v>
      </c>
      <c r="T1054" s="91">
        <v>1228.279160382807</v>
      </c>
      <c r="U1054" s="91">
        <v>1226.3459780200749</v>
      </c>
      <c r="V1054" s="91">
        <v>1223.9563858214419</v>
      </c>
      <c r="W1054" s="91">
        <v>1221.0316331456736</v>
      </c>
      <c r="X1054" s="91">
        <v>1217.4950274885409</v>
      </c>
      <c r="Y1054" s="91">
        <v>1213.2811744803842</v>
      </c>
      <c r="Z1054" s="91">
        <v>1208.3484400423888</v>
      </c>
      <c r="AA1054" s="91">
        <v>1202.6935868372993</v>
      </c>
      <c r="AB1054" s="91">
        <v>1196.3660295760988</v>
      </c>
      <c r="AC1054" s="91">
        <v>1189.477644688018</v>
      </c>
      <c r="AD1054" s="91">
        <v>1182.2034443556504</v>
      </c>
      <c r="AE1054" s="91">
        <v>1174.7696785256169</v>
      </c>
      <c r="AF1054" s="91">
        <v>1167.4293985541826</v>
      </c>
      <c r="AG1054" s="91">
        <v>1160.4301434913573</v>
      </c>
      <c r="AH1054" s="91">
        <v>1153.9818997517862</v>
      </c>
      <c r="AI1054" s="91">
        <v>1148.2337127109947</v>
      </c>
      <c r="AJ1054" s="91">
        <v>1143.2640058957202</v>
      </c>
      <c r="AK1054" s="91">
        <v>1139.0846594043471</v>
      </c>
      <c r="AL1054" s="91">
        <v>1135.6548268353681</v>
      </c>
      <c r="AM1054" s="91">
        <v>1132.8988891346205</v>
      </c>
      <c r="AN1054" s="91">
        <v>1130.7237166040663</v>
      </c>
      <c r="AO1054" s="91">
        <v>1129.0323647401503</v>
      </c>
      <c r="AP1054" s="91">
        <v>1127.7332817008339</v>
      </c>
      <c r="AQ1054" s="91">
        <v>1126.7454227527116</v>
      </c>
      <c r="AR1054" s="91">
        <v>1126.0002657282057</v>
      </c>
      <c r="AS1054" s="91">
        <v>1125.4418037744013</v>
      </c>
      <c r="AT1054" s="91">
        <v>1125.025409689373</v>
      </c>
      <c r="AU1054" s="91">
        <v>1124.7162060552853</v>
      </c>
      <c r="AV1054" s="91">
        <v>1124.4873372890684</v>
      </c>
      <c r="AW1054" s="91">
        <v>1124.3183601530068</v>
      </c>
      <c r="AX1054" s="92">
        <v>1124.1938499088751</v>
      </c>
    </row>
    <row r="1055" spans="1:50" x14ac:dyDescent="0.25">
      <c r="A1055" s="356"/>
      <c r="B1055" s="359"/>
      <c r="C1055" s="350"/>
      <c r="D1055" s="2" t="s">
        <v>10</v>
      </c>
      <c r="E1055" s="160" t="str">
        <f>A1049&amp;"/"&amp;B1049&amp;"/"&amp;C1053&amp;"/"&amp;D1055</f>
        <v>Gas fired power plants (Natural gas, biogas)/Gas turbine combined cycle/CHP/S</v>
      </c>
      <c r="F1055" s="76" t="str">
        <f>A1049</f>
        <v>Gas fired power plants (Natural gas, biogas)</v>
      </c>
      <c r="G1055" s="76" t="str">
        <f>B1049</f>
        <v>Gas turbine combined cycle</v>
      </c>
      <c r="H1055" s="76" t="str">
        <f>C1053</f>
        <v>CHP</v>
      </c>
      <c r="I1055" s="161" t="str">
        <f t="shared" si="94"/>
        <v>S</v>
      </c>
      <c r="J1055" s="91">
        <v>1499.9875</v>
      </c>
      <c r="K1055" s="91">
        <v>1499.9648410593732</v>
      </c>
      <c r="L1055" s="91">
        <v>1499.9342647300298</v>
      </c>
      <c r="M1055" s="91">
        <v>1499.8930092885062</v>
      </c>
      <c r="N1055" s="91">
        <v>1499.8373535610754</v>
      </c>
      <c r="O1055" s="91">
        <v>1499.7622867896091</v>
      </c>
      <c r="P1055" s="91">
        <v>1499.6610675179763</v>
      </c>
      <c r="Q1055" s="91">
        <v>1499.524636342087</v>
      </c>
      <c r="R1055" s="91">
        <v>1499.3408380169867</v>
      </c>
      <c r="S1055" s="91">
        <v>1499.0933981225571</v>
      </c>
      <c r="T1055" s="91">
        <v>1498.7605897029771</v>
      </c>
      <c r="U1055" s="91">
        <v>1498.3135192362686</v>
      </c>
      <c r="V1055" s="91">
        <v>1497.7139653548686</v>
      </c>
      <c r="W1055" s="91">
        <v>1496.9117296766822</v>
      </c>
      <c r="X1055" s="91">
        <v>1495.8415270754347</v>
      </c>
      <c r="Y1055" s="91">
        <v>1494.4195847237793</v>
      </c>
      <c r="Z1055" s="91">
        <v>1492.5403808908175</v>
      </c>
      <c r="AA1055" s="91">
        <v>1490.0743894186053</v>
      </c>
      <c r="AB1055" s="91">
        <v>1486.8683408480654</v>
      </c>
      <c r="AC1055" s="91">
        <v>1482.7503222989637</v>
      </c>
      <c r="AD1055" s="91">
        <v>1477.542768258977</v>
      </c>
      <c r="AE1055" s="91">
        <v>1471.0864294362382</v>
      </c>
      <c r="AF1055" s="91">
        <v>1463.2766950446508</v>
      </c>
      <c r="AG1055" s="91">
        <v>1454.1090523733224</v>
      </c>
      <c r="AH1055" s="91">
        <v>1443.722973644906</v>
      </c>
      <c r="AI1055" s="91">
        <v>1432.4260191981323</v>
      </c>
      <c r="AJ1055" s="91">
        <v>1420.678774663065</v>
      </c>
      <c r="AK1055" s="91">
        <v>1409.0324338072828</v>
      </c>
      <c r="AL1055" s="91">
        <v>1398.0325781846016</v>
      </c>
      <c r="AM1055" s="91">
        <v>1388.1219734229221</v>
      </c>
      <c r="AN1055" s="91">
        <v>1379.5769463834988</v>
      </c>
      <c r="AO1055" s="91">
        <v>1372.4940345945033</v>
      </c>
      <c r="AP1055" s="91">
        <v>1366.819711013808</v>
      </c>
      <c r="AQ1055" s="91">
        <v>1362.4017886970776</v>
      </c>
      <c r="AR1055" s="91">
        <v>1359.0412929670445</v>
      </c>
      <c r="AS1055" s="91">
        <v>1356.5322537091433</v>
      </c>
      <c r="AT1055" s="91">
        <v>1354.6860944986356</v>
      </c>
      <c r="AU1055" s="91">
        <v>1353.3429551524068</v>
      </c>
      <c r="AV1055" s="91">
        <v>1352.3742029732127</v>
      </c>
      <c r="AW1055" s="91">
        <v>1351.6800615489599</v>
      </c>
      <c r="AX1055" s="92">
        <v>1351.1851505787804</v>
      </c>
    </row>
    <row r="1056" spans="1:50" x14ac:dyDescent="0.25">
      <c r="A1056" s="356"/>
      <c r="B1056" s="359"/>
      <c r="C1056" s="360"/>
      <c r="D1056" s="59" t="s">
        <v>20</v>
      </c>
      <c r="E1056" s="166" t="str">
        <f>A1049&amp;"/"&amp;B1049&amp;"/"&amp;C1053&amp;"/"&amp;D1056</f>
        <v>Gas fired power plants (Natural gas, biogas)/Gas turbine combined cycle/CHP/XS</v>
      </c>
      <c r="F1056" s="79" t="str">
        <f>A1049</f>
        <v>Gas fired power plants (Natural gas, biogas)</v>
      </c>
      <c r="G1056" s="79" t="str">
        <f>B1049</f>
        <v>Gas turbine combined cycle</v>
      </c>
      <c r="H1056" s="79" t="str">
        <f>C1053</f>
        <v>CHP</v>
      </c>
      <c r="I1056" s="167" t="str">
        <f t="shared" si="94"/>
        <v>XS</v>
      </c>
      <c r="J1056" s="97">
        <v>1605</v>
      </c>
      <c r="K1056" s="97">
        <v>1604.9962247070125</v>
      </c>
      <c r="L1056" s="97">
        <v>1604.991128837785</v>
      </c>
      <c r="M1056" s="97">
        <v>1604.9842505770432</v>
      </c>
      <c r="N1056" s="97">
        <v>1604.9749667037033</v>
      </c>
      <c r="O1056" s="97">
        <v>1604.962436256651</v>
      </c>
      <c r="P1056" s="97">
        <v>1604.9455246023845</v>
      </c>
      <c r="Q1056" s="97">
        <v>1604.9227011389421</v>
      </c>
      <c r="R1056" s="97">
        <v>1604.891901578098</v>
      </c>
      <c r="S1056" s="97">
        <v>1604.8503427142994</v>
      </c>
      <c r="T1056" s="97">
        <v>1604.7942736045488</v>
      </c>
      <c r="U1056" s="97">
        <v>1604.7186419053701</v>
      </c>
      <c r="V1056" s="97">
        <v>1604.616647484952</v>
      </c>
      <c r="W1056" s="97">
        <v>1604.4791471329347</v>
      </c>
      <c r="X1056" s="97">
        <v>1604.293864160652</v>
      </c>
      <c r="Y1056" s="97">
        <v>1604.0443452298605</v>
      </c>
      <c r="Z1056" s="97">
        <v>1603.7085949738002</v>
      </c>
      <c r="AA1056" s="97">
        <v>1603.2573095389923</v>
      </c>
      <c r="AB1056" s="97">
        <v>1602.6516285797902</v>
      </c>
      <c r="AC1056" s="97">
        <v>1601.8403418960415</v>
      </c>
      <c r="AD1056" s="97">
        <v>1600.7565402001524</v>
      </c>
      <c r="AE1056" s="97">
        <v>1599.3138196230193</v>
      </c>
      <c r="AF1056" s="97">
        <v>1597.4023817310094</v>
      </c>
      <c r="AG1056" s="97">
        <v>1594.8857734895616</v>
      </c>
      <c r="AH1056" s="97">
        <v>1591.5996395403765</v>
      </c>
      <c r="AI1056" s="97">
        <v>1587.3547125753323</v>
      </c>
      <c r="AJ1056" s="97">
        <v>1581.9471833378673</v>
      </c>
      <c r="AK1056" s="97">
        <v>1575.1800719599987</v>
      </c>
      <c r="AL1056" s="97">
        <v>1566.898284260177</v>
      </c>
      <c r="AM1056" s="97">
        <v>1557.0363615425822</v>
      </c>
      <c r="AN1056" s="97">
        <v>1545.6707770732548</v>
      </c>
      <c r="AO1056" s="97">
        <v>1533.0596679590226</v>
      </c>
      <c r="AP1056" s="97">
        <v>1519.6477103653112</v>
      </c>
      <c r="AQ1056" s="97">
        <v>1506.0200319734461</v>
      </c>
      <c r="AR1056" s="97">
        <v>1492.8090682306965</v>
      </c>
      <c r="AS1056" s="97">
        <v>1480.5826185352696</v>
      </c>
      <c r="AT1056" s="97">
        <v>1469.7527489818747</v>
      </c>
      <c r="AU1056" s="97">
        <v>1460.5341262183456</v>
      </c>
      <c r="AV1056" s="97">
        <v>1452.9553036423413</v>
      </c>
      <c r="AW1056" s="97">
        <v>1446.9052948958672</v>
      </c>
      <c r="AX1056" s="98">
        <v>1442.1912408522244</v>
      </c>
    </row>
    <row r="1057" spans="1:50" x14ac:dyDescent="0.25">
      <c r="A1057" s="356"/>
      <c r="B1057" s="359"/>
      <c r="C1057" s="361" t="s">
        <v>15</v>
      </c>
      <c r="D1057" s="58" t="s">
        <v>7</v>
      </c>
      <c r="E1057" s="164" t="str">
        <f>A1049&amp;"/"&amp;B1049&amp;"/"&amp;C1057&amp;"/"&amp;D1057</f>
        <v>Gas fired power plants (Natural gas, biogas)/Gas turbine combined cycle/Electricity only with CCS/L</v>
      </c>
      <c r="F1057" s="78" t="str">
        <f>A1049</f>
        <v>Gas fired power plants (Natural gas, biogas)</v>
      </c>
      <c r="G1057" s="78" t="str">
        <f>B1049</f>
        <v>Gas turbine combined cycle</v>
      </c>
      <c r="H1057" s="78" t="str">
        <f>C1057</f>
        <v>Electricity only with CCS</v>
      </c>
      <c r="I1057" s="165" t="str">
        <f t="shared" si="94"/>
        <v>L</v>
      </c>
      <c r="J1057" s="95" t="s">
        <v>112</v>
      </c>
      <c r="K1057" s="95" t="s">
        <v>112</v>
      </c>
      <c r="L1057" s="95" t="s">
        <v>112</v>
      </c>
      <c r="M1057" s="95" t="s">
        <v>112</v>
      </c>
      <c r="N1057" s="95" t="s">
        <v>112</v>
      </c>
      <c r="O1057" s="95" t="s">
        <v>112</v>
      </c>
      <c r="P1057" s="95" t="s">
        <v>112</v>
      </c>
      <c r="Q1057" s="95" t="s">
        <v>112</v>
      </c>
      <c r="R1057" s="95" t="s">
        <v>112</v>
      </c>
      <c r="S1057" s="95" t="s">
        <v>112</v>
      </c>
      <c r="T1057" s="95" t="s">
        <v>112</v>
      </c>
      <c r="U1057" s="95" t="s">
        <v>112</v>
      </c>
      <c r="V1057" s="95" t="s">
        <v>112</v>
      </c>
      <c r="W1057" s="95" t="s">
        <v>112</v>
      </c>
      <c r="X1057" s="95" t="s">
        <v>112</v>
      </c>
      <c r="Y1057" s="95" t="s">
        <v>112</v>
      </c>
      <c r="Z1057" s="95" t="s">
        <v>112</v>
      </c>
      <c r="AA1057" s="95" t="s">
        <v>112</v>
      </c>
      <c r="AB1057" s="95" t="s">
        <v>112</v>
      </c>
      <c r="AC1057" s="95" t="s">
        <v>112</v>
      </c>
      <c r="AD1057" s="95" t="s">
        <v>112</v>
      </c>
      <c r="AE1057" s="95">
        <v>1616.2488807912589</v>
      </c>
      <c r="AF1057" s="95">
        <v>1615.5422561926182</v>
      </c>
      <c r="AG1057" s="95">
        <v>1614.6373542269125</v>
      </c>
      <c r="AH1057" s="95">
        <v>1613.4794134729361</v>
      </c>
      <c r="AI1057" s="95">
        <v>1611.9991086953535</v>
      </c>
      <c r="AJ1057" s="95">
        <v>1610.1090361264205</v>
      </c>
      <c r="AK1057" s="95">
        <v>1607.6995817397597</v>
      </c>
      <c r="AL1057" s="95">
        <v>1604.6342209645052</v>
      </c>
      <c r="AM1057" s="95">
        <v>1600.744432481004</v>
      </c>
      <c r="AN1057" s="95">
        <v>1595.8246343831297</v>
      </c>
      <c r="AO1057" s="95">
        <v>1589.6279053376165</v>
      </c>
      <c r="AP1057" s="95">
        <v>1581.8637720742611</v>
      </c>
      <c r="AQ1057" s="95">
        <v>1572.200040769942</v>
      </c>
      <c r="AR1057" s="95">
        <v>1560.2714717979313</v>
      </c>
      <c r="AS1057" s="95">
        <v>1545.6988565639476</v>
      </c>
      <c r="AT1057" s="95">
        <v>1528.1223327525877</v>
      </c>
      <c r="AU1057" s="95">
        <v>1507.2518488038893</v>
      </c>
      <c r="AV1057" s="95">
        <v>1482.9346037186579</v>
      </c>
      <c r="AW1057" s="95">
        <v>1455.2332563812345</v>
      </c>
      <c r="AX1057" s="96">
        <v>1424.5</v>
      </c>
    </row>
    <row r="1058" spans="1:50" x14ac:dyDescent="0.25">
      <c r="A1058" s="356"/>
      <c r="B1058" s="359"/>
      <c r="C1058" s="360"/>
      <c r="D1058" s="59" t="s">
        <v>8</v>
      </c>
      <c r="E1058" s="166" t="str">
        <f>A1049&amp;"/"&amp;B1049&amp;"/"&amp;C1057&amp;"/"&amp;D1058</f>
        <v>Gas fired power plants (Natural gas, biogas)/Gas turbine combined cycle/Electricity only with CCS/M</v>
      </c>
      <c r="F1058" s="79" t="str">
        <f>A1049</f>
        <v>Gas fired power plants (Natural gas, biogas)</v>
      </c>
      <c r="G1058" s="79" t="str">
        <f>B1049</f>
        <v>Gas turbine combined cycle</v>
      </c>
      <c r="H1058" s="79" t="str">
        <f>C1057</f>
        <v>Electricity only with CCS</v>
      </c>
      <c r="I1058" s="167" t="str">
        <f t="shared" si="94"/>
        <v>M</v>
      </c>
      <c r="J1058" s="97" t="s">
        <v>112</v>
      </c>
      <c r="K1058" s="97" t="s">
        <v>112</v>
      </c>
      <c r="L1058" s="97" t="s">
        <v>112</v>
      </c>
      <c r="M1058" s="97" t="s">
        <v>112</v>
      </c>
      <c r="N1058" s="97" t="s">
        <v>112</v>
      </c>
      <c r="O1058" s="97" t="s">
        <v>112</v>
      </c>
      <c r="P1058" s="97" t="s">
        <v>112</v>
      </c>
      <c r="Q1058" s="97" t="s">
        <v>112</v>
      </c>
      <c r="R1058" s="97" t="s">
        <v>112</v>
      </c>
      <c r="S1058" s="97" t="s">
        <v>112</v>
      </c>
      <c r="T1058" s="97" t="s">
        <v>112</v>
      </c>
      <c r="U1058" s="97" t="s">
        <v>112</v>
      </c>
      <c r="V1058" s="97" t="s">
        <v>112</v>
      </c>
      <c r="W1058" s="97" t="s">
        <v>112</v>
      </c>
      <c r="X1058" s="97" t="s">
        <v>112</v>
      </c>
      <c r="Y1058" s="97" t="s">
        <v>112</v>
      </c>
      <c r="Z1058" s="97" t="s">
        <v>112</v>
      </c>
      <c r="AA1058" s="97" t="s">
        <v>112</v>
      </c>
      <c r="AB1058" s="97" t="s">
        <v>112</v>
      </c>
      <c r="AC1058" s="97" t="s">
        <v>112</v>
      </c>
      <c r="AD1058" s="97" t="s">
        <v>112</v>
      </c>
      <c r="AE1058" s="97">
        <v>1978.1318284860631</v>
      </c>
      <c r="AF1058" s="97">
        <v>1977.3391607473468</v>
      </c>
      <c r="AG1058" s="97">
        <v>1976.3240721185389</v>
      </c>
      <c r="AH1058" s="97">
        <v>1975.0251330768074</v>
      </c>
      <c r="AI1058" s="97">
        <v>1973.3645769018385</v>
      </c>
      <c r="AJ1058" s="97">
        <v>1971.2443569829338</v>
      </c>
      <c r="AK1058" s="97">
        <v>1968.5415119873182</v>
      </c>
      <c r="AL1058" s="97">
        <v>1965.1028932373547</v>
      </c>
      <c r="AM1058" s="97">
        <v>1960.7394591774118</v>
      </c>
      <c r="AN1058" s="97">
        <v>1955.2205949308438</v>
      </c>
      <c r="AO1058" s="97">
        <v>1948.2693124402615</v>
      </c>
      <c r="AP1058" s="97">
        <v>1939.5597685483615</v>
      </c>
      <c r="AQ1058" s="97">
        <v>1928.7193193829999</v>
      </c>
      <c r="AR1058" s="97">
        <v>1915.3382513995807</v>
      </c>
      <c r="AS1058" s="97">
        <v>1898.9911811349341</v>
      </c>
      <c r="AT1058" s="97">
        <v>1879.2744271316792</v>
      </c>
      <c r="AU1058" s="97">
        <v>1855.8626192928957</v>
      </c>
      <c r="AV1058" s="97">
        <v>1828.5843505903845</v>
      </c>
      <c r="AW1058" s="97">
        <v>1797.5099096558413</v>
      </c>
      <c r="AX1058" s="98">
        <v>1763.034375</v>
      </c>
    </row>
    <row r="1059" spans="1:50" x14ac:dyDescent="0.25">
      <c r="A1059" s="356"/>
      <c r="B1059" s="359"/>
      <c r="C1059" s="361" t="s">
        <v>16</v>
      </c>
      <c r="D1059" s="2" t="s">
        <v>7</v>
      </c>
      <c r="E1059" s="160" t="str">
        <f>A1049&amp;"/"&amp;B1049&amp;"/"&amp;C1059&amp;"/"&amp;D1059</f>
        <v>Gas fired power plants (Natural gas, biogas)/Gas turbine combined cycle/CHP with CCS/L</v>
      </c>
      <c r="F1059" s="76" t="str">
        <f>A1049</f>
        <v>Gas fired power plants (Natural gas, biogas)</v>
      </c>
      <c r="G1059" s="76" t="str">
        <f>B1049</f>
        <v>Gas turbine combined cycle</v>
      </c>
      <c r="H1059" s="76" t="str">
        <f>C1059</f>
        <v>CHP with CCS</v>
      </c>
      <c r="I1059" s="161" t="str">
        <f t="shared" si="94"/>
        <v>L</v>
      </c>
      <c r="J1059" s="91" t="s">
        <v>112</v>
      </c>
      <c r="K1059" s="91" t="s">
        <v>112</v>
      </c>
      <c r="L1059" s="91" t="s">
        <v>112</v>
      </c>
      <c r="M1059" s="91" t="s">
        <v>112</v>
      </c>
      <c r="N1059" s="91" t="s">
        <v>112</v>
      </c>
      <c r="O1059" s="91" t="s">
        <v>112</v>
      </c>
      <c r="P1059" s="91" t="s">
        <v>112</v>
      </c>
      <c r="Q1059" s="91" t="s">
        <v>112</v>
      </c>
      <c r="R1059" s="91" t="s">
        <v>112</v>
      </c>
      <c r="S1059" s="91" t="s">
        <v>112</v>
      </c>
      <c r="T1059" s="91" t="s">
        <v>112</v>
      </c>
      <c r="U1059" s="91" t="s">
        <v>112</v>
      </c>
      <c r="V1059" s="91" t="s">
        <v>112</v>
      </c>
      <c r="W1059" s="91" t="s">
        <v>112</v>
      </c>
      <c r="X1059" s="91" t="s">
        <v>112</v>
      </c>
      <c r="Y1059" s="91" t="s">
        <v>112</v>
      </c>
      <c r="Z1059" s="91" t="s">
        <v>112</v>
      </c>
      <c r="AA1059" s="91" t="s">
        <v>112</v>
      </c>
      <c r="AB1059" s="91" t="s">
        <v>112</v>
      </c>
      <c r="AC1059" s="91" t="s">
        <v>112</v>
      </c>
      <c r="AD1059" s="91" t="s">
        <v>112</v>
      </c>
      <c r="AE1059" s="91">
        <v>1941.4710655619149</v>
      </c>
      <c r="AF1059" s="91">
        <v>1940.8233166341906</v>
      </c>
      <c r="AG1059" s="91">
        <v>1939.9934958585873</v>
      </c>
      <c r="AH1059" s="91">
        <v>1938.9311147195715</v>
      </c>
      <c r="AI1059" s="91">
        <v>1937.572126337388</v>
      </c>
      <c r="AJ1059" s="91">
        <v>1935.8355676491428</v>
      </c>
      <c r="AK1059" s="91">
        <v>1933.6195525344785</v>
      </c>
      <c r="AL1059" s="91">
        <v>1930.7966127855989</v>
      </c>
      <c r="AM1059" s="91">
        <v>1927.2084832641299</v>
      </c>
      <c r="AN1059" s="91">
        <v>1922.6606027840317</v>
      </c>
      <c r="AO1059" s="91">
        <v>1916.9168886226628</v>
      </c>
      <c r="AP1059" s="91">
        <v>1909.6957798047329</v>
      </c>
      <c r="AQ1059" s="91">
        <v>1900.6691633909468</v>
      </c>
      <c r="AR1059" s="91">
        <v>1889.4665911874731</v>
      </c>
      <c r="AS1059" s="91">
        <v>1875.6880591075221</v>
      </c>
      <c r="AT1059" s="91">
        <v>1858.9292751810935</v>
      </c>
      <c r="AU1059" s="91">
        <v>1838.8232271040506</v>
      </c>
      <c r="AV1059" s="91">
        <v>1815.1001133268664</v>
      </c>
      <c r="AW1059" s="91">
        <v>1787.663346656524</v>
      </c>
      <c r="AX1059" s="92">
        <v>1756.6719044278757</v>
      </c>
    </row>
    <row r="1060" spans="1:50" x14ac:dyDescent="0.25">
      <c r="A1060" s="356"/>
      <c r="B1060" s="362"/>
      <c r="C1060" s="354"/>
      <c r="D1060" s="4" t="s">
        <v>8</v>
      </c>
      <c r="E1060" s="168" t="str">
        <f>A1049&amp;"/"&amp;B1049&amp;"/"&amp;C1059&amp;"/"&amp;D1060</f>
        <v>Gas fired power plants (Natural gas, biogas)/Gas turbine combined cycle/CHP with CCS/M</v>
      </c>
      <c r="F1060" s="80" t="str">
        <f>A1049</f>
        <v>Gas fired power plants (Natural gas, biogas)</v>
      </c>
      <c r="G1060" s="80" t="str">
        <f>B1049</f>
        <v>Gas turbine combined cycle</v>
      </c>
      <c r="H1060" s="80" t="str">
        <f>C1059</f>
        <v>CHP with CCS</v>
      </c>
      <c r="I1060" s="169" t="str">
        <f t="shared" si="94"/>
        <v>M</v>
      </c>
      <c r="J1060" s="99" t="s">
        <v>112</v>
      </c>
      <c r="K1060" s="99" t="s">
        <v>112</v>
      </c>
      <c r="L1060" s="99" t="s">
        <v>112</v>
      </c>
      <c r="M1060" s="99" t="s">
        <v>112</v>
      </c>
      <c r="N1060" s="99" t="s">
        <v>112</v>
      </c>
      <c r="O1060" s="99" t="s">
        <v>112</v>
      </c>
      <c r="P1060" s="99" t="s">
        <v>112</v>
      </c>
      <c r="Q1060" s="99" t="s">
        <v>112</v>
      </c>
      <c r="R1060" s="99" t="s">
        <v>112</v>
      </c>
      <c r="S1060" s="99" t="s">
        <v>112</v>
      </c>
      <c r="T1060" s="99" t="s">
        <v>112</v>
      </c>
      <c r="U1060" s="99" t="s">
        <v>112</v>
      </c>
      <c r="V1060" s="99" t="s">
        <v>112</v>
      </c>
      <c r="W1060" s="99" t="s">
        <v>112</v>
      </c>
      <c r="X1060" s="99" t="s">
        <v>112</v>
      </c>
      <c r="Y1060" s="99" t="s">
        <v>112</v>
      </c>
      <c r="Z1060" s="99" t="s">
        <v>112</v>
      </c>
      <c r="AA1060" s="99" t="s">
        <v>112</v>
      </c>
      <c r="AB1060" s="99" t="s">
        <v>112</v>
      </c>
      <c r="AC1060" s="99" t="s">
        <v>112</v>
      </c>
      <c r="AD1060" s="99" t="s">
        <v>112</v>
      </c>
      <c r="AE1060" s="99">
        <v>2303.4797015173008</v>
      </c>
      <c r="AF1060" s="99">
        <v>2302.7811134819781</v>
      </c>
      <c r="AG1060" s="99">
        <v>2301.8861635399762</v>
      </c>
      <c r="AH1060" s="99">
        <v>2300.7404005430749</v>
      </c>
      <c r="AI1060" s="99">
        <v>2299.27475083946</v>
      </c>
      <c r="AJ1060" s="99">
        <v>2297.401896913625</v>
      </c>
      <c r="AK1060" s="99">
        <v>2295.0119560292192</v>
      </c>
      <c r="AL1060" s="99">
        <v>2291.9674555312677</v>
      </c>
      <c r="AM1060" s="99">
        <v>2288.0977087117822</v>
      </c>
      <c r="AN1060" s="99">
        <v>2283.19288408994</v>
      </c>
      <c r="AO1060" s="99">
        <v>2276.9983697963503</v>
      </c>
      <c r="AP1060" s="99">
        <v>2269.210506310892</v>
      </c>
      <c r="AQ1060" s="99">
        <v>2259.4754284802393</v>
      </c>
      <c r="AR1060" s="99">
        <v>2247.3936131792407</v>
      </c>
      <c r="AS1060" s="99">
        <v>2232.5336616712079</v>
      </c>
      <c r="AT1060" s="99">
        <v>2214.4595507982003</v>
      </c>
      <c r="AU1060" s="99">
        <v>2192.775462993392</v>
      </c>
      <c r="AV1060" s="99">
        <v>2167.1904211106325</v>
      </c>
      <c r="AW1060" s="99">
        <v>2137.6002572315829</v>
      </c>
      <c r="AX1060" s="100">
        <v>2104.1764261580379</v>
      </c>
    </row>
    <row r="1061" spans="1:50" x14ac:dyDescent="0.25">
      <c r="A1061" s="356"/>
      <c r="B1061" s="358" t="s">
        <v>24</v>
      </c>
      <c r="C1061" s="353" t="s">
        <v>6</v>
      </c>
      <c r="D1061" s="3" t="s">
        <v>8</v>
      </c>
      <c r="E1061" s="162" t="str">
        <f>A1049&amp;"/"&amp;B1061&amp;"/"&amp;C1061&amp;"/"&amp;D1061</f>
        <v>Gas fired power plants (Natural gas, biogas)/Gas turbine /Electricity only/M</v>
      </c>
      <c r="F1061" s="77" t="str">
        <f>A1049</f>
        <v>Gas fired power plants (Natural gas, biogas)</v>
      </c>
      <c r="G1061" s="77" t="str">
        <f>B1061</f>
        <v xml:space="preserve">Gas turbine </v>
      </c>
      <c r="H1061" s="77" t="str">
        <f>C1061</f>
        <v>Electricity only</v>
      </c>
      <c r="I1061" s="163" t="str">
        <f t="shared" si="94"/>
        <v>M</v>
      </c>
      <c r="J1061" s="93">
        <v>535</v>
      </c>
      <c r="K1061" s="93">
        <v>534.90965683425441</v>
      </c>
      <c r="L1061" s="93">
        <v>534.81044916768201</v>
      </c>
      <c r="M1061" s="93">
        <v>534.70157821251973</v>
      </c>
      <c r="N1061" s="93">
        <v>534.58218823046991</v>
      </c>
      <c r="O1061" s="93">
        <v>534.45136572284309</v>
      </c>
      <c r="P1061" s="93">
        <v>534.30813942735085</v>
      </c>
      <c r="Q1061" s="93">
        <v>534.15148132752211</v>
      </c>
      <c r="R1061" s="93">
        <v>533.98030890808002</v>
      </c>
      <c r="S1061" s="93">
        <v>533.79348891603433</v>
      </c>
      <c r="T1061" s="93">
        <v>533.58984291087938</v>
      </c>
      <c r="U1061" s="93">
        <v>533.36815490572371</v>
      </c>
      <c r="V1061" s="93">
        <v>533.12718141134815</v>
      </c>
      <c r="W1061" s="93">
        <v>532.86566419336259</v>
      </c>
      <c r="X1061" s="93">
        <v>532.58234603442156</v>
      </c>
      <c r="Y1061" s="93">
        <v>532.27598975397621</v>
      </c>
      <c r="Z1061" s="93">
        <v>531.94540067210824</v>
      </c>
      <c r="AA1061" s="93">
        <v>531.58945260654025</v>
      </c>
      <c r="AB1061" s="93">
        <v>531.20711735858936</v>
      </c>
      <c r="AC1061" s="93">
        <v>530.79749747172582</v>
      </c>
      <c r="AD1061" s="93">
        <v>530.35986183501302</v>
      </c>
      <c r="AE1061" s="93">
        <v>529.89368345609159</v>
      </c>
      <c r="AF1061" s="93">
        <v>529.39867845211779</v>
      </c>
      <c r="AG1061" s="93">
        <v>528.87484501540496</v>
      </c>
      <c r="AH1061" s="93">
        <v>528.32250082279347</v>
      </c>
      <c r="AI1061" s="93">
        <v>527.74231709946844</v>
      </c>
      <c r="AJ1061" s="93">
        <v>527.1353473496589</v>
      </c>
      <c r="AK1061" s="93">
        <v>526.5030486619977</v>
      </c>
      <c r="AL1061" s="93">
        <v>525.84729351950273</v>
      </c>
      <c r="AM1061" s="93">
        <v>525.17037022151499</v>
      </c>
      <c r="AN1061" s="93">
        <v>524.47497037571247</v>
      </c>
      <c r="AO1061" s="93">
        <v>523.76416244548477</v>
      </c>
      <c r="AP1061" s="93">
        <v>523.04135102493956</v>
      </c>
      <c r="AQ1061" s="93">
        <v>522.3102223224613</v>
      </c>
      <c r="AR1061" s="93">
        <v>521.57467720518673</v>
      </c>
      <c r="AS1061" s="93">
        <v>520.83875401587852</v>
      </c>
      <c r="AT1061" s="93">
        <v>520.10654413709267</v>
      </c>
      <c r="AU1061" s="93">
        <v>519.38210386409844</v>
      </c>
      <c r="AV1061" s="93">
        <v>518.66936649032721</v>
      </c>
      <c r="AW1061" s="93">
        <v>517.97205856391793</v>
      </c>
      <c r="AX1061" s="94">
        <v>517.29362402929485</v>
      </c>
    </row>
    <row r="1062" spans="1:50" x14ac:dyDescent="0.25">
      <c r="A1062" s="356"/>
      <c r="B1062" s="359"/>
      <c r="C1062" s="350"/>
      <c r="D1062" s="2" t="s">
        <v>10</v>
      </c>
      <c r="E1062" s="160" t="str">
        <f>A1049&amp;"/"&amp;B1061&amp;"/"&amp;C1061&amp;"/"&amp;D1062</f>
        <v>Gas fired power plants (Natural gas, biogas)/Gas turbine /Electricity only/S</v>
      </c>
      <c r="F1062" s="76" t="str">
        <f>A1049</f>
        <v>Gas fired power plants (Natural gas, biogas)</v>
      </c>
      <c r="G1062" s="76" t="str">
        <f>B1061</f>
        <v xml:space="preserve">Gas turbine </v>
      </c>
      <c r="H1062" s="76" t="str">
        <f>C1061</f>
        <v>Electricity only</v>
      </c>
      <c r="I1062" s="161" t="str">
        <f t="shared" si="94"/>
        <v>S</v>
      </c>
      <c r="J1062" s="91">
        <v>569.77499999999998</v>
      </c>
      <c r="K1062" s="91">
        <v>569.67790563153528</v>
      </c>
      <c r="L1062" s="91">
        <v>569.57125242553661</v>
      </c>
      <c r="M1062" s="91">
        <v>569.4541723825339</v>
      </c>
      <c r="N1062" s="91">
        <v>569.3257342194479</v>
      </c>
      <c r="O1062" s="91">
        <v>569.18494213147699</v>
      </c>
      <c r="P1062" s="91">
        <v>569.03073537497585</v>
      </c>
      <c r="Q1062" s="91">
        <v>568.86198889298737</v>
      </c>
      <c r="R1062" s="91">
        <v>568.67751523708125</v>
      </c>
      <c r="S1062" s="91">
        <v>568.47606807111583</v>
      </c>
      <c r="T1062" s="91">
        <v>568.25634757269256</v>
      </c>
      <c r="U1062" s="91">
        <v>568.01700807400289</v>
      </c>
      <c r="V1062" s="91">
        <v>567.75666830232512</v>
      </c>
      <c r="W1062" s="91">
        <v>567.47392458767706</v>
      </c>
      <c r="X1062" s="91">
        <v>567.16736739628288</v>
      </c>
      <c r="Y1062" s="91">
        <v>566.83560151806512</v>
      </c>
      <c r="Z1062" s="91">
        <v>566.47727017819295</v>
      </c>
      <c r="AA1062" s="91">
        <v>566.09108325048112</v>
      </c>
      <c r="AB1062" s="91">
        <v>565.67584961807086</v>
      </c>
      <c r="AC1062" s="91">
        <v>565.23051354938025</v>
      </c>
      <c r="AD1062" s="91">
        <v>564.75419473189822</v>
      </c>
      <c r="AE1062" s="91">
        <v>564.24623133349257</v>
      </c>
      <c r="AF1062" s="91">
        <v>563.70622514569675</v>
      </c>
      <c r="AG1062" s="91">
        <v>563.13408751726513</v>
      </c>
      <c r="AH1062" s="91">
        <v>562.53008442772386</v>
      </c>
      <c r="AI1062" s="91">
        <v>561.89487870618723</v>
      </c>
      <c r="AJ1062" s="91">
        <v>561.22956710442611</v>
      </c>
      <c r="AK1062" s="91">
        <v>560.53570972519742</v>
      </c>
      <c r="AL1062" s="91">
        <v>559.81534923022161</v>
      </c>
      <c r="AM1062" s="91">
        <v>559.07101734820071</v>
      </c>
      <c r="AN1062" s="91">
        <v>558.30572650524175</v>
      </c>
      <c r="AO1062" s="91">
        <v>557.52294492645865</v>
      </c>
      <c r="AP1062" s="91">
        <v>556.72655430531665</v>
      </c>
      <c r="AQ1062" s="91">
        <v>555.92079007677398</v>
      </c>
      <c r="AR1062" s="91">
        <v>555.11016540315325</v>
      </c>
      <c r="AS1062" s="91">
        <v>554.29938110331148</v>
      </c>
      <c r="AT1062" s="91">
        <v>553.49322482224068</v>
      </c>
      <c r="AU1062" s="91">
        <v>552.69646363855406</v>
      </c>
      <c r="AV1062" s="91">
        <v>551.91373493766162</v>
      </c>
      <c r="AW1062" s="91">
        <v>551.14944065822556</v>
      </c>
      <c r="AX1062" s="92">
        <v>550.40764990457683</v>
      </c>
    </row>
    <row r="1063" spans="1:50" x14ac:dyDescent="0.25">
      <c r="A1063" s="356"/>
      <c r="B1063" s="359"/>
      <c r="C1063" s="360"/>
      <c r="D1063" s="59" t="s">
        <v>20</v>
      </c>
      <c r="E1063" s="160" t="str">
        <f>A1049&amp;"/"&amp;B1061&amp;"/"&amp;C1061&amp;"/"&amp;D1063</f>
        <v>Gas fired power plants (Natural gas, biogas)/Gas turbine /Electricity only/XS</v>
      </c>
      <c r="F1063" s="76" t="str">
        <f>A1049</f>
        <v>Gas fired power plants (Natural gas, biogas)</v>
      </c>
      <c r="G1063" s="76" t="str">
        <f>B1061</f>
        <v xml:space="preserve">Gas turbine </v>
      </c>
      <c r="H1063" s="76" t="str">
        <f>C1061</f>
        <v>Electricity only</v>
      </c>
      <c r="I1063" s="161" t="str">
        <f t="shared" si="94"/>
        <v>XS</v>
      </c>
      <c r="J1063" s="91">
        <v>826.17374999999993</v>
      </c>
      <c r="K1063" s="91">
        <v>826.08749020362688</v>
      </c>
      <c r="L1063" s="91">
        <v>825.99251401709625</v>
      </c>
      <c r="M1063" s="91">
        <v>825.8879810619411</v>
      </c>
      <c r="N1063" s="91">
        <v>825.77297865932803</v>
      </c>
      <c r="O1063" s="91">
        <v>825.64651751275608</v>
      </c>
      <c r="P1063" s="91">
        <v>825.50752757393684</v>
      </c>
      <c r="Q1063" s="91">
        <v>825.354854223144</v>
      </c>
      <c r="R1063" s="91">
        <v>825.18725492494355</v>
      </c>
      <c r="S1063" s="91">
        <v>825.0033965538388</v>
      </c>
      <c r="T1063" s="91">
        <v>824.80185362191867</v>
      </c>
      <c r="U1063" s="91">
        <v>824.58110768175231</v>
      </c>
      <c r="V1063" s="91">
        <v>824.33954822183307</v>
      </c>
      <c r="W1063" s="91">
        <v>824.07547541767792</v>
      </c>
      <c r="X1063" s="91">
        <v>823.78710514743909</v>
      </c>
      <c r="Y1063" s="91">
        <v>823.47257672404999</v>
      </c>
      <c r="Z1063" s="91">
        <v>823.12996383304596</v>
      </c>
      <c r="AA1063" s="91">
        <v>822.757289191768</v>
      </c>
      <c r="AB1063" s="91">
        <v>822.35254345602812</v>
      </c>
      <c r="AC1063" s="91">
        <v>821.91370888765721</v>
      </c>
      <c r="AD1063" s="91">
        <v>821.43878825276431</v>
      </c>
      <c r="AE1063" s="91">
        <v>820.925839337257</v>
      </c>
      <c r="AF1063" s="91">
        <v>820.37301533413313</v>
      </c>
      <c r="AG1063" s="91">
        <v>819.7786111675789</v>
      </c>
      <c r="AH1063" s="91">
        <v>819.14111556489843</v>
      </c>
      <c r="AI1063" s="91">
        <v>818.45926836462218</v>
      </c>
      <c r="AJ1063" s="91">
        <v>817.73212215848082</v>
      </c>
      <c r="AK1063" s="91">
        <v>816.95910691371921</v>
      </c>
      <c r="AL1063" s="91">
        <v>816.14009572667192</v>
      </c>
      <c r="AM1063" s="91">
        <v>815.27546934525151</v>
      </c>
      <c r="AN1063" s="91">
        <v>814.36617660489992</v>
      </c>
      <c r="AO1063" s="91">
        <v>813.41378749843909</v>
      </c>
      <c r="AP1063" s="91">
        <v>812.42053530252724</v>
      </c>
      <c r="AQ1063" s="91">
        <v>811.38934407375007</v>
      </c>
      <c r="AR1063" s="91">
        <v>810.32383796480565</v>
      </c>
      <c r="AS1063" s="91">
        <v>809.22832924351019</v>
      </c>
      <c r="AT1063" s="91">
        <v>808.10778265090926</v>
      </c>
      <c r="AU1063" s="91">
        <v>806.96775480522695</v>
      </c>
      <c r="AV1063" s="91">
        <v>805.81430870326733</v>
      </c>
      <c r="AW1063" s="91">
        <v>804.6539049066987</v>
      </c>
      <c r="AX1063" s="92">
        <v>803.49327260626262</v>
      </c>
    </row>
    <row r="1064" spans="1:50" x14ac:dyDescent="0.25">
      <c r="A1064" s="356"/>
      <c r="B1064" s="359"/>
      <c r="C1064" s="361" t="s">
        <v>14</v>
      </c>
      <c r="D1064" s="2" t="s">
        <v>8</v>
      </c>
      <c r="E1064" s="164" t="str">
        <f>A1049&amp;"/"&amp;B1061&amp;"/"&amp;C1064&amp;"/"&amp;D1064</f>
        <v>Gas fired power plants (Natural gas, biogas)/Gas turbine /CHP/M</v>
      </c>
      <c r="F1064" s="78" t="str">
        <f>A1049</f>
        <v>Gas fired power plants (Natural gas, biogas)</v>
      </c>
      <c r="G1064" s="78" t="str">
        <f>B1061</f>
        <v xml:space="preserve">Gas turbine </v>
      </c>
      <c r="H1064" s="78" t="str">
        <f>C1064</f>
        <v>CHP</v>
      </c>
      <c r="I1064" s="165" t="str">
        <f t="shared" si="94"/>
        <v>M</v>
      </c>
      <c r="J1064" s="95">
        <v>795</v>
      </c>
      <c r="K1064" s="95">
        <v>794.98136863615662</v>
      </c>
      <c r="L1064" s="95">
        <v>794.9607960727335</v>
      </c>
      <c r="M1064" s="95">
        <v>794.93808216866023</v>
      </c>
      <c r="N1064" s="95">
        <v>794.91300661267906</v>
      </c>
      <c r="O1064" s="95">
        <v>794.88532699297753</v>
      </c>
      <c r="P1064" s="95">
        <v>794.85477670482931</v>
      </c>
      <c r="Q1064" s="95">
        <v>794.82106268786072</v>
      </c>
      <c r="R1064" s="95">
        <v>794.78386298544876</v>
      </c>
      <c r="S1064" s="95">
        <v>794.74282412008313</v>
      </c>
      <c r="T1064" s="95">
        <v>794.69755828039149</v>
      </c>
      <c r="U1064" s="95">
        <v>794.64764031806033</v>
      </c>
      <c r="V1064" s="95">
        <v>794.5926045562336</v>
      </c>
      <c r="W1064" s="95">
        <v>794.53194141529968</v>
      </c>
      <c r="X1064" s="95">
        <v>794.46509386748573</v>
      </c>
      <c r="Y1064" s="95">
        <v>794.39145373858059</v>
      </c>
      <c r="Z1064" s="95">
        <v>794.31035788365875</v>
      </c>
      <c r="AA1064" s="95">
        <v>794.2210842741315</v>
      </c>
      <c r="AB1064" s="95">
        <v>794.1228480461117</v>
      </c>
      <c r="AC1064" s="95">
        <v>794.01479757522895</v>
      </c>
      <c r="AD1064" s="95">
        <v>793.89601066097418</v>
      </c>
      <c r="AE1064" s="95">
        <v>793.76549092465461</v>
      </c>
      <c r="AF1064" s="95">
        <v>793.62216454932718</v>
      </c>
      <c r="AG1064" s="95">
        <v>793.46487751778056</v>
      </c>
      <c r="AH1064" s="95">
        <v>793.2923935357577</v>
      </c>
      <c r="AI1064" s="95">
        <v>793.10339286194687</v>
      </c>
      <c r="AJ1064" s="95">
        <v>792.89647230334776</v>
      </c>
      <c r="AK1064" s="95">
        <v>792.67014667358671</v>
      </c>
      <c r="AL1064" s="95">
        <v>792.42285205128292</v>
      </c>
      <c r="AM1064" s="95">
        <v>792.1529512137397</v>
      </c>
      <c r="AN1064" s="95">
        <v>791.85874165537416</v>
      </c>
      <c r="AO1064" s="95">
        <v>791.53846662693832</v>
      </c>
      <c r="AP1064" s="95">
        <v>791.19032964627843</v>
      </c>
      <c r="AQ1064" s="95">
        <v>790.81251292873469</v>
      </c>
      <c r="AR1064" s="95">
        <v>790.40320015898192</v>
      </c>
      <c r="AS1064" s="95">
        <v>789.96060396906989</v>
      </c>
      <c r="AT1064" s="95">
        <v>789.4829983921627</v>
      </c>
      <c r="AU1064" s="95">
        <v>788.96875642069733</v>
      </c>
      <c r="AV1064" s="95">
        <v>788.41639260505724</v>
      </c>
      <c r="AW1064" s="95">
        <v>787.82461038020949</v>
      </c>
      <c r="AX1064" s="96">
        <v>787.19235350237682</v>
      </c>
    </row>
    <row r="1065" spans="1:50" x14ac:dyDescent="0.25">
      <c r="A1065" s="356"/>
      <c r="B1065" s="359"/>
      <c r="C1065" s="350"/>
      <c r="D1065" s="2" t="s">
        <v>10</v>
      </c>
      <c r="E1065" s="160" t="str">
        <f>A1049&amp;"/"&amp;B1061&amp;"/"&amp;C1064&amp;"/"&amp;D1065</f>
        <v>Gas fired power plants (Natural gas, biogas)/Gas turbine /CHP/S</v>
      </c>
      <c r="F1065" s="76" t="str">
        <f>A1049</f>
        <v>Gas fired power plants (Natural gas, biogas)</v>
      </c>
      <c r="G1065" s="76" t="str">
        <f>B1061</f>
        <v xml:space="preserve">Gas turbine </v>
      </c>
      <c r="H1065" s="76" t="str">
        <f>C1064</f>
        <v>CHP</v>
      </c>
      <c r="I1065" s="161" t="str">
        <f t="shared" si="94"/>
        <v>S</v>
      </c>
      <c r="J1065" s="91">
        <v>809.77499999999998</v>
      </c>
      <c r="K1065" s="91">
        <v>809.74358542155505</v>
      </c>
      <c r="L1065" s="91">
        <v>809.70891511561001</v>
      </c>
      <c r="M1065" s="91">
        <v>809.67065721851611</v>
      </c>
      <c r="N1065" s="91">
        <v>809.62844725674483</v>
      </c>
      <c r="O1065" s="91">
        <v>809.58188521038085</v>
      </c>
      <c r="P1065" s="91">
        <v>809.53053237200174</v>
      </c>
      <c r="Q1065" s="91">
        <v>809.47390800081848</v>
      </c>
      <c r="R1065" s="91">
        <v>809.41148577611307</v>
      </c>
      <c r="S1065" s="91">
        <v>809.34269005934618</v>
      </c>
      <c r="T1065" s="91">
        <v>809.26689198104964</v>
      </c>
      <c r="U1065" s="91">
        <v>809.18340537702363</v>
      </c>
      <c r="V1065" s="91">
        <v>809.09148260870984</v>
      </c>
      <c r="W1065" s="91">
        <v>808.99031031522372</v>
      </c>
      <c r="X1065" s="91">
        <v>808.87900515972012</v>
      </c>
      <c r="Y1065" s="91">
        <v>808.75660965089151</v>
      </c>
      <c r="Z1065" s="91">
        <v>808.62208814175619</v>
      </c>
      <c r="AA1065" s="91">
        <v>808.47432313280751</v>
      </c>
      <c r="AB1065" s="91">
        <v>808.31211203525982</v>
      </c>
      <c r="AC1065" s="91">
        <v>808.13416458267238</v>
      </c>
      <c r="AD1065" s="91">
        <v>807.93910111557705</v>
      </c>
      <c r="AE1065" s="91">
        <v>807.72545200356979</v>
      </c>
      <c r="AF1065" s="91">
        <v>807.49165851196665</v>
      </c>
      <c r="AG1065" s="91">
        <v>807.23607546445737</v>
      </c>
      <c r="AH1065" s="91">
        <v>806.95697609746821</v>
      </c>
      <c r="AI1065" s="91">
        <v>806.6525595437256</v>
      </c>
      <c r="AJ1065" s="91">
        <v>806.32096141843238</v>
      </c>
      <c r="AK1065" s="91">
        <v>805.96026800718926</v>
      </c>
      <c r="AL1065" s="91">
        <v>805.56853456482384</v>
      </c>
      <c r="AM1065" s="91">
        <v>805.14380822204316</v>
      </c>
      <c r="AN1065" s="91">
        <v>804.68415595463409</v>
      </c>
      <c r="AO1065" s="91">
        <v>804.18769798933408</v>
      </c>
      <c r="AP1065" s="91">
        <v>803.65264689269907</v>
      </c>
      <c r="AQ1065" s="91">
        <v>803.07735240591467</v>
      </c>
      <c r="AR1065" s="91">
        <v>802.46035184264906</v>
      </c>
      <c r="AS1065" s="91">
        <v>801.80042555474597</v>
      </c>
      <c r="AT1065" s="91">
        <v>801.09665659245172</v>
      </c>
      <c r="AU1065" s="91">
        <v>800.34849324916684</v>
      </c>
      <c r="AV1065" s="91">
        <v>799.55581270109064</v>
      </c>
      <c r="AW1065" s="91">
        <v>798.71898345535533</v>
      </c>
      <c r="AX1065" s="92">
        <v>797.83892384300464</v>
      </c>
    </row>
    <row r="1066" spans="1:50" x14ac:dyDescent="0.25">
      <c r="A1066" s="356"/>
      <c r="B1066" s="362"/>
      <c r="C1066" s="354"/>
      <c r="D1066" s="4" t="s">
        <v>20</v>
      </c>
      <c r="E1066" s="168" t="str">
        <f>A1049&amp;"/"&amp;B1061&amp;"/"&amp;C1064&amp;"/"&amp;D1066</f>
        <v>Gas fired power plants (Natural gas, biogas)/Gas turbine /CHP/XS</v>
      </c>
      <c r="F1066" s="80" t="str">
        <f>A1049</f>
        <v>Gas fired power plants (Natural gas, biogas)</v>
      </c>
      <c r="G1066" s="80" t="str">
        <f>B1061</f>
        <v xml:space="preserve">Gas turbine </v>
      </c>
      <c r="H1066" s="80" t="str">
        <f>C1064</f>
        <v>CHP</v>
      </c>
      <c r="I1066" s="169" t="str">
        <f t="shared" si="94"/>
        <v>XS</v>
      </c>
      <c r="J1066" s="99">
        <v>961.17374999999993</v>
      </c>
      <c r="K1066" s="99">
        <v>961.13646202720679</v>
      </c>
      <c r="L1066" s="99">
        <v>961.09530962317001</v>
      </c>
      <c r="M1066" s="99">
        <v>961.04989887769511</v>
      </c>
      <c r="N1066" s="99">
        <v>960.99979717383542</v>
      </c>
      <c r="O1066" s="99">
        <v>960.9445297023633</v>
      </c>
      <c r="P1066" s="99">
        <v>960.88357573337441</v>
      </c>
      <c r="Q1066" s="99">
        <v>960.81636464487246</v>
      </c>
      <c r="R1066" s="99">
        <v>960.74227171312793</v>
      </c>
      <c r="S1066" s="99">
        <v>960.66061367593397</v>
      </c>
      <c r="T1066" s="99">
        <v>960.57064408788915</v>
      </c>
      <c r="U1066" s="99">
        <v>960.47154849680942</v>
      </c>
      <c r="V1066" s="99">
        <v>960.36243948266292</v>
      </c>
      <c r="W1066" s="99">
        <v>960.24235161538343</v>
      </c>
      <c r="X1066" s="99">
        <v>960.11023640596159</v>
      </c>
      <c r="Y1066" s="99">
        <v>959.9649573467118</v>
      </c>
      <c r="Z1066" s="99">
        <v>959.8052851619799</v>
      </c>
      <c r="AA1066" s="99">
        <v>959.62989342011338</v>
      </c>
      <c r="AB1066" s="99">
        <v>959.43735469155104</v>
      </c>
      <c r="AC1066" s="99">
        <v>959.22613747651417</v>
      </c>
      <c r="AD1066" s="99">
        <v>958.99460416892134</v>
      </c>
      <c r="AE1066" s="99">
        <v>958.74101037043135</v>
      </c>
      <c r="AF1066" s="99">
        <v>958.46350591913347</v>
      </c>
      <c r="AG1066" s="99">
        <v>958.16013805002058</v>
      </c>
      <c r="AH1066" s="99">
        <v>957.8288571569434</v>
      </c>
      <c r="AI1066" s="99">
        <v>957.46752567533076</v>
      </c>
      <c r="AJ1066" s="99">
        <v>957.07393064759947</v>
      </c>
      <c r="AK1066" s="99">
        <v>956.64580056370608</v>
      </c>
      <c r="AL1066" s="99">
        <v>956.18082708119698</v>
      </c>
      <c r="AM1066" s="99">
        <v>955.6766922145805</v>
      </c>
      <c r="AN1066" s="99">
        <v>955.13110153375987</v>
      </c>
      <c r="AO1066" s="99">
        <v>954.5418238155977</v>
      </c>
      <c r="AP1066" s="99">
        <v>953.90673744099456</v>
      </c>
      <c r="AQ1066" s="99">
        <v>953.22388361219419</v>
      </c>
      <c r="AR1066" s="99">
        <v>952.49152617321897</v>
      </c>
      <c r="AS1066" s="99">
        <v>951.70821744564967</v>
      </c>
      <c r="AT1066" s="99">
        <v>950.872869043165</v>
      </c>
      <c r="AU1066" s="99">
        <v>949.98482610990868</v>
      </c>
      <c r="AV1066" s="99">
        <v>949.04394285845433</v>
      </c>
      <c r="AW1066" s="99">
        <v>948.05065669349108</v>
      </c>
      <c r="AX1066" s="100">
        <v>947.00605764088186</v>
      </c>
    </row>
    <row r="1067" spans="1:50" x14ac:dyDescent="0.25">
      <c r="A1067" s="356"/>
      <c r="B1067" s="358" t="s">
        <v>19</v>
      </c>
      <c r="C1067" s="353" t="s">
        <v>6</v>
      </c>
      <c r="D1067" s="3" t="s">
        <v>7</v>
      </c>
      <c r="E1067" s="162" t="str">
        <f>A1049&amp;"/"&amp;B1067&amp;"/"&amp;C1067&amp;"/"&amp;D1067</f>
        <v>Gas fired power plants (Natural gas, biogas)/Steam turbine/Electricity only/L</v>
      </c>
      <c r="F1067" s="77" t="str">
        <f>A1049</f>
        <v>Gas fired power plants (Natural gas, biogas)</v>
      </c>
      <c r="G1067" s="77" t="str">
        <f>B1067</f>
        <v>Steam turbine</v>
      </c>
      <c r="H1067" s="77" t="str">
        <f>C1067</f>
        <v>Electricity only</v>
      </c>
      <c r="I1067" s="163" t="str">
        <f t="shared" si="94"/>
        <v>L</v>
      </c>
      <c r="J1067" s="93">
        <v>730</v>
      </c>
      <c r="K1067" s="93">
        <v>730.25949604973789</v>
      </c>
      <c r="L1067" s="93">
        <v>730.51348142448921</v>
      </c>
      <c r="M1067" s="93">
        <v>730.76201891855919</v>
      </c>
      <c r="N1067" s="93">
        <v>731.00517347963523</v>
      </c>
      <c r="O1067" s="93">
        <v>731.24301203132757</v>
      </c>
      <c r="P1067" s="93">
        <v>731.47560330061822</v>
      </c>
      <c r="Q1067" s="93">
        <v>731.70301765040904</v>
      </c>
      <c r="R1067" s="93">
        <v>731.92532691733197</v>
      </c>
      <c r="S1067" s="93">
        <v>732.14260425495127</v>
      </c>
      <c r="T1067" s="93">
        <v>732.35492398246197</v>
      </c>
      <c r="U1067" s="93">
        <v>732.56236143896103</v>
      </c>
      <c r="V1067" s="93">
        <v>732.76499284334307</v>
      </c>
      <c r="W1067" s="93">
        <v>732.96289515985131</v>
      </c>
      <c r="X1067" s="93">
        <v>733.15614596928822</v>
      </c>
      <c r="Y1067" s="93">
        <v>733.34482334587688</v>
      </c>
      <c r="Z1067" s="93">
        <v>733.52900573973955</v>
      </c>
      <c r="AA1067" s="93">
        <v>733.70877186494818</v>
      </c>
      <c r="AB1067" s="93">
        <v>733.88420059308237</v>
      </c>
      <c r="AC1067" s="93">
        <v>734.05537085221965</v>
      </c>
      <c r="AD1067" s="93">
        <v>734.22236153126937</v>
      </c>
      <c r="AE1067" s="93">
        <v>734.38525138954867</v>
      </c>
      <c r="AF1067" s="93">
        <v>734.54411897149294</v>
      </c>
      <c r="AG1067" s="93">
        <v>734.69904252638162</v>
      </c>
      <c r="AH1067" s="93">
        <v>734.85009993295375</v>
      </c>
      <c r="AI1067" s="93">
        <v>734.99736862878194</v>
      </c>
      <c r="AJ1067" s="93">
        <v>735.14092554426725</v>
      </c>
      <c r="AK1067" s="93">
        <v>735.28084704111438</v>
      </c>
      <c r="AL1067" s="93">
        <v>735.41720885514133</v>
      </c>
      <c r="AM1067" s="93">
        <v>735.55008604327725</v>
      </c>
      <c r="AN1067" s="93">
        <v>735.67955293459909</v>
      </c>
      <c r="AO1067" s="93">
        <v>735.80568308525608</v>
      </c>
      <c r="AP1067" s="93">
        <v>735.92854923713344</v>
      </c>
      <c r="AQ1067" s="93">
        <v>736.04822328010221</v>
      </c>
      <c r="AR1067" s="93">
        <v>736.16477621770741</v>
      </c>
      <c r="AS1067" s="93">
        <v>736.27827813614556</v>
      </c>
      <c r="AT1067" s="93">
        <v>736.38879817638406</v>
      </c>
      <c r="AU1067" s="93">
        <v>736.49640450927802</v>
      </c>
      <c r="AV1067" s="93">
        <v>736.60116431354231</v>
      </c>
      <c r="AW1067" s="93">
        <v>736.7031437564375</v>
      </c>
      <c r="AX1067" s="94">
        <v>736.80240797703516</v>
      </c>
    </row>
    <row r="1068" spans="1:50" x14ac:dyDescent="0.25">
      <c r="A1068" s="356"/>
      <c r="B1068" s="359"/>
      <c r="C1068" s="350"/>
      <c r="D1068" s="2" t="s">
        <v>8</v>
      </c>
      <c r="E1068" s="160" t="str">
        <f>A1049&amp;"/"&amp;B1067&amp;"/"&amp;C1067&amp;"/"&amp;D1068</f>
        <v>Gas fired power plants (Natural gas, biogas)/Steam turbine/Electricity only/M</v>
      </c>
      <c r="F1068" s="76" t="str">
        <f>A1049</f>
        <v>Gas fired power plants (Natural gas, biogas)</v>
      </c>
      <c r="G1068" s="76" t="str">
        <f>B1067</f>
        <v>Steam turbine</v>
      </c>
      <c r="H1068" s="76" t="str">
        <f>C1067</f>
        <v>Electricity only</v>
      </c>
      <c r="I1068" s="161" t="str">
        <f t="shared" si="94"/>
        <v>M</v>
      </c>
      <c r="J1068" s="91">
        <v>788.40000000000009</v>
      </c>
      <c r="K1068" s="91">
        <v>788.61019180028768</v>
      </c>
      <c r="L1068" s="91">
        <v>788.81591995383633</v>
      </c>
      <c r="M1068" s="91">
        <v>789.01723532403298</v>
      </c>
      <c r="N1068" s="91">
        <v>789.21419051850455</v>
      </c>
      <c r="O1068" s="91">
        <v>789.40683974537546</v>
      </c>
      <c r="P1068" s="91">
        <v>789.59523867350083</v>
      </c>
      <c r="Q1068" s="91">
        <v>789.77944429683134</v>
      </c>
      <c r="R1068" s="91">
        <v>789.95951480303893</v>
      </c>
      <c r="S1068" s="91">
        <v>790.13550944651058</v>
      </c>
      <c r="T1068" s="91">
        <v>790.3074884257943</v>
      </c>
      <c r="U1068" s="91">
        <v>790.47551276555851</v>
      </c>
      <c r="V1068" s="91">
        <v>790.63964420310799</v>
      </c>
      <c r="W1068" s="91">
        <v>790.79994507947958</v>
      </c>
      <c r="X1068" s="91">
        <v>790.95647823512354</v>
      </c>
      <c r="Y1068" s="91">
        <v>791.10930691016029</v>
      </c>
      <c r="Z1068" s="91">
        <v>791.25849464918917</v>
      </c>
      <c r="AA1068" s="91">
        <v>791.40410521060812</v>
      </c>
      <c r="AB1068" s="91">
        <v>791.5462024803968</v>
      </c>
      <c r="AC1068" s="91">
        <v>791.68485039029804</v>
      </c>
      <c r="AD1068" s="91">
        <v>791.82011284032831</v>
      </c>
      <c r="AE1068" s="91">
        <v>791.9520536255344</v>
      </c>
      <c r="AF1068" s="91">
        <v>792.08073636690926</v>
      </c>
      <c r="AG1068" s="91">
        <v>792.20622444636911</v>
      </c>
      <c r="AH1068" s="91">
        <v>792.32858094569258</v>
      </c>
      <c r="AI1068" s="91">
        <v>792.44786858931343</v>
      </c>
      <c r="AJ1068" s="91">
        <v>792.56414969085654</v>
      </c>
      <c r="AK1068" s="91">
        <v>792.67748610330273</v>
      </c>
      <c r="AL1068" s="91">
        <v>792.78793917266455</v>
      </c>
      <c r="AM1068" s="91">
        <v>792.89556969505463</v>
      </c>
      <c r="AN1068" s="91">
        <v>793.00043787702532</v>
      </c>
      <c r="AO1068" s="91">
        <v>793.10260329905748</v>
      </c>
      <c r="AP1068" s="91">
        <v>793.20212488207812</v>
      </c>
      <c r="AQ1068" s="91">
        <v>793.29906085688287</v>
      </c>
      <c r="AR1068" s="91">
        <v>793.39346873634304</v>
      </c>
      <c r="AS1068" s="91">
        <v>793.48540529027798</v>
      </c>
      <c r="AT1068" s="91">
        <v>793.57492652287112</v>
      </c>
      <c r="AU1068" s="91">
        <v>793.66208765251531</v>
      </c>
      <c r="AV1068" s="91">
        <v>793.74694309396932</v>
      </c>
      <c r="AW1068" s="91">
        <v>793.82954644271445</v>
      </c>
      <c r="AX1068" s="92">
        <v>793.90995046139847</v>
      </c>
    </row>
    <row r="1069" spans="1:50" x14ac:dyDescent="0.25">
      <c r="A1069" s="356"/>
      <c r="B1069" s="359"/>
      <c r="C1069" s="350"/>
      <c r="D1069" s="2" t="s">
        <v>10</v>
      </c>
      <c r="E1069" s="160" t="str">
        <f>A1049&amp;"/"&amp;B1067&amp;"/"&amp;C1067&amp;"/"&amp;D1069</f>
        <v>Gas fired power plants (Natural gas, biogas)/Steam turbine/Electricity only/S</v>
      </c>
      <c r="F1069" s="76" t="str">
        <f>A1049</f>
        <v>Gas fired power plants (Natural gas, biogas)</v>
      </c>
      <c r="G1069" s="76" t="str">
        <f>B1067</f>
        <v>Steam turbine</v>
      </c>
      <c r="H1069" s="76" t="str">
        <f>C1067</f>
        <v>Electricity only</v>
      </c>
      <c r="I1069" s="161" t="str">
        <f t="shared" si="94"/>
        <v>S</v>
      </c>
      <c r="J1069" s="91">
        <v>871.18200000000013</v>
      </c>
      <c r="K1069" s="91">
        <v>871.37555161609839</v>
      </c>
      <c r="L1069" s="91">
        <v>871.56499295749097</v>
      </c>
      <c r="M1069" s="91">
        <v>871.75037086088048</v>
      </c>
      <c r="N1069" s="91">
        <v>871.93173376912307</v>
      </c>
      <c r="O1069" s="91">
        <v>872.10913159886661</v>
      </c>
      <c r="P1069" s="91">
        <v>872.28261561184877</v>
      </c>
      <c r="Q1069" s="91">
        <v>872.45223828999895</v>
      </c>
      <c r="R1069" s="91">
        <v>872.61805321446514</v>
      </c>
      <c r="S1069" s="91">
        <v>872.78011494866189</v>
      </c>
      <c r="T1069" s="91">
        <v>872.93847892541896</v>
      </c>
      <c r="U1069" s="91">
        <v>873.0932013382851</v>
      </c>
      <c r="V1069" s="91">
        <v>873.24433903702868</v>
      </c>
      <c r="W1069" s="91">
        <v>873.39194942735412</v>
      </c>
      <c r="X1069" s="91">
        <v>873.53609037484296</v>
      </c>
      <c r="Y1069" s="91">
        <v>873.67682011310603</v>
      </c>
      <c r="Z1069" s="91">
        <v>873.81419715612844</v>
      </c>
      <c r="AA1069" s="91">
        <v>873.94828021476837</v>
      </c>
      <c r="AB1069" s="91">
        <v>874.07912811736549</v>
      </c>
      <c r="AC1069" s="91">
        <v>874.20679973439951</v>
      </c>
      <c r="AD1069" s="91">
        <v>874.33135390713574</v>
      </c>
      <c r="AE1069" s="91">
        <v>874.45284938017971</v>
      </c>
      <c r="AF1069" s="91">
        <v>874.57134473786243</v>
      </c>
      <c r="AG1069" s="91">
        <v>874.68689834436498</v>
      </c>
      <c r="AH1069" s="91">
        <v>874.79956828749198</v>
      </c>
      <c r="AI1069" s="91">
        <v>874.90941232599278</v>
      </c>
      <c r="AJ1069" s="91">
        <v>875.01648784033046</v>
      </c>
      <c r="AK1069" s="91">
        <v>875.12085178679138</v>
      </c>
      <c r="AL1069" s="91">
        <v>875.22256065482873</v>
      </c>
      <c r="AM1069" s="91">
        <v>875.32167042752963</v>
      </c>
      <c r="AN1069" s="91">
        <v>875.41823654509415</v>
      </c>
      <c r="AO1069" s="91">
        <v>875.5123138712155</v>
      </c>
      <c r="AP1069" s="91">
        <v>875.60395666224701</v>
      </c>
      <c r="AQ1069" s="91">
        <v>875.69321853904637</v>
      </c>
      <c r="AR1069" s="91">
        <v>875.78015246138261</v>
      </c>
      <c r="AS1069" s="91">
        <v>875.86481070479772</v>
      </c>
      <c r="AT1069" s="91">
        <v>875.94724483981054</v>
      </c>
      <c r="AU1069" s="91">
        <v>876.02750571335787</v>
      </c>
      <c r="AV1069" s="91">
        <v>876.10564343236354</v>
      </c>
      <c r="AW1069" s="91">
        <v>876.18170734933301</v>
      </c>
      <c r="AX1069" s="92">
        <v>876.25574604987116</v>
      </c>
    </row>
    <row r="1070" spans="1:50" x14ac:dyDescent="0.25">
      <c r="A1070" s="356"/>
      <c r="B1070" s="359"/>
      <c r="C1070" s="360"/>
      <c r="D1070" s="2" t="s">
        <v>20</v>
      </c>
      <c r="E1070" s="160" t="str">
        <f>A1049&amp;"/"&amp;B1067&amp;"/"&amp;C1067&amp;"/"&amp;D1070</f>
        <v>Gas fired power plants (Natural gas, biogas)/Steam turbine/Electricity only/XS</v>
      </c>
      <c r="F1070" s="76" t="str">
        <f>A1049</f>
        <v>Gas fired power plants (Natural gas, biogas)</v>
      </c>
      <c r="G1070" s="76" t="str">
        <f>B1067</f>
        <v>Steam turbine</v>
      </c>
      <c r="H1070" s="76" t="str">
        <f>C1067</f>
        <v>Electricity only</v>
      </c>
      <c r="I1070" s="161" t="str">
        <f t="shared" si="94"/>
        <v>XS</v>
      </c>
      <c r="J1070" s="91">
        <v>1045.4184</v>
      </c>
      <c r="K1070" s="91">
        <v>1045.534075236993</v>
      </c>
      <c r="L1070" s="91">
        <v>1045.6469360288838</v>
      </c>
      <c r="M1070" s="91">
        <v>1045.7570348808215</v>
      </c>
      <c r="N1070" s="91">
        <v>1045.8644241868683</v>
      </c>
      <c r="O1070" s="91">
        <v>1045.9691561747588</v>
      </c>
      <c r="P1070" s="91">
        <v>1046.0712828539504</v>
      </c>
      <c r="Q1070" s="91">
        <v>1046.1708559668775</v>
      </c>
      <c r="R1070" s="91">
        <v>1046.2679269433243</v>
      </c>
      <c r="S1070" s="91">
        <v>1046.3625468578205</v>
      </c>
      <c r="T1070" s="91">
        <v>1046.4547663899714</v>
      </c>
      <c r="U1070" s="91">
        <v>1046.5446357876212</v>
      </c>
      <c r="V1070" s="91">
        <v>1046.632204832755</v>
      </c>
      <c r="W1070" s="91">
        <v>1046.7175228100375</v>
      </c>
      <c r="X1070" s="91">
        <v>1046.8006384778939</v>
      </c>
      <c r="Y1070" s="91">
        <v>1046.8816000420277</v>
      </c>
      <c r="Z1070" s="91">
        <v>1046.9604551312805</v>
      </c>
      <c r="AA1070" s="91">
        <v>1047.0372507757329</v>
      </c>
      <c r="AB1070" s="91">
        <v>1047.1120333869496</v>
      </c>
      <c r="AC1070" s="91">
        <v>1047.1848487402706</v>
      </c>
      <c r="AD1070" s="91">
        <v>1047.2557419590553</v>
      </c>
      <c r="AE1070" s="91">
        <v>1047.3247575007831</v>
      </c>
      <c r="AF1070" s="91">
        <v>1047.3919391449215</v>
      </c>
      <c r="AG1070" s="91">
        <v>1047.4573299824694</v>
      </c>
      <c r="AH1070" s="91">
        <v>1047.5209724070901</v>
      </c>
      <c r="AI1070" s="91">
        <v>1047.5829081077445</v>
      </c>
      <c r="AJ1070" s="91">
        <v>1047.6431780627474</v>
      </c>
      <c r="AK1070" s="91">
        <v>1047.7018225351615</v>
      </c>
      <c r="AL1070" s="91">
        <v>1047.7588810694504</v>
      </c>
      <c r="AM1070" s="91">
        <v>1047.8143924893204</v>
      </c>
      <c r="AN1070" s="91">
        <v>1047.8683948966711</v>
      </c>
      <c r="AO1070" s="91">
        <v>1047.9209256715903</v>
      </c>
      <c r="AP1070" s="91">
        <v>1047.9720214733202</v>
      </c>
      <c r="AQ1070" s="91">
        <v>1048.021718242135</v>
      </c>
      <c r="AR1070" s="91">
        <v>1048.0700512020614</v>
      </c>
      <c r="AS1070" s="91">
        <v>1048.117054864389</v>
      </c>
      <c r="AT1070" s="91">
        <v>1048.1627630319044</v>
      </c>
      <c r="AU1070" s="91">
        <v>1048.2072088038035</v>
      </c>
      <c r="AV1070" s="91">
        <v>1048.2504245812208</v>
      </c>
      <c r="AW1070" s="91">
        <v>1048.2924420733334</v>
      </c>
      <c r="AX1070" s="92">
        <v>1048.333292303985</v>
      </c>
    </row>
    <row r="1071" spans="1:50" x14ac:dyDescent="0.25">
      <c r="A1071" s="356"/>
      <c r="B1071" s="359"/>
      <c r="C1071" s="361" t="s">
        <v>14</v>
      </c>
      <c r="D1071" s="58" t="s">
        <v>7</v>
      </c>
      <c r="E1071" s="164" t="str">
        <f>A1049&amp;"/"&amp;B1067&amp;"/"&amp;C1071&amp;"/"&amp;D1071</f>
        <v>Gas fired power plants (Natural gas, biogas)/Steam turbine/CHP/L</v>
      </c>
      <c r="F1071" s="78" t="str">
        <f>A1049</f>
        <v>Gas fired power plants (Natural gas, biogas)</v>
      </c>
      <c r="G1071" s="78" t="str">
        <f>B1067</f>
        <v>Steam turbine</v>
      </c>
      <c r="H1071" s="78" t="str">
        <f>C1071</f>
        <v>CHP</v>
      </c>
      <c r="I1071" s="165" t="str">
        <f t="shared" si="94"/>
        <v>L</v>
      </c>
      <c r="J1071" s="95">
        <v>1225</v>
      </c>
      <c r="K1071" s="95">
        <v>1225.2047190625369</v>
      </c>
      <c r="L1071" s="95">
        <v>1225.406195308567</v>
      </c>
      <c r="M1071" s="95">
        <v>1225.6044657994323</v>
      </c>
      <c r="N1071" s="95">
        <v>1225.7995676910584</v>
      </c>
      <c r="O1071" s="95">
        <v>1225.9915382110178</v>
      </c>
      <c r="P1071" s="95">
        <v>1226.1804146363602</v>
      </c>
      <c r="Q1071" s="95">
        <v>1226.3662342722052</v>
      </c>
      <c r="R1071" s="95">
        <v>1226.5490344310872</v>
      </c>
      <c r="S1071" s="95">
        <v>1226.7288524130438</v>
      </c>
      <c r="T1071" s="95">
        <v>1226.9057254864399</v>
      </c>
      <c r="U1071" s="95">
        <v>1227.0796908695158</v>
      </c>
      <c r="V1071" s="95">
        <v>1227.2507857126486</v>
      </c>
      <c r="W1071" s="95">
        <v>1227.4190470813169</v>
      </c>
      <c r="X1071" s="95">
        <v>1227.5845119397557</v>
      </c>
      <c r="Y1071" s="95">
        <v>1227.7472171352915</v>
      </c>
      <c r="Z1071" s="95">
        <v>1227.9071993833427</v>
      </c>
      <c r="AA1071" s="95">
        <v>1228.064495253074</v>
      </c>
      <c r="AB1071" s="95">
        <v>1228.219141153693</v>
      </c>
      <c r="AC1071" s="95">
        <v>1228.3711733213713</v>
      </c>
      <c r="AD1071" s="95">
        <v>1228.5206278067831</v>
      </c>
      <c r="AE1071" s="95">
        <v>1228.6675404632419</v>
      </c>
      <c r="AF1071" s="95">
        <v>1228.8119469354242</v>
      </c>
      <c r="AG1071" s="95">
        <v>1228.9538826486671</v>
      </c>
      <c r="AH1071" s="95">
        <v>1229.0933827988219</v>
      </c>
      <c r="AI1071" s="95">
        <v>1229.2304823426559</v>
      </c>
      <c r="AJ1071" s="95">
        <v>1229.3652159887813</v>
      </c>
      <c r="AK1071" s="95">
        <v>1229.4976181891029</v>
      </c>
      <c r="AL1071" s="95">
        <v>1229.6277231307683</v>
      </c>
      <c r="AM1071" s="95">
        <v>1229.7555647286038</v>
      </c>
      <c r="AN1071" s="95">
        <v>1229.8811766180283</v>
      </c>
      <c r="AO1071" s="95">
        <v>1230.0045921484261</v>
      </c>
      <c r="AP1071" s="95">
        <v>1230.1258443769668</v>
      </c>
      <c r="AQ1071" s="95">
        <v>1230.2449660628577</v>
      </c>
      <c r="AR1071" s="95">
        <v>1230.3619896620173</v>
      </c>
      <c r="AS1071" s="95">
        <v>1230.4769473221556</v>
      </c>
      <c r="AT1071" s="95">
        <v>1230.5898708782447</v>
      </c>
      <c r="AU1071" s="95">
        <v>1230.700791848373</v>
      </c>
      <c r="AV1071" s="95">
        <v>1230.809741429965</v>
      </c>
      <c r="AW1071" s="95">
        <v>1230.9167504963559</v>
      </c>
      <c r="AX1071" s="96">
        <v>1231.0218495937083</v>
      </c>
    </row>
    <row r="1072" spans="1:50" x14ac:dyDescent="0.25">
      <c r="A1072" s="356"/>
      <c r="B1072" s="359"/>
      <c r="C1072" s="350"/>
      <c r="D1072" s="2" t="s">
        <v>8</v>
      </c>
      <c r="E1072" s="160" t="str">
        <f>A1049&amp;"/"&amp;B1067&amp;"/"&amp;C1071&amp;"/"&amp;D1072</f>
        <v>Gas fired power plants (Natural gas, biogas)/Steam turbine/CHP/M</v>
      </c>
      <c r="F1072" s="76" t="str">
        <f>A1049</f>
        <v>Gas fired power plants (Natural gas, biogas)</v>
      </c>
      <c r="G1072" s="76" t="str">
        <f>B1067</f>
        <v>Steam turbine</v>
      </c>
      <c r="H1072" s="76" t="str">
        <f>C1071</f>
        <v>CHP</v>
      </c>
      <c r="I1072" s="161" t="str">
        <f t="shared" si="94"/>
        <v>M</v>
      </c>
      <c r="J1072" s="91">
        <v>1286.4000000000001</v>
      </c>
      <c r="K1072" s="91">
        <v>1286.5302564666636</v>
      </c>
      <c r="L1072" s="91">
        <v>1286.6583524859525</v>
      </c>
      <c r="M1072" s="91">
        <v>1286.7843163660636</v>
      </c>
      <c r="N1072" s="91">
        <v>1286.9081763202598</v>
      </c>
      <c r="O1072" s="91">
        <v>1287.0299604556055</v>
      </c>
      <c r="P1072" s="91">
        <v>1287.1496967622015</v>
      </c>
      <c r="Q1072" s="91">
        <v>1287.267413102903</v>
      </c>
      <c r="R1072" s="91">
        <v>1287.3831372035145</v>
      </c>
      <c r="S1072" s="91">
        <v>1287.4968966434501</v>
      </c>
      <c r="T1072" s="91">
        <v>1287.6087188468478</v>
      </c>
      <c r="U1072" s="91">
        <v>1287.7186310741276</v>
      </c>
      <c r="V1072" s="91">
        <v>1287.8266604139865</v>
      </c>
      <c r="W1072" s="91">
        <v>1287.9328337758113</v>
      </c>
      <c r="X1072" s="91">
        <v>1288.0371778825076</v>
      </c>
      <c r="Y1072" s="91">
        <v>1288.1397192637287</v>
      </c>
      <c r="Z1072" s="91">
        <v>1288.2404842494948</v>
      </c>
      <c r="AA1072" s="91">
        <v>1288.3394989641924</v>
      </c>
      <c r="AB1072" s="91">
        <v>1288.4367893209444</v>
      </c>
      <c r="AC1072" s="91">
        <v>1288.5323810163354</v>
      </c>
      <c r="AD1072" s="91">
        <v>1288.6262995254892</v>
      </c>
      <c r="AE1072" s="91">
        <v>1288.7185700974808</v>
      </c>
      <c r="AF1072" s="91">
        <v>1288.8092177510766</v>
      </c>
      <c r="AG1072" s="91">
        <v>1288.8982672707923</v>
      </c>
      <c r="AH1072" s="91">
        <v>1288.9857432032559</v>
      </c>
      <c r="AI1072" s="91">
        <v>1289.0716698538688</v>
      </c>
      <c r="AJ1072" s="91">
        <v>1289.1560712837543</v>
      </c>
      <c r="AK1072" s="91">
        <v>1289.2389713069801</v>
      </c>
      <c r="AL1072" s="91">
        <v>1289.3203934880523</v>
      </c>
      <c r="AM1072" s="91">
        <v>1289.4003611396649</v>
      </c>
      <c r="AN1072" s="91">
        <v>1289.4788973206983</v>
      </c>
      <c r="AO1072" s="91">
        <v>1289.5560248344577</v>
      </c>
      <c r="AP1072" s="91">
        <v>1289.6317662271431</v>
      </c>
      <c r="AQ1072" s="91">
        <v>1289.7061437865393</v>
      </c>
      <c r="AR1072" s="91">
        <v>1289.7791795409214</v>
      </c>
      <c r="AS1072" s="91">
        <v>1289.8508952581631</v>
      </c>
      <c r="AT1072" s="91">
        <v>1289.9213124450428</v>
      </c>
      <c r="AU1072" s="91">
        <v>1289.9904523467383</v>
      </c>
      <c r="AV1072" s="91">
        <v>1290.0583359465029</v>
      </c>
      <c r="AW1072" s="91">
        <v>1290.1249839655122</v>
      </c>
      <c r="AX1072" s="92">
        <v>1290.1904168628794</v>
      </c>
    </row>
    <row r="1073" spans="1:50" x14ac:dyDescent="0.25">
      <c r="A1073" s="356"/>
      <c r="B1073" s="359"/>
      <c r="C1073" s="350"/>
      <c r="D1073" s="2" t="s">
        <v>10</v>
      </c>
      <c r="E1073" s="160" t="str">
        <f>A1049&amp;"/"&amp;B1067&amp;"/"&amp;C1071&amp;"/"&amp;D1073</f>
        <v>Gas fired power plants (Natural gas, biogas)/Steam turbine/CHP/S</v>
      </c>
      <c r="F1073" s="76" t="str">
        <f>A1049</f>
        <v>Gas fired power plants (Natural gas, biogas)</v>
      </c>
      <c r="G1073" s="76" t="str">
        <f>B1067</f>
        <v>Steam turbine</v>
      </c>
      <c r="H1073" s="76" t="str">
        <f>C1071</f>
        <v>CHP</v>
      </c>
      <c r="I1073" s="161" t="str">
        <f t="shared" si="94"/>
        <v>S</v>
      </c>
      <c r="J1073" s="91">
        <v>1575.4184</v>
      </c>
      <c r="K1073" s="91">
        <v>1575.5191246513962</v>
      </c>
      <c r="L1073" s="91">
        <v>1575.6181013642199</v>
      </c>
      <c r="M1073" s="91">
        <v>1575.7153559579774</v>
      </c>
      <c r="N1073" s="91">
        <v>1575.8109140387051</v>
      </c>
      <c r="O1073" s="91">
        <v>1575.9048009939688</v>
      </c>
      <c r="P1073" s="91">
        <v>1575.9970419882</v>
      </c>
      <c r="Q1073" s="91">
        <v>1576.0876619583605</v>
      </c>
      <c r="R1073" s="91">
        <v>1576.1766856099246</v>
      </c>
      <c r="S1073" s="91">
        <v>1576.2641374131695</v>
      </c>
      <c r="T1073" s="91">
        <v>1576.3500415997635</v>
      </c>
      <c r="U1073" s="91">
        <v>1576.4344221596414</v>
      </c>
      <c r="V1073" s="91">
        <v>1576.5173028381594</v>
      </c>
      <c r="W1073" s="91">
        <v>1576.5987071335171</v>
      </c>
      <c r="X1073" s="91">
        <v>1576.6786582944399</v>
      </c>
      <c r="Y1073" s="91">
        <v>1576.7571793181105</v>
      </c>
      <c r="Z1073" s="91">
        <v>1576.834292948342</v>
      </c>
      <c r="AA1073" s="91">
        <v>1576.9100216739823</v>
      </c>
      <c r="AB1073" s="91">
        <v>1576.9843877275421</v>
      </c>
      <c r="AC1073" s="91">
        <v>1577.0574130840371</v>
      </c>
      <c r="AD1073" s="91">
        <v>1577.1291194600367</v>
      </c>
      <c r="AE1073" s="91">
        <v>1577.1995283129104</v>
      </c>
      <c r="AF1073" s="91">
        <v>1577.2686608402644</v>
      </c>
      <c r="AG1073" s="91">
        <v>1577.3365379795596</v>
      </c>
      <c r="AH1073" s="91">
        <v>1577.403180407905</v>
      </c>
      <c r="AI1073" s="91">
        <v>1577.468608542018</v>
      </c>
      <c r="AJ1073" s="91">
        <v>1577.5328425383423</v>
      </c>
      <c r="AK1073" s="91">
        <v>1577.5959022933209</v>
      </c>
      <c r="AL1073" s="91">
        <v>1577.6578074438135</v>
      </c>
      <c r="AM1073" s="91">
        <v>1577.7185773676526</v>
      </c>
      <c r="AN1073" s="91">
        <v>1577.7782311843325</v>
      </c>
      <c r="AO1073" s="91">
        <v>1577.8367877558233</v>
      </c>
      <c r="AP1073" s="91">
        <v>1577.8942656875054</v>
      </c>
      <c r="AQ1073" s="91">
        <v>1577.9506833292178</v>
      </c>
      <c r="AR1073" s="91">
        <v>1578.0060587764142</v>
      </c>
      <c r="AS1073" s="91">
        <v>1578.06040987142</v>
      </c>
      <c r="AT1073" s="91">
        <v>1578.1137542047891</v>
      </c>
      <c r="AU1073" s="91">
        <v>1578.1661091167482</v>
      </c>
      <c r="AV1073" s="91">
        <v>1578.2174916987317</v>
      </c>
      <c r="AW1073" s="91">
        <v>1578.2679187949936</v>
      </c>
      <c r="AX1073" s="92">
        <v>1578.3174070043003</v>
      </c>
    </row>
    <row r="1074" spans="1:50" x14ac:dyDescent="0.25">
      <c r="A1074" s="356"/>
      <c r="B1074" s="359"/>
      <c r="C1074" s="360"/>
      <c r="D1074" s="59" t="s">
        <v>20</v>
      </c>
      <c r="E1074" s="166" t="str">
        <f>A1049&amp;"/"&amp;B1067&amp;"/"&amp;C1071&amp;"/"&amp;D1074</f>
        <v>Gas fired power plants (Natural gas, biogas)/Steam turbine/CHP/XS</v>
      </c>
      <c r="F1074" s="79" t="str">
        <f>A1049</f>
        <v>Gas fired power plants (Natural gas, biogas)</v>
      </c>
      <c r="G1074" s="79" t="str">
        <f>B1067</f>
        <v>Steam turbine</v>
      </c>
      <c r="H1074" s="79" t="str">
        <f>C1071</f>
        <v>CHP</v>
      </c>
      <c r="I1074" s="167" t="str">
        <f t="shared" si="94"/>
        <v>XS</v>
      </c>
      <c r="J1074" s="97">
        <v>1825</v>
      </c>
      <c r="K1074" s="97">
        <v>1825.0628969693421</v>
      </c>
      <c r="L1074" s="97">
        <v>1825.1246527159958</v>
      </c>
      <c r="M1074" s="97">
        <v>1825.1852860018946</v>
      </c>
      <c r="N1074" s="97">
        <v>1825.2448153540404</v>
      </c>
      <c r="O1074" s="97">
        <v>1825.3032590645494</v>
      </c>
      <c r="P1074" s="97">
        <v>1825.3606351908356</v>
      </c>
      <c r="Q1074" s="97">
        <v>1825.4169615559313</v>
      </c>
      <c r="R1074" s="97">
        <v>1825.4722557489317</v>
      </c>
      <c r="S1074" s="97">
        <v>1825.5265351255655</v>
      </c>
      <c r="T1074" s="97">
        <v>1825.5798168088788</v>
      </c>
      <c r="U1074" s="97">
        <v>1825.6321176900303</v>
      </c>
      <c r="V1074" s="97">
        <v>1825.6834544291919</v>
      </c>
      <c r="W1074" s="97">
        <v>1825.7338434565479</v>
      </c>
      <c r="X1074" s="97">
        <v>1825.7833009733897</v>
      </c>
      <c r="Y1074" s="97">
        <v>1825.8318429532992</v>
      </c>
      <c r="Z1074" s="97">
        <v>1825.8794851434172</v>
      </c>
      <c r="AA1074" s="97">
        <v>1825.9262430657923</v>
      </c>
      <c r="AB1074" s="97">
        <v>1825.9721320188032</v>
      </c>
      <c r="AC1074" s="97">
        <v>1826.0171670786542</v>
      </c>
      <c r="AD1074" s="97">
        <v>1826.0613631009362</v>
      </c>
      <c r="AE1074" s="97">
        <v>1826.1047347222504</v>
      </c>
      <c r="AF1074" s="97">
        <v>1826.1472963618914</v>
      </c>
      <c r="AG1074" s="97">
        <v>1826.1890622235833</v>
      </c>
      <c r="AH1074" s="97">
        <v>1826.2300462972692</v>
      </c>
      <c r="AI1074" s="97">
        <v>1826.2702623609466</v>
      </c>
      <c r="AJ1074" s="97">
        <v>1826.3097239825477</v>
      </c>
      <c r="AK1074" s="97">
        <v>1826.3484445218596</v>
      </c>
      <c r="AL1074" s="97">
        <v>1826.3864371324835</v>
      </c>
      <c r="AM1074" s="97">
        <v>1826.4237147638273</v>
      </c>
      <c r="AN1074" s="97">
        <v>1826.4602901631306</v>
      </c>
      <c r="AO1074" s="97">
        <v>1826.4961758775169</v>
      </c>
      <c r="AP1074" s="97">
        <v>1826.5313842560745</v>
      </c>
      <c r="AQ1074" s="97">
        <v>1826.5659274519587</v>
      </c>
      <c r="AR1074" s="97">
        <v>1826.5998174245155</v>
      </c>
      <c r="AS1074" s="97">
        <v>1826.6330659414243</v>
      </c>
      <c r="AT1074" s="97">
        <v>1826.6656845808561</v>
      </c>
      <c r="AU1074" s="97">
        <v>1826.6976847336471</v>
      </c>
      <c r="AV1074" s="97">
        <v>1826.729077605482</v>
      </c>
      <c r="AW1074" s="97">
        <v>1826.7598742190899</v>
      </c>
      <c r="AX1074" s="98">
        <v>1826.7900854164459</v>
      </c>
    </row>
    <row r="1075" spans="1:50" x14ac:dyDescent="0.25">
      <c r="A1075" s="356"/>
      <c r="B1075" s="359"/>
      <c r="C1075" s="361" t="s">
        <v>15</v>
      </c>
      <c r="D1075" s="58" t="s">
        <v>7</v>
      </c>
      <c r="E1075" s="164" t="str">
        <f>A1049&amp;"/"&amp;B1067&amp;"/"&amp;C1075&amp;"/"&amp;D1075</f>
        <v>Gas fired power plants (Natural gas, biogas)/Steam turbine/Electricity only with CCS/L</v>
      </c>
      <c r="F1075" s="78" t="str">
        <f>A1049</f>
        <v>Gas fired power plants (Natural gas, biogas)</v>
      </c>
      <c r="G1075" s="78" t="str">
        <f>B1067</f>
        <v>Steam turbine</v>
      </c>
      <c r="H1075" s="78" t="str">
        <f>C1075</f>
        <v>Electricity only with CCS</v>
      </c>
      <c r="I1075" s="165" t="str">
        <f t="shared" si="94"/>
        <v>L</v>
      </c>
      <c r="J1075" s="95" t="s">
        <v>112</v>
      </c>
      <c r="K1075" s="95" t="s">
        <v>112</v>
      </c>
      <c r="L1075" s="95" t="s">
        <v>112</v>
      </c>
      <c r="M1075" s="95" t="s">
        <v>112</v>
      </c>
      <c r="N1075" s="95" t="s">
        <v>112</v>
      </c>
      <c r="O1075" s="95" t="s">
        <v>112</v>
      </c>
      <c r="P1075" s="95" t="s">
        <v>112</v>
      </c>
      <c r="Q1075" s="95" t="s">
        <v>112</v>
      </c>
      <c r="R1075" s="95" t="s">
        <v>112</v>
      </c>
      <c r="S1075" s="95" t="s">
        <v>112</v>
      </c>
      <c r="T1075" s="95" t="s">
        <v>112</v>
      </c>
      <c r="U1075" s="95" t="s">
        <v>112</v>
      </c>
      <c r="V1075" s="95" t="s">
        <v>112</v>
      </c>
      <c r="W1075" s="95" t="s">
        <v>112</v>
      </c>
      <c r="X1075" s="95" t="s">
        <v>112</v>
      </c>
      <c r="Y1075" s="95" t="s">
        <v>112</v>
      </c>
      <c r="Z1075" s="95" t="s">
        <v>112</v>
      </c>
      <c r="AA1075" s="95" t="s">
        <v>112</v>
      </c>
      <c r="AB1075" s="95" t="s">
        <v>112</v>
      </c>
      <c r="AC1075" s="95" t="s">
        <v>112</v>
      </c>
      <c r="AD1075" s="95" t="s">
        <v>112</v>
      </c>
      <c r="AE1075" s="95">
        <v>1825</v>
      </c>
      <c r="AF1075" s="95">
        <v>1825</v>
      </c>
      <c r="AG1075" s="95">
        <v>1825</v>
      </c>
      <c r="AH1075" s="95">
        <v>1825</v>
      </c>
      <c r="AI1075" s="95">
        <v>1825</v>
      </c>
      <c r="AJ1075" s="95">
        <v>1825</v>
      </c>
      <c r="AK1075" s="95">
        <v>1825</v>
      </c>
      <c r="AL1075" s="95">
        <v>1825</v>
      </c>
      <c r="AM1075" s="95">
        <v>1825</v>
      </c>
      <c r="AN1075" s="95">
        <v>1825</v>
      </c>
      <c r="AO1075" s="95">
        <v>1825</v>
      </c>
      <c r="AP1075" s="95">
        <v>1825</v>
      </c>
      <c r="AQ1075" s="95">
        <v>1825</v>
      </c>
      <c r="AR1075" s="95">
        <v>1825</v>
      </c>
      <c r="AS1075" s="95">
        <v>1825</v>
      </c>
      <c r="AT1075" s="95">
        <v>1825</v>
      </c>
      <c r="AU1075" s="95">
        <v>1825</v>
      </c>
      <c r="AV1075" s="95">
        <v>1825</v>
      </c>
      <c r="AW1075" s="95">
        <v>1825</v>
      </c>
      <c r="AX1075" s="96">
        <v>1825</v>
      </c>
    </row>
    <row r="1076" spans="1:50" x14ac:dyDescent="0.25">
      <c r="A1076" s="356"/>
      <c r="B1076" s="359"/>
      <c r="C1076" s="360"/>
      <c r="D1076" s="59" t="s">
        <v>8</v>
      </c>
      <c r="E1076" s="166" t="str">
        <f>A1049&amp;"/"&amp;B1067&amp;"/"&amp;C1075&amp;"/"&amp;D1076</f>
        <v>Gas fired power plants (Natural gas, biogas)/Steam turbine/Electricity only with CCS/M</v>
      </c>
      <c r="F1076" s="79" t="str">
        <f>A1049</f>
        <v>Gas fired power plants (Natural gas, biogas)</v>
      </c>
      <c r="G1076" s="79" t="str">
        <f>B1067</f>
        <v>Steam turbine</v>
      </c>
      <c r="H1076" s="79" t="str">
        <f>C1075</f>
        <v>Electricity only with CCS</v>
      </c>
      <c r="I1076" s="167" t="str">
        <f t="shared" si="94"/>
        <v>M</v>
      </c>
      <c r="J1076" s="97" t="s">
        <v>112</v>
      </c>
      <c r="K1076" s="97" t="s">
        <v>112</v>
      </c>
      <c r="L1076" s="97" t="s">
        <v>112</v>
      </c>
      <c r="M1076" s="97" t="s">
        <v>112</v>
      </c>
      <c r="N1076" s="97" t="s">
        <v>112</v>
      </c>
      <c r="O1076" s="97" t="s">
        <v>112</v>
      </c>
      <c r="P1076" s="97" t="s">
        <v>112</v>
      </c>
      <c r="Q1076" s="97" t="s">
        <v>112</v>
      </c>
      <c r="R1076" s="97" t="s">
        <v>112</v>
      </c>
      <c r="S1076" s="97" t="s">
        <v>112</v>
      </c>
      <c r="T1076" s="97" t="s">
        <v>112</v>
      </c>
      <c r="U1076" s="97" t="s">
        <v>112</v>
      </c>
      <c r="V1076" s="97" t="s">
        <v>112</v>
      </c>
      <c r="W1076" s="97" t="s">
        <v>112</v>
      </c>
      <c r="X1076" s="97" t="s">
        <v>112</v>
      </c>
      <c r="Y1076" s="97" t="s">
        <v>112</v>
      </c>
      <c r="Z1076" s="97" t="s">
        <v>112</v>
      </c>
      <c r="AA1076" s="97" t="s">
        <v>112</v>
      </c>
      <c r="AB1076" s="97" t="s">
        <v>112</v>
      </c>
      <c r="AC1076" s="97" t="s">
        <v>112</v>
      </c>
      <c r="AD1076" s="97" t="s">
        <v>112</v>
      </c>
      <c r="AE1076" s="97">
        <v>2374.75</v>
      </c>
      <c r="AF1076" s="97">
        <v>2374.75</v>
      </c>
      <c r="AG1076" s="97">
        <v>2374.75</v>
      </c>
      <c r="AH1076" s="97">
        <v>2374.75</v>
      </c>
      <c r="AI1076" s="97">
        <v>2374.75</v>
      </c>
      <c r="AJ1076" s="97">
        <v>2374.75</v>
      </c>
      <c r="AK1076" s="97">
        <v>2374.75</v>
      </c>
      <c r="AL1076" s="97">
        <v>2374.75</v>
      </c>
      <c r="AM1076" s="97">
        <v>2374.75</v>
      </c>
      <c r="AN1076" s="97">
        <v>2374.75</v>
      </c>
      <c r="AO1076" s="97">
        <v>2374.75</v>
      </c>
      <c r="AP1076" s="97">
        <v>2374.75</v>
      </c>
      <c r="AQ1076" s="97">
        <v>2374.75</v>
      </c>
      <c r="AR1076" s="97">
        <v>2374.75</v>
      </c>
      <c r="AS1076" s="97">
        <v>2374.75</v>
      </c>
      <c r="AT1076" s="97">
        <v>2374.75</v>
      </c>
      <c r="AU1076" s="97">
        <v>2374.75</v>
      </c>
      <c r="AV1076" s="97">
        <v>2374.75</v>
      </c>
      <c r="AW1076" s="97">
        <v>2374.75</v>
      </c>
      <c r="AX1076" s="98">
        <v>2374.75</v>
      </c>
    </row>
    <row r="1077" spans="1:50" x14ac:dyDescent="0.25">
      <c r="A1077" s="356"/>
      <c r="B1077" s="359"/>
      <c r="C1077" s="361" t="s">
        <v>16</v>
      </c>
      <c r="D1077" s="2" t="s">
        <v>7</v>
      </c>
      <c r="E1077" s="160" t="str">
        <f>A1049&amp;"/"&amp;B1067&amp;"/"&amp;C1077&amp;"/"&amp;D1077</f>
        <v>Gas fired power plants (Natural gas, biogas)/Steam turbine/CHP with CCS/L</v>
      </c>
      <c r="F1077" s="76" t="str">
        <f>A1049</f>
        <v>Gas fired power plants (Natural gas, biogas)</v>
      </c>
      <c r="G1077" s="76" t="str">
        <f>B1067</f>
        <v>Steam turbine</v>
      </c>
      <c r="H1077" s="76" t="str">
        <f>C1077</f>
        <v>CHP with CCS</v>
      </c>
      <c r="I1077" s="161" t="str">
        <f t="shared" si="94"/>
        <v>L</v>
      </c>
      <c r="J1077" s="91" t="s">
        <v>112</v>
      </c>
      <c r="K1077" s="91" t="s">
        <v>112</v>
      </c>
      <c r="L1077" s="91" t="s">
        <v>112</v>
      </c>
      <c r="M1077" s="91" t="s">
        <v>112</v>
      </c>
      <c r="N1077" s="91" t="s">
        <v>112</v>
      </c>
      <c r="O1077" s="91" t="s">
        <v>112</v>
      </c>
      <c r="P1077" s="91" t="s">
        <v>112</v>
      </c>
      <c r="Q1077" s="91" t="s">
        <v>112</v>
      </c>
      <c r="R1077" s="91" t="s">
        <v>112</v>
      </c>
      <c r="S1077" s="91" t="s">
        <v>112</v>
      </c>
      <c r="T1077" s="91" t="s">
        <v>112</v>
      </c>
      <c r="U1077" s="91" t="s">
        <v>112</v>
      </c>
      <c r="V1077" s="91" t="s">
        <v>112</v>
      </c>
      <c r="W1077" s="91" t="s">
        <v>112</v>
      </c>
      <c r="X1077" s="91" t="s">
        <v>112</v>
      </c>
      <c r="Y1077" s="91" t="s">
        <v>112</v>
      </c>
      <c r="Z1077" s="91" t="s">
        <v>112</v>
      </c>
      <c r="AA1077" s="91" t="s">
        <v>112</v>
      </c>
      <c r="AB1077" s="91" t="s">
        <v>112</v>
      </c>
      <c r="AC1077" s="91" t="s">
        <v>112</v>
      </c>
      <c r="AD1077" s="91" t="s">
        <v>112</v>
      </c>
      <c r="AE1077" s="91">
        <v>2320</v>
      </c>
      <c r="AF1077" s="91">
        <v>2320</v>
      </c>
      <c r="AG1077" s="91">
        <v>2320</v>
      </c>
      <c r="AH1077" s="91">
        <v>2320</v>
      </c>
      <c r="AI1077" s="91">
        <v>2320</v>
      </c>
      <c r="AJ1077" s="91">
        <v>2320</v>
      </c>
      <c r="AK1077" s="91">
        <v>2320</v>
      </c>
      <c r="AL1077" s="91">
        <v>2320</v>
      </c>
      <c r="AM1077" s="91">
        <v>2320</v>
      </c>
      <c r="AN1077" s="91">
        <v>2320</v>
      </c>
      <c r="AO1077" s="91">
        <v>2320</v>
      </c>
      <c r="AP1077" s="91">
        <v>2320</v>
      </c>
      <c r="AQ1077" s="91">
        <v>2320</v>
      </c>
      <c r="AR1077" s="91">
        <v>2320</v>
      </c>
      <c r="AS1077" s="91">
        <v>2320</v>
      </c>
      <c r="AT1077" s="91">
        <v>2320</v>
      </c>
      <c r="AU1077" s="91">
        <v>2320</v>
      </c>
      <c r="AV1077" s="91">
        <v>2320</v>
      </c>
      <c r="AW1077" s="91">
        <v>2320</v>
      </c>
      <c r="AX1077" s="92">
        <v>2320</v>
      </c>
    </row>
    <row r="1078" spans="1:50" x14ac:dyDescent="0.25">
      <c r="A1078" s="356"/>
      <c r="B1078" s="362"/>
      <c r="C1078" s="354"/>
      <c r="D1078" s="4" t="s">
        <v>8</v>
      </c>
      <c r="E1078" s="168" t="str">
        <f>A1049&amp;"/"&amp;B1067&amp;"/"&amp;C1077&amp;"/"&amp;D1078</f>
        <v>Gas fired power plants (Natural gas, biogas)/Steam turbine/CHP with CCS/M</v>
      </c>
      <c r="F1078" s="80" t="str">
        <f>A1049</f>
        <v>Gas fired power plants (Natural gas, biogas)</v>
      </c>
      <c r="G1078" s="80" t="str">
        <f>B1067</f>
        <v>Steam turbine</v>
      </c>
      <c r="H1078" s="80" t="str">
        <f>C1077</f>
        <v>CHP with CCS</v>
      </c>
      <c r="I1078" s="169" t="str">
        <f t="shared" si="94"/>
        <v>M</v>
      </c>
      <c r="J1078" s="99" t="s">
        <v>112</v>
      </c>
      <c r="K1078" s="99" t="s">
        <v>112</v>
      </c>
      <c r="L1078" s="99" t="s">
        <v>112</v>
      </c>
      <c r="M1078" s="99" t="s">
        <v>112</v>
      </c>
      <c r="N1078" s="99" t="s">
        <v>112</v>
      </c>
      <c r="O1078" s="99" t="s">
        <v>112</v>
      </c>
      <c r="P1078" s="99" t="s">
        <v>112</v>
      </c>
      <c r="Q1078" s="99" t="s">
        <v>112</v>
      </c>
      <c r="R1078" s="99" t="s">
        <v>112</v>
      </c>
      <c r="S1078" s="99" t="s">
        <v>112</v>
      </c>
      <c r="T1078" s="99" t="s">
        <v>112</v>
      </c>
      <c r="U1078" s="99" t="s">
        <v>112</v>
      </c>
      <c r="V1078" s="99" t="s">
        <v>112</v>
      </c>
      <c r="W1078" s="99" t="s">
        <v>112</v>
      </c>
      <c r="X1078" s="99" t="s">
        <v>112</v>
      </c>
      <c r="Y1078" s="99" t="s">
        <v>112</v>
      </c>
      <c r="Z1078" s="99" t="s">
        <v>112</v>
      </c>
      <c r="AA1078" s="99" t="s">
        <v>112</v>
      </c>
      <c r="AB1078" s="99" t="s">
        <v>112</v>
      </c>
      <c r="AC1078" s="99" t="s">
        <v>112</v>
      </c>
      <c r="AD1078" s="99" t="s">
        <v>112</v>
      </c>
      <c r="AE1078" s="99">
        <v>2872.75</v>
      </c>
      <c r="AF1078" s="99">
        <v>2872.75</v>
      </c>
      <c r="AG1078" s="99">
        <v>2872.75</v>
      </c>
      <c r="AH1078" s="99">
        <v>2872.75</v>
      </c>
      <c r="AI1078" s="99">
        <v>2872.75</v>
      </c>
      <c r="AJ1078" s="99">
        <v>2872.75</v>
      </c>
      <c r="AK1078" s="99">
        <v>2872.75</v>
      </c>
      <c r="AL1078" s="99">
        <v>2872.75</v>
      </c>
      <c r="AM1078" s="99">
        <v>2872.75</v>
      </c>
      <c r="AN1078" s="99">
        <v>2872.75</v>
      </c>
      <c r="AO1078" s="99">
        <v>2872.75</v>
      </c>
      <c r="AP1078" s="99">
        <v>2872.75</v>
      </c>
      <c r="AQ1078" s="99">
        <v>2872.75</v>
      </c>
      <c r="AR1078" s="99">
        <v>2872.75</v>
      </c>
      <c r="AS1078" s="99">
        <v>2872.75</v>
      </c>
      <c r="AT1078" s="99">
        <v>2872.75</v>
      </c>
      <c r="AU1078" s="99">
        <v>2872.75</v>
      </c>
      <c r="AV1078" s="99">
        <v>2872.75</v>
      </c>
      <c r="AW1078" s="99">
        <v>2872.75</v>
      </c>
      <c r="AX1078" s="100">
        <v>2872.75</v>
      </c>
    </row>
    <row r="1079" spans="1:50" x14ac:dyDescent="0.25">
      <c r="A1079" s="356"/>
      <c r="B1079" s="358" t="s">
        <v>25</v>
      </c>
      <c r="C1079" s="353" t="s">
        <v>6</v>
      </c>
      <c r="D1079" s="3" t="s">
        <v>10</v>
      </c>
      <c r="E1079" s="162" t="str">
        <f>A1049&amp;"/"&amp;B1079&amp;"/"&amp;C1079&amp;"/"&amp;D1079</f>
        <v>Gas fired power plants (Natural gas, biogas)/Internal combustion engine/Electricity only/S</v>
      </c>
      <c r="F1079" s="77" t="str">
        <f>A1049</f>
        <v>Gas fired power plants (Natural gas, biogas)</v>
      </c>
      <c r="G1079" s="77" t="str">
        <f>B1079</f>
        <v>Internal combustion engine</v>
      </c>
      <c r="H1079" s="77" t="str">
        <f>C1079</f>
        <v>Electricity only</v>
      </c>
      <c r="I1079" s="163" t="str">
        <f t="shared" si="94"/>
        <v>S</v>
      </c>
      <c r="J1079" s="93">
        <v>550</v>
      </c>
      <c r="K1079" s="93">
        <v>549.94480423716413</v>
      </c>
      <c r="L1079" s="93">
        <v>549.88700505131249</v>
      </c>
      <c r="M1079" s="93">
        <v>549.82649131130449</v>
      </c>
      <c r="N1079" s="93">
        <v>549.7631483136912</v>
      </c>
      <c r="O1079" s="93">
        <v>549.69685778954499</v>
      </c>
      <c r="P1079" s="93">
        <v>549.6274979267755</v>
      </c>
      <c r="Q1079" s="93">
        <v>549.55494340965436</v>
      </c>
      <c r="R1079" s="93">
        <v>549.47906547736534</v>
      </c>
      <c r="S1079" s="93">
        <v>549.39973200350232</v>
      </c>
      <c r="T1079" s="93">
        <v>549.31680759852452</v>
      </c>
      <c r="U1079" s="93">
        <v>549.23015373726639</v>
      </c>
      <c r="V1079" s="93">
        <v>549.13962891367942</v>
      </c>
      <c r="W1079" s="93">
        <v>549.04508882504376</v>
      </c>
      <c r="X1079" s="93">
        <v>548.94638658794361</v>
      </c>
      <c r="Y1079" s="93">
        <v>548.84337298832929</v>
      </c>
      <c r="Z1079" s="93">
        <v>548.73589676800214</v>
      </c>
      <c r="AA1079" s="93">
        <v>548.62380494984711</v>
      </c>
      <c r="AB1079" s="93">
        <v>548.50694320408877</v>
      </c>
      <c r="AC1079" s="93">
        <v>548.38515625777779</v>
      </c>
      <c r="AD1079" s="93">
        <v>548.25828834959373</v>
      </c>
      <c r="AE1079" s="93">
        <v>548.12618373189434</v>
      </c>
      <c r="AF1079" s="93">
        <v>547.98868722173677</v>
      </c>
      <c r="AG1079" s="93">
        <v>547.84564480233769</v>
      </c>
      <c r="AH1079" s="93">
        <v>547.69690427612227</v>
      </c>
      <c r="AI1079" s="93">
        <v>547.5423159701387</v>
      </c>
      <c r="AJ1079" s="93">
        <v>547.38173349417093</v>
      </c>
      <c r="AK1079" s="93">
        <v>547.21501455137479</v>
      </c>
      <c r="AL1079" s="93">
        <v>547.04202180068057</v>
      </c>
      <c r="AM1079" s="93">
        <v>546.86262376955358</v>
      </c>
      <c r="AN1079" s="93">
        <v>546.67669581498171</v>
      </c>
      <c r="AO1079" s="93">
        <v>546.48412112976246</v>
      </c>
      <c r="AP1079" s="93">
        <v>546.28479179030342</v>
      </c>
      <c r="AQ1079" s="93">
        <v>546.07860984122874</v>
      </c>
      <c r="AR1079" s="93">
        <v>545.86548841110459</v>
      </c>
      <c r="AS1079" s="93">
        <v>545.6453528525858</v>
      </c>
      <c r="AT1079" s="93">
        <v>545.41814189922957</v>
      </c>
      <c r="AU1079" s="93">
        <v>545.18380883016562</v>
      </c>
      <c r="AV1079" s="93">
        <v>544.94232263275092</v>
      </c>
      <c r="AW1079" s="93">
        <v>544.69366915230398</v>
      </c>
      <c r="AX1079" s="94">
        <v>544.43785221703297</v>
      </c>
    </row>
    <row r="1080" spans="1:50" x14ac:dyDescent="0.25">
      <c r="A1080" s="356"/>
      <c r="B1080" s="359"/>
      <c r="C1080" s="360"/>
      <c r="D1080" s="59" t="s">
        <v>20</v>
      </c>
      <c r="E1080" s="160" t="str">
        <f>A1049&amp;"/"&amp;B1079&amp;"/"&amp;C1079&amp;"/"&amp;D1080</f>
        <v>Gas fired power plants (Natural gas, biogas)/Internal combustion engine/Electricity only/XS</v>
      </c>
      <c r="F1080" s="76" t="str">
        <f>A1049</f>
        <v>Gas fired power plants (Natural gas, biogas)</v>
      </c>
      <c r="G1080" s="76" t="str">
        <f>B1079</f>
        <v>Internal combustion engine</v>
      </c>
      <c r="H1080" s="76" t="str">
        <f>C1079</f>
        <v>Electricity only</v>
      </c>
      <c r="I1080" s="161" t="str">
        <f t="shared" si="94"/>
        <v>XS</v>
      </c>
      <c r="J1080" s="91">
        <v>536.25</v>
      </c>
      <c r="K1080" s="91">
        <v>536.20774099343271</v>
      </c>
      <c r="L1080" s="91">
        <v>536.16345156430759</v>
      </c>
      <c r="M1080" s="91">
        <v>536.11704124244147</v>
      </c>
      <c r="N1080" s="91">
        <v>536.06841624509184</v>
      </c>
      <c r="O1080" s="91">
        <v>536.01747943020916</v>
      </c>
      <c r="P1080" s="91">
        <v>535.96413025781601</v>
      </c>
      <c r="Q1080" s="91">
        <v>535.90826476068798</v>
      </c>
      <c r="R1080" s="91">
        <v>535.84977552560952</v>
      </c>
      <c r="S1080" s="91">
        <v>535.78855168656924</v>
      </c>
      <c r="T1080" s="91">
        <v>535.72447893136109</v>
      </c>
      <c r="U1080" s="91">
        <v>535.65743952315404</v>
      </c>
      <c r="V1080" s="91">
        <v>535.58731233869401</v>
      </c>
      <c r="W1080" s="91">
        <v>535.51397292489582</v>
      </c>
      <c r="X1080" s="91">
        <v>535.43729357568111</v>
      </c>
      <c r="Y1080" s="91">
        <v>535.35714343100574</v>
      </c>
      <c r="Z1080" s="91">
        <v>535.27338860010434</v>
      </c>
      <c r="AA1080" s="91">
        <v>535.18589231105466</v>
      </c>
      <c r="AB1080" s="91">
        <v>535.09451508882682</v>
      </c>
      <c r="AC1080" s="91">
        <v>534.99911496403274</v>
      </c>
      <c r="AD1080" s="91">
        <v>534.89954771462249</v>
      </c>
      <c r="AE1080" s="91">
        <v>534.79566714278508</v>
      </c>
      <c r="AF1080" s="91">
        <v>534.6873253892993</v>
      </c>
      <c r="AG1080" s="91">
        <v>534.57437328753804</v>
      </c>
      <c r="AH1080" s="91">
        <v>534.45666075925396</v>
      </c>
      <c r="AI1080" s="91">
        <v>534.33403725416724</v>
      </c>
      <c r="AJ1080" s="91">
        <v>534.20635223521856</v>
      </c>
      <c r="AK1080" s="91">
        <v>534.07345571115627</v>
      </c>
      <c r="AL1080" s="91">
        <v>533.93519881787358</v>
      </c>
      <c r="AM1080" s="91">
        <v>533.79143444961016</v>
      </c>
      <c r="AN1080" s="91">
        <v>533.64201794076678</v>
      </c>
      <c r="AO1080" s="91">
        <v>533.48680779865492</v>
      </c>
      <c r="AP1080" s="91">
        <v>533.32566648701322</v>
      </c>
      <c r="AQ1080" s="91">
        <v>533.15846125955761</v>
      </c>
      <c r="AR1080" s="91">
        <v>532.98506504220586</v>
      </c>
      <c r="AS1080" s="91">
        <v>532.80535736191416</v>
      </c>
      <c r="AT1080" s="91">
        <v>532.61922531929929</v>
      </c>
      <c r="AU1080" s="91">
        <v>532.42656460138448</v>
      </c>
      <c r="AV1080" s="91">
        <v>532.22728052991954</v>
      </c>
      <c r="AW1080" s="91">
        <v>532.02128913978004</v>
      </c>
      <c r="AX1080" s="92">
        <v>531.80851828096957</v>
      </c>
    </row>
    <row r="1081" spans="1:50" x14ac:dyDescent="0.25">
      <c r="A1081" s="356"/>
      <c r="B1081" s="359"/>
      <c r="C1081" s="361" t="s">
        <v>14</v>
      </c>
      <c r="D1081" s="2" t="s">
        <v>10</v>
      </c>
      <c r="E1081" s="164" t="str">
        <f>A1049&amp;"/"&amp;B1079&amp;"/"&amp;C1081&amp;"/"&amp;D1081</f>
        <v>Gas fired power plants (Natural gas, biogas)/Internal combustion engine/CHP/S</v>
      </c>
      <c r="F1081" s="78" t="str">
        <f>A1049</f>
        <v>Gas fired power plants (Natural gas, biogas)</v>
      </c>
      <c r="G1081" s="78" t="str">
        <f>B1079</f>
        <v>Internal combustion engine</v>
      </c>
      <c r="H1081" s="78" t="str">
        <f>C1081</f>
        <v>CHP</v>
      </c>
      <c r="I1081" s="165" t="str">
        <f t="shared" si="94"/>
        <v>S</v>
      </c>
      <c r="J1081" s="95">
        <v>680</v>
      </c>
      <c r="K1081" s="95">
        <v>679.95799529149213</v>
      </c>
      <c r="L1081" s="95">
        <v>679.91394314223294</v>
      </c>
      <c r="M1081" s="95">
        <v>679.86774931934417</v>
      </c>
      <c r="N1081" s="95">
        <v>679.81931582171046</v>
      </c>
      <c r="O1081" s="95">
        <v>679.76854078834867</v>
      </c>
      <c r="P1081" s="95">
        <v>679.71531841121327</v>
      </c>
      <c r="Q1081" s="95">
        <v>679.65953885339854</v>
      </c>
      <c r="R1081" s="95">
        <v>679.60108817379262</v>
      </c>
      <c r="S1081" s="95">
        <v>679.53984825933719</v>
      </c>
      <c r="T1081" s="95">
        <v>679.47569676615331</v>
      </c>
      <c r="U1081" s="95">
        <v>679.40850707089976</v>
      </c>
      <c r="V1081" s="95">
        <v>679.33814823384887</v>
      </c>
      <c r="W1081" s="95">
        <v>679.26448497527826</v>
      </c>
      <c r="X1081" s="95">
        <v>679.18737766690151</v>
      </c>
      <c r="Y1081" s="95">
        <v>679.10668234018181</v>
      </c>
      <c r="Z1081" s="95">
        <v>679.0222507134979</v>
      </c>
      <c r="AA1081" s="95">
        <v>678.93393024025556</v>
      </c>
      <c r="AB1081" s="95">
        <v>678.84156418016278</v>
      </c>
      <c r="AC1081" s="95">
        <v>678.74499169600119</v>
      </c>
      <c r="AD1081" s="95">
        <v>678.64404797834482</v>
      </c>
      <c r="AE1081" s="95">
        <v>678.53856440077777</v>
      </c>
      <c r="AF1081" s="95">
        <v>678.42836870826113</v>
      </c>
      <c r="AG1081" s="95">
        <v>678.31328524137336</v>
      </c>
      <c r="AH1081" s="95">
        <v>678.19313519921684</v>
      </c>
      <c r="AI1081" s="95">
        <v>678.06773694381752</v>
      </c>
      <c r="AJ1081" s="95">
        <v>677.93690634886332</v>
      </c>
      <c r="AK1081" s="95">
        <v>677.80045719560781</v>
      </c>
      <c r="AL1081" s="95">
        <v>677.65820161871432</v>
      </c>
      <c r="AM1081" s="95">
        <v>677.50995060472235</v>
      </c>
      <c r="AN1081" s="95">
        <v>677.35551454567781</v>
      </c>
      <c r="AO1081" s="95">
        <v>677.19470385027728</v>
      </c>
      <c r="AP1081" s="95">
        <v>677.02732961462493</v>
      </c>
      <c r="AQ1081" s="95">
        <v>676.85320435438859</v>
      </c>
      <c r="AR1081" s="95">
        <v>676.67214279975497</v>
      </c>
      <c r="AS1081" s="95">
        <v>676.48396275412949</v>
      </c>
      <c r="AT1081" s="95">
        <v>676.28848601698564</v>
      </c>
      <c r="AU1081" s="95">
        <v>676.08553937065051</v>
      </c>
      <c r="AV1081" s="95">
        <v>675.87495563010566</v>
      </c>
      <c r="AW1081" s="95">
        <v>675.65657475408932</v>
      </c>
      <c r="AX1081" s="96">
        <v>675.4302450149039</v>
      </c>
    </row>
    <row r="1082" spans="1:50" x14ac:dyDescent="0.25">
      <c r="A1082" s="356"/>
      <c r="B1082" s="362"/>
      <c r="C1082" s="354"/>
      <c r="D1082" s="4" t="s">
        <v>20</v>
      </c>
      <c r="E1082" s="168" t="str">
        <f>A1049&amp;"/"&amp;B1079&amp;"/"&amp;C1081&amp;"/"&amp;D1082</f>
        <v>Gas fired power plants (Natural gas, biogas)/Internal combustion engine/CHP/XS</v>
      </c>
      <c r="F1082" s="80" t="str">
        <f>A1049</f>
        <v>Gas fired power plants (Natural gas, biogas)</v>
      </c>
      <c r="G1082" s="80" t="str">
        <f>B1079</f>
        <v>Internal combustion engine</v>
      </c>
      <c r="H1082" s="80" t="str">
        <f>C1081</f>
        <v>CHP</v>
      </c>
      <c r="I1082" s="169" t="str">
        <f t="shared" si="94"/>
        <v>XS</v>
      </c>
      <c r="J1082" s="99">
        <v>621.25</v>
      </c>
      <c r="K1082" s="99">
        <v>621.21162437476391</v>
      </c>
      <c r="L1082" s="99">
        <v>621.17137820163555</v>
      </c>
      <c r="M1082" s="99">
        <v>621.1291753891802</v>
      </c>
      <c r="N1082" s="99">
        <v>621.08492640329064</v>
      </c>
      <c r="O1082" s="99">
        <v>621.03853818347295</v>
      </c>
      <c r="P1082" s="99">
        <v>620.98991406318567</v>
      </c>
      <c r="Q1082" s="99">
        <v>620.93895369510858</v>
      </c>
      <c r="R1082" s="99">
        <v>620.88555298230688</v>
      </c>
      <c r="S1082" s="99">
        <v>620.82960401634296</v>
      </c>
      <c r="T1082" s="99">
        <v>620.77099502348938</v>
      </c>
      <c r="U1082" s="99">
        <v>620.70961032028902</v>
      </c>
      <c r="V1082" s="99">
        <v>620.64533027982145</v>
      </c>
      <c r="W1082" s="99">
        <v>620.57803131013475</v>
      </c>
      <c r="X1082" s="99">
        <v>620.50758584641551</v>
      </c>
      <c r="Y1082" s="99">
        <v>620.43386235858532</v>
      </c>
      <c r="Z1082" s="99">
        <v>620.35672537611845</v>
      </c>
      <c r="AA1082" s="99">
        <v>620.2760355319981</v>
      </c>
      <c r="AB1082" s="99">
        <v>620.19164962783248</v>
      </c>
      <c r="AC1082" s="99">
        <v>620.10342072226581</v>
      </c>
      <c r="AD1082" s="99">
        <v>620.01119824492162</v>
      </c>
      <c r="AE1082" s="99">
        <v>619.91482813821051</v>
      </c>
      <c r="AF1082" s="99">
        <v>619.8141530294223</v>
      </c>
      <c r="AG1082" s="99">
        <v>619.70901243559297</v>
      </c>
      <c r="AH1082" s="99">
        <v>619.5992430036963</v>
      </c>
      <c r="AI1082" s="99">
        <v>619.4846787887451</v>
      </c>
      <c r="AJ1082" s="99">
        <v>619.3651515723991</v>
      </c>
      <c r="AK1082" s="99">
        <v>619.24049122466374</v>
      </c>
      <c r="AL1082" s="99">
        <v>619.11052611121511</v>
      </c>
      <c r="AM1082" s="99">
        <v>618.97508354879972</v>
      </c>
      <c r="AN1082" s="99">
        <v>618.83399031103284</v>
      </c>
      <c r="AO1082" s="99">
        <v>618.68707318674228</v>
      </c>
      <c r="AP1082" s="99">
        <v>618.53415959277311</v>
      </c>
      <c r="AQ1082" s="99">
        <v>618.37507824288809</v>
      </c>
      <c r="AR1082" s="99">
        <v>618.20965987404088</v>
      </c>
      <c r="AS1082" s="99">
        <v>618.03773803088666</v>
      </c>
      <c r="AT1082" s="99">
        <v>617.85914990890046</v>
      </c>
      <c r="AU1082" s="99">
        <v>617.67373725590676</v>
      </c>
      <c r="AV1082" s="99">
        <v>617.48134733118104</v>
      </c>
      <c r="AW1082" s="99">
        <v>617.28183392055587</v>
      </c>
      <c r="AX1082" s="100">
        <v>617.07505840516035</v>
      </c>
    </row>
    <row r="1083" spans="1:50" x14ac:dyDescent="0.25">
      <c r="A1083" s="355" t="s">
        <v>26</v>
      </c>
      <c r="B1083" s="358" t="s">
        <v>19</v>
      </c>
      <c r="C1083" s="353" t="s">
        <v>6</v>
      </c>
      <c r="D1083" s="3" t="s">
        <v>7</v>
      </c>
      <c r="E1083" s="162" t="str">
        <f>A1083&amp;"/"&amp;B1083&amp;"/"&amp;C1083&amp;"/"&amp;D1083</f>
        <v>Derived gas fired power plants/Steam turbine/Electricity only/L</v>
      </c>
      <c r="F1083" s="77" t="str">
        <f>A1083</f>
        <v>Derived gas fired power plants</v>
      </c>
      <c r="G1083" s="77" t="str">
        <f>B1083</f>
        <v>Steam turbine</v>
      </c>
      <c r="H1083" s="77" t="str">
        <f>C1083</f>
        <v>Electricity only</v>
      </c>
      <c r="I1083" s="163" t="str">
        <f t="shared" si="94"/>
        <v>L</v>
      </c>
      <c r="J1083" s="93">
        <v>815</v>
      </c>
      <c r="K1083" s="93">
        <v>815.28971134320057</v>
      </c>
      <c r="L1083" s="93">
        <v>815.57327035747767</v>
      </c>
      <c r="M1083" s="93">
        <v>815.85074714880238</v>
      </c>
      <c r="N1083" s="93">
        <v>816.12221422726407</v>
      </c>
      <c r="O1083" s="93">
        <v>816.38774630894795</v>
      </c>
      <c r="P1083" s="93">
        <v>816.64742012329293</v>
      </c>
      <c r="Q1083" s="93">
        <v>816.90131422614161</v>
      </c>
      <c r="R1083" s="93">
        <v>817.14950881866514</v>
      </c>
      <c r="S1083" s="93">
        <v>817.3920855723087</v>
      </c>
      <c r="T1083" s="93">
        <v>817.62912745987205</v>
      </c>
      <c r="U1083" s="93">
        <v>817.86071859281265</v>
      </c>
      <c r="V1083" s="93">
        <v>818.08694406482823</v>
      </c>
      <c r="W1083" s="93">
        <v>818.3078898017518</v>
      </c>
      <c r="X1083" s="93">
        <v>818.52364241776695</v>
      </c>
      <c r="Y1083" s="93">
        <v>818.73428907793107</v>
      </c>
      <c r="Z1083" s="93">
        <v>818.93991736696955</v>
      </c>
      <c r="AA1083" s="93">
        <v>819.1406151642916</v>
      </c>
      <c r="AB1083" s="93">
        <v>819.33647052515369</v>
      </c>
      <c r="AC1083" s="93">
        <v>819.52757156788914</v>
      </c>
      <c r="AD1083" s="93">
        <v>819.71400636710223</v>
      </c>
      <c r="AE1083" s="93">
        <v>819.89586285271525</v>
      </c>
      <c r="AF1083" s="93">
        <v>820.07322871474901</v>
      </c>
      <c r="AG1083" s="93">
        <v>820.24619131370002</v>
      </c>
      <c r="AH1083" s="93">
        <v>820.41483759637993</v>
      </c>
      <c r="AI1083" s="93">
        <v>820.57925401706473</v>
      </c>
      <c r="AJ1083" s="93">
        <v>820.7395264638053</v>
      </c>
      <c r="AK1083" s="93">
        <v>820.89574018973735</v>
      </c>
      <c r="AL1083" s="93">
        <v>821.04797974923326</v>
      </c>
      <c r="AM1083" s="93">
        <v>821.19632893872745</v>
      </c>
      <c r="AN1083" s="93">
        <v>821.3408707420524</v>
      </c>
      <c r="AO1083" s="93">
        <v>821.48168728011467</v>
      </c>
      <c r="AP1083" s="93">
        <v>821.61885976474491</v>
      </c>
      <c r="AQ1083" s="93">
        <v>821.75246845655249</v>
      </c>
      <c r="AR1083" s="93">
        <v>821.88259262661859</v>
      </c>
      <c r="AS1083" s="93">
        <v>822.00931052186115</v>
      </c>
      <c r="AT1083" s="93">
        <v>822.13269933390825</v>
      </c>
      <c r="AU1083" s="93">
        <v>822.25283517131732</v>
      </c>
      <c r="AV1083" s="93">
        <v>822.36979303498219</v>
      </c>
      <c r="AW1083" s="93">
        <v>822.48364679657072</v>
      </c>
      <c r="AX1083" s="94">
        <v>822.59446917984064</v>
      </c>
    </row>
    <row r="1084" spans="1:50" x14ac:dyDescent="0.25">
      <c r="A1084" s="356"/>
      <c r="B1084" s="359"/>
      <c r="C1084" s="350"/>
      <c r="D1084" s="2" t="s">
        <v>8</v>
      </c>
      <c r="E1084" s="160" t="str">
        <f>A1083&amp;"/"&amp;B1083&amp;"/"&amp;C1083&amp;"/"&amp;D1084</f>
        <v>Derived gas fired power plants/Steam turbine/Electricity only/M</v>
      </c>
      <c r="F1084" s="76" t="str">
        <f>A1083</f>
        <v>Derived gas fired power plants</v>
      </c>
      <c r="G1084" s="76" t="str">
        <f>B1083</f>
        <v>Steam turbine</v>
      </c>
      <c r="H1084" s="76" t="str">
        <f>C1083</f>
        <v>Electricity only</v>
      </c>
      <c r="I1084" s="161" t="str">
        <f t="shared" si="94"/>
        <v>M</v>
      </c>
      <c r="J1084" s="91">
        <v>880.2</v>
      </c>
      <c r="K1084" s="91">
        <v>880.43466618799243</v>
      </c>
      <c r="L1084" s="91">
        <v>880.66434898955697</v>
      </c>
      <c r="M1084" s="91">
        <v>880.88910519053002</v>
      </c>
      <c r="N1084" s="91">
        <v>881.10899352408387</v>
      </c>
      <c r="O1084" s="91">
        <v>881.3240745102479</v>
      </c>
      <c r="P1084" s="91">
        <v>881.53441029986732</v>
      </c>
      <c r="Q1084" s="91">
        <v>881.74006452317474</v>
      </c>
      <c r="R1084" s="91">
        <v>881.94110214311888</v>
      </c>
      <c r="S1084" s="91">
        <v>882.13758931357006</v>
      </c>
      <c r="T1084" s="91">
        <v>882.32959324249634</v>
      </c>
      <c r="U1084" s="91">
        <v>882.51718206017836</v>
      </c>
      <c r="V1084" s="91">
        <v>882.70042469251098</v>
      </c>
      <c r="W1084" s="91">
        <v>882.87939073941902</v>
      </c>
      <c r="X1084" s="91">
        <v>883.05415035839133</v>
      </c>
      <c r="Y1084" s="91">
        <v>883.22477415312414</v>
      </c>
      <c r="Z1084" s="91">
        <v>883.39133306724545</v>
      </c>
      <c r="AA1084" s="91">
        <v>883.55389828307625</v>
      </c>
      <c r="AB1084" s="91">
        <v>883.71254112537451</v>
      </c>
      <c r="AC1084" s="91">
        <v>883.86733296999023</v>
      </c>
      <c r="AD1084" s="91">
        <v>884.01834515735277</v>
      </c>
      <c r="AE1084" s="91">
        <v>884.16564891069947</v>
      </c>
      <c r="AF1084" s="91">
        <v>884.30931525894675</v>
      </c>
      <c r="AG1084" s="91">
        <v>884.44941496409706</v>
      </c>
      <c r="AH1084" s="91">
        <v>884.58601845306771</v>
      </c>
      <c r="AI1084" s="91">
        <v>884.71919575382253</v>
      </c>
      <c r="AJ1084" s="91">
        <v>884.8490164356823</v>
      </c>
      <c r="AK1084" s="91">
        <v>884.9755495536873</v>
      </c>
      <c r="AL1084" s="91">
        <v>885.09886359687891</v>
      </c>
      <c r="AM1084" s="91">
        <v>885.21902644036925</v>
      </c>
      <c r="AN1084" s="91">
        <v>885.3361053010625</v>
      </c>
      <c r="AO1084" s="91">
        <v>885.45016669689301</v>
      </c>
      <c r="AP1084" s="91">
        <v>885.56127640944339</v>
      </c>
      <c r="AQ1084" s="91">
        <v>885.66949944980763</v>
      </c>
      <c r="AR1084" s="91">
        <v>885.7749000275611</v>
      </c>
      <c r="AS1084" s="91">
        <v>885.87754152270759</v>
      </c>
      <c r="AT1084" s="91">
        <v>885.97748646046568</v>
      </c>
      <c r="AU1084" s="91">
        <v>886.07479648876711</v>
      </c>
      <c r="AV1084" s="91">
        <v>886.16953235833569</v>
      </c>
      <c r="AW1084" s="91">
        <v>886.26175390522235</v>
      </c>
      <c r="AX1084" s="92">
        <v>886.351520035671</v>
      </c>
    </row>
    <row r="1085" spans="1:50" x14ac:dyDescent="0.25">
      <c r="A1085" s="356"/>
      <c r="B1085" s="359"/>
      <c r="C1085" s="350"/>
      <c r="D1085" s="2" t="s">
        <v>10</v>
      </c>
      <c r="E1085" s="160" t="str">
        <f>A1083&amp;"/"&amp;B1083&amp;"/"&amp;C1083&amp;"/"&amp;D1085</f>
        <v>Derived gas fired power plants/Steam turbine/Electricity only/S</v>
      </c>
      <c r="F1085" s="76" t="str">
        <f>A1083</f>
        <v>Derived gas fired power plants</v>
      </c>
      <c r="G1085" s="76" t="str">
        <f>B1083</f>
        <v>Steam turbine</v>
      </c>
      <c r="H1085" s="76" t="str">
        <f>C1083</f>
        <v>Electricity only</v>
      </c>
      <c r="I1085" s="161" t="str">
        <f t="shared" si="94"/>
        <v>S</v>
      </c>
      <c r="J1085" s="91">
        <v>972.62099999999998</v>
      </c>
      <c r="K1085" s="91">
        <v>972.83708844810963</v>
      </c>
      <c r="L1085" s="91">
        <v>973.04858802788362</v>
      </c>
      <c r="M1085" s="91">
        <v>973.25555102961289</v>
      </c>
      <c r="N1085" s="91">
        <v>973.45803153676047</v>
      </c>
      <c r="O1085" s="91">
        <v>973.65608527818654</v>
      </c>
      <c r="P1085" s="91">
        <v>973.84976948446104</v>
      </c>
      <c r="Q1085" s="91">
        <v>974.03914274842327</v>
      </c>
      <c r="R1085" s="91">
        <v>974.22426489012184</v>
      </c>
      <c r="S1085" s="91">
        <v>974.40519682624563</v>
      </c>
      <c r="T1085" s="91">
        <v>974.58200044413195</v>
      </c>
      <c r="U1085" s="91">
        <v>974.75473848041406</v>
      </c>
      <c r="V1085" s="91">
        <v>974.92347440435367</v>
      </c>
      <c r="W1085" s="91">
        <v>975.08827230588156</v>
      </c>
      <c r="X1085" s="91">
        <v>975.24919678835192</v>
      </c>
      <c r="Y1085" s="91">
        <v>975.40631286600171</v>
      </c>
      <c r="Z1085" s="91">
        <v>975.55968586608833</v>
      </c>
      <c r="AA1085" s="91">
        <v>975.70938133566585</v>
      </c>
      <c r="AB1085" s="91">
        <v>975.85546495294886</v>
      </c>
      <c r="AC1085" s="91">
        <v>975.9980024431992</v>
      </c>
      <c r="AD1085" s="91">
        <v>976.13705949906227</v>
      </c>
      <c r="AE1085" s="91">
        <v>976.2727017052689</v>
      </c>
      <c r="AF1085" s="91">
        <v>976.40499446761328</v>
      </c>
      <c r="AG1085" s="91">
        <v>976.53400294610594</v>
      </c>
      <c r="AH1085" s="91">
        <v>976.65979199219976</v>
      </c>
      <c r="AI1085" s="91">
        <v>976.78242608997812</v>
      </c>
      <c r="AJ1085" s="91">
        <v>976.90196930119066</v>
      </c>
      <c r="AK1085" s="91">
        <v>977.0184852140203</v>
      </c>
      <c r="AL1085" s="91">
        <v>977.13203689545924</v>
      </c>
      <c r="AM1085" s="91">
        <v>977.24268684717322</v>
      </c>
      <c r="AN1085" s="91">
        <v>977.35049696472822</v>
      </c>
      <c r="AO1085" s="91">
        <v>977.45552850005549</v>
      </c>
      <c r="AP1085" s="91">
        <v>977.5578420270291</v>
      </c>
      <c r="AQ1085" s="91">
        <v>977.65749741003106</v>
      </c>
      <c r="AR1085" s="91">
        <v>977.75455377537901</v>
      </c>
      <c r="AS1085" s="91">
        <v>977.84906948549315</v>
      </c>
      <c r="AT1085" s="91">
        <v>977.94110211567875</v>
      </c>
      <c r="AU1085" s="91">
        <v>978.03070843340629</v>
      </c>
      <c r="AV1085" s="91">
        <v>978.1179443799673</v>
      </c>
      <c r="AW1085" s="91">
        <v>978.20286505439208</v>
      </c>
      <c r="AX1085" s="92">
        <v>978.28552469951353</v>
      </c>
    </row>
    <row r="1086" spans="1:50" x14ac:dyDescent="0.25">
      <c r="A1086" s="356"/>
      <c r="B1086" s="359"/>
      <c r="C1086" s="360"/>
      <c r="D1086" s="2" t="s">
        <v>20</v>
      </c>
      <c r="E1086" s="160" t="str">
        <f>A1083&amp;"/"&amp;B1083&amp;"/"&amp;C1083&amp;"/"&amp;D1086</f>
        <v>Derived gas fired power plants/Steam turbine/Electricity only/XS</v>
      </c>
      <c r="F1086" s="76" t="str">
        <f>A1083</f>
        <v>Derived gas fired power plants</v>
      </c>
      <c r="G1086" s="76" t="str">
        <f>B1083</f>
        <v>Steam turbine</v>
      </c>
      <c r="H1086" s="76" t="str">
        <f>C1083</f>
        <v>Electricity only</v>
      </c>
      <c r="I1086" s="161" t="str">
        <f t="shared" si="94"/>
        <v>XS</v>
      </c>
      <c r="J1086" s="91">
        <v>1167.1451999999999</v>
      </c>
      <c r="K1086" s="91">
        <v>1167.2743442714373</v>
      </c>
      <c r="L1086" s="91">
        <v>1167.4003463884112</v>
      </c>
      <c r="M1086" s="91">
        <v>1167.5232649696843</v>
      </c>
      <c r="N1086" s="91">
        <v>1167.6431585099967</v>
      </c>
      <c r="O1086" s="91">
        <v>1167.7600853183949</v>
      </c>
      <c r="P1086" s="91">
        <v>1167.8741034602322</v>
      </c>
      <c r="Q1086" s="91">
        <v>1167.9852707027469</v>
      </c>
      <c r="R1086" s="91">
        <v>1168.0936444641222</v>
      </c>
      <c r="S1086" s="91">
        <v>1168.1992817659227</v>
      </c>
      <c r="T1086" s="91">
        <v>1168.3022391888037</v>
      </c>
      <c r="U1086" s="91">
        <v>1168.4025728313854</v>
      </c>
      <c r="V1086" s="91">
        <v>1168.5003382721852</v>
      </c>
      <c r="W1086" s="91">
        <v>1168.595590534494</v>
      </c>
      <c r="X1086" s="91">
        <v>1168.688384054087</v>
      </c>
      <c r="Y1086" s="91">
        <v>1168.7787726496611</v>
      </c>
      <c r="Z1086" s="91">
        <v>1168.8668094958816</v>
      </c>
      <c r="AA1086" s="91">
        <v>1168.9525470989347</v>
      </c>
      <c r="AB1086" s="91">
        <v>1169.036037274471</v>
      </c>
      <c r="AC1086" s="91">
        <v>1169.1173311278365</v>
      </c>
      <c r="AD1086" s="91">
        <v>1169.1964790364796</v>
      </c>
      <c r="AE1086" s="91">
        <v>1169.2735306344359</v>
      </c>
      <c r="AF1086" s="91">
        <v>1169.3485347987821</v>
      </c>
      <c r="AG1086" s="91">
        <v>1169.4215396379625</v>
      </c>
      <c r="AH1086" s="91">
        <v>1169.4925924818881</v>
      </c>
      <c r="AI1086" s="91">
        <v>1169.5617398737145</v>
      </c>
      <c r="AJ1086" s="91">
        <v>1169.6290275632043</v>
      </c>
      <c r="AK1086" s="91">
        <v>1169.6945005015843</v>
      </c>
      <c r="AL1086" s="91">
        <v>1169.758202837811</v>
      </c>
      <c r="AM1086" s="91">
        <v>1169.8201779161589</v>
      </c>
      <c r="AN1086" s="91">
        <v>1169.8804682750506</v>
      </c>
      <c r="AO1086" s="91">
        <v>1169.9391156470494</v>
      </c>
      <c r="AP1086" s="91">
        <v>1169.9961609599397</v>
      </c>
      <c r="AQ1086" s="91">
        <v>1170.0516443388217</v>
      </c>
      <c r="AR1086" s="91">
        <v>1170.1056051091509</v>
      </c>
      <c r="AS1086" s="91">
        <v>1170.1580818006535</v>
      </c>
      <c r="AT1086" s="91">
        <v>1170.2091121520577</v>
      </c>
      <c r="AU1086" s="91">
        <v>1170.2587331165751</v>
      </c>
      <c r="AV1086" s="91">
        <v>1170.3069808680752</v>
      </c>
      <c r="AW1086" s="91">
        <v>1170.3538908078997</v>
      </c>
      <c r="AX1086" s="92">
        <v>1170.3994975722571</v>
      </c>
    </row>
    <row r="1087" spans="1:50" x14ac:dyDescent="0.25">
      <c r="A1087" s="356"/>
      <c r="B1087" s="359"/>
      <c r="C1087" s="361" t="s">
        <v>14</v>
      </c>
      <c r="D1087" s="58" t="s">
        <v>7</v>
      </c>
      <c r="E1087" s="164" t="str">
        <f>A1083&amp;"/"&amp;B1083&amp;"/"&amp;C1087&amp;"/"&amp;D1087</f>
        <v>Derived gas fired power plants/Steam turbine/CHP/L</v>
      </c>
      <c r="F1087" s="78" t="str">
        <f>A1083</f>
        <v>Derived gas fired power plants</v>
      </c>
      <c r="G1087" s="78" t="str">
        <f>B1083</f>
        <v>Steam turbine</v>
      </c>
      <c r="H1087" s="78" t="str">
        <f>C1087</f>
        <v>CHP</v>
      </c>
      <c r="I1087" s="165" t="str">
        <f t="shared" si="94"/>
        <v>L</v>
      </c>
      <c r="J1087" s="95">
        <v>1310</v>
      </c>
      <c r="K1087" s="95">
        <v>1310.2189240587131</v>
      </c>
      <c r="L1087" s="95">
        <v>1310.4343802891617</v>
      </c>
      <c r="M1087" s="95">
        <v>1310.6464083242911</v>
      </c>
      <c r="N1087" s="95">
        <v>1310.8550478981931</v>
      </c>
      <c r="O1087" s="95">
        <v>1311.0603388215782</v>
      </c>
      <c r="P1087" s="95">
        <v>1311.2623209580668</v>
      </c>
      <c r="Q1087" s="95">
        <v>1311.461034201297</v>
      </c>
      <c r="R1087" s="95">
        <v>1311.6565184528361</v>
      </c>
      <c r="S1087" s="95">
        <v>1311.8488136008878</v>
      </c>
      <c r="T1087" s="95">
        <v>1312.0379594997848</v>
      </c>
      <c r="U1087" s="95">
        <v>1312.2239959502579</v>
      </c>
      <c r="V1087" s="95">
        <v>1312.4069626804651</v>
      </c>
      <c r="W1087" s="95">
        <v>1312.5868993277757</v>
      </c>
      <c r="X1087" s="95">
        <v>1312.7638454212897</v>
      </c>
      <c r="Y1087" s="95">
        <v>1312.9378403650871</v>
      </c>
      <c r="Z1087" s="95">
        <v>1313.1089234221868</v>
      </c>
      <c r="AA1087" s="95">
        <v>1313.2771336992059</v>
      </c>
      <c r="AB1087" s="95">
        <v>1313.4425101317045</v>
      </c>
      <c r="AC1087" s="95">
        <v>1313.6050914702012</v>
      </c>
      <c r="AD1087" s="95">
        <v>1313.7649162668456</v>
      </c>
      <c r="AE1087" s="95">
        <v>1313.9220228627321</v>
      </c>
      <c r="AF1087" s="95">
        <v>1314.0764493758415</v>
      </c>
      <c r="AG1087" s="95">
        <v>1314.2282336895951</v>
      </c>
      <c r="AH1087" s="95">
        <v>1314.3774134420055</v>
      </c>
      <c r="AI1087" s="95">
        <v>1314.5240260154117</v>
      </c>
      <c r="AJ1087" s="95">
        <v>1314.6681085267783</v>
      </c>
      <c r="AK1087" s="95">
        <v>1314.8096978185511</v>
      </c>
      <c r="AL1087" s="95">
        <v>1314.9488304500462</v>
      </c>
      <c r="AM1087" s="95">
        <v>1315.085542689364</v>
      </c>
      <c r="AN1087" s="95">
        <v>1315.2198705058099</v>
      </c>
      <c r="AO1087" s="95">
        <v>1315.3518495628068</v>
      </c>
      <c r="AP1087" s="95">
        <v>1315.4815152112869</v>
      </c>
      <c r="AQ1087" s="95">
        <v>1315.6089024835458</v>
      </c>
      <c r="AR1087" s="95">
        <v>1315.7340460875453</v>
      </c>
      <c r="AS1087" s="95">
        <v>1315.8569804016522</v>
      </c>
      <c r="AT1087" s="95">
        <v>1315.9777394697965</v>
      </c>
      <c r="AU1087" s="95">
        <v>1316.0963569970359</v>
      </c>
      <c r="AV1087" s="95">
        <v>1316.2128663455137</v>
      </c>
      <c r="AW1087" s="95">
        <v>1316.3273005307969</v>
      </c>
      <c r="AX1087" s="96">
        <v>1316.4396922185779</v>
      </c>
    </row>
    <row r="1088" spans="1:50" x14ac:dyDescent="0.25">
      <c r="A1088" s="356"/>
      <c r="B1088" s="359"/>
      <c r="C1088" s="350"/>
      <c r="D1088" s="2" t="s">
        <v>8</v>
      </c>
      <c r="E1088" s="160" t="str">
        <f>A1083&amp;"/"&amp;B1083&amp;"/"&amp;C1087&amp;"/"&amp;D1088</f>
        <v>Derived gas fired power plants/Steam turbine/CHP/M</v>
      </c>
      <c r="F1088" s="76" t="str">
        <f>A1083</f>
        <v>Derived gas fired power plants</v>
      </c>
      <c r="G1088" s="76" t="str">
        <f>B1083</f>
        <v>Steam turbine</v>
      </c>
      <c r="H1088" s="76" t="str">
        <f>C1087</f>
        <v>CHP</v>
      </c>
      <c r="I1088" s="161" t="str">
        <f t="shared" si="94"/>
        <v>M</v>
      </c>
      <c r="J1088" s="91">
        <v>1375.2</v>
      </c>
      <c r="K1088" s="91">
        <v>1375.3392480511159</v>
      </c>
      <c r="L1088" s="91">
        <v>1375.4761865194973</v>
      </c>
      <c r="M1088" s="91">
        <v>1375.6108456674522</v>
      </c>
      <c r="N1088" s="91">
        <v>1375.7432556557999</v>
      </c>
      <c r="O1088" s="91">
        <v>1375.8734465318316</v>
      </c>
      <c r="P1088" s="91">
        <v>1376.001448217801</v>
      </c>
      <c r="Q1088" s="91">
        <v>1376.1272904999314</v>
      </c>
      <c r="R1088" s="91">
        <v>1376.251003017936</v>
      </c>
      <c r="S1088" s="91">
        <v>1376.3726152550314</v>
      </c>
      <c r="T1088" s="91">
        <v>1376.4921565284394</v>
      </c>
      <c r="U1088" s="91">
        <v>1376.6096559803639</v>
      </c>
      <c r="V1088" s="91">
        <v>1376.7251425694294</v>
      </c>
      <c r="W1088" s="91">
        <v>1376.8386450625742</v>
      </c>
      <c r="X1088" s="91">
        <v>1376.9501920273819</v>
      </c>
      <c r="Y1088" s="91">
        <v>1377.059811824844</v>
      </c>
      <c r="Z1088" s="91">
        <v>1377.1675326025379</v>
      </c>
      <c r="AA1088" s="91">
        <v>1377.273382288213</v>
      </c>
      <c r="AB1088" s="91">
        <v>1377.3773885837704</v>
      </c>
      <c r="AC1088" s="91">
        <v>1377.4795789596269</v>
      </c>
      <c r="AD1088" s="91">
        <v>1377.5799806494501</v>
      </c>
      <c r="AE1088" s="91">
        <v>1377.6786206452546</v>
      </c>
      <c r="AF1088" s="91">
        <v>1377.7755256928485</v>
      </c>
      <c r="AG1088" s="91">
        <v>1377.8707222876192</v>
      </c>
      <c r="AH1088" s="91">
        <v>1377.9642366706444</v>
      </c>
      <c r="AI1088" s="91">
        <v>1378.0560948251245</v>
      </c>
      <c r="AJ1088" s="91">
        <v>1378.1463224731176</v>
      </c>
      <c r="AK1088" s="91">
        <v>1378.2349450725735</v>
      </c>
      <c r="AL1088" s="91">
        <v>1378.3219878146529</v>
      </c>
      <c r="AM1088" s="91">
        <v>1378.4074756213208</v>
      </c>
      <c r="AN1088" s="91">
        <v>1378.491433143209</v>
      </c>
      <c r="AO1088" s="91">
        <v>1378.5738847577315</v>
      </c>
      <c r="AP1088" s="91">
        <v>1378.6548545674493</v>
      </c>
      <c r="AQ1088" s="91">
        <v>1378.7343663986696</v>
      </c>
      <c r="AR1088" s="91">
        <v>1378.8124438002758</v>
      </c>
      <c r="AS1088" s="91">
        <v>1378.8891100427747</v>
      </c>
      <c r="AT1088" s="91">
        <v>1378.9643881175548</v>
      </c>
      <c r="AU1088" s="91">
        <v>1379.038300736345</v>
      </c>
      <c r="AV1088" s="91">
        <v>1379.1108703308694</v>
      </c>
      <c r="AW1088" s="91">
        <v>1379.1821190526834</v>
      </c>
      <c r="AX1088" s="92">
        <v>1379.2520687731899</v>
      </c>
    </row>
    <row r="1089" spans="1:50" x14ac:dyDescent="0.25">
      <c r="A1089" s="356"/>
      <c r="B1089" s="359"/>
      <c r="C1089" s="350"/>
      <c r="D1089" s="2" t="s">
        <v>10</v>
      </c>
      <c r="E1089" s="160" t="str">
        <f>A1083&amp;"/"&amp;B1083&amp;"/"&amp;C1087&amp;"/"&amp;D1089</f>
        <v>Derived gas fired power plants/Steam turbine/CHP/S</v>
      </c>
      <c r="F1089" s="76" t="str">
        <f>A1083</f>
        <v>Derived gas fired power plants</v>
      </c>
      <c r="G1089" s="76" t="str">
        <f>B1083</f>
        <v>Steam turbine</v>
      </c>
      <c r="H1089" s="76" t="str">
        <f>C1087</f>
        <v>CHP</v>
      </c>
      <c r="I1089" s="161" t="str">
        <f t="shared" si="94"/>
        <v>S</v>
      </c>
      <c r="J1089" s="91">
        <v>1697.1451999999999</v>
      </c>
      <c r="K1089" s="91">
        <v>1697.2537072756791</v>
      </c>
      <c r="L1089" s="91">
        <v>1697.3603315559851</v>
      </c>
      <c r="M1089" s="91">
        <v>1697.4651006554022</v>
      </c>
      <c r="N1089" s="91">
        <v>1697.5680421584518</v>
      </c>
      <c r="O1089" s="91">
        <v>1697.6691834143039</v>
      </c>
      <c r="P1089" s="91">
        <v>1697.7685515317532</v>
      </c>
      <c r="Q1089" s="91">
        <v>1697.8661733745489</v>
      </c>
      <c r="R1089" s="91">
        <v>1697.9620755570666</v>
      </c>
      <c r="S1089" s="91">
        <v>1698.0562844403121</v>
      </c>
      <c r="T1089" s="91">
        <v>1698.1488261282457</v>
      </c>
      <c r="U1089" s="91">
        <v>1698.2397264644167</v>
      </c>
      <c r="V1089" s="91">
        <v>1698.3290110288979</v>
      </c>
      <c r="W1089" s="91">
        <v>1698.4167051355084</v>
      </c>
      <c r="X1089" s="91">
        <v>1698.5028338293173</v>
      </c>
      <c r="Y1089" s="91">
        <v>1698.5874218844153</v>
      </c>
      <c r="Z1089" s="91">
        <v>1698.6704938019466</v>
      </c>
      <c r="AA1089" s="91">
        <v>1698.7520738083897</v>
      </c>
      <c r="AB1089" s="91">
        <v>1698.8321858540799</v>
      </c>
      <c r="AC1089" s="91">
        <v>1698.9108536119618</v>
      </c>
      <c r="AD1089" s="91">
        <v>1698.9881004765643</v>
      </c>
      <c r="AE1089" s="91">
        <v>1699.0639495631892</v>
      </c>
      <c r="AF1089" s="91">
        <v>1699.1384237073039</v>
      </c>
      <c r="AG1089" s="91">
        <v>1699.21154546413</v>
      </c>
      <c r="AH1089" s="91">
        <v>1699.2833371084216</v>
      </c>
      <c r="AI1089" s="91">
        <v>1699.3538206344201</v>
      </c>
      <c r="AJ1089" s="91">
        <v>1699.4230177559837</v>
      </c>
      <c r="AK1089" s="91">
        <v>1699.490949906881</v>
      </c>
      <c r="AL1089" s="91">
        <v>1699.5576382412396</v>
      </c>
      <c r="AM1089" s="91">
        <v>1699.623103634146</v>
      </c>
      <c r="AN1089" s="91">
        <v>1699.6873666823876</v>
      </c>
      <c r="AO1089" s="91">
        <v>1699.7504477053299</v>
      </c>
      <c r="AP1089" s="91">
        <v>1699.8123667459226</v>
      </c>
      <c r="AQ1089" s="91">
        <v>1699.8731435718296</v>
      </c>
      <c r="AR1089" s="91">
        <v>1699.9327976766738</v>
      </c>
      <c r="AS1089" s="91">
        <v>1699.991348281392</v>
      </c>
      <c r="AT1089" s="91">
        <v>1700.0488143356949</v>
      </c>
      <c r="AU1089" s="91">
        <v>1700.1052145196259</v>
      </c>
      <c r="AV1089" s="91">
        <v>1700.1605672452108</v>
      </c>
      <c r="AW1089" s="91">
        <v>1700.2148906581981</v>
      </c>
      <c r="AX1089" s="92">
        <v>1700.2682026398795</v>
      </c>
    </row>
    <row r="1090" spans="1:50" x14ac:dyDescent="0.25">
      <c r="A1090" s="356"/>
      <c r="B1090" s="359"/>
      <c r="C1090" s="360"/>
      <c r="D1090" s="59" t="s">
        <v>20</v>
      </c>
      <c r="E1090" s="166" t="str">
        <f>A1083&amp;"/"&amp;B1083&amp;"/"&amp;C1087&amp;"/"&amp;D1090</f>
        <v>Derived gas fired power plants/Steam turbine/CHP/XS</v>
      </c>
      <c r="F1090" s="79" t="str">
        <f>A1083</f>
        <v>Derived gas fired power plants</v>
      </c>
      <c r="G1090" s="79" t="str">
        <f>B1083</f>
        <v>Steam turbine</v>
      </c>
      <c r="H1090" s="79" t="str">
        <f>C1087</f>
        <v>CHP</v>
      </c>
      <c r="I1090" s="167" t="str">
        <f t="shared" si="94"/>
        <v>XS</v>
      </c>
      <c r="J1090" s="97">
        <v>1910</v>
      </c>
      <c r="K1090" s="97">
        <v>1910.0658264172291</v>
      </c>
      <c r="L1090" s="97">
        <v>1910.1304584589325</v>
      </c>
      <c r="M1090" s="97">
        <v>1910.1939157608867</v>
      </c>
      <c r="N1090" s="97">
        <v>1910.2562177129955</v>
      </c>
      <c r="O1090" s="97">
        <v>1910.3173834593365</v>
      </c>
      <c r="P1090" s="97">
        <v>1910.377431898354</v>
      </c>
      <c r="Q1090" s="97">
        <v>1910.4363816831938</v>
      </c>
      <c r="R1090" s="97">
        <v>1910.4942512221696</v>
      </c>
      <c r="S1090" s="97">
        <v>1910.5510586793589</v>
      </c>
      <c r="T1090" s="97">
        <v>1910.6068219753197</v>
      </c>
      <c r="U1090" s="97">
        <v>1910.6615587879221</v>
      </c>
      <c r="V1090" s="97">
        <v>1910.7152865532912</v>
      </c>
      <c r="W1090" s="97">
        <v>1910.7680224668529</v>
      </c>
      <c r="X1090" s="97">
        <v>1910.8197834844789</v>
      </c>
      <c r="Y1090" s="97">
        <v>1910.8705863237267</v>
      </c>
      <c r="Z1090" s="97">
        <v>1910.9204474651654</v>
      </c>
      <c r="AA1090" s="97">
        <v>1910.9693831537879</v>
      </c>
      <c r="AB1090" s="97">
        <v>1911.0174094005008</v>
      </c>
      <c r="AC1090" s="97">
        <v>1911.0645419836874</v>
      </c>
      <c r="AD1090" s="97">
        <v>1911.1107964508426</v>
      </c>
      <c r="AE1090" s="97">
        <v>1911.1561881202731</v>
      </c>
      <c r="AF1090" s="97">
        <v>1911.2007320828561</v>
      </c>
      <c r="AG1090" s="97">
        <v>1911.2444432038596</v>
      </c>
      <c r="AH1090" s="97">
        <v>1911.2873361248132</v>
      </c>
      <c r="AI1090" s="97">
        <v>1911.3294252654291</v>
      </c>
      <c r="AJ1090" s="97">
        <v>1911.3707248255703</v>
      </c>
      <c r="AK1090" s="97">
        <v>1911.4112487872612</v>
      </c>
      <c r="AL1090" s="97">
        <v>1911.4510109167361</v>
      </c>
      <c r="AM1090" s="97">
        <v>1911.4900247665262</v>
      </c>
      <c r="AN1090" s="97">
        <v>1911.5283036775777</v>
      </c>
      <c r="AO1090" s="97">
        <v>1911.5658607814012</v>
      </c>
      <c r="AP1090" s="97">
        <v>1911.6027090022478</v>
      </c>
      <c r="AQ1090" s="97">
        <v>1911.6388610593101</v>
      </c>
      <c r="AR1090" s="97">
        <v>1911.674329468945</v>
      </c>
      <c r="AS1090" s="97">
        <v>1911.7091265469151</v>
      </c>
      <c r="AT1090" s="97">
        <v>1911.7432644106493</v>
      </c>
      <c r="AU1090" s="97">
        <v>1911.7767549815153</v>
      </c>
      <c r="AV1090" s="97">
        <v>1911.809609987107</v>
      </c>
      <c r="AW1090" s="97">
        <v>1911.8418409635406</v>
      </c>
      <c r="AX1090" s="98">
        <v>1911.8734592577598</v>
      </c>
    </row>
    <row r="1091" spans="1:50" x14ac:dyDescent="0.25">
      <c r="A1091" s="356"/>
      <c r="B1091" s="359"/>
      <c r="C1091" s="361" t="s">
        <v>15</v>
      </c>
      <c r="D1091" s="58" t="s">
        <v>7</v>
      </c>
      <c r="E1091" s="164" t="str">
        <f>A1083&amp;"/"&amp;B1083&amp;"/"&amp;C1091&amp;"/"&amp;D1091</f>
        <v>Derived gas fired power plants/Steam turbine/Electricity only with CCS/L</v>
      </c>
      <c r="F1091" s="78" t="str">
        <f>A1083</f>
        <v>Derived gas fired power plants</v>
      </c>
      <c r="G1091" s="78" t="str">
        <f>B1083</f>
        <v>Steam turbine</v>
      </c>
      <c r="H1091" s="78" t="str">
        <f>C1091</f>
        <v>Electricity only with CCS</v>
      </c>
      <c r="I1091" s="165" t="str">
        <f t="shared" si="94"/>
        <v>L</v>
      </c>
      <c r="J1091" s="95" t="s">
        <v>112</v>
      </c>
      <c r="K1091" s="95" t="s">
        <v>112</v>
      </c>
      <c r="L1091" s="95" t="s">
        <v>112</v>
      </c>
      <c r="M1091" s="95" t="s">
        <v>112</v>
      </c>
      <c r="N1091" s="95" t="s">
        <v>112</v>
      </c>
      <c r="O1091" s="95" t="s">
        <v>112</v>
      </c>
      <c r="P1091" s="95" t="s">
        <v>112</v>
      </c>
      <c r="Q1091" s="95" t="s">
        <v>112</v>
      </c>
      <c r="R1091" s="95" t="s">
        <v>112</v>
      </c>
      <c r="S1091" s="95" t="s">
        <v>112</v>
      </c>
      <c r="T1091" s="95" t="s">
        <v>112</v>
      </c>
      <c r="U1091" s="95" t="s">
        <v>112</v>
      </c>
      <c r="V1091" s="95" t="s">
        <v>112</v>
      </c>
      <c r="W1091" s="95" t="s">
        <v>112</v>
      </c>
      <c r="X1091" s="95" t="s">
        <v>112</v>
      </c>
      <c r="Y1091" s="95" t="s">
        <v>112</v>
      </c>
      <c r="Z1091" s="95" t="s">
        <v>112</v>
      </c>
      <c r="AA1091" s="95" t="s">
        <v>112</v>
      </c>
      <c r="AB1091" s="95" t="s">
        <v>112</v>
      </c>
      <c r="AC1091" s="95" t="s">
        <v>112</v>
      </c>
      <c r="AD1091" s="95" t="s">
        <v>112</v>
      </c>
      <c r="AE1091" s="95">
        <v>2037.5</v>
      </c>
      <c r="AF1091" s="95">
        <v>2037.5</v>
      </c>
      <c r="AG1091" s="95">
        <v>2037.5</v>
      </c>
      <c r="AH1091" s="95">
        <v>2037.5</v>
      </c>
      <c r="AI1091" s="95">
        <v>2037.5</v>
      </c>
      <c r="AJ1091" s="95">
        <v>2037.5</v>
      </c>
      <c r="AK1091" s="95">
        <v>2037.5</v>
      </c>
      <c r="AL1091" s="95">
        <v>2037.5</v>
      </c>
      <c r="AM1091" s="95">
        <v>2037.5</v>
      </c>
      <c r="AN1091" s="95">
        <v>2037.5</v>
      </c>
      <c r="AO1091" s="95">
        <v>2037.5</v>
      </c>
      <c r="AP1091" s="95">
        <v>2037.5</v>
      </c>
      <c r="AQ1091" s="95">
        <v>2037.5</v>
      </c>
      <c r="AR1091" s="95">
        <v>2037.5</v>
      </c>
      <c r="AS1091" s="95">
        <v>2037.5</v>
      </c>
      <c r="AT1091" s="95">
        <v>2037.5</v>
      </c>
      <c r="AU1091" s="95">
        <v>2037.5</v>
      </c>
      <c r="AV1091" s="95">
        <v>2037.5</v>
      </c>
      <c r="AW1091" s="95">
        <v>2037.5</v>
      </c>
      <c r="AX1091" s="96">
        <v>2037.5</v>
      </c>
    </row>
    <row r="1092" spans="1:50" x14ac:dyDescent="0.25">
      <c r="A1092" s="356"/>
      <c r="B1092" s="359"/>
      <c r="C1092" s="360"/>
      <c r="D1092" s="59" t="s">
        <v>8</v>
      </c>
      <c r="E1092" s="166" t="str">
        <f>A1083&amp;"/"&amp;B1083&amp;"/"&amp;C1091&amp;"/"&amp;D1092</f>
        <v>Derived gas fired power plants/Steam turbine/Electricity only with CCS/M</v>
      </c>
      <c r="F1092" s="79" t="str">
        <f>A1083</f>
        <v>Derived gas fired power plants</v>
      </c>
      <c r="G1092" s="79" t="str">
        <f>B1083</f>
        <v>Steam turbine</v>
      </c>
      <c r="H1092" s="79" t="str">
        <f>C1091</f>
        <v>Electricity only with CCS</v>
      </c>
      <c r="I1092" s="167" t="str">
        <f t="shared" si="94"/>
        <v>M</v>
      </c>
      <c r="J1092" s="97" t="s">
        <v>112</v>
      </c>
      <c r="K1092" s="97" t="s">
        <v>112</v>
      </c>
      <c r="L1092" s="97" t="s">
        <v>112</v>
      </c>
      <c r="M1092" s="97" t="s">
        <v>112</v>
      </c>
      <c r="N1092" s="97" t="s">
        <v>112</v>
      </c>
      <c r="O1092" s="97" t="s">
        <v>112</v>
      </c>
      <c r="P1092" s="97" t="s">
        <v>112</v>
      </c>
      <c r="Q1092" s="97" t="s">
        <v>112</v>
      </c>
      <c r="R1092" s="97" t="s">
        <v>112</v>
      </c>
      <c r="S1092" s="97" t="s">
        <v>112</v>
      </c>
      <c r="T1092" s="97" t="s">
        <v>112</v>
      </c>
      <c r="U1092" s="97" t="s">
        <v>112</v>
      </c>
      <c r="V1092" s="97" t="s">
        <v>112</v>
      </c>
      <c r="W1092" s="97" t="s">
        <v>112</v>
      </c>
      <c r="X1092" s="97" t="s">
        <v>112</v>
      </c>
      <c r="Y1092" s="97" t="s">
        <v>112</v>
      </c>
      <c r="Z1092" s="97" t="s">
        <v>112</v>
      </c>
      <c r="AA1092" s="97" t="s">
        <v>112</v>
      </c>
      <c r="AB1092" s="97" t="s">
        <v>112</v>
      </c>
      <c r="AC1092" s="97" t="s">
        <v>112</v>
      </c>
      <c r="AD1092" s="97" t="s">
        <v>112</v>
      </c>
      <c r="AE1092" s="97">
        <v>2593.625</v>
      </c>
      <c r="AF1092" s="97">
        <v>2593.625</v>
      </c>
      <c r="AG1092" s="97">
        <v>2593.625</v>
      </c>
      <c r="AH1092" s="97">
        <v>2593.625</v>
      </c>
      <c r="AI1092" s="97">
        <v>2593.625</v>
      </c>
      <c r="AJ1092" s="97">
        <v>2593.625</v>
      </c>
      <c r="AK1092" s="97">
        <v>2593.625</v>
      </c>
      <c r="AL1092" s="97">
        <v>2593.625</v>
      </c>
      <c r="AM1092" s="97">
        <v>2593.625</v>
      </c>
      <c r="AN1092" s="97">
        <v>2593.625</v>
      </c>
      <c r="AO1092" s="97">
        <v>2593.625</v>
      </c>
      <c r="AP1092" s="97">
        <v>2593.625</v>
      </c>
      <c r="AQ1092" s="97">
        <v>2593.625</v>
      </c>
      <c r="AR1092" s="97">
        <v>2593.625</v>
      </c>
      <c r="AS1092" s="97">
        <v>2593.625</v>
      </c>
      <c r="AT1092" s="97">
        <v>2593.625</v>
      </c>
      <c r="AU1092" s="97">
        <v>2593.625</v>
      </c>
      <c r="AV1092" s="97">
        <v>2593.625</v>
      </c>
      <c r="AW1092" s="97">
        <v>2593.625</v>
      </c>
      <c r="AX1092" s="98">
        <v>2593.625</v>
      </c>
    </row>
    <row r="1093" spans="1:50" x14ac:dyDescent="0.25">
      <c r="A1093" s="356"/>
      <c r="B1093" s="359"/>
      <c r="C1093" s="361" t="s">
        <v>16</v>
      </c>
      <c r="D1093" s="2" t="s">
        <v>7</v>
      </c>
      <c r="E1093" s="160" t="str">
        <f>A1083&amp;"/"&amp;B1083&amp;"/"&amp;C1093&amp;"/"&amp;D1093</f>
        <v>Derived gas fired power plants/Steam turbine/CHP with CCS/L</v>
      </c>
      <c r="F1093" s="76" t="str">
        <f>A1083</f>
        <v>Derived gas fired power plants</v>
      </c>
      <c r="G1093" s="76" t="str">
        <f>B1083</f>
        <v>Steam turbine</v>
      </c>
      <c r="H1093" s="76" t="str">
        <f>C1093</f>
        <v>CHP with CCS</v>
      </c>
      <c r="I1093" s="161" t="str">
        <f t="shared" si="94"/>
        <v>L</v>
      </c>
      <c r="J1093" s="91" t="s">
        <v>112</v>
      </c>
      <c r="K1093" s="91" t="s">
        <v>112</v>
      </c>
      <c r="L1093" s="91" t="s">
        <v>112</v>
      </c>
      <c r="M1093" s="91" t="s">
        <v>112</v>
      </c>
      <c r="N1093" s="91" t="s">
        <v>112</v>
      </c>
      <c r="O1093" s="91" t="s">
        <v>112</v>
      </c>
      <c r="P1093" s="91" t="s">
        <v>112</v>
      </c>
      <c r="Q1093" s="91" t="s">
        <v>112</v>
      </c>
      <c r="R1093" s="91" t="s">
        <v>112</v>
      </c>
      <c r="S1093" s="91" t="s">
        <v>112</v>
      </c>
      <c r="T1093" s="91" t="s">
        <v>112</v>
      </c>
      <c r="U1093" s="91" t="s">
        <v>112</v>
      </c>
      <c r="V1093" s="91" t="s">
        <v>112</v>
      </c>
      <c r="W1093" s="91" t="s">
        <v>112</v>
      </c>
      <c r="X1093" s="91" t="s">
        <v>112</v>
      </c>
      <c r="Y1093" s="91" t="s">
        <v>112</v>
      </c>
      <c r="Z1093" s="91" t="s">
        <v>112</v>
      </c>
      <c r="AA1093" s="91" t="s">
        <v>112</v>
      </c>
      <c r="AB1093" s="91" t="s">
        <v>112</v>
      </c>
      <c r="AC1093" s="91" t="s">
        <v>112</v>
      </c>
      <c r="AD1093" s="91" t="s">
        <v>112</v>
      </c>
      <c r="AE1093" s="91">
        <v>2532.5</v>
      </c>
      <c r="AF1093" s="91">
        <v>2532.5</v>
      </c>
      <c r="AG1093" s="91">
        <v>2532.5</v>
      </c>
      <c r="AH1093" s="91">
        <v>2532.5</v>
      </c>
      <c r="AI1093" s="91">
        <v>2532.5</v>
      </c>
      <c r="AJ1093" s="91">
        <v>2532.5</v>
      </c>
      <c r="AK1093" s="91">
        <v>2532.5</v>
      </c>
      <c r="AL1093" s="91">
        <v>2532.5</v>
      </c>
      <c r="AM1093" s="91">
        <v>2532.5</v>
      </c>
      <c r="AN1093" s="91">
        <v>2532.5</v>
      </c>
      <c r="AO1093" s="91">
        <v>2532.5</v>
      </c>
      <c r="AP1093" s="91">
        <v>2532.5</v>
      </c>
      <c r="AQ1093" s="91">
        <v>2532.5</v>
      </c>
      <c r="AR1093" s="91">
        <v>2532.5</v>
      </c>
      <c r="AS1093" s="91">
        <v>2532.5</v>
      </c>
      <c r="AT1093" s="91">
        <v>2532.5</v>
      </c>
      <c r="AU1093" s="91">
        <v>2532.5</v>
      </c>
      <c r="AV1093" s="91">
        <v>2532.5</v>
      </c>
      <c r="AW1093" s="91">
        <v>2532.5</v>
      </c>
      <c r="AX1093" s="92">
        <v>2532.5</v>
      </c>
    </row>
    <row r="1094" spans="1:50" x14ac:dyDescent="0.25">
      <c r="A1094" s="357"/>
      <c r="B1094" s="362"/>
      <c r="C1094" s="354"/>
      <c r="D1094" s="4" t="s">
        <v>8</v>
      </c>
      <c r="E1094" s="168" t="str">
        <f>A1083&amp;"/"&amp;B1083&amp;"/"&amp;C1093&amp;"/"&amp;D1094</f>
        <v>Derived gas fired power plants/Steam turbine/CHP with CCS/M</v>
      </c>
      <c r="F1094" s="80" t="str">
        <f>A1083</f>
        <v>Derived gas fired power plants</v>
      </c>
      <c r="G1094" s="80" t="str">
        <f>B1083</f>
        <v>Steam turbine</v>
      </c>
      <c r="H1094" s="80" t="str">
        <f>C1093</f>
        <v>CHP with CCS</v>
      </c>
      <c r="I1094" s="169" t="str">
        <f t="shared" si="94"/>
        <v>M</v>
      </c>
      <c r="J1094" s="99" t="s">
        <v>112</v>
      </c>
      <c r="K1094" s="99" t="s">
        <v>112</v>
      </c>
      <c r="L1094" s="99" t="s">
        <v>112</v>
      </c>
      <c r="M1094" s="99" t="s">
        <v>112</v>
      </c>
      <c r="N1094" s="99" t="s">
        <v>112</v>
      </c>
      <c r="O1094" s="99" t="s">
        <v>112</v>
      </c>
      <c r="P1094" s="99" t="s">
        <v>112</v>
      </c>
      <c r="Q1094" s="99" t="s">
        <v>112</v>
      </c>
      <c r="R1094" s="99" t="s">
        <v>112</v>
      </c>
      <c r="S1094" s="99" t="s">
        <v>112</v>
      </c>
      <c r="T1094" s="99" t="s">
        <v>112</v>
      </c>
      <c r="U1094" s="99" t="s">
        <v>112</v>
      </c>
      <c r="V1094" s="99" t="s">
        <v>112</v>
      </c>
      <c r="W1094" s="99" t="s">
        <v>112</v>
      </c>
      <c r="X1094" s="99" t="s">
        <v>112</v>
      </c>
      <c r="Y1094" s="99" t="s">
        <v>112</v>
      </c>
      <c r="Z1094" s="99" t="s">
        <v>112</v>
      </c>
      <c r="AA1094" s="99" t="s">
        <v>112</v>
      </c>
      <c r="AB1094" s="99" t="s">
        <v>112</v>
      </c>
      <c r="AC1094" s="99" t="s">
        <v>112</v>
      </c>
      <c r="AD1094" s="99" t="s">
        <v>112</v>
      </c>
      <c r="AE1094" s="99">
        <v>3088.625</v>
      </c>
      <c r="AF1094" s="99">
        <v>3088.625</v>
      </c>
      <c r="AG1094" s="99">
        <v>3088.625</v>
      </c>
      <c r="AH1094" s="99">
        <v>3088.625</v>
      </c>
      <c r="AI1094" s="99">
        <v>3088.625</v>
      </c>
      <c r="AJ1094" s="99">
        <v>3088.625</v>
      </c>
      <c r="AK1094" s="99">
        <v>3088.625</v>
      </c>
      <c r="AL1094" s="99">
        <v>3088.625</v>
      </c>
      <c r="AM1094" s="99">
        <v>3088.625</v>
      </c>
      <c r="AN1094" s="99">
        <v>3088.625</v>
      </c>
      <c r="AO1094" s="99">
        <v>3088.625</v>
      </c>
      <c r="AP1094" s="99">
        <v>3088.625</v>
      </c>
      <c r="AQ1094" s="99">
        <v>3088.625</v>
      </c>
      <c r="AR1094" s="99">
        <v>3088.625</v>
      </c>
      <c r="AS1094" s="99">
        <v>3088.625</v>
      </c>
      <c r="AT1094" s="99">
        <v>3088.625</v>
      </c>
      <c r="AU1094" s="99">
        <v>3088.625</v>
      </c>
      <c r="AV1094" s="99">
        <v>3088.625</v>
      </c>
      <c r="AW1094" s="99">
        <v>3088.625</v>
      </c>
      <c r="AX1094" s="100">
        <v>3088.625</v>
      </c>
    </row>
    <row r="1095" spans="1:50" x14ac:dyDescent="0.25">
      <c r="A1095" s="356" t="s">
        <v>27</v>
      </c>
      <c r="B1095" s="365" t="s">
        <v>19</v>
      </c>
      <c r="C1095" s="353" t="s">
        <v>6</v>
      </c>
      <c r="D1095" s="2" t="s">
        <v>7</v>
      </c>
      <c r="E1095" s="162" t="str">
        <f>A1095&amp;"/"&amp;B1095&amp;"/"&amp;C1095&amp;"/"&amp;D1095</f>
        <v>Refinery gas fired power plants/Steam turbine/Electricity only/L</v>
      </c>
      <c r="F1095" s="77" t="str">
        <f>A1095</f>
        <v>Refinery gas fired power plants</v>
      </c>
      <c r="G1095" s="77" t="str">
        <f>B1095</f>
        <v>Steam turbine</v>
      </c>
      <c r="H1095" s="77" t="str">
        <f>C1095</f>
        <v>Electricity only</v>
      </c>
      <c r="I1095" s="163" t="str">
        <f t="shared" ref="I1095:I1158" si="95">D1095</f>
        <v>L</v>
      </c>
      <c r="J1095" s="93">
        <v>785</v>
      </c>
      <c r="K1095" s="93">
        <v>785.27904712197835</v>
      </c>
      <c r="L1095" s="93">
        <v>785.55216838112881</v>
      </c>
      <c r="M1095" s="93">
        <v>785.81943130283423</v>
      </c>
      <c r="N1095" s="93">
        <v>786.0809057281009</v>
      </c>
      <c r="O1095" s="93">
        <v>786.33666362272902</v>
      </c>
      <c r="P1095" s="93">
        <v>786.58677889176067</v>
      </c>
      <c r="Q1095" s="93">
        <v>786.8313271994125</v>
      </c>
      <c r="R1095" s="93">
        <v>787.07038579466519</v>
      </c>
      <c r="S1095" s="93">
        <v>787.30403334265316</v>
      </c>
      <c r="T1095" s="93">
        <v>787.53234976196256</v>
      </c>
      <c r="U1095" s="93">
        <v>787.75541606792376</v>
      </c>
      <c r="V1095" s="93">
        <v>787.97331422195111</v>
      </c>
      <c r="W1095" s="93">
        <v>788.18612698696336</v>
      </c>
      <c r="X1095" s="93">
        <v>788.39393778889212</v>
      </c>
      <c r="Y1095" s="93">
        <v>788.59683058426481</v>
      </c>
      <c r="Z1095" s="93">
        <v>788.79488973382956</v>
      </c>
      <c r="AA1095" s="93">
        <v>788.98819988217042</v>
      </c>
      <c r="AB1095" s="93">
        <v>789.17684584324616</v>
      </c>
      <c r="AC1095" s="93">
        <v>789.36091249177048</v>
      </c>
      <c r="AD1095" s="93">
        <v>789.5404846603376</v>
      </c>
      <c r="AE1095" s="93">
        <v>789.71564704218588</v>
      </c>
      <c r="AF1095" s="93">
        <v>789.88648409948212</v>
      </c>
      <c r="AG1095" s="93">
        <v>790.05307997699936</v>
      </c>
      <c r="AH1095" s="93">
        <v>790.21551842105305</v>
      </c>
      <c r="AI1095" s="93">
        <v>790.37388270355314</v>
      </c>
      <c r="AJ1095" s="93">
        <v>790.5282555510272</v>
      </c>
      <c r="AK1095" s="93">
        <v>790.6787190784587</v>
      </c>
      <c r="AL1095" s="93">
        <v>790.82535472778898</v>
      </c>
      <c r="AM1095" s="93">
        <v>790.96824321092151</v>
      </c>
      <c r="AN1095" s="93">
        <v>791.10746445706889</v>
      </c>
      <c r="AO1095" s="93">
        <v>791.24309756428227</v>
      </c>
      <c r="AP1095" s="93">
        <v>791.37522075499965</v>
      </c>
      <c r="AQ1095" s="93">
        <v>791.50391133545236</v>
      </c>
      <c r="AR1095" s="93">
        <v>791.62924565876756</v>
      </c>
      <c r="AS1095" s="93">
        <v>791.75129909160864</v>
      </c>
      <c r="AT1095" s="93">
        <v>791.87014598419375</v>
      </c>
      <c r="AU1095" s="93">
        <v>791.98585964353879</v>
      </c>
      <c r="AV1095" s="93">
        <v>792.09851230976813</v>
      </c>
      <c r="AW1095" s="93">
        <v>792.20817513534723</v>
      </c>
      <c r="AX1095" s="94">
        <v>792.31491816708581</v>
      </c>
    </row>
    <row r="1096" spans="1:50" x14ac:dyDescent="0.25">
      <c r="A1096" s="356"/>
      <c r="B1096" s="366"/>
      <c r="C1096" s="350"/>
      <c r="D1096" s="2" t="s">
        <v>8</v>
      </c>
      <c r="E1096" s="160" t="str">
        <f>A1095&amp;"/"&amp;B1095&amp;"/"&amp;C1095&amp;"/"&amp;D1096</f>
        <v>Refinery gas fired power plants/Steam turbine/Electricity only/M</v>
      </c>
      <c r="F1096" s="76" t="str">
        <f>A1095</f>
        <v>Refinery gas fired power plants</v>
      </c>
      <c r="G1096" s="76" t="str">
        <f>B1095</f>
        <v>Steam turbine</v>
      </c>
      <c r="H1096" s="76" t="str">
        <f>C1095</f>
        <v>Electricity only</v>
      </c>
      <c r="I1096" s="161" t="str">
        <f t="shared" si="95"/>
        <v>M</v>
      </c>
      <c r="J1096" s="91">
        <v>847.80000000000007</v>
      </c>
      <c r="K1096" s="91">
        <v>848.06369953026956</v>
      </c>
      <c r="L1096" s="91">
        <v>848.32179912016682</v>
      </c>
      <c r="M1096" s="91">
        <v>848.57436258117832</v>
      </c>
      <c r="N1096" s="91">
        <v>848.82145591305539</v>
      </c>
      <c r="O1096" s="91">
        <v>849.06314712347898</v>
      </c>
      <c r="P1096" s="91">
        <v>849.29950605271392</v>
      </c>
      <c r="Q1096" s="91">
        <v>849.5306042034448</v>
      </c>
      <c r="R1096" s="91">
        <v>849.75651457595859</v>
      </c>
      <c r="S1096" s="91">
        <v>849.97731150880725</v>
      </c>
      <c r="T1096" s="91">
        <v>850.19307052505462</v>
      </c>
      <c r="U1096" s="91">
        <v>850.40386818418801</v>
      </c>
      <c r="V1096" s="91">
        <v>850.60978193974381</v>
      </c>
      <c r="W1096" s="91">
        <v>850.81089000268037</v>
      </c>
      <c r="X1096" s="91">
        <v>851.00727121050306</v>
      </c>
      <c r="Y1096" s="91">
        <v>851.19900490213024</v>
      </c>
      <c r="Z1096" s="91">
        <v>851.38617079846892</v>
      </c>
      <c r="AA1096" s="91">
        <v>851.56884888865102</v>
      </c>
      <c r="AB1096" s="91">
        <v>851.74711932186756</v>
      </c>
      <c r="AC1096" s="91">
        <v>851.92106230472314</v>
      </c>
      <c r="AD1096" s="91">
        <v>852.09075800401911</v>
      </c>
      <c r="AE1096" s="91">
        <v>852.25628645486563</v>
      </c>
      <c r="AF1096" s="91">
        <v>852.41772747401058</v>
      </c>
      <c r="AG1096" s="91">
        <v>852.57516057826444</v>
      </c>
      <c r="AH1096" s="91">
        <v>852.72866490789511</v>
      </c>
      <c r="AI1096" s="91">
        <v>852.87831915485776</v>
      </c>
      <c r="AJ1096" s="91">
        <v>853.02420149572072</v>
      </c>
      <c r="AK1096" s="91">
        <v>853.16638952914343</v>
      </c>
      <c r="AL1096" s="91">
        <v>853.30496021776059</v>
      </c>
      <c r="AM1096" s="91">
        <v>853.43998983432084</v>
      </c>
      <c r="AN1096" s="91">
        <v>853.5715539119301</v>
      </c>
      <c r="AO1096" s="91">
        <v>853.69972719824671</v>
      </c>
      <c r="AP1096" s="91">
        <v>853.82458361347472</v>
      </c>
      <c r="AQ1096" s="91">
        <v>853.94619621200252</v>
      </c>
      <c r="AR1096" s="91">
        <v>854.06463714753534</v>
      </c>
      <c r="AS1096" s="91">
        <v>854.17997764157008</v>
      </c>
      <c r="AT1096" s="91">
        <v>854.2922879550631</v>
      </c>
      <c r="AU1096" s="91">
        <v>854.40163736314412</v>
      </c>
      <c r="AV1096" s="91">
        <v>854.50809413273089</v>
      </c>
      <c r="AW1096" s="91">
        <v>854.61172550290314</v>
      </c>
      <c r="AX1096" s="92">
        <v>854.71259766789603</v>
      </c>
    </row>
    <row r="1097" spans="1:50" x14ac:dyDescent="0.25">
      <c r="A1097" s="356"/>
      <c r="B1097" s="366"/>
      <c r="C1097" s="360"/>
      <c r="D1097" s="2" t="s">
        <v>10</v>
      </c>
      <c r="E1097" s="160" t="str">
        <f>A1095&amp;"/"&amp;B1095&amp;"/"&amp;C1095&amp;"/"&amp;D1097</f>
        <v>Refinery gas fired power plants/Steam turbine/Electricity only/S</v>
      </c>
      <c r="F1097" s="76" t="str">
        <f>A1095</f>
        <v>Refinery gas fired power plants</v>
      </c>
      <c r="G1097" s="76" t="str">
        <f>B1095</f>
        <v>Steam turbine</v>
      </c>
      <c r="H1097" s="76" t="str">
        <f>C1095</f>
        <v>Electricity only</v>
      </c>
      <c r="I1097" s="161" t="str">
        <f t="shared" si="95"/>
        <v>S</v>
      </c>
      <c r="J1097" s="91">
        <v>932.58000000000015</v>
      </c>
      <c r="K1097" s="91">
        <v>932.82863098568282</v>
      </c>
      <c r="L1097" s="91">
        <v>933.07198202758593</v>
      </c>
      <c r="M1097" s="91">
        <v>933.31011329082537</v>
      </c>
      <c r="N1097" s="91">
        <v>933.54308700373804</v>
      </c>
      <c r="O1097" s="91">
        <v>933.7709672878517</v>
      </c>
      <c r="P1097" s="91">
        <v>933.99381999255888</v>
      </c>
      <c r="Q1097" s="91">
        <v>934.21171253467662</v>
      </c>
      <c r="R1097" s="91">
        <v>934.42471374304682</v>
      </c>
      <c r="S1097" s="91">
        <v>934.63289370830398</v>
      </c>
      <c r="T1097" s="91">
        <v>934.83632363790878</v>
      </c>
      <c r="U1097" s="91">
        <v>935.03507571652017</v>
      </c>
      <c r="V1097" s="91">
        <v>935.22922297175853</v>
      </c>
      <c r="W1097" s="91">
        <v>935.41883914538448</v>
      </c>
      <c r="X1097" s="91">
        <v>935.60399856990296</v>
      </c>
      <c r="Y1097" s="91">
        <v>935.78477605058015</v>
      </c>
      <c r="Z1097" s="91">
        <v>935.96124675284227</v>
      </c>
      <c r="AA1097" s="91">
        <v>936.13348609501395</v>
      </c>
      <c r="AB1097" s="91">
        <v>936.30156964633238</v>
      </c>
      <c r="AC1097" s="91">
        <v>936.46557303016766</v>
      </c>
      <c r="AD1097" s="91">
        <v>936.62557183236095</v>
      </c>
      <c r="AE1097" s="91">
        <v>936.7816415145877</v>
      </c>
      <c r="AF1097" s="91">
        <v>936.93385733263869</v>
      </c>
      <c r="AG1097" s="91">
        <v>937.08229425950663</v>
      </c>
      <c r="AH1097" s="91">
        <v>937.22702691315828</v>
      </c>
      <c r="AI1097" s="91">
        <v>937.36812948886597</v>
      </c>
      <c r="AJ1097" s="91">
        <v>937.50567569596535</v>
      </c>
      <c r="AK1097" s="91">
        <v>937.63973869890674</v>
      </c>
      <c r="AL1097" s="91">
        <v>937.77039106246013</v>
      </c>
      <c r="AM1097" s="91">
        <v>937.89770470093117</v>
      </c>
      <c r="AN1097" s="91">
        <v>938.02175083124848</v>
      </c>
      <c r="AO1097" s="91">
        <v>938.14259992977554</v>
      </c>
      <c r="AP1097" s="91">
        <v>938.26032169270479</v>
      </c>
      <c r="AQ1097" s="91">
        <v>938.37498499988817</v>
      </c>
      <c r="AR1097" s="91">
        <v>938.48665788196206</v>
      </c>
      <c r="AS1097" s="91">
        <v>938.5954074906233</v>
      </c>
      <c r="AT1097" s="91">
        <v>938.70130007191676</v>
      </c>
      <c r="AU1097" s="91">
        <v>938.80440094239316</v>
      </c>
      <c r="AV1097" s="91">
        <v>938.90477446800355</v>
      </c>
      <c r="AW1097" s="91">
        <v>939.00248404559454</v>
      </c>
      <c r="AX1097" s="92">
        <v>939.09759208687353</v>
      </c>
    </row>
    <row r="1098" spans="1:50" x14ac:dyDescent="0.25">
      <c r="A1098" s="356"/>
      <c r="B1098" s="366"/>
      <c r="C1098" s="361" t="s">
        <v>14</v>
      </c>
      <c r="D1098" s="58" t="s">
        <v>7</v>
      </c>
      <c r="E1098" s="164" t="str">
        <f>A1095&amp;"/"&amp;B1095&amp;"/"&amp;C1098&amp;"/"&amp;D1098</f>
        <v>Refinery gas fired power plants/Steam turbine/CHP/L</v>
      </c>
      <c r="F1098" s="78" t="str">
        <f>A1095</f>
        <v>Refinery gas fired power plants</v>
      </c>
      <c r="G1098" s="78" t="str">
        <f>B1095</f>
        <v>Steam turbine</v>
      </c>
      <c r="H1098" s="78" t="str">
        <f>C1098</f>
        <v>CHP</v>
      </c>
      <c r="I1098" s="165" t="str">
        <f t="shared" si="95"/>
        <v>L</v>
      </c>
      <c r="J1098" s="95">
        <v>1280</v>
      </c>
      <c r="K1098" s="95">
        <v>1280.2843792325896</v>
      </c>
      <c r="L1098" s="95">
        <v>1280.5627193693033</v>
      </c>
      <c r="M1098" s="95">
        <v>1280.8350892258184</v>
      </c>
      <c r="N1098" s="95">
        <v>1281.1015599776824</v>
      </c>
      <c r="O1098" s="95">
        <v>1281.3622049658386</v>
      </c>
      <c r="P1098" s="95">
        <v>1281.617099507527</v>
      </c>
      <c r="Q1098" s="95">
        <v>1281.866320712777</v>
      </c>
      <c r="R1098" s="95">
        <v>1282.1099473066652</v>
      </c>
      <c r="S1098" s="95">
        <v>1282.348059457481</v>
      </c>
      <c r="T1098" s="95">
        <v>1282.5807386109173</v>
      </c>
      <c r="U1098" s="95">
        <v>1282.8080673303682</v>
      </c>
      <c r="V1098" s="95">
        <v>1283.0301291433898</v>
      </c>
      <c r="W1098" s="95">
        <v>1283.2470083943576</v>
      </c>
      <c r="X1098" s="95">
        <v>1283.4587901033296</v>
      </c>
      <c r="Y1098" s="95">
        <v>1283.6655598310979</v>
      </c>
      <c r="Z1098" s="95">
        <v>1283.8674035503996</v>
      </c>
      <c r="AA1098" s="95">
        <v>1284.064407523231</v>
      </c>
      <c r="AB1098" s="95">
        <v>1284.2566581842</v>
      </c>
      <c r="AC1098" s="95">
        <v>1284.4442420298299</v>
      </c>
      <c r="AD1098" s="95">
        <v>1284.62724551372</v>
      </c>
      <c r="AE1098" s="95">
        <v>1284.8057549474506</v>
      </c>
      <c r="AF1098" s="95">
        <v>1284.9798564071157</v>
      </c>
      <c r="AG1098" s="95">
        <v>1285.1496356453497</v>
      </c>
      <c r="AH1098" s="95">
        <v>1285.3151780087164</v>
      </c>
      <c r="AI1098" s="95">
        <v>1285.4765683603091</v>
      </c>
      <c r="AJ1098" s="95">
        <v>1285.6338910074162</v>
      </c>
      <c r="AK1098" s="95">
        <v>1285.7872296340981</v>
      </c>
      <c r="AL1098" s="95">
        <v>1285.9366672385111</v>
      </c>
      <c r="AM1098" s="95">
        <v>1286.0822860748244</v>
      </c>
      <c r="AN1098" s="95">
        <v>1286.2241675995606</v>
      </c>
      <c r="AO1098" s="95">
        <v>1286.3623924221986</v>
      </c>
      <c r="AP1098" s="95">
        <v>1286.4970402598724</v>
      </c>
      <c r="AQ1098" s="95">
        <v>1286.6281898960024</v>
      </c>
      <c r="AR1098" s="95">
        <v>1286.7559191426931</v>
      </c>
      <c r="AS1098" s="95">
        <v>1286.880304806735</v>
      </c>
      <c r="AT1098" s="95">
        <v>1287.0014226590511</v>
      </c>
      <c r="AU1098" s="95">
        <v>1287.119347407428</v>
      </c>
      <c r="AV1098" s="95">
        <v>1287.2341526723751</v>
      </c>
      <c r="AW1098" s="95">
        <v>1287.3459109659591</v>
      </c>
      <c r="AX1098" s="96">
        <v>1287.4546936734632</v>
      </c>
    </row>
    <row r="1099" spans="1:50" x14ac:dyDescent="0.25">
      <c r="A1099" s="356"/>
      <c r="B1099" s="366"/>
      <c r="C1099" s="350"/>
      <c r="D1099" s="2" t="s">
        <v>8</v>
      </c>
      <c r="E1099" s="160" t="str">
        <f>A1095&amp;"/"&amp;B1095&amp;"/"&amp;C1098&amp;"/"&amp;D1099</f>
        <v>Refinery gas fired power plants/Steam turbine/CHP/M</v>
      </c>
      <c r="F1099" s="76" t="str">
        <f>A1095</f>
        <v>Refinery gas fired power plants</v>
      </c>
      <c r="G1099" s="76" t="str">
        <f>B1095</f>
        <v>Steam turbine</v>
      </c>
      <c r="H1099" s="76" t="str">
        <f>C1098</f>
        <v>CHP</v>
      </c>
      <c r="I1099" s="161" t="str">
        <f t="shared" si="95"/>
        <v>M</v>
      </c>
      <c r="J1099" s="91">
        <v>1342.8000000000002</v>
      </c>
      <c r="K1099" s="91">
        <v>1343.038665270951</v>
      </c>
      <c r="L1099" s="91">
        <v>1343.2722622306881</v>
      </c>
      <c r="M1099" s="91">
        <v>1343.5008486327683</v>
      </c>
      <c r="N1099" s="91">
        <v>1343.7244842112702</v>
      </c>
      <c r="O1099" s="91">
        <v>1343.9432305175801</v>
      </c>
      <c r="P1099" s="91">
        <v>1344.157150761692</v>
      </c>
      <c r="Q1099" s="91">
        <v>1344.3663096581984</v>
      </c>
      <c r="R1099" s="91">
        <v>1344.5707732771191</v>
      </c>
      <c r="S1099" s="91">
        <v>1344.7706088996911</v>
      </c>
      <c r="T1099" s="91">
        <v>1344.9658848792126</v>
      </c>
      <c r="U1099" s="91">
        <v>1345.1566705070118</v>
      </c>
      <c r="V1099" s="91">
        <v>1345.3430358835901</v>
      </c>
      <c r="W1099" s="91">
        <v>1345.5250517949648</v>
      </c>
      <c r="X1099" s="91">
        <v>1345.7027895942194</v>
      </c>
      <c r="Y1099" s="91">
        <v>1345.8763210882491</v>
      </c>
      <c r="Z1099" s="91">
        <v>1346.0457184296731</v>
      </c>
      <c r="AA1099" s="91">
        <v>1346.2110540138717</v>
      </c>
      <c r="AB1099" s="91">
        <v>1346.3724003810901</v>
      </c>
      <c r="AC1099" s="91">
        <v>1346.529830123535</v>
      </c>
      <c r="AD1099" s="91">
        <v>1346.6834157973897</v>
      </c>
      <c r="AE1099" s="91">
        <v>1346.8332298396481</v>
      </c>
      <c r="AF1099" s="91">
        <v>1346.979344489672</v>
      </c>
      <c r="AG1099" s="91">
        <v>1347.12183171536</v>
      </c>
      <c r="AH1099" s="91">
        <v>1347.2607631438154</v>
      </c>
      <c r="AI1099" s="91">
        <v>1347.3962099963894</v>
      </c>
      <c r="AJ1099" s="91">
        <v>1347.5282430279742</v>
      </c>
      <c r="AK1099" s="91">
        <v>1347.6569324704169</v>
      </c>
      <c r="AL1099" s="91">
        <v>1347.7823479799206</v>
      </c>
      <c r="AM1099" s="91">
        <v>1347.9045585882966</v>
      </c>
      <c r="AN1099" s="91">
        <v>1348.0236326579316</v>
      </c>
      <c r="AO1099" s="91">
        <v>1348.1396378403304</v>
      </c>
      <c r="AP1099" s="91">
        <v>1348.2526410380981</v>
      </c>
      <c r="AQ1099" s="91">
        <v>1348.3627083702204</v>
      </c>
      <c r="AR1099" s="91">
        <v>1348.4699051405055</v>
      </c>
      <c r="AS1099" s="91">
        <v>1348.5742958090525</v>
      </c>
      <c r="AT1099" s="91">
        <v>1348.6759439666089</v>
      </c>
      <c r="AU1099" s="91">
        <v>1348.7749123116841</v>
      </c>
      <c r="AV1099" s="91">
        <v>1348.8712626302911</v>
      </c>
      <c r="AW1099" s="91">
        <v>1348.9650557781813</v>
      </c>
      <c r="AX1099" s="92">
        <v>1349.0563516654543</v>
      </c>
    </row>
    <row r="1100" spans="1:50" x14ac:dyDescent="0.25">
      <c r="A1100" s="356"/>
      <c r="B1100" s="366"/>
      <c r="C1100" s="360"/>
      <c r="D1100" s="59" t="s">
        <v>10</v>
      </c>
      <c r="E1100" s="166" t="str">
        <f>A1095&amp;"/"&amp;B1095&amp;"/"&amp;C1098&amp;"/"&amp;D1100</f>
        <v>Refinery gas fired power plants/Steam turbine/CHP/S</v>
      </c>
      <c r="F1100" s="79" t="str">
        <f>A1095</f>
        <v>Refinery gas fired power plants</v>
      </c>
      <c r="G1100" s="79" t="str">
        <f>B1095</f>
        <v>Steam turbine</v>
      </c>
      <c r="H1100" s="79" t="str">
        <f>C1098</f>
        <v>CHP</v>
      </c>
      <c r="I1100" s="167" t="str">
        <f t="shared" si="95"/>
        <v>S</v>
      </c>
      <c r="J1100" s="97">
        <v>1462.5800000000002</v>
      </c>
      <c r="K1100" s="97">
        <v>1462.7749659584379</v>
      </c>
      <c r="L1100" s="97">
        <v>1462.9657916071042</v>
      </c>
      <c r="M1100" s="97">
        <v>1463.1525241249519</v>
      </c>
      <c r="N1100" s="97">
        <v>1463.3352123088246</v>
      </c>
      <c r="O1100" s="97">
        <v>1463.5139064401264</v>
      </c>
      <c r="P1100" s="97">
        <v>1463.6886581551807</v>
      </c>
      <c r="Q1100" s="97">
        <v>1463.8595203194188</v>
      </c>
      <c r="R1100" s="97">
        <v>1464.026546905523</v>
      </c>
      <c r="S1100" s="97">
        <v>1464.18979287562</v>
      </c>
      <c r="T1100" s="97">
        <v>1464.3493140676042</v>
      </c>
      <c r="U1100" s="97">
        <v>1464.5051670856485</v>
      </c>
      <c r="V1100" s="97">
        <v>1464.6574091949403</v>
      </c>
      <c r="W1100" s="97">
        <v>1464.8060982206655</v>
      </c>
      <c r="X1100" s="97">
        <v>1464.9512924512476</v>
      </c>
      <c r="Y1100" s="97">
        <v>1465.0930505458284</v>
      </c>
      <c r="Z1100" s="97">
        <v>1465.2314314459736</v>
      </c>
      <c r="AA1100" s="97">
        <v>1465.3664942915598</v>
      </c>
      <c r="AB1100" s="97">
        <v>1465.4982983408033</v>
      </c>
      <c r="AC1100" s="97">
        <v>1465.6269028943698</v>
      </c>
      <c r="AD1100" s="97">
        <v>1465.7523672234954</v>
      </c>
      <c r="AE1100" s="97">
        <v>1465.8747505020513</v>
      </c>
      <c r="AF1100" s="97">
        <v>1465.9941117424621</v>
      </c>
      <c r="AG1100" s="97">
        <v>1466.110509735395</v>
      </c>
      <c r="AH1100" s="97">
        <v>1466.2240029931197</v>
      </c>
      <c r="AI1100" s="97">
        <v>1466.3346496964473</v>
      </c>
      <c r="AJ1100" s="97">
        <v>1466.4425076451378</v>
      </c>
      <c r="AK1100" s="97">
        <v>1466.5476342116747</v>
      </c>
      <c r="AL1100" s="97">
        <v>1466.6500862982978</v>
      </c>
      <c r="AM1100" s="97">
        <v>1466.7499202971799</v>
      </c>
      <c r="AN1100" s="97">
        <v>1466.8471920536401</v>
      </c>
      <c r="AO1100" s="97">
        <v>1466.9419568322778</v>
      </c>
      <c r="AP1100" s="97">
        <v>1467.0342692859144</v>
      </c>
      <c r="AQ1100" s="97">
        <v>1467.1241834272323</v>
      </c>
      <c r="AR1100" s="97">
        <v>1467.2117526029938</v>
      </c>
      <c r="AS1100" s="97">
        <v>1467.297029470735</v>
      </c>
      <c r="AT1100" s="97">
        <v>1467.3800659778165</v>
      </c>
      <c r="AU1100" s="97">
        <v>1467.4609133427296</v>
      </c>
      <c r="AV1100" s="97">
        <v>1467.5396220385451</v>
      </c>
      <c r="AW1100" s="97">
        <v>1467.6162417784028</v>
      </c>
      <c r="AX1100" s="98">
        <v>1467.6908215029378</v>
      </c>
    </row>
    <row r="1101" spans="1:50" x14ac:dyDescent="0.25">
      <c r="A1101" s="356"/>
      <c r="B1101" s="366"/>
      <c r="C1101" s="361" t="s">
        <v>15</v>
      </c>
      <c r="D1101" s="58" t="s">
        <v>7</v>
      </c>
      <c r="E1101" s="164" t="str">
        <f>A1095&amp;"/"&amp;B1095&amp;"/"&amp;C1101&amp;"/"&amp;D1101</f>
        <v>Refinery gas fired power plants/Steam turbine/Electricity only with CCS/L</v>
      </c>
      <c r="F1101" s="78" t="str">
        <f>A1095</f>
        <v>Refinery gas fired power plants</v>
      </c>
      <c r="G1101" s="78" t="str">
        <f>B1095</f>
        <v>Steam turbine</v>
      </c>
      <c r="H1101" s="78" t="str">
        <f>C1101</f>
        <v>Electricity only with CCS</v>
      </c>
      <c r="I1101" s="165" t="str">
        <f t="shared" si="95"/>
        <v>L</v>
      </c>
      <c r="J1101" s="95" t="s">
        <v>112</v>
      </c>
      <c r="K1101" s="95" t="s">
        <v>112</v>
      </c>
      <c r="L1101" s="95" t="s">
        <v>112</v>
      </c>
      <c r="M1101" s="95" t="s">
        <v>112</v>
      </c>
      <c r="N1101" s="95" t="s">
        <v>112</v>
      </c>
      <c r="O1101" s="95" t="s">
        <v>112</v>
      </c>
      <c r="P1101" s="95" t="s">
        <v>112</v>
      </c>
      <c r="Q1101" s="95" t="s">
        <v>112</v>
      </c>
      <c r="R1101" s="95" t="s">
        <v>112</v>
      </c>
      <c r="S1101" s="95" t="s">
        <v>112</v>
      </c>
      <c r="T1101" s="95" t="s">
        <v>112</v>
      </c>
      <c r="U1101" s="95" t="s">
        <v>112</v>
      </c>
      <c r="V1101" s="95" t="s">
        <v>112</v>
      </c>
      <c r="W1101" s="95" t="s">
        <v>112</v>
      </c>
      <c r="X1101" s="95" t="s">
        <v>112</v>
      </c>
      <c r="Y1101" s="95" t="s">
        <v>112</v>
      </c>
      <c r="Z1101" s="95" t="s">
        <v>112</v>
      </c>
      <c r="AA1101" s="95" t="s">
        <v>112</v>
      </c>
      <c r="AB1101" s="95" t="s">
        <v>112</v>
      </c>
      <c r="AC1101" s="95" t="s">
        <v>112</v>
      </c>
      <c r="AD1101" s="95" t="s">
        <v>112</v>
      </c>
      <c r="AE1101" s="95">
        <v>1962.5</v>
      </c>
      <c r="AF1101" s="95">
        <v>1962.5</v>
      </c>
      <c r="AG1101" s="95">
        <v>1962.5</v>
      </c>
      <c r="AH1101" s="95">
        <v>1962.5</v>
      </c>
      <c r="AI1101" s="95">
        <v>1962.5</v>
      </c>
      <c r="AJ1101" s="95">
        <v>1962.5</v>
      </c>
      <c r="AK1101" s="95">
        <v>1962.5</v>
      </c>
      <c r="AL1101" s="95">
        <v>1962.5</v>
      </c>
      <c r="AM1101" s="95">
        <v>1962.5</v>
      </c>
      <c r="AN1101" s="95">
        <v>1962.5</v>
      </c>
      <c r="AO1101" s="95">
        <v>1962.5</v>
      </c>
      <c r="AP1101" s="95">
        <v>1962.5</v>
      </c>
      <c r="AQ1101" s="95">
        <v>1962.5</v>
      </c>
      <c r="AR1101" s="95">
        <v>1962.5</v>
      </c>
      <c r="AS1101" s="95">
        <v>1962.5</v>
      </c>
      <c r="AT1101" s="95">
        <v>1962.5</v>
      </c>
      <c r="AU1101" s="95">
        <v>1962.5</v>
      </c>
      <c r="AV1101" s="95">
        <v>1962.5</v>
      </c>
      <c r="AW1101" s="95">
        <v>1962.5</v>
      </c>
      <c r="AX1101" s="96">
        <v>1962.5</v>
      </c>
    </row>
    <row r="1102" spans="1:50" x14ac:dyDescent="0.25">
      <c r="A1102" s="356"/>
      <c r="B1102" s="366"/>
      <c r="C1102" s="360"/>
      <c r="D1102" s="59" t="s">
        <v>8</v>
      </c>
      <c r="E1102" s="166" t="str">
        <f>A1095&amp;"/"&amp;B1095&amp;"/"&amp;C1101&amp;"/"&amp;D1102</f>
        <v>Refinery gas fired power plants/Steam turbine/Electricity only with CCS/M</v>
      </c>
      <c r="F1102" s="79" t="str">
        <f>A1095</f>
        <v>Refinery gas fired power plants</v>
      </c>
      <c r="G1102" s="79" t="str">
        <f>B1095</f>
        <v>Steam turbine</v>
      </c>
      <c r="H1102" s="79" t="str">
        <f>C1101</f>
        <v>Electricity only with CCS</v>
      </c>
      <c r="I1102" s="167" t="str">
        <f t="shared" si="95"/>
        <v>M</v>
      </c>
      <c r="J1102" s="97" t="s">
        <v>112</v>
      </c>
      <c r="K1102" s="97" t="s">
        <v>112</v>
      </c>
      <c r="L1102" s="97" t="s">
        <v>112</v>
      </c>
      <c r="M1102" s="97" t="s">
        <v>112</v>
      </c>
      <c r="N1102" s="97" t="s">
        <v>112</v>
      </c>
      <c r="O1102" s="97" t="s">
        <v>112</v>
      </c>
      <c r="P1102" s="97" t="s">
        <v>112</v>
      </c>
      <c r="Q1102" s="97" t="s">
        <v>112</v>
      </c>
      <c r="R1102" s="97" t="s">
        <v>112</v>
      </c>
      <c r="S1102" s="97" t="s">
        <v>112</v>
      </c>
      <c r="T1102" s="97" t="s">
        <v>112</v>
      </c>
      <c r="U1102" s="97" t="s">
        <v>112</v>
      </c>
      <c r="V1102" s="97" t="s">
        <v>112</v>
      </c>
      <c r="W1102" s="97" t="s">
        <v>112</v>
      </c>
      <c r="X1102" s="97" t="s">
        <v>112</v>
      </c>
      <c r="Y1102" s="97" t="s">
        <v>112</v>
      </c>
      <c r="Z1102" s="97" t="s">
        <v>112</v>
      </c>
      <c r="AA1102" s="97" t="s">
        <v>112</v>
      </c>
      <c r="AB1102" s="97" t="s">
        <v>112</v>
      </c>
      <c r="AC1102" s="97" t="s">
        <v>112</v>
      </c>
      <c r="AD1102" s="97" t="s">
        <v>112</v>
      </c>
      <c r="AE1102" s="97">
        <v>2516.375</v>
      </c>
      <c r="AF1102" s="97">
        <v>2516.375</v>
      </c>
      <c r="AG1102" s="97">
        <v>2516.375</v>
      </c>
      <c r="AH1102" s="97">
        <v>2516.375</v>
      </c>
      <c r="AI1102" s="97">
        <v>2516.375</v>
      </c>
      <c r="AJ1102" s="97">
        <v>2516.375</v>
      </c>
      <c r="AK1102" s="97">
        <v>2516.375</v>
      </c>
      <c r="AL1102" s="97">
        <v>2516.375</v>
      </c>
      <c r="AM1102" s="97">
        <v>2516.375</v>
      </c>
      <c r="AN1102" s="97">
        <v>2516.375</v>
      </c>
      <c r="AO1102" s="97">
        <v>2516.375</v>
      </c>
      <c r="AP1102" s="97">
        <v>2516.375</v>
      </c>
      <c r="AQ1102" s="97">
        <v>2516.375</v>
      </c>
      <c r="AR1102" s="97">
        <v>2516.375</v>
      </c>
      <c r="AS1102" s="97">
        <v>2516.375</v>
      </c>
      <c r="AT1102" s="97">
        <v>2516.375</v>
      </c>
      <c r="AU1102" s="97">
        <v>2516.375</v>
      </c>
      <c r="AV1102" s="97">
        <v>2516.375</v>
      </c>
      <c r="AW1102" s="97">
        <v>2516.375</v>
      </c>
      <c r="AX1102" s="98">
        <v>2516.375</v>
      </c>
    </row>
    <row r="1103" spans="1:50" x14ac:dyDescent="0.25">
      <c r="A1103" s="356"/>
      <c r="B1103" s="366"/>
      <c r="C1103" s="361" t="s">
        <v>16</v>
      </c>
      <c r="D1103" s="2" t="s">
        <v>7</v>
      </c>
      <c r="E1103" s="160" t="str">
        <f>A1095&amp;"/"&amp;B1095&amp;"/"&amp;C1103&amp;"/"&amp;D1103</f>
        <v>Refinery gas fired power plants/Steam turbine/CHP with CCS/L</v>
      </c>
      <c r="F1103" s="76" t="str">
        <f>A1095</f>
        <v>Refinery gas fired power plants</v>
      </c>
      <c r="G1103" s="76" t="str">
        <f>B1095</f>
        <v>Steam turbine</v>
      </c>
      <c r="H1103" s="76" t="str">
        <f>C1103</f>
        <v>CHP with CCS</v>
      </c>
      <c r="I1103" s="161" t="str">
        <f t="shared" si="95"/>
        <v>L</v>
      </c>
      <c r="J1103" s="91" t="s">
        <v>112</v>
      </c>
      <c r="K1103" s="91" t="s">
        <v>112</v>
      </c>
      <c r="L1103" s="91" t="s">
        <v>112</v>
      </c>
      <c r="M1103" s="91" t="s">
        <v>112</v>
      </c>
      <c r="N1103" s="91" t="s">
        <v>112</v>
      </c>
      <c r="O1103" s="91" t="s">
        <v>112</v>
      </c>
      <c r="P1103" s="91" t="s">
        <v>112</v>
      </c>
      <c r="Q1103" s="91" t="s">
        <v>112</v>
      </c>
      <c r="R1103" s="91" t="s">
        <v>112</v>
      </c>
      <c r="S1103" s="91" t="s">
        <v>112</v>
      </c>
      <c r="T1103" s="91" t="s">
        <v>112</v>
      </c>
      <c r="U1103" s="91" t="s">
        <v>112</v>
      </c>
      <c r="V1103" s="91" t="s">
        <v>112</v>
      </c>
      <c r="W1103" s="91" t="s">
        <v>112</v>
      </c>
      <c r="X1103" s="91" t="s">
        <v>112</v>
      </c>
      <c r="Y1103" s="91" t="s">
        <v>112</v>
      </c>
      <c r="Z1103" s="91" t="s">
        <v>112</v>
      </c>
      <c r="AA1103" s="91" t="s">
        <v>112</v>
      </c>
      <c r="AB1103" s="91" t="s">
        <v>112</v>
      </c>
      <c r="AC1103" s="91" t="s">
        <v>112</v>
      </c>
      <c r="AD1103" s="91" t="s">
        <v>112</v>
      </c>
      <c r="AE1103" s="91">
        <v>2457.5</v>
      </c>
      <c r="AF1103" s="91">
        <v>2457.5</v>
      </c>
      <c r="AG1103" s="91">
        <v>2457.5</v>
      </c>
      <c r="AH1103" s="91">
        <v>2457.5</v>
      </c>
      <c r="AI1103" s="91">
        <v>2457.5</v>
      </c>
      <c r="AJ1103" s="91">
        <v>2457.5</v>
      </c>
      <c r="AK1103" s="91">
        <v>2457.5</v>
      </c>
      <c r="AL1103" s="91">
        <v>2457.5</v>
      </c>
      <c r="AM1103" s="91">
        <v>2457.5</v>
      </c>
      <c r="AN1103" s="91">
        <v>2457.5</v>
      </c>
      <c r="AO1103" s="91">
        <v>2457.5</v>
      </c>
      <c r="AP1103" s="91">
        <v>2457.5</v>
      </c>
      <c r="AQ1103" s="91">
        <v>2457.5</v>
      </c>
      <c r="AR1103" s="91">
        <v>2457.5</v>
      </c>
      <c r="AS1103" s="91">
        <v>2457.5</v>
      </c>
      <c r="AT1103" s="91">
        <v>2457.5</v>
      </c>
      <c r="AU1103" s="91">
        <v>2457.5</v>
      </c>
      <c r="AV1103" s="91">
        <v>2457.5</v>
      </c>
      <c r="AW1103" s="91">
        <v>2457.5</v>
      </c>
      <c r="AX1103" s="92">
        <v>2457.5</v>
      </c>
    </row>
    <row r="1104" spans="1:50" x14ac:dyDescent="0.25">
      <c r="A1104" s="357"/>
      <c r="B1104" s="367"/>
      <c r="C1104" s="354"/>
      <c r="D1104" s="4" t="s">
        <v>8</v>
      </c>
      <c r="E1104" s="168" t="str">
        <f>A1095&amp;"/"&amp;B1095&amp;"/"&amp;C1103&amp;"/"&amp;D1104</f>
        <v>Refinery gas fired power plants/Steam turbine/CHP with CCS/M</v>
      </c>
      <c r="F1104" s="80" t="str">
        <f>A1095</f>
        <v>Refinery gas fired power plants</v>
      </c>
      <c r="G1104" s="80" t="str">
        <f>B1095</f>
        <v>Steam turbine</v>
      </c>
      <c r="H1104" s="80" t="str">
        <f>C1103</f>
        <v>CHP with CCS</v>
      </c>
      <c r="I1104" s="169" t="str">
        <f t="shared" si="95"/>
        <v>M</v>
      </c>
      <c r="J1104" s="99" t="s">
        <v>112</v>
      </c>
      <c r="K1104" s="99" t="s">
        <v>112</v>
      </c>
      <c r="L1104" s="99" t="s">
        <v>112</v>
      </c>
      <c r="M1104" s="99" t="s">
        <v>112</v>
      </c>
      <c r="N1104" s="99" t="s">
        <v>112</v>
      </c>
      <c r="O1104" s="99" t="s">
        <v>112</v>
      </c>
      <c r="P1104" s="99" t="s">
        <v>112</v>
      </c>
      <c r="Q1104" s="99" t="s">
        <v>112</v>
      </c>
      <c r="R1104" s="99" t="s">
        <v>112</v>
      </c>
      <c r="S1104" s="99" t="s">
        <v>112</v>
      </c>
      <c r="T1104" s="99" t="s">
        <v>112</v>
      </c>
      <c r="U1104" s="99" t="s">
        <v>112</v>
      </c>
      <c r="V1104" s="99" t="s">
        <v>112</v>
      </c>
      <c r="W1104" s="99" t="s">
        <v>112</v>
      </c>
      <c r="X1104" s="99" t="s">
        <v>112</v>
      </c>
      <c r="Y1104" s="99" t="s">
        <v>112</v>
      </c>
      <c r="Z1104" s="99" t="s">
        <v>112</v>
      </c>
      <c r="AA1104" s="99" t="s">
        <v>112</v>
      </c>
      <c r="AB1104" s="99" t="s">
        <v>112</v>
      </c>
      <c r="AC1104" s="99" t="s">
        <v>112</v>
      </c>
      <c r="AD1104" s="99" t="s">
        <v>112</v>
      </c>
      <c r="AE1104" s="99">
        <v>3011.375</v>
      </c>
      <c r="AF1104" s="99">
        <v>3011.375</v>
      </c>
      <c r="AG1104" s="99">
        <v>3011.375</v>
      </c>
      <c r="AH1104" s="99">
        <v>3011.375</v>
      </c>
      <c r="AI1104" s="99">
        <v>3011.375</v>
      </c>
      <c r="AJ1104" s="99">
        <v>3011.375</v>
      </c>
      <c r="AK1104" s="99">
        <v>3011.375</v>
      </c>
      <c r="AL1104" s="99">
        <v>3011.375</v>
      </c>
      <c r="AM1104" s="99">
        <v>3011.375</v>
      </c>
      <c r="AN1104" s="99">
        <v>3011.375</v>
      </c>
      <c r="AO1104" s="99">
        <v>3011.375</v>
      </c>
      <c r="AP1104" s="99">
        <v>3011.375</v>
      </c>
      <c r="AQ1104" s="99">
        <v>3011.375</v>
      </c>
      <c r="AR1104" s="99">
        <v>3011.375</v>
      </c>
      <c r="AS1104" s="99">
        <v>3011.375</v>
      </c>
      <c r="AT1104" s="99">
        <v>3011.375</v>
      </c>
      <c r="AU1104" s="99">
        <v>3011.375</v>
      </c>
      <c r="AV1104" s="99">
        <v>3011.375</v>
      </c>
      <c r="AW1104" s="99">
        <v>3011.375</v>
      </c>
      <c r="AX1104" s="100">
        <v>3011.375</v>
      </c>
    </row>
    <row r="1105" spans="1:50" x14ac:dyDescent="0.25">
      <c r="A1105" s="355" t="s">
        <v>28</v>
      </c>
      <c r="B1105" s="358" t="s">
        <v>23</v>
      </c>
      <c r="C1105" s="353" t="s">
        <v>6</v>
      </c>
      <c r="D1105" s="3" t="s">
        <v>7</v>
      </c>
      <c r="E1105" s="162" t="str">
        <f>A1105&amp;"/"&amp;B1105&amp;"/"&amp;C1105&amp;"/"&amp;D1105</f>
        <v>Diesel oil fired power plants/Gas turbine combined cycle/Electricity only/L</v>
      </c>
      <c r="F1105" s="77" t="str">
        <f>A1105</f>
        <v>Diesel oil fired power plants</v>
      </c>
      <c r="G1105" s="77" t="str">
        <f>B1105</f>
        <v>Gas turbine combined cycle</v>
      </c>
      <c r="H1105" s="77" t="str">
        <f>C1105</f>
        <v>Electricity only</v>
      </c>
      <c r="I1105" s="163" t="str">
        <f t="shared" si="95"/>
        <v>L</v>
      </c>
      <c r="J1105" s="93">
        <v>990</v>
      </c>
      <c r="K1105" s="93">
        <v>989.29848477011274</v>
      </c>
      <c r="L1105" s="93">
        <v>988.45370597444935</v>
      </c>
      <c r="M1105" s="93">
        <v>987.43946928253217</v>
      </c>
      <c r="N1105" s="93">
        <v>986.22618997756695</v>
      </c>
      <c r="O1105" s="93">
        <v>984.78110086643221</v>
      </c>
      <c r="P1105" s="93">
        <v>983.06882092424166</v>
      </c>
      <c r="Q1105" s="93">
        <v>981.05242083767212</v>
      </c>
      <c r="R1105" s="93">
        <v>978.6951277210735</v>
      </c>
      <c r="S1105" s="93">
        <v>975.9627894766486</v>
      </c>
      <c r="T1105" s="93">
        <v>972.82715221182377</v>
      </c>
      <c r="U1105" s="93">
        <v>969.2698753928845</v>
      </c>
      <c r="V1105" s="93">
        <v>965.28701239089924</v>
      </c>
      <c r="W1105" s="93">
        <v>960.89343505107411</v>
      </c>
      <c r="X1105" s="93">
        <v>956.12643209086991</v>
      </c>
      <c r="Y1105" s="93">
        <v>951.04755391385152</v>
      </c>
      <c r="Z1105" s="93">
        <v>945.74182248482316</v>
      </c>
      <c r="AA1105" s="93">
        <v>940.31375862854134</v>
      </c>
      <c r="AB1105" s="93">
        <v>934.88029418961389</v>
      </c>
      <c r="AC1105" s="93">
        <v>929.56139373990266</v>
      </c>
      <c r="AD1105" s="93">
        <v>924.46986089346478</v>
      </c>
      <c r="AE1105" s="93">
        <v>919.70209009543794</v>
      </c>
      <c r="AF1105" s="93">
        <v>915.33131285001309</v>
      </c>
      <c r="AG1105" s="93">
        <v>911.40424891286057</v>
      </c>
      <c r="AH1105" s="93">
        <v>907.94125051338858</v>
      </c>
      <c r="AI1105" s="93">
        <v>904.93930920864989</v>
      </c>
      <c r="AJ1105" s="93">
        <v>902.37687940001808</v>
      </c>
      <c r="AK1105" s="93">
        <v>900.2194053507385</v>
      </c>
      <c r="AL1105" s="93">
        <v>898.42463615398049</v>
      </c>
      <c r="AM1105" s="93">
        <v>896.94713656322972</v>
      </c>
      <c r="AN1105" s="93">
        <v>895.74172625902929</v>
      </c>
      <c r="AO1105" s="93">
        <v>894.7658312270753</v>
      </c>
      <c r="AP1105" s="93">
        <v>893.98088503268286</v>
      </c>
      <c r="AQ1105" s="93">
        <v>893.35298584014095</v>
      </c>
      <c r="AR1105" s="93">
        <v>892.85302269453257</v>
      </c>
      <c r="AS1105" s="93">
        <v>892.45645822607253</v>
      </c>
      <c r="AT1105" s="93">
        <v>892.14291486995921</v>
      </c>
      <c r="AU1105" s="93">
        <v>891.89567071210672</v>
      </c>
      <c r="AV1105" s="93">
        <v>891.70113568042564</v>
      </c>
      <c r="AW1105" s="93">
        <v>891.54835126365867</v>
      </c>
      <c r="AX1105" s="94">
        <v>891.42853711530358</v>
      </c>
    </row>
    <row r="1106" spans="1:50" x14ac:dyDescent="0.25">
      <c r="A1106" s="356"/>
      <c r="B1106" s="359"/>
      <c r="C1106" s="360"/>
      <c r="D1106" s="2" t="s">
        <v>8</v>
      </c>
      <c r="E1106" s="160" t="str">
        <f>A1105&amp;"/"&amp;B1105&amp;"/"&amp;C1105&amp;"/"&amp;D1106</f>
        <v>Diesel oil fired power plants/Gas turbine combined cycle/Electricity only/M</v>
      </c>
      <c r="F1106" s="76" t="str">
        <f>A1105</f>
        <v>Diesel oil fired power plants</v>
      </c>
      <c r="G1106" s="76" t="str">
        <f>B1105</f>
        <v>Gas turbine combined cycle</v>
      </c>
      <c r="H1106" s="76" t="str">
        <f>C1105</f>
        <v>Electricity only</v>
      </c>
      <c r="I1106" s="161" t="str">
        <f t="shared" si="95"/>
        <v>M</v>
      </c>
      <c r="J1106" s="91">
        <v>1029.6000000000001</v>
      </c>
      <c r="K1106" s="91">
        <v>1029.3828981251872</v>
      </c>
      <c r="L1106" s="91">
        <v>1029.1050616888133</v>
      </c>
      <c r="M1106" s="91">
        <v>1028.7498340481045</v>
      </c>
      <c r="N1106" s="91">
        <v>1028.2962034142647</v>
      </c>
      <c r="O1106" s="91">
        <v>1027.7177995489405</v>
      </c>
      <c r="P1106" s="91">
        <v>1026.9817462205901</v>
      </c>
      <c r="Q1106" s="91">
        <v>1026.0474082981714</v>
      </c>
      <c r="R1106" s="91">
        <v>1024.8651235306065</v>
      </c>
      <c r="S1106" s="91">
        <v>1023.3750895262637</v>
      </c>
      <c r="T1106" s="91">
        <v>1021.5066941872961</v>
      </c>
      <c r="U1106" s="91">
        <v>1019.1787356368059</v>
      </c>
      <c r="V1106" s="91">
        <v>1016.3011635576099</v>
      </c>
      <c r="W1106" s="91">
        <v>1012.7791455985796</v>
      </c>
      <c r="X1106" s="91">
        <v>1008.5203278388324</v>
      </c>
      <c r="Y1106" s="91">
        <v>1003.4459616900626</v>
      </c>
      <c r="Z1106" s="91">
        <v>997.50591095630807</v>
      </c>
      <c r="AA1106" s="91">
        <v>990.69627720196888</v>
      </c>
      <c r="AB1106" s="91">
        <v>983.07656614216512</v>
      </c>
      <c r="AC1106" s="91">
        <v>974.78150055062383</v>
      </c>
      <c r="AD1106" s="91">
        <v>966.02183193985684</v>
      </c>
      <c r="AE1106" s="91">
        <v>957.070012877164</v>
      </c>
      <c r="AF1106" s="91">
        <v>948.23077046945775</v>
      </c>
      <c r="AG1106" s="91">
        <v>939.80219384643442</v>
      </c>
      <c r="AH1106" s="91">
        <v>932.03715085899285</v>
      </c>
      <c r="AI1106" s="91">
        <v>925.11512351723991</v>
      </c>
      <c r="AJ1106" s="91">
        <v>919.13055025758297</v>
      </c>
      <c r="AK1106" s="91">
        <v>914.0977372195506</v>
      </c>
      <c r="AL1106" s="91">
        <v>909.96749673648526</v>
      </c>
      <c r="AM1106" s="91">
        <v>906.64876754737452</v>
      </c>
      <c r="AN1106" s="91">
        <v>904.02940188952812</v>
      </c>
      <c r="AO1106" s="91">
        <v>901.99265817129685</v>
      </c>
      <c r="AP1106" s="91">
        <v>900.42828870079359</v>
      </c>
      <c r="AQ1106" s="91">
        <v>899.23869855694954</v>
      </c>
      <c r="AR1106" s="91">
        <v>898.34137262428123</v>
      </c>
      <c r="AS1106" s="91">
        <v>897.66886686096325</v>
      </c>
      <c r="AT1106" s="91">
        <v>897.1674407206765</v>
      </c>
      <c r="AU1106" s="91">
        <v>896.79509444973303</v>
      </c>
      <c r="AV1106" s="91">
        <v>896.51948827230967</v>
      </c>
      <c r="AW1106" s="91">
        <v>896.31600422635768</v>
      </c>
      <c r="AX1106" s="92">
        <v>896.16606767974008</v>
      </c>
    </row>
    <row r="1107" spans="1:50" x14ac:dyDescent="0.25">
      <c r="A1107" s="356"/>
      <c r="B1107" s="359"/>
      <c r="C1107" s="361" t="s">
        <v>14</v>
      </c>
      <c r="D1107" s="58" t="s">
        <v>7</v>
      </c>
      <c r="E1107" s="164" t="str">
        <f>A1105&amp;"/"&amp;B1105&amp;"/"&amp;C1107&amp;"/"&amp;D1107</f>
        <v>Diesel oil fired power plants/Gas turbine combined cycle/CHP/L</v>
      </c>
      <c r="F1107" s="78" t="str">
        <f>A1105</f>
        <v>Diesel oil fired power plants</v>
      </c>
      <c r="G1107" s="78" t="str">
        <f>B1105</f>
        <v>Gas turbine combined cycle</v>
      </c>
      <c r="H1107" s="78" t="str">
        <f>C1107</f>
        <v>CHP</v>
      </c>
      <c r="I1107" s="165" t="str">
        <f t="shared" si="95"/>
        <v>L</v>
      </c>
      <c r="J1107" s="95">
        <v>1315</v>
      </c>
      <c r="K1107" s="95">
        <v>1314.2545514930894</v>
      </c>
      <c r="L1107" s="95">
        <v>1313.3568673587076</v>
      </c>
      <c r="M1107" s="95">
        <v>1312.2791128133574</v>
      </c>
      <c r="N1107" s="95">
        <v>1310.9898503600002</v>
      </c>
      <c r="O1107" s="95">
        <v>1309.4542607186734</v>
      </c>
      <c r="P1107" s="95">
        <v>1307.6347470831333</v>
      </c>
      <c r="Q1107" s="95">
        <v>1305.4920673951829</v>
      </c>
      <c r="R1107" s="95">
        <v>1302.987145820777</v>
      </c>
      <c r="S1107" s="95">
        <v>1300.083691443873</v>
      </c>
      <c r="T1107" s="95">
        <v>1296.7516809362005</v>
      </c>
      <c r="U1107" s="95">
        <v>1292.9716251649641</v>
      </c>
      <c r="V1107" s="95">
        <v>1288.739330338612</v>
      </c>
      <c r="W1107" s="95">
        <v>1284.0705996704344</v>
      </c>
      <c r="X1107" s="95">
        <v>1279.0050571309041</v>
      </c>
      <c r="Y1107" s="95">
        <v>1273.6081077953249</v>
      </c>
      <c r="Z1107" s="95">
        <v>1267.9700982363979</v>
      </c>
      <c r="AA1107" s="95">
        <v>1262.2020950275005</v>
      </c>
      <c r="AB1107" s="95">
        <v>1256.4283530176504</v>
      </c>
      <c r="AC1107" s="95">
        <v>1250.7763497114925</v>
      </c>
      <c r="AD1107" s="95">
        <v>1245.3659531918433</v>
      </c>
      <c r="AE1107" s="95">
        <v>1240.2995947276775</v>
      </c>
      <c r="AF1107" s="95">
        <v>1235.6550920385996</v>
      </c>
      <c r="AG1107" s="95">
        <v>1231.4820907639689</v>
      </c>
      <c r="AH1107" s="95">
        <v>1227.8022177172572</v>
      </c>
      <c r="AI1107" s="95">
        <v>1224.6122760479795</v>
      </c>
      <c r="AJ1107" s="95">
        <v>1221.8893708371909</v>
      </c>
      <c r="AK1107" s="95">
        <v>1219.5967822514917</v>
      </c>
      <c r="AL1107" s="95">
        <v>1217.6896133676642</v>
      </c>
      <c r="AM1107" s="95">
        <v>1216.1195834995128</v>
      </c>
      <c r="AN1107" s="95">
        <v>1214.838682853029</v>
      </c>
      <c r="AO1107" s="95">
        <v>1213.8016711625082</v>
      </c>
      <c r="AP1107" s="95">
        <v>1212.9675667215984</v>
      </c>
      <c r="AQ1107" s="95">
        <v>1212.3003445493214</v>
      </c>
      <c r="AR1107" s="95">
        <v>1211.7690705804528</v>
      </c>
      <c r="AS1107" s="95">
        <v>1211.3476707614427</v>
      </c>
      <c r="AT1107" s="95">
        <v>1211.0144913567647</v>
      </c>
      <c r="AU1107" s="95">
        <v>1210.7517632213498</v>
      </c>
      <c r="AV1107" s="95">
        <v>1210.5450451876845</v>
      </c>
      <c r="AW1107" s="95">
        <v>1210.382692453908</v>
      </c>
      <c r="AX1107" s="96">
        <v>1210.2553747932316</v>
      </c>
    </row>
    <row r="1108" spans="1:50" x14ac:dyDescent="0.25">
      <c r="A1108" s="356"/>
      <c r="B1108" s="359"/>
      <c r="C1108" s="360"/>
      <c r="D1108" s="59" t="s">
        <v>8</v>
      </c>
      <c r="E1108" s="166" t="str">
        <f>A1105&amp;"/"&amp;B1105&amp;"/"&amp;C1107&amp;"/"&amp;D1108</f>
        <v>Diesel oil fired power plants/Gas turbine combined cycle/CHP/M</v>
      </c>
      <c r="F1108" s="79" t="str">
        <f>A1105</f>
        <v>Diesel oil fired power plants</v>
      </c>
      <c r="G1108" s="79" t="str">
        <f>B1105</f>
        <v>Gas turbine combined cycle</v>
      </c>
      <c r="H1108" s="79" t="str">
        <f>C1107</f>
        <v>CHP</v>
      </c>
      <c r="I1108" s="167" t="str">
        <f t="shared" si="95"/>
        <v>M</v>
      </c>
      <c r="J1108" s="97">
        <v>1419.6000000000001</v>
      </c>
      <c r="K1108" s="97">
        <v>1419.3697404358047</v>
      </c>
      <c r="L1108" s="97">
        <v>1419.0750654275294</v>
      </c>
      <c r="M1108" s="97">
        <v>1418.6983088388988</v>
      </c>
      <c r="N1108" s="97">
        <v>1418.2171854393716</v>
      </c>
      <c r="O1108" s="97">
        <v>1417.6037267943309</v>
      </c>
      <c r="P1108" s="97">
        <v>1416.823064173353</v>
      </c>
      <c r="Q1108" s="97">
        <v>1415.8320997101819</v>
      </c>
      <c r="R1108" s="97">
        <v>1414.5781613203403</v>
      </c>
      <c r="S1108" s="97">
        <v>1412.9978222248251</v>
      </c>
      <c r="T1108" s="97">
        <v>1411.016190804708</v>
      </c>
      <c r="U1108" s="97">
        <v>1408.5471438572183</v>
      </c>
      <c r="V1108" s="97">
        <v>1405.4951734701922</v>
      </c>
      <c r="W1108" s="97">
        <v>1401.7596998772813</v>
      </c>
      <c r="X1108" s="97">
        <v>1397.2427719502766</v>
      </c>
      <c r="Y1108" s="97">
        <v>1391.8608684591572</v>
      </c>
      <c r="Z1108" s="97">
        <v>1385.5608146506299</v>
      </c>
      <c r="AA1108" s="97">
        <v>1378.3384758202701</v>
      </c>
      <c r="AB1108" s="97">
        <v>1370.2569640901752</v>
      </c>
      <c r="AC1108" s="97">
        <v>1361.4591672506615</v>
      </c>
      <c r="AD1108" s="97">
        <v>1352.1686096331816</v>
      </c>
      <c r="AE1108" s="97">
        <v>1342.6742560818407</v>
      </c>
      <c r="AF1108" s="97">
        <v>1333.2993020130612</v>
      </c>
      <c r="AG1108" s="97">
        <v>1324.3599025644</v>
      </c>
      <c r="AH1108" s="97">
        <v>1316.124250911053</v>
      </c>
      <c r="AI1108" s="97">
        <v>1308.7827067607091</v>
      </c>
      <c r="AJ1108" s="97">
        <v>1302.4354320913758</v>
      </c>
      <c r="AK1108" s="97">
        <v>1297.0976000813416</v>
      </c>
      <c r="AL1108" s="97">
        <v>1292.717041993242</v>
      </c>
      <c r="AM1108" s="97">
        <v>1289.1971777017609</v>
      </c>
      <c r="AN1108" s="97">
        <v>1286.4190626101056</v>
      </c>
      <c r="AO1108" s="97">
        <v>1284.2588798786483</v>
      </c>
      <c r="AP1108" s="97">
        <v>1282.5997001372052</v>
      </c>
      <c r="AQ1108" s="97">
        <v>1281.3380136210071</v>
      </c>
      <c r="AR1108" s="97">
        <v>1280.3863042984801</v>
      </c>
      <c r="AS1108" s="97">
        <v>1279.6730406101126</v>
      </c>
      <c r="AT1108" s="97">
        <v>1279.1412250067781</v>
      </c>
      <c r="AU1108" s="97">
        <v>1278.7463122951715</v>
      </c>
      <c r="AV1108" s="97">
        <v>1278.4540027130558</v>
      </c>
      <c r="AW1108" s="97">
        <v>1278.2381863006824</v>
      </c>
      <c r="AX1108" s="98">
        <v>1278.0791626906334</v>
      </c>
    </row>
    <row r="1109" spans="1:50" x14ac:dyDescent="0.25">
      <c r="A1109" s="356"/>
      <c r="B1109" s="359"/>
      <c r="C1109" s="361" t="s">
        <v>15</v>
      </c>
      <c r="D1109" s="58" t="s">
        <v>7</v>
      </c>
      <c r="E1109" s="164" t="str">
        <f>A1105&amp;"/"&amp;B1105&amp;"/"&amp;C1109&amp;"/"&amp;D1109</f>
        <v>Diesel oil fired power plants/Gas turbine combined cycle/Electricity only with CCS/L</v>
      </c>
      <c r="F1109" s="78" t="str">
        <f>A1105</f>
        <v>Diesel oil fired power plants</v>
      </c>
      <c r="G1109" s="78" t="str">
        <f>B1105</f>
        <v>Gas turbine combined cycle</v>
      </c>
      <c r="H1109" s="78" t="str">
        <f>C1109</f>
        <v>Electricity only with CCS</v>
      </c>
      <c r="I1109" s="165" t="str">
        <f t="shared" si="95"/>
        <v>L</v>
      </c>
      <c r="J1109" s="95" t="s">
        <v>112</v>
      </c>
      <c r="K1109" s="95" t="s">
        <v>112</v>
      </c>
      <c r="L1109" s="95" t="s">
        <v>112</v>
      </c>
      <c r="M1109" s="95" t="s">
        <v>112</v>
      </c>
      <c r="N1109" s="95" t="s">
        <v>112</v>
      </c>
      <c r="O1109" s="95" t="s">
        <v>112</v>
      </c>
      <c r="P1109" s="95" t="s">
        <v>112</v>
      </c>
      <c r="Q1109" s="95" t="s">
        <v>112</v>
      </c>
      <c r="R1109" s="95" t="s">
        <v>112</v>
      </c>
      <c r="S1109" s="95" t="s">
        <v>112</v>
      </c>
      <c r="T1109" s="95" t="s">
        <v>112</v>
      </c>
      <c r="U1109" s="95" t="s">
        <v>112</v>
      </c>
      <c r="V1109" s="95" t="s">
        <v>112</v>
      </c>
      <c r="W1109" s="95" t="s">
        <v>112</v>
      </c>
      <c r="X1109" s="95" t="s">
        <v>112</v>
      </c>
      <c r="Y1109" s="95" t="s">
        <v>112</v>
      </c>
      <c r="Z1109" s="95" t="s">
        <v>112</v>
      </c>
      <c r="AA1109" s="95" t="s">
        <v>112</v>
      </c>
      <c r="AB1109" s="95" t="s">
        <v>112</v>
      </c>
      <c r="AC1109" s="95" t="s">
        <v>112</v>
      </c>
      <c r="AD1109" s="95" t="s">
        <v>112</v>
      </c>
      <c r="AE1109" s="95">
        <v>1878.0936801657808</v>
      </c>
      <c r="AF1109" s="95">
        <v>1877.2725769255999</v>
      </c>
      <c r="AG1109" s="95">
        <v>1876.2210738537897</v>
      </c>
      <c r="AH1109" s="95">
        <v>1874.8755377560417</v>
      </c>
      <c r="AI1109" s="95">
        <v>1873.1554121735658</v>
      </c>
      <c r="AJ1109" s="95">
        <v>1870.9591332533105</v>
      </c>
      <c r="AK1109" s="95">
        <v>1868.1593286501854</v>
      </c>
      <c r="AL1109" s="95">
        <v>1864.5973557586001</v>
      </c>
      <c r="AM1109" s="95">
        <v>1860.0773915037948</v>
      </c>
      <c r="AN1109" s="95">
        <v>1854.3605481233462</v>
      </c>
      <c r="AO1109" s="95">
        <v>1847.1599011212702</v>
      </c>
      <c r="AP1109" s="95">
        <v>1838.1379183145546</v>
      </c>
      <c r="AQ1109" s="95">
        <v>1826.9085879155277</v>
      </c>
      <c r="AR1109" s="95">
        <v>1813.0474986575496</v>
      </c>
      <c r="AS1109" s="95">
        <v>1796.1140072258133</v>
      </c>
      <c r="AT1109" s="95">
        <v>1775.6899508309602</v>
      </c>
      <c r="AU1109" s="95">
        <v>1751.4382873205348</v>
      </c>
      <c r="AV1109" s="95">
        <v>1723.1814607535414</v>
      </c>
      <c r="AW1109" s="95">
        <v>1690.9922812374375</v>
      </c>
      <c r="AX1109" s="96">
        <v>1655.2799999999997</v>
      </c>
    </row>
    <row r="1110" spans="1:50" x14ac:dyDescent="0.25">
      <c r="A1110" s="356"/>
      <c r="B1110" s="359"/>
      <c r="C1110" s="360"/>
      <c r="D1110" s="59" t="s">
        <v>8</v>
      </c>
      <c r="E1110" s="166" t="str">
        <f>A1105&amp;"/"&amp;B1105&amp;"/"&amp;C1109&amp;"/"&amp;D1110</f>
        <v>Diesel oil fired power plants/Gas turbine combined cycle/Electricity only with CCS/M</v>
      </c>
      <c r="F1110" s="79" t="str">
        <f>A1105</f>
        <v>Diesel oil fired power plants</v>
      </c>
      <c r="G1110" s="79" t="str">
        <f>B1105</f>
        <v>Gas turbine combined cycle</v>
      </c>
      <c r="H1110" s="79" t="str">
        <f>C1109</f>
        <v>Electricity only with CCS</v>
      </c>
      <c r="I1110" s="167" t="str">
        <f t="shared" si="95"/>
        <v>M</v>
      </c>
      <c r="J1110" s="97" t="s">
        <v>112</v>
      </c>
      <c r="K1110" s="97" t="s">
        <v>112</v>
      </c>
      <c r="L1110" s="97" t="s">
        <v>112</v>
      </c>
      <c r="M1110" s="97" t="s">
        <v>112</v>
      </c>
      <c r="N1110" s="97" t="s">
        <v>112</v>
      </c>
      <c r="O1110" s="97" t="s">
        <v>112</v>
      </c>
      <c r="P1110" s="97" t="s">
        <v>112</v>
      </c>
      <c r="Q1110" s="97" t="s">
        <v>112</v>
      </c>
      <c r="R1110" s="97" t="s">
        <v>112</v>
      </c>
      <c r="S1110" s="97" t="s">
        <v>112</v>
      </c>
      <c r="T1110" s="97" t="s">
        <v>112</v>
      </c>
      <c r="U1110" s="97" t="s">
        <v>112</v>
      </c>
      <c r="V1110" s="97" t="s">
        <v>112</v>
      </c>
      <c r="W1110" s="97" t="s">
        <v>112</v>
      </c>
      <c r="X1110" s="97" t="s">
        <v>112</v>
      </c>
      <c r="Y1110" s="97" t="s">
        <v>112</v>
      </c>
      <c r="Z1110" s="97" t="s">
        <v>112</v>
      </c>
      <c r="AA1110" s="97" t="s">
        <v>112</v>
      </c>
      <c r="AB1110" s="97" t="s">
        <v>112</v>
      </c>
      <c r="AC1110" s="97" t="s">
        <v>112</v>
      </c>
      <c r="AD1110" s="97" t="s">
        <v>112</v>
      </c>
      <c r="AE1110" s="97">
        <v>1962.3666888780626</v>
      </c>
      <c r="AF1110" s="97">
        <v>1961.5803384723895</v>
      </c>
      <c r="AG1110" s="97">
        <v>1960.5733398069083</v>
      </c>
      <c r="AH1110" s="97">
        <v>1959.2847529343499</v>
      </c>
      <c r="AI1110" s="97">
        <v>1957.6374309127111</v>
      </c>
      <c r="AJ1110" s="97">
        <v>1955.5341085344755</v>
      </c>
      <c r="AK1110" s="97">
        <v>1952.8528044331933</v>
      </c>
      <c r="AL1110" s="97">
        <v>1949.4415904819755</v>
      </c>
      <c r="AM1110" s="97">
        <v>1945.1129317318146</v>
      </c>
      <c r="AN1110" s="97">
        <v>1939.638051240056</v>
      </c>
      <c r="AO1110" s="97">
        <v>1932.742168464164</v>
      </c>
      <c r="AP1110" s="97">
        <v>1924.1020371227326</v>
      </c>
      <c r="AQ1110" s="97">
        <v>1913.3479832076996</v>
      </c>
      <c r="AR1110" s="97">
        <v>1900.0735584731406</v>
      </c>
      <c r="AS1110" s="97">
        <v>1883.8567696392824</v>
      </c>
      <c r="AT1110" s="97">
        <v>1864.2971524734221</v>
      </c>
      <c r="AU1110" s="97">
        <v>1841.0719299843809</v>
      </c>
      <c r="AV1110" s="97">
        <v>1814.0110612084904</v>
      </c>
      <c r="AW1110" s="97">
        <v>1783.1842745973445</v>
      </c>
      <c r="AX1110" s="98">
        <v>1748.9835</v>
      </c>
    </row>
    <row r="1111" spans="1:50" x14ac:dyDescent="0.25">
      <c r="A1111" s="356"/>
      <c r="B1111" s="359"/>
      <c r="C1111" s="361" t="s">
        <v>16</v>
      </c>
      <c r="D1111" s="2" t="s">
        <v>7</v>
      </c>
      <c r="E1111" s="160" t="str">
        <f>A1105&amp;"/"&amp;B1105&amp;"/"&amp;C1111&amp;"/"&amp;D1111</f>
        <v>Diesel oil fired power plants/Gas turbine combined cycle/CHP with CCS/L</v>
      </c>
      <c r="F1111" s="76" t="str">
        <f>A1105</f>
        <v>Diesel oil fired power plants</v>
      </c>
      <c r="G1111" s="76" t="str">
        <f>B1105</f>
        <v>Gas turbine combined cycle</v>
      </c>
      <c r="H1111" s="76" t="str">
        <f>C1111</f>
        <v>CHP with CCS</v>
      </c>
      <c r="I1111" s="161" t="str">
        <f t="shared" si="95"/>
        <v>L</v>
      </c>
      <c r="J1111" s="91" t="s">
        <v>112</v>
      </c>
      <c r="K1111" s="91" t="s">
        <v>112</v>
      </c>
      <c r="L1111" s="91" t="s">
        <v>112</v>
      </c>
      <c r="M1111" s="91" t="s">
        <v>112</v>
      </c>
      <c r="N1111" s="91" t="s">
        <v>112</v>
      </c>
      <c r="O1111" s="91" t="s">
        <v>112</v>
      </c>
      <c r="P1111" s="91" t="s">
        <v>112</v>
      </c>
      <c r="Q1111" s="91" t="s">
        <v>112</v>
      </c>
      <c r="R1111" s="91" t="s">
        <v>112</v>
      </c>
      <c r="S1111" s="91" t="s">
        <v>112</v>
      </c>
      <c r="T1111" s="91" t="s">
        <v>112</v>
      </c>
      <c r="U1111" s="91" t="s">
        <v>112</v>
      </c>
      <c r="V1111" s="91" t="s">
        <v>112</v>
      </c>
      <c r="W1111" s="91" t="s">
        <v>112</v>
      </c>
      <c r="X1111" s="91" t="s">
        <v>112</v>
      </c>
      <c r="Y1111" s="91" t="s">
        <v>112</v>
      </c>
      <c r="Z1111" s="91" t="s">
        <v>112</v>
      </c>
      <c r="AA1111" s="91" t="s">
        <v>112</v>
      </c>
      <c r="AB1111" s="91" t="s">
        <v>112</v>
      </c>
      <c r="AC1111" s="91" t="s">
        <v>112</v>
      </c>
      <c r="AD1111" s="91" t="s">
        <v>112</v>
      </c>
      <c r="AE1111" s="91">
        <v>2203.4135926068602</v>
      </c>
      <c r="AF1111" s="91">
        <v>2202.6784496437426</v>
      </c>
      <c r="AG1111" s="91">
        <v>2201.7366697692828</v>
      </c>
      <c r="AH1111" s="91">
        <v>2200.530952576913</v>
      </c>
      <c r="AI1111" s="91">
        <v>2198.9886100065737</v>
      </c>
      <c r="AJ1111" s="91">
        <v>2197.0177554901652</v>
      </c>
      <c r="AK1111" s="91">
        <v>2194.5027564712846</v>
      </c>
      <c r="AL1111" s="91">
        <v>2191.2989467807233</v>
      </c>
      <c r="AM1111" s="91">
        <v>2187.2267082087051</v>
      </c>
      <c r="AN1111" s="91">
        <v>2182.065229449041</v>
      </c>
      <c r="AO1111" s="91">
        <v>2175.5465755892446</v>
      </c>
      <c r="AP1111" s="91">
        <v>2167.3511975558795</v>
      </c>
      <c r="AQ1111" s="91">
        <v>2157.1067135384842</v>
      </c>
      <c r="AR1111" s="91">
        <v>2144.392694615854</v>
      </c>
      <c r="AS1111" s="91">
        <v>2128.7551683041511</v>
      </c>
      <c r="AT1111" s="91">
        <v>2109.7352957167805</v>
      </c>
      <c r="AU1111" s="91">
        <v>2086.9165473911435</v>
      </c>
      <c r="AV1111" s="91">
        <v>2059.9927202567546</v>
      </c>
      <c r="AW1111" s="91">
        <v>2028.8541956137838</v>
      </c>
      <c r="AX1111" s="92">
        <v>1993.6813999577589</v>
      </c>
    </row>
    <row r="1112" spans="1:50" x14ac:dyDescent="0.25">
      <c r="A1112" s="356"/>
      <c r="B1112" s="362"/>
      <c r="C1112" s="354"/>
      <c r="D1112" s="4" t="s">
        <v>8</v>
      </c>
      <c r="E1112" s="168" t="str">
        <f>A1105&amp;"/"&amp;B1105&amp;"/"&amp;C1111&amp;"/"&amp;D1112</f>
        <v>Diesel oil fired power plants/Gas turbine combined cycle/CHP with CCS/M</v>
      </c>
      <c r="F1112" s="80" t="str">
        <f>A1105</f>
        <v>Diesel oil fired power plants</v>
      </c>
      <c r="G1112" s="80" t="str">
        <f>B1105</f>
        <v>Gas turbine combined cycle</v>
      </c>
      <c r="H1112" s="80" t="str">
        <f>C1111</f>
        <v>CHP with CCS</v>
      </c>
      <c r="I1112" s="169" t="str">
        <f t="shared" si="95"/>
        <v>M</v>
      </c>
      <c r="J1112" s="99" t="s">
        <v>112</v>
      </c>
      <c r="K1112" s="99" t="s">
        <v>112</v>
      </c>
      <c r="L1112" s="99" t="s">
        <v>112</v>
      </c>
      <c r="M1112" s="99" t="s">
        <v>112</v>
      </c>
      <c r="N1112" s="99" t="s">
        <v>112</v>
      </c>
      <c r="O1112" s="99" t="s">
        <v>112</v>
      </c>
      <c r="P1112" s="99" t="s">
        <v>112</v>
      </c>
      <c r="Q1112" s="99" t="s">
        <v>112</v>
      </c>
      <c r="R1112" s="99" t="s">
        <v>112</v>
      </c>
      <c r="S1112" s="99" t="s">
        <v>112</v>
      </c>
      <c r="T1112" s="99" t="s">
        <v>112</v>
      </c>
      <c r="U1112" s="99" t="s">
        <v>112</v>
      </c>
      <c r="V1112" s="99" t="s">
        <v>112</v>
      </c>
      <c r="W1112" s="99" t="s">
        <v>112</v>
      </c>
      <c r="X1112" s="99" t="s">
        <v>112</v>
      </c>
      <c r="Y1112" s="99" t="s">
        <v>112</v>
      </c>
      <c r="Z1112" s="99" t="s">
        <v>112</v>
      </c>
      <c r="AA1112" s="99" t="s">
        <v>112</v>
      </c>
      <c r="AB1112" s="99" t="s">
        <v>112</v>
      </c>
      <c r="AC1112" s="99" t="s">
        <v>112</v>
      </c>
      <c r="AD1112" s="99" t="s">
        <v>112</v>
      </c>
      <c r="AE1112" s="99">
        <v>2352.6397480540868</v>
      </c>
      <c r="AF1112" s="99">
        <v>2351.9262510007666</v>
      </c>
      <c r="AG1112" s="99">
        <v>2351.0122013546224</v>
      </c>
      <c r="AH1112" s="99">
        <v>2349.8419858903476</v>
      </c>
      <c r="AI1112" s="99">
        <v>2348.3450568107569</v>
      </c>
      <c r="AJ1112" s="99">
        <v>2346.432233100908</v>
      </c>
      <c r="AK1112" s="99">
        <v>2343.9912869460754</v>
      </c>
      <c r="AL1112" s="99">
        <v>2340.8818117986571</v>
      </c>
      <c r="AM1112" s="99">
        <v>2336.9294782155002</v>
      </c>
      <c r="AN1112" s="99">
        <v>2331.919976566764</v>
      </c>
      <c r="AO1112" s="99">
        <v>2325.5932611468761</v>
      </c>
      <c r="AP1112" s="99">
        <v>2317.6391918419722</v>
      </c>
      <c r="AQ1112" s="99">
        <v>2307.6963514341719</v>
      </c>
      <c r="AR1112" s="99">
        <v>2295.3566903175342</v>
      </c>
      <c r="AS1112" s="99">
        <v>2280.1796029965885</v>
      </c>
      <c r="AT1112" s="99">
        <v>2261.7197608618544</v>
      </c>
      <c r="AU1112" s="99">
        <v>2239.5728989484269</v>
      </c>
      <c r="AV1112" s="99">
        <v>2213.4418301791384</v>
      </c>
      <c r="AW1112" s="99">
        <v>2183.2201635208949</v>
      </c>
      <c r="AX1112" s="100">
        <v>2149.0830129030401</v>
      </c>
    </row>
    <row r="1113" spans="1:50" x14ac:dyDescent="0.25">
      <c r="A1113" s="356"/>
      <c r="B1113" s="358" t="s">
        <v>24</v>
      </c>
      <c r="C1113" s="353" t="s">
        <v>6</v>
      </c>
      <c r="D1113" s="3" t="s">
        <v>7</v>
      </c>
      <c r="E1113" s="162" t="str">
        <f>A1105&amp;"/"&amp;B1113&amp;"/"&amp;C1113&amp;"/"&amp;D1113</f>
        <v>Diesel oil fired power plants/Gas turbine /Electricity only/L</v>
      </c>
      <c r="F1113" s="77" t="str">
        <f>A1105</f>
        <v>Diesel oil fired power plants</v>
      </c>
      <c r="G1113" s="77" t="str">
        <f>B1113</f>
        <v xml:space="preserve">Gas turbine </v>
      </c>
      <c r="H1113" s="77" t="str">
        <f>C1113</f>
        <v>Electricity only</v>
      </c>
      <c r="I1113" s="163" t="str">
        <f t="shared" si="95"/>
        <v>L</v>
      </c>
      <c r="J1113" s="93">
        <v>580</v>
      </c>
      <c r="K1113" s="93">
        <v>579.90205787638797</v>
      </c>
      <c r="L1113" s="93">
        <v>579.79450563973</v>
      </c>
      <c r="M1113" s="93">
        <v>579.67647731450745</v>
      </c>
      <c r="N1113" s="93">
        <v>579.54704518443464</v>
      </c>
      <c r="O1113" s="93">
        <v>579.40521891448407</v>
      </c>
      <c r="P1113" s="93">
        <v>579.2499455474084</v>
      </c>
      <c r="Q1113" s="93">
        <v>579.08011059806142</v>
      </c>
      <c r="R1113" s="93">
        <v>578.89454049847927</v>
      </c>
      <c r="S1113" s="93">
        <v>578.69200667532687</v>
      </c>
      <c r="T1113" s="93">
        <v>578.47123156693476</v>
      </c>
      <c r="U1113" s="93">
        <v>578.23089690713971</v>
      </c>
      <c r="V1113" s="93">
        <v>577.96965461417176</v>
      </c>
      <c r="W1113" s="93">
        <v>577.68614062084168</v>
      </c>
      <c r="X1113" s="93">
        <v>577.37899196255046</v>
      </c>
      <c r="Y1113" s="93">
        <v>577.04686739683393</v>
      </c>
      <c r="Z1113" s="93">
        <v>576.68847175667815</v>
      </c>
      <c r="AA1113" s="93">
        <v>576.30258413419313</v>
      </c>
      <c r="AB1113" s="93">
        <v>575.88808984669504</v>
      </c>
      <c r="AC1113" s="93">
        <v>575.44401595065597</v>
      </c>
      <c r="AD1113" s="93">
        <v>574.96956983982716</v>
      </c>
      <c r="AE1113" s="93">
        <v>574.46418019538908</v>
      </c>
      <c r="AF1113" s="93">
        <v>573.92753925650152</v>
      </c>
      <c r="AG1113" s="93">
        <v>573.35964506342964</v>
      </c>
      <c r="AH1113" s="93">
        <v>572.76084201349579</v>
      </c>
      <c r="AI1113" s="93">
        <v>572.1318577900779</v>
      </c>
      <c r="AJ1113" s="93">
        <v>571.4738345099106</v>
      </c>
      <c r="AK1113" s="93">
        <v>570.78835182048351</v>
      </c>
      <c r="AL1113" s="93">
        <v>570.07743970338618</v>
      </c>
      <c r="AM1113" s="93">
        <v>569.34357893173592</v>
      </c>
      <c r="AN1113" s="93">
        <v>568.5896875101181</v>
      </c>
      <c r="AO1113" s="93">
        <v>567.81909199697418</v>
      </c>
      <c r="AP1113" s="93">
        <v>567.03548335414007</v>
      </c>
      <c r="AQ1113" s="93">
        <v>566.24285784491133</v>
      </c>
      <c r="AR1113" s="93">
        <v>565.44544444674443</v>
      </c>
      <c r="AS1113" s="93">
        <v>564.64762117609257</v>
      </c>
      <c r="AT1113" s="93">
        <v>563.85382355049296</v>
      </c>
      <c r="AU1113" s="93">
        <v>563.06844904892921</v>
      </c>
      <c r="AV1113" s="93">
        <v>562.29576180259778</v>
      </c>
      <c r="AW1113" s="93">
        <v>561.53980180761198</v>
      </c>
      <c r="AX1113" s="94">
        <v>560.80430268596444</v>
      </c>
    </row>
    <row r="1114" spans="1:50" x14ac:dyDescent="0.25">
      <c r="A1114" s="356"/>
      <c r="B1114" s="359"/>
      <c r="C1114" s="350"/>
      <c r="D1114" s="2" t="s">
        <v>8</v>
      </c>
      <c r="E1114" s="160" t="str">
        <f>A1105&amp;"/"&amp;B1113&amp;"/"&amp;C1113&amp;"/"&amp;D1114</f>
        <v>Diesel oil fired power plants/Gas turbine /Electricity only/M</v>
      </c>
      <c r="F1114" s="76" t="str">
        <f>A1105</f>
        <v>Diesel oil fired power plants</v>
      </c>
      <c r="G1114" s="76" t="str">
        <f>B1113</f>
        <v xml:space="preserve">Gas turbine </v>
      </c>
      <c r="H1114" s="76" t="str">
        <f>C1113</f>
        <v>Electricity only</v>
      </c>
      <c r="I1114" s="161" t="str">
        <f t="shared" si="95"/>
        <v>M</v>
      </c>
      <c r="J1114" s="91">
        <v>606.09999999999991</v>
      </c>
      <c r="K1114" s="91">
        <v>605.99671555135524</v>
      </c>
      <c r="L1114" s="91">
        <v>605.88326285835228</v>
      </c>
      <c r="M1114" s="91">
        <v>605.75871858374569</v>
      </c>
      <c r="N1114" s="91">
        <v>605.62209207214653</v>
      </c>
      <c r="O1114" s="91">
        <v>605.47232403297471</v>
      </c>
      <c r="P1114" s="91">
        <v>605.30828609674484</v>
      </c>
      <c r="Q1114" s="91">
        <v>605.12878148047844</v>
      </c>
      <c r="R1114" s="91">
        <v>604.93254703206503</v>
      </c>
      <c r="S1114" s="91">
        <v>604.71825695740108</v>
      </c>
      <c r="T1114" s="91">
        <v>604.48452856620395</v>
      </c>
      <c r="U1114" s="91">
        <v>604.22993039998778</v>
      </c>
      <c r="V1114" s="91">
        <v>603.95299312542522</v>
      </c>
      <c r="W1114" s="91">
        <v>603.65222358403048</v>
      </c>
      <c r="X1114" s="91">
        <v>603.3261223796884</v>
      </c>
      <c r="Y1114" s="91">
        <v>602.9732053531643</v>
      </c>
      <c r="Z1114" s="91">
        <v>602.59202923084138</v>
      </c>
      <c r="AA1114" s="91">
        <v>602.18122163681539</v>
      </c>
      <c r="AB1114" s="91">
        <v>601.73951551667346</v>
      </c>
      <c r="AC1114" s="91">
        <v>601.2657878325291</v>
      </c>
      <c r="AD1114" s="91">
        <v>600.75910214909993</v>
      </c>
      <c r="AE1114" s="91">
        <v>600.21875444031377</v>
      </c>
      <c r="AF1114" s="91">
        <v>599.6443211106257</v>
      </c>
      <c r="AG1114" s="91">
        <v>599.03570785698616</v>
      </c>
      <c r="AH1114" s="91">
        <v>598.3931976159771</v>
      </c>
      <c r="AI1114" s="91">
        <v>597.71749547421348</v>
      </c>
      <c r="AJ1114" s="91">
        <v>597.00976810494069</v>
      </c>
      <c r="AK1114" s="91">
        <v>596.27167507251465</v>
      </c>
      <c r="AL1114" s="91">
        <v>595.50538926495062</v>
      </c>
      <c r="AM1114" s="91">
        <v>594.71360381684769</v>
      </c>
      <c r="AN1114" s="91">
        <v>593.89952320622524</v>
      </c>
      <c r="AO1114" s="91">
        <v>593.06683676877094</v>
      </c>
      <c r="AP1114" s="91">
        <v>592.2196736684698</v>
      </c>
      <c r="AQ1114" s="91">
        <v>591.36253936296362</v>
      </c>
      <c r="AR1114" s="91">
        <v>590.50023474327782</v>
      </c>
      <c r="AS1114" s="91">
        <v>589.63776032068267</v>
      </c>
      <c r="AT1114" s="91">
        <v>588.78020896803127</v>
      </c>
      <c r="AU1114" s="91">
        <v>587.93265168062396</v>
      </c>
      <c r="AV1114" s="91">
        <v>587.10002149219713</v>
      </c>
      <c r="AW1114" s="91">
        <v>586.28700097924684</v>
      </c>
      <c r="AX1114" s="92">
        <v>585.49791866467285</v>
      </c>
    </row>
    <row r="1115" spans="1:50" x14ac:dyDescent="0.25">
      <c r="A1115" s="356"/>
      <c r="B1115" s="359"/>
      <c r="C1115" s="350"/>
      <c r="D1115" s="2" t="s">
        <v>10</v>
      </c>
      <c r="E1115" s="160" t="str">
        <f>A1105&amp;"/"&amp;B1113&amp;"/"&amp;C1113&amp;"/"&amp;D1115</f>
        <v>Diesel oil fired power plants/Gas turbine /Electricity only/S</v>
      </c>
      <c r="F1115" s="76" t="str">
        <f>A1105</f>
        <v>Diesel oil fired power plants</v>
      </c>
      <c r="G1115" s="76" t="str">
        <f>B1113</f>
        <v xml:space="preserve">Gas turbine </v>
      </c>
      <c r="H1115" s="76" t="str">
        <f>C1113</f>
        <v>Electricity only</v>
      </c>
      <c r="I1115" s="161" t="str">
        <f t="shared" si="95"/>
        <v>S</v>
      </c>
      <c r="J1115" s="91">
        <v>727.31999999999982</v>
      </c>
      <c r="K1115" s="91">
        <v>727.24406140342978</v>
      </c>
      <c r="L1115" s="91">
        <v>727.16044935452669</v>
      </c>
      <c r="M1115" s="91">
        <v>727.06842402820337</v>
      </c>
      <c r="N1115" s="91">
        <v>726.96718194992559</v>
      </c>
      <c r="O1115" s="91">
        <v>726.85585219498648</v>
      </c>
      <c r="P1115" s="91">
        <v>726.73349274904422</v>
      </c>
      <c r="Q1115" s="91">
        <v>726.59908714550306</v>
      </c>
      <c r="R1115" s="91">
        <v>726.45154152139287</v>
      </c>
      <c r="S1115" s="91">
        <v>726.2896822630081</v>
      </c>
      <c r="T1115" s="91">
        <v>726.11225444562217</v>
      </c>
      <c r="U1115" s="91">
        <v>725.91792130782665</v>
      </c>
      <c r="V1115" s="91">
        <v>725.70526503983399</v>
      </c>
      <c r="W1115" s="91">
        <v>725.47278920540077</v>
      </c>
      <c r="X1115" s="91">
        <v>725.21892315730838</v>
      </c>
      <c r="Y1115" s="91">
        <v>724.94202884433923</v>
      </c>
      <c r="Z1115" s="91">
        <v>724.64041044035946</v>
      </c>
      <c r="AA1115" s="91">
        <v>724.31232724951212</v>
      </c>
      <c r="AB1115" s="91">
        <v>723.95601035065363</v>
      </c>
      <c r="AC1115" s="91">
        <v>723.56968343301969</v>
      </c>
      <c r="AD1115" s="91">
        <v>723.15158823673642</v>
      </c>
      <c r="AE1115" s="91">
        <v>722.70001493847235</v>
      </c>
      <c r="AF1115" s="91">
        <v>722.21333770628951</v>
      </c>
      <c r="AG1115" s="91">
        <v>721.69005548094867</v>
      </c>
      <c r="AH1115" s="91">
        <v>721.12883781730147</v>
      </c>
      <c r="AI1115" s="91">
        <v>720.52857533534188</v>
      </c>
      <c r="AJ1115" s="91">
        <v>719.88843398656309</v>
      </c>
      <c r="AK1115" s="91">
        <v>719.20791194405069</v>
      </c>
      <c r="AL1115" s="91">
        <v>718.48689748847983</v>
      </c>
      <c r="AM1115" s="91">
        <v>717.72572581032534</v>
      </c>
      <c r="AN1115" s="91">
        <v>716.92523221450176</v>
      </c>
      <c r="AO1115" s="91">
        <v>716.08679884027379</v>
      </c>
      <c r="AP1115" s="91">
        <v>715.21239174717664</v>
      </c>
      <c r="AQ1115" s="91">
        <v>714.30458512113205</v>
      </c>
      <c r="AR1115" s="91">
        <v>713.36656947592724</v>
      </c>
      <c r="AS1115" s="91">
        <v>712.40214110577801</v>
      </c>
      <c r="AT1115" s="91">
        <v>711.41567070807957</v>
      </c>
      <c r="AU1115" s="91">
        <v>710.41205003782511</v>
      </c>
      <c r="AV1115" s="91">
        <v>709.39661663912739</v>
      </c>
      <c r="AW1115" s="91">
        <v>708.37505805133605</v>
      </c>
      <c r="AX1115" s="92">
        <v>707.35329830073499</v>
      </c>
    </row>
    <row r="1116" spans="1:50" x14ac:dyDescent="0.25">
      <c r="A1116" s="356"/>
      <c r="B1116" s="359"/>
      <c r="C1116" s="360"/>
      <c r="D1116" s="2" t="s">
        <v>20</v>
      </c>
      <c r="E1116" s="160" t="str">
        <f>A1105&amp;"/"&amp;B1113&amp;"/"&amp;C1113&amp;"/"&amp;D1116</f>
        <v>Diesel oil fired power plants/Gas turbine /Electricity only/XS</v>
      </c>
      <c r="F1116" s="76" t="str">
        <f>A1105</f>
        <v>Diesel oil fired power plants</v>
      </c>
      <c r="G1116" s="76" t="str">
        <f>B1113</f>
        <v xml:space="preserve">Gas turbine </v>
      </c>
      <c r="H1116" s="76" t="str">
        <f>C1113</f>
        <v>Electricity only</v>
      </c>
      <c r="I1116" s="161" t="str">
        <f t="shared" si="95"/>
        <v>XS</v>
      </c>
      <c r="J1116" s="91">
        <v>1054.6139999999998</v>
      </c>
      <c r="K1116" s="91">
        <v>1054.5467998900976</v>
      </c>
      <c r="L1116" s="91">
        <v>1054.4727014743767</v>
      </c>
      <c r="M1116" s="91">
        <v>1054.3910160117432</v>
      </c>
      <c r="N1116" s="91">
        <v>1054.3009902240076</v>
      </c>
      <c r="O1116" s="91">
        <v>1054.2018011752095</v>
      </c>
      <c r="P1116" s="91">
        <v>1054.0925509537417</v>
      </c>
      <c r="Q1116" s="91">
        <v>1053.9722612029086</v>
      </c>
      <c r="R1116" s="91">
        <v>1053.8398675620519</v>
      </c>
      <c r="S1116" s="91">
        <v>1053.6942141002648</v>
      </c>
      <c r="T1116" s="91">
        <v>1053.534047848419</v>
      </c>
      <c r="U1116" s="91">
        <v>1053.3580135631987</v>
      </c>
      <c r="V1116" s="91">
        <v>1053.1646488894146</v>
      </c>
      <c r="W1116" s="91">
        <v>1052.9523801244034</v>
      </c>
      <c r="X1116" s="91">
        <v>1052.7195188308867</v>
      </c>
      <c r="Y1116" s="91">
        <v>1052.4642595922458</v>
      </c>
      <c r="Z1116" s="91">
        <v>1052.1846792562687</v>
      </c>
      <c r="AA1116" s="91">
        <v>1051.8787380692565</v>
      </c>
      <c r="AB1116" s="91">
        <v>1051.544283160358</v>
      </c>
      <c r="AC1116" s="91">
        <v>1051.17905489397</v>
      </c>
      <c r="AD1116" s="91">
        <v>1050.7806966626968</v>
      </c>
      <c r="AE1116" s="91">
        <v>1050.3467687403768</v>
      </c>
      <c r="AF1116" s="91">
        <v>1049.8747668483372</v>
      </c>
      <c r="AG1116" s="91">
        <v>1049.3621461011646</v>
      </c>
      <c r="AH1116" s="91">
        <v>1048.8063509822557</v>
      </c>
      <c r="AI1116" s="91">
        <v>1048.2048519441955</v>
      </c>
      <c r="AJ1116" s="91">
        <v>1047.5551891235409</v>
      </c>
      <c r="AK1116" s="91">
        <v>1046.8550234923496</v>
      </c>
      <c r="AL1116" s="91">
        <v>1046.102195528827</v>
      </c>
      <c r="AM1116" s="91">
        <v>1045.2947911677461</v>
      </c>
      <c r="AN1116" s="91">
        <v>1044.4312143826214</v>
      </c>
      <c r="AO1116" s="91">
        <v>1043.5102652568341</v>
      </c>
      <c r="AP1116" s="91">
        <v>1042.5312218294312</v>
      </c>
      <c r="AQ1116" s="91">
        <v>1041.4939233736998</v>
      </c>
      <c r="AR1116" s="91">
        <v>1040.3988521165347</v>
      </c>
      <c r="AS1116" s="91">
        <v>1039.2472097821058</v>
      </c>
      <c r="AT1116" s="91">
        <v>1038.0409848061699</v>
      </c>
      <c r="AU1116" s="91">
        <v>1036.7830056902976</v>
      </c>
      <c r="AV1116" s="91">
        <v>1035.4769758263703</v>
      </c>
      <c r="AW1116" s="91">
        <v>1034.1274852957645</v>
      </c>
      <c r="AX1116" s="92">
        <v>1032.7399956951194</v>
      </c>
    </row>
    <row r="1117" spans="1:50" x14ac:dyDescent="0.25">
      <c r="A1117" s="356"/>
      <c r="B1117" s="359"/>
      <c r="C1117" s="361" t="s">
        <v>14</v>
      </c>
      <c r="D1117" s="58" t="s">
        <v>7</v>
      </c>
      <c r="E1117" s="164" t="str">
        <f>A1105&amp;"/"&amp;B1113&amp;"/"&amp;C1117&amp;"/"&amp;D1117</f>
        <v>Diesel oil fired power plants/Gas turbine /CHP/L</v>
      </c>
      <c r="F1117" s="78" t="str">
        <f>A1105</f>
        <v>Diesel oil fired power plants</v>
      </c>
      <c r="G1117" s="78" t="str">
        <f>B1113</f>
        <v xml:space="preserve">Gas turbine </v>
      </c>
      <c r="H1117" s="78" t="str">
        <f>C1117</f>
        <v>CHP</v>
      </c>
      <c r="I1117" s="165" t="str">
        <f t="shared" si="95"/>
        <v>L</v>
      </c>
      <c r="J1117" s="95">
        <v>830</v>
      </c>
      <c r="K1117" s="95">
        <v>829.88464713117207</v>
      </c>
      <c r="L1117" s="95">
        <v>829.75783221563711</v>
      </c>
      <c r="M1117" s="95">
        <v>829.61849153622916</v>
      </c>
      <c r="N1117" s="95">
        <v>829.46547870400673</v>
      </c>
      <c r="O1117" s="95">
        <v>829.29756170956784</v>
      </c>
      <c r="P1117" s="95">
        <v>829.11342070591775</v>
      </c>
      <c r="Q1117" s="95">
        <v>828.91164675938705</v>
      </c>
      <c r="R1117" s="95">
        <v>828.69074184468479</v>
      </c>
      <c r="S1117" s="95">
        <v>828.44912040177064</v>
      </c>
      <c r="T1117" s="95">
        <v>828.18511281443273</v>
      </c>
      <c r="U1117" s="95">
        <v>827.89697121120469</v>
      </c>
      <c r="V1117" s="95">
        <v>827.58287802570703</v>
      </c>
      <c r="W1117" s="95">
        <v>827.24095778193384</v>
      </c>
      <c r="X1117" s="95">
        <v>826.86929258569592</v>
      </c>
      <c r="Y1117" s="95">
        <v>826.46594180060629</v>
      </c>
      <c r="Z1117" s="95">
        <v>826.02896635891534</v>
      </c>
      <c r="AA1117" s="95">
        <v>825.55645809660416</v>
      </c>
      <c r="AB1117" s="95">
        <v>825.04657440045366</v>
      </c>
      <c r="AC1117" s="95">
        <v>824.49757830450267</v>
      </c>
      <c r="AD1117" s="95">
        <v>823.90788396767744</v>
      </c>
      <c r="AE1117" s="95">
        <v>823.27610719891447</v>
      </c>
      <c r="AF1117" s="95">
        <v>822.60112037008912</v>
      </c>
      <c r="AG1117" s="95">
        <v>821.88211067513225</v>
      </c>
      <c r="AH1117" s="95">
        <v>821.11864026766114</v>
      </c>
      <c r="AI1117" s="95">
        <v>820.31070635959225</v>
      </c>
      <c r="AJ1117" s="95">
        <v>819.45879891944116</v>
      </c>
      <c r="AK1117" s="95">
        <v>818.56395321061166</v>
      </c>
      <c r="AL1117" s="95">
        <v>817.62779410415908</v>
      </c>
      <c r="AM1117" s="95">
        <v>816.65256893908622</v>
      </c>
      <c r="AN1117" s="95">
        <v>815.6411657374565</v>
      </c>
      <c r="AO1117" s="95">
        <v>814.59711385516744</v>
      </c>
      <c r="AP1117" s="95">
        <v>813.52456469027379</v>
      </c>
      <c r="AQ1117" s="95">
        <v>812.42825088381119</v>
      </c>
      <c r="AR1117" s="95">
        <v>811.31342350764669</v>
      </c>
      <c r="AS1117" s="95">
        <v>810.18576798110894</v>
      </c>
      <c r="AT1117" s="95">
        <v>809.05130080220999</v>
      </c>
      <c r="AU1117" s="95">
        <v>807.916250504338</v>
      </c>
      <c r="AV1117" s="95">
        <v>806.78692742674627</v>
      </c>
      <c r="AW1117" s="95">
        <v>805.6695877918512</v>
      </c>
      <c r="AX1117" s="96">
        <v>804.57029811032339</v>
      </c>
    </row>
    <row r="1118" spans="1:50" x14ac:dyDescent="0.25">
      <c r="A1118" s="356"/>
      <c r="B1118" s="359"/>
      <c r="C1118" s="350"/>
      <c r="D1118" s="2" t="s">
        <v>8</v>
      </c>
      <c r="E1118" s="160" t="str">
        <f>A1105&amp;"/"&amp;B1113&amp;"/"&amp;C1117&amp;"/"&amp;D1118</f>
        <v>Diesel oil fired power plants/Gas turbine /CHP/M</v>
      </c>
      <c r="F1118" s="76" t="str">
        <f>A1105</f>
        <v>Diesel oil fired power plants</v>
      </c>
      <c r="G1118" s="76" t="str">
        <f>B1113</f>
        <v xml:space="preserve">Gas turbine </v>
      </c>
      <c r="H1118" s="76" t="str">
        <f>C1117</f>
        <v>CHP</v>
      </c>
      <c r="I1118" s="161" t="str">
        <f t="shared" si="95"/>
        <v>M</v>
      </c>
      <c r="J1118" s="91">
        <v>856.09999999999991</v>
      </c>
      <c r="K1118" s="91">
        <v>855.96767428196699</v>
      </c>
      <c r="L1118" s="91">
        <v>855.82223875530792</v>
      </c>
      <c r="M1118" s="91">
        <v>855.66248525539277</v>
      </c>
      <c r="N1118" s="91">
        <v>855.48711362483778</v>
      </c>
      <c r="O1118" s="91">
        <v>855.29472891512808</v>
      </c>
      <c r="P1118" s="91">
        <v>855.08383953207476</v>
      </c>
      <c r="Q1118" s="91">
        <v>854.85285661101807</v>
      </c>
      <c r="R1118" s="91">
        <v>854.60009495379825</v>
      </c>
      <c r="S1118" s="91">
        <v>854.32377590743477</v>
      </c>
      <c r="T1118" s="91">
        <v>854.02203261233512</v>
      </c>
      <c r="U1118" s="91">
        <v>853.6929180930149</v>
      </c>
      <c r="V1118" s="91">
        <v>853.33441670315415</v>
      </c>
      <c r="W1118" s="91">
        <v>852.94445946461451</v>
      </c>
      <c r="X1118" s="91">
        <v>852.52094385089151</v>
      </c>
      <c r="Y1118" s="91">
        <v>852.06175855223307</v>
      </c>
      <c r="Z1118" s="91">
        <v>851.5648137140405</v>
      </c>
      <c r="AA1118" s="91">
        <v>851.02807705302916</v>
      </c>
      <c r="AB1118" s="91">
        <v>850.44961611745975</v>
      </c>
      <c r="AC1118" s="91">
        <v>849.82764675949363</v>
      </c>
      <c r="AD1118" s="91">
        <v>849.16058762193063</v>
      </c>
      <c r="AE1118" s="91">
        <v>848.44712010395313</v>
      </c>
      <c r="AF1118" s="91">
        <v>847.68625286171459</v>
      </c>
      <c r="AG1118" s="91">
        <v>846.87738942747978</v>
      </c>
      <c r="AH1118" s="91">
        <v>846.02039701249055</v>
      </c>
      <c r="AI1118" s="91">
        <v>845.11567402165053</v>
      </c>
      <c r="AJ1118" s="91">
        <v>844.16421329216348</v>
      </c>
      <c r="AK1118" s="91">
        <v>843.16765762447119</v>
      </c>
      <c r="AL1118" s="91">
        <v>842.12834386230315</v>
      </c>
      <c r="AM1118" s="91">
        <v>841.04933166388446</v>
      </c>
      <c r="AN1118" s="91">
        <v>839.93441325015419</v>
      </c>
      <c r="AO1118" s="91">
        <v>838.78810086815918</v>
      </c>
      <c r="AP1118" s="91">
        <v>837.61558949629</v>
      </c>
      <c r="AQ1118" s="91">
        <v>836.42269343811961</v>
      </c>
      <c r="AR1118" s="91">
        <v>835.21575685885011</v>
      </c>
      <c r="AS1118" s="91">
        <v>834.00153992541698</v>
      </c>
      <c r="AT1118" s="91">
        <v>832.78708389136557</v>
      </c>
      <c r="AU1118" s="91">
        <v>831.57956006520635</v>
      </c>
      <c r="AV1118" s="91">
        <v>830.38610894952126</v>
      </c>
      <c r="AW1118" s="91">
        <v>829.21367678228569</v>
      </c>
      <c r="AX1118" s="92">
        <v>828.06885713095153</v>
      </c>
    </row>
    <row r="1119" spans="1:50" x14ac:dyDescent="0.25">
      <c r="A1119" s="356"/>
      <c r="B1119" s="359"/>
      <c r="C1119" s="350"/>
      <c r="D1119" s="2" t="s">
        <v>10</v>
      </c>
      <c r="E1119" s="160" t="str">
        <f>A1105&amp;"/"&amp;B1113&amp;"/"&amp;C1117&amp;"/"&amp;D1119</f>
        <v>Diesel oil fired power plants/Gas turbine /CHP/S</v>
      </c>
      <c r="F1119" s="76" t="str">
        <f>A1105</f>
        <v>Diesel oil fired power plants</v>
      </c>
      <c r="G1119" s="76" t="str">
        <f>B1113</f>
        <v xml:space="preserve">Gas turbine </v>
      </c>
      <c r="H1119" s="76" t="str">
        <f>C1117</f>
        <v>CHP</v>
      </c>
      <c r="I1119" s="161" t="str">
        <f t="shared" si="95"/>
        <v>S</v>
      </c>
      <c r="J1119" s="91">
        <v>947.31999999999982</v>
      </c>
      <c r="K1119" s="91">
        <v>947.23878981251187</v>
      </c>
      <c r="L1119" s="91">
        <v>947.1493136584869</v>
      </c>
      <c r="M1119" s="91">
        <v>947.0507615525662</v>
      </c>
      <c r="N1119" s="91">
        <v>946.94225094173157</v>
      </c>
      <c r="O1119" s="91">
        <v>946.82282169077325</v>
      </c>
      <c r="P1119" s="91">
        <v>946.69143106107094</v>
      </c>
      <c r="Q1119" s="91">
        <v>946.54694877806264</v>
      </c>
      <c r="R1119" s="91">
        <v>946.38815230799935</v>
      </c>
      <c r="S1119" s="91">
        <v>946.21372249398121</v>
      </c>
      <c r="T1119" s="91">
        <v>946.02223973511809</v>
      </c>
      <c r="U1119" s="91">
        <v>945.81218093107043</v>
      </c>
      <c r="V1119" s="91">
        <v>945.58191745713123</v>
      </c>
      <c r="W1119" s="91">
        <v>945.32971448203091</v>
      </c>
      <c r="X1119" s="91">
        <v>945.05373199098563</v>
      </c>
      <c r="Y1119" s="91">
        <v>944.75202792883692</v>
      </c>
      <c r="Z1119" s="91">
        <v>944.42256393040543</v>
      </c>
      <c r="AA1119" s="91">
        <v>944.06321415449315</v>
      </c>
      <c r="AB1119" s="91">
        <v>943.6717777803799</v>
      </c>
      <c r="AC1119" s="91">
        <v>943.24599575601337</v>
      </c>
      <c r="AD1119" s="91">
        <v>942.78357239893671</v>
      </c>
      <c r="AE1119" s="91">
        <v>942.28220243654198</v>
      </c>
      <c r="AF1119" s="91">
        <v>941.73960402242722</v>
      </c>
      <c r="AG1119" s="91">
        <v>941.15355817049488</v>
      </c>
      <c r="AH1119" s="91">
        <v>940.5219548975665</v>
      </c>
      <c r="AI1119" s="91">
        <v>939.8428461488212</v>
      </c>
      <c r="AJ1119" s="91">
        <v>939.11450529014803</v>
      </c>
      <c r="AK1119" s="91">
        <v>938.33549258285245</v>
      </c>
      <c r="AL1119" s="91">
        <v>937.50472560981768</v>
      </c>
      <c r="AM1119" s="91">
        <v>936.62155310671358</v>
      </c>
      <c r="AN1119" s="91">
        <v>935.68583008567828</v>
      </c>
      <c r="AO1119" s="91">
        <v>934.69799155247529</v>
      </c>
      <c r="AP1119" s="91">
        <v>933.65912155477133</v>
      </c>
      <c r="AQ1119" s="91">
        <v>932.57101381461746</v>
      </c>
      <c r="AR1119" s="91">
        <v>931.43621985806681</v>
      </c>
      <c r="AS1119" s="91">
        <v>930.25808042955032</v>
      </c>
      <c r="AT1119" s="91">
        <v>929.04073613564924</v>
      </c>
      <c r="AU1119" s="91">
        <v>927.78911375676955</v>
      </c>
      <c r="AV1119" s="91">
        <v>926.50888552616425</v>
      </c>
      <c r="AW1119" s="91">
        <v>925.20639989874314</v>
      </c>
      <c r="AX1119" s="92">
        <v>923.88858386863694</v>
      </c>
    </row>
    <row r="1120" spans="1:50" x14ac:dyDescent="0.25">
      <c r="A1120" s="356"/>
      <c r="B1120" s="359"/>
      <c r="C1120" s="360"/>
      <c r="D1120" s="59" t="s">
        <v>20</v>
      </c>
      <c r="E1120" s="166" t="str">
        <f>A1105&amp;"/"&amp;B1113&amp;"/"&amp;C1117&amp;"/"&amp;D1120</f>
        <v>Diesel oil fired power plants/Gas turbine /CHP/XS</v>
      </c>
      <c r="F1120" s="79" t="str">
        <f>A1105</f>
        <v>Diesel oil fired power plants</v>
      </c>
      <c r="G1120" s="79" t="str">
        <f>B1113</f>
        <v xml:space="preserve">Gas turbine </v>
      </c>
      <c r="H1120" s="79" t="str">
        <f>C1117</f>
        <v>CHP</v>
      </c>
      <c r="I1120" s="167" t="str">
        <f t="shared" si="95"/>
        <v>XS</v>
      </c>
      <c r="J1120" s="97">
        <v>1214.6139999999998</v>
      </c>
      <c r="K1120" s="97">
        <v>1214.5439060075701</v>
      </c>
      <c r="L1120" s="97">
        <v>1214.4666000095376</v>
      </c>
      <c r="M1120" s="97">
        <v>1214.3813583040071</v>
      </c>
      <c r="N1120" s="97">
        <v>1214.2873885735585</v>
      </c>
      <c r="O1120" s="97">
        <v>1214.1838242582669</v>
      </c>
      <c r="P1120" s="97">
        <v>1214.0697186649522</v>
      </c>
      <c r="Q1120" s="97">
        <v>1213.9440388495752</v>
      </c>
      <c r="R1120" s="97">
        <v>1213.8056593252745</v>
      </c>
      <c r="S1120" s="97">
        <v>1213.6533556675208</v>
      </c>
      <c r="T1120" s="97">
        <v>1213.4857981107443</v>
      </c>
      <c r="U1120" s="97">
        <v>1213.3015452580623</v>
      </c>
      <c r="V1120" s="97">
        <v>1213.0990380579003</v>
      </c>
      <c r="W1120" s="97">
        <v>1212.8765942387934</v>
      </c>
      <c r="X1120" s="97">
        <v>1212.6324034368113</v>
      </c>
      <c r="Y1120" s="97">
        <v>1212.3645232990468</v>
      </c>
      <c r="Z1120" s="97">
        <v>1212.0708769013127</v>
      </c>
      <c r="AA1120" s="97">
        <v>1211.7492518781637</v>
      </c>
      <c r="AB1120" s="97">
        <v>1211.3973017275525</v>
      </c>
      <c r="AC1120" s="97">
        <v>1211.0125498191576</v>
      </c>
      <c r="AD1120" s="97">
        <v>1210.5923967020894</v>
      </c>
      <c r="AE1120" s="97">
        <v>1210.1341313705627</v>
      </c>
      <c r="AF1120" s="97">
        <v>1209.6349472002116</v>
      </c>
      <c r="AG1120" s="97">
        <v>1209.0919633064298</v>
      </c>
      <c r="AH1120" s="97">
        <v>1208.5022520912262</v>
      </c>
      <c r="AI1120" s="97">
        <v>1207.8628737266479</v>
      </c>
      <c r="AJ1120" s="97">
        <v>1207.1709182593072</v>
      </c>
      <c r="AK1120" s="97">
        <v>1206.4235558992116</v>
      </c>
      <c r="AL1120" s="97">
        <v>1205.6180958637153</v>
      </c>
      <c r="AM1120" s="97">
        <v>1204.7520538713518</v>
      </c>
      <c r="AN1120" s="97">
        <v>1203.8232280102059</v>
      </c>
      <c r="AO1120" s="97">
        <v>1202.8297822353588</v>
      </c>
      <c r="AP1120" s="97">
        <v>1201.7703361807378</v>
      </c>
      <c r="AQ1120" s="97">
        <v>1200.6440593132963</v>
      </c>
      <c r="AR1120" s="97">
        <v>1199.450766735436</v>
      </c>
      <c r="AS1120" s="97">
        <v>1198.19101319374</v>
      </c>
      <c r="AT1120" s="97">
        <v>1196.8661811336606</v>
      </c>
      <c r="AU1120" s="97">
        <v>1195.478558021854</v>
      </c>
      <c r="AV1120" s="97">
        <v>1194.031397724083</v>
      </c>
      <c r="AW1120" s="97">
        <v>1192.5289605667949</v>
      </c>
      <c r="AX1120" s="98">
        <v>1190.9765269107268</v>
      </c>
    </row>
    <row r="1121" spans="1:50" x14ac:dyDescent="0.25">
      <c r="A1121" s="356"/>
      <c r="B1121" s="359"/>
      <c r="C1121" s="361" t="s">
        <v>15</v>
      </c>
      <c r="D1121" s="58" t="s">
        <v>7</v>
      </c>
      <c r="E1121" s="164" t="str">
        <f>A1105&amp;"/"&amp;B1113&amp;"/"&amp;C1121&amp;"/"&amp;D1121</f>
        <v>Diesel oil fired power plants/Gas turbine /Electricity only with CCS/L</v>
      </c>
      <c r="F1121" s="78" t="str">
        <f>A1105</f>
        <v>Diesel oil fired power plants</v>
      </c>
      <c r="G1121" s="78" t="str">
        <f>B1113</f>
        <v xml:space="preserve">Gas turbine </v>
      </c>
      <c r="H1121" s="78" t="str">
        <f>C1121</f>
        <v>Electricity only with CCS</v>
      </c>
      <c r="I1121" s="165" t="str">
        <f t="shared" si="95"/>
        <v>L</v>
      </c>
      <c r="J1121" s="95" t="s">
        <v>112</v>
      </c>
      <c r="K1121" s="95" t="s">
        <v>112</v>
      </c>
      <c r="L1121" s="95" t="s">
        <v>112</v>
      </c>
      <c r="M1121" s="95" t="s">
        <v>112</v>
      </c>
      <c r="N1121" s="95" t="s">
        <v>112</v>
      </c>
      <c r="O1121" s="95" t="s">
        <v>112</v>
      </c>
      <c r="P1121" s="95" t="s">
        <v>112</v>
      </c>
      <c r="Q1121" s="95" t="s">
        <v>112</v>
      </c>
      <c r="R1121" s="95" t="s">
        <v>112</v>
      </c>
      <c r="S1121" s="95" t="s">
        <v>112</v>
      </c>
      <c r="T1121" s="95" t="s">
        <v>112</v>
      </c>
      <c r="U1121" s="95" t="s">
        <v>112</v>
      </c>
      <c r="V1121" s="95" t="s">
        <v>112</v>
      </c>
      <c r="W1121" s="95" t="s">
        <v>112</v>
      </c>
      <c r="X1121" s="95" t="s">
        <v>112</v>
      </c>
      <c r="Y1121" s="95" t="s">
        <v>112</v>
      </c>
      <c r="Z1121" s="95" t="s">
        <v>112</v>
      </c>
      <c r="AA1121" s="95" t="s">
        <v>112</v>
      </c>
      <c r="AB1121" s="95" t="s">
        <v>112</v>
      </c>
      <c r="AC1121" s="95" t="s">
        <v>112</v>
      </c>
      <c r="AD1121" s="95" t="s">
        <v>112</v>
      </c>
      <c r="AE1121" s="95">
        <v>1450</v>
      </c>
      <c r="AF1121" s="95">
        <v>1450</v>
      </c>
      <c r="AG1121" s="95">
        <v>1450</v>
      </c>
      <c r="AH1121" s="95">
        <v>1450</v>
      </c>
      <c r="AI1121" s="95">
        <v>1450</v>
      </c>
      <c r="AJ1121" s="95">
        <v>1450</v>
      </c>
      <c r="AK1121" s="95">
        <v>1450</v>
      </c>
      <c r="AL1121" s="95">
        <v>1450</v>
      </c>
      <c r="AM1121" s="95">
        <v>1450</v>
      </c>
      <c r="AN1121" s="95">
        <v>1450</v>
      </c>
      <c r="AO1121" s="95">
        <v>1450</v>
      </c>
      <c r="AP1121" s="95">
        <v>1450</v>
      </c>
      <c r="AQ1121" s="95">
        <v>1450</v>
      </c>
      <c r="AR1121" s="95">
        <v>1450</v>
      </c>
      <c r="AS1121" s="95">
        <v>1450</v>
      </c>
      <c r="AT1121" s="95">
        <v>1450</v>
      </c>
      <c r="AU1121" s="95">
        <v>1450</v>
      </c>
      <c r="AV1121" s="95">
        <v>1450</v>
      </c>
      <c r="AW1121" s="95">
        <v>1450</v>
      </c>
      <c r="AX1121" s="96">
        <v>1450</v>
      </c>
    </row>
    <row r="1122" spans="1:50" x14ac:dyDescent="0.25">
      <c r="A1122" s="356"/>
      <c r="B1122" s="359"/>
      <c r="C1122" s="360"/>
      <c r="D1122" s="59" t="s">
        <v>8</v>
      </c>
      <c r="E1122" s="166" t="str">
        <f>A1105&amp;"/"&amp;B1113&amp;"/"&amp;C1121&amp;"/"&amp;D1122</f>
        <v>Diesel oil fired power plants/Gas turbine /Electricity only with CCS/M</v>
      </c>
      <c r="F1122" s="79" t="str">
        <f>A1105</f>
        <v>Diesel oil fired power plants</v>
      </c>
      <c r="G1122" s="79" t="str">
        <f>B1113</f>
        <v xml:space="preserve">Gas turbine </v>
      </c>
      <c r="H1122" s="79" t="str">
        <f>C1121</f>
        <v>Electricity only with CCS</v>
      </c>
      <c r="I1122" s="167" t="str">
        <f t="shared" si="95"/>
        <v>M</v>
      </c>
      <c r="J1122" s="97" t="s">
        <v>112</v>
      </c>
      <c r="K1122" s="97" t="s">
        <v>112</v>
      </c>
      <c r="L1122" s="97" t="s">
        <v>112</v>
      </c>
      <c r="M1122" s="97" t="s">
        <v>112</v>
      </c>
      <c r="N1122" s="97" t="s">
        <v>112</v>
      </c>
      <c r="O1122" s="97" t="s">
        <v>112</v>
      </c>
      <c r="P1122" s="97" t="s">
        <v>112</v>
      </c>
      <c r="Q1122" s="97" t="s">
        <v>112</v>
      </c>
      <c r="R1122" s="97" t="s">
        <v>112</v>
      </c>
      <c r="S1122" s="97" t="s">
        <v>112</v>
      </c>
      <c r="T1122" s="97" t="s">
        <v>112</v>
      </c>
      <c r="U1122" s="97" t="s">
        <v>112</v>
      </c>
      <c r="V1122" s="97" t="s">
        <v>112</v>
      </c>
      <c r="W1122" s="97" t="s">
        <v>112</v>
      </c>
      <c r="X1122" s="97" t="s">
        <v>112</v>
      </c>
      <c r="Y1122" s="97" t="s">
        <v>112</v>
      </c>
      <c r="Z1122" s="97" t="s">
        <v>112</v>
      </c>
      <c r="AA1122" s="97" t="s">
        <v>112</v>
      </c>
      <c r="AB1122" s="97" t="s">
        <v>112</v>
      </c>
      <c r="AC1122" s="97" t="s">
        <v>112</v>
      </c>
      <c r="AD1122" s="97" t="s">
        <v>112</v>
      </c>
      <c r="AE1122" s="97">
        <v>1743.5</v>
      </c>
      <c r="AF1122" s="97">
        <v>1743.5</v>
      </c>
      <c r="AG1122" s="97">
        <v>1743.5</v>
      </c>
      <c r="AH1122" s="97">
        <v>1743.5</v>
      </c>
      <c r="AI1122" s="97">
        <v>1743.5</v>
      </c>
      <c r="AJ1122" s="97">
        <v>1743.5</v>
      </c>
      <c r="AK1122" s="97">
        <v>1743.5</v>
      </c>
      <c r="AL1122" s="97">
        <v>1743.5</v>
      </c>
      <c r="AM1122" s="97">
        <v>1743.5</v>
      </c>
      <c r="AN1122" s="97">
        <v>1743.5</v>
      </c>
      <c r="AO1122" s="97">
        <v>1743.5</v>
      </c>
      <c r="AP1122" s="97">
        <v>1743.5</v>
      </c>
      <c r="AQ1122" s="97">
        <v>1743.5</v>
      </c>
      <c r="AR1122" s="97">
        <v>1743.5</v>
      </c>
      <c r="AS1122" s="97">
        <v>1743.5</v>
      </c>
      <c r="AT1122" s="97">
        <v>1743.5</v>
      </c>
      <c r="AU1122" s="97">
        <v>1743.5</v>
      </c>
      <c r="AV1122" s="97">
        <v>1743.5</v>
      </c>
      <c r="AW1122" s="97">
        <v>1743.5</v>
      </c>
      <c r="AX1122" s="98">
        <v>1743.5</v>
      </c>
    </row>
    <row r="1123" spans="1:50" x14ac:dyDescent="0.25">
      <c r="A1123" s="356"/>
      <c r="B1123" s="359"/>
      <c r="C1123" s="361" t="s">
        <v>16</v>
      </c>
      <c r="D1123" s="2" t="s">
        <v>7</v>
      </c>
      <c r="E1123" s="160" t="str">
        <f>A1105&amp;"/"&amp;B1113&amp;"/"&amp;C1123&amp;"/"&amp;D1123</f>
        <v>Diesel oil fired power plants/Gas turbine /CHP with CCS/L</v>
      </c>
      <c r="F1123" s="76" t="str">
        <f>A1105</f>
        <v>Diesel oil fired power plants</v>
      </c>
      <c r="G1123" s="76" t="str">
        <f>B1113</f>
        <v xml:space="preserve">Gas turbine </v>
      </c>
      <c r="H1123" s="76" t="str">
        <f>C1123</f>
        <v>CHP with CCS</v>
      </c>
      <c r="I1123" s="161" t="str">
        <f t="shared" si="95"/>
        <v>L</v>
      </c>
      <c r="J1123" s="91" t="s">
        <v>112</v>
      </c>
      <c r="K1123" s="91" t="s">
        <v>112</v>
      </c>
      <c r="L1123" s="91" t="s">
        <v>112</v>
      </c>
      <c r="M1123" s="91" t="s">
        <v>112</v>
      </c>
      <c r="N1123" s="91" t="s">
        <v>112</v>
      </c>
      <c r="O1123" s="91" t="s">
        <v>112</v>
      </c>
      <c r="P1123" s="91" t="s">
        <v>112</v>
      </c>
      <c r="Q1123" s="91" t="s">
        <v>112</v>
      </c>
      <c r="R1123" s="91" t="s">
        <v>112</v>
      </c>
      <c r="S1123" s="91" t="s">
        <v>112</v>
      </c>
      <c r="T1123" s="91" t="s">
        <v>112</v>
      </c>
      <c r="U1123" s="91" t="s">
        <v>112</v>
      </c>
      <c r="V1123" s="91" t="s">
        <v>112</v>
      </c>
      <c r="W1123" s="91" t="s">
        <v>112</v>
      </c>
      <c r="X1123" s="91" t="s">
        <v>112</v>
      </c>
      <c r="Y1123" s="91" t="s">
        <v>112</v>
      </c>
      <c r="Z1123" s="91" t="s">
        <v>112</v>
      </c>
      <c r="AA1123" s="91" t="s">
        <v>112</v>
      </c>
      <c r="AB1123" s="91" t="s">
        <v>112</v>
      </c>
      <c r="AC1123" s="91" t="s">
        <v>112</v>
      </c>
      <c r="AD1123" s="91" t="s">
        <v>112</v>
      </c>
      <c r="AE1123" s="91">
        <v>1700</v>
      </c>
      <c r="AF1123" s="91">
        <v>1700</v>
      </c>
      <c r="AG1123" s="91">
        <v>1700</v>
      </c>
      <c r="AH1123" s="91">
        <v>1700</v>
      </c>
      <c r="AI1123" s="91">
        <v>1700</v>
      </c>
      <c r="AJ1123" s="91">
        <v>1700</v>
      </c>
      <c r="AK1123" s="91">
        <v>1700</v>
      </c>
      <c r="AL1123" s="91">
        <v>1700</v>
      </c>
      <c r="AM1123" s="91">
        <v>1700</v>
      </c>
      <c r="AN1123" s="91">
        <v>1700</v>
      </c>
      <c r="AO1123" s="91">
        <v>1700</v>
      </c>
      <c r="AP1123" s="91">
        <v>1700</v>
      </c>
      <c r="AQ1123" s="91">
        <v>1700</v>
      </c>
      <c r="AR1123" s="91">
        <v>1700</v>
      </c>
      <c r="AS1123" s="91">
        <v>1700</v>
      </c>
      <c r="AT1123" s="91">
        <v>1700</v>
      </c>
      <c r="AU1123" s="91">
        <v>1700</v>
      </c>
      <c r="AV1123" s="91">
        <v>1700</v>
      </c>
      <c r="AW1123" s="91">
        <v>1700</v>
      </c>
      <c r="AX1123" s="92">
        <v>1700</v>
      </c>
    </row>
    <row r="1124" spans="1:50" x14ac:dyDescent="0.25">
      <c r="A1124" s="356"/>
      <c r="B1124" s="362"/>
      <c r="C1124" s="354"/>
      <c r="D1124" s="4" t="s">
        <v>8</v>
      </c>
      <c r="E1124" s="168" t="str">
        <f>A1105&amp;"/"&amp;B1113&amp;"/"&amp;C1123&amp;"/"&amp;D1124</f>
        <v>Diesel oil fired power plants/Gas turbine /CHP with CCS/M</v>
      </c>
      <c r="F1124" s="80" t="str">
        <f>A1105</f>
        <v>Diesel oil fired power plants</v>
      </c>
      <c r="G1124" s="80" t="str">
        <f>B1113</f>
        <v xml:space="preserve">Gas turbine </v>
      </c>
      <c r="H1124" s="80" t="str">
        <f>C1123</f>
        <v>CHP with CCS</v>
      </c>
      <c r="I1124" s="169" t="str">
        <f t="shared" si="95"/>
        <v>M</v>
      </c>
      <c r="J1124" s="99" t="s">
        <v>112</v>
      </c>
      <c r="K1124" s="99" t="s">
        <v>112</v>
      </c>
      <c r="L1124" s="99" t="s">
        <v>112</v>
      </c>
      <c r="M1124" s="99" t="s">
        <v>112</v>
      </c>
      <c r="N1124" s="99" t="s">
        <v>112</v>
      </c>
      <c r="O1124" s="99" t="s">
        <v>112</v>
      </c>
      <c r="P1124" s="99" t="s">
        <v>112</v>
      </c>
      <c r="Q1124" s="99" t="s">
        <v>112</v>
      </c>
      <c r="R1124" s="99" t="s">
        <v>112</v>
      </c>
      <c r="S1124" s="99" t="s">
        <v>112</v>
      </c>
      <c r="T1124" s="99" t="s">
        <v>112</v>
      </c>
      <c r="U1124" s="99" t="s">
        <v>112</v>
      </c>
      <c r="V1124" s="99" t="s">
        <v>112</v>
      </c>
      <c r="W1124" s="99" t="s">
        <v>112</v>
      </c>
      <c r="X1124" s="99" t="s">
        <v>112</v>
      </c>
      <c r="Y1124" s="99" t="s">
        <v>112</v>
      </c>
      <c r="Z1124" s="99" t="s">
        <v>112</v>
      </c>
      <c r="AA1124" s="99" t="s">
        <v>112</v>
      </c>
      <c r="AB1124" s="99" t="s">
        <v>112</v>
      </c>
      <c r="AC1124" s="99" t="s">
        <v>112</v>
      </c>
      <c r="AD1124" s="99" t="s">
        <v>112</v>
      </c>
      <c r="AE1124" s="99">
        <v>1993.5</v>
      </c>
      <c r="AF1124" s="99">
        <v>1993.5</v>
      </c>
      <c r="AG1124" s="99">
        <v>1993.5</v>
      </c>
      <c r="AH1124" s="99">
        <v>1993.5</v>
      </c>
      <c r="AI1124" s="99">
        <v>1993.5</v>
      </c>
      <c r="AJ1124" s="99">
        <v>1993.5</v>
      </c>
      <c r="AK1124" s="99">
        <v>1993.5</v>
      </c>
      <c r="AL1124" s="99">
        <v>1993.5</v>
      </c>
      <c r="AM1124" s="99">
        <v>1993.5</v>
      </c>
      <c r="AN1124" s="99">
        <v>1993.5</v>
      </c>
      <c r="AO1124" s="99">
        <v>1993.5</v>
      </c>
      <c r="AP1124" s="99">
        <v>1993.5</v>
      </c>
      <c r="AQ1124" s="99">
        <v>1993.5</v>
      </c>
      <c r="AR1124" s="99">
        <v>1993.5</v>
      </c>
      <c r="AS1124" s="99">
        <v>1993.5</v>
      </c>
      <c r="AT1124" s="99">
        <v>1993.5</v>
      </c>
      <c r="AU1124" s="99">
        <v>1993.5</v>
      </c>
      <c r="AV1124" s="99">
        <v>1993.5</v>
      </c>
      <c r="AW1124" s="99">
        <v>1993.5</v>
      </c>
      <c r="AX1124" s="100">
        <v>1993.5</v>
      </c>
    </row>
    <row r="1125" spans="1:50" x14ac:dyDescent="0.25">
      <c r="A1125" s="356"/>
      <c r="B1125" s="358" t="s">
        <v>19</v>
      </c>
      <c r="C1125" s="353" t="s">
        <v>6</v>
      </c>
      <c r="D1125" s="3" t="s">
        <v>7</v>
      </c>
      <c r="E1125" s="162" t="str">
        <f>A1105&amp;"/"&amp;B1125&amp;"/"&amp;C1125&amp;"/"&amp;D1125</f>
        <v>Diesel oil fired power plants/Steam turbine/Electricity only/L</v>
      </c>
      <c r="F1125" s="77" t="str">
        <f>A1105</f>
        <v>Diesel oil fired power plants</v>
      </c>
      <c r="G1125" s="77" t="str">
        <f>B1125</f>
        <v>Steam turbine</v>
      </c>
      <c r="H1125" s="77" t="str">
        <f>C1125</f>
        <v>Electricity only</v>
      </c>
      <c r="I1125" s="163" t="str">
        <f t="shared" si="95"/>
        <v>L</v>
      </c>
      <c r="J1125" s="93">
        <v>830</v>
      </c>
      <c r="K1125" s="93">
        <v>830.29504345381156</v>
      </c>
      <c r="L1125" s="93">
        <v>830.58382134565215</v>
      </c>
      <c r="M1125" s="93">
        <v>830.86640507178652</v>
      </c>
      <c r="N1125" s="93">
        <v>831.14286847684548</v>
      </c>
      <c r="O1125" s="93">
        <v>831.41328765205742</v>
      </c>
      <c r="P1125" s="93">
        <v>831.677740739059</v>
      </c>
      <c r="Q1125" s="93">
        <v>831.93630773950611</v>
      </c>
      <c r="R1125" s="93">
        <v>832.18907033066512</v>
      </c>
      <c r="S1125" s="93">
        <v>832.43611168713642</v>
      </c>
      <c r="T1125" s="93">
        <v>832.67751630882663</v>
      </c>
      <c r="U1125" s="93">
        <v>832.91336985525697</v>
      </c>
      <c r="V1125" s="93">
        <v>833.14375898626679</v>
      </c>
      <c r="W1125" s="93">
        <v>833.36877120914596</v>
      </c>
      <c r="X1125" s="93">
        <v>833.58849473220437</v>
      </c>
      <c r="Y1125" s="93">
        <v>833.80301832476403</v>
      </c>
      <c r="Z1125" s="93">
        <v>834.01243118353955</v>
      </c>
      <c r="AA1125" s="93">
        <v>834.21682280535208</v>
      </c>
      <c r="AB1125" s="93">
        <v>834.41628286610739</v>
      </c>
      <c r="AC1125" s="93">
        <v>834.61090110594841</v>
      </c>
      <c r="AD1125" s="93">
        <v>834.80076722048432</v>
      </c>
      <c r="AE1125" s="93">
        <v>834.98597075798</v>
      </c>
      <c r="AF1125" s="93">
        <v>835.16660102238234</v>
      </c>
      <c r="AG1125" s="93">
        <v>835.34274698205024</v>
      </c>
      <c r="AH1125" s="93">
        <v>835.51449718404331</v>
      </c>
      <c r="AI1125" s="93">
        <v>835.68193967382047</v>
      </c>
      <c r="AJ1125" s="93">
        <v>835.8451619201943</v>
      </c>
      <c r="AK1125" s="93">
        <v>836.00425074537668</v>
      </c>
      <c r="AL1125" s="93">
        <v>836.15929225995524</v>
      </c>
      <c r="AM1125" s="93">
        <v>836.31037180263036</v>
      </c>
      <c r="AN1125" s="93">
        <v>836.4575738845441</v>
      </c>
      <c r="AO1125" s="93">
        <v>836.60098213803087</v>
      </c>
      <c r="AP1125" s="93">
        <v>836.74067926961743</v>
      </c>
      <c r="AQ1125" s="93">
        <v>836.8767470171025</v>
      </c>
      <c r="AR1125" s="93">
        <v>837.00926611054399</v>
      </c>
      <c r="AS1125" s="93">
        <v>837.13831623698741</v>
      </c>
      <c r="AT1125" s="93">
        <v>837.26397600876544</v>
      </c>
      <c r="AU1125" s="93">
        <v>837.38632293520652</v>
      </c>
      <c r="AV1125" s="93">
        <v>837.50543339758917</v>
      </c>
      <c r="AW1125" s="93">
        <v>837.62138262718236</v>
      </c>
      <c r="AX1125" s="94">
        <v>837.73424468621806</v>
      </c>
    </row>
    <row r="1126" spans="1:50" x14ac:dyDescent="0.25">
      <c r="A1126" s="356"/>
      <c r="B1126" s="359"/>
      <c r="C1126" s="350"/>
      <c r="D1126" s="2" t="s">
        <v>8</v>
      </c>
      <c r="E1126" s="160" t="str">
        <f>A1105&amp;"/"&amp;B1125&amp;"/"&amp;C1125&amp;"/"&amp;D1126</f>
        <v>Diesel oil fired power plants/Steam turbine/Electricity only/M</v>
      </c>
      <c r="F1126" s="76" t="str">
        <f>A1105</f>
        <v>Diesel oil fired power plants</v>
      </c>
      <c r="G1126" s="76" t="str">
        <f>B1125</f>
        <v>Steam turbine</v>
      </c>
      <c r="H1126" s="76" t="str">
        <f>C1125</f>
        <v>Electricity only</v>
      </c>
      <c r="I1126" s="161" t="str">
        <f t="shared" si="95"/>
        <v>M</v>
      </c>
      <c r="J1126" s="91">
        <v>896.40000000000009</v>
      </c>
      <c r="K1126" s="91">
        <v>896.63898519758743</v>
      </c>
      <c r="L1126" s="91">
        <v>896.87289528997826</v>
      </c>
      <c r="M1126" s="91">
        <v>897.10178810814705</v>
      </c>
      <c r="N1126" s="91">
        <v>897.32572346624488</v>
      </c>
      <c r="O1126" s="91">
        <v>897.54476299816656</v>
      </c>
      <c r="P1126" s="91">
        <v>897.75896999863789</v>
      </c>
      <c r="Q1126" s="91">
        <v>897.96840926900006</v>
      </c>
      <c r="R1126" s="91">
        <v>898.17314696783876</v>
      </c>
      <c r="S1126" s="91">
        <v>898.37325046658054</v>
      </c>
      <c r="T1126" s="91">
        <v>898.56878821014971</v>
      </c>
      <c r="U1126" s="91">
        <v>898.75982958275824</v>
      </c>
      <c r="V1126" s="91">
        <v>898.94644477887618</v>
      </c>
      <c r="W1126" s="91">
        <v>899.12870467940832</v>
      </c>
      <c r="X1126" s="91">
        <v>899.30668073308561</v>
      </c>
      <c r="Y1126" s="91">
        <v>899.48044484305899</v>
      </c>
      <c r="Z1126" s="91">
        <v>899.65006925866703</v>
      </c>
      <c r="AA1126" s="91">
        <v>899.81562647233523</v>
      </c>
      <c r="AB1126" s="91">
        <v>899.97718912154699</v>
      </c>
      <c r="AC1126" s="91">
        <v>900.13482989581826</v>
      </c>
      <c r="AD1126" s="91">
        <v>900.28862144859238</v>
      </c>
      <c r="AE1126" s="91">
        <v>900.4386363139638</v>
      </c>
      <c r="AF1126" s="91">
        <v>900.58494682812977</v>
      </c>
      <c r="AG1126" s="91">
        <v>900.72762505546075</v>
      </c>
      <c r="AH1126" s="91">
        <v>900.86674271907509</v>
      </c>
      <c r="AI1126" s="91">
        <v>901.00237113579465</v>
      </c>
      <c r="AJ1126" s="91">
        <v>901.13458115535741</v>
      </c>
      <c r="AK1126" s="91">
        <v>901.26344310375521</v>
      </c>
      <c r="AL1126" s="91">
        <v>901.38902673056384</v>
      </c>
      <c r="AM1126" s="91">
        <v>901.51140116013062</v>
      </c>
      <c r="AN1126" s="91">
        <v>901.6306348464808</v>
      </c>
      <c r="AO1126" s="91">
        <v>901.74679553180511</v>
      </c>
      <c r="AP1126" s="91">
        <v>901.85995020839027</v>
      </c>
      <c r="AQ1126" s="91">
        <v>901.97016508385309</v>
      </c>
      <c r="AR1126" s="91">
        <v>902.07750554954077</v>
      </c>
      <c r="AS1126" s="91">
        <v>902.18203615195989</v>
      </c>
      <c r="AT1126" s="91">
        <v>902.28382056710007</v>
      </c>
      <c r="AU1126" s="91">
        <v>902.38292157751732</v>
      </c>
      <c r="AV1126" s="91">
        <v>902.47940105204725</v>
      </c>
      <c r="AW1126" s="91">
        <v>902.57331992801778</v>
      </c>
      <c r="AX1126" s="92">
        <v>902.66473819583666</v>
      </c>
    </row>
    <row r="1127" spans="1:50" x14ac:dyDescent="0.25">
      <c r="A1127" s="356"/>
      <c r="B1127" s="359"/>
      <c r="C1127" s="360"/>
      <c r="D1127" s="2" t="s">
        <v>10</v>
      </c>
      <c r="E1127" s="160" t="str">
        <f>A1105&amp;"/"&amp;B1125&amp;"/"&amp;C1125&amp;"/"&amp;D1127</f>
        <v>Diesel oil fired power plants/Steam turbine/Electricity only/S</v>
      </c>
      <c r="F1127" s="76" t="str">
        <f>A1105</f>
        <v>Diesel oil fired power plants</v>
      </c>
      <c r="G1127" s="76" t="str">
        <f>B1125</f>
        <v>Steam turbine</v>
      </c>
      <c r="H1127" s="76" t="str">
        <f>C1125</f>
        <v>Electricity only</v>
      </c>
      <c r="I1127" s="161" t="str">
        <f t="shared" si="95"/>
        <v>S</v>
      </c>
      <c r="J1127" s="91">
        <v>986.04000000000019</v>
      </c>
      <c r="K1127" s="91">
        <v>986.25906976445526</v>
      </c>
      <c r="L1127" s="91">
        <v>986.47348734914692</v>
      </c>
      <c r="M1127" s="91">
        <v>986.68330576580172</v>
      </c>
      <c r="N1127" s="91">
        <v>986.88857984405797</v>
      </c>
      <c r="O1127" s="91">
        <v>987.08936608165288</v>
      </c>
      <c r="P1127" s="91">
        <v>987.28572249875162</v>
      </c>
      <c r="Q1127" s="91">
        <v>987.47770849658355</v>
      </c>
      <c r="R1127" s="91">
        <v>987.66538472051911</v>
      </c>
      <c r="S1127" s="91">
        <v>987.84881292769899</v>
      </c>
      <c r="T1127" s="91">
        <v>988.028055859304</v>
      </c>
      <c r="U1127" s="91">
        <v>988.20317711752853</v>
      </c>
      <c r="V1127" s="91">
        <v>988.37424104730337</v>
      </c>
      <c r="W1127" s="91">
        <v>988.54131262279111</v>
      </c>
      <c r="X1127" s="91">
        <v>988.704457338662</v>
      </c>
      <c r="Y1127" s="91">
        <v>988.86374110613758</v>
      </c>
      <c r="Z1127" s="91">
        <v>989.01923015377838</v>
      </c>
      <c r="AA1127" s="91">
        <v>989.17099093297418</v>
      </c>
      <c r="AB1127" s="91">
        <v>989.31909002808493</v>
      </c>
      <c r="AC1127" s="91">
        <v>989.46359407116688</v>
      </c>
      <c r="AD1127" s="91">
        <v>989.60456966120989</v>
      </c>
      <c r="AE1127" s="91">
        <v>989.74208328780037</v>
      </c>
      <c r="AF1127" s="91">
        <v>989.87620125911917</v>
      </c>
      <c r="AG1127" s="91">
        <v>990.00698963417256</v>
      </c>
      <c r="AH1127" s="91">
        <v>990.13451415915233</v>
      </c>
      <c r="AI1127" s="91">
        <v>990.258840207812</v>
      </c>
      <c r="AJ1127" s="91">
        <v>990.38003272574451</v>
      </c>
      <c r="AK1127" s="91">
        <v>990.4981561784424</v>
      </c>
      <c r="AL1127" s="91">
        <v>990.61327450301701</v>
      </c>
      <c r="AM1127" s="91">
        <v>990.72545106345331</v>
      </c>
      <c r="AN1127" s="91">
        <v>990.83474860927424</v>
      </c>
      <c r="AO1127" s="91">
        <v>990.94122923748819</v>
      </c>
      <c r="AP1127" s="91">
        <v>991.04495435769127</v>
      </c>
      <c r="AQ1127" s="91">
        <v>991.14598466019879</v>
      </c>
      <c r="AR1127" s="91">
        <v>991.24438008707921</v>
      </c>
      <c r="AS1127" s="91">
        <v>991.34019980596338</v>
      </c>
      <c r="AT1127" s="91">
        <v>991.43350218650858</v>
      </c>
      <c r="AU1127" s="91">
        <v>991.52434477939107</v>
      </c>
      <c r="AV1127" s="91">
        <v>991.61278429771016</v>
      </c>
      <c r="AW1127" s="91">
        <v>991.69887660068321</v>
      </c>
      <c r="AX1127" s="92">
        <v>991.78267667951718</v>
      </c>
    </row>
    <row r="1128" spans="1:50" x14ac:dyDescent="0.25">
      <c r="A1128" s="356"/>
      <c r="B1128" s="359"/>
      <c r="C1128" s="361" t="s">
        <v>14</v>
      </c>
      <c r="D1128" s="58" t="s">
        <v>7</v>
      </c>
      <c r="E1128" s="164" t="str">
        <f>A1105&amp;"/"&amp;B1125&amp;"/"&amp;C1128&amp;"/"&amp;D1128</f>
        <v>Diesel oil fired power plants/Steam turbine/CHP/L</v>
      </c>
      <c r="F1128" s="78" t="str">
        <f>A1105</f>
        <v>Diesel oil fired power plants</v>
      </c>
      <c r="G1128" s="78" t="str">
        <f>B1125</f>
        <v>Steam turbine</v>
      </c>
      <c r="H1128" s="78" t="str">
        <f>C1128</f>
        <v>CHP</v>
      </c>
      <c r="I1128" s="165" t="str">
        <f t="shared" si="95"/>
        <v>L</v>
      </c>
      <c r="J1128" s="95">
        <v>1325</v>
      </c>
      <c r="K1128" s="95">
        <v>1325.221430822744</v>
      </c>
      <c r="L1128" s="95">
        <v>1325.4393541092663</v>
      </c>
      <c r="M1128" s="95">
        <v>1325.6538099463248</v>
      </c>
      <c r="N1128" s="95">
        <v>1325.8648385229817</v>
      </c>
      <c r="O1128" s="95">
        <v>1326.0724801057947</v>
      </c>
      <c r="P1128" s="95">
        <v>1326.2767750148384</v>
      </c>
      <c r="Q1128" s="95">
        <v>1326.4777636005485</v>
      </c>
      <c r="R1128" s="95">
        <v>1326.67548622138</v>
      </c>
      <c r="S1128" s="95">
        <v>1326.8699832222719</v>
      </c>
      <c r="T1128" s="95">
        <v>1327.0612949139045</v>
      </c>
      <c r="U1128" s="95">
        <v>1327.2494615527416</v>
      </c>
      <c r="V1128" s="95">
        <v>1327.4345233218444</v>
      </c>
      <c r="W1128" s="95">
        <v>1327.6165203124447</v>
      </c>
      <c r="X1128" s="95">
        <v>1327.7954925062663</v>
      </c>
      <c r="Y1128" s="95">
        <v>1327.9714797585805</v>
      </c>
      <c r="Z1128" s="95">
        <v>1328.1445217819828</v>
      </c>
      <c r="AA1128" s="95">
        <v>1328.3146581308761</v>
      </c>
      <c r="AB1128" s="95">
        <v>1328.4819281866476</v>
      </c>
      <c r="AC1128" s="95">
        <v>1328.646371143524</v>
      </c>
      <c r="AD1128" s="95">
        <v>1328.8080259950918</v>
      </c>
      <c r="AE1128" s="95">
        <v>1328.9669315214658</v>
      </c>
      <c r="AF1128" s="95">
        <v>1329.1231262770916</v>
      </c>
      <c r="AG1128" s="95">
        <v>1329.2766485791706</v>
      </c>
      <c r="AH1128" s="95">
        <v>1329.427536496685</v>
      </c>
      <c r="AI1128" s="95">
        <v>1329.5758278400156</v>
      </c>
      <c r="AJ1128" s="95">
        <v>1329.7215601511307</v>
      </c>
      <c r="AK1128" s="95">
        <v>1329.8647706943359</v>
      </c>
      <c r="AL1128" s="95">
        <v>1330.0054964475657</v>
      </c>
      <c r="AM1128" s="95">
        <v>1330.143774094204</v>
      </c>
      <c r="AN1128" s="95">
        <v>1330.2796400154184</v>
      </c>
      <c r="AO1128" s="95">
        <v>1330.4131302829917</v>
      </c>
      <c r="AP1128" s="95">
        <v>1330.5442806526376</v>
      </c>
      <c r="AQ1128" s="95">
        <v>1330.6731265577846</v>
      </c>
      <c r="AR1128" s="95">
        <v>1330.7997031038146</v>
      </c>
      <c r="AS1128" s="95">
        <v>1330.9240450627397</v>
      </c>
      <c r="AT1128" s="95">
        <v>1331.0461868683055</v>
      </c>
      <c r="AU1128" s="95">
        <v>1331.1661626115056</v>
      </c>
      <c r="AV1128" s="95">
        <v>1331.2840060364929</v>
      </c>
      <c r="AW1128" s="95">
        <v>1331.3997505368748</v>
      </c>
      <c r="AX1128" s="96">
        <v>1331.5134291523784</v>
      </c>
    </row>
    <row r="1129" spans="1:50" x14ac:dyDescent="0.25">
      <c r="A1129" s="356"/>
      <c r="B1129" s="359"/>
      <c r="C1129" s="350"/>
      <c r="D1129" s="2" t="s">
        <v>8</v>
      </c>
      <c r="E1129" s="160" t="str">
        <f>A1105&amp;"/"&amp;B1125&amp;"/"&amp;C1128&amp;"/"&amp;D1129</f>
        <v>Diesel oil fired power plants/Steam turbine/CHP/M</v>
      </c>
      <c r="F1129" s="76" t="str">
        <f>A1105</f>
        <v>Diesel oil fired power plants</v>
      </c>
      <c r="G1129" s="76" t="str">
        <f>B1125</f>
        <v>Steam turbine</v>
      </c>
      <c r="H1129" s="76" t="str">
        <f>C1128</f>
        <v>CHP</v>
      </c>
      <c r="I1129" s="161" t="str">
        <f t="shared" si="95"/>
        <v>M</v>
      </c>
      <c r="J1129" s="91">
        <v>1391.4</v>
      </c>
      <c r="K1129" s="91">
        <v>1391.540888407739</v>
      </c>
      <c r="L1129" s="91">
        <v>1391.6794400256172</v>
      </c>
      <c r="M1129" s="91">
        <v>1391.8156854724352</v>
      </c>
      <c r="N1129" s="91">
        <v>1391.9496552643106</v>
      </c>
      <c r="O1129" s="91">
        <v>1392.0813798024947</v>
      </c>
      <c r="P1129" s="91">
        <v>1392.2108893617281</v>
      </c>
      <c r="Q1129" s="91">
        <v>1392.3382140791191</v>
      </c>
      <c r="R1129" s="91">
        <v>1392.4633839435401</v>
      </c>
      <c r="S1129" s="91">
        <v>1392.5864287855227</v>
      </c>
      <c r="T1129" s="91">
        <v>1392.7073782676489</v>
      </c>
      <c r="U1129" s="91">
        <v>1392.8262618754206</v>
      </c>
      <c r="V1129" s="91">
        <v>1392.9431089085981</v>
      </c>
      <c r="W1129" s="91">
        <v>1393.0579484729972</v>
      </c>
      <c r="X1129" s="91">
        <v>1393.170809472731</v>
      </c>
      <c r="Y1129" s="91">
        <v>1393.2817206028856</v>
      </c>
      <c r="Z1129" s="91">
        <v>1393.3907103426202</v>
      </c>
      <c r="AA1129" s="91">
        <v>1393.4978069486763</v>
      </c>
      <c r="AB1129" s="91">
        <v>1393.603038449286</v>
      </c>
      <c r="AC1129" s="91">
        <v>1393.7064326384709</v>
      </c>
      <c r="AD1129" s="91">
        <v>1393.8080170707133</v>
      </c>
      <c r="AE1129" s="91">
        <v>1393.9078190559972</v>
      </c>
      <c r="AF1129" s="91">
        <v>1394.0058656551989</v>
      </c>
      <c r="AG1129" s="91">
        <v>1394.1021836758241</v>
      </c>
      <c r="AH1129" s="91">
        <v>1394.1967996680735</v>
      </c>
      <c r="AI1129" s="91">
        <v>1394.289739921232</v>
      </c>
      <c r="AJ1129" s="91">
        <v>1394.3810304603664</v>
      </c>
      <c r="AK1129" s="91">
        <v>1394.4706970433238</v>
      </c>
      <c r="AL1129" s="91">
        <v>1394.5587651580192</v>
      </c>
      <c r="AM1129" s="91">
        <v>1394.6452600200014</v>
      </c>
      <c r="AN1129" s="91">
        <v>1394.7302065702886</v>
      </c>
      <c r="AO1129" s="91">
        <v>1394.8136294734641</v>
      </c>
      <c r="AP1129" s="91">
        <v>1394.8955531160188</v>
      </c>
      <c r="AQ1129" s="91">
        <v>1394.9760016049368</v>
      </c>
      <c r="AR1129" s="91">
        <v>1395.0549987665095</v>
      </c>
      <c r="AS1129" s="91">
        <v>1395.1325681453729</v>
      </c>
      <c r="AT1129" s="91">
        <v>1395.2087330037564</v>
      </c>
      <c r="AU1129" s="91">
        <v>1395.2835163209356</v>
      </c>
      <c r="AV1129" s="91">
        <v>1395.3569407928824</v>
      </c>
      <c r="AW1129" s="91">
        <v>1395.4290288320999</v>
      </c>
      <c r="AX1129" s="92">
        <v>1395.4998025676384</v>
      </c>
    </row>
    <row r="1130" spans="1:50" x14ac:dyDescent="0.25">
      <c r="A1130" s="356"/>
      <c r="B1130" s="359"/>
      <c r="C1130" s="360"/>
      <c r="D1130" s="59" t="s">
        <v>10</v>
      </c>
      <c r="E1130" s="166" t="str">
        <f>A1105&amp;"/"&amp;B1125&amp;"/"&amp;C1128&amp;"/"&amp;D1130</f>
        <v>Diesel oil fired power plants/Steam turbine/CHP/S</v>
      </c>
      <c r="F1130" s="79" t="str">
        <f>A1105</f>
        <v>Diesel oil fired power plants</v>
      </c>
      <c r="G1130" s="79" t="str">
        <f>B1125</f>
        <v>Steam turbine</v>
      </c>
      <c r="H1130" s="79" t="str">
        <f>C1128</f>
        <v>CHP</v>
      </c>
      <c r="I1130" s="167" t="str">
        <f t="shared" si="95"/>
        <v>S</v>
      </c>
      <c r="J1130" s="97">
        <v>1516.0400000000002</v>
      </c>
      <c r="K1130" s="97">
        <v>1516.1369282829901</v>
      </c>
      <c r="L1130" s="97">
        <v>1516.2321745081892</v>
      </c>
      <c r="M1130" s="97">
        <v>1516.3257635219522</v>
      </c>
      <c r="N1130" s="97">
        <v>1516.4177199652097</v>
      </c>
      <c r="O1130" s="97">
        <v>1516.508068268656</v>
      </c>
      <c r="P1130" s="97">
        <v>1516.5968326482609</v>
      </c>
      <c r="Q1130" s="97">
        <v>1516.6840371010985</v>
      </c>
      <c r="R1130" s="97">
        <v>1516.7697054014798</v>
      </c>
      <c r="S1130" s="97">
        <v>1516.8538610973833</v>
      </c>
      <c r="T1130" s="97">
        <v>1516.9365275071725</v>
      </c>
      <c r="U1130" s="97">
        <v>1517.0177277165881</v>
      </c>
      <c r="V1130" s="97">
        <v>1517.0974845760106</v>
      </c>
      <c r="W1130" s="97">
        <v>1517.1758206979794</v>
      </c>
      <c r="X1130" s="97">
        <v>1517.2527584549621</v>
      </c>
      <c r="Y1130" s="97">
        <v>1517.328319977365</v>
      </c>
      <c r="Z1130" s="97">
        <v>1517.4025271517742</v>
      </c>
      <c r="AA1130" s="97">
        <v>1517.4754016194202</v>
      </c>
      <c r="AB1130" s="97">
        <v>1517.546964774858</v>
      </c>
      <c r="AC1130" s="97">
        <v>1517.6172377648527</v>
      </c>
      <c r="AD1130" s="97">
        <v>1517.6862414874643</v>
      </c>
      <c r="AE1130" s="97">
        <v>1517.7539965913215</v>
      </c>
      <c r="AF1130" s="97">
        <v>1517.820523475081</v>
      </c>
      <c r="AG1130" s="97">
        <v>1517.8858422870594</v>
      </c>
      <c r="AH1130" s="97">
        <v>1517.9499729250342</v>
      </c>
      <c r="AI1130" s="97">
        <v>1518.0129350362045</v>
      </c>
      <c r="AJ1130" s="97">
        <v>1518.0747480173068</v>
      </c>
      <c r="AK1130" s="97">
        <v>1518.1354310148761</v>
      </c>
      <c r="AL1130" s="97">
        <v>1518.1950029256477</v>
      </c>
      <c r="AM1130" s="97">
        <v>1518.253482397093</v>
      </c>
      <c r="AN1130" s="97">
        <v>1518.3108878280816</v>
      </c>
      <c r="AO1130" s="97">
        <v>1518.3672373696654</v>
      </c>
      <c r="AP1130" s="97">
        <v>1518.4225489259779</v>
      </c>
      <c r="AQ1130" s="97">
        <v>1518.4768401552424</v>
      </c>
      <c r="AR1130" s="97">
        <v>1518.5301284708844</v>
      </c>
      <c r="AS1130" s="97">
        <v>1518.5824310427427</v>
      </c>
      <c r="AT1130" s="97">
        <v>1518.6337647983728</v>
      </c>
      <c r="AU1130" s="97">
        <v>1518.6841464244389</v>
      </c>
      <c r="AV1130" s="97">
        <v>1518.7335923681896</v>
      </c>
      <c r="AW1130" s="97">
        <v>1518.7821188390096</v>
      </c>
      <c r="AX1130" s="98">
        <v>1518.8297418100487</v>
      </c>
    </row>
    <row r="1131" spans="1:50" x14ac:dyDescent="0.25">
      <c r="A1131" s="356"/>
      <c r="B1131" s="359"/>
      <c r="C1131" s="361" t="s">
        <v>15</v>
      </c>
      <c r="D1131" s="58" t="s">
        <v>7</v>
      </c>
      <c r="E1131" s="164" t="str">
        <f>A1105&amp;"/"&amp;B1125&amp;"/"&amp;C1131&amp;"/"&amp;D1131</f>
        <v>Diesel oil fired power plants/Steam turbine/Electricity only with CCS/L</v>
      </c>
      <c r="F1131" s="78" t="str">
        <f>A1105</f>
        <v>Diesel oil fired power plants</v>
      </c>
      <c r="G1131" s="78" t="str">
        <f>B1125</f>
        <v>Steam turbine</v>
      </c>
      <c r="H1131" s="78" t="str">
        <f>C1131</f>
        <v>Electricity only with CCS</v>
      </c>
      <c r="I1131" s="165" t="str">
        <f t="shared" si="95"/>
        <v>L</v>
      </c>
      <c r="J1131" s="95" t="s">
        <v>112</v>
      </c>
      <c r="K1131" s="95" t="s">
        <v>112</v>
      </c>
      <c r="L1131" s="95" t="s">
        <v>112</v>
      </c>
      <c r="M1131" s="95" t="s">
        <v>112</v>
      </c>
      <c r="N1131" s="95" t="s">
        <v>112</v>
      </c>
      <c r="O1131" s="95" t="s">
        <v>112</v>
      </c>
      <c r="P1131" s="95" t="s">
        <v>112</v>
      </c>
      <c r="Q1131" s="95" t="s">
        <v>112</v>
      </c>
      <c r="R1131" s="95" t="s">
        <v>112</v>
      </c>
      <c r="S1131" s="95" t="s">
        <v>112</v>
      </c>
      <c r="T1131" s="95" t="s">
        <v>112</v>
      </c>
      <c r="U1131" s="95" t="s">
        <v>112</v>
      </c>
      <c r="V1131" s="95" t="s">
        <v>112</v>
      </c>
      <c r="W1131" s="95" t="s">
        <v>112</v>
      </c>
      <c r="X1131" s="95" t="s">
        <v>112</v>
      </c>
      <c r="Y1131" s="95" t="s">
        <v>112</v>
      </c>
      <c r="Z1131" s="95" t="s">
        <v>112</v>
      </c>
      <c r="AA1131" s="95" t="s">
        <v>112</v>
      </c>
      <c r="AB1131" s="95" t="s">
        <v>112</v>
      </c>
      <c r="AC1131" s="95" t="s">
        <v>112</v>
      </c>
      <c r="AD1131" s="95" t="s">
        <v>112</v>
      </c>
      <c r="AE1131" s="95">
        <v>2075</v>
      </c>
      <c r="AF1131" s="95">
        <v>2075</v>
      </c>
      <c r="AG1131" s="95">
        <v>2075</v>
      </c>
      <c r="AH1131" s="95">
        <v>2075</v>
      </c>
      <c r="AI1131" s="95">
        <v>2075</v>
      </c>
      <c r="AJ1131" s="95">
        <v>2075</v>
      </c>
      <c r="AK1131" s="95">
        <v>2075</v>
      </c>
      <c r="AL1131" s="95">
        <v>2075</v>
      </c>
      <c r="AM1131" s="95">
        <v>2075</v>
      </c>
      <c r="AN1131" s="95">
        <v>2075</v>
      </c>
      <c r="AO1131" s="95">
        <v>2075</v>
      </c>
      <c r="AP1131" s="95">
        <v>2075</v>
      </c>
      <c r="AQ1131" s="95">
        <v>2075</v>
      </c>
      <c r="AR1131" s="95">
        <v>2075</v>
      </c>
      <c r="AS1131" s="95">
        <v>2075</v>
      </c>
      <c r="AT1131" s="95">
        <v>2075</v>
      </c>
      <c r="AU1131" s="95">
        <v>2075</v>
      </c>
      <c r="AV1131" s="95">
        <v>2075</v>
      </c>
      <c r="AW1131" s="95">
        <v>2075</v>
      </c>
      <c r="AX1131" s="96">
        <v>2075</v>
      </c>
    </row>
    <row r="1132" spans="1:50" x14ac:dyDescent="0.25">
      <c r="A1132" s="356"/>
      <c r="B1132" s="359"/>
      <c r="C1132" s="360"/>
      <c r="D1132" s="59" t="s">
        <v>8</v>
      </c>
      <c r="E1132" s="166" t="str">
        <f>A1105&amp;"/"&amp;B1125&amp;"/"&amp;C1131&amp;"/"&amp;D1132</f>
        <v>Diesel oil fired power plants/Steam turbine/Electricity only with CCS/M</v>
      </c>
      <c r="F1132" s="79" t="str">
        <f>A1105</f>
        <v>Diesel oil fired power plants</v>
      </c>
      <c r="G1132" s="79" t="str">
        <f>B1125</f>
        <v>Steam turbine</v>
      </c>
      <c r="H1132" s="79" t="str">
        <f>C1131</f>
        <v>Electricity only with CCS</v>
      </c>
      <c r="I1132" s="167" t="str">
        <f t="shared" si="95"/>
        <v>M</v>
      </c>
      <c r="J1132" s="97" t="s">
        <v>112</v>
      </c>
      <c r="K1132" s="97" t="s">
        <v>112</v>
      </c>
      <c r="L1132" s="97" t="s">
        <v>112</v>
      </c>
      <c r="M1132" s="97" t="s">
        <v>112</v>
      </c>
      <c r="N1132" s="97" t="s">
        <v>112</v>
      </c>
      <c r="O1132" s="97" t="s">
        <v>112</v>
      </c>
      <c r="P1132" s="97" t="s">
        <v>112</v>
      </c>
      <c r="Q1132" s="97" t="s">
        <v>112</v>
      </c>
      <c r="R1132" s="97" t="s">
        <v>112</v>
      </c>
      <c r="S1132" s="97" t="s">
        <v>112</v>
      </c>
      <c r="T1132" s="97" t="s">
        <v>112</v>
      </c>
      <c r="U1132" s="97" t="s">
        <v>112</v>
      </c>
      <c r="V1132" s="97" t="s">
        <v>112</v>
      </c>
      <c r="W1132" s="97" t="s">
        <v>112</v>
      </c>
      <c r="X1132" s="97" t="s">
        <v>112</v>
      </c>
      <c r="Y1132" s="97" t="s">
        <v>112</v>
      </c>
      <c r="Z1132" s="97" t="s">
        <v>112</v>
      </c>
      <c r="AA1132" s="97" t="s">
        <v>112</v>
      </c>
      <c r="AB1132" s="97" t="s">
        <v>112</v>
      </c>
      <c r="AC1132" s="97" t="s">
        <v>112</v>
      </c>
      <c r="AD1132" s="97" t="s">
        <v>112</v>
      </c>
      <c r="AE1132" s="97">
        <v>2632.25</v>
      </c>
      <c r="AF1132" s="97">
        <v>2632.25</v>
      </c>
      <c r="AG1132" s="97">
        <v>2632.25</v>
      </c>
      <c r="AH1132" s="97">
        <v>2632.25</v>
      </c>
      <c r="AI1132" s="97">
        <v>2632.25</v>
      </c>
      <c r="AJ1132" s="97">
        <v>2632.25</v>
      </c>
      <c r="AK1132" s="97">
        <v>2632.25</v>
      </c>
      <c r="AL1132" s="97">
        <v>2632.25</v>
      </c>
      <c r="AM1132" s="97">
        <v>2632.25</v>
      </c>
      <c r="AN1132" s="97">
        <v>2632.25</v>
      </c>
      <c r="AO1132" s="97">
        <v>2632.25</v>
      </c>
      <c r="AP1132" s="97">
        <v>2632.25</v>
      </c>
      <c r="AQ1132" s="97">
        <v>2632.25</v>
      </c>
      <c r="AR1132" s="97">
        <v>2632.25</v>
      </c>
      <c r="AS1132" s="97">
        <v>2632.25</v>
      </c>
      <c r="AT1132" s="97">
        <v>2632.25</v>
      </c>
      <c r="AU1132" s="97">
        <v>2632.25</v>
      </c>
      <c r="AV1132" s="97">
        <v>2632.25</v>
      </c>
      <c r="AW1132" s="97">
        <v>2632.25</v>
      </c>
      <c r="AX1132" s="98">
        <v>2632.25</v>
      </c>
    </row>
    <row r="1133" spans="1:50" x14ac:dyDescent="0.25">
      <c r="A1133" s="356"/>
      <c r="B1133" s="359"/>
      <c r="C1133" s="361" t="s">
        <v>16</v>
      </c>
      <c r="D1133" s="2" t="s">
        <v>7</v>
      </c>
      <c r="E1133" s="160" t="str">
        <f>A1105&amp;"/"&amp;B1125&amp;"/"&amp;C1133&amp;"/"&amp;D1133</f>
        <v>Diesel oil fired power plants/Steam turbine/CHP with CCS/L</v>
      </c>
      <c r="F1133" s="76" t="str">
        <f>A1105</f>
        <v>Diesel oil fired power plants</v>
      </c>
      <c r="G1133" s="76" t="str">
        <f>B1125</f>
        <v>Steam turbine</v>
      </c>
      <c r="H1133" s="76" t="str">
        <f>C1133</f>
        <v>CHP with CCS</v>
      </c>
      <c r="I1133" s="161" t="str">
        <f t="shared" si="95"/>
        <v>L</v>
      </c>
      <c r="J1133" s="91" t="s">
        <v>112</v>
      </c>
      <c r="K1133" s="91" t="s">
        <v>112</v>
      </c>
      <c r="L1133" s="91" t="s">
        <v>112</v>
      </c>
      <c r="M1133" s="91" t="s">
        <v>112</v>
      </c>
      <c r="N1133" s="91" t="s">
        <v>112</v>
      </c>
      <c r="O1133" s="91" t="s">
        <v>112</v>
      </c>
      <c r="P1133" s="91" t="s">
        <v>112</v>
      </c>
      <c r="Q1133" s="91" t="s">
        <v>112</v>
      </c>
      <c r="R1133" s="91" t="s">
        <v>112</v>
      </c>
      <c r="S1133" s="91" t="s">
        <v>112</v>
      </c>
      <c r="T1133" s="91" t="s">
        <v>112</v>
      </c>
      <c r="U1133" s="91" t="s">
        <v>112</v>
      </c>
      <c r="V1133" s="91" t="s">
        <v>112</v>
      </c>
      <c r="W1133" s="91" t="s">
        <v>112</v>
      </c>
      <c r="X1133" s="91" t="s">
        <v>112</v>
      </c>
      <c r="Y1133" s="91" t="s">
        <v>112</v>
      </c>
      <c r="Z1133" s="91" t="s">
        <v>112</v>
      </c>
      <c r="AA1133" s="91" t="s">
        <v>112</v>
      </c>
      <c r="AB1133" s="91" t="s">
        <v>112</v>
      </c>
      <c r="AC1133" s="91" t="s">
        <v>112</v>
      </c>
      <c r="AD1133" s="91" t="s">
        <v>112</v>
      </c>
      <c r="AE1133" s="91">
        <v>2570</v>
      </c>
      <c r="AF1133" s="91">
        <v>2570</v>
      </c>
      <c r="AG1133" s="91">
        <v>2570</v>
      </c>
      <c r="AH1133" s="91">
        <v>2570</v>
      </c>
      <c r="AI1133" s="91">
        <v>2570</v>
      </c>
      <c r="AJ1133" s="91">
        <v>2570</v>
      </c>
      <c r="AK1133" s="91">
        <v>2570</v>
      </c>
      <c r="AL1133" s="91">
        <v>2570</v>
      </c>
      <c r="AM1133" s="91">
        <v>2570</v>
      </c>
      <c r="AN1133" s="91">
        <v>2570</v>
      </c>
      <c r="AO1133" s="91">
        <v>2570</v>
      </c>
      <c r="AP1133" s="91">
        <v>2570</v>
      </c>
      <c r="AQ1133" s="91">
        <v>2570</v>
      </c>
      <c r="AR1133" s="91">
        <v>2570</v>
      </c>
      <c r="AS1133" s="91">
        <v>2570</v>
      </c>
      <c r="AT1133" s="91">
        <v>2570</v>
      </c>
      <c r="AU1133" s="91">
        <v>2570</v>
      </c>
      <c r="AV1133" s="91">
        <v>2570</v>
      </c>
      <c r="AW1133" s="91">
        <v>2570</v>
      </c>
      <c r="AX1133" s="92">
        <v>2570</v>
      </c>
    </row>
    <row r="1134" spans="1:50" x14ac:dyDescent="0.25">
      <c r="A1134" s="356"/>
      <c r="B1134" s="362"/>
      <c r="C1134" s="354"/>
      <c r="D1134" s="4" t="s">
        <v>8</v>
      </c>
      <c r="E1134" s="168" t="str">
        <f>A1105&amp;"/"&amp;B1125&amp;"/"&amp;C1133&amp;"/"&amp;D1134</f>
        <v>Diesel oil fired power plants/Steam turbine/CHP with CCS/M</v>
      </c>
      <c r="F1134" s="80" t="str">
        <f>A1105</f>
        <v>Diesel oil fired power plants</v>
      </c>
      <c r="G1134" s="80" t="str">
        <f>B1125</f>
        <v>Steam turbine</v>
      </c>
      <c r="H1134" s="80" t="str">
        <f>C1133</f>
        <v>CHP with CCS</v>
      </c>
      <c r="I1134" s="169" t="str">
        <f t="shared" si="95"/>
        <v>M</v>
      </c>
      <c r="J1134" s="99" t="s">
        <v>112</v>
      </c>
      <c r="K1134" s="99" t="s">
        <v>112</v>
      </c>
      <c r="L1134" s="99" t="s">
        <v>112</v>
      </c>
      <c r="M1134" s="99" t="s">
        <v>112</v>
      </c>
      <c r="N1134" s="99" t="s">
        <v>112</v>
      </c>
      <c r="O1134" s="99" t="s">
        <v>112</v>
      </c>
      <c r="P1134" s="99" t="s">
        <v>112</v>
      </c>
      <c r="Q1134" s="99" t="s">
        <v>112</v>
      </c>
      <c r="R1134" s="99" t="s">
        <v>112</v>
      </c>
      <c r="S1134" s="99" t="s">
        <v>112</v>
      </c>
      <c r="T1134" s="99" t="s">
        <v>112</v>
      </c>
      <c r="U1134" s="99" t="s">
        <v>112</v>
      </c>
      <c r="V1134" s="99" t="s">
        <v>112</v>
      </c>
      <c r="W1134" s="99" t="s">
        <v>112</v>
      </c>
      <c r="X1134" s="99" t="s">
        <v>112</v>
      </c>
      <c r="Y1134" s="99" t="s">
        <v>112</v>
      </c>
      <c r="Z1134" s="99" t="s">
        <v>112</v>
      </c>
      <c r="AA1134" s="99" t="s">
        <v>112</v>
      </c>
      <c r="AB1134" s="99" t="s">
        <v>112</v>
      </c>
      <c r="AC1134" s="99" t="s">
        <v>112</v>
      </c>
      <c r="AD1134" s="99" t="s">
        <v>112</v>
      </c>
      <c r="AE1134" s="99">
        <v>3127.25</v>
      </c>
      <c r="AF1134" s="99">
        <v>3127.25</v>
      </c>
      <c r="AG1134" s="99">
        <v>3127.25</v>
      </c>
      <c r="AH1134" s="99">
        <v>3127.25</v>
      </c>
      <c r="AI1134" s="99">
        <v>3127.25</v>
      </c>
      <c r="AJ1134" s="99">
        <v>3127.25</v>
      </c>
      <c r="AK1134" s="99">
        <v>3127.25</v>
      </c>
      <c r="AL1134" s="99">
        <v>3127.25</v>
      </c>
      <c r="AM1134" s="99">
        <v>3127.25</v>
      </c>
      <c r="AN1134" s="99">
        <v>3127.25</v>
      </c>
      <c r="AO1134" s="99">
        <v>3127.25</v>
      </c>
      <c r="AP1134" s="99">
        <v>3127.25</v>
      </c>
      <c r="AQ1134" s="99">
        <v>3127.25</v>
      </c>
      <c r="AR1134" s="99">
        <v>3127.25</v>
      </c>
      <c r="AS1134" s="99">
        <v>3127.25</v>
      </c>
      <c r="AT1134" s="99">
        <v>3127.25</v>
      </c>
      <c r="AU1134" s="99">
        <v>3127.25</v>
      </c>
      <c r="AV1134" s="99">
        <v>3127.25</v>
      </c>
      <c r="AW1134" s="99">
        <v>3127.25</v>
      </c>
      <c r="AX1134" s="100">
        <v>3127.25</v>
      </c>
    </row>
    <row r="1135" spans="1:50" x14ac:dyDescent="0.25">
      <c r="A1135" s="356"/>
      <c r="B1135" s="358" t="s">
        <v>25</v>
      </c>
      <c r="C1135" s="353" t="s">
        <v>6</v>
      </c>
      <c r="D1135" s="3" t="s">
        <v>10</v>
      </c>
      <c r="E1135" s="162" t="str">
        <f>A1105&amp;"/"&amp;B1135&amp;"/"&amp;C1135&amp;"/"&amp;D1135</f>
        <v>Diesel oil fired power plants/Internal combustion engine/Electricity only/S</v>
      </c>
      <c r="F1135" s="77" t="str">
        <f>A1105</f>
        <v>Diesel oil fired power plants</v>
      </c>
      <c r="G1135" s="77" t="str">
        <f>B1135</f>
        <v>Internal combustion engine</v>
      </c>
      <c r="H1135" s="77" t="str">
        <f>C1135</f>
        <v>Electricity only</v>
      </c>
      <c r="I1135" s="163" t="str">
        <f t="shared" si="95"/>
        <v>S</v>
      </c>
      <c r="J1135" s="93">
        <v>475</v>
      </c>
      <c r="K1135" s="93">
        <v>474.95233093209629</v>
      </c>
      <c r="L1135" s="93">
        <v>474.90241345340621</v>
      </c>
      <c r="M1135" s="93">
        <v>474.85015158703573</v>
      </c>
      <c r="N1135" s="93">
        <v>474.79544627091519</v>
      </c>
      <c r="O1135" s="93">
        <v>474.73819536369791</v>
      </c>
      <c r="P1135" s="93">
        <v>474.67829366403345</v>
      </c>
      <c r="Q1135" s="93">
        <v>474.61563294470147</v>
      </c>
      <c r="R1135" s="93">
        <v>474.55010200317912</v>
      </c>
      <c r="S1135" s="93">
        <v>474.48158673029747</v>
      </c>
      <c r="T1135" s="93">
        <v>474.40997019872572</v>
      </c>
      <c r="U1135" s="93">
        <v>474.33513277309368</v>
      </c>
      <c r="V1135" s="93">
        <v>474.25695224363216</v>
      </c>
      <c r="W1135" s="93">
        <v>474.17530398526503</v>
      </c>
      <c r="X1135" s="93">
        <v>474.09006114413313</v>
      </c>
      <c r="Y1135" s="93">
        <v>474.00109485355705</v>
      </c>
      <c r="Z1135" s="93">
        <v>473.90827448145643</v>
      </c>
      <c r="AA1135" s="93">
        <v>473.8114679112316</v>
      </c>
      <c r="AB1135" s="93">
        <v>473.71054185807662</v>
      </c>
      <c r="AC1135" s="93">
        <v>473.6053622226263</v>
      </c>
      <c r="AD1135" s="93">
        <v>473.4957944837401</v>
      </c>
      <c r="AE1135" s="93">
        <v>473.38170413209053</v>
      </c>
      <c r="AF1135" s="93">
        <v>473.26295714604538</v>
      </c>
      <c r="AG1135" s="93">
        <v>473.13942051110985</v>
      </c>
      <c r="AH1135" s="93">
        <v>473.01096278392384</v>
      </c>
      <c r="AI1135" s="93">
        <v>472.87745470148343</v>
      </c>
      <c r="AJ1135" s="93">
        <v>472.7387698358749</v>
      </c>
      <c r="AK1135" s="93">
        <v>472.59478529436916</v>
      </c>
      <c r="AL1135" s="93">
        <v>472.44538246422411</v>
      </c>
      <c r="AM1135" s="93">
        <v>472.29044780097814</v>
      </c>
      <c r="AN1135" s="93">
        <v>472.12987365839336</v>
      </c>
      <c r="AO1135" s="93">
        <v>471.96355915752213</v>
      </c>
      <c r="AP1135" s="93">
        <v>471.79141109162572</v>
      </c>
      <c r="AQ1135" s="93">
        <v>471.61334486287933</v>
      </c>
      <c r="AR1135" s="93">
        <v>471.42928544595395</v>
      </c>
      <c r="AS1135" s="93">
        <v>471.23916837268774</v>
      </c>
      <c r="AT1135" s="93">
        <v>471.04294073115278</v>
      </c>
      <c r="AU1135" s="93">
        <v>470.84056217150669</v>
      </c>
      <c r="AV1135" s="93">
        <v>470.63200591010309</v>
      </c>
      <c r="AW1135" s="93">
        <v>470.41725972244433</v>
      </c>
      <c r="AX1135" s="94">
        <v>470.19632691471031</v>
      </c>
    </row>
    <row r="1136" spans="1:50" x14ac:dyDescent="0.25">
      <c r="A1136" s="356"/>
      <c r="B1136" s="359"/>
      <c r="C1136" s="360"/>
      <c r="D1136" s="59" t="s">
        <v>20</v>
      </c>
      <c r="E1136" s="160" t="str">
        <f>A1105&amp;"/"&amp;B1135&amp;"/"&amp;C1135&amp;"/"&amp;D1136</f>
        <v>Diesel oil fired power plants/Internal combustion engine/Electricity only/XS</v>
      </c>
      <c r="F1136" s="76" t="str">
        <f>A1105</f>
        <v>Diesel oil fired power plants</v>
      </c>
      <c r="G1136" s="76" t="str">
        <f>B1135</f>
        <v>Internal combustion engine</v>
      </c>
      <c r="H1136" s="76" t="str">
        <f>C1135</f>
        <v>Electricity only</v>
      </c>
      <c r="I1136" s="161" t="str">
        <f t="shared" si="95"/>
        <v>XS</v>
      </c>
      <c r="J1136" s="91">
        <v>439.375</v>
      </c>
      <c r="K1136" s="91">
        <v>439.34037519625082</v>
      </c>
      <c r="L1136" s="91">
        <v>439.30408677122171</v>
      </c>
      <c r="M1136" s="91">
        <v>439.26606059841066</v>
      </c>
      <c r="N1136" s="91">
        <v>439.22621983717897</v>
      </c>
      <c r="O1136" s="91">
        <v>439.18448489444876</v>
      </c>
      <c r="P1136" s="91">
        <v>439.14077339305902</v>
      </c>
      <c r="Q1136" s="91">
        <v>439.09500014774318</v>
      </c>
      <c r="R1136" s="91">
        <v>439.04707714977098</v>
      </c>
      <c r="S1136" s="91">
        <v>438.99691356137316</v>
      </c>
      <c r="T1136" s="91">
        <v>438.94441572115011</v>
      </c>
      <c r="U1136" s="91">
        <v>438.88948716174508</v>
      </c>
      <c r="V1136" s="91">
        <v>438.8320286411444</v>
      </c>
      <c r="W1136" s="91">
        <v>438.77193818904635</v>
      </c>
      <c r="X1136" s="91">
        <v>438.70911116981796</v>
      </c>
      <c r="Y1136" s="91">
        <v>438.64344036363286</v>
      </c>
      <c r="Z1136" s="91">
        <v>438.57481606745142</v>
      </c>
      <c r="AA1136" s="91">
        <v>438.50312621756575</v>
      </c>
      <c r="AB1136" s="91">
        <v>438.42825653548397</v>
      </c>
      <c r="AC1136" s="91">
        <v>438.35009069896853</v>
      </c>
      <c r="AD1136" s="91">
        <v>438.26851054006949</v>
      </c>
      <c r="AE1136" s="91">
        <v>438.1833962720022</v>
      </c>
      <c r="AF1136" s="91">
        <v>438.09462674671028</v>
      </c>
      <c r="AG1136" s="91">
        <v>438.00207974491752</v>
      </c>
      <c r="AH1136" s="91">
        <v>437.90563230041437</v>
      </c>
      <c r="AI1136" s="91">
        <v>437.80516106023259</v>
      </c>
      <c r="AJ1136" s="91">
        <v>437.70054268223618</v>
      </c>
      <c r="AK1136" s="91">
        <v>437.59165427149514</v>
      </c>
      <c r="AL1136" s="91">
        <v>437.47837385660273</v>
      </c>
      <c r="AM1136" s="91">
        <v>437.36058090684844</v>
      </c>
      <c r="AN1136" s="91">
        <v>437.23815689086132</v>
      </c>
      <c r="AO1136" s="91">
        <v>437.11098587698643</v>
      </c>
      <c r="AP1136" s="91">
        <v>436.97895517525671</v>
      </c>
      <c r="AQ1136" s="91">
        <v>436.8419560203601</v>
      </c>
      <c r="AR1136" s="91">
        <v>436.69988429448796</v>
      </c>
      <c r="AS1136" s="91">
        <v>436.5526412883749</v>
      </c>
      <c r="AT1136" s="91">
        <v>436.40013449821373</v>
      </c>
      <c r="AU1136" s="91">
        <v>436.24227845544675</v>
      </c>
      <c r="AV1136" s="91">
        <v>436.07899558570324</v>
      </c>
      <c r="AW1136" s="91">
        <v>435.91021709238385</v>
      </c>
      <c r="AX1136" s="92">
        <v>435.73588385958226</v>
      </c>
    </row>
    <row r="1137" spans="1:50" x14ac:dyDescent="0.25">
      <c r="A1137" s="356"/>
      <c r="B1137" s="359"/>
      <c r="C1137" s="350" t="s">
        <v>14</v>
      </c>
      <c r="D1137" s="2" t="s">
        <v>10</v>
      </c>
      <c r="E1137" s="164" t="str">
        <f>A1105&amp;"/"&amp;B1135&amp;"/"&amp;C1137&amp;"/"&amp;D1137</f>
        <v>Diesel oil fired power plants/Internal combustion engine/CHP/S</v>
      </c>
      <c r="F1137" s="78" t="str">
        <f>A1105</f>
        <v>Diesel oil fired power plants</v>
      </c>
      <c r="G1137" s="78" t="str">
        <f>B1135</f>
        <v>Internal combustion engine</v>
      </c>
      <c r="H1137" s="78" t="str">
        <f>C1137</f>
        <v>CHP</v>
      </c>
      <c r="I1137" s="165" t="str">
        <f t="shared" si="95"/>
        <v>S</v>
      </c>
      <c r="J1137" s="95">
        <v>605</v>
      </c>
      <c r="K1137" s="95">
        <v>604.96262816375395</v>
      </c>
      <c r="L1137" s="95">
        <v>604.92343470742776</v>
      </c>
      <c r="M1137" s="95">
        <v>604.88233579147527</v>
      </c>
      <c r="N1137" s="95">
        <v>604.83924422372763</v>
      </c>
      <c r="O1137" s="95">
        <v>604.79406937786905</v>
      </c>
      <c r="P1137" s="95">
        <v>604.74671711585893</v>
      </c>
      <c r="Q1137" s="95">
        <v>604.69708971515604</v>
      </c>
      <c r="R1137" s="95">
        <v>604.64508580168308</v>
      </c>
      <c r="S1137" s="95">
        <v>604.59060028955741</v>
      </c>
      <c r="T1137" s="95">
        <v>604.53352432870997</v>
      </c>
      <c r="U1137" s="95">
        <v>604.47374526160934</v>
      </c>
      <c r="V1137" s="95">
        <v>604.41114659040966</v>
      </c>
      <c r="W1137" s="95">
        <v>604.34560795594609</v>
      </c>
      <c r="X1137" s="95">
        <v>604.27700513011087</v>
      </c>
      <c r="Y1137" s="95">
        <v>604.20521002325006</v>
      </c>
      <c r="Z1137" s="95">
        <v>604.13009070833266</v>
      </c>
      <c r="AA1137" s="95">
        <v>604.05151146375681</v>
      </c>
      <c r="AB1137" s="95">
        <v>603.96933283676242</v>
      </c>
      <c r="AC1137" s="95">
        <v>603.88341172953051</v>
      </c>
      <c r="AD1137" s="95">
        <v>603.79360151014498</v>
      </c>
      <c r="AE1137" s="95">
        <v>603.69975215069201</v>
      </c>
      <c r="AF1137" s="95">
        <v>603.60171039484999</v>
      </c>
      <c r="AG1137" s="95">
        <v>603.49931995739837</v>
      </c>
      <c r="AH1137" s="95">
        <v>603.39242175812683</v>
      </c>
      <c r="AI1137" s="95">
        <v>603.2808541926612</v>
      </c>
      <c r="AJ1137" s="95">
        <v>603.1644534427387</v>
      </c>
      <c r="AK1137" s="95">
        <v>603.04305382844518</v>
      </c>
      <c r="AL1137" s="95">
        <v>602.91648820488558</v>
      </c>
      <c r="AM1137" s="95">
        <v>602.78458840567214</v>
      </c>
      <c r="AN1137" s="95">
        <v>602.64718573549271</v>
      </c>
      <c r="AO1137" s="95">
        <v>602.50411151384958</v>
      </c>
      <c r="AP1137" s="95">
        <v>602.35519767183541</v>
      </c>
      <c r="AQ1137" s="95">
        <v>602.20027740353692</v>
      </c>
      <c r="AR1137" s="95">
        <v>602.03918587331145</v>
      </c>
      <c r="AS1137" s="95">
        <v>601.87176097977704</v>
      </c>
      <c r="AT1137" s="95">
        <v>601.69784417687697</v>
      </c>
      <c r="AU1137" s="95">
        <v>601.51728135182873</v>
      </c>
      <c r="AV1137" s="95">
        <v>601.32992375913818</v>
      </c>
      <c r="AW1137" s="95">
        <v>601.13562900915292</v>
      </c>
      <c r="AX1137" s="96">
        <v>600.93426210884832</v>
      </c>
    </row>
    <row r="1138" spans="1:50" x14ac:dyDescent="0.25">
      <c r="A1138" s="357"/>
      <c r="B1138" s="362"/>
      <c r="C1138" s="354"/>
      <c r="D1138" s="4" t="s">
        <v>20</v>
      </c>
      <c r="E1138" s="168" t="str">
        <f>A1105&amp;"/"&amp;B1135&amp;"/"&amp;C1137&amp;"/"&amp;D1138</f>
        <v>Diesel oil fired power plants/Internal combustion engine/CHP/XS</v>
      </c>
      <c r="F1138" s="80" t="str">
        <f>A1105</f>
        <v>Diesel oil fired power plants</v>
      </c>
      <c r="G1138" s="80" t="str">
        <f>B1135</f>
        <v>Internal combustion engine</v>
      </c>
      <c r="H1138" s="80" t="str">
        <f>C1137</f>
        <v>CHP</v>
      </c>
      <c r="I1138" s="169" t="str">
        <f t="shared" si="95"/>
        <v>XS</v>
      </c>
      <c r="J1138" s="99">
        <v>524.375</v>
      </c>
      <c r="K1138" s="99">
        <v>524.34260850143551</v>
      </c>
      <c r="L1138" s="99">
        <v>524.30863814001236</v>
      </c>
      <c r="M1138" s="99">
        <v>524.27301624901634</v>
      </c>
      <c r="N1138" s="99">
        <v>524.23566725589615</v>
      </c>
      <c r="O1138" s="99">
        <v>524.19651261160345</v>
      </c>
      <c r="P1138" s="99">
        <v>524.15547072335289</v>
      </c>
      <c r="Q1138" s="99">
        <v>524.11245689154543</v>
      </c>
      <c r="R1138" s="99">
        <v>524.06738325166543</v>
      </c>
      <c r="S1138" s="99">
        <v>524.02015872204402</v>
      </c>
      <c r="T1138" s="99">
        <v>523.97068895845825</v>
      </c>
      <c r="U1138" s="99">
        <v>523.91887631662223</v>
      </c>
      <c r="V1138" s="99">
        <v>523.86461982371247</v>
      </c>
      <c r="W1138" s="99">
        <v>523.80781516016407</v>
      </c>
      <c r="X1138" s="99">
        <v>523.74835465306103</v>
      </c>
      <c r="Y1138" s="99">
        <v>523.68612728254834</v>
      </c>
      <c r="Z1138" s="99">
        <v>523.62101870278002</v>
      </c>
      <c r="AA1138" s="99">
        <v>523.55291127902058</v>
      </c>
      <c r="AB1138" s="99">
        <v>523.48168414260715</v>
      </c>
      <c r="AC1138" s="99">
        <v>523.40721326557446</v>
      </c>
      <c r="AD1138" s="99">
        <v>523.32937155683021</v>
      </c>
      <c r="AE1138" s="99">
        <v>523.24802898184976</v>
      </c>
      <c r="AF1138" s="99">
        <v>523.16305270793293</v>
      </c>
      <c r="AG1138" s="99">
        <v>523.07430727712529</v>
      </c>
      <c r="AH1138" s="99">
        <v>522.98165480895489</v>
      </c>
      <c r="AI1138" s="99">
        <v>522.88495523516815</v>
      </c>
      <c r="AJ1138" s="99">
        <v>522.78406656865479</v>
      </c>
      <c r="AK1138" s="99">
        <v>522.67884520874543</v>
      </c>
      <c r="AL1138" s="99">
        <v>522.56914628501966</v>
      </c>
      <c r="AM1138" s="99">
        <v>522.45482404169309</v>
      </c>
      <c r="AN1138" s="99">
        <v>522.33573226454382</v>
      </c>
      <c r="AO1138" s="99">
        <v>522.21172475218987</v>
      </c>
      <c r="AP1138" s="99">
        <v>522.08265583333673</v>
      </c>
      <c r="AQ1138" s="99">
        <v>521.94838093137128</v>
      </c>
      <c r="AR1138" s="99">
        <v>521.80875717738456</v>
      </c>
      <c r="AS1138" s="99">
        <v>521.66364407234801</v>
      </c>
      <c r="AT1138" s="99">
        <v>521.51290419876011</v>
      </c>
      <c r="AU1138" s="99">
        <v>521.35640398159535</v>
      </c>
      <c r="AV1138" s="99">
        <v>521.194014497848</v>
      </c>
      <c r="AW1138" s="99">
        <v>521.02561233334643</v>
      </c>
      <c r="AX1138" s="100">
        <v>520.85108048483858</v>
      </c>
    </row>
    <row r="1139" spans="1:50" x14ac:dyDescent="0.25">
      <c r="A1139" s="355" t="s">
        <v>29</v>
      </c>
      <c r="B1139" s="358" t="s">
        <v>13</v>
      </c>
      <c r="C1139" s="353" t="s">
        <v>6</v>
      </c>
      <c r="D1139" s="3" t="s">
        <v>7</v>
      </c>
      <c r="E1139" s="162" t="str">
        <f>A1139&amp;"/"&amp;B1139&amp;"/"&amp;C1139&amp;"/"&amp;D1139</f>
        <v>Fuel oil fired power plants/Integrated gasification combined cycle/Electricity only/L</v>
      </c>
      <c r="F1139" s="77" t="str">
        <f>A1139</f>
        <v>Fuel oil fired power plants</v>
      </c>
      <c r="G1139" s="77" t="str">
        <f>B1139</f>
        <v>Integrated gasification combined cycle</v>
      </c>
      <c r="H1139" s="77" t="str">
        <f>C1139</f>
        <v>Electricity only</v>
      </c>
      <c r="I1139" s="163" t="str">
        <f t="shared" si="95"/>
        <v>L</v>
      </c>
      <c r="J1139" s="93">
        <v>2380</v>
      </c>
      <c r="K1139" s="93">
        <v>2380</v>
      </c>
      <c r="L1139" s="93">
        <v>2380</v>
      </c>
      <c r="M1139" s="93">
        <v>2380</v>
      </c>
      <c r="N1139" s="93">
        <v>2380</v>
      </c>
      <c r="O1139" s="93">
        <v>2380</v>
      </c>
      <c r="P1139" s="93">
        <v>2380</v>
      </c>
      <c r="Q1139" s="93">
        <v>2380</v>
      </c>
      <c r="R1139" s="93">
        <v>2380</v>
      </c>
      <c r="S1139" s="93">
        <v>2380</v>
      </c>
      <c r="T1139" s="93">
        <v>2380</v>
      </c>
      <c r="U1139" s="93">
        <v>2380</v>
      </c>
      <c r="V1139" s="93">
        <v>2380</v>
      </c>
      <c r="W1139" s="93">
        <v>2380</v>
      </c>
      <c r="X1139" s="93">
        <v>2380</v>
      </c>
      <c r="Y1139" s="93">
        <v>2380</v>
      </c>
      <c r="Z1139" s="93">
        <v>2380</v>
      </c>
      <c r="AA1139" s="93">
        <v>2380</v>
      </c>
      <c r="AB1139" s="93">
        <v>2380</v>
      </c>
      <c r="AC1139" s="93">
        <v>2380</v>
      </c>
      <c r="AD1139" s="93">
        <v>2380</v>
      </c>
      <c r="AE1139" s="93">
        <v>2380</v>
      </c>
      <c r="AF1139" s="93">
        <v>2380</v>
      </c>
      <c r="AG1139" s="93">
        <v>2380</v>
      </c>
      <c r="AH1139" s="93">
        <v>2380</v>
      </c>
      <c r="AI1139" s="93">
        <v>2380</v>
      </c>
      <c r="AJ1139" s="93">
        <v>2380</v>
      </c>
      <c r="AK1139" s="93">
        <v>2380</v>
      </c>
      <c r="AL1139" s="93">
        <v>2380</v>
      </c>
      <c r="AM1139" s="93">
        <v>2380</v>
      </c>
      <c r="AN1139" s="93">
        <v>2379.3486258483531</v>
      </c>
      <c r="AO1139" s="93">
        <v>2379.1223339288667</v>
      </c>
      <c r="AP1139" s="93">
        <v>2378.8181725903855</v>
      </c>
      <c r="AQ1139" s="93">
        <v>2378.4099503943335</v>
      </c>
      <c r="AR1139" s="93">
        <v>2377.8631522382479</v>
      </c>
      <c r="AS1139" s="93">
        <v>2377.132682010219</v>
      </c>
      <c r="AT1139" s="93">
        <v>2376.1603044683152</v>
      </c>
      <c r="AU1139" s="93">
        <v>2374.8720166956214</v>
      </c>
      <c r="AV1139" s="93">
        <v>2373.1758508721482</v>
      </c>
      <c r="AW1139" s="93">
        <v>2370.9610333236074</v>
      </c>
      <c r="AX1139" s="94">
        <v>2368.1</v>
      </c>
    </row>
    <row r="1140" spans="1:50" x14ac:dyDescent="0.25">
      <c r="A1140" s="356"/>
      <c r="B1140" s="359"/>
      <c r="C1140" s="360"/>
      <c r="D1140" s="2" t="s">
        <v>8</v>
      </c>
      <c r="E1140" s="160" t="str">
        <f>A1139&amp;"/"&amp;B1139&amp;"/"&amp;C1139&amp;"/"&amp;D1140</f>
        <v>Fuel oil fired power plants/Integrated gasification combined cycle/Electricity only/M</v>
      </c>
      <c r="F1140" s="76" t="str">
        <f>A1139</f>
        <v>Fuel oil fired power plants</v>
      </c>
      <c r="G1140" s="76" t="str">
        <f>B1139</f>
        <v>Integrated gasification combined cycle</v>
      </c>
      <c r="H1140" s="76" t="str">
        <f>C1139</f>
        <v>Electricity only</v>
      </c>
      <c r="I1140" s="161" t="str">
        <f t="shared" si="95"/>
        <v>M</v>
      </c>
      <c r="J1140" s="91">
        <v>2558.5</v>
      </c>
      <c r="K1140" s="91">
        <v>2558.5</v>
      </c>
      <c r="L1140" s="91">
        <v>2558.5</v>
      </c>
      <c r="M1140" s="91">
        <v>2558.5</v>
      </c>
      <c r="N1140" s="91">
        <v>2558.5</v>
      </c>
      <c r="O1140" s="91">
        <v>2558.5</v>
      </c>
      <c r="P1140" s="91">
        <v>2558.5</v>
      </c>
      <c r="Q1140" s="91">
        <v>2558.5</v>
      </c>
      <c r="R1140" s="91">
        <v>2558.5</v>
      </c>
      <c r="S1140" s="91">
        <v>2558.5</v>
      </c>
      <c r="T1140" s="91">
        <v>2558.5</v>
      </c>
      <c r="U1140" s="91">
        <v>2558.5</v>
      </c>
      <c r="V1140" s="91">
        <v>2558.5</v>
      </c>
      <c r="W1140" s="91">
        <v>2558.5</v>
      </c>
      <c r="X1140" s="91">
        <v>2558.5</v>
      </c>
      <c r="Y1140" s="91">
        <v>2558.5</v>
      </c>
      <c r="Z1140" s="91">
        <v>2558.5</v>
      </c>
      <c r="AA1140" s="91">
        <v>2558.5</v>
      </c>
      <c r="AB1140" s="91">
        <v>2558.5</v>
      </c>
      <c r="AC1140" s="91">
        <v>2558.5</v>
      </c>
      <c r="AD1140" s="91">
        <v>2558.5</v>
      </c>
      <c r="AE1140" s="91">
        <v>2558.5</v>
      </c>
      <c r="AF1140" s="91">
        <v>2558.5</v>
      </c>
      <c r="AG1140" s="91">
        <v>2558.5</v>
      </c>
      <c r="AH1140" s="91">
        <v>2558.5</v>
      </c>
      <c r="AI1140" s="91">
        <v>2558.5</v>
      </c>
      <c r="AJ1140" s="91">
        <v>2558.5</v>
      </c>
      <c r="AK1140" s="91">
        <v>2558.5</v>
      </c>
      <c r="AL1140" s="91">
        <v>2558.5</v>
      </c>
      <c r="AM1140" s="91">
        <v>2558.5</v>
      </c>
      <c r="AN1140" s="91">
        <v>2557.7997727869792</v>
      </c>
      <c r="AO1140" s="91">
        <v>2557.5565089735319</v>
      </c>
      <c r="AP1140" s="91">
        <v>2557.2295355346641</v>
      </c>
      <c r="AQ1140" s="91">
        <v>2556.7906966739083</v>
      </c>
      <c r="AR1140" s="91">
        <v>2556.2028886561161</v>
      </c>
      <c r="AS1140" s="91">
        <v>2555.4176331609856</v>
      </c>
      <c r="AT1140" s="91">
        <v>2554.3723273034389</v>
      </c>
      <c r="AU1140" s="91">
        <v>2552.9874179477924</v>
      </c>
      <c r="AV1140" s="91">
        <v>2551.1640396875591</v>
      </c>
      <c r="AW1140" s="91">
        <v>2548.7831108228775</v>
      </c>
      <c r="AX1140" s="92">
        <v>2545.7075</v>
      </c>
    </row>
    <row r="1141" spans="1:50" x14ac:dyDescent="0.25">
      <c r="A1141" s="356"/>
      <c r="B1141" s="359"/>
      <c r="C1141" s="361" t="s">
        <v>14</v>
      </c>
      <c r="D1141" s="58" t="s">
        <v>7</v>
      </c>
      <c r="E1141" s="164" t="str">
        <f>A1139&amp;"/"&amp;B1139&amp;"/"&amp;C1141&amp;"/"&amp;D1141</f>
        <v>Fuel oil fired power plants/Integrated gasification combined cycle/CHP/L</v>
      </c>
      <c r="F1141" s="78" t="str">
        <f>A1139</f>
        <v>Fuel oil fired power plants</v>
      </c>
      <c r="G1141" s="78" t="str">
        <f>B1139</f>
        <v>Integrated gasification combined cycle</v>
      </c>
      <c r="H1141" s="78" t="str">
        <f>C1141</f>
        <v>CHP</v>
      </c>
      <c r="I1141" s="165" t="str">
        <f t="shared" si="95"/>
        <v>L</v>
      </c>
      <c r="J1141" s="95">
        <v>2750</v>
      </c>
      <c r="K1141" s="95">
        <v>2750</v>
      </c>
      <c r="L1141" s="95">
        <v>2750</v>
      </c>
      <c r="M1141" s="95">
        <v>2750</v>
      </c>
      <c r="N1141" s="95">
        <v>2750</v>
      </c>
      <c r="O1141" s="95">
        <v>2750</v>
      </c>
      <c r="P1141" s="95">
        <v>2750</v>
      </c>
      <c r="Q1141" s="95">
        <v>2750</v>
      </c>
      <c r="R1141" s="95">
        <v>2750</v>
      </c>
      <c r="S1141" s="95">
        <v>2750</v>
      </c>
      <c r="T1141" s="95">
        <v>2750</v>
      </c>
      <c r="U1141" s="95">
        <v>2750</v>
      </c>
      <c r="V1141" s="95">
        <v>2750</v>
      </c>
      <c r="W1141" s="95">
        <v>2750</v>
      </c>
      <c r="X1141" s="95">
        <v>2750</v>
      </c>
      <c r="Y1141" s="95">
        <v>2750</v>
      </c>
      <c r="Z1141" s="95">
        <v>2750</v>
      </c>
      <c r="AA1141" s="95">
        <v>2750</v>
      </c>
      <c r="AB1141" s="95">
        <v>2750</v>
      </c>
      <c r="AC1141" s="95">
        <v>2750</v>
      </c>
      <c r="AD1141" s="95">
        <v>2750</v>
      </c>
      <c r="AE1141" s="95">
        <v>2750</v>
      </c>
      <c r="AF1141" s="95">
        <v>2750</v>
      </c>
      <c r="AG1141" s="95">
        <v>2750</v>
      </c>
      <c r="AH1141" s="95">
        <v>2750</v>
      </c>
      <c r="AI1141" s="95">
        <v>2750</v>
      </c>
      <c r="AJ1141" s="95">
        <v>2750</v>
      </c>
      <c r="AK1141" s="95">
        <v>2750</v>
      </c>
      <c r="AL1141" s="95">
        <v>2750</v>
      </c>
      <c r="AM1141" s="95">
        <v>2750</v>
      </c>
      <c r="AN1141" s="95">
        <v>2749.2473617995674</v>
      </c>
      <c r="AO1141" s="95">
        <v>2748.9858900438589</v>
      </c>
      <c r="AP1141" s="95">
        <v>2748.6344431191428</v>
      </c>
      <c r="AQ1141" s="95">
        <v>2748.1627578085781</v>
      </c>
      <c r="AR1141" s="95">
        <v>2747.5309532164629</v>
      </c>
      <c r="AS1141" s="95">
        <v>2746.6869224907996</v>
      </c>
      <c r="AT1141" s="95">
        <v>2745.5633770117088</v>
      </c>
      <c r="AU1141" s="95">
        <v>2744.0748092071253</v>
      </c>
      <c r="AV1141" s="95">
        <v>2742.1149537388269</v>
      </c>
      <c r="AW1141" s="95">
        <v>2739.5558158150925</v>
      </c>
      <c r="AX1141" s="96">
        <v>2736.25</v>
      </c>
    </row>
    <row r="1142" spans="1:50" x14ac:dyDescent="0.25">
      <c r="A1142" s="356"/>
      <c r="B1142" s="359"/>
      <c r="C1142" s="360"/>
      <c r="D1142" s="59" t="s">
        <v>8</v>
      </c>
      <c r="E1142" s="166" t="str">
        <f>A1139&amp;"/"&amp;B1139&amp;"/"&amp;C1141&amp;"/"&amp;D1142</f>
        <v>Fuel oil fired power plants/Integrated gasification combined cycle/CHP/M</v>
      </c>
      <c r="F1142" s="79" t="str">
        <f>A1139</f>
        <v>Fuel oil fired power plants</v>
      </c>
      <c r="G1142" s="79" t="str">
        <f>B1139</f>
        <v>Integrated gasification combined cycle</v>
      </c>
      <c r="H1142" s="79" t="str">
        <f>C1141</f>
        <v>CHP</v>
      </c>
      <c r="I1142" s="167" t="str">
        <f t="shared" si="95"/>
        <v>M</v>
      </c>
      <c r="J1142" s="97">
        <v>2928.5</v>
      </c>
      <c r="K1142" s="97">
        <v>2928.5</v>
      </c>
      <c r="L1142" s="97">
        <v>2928.5</v>
      </c>
      <c r="M1142" s="97">
        <v>2928.5</v>
      </c>
      <c r="N1142" s="97">
        <v>2928.5</v>
      </c>
      <c r="O1142" s="97">
        <v>2928.5</v>
      </c>
      <c r="P1142" s="97">
        <v>2928.5</v>
      </c>
      <c r="Q1142" s="97">
        <v>2928.5</v>
      </c>
      <c r="R1142" s="97">
        <v>2928.5</v>
      </c>
      <c r="S1142" s="97">
        <v>2928.5</v>
      </c>
      <c r="T1142" s="97">
        <v>2928.5</v>
      </c>
      <c r="U1142" s="97">
        <v>2928.5</v>
      </c>
      <c r="V1142" s="97">
        <v>2928.5</v>
      </c>
      <c r="W1142" s="97">
        <v>2928.5</v>
      </c>
      <c r="X1142" s="97">
        <v>2928.5</v>
      </c>
      <c r="Y1142" s="97">
        <v>2928.5</v>
      </c>
      <c r="Z1142" s="97">
        <v>2928.5</v>
      </c>
      <c r="AA1142" s="97">
        <v>2928.5</v>
      </c>
      <c r="AB1142" s="97">
        <v>2928.5</v>
      </c>
      <c r="AC1142" s="97">
        <v>2928.5</v>
      </c>
      <c r="AD1142" s="97">
        <v>2928.5</v>
      </c>
      <c r="AE1142" s="97">
        <v>2928.5</v>
      </c>
      <c r="AF1142" s="97">
        <v>2928.5</v>
      </c>
      <c r="AG1142" s="97">
        <v>2928.5</v>
      </c>
      <c r="AH1142" s="97">
        <v>2928.5</v>
      </c>
      <c r="AI1142" s="97">
        <v>2928.5</v>
      </c>
      <c r="AJ1142" s="97">
        <v>2928.5</v>
      </c>
      <c r="AK1142" s="97">
        <v>2928.5</v>
      </c>
      <c r="AL1142" s="97">
        <v>2928.5</v>
      </c>
      <c r="AM1142" s="97">
        <v>2928.5</v>
      </c>
      <c r="AN1142" s="97">
        <v>2927.6985087381936</v>
      </c>
      <c r="AO1142" s="97">
        <v>2927.4200650885236</v>
      </c>
      <c r="AP1142" s="97">
        <v>2927.0458060634214</v>
      </c>
      <c r="AQ1142" s="97">
        <v>2926.543504088153</v>
      </c>
      <c r="AR1142" s="97">
        <v>2925.870689634331</v>
      </c>
      <c r="AS1142" s="97">
        <v>2924.9718736415657</v>
      </c>
      <c r="AT1142" s="97">
        <v>2923.7753998468324</v>
      </c>
      <c r="AU1142" s="97">
        <v>2922.1902104592968</v>
      </c>
      <c r="AV1142" s="97">
        <v>2920.1031425542378</v>
      </c>
      <c r="AW1142" s="97">
        <v>2917.3778933143626</v>
      </c>
      <c r="AX1142" s="98">
        <v>2913.8575000000001</v>
      </c>
    </row>
    <row r="1143" spans="1:50" x14ac:dyDescent="0.25">
      <c r="A1143" s="356"/>
      <c r="B1143" s="359"/>
      <c r="C1143" s="361" t="s">
        <v>15</v>
      </c>
      <c r="D1143" s="58" t="s">
        <v>7</v>
      </c>
      <c r="E1143" s="164" t="str">
        <f>A1139&amp;"/"&amp;B1139&amp;"/"&amp;C1143&amp;"/"&amp;D1143</f>
        <v>Fuel oil fired power plants/Integrated gasification combined cycle/Electricity only with CCS/L</v>
      </c>
      <c r="F1143" s="78" t="str">
        <f>A1139</f>
        <v>Fuel oil fired power plants</v>
      </c>
      <c r="G1143" s="78" t="str">
        <f>B1139</f>
        <v>Integrated gasification combined cycle</v>
      </c>
      <c r="H1143" s="78" t="str">
        <f>C1143</f>
        <v>Electricity only with CCS</v>
      </c>
      <c r="I1143" s="165" t="str">
        <f t="shared" si="95"/>
        <v>L</v>
      </c>
      <c r="J1143" s="95" t="s">
        <v>112</v>
      </c>
      <c r="K1143" s="95" t="s">
        <v>112</v>
      </c>
      <c r="L1143" s="95" t="s">
        <v>112</v>
      </c>
      <c r="M1143" s="95" t="s">
        <v>112</v>
      </c>
      <c r="N1143" s="95" t="s">
        <v>112</v>
      </c>
      <c r="O1143" s="95" t="s">
        <v>112</v>
      </c>
      <c r="P1143" s="95" t="s">
        <v>112</v>
      </c>
      <c r="Q1143" s="95" t="s">
        <v>112</v>
      </c>
      <c r="R1143" s="95" t="s">
        <v>112</v>
      </c>
      <c r="S1143" s="95" t="s">
        <v>112</v>
      </c>
      <c r="T1143" s="95" t="s">
        <v>112</v>
      </c>
      <c r="U1143" s="95" t="s">
        <v>112</v>
      </c>
      <c r="V1143" s="95" t="s">
        <v>112</v>
      </c>
      <c r="W1143" s="95" t="s">
        <v>112</v>
      </c>
      <c r="X1143" s="95" t="s">
        <v>112</v>
      </c>
      <c r="Y1143" s="95" t="s">
        <v>112</v>
      </c>
      <c r="Z1143" s="95" t="s">
        <v>112</v>
      </c>
      <c r="AA1143" s="95" t="s">
        <v>112</v>
      </c>
      <c r="AB1143" s="95" t="s">
        <v>112</v>
      </c>
      <c r="AC1143" s="95" t="s">
        <v>112</v>
      </c>
      <c r="AD1143" s="95" t="s">
        <v>112</v>
      </c>
      <c r="AE1143" s="95">
        <v>3570</v>
      </c>
      <c r="AF1143" s="95">
        <v>3570</v>
      </c>
      <c r="AG1143" s="95">
        <v>3570</v>
      </c>
      <c r="AH1143" s="95">
        <v>3570</v>
      </c>
      <c r="AI1143" s="95">
        <v>3570</v>
      </c>
      <c r="AJ1143" s="95">
        <v>3570</v>
      </c>
      <c r="AK1143" s="95">
        <v>3570</v>
      </c>
      <c r="AL1143" s="95">
        <v>3570</v>
      </c>
      <c r="AM1143" s="95">
        <v>3570</v>
      </c>
      <c r="AN1143" s="95">
        <v>3570</v>
      </c>
      <c r="AO1143" s="95">
        <v>3570</v>
      </c>
      <c r="AP1143" s="95">
        <v>3570</v>
      </c>
      <c r="AQ1143" s="95">
        <v>3570</v>
      </c>
      <c r="AR1143" s="95">
        <v>3570</v>
      </c>
      <c r="AS1143" s="95">
        <v>3568.3945155899269</v>
      </c>
      <c r="AT1143" s="95">
        <v>3567.3676010455983</v>
      </c>
      <c r="AU1143" s="95">
        <v>3565.6990230153287</v>
      </c>
      <c r="AV1143" s="95">
        <v>3563.0127550418033</v>
      </c>
      <c r="AW1143" s="95">
        <v>3558.751801914505</v>
      </c>
      <c r="AX1143" s="96">
        <v>3552.15</v>
      </c>
    </row>
    <row r="1144" spans="1:50" x14ac:dyDescent="0.25">
      <c r="A1144" s="356"/>
      <c r="B1144" s="359"/>
      <c r="C1144" s="360"/>
      <c r="D1144" s="59" t="s">
        <v>8</v>
      </c>
      <c r="E1144" s="166" t="str">
        <f>A1139&amp;"/"&amp;B1139&amp;"/"&amp;C1143&amp;"/"&amp;D1144</f>
        <v>Fuel oil fired power plants/Integrated gasification combined cycle/Electricity only with CCS/M</v>
      </c>
      <c r="F1144" s="79" t="str">
        <f>A1139</f>
        <v>Fuel oil fired power plants</v>
      </c>
      <c r="G1144" s="79" t="str">
        <f>B1139</f>
        <v>Integrated gasification combined cycle</v>
      </c>
      <c r="H1144" s="79" t="str">
        <f>C1143</f>
        <v>Electricity only with CCS</v>
      </c>
      <c r="I1144" s="167" t="str">
        <f t="shared" si="95"/>
        <v>M</v>
      </c>
      <c r="J1144" s="97" t="s">
        <v>112</v>
      </c>
      <c r="K1144" s="97" t="s">
        <v>112</v>
      </c>
      <c r="L1144" s="97" t="s">
        <v>112</v>
      </c>
      <c r="M1144" s="97" t="s">
        <v>112</v>
      </c>
      <c r="N1144" s="97" t="s">
        <v>112</v>
      </c>
      <c r="O1144" s="97" t="s">
        <v>112</v>
      </c>
      <c r="P1144" s="97" t="s">
        <v>112</v>
      </c>
      <c r="Q1144" s="97" t="s">
        <v>112</v>
      </c>
      <c r="R1144" s="97" t="s">
        <v>112</v>
      </c>
      <c r="S1144" s="97" t="s">
        <v>112</v>
      </c>
      <c r="T1144" s="97" t="s">
        <v>112</v>
      </c>
      <c r="U1144" s="97" t="s">
        <v>112</v>
      </c>
      <c r="V1144" s="97" t="s">
        <v>112</v>
      </c>
      <c r="W1144" s="97" t="s">
        <v>112</v>
      </c>
      <c r="X1144" s="97" t="s">
        <v>112</v>
      </c>
      <c r="Y1144" s="97" t="s">
        <v>112</v>
      </c>
      <c r="Z1144" s="97" t="s">
        <v>112</v>
      </c>
      <c r="AA1144" s="97" t="s">
        <v>112</v>
      </c>
      <c r="AB1144" s="97" t="s">
        <v>112</v>
      </c>
      <c r="AC1144" s="97" t="s">
        <v>112</v>
      </c>
      <c r="AD1144" s="97" t="s">
        <v>112</v>
      </c>
      <c r="AE1144" s="97">
        <v>3808</v>
      </c>
      <c r="AF1144" s="97">
        <v>3808</v>
      </c>
      <c r="AG1144" s="97">
        <v>3808</v>
      </c>
      <c r="AH1144" s="97">
        <v>3808</v>
      </c>
      <c r="AI1144" s="97">
        <v>3808</v>
      </c>
      <c r="AJ1144" s="97">
        <v>3808</v>
      </c>
      <c r="AK1144" s="97">
        <v>3808</v>
      </c>
      <c r="AL1144" s="97">
        <v>3808</v>
      </c>
      <c r="AM1144" s="97">
        <v>3808</v>
      </c>
      <c r="AN1144" s="97">
        <v>3808</v>
      </c>
      <c r="AO1144" s="97">
        <v>3808</v>
      </c>
      <c r="AP1144" s="97">
        <v>3808</v>
      </c>
      <c r="AQ1144" s="97">
        <v>3808</v>
      </c>
      <c r="AR1144" s="97">
        <v>3808</v>
      </c>
      <c r="AS1144" s="97">
        <v>3806.2874832959219</v>
      </c>
      <c r="AT1144" s="97">
        <v>3805.1921077819716</v>
      </c>
      <c r="AU1144" s="97">
        <v>3803.4122912163507</v>
      </c>
      <c r="AV1144" s="97">
        <v>3800.5469387112566</v>
      </c>
      <c r="AW1144" s="97">
        <v>3796.0019220421386</v>
      </c>
      <c r="AX1144" s="98">
        <v>3788.96</v>
      </c>
    </row>
    <row r="1145" spans="1:50" x14ac:dyDescent="0.25">
      <c r="A1145" s="356"/>
      <c r="B1145" s="359"/>
      <c r="C1145" s="361" t="s">
        <v>16</v>
      </c>
      <c r="D1145" s="2" t="s">
        <v>7</v>
      </c>
      <c r="E1145" s="160" t="str">
        <f>A1139&amp;"/"&amp;B1139&amp;"/"&amp;C1145&amp;"/"&amp;D1145</f>
        <v>Fuel oil fired power plants/Integrated gasification combined cycle/CHP with CCS/L</v>
      </c>
      <c r="F1145" s="76" t="str">
        <f>A1139</f>
        <v>Fuel oil fired power plants</v>
      </c>
      <c r="G1145" s="76" t="str">
        <f>B1139</f>
        <v>Integrated gasification combined cycle</v>
      </c>
      <c r="H1145" s="76" t="str">
        <f>C1145</f>
        <v>CHP with CCS</v>
      </c>
      <c r="I1145" s="161" t="str">
        <f t="shared" si="95"/>
        <v>L</v>
      </c>
      <c r="J1145" s="91" t="s">
        <v>112</v>
      </c>
      <c r="K1145" s="91" t="s">
        <v>112</v>
      </c>
      <c r="L1145" s="91" t="s">
        <v>112</v>
      </c>
      <c r="M1145" s="91" t="s">
        <v>112</v>
      </c>
      <c r="N1145" s="91" t="s">
        <v>112</v>
      </c>
      <c r="O1145" s="91" t="s">
        <v>112</v>
      </c>
      <c r="P1145" s="91" t="s">
        <v>112</v>
      </c>
      <c r="Q1145" s="91" t="s">
        <v>112</v>
      </c>
      <c r="R1145" s="91" t="s">
        <v>112</v>
      </c>
      <c r="S1145" s="91" t="s">
        <v>112</v>
      </c>
      <c r="T1145" s="91" t="s">
        <v>112</v>
      </c>
      <c r="U1145" s="91" t="s">
        <v>112</v>
      </c>
      <c r="V1145" s="91" t="s">
        <v>112</v>
      </c>
      <c r="W1145" s="91" t="s">
        <v>112</v>
      </c>
      <c r="X1145" s="91" t="s">
        <v>112</v>
      </c>
      <c r="Y1145" s="91" t="s">
        <v>112</v>
      </c>
      <c r="Z1145" s="91" t="s">
        <v>112</v>
      </c>
      <c r="AA1145" s="91" t="s">
        <v>112</v>
      </c>
      <c r="AB1145" s="91" t="s">
        <v>112</v>
      </c>
      <c r="AC1145" s="91" t="s">
        <v>112</v>
      </c>
      <c r="AD1145" s="91" t="s">
        <v>112</v>
      </c>
      <c r="AE1145" s="91">
        <v>3940</v>
      </c>
      <c r="AF1145" s="91">
        <v>3940</v>
      </c>
      <c r="AG1145" s="91">
        <v>3940</v>
      </c>
      <c r="AH1145" s="91">
        <v>3940</v>
      </c>
      <c r="AI1145" s="91">
        <v>3940</v>
      </c>
      <c r="AJ1145" s="91">
        <v>3940</v>
      </c>
      <c r="AK1145" s="91">
        <v>3940</v>
      </c>
      <c r="AL1145" s="91">
        <v>3940</v>
      </c>
      <c r="AM1145" s="91">
        <v>3940</v>
      </c>
      <c r="AN1145" s="91">
        <v>3940</v>
      </c>
      <c r="AO1145" s="91">
        <v>3940</v>
      </c>
      <c r="AP1145" s="91">
        <v>3940</v>
      </c>
      <c r="AQ1145" s="91">
        <v>3940</v>
      </c>
      <c r="AR1145" s="91">
        <v>3940</v>
      </c>
      <c r="AS1145" s="91">
        <v>3938.2281208471459</v>
      </c>
      <c r="AT1145" s="91">
        <v>3937.0947753836576</v>
      </c>
      <c r="AU1145" s="91">
        <v>3935.2532634959089</v>
      </c>
      <c r="AV1145" s="91">
        <v>3932.2885867968357</v>
      </c>
      <c r="AW1145" s="91">
        <v>3927.5860222809943</v>
      </c>
      <c r="AX1145" s="92">
        <v>3920.3</v>
      </c>
    </row>
    <row r="1146" spans="1:50" x14ac:dyDescent="0.25">
      <c r="A1146" s="356"/>
      <c r="B1146" s="362"/>
      <c r="C1146" s="354"/>
      <c r="D1146" s="4" t="s">
        <v>8</v>
      </c>
      <c r="E1146" s="168" t="str">
        <f>A1139&amp;"/"&amp;B1139&amp;"/"&amp;C1145&amp;"/"&amp;D1146</f>
        <v>Fuel oil fired power plants/Integrated gasification combined cycle/CHP with CCS/M</v>
      </c>
      <c r="F1146" s="80" t="str">
        <f>A1139</f>
        <v>Fuel oil fired power plants</v>
      </c>
      <c r="G1146" s="80" t="str">
        <f>B1139</f>
        <v>Integrated gasification combined cycle</v>
      </c>
      <c r="H1146" s="80" t="str">
        <f>C1145</f>
        <v>CHP with CCS</v>
      </c>
      <c r="I1146" s="169" t="str">
        <f t="shared" si="95"/>
        <v>M</v>
      </c>
      <c r="J1146" s="99" t="s">
        <v>112</v>
      </c>
      <c r="K1146" s="99" t="s">
        <v>112</v>
      </c>
      <c r="L1146" s="99" t="s">
        <v>112</v>
      </c>
      <c r="M1146" s="99" t="s">
        <v>112</v>
      </c>
      <c r="N1146" s="99" t="s">
        <v>112</v>
      </c>
      <c r="O1146" s="99" t="s">
        <v>112</v>
      </c>
      <c r="P1146" s="99" t="s">
        <v>112</v>
      </c>
      <c r="Q1146" s="99" t="s">
        <v>112</v>
      </c>
      <c r="R1146" s="99" t="s">
        <v>112</v>
      </c>
      <c r="S1146" s="99" t="s">
        <v>112</v>
      </c>
      <c r="T1146" s="99" t="s">
        <v>112</v>
      </c>
      <c r="U1146" s="99" t="s">
        <v>112</v>
      </c>
      <c r="V1146" s="99" t="s">
        <v>112</v>
      </c>
      <c r="W1146" s="99" t="s">
        <v>112</v>
      </c>
      <c r="X1146" s="99" t="s">
        <v>112</v>
      </c>
      <c r="Y1146" s="99" t="s">
        <v>112</v>
      </c>
      <c r="Z1146" s="99" t="s">
        <v>112</v>
      </c>
      <c r="AA1146" s="99" t="s">
        <v>112</v>
      </c>
      <c r="AB1146" s="99" t="s">
        <v>112</v>
      </c>
      <c r="AC1146" s="99" t="s">
        <v>112</v>
      </c>
      <c r="AD1146" s="99" t="s">
        <v>112</v>
      </c>
      <c r="AE1146" s="99">
        <v>4178</v>
      </c>
      <c r="AF1146" s="99">
        <v>4178</v>
      </c>
      <c r="AG1146" s="99">
        <v>4178</v>
      </c>
      <c r="AH1146" s="99">
        <v>4178</v>
      </c>
      <c r="AI1146" s="99">
        <v>4178</v>
      </c>
      <c r="AJ1146" s="99">
        <v>4178</v>
      </c>
      <c r="AK1146" s="99">
        <v>4178</v>
      </c>
      <c r="AL1146" s="99">
        <v>4178</v>
      </c>
      <c r="AM1146" s="99">
        <v>4178</v>
      </c>
      <c r="AN1146" s="99">
        <v>4178</v>
      </c>
      <c r="AO1146" s="99">
        <v>4178</v>
      </c>
      <c r="AP1146" s="99">
        <v>4178</v>
      </c>
      <c r="AQ1146" s="99">
        <v>4178</v>
      </c>
      <c r="AR1146" s="99">
        <v>4178</v>
      </c>
      <c r="AS1146" s="99">
        <v>4176.1210885531409</v>
      </c>
      <c r="AT1146" s="99">
        <v>4174.9192821200304</v>
      </c>
      <c r="AU1146" s="99">
        <v>4172.9665316969313</v>
      </c>
      <c r="AV1146" s="99">
        <v>4169.8227704662895</v>
      </c>
      <c r="AW1146" s="99">
        <v>4164.8361424086279</v>
      </c>
      <c r="AX1146" s="100">
        <v>4157.1099999999997</v>
      </c>
    </row>
    <row r="1147" spans="1:50" x14ac:dyDescent="0.25">
      <c r="A1147" s="356"/>
      <c r="B1147" s="358" t="s">
        <v>17</v>
      </c>
      <c r="C1147" s="353" t="s">
        <v>6</v>
      </c>
      <c r="D1147" s="3" t="s">
        <v>7</v>
      </c>
      <c r="E1147" s="162" t="str">
        <f>A1139&amp;"/"&amp;B1147&amp;"/"&amp;C1147&amp;"/"&amp;D1147</f>
        <v>Fuel oil fired power plants/Supercritical steam turbine/Electricity only/L</v>
      </c>
      <c r="F1147" s="77" t="str">
        <f>A1139</f>
        <v>Fuel oil fired power plants</v>
      </c>
      <c r="G1147" s="77" t="str">
        <f>B1147</f>
        <v>Supercritical steam turbine</v>
      </c>
      <c r="H1147" s="77" t="str">
        <f>C1147</f>
        <v>Electricity only</v>
      </c>
      <c r="I1147" s="163" t="str">
        <f t="shared" si="95"/>
        <v>L</v>
      </c>
      <c r="J1147" s="93">
        <v>1680</v>
      </c>
      <c r="K1147" s="93">
        <v>1680</v>
      </c>
      <c r="L1147" s="93">
        <v>1680</v>
      </c>
      <c r="M1147" s="93">
        <v>1680</v>
      </c>
      <c r="N1147" s="93">
        <v>1680</v>
      </c>
      <c r="O1147" s="93">
        <v>1680</v>
      </c>
      <c r="P1147" s="93">
        <v>1680</v>
      </c>
      <c r="Q1147" s="93">
        <v>1680</v>
      </c>
      <c r="R1147" s="93">
        <v>1680</v>
      </c>
      <c r="S1147" s="93">
        <v>1680</v>
      </c>
      <c r="T1147" s="93">
        <v>1680</v>
      </c>
      <c r="U1147" s="93">
        <v>1680</v>
      </c>
      <c r="V1147" s="93">
        <v>1680</v>
      </c>
      <c r="W1147" s="93">
        <v>1680</v>
      </c>
      <c r="X1147" s="93">
        <v>1680</v>
      </c>
      <c r="Y1147" s="93">
        <v>1680</v>
      </c>
      <c r="Z1147" s="93">
        <v>1680</v>
      </c>
      <c r="AA1147" s="93">
        <v>1680</v>
      </c>
      <c r="AB1147" s="93">
        <v>1680</v>
      </c>
      <c r="AC1147" s="93">
        <v>1680</v>
      </c>
      <c r="AD1147" s="93">
        <v>1680</v>
      </c>
      <c r="AE1147" s="93">
        <v>1680</v>
      </c>
      <c r="AF1147" s="93">
        <v>1680</v>
      </c>
      <c r="AG1147" s="93">
        <v>1680</v>
      </c>
      <c r="AH1147" s="93">
        <v>1680</v>
      </c>
      <c r="AI1147" s="93">
        <v>1680</v>
      </c>
      <c r="AJ1147" s="93">
        <v>1680</v>
      </c>
      <c r="AK1147" s="93">
        <v>1680</v>
      </c>
      <c r="AL1147" s="93">
        <v>1680</v>
      </c>
      <c r="AM1147" s="93">
        <v>1680</v>
      </c>
      <c r="AN1147" s="93">
        <v>1679.5402064811904</v>
      </c>
      <c r="AO1147" s="93">
        <v>1679.3804710086119</v>
      </c>
      <c r="AP1147" s="93">
        <v>1679.1657688873308</v>
      </c>
      <c r="AQ1147" s="93">
        <v>1678.8776120430589</v>
      </c>
      <c r="AR1147" s="93">
        <v>1678.4916368740573</v>
      </c>
      <c r="AS1147" s="93">
        <v>1677.976010830743</v>
      </c>
      <c r="AT1147" s="93">
        <v>1677.2896266835166</v>
      </c>
      <c r="AU1147" s="93">
        <v>1676.3802470792621</v>
      </c>
      <c r="AV1147" s="93">
        <v>1675.1829535568106</v>
      </c>
      <c r="AW1147" s="93">
        <v>1673.6195529343111</v>
      </c>
      <c r="AX1147" s="94">
        <v>1671.6000000000001</v>
      </c>
    </row>
    <row r="1148" spans="1:50" x14ac:dyDescent="0.25">
      <c r="A1148" s="356"/>
      <c r="B1148" s="359"/>
      <c r="C1148" s="360"/>
      <c r="D1148" s="2" t="s">
        <v>8</v>
      </c>
      <c r="E1148" s="160" t="str">
        <f>A1139&amp;"/"&amp;B1147&amp;"/"&amp;C1147&amp;"/"&amp;D1148</f>
        <v>Fuel oil fired power plants/Supercritical steam turbine/Electricity only/M</v>
      </c>
      <c r="F1148" s="76" t="str">
        <f>A1139</f>
        <v>Fuel oil fired power plants</v>
      </c>
      <c r="G1148" s="76" t="str">
        <f>B1147</f>
        <v>Supercritical steam turbine</v>
      </c>
      <c r="H1148" s="76" t="str">
        <f>C1147</f>
        <v>Electricity only</v>
      </c>
      <c r="I1148" s="161" t="str">
        <f t="shared" si="95"/>
        <v>M</v>
      </c>
      <c r="J1148" s="91">
        <v>1831.2</v>
      </c>
      <c r="K1148" s="91">
        <v>1831.2</v>
      </c>
      <c r="L1148" s="91">
        <v>1831.2</v>
      </c>
      <c r="M1148" s="91">
        <v>1831.2</v>
      </c>
      <c r="N1148" s="91">
        <v>1831.2</v>
      </c>
      <c r="O1148" s="91">
        <v>1831.2</v>
      </c>
      <c r="P1148" s="91">
        <v>1831.2</v>
      </c>
      <c r="Q1148" s="91">
        <v>1831.2</v>
      </c>
      <c r="R1148" s="91">
        <v>1831.2</v>
      </c>
      <c r="S1148" s="91">
        <v>1831.2</v>
      </c>
      <c r="T1148" s="91">
        <v>1831.2</v>
      </c>
      <c r="U1148" s="91">
        <v>1831.2</v>
      </c>
      <c r="V1148" s="91">
        <v>1831.2</v>
      </c>
      <c r="W1148" s="91">
        <v>1831.2</v>
      </c>
      <c r="X1148" s="91">
        <v>1831.2</v>
      </c>
      <c r="Y1148" s="91">
        <v>1831.2</v>
      </c>
      <c r="Z1148" s="91">
        <v>1831.2</v>
      </c>
      <c r="AA1148" s="91">
        <v>1831.2</v>
      </c>
      <c r="AB1148" s="91">
        <v>1831.2</v>
      </c>
      <c r="AC1148" s="91">
        <v>1831.2</v>
      </c>
      <c r="AD1148" s="91">
        <v>1831.2</v>
      </c>
      <c r="AE1148" s="91">
        <v>1831.2</v>
      </c>
      <c r="AF1148" s="91">
        <v>1831.2</v>
      </c>
      <c r="AG1148" s="91">
        <v>1831.2</v>
      </c>
      <c r="AH1148" s="91">
        <v>1831.2</v>
      </c>
      <c r="AI1148" s="91">
        <v>1831.2</v>
      </c>
      <c r="AJ1148" s="91">
        <v>1831.2</v>
      </c>
      <c r="AK1148" s="91">
        <v>1831.2</v>
      </c>
      <c r="AL1148" s="91">
        <v>1831.2</v>
      </c>
      <c r="AM1148" s="91">
        <v>1831.2</v>
      </c>
      <c r="AN1148" s="91">
        <v>1830.6988250644974</v>
      </c>
      <c r="AO1148" s="91">
        <v>1830.5247133993869</v>
      </c>
      <c r="AP1148" s="91">
        <v>1830.2906880871906</v>
      </c>
      <c r="AQ1148" s="91">
        <v>1829.9765971269339</v>
      </c>
      <c r="AR1148" s="91">
        <v>1829.5558841927223</v>
      </c>
      <c r="AS1148" s="91">
        <v>1828.9938518055096</v>
      </c>
      <c r="AT1148" s="91">
        <v>1828.2456930850331</v>
      </c>
      <c r="AU1148" s="91">
        <v>1827.2544693163954</v>
      </c>
      <c r="AV1148" s="91">
        <v>1825.9494193769235</v>
      </c>
      <c r="AW1148" s="91">
        <v>1824.2453126983987</v>
      </c>
      <c r="AX1148" s="92">
        <v>1822.0439999999999</v>
      </c>
    </row>
    <row r="1149" spans="1:50" x14ac:dyDescent="0.25">
      <c r="A1149" s="356"/>
      <c r="B1149" s="359"/>
      <c r="C1149" s="361" t="s">
        <v>14</v>
      </c>
      <c r="D1149" s="58" t="s">
        <v>7</v>
      </c>
      <c r="E1149" s="164" t="str">
        <f>A1139&amp;"/"&amp;B1147&amp;"/"&amp;C1149&amp;"/"&amp;D1149</f>
        <v>Fuel oil fired power plants/Supercritical steam turbine/CHP/L</v>
      </c>
      <c r="F1149" s="78" t="str">
        <f>A1139</f>
        <v>Fuel oil fired power plants</v>
      </c>
      <c r="G1149" s="78" t="str">
        <f>B1147</f>
        <v>Supercritical steam turbine</v>
      </c>
      <c r="H1149" s="78" t="str">
        <f>C1149</f>
        <v>CHP</v>
      </c>
      <c r="I1149" s="165" t="str">
        <f t="shared" si="95"/>
        <v>L</v>
      </c>
      <c r="J1149" s="95">
        <v>2075</v>
      </c>
      <c r="K1149" s="95">
        <v>2075</v>
      </c>
      <c r="L1149" s="95">
        <v>2075</v>
      </c>
      <c r="M1149" s="95">
        <v>2075</v>
      </c>
      <c r="N1149" s="95">
        <v>2075</v>
      </c>
      <c r="O1149" s="95">
        <v>2075</v>
      </c>
      <c r="P1149" s="95">
        <v>2075</v>
      </c>
      <c r="Q1149" s="95">
        <v>2075</v>
      </c>
      <c r="R1149" s="95">
        <v>2075</v>
      </c>
      <c r="S1149" s="95">
        <v>2075</v>
      </c>
      <c r="T1149" s="95">
        <v>2075</v>
      </c>
      <c r="U1149" s="95">
        <v>2075</v>
      </c>
      <c r="V1149" s="95">
        <v>2075</v>
      </c>
      <c r="W1149" s="95">
        <v>2075</v>
      </c>
      <c r="X1149" s="95">
        <v>2075</v>
      </c>
      <c r="Y1149" s="95">
        <v>2075</v>
      </c>
      <c r="Z1149" s="95">
        <v>2075</v>
      </c>
      <c r="AA1149" s="95">
        <v>2075</v>
      </c>
      <c r="AB1149" s="95">
        <v>2075</v>
      </c>
      <c r="AC1149" s="95">
        <v>2075</v>
      </c>
      <c r="AD1149" s="95">
        <v>2075</v>
      </c>
      <c r="AE1149" s="95">
        <v>2075</v>
      </c>
      <c r="AF1149" s="95">
        <v>2075</v>
      </c>
      <c r="AG1149" s="95">
        <v>2075</v>
      </c>
      <c r="AH1149" s="95">
        <v>2075</v>
      </c>
      <c r="AI1149" s="95">
        <v>2075</v>
      </c>
      <c r="AJ1149" s="95">
        <v>2075</v>
      </c>
      <c r="AK1149" s="95">
        <v>2075</v>
      </c>
      <c r="AL1149" s="95">
        <v>2075</v>
      </c>
      <c r="AM1149" s="95">
        <v>2075</v>
      </c>
      <c r="AN1149" s="95">
        <v>2074.4321002669462</v>
      </c>
      <c r="AO1149" s="95">
        <v>2074.2348079421845</v>
      </c>
      <c r="AP1149" s="95">
        <v>2073.9696252626259</v>
      </c>
      <c r="AQ1149" s="95">
        <v>2073.6137172555636</v>
      </c>
      <c r="AR1149" s="95">
        <v>2073.136991972422</v>
      </c>
      <c r="AS1149" s="95">
        <v>2072.500132424876</v>
      </c>
      <c r="AT1149" s="95">
        <v>2071.6523662906529</v>
      </c>
      <c r="AU1149" s="95">
        <v>2070.529174219922</v>
      </c>
      <c r="AV1149" s="95">
        <v>2069.050374184751</v>
      </c>
      <c r="AW1149" s="95">
        <v>2067.1193882968423</v>
      </c>
      <c r="AX1149" s="96">
        <v>2064.625</v>
      </c>
    </row>
    <row r="1150" spans="1:50" x14ac:dyDescent="0.25">
      <c r="A1150" s="356"/>
      <c r="B1150" s="359"/>
      <c r="C1150" s="360"/>
      <c r="D1150" s="59" t="s">
        <v>8</v>
      </c>
      <c r="E1150" s="166" t="str">
        <f>A1139&amp;"/"&amp;B1147&amp;"/"&amp;C1149&amp;"/"&amp;D1150</f>
        <v>Fuel oil fired power plants/Supercritical steam turbine/CHP/M</v>
      </c>
      <c r="F1150" s="79" t="str">
        <f>A1139</f>
        <v>Fuel oil fired power plants</v>
      </c>
      <c r="G1150" s="79" t="str">
        <f>B1147</f>
        <v>Supercritical steam turbine</v>
      </c>
      <c r="H1150" s="79" t="str">
        <f>C1149</f>
        <v>CHP</v>
      </c>
      <c r="I1150" s="167" t="str">
        <f t="shared" si="95"/>
        <v>M</v>
      </c>
      <c r="J1150" s="97">
        <v>2246.1999999999998</v>
      </c>
      <c r="K1150" s="97">
        <v>2246.1999999999998</v>
      </c>
      <c r="L1150" s="97">
        <v>2246.1999999999998</v>
      </c>
      <c r="M1150" s="97">
        <v>2246.1999999999998</v>
      </c>
      <c r="N1150" s="97">
        <v>2246.1999999999998</v>
      </c>
      <c r="O1150" s="97">
        <v>2246.1999999999998</v>
      </c>
      <c r="P1150" s="97">
        <v>2246.1999999999998</v>
      </c>
      <c r="Q1150" s="97">
        <v>2246.1999999999998</v>
      </c>
      <c r="R1150" s="97">
        <v>2246.1999999999998</v>
      </c>
      <c r="S1150" s="97">
        <v>2246.1999999999998</v>
      </c>
      <c r="T1150" s="97">
        <v>2246.1999999999998</v>
      </c>
      <c r="U1150" s="97">
        <v>2246.1999999999998</v>
      </c>
      <c r="V1150" s="97">
        <v>2246.1999999999998</v>
      </c>
      <c r="W1150" s="97">
        <v>2246.1999999999998</v>
      </c>
      <c r="X1150" s="97">
        <v>2246.1999999999998</v>
      </c>
      <c r="Y1150" s="97">
        <v>2246.1999999999998</v>
      </c>
      <c r="Z1150" s="97">
        <v>2246.1999999999998</v>
      </c>
      <c r="AA1150" s="97">
        <v>2246.1999999999998</v>
      </c>
      <c r="AB1150" s="97">
        <v>2246.1999999999998</v>
      </c>
      <c r="AC1150" s="97">
        <v>2246.1999999999998</v>
      </c>
      <c r="AD1150" s="97">
        <v>2246.1999999999998</v>
      </c>
      <c r="AE1150" s="97">
        <v>2246.1999999999998</v>
      </c>
      <c r="AF1150" s="97">
        <v>2246.1999999999998</v>
      </c>
      <c r="AG1150" s="97">
        <v>2246.1999999999998</v>
      </c>
      <c r="AH1150" s="97">
        <v>2246.1999999999998</v>
      </c>
      <c r="AI1150" s="97">
        <v>2246.1999999999998</v>
      </c>
      <c r="AJ1150" s="97">
        <v>2246.1999999999998</v>
      </c>
      <c r="AK1150" s="97">
        <v>2246.1999999999998</v>
      </c>
      <c r="AL1150" s="97">
        <v>2246.1999999999998</v>
      </c>
      <c r="AM1150" s="97">
        <v>2246.1999999999998</v>
      </c>
      <c r="AN1150" s="97">
        <v>2245.5852451178866</v>
      </c>
      <c r="AO1150" s="97">
        <v>2245.3716749878236</v>
      </c>
      <c r="AP1150" s="97">
        <v>2245.0846131397157</v>
      </c>
      <c r="AQ1150" s="97">
        <v>2244.6993405780468</v>
      </c>
      <c r="AR1150" s="97">
        <v>2244.1832825872066</v>
      </c>
      <c r="AS1150" s="97">
        <v>2243.4938782904851</v>
      </c>
      <c r="AT1150" s="97">
        <v>2242.5761663431635</v>
      </c>
      <c r="AU1150" s="97">
        <v>2241.3603041603797</v>
      </c>
      <c r="AV1150" s="97">
        <v>2239.7594942138735</v>
      </c>
      <c r="AW1150" s="97">
        <v>2237.6691903577671</v>
      </c>
      <c r="AX1150" s="98">
        <v>2234.9690000000001</v>
      </c>
    </row>
    <row r="1151" spans="1:50" x14ac:dyDescent="0.25">
      <c r="A1151" s="356"/>
      <c r="B1151" s="359"/>
      <c r="C1151" s="361" t="s">
        <v>15</v>
      </c>
      <c r="D1151" s="58" t="s">
        <v>7</v>
      </c>
      <c r="E1151" s="164" t="str">
        <f>A1139&amp;"/"&amp;B1147&amp;"/"&amp;C1151&amp;"/"&amp;D1151</f>
        <v>Fuel oil fired power plants/Supercritical steam turbine/Electricity only with CCS/L</v>
      </c>
      <c r="F1151" s="78" t="str">
        <f>A1139</f>
        <v>Fuel oil fired power plants</v>
      </c>
      <c r="G1151" s="78" t="str">
        <f>B1147</f>
        <v>Supercritical steam turbine</v>
      </c>
      <c r="H1151" s="78" t="str">
        <f>C1151</f>
        <v>Electricity only with CCS</v>
      </c>
      <c r="I1151" s="165" t="str">
        <f t="shared" si="95"/>
        <v>L</v>
      </c>
      <c r="J1151" s="95" t="s">
        <v>112</v>
      </c>
      <c r="K1151" s="95" t="s">
        <v>112</v>
      </c>
      <c r="L1151" s="95" t="s">
        <v>112</v>
      </c>
      <c r="M1151" s="95" t="s">
        <v>112</v>
      </c>
      <c r="N1151" s="95" t="s">
        <v>112</v>
      </c>
      <c r="O1151" s="95" t="s">
        <v>112</v>
      </c>
      <c r="P1151" s="95" t="s">
        <v>112</v>
      </c>
      <c r="Q1151" s="95" t="s">
        <v>112</v>
      </c>
      <c r="R1151" s="95" t="s">
        <v>112</v>
      </c>
      <c r="S1151" s="95" t="s">
        <v>112</v>
      </c>
      <c r="T1151" s="95" t="s">
        <v>112</v>
      </c>
      <c r="U1151" s="95" t="s">
        <v>112</v>
      </c>
      <c r="V1151" s="95" t="s">
        <v>112</v>
      </c>
      <c r="W1151" s="95" t="s">
        <v>112</v>
      </c>
      <c r="X1151" s="95" t="s">
        <v>112</v>
      </c>
      <c r="Y1151" s="95" t="s">
        <v>112</v>
      </c>
      <c r="Z1151" s="95" t="s">
        <v>112</v>
      </c>
      <c r="AA1151" s="95" t="s">
        <v>112</v>
      </c>
      <c r="AB1151" s="95" t="s">
        <v>112</v>
      </c>
      <c r="AC1151" s="95" t="s">
        <v>112</v>
      </c>
      <c r="AD1151" s="95" t="s">
        <v>112</v>
      </c>
      <c r="AE1151" s="95">
        <v>3192</v>
      </c>
      <c r="AF1151" s="95">
        <v>3192</v>
      </c>
      <c r="AG1151" s="95">
        <v>3192</v>
      </c>
      <c r="AH1151" s="95">
        <v>3192</v>
      </c>
      <c r="AI1151" s="95">
        <v>3192</v>
      </c>
      <c r="AJ1151" s="95">
        <v>3192</v>
      </c>
      <c r="AK1151" s="95">
        <v>3192</v>
      </c>
      <c r="AL1151" s="95">
        <v>3192</v>
      </c>
      <c r="AM1151" s="95">
        <v>3192</v>
      </c>
      <c r="AN1151" s="95">
        <v>3192</v>
      </c>
      <c r="AO1151" s="95">
        <v>3192</v>
      </c>
      <c r="AP1151" s="95">
        <v>3192</v>
      </c>
      <c r="AQ1151" s="95">
        <v>3192</v>
      </c>
      <c r="AR1151" s="95">
        <v>3192</v>
      </c>
      <c r="AS1151" s="95">
        <v>3190.5645080568752</v>
      </c>
      <c r="AT1151" s="95">
        <v>3189.6463256407701</v>
      </c>
      <c r="AU1151" s="95">
        <v>3188.1544205784112</v>
      </c>
      <c r="AV1151" s="95">
        <v>3185.7525809785529</v>
      </c>
      <c r="AW1151" s="95">
        <v>3181.9427875941456</v>
      </c>
      <c r="AX1151" s="96">
        <v>3176.04</v>
      </c>
    </row>
    <row r="1152" spans="1:50" x14ac:dyDescent="0.25">
      <c r="A1152" s="356"/>
      <c r="B1152" s="359"/>
      <c r="C1152" s="360"/>
      <c r="D1152" s="59" t="s">
        <v>8</v>
      </c>
      <c r="E1152" s="166" t="str">
        <f>A1139&amp;"/"&amp;B1147&amp;"/"&amp;C1151&amp;"/"&amp;D1152</f>
        <v>Fuel oil fired power plants/Supercritical steam turbine/Electricity only with CCS/M</v>
      </c>
      <c r="F1152" s="79" t="str">
        <f>A1139</f>
        <v>Fuel oil fired power plants</v>
      </c>
      <c r="G1152" s="79" t="str">
        <f>B1147</f>
        <v>Supercritical steam turbine</v>
      </c>
      <c r="H1152" s="79" t="str">
        <f>C1151</f>
        <v>Electricity only with CCS</v>
      </c>
      <c r="I1152" s="167" t="str">
        <f t="shared" si="95"/>
        <v>M</v>
      </c>
      <c r="J1152" s="97" t="s">
        <v>112</v>
      </c>
      <c r="K1152" s="97" t="s">
        <v>112</v>
      </c>
      <c r="L1152" s="97" t="s">
        <v>112</v>
      </c>
      <c r="M1152" s="97" t="s">
        <v>112</v>
      </c>
      <c r="N1152" s="97" t="s">
        <v>112</v>
      </c>
      <c r="O1152" s="97" t="s">
        <v>112</v>
      </c>
      <c r="P1152" s="97" t="s">
        <v>112</v>
      </c>
      <c r="Q1152" s="97" t="s">
        <v>112</v>
      </c>
      <c r="R1152" s="97" t="s">
        <v>112</v>
      </c>
      <c r="S1152" s="97" t="s">
        <v>112</v>
      </c>
      <c r="T1152" s="97" t="s">
        <v>112</v>
      </c>
      <c r="U1152" s="97" t="s">
        <v>112</v>
      </c>
      <c r="V1152" s="97" t="s">
        <v>112</v>
      </c>
      <c r="W1152" s="97" t="s">
        <v>112</v>
      </c>
      <c r="X1152" s="97" t="s">
        <v>112</v>
      </c>
      <c r="Y1152" s="97" t="s">
        <v>112</v>
      </c>
      <c r="Z1152" s="97" t="s">
        <v>112</v>
      </c>
      <c r="AA1152" s="97" t="s">
        <v>112</v>
      </c>
      <c r="AB1152" s="97" t="s">
        <v>112</v>
      </c>
      <c r="AC1152" s="97" t="s">
        <v>112</v>
      </c>
      <c r="AD1152" s="97" t="s">
        <v>112</v>
      </c>
      <c r="AE1152" s="97">
        <v>3418.8</v>
      </c>
      <c r="AF1152" s="97">
        <v>3418.8</v>
      </c>
      <c r="AG1152" s="97">
        <v>3418.8</v>
      </c>
      <c r="AH1152" s="97">
        <v>3418.8</v>
      </c>
      <c r="AI1152" s="97">
        <v>3418.8</v>
      </c>
      <c r="AJ1152" s="97">
        <v>3418.8</v>
      </c>
      <c r="AK1152" s="97">
        <v>3418.8</v>
      </c>
      <c r="AL1152" s="97">
        <v>3418.8</v>
      </c>
      <c r="AM1152" s="97">
        <v>3418.8</v>
      </c>
      <c r="AN1152" s="97">
        <v>3418.8</v>
      </c>
      <c r="AO1152" s="97">
        <v>3418.8</v>
      </c>
      <c r="AP1152" s="97">
        <v>3418.8</v>
      </c>
      <c r="AQ1152" s="97">
        <v>3418.8</v>
      </c>
      <c r="AR1152" s="97">
        <v>3418.8</v>
      </c>
      <c r="AS1152" s="97">
        <v>3417.2625125767063</v>
      </c>
      <c r="AT1152" s="97">
        <v>3416.2790908836673</v>
      </c>
      <c r="AU1152" s="97">
        <v>3414.6811820405619</v>
      </c>
      <c r="AV1152" s="97">
        <v>3412.1086854165032</v>
      </c>
      <c r="AW1152" s="97">
        <v>3408.0281961863616</v>
      </c>
      <c r="AX1152" s="98">
        <v>3401.7060000000001</v>
      </c>
    </row>
    <row r="1153" spans="1:50" x14ac:dyDescent="0.25">
      <c r="A1153" s="356"/>
      <c r="B1153" s="359"/>
      <c r="C1153" s="361" t="s">
        <v>16</v>
      </c>
      <c r="D1153" s="2" t="s">
        <v>7</v>
      </c>
      <c r="E1153" s="160" t="str">
        <f>A1139&amp;"/"&amp;B1147&amp;"/"&amp;C1153&amp;"/"&amp;D1153</f>
        <v>Fuel oil fired power plants/Supercritical steam turbine/CHP with CCS/L</v>
      </c>
      <c r="F1153" s="76" t="str">
        <f>A1139</f>
        <v>Fuel oil fired power plants</v>
      </c>
      <c r="G1153" s="76" t="str">
        <f>B1147</f>
        <v>Supercritical steam turbine</v>
      </c>
      <c r="H1153" s="76" t="str">
        <f>C1153</f>
        <v>CHP with CCS</v>
      </c>
      <c r="I1153" s="161" t="str">
        <f t="shared" si="95"/>
        <v>L</v>
      </c>
      <c r="J1153" s="91" t="s">
        <v>112</v>
      </c>
      <c r="K1153" s="91" t="s">
        <v>112</v>
      </c>
      <c r="L1153" s="91" t="s">
        <v>112</v>
      </c>
      <c r="M1153" s="91" t="s">
        <v>112</v>
      </c>
      <c r="N1153" s="91" t="s">
        <v>112</v>
      </c>
      <c r="O1153" s="91" t="s">
        <v>112</v>
      </c>
      <c r="P1153" s="91" t="s">
        <v>112</v>
      </c>
      <c r="Q1153" s="91" t="s">
        <v>112</v>
      </c>
      <c r="R1153" s="91" t="s">
        <v>112</v>
      </c>
      <c r="S1153" s="91" t="s">
        <v>112</v>
      </c>
      <c r="T1153" s="91" t="s">
        <v>112</v>
      </c>
      <c r="U1153" s="91" t="s">
        <v>112</v>
      </c>
      <c r="V1153" s="91" t="s">
        <v>112</v>
      </c>
      <c r="W1153" s="91" t="s">
        <v>112</v>
      </c>
      <c r="X1153" s="91" t="s">
        <v>112</v>
      </c>
      <c r="Y1153" s="91" t="s">
        <v>112</v>
      </c>
      <c r="Z1153" s="91" t="s">
        <v>112</v>
      </c>
      <c r="AA1153" s="91" t="s">
        <v>112</v>
      </c>
      <c r="AB1153" s="91" t="s">
        <v>112</v>
      </c>
      <c r="AC1153" s="91" t="s">
        <v>112</v>
      </c>
      <c r="AD1153" s="91" t="s">
        <v>112</v>
      </c>
      <c r="AE1153" s="91">
        <v>3587</v>
      </c>
      <c r="AF1153" s="91">
        <v>3587</v>
      </c>
      <c r="AG1153" s="91">
        <v>3587</v>
      </c>
      <c r="AH1153" s="91">
        <v>3587</v>
      </c>
      <c r="AI1153" s="91">
        <v>3587</v>
      </c>
      <c r="AJ1153" s="91">
        <v>3587</v>
      </c>
      <c r="AK1153" s="91">
        <v>3587</v>
      </c>
      <c r="AL1153" s="91">
        <v>3587</v>
      </c>
      <c r="AM1153" s="91">
        <v>3587</v>
      </c>
      <c r="AN1153" s="91">
        <v>3587</v>
      </c>
      <c r="AO1153" s="91">
        <v>3587</v>
      </c>
      <c r="AP1153" s="91">
        <v>3587</v>
      </c>
      <c r="AQ1153" s="91">
        <v>3587</v>
      </c>
      <c r="AR1153" s="91">
        <v>3587</v>
      </c>
      <c r="AS1153" s="91">
        <v>3585.386870426069</v>
      </c>
      <c r="AT1153" s="91">
        <v>3584.3550658124818</v>
      </c>
      <c r="AU1153" s="91">
        <v>3582.6785421725444</v>
      </c>
      <c r="AV1153" s="91">
        <v>3579.9794824467635</v>
      </c>
      <c r="AW1153" s="91">
        <v>3575.6982390664784</v>
      </c>
      <c r="AX1153" s="92">
        <v>3569.0649999999996</v>
      </c>
    </row>
    <row r="1154" spans="1:50" x14ac:dyDescent="0.25">
      <c r="A1154" s="356"/>
      <c r="B1154" s="362"/>
      <c r="C1154" s="354"/>
      <c r="D1154" s="4" t="s">
        <v>8</v>
      </c>
      <c r="E1154" s="168" t="str">
        <f>A1139&amp;"/"&amp;B1147&amp;"/"&amp;C1153&amp;"/"&amp;D1154</f>
        <v>Fuel oil fired power plants/Supercritical steam turbine/CHP with CCS/M</v>
      </c>
      <c r="F1154" s="80" t="str">
        <f>A1139</f>
        <v>Fuel oil fired power plants</v>
      </c>
      <c r="G1154" s="80" t="str">
        <f>B1147</f>
        <v>Supercritical steam turbine</v>
      </c>
      <c r="H1154" s="80" t="str">
        <f>C1153</f>
        <v>CHP with CCS</v>
      </c>
      <c r="I1154" s="169" t="str">
        <f t="shared" si="95"/>
        <v>M</v>
      </c>
      <c r="J1154" s="99" t="s">
        <v>112</v>
      </c>
      <c r="K1154" s="99" t="s">
        <v>112</v>
      </c>
      <c r="L1154" s="99" t="s">
        <v>112</v>
      </c>
      <c r="M1154" s="99" t="s">
        <v>112</v>
      </c>
      <c r="N1154" s="99" t="s">
        <v>112</v>
      </c>
      <c r="O1154" s="99" t="s">
        <v>112</v>
      </c>
      <c r="P1154" s="99" t="s">
        <v>112</v>
      </c>
      <c r="Q1154" s="99" t="s">
        <v>112</v>
      </c>
      <c r="R1154" s="99" t="s">
        <v>112</v>
      </c>
      <c r="S1154" s="99" t="s">
        <v>112</v>
      </c>
      <c r="T1154" s="99" t="s">
        <v>112</v>
      </c>
      <c r="U1154" s="99" t="s">
        <v>112</v>
      </c>
      <c r="V1154" s="99" t="s">
        <v>112</v>
      </c>
      <c r="W1154" s="99" t="s">
        <v>112</v>
      </c>
      <c r="X1154" s="99" t="s">
        <v>112</v>
      </c>
      <c r="Y1154" s="99" t="s">
        <v>112</v>
      </c>
      <c r="Z1154" s="99" t="s">
        <v>112</v>
      </c>
      <c r="AA1154" s="99" t="s">
        <v>112</v>
      </c>
      <c r="AB1154" s="99" t="s">
        <v>112</v>
      </c>
      <c r="AC1154" s="99" t="s">
        <v>112</v>
      </c>
      <c r="AD1154" s="99" t="s">
        <v>112</v>
      </c>
      <c r="AE1154" s="99">
        <v>3833.8</v>
      </c>
      <c r="AF1154" s="99">
        <v>3833.8</v>
      </c>
      <c r="AG1154" s="99">
        <v>3833.8</v>
      </c>
      <c r="AH1154" s="99">
        <v>3833.8</v>
      </c>
      <c r="AI1154" s="99">
        <v>3833.8</v>
      </c>
      <c r="AJ1154" s="99">
        <v>3833.8</v>
      </c>
      <c r="AK1154" s="99">
        <v>3833.8</v>
      </c>
      <c r="AL1154" s="99">
        <v>3833.8</v>
      </c>
      <c r="AM1154" s="99">
        <v>3833.8</v>
      </c>
      <c r="AN1154" s="99">
        <v>3833.8</v>
      </c>
      <c r="AO1154" s="99">
        <v>3833.8</v>
      </c>
      <c r="AP1154" s="99">
        <v>3833.8</v>
      </c>
      <c r="AQ1154" s="99">
        <v>3833.8</v>
      </c>
      <c r="AR1154" s="99">
        <v>3833.8</v>
      </c>
      <c r="AS1154" s="99">
        <v>3832.0758806354797</v>
      </c>
      <c r="AT1154" s="99">
        <v>3830.9730837223015</v>
      </c>
      <c r="AU1154" s="99">
        <v>3829.1812085255374</v>
      </c>
      <c r="AV1154" s="99">
        <v>3826.2964426552562</v>
      </c>
      <c r="AW1154" s="99">
        <v>3821.7206325433699</v>
      </c>
      <c r="AX1154" s="100">
        <v>3814.6310000000003</v>
      </c>
    </row>
    <row r="1155" spans="1:50" x14ac:dyDescent="0.25">
      <c r="A1155" s="356"/>
      <c r="B1155" s="358" t="s">
        <v>19</v>
      </c>
      <c r="C1155" s="353" t="s">
        <v>6</v>
      </c>
      <c r="D1155" s="3" t="s">
        <v>7</v>
      </c>
      <c r="E1155" s="162" t="str">
        <f>A1139&amp;"/"&amp;B1155&amp;"/"&amp;C1155&amp;"/"&amp;D1155</f>
        <v>Fuel oil fired power plants/Steam turbine/Electricity only/L</v>
      </c>
      <c r="F1155" s="77" t="str">
        <f>A1139</f>
        <v>Fuel oil fired power plants</v>
      </c>
      <c r="G1155" s="77" t="str">
        <f>B1155</f>
        <v>Steam turbine</v>
      </c>
      <c r="H1155" s="77" t="str">
        <f>C1155</f>
        <v>Electricity only</v>
      </c>
      <c r="I1155" s="163" t="str">
        <f t="shared" si="95"/>
        <v>L</v>
      </c>
      <c r="J1155" s="93">
        <v>1350</v>
      </c>
      <c r="K1155" s="93">
        <v>1351.5840358858902</v>
      </c>
      <c r="L1155" s="93">
        <v>1353.1577040074583</v>
      </c>
      <c r="M1155" s="93">
        <v>1354.7190849995245</v>
      </c>
      <c r="N1155" s="93">
        <v>1356.2663252798811</v>
      </c>
      <c r="O1155" s="93">
        <v>1357.7976450410306</v>
      </c>
      <c r="P1155" s="93">
        <v>1359.3113454752984</v>
      </c>
      <c r="Q1155" s="93">
        <v>1360.8058151823384</v>
      </c>
      <c r="R1155" s="93">
        <v>1362.2795357213599</v>
      </c>
      <c r="S1155" s="93">
        <v>1363.7310862837764</v>
      </c>
      <c r="T1155" s="93">
        <v>1365.1591474751006</v>
      </c>
      <c r="U1155" s="93">
        <v>1366.5625042075376</v>
      </c>
      <c r="V1155" s="93">
        <v>1367.9400477165916</v>
      </c>
      <c r="W1155" s="93">
        <v>1369.2907767259228</v>
      </c>
      <c r="X1155" s="93">
        <v>1370.6137977944895</v>
      </c>
      <c r="Y1155" s="93">
        <v>1371.90832488857</v>
      </c>
      <c r="Z1155" s="93">
        <v>1373.1736782284988</v>
      </c>
      <c r="AA1155" s="93">
        <v>1374.4092824658251</v>
      </c>
      <c r="AB1155" s="93">
        <v>1375.6146642511158</v>
      </c>
      <c r="AC1155" s="93">
        <v>1376.7894492557955</v>
      </c>
      <c r="AD1155" s="93">
        <v>1377.9333587133215</v>
      </c>
      <c r="AE1155" s="93">
        <v>1379.0462055456881</v>
      </c>
      <c r="AF1155" s="93">
        <v>1380.1278901408825</v>
      </c>
      <c r="AG1155" s="93">
        <v>1381.1783958455524</v>
      </c>
      <c r="AH1155" s="93">
        <v>1382.1977842349499</v>
      </c>
      <c r="AI1155" s="93">
        <v>1383.1861902193064</v>
      </c>
      <c r="AJ1155" s="93">
        <v>1384.14381704229</v>
      </c>
      <c r="AK1155" s="93">
        <v>1385.0709312232643</v>
      </c>
      <c r="AL1155" s="93">
        <v>1385.9678574907769</v>
      </c>
      <c r="AM1155" s="93">
        <v>1386.8349737502213</v>
      </c>
      <c r="AN1155" s="93">
        <v>1387.6727061240117</v>
      </c>
      <c r="AO1155" s="93">
        <v>1388.4815240979844</v>
      </c>
      <c r="AP1155" s="93">
        <v>1389.2619358031789</v>
      </c>
      <c r="AQ1155" s="93">
        <v>1390.0144834577295</v>
      </c>
      <c r="AR1155" s="93">
        <v>1390.7397389893451</v>
      </c>
      <c r="AS1155" s="93">
        <v>1391.4382998548526</v>
      </c>
      <c r="AT1155" s="93">
        <v>1392.1107850695339</v>
      </c>
      <c r="AU1155" s="93">
        <v>1392.7578314555287</v>
      </c>
      <c r="AV1155" s="93">
        <v>1393.3800901154323</v>
      </c>
      <c r="AW1155" s="93">
        <v>1393.9782231343752</v>
      </c>
      <c r="AX1155" s="94">
        <v>1394.5529005113524</v>
      </c>
    </row>
    <row r="1156" spans="1:50" x14ac:dyDescent="0.25">
      <c r="A1156" s="356"/>
      <c r="B1156" s="359"/>
      <c r="C1156" s="350"/>
      <c r="D1156" s="2" t="s">
        <v>8</v>
      </c>
      <c r="E1156" s="160" t="str">
        <f>A1139&amp;"/"&amp;B1155&amp;"/"&amp;C1155&amp;"/"&amp;D1156</f>
        <v>Fuel oil fired power plants/Steam turbine/Electricity only/M</v>
      </c>
      <c r="F1156" s="76" t="str">
        <f>A1139</f>
        <v>Fuel oil fired power plants</v>
      </c>
      <c r="G1156" s="76" t="str">
        <f>B1155</f>
        <v>Steam turbine</v>
      </c>
      <c r="H1156" s="76" t="str">
        <f>C1155</f>
        <v>Electricity only</v>
      </c>
      <c r="I1156" s="161" t="str">
        <f t="shared" si="95"/>
        <v>M</v>
      </c>
      <c r="J1156" s="91">
        <v>1458</v>
      </c>
      <c r="K1156" s="91">
        <v>1459.7107587567614</v>
      </c>
      <c r="L1156" s="91">
        <v>1461.4103203280549</v>
      </c>
      <c r="M1156" s="91">
        <v>1463.0966117994865</v>
      </c>
      <c r="N1156" s="91">
        <v>1464.7676313022716</v>
      </c>
      <c r="O1156" s="91">
        <v>1466.4214566443129</v>
      </c>
      <c r="P1156" s="91">
        <v>1468.0562531133223</v>
      </c>
      <c r="Q1156" s="91">
        <v>1469.6702803969254</v>
      </c>
      <c r="R1156" s="91">
        <v>1471.2618985790687</v>
      </c>
      <c r="S1156" s="91">
        <v>1472.8295731864785</v>
      </c>
      <c r="T1156" s="91">
        <v>1474.3718792731086</v>
      </c>
      <c r="U1156" s="91">
        <v>1475.8875045441405</v>
      </c>
      <c r="V1156" s="91">
        <v>1477.375251533919</v>
      </c>
      <c r="W1156" s="91">
        <v>1478.8340388639967</v>
      </c>
      <c r="X1156" s="91">
        <v>1480.2629016180485</v>
      </c>
      <c r="Y1156" s="91">
        <v>1481.6609908796554</v>
      </c>
      <c r="Z1156" s="91">
        <v>1483.0275724867786</v>
      </c>
      <c r="AA1156" s="91">
        <v>1484.3620250630911</v>
      </c>
      <c r="AB1156" s="91">
        <v>1485.6638373912049</v>
      </c>
      <c r="AC1156" s="91">
        <v>1486.9326051962591</v>
      </c>
      <c r="AD1156" s="91">
        <v>1488.1680274103871</v>
      </c>
      <c r="AE1156" s="91">
        <v>1489.3699019893431</v>
      </c>
      <c r="AF1156" s="91">
        <v>1490.538121352153</v>
      </c>
      <c r="AG1156" s="91">
        <v>1491.6726675131963</v>
      </c>
      <c r="AH1156" s="91">
        <v>1492.7736069737459</v>
      </c>
      <c r="AI1156" s="91">
        <v>1493.8410854368508</v>
      </c>
      <c r="AJ1156" s="91">
        <v>1494.8753224056732</v>
      </c>
      <c r="AK1156" s="91">
        <v>1495.8766057211255</v>
      </c>
      <c r="AL1156" s="91">
        <v>1496.8452860900388</v>
      </c>
      <c r="AM1156" s="91">
        <v>1497.7817716502389</v>
      </c>
      <c r="AN1156" s="91">
        <v>1498.6865226139325</v>
      </c>
      <c r="AO1156" s="91">
        <v>1499.5600460258231</v>
      </c>
      <c r="AP1156" s="91">
        <v>1500.4028906674332</v>
      </c>
      <c r="AQ1156" s="91">
        <v>1501.2156421343479</v>
      </c>
      <c r="AR1156" s="91">
        <v>1501.9989181084927</v>
      </c>
      <c r="AS1156" s="91">
        <v>1502.7533638432408</v>
      </c>
      <c r="AT1156" s="91">
        <v>1503.4796478750966</v>
      </c>
      <c r="AU1156" s="91">
        <v>1504.1784579719711</v>
      </c>
      <c r="AV1156" s="91">
        <v>1504.8504973246668</v>
      </c>
      <c r="AW1156" s="91">
        <v>1505.4964809851251</v>
      </c>
      <c r="AX1156" s="92">
        <v>1506.1171325522605</v>
      </c>
    </row>
    <row r="1157" spans="1:50" x14ac:dyDescent="0.25">
      <c r="A1157" s="356"/>
      <c r="B1157" s="359"/>
      <c r="C1157" s="350"/>
      <c r="D1157" s="2" t="s">
        <v>10</v>
      </c>
      <c r="E1157" s="160" t="str">
        <f>A1139&amp;"/"&amp;B1155&amp;"/"&amp;C1155&amp;"/"&amp;D1157</f>
        <v>Fuel oil fired power plants/Steam turbine/Electricity only/S</v>
      </c>
      <c r="F1157" s="76" t="str">
        <f>A1139</f>
        <v>Fuel oil fired power plants</v>
      </c>
      <c r="G1157" s="76" t="str">
        <f>B1155</f>
        <v>Steam turbine</v>
      </c>
      <c r="H1157" s="76" t="str">
        <f>C1155</f>
        <v>Electricity only</v>
      </c>
      <c r="I1157" s="161" t="str">
        <f t="shared" si="95"/>
        <v>S</v>
      </c>
      <c r="J1157" s="91">
        <v>1611.09</v>
      </c>
      <c r="K1157" s="91">
        <v>1612.9803884262215</v>
      </c>
      <c r="L1157" s="91">
        <v>1614.8584039625007</v>
      </c>
      <c r="M1157" s="91">
        <v>1616.7217560384324</v>
      </c>
      <c r="N1157" s="91">
        <v>1618.56823258901</v>
      </c>
      <c r="O1157" s="91">
        <v>1620.3957095919659</v>
      </c>
      <c r="P1157" s="91">
        <v>1622.2021596902212</v>
      </c>
      <c r="Q1157" s="91">
        <v>1623.9856598386025</v>
      </c>
      <c r="R1157" s="91">
        <v>1625.744397929871</v>
      </c>
      <c r="S1157" s="91">
        <v>1627.4766783710586</v>
      </c>
      <c r="T1157" s="91">
        <v>1629.180926596785</v>
      </c>
      <c r="U1157" s="91">
        <v>1630.8556925212754</v>
      </c>
      <c r="V1157" s="91">
        <v>1632.4996529449804</v>
      </c>
      <c r="W1157" s="91">
        <v>1634.1116129447164</v>
      </c>
      <c r="X1157" s="91">
        <v>1635.6905062879437</v>
      </c>
      <c r="Y1157" s="91">
        <v>1637.2353949220192</v>
      </c>
      <c r="Z1157" s="91">
        <v>1638.7454675978904</v>
      </c>
      <c r="AA1157" s="91">
        <v>1640.2200376947158</v>
      </c>
      <c r="AB1157" s="91">
        <v>1641.6585403172814</v>
      </c>
      <c r="AC1157" s="91">
        <v>1643.0605287418664</v>
      </c>
      <c r="AD1157" s="91">
        <v>1644.4256702884779</v>
      </c>
      <c r="AE1157" s="91">
        <v>1645.7537416982241</v>
      </c>
      <c r="AF1157" s="91">
        <v>1647.0446240941292</v>
      </c>
      <c r="AG1157" s="91">
        <v>1648.2982976020821</v>
      </c>
      <c r="AH1157" s="91">
        <v>1649.5148357059893</v>
      </c>
      <c r="AI1157" s="91">
        <v>1650.6943994077201</v>
      </c>
      <c r="AJ1157" s="91">
        <v>1651.837231258269</v>
      </c>
      <c r="AK1157" s="91">
        <v>1652.9436493218436</v>
      </c>
      <c r="AL1157" s="91">
        <v>1654.0140411294931</v>
      </c>
      <c r="AM1157" s="91">
        <v>1655.048857673514</v>
      </c>
      <c r="AN1157" s="91">
        <v>1656.0486074883956</v>
      </c>
      <c r="AO1157" s="91">
        <v>1657.0138508585344</v>
      </c>
      <c r="AP1157" s="91">
        <v>1657.9451941875136</v>
      </c>
      <c r="AQ1157" s="91">
        <v>1658.8432845584543</v>
      </c>
      <c r="AR1157" s="91">
        <v>1659.7088045098844</v>
      </c>
      <c r="AS1157" s="91">
        <v>1660.5424670467812</v>
      </c>
      <c r="AT1157" s="91">
        <v>1661.3450109019818</v>
      </c>
      <c r="AU1157" s="91">
        <v>1662.1171960590279</v>
      </c>
      <c r="AV1157" s="91">
        <v>1662.8597995437567</v>
      </c>
      <c r="AW1157" s="91">
        <v>1663.5736114885631</v>
      </c>
      <c r="AX1157" s="92">
        <v>1664.2594314702478</v>
      </c>
    </row>
    <row r="1158" spans="1:50" x14ac:dyDescent="0.25">
      <c r="A1158" s="356"/>
      <c r="B1158" s="359"/>
      <c r="C1158" s="360"/>
      <c r="D1158" s="2" t="s">
        <v>20</v>
      </c>
      <c r="E1158" s="160" t="str">
        <f>A1139&amp;"/"&amp;B1155&amp;"/"&amp;C1155&amp;"/"&amp;D1158</f>
        <v>Fuel oil fired power plants/Steam turbine/Electricity only/XS</v>
      </c>
      <c r="F1158" s="76" t="str">
        <f>A1139</f>
        <v>Fuel oil fired power plants</v>
      </c>
      <c r="G1158" s="76" t="str">
        <f>B1155</f>
        <v>Steam turbine</v>
      </c>
      <c r="H1158" s="76" t="str">
        <f>C1155</f>
        <v>Electricity only</v>
      </c>
      <c r="I1158" s="161" t="str">
        <f t="shared" si="95"/>
        <v>XS</v>
      </c>
      <c r="J1158" s="91">
        <v>1933.3079999999998</v>
      </c>
      <c r="K1158" s="91">
        <v>1935.5764661114654</v>
      </c>
      <c r="L1158" s="91">
        <v>1937.8300847550006</v>
      </c>
      <c r="M1158" s="91">
        <v>1940.0661072461187</v>
      </c>
      <c r="N1158" s="91">
        <v>1942.2818791068119</v>
      </c>
      <c r="O1158" s="91">
        <v>1944.4748515103588</v>
      </c>
      <c r="P1158" s="91">
        <v>1946.6425916282651</v>
      </c>
      <c r="Q1158" s="91">
        <v>1948.7827918063228</v>
      </c>
      <c r="R1158" s="91">
        <v>1950.8932775158448</v>
      </c>
      <c r="S1158" s="91">
        <v>1952.97201404527</v>
      </c>
      <c r="T1158" s="91">
        <v>1955.0171119161416</v>
      </c>
      <c r="U1158" s="91">
        <v>1957.0268310255301</v>
      </c>
      <c r="V1158" s="91">
        <v>1958.9995835339764</v>
      </c>
      <c r="W1158" s="91">
        <v>1960.9339355336592</v>
      </c>
      <c r="X1158" s="91">
        <v>1962.8286075455321</v>
      </c>
      <c r="Y1158" s="91">
        <v>1964.682473906423</v>
      </c>
      <c r="Z1158" s="91">
        <v>1966.494561117468</v>
      </c>
      <c r="AA1158" s="91">
        <v>1968.2640452336586</v>
      </c>
      <c r="AB1158" s="91">
        <v>1969.9902483807375</v>
      </c>
      <c r="AC1158" s="91">
        <v>1971.6726344902393</v>
      </c>
      <c r="AD1158" s="91">
        <v>1973.3108043461732</v>
      </c>
      <c r="AE1158" s="91">
        <v>1974.9044900378688</v>
      </c>
      <c r="AF1158" s="91">
        <v>1976.4535489129546</v>
      </c>
      <c r="AG1158" s="91">
        <v>1977.9579571224981</v>
      </c>
      <c r="AH1158" s="91">
        <v>1979.4178028471867</v>
      </c>
      <c r="AI1158" s="91">
        <v>1980.8332792892638</v>
      </c>
      <c r="AJ1158" s="91">
        <v>1982.2046775099225</v>
      </c>
      <c r="AK1158" s="91">
        <v>1983.5323791862122</v>
      </c>
      <c r="AL1158" s="91">
        <v>1984.8168493553915</v>
      </c>
      <c r="AM1158" s="91">
        <v>1986.0586292082164</v>
      </c>
      <c r="AN1158" s="91">
        <v>1987.2583289860745</v>
      </c>
      <c r="AO1158" s="91">
        <v>1988.416621030241</v>
      </c>
      <c r="AP1158" s="91">
        <v>1989.5342330250162</v>
      </c>
      <c r="AQ1158" s="91">
        <v>1990.611941470145</v>
      </c>
      <c r="AR1158" s="91">
        <v>1991.650565411861</v>
      </c>
      <c r="AS1158" s="91">
        <v>1992.650960456137</v>
      </c>
      <c r="AT1158" s="91">
        <v>1993.6140130823778</v>
      </c>
      <c r="AU1158" s="91">
        <v>1994.5406352708333</v>
      </c>
      <c r="AV1158" s="91">
        <v>1995.4317594525078</v>
      </c>
      <c r="AW1158" s="91">
        <v>1996.2883337862756</v>
      </c>
      <c r="AX1158" s="92">
        <v>1997.1113177642972</v>
      </c>
    </row>
    <row r="1159" spans="1:50" x14ac:dyDescent="0.25">
      <c r="A1159" s="356"/>
      <c r="B1159" s="359"/>
      <c r="C1159" s="361" t="s">
        <v>14</v>
      </c>
      <c r="D1159" s="58" t="s">
        <v>7</v>
      </c>
      <c r="E1159" s="164" t="str">
        <f>A1139&amp;"/"&amp;B1155&amp;"/"&amp;C1159&amp;"/"&amp;D1159</f>
        <v>Fuel oil fired power plants/Steam turbine/CHP/L</v>
      </c>
      <c r="F1159" s="78" t="str">
        <f>A1139</f>
        <v>Fuel oil fired power plants</v>
      </c>
      <c r="G1159" s="78" t="str">
        <f>B1155</f>
        <v>Steam turbine</v>
      </c>
      <c r="H1159" s="78" t="str">
        <f>C1159</f>
        <v>CHP</v>
      </c>
      <c r="I1159" s="165" t="str">
        <f t="shared" ref="I1159:I1222" si="96">D1159</f>
        <v>L</v>
      </c>
      <c r="J1159" s="95">
        <v>1845</v>
      </c>
      <c r="K1159" s="95">
        <v>1847.8448877306014</v>
      </c>
      <c r="L1159" s="95">
        <v>1850.705492937775</v>
      </c>
      <c r="M1159" s="95">
        <v>1853.5779936382651</v>
      </c>
      <c r="N1159" s="95">
        <v>1856.4585205005583</v>
      </c>
      <c r="O1159" s="95">
        <v>1859.3431773780922</v>
      </c>
      <c r="P1159" s="95">
        <v>1862.2280620237739</v>
      </c>
      <c r="Q1159" s="95">
        <v>1865.1092867554087</v>
      </c>
      <c r="R1159" s="95">
        <v>1867.9829988440699</v>
      </c>
      <c r="S1159" s="95">
        <v>1870.8454004041191</v>
      </c>
      <c r="T1159" s="95">
        <v>1873.6927675742709</v>
      </c>
      <c r="U1159" s="95">
        <v>1876.5214687934917</v>
      </c>
      <c r="V1159" s="95">
        <v>1879.3279819931804</v>
      </c>
      <c r="W1159" s="95">
        <v>1882.1089105475046</v>
      </c>
      <c r="X1159" s="95">
        <v>1884.8609978464144</v>
      </c>
      <c r="Y1159" s="95">
        <v>1887.581140380101</v>
      </c>
      <c r="Z1159" s="95">
        <v>1890.266399248914</v>
      </c>
      <c r="AA1159" s="95">
        <v>1892.9140100383895</v>
      </c>
      <c r="AB1159" s="95">
        <v>1895.5213910244656</v>
      </c>
      <c r="AC1159" s="95">
        <v>1898.0861496986483</v>
      </c>
      <c r="AD1159" s="95">
        <v>1900.6060876263277</v>
      </c>
      <c r="AE1159" s="95">
        <v>1903.0792036732284</v>
      </c>
      <c r="AF1159" s="95">
        <v>1905.5036956547417</v>
      </c>
      <c r="AG1159" s="95">
        <v>1907.8779604803719</v>
      </c>
      <c r="AH1159" s="95">
        <v>1910.2005928805404</v>
      </c>
      <c r="AI1159" s="95">
        <v>1912.4703828154254</v>
      </c>
      <c r="AJ1159" s="95">
        <v>1914.6863116753266</v>
      </c>
      <c r="AK1159" s="95">
        <v>1916.8475473892745</v>
      </c>
      <c r="AL1159" s="95">
        <v>1918.9534385633478</v>
      </c>
      <c r="AM1159" s="95">
        <v>1921.0035077725386</v>
      </c>
      <c r="AN1159" s="95">
        <v>1922.9974441302497</v>
      </c>
      <c r="AO1159" s="95">
        <v>1924.9350952577679</v>
      </c>
      <c r="AP1159" s="95">
        <v>1926.8164587726305</v>
      </c>
      <c r="AQ1159" s="95">
        <v>1928.6416734099012</v>
      </c>
      <c r="AR1159" s="95">
        <v>1930.4110098842566</v>
      </c>
      <c r="AS1159" s="95">
        <v>1932.1248615937163</v>
      </c>
      <c r="AT1159" s="95">
        <v>1933.7837352580432</v>
      </c>
      <c r="AU1159" s="95">
        <v>1935.3882415765474</v>
      </c>
      <c r="AV1159" s="95">
        <v>1936.9390859814412</v>
      </c>
      <c r="AW1159" s="95">
        <v>1938.4370595541816</v>
      </c>
      <c r="AX1159" s="96">
        <v>1939.8830301636101</v>
      </c>
    </row>
    <row r="1160" spans="1:50" x14ac:dyDescent="0.25">
      <c r="A1160" s="356"/>
      <c r="B1160" s="359"/>
      <c r="C1160" s="350"/>
      <c r="D1160" s="2" t="s">
        <v>8</v>
      </c>
      <c r="E1160" s="160" t="str">
        <f>A1139&amp;"/"&amp;B1155&amp;"/"&amp;C1159&amp;"/"&amp;D1160</f>
        <v>Fuel oil fired power plants/Steam turbine/CHP/M</v>
      </c>
      <c r="F1160" s="76" t="str">
        <f>A1139</f>
        <v>Fuel oil fired power plants</v>
      </c>
      <c r="G1160" s="76" t="str">
        <f>B1155</f>
        <v>Steam turbine</v>
      </c>
      <c r="H1160" s="76" t="str">
        <f>C1159</f>
        <v>CHP</v>
      </c>
      <c r="I1160" s="161" t="str">
        <f t="shared" si="96"/>
        <v>M</v>
      </c>
      <c r="J1160" s="91">
        <v>1953</v>
      </c>
      <c r="K1160" s="91">
        <v>1956.0114177441001</v>
      </c>
      <c r="L1160" s="91">
        <v>1959.0394730121811</v>
      </c>
      <c r="M1160" s="91">
        <v>1962.0801200951391</v>
      </c>
      <c r="N1160" s="91">
        <v>1965.1292631640054</v>
      </c>
      <c r="O1160" s="91">
        <v>1968.1827780051021</v>
      </c>
      <c r="P1160" s="91">
        <v>1971.2365339471166</v>
      </c>
      <c r="Q1160" s="91">
        <v>1974.286415736213</v>
      </c>
      <c r="R1160" s="91">
        <v>1977.328345117869</v>
      </c>
      <c r="S1160" s="91">
        <v>1980.3583018911893</v>
      </c>
      <c r="T1160" s="91">
        <v>1983.3723442127646</v>
      </c>
      <c r="U1160" s="91">
        <v>1986.366627942379</v>
      </c>
      <c r="V1160" s="91">
        <v>1989.3374248415616</v>
      </c>
      <c r="W1160" s="91">
        <v>1992.2811394576022</v>
      </c>
      <c r="X1160" s="91">
        <v>1995.1943245496191</v>
      </c>
      <c r="Y1160" s="91">
        <v>1998.0736949389361</v>
      </c>
      <c r="Z1160" s="91">
        <v>2000.9161396927529</v>
      </c>
      <c r="AA1160" s="91">
        <v>2003.7187325772218</v>
      </c>
      <c r="AB1160" s="91">
        <v>2006.4787407429708</v>
      </c>
      <c r="AC1160" s="91">
        <v>2009.1936316322278</v>
      </c>
      <c r="AD1160" s="91">
        <v>2011.8610781215275</v>
      </c>
      <c r="AE1160" s="91">
        <v>2014.4789619370272</v>
      </c>
      <c r="AF1160" s="91">
        <v>2017.0453754003852</v>
      </c>
      <c r="AG1160" s="91">
        <v>2019.5586215816618</v>
      </c>
      <c r="AH1160" s="91">
        <v>2022.0172129515963</v>
      </c>
      <c r="AI1160" s="91">
        <v>2024.4198686387674</v>
      </c>
      <c r="AJ1160" s="91">
        <v>2026.7655104075407</v>
      </c>
      <c r="AK1160" s="91">
        <v>2029.053257480354</v>
      </c>
      <c r="AL1160" s="91">
        <v>2031.2824203329096</v>
      </c>
      <c r="AM1160" s="91">
        <v>2033.45249359337</v>
      </c>
      <c r="AN1160" s="91">
        <v>2035.5631481768985</v>
      </c>
      <c r="AO1160" s="91">
        <v>2037.6142227850519</v>
      </c>
      <c r="AP1160" s="91">
        <v>2039.6057148959064</v>
      </c>
      <c r="AQ1160" s="91">
        <v>2041.5377713656026</v>
      </c>
      <c r="AR1160" s="91">
        <v>2043.4106787555299</v>
      </c>
      <c r="AS1160" s="91">
        <v>2045.2248534918851</v>
      </c>
      <c r="AT1160" s="91">
        <v>2046.980831956075</v>
      </c>
      <c r="AU1160" s="91">
        <v>2048.6792605956625</v>
      </c>
      <c r="AV1160" s="91">
        <v>2050.3208861364524</v>
      </c>
      <c r="AW1160" s="91">
        <v>2051.9065459671092</v>
      </c>
      <c r="AX1160" s="92">
        <v>2053.4371587585529</v>
      </c>
    </row>
    <row r="1161" spans="1:50" x14ac:dyDescent="0.25">
      <c r="A1161" s="356"/>
      <c r="B1161" s="359"/>
      <c r="C1161" s="350"/>
      <c r="D1161" s="2" t="s">
        <v>10</v>
      </c>
      <c r="E1161" s="160" t="str">
        <f>A1139&amp;"/"&amp;B1155&amp;"/"&amp;C1159&amp;"/"&amp;D1161</f>
        <v>Fuel oil fired power plants/Steam turbine/CHP/S</v>
      </c>
      <c r="F1161" s="76" t="str">
        <f>A1139</f>
        <v>Fuel oil fired power plants</v>
      </c>
      <c r="G1161" s="76" t="str">
        <f>B1155</f>
        <v>Steam turbine</v>
      </c>
      <c r="H1161" s="76" t="str">
        <f>C1159</f>
        <v>CHP</v>
      </c>
      <c r="I1161" s="161" t="str">
        <f t="shared" si="96"/>
        <v>S</v>
      </c>
      <c r="J1161" s="91">
        <v>2463.308</v>
      </c>
      <c r="K1161" s="91">
        <v>2467.1062843934374</v>
      </c>
      <c r="L1161" s="91">
        <v>2470.9255536030155</v>
      </c>
      <c r="M1161" s="91">
        <v>2474.7607047984211</v>
      </c>
      <c r="N1161" s="91">
        <v>2478.6065719334356</v>
      </c>
      <c r="O1161" s="91">
        <v>2482.4579531603645</v>
      </c>
      <c r="P1161" s="91">
        <v>2486.3096384865353</v>
      </c>
      <c r="Q1161" s="91">
        <v>2490.1564373652527</v>
      </c>
      <c r="R1161" s="91">
        <v>2493.9932059168495</v>
      </c>
      <c r="S1161" s="91">
        <v>2497.8148734843735</v>
      </c>
      <c r="T1161" s="91">
        <v>2501.6164682427325</v>
      </c>
      <c r="U1161" s="91">
        <v>2505.393141599327</v>
      </c>
      <c r="V1161" s="91">
        <v>2509.1401911477815</v>
      </c>
      <c r="W1161" s="91">
        <v>2512.8530819636594</v>
      </c>
      <c r="X1161" s="91">
        <v>2516.5274660612763</v>
      </c>
      <c r="Y1161" s="91">
        <v>2520.1591998631034</v>
      </c>
      <c r="Z1161" s="91">
        <v>2523.7443595669611</v>
      </c>
      <c r="AA1161" s="91">
        <v>2527.2792543304304</v>
      </c>
      <c r="AB1161" s="91">
        <v>2530.7604372258502</v>
      </c>
      <c r="AC1161" s="91">
        <v>2534.184713952237</v>
      </c>
      <c r="AD1161" s="91">
        <v>2537.5491493217528</v>
      </c>
      <c r="AE1161" s="91">
        <v>2540.8510715674215</v>
      </c>
      <c r="AF1161" s="91">
        <v>2544.0880745451977</v>
      </c>
      <c r="AG1161" s="91">
        <v>2547.2580179268202</v>
      </c>
      <c r="AH1161" s="91">
        <v>2550.3590254999335</v>
      </c>
      <c r="AI1161" s="91">
        <v>2553.3894817085634</v>
      </c>
      <c r="AJ1161" s="91">
        <v>2556.3480265801218</v>
      </c>
      <c r="AK1161" s="91">
        <v>2559.2335491947852</v>
      </c>
      <c r="AL1161" s="91">
        <v>2562.0451798594049</v>
      </c>
      <c r="AM1161" s="91">
        <v>2564.7822811513038</v>
      </c>
      <c r="AN1161" s="91">
        <v>2567.4444379976135</v>
      </c>
      <c r="AO1161" s="91">
        <v>2570.0314469535074</v>
      </c>
      <c r="AP1161" s="91">
        <v>2572.5433048380978</v>
      </c>
      <c r="AQ1161" s="91">
        <v>2574.9801968802149</v>
      </c>
      <c r="AR1161" s="91">
        <v>2577.3424845181394</v>
      </c>
      <c r="AS1161" s="91">
        <v>2579.6306929879097</v>
      </c>
      <c r="AT1161" s="91">
        <v>2581.8454988244007</v>
      </c>
      <c r="AU1161" s="91">
        <v>2583.9877173883151</v>
      </c>
      <c r="AV1161" s="91">
        <v>2586.058290520743</v>
      </c>
      <c r="AW1161" s="91">
        <v>2588.0582744153339</v>
      </c>
      <c r="AX1161" s="92">
        <v>2589.9888277865916</v>
      </c>
    </row>
    <row r="1162" spans="1:50" x14ac:dyDescent="0.25">
      <c r="A1162" s="356"/>
      <c r="B1162" s="359"/>
      <c r="C1162" s="360"/>
      <c r="D1162" s="59" t="s">
        <v>20</v>
      </c>
      <c r="E1162" s="166" t="str">
        <f>A1139&amp;"/"&amp;B1155&amp;"/"&amp;C1159&amp;"/"&amp;D1162</f>
        <v>Fuel oil fired power plants/Steam turbine/CHP/XS</v>
      </c>
      <c r="F1162" s="79" t="str">
        <f>A1139</f>
        <v>Fuel oil fired power plants</v>
      </c>
      <c r="G1162" s="79" t="str">
        <f>B1155</f>
        <v>Steam turbine</v>
      </c>
      <c r="H1162" s="79" t="str">
        <f>C1159</f>
        <v>CHP</v>
      </c>
      <c r="I1162" s="167" t="str">
        <f t="shared" si="96"/>
        <v>XS</v>
      </c>
      <c r="J1162" s="97">
        <v>2445</v>
      </c>
      <c r="K1162" s="97">
        <v>2448.7700544722607</v>
      </c>
      <c r="L1162" s="97">
        <v>2452.560937795588</v>
      </c>
      <c r="M1162" s="97">
        <v>2456.3675850653431</v>
      </c>
      <c r="N1162" s="97">
        <v>2460.1848686308208</v>
      </c>
      <c r="O1162" s="97">
        <v>2464.0076253059269</v>
      </c>
      <c r="P1162" s="97">
        <v>2467.8306838201233</v>
      </c>
      <c r="Q1162" s="97">
        <v>2471.6488922043218</v>
      </c>
      <c r="R1162" s="97">
        <v>2475.4571448096212</v>
      </c>
      <c r="S1162" s="97">
        <v>2479.2504086656213</v>
      </c>
      <c r="T1162" s="97">
        <v>2483.023748899237</v>
      </c>
      <c r="U1162" s="97">
        <v>2486.7723529539771</v>
      </c>
      <c r="V1162" s="97">
        <v>2490.4915533730764</v>
      </c>
      <c r="W1162" s="97">
        <v>2494.1768489369369</v>
      </c>
      <c r="X1162" s="97">
        <v>2497.8239239753298</v>
      </c>
      <c r="Y1162" s="97">
        <v>2501.4286657069633</v>
      </c>
      <c r="Z1162" s="97">
        <v>2504.9871794924634</v>
      </c>
      <c r="AA1162" s="97">
        <v>2508.4958019207925</v>
      </c>
      <c r="AB1162" s="97">
        <v>2511.9511116828285</v>
      </c>
      <c r="AC1162" s="97">
        <v>2515.3499382185341</v>
      </c>
      <c r="AD1162" s="97">
        <v>2518.6893681552151</v>
      </c>
      <c r="AE1162" s="97">
        <v>2521.9667495832214</v>
      </c>
      <c r="AF1162" s="97">
        <v>2525.1796942416495</v>
      </c>
      <c r="AG1162" s="97">
        <v>2528.3260777097612</v>
      </c>
      <c r="AH1162" s="97">
        <v>2531.4040377197407</v>
      </c>
      <c r="AI1162" s="97">
        <v>2534.4119707228811</v>
      </c>
      <c r="AJ1162" s="97">
        <v>2537.3485268542945</v>
      </c>
      <c r="AK1162" s="97">
        <v>2540.2126034508274</v>
      </c>
      <c r="AL1162" s="97">
        <v>2543.0033372831358</v>
      </c>
      <c r="AM1162" s="97">
        <v>2545.7200956660472</v>
      </c>
      <c r="AN1162" s="97">
        <v>2548.362466611632</v>
      </c>
      <c r="AO1162" s="97">
        <v>2550.9302481871237</v>
      </c>
      <c r="AP1162" s="97">
        <v>2553.4234372352748</v>
      </c>
      <c r="AQ1162" s="97">
        <v>2555.8422176082431</v>
      </c>
      <c r="AR1162" s="97">
        <v>2558.1869480579985</v>
      </c>
      <c r="AS1162" s="97">
        <v>2560.4581499168762</v>
      </c>
      <c r="AT1162" s="97">
        <v>2562.6564946915532</v>
      </c>
      <c r="AU1162" s="97">
        <v>2564.7827916827418</v>
      </c>
      <c r="AV1162" s="97">
        <v>2566.8379757315033</v>
      </c>
      <c r="AW1162" s="97">
        <v>2568.8230951815576</v>
      </c>
      <c r="AX1162" s="98">
        <v>2570.7393001355158</v>
      </c>
    </row>
    <row r="1163" spans="1:50" x14ac:dyDescent="0.25">
      <c r="A1163" s="356"/>
      <c r="B1163" s="359"/>
      <c r="C1163" s="361" t="s">
        <v>15</v>
      </c>
      <c r="D1163" s="58" t="s">
        <v>7</v>
      </c>
      <c r="E1163" s="164" t="str">
        <f>A1139&amp;"/"&amp;B1155&amp;"/"&amp;C1163&amp;"/"&amp;D1163</f>
        <v>Fuel oil fired power plants/Steam turbine/Electricity only with CCS/L</v>
      </c>
      <c r="F1163" s="78" t="str">
        <f>A1139</f>
        <v>Fuel oil fired power plants</v>
      </c>
      <c r="G1163" s="78" t="str">
        <f>B1155</f>
        <v>Steam turbine</v>
      </c>
      <c r="H1163" s="78" t="str">
        <f>C1163</f>
        <v>Electricity only with CCS</v>
      </c>
      <c r="I1163" s="165" t="str">
        <f t="shared" si="96"/>
        <v>L</v>
      </c>
      <c r="J1163" s="95" t="s">
        <v>112</v>
      </c>
      <c r="K1163" s="95" t="s">
        <v>112</v>
      </c>
      <c r="L1163" s="95" t="s">
        <v>112</v>
      </c>
      <c r="M1163" s="95" t="s">
        <v>112</v>
      </c>
      <c r="N1163" s="95" t="s">
        <v>112</v>
      </c>
      <c r="O1163" s="95" t="s">
        <v>112</v>
      </c>
      <c r="P1163" s="95" t="s">
        <v>112</v>
      </c>
      <c r="Q1163" s="95" t="s">
        <v>112</v>
      </c>
      <c r="R1163" s="95" t="s">
        <v>112</v>
      </c>
      <c r="S1163" s="95" t="s">
        <v>112</v>
      </c>
      <c r="T1163" s="95" t="s">
        <v>112</v>
      </c>
      <c r="U1163" s="95" t="s">
        <v>112</v>
      </c>
      <c r="V1163" s="95" t="s">
        <v>112</v>
      </c>
      <c r="W1163" s="95" t="s">
        <v>112</v>
      </c>
      <c r="X1163" s="95" t="s">
        <v>112</v>
      </c>
      <c r="Y1163" s="95" t="s">
        <v>112</v>
      </c>
      <c r="Z1163" s="95" t="s">
        <v>112</v>
      </c>
      <c r="AA1163" s="95" t="s">
        <v>112</v>
      </c>
      <c r="AB1163" s="95" t="s">
        <v>112</v>
      </c>
      <c r="AC1163" s="95" t="s">
        <v>112</v>
      </c>
      <c r="AD1163" s="95" t="s">
        <v>112</v>
      </c>
      <c r="AE1163" s="95">
        <v>3375</v>
      </c>
      <c r="AF1163" s="95">
        <v>3375</v>
      </c>
      <c r="AG1163" s="95">
        <v>3375</v>
      </c>
      <c r="AH1163" s="95">
        <v>3375</v>
      </c>
      <c r="AI1163" s="95">
        <v>3375</v>
      </c>
      <c r="AJ1163" s="95">
        <v>3375</v>
      </c>
      <c r="AK1163" s="95">
        <v>3375</v>
      </c>
      <c r="AL1163" s="95">
        <v>3375</v>
      </c>
      <c r="AM1163" s="95">
        <v>3375</v>
      </c>
      <c r="AN1163" s="95">
        <v>3375</v>
      </c>
      <c r="AO1163" s="95">
        <v>3375</v>
      </c>
      <c r="AP1163" s="95">
        <v>3375</v>
      </c>
      <c r="AQ1163" s="95">
        <v>3375</v>
      </c>
      <c r="AR1163" s="95">
        <v>3375</v>
      </c>
      <c r="AS1163" s="95">
        <v>3375</v>
      </c>
      <c r="AT1163" s="95">
        <v>3375</v>
      </c>
      <c r="AU1163" s="95">
        <v>3375</v>
      </c>
      <c r="AV1163" s="95">
        <v>3375</v>
      </c>
      <c r="AW1163" s="95">
        <v>3375</v>
      </c>
      <c r="AX1163" s="96">
        <v>3375</v>
      </c>
    </row>
    <row r="1164" spans="1:50" x14ac:dyDescent="0.25">
      <c r="A1164" s="356"/>
      <c r="B1164" s="359"/>
      <c r="C1164" s="360"/>
      <c r="D1164" s="59" t="s">
        <v>8</v>
      </c>
      <c r="E1164" s="166" t="str">
        <f>A1139&amp;"/"&amp;B1155&amp;"/"&amp;C1163&amp;"/"&amp;D1164</f>
        <v>Fuel oil fired power plants/Steam turbine/Electricity only with CCS/M</v>
      </c>
      <c r="F1164" s="79" t="str">
        <f>A1139</f>
        <v>Fuel oil fired power plants</v>
      </c>
      <c r="G1164" s="79" t="str">
        <f>B1155</f>
        <v>Steam turbine</v>
      </c>
      <c r="H1164" s="79" t="str">
        <f>C1163</f>
        <v>Electricity only with CCS</v>
      </c>
      <c r="I1164" s="167" t="str">
        <f t="shared" si="96"/>
        <v>M</v>
      </c>
      <c r="J1164" s="97" t="s">
        <v>112</v>
      </c>
      <c r="K1164" s="97" t="s">
        <v>112</v>
      </c>
      <c r="L1164" s="97" t="s">
        <v>112</v>
      </c>
      <c r="M1164" s="97" t="s">
        <v>112</v>
      </c>
      <c r="N1164" s="97" t="s">
        <v>112</v>
      </c>
      <c r="O1164" s="97" t="s">
        <v>112</v>
      </c>
      <c r="P1164" s="97" t="s">
        <v>112</v>
      </c>
      <c r="Q1164" s="97" t="s">
        <v>112</v>
      </c>
      <c r="R1164" s="97" t="s">
        <v>112</v>
      </c>
      <c r="S1164" s="97" t="s">
        <v>112</v>
      </c>
      <c r="T1164" s="97" t="s">
        <v>112</v>
      </c>
      <c r="U1164" s="97" t="s">
        <v>112</v>
      </c>
      <c r="V1164" s="97" t="s">
        <v>112</v>
      </c>
      <c r="W1164" s="97" t="s">
        <v>112</v>
      </c>
      <c r="X1164" s="97" t="s">
        <v>112</v>
      </c>
      <c r="Y1164" s="97" t="s">
        <v>112</v>
      </c>
      <c r="Z1164" s="97" t="s">
        <v>112</v>
      </c>
      <c r="AA1164" s="97" t="s">
        <v>112</v>
      </c>
      <c r="AB1164" s="97" t="s">
        <v>112</v>
      </c>
      <c r="AC1164" s="97" t="s">
        <v>112</v>
      </c>
      <c r="AD1164" s="97" t="s">
        <v>112</v>
      </c>
      <c r="AE1164" s="97">
        <v>3971.25</v>
      </c>
      <c r="AF1164" s="97">
        <v>3971.25</v>
      </c>
      <c r="AG1164" s="97">
        <v>3971.25</v>
      </c>
      <c r="AH1164" s="97">
        <v>3971.25</v>
      </c>
      <c r="AI1164" s="97">
        <v>3971.25</v>
      </c>
      <c r="AJ1164" s="97">
        <v>3971.25</v>
      </c>
      <c r="AK1164" s="97">
        <v>3971.25</v>
      </c>
      <c r="AL1164" s="97">
        <v>3971.25</v>
      </c>
      <c r="AM1164" s="97">
        <v>3971.25</v>
      </c>
      <c r="AN1164" s="97">
        <v>3971.25</v>
      </c>
      <c r="AO1164" s="97">
        <v>3971.25</v>
      </c>
      <c r="AP1164" s="97">
        <v>3971.25</v>
      </c>
      <c r="AQ1164" s="97">
        <v>3971.25</v>
      </c>
      <c r="AR1164" s="97">
        <v>3971.25</v>
      </c>
      <c r="AS1164" s="97">
        <v>3971.25</v>
      </c>
      <c r="AT1164" s="97">
        <v>3971.25</v>
      </c>
      <c r="AU1164" s="97">
        <v>3971.25</v>
      </c>
      <c r="AV1164" s="97">
        <v>3971.25</v>
      </c>
      <c r="AW1164" s="97">
        <v>3971.25</v>
      </c>
      <c r="AX1164" s="98">
        <v>3971.25</v>
      </c>
    </row>
    <row r="1165" spans="1:50" x14ac:dyDescent="0.25">
      <c r="A1165" s="356"/>
      <c r="B1165" s="359"/>
      <c r="C1165" s="361" t="s">
        <v>16</v>
      </c>
      <c r="D1165" s="2" t="s">
        <v>7</v>
      </c>
      <c r="E1165" s="160" t="str">
        <f>A1139&amp;"/"&amp;B1155&amp;"/"&amp;C1165&amp;"/"&amp;D1165</f>
        <v>Fuel oil fired power plants/Steam turbine/CHP with CCS/L</v>
      </c>
      <c r="F1165" s="76" t="str">
        <f>A1139</f>
        <v>Fuel oil fired power plants</v>
      </c>
      <c r="G1165" s="76" t="str">
        <f>B1155</f>
        <v>Steam turbine</v>
      </c>
      <c r="H1165" s="76" t="str">
        <f>C1165</f>
        <v>CHP with CCS</v>
      </c>
      <c r="I1165" s="161" t="str">
        <f t="shared" si="96"/>
        <v>L</v>
      </c>
      <c r="J1165" s="91" t="s">
        <v>112</v>
      </c>
      <c r="K1165" s="91" t="s">
        <v>112</v>
      </c>
      <c r="L1165" s="91" t="s">
        <v>112</v>
      </c>
      <c r="M1165" s="91" t="s">
        <v>112</v>
      </c>
      <c r="N1165" s="91" t="s">
        <v>112</v>
      </c>
      <c r="O1165" s="91" t="s">
        <v>112</v>
      </c>
      <c r="P1165" s="91" t="s">
        <v>112</v>
      </c>
      <c r="Q1165" s="91" t="s">
        <v>112</v>
      </c>
      <c r="R1165" s="91" t="s">
        <v>112</v>
      </c>
      <c r="S1165" s="91" t="s">
        <v>112</v>
      </c>
      <c r="T1165" s="91" t="s">
        <v>112</v>
      </c>
      <c r="U1165" s="91" t="s">
        <v>112</v>
      </c>
      <c r="V1165" s="91" t="s">
        <v>112</v>
      </c>
      <c r="W1165" s="91" t="s">
        <v>112</v>
      </c>
      <c r="X1165" s="91" t="s">
        <v>112</v>
      </c>
      <c r="Y1165" s="91" t="s">
        <v>112</v>
      </c>
      <c r="Z1165" s="91" t="s">
        <v>112</v>
      </c>
      <c r="AA1165" s="91" t="s">
        <v>112</v>
      </c>
      <c r="AB1165" s="91" t="s">
        <v>112</v>
      </c>
      <c r="AC1165" s="91" t="s">
        <v>112</v>
      </c>
      <c r="AD1165" s="91" t="s">
        <v>112</v>
      </c>
      <c r="AE1165" s="91">
        <v>3870</v>
      </c>
      <c r="AF1165" s="91">
        <v>3870</v>
      </c>
      <c r="AG1165" s="91">
        <v>3870</v>
      </c>
      <c r="AH1165" s="91">
        <v>3870</v>
      </c>
      <c r="AI1165" s="91">
        <v>3870</v>
      </c>
      <c r="AJ1165" s="91">
        <v>3870</v>
      </c>
      <c r="AK1165" s="91">
        <v>3870</v>
      </c>
      <c r="AL1165" s="91">
        <v>3870</v>
      </c>
      <c r="AM1165" s="91">
        <v>3870</v>
      </c>
      <c r="AN1165" s="91">
        <v>3870</v>
      </c>
      <c r="AO1165" s="91">
        <v>3870</v>
      </c>
      <c r="AP1165" s="91">
        <v>3870</v>
      </c>
      <c r="AQ1165" s="91">
        <v>3870</v>
      </c>
      <c r="AR1165" s="91">
        <v>3870</v>
      </c>
      <c r="AS1165" s="91">
        <v>3870</v>
      </c>
      <c r="AT1165" s="91">
        <v>3870</v>
      </c>
      <c r="AU1165" s="91">
        <v>3870</v>
      </c>
      <c r="AV1165" s="91">
        <v>3870</v>
      </c>
      <c r="AW1165" s="91">
        <v>3870</v>
      </c>
      <c r="AX1165" s="92">
        <v>3870</v>
      </c>
    </row>
    <row r="1166" spans="1:50" x14ac:dyDescent="0.25">
      <c r="A1166" s="357"/>
      <c r="B1166" s="362"/>
      <c r="C1166" s="354"/>
      <c r="D1166" s="4" t="s">
        <v>8</v>
      </c>
      <c r="E1166" s="168" t="str">
        <f>A1139&amp;"/"&amp;B1155&amp;"/"&amp;C1165&amp;"/"&amp;D1166</f>
        <v>Fuel oil fired power plants/Steam turbine/CHP with CCS/M</v>
      </c>
      <c r="F1166" s="80" t="str">
        <f>A1139</f>
        <v>Fuel oil fired power plants</v>
      </c>
      <c r="G1166" s="80" t="str">
        <f>B1155</f>
        <v>Steam turbine</v>
      </c>
      <c r="H1166" s="80" t="str">
        <f>C1165</f>
        <v>CHP with CCS</v>
      </c>
      <c r="I1166" s="169" t="str">
        <f t="shared" si="96"/>
        <v>M</v>
      </c>
      <c r="J1166" s="99" t="s">
        <v>112</v>
      </c>
      <c r="K1166" s="99" t="s">
        <v>112</v>
      </c>
      <c r="L1166" s="99" t="s">
        <v>112</v>
      </c>
      <c r="M1166" s="99" t="s">
        <v>112</v>
      </c>
      <c r="N1166" s="99" t="s">
        <v>112</v>
      </c>
      <c r="O1166" s="99" t="s">
        <v>112</v>
      </c>
      <c r="P1166" s="99" t="s">
        <v>112</v>
      </c>
      <c r="Q1166" s="99" t="s">
        <v>112</v>
      </c>
      <c r="R1166" s="99" t="s">
        <v>112</v>
      </c>
      <c r="S1166" s="99" t="s">
        <v>112</v>
      </c>
      <c r="T1166" s="99" t="s">
        <v>112</v>
      </c>
      <c r="U1166" s="99" t="s">
        <v>112</v>
      </c>
      <c r="V1166" s="99" t="s">
        <v>112</v>
      </c>
      <c r="W1166" s="99" t="s">
        <v>112</v>
      </c>
      <c r="X1166" s="99" t="s">
        <v>112</v>
      </c>
      <c r="Y1166" s="99" t="s">
        <v>112</v>
      </c>
      <c r="Z1166" s="99" t="s">
        <v>112</v>
      </c>
      <c r="AA1166" s="99" t="s">
        <v>112</v>
      </c>
      <c r="AB1166" s="99" t="s">
        <v>112</v>
      </c>
      <c r="AC1166" s="99" t="s">
        <v>112</v>
      </c>
      <c r="AD1166" s="99" t="s">
        <v>112</v>
      </c>
      <c r="AE1166" s="99">
        <v>4466.25</v>
      </c>
      <c r="AF1166" s="99">
        <v>4466.25</v>
      </c>
      <c r="AG1166" s="99">
        <v>4466.25</v>
      </c>
      <c r="AH1166" s="99">
        <v>4466.25</v>
      </c>
      <c r="AI1166" s="99">
        <v>4466.25</v>
      </c>
      <c r="AJ1166" s="99">
        <v>4466.25</v>
      </c>
      <c r="AK1166" s="99">
        <v>4466.25</v>
      </c>
      <c r="AL1166" s="99">
        <v>4466.25</v>
      </c>
      <c r="AM1166" s="99">
        <v>4466.25</v>
      </c>
      <c r="AN1166" s="99">
        <v>4466.25</v>
      </c>
      <c r="AO1166" s="99">
        <v>4466.25</v>
      </c>
      <c r="AP1166" s="99">
        <v>4466.25</v>
      </c>
      <c r="AQ1166" s="99">
        <v>4466.25</v>
      </c>
      <c r="AR1166" s="99">
        <v>4466.25</v>
      </c>
      <c r="AS1166" s="99">
        <v>4466.25</v>
      </c>
      <c r="AT1166" s="99">
        <v>4466.25</v>
      </c>
      <c r="AU1166" s="99">
        <v>4466.25</v>
      </c>
      <c r="AV1166" s="99">
        <v>4466.25</v>
      </c>
      <c r="AW1166" s="99">
        <v>4466.25</v>
      </c>
      <c r="AX1166" s="100">
        <v>4466.25</v>
      </c>
    </row>
    <row r="1167" spans="1:50" x14ac:dyDescent="0.25">
      <c r="A1167" s="355" t="s">
        <v>30</v>
      </c>
      <c r="B1167" s="358" t="s">
        <v>13</v>
      </c>
      <c r="C1167" s="353" t="s">
        <v>6</v>
      </c>
      <c r="D1167" s="3" t="s">
        <v>7</v>
      </c>
      <c r="E1167" s="162" t="str">
        <f>A1167&amp;"/"&amp;B1167&amp;"/"&amp;C1167&amp;"/"&amp;D1167</f>
        <v>Biomass and waste fired power plants/Integrated gasification combined cycle/Electricity only/L</v>
      </c>
      <c r="F1167" s="77" t="str">
        <f>A1167</f>
        <v>Biomass and waste fired power plants</v>
      </c>
      <c r="G1167" s="77" t="str">
        <f>B1167</f>
        <v>Integrated gasification combined cycle</v>
      </c>
      <c r="H1167" s="77" t="str">
        <f>C1167</f>
        <v>Electricity only</v>
      </c>
      <c r="I1167" s="163" t="str">
        <f t="shared" si="96"/>
        <v>L</v>
      </c>
      <c r="J1167" s="93">
        <v>3450</v>
      </c>
      <c r="K1167" s="93">
        <v>3449.9758695864784</v>
      </c>
      <c r="L1167" s="93">
        <v>3449.9448870451743</v>
      </c>
      <c r="M1167" s="93">
        <v>3449.9051071854292</v>
      </c>
      <c r="N1167" s="93">
        <v>3449.8540329735806</v>
      </c>
      <c r="O1167" s="93">
        <v>3449.788459210838</v>
      </c>
      <c r="P1167" s="93">
        <v>3449.7042720808613</v>
      </c>
      <c r="Q1167" s="93">
        <v>3449.5961922072056</v>
      </c>
      <c r="R1167" s="93">
        <v>3449.4574454630538</v>
      </c>
      <c r="S1167" s="93">
        <v>3449.279341485571</v>
      </c>
      <c r="T1167" s="93">
        <v>3449.0507344582188</v>
      </c>
      <c r="U1167" s="93">
        <v>3448.7573340009421</v>
      </c>
      <c r="V1167" s="93">
        <v>3448.380825696684</v>
      </c>
      <c r="W1167" s="93">
        <v>3447.8977506368956</v>
      </c>
      <c r="X1167" s="93">
        <v>3447.2780812006536</v>
      </c>
      <c r="Y1167" s="93">
        <v>3446.4834160573882</v>
      </c>
      <c r="Z1167" s="93">
        <v>3445.4647013891017</v>
      </c>
      <c r="AA1167" s="93">
        <v>3444.1593684579557</v>
      </c>
      <c r="AB1167" s="93">
        <v>3442.487761868591</v>
      </c>
      <c r="AC1167" s="93">
        <v>3440.3487219860431</v>
      </c>
      <c r="AD1167" s="93">
        <v>3437.614185744269</v>
      </c>
      <c r="AE1167" s="93">
        <v>3434.1226939801404</v>
      </c>
      <c r="AF1167" s="93">
        <v>3429.6717589814816</v>
      </c>
      <c r="AG1167" s="93">
        <v>3424.0091817467219</v>
      </c>
      <c r="AH1167" s="93">
        <v>3416.8236563454329</v>
      </c>
      <c r="AI1167" s="93">
        <v>3407.735415596243</v>
      </c>
      <c r="AJ1167" s="93">
        <v>3396.2883268534229</v>
      </c>
      <c r="AK1167" s="93">
        <v>3381.9458048835363</v>
      </c>
      <c r="AL1167" s="93">
        <v>3364.0941949430617</v>
      </c>
      <c r="AM1167" s="93">
        <v>3342.0587974624632</v>
      </c>
      <c r="AN1167" s="93">
        <v>3315.1391082888395</v>
      </c>
      <c r="AO1167" s="93">
        <v>3282.6703612480751</v>
      </c>
      <c r="AP1167" s="93">
        <v>3244.1167501232944</v>
      </c>
      <c r="AQ1167" s="93">
        <v>3199.1960088052442</v>
      </c>
      <c r="AR1167" s="93">
        <v>3148.023885748361</v>
      </c>
      <c r="AS1167" s="93">
        <v>3091.2509801447895</v>
      </c>
      <c r="AT1167" s="93">
        <v>3030.1481270424965</v>
      </c>
      <c r="AU1167" s="93">
        <v>2966.589913851039</v>
      </c>
      <c r="AV1167" s="93">
        <v>2902.9007217880426</v>
      </c>
      <c r="AW1167" s="93">
        <v>2841.5684959653663</v>
      </c>
      <c r="AX1167" s="94">
        <v>2784.8859181803491</v>
      </c>
    </row>
    <row r="1168" spans="1:50" x14ac:dyDescent="0.25">
      <c r="A1168" s="356"/>
      <c r="B1168" s="359"/>
      <c r="C1168" s="360"/>
      <c r="D1168" s="2" t="s">
        <v>8</v>
      </c>
      <c r="E1168" s="160" t="str">
        <f>A1167&amp;"/"&amp;B1167&amp;"/"&amp;C1167&amp;"/"&amp;D1168</f>
        <v>Biomass and waste fired power plants/Integrated gasification combined cycle/Electricity only/M</v>
      </c>
      <c r="F1168" s="76" t="str">
        <f>A1167</f>
        <v>Biomass and waste fired power plants</v>
      </c>
      <c r="G1168" s="76" t="str">
        <f>B1167</f>
        <v>Integrated gasification combined cycle</v>
      </c>
      <c r="H1168" s="76" t="str">
        <f>C1167</f>
        <v>Electricity only</v>
      </c>
      <c r="I1168" s="161" t="str">
        <f t="shared" si="96"/>
        <v>M</v>
      </c>
      <c r="J1168" s="91">
        <v>3708.75</v>
      </c>
      <c r="K1168" s="91">
        <v>3708.6113075437479</v>
      </c>
      <c r="L1168" s="91">
        <v>3708.4419445073554</v>
      </c>
      <c r="M1168" s="91">
        <v>3708.2351381812355</v>
      </c>
      <c r="N1168" s="91">
        <v>3707.9826251194736</v>
      </c>
      <c r="O1168" s="91">
        <v>3707.6743253832092</v>
      </c>
      <c r="P1168" s="91">
        <v>3707.2979467638979</v>
      </c>
      <c r="Q1168" s="91">
        <v>3706.8385045102032</v>
      </c>
      <c r="R1168" s="91">
        <v>3706.2777393753877</v>
      </c>
      <c r="S1168" s="91">
        <v>3705.5934137355662</v>
      </c>
      <c r="T1168" s="91">
        <v>3704.7584621368542</v>
      </c>
      <c r="U1168" s="91">
        <v>3703.739969005037</v>
      </c>
      <c r="V1168" s="91">
        <v>3702.4979425843694</v>
      </c>
      <c r="W1168" s="91">
        <v>3700.9838508011762</v>
      </c>
      <c r="X1168" s="91">
        <v>3699.1388822373497</v>
      </c>
      <c r="Y1168" s="91">
        <v>3696.8918946466019</v>
      </c>
      <c r="Z1168" s="91">
        <v>3694.1570158325321</v>
      </c>
      <c r="AA1168" s="91">
        <v>3690.8308692906676</v>
      </c>
      <c r="AB1168" s="91">
        <v>3686.7894127814798</v>
      </c>
      <c r="AC1168" s="91">
        <v>3681.8844061484774</v>
      </c>
      <c r="AD1168" s="91">
        <v>3675.9395709353507</v>
      </c>
      <c r="AE1168" s="91">
        <v>3668.7465761188282</v>
      </c>
      <c r="AF1168" s="91">
        <v>3660.0610906544753</v>
      </c>
      <c r="AG1168" s="91">
        <v>3649.5992946456818</v>
      </c>
      <c r="AH1168" s="91">
        <v>3637.0354461528941</v>
      </c>
      <c r="AI1168" s="91">
        <v>3622.0013648709655</v>
      </c>
      <c r="AJ1168" s="91">
        <v>3604.0890109283137</v>
      </c>
      <c r="AK1168" s="91">
        <v>3582.8576790159927</v>
      </c>
      <c r="AL1168" s="91">
        <v>3557.84763053601</v>
      </c>
      <c r="AM1168" s="91">
        <v>3528.602131416746</v>
      </c>
      <c r="AN1168" s="91">
        <v>3494.6996659759989</v>
      </c>
      <c r="AO1168" s="91">
        <v>3455.7973112181617</v>
      </c>
      <c r="AP1168" s="91">
        <v>3411.6846178136993</v>
      </c>
      <c r="AQ1168" s="91">
        <v>3362.3446837527463</v>
      </c>
      <c r="AR1168" s="91">
        <v>3308.0155345141102</v>
      </c>
      <c r="AS1168" s="91">
        <v>3249.2410558352026</v>
      </c>
      <c r="AT1168" s="91">
        <v>3186.8978269145473</v>
      </c>
      <c r="AU1168" s="91">
        <v>3122.1840412298961</v>
      </c>
      <c r="AV1168" s="91">
        <v>3056.5609283865024</v>
      </c>
      <c r="AW1168" s="91">
        <v>2991.6461842664794</v>
      </c>
      <c r="AX1168" s="92">
        <v>2929.0712005679675</v>
      </c>
    </row>
    <row r="1169" spans="1:50" x14ac:dyDescent="0.25">
      <c r="A1169" s="356"/>
      <c r="B1169" s="359"/>
      <c r="C1169" s="361" t="s">
        <v>14</v>
      </c>
      <c r="D1169" s="58" t="s">
        <v>7</v>
      </c>
      <c r="E1169" s="164" t="str">
        <f>A1167&amp;"/"&amp;B1167&amp;"/"&amp;C1169&amp;"/"&amp;D1169</f>
        <v>Biomass and waste fired power plants/Integrated gasification combined cycle/CHP/L</v>
      </c>
      <c r="F1169" s="78" t="str">
        <f>A1167</f>
        <v>Biomass and waste fired power plants</v>
      </c>
      <c r="G1169" s="78" t="str">
        <f>B1167</f>
        <v>Integrated gasification combined cycle</v>
      </c>
      <c r="H1169" s="78" t="str">
        <f>C1169</f>
        <v>CHP</v>
      </c>
      <c r="I1169" s="165" t="str">
        <f t="shared" si="96"/>
        <v>L</v>
      </c>
      <c r="J1169" s="95">
        <v>3820</v>
      </c>
      <c r="K1169" s="95">
        <v>3819.9753369418991</v>
      </c>
      <c r="L1169" s="95">
        <v>3819.9436705050339</v>
      </c>
      <c r="M1169" s="95">
        <v>3819.9030125614286</v>
      </c>
      <c r="N1169" s="95">
        <v>3819.8508109589502</v>
      </c>
      <c r="O1169" s="95">
        <v>3819.783789748602</v>
      </c>
      <c r="P1169" s="95">
        <v>3819.6977443073952</v>
      </c>
      <c r="Q1169" s="95">
        <v>3819.5872787241537</v>
      </c>
      <c r="R1169" s="95">
        <v>3819.4454693428402</v>
      </c>
      <c r="S1169" s="95">
        <v>3819.2634339732122</v>
      </c>
      <c r="T1169" s="95">
        <v>3819.0297807706743</v>
      </c>
      <c r="U1169" s="95">
        <v>3818.729903915344</v>
      </c>
      <c r="V1169" s="95">
        <v>3818.3450847254403</v>
      </c>
      <c r="W1169" s="95">
        <v>3817.8513464703519</v>
      </c>
      <c r="X1169" s="95">
        <v>3817.2179987121058</v>
      </c>
      <c r="Y1169" s="95">
        <v>3816.4057924653434</v>
      </c>
      <c r="Z1169" s="95">
        <v>3815.3645911187605</v>
      </c>
      <c r="AA1169" s="95">
        <v>3814.0304448185657</v>
      </c>
      <c r="AB1169" s="95">
        <v>3812.3219398897704</v>
      </c>
      <c r="AC1169" s="95">
        <v>3810.1356837422563</v>
      </c>
      <c r="AD1169" s="95">
        <v>3807.340786499828</v>
      </c>
      <c r="AE1169" s="95">
        <v>3803.772225017829</v>
      </c>
      <c r="AF1169" s="95">
        <v>3799.2230419556545</v>
      </c>
      <c r="AG1169" s="95">
        <v>3793.4354713772509</v>
      </c>
      <c r="AH1169" s="95">
        <v>3786.0913357162685</v>
      </c>
      <c r="AI1169" s="95">
        <v>3776.802484970608</v>
      </c>
      <c r="AJ1169" s="95">
        <v>3765.1027180147357</v>
      </c>
      <c r="AK1169" s="95">
        <v>3750.4436052588917</v>
      </c>
      <c r="AL1169" s="95">
        <v>3732.1979464033429</v>
      </c>
      <c r="AM1169" s="95">
        <v>3709.6761488445773</v>
      </c>
      <c r="AN1169" s="95">
        <v>3682.1622457962185</v>
      </c>
      <c r="AO1169" s="95">
        <v>3648.9767973157577</v>
      </c>
      <c r="AP1169" s="95">
        <v>3609.5721700256813</v>
      </c>
      <c r="AQ1169" s="95">
        <v>3563.6598671935872</v>
      </c>
      <c r="AR1169" s="95">
        <v>3511.3581922565181</v>
      </c>
      <c r="AS1169" s="95">
        <v>3453.3321054590219</v>
      </c>
      <c r="AT1169" s="95">
        <v>3390.8804937263776</v>
      </c>
      <c r="AU1169" s="95">
        <v>3325.9193233206602</v>
      </c>
      <c r="AV1169" s="95">
        <v>3260.824282870989</v>
      </c>
      <c r="AW1169" s="95">
        <v>3198.13823534119</v>
      </c>
      <c r="AX1169" s="96">
        <v>3140.2044702204503</v>
      </c>
    </row>
    <row r="1170" spans="1:50" x14ac:dyDescent="0.25">
      <c r="A1170" s="356"/>
      <c r="B1170" s="359"/>
      <c r="C1170" s="360"/>
      <c r="D1170" s="59" t="s">
        <v>8</v>
      </c>
      <c r="E1170" s="166" t="str">
        <f>A1167&amp;"/"&amp;B1167&amp;"/"&amp;C1169&amp;"/"&amp;D1170</f>
        <v>Biomass and waste fired power plants/Integrated gasification combined cycle/CHP/M</v>
      </c>
      <c r="F1170" s="79" t="str">
        <f>A1167</f>
        <v>Biomass and waste fired power plants</v>
      </c>
      <c r="G1170" s="79" t="str">
        <f>B1167</f>
        <v>Integrated gasification combined cycle</v>
      </c>
      <c r="H1170" s="79" t="str">
        <f>C1169</f>
        <v>CHP</v>
      </c>
      <c r="I1170" s="167" t="str">
        <f t="shared" si="96"/>
        <v>M</v>
      </c>
      <c r="J1170" s="97">
        <v>4078.75</v>
      </c>
      <c r="K1170" s="97">
        <v>4078.6073115990112</v>
      </c>
      <c r="L1170" s="97">
        <v>4078.4330689509065</v>
      </c>
      <c r="M1170" s="97">
        <v>4078.2203042138335</v>
      </c>
      <c r="N1170" s="97">
        <v>4077.9605158591867</v>
      </c>
      <c r="O1170" s="97">
        <v>4077.6433335294359</v>
      </c>
      <c r="P1170" s="97">
        <v>4077.2561108584468</v>
      </c>
      <c r="Q1170" s="97">
        <v>4076.7834313609592</v>
      </c>
      <c r="R1170" s="97">
        <v>4076.2065097130239</v>
      </c>
      <c r="S1170" s="97">
        <v>4075.502467590326</v>
      </c>
      <c r="T1170" s="97">
        <v>4074.6434597412845</v>
      </c>
      <c r="U1170" s="97">
        <v>4073.5956222429481</v>
      </c>
      <c r="V1170" s="97">
        <v>4072.3178111150737</v>
      </c>
      <c r="W1170" s="97">
        <v>4070.7600959996835</v>
      </c>
      <c r="X1170" s="97">
        <v>4068.8619710305156</v>
      </c>
      <c r="Y1170" s="97">
        <v>4066.5502442428433</v>
      </c>
      <c r="Z1170" s="97">
        <v>4063.7365693291258</v>
      </c>
      <c r="AA1170" s="97">
        <v>4060.3145913474896</v>
      </c>
      <c r="AB1170" s="97">
        <v>4056.1566942091295</v>
      </c>
      <c r="AC1170" s="97">
        <v>4051.1103667287689</v>
      </c>
      <c r="AD1170" s="97">
        <v>4044.994251594414</v>
      </c>
      <c r="AE1170" s="97">
        <v>4037.5940154429518</v>
      </c>
      <c r="AF1170" s="97">
        <v>4028.6582876736684</v>
      </c>
      <c r="AG1170" s="97">
        <v>4017.895071098611</v>
      </c>
      <c r="AH1170" s="97">
        <v>4004.9692386478127</v>
      </c>
      <c r="AI1170" s="97">
        <v>3989.5020021705959</v>
      </c>
      <c r="AJ1170" s="97">
        <v>3971.0735655339213</v>
      </c>
      <c r="AK1170" s="97">
        <v>3949.2305260254889</v>
      </c>
      <c r="AL1170" s="97">
        <v>3923.4998992653709</v>
      </c>
      <c r="AM1170" s="97">
        <v>3893.411791965083</v>
      </c>
      <c r="AN1170" s="97">
        <v>3858.5325439219682</v>
      </c>
      <c r="AO1170" s="97">
        <v>3818.5093519971406</v>
      </c>
      <c r="AP1170" s="97">
        <v>3773.1257034895348</v>
      </c>
      <c r="AQ1170" s="97">
        <v>3722.3642094161705</v>
      </c>
      <c r="AR1170" s="97">
        <v>3666.4697531390102</v>
      </c>
      <c r="AS1170" s="97">
        <v>3606.0018905869697</v>
      </c>
      <c r="AT1170" s="97">
        <v>3541.8624565646073</v>
      </c>
      <c r="AU1170" s="97">
        <v>3475.2841663618228</v>
      </c>
      <c r="AV1170" s="97">
        <v>3407.7703498747464</v>
      </c>
      <c r="AW1170" s="97">
        <v>3340.9853113124386</v>
      </c>
      <c r="AX1170" s="98">
        <v>3276.6074452976836</v>
      </c>
    </row>
    <row r="1171" spans="1:50" x14ac:dyDescent="0.25">
      <c r="A1171" s="356"/>
      <c r="B1171" s="359"/>
      <c r="C1171" s="361" t="s">
        <v>15</v>
      </c>
      <c r="D1171" s="58" t="s">
        <v>7</v>
      </c>
      <c r="E1171" s="164" t="str">
        <f>A1167&amp;"/"&amp;B1167&amp;"/"&amp;C1171&amp;"/"&amp;D1171</f>
        <v>Biomass and waste fired power plants/Integrated gasification combined cycle/Electricity only with CCS/L</v>
      </c>
      <c r="F1171" s="78" t="str">
        <f>A1167</f>
        <v>Biomass and waste fired power plants</v>
      </c>
      <c r="G1171" s="78" t="str">
        <f>B1167</f>
        <v>Integrated gasification combined cycle</v>
      </c>
      <c r="H1171" s="78" t="str">
        <f>C1171</f>
        <v>Electricity only with CCS</v>
      </c>
      <c r="I1171" s="165" t="str">
        <f t="shared" si="96"/>
        <v>L</v>
      </c>
      <c r="J1171" s="95" t="s">
        <v>112</v>
      </c>
      <c r="K1171" s="95" t="s">
        <v>112</v>
      </c>
      <c r="L1171" s="95" t="s">
        <v>112</v>
      </c>
      <c r="M1171" s="95" t="s">
        <v>112</v>
      </c>
      <c r="N1171" s="95" t="s">
        <v>112</v>
      </c>
      <c r="O1171" s="95" t="s">
        <v>112</v>
      </c>
      <c r="P1171" s="95" t="s">
        <v>112</v>
      </c>
      <c r="Q1171" s="95" t="s">
        <v>112</v>
      </c>
      <c r="R1171" s="95" t="s">
        <v>112</v>
      </c>
      <c r="S1171" s="95" t="s">
        <v>112</v>
      </c>
      <c r="T1171" s="95" t="s">
        <v>112</v>
      </c>
      <c r="U1171" s="95" t="s">
        <v>112</v>
      </c>
      <c r="V1171" s="95" t="s">
        <v>112</v>
      </c>
      <c r="W1171" s="95" t="s">
        <v>112</v>
      </c>
      <c r="X1171" s="95" t="s">
        <v>112</v>
      </c>
      <c r="Y1171" s="95" t="s">
        <v>112</v>
      </c>
      <c r="Z1171" s="95" t="s">
        <v>112</v>
      </c>
      <c r="AA1171" s="95" t="s">
        <v>112</v>
      </c>
      <c r="AB1171" s="95" t="s">
        <v>112</v>
      </c>
      <c r="AC1171" s="95" t="s">
        <v>112</v>
      </c>
      <c r="AD1171" s="95" t="s">
        <v>112</v>
      </c>
      <c r="AE1171" s="95">
        <v>4483.1208429838653</v>
      </c>
      <c r="AF1171" s="95">
        <v>4482.4632155188619</v>
      </c>
      <c r="AG1171" s="95">
        <v>4481.5763506963667</v>
      </c>
      <c r="AH1171" s="95">
        <v>4480.3807354818409</v>
      </c>
      <c r="AI1171" s="95">
        <v>4478.7696003442525</v>
      </c>
      <c r="AJ1171" s="95">
        <v>4476.5998401380584</v>
      </c>
      <c r="AK1171" s="95">
        <v>4473.6801267715182</v>
      </c>
      <c r="AL1171" s="95">
        <v>4469.7555233254388</v>
      </c>
      <c r="AM1171" s="95">
        <v>4464.4878929323186</v>
      </c>
      <c r="AN1171" s="95">
        <v>4457.4315377618441</v>
      </c>
      <c r="AO1171" s="95">
        <v>4448.0039655870469</v>
      </c>
      <c r="AP1171" s="95">
        <v>4435.4527319166664</v>
      </c>
      <c r="AQ1171" s="95">
        <v>4418.8213526988493</v>
      </c>
      <c r="AR1171" s="95">
        <v>4396.9208686727889</v>
      </c>
      <c r="AS1171" s="95">
        <v>4368.3193123792225</v>
      </c>
      <c r="AT1171" s="95">
        <v>4331.3691996616672</v>
      </c>
      <c r="AU1171" s="95">
        <v>4284.3019566535213</v>
      </c>
      <c r="AV1171" s="95">
        <v>4225.4235764828863</v>
      </c>
      <c r="AW1171" s="95">
        <v>4153.4386918248183</v>
      </c>
      <c r="AX1171" s="96">
        <v>4067.8974227258677</v>
      </c>
    </row>
    <row r="1172" spans="1:50" x14ac:dyDescent="0.25">
      <c r="A1172" s="356"/>
      <c r="B1172" s="359"/>
      <c r="C1172" s="360"/>
      <c r="D1172" s="59" t="s">
        <v>8</v>
      </c>
      <c r="E1172" s="166" t="str">
        <f>A1167&amp;"/"&amp;B1167&amp;"/"&amp;C1171&amp;"/"&amp;D1172</f>
        <v>Biomass and waste fired power plants/Integrated gasification combined cycle/Electricity only with CCS/M</v>
      </c>
      <c r="F1172" s="79" t="str">
        <f>A1167</f>
        <v>Biomass and waste fired power plants</v>
      </c>
      <c r="G1172" s="79" t="str">
        <f>B1167</f>
        <v>Integrated gasification combined cycle</v>
      </c>
      <c r="H1172" s="79" t="str">
        <f>C1171</f>
        <v>Electricity only with CCS</v>
      </c>
      <c r="I1172" s="167" t="str">
        <f t="shared" si="96"/>
        <v>M</v>
      </c>
      <c r="J1172" s="97" t="s">
        <v>112</v>
      </c>
      <c r="K1172" s="97" t="s">
        <v>112</v>
      </c>
      <c r="L1172" s="97" t="s">
        <v>112</v>
      </c>
      <c r="M1172" s="97" t="s">
        <v>112</v>
      </c>
      <c r="N1172" s="97" t="s">
        <v>112</v>
      </c>
      <c r="O1172" s="97" t="s">
        <v>112</v>
      </c>
      <c r="P1172" s="97" t="s">
        <v>112</v>
      </c>
      <c r="Q1172" s="97" t="s">
        <v>112</v>
      </c>
      <c r="R1172" s="97" t="s">
        <v>112</v>
      </c>
      <c r="S1172" s="97" t="s">
        <v>112</v>
      </c>
      <c r="T1172" s="97" t="s">
        <v>112</v>
      </c>
      <c r="U1172" s="97" t="s">
        <v>112</v>
      </c>
      <c r="V1172" s="97" t="s">
        <v>112</v>
      </c>
      <c r="W1172" s="97" t="s">
        <v>112</v>
      </c>
      <c r="X1172" s="97" t="s">
        <v>112</v>
      </c>
      <c r="Y1172" s="97" t="s">
        <v>112</v>
      </c>
      <c r="Z1172" s="97" t="s">
        <v>112</v>
      </c>
      <c r="AA1172" s="97" t="s">
        <v>112</v>
      </c>
      <c r="AB1172" s="97" t="s">
        <v>112</v>
      </c>
      <c r="AC1172" s="97" t="s">
        <v>112</v>
      </c>
      <c r="AD1172" s="97" t="s">
        <v>112</v>
      </c>
      <c r="AE1172" s="97">
        <v>4794.6210043792398</v>
      </c>
      <c r="AF1172" s="97">
        <v>4794.2526418376447</v>
      </c>
      <c r="AG1172" s="97">
        <v>4793.7301464738403</v>
      </c>
      <c r="AH1172" s="97">
        <v>4792.9891650642985</v>
      </c>
      <c r="AI1172" s="97">
        <v>4791.9386174773153</v>
      </c>
      <c r="AJ1172" s="97">
        <v>4790.4497397832638</v>
      </c>
      <c r="AK1172" s="97">
        <v>4788.3407801800568</v>
      </c>
      <c r="AL1172" s="97">
        <v>4785.3557695020418</v>
      </c>
      <c r="AM1172" s="97">
        <v>4781.1353656584815</v>
      </c>
      <c r="AN1172" s="97">
        <v>4775.1773997803584</v>
      </c>
      <c r="AO1172" s="97">
        <v>4766.7846577692999</v>
      </c>
      <c r="AP1172" s="97">
        <v>4754.9980993066492</v>
      </c>
      <c r="AQ1172" s="97">
        <v>4738.5160897413098</v>
      </c>
      <c r="AR1172" s="97">
        <v>4715.6059589907454</v>
      </c>
      <c r="AS1172" s="97">
        <v>4684.0258580606551</v>
      </c>
      <c r="AT1172" s="97">
        <v>4640.9954831360028</v>
      </c>
      <c r="AU1172" s="97">
        <v>4583.285029863604</v>
      </c>
      <c r="AV1172" s="97">
        <v>4507.5260425991983</v>
      </c>
      <c r="AW1172" s="97">
        <v>4410.8597350460614</v>
      </c>
      <c r="AX1172" s="98">
        <v>4291.9728958156584</v>
      </c>
    </row>
    <row r="1173" spans="1:50" x14ac:dyDescent="0.25">
      <c r="A1173" s="356"/>
      <c r="B1173" s="359"/>
      <c r="C1173" s="361" t="s">
        <v>16</v>
      </c>
      <c r="D1173" s="2" t="s">
        <v>7</v>
      </c>
      <c r="E1173" s="160" t="str">
        <f>A1167&amp;"/"&amp;B1167&amp;"/"&amp;C1173&amp;"/"&amp;D1173</f>
        <v>Biomass and waste fired power plants/Integrated gasification combined cycle/CHP with CCS/L</v>
      </c>
      <c r="F1173" s="76" t="str">
        <f>A1167</f>
        <v>Biomass and waste fired power plants</v>
      </c>
      <c r="G1173" s="76" t="str">
        <f>B1167</f>
        <v>Integrated gasification combined cycle</v>
      </c>
      <c r="H1173" s="76" t="str">
        <f>C1173</f>
        <v>CHP with CCS</v>
      </c>
      <c r="I1173" s="161" t="str">
        <f t="shared" si="96"/>
        <v>L</v>
      </c>
      <c r="J1173" s="91" t="s">
        <v>112</v>
      </c>
      <c r="K1173" s="91" t="s">
        <v>112</v>
      </c>
      <c r="L1173" s="91" t="s">
        <v>112</v>
      </c>
      <c r="M1173" s="91" t="s">
        <v>112</v>
      </c>
      <c r="N1173" s="91" t="s">
        <v>112</v>
      </c>
      <c r="O1173" s="91" t="s">
        <v>112</v>
      </c>
      <c r="P1173" s="91" t="s">
        <v>112</v>
      </c>
      <c r="Q1173" s="91" t="s">
        <v>112</v>
      </c>
      <c r="R1173" s="91" t="s">
        <v>112</v>
      </c>
      <c r="S1173" s="91" t="s">
        <v>112</v>
      </c>
      <c r="T1173" s="91" t="s">
        <v>112</v>
      </c>
      <c r="U1173" s="91" t="s">
        <v>112</v>
      </c>
      <c r="V1173" s="91" t="s">
        <v>112</v>
      </c>
      <c r="W1173" s="91" t="s">
        <v>112</v>
      </c>
      <c r="X1173" s="91" t="s">
        <v>112</v>
      </c>
      <c r="Y1173" s="91" t="s">
        <v>112</v>
      </c>
      <c r="Z1173" s="91" t="s">
        <v>112</v>
      </c>
      <c r="AA1173" s="91" t="s">
        <v>112</v>
      </c>
      <c r="AB1173" s="91" t="s">
        <v>112</v>
      </c>
      <c r="AC1173" s="91" t="s">
        <v>112</v>
      </c>
      <c r="AD1173" s="91" t="s">
        <v>112</v>
      </c>
      <c r="AE1173" s="91">
        <v>4853.0970553307679</v>
      </c>
      <c r="AF1173" s="91">
        <v>4852.43110316811</v>
      </c>
      <c r="AG1173" s="91">
        <v>4851.5330118049051</v>
      </c>
      <c r="AH1173" s="91">
        <v>4850.3222616763105</v>
      </c>
      <c r="AI1173" s="91">
        <v>4848.6907316896395</v>
      </c>
      <c r="AJ1173" s="91">
        <v>4846.493505176667</v>
      </c>
      <c r="AK1173" s="91">
        <v>4843.536832083978</v>
      </c>
      <c r="AL1173" s="91">
        <v>4839.5625483267177</v>
      </c>
      <c r="AM1173" s="91">
        <v>4834.2282366699455</v>
      </c>
      <c r="AN1173" s="91">
        <v>4827.0825573357715</v>
      </c>
      <c r="AO1173" s="91">
        <v>4817.5356445127363</v>
      </c>
      <c r="AP1173" s="91">
        <v>4804.8255287532429</v>
      </c>
      <c r="AQ1173" s="91">
        <v>4787.983618176967</v>
      </c>
      <c r="AR1173" s="91">
        <v>4765.8059028646403</v>
      </c>
      <c r="AS1173" s="91">
        <v>4736.8422885347773</v>
      </c>
      <c r="AT1173" s="91">
        <v>4699.4244360510984</v>
      </c>
      <c r="AU1173" s="91">
        <v>4651.76138373095</v>
      </c>
      <c r="AV1173" s="91">
        <v>4592.1376808063287</v>
      </c>
      <c r="AW1173" s="91">
        <v>4519.241562307875</v>
      </c>
      <c r="AX1173" s="92">
        <v>4432.6174533943868</v>
      </c>
    </row>
    <row r="1174" spans="1:50" x14ac:dyDescent="0.25">
      <c r="A1174" s="356"/>
      <c r="B1174" s="362"/>
      <c r="C1174" s="354"/>
      <c r="D1174" s="4" t="s">
        <v>8</v>
      </c>
      <c r="E1174" s="168" t="str">
        <f>A1167&amp;"/"&amp;B1167&amp;"/"&amp;C1173&amp;"/"&amp;D1174</f>
        <v>Biomass and waste fired power plants/Integrated gasification combined cycle/CHP with CCS/M</v>
      </c>
      <c r="F1174" s="80" t="str">
        <f>A1167</f>
        <v>Biomass and waste fired power plants</v>
      </c>
      <c r="G1174" s="80" t="str">
        <f>B1167</f>
        <v>Integrated gasification combined cycle</v>
      </c>
      <c r="H1174" s="80" t="str">
        <f>C1173</f>
        <v>CHP with CCS</v>
      </c>
      <c r="I1174" s="169" t="str">
        <f t="shared" si="96"/>
        <v>M</v>
      </c>
      <c r="J1174" s="99" t="s">
        <v>112</v>
      </c>
      <c r="K1174" s="99" t="s">
        <v>112</v>
      </c>
      <c r="L1174" s="99" t="s">
        <v>112</v>
      </c>
      <c r="M1174" s="99" t="s">
        <v>112</v>
      </c>
      <c r="N1174" s="99" t="s">
        <v>112</v>
      </c>
      <c r="O1174" s="99" t="s">
        <v>112</v>
      </c>
      <c r="P1174" s="99" t="s">
        <v>112</v>
      </c>
      <c r="Q1174" s="99" t="s">
        <v>112</v>
      </c>
      <c r="R1174" s="99" t="s">
        <v>112</v>
      </c>
      <c r="S1174" s="99" t="s">
        <v>112</v>
      </c>
      <c r="T1174" s="99" t="s">
        <v>112</v>
      </c>
      <c r="U1174" s="99" t="s">
        <v>112</v>
      </c>
      <c r="V1174" s="99" t="s">
        <v>112</v>
      </c>
      <c r="W1174" s="99" t="s">
        <v>112</v>
      </c>
      <c r="X1174" s="99" t="s">
        <v>112</v>
      </c>
      <c r="Y1174" s="99" t="s">
        <v>112</v>
      </c>
      <c r="Z1174" s="99" t="s">
        <v>112</v>
      </c>
      <c r="AA1174" s="99" t="s">
        <v>112</v>
      </c>
      <c r="AB1174" s="99" t="s">
        <v>112</v>
      </c>
      <c r="AC1174" s="99" t="s">
        <v>112</v>
      </c>
      <c r="AD1174" s="99" t="s">
        <v>112</v>
      </c>
      <c r="AE1174" s="99">
        <v>5164.6613923276273</v>
      </c>
      <c r="AF1174" s="99">
        <v>5164.30995524842</v>
      </c>
      <c r="AG1174" s="99">
        <v>5163.8114674169483</v>
      </c>
      <c r="AH1174" s="99">
        <v>5163.1045325011755</v>
      </c>
      <c r="AI1174" s="99">
        <v>5162.1022553045341</v>
      </c>
      <c r="AJ1174" s="99">
        <v>5160.6817883215745</v>
      </c>
      <c r="AK1174" s="99">
        <v>5158.6697308525709</v>
      </c>
      <c r="AL1174" s="99">
        <v>5155.8218749616253</v>
      </c>
      <c r="AM1174" s="99">
        <v>5151.795389550176</v>
      </c>
      <c r="AN1174" s="99">
        <v>5146.1111793230475</v>
      </c>
      <c r="AO1174" s="99">
        <v>5138.1040656623136</v>
      </c>
      <c r="AP1174" s="99">
        <v>5126.8590740785166</v>
      </c>
      <c r="AQ1174" s="99">
        <v>5111.1343772186474</v>
      </c>
      <c r="AR1174" s="99">
        <v>5089.2769174444347</v>
      </c>
      <c r="AS1174" s="99">
        <v>5059.1478538759948</v>
      </c>
      <c r="AT1174" s="99">
        <v>5018.0946316475838</v>
      </c>
      <c r="AU1174" s="99">
        <v>4963.0358489332184</v>
      </c>
      <c r="AV1174" s="99">
        <v>4890.7578233429012</v>
      </c>
      <c r="AW1174" s="99">
        <v>4798.5331236295533</v>
      </c>
      <c r="AX1174" s="100">
        <v>4685.1088776287852</v>
      </c>
    </row>
    <row r="1175" spans="1:50" x14ac:dyDescent="0.25">
      <c r="A1175" s="356"/>
      <c r="B1175" s="358" t="s">
        <v>18</v>
      </c>
      <c r="C1175" s="353" t="s">
        <v>6</v>
      </c>
      <c r="D1175" s="3" t="s">
        <v>7</v>
      </c>
      <c r="E1175" s="162" t="str">
        <f>A1167&amp;"/"&amp;B1175&amp;"/"&amp;C1175&amp;"/"&amp;D1175</f>
        <v>Biomass and waste fired power plants/Fluidized bed combustion/Electricity only/L</v>
      </c>
      <c r="F1175" s="77" t="str">
        <f>A1167</f>
        <v>Biomass and waste fired power plants</v>
      </c>
      <c r="G1175" s="77" t="str">
        <f>B1175</f>
        <v>Fluidized bed combustion</v>
      </c>
      <c r="H1175" s="77" t="str">
        <f>C1175</f>
        <v>Electricity only</v>
      </c>
      <c r="I1175" s="163" t="str">
        <f t="shared" si="96"/>
        <v>L</v>
      </c>
      <c r="J1175" s="93">
        <v>2580</v>
      </c>
      <c r="K1175" s="93">
        <v>2579.9078134423985</v>
      </c>
      <c r="L1175" s="93">
        <v>2579.7952556222967</v>
      </c>
      <c r="M1175" s="93">
        <v>2579.6578354851677</v>
      </c>
      <c r="N1175" s="93">
        <v>2579.4900770634436</v>
      </c>
      <c r="O1175" s="93">
        <v>2579.2853060269194</v>
      </c>
      <c r="P1175" s="93">
        <v>2579.0353912275532</v>
      </c>
      <c r="Q1175" s="93">
        <v>2578.730432369136</v>
      </c>
      <c r="R1175" s="93">
        <v>2578.3583834963738</v>
      </c>
      <c r="S1175" s="93">
        <v>2577.9046004949446</v>
      </c>
      <c r="T1175" s="93">
        <v>2577.3512993256304</v>
      </c>
      <c r="U1175" s="93">
        <v>2576.6769104572704</v>
      </c>
      <c r="V1175" s="93">
        <v>2575.855314202106</v>
      </c>
      <c r="W1175" s="93">
        <v>2574.8549418439216</v>
      </c>
      <c r="X1175" s="93">
        <v>2573.6377292706011</v>
      </c>
      <c r="Y1175" s="93">
        <v>2572.1579142945207</v>
      </c>
      <c r="Z1175" s="93">
        <v>2570.3606774306786</v>
      </c>
      <c r="AA1175" s="93">
        <v>2568.1806406516484</v>
      </c>
      <c r="AB1175" s="93">
        <v>2565.5402623162513</v>
      </c>
      <c r="AC1175" s="93">
        <v>2562.348202644373</v>
      </c>
      <c r="AD1175" s="93">
        <v>2558.4977870991252</v>
      </c>
      <c r="AE1175" s="93">
        <v>2553.8657695336324</v>
      </c>
      <c r="AF1175" s="93">
        <v>2548.3116970792407</v>
      </c>
      <c r="AG1175" s="93">
        <v>2541.6783060742018</v>
      </c>
      <c r="AH1175" s="93">
        <v>2533.7935284039449</v>
      </c>
      <c r="AI1175" s="93">
        <v>2524.4748444046518</v>
      </c>
      <c r="AJ1175" s="93">
        <v>2513.5368465824868</v>
      </c>
      <c r="AK1175" s="93">
        <v>2500.8029141459569</v>
      </c>
      <c r="AL1175" s="93">
        <v>2486.1217431548243</v>
      </c>
      <c r="AM1175" s="93">
        <v>2469.3890007643367</v>
      </c>
      <c r="AN1175" s="93">
        <v>2450.5734385752803</v>
      </c>
      <c r="AO1175" s="93">
        <v>2429.7453309096504</v>
      </c>
      <c r="AP1175" s="93">
        <v>2407.1031858729207</v>
      </c>
      <c r="AQ1175" s="93">
        <v>2382.9926951645321</v>
      </c>
      <c r="AR1175" s="93">
        <v>2357.9106087320847</v>
      </c>
      <c r="AS1175" s="93">
        <v>2332.4866937144761</v>
      </c>
      <c r="AT1175" s="93">
        <v>2307.4400973081351</v>
      </c>
      <c r="AU1175" s="93">
        <v>2283.5124075603158</v>
      </c>
      <c r="AV1175" s="93">
        <v>2261.3871688967706</v>
      </c>
      <c r="AW1175" s="93">
        <v>2241.611774537882</v>
      </c>
      <c r="AX1175" s="94">
        <v>2224.5393626346877</v>
      </c>
    </row>
    <row r="1176" spans="1:50" x14ac:dyDescent="0.25">
      <c r="A1176" s="356"/>
      <c r="B1176" s="359"/>
      <c r="C1176" s="350"/>
      <c r="D1176" s="2" t="s">
        <v>8</v>
      </c>
      <c r="E1176" s="160" t="str">
        <f>A1167&amp;"/"&amp;B1175&amp;"/"&amp;C1175&amp;"/"&amp;D1176</f>
        <v>Biomass and waste fired power plants/Fluidized bed combustion/Electricity only/M</v>
      </c>
      <c r="F1176" s="76" t="str">
        <f>A1167</f>
        <v>Biomass and waste fired power plants</v>
      </c>
      <c r="G1176" s="76" t="str">
        <f>B1175</f>
        <v>Fluidized bed combustion</v>
      </c>
      <c r="H1176" s="76" t="str">
        <f>C1175</f>
        <v>Electricity only</v>
      </c>
      <c r="I1176" s="161" t="str">
        <f t="shared" si="96"/>
        <v>M</v>
      </c>
      <c r="J1176" s="91">
        <v>2786.4</v>
      </c>
      <c r="K1176" s="91">
        <v>2786.198646882232</v>
      </c>
      <c r="L1176" s="91">
        <v>2785.9589386862972</v>
      </c>
      <c r="M1176" s="91">
        <v>2785.6736040432652</v>
      </c>
      <c r="N1176" s="91">
        <v>2785.3340076015161</v>
      </c>
      <c r="O1176" s="91">
        <v>2784.9299002395774</v>
      </c>
      <c r="P1176" s="91">
        <v>2784.4491260823052</v>
      </c>
      <c r="Q1176" s="91">
        <v>2783.8772799319099</v>
      </c>
      <c r="R1176" s="91">
        <v>2783.1973082582799</v>
      </c>
      <c r="S1176" s="91">
        <v>2782.3890466326075</v>
      </c>
      <c r="T1176" s="91">
        <v>2781.4286865844442</v>
      </c>
      <c r="U1176" s="91">
        <v>2780.2881655308956</v>
      </c>
      <c r="V1176" s="91">
        <v>2778.9344749720908</v>
      </c>
      <c r="W1176" s="91">
        <v>2777.3288849895912</v>
      </c>
      <c r="X1176" s="91">
        <v>2775.426087791262</v>
      </c>
      <c r="Y1176" s="91">
        <v>2773.1732703642238</v>
      </c>
      <c r="Z1176" s="91">
        <v>2770.5091371798289</v>
      </c>
      <c r="AA1176" s="91">
        <v>2767.3629195094172</v>
      </c>
      <c r="AB1176" s="91">
        <v>2763.6534296092404</v>
      </c>
      <c r="AC1176" s="91">
        <v>2759.2882472473702</v>
      </c>
      <c r="AD1176" s="91">
        <v>2754.1631640465653</v>
      </c>
      <c r="AE1176" s="91">
        <v>2748.1620585780183</v>
      </c>
      <c r="AF1176" s="91">
        <v>2741.1574313964265</v>
      </c>
      <c r="AG1176" s="91">
        <v>2733.0118911173249</v>
      </c>
      <c r="AH1176" s="91">
        <v>2723.5809430003478</v>
      </c>
      <c r="AI1176" s="91">
        <v>2712.7174770792531</v>
      </c>
      <c r="AJ1176" s="91">
        <v>2700.2783623880032</v>
      </c>
      <c r="AK1176" s="91">
        <v>2686.1334967220546</v>
      </c>
      <c r="AL1176" s="91">
        <v>2670.1774989207611</v>
      </c>
      <c r="AM1176" s="91">
        <v>2652.3439216555762</v>
      </c>
      <c r="AN1176" s="91">
        <v>2632.621376426378</v>
      </c>
      <c r="AO1176" s="91">
        <v>2611.0703005706769</v>
      </c>
      <c r="AP1176" s="91">
        <v>2587.8383217736373</v>
      </c>
      <c r="AQ1176" s="91">
        <v>2563.1714411889106</v>
      </c>
      <c r="AR1176" s="91">
        <v>2537.4178114828237</v>
      </c>
      <c r="AS1176" s="91">
        <v>2511.0210417886069</v>
      </c>
      <c r="AT1176" s="91">
        <v>2484.5009906469854</v>
      </c>
      <c r="AU1176" s="91">
        <v>2458.4219917359633</v>
      </c>
      <c r="AV1176" s="91">
        <v>2433.3511333391566</v>
      </c>
      <c r="AW1176" s="91">
        <v>2409.8119259058367</v>
      </c>
      <c r="AX1176" s="92">
        <v>2388.2405408909754</v>
      </c>
    </row>
    <row r="1177" spans="1:50" x14ac:dyDescent="0.25">
      <c r="A1177" s="356"/>
      <c r="B1177" s="359"/>
      <c r="C1177" s="350"/>
      <c r="D1177" s="2" t="s">
        <v>10</v>
      </c>
      <c r="E1177" s="160" t="str">
        <f>A1167&amp;"/"&amp;B1175&amp;"/"&amp;C1175&amp;"/"&amp;D1177</f>
        <v>Biomass and waste fired power plants/Fluidized bed combustion/Electricity only/S</v>
      </c>
      <c r="F1177" s="76" t="str">
        <f>A1167</f>
        <v>Biomass and waste fired power plants</v>
      </c>
      <c r="G1177" s="76" t="str">
        <f>B1175</f>
        <v>Fluidized bed combustion</v>
      </c>
      <c r="H1177" s="76" t="str">
        <f>C1175</f>
        <v>Electricity only</v>
      </c>
      <c r="I1177" s="161" t="str">
        <f t="shared" si="96"/>
        <v>S</v>
      </c>
      <c r="J1177" s="91">
        <v>3078.9720000000002</v>
      </c>
      <c r="K1177" s="91">
        <v>3078.4709744821434</v>
      </c>
      <c r="L1177" s="91">
        <v>3077.8896078609564</v>
      </c>
      <c r="M1177" s="91">
        <v>3077.2151559730946</v>
      </c>
      <c r="N1177" s="91">
        <v>3076.4329013770603</v>
      </c>
      <c r="O1177" s="91">
        <v>3075.525864628727</v>
      </c>
      <c r="P1177" s="91">
        <v>3074.474479221506</v>
      </c>
      <c r="Q1177" s="91">
        <v>3073.256227766447</v>
      </c>
      <c r="R1177" s="91">
        <v>3071.8452377051435</v>
      </c>
      <c r="S1177" s="91">
        <v>3070.2118360164882</v>
      </c>
      <c r="T1177" s="91">
        <v>3068.3220641583584</v>
      </c>
      <c r="U1177" s="91">
        <v>3066.1371570806464</v>
      </c>
      <c r="V1177" s="91">
        <v>3063.6129938075987</v>
      </c>
      <c r="W1177" s="91">
        <v>3060.6995321156619</v>
      </c>
      <c r="X1177" s="91">
        <v>3057.3402465744953</v>
      </c>
      <c r="Y1177" s="91">
        <v>3053.4715980516439</v>
      </c>
      <c r="Z1177" s="91">
        <v>3049.0225740835208</v>
      </c>
      <c r="AA1177" s="91">
        <v>3043.9143536065076</v>
      </c>
      <c r="AB1177" s="91">
        <v>3038.0601665857439</v>
      </c>
      <c r="AC1177" s="91">
        <v>3031.3654389330277</v>
      </c>
      <c r="AD1177" s="91">
        <v>3023.728335102126</v>
      </c>
      <c r="AE1177" s="91">
        <v>3015.0408334024582</v>
      </c>
      <c r="AF1177" s="91">
        <v>3005.1904897030568</v>
      </c>
      <c r="AG1177" s="91">
        <v>2994.0630595268617</v>
      </c>
      <c r="AH1177" s="91">
        <v>2981.5461502979583</v>
      </c>
      <c r="AI1177" s="91">
        <v>2967.5340562669153</v>
      </c>
      <c r="AJ1177" s="91">
        <v>2951.9338780414432</v>
      </c>
      <c r="AK1177" s="91">
        <v>2934.6729354340182</v>
      </c>
      <c r="AL1177" s="91">
        <v>2915.7073365690039</v>
      </c>
      <c r="AM1177" s="91">
        <v>2895.0313629944567</v>
      </c>
      <c r="AN1177" s="91">
        <v>2872.6870753812736</v>
      </c>
      <c r="AO1177" s="91">
        <v>2848.7732592056918</v>
      </c>
      <c r="AP1177" s="91">
        <v>2823.4525582704546</v>
      </c>
      <c r="AQ1177" s="91">
        <v>2796.955452774484</v>
      </c>
      <c r="AR1177" s="91">
        <v>2769.5797113298413</v>
      </c>
      <c r="AS1177" s="91">
        <v>2741.6841656198844</v>
      </c>
      <c r="AT1177" s="91">
        <v>2713.6761759444448</v>
      </c>
      <c r="AU1177" s="91">
        <v>2685.9929663953058</v>
      </c>
      <c r="AV1177" s="91">
        <v>2659.078011004669</v>
      </c>
      <c r="AW1177" s="91">
        <v>2633.3546559906526</v>
      </c>
      <c r="AX1177" s="92">
        <v>2609.1999197348291</v>
      </c>
    </row>
    <row r="1178" spans="1:50" x14ac:dyDescent="0.25">
      <c r="A1178" s="356"/>
      <c r="B1178" s="359"/>
      <c r="C1178" s="360"/>
      <c r="D1178" s="2" t="s">
        <v>20</v>
      </c>
      <c r="E1178" s="160" t="str">
        <f>A1167&amp;"/"&amp;B1175&amp;"/"&amp;C1175&amp;"/"&amp;D1178</f>
        <v>Biomass and waste fired power plants/Fluidized bed combustion/Electricity only/XS</v>
      </c>
      <c r="F1178" s="76" t="str">
        <f>A1167</f>
        <v>Biomass and waste fired power plants</v>
      </c>
      <c r="G1178" s="76" t="str">
        <f>B1175</f>
        <v>Fluidized bed combustion</v>
      </c>
      <c r="H1178" s="76" t="str">
        <f>C1175</f>
        <v>Electricity only</v>
      </c>
      <c r="I1178" s="161" t="str">
        <f t="shared" si="96"/>
        <v>XS</v>
      </c>
      <c r="J1178" s="91">
        <v>3694.7664</v>
      </c>
      <c r="K1178" s="91">
        <v>3694.0393113280129</v>
      </c>
      <c r="L1178" s="91">
        <v>3693.1957521881113</v>
      </c>
      <c r="M1178" s="91">
        <v>3692.2172893950146</v>
      </c>
      <c r="N1178" s="91">
        <v>3691.0826502890391</v>
      </c>
      <c r="O1178" s="91">
        <v>3689.7673124562007</v>
      </c>
      <c r="P1178" s="91">
        <v>3688.2430437132966</v>
      </c>
      <c r="Q1178" s="91">
        <v>3686.4773898238618</v>
      </c>
      <c r="R1178" s="91">
        <v>3684.4331087569258</v>
      </c>
      <c r="S1178" s="91">
        <v>3682.0675523849536</v>
      </c>
      <c r="T1178" s="91">
        <v>3679.3319995919878</v>
      </c>
      <c r="U1178" s="91">
        <v>3676.1709491413994</v>
      </c>
      <c r="V1178" s="91">
        <v>3672.5213867148568</v>
      </c>
      <c r="W1178" s="91">
        <v>3668.3120487256165</v>
      </c>
      <c r="X1178" s="91">
        <v>3663.4627163278028</v>
      </c>
      <c r="Y1178" s="91">
        <v>3657.8835870066773</v>
      </c>
      <c r="Z1178" s="91">
        <v>3651.4747887166172</v>
      </c>
      <c r="AA1178" s="91">
        <v>3644.1261230537043</v>
      </c>
      <c r="AB1178" s="91">
        <v>3635.7171493994374</v>
      </c>
      <c r="AC1178" s="91">
        <v>3626.1177507526832</v>
      </c>
      <c r="AD1178" s="91">
        <v>3615.1893525255373</v>
      </c>
      <c r="AE1178" s="91">
        <v>3602.7869949342967</v>
      </c>
      <c r="AF1178" s="91">
        <v>3588.7624827993213</v>
      </c>
      <c r="AG1178" s="91">
        <v>3572.9688460488105</v>
      </c>
      <c r="AH1178" s="91">
        <v>3555.2663294992913</v>
      </c>
      <c r="AI1178" s="91">
        <v>3535.5300781129436</v>
      </c>
      <c r="AJ1178" s="91">
        <v>3513.6595784251317</v>
      </c>
      <c r="AK1178" s="91">
        <v>3489.5897430225136</v>
      </c>
      <c r="AL1178" s="91">
        <v>3463.3032723258316</v>
      </c>
      <c r="AM1178" s="91">
        <v>3434.843597307</v>
      </c>
      <c r="AN1178" s="91">
        <v>3404.3273188087128</v>
      </c>
      <c r="AO1178" s="91">
        <v>3371.954662971265</v>
      </c>
      <c r="AP1178" s="91">
        <v>3338.0161506552954</v>
      </c>
      <c r="AQ1178" s="91">
        <v>3302.8935444011654</v>
      </c>
      <c r="AR1178" s="91">
        <v>3267.0533139895206</v>
      </c>
      <c r="AS1178" s="91">
        <v>3231.0314520683651</v>
      </c>
      <c r="AT1178" s="91">
        <v>3195.4095031612496</v>
      </c>
      <c r="AU1178" s="91">
        <v>3160.783051094129</v>
      </c>
      <c r="AV1178" s="91">
        <v>3127.7254071004463</v>
      </c>
      <c r="AW1178" s="91">
        <v>3096.7505036996663</v>
      </c>
      <c r="AX1178" s="92">
        <v>3068.27965027747</v>
      </c>
    </row>
    <row r="1179" spans="1:50" x14ac:dyDescent="0.25">
      <c r="A1179" s="356"/>
      <c r="B1179" s="359"/>
      <c r="C1179" s="361" t="s">
        <v>14</v>
      </c>
      <c r="D1179" s="58" t="s">
        <v>7</v>
      </c>
      <c r="E1179" s="164" t="str">
        <f>A1167&amp;"/"&amp;B1175&amp;"/"&amp;C1179&amp;"/"&amp;D1179</f>
        <v>Biomass and waste fired power plants/Fluidized bed combustion/CHP/L</v>
      </c>
      <c r="F1179" s="78" t="str">
        <f>A1167</f>
        <v>Biomass and waste fired power plants</v>
      </c>
      <c r="G1179" s="78" t="str">
        <f>B1175</f>
        <v>Fluidized bed combustion</v>
      </c>
      <c r="H1179" s="78" t="str">
        <f>C1179</f>
        <v>CHP</v>
      </c>
      <c r="I1179" s="165" t="str">
        <f t="shared" si="96"/>
        <v>L</v>
      </c>
      <c r="J1179" s="95">
        <v>2960</v>
      </c>
      <c r="K1179" s="95">
        <v>2959.9659429615704</v>
      </c>
      <c r="L1179" s="95">
        <v>2959.9243509165826</v>
      </c>
      <c r="M1179" s="95">
        <v>2959.8735582067352</v>
      </c>
      <c r="N1179" s="95">
        <v>2959.8115316762969</v>
      </c>
      <c r="O1179" s="95">
        <v>2959.7357899376425</v>
      </c>
      <c r="P1179" s="95">
        <v>2959.643305071233</v>
      </c>
      <c r="Q1179" s="95">
        <v>2959.5303830224402</v>
      </c>
      <c r="R1179" s="95">
        <v>2959.3925182040216</v>
      </c>
      <c r="S1179" s="95">
        <v>2959.2242169285869</v>
      </c>
      <c r="T1179" s="95">
        <v>2959.0187832682977</v>
      </c>
      <c r="U1179" s="95">
        <v>2958.7680597633257</v>
      </c>
      <c r="V1179" s="95">
        <v>2958.4621140808422</v>
      </c>
      <c r="W1179" s="95">
        <v>2958.0888612857434</v>
      </c>
      <c r="X1179" s="95">
        <v>2957.6336098764477</v>
      </c>
      <c r="Y1179" s="95">
        <v>2957.0785182659165</v>
      </c>
      <c r="Z1179" s="95">
        <v>2956.4019471255983</v>
      </c>
      <c r="AA1179" s="95">
        <v>2955.5776922463779</v>
      </c>
      <c r="AB1179" s="95">
        <v>2954.5740827580335</v>
      </c>
      <c r="AC1179" s="95">
        <v>2953.3529313758286</v>
      </c>
      <c r="AD1179" s="95">
        <v>2951.8683278291219</v>
      </c>
      <c r="AE1179" s="95">
        <v>2950.0652752411561</v>
      </c>
      <c r="AF1179" s="95">
        <v>2947.8781840260958</v>
      </c>
      <c r="AG1179" s="95">
        <v>2945.2292616238096</v>
      </c>
      <c r="AH1179" s="95">
        <v>2942.0268726854824</v>
      </c>
      <c r="AI1179" s="95">
        <v>2938.1639974834002</v>
      </c>
      <c r="AJ1179" s="95">
        <v>2933.5169910553714</v>
      </c>
      <c r="AK1179" s="95">
        <v>2927.9449460377591</v>
      </c>
      <c r="AL1179" s="95">
        <v>2921.2900898753633</v>
      </c>
      <c r="AM1179" s="95">
        <v>2913.3797976540582</v>
      </c>
      <c r="AN1179" s="95">
        <v>2904.0309590900406</v>
      </c>
      <c r="AO1179" s="95">
        <v>2893.0575667246858</v>
      </c>
      <c r="AP1179" s="95">
        <v>2880.2824282348242</v>
      </c>
      <c r="AQ1179" s="95">
        <v>2865.5537500719793</v>
      </c>
      <c r="AR1179" s="95">
        <v>2848.7668617781142</v>
      </c>
      <c r="AS1179" s="95">
        <v>2829.8904138365306</v>
      </c>
      <c r="AT1179" s="95">
        <v>2808.9949079716757</v>
      </c>
      <c r="AU1179" s="95">
        <v>2786.2794946464128</v>
      </c>
      <c r="AV1179" s="95">
        <v>2762.090984192675</v>
      </c>
      <c r="AW1179" s="95">
        <v>2736.9277340037561</v>
      </c>
      <c r="AX1179" s="96">
        <v>2711.4215490979309</v>
      </c>
    </row>
    <row r="1180" spans="1:50" x14ac:dyDescent="0.25">
      <c r="A1180" s="356"/>
      <c r="B1180" s="359"/>
      <c r="C1180" s="350"/>
      <c r="D1180" s="2" t="s">
        <v>8</v>
      </c>
      <c r="E1180" s="160" t="str">
        <f>A1167&amp;"/"&amp;B1175&amp;"/"&amp;C1179&amp;"/"&amp;D1180</f>
        <v>Biomass and waste fired power plants/Fluidized bed combustion/CHP/M</v>
      </c>
      <c r="F1180" s="76" t="str">
        <f>A1167</f>
        <v>Biomass and waste fired power plants</v>
      </c>
      <c r="G1180" s="76" t="str">
        <f>B1175</f>
        <v>Fluidized bed combustion</v>
      </c>
      <c r="H1180" s="76" t="str">
        <f>C1179</f>
        <v>CHP</v>
      </c>
      <c r="I1180" s="161" t="str">
        <f t="shared" si="96"/>
        <v>M</v>
      </c>
      <c r="J1180" s="91">
        <v>3166.4</v>
      </c>
      <c r="K1180" s="91">
        <v>3166.3151535766997</v>
      </c>
      <c r="L1180" s="91">
        <v>3166.2141074846932</v>
      </c>
      <c r="M1180" s="91">
        <v>3166.0937748522215</v>
      </c>
      <c r="N1180" s="91">
        <v>3165.9504831609206</v>
      </c>
      <c r="O1180" s="91">
        <v>3165.7798642082907</v>
      </c>
      <c r="P1180" s="91">
        <v>3165.5767238446574</v>
      </c>
      <c r="Q1180" s="91">
        <v>3165.3348879564037</v>
      </c>
      <c r="R1180" s="91">
        <v>3165.0470206326436</v>
      </c>
      <c r="S1180" s="91">
        <v>3164.7044098728488</v>
      </c>
      <c r="T1180" s="91">
        <v>3164.296715582534</v>
      </c>
      <c r="U1180" s="91">
        <v>3163.8116739888587</v>
      </c>
      <c r="V1180" s="91">
        <v>3163.2347520309504</v>
      </c>
      <c r="W1180" s="91">
        <v>3162.548744808551</v>
      </c>
      <c r="X1180" s="91">
        <v>3161.7333089098174</v>
      </c>
      <c r="Y1180" s="91">
        <v>3160.7644245361098</v>
      </c>
      <c r="Z1180" s="91">
        <v>3159.6137800160868</v>
      </c>
      <c r="AA1180" s="91">
        <v>3158.2480738605987</v>
      </c>
      <c r="AB1180" s="91">
        <v>3156.628232377604</v>
      </c>
      <c r="AC1180" s="91">
        <v>3154.7085456149966</v>
      </c>
      <c r="AD1180" s="91">
        <v>3152.4357317822592</v>
      </c>
      <c r="AE1180" s="91">
        <v>3149.7479512807968</v>
      </c>
      <c r="AF1180" s="91">
        <v>3146.5738072262047</v>
      </c>
      <c r="AG1180" s="91">
        <v>3142.8313912379704</v>
      </c>
      <c r="AH1180" s="91">
        <v>3138.427462745849</v>
      </c>
      <c r="AI1180" s="91">
        <v>3133.2568884006241</v>
      </c>
      <c r="AJ1180" s="91">
        <v>3127.2025160591597</v>
      </c>
      <c r="AK1180" s="91">
        <v>3120.1357145685392</v>
      </c>
      <c r="AL1180" s="91">
        <v>3111.9178730340827</v>
      </c>
      <c r="AM1180" s="91">
        <v>3102.4032141545676</v>
      </c>
      <c r="AN1180" s="91">
        <v>3091.4433221896888</v>
      </c>
      <c r="AO1180" s="91">
        <v>3078.8937957176531</v>
      </c>
      <c r="AP1180" s="91">
        <v>3064.6233777237517</v>
      </c>
      <c r="AQ1180" s="91">
        <v>3048.5257516655292</v>
      </c>
      <c r="AR1180" s="91">
        <v>3030.5338804162056</v>
      </c>
      <c r="AS1180" s="91">
        <v>3010.6362743893192</v>
      </c>
      <c r="AT1180" s="91">
        <v>2988.8939073748707</v>
      </c>
      <c r="AU1180" s="91">
        <v>2965.4557174274528</v>
      </c>
      <c r="AV1180" s="91">
        <v>2940.569889250442</v>
      </c>
      <c r="AW1180" s="91">
        <v>2914.5876657747713</v>
      </c>
      <c r="AX1180" s="92">
        <v>2887.956593686753</v>
      </c>
    </row>
    <row r="1181" spans="1:50" x14ac:dyDescent="0.25">
      <c r="A1181" s="356"/>
      <c r="B1181" s="359"/>
      <c r="C1181" s="350"/>
      <c r="D1181" s="2" t="s">
        <v>10</v>
      </c>
      <c r="E1181" s="160" t="str">
        <f>A1167&amp;"/"&amp;B1175&amp;"/"&amp;C1179&amp;"/"&amp;D1181</f>
        <v>Biomass and waste fired power plants/Fluidized bed combustion/CHP/S</v>
      </c>
      <c r="F1181" s="76" t="str">
        <f>A1167</f>
        <v>Biomass and waste fired power plants</v>
      </c>
      <c r="G1181" s="76" t="str">
        <f>B1175</f>
        <v>Fluidized bed combustion</v>
      </c>
      <c r="H1181" s="76" t="str">
        <f>C1179</f>
        <v>CHP</v>
      </c>
      <c r="I1181" s="161" t="str">
        <f t="shared" si="96"/>
        <v>S</v>
      </c>
      <c r="J1181" s="91">
        <v>3498.9720000000002</v>
      </c>
      <c r="K1181" s="91">
        <v>3498.7295789548725</v>
      </c>
      <c r="L1181" s="91">
        <v>3498.4480957625601</v>
      </c>
      <c r="M1181" s="91">
        <v>3498.1212880675284</v>
      </c>
      <c r="N1181" s="91">
        <v>3497.7419006642704</v>
      </c>
      <c r="O1181" s="91">
        <v>3497.3015319691458</v>
      </c>
      <c r="P1181" s="91">
        <v>3496.7904581117386</v>
      </c>
      <c r="Q1181" s="91">
        <v>3496.1974318664315</v>
      </c>
      <c r="R1181" s="91">
        <v>3495.5094534787445</v>
      </c>
      <c r="S1181" s="91">
        <v>3494.7115103408778</v>
      </c>
      <c r="T1181" s="91">
        <v>3493.7862824767094</v>
      </c>
      <c r="U1181" s="91">
        <v>3492.7138109627062</v>
      </c>
      <c r="V1181" s="91">
        <v>3491.4711268114233</v>
      </c>
      <c r="W1181" s="91">
        <v>3490.0318385762084</v>
      </c>
      <c r="X1181" s="91">
        <v>3488.3656781273612</v>
      </c>
      <c r="Y1181" s="91">
        <v>3486.4380058657061</v>
      </c>
      <c r="Z1181" s="91">
        <v>3484.2092792869498</v>
      </c>
      <c r="AA1181" s="91">
        <v>3481.6344925451485</v>
      </c>
      <c r="AB1181" s="91">
        <v>3478.6625997927076</v>
      </c>
      <c r="AC1181" s="91">
        <v>3475.2359419510076</v>
      </c>
      <c r="AD1181" s="91">
        <v>3471.2897055756948</v>
      </c>
      <c r="AE1181" s="91">
        <v>3466.7514540095631</v>
      </c>
      <c r="AF1181" s="91">
        <v>3461.5407853896472</v>
      </c>
      <c r="AG1181" s="91">
        <v>3455.5691894607953</v>
      </c>
      <c r="AH1181" s="91">
        <v>3448.7401953999738</v>
      </c>
      <c r="AI1181" s="91">
        <v>3440.9499252936243</v>
      </c>
      <c r="AJ1181" s="91">
        <v>3432.088191017348</v>
      </c>
      <c r="AK1181" s="91">
        <v>3422.040293311909</v>
      </c>
      <c r="AL1181" s="91">
        <v>3410.6896964650587</v>
      </c>
      <c r="AM1181" s="91">
        <v>3397.9217538065782</v>
      </c>
      <c r="AN1181" s="91">
        <v>3383.6286396006785</v>
      </c>
      <c r="AO1181" s="91">
        <v>3367.7155913071779</v>
      </c>
      <c r="AP1181" s="91">
        <v>3350.1084710978198</v>
      </c>
      <c r="AQ1181" s="91">
        <v>3330.7625068215043</v>
      </c>
      <c r="AR1181" s="91">
        <v>3309.671865339621</v>
      </c>
      <c r="AS1181" s="91">
        <v>3286.8794508727224</v>
      </c>
      <c r="AT1181" s="91">
        <v>3262.4860300935552</v>
      </c>
      <c r="AU1181" s="91">
        <v>3236.6575087148822</v>
      </c>
      <c r="AV1181" s="91">
        <v>3209.6289893415014</v>
      </c>
      <c r="AW1181" s="91">
        <v>3181.704212497114</v>
      </c>
      <c r="AX1181" s="92">
        <v>3153.2492064298567</v>
      </c>
    </row>
    <row r="1182" spans="1:50" x14ac:dyDescent="0.25">
      <c r="A1182" s="356"/>
      <c r="B1182" s="359"/>
      <c r="C1182" s="360"/>
      <c r="D1182" s="59" t="s">
        <v>20</v>
      </c>
      <c r="E1182" s="166" t="str">
        <f>A1167&amp;"/"&amp;B1175&amp;"/"&amp;C1179&amp;"/"&amp;D1182</f>
        <v>Biomass and waste fired power plants/Fluidized bed combustion/CHP/XS</v>
      </c>
      <c r="F1182" s="79" t="str">
        <f>A1167</f>
        <v>Biomass and waste fired power plants</v>
      </c>
      <c r="G1182" s="79" t="str">
        <f>B1175</f>
        <v>Fluidized bed combustion</v>
      </c>
      <c r="H1182" s="79" t="str">
        <f>C1179</f>
        <v>CHP</v>
      </c>
      <c r="I1182" s="167" t="str">
        <f t="shared" si="96"/>
        <v>XS</v>
      </c>
      <c r="J1182" s="97">
        <v>4164.7664000000004</v>
      </c>
      <c r="K1182" s="97">
        <v>4164.4155785821067</v>
      </c>
      <c r="L1182" s="97">
        <v>4164.0082556446696</v>
      </c>
      <c r="M1182" s="97">
        <v>4163.5353826135142</v>
      </c>
      <c r="N1182" s="97">
        <v>4162.9864796939619</v>
      </c>
      <c r="O1182" s="97">
        <v>4162.3494157373161</v>
      </c>
      <c r="P1182" s="97">
        <v>4161.6101564387791</v>
      </c>
      <c r="Q1182" s="97">
        <v>4160.7524770909031</v>
      </c>
      <c r="R1182" s="97">
        <v>4159.7576359581253</v>
      </c>
      <c r="S1182" s="97">
        <v>4158.6040043009525</v>
      </c>
      <c r="T1182" s="97">
        <v>4157.266649228447</v>
      </c>
      <c r="U1182" s="97">
        <v>4155.7168659831914</v>
      </c>
      <c r="V1182" s="97">
        <v>4153.9216570821982</v>
      </c>
      <c r="W1182" s="97">
        <v>4151.8431571058127</v>
      </c>
      <c r="X1182" s="97">
        <v>4149.4380040459873</v>
      </c>
      <c r="Y1182" s="97">
        <v>4146.6566612514262</v>
      </c>
      <c r="Z1182" s="97">
        <v>4143.4426984587508</v>
      </c>
      <c r="AA1182" s="97">
        <v>4139.7320465625535</v>
      </c>
      <c r="AB1182" s="97">
        <v>4135.4522491057642</v>
      </c>
      <c r="AC1182" s="97">
        <v>4130.5217444714626</v>
      </c>
      <c r="AD1182" s="97">
        <v>4124.849226954293</v>
      </c>
      <c r="AE1182" s="97">
        <v>4118.333152765671</v>
      </c>
      <c r="AF1182" s="97">
        <v>4110.8614789073772</v>
      </c>
      <c r="AG1182" s="97">
        <v>4102.3117487237396</v>
      </c>
      <c r="AH1182" s="97">
        <v>4092.5516672049589</v>
      </c>
      <c r="AI1182" s="97">
        <v>4081.4403401842078</v>
      </c>
      <c r="AJ1182" s="97">
        <v>4068.8303814180399</v>
      </c>
      <c r="AK1182" s="97">
        <v>4054.5711151102728</v>
      </c>
      <c r="AL1182" s="97">
        <v>4038.5131110794559</v>
      </c>
      <c r="AM1182" s="97">
        <v>4020.5142748013836</v>
      </c>
      <c r="AN1182" s="97">
        <v>4000.4476613087731</v>
      </c>
      <c r="AO1182" s="97">
        <v>3978.2110746574117</v>
      </c>
      <c r="AP1182" s="97">
        <v>3953.7383379456569</v>
      </c>
      <c r="AQ1182" s="97">
        <v>3927.0118620192293</v>
      </c>
      <c r="AR1182" s="97">
        <v>3898.0758048344678</v>
      </c>
      <c r="AS1182" s="97">
        <v>3867.0487189978139</v>
      </c>
      <c r="AT1182" s="97">
        <v>3834.1341822044324</v>
      </c>
      <c r="AU1182" s="97">
        <v>3799.6275782994048</v>
      </c>
      <c r="AV1182" s="97">
        <v>3763.9170600881148</v>
      </c>
      <c r="AW1182" s="97">
        <v>3727.4769055178267</v>
      </c>
      <c r="AX1182" s="98">
        <v>3690.852079135851</v>
      </c>
    </row>
    <row r="1183" spans="1:50" x14ac:dyDescent="0.25">
      <c r="A1183" s="356"/>
      <c r="B1183" s="359"/>
      <c r="C1183" s="361" t="s">
        <v>15</v>
      </c>
      <c r="D1183" s="58" t="s">
        <v>7</v>
      </c>
      <c r="E1183" s="164" t="str">
        <f>A1167&amp;"/"&amp;B1175&amp;"/"&amp;C1183&amp;"/"&amp;D1183</f>
        <v>Biomass and waste fired power plants/Fluidized bed combustion/Electricity only with CCS/L</v>
      </c>
      <c r="F1183" s="78" t="str">
        <f>A1167</f>
        <v>Biomass and waste fired power plants</v>
      </c>
      <c r="G1183" s="78" t="str">
        <f>B1175</f>
        <v>Fluidized bed combustion</v>
      </c>
      <c r="H1183" s="78" t="str">
        <f>C1183</f>
        <v>Electricity only with CCS</v>
      </c>
      <c r="I1183" s="165" t="str">
        <f t="shared" si="96"/>
        <v>L</v>
      </c>
      <c r="J1183" s="95" t="s">
        <v>112</v>
      </c>
      <c r="K1183" s="95" t="s">
        <v>112</v>
      </c>
      <c r="L1183" s="95" t="s">
        <v>112</v>
      </c>
      <c r="M1183" s="95" t="s">
        <v>112</v>
      </c>
      <c r="N1183" s="95" t="s">
        <v>112</v>
      </c>
      <c r="O1183" s="95" t="s">
        <v>112</v>
      </c>
      <c r="P1183" s="95" t="s">
        <v>112</v>
      </c>
      <c r="Q1183" s="95" t="s">
        <v>112</v>
      </c>
      <c r="R1183" s="95" t="s">
        <v>112</v>
      </c>
      <c r="S1183" s="95" t="s">
        <v>112</v>
      </c>
      <c r="T1183" s="95" t="s">
        <v>112</v>
      </c>
      <c r="U1183" s="95" t="s">
        <v>112</v>
      </c>
      <c r="V1183" s="95" t="s">
        <v>112</v>
      </c>
      <c r="W1183" s="95" t="s">
        <v>112</v>
      </c>
      <c r="X1183" s="95" t="s">
        <v>112</v>
      </c>
      <c r="Y1183" s="95" t="s">
        <v>112</v>
      </c>
      <c r="Z1183" s="95" t="s">
        <v>112</v>
      </c>
      <c r="AA1183" s="95" t="s">
        <v>112</v>
      </c>
      <c r="AB1183" s="95" t="s">
        <v>112</v>
      </c>
      <c r="AC1183" s="95" t="s">
        <v>112</v>
      </c>
      <c r="AD1183" s="95" t="s">
        <v>112</v>
      </c>
      <c r="AE1183" s="95">
        <v>5091.2639436188092</v>
      </c>
      <c r="AF1183" s="95">
        <v>5090.0645402328491</v>
      </c>
      <c r="AG1183" s="95">
        <v>5088.5268955654919</v>
      </c>
      <c r="AH1183" s="95">
        <v>5086.5564999799071</v>
      </c>
      <c r="AI1183" s="95">
        <v>5084.0330009840982</v>
      </c>
      <c r="AJ1183" s="95">
        <v>5080.8034995324542</v>
      </c>
      <c r="AK1183" s="95">
        <v>5076.6743413015747</v>
      </c>
      <c r="AL1183" s="95">
        <v>5071.4012192995642</v>
      </c>
      <c r="AM1183" s="95">
        <v>5064.6774940991254</v>
      </c>
      <c r="AN1183" s="95">
        <v>5056.1208287993941</v>
      </c>
      <c r="AO1183" s="95">
        <v>5045.2585880775914</v>
      </c>
      <c r="AP1183" s="95">
        <v>5031.5130467915915</v>
      </c>
      <c r="AQ1183" s="95">
        <v>5014.1883934826883</v>
      </c>
      <c r="AR1183" s="95">
        <v>4992.4628941466171</v>
      </c>
      <c r="AS1183" s="95">
        <v>4965.3914399122295</v>
      </c>
      <c r="AT1183" s="95">
        <v>4931.9259082196513</v>
      </c>
      <c r="AU1183" s="95">
        <v>4890.96283758768</v>
      </c>
      <c r="AV1183" s="95">
        <v>4841.4287771273212</v>
      </c>
      <c r="AW1183" s="95">
        <v>4782.4114849838643</v>
      </c>
      <c r="AX1183" s="96">
        <v>4713.3374999999996</v>
      </c>
    </row>
    <row r="1184" spans="1:50" x14ac:dyDescent="0.25">
      <c r="A1184" s="356"/>
      <c r="B1184" s="359"/>
      <c r="C1184" s="360"/>
      <c r="D1184" s="59" t="s">
        <v>8</v>
      </c>
      <c r="E1184" s="166" t="str">
        <f>A1167&amp;"/"&amp;B1175&amp;"/"&amp;C1183&amp;"/"&amp;D1184</f>
        <v>Biomass and waste fired power plants/Fluidized bed combustion/Electricity only with CCS/M</v>
      </c>
      <c r="F1184" s="79" t="str">
        <f>A1167</f>
        <v>Biomass and waste fired power plants</v>
      </c>
      <c r="G1184" s="79" t="str">
        <f>B1175</f>
        <v>Fluidized bed combustion</v>
      </c>
      <c r="H1184" s="79" t="str">
        <f>C1183</f>
        <v>Electricity only with CCS</v>
      </c>
      <c r="I1184" s="167" t="str">
        <f t="shared" si="96"/>
        <v>M</v>
      </c>
      <c r="J1184" s="97" t="s">
        <v>112</v>
      </c>
      <c r="K1184" s="97" t="s">
        <v>112</v>
      </c>
      <c r="L1184" s="97" t="s">
        <v>112</v>
      </c>
      <c r="M1184" s="97" t="s">
        <v>112</v>
      </c>
      <c r="N1184" s="97" t="s">
        <v>112</v>
      </c>
      <c r="O1184" s="97" t="s">
        <v>112</v>
      </c>
      <c r="P1184" s="97" t="s">
        <v>112</v>
      </c>
      <c r="Q1184" s="97" t="s">
        <v>112</v>
      </c>
      <c r="R1184" s="97" t="s">
        <v>112</v>
      </c>
      <c r="S1184" s="97" t="s">
        <v>112</v>
      </c>
      <c r="T1184" s="97" t="s">
        <v>112</v>
      </c>
      <c r="U1184" s="97" t="s">
        <v>112</v>
      </c>
      <c r="V1184" s="97" t="s">
        <v>112</v>
      </c>
      <c r="W1184" s="97" t="s">
        <v>112</v>
      </c>
      <c r="X1184" s="97" t="s">
        <v>112</v>
      </c>
      <c r="Y1184" s="97" t="s">
        <v>112</v>
      </c>
      <c r="Z1184" s="97" t="s">
        <v>112</v>
      </c>
      <c r="AA1184" s="97" t="s">
        <v>112</v>
      </c>
      <c r="AB1184" s="97" t="s">
        <v>112</v>
      </c>
      <c r="AC1184" s="97" t="s">
        <v>112</v>
      </c>
      <c r="AD1184" s="97" t="s">
        <v>112</v>
      </c>
      <c r="AE1184" s="97">
        <v>5596.3080413462212</v>
      </c>
      <c r="AF1184" s="97">
        <v>5594.901689189599</v>
      </c>
      <c r="AG1184" s="97">
        <v>5593.09873455451</v>
      </c>
      <c r="AH1184" s="97">
        <v>5590.7883608190132</v>
      </c>
      <c r="AI1184" s="97">
        <v>5587.8294494998236</v>
      </c>
      <c r="AJ1184" s="97">
        <v>5584.042719876993</v>
      </c>
      <c r="AK1184" s="97">
        <v>5579.2011039110803</v>
      </c>
      <c r="AL1184" s="97">
        <v>5573.018141126021</v>
      </c>
      <c r="AM1184" s="97">
        <v>5565.134283579122</v>
      </c>
      <c r="AN1184" s="97">
        <v>5555.1012247778526</v>
      </c>
      <c r="AO1184" s="97">
        <v>5542.3647794387061</v>
      </c>
      <c r="AP1184" s="97">
        <v>5526.2475399362975</v>
      </c>
      <c r="AQ1184" s="97">
        <v>5505.9336373502883</v>
      </c>
      <c r="AR1184" s="97">
        <v>5480.4595531492159</v>
      </c>
      <c r="AS1184" s="97">
        <v>5448.717106453536</v>
      </c>
      <c r="AT1184" s="97">
        <v>5409.4773283944451</v>
      </c>
      <c r="AU1184" s="97">
        <v>5361.4463628331268</v>
      </c>
      <c r="AV1184" s="97">
        <v>5303.365542343392</v>
      </c>
      <c r="AW1184" s="97">
        <v>5234.1652240388303</v>
      </c>
      <c r="AX1184" s="98">
        <v>5153.1729999999998</v>
      </c>
    </row>
    <row r="1185" spans="1:50" x14ac:dyDescent="0.25">
      <c r="A1185" s="356"/>
      <c r="B1185" s="359"/>
      <c r="C1185" s="361" t="s">
        <v>16</v>
      </c>
      <c r="D1185" s="2" t="s">
        <v>7</v>
      </c>
      <c r="E1185" s="160" t="str">
        <f>A1167&amp;"/"&amp;B1175&amp;"/"&amp;C1185&amp;"/"&amp;D1185</f>
        <v>Biomass and waste fired power plants/Fluidized bed combustion/CHP with CCS/L</v>
      </c>
      <c r="F1185" s="76" t="str">
        <f>A1167</f>
        <v>Biomass and waste fired power plants</v>
      </c>
      <c r="G1185" s="76" t="str">
        <f>B1175</f>
        <v>Fluidized bed combustion</v>
      </c>
      <c r="H1185" s="76" t="str">
        <f>C1185</f>
        <v>CHP with CCS</v>
      </c>
      <c r="I1185" s="161" t="str">
        <f t="shared" si="96"/>
        <v>L</v>
      </c>
      <c r="J1185" s="91" t="s">
        <v>112</v>
      </c>
      <c r="K1185" s="91" t="s">
        <v>112</v>
      </c>
      <c r="L1185" s="91" t="s">
        <v>112</v>
      </c>
      <c r="M1185" s="91" t="s">
        <v>112</v>
      </c>
      <c r="N1185" s="91" t="s">
        <v>112</v>
      </c>
      <c r="O1185" s="91" t="s">
        <v>112</v>
      </c>
      <c r="P1185" s="91" t="s">
        <v>112</v>
      </c>
      <c r="Q1185" s="91" t="s">
        <v>112</v>
      </c>
      <c r="R1185" s="91" t="s">
        <v>112</v>
      </c>
      <c r="S1185" s="91" t="s">
        <v>112</v>
      </c>
      <c r="T1185" s="91" t="s">
        <v>112</v>
      </c>
      <c r="U1185" s="91" t="s">
        <v>112</v>
      </c>
      <c r="V1185" s="91" t="s">
        <v>112</v>
      </c>
      <c r="W1185" s="91" t="s">
        <v>112</v>
      </c>
      <c r="X1185" s="91" t="s">
        <v>112</v>
      </c>
      <c r="Y1185" s="91" t="s">
        <v>112</v>
      </c>
      <c r="Z1185" s="91" t="s">
        <v>112</v>
      </c>
      <c r="AA1185" s="91" t="s">
        <v>112</v>
      </c>
      <c r="AB1185" s="91" t="s">
        <v>112</v>
      </c>
      <c r="AC1185" s="91" t="s">
        <v>112</v>
      </c>
      <c r="AD1185" s="91" t="s">
        <v>112</v>
      </c>
      <c r="AE1185" s="91">
        <v>5471.8584297179532</v>
      </c>
      <c r="AF1185" s="91">
        <v>5470.8273500217783</v>
      </c>
      <c r="AG1185" s="91">
        <v>5469.5054976616775</v>
      </c>
      <c r="AH1185" s="91">
        <v>5467.8116264374412</v>
      </c>
      <c r="AI1185" s="91">
        <v>5465.6422740674607</v>
      </c>
      <c r="AJ1185" s="91">
        <v>5462.8659992840658</v>
      </c>
      <c r="AK1185" s="91">
        <v>5459.3163251177348</v>
      </c>
      <c r="AL1185" s="91">
        <v>5454.7832305013853</v>
      </c>
      <c r="AM1185" s="91">
        <v>5449.0031096363082</v>
      </c>
      <c r="AN1185" s="91">
        <v>5441.6472825969713</v>
      </c>
      <c r="AO1185" s="91">
        <v>5432.3094434726881</v>
      </c>
      <c r="AP1185" s="91">
        <v>5420.4929447877312</v>
      </c>
      <c r="AQ1185" s="91">
        <v>5405.5996249262225</v>
      </c>
      <c r="AR1185" s="91">
        <v>5386.923071635726</v>
      </c>
      <c r="AS1185" s="91">
        <v>5363.6508121659363</v>
      </c>
      <c r="AT1185" s="91">
        <v>5334.8818169689648</v>
      </c>
      <c r="AU1185" s="91">
        <v>5299.6674838129875</v>
      </c>
      <c r="AV1185" s="91">
        <v>5257.0850093864228</v>
      </c>
      <c r="AW1185" s="91">
        <v>5206.3501754142517</v>
      </c>
      <c r="AX1185" s="92">
        <v>5146.97</v>
      </c>
    </row>
    <row r="1186" spans="1:50" x14ac:dyDescent="0.25">
      <c r="A1186" s="356"/>
      <c r="B1186" s="362"/>
      <c r="C1186" s="354"/>
      <c r="D1186" s="4" t="s">
        <v>8</v>
      </c>
      <c r="E1186" s="168" t="str">
        <f>A1167&amp;"/"&amp;B1175&amp;"/"&amp;C1185&amp;"/"&amp;D1186</f>
        <v>Biomass and waste fired power plants/Fluidized bed combustion/CHP with CCS/M</v>
      </c>
      <c r="F1186" s="80" t="str">
        <f>A1167</f>
        <v>Biomass and waste fired power plants</v>
      </c>
      <c r="G1186" s="80" t="str">
        <f>B1175</f>
        <v>Fluidized bed combustion</v>
      </c>
      <c r="H1186" s="80" t="str">
        <f>C1185</f>
        <v>CHP with CCS</v>
      </c>
      <c r="I1186" s="169" t="str">
        <f t="shared" si="96"/>
        <v>M</v>
      </c>
      <c r="J1186" s="99" t="s">
        <v>112</v>
      </c>
      <c r="K1186" s="99" t="s">
        <v>112</v>
      </c>
      <c r="L1186" s="99" t="s">
        <v>112</v>
      </c>
      <c r="M1186" s="99" t="s">
        <v>112</v>
      </c>
      <c r="N1186" s="99" t="s">
        <v>112</v>
      </c>
      <c r="O1186" s="99" t="s">
        <v>112</v>
      </c>
      <c r="P1186" s="99" t="s">
        <v>112</v>
      </c>
      <c r="Q1186" s="99" t="s">
        <v>112</v>
      </c>
      <c r="R1186" s="99" t="s">
        <v>112</v>
      </c>
      <c r="S1186" s="99" t="s">
        <v>112</v>
      </c>
      <c r="T1186" s="99" t="s">
        <v>112</v>
      </c>
      <c r="U1186" s="99" t="s">
        <v>112</v>
      </c>
      <c r="V1186" s="99" t="s">
        <v>112</v>
      </c>
      <c r="W1186" s="99" t="s">
        <v>112</v>
      </c>
      <c r="X1186" s="99" t="s">
        <v>112</v>
      </c>
      <c r="Y1186" s="99" t="s">
        <v>112</v>
      </c>
      <c r="Z1186" s="99" t="s">
        <v>112</v>
      </c>
      <c r="AA1186" s="99" t="s">
        <v>112</v>
      </c>
      <c r="AB1186" s="99" t="s">
        <v>112</v>
      </c>
      <c r="AC1186" s="99" t="s">
        <v>112</v>
      </c>
      <c r="AD1186" s="99" t="s">
        <v>112</v>
      </c>
      <c r="AE1186" s="99">
        <v>5976.7998128116433</v>
      </c>
      <c r="AF1186" s="99">
        <v>5975.5327015686607</v>
      </c>
      <c r="AG1186" s="99">
        <v>5973.9082548908136</v>
      </c>
      <c r="AH1186" s="99">
        <v>5971.8266279512482</v>
      </c>
      <c r="AI1186" s="99">
        <v>5969.1606742056811</v>
      </c>
      <c r="AJ1186" s="99">
        <v>5965.7488632615796</v>
      </c>
      <c r="AK1186" s="99">
        <v>5961.3866087610077</v>
      </c>
      <c r="AL1186" s="99">
        <v>5955.8158122695313</v>
      </c>
      <c r="AM1186" s="99">
        <v>5948.7125241715185</v>
      </c>
      <c r="AN1186" s="99">
        <v>5939.6728241584515</v>
      </c>
      <c r="AO1186" s="99">
        <v>5928.1973960383502</v>
      </c>
      <c r="AP1186" s="99">
        <v>5913.6759013450173</v>
      </c>
      <c r="AQ1186" s="99">
        <v>5895.3732491718865</v>
      </c>
      <c r="AR1186" s="99">
        <v>5872.4213175778877</v>
      </c>
      <c r="AS1186" s="99">
        <v>5843.8216450858436</v>
      </c>
      <c r="AT1186" s="99">
        <v>5808.4669412752119</v>
      </c>
      <c r="AU1186" s="99">
        <v>5765.1914528511488</v>
      </c>
      <c r="AV1186" s="99">
        <v>5712.861131247374</v>
      </c>
      <c r="AW1186" s="99">
        <v>5650.5122373883187</v>
      </c>
      <c r="AX1186" s="100">
        <v>5577.5389374999995</v>
      </c>
    </row>
    <row r="1187" spans="1:50" x14ac:dyDescent="0.25">
      <c r="A1187" s="356"/>
      <c r="B1187" s="358" t="s">
        <v>19</v>
      </c>
      <c r="C1187" s="353" t="s">
        <v>6</v>
      </c>
      <c r="D1187" s="3" t="s">
        <v>7</v>
      </c>
      <c r="E1187" s="162" t="str">
        <f>A1167&amp;"/"&amp;B1187&amp;"/"&amp;C1187&amp;"/"&amp;D1187</f>
        <v>Biomass and waste fired power plants/Steam turbine/Electricity only/L</v>
      </c>
      <c r="F1187" s="77" t="str">
        <f>A1167</f>
        <v>Biomass and waste fired power plants</v>
      </c>
      <c r="G1187" s="77" t="str">
        <f>B1187</f>
        <v>Steam turbine</v>
      </c>
      <c r="H1187" s="77" t="str">
        <f>C1187</f>
        <v>Electricity only</v>
      </c>
      <c r="I1187" s="163" t="str">
        <f t="shared" si="96"/>
        <v>L</v>
      </c>
      <c r="J1187" s="93">
        <v>2375</v>
      </c>
      <c r="K1187" s="93">
        <v>2378.3781846988691</v>
      </c>
      <c r="L1187" s="93">
        <v>2381.7583394095454</v>
      </c>
      <c r="M1187" s="93">
        <v>2385.1387219645103</v>
      </c>
      <c r="N1187" s="93">
        <v>2388.5175971921071</v>
      </c>
      <c r="O1187" s="93">
        <v>2391.8932403107092</v>
      </c>
      <c r="P1187" s="93">
        <v>2395.2639402600653</v>
      </c>
      <c r="Q1187" s="93">
        <v>2398.6280029569366</v>
      </c>
      <c r="R1187" s="93">
        <v>2401.9837544627653</v>
      </c>
      <c r="S1187" s="93">
        <v>2405.3295440517754</v>
      </c>
      <c r="T1187" s="93">
        <v>2408.6637471686663</v>
      </c>
      <c r="U1187" s="93">
        <v>2411.984768265846</v>
      </c>
      <c r="V1187" s="93">
        <v>2415.2910435110139</v>
      </c>
      <c r="W1187" s="93">
        <v>2418.5810433567922</v>
      </c>
      <c r="X1187" s="93">
        <v>2421.853274965029</v>
      </c>
      <c r="Y1187" s="93">
        <v>2425.1062844793551</v>
      </c>
      <c r="Z1187" s="93">
        <v>2428.3386591405279</v>
      </c>
      <c r="AA1187" s="93">
        <v>2431.5490292400805</v>
      </c>
      <c r="AB1187" s="93">
        <v>2434.7360699087608</v>
      </c>
      <c r="AC1187" s="93">
        <v>2437.8985027372041</v>
      </c>
      <c r="AD1187" s="93">
        <v>2441.0350972272354</v>
      </c>
      <c r="AE1187" s="93">
        <v>2444.1446720731033</v>
      </c>
      <c r="AF1187" s="93">
        <v>2447.2260962728606</v>
      </c>
      <c r="AG1187" s="93">
        <v>2450.2782900709381</v>
      </c>
      <c r="AH1187" s="93">
        <v>2453.3002257337866</v>
      </c>
      <c r="AI1187" s="93">
        <v>2456.2909281612228</v>
      </c>
      <c r="AJ1187" s="93">
        <v>2459.2494753368305</v>
      </c>
      <c r="AK1187" s="93">
        <v>2462.1749986214413</v>
      </c>
      <c r="AL1187" s="93">
        <v>2465.0666828943099</v>
      </c>
      <c r="AM1187" s="93">
        <v>2467.9237665471742</v>
      </c>
      <c r="AN1187" s="93">
        <v>2470.7455413368543</v>
      </c>
      <c r="AO1187" s="93">
        <v>2473.5313521025055</v>
      </c>
      <c r="AP1187" s="93">
        <v>2476.2805963539877</v>
      </c>
      <c r="AQ1187" s="93">
        <v>2478.9927237381507</v>
      </c>
      <c r="AR1187" s="93">
        <v>2481.6672353900722</v>
      </c>
      <c r="AS1187" s="93">
        <v>2484.3036831765003</v>
      </c>
      <c r="AT1187" s="93">
        <v>2486.9016688388911</v>
      </c>
      <c r="AU1187" s="93">
        <v>2489.4608430435233</v>
      </c>
      <c r="AV1187" s="93">
        <v>2491.9809043462296</v>
      </c>
      <c r="AW1187" s="93">
        <v>2494.4615980792632</v>
      </c>
      <c r="AX1187" s="94">
        <v>2496.9027151677856</v>
      </c>
    </row>
    <row r="1188" spans="1:50" x14ac:dyDescent="0.25">
      <c r="A1188" s="356"/>
      <c r="B1188" s="359"/>
      <c r="C1188" s="350"/>
      <c r="D1188" s="2" t="s">
        <v>8</v>
      </c>
      <c r="E1188" s="160" t="str">
        <f>A1167&amp;"/"&amp;B1187&amp;"/"&amp;C1187&amp;"/"&amp;D1188</f>
        <v>Biomass and waste fired power plants/Steam turbine/Electricity only/M</v>
      </c>
      <c r="F1188" s="76" t="str">
        <f>A1167</f>
        <v>Biomass and waste fired power plants</v>
      </c>
      <c r="G1188" s="76" t="str">
        <f>B1187</f>
        <v>Steam turbine</v>
      </c>
      <c r="H1188" s="76" t="str">
        <f>C1187</f>
        <v>Electricity only</v>
      </c>
      <c r="I1188" s="161" t="str">
        <f t="shared" si="96"/>
        <v>M</v>
      </c>
      <c r="J1188" s="91">
        <v>2565</v>
      </c>
      <c r="K1188" s="91">
        <v>2567.7363296060839</v>
      </c>
      <c r="L1188" s="91">
        <v>2570.4742549217317</v>
      </c>
      <c r="M1188" s="91">
        <v>2573.2123647912535</v>
      </c>
      <c r="N1188" s="91">
        <v>2575.9492537256069</v>
      </c>
      <c r="O1188" s="91">
        <v>2578.6835246516744</v>
      </c>
      <c r="P1188" s="91">
        <v>2581.4137916106529</v>
      </c>
      <c r="Q1188" s="91">
        <v>2584.1386823951188</v>
      </c>
      <c r="R1188" s="91">
        <v>2586.8568411148399</v>
      </c>
      <c r="S1188" s="91">
        <v>2589.5669306819382</v>
      </c>
      <c r="T1188" s="91">
        <v>2592.2676352066201</v>
      </c>
      <c r="U1188" s="91">
        <v>2594.9576622953355</v>
      </c>
      <c r="V1188" s="91">
        <v>2597.6357452439215</v>
      </c>
      <c r="W1188" s="91">
        <v>2600.3006451190017</v>
      </c>
      <c r="X1188" s="91">
        <v>2602.9511527216737</v>
      </c>
      <c r="Y1188" s="91">
        <v>2605.5860904282781</v>
      </c>
      <c r="Z1188" s="91">
        <v>2608.2043139038278</v>
      </c>
      <c r="AA1188" s="91">
        <v>2610.8047136844652</v>
      </c>
      <c r="AB1188" s="91">
        <v>2613.3862166260965</v>
      </c>
      <c r="AC1188" s="91">
        <v>2615.9477872171356</v>
      </c>
      <c r="AD1188" s="91">
        <v>2618.4884287540608</v>
      </c>
      <c r="AE1188" s="91">
        <v>2621.0071843792139</v>
      </c>
      <c r="AF1188" s="91">
        <v>2623.5031379810171</v>
      </c>
      <c r="AG1188" s="91">
        <v>2625.9754149574601</v>
      </c>
      <c r="AH1188" s="91">
        <v>2628.4231828443676</v>
      </c>
      <c r="AI1188" s="91">
        <v>2630.8456518105904</v>
      </c>
      <c r="AJ1188" s="91">
        <v>2633.242075022833</v>
      </c>
      <c r="AK1188" s="91">
        <v>2635.6117488833675</v>
      </c>
      <c r="AL1188" s="91">
        <v>2637.9540131443914</v>
      </c>
      <c r="AM1188" s="91">
        <v>2640.2682509032115</v>
      </c>
      <c r="AN1188" s="91">
        <v>2642.5538884828525</v>
      </c>
      <c r="AO1188" s="91">
        <v>2644.8103952030297</v>
      </c>
      <c r="AP1188" s="91">
        <v>2647.03728304673</v>
      </c>
      <c r="AQ1188" s="91">
        <v>2649.234106227902</v>
      </c>
      <c r="AR1188" s="91">
        <v>2651.4004606659587</v>
      </c>
      <c r="AS1188" s="91">
        <v>2653.5359833729658</v>
      </c>
      <c r="AT1188" s="91">
        <v>2655.6403517595018</v>
      </c>
      <c r="AU1188" s="91">
        <v>2657.7132828652539</v>
      </c>
      <c r="AV1188" s="91">
        <v>2659.754532520446</v>
      </c>
      <c r="AW1188" s="91">
        <v>2661.7638944442033</v>
      </c>
      <c r="AX1188" s="92">
        <v>2663.7411992859065</v>
      </c>
    </row>
    <row r="1189" spans="1:50" x14ac:dyDescent="0.25">
      <c r="A1189" s="356"/>
      <c r="B1189" s="359"/>
      <c r="C1189" s="350"/>
      <c r="D1189" s="2" t="s">
        <v>10</v>
      </c>
      <c r="E1189" s="160" t="str">
        <f>A1167&amp;"/"&amp;B1187&amp;"/"&amp;C1187&amp;"/"&amp;D1189</f>
        <v>Biomass and waste fired power plants/Steam turbine/Electricity only/S</v>
      </c>
      <c r="F1189" s="76" t="str">
        <f>A1167</f>
        <v>Biomass and waste fired power plants</v>
      </c>
      <c r="G1189" s="76" t="str">
        <f>B1187</f>
        <v>Steam turbine</v>
      </c>
      <c r="H1189" s="76" t="str">
        <f>C1187</f>
        <v>Electricity only</v>
      </c>
      <c r="I1189" s="161" t="str">
        <f t="shared" si="96"/>
        <v>S</v>
      </c>
      <c r="J1189" s="91">
        <v>2834.3249999999998</v>
      </c>
      <c r="K1189" s="91">
        <v>2836.844703512269</v>
      </c>
      <c r="L1189" s="91">
        <v>2839.3658764070947</v>
      </c>
      <c r="M1189" s="91">
        <v>2841.8872192452791</v>
      </c>
      <c r="N1189" s="91">
        <v>2844.407437805663</v>
      </c>
      <c r="O1189" s="91">
        <v>2846.9252456167501</v>
      </c>
      <c r="P1189" s="91">
        <v>2849.4393664414761</v>
      </c>
      <c r="Q1189" s="91">
        <v>2851.9485367055054</v>
      </c>
      <c r="R1189" s="91">
        <v>2854.4515078599152</v>
      </c>
      <c r="S1189" s="91">
        <v>2856.9470486696182</v>
      </c>
      <c r="T1189" s="91">
        <v>2859.4339474194289</v>
      </c>
      <c r="U1189" s="91">
        <v>2861.9110140302878</v>
      </c>
      <c r="V1189" s="91">
        <v>2864.3770820787777</v>
      </c>
      <c r="W1189" s="91">
        <v>2866.8310107137472</v>
      </c>
      <c r="X1189" s="91">
        <v>2869.2716864645408</v>
      </c>
      <c r="Y1189" s="91">
        <v>2871.698024936039</v>
      </c>
      <c r="Z1189" s="91">
        <v>2874.1089723864416</v>
      </c>
      <c r="AA1189" s="91">
        <v>2876.503507184445</v>
      </c>
      <c r="AB1189" s="91">
        <v>2878.880641143197</v>
      </c>
      <c r="AC1189" s="91">
        <v>2881.2394207291122</v>
      </c>
      <c r="AD1189" s="91">
        <v>2883.578928144364</v>
      </c>
      <c r="AE1189" s="91">
        <v>2885.898282282526</v>
      </c>
      <c r="AF1189" s="91">
        <v>2888.19663955752</v>
      </c>
      <c r="AG1189" s="91">
        <v>2890.4731946066609</v>
      </c>
      <c r="AH1189" s="91">
        <v>2892.7271808691885</v>
      </c>
      <c r="AI1189" s="91">
        <v>2894.957871042252</v>
      </c>
      <c r="AJ1189" s="91">
        <v>2897.1645774168587</v>
      </c>
      <c r="AK1189" s="91">
        <v>2899.3466520967677</v>
      </c>
      <c r="AL1189" s="91">
        <v>2901.5034871037938</v>
      </c>
      <c r="AM1189" s="91">
        <v>2903.6345143733738</v>
      </c>
      <c r="AN1189" s="91">
        <v>2905.7392056446265</v>
      </c>
      <c r="AO1189" s="91">
        <v>2907.817072249456</v>
      </c>
      <c r="AP1189" s="91">
        <v>2909.8676648055307</v>
      </c>
      <c r="AQ1189" s="91">
        <v>2911.890572818193</v>
      </c>
      <c r="AR1189" s="91">
        <v>2913.8854241965701</v>
      </c>
      <c r="AS1189" s="91">
        <v>2915.8518846892725</v>
      </c>
      <c r="AT1189" s="91">
        <v>2917.7896572452078</v>
      </c>
      <c r="AU1189" s="91">
        <v>2919.6984813050881</v>
      </c>
      <c r="AV1189" s="91">
        <v>2921.578132029244</v>
      </c>
      <c r="AW1189" s="91">
        <v>2923.4284194673705</v>
      </c>
      <c r="AX1189" s="92">
        <v>2925.2491876757722</v>
      </c>
    </row>
    <row r="1190" spans="1:50" x14ac:dyDescent="0.25">
      <c r="A1190" s="356"/>
      <c r="B1190" s="359"/>
      <c r="C1190" s="360"/>
      <c r="D1190" s="2" t="s">
        <v>20</v>
      </c>
      <c r="E1190" s="160" t="str">
        <f>A1167&amp;"/"&amp;B1187&amp;"/"&amp;C1187&amp;"/"&amp;D1190</f>
        <v>Biomass and waste fired power plants/Steam turbine/Electricity only/XS</v>
      </c>
      <c r="F1190" s="76" t="str">
        <f>A1167</f>
        <v>Biomass and waste fired power plants</v>
      </c>
      <c r="G1190" s="76" t="str">
        <f>B1187</f>
        <v>Steam turbine</v>
      </c>
      <c r="H1190" s="76" t="str">
        <f>C1187</f>
        <v>Electricity only</v>
      </c>
      <c r="I1190" s="161" t="str">
        <f t="shared" si="96"/>
        <v>XS</v>
      </c>
      <c r="J1190" s="91">
        <v>3401.1899999999996</v>
      </c>
      <c r="K1190" s="91">
        <v>3403.1940975462439</v>
      </c>
      <c r="L1190" s="91">
        <v>3405.1903583469452</v>
      </c>
      <c r="M1190" s="91">
        <v>3407.1778619677339</v>
      </c>
      <c r="N1190" s="91">
        <v>3409.1557071964066</v>
      </c>
      <c r="O1190" s="91">
        <v>3411.12301348237</v>
      </c>
      <c r="P1190" s="91">
        <v>3413.0789222925741</v>
      </c>
      <c r="Q1190" s="91">
        <v>3415.0225983804062</v>
      </c>
      <c r="R1190" s="91">
        <v>3416.9532309645442</v>
      </c>
      <c r="S1190" s="91">
        <v>3418.8700348153188</v>
      </c>
      <c r="T1190" s="91">
        <v>3420.7722512466667</v>
      </c>
      <c r="U1190" s="91">
        <v>3422.6591490123101</v>
      </c>
      <c r="V1190" s="91">
        <v>3424.5300251053118</v>
      </c>
      <c r="W1190" s="91">
        <v>3426.3842054606803</v>
      </c>
      <c r="X1190" s="91">
        <v>3428.2210455611926</v>
      </c>
      <c r="Y1190" s="91">
        <v>3430.0399309470868</v>
      </c>
      <c r="Z1190" s="91">
        <v>3431.8402776307239</v>
      </c>
      <c r="AA1190" s="91">
        <v>3433.6215324177651</v>
      </c>
      <c r="AB1190" s="91">
        <v>3435.3831731367909</v>
      </c>
      <c r="AC1190" s="91">
        <v>3437.1247087796837</v>
      </c>
      <c r="AD1190" s="91">
        <v>3438.8456795554212</v>
      </c>
      <c r="AE1190" s="91">
        <v>3440.545656860254</v>
      </c>
      <c r="AF1190" s="91">
        <v>3442.2242431674972</v>
      </c>
      <c r="AG1190" s="91">
        <v>3443.8810718404352</v>
      </c>
      <c r="AH1190" s="91">
        <v>3445.515806872028</v>
      </c>
      <c r="AI1190" s="91">
        <v>3447.1281425552961</v>
      </c>
      <c r="AJ1190" s="91">
        <v>3448.7178030884102</v>
      </c>
      <c r="AK1190" s="91">
        <v>3450.2845421186103</v>
      </c>
      <c r="AL1190" s="91">
        <v>3451.8281422291784</v>
      </c>
      <c r="AM1190" s="91">
        <v>3453.3484143737396</v>
      </c>
      <c r="AN1190" s="91">
        <v>3454.845197262176</v>
      </c>
      <c r="AO1190" s="91">
        <v>3456.3183567024644</v>
      </c>
      <c r="AP1190" s="91">
        <v>3457.7677849026982</v>
      </c>
      <c r="AQ1190" s="91">
        <v>3459.1933997375231</v>
      </c>
      <c r="AR1190" s="91">
        <v>3460.5951439831338</v>
      </c>
      <c r="AS1190" s="91">
        <v>3461.9729845249012</v>
      </c>
      <c r="AT1190" s="91">
        <v>3463.3269115415892</v>
      </c>
      <c r="AU1190" s="91">
        <v>3464.6569376699895</v>
      </c>
      <c r="AV1190" s="91">
        <v>3465.9630971536931</v>
      </c>
      <c r="AW1190" s="91">
        <v>3467.2454449795378</v>
      </c>
      <c r="AX1190" s="92">
        <v>3468.5040560051443</v>
      </c>
    </row>
    <row r="1191" spans="1:50" x14ac:dyDescent="0.25">
      <c r="A1191" s="356"/>
      <c r="B1191" s="359"/>
      <c r="C1191" s="361" t="s">
        <v>14</v>
      </c>
      <c r="D1191" s="58" t="s">
        <v>7</v>
      </c>
      <c r="E1191" s="164" t="str">
        <f>A1167&amp;"/"&amp;B1187&amp;"/"&amp;C1191&amp;"/"&amp;D1191</f>
        <v>Biomass and waste fired power plants/Steam turbine/CHP/L</v>
      </c>
      <c r="F1191" s="78" t="str">
        <f>A1167</f>
        <v>Biomass and waste fired power plants</v>
      </c>
      <c r="G1191" s="78" t="str">
        <f>B1187</f>
        <v>Steam turbine</v>
      </c>
      <c r="H1191" s="78" t="str">
        <f>C1191</f>
        <v>CHP</v>
      </c>
      <c r="I1191" s="165" t="str">
        <f t="shared" si="96"/>
        <v>L</v>
      </c>
      <c r="J1191" s="95">
        <v>2765</v>
      </c>
      <c r="K1191" s="95">
        <v>2767.443923610022</v>
      </c>
      <c r="L1191" s="95">
        <v>2769.8843418833831</v>
      </c>
      <c r="M1191" s="95">
        <v>2772.3207022831812</v>
      </c>
      <c r="N1191" s="95">
        <v>2774.7524577661829</v>
      </c>
      <c r="O1191" s="95">
        <v>2777.1790672216976</v>
      </c>
      <c r="P1191" s="95">
        <v>2779.5999958977668</v>
      </c>
      <c r="Q1191" s="95">
        <v>2782.0147158140753</v>
      </c>
      <c r="R1191" s="95">
        <v>2784.4227061610031</v>
      </c>
      <c r="S1191" s="95">
        <v>2786.8234536843111</v>
      </c>
      <c r="T1191" s="95">
        <v>2789.216453054968</v>
      </c>
      <c r="U1191" s="95">
        <v>2791.6012072236999</v>
      </c>
      <c r="V1191" s="95">
        <v>2793.9772277598563</v>
      </c>
      <c r="W1191" s="95">
        <v>2796.3440351742597</v>
      </c>
      <c r="X1191" s="95">
        <v>2798.7011592257313</v>
      </c>
      <c r="Y1191" s="95">
        <v>2801.0481392110396</v>
      </c>
      <c r="Z1191" s="95">
        <v>2803.3845242380589</v>
      </c>
      <c r="AA1191" s="95">
        <v>2805.709873481972</v>
      </c>
      <c r="AB1191" s="95">
        <v>2808.0237564243889</v>
      </c>
      <c r="AC1191" s="95">
        <v>2810.3257530753053</v>
      </c>
      <c r="AD1191" s="95">
        <v>2812.6154541778542</v>
      </c>
      <c r="AE1191" s="95">
        <v>2814.8924613958561</v>
      </c>
      <c r="AF1191" s="95">
        <v>2817.1563874842072</v>
      </c>
      <c r="AG1191" s="95">
        <v>2819.4068564421805</v>
      </c>
      <c r="AH1191" s="95">
        <v>2821.6435036497619</v>
      </c>
      <c r="AI1191" s="95">
        <v>2823.8659759871671</v>
      </c>
      <c r="AJ1191" s="95">
        <v>2826.073931937728</v>
      </c>
      <c r="AK1191" s="95">
        <v>2828.2670416743631</v>
      </c>
      <c r="AL1191" s="95">
        <v>2830.4449871298871</v>
      </c>
      <c r="AM1191" s="95">
        <v>2832.6074620514337</v>
      </c>
      <c r="AN1191" s="95">
        <v>2834.754172039296</v>
      </c>
      <c r="AO1191" s="95">
        <v>2836.8848345705233</v>
      </c>
      <c r="AP1191" s="95">
        <v>2838.9991790076197</v>
      </c>
      <c r="AQ1191" s="95">
        <v>2841.0969465927351</v>
      </c>
      <c r="AR1191" s="95">
        <v>2843.1778904277362</v>
      </c>
      <c r="AS1191" s="95">
        <v>2845.2417754405792</v>
      </c>
      <c r="AT1191" s="95">
        <v>2847.2883783384168</v>
      </c>
      <c r="AU1191" s="95">
        <v>2849.3174875478926</v>
      </c>
      <c r="AV1191" s="95">
        <v>2851.3289031430768</v>
      </c>
      <c r="AW1191" s="95">
        <v>2853.3224367615203</v>
      </c>
      <c r="AX1191" s="96">
        <v>2855.2979115089161</v>
      </c>
    </row>
    <row r="1192" spans="1:50" x14ac:dyDescent="0.25">
      <c r="A1192" s="356"/>
      <c r="B1192" s="359"/>
      <c r="C1192" s="350"/>
      <c r="D1192" s="2" t="s">
        <v>8</v>
      </c>
      <c r="E1192" s="160" t="str">
        <f>A1167&amp;"/"&amp;B1187&amp;"/"&amp;C1191&amp;"/"&amp;D1192</f>
        <v>Biomass and waste fired power plants/Steam turbine/CHP/M</v>
      </c>
      <c r="F1192" s="76" t="str">
        <f>A1167</f>
        <v>Biomass and waste fired power plants</v>
      </c>
      <c r="G1192" s="76" t="str">
        <f>B1187</f>
        <v>Steam turbine</v>
      </c>
      <c r="H1192" s="76" t="str">
        <f>C1191</f>
        <v>CHP</v>
      </c>
      <c r="I1192" s="161" t="str">
        <f t="shared" si="96"/>
        <v>M</v>
      </c>
      <c r="J1192" s="91">
        <v>2955</v>
      </c>
      <c r="K1192" s="91">
        <v>2956.6466039686679</v>
      </c>
      <c r="L1192" s="91">
        <v>2958.2867528035349</v>
      </c>
      <c r="M1192" s="91">
        <v>2959.9201286533676</v>
      </c>
      <c r="N1192" s="91">
        <v>2961.5464199995376</v>
      </c>
      <c r="O1192" s="91">
        <v>2963.1653218422507</v>
      </c>
      <c r="P1192" s="91">
        <v>2964.7765358757401</v>
      </c>
      <c r="Q1192" s="91">
        <v>2966.3797706523283</v>
      </c>
      <c r="R1192" s="91">
        <v>2967.9747417352723</v>
      </c>
      <c r="S1192" s="91">
        <v>2969.5611718403429</v>
      </c>
      <c r="T1192" s="91">
        <v>2971.1387909661212</v>
      </c>
      <c r="U1192" s="91">
        <v>2972.7073365130013</v>
      </c>
      <c r="V1192" s="91">
        <v>2974.2665533909462</v>
      </c>
      <c r="W1192" s="91">
        <v>2975.8161941160311</v>
      </c>
      <c r="X1192" s="91">
        <v>2977.3560188958636</v>
      </c>
      <c r="Y1192" s="91">
        <v>2978.8857957039804</v>
      </c>
      <c r="Z1192" s="91">
        <v>2980.4053003433323</v>
      </c>
      <c r="AA1192" s="91">
        <v>2981.9143164990182</v>
      </c>
      <c r="AB1192" s="91">
        <v>2983.412635780413</v>
      </c>
      <c r="AC1192" s="91">
        <v>2984.9000577528886</v>
      </c>
      <c r="AD1192" s="91">
        <v>2986.3763899593173</v>
      </c>
      <c r="AE1192" s="91">
        <v>2987.8414479315811</v>
      </c>
      <c r="AF1192" s="91">
        <v>2989.2950551923182</v>
      </c>
      <c r="AG1192" s="91">
        <v>2990.7370432471507</v>
      </c>
      <c r="AH1192" s="91">
        <v>2992.1672515676646</v>
      </c>
      <c r="AI1192" s="91">
        <v>2993.585527565403</v>
      </c>
      <c r="AJ1192" s="91">
        <v>2994.9917265571648</v>
      </c>
      <c r="AK1192" s="91">
        <v>2996.3857117219009</v>
      </c>
      <c r="AL1192" s="91">
        <v>2997.7673540495075</v>
      </c>
      <c r="AM1192" s="91">
        <v>2999.1365322818338</v>
      </c>
      <c r="AN1192" s="91">
        <v>3000.4931328462103</v>
      </c>
      <c r="AO1192" s="91">
        <v>3001.8370497818328</v>
      </c>
      <c r="AP1192" s="91">
        <v>3003.1681846593146</v>
      </c>
      <c r="AQ1192" s="91">
        <v>3004.48644649375</v>
      </c>
      <c r="AR1192" s="91">
        <v>3005.7917516516059</v>
      </c>
      <c r="AS1192" s="91">
        <v>3007.0840237517928</v>
      </c>
      <c r="AT1192" s="91">
        <v>3008.3631935612307</v>
      </c>
      <c r="AU1192" s="91">
        <v>3009.6291988852554</v>
      </c>
      <c r="AV1192" s="91">
        <v>3010.8819844531909</v>
      </c>
      <c r="AW1192" s="91">
        <v>3012.1215017994209</v>
      </c>
      <c r="AX1192" s="92">
        <v>3013.3477091402801</v>
      </c>
    </row>
    <row r="1193" spans="1:50" x14ac:dyDescent="0.25">
      <c r="A1193" s="356"/>
      <c r="B1193" s="359"/>
      <c r="C1193" s="350"/>
      <c r="D1193" s="2" t="s">
        <v>10</v>
      </c>
      <c r="E1193" s="160" t="str">
        <f>A1167&amp;"/"&amp;B1187&amp;"/"&amp;C1191&amp;"/"&amp;D1193</f>
        <v>Biomass and waste fired power plants/Steam turbine/CHP/S</v>
      </c>
      <c r="F1193" s="76" t="str">
        <f>A1167</f>
        <v>Biomass and waste fired power plants</v>
      </c>
      <c r="G1193" s="76" t="str">
        <f>B1187</f>
        <v>Steam turbine</v>
      </c>
      <c r="H1193" s="76" t="str">
        <f>C1191</f>
        <v>CHP</v>
      </c>
      <c r="I1193" s="161" t="str">
        <f t="shared" si="96"/>
        <v>S</v>
      </c>
      <c r="J1193" s="91">
        <v>3234.3249999999998</v>
      </c>
      <c r="K1193" s="91">
        <v>3235.5465464582021</v>
      </c>
      <c r="L1193" s="91">
        <v>3236.760119308678</v>
      </c>
      <c r="M1193" s="91">
        <v>3237.9655441497439</v>
      </c>
      <c r="N1193" s="91">
        <v>3239.1626526396763</v>
      </c>
      <c r="O1193" s="91">
        <v>3240.3512825328771</v>
      </c>
      <c r="P1193" s="91">
        <v>3241.5312777080726</v>
      </c>
      <c r="Q1193" s="91">
        <v>3242.7024881886759</v>
      </c>
      <c r="R1193" s="91">
        <v>3243.8647701554737</v>
      </c>
      <c r="S1193" s="91">
        <v>3245.0179859517957</v>
      </c>
      <c r="T1193" s="91">
        <v>3246.1620040813459</v>
      </c>
      <c r="U1193" s="91">
        <v>3247.2966991988856</v>
      </c>
      <c r="V1193" s="91">
        <v>3248.4219520939587</v>
      </c>
      <c r="W1193" s="91">
        <v>3249.5376496678732</v>
      </c>
      <c r="X1193" s="91">
        <v>3250.6436849041484</v>
      </c>
      <c r="Y1193" s="91">
        <v>3251.7399568326509</v>
      </c>
      <c r="Z1193" s="91">
        <v>3252.8263704876495</v>
      </c>
      <c r="AA1193" s="91">
        <v>3253.902836860022</v>
      </c>
      <c r="AB1193" s="91">
        <v>3254.9692728438527</v>
      </c>
      <c r="AC1193" s="91">
        <v>3256.025601177661</v>
      </c>
      <c r="AD1193" s="91">
        <v>3257.0717503805154</v>
      </c>
      <c r="AE1193" s="91">
        <v>3258.1076546832719</v>
      </c>
      <c r="AF1193" s="91">
        <v>3259.1332539551931</v>
      </c>
      <c r="AG1193" s="91">
        <v>3260.1484936261982</v>
      </c>
      <c r="AH1193" s="91">
        <v>3261.1533246049935</v>
      </c>
      <c r="AI1193" s="91">
        <v>3262.1477031933387</v>
      </c>
      <c r="AJ1193" s="91">
        <v>3263.131590996697</v>
      </c>
      <c r="AK1193" s="91">
        <v>3264.1049548315141</v>
      </c>
      <c r="AL1193" s="91">
        <v>3265.0677666293818</v>
      </c>
      <c r="AM1193" s="91">
        <v>3266.0200033383207</v>
      </c>
      <c r="AN1193" s="91">
        <v>3266.9616468214276</v>
      </c>
      <c r="AO1193" s="91">
        <v>3267.8926837531226</v>
      </c>
      <c r="AP1193" s="91">
        <v>3268.8131055132312</v>
      </c>
      <c r="AQ1193" s="91">
        <v>3269.7229080791258</v>
      </c>
      <c r="AR1193" s="91">
        <v>3270.6220919161533</v>
      </c>
      <c r="AS1193" s="91">
        <v>3271.5106618665632</v>
      </c>
      <c r="AT1193" s="91">
        <v>3272.3886270371522</v>
      </c>
      <c r="AU1193" s="91">
        <v>3273.2560006858325</v>
      </c>
      <c r="AV1193" s="91">
        <v>3274.1128001073171</v>
      </c>
      <c r="AW1193" s="91">
        <v>3274.959046518125</v>
      </c>
      <c r="AX1193" s="92">
        <v>3275.7947649410894</v>
      </c>
    </row>
    <row r="1194" spans="1:50" x14ac:dyDescent="0.25">
      <c r="A1194" s="356"/>
      <c r="B1194" s="359"/>
      <c r="C1194" s="360"/>
      <c r="D1194" s="59" t="s">
        <v>20</v>
      </c>
      <c r="E1194" s="166" t="str">
        <f>A1167&amp;"/"&amp;B1187&amp;"/"&amp;C1191&amp;"/"&amp;D1194</f>
        <v>Biomass and waste fired power plants/Steam turbine/CHP/XS</v>
      </c>
      <c r="F1194" s="79" t="str">
        <f>A1167</f>
        <v>Biomass and waste fired power plants</v>
      </c>
      <c r="G1194" s="79" t="str">
        <f>B1187</f>
        <v>Steam turbine</v>
      </c>
      <c r="H1194" s="79" t="str">
        <f>C1191</f>
        <v>CHP</v>
      </c>
      <c r="I1194" s="167" t="str">
        <f t="shared" si="96"/>
        <v>XS</v>
      </c>
      <c r="J1194" s="97">
        <v>3841.1899999999996</v>
      </c>
      <c r="K1194" s="97">
        <v>3842.0822343058835</v>
      </c>
      <c r="L1194" s="97">
        <v>3842.9661487931126</v>
      </c>
      <c r="M1194" s="97">
        <v>3843.8416810579452</v>
      </c>
      <c r="N1194" s="97">
        <v>3844.708773386647</v>
      </c>
      <c r="O1194" s="97">
        <v>3845.5673727013946</v>
      </c>
      <c r="P1194" s="97">
        <v>3846.4174305023985</v>
      </c>
      <c r="Q1194" s="97">
        <v>3847.258902806444</v>
      </c>
      <c r="R1194" s="97">
        <v>3848.0917500820474</v>
      </c>
      <c r="S1194" s="97">
        <v>3848.9159371814312</v>
      </c>
      <c r="T1194" s="97">
        <v>3849.7314332695082</v>
      </c>
      <c r="U1194" s="97">
        <v>3850.5382117500862</v>
      </c>
      <c r="V1194" s="97">
        <v>3851.3362501894767</v>
      </c>
      <c r="W1194" s="97">
        <v>3852.1255302377094</v>
      </c>
      <c r="X1194" s="97">
        <v>3852.9060375475469</v>
      </c>
      <c r="Y1194" s="97">
        <v>3853.6777616914824</v>
      </c>
      <c r="Z1194" s="97">
        <v>3854.4406960769138</v>
      </c>
      <c r="AA1194" s="97">
        <v>3855.1948378596767</v>
      </c>
      <c r="AB1194" s="97">
        <v>3855.9401878561139</v>
      </c>
      <c r="AC1194" s="97">
        <v>3856.676750453857</v>
      </c>
      <c r="AD1194" s="97">
        <v>3857.4045335214992</v>
      </c>
      <c r="AE1194" s="97">
        <v>3858.1235483173141</v>
      </c>
      <c r="AF1194" s="97">
        <v>3858.833809397197</v>
      </c>
      <c r="AG1194" s="97">
        <v>3859.5353345219746</v>
      </c>
      <c r="AH1194" s="97">
        <v>3860.2281445642448</v>
      </c>
      <c r="AI1194" s="97">
        <v>3860.9122634148866</v>
      </c>
      <c r="AJ1194" s="97">
        <v>3861.5877178893929</v>
      </c>
      <c r="AK1194" s="97">
        <v>3862.2545376341482</v>
      </c>
      <c r="AL1194" s="97">
        <v>3862.9127550327985</v>
      </c>
      <c r="AM1194" s="97">
        <v>3863.5624051128261</v>
      </c>
      <c r="AN1194" s="97">
        <v>3864.2035254524617</v>
      </c>
      <c r="AO1194" s="97">
        <v>3864.8361560880362</v>
      </c>
      <c r="AP1194" s="97">
        <v>3865.4603394218907</v>
      </c>
      <c r="AQ1194" s="97">
        <v>3866.0761201309474</v>
      </c>
      <c r="AR1194" s="97">
        <v>3866.6835450760327</v>
      </c>
      <c r="AS1194" s="97">
        <v>3867.2826632120523</v>
      </c>
      <c r="AT1194" s="97">
        <v>3867.8735254991029</v>
      </c>
      <c r="AU1194" s="97">
        <v>3868.4561848146031</v>
      </c>
      <c r="AV1194" s="97">
        <v>3869.0306958665142</v>
      </c>
      <c r="AW1194" s="97">
        <v>3869.5971151077333</v>
      </c>
      <c r="AX1194" s="98">
        <v>3870.1555006517142</v>
      </c>
    </row>
    <row r="1195" spans="1:50" x14ac:dyDescent="0.25">
      <c r="A1195" s="356"/>
      <c r="B1195" s="359"/>
      <c r="C1195" s="361" t="s">
        <v>15</v>
      </c>
      <c r="D1195" s="58" t="s">
        <v>7</v>
      </c>
      <c r="E1195" s="164" t="str">
        <f>A1167&amp;"/"&amp;B1187&amp;"/"&amp;C1195&amp;"/"&amp;D1195</f>
        <v>Biomass and waste fired power plants/Steam turbine/Electricity only with CCS/L</v>
      </c>
      <c r="F1195" s="78" t="str">
        <f>A1167</f>
        <v>Biomass and waste fired power plants</v>
      </c>
      <c r="G1195" s="78" t="str">
        <f>B1187</f>
        <v>Steam turbine</v>
      </c>
      <c r="H1195" s="78" t="str">
        <f>C1195</f>
        <v>Electricity only with CCS</v>
      </c>
      <c r="I1195" s="165" t="str">
        <f t="shared" si="96"/>
        <v>L</v>
      </c>
      <c r="J1195" s="95" t="s">
        <v>112</v>
      </c>
      <c r="K1195" s="95" t="s">
        <v>112</v>
      </c>
      <c r="L1195" s="95" t="s">
        <v>112</v>
      </c>
      <c r="M1195" s="95" t="s">
        <v>112</v>
      </c>
      <c r="N1195" s="95" t="s">
        <v>112</v>
      </c>
      <c r="O1195" s="95" t="s">
        <v>112</v>
      </c>
      <c r="P1195" s="95" t="s">
        <v>112</v>
      </c>
      <c r="Q1195" s="95" t="s">
        <v>112</v>
      </c>
      <c r="R1195" s="95" t="s">
        <v>112</v>
      </c>
      <c r="S1195" s="95" t="s">
        <v>112</v>
      </c>
      <c r="T1195" s="95" t="s">
        <v>112</v>
      </c>
      <c r="U1195" s="95" t="s">
        <v>112</v>
      </c>
      <c r="V1195" s="95" t="s">
        <v>112</v>
      </c>
      <c r="W1195" s="95" t="s">
        <v>112</v>
      </c>
      <c r="X1195" s="95" t="s">
        <v>112</v>
      </c>
      <c r="Y1195" s="95" t="s">
        <v>112</v>
      </c>
      <c r="Z1195" s="95" t="s">
        <v>112</v>
      </c>
      <c r="AA1195" s="95" t="s">
        <v>112</v>
      </c>
      <c r="AB1195" s="95" t="s">
        <v>112</v>
      </c>
      <c r="AC1195" s="95" t="s">
        <v>112</v>
      </c>
      <c r="AD1195" s="95" t="s">
        <v>112</v>
      </c>
      <c r="AE1195" s="95">
        <v>5462.5</v>
      </c>
      <c r="AF1195" s="95">
        <v>5462.5</v>
      </c>
      <c r="AG1195" s="95">
        <v>5462.5</v>
      </c>
      <c r="AH1195" s="95">
        <v>5462.5</v>
      </c>
      <c r="AI1195" s="95">
        <v>5462.5</v>
      </c>
      <c r="AJ1195" s="95">
        <v>5462.5</v>
      </c>
      <c r="AK1195" s="95">
        <v>5462.5</v>
      </c>
      <c r="AL1195" s="95">
        <v>5462.5</v>
      </c>
      <c r="AM1195" s="95">
        <v>5462.5</v>
      </c>
      <c r="AN1195" s="95">
        <v>5462.5</v>
      </c>
      <c r="AO1195" s="95">
        <v>5462.5</v>
      </c>
      <c r="AP1195" s="95">
        <v>5462.5</v>
      </c>
      <c r="AQ1195" s="95">
        <v>5462.5</v>
      </c>
      <c r="AR1195" s="95">
        <v>5462.5</v>
      </c>
      <c r="AS1195" s="95">
        <v>5462.5</v>
      </c>
      <c r="AT1195" s="95">
        <v>5462.5</v>
      </c>
      <c r="AU1195" s="95">
        <v>5462.5</v>
      </c>
      <c r="AV1195" s="95">
        <v>5462.5</v>
      </c>
      <c r="AW1195" s="95">
        <v>5462.5</v>
      </c>
      <c r="AX1195" s="96">
        <v>5462.5</v>
      </c>
    </row>
    <row r="1196" spans="1:50" x14ac:dyDescent="0.25">
      <c r="A1196" s="356"/>
      <c r="B1196" s="359"/>
      <c r="C1196" s="360"/>
      <c r="D1196" s="59" t="s">
        <v>8</v>
      </c>
      <c r="E1196" s="166" t="str">
        <f>A1167&amp;"/"&amp;B1187&amp;"/"&amp;C1195&amp;"/"&amp;D1196</f>
        <v>Biomass and waste fired power plants/Steam turbine/Electricity only with CCS/M</v>
      </c>
      <c r="F1196" s="79" t="str">
        <f>A1167</f>
        <v>Biomass and waste fired power plants</v>
      </c>
      <c r="G1196" s="79" t="str">
        <f>B1187</f>
        <v>Steam turbine</v>
      </c>
      <c r="H1196" s="79" t="str">
        <f>C1195</f>
        <v>Electricity only with CCS</v>
      </c>
      <c r="I1196" s="167" t="str">
        <f t="shared" si="96"/>
        <v>M</v>
      </c>
      <c r="J1196" s="97" t="s">
        <v>112</v>
      </c>
      <c r="K1196" s="97" t="s">
        <v>112</v>
      </c>
      <c r="L1196" s="97" t="s">
        <v>112</v>
      </c>
      <c r="M1196" s="97" t="s">
        <v>112</v>
      </c>
      <c r="N1196" s="97" t="s">
        <v>112</v>
      </c>
      <c r="O1196" s="97" t="s">
        <v>112</v>
      </c>
      <c r="P1196" s="97" t="s">
        <v>112</v>
      </c>
      <c r="Q1196" s="97" t="s">
        <v>112</v>
      </c>
      <c r="R1196" s="97" t="s">
        <v>112</v>
      </c>
      <c r="S1196" s="97" t="s">
        <v>112</v>
      </c>
      <c r="T1196" s="97" t="s">
        <v>112</v>
      </c>
      <c r="U1196" s="97" t="s">
        <v>112</v>
      </c>
      <c r="V1196" s="97" t="s">
        <v>112</v>
      </c>
      <c r="W1196" s="97" t="s">
        <v>112</v>
      </c>
      <c r="X1196" s="97" t="s">
        <v>112</v>
      </c>
      <c r="Y1196" s="97" t="s">
        <v>112</v>
      </c>
      <c r="Z1196" s="97" t="s">
        <v>112</v>
      </c>
      <c r="AA1196" s="97" t="s">
        <v>112</v>
      </c>
      <c r="AB1196" s="97" t="s">
        <v>112</v>
      </c>
      <c r="AC1196" s="97" t="s">
        <v>112</v>
      </c>
      <c r="AD1196" s="97" t="s">
        <v>112</v>
      </c>
      <c r="AE1196" s="97">
        <v>6006.875</v>
      </c>
      <c r="AF1196" s="97">
        <v>6006.875</v>
      </c>
      <c r="AG1196" s="97">
        <v>6006.875</v>
      </c>
      <c r="AH1196" s="97">
        <v>6006.875</v>
      </c>
      <c r="AI1196" s="97">
        <v>6006.875</v>
      </c>
      <c r="AJ1196" s="97">
        <v>6006.875</v>
      </c>
      <c r="AK1196" s="97">
        <v>6006.875</v>
      </c>
      <c r="AL1196" s="97">
        <v>6006.875</v>
      </c>
      <c r="AM1196" s="97">
        <v>6006.875</v>
      </c>
      <c r="AN1196" s="97">
        <v>6006.875</v>
      </c>
      <c r="AO1196" s="97">
        <v>6006.875</v>
      </c>
      <c r="AP1196" s="97">
        <v>6006.875</v>
      </c>
      <c r="AQ1196" s="97">
        <v>6006.875</v>
      </c>
      <c r="AR1196" s="97">
        <v>6006.875</v>
      </c>
      <c r="AS1196" s="97">
        <v>6006.875</v>
      </c>
      <c r="AT1196" s="97">
        <v>6006.875</v>
      </c>
      <c r="AU1196" s="97">
        <v>6006.875</v>
      </c>
      <c r="AV1196" s="97">
        <v>6006.875</v>
      </c>
      <c r="AW1196" s="97">
        <v>6006.875</v>
      </c>
      <c r="AX1196" s="98">
        <v>6006.875</v>
      </c>
    </row>
    <row r="1197" spans="1:50" x14ac:dyDescent="0.25">
      <c r="A1197" s="356"/>
      <c r="B1197" s="359"/>
      <c r="C1197" s="361" t="s">
        <v>16</v>
      </c>
      <c r="D1197" s="2" t="s">
        <v>7</v>
      </c>
      <c r="E1197" s="160" t="str">
        <f>A1167&amp;"/"&amp;B1187&amp;"/"&amp;C1197&amp;"/"&amp;D1197</f>
        <v>Biomass and waste fired power plants/Steam turbine/CHP with CCS/L</v>
      </c>
      <c r="F1197" s="76" t="str">
        <f>A1167</f>
        <v>Biomass and waste fired power plants</v>
      </c>
      <c r="G1197" s="76" t="str">
        <f>B1187</f>
        <v>Steam turbine</v>
      </c>
      <c r="H1197" s="76" t="str">
        <f>C1197</f>
        <v>CHP with CCS</v>
      </c>
      <c r="I1197" s="161" t="str">
        <f t="shared" si="96"/>
        <v>L</v>
      </c>
      <c r="J1197" s="91" t="s">
        <v>112</v>
      </c>
      <c r="K1197" s="91" t="s">
        <v>112</v>
      </c>
      <c r="L1197" s="91" t="s">
        <v>112</v>
      </c>
      <c r="M1197" s="91" t="s">
        <v>112</v>
      </c>
      <c r="N1197" s="91" t="s">
        <v>112</v>
      </c>
      <c r="O1197" s="91" t="s">
        <v>112</v>
      </c>
      <c r="P1197" s="91" t="s">
        <v>112</v>
      </c>
      <c r="Q1197" s="91" t="s">
        <v>112</v>
      </c>
      <c r="R1197" s="91" t="s">
        <v>112</v>
      </c>
      <c r="S1197" s="91" t="s">
        <v>112</v>
      </c>
      <c r="T1197" s="91" t="s">
        <v>112</v>
      </c>
      <c r="U1197" s="91" t="s">
        <v>112</v>
      </c>
      <c r="V1197" s="91" t="s">
        <v>112</v>
      </c>
      <c r="W1197" s="91" t="s">
        <v>112</v>
      </c>
      <c r="X1197" s="91" t="s">
        <v>112</v>
      </c>
      <c r="Y1197" s="91" t="s">
        <v>112</v>
      </c>
      <c r="Z1197" s="91" t="s">
        <v>112</v>
      </c>
      <c r="AA1197" s="91" t="s">
        <v>112</v>
      </c>
      <c r="AB1197" s="91" t="s">
        <v>112</v>
      </c>
      <c r="AC1197" s="91" t="s">
        <v>112</v>
      </c>
      <c r="AD1197" s="91" t="s">
        <v>112</v>
      </c>
      <c r="AE1197" s="91">
        <v>5852.5</v>
      </c>
      <c r="AF1197" s="91">
        <v>5852.5</v>
      </c>
      <c r="AG1197" s="91">
        <v>5852.5</v>
      </c>
      <c r="AH1197" s="91">
        <v>5852.5</v>
      </c>
      <c r="AI1197" s="91">
        <v>5852.5</v>
      </c>
      <c r="AJ1197" s="91">
        <v>5852.5</v>
      </c>
      <c r="AK1197" s="91">
        <v>5852.5</v>
      </c>
      <c r="AL1197" s="91">
        <v>5852.5</v>
      </c>
      <c r="AM1197" s="91">
        <v>5852.5</v>
      </c>
      <c r="AN1197" s="91">
        <v>5852.5</v>
      </c>
      <c r="AO1197" s="91">
        <v>5852.5</v>
      </c>
      <c r="AP1197" s="91">
        <v>5852.5</v>
      </c>
      <c r="AQ1197" s="91">
        <v>5852.5</v>
      </c>
      <c r="AR1197" s="91">
        <v>5852.5</v>
      </c>
      <c r="AS1197" s="91">
        <v>5852.5</v>
      </c>
      <c r="AT1197" s="91">
        <v>5852.5</v>
      </c>
      <c r="AU1197" s="91">
        <v>5852.5</v>
      </c>
      <c r="AV1197" s="91">
        <v>5852.5</v>
      </c>
      <c r="AW1197" s="91">
        <v>5852.5</v>
      </c>
      <c r="AX1197" s="92">
        <v>5852.5</v>
      </c>
    </row>
    <row r="1198" spans="1:50" x14ac:dyDescent="0.25">
      <c r="A1198" s="357"/>
      <c r="B1198" s="362"/>
      <c r="C1198" s="354"/>
      <c r="D1198" s="4" t="s">
        <v>8</v>
      </c>
      <c r="E1198" s="168" t="str">
        <f>A1167&amp;"/"&amp;B1187&amp;"/"&amp;C1197&amp;"/"&amp;D1198</f>
        <v>Biomass and waste fired power plants/Steam turbine/CHP with CCS/M</v>
      </c>
      <c r="F1198" s="80" t="str">
        <f>A1167</f>
        <v>Biomass and waste fired power plants</v>
      </c>
      <c r="G1198" s="80" t="str">
        <f>B1187</f>
        <v>Steam turbine</v>
      </c>
      <c r="H1198" s="80" t="str">
        <f>C1197</f>
        <v>CHP with CCS</v>
      </c>
      <c r="I1198" s="169" t="str">
        <f t="shared" si="96"/>
        <v>M</v>
      </c>
      <c r="J1198" s="99" t="s">
        <v>112</v>
      </c>
      <c r="K1198" s="99" t="s">
        <v>112</v>
      </c>
      <c r="L1198" s="99" t="s">
        <v>112</v>
      </c>
      <c r="M1198" s="99" t="s">
        <v>112</v>
      </c>
      <c r="N1198" s="99" t="s">
        <v>112</v>
      </c>
      <c r="O1198" s="99" t="s">
        <v>112</v>
      </c>
      <c r="P1198" s="99" t="s">
        <v>112</v>
      </c>
      <c r="Q1198" s="99" t="s">
        <v>112</v>
      </c>
      <c r="R1198" s="99" t="s">
        <v>112</v>
      </c>
      <c r="S1198" s="99" t="s">
        <v>112</v>
      </c>
      <c r="T1198" s="99" t="s">
        <v>112</v>
      </c>
      <c r="U1198" s="99" t="s">
        <v>112</v>
      </c>
      <c r="V1198" s="99" t="s">
        <v>112</v>
      </c>
      <c r="W1198" s="99" t="s">
        <v>112</v>
      </c>
      <c r="X1198" s="99" t="s">
        <v>112</v>
      </c>
      <c r="Y1198" s="99" t="s">
        <v>112</v>
      </c>
      <c r="Z1198" s="99" t="s">
        <v>112</v>
      </c>
      <c r="AA1198" s="99" t="s">
        <v>112</v>
      </c>
      <c r="AB1198" s="99" t="s">
        <v>112</v>
      </c>
      <c r="AC1198" s="99" t="s">
        <v>112</v>
      </c>
      <c r="AD1198" s="99" t="s">
        <v>112</v>
      </c>
      <c r="AE1198" s="99">
        <v>6396.875</v>
      </c>
      <c r="AF1198" s="99">
        <v>6396.875</v>
      </c>
      <c r="AG1198" s="99">
        <v>6396.875</v>
      </c>
      <c r="AH1198" s="99">
        <v>6396.875</v>
      </c>
      <c r="AI1198" s="99">
        <v>6396.875</v>
      </c>
      <c r="AJ1198" s="99">
        <v>6396.875</v>
      </c>
      <c r="AK1198" s="99">
        <v>6396.875</v>
      </c>
      <c r="AL1198" s="99">
        <v>6396.875</v>
      </c>
      <c r="AM1198" s="99">
        <v>6396.875</v>
      </c>
      <c r="AN1198" s="99">
        <v>6396.875</v>
      </c>
      <c r="AO1198" s="99">
        <v>6396.875</v>
      </c>
      <c r="AP1198" s="99">
        <v>6396.875</v>
      </c>
      <c r="AQ1198" s="99">
        <v>6396.875</v>
      </c>
      <c r="AR1198" s="99">
        <v>6396.875</v>
      </c>
      <c r="AS1198" s="99">
        <v>6396.875</v>
      </c>
      <c r="AT1198" s="99">
        <v>6396.875</v>
      </c>
      <c r="AU1198" s="99">
        <v>6396.875</v>
      </c>
      <c r="AV1198" s="99">
        <v>6396.875</v>
      </c>
      <c r="AW1198" s="99">
        <v>6396.875</v>
      </c>
      <c r="AX1198" s="100">
        <v>6396.875</v>
      </c>
    </row>
    <row r="1199" spans="1:50" x14ac:dyDescent="0.25">
      <c r="A1199" s="355" t="s">
        <v>31</v>
      </c>
      <c r="B1199" s="358" t="s">
        <v>32</v>
      </c>
      <c r="C1199" s="353" t="s">
        <v>6</v>
      </c>
      <c r="D1199" s="3" t="s">
        <v>8</v>
      </c>
      <c r="E1199" s="162" t="str">
        <f>A1199&amp;"/"&amp;B1199&amp;"/"&amp;C1199&amp;"/"&amp;D1199</f>
        <v>Fuel cells/Natural gas fuel cell power plant/Electricity only/M</v>
      </c>
      <c r="F1199" s="77" t="str">
        <f>A1199</f>
        <v>Fuel cells</v>
      </c>
      <c r="G1199" s="77" t="str">
        <f>B1199</f>
        <v>Natural gas fuel cell power plant</v>
      </c>
      <c r="H1199" s="77" t="str">
        <f>C1199</f>
        <v>Electricity only</v>
      </c>
      <c r="I1199" s="163" t="str">
        <f t="shared" si="96"/>
        <v>M</v>
      </c>
      <c r="J1199" s="93" t="s">
        <v>112</v>
      </c>
      <c r="K1199" s="93" t="s">
        <v>112</v>
      </c>
      <c r="L1199" s="93" t="s">
        <v>112</v>
      </c>
      <c r="M1199" s="93" t="s">
        <v>112</v>
      </c>
      <c r="N1199" s="93" t="s">
        <v>112</v>
      </c>
      <c r="O1199" s="93" t="s">
        <v>112</v>
      </c>
      <c r="P1199" s="93" t="s">
        <v>112</v>
      </c>
      <c r="Q1199" s="93" t="s">
        <v>112</v>
      </c>
      <c r="R1199" s="93" t="s">
        <v>112</v>
      </c>
      <c r="S1199" s="93" t="s">
        <v>112</v>
      </c>
      <c r="T1199" s="93" t="s">
        <v>112</v>
      </c>
      <c r="U1199" s="93" t="s">
        <v>112</v>
      </c>
      <c r="V1199" s="93" t="s">
        <v>112</v>
      </c>
      <c r="W1199" s="93" t="s">
        <v>112</v>
      </c>
      <c r="X1199" s="93" t="s">
        <v>112</v>
      </c>
      <c r="Y1199" s="93" t="s">
        <v>112</v>
      </c>
      <c r="Z1199" s="93" t="s">
        <v>112</v>
      </c>
      <c r="AA1199" s="93" t="s">
        <v>112</v>
      </c>
      <c r="AB1199" s="93" t="s">
        <v>112</v>
      </c>
      <c r="AC1199" s="93" t="s">
        <v>112</v>
      </c>
      <c r="AD1199" s="93" t="s">
        <v>112</v>
      </c>
      <c r="AE1199" s="93">
        <v>4300</v>
      </c>
      <c r="AF1199" s="93">
        <v>4300</v>
      </c>
      <c r="AG1199" s="93">
        <v>4300</v>
      </c>
      <c r="AH1199" s="93">
        <v>4300</v>
      </c>
      <c r="AI1199" s="93">
        <v>4265.7241998491209</v>
      </c>
      <c r="AJ1199" s="93">
        <v>4253.9003735792694</v>
      </c>
      <c r="AK1199" s="93">
        <v>4238.0757465484267</v>
      </c>
      <c r="AL1199" s="93">
        <v>4216.9592447872219</v>
      </c>
      <c r="AM1199" s="93">
        <v>4188.893082869823</v>
      </c>
      <c r="AN1199" s="93">
        <v>4151.7882996110402</v>
      </c>
      <c r="AO1199" s="93">
        <v>4103.0820595197956</v>
      </c>
      <c r="AP1199" s="93">
        <v>4039.7502461244571</v>
      </c>
      <c r="AQ1199" s="93">
        <v>3958.4293928142597</v>
      </c>
      <c r="AR1199" s="93">
        <v>3855.7241628498059</v>
      </c>
      <c r="AS1199" s="93">
        <v>3728.7873925167323</v>
      </c>
      <c r="AT1199" s="93">
        <v>3576.2311184300938</v>
      </c>
      <c r="AU1199" s="93">
        <v>3399.3164319333264</v>
      </c>
      <c r="AV1199" s="93">
        <v>3203.1442325760968</v>
      </c>
      <c r="AW1199" s="93">
        <v>2997.2702754723778</v>
      </c>
      <c r="AX1199" s="94">
        <v>2795</v>
      </c>
    </row>
    <row r="1200" spans="1:50" x14ac:dyDescent="0.25">
      <c r="A1200" s="356"/>
      <c r="B1200" s="359"/>
      <c r="C1200" s="350"/>
      <c r="D1200" s="2" t="s">
        <v>10</v>
      </c>
      <c r="E1200" s="160" t="str">
        <f>A1199&amp;"/"&amp;B1199&amp;"/"&amp;C1199&amp;"/"&amp;D1200</f>
        <v>Fuel cells/Natural gas fuel cell power plant/Electricity only/S</v>
      </c>
      <c r="F1200" s="76" t="str">
        <f>A1199</f>
        <v>Fuel cells</v>
      </c>
      <c r="G1200" s="76" t="str">
        <f>B1199</f>
        <v>Natural gas fuel cell power plant</v>
      </c>
      <c r="H1200" s="76" t="str">
        <f>C1199</f>
        <v>Electricity only</v>
      </c>
      <c r="I1200" s="161" t="str">
        <f t="shared" si="96"/>
        <v>S</v>
      </c>
      <c r="J1200" s="91" t="s">
        <v>112</v>
      </c>
      <c r="K1200" s="91" t="s">
        <v>112</v>
      </c>
      <c r="L1200" s="91" t="s">
        <v>112</v>
      </c>
      <c r="M1200" s="91" t="s">
        <v>112</v>
      </c>
      <c r="N1200" s="91" t="s">
        <v>112</v>
      </c>
      <c r="O1200" s="91" t="s">
        <v>112</v>
      </c>
      <c r="P1200" s="91" t="s">
        <v>112</v>
      </c>
      <c r="Q1200" s="91" t="s">
        <v>112</v>
      </c>
      <c r="R1200" s="91" t="s">
        <v>112</v>
      </c>
      <c r="S1200" s="91" t="s">
        <v>112</v>
      </c>
      <c r="T1200" s="91" t="s">
        <v>112</v>
      </c>
      <c r="U1200" s="91" t="s">
        <v>112</v>
      </c>
      <c r="V1200" s="91" t="s">
        <v>112</v>
      </c>
      <c r="W1200" s="91" t="s">
        <v>112</v>
      </c>
      <c r="X1200" s="91" t="s">
        <v>112</v>
      </c>
      <c r="Y1200" s="91" t="s">
        <v>112</v>
      </c>
      <c r="Z1200" s="91" t="s">
        <v>112</v>
      </c>
      <c r="AA1200" s="91" t="s">
        <v>112</v>
      </c>
      <c r="AB1200" s="91" t="s">
        <v>112</v>
      </c>
      <c r="AC1200" s="91">
        <v>5160</v>
      </c>
      <c r="AD1200" s="91">
        <v>5160</v>
      </c>
      <c r="AE1200" s="91">
        <v>5160</v>
      </c>
      <c r="AF1200" s="91">
        <v>5160</v>
      </c>
      <c r="AG1200" s="91">
        <v>5160</v>
      </c>
      <c r="AH1200" s="91">
        <v>5160</v>
      </c>
      <c r="AI1200" s="91">
        <v>5127.5837319412858</v>
      </c>
      <c r="AJ1200" s="91">
        <v>5116.3869138716282</v>
      </c>
      <c r="AK1200" s="91">
        <v>5101.3897142541846</v>
      </c>
      <c r="AL1200" s="91">
        <v>5081.3562136639248</v>
      </c>
      <c r="AM1200" s="91">
        <v>5054.691635620813</v>
      </c>
      <c r="AN1200" s="91">
        <v>5019.3724077843963</v>
      </c>
      <c r="AO1200" s="91">
        <v>4972.8908863005581</v>
      </c>
      <c r="AP1200" s="91">
        <v>4912.2434849206729</v>
      </c>
      <c r="AQ1200" s="91">
        <v>4834.0101065852632</v>
      </c>
      <c r="AR1200" s="91">
        <v>4734.5953190337241</v>
      </c>
      <c r="AS1200" s="91">
        <v>4610.7178761685918</v>
      </c>
      <c r="AT1200" s="91">
        <v>4460.2219870915505</v>
      </c>
      <c r="AU1200" s="91">
        <v>4283.2028621371974</v>
      </c>
      <c r="AV1200" s="91">
        <v>4083.2522011947867</v>
      </c>
      <c r="AW1200" s="91">
        <v>3868.3496855415478</v>
      </c>
      <c r="AX1200" s="92">
        <v>3650.7000000000003</v>
      </c>
    </row>
    <row r="1201" spans="1:50" x14ac:dyDescent="0.25">
      <c r="A1201" s="356"/>
      <c r="B1201" s="368"/>
      <c r="C1201" s="360"/>
      <c r="D1201" s="59" t="s">
        <v>20</v>
      </c>
      <c r="E1201" s="166" t="str">
        <f>A1199&amp;"/"&amp;B1199&amp;"/"&amp;C1199&amp;"/"&amp;D1201</f>
        <v>Fuel cells/Natural gas fuel cell power plant/Electricity only/XS</v>
      </c>
      <c r="F1201" s="79" t="str">
        <f>A1199</f>
        <v>Fuel cells</v>
      </c>
      <c r="G1201" s="79" t="str">
        <f>B1199</f>
        <v>Natural gas fuel cell power plant</v>
      </c>
      <c r="H1201" s="79" t="str">
        <f>C1199</f>
        <v>Electricity only</v>
      </c>
      <c r="I1201" s="167" t="str">
        <f t="shared" si="96"/>
        <v>XS</v>
      </c>
      <c r="J1201" s="97" t="s">
        <v>112</v>
      </c>
      <c r="K1201" s="97" t="s">
        <v>112</v>
      </c>
      <c r="L1201" s="97" t="s">
        <v>112</v>
      </c>
      <c r="M1201" s="97" t="s">
        <v>112</v>
      </c>
      <c r="N1201" s="97" t="s">
        <v>112</v>
      </c>
      <c r="O1201" s="97" t="s">
        <v>112</v>
      </c>
      <c r="P1201" s="97" t="s">
        <v>112</v>
      </c>
      <c r="Q1201" s="97" t="s">
        <v>112</v>
      </c>
      <c r="R1201" s="97" t="s">
        <v>112</v>
      </c>
      <c r="S1201" s="97" t="s">
        <v>112</v>
      </c>
      <c r="T1201" s="97" t="s">
        <v>112</v>
      </c>
      <c r="U1201" s="97" t="s">
        <v>112</v>
      </c>
      <c r="V1201" s="97" t="s">
        <v>112</v>
      </c>
      <c r="W1201" s="97" t="s">
        <v>112</v>
      </c>
      <c r="X1201" s="97" t="s">
        <v>112</v>
      </c>
      <c r="Y1201" s="97" t="s">
        <v>112</v>
      </c>
      <c r="Z1201" s="97">
        <v>7740</v>
      </c>
      <c r="AA1201" s="97">
        <v>7740</v>
      </c>
      <c r="AB1201" s="97">
        <v>7740</v>
      </c>
      <c r="AC1201" s="97">
        <v>7740</v>
      </c>
      <c r="AD1201" s="97">
        <v>7740</v>
      </c>
      <c r="AE1201" s="97">
        <v>7740</v>
      </c>
      <c r="AF1201" s="97">
        <v>7740</v>
      </c>
      <c r="AG1201" s="97">
        <v>7740</v>
      </c>
      <c r="AH1201" s="97">
        <v>7740</v>
      </c>
      <c r="AI1201" s="97">
        <v>7702.2602559513889</v>
      </c>
      <c r="AJ1201" s="97">
        <v>7689.2087377232601</v>
      </c>
      <c r="AK1201" s="97">
        <v>7671.7143829468732</v>
      </c>
      <c r="AL1201" s="97">
        <v>7648.3218496511636</v>
      </c>
      <c r="AM1201" s="97">
        <v>7617.1446477858644</v>
      </c>
      <c r="AN1201" s="97">
        <v>7575.7736876063773</v>
      </c>
      <c r="AO1201" s="97">
        <v>7521.1961757250683</v>
      </c>
      <c r="AP1201" s="97">
        <v>7449.7547998594528</v>
      </c>
      <c r="AQ1201" s="97">
        <v>7357.1988893202342</v>
      </c>
      <c r="AR1201" s="97">
        <v>7238.9067112967859</v>
      </c>
      <c r="AS1201" s="97">
        <v>7090.382622204058</v>
      </c>
      <c r="AT1201" s="97">
        <v>6908.1317951039509</v>
      </c>
      <c r="AU1201" s="97">
        <v>6690.947259606869</v>
      </c>
      <c r="AV1201" s="97">
        <v>6441.4593036402675</v>
      </c>
      <c r="AW1201" s="97">
        <v>6167.4855514879655</v>
      </c>
      <c r="AX1201" s="98">
        <v>5882.4</v>
      </c>
    </row>
    <row r="1202" spans="1:50" x14ac:dyDescent="0.25">
      <c r="A1202" s="356"/>
      <c r="B1202" s="359" t="s">
        <v>33</v>
      </c>
      <c r="C1202" s="350" t="s">
        <v>6</v>
      </c>
      <c r="D1202" s="2" t="s">
        <v>8</v>
      </c>
      <c r="E1202" s="160" t="str">
        <f>A1199&amp;"/"&amp;B1202&amp;"/"&amp;C1202&amp;"/"&amp;D1202</f>
        <v>Fuel cells/Hydrogen fuel cell power plant/Electricity only/M</v>
      </c>
      <c r="F1202" s="76" t="str">
        <f>A1199</f>
        <v>Fuel cells</v>
      </c>
      <c r="G1202" s="76" t="str">
        <f>B1202</f>
        <v>Hydrogen fuel cell power plant</v>
      </c>
      <c r="H1202" s="76" t="str">
        <f>C1202</f>
        <v>Electricity only</v>
      </c>
      <c r="I1202" s="161" t="str">
        <f t="shared" si="96"/>
        <v>M</v>
      </c>
      <c r="J1202" s="91" t="s">
        <v>112</v>
      </c>
      <c r="K1202" s="91" t="s">
        <v>112</v>
      </c>
      <c r="L1202" s="91" t="s">
        <v>112</v>
      </c>
      <c r="M1202" s="91" t="s">
        <v>112</v>
      </c>
      <c r="N1202" s="91" t="s">
        <v>112</v>
      </c>
      <c r="O1202" s="91" t="s">
        <v>112</v>
      </c>
      <c r="P1202" s="91" t="s">
        <v>112</v>
      </c>
      <c r="Q1202" s="91" t="s">
        <v>112</v>
      </c>
      <c r="R1202" s="91" t="s">
        <v>112</v>
      </c>
      <c r="S1202" s="91" t="s">
        <v>112</v>
      </c>
      <c r="T1202" s="91" t="s">
        <v>112</v>
      </c>
      <c r="U1202" s="91" t="s">
        <v>112</v>
      </c>
      <c r="V1202" s="91" t="s">
        <v>112</v>
      </c>
      <c r="W1202" s="91" t="s">
        <v>112</v>
      </c>
      <c r="X1202" s="91" t="s">
        <v>112</v>
      </c>
      <c r="Y1202" s="91" t="s">
        <v>112</v>
      </c>
      <c r="Z1202" s="91" t="s">
        <v>112</v>
      </c>
      <c r="AA1202" s="91" t="s">
        <v>112</v>
      </c>
      <c r="AB1202" s="91" t="s">
        <v>112</v>
      </c>
      <c r="AC1202" s="91" t="s">
        <v>112</v>
      </c>
      <c r="AD1202" s="91" t="s">
        <v>112</v>
      </c>
      <c r="AE1202" s="91" t="s">
        <v>112</v>
      </c>
      <c r="AF1202" s="91" t="s">
        <v>112</v>
      </c>
      <c r="AG1202" s="91">
        <v>3570</v>
      </c>
      <c r="AH1202" s="91">
        <v>3570</v>
      </c>
      <c r="AI1202" s="91">
        <v>3570</v>
      </c>
      <c r="AJ1202" s="91">
        <v>3570</v>
      </c>
      <c r="AK1202" s="91">
        <v>3570</v>
      </c>
      <c r="AL1202" s="91">
        <v>3570</v>
      </c>
      <c r="AM1202" s="91">
        <v>3570</v>
      </c>
      <c r="AN1202" s="91">
        <v>3459.2548387558772</v>
      </c>
      <c r="AO1202" s="91">
        <v>3422.8610830783959</v>
      </c>
      <c r="AP1202" s="91">
        <v>3375.5389629762512</v>
      </c>
      <c r="AQ1202" s="91">
        <v>3314.7752649098179</v>
      </c>
      <c r="AR1202" s="91">
        <v>3238.0329616828899</v>
      </c>
      <c r="AS1202" s="91">
        <v>3143.1846260828515</v>
      </c>
      <c r="AT1202" s="91">
        <v>3029.1931589571841</v>
      </c>
      <c r="AU1202" s="91">
        <v>2897.0008594887859</v>
      </c>
      <c r="AV1202" s="91">
        <v>2750.4191672713951</v>
      </c>
      <c r="AW1202" s="91">
        <v>2596.5882314169185</v>
      </c>
      <c r="AX1202" s="92">
        <v>2445.4499999999998</v>
      </c>
    </row>
    <row r="1203" spans="1:50" x14ac:dyDescent="0.25">
      <c r="A1203" s="356"/>
      <c r="B1203" s="359"/>
      <c r="C1203" s="350"/>
      <c r="D1203" s="2" t="s">
        <v>10</v>
      </c>
      <c r="E1203" s="160" t="str">
        <f>A1199&amp;"/"&amp;B1202&amp;"/"&amp;C1202&amp;"/"&amp;D1203</f>
        <v>Fuel cells/Hydrogen fuel cell power plant/Electricity only/S</v>
      </c>
      <c r="F1203" s="76" t="str">
        <f>A1199</f>
        <v>Fuel cells</v>
      </c>
      <c r="G1203" s="76" t="str">
        <f>B1202</f>
        <v>Hydrogen fuel cell power plant</v>
      </c>
      <c r="H1203" s="76" t="str">
        <f>C1202</f>
        <v>Electricity only</v>
      </c>
      <c r="I1203" s="161" t="str">
        <f t="shared" si="96"/>
        <v>S</v>
      </c>
      <c r="J1203" s="91" t="s">
        <v>112</v>
      </c>
      <c r="K1203" s="91" t="s">
        <v>112</v>
      </c>
      <c r="L1203" s="91" t="s">
        <v>112</v>
      </c>
      <c r="M1203" s="91" t="s">
        <v>112</v>
      </c>
      <c r="N1203" s="91" t="s">
        <v>112</v>
      </c>
      <c r="O1203" s="91" t="s">
        <v>112</v>
      </c>
      <c r="P1203" s="91" t="s">
        <v>112</v>
      </c>
      <c r="Q1203" s="91" t="s">
        <v>112</v>
      </c>
      <c r="R1203" s="91" t="s">
        <v>112</v>
      </c>
      <c r="S1203" s="91" t="s">
        <v>112</v>
      </c>
      <c r="T1203" s="91" t="s">
        <v>112</v>
      </c>
      <c r="U1203" s="91" t="s">
        <v>112</v>
      </c>
      <c r="V1203" s="91" t="s">
        <v>112</v>
      </c>
      <c r="W1203" s="91" t="s">
        <v>112</v>
      </c>
      <c r="X1203" s="91" t="s">
        <v>112</v>
      </c>
      <c r="Y1203" s="91" t="s">
        <v>112</v>
      </c>
      <c r="Z1203" s="91" t="s">
        <v>112</v>
      </c>
      <c r="AA1203" s="91" t="s">
        <v>112</v>
      </c>
      <c r="AB1203" s="91" t="s">
        <v>112</v>
      </c>
      <c r="AC1203" s="91" t="s">
        <v>112</v>
      </c>
      <c r="AD1203" s="91" t="s">
        <v>112</v>
      </c>
      <c r="AE1203" s="91">
        <v>3927.0000000000005</v>
      </c>
      <c r="AF1203" s="91">
        <v>3927.0000000000005</v>
      </c>
      <c r="AG1203" s="91">
        <v>3927.0000000000005</v>
      </c>
      <c r="AH1203" s="91">
        <v>3927.0000000000005</v>
      </c>
      <c r="AI1203" s="91">
        <v>3927.0000000000005</v>
      </c>
      <c r="AJ1203" s="91">
        <v>3927.0000000000005</v>
      </c>
      <c r="AK1203" s="91">
        <v>3927.0000000000005</v>
      </c>
      <c r="AL1203" s="91">
        <v>3927.0000000000005</v>
      </c>
      <c r="AM1203" s="91">
        <v>3927.0000000000005</v>
      </c>
      <c r="AN1203" s="91">
        <v>3843.6774252235464</v>
      </c>
      <c r="AO1203" s="91">
        <v>3815.9867418698122</v>
      </c>
      <c r="AP1203" s="91">
        <v>3779.7399352775292</v>
      </c>
      <c r="AQ1203" s="91">
        <v>3732.7803667132512</v>
      </c>
      <c r="AR1203" s="91">
        <v>3672.7631337548428</v>
      </c>
      <c r="AS1203" s="91">
        <v>3597.4073071570206</v>
      </c>
      <c r="AT1203" s="91">
        <v>3504.9397363531289</v>
      </c>
      <c r="AU1203" s="91">
        <v>3394.7480476067412</v>
      </c>
      <c r="AV1203" s="91">
        <v>3268.1667552190356</v>
      </c>
      <c r="AW1203" s="91">
        <v>3129.1622429836229</v>
      </c>
      <c r="AX1203" s="92">
        <v>2984.5200000000004</v>
      </c>
    </row>
    <row r="1204" spans="1:50" x14ac:dyDescent="0.25">
      <c r="A1204" s="357"/>
      <c r="B1204" s="362"/>
      <c r="C1204" s="354"/>
      <c r="D1204" s="4" t="s">
        <v>20</v>
      </c>
      <c r="E1204" s="160" t="str">
        <f>A1199&amp;"/"&amp;B1202&amp;"/"&amp;C1202&amp;"/"&amp;D1204</f>
        <v>Fuel cells/Hydrogen fuel cell power plant/Electricity only/XS</v>
      </c>
      <c r="F1204" s="76" t="str">
        <f>A1199</f>
        <v>Fuel cells</v>
      </c>
      <c r="G1204" s="76" t="str">
        <f>B1202</f>
        <v>Hydrogen fuel cell power plant</v>
      </c>
      <c r="H1204" s="76" t="str">
        <f>C1202</f>
        <v>Electricity only</v>
      </c>
      <c r="I1204" s="161" t="str">
        <f t="shared" si="96"/>
        <v>XS</v>
      </c>
      <c r="J1204" s="91" t="s">
        <v>112</v>
      </c>
      <c r="K1204" s="91" t="s">
        <v>112</v>
      </c>
      <c r="L1204" s="91" t="s">
        <v>112</v>
      </c>
      <c r="M1204" s="91" t="s">
        <v>112</v>
      </c>
      <c r="N1204" s="91" t="s">
        <v>112</v>
      </c>
      <c r="O1204" s="91" t="s">
        <v>112</v>
      </c>
      <c r="P1204" s="91" t="s">
        <v>112</v>
      </c>
      <c r="Q1204" s="91" t="s">
        <v>112</v>
      </c>
      <c r="R1204" s="91" t="s">
        <v>112</v>
      </c>
      <c r="S1204" s="91" t="s">
        <v>112</v>
      </c>
      <c r="T1204" s="91" t="s">
        <v>112</v>
      </c>
      <c r="U1204" s="91" t="s">
        <v>112</v>
      </c>
      <c r="V1204" s="91" t="s">
        <v>112</v>
      </c>
      <c r="W1204" s="91" t="s">
        <v>112</v>
      </c>
      <c r="X1204" s="91" t="s">
        <v>112</v>
      </c>
      <c r="Y1204" s="91" t="s">
        <v>112</v>
      </c>
      <c r="Z1204" s="91" t="s">
        <v>112</v>
      </c>
      <c r="AA1204" s="91" t="s">
        <v>112</v>
      </c>
      <c r="AB1204" s="91">
        <v>5301.4500000000007</v>
      </c>
      <c r="AC1204" s="91">
        <v>5301.4500000000007</v>
      </c>
      <c r="AD1204" s="91">
        <v>5301.4500000000007</v>
      </c>
      <c r="AE1204" s="91">
        <v>5301.4500000000007</v>
      </c>
      <c r="AF1204" s="91">
        <v>5301.4500000000007</v>
      </c>
      <c r="AG1204" s="91">
        <v>5301.4500000000007</v>
      </c>
      <c r="AH1204" s="91">
        <v>5301.4500000000007</v>
      </c>
      <c r="AI1204" s="91">
        <v>5301.4500000000007</v>
      </c>
      <c r="AJ1204" s="91">
        <v>5301.4500000000007</v>
      </c>
      <c r="AK1204" s="91">
        <v>5301.4500000000007</v>
      </c>
      <c r="AL1204" s="91">
        <v>5301.4500000000007</v>
      </c>
      <c r="AM1204" s="91">
        <v>5301.4500000000007</v>
      </c>
      <c r="AN1204" s="91">
        <v>5203.0252085453139</v>
      </c>
      <c r="AO1204" s="91">
        <v>5170.315588833716</v>
      </c>
      <c r="AP1204" s="91">
        <v>5127.4990485465814</v>
      </c>
      <c r="AQ1204" s="91">
        <v>5072.028058180028</v>
      </c>
      <c r="AR1204" s="91">
        <v>5001.1327017479089</v>
      </c>
      <c r="AS1204" s="91">
        <v>4912.1186315792311</v>
      </c>
      <c r="AT1204" s="91">
        <v>4802.8913135671337</v>
      </c>
      <c r="AU1204" s="91">
        <v>4672.7273812354633</v>
      </c>
      <c r="AV1204" s="91">
        <v>4523.2032296024863</v>
      </c>
      <c r="AW1204" s="91">
        <v>4359.004149524405</v>
      </c>
      <c r="AX1204" s="92">
        <v>4188.1455000000005</v>
      </c>
    </row>
    <row r="1205" spans="1:50" x14ac:dyDescent="0.25">
      <c r="A1205" s="355" t="s">
        <v>34</v>
      </c>
      <c r="B1205" s="358" t="s">
        <v>35</v>
      </c>
      <c r="C1205" s="353" t="s">
        <v>6</v>
      </c>
      <c r="D1205" s="3" t="s">
        <v>7</v>
      </c>
      <c r="E1205" s="162" t="str">
        <f>A1205&amp;"/"&amp;B1205&amp;"/"&amp;C1205&amp;"/"&amp;D1205</f>
        <v>Wind power plants/Onshore/Electricity only/L</v>
      </c>
      <c r="F1205" s="77" t="str">
        <f>A1205</f>
        <v>Wind power plants</v>
      </c>
      <c r="G1205" s="77" t="str">
        <f>B1205</f>
        <v>Onshore</v>
      </c>
      <c r="H1205" s="77" t="str">
        <f>C1205</f>
        <v>Electricity only</v>
      </c>
      <c r="I1205" s="163" t="str">
        <f t="shared" si="96"/>
        <v>L</v>
      </c>
      <c r="J1205" s="93">
        <v>1215</v>
      </c>
      <c r="K1205" s="93">
        <v>1155.96</v>
      </c>
      <c r="L1205" s="93">
        <v>1117.2150000000001</v>
      </c>
      <c r="M1205" s="93">
        <v>1092.3075000000001</v>
      </c>
      <c r="N1205" s="93">
        <v>1078.0740000000001</v>
      </c>
      <c r="O1205" s="93">
        <v>1067.4000000000001</v>
      </c>
      <c r="P1205" s="93">
        <v>1050.2092633257535</v>
      </c>
      <c r="Q1205" s="93">
        <v>1038.9278423832791</v>
      </c>
      <c r="R1205" s="93">
        <v>1031.6755003488313</v>
      </c>
      <c r="S1205" s="93">
        <v>1026.2362438229954</v>
      </c>
      <c r="T1205" s="93">
        <v>1024.4231583143835</v>
      </c>
      <c r="U1205" s="93">
        <v>1015.4204364852566</v>
      </c>
      <c r="V1205" s="93">
        <v>1006.2500157612918</v>
      </c>
      <c r="W1205" s="93">
        <v>996.92103304699538</v>
      </c>
      <c r="X1205" s="93">
        <v>987.44359768508434</v>
      </c>
      <c r="Y1205" s="93">
        <v>977.82878775933602</v>
      </c>
      <c r="Z1205" s="93">
        <v>968.0886375280935</v>
      </c>
      <c r="AA1205" s="93">
        <v>958.23611539167473</v>
      </c>
      <c r="AB1205" s="93">
        <v>948.28509189250576</v>
      </c>
      <c r="AC1205" s="93">
        <v>938.25029736321721</v>
      </c>
      <c r="AD1205" s="93">
        <v>928.14726897480989</v>
      </c>
      <c r="AE1205" s="93">
        <v>917.99228709309682</v>
      </c>
      <c r="AF1205" s="93">
        <v>907.80230102511973</v>
      </c>
      <c r="AG1205" s="93">
        <v>897.59484442534438</v>
      </c>
      <c r="AH1205" s="93">
        <v>887.38794083073685</v>
      </c>
      <c r="AI1205" s="93">
        <v>877.19999999999993</v>
      </c>
      <c r="AJ1205" s="93">
        <v>867.04970594038775</v>
      </c>
      <c r="AK1205" s="93">
        <v>856.95589771008542</v>
      </c>
      <c r="AL1205" s="93">
        <v>846.9374442791709</v>
      </c>
      <c r="AM1205" s="93">
        <v>837.01311491150057</v>
      </c>
      <c r="AN1205" s="93">
        <v>827.20144668724868</v>
      </c>
      <c r="AO1205" s="93">
        <v>817.52061091533017</v>
      </c>
      <c r="AP1205" s="93">
        <v>807.98828028106186</v>
      </c>
      <c r="AQ1205" s="93">
        <v>798.62149863243428</v>
      </c>
      <c r="AR1205" s="93">
        <v>789.43655532458388</v>
      </c>
      <c r="AS1205" s="93">
        <v>780.4488660139524</v>
      </c>
      <c r="AT1205" s="93">
        <v>771.6728617201253</v>
      </c>
      <c r="AU1205" s="93">
        <v>763.12188785488354</v>
      </c>
      <c r="AV1205" s="93">
        <v>754.80811475660857</v>
      </c>
      <c r="AW1205" s="93">
        <v>746.74246106742441</v>
      </c>
      <c r="AX1205" s="94">
        <v>738.93453105541698</v>
      </c>
    </row>
    <row r="1206" spans="1:50" x14ac:dyDescent="0.25">
      <c r="A1206" s="356"/>
      <c r="B1206" s="359"/>
      <c r="C1206" s="350"/>
      <c r="D1206" s="2" t="s">
        <v>8</v>
      </c>
      <c r="E1206" s="160" t="str">
        <f>A1205&amp;"/"&amp;B1205&amp;"/"&amp;C1205&amp;"/"&amp;D1206</f>
        <v>Wind power plants/Onshore/Electricity only/M</v>
      </c>
      <c r="F1206" s="76" t="str">
        <f>A1205</f>
        <v>Wind power plants</v>
      </c>
      <c r="G1206" s="76" t="str">
        <f>B1205</f>
        <v>Onshore</v>
      </c>
      <c r="H1206" s="76" t="str">
        <f>C1205</f>
        <v>Electricity only</v>
      </c>
      <c r="I1206" s="161" t="str">
        <f t="shared" si="96"/>
        <v>M</v>
      </c>
      <c r="J1206" s="91">
        <v>1320</v>
      </c>
      <c r="K1206" s="91">
        <v>1287.548</v>
      </c>
      <c r="L1206" s="91">
        <v>1264.8313325000001</v>
      </c>
      <c r="M1206" s="91">
        <v>1248.2748229125</v>
      </c>
      <c r="N1206" s="91">
        <v>1231.2607</v>
      </c>
      <c r="O1206" s="91">
        <v>1207</v>
      </c>
      <c r="P1206" s="91">
        <v>1184.7398360932796</v>
      </c>
      <c r="Q1206" s="91">
        <v>1170.4562309198006</v>
      </c>
      <c r="R1206" s="91">
        <v>1155.5687226625148</v>
      </c>
      <c r="S1206" s="91">
        <v>1144.1274481807077</v>
      </c>
      <c r="T1206" s="91">
        <v>1132.799453644265</v>
      </c>
      <c r="U1206" s="91">
        <v>1124.0547929338545</v>
      </c>
      <c r="V1206" s="91">
        <v>1115.0771376183382</v>
      </c>
      <c r="W1206" s="91">
        <v>1105.8762301940592</v>
      </c>
      <c r="X1206" s="91">
        <v>1096.4634984699574</v>
      </c>
      <c r="Y1206" s="91">
        <v>1086.8520884204158</v>
      </c>
      <c r="Z1206" s="91">
        <v>1077.0568786350686</v>
      </c>
      <c r="AA1206" s="91">
        <v>1067.094474095064</v>
      </c>
      <c r="AB1206" s="91">
        <v>1056.9831771944614</v>
      </c>
      <c r="AC1206" s="91">
        <v>1046.7429342026294</v>
      </c>
      <c r="AD1206" s="91">
        <v>1036.3952557323669</v>
      </c>
      <c r="AE1206" s="91">
        <v>1025.963110239172</v>
      </c>
      <c r="AF1206" s="91">
        <v>1015.4707901257015</v>
      </c>
      <c r="AG1206" s="91">
        <v>1004.9437506534316</v>
      </c>
      <c r="AH1206" s="91">
        <v>994.4084225572891</v>
      </c>
      <c r="AI1206" s="91">
        <v>983.89199999999994</v>
      </c>
      <c r="AJ1206" s="91">
        <v>973.42220626774053</v>
      </c>
      <c r="AK1206" s="91">
        <v>963.02704036982482</v>
      </c>
      <c r="AL1206" s="91">
        <v>952.73450843189221</v>
      </c>
      <c r="AM1206" s="91">
        <v>942.5723444317814</v>
      </c>
      <c r="AN1206" s="91">
        <v>932.56772538718383</v>
      </c>
      <c r="AO1206" s="91">
        <v>922.74698653313021</v>
      </c>
      <c r="AP1206" s="91">
        <v>913.1353422979065</v>
      </c>
      <c r="AQ1206" s="91">
        <v>903.75661897625935</v>
      </c>
      <c r="AR1206" s="91">
        <v>894.63300489425274</v>
      </c>
      <c r="AS1206" s="91">
        <v>885.78482355519975</v>
      </c>
      <c r="AT1206" s="91">
        <v>877.230334754762</v>
      </c>
      <c r="AU1206" s="91">
        <v>868.98556796965249</v>
      </c>
      <c r="AV1206" s="91">
        <v>861.06419148215753</v>
      </c>
      <c r="AW1206" s="91">
        <v>853.47741973426628</v>
      </c>
      <c r="AX1206" s="92">
        <v>846.2339603499039</v>
      </c>
    </row>
    <row r="1207" spans="1:50" x14ac:dyDescent="0.25">
      <c r="A1207" s="356"/>
      <c r="B1207" s="359"/>
      <c r="C1207" s="350"/>
      <c r="D1207" s="2" t="s">
        <v>10</v>
      </c>
      <c r="E1207" s="160" t="str">
        <f>A1205&amp;"/"&amp;B1205&amp;"/"&amp;C1205&amp;"/"&amp;D1207</f>
        <v>Wind power plants/Onshore/Electricity only/S</v>
      </c>
      <c r="F1207" s="76" t="str">
        <f>A1205</f>
        <v>Wind power plants</v>
      </c>
      <c r="G1207" s="76" t="str">
        <f>B1205</f>
        <v>Onshore</v>
      </c>
      <c r="H1207" s="76" t="str">
        <f>C1205</f>
        <v>Electricity only</v>
      </c>
      <c r="I1207" s="161" t="str">
        <f t="shared" si="96"/>
        <v>S</v>
      </c>
      <c r="J1207" s="91">
        <v>1425</v>
      </c>
      <c r="K1207" s="91">
        <v>1402.7342054800001</v>
      </c>
      <c r="L1207" s="91">
        <v>1388.845748</v>
      </c>
      <c r="M1207" s="91">
        <v>1375.0948000000001</v>
      </c>
      <c r="N1207" s="91">
        <v>1361.48</v>
      </c>
      <c r="O1207" s="91">
        <v>1348</v>
      </c>
      <c r="P1207" s="91">
        <v>1326.2446247412495</v>
      </c>
      <c r="Q1207" s="91">
        <v>1305.5770182454364</v>
      </c>
      <c r="R1207" s="91">
        <v>1286.2872521826775</v>
      </c>
      <c r="S1207" s="91">
        <v>1269.9261291194246</v>
      </c>
      <c r="T1207" s="91">
        <v>1257.3526030885391</v>
      </c>
      <c r="U1207" s="91">
        <v>1248.0807132225887</v>
      </c>
      <c r="V1207" s="91">
        <v>1238.4778109664132</v>
      </c>
      <c r="W1207" s="91">
        <v>1228.553423110508</v>
      </c>
      <c r="X1207" s="91">
        <v>1218.3198973968565</v>
      </c>
      <c r="Y1207" s="91">
        <v>1207.7925359928877</v>
      </c>
      <c r="Z1207" s="91">
        <v>1196.9896954913863</v>
      </c>
      <c r="AA1207" s="91">
        <v>1185.9328465368574</v>
      </c>
      <c r="AB1207" s="91">
        <v>1174.6465863364119</v>
      </c>
      <c r="AC1207" s="91">
        <v>1163.1585977646</v>
      </c>
      <c r="AD1207" s="91">
        <v>1151.499549551866</v>
      </c>
      <c r="AE1207" s="91">
        <v>1139.7029331782833</v>
      </c>
      <c r="AF1207" s="91">
        <v>1127.8048335839298</v>
      </c>
      <c r="AG1207" s="91">
        <v>1115.8436326397343</v>
      </c>
      <c r="AH1207" s="91">
        <v>1103.8596464585394</v>
      </c>
      <c r="AI1207" s="91">
        <v>1091.8947000000001</v>
      </c>
      <c r="AJ1207" s="91">
        <v>1079.9916449428549</v>
      </c>
      <c r="AK1207" s="91">
        <v>1068.1938293483092</v>
      </c>
      <c r="AL1207" s="91">
        <v>1056.544530083788</v>
      </c>
      <c r="AM1207" s="91">
        <v>1045.0863611707714</v>
      </c>
      <c r="AN1207" s="91">
        <v>1033.8606730156705</v>
      </c>
      <c r="AO1207" s="91">
        <v>1022.9069587404589</v>
      </c>
      <c r="AP1207" s="91">
        <v>1012.262284433771</v>
      </c>
      <c r="AQ1207" s="91">
        <v>1001.9607600108473</v>
      </c>
      <c r="AR1207" s="91">
        <v>992.03306646296915</v>
      </c>
      <c r="AS1207" s="91">
        <v>982.50605360503539</v>
      </c>
      <c r="AT1207" s="91">
        <v>973.40242005755476</v>
      </c>
      <c r="AU1207" s="91">
        <v>964.74048424090961</v>
      </c>
      <c r="AV1207" s="91">
        <v>956.53405177297168</v>
      </c>
      <c r="AW1207" s="91">
        <v>948.79238103557748</v>
      </c>
      <c r="AX1207" s="92">
        <v>941.52024501764527</v>
      </c>
    </row>
    <row r="1208" spans="1:50" x14ac:dyDescent="0.25">
      <c r="A1208" s="356"/>
      <c r="B1208" s="368"/>
      <c r="C1208" s="360"/>
      <c r="D1208" s="59" t="s">
        <v>20</v>
      </c>
      <c r="E1208" s="166" t="str">
        <f>A1205&amp;"/"&amp;B1205&amp;"/"&amp;C1205&amp;"/"&amp;D1208</f>
        <v>Wind power plants/Onshore/Electricity only/XS</v>
      </c>
      <c r="F1208" s="79" t="str">
        <f>A1205</f>
        <v>Wind power plants</v>
      </c>
      <c r="G1208" s="79" t="str">
        <f>B1205</f>
        <v>Onshore</v>
      </c>
      <c r="H1208" s="79" t="str">
        <f>C1205</f>
        <v>Electricity only</v>
      </c>
      <c r="I1208" s="167" t="str">
        <f t="shared" si="96"/>
        <v>XS</v>
      </c>
      <c r="J1208" s="97">
        <v>1711</v>
      </c>
      <c r="K1208" s="97">
        <v>1695.1778975416323</v>
      </c>
      <c r="L1208" s="97">
        <v>1681.7241047040002</v>
      </c>
      <c r="M1208" s="97">
        <v>1668.3770880000002</v>
      </c>
      <c r="N1208" s="97">
        <v>1655.136</v>
      </c>
      <c r="O1208" s="97">
        <v>1642</v>
      </c>
      <c r="P1208" s="97">
        <v>1629.2920414713824</v>
      </c>
      <c r="Q1208" s="97">
        <v>1613.1604371003784</v>
      </c>
      <c r="R1208" s="97">
        <v>1597.1885515845331</v>
      </c>
      <c r="S1208" s="97">
        <v>1581.3748035490428</v>
      </c>
      <c r="T1208" s="97">
        <v>1565.7176272762799</v>
      </c>
      <c r="U1208" s="97">
        <v>1557.7295375456149</v>
      </c>
      <c r="V1208" s="97">
        <v>1549.4562679095252</v>
      </c>
      <c r="W1208" s="97">
        <v>1540.9060260644378</v>
      </c>
      <c r="X1208" s="97">
        <v>1532.0894500649842</v>
      </c>
      <c r="Y1208" s="97">
        <v>1523.0197233169492</v>
      </c>
      <c r="Z1208" s="97">
        <v>1513.7126607310406</v>
      </c>
      <c r="AA1208" s="97">
        <v>1504.1867600932924</v>
      </c>
      <c r="AB1208" s="97">
        <v>1494.4632128436779</v>
      </c>
      <c r="AC1208" s="97">
        <v>1484.5658688433477</v>
      </c>
      <c r="AD1208" s="97">
        <v>1474.5211503831461</v>
      </c>
      <c r="AE1208" s="97">
        <v>1464.35791166129</v>
      </c>
      <c r="AF1208" s="97">
        <v>1454.1072412415397</v>
      </c>
      <c r="AG1208" s="97">
        <v>1443.802206581925</v>
      </c>
      <c r="AH1208" s="97">
        <v>1433.4775415642803</v>
      </c>
      <c r="AI1208" s="97">
        <v>1423.1692800000001</v>
      </c>
      <c r="AJ1208" s="97">
        <v>1412.9143402584596</v>
      </c>
      <c r="AK1208" s="97">
        <v>1402.7500683616204</v>
      </c>
      <c r="AL1208" s="97">
        <v>1392.7137489952636</v>
      </c>
      <c r="AM1208" s="97">
        <v>1382.8420957778953</v>
      </c>
      <c r="AN1208" s="97">
        <v>1373.1707336750392</v>
      </c>
      <c r="AO1208" s="97">
        <v>1363.7336875302415</v>
      </c>
      <c r="AP1208" s="97">
        <v>1354.5628912044797</v>
      </c>
      <c r="AQ1208" s="97">
        <v>1345.6877317016531</v>
      </c>
      <c r="AR1208" s="97">
        <v>1337.1346418757887</v>
      </c>
      <c r="AS1208" s="97">
        <v>1328.9267538751074</v>
      </c>
      <c r="AT1208" s="97">
        <v>1321.0836234342009</v>
      </c>
      <c r="AU1208" s="97">
        <v>1313.6210325767836</v>
      </c>
      <c r="AV1208" s="97">
        <v>1306.5508753736372</v>
      </c>
      <c r="AW1208" s="97">
        <v>1299.8811282768052</v>
      </c>
      <c r="AX1208" s="98">
        <v>1293.6159033998174</v>
      </c>
    </row>
    <row r="1209" spans="1:50" x14ac:dyDescent="0.25">
      <c r="A1209" s="356"/>
      <c r="B1209" s="359" t="s">
        <v>36</v>
      </c>
      <c r="C1209" s="361" t="s">
        <v>6</v>
      </c>
      <c r="D1209" s="2" t="s">
        <v>7</v>
      </c>
      <c r="E1209" s="160" t="str">
        <f>A1205&amp;"/"&amp;B1209&amp;"/"&amp;C1209&amp;"/"&amp;D1209</f>
        <v>Wind power plants/Offshore/Electricity only/L</v>
      </c>
      <c r="F1209" s="76" t="str">
        <f>A1205</f>
        <v>Wind power plants</v>
      </c>
      <c r="G1209" s="76" t="str">
        <f>B1209</f>
        <v>Offshore</v>
      </c>
      <c r="H1209" s="76" t="str">
        <f>C1209</f>
        <v>Electricity only</v>
      </c>
      <c r="I1209" s="161" t="str">
        <f t="shared" si="96"/>
        <v>L</v>
      </c>
      <c r="J1209" s="91">
        <v>3028</v>
      </c>
      <c r="K1209" s="91">
        <v>2975.08686459</v>
      </c>
      <c r="L1209" s="91">
        <v>2945.6305589999997</v>
      </c>
      <c r="M1209" s="91">
        <v>2916.4659000000001</v>
      </c>
      <c r="N1209" s="91">
        <v>2887.59</v>
      </c>
      <c r="O1209" s="91">
        <v>2859</v>
      </c>
      <c r="P1209" s="91">
        <v>2809.0177291063483</v>
      </c>
      <c r="Q1209" s="91">
        <v>2781.2056723825231</v>
      </c>
      <c r="R1209" s="91">
        <v>2753.6689825569538</v>
      </c>
      <c r="S1209" s="91">
        <v>2726.4049332247064</v>
      </c>
      <c r="T1209" s="91">
        <v>2699.410824974957</v>
      </c>
      <c r="U1209" s="91">
        <v>2652.5333603089593</v>
      </c>
      <c r="V1209" s="91">
        <v>2603.6203562557853</v>
      </c>
      <c r="W1209" s="91">
        <v>2552.9983476783659</v>
      </c>
      <c r="X1209" s="91">
        <v>2501.0529834356521</v>
      </c>
      <c r="Y1209" s="91">
        <v>2448.2199000668779</v>
      </c>
      <c r="Z1209" s="91">
        <v>2394.9720471544533</v>
      </c>
      <c r="AA1209" s="91">
        <v>2341.8041001557604</v>
      </c>
      <c r="AB1209" s="91">
        <v>2289.2149515763749</v>
      </c>
      <c r="AC1209" s="91">
        <v>2237.6895307027735</v>
      </c>
      <c r="AD1209" s="91">
        <v>2187.6813162674048</v>
      </c>
      <c r="AE1209" s="91">
        <v>2139.5968502608257</v>
      </c>
      <c r="AF1209" s="91">
        <v>2093.7833409910027</v>
      </c>
      <c r="AG1209" s="91">
        <v>2050.5200964116648</v>
      </c>
      <c r="AH1209" s="91">
        <v>2010.0141135712879</v>
      </c>
      <c r="AI1209" s="91">
        <v>1972.3997336071795</v>
      </c>
      <c r="AJ1209" s="91">
        <v>1937.7419140813131</v>
      </c>
      <c r="AK1209" s="91">
        <v>1906.0424135377211</v>
      </c>
      <c r="AL1209" s="91">
        <v>1877.2480453304324</v>
      </c>
      <c r="AM1209" s="91">
        <v>1851.2601347925574</v>
      </c>
      <c r="AN1209" s="91">
        <v>1827.9443845212245</v>
      </c>
      <c r="AO1209" s="91">
        <v>1807.1404867085619</v>
      </c>
      <c r="AP1209" s="91">
        <v>1788.6709873809248</v>
      </c>
      <c r="AQ1209" s="91">
        <v>1772.3490776929632</v>
      </c>
      <c r="AR1209" s="91">
        <v>1757.9851420126943</v>
      </c>
      <c r="AS1209" s="91">
        <v>1745.3920195175454</v>
      </c>
      <c r="AT1209" s="91">
        <v>1734.3890306993962</v>
      </c>
      <c r="AU1209" s="91">
        <v>1724.8048832531897</v>
      </c>
      <c r="AV1209" s="91">
        <v>1716.4796073954269</v>
      </c>
      <c r="AW1209" s="91">
        <v>1709.2656844419955</v>
      </c>
      <c r="AX1209" s="92">
        <v>1703.0285304806671</v>
      </c>
    </row>
    <row r="1210" spans="1:50" x14ac:dyDescent="0.25">
      <c r="A1210" s="356"/>
      <c r="B1210" s="359"/>
      <c r="C1210" s="350"/>
      <c r="D1210" s="2" t="s">
        <v>8</v>
      </c>
      <c r="E1210" s="160" t="str">
        <f>A1205&amp;"/"&amp;B1209&amp;"/"&amp;C1209&amp;"/"&amp;D1210</f>
        <v>Wind power plants/Offshore/Electricity only/M</v>
      </c>
      <c r="F1210" s="76" t="str">
        <f>A1205</f>
        <v>Wind power plants</v>
      </c>
      <c r="G1210" s="76" t="str">
        <f>B1209</f>
        <v>Offshore</v>
      </c>
      <c r="H1210" s="76" t="str">
        <f>C1209</f>
        <v>Electricity only</v>
      </c>
      <c r="I1210" s="161" t="str">
        <f t="shared" si="96"/>
        <v>M</v>
      </c>
      <c r="J1210" s="91">
        <v>3331</v>
      </c>
      <c r="K1210" s="91">
        <v>3296.6335036800001</v>
      </c>
      <c r="L1210" s="91">
        <v>3263.9935679999999</v>
      </c>
      <c r="M1210" s="91">
        <v>3231.6768000000002</v>
      </c>
      <c r="N1210" s="91">
        <v>3199.68</v>
      </c>
      <c r="O1210" s="91">
        <v>3168</v>
      </c>
      <c r="P1210" s="91">
        <v>3115.0039965198102</v>
      </c>
      <c r="Q1210" s="91">
        <v>3084.1623727918909</v>
      </c>
      <c r="R1210" s="91">
        <v>3053.6261116751398</v>
      </c>
      <c r="S1210" s="91">
        <v>3023.3921897773662</v>
      </c>
      <c r="T1210" s="91">
        <v>2993.4576136409564</v>
      </c>
      <c r="U1210" s="91">
        <v>2945.330083250532</v>
      </c>
      <c r="V1210" s="91">
        <v>2895.1127324226063</v>
      </c>
      <c r="W1210" s="91">
        <v>2843.1408036164557</v>
      </c>
      <c r="X1210" s="91">
        <v>2789.810229660603</v>
      </c>
      <c r="Y1210" s="91">
        <v>2735.5682640686618</v>
      </c>
      <c r="Z1210" s="91">
        <v>2680.9004684119059</v>
      </c>
      <c r="AA1210" s="91">
        <v>2626.3147094932474</v>
      </c>
      <c r="AB1210" s="91">
        <v>2572.3231836184118</v>
      </c>
      <c r="AC1210" s="91">
        <v>2519.4237515215141</v>
      </c>
      <c r="AD1210" s="91">
        <v>2468.0819847012021</v>
      </c>
      <c r="AE1210" s="91">
        <v>2418.7152662677809</v>
      </c>
      <c r="AF1210" s="91">
        <v>2371.6800634174297</v>
      </c>
      <c r="AG1210" s="91">
        <v>2327.2631323159758</v>
      </c>
      <c r="AH1210" s="91">
        <v>2285.6769899331889</v>
      </c>
      <c r="AI1210" s="91">
        <v>2247.0595598367045</v>
      </c>
      <c r="AJ1210" s="91">
        <v>2211.4775317901481</v>
      </c>
      <c r="AK1210" s="91">
        <v>2178.9327112320602</v>
      </c>
      <c r="AL1210" s="91">
        <v>2149.3704932059109</v>
      </c>
      <c r="AM1210" s="91">
        <v>2122.6895717203588</v>
      </c>
      <c r="AN1210" s="91">
        <v>2098.752068108457</v>
      </c>
      <c r="AO1210" s="91">
        <v>2077.3933996874571</v>
      </c>
      <c r="AP1210" s="91">
        <v>2058.4313803777495</v>
      </c>
      <c r="AQ1210" s="91">
        <v>2041.6742197647754</v>
      </c>
      <c r="AR1210" s="91">
        <v>2026.9272457996994</v>
      </c>
      <c r="AS1210" s="91">
        <v>2013.9983067046799</v>
      </c>
      <c r="AT1210" s="91">
        <v>2002.70190485138</v>
      </c>
      <c r="AU1210" s="91">
        <v>1992.8621801399413</v>
      </c>
      <c r="AV1210" s="91">
        <v>1984.3148969259714</v>
      </c>
      <c r="AW1210" s="91">
        <v>1976.9086026937821</v>
      </c>
      <c r="AX1210" s="92">
        <v>1970.5051246268181</v>
      </c>
    </row>
    <row r="1211" spans="1:50" x14ac:dyDescent="0.25">
      <c r="A1211" s="356"/>
      <c r="B1211" s="359"/>
      <c r="C1211" s="350"/>
      <c r="D1211" s="2" t="s">
        <v>10</v>
      </c>
      <c r="E1211" s="160" t="str">
        <f>A1205&amp;"/"&amp;B1209&amp;"/"&amp;C1209&amp;"/"&amp;D1211</f>
        <v>Wind power plants/Offshore/Electricity only/S</v>
      </c>
      <c r="F1211" s="76" t="str">
        <f>A1205</f>
        <v>Wind power plants</v>
      </c>
      <c r="G1211" s="76" t="str">
        <f>B1209</f>
        <v>Offshore</v>
      </c>
      <c r="H1211" s="76" t="str">
        <f>C1209</f>
        <v>Electricity only</v>
      </c>
      <c r="I1211" s="161" t="str">
        <f t="shared" si="96"/>
        <v>S</v>
      </c>
      <c r="J1211" s="91">
        <v>3831</v>
      </c>
      <c r="K1211" s="91">
        <v>3814.8543006600003</v>
      </c>
      <c r="L1211" s="91">
        <v>3777.0834659999996</v>
      </c>
      <c r="M1211" s="91">
        <v>3739.6866</v>
      </c>
      <c r="N1211" s="91">
        <v>3702.66</v>
      </c>
      <c r="O1211" s="91">
        <v>3666</v>
      </c>
      <c r="P1211" s="91">
        <v>3601.4860417832806</v>
      </c>
      <c r="Q1211" s="91">
        <v>3565.8277641418613</v>
      </c>
      <c r="R1211" s="91">
        <v>3530.5225387543187</v>
      </c>
      <c r="S1211" s="91">
        <v>3495.5668700537808</v>
      </c>
      <c r="T1211" s="91">
        <v>3460.9572970829513</v>
      </c>
      <c r="U1211" s="91">
        <v>3408.2461923696296</v>
      </c>
      <c r="V1211" s="91">
        <v>3353.2462367009493</v>
      </c>
      <c r="W1211" s="91">
        <v>3296.324600389451</v>
      </c>
      <c r="X1211" s="91">
        <v>3237.9149241520886</v>
      </c>
      <c r="Y1211" s="91">
        <v>3178.5070570752005</v>
      </c>
      <c r="Z1211" s="91">
        <v>3118.6328046892295</v>
      </c>
      <c r="AA1211" s="91">
        <v>3058.8484020640326</v>
      </c>
      <c r="AB1211" s="91">
        <v>2999.7148261058792</v>
      </c>
      <c r="AC1211" s="91">
        <v>2941.777352856896</v>
      </c>
      <c r="AD1211" s="91">
        <v>2885.5458939584591</v>
      </c>
      <c r="AE1211" s="91">
        <v>2831.4775832932833</v>
      </c>
      <c r="AF1211" s="91">
        <v>2779.9628373143273</v>
      </c>
      <c r="AG1211" s="91">
        <v>2731.3157222984491</v>
      </c>
      <c r="AH1211" s="91">
        <v>2685.7689949268256</v>
      </c>
      <c r="AI1211" s="91">
        <v>2643.4737143449611</v>
      </c>
      <c r="AJ1211" s="91">
        <v>2604.5029217225424</v>
      </c>
      <c r="AK1211" s="91">
        <v>2568.8585944446368</v>
      </c>
      <c r="AL1211" s="91">
        <v>2536.4809270826636</v>
      </c>
      <c r="AM1211" s="91">
        <v>2507.2589654556309</v>
      </c>
      <c r="AN1211" s="91">
        <v>2481.0416995949763</v>
      </c>
      <c r="AO1211" s="91">
        <v>2457.6488722767381</v>
      </c>
      <c r="AP1211" s="91">
        <v>2436.8809463661059</v>
      </c>
      <c r="AQ1211" s="91">
        <v>2418.5278656947535</v>
      </c>
      <c r="AR1211" s="91">
        <v>2402.3764180187181</v>
      </c>
      <c r="AS1211" s="91">
        <v>2388.2161513908395</v>
      </c>
      <c r="AT1211" s="91">
        <v>2375.8439017419873</v>
      </c>
      <c r="AU1211" s="91">
        <v>2365.0670603913641</v>
      </c>
      <c r="AV1211" s="91">
        <v>2355.705750204635</v>
      </c>
      <c r="AW1211" s="91">
        <v>2347.594094616999</v>
      </c>
      <c r="AX1211" s="92">
        <v>2340.5807614960386</v>
      </c>
    </row>
    <row r="1212" spans="1:50" x14ac:dyDescent="0.25">
      <c r="A1212" s="357"/>
      <c r="B1212" s="362"/>
      <c r="C1212" s="354"/>
      <c r="D1212" s="4" t="s">
        <v>20</v>
      </c>
      <c r="E1212" s="168" t="str">
        <f>A1205&amp;"/"&amp;B1209&amp;"/"&amp;C1209&amp;"/"&amp;D1212</f>
        <v>Wind power plants/Offshore/Electricity only/XS</v>
      </c>
      <c r="F1212" s="80" t="str">
        <f>A1205</f>
        <v>Wind power plants</v>
      </c>
      <c r="G1212" s="80" t="str">
        <f>B1209</f>
        <v>Offshore</v>
      </c>
      <c r="H1212" s="80" t="str">
        <f>C1209</f>
        <v>Electricity only</v>
      </c>
      <c r="I1212" s="169" t="str">
        <f t="shared" si="96"/>
        <v>XS</v>
      </c>
      <c r="J1212" s="99">
        <v>4597</v>
      </c>
      <c r="K1212" s="99">
        <v>4597</v>
      </c>
      <c r="L1212" s="99">
        <v>4558.0516239999997</v>
      </c>
      <c r="M1212" s="99">
        <v>4512.9224000000004</v>
      </c>
      <c r="N1212" s="99">
        <v>4468.24</v>
      </c>
      <c r="O1212" s="99">
        <v>4424</v>
      </c>
      <c r="P1212" s="99">
        <v>4356.3998525538364</v>
      </c>
      <c r="Q1212" s="99">
        <v>4313.2671807463721</v>
      </c>
      <c r="R1212" s="99">
        <v>4270.5615650954187</v>
      </c>
      <c r="S1212" s="99">
        <v>4228.2787773221971</v>
      </c>
      <c r="T1212" s="99">
        <v>4186.4146310120759</v>
      </c>
      <c r="U1212" s="99">
        <v>4127.905304780289</v>
      </c>
      <c r="V1212" s="99">
        <v>4066.8553539880536</v>
      </c>
      <c r="W1212" s="99">
        <v>4003.6723376822902</v>
      </c>
      <c r="X1212" s="99">
        <v>3938.8375970588177</v>
      </c>
      <c r="Y1212" s="99">
        <v>3872.8948646034723</v>
      </c>
      <c r="Z1212" s="99">
        <v>3806.4344444550447</v>
      </c>
      <c r="AA1212" s="99">
        <v>3740.0737575410758</v>
      </c>
      <c r="AB1212" s="99">
        <v>3674.4354882275256</v>
      </c>
      <c r="AC1212" s="99">
        <v>3610.1248929211542</v>
      </c>
      <c r="AD1212" s="99">
        <v>3547.7079735438892</v>
      </c>
      <c r="AE1212" s="99">
        <v>3487.6921487055442</v>
      </c>
      <c r="AF1212" s="99">
        <v>3430.510780668903</v>
      </c>
      <c r="AG1212" s="99">
        <v>3376.5124830012787</v>
      </c>
      <c r="AH1212" s="99">
        <v>3325.9556156187764</v>
      </c>
      <c r="AI1212" s="99">
        <v>3279.0078541729072</v>
      </c>
      <c r="AJ1212" s="99">
        <v>3235.7502743620221</v>
      </c>
      <c r="AK1212" s="99">
        <v>3196.185071083547</v>
      </c>
      <c r="AL1212" s="99">
        <v>3160.2458603117566</v>
      </c>
      <c r="AM1212" s="99">
        <v>3127.80948290575</v>
      </c>
      <c r="AN1212" s="99">
        <v>3098.7083178004236</v>
      </c>
      <c r="AO1212" s="99">
        <v>3072.7422794771792</v>
      </c>
      <c r="AP1212" s="99">
        <v>3049.6898817163778</v>
      </c>
      <c r="AQ1212" s="99">
        <v>3029.3179621711765</v>
      </c>
      <c r="AR1212" s="99">
        <v>3011.3898552507767</v>
      </c>
      <c r="AS1212" s="99">
        <v>2995.6719592938316</v>
      </c>
      <c r="AT1212" s="99">
        <v>2981.9387621836058</v>
      </c>
      <c r="AU1212" s="99">
        <v>2969.9764682844138</v>
      </c>
      <c r="AV1212" s="99">
        <v>2959.585413977145</v>
      </c>
      <c r="AW1212" s="99">
        <v>2950.5814762748687</v>
      </c>
      <c r="AX1212" s="100">
        <v>2942.7966765106025</v>
      </c>
    </row>
    <row r="1213" spans="1:50" x14ac:dyDescent="0.25">
      <c r="A1213" s="355" t="s">
        <v>37</v>
      </c>
      <c r="B1213" s="358" t="s">
        <v>37</v>
      </c>
      <c r="C1213" s="353" t="s">
        <v>6</v>
      </c>
      <c r="D1213" s="3" t="s">
        <v>7</v>
      </c>
      <c r="E1213" s="162" t="str">
        <f>A1213&amp;"/"&amp;B1213&amp;"/"&amp;C1213&amp;"/"&amp;D1213</f>
        <v>Solar PV power plants/Solar PV power plants/Electricity only/L</v>
      </c>
      <c r="F1213" s="77" t="str">
        <f>A1213</f>
        <v>Solar PV power plants</v>
      </c>
      <c r="G1213" s="77" t="str">
        <f>B1213</f>
        <v>Solar PV power plants</v>
      </c>
      <c r="H1213" s="77" t="str">
        <f>C1213</f>
        <v>Electricity only</v>
      </c>
      <c r="I1213" s="163" t="str">
        <f t="shared" si="96"/>
        <v>L</v>
      </c>
      <c r="J1213" s="93">
        <v>1800</v>
      </c>
      <c r="K1213" s="93">
        <v>1419.1470885287372</v>
      </c>
      <c r="L1213" s="93">
        <v>1228.7206327931058</v>
      </c>
      <c r="M1213" s="93">
        <v>1133.5074049252898</v>
      </c>
      <c r="N1213" s="93">
        <v>1038.2941770574741</v>
      </c>
      <c r="O1213" s="93">
        <v>1026.5246640881346</v>
      </c>
      <c r="P1213" s="93">
        <v>947.54996159452674</v>
      </c>
      <c r="Q1213" s="93">
        <v>778.33240561572563</v>
      </c>
      <c r="R1213" s="93">
        <v>751.41730971882498</v>
      </c>
      <c r="S1213" s="93">
        <v>725.85106463062402</v>
      </c>
      <c r="T1213" s="93">
        <v>701.64629832758158</v>
      </c>
      <c r="U1213" s="93">
        <v>678.80858670737462</v>
      </c>
      <c r="V1213" s="93">
        <v>657.33641792236529</v>
      </c>
      <c r="W1213" s="93">
        <v>637.22124068962978</v>
      </c>
      <c r="X1213" s="93">
        <v>618.44759834315209</v>
      </c>
      <c r="Y1213" s="93">
        <v>600.99334869464087</v>
      </c>
      <c r="Z1213" s="93">
        <v>584.82996796469524</v>
      </c>
      <c r="AA1213" s="93">
        <v>569.92293518452402</v>
      </c>
      <c r="AB1213" s="93">
        <v>556.23219160560507</v>
      </c>
      <c r="AC1213" s="93">
        <v>543.7126678507492</v>
      </c>
      <c r="AD1213" s="93">
        <v>532.31486985796653</v>
      </c>
      <c r="AE1213" s="93">
        <v>521.98551317117676</v>
      </c>
      <c r="AF1213" s="93">
        <v>512.66819387922249</v>
      </c>
      <c r="AG1213" s="93">
        <v>504.30408355094227</v>
      </c>
      <c r="AH1213" s="93">
        <v>496.83263490444665</v>
      </c>
      <c r="AI1213" s="93">
        <v>490.19228471668805</v>
      </c>
      <c r="AJ1213" s="93">
        <v>484.32114064427736</v>
      </c>
      <c r="AK1213" s="93">
        <v>479.15763919170769</v>
      </c>
      <c r="AL1213" s="93">
        <v>474.64116301516754</v>
      </c>
      <c r="AM1213" s="93">
        <v>470.71260705836744</v>
      </c>
      <c r="AN1213" s="93">
        <v>467.31488463440866</v>
      </c>
      <c r="AO1213" s="93">
        <v>464.3933664334524</v>
      </c>
      <c r="AP1213" s="93">
        <v>461.89624747692011</v>
      </c>
      <c r="AQ1213" s="93">
        <v>459.77483917421671</v>
      </c>
      <c r="AR1213" s="93">
        <v>457.98378578265914</v>
      </c>
      <c r="AS1213" s="93">
        <v>456.48120664111258</v>
      </c>
      <c r="AT1213" s="93">
        <v>455.22876746357758</v>
      </c>
      <c r="AU1213" s="93">
        <v>454.19168567076122</v>
      </c>
      <c r="AV1213" s="93">
        <v>453.3386761485786</v>
      </c>
      <c r="AW1213" s="93">
        <v>452.64184491144772</v>
      </c>
      <c r="AX1213" s="94">
        <v>452.07653889153841</v>
      </c>
    </row>
    <row r="1214" spans="1:50" x14ac:dyDescent="0.25">
      <c r="A1214" s="356"/>
      <c r="B1214" s="359"/>
      <c r="C1214" s="350"/>
      <c r="D1214" s="2" t="s">
        <v>8</v>
      </c>
      <c r="E1214" s="160" t="str">
        <f>A1213&amp;"/"&amp;B1213&amp;"/"&amp;C1213&amp;"/"&amp;D1214</f>
        <v>Solar PV power plants/Solar PV power plants/Electricity only/M</v>
      </c>
      <c r="F1214" s="76" t="str">
        <f>A1213</f>
        <v>Solar PV power plants</v>
      </c>
      <c r="G1214" s="76" t="str">
        <f>B1213</f>
        <v>Solar PV power plants</v>
      </c>
      <c r="H1214" s="76" t="str">
        <f>C1213</f>
        <v>Electricity only</v>
      </c>
      <c r="I1214" s="161" t="str">
        <f t="shared" si="96"/>
        <v>M</v>
      </c>
      <c r="J1214" s="91">
        <v>1925</v>
      </c>
      <c r="K1214" s="91">
        <v>1558.4290727089096</v>
      </c>
      <c r="L1214" s="91">
        <v>1357.3644914902347</v>
      </c>
      <c r="M1214" s="91">
        <v>1247.3641546531042</v>
      </c>
      <c r="N1214" s="91">
        <v>1127.5739329664609</v>
      </c>
      <c r="O1214" s="91">
        <v>1097.811099094255</v>
      </c>
      <c r="P1214" s="91">
        <v>1021.4969496693019</v>
      </c>
      <c r="Q1214" s="91">
        <v>907.76800289839559</v>
      </c>
      <c r="R1214" s="91">
        <v>872.80412862519768</v>
      </c>
      <c r="S1214" s="91">
        <v>839.59246992163139</v>
      </c>
      <c r="T1214" s="91">
        <v>808.14943107556985</v>
      </c>
      <c r="U1214" s="91">
        <v>778.48225541938291</v>
      </c>
      <c r="V1214" s="91">
        <v>750.5889789975663</v>
      </c>
      <c r="W1214" s="91">
        <v>724.45849332356033</v>
      </c>
      <c r="X1214" s="91">
        <v>700.07071951935052</v>
      </c>
      <c r="Y1214" s="91">
        <v>677.39689392418222</v>
      </c>
      <c r="Z1214" s="91">
        <v>656.39996291429759</v>
      </c>
      <c r="AA1214" s="91">
        <v>637.03508225740325</v>
      </c>
      <c r="AB1214" s="91">
        <v>619.25021390569759</v>
      </c>
      <c r="AC1214" s="91">
        <v>602.98681078791401</v>
      </c>
      <c r="AD1214" s="91">
        <v>588.18057797576</v>
      </c>
      <c r="AE1214" s="91">
        <v>574.76229665499682</v>
      </c>
      <c r="AF1214" s="91">
        <v>562.65869570425139</v>
      </c>
      <c r="AG1214" s="91">
        <v>551.79335444574883</v>
      </c>
      <c r="AH1214" s="91">
        <v>542.08761934023846</v>
      </c>
      <c r="AI1214" s="91">
        <v>533.46151709694175</v>
      </c>
      <c r="AJ1214" s="91">
        <v>525.83464688351501</v>
      </c>
      <c r="AK1214" s="91">
        <v>519.12703505524314</v>
      </c>
      <c r="AL1214" s="91">
        <v>513.25993705940698</v>
      </c>
      <c r="AM1214" s="91">
        <v>508.1565728702198</v>
      </c>
      <c r="AN1214" s="91">
        <v>503.74278441107487</v>
      </c>
      <c r="AO1214" s="91">
        <v>499.94760584450484</v>
      </c>
      <c r="AP1214" s="91">
        <v>496.70374026156753</v>
      </c>
      <c r="AQ1214" s="91">
        <v>493.94793907616719</v>
      </c>
      <c r="AR1214" s="91">
        <v>491.62128321586937</v>
      </c>
      <c r="AS1214" s="91">
        <v>489.6693678895482</v>
      </c>
      <c r="AT1214" s="91">
        <v>488.04239520084218</v>
      </c>
      <c r="AU1214" s="91">
        <v>486.69518107409516</v>
      </c>
      <c r="AV1214" s="91">
        <v>485.58708479230307</v>
      </c>
      <c r="AW1214" s="91">
        <v>484.68187086113193</v>
      </c>
      <c r="AX1214" s="92">
        <v>483.94751387865261</v>
      </c>
    </row>
    <row r="1215" spans="1:50" x14ac:dyDescent="0.25">
      <c r="A1215" s="356"/>
      <c r="B1215" s="359"/>
      <c r="C1215" s="350"/>
      <c r="D1215" s="2" t="s">
        <v>10</v>
      </c>
      <c r="E1215" s="160" t="str">
        <f>A1213&amp;"/"&amp;B1213&amp;"/"&amp;C1213&amp;"/"&amp;D1215</f>
        <v>Solar PV power plants/Solar PV power plants/Electricity only/S</v>
      </c>
      <c r="F1215" s="76" t="str">
        <f>A1213</f>
        <v>Solar PV power plants</v>
      </c>
      <c r="G1215" s="76" t="str">
        <f>B1213</f>
        <v>Solar PV power plants</v>
      </c>
      <c r="H1215" s="76" t="str">
        <f>C1213</f>
        <v>Electricity only</v>
      </c>
      <c r="I1215" s="161" t="str">
        <f t="shared" si="96"/>
        <v>S</v>
      </c>
      <c r="J1215" s="91">
        <v>2350</v>
      </c>
      <c r="K1215" s="91">
        <v>1960.1926263470145</v>
      </c>
      <c r="L1215" s="91">
        <v>1580.9400369652487</v>
      </c>
      <c r="M1215" s="91">
        <v>1400.6686394791161</v>
      </c>
      <c r="N1215" s="91">
        <v>1226.424576978498</v>
      </c>
      <c r="O1215" s="91">
        <v>1207.7073299546221</v>
      </c>
      <c r="P1215" s="91">
        <v>1040.0915264662146</v>
      </c>
      <c r="Q1215" s="91">
        <v>1006.2815519330215</v>
      </c>
      <c r="R1215" s="91">
        <v>976.14149050672552</v>
      </c>
      <c r="S1215" s="91">
        <v>946.71254396277402</v>
      </c>
      <c r="T1215" s="91">
        <v>918.07412753725271</v>
      </c>
      <c r="U1215" s="91">
        <v>890.30195991927667</v>
      </c>
      <c r="V1215" s="91">
        <v>863.46715703267375</v>
      </c>
      <c r="W1215" s="91">
        <v>837.63534574306175</v>
      </c>
      <c r="X1215" s="91">
        <v>812.86581704753632</v>
      </c>
      <c r="Y1215" s="91">
        <v>789.21073906173069</v>
      </c>
      <c r="Z1215" s="91">
        <v>766.71445028356084</v>
      </c>
      <c r="AA1215" s="91">
        <v>745.41285310115143</v>
      </c>
      <c r="AB1215" s="91">
        <v>725.33292626174341</v>
      </c>
      <c r="AC1215" s="91">
        <v>706.49237299438278</v>
      </c>
      <c r="AD1215" s="91">
        <v>688.89941868169626</v>
      </c>
      <c r="AE1215" s="91">
        <v>672.55276844475293</v>
      </c>
      <c r="AF1215" s="91">
        <v>657.44173082239536</v>
      </c>
      <c r="AG1215" s="91">
        <v>643.54650901911668</v>
      </c>
      <c r="AH1215" s="91">
        <v>630.83865613180046</v>
      </c>
      <c r="AI1215" s="91">
        <v>619.28168555011428</v>
      </c>
      <c r="AJ1215" s="91">
        <v>608.83182259013961</v>
      </c>
      <c r="AK1215" s="91">
        <v>599.43887861346116</v>
      </c>
      <c r="AL1215" s="91">
        <v>591.04722465265274</v>
      </c>
      <c r="AM1215" s="91">
        <v>583.59683814150742</v>
      </c>
      <c r="AN1215" s="91">
        <v>577.02439393456257</v>
      </c>
      <c r="AO1215" s="91">
        <v>571.26436954714609</v>
      </c>
      <c r="AP1215" s="91">
        <v>566.25013454414488</v>
      </c>
      <c r="AQ1215" s="91">
        <v>561.91499527132703</v>
      </c>
      <c r="AR1215" s="91">
        <v>558.19316859982359</v>
      </c>
      <c r="AS1215" s="91">
        <v>555.0206619102903</v>
      </c>
      <c r="AT1215" s="91">
        <v>552.33604097937371</v>
      </c>
      <c r="AU1215" s="91">
        <v>550.08107249482146</v>
      </c>
      <c r="AV1215" s="91">
        <v>548.20123332865342</v>
      </c>
      <c r="AW1215" s="91">
        <v>546.64608413758197</v>
      </c>
      <c r="AX1215" s="92">
        <v>545.36951004163177</v>
      </c>
    </row>
    <row r="1216" spans="1:50" x14ac:dyDescent="0.25">
      <c r="A1216" s="357"/>
      <c r="B1216" s="362"/>
      <c r="C1216" s="354"/>
      <c r="D1216" s="4" t="s">
        <v>20</v>
      </c>
      <c r="E1216" s="168" t="str">
        <f>A1213&amp;"/"&amp;B1213&amp;"/"&amp;C1213&amp;"/"&amp;D1216</f>
        <v>Solar PV power plants/Solar PV power plants/Electricity only/XS</v>
      </c>
      <c r="F1216" s="80" t="str">
        <f>A1213</f>
        <v>Solar PV power plants</v>
      </c>
      <c r="G1216" s="80" t="str">
        <f>B1213</f>
        <v>Solar PV power plants</v>
      </c>
      <c r="H1216" s="80" t="str">
        <f>C1213</f>
        <v>Electricity only</v>
      </c>
      <c r="I1216" s="169" t="str">
        <f t="shared" si="96"/>
        <v>XS</v>
      </c>
      <c r="J1216" s="99">
        <v>2500</v>
      </c>
      <c r="K1216" s="99">
        <v>2092.6106263633528</v>
      </c>
      <c r="L1216" s="99">
        <v>1686.4747584917418</v>
      </c>
      <c r="M1216" s="99">
        <v>1484.0837176690557</v>
      </c>
      <c r="N1216" s="99">
        <v>1279.7567625428483</v>
      </c>
      <c r="O1216" s="99">
        <v>1246.4942349641633</v>
      </c>
      <c r="P1216" s="99">
        <v>1065.0864497899404</v>
      </c>
      <c r="Q1216" s="99">
        <v>1028.67323783131</v>
      </c>
      <c r="R1216" s="99">
        <v>999.31668818060905</v>
      </c>
      <c r="S1216" s="99">
        <v>970.65276748827796</v>
      </c>
      <c r="T1216" s="99">
        <v>942.75882653632743</v>
      </c>
      <c r="U1216" s="99">
        <v>915.70861565409632</v>
      </c>
      <c r="V1216" s="99">
        <v>889.57140205770907</v>
      </c>
      <c r="W1216" s="99">
        <v>864.41110659695005</v>
      </c>
      <c r="X1216" s="99">
        <v>840.28547895837323</v>
      </c>
      <c r="Y1216" s="99">
        <v>817.24533111130734</v>
      </c>
      <c r="Z1216" s="99">
        <v>795.3338489437009</v>
      </c>
      <c r="AA1216" s="99">
        <v>774.58600153622854</v>
      </c>
      <c r="AB1216" s="99">
        <v>755.02806630490784</v>
      </c>
      <c r="AC1216" s="99">
        <v>736.67728627108227</v>
      </c>
      <c r="AD1216" s="99">
        <v>719.54167299285928</v>
      </c>
      <c r="AE1216" s="99">
        <v>703.6199652525828</v>
      </c>
      <c r="AF1216" s="99">
        <v>688.90174952103416</v>
      </c>
      <c r="AG1216" s="99">
        <v>675.36774363411973</v>
      </c>
      <c r="AH1216" s="99">
        <v>662.99024018567548</v>
      </c>
      <c r="AI1216" s="99">
        <v>651.73370106007974</v>
      </c>
      <c r="AJ1216" s="99">
        <v>641.55548952664628</v>
      </c>
      <c r="AK1216" s="99">
        <v>632.40672163538261</v>
      </c>
      <c r="AL1216" s="99">
        <v>624.23321453240624</v>
      </c>
      <c r="AM1216" s="99">
        <v>616.97650597969823</v>
      </c>
      <c r="AN1216" s="99">
        <v>610.57491701281901</v>
      </c>
      <c r="AO1216" s="99">
        <v>604.96462844947473</v>
      </c>
      <c r="AP1216" s="99">
        <v>600.08074195886991</v>
      </c>
      <c r="AQ1216" s="99">
        <v>595.85829763451466</v>
      </c>
      <c r="AR1216" s="99">
        <v>592.23322242554491</v>
      </c>
      <c r="AS1216" s="99">
        <v>589.14318724508541</v>
      </c>
      <c r="AT1216" s="99">
        <v>586.52835489497591</v>
      </c>
      <c r="AU1216" s="99">
        <v>584.33200587825593</v>
      </c>
      <c r="AV1216" s="99">
        <v>582.50103443342687</v>
      </c>
      <c r="AW1216" s="99">
        <v>580.98631242287024</v>
      </c>
      <c r="AX1216" s="100">
        <v>579.74292375486107</v>
      </c>
    </row>
    <row r="1217" spans="1:50" x14ac:dyDescent="0.25">
      <c r="A1217" s="355" t="s">
        <v>38</v>
      </c>
      <c r="B1217" s="358" t="s">
        <v>38</v>
      </c>
      <c r="C1217" s="353" t="s">
        <v>6</v>
      </c>
      <c r="D1217" s="3" t="s">
        <v>7</v>
      </c>
      <c r="E1217" s="162" t="str">
        <f>A1217&amp;"/"&amp;B1217&amp;"/"&amp;C1217&amp;"/"&amp;D1217</f>
        <v>Solar thermal power plants/Solar thermal power plants/Electricity only/L</v>
      </c>
      <c r="F1217" s="77" t="str">
        <f>A1217</f>
        <v>Solar thermal power plants</v>
      </c>
      <c r="G1217" s="77" t="str">
        <f>B1217</f>
        <v>Solar thermal power plants</v>
      </c>
      <c r="H1217" s="77" t="str">
        <f>C1217</f>
        <v>Electricity only</v>
      </c>
      <c r="I1217" s="163" t="str">
        <f t="shared" si="96"/>
        <v>L</v>
      </c>
      <c r="J1217" s="93">
        <v>5635.5</v>
      </c>
      <c r="K1217" s="93">
        <v>5634.1408511208083</v>
      </c>
      <c r="L1217" s="93">
        <v>5632.4826718664935</v>
      </c>
      <c r="M1217" s="93">
        <v>5630.4601800710625</v>
      </c>
      <c r="N1217" s="93">
        <v>5627.9940902341596</v>
      </c>
      <c r="O1217" s="93">
        <v>5624.988231262425</v>
      </c>
      <c r="P1217" s="93">
        <v>5621.3261306203894</v>
      </c>
      <c r="Q1217" s="93">
        <v>5616.8669959735853</v>
      </c>
      <c r="R1217" s="93">
        <v>5611.4410325994795</v>
      </c>
      <c r="S1217" s="93">
        <v>5604.8440532862787</v>
      </c>
      <c r="T1217" s="93">
        <v>5596.8313733122795</v>
      </c>
      <c r="U1217" s="93">
        <v>5587.1110449649732</v>
      </c>
      <c r="V1217" s="93">
        <v>5575.3365853507148</v>
      </c>
      <c r="W1217" s="93">
        <v>5561.0995024667845</v>
      </c>
      <c r="X1217" s="93">
        <v>5543.9221447533828</v>
      </c>
      <c r="Y1217" s="93">
        <v>5523.2517064063177</v>
      </c>
      <c r="Z1217" s="93">
        <v>5498.4566286653144</v>
      </c>
      <c r="AA1217" s="93">
        <v>5468.8271478620554</v>
      </c>
      <c r="AB1217" s="93">
        <v>5433.5823292331024</v>
      </c>
      <c r="AC1217" s="93">
        <v>5391.886518018202</v>
      </c>
      <c r="AD1217" s="93">
        <v>5342.8785866875733</v>
      </c>
      <c r="AE1217" s="93">
        <v>5285.7174062929189</v>
      </c>
      <c r="AF1217" s="93">
        <v>5219.6462538866435</v>
      </c>
      <c r="AG1217" s="93">
        <v>5144.0769418210366</v>
      </c>
      <c r="AH1217" s="93">
        <v>5058.6909196479764</v>
      </c>
      <c r="AI1217" s="93">
        <v>4963.5493475996154</v>
      </c>
      <c r="AJ1217" s="93">
        <v>4859.1977061532725</v>
      </c>
      <c r="AK1217" s="93">
        <v>4746.7443939519953</v>
      </c>
      <c r="AL1217" s="93">
        <v>4627.889490296855</v>
      </c>
      <c r="AM1217" s="93">
        <v>4504.882350821048</v>
      </c>
      <c r="AN1217" s="93">
        <v>4380.3969555514923</v>
      </c>
      <c r="AO1217" s="93">
        <v>4257.3312654938654</v>
      </c>
      <c r="AP1217" s="93">
        <v>4138.5569338173664</v>
      </c>
      <c r="AQ1217" s="93">
        <v>4026.6614862849497</v>
      </c>
      <c r="AR1217" s="93">
        <v>3923.7297769188408</v>
      </c>
      <c r="AS1217" s="93">
        <v>3831.2024046661099</v>
      </c>
      <c r="AT1217" s="93">
        <v>3749.8289917465527</v>
      </c>
      <c r="AU1217" s="93">
        <v>3679.711315422825</v>
      </c>
      <c r="AV1217" s="93">
        <v>3620.4132615482299</v>
      </c>
      <c r="AW1217" s="93">
        <v>3571.1061765577101</v>
      </c>
      <c r="AX1217" s="94">
        <v>3530.7195607948443</v>
      </c>
    </row>
    <row r="1218" spans="1:50" x14ac:dyDescent="0.25">
      <c r="A1218" s="356"/>
      <c r="B1218" s="359"/>
      <c r="C1218" s="350"/>
      <c r="D1218" s="2" t="s">
        <v>8</v>
      </c>
      <c r="E1218" s="160" t="str">
        <f>A1217&amp;"/"&amp;B1217&amp;"/"&amp;C1217&amp;"/"&amp;D1218</f>
        <v>Solar thermal power plants/Solar thermal power plants/Electricity only/M</v>
      </c>
      <c r="F1218" s="76" t="str">
        <f>A1217</f>
        <v>Solar thermal power plants</v>
      </c>
      <c r="G1218" s="76" t="str">
        <f>B1217</f>
        <v>Solar thermal power plants</v>
      </c>
      <c r="H1218" s="76" t="str">
        <f>C1217</f>
        <v>Electricity only</v>
      </c>
      <c r="I1218" s="161" t="str">
        <f t="shared" si="96"/>
        <v>M</v>
      </c>
      <c r="J1218" s="91">
        <v>6086.34</v>
      </c>
      <c r="K1218" s="91">
        <v>6085.3217462958592</v>
      </c>
      <c r="L1218" s="91">
        <v>6084.0792034292263</v>
      </c>
      <c r="M1218" s="91">
        <v>6082.5632786802398</v>
      </c>
      <c r="N1218" s="91">
        <v>6080.7142861185821</v>
      </c>
      <c r="O1218" s="91">
        <v>6078.4597353066765</v>
      </c>
      <c r="P1218" s="91">
        <v>6075.7116949709307</v>
      </c>
      <c r="Q1218" s="91">
        <v>6072.3636681683392</v>
      </c>
      <c r="R1218" s="91">
        <v>6068.2869155889712</v>
      </c>
      <c r="S1218" s="91">
        <v>6063.3261700276944</v>
      </c>
      <c r="T1218" s="91">
        <v>6057.2947016421094</v>
      </c>
      <c r="U1218" s="91">
        <v>6049.9687259852271</v>
      </c>
      <c r="V1218" s="91">
        <v>6041.0812027164502</v>
      </c>
      <c r="W1218" s="91">
        <v>6030.3151626919835</v>
      </c>
      <c r="X1218" s="91">
        <v>6017.2968379123304</v>
      </c>
      <c r="Y1218" s="91">
        <v>6001.5890679586419</v>
      </c>
      <c r="Z1218" s="91">
        <v>5982.685734038485</v>
      </c>
      <c r="AA1218" s="91">
        <v>5960.0083400547956</v>
      </c>
      <c r="AB1218" s="91">
        <v>5932.9063204383201</v>
      </c>
      <c r="AC1218" s="91">
        <v>5900.663183795119</v>
      </c>
      <c r="AD1218" s="91">
        <v>5862.511133020299</v>
      </c>
      <c r="AE1218" s="91">
        <v>5817.6572014585618</v>
      </c>
      <c r="AF1218" s="91">
        <v>5765.3239839435009</v>
      </c>
      <c r="AG1218" s="91">
        <v>5704.8073940204449</v>
      </c>
      <c r="AH1218" s="91">
        <v>5635.5521515819246</v>
      </c>
      <c r="AI1218" s="91">
        <v>5557.24255263341</v>
      </c>
      <c r="AJ1218" s="91">
        <v>5469.9014143321092</v>
      </c>
      <c r="AK1218" s="91">
        <v>5373.9844144527106</v>
      </c>
      <c r="AL1218" s="91">
        <v>5270.4516950072275</v>
      </c>
      <c r="AM1218" s="91">
        <v>5160.7957762479273</v>
      </c>
      <c r="AN1218" s="91">
        <v>5047.0070543661905</v>
      </c>
      <c r="AO1218" s="91">
        <v>4931.4670941713784</v>
      </c>
      <c r="AP1218" s="91">
        <v>4816.7749190326494</v>
      </c>
      <c r="AQ1218" s="91">
        <v>4705.5287780790895</v>
      </c>
      <c r="AR1218" s="91">
        <v>4600.0994159848442</v>
      </c>
      <c r="AS1218" s="91">
        <v>4502.43502372287</v>
      </c>
      <c r="AT1218" s="91">
        <v>4413.9305696970805</v>
      </c>
      <c r="AU1218" s="91">
        <v>4335.3777435789625</v>
      </c>
      <c r="AV1218" s="91">
        <v>4266.9925288829891</v>
      </c>
      <c r="AW1218" s="91">
        <v>4208.502063946481</v>
      </c>
      <c r="AX1218" s="92">
        <v>4159.26491794093</v>
      </c>
    </row>
    <row r="1219" spans="1:50" x14ac:dyDescent="0.25">
      <c r="A1219" s="356"/>
      <c r="B1219" s="359"/>
      <c r="C1219" s="350"/>
      <c r="D1219" s="2" t="s">
        <v>10</v>
      </c>
      <c r="E1219" s="160" t="str">
        <f>A1217&amp;"/"&amp;B1217&amp;"/"&amp;C1217&amp;"/"&amp;D1219</f>
        <v>Solar thermal power plants/Solar thermal power plants/Electricity only/S</v>
      </c>
      <c r="F1219" s="76" t="str">
        <f>A1217</f>
        <v>Solar thermal power plants</v>
      </c>
      <c r="G1219" s="76" t="str">
        <f>B1217</f>
        <v>Solar thermal power plants</v>
      </c>
      <c r="H1219" s="76" t="str">
        <f>C1217</f>
        <v>Electricity only</v>
      </c>
      <c r="I1219" s="161" t="str">
        <f t="shared" si="96"/>
        <v>S</v>
      </c>
      <c r="J1219" s="91">
        <v>6999.2909999999993</v>
      </c>
      <c r="K1219" s="91">
        <v>6998.4505929463157</v>
      </c>
      <c r="L1219" s="91">
        <v>6997.4248638731842</v>
      </c>
      <c r="M1219" s="91">
        <v>6996.1731477794447</v>
      </c>
      <c r="N1219" s="91">
        <v>6994.6459551654971</v>
      </c>
      <c r="O1219" s="91">
        <v>6992.7831053531445</v>
      </c>
      <c r="P1219" s="91">
        <v>6990.5114886383171</v>
      </c>
      <c r="Q1219" s="91">
        <v>6987.7423952382051</v>
      </c>
      <c r="R1219" s="91">
        <v>6984.3683446979339</v>
      </c>
      <c r="S1219" s="91">
        <v>6980.2593484445606</v>
      </c>
      <c r="T1219" s="91">
        <v>6975.2585430598501</v>
      </c>
      <c r="U1219" s="91">
        <v>6969.1771463553869</v>
      </c>
      <c r="V1219" s="91">
        <v>6961.7887178974488</v>
      </c>
      <c r="W1219" s="91">
        <v>6952.8227578073511</v>
      </c>
      <c r="X1219" s="91">
        <v>6941.9577626176924</v>
      </c>
      <c r="Y1219" s="91">
        <v>6928.8139877064941</v>
      </c>
      <c r="Z1219" s="91">
        <v>6912.9463579081066</v>
      </c>
      <c r="AA1219" s="91">
        <v>6893.8382379129507</v>
      </c>
      <c r="AB1219" s="91">
        <v>6870.8971360385567</v>
      </c>
      <c r="AC1219" s="91">
        <v>6843.4538731797766</v>
      </c>
      <c r="AD1219" s="91">
        <v>6810.767285541684</v>
      </c>
      <c r="AE1219" s="91">
        <v>6772.0370868569717</v>
      </c>
      <c r="AF1219" s="91">
        <v>6726.4279699967938</v>
      </c>
      <c r="AG1219" s="91">
        <v>6673.1081660825084</v>
      </c>
      <c r="AH1219" s="91">
        <v>6611.3051860481628</v>
      </c>
      <c r="AI1219" s="91">
        <v>6540.3799528094405</v>
      </c>
      <c r="AJ1219" s="91">
        <v>6459.9176203489096</v>
      </c>
      <c r="AK1219" s="91">
        <v>6369.8289195471407</v>
      </c>
      <c r="AL1219" s="91">
        <v>6270.4502378752777</v>
      </c>
      <c r="AM1219" s="91">
        <v>6162.6250118534645</v>
      </c>
      <c r="AN1219" s="91">
        <v>6047.745455044711</v>
      </c>
      <c r="AO1219" s="91">
        <v>5927.7346861565948</v>
      </c>
      <c r="AP1219" s="91">
        <v>5804.9568701891076</v>
      </c>
      <c r="AQ1219" s="91">
        <v>5682.0568980053786</v>
      </c>
      <c r="AR1219" s="91">
        <v>5561.7482579719181</v>
      </c>
      <c r="AS1219" s="91">
        <v>5446.582464170705</v>
      </c>
      <c r="AT1219" s="91">
        <v>5338.7398703629942</v>
      </c>
      <c r="AU1219" s="91">
        <v>5239.8769058728803</v>
      </c>
      <c r="AV1219" s="91">
        <v>5151.0503286375588</v>
      </c>
      <c r="AW1219" s="91">
        <v>5072.7204873822775</v>
      </c>
      <c r="AX1219" s="92">
        <v>5004.8193338923702</v>
      </c>
    </row>
    <row r="1220" spans="1:50" x14ac:dyDescent="0.25">
      <c r="A1220" s="357"/>
      <c r="B1220" s="362"/>
      <c r="C1220" s="354"/>
      <c r="D1220" s="4" t="s">
        <v>20</v>
      </c>
      <c r="E1220" s="168" t="str">
        <f>A1217&amp;"/"&amp;B1217&amp;"/"&amp;C1217&amp;"/"&amp;D1220</f>
        <v>Solar thermal power plants/Solar thermal power plants/Electricity only/XS</v>
      </c>
      <c r="F1220" s="80" t="str">
        <f>A1217</f>
        <v>Solar thermal power plants</v>
      </c>
      <c r="G1220" s="80" t="str">
        <f>B1217</f>
        <v>Solar thermal power plants</v>
      </c>
      <c r="H1220" s="80" t="str">
        <f>C1217</f>
        <v>Electricity only</v>
      </c>
      <c r="I1220" s="169" t="str">
        <f t="shared" si="96"/>
        <v>XS</v>
      </c>
      <c r="J1220" s="99">
        <v>8749.1137499999986</v>
      </c>
      <c r="K1220" s="99">
        <v>8748.4321893509332</v>
      </c>
      <c r="L1220" s="99">
        <v>8747.6001733457924</v>
      </c>
      <c r="M1220" s="99">
        <v>8746.5846085747253</v>
      </c>
      <c r="N1220" s="99">
        <v>8745.3451813144202</v>
      </c>
      <c r="O1220" s="99">
        <v>8743.8328110025996</v>
      </c>
      <c r="P1220" s="99">
        <v>8741.9877866027455</v>
      </c>
      <c r="Q1220" s="99">
        <v>8739.7375278342843</v>
      </c>
      <c r="R1220" s="99">
        <v>8736.9939061812565</v>
      </c>
      <c r="S1220" s="99">
        <v>8733.6500546441166</v>
      </c>
      <c r="T1220" s="99">
        <v>8729.5765917951521</v>
      </c>
      <c r="U1220" s="99">
        <v>8724.6171870623493</v>
      </c>
      <c r="V1220" s="99">
        <v>8718.5834036489578</v>
      </c>
      <c r="W1220" s="99">
        <v>8711.2487779930943</v>
      </c>
      <c r="X1220" s="99">
        <v>8702.3421371282293</v>
      </c>
      <c r="Y1220" s="99">
        <v>8691.5402272433384</v>
      </c>
      <c r="Z1220" s="99">
        <v>8678.4598406792084</v>
      </c>
      <c r="AA1220" s="99">
        <v>8662.6498000884221</v>
      </c>
      <c r="AB1220" s="99">
        <v>8643.5834052653463</v>
      </c>
      <c r="AC1220" s="99">
        <v>8620.6522875543524</v>
      </c>
      <c r="AD1220" s="99">
        <v>8593.1630601407123</v>
      </c>
      <c r="AE1220" s="99">
        <v>8560.3386951467292</v>
      </c>
      <c r="AF1220" s="99">
        <v>8521.3271629580559</v>
      </c>
      <c r="AG1220" s="99">
        <v>8475.2204424394276</v>
      </c>
      <c r="AH1220" s="99">
        <v>8421.0873762576011</v>
      </c>
      <c r="AI1220" s="99">
        <v>8358.0237214517492</v>
      </c>
      <c r="AJ1220" s="99">
        <v>8285.221747121368</v>
      </c>
      <c r="AK1220" s="99">
        <v>8202.0594321821882</v>
      </c>
      <c r="AL1220" s="99">
        <v>8108.2054040857602</v>
      </c>
      <c r="AM1220" s="99">
        <v>8003.7303038350838</v>
      </c>
      <c r="AN1220" s="99">
        <v>7889.2090458791245</v>
      </c>
      <c r="AO1220" s="99">
        <v>7765.7931856049172</v>
      </c>
      <c r="AP1220" s="99">
        <v>7635.2308198566898</v>
      </c>
      <c r="AQ1220" s="99">
        <v>7499.8156309229125</v>
      </c>
      <c r="AR1220" s="99">
        <v>7362.2579640900449</v>
      </c>
      <c r="AS1220" s="99">
        <v>7225.4875786173898</v>
      </c>
      <c r="AT1220" s="99">
        <v>7092.4152363037547</v>
      </c>
      <c r="AU1220" s="99">
        <v>6965.6923069540626</v>
      </c>
      <c r="AV1220" s="99">
        <v>6847.5091217504341</v>
      </c>
      <c r="AW1220" s="99">
        <v>6739.4629682333416</v>
      </c>
      <c r="AX1220" s="100">
        <v>6642.5091287093501</v>
      </c>
    </row>
    <row r="1221" spans="1:50" x14ac:dyDescent="0.25">
      <c r="A1221" s="355" t="s">
        <v>39</v>
      </c>
      <c r="B1221" s="358" t="s">
        <v>39</v>
      </c>
      <c r="C1221" s="353" t="s">
        <v>6</v>
      </c>
      <c r="D1221" s="3" t="s">
        <v>7</v>
      </c>
      <c r="E1221" s="162" t="str">
        <f>A1221&amp;"/"&amp;B1221&amp;"/"&amp;C1221&amp;"/"&amp;D1221</f>
        <v>Geothermal power plants/Geothermal power plants/Electricity only/L</v>
      </c>
      <c r="F1221" s="77" t="str">
        <f>A1221</f>
        <v>Geothermal power plants</v>
      </c>
      <c r="G1221" s="77" t="str">
        <f>B1221</f>
        <v>Geothermal power plants</v>
      </c>
      <c r="H1221" s="77" t="str">
        <f>C1221</f>
        <v>Electricity only</v>
      </c>
      <c r="I1221" s="163" t="str">
        <f t="shared" si="96"/>
        <v>L</v>
      </c>
      <c r="J1221" s="93">
        <v>5550</v>
      </c>
      <c r="K1221" s="93">
        <v>5545.8905278323964</v>
      </c>
      <c r="L1221" s="93">
        <v>5541.1274560566017</v>
      </c>
      <c r="M1221" s="93">
        <v>5535.6089635574372</v>
      </c>
      <c r="N1221" s="93">
        <v>5529.2181042968678</v>
      </c>
      <c r="O1221" s="93">
        <v>5521.8208162832107</v>
      </c>
      <c r="P1221" s="93">
        <v>5513.2637588496818</v>
      </c>
      <c r="Q1221" s="93">
        <v>5503.3719980668993</v>
      </c>
      <c r="R1221" s="93">
        <v>5491.9465772713374</v>
      </c>
      <c r="S1221" s="93">
        <v>5478.7620330955488</v>
      </c>
      <c r="T1221" s="93">
        <v>5463.5639485588199</v>
      </c>
      <c r="U1221" s="93">
        <v>5446.0666753413589</v>
      </c>
      <c r="V1221" s="93">
        <v>5425.9514088793494</v>
      </c>
      <c r="W1221" s="93">
        <v>5402.8648635817362</v>
      </c>
      <c r="X1221" s="93">
        <v>5376.4188716497774</v>
      </c>
      <c r="Y1221" s="93">
        <v>5346.1913164948692</v>
      </c>
      <c r="Z1221" s="93">
        <v>5311.7289068536393</v>
      </c>
      <c r="AA1221" s="93">
        <v>5272.5523927467502</v>
      </c>
      <c r="AB1221" s="93">
        <v>5228.1649062636243</v>
      </c>
      <c r="AC1221" s="93">
        <v>5178.0641584174045</v>
      </c>
      <c r="AD1221" s="93">
        <v>5121.7592090756389</v>
      </c>
      <c r="AE1221" s="93">
        <v>5058.79241247553</v>
      </c>
      <c r="AF1221" s="93">
        <v>4988.7668814785802</v>
      </c>
      <c r="AG1221" s="93">
        <v>4911.3793638235011</v>
      </c>
      <c r="AH1221" s="93">
        <v>4826.4577475401347</v>
      </c>
      <c r="AI1221" s="93">
        <v>4734.0015021853515</v>
      </c>
      <c r="AJ1221" s="93">
        <v>4634.2222598060389</v>
      </c>
      <c r="AK1221" s="93">
        <v>4527.5805612232571</v>
      </c>
      <c r="AL1221" s="93">
        <v>4414.8137472432554</v>
      </c>
      <c r="AM1221" s="93">
        <v>4296.9493554586743</v>
      </c>
      <c r="AN1221" s="93">
        <v>4175.2985328723289</v>
      </c>
      <c r="AO1221" s="93">
        <v>4051.4251960714473</v>
      </c>
      <c r="AP1221" s="93">
        <v>3927.0891073725552</v>
      </c>
      <c r="AQ1221" s="93">
        <v>3804.1645433985568</v>
      </c>
      <c r="AR1221" s="93">
        <v>3684.5403054099183</v>
      </c>
      <c r="AS1221" s="93">
        <v>3570.0106267462761</v>
      </c>
      <c r="AT1221" s="93">
        <v>3462.1690985928367</v>
      </c>
      <c r="AU1221" s="93">
        <v>3362.318244263035</v>
      </c>
      <c r="AV1221" s="93">
        <v>3271.4054744315144</v>
      </c>
      <c r="AW1221" s="93">
        <v>3189.992151319786</v>
      </c>
      <c r="AX1221" s="94">
        <v>3118.2572813837869</v>
      </c>
    </row>
    <row r="1222" spans="1:50" x14ac:dyDescent="0.25">
      <c r="A1222" s="356"/>
      <c r="B1222" s="359"/>
      <c r="C1222" s="350"/>
      <c r="D1222" s="2" t="s">
        <v>8</v>
      </c>
      <c r="E1222" s="160" t="str">
        <f>A1221&amp;"/"&amp;B1221&amp;"/"&amp;C1221&amp;"/"&amp;D1222</f>
        <v>Geothermal power plants/Geothermal power plants/Electricity only/M</v>
      </c>
      <c r="F1222" s="76" t="str">
        <f>A1221</f>
        <v>Geothermal power plants</v>
      </c>
      <c r="G1222" s="76" t="str">
        <f>B1221</f>
        <v>Geothermal power plants</v>
      </c>
      <c r="H1222" s="76" t="str">
        <f>C1221</f>
        <v>Electricity only</v>
      </c>
      <c r="I1222" s="161" t="str">
        <f t="shared" si="96"/>
        <v>M</v>
      </c>
      <c r="J1222" s="91">
        <v>6382.4999999999991</v>
      </c>
      <c r="K1222" s="91">
        <v>6376.7467455721944</v>
      </c>
      <c r="L1222" s="91">
        <v>6370.0803884686429</v>
      </c>
      <c r="M1222" s="91">
        <v>6362.3593522415558</v>
      </c>
      <c r="N1222" s="91">
        <v>6353.4212640456426</v>
      </c>
      <c r="O1222" s="91">
        <v>6343.0803003650981</v>
      </c>
      <c r="P1222" s="91">
        <v>6331.124336136515</v>
      </c>
      <c r="Q1222" s="91">
        <v>6317.3119382970326</v>
      </c>
      <c r="R1222" s="91">
        <v>6301.3692723019994</v>
      </c>
      <c r="S1222" s="91">
        <v>6282.9870270461324</v>
      </c>
      <c r="T1222" s="91">
        <v>6261.8175119559955</v>
      </c>
      <c r="U1222" s="91">
        <v>6237.4721418679046</v>
      </c>
      <c r="V1222" s="91">
        <v>6209.5196024130728</v>
      </c>
      <c r="W1222" s="91">
        <v>6177.4850818965406</v>
      </c>
      <c r="X1222" s="91">
        <v>6140.8510642980455</v>
      </c>
      <c r="Y1222" s="91">
        <v>6099.0602983914932</v>
      </c>
      <c r="Z1222" s="91">
        <v>6051.521681936576</v>
      </c>
      <c r="AA1222" s="91">
        <v>5997.6199127901182</v>
      </c>
      <c r="AB1222" s="91">
        <v>5936.729837189303</v>
      </c>
      <c r="AC1222" s="91">
        <v>5868.2364351038013</v>
      </c>
      <c r="AD1222" s="91">
        <v>5791.5612772851355</v>
      </c>
      <c r="AE1222" s="91">
        <v>5706.1960117661192</v>
      </c>
      <c r="AF1222" s="91">
        <v>5611.7429274811329</v>
      </c>
      <c r="AG1222" s="91">
        <v>5507.9618450191665</v>
      </c>
      <c r="AH1222" s="91">
        <v>5394.8214726115339</v>
      </c>
      <c r="AI1222" s="91">
        <v>5272.5519691889276</v>
      </c>
      <c r="AJ1222" s="91">
        <v>5141.6938957812617</v>
      </c>
      <c r="AK1222" s="91">
        <v>5003.1372506440421</v>
      </c>
      <c r="AL1222" s="91">
        <v>4858.1432375336281</v>
      </c>
      <c r="AM1222" s="91">
        <v>4708.3412671057486</v>
      </c>
      <c r="AN1222" s="91">
        <v>4555.6948914098539</v>
      </c>
      <c r="AO1222" s="91">
        <v>4402.4332144763275</v>
      </c>
      <c r="AP1222" s="91">
        <v>4250.9487570922338</v>
      </c>
      <c r="AQ1222" s="91">
        <v>4103.6682401554062</v>
      </c>
      <c r="AR1222" s="91">
        <v>3962.9082437583156</v>
      </c>
      <c r="AS1222" s="91">
        <v>3830.7318388340846</v>
      </c>
      <c r="AT1222" s="91">
        <v>3708.8237878024274</v>
      </c>
      <c r="AU1222" s="91">
        <v>3598.4000267839874</v>
      </c>
      <c r="AV1222" s="91">
        <v>3500.1620307541725</v>
      </c>
      <c r="AW1222" s="91">
        <v>3414.2994312295832</v>
      </c>
      <c r="AX1222" s="92">
        <v>3340.5366410540955</v>
      </c>
    </row>
    <row r="1223" spans="1:50" x14ac:dyDescent="0.25">
      <c r="A1223" s="357"/>
      <c r="B1223" s="362"/>
      <c r="C1223" s="354"/>
      <c r="D1223" s="4" t="s">
        <v>10</v>
      </c>
      <c r="E1223" s="168" t="str">
        <f>A1221&amp;"/"&amp;B1221&amp;"/"&amp;C1221&amp;"/"&amp;D1223</f>
        <v>Geothermal power plants/Geothermal power plants/Electricity only/S</v>
      </c>
      <c r="F1223" s="80" t="str">
        <f>A1221</f>
        <v>Geothermal power plants</v>
      </c>
      <c r="G1223" s="80" t="str">
        <f>B1221</f>
        <v>Geothermal power plants</v>
      </c>
      <c r="H1223" s="80" t="str">
        <f>C1221</f>
        <v>Electricity only</v>
      </c>
      <c r="I1223" s="169" t="str">
        <f t="shared" ref="I1223:I1237" si="97">D1223</f>
        <v>S</v>
      </c>
      <c r="J1223" s="99">
        <v>8297.25</v>
      </c>
      <c r="K1223" s="99">
        <v>8292.9736035196729</v>
      </c>
      <c r="L1223" s="99">
        <v>8288.0121820647582</v>
      </c>
      <c r="M1223" s="99">
        <v>8282.2573202360127</v>
      </c>
      <c r="N1223" s="99">
        <v>8275.583902169994</v>
      </c>
      <c r="O1223" s="99">
        <v>8267.8476984640274</v>
      </c>
      <c r="P1223" s="99">
        <v>8258.8826605830036</v>
      </c>
      <c r="Q1223" s="99">
        <v>8248.4979078435335</v>
      </c>
      <c r="R1223" s="99">
        <v>8236.4743999878065</v>
      </c>
      <c r="S1223" s="99">
        <v>8222.5613006192343</v>
      </c>
      <c r="T1223" s="99">
        <v>8206.4720548555506</v>
      </c>
      <c r="U1223" s="99">
        <v>8187.8802303067077</v>
      </c>
      <c r="V1223" s="99">
        <v>8166.4152061399182</v>
      </c>
      <c r="W1223" s="99">
        <v>8141.6578431727521</v>
      </c>
      <c r="X1223" s="99">
        <v>8113.1363315649924</v>
      </c>
      <c r="Y1223" s="99">
        <v>8080.322494805645</v>
      </c>
      <c r="Z1223" s="99">
        <v>8042.6289320991273</v>
      </c>
      <c r="AA1223" s="99">
        <v>7999.4075078262067</v>
      </c>
      <c r="AB1223" s="99">
        <v>7949.9498464380868</v>
      </c>
      <c r="AC1223" s="99">
        <v>7893.4906604160369</v>
      </c>
      <c r="AD1223" s="99">
        <v>7829.2149186602674</v>
      </c>
      <c r="AE1223" s="99">
        <v>7756.270035327123</v>
      </c>
      <c r="AF1223" s="99">
        <v>7673.7843954829232</v>
      </c>
      <c r="AG1223" s="99">
        <v>7580.8935897069523</v>
      </c>
      <c r="AH1223" s="99">
        <v>7476.7756431868675</v>
      </c>
      <c r="AI1223" s="99">
        <v>7360.6962168181635</v>
      </c>
      <c r="AJ1223" s="99">
        <v>7232.06413727776</v>
      </c>
      <c r="AK1223" s="99">
        <v>7090.4965907548285</v>
      </c>
      <c r="AL1223" s="99">
        <v>6935.8918291920891</v>
      </c>
      <c r="AM1223" s="99">
        <v>6768.5052933116804</v>
      </c>
      <c r="AN1223" s="99">
        <v>6589.0227748918378</v>
      </c>
      <c r="AO1223" s="99">
        <v>6398.6219107114284</v>
      </c>
      <c r="AP1223" s="99">
        <v>6199.0114089841318</v>
      </c>
      <c r="AQ1223" s="99">
        <v>5992.4366189318807</v>
      </c>
      <c r="AR1223" s="99">
        <v>5781.6410982595144</v>
      </c>
      <c r="AS1223" s="99">
        <v>5569.7773057546819</v>
      </c>
      <c r="AT1223" s="99">
        <v>5360.2656150932253</v>
      </c>
      <c r="AU1223" s="99">
        <v>5156.6089725802922</v>
      </c>
      <c r="AV1223" s="99">
        <v>4962.1793275190266</v>
      </c>
      <c r="AW1223" s="99">
        <v>4779.9993913090684</v>
      </c>
      <c r="AX1223" s="100">
        <v>4612.5471092732769</v>
      </c>
    </row>
    <row r="1224" spans="1:50" x14ac:dyDescent="0.25">
      <c r="A1224" s="355" t="s">
        <v>40</v>
      </c>
      <c r="B1224" s="5" t="s">
        <v>41</v>
      </c>
      <c r="C1224" s="6" t="s">
        <v>6</v>
      </c>
      <c r="D1224" s="60" t="s">
        <v>8</v>
      </c>
      <c r="E1224" s="170" t="str">
        <f>A1224&amp;"/"&amp;B1224&amp;"/"&amp;C1224&amp;"/"&amp;D1224</f>
        <v>Tide, wave and ocean power plants/Tidal/Electricity only/M</v>
      </c>
      <c r="F1224" s="81" t="str">
        <f>A1224</f>
        <v>Tide, wave and ocean power plants</v>
      </c>
      <c r="G1224" s="81" t="str">
        <f>B1224</f>
        <v>Tidal</v>
      </c>
      <c r="H1224" s="81" t="str">
        <f>C1224</f>
        <v>Electricity only</v>
      </c>
      <c r="I1224" s="171" t="str">
        <f t="shared" si="97"/>
        <v>M</v>
      </c>
      <c r="J1224" s="101">
        <v>8280</v>
      </c>
      <c r="K1224" s="101">
        <v>8252.1204871955015</v>
      </c>
      <c r="L1224" s="101">
        <v>8221.518533670107</v>
      </c>
      <c r="M1224" s="101">
        <v>8187.952040785548</v>
      </c>
      <c r="N1224" s="101">
        <v>8151.1625011134365</v>
      </c>
      <c r="O1224" s="101">
        <v>8110.8750336128069</v>
      </c>
      <c r="P1224" s="101">
        <v>8066.7987341164308</v>
      </c>
      <c r="Q1224" s="101">
        <v>8018.6274190686936</v>
      </c>
      <c r="R1224" s="101">
        <v>7966.0408515203635</v>
      </c>
      <c r="S1224" s="101">
        <v>7908.706549395044</v>
      </c>
      <c r="T1224" s="101">
        <v>7846.2822863296824</v>
      </c>
      <c r="U1224" s="101">
        <v>7778.4194040326947</v>
      </c>
      <c r="V1224" s="101">
        <v>7704.7670608643275</v>
      </c>
      <c r="W1224" s="101">
        <v>7624.9775426431997</v>
      </c>
      <c r="X1224" s="101">
        <v>7538.712756554467</v>
      </c>
      <c r="Y1224" s="101">
        <v>7445.6520151302138</v>
      </c>
      <c r="Z1224" s="101">
        <v>7345.5011918971586</v>
      </c>
      <c r="AA1224" s="101">
        <v>7238.0032905073685</v>
      </c>
      <c r="AB1224" s="101">
        <v>7122.9504120114207</v>
      </c>
      <c r="AC1224" s="101">
        <v>7000.1970276989523</v>
      </c>
      <c r="AD1224" s="101">
        <v>6869.6743656510189</v>
      </c>
      <c r="AE1224" s="101">
        <v>6731.4055971968746</v>
      </c>
      <c r="AF1224" s="101">
        <v>6585.5213663294671</v>
      </c>
      <c r="AG1224" s="101">
        <v>6432.275045273871</v>
      </c>
      <c r="AH1224" s="101">
        <v>6272.0569311625823</v>
      </c>
      <c r="AI1224" s="101">
        <v>6105.4064351317338</v>
      </c>
      <c r="AJ1224" s="101">
        <v>5933.021174147907</v>
      </c>
      <c r="AK1224" s="101">
        <v>5755.7617803730773</v>
      </c>
      <c r="AL1224" s="101">
        <v>5574.6512194038241</v>
      </c>
      <c r="AM1224" s="101">
        <v>5390.8674850617663</v>
      </c>
      <c r="AN1224" s="101">
        <v>5205.7287397916771</v>
      </c>
      <c r="AO1224" s="101">
        <v>5020.6703136931828</v>
      </c>
      <c r="AP1224" s="101">
        <v>4837.2134656773014</v>
      </c>
      <c r="AQ1224" s="101">
        <v>4656.9264315665578</v>
      </c>
      <c r="AR1224" s="101">
        <v>4481.3789965375909</v>
      </c>
      <c r="AS1224" s="101">
        <v>4312.0925682405941</v>
      </c>
      <c r="AT1224" s="101">
        <v>4150.4884054439754</v>
      </c>
      <c r="AU1224" s="101">
        <v>3997.8371756144934</v>
      </c>
      <c r="AV1224" s="101">
        <v>3855.2132758338894</v>
      </c>
      <c r="AW1224" s="101">
        <v>3723.4572775841707</v>
      </c>
      <c r="AX1224" s="102">
        <v>3603.1494089751718</v>
      </c>
    </row>
    <row r="1225" spans="1:50" x14ac:dyDescent="0.25">
      <c r="A1225" s="357"/>
      <c r="B1225" s="279" t="s">
        <v>42</v>
      </c>
      <c r="C1225" s="7" t="s">
        <v>6</v>
      </c>
      <c r="D1225" s="4" t="s">
        <v>8</v>
      </c>
      <c r="E1225" s="168" t="str">
        <f>A1224&amp;"/"&amp;B1225&amp;"/"&amp;C1225&amp;"/"&amp;D1225</f>
        <v>Tide, wave and ocean power plants/Wave/Electricity only/M</v>
      </c>
      <c r="F1225" s="80" t="str">
        <f>A1224</f>
        <v>Tide, wave and ocean power plants</v>
      </c>
      <c r="G1225" s="80" t="str">
        <f>B1225</f>
        <v>Wave</v>
      </c>
      <c r="H1225" s="80" t="str">
        <f>C1225</f>
        <v>Electricity only</v>
      </c>
      <c r="I1225" s="169" t="str">
        <f t="shared" si="97"/>
        <v>M</v>
      </c>
      <c r="J1225" s="99">
        <v>8694</v>
      </c>
      <c r="K1225" s="99">
        <v>8666.4171504608748</v>
      </c>
      <c r="L1225" s="99">
        <v>8636.1221387001096</v>
      </c>
      <c r="M1225" s="99">
        <v>8602.8696666638134</v>
      </c>
      <c r="N1225" s="99">
        <v>8566.3968600600638</v>
      </c>
      <c r="O1225" s="99">
        <v>8526.423034643869</v>
      </c>
      <c r="P1225" s="99">
        <v>8482.6497290526313</v>
      </c>
      <c r="Q1225" s="99">
        <v>8434.7610760014777</v>
      </c>
      <c r="R1225" s="99">
        <v>8382.4245948013995</v>
      </c>
      <c r="S1225" s="99">
        <v>8325.2924996555485</v>
      </c>
      <c r="T1225" s="99">
        <v>8263.0036295068439</v>
      </c>
      <c r="U1225" s="99">
        <v>8195.1861156201157</v>
      </c>
      <c r="V1225" s="99">
        <v>8121.4609115787935</v>
      </c>
      <c r="W1225" s="99">
        <v>8041.4463156380643</v>
      </c>
      <c r="X1225" s="99">
        <v>7954.7636157229899</v>
      </c>
      <c r="Y1225" s="99">
        <v>7861.0439807308239</v>
      </c>
      <c r="Z1225" s="99">
        <v>7759.9367057617683</v>
      </c>
      <c r="AA1225" s="99">
        <v>7651.1188907177866</v>
      </c>
      <c r="AB1225" s="99">
        <v>7534.3065884504931</v>
      </c>
      <c r="AC1225" s="99">
        <v>7409.2673974257568</v>
      </c>
      <c r="AD1225" s="99">
        <v>7275.8343922148897</v>
      </c>
      <c r="AE1225" s="99">
        <v>7133.921181409055</v>
      </c>
      <c r="AF1225" s="99">
        <v>6983.5377566843645</v>
      </c>
      <c r="AG1225" s="99">
        <v>6824.8066508925849</v>
      </c>
      <c r="AH1225" s="99">
        <v>6657.9787624955807</v>
      </c>
      <c r="AI1225" s="99">
        <v>6483.4480375943203</v>
      </c>
      <c r="AJ1225" s="99">
        <v>6301.7640429427784</v>
      </c>
      <c r="AK1225" s="99">
        <v>6113.6413321219743</v>
      </c>
      <c r="AL1225" s="99">
        <v>5919.9644251453765</v>
      </c>
      <c r="AM1225" s="99">
        <v>5721.7872146146801</v>
      </c>
      <c r="AN1225" s="99">
        <v>5520.3257047291772</v>
      </c>
      <c r="AO1225" s="99">
        <v>5316.9432048362305</v>
      </c>
      <c r="AP1225" s="99">
        <v>5113.1274500425434</v>
      </c>
      <c r="AQ1225" s="99">
        <v>4910.4596069579293</v>
      </c>
      <c r="AR1225" s="99">
        <v>4710.5757233494496</v>
      </c>
      <c r="AS1225" s="99">
        <v>4515.1218548669758</v>
      </c>
      <c r="AT1225" s="99">
        <v>4325.7047868019217</v>
      </c>
      <c r="AU1225" s="99">
        <v>4143.8408835144419</v>
      </c>
      <c r="AV1225" s="99">
        <v>3970.9060542234529</v>
      </c>
      <c r="AW1225" s="99">
        <v>3808.0900384137612</v>
      </c>
      <c r="AX1225" s="100">
        <v>3656.3581256590642</v>
      </c>
    </row>
    <row r="1226" spans="1:50" x14ac:dyDescent="0.25">
      <c r="A1226" s="355" t="s">
        <v>43</v>
      </c>
      <c r="B1226" s="358" t="s">
        <v>44</v>
      </c>
      <c r="C1226" s="353" t="s">
        <v>6</v>
      </c>
      <c r="D1226" s="3" t="s">
        <v>7</v>
      </c>
      <c r="E1226" s="162" t="str">
        <f>A1226&amp;"/"&amp;B1226&amp;"/"&amp;C1226&amp;"/"&amp;D1226</f>
        <v>Hydro plants/Run-of-river/Electricity only/L</v>
      </c>
      <c r="F1226" s="77" t="str">
        <f>A1226</f>
        <v>Hydro plants</v>
      </c>
      <c r="G1226" s="77" t="str">
        <f>B1226</f>
        <v>Run-of-river</v>
      </c>
      <c r="H1226" s="77" t="str">
        <f>C1226</f>
        <v>Electricity only</v>
      </c>
      <c r="I1226" s="163" t="str">
        <f t="shared" si="97"/>
        <v>L</v>
      </c>
      <c r="J1226" s="93">
        <v>2290</v>
      </c>
      <c r="K1226" s="93">
        <v>2289.0298156991921</v>
      </c>
      <c r="L1226" s="93">
        <v>2287.9647511176304</v>
      </c>
      <c r="M1226" s="93">
        <v>2286.7963300291904</v>
      </c>
      <c r="N1226" s="93">
        <v>2285.515490168842</v>
      </c>
      <c r="O1226" s="93">
        <v>2284.1125803273167</v>
      </c>
      <c r="P1226" s="93">
        <v>2282.5773673254571</v>
      </c>
      <c r="Q1226" s="93">
        <v>2280.8990553089075</v>
      </c>
      <c r="R1226" s="93">
        <v>2279.0663201302114</v>
      </c>
      <c r="S1226" s="93">
        <v>2277.0673619018344</v>
      </c>
      <c r="T1226" s="93">
        <v>2274.8899790879568</v>
      </c>
      <c r="U1226" s="93">
        <v>2272.5216677255448</v>
      </c>
      <c r="V1226" s="93">
        <v>2269.9497494881994</v>
      </c>
      <c r="W1226" s="93">
        <v>2267.1615322823927</v>
      </c>
      <c r="X1226" s="93">
        <v>2264.1445068385892</v>
      </c>
      <c r="Y1226" s="93">
        <v>2260.8865822650018</v>
      </c>
      <c r="Z1226" s="93">
        <v>2257.3763626991331</v>
      </c>
      <c r="AA1226" s="93">
        <v>2253.6034659507295</v>
      </c>
      <c r="AB1226" s="93">
        <v>2249.5588833140241</v>
      </c>
      <c r="AC1226" s="93">
        <v>2245.2353774879916</v>
      </c>
      <c r="AD1226" s="93">
        <v>2240.6279127605021</v>
      </c>
      <c r="AE1226" s="93">
        <v>2235.734108310317</v>
      </c>
      <c r="AF1226" s="93">
        <v>2230.5547017463523</v>
      </c>
      <c r="AG1226" s="93">
        <v>2225.0940060022722</v>
      </c>
      <c r="AH1226" s="93">
        <v>2219.3603386944947</v>
      </c>
      <c r="AI1226" s="93">
        <v>2213.3663993896444</v>
      </c>
      <c r="AJ1226" s="93">
        <v>2207.1295673616551</v>
      </c>
      <c r="AK1226" s="93">
        <v>2200.6720908647153</v>
      </c>
      <c r="AL1226" s="93">
        <v>2194.0211392437291</v>
      </c>
      <c r="AM1226" s="93">
        <v>2187.2086918412142</v>
      </c>
      <c r="AN1226" s="93">
        <v>2180.2712429993176</v>
      </c>
      <c r="AO1226" s="93">
        <v>2173.2493106319853</v>
      </c>
      <c r="AP1226" s="93">
        <v>2166.1867466737258</v>
      </c>
      <c r="AQ1226" s="93">
        <v>2159.1298606379582</v>
      </c>
      <c r="AR1226" s="93">
        <v>2152.1263815874709</v>
      </c>
      <c r="AS1226" s="93">
        <v>2145.2242977387932</v>
      </c>
      <c r="AT1226" s="93">
        <v>2138.4706251828306</v>
      </c>
      <c r="AU1226" s="93">
        <v>2131.9101662735648</v>
      </c>
      <c r="AV1226" s="93">
        <v>2125.584322791331</v>
      </c>
      <c r="AW1226" s="93">
        <v>2119.5300281446202</v>
      </c>
      <c r="AX1226" s="94">
        <v>2113.7788563772906</v>
      </c>
    </row>
    <row r="1227" spans="1:50" x14ac:dyDescent="0.25">
      <c r="A1227" s="356"/>
      <c r="B1227" s="359"/>
      <c r="C1227" s="350"/>
      <c r="D1227" s="2" t="s">
        <v>8</v>
      </c>
      <c r="E1227" s="160" t="str">
        <f>A1226&amp;"/"&amp;B1226&amp;"/"&amp;C1226&amp;"/"&amp;D1227</f>
        <v>Hydro plants/Run-of-river/Electricity only/M</v>
      </c>
      <c r="F1227" s="76" t="str">
        <f>A1226</f>
        <v>Hydro plants</v>
      </c>
      <c r="G1227" s="76" t="str">
        <f>B1226</f>
        <v>Run-of-river</v>
      </c>
      <c r="H1227" s="76" t="str">
        <f>C1226</f>
        <v>Electricity only</v>
      </c>
      <c r="I1227" s="161" t="str">
        <f t="shared" si="97"/>
        <v>M</v>
      </c>
      <c r="J1227" s="91">
        <v>2404.5</v>
      </c>
      <c r="K1227" s="91">
        <v>2403.6624235292452</v>
      </c>
      <c r="L1227" s="91">
        <v>2402.741839269841</v>
      </c>
      <c r="M1227" s="91">
        <v>2401.7305944000132</v>
      </c>
      <c r="N1227" s="91">
        <v>2400.6204536842311</v>
      </c>
      <c r="O1227" s="91">
        <v>2399.4025821617797</v>
      </c>
      <c r="P1227" s="91">
        <v>2398.0675340304401</v>
      </c>
      <c r="Q1227" s="91">
        <v>2396.6052496181978</v>
      </c>
      <c r="R1227" s="91">
        <v>2395.0050626527623</v>
      </c>
      <c r="S1227" s="91">
        <v>2393.2557203728543</v>
      </c>
      <c r="T1227" s="91">
        <v>2391.3454193654411</v>
      </c>
      <c r="U1227" s="91">
        <v>2389.261860342931</v>
      </c>
      <c r="V1227" s="91">
        <v>2386.9923253707088</v>
      </c>
      <c r="W1227" s="91">
        <v>2384.5237812874866</v>
      </c>
      <c r="X1227" s="91">
        <v>2381.8430131891305</v>
      </c>
      <c r="Y1227" s="91">
        <v>2378.9367918217163</v>
      </c>
      <c r="Z1227" s="91">
        <v>2375.792078492872</v>
      </c>
      <c r="AA1227" s="91">
        <v>2372.3962705947411</v>
      </c>
      <c r="AB1227" s="91">
        <v>2368.737489964094</v>
      </c>
      <c r="AC1227" s="91">
        <v>2364.8049150110296</v>
      </c>
      <c r="AD1227" s="91">
        <v>2360.5891557593527</v>
      </c>
      <c r="AE1227" s="91">
        <v>2356.0826686077826</v>
      </c>
      <c r="AF1227" s="91">
        <v>2351.2802047205537</v>
      </c>
      <c r="AG1227" s="91">
        <v>2346.1792825142588</v>
      </c>
      <c r="AH1227" s="91">
        <v>2340.7806708152234</v>
      </c>
      <c r="AI1227" s="91">
        <v>2335.0888650909988</v>
      </c>
      <c r="AJ1227" s="91">
        <v>2329.1125349798426</v>
      </c>
      <c r="AK1227" s="91">
        <v>2322.8649175250539</v>
      </c>
      <c r="AL1227" s="91">
        <v>2316.3641275338846</v>
      </c>
      <c r="AM1227" s="91">
        <v>2309.633354860975</v>
      </c>
      <c r="AN1227" s="91">
        <v>2302.7009187242588</v>
      </c>
      <c r="AO1227" s="91">
        <v>2295.6001519101314</v>
      </c>
      <c r="AP1227" s="91">
        <v>2288.3690932904246</v>
      </c>
      <c r="AQ1227" s="91">
        <v>2281.0499755961587</v>
      </c>
      <c r="AR1227" s="91">
        <v>2273.6885066828054</v>
      </c>
      <c r="AS1227" s="91">
        <v>2266.3329559954909</v>
      </c>
      <c r="AT1227" s="91">
        <v>2259.0330726075058</v>
      </c>
      <c r="AU1227" s="91">
        <v>2251.838875713901</v>
      </c>
      <c r="AV1227" s="91">
        <v>2244.7993712413727</v>
      </c>
      <c r="AW1227" s="91">
        <v>2237.9612576889408</v>
      </c>
      <c r="AX1227" s="92">
        <v>2231.367689061397</v>
      </c>
    </row>
    <row r="1228" spans="1:50" x14ac:dyDescent="0.25">
      <c r="A1228" s="356"/>
      <c r="B1228" s="359"/>
      <c r="C1228" s="350"/>
      <c r="D1228" s="2" t="s">
        <v>10</v>
      </c>
      <c r="E1228" s="160" t="str">
        <f>A1226&amp;"/"&amp;B1226&amp;"/"&amp;C1226&amp;"/"&amp;D1228</f>
        <v>Hydro plants/Run-of-river/Electricity only/S</v>
      </c>
      <c r="F1228" s="76" t="str">
        <f>A1226</f>
        <v>Hydro plants</v>
      </c>
      <c r="G1228" s="76" t="str">
        <f>B1226</f>
        <v>Run-of-river</v>
      </c>
      <c r="H1228" s="76" t="str">
        <f>C1226</f>
        <v>Electricity only</v>
      </c>
      <c r="I1228" s="161" t="str">
        <f t="shared" si="97"/>
        <v>S</v>
      </c>
      <c r="J1228" s="91">
        <v>2644.9500000000003</v>
      </c>
      <c r="K1228" s="91">
        <v>2644.1930444483301</v>
      </c>
      <c r="L1228" s="91">
        <v>2643.3602531111214</v>
      </c>
      <c r="M1228" s="91">
        <v>2642.4444566709308</v>
      </c>
      <c r="N1228" s="91">
        <v>2641.437900473265</v>
      </c>
      <c r="O1228" s="91">
        <v>2640.3322170111755</v>
      </c>
      <c r="P1228" s="91">
        <v>2639.11840197324</v>
      </c>
      <c r="Q1228" s="91">
        <v>2637.7867953154446</v>
      </c>
      <c r="R1228" s="91">
        <v>2636.3270691067305</v>
      </c>
      <c r="S1228" s="91">
        <v>2634.7282242178926</v>
      </c>
      <c r="T1228" s="91">
        <v>2632.9785982699909</v>
      </c>
      <c r="U1228" s="91">
        <v>2631.0658876237976</v>
      </c>
      <c r="V1228" s="91">
        <v>2628.9771865638168</v>
      </c>
      <c r="W1228" s="91">
        <v>2626.6990471910367</v>
      </c>
      <c r="X1228" s="91">
        <v>2624.217563862625</v>
      </c>
      <c r="Y1228" s="91">
        <v>2621.5184862705455</v>
      </c>
      <c r="Z1228" s="91">
        <v>2618.5873653912336</v>
      </c>
      <c r="AA1228" s="91">
        <v>2615.4097365112293</v>
      </c>
      <c r="AB1228" s="91">
        <v>2611.971343274874</v>
      </c>
      <c r="AC1228" s="91">
        <v>2608.2584061362804</v>
      </c>
      <c r="AD1228" s="91">
        <v>2604.2579376489507</v>
      </c>
      <c r="AE1228" s="91">
        <v>2599.9581056114635</v>
      </c>
      <c r="AF1228" s="91">
        <v>2595.3486431322885</v>
      </c>
      <c r="AG1228" s="91">
        <v>2590.4213021249038</v>
      </c>
      <c r="AH1228" s="91">
        <v>2585.1703435729014</v>
      </c>
      <c r="AI1228" s="91">
        <v>2579.5930541416433</v>
      </c>
      <c r="AJ1228" s="91">
        <v>2573.6902744569538</v>
      </c>
      <c r="AK1228" s="91">
        <v>2567.4669198111374</v>
      </c>
      <c r="AL1228" s="91">
        <v>2560.9324694865413</v>
      </c>
      <c r="AM1228" s="91">
        <v>2554.1013967134381</v>
      </c>
      <c r="AN1228" s="91">
        <v>2546.9935080128744</v>
      </c>
      <c r="AO1228" s="91">
        <v>2539.6341589040999</v>
      </c>
      <c r="AP1228" s="91">
        <v>2532.0543132929542</v>
      </c>
      <c r="AQ1228" s="91">
        <v>2524.2904168631294</v>
      </c>
      <c r="AR1228" s="91">
        <v>2516.3840608777882</v>
      </c>
      <c r="AS1228" s="91">
        <v>2508.3814221172929</v>
      </c>
      <c r="AT1228" s="91">
        <v>2500.3324770229501</v>
      </c>
      <c r="AU1228" s="91">
        <v>2492.2900028486097</v>
      </c>
      <c r="AV1228" s="91">
        <v>2484.3083946564707</v>
      </c>
      <c r="AW1228" s="91">
        <v>2476.4423428567434</v>
      </c>
      <c r="AX1228" s="92">
        <v>2468.745429963722</v>
      </c>
    </row>
    <row r="1229" spans="1:50" x14ac:dyDescent="0.25">
      <c r="A1229" s="356"/>
      <c r="B1229" s="368"/>
      <c r="C1229" s="360"/>
      <c r="D1229" s="59" t="s">
        <v>20</v>
      </c>
      <c r="E1229" s="166" t="str">
        <f>A1226&amp;"/"&amp;B1226&amp;"/"&amp;C1226&amp;"/"&amp;D1229</f>
        <v>Hydro plants/Run-of-river/Electricity only/XS</v>
      </c>
      <c r="F1229" s="79" t="str">
        <f>A1226</f>
        <v>Hydro plants</v>
      </c>
      <c r="G1229" s="79" t="str">
        <f>B1226</f>
        <v>Run-of-river</v>
      </c>
      <c r="H1229" s="79" t="str">
        <f>C1226</f>
        <v>Electricity only</v>
      </c>
      <c r="I1229" s="167" t="str">
        <f t="shared" si="97"/>
        <v>XS</v>
      </c>
      <c r="J1229" s="97">
        <v>3173.94</v>
      </c>
      <c r="K1229" s="97">
        <v>3173.1941789025332</v>
      </c>
      <c r="L1229" s="97">
        <v>3172.3729731026115</v>
      </c>
      <c r="M1229" s="97">
        <v>3171.4691110989547</v>
      </c>
      <c r="N1229" s="97">
        <v>3170.4746954492953</v>
      </c>
      <c r="O1229" s="97">
        <v>3169.3811654480342</v>
      </c>
      <c r="P1229" s="97">
        <v>3168.1792614530004</v>
      </c>
      <c r="Q1229" s="97">
        <v>3166.8589920299819</v>
      </c>
      <c r="R1229" s="97">
        <v>3165.4096053522085</v>
      </c>
      <c r="S1229" s="97">
        <v>3163.8195665987541</v>
      </c>
      <c r="T1229" s="97">
        <v>3162.0765434412024</v>
      </c>
      <c r="U1229" s="97">
        <v>3160.16740208994</v>
      </c>
      <c r="V1229" s="97">
        <v>3158.0782167851603</v>
      </c>
      <c r="W1229" s="97">
        <v>3155.794296053924</v>
      </c>
      <c r="X1229" s="97">
        <v>3153.3002294988287</v>
      </c>
      <c r="Y1229" s="97">
        <v>3150.5799593144739</v>
      </c>
      <c r="Z1229" s="97">
        <v>3147.6168811148214</v>
      </c>
      <c r="AA1229" s="97">
        <v>3144.3939789575952</v>
      </c>
      <c r="AB1229" s="97">
        <v>3140.8939996191921</v>
      </c>
      <c r="AC1229" s="97">
        <v>3137.0996711410917</v>
      </c>
      <c r="AD1229" s="97">
        <v>3132.9939703596988</v>
      </c>
      <c r="AE1229" s="97">
        <v>3128.560443458236</v>
      </c>
      <c r="AF1229" s="97">
        <v>3123.7835824463245</v>
      </c>
      <c r="AG1229" s="97">
        <v>3118.6492587833091</v>
      </c>
      <c r="AH1229" s="97">
        <v>3113.1452130265725</v>
      </c>
      <c r="AI1229" s="97">
        <v>3107.2615963388976</v>
      </c>
      <c r="AJ1229" s="97">
        <v>3100.9915559019664</v>
      </c>
      <c r="AK1229" s="97">
        <v>3094.3318517896332</v>
      </c>
      <c r="AL1229" s="97">
        <v>3087.2834877725177</v>
      </c>
      <c r="AM1229" s="97">
        <v>3079.8523330802459</v>
      </c>
      <c r="AN1229" s="97">
        <v>3072.0497066906864</v>
      </c>
      <c r="AO1229" s="97">
        <v>3063.8928907320756</v>
      </c>
      <c r="AP1229" s="97">
        <v>3055.4055356839676</v>
      </c>
      <c r="AQ1229" s="97">
        <v>3046.6179179481705</v>
      </c>
      <c r="AR1229" s="97">
        <v>3037.5670107629562</v>
      </c>
      <c r="AS1229" s="97">
        <v>3028.2963330226826</v>
      </c>
      <c r="AT1229" s="97">
        <v>3018.8555478315748</v>
      </c>
      <c r="AU1229" s="97">
        <v>3009.2997937471464</v>
      </c>
      <c r="AV1229" s="97">
        <v>2999.6887464085753</v>
      </c>
      <c r="AW1229" s="97">
        <v>2990.0854258363988</v>
      </c>
      <c r="AX1229" s="98">
        <v>2980.5547838363068</v>
      </c>
    </row>
    <row r="1230" spans="1:50" x14ac:dyDescent="0.25">
      <c r="A1230" s="356"/>
      <c r="B1230" s="359" t="s">
        <v>45</v>
      </c>
      <c r="C1230" s="350" t="s">
        <v>6</v>
      </c>
      <c r="D1230" s="2" t="s">
        <v>7</v>
      </c>
      <c r="E1230" s="160" t="str">
        <f>A1226&amp;"/"&amp;B1230&amp;"/"&amp;C1230&amp;"/"&amp;D1230</f>
        <v>Hydro plants/Reservoirs (dams)/Electricity only/L</v>
      </c>
      <c r="F1230" s="76" t="str">
        <f>A1226</f>
        <v>Hydro plants</v>
      </c>
      <c r="G1230" s="76" t="str">
        <f>B1230</f>
        <v>Reservoirs (dams)</v>
      </c>
      <c r="H1230" s="76" t="str">
        <f>C1230</f>
        <v>Electricity only</v>
      </c>
      <c r="I1230" s="161" t="str">
        <f t="shared" si="97"/>
        <v>L</v>
      </c>
      <c r="J1230" s="91">
        <v>2977</v>
      </c>
      <c r="K1230" s="91">
        <v>2976.9579714914994</v>
      </c>
      <c r="L1230" s="91">
        <v>2976.9138008006885</v>
      </c>
      <c r="M1230" s="91">
        <v>2976.8673794214119</v>
      </c>
      <c r="N1230" s="91">
        <v>2976.8185934227358</v>
      </c>
      <c r="O1230" s="91">
        <v>2976.7673231852168</v>
      </c>
      <c r="P1230" s="91">
        <v>2976.713443125137</v>
      </c>
      <c r="Q1230" s="91">
        <v>2976.6568214062409</v>
      </c>
      <c r="R1230" s="91">
        <v>2976.5973196385016</v>
      </c>
      <c r="S1230" s="91">
        <v>2976.5347925634396</v>
      </c>
      <c r="T1230" s="91">
        <v>2976.4690877255016</v>
      </c>
      <c r="U1230" s="91">
        <v>2976.4000451290144</v>
      </c>
      <c r="V1230" s="91">
        <v>2976.3274968802161</v>
      </c>
      <c r="W1230" s="91">
        <v>2976.2512668138729</v>
      </c>
      <c r="X1230" s="91">
        <v>2976.1711701039885</v>
      </c>
      <c r="Y1230" s="91">
        <v>2976.0870128581118</v>
      </c>
      <c r="Z1230" s="91">
        <v>2975.9985916947735</v>
      </c>
      <c r="AA1230" s="91">
        <v>2975.9056933035672</v>
      </c>
      <c r="AB1230" s="91">
        <v>2975.8080939874271</v>
      </c>
      <c r="AC1230" s="91">
        <v>2975.7055591866633</v>
      </c>
      <c r="AD1230" s="91">
        <v>2975.5978429843394</v>
      </c>
      <c r="AE1230" s="91">
        <v>2975.4846875926105</v>
      </c>
      <c r="AF1230" s="91">
        <v>2975.36582281967</v>
      </c>
      <c r="AG1230" s="91">
        <v>2975.2409655170031</v>
      </c>
      <c r="AH1230" s="91">
        <v>2975.1098190066832</v>
      </c>
      <c r="AI1230" s="91">
        <v>2974.972072488521</v>
      </c>
      <c r="AJ1230" s="91">
        <v>2974.8274004269324</v>
      </c>
      <c r="AK1230" s="91">
        <v>2974.6754619174667</v>
      </c>
      <c r="AL1230" s="91">
        <v>2974.5159000330432</v>
      </c>
      <c r="AM1230" s="91">
        <v>2974.3483411500242</v>
      </c>
      <c r="AN1230" s="91">
        <v>2974.1723942543804</v>
      </c>
      <c r="AO1230" s="91">
        <v>2973.987650228336</v>
      </c>
      <c r="AP1230" s="91">
        <v>2973.7936811180193</v>
      </c>
      <c r="AQ1230" s="91">
        <v>2973.5900393828115</v>
      </c>
      <c r="AR1230" s="91">
        <v>2973.3762571272764</v>
      </c>
      <c r="AS1230" s="91">
        <v>2973.1518453167473</v>
      </c>
      <c r="AT1230" s="91">
        <v>2972.9162929778799</v>
      </c>
      <c r="AU1230" s="91">
        <v>2972.6690663857307</v>
      </c>
      <c r="AV1230" s="91">
        <v>2972.409608239197</v>
      </c>
      <c r="AW1230" s="91">
        <v>2972.1373368269547</v>
      </c>
      <c r="AX1230" s="92">
        <v>2971.8516451863684</v>
      </c>
    </row>
    <row r="1231" spans="1:50" x14ac:dyDescent="0.25">
      <c r="A1231" s="356"/>
      <c r="B1231" s="359"/>
      <c r="C1231" s="350"/>
      <c r="D1231" s="2" t="s">
        <v>8</v>
      </c>
      <c r="E1231" s="160" t="str">
        <f>A1226&amp;"/"&amp;B1230&amp;"/"&amp;C1230&amp;"/"&amp;D1231</f>
        <v>Hydro plants/Reservoirs (dams)/Electricity only/M</v>
      </c>
      <c r="F1231" s="76" t="str">
        <f>A1226</f>
        <v>Hydro plants</v>
      </c>
      <c r="G1231" s="76" t="str">
        <f>B1230</f>
        <v>Reservoirs (dams)</v>
      </c>
      <c r="H1231" s="76" t="str">
        <f>C1230</f>
        <v>Electricity only</v>
      </c>
      <c r="I1231" s="161" t="str">
        <f t="shared" si="97"/>
        <v>M</v>
      </c>
      <c r="J1231" s="91">
        <v>3423.5499999999997</v>
      </c>
      <c r="K1231" s="91">
        <v>3423.5225669352735</v>
      </c>
      <c r="L1231" s="91">
        <v>3423.4922537215616</v>
      </c>
      <c r="M1231" s="91">
        <v>3423.4587585589488</v>
      </c>
      <c r="N1231" s="91">
        <v>3423.4217481517057</v>
      </c>
      <c r="O1231" s="91">
        <v>3423.3808544498397</v>
      </c>
      <c r="P1231" s="91">
        <v>3423.3356710598423</v>
      </c>
      <c r="Q1231" s="91">
        <v>3423.2857492924468</v>
      </c>
      <c r="R1231" s="91">
        <v>3423.2305938123973</v>
      </c>
      <c r="S1231" s="91">
        <v>3423.1696578522437</v>
      </c>
      <c r="T1231" s="91">
        <v>3423.102337949023</v>
      </c>
      <c r="U1231" s="91">
        <v>3423.0279681593856</v>
      </c>
      <c r="V1231" s="91">
        <v>3422.9458137052866</v>
      </c>
      <c r="W1231" s="91">
        <v>3422.8550639988503</v>
      </c>
      <c r="X1231" s="91">
        <v>3422.7548249914216</v>
      </c>
      <c r="Y1231" s="91">
        <v>3422.6441107882742</v>
      </c>
      <c r="Z1231" s="91">
        <v>3422.5218344669615</v>
      </c>
      <c r="AA1231" s="91">
        <v>3422.3867980340319</v>
      </c>
      <c r="AB1231" s="91">
        <v>3422.2376814518984</v>
      </c>
      <c r="AC1231" s="91">
        <v>3422.0730306652204</v>
      </c>
      <c r="AD1231" s="91">
        <v>3421.8912445544547</v>
      </c>
      <c r="AE1231" s="91">
        <v>3421.6905607435178</v>
      </c>
      <c r="AF1231" s="91">
        <v>3421.4690401891066</v>
      </c>
      <c r="AG1231" s="91">
        <v>3421.2245504815569</v>
      </c>
      <c r="AH1231" s="91">
        <v>3420.9547477916694</v>
      </c>
      <c r="AI1231" s="91">
        <v>3420.6570574052798</v>
      </c>
      <c r="AJ1231" s="91">
        <v>3420.3286527982164</v>
      </c>
      <c r="AK1231" s="91">
        <v>3419.966433219528</v>
      </c>
      <c r="AL1231" s="91">
        <v>3419.5669997714067</v>
      </c>
      <c r="AM1231" s="91">
        <v>3419.126630001334</v>
      </c>
      <c r="AN1231" s="91">
        <v>3418.641251056843</v>
      </c>
      <c r="AO1231" s="91">
        <v>3418.1064114975984</v>
      </c>
      <c r="AP1231" s="91">
        <v>3417.5172519147818</v>
      </c>
      <c r="AQ1231" s="91">
        <v>3416.8684745761143</v>
      </c>
      <c r="AR1231" s="91">
        <v>3416.1543123981501</v>
      </c>
      <c r="AS1231" s="91">
        <v>3415.3684976480399</v>
      </c>
      <c r="AT1231" s="91">
        <v>3414.5042308969046</v>
      </c>
      <c r="AU1231" s="91">
        <v>3413.554150888498</v>
      </c>
      <c r="AV1231" s="91">
        <v>3412.5103061518544</v>
      </c>
      <c r="AW1231" s="91">
        <v>3411.3641293765345</v>
      </c>
      <c r="AX1231" s="92">
        <v>3410.1064157846449</v>
      </c>
    </row>
    <row r="1232" spans="1:50" x14ac:dyDescent="0.25">
      <c r="A1232" s="356"/>
      <c r="B1232" s="359"/>
      <c r="C1232" s="350"/>
      <c r="D1232" s="2" t="s">
        <v>10</v>
      </c>
      <c r="E1232" s="160" t="str">
        <f>A1226&amp;"/"&amp;B1230&amp;"/"&amp;C1230&amp;"/"&amp;D1232</f>
        <v>Hydro plants/Reservoirs (dams)/Electricity only/S</v>
      </c>
      <c r="F1232" s="76" t="str">
        <f>A1226</f>
        <v>Hydro plants</v>
      </c>
      <c r="G1232" s="76" t="str">
        <f>B1230</f>
        <v>Reservoirs (dams)</v>
      </c>
      <c r="H1232" s="76" t="str">
        <f>C1230</f>
        <v>Electricity only</v>
      </c>
      <c r="I1232" s="161" t="str">
        <f t="shared" si="97"/>
        <v>S</v>
      </c>
      <c r="J1232" s="91">
        <v>4279.4375</v>
      </c>
      <c r="K1232" s="91">
        <v>4279.4265648648279</v>
      </c>
      <c r="L1232" s="91">
        <v>4279.4138607310852</v>
      </c>
      <c r="M1232" s="91">
        <v>4279.399101552317</v>
      </c>
      <c r="N1232" s="91">
        <v>4279.3819550732069</v>
      </c>
      <c r="O1232" s="91">
        <v>4279.3620353805027</v>
      </c>
      <c r="P1232" s="91">
        <v>4279.3388942585962</v>
      </c>
      <c r="Q1232" s="91">
        <v>4279.3120111598464</v>
      </c>
      <c r="R1232" s="91">
        <v>4279.2807815702699</v>
      </c>
      <c r="S1232" s="91">
        <v>4279.2445035173414</v>
      </c>
      <c r="T1232" s="91">
        <v>4279.2023619279589</v>
      </c>
      <c r="U1232" s="91">
        <v>4279.1534105003611</v>
      </c>
      <c r="V1232" s="91">
        <v>4279.0965507034707</v>
      </c>
      <c r="W1232" s="91">
        <v>4279.0305074600719</v>
      </c>
      <c r="X1232" s="91">
        <v>4278.9538010057986</v>
      </c>
      <c r="Y1232" s="91">
        <v>4278.8647143436192</v>
      </c>
      <c r="Z1232" s="91">
        <v>4278.7612556329323</v>
      </c>
      <c r="AA1232" s="91">
        <v>4278.641114763298</v>
      </c>
      <c r="AB1232" s="91">
        <v>4278.501613265481</v>
      </c>
      <c r="AC1232" s="91">
        <v>4278.3396466075174</v>
      </c>
      <c r="AD1232" s="91">
        <v>4278.1516178124702</v>
      </c>
      <c r="AE1232" s="91">
        <v>4277.9333612200035</v>
      </c>
      <c r="AF1232" s="91">
        <v>4277.6800551001079</v>
      </c>
      <c r="AG1232" s="91">
        <v>4277.3861217205931</v>
      </c>
      <c r="AH1232" s="91">
        <v>4277.0451133796241</v>
      </c>
      <c r="AI1232" s="91">
        <v>4276.64958285392</v>
      </c>
      <c r="AJ1232" s="91">
        <v>4276.1909367006547</v>
      </c>
      <c r="AK1232" s="91">
        <v>4275.6592699119556</v>
      </c>
      <c r="AL1232" s="91">
        <v>4275.0431805890621</v>
      </c>
      <c r="AM1232" s="91">
        <v>4274.3295636237153</v>
      </c>
      <c r="AN1232" s="91">
        <v>4273.5033829055646</v>
      </c>
      <c r="AO1232" s="91">
        <v>4272.5474223908877</v>
      </c>
      <c r="AP1232" s="91">
        <v>4271.4420175628566</v>
      </c>
      <c r="AQ1232" s="91">
        <v>4270.1647705002915</v>
      </c>
      <c r="AR1232" s="91">
        <v>4268.6902540838018</v>
      </c>
      <c r="AS1232" s="91">
        <v>4266.9897139556961</v>
      </c>
      <c r="AT1232" s="91">
        <v>4265.0307808713396</v>
      </c>
      <c r="AU1232" s="91">
        <v>4262.7772111839449</v>
      </c>
      <c r="AV1232" s="91">
        <v>4260.1886795024384</v>
      </c>
      <c r="AW1232" s="91">
        <v>4257.2206550777928</v>
      </c>
      <c r="AX1232" s="92">
        <v>4253.8244020774673</v>
      </c>
    </row>
    <row r="1233" spans="1:50" x14ac:dyDescent="0.25">
      <c r="A1233" s="357"/>
      <c r="B1233" s="362"/>
      <c r="C1233" s="354"/>
      <c r="D1233" s="4" t="s">
        <v>20</v>
      </c>
      <c r="E1233" s="168" t="str">
        <f>A1226&amp;"/"&amp;B1230&amp;"/"&amp;C1230&amp;"/"&amp;D1233</f>
        <v>Hydro plants/Reservoirs (dams)/Electricity only/XS</v>
      </c>
      <c r="F1233" s="80" t="str">
        <f>A1226</f>
        <v>Hydro plants</v>
      </c>
      <c r="G1233" s="80" t="str">
        <f>B1230</f>
        <v>Reservoirs (dams)</v>
      </c>
      <c r="H1233" s="80" t="str">
        <f>C1230</f>
        <v>Electricity only</v>
      </c>
      <c r="I1233" s="169" t="str">
        <f t="shared" si="97"/>
        <v>XS</v>
      </c>
      <c r="J1233" s="99">
        <v>5777.2406250000004</v>
      </c>
      <c r="K1233" s="99">
        <v>5777.2369065009116</v>
      </c>
      <c r="L1233" s="99">
        <v>5777.2323647782086</v>
      </c>
      <c r="M1233" s="99">
        <v>5777.2268175985719</v>
      </c>
      <c r="N1233" s="99">
        <v>5777.2200423967961</v>
      </c>
      <c r="O1233" s="99">
        <v>5777.2117673536213</v>
      </c>
      <c r="P1233" s="99">
        <v>5777.201660501798</v>
      </c>
      <c r="Q1233" s="99">
        <v>5777.1893164256599</v>
      </c>
      <c r="R1233" s="99">
        <v>5777.1742400240437</v>
      </c>
      <c r="S1233" s="99">
        <v>5777.1558266903712</v>
      </c>
      <c r="T1233" s="99">
        <v>5777.1333381225859</v>
      </c>
      <c r="U1233" s="99">
        <v>5777.1058728042353</v>
      </c>
      <c r="V1233" s="99">
        <v>5777.0723299900937</v>
      </c>
      <c r="W1233" s="99">
        <v>5777.0313657778979</v>
      </c>
      <c r="X1233" s="99">
        <v>5776.9813395433848</v>
      </c>
      <c r="Y1233" s="99">
        <v>5776.9202486487611</v>
      </c>
      <c r="Z1233" s="99">
        <v>5776.8456488934644</v>
      </c>
      <c r="AA1233" s="99">
        <v>5776.7545576474886</v>
      </c>
      <c r="AB1233" s="99">
        <v>5776.6433359775529</v>
      </c>
      <c r="AC1233" s="99">
        <v>5776.5075453298887</v>
      </c>
      <c r="AD1233" s="99">
        <v>5776.341773455847</v>
      </c>
      <c r="AE1233" s="99">
        <v>5776.1394232452294</v>
      </c>
      <c r="AF1233" s="99">
        <v>5775.8924569596529</v>
      </c>
      <c r="AG1233" s="99">
        <v>5775.5910870363014</v>
      </c>
      <c r="AH1233" s="99">
        <v>5775.2234031800817</v>
      </c>
      <c r="AI1233" s="99">
        <v>5774.7749239262675</v>
      </c>
      <c r="AJ1233" s="99">
        <v>5774.2280593272944</v>
      </c>
      <c r="AK1233" s="99">
        <v>5773.5614700557544</v>
      </c>
      <c r="AL1233" s="99">
        <v>5772.7493072822881</v>
      </c>
      <c r="AM1233" s="99">
        <v>5771.760317593119</v>
      </c>
      <c r="AN1233" s="99">
        <v>5770.5567985817825</v>
      </c>
      <c r="AO1233" s="99">
        <v>5769.0933945035695</v>
      </c>
      <c r="AP1233" s="99">
        <v>5767.3157288355114</v>
      </c>
      <c r="AQ1233" s="99">
        <v>5765.1588835610164</v>
      </c>
      <c r="AR1233" s="99">
        <v>5762.5457559202814</v>
      </c>
      <c r="AS1233" s="99">
        <v>5759.3853552964056</v>
      </c>
      <c r="AT1233" s="99">
        <v>5755.5711494258976</v>
      </c>
      <c r="AU1233" s="99">
        <v>5750.979633916184</v>
      </c>
      <c r="AV1233" s="99">
        <v>5745.4693849512569</v>
      </c>
      <c r="AW1233" s="99">
        <v>5738.8809622299968</v>
      </c>
      <c r="AX1233" s="100">
        <v>5731.0381520919618</v>
      </c>
    </row>
    <row r="1234" spans="1:50" x14ac:dyDescent="0.25">
      <c r="A1234" s="356" t="s">
        <v>46</v>
      </c>
      <c r="B1234" s="359" t="s">
        <v>46</v>
      </c>
      <c r="C1234" s="353" t="s">
        <v>6</v>
      </c>
      <c r="D1234" s="2" t="s">
        <v>7</v>
      </c>
      <c r="E1234" s="160" t="str">
        <f>A1234&amp;"/"&amp;B1234&amp;"/"&amp;C1234&amp;"/"&amp;D1234</f>
        <v>Pump storage/Pump storage/Electricity only/L</v>
      </c>
      <c r="F1234" s="76" t="str">
        <f>A1234</f>
        <v>Pump storage</v>
      </c>
      <c r="G1234" s="76" t="str">
        <f>B1234</f>
        <v>Pump storage</v>
      </c>
      <c r="H1234" s="76" t="str">
        <f>C1234</f>
        <v>Electricity only</v>
      </c>
      <c r="I1234" s="161" t="str">
        <f t="shared" si="97"/>
        <v>L</v>
      </c>
      <c r="J1234" s="91">
        <v>3349.125</v>
      </c>
      <c r="K1234" s="91">
        <v>3349.0777179279366</v>
      </c>
      <c r="L1234" s="91">
        <v>3349.0280259007745</v>
      </c>
      <c r="M1234" s="91">
        <v>3348.9758018490884</v>
      </c>
      <c r="N1234" s="91">
        <v>3348.9209176005775</v>
      </c>
      <c r="O1234" s="91">
        <v>3348.8632385833685</v>
      </c>
      <c r="P1234" s="91">
        <v>3348.802623515779</v>
      </c>
      <c r="Q1234" s="91">
        <v>3348.7389240820207</v>
      </c>
      <c r="R1234" s="91">
        <v>3348.6719845933144</v>
      </c>
      <c r="S1234" s="91">
        <v>3348.6016416338693</v>
      </c>
      <c r="T1234" s="91">
        <v>3348.5277236911888</v>
      </c>
      <c r="U1234" s="91">
        <v>3348.4500507701409</v>
      </c>
      <c r="V1234" s="91">
        <v>3348.3684339902429</v>
      </c>
      <c r="W1234" s="91">
        <v>3348.2826751656071</v>
      </c>
      <c r="X1234" s="91">
        <v>3348.1925663669867</v>
      </c>
      <c r="Y1234" s="91">
        <v>3348.0978894653758</v>
      </c>
      <c r="Z1234" s="91">
        <v>3347.9984156566206</v>
      </c>
      <c r="AA1234" s="91">
        <v>3347.8939049665132</v>
      </c>
      <c r="AB1234" s="91">
        <v>3347.7841057358555</v>
      </c>
      <c r="AC1234" s="91">
        <v>3347.6687540849962</v>
      </c>
      <c r="AD1234" s="91">
        <v>3347.5475733573817</v>
      </c>
      <c r="AE1234" s="91">
        <v>3347.4202735416866</v>
      </c>
      <c r="AF1234" s="91">
        <v>3347.2865506721291</v>
      </c>
      <c r="AG1234" s="91">
        <v>3347.1460862066288</v>
      </c>
      <c r="AH1234" s="91">
        <v>3346.9985463825183</v>
      </c>
      <c r="AI1234" s="91">
        <v>3346.8435815495864</v>
      </c>
      <c r="AJ1234" s="91">
        <v>3346.6808254802986</v>
      </c>
      <c r="AK1234" s="91">
        <v>3346.5098946571497</v>
      </c>
      <c r="AL1234" s="91">
        <v>3346.3303875371735</v>
      </c>
      <c r="AM1234" s="91">
        <v>3346.1418837937772</v>
      </c>
      <c r="AN1234" s="91">
        <v>3345.9439435361774</v>
      </c>
      <c r="AO1234" s="91">
        <v>3345.7361065068781</v>
      </c>
      <c r="AP1234" s="91">
        <v>3345.5178912577717</v>
      </c>
      <c r="AQ1234" s="91">
        <v>3345.288794305663</v>
      </c>
      <c r="AR1234" s="91">
        <v>3345.0482892681862</v>
      </c>
      <c r="AS1234" s="91">
        <v>3344.7958259813408</v>
      </c>
      <c r="AT1234" s="91">
        <v>3344.5308296001144</v>
      </c>
      <c r="AU1234" s="91">
        <v>3344.252699683947</v>
      </c>
      <c r="AV1234" s="91">
        <v>3343.9608092690964</v>
      </c>
      <c r="AW1234" s="91">
        <v>3343.6545039303237</v>
      </c>
      <c r="AX1234" s="92">
        <v>3343.3331008346645</v>
      </c>
    </row>
    <row r="1235" spans="1:50" x14ac:dyDescent="0.25">
      <c r="A1235" s="356"/>
      <c r="B1235" s="359"/>
      <c r="C1235" s="350"/>
      <c r="D1235" s="2" t="s">
        <v>8</v>
      </c>
      <c r="E1235" s="160" t="str">
        <f>A1234&amp;"/"&amp;B1234&amp;"/"&amp;C1234&amp;"/"&amp;D1235</f>
        <v>Pump storage/Pump storage/Electricity only/M</v>
      </c>
      <c r="F1235" s="76" t="str">
        <f>A1234</f>
        <v>Pump storage</v>
      </c>
      <c r="G1235" s="76" t="str">
        <f>B1234</f>
        <v>Pump storage</v>
      </c>
      <c r="H1235" s="76" t="str">
        <f>C1234</f>
        <v>Electricity only</v>
      </c>
      <c r="I1235" s="161" t="str">
        <f t="shared" si="97"/>
        <v>M</v>
      </c>
      <c r="J1235" s="91">
        <v>3851.4937499999996</v>
      </c>
      <c r="K1235" s="91">
        <v>3851.4628878021826</v>
      </c>
      <c r="L1235" s="91">
        <v>3851.4287854367567</v>
      </c>
      <c r="M1235" s="91">
        <v>3851.3911033788172</v>
      </c>
      <c r="N1235" s="91">
        <v>3851.3494666706688</v>
      </c>
      <c r="O1235" s="91">
        <v>3851.3034612560696</v>
      </c>
      <c r="P1235" s="91">
        <v>3851.2526299423225</v>
      </c>
      <c r="Q1235" s="91">
        <v>3851.1964679540029</v>
      </c>
      <c r="R1235" s="91">
        <v>3851.1344180389469</v>
      </c>
      <c r="S1235" s="91">
        <v>3851.065865083774</v>
      </c>
      <c r="T1235" s="91">
        <v>3850.9901301926507</v>
      </c>
      <c r="U1235" s="91">
        <v>3850.9064641793088</v>
      </c>
      <c r="V1235" s="91">
        <v>3850.8140404184478</v>
      </c>
      <c r="W1235" s="91">
        <v>3850.7119469987065</v>
      </c>
      <c r="X1235" s="91">
        <v>3850.5991781153493</v>
      </c>
      <c r="Y1235" s="91">
        <v>3850.4746246368086</v>
      </c>
      <c r="Z1235" s="91">
        <v>3850.3370637753319</v>
      </c>
      <c r="AA1235" s="91">
        <v>3850.185147788286</v>
      </c>
      <c r="AB1235" s="91">
        <v>3850.0173916333856</v>
      </c>
      <c r="AC1235" s="91">
        <v>3849.8321594983727</v>
      </c>
      <c r="AD1235" s="91">
        <v>3849.6276501237612</v>
      </c>
      <c r="AE1235" s="91">
        <v>3849.4018808364576</v>
      </c>
      <c r="AF1235" s="91">
        <v>3849.1526702127449</v>
      </c>
      <c r="AG1235" s="91">
        <v>3848.8776192917512</v>
      </c>
      <c r="AH1235" s="91">
        <v>3848.5740912656283</v>
      </c>
      <c r="AI1235" s="91">
        <v>3848.2391895809396</v>
      </c>
      <c r="AJ1235" s="91">
        <v>3847.8697343979934</v>
      </c>
      <c r="AK1235" s="91">
        <v>3847.4622373719685</v>
      </c>
      <c r="AL1235" s="91">
        <v>3847.0128747428325</v>
      </c>
      <c r="AM1235" s="91">
        <v>3846.5174587515003</v>
      </c>
      <c r="AN1235" s="91">
        <v>3845.9714074389485</v>
      </c>
      <c r="AO1235" s="91">
        <v>3845.3697129347979</v>
      </c>
      <c r="AP1235" s="91">
        <v>3844.7069084041295</v>
      </c>
      <c r="AQ1235" s="91">
        <v>3843.9770338981284</v>
      </c>
      <c r="AR1235" s="91">
        <v>3843.1736014479188</v>
      </c>
      <c r="AS1235" s="91">
        <v>3842.2895598540449</v>
      </c>
      <c r="AT1235" s="91">
        <v>3841.3172597590174</v>
      </c>
      <c r="AU1235" s="91">
        <v>3840.2484197495605</v>
      </c>
      <c r="AV1235" s="91">
        <v>3839.0740944208364</v>
      </c>
      <c r="AW1235" s="91">
        <v>3837.7846455486015</v>
      </c>
      <c r="AX1235" s="92">
        <v>3836.3697177577255</v>
      </c>
    </row>
    <row r="1236" spans="1:50" x14ac:dyDescent="0.25">
      <c r="A1236" s="356"/>
      <c r="B1236" s="359"/>
      <c r="C1236" s="350"/>
      <c r="D1236" s="2" t="s">
        <v>10</v>
      </c>
      <c r="E1236" s="160" t="str">
        <f>A1234&amp;"/"&amp;B1234&amp;"/"&amp;C1234&amp;"/"&amp;D1236</f>
        <v>Pump storage/Pump storage/Electricity only/S</v>
      </c>
      <c r="F1236" s="76" t="str">
        <f>A1234</f>
        <v>Pump storage</v>
      </c>
      <c r="G1236" s="76" t="str">
        <f>B1234</f>
        <v>Pump storage</v>
      </c>
      <c r="H1236" s="76" t="str">
        <f>C1234</f>
        <v>Electricity only</v>
      </c>
      <c r="I1236" s="161" t="str">
        <f t="shared" si="97"/>
        <v>S</v>
      </c>
      <c r="J1236" s="91">
        <v>4814.3671875</v>
      </c>
      <c r="K1236" s="91">
        <v>4814.3548854729306</v>
      </c>
      <c r="L1236" s="91">
        <v>4814.3405933224712</v>
      </c>
      <c r="M1236" s="91">
        <v>4814.3239892463571</v>
      </c>
      <c r="N1236" s="91">
        <v>4814.3046994573579</v>
      </c>
      <c r="O1236" s="91">
        <v>4814.2822898030654</v>
      </c>
      <c r="P1236" s="91">
        <v>4814.2562560409206</v>
      </c>
      <c r="Q1236" s="91">
        <v>4814.2260125548273</v>
      </c>
      <c r="R1236" s="91">
        <v>4814.1908792665536</v>
      </c>
      <c r="S1236" s="91">
        <v>4814.1500664570085</v>
      </c>
      <c r="T1236" s="91">
        <v>4814.1026571689536</v>
      </c>
      <c r="U1236" s="91">
        <v>4814.047586812906</v>
      </c>
      <c r="V1236" s="91">
        <v>4813.9836195414046</v>
      </c>
      <c r="W1236" s="91">
        <v>4813.9093208925806</v>
      </c>
      <c r="X1236" s="91">
        <v>4813.823026131523</v>
      </c>
      <c r="Y1236" s="91">
        <v>4813.7228036365714</v>
      </c>
      <c r="Z1236" s="91">
        <v>4813.606412587048</v>
      </c>
      <c r="AA1236" s="91">
        <v>4813.4712541087101</v>
      </c>
      <c r="AB1236" s="91">
        <v>4813.3143149236657</v>
      </c>
      <c r="AC1236" s="91">
        <v>4813.1321024334566</v>
      </c>
      <c r="AD1236" s="91">
        <v>4812.9205700390285</v>
      </c>
      <c r="AE1236" s="91">
        <v>4812.6750313725033</v>
      </c>
      <c r="AF1236" s="91">
        <v>4812.3900619876213</v>
      </c>
      <c r="AG1236" s="91">
        <v>4812.0593869356662</v>
      </c>
      <c r="AH1236" s="91">
        <v>4811.675752552077</v>
      </c>
      <c r="AI1236" s="91">
        <v>4811.2307807106599</v>
      </c>
      <c r="AJ1236" s="91">
        <v>4810.7148037882362</v>
      </c>
      <c r="AK1236" s="91">
        <v>4810.1166786509502</v>
      </c>
      <c r="AL1236" s="91">
        <v>4809.4235781626949</v>
      </c>
      <c r="AM1236" s="91">
        <v>4808.620759076679</v>
      </c>
      <c r="AN1236" s="91">
        <v>4807.6913057687598</v>
      </c>
      <c r="AO1236" s="91">
        <v>4806.615850189748</v>
      </c>
      <c r="AP1236" s="91">
        <v>4805.3722697582134</v>
      </c>
      <c r="AQ1236" s="91">
        <v>4803.9353668128279</v>
      </c>
      <c r="AR1236" s="91">
        <v>4802.2765358442766</v>
      </c>
      <c r="AS1236" s="91">
        <v>4800.3634282001576</v>
      </c>
      <c r="AT1236" s="91">
        <v>4798.1596284802572</v>
      </c>
      <c r="AU1236" s="91">
        <v>4795.6243625819379</v>
      </c>
      <c r="AV1236" s="91">
        <v>4792.7122644402425</v>
      </c>
      <c r="AW1236" s="91">
        <v>4789.3732369625168</v>
      </c>
      <c r="AX1236" s="92">
        <v>4785.5524523371505</v>
      </c>
    </row>
    <row r="1237" spans="1:50" ht="11" thickBot="1" x14ac:dyDescent="0.3">
      <c r="A1237" s="372"/>
      <c r="B1237" s="373"/>
      <c r="C1237" s="374"/>
      <c r="D1237" s="158" t="s">
        <v>20</v>
      </c>
      <c r="E1237" s="172" t="str">
        <f>A1234&amp;"/"&amp;B1234&amp;"/"&amp;C1234&amp;"/"&amp;D1237</f>
        <v>Pump storage/Pump storage/Electricity only/XS</v>
      </c>
      <c r="F1237" s="82" t="str">
        <f>A1234</f>
        <v>Pump storage</v>
      </c>
      <c r="G1237" s="82" t="str">
        <f>B1234</f>
        <v>Pump storage</v>
      </c>
      <c r="H1237" s="82" t="str">
        <f>C1234</f>
        <v>Electricity only</v>
      </c>
      <c r="I1237" s="173" t="str">
        <f t="shared" si="97"/>
        <v>XS</v>
      </c>
      <c r="J1237" s="103">
        <v>6499.3957031250002</v>
      </c>
      <c r="K1237" s="103">
        <v>6499.3915198135246</v>
      </c>
      <c r="L1237" s="103">
        <v>6499.386410375484</v>
      </c>
      <c r="M1237" s="103">
        <v>6499.3801697983918</v>
      </c>
      <c r="N1237" s="103">
        <v>6499.3725476963955</v>
      </c>
      <c r="O1237" s="103">
        <v>6499.3632382728229</v>
      </c>
      <c r="P1237" s="103">
        <v>6499.3518680645211</v>
      </c>
      <c r="Q1237" s="103">
        <v>6499.3379809788657</v>
      </c>
      <c r="R1237" s="103">
        <v>6499.3210200270478</v>
      </c>
      <c r="S1237" s="103">
        <v>6499.300305026667</v>
      </c>
      <c r="T1237" s="103">
        <v>6499.2750053879081</v>
      </c>
      <c r="U1237" s="103">
        <v>6499.2441069047636</v>
      </c>
      <c r="V1237" s="103">
        <v>6499.2063712388544</v>
      </c>
      <c r="W1237" s="103">
        <v>6499.160286500135</v>
      </c>
      <c r="X1237" s="103">
        <v>6499.1040069863066</v>
      </c>
      <c r="Y1237" s="103">
        <v>6499.0352797298556</v>
      </c>
      <c r="Z1237" s="103">
        <v>6498.951355005147</v>
      </c>
      <c r="AA1237" s="103">
        <v>6498.8488773534245</v>
      </c>
      <c r="AB1237" s="103">
        <v>6498.7237529747463</v>
      </c>
      <c r="AC1237" s="103">
        <v>6498.5709884961243</v>
      </c>
      <c r="AD1237" s="103">
        <v>6498.3844951378269</v>
      </c>
      <c r="AE1237" s="103">
        <v>6498.1568511508822</v>
      </c>
      <c r="AF1237" s="103">
        <v>6497.8790140796091</v>
      </c>
      <c r="AG1237" s="103">
        <v>6497.539972915838</v>
      </c>
      <c r="AH1237" s="103">
        <v>6497.1263285775904</v>
      </c>
      <c r="AI1237" s="103">
        <v>6496.6217894170495</v>
      </c>
      <c r="AJ1237" s="103">
        <v>6496.0065667432054</v>
      </c>
      <c r="AK1237" s="103">
        <v>6495.256653812723</v>
      </c>
      <c r="AL1237" s="103">
        <v>6494.3429706925726</v>
      </c>
      <c r="AM1237" s="103">
        <v>6493.2303572922583</v>
      </c>
      <c r="AN1237" s="103">
        <v>6491.8763984045036</v>
      </c>
      <c r="AO1237" s="103">
        <v>6490.2300688165142</v>
      </c>
      <c r="AP1237" s="103">
        <v>6488.2301949399489</v>
      </c>
      <c r="AQ1237" s="103">
        <v>6485.8037440061426</v>
      </c>
      <c r="AR1237" s="103">
        <v>6482.8639754103151</v>
      </c>
      <c r="AS1237" s="103">
        <v>6479.3085247084555</v>
      </c>
      <c r="AT1237" s="103">
        <v>6475.0175431041334</v>
      </c>
      <c r="AU1237" s="103">
        <v>6469.852088155706</v>
      </c>
      <c r="AV1237" s="103">
        <v>6463.6530580701638</v>
      </c>
      <c r="AW1237" s="103">
        <v>6456.2410825087454</v>
      </c>
      <c r="AX1237" s="104">
        <v>6447.4179211034561</v>
      </c>
    </row>
    <row r="1243" spans="1:50" ht="11" thickBot="1" x14ac:dyDescent="0.3"/>
    <row r="1244" spans="1:50" x14ac:dyDescent="0.25">
      <c r="A1244" s="343" t="s">
        <v>49</v>
      </c>
      <c r="B1244" s="345" t="s">
        <v>50</v>
      </c>
      <c r="C1244" s="345" t="s">
        <v>51</v>
      </c>
      <c r="D1244" s="345" t="s">
        <v>52</v>
      </c>
      <c r="E1244" s="290"/>
      <c r="F1244" s="290"/>
      <c r="G1244" s="290"/>
      <c r="H1244" s="290"/>
      <c r="I1244" s="290"/>
      <c r="J1244" s="1" t="s">
        <v>100</v>
      </c>
      <c r="K1244" s="289"/>
      <c r="L1244" s="289"/>
      <c r="M1244" s="289"/>
      <c r="N1244" s="289"/>
      <c r="O1244" s="289"/>
      <c r="P1244" s="289"/>
      <c r="Q1244" s="289"/>
      <c r="R1244" s="289"/>
      <c r="S1244" s="289"/>
      <c r="T1244" s="289"/>
      <c r="U1244" s="289"/>
      <c r="V1244" s="289"/>
      <c r="W1244" s="289"/>
      <c r="X1244" s="289"/>
      <c r="Y1244" s="289"/>
      <c r="Z1244" s="289"/>
      <c r="AA1244" s="289"/>
      <c r="AB1244" s="289"/>
      <c r="AC1244" s="289"/>
      <c r="AD1244" s="289"/>
      <c r="AE1244" s="289"/>
      <c r="AF1244" s="289"/>
      <c r="AG1244" s="289"/>
      <c r="AH1244" s="289"/>
      <c r="AI1244" s="289"/>
      <c r="AJ1244" s="289"/>
      <c r="AK1244" s="289"/>
      <c r="AL1244" s="289"/>
      <c r="AM1244" s="289"/>
      <c r="AN1244" s="289"/>
      <c r="AO1244" s="289"/>
      <c r="AP1244" s="289"/>
      <c r="AQ1244" s="289"/>
      <c r="AR1244" s="289"/>
      <c r="AS1244" s="289"/>
      <c r="AT1244" s="289"/>
      <c r="AU1244" s="289"/>
      <c r="AV1244" s="289"/>
      <c r="AW1244" s="289"/>
      <c r="AX1244" s="288"/>
    </row>
    <row r="1245" spans="1:50" ht="11" thickBot="1" x14ac:dyDescent="0.3">
      <c r="A1245" s="344"/>
      <c r="B1245" s="346"/>
      <c r="C1245" s="346"/>
      <c r="D1245" s="346"/>
      <c r="E1245" s="291"/>
      <c r="F1245" s="291"/>
      <c r="G1245" s="291"/>
      <c r="H1245" s="291"/>
      <c r="I1245" s="291"/>
      <c r="J1245" s="68">
        <v>2010</v>
      </c>
      <c r="K1245" s="68">
        <v>2011</v>
      </c>
      <c r="L1245" s="68">
        <v>2012</v>
      </c>
      <c r="M1245" s="68">
        <v>2013</v>
      </c>
      <c r="N1245" s="68">
        <v>2014</v>
      </c>
      <c r="O1245" s="68">
        <v>2015</v>
      </c>
      <c r="P1245" s="68">
        <v>2016</v>
      </c>
      <c r="Q1245" s="68">
        <v>2017</v>
      </c>
      <c r="R1245" s="68">
        <v>2018</v>
      </c>
      <c r="S1245" s="68">
        <v>2019</v>
      </c>
      <c r="T1245" s="68">
        <v>2020</v>
      </c>
      <c r="U1245" s="68">
        <v>2021</v>
      </c>
      <c r="V1245" s="68">
        <v>2022</v>
      </c>
      <c r="W1245" s="68">
        <v>2023</v>
      </c>
      <c r="X1245" s="68">
        <v>2024</v>
      </c>
      <c r="Y1245" s="68">
        <v>2025</v>
      </c>
      <c r="Z1245" s="68">
        <v>2026</v>
      </c>
      <c r="AA1245" s="68">
        <v>2027</v>
      </c>
      <c r="AB1245" s="68">
        <v>2028</v>
      </c>
      <c r="AC1245" s="68">
        <v>2029</v>
      </c>
      <c r="AD1245" s="68">
        <v>2030</v>
      </c>
      <c r="AE1245" s="68">
        <v>2031</v>
      </c>
      <c r="AF1245" s="68">
        <v>2032</v>
      </c>
      <c r="AG1245" s="68">
        <v>2033</v>
      </c>
      <c r="AH1245" s="68">
        <v>2034</v>
      </c>
      <c r="AI1245" s="68">
        <v>2035</v>
      </c>
      <c r="AJ1245" s="68">
        <v>2036</v>
      </c>
      <c r="AK1245" s="68">
        <v>2037</v>
      </c>
      <c r="AL1245" s="68">
        <v>2038</v>
      </c>
      <c r="AM1245" s="68">
        <v>2039</v>
      </c>
      <c r="AN1245" s="68">
        <v>2040</v>
      </c>
      <c r="AO1245" s="68">
        <v>2041</v>
      </c>
      <c r="AP1245" s="68">
        <v>2042</v>
      </c>
      <c r="AQ1245" s="68">
        <v>2043</v>
      </c>
      <c r="AR1245" s="68">
        <v>2044</v>
      </c>
      <c r="AS1245" s="68">
        <v>2045</v>
      </c>
      <c r="AT1245" s="68">
        <v>2046</v>
      </c>
      <c r="AU1245" s="68">
        <v>2047</v>
      </c>
      <c r="AV1245" s="68">
        <v>2048</v>
      </c>
      <c r="AW1245" s="68">
        <v>2049</v>
      </c>
      <c r="AX1245" s="83">
        <v>2050</v>
      </c>
    </row>
    <row r="1246" spans="1:50" x14ac:dyDescent="0.25">
      <c r="A1246" s="347" t="s">
        <v>4</v>
      </c>
      <c r="B1246" s="349" t="s">
        <v>5</v>
      </c>
      <c r="C1246" s="350" t="s">
        <v>6</v>
      </c>
      <c r="D1246" s="2" t="s">
        <v>7</v>
      </c>
      <c r="E1246" s="160" t="str">
        <f>A1246&amp;"/"&amp;B1246&amp;"/"&amp;C1246&amp;"/"&amp;D1246</f>
        <v>Nuclear power plants/Nuclear - current/Electricity only/L</v>
      </c>
      <c r="F1246" s="76" t="str">
        <f>A1246</f>
        <v>Nuclear power plants</v>
      </c>
      <c r="G1246" s="76" t="str">
        <f>B1246</f>
        <v>Nuclear - current</v>
      </c>
      <c r="H1246" s="76" t="str">
        <f>C1246</f>
        <v>Electricity only</v>
      </c>
      <c r="I1246" s="161" t="str">
        <f>D1246</f>
        <v>L</v>
      </c>
      <c r="J1246" s="119">
        <v>98</v>
      </c>
      <c r="K1246" s="119">
        <v>98</v>
      </c>
      <c r="L1246" s="119">
        <v>98</v>
      </c>
      <c r="M1246" s="119">
        <v>98</v>
      </c>
      <c r="N1246" s="119">
        <v>98</v>
      </c>
      <c r="O1246" s="119">
        <v>98</v>
      </c>
      <c r="P1246" s="119">
        <v>98</v>
      </c>
      <c r="Q1246" s="119">
        <v>98</v>
      </c>
      <c r="R1246" s="119">
        <v>98</v>
      </c>
      <c r="S1246" s="119">
        <v>98</v>
      </c>
      <c r="T1246" s="119">
        <v>98</v>
      </c>
      <c r="U1246" s="119">
        <v>98</v>
      </c>
      <c r="V1246" s="119">
        <v>98</v>
      </c>
      <c r="W1246" s="119">
        <v>98</v>
      </c>
      <c r="X1246" s="119">
        <v>98</v>
      </c>
      <c r="Y1246" s="119">
        <v>98</v>
      </c>
      <c r="Z1246" s="119">
        <v>98</v>
      </c>
      <c r="AA1246" s="119">
        <v>98</v>
      </c>
      <c r="AB1246" s="119">
        <v>98</v>
      </c>
      <c r="AC1246" s="119">
        <v>98</v>
      </c>
      <c r="AD1246" s="119">
        <v>98</v>
      </c>
      <c r="AE1246" s="119">
        <v>98</v>
      </c>
      <c r="AF1246" s="119">
        <v>98</v>
      </c>
      <c r="AG1246" s="119">
        <v>98</v>
      </c>
      <c r="AH1246" s="119">
        <v>98</v>
      </c>
      <c r="AI1246" s="119">
        <v>98</v>
      </c>
      <c r="AJ1246" s="119">
        <v>98</v>
      </c>
      <c r="AK1246" s="119">
        <v>98</v>
      </c>
      <c r="AL1246" s="119">
        <v>98</v>
      </c>
      <c r="AM1246" s="119">
        <v>98</v>
      </c>
      <c r="AN1246" s="119">
        <v>98</v>
      </c>
      <c r="AO1246" s="119">
        <v>98</v>
      </c>
      <c r="AP1246" s="119">
        <v>98</v>
      </c>
      <c r="AQ1246" s="119">
        <v>98</v>
      </c>
      <c r="AR1246" s="119">
        <v>98</v>
      </c>
      <c r="AS1246" s="119">
        <v>98</v>
      </c>
      <c r="AT1246" s="119">
        <v>98</v>
      </c>
      <c r="AU1246" s="119">
        <v>98</v>
      </c>
      <c r="AV1246" s="119">
        <v>98</v>
      </c>
      <c r="AW1246" s="119">
        <v>98</v>
      </c>
      <c r="AX1246" s="120">
        <v>98</v>
      </c>
    </row>
    <row r="1247" spans="1:50" x14ac:dyDescent="0.25">
      <c r="A1247" s="347"/>
      <c r="B1247" s="349"/>
      <c r="C1247" s="350"/>
      <c r="D1247" s="4" t="s">
        <v>8</v>
      </c>
      <c r="E1247" s="168" t="str">
        <f>A1246&amp;"/"&amp;B1246&amp;"/"&amp;C1246&amp;"/"&amp;D1247</f>
        <v>Nuclear power plants/Nuclear - current/Electricity only/M</v>
      </c>
      <c r="F1247" s="80" t="str">
        <f>A1246</f>
        <v>Nuclear power plants</v>
      </c>
      <c r="G1247" s="80" t="str">
        <f>B1246</f>
        <v>Nuclear - current</v>
      </c>
      <c r="H1247" s="80" t="str">
        <f>C1246</f>
        <v>Electricity only</v>
      </c>
      <c r="I1247" s="169" t="str">
        <f t="shared" ref="I1247:I1310" si="98">D1247</f>
        <v>M</v>
      </c>
      <c r="J1247" s="127">
        <v>102.9</v>
      </c>
      <c r="K1247" s="127">
        <v>102.9</v>
      </c>
      <c r="L1247" s="127">
        <v>102.9</v>
      </c>
      <c r="M1247" s="127">
        <v>102.9</v>
      </c>
      <c r="N1247" s="127">
        <v>102.9</v>
      </c>
      <c r="O1247" s="127">
        <v>102.9</v>
      </c>
      <c r="P1247" s="127">
        <v>102.9</v>
      </c>
      <c r="Q1247" s="127">
        <v>102.9</v>
      </c>
      <c r="R1247" s="127">
        <v>102.9</v>
      </c>
      <c r="S1247" s="127">
        <v>102.9</v>
      </c>
      <c r="T1247" s="127">
        <v>102.9</v>
      </c>
      <c r="U1247" s="127">
        <v>102.9</v>
      </c>
      <c r="V1247" s="127">
        <v>102.9</v>
      </c>
      <c r="W1247" s="127">
        <v>102.9</v>
      </c>
      <c r="X1247" s="127">
        <v>102.9</v>
      </c>
      <c r="Y1247" s="127">
        <v>102.9</v>
      </c>
      <c r="Z1247" s="127">
        <v>102.9</v>
      </c>
      <c r="AA1247" s="127">
        <v>102.9</v>
      </c>
      <c r="AB1247" s="127">
        <v>102.9</v>
      </c>
      <c r="AC1247" s="127">
        <v>102.9</v>
      </c>
      <c r="AD1247" s="127">
        <v>102.9</v>
      </c>
      <c r="AE1247" s="127">
        <v>102.9</v>
      </c>
      <c r="AF1247" s="127">
        <v>102.9</v>
      </c>
      <c r="AG1247" s="127">
        <v>102.9</v>
      </c>
      <c r="AH1247" s="127">
        <v>102.9</v>
      </c>
      <c r="AI1247" s="127">
        <v>102.9</v>
      </c>
      <c r="AJ1247" s="127">
        <v>102.9</v>
      </c>
      <c r="AK1247" s="127">
        <v>102.9</v>
      </c>
      <c r="AL1247" s="127">
        <v>102.9</v>
      </c>
      <c r="AM1247" s="127">
        <v>102.9</v>
      </c>
      <c r="AN1247" s="127">
        <v>102.9</v>
      </c>
      <c r="AO1247" s="127">
        <v>102.9</v>
      </c>
      <c r="AP1247" s="127">
        <v>102.9</v>
      </c>
      <c r="AQ1247" s="127">
        <v>102.9</v>
      </c>
      <c r="AR1247" s="127">
        <v>102.9</v>
      </c>
      <c r="AS1247" s="127">
        <v>102.9</v>
      </c>
      <c r="AT1247" s="127">
        <v>102.9</v>
      </c>
      <c r="AU1247" s="127">
        <v>102.9</v>
      </c>
      <c r="AV1247" s="127">
        <v>102.9</v>
      </c>
      <c r="AW1247" s="127">
        <v>102.9</v>
      </c>
      <c r="AX1247" s="128">
        <v>102.9</v>
      </c>
    </row>
    <row r="1248" spans="1:50" x14ac:dyDescent="0.25">
      <c r="A1248" s="347"/>
      <c r="B1248" s="351" t="s">
        <v>9</v>
      </c>
      <c r="C1248" s="353" t="s">
        <v>6</v>
      </c>
      <c r="D1248" s="2" t="s">
        <v>7</v>
      </c>
      <c r="E1248" s="160" t="str">
        <f>A1246&amp;"/"&amp;B1248&amp;"/"&amp;C1248&amp;"/"&amp;D1248</f>
        <v>Nuclear power plants/Nuclear III/Electricity only/L</v>
      </c>
      <c r="F1248" s="76" t="str">
        <f>A1246</f>
        <v>Nuclear power plants</v>
      </c>
      <c r="G1248" s="76" t="str">
        <f>B1248</f>
        <v>Nuclear III</v>
      </c>
      <c r="H1248" s="76" t="str">
        <f>C1248</f>
        <v>Electricity only</v>
      </c>
      <c r="I1248" s="161" t="str">
        <f t="shared" si="98"/>
        <v>L</v>
      </c>
      <c r="J1248" s="119">
        <v>121.55062500000003</v>
      </c>
      <c r="K1248" s="119">
        <v>121.50102690793337</v>
      </c>
      <c r="L1248" s="119">
        <v>121.44063409179628</v>
      </c>
      <c r="M1248" s="119">
        <v>121.36714691673336</v>
      </c>
      <c r="N1248" s="119">
        <v>121.2777999491535</v>
      </c>
      <c r="O1248" s="119">
        <v>121.16927927266265</v>
      </c>
      <c r="P1248" s="119">
        <v>121.03763085897512</v>
      </c>
      <c r="Q1248" s="119">
        <v>120.87816207614593</v>
      </c>
      <c r="R1248" s="119">
        <v>120.68534046454609</v>
      </c>
      <c r="S1248" s="119">
        <v>120.45269689392644</v>
      </c>
      <c r="T1248" s="119">
        <v>120.17274437366298</v>
      </c>
      <c r="U1248" s="119">
        <v>119.83692931318029</v>
      </c>
      <c r="V1248" s="119">
        <v>119.43563894450514</v>
      </c>
      <c r="W1248" s="119">
        <v>118.95829658554131</v>
      </c>
      <c r="X1248" s="119">
        <v>118.39358444746034</v>
      </c>
      <c r="Y1248" s="119">
        <v>117.72983974797471</v>
      </c>
      <c r="Z1248" s="119">
        <v>116.95567055794439</v>
      </c>
      <c r="AA1248" s="119">
        <v>116.06082811085734</v>
      </c>
      <c r="AB1248" s="119">
        <v>115.0373462179178</v>
      </c>
      <c r="AC1248" s="119">
        <v>113.88091055355194</v>
      </c>
      <c r="AD1248" s="119">
        <v>112.59234944857903</v>
      </c>
      <c r="AE1248" s="119">
        <v>111.17905068219449</v>
      </c>
      <c r="AF1248" s="119">
        <v>109.65602598217917</v>
      </c>
      <c r="AG1248" s="119">
        <v>108.04630057310702</v>
      </c>
      <c r="AH1248" s="119">
        <v>106.38033886835473</v>
      </c>
      <c r="AI1248" s="119">
        <v>104.69435623186862</v>
      </c>
      <c r="AJ1248" s="119">
        <v>103.02760154040421</v>
      </c>
      <c r="AK1248" s="119">
        <v>101.41896736742993</v>
      </c>
      <c r="AL1248" s="119">
        <v>99.903498173369101</v>
      </c>
      <c r="AM1248" s="119">
        <v>98.509430424623844</v>
      </c>
      <c r="AN1248" s="119">
        <v>97.256275042982537</v>
      </c>
      <c r="AO1248" s="119">
        <v>96.154184625412583</v>
      </c>
      <c r="AP1248" s="119">
        <v>95.204537604277505</v>
      </c>
      <c r="AQ1248" s="119">
        <v>94.401427416182742</v>
      </c>
      <c r="AR1248" s="119">
        <v>93.733631093812932</v>
      </c>
      <c r="AS1248" s="119">
        <v>93.186650198783568</v>
      </c>
      <c r="AT1248" s="119">
        <v>92.744523378210644</v>
      </c>
      <c r="AU1248" s="119">
        <v>92.391246021505211</v>
      </c>
      <c r="AV1248" s="119">
        <v>92.111753057309699</v>
      </c>
      <c r="AW1248" s="119">
        <v>91.892503417218833</v>
      </c>
      <c r="AX1248" s="120">
        <v>91.721746726339347</v>
      </c>
    </row>
    <row r="1249" spans="1:50" x14ac:dyDescent="0.25">
      <c r="A1249" s="347"/>
      <c r="B1249" s="349"/>
      <c r="C1249" s="350"/>
      <c r="D1249" s="2" t="s">
        <v>8</v>
      </c>
      <c r="E1249" s="160" t="str">
        <f>A1246&amp;"/"&amp;B1248&amp;"/"&amp;C1248&amp;"/"&amp;D1249</f>
        <v>Nuclear power plants/Nuclear III/Electricity only/M</v>
      </c>
      <c r="F1249" s="76" t="str">
        <f>A1246</f>
        <v>Nuclear power plants</v>
      </c>
      <c r="G1249" s="76" t="str">
        <f>B1248</f>
        <v>Nuclear III</v>
      </c>
      <c r="H1249" s="76" t="str">
        <f>C1248</f>
        <v>Electricity only</v>
      </c>
      <c r="I1249" s="161" t="str">
        <f t="shared" si="98"/>
        <v>M</v>
      </c>
      <c r="J1249" s="119">
        <v>127.62815625000002</v>
      </c>
      <c r="K1249" s="119">
        <v>127.55364655297952</v>
      </c>
      <c r="L1249" s="119">
        <v>127.46740580517908</v>
      </c>
      <c r="M1249" s="119">
        <v>127.36764737873207</v>
      </c>
      <c r="N1249" s="119">
        <v>127.25233319613933</v>
      </c>
      <c r="O1249" s="119">
        <v>127.11914542784156</v>
      </c>
      <c r="P1249" s="119">
        <v>126.9654575145767</v>
      </c>
      <c r="Q1249" s="119">
        <v>126.78830554420314</v>
      </c>
      <c r="R1249" s="119">
        <v>126.58436146176761</v>
      </c>
      <c r="S1249" s="119">
        <v>126.34991015617283</v>
      </c>
      <c r="T1249" s="119">
        <v>126.08083315587525</v>
      </c>
      <c r="U1249" s="119">
        <v>125.77260247772247</v>
      </c>
      <c r="V1249" s="119">
        <v>125.42028908645113</v>
      </c>
      <c r="W1249" s="119">
        <v>125.01859138688097</v>
      </c>
      <c r="X1249" s="119">
        <v>124.56189009261851</v>
      </c>
      <c r="Y1249" s="119">
        <v>124.04433654232503</v>
      </c>
      <c r="Z1249" s="119">
        <v>123.45998184424606</v>
      </c>
      <c r="AA1249" s="119">
        <v>122.80295382113104</v>
      </c>
      <c r="AB1249" s="119">
        <v>122.06768723178617</v>
      </c>
      <c r="AC1249" s="119">
        <v>121.24920976053274</v>
      </c>
      <c r="AD1249" s="119">
        <v>120.34348143219626</v>
      </c>
      <c r="AE1249" s="119">
        <v>119.34777823307603</v>
      </c>
      <c r="AF1249" s="119">
        <v>118.2611019347667</v>
      </c>
      <c r="AG1249" s="119">
        <v>117.08458808360609</v>
      </c>
      <c r="AH1249" s="119">
        <v>115.82187415825439</v>
      </c>
      <c r="AI1249" s="119">
        <v>114.47938202867182</v>
      </c>
      <c r="AJ1249" s="119">
        <v>113.06646557935034</v>
      </c>
      <c r="AK1249" s="119">
        <v>111.59537818732809</v>
      </c>
      <c r="AL1249" s="119">
        <v>110.08102739033866</v>
      </c>
      <c r="AM1249" s="119">
        <v>108.54050561072191</v>
      </c>
      <c r="AN1249" s="119">
        <v>106.99241398730733</v>
      </c>
      <c r="AO1249" s="119">
        <v>105.45602663762051</v>
      </c>
      <c r="AP1249" s="119">
        <v>103.95036891041742</v>
      </c>
      <c r="AQ1249" s="119">
        <v>102.49329930360761</v>
      </c>
      <c r="AR1249" s="119">
        <v>101.10068651726772</v>
      </c>
      <c r="AS1249" s="119">
        <v>99.785759725815524</v>
      </c>
      <c r="AT1249" s="119">
        <v>98.558684459228019</v>
      </c>
      <c r="AU1249" s="119">
        <v>97.426384218354869</v>
      </c>
      <c r="AV1249" s="119">
        <v>96.392595939052029</v>
      </c>
      <c r="AW1249" s="119">
        <v>95.458121606889662</v>
      </c>
      <c r="AX1249" s="120">
        <v>94.621222340537514</v>
      </c>
    </row>
    <row r="1250" spans="1:50" x14ac:dyDescent="0.25">
      <c r="A1250" s="347"/>
      <c r="B1250" s="352"/>
      <c r="C1250" s="354"/>
      <c r="D1250" s="4" t="s">
        <v>10</v>
      </c>
      <c r="E1250" s="168" t="str">
        <f>A1246&amp;"/"&amp;B1248&amp;"/"&amp;C1248&amp;"/"&amp;D1250</f>
        <v>Nuclear power plants/Nuclear III/Electricity only/S</v>
      </c>
      <c r="F1250" s="80" t="str">
        <f>A1246</f>
        <v>Nuclear power plants</v>
      </c>
      <c r="G1250" s="80" t="str">
        <f>B1248</f>
        <v>Nuclear III</v>
      </c>
      <c r="H1250" s="80" t="str">
        <f>C1248</f>
        <v>Electricity only</v>
      </c>
      <c r="I1250" s="169" t="str">
        <f t="shared" si="98"/>
        <v>S</v>
      </c>
      <c r="J1250" s="127" t="s">
        <v>112</v>
      </c>
      <c r="K1250" s="127" t="s">
        <v>112</v>
      </c>
      <c r="L1250" s="127" t="s">
        <v>112</v>
      </c>
      <c r="M1250" s="127" t="s">
        <v>112</v>
      </c>
      <c r="N1250" s="127" t="s">
        <v>112</v>
      </c>
      <c r="O1250" s="127" t="s">
        <v>112</v>
      </c>
      <c r="P1250" s="127" t="s">
        <v>112</v>
      </c>
      <c r="Q1250" s="127" t="s">
        <v>112</v>
      </c>
      <c r="R1250" s="127" t="s">
        <v>112</v>
      </c>
      <c r="S1250" s="127" t="s">
        <v>112</v>
      </c>
      <c r="T1250" s="127" t="s">
        <v>112</v>
      </c>
      <c r="U1250" s="127" t="s">
        <v>112</v>
      </c>
      <c r="V1250" s="127" t="s">
        <v>112</v>
      </c>
      <c r="W1250" s="127" t="s">
        <v>112</v>
      </c>
      <c r="X1250" s="127" t="s">
        <v>112</v>
      </c>
      <c r="Y1250" s="127">
        <v>135.38726136872484</v>
      </c>
      <c r="Z1250" s="127">
        <v>134.78000518655125</v>
      </c>
      <c r="AA1250" s="127">
        <v>134.1261673098505</v>
      </c>
      <c r="AB1250" s="127">
        <v>133.42385904948947</v>
      </c>
      <c r="AC1250" s="127">
        <v>132.6714318754469</v>
      </c>
      <c r="AD1250" s="127">
        <v>131.86754281646242</v>
      </c>
      <c r="AE1250" s="127">
        <v>131.01122384489756</v>
      </c>
      <c r="AF1250" s="127">
        <v>130.10195349884876</v>
      </c>
      <c r="AG1250" s="127">
        <v>129.1397284577923</v>
      </c>
      <c r="AH1250" s="127">
        <v>128.12513225952762</v>
      </c>
      <c r="AI1250" s="127">
        <v>127.05939787170401</v>
      </c>
      <c r="AJ1250" s="127">
        <v>125.94446046699119</v>
      </c>
      <c r="AK1250" s="127">
        <v>124.78299655870639</v>
      </c>
      <c r="AL1250" s="127">
        <v>123.57844569446671</v>
      </c>
      <c r="AM1250" s="127">
        <v>122.33501123124186</v>
      </c>
      <c r="AN1250" s="127">
        <v>121.0576373595453</v>
      </c>
      <c r="AO1250" s="127">
        <v>119.75196051283909</v>
      </c>
      <c r="AP1250" s="127">
        <v>118.42423456014971</v>
      </c>
      <c r="AQ1250" s="127">
        <v>117.08123066529659</v>
      </c>
      <c r="AR1250" s="127">
        <v>115.73011429687665</v>
      </c>
      <c r="AS1250" s="127">
        <v>114.37830345125742</v>
      </c>
      <c r="AT1250" s="127">
        <v>113.03331355313676</v>
      </c>
      <c r="AU1250" s="127">
        <v>111.7025955756838</v>
      </c>
      <c r="AV1250" s="127">
        <v>110.3933745510714</v>
      </c>
      <c r="AW1250" s="127">
        <v>109.11249574285981</v>
      </c>
      <c r="AX1250" s="128">
        <v>107.86628530232684</v>
      </c>
    </row>
    <row r="1251" spans="1:50" x14ac:dyDescent="0.25">
      <c r="A1251" s="347"/>
      <c r="B1251" s="349" t="s">
        <v>11</v>
      </c>
      <c r="C1251" s="363" t="s">
        <v>6</v>
      </c>
      <c r="D1251" s="2" t="s">
        <v>7</v>
      </c>
      <c r="E1251" s="160" t="str">
        <f>A1246&amp;"/"&amp;B1251&amp;"/"&amp;C1251&amp;"/"&amp;D1251</f>
        <v>Nuclear power plants/Nuclear IV/Electricity only/L</v>
      </c>
      <c r="F1251" s="76" t="str">
        <f>A1246</f>
        <v>Nuclear power plants</v>
      </c>
      <c r="G1251" s="76" t="str">
        <f>B1251</f>
        <v>Nuclear IV</v>
      </c>
      <c r="H1251" s="76" t="str">
        <f>C1251</f>
        <v>Electricity only</v>
      </c>
      <c r="I1251" s="161" t="str">
        <f t="shared" si="98"/>
        <v>L</v>
      </c>
      <c r="J1251" s="119" t="s">
        <v>112</v>
      </c>
      <c r="K1251" s="119" t="s">
        <v>112</v>
      </c>
      <c r="L1251" s="119" t="s">
        <v>112</v>
      </c>
      <c r="M1251" s="119" t="s">
        <v>112</v>
      </c>
      <c r="N1251" s="119" t="s">
        <v>112</v>
      </c>
      <c r="O1251" s="119" t="s">
        <v>112</v>
      </c>
      <c r="P1251" s="119" t="s">
        <v>112</v>
      </c>
      <c r="Q1251" s="119" t="s">
        <v>112</v>
      </c>
      <c r="R1251" s="119" t="s">
        <v>112</v>
      </c>
      <c r="S1251" s="119" t="s">
        <v>112</v>
      </c>
      <c r="T1251" s="119" t="s">
        <v>112</v>
      </c>
      <c r="U1251" s="119" t="s">
        <v>112</v>
      </c>
      <c r="V1251" s="119" t="s">
        <v>112</v>
      </c>
      <c r="W1251" s="119" t="s">
        <v>112</v>
      </c>
      <c r="X1251" s="119" t="s">
        <v>112</v>
      </c>
      <c r="Y1251" s="119" t="s">
        <v>112</v>
      </c>
      <c r="Z1251" s="119" t="s">
        <v>112</v>
      </c>
      <c r="AA1251" s="119" t="s">
        <v>112</v>
      </c>
      <c r="AB1251" s="119" t="s">
        <v>112</v>
      </c>
      <c r="AC1251" s="119" t="s">
        <v>112</v>
      </c>
      <c r="AD1251" s="119" t="s">
        <v>112</v>
      </c>
      <c r="AE1251" s="119" t="s">
        <v>112</v>
      </c>
      <c r="AF1251" s="119" t="s">
        <v>112</v>
      </c>
      <c r="AG1251" s="119" t="s">
        <v>112</v>
      </c>
      <c r="AH1251" s="119" t="s">
        <v>112</v>
      </c>
      <c r="AI1251" s="119">
        <v>141.72122487158285</v>
      </c>
      <c r="AJ1251" s="119">
        <v>141.15468043673906</v>
      </c>
      <c r="AK1251" s="119">
        <v>140.47535899737395</v>
      </c>
      <c r="AL1251" s="119">
        <v>139.66402555467619</v>
      </c>
      <c r="AM1251" s="119">
        <v>138.69963436964628</v>
      </c>
      <c r="AN1251" s="119">
        <v>137.55986136895689</v>
      </c>
      <c r="AO1251" s="119">
        <v>136.22202926731586</v>
      </c>
      <c r="AP1251" s="119">
        <v>134.66453548548355</v>
      </c>
      <c r="AQ1251" s="119">
        <v>132.86887396123115</v>
      </c>
      <c r="AR1251" s="119">
        <v>130.82228369101543</v>
      </c>
      <c r="AS1251" s="119">
        <v>128.52094266716429</v>
      </c>
      <c r="AT1251" s="119">
        <v>125.97344617790277</v>
      </c>
      <c r="AU1251" s="119">
        <v>123.20407385102538</v>
      </c>
      <c r="AV1251" s="119">
        <v>120.25510741489791</v>
      </c>
      <c r="AW1251" s="119">
        <v>117.18730460939129</v>
      </c>
      <c r="AX1251" s="120">
        <v>114.07769257500004</v>
      </c>
    </row>
    <row r="1252" spans="1:50" x14ac:dyDescent="0.25">
      <c r="A1252" s="348"/>
      <c r="B1252" s="352"/>
      <c r="C1252" s="364"/>
      <c r="D1252" s="4" t="s">
        <v>8</v>
      </c>
      <c r="E1252" s="160" t="str">
        <f>A1246&amp;"/"&amp;B1251&amp;"/"&amp;C1251&amp;"/"&amp;D1252</f>
        <v>Nuclear power plants/Nuclear IV/Electricity only/M</v>
      </c>
      <c r="F1252" s="76" t="str">
        <f>A1246</f>
        <v>Nuclear power plants</v>
      </c>
      <c r="G1252" s="76" t="str">
        <f>B1251</f>
        <v>Nuclear IV</v>
      </c>
      <c r="H1252" s="76" t="str">
        <f>C1251</f>
        <v>Electricity only</v>
      </c>
      <c r="I1252" s="161" t="str">
        <f t="shared" si="98"/>
        <v>M</v>
      </c>
      <c r="J1252" s="119" t="s">
        <v>112</v>
      </c>
      <c r="K1252" s="119" t="s">
        <v>112</v>
      </c>
      <c r="L1252" s="119" t="s">
        <v>112</v>
      </c>
      <c r="M1252" s="119" t="s">
        <v>112</v>
      </c>
      <c r="N1252" s="119" t="s">
        <v>112</v>
      </c>
      <c r="O1252" s="119" t="s">
        <v>112</v>
      </c>
      <c r="P1252" s="119" t="s">
        <v>112</v>
      </c>
      <c r="Q1252" s="119" t="s">
        <v>112</v>
      </c>
      <c r="R1252" s="119" t="s">
        <v>112</v>
      </c>
      <c r="S1252" s="119" t="s">
        <v>112</v>
      </c>
      <c r="T1252" s="119" t="s">
        <v>112</v>
      </c>
      <c r="U1252" s="119" t="s">
        <v>112</v>
      </c>
      <c r="V1252" s="119" t="s">
        <v>112</v>
      </c>
      <c r="W1252" s="119" t="s">
        <v>112</v>
      </c>
      <c r="X1252" s="119" t="s">
        <v>112</v>
      </c>
      <c r="Y1252" s="119" t="s">
        <v>112</v>
      </c>
      <c r="Z1252" s="119" t="s">
        <v>112</v>
      </c>
      <c r="AA1252" s="119" t="s">
        <v>112</v>
      </c>
      <c r="AB1252" s="119" t="s">
        <v>112</v>
      </c>
      <c r="AC1252" s="119" t="s">
        <v>112</v>
      </c>
      <c r="AD1252" s="119" t="s">
        <v>112</v>
      </c>
      <c r="AE1252" s="119" t="s">
        <v>112</v>
      </c>
      <c r="AF1252" s="119" t="s">
        <v>112</v>
      </c>
      <c r="AG1252" s="119" t="s">
        <v>112</v>
      </c>
      <c r="AH1252" s="119" t="s">
        <v>112</v>
      </c>
      <c r="AI1252" s="119">
        <v>150.9021040279153</v>
      </c>
      <c r="AJ1252" s="119">
        <v>150.70014842496067</v>
      </c>
      <c r="AK1252" s="119">
        <v>150.44248491716945</v>
      </c>
      <c r="AL1252" s="119">
        <v>150.11433709497467</v>
      </c>
      <c r="AM1252" s="119">
        <v>149.69738193286602</v>
      </c>
      <c r="AN1252" s="119">
        <v>149.16913389520789</v>
      </c>
      <c r="AO1252" s="119">
        <v>148.50237613893725</v>
      </c>
      <c r="AP1252" s="119">
        <v>147.66476389761118</v>
      </c>
      <c r="AQ1252" s="119">
        <v>146.61880220857384</v>
      </c>
      <c r="AR1252" s="119">
        <v>145.32249931922001</v>
      </c>
      <c r="AS1252" s="119">
        <v>143.73110582634919</v>
      </c>
      <c r="AT1252" s="119">
        <v>141.80043207331897</v>
      </c>
      <c r="AU1252" s="119">
        <v>139.49221995545312</v>
      </c>
      <c r="AV1252" s="119">
        <v>136.78181396258543</v>
      </c>
      <c r="AW1252" s="119">
        <v>133.66779171221322</v>
      </c>
      <c r="AX1252" s="120">
        <v>130.1821967524393</v>
      </c>
    </row>
    <row r="1253" spans="1:50" x14ac:dyDescent="0.25">
      <c r="A1253" s="355" t="s">
        <v>12</v>
      </c>
      <c r="B1253" s="358" t="s">
        <v>13</v>
      </c>
      <c r="C1253" s="353" t="s">
        <v>6</v>
      </c>
      <c r="D1253" s="3" t="s">
        <v>7</v>
      </c>
      <c r="E1253" s="162" t="str">
        <f>A1253&amp;"/"&amp;B1253&amp;"/"&amp;C1253&amp;"/"&amp;D1253</f>
        <v>Coal fired power plants/Integrated gasification combined cycle/Electricity only/L</v>
      </c>
      <c r="F1253" s="77" t="str">
        <f>A1253</f>
        <v>Coal fired power plants</v>
      </c>
      <c r="G1253" s="77" t="str">
        <f>B1253</f>
        <v>Integrated gasification combined cycle</v>
      </c>
      <c r="H1253" s="77" t="str">
        <f>C1253</f>
        <v>Electricity only</v>
      </c>
      <c r="I1253" s="163" t="str">
        <f t="shared" si="98"/>
        <v>L</v>
      </c>
      <c r="J1253" s="121">
        <v>56.685714285714283</v>
      </c>
      <c r="K1253" s="121">
        <v>56.685256810889385</v>
      </c>
      <c r="L1253" s="121">
        <v>56.684669430459877</v>
      </c>
      <c r="M1253" s="121">
        <v>56.683915266659262</v>
      </c>
      <c r="N1253" s="121">
        <v>56.682946979642459</v>
      </c>
      <c r="O1253" s="121">
        <v>56.681703803863378</v>
      </c>
      <c r="P1253" s="121">
        <v>56.680107747811071</v>
      </c>
      <c r="Q1253" s="121">
        <v>56.678058722781621</v>
      </c>
      <c r="R1253" s="121">
        <v>56.675428301946482</v>
      </c>
      <c r="S1253" s="121">
        <v>56.672051729645226</v>
      </c>
      <c r="T1253" s="121">
        <v>56.667717698663225</v>
      </c>
      <c r="U1253" s="121">
        <v>56.662155285789488</v>
      </c>
      <c r="V1253" s="121">
        <v>56.655017278377656</v>
      </c>
      <c r="W1253" s="121">
        <v>56.645858932284774</v>
      </c>
      <c r="X1253" s="121">
        <v>56.63411097087527</v>
      </c>
      <c r="Y1253" s="121">
        <v>56.619045365101371</v>
      </c>
      <c r="Z1253" s="121">
        <v>56.599732131447475</v>
      </c>
      <c r="AA1253" s="121">
        <v>56.574985064697415</v>
      </c>
      <c r="AB1253" s="121">
        <v>56.543294023385428</v>
      </c>
      <c r="AC1253" s="121">
        <v>56.502741179362729</v>
      </c>
      <c r="AD1253" s="121">
        <v>56.450898657588446</v>
      </c>
      <c r="AE1253" s="121">
        <v>56.384705445356893</v>
      </c>
      <c r="AF1253" s="121">
        <v>56.300322692969516</v>
      </c>
      <c r="AG1253" s="121">
        <v>56.192969102584769</v>
      </c>
      <c r="AH1253" s="121">
        <v>56.056742801618157</v>
      </c>
      <c r="AI1253" s="121">
        <v>55.884443999454817</v>
      </c>
      <c r="AJ1253" s="121">
        <v>55.667425135950218</v>
      </c>
      <c r="AK1253" s="121">
        <v>55.395513395976451</v>
      </c>
      <c r="AL1253" s="121">
        <v>55.05707484727219</v>
      </c>
      <c r="AM1253" s="121">
        <v>54.639318243339957</v>
      </c>
      <c r="AN1253" s="121">
        <v>54.128963123220807</v>
      </c>
      <c r="AO1253" s="121">
        <v>53.513406562027519</v>
      </c>
      <c r="AP1253" s="121">
        <v>52.782490513565371</v>
      </c>
      <c r="AQ1253" s="121">
        <v>51.930863654750155</v>
      </c>
      <c r="AR1253" s="121">
        <v>50.960720394885314</v>
      </c>
      <c r="AS1253" s="121">
        <v>49.884395075081336</v>
      </c>
      <c r="AT1253" s="121">
        <v>48.725980736285848</v>
      </c>
      <c r="AU1253" s="121">
        <v>47.521016618064607</v>
      </c>
      <c r="AV1253" s="121">
        <v>46.313569345699733</v>
      </c>
      <c r="AW1253" s="121">
        <v>45.150806459582292</v>
      </c>
      <c r="AX1253" s="122">
        <v>44.076193613662809</v>
      </c>
    </row>
    <row r="1254" spans="1:50" x14ac:dyDescent="0.25">
      <c r="A1254" s="356"/>
      <c r="B1254" s="359"/>
      <c r="C1254" s="360"/>
      <c r="D1254" s="2" t="s">
        <v>8</v>
      </c>
      <c r="E1254" s="160" t="str">
        <f>A1253&amp;"/"&amp;B1253&amp;"/"&amp;C1253&amp;"/"&amp;D1254</f>
        <v>Coal fired power plants/Integrated gasification combined cycle/Electricity only/M</v>
      </c>
      <c r="F1254" s="76" t="str">
        <f>A1253</f>
        <v>Coal fired power plants</v>
      </c>
      <c r="G1254" s="76" t="str">
        <f>B1253</f>
        <v>Integrated gasification combined cycle</v>
      </c>
      <c r="H1254" s="76" t="str">
        <f>C1253</f>
        <v>Electricity only</v>
      </c>
      <c r="I1254" s="161" t="str">
        <f t="shared" si="98"/>
        <v>M</v>
      </c>
      <c r="J1254" s="119">
        <v>60.937142857142859</v>
      </c>
      <c r="K1254" s="119">
        <v>60.934570011577598</v>
      </c>
      <c r="L1254" s="119">
        <v>60.931428204525687</v>
      </c>
      <c r="M1254" s="119">
        <v>60.927591797316502</v>
      </c>
      <c r="N1254" s="119">
        <v>60.922907497040342</v>
      </c>
      <c r="O1254" s="119">
        <v>60.917188313527028</v>
      </c>
      <c r="P1254" s="119">
        <v>60.91020621740067</v>
      </c>
      <c r="Q1254" s="119">
        <v>60.901683230665462</v>
      </c>
      <c r="R1254" s="119">
        <v>60.891280631063083</v>
      </c>
      <c r="S1254" s="119">
        <v>60.878585894556267</v>
      </c>
      <c r="T1254" s="119">
        <v>60.863096937362755</v>
      </c>
      <c r="U1254" s="119">
        <v>60.844203151729047</v>
      </c>
      <c r="V1254" s="119">
        <v>60.821162661606522</v>
      </c>
      <c r="W1254" s="119">
        <v>60.793075161860322</v>
      </c>
      <c r="X1254" s="119">
        <v>60.758849658067611</v>
      </c>
      <c r="Y1254" s="119">
        <v>60.717166410007358</v>
      </c>
      <c r="Z1254" s="119">
        <v>60.666432426210115</v>
      </c>
      <c r="AA1254" s="119">
        <v>60.604729997607414</v>
      </c>
      <c r="AB1254" s="119">
        <v>60.529758050770305</v>
      </c>
      <c r="AC1254" s="119">
        <v>60.438766623375479</v>
      </c>
      <c r="AD1254" s="119">
        <v>60.328485622320379</v>
      </c>
      <c r="AE1254" s="119">
        <v>60.195050356158795</v>
      </c>
      <c r="AF1254" s="119">
        <v>60.033928306965002</v>
      </c>
      <c r="AG1254" s="119">
        <v>59.839854409990281</v>
      </c>
      <c r="AH1254" s="119">
        <v>59.606785916211031</v>
      </c>
      <c r="AI1254" s="119">
        <v>59.327892814169466</v>
      </c>
      <c r="AJ1254" s="119">
        <v>58.99560566856664</v>
      </c>
      <c r="AK1254" s="119">
        <v>58.601749076569973</v>
      </c>
      <c r="AL1254" s="119">
        <v>58.137794554042756</v>
      </c>
      <c r="AM1254" s="119">
        <v>57.595269352989739</v>
      </c>
      <c r="AN1254" s="119">
        <v>56.966354052059948</v>
      </c>
      <c r="AO1254" s="119">
        <v>56.244687181189917</v>
      </c>
      <c r="AP1254" s="119">
        <v>55.426364752817285</v>
      </c>
      <c r="AQ1254" s="119">
        <v>54.511073222411191</v>
      </c>
      <c r="AR1254" s="119">
        <v>53.503228135085777</v>
      </c>
      <c r="AS1254" s="119">
        <v>52.412918965390098</v>
      </c>
      <c r="AT1254" s="119">
        <v>51.256406892659101</v>
      </c>
      <c r="AU1254" s="119">
        <v>50.055919274161226</v>
      </c>
      <c r="AV1254" s="119">
        <v>48.838562977935943</v>
      </c>
      <c r="AW1254" s="119">
        <v>47.634347434839874</v>
      </c>
      <c r="AX1254" s="120">
        <v>46.473536143041386</v>
      </c>
    </row>
    <row r="1255" spans="1:50" x14ac:dyDescent="0.25">
      <c r="A1255" s="356"/>
      <c r="B1255" s="359"/>
      <c r="C1255" s="361" t="s">
        <v>14</v>
      </c>
      <c r="D1255" s="58" t="s">
        <v>7</v>
      </c>
      <c r="E1255" s="164" t="str">
        <f>A1253&amp;"/"&amp;B1253&amp;"/"&amp;C1255&amp;"/"&amp;D1255</f>
        <v>Coal fired power plants/Integrated gasification combined cycle/CHP/L</v>
      </c>
      <c r="F1255" s="78" t="str">
        <f>A1253</f>
        <v>Coal fired power plants</v>
      </c>
      <c r="G1255" s="78" t="str">
        <f>B1253</f>
        <v>Integrated gasification combined cycle</v>
      </c>
      <c r="H1255" s="78" t="str">
        <f>C1255</f>
        <v>CHP</v>
      </c>
      <c r="I1255" s="165" t="str">
        <f t="shared" si="98"/>
        <v>L</v>
      </c>
      <c r="J1255" s="123">
        <v>63.631999999999998</v>
      </c>
      <c r="K1255" s="123">
        <v>63.631520701658317</v>
      </c>
      <c r="L1255" s="123">
        <v>63.630905300655954</v>
      </c>
      <c r="M1255" s="123">
        <v>63.630115159998333</v>
      </c>
      <c r="N1255" s="123">
        <v>63.629100681526161</v>
      </c>
      <c r="O1255" s="123">
        <v>63.627798200915429</v>
      </c>
      <c r="P1255" s="123">
        <v>63.626126006124657</v>
      </c>
      <c r="Q1255" s="123">
        <v>63.62397923378829</v>
      </c>
      <c r="R1255" s="123">
        <v>63.621223330565684</v>
      </c>
      <c r="S1255" s="123">
        <v>63.617685681242762</v>
      </c>
      <c r="T1255" s="123">
        <v>63.613144898341929</v>
      </c>
      <c r="U1255" s="123">
        <v>63.607317134449758</v>
      </c>
      <c r="V1255" s="123">
        <v>63.599838613383277</v>
      </c>
      <c r="W1255" s="123">
        <v>63.590243374791015</v>
      </c>
      <c r="X1255" s="123">
        <v>63.577934985093421</v>
      </c>
      <c r="Y1255" s="123">
        <v>63.5621506851258</v>
      </c>
      <c r="Z1255" s="123">
        <v>63.541916127158935</v>
      </c>
      <c r="AA1255" s="123">
        <v>63.515988518885905</v>
      </c>
      <c r="AB1255" s="123">
        <v>63.482785678597786</v>
      </c>
      <c r="AC1255" s="123">
        <v>63.440298289494372</v>
      </c>
      <c r="AD1255" s="123">
        <v>63.385982656452853</v>
      </c>
      <c r="AE1255" s="123">
        <v>63.316631743295879</v>
      </c>
      <c r="AF1255" s="123">
        <v>63.228223570683049</v>
      </c>
      <c r="AG1255" s="123">
        <v>63.115748752301073</v>
      </c>
      <c r="AH1255" s="123">
        <v>62.973023870858782</v>
      </c>
      <c r="AI1255" s="123">
        <v>62.792505674762147</v>
      </c>
      <c r="AJ1255" s="123">
        <v>62.565134078053909</v>
      </c>
      <c r="AK1255" s="123">
        <v>62.280250978570535</v>
      </c>
      <c r="AL1255" s="123">
        <v>61.925667455443403</v>
      </c>
      <c r="AM1255" s="123">
        <v>61.487982064701008</v>
      </c>
      <c r="AN1255" s="123">
        <v>60.953280810276389</v>
      </c>
      <c r="AO1255" s="123">
        <v>60.308359553559086</v>
      </c>
      <c r="AP1255" s="123">
        <v>59.542575665860348</v>
      </c>
      <c r="AQ1255" s="123">
        <v>58.650322542968425</v>
      </c>
      <c r="AR1255" s="123">
        <v>57.633899276948839</v>
      </c>
      <c r="AS1255" s="123">
        <v>56.506228610034007</v>
      </c>
      <c r="AT1255" s="123">
        <v>55.292552924850703</v>
      </c>
      <c r="AU1255" s="123">
        <v>54.030106835548949</v>
      </c>
      <c r="AV1255" s="123">
        <v>52.765059134970656</v>
      </c>
      <c r="AW1255" s="123">
        <v>51.546827458054729</v>
      </c>
      <c r="AX1255" s="124">
        <v>50.420950957394155</v>
      </c>
    </row>
    <row r="1256" spans="1:50" x14ac:dyDescent="0.25">
      <c r="A1256" s="356"/>
      <c r="B1256" s="359"/>
      <c r="C1256" s="360"/>
      <c r="D1256" s="59" t="s">
        <v>8</v>
      </c>
      <c r="E1256" s="166" t="str">
        <f>A1253&amp;"/"&amp;B1253&amp;"/"&amp;C1255&amp;"/"&amp;D1256</f>
        <v>Coal fired power plants/Integrated gasification combined cycle/CHP/M</v>
      </c>
      <c r="F1256" s="79" t="str">
        <f>A1253</f>
        <v>Coal fired power plants</v>
      </c>
      <c r="G1256" s="79" t="str">
        <f>B1253</f>
        <v>Integrated gasification combined cycle</v>
      </c>
      <c r="H1256" s="79" t="str">
        <f>C1255</f>
        <v>CHP</v>
      </c>
      <c r="I1256" s="167" t="str">
        <f t="shared" si="98"/>
        <v>M</v>
      </c>
      <c r="J1256" s="125">
        <v>67.755885714285711</v>
      </c>
      <c r="K1256" s="125">
        <v>67.753188443471458</v>
      </c>
      <c r="L1256" s="125">
        <v>67.749894695654021</v>
      </c>
      <c r="M1256" s="125">
        <v>67.745872756157681</v>
      </c>
      <c r="N1256" s="125">
        <v>67.740961918682345</v>
      </c>
      <c r="O1256" s="125">
        <v>67.734966150036087</v>
      </c>
      <c r="P1256" s="125">
        <v>67.727646393126378</v>
      </c>
      <c r="Q1256" s="125">
        <v>67.718711226678153</v>
      </c>
      <c r="R1256" s="125">
        <v>67.707805547503796</v>
      </c>
      <c r="S1256" s="125">
        <v>67.694496881512748</v>
      </c>
      <c r="T1256" s="125">
        <v>67.678258863675453</v>
      </c>
      <c r="U1256" s="125">
        <v>67.658451356668905</v>
      </c>
      <c r="V1256" s="125">
        <v>67.634296606615962</v>
      </c>
      <c r="W1256" s="125">
        <v>67.604850768772522</v>
      </c>
      <c r="X1256" s="125">
        <v>67.568970087191829</v>
      </c>
      <c r="Y1256" s="125">
        <v>67.525270997765517</v>
      </c>
      <c r="Z1256" s="125">
        <v>67.472083470447501</v>
      </c>
      <c r="AA1256" s="125">
        <v>67.407397053941949</v>
      </c>
      <c r="AB1256" s="125">
        <v>67.328799392728897</v>
      </c>
      <c r="AC1256" s="125">
        <v>67.233407533701822</v>
      </c>
      <c r="AD1256" s="125">
        <v>67.117793238957702</v>
      </c>
      <c r="AE1256" s="125">
        <v>66.977904916910688</v>
      </c>
      <c r="AF1256" s="125">
        <v>66.80899085277413</v>
      </c>
      <c r="AG1256" s="125">
        <v>66.605531358280047</v>
      </c>
      <c r="AH1256" s="125">
        <v>66.361191451337262</v>
      </c>
      <c r="AI1256" s="125">
        <v>66.068810814663308</v>
      </c>
      <c r="AJ1256" s="125">
        <v>65.720453947897028</v>
      </c>
      <c r="AK1256" s="125">
        <v>65.307550077979656</v>
      </c>
      <c r="AL1256" s="125">
        <v>64.821158275201924</v>
      </c>
      <c r="AM1256" s="125">
        <v>64.252396041448634</v>
      </c>
      <c r="AN1256" s="125">
        <v>63.593065800744277</v>
      </c>
      <c r="AO1256" s="125">
        <v>62.836498436306428</v>
      </c>
      <c r="AP1256" s="125">
        <v>61.978601160035637</v>
      </c>
      <c r="AQ1256" s="125">
        <v>61.019045264090494</v>
      </c>
      <c r="AR1256" s="125">
        <v>59.962459833530033</v>
      </c>
      <c r="AS1256" s="125">
        <v>58.819422279451103</v>
      </c>
      <c r="AT1256" s="125">
        <v>57.606980187226775</v>
      </c>
      <c r="AU1256" s="125">
        <v>56.348435850180735</v>
      </c>
      <c r="AV1256" s="125">
        <v>55.07220705017135</v>
      </c>
      <c r="AW1256" s="125">
        <v>53.809754502561788</v>
      </c>
      <c r="AX1256" s="126">
        <v>52.592805276962871</v>
      </c>
    </row>
    <row r="1257" spans="1:50" x14ac:dyDescent="0.25">
      <c r="A1257" s="356"/>
      <c r="B1257" s="359"/>
      <c r="C1257" s="361" t="s">
        <v>15</v>
      </c>
      <c r="D1257" s="58" t="s">
        <v>7</v>
      </c>
      <c r="E1257" s="164" t="str">
        <f>A1253&amp;"/"&amp;B1253&amp;"/"&amp;C1257&amp;"/"&amp;D1257</f>
        <v>Coal fired power plants/Integrated gasification combined cycle/Electricity only with CCS/L</v>
      </c>
      <c r="F1257" s="78" t="str">
        <f>A1253</f>
        <v>Coal fired power plants</v>
      </c>
      <c r="G1257" s="78" t="str">
        <f>B1253</f>
        <v>Integrated gasification combined cycle</v>
      </c>
      <c r="H1257" s="78" t="str">
        <f>C1257</f>
        <v>Electricity only with CCS</v>
      </c>
      <c r="I1257" s="165" t="str">
        <f t="shared" si="98"/>
        <v>L</v>
      </c>
      <c r="J1257" s="123" t="s">
        <v>112</v>
      </c>
      <c r="K1257" s="123" t="s">
        <v>112</v>
      </c>
      <c r="L1257" s="123" t="s">
        <v>112</v>
      </c>
      <c r="M1257" s="123" t="s">
        <v>112</v>
      </c>
      <c r="N1257" s="123" t="s">
        <v>112</v>
      </c>
      <c r="O1257" s="123" t="s">
        <v>112</v>
      </c>
      <c r="P1257" s="123" t="s">
        <v>112</v>
      </c>
      <c r="Q1257" s="123" t="s">
        <v>112</v>
      </c>
      <c r="R1257" s="123" t="s">
        <v>112</v>
      </c>
      <c r="S1257" s="123" t="s">
        <v>112</v>
      </c>
      <c r="T1257" s="123" t="s">
        <v>112</v>
      </c>
      <c r="U1257" s="123" t="s">
        <v>112</v>
      </c>
      <c r="V1257" s="123" t="s">
        <v>112</v>
      </c>
      <c r="W1257" s="123" t="s">
        <v>112</v>
      </c>
      <c r="X1257" s="123" t="s">
        <v>112</v>
      </c>
      <c r="Y1257" s="123" t="s">
        <v>112</v>
      </c>
      <c r="Z1257" s="123" t="s">
        <v>112</v>
      </c>
      <c r="AA1257" s="123" t="s">
        <v>112</v>
      </c>
      <c r="AB1257" s="123" t="s">
        <v>112</v>
      </c>
      <c r="AC1257" s="123" t="s">
        <v>112</v>
      </c>
      <c r="AD1257" s="123" t="s">
        <v>112</v>
      </c>
      <c r="AE1257" s="123">
        <v>86.263098807927292</v>
      </c>
      <c r="AF1257" s="123">
        <v>86.248811391945992</v>
      </c>
      <c r="AG1257" s="123">
        <v>86.229543634267841</v>
      </c>
      <c r="AH1257" s="123">
        <v>86.203568058683558</v>
      </c>
      <c r="AI1257" s="123">
        <v>86.168565022560827</v>
      </c>
      <c r="AJ1257" s="123">
        <v>86.121425466664348</v>
      </c>
      <c r="AK1257" s="123">
        <v>86.057992654572615</v>
      </c>
      <c r="AL1257" s="123">
        <v>85.97272790366155</v>
      </c>
      <c r="AM1257" s="123">
        <v>85.858284954321135</v>
      </c>
      <c r="AN1257" s="123">
        <v>85.704980709900823</v>
      </c>
      <c r="AO1257" s="123">
        <v>85.500160119942052</v>
      </c>
      <c r="AP1257" s="123">
        <v>85.22747580234541</v>
      </c>
      <c r="AQ1257" s="123">
        <v>84.866147473051115</v>
      </c>
      <c r="AR1257" s="123">
        <v>84.390344161718019</v>
      </c>
      <c r="AS1257" s="123">
        <v>83.768955375170449</v>
      </c>
      <c r="AT1257" s="123">
        <v>82.966188369463026</v>
      </c>
      <c r="AU1257" s="123">
        <v>81.943619642125967</v>
      </c>
      <c r="AV1257" s="123">
        <v>80.664445710728799</v>
      </c>
      <c r="AW1257" s="123">
        <v>79.10052381541901</v>
      </c>
      <c r="AX1257" s="124">
        <v>77.242080000000001</v>
      </c>
    </row>
    <row r="1258" spans="1:50" x14ac:dyDescent="0.25">
      <c r="A1258" s="356"/>
      <c r="B1258" s="359"/>
      <c r="C1258" s="360"/>
      <c r="D1258" s="59" t="s">
        <v>8</v>
      </c>
      <c r="E1258" s="166" t="str">
        <f>A1253&amp;"/"&amp;B1253&amp;"/"&amp;C1257&amp;"/"&amp;D1258</f>
        <v>Coal fired power plants/Integrated gasification combined cycle/Electricity only with CCS/M</v>
      </c>
      <c r="F1258" s="79" t="str">
        <f>A1253</f>
        <v>Coal fired power plants</v>
      </c>
      <c r="G1258" s="79" t="str">
        <f>B1253</f>
        <v>Integrated gasification combined cycle</v>
      </c>
      <c r="H1258" s="79" t="str">
        <f>C1257</f>
        <v>Electricity only with CCS</v>
      </c>
      <c r="I1258" s="167" t="str">
        <f t="shared" si="98"/>
        <v>M</v>
      </c>
      <c r="J1258" s="125" t="s">
        <v>112</v>
      </c>
      <c r="K1258" s="125" t="s">
        <v>112</v>
      </c>
      <c r="L1258" s="125" t="s">
        <v>112</v>
      </c>
      <c r="M1258" s="125" t="s">
        <v>112</v>
      </c>
      <c r="N1258" s="125" t="s">
        <v>112</v>
      </c>
      <c r="O1258" s="125" t="s">
        <v>112</v>
      </c>
      <c r="P1258" s="125" t="s">
        <v>112</v>
      </c>
      <c r="Q1258" s="125" t="s">
        <v>112</v>
      </c>
      <c r="R1258" s="125" t="s">
        <v>112</v>
      </c>
      <c r="S1258" s="125" t="s">
        <v>112</v>
      </c>
      <c r="T1258" s="125" t="s">
        <v>112</v>
      </c>
      <c r="U1258" s="125" t="s">
        <v>112</v>
      </c>
      <c r="V1258" s="125" t="s">
        <v>112</v>
      </c>
      <c r="W1258" s="125" t="s">
        <v>112</v>
      </c>
      <c r="X1258" s="125" t="s">
        <v>112</v>
      </c>
      <c r="Y1258" s="125" t="s">
        <v>112</v>
      </c>
      <c r="Z1258" s="125" t="s">
        <v>112</v>
      </c>
      <c r="AA1258" s="125" t="s">
        <v>112</v>
      </c>
      <c r="AB1258" s="125" t="s">
        <v>112</v>
      </c>
      <c r="AC1258" s="125" t="s">
        <v>112</v>
      </c>
      <c r="AD1258" s="125" t="s">
        <v>112</v>
      </c>
      <c r="AE1258" s="125">
        <v>92.089099575438965</v>
      </c>
      <c r="AF1258" s="125">
        <v>92.081519068968433</v>
      </c>
      <c r="AG1258" s="125">
        <v>92.070766674142959</v>
      </c>
      <c r="AH1258" s="125">
        <v>92.055518070565498</v>
      </c>
      <c r="AI1258" s="125">
        <v>92.033898926701852</v>
      </c>
      <c r="AJ1258" s="125">
        <v>92.003259418828122</v>
      </c>
      <c r="AK1258" s="125">
        <v>91.959859289572421</v>
      </c>
      <c r="AL1258" s="125">
        <v>91.898430967731343</v>
      </c>
      <c r="AM1258" s="125">
        <v>91.811579578049276</v>
      </c>
      <c r="AN1258" s="125">
        <v>91.688971023187165</v>
      </c>
      <c r="AO1258" s="125">
        <v>91.516257383942474</v>
      </c>
      <c r="AP1258" s="125">
        <v>91.273702637999804</v>
      </c>
      <c r="AQ1258" s="125">
        <v>90.934520538711539</v>
      </c>
      <c r="AR1258" s="125">
        <v>90.463054592029508</v>
      </c>
      <c r="AS1258" s="125">
        <v>89.813169947396815</v>
      </c>
      <c r="AT1258" s="125">
        <v>88.927650930905216</v>
      </c>
      <c r="AU1258" s="125">
        <v>87.740031629131906</v>
      </c>
      <c r="AV1258" s="125">
        <v>86.18099283362416</v>
      </c>
      <c r="AW1258" s="125">
        <v>84.191703785080762</v>
      </c>
      <c r="AX1258" s="126">
        <v>81.745140000000006</v>
      </c>
    </row>
    <row r="1259" spans="1:50" x14ac:dyDescent="0.25">
      <c r="A1259" s="356"/>
      <c r="B1259" s="359"/>
      <c r="C1259" s="361" t="s">
        <v>16</v>
      </c>
      <c r="D1259" s="2" t="s">
        <v>7</v>
      </c>
      <c r="E1259" s="160" t="str">
        <f>A1253&amp;"/"&amp;B1253&amp;"/"&amp;C1259&amp;"/"&amp;D1259</f>
        <v>Coal fired power plants/Integrated gasification combined cycle/CHP with CCS/L</v>
      </c>
      <c r="F1259" s="76" t="str">
        <f>A1253</f>
        <v>Coal fired power plants</v>
      </c>
      <c r="G1259" s="76" t="str">
        <f>B1253</f>
        <v>Integrated gasification combined cycle</v>
      </c>
      <c r="H1259" s="76" t="str">
        <f>C1259</f>
        <v>CHP with CCS</v>
      </c>
      <c r="I1259" s="161" t="str">
        <f t="shared" si="98"/>
        <v>L</v>
      </c>
      <c r="J1259" s="119" t="s">
        <v>112</v>
      </c>
      <c r="K1259" s="119" t="s">
        <v>112</v>
      </c>
      <c r="L1259" s="119" t="s">
        <v>112</v>
      </c>
      <c r="M1259" s="119" t="s">
        <v>112</v>
      </c>
      <c r="N1259" s="119" t="s">
        <v>112</v>
      </c>
      <c r="O1259" s="119" t="s">
        <v>112</v>
      </c>
      <c r="P1259" s="119" t="s">
        <v>112</v>
      </c>
      <c r="Q1259" s="119" t="s">
        <v>112</v>
      </c>
      <c r="R1259" s="119" t="s">
        <v>112</v>
      </c>
      <c r="S1259" s="119" t="s">
        <v>112</v>
      </c>
      <c r="T1259" s="119" t="s">
        <v>112</v>
      </c>
      <c r="U1259" s="119" t="s">
        <v>112</v>
      </c>
      <c r="V1259" s="119" t="s">
        <v>112</v>
      </c>
      <c r="W1259" s="119" t="s">
        <v>112</v>
      </c>
      <c r="X1259" s="119" t="s">
        <v>112</v>
      </c>
      <c r="Y1259" s="119" t="s">
        <v>112</v>
      </c>
      <c r="Z1259" s="119" t="s">
        <v>112</v>
      </c>
      <c r="AA1259" s="119" t="s">
        <v>112</v>
      </c>
      <c r="AB1259" s="119" t="s">
        <v>112</v>
      </c>
      <c r="AC1259" s="119" t="s">
        <v>112</v>
      </c>
      <c r="AD1259" s="119" t="s">
        <v>112</v>
      </c>
      <c r="AE1259" s="119">
        <v>92.752615998945075</v>
      </c>
      <c r="AF1259" s="119">
        <v>92.73813198512299</v>
      </c>
      <c r="AG1259" s="119">
        <v>92.718599099057656</v>
      </c>
      <c r="AH1259" s="119">
        <v>92.692266094104752</v>
      </c>
      <c r="AI1259" s="119">
        <v>92.656781408862841</v>
      </c>
      <c r="AJ1259" s="119">
        <v>92.608993202789406</v>
      </c>
      <c r="AK1259" s="119">
        <v>92.544687541897815</v>
      </c>
      <c r="AL1259" s="119">
        <v>92.458249530129351</v>
      </c>
      <c r="AM1259" s="119">
        <v>92.342231821800809</v>
      </c>
      <c r="AN1259" s="119">
        <v>92.186818078820664</v>
      </c>
      <c r="AO1259" s="119">
        <v>91.979179114581527</v>
      </c>
      <c r="AP1259" s="119">
        <v>91.702742603577363</v>
      </c>
      <c r="AQ1259" s="119">
        <v>91.33644232068086</v>
      </c>
      <c r="AR1259" s="119">
        <v>90.854091855980812</v>
      </c>
      <c r="AS1259" s="119">
        <v>90.224152629389764</v>
      </c>
      <c r="AT1259" s="119">
        <v>89.410339381297931</v>
      </c>
      <c r="AU1259" s="119">
        <v>88.373699893781875</v>
      </c>
      <c r="AV1259" s="119">
        <v>87.076924260773168</v>
      </c>
      <c r="AW1259" s="119">
        <v>85.491482472140561</v>
      </c>
      <c r="AX1259" s="120">
        <v>83.607466080000023</v>
      </c>
    </row>
    <row r="1260" spans="1:50" x14ac:dyDescent="0.25">
      <c r="A1260" s="356"/>
      <c r="B1260" s="362"/>
      <c r="C1260" s="354"/>
      <c r="D1260" s="4" t="s">
        <v>8</v>
      </c>
      <c r="E1260" s="168" t="str">
        <f>A1253&amp;"/"&amp;B1253&amp;"/"&amp;C1259&amp;"/"&amp;D1260</f>
        <v>Coal fired power plants/Integrated gasification combined cycle/CHP with CCS/M</v>
      </c>
      <c r="F1260" s="80" t="str">
        <f>A1253</f>
        <v>Coal fired power plants</v>
      </c>
      <c r="G1260" s="80" t="str">
        <f>B1253</f>
        <v>Integrated gasification combined cycle</v>
      </c>
      <c r="H1260" s="80" t="str">
        <f>C1259</f>
        <v>CHP with CCS</v>
      </c>
      <c r="I1260" s="169" t="str">
        <f t="shared" si="98"/>
        <v>M</v>
      </c>
      <c r="J1260" s="127" t="s">
        <v>112</v>
      </c>
      <c r="K1260" s="127" t="s">
        <v>112</v>
      </c>
      <c r="L1260" s="127" t="s">
        <v>112</v>
      </c>
      <c r="M1260" s="127" t="s">
        <v>112</v>
      </c>
      <c r="N1260" s="127" t="s">
        <v>112</v>
      </c>
      <c r="O1260" s="127" t="s">
        <v>112</v>
      </c>
      <c r="P1260" s="127" t="s">
        <v>112</v>
      </c>
      <c r="Q1260" s="127" t="s">
        <v>112</v>
      </c>
      <c r="R1260" s="127" t="s">
        <v>112</v>
      </c>
      <c r="S1260" s="127" t="s">
        <v>112</v>
      </c>
      <c r="T1260" s="127" t="s">
        <v>112</v>
      </c>
      <c r="U1260" s="127" t="s">
        <v>112</v>
      </c>
      <c r="V1260" s="127" t="s">
        <v>112</v>
      </c>
      <c r="W1260" s="127" t="s">
        <v>112</v>
      </c>
      <c r="X1260" s="127" t="s">
        <v>112</v>
      </c>
      <c r="Y1260" s="127" t="s">
        <v>112</v>
      </c>
      <c r="Z1260" s="127" t="s">
        <v>112</v>
      </c>
      <c r="AA1260" s="127" t="s">
        <v>112</v>
      </c>
      <c r="AB1260" s="127" t="s">
        <v>112</v>
      </c>
      <c r="AC1260" s="127" t="s">
        <v>112</v>
      </c>
      <c r="AD1260" s="127" t="s">
        <v>112</v>
      </c>
      <c r="AE1260" s="127">
        <v>98.405131831918553</v>
      </c>
      <c r="AF1260" s="127">
        <v>98.397571535391393</v>
      </c>
      <c r="AG1260" s="127">
        <v>98.386847806894707</v>
      </c>
      <c r="AH1260" s="127">
        <v>98.371639856724258</v>
      </c>
      <c r="AI1260" s="127">
        <v>98.350078350391215</v>
      </c>
      <c r="AJ1260" s="127">
        <v>98.319520528711166</v>
      </c>
      <c r="AK1260" s="127">
        <v>98.276236105992822</v>
      </c>
      <c r="AL1260" s="127">
        <v>98.214971554595294</v>
      </c>
      <c r="AM1260" s="127">
        <v>98.128351714305808</v>
      </c>
      <c r="AN1260" s="127">
        <v>98.006070038915723</v>
      </c>
      <c r="AO1260" s="127">
        <v>97.833816861367765</v>
      </c>
      <c r="AP1260" s="127">
        <v>97.591908776397347</v>
      </c>
      <c r="AQ1260" s="127">
        <v>97.253630950596829</v>
      </c>
      <c r="AR1260" s="127">
        <v>96.783421951604168</v>
      </c>
      <c r="AS1260" s="127">
        <v>96.135269926279761</v>
      </c>
      <c r="AT1260" s="127">
        <v>95.252111740065473</v>
      </c>
      <c r="AU1260" s="127">
        <v>94.067658680409323</v>
      </c>
      <c r="AV1260" s="127">
        <v>92.512776346731798</v>
      </c>
      <c r="AW1260" s="127">
        <v>90.528790824966137</v>
      </c>
      <c r="AX1260" s="128">
        <v>88.088749680000021</v>
      </c>
    </row>
    <row r="1261" spans="1:50" x14ac:dyDescent="0.25">
      <c r="A1261" s="356"/>
      <c r="B1261" s="358" t="s">
        <v>17</v>
      </c>
      <c r="C1261" s="353" t="s">
        <v>6</v>
      </c>
      <c r="D1261" s="3" t="s">
        <v>7</v>
      </c>
      <c r="E1261" s="162" t="str">
        <f>A1253&amp;"/"&amp;B1261&amp;"/"&amp;C1261&amp;"/"&amp;D1261</f>
        <v>Coal fired power plants/Supercritical steam turbine/Electricity only/L</v>
      </c>
      <c r="F1261" s="77" t="str">
        <f>A1253</f>
        <v>Coal fired power plants</v>
      </c>
      <c r="G1261" s="77" t="str">
        <f>B1261</f>
        <v>Supercritical steam turbine</v>
      </c>
      <c r="H1261" s="77" t="str">
        <f>C1261</f>
        <v>Electricity only</v>
      </c>
      <c r="I1261" s="163" t="str">
        <f t="shared" si="98"/>
        <v>L</v>
      </c>
      <c r="J1261" s="121">
        <v>39.262500000000003</v>
      </c>
      <c r="K1261" s="121">
        <v>39.259826094445444</v>
      </c>
      <c r="L1261" s="121">
        <v>39.256562648517544</v>
      </c>
      <c r="M1261" s="121">
        <v>39.252580346868648</v>
      </c>
      <c r="N1261" s="121">
        <v>39.247721835348329</v>
      </c>
      <c r="O1261" s="121">
        <v>39.241795801508815</v>
      </c>
      <c r="P1261" s="121">
        <v>39.234569884085147</v>
      </c>
      <c r="Q1261" s="121">
        <v>39.225762218986702</v>
      </c>
      <c r="R1261" s="121">
        <v>39.215031418094945</v>
      </c>
      <c r="S1261" s="121">
        <v>39.201964777672146</v>
      </c>
      <c r="T1261" s="121">
        <v>39.18606453410969</v>
      </c>
      <c r="U1261" s="121">
        <v>39.166732038920109</v>
      </c>
      <c r="V1261" s="121">
        <v>39.143249830796826</v>
      </c>
      <c r="W1261" s="121">
        <v>39.114761766084996</v>
      </c>
      <c r="X1261" s="121">
        <v>39.08025166500196</v>
      </c>
      <c r="Y1261" s="121">
        <v>39.038521384342985</v>
      </c>
      <c r="Z1261" s="121">
        <v>38.988169892380483</v>
      </c>
      <c r="AA1261" s="121">
        <v>38.927575856906337</v>
      </c>
      <c r="AB1261" s="121">
        <v>38.854887513964556</v>
      </c>
      <c r="AC1261" s="121">
        <v>38.768025181714755</v>
      </c>
      <c r="AD1261" s="121">
        <v>38.664703664507023</v>
      </c>
      <c r="AE1261" s="121">
        <v>38.542483756593093</v>
      </c>
      <c r="AF1261" s="121">
        <v>38.398863666124385</v>
      </c>
      <c r="AG1261" s="121">
        <v>38.231421660288632</v>
      </c>
      <c r="AH1261" s="121">
        <v>38.038019391978267</v>
      </c>
      <c r="AI1261" s="121">
        <v>37.81706966148657</v>
      </c>
      <c r="AJ1261" s="121">
        <v>37.56786121931065</v>
      </c>
      <c r="AK1261" s="121">
        <v>37.290915787175202</v>
      </c>
      <c r="AL1261" s="121">
        <v>36.988329902080025</v>
      </c>
      <c r="AM1261" s="121">
        <v>36.66403103193278</v>
      </c>
      <c r="AN1261" s="121">
        <v>36.323862418534617</v>
      </c>
      <c r="AO1261" s="121">
        <v>35.975415892079162</v>
      </c>
      <c r="AP1261" s="121">
        <v>35.627566365781298</v>
      </c>
      <c r="AQ1261" s="121">
        <v>35.289726745867242</v>
      </c>
      <c r="AR1261" s="121">
        <v>34.9709232044858</v>
      </c>
      <c r="AS1261" s="121">
        <v>34.678859244933015</v>
      </c>
      <c r="AT1261" s="121">
        <v>34.419160665813301</v>
      </c>
      <c r="AU1261" s="121">
        <v>34.194955217393463</v>
      </c>
      <c r="AV1261" s="121">
        <v>34.006851092340924</v>
      </c>
      <c r="AW1261" s="121">
        <v>33.853272733070519</v>
      </c>
      <c r="AX1261" s="122">
        <v>33.731031867962059</v>
      </c>
    </row>
    <row r="1262" spans="1:50" x14ac:dyDescent="0.25">
      <c r="A1262" s="356"/>
      <c r="B1262" s="359"/>
      <c r="C1262" s="360"/>
      <c r="D1262" s="2" t="s">
        <v>8</v>
      </c>
      <c r="E1262" s="160" t="str">
        <f>A1253&amp;"/"&amp;B1261&amp;"/"&amp;C1261&amp;"/"&amp;D1262</f>
        <v>Coal fired power plants/Supercritical steam turbine/Electricity only/M</v>
      </c>
      <c r="F1262" s="76" t="str">
        <f>A1253</f>
        <v>Coal fired power plants</v>
      </c>
      <c r="G1262" s="76" t="str">
        <f>B1261</f>
        <v>Supercritical steam turbine</v>
      </c>
      <c r="H1262" s="76" t="str">
        <f>C1261</f>
        <v>Electricity only</v>
      </c>
      <c r="I1262" s="161" t="str">
        <f t="shared" si="98"/>
        <v>M</v>
      </c>
      <c r="J1262" s="119">
        <v>42.796125000000011</v>
      </c>
      <c r="K1262" s="119">
        <v>42.791002493246012</v>
      </c>
      <c r="L1262" s="119">
        <v>42.784906725586303</v>
      </c>
      <c r="M1262" s="119">
        <v>42.777654231848224</v>
      </c>
      <c r="N1262" s="119">
        <v>42.769027567743763</v>
      </c>
      <c r="O1262" s="119">
        <v>42.75876926901794</v>
      </c>
      <c r="P1262" s="119">
        <v>42.746574842427343</v>
      </c>
      <c r="Q1262" s="119">
        <v>42.732084678675186</v>
      </c>
      <c r="R1262" s="119">
        <v>42.714874785858562</v>
      </c>
      <c r="S1262" s="119">
        <v>42.694446262962593</v>
      </c>
      <c r="T1262" s="119">
        <v>42.670213472534954</v>
      </c>
      <c r="U1262" s="119">
        <v>42.641490938081738</v>
      </c>
      <c r="V1262" s="119">
        <v>42.607479095708015</v>
      </c>
      <c r="W1262" s="119">
        <v>42.567249184796154</v>
      </c>
      <c r="X1262" s="119">
        <v>42.5197277858326</v>
      </c>
      <c r="Y1262" s="119">
        <v>42.463681824182309</v>
      </c>
      <c r="Z1262" s="119">
        <v>42.397705276979963</v>
      </c>
      <c r="AA1262" s="119">
        <v>42.320209364224638</v>
      </c>
      <c r="AB1262" s="119">
        <v>42.229418683733307</v>
      </c>
      <c r="AC1262" s="119">
        <v>42.123376552693337</v>
      </c>
      <c r="AD1262" s="119">
        <v>41.999963700936057</v>
      </c>
      <c r="AE1262" s="119">
        <v>41.856935320677806</v>
      </c>
      <c r="AF1262" s="119">
        <v>41.691982129191203</v>
      </c>
      <c r="AG1262" s="119">
        <v>41.502821250994188</v>
      </c>
      <c r="AH1262" s="119">
        <v>41.287321959749335</v>
      </c>
      <c r="AI1262" s="119">
        <v>41.043669121813508</v>
      </c>
      <c r="AJ1262" s="119">
        <v>40.77056302138967</v>
      </c>
      <c r="AK1262" s="119">
        <v>40.467447751102327</v>
      </c>
      <c r="AL1262" s="119">
        <v>40.134751598723973</v>
      </c>
      <c r="AM1262" s="119">
        <v>39.77411273365523</v>
      </c>
      <c r="AN1262" s="119">
        <v>39.388553990383443</v>
      </c>
      <c r="AO1262" s="119">
        <v>38.982564793562304</v>
      </c>
      <c r="AP1262" s="119">
        <v>38.562050012640036</v>
      </c>
      <c r="AQ1262" s="119">
        <v>38.134117878913763</v>
      </c>
      <c r="AR1262" s="119">
        <v>37.706702750756691</v>
      </c>
      <c r="AS1262" s="119">
        <v>37.288050219334437</v>
      </c>
      <c r="AT1262" s="119">
        <v>36.886124315163876</v>
      </c>
      <c r="AU1262" s="119">
        <v>36.508019508860947</v>
      </c>
      <c r="AV1262" s="119">
        <v>36.1594652158457</v>
      </c>
      <c r="AW1262" s="119">
        <v>35.844494352483245</v>
      </c>
      <c r="AX1262" s="120">
        <v>35.565314237106271</v>
      </c>
    </row>
    <row r="1263" spans="1:50" x14ac:dyDescent="0.25">
      <c r="A1263" s="356"/>
      <c r="B1263" s="359"/>
      <c r="C1263" s="361" t="s">
        <v>14</v>
      </c>
      <c r="D1263" s="58" t="s">
        <v>7</v>
      </c>
      <c r="E1263" s="164" t="str">
        <f>A1253&amp;"/"&amp;B1261&amp;"/"&amp;C1263&amp;"/"&amp;D1263</f>
        <v>Coal fired power plants/Supercritical steam turbine/CHP/L</v>
      </c>
      <c r="F1263" s="78" t="str">
        <f>A1253</f>
        <v>Coal fired power plants</v>
      </c>
      <c r="G1263" s="78" t="str">
        <f>B1261</f>
        <v>Supercritical steam turbine</v>
      </c>
      <c r="H1263" s="78" t="str">
        <f>C1263</f>
        <v>CHP</v>
      </c>
      <c r="I1263" s="165" t="str">
        <f t="shared" si="98"/>
        <v>L</v>
      </c>
      <c r="J1263" s="123">
        <v>47.142000000000003</v>
      </c>
      <c r="K1263" s="123">
        <v>47.139217544606204</v>
      </c>
      <c r="L1263" s="123">
        <v>47.135821615864813</v>
      </c>
      <c r="M1263" s="123">
        <v>47.131677648743818</v>
      </c>
      <c r="N1263" s="123">
        <v>47.126621901145512</v>
      </c>
      <c r="O1263" s="123">
        <v>47.120455294104161</v>
      </c>
      <c r="P1263" s="123">
        <v>47.112936033419579</v>
      </c>
      <c r="Q1263" s="123">
        <v>47.103770812449746</v>
      </c>
      <c r="R1263" s="123">
        <v>47.092604384087977</v>
      </c>
      <c r="S1263" s="123">
        <v>47.079007290480334</v>
      </c>
      <c r="T1263" s="123">
        <v>47.062461560812451</v>
      </c>
      <c r="U1263" s="123">
        <v>47.042344243869728</v>
      </c>
      <c r="V1263" s="123">
        <v>47.017908752294616</v>
      </c>
      <c r="W1263" s="123">
        <v>46.988264186434257</v>
      </c>
      <c r="X1263" s="123">
        <v>46.952353113683188</v>
      </c>
      <c r="Y1263" s="123">
        <v>46.908928751028853</v>
      </c>
      <c r="Z1263" s="123">
        <v>46.856533190475737</v>
      </c>
      <c r="AA1263" s="123">
        <v>46.793479280231978</v>
      </c>
      <c r="AB1263" s="123">
        <v>46.717840082153231</v>
      </c>
      <c r="AC1263" s="123">
        <v>46.627451487658973</v>
      </c>
      <c r="AD1263" s="123">
        <v>46.519935531322886</v>
      </c>
      <c r="AE1263" s="123">
        <v>46.392753985428079</v>
      </c>
      <c r="AF1263" s="123">
        <v>46.243303495412775</v>
      </c>
      <c r="AG1263" s="123">
        <v>46.069064015827223</v>
      </c>
      <c r="AH1263" s="123">
        <v>45.867810391249186</v>
      </c>
      <c r="AI1263" s="123">
        <v>45.637890988030811</v>
      </c>
      <c r="AJ1263" s="123">
        <v>45.378565682792576</v>
      </c>
      <c r="AK1263" s="123">
        <v>45.090377377068322</v>
      </c>
      <c r="AL1263" s="123">
        <v>44.775507718849852</v>
      </c>
      <c r="AM1263" s="123">
        <v>44.438043615487004</v>
      </c>
      <c r="AN1263" s="123">
        <v>44.084065520958106</v>
      </c>
      <c r="AO1263" s="123">
        <v>43.721473463308314</v>
      </c>
      <c r="AP1263" s="123">
        <v>43.359502641627685</v>
      </c>
      <c r="AQ1263" s="123">
        <v>43.007948088375691</v>
      </c>
      <c r="AR1263" s="123">
        <v>42.676202402082232</v>
      </c>
      <c r="AS1263" s="123">
        <v>42.372281817374876</v>
      </c>
      <c r="AT1263" s="123">
        <v>42.102040517713711</v>
      </c>
      <c r="AU1263" s="123">
        <v>41.86873322747951</v>
      </c>
      <c r="AV1263" s="123">
        <v>41.672992829522265</v>
      </c>
      <c r="AW1263" s="123">
        <v>41.513179804939121</v>
      </c>
      <c r="AX1263" s="124">
        <v>41.385976451071762</v>
      </c>
    </row>
    <row r="1264" spans="1:50" x14ac:dyDescent="0.25">
      <c r="A1264" s="356"/>
      <c r="B1264" s="359"/>
      <c r="C1264" s="360"/>
      <c r="D1264" s="59" t="s">
        <v>8</v>
      </c>
      <c r="E1264" s="166" t="str">
        <f>A1253&amp;"/"&amp;B1261&amp;"/"&amp;C1263&amp;"/"&amp;D1264</f>
        <v>Coal fired power plants/Supercritical steam turbine/CHP/M</v>
      </c>
      <c r="F1264" s="79" t="str">
        <f>A1253</f>
        <v>Coal fired power plants</v>
      </c>
      <c r="G1264" s="79" t="str">
        <f>B1261</f>
        <v>Supercritical steam turbine</v>
      </c>
      <c r="H1264" s="79" t="str">
        <f>C1263</f>
        <v>CHP</v>
      </c>
      <c r="I1264" s="167" t="str">
        <f t="shared" si="98"/>
        <v>M</v>
      </c>
      <c r="J1264" s="125">
        <v>50.569616250000003</v>
      </c>
      <c r="K1264" s="125">
        <v>50.564168586672793</v>
      </c>
      <c r="L1264" s="125">
        <v>50.557685883667084</v>
      </c>
      <c r="M1264" s="125">
        <v>50.54997303016291</v>
      </c>
      <c r="N1264" s="125">
        <v>50.540798779364451</v>
      </c>
      <c r="O1264" s="125">
        <v>50.529889324198862</v>
      </c>
      <c r="P1264" s="125">
        <v>50.516920843389727</v>
      </c>
      <c r="Q1264" s="125">
        <v>50.501510901057067</v>
      </c>
      <c r="R1264" s="125">
        <v>50.483208591960242</v>
      </c>
      <c r="S1264" s="125">
        <v>50.461483346810979</v>
      </c>
      <c r="T1264" s="125">
        <v>50.435712354195815</v>
      </c>
      <c r="U1264" s="125">
        <v>50.405166626270123</v>
      </c>
      <c r="V1264" s="125">
        <v>50.368995845968975</v>
      </c>
      <c r="W1264" s="125">
        <v>50.326212298605142</v>
      </c>
      <c r="X1264" s="125">
        <v>50.275674428217926</v>
      </c>
      <c r="Y1264" s="125">
        <v>50.216070889446229</v>
      </c>
      <c r="Z1264" s="125">
        <v>50.145906410625535</v>
      </c>
      <c r="AA1264" s="125">
        <v>50.063491362251824</v>
      </c>
      <c r="AB1264" s="125">
        <v>49.966937646597188</v>
      </c>
      <c r="AC1264" s="125">
        <v>49.854164378322984</v>
      </c>
      <c r="AD1264" s="125">
        <v>49.722917764328947</v>
      </c>
      <c r="AE1264" s="125">
        <v>49.570810505265968</v>
      </c>
      <c r="AF1264" s="125">
        <v>49.39538673422544</v>
      </c>
      <c r="AG1264" s="125">
        <v>49.194218667772176</v>
      </c>
      <c r="AH1264" s="125">
        <v>48.965040329444605</v>
      </c>
      <c r="AI1264" s="125">
        <v>48.705921368057922</v>
      </c>
      <c r="AJ1264" s="125">
        <v>48.415479566970305</v>
      </c>
      <c r="AK1264" s="125">
        <v>48.093123731993394</v>
      </c>
      <c r="AL1264" s="125">
        <v>47.739309336922297</v>
      </c>
      <c r="AM1264" s="125">
        <v>47.355778535705461</v>
      </c>
      <c r="AN1264" s="125">
        <v>46.945746040469544</v>
      </c>
      <c r="AO1264" s="125">
        <v>46.513986246880727</v>
      </c>
      <c r="AP1264" s="125">
        <v>46.066778842265876</v>
      </c>
      <c r="AQ1264" s="125">
        <v>45.611683260476092</v>
      </c>
      <c r="AR1264" s="125">
        <v>45.15713750173478</v>
      </c>
      <c r="AS1264" s="125">
        <v>44.711910554890814</v>
      </c>
      <c r="AT1264" s="125">
        <v>44.284471975782168</v>
      </c>
      <c r="AU1264" s="125">
        <v>43.882366564104885</v>
      </c>
      <c r="AV1264" s="125">
        <v>43.511687416026312</v>
      </c>
      <c r="AW1264" s="125">
        <v>43.176723441574111</v>
      </c>
      <c r="AX1264" s="126">
        <v>42.87982207096357</v>
      </c>
    </row>
    <row r="1265" spans="1:50" x14ac:dyDescent="0.25">
      <c r="A1265" s="356"/>
      <c r="B1265" s="359"/>
      <c r="C1265" s="361" t="s">
        <v>15</v>
      </c>
      <c r="D1265" s="58" t="s">
        <v>7</v>
      </c>
      <c r="E1265" s="164" t="str">
        <f>A1253&amp;"/"&amp;B1261&amp;"/"&amp;C1265&amp;"/"&amp;D1265</f>
        <v>Coal fired power plants/Supercritical steam turbine/Electricity only with CCS/L</v>
      </c>
      <c r="F1265" s="78" t="str">
        <f>A1253</f>
        <v>Coal fired power plants</v>
      </c>
      <c r="G1265" s="78" t="str">
        <f>B1261</f>
        <v>Supercritical steam turbine</v>
      </c>
      <c r="H1265" s="78" t="str">
        <f>C1265</f>
        <v>Electricity only with CCS</v>
      </c>
      <c r="I1265" s="165" t="str">
        <f t="shared" si="98"/>
        <v>L</v>
      </c>
      <c r="J1265" s="123" t="s">
        <v>112</v>
      </c>
      <c r="K1265" s="123" t="s">
        <v>112</v>
      </c>
      <c r="L1265" s="123" t="s">
        <v>112</v>
      </c>
      <c r="M1265" s="123" t="s">
        <v>112</v>
      </c>
      <c r="N1265" s="123" t="s">
        <v>112</v>
      </c>
      <c r="O1265" s="123" t="s">
        <v>112</v>
      </c>
      <c r="P1265" s="123" t="s">
        <v>112</v>
      </c>
      <c r="Q1265" s="123" t="s">
        <v>112</v>
      </c>
      <c r="R1265" s="123" t="s">
        <v>112</v>
      </c>
      <c r="S1265" s="123" t="s">
        <v>112</v>
      </c>
      <c r="T1265" s="123" t="s">
        <v>112</v>
      </c>
      <c r="U1265" s="123" t="s">
        <v>112</v>
      </c>
      <c r="V1265" s="123" t="s">
        <v>112</v>
      </c>
      <c r="W1265" s="123" t="s">
        <v>112</v>
      </c>
      <c r="X1265" s="123" t="s">
        <v>112</v>
      </c>
      <c r="Y1265" s="123" t="s">
        <v>112</v>
      </c>
      <c r="Z1265" s="123" t="s">
        <v>112</v>
      </c>
      <c r="AA1265" s="123" t="s">
        <v>112</v>
      </c>
      <c r="AB1265" s="123" t="s">
        <v>112</v>
      </c>
      <c r="AC1265" s="123" t="s">
        <v>112</v>
      </c>
      <c r="AD1265" s="123" t="s">
        <v>112</v>
      </c>
      <c r="AE1265" s="123">
        <v>74.047223816896192</v>
      </c>
      <c r="AF1265" s="123">
        <v>74.012310838942227</v>
      </c>
      <c r="AG1265" s="123">
        <v>73.96979876203261</v>
      </c>
      <c r="AH1265" s="123">
        <v>73.918068471139463</v>
      </c>
      <c r="AI1265" s="123">
        <v>73.855172761161015</v>
      </c>
      <c r="AJ1265" s="123">
        <v>73.778778024296287</v>
      </c>
      <c r="AK1265" s="123">
        <v>73.686099583458244</v>
      </c>
      <c r="AL1265" s="123">
        <v>73.573832107661843</v>
      </c>
      <c r="AM1265" s="123">
        <v>73.438077971620373</v>
      </c>
      <c r="AN1265" s="123">
        <v>73.274278498547289</v>
      </c>
      <c r="AO1265" s="123">
        <v>73.07715591879375</v>
      </c>
      <c r="AP1265" s="123">
        <v>72.840677717486344</v>
      </c>
      <c r="AQ1265" s="123">
        <v>72.558059844581209</v>
      </c>
      <c r="AR1265" s="123">
        <v>72.221830780369615</v>
      </c>
      <c r="AS1265" s="123">
        <v>71.823983992951824</v>
      </c>
      <c r="AT1265" s="123">
        <v>71.356250484202349</v>
      </c>
      <c r="AU1265" s="123">
        <v>70.810523530060593</v>
      </c>
      <c r="AV1265" s="123">
        <v>70.179460968614805</v>
      </c>
      <c r="AW1265" s="123">
        <v>69.457272379628378</v>
      </c>
      <c r="AX1265" s="124">
        <v>68.640665625000011</v>
      </c>
    </row>
    <row r="1266" spans="1:50" x14ac:dyDescent="0.25">
      <c r="A1266" s="356"/>
      <c r="B1266" s="359"/>
      <c r="C1266" s="360"/>
      <c r="D1266" s="59" t="s">
        <v>8</v>
      </c>
      <c r="E1266" s="166" t="str">
        <f>A1253&amp;"/"&amp;B1261&amp;"/"&amp;C1265&amp;"/"&amp;D1266</f>
        <v>Coal fired power plants/Supercritical steam turbine/Electricity only with CCS/M</v>
      </c>
      <c r="F1266" s="79" t="str">
        <f>A1253</f>
        <v>Coal fired power plants</v>
      </c>
      <c r="G1266" s="79" t="str">
        <f>B1261</f>
        <v>Supercritical steam turbine</v>
      </c>
      <c r="H1266" s="79" t="str">
        <f>C1265</f>
        <v>Electricity only with CCS</v>
      </c>
      <c r="I1266" s="167" t="str">
        <f t="shared" si="98"/>
        <v>M</v>
      </c>
      <c r="J1266" s="125" t="s">
        <v>112</v>
      </c>
      <c r="K1266" s="125" t="s">
        <v>112</v>
      </c>
      <c r="L1266" s="125" t="s">
        <v>112</v>
      </c>
      <c r="M1266" s="125" t="s">
        <v>112</v>
      </c>
      <c r="N1266" s="125" t="s">
        <v>112</v>
      </c>
      <c r="O1266" s="125" t="s">
        <v>112</v>
      </c>
      <c r="P1266" s="125" t="s">
        <v>112</v>
      </c>
      <c r="Q1266" s="125" t="s">
        <v>112</v>
      </c>
      <c r="R1266" s="125" t="s">
        <v>112</v>
      </c>
      <c r="S1266" s="125" t="s">
        <v>112</v>
      </c>
      <c r="T1266" s="125" t="s">
        <v>112</v>
      </c>
      <c r="U1266" s="125" t="s">
        <v>112</v>
      </c>
      <c r="V1266" s="125" t="s">
        <v>112</v>
      </c>
      <c r="W1266" s="125" t="s">
        <v>112</v>
      </c>
      <c r="X1266" s="125" t="s">
        <v>112</v>
      </c>
      <c r="Y1266" s="125" t="s">
        <v>112</v>
      </c>
      <c r="Z1266" s="125" t="s">
        <v>112</v>
      </c>
      <c r="AA1266" s="125" t="s">
        <v>112</v>
      </c>
      <c r="AB1266" s="125" t="s">
        <v>112</v>
      </c>
      <c r="AC1266" s="125" t="s">
        <v>112</v>
      </c>
      <c r="AD1266" s="125" t="s">
        <v>112</v>
      </c>
      <c r="AE1266" s="125">
        <v>79.493798760340638</v>
      </c>
      <c r="AF1266" s="125">
        <v>79.473509550756816</v>
      </c>
      <c r="AG1266" s="125">
        <v>79.447498622918332</v>
      </c>
      <c r="AH1266" s="125">
        <v>79.41416724377855</v>
      </c>
      <c r="AI1266" s="125">
        <v>79.371479520357184</v>
      </c>
      <c r="AJ1266" s="125">
        <v>79.316848999407625</v>
      </c>
      <c r="AK1266" s="125">
        <v>79.246999807941478</v>
      </c>
      <c r="AL1266" s="125">
        <v>79.157799228126379</v>
      </c>
      <c r="AM1266" s="125">
        <v>79.044060121356637</v>
      </c>
      <c r="AN1266" s="125">
        <v>78.899314844132107</v>
      </c>
      <c r="AO1266" s="125">
        <v>78.71556825717532</v>
      </c>
      <c r="AP1266" s="125">
        <v>78.483047512895908</v>
      </c>
      <c r="AQ1266" s="125">
        <v>78.189982205538968</v>
      </c>
      <c r="AR1266" s="125">
        <v>77.822471812870006</v>
      </c>
      <c r="AS1266" s="125">
        <v>77.364528792923807</v>
      </c>
      <c r="AT1266" s="125">
        <v>76.798423015424135</v>
      </c>
      <c r="AU1266" s="125">
        <v>76.105488232199747</v>
      </c>
      <c r="AV1266" s="125">
        <v>75.267565856806982</v>
      </c>
      <c r="AW1266" s="125">
        <v>74.269224328523237</v>
      </c>
      <c r="AX1266" s="126">
        <v>73.100762929687519</v>
      </c>
    </row>
    <row r="1267" spans="1:50" x14ac:dyDescent="0.25">
      <c r="A1267" s="356"/>
      <c r="B1267" s="359"/>
      <c r="C1267" s="361" t="s">
        <v>16</v>
      </c>
      <c r="D1267" s="2" t="s">
        <v>7</v>
      </c>
      <c r="E1267" s="160" t="str">
        <f>A1253&amp;"/"&amp;B1261&amp;"/"&amp;C1267&amp;"/"&amp;D1267</f>
        <v>Coal fired power plants/Supercritical steam turbine/CHP with CCS/L</v>
      </c>
      <c r="F1267" s="76" t="str">
        <f>A1253</f>
        <v>Coal fired power plants</v>
      </c>
      <c r="G1267" s="76" t="str">
        <f>B1261</f>
        <v>Supercritical steam turbine</v>
      </c>
      <c r="H1267" s="76" t="str">
        <f>C1267</f>
        <v>CHP with CCS</v>
      </c>
      <c r="I1267" s="161" t="str">
        <f t="shared" si="98"/>
        <v>L</v>
      </c>
      <c r="J1267" s="119" t="s">
        <v>112</v>
      </c>
      <c r="K1267" s="119" t="s">
        <v>112</v>
      </c>
      <c r="L1267" s="119" t="s">
        <v>112</v>
      </c>
      <c r="M1267" s="119" t="s">
        <v>112</v>
      </c>
      <c r="N1267" s="119" t="s">
        <v>112</v>
      </c>
      <c r="O1267" s="119" t="s">
        <v>112</v>
      </c>
      <c r="P1267" s="119" t="s">
        <v>112</v>
      </c>
      <c r="Q1267" s="119" t="s">
        <v>112</v>
      </c>
      <c r="R1267" s="119" t="s">
        <v>112</v>
      </c>
      <c r="S1267" s="119" t="s">
        <v>112</v>
      </c>
      <c r="T1267" s="119" t="s">
        <v>112</v>
      </c>
      <c r="U1267" s="119" t="s">
        <v>112</v>
      </c>
      <c r="V1267" s="119" t="s">
        <v>112</v>
      </c>
      <c r="W1267" s="119" t="s">
        <v>112</v>
      </c>
      <c r="X1267" s="119" t="s">
        <v>112</v>
      </c>
      <c r="Y1267" s="119" t="s">
        <v>112</v>
      </c>
      <c r="Z1267" s="119" t="s">
        <v>112</v>
      </c>
      <c r="AA1267" s="119" t="s">
        <v>112</v>
      </c>
      <c r="AB1267" s="119" t="s">
        <v>112</v>
      </c>
      <c r="AC1267" s="119" t="s">
        <v>112</v>
      </c>
      <c r="AD1267" s="119" t="s">
        <v>112</v>
      </c>
      <c r="AE1267" s="119">
        <v>81.344769254243971</v>
      </c>
      <c r="AF1267" s="119">
        <v>81.312819229539471</v>
      </c>
      <c r="AG1267" s="119">
        <v>81.273915017206377</v>
      </c>
      <c r="AH1267" s="119">
        <v>81.226574911352756</v>
      </c>
      <c r="AI1267" s="119">
        <v>81.169016959972382</v>
      </c>
      <c r="AJ1267" s="119">
        <v>81.099105601126411</v>
      </c>
      <c r="AK1267" s="119">
        <v>81.01429248440364</v>
      </c>
      <c r="AL1267" s="119">
        <v>80.91155279173303</v>
      </c>
      <c r="AM1267" s="119">
        <v>80.787319676872968</v>
      </c>
      <c r="AN1267" s="119">
        <v>80.637421343417472</v>
      </c>
      <c r="AO1267" s="119">
        <v>80.457027929219365</v>
      </c>
      <c r="AP1267" s="119">
        <v>80.240618879730448</v>
      </c>
      <c r="AQ1267" s="119">
        <v>79.981985885628461</v>
      </c>
      <c r="AR1267" s="119">
        <v>79.674291511287407</v>
      </c>
      <c r="AS1267" s="119">
        <v>79.310208713670946</v>
      </c>
      <c r="AT1267" s="119">
        <v>78.882170258189745</v>
      </c>
      <c r="AU1267" s="119">
        <v>78.382757412636252</v>
      </c>
      <c r="AV1267" s="119">
        <v>77.805251120997141</v>
      </c>
      <c r="AW1267" s="119">
        <v>77.144352377560153</v>
      </c>
      <c r="AX1267" s="120">
        <v>76.397048437500004</v>
      </c>
    </row>
    <row r="1268" spans="1:50" x14ac:dyDescent="0.25">
      <c r="A1268" s="356"/>
      <c r="B1268" s="362"/>
      <c r="C1268" s="354"/>
      <c r="D1268" s="4" t="s">
        <v>8</v>
      </c>
      <c r="E1268" s="168" t="str">
        <f>A1253&amp;"/"&amp;B1261&amp;"/"&amp;C1267&amp;"/"&amp;D1268</f>
        <v>Coal fired power plants/Supercritical steam turbine/CHP with CCS/M</v>
      </c>
      <c r="F1268" s="80" t="str">
        <f>A1253</f>
        <v>Coal fired power plants</v>
      </c>
      <c r="G1268" s="80" t="str">
        <f>B1261</f>
        <v>Supercritical steam turbine</v>
      </c>
      <c r="H1268" s="80" t="str">
        <f>C1267</f>
        <v>CHP with CCS</v>
      </c>
      <c r="I1268" s="169" t="str">
        <f t="shared" si="98"/>
        <v>M</v>
      </c>
      <c r="J1268" s="127" t="s">
        <v>112</v>
      </c>
      <c r="K1268" s="127" t="s">
        <v>112</v>
      </c>
      <c r="L1268" s="127" t="s">
        <v>112</v>
      </c>
      <c r="M1268" s="127" t="s">
        <v>112</v>
      </c>
      <c r="N1268" s="127" t="s">
        <v>112</v>
      </c>
      <c r="O1268" s="127" t="s">
        <v>112</v>
      </c>
      <c r="P1268" s="127" t="s">
        <v>112</v>
      </c>
      <c r="Q1268" s="127" t="s">
        <v>112</v>
      </c>
      <c r="R1268" s="127" t="s">
        <v>112</v>
      </c>
      <c r="S1268" s="127" t="s">
        <v>112</v>
      </c>
      <c r="T1268" s="127" t="s">
        <v>112</v>
      </c>
      <c r="U1268" s="127" t="s">
        <v>112</v>
      </c>
      <c r="V1268" s="127" t="s">
        <v>112</v>
      </c>
      <c r="W1268" s="127" t="s">
        <v>112</v>
      </c>
      <c r="X1268" s="127" t="s">
        <v>112</v>
      </c>
      <c r="Y1268" s="127" t="s">
        <v>112</v>
      </c>
      <c r="Z1268" s="127" t="s">
        <v>112</v>
      </c>
      <c r="AA1268" s="127" t="s">
        <v>112</v>
      </c>
      <c r="AB1268" s="127" t="s">
        <v>112</v>
      </c>
      <c r="AC1268" s="127" t="s">
        <v>112</v>
      </c>
      <c r="AD1268" s="127" t="s">
        <v>112</v>
      </c>
      <c r="AE1268" s="127">
        <v>86.622674720229497</v>
      </c>
      <c r="AF1268" s="127">
        <v>86.603969941463333</v>
      </c>
      <c r="AG1268" s="127">
        <v>86.579990266517811</v>
      </c>
      <c r="AH1268" s="127">
        <v>86.549261811069357</v>
      </c>
      <c r="AI1268" s="127">
        <v>86.509907669680587</v>
      </c>
      <c r="AJ1268" s="127">
        <v>86.459543371159214</v>
      </c>
      <c r="AK1268" s="127">
        <v>86.395148862936907</v>
      </c>
      <c r="AL1268" s="127">
        <v>86.312914160576398</v>
      </c>
      <c r="AM1268" s="127">
        <v>86.208057200998923</v>
      </c>
      <c r="AN1268" s="127">
        <v>86.074615413789473</v>
      </c>
      <c r="AO1268" s="127">
        <v>85.905218018397321</v>
      </c>
      <c r="AP1268" s="127">
        <v>85.690855351270102</v>
      </c>
      <c r="AQ1268" s="127">
        <v>85.420676184580373</v>
      </c>
      <c r="AR1268" s="127">
        <v>85.08186551969267</v>
      </c>
      <c r="AS1268" s="127">
        <v>84.65968431838877</v>
      </c>
      <c r="AT1268" s="127">
        <v>84.137787036849332</v>
      </c>
      <c r="AU1268" s="127">
        <v>83.498965116949137</v>
      </c>
      <c r="AV1268" s="127">
        <v>82.726478017824249</v>
      </c>
      <c r="AW1268" s="127">
        <v>81.806099264651166</v>
      </c>
      <c r="AX1268" s="128">
        <v>80.728885691015648</v>
      </c>
    </row>
    <row r="1269" spans="1:50" x14ac:dyDescent="0.25">
      <c r="A1269" s="356"/>
      <c r="B1269" s="358" t="s">
        <v>18</v>
      </c>
      <c r="C1269" s="353" t="s">
        <v>6</v>
      </c>
      <c r="D1269" s="3" t="s">
        <v>7</v>
      </c>
      <c r="E1269" s="162" t="str">
        <f>A1253&amp;"/"&amp;B1269&amp;"/"&amp;C1269&amp;"/"&amp;D1269</f>
        <v>Coal fired power plants/Fluidized bed combustion/Electricity only/L</v>
      </c>
      <c r="F1269" s="77" t="str">
        <f>A1253</f>
        <v>Coal fired power plants</v>
      </c>
      <c r="G1269" s="77" t="str">
        <f>B1269</f>
        <v>Fluidized bed combustion</v>
      </c>
      <c r="H1269" s="77" t="str">
        <f>C1269</f>
        <v>Electricity only</v>
      </c>
      <c r="I1269" s="163" t="str">
        <f t="shared" si="98"/>
        <v>L</v>
      </c>
      <c r="J1269" s="121">
        <v>36.299999999999997</v>
      </c>
      <c r="K1269" s="121">
        <v>36.2983786957166</v>
      </c>
      <c r="L1269" s="121">
        <v>36.296399117775849</v>
      </c>
      <c r="M1269" s="121">
        <v>36.293982281061808</v>
      </c>
      <c r="N1269" s="121">
        <v>36.291031878586722</v>
      </c>
      <c r="O1269" s="121">
        <v>36.28743052750832</v>
      </c>
      <c r="P1269" s="121">
        <v>36.283035223624118</v>
      </c>
      <c r="Q1269" s="121">
        <v>36.277671848352533</v>
      </c>
      <c r="R1269" s="121">
        <v>36.271128546956568</v>
      </c>
      <c r="S1269" s="121">
        <v>36.263147770332594</v>
      </c>
      <c r="T1269" s="121">
        <v>36.253416746860644</v>
      </c>
      <c r="U1269" s="121">
        <v>36.241556128681637</v>
      </c>
      <c r="V1269" s="121">
        <v>36.22710654338006</v>
      </c>
      <c r="W1269" s="121">
        <v>36.209512785336408</v>
      </c>
      <c r="X1269" s="121">
        <v>36.188105413043992</v>
      </c>
      <c r="Y1269" s="121">
        <v>36.162079597330951</v>
      </c>
      <c r="Z1269" s="121">
        <v>36.130471216440711</v>
      </c>
      <c r="AA1269" s="121">
        <v>36.09213045332114</v>
      </c>
      <c r="AB1269" s="121">
        <v>36.045693566899182</v>
      </c>
      <c r="AC1269" s="121">
        <v>35.98955414534435</v>
      </c>
      <c r="AD1269" s="121">
        <v>35.92183608124914</v>
      </c>
      <c r="AE1269" s="121">
        <v>35.840371818832779</v>
      </c>
      <c r="AF1269" s="121">
        <v>35.742691184097104</v>
      </c>
      <c r="AG1269" s="121">
        <v>35.626028348107326</v>
      </c>
      <c r="AH1269" s="121">
        <v>35.487357112918211</v>
      </c>
      <c r="AI1269" s="121">
        <v>35.323467467000405</v>
      </c>
      <c r="AJ1269" s="121">
        <v>35.131098609953611</v>
      </c>
      <c r="AK1269" s="121">
        <v>34.907144274950689</v>
      </c>
      <c r="AL1269" s="121">
        <v>34.648943447926413</v>
      </c>
      <c r="AM1269" s="121">
        <v>34.35466120530301</v>
      </c>
      <c r="AN1269" s="121">
        <v>34.023747974943156</v>
      </c>
      <c r="AO1269" s="121">
        <v>33.657439686056343</v>
      </c>
      <c r="AP1269" s="121">
        <v>33.259227542241774</v>
      </c>
      <c r="AQ1269" s="121">
        <v>32.835191295771558</v>
      </c>
      <c r="AR1269" s="121">
        <v>32.394067391945093</v>
      </c>
      <c r="AS1269" s="121">
        <v>31.946931677245875</v>
      </c>
      <c r="AT1269" s="121">
        <v>31.506431943936676</v>
      </c>
      <c r="AU1269" s="121">
        <v>31.085610656220666</v>
      </c>
      <c r="AV1269" s="121">
        <v>30.696489452980991</v>
      </c>
      <c r="AW1269" s="121">
        <v>30.348695453355184</v>
      </c>
      <c r="AX1269" s="122">
        <v>30.048439371918199</v>
      </c>
    </row>
    <row r="1270" spans="1:50" x14ac:dyDescent="0.25">
      <c r="A1270" s="356"/>
      <c r="B1270" s="359"/>
      <c r="C1270" s="350"/>
      <c r="D1270" s="2" t="s">
        <v>8</v>
      </c>
      <c r="E1270" s="160" t="str">
        <f>A1253&amp;"/"&amp;B1269&amp;"/"&amp;C1269&amp;"/"&amp;D1270</f>
        <v>Coal fired power plants/Fluidized bed combustion/Electricity only/M</v>
      </c>
      <c r="F1270" s="76" t="str">
        <f>A1253</f>
        <v>Coal fired power plants</v>
      </c>
      <c r="G1270" s="76" t="str">
        <f>B1269</f>
        <v>Fluidized bed combustion</v>
      </c>
      <c r="H1270" s="76" t="str">
        <f>C1269</f>
        <v>Electricity only</v>
      </c>
      <c r="I1270" s="161" t="str">
        <f t="shared" si="98"/>
        <v>M</v>
      </c>
      <c r="J1270" s="119">
        <v>39.385499999999993</v>
      </c>
      <c r="K1270" s="119">
        <v>39.382021424481664</v>
      </c>
      <c r="L1270" s="119">
        <v>39.377880226812792</v>
      </c>
      <c r="M1270" s="119">
        <v>39.372950786857835</v>
      </c>
      <c r="N1270" s="119">
        <v>39.367083920322692</v>
      </c>
      <c r="O1270" s="119">
        <v>39.360102563432882</v>
      </c>
      <c r="P1270" s="119">
        <v>39.35179671134641</v>
      </c>
      <c r="Q1270" s="119">
        <v>39.341917499933821</v>
      </c>
      <c r="R1270" s="119">
        <v>39.330170312488875</v>
      </c>
      <c r="S1270" s="119">
        <v>39.316206788434059</v>
      </c>
      <c r="T1270" s="119">
        <v>39.299615612745548</v>
      </c>
      <c r="U1270" s="119">
        <v>39.279911976372844</v>
      </c>
      <c r="V1270" s="119">
        <v>39.256525624626995</v>
      </c>
      <c r="W1270" s="119">
        <v>39.228787459618658</v>
      </c>
      <c r="X1270" s="119">
        <v>39.195914744143387</v>
      </c>
      <c r="Y1270" s="119">
        <v>39.156995080838328</v>
      </c>
      <c r="Z1270" s="119">
        <v>39.110969528438019</v>
      </c>
      <c r="AA1270" s="119">
        <v>39.056615486718002</v>
      </c>
      <c r="AB1270" s="119">
        <v>38.992530356597996</v>
      </c>
      <c r="AC1270" s="119">
        <v>38.917117486584601</v>
      </c>
      <c r="AD1270" s="119">
        <v>38.828576573241286</v>
      </c>
      <c r="AE1270" s="119">
        <v>38.724901503308516</v>
      </c>
      <c r="AF1270" s="119">
        <v>38.60388959696715</v>
      </c>
      <c r="AG1270" s="119">
        <v>38.463167281303441</v>
      </c>
      <c r="AH1270" s="119">
        <v>38.30023826586045</v>
      </c>
      <c r="AI1270" s="119">
        <v>38.112561079551234</v>
      </c>
      <c r="AJ1270" s="119">
        <v>37.897662992477727</v>
      </c>
      <c r="AK1270" s="119">
        <v>37.653296359564358</v>
      </c>
      <c r="AL1270" s="119">
        <v>37.377640616373967</v>
      </c>
      <c r="AM1270" s="119">
        <v>37.069547819170189</v>
      </c>
      <c r="AN1270" s="119">
        <v>36.728821220278341</v>
      </c>
      <c r="AO1270" s="119">
        <v>36.35650493485781</v>
      </c>
      <c r="AP1270" s="119">
        <v>35.955149378105212</v>
      </c>
      <c r="AQ1270" s="119">
        <v>35.529004464797431</v>
      </c>
      <c r="AR1270" s="119">
        <v>35.084084878765275</v>
      </c>
      <c r="AS1270" s="119">
        <v>34.62805440931416</v>
      </c>
      <c r="AT1270" s="119">
        <v>34.169894130155804</v>
      </c>
      <c r="AU1270" s="119">
        <v>33.719353467264988</v>
      </c>
      <c r="AV1270" s="119">
        <v>33.286229435170142</v>
      </c>
      <c r="AW1270" s="119">
        <v>32.879566197937898</v>
      </c>
      <c r="AX1270" s="120">
        <v>32.506899051578955</v>
      </c>
    </row>
    <row r="1271" spans="1:50" x14ac:dyDescent="0.25">
      <c r="A1271" s="356"/>
      <c r="B1271" s="359"/>
      <c r="C1271" s="360"/>
      <c r="D1271" s="2" t="s">
        <v>10</v>
      </c>
      <c r="E1271" s="160" t="str">
        <f>A1253&amp;"/"&amp;B1269&amp;"/"&amp;C1269&amp;"/"&amp;D1271</f>
        <v>Coal fired power plants/Fluidized bed combustion/Electricity only/S</v>
      </c>
      <c r="F1271" s="76" t="str">
        <f>A1253</f>
        <v>Coal fired power plants</v>
      </c>
      <c r="G1271" s="76" t="str">
        <f>B1269</f>
        <v>Fluidized bed combustion</v>
      </c>
      <c r="H1271" s="76" t="str">
        <f>C1269</f>
        <v>Electricity only</v>
      </c>
      <c r="I1271" s="161" t="str">
        <f t="shared" si="98"/>
        <v>S</v>
      </c>
      <c r="J1271" s="119">
        <v>44.702542499999993</v>
      </c>
      <c r="K1271" s="119">
        <v>44.693813438025181</v>
      </c>
      <c r="L1271" s="119">
        <v>44.68368464201469</v>
      </c>
      <c r="M1271" s="119">
        <v>44.671934078184414</v>
      </c>
      <c r="N1271" s="119">
        <v>44.658305333528716</v>
      </c>
      <c r="O1271" s="119">
        <v>44.642502585549941</v>
      </c>
      <c r="P1271" s="119">
        <v>44.624184938939251</v>
      </c>
      <c r="Q1271" s="119">
        <v>44.602960086964444</v>
      </c>
      <c r="R1271" s="119">
        <v>44.578377267822539</v>
      </c>
      <c r="S1271" s="119">
        <v>44.549919506567157</v>
      </c>
      <c r="T1271" s="119">
        <v>44.516995164233407</v>
      </c>
      <c r="U1271" s="119">
        <v>44.478928860999744</v>
      </c>
      <c r="V1271" s="119">
        <v>44.434951904019158</v>
      </c>
      <c r="W1271" s="119">
        <v>44.384192438156163</v>
      </c>
      <c r="X1271" s="119">
        <v>44.32566565531814</v>
      </c>
      <c r="Y1271" s="119">
        <v>44.258264551958838</v>
      </c>
      <c r="Z1271" s="119">
        <v>44.180751921242404</v>
      </c>
      <c r="AA1271" s="119">
        <v>44.091754511857822</v>
      </c>
      <c r="AB1271" s="119">
        <v>43.98976058241697</v>
      </c>
      <c r="AC1271" s="119">
        <v>43.873122426270768</v>
      </c>
      <c r="AD1271" s="119">
        <v>43.740065824816341</v>
      </c>
      <c r="AE1271" s="119">
        <v>43.588708782031318</v>
      </c>
      <c r="AF1271" s="119">
        <v>43.417092252412168</v>
      </c>
      <c r="AG1271" s="119">
        <v>43.223225824123588</v>
      </c>
      <c r="AH1271" s="119">
        <v>43.005151349874247</v>
      </c>
      <c r="AI1271" s="119">
        <v>42.761027182871743</v>
      </c>
      <c r="AJ1271" s="119">
        <v>42.489234793672331</v>
      </c>
      <c r="AK1271" s="119">
        <v>42.188507919703298</v>
      </c>
      <c r="AL1271" s="119">
        <v>41.858081859589241</v>
      </c>
      <c r="AM1271" s="119">
        <v>41.497856984230168</v>
      </c>
      <c r="AN1271" s="119">
        <v>41.108566091038334</v>
      </c>
      <c r="AO1271" s="119">
        <v>40.691930259107622</v>
      </c>
      <c r="AP1271" s="119">
        <v>40.250783132201406</v>
      </c>
      <c r="AQ1271" s="119">
        <v>39.789140226233854</v>
      </c>
      <c r="AR1271" s="119">
        <v>39.312189382095688</v>
      </c>
      <c r="AS1271" s="119">
        <v>38.826182305320692</v>
      </c>
      <c r="AT1271" s="119">
        <v>38.338216185925305</v>
      </c>
      <c r="AU1271" s="119">
        <v>37.855908512556347</v>
      </c>
      <c r="AV1271" s="119">
        <v>37.386985662760168</v>
      </c>
      <c r="AW1271" s="119">
        <v>36.938823339456157</v>
      </c>
      <c r="AX1271" s="120">
        <v>36.517990103927325</v>
      </c>
    </row>
    <row r="1272" spans="1:50" x14ac:dyDescent="0.25">
      <c r="A1272" s="356"/>
      <c r="B1272" s="359"/>
      <c r="C1272" s="361" t="s">
        <v>14</v>
      </c>
      <c r="D1272" s="58" t="s">
        <v>7</v>
      </c>
      <c r="E1272" s="164" t="str">
        <f>A1253&amp;"/"&amp;B1269&amp;"/"&amp;C1272&amp;"/"&amp;D1272</f>
        <v>Coal fired power plants/Fluidized bed combustion/CHP/L</v>
      </c>
      <c r="F1272" s="78" t="str">
        <f>A1253</f>
        <v>Coal fired power plants</v>
      </c>
      <c r="G1272" s="78" t="str">
        <f>B1269</f>
        <v>Fluidized bed combustion</v>
      </c>
      <c r="H1272" s="78" t="str">
        <f>C1272</f>
        <v>CHP</v>
      </c>
      <c r="I1272" s="165" t="str">
        <f t="shared" si="98"/>
        <v>L</v>
      </c>
      <c r="J1272" s="123">
        <v>41.962199999999996</v>
      </c>
      <c r="K1272" s="123">
        <v>41.961579248343533</v>
      </c>
      <c r="L1272" s="123">
        <v>41.960821157446247</v>
      </c>
      <c r="M1272" s="123">
        <v>41.959895367646908</v>
      </c>
      <c r="N1272" s="123">
        <v>41.958764820973165</v>
      </c>
      <c r="O1272" s="123">
        <v>41.957384289608683</v>
      </c>
      <c r="P1272" s="123">
        <v>41.955698584195979</v>
      </c>
      <c r="Q1272" s="123">
        <v>41.953640373850291</v>
      </c>
      <c r="R1272" s="123">
        <v>41.951127536024472</v>
      </c>
      <c r="S1272" s="123">
        <v>41.94805993824356</v>
      </c>
      <c r="T1272" s="123">
        <v>41.944315535007178</v>
      </c>
      <c r="U1272" s="123">
        <v>41.939745641728067</v>
      </c>
      <c r="V1272" s="123">
        <v>41.934169223520655</v>
      </c>
      <c r="W1272" s="123">
        <v>41.927366010395822</v>
      </c>
      <c r="X1272" s="123">
        <v>41.919068222935195</v>
      </c>
      <c r="Y1272" s="123">
        <v>41.908950665666133</v>
      </c>
      <c r="Z1272" s="123">
        <v>41.896618922348644</v>
      </c>
      <c r="AA1272" s="123">
        <v>41.881595373466631</v>
      </c>
      <c r="AB1272" s="123">
        <v>41.86330275963234</v>
      </c>
      <c r="AC1272" s="123">
        <v>41.841045047915493</v>
      </c>
      <c r="AD1272" s="123">
        <v>41.813985439878394</v>
      </c>
      <c r="AE1272" s="123">
        <v>41.78112151711003</v>
      </c>
      <c r="AF1272" s="123">
        <v>41.741257789751856</v>
      </c>
      <c r="AG1272" s="123">
        <v>41.692976346476613</v>
      </c>
      <c r="AH1272" s="123">
        <v>41.634606965879563</v>
      </c>
      <c r="AI1272" s="123">
        <v>41.564199018184425</v>
      </c>
      <c r="AJ1272" s="123">
        <v>41.47949884838674</v>
      </c>
      <c r="AK1272" s="123">
        <v>41.377938162723488</v>
      </c>
      <c r="AL1272" s="123">
        <v>41.256641268547853</v>
      </c>
      <c r="AM1272" s="123">
        <v>41.112461761876062</v>
      </c>
      <c r="AN1272" s="123">
        <v>40.942062123733244</v>
      </c>
      <c r="AO1272" s="123">
        <v>40.742052028848036</v>
      </c>
      <c r="AP1272" s="123">
        <v>40.50920182387442</v>
      </c>
      <c r="AQ1272" s="123">
        <v>40.240744794470736</v>
      </c>
      <c r="AR1272" s="123">
        <v>39.934773130586393</v>
      </c>
      <c r="AS1272" s="123">
        <v>39.590715430087897</v>
      </c>
      <c r="AT1272" s="123">
        <v>39.209856715521298</v>
      </c>
      <c r="AU1272" s="123">
        <v>38.795826867387312</v>
      </c>
      <c r="AV1272" s="123">
        <v>38.354947136679961</v>
      </c>
      <c r="AW1272" s="123">
        <v>37.896300996057512</v>
      </c>
      <c r="AX1272" s="124">
        <v>37.431404244595299</v>
      </c>
    </row>
    <row r="1273" spans="1:50" x14ac:dyDescent="0.25">
      <c r="A1273" s="356"/>
      <c r="B1273" s="359"/>
      <c r="C1273" s="350"/>
      <c r="D1273" s="2" t="s">
        <v>8</v>
      </c>
      <c r="E1273" s="160" t="str">
        <f>A1253&amp;"/"&amp;B1269&amp;"/"&amp;C1272&amp;"/"&amp;D1273</f>
        <v>Coal fired power plants/Fluidized bed combustion/CHP/M</v>
      </c>
      <c r="F1273" s="76" t="str">
        <f>A1253</f>
        <v>Coal fired power plants</v>
      </c>
      <c r="G1273" s="76" t="str">
        <f>B1269</f>
        <v>Fluidized bed combustion</v>
      </c>
      <c r="H1273" s="76" t="str">
        <f>C1272</f>
        <v>CHP</v>
      </c>
      <c r="I1273" s="161" t="str">
        <f t="shared" si="98"/>
        <v>M</v>
      </c>
      <c r="J1273" s="119">
        <v>44.955134999999984</v>
      </c>
      <c r="K1273" s="119">
        <v>44.953629235403859</v>
      </c>
      <c r="L1273" s="119">
        <v>44.951835976218597</v>
      </c>
      <c r="M1273" s="119">
        <v>44.949700439908561</v>
      </c>
      <c r="N1273" s="119">
        <v>44.9471574505015</v>
      </c>
      <c r="O1273" s="119">
        <v>44.944129485758808</v>
      </c>
      <c r="P1273" s="119">
        <v>44.940524365404819</v>
      </c>
      <c r="Q1273" s="119">
        <v>44.936232517800164</v>
      </c>
      <c r="R1273" s="119">
        <v>44.931123752956132</v>
      </c>
      <c r="S1273" s="119">
        <v>44.92504345950023</v>
      </c>
      <c r="T1273" s="119">
        <v>44.917808132370112</v>
      </c>
      <c r="U1273" s="119">
        <v>44.909200127094294</v>
      </c>
      <c r="V1273" s="119">
        <v>44.898961526277034</v>
      </c>
      <c r="W1273" s="119">
        <v>44.886786995542614</v>
      </c>
      <c r="X1273" s="119">
        <v>44.872315501530721</v>
      </c>
      <c r="Y1273" s="119">
        <v>44.85512076625588</v>
      </c>
      <c r="Z1273" s="119">
        <v>44.834700344114545</v>
      </c>
      <c r="AA1273" s="119">
        <v>44.810463235493437</v>
      </c>
      <c r="AB1273" s="119">
        <v>44.78171600182641</v>
      </c>
      <c r="AC1273" s="119">
        <v>44.747647431221502</v>
      </c>
      <c r="AD1273" s="119">
        <v>44.707311934805773</v>
      </c>
      <c r="AE1273" s="119">
        <v>44.659612048778421</v>
      </c>
      <c r="AF1273" s="119">
        <v>44.603280696736824</v>
      </c>
      <c r="AG1273" s="119">
        <v>44.536864255361266</v>
      </c>
      <c r="AH1273" s="119">
        <v>44.458707989612449</v>
      </c>
      <c r="AI1273" s="119">
        <v>44.366946103986372</v>
      </c>
      <c r="AJ1273" s="119">
        <v>44.259499506134397</v>
      </c>
      <c r="AK1273" s="119">
        <v>44.134085386381265</v>
      </c>
      <c r="AL1273" s="119">
        <v>43.98824382514843</v>
      </c>
      <c r="AM1273" s="119">
        <v>43.819387721052486</v>
      </c>
      <c r="AN1273" s="119">
        <v>43.624883148483256</v>
      </c>
      <c r="AO1273" s="119">
        <v>43.402167423710473</v>
      </c>
      <c r="AP1273" s="119">
        <v>43.148911136040617</v>
      </c>
      <c r="AQ1273" s="119">
        <v>42.863227491907338</v>
      </c>
      <c r="AR1273" s="119">
        <v>42.543926787275915</v>
      </c>
      <c r="AS1273" s="119">
        <v>42.190805117115985</v>
      </c>
      <c r="AT1273" s="119">
        <v>41.804944579773078</v>
      </c>
      <c r="AU1273" s="119">
        <v>41.388988370338936</v>
      </c>
      <c r="AV1273" s="119">
        <v>40.947341008475178</v>
      </c>
      <c r="AW1273" s="119">
        <v>40.486235982282608</v>
      </c>
      <c r="AX1273" s="120">
        <v>40.013615877071793</v>
      </c>
    </row>
    <row r="1274" spans="1:50" x14ac:dyDescent="0.25">
      <c r="A1274" s="356"/>
      <c r="B1274" s="359"/>
      <c r="C1274" s="360"/>
      <c r="D1274" s="59" t="s">
        <v>10</v>
      </c>
      <c r="E1274" s="166" t="str">
        <f>A1253&amp;"/"&amp;B1269&amp;"/"&amp;C1272&amp;"/"&amp;D1274</f>
        <v>Coal fired power plants/Fluidized bed combustion/CHP/S</v>
      </c>
      <c r="F1274" s="79" t="str">
        <f>A1253</f>
        <v>Coal fired power plants</v>
      </c>
      <c r="G1274" s="79" t="str">
        <f>B1269</f>
        <v>Fluidized bed combustion</v>
      </c>
      <c r="H1274" s="79" t="str">
        <f>C1272</f>
        <v>CHP</v>
      </c>
      <c r="I1274" s="167" t="str">
        <f t="shared" si="98"/>
        <v>S</v>
      </c>
      <c r="J1274" s="125">
        <v>51.024466224999991</v>
      </c>
      <c r="K1274" s="125">
        <v>51.020145481373234</v>
      </c>
      <c r="L1274" s="125">
        <v>51.015128521279763</v>
      </c>
      <c r="M1274" s="125">
        <v>51.009303728862342</v>
      </c>
      <c r="N1274" s="125">
        <v>51.002541792398297</v>
      </c>
      <c r="O1274" s="125">
        <v>50.994692967920706</v>
      </c>
      <c r="P1274" s="125">
        <v>50.985583943945372</v>
      </c>
      <c r="Q1274" s="125">
        <v>50.975014257767498</v>
      </c>
      <c r="R1274" s="125">
        <v>50.962752210830203</v>
      </c>
      <c r="S1274" s="125">
        <v>50.948530228882895</v>
      </c>
      <c r="T1274" s="125">
        <v>50.932039612751367</v>
      </c>
      <c r="U1274" s="125">
        <v>50.91292462850334</v>
      </c>
      <c r="V1274" s="125">
        <v>50.890775892926769</v>
      </c>
      <c r="W1274" s="125">
        <v>50.865123023283807</v>
      </c>
      <c r="X1274" s="125">
        <v>50.835426541541807</v>
      </c>
      <c r="Y1274" s="125">
        <v>50.801069055645172</v>
      </c>
      <c r="Z1274" s="125">
        <v>50.761345787577113</v>
      </c>
      <c r="AA1274" s="125">
        <v>50.715454584529795</v>
      </c>
      <c r="AB1274" s="125">
        <v>50.662485640918689</v>
      </c>
      <c r="AC1274" s="125">
        <v>50.601411281541985</v>
      </c>
      <c r="AD1274" s="125">
        <v>50.531076316773039</v>
      </c>
      <c r="AE1274" s="125">
        <v>50.450189686156222</v>
      </c>
      <c r="AF1274" s="125">
        <v>50.357318362964023</v>
      </c>
      <c r="AG1274" s="125">
        <v>50.250884802141918</v>
      </c>
      <c r="AH1274" s="125">
        <v>50.129169575025735</v>
      </c>
      <c r="AI1274" s="125">
        <v>49.99032123413604</v>
      </c>
      <c r="AJ1274" s="125">
        <v>49.832375863196532</v>
      </c>
      <c r="AK1274" s="125">
        <v>49.653289142609978</v>
      </c>
      <c r="AL1274" s="125">
        <v>49.450984021121506</v>
      </c>
      <c r="AM1274" s="125">
        <v>49.223417116443848</v>
      </c>
      <c r="AN1274" s="125">
        <v>48.968666617867598</v>
      </c>
      <c r="AO1274" s="125">
        <v>48.685043543970671</v>
      </c>
      <c r="AP1274" s="125">
        <v>48.371226513811173</v>
      </c>
      <c r="AQ1274" s="125">
        <v>48.026417539795183</v>
      </c>
      <c r="AR1274" s="125">
        <v>47.650512656128555</v>
      </c>
      <c r="AS1274" s="125">
        <v>47.244276557713953</v>
      </c>
      <c r="AT1274" s="125">
        <v>46.80950523944464</v>
      </c>
      <c r="AU1274" s="125">
        <v>46.349155689030468</v>
      </c>
      <c r="AV1274" s="125">
        <v>45.867418211322196</v>
      </c>
      <c r="AW1274" s="125">
        <v>45.369706465564093</v>
      </c>
      <c r="AX1274" s="126">
        <v>44.862544283956964</v>
      </c>
    </row>
    <row r="1275" spans="1:50" x14ac:dyDescent="0.25">
      <c r="A1275" s="356"/>
      <c r="B1275" s="359"/>
      <c r="C1275" s="361" t="s">
        <v>15</v>
      </c>
      <c r="D1275" s="58" t="s">
        <v>7</v>
      </c>
      <c r="E1275" s="164" t="str">
        <f>A1253&amp;"/"&amp;B1269&amp;"/"&amp;C1275&amp;"/"&amp;D1275</f>
        <v>Coal fired power plants/Fluidized bed combustion/Electricity only with CCS/L</v>
      </c>
      <c r="F1275" s="78" t="str">
        <f>A1253</f>
        <v>Coal fired power plants</v>
      </c>
      <c r="G1275" s="78" t="str">
        <f>B1269</f>
        <v>Fluidized bed combustion</v>
      </c>
      <c r="H1275" s="78" t="str">
        <f>C1275</f>
        <v>Electricity only with CCS</v>
      </c>
      <c r="I1275" s="165" t="str">
        <f t="shared" si="98"/>
        <v>L</v>
      </c>
      <c r="J1275" s="123" t="s">
        <v>112</v>
      </c>
      <c r="K1275" s="123" t="s">
        <v>112</v>
      </c>
      <c r="L1275" s="123" t="s">
        <v>112</v>
      </c>
      <c r="M1275" s="123" t="s">
        <v>112</v>
      </c>
      <c r="N1275" s="123" t="s">
        <v>112</v>
      </c>
      <c r="O1275" s="123" t="s">
        <v>112</v>
      </c>
      <c r="P1275" s="123" t="s">
        <v>112</v>
      </c>
      <c r="Q1275" s="123" t="s">
        <v>112</v>
      </c>
      <c r="R1275" s="123" t="s">
        <v>112</v>
      </c>
      <c r="S1275" s="123" t="s">
        <v>112</v>
      </c>
      <c r="T1275" s="123" t="s">
        <v>112</v>
      </c>
      <c r="U1275" s="123" t="s">
        <v>112</v>
      </c>
      <c r="V1275" s="123" t="s">
        <v>112</v>
      </c>
      <c r="W1275" s="123" t="s">
        <v>112</v>
      </c>
      <c r="X1275" s="123" t="s">
        <v>112</v>
      </c>
      <c r="Y1275" s="123" t="s">
        <v>112</v>
      </c>
      <c r="Z1275" s="123" t="s">
        <v>112</v>
      </c>
      <c r="AA1275" s="123" t="s">
        <v>112</v>
      </c>
      <c r="AB1275" s="123" t="s">
        <v>112</v>
      </c>
      <c r="AC1275" s="123" t="s">
        <v>112</v>
      </c>
      <c r="AD1275" s="123" t="s">
        <v>112</v>
      </c>
      <c r="AE1275" s="123">
        <v>79.011917868796772</v>
      </c>
      <c r="AF1275" s="123">
        <v>78.990198896098278</v>
      </c>
      <c r="AG1275" s="123">
        <v>78.962355000590506</v>
      </c>
      <c r="AH1275" s="123">
        <v>78.92667478788681</v>
      </c>
      <c r="AI1275" s="123">
        <v>78.880978897383045</v>
      </c>
      <c r="AJ1275" s="123">
        <v>78.822498610701246</v>
      </c>
      <c r="AK1275" s="123">
        <v>78.747727206906603</v>
      </c>
      <c r="AL1275" s="123">
        <v>78.652240739102538</v>
      </c>
      <c r="AM1275" s="123">
        <v>78.530486535495953</v>
      </c>
      <c r="AN1275" s="123">
        <v>78.375541183322923</v>
      </c>
      <c r="AO1275" s="123">
        <v>78.178846132731053</v>
      </c>
      <c r="AP1275" s="123">
        <v>77.92993985198224</v>
      </c>
      <c r="AQ1275" s="123">
        <v>77.616222484971487</v>
      </c>
      <c r="AR1275" s="123">
        <v>77.222813951641498</v>
      </c>
      <c r="AS1275" s="123">
        <v>76.732600081722381</v>
      </c>
      <c r="AT1275" s="123">
        <v>76.126601317936704</v>
      </c>
      <c r="AU1275" s="123">
        <v>75.384836017690631</v>
      </c>
      <c r="AV1275" s="123">
        <v>74.487865974602386</v>
      </c>
      <c r="AW1275" s="123">
        <v>73.419172179163766</v>
      </c>
      <c r="AX1275" s="124">
        <v>72.168370312500002</v>
      </c>
    </row>
    <row r="1276" spans="1:50" x14ac:dyDescent="0.25">
      <c r="A1276" s="356"/>
      <c r="B1276" s="359"/>
      <c r="C1276" s="360"/>
      <c r="D1276" s="59" t="s">
        <v>8</v>
      </c>
      <c r="E1276" s="166" t="str">
        <f>A1253&amp;"/"&amp;B1269&amp;"/"&amp;C1275&amp;"/"&amp;D1276</f>
        <v>Coal fired power plants/Fluidized bed combustion/Electricity only with CCS/M</v>
      </c>
      <c r="F1276" s="79" t="str">
        <f>A1253</f>
        <v>Coal fired power plants</v>
      </c>
      <c r="G1276" s="79" t="str">
        <f>B1269</f>
        <v>Fluidized bed combustion</v>
      </c>
      <c r="H1276" s="79" t="str">
        <f>C1275</f>
        <v>Electricity only with CCS</v>
      </c>
      <c r="I1276" s="167" t="str">
        <f t="shared" si="98"/>
        <v>M</v>
      </c>
      <c r="J1276" s="125" t="s">
        <v>112</v>
      </c>
      <c r="K1276" s="125" t="s">
        <v>112</v>
      </c>
      <c r="L1276" s="125" t="s">
        <v>112</v>
      </c>
      <c r="M1276" s="125" t="s">
        <v>112</v>
      </c>
      <c r="N1276" s="125" t="s">
        <v>112</v>
      </c>
      <c r="O1276" s="125" t="s">
        <v>112</v>
      </c>
      <c r="P1276" s="125" t="s">
        <v>112</v>
      </c>
      <c r="Q1276" s="125" t="s">
        <v>112</v>
      </c>
      <c r="R1276" s="125" t="s">
        <v>112</v>
      </c>
      <c r="S1276" s="125" t="s">
        <v>112</v>
      </c>
      <c r="T1276" s="125" t="s">
        <v>112</v>
      </c>
      <c r="U1276" s="125" t="s">
        <v>112</v>
      </c>
      <c r="V1276" s="125" t="s">
        <v>112</v>
      </c>
      <c r="W1276" s="125" t="s">
        <v>112</v>
      </c>
      <c r="X1276" s="125" t="s">
        <v>112</v>
      </c>
      <c r="Y1276" s="125" t="s">
        <v>112</v>
      </c>
      <c r="Z1276" s="125" t="s">
        <v>112</v>
      </c>
      <c r="AA1276" s="125" t="s">
        <v>112</v>
      </c>
      <c r="AB1276" s="125" t="s">
        <v>112</v>
      </c>
      <c r="AC1276" s="125" t="s">
        <v>112</v>
      </c>
      <c r="AD1276" s="125" t="s">
        <v>112</v>
      </c>
      <c r="AE1276" s="125">
        <v>88.353396892741955</v>
      </c>
      <c r="AF1276" s="125">
        <v>88.327373538854104</v>
      </c>
      <c r="AG1276" s="125">
        <v>88.294011392472967</v>
      </c>
      <c r="AH1276" s="125">
        <v>88.251259885996461</v>
      </c>
      <c r="AI1276" s="125">
        <v>88.196507741578401</v>
      </c>
      <c r="AJ1276" s="125">
        <v>88.126437521549562</v>
      </c>
      <c r="AK1276" s="125">
        <v>88.036847524423479</v>
      </c>
      <c r="AL1276" s="125">
        <v>87.922437042046525</v>
      </c>
      <c r="AM1276" s="125">
        <v>87.776552944682749</v>
      </c>
      <c r="AN1276" s="125">
        <v>87.590899700910441</v>
      </c>
      <c r="AO1276" s="125">
        <v>87.355222582079818</v>
      </c>
      <c r="AP1276" s="125">
        <v>87.056986734613346</v>
      </c>
      <c r="AQ1276" s="125">
        <v>86.681095196103655</v>
      </c>
      <c r="AR1276" s="125">
        <v>86.209718873315666</v>
      </c>
      <c r="AS1276" s="125">
        <v>85.622351818955607</v>
      </c>
      <c r="AT1276" s="125">
        <v>84.896253006432516</v>
      </c>
      <c r="AU1276" s="125">
        <v>84.007480725256713</v>
      </c>
      <c r="AV1276" s="125">
        <v>82.932744402221076</v>
      </c>
      <c r="AW1276" s="125">
        <v>81.652251202909483</v>
      </c>
      <c r="AX1276" s="126">
        <v>80.153558789062515</v>
      </c>
    </row>
    <row r="1277" spans="1:50" x14ac:dyDescent="0.25">
      <c r="A1277" s="356"/>
      <c r="B1277" s="359"/>
      <c r="C1277" s="361" t="s">
        <v>16</v>
      </c>
      <c r="D1277" s="2" t="s">
        <v>7</v>
      </c>
      <c r="E1277" s="160" t="str">
        <f>A1253&amp;"/"&amp;B1269&amp;"/"&amp;C1277&amp;"/"&amp;D1277</f>
        <v>Coal fired power plants/Fluidized bed combustion/CHP with CCS/L</v>
      </c>
      <c r="F1277" s="76" t="str">
        <f>A1253</f>
        <v>Coal fired power plants</v>
      </c>
      <c r="G1277" s="76" t="str">
        <f>B1269</f>
        <v>Fluidized bed combustion</v>
      </c>
      <c r="H1277" s="76" t="str">
        <f>C1277</f>
        <v>CHP with CCS</v>
      </c>
      <c r="I1277" s="161" t="str">
        <f t="shared" si="98"/>
        <v>L</v>
      </c>
      <c r="J1277" s="119" t="s">
        <v>112</v>
      </c>
      <c r="K1277" s="119" t="s">
        <v>112</v>
      </c>
      <c r="L1277" s="119" t="s">
        <v>112</v>
      </c>
      <c r="M1277" s="119" t="s">
        <v>112</v>
      </c>
      <c r="N1277" s="119" t="s">
        <v>112</v>
      </c>
      <c r="O1277" s="119" t="s">
        <v>112</v>
      </c>
      <c r="P1277" s="119" t="s">
        <v>112</v>
      </c>
      <c r="Q1277" s="119" t="s">
        <v>112</v>
      </c>
      <c r="R1277" s="119" t="s">
        <v>112</v>
      </c>
      <c r="S1277" s="119" t="s">
        <v>112</v>
      </c>
      <c r="T1277" s="119" t="s">
        <v>112</v>
      </c>
      <c r="U1277" s="119" t="s">
        <v>112</v>
      </c>
      <c r="V1277" s="119" t="s">
        <v>112</v>
      </c>
      <c r="W1277" s="119" t="s">
        <v>112</v>
      </c>
      <c r="X1277" s="119" t="s">
        <v>112</v>
      </c>
      <c r="Y1277" s="119" t="s">
        <v>112</v>
      </c>
      <c r="Z1277" s="119" t="s">
        <v>112</v>
      </c>
      <c r="AA1277" s="119" t="s">
        <v>112</v>
      </c>
      <c r="AB1277" s="119" t="s">
        <v>112</v>
      </c>
      <c r="AC1277" s="119" t="s">
        <v>112</v>
      </c>
      <c r="AD1277" s="119" t="s">
        <v>112</v>
      </c>
      <c r="AE1277" s="119">
        <v>83.735056630648529</v>
      </c>
      <c r="AF1277" s="119">
        <v>83.715330269658708</v>
      </c>
      <c r="AG1277" s="119">
        <v>83.690040918188259</v>
      </c>
      <c r="AH1277" s="119">
        <v>83.657634194087748</v>
      </c>
      <c r="AI1277" s="119">
        <v>83.616130682649043</v>
      </c>
      <c r="AJ1277" s="119">
        <v>83.563015682142918</v>
      </c>
      <c r="AK1277" s="119">
        <v>83.495104196482671</v>
      </c>
      <c r="AL1277" s="119">
        <v>83.408378154708288</v>
      </c>
      <c r="AM1277" s="119">
        <v>83.297794316065762</v>
      </c>
      <c r="AN1277" s="119">
        <v>83.157064457748262</v>
      </c>
      <c r="AO1277" s="119">
        <v>82.978415235855934</v>
      </c>
      <c r="AP1277" s="119">
        <v>82.752344914075692</v>
      </c>
      <c r="AQ1277" s="119">
        <v>82.467409612745342</v>
      </c>
      <c r="AR1277" s="119">
        <v>82.110094427875552</v>
      </c>
      <c r="AS1277" s="119">
        <v>81.664855332339826</v>
      </c>
      <c r="AT1277" s="119">
        <v>81.114454052326636</v>
      </c>
      <c r="AU1277" s="119">
        <v>80.440742165235733</v>
      </c>
      <c r="AV1277" s="119">
        <v>79.626064827009571</v>
      </c>
      <c r="AW1277" s="119">
        <v>78.655418568134365</v>
      </c>
      <c r="AX1277" s="120">
        <v>77.519371781249987</v>
      </c>
    </row>
    <row r="1278" spans="1:50" x14ac:dyDescent="0.25">
      <c r="A1278" s="356"/>
      <c r="B1278" s="362"/>
      <c r="C1278" s="354"/>
      <c r="D1278" s="4" t="s">
        <v>8</v>
      </c>
      <c r="E1278" s="168" t="str">
        <f>A1253&amp;"/"&amp;B1269&amp;"/"&amp;C1277&amp;"/"&amp;D1278</f>
        <v>Coal fired power plants/Fluidized bed combustion/CHP with CCS/M</v>
      </c>
      <c r="F1278" s="80" t="str">
        <f>A1253</f>
        <v>Coal fired power plants</v>
      </c>
      <c r="G1278" s="80" t="str">
        <f>B1269</f>
        <v>Fluidized bed combustion</v>
      </c>
      <c r="H1278" s="80" t="str">
        <f>C1277</f>
        <v>CHP with CCS</v>
      </c>
      <c r="I1278" s="169" t="str">
        <f t="shared" si="98"/>
        <v>M</v>
      </c>
      <c r="J1278" s="127" t="s">
        <v>112</v>
      </c>
      <c r="K1278" s="127" t="s">
        <v>112</v>
      </c>
      <c r="L1278" s="127" t="s">
        <v>112</v>
      </c>
      <c r="M1278" s="127" t="s">
        <v>112</v>
      </c>
      <c r="N1278" s="127" t="s">
        <v>112</v>
      </c>
      <c r="O1278" s="127" t="s">
        <v>112</v>
      </c>
      <c r="P1278" s="127" t="s">
        <v>112</v>
      </c>
      <c r="Q1278" s="127" t="s">
        <v>112</v>
      </c>
      <c r="R1278" s="127" t="s">
        <v>112</v>
      </c>
      <c r="S1278" s="127" t="s">
        <v>112</v>
      </c>
      <c r="T1278" s="127" t="s">
        <v>112</v>
      </c>
      <c r="U1278" s="127" t="s">
        <v>112</v>
      </c>
      <c r="V1278" s="127" t="s">
        <v>112</v>
      </c>
      <c r="W1278" s="127" t="s">
        <v>112</v>
      </c>
      <c r="X1278" s="127" t="s">
        <v>112</v>
      </c>
      <c r="Y1278" s="127" t="s">
        <v>112</v>
      </c>
      <c r="Z1278" s="127" t="s">
        <v>112</v>
      </c>
      <c r="AA1278" s="127" t="s">
        <v>112</v>
      </c>
      <c r="AB1278" s="127" t="s">
        <v>112</v>
      </c>
      <c r="AC1278" s="127" t="s">
        <v>112</v>
      </c>
      <c r="AD1278" s="127" t="s">
        <v>112</v>
      </c>
      <c r="AE1278" s="127">
        <v>92.797057717425233</v>
      </c>
      <c r="AF1278" s="127">
        <v>92.77337311583176</v>
      </c>
      <c r="AG1278" s="127">
        <v>92.743009268468157</v>
      </c>
      <c r="AH1278" s="127">
        <v>92.704099894880898</v>
      </c>
      <c r="AI1278" s="127">
        <v>92.654268396123371</v>
      </c>
      <c r="AJ1278" s="127">
        <v>92.590495476917766</v>
      </c>
      <c r="AK1278" s="127">
        <v>92.508957048095922</v>
      </c>
      <c r="AL1278" s="127">
        <v>92.404828782965623</v>
      </c>
      <c r="AM1278" s="127">
        <v>92.272055477119949</v>
      </c>
      <c r="AN1278" s="127">
        <v>92.103087129218707</v>
      </c>
      <c r="AO1278" s="127">
        <v>91.888590616269141</v>
      </c>
      <c r="AP1278" s="127">
        <v>91.617157608111512</v>
      </c>
      <c r="AQ1278" s="127">
        <v>91.275047925773066</v>
      </c>
      <c r="AR1278" s="127">
        <v>90.846034799565928</v>
      </c>
      <c r="AS1278" s="127">
        <v>90.311455178061649</v>
      </c>
      <c r="AT1278" s="127">
        <v>89.650611799986549</v>
      </c>
      <c r="AU1278" s="127">
        <v>88.841714627175079</v>
      </c>
      <c r="AV1278" s="127">
        <v>87.863566240198779</v>
      </c>
      <c r="AW1278" s="127">
        <v>86.698152612135146</v>
      </c>
      <c r="AX1278" s="128">
        <v>85.334149613671883</v>
      </c>
    </row>
    <row r="1279" spans="1:50" x14ac:dyDescent="0.25">
      <c r="A1279" s="356"/>
      <c r="B1279" s="358" t="s">
        <v>19</v>
      </c>
      <c r="C1279" s="353" t="s">
        <v>6</v>
      </c>
      <c r="D1279" s="3" t="s">
        <v>7</v>
      </c>
      <c r="E1279" s="162" t="str">
        <f>A1253&amp;"/"&amp;B1279&amp;"/"&amp;C1279&amp;"/"&amp;D1279</f>
        <v>Coal fired power plants/Steam turbine/Electricity only/L</v>
      </c>
      <c r="F1279" s="77" t="str">
        <f>A1253</f>
        <v>Coal fired power plants</v>
      </c>
      <c r="G1279" s="77" t="str">
        <f>B1279</f>
        <v>Steam turbine</v>
      </c>
      <c r="H1279" s="77" t="str">
        <f>C1279</f>
        <v>Electricity only</v>
      </c>
      <c r="I1279" s="163" t="str">
        <f t="shared" si="98"/>
        <v>L</v>
      </c>
      <c r="J1279" s="121">
        <v>24.131250000000001</v>
      </c>
      <c r="K1279" s="121">
        <v>24.174155168165569</v>
      </c>
      <c r="L1279" s="121">
        <v>24.217085356777154</v>
      </c>
      <c r="M1279" s="121">
        <v>24.260018439161101</v>
      </c>
      <c r="N1279" s="121">
        <v>24.302932377495807</v>
      </c>
      <c r="O1279" s="121">
        <v>24.345805265919893</v>
      </c>
      <c r="P1279" s="121">
        <v>24.388615372842473</v>
      </c>
      <c r="Q1279" s="121">
        <v>24.431341182291884</v>
      </c>
      <c r="R1279" s="121">
        <v>24.47396143414716</v>
      </c>
      <c r="S1279" s="121">
        <v>24.516455163104951</v>
      </c>
      <c r="T1279" s="121">
        <v>24.558801736244149</v>
      </c>
      <c r="U1279" s="121">
        <v>24.600980889060633</v>
      </c>
      <c r="V1279" s="121">
        <v>24.642972759855351</v>
      </c>
      <c r="W1279" s="121">
        <v>24.684757922370309</v>
      </c>
      <c r="X1279" s="121">
        <v>24.726317416578873</v>
      </c>
      <c r="Y1279" s="121">
        <v>24.767632777548656</v>
      </c>
      <c r="Z1279" s="121">
        <v>24.808686062307828</v>
      </c>
      <c r="AA1279" s="121">
        <v>24.849459874657736</v>
      </c>
      <c r="AB1279" s="121">
        <v>24.889937387887251</v>
      </c>
      <c r="AC1279" s="121">
        <v>24.930102365356401</v>
      </c>
      <c r="AD1279" s="121">
        <v>24.969939178928801</v>
      </c>
      <c r="AE1279" s="121">
        <v>25.00943282524425</v>
      </c>
      <c r="AF1279" s="121">
        <v>25.048568939833931</v>
      </c>
      <c r="AG1279" s="121">
        <v>25.087333809091753</v>
      </c>
      <c r="AH1279" s="121">
        <v>25.125714380125498</v>
      </c>
      <c r="AI1279" s="121">
        <v>25.163698268521323</v>
      </c>
      <c r="AJ1279" s="121">
        <v>25.201273764064158</v>
      </c>
      <c r="AK1279" s="121">
        <v>25.23842983446508</v>
      </c>
      <c r="AL1279" s="121">
        <v>25.275156127154382</v>
      </c>
      <c r="AM1279" s="121">
        <v>25.311442969206055</v>
      </c>
      <c r="AN1279" s="121">
        <v>25.347281365465772</v>
      </c>
      <c r="AO1279" s="121">
        <v>25.38266299495978</v>
      </c>
      <c r="AP1279" s="121">
        <v>25.41758020566693</v>
      </c>
      <c r="AQ1279" s="121">
        <v>25.45202600774013</v>
      </c>
      <c r="AR1279" s="121">
        <v>25.485994065266674</v>
      </c>
      <c r="AS1279" s="121">
        <v>25.519478686659436</v>
      </c>
      <c r="AT1279" s="121">
        <v>25.552474813772889</v>
      </c>
      <c r="AU1279" s="121">
        <v>25.584978009838956</v>
      </c>
      <c r="AV1279" s="121">
        <v>25.616984446318398</v>
      </c>
      <c r="AW1279" s="121">
        <v>25.648490888763273</v>
      </c>
      <c r="AX1279" s="122">
        <v>25.679494681785595</v>
      </c>
    </row>
    <row r="1280" spans="1:50" x14ac:dyDescent="0.25">
      <c r="A1280" s="356"/>
      <c r="B1280" s="359"/>
      <c r="C1280" s="350"/>
      <c r="D1280" s="2" t="s">
        <v>8</v>
      </c>
      <c r="E1280" s="160" t="str">
        <f>A1253&amp;"/"&amp;B1279&amp;"/"&amp;C1279&amp;"/"&amp;D1280</f>
        <v>Coal fired power plants/Steam turbine/Electricity only/M</v>
      </c>
      <c r="F1280" s="76" t="str">
        <f>A1253</f>
        <v>Coal fired power plants</v>
      </c>
      <c r="G1280" s="76" t="str">
        <f>B1279</f>
        <v>Steam turbine</v>
      </c>
      <c r="H1280" s="76" t="str">
        <f>C1279</f>
        <v>Electricity only</v>
      </c>
      <c r="I1280" s="161" t="str">
        <f t="shared" si="98"/>
        <v>M</v>
      </c>
      <c r="J1280" s="119">
        <v>26.061750000000004</v>
      </c>
      <c r="K1280" s="119">
        <v>26.098820065295058</v>
      </c>
      <c r="L1280" s="119">
        <v>26.135911748255467</v>
      </c>
      <c r="M1280" s="119">
        <v>26.173005931435195</v>
      </c>
      <c r="N1280" s="119">
        <v>26.210083574156382</v>
      </c>
      <c r="O1280" s="119">
        <v>26.247125749754794</v>
      </c>
      <c r="P1280" s="119">
        <v>26.284113682135903</v>
      </c>
      <c r="Q1280" s="119">
        <v>26.321028781500193</v>
      </c>
      <c r="R1280" s="119">
        <v>26.357852679103154</v>
      </c>
      <c r="S1280" s="119">
        <v>26.394567260922681</v>
      </c>
      <c r="T1280" s="119">
        <v>26.431154700114948</v>
      </c>
      <c r="U1280" s="119">
        <v>26.467597488148389</v>
      </c>
      <c r="V1280" s="119">
        <v>26.503878464515026</v>
      </c>
      <c r="W1280" s="119">
        <v>26.539980844927953</v>
      </c>
      <c r="X1280" s="119">
        <v>26.575888247924151</v>
      </c>
      <c r="Y1280" s="119">
        <v>26.611584719802043</v>
      </c>
      <c r="Z1280" s="119">
        <v>26.647054757833967</v>
      </c>
      <c r="AA1280" s="119">
        <v>26.682283331704287</v>
      </c>
      <c r="AB1280" s="119">
        <v>26.717255903134593</v>
      </c>
      <c r="AC1280" s="119">
        <v>26.751958443667935</v>
      </c>
      <c r="AD1280" s="119">
        <v>26.78637745059449</v>
      </c>
      <c r="AE1280" s="119">
        <v>26.820499961011038</v>
      </c>
      <c r="AF1280" s="119">
        <v>26.854313564016522</v>
      </c>
      <c r="AG1280" s="119">
        <v>26.887806411055276</v>
      </c>
      <c r="AH1280" s="119">
        <v>26.920967224428434</v>
      </c>
      <c r="AI1280" s="119">
        <v>26.953785304002427</v>
      </c>
      <c r="AJ1280" s="119">
        <v>26.986250532151434</v>
      </c>
      <c r="AK1280" s="119">
        <v>27.018353376977835</v>
      </c>
      <c r="AL1280" s="119">
        <v>27.050084893861392</v>
      </c>
      <c r="AM1280" s="119">
        <v>27.081436725394035</v>
      </c>
      <c r="AN1280" s="119">
        <v>27.112401099762433</v>
      </c>
      <c r="AO1280" s="119">
        <v>27.142970827645254</v>
      </c>
      <c r="AP1280" s="119">
        <v>27.173139297696231</v>
      </c>
      <c r="AQ1280" s="119">
        <v>27.202900470687478</v>
      </c>
      <c r="AR1280" s="119">
        <v>27.232248872390411</v>
      </c>
      <c r="AS1280" s="119">
        <v>27.261179585273759</v>
      </c>
      <c r="AT1280" s="119">
        <v>27.289688239099782</v>
      </c>
      <c r="AU1280" s="119">
        <v>27.317771000500862</v>
      </c>
      <c r="AV1280" s="119">
        <v>27.345424561619097</v>
      </c>
      <c r="AW1280" s="119">
        <v>27.372646127891471</v>
      </c>
      <c r="AX1280" s="120">
        <v>27.399433405062759</v>
      </c>
    </row>
    <row r="1281" spans="1:50" x14ac:dyDescent="0.25">
      <c r="A1281" s="356"/>
      <c r="B1281" s="359"/>
      <c r="C1281" s="350"/>
      <c r="D1281" s="2" t="s">
        <v>10</v>
      </c>
      <c r="E1281" s="160" t="str">
        <f>A1253&amp;"/"&amp;B1279&amp;"/"&amp;C1279&amp;"/"&amp;D1281</f>
        <v>Coal fired power plants/Steam turbine/Electricity only/S</v>
      </c>
      <c r="F1281" s="76" t="str">
        <f>A1253</f>
        <v>Coal fired power plants</v>
      </c>
      <c r="G1281" s="76" t="str">
        <f>B1279</f>
        <v>Steam turbine</v>
      </c>
      <c r="H1281" s="76" t="str">
        <f>C1279</f>
        <v>Electricity only</v>
      </c>
      <c r="I1281" s="161" t="str">
        <f t="shared" si="98"/>
        <v>S</v>
      </c>
      <c r="J1281" s="119">
        <v>28.798233750000001</v>
      </c>
      <c r="K1281" s="119">
        <v>28.828955566613278</v>
      </c>
      <c r="L1281" s="119">
        <v>28.859695298866718</v>
      </c>
      <c r="M1281" s="119">
        <v>28.890437103176918</v>
      </c>
      <c r="N1281" s="119">
        <v>28.921165199582099</v>
      </c>
      <c r="O1281" s="119">
        <v>28.951863902609286</v>
      </c>
      <c r="P1281" s="119">
        <v>28.982517651570127</v>
      </c>
      <c r="Q1281" s="119">
        <v>29.013111040168287</v>
      </c>
      <c r="R1281" s="119">
        <v>29.043628845306738</v>
      </c>
      <c r="S1281" s="119">
        <v>29.074056054989672</v>
      </c>
      <c r="T1281" s="119">
        <v>29.104377895220264</v>
      </c>
      <c r="U1281" s="119">
        <v>29.134579855802979</v>
      </c>
      <c r="V1281" s="119">
        <v>29.164647714966826</v>
      </c>
      <c r="W1281" s="119">
        <v>29.19456756273404</v>
      </c>
      <c r="X1281" s="119">
        <v>29.224325822967138</v>
      </c>
      <c r="Y1281" s="119">
        <v>29.253909274035941</v>
      </c>
      <c r="Z1281" s="119">
        <v>29.283305068054901</v>
      </c>
      <c r="AA1281" s="119">
        <v>29.312500748649928</v>
      </c>
      <c r="AB1281" s="119">
        <v>29.341484267222793</v>
      </c>
      <c r="AC1281" s="119">
        <v>29.370243997689801</v>
      </c>
      <c r="AD1281" s="119">
        <v>29.398768749680183</v>
      </c>
      <c r="AE1281" s="119">
        <v>29.427047780187898</v>
      </c>
      <c r="AF1281" s="119">
        <v>29.455070803678691</v>
      </c>
      <c r="AG1281" s="119">
        <v>29.48282800066206</v>
      </c>
      <c r="AH1281" s="119">
        <v>29.510310024745063</v>
      </c>
      <c r="AI1281" s="119">
        <v>29.53750800819201</v>
      </c>
      <c r="AJ1281" s="119">
        <v>29.564413566020502</v>
      </c>
      <c r="AK1281" s="119">
        <v>29.591018798670383</v>
      </c>
      <c r="AL1281" s="119">
        <v>29.617316293287626</v>
      </c>
      <c r="AM1281" s="119">
        <v>29.643299123670303</v>
      </c>
      <c r="AN1281" s="119">
        <v>29.668960848928119</v>
      </c>
      <c r="AO1281" s="119">
        <v>29.694295510911004</v>
      </c>
      <c r="AP1281" s="119">
        <v>29.71929763046575</v>
      </c>
      <c r="AQ1281" s="119">
        <v>29.743962202582249</v>
      </c>
      <c r="AR1281" s="119">
        <v>29.768284690493555</v>
      </c>
      <c r="AS1281" s="119">
        <v>29.792261018795628</v>
      </c>
      <c r="AT1281" s="119">
        <v>29.815887565653941</v>
      </c>
      <c r="AU1281" s="119">
        <v>29.839161154165094</v>
      </c>
      <c r="AV1281" s="119">
        <v>29.862079042941829</v>
      </c>
      <c r="AW1281" s="119">
        <v>29.88463891599006</v>
      </c>
      <c r="AX1281" s="120">
        <v>29.906838871945762</v>
      </c>
    </row>
    <row r="1282" spans="1:50" x14ac:dyDescent="0.25">
      <c r="A1282" s="356"/>
      <c r="B1282" s="359"/>
      <c r="C1282" s="360"/>
      <c r="D1282" s="2" t="s">
        <v>20</v>
      </c>
      <c r="E1282" s="160" t="str">
        <f>A1253&amp;"/"&amp;B1279&amp;"/"&amp;C1279&amp;"/"&amp;D1282</f>
        <v>Coal fired power plants/Steam turbine/Electricity only/XS</v>
      </c>
      <c r="F1282" s="76" t="str">
        <f>A1253</f>
        <v>Coal fired power plants</v>
      </c>
      <c r="G1282" s="76" t="str">
        <f>B1279</f>
        <v>Steam turbine</v>
      </c>
      <c r="H1282" s="76" t="str">
        <f>C1279</f>
        <v>Electricity only</v>
      </c>
      <c r="I1282" s="161" t="str">
        <f t="shared" si="98"/>
        <v>XS</v>
      </c>
      <c r="J1282" s="119">
        <v>34.557880500000003</v>
      </c>
      <c r="K1282" s="119">
        <v>34.588424528787044</v>
      </c>
      <c r="L1282" s="119">
        <v>34.618849119385104</v>
      </c>
      <c r="M1282" s="119">
        <v>34.649140243647722</v>
      </c>
      <c r="N1282" s="119">
        <v>34.679284166389458</v>
      </c>
      <c r="O1282" s="119">
        <v>34.709267467324089</v>
      </c>
      <c r="P1282" s="119">
        <v>34.739077061730129</v>
      </c>
      <c r="Q1282" s="119">
        <v>34.768700219789814</v>
      </c>
      <c r="R1282" s="119">
        <v>34.798124584555694</v>
      </c>
      <c r="S1282" s="119">
        <v>34.827338188507696</v>
      </c>
      <c r="T1282" s="119">
        <v>34.856329468671248</v>
      </c>
      <c r="U1282" s="119">
        <v>34.885087280275783</v>
      </c>
      <c r="V1282" s="119">
        <v>34.913600908940573</v>
      </c>
      <c r="W1282" s="119">
        <v>34.941860081382984</v>
      </c>
      <c r="X1282" s="119">
        <v>34.969854974651717</v>
      </c>
      <c r="Y1282" s="119">
        <v>34.997576223894889</v>
      </c>
      <c r="Z1282" s="119">
        <v>35.025014928679845</v>
      </c>
      <c r="AA1282" s="119">
        <v>35.052162657888132</v>
      </c>
      <c r="AB1282" s="119">
        <v>35.079011453215081</v>
      </c>
      <c r="AC1282" s="119">
        <v>35.105553831309322</v>
      </c>
      <c r="AD1282" s="119">
        <v>35.131782784592708</v>
      </c>
      <c r="AE1282" s="119">
        <v>35.157691780805699</v>
      </c>
      <c r="AF1282" s="119">
        <v>35.183274761327802</v>
      </c>
      <c r="AG1282" s="119">
        <v>35.208526138326022</v>
      </c>
      <c r="AH1282" s="119">
        <v>35.233440790787775</v>
      </c>
      <c r="AI1282" s="119">
        <v>35.258014059497377</v>
      </c>
      <c r="AJ1282" s="119">
        <v>35.282241741017195</v>
      </c>
      <c r="AK1282" s="119">
        <v>35.306120080736669</v>
      </c>
      <c r="AL1282" s="119">
        <v>35.329645765053399</v>
      </c>
      <c r="AM1282" s="119">
        <v>35.35281591275136</v>
      </c>
      <c r="AN1282" s="119">
        <v>35.375628065641834</v>
      </c>
      <c r="AO1282" s="119">
        <v>35.398080178532439</v>
      </c>
      <c r="AP1282" s="119">
        <v>35.42017060858943</v>
      </c>
      <c r="AQ1282" s="119">
        <v>35.441898104157559</v>
      </c>
      <c r="AR1282" s="119">
        <v>35.463261793100848</v>
      </c>
      <c r="AS1282" s="119">
        <v>35.484261170726242</v>
      </c>
      <c r="AT1282" s="119">
        <v>35.504896087350311</v>
      </c>
      <c r="AU1282" s="119">
        <v>35.525166735567765</v>
      </c>
      <c r="AV1282" s="119">
        <v>35.545073637277945</v>
      </c>
      <c r="AW1282" s="119">
        <v>35.564617630523685</v>
      </c>
      <c r="AX1282" s="120">
        <v>35.583799856194204</v>
      </c>
    </row>
    <row r="1283" spans="1:50" x14ac:dyDescent="0.25">
      <c r="A1283" s="356"/>
      <c r="B1283" s="359"/>
      <c r="C1283" s="361" t="s">
        <v>14</v>
      </c>
      <c r="D1283" s="58" t="s">
        <v>7</v>
      </c>
      <c r="E1283" s="164" t="str">
        <f>A1253&amp;"/"&amp;B1279&amp;"/"&amp;C1283&amp;"/"&amp;D1283</f>
        <v>Coal fired power plants/Steam turbine/CHP/L</v>
      </c>
      <c r="F1283" s="78" t="str">
        <f>A1253</f>
        <v>Coal fired power plants</v>
      </c>
      <c r="G1283" s="78" t="str">
        <f>B1279</f>
        <v>Steam turbine</v>
      </c>
      <c r="H1283" s="78" t="str">
        <f>C1283</f>
        <v>CHP</v>
      </c>
      <c r="I1283" s="165" t="str">
        <f t="shared" si="98"/>
        <v>L</v>
      </c>
      <c r="J1283" s="123">
        <v>29.554687499999996</v>
      </c>
      <c r="K1283" s="123">
        <v>29.587340935157354</v>
      </c>
      <c r="L1283" s="123">
        <v>29.619947535265162</v>
      </c>
      <c r="M1283" s="123">
        <v>29.652499917839034</v>
      </c>
      <c r="N1283" s="123">
        <v>29.684990773795874</v>
      </c>
      <c r="O1283" s="123">
        <v>29.717412873317702</v>
      </c>
      <c r="P1283" s="123">
        <v>29.749759071546009</v>
      </c>
      <c r="Q1283" s="123">
        <v>29.782022314098686</v>
      </c>
      <c r="R1283" s="123">
        <v>29.814195642401796</v>
      </c>
      <c r="S1283" s="123">
        <v>29.84627219882935</v>
      </c>
      <c r="T1283" s="123">
        <v>29.878245231644662</v>
      </c>
      <c r="U1283" s="123">
        <v>29.910108099737421</v>
      </c>
      <c r="V1283" s="123">
        <v>29.941854277151386</v>
      </c>
      <c r="W1283" s="123">
        <v>29.97347735739794</v>
      </c>
      <c r="X1283" s="123">
        <v>30.004971057551639</v>
      </c>
      <c r="Y1283" s="123">
        <v>30.036329222124216</v>
      </c>
      <c r="Z1283" s="123">
        <v>30.067545826714284</v>
      </c>
      <c r="AA1283" s="123">
        <v>30.098614981430476</v>
      </c>
      <c r="AB1283" s="123">
        <v>30.129530934086315</v>
      </c>
      <c r="AC1283" s="123">
        <v>30.160288073165827</v>
      </c>
      <c r="AD1283" s="123">
        <v>30.190880930559242</v>
      </c>
      <c r="AE1283" s="123">
        <v>30.221304184068867</v>
      </c>
      <c r="AF1283" s="123">
        <v>30.251552659685643</v>
      </c>
      <c r="AG1283" s="123">
        <v>30.281621333637428</v>
      </c>
      <c r="AH1283" s="123">
        <v>30.311505334210587</v>
      </c>
      <c r="AI1283" s="123">
        <v>30.341199943346847</v>
      </c>
      <c r="AJ1283" s="123">
        <v>30.370700598017997</v>
      </c>
      <c r="AK1283" s="123">
        <v>30.400002891381224</v>
      </c>
      <c r="AL1283" s="123">
        <v>30.429102573718502</v>
      </c>
      <c r="AM1283" s="123">
        <v>30.457995553163755</v>
      </c>
      <c r="AN1283" s="123">
        <v>30.486677896221803</v>
      </c>
      <c r="AO1283" s="123">
        <v>30.515145828083632</v>
      </c>
      <c r="AP1283" s="123">
        <v>30.543395732742649</v>
      </c>
      <c r="AQ1283" s="123">
        <v>30.571424152917029</v>
      </c>
      <c r="AR1283" s="123">
        <v>30.599227789783448</v>
      </c>
      <c r="AS1283" s="123">
        <v>30.626803502527792</v>
      </c>
      <c r="AT1283" s="123">
        <v>30.654148307718657</v>
      </c>
      <c r="AU1283" s="123">
        <v>30.681259378509544</v>
      </c>
      <c r="AV1283" s="123">
        <v>30.708134043676036</v>
      </c>
      <c r="AW1283" s="123">
        <v>30.73476978649423</v>
      </c>
      <c r="AX1283" s="124">
        <v>30.761164243466848</v>
      </c>
    </row>
    <row r="1284" spans="1:50" x14ac:dyDescent="0.25">
      <c r="A1284" s="356"/>
      <c r="B1284" s="359"/>
      <c r="C1284" s="350"/>
      <c r="D1284" s="2" t="s">
        <v>8</v>
      </c>
      <c r="E1284" s="160" t="str">
        <f>A1253&amp;"/"&amp;B1279&amp;"/"&amp;C1283&amp;"/"&amp;D1284</f>
        <v>Coal fired power plants/Steam turbine/CHP/M</v>
      </c>
      <c r="F1284" s="76" t="str">
        <f>A1253</f>
        <v>Coal fired power plants</v>
      </c>
      <c r="G1284" s="76" t="str">
        <f>B1279</f>
        <v>Steam turbine</v>
      </c>
      <c r="H1284" s="76" t="str">
        <f>C1283</f>
        <v>CHP</v>
      </c>
      <c r="I1284" s="161" t="str">
        <f t="shared" si="98"/>
        <v>M</v>
      </c>
      <c r="J1284" s="119">
        <v>31.427272500000008</v>
      </c>
      <c r="K1284" s="119">
        <v>31.45062197394153</v>
      </c>
      <c r="L1284" s="119">
        <v>31.473879911617306</v>
      </c>
      <c r="M1284" s="119">
        <v>31.497041805775279</v>
      </c>
      <c r="N1284" s="119">
        <v>31.520103238962186</v>
      </c>
      <c r="O1284" s="119">
        <v>31.543059886164301</v>
      </c>
      <c r="P1284" s="119">
        <v>31.565907517291787</v>
      </c>
      <c r="Q1284" s="119">
        <v>31.588641999505128</v>
      </c>
      <c r="R1284" s="119">
        <v>31.611259299382532</v>
      </c>
      <c r="S1284" s="119">
        <v>31.633755484927608</v>
      </c>
      <c r="T1284" s="119">
        <v>31.656126727416961</v>
      </c>
      <c r="U1284" s="119">
        <v>31.678369303087788</v>
      </c>
      <c r="V1284" s="119">
        <v>31.700479594665804</v>
      </c>
      <c r="W1284" s="119">
        <v>31.72245409273431</v>
      </c>
      <c r="X1284" s="119">
        <v>31.744289396945504</v>
      </c>
      <c r="Y1284" s="119">
        <v>31.76598221707539</v>
      </c>
      <c r="Z1284" s="119">
        <v>31.787529373924091</v>
      </c>
      <c r="AA1284" s="119">
        <v>31.808927800063579</v>
      </c>
      <c r="AB1284" s="119">
        <v>31.830174540435106</v>
      </c>
      <c r="AC1284" s="119">
        <v>31.851266752798999</v>
      </c>
      <c r="AD1284" s="119">
        <v>31.872201708039594</v>
      </c>
      <c r="AE1284" s="119">
        <v>31.892976790328429</v>
      </c>
      <c r="AF1284" s="119">
        <v>31.913589497149029</v>
      </c>
      <c r="AG1284" s="119">
        <v>31.934037439186689</v>
      </c>
      <c r="AH1284" s="119">
        <v>31.954318340087109</v>
      </c>
      <c r="AI1284" s="119">
        <v>31.974430036087622</v>
      </c>
      <c r="AJ1284" s="119">
        <v>31.994370475525109</v>
      </c>
      <c r="AK1284" s="119">
        <v>32.014137718224767</v>
      </c>
      <c r="AL1284" s="119">
        <v>32.033729934773994</v>
      </c>
      <c r="AM1284" s="119">
        <v>32.053145405685839</v>
      </c>
      <c r="AN1284" s="119">
        <v>32.072382520456429</v>
      </c>
      <c r="AO1284" s="119">
        <v>32.091439776521035</v>
      </c>
      <c r="AP1284" s="119">
        <v>32.110315778113311</v>
      </c>
      <c r="AQ1284" s="119">
        <v>32.129009235032491</v>
      </c>
      <c r="AR1284" s="119">
        <v>32.147518961323115</v>
      </c>
      <c r="AS1284" s="119">
        <v>32.16584387387212</v>
      </c>
      <c r="AT1284" s="119">
        <v>32.183982990927944</v>
      </c>
      <c r="AU1284" s="119">
        <v>32.201935430546477</v>
      </c>
      <c r="AV1284" s="119">
        <v>32.2197004089684</v>
      </c>
      <c r="AW1284" s="119">
        <v>32.237277238932727</v>
      </c>
      <c r="AX1284" s="120">
        <v>32.254665327931122</v>
      </c>
    </row>
    <row r="1285" spans="1:50" x14ac:dyDescent="0.25">
      <c r="A1285" s="356"/>
      <c r="B1285" s="359"/>
      <c r="C1285" s="350"/>
      <c r="D1285" s="2" t="s">
        <v>10</v>
      </c>
      <c r="E1285" s="160" t="str">
        <f>A1253&amp;"/"&amp;B1279&amp;"/"&amp;C1283&amp;"/"&amp;D1285</f>
        <v>Coal fired power plants/Steam turbine/CHP/S</v>
      </c>
      <c r="F1285" s="76" t="str">
        <f>A1253</f>
        <v>Coal fired power plants</v>
      </c>
      <c r="G1285" s="76" t="str">
        <f>B1279</f>
        <v>Steam turbine</v>
      </c>
      <c r="H1285" s="76" t="str">
        <f>C1283</f>
        <v>CHP</v>
      </c>
      <c r="I1285" s="161" t="str">
        <f t="shared" si="98"/>
        <v>S</v>
      </c>
      <c r="J1285" s="119">
        <v>39.826144085000003</v>
      </c>
      <c r="K1285" s="119">
        <v>39.844194028126019</v>
      </c>
      <c r="L1285" s="119">
        <v>39.862126150791745</v>
      </c>
      <c r="M1285" s="119">
        <v>39.879937875984709</v>
      </c>
      <c r="N1285" s="119">
        <v>39.897626716236225</v>
      </c>
      <c r="O1285" s="119">
        <v>39.915190274155869</v>
      </c>
      <c r="P1285" s="119">
        <v>39.932626242848045</v>
      </c>
      <c r="Q1285" s="119">
        <v>39.949932406212966</v>
      </c>
      <c r="R1285" s="119">
        <v>39.967106639134052</v>
      </c>
      <c r="S1285" s="119">
        <v>39.984146907554354</v>
      </c>
      <c r="T1285" s="119">
        <v>40.001051268444492</v>
      </c>
      <c r="U1285" s="119">
        <v>40.017817869664967</v>
      </c>
      <c r="V1285" s="119">
        <v>40.034444949725717</v>
      </c>
      <c r="W1285" s="119">
        <v>40.050930837445975</v>
      </c>
      <c r="X1285" s="119">
        <v>40.067273951517556</v>
      </c>
      <c r="Y1285" s="119">
        <v>40.083472799974984</v>
      </c>
      <c r="Z1285" s="119">
        <v>40.099525979575631</v>
      </c>
      <c r="AA1285" s="119">
        <v>40.115432175093552</v>
      </c>
      <c r="AB1285" s="119">
        <v>40.131190158530401</v>
      </c>
      <c r="AC1285" s="119">
        <v>40.146798788246947</v>
      </c>
      <c r="AD1285" s="119">
        <v>40.162257008019154</v>
      </c>
      <c r="AE1285" s="119">
        <v>40.177563846022082</v>
      </c>
      <c r="AF1285" s="119">
        <v>40.192718413745617</v>
      </c>
      <c r="AG1285" s="119">
        <v>40.207719904845582</v>
      </c>
      <c r="AH1285" s="119">
        <v>40.222567593934052</v>
      </c>
      <c r="AI1285" s="119">
        <v>40.237260835312512</v>
      </c>
      <c r="AJ1285" s="119">
        <v>40.25179906165156</v>
      </c>
      <c r="AK1285" s="119">
        <v>40.266181782620869</v>
      </c>
      <c r="AL1285" s="119">
        <v>40.280408583473083</v>
      </c>
      <c r="AM1285" s="119">
        <v>40.29447912358512</v>
      </c>
      <c r="AN1285" s="119">
        <v>40.308393134960568</v>
      </c>
      <c r="AO1285" s="119">
        <v>40.322150420696595</v>
      </c>
      <c r="AP1285" s="119">
        <v>40.335750853418865</v>
      </c>
      <c r="AQ1285" s="119">
        <v>40.349194373687816</v>
      </c>
      <c r="AR1285" s="119">
        <v>40.362480988379552</v>
      </c>
      <c r="AS1285" s="119">
        <v>40.37561076904462</v>
      </c>
      <c r="AT1285" s="119">
        <v>40.388583850247834</v>
      </c>
      <c r="AU1285" s="119">
        <v>40.401400427892149</v>
      </c>
      <c r="AV1285" s="119">
        <v>40.414060757529519</v>
      </c>
      <c r="AW1285" s="119">
        <v>40.426565152661695</v>
      </c>
      <c r="AX1285" s="120">
        <v>40.438913983033714</v>
      </c>
    </row>
    <row r="1286" spans="1:50" x14ac:dyDescent="0.25">
      <c r="A1286" s="356"/>
      <c r="B1286" s="359"/>
      <c r="C1286" s="360"/>
      <c r="D1286" s="59" t="s">
        <v>20</v>
      </c>
      <c r="E1286" s="166" t="str">
        <f>A1253&amp;"/"&amp;B1279&amp;"/"&amp;C1283&amp;"/"&amp;D1286</f>
        <v>Coal fired power plants/Steam turbine/CHP/XS</v>
      </c>
      <c r="F1286" s="79" t="str">
        <f>A1253</f>
        <v>Coal fired power plants</v>
      </c>
      <c r="G1286" s="79" t="str">
        <f>B1279</f>
        <v>Steam turbine</v>
      </c>
      <c r="H1286" s="79" t="str">
        <f>C1283</f>
        <v>CHP</v>
      </c>
      <c r="I1286" s="167" t="str">
        <f t="shared" si="98"/>
        <v>XS</v>
      </c>
      <c r="J1286" s="125">
        <v>40.456644085000001</v>
      </c>
      <c r="K1286" s="125">
        <v>40.470740031472417</v>
      </c>
      <c r="L1286" s="125">
        <v>40.484704537450277</v>
      </c>
      <c r="M1286" s="125">
        <v>40.498536617049282</v>
      </c>
      <c r="N1286" s="125">
        <v>40.512235358480105</v>
      </c>
      <c r="O1286" s="125">
        <v>40.525799923193794</v>
      </c>
      <c r="P1286" s="125">
        <v>40.539229544967341</v>
      </c>
      <c r="Q1286" s="125">
        <v>40.552523528932781</v>
      </c>
      <c r="R1286" s="125">
        <v>40.56568125055275</v>
      </c>
      <c r="S1286" s="125">
        <v>40.578702154545731</v>
      </c>
      <c r="T1286" s="125">
        <v>40.591585753764221</v>
      </c>
      <c r="U1286" s="125">
        <v>40.604331628028781</v>
      </c>
      <c r="V1286" s="125">
        <v>40.616939422921206</v>
      </c>
      <c r="W1286" s="125">
        <v>40.629408848539867</v>
      </c>
      <c r="X1286" s="125">
        <v>40.641739678220183</v>
      </c>
      <c r="Y1286" s="125">
        <v>40.65393174722341</v>
      </c>
      <c r="Z1286" s="125">
        <v>40.665984951396432</v>
      </c>
      <c r="AA1286" s="125">
        <v>40.677899245805804</v>
      </c>
      <c r="AB1286" s="125">
        <v>40.689674643348468</v>
      </c>
      <c r="AC1286" s="125">
        <v>40.701311213342365</v>
      </c>
      <c r="AD1286" s="125">
        <v>40.712809080099284</v>
      </c>
      <c r="AE1286" s="125">
        <v>40.724168421482865</v>
      </c>
      <c r="AF1286" s="125">
        <v>40.735389467454141</v>
      </c>
      <c r="AG1286" s="125">
        <v>40.746472498607169</v>
      </c>
      <c r="AH1286" s="125">
        <v>40.757417844697294</v>
      </c>
      <c r="AI1286" s="125">
        <v>40.768225883164128</v>
      </c>
      <c r="AJ1286" s="125">
        <v>40.778897037651689</v>
      </c>
      <c r="AK1286" s="125">
        <v>40.789431776527827</v>
      </c>
      <c r="AL1286" s="125">
        <v>40.799830611404936</v>
      </c>
      <c r="AM1286" s="125">
        <v>40.810094095664041</v>
      </c>
      <c r="AN1286" s="125">
        <v>40.820222822984071</v>
      </c>
      <c r="AO1286" s="125">
        <v>40.830217425878239</v>
      </c>
      <c r="AP1286" s="125">
        <v>40.840078574239115</v>
      </c>
      <c r="AQ1286" s="125">
        <v>40.849806973894196</v>
      </c>
      <c r="AR1286" s="125">
        <v>40.859403365173321</v>
      </c>
      <c r="AS1286" s="125">
        <v>40.868868521489652</v>
      </c>
      <c r="AT1286" s="125">
        <v>40.878203247935282</v>
      </c>
      <c r="AU1286" s="125">
        <v>40.887408379893081</v>
      </c>
      <c r="AV1286" s="125">
        <v>40.896484781665741</v>
      </c>
      <c r="AW1286" s="125">
        <v>40.905433345123249</v>
      </c>
      <c r="AX1286" s="126">
        <v>40.91425498836989</v>
      </c>
    </row>
    <row r="1287" spans="1:50" x14ac:dyDescent="0.25">
      <c r="A1287" s="356"/>
      <c r="B1287" s="359"/>
      <c r="C1287" s="361" t="s">
        <v>15</v>
      </c>
      <c r="D1287" s="58" t="s">
        <v>7</v>
      </c>
      <c r="E1287" s="164" t="str">
        <f>A1253&amp;"/"&amp;B1279&amp;"/"&amp;C1287&amp;"/"&amp;D1287</f>
        <v>Coal fired power plants/Steam turbine/Electricity only with CCS/L</v>
      </c>
      <c r="F1287" s="78" t="str">
        <f>A1253</f>
        <v>Coal fired power plants</v>
      </c>
      <c r="G1287" s="78" t="str">
        <f>B1279</f>
        <v>Steam turbine</v>
      </c>
      <c r="H1287" s="78" t="str">
        <f>C1287</f>
        <v>Electricity only with CCS</v>
      </c>
      <c r="I1287" s="165" t="str">
        <f t="shared" si="98"/>
        <v>L</v>
      </c>
      <c r="J1287" s="123" t="s">
        <v>112</v>
      </c>
      <c r="K1287" s="123" t="s">
        <v>112</v>
      </c>
      <c r="L1287" s="123" t="s">
        <v>112</v>
      </c>
      <c r="M1287" s="123" t="s">
        <v>112</v>
      </c>
      <c r="N1287" s="123" t="s">
        <v>112</v>
      </c>
      <c r="O1287" s="123" t="s">
        <v>112</v>
      </c>
      <c r="P1287" s="123" t="s">
        <v>112</v>
      </c>
      <c r="Q1287" s="123" t="s">
        <v>112</v>
      </c>
      <c r="R1287" s="123" t="s">
        <v>112</v>
      </c>
      <c r="S1287" s="123" t="s">
        <v>112</v>
      </c>
      <c r="T1287" s="123" t="s">
        <v>112</v>
      </c>
      <c r="U1287" s="123" t="s">
        <v>112</v>
      </c>
      <c r="V1287" s="123" t="s">
        <v>112</v>
      </c>
      <c r="W1287" s="123" t="s">
        <v>112</v>
      </c>
      <c r="X1287" s="123" t="s">
        <v>112</v>
      </c>
      <c r="Y1287" s="123" t="s">
        <v>112</v>
      </c>
      <c r="Z1287" s="123" t="s">
        <v>112</v>
      </c>
      <c r="AA1287" s="123" t="s">
        <v>112</v>
      </c>
      <c r="AB1287" s="123" t="s">
        <v>112</v>
      </c>
      <c r="AC1287" s="123" t="s">
        <v>112</v>
      </c>
      <c r="AD1287" s="123" t="s">
        <v>112</v>
      </c>
      <c r="AE1287" s="123">
        <v>54.476296875000003</v>
      </c>
      <c r="AF1287" s="123">
        <v>54.476296875000003</v>
      </c>
      <c r="AG1287" s="123">
        <v>54.476296875000003</v>
      </c>
      <c r="AH1287" s="123">
        <v>54.476296875000003</v>
      </c>
      <c r="AI1287" s="123">
        <v>54.476296875000003</v>
      </c>
      <c r="AJ1287" s="123">
        <v>54.476296875000003</v>
      </c>
      <c r="AK1287" s="123">
        <v>54.476296875000003</v>
      </c>
      <c r="AL1287" s="123">
        <v>54.476296875000003</v>
      </c>
      <c r="AM1287" s="123">
        <v>54.476296875000003</v>
      </c>
      <c r="AN1287" s="123">
        <v>54.476296875000003</v>
      </c>
      <c r="AO1287" s="123">
        <v>54.476296875000003</v>
      </c>
      <c r="AP1287" s="123">
        <v>54.476296875000003</v>
      </c>
      <c r="AQ1287" s="123">
        <v>54.476296875000003</v>
      </c>
      <c r="AR1287" s="123">
        <v>54.476296875000003</v>
      </c>
      <c r="AS1287" s="123">
        <v>54.476296875000003</v>
      </c>
      <c r="AT1287" s="123">
        <v>54.476296875000003</v>
      </c>
      <c r="AU1287" s="123">
        <v>54.476296875000003</v>
      </c>
      <c r="AV1287" s="123">
        <v>54.476296875000003</v>
      </c>
      <c r="AW1287" s="123">
        <v>54.476296875000003</v>
      </c>
      <c r="AX1287" s="124">
        <v>54.476296875000003</v>
      </c>
    </row>
    <row r="1288" spans="1:50" x14ac:dyDescent="0.25">
      <c r="A1288" s="356"/>
      <c r="B1288" s="359"/>
      <c r="C1288" s="360"/>
      <c r="D1288" s="59" t="s">
        <v>8</v>
      </c>
      <c r="E1288" s="166" t="str">
        <f>A1253&amp;"/"&amp;B1279&amp;"/"&amp;C1287&amp;"/"&amp;D1288</f>
        <v>Coal fired power plants/Steam turbine/Electricity only with CCS/M</v>
      </c>
      <c r="F1288" s="79" t="str">
        <f>A1253</f>
        <v>Coal fired power plants</v>
      </c>
      <c r="G1288" s="79" t="str">
        <f>B1279</f>
        <v>Steam turbine</v>
      </c>
      <c r="H1288" s="79" t="str">
        <f>C1287</f>
        <v>Electricity only with CCS</v>
      </c>
      <c r="I1288" s="167" t="str">
        <f t="shared" si="98"/>
        <v>M</v>
      </c>
      <c r="J1288" s="125" t="s">
        <v>112</v>
      </c>
      <c r="K1288" s="125" t="s">
        <v>112</v>
      </c>
      <c r="L1288" s="125" t="s">
        <v>112</v>
      </c>
      <c r="M1288" s="125" t="s">
        <v>112</v>
      </c>
      <c r="N1288" s="125" t="s">
        <v>112</v>
      </c>
      <c r="O1288" s="125" t="s">
        <v>112</v>
      </c>
      <c r="P1288" s="125" t="s">
        <v>112</v>
      </c>
      <c r="Q1288" s="125" t="s">
        <v>112</v>
      </c>
      <c r="R1288" s="125" t="s">
        <v>112</v>
      </c>
      <c r="S1288" s="125" t="s">
        <v>112</v>
      </c>
      <c r="T1288" s="125" t="s">
        <v>112</v>
      </c>
      <c r="U1288" s="125" t="s">
        <v>112</v>
      </c>
      <c r="V1288" s="125" t="s">
        <v>112</v>
      </c>
      <c r="W1288" s="125" t="s">
        <v>112</v>
      </c>
      <c r="X1288" s="125" t="s">
        <v>112</v>
      </c>
      <c r="Y1288" s="125" t="s">
        <v>112</v>
      </c>
      <c r="Z1288" s="125" t="s">
        <v>112</v>
      </c>
      <c r="AA1288" s="125" t="s">
        <v>112</v>
      </c>
      <c r="AB1288" s="125" t="s">
        <v>112</v>
      </c>
      <c r="AC1288" s="125" t="s">
        <v>112</v>
      </c>
      <c r="AD1288" s="125" t="s">
        <v>112</v>
      </c>
      <c r="AE1288" s="125">
        <v>62.587596093750001</v>
      </c>
      <c r="AF1288" s="125">
        <v>62.587596093750001</v>
      </c>
      <c r="AG1288" s="125">
        <v>62.587596093750001</v>
      </c>
      <c r="AH1288" s="125">
        <v>62.587596093750001</v>
      </c>
      <c r="AI1288" s="125">
        <v>62.587596093750001</v>
      </c>
      <c r="AJ1288" s="125">
        <v>62.587596093750001</v>
      </c>
      <c r="AK1288" s="125">
        <v>62.587596093750001</v>
      </c>
      <c r="AL1288" s="125">
        <v>62.587596093750001</v>
      </c>
      <c r="AM1288" s="125">
        <v>62.587596093750001</v>
      </c>
      <c r="AN1288" s="125">
        <v>62.587596093750001</v>
      </c>
      <c r="AO1288" s="125">
        <v>62.587596093750001</v>
      </c>
      <c r="AP1288" s="125">
        <v>62.587596093750001</v>
      </c>
      <c r="AQ1288" s="125">
        <v>62.587596093750001</v>
      </c>
      <c r="AR1288" s="125">
        <v>62.587596093750001</v>
      </c>
      <c r="AS1288" s="125">
        <v>62.587596093750001</v>
      </c>
      <c r="AT1288" s="125">
        <v>62.587596093750001</v>
      </c>
      <c r="AU1288" s="125">
        <v>62.587596093750001</v>
      </c>
      <c r="AV1288" s="125">
        <v>62.587596093750001</v>
      </c>
      <c r="AW1288" s="125">
        <v>62.587596093750001</v>
      </c>
      <c r="AX1288" s="126">
        <v>62.587596093750001</v>
      </c>
    </row>
    <row r="1289" spans="1:50" x14ac:dyDescent="0.25">
      <c r="A1289" s="356"/>
      <c r="B1289" s="359"/>
      <c r="C1289" s="361" t="s">
        <v>16</v>
      </c>
      <c r="D1289" s="2" t="s">
        <v>7</v>
      </c>
      <c r="E1289" s="160" t="str">
        <f>A1253&amp;"/"&amp;B1279&amp;"/"&amp;C1289&amp;"/"&amp;D1289</f>
        <v>Coal fired power plants/Steam turbine/CHP with CCS/L</v>
      </c>
      <c r="F1289" s="76" t="str">
        <f>A1253</f>
        <v>Coal fired power plants</v>
      </c>
      <c r="G1289" s="76" t="str">
        <f>B1279</f>
        <v>Steam turbine</v>
      </c>
      <c r="H1289" s="76" t="str">
        <f>C1289</f>
        <v>CHP with CCS</v>
      </c>
      <c r="I1289" s="161" t="str">
        <f t="shared" si="98"/>
        <v>L</v>
      </c>
      <c r="J1289" s="119" t="s">
        <v>112</v>
      </c>
      <c r="K1289" s="119" t="s">
        <v>112</v>
      </c>
      <c r="L1289" s="119" t="s">
        <v>112</v>
      </c>
      <c r="M1289" s="119" t="s">
        <v>112</v>
      </c>
      <c r="N1289" s="119" t="s">
        <v>112</v>
      </c>
      <c r="O1289" s="119" t="s">
        <v>112</v>
      </c>
      <c r="P1289" s="119" t="s">
        <v>112</v>
      </c>
      <c r="Q1289" s="119" t="s">
        <v>112</v>
      </c>
      <c r="R1289" s="119" t="s">
        <v>112</v>
      </c>
      <c r="S1289" s="119" t="s">
        <v>112</v>
      </c>
      <c r="T1289" s="119" t="s">
        <v>112</v>
      </c>
      <c r="U1289" s="119" t="s">
        <v>112</v>
      </c>
      <c r="V1289" s="119" t="s">
        <v>112</v>
      </c>
      <c r="W1289" s="119" t="s">
        <v>112</v>
      </c>
      <c r="X1289" s="119" t="s">
        <v>112</v>
      </c>
      <c r="Y1289" s="119" t="s">
        <v>112</v>
      </c>
      <c r="Z1289" s="119" t="s">
        <v>112</v>
      </c>
      <c r="AA1289" s="119" t="s">
        <v>112</v>
      </c>
      <c r="AB1289" s="119" t="s">
        <v>112</v>
      </c>
      <c r="AC1289" s="119" t="s">
        <v>112</v>
      </c>
      <c r="AD1289" s="119" t="s">
        <v>112</v>
      </c>
      <c r="AE1289" s="119">
        <v>59.296751718749995</v>
      </c>
      <c r="AF1289" s="119">
        <v>59.296751718749995</v>
      </c>
      <c r="AG1289" s="119">
        <v>59.296751718749995</v>
      </c>
      <c r="AH1289" s="119">
        <v>59.296751718749995</v>
      </c>
      <c r="AI1289" s="119">
        <v>59.296751718749995</v>
      </c>
      <c r="AJ1289" s="119">
        <v>59.296751718749995</v>
      </c>
      <c r="AK1289" s="119">
        <v>59.296751718749995</v>
      </c>
      <c r="AL1289" s="119">
        <v>59.296751718749995</v>
      </c>
      <c r="AM1289" s="119">
        <v>59.296751718749995</v>
      </c>
      <c r="AN1289" s="119">
        <v>59.296751718749995</v>
      </c>
      <c r="AO1289" s="119">
        <v>59.296751718749995</v>
      </c>
      <c r="AP1289" s="119">
        <v>59.296751718749995</v>
      </c>
      <c r="AQ1289" s="119">
        <v>59.296751718749995</v>
      </c>
      <c r="AR1289" s="119">
        <v>59.296751718749995</v>
      </c>
      <c r="AS1289" s="119">
        <v>59.296751718749995</v>
      </c>
      <c r="AT1289" s="119">
        <v>59.296751718749995</v>
      </c>
      <c r="AU1289" s="119">
        <v>59.296751718749995</v>
      </c>
      <c r="AV1289" s="119">
        <v>59.296751718749995</v>
      </c>
      <c r="AW1289" s="119">
        <v>59.296751718749995</v>
      </c>
      <c r="AX1289" s="120">
        <v>59.296751718749995</v>
      </c>
    </row>
    <row r="1290" spans="1:50" x14ac:dyDescent="0.25">
      <c r="A1290" s="357"/>
      <c r="B1290" s="362"/>
      <c r="C1290" s="354"/>
      <c r="D1290" s="4" t="s">
        <v>8</v>
      </c>
      <c r="E1290" s="168" t="str">
        <f>A1253&amp;"/"&amp;B1279&amp;"/"&amp;C1289&amp;"/"&amp;D1290</f>
        <v>Coal fired power plants/Steam turbine/CHP with CCS/M</v>
      </c>
      <c r="F1290" s="80" t="str">
        <f>A1253</f>
        <v>Coal fired power plants</v>
      </c>
      <c r="G1290" s="80" t="str">
        <f>B1279</f>
        <v>Steam turbine</v>
      </c>
      <c r="H1290" s="80" t="str">
        <f>C1289</f>
        <v>CHP with CCS</v>
      </c>
      <c r="I1290" s="169" t="str">
        <f t="shared" si="98"/>
        <v>M</v>
      </c>
      <c r="J1290" s="127" t="s">
        <v>112</v>
      </c>
      <c r="K1290" s="127" t="s">
        <v>112</v>
      </c>
      <c r="L1290" s="127" t="s">
        <v>112</v>
      </c>
      <c r="M1290" s="127" t="s">
        <v>112</v>
      </c>
      <c r="N1290" s="127" t="s">
        <v>112</v>
      </c>
      <c r="O1290" s="127" t="s">
        <v>112</v>
      </c>
      <c r="P1290" s="127" t="s">
        <v>112</v>
      </c>
      <c r="Q1290" s="127" t="s">
        <v>112</v>
      </c>
      <c r="R1290" s="127" t="s">
        <v>112</v>
      </c>
      <c r="S1290" s="127" t="s">
        <v>112</v>
      </c>
      <c r="T1290" s="127" t="s">
        <v>112</v>
      </c>
      <c r="U1290" s="127" t="s">
        <v>112</v>
      </c>
      <c r="V1290" s="127" t="s">
        <v>112</v>
      </c>
      <c r="W1290" s="127" t="s">
        <v>112</v>
      </c>
      <c r="X1290" s="127" t="s">
        <v>112</v>
      </c>
      <c r="Y1290" s="127" t="s">
        <v>112</v>
      </c>
      <c r="Z1290" s="127" t="s">
        <v>112</v>
      </c>
      <c r="AA1290" s="127" t="s">
        <v>112</v>
      </c>
      <c r="AB1290" s="127" t="s">
        <v>112</v>
      </c>
      <c r="AC1290" s="127" t="s">
        <v>112</v>
      </c>
      <c r="AD1290" s="127" t="s">
        <v>112</v>
      </c>
      <c r="AE1290" s="127">
        <v>67.16471196093751</v>
      </c>
      <c r="AF1290" s="127">
        <v>67.16471196093751</v>
      </c>
      <c r="AG1290" s="127">
        <v>67.16471196093751</v>
      </c>
      <c r="AH1290" s="127">
        <v>67.16471196093751</v>
      </c>
      <c r="AI1290" s="127">
        <v>67.16471196093751</v>
      </c>
      <c r="AJ1290" s="127">
        <v>67.16471196093751</v>
      </c>
      <c r="AK1290" s="127">
        <v>67.16471196093751</v>
      </c>
      <c r="AL1290" s="127">
        <v>67.16471196093751</v>
      </c>
      <c r="AM1290" s="127">
        <v>67.16471196093751</v>
      </c>
      <c r="AN1290" s="127">
        <v>67.16471196093751</v>
      </c>
      <c r="AO1290" s="127">
        <v>67.16471196093751</v>
      </c>
      <c r="AP1290" s="127">
        <v>67.16471196093751</v>
      </c>
      <c r="AQ1290" s="127">
        <v>67.16471196093751</v>
      </c>
      <c r="AR1290" s="127">
        <v>67.16471196093751</v>
      </c>
      <c r="AS1290" s="127">
        <v>67.16471196093751</v>
      </c>
      <c r="AT1290" s="127">
        <v>67.16471196093751</v>
      </c>
      <c r="AU1290" s="127">
        <v>67.16471196093751</v>
      </c>
      <c r="AV1290" s="127">
        <v>67.16471196093751</v>
      </c>
      <c r="AW1290" s="127">
        <v>67.16471196093751</v>
      </c>
      <c r="AX1290" s="128">
        <v>67.16471196093751</v>
      </c>
    </row>
    <row r="1291" spans="1:50" x14ac:dyDescent="0.25">
      <c r="A1291" s="355" t="s">
        <v>21</v>
      </c>
      <c r="B1291" s="358" t="s">
        <v>13</v>
      </c>
      <c r="C1291" s="353" t="s">
        <v>6</v>
      </c>
      <c r="D1291" s="3" t="s">
        <v>7</v>
      </c>
      <c r="E1291" s="162" t="str">
        <f>A1291&amp;"/"&amp;B1291&amp;"/"&amp;C1291&amp;"/"&amp;D1291</f>
        <v>Lignite fired power plants/Integrated gasification combined cycle/Electricity only/L</v>
      </c>
      <c r="F1291" s="77" t="str">
        <f>A1291</f>
        <v>Lignite fired power plants</v>
      </c>
      <c r="G1291" s="77" t="str">
        <f>B1291</f>
        <v>Integrated gasification combined cycle</v>
      </c>
      <c r="H1291" s="77" t="str">
        <f>C1291</f>
        <v>Electricity only</v>
      </c>
      <c r="I1291" s="163" t="str">
        <f t="shared" si="98"/>
        <v>L</v>
      </c>
      <c r="J1291" s="121">
        <v>67.540540540540547</v>
      </c>
      <c r="K1291" s="121">
        <v>67.540031801712942</v>
      </c>
      <c r="L1291" s="121">
        <v>67.539378600236503</v>
      </c>
      <c r="M1291" s="121">
        <v>67.538539925872684</v>
      </c>
      <c r="N1291" s="121">
        <v>67.537463133938161</v>
      </c>
      <c r="O1291" s="121">
        <v>67.536080649582928</v>
      </c>
      <c r="P1291" s="121">
        <v>67.534305741674046</v>
      </c>
      <c r="Q1291" s="121">
        <v>67.532027105704486</v>
      </c>
      <c r="R1291" s="121">
        <v>67.52910192351105</v>
      </c>
      <c r="S1291" s="121">
        <v>67.52534697713952</v>
      </c>
      <c r="T1291" s="121">
        <v>67.520527280578051</v>
      </c>
      <c r="U1291" s="121">
        <v>67.514341551331441</v>
      </c>
      <c r="V1291" s="121">
        <v>67.506403668579466</v>
      </c>
      <c r="W1291" s="121">
        <v>67.496219050759251</v>
      </c>
      <c r="X1291" s="121">
        <v>67.483154628874672</v>
      </c>
      <c r="Y1291" s="121">
        <v>67.46640079193935</v>
      </c>
      <c r="Z1291" s="121">
        <v>67.444923343757935</v>
      </c>
      <c r="AA1291" s="121">
        <v>67.417403154581351</v>
      </c>
      <c r="AB1291" s="121">
        <v>67.382160858558265</v>
      </c>
      <c r="AC1291" s="121">
        <v>67.337063718342648</v>
      </c>
      <c r="AD1291" s="121">
        <v>67.279411794539755</v>
      </c>
      <c r="AE1291" s="121">
        <v>67.205801061550019</v>
      </c>
      <c r="AF1291" s="121">
        <v>67.11196249343223</v>
      </c>
      <c r="AG1291" s="121">
        <v>66.992579006653287</v>
      </c>
      <c r="AH1291" s="121">
        <v>66.841087372865303</v>
      </c>
      <c r="AI1291" s="121">
        <v>66.649481002772092</v>
      </c>
      <c r="AJ1291" s="121">
        <v>66.408143302476034</v>
      </c>
      <c r="AK1291" s="121">
        <v>66.105761505110365</v>
      </c>
      <c r="AL1291" s="121">
        <v>65.729397995888974</v>
      </c>
      <c r="AM1291" s="121">
        <v>65.264828158740386</v>
      </c>
      <c r="AN1291" s="121">
        <v>64.697283342428719</v>
      </c>
      <c r="AO1291" s="121">
        <v>64.012748355554649</v>
      </c>
      <c r="AP1291" s="121">
        <v>63.199926855171036</v>
      </c>
      <c r="AQ1291" s="121">
        <v>62.252867856253744</v>
      </c>
      <c r="AR1291" s="121">
        <v>61.174011670609026</v>
      </c>
      <c r="AS1291" s="121">
        <v>59.977074808729157</v>
      </c>
      <c r="AT1291" s="121">
        <v>58.688850144752045</v>
      </c>
      <c r="AU1291" s="121">
        <v>57.348859396783546</v>
      </c>
      <c r="AV1291" s="121">
        <v>56.006107235816962</v>
      </c>
      <c r="AW1291" s="121">
        <v>54.713046732257247</v>
      </c>
      <c r="AX1291" s="122">
        <v>53.518014241741355</v>
      </c>
    </row>
    <row r="1292" spans="1:50" x14ac:dyDescent="0.25">
      <c r="A1292" s="356"/>
      <c r="B1292" s="359"/>
      <c r="C1292" s="360"/>
      <c r="D1292" s="2" t="s">
        <v>8</v>
      </c>
      <c r="E1292" s="160" t="str">
        <f>A1291&amp;"/"&amp;B1291&amp;"/"&amp;C1291&amp;"/"&amp;D1292</f>
        <v>Lignite fired power plants/Integrated gasification combined cycle/Electricity only/M</v>
      </c>
      <c r="F1292" s="76" t="str">
        <f>A1291</f>
        <v>Lignite fired power plants</v>
      </c>
      <c r="G1292" s="76" t="str">
        <f>B1291</f>
        <v>Integrated gasification combined cycle</v>
      </c>
      <c r="H1292" s="76" t="str">
        <f>C1291</f>
        <v>Electricity only</v>
      </c>
      <c r="I1292" s="161" t="str">
        <f t="shared" si="98"/>
        <v>M</v>
      </c>
      <c r="J1292" s="119">
        <v>72.606081081081086</v>
      </c>
      <c r="K1292" s="119">
        <v>72.603190730503087</v>
      </c>
      <c r="L1292" s="119">
        <v>72.599661205081475</v>
      </c>
      <c r="M1292" s="119">
        <v>72.595351361558698</v>
      </c>
      <c r="N1292" s="119">
        <v>72.59008898973444</v>
      </c>
      <c r="O1292" s="119">
        <v>72.583664023698148</v>
      </c>
      <c r="P1292" s="119">
        <v>72.575820293842398</v>
      </c>
      <c r="Q1292" s="119">
        <v>72.566245517972007</v>
      </c>
      <c r="R1292" s="119">
        <v>72.554559173412713</v>
      </c>
      <c r="S1292" s="119">
        <v>72.540297828116437</v>
      </c>
      <c r="T1292" s="119">
        <v>72.522897438065272</v>
      </c>
      <c r="U1292" s="119">
        <v>72.501672042742484</v>
      </c>
      <c r="V1292" s="119">
        <v>72.475788214018991</v>
      </c>
      <c r="W1292" s="119">
        <v>72.444234543552966</v>
      </c>
      <c r="X1292" s="119">
        <v>72.405785401480244</v>
      </c>
      <c r="Y1292" s="119">
        <v>72.358958183496043</v>
      </c>
      <c r="Z1292" s="119">
        <v>72.301963313157557</v>
      </c>
      <c r="AA1292" s="119">
        <v>72.232646424268353</v>
      </c>
      <c r="AB1292" s="119">
        <v>72.148422476744713</v>
      </c>
      <c r="AC1292" s="119">
        <v>72.046202145950119</v>
      </c>
      <c r="AD1292" s="119">
        <v>71.922311789122375</v>
      </c>
      <c r="AE1292" s="119">
        <v>71.772409788052371</v>
      </c>
      <c r="AF1292" s="119">
        <v>71.591404284144559</v>
      </c>
      <c r="AG1292" s="119">
        <v>71.373380471183921</v>
      </c>
      <c r="AH1292" s="119">
        <v>71.111549887644074</v>
      </c>
      <c r="AI1292" s="119">
        <v>70.798239656524004</v>
      </c>
      <c r="AJ1292" s="119">
        <v>70.424946227518603</v>
      </c>
      <c r="AK1292" s="119">
        <v>69.982485302657707</v>
      </c>
      <c r="AL1292" s="119">
        <v>69.461275930256164</v>
      </c>
      <c r="AM1292" s="119">
        <v>68.851799772953981</v>
      </c>
      <c r="AN1292" s="119">
        <v>68.14527244457318</v>
      </c>
      <c r="AO1292" s="119">
        <v>67.334547430405266</v>
      </c>
      <c r="AP1292" s="119">
        <v>66.415238966741825</v>
      </c>
      <c r="AQ1292" s="119">
        <v>65.386994815722872</v>
      </c>
      <c r="AR1292" s="119">
        <v>64.254775427965882</v>
      </c>
      <c r="AS1292" s="119">
        <v>63.029915381413822</v>
      </c>
      <c r="AT1292" s="119">
        <v>61.730682585234831</v>
      </c>
      <c r="AU1292" s="119">
        <v>60.382047389688509</v>
      </c>
      <c r="AV1292" s="119">
        <v>59.014461817532748</v>
      </c>
      <c r="AW1292" s="119">
        <v>57.661638648497991</v>
      </c>
      <c r="AX1292" s="120">
        <v>56.357576083099865</v>
      </c>
    </row>
    <row r="1293" spans="1:50" x14ac:dyDescent="0.25">
      <c r="A1293" s="356"/>
      <c r="B1293" s="359"/>
      <c r="C1293" s="361" t="s">
        <v>14</v>
      </c>
      <c r="D1293" s="58" t="s">
        <v>7</v>
      </c>
      <c r="E1293" s="164" t="str">
        <f>A1291&amp;"/"&amp;B1291&amp;"/"&amp;C1293&amp;"/"&amp;D1293</f>
        <v>Lignite fired power plants/Integrated gasification combined cycle/CHP/L</v>
      </c>
      <c r="F1293" s="78" t="str">
        <f>A1291</f>
        <v>Lignite fired power plants</v>
      </c>
      <c r="G1293" s="78" t="str">
        <f>B1291</f>
        <v>Integrated gasification combined cycle</v>
      </c>
      <c r="H1293" s="78" t="str">
        <f>C1293</f>
        <v>CHP</v>
      </c>
      <c r="I1293" s="165" t="str">
        <f t="shared" si="98"/>
        <v>L</v>
      </c>
      <c r="J1293" s="123" t="s">
        <v>112</v>
      </c>
      <c r="K1293" s="123" t="s">
        <v>112</v>
      </c>
      <c r="L1293" s="123" t="s">
        <v>112</v>
      </c>
      <c r="M1293" s="123" t="s">
        <v>112</v>
      </c>
      <c r="N1293" s="123" t="s">
        <v>112</v>
      </c>
      <c r="O1293" s="123" t="s">
        <v>112</v>
      </c>
      <c r="P1293" s="123" t="s">
        <v>112</v>
      </c>
      <c r="Q1293" s="123" t="s">
        <v>112</v>
      </c>
      <c r="R1293" s="123" t="s">
        <v>112</v>
      </c>
      <c r="S1293" s="123" t="s">
        <v>112</v>
      </c>
      <c r="T1293" s="123">
        <v>73.739029488102247</v>
      </c>
      <c r="U1293" s="123">
        <v>73.732756728831191</v>
      </c>
      <c r="V1293" s="123">
        <v>73.724707164157394</v>
      </c>
      <c r="W1293" s="123">
        <v>73.714379254010169</v>
      </c>
      <c r="X1293" s="123">
        <v>73.701131022438673</v>
      </c>
      <c r="Y1293" s="123">
        <v>73.684141467646981</v>
      </c>
      <c r="Z1293" s="123">
        <v>73.662361842831885</v>
      </c>
      <c r="AA1293" s="123">
        <v>73.634454458768218</v>
      </c>
      <c r="AB1293" s="123">
        <v>73.598716321792097</v>
      </c>
      <c r="AC1293" s="123">
        <v>73.552984688041519</v>
      </c>
      <c r="AD1293" s="123">
        <v>73.494521631365103</v>
      </c>
      <c r="AE1293" s="123">
        <v>73.4198752332764</v>
      </c>
      <c r="AF1293" s="123">
        <v>73.324716404837957</v>
      </c>
      <c r="AG1293" s="123">
        <v>73.203653253890081</v>
      </c>
      <c r="AH1293" s="123">
        <v>73.050030210842451</v>
      </c>
      <c r="AI1293" s="123">
        <v>72.855728037811431</v>
      </c>
      <c r="AJ1293" s="123">
        <v>72.61099484037635</v>
      </c>
      <c r="AK1293" s="123">
        <v>72.304358686867474</v>
      </c>
      <c r="AL1293" s="123">
        <v>71.922699936922328</v>
      </c>
      <c r="AM1293" s="123">
        <v>71.45159384144786</v>
      </c>
      <c r="AN1293" s="123">
        <v>70.876063961892129</v>
      </c>
      <c r="AO1293" s="123">
        <v>70.181897920331494</v>
      </c>
      <c r="AP1293" s="123">
        <v>69.357640440091899</v>
      </c>
      <c r="AQ1293" s="123">
        <v>68.397256808855047</v>
      </c>
      <c r="AR1293" s="123">
        <v>67.303221672357395</v>
      </c>
      <c r="AS1293" s="123">
        <v>66.089444525328972</v>
      </c>
      <c r="AT1293" s="123">
        <v>64.783095203846784</v>
      </c>
      <c r="AU1293" s="123">
        <v>63.42425147623424</v>
      </c>
      <c r="AV1293" s="123">
        <v>62.062607483965046</v>
      </c>
      <c r="AW1293" s="123">
        <v>60.751354285128087</v>
      </c>
      <c r="AX1293" s="124">
        <v>59.539508302987862</v>
      </c>
    </row>
    <row r="1294" spans="1:50" x14ac:dyDescent="0.25">
      <c r="A1294" s="356"/>
      <c r="B1294" s="359"/>
      <c r="C1294" s="360"/>
      <c r="D1294" s="59" t="s">
        <v>8</v>
      </c>
      <c r="E1294" s="166" t="str">
        <f>A1291&amp;"/"&amp;B1291&amp;"/"&amp;C1293&amp;"/"&amp;D1294</f>
        <v>Lignite fired power plants/Integrated gasification combined cycle/CHP/M</v>
      </c>
      <c r="F1294" s="79" t="str">
        <f>A1291</f>
        <v>Lignite fired power plants</v>
      </c>
      <c r="G1294" s="79" t="str">
        <f>B1291</f>
        <v>Integrated gasification combined cycle</v>
      </c>
      <c r="H1294" s="79" t="str">
        <f>C1293</f>
        <v>CHP</v>
      </c>
      <c r="I1294" s="167" t="str">
        <f t="shared" si="98"/>
        <v>M</v>
      </c>
      <c r="J1294" s="125" t="s">
        <v>112</v>
      </c>
      <c r="K1294" s="125" t="s">
        <v>112</v>
      </c>
      <c r="L1294" s="125" t="s">
        <v>112</v>
      </c>
      <c r="M1294" s="125" t="s">
        <v>112</v>
      </c>
      <c r="N1294" s="125" t="s">
        <v>112</v>
      </c>
      <c r="O1294" s="125" t="s">
        <v>112</v>
      </c>
      <c r="P1294" s="125" t="s">
        <v>112</v>
      </c>
      <c r="Q1294" s="125" t="s">
        <v>112</v>
      </c>
      <c r="R1294" s="125" t="s">
        <v>112</v>
      </c>
      <c r="S1294" s="125" t="s">
        <v>112</v>
      </c>
      <c r="T1294" s="125">
        <v>78.58822703320962</v>
      </c>
      <c r="U1294" s="125">
        <v>78.566621962246685</v>
      </c>
      <c r="V1294" s="125">
        <v>78.540275128755027</v>
      </c>
      <c r="W1294" s="125">
        <v>78.508157032522092</v>
      </c>
      <c r="X1294" s="125">
        <v>78.469020119861</v>
      </c>
      <c r="Y1294" s="125">
        <v>78.421355265936725</v>
      </c>
      <c r="Z1294" s="125">
        <v>78.363340882719825</v>
      </c>
      <c r="AA1294" s="125">
        <v>78.292784067140815</v>
      </c>
      <c r="AB1294" s="125">
        <v>78.207053538434309</v>
      </c>
      <c r="AC1294" s="125">
        <v>78.103004710740564</v>
      </c>
      <c r="AD1294" s="125">
        <v>77.976898227908009</v>
      </c>
      <c r="AE1294" s="125">
        <v>77.824314809726545</v>
      </c>
      <c r="AF1294" s="125">
        <v>77.640071515449137</v>
      </c>
      <c r="AG1294" s="125">
        <v>77.418147735986338</v>
      </c>
      <c r="AH1294" s="125">
        <v>77.151633579165292</v>
      </c>
      <c r="AI1294" s="125">
        <v>76.832718917090816</v>
      </c>
      <c r="AJ1294" s="125">
        <v>76.452748089645183</v>
      </c>
      <c r="AK1294" s="125">
        <v>76.002372511967039</v>
      </c>
      <c r="AL1294" s="125">
        <v>75.471839850217535</v>
      </c>
      <c r="AM1294" s="125">
        <v>74.851461504915477</v>
      </c>
      <c r="AN1294" s="125">
        <v>74.132295956534165</v>
      </c>
      <c r="AO1294" s="125">
        <v>73.30706885493467</v>
      </c>
      <c r="AP1294" s="125">
        <v>72.371315984741699</v>
      </c>
      <c r="AQ1294" s="125">
        <v>71.324678807334649</v>
      </c>
      <c r="AR1294" s="125">
        <v>70.172206504882752</v>
      </c>
      <c r="AS1294" s="125">
        <v>68.925436405999605</v>
      </c>
      <c r="AT1294" s="125">
        <v>67.602963192570755</v>
      </c>
      <c r="AU1294" s="125">
        <v>66.230203879503307</v>
      </c>
      <c r="AV1294" s="125">
        <v>64.83815520926747</v>
      </c>
      <c r="AW1294" s="125">
        <v>63.461133009076697</v>
      </c>
      <c r="AX1294" s="126">
        <v>62.133743632479757</v>
      </c>
    </row>
    <row r="1295" spans="1:50" x14ac:dyDescent="0.25">
      <c r="A1295" s="356"/>
      <c r="B1295" s="359"/>
      <c r="C1295" s="361" t="s">
        <v>15</v>
      </c>
      <c r="D1295" s="58" t="s">
        <v>7</v>
      </c>
      <c r="E1295" s="164" t="str">
        <f>A1291&amp;"/"&amp;B1291&amp;"/"&amp;C1295&amp;"/"&amp;D1295</f>
        <v>Lignite fired power plants/Integrated gasification combined cycle/Electricity only with CCS/L</v>
      </c>
      <c r="F1295" s="78" t="str">
        <f>A1291</f>
        <v>Lignite fired power plants</v>
      </c>
      <c r="G1295" s="78" t="str">
        <f>B1291</f>
        <v>Integrated gasification combined cycle</v>
      </c>
      <c r="H1295" s="78" t="str">
        <f>C1295</f>
        <v>Electricity only with CCS</v>
      </c>
      <c r="I1295" s="165" t="str">
        <f t="shared" si="98"/>
        <v>L</v>
      </c>
      <c r="J1295" s="123" t="s">
        <v>112</v>
      </c>
      <c r="K1295" s="123" t="s">
        <v>112</v>
      </c>
      <c r="L1295" s="123" t="s">
        <v>112</v>
      </c>
      <c r="M1295" s="123" t="s">
        <v>112</v>
      </c>
      <c r="N1295" s="123" t="s">
        <v>112</v>
      </c>
      <c r="O1295" s="123" t="s">
        <v>112</v>
      </c>
      <c r="P1295" s="123" t="s">
        <v>112</v>
      </c>
      <c r="Q1295" s="123" t="s">
        <v>112</v>
      </c>
      <c r="R1295" s="123" t="s">
        <v>112</v>
      </c>
      <c r="S1295" s="123" t="s">
        <v>112</v>
      </c>
      <c r="T1295" s="123" t="s">
        <v>112</v>
      </c>
      <c r="U1295" s="123" t="s">
        <v>112</v>
      </c>
      <c r="V1295" s="123" t="s">
        <v>112</v>
      </c>
      <c r="W1295" s="123" t="s">
        <v>112</v>
      </c>
      <c r="X1295" s="123" t="s">
        <v>112</v>
      </c>
      <c r="Y1295" s="123" t="s">
        <v>112</v>
      </c>
      <c r="Z1295" s="123" t="s">
        <v>112</v>
      </c>
      <c r="AA1295" s="123" t="s">
        <v>112</v>
      </c>
      <c r="AB1295" s="123" t="s">
        <v>112</v>
      </c>
      <c r="AC1295" s="123" t="s">
        <v>112</v>
      </c>
      <c r="AD1295" s="123" t="s">
        <v>112</v>
      </c>
      <c r="AE1295" s="123">
        <v>106.32881826363011</v>
      </c>
      <c r="AF1295" s="123">
        <v>106.31221422441429</v>
      </c>
      <c r="AG1295" s="123">
        <v>106.28982230942368</v>
      </c>
      <c r="AH1295" s="123">
        <v>106.25963494200749</v>
      </c>
      <c r="AI1295" s="123">
        <v>106.2189563626748</v>
      </c>
      <c r="AJ1295" s="123">
        <v>106.16417339591959</v>
      </c>
      <c r="AK1295" s="123">
        <v>106.0904553141531</v>
      </c>
      <c r="AL1295" s="123">
        <v>105.99136536886789</v>
      </c>
      <c r="AM1295" s="123">
        <v>105.8583661462436</v>
      </c>
      <c r="AN1295" s="123">
        <v>105.68020449058534</v>
      </c>
      <c r="AO1295" s="123">
        <v>105.44217340698462</v>
      </c>
      <c r="AP1295" s="123">
        <v>105.12527487831855</v>
      </c>
      <c r="AQ1295" s="123">
        <v>104.7053592156653</v>
      </c>
      <c r="AR1295" s="123">
        <v>104.15240710376959</v>
      </c>
      <c r="AS1295" s="123">
        <v>103.4302636599438</v>
      </c>
      <c r="AT1295" s="123">
        <v>102.497332550401</v>
      </c>
      <c r="AU1295" s="123">
        <v>101.30896012029888</v>
      </c>
      <c r="AV1295" s="123">
        <v>99.822375411869132</v>
      </c>
      <c r="AW1295" s="123">
        <v>98.004872476825227</v>
      </c>
      <c r="AX1295" s="124">
        <v>95.845092567567576</v>
      </c>
    </row>
    <row r="1296" spans="1:50" x14ac:dyDescent="0.25">
      <c r="A1296" s="356"/>
      <c r="B1296" s="359"/>
      <c r="C1296" s="360"/>
      <c r="D1296" s="59" t="s">
        <v>8</v>
      </c>
      <c r="E1296" s="166" t="str">
        <f>A1291&amp;"/"&amp;B1291&amp;"/"&amp;C1295&amp;"/"&amp;D1296</f>
        <v>Lignite fired power plants/Integrated gasification combined cycle/Electricity only with CCS/M</v>
      </c>
      <c r="F1296" s="79" t="str">
        <f>A1291</f>
        <v>Lignite fired power plants</v>
      </c>
      <c r="G1296" s="79" t="str">
        <f>B1291</f>
        <v>Integrated gasification combined cycle</v>
      </c>
      <c r="H1296" s="79" t="str">
        <f>C1295</f>
        <v>Electricity only with CCS</v>
      </c>
      <c r="I1296" s="167" t="str">
        <f t="shared" si="98"/>
        <v>M</v>
      </c>
      <c r="J1296" s="125" t="s">
        <v>112</v>
      </c>
      <c r="K1296" s="125" t="s">
        <v>112</v>
      </c>
      <c r="L1296" s="125" t="s">
        <v>112</v>
      </c>
      <c r="M1296" s="125" t="s">
        <v>112</v>
      </c>
      <c r="N1296" s="125" t="s">
        <v>112</v>
      </c>
      <c r="O1296" s="125" t="s">
        <v>112</v>
      </c>
      <c r="P1296" s="125" t="s">
        <v>112</v>
      </c>
      <c r="Q1296" s="125" t="s">
        <v>112</v>
      </c>
      <c r="R1296" s="125" t="s">
        <v>112</v>
      </c>
      <c r="S1296" s="125" t="s">
        <v>112</v>
      </c>
      <c r="T1296" s="125" t="s">
        <v>112</v>
      </c>
      <c r="U1296" s="125" t="s">
        <v>112</v>
      </c>
      <c r="V1296" s="125" t="s">
        <v>112</v>
      </c>
      <c r="W1296" s="125" t="s">
        <v>112</v>
      </c>
      <c r="X1296" s="125" t="s">
        <v>112</v>
      </c>
      <c r="Y1296" s="125" t="s">
        <v>112</v>
      </c>
      <c r="Z1296" s="125" t="s">
        <v>112</v>
      </c>
      <c r="AA1296" s="125" t="s">
        <v>112</v>
      </c>
      <c r="AB1296" s="125" t="s">
        <v>112</v>
      </c>
      <c r="AC1296" s="125" t="s">
        <v>112</v>
      </c>
      <c r="AD1296" s="125" t="s">
        <v>112</v>
      </c>
      <c r="AE1296" s="125">
        <v>113.44729649364689</v>
      </c>
      <c r="AF1296" s="125">
        <v>113.43858053355694</v>
      </c>
      <c r="AG1296" s="125">
        <v>113.42621758069428</v>
      </c>
      <c r="AH1296" s="125">
        <v>113.4086849500283</v>
      </c>
      <c r="AI1296" s="125">
        <v>113.38382756143201</v>
      </c>
      <c r="AJ1296" s="125">
        <v>113.34859868472809</v>
      </c>
      <c r="AK1296" s="125">
        <v>113.29869782441452</v>
      </c>
      <c r="AL1296" s="125">
        <v>113.22806840095298</v>
      </c>
      <c r="AM1296" s="125">
        <v>113.1282078904225</v>
      </c>
      <c r="AN1296" s="125">
        <v>112.9872342925474</v>
      </c>
      <c r="AO1296" s="125">
        <v>112.78865057093182</v>
      </c>
      <c r="AP1296" s="125">
        <v>112.50976452374144</v>
      </c>
      <c r="AQ1296" s="125">
        <v>112.1197777000221</v>
      </c>
      <c r="AR1296" s="125">
        <v>111.57769276268549</v>
      </c>
      <c r="AS1296" s="125">
        <v>110.83046450719645</v>
      </c>
      <c r="AT1296" s="125">
        <v>109.81230715364117</v>
      </c>
      <c r="AU1296" s="125">
        <v>108.44679912636539</v>
      </c>
      <c r="AV1296" s="125">
        <v>106.65423817108163</v>
      </c>
      <c r="AW1296" s="125">
        <v>104.36698150532868</v>
      </c>
      <c r="AX1296" s="126">
        <v>101.55395675675678</v>
      </c>
    </row>
    <row r="1297" spans="1:50" x14ac:dyDescent="0.25">
      <c r="A1297" s="356"/>
      <c r="B1297" s="359"/>
      <c r="C1297" s="361" t="s">
        <v>16</v>
      </c>
      <c r="D1297" s="2" t="s">
        <v>7</v>
      </c>
      <c r="E1297" s="160" t="str">
        <f>A1291&amp;"/"&amp;B1291&amp;"/"&amp;C1297&amp;"/"&amp;D1297</f>
        <v>Lignite fired power plants/Integrated gasification combined cycle/CHP with CCS/L</v>
      </c>
      <c r="F1297" s="76" t="str">
        <f>A1291</f>
        <v>Lignite fired power plants</v>
      </c>
      <c r="G1297" s="76" t="str">
        <f>B1291</f>
        <v>Integrated gasification combined cycle</v>
      </c>
      <c r="H1297" s="76" t="str">
        <f>C1297</f>
        <v>CHP with CCS</v>
      </c>
      <c r="I1297" s="161" t="str">
        <f t="shared" si="98"/>
        <v>L</v>
      </c>
      <c r="J1297" s="119" t="s">
        <v>112</v>
      </c>
      <c r="K1297" s="119" t="s">
        <v>112</v>
      </c>
      <c r="L1297" s="119" t="s">
        <v>112</v>
      </c>
      <c r="M1297" s="119" t="s">
        <v>112</v>
      </c>
      <c r="N1297" s="119" t="s">
        <v>112</v>
      </c>
      <c r="O1297" s="119" t="s">
        <v>112</v>
      </c>
      <c r="P1297" s="119" t="s">
        <v>112</v>
      </c>
      <c r="Q1297" s="119" t="s">
        <v>112</v>
      </c>
      <c r="R1297" s="119" t="s">
        <v>112</v>
      </c>
      <c r="S1297" s="119" t="s">
        <v>112</v>
      </c>
      <c r="T1297" s="119" t="s">
        <v>112</v>
      </c>
      <c r="U1297" s="119" t="s">
        <v>112</v>
      </c>
      <c r="V1297" s="119" t="s">
        <v>112</v>
      </c>
      <c r="W1297" s="119" t="s">
        <v>112</v>
      </c>
      <c r="X1297" s="119" t="s">
        <v>112</v>
      </c>
      <c r="Y1297" s="119" t="s">
        <v>112</v>
      </c>
      <c r="Z1297" s="119" t="s">
        <v>112</v>
      </c>
      <c r="AA1297" s="119" t="s">
        <v>112</v>
      </c>
      <c r="AB1297" s="119" t="s">
        <v>112</v>
      </c>
      <c r="AC1297" s="119" t="s">
        <v>112</v>
      </c>
      <c r="AD1297" s="119" t="s">
        <v>112</v>
      </c>
      <c r="AE1297" s="119">
        <v>111.79536413761366</v>
      </c>
      <c r="AF1297" s="119">
        <v>111.77896494201778</v>
      </c>
      <c r="AG1297" s="119">
        <v>111.75684927552696</v>
      </c>
      <c r="AH1297" s="119">
        <v>111.72703432891376</v>
      </c>
      <c r="AI1297" s="119">
        <v>111.68685760020522</v>
      </c>
      <c r="AJ1297" s="119">
        <v>111.63275048955194</v>
      </c>
      <c r="AK1297" s="119">
        <v>111.55994186593158</v>
      </c>
      <c r="AL1297" s="119">
        <v>111.46207439084333</v>
      </c>
      <c r="AM1297" s="119">
        <v>111.33071597632939</v>
      </c>
      <c r="AN1297" s="119">
        <v>111.15475229659754</v>
      </c>
      <c r="AO1297" s="119">
        <v>110.91965779657059</v>
      </c>
      <c r="AP1297" s="119">
        <v>110.60666883719173</v>
      </c>
      <c r="AQ1297" s="119">
        <v>110.19193366365226</v>
      </c>
      <c r="AR1297" s="119">
        <v>109.64580330824454</v>
      </c>
      <c r="AS1297" s="119">
        <v>108.93256893017184</v>
      </c>
      <c r="AT1297" s="119">
        <v>108.01114736858527</v>
      </c>
      <c r="AU1297" s="119">
        <v>106.83743585967468</v>
      </c>
      <c r="AV1297" s="119">
        <v>105.36919110991683</v>
      </c>
      <c r="AW1297" s="119">
        <v>103.57411066349778</v>
      </c>
      <c r="AX1297" s="120">
        <v>101.44097590540541</v>
      </c>
    </row>
    <row r="1298" spans="1:50" x14ac:dyDescent="0.25">
      <c r="A1298" s="356"/>
      <c r="B1298" s="359"/>
      <c r="C1298" s="354"/>
      <c r="D1298" s="2" t="s">
        <v>8</v>
      </c>
      <c r="E1298" s="168" t="str">
        <f>A1291&amp;"/"&amp;B1291&amp;"/"&amp;C1297&amp;"/"&amp;D1298</f>
        <v>Lignite fired power plants/Integrated gasification combined cycle/CHP with CCS/M</v>
      </c>
      <c r="F1298" s="80" t="str">
        <f>A1291</f>
        <v>Lignite fired power plants</v>
      </c>
      <c r="G1298" s="80" t="str">
        <f>B1291</f>
        <v>Integrated gasification combined cycle</v>
      </c>
      <c r="H1298" s="80" t="str">
        <f>C1297</f>
        <v>CHP with CCS</v>
      </c>
      <c r="I1298" s="169" t="str">
        <f t="shared" si="98"/>
        <v>M</v>
      </c>
      <c r="J1298" s="127" t="s">
        <v>112</v>
      </c>
      <c r="K1298" s="127" t="s">
        <v>112</v>
      </c>
      <c r="L1298" s="127" t="s">
        <v>112</v>
      </c>
      <c r="M1298" s="127" t="s">
        <v>112</v>
      </c>
      <c r="N1298" s="127" t="s">
        <v>112</v>
      </c>
      <c r="O1298" s="127" t="s">
        <v>112</v>
      </c>
      <c r="P1298" s="127" t="s">
        <v>112</v>
      </c>
      <c r="Q1298" s="127" t="s">
        <v>112</v>
      </c>
      <c r="R1298" s="127" t="s">
        <v>112</v>
      </c>
      <c r="S1298" s="127" t="s">
        <v>112</v>
      </c>
      <c r="T1298" s="127" t="s">
        <v>112</v>
      </c>
      <c r="U1298" s="127" t="s">
        <v>112</v>
      </c>
      <c r="V1298" s="127" t="s">
        <v>112</v>
      </c>
      <c r="W1298" s="127" t="s">
        <v>112</v>
      </c>
      <c r="X1298" s="127" t="s">
        <v>112</v>
      </c>
      <c r="Y1298" s="127" t="s">
        <v>112</v>
      </c>
      <c r="Z1298" s="127" t="s">
        <v>112</v>
      </c>
      <c r="AA1298" s="127" t="s">
        <v>112</v>
      </c>
      <c r="AB1298" s="127" t="s">
        <v>112</v>
      </c>
      <c r="AC1298" s="127" t="s">
        <v>112</v>
      </c>
      <c r="AD1298" s="127" t="s">
        <v>112</v>
      </c>
      <c r="AE1298" s="127">
        <v>118.70078403275751</v>
      </c>
      <c r="AF1298" s="127">
        <v>118.69218566507226</v>
      </c>
      <c r="AG1298" s="127">
        <v>118.6799895084479</v>
      </c>
      <c r="AH1298" s="127">
        <v>118.66269342133873</v>
      </c>
      <c r="AI1298" s="127">
        <v>118.63817139913574</v>
      </c>
      <c r="AJ1298" s="127">
        <v>118.60341781698156</v>
      </c>
      <c r="AK1298" s="127">
        <v>118.554190200017</v>
      </c>
      <c r="AL1298" s="127">
        <v>118.48451368176171</v>
      </c>
      <c r="AM1298" s="127">
        <v>118.38600045110016</v>
      </c>
      <c r="AN1298" s="127">
        <v>118.24692881516637</v>
      </c>
      <c r="AO1298" s="127">
        <v>118.0510243092789</v>
      </c>
      <c r="AP1298" s="127">
        <v>117.77590088612388</v>
      </c>
      <c r="AQ1298" s="127">
        <v>117.39117561568474</v>
      </c>
      <c r="AR1298" s="127">
        <v>116.85640428128734</v>
      </c>
      <c r="AS1298" s="127">
        <v>116.1192573440368</v>
      </c>
      <c r="AT1298" s="127">
        <v>115.11483658063676</v>
      </c>
      <c r="AU1298" s="127">
        <v>113.76775146614443</v>
      </c>
      <c r="AV1298" s="127">
        <v>111.99937505864695</v>
      </c>
      <c r="AW1298" s="127">
        <v>109.74297718626967</v>
      </c>
      <c r="AX1298" s="128">
        <v>106.96790469324326</v>
      </c>
    </row>
    <row r="1299" spans="1:50" x14ac:dyDescent="0.25">
      <c r="A1299" s="356"/>
      <c r="B1299" s="358" t="s">
        <v>17</v>
      </c>
      <c r="C1299" s="353" t="s">
        <v>6</v>
      </c>
      <c r="D1299" s="3" t="s">
        <v>7</v>
      </c>
      <c r="E1299" s="162" t="str">
        <f>A1291&amp;"/"&amp;B1299&amp;"/"&amp;C1299&amp;"/"&amp;D1299</f>
        <v>Lignite fired power plants/Supercritical steam turbine/Electricity only/L</v>
      </c>
      <c r="F1299" s="77" t="str">
        <f>A1291</f>
        <v>Lignite fired power plants</v>
      </c>
      <c r="G1299" s="77" t="str">
        <f>B1299</f>
        <v>Supercritical steam turbine</v>
      </c>
      <c r="H1299" s="77" t="str">
        <f>C1299</f>
        <v>Electricity only</v>
      </c>
      <c r="I1299" s="163" t="str">
        <f t="shared" si="98"/>
        <v>L</v>
      </c>
      <c r="J1299" s="121">
        <v>40.852380952380955</v>
      </c>
      <c r="K1299" s="121">
        <v>40.849969728255317</v>
      </c>
      <c r="L1299" s="121">
        <v>40.847026879529551</v>
      </c>
      <c r="M1299" s="121">
        <v>40.843435794648109</v>
      </c>
      <c r="N1299" s="121">
        <v>40.839054577752655</v>
      </c>
      <c r="O1299" s="121">
        <v>40.83371071071187</v>
      </c>
      <c r="P1299" s="121">
        <v>40.827194659166189</v>
      </c>
      <c r="Q1299" s="121">
        <v>40.819252249031436</v>
      </c>
      <c r="R1299" s="121">
        <v>40.809575629768091</v>
      </c>
      <c r="S1299" s="121">
        <v>40.79779264118244</v>
      </c>
      <c r="T1299" s="121">
        <v>40.783454419394495</v>
      </c>
      <c r="U1299" s="121">
        <v>40.766021126460728</v>
      </c>
      <c r="V1299" s="121">
        <v>40.744845783654199</v>
      </c>
      <c r="W1299" s="121">
        <v>40.719156353895265</v>
      </c>
      <c r="X1299" s="121">
        <v>40.688036485742977</v>
      </c>
      <c r="Y1299" s="121">
        <v>40.65040574021311</v>
      </c>
      <c r="Z1299" s="121">
        <v>40.605000721335472</v>
      </c>
      <c r="AA1299" s="121">
        <v>40.55035937472703</v>
      </c>
      <c r="AB1299" s="121">
        <v>40.484811851608669</v>
      </c>
      <c r="AC1299" s="121">
        <v>40.406482775709691</v>
      </c>
      <c r="AD1299" s="121">
        <v>40.31331144639185</v>
      </c>
      <c r="AE1299" s="121">
        <v>40.203098282694782</v>
      </c>
      <c r="AF1299" s="121">
        <v>40.073587265944852</v>
      </c>
      <c r="AG1299" s="121">
        <v>39.922594571596427</v>
      </c>
      <c r="AH1299" s="121">
        <v>39.748191921320462</v>
      </c>
      <c r="AI1299" s="121">
        <v>39.548948040097329</v>
      </c>
      <c r="AJ1299" s="121">
        <v>39.324221550763298</v>
      </c>
      <c r="AK1299" s="121">
        <v>39.074482921696465</v>
      </c>
      <c r="AL1299" s="121">
        <v>38.801622728495353</v>
      </c>
      <c r="AM1299" s="121">
        <v>38.5091826091043</v>
      </c>
      <c r="AN1299" s="121">
        <v>38.202431771921063</v>
      </c>
      <c r="AO1299" s="121">
        <v>37.88821623440851</v>
      </c>
      <c r="AP1299" s="121">
        <v>37.574539048439661</v>
      </c>
      <c r="AQ1299" s="121">
        <v>37.269888407079627</v>
      </c>
      <c r="AR1299" s="121">
        <v>36.982403761630358</v>
      </c>
      <c r="AS1299" s="121">
        <v>36.71903183201907</v>
      </c>
      <c r="AT1299" s="121">
        <v>36.48484574481818</v>
      </c>
      <c r="AU1299" s="121">
        <v>36.282665983679166</v>
      </c>
      <c r="AV1299" s="121">
        <v>36.113040993116186</v>
      </c>
      <c r="AW1299" s="121">
        <v>35.974549996522427</v>
      </c>
      <c r="AX1299" s="122">
        <v>35.864317934441701</v>
      </c>
    </row>
    <row r="1300" spans="1:50" x14ac:dyDescent="0.25">
      <c r="A1300" s="356"/>
      <c r="B1300" s="359"/>
      <c r="C1300" s="360"/>
      <c r="D1300" s="2" t="s">
        <v>8</v>
      </c>
      <c r="E1300" s="160" t="str">
        <f>A1291&amp;"/"&amp;B1299&amp;"/"&amp;C1299&amp;"/"&amp;D1300</f>
        <v>Lignite fired power plants/Supercritical steam turbine/Electricity only/M</v>
      </c>
      <c r="F1300" s="76" t="str">
        <f>A1291</f>
        <v>Lignite fired power plants</v>
      </c>
      <c r="G1300" s="76" t="str">
        <f>B1299</f>
        <v>Supercritical steam turbine</v>
      </c>
      <c r="H1300" s="76" t="str">
        <f>C1299</f>
        <v>Electricity only</v>
      </c>
      <c r="I1300" s="161" t="str">
        <f t="shared" si="98"/>
        <v>M</v>
      </c>
      <c r="J1300" s="119">
        <v>44.529095238095252</v>
      </c>
      <c r="K1300" s="119">
        <v>44.524298296035745</v>
      </c>
      <c r="L1300" s="119">
        <v>44.518589949385166</v>
      </c>
      <c r="M1300" s="119">
        <v>44.511798393235189</v>
      </c>
      <c r="N1300" s="119">
        <v>44.503720003129892</v>
      </c>
      <c r="O1300" s="119">
        <v>44.494113678144892</v>
      </c>
      <c r="P1300" s="119">
        <v>44.482694277329415</v>
      </c>
      <c r="Q1300" s="119">
        <v>44.469125046620753</v>
      </c>
      <c r="R1300" s="119">
        <v>44.45300894123406</v>
      </c>
      <c r="S1300" s="119">
        <v>44.433878768176399</v>
      </c>
      <c r="T1300" s="119">
        <v>44.411186110615624</v>
      </c>
      <c r="U1300" s="119">
        <v>44.384289058021913</v>
      </c>
      <c r="V1300" s="119">
        <v>44.352438863373344</v>
      </c>
      <c r="W1300" s="119">
        <v>44.314765794118287</v>
      </c>
      <c r="X1300" s="119">
        <v>44.270264652712001</v>
      </c>
      <c r="Y1300" s="119">
        <v>44.217780733487245</v>
      </c>
      <c r="Z1300" s="119">
        <v>44.155997374398808</v>
      </c>
      <c r="AA1300" s="119">
        <v>44.083426771530434</v>
      </c>
      <c r="AB1300" s="119">
        <v>43.998406359694151</v>
      </c>
      <c r="AC1300" s="119">
        <v>43.899103814496506</v>
      </c>
      <c r="AD1300" s="119">
        <v>43.78353455754732</v>
      </c>
      <c r="AE1300" s="119">
        <v>43.64959645147713</v>
      </c>
      <c r="AF1300" s="119">
        <v>43.495126981725342</v>
      </c>
      <c r="AG1300" s="119">
        <v>43.317988362644734</v>
      </c>
      <c r="AH1300" s="119">
        <v>43.116185287781633</v>
      </c>
      <c r="AI1300" s="119">
        <v>42.888017985650215</v>
      </c>
      <c r="AJ1300" s="119">
        <v>42.632269344849441</v>
      </c>
      <c r="AK1300" s="119">
        <v>42.348418789107036</v>
      </c>
      <c r="AL1300" s="119">
        <v>42.036867386050261</v>
      </c>
      <c r="AM1300" s="119">
        <v>41.699149190015355</v>
      </c>
      <c r="AN1300" s="119">
        <v>41.338094917014544</v>
      </c>
      <c r="AO1300" s="119">
        <v>40.957908663006791</v>
      </c>
      <c r="AP1300" s="119">
        <v>40.564120009107803</v>
      </c>
      <c r="AQ1300" s="119">
        <v>40.163385417732421</v>
      </c>
      <c r="AR1300" s="119">
        <v>39.763134973256008</v>
      </c>
      <c r="AS1300" s="119">
        <v>39.371090212216686</v>
      </c>
      <c r="AT1300" s="119">
        <v>38.994709005298496</v>
      </c>
      <c r="AU1300" s="119">
        <v>38.640634928805348</v>
      </c>
      <c r="AV1300" s="119">
        <v>38.314233260934941</v>
      </c>
      <c r="AW1300" s="119">
        <v>38.019280603078592</v>
      </c>
      <c r="AX1300" s="120">
        <v>37.757843985824493</v>
      </c>
    </row>
    <row r="1301" spans="1:50" x14ac:dyDescent="0.25">
      <c r="A1301" s="356"/>
      <c r="B1301" s="359"/>
      <c r="C1301" s="361" t="s">
        <v>14</v>
      </c>
      <c r="D1301" s="58" t="s">
        <v>7</v>
      </c>
      <c r="E1301" s="164" t="str">
        <f>A1291&amp;"/"&amp;B1299&amp;"/"&amp;C1301&amp;"/"&amp;D1301</f>
        <v>Lignite fired power plants/Supercritical steam turbine/CHP/L</v>
      </c>
      <c r="F1301" s="78" t="str">
        <f>A1291</f>
        <v>Lignite fired power plants</v>
      </c>
      <c r="G1301" s="78" t="str">
        <f>B1299</f>
        <v>Supercritical steam turbine</v>
      </c>
      <c r="H1301" s="78" t="str">
        <f>C1301</f>
        <v>CHP</v>
      </c>
      <c r="I1301" s="165" t="str">
        <f t="shared" si="98"/>
        <v>L</v>
      </c>
      <c r="J1301" s="123">
        <v>48.019619047619052</v>
      </c>
      <c r="K1301" s="123">
        <v>48.01722083187105</v>
      </c>
      <c r="L1301" s="123">
        <v>48.014293859598709</v>
      </c>
      <c r="M1301" s="123">
        <v>48.010722148357289</v>
      </c>
      <c r="N1301" s="123">
        <v>48.006364567806244</v>
      </c>
      <c r="O1301" s="123">
        <v>48.001049530536903</v>
      </c>
      <c r="P1301" s="123">
        <v>47.994568632612271</v>
      </c>
      <c r="Q1301" s="123">
        <v>47.986669071198719</v>
      </c>
      <c r="R1301" s="123">
        <v>47.977044656587871</v>
      </c>
      <c r="S1301" s="123">
        <v>47.965325236362993</v>
      </c>
      <c r="T1301" s="123">
        <v>47.951064368231876</v>
      </c>
      <c r="U1301" s="123">
        <v>47.933725126637178</v>
      </c>
      <c r="V1301" s="123">
        <v>47.912664023254827</v>
      </c>
      <c r="W1301" s="123">
        <v>47.88711318608869</v>
      </c>
      <c r="X1301" s="123">
        <v>47.856161207346773</v>
      </c>
      <c r="Y1301" s="123">
        <v>47.818733476934057</v>
      </c>
      <c r="Z1301" s="123">
        <v>47.773573414809121</v>
      </c>
      <c r="AA1301" s="123">
        <v>47.71922685426528</v>
      </c>
      <c r="AB1301" s="123">
        <v>47.654032955235344</v>
      </c>
      <c r="AC1301" s="123">
        <v>47.5761264589663</v>
      </c>
      <c r="AD1301" s="123">
        <v>47.48345778214896</v>
      </c>
      <c r="AE1301" s="123">
        <v>47.373839210401229</v>
      </c>
      <c r="AF1301" s="123">
        <v>47.245026896105031</v>
      </c>
      <c r="AG1301" s="123">
        <v>47.094848796288296</v>
      </c>
      <c r="AH1301" s="123">
        <v>46.921387035542381</v>
      </c>
      <c r="AI1301" s="123">
        <v>46.723218060471616</v>
      </c>
      <c r="AJ1301" s="123">
        <v>46.499703954095089</v>
      </c>
      <c r="AK1301" s="123">
        <v>46.251312646648465</v>
      </c>
      <c r="AL1301" s="123">
        <v>45.979924514213316</v>
      </c>
      <c r="AM1301" s="123">
        <v>45.689062087856556</v>
      </c>
      <c r="AN1301" s="123">
        <v>45.383966148982395</v>
      </c>
      <c r="AO1301" s="123">
        <v>45.071445781290691</v>
      </c>
      <c r="AP1301" s="123">
        <v>44.759460860775533</v>
      </c>
      <c r="AQ1301" s="123">
        <v>44.456453787321863</v>
      </c>
      <c r="AR1301" s="123">
        <v>44.170520100487764</v>
      </c>
      <c r="AS1301" s="123">
        <v>43.908569043155019</v>
      </c>
      <c r="AT1301" s="123">
        <v>43.67564637274959</v>
      </c>
      <c r="AU1301" s="123">
        <v>43.474557356620146</v>
      </c>
      <c r="AV1301" s="123">
        <v>43.305847480462837</v>
      </c>
      <c r="AW1301" s="123">
        <v>43.168103632656646</v>
      </c>
      <c r="AX1301" s="124">
        <v>43.05846626448065</v>
      </c>
    </row>
    <row r="1302" spans="1:50" x14ac:dyDescent="0.25">
      <c r="A1302" s="356"/>
      <c r="B1302" s="359"/>
      <c r="C1302" s="360"/>
      <c r="D1302" s="59" t="s">
        <v>8</v>
      </c>
      <c r="E1302" s="166" t="str">
        <f>A1291&amp;"/"&amp;B1299&amp;"/"&amp;C1301&amp;"/"&amp;D1302</f>
        <v>Lignite fired power plants/Supercritical steam turbine/CHP/M</v>
      </c>
      <c r="F1302" s="79" t="str">
        <f>A1291</f>
        <v>Lignite fired power plants</v>
      </c>
      <c r="G1302" s="79" t="str">
        <f>B1299</f>
        <v>Supercritical steam turbine</v>
      </c>
      <c r="H1302" s="79" t="str">
        <f>C1301</f>
        <v>CHP</v>
      </c>
      <c r="I1302" s="167" t="str">
        <f t="shared" si="98"/>
        <v>M</v>
      </c>
      <c r="J1302" s="125">
        <v>52.010984285714301</v>
      </c>
      <c r="K1302" s="125">
        <v>52.006003898012636</v>
      </c>
      <c r="L1302" s="125">
        <v>52.000077251598583</v>
      </c>
      <c r="M1302" s="125">
        <v>51.993025971365277</v>
      </c>
      <c r="N1302" s="125">
        <v>51.984638645808587</v>
      </c>
      <c r="O1302" s="125">
        <v>51.974664953773107</v>
      </c>
      <c r="P1302" s="125">
        <v>51.962808849889363</v>
      </c>
      <c r="Q1302" s="125">
        <v>51.948720701876695</v>
      </c>
      <c r="R1302" s="125">
        <v>51.931988281082162</v>
      </c>
      <c r="S1302" s="125">
        <v>51.912126528022561</v>
      </c>
      <c r="T1302" s="125">
        <v>51.888566053196747</v>
      </c>
      <c r="U1302" s="125">
        <v>51.860640398000776</v>
      </c>
      <c r="V1302" s="125">
        <v>51.827572181675535</v>
      </c>
      <c r="W1302" s="125">
        <v>51.788458411178738</v>
      </c>
      <c r="X1302" s="125">
        <v>51.742255447994971</v>
      </c>
      <c r="Y1302" s="125">
        <v>51.687764427966016</v>
      </c>
      <c r="Z1302" s="125">
        <v>51.623618336986667</v>
      </c>
      <c r="AA1302" s="125">
        <v>51.548272474238125</v>
      </c>
      <c r="AB1302" s="125">
        <v>51.460000694373491</v>
      </c>
      <c r="AC1302" s="125">
        <v>51.356900600874027</v>
      </c>
      <c r="AD1302" s="125">
        <v>51.23691172069568</v>
      </c>
      <c r="AE1302" s="125">
        <v>51.097851526100541</v>
      </c>
      <c r="AF1302" s="125">
        <v>50.937474803202598</v>
      </c>
      <c r="AG1302" s="125">
        <v>50.753562012717438</v>
      </c>
      <c r="AH1302" s="125">
        <v>50.544041543272719</v>
      </c>
      <c r="AI1302" s="125">
        <v>50.307148620372807</v>
      </c>
      <c r="AJ1302" s="125">
        <v>50.04161958759282</v>
      </c>
      <c r="AK1302" s="125">
        <v>49.74691396067589</v>
      </c>
      <c r="AL1302" s="125">
        <v>49.423448144959764</v>
      </c>
      <c r="AM1302" s="125">
        <v>49.072814860401252</v>
      </c>
      <c r="AN1302" s="125">
        <v>48.697953075834945</v>
      </c>
      <c r="AO1302" s="125">
        <v>48.303227661119777</v>
      </c>
      <c r="AP1302" s="125">
        <v>47.894379660746679</v>
      </c>
      <c r="AQ1302" s="125">
        <v>47.478320094931512</v>
      </c>
      <c r="AR1302" s="125">
        <v>47.062763190860338</v>
      </c>
      <c r="AS1302" s="125">
        <v>46.655725773655355</v>
      </c>
      <c r="AT1302" s="125">
        <v>46.264950919421011</v>
      </c>
      <c r="AU1302" s="125">
        <v>45.897336269468951</v>
      </c>
      <c r="AV1302" s="125">
        <v>45.558452282066185</v>
      </c>
      <c r="AW1302" s="125">
        <v>45.252219984169066</v>
      </c>
      <c r="AX1302" s="126">
        <v>44.980785454173549</v>
      </c>
    </row>
    <row r="1303" spans="1:50" x14ac:dyDescent="0.25">
      <c r="A1303" s="356"/>
      <c r="B1303" s="359"/>
      <c r="C1303" s="361" t="s">
        <v>15</v>
      </c>
      <c r="D1303" s="58" t="s">
        <v>7</v>
      </c>
      <c r="E1303" s="164" t="str">
        <f>A1291&amp;"/"&amp;B1299&amp;"/"&amp;C1303&amp;"/"&amp;D1303</f>
        <v>Lignite fired power plants/Supercritical steam turbine/Electricity only with CCS/L</v>
      </c>
      <c r="F1303" s="78" t="str">
        <f>A1291</f>
        <v>Lignite fired power plants</v>
      </c>
      <c r="G1303" s="78" t="str">
        <f>B1299</f>
        <v>Supercritical steam turbine</v>
      </c>
      <c r="H1303" s="78" t="str">
        <f>C1303</f>
        <v>Electricity only with CCS</v>
      </c>
      <c r="I1303" s="165" t="str">
        <f t="shared" si="98"/>
        <v>L</v>
      </c>
      <c r="J1303" s="123" t="s">
        <v>112</v>
      </c>
      <c r="K1303" s="123" t="s">
        <v>112</v>
      </c>
      <c r="L1303" s="123" t="s">
        <v>112</v>
      </c>
      <c r="M1303" s="123" t="s">
        <v>112</v>
      </c>
      <c r="N1303" s="123" t="s">
        <v>112</v>
      </c>
      <c r="O1303" s="123" t="s">
        <v>112</v>
      </c>
      <c r="P1303" s="123" t="s">
        <v>112</v>
      </c>
      <c r="Q1303" s="123" t="s">
        <v>112</v>
      </c>
      <c r="R1303" s="123" t="s">
        <v>112</v>
      </c>
      <c r="S1303" s="123" t="s">
        <v>112</v>
      </c>
      <c r="T1303" s="123" t="s">
        <v>112</v>
      </c>
      <c r="U1303" s="123" t="s">
        <v>112</v>
      </c>
      <c r="V1303" s="123" t="s">
        <v>112</v>
      </c>
      <c r="W1303" s="123" t="s">
        <v>112</v>
      </c>
      <c r="X1303" s="123" t="s">
        <v>112</v>
      </c>
      <c r="Y1303" s="123" t="s">
        <v>112</v>
      </c>
      <c r="Z1303" s="123" t="s">
        <v>112</v>
      </c>
      <c r="AA1303" s="123" t="s">
        <v>112</v>
      </c>
      <c r="AB1303" s="123" t="s">
        <v>112</v>
      </c>
      <c r="AC1303" s="123" t="s">
        <v>112</v>
      </c>
      <c r="AD1303" s="123" t="s">
        <v>112</v>
      </c>
      <c r="AE1303" s="123">
        <v>81.343431115373605</v>
      </c>
      <c r="AF1303" s="123">
        <v>81.308920720931596</v>
      </c>
      <c r="AG1303" s="123">
        <v>81.266898853171284</v>
      </c>
      <c r="AH1303" s="123">
        <v>81.215765067171247</v>
      </c>
      <c r="AI1303" s="123">
        <v>81.153594611161168</v>
      </c>
      <c r="AJ1303" s="123">
        <v>81.078080786302934</v>
      </c>
      <c r="AK1303" s="123">
        <v>80.986471025777533</v>
      </c>
      <c r="AL1303" s="123">
        <v>80.875498112557352</v>
      </c>
      <c r="AM1303" s="123">
        <v>80.74130936509205</v>
      </c>
      <c r="AN1303" s="123">
        <v>80.579398672953445</v>
      </c>
      <c r="AO1303" s="123">
        <v>80.384549124751302</v>
      </c>
      <c r="AP1303" s="123">
        <v>80.150797766880387</v>
      </c>
      <c r="AQ1303" s="123">
        <v>79.871438776559373</v>
      </c>
      <c r="AR1303" s="123">
        <v>79.539086788593437</v>
      </c>
      <c r="AS1303" s="123">
        <v>79.145827594852364</v>
      </c>
      <c r="AT1303" s="123">
        <v>78.683487547493016</v>
      </c>
      <c r="AU1303" s="123">
        <v>78.144053401545804</v>
      </c>
      <c r="AV1303" s="123">
        <v>77.520267657980824</v>
      </c>
      <c r="AW1303" s="123">
        <v>76.806406666222799</v>
      </c>
      <c r="AX1303" s="124">
        <v>75.999216250000018</v>
      </c>
    </row>
    <row r="1304" spans="1:50" x14ac:dyDescent="0.25">
      <c r="A1304" s="356"/>
      <c r="B1304" s="359"/>
      <c r="C1304" s="360"/>
      <c r="D1304" s="59" t="s">
        <v>8</v>
      </c>
      <c r="E1304" s="166" t="str">
        <f>A1291&amp;"/"&amp;B1299&amp;"/"&amp;C1303&amp;"/"&amp;D1304</f>
        <v>Lignite fired power plants/Supercritical steam turbine/Electricity only with CCS/M</v>
      </c>
      <c r="F1304" s="79" t="str">
        <f>A1291</f>
        <v>Lignite fired power plants</v>
      </c>
      <c r="G1304" s="79" t="str">
        <f>B1299</f>
        <v>Supercritical steam turbine</v>
      </c>
      <c r="H1304" s="79" t="str">
        <f>C1303</f>
        <v>Electricity only with CCS</v>
      </c>
      <c r="I1304" s="167" t="str">
        <f t="shared" si="98"/>
        <v>M</v>
      </c>
      <c r="J1304" s="125" t="s">
        <v>112</v>
      </c>
      <c r="K1304" s="125" t="s">
        <v>112</v>
      </c>
      <c r="L1304" s="125" t="s">
        <v>112</v>
      </c>
      <c r="M1304" s="125" t="s">
        <v>112</v>
      </c>
      <c r="N1304" s="125" t="s">
        <v>112</v>
      </c>
      <c r="O1304" s="125" t="s">
        <v>112</v>
      </c>
      <c r="P1304" s="125" t="s">
        <v>112</v>
      </c>
      <c r="Q1304" s="125" t="s">
        <v>112</v>
      </c>
      <c r="R1304" s="125" t="s">
        <v>112</v>
      </c>
      <c r="S1304" s="125" t="s">
        <v>112</v>
      </c>
      <c r="T1304" s="125" t="s">
        <v>112</v>
      </c>
      <c r="U1304" s="125" t="s">
        <v>112</v>
      </c>
      <c r="V1304" s="125" t="s">
        <v>112</v>
      </c>
      <c r="W1304" s="125" t="s">
        <v>112</v>
      </c>
      <c r="X1304" s="125" t="s">
        <v>112</v>
      </c>
      <c r="Y1304" s="125" t="s">
        <v>112</v>
      </c>
      <c r="Z1304" s="125" t="s">
        <v>112</v>
      </c>
      <c r="AA1304" s="125" t="s">
        <v>112</v>
      </c>
      <c r="AB1304" s="125" t="s">
        <v>112</v>
      </c>
      <c r="AC1304" s="125" t="s">
        <v>112</v>
      </c>
      <c r="AD1304" s="125" t="s">
        <v>112</v>
      </c>
      <c r="AE1304" s="125">
        <v>87.218756856679661</v>
      </c>
      <c r="AF1304" s="125">
        <v>87.198209803246272</v>
      </c>
      <c r="AG1304" s="125">
        <v>87.171868317544607</v>
      </c>
      <c r="AH1304" s="125">
        <v>87.138113349152903</v>
      </c>
      <c r="AI1304" s="125">
        <v>87.094883132102524</v>
      </c>
      <c r="AJ1304" s="125">
        <v>87.039558343405915</v>
      </c>
      <c r="AK1304" s="125">
        <v>86.96882147889643</v>
      </c>
      <c r="AL1304" s="125">
        <v>86.878487300416964</v>
      </c>
      <c r="AM1304" s="125">
        <v>86.76330274901234</v>
      </c>
      <c r="AN1304" s="125">
        <v>86.616717987635639</v>
      </c>
      <c r="AO1304" s="125">
        <v>86.430636271400687</v>
      </c>
      <c r="AP1304" s="125">
        <v>86.195160555239937</v>
      </c>
      <c r="AQ1304" s="125">
        <v>85.898370850107995</v>
      </c>
      <c r="AR1304" s="125">
        <v>85.526189980059485</v>
      </c>
      <c r="AS1304" s="125">
        <v>85.062427226689522</v>
      </c>
      <c r="AT1304" s="125">
        <v>84.489127137733647</v>
      </c>
      <c r="AU1304" s="125">
        <v>83.787386246450509</v>
      </c>
      <c r="AV1304" s="125">
        <v>82.938815199406079</v>
      </c>
      <c r="AW1304" s="125">
        <v>81.927786325082764</v>
      </c>
      <c r="AX1304" s="126">
        <v>80.744475625000021</v>
      </c>
    </row>
    <row r="1305" spans="1:50" x14ac:dyDescent="0.25">
      <c r="A1305" s="356"/>
      <c r="B1305" s="359"/>
      <c r="C1305" s="361" t="s">
        <v>16</v>
      </c>
      <c r="D1305" s="2" t="s">
        <v>7</v>
      </c>
      <c r="E1305" s="160" t="str">
        <f>A1291&amp;"/"&amp;B1299&amp;"/"&amp;C1305&amp;"/"&amp;D1305</f>
        <v>Lignite fired power plants/Supercritical steam turbine/CHP with CCS/L</v>
      </c>
      <c r="F1305" s="76" t="str">
        <f>A1291</f>
        <v>Lignite fired power plants</v>
      </c>
      <c r="G1305" s="76" t="str">
        <f>B1299</f>
        <v>Supercritical steam turbine</v>
      </c>
      <c r="H1305" s="76" t="str">
        <f>C1305</f>
        <v>CHP with CCS</v>
      </c>
      <c r="I1305" s="161" t="str">
        <f t="shared" si="98"/>
        <v>L</v>
      </c>
      <c r="J1305" s="119" t="s">
        <v>112</v>
      </c>
      <c r="K1305" s="119" t="s">
        <v>112</v>
      </c>
      <c r="L1305" s="119" t="s">
        <v>112</v>
      </c>
      <c r="M1305" s="119" t="s">
        <v>112</v>
      </c>
      <c r="N1305" s="119" t="s">
        <v>112</v>
      </c>
      <c r="O1305" s="119" t="s">
        <v>112</v>
      </c>
      <c r="P1305" s="119" t="s">
        <v>112</v>
      </c>
      <c r="Q1305" s="119" t="s">
        <v>112</v>
      </c>
      <c r="R1305" s="119" t="s">
        <v>112</v>
      </c>
      <c r="S1305" s="119" t="s">
        <v>112</v>
      </c>
      <c r="T1305" s="119" t="s">
        <v>112</v>
      </c>
      <c r="U1305" s="119" t="s">
        <v>112</v>
      </c>
      <c r="V1305" s="119" t="s">
        <v>112</v>
      </c>
      <c r="W1305" s="119" t="s">
        <v>112</v>
      </c>
      <c r="X1305" s="119" t="s">
        <v>112</v>
      </c>
      <c r="Y1305" s="119" t="s">
        <v>112</v>
      </c>
      <c r="Z1305" s="119" t="s">
        <v>112</v>
      </c>
      <c r="AA1305" s="119" t="s">
        <v>112</v>
      </c>
      <c r="AB1305" s="119" t="s">
        <v>112</v>
      </c>
      <c r="AC1305" s="119" t="s">
        <v>112</v>
      </c>
      <c r="AD1305" s="119" t="s">
        <v>112</v>
      </c>
      <c r="AE1305" s="119">
        <v>87.72681808921547</v>
      </c>
      <c r="AF1305" s="119">
        <v>87.695812583158698</v>
      </c>
      <c r="AG1305" s="119">
        <v>87.658058471783704</v>
      </c>
      <c r="AH1305" s="119">
        <v>87.612117851945413</v>
      </c>
      <c r="AI1305" s="119">
        <v>87.556261450373114</v>
      </c>
      <c r="AJ1305" s="119">
        <v>87.488416837413212</v>
      </c>
      <c r="AK1305" s="119">
        <v>87.406110997947906</v>
      </c>
      <c r="AL1305" s="119">
        <v>87.306408534715658</v>
      </c>
      <c r="AM1305" s="119">
        <v>87.18584804592507</v>
      </c>
      <c r="AN1305" s="119">
        <v>87.040381063384686</v>
      </c>
      <c r="AO1305" s="119">
        <v>86.865320507148766</v>
      </c>
      <c r="AP1305" s="119">
        <v>86.655309023379104</v>
      </c>
      <c r="AQ1305" s="119">
        <v>86.404321835128798</v>
      </c>
      <c r="AR1305" s="119">
        <v>86.105723637615583</v>
      </c>
      <c r="AS1305" s="119">
        <v>85.752403992605295</v>
      </c>
      <c r="AT1305" s="119">
        <v>85.337019370943793</v>
      </c>
      <c r="AU1305" s="119">
        <v>84.852370355775491</v>
      </c>
      <c r="AV1305" s="119">
        <v>84.291936522348138</v>
      </c>
      <c r="AW1305" s="119">
        <v>83.650575516149502</v>
      </c>
      <c r="AX1305" s="120">
        <v>82.925363656250013</v>
      </c>
    </row>
    <row r="1306" spans="1:50" x14ac:dyDescent="0.25">
      <c r="A1306" s="356"/>
      <c r="B1306" s="362"/>
      <c r="C1306" s="354"/>
      <c r="D1306" s="4" t="s">
        <v>8</v>
      </c>
      <c r="E1306" s="168" t="str">
        <f>A1291&amp;"/"&amp;B1299&amp;"/"&amp;C1305&amp;"/"&amp;D1306</f>
        <v>Lignite fired power plants/Supercritical steam turbine/CHP with CCS/M</v>
      </c>
      <c r="F1306" s="80" t="str">
        <f>A1291</f>
        <v>Lignite fired power plants</v>
      </c>
      <c r="G1306" s="80" t="str">
        <f>B1299</f>
        <v>Supercritical steam turbine</v>
      </c>
      <c r="H1306" s="80" t="str">
        <f>C1305</f>
        <v>CHP with CCS</v>
      </c>
      <c r="I1306" s="169" t="str">
        <f t="shared" si="98"/>
        <v>M</v>
      </c>
      <c r="J1306" s="127" t="s">
        <v>112</v>
      </c>
      <c r="K1306" s="127" t="s">
        <v>112</v>
      </c>
      <c r="L1306" s="127" t="s">
        <v>112</v>
      </c>
      <c r="M1306" s="127" t="s">
        <v>112</v>
      </c>
      <c r="N1306" s="127" t="s">
        <v>112</v>
      </c>
      <c r="O1306" s="127" t="s">
        <v>112</v>
      </c>
      <c r="P1306" s="127" t="s">
        <v>112</v>
      </c>
      <c r="Q1306" s="127" t="s">
        <v>112</v>
      </c>
      <c r="R1306" s="127" t="s">
        <v>112</v>
      </c>
      <c r="S1306" s="127" t="s">
        <v>112</v>
      </c>
      <c r="T1306" s="127" t="s">
        <v>112</v>
      </c>
      <c r="U1306" s="127" t="s">
        <v>112</v>
      </c>
      <c r="V1306" s="127" t="s">
        <v>112</v>
      </c>
      <c r="W1306" s="127" t="s">
        <v>112</v>
      </c>
      <c r="X1306" s="127" t="s">
        <v>112</v>
      </c>
      <c r="Y1306" s="127" t="s">
        <v>112</v>
      </c>
      <c r="Z1306" s="127" t="s">
        <v>112</v>
      </c>
      <c r="AA1306" s="127" t="s">
        <v>112</v>
      </c>
      <c r="AB1306" s="127" t="s">
        <v>112</v>
      </c>
      <c r="AC1306" s="127" t="s">
        <v>112</v>
      </c>
      <c r="AD1306" s="127" t="s">
        <v>112</v>
      </c>
      <c r="AE1306" s="127">
        <v>93.866161817809214</v>
      </c>
      <c r="AF1306" s="127">
        <v>93.847736828176821</v>
      </c>
      <c r="AG1306" s="127">
        <v>93.824115845123075</v>
      </c>
      <c r="AH1306" s="127">
        <v>93.793847030926699</v>
      </c>
      <c r="AI1306" s="127">
        <v>93.755081555208179</v>
      </c>
      <c r="AJ1306" s="127">
        <v>93.705470614084533</v>
      </c>
      <c r="AK1306" s="127">
        <v>93.642039329426638</v>
      </c>
      <c r="AL1306" s="127">
        <v>93.561034707166343</v>
      </c>
      <c r="AM1306" s="127">
        <v>93.457746215104919</v>
      </c>
      <c r="AN1306" s="127">
        <v>93.326300471928818</v>
      </c>
      <c r="AO1306" s="127">
        <v>93.159436950425899</v>
      </c>
      <c r="AP1306" s="127">
        <v>92.948280755061703</v>
      </c>
      <c r="AQ1306" s="127">
        <v>92.682142972445789</v>
      </c>
      <c r="AR1306" s="127">
        <v>92.348400292783964</v>
      </c>
      <c r="AS1306" s="127">
        <v>91.932534146797337</v>
      </c>
      <c r="AT1306" s="127">
        <v>91.418443489978912</v>
      </c>
      <c r="AU1306" s="127">
        <v>90.789177172624719</v>
      </c>
      <c r="AV1306" s="127">
        <v>90.028245061613404</v>
      </c>
      <c r="AW1306" s="127">
        <v>89.121633484053959</v>
      </c>
      <c r="AX1306" s="128">
        <v>88.060533046875008</v>
      </c>
    </row>
    <row r="1307" spans="1:50" x14ac:dyDescent="0.25">
      <c r="A1307" s="356"/>
      <c r="B1307" s="358" t="s">
        <v>18</v>
      </c>
      <c r="C1307" s="353" t="s">
        <v>6</v>
      </c>
      <c r="D1307" s="3" t="s">
        <v>7</v>
      </c>
      <c r="E1307" s="162" t="str">
        <f>A1291&amp;"/"&amp;B1307&amp;"/"&amp;C1307&amp;"/"&amp;D1307</f>
        <v>Lignite fired power plants/Fluidized bed combustion/Electricity only/L</v>
      </c>
      <c r="F1307" s="77" t="str">
        <f>A1291</f>
        <v>Lignite fired power plants</v>
      </c>
      <c r="G1307" s="77" t="str">
        <f>B1307</f>
        <v>Fluidized bed combustion</v>
      </c>
      <c r="H1307" s="77" t="str">
        <f>C1307</f>
        <v>Electricity only</v>
      </c>
      <c r="I1307" s="163" t="str">
        <f t="shared" si="98"/>
        <v>L</v>
      </c>
      <c r="J1307" s="121">
        <v>39.05952380952381</v>
      </c>
      <c r="K1307" s="121">
        <v>39.057953709360348</v>
      </c>
      <c r="L1307" s="121">
        <v>39.05603665055763</v>
      </c>
      <c r="M1307" s="121">
        <v>39.053696142511953</v>
      </c>
      <c r="N1307" s="121">
        <v>39.050838919808065</v>
      </c>
      <c r="O1307" s="121">
        <v>39.047351306795001</v>
      </c>
      <c r="P1307" s="121">
        <v>39.043094815636785</v>
      </c>
      <c r="Q1307" s="121">
        <v>39.037900826774312</v>
      </c>
      <c r="R1307" s="121">
        <v>39.031564176278394</v>
      </c>
      <c r="S1307" s="121">
        <v>39.023835448975191</v>
      </c>
      <c r="T1307" s="121">
        <v>39.014411751215015</v>
      </c>
      <c r="U1307" s="121">
        <v>39.002925715723485</v>
      </c>
      <c r="V1307" s="121">
        <v>38.988932478009644</v>
      </c>
      <c r="W1307" s="121">
        <v>38.971894366988025</v>
      </c>
      <c r="X1307" s="121">
        <v>38.951163083489973</v>
      </c>
      <c r="Y1307" s="121">
        <v>38.925959216502228</v>
      </c>
      <c r="Z1307" s="121">
        <v>38.895349093213888</v>
      </c>
      <c r="AA1307" s="121">
        <v>38.858219210157415</v>
      </c>
      <c r="AB1307" s="121">
        <v>38.813248896004403</v>
      </c>
      <c r="AC1307" s="121">
        <v>38.758882472710006</v>
      </c>
      <c r="AD1307" s="121">
        <v>38.693303084192777</v>
      </c>
      <c r="AE1307" s="121">
        <v>38.61441163053631</v>
      </c>
      <c r="AF1307" s="121">
        <v>38.519815950911834</v>
      </c>
      <c r="AG1307" s="121">
        <v>38.406837566944162</v>
      </c>
      <c r="AH1307" s="121">
        <v>38.272545854235936</v>
      </c>
      <c r="AI1307" s="121">
        <v>38.113832180016246</v>
      </c>
      <c r="AJ1307" s="121">
        <v>37.927538726660117</v>
      </c>
      <c r="AK1307" s="121">
        <v>37.71065732962807</v>
      </c>
      <c r="AL1307" s="121">
        <v>37.460611015145581</v>
      </c>
      <c r="AM1307" s="121">
        <v>37.175622810290989</v>
      </c>
      <c r="AN1307" s="121">
        <v>36.855160499544034</v>
      </c>
      <c r="AO1307" s="121">
        <v>36.500420978930805</v>
      </c>
      <c r="AP1307" s="121">
        <v>36.114785192668812</v>
      </c>
      <c r="AQ1307" s="121">
        <v>35.704140881963752</v>
      </c>
      <c r="AR1307" s="121">
        <v>35.276948577225063</v>
      </c>
      <c r="AS1307" s="121">
        <v>34.843934326951121</v>
      </c>
      <c r="AT1307" s="121">
        <v>34.417346480142541</v>
      </c>
      <c r="AU1307" s="121">
        <v>34.0098155931897</v>
      </c>
      <c r="AV1307" s="121">
        <v>33.632983636923647</v>
      </c>
      <c r="AW1307" s="121">
        <v>33.296173686282486</v>
      </c>
      <c r="AX1307" s="122">
        <v>33.005400308716141</v>
      </c>
    </row>
    <row r="1308" spans="1:50" x14ac:dyDescent="0.25">
      <c r="A1308" s="356"/>
      <c r="B1308" s="359"/>
      <c r="C1308" s="350"/>
      <c r="D1308" s="2" t="s">
        <v>8</v>
      </c>
      <c r="E1308" s="160" t="str">
        <f>A1291&amp;"/"&amp;B1307&amp;"/"&amp;C1307&amp;"/"&amp;D1308</f>
        <v>Lignite fired power plants/Fluidized bed combustion/Electricity only/M</v>
      </c>
      <c r="F1308" s="76" t="str">
        <f>A1291</f>
        <v>Lignite fired power plants</v>
      </c>
      <c r="G1308" s="76" t="str">
        <f>B1307</f>
        <v>Fluidized bed combustion</v>
      </c>
      <c r="H1308" s="76" t="str">
        <f>C1307</f>
        <v>Electricity only</v>
      </c>
      <c r="I1308" s="161" t="str">
        <f t="shared" si="98"/>
        <v>M</v>
      </c>
      <c r="J1308" s="119">
        <v>42.379583333333329</v>
      </c>
      <c r="K1308" s="119">
        <v>42.376180590952124</v>
      </c>
      <c r="L1308" s="119">
        <v>42.372129671619611</v>
      </c>
      <c r="M1308" s="119">
        <v>42.36730769372609</v>
      </c>
      <c r="N1308" s="119">
        <v>42.361568725203263</v>
      </c>
      <c r="O1308" s="119">
        <v>42.354739562276635</v>
      </c>
      <c r="P1308" s="119">
        <v>42.34661477822128</v>
      </c>
      <c r="Q1308" s="119">
        <v>42.336950934159447</v>
      </c>
      <c r="R1308" s="119">
        <v>42.325459836045219</v>
      </c>
      <c r="S1308" s="119">
        <v>42.311800717580816</v>
      </c>
      <c r="T1308" s="119">
        <v>42.295571230432472</v>
      </c>
      <c r="U1308" s="119">
        <v>42.276297134413589</v>
      </c>
      <c r="V1308" s="119">
        <v>42.253420606418729</v>
      </c>
      <c r="W1308" s="119">
        <v>42.226287134929223</v>
      </c>
      <c r="X1308" s="119">
        <v>42.194131046454643</v>
      </c>
      <c r="Y1308" s="119">
        <v>42.156059833944688</v>
      </c>
      <c r="Z1308" s="119">
        <v>42.111037641111579</v>
      </c>
      <c r="AA1308" s="119">
        <v>42.057868520482806</v>
      </c>
      <c r="AB1308" s="119">
        <v>41.995180449714987</v>
      </c>
      <c r="AC1308" s="119">
        <v>41.921411584404872</v>
      </c>
      <c r="AD1308" s="119">
        <v>41.834800867829614</v>
      </c>
      <c r="AE1308" s="119">
        <v>41.73338592010878</v>
      </c>
      <c r="AF1308" s="119">
        <v>41.615012079964117</v>
      </c>
      <c r="AG1308" s="119">
        <v>41.477357518501606</v>
      </c>
      <c r="AH1308" s="119">
        <v>41.317980364533213</v>
      </c>
      <c r="AI1308" s="119">
        <v>41.134394551181117</v>
      </c>
      <c r="AJ1308" s="119">
        <v>40.924181254194671</v>
      </c>
      <c r="AK1308" s="119">
        <v>40.685141827284255</v>
      </c>
      <c r="AL1308" s="119">
        <v>40.415495394417313</v>
      </c>
      <c r="AM1308" s="119">
        <v>40.114119037093907</v>
      </c>
      <c r="AN1308" s="119">
        <v>39.78082029674944</v>
      </c>
      <c r="AO1308" s="119">
        <v>39.416620526775567</v>
      </c>
      <c r="AP1308" s="119">
        <v>39.024014543177707</v>
      </c>
      <c r="AQ1308" s="119">
        <v>38.607159612357449</v>
      </c>
      <c r="AR1308" s="119">
        <v>38.17193929770815</v>
      </c>
      <c r="AS1308" s="119">
        <v>37.725850317507948</v>
      </c>
      <c r="AT1308" s="119">
        <v>37.277677957568955</v>
      </c>
      <c r="AU1308" s="119">
        <v>36.836959105844883</v>
      </c>
      <c r="AV1308" s="119">
        <v>36.413277201409976</v>
      </c>
      <c r="AW1308" s="119">
        <v>36.015479245058089</v>
      </c>
      <c r="AX1308" s="120">
        <v>35.650936262933513</v>
      </c>
    </row>
    <row r="1309" spans="1:50" x14ac:dyDescent="0.25">
      <c r="A1309" s="356"/>
      <c r="B1309" s="359"/>
      <c r="C1309" s="360"/>
      <c r="D1309" s="2" t="s">
        <v>10</v>
      </c>
      <c r="E1309" s="160" t="str">
        <f>A1291&amp;"/"&amp;B1307&amp;"/"&amp;C1307&amp;"/"&amp;D1309</f>
        <v>Lignite fired power plants/Fluidized bed combustion/Electricity only/S</v>
      </c>
      <c r="F1309" s="76" t="str">
        <f>A1291</f>
        <v>Lignite fired power plants</v>
      </c>
      <c r="G1309" s="76" t="str">
        <f>B1307</f>
        <v>Fluidized bed combustion</v>
      </c>
      <c r="H1309" s="76" t="str">
        <f>C1307</f>
        <v>Electricity only</v>
      </c>
      <c r="I1309" s="161" t="str">
        <f t="shared" si="98"/>
        <v>S</v>
      </c>
      <c r="J1309" s="119">
        <v>48.100827083333328</v>
      </c>
      <c r="K1309" s="119">
        <v>48.092217158988895</v>
      </c>
      <c r="L1309" s="119">
        <v>48.082226604722891</v>
      </c>
      <c r="M1309" s="119">
        <v>48.070636417154617</v>
      </c>
      <c r="N1309" s="119">
        <v>48.057193682902756</v>
      </c>
      <c r="O1309" s="119">
        <v>48.041606616970107</v>
      </c>
      <c r="P1309" s="119">
        <v>48.023538976719486</v>
      </c>
      <c r="Q1309" s="119">
        <v>48.002603809773433</v>
      </c>
      <c r="R1309" s="119">
        <v>47.978356506501257</v>
      </c>
      <c r="S1309" s="119">
        <v>47.950287147831546</v>
      </c>
      <c r="T1309" s="119">
        <v>47.917812169717962</v>
      </c>
      <c r="U1309" s="119">
        <v>47.880265410185231</v>
      </c>
      <c r="V1309" s="119">
        <v>47.836888667805091</v>
      </c>
      <c r="W1309" s="119">
        <v>47.786821986859778</v>
      </c>
      <c r="X1309" s="119">
        <v>47.729094000300272</v>
      </c>
      <c r="Y1309" s="119">
        <v>47.662612813394951</v>
      </c>
      <c r="Z1309" s="119">
        <v>47.586158105187685</v>
      </c>
      <c r="AA1309" s="119">
        <v>47.498375367035088</v>
      </c>
      <c r="AB1309" s="119">
        <v>47.397773490383024</v>
      </c>
      <c r="AC1309" s="119">
        <v>47.282727257123135</v>
      </c>
      <c r="AD1309" s="119">
        <v>47.151486663877591</v>
      </c>
      <c r="AE1309" s="119">
        <v>47.002195400837167</v>
      </c>
      <c r="AF1309" s="119">
        <v>46.83292116031275</v>
      </c>
      <c r="AG1309" s="119">
        <v>46.641700696383324</v>
      </c>
      <c r="AH1309" s="119">
        <v>46.426602587312843</v>
      </c>
      <c r="AI1309" s="119">
        <v>46.18581032182005</v>
      </c>
      <c r="AJ1309" s="119">
        <v>45.9177274607801</v>
      </c>
      <c r="AK1309" s="119">
        <v>45.621105024064015</v>
      </c>
      <c r="AL1309" s="119">
        <v>45.295188747237951</v>
      </c>
      <c r="AM1309" s="119">
        <v>44.939880360978592</v>
      </c>
      <c r="AN1309" s="119">
        <v>44.555902661194317</v>
      </c>
      <c r="AO1309" s="119">
        <v>44.144953237022641</v>
      </c>
      <c r="AP1309" s="119">
        <v>43.709827057555565</v>
      </c>
      <c r="AQ1309" s="119">
        <v>43.254484833385426</v>
      </c>
      <c r="AR1309" s="119">
        <v>42.78404359973424</v>
      </c>
      <c r="AS1309" s="119">
        <v>42.304669736428941</v>
      </c>
      <c r="AT1309" s="119">
        <v>41.823363568278296</v>
      </c>
      <c r="AU1309" s="119">
        <v>41.347638617483582</v>
      </c>
      <c r="AV1309" s="119">
        <v>40.885115808987528</v>
      </c>
      <c r="AW1309" s="119">
        <v>40.443070179249538</v>
      </c>
      <c r="AX1309" s="120">
        <v>40.027980639275356</v>
      </c>
    </row>
    <row r="1310" spans="1:50" x14ac:dyDescent="0.25">
      <c r="A1310" s="356"/>
      <c r="B1310" s="359"/>
      <c r="C1310" s="361" t="s">
        <v>14</v>
      </c>
      <c r="D1310" s="58" t="s">
        <v>7</v>
      </c>
      <c r="E1310" s="164" t="str">
        <f>A1291&amp;"/"&amp;B1307&amp;"/"&amp;C1310&amp;"/"&amp;D1310</f>
        <v>Lignite fired power plants/Fluidized bed combustion/CHP/L</v>
      </c>
      <c r="F1310" s="78" t="str">
        <f>A1291</f>
        <v>Lignite fired power plants</v>
      </c>
      <c r="G1310" s="78" t="str">
        <f>B1307</f>
        <v>Fluidized bed combustion</v>
      </c>
      <c r="H1310" s="78" t="str">
        <f>C1310</f>
        <v>CHP</v>
      </c>
      <c r="I1310" s="165" t="str">
        <f t="shared" si="98"/>
        <v>L</v>
      </c>
      <c r="J1310" s="123">
        <v>44.365952380952379</v>
      </c>
      <c r="K1310" s="123">
        <v>44.365368993714846</v>
      </c>
      <c r="L1310" s="123">
        <v>44.364656533989994</v>
      </c>
      <c r="M1310" s="123">
        <v>44.363786469531938</v>
      </c>
      <c r="N1310" s="123">
        <v>44.36272397296986</v>
      </c>
      <c r="O1310" s="123">
        <v>44.361426538850012</v>
      </c>
      <c r="P1310" s="123">
        <v>44.359842299784731</v>
      </c>
      <c r="Q1310" s="123">
        <v>44.357907977684548</v>
      </c>
      <c r="R1310" s="123">
        <v>44.355546393140536</v>
      </c>
      <c r="S1310" s="123">
        <v>44.352663440873513</v>
      </c>
      <c r="T1310" s="123">
        <v>44.349144421572419</v>
      </c>
      <c r="U1310" s="123">
        <v>44.344849600305103</v>
      </c>
      <c r="V1310" s="123">
        <v>44.339608839077215</v>
      </c>
      <c r="W1310" s="123">
        <v>44.333215126438823</v>
      </c>
      <c r="X1310" s="123">
        <v>44.325416801208647</v>
      </c>
      <c r="Y1310" s="123">
        <v>44.315908242150776</v>
      </c>
      <c r="Z1310" s="123">
        <v>44.304318773813442</v>
      </c>
      <c r="AA1310" s="123">
        <v>44.290199525658515</v>
      </c>
      <c r="AB1310" s="123">
        <v>44.273007984821078</v>
      </c>
      <c r="AC1310" s="123">
        <v>44.252090014136584</v>
      </c>
      <c r="AD1310" s="123">
        <v>44.226659183921221</v>
      </c>
      <c r="AE1310" s="123">
        <v>44.195773413551322</v>
      </c>
      <c r="AF1310" s="123">
        <v>44.15830917235435</v>
      </c>
      <c r="AG1310" s="123">
        <v>44.112933896230537</v>
      </c>
      <c r="AH1310" s="123">
        <v>44.058077898105779</v>
      </c>
      <c r="AI1310" s="123">
        <v>43.991907960936231</v>
      </c>
      <c r="AJ1310" s="123">
        <v>43.912306082210407</v>
      </c>
      <c r="AK1310" s="123">
        <v>43.816858559462936</v>
      </c>
      <c r="AL1310" s="123">
        <v>43.702862794365281</v>
      </c>
      <c r="AM1310" s="123">
        <v>43.567361771967668</v>
      </c>
      <c r="AN1310" s="123">
        <v>43.40721886596441</v>
      </c>
      <c r="AO1310" s="123">
        <v>43.219247822281467</v>
      </c>
      <c r="AP1310" s="123">
        <v>43.000413387570546</v>
      </c>
      <c r="AQ1310" s="123">
        <v>42.748115382162382</v>
      </c>
      <c r="AR1310" s="123">
        <v>42.460560831324543</v>
      </c>
      <c r="AS1310" s="123">
        <v>42.137212726885231</v>
      </c>
      <c r="AT1310" s="123">
        <v>41.77927874303348</v>
      </c>
      <c r="AU1310" s="123">
        <v>41.390170269712137</v>
      </c>
      <c r="AV1310" s="123">
        <v>40.975828067798361</v>
      </c>
      <c r="AW1310" s="123">
        <v>40.544788855585395</v>
      </c>
      <c r="AX1310" s="124">
        <v>40.107875270661992</v>
      </c>
    </row>
    <row r="1311" spans="1:50" x14ac:dyDescent="0.25">
      <c r="A1311" s="356"/>
      <c r="B1311" s="359"/>
      <c r="C1311" s="350"/>
      <c r="D1311" s="2" t="s">
        <v>8</v>
      </c>
      <c r="E1311" s="160" t="str">
        <f>A1291&amp;"/"&amp;B1307&amp;"/"&amp;C1310&amp;"/"&amp;D1311</f>
        <v>Lignite fired power plants/Fluidized bed combustion/CHP/M</v>
      </c>
      <c r="F1311" s="76" t="str">
        <f>A1291</f>
        <v>Lignite fired power plants</v>
      </c>
      <c r="G1311" s="76" t="str">
        <f>B1307</f>
        <v>Fluidized bed combustion</v>
      </c>
      <c r="H1311" s="76" t="str">
        <f>C1310</f>
        <v>CHP</v>
      </c>
      <c r="I1311" s="161" t="str">
        <f t="shared" ref="I1311:I1374" si="99">D1311</f>
        <v>M</v>
      </c>
      <c r="J1311" s="119">
        <v>47.586410119047613</v>
      </c>
      <c r="K1311" s="119">
        <v>47.584975610210023</v>
      </c>
      <c r="L1311" s="119">
        <v>47.58326721159581</v>
      </c>
      <c r="M1311" s="119">
        <v>47.581232733087269</v>
      </c>
      <c r="N1311" s="119">
        <v>47.57881008296804</v>
      </c>
      <c r="O1311" s="119">
        <v>47.575925407505167</v>
      </c>
      <c r="P1311" s="119">
        <v>47.572490888575935</v>
      </c>
      <c r="Q1311" s="119">
        <v>47.568402139687613</v>
      </c>
      <c r="R1311" s="119">
        <v>47.563535131699254</v>
      </c>
      <c r="S1311" s="119">
        <v>47.557742569754261</v>
      </c>
      <c r="T1311" s="119">
        <v>47.550849632612753</v>
      </c>
      <c r="U1311" s="119">
        <v>47.542648975170025</v>
      </c>
      <c r="V1311" s="119">
        <v>47.532894885191617</v>
      </c>
      <c r="W1311" s="119">
        <v>47.521296477328285</v>
      </c>
      <c r="X1311" s="119">
        <v>47.507509803032306</v>
      </c>
      <c r="Y1311" s="119">
        <v>47.491128756635504</v>
      </c>
      <c r="Z1311" s="119">
        <v>47.47167466925395</v>
      </c>
      <c r="AA1311" s="119">
        <v>47.44858450854484</v>
      </c>
      <c r="AB1311" s="119">
        <v>47.42119765082635</v>
      </c>
      <c r="AC1311" s="119">
        <v>47.388741272357521</v>
      </c>
      <c r="AD1311" s="119">
        <v>47.350314531400905</v>
      </c>
      <c r="AE1311" s="119">
        <v>47.304871898313131</v>
      </c>
      <c r="AF1311" s="119">
        <v>47.251206257252754</v>
      </c>
      <c r="AG1311" s="119">
        <v>47.18793277323028</v>
      </c>
      <c r="AH1311" s="119">
        <v>47.113475016540932</v>
      </c>
      <c r="AI1311" s="119">
        <v>47.026055484813803</v>
      </c>
      <c r="AJ1311" s="119">
        <v>46.923693472461885</v>
      </c>
      <c r="AK1311" s="119">
        <v>46.804214196878291</v>
      </c>
      <c r="AL1311" s="119">
        <v>46.665274146743748</v>
      </c>
      <c r="AM1311" s="119">
        <v>46.504408647428647</v>
      </c>
      <c r="AN1311" s="119">
        <v>46.319108415891613</v>
      </c>
      <c r="AO1311" s="119">
        <v>46.106932039664542</v>
      </c>
      <c r="AP1311" s="119">
        <v>45.865660340374653</v>
      </c>
      <c r="AQ1311" s="119">
        <v>45.593495811258514</v>
      </c>
      <c r="AR1311" s="119">
        <v>45.289305047429139</v>
      </c>
      <c r="AS1311" s="119">
        <v>44.952893793045448</v>
      </c>
      <c r="AT1311" s="119">
        <v>44.585292939419269</v>
      </c>
      <c r="AU1311" s="119">
        <v>44.189020600423341</v>
      </c>
      <c r="AV1311" s="119">
        <v>43.768272865138371</v>
      </c>
      <c r="AW1311" s="119">
        <v>43.328988240680708</v>
      </c>
      <c r="AX1311" s="120">
        <v>42.878733453516524</v>
      </c>
    </row>
    <row r="1312" spans="1:50" x14ac:dyDescent="0.25">
      <c r="A1312" s="356"/>
      <c r="B1312" s="359"/>
      <c r="C1312" s="360"/>
      <c r="D1312" s="59" t="s">
        <v>10</v>
      </c>
      <c r="E1312" s="166" t="str">
        <f>A1291&amp;"/"&amp;B1307&amp;"/"&amp;C1310&amp;"/"&amp;D1312</f>
        <v>Lignite fired power plants/Fluidized bed combustion/CHP/S</v>
      </c>
      <c r="F1312" s="79" t="str">
        <f>A1291</f>
        <v>Lignite fired power plants</v>
      </c>
      <c r="G1312" s="79" t="str">
        <f>B1307</f>
        <v>Fluidized bed combustion</v>
      </c>
      <c r="H1312" s="79" t="str">
        <f>C1310</f>
        <v>CHP</v>
      </c>
      <c r="I1312" s="167" t="str">
        <f t="shared" si="99"/>
        <v>S</v>
      </c>
      <c r="J1312" s="125">
        <v>54.117564175595234</v>
      </c>
      <c r="K1312" s="125">
        <v>54.113398114989998</v>
      </c>
      <c r="L1312" s="125">
        <v>54.108560762531965</v>
      </c>
      <c r="M1312" s="125">
        <v>54.102944498221902</v>
      </c>
      <c r="N1312" s="125">
        <v>54.096424639708779</v>
      </c>
      <c r="O1312" s="125">
        <v>54.088856803873533</v>
      </c>
      <c r="P1312" s="125">
        <v>54.08007388379913</v>
      </c>
      <c r="Q1312" s="125">
        <v>54.069882593364163</v>
      </c>
      <c r="R1312" s="125">
        <v>54.058059528841518</v>
      </c>
      <c r="S1312" s="125">
        <v>54.044346695163512</v>
      </c>
      <c r="T1312" s="125">
        <v>54.028446444614943</v>
      </c>
      <c r="U1312" s="125">
        <v>54.010015778571201</v>
      </c>
      <c r="V1312" s="125">
        <v>53.988659969777125</v>
      </c>
      <c r="W1312" s="125">
        <v>53.963925475240373</v>
      </c>
      <c r="X1312" s="125">
        <v>53.935292130291771</v>
      </c>
      <c r="Y1312" s="125">
        <v>53.902164645568448</v>
      </c>
      <c r="Z1312" s="125">
        <v>53.863863474171787</v>
      </c>
      <c r="AA1312" s="125">
        <v>53.819615180438689</v>
      </c>
      <c r="AB1312" s="125">
        <v>53.768542529908693</v>
      </c>
      <c r="AC1312" s="125">
        <v>53.709654638247301</v>
      </c>
      <c r="AD1312" s="125">
        <v>53.641837671723344</v>
      </c>
      <c r="AE1312" s="125">
        <v>53.563846789964948</v>
      </c>
      <c r="AF1312" s="125">
        <v>53.474300268733998</v>
      </c>
      <c r="AG1312" s="125">
        <v>53.371677039234861</v>
      </c>
      <c r="AH1312" s="125">
        <v>53.254319228508585</v>
      </c>
      <c r="AI1312" s="125">
        <v>53.120441671066764</v>
      </c>
      <c r="AJ1312" s="125">
        <v>52.968150759017469</v>
      </c>
      <c r="AK1312" s="125">
        <v>52.79547535959415</v>
      </c>
      <c r="AL1312" s="125">
        <v>52.600412780169002</v>
      </c>
      <c r="AM1312" s="125">
        <v>52.380992791729653</v>
      </c>
      <c r="AN1312" s="125">
        <v>52.135362384567877</v>
      </c>
      <c r="AO1312" s="125">
        <v>51.86189304295273</v>
      </c>
      <c r="AP1312" s="125">
        <v>51.559310691502276</v>
      </c>
      <c r="AQ1312" s="125">
        <v>51.22684591065228</v>
      </c>
      <c r="AR1312" s="125">
        <v>50.864398456593612</v>
      </c>
      <c r="AS1312" s="125">
        <v>50.472705648080726</v>
      </c>
      <c r="AT1312" s="125">
        <v>50.053499183223536</v>
      </c>
      <c r="AU1312" s="125">
        <v>49.609630189298372</v>
      </c>
      <c r="AV1312" s="125">
        <v>49.145138957854698</v>
      </c>
      <c r="AW1312" s="125">
        <v>48.665245338635074</v>
      </c>
      <c r="AX1312" s="126">
        <v>48.176239610044007</v>
      </c>
    </row>
    <row r="1313" spans="1:50" x14ac:dyDescent="0.25">
      <c r="A1313" s="356"/>
      <c r="B1313" s="359"/>
      <c r="C1313" s="361" t="s">
        <v>15</v>
      </c>
      <c r="D1313" s="58" t="s">
        <v>7</v>
      </c>
      <c r="E1313" s="164" t="str">
        <f>A1291&amp;"/"&amp;B1307&amp;"/"&amp;C1313&amp;"/"&amp;D1313</f>
        <v>Lignite fired power plants/Fluidized bed combustion/Electricity only with CCS/L</v>
      </c>
      <c r="F1313" s="78" t="str">
        <f>A1291</f>
        <v>Lignite fired power plants</v>
      </c>
      <c r="G1313" s="78" t="str">
        <f>B1307</f>
        <v>Fluidized bed combustion</v>
      </c>
      <c r="H1313" s="78" t="str">
        <f>C1313</f>
        <v>Electricity only with CCS</v>
      </c>
      <c r="I1313" s="165" t="str">
        <f t="shared" si="99"/>
        <v>L</v>
      </c>
      <c r="J1313" s="123" t="s">
        <v>112</v>
      </c>
      <c r="K1313" s="123" t="s">
        <v>112</v>
      </c>
      <c r="L1313" s="123" t="s">
        <v>112</v>
      </c>
      <c r="M1313" s="123" t="s">
        <v>112</v>
      </c>
      <c r="N1313" s="123" t="s">
        <v>112</v>
      </c>
      <c r="O1313" s="123" t="s">
        <v>112</v>
      </c>
      <c r="P1313" s="123" t="s">
        <v>112</v>
      </c>
      <c r="Q1313" s="123" t="s">
        <v>112</v>
      </c>
      <c r="R1313" s="123" t="s">
        <v>112</v>
      </c>
      <c r="S1313" s="123" t="s">
        <v>112</v>
      </c>
      <c r="T1313" s="123" t="s">
        <v>112</v>
      </c>
      <c r="U1313" s="123" t="s">
        <v>112</v>
      </c>
      <c r="V1313" s="123" t="s">
        <v>112</v>
      </c>
      <c r="W1313" s="123" t="s">
        <v>112</v>
      </c>
      <c r="X1313" s="123" t="s">
        <v>112</v>
      </c>
      <c r="Y1313" s="123" t="s">
        <v>112</v>
      </c>
      <c r="Z1313" s="123" t="s">
        <v>112</v>
      </c>
      <c r="AA1313" s="123" t="s">
        <v>112</v>
      </c>
      <c r="AB1313" s="123" t="s">
        <v>112</v>
      </c>
      <c r="AC1313" s="123" t="s">
        <v>112</v>
      </c>
      <c r="AD1313" s="123" t="s">
        <v>112</v>
      </c>
      <c r="AE1313" s="123">
        <v>85.023115577465134</v>
      </c>
      <c r="AF1313" s="123">
        <v>85.001080961069405</v>
      </c>
      <c r="AG1313" s="123">
        <v>84.972832407834716</v>
      </c>
      <c r="AH1313" s="123">
        <v>84.936633651532674</v>
      </c>
      <c r="AI1313" s="123">
        <v>84.890273658724112</v>
      </c>
      <c r="AJ1313" s="123">
        <v>84.830943473008915</v>
      </c>
      <c r="AK1313" s="123">
        <v>84.75508540997545</v>
      </c>
      <c r="AL1313" s="123">
        <v>84.658211229126607</v>
      </c>
      <c r="AM1313" s="123">
        <v>84.53468756121282</v>
      </c>
      <c r="AN1313" s="123">
        <v>84.377490374917301</v>
      </c>
      <c r="AO1313" s="123">
        <v>84.177936738246942</v>
      </c>
      <c r="AP1313" s="123">
        <v>83.925413081123608</v>
      </c>
      <c r="AQ1313" s="123">
        <v>83.607136432650435</v>
      </c>
      <c r="AR1313" s="123">
        <v>83.208010459287507</v>
      </c>
      <c r="AS1313" s="123">
        <v>82.710672269057241</v>
      </c>
      <c r="AT1313" s="123">
        <v>82.095866473144824</v>
      </c>
      <c r="AU1313" s="123">
        <v>81.3433210340269</v>
      </c>
      <c r="AV1313" s="123">
        <v>80.433315248197417</v>
      </c>
      <c r="AW1313" s="123">
        <v>79.349090033963009</v>
      </c>
      <c r="AX1313" s="124">
        <v>78.080110156250015</v>
      </c>
    </row>
    <row r="1314" spans="1:50" x14ac:dyDescent="0.25">
      <c r="A1314" s="356"/>
      <c r="B1314" s="359"/>
      <c r="C1314" s="360"/>
      <c r="D1314" s="59" t="s">
        <v>8</v>
      </c>
      <c r="E1314" s="166" t="str">
        <f>A1291&amp;"/"&amp;B1307&amp;"/"&amp;C1313&amp;"/"&amp;D1314</f>
        <v>Lignite fired power plants/Fluidized bed combustion/Electricity only with CCS/M</v>
      </c>
      <c r="F1314" s="79" t="str">
        <f>A1291</f>
        <v>Lignite fired power plants</v>
      </c>
      <c r="G1314" s="79" t="str">
        <f>B1307</f>
        <v>Fluidized bed combustion</v>
      </c>
      <c r="H1314" s="79" t="str">
        <f>C1313</f>
        <v>Electricity only with CCS</v>
      </c>
      <c r="I1314" s="167" t="str">
        <f t="shared" si="99"/>
        <v>M</v>
      </c>
      <c r="J1314" s="125" t="s">
        <v>112</v>
      </c>
      <c r="K1314" s="125" t="s">
        <v>112</v>
      </c>
      <c r="L1314" s="125" t="s">
        <v>112</v>
      </c>
      <c r="M1314" s="125" t="s">
        <v>112</v>
      </c>
      <c r="N1314" s="125" t="s">
        <v>112</v>
      </c>
      <c r="O1314" s="125" t="s">
        <v>112</v>
      </c>
      <c r="P1314" s="125" t="s">
        <v>112</v>
      </c>
      <c r="Q1314" s="125" t="s">
        <v>112</v>
      </c>
      <c r="R1314" s="125" t="s">
        <v>112</v>
      </c>
      <c r="S1314" s="125" t="s">
        <v>112</v>
      </c>
      <c r="T1314" s="125" t="s">
        <v>112</v>
      </c>
      <c r="U1314" s="125" t="s">
        <v>112</v>
      </c>
      <c r="V1314" s="125" t="s">
        <v>112</v>
      </c>
      <c r="W1314" s="125" t="s">
        <v>112</v>
      </c>
      <c r="X1314" s="125" t="s">
        <v>112</v>
      </c>
      <c r="Y1314" s="125" t="s">
        <v>112</v>
      </c>
      <c r="Z1314" s="125" t="s">
        <v>112</v>
      </c>
      <c r="AA1314" s="125" t="s">
        <v>112</v>
      </c>
      <c r="AB1314" s="125" t="s">
        <v>112</v>
      </c>
      <c r="AC1314" s="125" t="s">
        <v>112</v>
      </c>
      <c r="AD1314" s="125" t="s">
        <v>112</v>
      </c>
      <c r="AE1314" s="125">
        <v>94.226381587721704</v>
      </c>
      <c r="AF1314" s="125">
        <v>94.200480429208113</v>
      </c>
      <c r="AG1314" s="125">
        <v>94.167274938267354</v>
      </c>
      <c r="AH1314" s="125">
        <v>94.124724175951584</v>
      </c>
      <c r="AI1314" s="125">
        <v>94.070229125942177</v>
      </c>
      <c r="AJ1314" s="125">
        <v>94.000487927944818</v>
      </c>
      <c r="AK1314" s="125">
        <v>93.911318610000876</v>
      </c>
      <c r="AL1314" s="125">
        <v>93.797445353985111</v>
      </c>
      <c r="AM1314" s="125">
        <v>93.652246270626662</v>
      </c>
      <c r="AN1314" s="125">
        <v>93.467464781037407</v>
      </c>
      <c r="AO1314" s="125">
        <v>93.232894308716226</v>
      </c>
      <c r="AP1314" s="125">
        <v>92.936058858798873</v>
      </c>
      <c r="AQ1314" s="125">
        <v>92.561932358240583</v>
      </c>
      <c r="AR1314" s="125">
        <v>92.092769432174507</v>
      </c>
      <c r="AS1314" s="125">
        <v>91.508160421122582</v>
      </c>
      <c r="AT1314" s="125">
        <v>90.785471081357727</v>
      </c>
      <c r="AU1314" s="125">
        <v>89.90087212319068</v>
      </c>
      <c r="AV1314" s="125">
        <v>88.8311823367317</v>
      </c>
      <c r="AW1314" s="125">
        <v>87.556701826884478</v>
      </c>
      <c r="AX1314" s="126">
        <v>86.065046679687526</v>
      </c>
    </row>
    <row r="1315" spans="1:50" x14ac:dyDescent="0.25">
      <c r="A1315" s="356"/>
      <c r="B1315" s="359"/>
      <c r="C1315" s="361" t="s">
        <v>16</v>
      </c>
      <c r="D1315" s="2" t="s">
        <v>7</v>
      </c>
      <c r="E1315" s="160" t="str">
        <f>A1291&amp;"/"&amp;B1307&amp;"/"&amp;C1315&amp;"/"&amp;D1315</f>
        <v>Lignite fired power plants/Fluidized bed combustion/CHP with CCS/L</v>
      </c>
      <c r="F1315" s="76" t="str">
        <f>A1291</f>
        <v>Lignite fired power plants</v>
      </c>
      <c r="G1315" s="76" t="str">
        <f>B1307</f>
        <v>Fluidized bed combustion</v>
      </c>
      <c r="H1315" s="76" t="str">
        <f>C1315</f>
        <v>CHP with CCS</v>
      </c>
      <c r="I1315" s="161" t="str">
        <f t="shared" si="99"/>
        <v>L</v>
      </c>
      <c r="J1315" s="119" t="s">
        <v>112</v>
      </c>
      <c r="K1315" s="119" t="s">
        <v>112</v>
      </c>
      <c r="L1315" s="119" t="s">
        <v>112</v>
      </c>
      <c r="M1315" s="119" t="s">
        <v>112</v>
      </c>
      <c r="N1315" s="119" t="s">
        <v>112</v>
      </c>
      <c r="O1315" s="119" t="s">
        <v>112</v>
      </c>
      <c r="P1315" s="119" t="s">
        <v>112</v>
      </c>
      <c r="Q1315" s="119" t="s">
        <v>112</v>
      </c>
      <c r="R1315" s="119" t="s">
        <v>112</v>
      </c>
      <c r="S1315" s="119" t="s">
        <v>112</v>
      </c>
      <c r="T1315" s="119" t="s">
        <v>112</v>
      </c>
      <c r="U1315" s="119" t="s">
        <v>112</v>
      </c>
      <c r="V1315" s="119" t="s">
        <v>112</v>
      </c>
      <c r="W1315" s="119" t="s">
        <v>112</v>
      </c>
      <c r="X1315" s="119" t="s">
        <v>112</v>
      </c>
      <c r="Y1315" s="119" t="s">
        <v>112</v>
      </c>
      <c r="Z1315" s="119" t="s">
        <v>112</v>
      </c>
      <c r="AA1315" s="119" t="s">
        <v>112</v>
      </c>
      <c r="AB1315" s="119" t="s">
        <v>112</v>
      </c>
      <c r="AC1315" s="119" t="s">
        <v>112</v>
      </c>
      <c r="AD1315" s="119" t="s">
        <v>112</v>
      </c>
      <c r="AE1315" s="119">
        <v>89.283182720609545</v>
      </c>
      <c r="AF1315" s="119">
        <v>89.264254242464432</v>
      </c>
      <c r="AG1315" s="119">
        <v>89.239987783138275</v>
      </c>
      <c r="AH1315" s="119">
        <v>89.208891831421269</v>
      </c>
      <c r="AI1315" s="119">
        <v>89.169067035067883</v>
      </c>
      <c r="AJ1315" s="119">
        <v>89.118100405856481</v>
      </c>
      <c r="AK1315" s="119">
        <v>89.052935772968254</v>
      </c>
      <c r="AL1315" s="119">
        <v>88.969717586543211</v>
      </c>
      <c r="AM1315" s="119">
        <v>88.863606592527205</v>
      </c>
      <c r="AN1315" s="119">
        <v>88.728568911279098</v>
      </c>
      <c r="AO1315" s="119">
        <v>88.557145611564763</v>
      </c>
      <c r="AP1315" s="119">
        <v>88.340219278964156</v>
      </c>
      <c r="AQ1315" s="119">
        <v>88.066808910635856</v>
      </c>
      <c r="AR1315" s="119">
        <v>87.723946247257814</v>
      </c>
      <c r="AS1315" s="119">
        <v>87.296715979417286</v>
      </c>
      <c r="AT1315" s="119">
        <v>86.76857707913301</v>
      </c>
      <c r="AU1315" s="119">
        <v>86.122115182917739</v>
      </c>
      <c r="AV1315" s="119">
        <v>85.34038954178736</v>
      </c>
      <c r="AW1315" s="119">
        <v>84.409003539714249</v>
      </c>
      <c r="AX1315" s="120">
        <v>83.3189070546875</v>
      </c>
    </row>
    <row r="1316" spans="1:50" x14ac:dyDescent="0.25">
      <c r="A1316" s="356"/>
      <c r="B1316" s="362"/>
      <c r="C1316" s="354"/>
      <c r="D1316" s="4" t="s">
        <v>8</v>
      </c>
      <c r="E1316" s="168" t="str">
        <f>A1291&amp;"/"&amp;B1307&amp;"/"&amp;C1315&amp;"/"&amp;D1316</f>
        <v>Lignite fired power plants/Fluidized bed combustion/CHP with CCS/M</v>
      </c>
      <c r="F1316" s="80" t="str">
        <f>A1291</f>
        <v>Lignite fired power plants</v>
      </c>
      <c r="G1316" s="80" t="str">
        <f>B1307</f>
        <v>Fluidized bed combustion</v>
      </c>
      <c r="H1316" s="80" t="str">
        <f>C1315</f>
        <v>CHP with CCS</v>
      </c>
      <c r="I1316" s="169" t="str">
        <f t="shared" si="99"/>
        <v>M</v>
      </c>
      <c r="J1316" s="127" t="s">
        <v>112</v>
      </c>
      <c r="K1316" s="127" t="s">
        <v>112</v>
      </c>
      <c r="L1316" s="127" t="s">
        <v>112</v>
      </c>
      <c r="M1316" s="127" t="s">
        <v>112</v>
      </c>
      <c r="N1316" s="127" t="s">
        <v>112</v>
      </c>
      <c r="O1316" s="127" t="s">
        <v>112</v>
      </c>
      <c r="P1316" s="127" t="s">
        <v>112</v>
      </c>
      <c r="Q1316" s="127" t="s">
        <v>112</v>
      </c>
      <c r="R1316" s="127" t="s">
        <v>112</v>
      </c>
      <c r="S1316" s="127" t="s">
        <v>112</v>
      </c>
      <c r="T1316" s="127" t="s">
        <v>112</v>
      </c>
      <c r="U1316" s="127" t="s">
        <v>112</v>
      </c>
      <c r="V1316" s="127" t="s">
        <v>112</v>
      </c>
      <c r="W1316" s="127" t="s">
        <v>112</v>
      </c>
      <c r="X1316" s="127" t="s">
        <v>112</v>
      </c>
      <c r="Y1316" s="127" t="s">
        <v>112</v>
      </c>
      <c r="Z1316" s="127" t="s">
        <v>112</v>
      </c>
      <c r="AA1316" s="127" t="s">
        <v>112</v>
      </c>
      <c r="AB1316" s="127" t="s">
        <v>112</v>
      </c>
      <c r="AC1316" s="127" t="s">
        <v>112</v>
      </c>
      <c r="AD1316" s="127" t="s">
        <v>112</v>
      </c>
      <c r="AE1316" s="127">
        <v>98.208736518001686</v>
      </c>
      <c r="AF1316" s="127">
        <v>98.185600437764052</v>
      </c>
      <c r="AG1316" s="127">
        <v>98.155939799135396</v>
      </c>
      <c r="AH1316" s="127">
        <v>98.117931543613025</v>
      </c>
      <c r="AI1316" s="127">
        <v>98.069254112875342</v>
      </c>
      <c r="AJ1316" s="127">
        <v>98.00695813673633</v>
      </c>
      <c r="AK1316" s="127">
        <v>97.927308089669751</v>
      </c>
      <c r="AL1316" s="127">
        <v>97.825591373534493</v>
      </c>
      <c r="AM1316" s="127">
        <v>97.69589301887406</v>
      </c>
      <c r="AN1316" s="127">
        <v>97.53083787791104</v>
      </c>
      <c r="AO1316" s="127">
        <v>97.321308977257658</v>
      </c>
      <c r="AP1316" s="127">
        <v>97.056162196928952</v>
      </c>
      <c r="AQ1316" s="127">
        <v>96.721975572365466</v>
      </c>
      <c r="AR1316" s="127">
        <v>96.302898136261916</v>
      </c>
      <c r="AS1316" s="127">
        <v>95.780699062415749</v>
      </c>
      <c r="AT1316" s="127">
        <v>95.135160425875284</v>
      </c>
      <c r="AU1316" s="127">
        <v>94.34499683286306</v>
      </c>
      <c r="AV1316" s="127">
        <v>93.389501783639489</v>
      </c>
      <c r="AW1316" s="127">
        <v>92.251078445484495</v>
      </c>
      <c r="AX1316" s="128">
        <v>90.91866494921878</v>
      </c>
    </row>
    <row r="1317" spans="1:50" x14ac:dyDescent="0.25">
      <c r="A1317" s="356"/>
      <c r="B1317" s="358" t="s">
        <v>19</v>
      </c>
      <c r="C1317" s="353" t="s">
        <v>6</v>
      </c>
      <c r="D1317" s="3" t="s">
        <v>7</v>
      </c>
      <c r="E1317" s="162" t="str">
        <f>A1291&amp;"/"&amp;B1317&amp;"/"&amp;C1317&amp;"/"&amp;D1317</f>
        <v>Lignite fired power plants/Steam turbine/Electricity only/L</v>
      </c>
      <c r="F1317" s="77" t="str">
        <f>A1291</f>
        <v>Lignite fired power plants</v>
      </c>
      <c r="G1317" s="77" t="str">
        <f>B1317</f>
        <v>Steam turbine</v>
      </c>
      <c r="H1317" s="77" t="str">
        <f>C1317</f>
        <v>Electricity only</v>
      </c>
      <c r="I1317" s="163" t="str">
        <f t="shared" si="99"/>
        <v>L</v>
      </c>
      <c r="J1317" s="121">
        <v>27.5</v>
      </c>
      <c r="K1317" s="121">
        <v>27.539115822829011</v>
      </c>
      <c r="L1317" s="121">
        <v>27.578254456321051</v>
      </c>
      <c r="M1317" s="121">
        <v>27.617395728010123</v>
      </c>
      <c r="N1317" s="121">
        <v>27.656519546434925</v>
      </c>
      <c r="O1317" s="121">
        <v>27.695605940439791</v>
      </c>
      <c r="P1317" s="121">
        <v>27.734635097748125</v>
      </c>
      <c r="Q1317" s="121">
        <v>27.773587402659267</v>
      </c>
      <c r="R1317" s="121">
        <v>27.812443472726752</v>
      </c>
      <c r="S1317" s="121">
        <v>27.851184194283711</v>
      </c>
      <c r="T1317" s="121">
        <v>27.88979075668982</v>
      </c>
      <c r="U1317" s="121">
        <v>27.928244685183479</v>
      </c>
      <c r="V1317" s="121">
        <v>27.966527872232795</v>
      </c>
      <c r="W1317" s="121">
        <v>28.004622607289168</v>
      </c>
      <c r="X1317" s="121">
        <v>28.04251160485823</v>
      </c>
      <c r="Y1317" s="121">
        <v>28.080178030813585</v>
      </c>
      <c r="Z1317" s="121">
        <v>28.117605526890326</v>
      </c>
      <c r="AA1317" s="121">
        <v>28.1547782333062</v>
      </c>
      <c r="AB1317" s="121">
        <v>28.191680809469858</v>
      </c>
      <c r="AC1317" s="121">
        <v>28.228298452746575</v>
      </c>
      <c r="AD1317" s="121">
        <v>28.264616915262724</v>
      </c>
      <c r="AE1317" s="121">
        <v>28.300622518741196</v>
      </c>
      <c r="AF1317" s="121">
        <v>28.336302167369965</v>
      </c>
      <c r="AG1317" s="121">
        <v>28.371643358716128</v>
      </c>
      <c r="AH1317" s="121">
        <v>28.406634192707003</v>
      </c>
      <c r="AI1317" s="121">
        <v>28.441263378708893</v>
      </c>
      <c r="AJ1317" s="121">
        <v>28.475520240742249</v>
      </c>
      <c r="AK1317" s="121">
        <v>28.509394720879843</v>
      </c>
      <c r="AL1317" s="121">
        <v>28.542877380881485</v>
      </c>
      <c r="AM1317" s="121">
        <v>28.575959402125175</v>
      </c>
      <c r="AN1317" s="121">
        <v>28.60863258390042</v>
      </c>
      <c r="AO1317" s="121">
        <v>28.640889340134269</v>
      </c>
      <c r="AP1317" s="121">
        <v>28.672722694625119</v>
      </c>
      <c r="AQ1317" s="121">
        <v>28.704126274862794</v>
      </c>
      <c r="AR1317" s="121">
        <v>28.735094304516625</v>
      </c>
      <c r="AS1317" s="121">
        <v>28.76562159467527</v>
      </c>
      <c r="AT1317" s="121">
        <v>28.795703533923998</v>
      </c>
      <c r="AU1317" s="121">
        <v>28.825336077346055</v>
      </c>
      <c r="AV1317" s="121">
        <v>28.854515734535287</v>
      </c>
      <c r="AW1317" s="121">
        <v>28.883239556707252</v>
      </c>
      <c r="AX1317" s="122">
        <v>28.911505122995411</v>
      </c>
    </row>
    <row r="1318" spans="1:50" x14ac:dyDescent="0.25">
      <c r="A1318" s="356"/>
      <c r="B1318" s="359"/>
      <c r="C1318" s="350"/>
      <c r="D1318" s="2" t="s">
        <v>8</v>
      </c>
      <c r="E1318" s="160" t="str">
        <f>A1291&amp;"/"&amp;B1317&amp;"/"&amp;C1317&amp;"/"&amp;D1318</f>
        <v>Lignite fired power plants/Steam turbine/Electricity only/M</v>
      </c>
      <c r="F1318" s="76" t="str">
        <f>A1291</f>
        <v>Lignite fired power plants</v>
      </c>
      <c r="G1318" s="76" t="str">
        <f>B1317</f>
        <v>Steam turbine</v>
      </c>
      <c r="H1318" s="76" t="str">
        <f>C1317</f>
        <v>Electricity only</v>
      </c>
      <c r="I1318" s="161" t="str">
        <f t="shared" si="99"/>
        <v>M</v>
      </c>
      <c r="J1318" s="119">
        <v>29.700000000000003</v>
      </c>
      <c r="K1318" s="119">
        <v>29.731683816491504</v>
      </c>
      <c r="L1318" s="119">
        <v>29.763386109620058</v>
      </c>
      <c r="M1318" s="119">
        <v>29.795090539688204</v>
      </c>
      <c r="N1318" s="119">
        <v>29.82678083261229</v>
      </c>
      <c r="O1318" s="119">
        <v>29.858440811756232</v>
      </c>
      <c r="P1318" s="119">
        <v>29.890054429175983</v>
      </c>
      <c r="Q1318" s="119">
        <v>29.921605796154012</v>
      </c>
      <c r="R1318" s="119">
        <v>29.953079212908676</v>
      </c>
      <c r="S1318" s="119">
        <v>29.984459197369812</v>
      </c>
      <c r="T1318" s="119">
        <v>30.015730512918761</v>
      </c>
      <c r="U1318" s="119">
        <v>30.046878194998623</v>
      </c>
      <c r="V1318" s="119">
        <v>30.077887576508569</v>
      </c>
      <c r="W1318" s="119">
        <v>30.108744311904232</v>
      </c>
      <c r="X1318" s="119">
        <v>30.139434399935173</v>
      </c>
      <c r="Y1318" s="119">
        <v>30.169944204959009</v>
      </c>
      <c r="Z1318" s="119">
        <v>30.200260476781171</v>
      </c>
      <c r="AA1318" s="119">
        <v>30.230370368978026</v>
      </c>
      <c r="AB1318" s="119">
        <v>30.260261455670591</v>
      </c>
      <c r="AC1318" s="119">
        <v>30.28992174672473</v>
      </c>
      <c r="AD1318" s="119">
        <v>30.319339701362811</v>
      </c>
      <c r="AE1318" s="119">
        <v>30.348504240180375</v>
      </c>
      <c r="AF1318" s="119">
        <v>30.377404755569675</v>
      </c>
      <c r="AG1318" s="119">
        <v>30.406031120560066</v>
      </c>
      <c r="AH1318" s="119">
        <v>30.434373696092681</v>
      </c>
      <c r="AI1318" s="119">
        <v>30.462423336754213</v>
      </c>
      <c r="AJ1318" s="119">
        <v>30.490171395001227</v>
      </c>
      <c r="AK1318" s="119">
        <v>30.517609723912681</v>
      </c>
      <c r="AL1318" s="119">
        <v>30.544730678514007</v>
      </c>
      <c r="AM1318" s="119">
        <v>30.571527115721398</v>
      </c>
      <c r="AN1318" s="119">
        <v>30.597992392959345</v>
      </c>
      <c r="AO1318" s="119">
        <v>30.624120365508766</v>
      </c>
      <c r="AP1318" s="119">
        <v>30.649905382646352</v>
      </c>
      <c r="AQ1318" s="119">
        <v>30.675342282638869</v>
      </c>
      <c r="AR1318" s="119">
        <v>30.700426386658471</v>
      </c>
      <c r="AS1318" s="119">
        <v>30.725153491686974</v>
      </c>
      <c r="AT1318" s="119">
        <v>30.749519862478447</v>
      </c>
      <c r="AU1318" s="119">
        <v>30.77352222265031</v>
      </c>
      <c r="AV1318" s="119">
        <v>30.797157744973589</v>
      </c>
      <c r="AW1318" s="119">
        <v>30.820424040932885</v>
      </c>
      <c r="AX1318" s="120">
        <v>30.843319149626289</v>
      </c>
    </row>
    <row r="1319" spans="1:50" x14ac:dyDescent="0.25">
      <c r="A1319" s="356"/>
      <c r="B1319" s="359"/>
      <c r="C1319" s="350"/>
      <c r="D1319" s="2" t="s">
        <v>10</v>
      </c>
      <c r="E1319" s="160" t="str">
        <f>A1291&amp;"/"&amp;B1317&amp;"/"&amp;C1317&amp;"/"&amp;D1319</f>
        <v>Lignite fired power plants/Steam turbine/Electricity only/S</v>
      </c>
      <c r="F1319" s="76" t="str">
        <f>A1291</f>
        <v>Lignite fired power plants</v>
      </c>
      <c r="G1319" s="76" t="str">
        <f>B1317</f>
        <v>Steam turbine</v>
      </c>
      <c r="H1319" s="76" t="str">
        <f>C1317</f>
        <v>Electricity only</v>
      </c>
      <c r="I1319" s="161" t="str">
        <f t="shared" si="99"/>
        <v>S</v>
      </c>
      <c r="J1319" s="119">
        <v>32.8185</v>
      </c>
      <c r="K1319" s="119">
        <v>32.847675514352588</v>
      </c>
      <c r="L1319" s="119">
        <v>32.876868042608464</v>
      </c>
      <c r="M1319" s="119">
        <v>32.906062538629548</v>
      </c>
      <c r="N1319" s="119">
        <v>32.935244016697155</v>
      </c>
      <c r="O1319" s="119">
        <v>32.964397580825533</v>
      </c>
      <c r="P1319" s="119">
        <v>32.993508453532883</v>
      </c>
      <c r="Q1319" s="119">
        <v>33.022562003958484</v>
      </c>
      <c r="R1319" s="119">
        <v>33.051543775220068</v>
      </c>
      <c r="S1319" s="119">
        <v>33.080439510911368</v>
      </c>
      <c r="T1319" s="119">
        <v>33.109235180646024</v>
      </c>
      <c r="U1319" s="119">
        <v>33.137917004561231</v>
      </c>
      <c r="V1319" s="119">
        <v>33.166471476701638</v>
      </c>
      <c r="W1319" s="119">
        <v>33.194885387211812</v>
      </c>
      <c r="X1319" s="119">
        <v>33.223145843273635</v>
      </c>
      <c r="Y1319" s="119">
        <v>33.251240288733086</v>
      </c>
      <c r="Z1319" s="119">
        <v>33.279156522369327</v>
      </c>
      <c r="AA1319" s="119">
        <v>33.306882714767262</v>
      </c>
      <c r="AB1319" s="119">
        <v>33.334407423763338</v>
      </c>
      <c r="AC1319" s="119">
        <v>33.361719608442357</v>
      </c>
      <c r="AD1319" s="119">
        <v>33.388808641671588</v>
      </c>
      <c r="AE1319" s="119">
        <v>33.415664321166091</v>
      </c>
      <c r="AF1319" s="119">
        <v>33.442276879087075</v>
      </c>
      <c r="AG1319" s="119">
        <v>33.468636990182397</v>
      </c>
      <c r="AH1319" s="119">
        <v>33.494735778485342</v>
      </c>
      <c r="AI1319" s="119">
        <v>33.520564822594501</v>
      </c>
      <c r="AJ1319" s="119">
        <v>33.546116159563631</v>
      </c>
      <c r="AK1319" s="119">
        <v>33.571382287436258</v>
      </c>
      <c r="AL1319" s="119">
        <v>33.596356166464986</v>
      </c>
      <c r="AM1319" s="119">
        <v>33.621031219060121</v>
      </c>
      <c r="AN1319" s="119">
        <v>33.645401328516733</v>
      </c>
      <c r="AO1319" s="119">
        <v>33.669460836572654</v>
      </c>
      <c r="AP1319" s="119">
        <v>33.693204539853511</v>
      </c>
      <c r="AQ1319" s="119">
        <v>33.71662768526329</v>
      </c>
      <c r="AR1319" s="119">
        <v>33.739725964381343</v>
      </c>
      <c r="AS1319" s="119">
        <v>33.762495506928417</v>
      </c>
      <c r="AT1319" s="119">
        <v>33.78493287336557</v>
      </c>
      <c r="AU1319" s="119">
        <v>33.807035046690494</v>
      </c>
      <c r="AV1319" s="119">
        <v>33.828799423496513</v>
      </c>
      <c r="AW1319" s="119">
        <v>33.850223804359032</v>
      </c>
      <c r="AX1319" s="120">
        <v>33.871306383614211</v>
      </c>
    </row>
    <row r="1320" spans="1:50" x14ac:dyDescent="0.25">
      <c r="A1320" s="356"/>
      <c r="B1320" s="359"/>
      <c r="C1320" s="360"/>
      <c r="D1320" s="2" t="s">
        <v>20</v>
      </c>
      <c r="E1320" s="160" t="str">
        <f>A1291&amp;"/"&amp;B1317&amp;"/"&amp;C1317&amp;"/"&amp;D1320</f>
        <v>Lignite fired power plants/Steam turbine/Electricity only/XS</v>
      </c>
      <c r="F1320" s="76" t="str">
        <f>A1291</f>
        <v>Lignite fired power plants</v>
      </c>
      <c r="G1320" s="76" t="str">
        <f>B1317</f>
        <v>Steam turbine</v>
      </c>
      <c r="H1320" s="76" t="str">
        <f>C1317</f>
        <v>Electricity only</v>
      </c>
      <c r="I1320" s="161" t="str">
        <f t="shared" si="99"/>
        <v>XS</v>
      </c>
      <c r="J1320" s="119">
        <v>39.382200000000005</v>
      </c>
      <c r="K1320" s="119">
        <v>39.405405340009146</v>
      </c>
      <c r="L1320" s="119">
        <v>39.428519938754114</v>
      </c>
      <c r="M1320" s="119">
        <v>39.451533138573772</v>
      </c>
      <c r="N1320" s="119">
        <v>39.47443450437946</v>
      </c>
      <c r="O1320" s="119">
        <v>39.497213840322189</v>
      </c>
      <c r="P1320" s="119">
        <v>39.519861205492973</v>
      </c>
      <c r="Q1320" s="119">
        <v>39.542366928615245</v>
      </c>
      <c r="R1320" s="119">
        <v>39.564721621694737</v>
      </c>
      <c r="S1320" s="119">
        <v>39.586916192598444</v>
      </c>
      <c r="T1320" s="119">
        <v>39.608941856540362</v>
      </c>
      <c r="U1320" s="119">
        <v>39.630790146458338</v>
      </c>
      <c r="V1320" s="119">
        <v>39.65245292227204</v>
      </c>
      <c r="W1320" s="119">
        <v>39.673922379018414</v>
      </c>
      <c r="X1320" s="119">
        <v>39.695191053866452</v>
      </c>
      <c r="Y1320" s="119">
        <v>39.716251832018905</v>
      </c>
      <c r="Z1320" s="119">
        <v>39.737097951513654</v>
      </c>
      <c r="AA1320" s="119">
        <v>39.757723006942555</v>
      </c>
      <c r="AB1320" s="119">
        <v>39.778120952110228</v>
      </c>
      <c r="AC1320" s="119">
        <v>39.798286101659507</v>
      </c>
      <c r="AD1320" s="119">
        <v>39.818213131694364</v>
      </c>
      <c r="AE1320" s="119">
        <v>39.837897079434526</v>
      </c>
      <c r="AF1320" s="119">
        <v>39.857333341939452</v>
      </c>
      <c r="AG1320" s="119">
        <v>39.876517673941891</v>
      </c>
      <c r="AH1320" s="119">
        <v>39.895446184834015</v>
      </c>
      <c r="AI1320" s="119">
        <v>39.914115334850806</v>
      </c>
      <c r="AJ1320" s="119">
        <v>39.932521930497394</v>
      </c>
      <c r="AK1320" s="119">
        <v>39.950663119268128</v>
      </c>
      <c r="AL1320" s="119">
        <v>39.968536383706287</v>
      </c>
      <c r="AM1320" s="119">
        <v>39.986139534853834</v>
      </c>
      <c r="AN1320" s="119">
        <v>40.003470705140998</v>
      </c>
      <c r="AO1320" s="119">
        <v>40.020528340765388</v>
      </c>
      <c r="AP1320" s="119">
        <v>40.037311193610201</v>
      </c>
      <c r="AQ1320" s="119">
        <v>40.05381831275028</v>
      </c>
      <c r="AR1320" s="119">
        <v>40.070049035594188</v>
      </c>
      <c r="AS1320" s="119">
        <v>40.086002978709395</v>
      </c>
      <c r="AT1320" s="119">
        <v>40.101680028376308</v>
      </c>
      <c r="AU1320" s="119">
        <v>40.117080330915677</v>
      </c>
      <c r="AV1320" s="119">
        <v>40.132204282832255</v>
      </c>
      <c r="AW1320" s="119">
        <v>40.147052520815713</v>
      </c>
      <c r="AX1320" s="120">
        <v>40.161625911638531</v>
      </c>
    </row>
    <row r="1321" spans="1:50" x14ac:dyDescent="0.25">
      <c r="A1321" s="356"/>
      <c r="B1321" s="359"/>
      <c r="C1321" s="361" t="s">
        <v>14</v>
      </c>
      <c r="D1321" s="58" t="s">
        <v>7</v>
      </c>
      <c r="E1321" s="164" t="str">
        <f>A1291&amp;"/"&amp;B1317&amp;"/"&amp;C1321&amp;"/"&amp;D1321</f>
        <v>Lignite fired power plants/Steam turbine/CHP/L</v>
      </c>
      <c r="F1321" s="78" t="str">
        <f>A1291</f>
        <v>Lignite fired power plants</v>
      </c>
      <c r="G1321" s="78" t="str">
        <f>B1317</f>
        <v>Steam turbine</v>
      </c>
      <c r="H1321" s="78" t="str">
        <f>C1321</f>
        <v>CHP</v>
      </c>
      <c r="I1321" s="165" t="str">
        <f t="shared" si="99"/>
        <v>L</v>
      </c>
      <c r="J1321" s="123">
        <v>32.979999999999997</v>
      </c>
      <c r="K1321" s="123">
        <v>33.00915030765227</v>
      </c>
      <c r="L1321" s="123">
        <v>33.038258804815179</v>
      </c>
      <c r="M1321" s="123">
        <v>33.067318901012406</v>
      </c>
      <c r="N1321" s="123">
        <v>33.096324071294291</v>
      </c>
      <c r="O1321" s="123">
        <v>33.125267861472544</v>
      </c>
      <c r="P1321" s="123">
        <v>33.154143893203745</v>
      </c>
      <c r="Q1321" s="123">
        <v>33.182945868914359</v>
      </c>
      <c r="R1321" s="123">
        <v>33.211667576560536</v>
      </c>
      <c r="S1321" s="123">
        <v>33.240302894216484</v>
      </c>
      <c r="T1321" s="123">
        <v>33.268845794485657</v>
      </c>
      <c r="U1321" s="123">
        <v>33.297290348729703</v>
      </c>
      <c r="V1321" s="123">
        <v>33.325630731110323</v>
      </c>
      <c r="W1321" s="123">
        <v>33.353861222440173</v>
      </c>
      <c r="X1321" s="123">
        <v>33.381976213838918</v>
      </c>
      <c r="Y1321" s="123">
        <v>33.409970210191709</v>
      </c>
      <c r="Z1321" s="123">
        <v>33.437837833407301</v>
      </c>
      <c r="AA1321" s="123">
        <v>33.465573825473939</v>
      </c>
      <c r="AB1321" s="123">
        <v>33.493173051311523</v>
      </c>
      <c r="AC1321" s="123">
        <v>33.520630501419014</v>
      </c>
      <c r="AD1321" s="123">
        <v>33.547941294316686</v>
      </c>
      <c r="AE1321" s="123">
        <v>33.575100678783123</v>
      </c>
      <c r="AF1321" s="123">
        <v>33.602104035887578</v>
      </c>
      <c r="AG1321" s="123">
        <v>33.628946880818482</v>
      </c>
      <c r="AH1321" s="123">
        <v>33.655624864509633</v>
      </c>
      <c r="AI1321" s="123">
        <v>33.682133775065743</v>
      </c>
      <c r="AJ1321" s="123">
        <v>33.708469538989611</v>
      </c>
      <c r="AK1321" s="123">
        <v>33.734628222213559</v>
      </c>
      <c r="AL1321" s="123">
        <v>33.760606030938035</v>
      </c>
      <c r="AM1321" s="123">
        <v>33.78639931228075</v>
      </c>
      <c r="AN1321" s="123">
        <v>33.812004554739957</v>
      </c>
      <c r="AO1321" s="123">
        <v>33.837418388475896</v>
      </c>
      <c r="AP1321" s="123">
        <v>33.862637585414575</v>
      </c>
      <c r="AQ1321" s="123">
        <v>33.887659059178446</v>
      </c>
      <c r="AR1321" s="123">
        <v>33.912479864848734</v>
      </c>
      <c r="AS1321" s="123">
        <v>33.93709719856431</v>
      </c>
      <c r="AT1321" s="123">
        <v>33.96150839696238</v>
      </c>
      <c r="AU1321" s="123">
        <v>33.985710936466369</v>
      </c>
      <c r="AV1321" s="123">
        <v>34.00970243242628</v>
      </c>
      <c r="AW1321" s="123">
        <v>34.033480638117517</v>
      </c>
      <c r="AX1321" s="124">
        <v>34.057043443603639</v>
      </c>
    </row>
    <row r="1322" spans="1:50" x14ac:dyDescent="0.25">
      <c r="A1322" s="356"/>
      <c r="B1322" s="359"/>
      <c r="C1322" s="350"/>
      <c r="D1322" s="2" t="s">
        <v>8</v>
      </c>
      <c r="E1322" s="160" t="str">
        <f>A1291&amp;"/"&amp;B1317&amp;"/"&amp;C1321&amp;"/"&amp;D1322</f>
        <v>Lignite fired power plants/Steam turbine/CHP/M</v>
      </c>
      <c r="F1322" s="76" t="str">
        <f>A1291</f>
        <v>Lignite fired power plants</v>
      </c>
      <c r="G1322" s="76" t="str">
        <f>B1317</f>
        <v>Steam turbine</v>
      </c>
      <c r="H1322" s="76" t="str">
        <f>C1321</f>
        <v>CHP</v>
      </c>
      <c r="I1322" s="161" t="str">
        <f t="shared" si="99"/>
        <v>M</v>
      </c>
      <c r="J1322" s="119">
        <v>35.113999999999997</v>
      </c>
      <c r="K1322" s="119">
        <v>35.133566447294683</v>
      </c>
      <c r="L1322" s="119">
        <v>35.153056188813309</v>
      </c>
      <c r="M1322" s="119">
        <v>35.172465447558153</v>
      </c>
      <c r="N1322" s="119">
        <v>35.191790521781307</v>
      </c>
      <c r="O1322" s="119">
        <v>35.211027787197551</v>
      </c>
      <c r="P1322" s="119">
        <v>35.230173699066235</v>
      </c>
      <c r="Q1322" s="119">
        <v>35.24922479414073</v>
      </c>
      <c r="R1322" s="119">
        <v>35.26817769248472</v>
      </c>
      <c r="S1322" s="119">
        <v>35.287029099154587</v>
      </c>
      <c r="T1322" s="119">
        <v>35.305775805747672</v>
      </c>
      <c r="U1322" s="119">
        <v>35.324414691816422</v>
      </c>
      <c r="V1322" s="119">
        <v>35.342942726148792</v>
      </c>
      <c r="W1322" s="119">
        <v>35.361356967915498</v>
      </c>
      <c r="X1322" s="119">
        <v>35.379654567685058</v>
      </c>
      <c r="Y1322" s="119">
        <v>35.397832768307801</v>
      </c>
      <c r="Z1322" s="119">
        <v>35.415888905670315</v>
      </c>
      <c r="AA1322" s="119">
        <v>35.433820409322003</v>
      </c>
      <c r="AB1322" s="119">
        <v>35.451624802975772</v>
      </c>
      <c r="AC1322" s="119">
        <v>35.469299704884911</v>
      </c>
      <c r="AD1322" s="119">
        <v>35.486842828098631</v>
      </c>
      <c r="AE1322" s="119">
        <v>35.504251980598831</v>
      </c>
      <c r="AF1322" s="119">
        <v>35.52152506532083</v>
      </c>
      <c r="AG1322" s="119">
        <v>35.538660080061064</v>
      </c>
      <c r="AH1322" s="119">
        <v>35.555655117274782</v>
      </c>
      <c r="AI1322" s="119">
        <v>35.572508363767021</v>
      </c>
      <c r="AJ1322" s="119">
        <v>35.589218100280299</v>
      </c>
      <c r="AK1322" s="119">
        <v>35.605782700982346</v>
      </c>
      <c r="AL1322" s="119">
        <v>35.622200632857663</v>
      </c>
      <c r="AM1322" s="119">
        <v>35.638470455006534</v>
      </c>
      <c r="AN1322" s="119">
        <v>35.654590817855095</v>
      </c>
      <c r="AO1322" s="119">
        <v>35.670560462280633</v>
      </c>
      <c r="AP1322" s="119">
        <v>35.686378218655555</v>
      </c>
      <c r="AQ1322" s="119">
        <v>35.702043005814389</v>
      </c>
      <c r="AR1322" s="119">
        <v>35.71755382994737</v>
      </c>
      <c r="AS1322" s="119">
        <v>35.732909783424851</v>
      </c>
      <c r="AT1322" s="119">
        <v>35.748110043556359</v>
      </c>
      <c r="AU1322" s="119">
        <v>35.763153871288267</v>
      </c>
      <c r="AV1322" s="119">
        <v>35.778040609844105</v>
      </c>
      <c r="AW1322" s="119">
        <v>35.792769683311292</v>
      </c>
      <c r="AX1322" s="120">
        <v>35.807340595178268</v>
      </c>
    </row>
    <row r="1323" spans="1:50" x14ac:dyDescent="0.25">
      <c r="A1323" s="356"/>
      <c r="B1323" s="359"/>
      <c r="C1323" s="350"/>
      <c r="D1323" s="2" t="s">
        <v>10</v>
      </c>
      <c r="E1323" s="160" t="str">
        <f>A1291&amp;"/"&amp;B1317&amp;"/"&amp;C1321&amp;"/"&amp;D1323</f>
        <v>Lignite fired power plants/Steam turbine/CHP/S</v>
      </c>
      <c r="F1323" s="76" t="str">
        <f>A1291</f>
        <v>Lignite fired power plants</v>
      </c>
      <c r="G1323" s="76" t="str">
        <f>B1317</f>
        <v>Steam turbine</v>
      </c>
      <c r="H1323" s="76" t="str">
        <f>C1321</f>
        <v>CHP</v>
      </c>
      <c r="I1323" s="161" t="str">
        <f t="shared" si="99"/>
        <v>S</v>
      </c>
      <c r="J1323" s="119">
        <v>44.667400666666666</v>
      </c>
      <c r="K1323" s="119">
        <v>44.684270741591568</v>
      </c>
      <c r="L1323" s="119">
        <v>44.701030697610328</v>
      </c>
      <c r="M1323" s="119">
        <v>44.717678126161715</v>
      </c>
      <c r="N1323" s="119">
        <v>44.734210702375066</v>
      </c>
      <c r="O1323" s="119">
        <v>44.750626185569857</v>
      </c>
      <c r="P1323" s="119">
        <v>44.766922419645034</v>
      </c>
      <c r="Q1323" s="119">
        <v>44.783097333360296</v>
      </c>
      <c r="R1323" s="119">
        <v>44.79914894051128</v>
      </c>
      <c r="S1323" s="119">
        <v>44.815075340000952</v>
      </c>
      <c r="T1323" s="119">
        <v>44.830874715809678</v>
      </c>
      <c r="U1323" s="119">
        <v>44.846545336866512</v>
      </c>
      <c r="V1323" s="119">
        <v>44.862085556824482</v>
      </c>
      <c r="W1323" s="119">
        <v>44.877493813742653</v>
      </c>
      <c r="X1323" s="119">
        <v>44.892768629678017</v>
      </c>
      <c r="Y1323" s="119">
        <v>44.907908610190191</v>
      </c>
      <c r="Z1323" s="119">
        <v>44.922912443762137</v>
      </c>
      <c r="AA1323" s="119">
        <v>44.937778901140092</v>
      </c>
      <c r="AB1323" s="119">
        <v>44.9525068345961</v>
      </c>
      <c r="AC1323" s="119">
        <v>44.967095177116335</v>
      </c>
      <c r="AD1323" s="119">
        <v>44.981542941518811</v>
      </c>
      <c r="AE1323" s="119">
        <v>44.995849219503718</v>
      </c>
      <c r="AF1323" s="119">
        <v>45.01001318064008</v>
      </c>
      <c r="AG1323" s="119">
        <v>45.024034071291901</v>
      </c>
      <c r="AH1323" s="119">
        <v>45.037911213487604</v>
      </c>
      <c r="AI1323" s="119">
        <v>45.051644003735952</v>
      </c>
      <c r="AJ1323" s="119">
        <v>45.065231911792083</v>
      </c>
      <c r="AK1323" s="119">
        <v>45.078674479377042</v>
      </c>
      <c r="AL1323" s="119">
        <v>45.091971318854199</v>
      </c>
      <c r="AM1323" s="119">
        <v>45.105122111865931</v>
      </c>
      <c r="AN1323" s="119">
        <v>45.118126607933917</v>
      </c>
      <c r="AO1323" s="119">
        <v>45.130984623026244</v>
      </c>
      <c r="AP1323" s="119">
        <v>45.143696038094639</v>
      </c>
      <c r="AQ1323" s="119">
        <v>45.156260797584913</v>
      </c>
      <c r="AR1323" s="119">
        <v>45.168678907923699</v>
      </c>
      <c r="AS1323" s="119">
        <v>45.180950435984521</v>
      </c>
      <c r="AT1323" s="119">
        <v>45.193075507536108</v>
      </c>
      <c r="AU1323" s="119">
        <v>45.205054305675851</v>
      </c>
      <c r="AV1323" s="119">
        <v>45.216887069251072</v>
      </c>
      <c r="AW1323" s="119">
        <v>45.228574091270893</v>
      </c>
      <c r="AX1323" s="120">
        <v>45.240115717311276</v>
      </c>
    </row>
    <row r="1324" spans="1:50" x14ac:dyDescent="0.25">
      <c r="A1324" s="356"/>
      <c r="B1324" s="359"/>
      <c r="C1324" s="360"/>
      <c r="D1324" s="59" t="s">
        <v>20</v>
      </c>
      <c r="E1324" s="166" t="str">
        <f>A1291&amp;"/"&amp;B1317&amp;"/"&amp;C1321&amp;"/"&amp;D1324</f>
        <v>Lignite fired power plants/Steam turbine/CHP/XS</v>
      </c>
      <c r="F1324" s="79" t="str">
        <f>A1291</f>
        <v>Lignite fired power plants</v>
      </c>
      <c r="G1324" s="79" t="str">
        <f>B1317</f>
        <v>Steam turbine</v>
      </c>
      <c r="H1324" s="79" t="str">
        <f>C1321</f>
        <v>CHP</v>
      </c>
      <c r="I1324" s="167" t="str">
        <f t="shared" si="99"/>
        <v>XS</v>
      </c>
      <c r="J1324" s="125">
        <v>45.314067333333334</v>
      </c>
      <c r="K1324" s="125">
        <v>45.324592916658801</v>
      </c>
      <c r="L1324" s="125">
        <v>45.335020352060646</v>
      </c>
      <c r="M1324" s="125">
        <v>45.345348903369256</v>
      </c>
      <c r="N1324" s="125">
        <v>45.355577889742499</v>
      </c>
      <c r="O1324" s="125">
        <v>45.365706685027504</v>
      </c>
      <c r="P1324" s="125">
        <v>45.375734717077961</v>
      </c>
      <c r="Q1324" s="125">
        <v>45.38566146702906</v>
      </c>
      <c r="R1324" s="125">
        <v>45.395486468532525</v>
      </c>
      <c r="S1324" s="125">
        <v>45.405209306954141</v>
      </c>
      <c r="T1324" s="125">
        <v>45.414829618536018</v>
      </c>
      <c r="U1324" s="125">
        <v>45.424347089526002</v>
      </c>
      <c r="V1324" s="125">
        <v>45.433761455276496</v>
      </c>
      <c r="W1324" s="125">
        <v>45.443072499315051</v>
      </c>
      <c r="X1324" s="125">
        <v>45.452280052389</v>
      </c>
      <c r="Y1324" s="125">
        <v>45.461383991486272</v>
      </c>
      <c r="Z1324" s="125">
        <v>45.470384238834711</v>
      </c>
      <c r="AA1324" s="125">
        <v>45.479280760882048</v>
      </c>
      <c r="AB1324" s="125">
        <v>45.488073567258574</v>
      </c>
      <c r="AC1324" s="125">
        <v>45.496762709724678</v>
      </c>
      <c r="AD1324" s="125">
        <v>45.505348281105206</v>
      </c>
      <c r="AE1324" s="125">
        <v>45.51383041421272</v>
      </c>
      <c r="AF1324" s="125">
        <v>45.522209280761381</v>
      </c>
      <c r="AG1324" s="125">
        <v>45.530485090273586</v>
      </c>
      <c r="AH1324" s="125">
        <v>45.538658088980924</v>
      </c>
      <c r="AI1324" s="125">
        <v>45.546728558721284</v>
      </c>
      <c r="AJ1324" s="125">
        <v>45.554696815833893</v>
      </c>
      <c r="AK1324" s="125">
        <v>45.562563210053661</v>
      </c>
      <c r="AL1324" s="125">
        <v>45.570328123406661</v>
      </c>
      <c r="AM1324" s="125">
        <v>45.577991969107991</v>
      </c>
      <c r="AN1324" s="125">
        <v>45.585555190463623</v>
      </c>
      <c r="AO1324" s="125">
        <v>45.593018259777431</v>
      </c>
      <c r="AP1324" s="125">
        <v>45.600381677264892</v>
      </c>
      <c r="AQ1324" s="125">
        <v>45.607645969974378</v>
      </c>
      <c r="AR1324" s="125">
        <v>45.614811690717573</v>
      </c>
      <c r="AS1324" s="125">
        <v>45.62187941700973</v>
      </c>
      <c r="AT1324" s="125">
        <v>45.628849750021161</v>
      </c>
      <c r="AU1324" s="125">
        <v>45.635723313540524</v>
      </c>
      <c r="AV1324" s="125">
        <v>45.642500752951243</v>
      </c>
      <c r="AW1324" s="125">
        <v>45.649182734221498</v>
      </c>
      <c r="AX1324" s="126">
        <v>45.65576994290889</v>
      </c>
    </row>
    <row r="1325" spans="1:50" x14ac:dyDescent="0.25">
      <c r="A1325" s="356"/>
      <c r="B1325" s="359"/>
      <c r="C1325" s="361" t="s">
        <v>15</v>
      </c>
      <c r="D1325" s="58" t="s">
        <v>7</v>
      </c>
      <c r="E1325" s="164" t="str">
        <f>A1291&amp;"/"&amp;B1317&amp;"/"&amp;C1325&amp;"/"&amp;D1325</f>
        <v>Lignite fired power plants/Steam turbine/Electricity only with CCS/L</v>
      </c>
      <c r="F1325" s="78" t="str">
        <f>A1291</f>
        <v>Lignite fired power plants</v>
      </c>
      <c r="G1325" s="78" t="str">
        <f>B1317</f>
        <v>Steam turbine</v>
      </c>
      <c r="H1325" s="78" t="str">
        <f>C1325</f>
        <v>Electricity only with CCS</v>
      </c>
      <c r="I1325" s="165" t="str">
        <f t="shared" si="99"/>
        <v>L</v>
      </c>
      <c r="J1325" s="123" t="s">
        <v>112</v>
      </c>
      <c r="K1325" s="123" t="s">
        <v>112</v>
      </c>
      <c r="L1325" s="123" t="s">
        <v>112</v>
      </c>
      <c r="M1325" s="123" t="s">
        <v>112</v>
      </c>
      <c r="N1325" s="123" t="s">
        <v>112</v>
      </c>
      <c r="O1325" s="123" t="s">
        <v>112</v>
      </c>
      <c r="P1325" s="123" t="s">
        <v>112</v>
      </c>
      <c r="Q1325" s="123" t="s">
        <v>112</v>
      </c>
      <c r="R1325" s="123" t="s">
        <v>112</v>
      </c>
      <c r="S1325" s="123" t="s">
        <v>112</v>
      </c>
      <c r="T1325" s="123" t="s">
        <v>112</v>
      </c>
      <c r="U1325" s="123" t="s">
        <v>112</v>
      </c>
      <c r="V1325" s="123" t="s">
        <v>112</v>
      </c>
      <c r="W1325" s="123" t="s">
        <v>112</v>
      </c>
      <c r="X1325" s="123" t="s">
        <v>112</v>
      </c>
      <c r="Y1325" s="123" t="s">
        <v>112</v>
      </c>
      <c r="Z1325" s="123" t="s">
        <v>112</v>
      </c>
      <c r="AA1325" s="123" t="s">
        <v>112</v>
      </c>
      <c r="AB1325" s="123" t="s">
        <v>112</v>
      </c>
      <c r="AC1325" s="123" t="s">
        <v>112</v>
      </c>
      <c r="AD1325" s="123" t="s">
        <v>112</v>
      </c>
      <c r="AE1325" s="123">
        <v>66.412499999999994</v>
      </c>
      <c r="AF1325" s="123">
        <v>66.412499999999994</v>
      </c>
      <c r="AG1325" s="123">
        <v>66.412499999999994</v>
      </c>
      <c r="AH1325" s="123">
        <v>66.412499999999994</v>
      </c>
      <c r="AI1325" s="123">
        <v>66.412499999999994</v>
      </c>
      <c r="AJ1325" s="123">
        <v>66.412499999999994</v>
      </c>
      <c r="AK1325" s="123">
        <v>66.412499999999994</v>
      </c>
      <c r="AL1325" s="123">
        <v>66.412499999999994</v>
      </c>
      <c r="AM1325" s="123">
        <v>66.412499999999994</v>
      </c>
      <c r="AN1325" s="123">
        <v>66.412499999999994</v>
      </c>
      <c r="AO1325" s="123">
        <v>66.412499999999994</v>
      </c>
      <c r="AP1325" s="123">
        <v>66.412499999999994</v>
      </c>
      <c r="AQ1325" s="123">
        <v>66.412499999999994</v>
      </c>
      <c r="AR1325" s="123">
        <v>66.412499999999994</v>
      </c>
      <c r="AS1325" s="123">
        <v>66.412499999999994</v>
      </c>
      <c r="AT1325" s="123">
        <v>66.412499999999994</v>
      </c>
      <c r="AU1325" s="123">
        <v>66.412499999999994</v>
      </c>
      <c r="AV1325" s="123">
        <v>66.412499999999994</v>
      </c>
      <c r="AW1325" s="123">
        <v>66.412499999999994</v>
      </c>
      <c r="AX1325" s="124">
        <v>66.412499999999994</v>
      </c>
    </row>
    <row r="1326" spans="1:50" x14ac:dyDescent="0.25">
      <c r="A1326" s="356"/>
      <c r="B1326" s="359"/>
      <c r="C1326" s="360"/>
      <c r="D1326" s="59" t="s">
        <v>8</v>
      </c>
      <c r="E1326" s="166" t="str">
        <f>A1291&amp;"/"&amp;B1317&amp;"/"&amp;C1325&amp;"/"&amp;D1326</f>
        <v>Lignite fired power plants/Steam turbine/Electricity only with CCS/M</v>
      </c>
      <c r="F1326" s="79" t="str">
        <f>A1291</f>
        <v>Lignite fired power plants</v>
      </c>
      <c r="G1326" s="79" t="str">
        <f>B1317</f>
        <v>Steam turbine</v>
      </c>
      <c r="H1326" s="79" t="str">
        <f>C1325</f>
        <v>Electricity only with CCS</v>
      </c>
      <c r="I1326" s="167" t="str">
        <f t="shared" si="99"/>
        <v>M</v>
      </c>
      <c r="J1326" s="125" t="s">
        <v>112</v>
      </c>
      <c r="K1326" s="125" t="s">
        <v>112</v>
      </c>
      <c r="L1326" s="125" t="s">
        <v>112</v>
      </c>
      <c r="M1326" s="125" t="s">
        <v>112</v>
      </c>
      <c r="N1326" s="125" t="s">
        <v>112</v>
      </c>
      <c r="O1326" s="125" t="s">
        <v>112</v>
      </c>
      <c r="P1326" s="125" t="s">
        <v>112</v>
      </c>
      <c r="Q1326" s="125" t="s">
        <v>112</v>
      </c>
      <c r="R1326" s="125" t="s">
        <v>112</v>
      </c>
      <c r="S1326" s="125" t="s">
        <v>112</v>
      </c>
      <c r="T1326" s="125" t="s">
        <v>112</v>
      </c>
      <c r="U1326" s="125" t="s">
        <v>112</v>
      </c>
      <c r="V1326" s="125" t="s">
        <v>112</v>
      </c>
      <c r="W1326" s="125" t="s">
        <v>112</v>
      </c>
      <c r="X1326" s="125" t="s">
        <v>112</v>
      </c>
      <c r="Y1326" s="125" t="s">
        <v>112</v>
      </c>
      <c r="Z1326" s="125" t="s">
        <v>112</v>
      </c>
      <c r="AA1326" s="125" t="s">
        <v>112</v>
      </c>
      <c r="AB1326" s="125" t="s">
        <v>112</v>
      </c>
      <c r="AC1326" s="125" t="s">
        <v>112</v>
      </c>
      <c r="AD1326" s="125" t="s">
        <v>112</v>
      </c>
      <c r="AE1326" s="125">
        <v>75.11437500000001</v>
      </c>
      <c r="AF1326" s="125">
        <v>75.11437500000001</v>
      </c>
      <c r="AG1326" s="125">
        <v>75.11437500000001</v>
      </c>
      <c r="AH1326" s="125">
        <v>75.11437500000001</v>
      </c>
      <c r="AI1326" s="125">
        <v>75.11437500000001</v>
      </c>
      <c r="AJ1326" s="125">
        <v>75.11437500000001</v>
      </c>
      <c r="AK1326" s="125">
        <v>75.11437500000001</v>
      </c>
      <c r="AL1326" s="125">
        <v>75.11437500000001</v>
      </c>
      <c r="AM1326" s="125">
        <v>75.11437500000001</v>
      </c>
      <c r="AN1326" s="125">
        <v>75.11437500000001</v>
      </c>
      <c r="AO1326" s="125">
        <v>75.11437500000001</v>
      </c>
      <c r="AP1326" s="125">
        <v>75.11437500000001</v>
      </c>
      <c r="AQ1326" s="125">
        <v>75.11437500000001</v>
      </c>
      <c r="AR1326" s="125">
        <v>75.11437500000001</v>
      </c>
      <c r="AS1326" s="125">
        <v>75.11437500000001</v>
      </c>
      <c r="AT1326" s="125">
        <v>75.11437500000001</v>
      </c>
      <c r="AU1326" s="125">
        <v>75.11437500000001</v>
      </c>
      <c r="AV1326" s="125">
        <v>75.11437500000001</v>
      </c>
      <c r="AW1326" s="125">
        <v>75.11437500000001</v>
      </c>
      <c r="AX1326" s="126">
        <v>75.11437500000001</v>
      </c>
    </row>
    <row r="1327" spans="1:50" x14ac:dyDescent="0.25">
      <c r="A1327" s="356"/>
      <c r="B1327" s="359"/>
      <c r="C1327" s="361" t="s">
        <v>16</v>
      </c>
      <c r="D1327" s="2" t="s">
        <v>7</v>
      </c>
      <c r="E1327" s="160" t="str">
        <f>A1291&amp;"/"&amp;B1317&amp;"/"&amp;C1327&amp;"/"&amp;D1327</f>
        <v>Lignite fired power plants/Steam turbine/CHP with CCS/L</v>
      </c>
      <c r="F1327" s="76" t="str">
        <f>A1291</f>
        <v>Lignite fired power plants</v>
      </c>
      <c r="G1327" s="76" t="str">
        <f>B1317</f>
        <v>Steam turbine</v>
      </c>
      <c r="H1327" s="76" t="str">
        <f>C1327</f>
        <v>CHP with CCS</v>
      </c>
      <c r="I1327" s="161" t="str">
        <f t="shared" si="99"/>
        <v>L</v>
      </c>
      <c r="J1327" s="119" t="s">
        <v>112</v>
      </c>
      <c r="K1327" s="119" t="s">
        <v>112</v>
      </c>
      <c r="L1327" s="119" t="s">
        <v>112</v>
      </c>
      <c r="M1327" s="119" t="s">
        <v>112</v>
      </c>
      <c r="N1327" s="119" t="s">
        <v>112</v>
      </c>
      <c r="O1327" s="119" t="s">
        <v>112</v>
      </c>
      <c r="P1327" s="119" t="s">
        <v>112</v>
      </c>
      <c r="Q1327" s="119" t="s">
        <v>112</v>
      </c>
      <c r="R1327" s="119" t="s">
        <v>112</v>
      </c>
      <c r="S1327" s="119" t="s">
        <v>112</v>
      </c>
      <c r="T1327" s="119" t="s">
        <v>112</v>
      </c>
      <c r="U1327" s="119" t="s">
        <v>112</v>
      </c>
      <c r="V1327" s="119" t="s">
        <v>112</v>
      </c>
      <c r="W1327" s="119" t="s">
        <v>112</v>
      </c>
      <c r="X1327" s="119" t="s">
        <v>112</v>
      </c>
      <c r="Y1327" s="119" t="s">
        <v>112</v>
      </c>
      <c r="Z1327" s="119" t="s">
        <v>112</v>
      </c>
      <c r="AA1327" s="119" t="s">
        <v>112</v>
      </c>
      <c r="AB1327" s="119" t="s">
        <v>112</v>
      </c>
      <c r="AC1327" s="119" t="s">
        <v>112</v>
      </c>
      <c r="AD1327" s="119" t="s">
        <v>112</v>
      </c>
      <c r="AE1327" s="119">
        <v>71.040374999999997</v>
      </c>
      <c r="AF1327" s="119">
        <v>71.040374999999997</v>
      </c>
      <c r="AG1327" s="119">
        <v>71.040374999999997</v>
      </c>
      <c r="AH1327" s="119">
        <v>71.040374999999997</v>
      </c>
      <c r="AI1327" s="119">
        <v>71.040374999999997</v>
      </c>
      <c r="AJ1327" s="119">
        <v>71.040374999999997</v>
      </c>
      <c r="AK1327" s="119">
        <v>71.040374999999997</v>
      </c>
      <c r="AL1327" s="119">
        <v>71.040374999999997</v>
      </c>
      <c r="AM1327" s="119">
        <v>71.040374999999997</v>
      </c>
      <c r="AN1327" s="119">
        <v>71.040374999999997</v>
      </c>
      <c r="AO1327" s="119">
        <v>71.040374999999997</v>
      </c>
      <c r="AP1327" s="119">
        <v>71.040374999999997</v>
      </c>
      <c r="AQ1327" s="119">
        <v>71.040374999999997</v>
      </c>
      <c r="AR1327" s="119">
        <v>71.040374999999997</v>
      </c>
      <c r="AS1327" s="119">
        <v>71.040374999999997</v>
      </c>
      <c r="AT1327" s="119">
        <v>71.040374999999997</v>
      </c>
      <c r="AU1327" s="119">
        <v>71.040374999999997</v>
      </c>
      <c r="AV1327" s="119">
        <v>71.040374999999997</v>
      </c>
      <c r="AW1327" s="119">
        <v>71.040374999999997</v>
      </c>
      <c r="AX1327" s="120">
        <v>71.040374999999997</v>
      </c>
    </row>
    <row r="1328" spans="1:50" x14ac:dyDescent="0.25">
      <c r="A1328" s="357"/>
      <c r="B1328" s="362"/>
      <c r="C1328" s="354"/>
      <c r="D1328" s="4" t="s">
        <v>8</v>
      </c>
      <c r="E1328" s="168" t="str">
        <f>A1291&amp;"/"&amp;B1317&amp;"/"&amp;C1327&amp;"/"&amp;D1328</f>
        <v>Lignite fired power plants/Steam turbine/CHP with CCS/M</v>
      </c>
      <c r="F1328" s="80" t="str">
        <f>A1291</f>
        <v>Lignite fired power plants</v>
      </c>
      <c r="G1328" s="80" t="str">
        <f>B1317</f>
        <v>Steam turbine</v>
      </c>
      <c r="H1328" s="80" t="str">
        <f>C1327</f>
        <v>CHP with CCS</v>
      </c>
      <c r="I1328" s="169" t="str">
        <f t="shared" si="99"/>
        <v>M</v>
      </c>
      <c r="J1328" s="127" t="s">
        <v>112</v>
      </c>
      <c r="K1328" s="127" t="s">
        <v>112</v>
      </c>
      <c r="L1328" s="127" t="s">
        <v>112</v>
      </c>
      <c r="M1328" s="127" t="s">
        <v>112</v>
      </c>
      <c r="N1328" s="127" t="s">
        <v>112</v>
      </c>
      <c r="O1328" s="127" t="s">
        <v>112</v>
      </c>
      <c r="P1328" s="127" t="s">
        <v>112</v>
      </c>
      <c r="Q1328" s="127" t="s">
        <v>112</v>
      </c>
      <c r="R1328" s="127" t="s">
        <v>112</v>
      </c>
      <c r="S1328" s="127" t="s">
        <v>112</v>
      </c>
      <c r="T1328" s="127" t="s">
        <v>112</v>
      </c>
      <c r="U1328" s="127" t="s">
        <v>112</v>
      </c>
      <c r="V1328" s="127" t="s">
        <v>112</v>
      </c>
      <c r="W1328" s="127" t="s">
        <v>112</v>
      </c>
      <c r="X1328" s="127" t="s">
        <v>112</v>
      </c>
      <c r="Y1328" s="127" t="s">
        <v>112</v>
      </c>
      <c r="Z1328" s="127" t="s">
        <v>112</v>
      </c>
      <c r="AA1328" s="127" t="s">
        <v>112</v>
      </c>
      <c r="AB1328" s="127" t="s">
        <v>112</v>
      </c>
      <c r="AC1328" s="127" t="s">
        <v>112</v>
      </c>
      <c r="AD1328" s="127" t="s">
        <v>112</v>
      </c>
      <c r="AE1328" s="127">
        <v>79.481193750000003</v>
      </c>
      <c r="AF1328" s="127">
        <v>79.481193750000003</v>
      </c>
      <c r="AG1328" s="127">
        <v>79.481193750000003</v>
      </c>
      <c r="AH1328" s="127">
        <v>79.481193750000003</v>
      </c>
      <c r="AI1328" s="127">
        <v>79.481193750000003</v>
      </c>
      <c r="AJ1328" s="127">
        <v>79.481193750000003</v>
      </c>
      <c r="AK1328" s="127">
        <v>79.481193750000003</v>
      </c>
      <c r="AL1328" s="127">
        <v>79.481193750000003</v>
      </c>
      <c r="AM1328" s="127">
        <v>79.481193750000003</v>
      </c>
      <c r="AN1328" s="127">
        <v>79.481193750000003</v>
      </c>
      <c r="AO1328" s="127">
        <v>79.481193750000003</v>
      </c>
      <c r="AP1328" s="127">
        <v>79.481193750000003</v>
      </c>
      <c r="AQ1328" s="127">
        <v>79.481193750000003</v>
      </c>
      <c r="AR1328" s="127">
        <v>79.481193750000003</v>
      </c>
      <c r="AS1328" s="127">
        <v>79.481193750000003</v>
      </c>
      <c r="AT1328" s="127">
        <v>79.481193750000003</v>
      </c>
      <c r="AU1328" s="127">
        <v>79.481193750000003</v>
      </c>
      <c r="AV1328" s="127">
        <v>79.481193750000003</v>
      </c>
      <c r="AW1328" s="127">
        <v>79.481193750000003</v>
      </c>
      <c r="AX1328" s="128">
        <v>79.481193750000003</v>
      </c>
    </row>
    <row r="1329" spans="1:50" x14ac:dyDescent="0.25">
      <c r="A1329" s="356" t="s">
        <v>22</v>
      </c>
      <c r="B1329" s="358" t="s">
        <v>23</v>
      </c>
      <c r="C1329" s="353" t="s">
        <v>6</v>
      </c>
      <c r="D1329" s="3" t="s">
        <v>7</v>
      </c>
      <c r="E1329" s="162" t="str">
        <f>A1329&amp;"/"&amp;B1329&amp;"/"&amp;C1329&amp;"/"&amp;D1329</f>
        <v>Gas fired power plants (Natural gas, biogas)/Gas turbine combined cycle/Electricity only/L</v>
      </c>
      <c r="F1329" s="77" t="str">
        <f>A1329</f>
        <v>Gas fired power plants (Natural gas, biogas)</v>
      </c>
      <c r="G1329" s="77" t="str">
        <f>B1329</f>
        <v>Gas turbine combined cycle</v>
      </c>
      <c r="H1329" s="77" t="str">
        <f>C1329</f>
        <v>Electricity only</v>
      </c>
      <c r="I1329" s="163" t="str">
        <f t="shared" si="99"/>
        <v>L</v>
      </c>
      <c r="J1329" s="121">
        <v>20.5078125</v>
      </c>
      <c r="K1329" s="121">
        <v>20.493280638585432</v>
      </c>
      <c r="L1329" s="121">
        <v>20.475781077832462</v>
      </c>
      <c r="M1329" s="121">
        <v>20.454771203177454</v>
      </c>
      <c r="N1329" s="121">
        <v>20.429638168332648</v>
      </c>
      <c r="O1329" s="121">
        <v>20.399703202133715</v>
      </c>
      <c r="P1329" s="121">
        <v>20.364233387990325</v>
      </c>
      <c r="Q1329" s="121">
        <v>20.32246373657583</v>
      </c>
      <c r="R1329" s="121">
        <v>20.273632498956896</v>
      </c>
      <c r="S1329" s="121">
        <v>20.217032215721296</v>
      </c>
      <c r="T1329" s="121">
        <v>20.152077608554588</v>
      </c>
      <c r="U1329" s="121">
        <v>20.078388753995597</v>
      </c>
      <c r="V1329" s="121">
        <v>19.995883897775492</v>
      </c>
      <c r="W1329" s="121">
        <v>19.9048711096044</v>
      </c>
      <c r="X1329" s="121">
        <v>19.806122823852064</v>
      </c>
      <c r="Y1329" s="121">
        <v>19.700914054796879</v>
      </c>
      <c r="Z1329" s="121">
        <v>19.59100602921923</v>
      </c>
      <c r="AA1329" s="121">
        <v>19.478563892044832</v>
      </c>
      <c r="AB1329" s="121">
        <v>19.366009882005496</v>
      </c>
      <c r="AC1329" s="121">
        <v>19.255829060663231</v>
      </c>
      <c r="AD1329" s="121">
        <v>19.150358150610362</v>
      </c>
      <c r="AE1329" s="121">
        <v>19.051593959126613</v>
      </c>
      <c r="AF1329" s="121">
        <v>18.961053474047382</v>
      </c>
      <c r="AG1329" s="121">
        <v>18.879704493341691</v>
      </c>
      <c r="AH1329" s="121">
        <v>18.807968612670809</v>
      </c>
      <c r="AI1329" s="121">
        <v>18.745783512253045</v>
      </c>
      <c r="AJ1329" s="121">
        <v>18.692702875828971</v>
      </c>
      <c r="AK1329" s="121">
        <v>18.648010882620646</v>
      </c>
      <c r="AL1329" s="121">
        <v>18.610832306693489</v>
      </c>
      <c r="AM1329" s="121">
        <v>18.58022595863698</v>
      </c>
      <c r="AN1329" s="121">
        <v>18.555255929844947</v>
      </c>
      <c r="AO1329" s="121">
        <v>18.535040301223745</v>
      </c>
      <c r="AP1329" s="121">
        <v>18.518780170539713</v>
      </c>
      <c r="AQ1329" s="121">
        <v>18.505773262550267</v>
      </c>
      <c r="AR1329" s="121">
        <v>18.495416544926989</v>
      </c>
      <c r="AS1329" s="121">
        <v>18.487201726984221</v>
      </c>
      <c r="AT1329" s="121">
        <v>18.480706688238975</v>
      </c>
      <c r="AU1329" s="121">
        <v>18.475585034874371</v>
      </c>
      <c r="AV1329" s="121">
        <v>18.471555249061847</v>
      </c>
      <c r="AW1329" s="121">
        <v>18.468390325655811</v>
      </c>
      <c r="AX1329" s="122">
        <v>18.465908380111046</v>
      </c>
    </row>
    <row r="1330" spans="1:50" x14ac:dyDescent="0.25">
      <c r="A1330" s="356"/>
      <c r="B1330" s="359"/>
      <c r="C1330" s="350"/>
      <c r="D1330" s="2" t="s">
        <v>8</v>
      </c>
      <c r="E1330" s="160" t="str">
        <f>A1329&amp;"/"&amp;B1329&amp;"/"&amp;C1329&amp;"/"&amp;D1330</f>
        <v>Gas fired power plants (Natural gas, biogas)/Gas turbine combined cycle/Electricity only/M</v>
      </c>
      <c r="F1330" s="76" t="str">
        <f>A1329</f>
        <v>Gas fired power plants (Natural gas, biogas)</v>
      </c>
      <c r="G1330" s="76" t="str">
        <f>B1329</f>
        <v>Gas turbine combined cycle</v>
      </c>
      <c r="H1330" s="76" t="str">
        <f>C1329</f>
        <v>Electricity only</v>
      </c>
      <c r="I1330" s="161" t="str">
        <f t="shared" si="99"/>
        <v>M</v>
      </c>
      <c r="J1330" s="119">
        <v>21.328125</v>
      </c>
      <c r="K1330" s="119">
        <v>21.324319628596527</v>
      </c>
      <c r="L1330" s="119">
        <v>21.319449699072749</v>
      </c>
      <c r="M1330" s="119">
        <v>21.313223253046701</v>
      </c>
      <c r="N1330" s="119">
        <v>21.305271994941538</v>
      </c>
      <c r="O1330" s="119">
        <v>21.295133706036111</v>
      </c>
      <c r="P1330" s="119">
        <v>21.282232130268753</v>
      </c>
      <c r="Q1330" s="119">
        <v>21.265855013239182</v>
      </c>
      <c r="R1330" s="119">
        <v>21.245131872782068</v>
      </c>
      <c r="S1330" s="119">
        <v>21.219014489893439</v>
      </c>
      <c r="T1330" s="119">
        <v>21.186265172553767</v>
      </c>
      <c r="U1330" s="119">
        <v>21.145460610621093</v>
      </c>
      <c r="V1330" s="119">
        <v>21.095022398095125</v>
      </c>
      <c r="W1330" s="119">
        <v>21.033288309269974</v>
      </c>
      <c r="X1330" s="119">
        <v>20.958639560476325</v>
      </c>
      <c r="Y1330" s="119">
        <v>20.869695842924774</v>
      </c>
      <c r="Z1330" s="119">
        <v>20.765578367122785</v>
      </c>
      <c r="AA1330" s="119">
        <v>20.646218801116241</v>
      </c>
      <c r="AB1330" s="119">
        <v>20.512660163749889</v>
      </c>
      <c r="AC1330" s="119">
        <v>20.367263881846867</v>
      </c>
      <c r="AD1330" s="119">
        <v>20.213724017375291</v>
      </c>
      <c r="AE1330" s="119">
        <v>20.056816131160225</v>
      </c>
      <c r="AF1330" s="119">
        <v>19.901881493605277</v>
      </c>
      <c r="AG1330" s="119">
        <v>19.754145024351562</v>
      </c>
      <c r="AH1330" s="119">
        <v>19.618039002436269</v>
      </c>
      <c r="AI1330" s="119">
        <v>19.496709396586233</v>
      </c>
      <c r="AJ1330" s="119">
        <v>19.391811527952424</v>
      </c>
      <c r="AK1330" s="119">
        <v>19.303596155190441</v>
      </c>
      <c r="AL1330" s="119">
        <v>19.231201114671965</v>
      </c>
      <c r="AM1330" s="119">
        <v>19.173030280527897</v>
      </c>
      <c r="AN1330" s="119">
        <v>19.127117921741526</v>
      </c>
      <c r="AO1330" s="119">
        <v>19.091417786456024</v>
      </c>
      <c r="AP1330" s="119">
        <v>19.063997448180974</v>
      </c>
      <c r="AQ1330" s="119">
        <v>19.043146258760633</v>
      </c>
      <c r="AR1330" s="119">
        <v>19.027417889548197</v>
      </c>
      <c r="AS1330" s="119">
        <v>19.015630178352218</v>
      </c>
      <c r="AT1330" s="119">
        <v>19.006841158465381</v>
      </c>
      <c r="AU1330" s="119">
        <v>19.000314656320437</v>
      </c>
      <c r="AV1330" s="119">
        <v>18.99548381887562</v>
      </c>
      <c r="AW1330" s="119">
        <v>18.991917141387475</v>
      </c>
      <c r="AX1330" s="120">
        <v>18.989289046870439</v>
      </c>
    </row>
    <row r="1331" spans="1:50" x14ac:dyDescent="0.25">
      <c r="A1331" s="356"/>
      <c r="B1331" s="359"/>
      <c r="C1331" s="350"/>
      <c r="D1331" s="2" t="s">
        <v>10</v>
      </c>
      <c r="E1331" s="160" t="str">
        <f>A1329&amp;"/"&amp;B1329&amp;"/"&amp;C1329&amp;"/"&amp;D1331</f>
        <v>Gas fired power plants (Natural gas, biogas)/Gas turbine combined cycle/Electricity only/S</v>
      </c>
      <c r="F1331" s="76" t="str">
        <f>A1329</f>
        <v>Gas fired power plants (Natural gas, biogas)</v>
      </c>
      <c r="G1331" s="76" t="str">
        <f>B1329</f>
        <v>Gas turbine combined cycle</v>
      </c>
      <c r="H1331" s="76" t="str">
        <f>C1329</f>
        <v>Electricity only</v>
      </c>
      <c r="I1331" s="161" t="str">
        <f t="shared" si="99"/>
        <v>S</v>
      </c>
      <c r="J1331" s="119">
        <v>22.927734375</v>
      </c>
      <c r="K1331" s="119">
        <v>22.927318756998989</v>
      </c>
      <c r="L1331" s="119">
        <v>22.926757915559435</v>
      </c>
      <c r="M1331" s="119">
        <v>22.926001194209597</v>
      </c>
      <c r="N1331" s="119">
        <v>22.92498033791448</v>
      </c>
      <c r="O1331" s="119">
        <v>22.923603437643056</v>
      </c>
      <c r="P1331" s="119">
        <v>22.921746839312501</v>
      </c>
      <c r="Q1331" s="119">
        <v>22.919244372249601</v>
      </c>
      <c r="R1331" s="119">
        <v>22.915873080814329</v>
      </c>
      <c r="S1331" s="119">
        <v>22.911334454053833</v>
      </c>
      <c r="T1331" s="119">
        <v>22.905229968749605</v>
      </c>
      <c r="U1331" s="119">
        <v>22.897029650087539</v>
      </c>
      <c r="V1331" s="119">
        <v>22.886032428735035</v>
      </c>
      <c r="W1331" s="119">
        <v>22.871317548882551</v>
      </c>
      <c r="X1331" s="119">
        <v>22.851687528523978</v>
      </c>
      <c r="Y1331" s="119">
        <v>22.825605777947803</v>
      </c>
      <c r="Z1331" s="119">
        <v>22.791136781651261</v>
      </c>
      <c r="AA1331" s="119">
        <v>22.745904726760756</v>
      </c>
      <c r="AB1331" s="119">
        <v>22.687098292692188</v>
      </c>
      <c r="AC1331" s="119">
        <v>22.611564194885275</v>
      </c>
      <c r="AD1331" s="119">
        <v>22.516045466278051</v>
      </c>
      <c r="AE1331" s="119">
        <v>22.397621102158144</v>
      </c>
      <c r="AF1331" s="119">
        <v>22.254372295882398</v>
      </c>
      <c r="AG1331" s="119">
        <v>22.086216273771708</v>
      </c>
      <c r="AH1331" s="119">
        <v>21.895711282803738</v>
      </c>
      <c r="AI1331" s="119">
        <v>21.688498699390532</v>
      </c>
      <c r="AJ1331" s="119">
        <v>21.473026741920332</v>
      </c>
      <c r="AK1331" s="119">
        <v>21.25940559407843</v>
      </c>
      <c r="AL1331" s="119">
        <v>21.057642498415152</v>
      </c>
      <c r="AM1331" s="119">
        <v>20.875858812773988</v>
      </c>
      <c r="AN1331" s="119">
        <v>20.719123018492695</v>
      </c>
      <c r="AO1331" s="119">
        <v>20.589205839769821</v>
      </c>
      <c r="AP1331" s="119">
        <v>20.485125465380584</v>
      </c>
      <c r="AQ1331" s="119">
        <v>20.404090430594724</v>
      </c>
      <c r="AR1331" s="119">
        <v>20.342451074160206</v>
      </c>
      <c r="AS1331" s="119">
        <v>20.296429422133155</v>
      </c>
      <c r="AT1331" s="119">
        <v>20.262566541548498</v>
      </c>
      <c r="AU1331" s="119">
        <v>20.237930222518685</v>
      </c>
      <c r="AV1331" s="119">
        <v>20.220161040330353</v>
      </c>
      <c r="AW1331" s="119">
        <v>20.207428862073705</v>
      </c>
      <c r="AX1331" s="120">
        <v>20.198351036614323</v>
      </c>
    </row>
    <row r="1332" spans="1:50" x14ac:dyDescent="0.25">
      <c r="A1332" s="356"/>
      <c r="B1332" s="359"/>
      <c r="C1332" s="360"/>
      <c r="D1332" s="2" t="s">
        <v>20</v>
      </c>
      <c r="E1332" s="160" t="str">
        <f>A1329&amp;"/"&amp;B1329&amp;"/"&amp;C1329&amp;"/"&amp;D1332</f>
        <v>Gas fired power plants (Natural gas, biogas)/Gas turbine combined cycle/Electricity only/XS</v>
      </c>
      <c r="F1332" s="76" t="str">
        <f>A1329</f>
        <v>Gas fired power plants (Natural gas, biogas)</v>
      </c>
      <c r="G1332" s="76" t="str">
        <f>B1329</f>
        <v>Gas turbine combined cycle</v>
      </c>
      <c r="H1332" s="76" t="str">
        <f>C1329</f>
        <v>Electricity only</v>
      </c>
      <c r="I1332" s="161" t="str">
        <f t="shared" si="99"/>
        <v>XS</v>
      </c>
      <c r="J1332" s="119">
        <v>26.366894531249997</v>
      </c>
      <c r="K1332" s="119">
        <v>26.366821234406252</v>
      </c>
      <c r="L1332" s="119">
        <v>26.366722298739074</v>
      </c>
      <c r="M1332" s="119">
        <v>26.366588758162351</v>
      </c>
      <c r="N1332" s="119">
        <v>26.366408512916273</v>
      </c>
      <c r="O1332" s="119">
        <v>26.366165235845404</v>
      </c>
      <c r="P1332" s="119">
        <v>26.365836898181449</v>
      </c>
      <c r="Q1332" s="119">
        <v>26.365393783477714</v>
      </c>
      <c r="R1332" s="119">
        <v>26.364795813835059</v>
      </c>
      <c r="S1332" s="119">
        <v>26.363988953663892</v>
      </c>
      <c r="T1332" s="119">
        <v>26.362900378872489</v>
      </c>
      <c r="U1332" s="119">
        <v>26.3614319988407</v>
      </c>
      <c r="V1332" s="119">
        <v>26.359451789855303</v>
      </c>
      <c r="W1332" s="119">
        <v>26.356782237624468</v>
      </c>
      <c r="X1332" s="119">
        <v>26.353184991764827</v>
      </c>
      <c r="Y1332" s="119">
        <v>26.348340612761</v>
      </c>
      <c r="Z1332" s="119">
        <v>26.341822063303344</v>
      </c>
      <c r="AA1332" s="119">
        <v>26.333060412721647</v>
      </c>
      <c r="AB1332" s="119">
        <v>26.321301192238991</v>
      </c>
      <c r="AC1332" s="119">
        <v>26.305550162189427</v>
      </c>
      <c r="AD1332" s="119">
        <v>26.284508287077109</v>
      </c>
      <c r="AE1332" s="119">
        <v>26.256498046531128</v>
      </c>
      <c r="AF1332" s="119">
        <v>26.219387717620251</v>
      </c>
      <c r="AG1332" s="119">
        <v>26.170528081651771</v>
      </c>
      <c r="AH1332" s="119">
        <v>26.106728199788364</v>
      </c>
      <c r="AI1332" s="119">
        <v>26.024313470785682</v>
      </c>
      <c r="AJ1332" s="119">
        <v>25.919326963279278</v>
      </c>
      <c r="AK1332" s="119">
        <v>25.787944337634464</v>
      </c>
      <c r="AL1332" s="119">
        <v>25.627154459608505</v>
      </c>
      <c r="AM1332" s="119">
        <v>25.435686456764437</v>
      </c>
      <c r="AN1332" s="119">
        <v>25.215025048049963</v>
      </c>
      <c r="AO1332" s="119">
        <v>24.970181933284653</v>
      </c>
      <c r="AP1332" s="119">
        <v>24.709790444907259</v>
      </c>
      <c r="AQ1332" s="119">
        <v>24.445210764067077</v>
      </c>
      <c r="AR1332" s="119">
        <v>24.18872154630462</v>
      </c>
      <c r="AS1332" s="119">
        <v>23.951346546307885</v>
      </c>
      <c r="AT1332" s="119">
        <v>23.741085976049021</v>
      </c>
      <c r="AU1332" s="119">
        <v>23.562107561793479</v>
      </c>
      <c r="AV1332" s="119">
        <v>23.41496566420507</v>
      </c>
      <c r="AW1332" s="119">
        <v>23.297505496948858</v>
      </c>
      <c r="AX1332" s="120">
        <v>23.205982724069592</v>
      </c>
    </row>
    <row r="1333" spans="1:50" x14ac:dyDescent="0.25">
      <c r="A1333" s="356"/>
      <c r="B1333" s="359"/>
      <c r="C1333" s="361" t="s">
        <v>14</v>
      </c>
      <c r="D1333" s="58" t="s">
        <v>7</v>
      </c>
      <c r="E1333" s="164" t="str">
        <f>A1329&amp;"/"&amp;B1329&amp;"/"&amp;C1333&amp;"/"&amp;D1333</f>
        <v>Gas fired power plants (Natural gas, biogas)/Gas turbine combined cycle/CHP/L</v>
      </c>
      <c r="F1333" s="78" t="str">
        <f>A1329</f>
        <v>Gas fired power plants (Natural gas, biogas)</v>
      </c>
      <c r="G1333" s="78" t="str">
        <f>B1329</f>
        <v>Gas turbine combined cycle</v>
      </c>
      <c r="H1333" s="78" t="str">
        <f>C1333</f>
        <v>CHP</v>
      </c>
      <c r="I1333" s="165" t="str">
        <f t="shared" si="99"/>
        <v>L</v>
      </c>
      <c r="J1333" s="123">
        <v>27.28125</v>
      </c>
      <c r="K1333" s="123">
        <v>27.265784777886577</v>
      </c>
      <c r="L1333" s="123">
        <v>27.247161245345819</v>
      </c>
      <c r="M1333" s="123">
        <v>27.224801936455826</v>
      </c>
      <c r="N1333" s="123">
        <v>27.198054642687271</v>
      </c>
      <c r="O1333" s="123">
        <v>27.166196996373621</v>
      </c>
      <c r="P1333" s="123">
        <v>27.128449006738961</v>
      </c>
      <c r="Q1333" s="123">
        <v>27.083996550285043</v>
      </c>
      <c r="R1333" s="123">
        <v>27.032028952032757</v>
      </c>
      <c r="S1333" s="123">
        <v>26.971793313462481</v>
      </c>
      <c r="T1333" s="123">
        <v>26.90266676466975</v>
      </c>
      <c r="U1333" s="123">
        <v>26.824244980252228</v>
      </c>
      <c r="V1333" s="123">
        <v>26.736440954981191</v>
      </c>
      <c r="W1333" s="123">
        <v>26.639582545444139</v>
      </c>
      <c r="X1333" s="123">
        <v>26.534491798366904</v>
      </c>
      <c r="Y1333" s="123">
        <v>26.422525620373548</v>
      </c>
      <c r="Z1333" s="123">
        <v>26.305558359324511</v>
      </c>
      <c r="AA1333" s="123">
        <v>26.185894224311028</v>
      </c>
      <c r="AB1333" s="123">
        <v>26.066111030998307</v>
      </c>
      <c r="AC1333" s="123">
        <v>25.948853452902398</v>
      </c>
      <c r="AD1333" s="123">
        <v>25.836608296969565</v>
      </c>
      <c r="AE1333" s="123">
        <v>25.731500622558521</v>
      </c>
      <c r="AF1333" s="123">
        <v>25.635144851466201</v>
      </c>
      <c r="AG1333" s="123">
        <v>25.548570941942607</v>
      </c>
      <c r="AH1333" s="123">
        <v>25.472227568136066</v>
      </c>
      <c r="AI1333" s="123">
        <v>25.40604840755433</v>
      </c>
      <c r="AJ1333" s="123">
        <v>25.349558477682219</v>
      </c>
      <c r="AK1333" s="123">
        <v>25.301995981595827</v>
      </c>
      <c r="AL1333" s="123">
        <v>25.262429478849114</v>
      </c>
      <c r="AM1333" s="123">
        <v>25.229857328780291</v>
      </c>
      <c r="AN1333" s="123">
        <v>25.203283510710417</v>
      </c>
      <c r="AO1333" s="123">
        <v>25.181769461142341</v>
      </c>
      <c r="AP1333" s="123">
        <v>25.164464965493238</v>
      </c>
      <c r="AQ1333" s="123">
        <v>25.150622642384924</v>
      </c>
      <c r="AR1333" s="123">
        <v>25.139600727584014</v>
      </c>
      <c r="AS1333" s="123">
        <v>25.130858283620235</v>
      </c>
      <c r="AT1333" s="123">
        <v>25.12394607781501</v>
      </c>
      <c r="AU1333" s="123">
        <v>25.118495467971449</v>
      </c>
      <c r="AV1333" s="123">
        <v>25.11420685477302</v>
      </c>
      <c r="AW1333" s="123">
        <v>25.110838652857932</v>
      </c>
      <c r="AX1333" s="124">
        <v>25.108197295496463</v>
      </c>
    </row>
    <row r="1334" spans="1:50" x14ac:dyDescent="0.25">
      <c r="A1334" s="356"/>
      <c r="B1334" s="359"/>
      <c r="C1334" s="350"/>
      <c r="D1334" s="2" t="s">
        <v>8</v>
      </c>
      <c r="E1334" s="160" t="str">
        <f>A1329&amp;"/"&amp;B1329&amp;"/"&amp;C1333&amp;"/"&amp;D1334</f>
        <v>Gas fired power plants (Natural gas, biogas)/Gas turbine combined cycle/CHP/M</v>
      </c>
      <c r="F1334" s="76" t="str">
        <f>A1329</f>
        <v>Gas fired power plants (Natural gas, biogas)</v>
      </c>
      <c r="G1334" s="76" t="str">
        <f>B1329</f>
        <v>Gas turbine combined cycle</v>
      </c>
      <c r="H1334" s="76" t="str">
        <f>C1333</f>
        <v>CHP</v>
      </c>
      <c r="I1334" s="161" t="str">
        <f t="shared" si="99"/>
        <v>M</v>
      </c>
      <c r="J1334" s="119">
        <v>28.076953124999996</v>
      </c>
      <c r="K1334" s="119">
        <v>28.072854443476015</v>
      </c>
      <c r="L1334" s="119">
        <v>28.067609149903877</v>
      </c>
      <c r="M1334" s="119">
        <v>28.060902782356212</v>
      </c>
      <c r="N1334" s="119">
        <v>28.052338657798398</v>
      </c>
      <c r="O1334" s="119">
        <v>28.041418930650718</v>
      </c>
      <c r="P1334" s="119">
        <v>28.027522928231676</v>
      </c>
      <c r="Q1334" s="119">
        <v>28.009883497051838</v>
      </c>
      <c r="R1334" s="119">
        <v>27.987563059989355</v>
      </c>
      <c r="S1334" s="119">
        <v>27.959432603497568</v>
      </c>
      <c r="T1334" s="119">
        <v>27.924159036827877</v>
      </c>
      <c r="U1334" s="119">
        <v>27.880209344050137</v>
      </c>
      <c r="V1334" s="119">
        <v>27.825883458909342</v>
      </c>
      <c r="W1334" s="119">
        <v>27.75939103479617</v>
      </c>
      <c r="X1334" s="119">
        <v>27.678988515559794</v>
      </c>
      <c r="Y1334" s="119">
        <v>27.583189201077481</v>
      </c>
      <c r="Z1334" s="119">
        <v>27.471046566588679</v>
      </c>
      <c r="AA1334" s="119">
        <v>27.342487013254225</v>
      </c>
      <c r="AB1334" s="119">
        <v>27.198633953644116</v>
      </c>
      <c r="AC1334" s="119">
        <v>27.042030828454156</v>
      </c>
      <c r="AD1334" s="119">
        <v>26.876656430272988</v>
      </c>
      <c r="AE1334" s="119">
        <v>26.70765441023082</v>
      </c>
      <c r="AF1334" s="119">
        <v>26.540777732755242</v>
      </c>
      <c r="AG1334" s="119">
        <v>26.381654043436324</v>
      </c>
      <c r="AH1334" s="119">
        <v>26.235057252169511</v>
      </c>
      <c r="AI1334" s="119">
        <v>26.10437581241402</v>
      </c>
      <c r="AJ1334" s="119">
        <v>25.99139263403551</v>
      </c>
      <c r="AK1334" s="119">
        <v>25.896377803645702</v>
      </c>
      <c r="AL1334" s="119">
        <v>25.818402703835318</v>
      </c>
      <c r="AM1334" s="119">
        <v>25.755748182669887</v>
      </c>
      <c r="AN1334" s="119">
        <v>25.706296994670566</v>
      </c>
      <c r="AO1334" s="119">
        <v>25.667845167139351</v>
      </c>
      <c r="AP1334" s="119">
        <v>25.638311326167393</v>
      </c>
      <c r="AQ1334" s="119">
        <v>25.615852970393675</v>
      </c>
      <c r="AR1334" s="119">
        <v>25.598912291164673</v>
      </c>
      <c r="AS1334" s="119">
        <v>25.58621600768365</v>
      </c>
      <c r="AT1334" s="119">
        <v>25.576749548406834</v>
      </c>
      <c r="AU1334" s="119">
        <v>25.569719997038124</v>
      </c>
      <c r="AV1334" s="119">
        <v>25.564516808681162</v>
      </c>
      <c r="AW1334" s="119">
        <v>25.560675219103512</v>
      </c>
      <c r="AX1334" s="120">
        <v>25.557844556522081</v>
      </c>
    </row>
    <row r="1335" spans="1:50" x14ac:dyDescent="0.25">
      <c r="A1335" s="356"/>
      <c r="B1335" s="359"/>
      <c r="C1335" s="350"/>
      <c r="D1335" s="2" t="s">
        <v>10</v>
      </c>
      <c r="E1335" s="160" t="str">
        <f>A1329&amp;"/"&amp;B1329&amp;"/"&amp;C1333&amp;"/"&amp;D1335</f>
        <v>Gas fired power plants (Natural gas, biogas)/Gas turbine combined cycle/CHP/S</v>
      </c>
      <c r="F1335" s="76" t="str">
        <f>A1329</f>
        <v>Gas fired power plants (Natural gas, biogas)</v>
      </c>
      <c r="G1335" s="76" t="str">
        <f>B1329</f>
        <v>Gas turbine combined cycle</v>
      </c>
      <c r="H1335" s="76" t="str">
        <f>C1333</f>
        <v>CHP</v>
      </c>
      <c r="I1335" s="161" t="str">
        <f t="shared" si="99"/>
        <v>S</v>
      </c>
      <c r="J1335" s="119">
        <v>34.101278320312503</v>
      </c>
      <c r="K1335" s="119">
        <v>34.100763183459186</v>
      </c>
      <c r="L1335" s="119">
        <v>34.10006804972177</v>
      </c>
      <c r="M1335" s="119">
        <v>34.099130133043381</v>
      </c>
      <c r="N1335" s="119">
        <v>34.097864834865071</v>
      </c>
      <c r="O1335" s="119">
        <v>34.096158238732521</v>
      </c>
      <c r="P1335" s="119">
        <v>34.093857081853997</v>
      </c>
      <c r="Q1335" s="119">
        <v>34.090755404339639</v>
      </c>
      <c r="R1335" s="119">
        <v>34.086576864292432</v>
      </c>
      <c r="S1335" s="119">
        <v>34.080951472942509</v>
      </c>
      <c r="T1335" s="119">
        <v>34.073385281528623</v>
      </c>
      <c r="U1335" s="119">
        <v>34.063221413887042</v>
      </c>
      <c r="V1335" s="119">
        <v>34.049590931114594</v>
      </c>
      <c r="W1335" s="119">
        <v>34.031352604368323</v>
      </c>
      <c r="X1335" s="119">
        <v>34.007022217105586</v>
      </c>
      <c r="Y1335" s="119">
        <v>33.974695246454672</v>
      </c>
      <c r="Z1335" s="119">
        <v>33.931972721814681</v>
      </c>
      <c r="AA1335" s="119">
        <v>33.875909946938606</v>
      </c>
      <c r="AB1335" s="119">
        <v>33.803022436467735</v>
      </c>
      <c r="AC1335" s="119">
        <v>33.709401858515506</v>
      </c>
      <c r="AD1335" s="119">
        <v>33.591011372137686</v>
      </c>
      <c r="AE1335" s="119">
        <v>33.444230544214477</v>
      </c>
      <c r="AF1335" s="119">
        <v>33.266681113905733</v>
      </c>
      <c r="AG1335" s="119">
        <v>33.058260487549752</v>
      </c>
      <c r="AH1335" s="119">
        <v>32.822139478958412</v>
      </c>
      <c r="AI1335" s="119">
        <v>32.565310280207541</v>
      </c>
      <c r="AJ1335" s="119">
        <v>32.298244017730617</v>
      </c>
      <c r="AK1335" s="119">
        <v>32.03347173733745</v>
      </c>
      <c r="AL1335" s="119">
        <v>31.783396894665554</v>
      </c>
      <c r="AM1335" s="119">
        <v>31.558085489536747</v>
      </c>
      <c r="AN1335" s="119">
        <v>31.363819640437356</v>
      </c>
      <c r="AO1335" s="119">
        <v>31.202794067734413</v>
      </c>
      <c r="AP1335" s="119">
        <v>31.073791867579544</v>
      </c>
      <c r="AQ1335" s="119">
        <v>30.973353164910126</v>
      </c>
      <c r="AR1335" s="119">
        <v>30.896954394797653</v>
      </c>
      <c r="AS1335" s="119">
        <v>30.839912955418807</v>
      </c>
      <c r="AT1335" s="119">
        <v>30.79794167961742</v>
      </c>
      <c r="AU1335" s="119">
        <v>30.767406246043002</v>
      </c>
      <c r="AV1335" s="119">
        <v>30.745382270719134</v>
      </c>
      <c r="AW1335" s="119">
        <v>30.729601399277136</v>
      </c>
      <c r="AX1335" s="120">
        <v>30.718349907689461</v>
      </c>
    </row>
    <row r="1336" spans="1:50" x14ac:dyDescent="0.25">
      <c r="A1336" s="356"/>
      <c r="B1336" s="359"/>
      <c r="C1336" s="360"/>
      <c r="D1336" s="59" t="s">
        <v>20</v>
      </c>
      <c r="E1336" s="166" t="str">
        <f>A1329&amp;"/"&amp;B1329&amp;"/"&amp;C1333&amp;"/"&amp;D1336</f>
        <v>Gas fired power plants (Natural gas, biogas)/Gas turbine combined cycle/CHP/XS</v>
      </c>
      <c r="F1336" s="79" t="str">
        <f>A1329</f>
        <v>Gas fired power plants (Natural gas, biogas)</v>
      </c>
      <c r="G1336" s="79" t="str">
        <f>B1329</f>
        <v>Gas turbine combined cycle</v>
      </c>
      <c r="H1336" s="79" t="str">
        <f>C1333</f>
        <v>CHP</v>
      </c>
      <c r="I1336" s="167" t="str">
        <f t="shared" si="99"/>
        <v>XS</v>
      </c>
      <c r="J1336" s="125">
        <v>36.488671874999994</v>
      </c>
      <c r="K1336" s="125">
        <v>36.488586046073486</v>
      </c>
      <c r="L1336" s="125">
        <v>36.488470194671514</v>
      </c>
      <c r="M1336" s="125">
        <v>36.48831382171246</v>
      </c>
      <c r="N1336" s="125">
        <v>36.488102758654499</v>
      </c>
      <c r="O1336" s="125">
        <v>36.487817886772298</v>
      </c>
      <c r="P1336" s="125">
        <v>36.487433410882332</v>
      </c>
      <c r="Q1336" s="125">
        <v>36.48691453370563</v>
      </c>
      <c r="R1336" s="125">
        <v>36.486214324939567</v>
      </c>
      <c r="S1336" s="125">
        <v>36.485269510145393</v>
      </c>
      <c r="T1336" s="125">
        <v>36.483994813978413</v>
      </c>
      <c r="U1336" s="125">
        <v>36.482275374567394</v>
      </c>
      <c r="V1336" s="125">
        <v>36.479956595165703</v>
      </c>
      <c r="W1336" s="125">
        <v>36.47683061060031</v>
      </c>
      <c r="X1336" s="125">
        <v>36.472618318027315</v>
      </c>
      <c r="Y1336" s="125">
        <v>36.466945661085106</v>
      </c>
      <c r="Z1336" s="125">
        <v>36.459312588857486</v>
      </c>
      <c r="AA1336" s="125">
        <v>36.449052896550526</v>
      </c>
      <c r="AB1336" s="125">
        <v>36.435283118493665</v>
      </c>
      <c r="AC1336" s="125">
        <v>36.416839022792814</v>
      </c>
      <c r="AD1336" s="125">
        <v>36.392199468612837</v>
      </c>
      <c r="AE1336" s="125">
        <v>36.359400117992074</v>
      </c>
      <c r="AF1336" s="125">
        <v>36.315944772165913</v>
      </c>
      <c r="AG1336" s="125">
        <v>36.258731256676747</v>
      </c>
      <c r="AH1336" s="125">
        <v>36.184023055175743</v>
      </c>
      <c r="AI1336" s="125">
        <v>36.087517293704813</v>
      </c>
      <c r="AJ1336" s="125">
        <v>35.964580496196824</v>
      </c>
      <c r="AK1336" s="125">
        <v>35.810734448465595</v>
      </c>
      <c r="AL1336" s="125">
        <v>35.622453181227456</v>
      </c>
      <c r="AM1336" s="125">
        <v>35.398248531944638</v>
      </c>
      <c r="AN1336" s="125">
        <v>35.139859072524771</v>
      </c>
      <c r="AO1336" s="125">
        <v>34.853153388755899</v>
      </c>
      <c r="AP1336" s="125">
        <v>34.548240915336372</v>
      </c>
      <c r="AQ1336" s="125">
        <v>34.238424164396307</v>
      </c>
      <c r="AR1336" s="125">
        <v>33.938081160557239</v>
      </c>
      <c r="AS1336" s="125">
        <v>33.660120468262768</v>
      </c>
      <c r="AT1336" s="125">
        <v>33.413910152634806</v>
      </c>
      <c r="AU1336" s="125">
        <v>33.204330525745199</v>
      </c>
      <c r="AV1336" s="125">
        <v>33.03203073124385</v>
      </c>
      <c r="AW1336" s="125">
        <v>32.894487563648227</v>
      </c>
      <c r="AX1336" s="126">
        <v>32.787316491249783</v>
      </c>
    </row>
    <row r="1337" spans="1:50" x14ac:dyDescent="0.25">
      <c r="A1337" s="356"/>
      <c r="B1337" s="359"/>
      <c r="C1337" s="361" t="s">
        <v>15</v>
      </c>
      <c r="D1337" s="58" t="s">
        <v>7</v>
      </c>
      <c r="E1337" s="164" t="str">
        <f>A1329&amp;"/"&amp;B1329&amp;"/"&amp;C1337&amp;"/"&amp;D1337</f>
        <v>Gas fired power plants (Natural gas, biogas)/Gas turbine combined cycle/Electricity only with CCS/L</v>
      </c>
      <c r="F1337" s="78" t="str">
        <f>A1329</f>
        <v>Gas fired power plants (Natural gas, biogas)</v>
      </c>
      <c r="G1337" s="78" t="str">
        <f>B1329</f>
        <v>Gas turbine combined cycle</v>
      </c>
      <c r="H1337" s="78" t="str">
        <f>C1337</f>
        <v>Electricity only with CCS</v>
      </c>
      <c r="I1337" s="165" t="str">
        <f t="shared" si="99"/>
        <v>L</v>
      </c>
      <c r="J1337" s="123" t="s">
        <v>112</v>
      </c>
      <c r="K1337" s="123" t="s">
        <v>112</v>
      </c>
      <c r="L1337" s="123" t="s">
        <v>112</v>
      </c>
      <c r="M1337" s="123" t="s">
        <v>112</v>
      </c>
      <c r="N1337" s="123" t="s">
        <v>112</v>
      </c>
      <c r="O1337" s="123" t="s">
        <v>112</v>
      </c>
      <c r="P1337" s="123" t="s">
        <v>112</v>
      </c>
      <c r="Q1337" s="123" t="s">
        <v>112</v>
      </c>
      <c r="R1337" s="123" t="s">
        <v>112</v>
      </c>
      <c r="S1337" s="123" t="s">
        <v>112</v>
      </c>
      <c r="T1337" s="123" t="s">
        <v>112</v>
      </c>
      <c r="U1337" s="123" t="s">
        <v>112</v>
      </c>
      <c r="V1337" s="123" t="s">
        <v>112</v>
      </c>
      <c r="W1337" s="123" t="s">
        <v>112</v>
      </c>
      <c r="X1337" s="123" t="s">
        <v>112</v>
      </c>
      <c r="Y1337" s="123" t="s">
        <v>112</v>
      </c>
      <c r="Z1337" s="123" t="s">
        <v>112</v>
      </c>
      <c r="AA1337" s="123" t="s">
        <v>112</v>
      </c>
      <c r="AB1337" s="123" t="s">
        <v>112</v>
      </c>
      <c r="AC1337" s="123" t="s">
        <v>112</v>
      </c>
      <c r="AD1337" s="123" t="s">
        <v>112</v>
      </c>
      <c r="AE1337" s="123">
        <v>39.774874800722387</v>
      </c>
      <c r="AF1337" s="123">
        <v>39.757485210990211</v>
      </c>
      <c r="AG1337" s="123">
        <v>39.735216139177922</v>
      </c>
      <c r="AH1337" s="123">
        <v>39.706719940935535</v>
      </c>
      <c r="AI1337" s="123">
        <v>39.670290565549713</v>
      </c>
      <c r="AJ1337" s="123">
        <v>39.623777060923629</v>
      </c>
      <c r="AK1337" s="123">
        <v>39.564481894376897</v>
      </c>
      <c r="AL1337" s="123">
        <v>39.489045281548371</v>
      </c>
      <c r="AM1337" s="123">
        <v>39.393320018087209</v>
      </c>
      <c r="AN1337" s="123">
        <v>39.272246861772331</v>
      </c>
      <c r="AO1337" s="123">
        <v>39.119749232917904</v>
      </c>
      <c r="AP1337" s="123">
        <v>38.92867876589002</v>
      </c>
      <c r="AQ1337" s="123">
        <v>38.690860378322789</v>
      </c>
      <c r="AR1337" s="123">
        <v>38.397305751277216</v>
      </c>
      <c r="AS1337" s="123">
        <v>38.038682798253397</v>
      </c>
      <c r="AT1337" s="123">
        <v>37.60613553258321</v>
      </c>
      <c r="AU1337" s="123">
        <v>37.092525966658215</v>
      </c>
      <c r="AV1337" s="123">
        <v>36.494093763388847</v>
      </c>
      <c r="AW1337" s="123">
        <v>35.812380918756944</v>
      </c>
      <c r="AX1337" s="124">
        <v>35.056054687500001</v>
      </c>
    </row>
    <row r="1338" spans="1:50" x14ac:dyDescent="0.25">
      <c r="A1338" s="356"/>
      <c r="B1338" s="359"/>
      <c r="C1338" s="360"/>
      <c r="D1338" s="59" t="s">
        <v>8</v>
      </c>
      <c r="E1338" s="166" t="str">
        <f>A1329&amp;"/"&amp;B1329&amp;"/"&amp;C1337&amp;"/"&amp;D1338</f>
        <v>Gas fired power plants (Natural gas, biogas)/Gas turbine combined cycle/Electricity only with CCS/M</v>
      </c>
      <c r="F1338" s="79" t="str">
        <f>A1329</f>
        <v>Gas fired power plants (Natural gas, biogas)</v>
      </c>
      <c r="G1338" s="79" t="str">
        <f>B1329</f>
        <v>Gas turbine combined cycle</v>
      </c>
      <c r="H1338" s="79" t="str">
        <f>C1337</f>
        <v>Electricity only with CCS</v>
      </c>
      <c r="I1338" s="167" t="str">
        <f t="shared" si="99"/>
        <v>M</v>
      </c>
      <c r="J1338" s="125" t="s">
        <v>112</v>
      </c>
      <c r="K1338" s="125" t="s">
        <v>112</v>
      </c>
      <c r="L1338" s="125" t="s">
        <v>112</v>
      </c>
      <c r="M1338" s="125" t="s">
        <v>112</v>
      </c>
      <c r="N1338" s="125" t="s">
        <v>112</v>
      </c>
      <c r="O1338" s="125" t="s">
        <v>112</v>
      </c>
      <c r="P1338" s="125" t="s">
        <v>112</v>
      </c>
      <c r="Q1338" s="125" t="s">
        <v>112</v>
      </c>
      <c r="R1338" s="125" t="s">
        <v>112</v>
      </c>
      <c r="S1338" s="125" t="s">
        <v>112</v>
      </c>
      <c r="T1338" s="125" t="s">
        <v>112</v>
      </c>
      <c r="U1338" s="125" t="s">
        <v>112</v>
      </c>
      <c r="V1338" s="125" t="s">
        <v>112</v>
      </c>
      <c r="W1338" s="125" t="s">
        <v>112</v>
      </c>
      <c r="X1338" s="125" t="s">
        <v>112</v>
      </c>
      <c r="Y1338" s="125" t="s">
        <v>112</v>
      </c>
      <c r="Z1338" s="125" t="s">
        <v>112</v>
      </c>
      <c r="AA1338" s="125" t="s">
        <v>112</v>
      </c>
      <c r="AB1338" s="125" t="s">
        <v>112</v>
      </c>
      <c r="AC1338" s="125" t="s">
        <v>112</v>
      </c>
      <c r="AD1338" s="125" t="s">
        <v>112</v>
      </c>
      <c r="AE1338" s="125">
        <v>48.680587966649206</v>
      </c>
      <c r="AF1338" s="125">
        <v>48.661080909016739</v>
      </c>
      <c r="AG1338" s="125">
        <v>48.636100212292163</v>
      </c>
      <c r="AH1338" s="125">
        <v>48.604134134312055</v>
      </c>
      <c r="AI1338" s="125">
        <v>48.563268884693684</v>
      </c>
      <c r="AJ1338" s="125">
        <v>48.511091597626887</v>
      </c>
      <c r="AK1338" s="125">
        <v>48.444576271562909</v>
      </c>
      <c r="AL1338" s="125">
        <v>48.359954013263021</v>
      </c>
      <c r="AM1338" s="125">
        <v>48.252572628194116</v>
      </c>
      <c r="AN1338" s="125">
        <v>48.116756828376232</v>
      </c>
      <c r="AO1338" s="125">
        <v>47.945690110834562</v>
      </c>
      <c r="AP1338" s="125">
        <v>47.731353679119835</v>
      </c>
      <c r="AQ1338" s="125">
        <v>47.464577000441011</v>
      </c>
      <c r="AR1338" s="125">
        <v>47.135277280536556</v>
      </c>
      <c r="AS1338" s="125">
        <v>46.73298609824252</v>
      </c>
      <c r="AT1338" s="125">
        <v>46.247769105193669</v>
      </c>
      <c r="AU1338" s="125">
        <v>45.671619146661101</v>
      </c>
      <c r="AV1338" s="125">
        <v>45.000318002810239</v>
      </c>
      <c r="AW1338" s="125">
        <v>44.235595432936719</v>
      </c>
      <c r="AX1338" s="126">
        <v>43.387174072265623</v>
      </c>
    </row>
    <row r="1339" spans="1:50" x14ac:dyDescent="0.25">
      <c r="A1339" s="356"/>
      <c r="B1339" s="359"/>
      <c r="C1339" s="361" t="s">
        <v>16</v>
      </c>
      <c r="D1339" s="2" t="s">
        <v>7</v>
      </c>
      <c r="E1339" s="160" t="str">
        <f>A1329&amp;"/"&amp;B1329&amp;"/"&amp;C1339&amp;"/"&amp;D1339</f>
        <v>Gas fired power plants (Natural gas, biogas)/Gas turbine combined cycle/CHP with CCS/L</v>
      </c>
      <c r="F1339" s="76" t="str">
        <f>A1329</f>
        <v>Gas fired power plants (Natural gas, biogas)</v>
      </c>
      <c r="G1339" s="76" t="str">
        <f>B1329</f>
        <v>Gas turbine combined cycle</v>
      </c>
      <c r="H1339" s="76" t="str">
        <f>C1339</f>
        <v>CHP with CCS</v>
      </c>
      <c r="I1339" s="161" t="str">
        <f t="shared" si="99"/>
        <v>L</v>
      </c>
      <c r="J1339" s="119" t="s">
        <v>112</v>
      </c>
      <c r="K1339" s="119" t="s">
        <v>112</v>
      </c>
      <c r="L1339" s="119" t="s">
        <v>112</v>
      </c>
      <c r="M1339" s="119" t="s">
        <v>112</v>
      </c>
      <c r="N1339" s="119" t="s">
        <v>112</v>
      </c>
      <c r="O1339" s="119" t="s">
        <v>112</v>
      </c>
      <c r="P1339" s="119" t="s">
        <v>112</v>
      </c>
      <c r="Q1339" s="119" t="s">
        <v>112</v>
      </c>
      <c r="R1339" s="119" t="s">
        <v>112</v>
      </c>
      <c r="S1339" s="119" t="s">
        <v>112</v>
      </c>
      <c r="T1339" s="119" t="s">
        <v>112</v>
      </c>
      <c r="U1339" s="119" t="s">
        <v>112</v>
      </c>
      <c r="V1339" s="119" t="s">
        <v>112</v>
      </c>
      <c r="W1339" s="119" t="s">
        <v>112</v>
      </c>
      <c r="X1339" s="119" t="s">
        <v>112</v>
      </c>
      <c r="Y1339" s="119" t="s">
        <v>112</v>
      </c>
      <c r="Z1339" s="119" t="s">
        <v>112</v>
      </c>
      <c r="AA1339" s="119" t="s">
        <v>112</v>
      </c>
      <c r="AB1339" s="119" t="s">
        <v>112</v>
      </c>
      <c r="AC1339" s="119" t="s">
        <v>112</v>
      </c>
      <c r="AD1339" s="119" t="s">
        <v>112</v>
      </c>
      <c r="AE1339" s="119">
        <v>46.345037818940867</v>
      </c>
      <c r="AF1339" s="119">
        <v>46.329575343560698</v>
      </c>
      <c r="AG1339" s="119">
        <v>46.309766614030572</v>
      </c>
      <c r="AH1339" s="119">
        <v>46.284406414262897</v>
      </c>
      <c r="AI1339" s="119">
        <v>46.251965875186634</v>
      </c>
      <c r="AJ1339" s="119">
        <v>46.210512319937152</v>
      </c>
      <c r="AK1339" s="119">
        <v>46.157613615383589</v>
      </c>
      <c r="AL1339" s="119">
        <v>46.090226955987475</v>
      </c>
      <c r="AM1339" s="119">
        <v>46.004574379793347</v>
      </c>
      <c r="AN1339" s="119">
        <v>45.896011498489131</v>
      </c>
      <c r="AO1339" s="119">
        <v>45.758902759269887</v>
      </c>
      <c r="AP1339" s="119">
        <v>45.586526993698136</v>
      </c>
      <c r="AQ1339" s="119">
        <v>45.371051787039356</v>
      </c>
      <c r="AR1339" s="119">
        <v>45.103634135729095</v>
      </c>
      <c r="AS1339" s="119">
        <v>44.774725504711199</v>
      </c>
      <c r="AT1339" s="119">
        <v>44.374675002467427</v>
      </c>
      <c r="AU1339" s="119">
        <v>43.894721643878334</v>
      </c>
      <c r="AV1339" s="119">
        <v>43.328424970861249</v>
      </c>
      <c r="AW1339" s="119">
        <v>42.673479341476636</v>
      </c>
      <c r="AX1339" s="120">
        <v>41.933679718588856</v>
      </c>
    </row>
    <row r="1340" spans="1:50" x14ac:dyDescent="0.25">
      <c r="A1340" s="356"/>
      <c r="B1340" s="362"/>
      <c r="C1340" s="354"/>
      <c r="D1340" s="4" t="s">
        <v>8</v>
      </c>
      <c r="E1340" s="168" t="str">
        <f>A1329&amp;"/"&amp;B1329&amp;"/"&amp;C1339&amp;"/"&amp;D1340</f>
        <v>Gas fired power plants (Natural gas, biogas)/Gas turbine combined cycle/CHP with CCS/M</v>
      </c>
      <c r="F1340" s="80" t="str">
        <f>A1329</f>
        <v>Gas fired power plants (Natural gas, biogas)</v>
      </c>
      <c r="G1340" s="80" t="str">
        <f>B1329</f>
        <v>Gas turbine combined cycle</v>
      </c>
      <c r="H1340" s="80" t="str">
        <f>C1339</f>
        <v>CHP with CCS</v>
      </c>
      <c r="I1340" s="169" t="str">
        <f t="shared" si="99"/>
        <v>M</v>
      </c>
      <c r="J1340" s="127" t="s">
        <v>112</v>
      </c>
      <c r="K1340" s="127" t="s">
        <v>112</v>
      </c>
      <c r="L1340" s="127" t="s">
        <v>112</v>
      </c>
      <c r="M1340" s="127" t="s">
        <v>112</v>
      </c>
      <c r="N1340" s="127" t="s">
        <v>112</v>
      </c>
      <c r="O1340" s="127" t="s">
        <v>112</v>
      </c>
      <c r="P1340" s="127" t="s">
        <v>112</v>
      </c>
      <c r="Q1340" s="127" t="s">
        <v>112</v>
      </c>
      <c r="R1340" s="127" t="s">
        <v>112</v>
      </c>
      <c r="S1340" s="127" t="s">
        <v>112</v>
      </c>
      <c r="T1340" s="127" t="s">
        <v>112</v>
      </c>
      <c r="U1340" s="127" t="s">
        <v>112</v>
      </c>
      <c r="V1340" s="127" t="s">
        <v>112</v>
      </c>
      <c r="W1340" s="127" t="s">
        <v>112</v>
      </c>
      <c r="X1340" s="127" t="s">
        <v>112</v>
      </c>
      <c r="Y1340" s="127" t="s">
        <v>112</v>
      </c>
      <c r="Z1340" s="127" t="s">
        <v>112</v>
      </c>
      <c r="AA1340" s="127" t="s">
        <v>112</v>
      </c>
      <c r="AB1340" s="127" t="s">
        <v>112</v>
      </c>
      <c r="AC1340" s="127" t="s">
        <v>112</v>
      </c>
      <c r="AD1340" s="127" t="s">
        <v>112</v>
      </c>
      <c r="AE1340" s="127">
        <v>54.986579906141493</v>
      </c>
      <c r="AF1340" s="127">
        <v>54.969903845657676</v>
      </c>
      <c r="AG1340" s="127">
        <v>54.948540411690594</v>
      </c>
      <c r="AH1340" s="127">
        <v>54.921189795776279</v>
      </c>
      <c r="AI1340" s="127">
        <v>54.886203134296629</v>
      </c>
      <c r="AJ1340" s="127">
        <v>54.841496062652972</v>
      </c>
      <c r="AK1340" s="127">
        <v>54.784445559744356</v>
      </c>
      <c r="AL1340" s="127">
        <v>54.711770002935836</v>
      </c>
      <c r="AM1340" s="127">
        <v>54.619394913819136</v>
      </c>
      <c r="AN1340" s="127">
        <v>54.502311385443832</v>
      </c>
      <c r="AO1340" s="127">
        <v>54.354441554005838</v>
      </c>
      <c r="AP1340" s="127">
        <v>54.168536734632262</v>
      </c>
      <c r="AQ1340" s="127">
        <v>53.936149779073205</v>
      </c>
      <c r="AR1340" s="127">
        <v>53.647743633352881</v>
      </c>
      <c r="AS1340" s="127">
        <v>53.293020337784178</v>
      </c>
      <c r="AT1340" s="127">
        <v>52.861571542686718</v>
      </c>
      <c r="AU1340" s="127">
        <v>52.343948649814905</v>
      </c>
      <c r="AV1340" s="127">
        <v>51.733205716433879</v>
      </c>
      <c r="AW1340" s="127">
        <v>51.026856140399218</v>
      </c>
      <c r="AX1340" s="128">
        <v>50.228992735358467</v>
      </c>
    </row>
    <row r="1341" spans="1:50" x14ac:dyDescent="0.25">
      <c r="A1341" s="356"/>
      <c r="B1341" s="358" t="s">
        <v>24</v>
      </c>
      <c r="C1341" s="353" t="s">
        <v>6</v>
      </c>
      <c r="D1341" s="3" t="s">
        <v>8</v>
      </c>
      <c r="E1341" s="162" t="str">
        <f>A1329&amp;"/"&amp;B1341&amp;"/"&amp;C1341&amp;"/"&amp;D1341</f>
        <v>Gas fired power plants (Natural gas, biogas)/Gas turbine /Electricity only/M</v>
      </c>
      <c r="F1341" s="77" t="str">
        <f>A1329</f>
        <v>Gas fired power plants (Natural gas, biogas)</v>
      </c>
      <c r="G1341" s="77" t="str">
        <f>B1341</f>
        <v xml:space="preserve">Gas turbine </v>
      </c>
      <c r="H1341" s="77" t="str">
        <f>C1341</f>
        <v>Electricity only</v>
      </c>
      <c r="I1341" s="163" t="str">
        <f t="shared" si="99"/>
        <v>M</v>
      </c>
      <c r="J1341" s="121">
        <v>9.6300000000000008</v>
      </c>
      <c r="K1341" s="121">
        <v>9.628373823016581</v>
      </c>
      <c r="L1341" s="121">
        <v>9.6265880850182768</v>
      </c>
      <c r="M1341" s="121">
        <v>9.624628407825357</v>
      </c>
      <c r="N1341" s="121">
        <v>9.6224793881484594</v>
      </c>
      <c r="O1341" s="121">
        <v>9.6201245830111777</v>
      </c>
      <c r="P1341" s="121">
        <v>9.6175465096923158</v>
      </c>
      <c r="Q1341" s="121">
        <v>9.6147266638953983</v>
      </c>
      <c r="R1341" s="121">
        <v>9.6116455603454423</v>
      </c>
      <c r="S1341" s="121">
        <v>9.6082828004886185</v>
      </c>
      <c r="T1341" s="121">
        <v>9.6046171723958302</v>
      </c>
      <c r="U1341" s="121">
        <v>9.6006267883030283</v>
      </c>
      <c r="V1341" s="121">
        <v>9.596289265404268</v>
      </c>
      <c r="W1341" s="121">
        <v>9.5915819554805282</v>
      </c>
      <c r="X1341" s="121">
        <v>9.5864822286195892</v>
      </c>
      <c r="Y1341" s="121">
        <v>9.5809678155715723</v>
      </c>
      <c r="Z1341" s="121">
        <v>9.5750172120979489</v>
      </c>
      <c r="AA1341" s="121">
        <v>9.5686101469177256</v>
      </c>
      <c r="AB1341" s="121">
        <v>9.5617281124546096</v>
      </c>
      <c r="AC1341" s="121">
        <v>9.5543549544910658</v>
      </c>
      <c r="AD1341" s="121">
        <v>9.5464775130302346</v>
      </c>
      <c r="AE1341" s="121">
        <v>9.5380863022096491</v>
      </c>
      <c r="AF1341" s="121">
        <v>9.5291762121381218</v>
      </c>
      <c r="AG1341" s="121">
        <v>9.5197472102772895</v>
      </c>
      <c r="AH1341" s="121">
        <v>9.5098050148102828</v>
      </c>
      <c r="AI1341" s="121">
        <v>9.4993617077904329</v>
      </c>
      <c r="AJ1341" s="121">
        <v>9.4884362522938606</v>
      </c>
      <c r="AK1341" s="121">
        <v>9.4770548759159592</v>
      </c>
      <c r="AL1341" s="121">
        <v>9.4652512833510496</v>
      </c>
      <c r="AM1341" s="121">
        <v>9.4530666639872702</v>
      </c>
      <c r="AN1341" s="121">
        <v>9.4405494667628265</v>
      </c>
      <c r="AO1341" s="121">
        <v>9.4277549240187266</v>
      </c>
      <c r="AP1341" s="121">
        <v>9.4147443184489124</v>
      </c>
      <c r="AQ1341" s="121">
        <v>9.401584001804304</v>
      </c>
      <c r="AR1341" s="121">
        <v>9.3883441896933615</v>
      </c>
      <c r="AS1341" s="121">
        <v>9.3750975722858136</v>
      </c>
      <c r="AT1341" s="121">
        <v>9.3619177944676686</v>
      </c>
      <c r="AU1341" s="121">
        <v>9.3488778695537729</v>
      </c>
      <c r="AV1341" s="121">
        <v>9.3360485968258899</v>
      </c>
      <c r="AW1341" s="121">
        <v>9.3234970541505238</v>
      </c>
      <c r="AX1341" s="122">
        <v>9.3112852325273092</v>
      </c>
    </row>
    <row r="1342" spans="1:50" x14ac:dyDescent="0.25">
      <c r="A1342" s="356"/>
      <c r="B1342" s="359"/>
      <c r="C1342" s="350"/>
      <c r="D1342" s="2" t="s">
        <v>10</v>
      </c>
      <c r="E1342" s="160" t="str">
        <f>A1329&amp;"/"&amp;B1341&amp;"/"&amp;C1341&amp;"/"&amp;D1342</f>
        <v>Gas fired power plants (Natural gas, biogas)/Gas turbine /Electricity only/S</v>
      </c>
      <c r="F1342" s="76" t="str">
        <f>A1329</f>
        <v>Gas fired power plants (Natural gas, biogas)</v>
      </c>
      <c r="G1342" s="76" t="str">
        <f>B1341</f>
        <v xml:space="preserve">Gas turbine </v>
      </c>
      <c r="H1342" s="76" t="str">
        <f>C1341</f>
        <v>Electricity only</v>
      </c>
      <c r="I1342" s="161" t="str">
        <f t="shared" si="99"/>
        <v>S</v>
      </c>
      <c r="J1342" s="119">
        <v>10.25595</v>
      </c>
      <c r="K1342" s="119">
        <v>10.254202301367636</v>
      </c>
      <c r="L1342" s="119">
        <v>10.252282543659661</v>
      </c>
      <c r="M1342" s="119">
        <v>10.250175102885612</v>
      </c>
      <c r="N1342" s="119">
        <v>10.247863215950064</v>
      </c>
      <c r="O1342" s="119">
        <v>10.245328958366587</v>
      </c>
      <c r="P1342" s="119">
        <v>10.242553236749567</v>
      </c>
      <c r="Q1342" s="119">
        <v>10.239515800073773</v>
      </c>
      <c r="R1342" s="119">
        <v>10.236195274267464</v>
      </c>
      <c r="S1342" s="119">
        <v>10.232569225280086</v>
      </c>
      <c r="T1342" s="119">
        <v>10.228614256308468</v>
      </c>
      <c r="U1342" s="119">
        <v>10.224306145332053</v>
      </c>
      <c r="V1342" s="119">
        <v>10.219620029441854</v>
      </c>
      <c r="W1342" s="119">
        <v>10.214530642578188</v>
      </c>
      <c r="X1342" s="119">
        <v>10.209012613133092</v>
      </c>
      <c r="Y1342" s="119">
        <v>10.203040827325173</v>
      </c>
      <c r="Z1342" s="119">
        <v>10.196590863207474</v>
      </c>
      <c r="AA1342" s="119">
        <v>10.189639498508662</v>
      </c>
      <c r="AB1342" s="119">
        <v>10.182165293125276</v>
      </c>
      <c r="AC1342" s="119">
        <v>10.174149243888845</v>
      </c>
      <c r="AD1342" s="119">
        <v>10.16557550517417</v>
      </c>
      <c r="AE1342" s="119">
        <v>10.156432164002867</v>
      </c>
      <c r="AF1342" s="119">
        <v>10.146712052622542</v>
      </c>
      <c r="AG1342" s="119">
        <v>10.136413575310774</v>
      </c>
      <c r="AH1342" s="119">
        <v>10.125541519699031</v>
      </c>
      <c r="AI1342" s="119">
        <v>10.114107816711371</v>
      </c>
      <c r="AJ1342" s="119">
        <v>10.102132207879672</v>
      </c>
      <c r="AK1342" s="119">
        <v>10.089642775053555</v>
      </c>
      <c r="AL1342" s="119">
        <v>10.076676286143989</v>
      </c>
      <c r="AM1342" s="119">
        <v>10.063278312267615</v>
      </c>
      <c r="AN1342" s="119">
        <v>10.049503077094352</v>
      </c>
      <c r="AO1342" s="119">
        <v>10.035413008676256</v>
      </c>
      <c r="AP1342" s="119">
        <v>10.0210779774957</v>
      </c>
      <c r="AQ1342" s="119">
        <v>10.006574221381932</v>
      </c>
      <c r="AR1342" s="119">
        <v>9.9919829772567592</v>
      </c>
      <c r="AS1342" s="119">
        <v>9.977388859859607</v>
      </c>
      <c r="AT1342" s="119">
        <v>9.9628780468003342</v>
      </c>
      <c r="AU1342" s="119">
        <v>9.9485363454939737</v>
      </c>
      <c r="AV1342" s="119">
        <v>9.9344472288779109</v>
      </c>
      <c r="AW1342" s="119">
        <v>9.9206899318480612</v>
      </c>
      <c r="AX1342" s="120">
        <v>9.9073376982823849</v>
      </c>
    </row>
    <row r="1343" spans="1:50" x14ac:dyDescent="0.25">
      <c r="A1343" s="356"/>
      <c r="B1343" s="359"/>
      <c r="C1343" s="360"/>
      <c r="D1343" s="59" t="s">
        <v>20</v>
      </c>
      <c r="E1343" s="160" t="str">
        <f>A1329&amp;"/"&amp;B1341&amp;"/"&amp;C1341&amp;"/"&amp;D1343</f>
        <v>Gas fired power plants (Natural gas, biogas)/Gas turbine /Electricity only/XS</v>
      </c>
      <c r="F1343" s="76" t="str">
        <f>A1329</f>
        <v>Gas fired power plants (Natural gas, biogas)</v>
      </c>
      <c r="G1343" s="76" t="str">
        <f>B1341</f>
        <v xml:space="preserve">Gas turbine </v>
      </c>
      <c r="H1343" s="76" t="str">
        <f>C1341</f>
        <v>Electricity only</v>
      </c>
      <c r="I1343" s="161" t="str">
        <f t="shared" si="99"/>
        <v>XS</v>
      </c>
      <c r="J1343" s="119">
        <v>14.8711275</v>
      </c>
      <c r="K1343" s="119">
        <v>14.869574823665285</v>
      </c>
      <c r="L1343" s="119">
        <v>14.867865252307734</v>
      </c>
      <c r="M1343" s="119">
        <v>14.865983659114942</v>
      </c>
      <c r="N1343" s="119">
        <v>14.863913615867906</v>
      </c>
      <c r="O1343" s="119">
        <v>14.861637315229611</v>
      </c>
      <c r="P1343" s="119">
        <v>14.859135496330865</v>
      </c>
      <c r="Q1343" s="119">
        <v>14.856387376016594</v>
      </c>
      <c r="R1343" s="119">
        <v>14.853370588648986</v>
      </c>
      <c r="S1343" s="119">
        <v>14.850061137969099</v>
      </c>
      <c r="T1343" s="119">
        <v>14.846433365194537</v>
      </c>
      <c r="U1343" s="119">
        <v>14.842459938271544</v>
      </c>
      <c r="V1343" s="119">
        <v>14.838111867992996</v>
      </c>
      <c r="W1343" s="119">
        <v>14.833358557518205</v>
      </c>
      <c r="X1343" s="119">
        <v>14.828167892653905</v>
      </c>
      <c r="Y1343" s="119">
        <v>14.822506381032902</v>
      </c>
      <c r="Z1343" s="119">
        <v>14.816339348994829</v>
      </c>
      <c r="AA1343" s="119">
        <v>14.809631205451826</v>
      </c>
      <c r="AB1343" s="119">
        <v>14.802345782208508</v>
      </c>
      <c r="AC1343" s="119">
        <v>14.794446759977831</v>
      </c>
      <c r="AD1343" s="119">
        <v>14.785898188549758</v>
      </c>
      <c r="AE1343" s="119">
        <v>14.776665108070627</v>
      </c>
      <c r="AF1343" s="119">
        <v>14.766714276014397</v>
      </c>
      <c r="AG1343" s="119">
        <v>14.756015001016422</v>
      </c>
      <c r="AH1343" s="119">
        <v>14.744540080168173</v>
      </c>
      <c r="AI1343" s="119">
        <v>14.732266830563201</v>
      </c>
      <c r="AJ1343" s="119">
        <v>14.719178198852656</v>
      </c>
      <c r="AK1343" s="119">
        <v>14.705263924446948</v>
      </c>
      <c r="AL1343" s="119">
        <v>14.690521723080096</v>
      </c>
      <c r="AM1343" s="119">
        <v>14.674958448214529</v>
      </c>
      <c r="AN1343" s="119">
        <v>14.6585911788882</v>
      </c>
      <c r="AO1343" s="119">
        <v>14.641448174971906</v>
      </c>
      <c r="AP1343" s="119">
        <v>14.623569635445492</v>
      </c>
      <c r="AQ1343" s="119">
        <v>14.605008193327503</v>
      </c>
      <c r="AR1343" s="119">
        <v>14.585829083366503</v>
      </c>
      <c r="AS1343" s="119">
        <v>14.566109926383184</v>
      </c>
      <c r="AT1343" s="119">
        <v>14.545940087716369</v>
      </c>
      <c r="AU1343" s="119">
        <v>14.525419586494086</v>
      </c>
      <c r="AV1343" s="119">
        <v>14.504657556658813</v>
      </c>
      <c r="AW1343" s="119">
        <v>14.483770288320578</v>
      </c>
      <c r="AX1343" s="120">
        <v>14.46287890691273</v>
      </c>
    </row>
    <row r="1344" spans="1:50" x14ac:dyDescent="0.25">
      <c r="A1344" s="356"/>
      <c r="B1344" s="359"/>
      <c r="C1344" s="361" t="s">
        <v>14</v>
      </c>
      <c r="D1344" s="2" t="s">
        <v>8</v>
      </c>
      <c r="E1344" s="164" t="str">
        <f>A1329&amp;"/"&amp;B1341&amp;"/"&amp;C1344&amp;"/"&amp;D1344</f>
        <v>Gas fired power plants (Natural gas, biogas)/Gas turbine /CHP/M</v>
      </c>
      <c r="F1344" s="78" t="str">
        <f>A1329</f>
        <v>Gas fired power plants (Natural gas, biogas)</v>
      </c>
      <c r="G1344" s="78" t="str">
        <f>B1341</f>
        <v xml:space="preserve">Gas turbine </v>
      </c>
      <c r="H1344" s="78" t="str">
        <f>C1344</f>
        <v>CHP</v>
      </c>
      <c r="I1344" s="165" t="str">
        <f t="shared" si="99"/>
        <v>M</v>
      </c>
      <c r="J1344" s="123">
        <v>13.880700000000003</v>
      </c>
      <c r="K1344" s="123">
        <v>13.880374696387298</v>
      </c>
      <c r="L1344" s="123">
        <v>13.880015499429929</v>
      </c>
      <c r="M1344" s="123">
        <v>13.87961891466481</v>
      </c>
      <c r="N1344" s="123">
        <v>13.87918109545738</v>
      </c>
      <c r="O1344" s="123">
        <v>13.878697809297391</v>
      </c>
      <c r="P1344" s="123">
        <v>13.878164401266321</v>
      </c>
      <c r="Q1344" s="123">
        <v>13.877575754530051</v>
      </c>
      <c r="R1344" s="123">
        <v>13.876926247725939</v>
      </c>
      <c r="S1344" s="123">
        <v>13.876209709136655</v>
      </c>
      <c r="T1344" s="123">
        <v>13.875419367575638</v>
      </c>
      <c r="U1344" s="123">
        <v>13.874547799953335</v>
      </c>
      <c r="V1344" s="123">
        <v>13.87358687555184</v>
      </c>
      <c r="W1344" s="123">
        <v>13.872527697111135</v>
      </c>
      <c r="X1344" s="123">
        <v>13.871360538926304</v>
      </c>
      <c r="Y1344" s="123">
        <v>13.870074782275619</v>
      </c>
      <c r="Z1344" s="123">
        <v>13.868658848648684</v>
      </c>
      <c r="AA1344" s="123">
        <v>13.867100131426339</v>
      </c>
      <c r="AB1344" s="123">
        <v>13.865384926885113</v>
      </c>
      <c r="AC1344" s="123">
        <v>13.863498365663499</v>
      </c>
      <c r="AD1344" s="123">
        <v>13.861424346140613</v>
      </c>
      <c r="AE1344" s="123">
        <v>13.859145471544473</v>
      </c>
      <c r="AF1344" s="123">
        <v>13.856642993031254</v>
      </c>
      <c r="AG1344" s="123">
        <v>13.853896761460451</v>
      </c>
      <c r="AH1344" s="123">
        <v>13.850885191134331</v>
      </c>
      <c r="AI1344" s="123">
        <v>13.847585239369595</v>
      </c>
      <c r="AJ1344" s="123">
        <v>13.843972406416455</v>
      </c>
      <c r="AK1344" s="123">
        <v>13.840020760920826</v>
      </c>
      <c r="AL1344" s="123">
        <v>13.835702996815403</v>
      </c>
      <c r="AM1344" s="123">
        <v>13.830990528191897</v>
      </c>
      <c r="AN1344" s="123">
        <v>13.825853629302836</v>
      </c>
      <c r="AO1344" s="123">
        <v>13.820261627306346</v>
      </c>
      <c r="AP1344" s="123">
        <v>13.814183155624024</v>
      </c>
      <c r="AQ1344" s="123">
        <v>13.807586475735711</v>
      </c>
      <c r="AR1344" s="123">
        <v>13.800439874775828</v>
      </c>
      <c r="AS1344" s="123">
        <v>13.792712145299962</v>
      </c>
      <c r="AT1344" s="123">
        <v>13.784373151927163</v>
      </c>
      <c r="AU1344" s="123">
        <v>13.775394487105379</v>
      </c>
      <c r="AV1344" s="123">
        <v>13.765750214884301</v>
      </c>
      <c r="AW1344" s="123">
        <v>13.75541769723846</v>
      </c>
      <c r="AX1344" s="124">
        <v>13.744378492151501</v>
      </c>
    </row>
    <row r="1345" spans="1:50" x14ac:dyDescent="0.25">
      <c r="A1345" s="356"/>
      <c r="B1345" s="359"/>
      <c r="C1345" s="350"/>
      <c r="D1345" s="2" t="s">
        <v>10</v>
      </c>
      <c r="E1345" s="160" t="str">
        <f>A1329&amp;"/"&amp;B1341&amp;"/"&amp;C1344&amp;"/"&amp;D1345</f>
        <v>Gas fired power plants (Natural gas, biogas)/Gas turbine /CHP/S</v>
      </c>
      <c r="F1345" s="76" t="str">
        <f>A1329</f>
        <v>Gas fired power plants (Natural gas, biogas)</v>
      </c>
      <c r="G1345" s="76" t="str">
        <f>B1341</f>
        <v xml:space="preserve">Gas turbine </v>
      </c>
      <c r="H1345" s="76" t="str">
        <f>C1344</f>
        <v>CHP</v>
      </c>
      <c r="I1345" s="161" t="str">
        <f t="shared" si="99"/>
        <v>S</v>
      </c>
      <c r="J1345" s="119">
        <v>14.138671500000003</v>
      </c>
      <c r="K1345" s="119">
        <v>14.138123001460354</v>
      </c>
      <c r="L1345" s="119">
        <v>14.137517657918554</v>
      </c>
      <c r="M1345" s="119">
        <v>14.136849675035293</v>
      </c>
      <c r="N1345" s="119">
        <v>14.136112689102767</v>
      </c>
      <c r="O1345" s="119">
        <v>14.135299715773252</v>
      </c>
      <c r="P1345" s="119">
        <v>14.134403095215154</v>
      </c>
      <c r="Q1345" s="119">
        <v>14.133414433694293</v>
      </c>
      <c r="R1345" s="119">
        <v>14.132324541650936</v>
      </c>
      <c r="S1345" s="119">
        <v>14.131123368436187</v>
      </c>
      <c r="T1345" s="119">
        <v>14.12979993398913</v>
      </c>
      <c r="U1345" s="119">
        <v>14.128342257882835</v>
      </c>
      <c r="V1345" s="119">
        <v>14.126737286348076</v>
      </c>
      <c r="W1345" s="119">
        <v>14.124970818103808</v>
      </c>
      <c r="X1345" s="119">
        <v>14.123027430088715</v>
      </c>
      <c r="Y1345" s="119">
        <v>14.120890404504568</v>
      </c>
      <c r="Z1345" s="119">
        <v>14.118541658955065</v>
      </c>
      <c r="AA1345" s="119">
        <v>14.115961681898822</v>
      </c>
      <c r="AB1345" s="119">
        <v>14.113129476135638</v>
      </c>
      <c r="AC1345" s="119">
        <v>14.110022513613462</v>
      </c>
      <c r="AD1345" s="119">
        <v>14.106616705477977</v>
      </c>
      <c r="AE1345" s="119">
        <v>14.102886391982331</v>
      </c>
      <c r="AF1345" s="119">
        <v>14.09880435761894</v>
      </c>
      <c r="AG1345" s="119">
        <v>14.094341877609429</v>
      </c>
      <c r="AH1345" s="119">
        <v>14.089468802661798</v>
      </c>
      <c r="AI1345" s="119">
        <v>14.084153689633451</v>
      </c>
      <c r="AJ1345" s="119">
        <v>14.078363986365831</v>
      </c>
      <c r="AK1345" s="119">
        <v>14.072066279405528</v>
      </c>
      <c r="AL1345" s="119">
        <v>14.065226613501826</v>
      </c>
      <c r="AM1345" s="119">
        <v>14.057810891556876</v>
      </c>
      <c r="AN1345" s="119">
        <v>14.049785362967913</v>
      </c>
      <c r="AO1345" s="119">
        <v>14.041117206893777</v>
      </c>
      <c r="AP1345" s="119">
        <v>14.031775214746528</v>
      </c>
      <c r="AQ1345" s="119">
        <v>14.021730573007273</v>
      </c>
      <c r="AR1345" s="119">
        <v>14.010957743172655</v>
      </c>
      <c r="AS1345" s="119">
        <v>13.999435430185867</v>
      </c>
      <c r="AT1345" s="119">
        <v>13.98714762410421</v>
      </c>
      <c r="AU1345" s="119">
        <v>13.974084692130456</v>
      </c>
      <c r="AV1345" s="119">
        <v>13.960244489761045</v>
      </c>
      <c r="AW1345" s="119">
        <v>13.945633451130506</v>
      </c>
      <c r="AX1345" s="120">
        <v>13.930267610298863</v>
      </c>
    </row>
    <row r="1346" spans="1:50" x14ac:dyDescent="0.25">
      <c r="A1346" s="356"/>
      <c r="B1346" s="362"/>
      <c r="C1346" s="354"/>
      <c r="D1346" s="4" t="s">
        <v>20</v>
      </c>
      <c r="E1346" s="168" t="str">
        <f>A1329&amp;"/"&amp;B1341&amp;"/"&amp;C1344&amp;"/"&amp;D1346</f>
        <v>Gas fired power plants (Natural gas, biogas)/Gas turbine /CHP/XS</v>
      </c>
      <c r="F1346" s="80" t="str">
        <f>A1329</f>
        <v>Gas fired power plants (Natural gas, biogas)</v>
      </c>
      <c r="G1346" s="80" t="str">
        <f>B1341</f>
        <v xml:space="preserve">Gas turbine </v>
      </c>
      <c r="H1346" s="80" t="str">
        <f>C1344</f>
        <v>CHP</v>
      </c>
      <c r="I1346" s="169" t="str">
        <f t="shared" si="99"/>
        <v>XS</v>
      </c>
      <c r="J1346" s="127">
        <v>16.782093675000002</v>
      </c>
      <c r="K1346" s="127">
        <v>16.781442626995034</v>
      </c>
      <c r="L1346" s="127">
        <v>16.78072410602055</v>
      </c>
      <c r="M1346" s="127">
        <v>16.779931234404561</v>
      </c>
      <c r="N1346" s="127">
        <v>16.77905645865517</v>
      </c>
      <c r="O1346" s="127">
        <v>16.778091488603266</v>
      </c>
      <c r="P1346" s="127">
        <v>16.777027232304722</v>
      </c>
      <c r="Q1346" s="127">
        <v>16.775853726699477</v>
      </c>
      <c r="R1346" s="127">
        <v>16.774560064111217</v>
      </c>
      <c r="S1346" s="127">
        <v>16.77313431478181</v>
      </c>
      <c r="T1346" s="127">
        <v>16.771563445774547</v>
      </c>
      <c r="U1346" s="127">
        <v>16.769833236754295</v>
      </c>
      <c r="V1346" s="127">
        <v>16.767928193367297</v>
      </c>
      <c r="W1346" s="127">
        <v>16.765831459204598</v>
      </c>
      <c r="X1346" s="127">
        <v>16.763524727648093</v>
      </c>
      <c r="Y1346" s="127">
        <v>16.760988155273591</v>
      </c>
      <c r="Z1346" s="127">
        <v>16.758200278928172</v>
      </c>
      <c r="AA1346" s="127">
        <v>16.755137939115183</v>
      </c>
      <c r="AB1346" s="127">
        <v>16.751776212914486</v>
      </c>
      <c r="AC1346" s="127">
        <v>16.748088360339942</v>
      </c>
      <c r="AD1346" s="127">
        <v>16.744045788789371</v>
      </c>
      <c r="AE1346" s="127">
        <v>16.739618041067736</v>
      </c>
      <c r="AF1346" s="127">
        <v>16.734772813348073</v>
      </c>
      <c r="AG1346" s="127">
        <v>16.729476010353363</v>
      </c>
      <c r="AH1346" s="127">
        <v>16.723691845960236</v>
      </c>
      <c r="AI1346" s="127">
        <v>16.717382998291278</v>
      </c>
      <c r="AJ1346" s="127">
        <v>16.71051082910709</v>
      </c>
      <c r="AK1346" s="127">
        <v>16.703035677842312</v>
      </c>
      <c r="AL1346" s="127">
        <v>16.694917240837704</v>
      </c>
      <c r="AM1346" s="127">
        <v>16.686115046066579</v>
      </c>
      <c r="AN1346" s="127">
        <v>16.67658903277945</v>
      </c>
      <c r="AO1346" s="127">
        <v>16.666300243820338</v>
      </c>
      <c r="AP1346" s="127">
        <v>16.65521163571977</v>
      </c>
      <c r="AQ1346" s="127">
        <v>16.643289007868912</v>
      </c>
      <c r="AR1346" s="127">
        <v>16.630502046984407</v>
      </c>
      <c r="AS1346" s="127">
        <v>16.616825476601047</v>
      </c>
      <c r="AT1346" s="127">
        <v>16.602240293493665</v>
      </c>
      <c r="AU1346" s="127">
        <v>16.586735063879008</v>
      </c>
      <c r="AV1346" s="127">
        <v>16.570307242308616</v>
      </c>
      <c r="AW1346" s="127">
        <v>16.552964465868357</v>
      </c>
      <c r="AX1346" s="128">
        <v>16.5347257664098</v>
      </c>
    </row>
    <row r="1347" spans="1:50" x14ac:dyDescent="0.25">
      <c r="A1347" s="356"/>
      <c r="B1347" s="358" t="s">
        <v>19</v>
      </c>
      <c r="C1347" s="353" t="s">
        <v>6</v>
      </c>
      <c r="D1347" s="3" t="s">
        <v>7</v>
      </c>
      <c r="E1347" s="162" t="str">
        <f>A1329&amp;"/"&amp;B1347&amp;"/"&amp;C1347&amp;"/"&amp;D1347</f>
        <v>Gas fired power plants (Natural gas, biogas)/Steam turbine/Electricity only/L</v>
      </c>
      <c r="F1347" s="77" t="str">
        <f>A1329</f>
        <v>Gas fired power plants (Natural gas, biogas)</v>
      </c>
      <c r="G1347" s="77" t="str">
        <f>B1347</f>
        <v>Steam turbine</v>
      </c>
      <c r="H1347" s="77" t="str">
        <f>C1347</f>
        <v>Electricity only</v>
      </c>
      <c r="I1347" s="163" t="str">
        <f t="shared" si="99"/>
        <v>L</v>
      </c>
      <c r="J1347" s="121">
        <v>13.831578947368422</v>
      </c>
      <c r="K1347" s="121">
        <v>13.836495714626613</v>
      </c>
      <c r="L1347" s="121">
        <v>13.841308069095586</v>
      </c>
      <c r="M1347" s="121">
        <v>13.846017200562175</v>
      </c>
      <c r="N1347" s="121">
        <v>13.850624339614143</v>
      </c>
      <c r="O1347" s="121">
        <v>13.855130754277786</v>
      </c>
      <c r="P1347" s="121">
        <v>13.859537746748556</v>
      </c>
      <c r="Q1347" s="121">
        <v>13.863846650218278</v>
      </c>
      <c r="R1347" s="121">
        <v>13.86805882580208</v>
      </c>
      <c r="S1347" s="121">
        <v>13.872175659567498</v>
      </c>
      <c r="T1347" s="121">
        <v>13.876198559667701</v>
      </c>
      <c r="U1347" s="121">
        <v>13.880128953580316</v>
      </c>
      <c r="V1347" s="121">
        <v>13.883968285452816</v>
      </c>
      <c r="W1347" s="121">
        <v>13.887718013555078</v>
      </c>
      <c r="X1347" s="121">
        <v>13.891379607839147</v>
      </c>
      <c r="Y1347" s="121">
        <v>13.894954547606089</v>
      </c>
      <c r="Z1347" s="121">
        <v>13.898444319279276</v>
      </c>
      <c r="AA1347" s="121">
        <v>13.90185041428323</v>
      </c>
      <c r="AB1347" s="121">
        <v>13.905174327026824</v>
      </c>
      <c r="AC1347" s="121">
        <v>13.908417552989427</v>
      </c>
      <c r="AD1347" s="121">
        <v>13.911581586908262</v>
      </c>
      <c r="AE1347" s="121">
        <v>13.914667921065133</v>
      </c>
      <c r="AF1347" s="121">
        <v>13.917678043670394</v>
      </c>
      <c r="AG1347" s="121">
        <v>13.920613437341968</v>
      </c>
      <c r="AH1347" s="121">
        <v>13.923475577677019</v>
      </c>
      <c r="AI1347" s="121">
        <v>13.926265931913765</v>
      </c>
      <c r="AJ1347" s="121">
        <v>13.928985957680855</v>
      </c>
      <c r="AK1347" s="121">
        <v>13.931637101831642</v>
      </c>
      <c r="AL1347" s="121">
        <v>13.934220799360574</v>
      </c>
      <c r="AM1347" s="121">
        <v>13.936738472398938</v>
      </c>
      <c r="AN1347" s="121">
        <v>13.939191529287141</v>
      </c>
      <c r="AO1347" s="121">
        <v>13.941581363720642</v>
      </c>
      <c r="AP1347" s="121">
        <v>13.94390935396674</v>
      </c>
      <c r="AQ1347" s="121">
        <v>13.946176862149306</v>
      </c>
      <c r="AR1347" s="121">
        <v>13.948385233598668</v>
      </c>
      <c r="AS1347" s="121">
        <v>13.950535796263811</v>
      </c>
      <c r="AT1347" s="121">
        <v>13.952629860184119</v>
      </c>
      <c r="AU1347" s="121">
        <v>13.954668717017901</v>
      </c>
      <c r="AV1347" s="121">
        <v>13.956653639625014</v>
      </c>
      <c r="AW1347" s="121">
        <v>13.958585881700921</v>
      </c>
      <c r="AX1347" s="122">
        <v>13.960466677459614</v>
      </c>
    </row>
    <row r="1348" spans="1:50" x14ac:dyDescent="0.25">
      <c r="A1348" s="356"/>
      <c r="B1348" s="359"/>
      <c r="C1348" s="350"/>
      <c r="D1348" s="2" t="s">
        <v>8</v>
      </c>
      <c r="E1348" s="160" t="str">
        <f>A1329&amp;"/"&amp;B1347&amp;"/"&amp;C1347&amp;"/"&amp;D1348</f>
        <v>Gas fired power plants (Natural gas, biogas)/Steam turbine/Electricity only/M</v>
      </c>
      <c r="F1348" s="76" t="str">
        <f>A1329</f>
        <v>Gas fired power plants (Natural gas, biogas)</v>
      </c>
      <c r="G1348" s="76" t="str">
        <f>B1347</f>
        <v>Steam turbine</v>
      </c>
      <c r="H1348" s="76" t="str">
        <f>C1347</f>
        <v>Electricity only</v>
      </c>
      <c r="I1348" s="161" t="str">
        <f t="shared" si="99"/>
        <v>M</v>
      </c>
      <c r="J1348" s="119">
        <v>14.938105263157897</v>
      </c>
      <c r="K1348" s="119">
        <v>14.942087844637031</v>
      </c>
      <c r="L1348" s="119">
        <v>14.9459858517569</v>
      </c>
      <c r="M1348" s="119">
        <v>14.949800248244836</v>
      </c>
      <c r="N1348" s="119">
        <v>14.953532030876929</v>
      </c>
      <c r="O1348" s="119">
        <v>14.957182226754483</v>
      </c>
      <c r="P1348" s="119">
        <v>14.960751890655807</v>
      </c>
      <c r="Q1348" s="119">
        <v>14.96424210246628</v>
      </c>
      <c r="R1348" s="119">
        <v>14.967653964689159</v>
      </c>
      <c r="S1348" s="119">
        <v>14.970988600039149</v>
      </c>
      <c r="T1348" s="119">
        <v>14.974247149120314</v>
      </c>
      <c r="U1348" s="119">
        <v>14.97743076818953</v>
      </c>
      <c r="V1348" s="119">
        <v>14.980540627006258</v>
      </c>
      <c r="W1348" s="119">
        <v>14.983577906769089</v>
      </c>
      <c r="X1348" s="119">
        <v>14.986543798139184</v>
      </c>
      <c r="Y1348" s="119">
        <v>14.989439499350407</v>
      </c>
      <c r="Z1348" s="119">
        <v>14.99226621440569</v>
      </c>
      <c r="AA1348" s="119">
        <v>14.995025151358892</v>
      </c>
      <c r="AB1348" s="119">
        <v>14.997717520681203</v>
      </c>
      <c r="AC1348" s="119">
        <v>15.000344533710912</v>
      </c>
      <c r="AD1348" s="119">
        <v>15.002907401185169</v>
      </c>
      <c r="AE1348" s="119">
        <v>15.005407331852231</v>
      </c>
      <c r="AF1348" s="119">
        <v>15.007845531162493</v>
      </c>
      <c r="AG1348" s="119">
        <v>15.010223200036469</v>
      </c>
      <c r="AH1348" s="119">
        <v>15.012541533707861</v>
      </c>
      <c r="AI1348" s="119">
        <v>15.014801720639625</v>
      </c>
      <c r="AJ1348" s="119">
        <v>15.017004941510967</v>
      </c>
      <c r="AK1348" s="119">
        <v>15.019152368273105</v>
      </c>
      <c r="AL1348" s="119">
        <v>15.021245163271541</v>
      </c>
      <c r="AM1348" s="119">
        <v>15.023284478432615</v>
      </c>
      <c r="AN1348" s="119">
        <v>15.02527145451206</v>
      </c>
      <c r="AO1348" s="119">
        <v>15.027207220403195</v>
      </c>
      <c r="AP1348" s="119">
        <v>15.029092892502534</v>
      </c>
      <c r="AQ1348" s="119">
        <v>15.030929574130413</v>
      </c>
      <c r="AR1348" s="119">
        <v>15.032718355004395</v>
      </c>
      <c r="AS1348" s="119">
        <v>15.034460310763162</v>
      </c>
      <c r="AT1348" s="119">
        <v>15.036156502538612</v>
      </c>
      <c r="AU1348" s="119">
        <v>15.037807976573974</v>
      </c>
      <c r="AV1348" s="119">
        <v>15.039415763885735</v>
      </c>
      <c r="AW1348" s="119">
        <v>15.040980879967222</v>
      </c>
      <c r="AX1348" s="120">
        <v>15.042504324531761</v>
      </c>
    </row>
    <row r="1349" spans="1:50" x14ac:dyDescent="0.25">
      <c r="A1349" s="356"/>
      <c r="B1349" s="359"/>
      <c r="C1349" s="350"/>
      <c r="D1349" s="2" t="s">
        <v>10</v>
      </c>
      <c r="E1349" s="160" t="str">
        <f>A1329&amp;"/"&amp;B1347&amp;"/"&amp;C1347&amp;"/"&amp;D1349</f>
        <v>Gas fired power plants (Natural gas, biogas)/Steam turbine/Electricity only/S</v>
      </c>
      <c r="F1349" s="76" t="str">
        <f>A1329</f>
        <v>Gas fired power plants (Natural gas, biogas)</v>
      </c>
      <c r="G1349" s="76" t="str">
        <f>B1347</f>
        <v>Steam turbine</v>
      </c>
      <c r="H1349" s="76" t="str">
        <f>C1347</f>
        <v>Electricity only</v>
      </c>
      <c r="I1349" s="161" t="str">
        <f t="shared" si="99"/>
        <v>S</v>
      </c>
      <c r="J1349" s="119">
        <v>16.506606315789476</v>
      </c>
      <c r="K1349" s="119">
        <v>16.510273609568181</v>
      </c>
      <c r="L1349" s="119">
        <v>16.513863024457724</v>
      </c>
      <c r="M1349" s="119">
        <v>16.51737544789037</v>
      </c>
      <c r="N1349" s="119">
        <v>16.520811797730754</v>
      </c>
      <c r="O1349" s="119">
        <v>16.524173019768</v>
      </c>
      <c r="P1349" s="119">
        <v>16.527460085277134</v>
      </c>
      <c r="Q1349" s="119">
        <v>16.530673988652612</v>
      </c>
      <c r="R1349" s="119">
        <v>16.533815745116183</v>
      </c>
      <c r="S1349" s="119">
        <v>16.536886388500964</v>
      </c>
      <c r="T1349" s="119">
        <v>16.539886969113201</v>
      </c>
      <c r="U1349" s="119">
        <v>16.54281855167277</v>
      </c>
      <c r="V1349" s="119">
        <v>16.545682213333176</v>
      </c>
      <c r="W1349" s="119">
        <v>16.548479041781448</v>
      </c>
      <c r="X1349" s="119">
        <v>16.551210133418078</v>
      </c>
      <c r="Y1349" s="119">
        <v>16.553876591616746</v>
      </c>
      <c r="Z1349" s="119">
        <v>16.556479525063487</v>
      </c>
      <c r="AA1349" s="119">
        <v>16.55902004617456</v>
      </c>
      <c r="AB1349" s="119">
        <v>16.56149926959219</v>
      </c>
      <c r="AC1349" s="119">
        <v>16.563918310757046</v>
      </c>
      <c r="AD1349" s="119">
        <v>16.566278284556258</v>
      </c>
      <c r="AE1349" s="119">
        <v>16.568580304045511</v>
      </c>
      <c r="AF1349" s="119">
        <v>16.570825479243709</v>
      </c>
      <c r="AG1349" s="119">
        <v>16.573014915998495</v>
      </c>
      <c r="AH1349" s="119">
        <v>16.575149714920901</v>
      </c>
      <c r="AI1349" s="119">
        <v>16.577230970387234</v>
      </c>
      <c r="AJ1349" s="119">
        <v>16.579259769606264</v>
      </c>
      <c r="AK1349" s="119">
        <v>16.581237191749732</v>
      </c>
      <c r="AL1349" s="119">
        <v>16.583164307144123</v>
      </c>
      <c r="AM1349" s="119">
        <v>16.585042176521615</v>
      </c>
      <c r="AN1349" s="119">
        <v>16.586871850328102</v>
      </c>
      <c r="AO1349" s="119">
        <v>16.588654368086189</v>
      </c>
      <c r="AP1349" s="119">
        <v>16.590390757810997</v>
      </c>
      <c r="AQ1349" s="119">
        <v>16.592082035476668</v>
      </c>
      <c r="AR1349" s="119">
        <v>16.59372920453146</v>
      </c>
      <c r="AS1349" s="119">
        <v>16.595333255459327</v>
      </c>
      <c r="AT1349" s="119">
        <v>16.596895165385884</v>
      </c>
      <c r="AU1349" s="119">
        <v>16.598415897726781</v>
      </c>
      <c r="AV1349" s="119">
        <v>16.599896401876364</v>
      </c>
      <c r="AW1349" s="119">
        <v>16.601337612934731</v>
      </c>
      <c r="AX1349" s="120">
        <v>16.602740451471245</v>
      </c>
    </row>
    <row r="1350" spans="1:50" x14ac:dyDescent="0.25">
      <c r="A1350" s="356"/>
      <c r="B1350" s="359"/>
      <c r="C1350" s="360"/>
      <c r="D1350" s="2" t="s">
        <v>20</v>
      </c>
      <c r="E1350" s="160" t="str">
        <f>A1329&amp;"/"&amp;B1347&amp;"/"&amp;C1347&amp;"/"&amp;D1350</f>
        <v>Gas fired power plants (Natural gas, biogas)/Steam turbine/Electricity only/XS</v>
      </c>
      <c r="F1350" s="76" t="str">
        <f>A1329</f>
        <v>Gas fired power plants (Natural gas, biogas)</v>
      </c>
      <c r="G1350" s="76" t="str">
        <f>B1347</f>
        <v>Steam turbine</v>
      </c>
      <c r="H1350" s="76" t="str">
        <f>C1347</f>
        <v>Electricity only</v>
      </c>
      <c r="I1350" s="161" t="str">
        <f t="shared" si="99"/>
        <v>XS</v>
      </c>
      <c r="J1350" s="119">
        <v>19.807927578947371</v>
      </c>
      <c r="K1350" s="119">
        <v>19.810119320279867</v>
      </c>
      <c r="L1350" s="119">
        <v>19.812257735284117</v>
      </c>
      <c r="M1350" s="119">
        <v>19.814343818794512</v>
      </c>
      <c r="N1350" s="119">
        <v>19.816378563540663</v>
      </c>
      <c r="O1350" s="119">
        <v>19.818362959100696</v>
      </c>
      <c r="P1350" s="119">
        <v>19.820297990916956</v>
      </c>
      <c r="Q1350" s="119">
        <v>19.822184639372416</v>
      </c>
      <c r="R1350" s="119">
        <v>19.824023878926145</v>
      </c>
      <c r="S1350" s="119">
        <v>19.825816677306072</v>
      </c>
      <c r="T1350" s="119">
        <v>19.827563994757355</v>
      </c>
      <c r="U1350" s="119">
        <v>19.829266783344405</v>
      </c>
      <c r="V1350" s="119">
        <v>19.83092598630483</v>
      </c>
      <c r="W1350" s="119">
        <v>19.832542537453342</v>
      </c>
      <c r="X1350" s="119">
        <v>19.83411736063378</v>
      </c>
      <c r="Y1350" s="119">
        <v>19.835651369217366</v>
      </c>
      <c r="Z1350" s="119">
        <v>19.837145465645314</v>
      </c>
      <c r="AA1350" s="119">
        <v>19.838600541013889</v>
      </c>
      <c r="AB1350" s="119">
        <v>19.840017474700101</v>
      </c>
      <c r="AC1350" s="119">
        <v>19.841397134026181</v>
      </c>
      <c r="AD1350" s="119">
        <v>19.84274037396105</v>
      </c>
      <c r="AE1350" s="119">
        <v>19.844048036856943</v>
      </c>
      <c r="AF1350" s="119">
        <v>19.845320952219566</v>
      </c>
      <c r="AG1350" s="119">
        <v>19.846559936509948</v>
      </c>
      <c r="AH1350" s="119">
        <v>19.847765792976446</v>
      </c>
      <c r="AI1350" s="119">
        <v>19.84893931151516</v>
      </c>
      <c r="AJ1350" s="119">
        <v>19.850081268557322</v>
      </c>
      <c r="AK1350" s="119">
        <v>19.851192426982006</v>
      </c>
      <c r="AL1350" s="119">
        <v>19.852273536052746</v>
      </c>
      <c r="AM1350" s="119">
        <v>19.853325331376599</v>
      </c>
      <c r="AN1350" s="119">
        <v>19.854348534884295</v>
      </c>
      <c r="AO1350" s="119">
        <v>19.855343854830135</v>
      </c>
      <c r="AP1350" s="119">
        <v>19.856311985810279</v>
      </c>
      <c r="AQ1350" s="119">
        <v>19.857253608798349</v>
      </c>
      <c r="AR1350" s="119">
        <v>19.858169391196956</v>
      </c>
      <c r="AS1350" s="119">
        <v>19.859059986904214</v>
      </c>
      <c r="AT1350" s="119">
        <v>19.859926036393979</v>
      </c>
      <c r="AU1350" s="119">
        <v>19.86076816680891</v>
      </c>
      <c r="AV1350" s="119">
        <v>19.861586992065238</v>
      </c>
      <c r="AW1350" s="119">
        <v>19.862383112968423</v>
      </c>
      <c r="AX1350" s="120">
        <v>19.863157117338666</v>
      </c>
    </row>
    <row r="1351" spans="1:50" x14ac:dyDescent="0.25">
      <c r="A1351" s="356"/>
      <c r="B1351" s="359"/>
      <c r="C1351" s="361" t="s">
        <v>14</v>
      </c>
      <c r="D1351" s="58" t="s">
        <v>7</v>
      </c>
      <c r="E1351" s="164" t="str">
        <f>A1329&amp;"/"&amp;B1347&amp;"/"&amp;C1351&amp;"/"&amp;D1351</f>
        <v>Gas fired power plants (Natural gas, biogas)/Steam turbine/CHP/L</v>
      </c>
      <c r="F1351" s="78" t="str">
        <f>A1329</f>
        <v>Gas fired power plants (Natural gas, biogas)</v>
      </c>
      <c r="G1351" s="78" t="str">
        <f>B1347</f>
        <v>Steam turbine</v>
      </c>
      <c r="H1351" s="78" t="str">
        <f>C1351</f>
        <v>CHP</v>
      </c>
      <c r="I1351" s="165" t="str">
        <f t="shared" si="99"/>
        <v>L</v>
      </c>
      <c r="J1351" s="123">
        <v>22.514210526315789</v>
      </c>
      <c r="K1351" s="123">
        <v>22.517973047191468</v>
      </c>
      <c r="L1351" s="123">
        <v>22.521675968513243</v>
      </c>
      <c r="M1351" s="123">
        <v>22.525319971429568</v>
      </c>
      <c r="N1351" s="123">
        <v>22.528905738827245</v>
      </c>
      <c r="O1351" s="123">
        <v>22.532433954909866</v>
      </c>
      <c r="P1351" s="123">
        <v>22.535905304790369</v>
      </c>
      <c r="Q1351" s="123">
        <v>22.539320474097583</v>
      </c>
      <c r="R1351" s="123">
        <v>22.542680148596613</v>
      </c>
      <c r="S1351" s="123">
        <v>22.545985013822889</v>
      </c>
      <c r="T1351" s="123">
        <v>22.549235754729729</v>
      </c>
      <c r="U1351" s="123">
        <v>22.552433055349209</v>
      </c>
      <c r="V1351" s="123">
        <v>22.555577598466154</v>
      </c>
      <c r="W1351" s="123">
        <v>22.558670065305048</v>
      </c>
      <c r="X1351" s="123">
        <v>22.561711135229615</v>
      </c>
      <c r="Y1351" s="123">
        <v>22.56470148545494</v>
      </c>
      <c r="Z1351" s="123">
        <v>22.567641790771752</v>
      </c>
      <c r="AA1351" s="123">
        <v>22.570532723282813</v>
      </c>
      <c r="AB1351" s="123">
        <v>22.573374952151035</v>
      </c>
      <c r="AC1351" s="123">
        <v>22.576169143359099</v>
      </c>
      <c r="AD1351" s="123">
        <v>22.578915959480458</v>
      </c>
      <c r="AE1351" s="123">
        <v>22.581616059461268</v>
      </c>
      <c r="AF1351" s="123">
        <v>22.584270098413167</v>
      </c>
      <c r="AG1351" s="123">
        <v>22.586878727416558</v>
      </c>
      <c r="AH1351" s="123">
        <v>22.589442593334141</v>
      </c>
      <c r="AI1351" s="123">
        <v>22.591962338634499</v>
      </c>
      <c r="AJ1351" s="123">
        <v>22.594438601225391</v>
      </c>
      <c r="AK1351" s="123">
        <v>22.596872014296565</v>
      </c>
      <c r="AL1351" s="123">
        <v>22.599263206171806</v>
      </c>
      <c r="AM1351" s="123">
        <v>22.601612800169917</v>
      </c>
      <c r="AN1351" s="123">
        <v>22.603921414474502</v>
      </c>
      <c r="AO1351" s="123">
        <v>22.606189662012127</v>
      </c>
      <c r="AP1351" s="123">
        <v>22.608418150338782</v>
      </c>
      <c r="AQ1351" s="123">
        <v>22.610607481534206</v>
      </c>
      <c r="AR1351" s="123">
        <v>22.612758252104026</v>
      </c>
      <c r="AS1351" s="123">
        <v>22.614871052889303</v>
      </c>
      <c r="AT1351" s="123">
        <v>22.616946468983318</v>
      </c>
      <c r="AU1351" s="123">
        <v>22.618985079655364</v>
      </c>
      <c r="AV1351" s="123">
        <v>22.620987458281252</v>
      </c>
      <c r="AW1351" s="123">
        <v>22.622954172280394</v>
      </c>
      <c r="AX1351" s="124">
        <v>22.624885783059103</v>
      </c>
    </row>
    <row r="1352" spans="1:50" x14ac:dyDescent="0.25">
      <c r="A1352" s="356"/>
      <c r="B1352" s="359"/>
      <c r="C1352" s="350"/>
      <c r="D1352" s="2" t="s">
        <v>8</v>
      </c>
      <c r="E1352" s="160" t="str">
        <f>A1329&amp;"/"&amp;B1347&amp;"/"&amp;C1351&amp;"/"&amp;D1352</f>
        <v>Gas fired power plants (Natural gas, biogas)/Steam turbine/CHP/M</v>
      </c>
      <c r="F1352" s="76" t="str">
        <f>A1329</f>
        <v>Gas fired power plants (Natural gas, biogas)</v>
      </c>
      <c r="G1352" s="76" t="str">
        <f>B1347</f>
        <v>Steam turbine</v>
      </c>
      <c r="H1352" s="76" t="str">
        <f>C1351</f>
        <v>CHP</v>
      </c>
      <c r="I1352" s="161" t="str">
        <f t="shared" si="99"/>
        <v>M</v>
      </c>
      <c r="J1352" s="119">
        <v>23.642677894736845</v>
      </c>
      <c r="K1352" s="119">
        <v>23.645071871482049</v>
      </c>
      <c r="L1352" s="119">
        <v>23.647426141478665</v>
      </c>
      <c r="M1352" s="119">
        <v>23.649741225001549</v>
      </c>
      <c r="N1352" s="119">
        <v>23.652017640580777</v>
      </c>
      <c r="O1352" s="119">
        <v>23.654255904794603</v>
      </c>
      <c r="P1352" s="119">
        <v>23.656456532071623</v>
      </c>
      <c r="Q1352" s="119">
        <v>23.658620034501777</v>
      </c>
      <c r="R1352" s="119">
        <v>23.660746921656173</v>
      </c>
      <c r="S1352" s="119">
        <v>23.662837700415409</v>
      </c>
      <c r="T1352" s="119">
        <v>23.664892874806277</v>
      </c>
      <c r="U1352" s="119">
        <v>23.666912945846601</v>
      </c>
      <c r="V1352" s="119">
        <v>23.668898411398111</v>
      </c>
      <c r="W1352" s="119">
        <v>23.670849766027018</v>
      </c>
      <c r="X1352" s="119">
        <v>23.672767500872194</v>
      </c>
      <c r="Y1352" s="119">
        <v>23.674652103520742</v>
      </c>
      <c r="Z1352" s="119">
        <v>23.676504057890718</v>
      </c>
      <c r="AA1352" s="119">
        <v>23.678323844120843</v>
      </c>
      <c r="AB1352" s="119">
        <v>23.680111938467043</v>
      </c>
      <c r="AC1352" s="119">
        <v>23.681868813205494</v>
      </c>
      <c r="AD1352" s="119">
        <v>23.68359493654215</v>
      </c>
      <c r="AE1352" s="119">
        <v>23.685290772528436</v>
      </c>
      <c r="AF1352" s="119">
        <v>23.686956780982946</v>
      </c>
      <c r="AG1352" s="119">
        <v>23.688593417418986</v>
      </c>
      <c r="AH1352" s="119">
        <v>23.690201132977737</v>
      </c>
      <c r="AI1352" s="119">
        <v>23.691780374366896</v>
      </c>
      <c r="AJ1352" s="119">
        <v>23.693331583804579</v>
      </c>
      <c r="AK1352" s="119">
        <v>23.694855198968288</v>
      </c>
      <c r="AL1352" s="119">
        <v>23.696351652948838</v>
      </c>
      <c r="AM1352" s="119">
        <v>23.697821374209003</v>
      </c>
      <c r="AN1352" s="119">
        <v>23.699264786546728</v>
      </c>
      <c r="AO1352" s="119">
        <v>23.700682309062771</v>
      </c>
      <c r="AP1352" s="119">
        <v>23.702074356132545</v>
      </c>
      <c r="AQ1352" s="119">
        <v>23.703441337382081</v>
      </c>
      <c r="AR1352" s="119">
        <v>23.704783657667882</v>
      </c>
      <c r="AS1352" s="119">
        <v>23.706101717060555</v>
      </c>
      <c r="AT1352" s="119">
        <v>23.707395910832052</v>
      </c>
      <c r="AU1352" s="119">
        <v>23.70866662944637</v>
      </c>
      <c r="AV1352" s="119">
        <v>23.709914258553624</v>
      </c>
      <c r="AW1352" s="119">
        <v>23.711139178987207</v>
      </c>
      <c r="AX1352" s="120">
        <v>23.71234176676408</v>
      </c>
    </row>
    <row r="1353" spans="1:50" x14ac:dyDescent="0.25">
      <c r="A1353" s="356"/>
      <c r="B1353" s="359"/>
      <c r="C1353" s="350"/>
      <c r="D1353" s="2" t="s">
        <v>10</v>
      </c>
      <c r="E1353" s="160" t="str">
        <f>A1329&amp;"/"&amp;B1347&amp;"/"&amp;C1351&amp;"/"&amp;D1353</f>
        <v>Gas fired power plants (Natural gas, biogas)/Steam turbine/CHP/S</v>
      </c>
      <c r="F1353" s="76" t="str">
        <f>A1329</f>
        <v>Gas fired power plants (Natural gas, biogas)</v>
      </c>
      <c r="G1353" s="76" t="str">
        <f>B1347</f>
        <v>Steam turbine</v>
      </c>
      <c r="H1353" s="76" t="str">
        <f>C1351</f>
        <v>CHP</v>
      </c>
      <c r="I1353" s="161" t="str">
        <f t="shared" si="99"/>
        <v>S</v>
      </c>
      <c r="J1353" s="119">
        <v>28.954531856842106</v>
      </c>
      <c r="K1353" s="119">
        <v>28.956383069908821</v>
      </c>
      <c r="L1353" s="119">
        <v>28.958202157704505</v>
      </c>
      <c r="M1353" s="119">
        <v>28.959989594764512</v>
      </c>
      <c r="N1353" s="119">
        <v>28.961745851700833</v>
      </c>
      <c r="O1353" s="119">
        <v>28.963471395110208</v>
      </c>
      <c r="P1353" s="119">
        <v>28.965166687488392</v>
      </c>
      <c r="Q1353" s="119">
        <v>28.966832187150501</v>
      </c>
      <c r="R1353" s="119">
        <v>28.968468348157142</v>
      </c>
      <c r="S1353" s="119">
        <v>28.970075620246252</v>
      </c>
      <c r="T1353" s="119">
        <v>28.971654448770391</v>
      </c>
      <c r="U1353" s="119">
        <v>28.973205274639305</v>
      </c>
      <c r="V1353" s="119">
        <v>28.974728534267648</v>
      </c>
      <c r="W1353" s="119">
        <v>28.976224659527588</v>
      </c>
      <c r="X1353" s="119">
        <v>28.977694077706232</v>
      </c>
      <c r="Y1353" s="119">
        <v>28.979137211467592</v>
      </c>
      <c r="Z1353" s="119">
        <v>28.980554478819002</v>
      </c>
      <c r="AA1353" s="119">
        <v>28.981946293081823</v>
      </c>
      <c r="AB1353" s="119">
        <v>28.983313062866195</v>
      </c>
      <c r="AC1353" s="119">
        <v>28.984655192049779</v>
      </c>
      <c r="AD1353" s="119">
        <v>28.985973079760257</v>
      </c>
      <c r="AE1353" s="119">
        <v>28.987267120361491</v>
      </c>
      <c r="AF1353" s="119">
        <v>28.988537703443175</v>
      </c>
      <c r="AG1353" s="119">
        <v>28.989785213813803</v>
      </c>
      <c r="AH1353" s="119">
        <v>28.991010031496867</v>
      </c>
      <c r="AI1353" s="119">
        <v>28.992212531730143</v>
      </c>
      <c r="AJ1353" s="119">
        <v>28.993393084967849</v>
      </c>
      <c r="AK1353" s="119">
        <v>28.99455205688567</v>
      </c>
      <c r="AL1353" s="119">
        <v>28.995689808388406</v>
      </c>
      <c r="AM1353" s="119">
        <v>28.996806695620229</v>
      </c>
      <c r="AN1353" s="119">
        <v>28.997903069977312</v>
      </c>
      <c r="AO1353" s="119">
        <v>28.998979278122818</v>
      </c>
      <c r="AP1353" s="119">
        <v>29.000035662004048</v>
      </c>
      <c r="AQ1353" s="119">
        <v>29.00107255887173</v>
      </c>
      <c r="AR1353" s="119">
        <v>29.002090301301255</v>
      </c>
      <c r="AS1353" s="119">
        <v>29.003089217215784</v>
      </c>
      <c r="AT1353" s="119">
        <v>29.004069629911179</v>
      </c>
      <c r="AU1353" s="119">
        <v>29.005031858082553</v>
      </c>
      <c r="AV1353" s="119">
        <v>29.005976215852481</v>
      </c>
      <c r="AW1353" s="119">
        <v>29.00690301280062</v>
      </c>
      <c r="AX1353" s="120">
        <v>29.007812553994828</v>
      </c>
    </row>
    <row r="1354" spans="1:50" x14ac:dyDescent="0.25">
      <c r="A1354" s="356"/>
      <c r="B1354" s="359"/>
      <c r="C1354" s="360"/>
      <c r="D1354" s="59" t="s">
        <v>20</v>
      </c>
      <c r="E1354" s="166" t="str">
        <f>A1329&amp;"/"&amp;B1347&amp;"/"&amp;C1351&amp;"/"&amp;D1354</f>
        <v>Gas fired power plants (Natural gas, biogas)/Steam turbine/CHP/XS</v>
      </c>
      <c r="F1354" s="79" t="str">
        <f>A1329</f>
        <v>Gas fired power plants (Natural gas, biogas)</v>
      </c>
      <c r="G1354" s="79" t="str">
        <f>B1347</f>
        <v>Steam turbine</v>
      </c>
      <c r="H1354" s="79" t="str">
        <f>C1351</f>
        <v>CHP</v>
      </c>
      <c r="I1354" s="167" t="str">
        <f t="shared" si="99"/>
        <v>XS</v>
      </c>
      <c r="J1354" s="125">
        <v>33.541578947368421</v>
      </c>
      <c r="K1354" s="125">
        <v>33.542734927457595</v>
      </c>
      <c r="L1354" s="125">
        <v>33.543869933075044</v>
      </c>
      <c r="M1354" s="125">
        <v>33.544984309045347</v>
      </c>
      <c r="N1354" s="125">
        <v>33.546078395875313</v>
      </c>
      <c r="O1354" s="125">
        <v>33.547152529754776</v>
      </c>
      <c r="P1354" s="125">
        <v>33.548207042559994</v>
      </c>
      <c r="Q1354" s="125">
        <v>33.54924226185954</v>
      </c>
      <c r="R1354" s="125">
        <v>33.550258510922475</v>
      </c>
      <c r="S1354" s="125">
        <v>33.551256108728815</v>
      </c>
      <c r="T1354" s="125">
        <v>33.552235369982135</v>
      </c>
      <c r="U1354" s="125">
        <v>33.553196605124135</v>
      </c>
      <c r="V1354" s="125">
        <v>33.554140120351256</v>
      </c>
      <c r="W1354" s="125">
        <v>33.555066217632977</v>
      </c>
      <c r="X1354" s="125">
        <v>33.555975194731985</v>
      </c>
      <c r="Y1354" s="125">
        <v>33.556867345225903</v>
      </c>
      <c r="Z1354" s="125">
        <v>33.557742958530596</v>
      </c>
      <c r="AA1354" s="125">
        <v>33.558602319924987</v>
      </c>
      <c r="AB1354" s="125">
        <v>33.559445710577165</v>
      </c>
      <c r="AC1354" s="125">
        <v>33.560273407571898</v>
      </c>
      <c r="AD1354" s="125">
        <v>33.561085683939311</v>
      </c>
      <c r="AE1354" s="125">
        <v>33.561882808684729</v>
      </c>
      <c r="AF1354" s="125">
        <v>33.56266504681961</v>
      </c>
      <c r="AG1354" s="125">
        <v>33.563432659393435</v>
      </c>
      <c r="AH1354" s="125">
        <v>33.564185903526656</v>
      </c>
      <c r="AI1354" s="125">
        <v>33.56492503244435</v>
      </c>
      <c r="AJ1354" s="125">
        <v>33.565650295510828</v>
      </c>
      <c r="AK1354" s="125">
        <v>33.566361938264919</v>
      </c>
      <c r="AL1354" s="125">
        <v>33.567060202455963</v>
      </c>
      <c r="AM1354" s="125">
        <v>33.567745326080448</v>
      </c>
      <c r="AN1354" s="125">
        <v>33.568417543419223</v>
      </c>
      <c r="AO1354" s="125">
        <v>33.569077085075207</v>
      </c>
      <c r="AP1354" s="125">
        <v>33.569724178011647</v>
      </c>
      <c r="AQ1354" s="125">
        <v>33.570359045590735</v>
      </c>
      <c r="AR1354" s="125">
        <v>33.570981907612676</v>
      </c>
      <c r="AS1354" s="125">
        <v>33.571592980355021</v>
      </c>
      <c r="AT1354" s="125">
        <v>33.572192476612365</v>
      </c>
      <c r="AU1354" s="125">
        <v>33.572780605736291</v>
      </c>
      <c r="AV1354" s="125">
        <v>33.573357573675494</v>
      </c>
      <c r="AW1354" s="125">
        <v>33.573923583016118</v>
      </c>
      <c r="AX1354" s="126">
        <v>33.574478833022262</v>
      </c>
    </row>
    <row r="1355" spans="1:50" x14ac:dyDescent="0.25">
      <c r="A1355" s="356"/>
      <c r="B1355" s="359"/>
      <c r="C1355" s="361" t="s">
        <v>15</v>
      </c>
      <c r="D1355" s="58" t="s">
        <v>7</v>
      </c>
      <c r="E1355" s="164" t="str">
        <f>A1329&amp;"/"&amp;B1347&amp;"/"&amp;C1355&amp;"/"&amp;D1355</f>
        <v>Gas fired power plants (Natural gas, biogas)/Steam turbine/Electricity only with CCS/L</v>
      </c>
      <c r="F1355" s="78" t="str">
        <f>A1329</f>
        <v>Gas fired power plants (Natural gas, biogas)</v>
      </c>
      <c r="G1355" s="78" t="str">
        <f>B1347</f>
        <v>Steam turbine</v>
      </c>
      <c r="H1355" s="78" t="str">
        <f>C1355</f>
        <v>Electricity only with CCS</v>
      </c>
      <c r="I1355" s="165" t="str">
        <f t="shared" si="99"/>
        <v>L</v>
      </c>
      <c r="J1355" s="123" t="s">
        <v>112</v>
      </c>
      <c r="K1355" s="123" t="s">
        <v>112</v>
      </c>
      <c r="L1355" s="123" t="s">
        <v>112</v>
      </c>
      <c r="M1355" s="123" t="s">
        <v>112</v>
      </c>
      <c r="N1355" s="123" t="s">
        <v>112</v>
      </c>
      <c r="O1355" s="123" t="s">
        <v>112</v>
      </c>
      <c r="P1355" s="123" t="s">
        <v>112</v>
      </c>
      <c r="Q1355" s="123" t="s">
        <v>112</v>
      </c>
      <c r="R1355" s="123" t="s">
        <v>112</v>
      </c>
      <c r="S1355" s="123" t="s">
        <v>112</v>
      </c>
      <c r="T1355" s="123" t="s">
        <v>112</v>
      </c>
      <c r="U1355" s="123" t="s">
        <v>112</v>
      </c>
      <c r="V1355" s="123" t="s">
        <v>112</v>
      </c>
      <c r="W1355" s="123" t="s">
        <v>112</v>
      </c>
      <c r="X1355" s="123" t="s">
        <v>112</v>
      </c>
      <c r="Y1355" s="123" t="s">
        <v>112</v>
      </c>
      <c r="Z1355" s="123" t="s">
        <v>112</v>
      </c>
      <c r="AA1355" s="123" t="s">
        <v>112</v>
      </c>
      <c r="AB1355" s="123" t="s">
        <v>112</v>
      </c>
      <c r="AC1355" s="123" t="s">
        <v>112</v>
      </c>
      <c r="AD1355" s="123" t="s">
        <v>112</v>
      </c>
      <c r="AE1355" s="123">
        <v>36.307894736842115</v>
      </c>
      <c r="AF1355" s="123">
        <v>36.307894736842115</v>
      </c>
      <c r="AG1355" s="123">
        <v>36.307894736842115</v>
      </c>
      <c r="AH1355" s="123">
        <v>36.307894736842115</v>
      </c>
      <c r="AI1355" s="123">
        <v>36.307894736842115</v>
      </c>
      <c r="AJ1355" s="123">
        <v>36.307894736842115</v>
      </c>
      <c r="AK1355" s="123">
        <v>36.307894736842115</v>
      </c>
      <c r="AL1355" s="123">
        <v>36.307894736842115</v>
      </c>
      <c r="AM1355" s="123">
        <v>36.307894736842115</v>
      </c>
      <c r="AN1355" s="123">
        <v>36.307894736842115</v>
      </c>
      <c r="AO1355" s="123">
        <v>36.307894736842115</v>
      </c>
      <c r="AP1355" s="123">
        <v>36.307894736842115</v>
      </c>
      <c r="AQ1355" s="123">
        <v>36.307894736842115</v>
      </c>
      <c r="AR1355" s="123">
        <v>36.307894736842115</v>
      </c>
      <c r="AS1355" s="123">
        <v>36.307894736842115</v>
      </c>
      <c r="AT1355" s="123">
        <v>36.307894736842115</v>
      </c>
      <c r="AU1355" s="123">
        <v>36.307894736842115</v>
      </c>
      <c r="AV1355" s="123">
        <v>36.307894736842115</v>
      </c>
      <c r="AW1355" s="123">
        <v>36.307894736842115</v>
      </c>
      <c r="AX1355" s="124">
        <v>36.307894736842115</v>
      </c>
    </row>
    <row r="1356" spans="1:50" x14ac:dyDescent="0.25">
      <c r="A1356" s="356"/>
      <c r="B1356" s="359"/>
      <c r="C1356" s="360"/>
      <c r="D1356" s="59" t="s">
        <v>8</v>
      </c>
      <c r="E1356" s="166" t="str">
        <f>A1329&amp;"/"&amp;B1347&amp;"/"&amp;C1355&amp;"/"&amp;D1356</f>
        <v>Gas fired power plants (Natural gas, biogas)/Steam turbine/Electricity only with CCS/M</v>
      </c>
      <c r="F1356" s="79" t="str">
        <f>A1329</f>
        <v>Gas fired power plants (Natural gas, biogas)</v>
      </c>
      <c r="G1356" s="79" t="str">
        <f>B1347</f>
        <v>Steam turbine</v>
      </c>
      <c r="H1356" s="79" t="str">
        <f>C1355</f>
        <v>Electricity only with CCS</v>
      </c>
      <c r="I1356" s="167" t="str">
        <f t="shared" si="99"/>
        <v>M</v>
      </c>
      <c r="J1356" s="125" t="s">
        <v>112</v>
      </c>
      <c r="K1356" s="125" t="s">
        <v>112</v>
      </c>
      <c r="L1356" s="125" t="s">
        <v>112</v>
      </c>
      <c r="M1356" s="125" t="s">
        <v>112</v>
      </c>
      <c r="N1356" s="125" t="s">
        <v>112</v>
      </c>
      <c r="O1356" s="125" t="s">
        <v>112</v>
      </c>
      <c r="P1356" s="125" t="s">
        <v>112</v>
      </c>
      <c r="Q1356" s="125" t="s">
        <v>112</v>
      </c>
      <c r="R1356" s="125" t="s">
        <v>112</v>
      </c>
      <c r="S1356" s="125" t="s">
        <v>112</v>
      </c>
      <c r="T1356" s="125" t="s">
        <v>112</v>
      </c>
      <c r="U1356" s="125" t="s">
        <v>112</v>
      </c>
      <c r="V1356" s="125" t="s">
        <v>112</v>
      </c>
      <c r="W1356" s="125" t="s">
        <v>112</v>
      </c>
      <c r="X1356" s="125" t="s">
        <v>112</v>
      </c>
      <c r="Y1356" s="125" t="s">
        <v>112</v>
      </c>
      <c r="Z1356" s="125" t="s">
        <v>112</v>
      </c>
      <c r="AA1356" s="125" t="s">
        <v>112</v>
      </c>
      <c r="AB1356" s="125" t="s">
        <v>112</v>
      </c>
      <c r="AC1356" s="125" t="s">
        <v>112</v>
      </c>
      <c r="AD1356" s="125" t="s">
        <v>112</v>
      </c>
      <c r="AE1356" s="125">
        <v>47.245026315789474</v>
      </c>
      <c r="AF1356" s="125">
        <v>47.245026315789474</v>
      </c>
      <c r="AG1356" s="125">
        <v>47.245026315789474</v>
      </c>
      <c r="AH1356" s="125">
        <v>47.245026315789474</v>
      </c>
      <c r="AI1356" s="125">
        <v>47.245026315789474</v>
      </c>
      <c r="AJ1356" s="125">
        <v>47.245026315789474</v>
      </c>
      <c r="AK1356" s="125">
        <v>47.245026315789474</v>
      </c>
      <c r="AL1356" s="125">
        <v>47.245026315789474</v>
      </c>
      <c r="AM1356" s="125">
        <v>47.245026315789474</v>
      </c>
      <c r="AN1356" s="125">
        <v>47.245026315789474</v>
      </c>
      <c r="AO1356" s="125">
        <v>47.245026315789474</v>
      </c>
      <c r="AP1356" s="125">
        <v>47.245026315789474</v>
      </c>
      <c r="AQ1356" s="125">
        <v>47.245026315789474</v>
      </c>
      <c r="AR1356" s="125">
        <v>47.245026315789474</v>
      </c>
      <c r="AS1356" s="125">
        <v>47.245026315789474</v>
      </c>
      <c r="AT1356" s="125">
        <v>47.245026315789474</v>
      </c>
      <c r="AU1356" s="125">
        <v>47.245026315789474</v>
      </c>
      <c r="AV1356" s="125">
        <v>47.245026315789474</v>
      </c>
      <c r="AW1356" s="125">
        <v>47.245026315789474</v>
      </c>
      <c r="AX1356" s="126">
        <v>47.245026315789474</v>
      </c>
    </row>
    <row r="1357" spans="1:50" x14ac:dyDescent="0.25">
      <c r="A1357" s="356"/>
      <c r="B1357" s="359"/>
      <c r="C1357" s="361" t="s">
        <v>16</v>
      </c>
      <c r="D1357" s="2" t="s">
        <v>7</v>
      </c>
      <c r="E1357" s="160" t="str">
        <f>A1329&amp;"/"&amp;B1347&amp;"/"&amp;C1357&amp;"/"&amp;D1357</f>
        <v>Gas fired power plants (Natural gas, biogas)/Steam turbine/CHP with CCS/L</v>
      </c>
      <c r="F1357" s="76" t="str">
        <f>A1329</f>
        <v>Gas fired power plants (Natural gas, biogas)</v>
      </c>
      <c r="G1357" s="76" t="str">
        <f>B1347</f>
        <v>Steam turbine</v>
      </c>
      <c r="H1357" s="76" t="str">
        <f>C1357</f>
        <v>CHP with CCS</v>
      </c>
      <c r="I1357" s="161" t="str">
        <f t="shared" si="99"/>
        <v>L</v>
      </c>
      <c r="J1357" s="119" t="s">
        <v>112</v>
      </c>
      <c r="K1357" s="119" t="s">
        <v>112</v>
      </c>
      <c r="L1357" s="119" t="s">
        <v>112</v>
      </c>
      <c r="M1357" s="119" t="s">
        <v>112</v>
      </c>
      <c r="N1357" s="119" t="s">
        <v>112</v>
      </c>
      <c r="O1357" s="119" t="s">
        <v>112</v>
      </c>
      <c r="P1357" s="119" t="s">
        <v>112</v>
      </c>
      <c r="Q1357" s="119" t="s">
        <v>112</v>
      </c>
      <c r="R1357" s="119" t="s">
        <v>112</v>
      </c>
      <c r="S1357" s="119" t="s">
        <v>112</v>
      </c>
      <c r="T1357" s="119" t="s">
        <v>112</v>
      </c>
      <c r="U1357" s="119" t="s">
        <v>112</v>
      </c>
      <c r="V1357" s="119" t="s">
        <v>112</v>
      </c>
      <c r="W1357" s="119" t="s">
        <v>112</v>
      </c>
      <c r="X1357" s="119" t="s">
        <v>112</v>
      </c>
      <c r="Y1357" s="119" t="s">
        <v>112</v>
      </c>
      <c r="Z1357" s="119" t="s">
        <v>112</v>
      </c>
      <c r="AA1357" s="119" t="s">
        <v>112</v>
      </c>
      <c r="AB1357" s="119" t="s">
        <v>112</v>
      </c>
      <c r="AC1357" s="119" t="s">
        <v>112</v>
      </c>
      <c r="AD1357" s="119" t="s">
        <v>112</v>
      </c>
      <c r="AE1357" s="119">
        <v>44.771115789473683</v>
      </c>
      <c r="AF1357" s="119">
        <v>44.771115789473683</v>
      </c>
      <c r="AG1357" s="119">
        <v>44.771115789473683</v>
      </c>
      <c r="AH1357" s="119">
        <v>44.771115789473683</v>
      </c>
      <c r="AI1357" s="119">
        <v>44.771115789473683</v>
      </c>
      <c r="AJ1357" s="119">
        <v>44.771115789473683</v>
      </c>
      <c r="AK1357" s="119">
        <v>44.771115789473683</v>
      </c>
      <c r="AL1357" s="119">
        <v>44.771115789473683</v>
      </c>
      <c r="AM1357" s="119">
        <v>44.771115789473683</v>
      </c>
      <c r="AN1357" s="119">
        <v>44.771115789473683</v>
      </c>
      <c r="AO1357" s="119">
        <v>44.771115789473683</v>
      </c>
      <c r="AP1357" s="119">
        <v>44.771115789473683</v>
      </c>
      <c r="AQ1357" s="119">
        <v>44.771115789473683</v>
      </c>
      <c r="AR1357" s="119">
        <v>44.771115789473683</v>
      </c>
      <c r="AS1357" s="119">
        <v>44.771115789473683</v>
      </c>
      <c r="AT1357" s="119">
        <v>44.771115789473683</v>
      </c>
      <c r="AU1357" s="119">
        <v>44.771115789473683</v>
      </c>
      <c r="AV1357" s="119">
        <v>44.771115789473683</v>
      </c>
      <c r="AW1357" s="119">
        <v>44.771115789473683</v>
      </c>
      <c r="AX1357" s="120">
        <v>44.771115789473683</v>
      </c>
    </row>
    <row r="1358" spans="1:50" x14ac:dyDescent="0.25">
      <c r="A1358" s="356"/>
      <c r="B1358" s="362"/>
      <c r="C1358" s="354"/>
      <c r="D1358" s="4" t="s">
        <v>8</v>
      </c>
      <c r="E1358" s="168" t="str">
        <f>A1329&amp;"/"&amp;B1347&amp;"/"&amp;C1357&amp;"/"&amp;D1358</f>
        <v>Gas fired power plants (Natural gas, biogas)/Steam turbine/CHP with CCS/M</v>
      </c>
      <c r="F1358" s="80" t="str">
        <f>A1329</f>
        <v>Gas fired power plants (Natural gas, biogas)</v>
      </c>
      <c r="G1358" s="80" t="str">
        <f>B1347</f>
        <v>Steam turbine</v>
      </c>
      <c r="H1358" s="80" t="str">
        <f>C1357</f>
        <v>CHP with CCS</v>
      </c>
      <c r="I1358" s="169" t="str">
        <f t="shared" si="99"/>
        <v>M</v>
      </c>
      <c r="J1358" s="127" t="s">
        <v>112</v>
      </c>
      <c r="K1358" s="127" t="s">
        <v>112</v>
      </c>
      <c r="L1358" s="127" t="s">
        <v>112</v>
      </c>
      <c r="M1358" s="127" t="s">
        <v>112</v>
      </c>
      <c r="N1358" s="127" t="s">
        <v>112</v>
      </c>
      <c r="O1358" s="127" t="s">
        <v>112</v>
      </c>
      <c r="P1358" s="127" t="s">
        <v>112</v>
      </c>
      <c r="Q1358" s="127" t="s">
        <v>112</v>
      </c>
      <c r="R1358" s="127" t="s">
        <v>112</v>
      </c>
      <c r="S1358" s="127" t="s">
        <v>112</v>
      </c>
      <c r="T1358" s="127" t="s">
        <v>112</v>
      </c>
      <c r="U1358" s="127" t="s">
        <v>112</v>
      </c>
      <c r="V1358" s="127" t="s">
        <v>112</v>
      </c>
      <c r="W1358" s="127" t="s">
        <v>112</v>
      </c>
      <c r="X1358" s="127" t="s">
        <v>112</v>
      </c>
      <c r="Y1358" s="127" t="s">
        <v>112</v>
      </c>
      <c r="Z1358" s="127" t="s">
        <v>112</v>
      </c>
      <c r="AA1358" s="127" t="s">
        <v>112</v>
      </c>
      <c r="AB1358" s="127" t="s">
        <v>112</v>
      </c>
      <c r="AC1358" s="127" t="s">
        <v>112</v>
      </c>
      <c r="AD1358" s="127" t="s">
        <v>112</v>
      </c>
      <c r="AE1358" s="127">
        <v>55.438027105263167</v>
      </c>
      <c r="AF1358" s="127">
        <v>55.438027105263167</v>
      </c>
      <c r="AG1358" s="127">
        <v>55.438027105263167</v>
      </c>
      <c r="AH1358" s="127">
        <v>55.438027105263167</v>
      </c>
      <c r="AI1358" s="127">
        <v>55.438027105263167</v>
      </c>
      <c r="AJ1358" s="127">
        <v>55.438027105263167</v>
      </c>
      <c r="AK1358" s="127">
        <v>55.438027105263167</v>
      </c>
      <c r="AL1358" s="127">
        <v>55.438027105263167</v>
      </c>
      <c r="AM1358" s="127">
        <v>55.438027105263167</v>
      </c>
      <c r="AN1358" s="127">
        <v>55.438027105263167</v>
      </c>
      <c r="AO1358" s="127">
        <v>55.438027105263167</v>
      </c>
      <c r="AP1358" s="127">
        <v>55.438027105263167</v>
      </c>
      <c r="AQ1358" s="127">
        <v>55.438027105263167</v>
      </c>
      <c r="AR1358" s="127">
        <v>55.438027105263167</v>
      </c>
      <c r="AS1358" s="127">
        <v>55.438027105263167</v>
      </c>
      <c r="AT1358" s="127">
        <v>55.438027105263167</v>
      </c>
      <c r="AU1358" s="127">
        <v>55.438027105263167</v>
      </c>
      <c r="AV1358" s="127">
        <v>55.438027105263167</v>
      </c>
      <c r="AW1358" s="127">
        <v>55.438027105263167</v>
      </c>
      <c r="AX1358" s="128">
        <v>55.438027105263167</v>
      </c>
    </row>
    <row r="1359" spans="1:50" x14ac:dyDescent="0.25">
      <c r="A1359" s="356"/>
      <c r="B1359" s="358" t="s">
        <v>25</v>
      </c>
      <c r="C1359" s="353" t="s">
        <v>6</v>
      </c>
      <c r="D1359" s="3" t="s">
        <v>10</v>
      </c>
      <c r="E1359" s="162" t="str">
        <f>A1329&amp;"/"&amp;B1359&amp;"/"&amp;C1359&amp;"/"&amp;D1359</f>
        <v>Gas fired power plants (Natural gas, biogas)/Internal combustion engine/Electricity only/S</v>
      </c>
      <c r="F1359" s="77" t="str">
        <f>A1329</f>
        <v>Gas fired power plants (Natural gas, biogas)</v>
      </c>
      <c r="G1359" s="77" t="str">
        <f>B1359</f>
        <v>Internal combustion engine</v>
      </c>
      <c r="H1359" s="77" t="str">
        <f>C1359</f>
        <v>Electricity only</v>
      </c>
      <c r="I1359" s="163" t="str">
        <f t="shared" si="99"/>
        <v>S</v>
      </c>
      <c r="J1359" s="121">
        <v>8.7499999999999982</v>
      </c>
      <c r="K1359" s="121">
        <v>8.7491218855912471</v>
      </c>
      <c r="L1359" s="121">
        <v>8.7482023530890611</v>
      </c>
      <c r="M1359" s="121">
        <v>8.7472396344980243</v>
      </c>
      <c r="N1359" s="121">
        <v>8.746231904990541</v>
      </c>
      <c r="O1359" s="121">
        <v>8.7451772830154884</v>
      </c>
      <c r="P1359" s="121">
        <v>8.7440738306532459</v>
      </c>
      <c r="Q1359" s="121">
        <v>8.7429195542444997</v>
      </c>
      <c r="R1359" s="121">
        <v>8.7417124053217208</v>
      </c>
      <c r="S1359" s="121">
        <v>8.7404502818738994</v>
      </c>
      <c r="T1359" s="121">
        <v>8.7391310299765248</v>
      </c>
      <c r="U1359" s="121">
        <v>8.7377524458201457</v>
      </c>
      <c r="V1359" s="121">
        <v>8.7363122781721714</v>
      </c>
      <c r="W1359" s="121">
        <v>8.7348082313075128</v>
      </c>
      <c r="X1359" s="121">
        <v>8.7332379684445574</v>
      </c>
      <c r="Y1359" s="121">
        <v>8.7315991157234194</v>
      </c>
      <c r="Z1359" s="121">
        <v>8.7298892667636689</v>
      </c>
      <c r="AA1359" s="121">
        <v>8.7281059878384752</v>
      </c>
      <c r="AB1359" s="121">
        <v>8.7262468237014108</v>
      </c>
      <c r="AC1359" s="121">
        <v>8.7243093041010091</v>
      </c>
      <c r="AD1359" s="121">
        <v>8.7222909510162623</v>
      </c>
      <c r="AE1359" s="121">
        <v>8.7201892866437731</v>
      </c>
      <c r="AF1359" s="121">
        <v>8.7180018421639929</v>
      </c>
      <c r="AG1359" s="121">
        <v>8.7157261673099171</v>
      </c>
      <c r="AH1359" s="121">
        <v>8.7133598407564889</v>
      </c>
      <c r="AI1359" s="121">
        <v>8.7109004813431152</v>
      </c>
      <c r="AJ1359" s="121">
        <v>8.7083457601345362</v>
      </c>
      <c r="AK1359" s="121">
        <v>8.7056934133173254</v>
      </c>
      <c r="AL1359" s="121">
        <v>8.7029412559199173</v>
      </c>
      <c r="AM1359" s="121">
        <v>8.700087196333806</v>
      </c>
      <c r="AN1359" s="121">
        <v>8.6971292516019805</v>
      </c>
      <c r="AO1359" s="121">
        <v>8.6940655634280386</v>
      </c>
      <c r="AP1359" s="121">
        <v>8.6908944148457348</v>
      </c>
      <c r="AQ1359" s="121">
        <v>8.6876142474740927</v>
      </c>
      <c r="AR1359" s="121">
        <v>8.6842236792675713</v>
      </c>
      <c r="AS1359" s="121">
        <v>8.6807215226547729</v>
      </c>
      <c r="AT1359" s="121">
        <v>8.6771068029422871</v>
      </c>
      <c r="AU1359" s="121">
        <v>8.6733787768435437</v>
      </c>
      <c r="AV1359" s="121">
        <v>8.6695369509755817</v>
      </c>
      <c r="AW1359" s="121">
        <v>8.6655811001502894</v>
      </c>
      <c r="AX1359" s="122">
        <v>8.6615112852709775</v>
      </c>
    </row>
    <row r="1360" spans="1:50" x14ac:dyDescent="0.25">
      <c r="A1360" s="356"/>
      <c r="B1360" s="359"/>
      <c r="C1360" s="360"/>
      <c r="D1360" s="59" t="s">
        <v>20</v>
      </c>
      <c r="E1360" s="160" t="str">
        <f>A1329&amp;"/"&amp;B1359&amp;"/"&amp;C1359&amp;"/"&amp;D1360</f>
        <v>Gas fired power plants (Natural gas, biogas)/Internal combustion engine/Electricity only/XS</v>
      </c>
      <c r="F1360" s="76" t="str">
        <f>A1329</f>
        <v>Gas fired power plants (Natural gas, biogas)</v>
      </c>
      <c r="G1360" s="76" t="str">
        <f>B1359</f>
        <v>Internal combustion engine</v>
      </c>
      <c r="H1360" s="76" t="str">
        <f>C1359</f>
        <v>Electricity only</v>
      </c>
      <c r="I1360" s="161" t="str">
        <f t="shared" si="99"/>
        <v>XS</v>
      </c>
      <c r="J1360" s="119">
        <v>8.53125</v>
      </c>
      <c r="K1360" s="119">
        <v>8.5305776976227925</v>
      </c>
      <c r="L1360" s="119">
        <v>8.5298730930685291</v>
      </c>
      <c r="M1360" s="119">
        <v>8.5291347470388406</v>
      </c>
      <c r="N1360" s="119">
        <v>8.528361167535552</v>
      </c>
      <c r="O1360" s="119">
        <v>8.5275508091169634</v>
      </c>
      <c r="P1360" s="119">
        <v>8.5267020722834364</v>
      </c>
      <c r="Q1360" s="119">
        <v>8.5258133030109438</v>
      </c>
      <c r="R1360" s="119">
        <v>8.5248827924528783</v>
      </c>
      <c r="S1360" s="119">
        <v>8.5239087768317816</v>
      </c>
      <c r="T1360" s="119">
        <v>8.5228894375443804</v>
      </c>
      <c r="U1360" s="119">
        <v>8.5218229015047218</v>
      </c>
      <c r="V1360" s="119">
        <v>8.5207072417519498</v>
      </c>
      <c r="W1360" s="119">
        <v>8.5195404783506152</v>
      </c>
      <c r="X1360" s="119">
        <v>8.518320579613107</v>
      </c>
      <c r="Y1360" s="119">
        <v>8.5170454636750907</v>
      </c>
      <c r="Z1360" s="119">
        <v>8.5157130004562038</v>
      </c>
      <c r="AA1360" s="119">
        <v>8.5143210140395045</v>
      </c>
      <c r="AB1360" s="119">
        <v>8.512867285504063</v>
      </c>
      <c r="AC1360" s="119">
        <v>8.5113495562459747</v>
      </c>
      <c r="AD1360" s="119">
        <v>8.5097655318235379</v>
      </c>
      <c r="AE1360" s="119">
        <v>8.5081128863624897</v>
      </c>
      <c r="AF1360" s="119">
        <v>8.506389267557033</v>
      </c>
      <c r="AG1360" s="119">
        <v>8.5045923023017398</v>
      </c>
      <c r="AH1360" s="119">
        <v>8.5027196029881296</v>
      </c>
      <c r="AI1360" s="119">
        <v>8.5007687744981144</v>
      </c>
      <c r="AJ1360" s="119">
        <v>8.4987374219239307</v>
      </c>
      <c r="AK1360" s="119">
        <v>8.4966231590411212</v>
      </c>
      <c r="AL1360" s="119">
        <v>8.4944236175570786</v>
      </c>
      <c r="AM1360" s="119">
        <v>8.4921364571528883</v>
      </c>
      <c r="AN1360" s="119">
        <v>8.4897593763303796</v>
      </c>
      <c r="AO1360" s="119">
        <v>8.48729012406951</v>
      </c>
      <c r="AP1360" s="119">
        <v>8.4847265122933919</v>
      </c>
      <c r="AQ1360" s="119">
        <v>8.4820664291293255</v>
      </c>
      <c r="AR1360" s="119">
        <v>8.4793078529441832</v>
      </c>
      <c r="AS1360" s="119">
        <v>8.4764488671213609</v>
      </c>
      <c r="AT1360" s="119">
        <v>8.4734876755343063</v>
      </c>
      <c r="AU1360" s="119">
        <v>8.4704226186583895</v>
      </c>
      <c r="AV1360" s="119">
        <v>8.4672521902487183</v>
      </c>
      <c r="AW1360" s="119">
        <v>8.4639750544964993</v>
      </c>
      <c r="AX1360" s="120">
        <v>8.4605900635608791</v>
      </c>
    </row>
    <row r="1361" spans="1:50" x14ac:dyDescent="0.25">
      <c r="A1361" s="356"/>
      <c r="B1361" s="359"/>
      <c r="C1361" s="361" t="s">
        <v>14</v>
      </c>
      <c r="D1361" s="2" t="s">
        <v>10</v>
      </c>
      <c r="E1361" s="164" t="str">
        <f>A1329&amp;"/"&amp;B1359&amp;"/"&amp;C1361&amp;"/"&amp;D1361</f>
        <v>Gas fired power plants (Natural gas, biogas)/Internal combustion engine/CHP/S</v>
      </c>
      <c r="F1361" s="78" t="str">
        <f>A1329</f>
        <v>Gas fired power plants (Natural gas, biogas)</v>
      </c>
      <c r="G1361" s="78" t="str">
        <f>B1359</f>
        <v>Internal combustion engine</v>
      </c>
      <c r="H1361" s="78" t="str">
        <f>C1361</f>
        <v>CHP</v>
      </c>
      <c r="I1361" s="165" t="str">
        <f t="shared" si="99"/>
        <v>S</v>
      </c>
      <c r="J1361" s="123">
        <v>10.277272727272726</v>
      </c>
      <c r="K1361" s="123">
        <v>10.276637883382776</v>
      </c>
      <c r="L1361" s="123">
        <v>10.275972095217837</v>
      </c>
      <c r="M1361" s="123">
        <v>10.275273938576449</v>
      </c>
      <c r="N1361" s="123">
        <v>10.274541932305395</v>
      </c>
      <c r="O1361" s="123">
        <v>10.273774536914813</v>
      </c>
      <c r="P1361" s="123">
        <v>10.272970153260379</v>
      </c>
      <c r="Q1361" s="123">
        <v>10.272127121307044</v>
      </c>
      <c r="R1361" s="123">
        <v>10.271243718990272</v>
      </c>
      <c r="S1361" s="123">
        <v>10.270318161192254</v>
      </c>
      <c r="T1361" s="123">
        <v>10.269348598852087</v>
      </c>
      <c r="U1361" s="123">
        <v>10.268333118230641</v>
      </c>
      <c r="V1361" s="123">
        <v>10.267269740352486</v>
      </c>
      <c r="W1361" s="123">
        <v>10.266156420649089</v>
      </c>
      <c r="X1361" s="123">
        <v>10.264991048829305</v>
      </c>
      <c r="Y1361" s="123">
        <v>10.263771449005018</v>
      </c>
      <c r="Z1361" s="123">
        <v>10.262495380101727</v>
      </c>
      <c r="AA1361" s="123">
        <v>10.261160536585679</v>
      </c>
      <c r="AB1361" s="123">
        <v>10.259764549541094</v>
      </c>
      <c r="AC1361" s="123">
        <v>10.258304988132743</v>
      </c>
      <c r="AD1361" s="123">
        <v>10.25677936149089</v>
      </c>
      <c r="AE1361" s="123">
        <v>10.255185121057208</v>
      </c>
      <c r="AF1361" s="123">
        <v>10.253519663431671</v>
      </c>
      <c r="AG1361" s="123">
        <v>10.251780333761664</v>
      </c>
      <c r="AH1361" s="123">
        <v>10.249964429715433</v>
      </c>
      <c r="AI1361" s="123">
        <v>10.248069206082695</v>
      </c>
      <c r="AJ1361" s="123">
        <v>10.246091880045318</v>
      </c>
      <c r="AK1361" s="123">
        <v>10.244029637160889</v>
      </c>
      <c r="AL1361" s="123">
        <v>10.241879638101022</v>
      </c>
      <c r="AM1361" s="123">
        <v>10.239639026185007</v>
      </c>
      <c r="AN1361" s="123">
        <v>10.237304935747174</v>
      </c>
      <c r="AO1361" s="123">
        <v>10.234874501373506</v>
      </c>
      <c r="AP1361" s="123">
        <v>10.232344868039215</v>
      </c>
      <c r="AQ1361" s="123">
        <v>10.229713202174279</v>
      </c>
      <c r="AR1361" s="123">
        <v>10.226976703678112</v>
      </c>
      <c r="AS1361" s="123">
        <v>10.224132618897636</v>
      </c>
      <c r="AT1361" s="123">
        <v>10.221178254574895</v>
      </c>
      <c r="AU1361" s="123">
        <v>10.218110992760966</v>
      </c>
      <c r="AV1361" s="123">
        <v>10.214928306682276</v>
      </c>
      <c r="AW1361" s="123">
        <v>10.211627777533392</v>
      </c>
      <c r="AX1361" s="124">
        <v>10.208207112157067</v>
      </c>
    </row>
    <row r="1362" spans="1:50" x14ac:dyDescent="0.25">
      <c r="A1362" s="356"/>
      <c r="B1362" s="362"/>
      <c r="C1362" s="354"/>
      <c r="D1362" s="4" t="s">
        <v>20</v>
      </c>
      <c r="E1362" s="168" t="str">
        <f>A1329&amp;"/"&amp;B1359&amp;"/"&amp;C1361&amp;"/"&amp;D1362</f>
        <v>Gas fired power plants (Natural gas, biogas)/Internal combustion engine/CHP/XS</v>
      </c>
      <c r="F1362" s="80" t="str">
        <f>A1329</f>
        <v>Gas fired power plants (Natural gas, biogas)</v>
      </c>
      <c r="G1362" s="80" t="str">
        <f>B1359</f>
        <v>Internal combustion engine</v>
      </c>
      <c r="H1362" s="80" t="str">
        <f>C1361</f>
        <v>CHP</v>
      </c>
      <c r="I1362" s="169" t="str">
        <f t="shared" si="99"/>
        <v>XS</v>
      </c>
      <c r="J1362" s="127">
        <v>9.3893465909090903</v>
      </c>
      <c r="K1362" s="127">
        <v>9.3887665956640447</v>
      </c>
      <c r="L1362" s="127">
        <v>9.3881583296383546</v>
      </c>
      <c r="M1362" s="127">
        <v>9.3875204916773818</v>
      </c>
      <c r="N1362" s="127">
        <v>9.3868517285951878</v>
      </c>
      <c r="O1362" s="127">
        <v>9.3861506339093062</v>
      </c>
      <c r="P1362" s="127">
        <v>9.3854157466367827</v>
      </c>
      <c r="Q1362" s="127">
        <v>9.3846455501647075</v>
      </c>
      <c r="R1362" s="127">
        <v>9.3838384712098648</v>
      </c>
      <c r="S1362" s="127">
        <v>9.3829928788833641</v>
      </c>
      <c r="T1362" s="127">
        <v>9.3821070838777363</v>
      </c>
      <c r="U1362" s="127">
        <v>9.3811793377952757</v>
      </c>
      <c r="V1362" s="127">
        <v>9.3802078326382095</v>
      </c>
      <c r="W1362" s="127">
        <v>9.3791907004827166</v>
      </c>
      <c r="X1362" s="127">
        <v>9.3781260133605979</v>
      </c>
      <c r="Y1362" s="127">
        <v>9.3770117833740727</v>
      </c>
      <c r="Z1362" s="127">
        <v>9.3758459630708799</v>
      </c>
      <c r="AA1362" s="127">
        <v>9.3746264461086071</v>
      </c>
      <c r="AB1362" s="127">
        <v>9.373351068238831</v>
      </c>
      <c r="AC1362" s="127">
        <v>9.3720176086433344</v>
      </c>
      <c r="AD1362" s="127">
        <v>9.3706237916562003</v>
      </c>
      <c r="AE1362" s="127">
        <v>9.369167288907045</v>
      </c>
      <c r="AF1362" s="127">
        <v>9.3676457219219493</v>
      </c>
      <c r="AG1362" s="127">
        <v>9.366056665219757</v>
      </c>
      <c r="AH1362" s="127">
        <v>9.3643976499422266</v>
      </c>
      <c r="AI1362" s="127">
        <v>9.362666168057169</v>
      </c>
      <c r="AJ1362" s="127">
        <v>9.3608596771737584</v>
      </c>
      <c r="AK1362" s="127">
        <v>9.3589756060091212</v>
      </c>
      <c r="AL1362" s="127">
        <v>9.3570113605445009</v>
      </c>
      <c r="AM1362" s="127">
        <v>9.3549643309079951</v>
      </c>
      <c r="AN1362" s="127">
        <v>9.3528318990190176</v>
      </c>
      <c r="AO1362" s="127">
        <v>9.3506114470268997</v>
      </c>
      <c r="AP1362" s="127">
        <v>9.3483003665725928</v>
      </c>
      <c r="AQ1362" s="127">
        <v>9.3458960688981936</v>
      </c>
      <c r="AR1362" s="127">
        <v>9.3433959958235722</v>
      </c>
      <c r="AS1362" s="127">
        <v>9.3407976316031718</v>
      </c>
      <c r="AT1362" s="127">
        <v>9.3380985156686087</v>
      </c>
      <c r="AU1362" s="127">
        <v>9.3352962562540451</v>
      </c>
      <c r="AV1362" s="127">
        <v>9.3323885448917121</v>
      </c>
      <c r="AW1362" s="127">
        <v>9.3293731717538542</v>
      </c>
      <c r="AX1362" s="128">
        <v>9.3262480418052629</v>
      </c>
    </row>
    <row r="1363" spans="1:50" x14ac:dyDescent="0.25">
      <c r="A1363" s="355" t="s">
        <v>26</v>
      </c>
      <c r="B1363" s="358" t="s">
        <v>19</v>
      </c>
      <c r="C1363" s="353" t="s">
        <v>6</v>
      </c>
      <c r="D1363" s="3" t="s">
        <v>7</v>
      </c>
      <c r="E1363" s="162" t="str">
        <f>A1363&amp;"/"&amp;B1363&amp;"/"&amp;C1363&amp;"/"&amp;D1363</f>
        <v>Derived gas fired power plants/Steam turbine/Electricity only/L</v>
      </c>
      <c r="F1363" s="77" t="str">
        <f>A1363</f>
        <v>Derived gas fired power plants</v>
      </c>
      <c r="G1363" s="77" t="str">
        <f>B1363</f>
        <v>Steam turbine</v>
      </c>
      <c r="H1363" s="77" t="str">
        <f>C1363</f>
        <v>Electricity only</v>
      </c>
      <c r="I1363" s="163" t="str">
        <f t="shared" si="99"/>
        <v>L</v>
      </c>
      <c r="J1363" s="121">
        <v>17.621621621621621</v>
      </c>
      <c r="K1363" s="121">
        <v>17.627885650663796</v>
      </c>
      <c r="L1363" s="121">
        <v>17.634016656377895</v>
      </c>
      <c r="M1363" s="121">
        <v>17.640016154568698</v>
      </c>
      <c r="N1363" s="121">
        <v>17.645885713021922</v>
      </c>
      <c r="O1363" s="121">
        <v>17.651626947220496</v>
      </c>
      <c r="P1363" s="121">
        <v>17.657241516179305</v>
      </c>
      <c r="Q1363" s="121">
        <v>17.662731118403059</v>
      </c>
      <c r="R1363" s="121">
        <v>17.668097487971135</v>
      </c>
      <c r="S1363" s="121">
        <v>17.673342390752619</v>
      </c>
      <c r="T1363" s="121">
        <v>17.678467620753988</v>
      </c>
      <c r="U1363" s="121">
        <v>17.683474996601351</v>
      </c>
      <c r="V1363" s="121">
        <v>17.688366358158447</v>
      </c>
      <c r="W1363" s="121">
        <v>17.693143563281119</v>
      </c>
      <c r="X1363" s="121">
        <v>17.697808484708474</v>
      </c>
      <c r="Y1363" s="121">
        <v>17.702363007090401</v>
      </c>
      <c r="Z1363" s="121">
        <v>17.70680902415069</v>
      </c>
      <c r="AA1363" s="121">
        <v>17.711148435984683</v>
      </c>
      <c r="AB1363" s="121">
        <v>17.715383146489806</v>
      </c>
      <c r="AC1363" s="121">
        <v>17.719515060927332</v>
      </c>
      <c r="AD1363" s="121">
        <v>17.723546083613019</v>
      </c>
      <c r="AE1363" s="121">
        <v>17.727478115734382</v>
      </c>
      <c r="AF1363" s="121">
        <v>17.731313053291867</v>
      </c>
      <c r="AG1363" s="121">
        <v>17.735052785161081</v>
      </c>
      <c r="AH1363" s="121">
        <v>17.738699191273078</v>
      </c>
      <c r="AI1363" s="121">
        <v>17.742254140909505</v>
      </c>
      <c r="AJ1363" s="121">
        <v>17.745719491109302</v>
      </c>
      <c r="AK1363" s="121">
        <v>17.749097085183507</v>
      </c>
      <c r="AL1363" s="121">
        <v>17.75238875133477</v>
      </c>
      <c r="AM1363" s="121">
        <v>17.755596301377889</v>
      </c>
      <c r="AN1363" s="121">
        <v>17.758721529557889</v>
      </c>
      <c r="AO1363" s="121">
        <v>17.761766211461936</v>
      </c>
      <c r="AP1363" s="121">
        <v>17.764732103021508</v>
      </c>
      <c r="AQ1363" s="121">
        <v>17.767620939601134</v>
      </c>
      <c r="AR1363" s="121">
        <v>17.770434435170131</v>
      </c>
      <c r="AS1363" s="121">
        <v>17.773174281553754</v>
      </c>
      <c r="AT1363" s="121">
        <v>17.775842147760176</v>
      </c>
      <c r="AU1363" s="121">
        <v>17.778439679379833</v>
      </c>
      <c r="AV1363" s="121">
        <v>17.780968498053667</v>
      </c>
      <c r="AW1363" s="121">
        <v>17.783430201006933</v>
      </c>
      <c r="AX1363" s="122">
        <v>17.785826360645203</v>
      </c>
    </row>
    <row r="1364" spans="1:50" x14ac:dyDescent="0.25">
      <c r="A1364" s="356"/>
      <c r="B1364" s="359"/>
      <c r="C1364" s="350"/>
      <c r="D1364" s="2" t="s">
        <v>8</v>
      </c>
      <c r="E1364" s="160" t="str">
        <f>A1363&amp;"/"&amp;B1363&amp;"/"&amp;C1363&amp;"/"&amp;D1364</f>
        <v>Derived gas fired power plants/Steam turbine/Electricity only/M</v>
      </c>
      <c r="F1364" s="76" t="str">
        <f>A1363</f>
        <v>Derived gas fired power plants</v>
      </c>
      <c r="G1364" s="76" t="str">
        <f>B1363</f>
        <v>Steam turbine</v>
      </c>
      <c r="H1364" s="76" t="str">
        <f>C1363</f>
        <v>Electricity only</v>
      </c>
      <c r="I1364" s="161" t="str">
        <f t="shared" si="99"/>
        <v>M</v>
      </c>
      <c r="J1364" s="119">
        <v>19.031351351351351</v>
      </c>
      <c r="K1364" s="119">
        <v>19.036425214875511</v>
      </c>
      <c r="L1364" s="119">
        <v>19.041391329503931</v>
      </c>
      <c r="M1364" s="119">
        <v>19.046250923038485</v>
      </c>
      <c r="N1364" s="119">
        <v>19.051005265385594</v>
      </c>
      <c r="O1364" s="119">
        <v>19.055655665086437</v>
      </c>
      <c r="P1364" s="119">
        <v>19.060203465943076</v>
      </c>
      <c r="Q1364" s="119">
        <v>19.064650043744315</v>
      </c>
      <c r="R1364" s="119">
        <v>19.068996803094461</v>
      </c>
      <c r="S1364" s="119">
        <v>19.073245174347459</v>
      </c>
      <c r="T1364" s="119">
        <v>19.077396610648567</v>
      </c>
      <c r="U1364" s="119">
        <v>19.081452585084936</v>
      </c>
      <c r="V1364" s="119">
        <v>19.085414587946183</v>
      </c>
      <c r="W1364" s="119">
        <v>19.089284124095546</v>
      </c>
      <c r="X1364" s="119">
        <v>19.093062710451701</v>
      </c>
      <c r="Y1364" s="119">
        <v>19.096751873581059</v>
      </c>
      <c r="Z1364" s="119">
        <v>19.1003531473999</v>
      </c>
      <c r="AA1364" s="119">
        <v>19.103868070985431</v>
      </c>
      <c r="AB1364" s="119">
        <v>19.107298186494582</v>
      </c>
      <c r="AC1364" s="119">
        <v>19.110645037188977</v>
      </c>
      <c r="AD1364" s="119">
        <v>19.113910165564381</v>
      </c>
      <c r="AE1364" s="119">
        <v>19.117095111582689</v>
      </c>
      <c r="AF1364" s="119">
        <v>19.120201411004253</v>
      </c>
      <c r="AG1364" s="119">
        <v>19.123230593818313</v>
      </c>
      <c r="AH1364" s="119">
        <v>19.12618418276903</v>
      </c>
      <c r="AI1364" s="119">
        <v>19.12906369197454</v>
      </c>
      <c r="AJ1364" s="119">
        <v>19.13187062563637</v>
      </c>
      <c r="AK1364" s="119">
        <v>19.134606476836481</v>
      </c>
      <c r="AL1364" s="119">
        <v>19.137272726419003</v>
      </c>
      <c r="AM1364" s="119">
        <v>19.139870841953929</v>
      </c>
      <c r="AN1364" s="119">
        <v>19.142402276779727</v>
      </c>
      <c r="AO1364" s="119">
        <v>19.144868469122009</v>
      </c>
      <c r="AP1364" s="119">
        <v>19.147270841285259</v>
      </c>
      <c r="AQ1364" s="119">
        <v>19.149610798914757</v>
      </c>
      <c r="AR1364" s="119">
        <v>19.151889730325642</v>
      </c>
      <c r="AS1364" s="119">
        <v>19.154109005896377</v>
      </c>
      <c r="AT1364" s="119">
        <v>19.156269977523582</v>
      </c>
      <c r="AU1364" s="119">
        <v>19.158373978135504</v>
      </c>
      <c r="AV1364" s="119">
        <v>19.160422321261311</v>
      </c>
      <c r="AW1364" s="119">
        <v>19.162416300653454</v>
      </c>
      <c r="AX1364" s="120">
        <v>19.164357189960452</v>
      </c>
    </row>
    <row r="1365" spans="1:50" x14ac:dyDescent="0.25">
      <c r="A1365" s="356"/>
      <c r="B1365" s="359"/>
      <c r="C1365" s="350"/>
      <c r="D1365" s="2" t="s">
        <v>10</v>
      </c>
      <c r="E1365" s="160" t="str">
        <f>A1363&amp;"/"&amp;B1363&amp;"/"&amp;C1363&amp;"/"&amp;D1365</f>
        <v>Derived gas fired power plants/Steam turbine/Electricity only/S</v>
      </c>
      <c r="F1365" s="76" t="str">
        <f>A1363</f>
        <v>Derived gas fired power plants</v>
      </c>
      <c r="G1365" s="76" t="str">
        <f>B1363</f>
        <v>Steam turbine</v>
      </c>
      <c r="H1365" s="76" t="str">
        <f>C1363</f>
        <v>Electricity only</v>
      </c>
      <c r="I1365" s="161" t="str">
        <f t="shared" si="99"/>
        <v>S</v>
      </c>
      <c r="J1365" s="119">
        <v>21.029643243243239</v>
      </c>
      <c r="K1365" s="119">
        <v>21.034315425905071</v>
      </c>
      <c r="L1365" s="119">
        <v>21.038888389792078</v>
      </c>
      <c r="M1365" s="119">
        <v>21.043363265505143</v>
      </c>
      <c r="N1365" s="119">
        <v>21.047741222416441</v>
      </c>
      <c r="O1365" s="119">
        <v>21.052023465474303</v>
      </c>
      <c r="P1365" s="119">
        <v>21.056211232096452</v>
      </c>
      <c r="Q1365" s="119">
        <v>21.060305789155095</v>
      </c>
      <c r="R1365" s="119">
        <v>21.064308430056688</v>
      </c>
      <c r="S1365" s="119">
        <v>21.068220471918821</v>
      </c>
      <c r="T1365" s="119">
        <v>21.072043252846093</v>
      </c>
      <c r="U1365" s="119">
        <v>21.075778129306247</v>
      </c>
      <c r="V1365" s="119">
        <v>21.079426473607644</v>
      </c>
      <c r="W1365" s="119">
        <v>21.082989671478519</v>
      </c>
      <c r="X1365" s="119">
        <v>21.086469119748148</v>
      </c>
      <c r="Y1365" s="119">
        <v>21.089866224129764</v>
      </c>
      <c r="Z1365" s="119">
        <v>21.093182397104609</v>
      </c>
      <c r="AA1365" s="119">
        <v>21.096419055906285</v>
      </c>
      <c r="AB1365" s="119">
        <v>21.099577620604297</v>
      </c>
      <c r="AC1365" s="119">
        <v>21.102659512285385</v>
      </c>
      <c r="AD1365" s="119">
        <v>21.105666151331075</v>
      </c>
      <c r="AE1365" s="119">
        <v>21.108598955789596</v>
      </c>
      <c r="AF1365" s="119">
        <v>21.111459339840284</v>
      </c>
      <c r="AG1365" s="119">
        <v>21.114248712348235</v>
      </c>
      <c r="AH1365" s="119">
        <v>21.116968475507019</v>
      </c>
      <c r="AI1365" s="119">
        <v>21.119620023567091</v>
      </c>
      <c r="AJ1365" s="119">
        <v>21.122204741647362</v>
      </c>
      <c r="AK1365" s="119">
        <v>21.124724004627463</v>
      </c>
      <c r="AL1365" s="119">
        <v>21.127179176118034</v>
      </c>
      <c r="AM1365" s="119">
        <v>21.129571607506445</v>
      </c>
      <c r="AN1365" s="119">
        <v>21.131902637075203</v>
      </c>
      <c r="AO1365" s="119">
        <v>21.134173589190386</v>
      </c>
      <c r="AP1365" s="119">
        <v>21.136385773557382</v>
      </c>
      <c r="AQ1365" s="119">
        <v>21.13854048454121</v>
      </c>
      <c r="AR1365" s="119">
        <v>21.140639000548735</v>
      </c>
      <c r="AS1365" s="119">
        <v>21.142682583470119</v>
      </c>
      <c r="AT1365" s="119">
        <v>21.144672478176837</v>
      </c>
      <c r="AU1365" s="119">
        <v>21.146609912073647</v>
      </c>
      <c r="AV1365" s="119">
        <v>21.148496094701994</v>
      </c>
      <c r="AW1365" s="119">
        <v>21.150332217392258</v>
      </c>
      <c r="AX1365" s="120">
        <v>21.152119452962452</v>
      </c>
    </row>
    <row r="1366" spans="1:50" x14ac:dyDescent="0.25">
      <c r="A1366" s="356"/>
      <c r="B1366" s="359"/>
      <c r="C1366" s="360"/>
      <c r="D1366" s="2" t="s">
        <v>20</v>
      </c>
      <c r="E1366" s="160" t="str">
        <f>A1363&amp;"/"&amp;B1363&amp;"/"&amp;C1363&amp;"/"&amp;D1366</f>
        <v>Derived gas fired power plants/Steam turbine/Electricity only/XS</v>
      </c>
      <c r="F1366" s="76" t="str">
        <f>A1363</f>
        <v>Derived gas fired power plants</v>
      </c>
      <c r="G1366" s="76" t="str">
        <f>B1363</f>
        <v>Steam turbine</v>
      </c>
      <c r="H1366" s="76" t="str">
        <f>C1363</f>
        <v>Electricity only</v>
      </c>
      <c r="I1366" s="161" t="str">
        <f t="shared" si="99"/>
        <v>XS</v>
      </c>
      <c r="J1366" s="119">
        <v>25.235571891891887</v>
      </c>
      <c r="K1366" s="119">
        <v>25.238364200463504</v>
      </c>
      <c r="L1366" s="119">
        <v>25.24108857056024</v>
      </c>
      <c r="M1366" s="119">
        <v>25.243746269614793</v>
      </c>
      <c r="N1366" s="119">
        <v>25.246338562378305</v>
      </c>
      <c r="O1366" s="119">
        <v>25.248866709586913</v>
      </c>
      <c r="P1366" s="119">
        <v>25.251331966707721</v>
      </c>
      <c r="Q1366" s="119">
        <v>25.253735582762094</v>
      </c>
      <c r="R1366" s="119">
        <v>25.256078799224262</v>
      </c>
      <c r="S1366" s="119">
        <v>25.25836284899292</v>
      </c>
      <c r="T1366" s="119">
        <v>25.26058895543359</v>
      </c>
      <c r="U1366" s="119">
        <v>25.262758331489412</v>
      </c>
      <c r="V1366" s="119">
        <v>25.264872178858056</v>
      </c>
      <c r="W1366" s="119">
        <v>25.266931687232301</v>
      </c>
      <c r="X1366" s="119">
        <v>25.268938033601877</v>
      </c>
      <c r="Y1366" s="119">
        <v>25.270892381614292</v>
      </c>
      <c r="Z1366" s="119">
        <v>25.272795880992032</v>
      </c>
      <c r="AA1366" s="119">
        <v>25.274649667003992</v>
      </c>
      <c r="AB1366" s="119">
        <v>25.276454859988561</v>
      </c>
      <c r="AC1366" s="119">
        <v>25.278212564926189</v>
      </c>
      <c r="AD1366" s="119">
        <v>25.279923871059015</v>
      </c>
      <c r="AE1366" s="119">
        <v>25.281589851555371</v>
      </c>
      <c r="AF1366" s="119">
        <v>25.283211563216909</v>
      </c>
      <c r="AG1366" s="119">
        <v>25.284790046226213</v>
      </c>
      <c r="AH1366" s="119">
        <v>25.286326323932713</v>
      </c>
      <c r="AI1366" s="119">
        <v>25.287821402674904</v>
      </c>
      <c r="AJ1366" s="119">
        <v>25.289276271636847</v>
      </c>
      <c r="AK1366" s="119">
        <v>25.290691902736956</v>
      </c>
      <c r="AL1366" s="119">
        <v>25.292069250547264</v>
      </c>
      <c r="AM1366" s="119">
        <v>25.293409252241268</v>
      </c>
      <c r="AN1366" s="119">
        <v>25.294712827568659</v>
      </c>
      <c r="AO1366" s="119">
        <v>25.295980878855122</v>
      </c>
      <c r="AP1366" s="119">
        <v>25.297214291025721</v>
      </c>
      <c r="AQ1366" s="119">
        <v>25.298413931650195</v>
      </c>
      <c r="AR1366" s="119">
        <v>25.299580651008664</v>
      </c>
      <c r="AS1366" s="119">
        <v>25.300715282176288</v>
      </c>
      <c r="AT1366" s="119">
        <v>25.301818641125571</v>
      </c>
      <c r="AU1366" s="119">
        <v>25.302891526844864</v>
      </c>
      <c r="AV1366" s="119">
        <v>25.303934721471894</v>
      </c>
      <c r="AW1366" s="119">
        <v>25.304948990441073</v>
      </c>
      <c r="AX1366" s="120">
        <v>25.305935082643394</v>
      </c>
    </row>
    <row r="1367" spans="1:50" x14ac:dyDescent="0.25">
      <c r="A1367" s="356"/>
      <c r="B1367" s="359"/>
      <c r="C1367" s="361" t="s">
        <v>14</v>
      </c>
      <c r="D1367" s="58" t="s">
        <v>7</v>
      </c>
      <c r="E1367" s="164" t="str">
        <f>A1363&amp;"/"&amp;B1363&amp;"/"&amp;C1367&amp;"/"&amp;D1367</f>
        <v>Derived gas fired power plants/Steam turbine/CHP/L</v>
      </c>
      <c r="F1367" s="78" t="str">
        <f>A1363</f>
        <v>Derived gas fired power plants</v>
      </c>
      <c r="G1367" s="78" t="str">
        <f>B1363</f>
        <v>Steam turbine</v>
      </c>
      <c r="H1367" s="78" t="str">
        <f>C1367</f>
        <v>CHP</v>
      </c>
      <c r="I1367" s="165" t="str">
        <f t="shared" si="99"/>
        <v>L</v>
      </c>
      <c r="J1367" s="123">
        <v>27.474594594594596</v>
      </c>
      <c r="K1367" s="123">
        <v>27.479186082961117</v>
      </c>
      <c r="L1367" s="123">
        <v>27.483704840659176</v>
      </c>
      <c r="M1367" s="123">
        <v>27.488151698909455</v>
      </c>
      <c r="N1367" s="123">
        <v>27.492527491053995</v>
      </c>
      <c r="O1367" s="123">
        <v>27.496833052041747</v>
      </c>
      <c r="P1367" s="123">
        <v>27.501069217931345</v>
      </c>
      <c r="Q1367" s="123">
        <v>27.505236825410986</v>
      </c>
      <c r="R1367" s="123">
        <v>27.509336711335155</v>
      </c>
      <c r="S1367" s="123">
        <v>27.513369712278077</v>
      </c>
      <c r="T1367" s="123">
        <v>27.517336664103595</v>
      </c>
      <c r="U1367" s="123">
        <v>27.521238401551354</v>
      </c>
      <c r="V1367" s="123">
        <v>27.525075757838941</v>
      </c>
      <c r="W1367" s="123">
        <v>27.528849564279835</v>
      </c>
      <c r="X1367" s="123">
        <v>27.532560649916778</v>
      </c>
      <c r="Y1367" s="123">
        <v>27.536209841170475</v>
      </c>
      <c r="Z1367" s="123">
        <v>27.539797961503158</v>
      </c>
      <c r="AA1367" s="123">
        <v>27.543325831096858</v>
      </c>
      <c r="AB1367" s="123">
        <v>27.546794266546016</v>
      </c>
      <c r="AC1367" s="123">
        <v>27.550204080564217</v>
      </c>
      <c r="AD1367" s="123">
        <v>27.553556081704652</v>
      </c>
      <c r="AE1367" s="123">
        <v>27.556851074094055</v>
      </c>
      <c r="AF1367" s="123">
        <v>27.560089857179811</v>
      </c>
      <c r="AG1367" s="123">
        <v>27.563273225489887</v>
      </c>
      <c r="AH1367" s="123">
        <v>27.566401968405305</v>
      </c>
      <c r="AI1367" s="123">
        <v>27.56947686994485</v>
      </c>
      <c r="AJ1367" s="123">
        <v>27.572498708561618</v>
      </c>
      <c r="AK1367" s="123">
        <v>27.575468256951233</v>
      </c>
      <c r="AL1367" s="123">
        <v>27.578386281871239</v>
      </c>
      <c r="AM1367" s="123">
        <v>27.581253543971528</v>
      </c>
      <c r="AN1367" s="123">
        <v>27.584070797635363</v>
      </c>
      <c r="AO1367" s="123">
        <v>27.586838790830758</v>
      </c>
      <c r="AP1367" s="123">
        <v>27.589558264971856</v>
      </c>
      <c r="AQ1367" s="123">
        <v>27.592229954790039</v>
      </c>
      <c r="AR1367" s="123">
        <v>27.594854588214464</v>
      </c>
      <c r="AS1367" s="123">
        <v>27.597432886261679</v>
      </c>
      <c r="AT1367" s="123">
        <v>27.599965562934109</v>
      </c>
      <c r="AU1367" s="123">
        <v>27.602453325127023</v>
      </c>
      <c r="AV1367" s="123">
        <v>27.604896872543748</v>
      </c>
      <c r="AW1367" s="123">
        <v>27.607296897618877</v>
      </c>
      <c r="AX1367" s="124">
        <v>27.60965408544909</v>
      </c>
    </row>
    <row r="1368" spans="1:50" x14ac:dyDescent="0.25">
      <c r="A1368" s="356"/>
      <c r="B1368" s="359"/>
      <c r="C1368" s="350"/>
      <c r="D1368" s="2" t="s">
        <v>8</v>
      </c>
      <c r="E1368" s="160" t="str">
        <f>A1363&amp;"/"&amp;B1363&amp;"/"&amp;C1367&amp;"/"&amp;D1368</f>
        <v>Derived gas fired power plants/Steam turbine/CHP/M</v>
      </c>
      <c r="F1368" s="76" t="str">
        <f>A1363</f>
        <v>Derived gas fired power plants</v>
      </c>
      <c r="G1368" s="76" t="str">
        <f>B1363</f>
        <v>Steam turbine</v>
      </c>
      <c r="H1368" s="76" t="str">
        <f>C1367</f>
        <v>CHP</v>
      </c>
      <c r="I1368" s="161" t="str">
        <f t="shared" si="99"/>
        <v>M</v>
      </c>
      <c r="J1368" s="119">
        <v>28.842032432432433</v>
      </c>
      <c r="K1368" s="119">
        <v>28.844952878045024</v>
      </c>
      <c r="L1368" s="119">
        <v>28.847824884841348</v>
      </c>
      <c r="M1368" s="119">
        <v>28.850649087511968</v>
      </c>
      <c r="N1368" s="119">
        <v>28.853426118618938</v>
      </c>
      <c r="O1368" s="119">
        <v>28.85615660834328</v>
      </c>
      <c r="P1368" s="119">
        <v>28.858841184243609</v>
      </c>
      <c r="Q1368" s="119">
        <v>28.861480471025587</v>
      </c>
      <c r="R1368" s="119">
        <v>28.864075090322117</v>
      </c>
      <c r="S1368" s="119">
        <v>28.866625660483901</v>
      </c>
      <c r="T1368" s="119">
        <v>28.869132796380242</v>
      </c>
      <c r="U1368" s="119">
        <v>28.871597109209794</v>
      </c>
      <c r="V1368" s="119">
        <v>28.874019206321005</v>
      </c>
      <c r="W1368" s="119">
        <v>28.876399691042096</v>
      </c>
      <c r="X1368" s="119">
        <v>28.878739162520226</v>
      </c>
      <c r="Y1368" s="119">
        <v>28.881038215569699</v>
      </c>
      <c r="Z1368" s="119">
        <v>28.883297440528903</v>
      </c>
      <c r="AA1368" s="119">
        <v>28.885517423125766</v>
      </c>
      <c r="AB1368" s="119">
        <v>28.887698744351511</v>
      </c>
      <c r="AC1368" s="119">
        <v>28.889841980342446</v>
      </c>
      <c r="AD1368" s="119">
        <v>28.891947702269547</v>
      </c>
      <c r="AE1368" s="119">
        <v>28.89401647623561</v>
      </c>
      <c r="AF1368" s="119">
        <v>28.896048863179743</v>
      </c>
      <c r="AG1368" s="119">
        <v>28.898045418788985</v>
      </c>
      <c r="AH1368" s="119">
        <v>28.900006693416756</v>
      </c>
      <c r="AI1368" s="119">
        <v>28.901933232008016</v>
      </c>
      <c r="AJ1368" s="119">
        <v>28.90382557403079</v>
      </c>
      <c r="AK1368" s="119">
        <v>28.905684253413973</v>
      </c>
      <c r="AL1368" s="119">
        <v>28.907509798491098</v>
      </c>
      <c r="AM1368" s="119">
        <v>28.909302731949865</v>
      </c>
      <c r="AN1368" s="119">
        <v>28.911063570787302</v>
      </c>
      <c r="AO1368" s="119">
        <v>28.912792826270262</v>
      </c>
      <c r="AP1368" s="119">
        <v>28.914491003901098</v>
      </c>
      <c r="AQ1368" s="119">
        <v>28.916158603388315</v>
      </c>
      <c r="AR1368" s="119">
        <v>28.917796118622</v>
      </c>
      <c r="AS1368" s="119">
        <v>28.919404037653869</v>
      </c>
      <c r="AT1368" s="119">
        <v>28.920982842681688</v>
      </c>
      <c r="AU1368" s="119">
        <v>28.922533010037938</v>
      </c>
      <c r="AV1368" s="119">
        <v>28.924055010182556</v>
      </c>
      <c r="AW1368" s="119">
        <v>28.925549307699523</v>
      </c>
      <c r="AX1368" s="120">
        <v>28.92701636129717</v>
      </c>
    </row>
    <row r="1369" spans="1:50" x14ac:dyDescent="0.25">
      <c r="A1369" s="356"/>
      <c r="B1369" s="359"/>
      <c r="C1369" s="350"/>
      <c r="D1369" s="2" t="s">
        <v>10</v>
      </c>
      <c r="E1369" s="160" t="str">
        <f>A1363&amp;"/"&amp;B1363&amp;"/"&amp;C1367&amp;"/"&amp;D1369</f>
        <v>Derived gas fired power plants/Steam turbine/CHP/S</v>
      </c>
      <c r="F1369" s="76" t="str">
        <f>A1363</f>
        <v>Derived gas fired power plants</v>
      </c>
      <c r="G1369" s="76" t="str">
        <f>B1363</f>
        <v>Steam turbine</v>
      </c>
      <c r="H1369" s="76" t="str">
        <f>C1367</f>
        <v>CHP</v>
      </c>
      <c r="I1369" s="161" t="str">
        <f t="shared" si="99"/>
        <v>S</v>
      </c>
      <c r="J1369" s="119">
        <v>35.5941804108108</v>
      </c>
      <c r="K1369" s="119">
        <v>35.596456130970992</v>
      </c>
      <c r="L1369" s="119">
        <v>35.598692359120115</v>
      </c>
      <c r="M1369" s="119">
        <v>35.600889678610592</v>
      </c>
      <c r="N1369" s="119">
        <v>35.603048667971848</v>
      </c>
      <c r="O1369" s="119">
        <v>35.605169900797286</v>
      </c>
      <c r="P1369" s="119">
        <v>35.607253945638924</v>
      </c>
      <c r="Q1369" s="119">
        <v>35.609301365909452</v>
      </c>
      <c r="R1369" s="119">
        <v>35.611312719791442</v>
      </c>
      <c r="S1369" s="119">
        <v>35.613288560153563</v>
      </c>
      <c r="T1369" s="119">
        <v>35.61522943447347</v>
      </c>
      <c r="U1369" s="119">
        <v>35.617135884767215</v>
      </c>
      <c r="V1369" s="119">
        <v>35.619008447524983</v>
      </c>
      <c r="W1369" s="119">
        <v>35.620847653652817</v>
      </c>
      <c r="X1369" s="119">
        <v>35.622654028420271</v>
      </c>
      <c r="Y1369" s="119">
        <v>35.624428091413677</v>
      </c>
      <c r="Z1369" s="119">
        <v>35.626170356494875</v>
      </c>
      <c r="AA1369" s="119">
        <v>35.627881331765138</v>
      </c>
      <c r="AB1369" s="119">
        <v>35.629561519534207</v>
      </c>
      <c r="AC1369" s="119">
        <v>35.631211416294107</v>
      </c>
      <c r="AD1369" s="119">
        <v>35.63283151269767</v>
      </c>
      <c r="AE1369" s="119">
        <v>35.634422293541476</v>
      </c>
      <c r="AF1369" s="119">
        <v>35.635984237753178</v>
      </c>
      <c r="AG1369" s="119">
        <v>35.637517818382825</v>
      </c>
      <c r="AH1369" s="119">
        <v>35.639023502598242</v>
      </c>
      <c r="AI1369" s="119">
        <v>35.640501751684049</v>
      </c>
      <c r="AJ1369" s="119">
        <v>35.641953021044408</v>
      </c>
      <c r="AK1369" s="119">
        <v>35.643377760209177</v>
      </c>
      <c r="AL1369" s="119">
        <v>35.644776412843285</v>
      </c>
      <c r="AM1369" s="119">
        <v>35.646149416759378</v>
      </c>
      <c r="AN1369" s="119">
        <v>35.647497203933312</v>
      </c>
      <c r="AO1369" s="119">
        <v>35.648820200522586</v>
      </c>
      <c r="AP1369" s="119">
        <v>35.65011882688745</v>
      </c>
      <c r="AQ1369" s="119">
        <v>35.651393497614585</v>
      </c>
      <c r="AR1369" s="119">
        <v>35.652644621543203</v>
      </c>
      <c r="AS1369" s="119">
        <v>35.653872601793509</v>
      </c>
      <c r="AT1369" s="119">
        <v>35.655077835797272</v>
      </c>
      <c r="AU1369" s="119">
        <v>35.656260715330525</v>
      </c>
      <c r="AV1369" s="119">
        <v>35.657421626548199</v>
      </c>
      <c r="AW1369" s="119">
        <v>35.658560950020579</v>
      </c>
      <c r="AX1369" s="120">
        <v>35.659679060771523</v>
      </c>
    </row>
    <row r="1370" spans="1:50" x14ac:dyDescent="0.25">
      <c r="A1370" s="356"/>
      <c r="B1370" s="359"/>
      <c r="C1370" s="360"/>
      <c r="D1370" s="59" t="s">
        <v>20</v>
      </c>
      <c r="E1370" s="166" t="str">
        <f>A1363&amp;"/"&amp;B1363&amp;"/"&amp;C1367&amp;"/"&amp;D1370</f>
        <v>Derived gas fired power plants/Steam turbine/CHP/XS</v>
      </c>
      <c r="F1370" s="79" t="str">
        <f>A1363</f>
        <v>Derived gas fired power plants</v>
      </c>
      <c r="G1370" s="79" t="str">
        <f>B1363</f>
        <v>Steam turbine</v>
      </c>
      <c r="H1370" s="79" t="str">
        <f>C1367</f>
        <v>CHP</v>
      </c>
      <c r="I1370" s="167" t="str">
        <f t="shared" si="99"/>
        <v>XS</v>
      </c>
      <c r="J1370" s="125">
        <v>40.058378378378372</v>
      </c>
      <c r="K1370" s="125">
        <v>40.059758954047822</v>
      </c>
      <c r="L1370" s="125">
        <v>40.061114480111655</v>
      </c>
      <c r="M1370" s="125">
        <v>40.062445368390485</v>
      </c>
      <c r="N1370" s="125">
        <v>40.063752025548226</v>
      </c>
      <c r="O1370" s="125">
        <v>40.065034853093103</v>
      </c>
      <c r="P1370" s="125">
        <v>40.066294247381684</v>
      </c>
      <c r="Q1370" s="125">
        <v>40.067530599625897</v>
      </c>
      <c r="R1370" s="125">
        <v>40.068744295902796</v>
      </c>
      <c r="S1370" s="125">
        <v>40.069935717167084</v>
      </c>
      <c r="T1370" s="125">
        <v>40.07110523926616</v>
      </c>
      <c r="U1370" s="125">
        <v>40.072253232957493</v>
      </c>
      <c r="V1370" s="125">
        <v>40.073380063928475</v>
      </c>
      <c r="W1370" s="125">
        <v>40.074486092818312</v>
      </c>
      <c r="X1370" s="125">
        <v>40.075571675242038</v>
      </c>
      <c r="Y1370" s="125">
        <v>40.076637161816528</v>
      </c>
      <c r="Z1370" s="125">
        <v>40.077682898188328</v>
      </c>
      <c r="AA1370" s="125">
        <v>40.078709225063221</v>
      </c>
      <c r="AB1370" s="125">
        <v>40.079716478237522</v>
      </c>
      <c r="AC1370" s="125">
        <v>40.080704988630842</v>
      </c>
      <c r="AD1370" s="125">
        <v>40.081675082320366</v>
      </c>
      <c r="AE1370" s="125">
        <v>40.082627080576529</v>
      </c>
      <c r="AF1370" s="125">
        <v>40.083561299899891</v>
      </c>
      <c r="AG1370" s="125">
        <v>40.084478052059318</v>
      </c>
      <c r="AH1370" s="125">
        <v>40.085377644131214</v>
      </c>
      <c r="AI1370" s="125">
        <v>40.086260378539805</v>
      </c>
      <c r="AJ1370" s="125">
        <v>40.087126553098436</v>
      </c>
      <c r="AK1370" s="125">
        <v>40.087976461051738</v>
      </c>
      <c r="AL1370" s="125">
        <v>40.088810391118564</v>
      </c>
      <c r="AM1370" s="125">
        <v>40.089628627535788</v>
      </c>
      <c r="AN1370" s="125">
        <v>40.090431450102706</v>
      </c>
      <c r="AO1370" s="125">
        <v>40.091219134226137</v>
      </c>
      <c r="AP1370" s="125">
        <v>40.091991950966055</v>
      </c>
      <c r="AQ1370" s="125">
        <v>40.092750167081739</v>
      </c>
      <c r="AR1370" s="125">
        <v>40.093494045078408</v>
      </c>
      <c r="AS1370" s="125">
        <v>40.094223843254213</v>
      </c>
      <c r="AT1370" s="125">
        <v>40.094939815747665</v>
      </c>
      <c r="AU1370" s="125">
        <v>40.09564221258529</v>
      </c>
      <c r="AV1370" s="125">
        <v>40.09633127972959</v>
      </c>
      <c r="AW1370" s="125">
        <v>40.097007259127224</v>
      </c>
      <c r="AX1370" s="126">
        <v>40.097670388757336</v>
      </c>
    </row>
    <row r="1371" spans="1:50" x14ac:dyDescent="0.25">
      <c r="A1371" s="356"/>
      <c r="B1371" s="359"/>
      <c r="C1371" s="361" t="s">
        <v>15</v>
      </c>
      <c r="D1371" s="58" t="s">
        <v>7</v>
      </c>
      <c r="E1371" s="164" t="str">
        <f>A1363&amp;"/"&amp;B1363&amp;"/"&amp;C1371&amp;"/"&amp;D1371</f>
        <v>Derived gas fired power plants/Steam turbine/Electricity only with CCS/L</v>
      </c>
      <c r="F1371" s="78" t="str">
        <f>A1363</f>
        <v>Derived gas fired power plants</v>
      </c>
      <c r="G1371" s="78" t="str">
        <f>B1363</f>
        <v>Steam turbine</v>
      </c>
      <c r="H1371" s="78" t="str">
        <f>C1371</f>
        <v>Electricity only with CCS</v>
      </c>
      <c r="I1371" s="165" t="str">
        <f t="shared" si="99"/>
        <v>L</v>
      </c>
      <c r="J1371" s="123" t="s">
        <v>112</v>
      </c>
      <c r="K1371" s="123" t="s">
        <v>112</v>
      </c>
      <c r="L1371" s="123" t="s">
        <v>112</v>
      </c>
      <c r="M1371" s="123" t="s">
        <v>112</v>
      </c>
      <c r="N1371" s="123" t="s">
        <v>112</v>
      </c>
      <c r="O1371" s="123" t="s">
        <v>112</v>
      </c>
      <c r="P1371" s="123" t="s">
        <v>112</v>
      </c>
      <c r="Q1371" s="123" t="s">
        <v>112</v>
      </c>
      <c r="R1371" s="123" t="s">
        <v>112</v>
      </c>
      <c r="S1371" s="123" t="s">
        <v>112</v>
      </c>
      <c r="T1371" s="123" t="s">
        <v>112</v>
      </c>
      <c r="U1371" s="123" t="s">
        <v>112</v>
      </c>
      <c r="V1371" s="123" t="s">
        <v>112</v>
      </c>
      <c r="W1371" s="123" t="s">
        <v>112</v>
      </c>
      <c r="X1371" s="123" t="s">
        <v>112</v>
      </c>
      <c r="Y1371" s="123" t="s">
        <v>112</v>
      </c>
      <c r="Z1371" s="123" t="s">
        <v>112</v>
      </c>
      <c r="AA1371" s="123" t="s">
        <v>112</v>
      </c>
      <c r="AB1371" s="123" t="s">
        <v>112</v>
      </c>
      <c r="AC1371" s="123" t="s">
        <v>112</v>
      </c>
      <c r="AD1371" s="123" t="s">
        <v>112</v>
      </c>
      <c r="AE1371" s="123">
        <v>46.256756756756758</v>
      </c>
      <c r="AF1371" s="123">
        <v>46.256756756756758</v>
      </c>
      <c r="AG1371" s="123">
        <v>46.256756756756758</v>
      </c>
      <c r="AH1371" s="123">
        <v>46.256756756756758</v>
      </c>
      <c r="AI1371" s="123">
        <v>46.256756756756758</v>
      </c>
      <c r="AJ1371" s="123">
        <v>46.256756756756758</v>
      </c>
      <c r="AK1371" s="123">
        <v>46.256756756756758</v>
      </c>
      <c r="AL1371" s="123">
        <v>46.256756756756758</v>
      </c>
      <c r="AM1371" s="123">
        <v>46.256756756756758</v>
      </c>
      <c r="AN1371" s="123">
        <v>46.256756756756758</v>
      </c>
      <c r="AO1371" s="123">
        <v>46.256756756756758</v>
      </c>
      <c r="AP1371" s="123">
        <v>46.256756756756758</v>
      </c>
      <c r="AQ1371" s="123">
        <v>46.256756756756758</v>
      </c>
      <c r="AR1371" s="123">
        <v>46.256756756756758</v>
      </c>
      <c r="AS1371" s="123">
        <v>46.256756756756758</v>
      </c>
      <c r="AT1371" s="123">
        <v>46.256756756756758</v>
      </c>
      <c r="AU1371" s="123">
        <v>46.256756756756758</v>
      </c>
      <c r="AV1371" s="123">
        <v>46.256756756756758</v>
      </c>
      <c r="AW1371" s="123">
        <v>46.256756756756758</v>
      </c>
      <c r="AX1371" s="124">
        <v>46.256756756756758</v>
      </c>
    </row>
    <row r="1372" spans="1:50" x14ac:dyDescent="0.25">
      <c r="A1372" s="356"/>
      <c r="B1372" s="359"/>
      <c r="C1372" s="360"/>
      <c r="D1372" s="59" t="s">
        <v>8</v>
      </c>
      <c r="E1372" s="166" t="str">
        <f>A1363&amp;"/"&amp;B1363&amp;"/"&amp;C1371&amp;"/"&amp;D1372</f>
        <v>Derived gas fired power plants/Steam turbine/Electricity only with CCS/M</v>
      </c>
      <c r="F1372" s="79" t="str">
        <f>A1363</f>
        <v>Derived gas fired power plants</v>
      </c>
      <c r="G1372" s="79" t="str">
        <f>B1363</f>
        <v>Steam turbine</v>
      </c>
      <c r="H1372" s="79" t="str">
        <f>C1371</f>
        <v>Electricity only with CCS</v>
      </c>
      <c r="I1372" s="167" t="str">
        <f t="shared" si="99"/>
        <v>M</v>
      </c>
      <c r="J1372" s="125" t="s">
        <v>112</v>
      </c>
      <c r="K1372" s="125" t="s">
        <v>112</v>
      </c>
      <c r="L1372" s="125" t="s">
        <v>112</v>
      </c>
      <c r="M1372" s="125" t="s">
        <v>112</v>
      </c>
      <c r="N1372" s="125" t="s">
        <v>112</v>
      </c>
      <c r="O1372" s="125" t="s">
        <v>112</v>
      </c>
      <c r="P1372" s="125" t="s">
        <v>112</v>
      </c>
      <c r="Q1372" s="125" t="s">
        <v>112</v>
      </c>
      <c r="R1372" s="125" t="s">
        <v>112</v>
      </c>
      <c r="S1372" s="125" t="s">
        <v>112</v>
      </c>
      <c r="T1372" s="125" t="s">
        <v>112</v>
      </c>
      <c r="U1372" s="125" t="s">
        <v>112</v>
      </c>
      <c r="V1372" s="125" t="s">
        <v>112</v>
      </c>
      <c r="W1372" s="125" t="s">
        <v>112</v>
      </c>
      <c r="X1372" s="125" t="s">
        <v>112</v>
      </c>
      <c r="Y1372" s="125" t="s">
        <v>112</v>
      </c>
      <c r="Z1372" s="125" t="s">
        <v>112</v>
      </c>
      <c r="AA1372" s="125" t="s">
        <v>112</v>
      </c>
      <c r="AB1372" s="125" t="s">
        <v>112</v>
      </c>
      <c r="AC1372" s="125" t="s">
        <v>112</v>
      </c>
      <c r="AD1372" s="125" t="s">
        <v>112</v>
      </c>
      <c r="AE1372" s="125">
        <v>58.882297297297299</v>
      </c>
      <c r="AF1372" s="125">
        <v>58.882297297297299</v>
      </c>
      <c r="AG1372" s="125">
        <v>58.882297297297299</v>
      </c>
      <c r="AH1372" s="125">
        <v>58.882297297297299</v>
      </c>
      <c r="AI1372" s="125">
        <v>58.882297297297299</v>
      </c>
      <c r="AJ1372" s="125">
        <v>58.882297297297299</v>
      </c>
      <c r="AK1372" s="125">
        <v>58.882297297297299</v>
      </c>
      <c r="AL1372" s="125">
        <v>58.882297297297299</v>
      </c>
      <c r="AM1372" s="125">
        <v>58.882297297297299</v>
      </c>
      <c r="AN1372" s="125">
        <v>58.882297297297299</v>
      </c>
      <c r="AO1372" s="125">
        <v>58.882297297297299</v>
      </c>
      <c r="AP1372" s="125">
        <v>58.882297297297299</v>
      </c>
      <c r="AQ1372" s="125">
        <v>58.882297297297299</v>
      </c>
      <c r="AR1372" s="125">
        <v>58.882297297297299</v>
      </c>
      <c r="AS1372" s="125">
        <v>58.882297297297299</v>
      </c>
      <c r="AT1372" s="125">
        <v>58.882297297297299</v>
      </c>
      <c r="AU1372" s="125">
        <v>58.882297297297299</v>
      </c>
      <c r="AV1372" s="125">
        <v>58.882297297297299</v>
      </c>
      <c r="AW1372" s="125">
        <v>58.882297297297299</v>
      </c>
      <c r="AX1372" s="126">
        <v>58.882297297297299</v>
      </c>
    </row>
    <row r="1373" spans="1:50" x14ac:dyDescent="0.25">
      <c r="A1373" s="356"/>
      <c r="B1373" s="359"/>
      <c r="C1373" s="361" t="s">
        <v>16</v>
      </c>
      <c r="D1373" s="2" t="s">
        <v>7</v>
      </c>
      <c r="E1373" s="160" t="str">
        <f>A1363&amp;"/"&amp;B1363&amp;"/"&amp;C1373&amp;"/"&amp;D1373</f>
        <v>Derived gas fired power plants/Steam turbine/CHP with CCS/L</v>
      </c>
      <c r="F1373" s="76" t="str">
        <f>A1363</f>
        <v>Derived gas fired power plants</v>
      </c>
      <c r="G1373" s="76" t="str">
        <f>B1363</f>
        <v>Steam turbine</v>
      </c>
      <c r="H1373" s="76" t="str">
        <f>C1373</f>
        <v>CHP with CCS</v>
      </c>
      <c r="I1373" s="161" t="str">
        <f t="shared" si="99"/>
        <v>L</v>
      </c>
      <c r="J1373" s="119" t="s">
        <v>112</v>
      </c>
      <c r="K1373" s="119" t="s">
        <v>112</v>
      </c>
      <c r="L1373" s="119" t="s">
        <v>112</v>
      </c>
      <c r="M1373" s="119" t="s">
        <v>112</v>
      </c>
      <c r="N1373" s="119" t="s">
        <v>112</v>
      </c>
      <c r="O1373" s="119" t="s">
        <v>112</v>
      </c>
      <c r="P1373" s="119" t="s">
        <v>112</v>
      </c>
      <c r="Q1373" s="119" t="s">
        <v>112</v>
      </c>
      <c r="R1373" s="119" t="s">
        <v>112</v>
      </c>
      <c r="S1373" s="119" t="s">
        <v>112</v>
      </c>
      <c r="T1373" s="119" t="s">
        <v>112</v>
      </c>
      <c r="U1373" s="119" t="s">
        <v>112</v>
      </c>
      <c r="V1373" s="119" t="s">
        <v>112</v>
      </c>
      <c r="W1373" s="119" t="s">
        <v>112</v>
      </c>
      <c r="X1373" s="119" t="s">
        <v>112</v>
      </c>
      <c r="Y1373" s="119" t="s">
        <v>112</v>
      </c>
      <c r="Z1373" s="119" t="s">
        <v>112</v>
      </c>
      <c r="AA1373" s="119" t="s">
        <v>112</v>
      </c>
      <c r="AB1373" s="119" t="s">
        <v>112</v>
      </c>
      <c r="AC1373" s="119" t="s">
        <v>112</v>
      </c>
      <c r="AD1373" s="119" t="s">
        <v>112</v>
      </c>
      <c r="AE1373" s="119">
        <v>55.769756756756763</v>
      </c>
      <c r="AF1373" s="119">
        <v>55.769756756756763</v>
      </c>
      <c r="AG1373" s="119">
        <v>55.769756756756763</v>
      </c>
      <c r="AH1373" s="119">
        <v>55.769756756756763</v>
      </c>
      <c r="AI1373" s="119">
        <v>55.769756756756763</v>
      </c>
      <c r="AJ1373" s="119">
        <v>55.769756756756763</v>
      </c>
      <c r="AK1373" s="119">
        <v>55.769756756756763</v>
      </c>
      <c r="AL1373" s="119">
        <v>55.769756756756763</v>
      </c>
      <c r="AM1373" s="119">
        <v>55.769756756756763</v>
      </c>
      <c r="AN1373" s="119">
        <v>55.769756756756763</v>
      </c>
      <c r="AO1373" s="119">
        <v>55.769756756756763</v>
      </c>
      <c r="AP1373" s="119">
        <v>55.769756756756763</v>
      </c>
      <c r="AQ1373" s="119">
        <v>55.769756756756763</v>
      </c>
      <c r="AR1373" s="119">
        <v>55.769756756756763</v>
      </c>
      <c r="AS1373" s="119">
        <v>55.769756756756763</v>
      </c>
      <c r="AT1373" s="119">
        <v>55.769756756756763</v>
      </c>
      <c r="AU1373" s="119">
        <v>55.769756756756763</v>
      </c>
      <c r="AV1373" s="119">
        <v>55.769756756756763</v>
      </c>
      <c r="AW1373" s="119">
        <v>55.769756756756763</v>
      </c>
      <c r="AX1373" s="120">
        <v>55.769756756756763</v>
      </c>
    </row>
    <row r="1374" spans="1:50" x14ac:dyDescent="0.25">
      <c r="A1374" s="357"/>
      <c r="B1374" s="362"/>
      <c r="C1374" s="354"/>
      <c r="D1374" s="4" t="s">
        <v>8</v>
      </c>
      <c r="E1374" s="168" t="str">
        <f>A1363&amp;"/"&amp;B1363&amp;"/"&amp;C1373&amp;"/"&amp;D1374</f>
        <v>Derived gas fired power plants/Steam turbine/CHP with CCS/M</v>
      </c>
      <c r="F1374" s="80" t="str">
        <f>A1363</f>
        <v>Derived gas fired power plants</v>
      </c>
      <c r="G1374" s="80" t="str">
        <f>B1363</f>
        <v>Steam turbine</v>
      </c>
      <c r="H1374" s="80" t="str">
        <f>C1373</f>
        <v>CHP with CCS</v>
      </c>
      <c r="I1374" s="169" t="str">
        <f t="shared" si="99"/>
        <v>M</v>
      </c>
      <c r="J1374" s="127" t="s">
        <v>112</v>
      </c>
      <c r="K1374" s="127" t="s">
        <v>112</v>
      </c>
      <c r="L1374" s="127" t="s">
        <v>112</v>
      </c>
      <c r="M1374" s="127" t="s">
        <v>112</v>
      </c>
      <c r="N1374" s="127" t="s">
        <v>112</v>
      </c>
      <c r="O1374" s="127" t="s">
        <v>112</v>
      </c>
      <c r="P1374" s="127" t="s">
        <v>112</v>
      </c>
      <c r="Q1374" s="127" t="s">
        <v>112</v>
      </c>
      <c r="R1374" s="127" t="s">
        <v>112</v>
      </c>
      <c r="S1374" s="127" t="s">
        <v>112</v>
      </c>
      <c r="T1374" s="127" t="s">
        <v>112</v>
      </c>
      <c r="U1374" s="127" t="s">
        <v>112</v>
      </c>
      <c r="V1374" s="127" t="s">
        <v>112</v>
      </c>
      <c r="W1374" s="127" t="s">
        <v>112</v>
      </c>
      <c r="X1374" s="127" t="s">
        <v>112</v>
      </c>
      <c r="Y1374" s="127" t="s">
        <v>112</v>
      </c>
      <c r="Z1374" s="127" t="s">
        <v>112</v>
      </c>
      <c r="AA1374" s="127" t="s">
        <v>112</v>
      </c>
      <c r="AB1374" s="127" t="s">
        <v>112</v>
      </c>
      <c r="AC1374" s="127" t="s">
        <v>112</v>
      </c>
      <c r="AD1374" s="127" t="s">
        <v>112</v>
      </c>
      <c r="AE1374" s="127">
        <v>68.016531081081084</v>
      </c>
      <c r="AF1374" s="127">
        <v>68.016531081081084</v>
      </c>
      <c r="AG1374" s="127">
        <v>68.016531081081084</v>
      </c>
      <c r="AH1374" s="127">
        <v>68.016531081081084</v>
      </c>
      <c r="AI1374" s="127">
        <v>68.016531081081084</v>
      </c>
      <c r="AJ1374" s="127">
        <v>68.016531081081084</v>
      </c>
      <c r="AK1374" s="127">
        <v>68.016531081081084</v>
      </c>
      <c r="AL1374" s="127">
        <v>68.016531081081084</v>
      </c>
      <c r="AM1374" s="127">
        <v>68.016531081081084</v>
      </c>
      <c r="AN1374" s="127">
        <v>68.016531081081084</v>
      </c>
      <c r="AO1374" s="127">
        <v>68.016531081081084</v>
      </c>
      <c r="AP1374" s="127">
        <v>68.016531081081084</v>
      </c>
      <c r="AQ1374" s="127">
        <v>68.016531081081084</v>
      </c>
      <c r="AR1374" s="127">
        <v>68.016531081081084</v>
      </c>
      <c r="AS1374" s="127">
        <v>68.016531081081084</v>
      </c>
      <c r="AT1374" s="127">
        <v>68.016531081081084</v>
      </c>
      <c r="AU1374" s="127">
        <v>68.016531081081084</v>
      </c>
      <c r="AV1374" s="127">
        <v>68.016531081081084</v>
      </c>
      <c r="AW1374" s="127">
        <v>68.016531081081084</v>
      </c>
      <c r="AX1374" s="128">
        <v>68.016531081081084</v>
      </c>
    </row>
    <row r="1375" spans="1:50" x14ac:dyDescent="0.25">
      <c r="A1375" s="356" t="s">
        <v>27</v>
      </c>
      <c r="B1375" s="365" t="s">
        <v>19</v>
      </c>
      <c r="C1375" s="353" t="s">
        <v>6</v>
      </c>
      <c r="D1375" s="2" t="s">
        <v>7</v>
      </c>
      <c r="E1375" s="162" t="str">
        <f>A1375&amp;"/"&amp;B1375&amp;"/"&amp;C1375&amp;"/"&amp;D1375</f>
        <v>Refinery gas fired power plants/Steam turbine/Electricity only/L</v>
      </c>
      <c r="F1375" s="77" t="str">
        <f>A1375</f>
        <v>Refinery gas fired power plants</v>
      </c>
      <c r="G1375" s="77" t="str">
        <f>B1375</f>
        <v>Steam turbine</v>
      </c>
      <c r="H1375" s="77" t="str">
        <f>C1375</f>
        <v>Electricity only</v>
      </c>
      <c r="I1375" s="163" t="str">
        <f t="shared" ref="I1375:I1438" si="100">D1375</f>
        <v>L</v>
      </c>
      <c r="J1375" s="121">
        <v>15.493421052631579</v>
      </c>
      <c r="K1375" s="121">
        <v>15.498928561617992</v>
      </c>
      <c r="L1375" s="121">
        <v>15.504319112785437</v>
      </c>
      <c r="M1375" s="121">
        <v>15.509594038871727</v>
      </c>
      <c r="N1375" s="121">
        <v>15.51475471831778</v>
      </c>
      <c r="O1375" s="121">
        <v>15.519802571501231</v>
      </c>
      <c r="P1375" s="121">
        <v>15.524739057074223</v>
      </c>
      <c r="Q1375" s="121">
        <v>15.529565668409456</v>
      </c>
      <c r="R1375" s="121">
        <v>15.534283930157864</v>
      </c>
      <c r="S1375" s="121">
        <v>15.538895394920786</v>
      </c>
      <c r="T1375" s="121">
        <v>15.543401640038734</v>
      </c>
      <c r="U1375" s="121">
        <v>15.547804264498495</v>
      </c>
      <c r="V1375" s="121">
        <v>15.55210488595956</v>
      </c>
      <c r="W1375" s="121">
        <v>15.556305137900592</v>
      </c>
      <c r="X1375" s="121">
        <v>15.560406666886028</v>
      </c>
      <c r="Y1375" s="121">
        <v>15.564411129952594</v>
      </c>
      <c r="Z1375" s="121">
        <v>15.568320192115056</v>
      </c>
      <c r="AA1375" s="121">
        <v>15.572135523990205</v>
      </c>
      <c r="AB1375" s="121">
        <v>15.575858799537752</v>
      </c>
      <c r="AC1375" s="121">
        <v>15.579491693916522</v>
      </c>
      <c r="AD1375" s="121">
        <v>15.58303588145403</v>
      </c>
      <c r="AE1375" s="121">
        <v>15.586493033727352</v>
      </c>
      <c r="AF1375" s="121">
        <v>15.589864817752936</v>
      </c>
      <c r="AG1375" s="121">
        <v>15.593152894282881</v>
      </c>
      <c r="AH1375" s="121">
        <v>15.596358916204993</v>
      </c>
      <c r="AI1375" s="121">
        <v>15.599484527043812</v>
      </c>
      <c r="AJ1375" s="121">
        <v>15.602531359559746</v>
      </c>
      <c r="AK1375" s="121">
        <v>15.605501034443263</v>
      </c>
      <c r="AL1375" s="121">
        <v>15.608395159101097</v>
      </c>
      <c r="AM1375" s="121">
        <v>15.611215326531346</v>
      </c>
      <c r="AN1375" s="121">
        <v>15.613963114284253</v>
      </c>
      <c r="AO1375" s="121">
        <v>15.616640083505571</v>
      </c>
      <c r="AP1375" s="121">
        <v>15.619247778059203</v>
      </c>
      <c r="AQ1375" s="121">
        <v>15.621787723726033</v>
      </c>
      <c r="AR1375" s="121">
        <v>15.624261427475675</v>
      </c>
      <c r="AS1375" s="121">
        <v>15.626670376808065</v>
      </c>
      <c r="AT1375" s="121">
        <v>15.629016039161717</v>
      </c>
      <c r="AU1375" s="121">
        <v>15.631299861385633</v>
      </c>
      <c r="AV1375" s="121">
        <v>15.633523269271738</v>
      </c>
      <c r="AW1375" s="121">
        <v>15.63568766714501</v>
      </c>
      <c r="AX1375" s="122">
        <v>15.637794437508271</v>
      </c>
    </row>
    <row r="1376" spans="1:50" x14ac:dyDescent="0.25">
      <c r="A1376" s="356"/>
      <c r="B1376" s="366"/>
      <c r="C1376" s="350"/>
      <c r="D1376" s="2" t="s">
        <v>8</v>
      </c>
      <c r="E1376" s="160" t="str">
        <f>A1375&amp;"/"&amp;B1375&amp;"/"&amp;C1375&amp;"/"&amp;D1376</f>
        <v>Refinery gas fired power plants/Steam turbine/Electricity only/M</v>
      </c>
      <c r="F1376" s="76" t="str">
        <f>A1375</f>
        <v>Refinery gas fired power plants</v>
      </c>
      <c r="G1376" s="76" t="str">
        <f>B1375</f>
        <v>Steam turbine</v>
      </c>
      <c r="H1376" s="76" t="str">
        <f>C1375</f>
        <v>Electricity only</v>
      </c>
      <c r="I1376" s="161" t="str">
        <f t="shared" si="100"/>
        <v>M</v>
      </c>
      <c r="J1376" s="119">
        <v>16.732894736842105</v>
      </c>
      <c r="K1376" s="119">
        <v>16.738099332834267</v>
      </c>
      <c r="L1376" s="119">
        <v>16.743193403687503</v>
      </c>
      <c r="M1376" s="119">
        <v>16.748178208839043</v>
      </c>
      <c r="N1376" s="119">
        <v>16.753055050915567</v>
      </c>
      <c r="O1376" s="119">
        <v>16.757825272173925</v>
      </c>
      <c r="P1376" s="119">
        <v>16.762490251040404</v>
      </c>
      <c r="Q1376" s="119">
        <v>16.767051398752198</v>
      </c>
      <c r="R1376" s="119">
        <v>16.771510156104444</v>
      </c>
      <c r="S1376" s="119">
        <v>16.775867990305404</v>
      </c>
      <c r="T1376" s="119">
        <v>16.780126391941867</v>
      </c>
      <c r="U1376" s="119">
        <v>16.784286872056342</v>
      </c>
      <c r="V1376" s="119">
        <v>16.788350959337048</v>
      </c>
      <c r="W1376" s="119">
        <v>16.792320197421322</v>
      </c>
      <c r="X1376" s="119">
        <v>16.79619614231256</v>
      </c>
      <c r="Y1376" s="119">
        <v>16.799980359910464</v>
      </c>
      <c r="Z1376" s="119">
        <v>16.803674423653991</v>
      </c>
      <c r="AA1376" s="119">
        <v>16.807279912276005</v>
      </c>
      <c r="AB1376" s="119">
        <v>16.810798407668436</v>
      </c>
      <c r="AC1376" s="119">
        <v>16.814231492856376</v>
      </c>
      <c r="AD1376" s="119">
        <v>16.817580750079323</v>
      </c>
      <c r="AE1376" s="119">
        <v>16.82084775897761</v>
      </c>
      <c r="AF1376" s="119">
        <v>16.824034094881785</v>
      </c>
      <c r="AG1376" s="119">
        <v>16.827141327202586</v>
      </c>
      <c r="AH1376" s="119">
        <v>16.830171017918982</v>
      </c>
      <c r="AI1376" s="119">
        <v>16.833124720161667</v>
      </c>
      <c r="AJ1376" s="119">
        <v>16.836003976889224</v>
      </c>
      <c r="AK1376" s="119">
        <v>16.838810319654147</v>
      </c>
      <c r="AL1376" s="119">
        <v>16.8415452674558</v>
      </c>
      <c r="AM1376" s="119">
        <v>16.844210325677384</v>
      </c>
      <c r="AN1376" s="119">
        <v>16.846806985103882</v>
      </c>
      <c r="AO1376" s="119">
        <v>16.849336721018027</v>
      </c>
      <c r="AP1376" s="119">
        <v>16.85180099237121</v>
      </c>
      <c r="AQ1376" s="119">
        <v>16.854201241026363</v>
      </c>
      <c r="AR1376" s="119">
        <v>16.856538891069775</v>
      </c>
      <c r="AS1376" s="119">
        <v>16.858815348188884</v>
      </c>
      <c r="AT1376" s="119">
        <v>16.861031999113088</v>
      </c>
      <c r="AU1376" s="119">
        <v>16.863190211114684</v>
      </c>
      <c r="AV1376" s="119">
        <v>16.865291331567057</v>
      </c>
      <c r="AW1376" s="119">
        <v>16.867336687557298</v>
      </c>
      <c r="AX1376" s="120">
        <v>16.869327585550579</v>
      </c>
    </row>
    <row r="1377" spans="1:50" x14ac:dyDescent="0.25">
      <c r="A1377" s="356"/>
      <c r="B1377" s="366"/>
      <c r="C1377" s="360"/>
      <c r="D1377" s="2" t="s">
        <v>10</v>
      </c>
      <c r="E1377" s="160" t="str">
        <f>A1375&amp;"/"&amp;B1375&amp;"/"&amp;C1375&amp;"/"&amp;D1377</f>
        <v>Refinery gas fired power plants/Steam turbine/Electricity only/S</v>
      </c>
      <c r="F1377" s="76" t="str">
        <f>A1375</f>
        <v>Refinery gas fired power plants</v>
      </c>
      <c r="G1377" s="76" t="str">
        <f>B1375</f>
        <v>Steam turbine</v>
      </c>
      <c r="H1377" s="76" t="str">
        <f>C1375</f>
        <v>Electricity only</v>
      </c>
      <c r="I1377" s="161" t="str">
        <f t="shared" si="100"/>
        <v>S</v>
      </c>
      <c r="J1377" s="119">
        <v>18.40618421052632</v>
      </c>
      <c r="K1377" s="119">
        <v>18.411091401033215</v>
      </c>
      <c r="L1377" s="119">
        <v>18.415894382123408</v>
      </c>
      <c r="M1377" s="119">
        <v>18.420594341266291</v>
      </c>
      <c r="N1377" s="119">
        <v>18.425192506652728</v>
      </c>
      <c r="O1377" s="119">
        <v>18.429690143839181</v>
      </c>
      <c r="P1377" s="119">
        <v>18.434088552484717</v>
      </c>
      <c r="Q1377" s="119">
        <v>18.43838906318441</v>
      </c>
      <c r="R1377" s="119">
        <v>18.442593034402243</v>
      </c>
      <c r="S1377" s="119">
        <v>18.446701849506002</v>
      </c>
      <c r="T1377" s="119">
        <v>18.450716913906096</v>
      </c>
      <c r="U1377" s="119">
        <v>18.454639652299743</v>
      </c>
      <c r="V1377" s="119">
        <v>18.458471506021553</v>
      </c>
      <c r="W1377" s="119">
        <v>18.462213930501012</v>
      </c>
      <c r="X1377" s="119">
        <v>18.465868392827034</v>
      </c>
      <c r="Y1377" s="119">
        <v>18.469436369419348</v>
      </c>
      <c r="Z1377" s="119">
        <v>18.472919343806101</v>
      </c>
      <c r="AA1377" s="119">
        <v>18.476318804506857</v>
      </c>
      <c r="AB1377" s="119">
        <v>18.479636243019719</v>
      </c>
      <c r="AC1377" s="119">
        <v>18.482873151911207</v>
      </c>
      <c r="AD1377" s="119">
        <v>18.486031023007126</v>
      </c>
      <c r="AE1377" s="119">
        <v>18.489111345682655</v>
      </c>
      <c r="AF1377" s="119">
        <v>18.492115605249449</v>
      </c>
      <c r="AG1377" s="119">
        <v>18.495045281437633</v>
      </c>
      <c r="AH1377" s="119">
        <v>18.497901846970233</v>
      </c>
      <c r="AI1377" s="119">
        <v>18.50068676622762</v>
      </c>
      <c r="AJ1377" s="119">
        <v>18.50340149399932</v>
      </c>
      <c r="AK1377" s="119">
        <v>18.506047474320528</v>
      </c>
      <c r="AL1377" s="119">
        <v>18.508626139390664</v>
      </c>
      <c r="AM1377" s="119">
        <v>18.511138908571013</v>
      </c>
      <c r="AN1377" s="119">
        <v>18.513587187458853</v>
      </c>
      <c r="AO1377" s="119">
        <v>18.515972367035047</v>
      </c>
      <c r="AP1377" s="119">
        <v>18.518295822882333</v>
      </c>
      <c r="AQ1377" s="119">
        <v>18.520558914471479</v>
      </c>
      <c r="AR1377" s="119">
        <v>18.522762984512411</v>
      </c>
      <c r="AS1377" s="119">
        <v>18.524909358367566</v>
      </c>
      <c r="AT1377" s="119">
        <v>18.526999343524675</v>
      </c>
      <c r="AU1377" s="119">
        <v>18.529034229126182</v>
      </c>
      <c r="AV1377" s="119">
        <v>18.531015285552705</v>
      </c>
      <c r="AW1377" s="119">
        <v>18.532943764057791</v>
      </c>
      <c r="AX1377" s="120">
        <v>18.534820896451453</v>
      </c>
    </row>
    <row r="1378" spans="1:50" x14ac:dyDescent="0.25">
      <c r="A1378" s="356"/>
      <c r="B1378" s="366"/>
      <c r="C1378" s="361" t="s">
        <v>14</v>
      </c>
      <c r="D1378" s="58" t="s">
        <v>7</v>
      </c>
      <c r="E1378" s="164" t="str">
        <f>A1375&amp;"/"&amp;B1375&amp;"/"&amp;C1378&amp;"/"&amp;D1378</f>
        <v>Refinery gas fired power plants/Steam turbine/CHP/L</v>
      </c>
      <c r="F1378" s="78" t="str">
        <f>A1375</f>
        <v>Refinery gas fired power plants</v>
      </c>
      <c r="G1378" s="78" t="str">
        <f>B1375</f>
        <v>Steam turbine</v>
      </c>
      <c r="H1378" s="78" t="str">
        <f>C1378</f>
        <v>CHP</v>
      </c>
      <c r="I1378" s="165" t="str">
        <f t="shared" si="100"/>
        <v>L</v>
      </c>
      <c r="J1378" s="123">
        <v>24.505263157894738</v>
      </c>
      <c r="K1378" s="123">
        <v>24.510707523466024</v>
      </c>
      <c r="L1378" s="123">
        <v>24.516036272136002</v>
      </c>
      <c r="M1378" s="123">
        <v>24.521250721362705</v>
      </c>
      <c r="N1378" s="123">
        <v>24.52635223378326</v>
      </c>
      <c r="O1378" s="123">
        <v>24.531342213490724</v>
      </c>
      <c r="P1378" s="123">
        <v>24.536222102413838</v>
      </c>
      <c r="Q1378" s="123">
        <v>24.540993376803822</v>
      </c>
      <c r="R1378" s="123">
        <v>24.545657543831549</v>
      </c>
      <c r="S1378" s="123">
        <v>24.550216138297827</v>
      </c>
      <c r="T1378" s="123">
        <v>24.554670719459008</v>
      </c>
      <c r="U1378" s="123">
        <v>24.559022867969549</v>
      </c>
      <c r="V1378" s="123">
        <v>24.563274182942529</v>
      </c>
      <c r="W1378" s="123">
        <v>24.567426279128821</v>
      </c>
      <c r="X1378" s="123">
        <v>24.571480784215062</v>
      </c>
      <c r="Y1378" s="123">
        <v>24.575439336240098</v>
      </c>
      <c r="Z1378" s="123">
        <v>24.579303581129359</v>
      </c>
      <c r="AA1378" s="123">
        <v>24.583075170346067</v>
      </c>
      <c r="AB1378" s="123">
        <v>24.58675575865804</v>
      </c>
      <c r="AC1378" s="123">
        <v>24.590347002018454</v>
      </c>
      <c r="AD1378" s="123">
        <v>24.593850555558717</v>
      </c>
      <c r="AE1378" s="123">
        <v>24.597268071691325</v>
      </c>
      <c r="AF1378" s="123">
        <v>24.600601198320437</v>
      </c>
      <c r="AG1378" s="123">
        <v>24.60385157715768</v>
      </c>
      <c r="AH1378" s="123">
        <v>24.607020842140557</v>
      </c>
      <c r="AI1378" s="123">
        <v>24.610110617950653</v>
      </c>
      <c r="AJ1378" s="123">
        <v>24.613122518628824</v>
      </c>
      <c r="AK1378" s="123">
        <v>24.616058146284377</v>
      </c>
      <c r="AL1378" s="123">
        <v>24.618919089895179</v>
      </c>
      <c r="AM1378" s="123">
        <v>24.621706924195653</v>
      </c>
      <c r="AN1378" s="123">
        <v>24.624423208649482</v>
      </c>
      <c r="AO1378" s="123">
        <v>24.627069486503935</v>
      </c>
      <c r="AP1378" s="123">
        <v>24.629647283922555</v>
      </c>
      <c r="AQ1378" s="123">
        <v>24.632158109193202</v>
      </c>
      <c r="AR1378" s="123">
        <v>24.634603452008136</v>
      </c>
      <c r="AS1378" s="123">
        <v>24.636984782813151</v>
      </c>
      <c r="AT1378" s="123">
        <v>24.639303552222621</v>
      </c>
      <c r="AU1378" s="123">
        <v>24.64156119049747</v>
      </c>
      <c r="AV1378" s="123">
        <v>24.643759107082971</v>
      </c>
      <c r="AW1378" s="123">
        <v>24.645898690203559</v>
      </c>
      <c r="AX1378" s="124">
        <v>24.647981306511696</v>
      </c>
    </row>
    <row r="1379" spans="1:50" x14ac:dyDescent="0.25">
      <c r="A1379" s="356"/>
      <c r="B1379" s="366"/>
      <c r="C1379" s="350"/>
      <c r="D1379" s="2" t="s">
        <v>8</v>
      </c>
      <c r="E1379" s="160" t="str">
        <f>A1375&amp;"/"&amp;B1375&amp;"/"&amp;C1378&amp;"/"&amp;D1379</f>
        <v>Refinery gas fired power plants/Steam turbine/CHP/M</v>
      </c>
      <c r="F1379" s="76" t="str">
        <f>A1375</f>
        <v>Refinery gas fired power plants</v>
      </c>
      <c r="G1379" s="76" t="str">
        <f>B1375</f>
        <v>Steam turbine</v>
      </c>
      <c r="H1379" s="76" t="str">
        <f>C1378</f>
        <v>CHP</v>
      </c>
      <c r="I1379" s="161" t="str">
        <f t="shared" si="100"/>
        <v>M</v>
      </c>
      <c r="J1379" s="119">
        <v>25.707552631578949</v>
      </c>
      <c r="K1379" s="119">
        <v>25.712121815384656</v>
      </c>
      <c r="L1379" s="119">
        <v>25.716593967705936</v>
      </c>
      <c r="M1379" s="119">
        <v>25.720970194219447</v>
      </c>
      <c r="N1379" s="119">
        <v>25.725251638518397</v>
      </c>
      <c r="O1379" s="119">
        <v>25.729439478987882</v>
      </c>
      <c r="P1379" s="119">
        <v>25.733534925766605</v>
      </c>
      <c r="Q1379" s="119">
        <v>25.737539217798403</v>
      </c>
      <c r="R1379" s="119">
        <v>25.741453619976426</v>
      </c>
      <c r="S1379" s="119">
        <v>25.745279420382243</v>
      </c>
      <c r="T1379" s="119">
        <v>25.749017927621768</v>
      </c>
      <c r="U1379" s="119">
        <v>25.75267046825924</v>
      </c>
      <c r="V1379" s="119">
        <v>25.756238384350311</v>
      </c>
      <c r="W1379" s="119">
        <v>25.759723031074657</v>
      </c>
      <c r="X1379" s="119">
        <v>25.763125774468278</v>
      </c>
      <c r="Y1379" s="119">
        <v>25.766447989255298</v>
      </c>
      <c r="Z1379" s="119">
        <v>25.769691056778608</v>
      </c>
      <c r="AA1379" s="119">
        <v>25.77285636302873</v>
      </c>
      <c r="AB1379" s="119">
        <v>25.775945296769553</v>
      </c>
      <c r="AC1379" s="119">
        <v>25.778959247759783</v>
      </c>
      <c r="AD1379" s="119">
        <v>25.781899605068446</v>
      </c>
      <c r="AE1379" s="119">
        <v>25.784767755482736</v>
      </c>
      <c r="AF1379" s="119">
        <v>25.787565082006221</v>
      </c>
      <c r="AG1379" s="119">
        <v>25.790292962445378</v>
      </c>
      <c r="AH1379" s="119">
        <v>25.792952768082255</v>
      </c>
      <c r="AI1379" s="119">
        <v>25.795545862430878</v>
      </c>
      <c r="AJ1379" s="119">
        <v>25.798073600075032</v>
      </c>
      <c r="AK1379" s="119">
        <v>25.800537325584955</v>
      </c>
      <c r="AL1379" s="119">
        <v>25.802938372510322</v>
      </c>
      <c r="AM1379" s="119">
        <v>25.805278062446995</v>
      </c>
      <c r="AN1379" s="119">
        <v>25.807557704174872</v>
      </c>
      <c r="AO1379" s="119">
        <v>25.80977859286422</v>
      </c>
      <c r="AP1379" s="119">
        <v>25.811942009347799</v>
      </c>
      <c r="AQ1379" s="119">
        <v>25.814049219456194</v>
      </c>
      <c r="AR1379" s="119">
        <v>25.816101473413624</v>
      </c>
      <c r="AS1379" s="119">
        <v>25.818100005291729</v>
      </c>
      <c r="AT1379" s="119">
        <v>25.820046032518629</v>
      </c>
      <c r="AU1379" s="119">
        <v>25.821940755440796</v>
      </c>
      <c r="AV1379" s="119">
        <v>25.823785356935179</v>
      </c>
      <c r="AW1379" s="119">
        <v>25.825581002069129</v>
      </c>
      <c r="AX1379" s="120">
        <v>25.827328837805737</v>
      </c>
    </row>
    <row r="1380" spans="1:50" x14ac:dyDescent="0.25">
      <c r="A1380" s="356"/>
      <c r="B1380" s="366"/>
      <c r="C1380" s="360"/>
      <c r="D1380" s="59" t="s">
        <v>10</v>
      </c>
      <c r="E1380" s="166" t="str">
        <f>A1375&amp;"/"&amp;B1375&amp;"/"&amp;C1378&amp;"/"&amp;D1380</f>
        <v>Refinery gas fired power plants/Steam turbine/CHP/S</v>
      </c>
      <c r="F1380" s="79" t="str">
        <f>A1375</f>
        <v>Refinery gas fired power plants</v>
      </c>
      <c r="G1380" s="79" t="str">
        <f>B1375</f>
        <v>Steam turbine</v>
      </c>
      <c r="H1380" s="79" t="str">
        <f>C1378</f>
        <v>CHP</v>
      </c>
      <c r="I1380" s="167" t="str">
        <f t="shared" si="100"/>
        <v>S</v>
      </c>
      <c r="J1380" s="125">
        <v>28.000709210526324</v>
      </c>
      <c r="K1380" s="125">
        <v>28.004441782493782</v>
      </c>
      <c r="L1380" s="125">
        <v>28.008095089320221</v>
      </c>
      <c r="M1380" s="125">
        <v>28.011670034234282</v>
      </c>
      <c r="N1380" s="125">
        <v>28.015167551438687</v>
      </c>
      <c r="O1380" s="125">
        <v>28.018588603557689</v>
      </c>
      <c r="P1380" s="125">
        <v>28.02193417915511</v>
      </c>
      <c r="Q1380" s="125">
        <v>28.025205290325722</v>
      </c>
      <c r="R1380" s="125">
        <v>28.028402970362318</v>
      </c>
      <c r="S1380" s="125">
        <v>28.031528271500363</v>
      </c>
      <c r="T1380" s="125">
        <v>28.034582262741637</v>
      </c>
      <c r="U1380" s="125">
        <v>28.037566027758142</v>
      </c>
      <c r="V1380" s="125">
        <v>28.040480662876824</v>
      </c>
      <c r="W1380" s="125">
        <v>28.043327275145639</v>
      </c>
      <c r="X1380" s="125">
        <v>28.046106980481127</v>
      </c>
      <c r="Y1380" s="125">
        <v>28.048820901897116</v>
      </c>
      <c r="Z1380" s="125">
        <v>28.051470167814369</v>
      </c>
      <c r="AA1380" s="125">
        <v>28.054055910450263</v>
      </c>
      <c r="AB1380" s="125">
        <v>28.056579264287752</v>
      </c>
      <c r="AC1380" s="125">
        <v>28.05904136462248</v>
      </c>
      <c r="AD1380" s="125">
        <v>28.06144334618666</v>
      </c>
      <c r="AE1380" s="125">
        <v>28.063786341848488</v>
      </c>
      <c r="AF1380" s="125">
        <v>28.066071481385301</v>
      </c>
      <c r="AG1380" s="125">
        <v>28.068299890328948</v>
      </c>
      <c r="AH1380" s="125">
        <v>28.070472688881441</v>
      </c>
      <c r="AI1380" s="125">
        <v>28.072590990899094</v>
      </c>
      <c r="AJ1380" s="125">
        <v>28.074655902943103</v>
      </c>
      <c r="AK1380" s="125">
        <v>28.076668523394567</v>
      </c>
      <c r="AL1380" s="125">
        <v>28.078629941631888</v>
      </c>
      <c r="AM1380" s="125">
        <v>28.080541237268381</v>
      </c>
      <c r="AN1380" s="125">
        <v>28.082403479447983</v>
      </c>
      <c r="AO1380" s="125">
        <v>28.084217726196904</v>
      </c>
      <c r="AP1380" s="125">
        <v>28.085985023829025</v>
      </c>
      <c r="AQ1380" s="125">
        <v>28.08770640640294</v>
      </c>
      <c r="AR1380" s="125">
        <v>28.089382895228372</v>
      </c>
      <c r="AS1380" s="125">
        <v>28.091015498419996</v>
      </c>
      <c r="AT1380" s="125">
        <v>28.092605210496359</v>
      </c>
      <c r="AU1380" s="125">
        <v>28.094153012021998</v>
      </c>
      <c r="AV1380" s="125">
        <v>28.095659869290571</v>
      </c>
      <c r="AW1380" s="125">
        <v>28.097126734047059</v>
      </c>
      <c r="AX1380" s="126">
        <v>28.098554543247037</v>
      </c>
    </row>
    <row r="1381" spans="1:50" x14ac:dyDescent="0.25">
      <c r="A1381" s="356"/>
      <c r="B1381" s="366"/>
      <c r="C1381" s="361" t="s">
        <v>15</v>
      </c>
      <c r="D1381" s="58" t="s">
        <v>7</v>
      </c>
      <c r="E1381" s="164" t="str">
        <f>A1375&amp;"/"&amp;B1375&amp;"/"&amp;C1381&amp;"/"&amp;D1381</f>
        <v>Refinery gas fired power plants/Steam turbine/Electricity only with CCS/L</v>
      </c>
      <c r="F1381" s="78" t="str">
        <f>A1375</f>
        <v>Refinery gas fired power plants</v>
      </c>
      <c r="G1381" s="78" t="str">
        <f>B1375</f>
        <v>Steam turbine</v>
      </c>
      <c r="H1381" s="78" t="str">
        <f>C1381</f>
        <v>Electricity only with CCS</v>
      </c>
      <c r="I1381" s="165" t="str">
        <f t="shared" si="100"/>
        <v>L</v>
      </c>
      <c r="J1381" s="123" t="s">
        <v>112</v>
      </c>
      <c r="K1381" s="123" t="s">
        <v>112</v>
      </c>
      <c r="L1381" s="123" t="s">
        <v>112</v>
      </c>
      <c r="M1381" s="123" t="s">
        <v>112</v>
      </c>
      <c r="N1381" s="123" t="s">
        <v>112</v>
      </c>
      <c r="O1381" s="123" t="s">
        <v>112</v>
      </c>
      <c r="P1381" s="123" t="s">
        <v>112</v>
      </c>
      <c r="Q1381" s="123" t="s">
        <v>112</v>
      </c>
      <c r="R1381" s="123" t="s">
        <v>112</v>
      </c>
      <c r="S1381" s="123" t="s">
        <v>112</v>
      </c>
      <c r="T1381" s="123" t="s">
        <v>112</v>
      </c>
      <c r="U1381" s="123" t="s">
        <v>112</v>
      </c>
      <c r="V1381" s="123" t="s">
        <v>112</v>
      </c>
      <c r="W1381" s="123" t="s">
        <v>112</v>
      </c>
      <c r="X1381" s="123" t="s">
        <v>112</v>
      </c>
      <c r="Y1381" s="123" t="s">
        <v>112</v>
      </c>
      <c r="Z1381" s="123" t="s">
        <v>112</v>
      </c>
      <c r="AA1381" s="123" t="s">
        <v>112</v>
      </c>
      <c r="AB1381" s="123" t="s">
        <v>112</v>
      </c>
      <c r="AC1381" s="123" t="s">
        <v>112</v>
      </c>
      <c r="AD1381" s="123" t="s">
        <v>112</v>
      </c>
      <c r="AE1381" s="123">
        <v>40.67023026315789</v>
      </c>
      <c r="AF1381" s="123">
        <v>40.67023026315789</v>
      </c>
      <c r="AG1381" s="123">
        <v>40.67023026315789</v>
      </c>
      <c r="AH1381" s="123">
        <v>40.67023026315789</v>
      </c>
      <c r="AI1381" s="123">
        <v>40.67023026315789</v>
      </c>
      <c r="AJ1381" s="123">
        <v>40.67023026315789</v>
      </c>
      <c r="AK1381" s="123">
        <v>40.67023026315789</v>
      </c>
      <c r="AL1381" s="123">
        <v>40.67023026315789</v>
      </c>
      <c r="AM1381" s="123">
        <v>40.67023026315789</v>
      </c>
      <c r="AN1381" s="123">
        <v>40.67023026315789</v>
      </c>
      <c r="AO1381" s="123">
        <v>40.67023026315789</v>
      </c>
      <c r="AP1381" s="123">
        <v>40.67023026315789</v>
      </c>
      <c r="AQ1381" s="123">
        <v>40.67023026315789</v>
      </c>
      <c r="AR1381" s="123">
        <v>40.67023026315789</v>
      </c>
      <c r="AS1381" s="123">
        <v>40.67023026315789</v>
      </c>
      <c r="AT1381" s="123">
        <v>40.67023026315789</v>
      </c>
      <c r="AU1381" s="123">
        <v>40.67023026315789</v>
      </c>
      <c r="AV1381" s="123">
        <v>40.67023026315789</v>
      </c>
      <c r="AW1381" s="123">
        <v>40.67023026315789</v>
      </c>
      <c r="AX1381" s="124">
        <v>40.67023026315789</v>
      </c>
    </row>
    <row r="1382" spans="1:50" x14ac:dyDescent="0.25">
      <c r="A1382" s="356"/>
      <c r="B1382" s="366"/>
      <c r="C1382" s="360"/>
      <c r="D1382" s="59" t="s">
        <v>8</v>
      </c>
      <c r="E1382" s="166" t="str">
        <f>A1375&amp;"/"&amp;B1375&amp;"/"&amp;C1381&amp;"/"&amp;D1382</f>
        <v>Refinery gas fired power plants/Steam turbine/Electricity only with CCS/M</v>
      </c>
      <c r="F1382" s="79" t="str">
        <f>A1375</f>
        <v>Refinery gas fired power plants</v>
      </c>
      <c r="G1382" s="79" t="str">
        <f>B1375</f>
        <v>Steam turbine</v>
      </c>
      <c r="H1382" s="79" t="str">
        <f>C1381</f>
        <v>Electricity only with CCS</v>
      </c>
      <c r="I1382" s="167" t="str">
        <f t="shared" si="100"/>
        <v>M</v>
      </c>
      <c r="J1382" s="125" t="s">
        <v>112</v>
      </c>
      <c r="K1382" s="125" t="s">
        <v>112</v>
      </c>
      <c r="L1382" s="125" t="s">
        <v>112</v>
      </c>
      <c r="M1382" s="125" t="s">
        <v>112</v>
      </c>
      <c r="N1382" s="125" t="s">
        <v>112</v>
      </c>
      <c r="O1382" s="125" t="s">
        <v>112</v>
      </c>
      <c r="P1382" s="125" t="s">
        <v>112</v>
      </c>
      <c r="Q1382" s="125" t="s">
        <v>112</v>
      </c>
      <c r="R1382" s="125" t="s">
        <v>112</v>
      </c>
      <c r="S1382" s="125" t="s">
        <v>112</v>
      </c>
      <c r="T1382" s="125" t="s">
        <v>112</v>
      </c>
      <c r="U1382" s="125" t="s">
        <v>112</v>
      </c>
      <c r="V1382" s="125" t="s">
        <v>112</v>
      </c>
      <c r="W1382" s="125" t="s">
        <v>112</v>
      </c>
      <c r="X1382" s="125" t="s">
        <v>112</v>
      </c>
      <c r="Y1382" s="125" t="s">
        <v>112</v>
      </c>
      <c r="Z1382" s="125" t="s">
        <v>112</v>
      </c>
      <c r="AA1382" s="125" t="s">
        <v>112</v>
      </c>
      <c r="AB1382" s="125" t="s">
        <v>112</v>
      </c>
      <c r="AC1382" s="125" t="s">
        <v>112</v>
      </c>
      <c r="AD1382" s="125" t="s">
        <v>112</v>
      </c>
      <c r="AE1382" s="125">
        <v>52.148560855263163</v>
      </c>
      <c r="AF1382" s="125">
        <v>52.148560855263163</v>
      </c>
      <c r="AG1382" s="125">
        <v>52.148560855263163</v>
      </c>
      <c r="AH1382" s="125">
        <v>52.148560855263163</v>
      </c>
      <c r="AI1382" s="125">
        <v>52.148560855263163</v>
      </c>
      <c r="AJ1382" s="125">
        <v>52.148560855263163</v>
      </c>
      <c r="AK1382" s="125">
        <v>52.148560855263163</v>
      </c>
      <c r="AL1382" s="125">
        <v>52.148560855263163</v>
      </c>
      <c r="AM1382" s="125">
        <v>52.148560855263163</v>
      </c>
      <c r="AN1382" s="125">
        <v>52.148560855263163</v>
      </c>
      <c r="AO1382" s="125">
        <v>52.148560855263163</v>
      </c>
      <c r="AP1382" s="125">
        <v>52.148560855263163</v>
      </c>
      <c r="AQ1382" s="125">
        <v>52.148560855263163</v>
      </c>
      <c r="AR1382" s="125">
        <v>52.148560855263163</v>
      </c>
      <c r="AS1382" s="125">
        <v>52.148560855263163</v>
      </c>
      <c r="AT1382" s="125">
        <v>52.148560855263163</v>
      </c>
      <c r="AU1382" s="125">
        <v>52.148560855263163</v>
      </c>
      <c r="AV1382" s="125">
        <v>52.148560855263163</v>
      </c>
      <c r="AW1382" s="125">
        <v>52.148560855263163</v>
      </c>
      <c r="AX1382" s="126">
        <v>52.148560855263163</v>
      </c>
    </row>
    <row r="1383" spans="1:50" x14ac:dyDescent="0.25">
      <c r="A1383" s="356"/>
      <c r="B1383" s="366"/>
      <c r="C1383" s="361" t="s">
        <v>16</v>
      </c>
      <c r="D1383" s="2" t="s">
        <v>7</v>
      </c>
      <c r="E1383" s="160" t="str">
        <f>A1375&amp;"/"&amp;B1375&amp;"/"&amp;C1383&amp;"/"&amp;D1383</f>
        <v>Refinery gas fired power plants/Steam turbine/CHP with CCS/L</v>
      </c>
      <c r="F1383" s="76" t="str">
        <f>A1375</f>
        <v>Refinery gas fired power plants</v>
      </c>
      <c r="G1383" s="76" t="str">
        <f>B1375</f>
        <v>Steam turbine</v>
      </c>
      <c r="H1383" s="76" t="str">
        <f>C1383</f>
        <v>CHP with CCS</v>
      </c>
      <c r="I1383" s="161" t="str">
        <f t="shared" si="100"/>
        <v>L</v>
      </c>
      <c r="J1383" s="119" t="s">
        <v>112</v>
      </c>
      <c r="K1383" s="119" t="s">
        <v>112</v>
      </c>
      <c r="L1383" s="119" t="s">
        <v>112</v>
      </c>
      <c r="M1383" s="119" t="s">
        <v>112</v>
      </c>
      <c r="N1383" s="119" t="s">
        <v>112</v>
      </c>
      <c r="O1383" s="119" t="s">
        <v>112</v>
      </c>
      <c r="P1383" s="119" t="s">
        <v>112</v>
      </c>
      <c r="Q1383" s="119" t="s">
        <v>112</v>
      </c>
      <c r="R1383" s="119" t="s">
        <v>112</v>
      </c>
      <c r="S1383" s="119" t="s">
        <v>112</v>
      </c>
      <c r="T1383" s="119" t="s">
        <v>112</v>
      </c>
      <c r="U1383" s="119" t="s">
        <v>112</v>
      </c>
      <c r="V1383" s="119" t="s">
        <v>112</v>
      </c>
      <c r="W1383" s="119" t="s">
        <v>112</v>
      </c>
      <c r="X1383" s="119" t="s">
        <v>112</v>
      </c>
      <c r="Y1383" s="119" t="s">
        <v>112</v>
      </c>
      <c r="Z1383" s="119" t="s">
        <v>112</v>
      </c>
      <c r="AA1383" s="119" t="s">
        <v>112</v>
      </c>
      <c r="AB1383" s="119" t="s">
        <v>112</v>
      </c>
      <c r="AC1383" s="119" t="s">
        <v>112</v>
      </c>
      <c r="AD1383" s="119" t="s">
        <v>112</v>
      </c>
      <c r="AE1383" s="119">
        <v>49.40060032894737</v>
      </c>
      <c r="AF1383" s="119">
        <v>49.40060032894737</v>
      </c>
      <c r="AG1383" s="119">
        <v>49.40060032894737</v>
      </c>
      <c r="AH1383" s="119">
        <v>49.40060032894737</v>
      </c>
      <c r="AI1383" s="119">
        <v>49.40060032894737</v>
      </c>
      <c r="AJ1383" s="119">
        <v>49.40060032894737</v>
      </c>
      <c r="AK1383" s="119">
        <v>49.40060032894737</v>
      </c>
      <c r="AL1383" s="119">
        <v>49.40060032894737</v>
      </c>
      <c r="AM1383" s="119">
        <v>49.40060032894737</v>
      </c>
      <c r="AN1383" s="119">
        <v>49.40060032894737</v>
      </c>
      <c r="AO1383" s="119">
        <v>49.40060032894737</v>
      </c>
      <c r="AP1383" s="119">
        <v>49.40060032894737</v>
      </c>
      <c r="AQ1383" s="119">
        <v>49.40060032894737</v>
      </c>
      <c r="AR1383" s="119">
        <v>49.40060032894737</v>
      </c>
      <c r="AS1383" s="119">
        <v>49.40060032894737</v>
      </c>
      <c r="AT1383" s="119">
        <v>49.40060032894737</v>
      </c>
      <c r="AU1383" s="119">
        <v>49.40060032894737</v>
      </c>
      <c r="AV1383" s="119">
        <v>49.40060032894737</v>
      </c>
      <c r="AW1383" s="119">
        <v>49.40060032894737</v>
      </c>
      <c r="AX1383" s="120">
        <v>49.40060032894737</v>
      </c>
    </row>
    <row r="1384" spans="1:50" x14ac:dyDescent="0.25">
      <c r="A1384" s="357"/>
      <c r="B1384" s="367"/>
      <c r="C1384" s="354"/>
      <c r="D1384" s="4" t="s">
        <v>8</v>
      </c>
      <c r="E1384" s="168" t="str">
        <f>A1375&amp;"/"&amp;B1375&amp;"/"&amp;C1383&amp;"/"&amp;D1384</f>
        <v>Refinery gas fired power plants/Steam turbine/CHP with CCS/M</v>
      </c>
      <c r="F1384" s="80" t="str">
        <f>A1375</f>
        <v>Refinery gas fired power plants</v>
      </c>
      <c r="G1384" s="80" t="str">
        <f>B1375</f>
        <v>Steam turbine</v>
      </c>
      <c r="H1384" s="80" t="str">
        <f>C1383</f>
        <v>CHP with CCS</v>
      </c>
      <c r="I1384" s="169" t="str">
        <f t="shared" si="100"/>
        <v>M</v>
      </c>
      <c r="J1384" s="127" t="s">
        <v>112</v>
      </c>
      <c r="K1384" s="127" t="s">
        <v>112</v>
      </c>
      <c r="L1384" s="127" t="s">
        <v>112</v>
      </c>
      <c r="M1384" s="127" t="s">
        <v>112</v>
      </c>
      <c r="N1384" s="127" t="s">
        <v>112</v>
      </c>
      <c r="O1384" s="127" t="s">
        <v>112</v>
      </c>
      <c r="P1384" s="127" t="s">
        <v>112</v>
      </c>
      <c r="Q1384" s="127" t="s">
        <v>112</v>
      </c>
      <c r="R1384" s="127" t="s">
        <v>112</v>
      </c>
      <c r="S1384" s="127" t="s">
        <v>112</v>
      </c>
      <c r="T1384" s="127" t="s">
        <v>112</v>
      </c>
      <c r="U1384" s="127" t="s">
        <v>112</v>
      </c>
      <c r="V1384" s="127" t="s">
        <v>112</v>
      </c>
      <c r="W1384" s="127" t="s">
        <v>112</v>
      </c>
      <c r="X1384" s="127" t="s">
        <v>112</v>
      </c>
      <c r="Y1384" s="127" t="s">
        <v>112</v>
      </c>
      <c r="Z1384" s="127" t="s">
        <v>112</v>
      </c>
      <c r="AA1384" s="127" t="s">
        <v>112</v>
      </c>
      <c r="AB1384" s="127" t="s">
        <v>112</v>
      </c>
      <c r="AC1384" s="127" t="s">
        <v>112</v>
      </c>
      <c r="AD1384" s="127" t="s">
        <v>112</v>
      </c>
      <c r="AE1384" s="127">
        <v>60.534581003289475</v>
      </c>
      <c r="AF1384" s="127">
        <v>60.534581003289475</v>
      </c>
      <c r="AG1384" s="127">
        <v>60.534581003289475</v>
      </c>
      <c r="AH1384" s="127">
        <v>60.534581003289475</v>
      </c>
      <c r="AI1384" s="127">
        <v>60.534581003289475</v>
      </c>
      <c r="AJ1384" s="127">
        <v>60.534581003289475</v>
      </c>
      <c r="AK1384" s="127">
        <v>60.534581003289475</v>
      </c>
      <c r="AL1384" s="127">
        <v>60.534581003289475</v>
      </c>
      <c r="AM1384" s="127">
        <v>60.534581003289475</v>
      </c>
      <c r="AN1384" s="127">
        <v>60.534581003289475</v>
      </c>
      <c r="AO1384" s="127">
        <v>60.534581003289475</v>
      </c>
      <c r="AP1384" s="127">
        <v>60.534581003289475</v>
      </c>
      <c r="AQ1384" s="127">
        <v>60.534581003289475</v>
      </c>
      <c r="AR1384" s="127">
        <v>60.534581003289475</v>
      </c>
      <c r="AS1384" s="127">
        <v>60.534581003289475</v>
      </c>
      <c r="AT1384" s="127">
        <v>60.534581003289475</v>
      </c>
      <c r="AU1384" s="127">
        <v>60.534581003289475</v>
      </c>
      <c r="AV1384" s="127">
        <v>60.534581003289475</v>
      </c>
      <c r="AW1384" s="127">
        <v>60.534581003289475</v>
      </c>
      <c r="AX1384" s="128">
        <v>60.534581003289475</v>
      </c>
    </row>
    <row r="1385" spans="1:50" x14ac:dyDescent="0.25">
      <c r="A1385" s="355" t="s">
        <v>28</v>
      </c>
      <c r="B1385" s="358" t="s">
        <v>23</v>
      </c>
      <c r="C1385" s="353" t="s">
        <v>6</v>
      </c>
      <c r="D1385" s="3" t="s">
        <v>7</v>
      </c>
      <c r="E1385" s="162" t="str">
        <f>A1385&amp;"/"&amp;B1385&amp;"/"&amp;C1385&amp;"/"&amp;D1385</f>
        <v>Diesel oil fired power plants/Gas turbine combined cycle/Electricity only/L</v>
      </c>
      <c r="F1385" s="77" t="str">
        <f>A1385</f>
        <v>Diesel oil fired power plants</v>
      </c>
      <c r="G1385" s="77" t="str">
        <f>B1385</f>
        <v>Gas turbine combined cycle</v>
      </c>
      <c r="H1385" s="77" t="str">
        <f>C1385</f>
        <v>Electricity only</v>
      </c>
      <c r="I1385" s="163" t="str">
        <f t="shared" si="100"/>
        <v>L</v>
      </c>
      <c r="J1385" s="121">
        <v>23.203125</v>
      </c>
      <c r="K1385" s="121">
        <v>23.186683236799517</v>
      </c>
      <c r="L1385" s="121">
        <v>23.166883733776157</v>
      </c>
      <c r="M1385" s="121">
        <v>23.143112561309348</v>
      </c>
      <c r="N1385" s="121">
        <v>23.114676327599227</v>
      </c>
      <c r="O1385" s="121">
        <v>23.080807051557006</v>
      </c>
      <c r="P1385" s="121">
        <v>23.040675490411914</v>
      </c>
      <c r="Q1385" s="121">
        <v>22.993416113382942</v>
      </c>
      <c r="R1385" s="121">
        <v>22.938167055962658</v>
      </c>
      <c r="S1385" s="121">
        <v>22.874127878358951</v>
      </c>
      <c r="T1385" s="121">
        <v>22.800636379964619</v>
      </c>
      <c r="U1385" s="121">
        <v>22.717262704520731</v>
      </c>
      <c r="V1385" s="121">
        <v>22.623914352911701</v>
      </c>
      <c r="W1385" s="121">
        <v>22.52093988400955</v>
      </c>
      <c r="X1385" s="121">
        <v>22.409213252129764</v>
      </c>
      <c r="Y1385" s="121">
        <v>22.290177044855895</v>
      </c>
      <c r="Z1385" s="121">
        <v>22.165823964488041</v>
      </c>
      <c r="AA1385" s="121">
        <v>22.038603717856439</v>
      </c>
      <c r="AB1385" s="121">
        <v>21.911256895069076</v>
      </c>
      <c r="AC1385" s="121">
        <v>21.786595165778969</v>
      </c>
      <c r="AD1385" s="121">
        <v>21.667262364690579</v>
      </c>
      <c r="AE1385" s="121">
        <v>21.555517736611826</v>
      </c>
      <c r="AF1385" s="121">
        <v>21.453077644922182</v>
      </c>
      <c r="AG1385" s="121">
        <v>21.36103708389517</v>
      </c>
      <c r="AH1385" s="121">
        <v>21.279873058907544</v>
      </c>
      <c r="AI1385" s="121">
        <v>21.209515059577733</v>
      </c>
      <c r="AJ1385" s="121">
        <v>21.149458110937925</v>
      </c>
      <c r="AK1385" s="121">
        <v>21.098892312907935</v>
      </c>
      <c r="AL1385" s="121">
        <v>21.056827409858919</v>
      </c>
      <c r="AM1385" s="121">
        <v>21.022198513200696</v>
      </c>
      <c r="AN1385" s="121">
        <v>20.993946709195999</v>
      </c>
      <c r="AO1385" s="121">
        <v>20.971074169384579</v>
      </c>
      <c r="AP1385" s="121">
        <v>20.952676992953506</v>
      </c>
      <c r="AQ1385" s="121">
        <v>20.937960605628305</v>
      </c>
      <c r="AR1385" s="121">
        <v>20.926242719403106</v>
      </c>
      <c r="AS1385" s="121">
        <v>20.916948239673573</v>
      </c>
      <c r="AT1385" s="121">
        <v>20.909599567264671</v>
      </c>
      <c r="AU1385" s="121">
        <v>20.903804782314999</v>
      </c>
      <c r="AV1385" s="121">
        <v>20.899245367509977</v>
      </c>
      <c r="AW1385" s="121">
        <v>20.895664482741999</v>
      </c>
      <c r="AX1385" s="122">
        <v>20.892856338639927</v>
      </c>
    </row>
    <row r="1386" spans="1:50" x14ac:dyDescent="0.25">
      <c r="A1386" s="356"/>
      <c r="B1386" s="359"/>
      <c r="C1386" s="360"/>
      <c r="D1386" s="2" t="s">
        <v>8</v>
      </c>
      <c r="E1386" s="160" t="str">
        <f>A1385&amp;"/"&amp;B1385&amp;"/"&amp;C1385&amp;"/"&amp;D1386</f>
        <v>Diesel oil fired power plants/Gas turbine combined cycle/Electricity only/M</v>
      </c>
      <c r="F1386" s="76" t="str">
        <f>A1385</f>
        <v>Diesel oil fired power plants</v>
      </c>
      <c r="G1386" s="76" t="str">
        <f>B1385</f>
        <v>Gas turbine combined cycle</v>
      </c>
      <c r="H1386" s="76" t="str">
        <f>C1385</f>
        <v>Electricity only</v>
      </c>
      <c r="I1386" s="161" t="str">
        <f t="shared" si="100"/>
        <v>M</v>
      </c>
      <c r="J1386" s="119">
        <v>24.131250000000001</v>
      </c>
      <c r="K1386" s="119">
        <v>24.126161674809076</v>
      </c>
      <c r="L1386" s="119">
        <v>24.119649883331562</v>
      </c>
      <c r="M1386" s="119">
        <v>24.111324235502451</v>
      </c>
      <c r="N1386" s="119">
        <v>24.100692267521829</v>
      </c>
      <c r="O1386" s="119">
        <v>24.087135926928294</v>
      </c>
      <c r="P1386" s="119">
        <v>24.069884677045081</v>
      </c>
      <c r="Q1386" s="119">
        <v>24.047986131988392</v>
      </c>
      <c r="R1386" s="119">
        <v>24.02027633274859</v>
      </c>
      <c r="S1386" s="119">
        <v>23.985353660771803</v>
      </c>
      <c r="T1386" s="119">
        <v>23.941563145014754</v>
      </c>
      <c r="U1386" s="119">
        <v>23.887001616487638</v>
      </c>
      <c r="V1386" s="119">
        <v>23.819558520881483</v>
      </c>
      <c r="W1386" s="119">
        <v>23.737011224966707</v>
      </c>
      <c r="X1386" s="119">
        <v>23.637195183722632</v>
      </c>
      <c r="Y1386" s="119">
        <v>23.518264727110843</v>
      </c>
      <c r="Z1386" s="119">
        <v>23.37904478803847</v>
      </c>
      <c r="AA1386" s="119">
        <v>23.219443996921147</v>
      </c>
      <c r="AB1386" s="119">
        <v>23.040857018956995</v>
      </c>
      <c r="AC1386" s="119">
        <v>22.846441419155248</v>
      </c>
      <c r="AD1386" s="119">
        <v>22.641136686090395</v>
      </c>
      <c r="AE1386" s="119">
        <v>22.43132842680853</v>
      </c>
      <c r="AF1386" s="119">
        <v>22.224158682877917</v>
      </c>
      <c r="AG1386" s="119">
        <v>22.026613918275807</v>
      </c>
      <c r="AH1386" s="119">
        <v>21.844620723257645</v>
      </c>
      <c r="AI1386" s="119">
        <v>21.682385707435309</v>
      </c>
      <c r="AJ1386" s="119">
        <v>21.542122271662102</v>
      </c>
      <c r="AK1386" s="119">
        <v>21.424165716083216</v>
      </c>
      <c r="AL1386" s="119">
        <v>21.327363204761372</v>
      </c>
      <c r="AM1386" s="119">
        <v>21.24958048939159</v>
      </c>
      <c r="AN1386" s="119">
        <v>21.188189106785813</v>
      </c>
      <c r="AO1386" s="119">
        <v>21.140452925889768</v>
      </c>
      <c r="AP1386" s="119">
        <v>21.103788016424851</v>
      </c>
      <c r="AQ1386" s="119">
        <v>21.075906997428504</v>
      </c>
      <c r="AR1386" s="119">
        <v>21.054875920881592</v>
      </c>
      <c r="AS1386" s="119">
        <v>21.039114067053827</v>
      </c>
      <c r="AT1386" s="119">
        <v>21.027361891890855</v>
      </c>
      <c r="AU1386" s="119">
        <v>21.018635026165619</v>
      </c>
      <c r="AV1386" s="119">
        <v>21.012175506382256</v>
      </c>
      <c r="AW1386" s="119">
        <v>21.007406349055259</v>
      </c>
      <c r="AX1386" s="120">
        <v>21.003892211243908</v>
      </c>
    </row>
    <row r="1387" spans="1:50" x14ac:dyDescent="0.25">
      <c r="A1387" s="356"/>
      <c r="B1387" s="359"/>
      <c r="C1387" s="361" t="s">
        <v>14</v>
      </c>
      <c r="D1387" s="58" t="s">
        <v>7</v>
      </c>
      <c r="E1387" s="164" t="str">
        <f>A1385&amp;"/"&amp;B1385&amp;"/"&amp;C1387&amp;"/"&amp;D1387</f>
        <v>Diesel oil fired power plants/Gas turbine combined cycle/CHP/L</v>
      </c>
      <c r="F1387" s="78" t="str">
        <f>A1385</f>
        <v>Diesel oil fired power plants</v>
      </c>
      <c r="G1387" s="78" t="str">
        <f>B1385</f>
        <v>Gas turbine combined cycle</v>
      </c>
      <c r="H1387" s="78" t="str">
        <f>C1387</f>
        <v>CHP</v>
      </c>
      <c r="I1387" s="165" t="str">
        <f t="shared" si="100"/>
        <v>L</v>
      </c>
      <c r="J1387" s="123">
        <v>29.895703125000001</v>
      </c>
      <c r="K1387" s="123">
        <v>29.878755819100704</v>
      </c>
      <c r="L1387" s="123">
        <v>29.85834753135812</v>
      </c>
      <c r="M1387" s="123">
        <v>29.833845455366173</v>
      </c>
      <c r="N1387" s="123">
        <v>29.80453487927813</v>
      </c>
      <c r="O1387" s="123">
        <v>29.769624208526093</v>
      </c>
      <c r="P1387" s="123">
        <v>29.72825870321811</v>
      </c>
      <c r="Q1387" s="123">
        <v>29.67954621968736</v>
      </c>
      <c r="R1387" s="123">
        <v>29.622598393269229</v>
      </c>
      <c r="S1387" s="123">
        <v>29.556590172669303</v>
      </c>
      <c r="T1387" s="123">
        <v>29.480838996283936</v>
      </c>
      <c r="U1387" s="123">
        <v>29.394901790859731</v>
      </c>
      <c r="V1387" s="123">
        <v>29.298683213166886</v>
      </c>
      <c r="W1387" s="123">
        <v>29.192542539382533</v>
      </c>
      <c r="X1387" s="123">
        <v>29.077380595710398</v>
      </c>
      <c r="Y1387" s="123">
        <v>28.954684325659343</v>
      </c>
      <c r="Z1387" s="123">
        <v>28.82650770209311</v>
      </c>
      <c r="AA1387" s="123">
        <v>28.695375754140834</v>
      </c>
      <c r="AB1387" s="123">
        <v>28.564113338135645</v>
      </c>
      <c r="AC1387" s="123">
        <v>28.435618575472212</v>
      </c>
      <c r="AD1387" s="123">
        <v>28.312616592095814</v>
      </c>
      <c r="AE1387" s="123">
        <v>28.197436098887042</v>
      </c>
      <c r="AF1387" s="123">
        <v>28.091846233065038</v>
      </c>
      <c r="AG1387" s="123">
        <v>27.996975657212108</v>
      </c>
      <c r="AH1387" s="123">
        <v>27.913316043415772</v>
      </c>
      <c r="AI1387" s="123">
        <v>27.840794713278285</v>
      </c>
      <c r="AJ1387" s="123">
        <v>27.778891165126762</v>
      </c>
      <c r="AK1387" s="123">
        <v>27.72677059649876</v>
      </c>
      <c r="AL1387" s="123">
        <v>27.683412303905492</v>
      </c>
      <c r="AM1387" s="123">
        <v>27.647718656121739</v>
      </c>
      <c r="AN1387" s="123">
        <v>27.618598180486831</v>
      </c>
      <c r="AO1387" s="123">
        <v>27.595022367835149</v>
      </c>
      <c r="AP1387" s="123">
        <v>27.57605952468634</v>
      </c>
      <c r="AQ1387" s="123">
        <v>27.56089064561348</v>
      </c>
      <c r="AR1387" s="123">
        <v>27.548812463977484</v>
      </c>
      <c r="AS1387" s="123">
        <v>27.539232202467176</v>
      </c>
      <c r="AT1387" s="123">
        <v>27.531657576938947</v>
      </c>
      <c r="AU1387" s="123">
        <v>27.525684616985377</v>
      </c>
      <c r="AV1387" s="123">
        <v>27.520985011688769</v>
      </c>
      <c r="AW1387" s="123">
        <v>27.517294023756815</v>
      </c>
      <c r="AX1387" s="124">
        <v>27.514399536314876</v>
      </c>
    </row>
    <row r="1388" spans="1:50" x14ac:dyDescent="0.25">
      <c r="A1388" s="356"/>
      <c r="B1388" s="359"/>
      <c r="C1388" s="360"/>
      <c r="D1388" s="59" t="s">
        <v>8</v>
      </c>
      <c r="E1388" s="166" t="str">
        <f>A1385&amp;"/"&amp;B1385&amp;"/"&amp;C1387&amp;"/"&amp;D1388</f>
        <v>Diesel oil fired power plants/Gas turbine combined cycle/CHP/M</v>
      </c>
      <c r="F1388" s="79" t="str">
        <f>A1385</f>
        <v>Diesel oil fired power plants</v>
      </c>
      <c r="G1388" s="79" t="str">
        <f>B1385</f>
        <v>Gas turbine combined cycle</v>
      </c>
      <c r="H1388" s="79" t="str">
        <f>C1387</f>
        <v>CHP</v>
      </c>
      <c r="I1388" s="167" t="str">
        <f t="shared" si="100"/>
        <v>M</v>
      </c>
      <c r="J1388" s="125">
        <v>32.273718750000008</v>
      </c>
      <c r="K1388" s="125">
        <v>32.268483942720252</v>
      </c>
      <c r="L1388" s="125">
        <v>32.261784690578992</v>
      </c>
      <c r="M1388" s="125">
        <v>32.253219365009343</v>
      </c>
      <c r="N1388" s="125">
        <v>32.242281325223217</v>
      </c>
      <c r="O1388" s="125">
        <v>32.228334726339874</v>
      </c>
      <c r="P1388" s="125">
        <v>32.210586849566077</v>
      </c>
      <c r="Q1388" s="125">
        <v>32.188057891848672</v>
      </c>
      <c r="R1388" s="125">
        <v>32.159550386267121</v>
      </c>
      <c r="S1388" s="125">
        <v>32.123622364642515</v>
      </c>
      <c r="T1388" s="125">
        <v>32.078571212825793</v>
      </c>
      <c r="U1388" s="125">
        <v>32.022438973628951</v>
      </c>
      <c r="V1388" s="125">
        <v>31.953054334361408</v>
      </c>
      <c r="W1388" s="125">
        <v>31.868130676897572</v>
      </c>
      <c r="X1388" s="125">
        <v>31.765441143557076</v>
      </c>
      <c r="Y1388" s="125">
        <v>31.64308693137616</v>
      </c>
      <c r="Z1388" s="125">
        <v>31.49985914557292</v>
      </c>
      <c r="AA1388" s="125">
        <v>31.335663786226458</v>
      </c>
      <c r="AB1388" s="125">
        <v>31.151935667987583</v>
      </c>
      <c r="AC1388" s="125">
        <v>30.951923255464262</v>
      </c>
      <c r="AD1388" s="125">
        <v>30.74070823462937</v>
      </c>
      <c r="AE1388" s="125">
        <v>30.524860040610601</v>
      </c>
      <c r="AF1388" s="125">
        <v>30.311726319203192</v>
      </c>
      <c r="AG1388" s="125">
        <v>30.10849465986254</v>
      </c>
      <c r="AH1388" s="125">
        <v>29.921262266805975</v>
      </c>
      <c r="AI1388" s="125">
        <v>29.754356849013</v>
      </c>
      <c r="AJ1388" s="125">
        <v>29.610055526452378</v>
      </c>
      <c r="AK1388" s="125">
        <v>29.488703251849255</v>
      </c>
      <c r="AL1388" s="125">
        <v>29.389114001565115</v>
      </c>
      <c r="AM1388" s="125">
        <v>29.309092086813475</v>
      </c>
      <c r="AN1388" s="125">
        <v>29.245933376526626</v>
      </c>
      <c r="AO1388" s="125">
        <v>29.196822972241151</v>
      </c>
      <c r="AP1388" s="125">
        <v>29.159102557806779</v>
      </c>
      <c r="AQ1388" s="125">
        <v>29.130418903415091</v>
      </c>
      <c r="AR1388" s="125">
        <v>29.108782386785766</v>
      </c>
      <c r="AS1388" s="125">
        <v>29.092566782620533</v>
      </c>
      <c r="AT1388" s="125">
        <v>29.080476287263476</v>
      </c>
      <c r="AU1388" s="125">
        <v>29.071498193585544</v>
      </c>
      <c r="AV1388" s="125">
        <v>29.064852717929636</v>
      </c>
      <c r="AW1388" s="125">
        <v>29.059946266679582</v>
      </c>
      <c r="AX1388" s="126">
        <v>29.056330964294876</v>
      </c>
    </row>
    <row r="1389" spans="1:50" x14ac:dyDescent="0.25">
      <c r="A1389" s="356"/>
      <c r="B1389" s="359"/>
      <c r="C1389" s="361" t="s">
        <v>15</v>
      </c>
      <c r="D1389" s="58" t="s">
        <v>7</v>
      </c>
      <c r="E1389" s="164" t="str">
        <f>A1385&amp;"/"&amp;B1385&amp;"/"&amp;C1389&amp;"/"&amp;D1389</f>
        <v>Diesel oil fired power plants/Gas turbine combined cycle/Electricity only with CCS/L</v>
      </c>
      <c r="F1389" s="78" t="str">
        <f>A1385</f>
        <v>Diesel oil fired power plants</v>
      </c>
      <c r="G1389" s="78" t="str">
        <f>B1385</f>
        <v>Gas turbine combined cycle</v>
      </c>
      <c r="H1389" s="78" t="str">
        <f>C1389</f>
        <v>Electricity only with CCS</v>
      </c>
      <c r="I1389" s="165" t="str">
        <f t="shared" si="100"/>
        <v>L</v>
      </c>
      <c r="J1389" s="123" t="s">
        <v>112</v>
      </c>
      <c r="K1389" s="123" t="s">
        <v>112</v>
      </c>
      <c r="L1389" s="123" t="s">
        <v>112</v>
      </c>
      <c r="M1389" s="123" t="s">
        <v>112</v>
      </c>
      <c r="N1389" s="123" t="s">
        <v>112</v>
      </c>
      <c r="O1389" s="123" t="s">
        <v>112</v>
      </c>
      <c r="P1389" s="123" t="s">
        <v>112</v>
      </c>
      <c r="Q1389" s="123" t="s">
        <v>112</v>
      </c>
      <c r="R1389" s="123" t="s">
        <v>112</v>
      </c>
      <c r="S1389" s="123" t="s">
        <v>112</v>
      </c>
      <c r="T1389" s="123" t="s">
        <v>112</v>
      </c>
      <c r="U1389" s="123" t="s">
        <v>112</v>
      </c>
      <c r="V1389" s="123" t="s">
        <v>112</v>
      </c>
      <c r="W1389" s="123" t="s">
        <v>112</v>
      </c>
      <c r="X1389" s="123" t="s">
        <v>112</v>
      </c>
      <c r="Y1389" s="123" t="s">
        <v>112</v>
      </c>
      <c r="Z1389" s="123" t="s">
        <v>112</v>
      </c>
      <c r="AA1389" s="123" t="s">
        <v>112</v>
      </c>
      <c r="AB1389" s="123" t="s">
        <v>112</v>
      </c>
      <c r="AC1389" s="123" t="s">
        <v>112</v>
      </c>
      <c r="AD1389" s="123" t="s">
        <v>112</v>
      </c>
      <c r="AE1389" s="123">
        <v>46.218711660329767</v>
      </c>
      <c r="AF1389" s="123">
        <v>46.198504822778439</v>
      </c>
      <c r="AG1389" s="123">
        <v>46.172627989370611</v>
      </c>
      <c r="AH1389" s="123">
        <v>46.139515186965092</v>
      </c>
      <c r="AI1389" s="123">
        <v>46.097183971458847</v>
      </c>
      <c r="AJ1389" s="123">
        <v>46.04313491990569</v>
      </c>
      <c r="AK1389" s="123">
        <v>45.974233478500665</v>
      </c>
      <c r="AL1389" s="123">
        <v>45.886575551871807</v>
      </c>
      <c r="AM1389" s="123">
        <v>45.775342056538705</v>
      </c>
      <c r="AN1389" s="123">
        <v>45.634654113972978</v>
      </c>
      <c r="AO1389" s="123">
        <v>45.457450691656263</v>
      </c>
      <c r="AP1389" s="123">
        <v>45.235425333522244</v>
      </c>
      <c r="AQ1389" s="123">
        <v>44.959078530733699</v>
      </c>
      <c r="AR1389" s="123">
        <v>44.617965787275637</v>
      </c>
      <c r="AS1389" s="123">
        <v>44.201243146572757</v>
      </c>
      <c r="AT1389" s="123">
        <v>43.698619883730665</v>
      </c>
      <c r="AU1389" s="123">
        <v>43.101801602028793</v>
      </c>
      <c r="AV1389" s="123">
        <v>42.40641876073169</v>
      </c>
      <c r="AW1389" s="123">
        <v>41.614263171077567</v>
      </c>
      <c r="AX1389" s="124">
        <v>40.735406249999997</v>
      </c>
    </row>
    <row r="1390" spans="1:50" x14ac:dyDescent="0.25">
      <c r="A1390" s="356"/>
      <c r="B1390" s="359"/>
      <c r="C1390" s="360"/>
      <c r="D1390" s="59" t="s">
        <v>8</v>
      </c>
      <c r="E1390" s="166" t="str">
        <f>A1385&amp;"/"&amp;B1385&amp;"/"&amp;C1389&amp;"/"&amp;D1390</f>
        <v>Diesel oil fired power plants/Gas turbine combined cycle/Electricity only with CCS/M</v>
      </c>
      <c r="F1390" s="79" t="str">
        <f>A1385</f>
        <v>Diesel oil fired power plants</v>
      </c>
      <c r="G1390" s="79" t="str">
        <f>B1385</f>
        <v>Gas turbine combined cycle</v>
      </c>
      <c r="H1390" s="79" t="str">
        <f>C1389</f>
        <v>Electricity only with CCS</v>
      </c>
      <c r="I1390" s="167" t="str">
        <f t="shared" si="100"/>
        <v>M</v>
      </c>
      <c r="J1390" s="125" t="s">
        <v>112</v>
      </c>
      <c r="K1390" s="125" t="s">
        <v>112</v>
      </c>
      <c r="L1390" s="125" t="s">
        <v>112</v>
      </c>
      <c r="M1390" s="125" t="s">
        <v>112</v>
      </c>
      <c r="N1390" s="125" t="s">
        <v>112</v>
      </c>
      <c r="O1390" s="125" t="s">
        <v>112</v>
      </c>
      <c r="P1390" s="125" t="s">
        <v>112</v>
      </c>
      <c r="Q1390" s="125" t="s">
        <v>112</v>
      </c>
      <c r="R1390" s="125" t="s">
        <v>112</v>
      </c>
      <c r="S1390" s="125" t="s">
        <v>112</v>
      </c>
      <c r="T1390" s="125" t="s">
        <v>112</v>
      </c>
      <c r="U1390" s="125" t="s">
        <v>112</v>
      </c>
      <c r="V1390" s="125" t="s">
        <v>112</v>
      </c>
      <c r="W1390" s="125" t="s">
        <v>112</v>
      </c>
      <c r="X1390" s="125" t="s">
        <v>112</v>
      </c>
      <c r="Y1390" s="125" t="s">
        <v>112</v>
      </c>
      <c r="Z1390" s="125" t="s">
        <v>112</v>
      </c>
      <c r="AA1390" s="125" t="s">
        <v>112</v>
      </c>
      <c r="AB1390" s="125" t="s">
        <v>112</v>
      </c>
      <c r="AC1390" s="125" t="s">
        <v>112</v>
      </c>
      <c r="AD1390" s="125" t="s">
        <v>112</v>
      </c>
      <c r="AE1390" s="125">
        <v>48.292617734108575</v>
      </c>
      <c r="AF1390" s="125">
        <v>48.273266142093966</v>
      </c>
      <c r="AG1390" s="125">
        <v>48.248484534310641</v>
      </c>
      <c r="AH1390" s="125">
        <v>48.216773216743775</v>
      </c>
      <c r="AI1390" s="125">
        <v>48.176233651367504</v>
      </c>
      <c r="AJ1390" s="125">
        <v>48.124472202215614</v>
      </c>
      <c r="AK1390" s="125">
        <v>48.058486984098124</v>
      </c>
      <c r="AL1390" s="125">
        <v>47.974539140767369</v>
      </c>
      <c r="AM1390" s="125">
        <v>47.86801355433763</v>
      </c>
      <c r="AN1390" s="125">
        <v>47.733280167235762</v>
      </c>
      <c r="AO1390" s="125">
        <v>47.563576802047791</v>
      </c>
      <c r="AP1390" s="125">
        <v>47.350948569817248</v>
      </c>
      <c r="AQ1390" s="125">
        <v>47.086298024251988</v>
      </c>
      <c r="AR1390" s="125">
        <v>46.759622728049948</v>
      </c>
      <c r="AS1390" s="125">
        <v>46.360537690341722</v>
      </c>
      <c r="AT1390" s="125">
        <v>45.879187736650628</v>
      </c>
      <c r="AU1390" s="125">
        <v>45.307629526959374</v>
      </c>
      <c r="AV1390" s="125">
        <v>44.641678459427702</v>
      </c>
      <c r="AW1390" s="125">
        <v>43.883050507669026</v>
      </c>
      <c r="AX1390" s="126">
        <v>43.041390820312508</v>
      </c>
    </row>
    <row r="1391" spans="1:50" x14ac:dyDescent="0.25">
      <c r="A1391" s="356"/>
      <c r="B1391" s="359"/>
      <c r="C1391" s="361" t="s">
        <v>16</v>
      </c>
      <c r="D1391" s="2" t="s">
        <v>7</v>
      </c>
      <c r="E1391" s="160" t="str">
        <f>A1385&amp;"/"&amp;B1385&amp;"/"&amp;C1391&amp;"/"&amp;D1391</f>
        <v>Diesel oil fired power plants/Gas turbine combined cycle/CHP with CCS/L</v>
      </c>
      <c r="F1391" s="76" t="str">
        <f>A1385</f>
        <v>Diesel oil fired power plants</v>
      </c>
      <c r="G1391" s="76" t="str">
        <f>B1385</f>
        <v>Gas turbine combined cycle</v>
      </c>
      <c r="H1391" s="76" t="str">
        <f>C1391</f>
        <v>CHP with CCS</v>
      </c>
      <c r="I1391" s="161" t="str">
        <f t="shared" si="100"/>
        <v>L</v>
      </c>
      <c r="J1391" s="119" t="s">
        <v>112</v>
      </c>
      <c r="K1391" s="119" t="s">
        <v>112</v>
      </c>
      <c r="L1391" s="119" t="s">
        <v>112</v>
      </c>
      <c r="M1391" s="119" t="s">
        <v>112</v>
      </c>
      <c r="N1391" s="119" t="s">
        <v>112</v>
      </c>
      <c r="O1391" s="119" t="s">
        <v>112</v>
      </c>
      <c r="P1391" s="119" t="s">
        <v>112</v>
      </c>
      <c r="Q1391" s="119" t="s">
        <v>112</v>
      </c>
      <c r="R1391" s="119" t="s">
        <v>112</v>
      </c>
      <c r="S1391" s="119" t="s">
        <v>112</v>
      </c>
      <c r="T1391" s="119" t="s">
        <v>112</v>
      </c>
      <c r="U1391" s="119" t="s">
        <v>112</v>
      </c>
      <c r="V1391" s="119" t="s">
        <v>112</v>
      </c>
      <c r="W1391" s="119" t="s">
        <v>112</v>
      </c>
      <c r="X1391" s="119" t="s">
        <v>112</v>
      </c>
      <c r="Y1391" s="119" t="s">
        <v>112</v>
      </c>
      <c r="Z1391" s="119" t="s">
        <v>112</v>
      </c>
      <c r="AA1391" s="119" t="s">
        <v>112</v>
      </c>
      <c r="AB1391" s="119" t="s">
        <v>112</v>
      </c>
      <c r="AC1391" s="119" t="s">
        <v>112</v>
      </c>
      <c r="AD1391" s="119" t="s">
        <v>112</v>
      </c>
      <c r="AE1391" s="119">
        <v>52.597892439142676</v>
      </c>
      <c r="AF1391" s="119">
        <v>52.580343772550442</v>
      </c>
      <c r="AG1391" s="119">
        <v>52.557862456875348</v>
      </c>
      <c r="AH1391" s="119">
        <v>52.529080668740299</v>
      </c>
      <c r="AI1391" s="119">
        <v>52.492263264649118</v>
      </c>
      <c r="AJ1391" s="119">
        <v>52.445216811720314</v>
      </c>
      <c r="AK1391" s="119">
        <v>52.385181034359455</v>
      </c>
      <c r="AL1391" s="119">
        <v>52.308702592878916</v>
      </c>
      <c r="AM1391" s="119">
        <v>52.211493804153896</v>
      </c>
      <c r="AN1391" s="119">
        <v>52.088283660793323</v>
      </c>
      <c r="AO1391" s="119">
        <v>51.932676263382326</v>
      </c>
      <c r="AP1391" s="119">
        <v>51.737043626031173</v>
      </c>
      <c r="AQ1391" s="119">
        <v>51.492496587631557</v>
      </c>
      <c r="AR1391" s="119">
        <v>51.18899904999018</v>
      </c>
      <c r="AS1391" s="119">
        <v>50.815714193385425</v>
      </c>
      <c r="AT1391" s="119">
        <v>50.361689031739246</v>
      </c>
      <c r="AU1391" s="119">
        <v>49.816980551200309</v>
      </c>
      <c r="AV1391" s="119">
        <v>49.174279349566518</v>
      </c>
      <c r="AW1391" s="119">
        <v>48.430968708577474</v>
      </c>
      <c r="AX1391" s="120">
        <v>47.591355606022915</v>
      </c>
    </row>
    <row r="1392" spans="1:50" x14ac:dyDescent="0.25">
      <c r="A1392" s="356"/>
      <c r="B1392" s="362"/>
      <c r="C1392" s="354"/>
      <c r="D1392" s="4" t="s">
        <v>8</v>
      </c>
      <c r="E1392" s="168" t="str">
        <f>A1385&amp;"/"&amp;B1385&amp;"/"&amp;C1391&amp;"/"&amp;D1392</f>
        <v>Diesel oil fired power plants/Gas turbine combined cycle/CHP with CCS/M</v>
      </c>
      <c r="F1392" s="80" t="str">
        <f>A1385</f>
        <v>Diesel oil fired power plants</v>
      </c>
      <c r="G1392" s="80" t="str">
        <f>B1385</f>
        <v>Gas turbine combined cycle</v>
      </c>
      <c r="H1392" s="80" t="str">
        <f>C1391</f>
        <v>CHP with CCS</v>
      </c>
      <c r="I1392" s="169" t="str">
        <f t="shared" si="100"/>
        <v>M</v>
      </c>
      <c r="J1392" s="127" t="s">
        <v>112</v>
      </c>
      <c r="K1392" s="127" t="s">
        <v>112</v>
      </c>
      <c r="L1392" s="127" t="s">
        <v>112</v>
      </c>
      <c r="M1392" s="127" t="s">
        <v>112</v>
      </c>
      <c r="N1392" s="127" t="s">
        <v>112</v>
      </c>
      <c r="O1392" s="127" t="s">
        <v>112</v>
      </c>
      <c r="P1392" s="127" t="s">
        <v>112</v>
      </c>
      <c r="Q1392" s="127" t="s">
        <v>112</v>
      </c>
      <c r="R1392" s="127" t="s">
        <v>112</v>
      </c>
      <c r="S1392" s="127" t="s">
        <v>112</v>
      </c>
      <c r="T1392" s="127" t="s">
        <v>112</v>
      </c>
      <c r="U1392" s="127" t="s">
        <v>112</v>
      </c>
      <c r="V1392" s="127" t="s">
        <v>112</v>
      </c>
      <c r="W1392" s="127" t="s">
        <v>112</v>
      </c>
      <c r="X1392" s="127" t="s">
        <v>112</v>
      </c>
      <c r="Y1392" s="127" t="s">
        <v>112</v>
      </c>
      <c r="Z1392" s="127" t="s">
        <v>112</v>
      </c>
      <c r="AA1392" s="127" t="s">
        <v>112</v>
      </c>
      <c r="AB1392" s="127" t="s">
        <v>112</v>
      </c>
      <c r="AC1392" s="127" t="s">
        <v>112</v>
      </c>
      <c r="AD1392" s="127" t="s">
        <v>112</v>
      </c>
      <c r="AE1392" s="127">
        <v>56.160083985775501</v>
      </c>
      <c r="AF1392" s="127">
        <v>56.143052030725343</v>
      </c>
      <c r="AG1392" s="127">
        <v>56.121232665930087</v>
      </c>
      <c r="AH1392" s="127">
        <v>56.093298342874675</v>
      </c>
      <c r="AI1392" s="127">
        <v>56.057565008478669</v>
      </c>
      <c r="AJ1392" s="127">
        <v>56.011903814373639</v>
      </c>
      <c r="AK1392" s="127">
        <v>55.953635759872931</v>
      </c>
      <c r="AL1392" s="127">
        <v>55.879409187115613</v>
      </c>
      <c r="AM1392" s="127">
        <v>55.785062661620806</v>
      </c>
      <c r="AN1392" s="127">
        <v>55.665480378123043</v>
      </c>
      <c r="AO1392" s="127">
        <v>55.514454761205329</v>
      </c>
      <c r="AP1392" s="127">
        <v>55.324582427133969</v>
      </c>
      <c r="AQ1392" s="127">
        <v>55.087235951618077</v>
      </c>
      <c r="AR1392" s="127">
        <v>54.792674744259593</v>
      </c>
      <c r="AS1392" s="127">
        <v>54.430381069969357</v>
      </c>
      <c r="AT1392" s="127">
        <v>53.989724447760921</v>
      </c>
      <c r="AU1392" s="127">
        <v>53.461054630757189</v>
      </c>
      <c r="AV1392" s="127">
        <v>52.837277438377804</v>
      </c>
      <c r="AW1392" s="127">
        <v>52.115853200297622</v>
      </c>
      <c r="AX1392" s="128">
        <v>51.300962077540945</v>
      </c>
    </row>
    <row r="1393" spans="1:50" x14ac:dyDescent="0.25">
      <c r="A1393" s="356"/>
      <c r="B1393" s="358" t="s">
        <v>24</v>
      </c>
      <c r="C1393" s="353" t="s">
        <v>6</v>
      </c>
      <c r="D1393" s="3" t="s">
        <v>7</v>
      </c>
      <c r="E1393" s="162" t="str">
        <f>A1385&amp;"/"&amp;B1393&amp;"/"&amp;C1393&amp;"/"&amp;D1393</f>
        <v>Diesel oil fired power plants/Gas turbine /Electricity only/L</v>
      </c>
      <c r="F1393" s="77" t="str">
        <f>A1385</f>
        <v>Diesel oil fired power plants</v>
      </c>
      <c r="G1393" s="77" t="str">
        <f>B1393</f>
        <v xml:space="preserve">Gas turbine </v>
      </c>
      <c r="H1393" s="77" t="str">
        <f>C1393</f>
        <v>Electricity only</v>
      </c>
      <c r="I1393" s="163" t="str">
        <f t="shared" si="100"/>
        <v>L</v>
      </c>
      <c r="J1393" s="121">
        <v>10.44</v>
      </c>
      <c r="K1393" s="121">
        <v>10.438237041774983</v>
      </c>
      <c r="L1393" s="121">
        <v>10.43630110151514</v>
      </c>
      <c r="M1393" s="121">
        <v>10.434176591661133</v>
      </c>
      <c r="N1393" s="121">
        <v>10.431846813319822</v>
      </c>
      <c r="O1393" s="121">
        <v>10.429293940460713</v>
      </c>
      <c r="P1393" s="121">
        <v>10.426499019853351</v>
      </c>
      <c r="Q1393" s="121">
        <v>10.423441990765104</v>
      </c>
      <c r="R1393" s="121">
        <v>10.420101728972627</v>
      </c>
      <c r="S1393" s="121">
        <v>10.416456120155884</v>
      </c>
      <c r="T1393" s="121">
        <v>10.412482168204825</v>
      </c>
      <c r="U1393" s="121">
        <v>10.408156144328514</v>
      </c>
      <c r="V1393" s="121">
        <v>10.403453783055092</v>
      </c>
      <c r="W1393" s="121">
        <v>10.398350531175149</v>
      </c>
      <c r="X1393" s="121">
        <v>10.392821855325908</v>
      </c>
      <c r="Y1393" s="121">
        <v>10.386843613143011</v>
      </c>
      <c r="Z1393" s="121">
        <v>10.380392491620206</v>
      </c>
      <c r="AA1393" s="121">
        <v>10.373446514415475</v>
      </c>
      <c r="AB1393" s="121">
        <v>10.36598561724051</v>
      </c>
      <c r="AC1393" s="121">
        <v>10.357992287111806</v>
      </c>
      <c r="AD1393" s="121">
        <v>10.349452257116887</v>
      </c>
      <c r="AE1393" s="121">
        <v>10.340355243517003</v>
      </c>
      <c r="AF1393" s="121">
        <v>10.330695706617027</v>
      </c>
      <c r="AG1393" s="121">
        <v>10.320473611141733</v>
      </c>
      <c r="AH1393" s="121">
        <v>10.309695156242924</v>
      </c>
      <c r="AI1393" s="121">
        <v>10.298373440221402</v>
      </c>
      <c r="AJ1393" s="121">
        <v>10.28652902117839</v>
      </c>
      <c r="AK1393" s="121">
        <v>10.274190332768702</v>
      </c>
      <c r="AL1393" s="121">
        <v>10.26139391466095</v>
      </c>
      <c r="AM1393" s="121">
        <v>10.248184420771246</v>
      </c>
      <c r="AN1393" s="121">
        <v>10.234614375182124</v>
      </c>
      <c r="AO1393" s="121">
        <v>10.220743655945535</v>
      </c>
      <c r="AP1393" s="121">
        <v>10.206638700374521</v>
      </c>
      <c r="AQ1393" s="121">
        <v>10.192371441208403</v>
      </c>
      <c r="AR1393" s="121">
        <v>10.1780180000414</v>
      </c>
      <c r="AS1393" s="121">
        <v>10.163657181169665</v>
      </c>
      <c r="AT1393" s="121">
        <v>10.149368823908873</v>
      </c>
      <c r="AU1393" s="121">
        <v>10.135232082880725</v>
      </c>
      <c r="AV1393" s="121">
        <v>10.12132371244676</v>
      </c>
      <c r="AW1393" s="121">
        <v>10.107716432537014</v>
      </c>
      <c r="AX1393" s="122">
        <v>10.094477448347359</v>
      </c>
    </row>
    <row r="1394" spans="1:50" x14ac:dyDescent="0.25">
      <c r="A1394" s="356"/>
      <c r="B1394" s="359"/>
      <c r="C1394" s="350"/>
      <c r="D1394" s="2" t="s">
        <v>8</v>
      </c>
      <c r="E1394" s="160" t="str">
        <f>A1385&amp;"/"&amp;B1393&amp;"/"&amp;C1393&amp;"/"&amp;D1394</f>
        <v>Diesel oil fired power plants/Gas turbine /Electricity only/M</v>
      </c>
      <c r="F1394" s="76" t="str">
        <f>A1385</f>
        <v>Diesel oil fired power plants</v>
      </c>
      <c r="G1394" s="76" t="str">
        <f>B1393</f>
        <v xml:space="preserve">Gas turbine </v>
      </c>
      <c r="H1394" s="76" t="str">
        <f>C1393</f>
        <v>Electricity only</v>
      </c>
      <c r="I1394" s="161" t="str">
        <f t="shared" si="100"/>
        <v>M</v>
      </c>
      <c r="J1394" s="119">
        <v>10.909799999999997</v>
      </c>
      <c r="K1394" s="119">
        <v>10.907940879924393</v>
      </c>
      <c r="L1394" s="119">
        <v>10.905898731450341</v>
      </c>
      <c r="M1394" s="119">
        <v>10.903656934507422</v>
      </c>
      <c r="N1394" s="119">
        <v>10.901197657298637</v>
      </c>
      <c r="O1394" s="119">
        <v>10.898501832593544</v>
      </c>
      <c r="P1394" s="119">
        <v>10.895549149741406</v>
      </c>
      <c r="Q1394" s="119">
        <v>10.892318066648611</v>
      </c>
      <c r="R1394" s="119">
        <v>10.88878584657717</v>
      </c>
      <c r="S1394" s="119">
        <v>10.884928625233218</v>
      </c>
      <c r="T1394" s="119">
        <v>10.88072151419167</v>
      </c>
      <c r="U1394" s="119">
        <v>10.876138747199779</v>
      </c>
      <c r="V1394" s="119">
        <v>10.871153876257653</v>
      </c>
      <c r="W1394" s="119">
        <v>10.865740024512547</v>
      </c>
      <c r="X1394" s="119">
        <v>10.85987020283439</v>
      </c>
      <c r="Y1394" s="119">
        <v>10.853517696356956</v>
      </c>
      <c r="Z1394" s="119">
        <v>10.846656526155144</v>
      </c>
      <c r="AA1394" s="119">
        <v>10.839261989462676</v>
      </c>
      <c r="AB1394" s="119">
        <v>10.831311279300122</v>
      </c>
      <c r="AC1394" s="119">
        <v>10.822784180985522</v>
      </c>
      <c r="AD1394" s="119">
        <v>10.813663838683798</v>
      </c>
      <c r="AE1394" s="119">
        <v>10.803937579925647</v>
      </c>
      <c r="AF1394" s="119">
        <v>10.793597779991261</v>
      </c>
      <c r="AG1394" s="119">
        <v>10.78264274142575</v>
      </c>
      <c r="AH1394" s="119">
        <v>10.771077557087587</v>
      </c>
      <c r="AI1394" s="119">
        <v>10.758914918535842</v>
      </c>
      <c r="AJ1394" s="119">
        <v>10.746175825888931</v>
      </c>
      <c r="AK1394" s="119">
        <v>10.732890151305263</v>
      </c>
      <c r="AL1394" s="119">
        <v>10.719097006769111</v>
      </c>
      <c r="AM1394" s="119">
        <v>10.704844868703258</v>
      </c>
      <c r="AN1394" s="119">
        <v>10.690191417712054</v>
      </c>
      <c r="AO1394" s="119">
        <v>10.675203061837877</v>
      </c>
      <c r="AP1394" s="119">
        <v>10.659954126032455</v>
      </c>
      <c r="AQ1394" s="119">
        <v>10.644525708533344</v>
      </c>
      <c r="AR1394" s="119">
        <v>10.629004225378999</v>
      </c>
      <c r="AS1394" s="119">
        <v>10.613479685772287</v>
      </c>
      <c r="AT1394" s="119">
        <v>10.598043761424561</v>
      </c>
      <c r="AU1394" s="119">
        <v>10.58278773025123</v>
      </c>
      <c r="AV1394" s="119">
        <v>10.567800386859547</v>
      </c>
      <c r="AW1394" s="119">
        <v>10.553166017626442</v>
      </c>
      <c r="AX1394" s="120">
        <v>10.53896253596411</v>
      </c>
    </row>
    <row r="1395" spans="1:50" x14ac:dyDescent="0.25">
      <c r="A1395" s="356"/>
      <c r="B1395" s="359"/>
      <c r="C1395" s="350"/>
      <c r="D1395" s="2" t="s">
        <v>10</v>
      </c>
      <c r="E1395" s="160" t="str">
        <f>A1385&amp;"/"&amp;B1393&amp;"/"&amp;C1393&amp;"/"&amp;D1395</f>
        <v>Diesel oil fired power plants/Gas turbine /Electricity only/S</v>
      </c>
      <c r="F1395" s="76" t="str">
        <f>A1385</f>
        <v>Diesel oil fired power plants</v>
      </c>
      <c r="G1395" s="76" t="str">
        <f>B1393</f>
        <v xml:space="preserve">Gas turbine </v>
      </c>
      <c r="H1395" s="76" t="str">
        <f>C1393</f>
        <v>Electricity only</v>
      </c>
      <c r="I1395" s="161" t="str">
        <f t="shared" si="100"/>
        <v>S</v>
      </c>
      <c r="J1395" s="119">
        <v>13.091759999999995</v>
      </c>
      <c r="K1395" s="119">
        <v>13.090393105261736</v>
      </c>
      <c r="L1395" s="119">
        <v>13.088888088381479</v>
      </c>
      <c r="M1395" s="119">
        <v>13.08723163250766</v>
      </c>
      <c r="N1395" s="119">
        <v>13.085409275098659</v>
      </c>
      <c r="O1395" s="119">
        <v>13.083405339509756</v>
      </c>
      <c r="P1395" s="119">
        <v>13.081202869482794</v>
      </c>
      <c r="Q1395" s="119">
        <v>13.078783568619054</v>
      </c>
      <c r="R1395" s="119">
        <v>13.076127747385071</v>
      </c>
      <c r="S1395" s="119">
        <v>13.073214280734145</v>
      </c>
      <c r="T1395" s="119">
        <v>13.070020580021199</v>
      </c>
      <c r="U1395" s="119">
        <v>13.066522583540879</v>
      </c>
      <c r="V1395" s="119">
        <v>13.062694770717011</v>
      </c>
      <c r="W1395" s="119">
        <v>13.058510205697212</v>
      </c>
      <c r="X1395" s="119">
        <v>13.05394061683155</v>
      </c>
      <c r="Y1395" s="119">
        <v>13.048956519198105</v>
      </c>
      <c r="Z1395" s="119">
        <v>13.043527387926469</v>
      </c>
      <c r="AA1395" s="119">
        <v>13.037621890491216</v>
      </c>
      <c r="AB1395" s="119">
        <v>13.031208186311764</v>
      </c>
      <c r="AC1395" s="119">
        <v>13.024254301794354</v>
      </c>
      <c r="AD1395" s="119">
        <v>13.016728588261255</v>
      </c>
      <c r="AE1395" s="119">
        <v>13.008600268892501</v>
      </c>
      <c r="AF1395" s="119">
        <v>12.999840078713211</v>
      </c>
      <c r="AG1395" s="119">
        <v>12.990420998657076</v>
      </c>
      <c r="AH1395" s="119">
        <v>12.980319080711425</v>
      </c>
      <c r="AI1395" s="119">
        <v>12.969514356036154</v>
      </c>
      <c r="AJ1395" s="119">
        <v>12.957991811758134</v>
      </c>
      <c r="AK1395" s="119">
        <v>12.945742414992912</v>
      </c>
      <c r="AL1395" s="119">
        <v>12.932764154792636</v>
      </c>
      <c r="AM1395" s="119">
        <v>12.919063064585854</v>
      </c>
      <c r="AN1395" s="119">
        <v>12.90465417986103</v>
      </c>
      <c r="AO1395" s="119">
        <v>12.889562379124927</v>
      </c>
      <c r="AP1395" s="119">
        <v>12.873823051449179</v>
      </c>
      <c r="AQ1395" s="119">
        <v>12.857482532180375</v>
      </c>
      <c r="AR1395" s="119">
        <v>12.840598250566689</v>
      </c>
      <c r="AS1395" s="119">
        <v>12.823238539904004</v>
      </c>
      <c r="AT1395" s="119">
        <v>12.805482072745431</v>
      </c>
      <c r="AU1395" s="119">
        <v>12.787416900680851</v>
      </c>
      <c r="AV1395" s="119">
        <v>12.769139099504292</v>
      </c>
      <c r="AW1395" s="119">
        <v>12.750751044924048</v>
      </c>
      <c r="AX1395" s="120">
        <v>12.73235936941323</v>
      </c>
    </row>
    <row r="1396" spans="1:50" x14ac:dyDescent="0.25">
      <c r="A1396" s="356"/>
      <c r="B1396" s="359"/>
      <c r="C1396" s="360"/>
      <c r="D1396" s="2" t="s">
        <v>20</v>
      </c>
      <c r="E1396" s="160" t="str">
        <f>A1385&amp;"/"&amp;B1393&amp;"/"&amp;C1393&amp;"/"&amp;D1396</f>
        <v>Diesel oil fired power plants/Gas turbine /Electricity only/XS</v>
      </c>
      <c r="F1396" s="76" t="str">
        <f>A1385</f>
        <v>Diesel oil fired power plants</v>
      </c>
      <c r="G1396" s="76" t="str">
        <f>B1393</f>
        <v xml:space="preserve">Gas turbine </v>
      </c>
      <c r="H1396" s="76" t="str">
        <f>C1393</f>
        <v>Electricity only</v>
      </c>
      <c r="I1396" s="161" t="str">
        <f t="shared" si="100"/>
        <v>XS</v>
      </c>
      <c r="J1396" s="119">
        <v>18.983051999999994</v>
      </c>
      <c r="K1396" s="119">
        <v>18.981842398021755</v>
      </c>
      <c r="L1396" s="119">
        <v>18.980508626538779</v>
      </c>
      <c r="M1396" s="119">
        <v>18.979038288211378</v>
      </c>
      <c r="N1396" s="119">
        <v>18.977417824032134</v>
      </c>
      <c r="O1396" s="119">
        <v>18.975632421153769</v>
      </c>
      <c r="P1396" s="119">
        <v>18.973665917167349</v>
      </c>
      <c r="Q1396" s="119">
        <v>18.971500701652353</v>
      </c>
      <c r="R1396" s="119">
        <v>18.969117616116932</v>
      </c>
      <c r="S1396" s="119">
        <v>18.966495853804766</v>
      </c>
      <c r="T1396" s="119">
        <v>18.963612861271542</v>
      </c>
      <c r="U1396" s="119">
        <v>18.960444244137577</v>
      </c>
      <c r="V1396" s="119">
        <v>18.956963680009462</v>
      </c>
      <c r="W1396" s="119">
        <v>18.953142842239259</v>
      </c>
      <c r="X1396" s="119">
        <v>18.948951338955961</v>
      </c>
      <c r="Y1396" s="119">
        <v>18.944356672660422</v>
      </c>
      <c r="Z1396" s="119">
        <v>18.939324226612836</v>
      </c>
      <c r="AA1396" s="119">
        <v>18.933817285246615</v>
      </c>
      <c r="AB1396" s="119">
        <v>18.92779709688644</v>
      </c>
      <c r="AC1396" s="119">
        <v>18.921222988091458</v>
      </c>
      <c r="AD1396" s="119">
        <v>18.914052539928541</v>
      </c>
      <c r="AE1396" s="119">
        <v>18.906241837326782</v>
      </c>
      <c r="AF1396" s="119">
        <v>18.89774580327007</v>
      </c>
      <c r="AG1396" s="119">
        <v>18.888518629820961</v>
      </c>
      <c r="AH1396" s="119">
        <v>18.878514317680601</v>
      </c>
      <c r="AI1396" s="119">
        <v>18.867687334995519</v>
      </c>
      <c r="AJ1396" s="119">
        <v>18.855993404223735</v>
      </c>
      <c r="AK1396" s="119">
        <v>18.843390422862292</v>
      </c>
      <c r="AL1396" s="119">
        <v>18.829839519518885</v>
      </c>
      <c r="AM1396" s="119">
        <v>18.815306241019428</v>
      </c>
      <c r="AN1396" s="119">
        <v>18.799761858887184</v>
      </c>
      <c r="AO1396" s="119">
        <v>18.783184774623013</v>
      </c>
      <c r="AP1396" s="119">
        <v>18.765561992929758</v>
      </c>
      <c r="AQ1396" s="119">
        <v>18.746890620726596</v>
      </c>
      <c r="AR1396" s="119">
        <v>18.727179338097624</v>
      </c>
      <c r="AS1396" s="119">
        <v>18.706449776077903</v>
      </c>
      <c r="AT1396" s="119">
        <v>18.684737726511056</v>
      </c>
      <c r="AU1396" s="119">
        <v>18.662094102425357</v>
      </c>
      <c r="AV1396" s="119">
        <v>18.638585564874663</v>
      </c>
      <c r="AW1396" s="119">
        <v>18.61429473532376</v>
      </c>
      <c r="AX1396" s="120">
        <v>18.58931992251215</v>
      </c>
    </row>
    <row r="1397" spans="1:50" x14ac:dyDescent="0.25">
      <c r="A1397" s="356"/>
      <c r="B1397" s="359"/>
      <c r="C1397" s="361" t="s">
        <v>14</v>
      </c>
      <c r="D1397" s="58" t="s">
        <v>7</v>
      </c>
      <c r="E1397" s="164" t="str">
        <f>A1385&amp;"/"&amp;B1393&amp;"/"&amp;C1397&amp;"/"&amp;D1397</f>
        <v>Diesel oil fired power plants/Gas turbine /CHP/L</v>
      </c>
      <c r="F1397" s="78" t="str">
        <f>A1385</f>
        <v>Diesel oil fired power plants</v>
      </c>
      <c r="G1397" s="78" t="str">
        <f>B1393</f>
        <v xml:space="preserve">Gas turbine </v>
      </c>
      <c r="H1397" s="78" t="str">
        <f>C1397</f>
        <v>CHP</v>
      </c>
      <c r="I1397" s="165" t="str">
        <f t="shared" si="100"/>
        <v>L</v>
      </c>
      <c r="J1397" s="123">
        <v>14.4918</v>
      </c>
      <c r="K1397" s="123">
        <v>14.489785938910265</v>
      </c>
      <c r="L1397" s="123">
        <v>14.487571750485024</v>
      </c>
      <c r="M1397" s="123">
        <v>14.485138862222561</v>
      </c>
      <c r="N1397" s="123">
        <v>14.482467258171956</v>
      </c>
      <c r="O1397" s="123">
        <v>14.479535427449054</v>
      </c>
      <c r="P1397" s="123">
        <v>14.476320325525323</v>
      </c>
      <c r="Q1397" s="123">
        <v>14.472797352418898</v>
      </c>
      <c r="R1397" s="123">
        <v>14.468940352608197</v>
      </c>
      <c r="S1397" s="123">
        <v>14.464721642214915</v>
      </c>
      <c r="T1397" s="123">
        <v>14.460112069739996</v>
      </c>
      <c r="U1397" s="123">
        <v>14.455081117347634</v>
      </c>
      <c r="V1397" s="123">
        <v>14.449597050328844</v>
      </c>
      <c r="W1397" s="123">
        <v>14.443627122872565</v>
      </c>
      <c r="X1397" s="123">
        <v>14.43713784854625</v>
      </c>
      <c r="Y1397" s="123">
        <v>14.430095343838586</v>
      </c>
      <c r="Z1397" s="123">
        <v>14.422465752626662</v>
      </c>
      <c r="AA1397" s="123">
        <v>14.414215758366709</v>
      </c>
      <c r="AB1397" s="123">
        <v>14.40531318903192</v>
      </c>
      <c r="AC1397" s="123">
        <v>14.395727717196616</v>
      </c>
      <c r="AD1397" s="123">
        <v>14.385431654075648</v>
      </c>
      <c r="AE1397" s="123">
        <v>14.374400831693046</v>
      </c>
      <c r="AF1397" s="123">
        <v>14.362615561661755</v>
      </c>
      <c r="AG1397" s="123">
        <v>14.35006165238781</v>
      </c>
      <c r="AH1397" s="123">
        <v>14.336731459073363</v>
      </c>
      <c r="AI1397" s="123">
        <v>14.32262493303848</v>
      </c>
      <c r="AJ1397" s="123">
        <v>14.307750629133443</v>
      </c>
      <c r="AK1397" s="123">
        <v>14.29212662305728</v>
      </c>
      <c r="AL1397" s="123">
        <v>14.275781285058617</v>
      </c>
      <c r="AM1397" s="123">
        <v>14.258753853676446</v>
      </c>
      <c r="AN1397" s="123">
        <v>14.24109475377599</v>
      </c>
      <c r="AO1397" s="123">
        <v>14.222865607911224</v>
      </c>
      <c r="AP1397" s="123">
        <v>14.204138899492181</v>
      </c>
      <c r="AQ1397" s="123">
        <v>14.184997260431343</v>
      </c>
      <c r="AR1397" s="123">
        <v>14.165532374443512</v>
      </c>
      <c r="AS1397" s="123">
        <v>14.145843508950161</v>
      </c>
      <c r="AT1397" s="123">
        <v>14.126035712006587</v>
      </c>
      <c r="AU1397" s="123">
        <v>14.106217733805741</v>
      </c>
      <c r="AV1397" s="123">
        <v>14.08649975287099</v>
      </c>
      <c r="AW1397" s="123">
        <v>14.066991002845722</v>
      </c>
      <c r="AX1397" s="124">
        <v>14.047797405006246</v>
      </c>
    </row>
    <row r="1398" spans="1:50" x14ac:dyDescent="0.25">
      <c r="A1398" s="356"/>
      <c r="B1398" s="359"/>
      <c r="C1398" s="350"/>
      <c r="D1398" s="2" t="s">
        <v>8</v>
      </c>
      <c r="E1398" s="160" t="str">
        <f>A1385&amp;"/"&amp;B1393&amp;"/"&amp;C1397&amp;"/"&amp;D1398</f>
        <v>Diesel oil fired power plants/Gas turbine /CHP/M</v>
      </c>
      <c r="F1398" s="76" t="str">
        <f>A1385</f>
        <v>Diesel oil fired power plants</v>
      </c>
      <c r="G1398" s="76" t="str">
        <f>B1393</f>
        <v xml:space="preserve">Gas turbine </v>
      </c>
      <c r="H1398" s="76" t="str">
        <f>C1397</f>
        <v>CHP</v>
      </c>
      <c r="I1398" s="161" t="str">
        <f t="shared" si="100"/>
        <v>M</v>
      </c>
      <c r="J1398" s="119">
        <v>14.947505999999995</v>
      </c>
      <c r="K1398" s="119">
        <v>14.94519559296314</v>
      </c>
      <c r="L1398" s="119">
        <v>14.942656288667672</v>
      </c>
      <c r="M1398" s="119">
        <v>14.939866992559155</v>
      </c>
      <c r="N1398" s="119">
        <v>14.936805003889665</v>
      </c>
      <c r="O1398" s="119">
        <v>14.933445966858134</v>
      </c>
      <c r="P1398" s="119">
        <v>14.929763838230022</v>
      </c>
      <c r="Q1398" s="119">
        <v>14.925730876428373</v>
      </c>
      <c r="R1398" s="119">
        <v>14.921317657893315</v>
      </c>
      <c r="S1398" s="119">
        <v>14.916493127343808</v>
      </c>
      <c r="T1398" s="119">
        <v>14.911224689411368</v>
      </c>
      <c r="U1398" s="119">
        <v>14.905478349904037</v>
      </c>
      <c r="V1398" s="119">
        <v>14.899218915637068</v>
      </c>
      <c r="W1398" s="119">
        <v>14.892410262252167</v>
      </c>
      <c r="X1398" s="119">
        <v>14.885015679636563</v>
      </c>
      <c r="Y1398" s="119">
        <v>14.876998304321987</v>
      </c>
      <c r="Z1398" s="119">
        <v>14.868321647447145</v>
      </c>
      <c r="AA1398" s="119">
        <v>14.858950225345886</v>
      </c>
      <c r="AB1398" s="119">
        <v>14.848850297410845</v>
      </c>
      <c r="AC1398" s="119">
        <v>14.837990712420755</v>
      </c>
      <c r="AD1398" s="119">
        <v>14.826343859878905</v>
      </c>
      <c r="AE1398" s="119">
        <v>14.813886717015018</v>
      </c>
      <c r="AF1398" s="119">
        <v>14.800601974965534</v>
      </c>
      <c r="AG1398" s="119">
        <v>14.786479219403795</v>
      </c>
      <c r="AH1398" s="119">
        <v>14.771516131838082</v>
      </c>
      <c r="AI1398" s="119">
        <v>14.755719668418015</v>
      </c>
      <c r="AJ1398" s="119">
        <v>14.739107164081171</v>
      </c>
      <c r="AK1398" s="119">
        <v>14.721707302123264</v>
      </c>
      <c r="AL1398" s="119">
        <v>14.703560883835809</v>
      </c>
      <c r="AM1398" s="119">
        <v>14.684721330851419</v>
      </c>
      <c r="AN1398" s="119">
        <v>14.665254855347689</v>
      </c>
      <c r="AO1398" s="119">
        <v>14.645240241158056</v>
      </c>
      <c r="AP1398" s="119">
        <v>14.62476819260522</v>
      </c>
      <c r="AQ1398" s="119">
        <v>14.603940227429565</v>
      </c>
      <c r="AR1398" s="119">
        <v>14.582867114755519</v>
      </c>
      <c r="AS1398" s="119">
        <v>14.561666887097777</v>
      </c>
      <c r="AT1398" s="119">
        <v>14.540462484743239</v>
      </c>
      <c r="AU1398" s="119">
        <v>14.519379118738501</v>
      </c>
      <c r="AV1398" s="119">
        <v>14.498541462258638</v>
      </c>
      <c r="AW1398" s="119">
        <v>14.478070796618706</v>
      </c>
      <c r="AX1398" s="120">
        <v>14.458082245506411</v>
      </c>
    </row>
    <row r="1399" spans="1:50" x14ac:dyDescent="0.25">
      <c r="A1399" s="356"/>
      <c r="B1399" s="359"/>
      <c r="C1399" s="350"/>
      <c r="D1399" s="2" t="s">
        <v>10</v>
      </c>
      <c r="E1399" s="160" t="str">
        <f>A1385&amp;"/"&amp;B1393&amp;"/"&amp;C1397&amp;"/"&amp;D1399</f>
        <v>Diesel oil fired power plants/Gas turbine /CHP/S</v>
      </c>
      <c r="F1399" s="76" t="str">
        <f>A1385</f>
        <v>Diesel oil fired power plants</v>
      </c>
      <c r="G1399" s="76" t="str">
        <f>B1393</f>
        <v xml:space="preserve">Gas turbine </v>
      </c>
      <c r="H1399" s="76" t="str">
        <f>C1397</f>
        <v>CHP</v>
      </c>
      <c r="I1399" s="161" t="str">
        <f t="shared" si="100"/>
        <v>S</v>
      </c>
      <c r="J1399" s="119">
        <v>16.540207199999994</v>
      </c>
      <c r="K1399" s="119">
        <v>16.538789270126454</v>
      </c>
      <c r="L1399" s="119">
        <v>16.537227016477178</v>
      </c>
      <c r="M1399" s="119">
        <v>16.535506296707801</v>
      </c>
      <c r="N1399" s="119">
        <v>16.533611701442631</v>
      </c>
      <c r="O1399" s="119">
        <v>16.531526466720898</v>
      </c>
      <c r="P1399" s="119">
        <v>16.529232386326296</v>
      </c>
      <c r="Q1399" s="119">
        <v>16.526709725664972</v>
      </c>
      <c r="R1399" s="119">
        <v>16.523937139297665</v>
      </c>
      <c r="S1399" s="119">
        <v>16.52089159474491</v>
      </c>
      <c r="T1399" s="119">
        <v>16.517548305775158</v>
      </c>
      <c r="U1399" s="119">
        <v>16.513880679056488</v>
      </c>
      <c r="V1399" s="119">
        <v>16.509860278801508</v>
      </c>
      <c r="W1399" s="119">
        <v>16.505456814856256</v>
      </c>
      <c r="X1399" s="119">
        <v>16.500638160562605</v>
      </c>
      <c r="Y1399" s="119">
        <v>16.495370407637488</v>
      </c>
      <c r="Z1399" s="119">
        <v>16.489617966224877</v>
      </c>
      <c r="AA1399" s="119">
        <v>16.483343719137448</v>
      </c>
      <c r="AB1399" s="119">
        <v>16.476509240045431</v>
      </c>
      <c r="AC1399" s="119">
        <v>16.469075085899991</v>
      </c>
      <c r="AD1399" s="119">
        <v>16.461001174085432</v>
      </c>
      <c r="AE1399" s="119">
        <v>16.452247254542019</v>
      </c>
      <c r="AF1399" s="119">
        <v>16.442773486231577</v>
      </c>
      <c r="AG1399" s="119">
        <v>16.432541125656837</v>
      </c>
      <c r="AH1399" s="119">
        <v>16.421513332511509</v>
      </c>
      <c r="AI1399" s="119">
        <v>16.409656093758414</v>
      </c>
      <c r="AJ1399" s="119">
        <v>16.396939262365983</v>
      </c>
      <c r="AK1399" s="119">
        <v>16.3833377004966</v>
      </c>
      <c r="AL1399" s="119">
        <v>16.368832509147413</v>
      </c>
      <c r="AM1399" s="119">
        <v>16.353412317243215</v>
      </c>
      <c r="AN1399" s="119">
        <v>16.337074593295938</v>
      </c>
      <c r="AO1399" s="119">
        <v>16.319826932506214</v>
      </c>
      <c r="AP1399" s="119">
        <v>16.301688262346303</v>
      </c>
      <c r="AQ1399" s="119">
        <v>16.282689901203216</v>
      </c>
      <c r="AR1399" s="119">
        <v>16.262876398721843</v>
      </c>
      <c r="AS1399" s="119">
        <v>16.242306084299944</v>
      </c>
      <c r="AT1399" s="119">
        <v>16.221051252928433</v>
      </c>
      <c r="AU1399" s="119">
        <v>16.199197926193193</v>
      </c>
      <c r="AV1399" s="119">
        <v>16.176845141286826</v>
      </c>
      <c r="AW1399" s="119">
        <v>16.154103742232053</v>
      </c>
      <c r="AX1399" s="120">
        <v>16.131094674346397</v>
      </c>
    </row>
    <row r="1400" spans="1:50" x14ac:dyDescent="0.25">
      <c r="A1400" s="356"/>
      <c r="B1400" s="359"/>
      <c r="C1400" s="360"/>
      <c r="D1400" s="59" t="s">
        <v>20</v>
      </c>
      <c r="E1400" s="166" t="str">
        <f>A1385&amp;"/"&amp;B1393&amp;"/"&amp;C1397&amp;"/"&amp;D1400</f>
        <v>Diesel oil fired power plants/Gas turbine /CHP/XS</v>
      </c>
      <c r="F1400" s="79" t="str">
        <f>A1385</f>
        <v>Diesel oil fired power plants</v>
      </c>
      <c r="G1400" s="79" t="str">
        <f>B1393</f>
        <v xml:space="preserve">Gas turbine </v>
      </c>
      <c r="H1400" s="79" t="str">
        <f>C1397</f>
        <v>CHP</v>
      </c>
      <c r="I1400" s="167" t="str">
        <f t="shared" si="100"/>
        <v>XS</v>
      </c>
      <c r="J1400" s="125">
        <v>21.207160439999992</v>
      </c>
      <c r="K1400" s="125">
        <v>21.205936598892169</v>
      </c>
      <c r="L1400" s="125">
        <v>21.204586836166524</v>
      </c>
      <c r="M1400" s="125">
        <v>21.203098515987961</v>
      </c>
      <c r="N1400" s="125">
        <v>21.201457804494325</v>
      </c>
      <c r="O1400" s="125">
        <v>21.199649571549337</v>
      </c>
      <c r="P1400" s="125">
        <v>21.197657287890063</v>
      </c>
      <c r="Q1400" s="125">
        <v>21.195462918313581</v>
      </c>
      <c r="R1400" s="125">
        <v>21.19304681181929</v>
      </c>
      <c r="S1400" s="125">
        <v>21.190387589954909</v>
      </c>
      <c r="T1400" s="125">
        <v>21.187462035013592</v>
      </c>
      <c r="U1400" s="125">
        <v>21.184244980205765</v>
      </c>
      <c r="V1400" s="125">
        <v>21.180709204490935</v>
      </c>
      <c r="W1400" s="125">
        <v>21.176825335409326</v>
      </c>
      <c r="X1400" s="125">
        <v>21.172561764006719</v>
      </c>
      <c r="Y1400" s="125">
        <v>21.167884576801352</v>
      </c>
      <c r="Z1400" s="125">
        <v>21.162757510696913</v>
      </c>
      <c r="AA1400" s="125">
        <v>21.157141937792733</v>
      </c>
      <c r="AB1400" s="125">
        <v>21.150996888163064</v>
      </c>
      <c r="AC1400" s="125">
        <v>21.144279119842487</v>
      </c>
      <c r="AD1400" s="125">
        <v>21.136943246418479</v>
      </c>
      <c r="AE1400" s="125">
        <v>21.128941933730022</v>
      </c>
      <c r="AF1400" s="125">
        <v>21.12022617811569</v>
      </c>
      <c r="AG1400" s="125">
        <v>21.110745679330257</v>
      </c>
      <c r="AH1400" s="125">
        <v>21.100449321512805</v>
      </c>
      <c r="AI1400" s="125">
        <v>21.089285775267268</v>
      </c>
      <c r="AJ1400" s="125">
        <v>21.0772042328075</v>
      </c>
      <c r="AK1400" s="125">
        <v>21.064155286000229</v>
      </c>
      <c r="AL1400" s="125">
        <v>21.050091953780466</v>
      </c>
      <c r="AM1400" s="125">
        <v>21.034970860593798</v>
      </c>
      <c r="AN1400" s="125">
        <v>21.01875356105819</v>
      </c>
      <c r="AO1400" s="125">
        <v>21.001407997829361</v>
      </c>
      <c r="AP1400" s="125">
        <v>20.982910069715679</v>
      </c>
      <c r="AQ1400" s="125">
        <v>20.963245275610149</v>
      </c>
      <c r="AR1400" s="125">
        <v>20.942410387200709</v>
      </c>
      <c r="AS1400" s="125">
        <v>20.920415090362695</v>
      </c>
      <c r="AT1400" s="125">
        <v>20.89728352259371</v>
      </c>
      <c r="AU1400" s="125">
        <v>20.873055623061568</v>
      </c>
      <c r="AV1400" s="125">
        <v>20.847788204262486</v>
      </c>
      <c r="AW1400" s="125">
        <v>20.821555651496237</v>
      </c>
      <c r="AX1400" s="126">
        <v>20.794450159861285</v>
      </c>
    </row>
    <row r="1401" spans="1:50" x14ac:dyDescent="0.25">
      <c r="A1401" s="356"/>
      <c r="B1401" s="359"/>
      <c r="C1401" s="361" t="s">
        <v>15</v>
      </c>
      <c r="D1401" s="58" t="s">
        <v>7</v>
      </c>
      <c r="E1401" s="164" t="str">
        <f>A1385&amp;"/"&amp;B1393&amp;"/"&amp;C1401&amp;"/"&amp;D1401</f>
        <v>Diesel oil fired power plants/Gas turbine /Electricity only with CCS/L</v>
      </c>
      <c r="F1401" s="78" t="str">
        <f>A1385</f>
        <v>Diesel oil fired power plants</v>
      </c>
      <c r="G1401" s="78" t="str">
        <f>B1393</f>
        <v xml:space="preserve">Gas turbine </v>
      </c>
      <c r="H1401" s="78" t="str">
        <f>C1401</f>
        <v>Electricity only with CCS</v>
      </c>
      <c r="I1401" s="165" t="str">
        <f t="shared" si="100"/>
        <v>L</v>
      </c>
      <c r="J1401" s="123" t="s">
        <v>112</v>
      </c>
      <c r="K1401" s="123" t="s">
        <v>112</v>
      </c>
      <c r="L1401" s="123" t="s">
        <v>112</v>
      </c>
      <c r="M1401" s="123" t="s">
        <v>112</v>
      </c>
      <c r="N1401" s="123" t="s">
        <v>112</v>
      </c>
      <c r="O1401" s="123" t="s">
        <v>112</v>
      </c>
      <c r="P1401" s="123" t="s">
        <v>112</v>
      </c>
      <c r="Q1401" s="123" t="s">
        <v>112</v>
      </c>
      <c r="R1401" s="123" t="s">
        <v>112</v>
      </c>
      <c r="S1401" s="123" t="s">
        <v>112</v>
      </c>
      <c r="T1401" s="123" t="s">
        <v>112</v>
      </c>
      <c r="U1401" s="123" t="s">
        <v>112</v>
      </c>
      <c r="V1401" s="123" t="s">
        <v>112</v>
      </c>
      <c r="W1401" s="123" t="s">
        <v>112</v>
      </c>
      <c r="X1401" s="123" t="s">
        <v>112</v>
      </c>
      <c r="Y1401" s="123" t="s">
        <v>112</v>
      </c>
      <c r="Z1401" s="123" t="s">
        <v>112</v>
      </c>
      <c r="AA1401" s="123" t="s">
        <v>112</v>
      </c>
      <c r="AB1401" s="123" t="s">
        <v>112</v>
      </c>
      <c r="AC1401" s="123" t="s">
        <v>112</v>
      </c>
      <c r="AD1401" s="123" t="s">
        <v>112</v>
      </c>
      <c r="AE1401" s="123">
        <v>27.405000000000001</v>
      </c>
      <c r="AF1401" s="123">
        <v>27.405000000000001</v>
      </c>
      <c r="AG1401" s="123">
        <v>27.405000000000001</v>
      </c>
      <c r="AH1401" s="123">
        <v>27.405000000000001</v>
      </c>
      <c r="AI1401" s="123">
        <v>27.405000000000001</v>
      </c>
      <c r="AJ1401" s="123">
        <v>27.405000000000001</v>
      </c>
      <c r="AK1401" s="123">
        <v>27.405000000000001</v>
      </c>
      <c r="AL1401" s="123">
        <v>27.405000000000001</v>
      </c>
      <c r="AM1401" s="123">
        <v>27.405000000000001</v>
      </c>
      <c r="AN1401" s="123">
        <v>27.405000000000001</v>
      </c>
      <c r="AO1401" s="123">
        <v>27.405000000000001</v>
      </c>
      <c r="AP1401" s="123">
        <v>27.405000000000001</v>
      </c>
      <c r="AQ1401" s="123">
        <v>27.405000000000001</v>
      </c>
      <c r="AR1401" s="123">
        <v>27.405000000000001</v>
      </c>
      <c r="AS1401" s="123">
        <v>27.405000000000001</v>
      </c>
      <c r="AT1401" s="123">
        <v>27.405000000000001</v>
      </c>
      <c r="AU1401" s="123">
        <v>27.405000000000001</v>
      </c>
      <c r="AV1401" s="123">
        <v>27.405000000000001</v>
      </c>
      <c r="AW1401" s="123">
        <v>27.405000000000001</v>
      </c>
      <c r="AX1401" s="124">
        <v>27.405000000000001</v>
      </c>
    </row>
    <row r="1402" spans="1:50" x14ac:dyDescent="0.25">
      <c r="A1402" s="356"/>
      <c r="B1402" s="359"/>
      <c r="C1402" s="360"/>
      <c r="D1402" s="59" t="s">
        <v>8</v>
      </c>
      <c r="E1402" s="166" t="str">
        <f>A1385&amp;"/"&amp;B1393&amp;"/"&amp;C1401&amp;"/"&amp;D1402</f>
        <v>Diesel oil fired power plants/Gas turbine /Electricity only with CCS/M</v>
      </c>
      <c r="F1402" s="79" t="str">
        <f>A1385</f>
        <v>Diesel oil fired power plants</v>
      </c>
      <c r="G1402" s="79" t="str">
        <f>B1393</f>
        <v xml:space="preserve">Gas turbine </v>
      </c>
      <c r="H1402" s="79" t="str">
        <f>C1401</f>
        <v>Electricity only with CCS</v>
      </c>
      <c r="I1402" s="167" t="str">
        <f t="shared" si="100"/>
        <v>M</v>
      </c>
      <c r="J1402" s="125" t="s">
        <v>112</v>
      </c>
      <c r="K1402" s="125" t="s">
        <v>112</v>
      </c>
      <c r="L1402" s="125" t="s">
        <v>112</v>
      </c>
      <c r="M1402" s="125" t="s">
        <v>112</v>
      </c>
      <c r="N1402" s="125" t="s">
        <v>112</v>
      </c>
      <c r="O1402" s="125" t="s">
        <v>112</v>
      </c>
      <c r="P1402" s="125" t="s">
        <v>112</v>
      </c>
      <c r="Q1402" s="125" t="s">
        <v>112</v>
      </c>
      <c r="R1402" s="125" t="s">
        <v>112</v>
      </c>
      <c r="S1402" s="125" t="s">
        <v>112</v>
      </c>
      <c r="T1402" s="125" t="s">
        <v>112</v>
      </c>
      <c r="U1402" s="125" t="s">
        <v>112</v>
      </c>
      <c r="V1402" s="125" t="s">
        <v>112</v>
      </c>
      <c r="W1402" s="125" t="s">
        <v>112</v>
      </c>
      <c r="X1402" s="125" t="s">
        <v>112</v>
      </c>
      <c r="Y1402" s="125" t="s">
        <v>112</v>
      </c>
      <c r="Z1402" s="125" t="s">
        <v>112</v>
      </c>
      <c r="AA1402" s="125" t="s">
        <v>112</v>
      </c>
      <c r="AB1402" s="125" t="s">
        <v>112</v>
      </c>
      <c r="AC1402" s="125" t="s">
        <v>112</v>
      </c>
      <c r="AD1402" s="125" t="s">
        <v>112</v>
      </c>
      <c r="AE1402" s="125">
        <v>32.952150000000003</v>
      </c>
      <c r="AF1402" s="125">
        <v>32.952150000000003</v>
      </c>
      <c r="AG1402" s="125">
        <v>32.952150000000003</v>
      </c>
      <c r="AH1402" s="125">
        <v>32.952150000000003</v>
      </c>
      <c r="AI1402" s="125">
        <v>32.952150000000003</v>
      </c>
      <c r="AJ1402" s="125">
        <v>32.952150000000003</v>
      </c>
      <c r="AK1402" s="125">
        <v>32.952150000000003</v>
      </c>
      <c r="AL1402" s="125">
        <v>32.952150000000003</v>
      </c>
      <c r="AM1402" s="125">
        <v>32.952150000000003</v>
      </c>
      <c r="AN1402" s="125">
        <v>32.952150000000003</v>
      </c>
      <c r="AO1402" s="125">
        <v>32.952150000000003</v>
      </c>
      <c r="AP1402" s="125">
        <v>32.952150000000003</v>
      </c>
      <c r="AQ1402" s="125">
        <v>32.952150000000003</v>
      </c>
      <c r="AR1402" s="125">
        <v>32.952150000000003</v>
      </c>
      <c r="AS1402" s="125">
        <v>32.952150000000003</v>
      </c>
      <c r="AT1402" s="125">
        <v>32.952150000000003</v>
      </c>
      <c r="AU1402" s="125">
        <v>32.952150000000003</v>
      </c>
      <c r="AV1402" s="125">
        <v>32.952150000000003</v>
      </c>
      <c r="AW1402" s="125">
        <v>32.952150000000003</v>
      </c>
      <c r="AX1402" s="126">
        <v>32.952150000000003</v>
      </c>
    </row>
    <row r="1403" spans="1:50" x14ac:dyDescent="0.25">
      <c r="A1403" s="356"/>
      <c r="B1403" s="359"/>
      <c r="C1403" s="361" t="s">
        <v>16</v>
      </c>
      <c r="D1403" s="2" t="s">
        <v>7</v>
      </c>
      <c r="E1403" s="160" t="str">
        <f>A1385&amp;"/"&amp;B1393&amp;"/"&amp;C1403&amp;"/"&amp;D1403</f>
        <v>Diesel oil fired power plants/Gas turbine /CHP with CCS/L</v>
      </c>
      <c r="F1403" s="76" t="str">
        <f>A1385</f>
        <v>Diesel oil fired power plants</v>
      </c>
      <c r="G1403" s="76" t="str">
        <f>B1393</f>
        <v xml:space="preserve">Gas turbine </v>
      </c>
      <c r="H1403" s="76" t="str">
        <f>C1403</f>
        <v>CHP with CCS</v>
      </c>
      <c r="I1403" s="161" t="str">
        <f t="shared" si="100"/>
        <v>L</v>
      </c>
      <c r="J1403" s="119" t="s">
        <v>112</v>
      </c>
      <c r="K1403" s="119" t="s">
        <v>112</v>
      </c>
      <c r="L1403" s="119" t="s">
        <v>112</v>
      </c>
      <c r="M1403" s="119" t="s">
        <v>112</v>
      </c>
      <c r="N1403" s="119" t="s">
        <v>112</v>
      </c>
      <c r="O1403" s="119" t="s">
        <v>112</v>
      </c>
      <c r="P1403" s="119" t="s">
        <v>112</v>
      </c>
      <c r="Q1403" s="119" t="s">
        <v>112</v>
      </c>
      <c r="R1403" s="119" t="s">
        <v>112</v>
      </c>
      <c r="S1403" s="119" t="s">
        <v>112</v>
      </c>
      <c r="T1403" s="119" t="s">
        <v>112</v>
      </c>
      <c r="U1403" s="119" t="s">
        <v>112</v>
      </c>
      <c r="V1403" s="119" t="s">
        <v>112</v>
      </c>
      <c r="W1403" s="119" t="s">
        <v>112</v>
      </c>
      <c r="X1403" s="119" t="s">
        <v>112</v>
      </c>
      <c r="Y1403" s="119" t="s">
        <v>112</v>
      </c>
      <c r="Z1403" s="119" t="s">
        <v>112</v>
      </c>
      <c r="AA1403" s="119" t="s">
        <v>112</v>
      </c>
      <c r="AB1403" s="119" t="s">
        <v>112</v>
      </c>
      <c r="AC1403" s="119" t="s">
        <v>112</v>
      </c>
      <c r="AD1403" s="119" t="s">
        <v>112</v>
      </c>
      <c r="AE1403" s="119">
        <v>31.166100000000004</v>
      </c>
      <c r="AF1403" s="119">
        <v>31.166100000000004</v>
      </c>
      <c r="AG1403" s="119">
        <v>31.166100000000004</v>
      </c>
      <c r="AH1403" s="119">
        <v>31.166100000000004</v>
      </c>
      <c r="AI1403" s="119">
        <v>31.166100000000004</v>
      </c>
      <c r="AJ1403" s="119">
        <v>31.166100000000004</v>
      </c>
      <c r="AK1403" s="119">
        <v>31.166100000000004</v>
      </c>
      <c r="AL1403" s="119">
        <v>31.166100000000004</v>
      </c>
      <c r="AM1403" s="119">
        <v>31.166100000000004</v>
      </c>
      <c r="AN1403" s="119">
        <v>31.166100000000004</v>
      </c>
      <c r="AO1403" s="119">
        <v>31.166100000000004</v>
      </c>
      <c r="AP1403" s="119">
        <v>31.166100000000004</v>
      </c>
      <c r="AQ1403" s="119">
        <v>31.166100000000004</v>
      </c>
      <c r="AR1403" s="119">
        <v>31.166100000000004</v>
      </c>
      <c r="AS1403" s="119">
        <v>31.166100000000004</v>
      </c>
      <c r="AT1403" s="119">
        <v>31.166100000000004</v>
      </c>
      <c r="AU1403" s="119">
        <v>31.166100000000004</v>
      </c>
      <c r="AV1403" s="119">
        <v>31.166100000000004</v>
      </c>
      <c r="AW1403" s="119">
        <v>31.166100000000004</v>
      </c>
      <c r="AX1403" s="120">
        <v>31.166100000000004</v>
      </c>
    </row>
    <row r="1404" spans="1:50" x14ac:dyDescent="0.25">
      <c r="A1404" s="356"/>
      <c r="B1404" s="362"/>
      <c r="C1404" s="354"/>
      <c r="D1404" s="4" t="s">
        <v>8</v>
      </c>
      <c r="E1404" s="168" t="str">
        <f>A1385&amp;"/"&amp;B1393&amp;"/"&amp;C1403&amp;"/"&amp;D1404</f>
        <v>Diesel oil fired power plants/Gas turbine /CHP with CCS/M</v>
      </c>
      <c r="F1404" s="80" t="str">
        <f>A1385</f>
        <v>Diesel oil fired power plants</v>
      </c>
      <c r="G1404" s="80" t="str">
        <f>B1393</f>
        <v xml:space="preserve">Gas turbine </v>
      </c>
      <c r="H1404" s="80" t="str">
        <f>C1403</f>
        <v>CHP with CCS</v>
      </c>
      <c r="I1404" s="169" t="str">
        <f t="shared" si="100"/>
        <v>M</v>
      </c>
      <c r="J1404" s="127" t="s">
        <v>112</v>
      </c>
      <c r="K1404" s="127" t="s">
        <v>112</v>
      </c>
      <c r="L1404" s="127" t="s">
        <v>112</v>
      </c>
      <c r="M1404" s="127" t="s">
        <v>112</v>
      </c>
      <c r="N1404" s="127" t="s">
        <v>112</v>
      </c>
      <c r="O1404" s="127" t="s">
        <v>112</v>
      </c>
      <c r="P1404" s="127" t="s">
        <v>112</v>
      </c>
      <c r="Q1404" s="127" t="s">
        <v>112</v>
      </c>
      <c r="R1404" s="127" t="s">
        <v>112</v>
      </c>
      <c r="S1404" s="127" t="s">
        <v>112</v>
      </c>
      <c r="T1404" s="127" t="s">
        <v>112</v>
      </c>
      <c r="U1404" s="127" t="s">
        <v>112</v>
      </c>
      <c r="V1404" s="127" t="s">
        <v>112</v>
      </c>
      <c r="W1404" s="127" t="s">
        <v>112</v>
      </c>
      <c r="X1404" s="127" t="s">
        <v>112</v>
      </c>
      <c r="Y1404" s="127" t="s">
        <v>112</v>
      </c>
      <c r="Z1404" s="127" t="s">
        <v>112</v>
      </c>
      <c r="AA1404" s="127" t="s">
        <v>112</v>
      </c>
      <c r="AB1404" s="127" t="s">
        <v>112</v>
      </c>
      <c r="AC1404" s="127" t="s">
        <v>112</v>
      </c>
      <c r="AD1404" s="127" t="s">
        <v>112</v>
      </c>
      <c r="AE1404" s="127">
        <v>36.546835499999993</v>
      </c>
      <c r="AF1404" s="127">
        <v>36.546835499999993</v>
      </c>
      <c r="AG1404" s="127">
        <v>36.546835499999993</v>
      </c>
      <c r="AH1404" s="127">
        <v>36.546835499999993</v>
      </c>
      <c r="AI1404" s="127">
        <v>36.546835499999993</v>
      </c>
      <c r="AJ1404" s="127">
        <v>36.546835499999993</v>
      </c>
      <c r="AK1404" s="127">
        <v>36.546835499999993</v>
      </c>
      <c r="AL1404" s="127">
        <v>36.546835499999993</v>
      </c>
      <c r="AM1404" s="127">
        <v>36.546835499999993</v>
      </c>
      <c r="AN1404" s="127">
        <v>36.546835499999993</v>
      </c>
      <c r="AO1404" s="127">
        <v>36.546835499999993</v>
      </c>
      <c r="AP1404" s="127">
        <v>36.546835499999993</v>
      </c>
      <c r="AQ1404" s="127">
        <v>36.546835499999993</v>
      </c>
      <c r="AR1404" s="127">
        <v>36.546835499999993</v>
      </c>
      <c r="AS1404" s="127">
        <v>36.546835499999993</v>
      </c>
      <c r="AT1404" s="127">
        <v>36.546835499999993</v>
      </c>
      <c r="AU1404" s="127">
        <v>36.546835499999993</v>
      </c>
      <c r="AV1404" s="127">
        <v>36.546835499999993</v>
      </c>
      <c r="AW1404" s="127">
        <v>36.546835499999993</v>
      </c>
      <c r="AX1404" s="128">
        <v>36.546835499999993</v>
      </c>
    </row>
    <row r="1405" spans="1:50" x14ac:dyDescent="0.25">
      <c r="A1405" s="356"/>
      <c r="B1405" s="358" t="s">
        <v>19</v>
      </c>
      <c r="C1405" s="353" t="s">
        <v>6</v>
      </c>
      <c r="D1405" s="3" t="s">
        <v>7</v>
      </c>
      <c r="E1405" s="162" t="str">
        <f>A1385&amp;"/"&amp;B1405&amp;"/"&amp;C1405&amp;"/"&amp;D1405</f>
        <v>Diesel oil fired power plants/Steam turbine/Electricity only/L</v>
      </c>
      <c r="F1405" s="77" t="str">
        <f>A1385</f>
        <v>Diesel oil fired power plants</v>
      </c>
      <c r="G1405" s="77" t="str">
        <f>B1405</f>
        <v>Steam turbine</v>
      </c>
      <c r="H1405" s="77" t="str">
        <f>C1405</f>
        <v>Electricity only</v>
      </c>
      <c r="I1405" s="163" t="str">
        <f t="shared" si="100"/>
        <v>L</v>
      </c>
      <c r="J1405" s="121">
        <v>15.835526315789474</v>
      </c>
      <c r="K1405" s="121">
        <v>15.841155434316143</v>
      </c>
      <c r="L1405" s="121">
        <v>15.846665012515732</v>
      </c>
      <c r="M1405" s="121">
        <v>15.852056412553821</v>
      </c>
      <c r="N1405" s="121">
        <v>15.857331043308236</v>
      </c>
      <c r="O1405" s="121">
        <v>15.862490356519517</v>
      </c>
      <c r="P1405" s="121">
        <v>15.867535843047836</v>
      </c>
      <c r="Q1405" s="121">
        <v>15.872469029240577</v>
      </c>
      <c r="R1405" s="121">
        <v>15.877291473414006</v>
      </c>
      <c r="S1405" s="121">
        <v>15.882004762451945</v>
      </c>
      <c r="T1405" s="121">
        <v>15.886610508523667</v>
      </c>
      <c r="U1405" s="121">
        <v>15.891110345922666</v>
      </c>
      <c r="V1405" s="121">
        <v>15.895505928027459</v>
      </c>
      <c r="W1405" s="121">
        <v>15.899798924385022</v>
      </c>
      <c r="X1405" s="121">
        <v>15.903991017917058</v>
      </c>
      <c r="Y1405" s="121">
        <v>15.908083902248787</v>
      </c>
      <c r="Z1405" s="121">
        <v>15.912079279159636</v>
      </c>
      <c r="AA1405" s="121">
        <v>15.915978856154744</v>
      </c>
      <c r="AB1405" s="121">
        <v>15.919784344155996</v>
      </c>
      <c r="AC1405" s="121">
        <v>15.923497455310859</v>
      </c>
      <c r="AD1405" s="121">
        <v>15.927119900917136</v>
      </c>
      <c r="AE1405" s="121">
        <v>15.93065338946146</v>
      </c>
      <c r="AF1405" s="121">
        <v>15.934099624769138</v>
      </c>
      <c r="AG1405" s="121">
        <v>15.937460304262801</v>
      </c>
      <c r="AH1405" s="121">
        <v>15.940737117327142</v>
      </c>
      <c r="AI1405" s="121">
        <v>15.943931743776838</v>
      </c>
      <c r="AJ1405" s="121">
        <v>15.947045852424759</v>
      </c>
      <c r="AK1405" s="121">
        <v>15.950081099747319</v>
      </c>
      <c r="AL1405" s="121">
        <v>15.953039128643884</v>
      </c>
      <c r="AM1405" s="121">
        <v>15.955921567287026</v>
      </c>
      <c r="AN1405" s="121">
        <v>15.958730028060382</v>
      </c>
      <c r="AO1405" s="121">
        <v>15.961466106580852</v>
      </c>
      <c r="AP1405" s="121">
        <v>15.964131380801911</v>
      </c>
      <c r="AQ1405" s="121">
        <v>15.96672741019472</v>
      </c>
      <c r="AR1405" s="121">
        <v>15.9692557350038</v>
      </c>
      <c r="AS1405" s="121">
        <v>15.971717875574102</v>
      </c>
      <c r="AT1405" s="121">
        <v>15.974115331746184</v>
      </c>
      <c r="AU1405" s="121">
        <v>15.976449582316441</v>
      </c>
      <c r="AV1405" s="121">
        <v>15.978722084559267</v>
      </c>
      <c r="AW1405" s="121">
        <v>15.980934273808085</v>
      </c>
      <c r="AX1405" s="122">
        <v>15.983087563092319</v>
      </c>
    </row>
    <row r="1406" spans="1:50" x14ac:dyDescent="0.25">
      <c r="A1406" s="356"/>
      <c r="B1406" s="359"/>
      <c r="C1406" s="350"/>
      <c r="D1406" s="2" t="s">
        <v>8</v>
      </c>
      <c r="E1406" s="160" t="str">
        <f>A1385&amp;"/"&amp;B1405&amp;"/"&amp;C1405&amp;"/"&amp;D1406</f>
        <v>Diesel oil fired power plants/Steam turbine/Electricity only/M</v>
      </c>
      <c r="F1406" s="76" t="str">
        <f>A1385</f>
        <v>Diesel oil fired power plants</v>
      </c>
      <c r="G1406" s="76" t="str">
        <f>B1405</f>
        <v>Steam turbine</v>
      </c>
      <c r="H1406" s="76" t="str">
        <f>C1405</f>
        <v>Electricity only</v>
      </c>
      <c r="I1406" s="161" t="str">
        <f t="shared" si="100"/>
        <v>M</v>
      </c>
      <c r="J1406" s="119">
        <v>17.102368421052635</v>
      </c>
      <c r="K1406" s="119">
        <v>17.106928007059235</v>
      </c>
      <c r="L1406" s="119">
        <v>17.111390765400902</v>
      </c>
      <c r="M1406" s="119">
        <v>17.115757799431755</v>
      </c>
      <c r="N1406" s="119">
        <v>17.120030250342829</v>
      </c>
      <c r="O1406" s="119">
        <v>17.124209294043968</v>
      </c>
      <c r="P1406" s="119">
        <v>17.128296138131908</v>
      </c>
      <c r="Q1406" s="119">
        <v>17.132292018948029</v>
      </c>
      <c r="R1406" s="119">
        <v>17.136198198728504</v>
      </c>
      <c r="S1406" s="119">
        <v>17.140015962849233</v>
      </c>
      <c r="T1406" s="119">
        <v>17.143746617167331</v>
      </c>
      <c r="U1406" s="119">
        <v>17.14739148546052</v>
      </c>
      <c r="V1406" s="119">
        <v>17.1509519069654</v>
      </c>
      <c r="W1406" s="119">
        <v>17.154429234015026</v>
      </c>
      <c r="X1406" s="119">
        <v>17.157824829775976</v>
      </c>
      <c r="Y1406" s="119">
        <v>17.161140066084677</v>
      </c>
      <c r="Z1406" s="119">
        <v>17.164376321382463</v>
      </c>
      <c r="AA1406" s="119">
        <v>17.167534978748503</v>
      </c>
      <c r="AB1406" s="119">
        <v>17.170617424029516</v>
      </c>
      <c r="AC1406" s="119">
        <v>17.173625044064956</v>
      </c>
      <c r="AD1406" s="119">
        <v>17.176559225006038</v>
      </c>
      <c r="AE1406" s="119">
        <v>17.17942135072694</v>
      </c>
      <c r="AF1406" s="119">
        <v>17.182212801326159</v>
      </c>
      <c r="AG1406" s="119">
        <v>17.184934951716027</v>
      </c>
      <c r="AH1406" s="119">
        <v>17.187589170298143</v>
      </c>
      <c r="AI1406" s="119">
        <v>17.190176817722399</v>
      </c>
      <c r="AJ1406" s="119">
        <v>17.192699245727216</v>
      </c>
      <c r="AK1406" s="119">
        <v>17.195157796058488</v>
      </c>
      <c r="AL1406" s="119">
        <v>17.197553799464703</v>
      </c>
      <c r="AM1406" s="119">
        <v>17.199888574765652</v>
      </c>
      <c r="AN1406" s="119">
        <v>17.202163427992069</v>
      </c>
      <c r="AO1406" s="119">
        <v>17.204379651593651</v>
      </c>
      <c r="AP1406" s="119">
        <v>17.206538523712709</v>
      </c>
      <c r="AQ1406" s="119">
        <v>17.208641307520882</v>
      </c>
      <c r="AR1406" s="119">
        <v>17.210689250616237</v>
      </c>
      <c r="AS1406" s="119">
        <v>17.212683584478182</v>
      </c>
      <c r="AT1406" s="119">
        <v>17.214625523977567</v>
      </c>
      <c r="AU1406" s="119">
        <v>17.216516266939475</v>
      </c>
      <c r="AV1406" s="119">
        <v>17.218356993756164</v>
      </c>
      <c r="AW1406" s="119">
        <v>17.220148867047708</v>
      </c>
      <c r="AX1406" s="120">
        <v>17.221893031367937</v>
      </c>
    </row>
    <row r="1407" spans="1:50" x14ac:dyDescent="0.25">
      <c r="A1407" s="356"/>
      <c r="B1407" s="359"/>
      <c r="C1407" s="360"/>
      <c r="D1407" s="2" t="s">
        <v>10</v>
      </c>
      <c r="E1407" s="160" t="str">
        <f>A1385&amp;"/"&amp;B1405&amp;"/"&amp;C1405&amp;"/"&amp;D1407</f>
        <v>Diesel oil fired power plants/Steam turbine/Electricity only/S</v>
      </c>
      <c r="F1407" s="76" t="str">
        <f>A1385</f>
        <v>Diesel oil fired power plants</v>
      </c>
      <c r="G1407" s="76" t="str">
        <f>B1405</f>
        <v>Steam turbine</v>
      </c>
      <c r="H1407" s="76" t="str">
        <f>C1405</f>
        <v>Electricity only</v>
      </c>
      <c r="I1407" s="161" t="str">
        <f t="shared" si="100"/>
        <v>S</v>
      </c>
      <c r="J1407" s="119">
        <v>18.812605263157899</v>
      </c>
      <c r="K1407" s="119">
        <v>18.816784883663949</v>
      </c>
      <c r="L1407" s="119">
        <v>18.820875745477146</v>
      </c>
      <c r="M1407" s="119">
        <v>18.824878860005427</v>
      </c>
      <c r="N1407" s="119">
        <v>18.828795273340582</v>
      </c>
      <c r="O1407" s="119">
        <v>18.832626063399957</v>
      </c>
      <c r="P1407" s="119">
        <v>18.836372337147235</v>
      </c>
      <c r="Q1407" s="119">
        <v>18.840035227895346</v>
      </c>
      <c r="R1407" s="119">
        <v>18.843615892694114</v>
      </c>
      <c r="S1407" s="119">
        <v>18.847115509804784</v>
      </c>
      <c r="T1407" s="119">
        <v>18.850535276263038</v>
      </c>
      <c r="U1407" s="119">
        <v>18.853876405531796</v>
      </c>
      <c r="V1407" s="119">
        <v>18.857140125244605</v>
      </c>
      <c r="W1407" s="119">
        <v>18.860327675040093</v>
      </c>
      <c r="X1407" s="119">
        <v>18.863440304487632</v>
      </c>
      <c r="Y1407" s="119">
        <v>18.866479271103941</v>
      </c>
      <c r="Z1407" s="119">
        <v>18.869445838460244</v>
      </c>
      <c r="AA1407" s="119">
        <v>18.872341274379114</v>
      </c>
      <c r="AB1407" s="119">
        <v>18.87516684922004</v>
      </c>
      <c r="AC1407" s="119">
        <v>18.877923834252528</v>
      </c>
      <c r="AD1407" s="119">
        <v>18.880613500115189</v>
      </c>
      <c r="AE1407" s="119">
        <v>18.88323711535935</v>
      </c>
      <c r="AF1407" s="119">
        <v>18.885795945075301</v>
      </c>
      <c r="AG1407" s="119">
        <v>18.888291249599344</v>
      </c>
      <c r="AH1407" s="119">
        <v>18.890724283299619</v>
      </c>
      <c r="AI1407" s="119">
        <v>18.893096293438518</v>
      </c>
      <c r="AJ1407" s="119">
        <v>18.895408519109601</v>
      </c>
      <c r="AK1407" s="119">
        <v>18.897662190246599</v>
      </c>
      <c r="AL1407" s="119">
        <v>18.8998585267023</v>
      </c>
      <c r="AM1407" s="119">
        <v>18.901998737394834</v>
      </c>
      <c r="AN1407" s="119">
        <v>18.904084019519047</v>
      </c>
      <c r="AO1407" s="119">
        <v>18.906115557820499</v>
      </c>
      <c r="AP1407" s="119">
        <v>18.908094523929638</v>
      </c>
      <c r="AQ1407" s="119">
        <v>18.910022075753794</v>
      </c>
      <c r="AR1407" s="119">
        <v>18.911899356924536</v>
      </c>
      <c r="AS1407" s="119">
        <v>18.913727496297987</v>
      </c>
      <c r="AT1407" s="119">
        <v>18.915507607505756</v>
      </c>
      <c r="AU1407" s="119">
        <v>18.917240788554171</v>
      </c>
      <c r="AV1407" s="119">
        <v>18.91892812146947</v>
      </c>
      <c r="AW1407" s="119">
        <v>18.92057067198672</v>
      </c>
      <c r="AX1407" s="120">
        <v>18.922169489280261</v>
      </c>
    </row>
    <row r="1408" spans="1:50" x14ac:dyDescent="0.25">
      <c r="A1408" s="356"/>
      <c r="B1408" s="359"/>
      <c r="C1408" s="361" t="s">
        <v>14</v>
      </c>
      <c r="D1408" s="58" t="s">
        <v>7</v>
      </c>
      <c r="E1408" s="164" t="str">
        <f>A1385&amp;"/"&amp;B1405&amp;"/"&amp;C1408&amp;"/"&amp;D1408</f>
        <v>Diesel oil fired power plants/Steam turbine/CHP/L</v>
      </c>
      <c r="F1408" s="78" t="str">
        <f>A1385</f>
        <v>Diesel oil fired power plants</v>
      </c>
      <c r="G1408" s="78" t="str">
        <f>B1405</f>
        <v>Steam turbine</v>
      </c>
      <c r="H1408" s="78" t="str">
        <f>C1408</f>
        <v>CHP</v>
      </c>
      <c r="I1408" s="165" t="str">
        <f t="shared" si="100"/>
        <v>L</v>
      </c>
      <c r="J1408" s="123">
        <v>24.521217105263158</v>
      </c>
      <c r="K1408" s="123">
        <v>24.525315032265652</v>
      </c>
      <c r="L1408" s="123">
        <v>24.529348046772149</v>
      </c>
      <c r="M1408" s="123">
        <v>24.533316890651395</v>
      </c>
      <c r="N1408" s="123">
        <v>24.537222307665445</v>
      </c>
      <c r="O1408" s="123">
        <v>24.541065043010533</v>
      </c>
      <c r="P1408" s="123">
        <v>24.544845842873293</v>
      </c>
      <c r="Q1408" s="123">
        <v>24.548565454002258</v>
      </c>
      <c r="R1408" s="123">
        <v>24.552224623294357</v>
      </c>
      <c r="S1408" s="123">
        <v>24.555824097396389</v>
      </c>
      <c r="T1408" s="123">
        <v>24.559364622321141</v>
      </c>
      <c r="U1408" s="123">
        <v>24.562846943078043</v>
      </c>
      <c r="V1408" s="123">
        <v>24.566271803318081</v>
      </c>
      <c r="W1408" s="123">
        <v>24.569639944992812</v>
      </c>
      <c r="X1408" s="123">
        <v>24.572952108027156</v>
      </c>
      <c r="Y1408" s="123">
        <v>24.576209030005838</v>
      </c>
      <c r="Z1408" s="123">
        <v>24.579411445873145</v>
      </c>
      <c r="AA1408" s="123">
        <v>24.582560087645753</v>
      </c>
      <c r="AB1408" s="123">
        <v>24.58565568413842</v>
      </c>
      <c r="AC1408" s="123">
        <v>24.588698960702192</v>
      </c>
      <c r="AD1408" s="123">
        <v>24.59169063897496</v>
      </c>
      <c r="AE1408" s="123">
        <v>24.594631436643969</v>
      </c>
      <c r="AF1408" s="123">
        <v>24.597522067220126</v>
      </c>
      <c r="AG1408" s="123">
        <v>24.600363239823732</v>
      </c>
      <c r="AH1408" s="123">
        <v>24.603155658981414</v>
      </c>
      <c r="AI1408" s="123">
        <v>24.605900024433975</v>
      </c>
      <c r="AJ1408" s="123">
        <v>24.608597030954808</v>
      </c>
      <c r="AK1408" s="123">
        <v>24.611247368178731</v>
      </c>
      <c r="AL1408" s="123">
        <v>24.613851720440806</v>
      </c>
      <c r="AM1408" s="123">
        <v>24.616410766624973</v>
      </c>
      <c r="AN1408" s="123">
        <v>24.618925180022185</v>
      </c>
      <c r="AO1408" s="123">
        <v>24.621395628197735</v>
      </c>
      <c r="AP1408" s="123">
        <v>24.623822772867562</v>
      </c>
      <c r="AQ1408" s="123">
        <v>24.626207269783212</v>
      </c>
      <c r="AR1408" s="123">
        <v>24.628549768625202</v>
      </c>
      <c r="AS1408" s="123">
        <v>24.630850912904521</v>
      </c>
      <c r="AT1408" s="123">
        <v>24.633111339871999</v>
      </c>
      <c r="AU1408" s="123">
        <v>24.6353316804353</v>
      </c>
      <c r="AV1408" s="123">
        <v>24.637512559083255</v>
      </c>
      <c r="AW1408" s="123">
        <v>24.639654593817298</v>
      </c>
      <c r="AX1408" s="124">
        <v>24.641758396089742</v>
      </c>
    </row>
    <row r="1409" spans="1:50" x14ac:dyDescent="0.25">
      <c r="A1409" s="356"/>
      <c r="B1409" s="359"/>
      <c r="C1409" s="350"/>
      <c r="D1409" s="2" t="s">
        <v>8</v>
      </c>
      <c r="E1409" s="160" t="str">
        <f>A1385&amp;"/"&amp;B1405&amp;"/"&amp;C1408&amp;"/"&amp;D1409</f>
        <v>Diesel oil fired power plants/Steam turbine/CHP/M</v>
      </c>
      <c r="F1409" s="76" t="str">
        <f>A1385</f>
        <v>Diesel oil fired power plants</v>
      </c>
      <c r="G1409" s="76" t="str">
        <f>B1405</f>
        <v>Steam turbine</v>
      </c>
      <c r="H1409" s="76" t="str">
        <f>C1408</f>
        <v>CHP</v>
      </c>
      <c r="I1409" s="161" t="str">
        <f t="shared" si="100"/>
        <v>M</v>
      </c>
      <c r="J1409" s="119">
        <v>25.750053947368425</v>
      </c>
      <c r="K1409" s="119">
        <v>25.752661309809014</v>
      </c>
      <c r="L1409" s="119">
        <v>25.755225426263561</v>
      </c>
      <c r="M1409" s="119">
        <v>25.757746863381321</v>
      </c>
      <c r="N1409" s="119">
        <v>25.760226185911225</v>
      </c>
      <c r="O1409" s="119">
        <v>25.762663956476434</v>
      </c>
      <c r="P1409" s="119">
        <v>25.765060735358823</v>
      </c>
      <c r="Q1409" s="119">
        <v>25.767417080293175</v>
      </c>
      <c r="R1409" s="119">
        <v>25.76973354627091</v>
      </c>
      <c r="S1409" s="119">
        <v>25.772010685353131</v>
      </c>
      <c r="T1409" s="119">
        <v>25.774249046492741</v>
      </c>
      <c r="U1409" s="119">
        <v>25.776449175365517</v>
      </c>
      <c r="V1409" s="119">
        <v>25.778611614209783</v>
      </c>
      <c r="W1409" s="119">
        <v>25.780736901674615</v>
      </c>
      <c r="X1409" s="119">
        <v>25.782825572676266</v>
      </c>
      <c r="Y1409" s="119">
        <v>25.784878158262615</v>
      </c>
      <c r="Z1409" s="119">
        <v>25.786895185485466</v>
      </c>
      <c r="AA1409" s="119">
        <v>25.788877177280437</v>
      </c>
      <c r="AB1409" s="119">
        <v>25.790824652354225</v>
      </c>
      <c r="AC1409" s="119">
        <v>25.792738125079072</v>
      </c>
      <c r="AD1409" s="119">
        <v>25.794618105394189</v>
      </c>
      <c r="AE1409" s="119">
        <v>25.796465098713949</v>
      </c>
      <c r="AF1409" s="119">
        <v>25.798279605842598</v>
      </c>
      <c r="AG1409" s="119">
        <v>25.800062122895351</v>
      </c>
      <c r="AH1409" s="119">
        <v>25.801813141225598</v>
      </c>
      <c r="AI1409" s="119">
        <v>25.803533147358067</v>
      </c>
      <c r="AJ1409" s="119">
        <v>25.805222622927705</v>
      </c>
      <c r="AK1409" s="119">
        <v>25.806882044624146</v>
      </c>
      <c r="AL1409" s="119">
        <v>25.808511884141502</v>
      </c>
      <c r="AM1409" s="119">
        <v>25.810112608133316</v>
      </c>
      <c r="AN1409" s="119">
        <v>25.811684678172515</v>
      </c>
      <c r="AO1409" s="119">
        <v>25.813228550716151</v>
      </c>
      <c r="AP1409" s="119">
        <v>25.814744677074746</v>
      </c>
      <c r="AQ1409" s="119">
        <v>25.816233503386101</v>
      </c>
      <c r="AR1409" s="119">
        <v>25.817695470593364</v>
      </c>
      <c r="AS1409" s="119">
        <v>25.819131014427199</v>
      </c>
      <c r="AT1409" s="119">
        <v>25.820540565391887</v>
      </c>
      <c r="AU1409" s="119">
        <v>25.821924548755213</v>
      </c>
      <c r="AV1409" s="119">
        <v>25.823283384541963</v>
      </c>
      <c r="AW1409" s="119">
        <v>25.824617487530904</v>
      </c>
      <c r="AX1409" s="120">
        <v>25.825927267255047</v>
      </c>
    </row>
    <row r="1410" spans="1:50" x14ac:dyDescent="0.25">
      <c r="A1410" s="356"/>
      <c r="B1410" s="359"/>
      <c r="C1410" s="360"/>
      <c r="D1410" s="59" t="s">
        <v>10</v>
      </c>
      <c r="E1410" s="166" t="str">
        <f>A1385&amp;"/"&amp;B1405&amp;"/"&amp;C1408&amp;"/"&amp;D1410</f>
        <v>Diesel oil fired power plants/Steam turbine/CHP/S</v>
      </c>
      <c r="F1410" s="79" t="str">
        <f>A1385</f>
        <v>Diesel oil fired power plants</v>
      </c>
      <c r="G1410" s="79" t="str">
        <f>B1405</f>
        <v>Steam turbine</v>
      </c>
      <c r="H1410" s="79" t="str">
        <f>C1408</f>
        <v>CHP</v>
      </c>
      <c r="I1410" s="167" t="str">
        <f t="shared" si="100"/>
        <v>S</v>
      </c>
      <c r="J1410" s="125">
        <v>28.056713947368426</v>
      </c>
      <c r="K1410" s="125">
        <v>28.058507758289814</v>
      </c>
      <c r="L1410" s="125">
        <v>28.0602704400759</v>
      </c>
      <c r="M1410" s="125">
        <v>28.062002452547709</v>
      </c>
      <c r="N1410" s="125">
        <v>28.063704251724573</v>
      </c>
      <c r="O1410" s="125">
        <v>28.065376289735063</v>
      </c>
      <c r="P1410" s="125">
        <v>28.067019014733937</v>
      </c>
      <c r="Q1410" s="125">
        <v>28.068632870824938</v>
      </c>
      <c r="R1410" s="125">
        <v>28.070218297989229</v>
      </c>
      <c r="S1410" s="125">
        <v>28.07177573201934</v>
      </c>
      <c r="T1410" s="125">
        <v>28.073305604458398</v>
      </c>
      <c r="U1410" s="125">
        <v>28.07480834254449</v>
      </c>
      <c r="V1410" s="125">
        <v>28.076284369159989</v>
      </c>
      <c r="W1410" s="125">
        <v>28.077734102785634</v>
      </c>
      <c r="X1410" s="125">
        <v>28.079157957459266</v>
      </c>
      <c r="Y1410" s="125">
        <v>28.080556342739001</v>
      </c>
      <c r="Z1410" s="125">
        <v>28.081929663670664</v>
      </c>
      <c r="AA1410" s="125">
        <v>28.083278320759401</v>
      </c>
      <c r="AB1410" s="125">
        <v>28.084602709945237</v>
      </c>
      <c r="AC1410" s="125">
        <v>28.085903222582441</v>
      </c>
      <c r="AD1410" s="125">
        <v>28.087180245422612</v>
      </c>
      <c r="AE1410" s="125">
        <v>28.088434160601235</v>
      </c>
      <c r="AF1410" s="125">
        <v>28.089665345627655</v>
      </c>
      <c r="AG1410" s="125">
        <v>28.090874173378278</v>
      </c>
      <c r="AH1410" s="125">
        <v>28.092061012092906</v>
      </c>
      <c r="AI1410" s="125">
        <v>28.093226225373972</v>
      </c>
      <c r="AJ1410" s="125">
        <v>28.094370172188711</v>
      </c>
      <c r="AK1410" s="125">
        <v>28.095493206873993</v>
      </c>
      <c r="AL1410" s="125">
        <v>28.096595679143732</v>
      </c>
      <c r="AM1410" s="125">
        <v>28.097677934098833</v>
      </c>
      <c r="AN1410" s="125">
        <v>28.098740312239432</v>
      </c>
      <c r="AO1410" s="125">
        <v>28.099783149479403</v>
      </c>
      <c r="AP1410" s="125">
        <v>28.100806777163001</v>
      </c>
      <c r="AQ1410" s="125">
        <v>28.101811522083533</v>
      </c>
      <c r="AR1410" s="125">
        <v>28.102797706503935</v>
      </c>
      <c r="AS1410" s="125">
        <v>28.103765648179181</v>
      </c>
      <c r="AT1410" s="125">
        <v>28.104715660380414</v>
      </c>
      <c r="AU1410" s="125">
        <v>28.105648051920706</v>
      </c>
      <c r="AV1410" s="125">
        <v>28.106563127182355</v>
      </c>
      <c r="AW1410" s="125">
        <v>28.107461186145621</v>
      </c>
      <c r="AX1410" s="126">
        <v>28.108342524418866</v>
      </c>
    </row>
    <row r="1411" spans="1:50" x14ac:dyDescent="0.25">
      <c r="A1411" s="356"/>
      <c r="B1411" s="359"/>
      <c r="C1411" s="361" t="s">
        <v>15</v>
      </c>
      <c r="D1411" s="58" t="s">
        <v>7</v>
      </c>
      <c r="E1411" s="164" t="str">
        <f>A1385&amp;"/"&amp;B1405&amp;"/"&amp;C1411&amp;"/"&amp;D1411</f>
        <v>Diesel oil fired power plants/Steam turbine/Electricity only with CCS/L</v>
      </c>
      <c r="F1411" s="78" t="str">
        <f>A1385</f>
        <v>Diesel oil fired power plants</v>
      </c>
      <c r="G1411" s="78" t="str">
        <f>B1405</f>
        <v>Steam turbine</v>
      </c>
      <c r="H1411" s="78" t="str">
        <f>C1411</f>
        <v>Electricity only with CCS</v>
      </c>
      <c r="I1411" s="165" t="str">
        <f t="shared" si="100"/>
        <v>L</v>
      </c>
      <c r="J1411" s="123" t="s">
        <v>112</v>
      </c>
      <c r="K1411" s="123" t="s">
        <v>112</v>
      </c>
      <c r="L1411" s="123" t="s">
        <v>112</v>
      </c>
      <c r="M1411" s="123" t="s">
        <v>112</v>
      </c>
      <c r="N1411" s="123" t="s">
        <v>112</v>
      </c>
      <c r="O1411" s="123" t="s">
        <v>112</v>
      </c>
      <c r="P1411" s="123" t="s">
        <v>112</v>
      </c>
      <c r="Q1411" s="123" t="s">
        <v>112</v>
      </c>
      <c r="R1411" s="123" t="s">
        <v>112</v>
      </c>
      <c r="S1411" s="123" t="s">
        <v>112</v>
      </c>
      <c r="T1411" s="123" t="s">
        <v>112</v>
      </c>
      <c r="U1411" s="123" t="s">
        <v>112</v>
      </c>
      <c r="V1411" s="123" t="s">
        <v>112</v>
      </c>
      <c r="W1411" s="123" t="s">
        <v>112</v>
      </c>
      <c r="X1411" s="123" t="s">
        <v>112</v>
      </c>
      <c r="Y1411" s="123" t="s">
        <v>112</v>
      </c>
      <c r="Z1411" s="123" t="s">
        <v>112</v>
      </c>
      <c r="AA1411" s="123" t="s">
        <v>112</v>
      </c>
      <c r="AB1411" s="123" t="s">
        <v>112</v>
      </c>
      <c r="AC1411" s="123" t="s">
        <v>112</v>
      </c>
      <c r="AD1411" s="123" t="s">
        <v>112</v>
      </c>
      <c r="AE1411" s="123">
        <v>41.56825657894737</v>
      </c>
      <c r="AF1411" s="123">
        <v>41.56825657894737</v>
      </c>
      <c r="AG1411" s="123">
        <v>41.56825657894737</v>
      </c>
      <c r="AH1411" s="123">
        <v>41.56825657894737</v>
      </c>
      <c r="AI1411" s="123">
        <v>41.56825657894737</v>
      </c>
      <c r="AJ1411" s="123">
        <v>41.56825657894737</v>
      </c>
      <c r="AK1411" s="123">
        <v>41.56825657894737</v>
      </c>
      <c r="AL1411" s="123">
        <v>41.56825657894737</v>
      </c>
      <c r="AM1411" s="123">
        <v>41.56825657894737</v>
      </c>
      <c r="AN1411" s="123">
        <v>41.56825657894737</v>
      </c>
      <c r="AO1411" s="123">
        <v>41.56825657894737</v>
      </c>
      <c r="AP1411" s="123">
        <v>41.56825657894737</v>
      </c>
      <c r="AQ1411" s="123">
        <v>41.56825657894737</v>
      </c>
      <c r="AR1411" s="123">
        <v>41.56825657894737</v>
      </c>
      <c r="AS1411" s="123">
        <v>41.56825657894737</v>
      </c>
      <c r="AT1411" s="123">
        <v>41.56825657894737</v>
      </c>
      <c r="AU1411" s="123">
        <v>41.56825657894737</v>
      </c>
      <c r="AV1411" s="123">
        <v>41.56825657894737</v>
      </c>
      <c r="AW1411" s="123">
        <v>41.56825657894737</v>
      </c>
      <c r="AX1411" s="124">
        <v>41.56825657894737</v>
      </c>
    </row>
    <row r="1412" spans="1:50" x14ac:dyDescent="0.25">
      <c r="A1412" s="356"/>
      <c r="B1412" s="359"/>
      <c r="C1412" s="360"/>
      <c r="D1412" s="59" t="s">
        <v>8</v>
      </c>
      <c r="E1412" s="166" t="str">
        <f>A1385&amp;"/"&amp;B1405&amp;"/"&amp;C1411&amp;"/"&amp;D1412</f>
        <v>Diesel oil fired power plants/Steam turbine/Electricity only with CCS/M</v>
      </c>
      <c r="F1412" s="79" t="str">
        <f>A1385</f>
        <v>Diesel oil fired power plants</v>
      </c>
      <c r="G1412" s="79" t="str">
        <f>B1405</f>
        <v>Steam turbine</v>
      </c>
      <c r="H1412" s="79" t="str">
        <f>C1411</f>
        <v>Electricity only with CCS</v>
      </c>
      <c r="I1412" s="167" t="str">
        <f t="shared" si="100"/>
        <v>M</v>
      </c>
      <c r="J1412" s="125" t="s">
        <v>112</v>
      </c>
      <c r="K1412" s="125" t="s">
        <v>112</v>
      </c>
      <c r="L1412" s="125" t="s">
        <v>112</v>
      </c>
      <c r="M1412" s="125" t="s">
        <v>112</v>
      </c>
      <c r="N1412" s="125" t="s">
        <v>112</v>
      </c>
      <c r="O1412" s="125" t="s">
        <v>112</v>
      </c>
      <c r="P1412" s="125" t="s">
        <v>112</v>
      </c>
      <c r="Q1412" s="125" t="s">
        <v>112</v>
      </c>
      <c r="R1412" s="125" t="s">
        <v>112</v>
      </c>
      <c r="S1412" s="125" t="s">
        <v>112</v>
      </c>
      <c r="T1412" s="125" t="s">
        <v>112</v>
      </c>
      <c r="U1412" s="125" t="s">
        <v>112</v>
      </c>
      <c r="V1412" s="125" t="s">
        <v>112</v>
      </c>
      <c r="W1412" s="125" t="s">
        <v>112</v>
      </c>
      <c r="X1412" s="125" t="s">
        <v>112</v>
      </c>
      <c r="Y1412" s="125" t="s">
        <v>112</v>
      </c>
      <c r="Z1412" s="125" t="s">
        <v>112</v>
      </c>
      <c r="AA1412" s="125" t="s">
        <v>112</v>
      </c>
      <c r="AB1412" s="125" t="s">
        <v>112</v>
      </c>
      <c r="AC1412" s="125" t="s">
        <v>112</v>
      </c>
      <c r="AD1412" s="125" t="s">
        <v>112</v>
      </c>
      <c r="AE1412" s="125">
        <v>52.731587171052645</v>
      </c>
      <c r="AF1412" s="125">
        <v>52.731587171052645</v>
      </c>
      <c r="AG1412" s="125">
        <v>52.731587171052645</v>
      </c>
      <c r="AH1412" s="125">
        <v>52.731587171052645</v>
      </c>
      <c r="AI1412" s="125">
        <v>52.731587171052645</v>
      </c>
      <c r="AJ1412" s="125">
        <v>52.731587171052645</v>
      </c>
      <c r="AK1412" s="125">
        <v>52.731587171052645</v>
      </c>
      <c r="AL1412" s="125">
        <v>52.731587171052645</v>
      </c>
      <c r="AM1412" s="125">
        <v>52.731587171052645</v>
      </c>
      <c r="AN1412" s="125">
        <v>52.731587171052645</v>
      </c>
      <c r="AO1412" s="125">
        <v>52.731587171052645</v>
      </c>
      <c r="AP1412" s="125">
        <v>52.731587171052645</v>
      </c>
      <c r="AQ1412" s="125">
        <v>52.731587171052645</v>
      </c>
      <c r="AR1412" s="125">
        <v>52.731587171052645</v>
      </c>
      <c r="AS1412" s="125">
        <v>52.731587171052645</v>
      </c>
      <c r="AT1412" s="125">
        <v>52.731587171052645</v>
      </c>
      <c r="AU1412" s="125">
        <v>52.731587171052645</v>
      </c>
      <c r="AV1412" s="125">
        <v>52.731587171052645</v>
      </c>
      <c r="AW1412" s="125">
        <v>52.731587171052645</v>
      </c>
      <c r="AX1412" s="126">
        <v>52.731587171052645</v>
      </c>
    </row>
    <row r="1413" spans="1:50" x14ac:dyDescent="0.25">
      <c r="A1413" s="356"/>
      <c r="B1413" s="359"/>
      <c r="C1413" s="361" t="s">
        <v>16</v>
      </c>
      <c r="D1413" s="2" t="s">
        <v>7</v>
      </c>
      <c r="E1413" s="160" t="str">
        <f>A1385&amp;"/"&amp;B1405&amp;"/"&amp;C1413&amp;"/"&amp;D1413</f>
        <v>Diesel oil fired power plants/Steam turbine/CHP with CCS/L</v>
      </c>
      <c r="F1413" s="76" t="str">
        <f>A1385</f>
        <v>Diesel oil fired power plants</v>
      </c>
      <c r="G1413" s="76" t="str">
        <f>B1405</f>
        <v>Steam turbine</v>
      </c>
      <c r="H1413" s="76" t="str">
        <f>C1413</f>
        <v>CHP with CCS</v>
      </c>
      <c r="I1413" s="161" t="str">
        <f t="shared" si="100"/>
        <v>L</v>
      </c>
      <c r="J1413" s="119" t="s">
        <v>112</v>
      </c>
      <c r="K1413" s="119" t="s">
        <v>112</v>
      </c>
      <c r="L1413" s="119" t="s">
        <v>112</v>
      </c>
      <c r="M1413" s="119" t="s">
        <v>112</v>
      </c>
      <c r="N1413" s="119" t="s">
        <v>112</v>
      </c>
      <c r="O1413" s="119" t="s">
        <v>112</v>
      </c>
      <c r="P1413" s="119" t="s">
        <v>112</v>
      </c>
      <c r="Q1413" s="119" t="s">
        <v>112</v>
      </c>
      <c r="R1413" s="119" t="s">
        <v>112</v>
      </c>
      <c r="S1413" s="119" t="s">
        <v>112</v>
      </c>
      <c r="T1413" s="119" t="s">
        <v>112</v>
      </c>
      <c r="U1413" s="119" t="s">
        <v>112</v>
      </c>
      <c r="V1413" s="119" t="s">
        <v>112</v>
      </c>
      <c r="W1413" s="119" t="s">
        <v>112</v>
      </c>
      <c r="X1413" s="119" t="s">
        <v>112</v>
      </c>
      <c r="Y1413" s="119" t="s">
        <v>112</v>
      </c>
      <c r="Z1413" s="119" t="s">
        <v>112</v>
      </c>
      <c r="AA1413" s="119" t="s">
        <v>112</v>
      </c>
      <c r="AB1413" s="119" t="s">
        <v>112</v>
      </c>
      <c r="AC1413" s="119" t="s">
        <v>112</v>
      </c>
      <c r="AD1413" s="119" t="s">
        <v>112</v>
      </c>
      <c r="AE1413" s="119">
        <v>49.940003289473694</v>
      </c>
      <c r="AF1413" s="119">
        <v>49.940003289473694</v>
      </c>
      <c r="AG1413" s="119">
        <v>49.940003289473694</v>
      </c>
      <c r="AH1413" s="119">
        <v>49.940003289473694</v>
      </c>
      <c r="AI1413" s="119">
        <v>49.940003289473694</v>
      </c>
      <c r="AJ1413" s="119">
        <v>49.940003289473694</v>
      </c>
      <c r="AK1413" s="119">
        <v>49.940003289473694</v>
      </c>
      <c r="AL1413" s="119">
        <v>49.940003289473694</v>
      </c>
      <c r="AM1413" s="119">
        <v>49.940003289473694</v>
      </c>
      <c r="AN1413" s="119">
        <v>49.940003289473694</v>
      </c>
      <c r="AO1413" s="119">
        <v>49.940003289473694</v>
      </c>
      <c r="AP1413" s="119">
        <v>49.940003289473694</v>
      </c>
      <c r="AQ1413" s="119">
        <v>49.940003289473694</v>
      </c>
      <c r="AR1413" s="119">
        <v>49.940003289473694</v>
      </c>
      <c r="AS1413" s="119">
        <v>49.940003289473694</v>
      </c>
      <c r="AT1413" s="119">
        <v>49.940003289473694</v>
      </c>
      <c r="AU1413" s="119">
        <v>49.940003289473694</v>
      </c>
      <c r="AV1413" s="119">
        <v>49.940003289473694</v>
      </c>
      <c r="AW1413" s="119">
        <v>49.940003289473694</v>
      </c>
      <c r="AX1413" s="120">
        <v>49.940003289473694</v>
      </c>
    </row>
    <row r="1414" spans="1:50" x14ac:dyDescent="0.25">
      <c r="A1414" s="356"/>
      <c r="B1414" s="362"/>
      <c r="C1414" s="354"/>
      <c r="D1414" s="4" t="s">
        <v>8</v>
      </c>
      <c r="E1414" s="168" t="str">
        <f>A1385&amp;"/"&amp;B1405&amp;"/"&amp;C1413&amp;"/"&amp;D1414</f>
        <v>Diesel oil fired power plants/Steam turbine/CHP with CCS/M</v>
      </c>
      <c r="F1414" s="80" t="str">
        <f>A1385</f>
        <v>Diesel oil fired power plants</v>
      </c>
      <c r="G1414" s="80" t="str">
        <f>B1405</f>
        <v>Steam turbine</v>
      </c>
      <c r="H1414" s="80" t="str">
        <f>C1413</f>
        <v>CHP with CCS</v>
      </c>
      <c r="I1414" s="169" t="str">
        <f t="shared" si="100"/>
        <v>M</v>
      </c>
      <c r="J1414" s="127" t="s">
        <v>112</v>
      </c>
      <c r="K1414" s="127" t="s">
        <v>112</v>
      </c>
      <c r="L1414" s="127" t="s">
        <v>112</v>
      </c>
      <c r="M1414" s="127" t="s">
        <v>112</v>
      </c>
      <c r="N1414" s="127" t="s">
        <v>112</v>
      </c>
      <c r="O1414" s="127" t="s">
        <v>112</v>
      </c>
      <c r="P1414" s="127" t="s">
        <v>112</v>
      </c>
      <c r="Q1414" s="127" t="s">
        <v>112</v>
      </c>
      <c r="R1414" s="127" t="s">
        <v>112</v>
      </c>
      <c r="S1414" s="127" t="s">
        <v>112</v>
      </c>
      <c r="T1414" s="127" t="s">
        <v>112</v>
      </c>
      <c r="U1414" s="127" t="s">
        <v>112</v>
      </c>
      <c r="V1414" s="127" t="s">
        <v>112</v>
      </c>
      <c r="W1414" s="127" t="s">
        <v>112</v>
      </c>
      <c r="X1414" s="127" t="s">
        <v>112</v>
      </c>
      <c r="Y1414" s="127" t="s">
        <v>112</v>
      </c>
      <c r="Z1414" s="127" t="s">
        <v>112</v>
      </c>
      <c r="AA1414" s="127" t="s">
        <v>112</v>
      </c>
      <c r="AB1414" s="127" t="s">
        <v>112</v>
      </c>
      <c r="AC1414" s="127" t="s">
        <v>112</v>
      </c>
      <c r="AD1414" s="127" t="s">
        <v>112</v>
      </c>
      <c r="AE1414" s="127">
        <v>60.768433963815788</v>
      </c>
      <c r="AF1414" s="127">
        <v>60.768433963815788</v>
      </c>
      <c r="AG1414" s="127">
        <v>60.768433963815788</v>
      </c>
      <c r="AH1414" s="127">
        <v>60.768433963815788</v>
      </c>
      <c r="AI1414" s="127">
        <v>60.768433963815788</v>
      </c>
      <c r="AJ1414" s="127">
        <v>60.768433963815788</v>
      </c>
      <c r="AK1414" s="127">
        <v>60.768433963815788</v>
      </c>
      <c r="AL1414" s="127">
        <v>60.768433963815788</v>
      </c>
      <c r="AM1414" s="127">
        <v>60.768433963815788</v>
      </c>
      <c r="AN1414" s="127">
        <v>60.768433963815788</v>
      </c>
      <c r="AO1414" s="127">
        <v>60.768433963815788</v>
      </c>
      <c r="AP1414" s="127">
        <v>60.768433963815788</v>
      </c>
      <c r="AQ1414" s="127">
        <v>60.768433963815788</v>
      </c>
      <c r="AR1414" s="127">
        <v>60.768433963815788</v>
      </c>
      <c r="AS1414" s="127">
        <v>60.768433963815788</v>
      </c>
      <c r="AT1414" s="127">
        <v>60.768433963815788</v>
      </c>
      <c r="AU1414" s="127">
        <v>60.768433963815788</v>
      </c>
      <c r="AV1414" s="127">
        <v>60.768433963815788</v>
      </c>
      <c r="AW1414" s="127">
        <v>60.768433963815788</v>
      </c>
      <c r="AX1414" s="128">
        <v>60.768433963815788</v>
      </c>
    </row>
    <row r="1415" spans="1:50" x14ac:dyDescent="0.25">
      <c r="A1415" s="356"/>
      <c r="B1415" s="358" t="s">
        <v>25</v>
      </c>
      <c r="C1415" s="353" t="s">
        <v>6</v>
      </c>
      <c r="D1415" s="3" t="s">
        <v>10</v>
      </c>
      <c r="E1415" s="162" t="str">
        <f>A1385&amp;"/"&amp;B1415&amp;"/"&amp;C1415&amp;"/"&amp;D1415</f>
        <v>Diesel oil fired power plants/Internal combustion engine/Electricity only/S</v>
      </c>
      <c r="F1415" s="77" t="str">
        <f>A1385</f>
        <v>Diesel oil fired power plants</v>
      </c>
      <c r="G1415" s="77" t="str">
        <f>B1415</f>
        <v>Internal combustion engine</v>
      </c>
      <c r="H1415" s="77" t="str">
        <f>C1415</f>
        <v>Electricity only</v>
      </c>
      <c r="I1415" s="163" t="str">
        <f t="shared" si="100"/>
        <v>S</v>
      </c>
      <c r="J1415" s="121">
        <v>7.5568181818181808</v>
      </c>
      <c r="K1415" s="121">
        <v>7.5560598102833492</v>
      </c>
      <c r="L1415" s="121">
        <v>7.5552656685769159</v>
      </c>
      <c r="M1415" s="121">
        <v>7.554434229793749</v>
      </c>
      <c r="N1415" s="121">
        <v>7.5535639179463772</v>
      </c>
      <c r="O1415" s="121">
        <v>7.5526531080588297</v>
      </c>
      <c r="P1415" s="121">
        <v>7.5517001264732588</v>
      </c>
      <c r="Q1415" s="121">
        <v>7.550703251392977</v>
      </c>
      <c r="R1415" s="121">
        <v>7.54966071368694</v>
      </c>
      <c r="S1415" s="121">
        <v>7.5485706979820044</v>
      </c>
      <c r="T1415" s="121">
        <v>7.5474313440706355</v>
      </c>
      <c r="U1415" s="121">
        <v>7.5462407486628535</v>
      </c>
      <c r="V1415" s="121">
        <v>7.5449969675123292</v>
      </c>
      <c r="W1415" s="121">
        <v>7.5436980179473974</v>
      </c>
      <c r="X1415" s="121">
        <v>7.5423418818384809</v>
      </c>
      <c r="Y1415" s="121">
        <v>7.5409265090338611</v>
      </c>
      <c r="Z1415" s="121">
        <v>7.5394498212958974</v>
      </c>
      <c r="AA1415" s="121">
        <v>7.537909716769593</v>
      </c>
      <c r="AB1415" s="121">
        <v>7.5363040750148542</v>
      </c>
      <c r="AC1415" s="121">
        <v>7.5346307626326903</v>
      </c>
      <c r="AD1415" s="121">
        <v>7.5328876395140458</v>
      </c>
      <c r="AE1415" s="121">
        <v>7.5310725657378033</v>
      </c>
      <c r="AF1415" s="121">
        <v>7.5291834091416305</v>
      </c>
      <c r="AG1415" s="121">
        <v>7.5272180535858375</v>
      </c>
      <c r="AH1415" s="121">
        <v>7.5251744079260607</v>
      </c>
      <c r="AI1415" s="121">
        <v>7.5230504157054172</v>
      </c>
      <c r="AJ1415" s="121">
        <v>7.5208440655707367</v>
      </c>
      <c r="AK1415" s="121">
        <v>7.5185534024104177</v>
      </c>
      <c r="AL1415" s="121">
        <v>7.5161765392035642</v>
      </c>
      <c r="AM1415" s="121">
        <v>7.5137116695610153</v>
      </c>
      <c r="AN1415" s="121">
        <v>7.5111570809289843</v>
      </c>
      <c r="AO1415" s="121">
        <v>7.508511168415124</v>
      </c>
      <c r="AP1415" s="121">
        <v>7.5057724491849536</v>
      </c>
      <c r="AQ1415" s="121">
        <v>7.5029395773639882</v>
      </c>
      <c r="AR1415" s="121">
        <v>7.5000113593674484</v>
      </c>
      <c r="AS1415" s="121">
        <v>7.4969867695654857</v>
      </c>
      <c r="AT1415" s="121">
        <v>7.4938649661774299</v>
      </c>
      <c r="AU1415" s="121">
        <v>7.4906453072739696</v>
      </c>
      <c r="AV1415" s="121">
        <v>7.4873273667516393</v>
      </c>
      <c r="AW1415" s="121">
        <v>7.4839109501297951</v>
      </c>
      <c r="AX1415" s="122">
        <v>7.4803961100067538</v>
      </c>
    </row>
    <row r="1416" spans="1:50" x14ac:dyDescent="0.25">
      <c r="A1416" s="356"/>
      <c r="B1416" s="359"/>
      <c r="C1416" s="360"/>
      <c r="D1416" s="59" t="s">
        <v>20</v>
      </c>
      <c r="E1416" s="160" t="str">
        <f>A1385&amp;"/"&amp;B1415&amp;"/"&amp;C1415&amp;"/"&amp;D1416</f>
        <v>Diesel oil fired power plants/Internal combustion engine/Electricity only/XS</v>
      </c>
      <c r="F1416" s="76" t="str">
        <f>A1385</f>
        <v>Diesel oil fired power plants</v>
      </c>
      <c r="G1416" s="76" t="str">
        <f>B1415</f>
        <v>Internal combustion engine</v>
      </c>
      <c r="H1416" s="76" t="str">
        <f>C1415</f>
        <v>Electricity only</v>
      </c>
      <c r="I1416" s="161" t="str">
        <f t="shared" si="100"/>
        <v>XS</v>
      </c>
      <c r="J1416" s="119">
        <v>6.9900568181818175</v>
      </c>
      <c r="K1416" s="119">
        <v>6.9895059690312626</v>
      </c>
      <c r="L1416" s="119">
        <v>6.988928653178526</v>
      </c>
      <c r="M1416" s="119">
        <v>6.9883236913383504</v>
      </c>
      <c r="N1416" s="119">
        <v>6.9876898610460287</v>
      </c>
      <c r="O1416" s="119">
        <v>6.9870258960480474</v>
      </c>
      <c r="P1416" s="119">
        <v>6.9863304857986659</v>
      </c>
      <c r="Q1416" s="119">
        <v>6.9856022750777313</v>
      </c>
      <c r="R1416" s="119">
        <v>6.9848398637463562</v>
      </c>
      <c r="S1416" s="119">
        <v>6.9840418066582091</v>
      </c>
      <c r="T1416" s="119">
        <v>6.9832066137455691</v>
      </c>
      <c r="U1416" s="119">
        <v>6.9823327503004888</v>
      </c>
      <c r="V1416" s="119">
        <v>6.9814186374727516</v>
      </c>
      <c r="W1416" s="119">
        <v>6.9804626530075549</v>
      </c>
      <c r="X1416" s="119">
        <v>6.979463132247103</v>
      </c>
      <c r="Y1416" s="119">
        <v>6.9784183694214308</v>
      </c>
      <c r="Z1416" s="119">
        <v>6.9773266192549084</v>
      </c>
      <c r="AA1416" s="119">
        <v>6.976186098915818</v>
      </c>
      <c r="AB1416" s="119">
        <v>6.9749949903372439</v>
      </c>
      <c r="AC1416" s="119">
        <v>6.9737514429381351</v>
      </c>
      <c r="AD1416" s="119">
        <v>6.972453576773832</v>
      </c>
      <c r="AE1416" s="119">
        <v>6.9710994861454889</v>
      </c>
      <c r="AF1416" s="119">
        <v>6.9696872436976625</v>
      </c>
      <c r="AG1416" s="119">
        <v>6.9682149050327782</v>
      </c>
      <c r="AH1416" s="119">
        <v>6.9666805138702275</v>
      </c>
      <c r="AI1416" s="119">
        <v>6.9650821077764267</v>
      </c>
      <c r="AJ1416" s="119">
        <v>6.9634177244901201</v>
      </c>
      <c r="AK1416" s="119">
        <v>6.9616854088646951</v>
      </c>
      <c r="AL1416" s="119">
        <v>6.9598832204459518</v>
      </c>
      <c r="AM1416" s="119">
        <v>6.9580092416998607</v>
      </c>
      <c r="AN1416" s="119">
        <v>6.9560615869000655</v>
      </c>
      <c r="AO1416" s="119">
        <v>6.9540384116793286</v>
      </c>
      <c r="AP1416" s="119">
        <v>6.9519379232427196</v>
      </c>
      <c r="AQ1416" s="119">
        <v>6.9497583912330008</v>
      </c>
      <c r="AR1416" s="119">
        <v>6.9474981592304896</v>
      </c>
      <c r="AS1416" s="119">
        <v>6.9451556568605088</v>
      </c>
      <c r="AT1416" s="119">
        <v>6.9427294124715813</v>
      </c>
      <c r="AU1416" s="119">
        <v>6.9402180663366524</v>
      </c>
      <c r="AV1416" s="119">
        <v>6.9376203843180058</v>
      </c>
      <c r="AW1416" s="119">
        <v>6.9349352719242878</v>
      </c>
      <c r="AX1416" s="120">
        <v>6.9321617886751712</v>
      </c>
    </row>
    <row r="1417" spans="1:50" x14ac:dyDescent="0.25">
      <c r="A1417" s="356"/>
      <c r="B1417" s="359"/>
      <c r="C1417" s="350" t="s">
        <v>14</v>
      </c>
      <c r="D1417" s="2" t="s">
        <v>10</v>
      </c>
      <c r="E1417" s="164" t="str">
        <f>A1385&amp;"/"&amp;B1415&amp;"/"&amp;C1417&amp;"/"&amp;D1417</f>
        <v>Diesel oil fired power plants/Internal combustion engine/CHP/S</v>
      </c>
      <c r="F1417" s="78" t="str">
        <f>A1385</f>
        <v>Diesel oil fired power plants</v>
      </c>
      <c r="G1417" s="78" t="str">
        <f>B1415</f>
        <v>Internal combustion engine</v>
      </c>
      <c r="H1417" s="78" t="str">
        <f>C1417</f>
        <v>CHP</v>
      </c>
      <c r="I1417" s="165" t="str">
        <f t="shared" si="100"/>
        <v>S</v>
      </c>
      <c r="J1417" s="123">
        <v>9.1437499999999972</v>
      </c>
      <c r="K1417" s="123">
        <v>9.1431851756567326</v>
      </c>
      <c r="L1417" s="123">
        <v>9.142592820009984</v>
      </c>
      <c r="M1417" s="123">
        <v>9.1419716659393391</v>
      </c>
      <c r="N1417" s="123">
        <v>9.1413203956540627</v>
      </c>
      <c r="O1417" s="123">
        <v>9.140637639460973</v>
      </c>
      <c r="P1417" s="123">
        <v>9.1399219745919549</v>
      </c>
      <c r="Q1417" s="123">
        <v>9.1391719241040601</v>
      </c>
      <c r="R1417" s="123">
        <v>9.1383859558663438</v>
      </c>
      <c r="S1417" s="123">
        <v>9.13756248164899</v>
      </c>
      <c r="T1417" s="123">
        <v>9.1366998563316368</v>
      </c>
      <c r="U1417" s="123">
        <v>9.1357963772493207</v>
      </c>
      <c r="V1417" s="123">
        <v>9.1348502836959611</v>
      </c>
      <c r="W1417" s="123">
        <v>9.1338597566069097</v>
      </c>
      <c r="X1417" s="123">
        <v>9.1328229184437184</v>
      </c>
      <c r="Y1417" s="123">
        <v>9.1317378333059356</v>
      </c>
      <c r="Z1417" s="123">
        <v>9.1306025072963877</v>
      </c>
      <c r="AA1417" s="123">
        <v>9.1294148891681388</v>
      </c>
      <c r="AB1417" s="123">
        <v>9.1281728712828833</v>
      </c>
      <c r="AC1417" s="123">
        <v>9.1268742909122196</v>
      </c>
      <c r="AD1417" s="123">
        <v>9.1255169319146887</v>
      </c>
      <c r="AE1417" s="123">
        <v>9.1240985268229551</v>
      </c>
      <c r="AF1417" s="123">
        <v>9.1226167593767062</v>
      </c>
      <c r="AG1417" s="123">
        <v>9.1210692675379494</v>
      </c>
      <c r="AH1417" s="123">
        <v>9.1194536470262317</v>
      </c>
      <c r="AI1417" s="123">
        <v>9.1177674554118084</v>
      </c>
      <c r="AJ1417" s="123">
        <v>9.1160082168050245</v>
      </c>
      <c r="AK1417" s="123">
        <v>9.1141734271799066</v>
      </c>
      <c r="AL1417" s="123">
        <v>9.1122605603692897</v>
      </c>
      <c r="AM1417" s="123">
        <v>9.1102670747675418</v>
      </c>
      <c r="AN1417" s="123">
        <v>9.1081904207750579</v>
      </c>
      <c r="AO1417" s="123">
        <v>9.1060280490161318</v>
      </c>
      <c r="AP1417" s="123">
        <v>9.1037774193584191</v>
      </c>
      <c r="AQ1417" s="123">
        <v>9.1014360107579986</v>
      </c>
      <c r="AR1417" s="123">
        <v>9.0990013319489087</v>
      </c>
      <c r="AS1417" s="123">
        <v>9.0964709329898081</v>
      </c>
      <c r="AT1417" s="123">
        <v>9.0938424176732511</v>
      </c>
      <c r="AU1417" s="123">
        <v>9.0911134567946803</v>
      </c>
      <c r="AV1417" s="123">
        <v>9.0882818022687903</v>
      </c>
      <c r="AW1417" s="123">
        <v>9.0853453020701487</v>
      </c>
      <c r="AX1417" s="124">
        <v>9.0823019159632725</v>
      </c>
    </row>
    <row r="1418" spans="1:50" x14ac:dyDescent="0.25">
      <c r="A1418" s="357"/>
      <c r="B1418" s="362"/>
      <c r="C1418" s="354"/>
      <c r="D1418" s="4" t="s">
        <v>20</v>
      </c>
      <c r="E1418" s="168" t="str">
        <f>A1385&amp;"/"&amp;B1415&amp;"/"&amp;C1417&amp;"/"&amp;D1418</f>
        <v>Diesel oil fired power plants/Internal combustion engine/CHP/XS</v>
      </c>
      <c r="F1418" s="80" t="str">
        <f>A1385</f>
        <v>Diesel oil fired power plants</v>
      </c>
      <c r="G1418" s="80" t="str">
        <f>B1415</f>
        <v>Internal combustion engine</v>
      </c>
      <c r="H1418" s="80" t="str">
        <f>C1417</f>
        <v>CHP</v>
      </c>
      <c r="I1418" s="169" t="str">
        <f t="shared" si="100"/>
        <v>XS</v>
      </c>
      <c r="J1418" s="127">
        <v>7.9252130681818169</v>
      </c>
      <c r="K1418" s="127">
        <v>7.92472351485124</v>
      </c>
      <c r="L1418" s="127">
        <v>7.9242100991615496</v>
      </c>
      <c r="M1418" s="127">
        <v>7.9236717228544506</v>
      </c>
      <c r="N1418" s="127">
        <v>7.9231072437538845</v>
      </c>
      <c r="O1418" s="127">
        <v>7.9225154746980966</v>
      </c>
      <c r="P1418" s="127">
        <v>7.921895182523401</v>
      </c>
      <c r="Q1418" s="127">
        <v>7.9212450871108562</v>
      </c>
      <c r="R1418" s="127">
        <v>7.9205638605081248</v>
      </c>
      <c r="S1418" s="127">
        <v>7.9198501261399823</v>
      </c>
      <c r="T1418" s="127">
        <v>7.9191024581221523</v>
      </c>
      <c r="U1418" s="127">
        <v>7.9183193806944034</v>
      </c>
      <c r="V1418" s="127">
        <v>7.9174993677901995</v>
      </c>
      <c r="W1418" s="127">
        <v>7.91664084276157</v>
      </c>
      <c r="X1418" s="127">
        <v>7.915742178279217</v>
      </c>
      <c r="Y1418" s="127">
        <v>7.9148016964294232</v>
      </c>
      <c r="Z1418" s="127">
        <v>7.9138176690306521</v>
      </c>
      <c r="AA1418" s="127">
        <v>7.9127883181942877</v>
      </c>
      <c r="AB1418" s="127">
        <v>7.9117118171553118</v>
      </c>
      <c r="AC1418" s="127">
        <v>7.9105862914001586</v>
      </c>
      <c r="AD1418" s="127">
        <v>7.909409820120274</v>
      </c>
      <c r="AE1418" s="127">
        <v>7.9081804380211373</v>
      </c>
      <c r="AF1418" s="127">
        <v>7.9068961375176219</v>
      </c>
      <c r="AG1418" s="127">
        <v>7.9055548713474613</v>
      </c>
      <c r="AH1418" s="127">
        <v>7.9041545556353396</v>
      </c>
      <c r="AI1418" s="127">
        <v>7.9026930734406085</v>
      </c>
      <c r="AJ1418" s="127">
        <v>7.9011682788217135</v>
      </c>
      <c r="AK1418" s="127">
        <v>7.8995780014503563</v>
      </c>
      <c r="AL1418" s="127">
        <v>7.8979200518076826</v>
      </c>
      <c r="AM1418" s="127">
        <v>7.8961922269937697</v>
      </c>
      <c r="AN1418" s="127">
        <v>7.8943923171800368</v>
      </c>
      <c r="AO1418" s="127">
        <v>7.8925181127319597</v>
      </c>
      <c r="AP1418" s="127">
        <v>7.8905674120265656</v>
      </c>
      <c r="AQ1418" s="127">
        <v>7.8885380299854972</v>
      </c>
      <c r="AR1418" s="127">
        <v>7.8864278073400156</v>
      </c>
      <c r="AS1418" s="127">
        <v>7.8842346206388951</v>
      </c>
      <c r="AT1418" s="127">
        <v>7.8819563930039873</v>
      </c>
      <c r="AU1418" s="127">
        <v>7.8795911056309285</v>
      </c>
      <c r="AV1418" s="127">
        <v>7.8771368100242931</v>
      </c>
      <c r="AW1418" s="127">
        <v>7.874591640947167</v>
      </c>
      <c r="AX1418" s="128">
        <v>7.8719538300549461</v>
      </c>
    </row>
    <row r="1419" spans="1:50" x14ac:dyDescent="0.25">
      <c r="A1419" s="355" t="s">
        <v>29</v>
      </c>
      <c r="B1419" s="358" t="s">
        <v>13</v>
      </c>
      <c r="C1419" s="353" t="s">
        <v>6</v>
      </c>
      <c r="D1419" s="3" t="s">
        <v>7</v>
      </c>
      <c r="E1419" s="162" t="str">
        <f>A1419&amp;"/"&amp;B1419&amp;"/"&amp;C1419&amp;"/"&amp;D1419</f>
        <v>Fuel oil fired power plants/Integrated gasification combined cycle/Electricity only/L</v>
      </c>
      <c r="F1419" s="77" t="str">
        <f>A1419</f>
        <v>Fuel oil fired power plants</v>
      </c>
      <c r="G1419" s="77" t="str">
        <f>B1419</f>
        <v>Integrated gasification combined cycle</v>
      </c>
      <c r="H1419" s="77" t="str">
        <f>C1419</f>
        <v>Electricity only</v>
      </c>
      <c r="I1419" s="163" t="str">
        <f t="shared" si="100"/>
        <v>L</v>
      </c>
      <c r="J1419" s="121">
        <v>53.039999999999992</v>
      </c>
      <c r="K1419" s="121">
        <v>53.039999999999992</v>
      </c>
      <c r="L1419" s="121">
        <v>53.039999999999992</v>
      </c>
      <c r="M1419" s="121">
        <v>53.039999999999992</v>
      </c>
      <c r="N1419" s="121">
        <v>53.039999999999992</v>
      </c>
      <c r="O1419" s="121">
        <v>53.039999999999992</v>
      </c>
      <c r="P1419" s="121">
        <v>53.039999999999992</v>
      </c>
      <c r="Q1419" s="121">
        <v>53.039999999999992</v>
      </c>
      <c r="R1419" s="121">
        <v>53.039999999999992</v>
      </c>
      <c r="S1419" s="121">
        <v>53.039999999999992</v>
      </c>
      <c r="T1419" s="121">
        <v>53.039999999999992</v>
      </c>
      <c r="U1419" s="121">
        <v>53.039999999999992</v>
      </c>
      <c r="V1419" s="121">
        <v>53.039999999999992</v>
      </c>
      <c r="W1419" s="121">
        <v>53.039999999999992</v>
      </c>
      <c r="X1419" s="121">
        <v>53.039999999999992</v>
      </c>
      <c r="Y1419" s="121">
        <v>53.039999999999992</v>
      </c>
      <c r="Z1419" s="121">
        <v>53.039999999999992</v>
      </c>
      <c r="AA1419" s="121">
        <v>53.039999999999992</v>
      </c>
      <c r="AB1419" s="121">
        <v>53.039999999999992</v>
      </c>
      <c r="AC1419" s="121">
        <v>53.039999999999992</v>
      </c>
      <c r="AD1419" s="121">
        <v>53.039999999999992</v>
      </c>
      <c r="AE1419" s="121">
        <v>53.039999999999992</v>
      </c>
      <c r="AF1419" s="121">
        <v>53.039999999999992</v>
      </c>
      <c r="AG1419" s="121">
        <v>53.039999999999992</v>
      </c>
      <c r="AH1419" s="121">
        <v>53.039999999999992</v>
      </c>
      <c r="AI1419" s="121">
        <v>53.039999999999992</v>
      </c>
      <c r="AJ1419" s="121">
        <v>53.039999999999992</v>
      </c>
      <c r="AK1419" s="121">
        <v>53.039999999999992</v>
      </c>
      <c r="AL1419" s="121">
        <v>53.039999999999992</v>
      </c>
      <c r="AM1419" s="121">
        <v>53.039999999999992</v>
      </c>
      <c r="AN1419" s="121">
        <v>53.025483661763296</v>
      </c>
      <c r="AO1419" s="121">
        <v>53.020440584700452</v>
      </c>
      <c r="AP1419" s="121">
        <v>53.013662132014304</v>
      </c>
      <c r="AQ1419" s="121">
        <v>53.004564608788002</v>
      </c>
      <c r="AR1419" s="121">
        <v>52.992378821309522</v>
      </c>
      <c r="AS1419" s="121">
        <v>52.97609977051345</v>
      </c>
      <c r="AT1419" s="121">
        <v>52.954429642436736</v>
      </c>
      <c r="AU1419" s="121">
        <v>52.925719229216703</v>
      </c>
      <c r="AV1419" s="121">
        <v>52.887918962293583</v>
      </c>
      <c r="AW1419" s="121">
        <v>52.838560171211817</v>
      </c>
      <c r="AX1419" s="122">
        <v>52.774799999999992</v>
      </c>
    </row>
    <row r="1420" spans="1:50" x14ac:dyDescent="0.25">
      <c r="A1420" s="356"/>
      <c r="B1420" s="359"/>
      <c r="C1420" s="360"/>
      <c r="D1420" s="2" t="s">
        <v>8</v>
      </c>
      <c r="E1420" s="160" t="str">
        <f>A1419&amp;"/"&amp;B1419&amp;"/"&amp;C1419&amp;"/"&amp;D1420</f>
        <v>Fuel oil fired power plants/Integrated gasification combined cycle/Electricity only/M</v>
      </c>
      <c r="F1420" s="76" t="str">
        <f>A1419</f>
        <v>Fuel oil fired power plants</v>
      </c>
      <c r="G1420" s="76" t="str">
        <f>B1419</f>
        <v>Integrated gasification combined cycle</v>
      </c>
      <c r="H1420" s="76" t="str">
        <f>C1419</f>
        <v>Electricity only</v>
      </c>
      <c r="I1420" s="161" t="str">
        <f t="shared" si="100"/>
        <v>M</v>
      </c>
      <c r="J1420" s="119">
        <v>57.017999999999994</v>
      </c>
      <c r="K1420" s="119">
        <v>57.017999999999994</v>
      </c>
      <c r="L1420" s="119">
        <v>57.017999999999994</v>
      </c>
      <c r="M1420" s="119">
        <v>57.017999999999994</v>
      </c>
      <c r="N1420" s="119">
        <v>57.017999999999994</v>
      </c>
      <c r="O1420" s="119">
        <v>57.017999999999994</v>
      </c>
      <c r="P1420" s="119">
        <v>57.017999999999994</v>
      </c>
      <c r="Q1420" s="119">
        <v>57.017999999999994</v>
      </c>
      <c r="R1420" s="119">
        <v>57.017999999999994</v>
      </c>
      <c r="S1420" s="119">
        <v>57.017999999999994</v>
      </c>
      <c r="T1420" s="119">
        <v>57.017999999999994</v>
      </c>
      <c r="U1420" s="119">
        <v>57.017999999999994</v>
      </c>
      <c r="V1420" s="119">
        <v>57.017999999999994</v>
      </c>
      <c r="W1420" s="119">
        <v>57.017999999999994</v>
      </c>
      <c r="X1420" s="119">
        <v>57.017999999999994</v>
      </c>
      <c r="Y1420" s="119">
        <v>57.017999999999994</v>
      </c>
      <c r="Z1420" s="119">
        <v>57.017999999999994</v>
      </c>
      <c r="AA1420" s="119">
        <v>57.017999999999994</v>
      </c>
      <c r="AB1420" s="119">
        <v>57.017999999999994</v>
      </c>
      <c r="AC1420" s="119">
        <v>57.017999999999994</v>
      </c>
      <c r="AD1420" s="119">
        <v>57.017999999999994</v>
      </c>
      <c r="AE1420" s="119">
        <v>57.017999999999994</v>
      </c>
      <c r="AF1420" s="119">
        <v>57.017999999999994</v>
      </c>
      <c r="AG1420" s="119">
        <v>57.017999999999994</v>
      </c>
      <c r="AH1420" s="119">
        <v>57.017999999999994</v>
      </c>
      <c r="AI1420" s="119">
        <v>57.017999999999994</v>
      </c>
      <c r="AJ1420" s="119">
        <v>57.017999999999994</v>
      </c>
      <c r="AK1420" s="119">
        <v>57.017999999999994</v>
      </c>
      <c r="AL1420" s="119">
        <v>57.017999999999994</v>
      </c>
      <c r="AM1420" s="119">
        <v>57.017999999999994</v>
      </c>
      <c r="AN1420" s="119">
        <v>57.002394936395532</v>
      </c>
      <c r="AO1420" s="119">
        <v>56.996973628552993</v>
      </c>
      <c r="AP1420" s="119">
        <v>56.989686791915368</v>
      </c>
      <c r="AQ1420" s="119">
        <v>56.979906954447095</v>
      </c>
      <c r="AR1420" s="119">
        <v>56.966807232907726</v>
      </c>
      <c r="AS1420" s="119">
        <v>56.94930725330196</v>
      </c>
      <c r="AT1420" s="119">
        <v>56.926011865619486</v>
      </c>
      <c r="AU1420" s="119">
        <v>56.895148171407939</v>
      </c>
      <c r="AV1420" s="119">
        <v>56.854512884465599</v>
      </c>
      <c r="AW1420" s="119">
        <v>56.801452184052692</v>
      </c>
      <c r="AX1420" s="120">
        <v>56.732909999999997</v>
      </c>
    </row>
    <row r="1421" spans="1:50" x14ac:dyDescent="0.25">
      <c r="A1421" s="356"/>
      <c r="B1421" s="359"/>
      <c r="C1421" s="361" t="s">
        <v>14</v>
      </c>
      <c r="D1421" s="58" t="s">
        <v>7</v>
      </c>
      <c r="E1421" s="164" t="str">
        <f>A1419&amp;"/"&amp;B1419&amp;"/"&amp;C1421&amp;"/"&amp;D1421</f>
        <v>Fuel oil fired power plants/Integrated gasification combined cycle/CHP/L</v>
      </c>
      <c r="F1421" s="78" t="str">
        <f>A1419</f>
        <v>Fuel oil fired power plants</v>
      </c>
      <c r="G1421" s="78" t="str">
        <f>B1419</f>
        <v>Integrated gasification combined cycle</v>
      </c>
      <c r="H1421" s="78" t="str">
        <f>C1421</f>
        <v>CHP</v>
      </c>
      <c r="I1421" s="165" t="str">
        <f t="shared" si="100"/>
        <v>L</v>
      </c>
      <c r="J1421" s="123">
        <v>59.44714285714285</v>
      </c>
      <c r="K1421" s="123">
        <v>59.44714285714285</v>
      </c>
      <c r="L1421" s="123">
        <v>59.44714285714285</v>
      </c>
      <c r="M1421" s="123">
        <v>59.44714285714285</v>
      </c>
      <c r="N1421" s="123">
        <v>59.44714285714285</v>
      </c>
      <c r="O1421" s="123">
        <v>59.44714285714285</v>
      </c>
      <c r="P1421" s="123">
        <v>59.44714285714285</v>
      </c>
      <c r="Q1421" s="123">
        <v>59.44714285714285</v>
      </c>
      <c r="R1421" s="123">
        <v>59.44714285714285</v>
      </c>
      <c r="S1421" s="123">
        <v>59.44714285714285</v>
      </c>
      <c r="T1421" s="123">
        <v>59.44714285714285</v>
      </c>
      <c r="U1421" s="123">
        <v>59.44714285714285</v>
      </c>
      <c r="V1421" s="123">
        <v>59.44714285714285</v>
      </c>
      <c r="W1421" s="123">
        <v>59.44714285714285</v>
      </c>
      <c r="X1421" s="123">
        <v>59.44714285714285</v>
      </c>
      <c r="Y1421" s="123">
        <v>59.44714285714285</v>
      </c>
      <c r="Z1421" s="123">
        <v>59.44714285714285</v>
      </c>
      <c r="AA1421" s="123">
        <v>59.44714285714285</v>
      </c>
      <c r="AB1421" s="123">
        <v>59.44714285714285</v>
      </c>
      <c r="AC1421" s="123">
        <v>59.44714285714285</v>
      </c>
      <c r="AD1421" s="123">
        <v>59.44714285714285</v>
      </c>
      <c r="AE1421" s="123">
        <v>59.44714285714285</v>
      </c>
      <c r="AF1421" s="123">
        <v>59.44714285714285</v>
      </c>
      <c r="AG1421" s="123">
        <v>59.44714285714285</v>
      </c>
      <c r="AH1421" s="123">
        <v>59.44714285714285</v>
      </c>
      <c r="AI1421" s="123">
        <v>59.44714285714285</v>
      </c>
      <c r="AJ1421" s="123">
        <v>59.44714285714285</v>
      </c>
      <c r="AK1421" s="123">
        <v>59.44714285714285</v>
      </c>
      <c r="AL1421" s="123">
        <v>59.44714285714285</v>
      </c>
      <c r="AM1421" s="123">
        <v>59.44714285714285</v>
      </c>
      <c r="AN1421" s="123">
        <v>59.430872969644362</v>
      </c>
      <c r="AO1421" s="123">
        <v>59.425220697348102</v>
      </c>
      <c r="AP1421" s="123">
        <v>59.417623418969811</v>
      </c>
      <c r="AQ1421" s="123">
        <v>59.407426930227714</v>
      </c>
      <c r="AR1421" s="123">
        <v>59.393769120102164</v>
      </c>
      <c r="AS1421" s="123">
        <v>59.375523587329681</v>
      </c>
      <c r="AT1421" s="123">
        <v>59.351235744201681</v>
      </c>
      <c r="AU1421" s="123">
        <v>59.319057161317453</v>
      </c>
      <c r="AV1421" s="123">
        <v>59.276690685679895</v>
      </c>
      <c r="AW1421" s="123">
        <v>59.221369435591399</v>
      </c>
      <c r="AX1421" s="124">
        <v>59.149907142857138</v>
      </c>
    </row>
    <row r="1422" spans="1:50" x14ac:dyDescent="0.25">
      <c r="A1422" s="356"/>
      <c r="B1422" s="359"/>
      <c r="C1422" s="360"/>
      <c r="D1422" s="59" t="s">
        <v>8</v>
      </c>
      <c r="E1422" s="166" t="str">
        <f>A1419&amp;"/"&amp;B1419&amp;"/"&amp;C1421&amp;"/"&amp;D1422</f>
        <v>Fuel oil fired power plants/Integrated gasification combined cycle/CHP/M</v>
      </c>
      <c r="F1422" s="79" t="str">
        <f>A1419</f>
        <v>Fuel oil fired power plants</v>
      </c>
      <c r="G1422" s="79" t="str">
        <f>B1419</f>
        <v>Integrated gasification combined cycle</v>
      </c>
      <c r="H1422" s="79" t="str">
        <f>C1421</f>
        <v>CHP</v>
      </c>
      <c r="I1422" s="167" t="str">
        <f t="shared" si="100"/>
        <v>M</v>
      </c>
      <c r="J1422" s="125">
        <v>63.305802857142851</v>
      </c>
      <c r="K1422" s="125">
        <v>63.305802857142851</v>
      </c>
      <c r="L1422" s="125">
        <v>63.305802857142851</v>
      </c>
      <c r="M1422" s="125">
        <v>63.305802857142851</v>
      </c>
      <c r="N1422" s="125">
        <v>63.305802857142851</v>
      </c>
      <c r="O1422" s="125">
        <v>63.305802857142851</v>
      </c>
      <c r="P1422" s="125">
        <v>63.305802857142851</v>
      </c>
      <c r="Q1422" s="125">
        <v>63.305802857142851</v>
      </c>
      <c r="R1422" s="125">
        <v>63.305802857142851</v>
      </c>
      <c r="S1422" s="125">
        <v>63.305802857142851</v>
      </c>
      <c r="T1422" s="125">
        <v>63.305802857142851</v>
      </c>
      <c r="U1422" s="125">
        <v>63.305802857142851</v>
      </c>
      <c r="V1422" s="125">
        <v>63.305802857142851</v>
      </c>
      <c r="W1422" s="125">
        <v>63.305802857142851</v>
      </c>
      <c r="X1422" s="125">
        <v>63.305802857142851</v>
      </c>
      <c r="Y1422" s="125">
        <v>63.305802857142851</v>
      </c>
      <c r="Z1422" s="125">
        <v>63.305802857142851</v>
      </c>
      <c r="AA1422" s="125">
        <v>63.305802857142851</v>
      </c>
      <c r="AB1422" s="125">
        <v>63.305802857142851</v>
      </c>
      <c r="AC1422" s="125">
        <v>63.305802857142851</v>
      </c>
      <c r="AD1422" s="125">
        <v>63.305802857142851</v>
      </c>
      <c r="AE1422" s="125">
        <v>63.305802857142851</v>
      </c>
      <c r="AF1422" s="125">
        <v>63.305802857142851</v>
      </c>
      <c r="AG1422" s="125">
        <v>63.305802857142851</v>
      </c>
      <c r="AH1422" s="125">
        <v>63.305802857142851</v>
      </c>
      <c r="AI1422" s="125">
        <v>63.305802857142851</v>
      </c>
      <c r="AJ1422" s="125">
        <v>63.305802857142851</v>
      </c>
      <c r="AK1422" s="125">
        <v>63.305802857142851</v>
      </c>
      <c r="AL1422" s="125">
        <v>63.305802857142851</v>
      </c>
      <c r="AM1422" s="125">
        <v>63.305802857142851</v>
      </c>
      <c r="AN1422" s="125">
        <v>63.28847690603763</v>
      </c>
      <c r="AO1422" s="125">
        <v>63.282457749885054</v>
      </c>
      <c r="AP1422" s="125">
        <v>63.274367339073841</v>
      </c>
      <c r="AQ1422" s="125">
        <v>63.263509005517037</v>
      </c>
      <c r="AR1422" s="125">
        <v>63.248964679352419</v>
      </c>
      <c r="AS1422" s="125">
        <v>63.229534845634525</v>
      </c>
      <c r="AT1422" s="125">
        <v>63.203670500688951</v>
      </c>
      <c r="AU1422" s="125">
        <v>63.169403235242967</v>
      </c>
      <c r="AV1422" s="125">
        <v>63.124286790186751</v>
      </c>
      <c r="AW1422" s="125">
        <v>63.065374688047044</v>
      </c>
      <c r="AX1422" s="126">
        <v>62.989273842857138</v>
      </c>
    </row>
    <row r="1423" spans="1:50" x14ac:dyDescent="0.25">
      <c r="A1423" s="356"/>
      <c r="B1423" s="359"/>
      <c r="C1423" s="361" t="s">
        <v>15</v>
      </c>
      <c r="D1423" s="58" t="s">
        <v>7</v>
      </c>
      <c r="E1423" s="164" t="str">
        <f>A1419&amp;"/"&amp;B1419&amp;"/"&amp;C1423&amp;"/"&amp;D1423</f>
        <v>Fuel oil fired power plants/Integrated gasification combined cycle/Electricity only with CCS/L</v>
      </c>
      <c r="F1423" s="78" t="str">
        <f>A1419</f>
        <v>Fuel oil fired power plants</v>
      </c>
      <c r="G1423" s="78" t="str">
        <f>B1419</f>
        <v>Integrated gasification combined cycle</v>
      </c>
      <c r="H1423" s="78" t="str">
        <f>C1423</f>
        <v>Electricity only with CCS</v>
      </c>
      <c r="I1423" s="165" t="str">
        <f t="shared" si="100"/>
        <v>L</v>
      </c>
      <c r="J1423" s="123" t="s">
        <v>112</v>
      </c>
      <c r="K1423" s="123" t="s">
        <v>112</v>
      </c>
      <c r="L1423" s="123" t="s">
        <v>112</v>
      </c>
      <c r="M1423" s="123" t="s">
        <v>112</v>
      </c>
      <c r="N1423" s="123" t="s">
        <v>112</v>
      </c>
      <c r="O1423" s="123" t="s">
        <v>112</v>
      </c>
      <c r="P1423" s="123" t="s">
        <v>112</v>
      </c>
      <c r="Q1423" s="123" t="s">
        <v>112</v>
      </c>
      <c r="R1423" s="123" t="s">
        <v>112</v>
      </c>
      <c r="S1423" s="123" t="s">
        <v>112</v>
      </c>
      <c r="T1423" s="123" t="s">
        <v>112</v>
      </c>
      <c r="U1423" s="123" t="s">
        <v>112</v>
      </c>
      <c r="V1423" s="123" t="s">
        <v>112</v>
      </c>
      <c r="W1423" s="123" t="s">
        <v>112</v>
      </c>
      <c r="X1423" s="123" t="s">
        <v>112</v>
      </c>
      <c r="Y1423" s="123" t="s">
        <v>112</v>
      </c>
      <c r="Z1423" s="123" t="s">
        <v>112</v>
      </c>
      <c r="AA1423" s="123" t="s">
        <v>112</v>
      </c>
      <c r="AB1423" s="123" t="s">
        <v>112</v>
      </c>
      <c r="AC1423" s="123" t="s">
        <v>112</v>
      </c>
      <c r="AD1423" s="123" t="s">
        <v>112</v>
      </c>
      <c r="AE1423" s="123">
        <v>83.537999999999997</v>
      </c>
      <c r="AF1423" s="123">
        <v>83.537999999999997</v>
      </c>
      <c r="AG1423" s="123">
        <v>83.537999999999997</v>
      </c>
      <c r="AH1423" s="123">
        <v>83.537999999999997</v>
      </c>
      <c r="AI1423" s="123">
        <v>83.537999999999997</v>
      </c>
      <c r="AJ1423" s="123">
        <v>83.537999999999997</v>
      </c>
      <c r="AK1423" s="123">
        <v>83.537999999999997</v>
      </c>
      <c r="AL1423" s="123">
        <v>83.537999999999997</v>
      </c>
      <c r="AM1423" s="123">
        <v>83.537999999999997</v>
      </c>
      <c r="AN1423" s="123">
        <v>83.537999999999997</v>
      </c>
      <c r="AO1423" s="123">
        <v>83.537999999999997</v>
      </c>
      <c r="AP1423" s="123">
        <v>83.537999999999997</v>
      </c>
      <c r="AQ1423" s="123">
        <v>83.537999999999997</v>
      </c>
      <c r="AR1423" s="123">
        <v>83.537999999999997</v>
      </c>
      <c r="AS1423" s="123">
        <v>83.500431664804296</v>
      </c>
      <c r="AT1423" s="123">
        <v>83.476401864467007</v>
      </c>
      <c r="AU1423" s="123">
        <v>83.437357138558696</v>
      </c>
      <c r="AV1423" s="123">
        <v>83.374498467978199</v>
      </c>
      <c r="AW1423" s="123">
        <v>83.274792164799422</v>
      </c>
      <c r="AX1423" s="124">
        <v>83.120310000000003</v>
      </c>
    </row>
    <row r="1424" spans="1:50" x14ac:dyDescent="0.25">
      <c r="A1424" s="356"/>
      <c r="B1424" s="359"/>
      <c r="C1424" s="360"/>
      <c r="D1424" s="59" t="s">
        <v>8</v>
      </c>
      <c r="E1424" s="166" t="str">
        <f>A1419&amp;"/"&amp;B1419&amp;"/"&amp;C1423&amp;"/"&amp;D1424</f>
        <v>Fuel oil fired power plants/Integrated gasification combined cycle/Electricity only with CCS/M</v>
      </c>
      <c r="F1424" s="79" t="str">
        <f>A1419</f>
        <v>Fuel oil fired power plants</v>
      </c>
      <c r="G1424" s="79" t="str">
        <f>B1419</f>
        <v>Integrated gasification combined cycle</v>
      </c>
      <c r="H1424" s="79" t="str">
        <f>C1423</f>
        <v>Electricity only with CCS</v>
      </c>
      <c r="I1424" s="167" t="str">
        <f t="shared" si="100"/>
        <v>M</v>
      </c>
      <c r="J1424" s="125" t="s">
        <v>112</v>
      </c>
      <c r="K1424" s="125" t="s">
        <v>112</v>
      </c>
      <c r="L1424" s="125" t="s">
        <v>112</v>
      </c>
      <c r="M1424" s="125" t="s">
        <v>112</v>
      </c>
      <c r="N1424" s="125" t="s">
        <v>112</v>
      </c>
      <c r="O1424" s="125" t="s">
        <v>112</v>
      </c>
      <c r="P1424" s="125" t="s">
        <v>112</v>
      </c>
      <c r="Q1424" s="125" t="s">
        <v>112</v>
      </c>
      <c r="R1424" s="125" t="s">
        <v>112</v>
      </c>
      <c r="S1424" s="125" t="s">
        <v>112</v>
      </c>
      <c r="T1424" s="125" t="s">
        <v>112</v>
      </c>
      <c r="U1424" s="125" t="s">
        <v>112</v>
      </c>
      <c r="V1424" s="125" t="s">
        <v>112</v>
      </c>
      <c r="W1424" s="125" t="s">
        <v>112</v>
      </c>
      <c r="X1424" s="125" t="s">
        <v>112</v>
      </c>
      <c r="Y1424" s="125" t="s">
        <v>112</v>
      </c>
      <c r="Z1424" s="125" t="s">
        <v>112</v>
      </c>
      <c r="AA1424" s="125" t="s">
        <v>112</v>
      </c>
      <c r="AB1424" s="125" t="s">
        <v>112</v>
      </c>
      <c r="AC1424" s="125" t="s">
        <v>112</v>
      </c>
      <c r="AD1424" s="125" t="s">
        <v>112</v>
      </c>
      <c r="AE1424" s="125">
        <v>89.107199999999992</v>
      </c>
      <c r="AF1424" s="125">
        <v>89.107199999999992</v>
      </c>
      <c r="AG1424" s="125">
        <v>89.107199999999992</v>
      </c>
      <c r="AH1424" s="125">
        <v>89.107199999999992</v>
      </c>
      <c r="AI1424" s="125">
        <v>89.107199999999992</v>
      </c>
      <c r="AJ1424" s="125">
        <v>89.107199999999992</v>
      </c>
      <c r="AK1424" s="125">
        <v>89.107199999999992</v>
      </c>
      <c r="AL1424" s="125">
        <v>89.107199999999992</v>
      </c>
      <c r="AM1424" s="125">
        <v>89.107199999999992</v>
      </c>
      <c r="AN1424" s="125">
        <v>89.107199999999992</v>
      </c>
      <c r="AO1424" s="125">
        <v>89.107199999999992</v>
      </c>
      <c r="AP1424" s="125">
        <v>89.107199999999992</v>
      </c>
      <c r="AQ1424" s="125">
        <v>89.107199999999992</v>
      </c>
      <c r="AR1424" s="125">
        <v>89.107199999999992</v>
      </c>
      <c r="AS1424" s="125">
        <v>89.067127109124556</v>
      </c>
      <c r="AT1424" s="125">
        <v>89.041495322098129</v>
      </c>
      <c r="AU1424" s="125">
        <v>88.999847614462595</v>
      </c>
      <c r="AV1424" s="125">
        <v>88.932798365843396</v>
      </c>
      <c r="AW1424" s="125">
        <v>88.826444975786032</v>
      </c>
      <c r="AX1424" s="126">
        <v>88.661663999999988</v>
      </c>
    </row>
    <row r="1425" spans="1:50" x14ac:dyDescent="0.25">
      <c r="A1425" s="356"/>
      <c r="B1425" s="359"/>
      <c r="C1425" s="361" t="s">
        <v>16</v>
      </c>
      <c r="D1425" s="2" t="s">
        <v>7</v>
      </c>
      <c r="E1425" s="160" t="str">
        <f>A1419&amp;"/"&amp;B1419&amp;"/"&amp;C1425&amp;"/"&amp;D1425</f>
        <v>Fuel oil fired power plants/Integrated gasification combined cycle/CHP with CCS/L</v>
      </c>
      <c r="F1425" s="76" t="str">
        <f>A1419</f>
        <v>Fuel oil fired power plants</v>
      </c>
      <c r="G1425" s="76" t="str">
        <f>B1419</f>
        <v>Integrated gasification combined cycle</v>
      </c>
      <c r="H1425" s="76" t="str">
        <f>C1425</f>
        <v>CHP with CCS</v>
      </c>
      <c r="I1425" s="161" t="str">
        <f t="shared" si="100"/>
        <v>L</v>
      </c>
      <c r="J1425" s="119" t="s">
        <v>112</v>
      </c>
      <c r="K1425" s="119" t="s">
        <v>112</v>
      </c>
      <c r="L1425" s="119" t="s">
        <v>112</v>
      </c>
      <c r="M1425" s="119" t="s">
        <v>112</v>
      </c>
      <c r="N1425" s="119" t="s">
        <v>112</v>
      </c>
      <c r="O1425" s="119" t="s">
        <v>112</v>
      </c>
      <c r="P1425" s="119" t="s">
        <v>112</v>
      </c>
      <c r="Q1425" s="119" t="s">
        <v>112</v>
      </c>
      <c r="R1425" s="119" t="s">
        <v>112</v>
      </c>
      <c r="S1425" s="119" t="s">
        <v>112</v>
      </c>
      <c r="T1425" s="119" t="s">
        <v>112</v>
      </c>
      <c r="U1425" s="119" t="s">
        <v>112</v>
      </c>
      <c r="V1425" s="119" t="s">
        <v>112</v>
      </c>
      <c r="W1425" s="119" t="s">
        <v>112</v>
      </c>
      <c r="X1425" s="119" t="s">
        <v>112</v>
      </c>
      <c r="Y1425" s="119" t="s">
        <v>112</v>
      </c>
      <c r="Z1425" s="119" t="s">
        <v>112</v>
      </c>
      <c r="AA1425" s="119" t="s">
        <v>112</v>
      </c>
      <c r="AB1425" s="119" t="s">
        <v>112</v>
      </c>
      <c r="AC1425" s="119" t="s">
        <v>112</v>
      </c>
      <c r="AD1425" s="119" t="s">
        <v>112</v>
      </c>
      <c r="AE1425" s="119">
        <v>89.430120000000002</v>
      </c>
      <c r="AF1425" s="119">
        <v>89.430120000000002</v>
      </c>
      <c r="AG1425" s="119">
        <v>89.430120000000002</v>
      </c>
      <c r="AH1425" s="119">
        <v>89.430120000000002</v>
      </c>
      <c r="AI1425" s="119">
        <v>89.430120000000002</v>
      </c>
      <c r="AJ1425" s="119">
        <v>89.430120000000002</v>
      </c>
      <c r="AK1425" s="119">
        <v>89.430120000000002</v>
      </c>
      <c r="AL1425" s="119">
        <v>89.430120000000002</v>
      </c>
      <c r="AM1425" s="119">
        <v>89.430120000000002</v>
      </c>
      <c r="AN1425" s="119">
        <v>89.430120000000002</v>
      </c>
      <c r="AO1425" s="119">
        <v>89.430120000000002</v>
      </c>
      <c r="AP1425" s="119">
        <v>89.430120000000002</v>
      </c>
      <c r="AQ1425" s="119">
        <v>89.430120000000002</v>
      </c>
      <c r="AR1425" s="119">
        <v>89.430120000000002</v>
      </c>
      <c r="AS1425" s="119">
        <v>89.389901886988511</v>
      </c>
      <c r="AT1425" s="119">
        <v>89.364177211658259</v>
      </c>
      <c r="AU1425" s="119">
        <v>89.32237857483014</v>
      </c>
      <c r="AV1425" s="119">
        <v>89.25508634311457</v>
      </c>
      <c r="AW1425" s="119">
        <v>89.148347533734011</v>
      </c>
      <c r="AX1425" s="120">
        <v>88.982969400000002</v>
      </c>
    </row>
    <row r="1426" spans="1:50" x14ac:dyDescent="0.25">
      <c r="A1426" s="356"/>
      <c r="B1426" s="362"/>
      <c r="C1426" s="354"/>
      <c r="D1426" s="4" t="s">
        <v>8</v>
      </c>
      <c r="E1426" s="168" t="str">
        <f>A1419&amp;"/"&amp;B1419&amp;"/"&amp;C1425&amp;"/"&amp;D1426</f>
        <v>Fuel oil fired power plants/Integrated gasification combined cycle/CHP with CCS/M</v>
      </c>
      <c r="F1426" s="80" t="str">
        <f>A1419</f>
        <v>Fuel oil fired power plants</v>
      </c>
      <c r="G1426" s="80" t="str">
        <f>B1419</f>
        <v>Integrated gasification combined cycle</v>
      </c>
      <c r="H1426" s="80" t="str">
        <f>C1425</f>
        <v>CHP with CCS</v>
      </c>
      <c r="I1426" s="169" t="str">
        <f t="shared" si="100"/>
        <v>M</v>
      </c>
      <c r="J1426" s="127" t="s">
        <v>112</v>
      </c>
      <c r="K1426" s="127" t="s">
        <v>112</v>
      </c>
      <c r="L1426" s="127" t="s">
        <v>112</v>
      </c>
      <c r="M1426" s="127" t="s">
        <v>112</v>
      </c>
      <c r="N1426" s="127" t="s">
        <v>112</v>
      </c>
      <c r="O1426" s="127" t="s">
        <v>112</v>
      </c>
      <c r="P1426" s="127" t="s">
        <v>112</v>
      </c>
      <c r="Q1426" s="127" t="s">
        <v>112</v>
      </c>
      <c r="R1426" s="127" t="s">
        <v>112</v>
      </c>
      <c r="S1426" s="127" t="s">
        <v>112</v>
      </c>
      <c r="T1426" s="127" t="s">
        <v>112</v>
      </c>
      <c r="U1426" s="127" t="s">
        <v>112</v>
      </c>
      <c r="V1426" s="127" t="s">
        <v>112</v>
      </c>
      <c r="W1426" s="127" t="s">
        <v>112</v>
      </c>
      <c r="X1426" s="127" t="s">
        <v>112</v>
      </c>
      <c r="Y1426" s="127" t="s">
        <v>112</v>
      </c>
      <c r="Z1426" s="127" t="s">
        <v>112</v>
      </c>
      <c r="AA1426" s="127" t="s">
        <v>112</v>
      </c>
      <c r="AB1426" s="127" t="s">
        <v>112</v>
      </c>
      <c r="AC1426" s="127" t="s">
        <v>112</v>
      </c>
      <c r="AD1426" s="127" t="s">
        <v>112</v>
      </c>
      <c r="AE1426" s="127">
        <v>94.832244000000003</v>
      </c>
      <c r="AF1426" s="127">
        <v>94.832244000000003</v>
      </c>
      <c r="AG1426" s="127">
        <v>94.832244000000003</v>
      </c>
      <c r="AH1426" s="127">
        <v>94.832244000000003</v>
      </c>
      <c r="AI1426" s="127">
        <v>94.832244000000003</v>
      </c>
      <c r="AJ1426" s="127">
        <v>94.832244000000003</v>
      </c>
      <c r="AK1426" s="127">
        <v>94.832244000000003</v>
      </c>
      <c r="AL1426" s="127">
        <v>94.832244000000003</v>
      </c>
      <c r="AM1426" s="127">
        <v>94.832244000000003</v>
      </c>
      <c r="AN1426" s="127">
        <v>94.832244000000003</v>
      </c>
      <c r="AO1426" s="127">
        <v>94.832244000000003</v>
      </c>
      <c r="AP1426" s="127">
        <v>94.832244000000003</v>
      </c>
      <c r="AQ1426" s="127">
        <v>94.832244000000003</v>
      </c>
      <c r="AR1426" s="127">
        <v>94.832244000000003</v>
      </c>
      <c r="AS1426" s="127">
        <v>94.789596467979194</v>
      </c>
      <c r="AT1426" s="127">
        <v>94.762317865560448</v>
      </c>
      <c r="AU1426" s="127">
        <v>94.71799433645694</v>
      </c>
      <c r="AV1426" s="127">
        <v>94.646637244043831</v>
      </c>
      <c r="AW1426" s="127">
        <v>94.533450760391034</v>
      </c>
      <c r="AX1426" s="128">
        <v>94.358082779999989</v>
      </c>
    </row>
    <row r="1427" spans="1:50" x14ac:dyDescent="0.25">
      <c r="A1427" s="356"/>
      <c r="B1427" s="358" t="s">
        <v>17</v>
      </c>
      <c r="C1427" s="353" t="s">
        <v>6</v>
      </c>
      <c r="D1427" s="3" t="s">
        <v>7</v>
      </c>
      <c r="E1427" s="162" t="str">
        <f>A1419&amp;"/"&amp;B1427&amp;"/"&amp;C1427&amp;"/"&amp;D1427</f>
        <v>Fuel oil fired power plants/Supercritical steam turbine/Electricity only/L</v>
      </c>
      <c r="F1427" s="77" t="str">
        <f>A1419</f>
        <v>Fuel oil fired power plants</v>
      </c>
      <c r="G1427" s="77" t="str">
        <f>B1427</f>
        <v>Supercritical steam turbine</v>
      </c>
      <c r="H1427" s="77" t="str">
        <f>C1427</f>
        <v>Electricity only</v>
      </c>
      <c r="I1427" s="163" t="str">
        <f t="shared" si="100"/>
        <v>L</v>
      </c>
      <c r="J1427" s="121">
        <v>36.96</v>
      </c>
      <c r="K1427" s="121">
        <v>36.96</v>
      </c>
      <c r="L1427" s="121">
        <v>36.96</v>
      </c>
      <c r="M1427" s="121">
        <v>36.96</v>
      </c>
      <c r="N1427" s="121">
        <v>36.96</v>
      </c>
      <c r="O1427" s="121">
        <v>36.96</v>
      </c>
      <c r="P1427" s="121">
        <v>36.96</v>
      </c>
      <c r="Q1427" s="121">
        <v>36.96</v>
      </c>
      <c r="R1427" s="121">
        <v>36.96</v>
      </c>
      <c r="S1427" s="121">
        <v>36.96</v>
      </c>
      <c r="T1427" s="121">
        <v>36.96</v>
      </c>
      <c r="U1427" s="121">
        <v>36.96</v>
      </c>
      <c r="V1427" s="121">
        <v>36.96</v>
      </c>
      <c r="W1427" s="121">
        <v>36.96</v>
      </c>
      <c r="X1427" s="121">
        <v>36.96</v>
      </c>
      <c r="Y1427" s="121">
        <v>36.96</v>
      </c>
      <c r="Z1427" s="121">
        <v>36.96</v>
      </c>
      <c r="AA1427" s="121">
        <v>36.96</v>
      </c>
      <c r="AB1427" s="121">
        <v>36.96</v>
      </c>
      <c r="AC1427" s="121">
        <v>36.96</v>
      </c>
      <c r="AD1427" s="121">
        <v>36.96</v>
      </c>
      <c r="AE1427" s="121">
        <v>36.96</v>
      </c>
      <c r="AF1427" s="121">
        <v>36.96</v>
      </c>
      <c r="AG1427" s="121">
        <v>36.96</v>
      </c>
      <c r="AH1427" s="121">
        <v>36.96</v>
      </c>
      <c r="AI1427" s="121">
        <v>36.96</v>
      </c>
      <c r="AJ1427" s="121">
        <v>36.96</v>
      </c>
      <c r="AK1427" s="121">
        <v>36.96</v>
      </c>
      <c r="AL1427" s="121">
        <v>36.96</v>
      </c>
      <c r="AM1427" s="121">
        <v>36.96</v>
      </c>
      <c r="AN1427" s="121">
        <v>36.94988454258619</v>
      </c>
      <c r="AO1427" s="121">
        <v>36.946370362189469</v>
      </c>
      <c r="AP1427" s="121">
        <v>36.941646915521282</v>
      </c>
      <c r="AQ1427" s="121">
        <v>36.9353074649473</v>
      </c>
      <c r="AR1427" s="121">
        <v>36.926816011229263</v>
      </c>
      <c r="AS1427" s="121">
        <v>36.915472238276351</v>
      </c>
      <c r="AT1427" s="121">
        <v>36.900371787037372</v>
      </c>
      <c r="AU1427" s="121">
        <v>36.880365435743769</v>
      </c>
      <c r="AV1427" s="121">
        <v>36.854024978249839</v>
      </c>
      <c r="AW1427" s="121">
        <v>36.819630164554844</v>
      </c>
      <c r="AX1427" s="122">
        <v>36.775200000000005</v>
      </c>
    </row>
    <row r="1428" spans="1:50" x14ac:dyDescent="0.25">
      <c r="A1428" s="356"/>
      <c r="B1428" s="359"/>
      <c r="C1428" s="360"/>
      <c r="D1428" s="2" t="s">
        <v>8</v>
      </c>
      <c r="E1428" s="160" t="str">
        <f>A1419&amp;"/"&amp;B1427&amp;"/"&amp;C1427&amp;"/"&amp;D1428</f>
        <v>Fuel oil fired power plants/Supercritical steam turbine/Electricity only/M</v>
      </c>
      <c r="F1428" s="76" t="str">
        <f>A1419</f>
        <v>Fuel oil fired power plants</v>
      </c>
      <c r="G1428" s="76" t="str">
        <f>B1427</f>
        <v>Supercritical steam turbine</v>
      </c>
      <c r="H1428" s="76" t="str">
        <f>C1427</f>
        <v>Electricity only</v>
      </c>
      <c r="I1428" s="161" t="str">
        <f t="shared" si="100"/>
        <v>M</v>
      </c>
      <c r="J1428" s="119">
        <v>40.286400000000008</v>
      </c>
      <c r="K1428" s="119">
        <v>40.286400000000008</v>
      </c>
      <c r="L1428" s="119">
        <v>40.286400000000008</v>
      </c>
      <c r="M1428" s="119">
        <v>40.286400000000008</v>
      </c>
      <c r="N1428" s="119">
        <v>40.286400000000008</v>
      </c>
      <c r="O1428" s="119">
        <v>40.286400000000008</v>
      </c>
      <c r="P1428" s="119">
        <v>40.286400000000008</v>
      </c>
      <c r="Q1428" s="119">
        <v>40.286400000000008</v>
      </c>
      <c r="R1428" s="119">
        <v>40.286400000000008</v>
      </c>
      <c r="S1428" s="119">
        <v>40.286400000000008</v>
      </c>
      <c r="T1428" s="119">
        <v>40.286400000000008</v>
      </c>
      <c r="U1428" s="119">
        <v>40.286400000000008</v>
      </c>
      <c r="V1428" s="119">
        <v>40.286400000000008</v>
      </c>
      <c r="W1428" s="119">
        <v>40.286400000000008</v>
      </c>
      <c r="X1428" s="119">
        <v>40.286400000000008</v>
      </c>
      <c r="Y1428" s="119">
        <v>40.286400000000008</v>
      </c>
      <c r="Z1428" s="119">
        <v>40.286400000000008</v>
      </c>
      <c r="AA1428" s="119">
        <v>40.286400000000008</v>
      </c>
      <c r="AB1428" s="119">
        <v>40.286400000000008</v>
      </c>
      <c r="AC1428" s="119">
        <v>40.286400000000008</v>
      </c>
      <c r="AD1428" s="119">
        <v>40.286400000000008</v>
      </c>
      <c r="AE1428" s="119">
        <v>40.286400000000008</v>
      </c>
      <c r="AF1428" s="119">
        <v>40.286400000000008</v>
      </c>
      <c r="AG1428" s="119">
        <v>40.286400000000008</v>
      </c>
      <c r="AH1428" s="119">
        <v>40.286400000000008</v>
      </c>
      <c r="AI1428" s="119">
        <v>40.286400000000008</v>
      </c>
      <c r="AJ1428" s="119">
        <v>40.286400000000008</v>
      </c>
      <c r="AK1428" s="119">
        <v>40.286400000000008</v>
      </c>
      <c r="AL1428" s="119">
        <v>40.286400000000008</v>
      </c>
      <c r="AM1428" s="119">
        <v>40.286400000000008</v>
      </c>
      <c r="AN1428" s="119">
        <v>40.275374151418944</v>
      </c>
      <c r="AO1428" s="119">
        <v>40.271543694786516</v>
      </c>
      <c r="AP1428" s="119">
        <v>40.266395137918195</v>
      </c>
      <c r="AQ1428" s="119">
        <v>40.259485136792549</v>
      </c>
      <c r="AR1428" s="119">
        <v>40.250229452239893</v>
      </c>
      <c r="AS1428" s="119">
        <v>40.237864739721218</v>
      </c>
      <c r="AT1428" s="119">
        <v>40.221405247870734</v>
      </c>
      <c r="AU1428" s="119">
        <v>40.199598324960704</v>
      </c>
      <c r="AV1428" s="119">
        <v>40.170887226292322</v>
      </c>
      <c r="AW1428" s="119">
        <v>40.133396879364774</v>
      </c>
      <c r="AX1428" s="120">
        <v>40.084968000000003</v>
      </c>
    </row>
    <row r="1429" spans="1:50" x14ac:dyDescent="0.25">
      <c r="A1429" s="356"/>
      <c r="B1429" s="359"/>
      <c r="C1429" s="361" t="s">
        <v>14</v>
      </c>
      <c r="D1429" s="58" t="s">
        <v>7</v>
      </c>
      <c r="E1429" s="164" t="str">
        <f>A1419&amp;"/"&amp;B1427&amp;"/"&amp;C1429&amp;"/"&amp;D1429</f>
        <v>Fuel oil fired power plants/Supercritical steam turbine/CHP/L</v>
      </c>
      <c r="F1429" s="78" t="str">
        <f>A1419</f>
        <v>Fuel oil fired power plants</v>
      </c>
      <c r="G1429" s="78" t="str">
        <f>B1427</f>
        <v>Supercritical steam turbine</v>
      </c>
      <c r="H1429" s="78" t="str">
        <f>C1429</f>
        <v>CHP</v>
      </c>
      <c r="I1429" s="165" t="str">
        <f t="shared" si="100"/>
        <v>L</v>
      </c>
      <c r="J1429" s="123">
        <v>44.280500000000004</v>
      </c>
      <c r="K1429" s="123">
        <v>44.280500000000004</v>
      </c>
      <c r="L1429" s="123">
        <v>44.280500000000004</v>
      </c>
      <c r="M1429" s="123">
        <v>44.280500000000004</v>
      </c>
      <c r="N1429" s="123">
        <v>44.280500000000004</v>
      </c>
      <c r="O1429" s="123">
        <v>44.280500000000004</v>
      </c>
      <c r="P1429" s="123">
        <v>44.280500000000004</v>
      </c>
      <c r="Q1429" s="123">
        <v>44.280500000000004</v>
      </c>
      <c r="R1429" s="123">
        <v>44.280500000000004</v>
      </c>
      <c r="S1429" s="123">
        <v>44.280500000000004</v>
      </c>
      <c r="T1429" s="123">
        <v>44.280500000000004</v>
      </c>
      <c r="U1429" s="123">
        <v>44.280500000000004</v>
      </c>
      <c r="V1429" s="123">
        <v>44.280500000000004</v>
      </c>
      <c r="W1429" s="123">
        <v>44.280500000000004</v>
      </c>
      <c r="X1429" s="123">
        <v>44.280500000000004</v>
      </c>
      <c r="Y1429" s="123">
        <v>44.280500000000004</v>
      </c>
      <c r="Z1429" s="123">
        <v>44.280500000000004</v>
      </c>
      <c r="AA1429" s="123">
        <v>44.280500000000004</v>
      </c>
      <c r="AB1429" s="123">
        <v>44.280500000000004</v>
      </c>
      <c r="AC1429" s="123">
        <v>44.280500000000004</v>
      </c>
      <c r="AD1429" s="123">
        <v>44.280500000000004</v>
      </c>
      <c r="AE1429" s="123">
        <v>44.280500000000004</v>
      </c>
      <c r="AF1429" s="123">
        <v>44.280500000000004</v>
      </c>
      <c r="AG1429" s="123">
        <v>44.280500000000004</v>
      </c>
      <c r="AH1429" s="123">
        <v>44.280500000000004</v>
      </c>
      <c r="AI1429" s="123">
        <v>44.280500000000004</v>
      </c>
      <c r="AJ1429" s="123">
        <v>44.280500000000004</v>
      </c>
      <c r="AK1429" s="123">
        <v>44.280500000000004</v>
      </c>
      <c r="AL1429" s="123">
        <v>44.280500000000004</v>
      </c>
      <c r="AM1429" s="123">
        <v>44.280500000000004</v>
      </c>
      <c r="AN1429" s="123">
        <v>44.268381019696633</v>
      </c>
      <c r="AO1429" s="123">
        <v>44.264170801486223</v>
      </c>
      <c r="AP1429" s="123">
        <v>44.25851180310444</v>
      </c>
      <c r="AQ1429" s="123">
        <v>44.250916726233733</v>
      </c>
      <c r="AR1429" s="123">
        <v>44.240743408691486</v>
      </c>
      <c r="AS1429" s="123">
        <v>44.22715282594686</v>
      </c>
      <c r="AT1429" s="123">
        <v>44.209061496642533</v>
      </c>
      <c r="AU1429" s="123">
        <v>44.18509257785314</v>
      </c>
      <c r="AV1429" s="123">
        <v>44.153534985102588</v>
      </c>
      <c r="AW1429" s="123">
        <v>44.112327746254621</v>
      </c>
      <c r="AX1429" s="124">
        <v>44.0590975</v>
      </c>
    </row>
    <row r="1430" spans="1:50" x14ac:dyDescent="0.25">
      <c r="A1430" s="356"/>
      <c r="B1430" s="359"/>
      <c r="C1430" s="360"/>
      <c r="D1430" s="59" t="s">
        <v>8</v>
      </c>
      <c r="E1430" s="166" t="str">
        <f>A1419&amp;"/"&amp;B1427&amp;"/"&amp;C1429&amp;"/"&amp;D1430</f>
        <v>Fuel oil fired power plants/Supercritical steam turbine/CHP/M</v>
      </c>
      <c r="F1430" s="79" t="str">
        <f>A1419</f>
        <v>Fuel oil fired power plants</v>
      </c>
      <c r="G1430" s="79" t="str">
        <f>B1427</f>
        <v>Supercritical steam turbine</v>
      </c>
      <c r="H1430" s="79" t="str">
        <f>C1429</f>
        <v>CHP</v>
      </c>
      <c r="I1430" s="167" t="str">
        <f t="shared" si="100"/>
        <v>M</v>
      </c>
      <c r="J1430" s="125">
        <v>47.933908000000002</v>
      </c>
      <c r="K1430" s="125">
        <v>47.933908000000002</v>
      </c>
      <c r="L1430" s="125">
        <v>47.933908000000002</v>
      </c>
      <c r="M1430" s="125">
        <v>47.933908000000002</v>
      </c>
      <c r="N1430" s="125">
        <v>47.933908000000002</v>
      </c>
      <c r="O1430" s="125">
        <v>47.933908000000002</v>
      </c>
      <c r="P1430" s="125">
        <v>47.933908000000002</v>
      </c>
      <c r="Q1430" s="125">
        <v>47.933908000000002</v>
      </c>
      <c r="R1430" s="125">
        <v>47.933908000000002</v>
      </c>
      <c r="S1430" s="125">
        <v>47.933908000000002</v>
      </c>
      <c r="T1430" s="125">
        <v>47.933908000000002</v>
      </c>
      <c r="U1430" s="125">
        <v>47.933908000000002</v>
      </c>
      <c r="V1430" s="125">
        <v>47.933908000000002</v>
      </c>
      <c r="W1430" s="125">
        <v>47.933908000000002</v>
      </c>
      <c r="X1430" s="125">
        <v>47.933908000000002</v>
      </c>
      <c r="Y1430" s="125">
        <v>47.933908000000002</v>
      </c>
      <c r="Z1430" s="125">
        <v>47.933908000000002</v>
      </c>
      <c r="AA1430" s="125">
        <v>47.933908000000002</v>
      </c>
      <c r="AB1430" s="125">
        <v>47.933908000000002</v>
      </c>
      <c r="AC1430" s="125">
        <v>47.933908000000002</v>
      </c>
      <c r="AD1430" s="125">
        <v>47.933908000000002</v>
      </c>
      <c r="AE1430" s="125">
        <v>47.933908000000002</v>
      </c>
      <c r="AF1430" s="125">
        <v>47.933908000000002</v>
      </c>
      <c r="AG1430" s="125">
        <v>47.933908000000002</v>
      </c>
      <c r="AH1430" s="125">
        <v>47.933908000000002</v>
      </c>
      <c r="AI1430" s="125">
        <v>47.933908000000002</v>
      </c>
      <c r="AJ1430" s="125">
        <v>47.933908000000002</v>
      </c>
      <c r="AK1430" s="125">
        <v>47.933908000000002</v>
      </c>
      <c r="AL1430" s="125">
        <v>47.933908000000002</v>
      </c>
      <c r="AM1430" s="125">
        <v>47.933908000000002</v>
      </c>
      <c r="AN1430" s="125">
        <v>47.920789130815706</v>
      </c>
      <c r="AO1430" s="125">
        <v>47.916231544240155</v>
      </c>
      <c r="AP1430" s="125">
        <v>47.910105644401533</v>
      </c>
      <c r="AQ1430" s="125">
        <v>47.901883927935522</v>
      </c>
      <c r="AR1430" s="125">
        <v>47.890871250410989</v>
      </c>
      <c r="AS1430" s="125">
        <v>47.876159362718958</v>
      </c>
      <c r="AT1430" s="125">
        <v>47.856575389763115</v>
      </c>
      <c r="AU1430" s="125">
        <v>47.830628890782506</v>
      </c>
      <c r="AV1430" s="125">
        <v>47.796467606524061</v>
      </c>
      <c r="AW1430" s="125">
        <v>47.75186052223475</v>
      </c>
      <c r="AX1430" s="126">
        <v>47.694238460000001</v>
      </c>
    </row>
    <row r="1431" spans="1:50" x14ac:dyDescent="0.25">
      <c r="A1431" s="356"/>
      <c r="B1431" s="359"/>
      <c r="C1431" s="361" t="s">
        <v>15</v>
      </c>
      <c r="D1431" s="58" t="s">
        <v>7</v>
      </c>
      <c r="E1431" s="164" t="str">
        <f>A1419&amp;"/"&amp;B1427&amp;"/"&amp;C1431&amp;"/"&amp;D1431</f>
        <v>Fuel oil fired power plants/Supercritical steam turbine/Electricity only with CCS/L</v>
      </c>
      <c r="F1431" s="78" t="str">
        <f>A1419</f>
        <v>Fuel oil fired power plants</v>
      </c>
      <c r="G1431" s="78" t="str">
        <f>B1427</f>
        <v>Supercritical steam turbine</v>
      </c>
      <c r="H1431" s="78" t="str">
        <f>C1431</f>
        <v>Electricity only with CCS</v>
      </c>
      <c r="I1431" s="165" t="str">
        <f t="shared" si="100"/>
        <v>L</v>
      </c>
      <c r="J1431" s="123" t="s">
        <v>112</v>
      </c>
      <c r="K1431" s="123" t="s">
        <v>112</v>
      </c>
      <c r="L1431" s="123" t="s">
        <v>112</v>
      </c>
      <c r="M1431" s="123" t="s">
        <v>112</v>
      </c>
      <c r="N1431" s="123" t="s">
        <v>112</v>
      </c>
      <c r="O1431" s="123" t="s">
        <v>112</v>
      </c>
      <c r="P1431" s="123" t="s">
        <v>112</v>
      </c>
      <c r="Q1431" s="123" t="s">
        <v>112</v>
      </c>
      <c r="R1431" s="123" t="s">
        <v>112</v>
      </c>
      <c r="S1431" s="123" t="s">
        <v>112</v>
      </c>
      <c r="T1431" s="123" t="s">
        <v>112</v>
      </c>
      <c r="U1431" s="123" t="s">
        <v>112</v>
      </c>
      <c r="V1431" s="123" t="s">
        <v>112</v>
      </c>
      <c r="W1431" s="123" t="s">
        <v>112</v>
      </c>
      <c r="X1431" s="123" t="s">
        <v>112</v>
      </c>
      <c r="Y1431" s="123" t="s">
        <v>112</v>
      </c>
      <c r="Z1431" s="123" t="s">
        <v>112</v>
      </c>
      <c r="AA1431" s="123" t="s">
        <v>112</v>
      </c>
      <c r="AB1431" s="123" t="s">
        <v>112</v>
      </c>
      <c r="AC1431" s="123" t="s">
        <v>112</v>
      </c>
      <c r="AD1431" s="123" t="s">
        <v>112</v>
      </c>
      <c r="AE1431" s="123">
        <v>73.735200000000006</v>
      </c>
      <c r="AF1431" s="123">
        <v>73.735200000000006</v>
      </c>
      <c r="AG1431" s="123">
        <v>73.735200000000006</v>
      </c>
      <c r="AH1431" s="123">
        <v>73.735200000000006</v>
      </c>
      <c r="AI1431" s="123">
        <v>73.735200000000006</v>
      </c>
      <c r="AJ1431" s="123">
        <v>73.735200000000006</v>
      </c>
      <c r="AK1431" s="123">
        <v>73.735200000000006</v>
      </c>
      <c r="AL1431" s="123">
        <v>73.735200000000006</v>
      </c>
      <c r="AM1431" s="123">
        <v>73.735200000000006</v>
      </c>
      <c r="AN1431" s="123">
        <v>73.735200000000006</v>
      </c>
      <c r="AO1431" s="123">
        <v>73.735200000000006</v>
      </c>
      <c r="AP1431" s="123">
        <v>73.735200000000006</v>
      </c>
      <c r="AQ1431" s="123">
        <v>73.735200000000006</v>
      </c>
      <c r="AR1431" s="123">
        <v>73.735200000000006</v>
      </c>
      <c r="AS1431" s="123">
        <v>73.702040136113823</v>
      </c>
      <c r="AT1431" s="123">
        <v>73.680830122301799</v>
      </c>
      <c r="AU1431" s="123">
        <v>73.646367115361301</v>
      </c>
      <c r="AV1431" s="123">
        <v>73.590884620604584</v>
      </c>
      <c r="AW1431" s="123">
        <v>73.502878393424766</v>
      </c>
      <c r="AX1431" s="124">
        <v>73.366524000000013</v>
      </c>
    </row>
    <row r="1432" spans="1:50" x14ac:dyDescent="0.25">
      <c r="A1432" s="356"/>
      <c r="B1432" s="359"/>
      <c r="C1432" s="360"/>
      <c r="D1432" s="59" t="s">
        <v>8</v>
      </c>
      <c r="E1432" s="166" t="str">
        <f>A1419&amp;"/"&amp;B1427&amp;"/"&amp;C1431&amp;"/"&amp;D1432</f>
        <v>Fuel oil fired power plants/Supercritical steam turbine/Electricity only with CCS/M</v>
      </c>
      <c r="F1432" s="79" t="str">
        <f>A1419</f>
        <v>Fuel oil fired power plants</v>
      </c>
      <c r="G1432" s="79" t="str">
        <f>B1427</f>
        <v>Supercritical steam turbine</v>
      </c>
      <c r="H1432" s="79" t="str">
        <f>C1431</f>
        <v>Electricity only with CCS</v>
      </c>
      <c r="I1432" s="167" t="str">
        <f t="shared" si="100"/>
        <v>M</v>
      </c>
      <c r="J1432" s="125" t="s">
        <v>112</v>
      </c>
      <c r="K1432" s="125" t="s">
        <v>112</v>
      </c>
      <c r="L1432" s="125" t="s">
        <v>112</v>
      </c>
      <c r="M1432" s="125" t="s">
        <v>112</v>
      </c>
      <c r="N1432" s="125" t="s">
        <v>112</v>
      </c>
      <c r="O1432" s="125" t="s">
        <v>112</v>
      </c>
      <c r="P1432" s="125" t="s">
        <v>112</v>
      </c>
      <c r="Q1432" s="125" t="s">
        <v>112</v>
      </c>
      <c r="R1432" s="125" t="s">
        <v>112</v>
      </c>
      <c r="S1432" s="125" t="s">
        <v>112</v>
      </c>
      <c r="T1432" s="125" t="s">
        <v>112</v>
      </c>
      <c r="U1432" s="125" t="s">
        <v>112</v>
      </c>
      <c r="V1432" s="125" t="s">
        <v>112</v>
      </c>
      <c r="W1432" s="125" t="s">
        <v>112</v>
      </c>
      <c r="X1432" s="125" t="s">
        <v>112</v>
      </c>
      <c r="Y1432" s="125" t="s">
        <v>112</v>
      </c>
      <c r="Z1432" s="125" t="s">
        <v>112</v>
      </c>
      <c r="AA1432" s="125" t="s">
        <v>112</v>
      </c>
      <c r="AB1432" s="125" t="s">
        <v>112</v>
      </c>
      <c r="AC1432" s="125" t="s">
        <v>112</v>
      </c>
      <c r="AD1432" s="125" t="s">
        <v>112</v>
      </c>
      <c r="AE1432" s="125">
        <v>78.974280000000007</v>
      </c>
      <c r="AF1432" s="125">
        <v>78.974280000000007</v>
      </c>
      <c r="AG1432" s="125">
        <v>78.974280000000007</v>
      </c>
      <c r="AH1432" s="125">
        <v>78.974280000000007</v>
      </c>
      <c r="AI1432" s="125">
        <v>78.974280000000007</v>
      </c>
      <c r="AJ1432" s="125">
        <v>78.974280000000007</v>
      </c>
      <c r="AK1432" s="125">
        <v>78.974280000000007</v>
      </c>
      <c r="AL1432" s="125">
        <v>78.974280000000007</v>
      </c>
      <c r="AM1432" s="125">
        <v>78.974280000000007</v>
      </c>
      <c r="AN1432" s="125">
        <v>78.974280000000007</v>
      </c>
      <c r="AO1432" s="125">
        <v>78.974280000000007</v>
      </c>
      <c r="AP1432" s="125">
        <v>78.974280000000007</v>
      </c>
      <c r="AQ1432" s="125">
        <v>78.974280000000007</v>
      </c>
      <c r="AR1432" s="125">
        <v>78.974280000000007</v>
      </c>
      <c r="AS1432" s="125">
        <v>78.938764040521917</v>
      </c>
      <c r="AT1432" s="125">
        <v>78.916046999412728</v>
      </c>
      <c r="AU1432" s="125">
        <v>78.879135305136984</v>
      </c>
      <c r="AV1432" s="125">
        <v>78.819710633121232</v>
      </c>
      <c r="AW1432" s="125">
        <v>78.725451331904964</v>
      </c>
      <c r="AX1432" s="126">
        <v>78.579408600000008</v>
      </c>
    </row>
    <row r="1433" spans="1:50" x14ac:dyDescent="0.25">
      <c r="A1433" s="356"/>
      <c r="B1433" s="359"/>
      <c r="C1433" s="361" t="s">
        <v>16</v>
      </c>
      <c r="D1433" s="2" t="s">
        <v>7</v>
      </c>
      <c r="E1433" s="160" t="str">
        <f>A1419&amp;"/"&amp;B1427&amp;"/"&amp;C1433&amp;"/"&amp;D1433</f>
        <v>Fuel oil fired power plants/Supercritical steam turbine/CHP with CCS/L</v>
      </c>
      <c r="F1433" s="76" t="str">
        <f>A1419</f>
        <v>Fuel oil fired power plants</v>
      </c>
      <c r="G1433" s="76" t="str">
        <f>B1427</f>
        <v>Supercritical steam turbine</v>
      </c>
      <c r="H1433" s="76" t="str">
        <f>C1433</f>
        <v>CHP with CCS</v>
      </c>
      <c r="I1433" s="161" t="str">
        <f t="shared" si="100"/>
        <v>L</v>
      </c>
      <c r="J1433" s="119" t="s">
        <v>112</v>
      </c>
      <c r="K1433" s="119" t="s">
        <v>112</v>
      </c>
      <c r="L1433" s="119" t="s">
        <v>112</v>
      </c>
      <c r="M1433" s="119" t="s">
        <v>112</v>
      </c>
      <c r="N1433" s="119" t="s">
        <v>112</v>
      </c>
      <c r="O1433" s="119" t="s">
        <v>112</v>
      </c>
      <c r="P1433" s="119" t="s">
        <v>112</v>
      </c>
      <c r="Q1433" s="119" t="s">
        <v>112</v>
      </c>
      <c r="R1433" s="119" t="s">
        <v>112</v>
      </c>
      <c r="S1433" s="119" t="s">
        <v>112</v>
      </c>
      <c r="T1433" s="119" t="s">
        <v>112</v>
      </c>
      <c r="U1433" s="119" t="s">
        <v>112</v>
      </c>
      <c r="V1433" s="119" t="s">
        <v>112</v>
      </c>
      <c r="W1433" s="119" t="s">
        <v>112</v>
      </c>
      <c r="X1433" s="119" t="s">
        <v>112</v>
      </c>
      <c r="Y1433" s="119" t="s">
        <v>112</v>
      </c>
      <c r="Z1433" s="119" t="s">
        <v>112</v>
      </c>
      <c r="AA1433" s="119" t="s">
        <v>112</v>
      </c>
      <c r="AB1433" s="119" t="s">
        <v>112</v>
      </c>
      <c r="AC1433" s="119" t="s">
        <v>112</v>
      </c>
      <c r="AD1433" s="119" t="s">
        <v>112</v>
      </c>
      <c r="AE1433" s="119">
        <v>80.373909000000012</v>
      </c>
      <c r="AF1433" s="119">
        <v>80.373909000000012</v>
      </c>
      <c r="AG1433" s="119">
        <v>80.373909000000012</v>
      </c>
      <c r="AH1433" s="119">
        <v>80.373909000000012</v>
      </c>
      <c r="AI1433" s="119">
        <v>80.373909000000012</v>
      </c>
      <c r="AJ1433" s="119">
        <v>80.373909000000012</v>
      </c>
      <c r="AK1433" s="119">
        <v>80.373909000000012</v>
      </c>
      <c r="AL1433" s="119">
        <v>80.373909000000012</v>
      </c>
      <c r="AM1433" s="119">
        <v>80.373909000000012</v>
      </c>
      <c r="AN1433" s="119">
        <v>80.373909000000012</v>
      </c>
      <c r="AO1433" s="119">
        <v>80.373909000000012</v>
      </c>
      <c r="AP1433" s="119">
        <v>80.373909000000012</v>
      </c>
      <c r="AQ1433" s="119">
        <v>80.373909000000012</v>
      </c>
      <c r="AR1433" s="119">
        <v>80.373909000000012</v>
      </c>
      <c r="AS1433" s="119">
        <v>80.337763605636937</v>
      </c>
      <c r="AT1433" s="119">
        <v>80.314643959660287</v>
      </c>
      <c r="AU1433" s="119">
        <v>80.277078094460208</v>
      </c>
      <c r="AV1433" s="119">
        <v>80.216600263184645</v>
      </c>
      <c r="AW1433" s="119">
        <v>80.120670442762588</v>
      </c>
      <c r="AX1433" s="120">
        <v>79.972039455000001</v>
      </c>
    </row>
    <row r="1434" spans="1:50" x14ac:dyDescent="0.25">
      <c r="A1434" s="356"/>
      <c r="B1434" s="362"/>
      <c r="C1434" s="354"/>
      <c r="D1434" s="4" t="s">
        <v>8</v>
      </c>
      <c r="E1434" s="168" t="str">
        <f>A1419&amp;"/"&amp;B1427&amp;"/"&amp;C1433&amp;"/"&amp;D1434</f>
        <v>Fuel oil fired power plants/Supercritical steam turbine/CHP with CCS/M</v>
      </c>
      <c r="F1434" s="80" t="str">
        <f>A1419</f>
        <v>Fuel oil fired power plants</v>
      </c>
      <c r="G1434" s="80" t="str">
        <f>B1427</f>
        <v>Supercritical steam turbine</v>
      </c>
      <c r="H1434" s="80" t="str">
        <f>C1433</f>
        <v>CHP with CCS</v>
      </c>
      <c r="I1434" s="169" t="str">
        <f t="shared" si="100"/>
        <v>M</v>
      </c>
      <c r="J1434" s="127" t="s">
        <v>112</v>
      </c>
      <c r="K1434" s="127" t="s">
        <v>112</v>
      </c>
      <c r="L1434" s="127" t="s">
        <v>112</v>
      </c>
      <c r="M1434" s="127" t="s">
        <v>112</v>
      </c>
      <c r="N1434" s="127" t="s">
        <v>112</v>
      </c>
      <c r="O1434" s="127" t="s">
        <v>112</v>
      </c>
      <c r="P1434" s="127" t="s">
        <v>112</v>
      </c>
      <c r="Q1434" s="127" t="s">
        <v>112</v>
      </c>
      <c r="R1434" s="127" t="s">
        <v>112</v>
      </c>
      <c r="S1434" s="127" t="s">
        <v>112</v>
      </c>
      <c r="T1434" s="127" t="s">
        <v>112</v>
      </c>
      <c r="U1434" s="127" t="s">
        <v>112</v>
      </c>
      <c r="V1434" s="127" t="s">
        <v>112</v>
      </c>
      <c r="W1434" s="127" t="s">
        <v>112</v>
      </c>
      <c r="X1434" s="127" t="s">
        <v>112</v>
      </c>
      <c r="Y1434" s="127" t="s">
        <v>112</v>
      </c>
      <c r="Z1434" s="127" t="s">
        <v>112</v>
      </c>
      <c r="AA1434" s="127" t="s">
        <v>112</v>
      </c>
      <c r="AB1434" s="127" t="s">
        <v>112</v>
      </c>
      <c r="AC1434" s="127" t="s">
        <v>112</v>
      </c>
      <c r="AD1434" s="127" t="s">
        <v>112</v>
      </c>
      <c r="AE1434" s="127">
        <v>85.903956600000015</v>
      </c>
      <c r="AF1434" s="127">
        <v>85.903956600000015</v>
      </c>
      <c r="AG1434" s="127">
        <v>85.903956600000015</v>
      </c>
      <c r="AH1434" s="127">
        <v>85.903956600000015</v>
      </c>
      <c r="AI1434" s="127">
        <v>85.903956600000015</v>
      </c>
      <c r="AJ1434" s="127">
        <v>85.903956600000015</v>
      </c>
      <c r="AK1434" s="127">
        <v>85.903956600000015</v>
      </c>
      <c r="AL1434" s="127">
        <v>85.903956600000015</v>
      </c>
      <c r="AM1434" s="127">
        <v>85.903956600000015</v>
      </c>
      <c r="AN1434" s="127">
        <v>85.903956600000015</v>
      </c>
      <c r="AO1434" s="127">
        <v>85.903956600000015</v>
      </c>
      <c r="AP1434" s="127">
        <v>85.903956600000015</v>
      </c>
      <c r="AQ1434" s="127">
        <v>85.903956600000015</v>
      </c>
      <c r="AR1434" s="127">
        <v>85.903956600000015</v>
      </c>
      <c r="AS1434" s="127">
        <v>85.865324257399209</v>
      </c>
      <c r="AT1434" s="127">
        <v>85.840613886965627</v>
      </c>
      <c r="AU1434" s="127">
        <v>85.80046333943173</v>
      </c>
      <c r="AV1434" s="127">
        <v>85.73582439057634</v>
      </c>
      <c r="AW1434" s="127">
        <v>85.633294213399296</v>
      </c>
      <c r="AX1434" s="128">
        <v>85.474436817000026</v>
      </c>
    </row>
    <row r="1435" spans="1:50" x14ac:dyDescent="0.25">
      <c r="A1435" s="356"/>
      <c r="B1435" s="358" t="s">
        <v>19</v>
      </c>
      <c r="C1435" s="353" t="s">
        <v>6</v>
      </c>
      <c r="D1435" s="3" t="s">
        <v>7</v>
      </c>
      <c r="E1435" s="162" t="str">
        <f>A1419&amp;"/"&amp;B1435&amp;"/"&amp;C1435&amp;"/"&amp;D1435</f>
        <v>Fuel oil fired power plants/Steam turbine/Electricity only/L</v>
      </c>
      <c r="F1435" s="77" t="str">
        <f>A1419</f>
        <v>Fuel oil fired power plants</v>
      </c>
      <c r="G1435" s="77" t="str">
        <f>B1435</f>
        <v>Steam turbine</v>
      </c>
      <c r="H1435" s="77" t="str">
        <f>C1435</f>
        <v>Electricity only</v>
      </c>
      <c r="I1435" s="163" t="str">
        <f t="shared" si="100"/>
        <v>L</v>
      </c>
      <c r="J1435" s="121">
        <v>21.431249999999999</v>
      </c>
      <c r="K1435" s="121">
        <v>21.456396569688508</v>
      </c>
      <c r="L1435" s="121">
        <v>21.4813785511184</v>
      </c>
      <c r="M1435" s="121">
        <v>21.506165474367453</v>
      </c>
      <c r="N1435" s="121">
        <v>21.530727913818112</v>
      </c>
      <c r="O1435" s="121">
        <v>21.555037615026361</v>
      </c>
      <c r="P1435" s="121">
        <v>21.579067609420363</v>
      </c>
      <c r="Q1435" s="121">
        <v>21.602792316019624</v>
      </c>
      <c r="R1435" s="121">
        <v>21.626187629576588</v>
      </c>
      <c r="S1435" s="121">
        <v>21.649230994754951</v>
      </c>
      <c r="T1435" s="121">
        <v>21.67190146616722</v>
      </c>
      <c r="U1435" s="121">
        <v>21.694179754294659</v>
      </c>
      <c r="V1435" s="121">
        <v>21.716048257500891</v>
      </c>
      <c r="W1435" s="121">
        <v>21.737491080524023</v>
      </c>
      <c r="X1435" s="121">
        <v>21.758494039987522</v>
      </c>
      <c r="Y1435" s="121">
        <v>21.779044657606047</v>
      </c>
      <c r="Z1435" s="121">
        <v>21.799132141877418</v>
      </c>
      <c r="AA1435" s="121">
        <v>21.818747359144972</v>
      </c>
      <c r="AB1435" s="121">
        <v>21.837882794986463</v>
      </c>
      <c r="AC1435" s="121">
        <v>21.856532506935753</v>
      </c>
      <c r="AD1435" s="121">
        <v>21.874692069573978</v>
      </c>
      <c r="AE1435" s="121">
        <v>21.892358513037799</v>
      </c>
      <c r="AF1435" s="121">
        <v>21.90953025598651</v>
      </c>
      <c r="AG1435" s="121">
        <v>21.926207034048144</v>
      </c>
      <c r="AH1435" s="121">
        <v>21.94238982472983</v>
      </c>
      <c r="AI1435" s="121">
        <v>21.958080769731488</v>
      </c>
      <c r="AJ1435" s="121">
        <v>21.973283095546353</v>
      </c>
      <c r="AK1435" s="121">
        <v>21.988001033169322</v>
      </c>
      <c r="AL1435" s="121">
        <v>22.002239737666084</v>
      </c>
      <c r="AM1435" s="121">
        <v>22.016005208284763</v>
      </c>
      <c r="AN1435" s="121">
        <v>22.029304209718685</v>
      </c>
      <c r="AO1435" s="121">
        <v>22.042144195055503</v>
      </c>
      <c r="AP1435" s="121">
        <v>22.054533230875464</v>
      </c>
      <c r="AQ1435" s="121">
        <v>22.066479924891457</v>
      </c>
      <c r="AR1435" s="121">
        <v>22.077993356455856</v>
      </c>
      <c r="AS1435" s="121">
        <v>22.089083010195786</v>
      </c>
      <c r="AT1435" s="121">
        <v>22.099758712978851</v>
      </c>
      <c r="AU1435" s="121">
        <v>22.110030574356518</v>
      </c>
      <c r="AV1435" s="121">
        <v>22.119908930582486</v>
      </c>
      <c r="AW1435" s="121">
        <v>22.129404292258208</v>
      </c>
      <c r="AX1435" s="122">
        <v>22.13852729561772</v>
      </c>
    </row>
    <row r="1436" spans="1:50" x14ac:dyDescent="0.25">
      <c r="A1436" s="356"/>
      <c r="B1436" s="359"/>
      <c r="C1436" s="350"/>
      <c r="D1436" s="2" t="s">
        <v>8</v>
      </c>
      <c r="E1436" s="160" t="str">
        <f>A1419&amp;"/"&amp;B1435&amp;"/"&amp;C1435&amp;"/"&amp;D1436</f>
        <v>Fuel oil fired power plants/Steam turbine/Electricity only/M</v>
      </c>
      <c r="F1436" s="76" t="str">
        <f>A1419</f>
        <v>Fuel oil fired power plants</v>
      </c>
      <c r="G1436" s="76" t="str">
        <f>B1435</f>
        <v>Steam turbine</v>
      </c>
      <c r="H1436" s="76" t="str">
        <f>C1435</f>
        <v>Electricity only</v>
      </c>
      <c r="I1436" s="161" t="str">
        <f t="shared" si="100"/>
        <v>M</v>
      </c>
      <c r="J1436" s="119">
        <v>23.14575</v>
      </c>
      <c r="K1436" s="119">
        <v>23.172908295263586</v>
      </c>
      <c r="L1436" s="119">
        <v>23.199888835207872</v>
      </c>
      <c r="M1436" s="119">
        <v>23.226658712316848</v>
      </c>
      <c r="N1436" s="119">
        <v>23.253186146923564</v>
      </c>
      <c r="O1436" s="119">
        <v>23.279440624228467</v>
      </c>
      <c r="P1436" s="119">
        <v>23.305393018173991</v>
      </c>
      <c r="Q1436" s="119">
        <v>23.33101570130119</v>
      </c>
      <c r="R1436" s="119">
        <v>23.356282639942716</v>
      </c>
      <c r="S1436" s="119">
        <v>23.381169474335344</v>
      </c>
      <c r="T1436" s="119">
        <v>23.405653583460598</v>
      </c>
      <c r="U1436" s="119">
        <v>23.429714134638232</v>
      </c>
      <c r="V1436" s="119">
        <v>23.453332118100963</v>
      </c>
      <c r="W1436" s="119">
        <v>23.476490366965947</v>
      </c>
      <c r="X1436" s="119">
        <v>23.49917356318652</v>
      </c>
      <c r="Y1436" s="119">
        <v>23.521368230214531</v>
      </c>
      <c r="Z1436" s="119">
        <v>23.543062713227609</v>
      </c>
      <c r="AA1436" s="119">
        <v>23.564247147876571</v>
      </c>
      <c r="AB1436" s="119">
        <v>23.584913418585376</v>
      </c>
      <c r="AC1436" s="119">
        <v>23.605055107490614</v>
      </c>
      <c r="AD1436" s="119">
        <v>23.624667435139894</v>
      </c>
      <c r="AE1436" s="119">
        <v>23.643747194080824</v>
      </c>
      <c r="AF1436" s="119">
        <v>23.66229267646543</v>
      </c>
      <c r="AG1436" s="119">
        <v>23.680303596771992</v>
      </c>
      <c r="AH1436" s="119">
        <v>23.697781010708216</v>
      </c>
      <c r="AI1436" s="119">
        <v>23.714727231310007</v>
      </c>
      <c r="AJ1436" s="119">
        <v>23.731145743190062</v>
      </c>
      <c r="AK1436" s="119">
        <v>23.747041115822867</v>
      </c>
      <c r="AL1436" s="119">
        <v>23.762418916679366</v>
      </c>
      <c r="AM1436" s="119">
        <v>23.777285624947542</v>
      </c>
      <c r="AN1436" s="119">
        <v>23.79164854649618</v>
      </c>
      <c r="AO1436" s="119">
        <v>23.805515730659941</v>
      </c>
      <c r="AP1436" s="119">
        <v>23.818895889345502</v>
      </c>
      <c r="AQ1436" s="119">
        <v>23.831798318882775</v>
      </c>
      <c r="AR1436" s="119">
        <v>23.844232824972323</v>
      </c>
      <c r="AS1436" s="119">
        <v>23.856209651011447</v>
      </c>
      <c r="AT1436" s="119">
        <v>23.867739410017158</v>
      </c>
      <c r="AU1436" s="119">
        <v>23.878833020305041</v>
      </c>
      <c r="AV1436" s="119">
        <v>23.889501645029085</v>
      </c>
      <c r="AW1436" s="119">
        <v>23.899756635638862</v>
      </c>
      <c r="AX1436" s="120">
        <v>23.909609479267136</v>
      </c>
    </row>
    <row r="1437" spans="1:50" x14ac:dyDescent="0.25">
      <c r="A1437" s="356"/>
      <c r="B1437" s="359"/>
      <c r="C1437" s="350"/>
      <c r="D1437" s="2" t="s">
        <v>10</v>
      </c>
      <c r="E1437" s="160" t="str">
        <f>A1419&amp;"/"&amp;B1435&amp;"/"&amp;C1435&amp;"/"&amp;D1437</f>
        <v>Fuel oil fired power plants/Steam turbine/Electricity only/S</v>
      </c>
      <c r="F1437" s="76" t="str">
        <f>A1419</f>
        <v>Fuel oil fired power plants</v>
      </c>
      <c r="G1437" s="76" t="str">
        <f>B1435</f>
        <v>Steam turbine</v>
      </c>
      <c r="H1437" s="76" t="str">
        <f>C1435</f>
        <v>Electricity only</v>
      </c>
      <c r="I1437" s="161" t="str">
        <f t="shared" si="100"/>
        <v>S</v>
      </c>
      <c r="J1437" s="119">
        <v>25.57605375</v>
      </c>
      <c r="K1437" s="119">
        <v>25.606063666266266</v>
      </c>
      <c r="L1437" s="119">
        <v>25.635877162904698</v>
      </c>
      <c r="M1437" s="119">
        <v>25.665457877110114</v>
      </c>
      <c r="N1437" s="119">
        <v>25.694770692350534</v>
      </c>
      <c r="O1437" s="119">
        <v>25.723781889772457</v>
      </c>
      <c r="P1437" s="119">
        <v>25.75245928508226</v>
      </c>
      <c r="Q1437" s="119">
        <v>25.780772349937816</v>
      </c>
      <c r="R1437" s="119">
        <v>25.808692317136703</v>
      </c>
      <c r="S1437" s="119">
        <v>25.836192269140554</v>
      </c>
      <c r="T1437" s="119">
        <v>25.863247209723962</v>
      </c>
      <c r="U1437" s="119">
        <v>25.889834118775248</v>
      </c>
      <c r="V1437" s="119">
        <v>25.915931990501566</v>
      </c>
      <c r="W1437" s="119">
        <v>25.941521855497374</v>
      </c>
      <c r="X1437" s="119">
        <v>25.966586787321106</v>
      </c>
      <c r="Y1437" s="119">
        <v>25.991111894387053</v>
      </c>
      <c r="Z1437" s="119">
        <v>26.015084298116509</v>
      </c>
      <c r="AA1437" s="119">
        <v>26.038493098403613</v>
      </c>
      <c r="AB1437" s="119">
        <v>26.061329327536843</v>
      </c>
      <c r="AC1437" s="119">
        <v>26.08358589377713</v>
      </c>
      <c r="AD1437" s="119">
        <v>26.105257515829589</v>
      </c>
      <c r="AE1437" s="119">
        <v>26.126340649459308</v>
      </c>
      <c r="AF1437" s="119">
        <v>26.146833407494302</v>
      </c>
      <c r="AG1437" s="119">
        <v>26.166735474433054</v>
      </c>
      <c r="AH1437" s="119">
        <v>26.186048016832579</v>
      </c>
      <c r="AI1437" s="119">
        <v>26.204773590597558</v>
      </c>
      <c r="AJ1437" s="119">
        <v>26.22291604622502</v>
      </c>
      <c r="AK1437" s="119">
        <v>26.240480432984267</v>
      </c>
      <c r="AL1437" s="119">
        <v>26.257472902930704</v>
      </c>
      <c r="AM1437" s="119">
        <v>26.273900615567037</v>
      </c>
      <c r="AN1437" s="119">
        <v>26.289771643878282</v>
      </c>
      <c r="AO1437" s="119">
        <v>26.305094882379233</v>
      </c>
      <c r="AP1437" s="119">
        <v>26.31987995772678</v>
      </c>
      <c r="AQ1437" s="119">
        <v>26.334137142365464</v>
      </c>
      <c r="AR1437" s="119">
        <v>26.347877271594417</v>
      </c>
      <c r="AS1437" s="119">
        <v>26.361111664367652</v>
      </c>
      <c r="AT1437" s="119">
        <v>26.373852048068962</v>
      </c>
      <c r="AU1437" s="119">
        <v>26.386110487437069</v>
      </c>
      <c r="AV1437" s="119">
        <v>26.397899317757137</v>
      </c>
      <c r="AW1437" s="119">
        <v>26.409231082380938</v>
      </c>
      <c r="AX1437" s="120">
        <v>26.420118474590186</v>
      </c>
    </row>
    <row r="1438" spans="1:50" x14ac:dyDescent="0.25">
      <c r="A1438" s="356"/>
      <c r="B1438" s="359"/>
      <c r="C1438" s="360"/>
      <c r="D1438" s="2" t="s">
        <v>20</v>
      </c>
      <c r="E1438" s="160" t="str">
        <f>A1419&amp;"/"&amp;B1435&amp;"/"&amp;C1435&amp;"/"&amp;D1438</f>
        <v>Fuel oil fired power plants/Steam turbine/Electricity only/XS</v>
      </c>
      <c r="F1438" s="76" t="str">
        <f>A1419</f>
        <v>Fuel oil fired power plants</v>
      </c>
      <c r="G1438" s="76" t="str">
        <f>B1435</f>
        <v>Steam turbine</v>
      </c>
      <c r="H1438" s="76" t="str">
        <f>C1435</f>
        <v>Electricity only</v>
      </c>
      <c r="I1438" s="161" t="str">
        <f t="shared" si="100"/>
        <v>XS</v>
      </c>
      <c r="J1438" s="119">
        <v>30.691264499999996</v>
      </c>
      <c r="K1438" s="119">
        <v>30.727276399519514</v>
      </c>
      <c r="L1438" s="119">
        <v>30.763052595485636</v>
      </c>
      <c r="M1438" s="119">
        <v>30.798549452532136</v>
      </c>
      <c r="N1438" s="119">
        <v>30.833724830820639</v>
      </c>
      <c r="O1438" s="119">
        <v>30.868538267726947</v>
      </c>
      <c r="P1438" s="119">
        <v>30.902951142098708</v>
      </c>
      <c r="Q1438" s="119">
        <v>30.936926819925375</v>
      </c>
      <c r="R1438" s="119">
        <v>30.970430780564037</v>
      </c>
      <c r="S1438" s="119">
        <v>31.003430722968663</v>
      </c>
      <c r="T1438" s="119">
        <v>31.03589665166875</v>
      </c>
      <c r="U1438" s="119">
        <v>31.06780094253029</v>
      </c>
      <c r="V1438" s="119">
        <v>31.099118388601877</v>
      </c>
      <c r="W1438" s="119">
        <v>31.12982622659684</v>
      </c>
      <c r="X1438" s="119">
        <v>31.159904144785322</v>
      </c>
      <c r="Y1438" s="119">
        <v>31.189334273264464</v>
      </c>
      <c r="Z1438" s="119">
        <v>31.218101157739806</v>
      </c>
      <c r="AA1438" s="119">
        <v>31.246191718084333</v>
      </c>
      <c r="AB1438" s="119">
        <v>31.273595193044208</v>
      </c>
      <c r="AC1438" s="119">
        <v>31.30030307253255</v>
      </c>
      <c r="AD1438" s="119">
        <v>31.326309018995499</v>
      </c>
      <c r="AE1438" s="119">
        <v>31.351608779351167</v>
      </c>
      <c r="AF1438" s="119">
        <v>31.376200088993155</v>
      </c>
      <c r="AG1438" s="119">
        <v>31.400082569319657</v>
      </c>
      <c r="AH1438" s="119">
        <v>31.423257620199092</v>
      </c>
      <c r="AI1438" s="119">
        <v>31.445728308717065</v>
      </c>
      <c r="AJ1438" s="119">
        <v>31.46749925547002</v>
      </c>
      <c r="AK1438" s="119">
        <v>31.48857651958112</v>
      </c>
      <c r="AL1438" s="119">
        <v>31.508967483516841</v>
      </c>
      <c r="AM1438" s="119">
        <v>31.528680738680436</v>
      </c>
      <c r="AN1438" s="119">
        <v>31.547725972653932</v>
      </c>
      <c r="AO1438" s="119">
        <v>31.566113858855076</v>
      </c>
      <c r="AP1438" s="119">
        <v>31.583855949272131</v>
      </c>
      <c r="AQ1438" s="119">
        <v>31.600964570838553</v>
      </c>
      <c r="AR1438" s="119">
        <v>31.617452725913292</v>
      </c>
      <c r="AS1438" s="119">
        <v>31.633333997241174</v>
      </c>
      <c r="AT1438" s="119">
        <v>31.648622457682748</v>
      </c>
      <c r="AU1438" s="119">
        <v>31.663332584924479</v>
      </c>
      <c r="AV1438" s="119">
        <v>31.677479181308563</v>
      </c>
      <c r="AW1438" s="119">
        <v>31.691077298857127</v>
      </c>
      <c r="AX1438" s="120">
        <v>31.704142169508216</v>
      </c>
    </row>
    <row r="1439" spans="1:50" x14ac:dyDescent="0.25">
      <c r="A1439" s="356"/>
      <c r="B1439" s="359"/>
      <c r="C1439" s="361" t="s">
        <v>14</v>
      </c>
      <c r="D1439" s="58" t="s">
        <v>7</v>
      </c>
      <c r="E1439" s="164" t="str">
        <f>A1419&amp;"/"&amp;B1435&amp;"/"&amp;C1439&amp;"/"&amp;D1439</f>
        <v>Fuel oil fired power plants/Steam turbine/CHP/L</v>
      </c>
      <c r="F1439" s="78" t="str">
        <f>A1419</f>
        <v>Fuel oil fired power plants</v>
      </c>
      <c r="G1439" s="78" t="str">
        <f>B1435</f>
        <v>Steam turbine</v>
      </c>
      <c r="H1439" s="78" t="str">
        <f>C1439</f>
        <v>CHP</v>
      </c>
      <c r="I1439" s="165" t="str">
        <f t="shared" ref="I1439:I1502" si="101">D1439</f>
        <v>L</v>
      </c>
      <c r="J1439" s="123">
        <v>28.410693749999997</v>
      </c>
      <c r="K1439" s="123">
        <v>28.454501464941593</v>
      </c>
      <c r="L1439" s="123">
        <v>28.49855120937556</v>
      </c>
      <c r="M1439" s="123">
        <v>28.542784129537228</v>
      </c>
      <c r="N1439" s="123">
        <v>28.587140642557966</v>
      </c>
      <c r="O1439" s="123">
        <v>28.631560752650891</v>
      </c>
      <c r="P1439" s="123">
        <v>28.675984370088582</v>
      </c>
      <c r="Q1439" s="123">
        <v>28.720351629424844</v>
      </c>
      <c r="R1439" s="123">
        <v>28.764603203450118</v>
      </c>
      <c r="S1439" s="123">
        <v>28.808680609472926</v>
      </c>
      <c r="T1439" s="123">
        <v>28.852526504684299</v>
      </c>
      <c r="U1439" s="123">
        <v>28.896084967583775</v>
      </c>
      <c r="V1439" s="123">
        <v>28.939301762717481</v>
      </c>
      <c r="W1439" s="123">
        <v>28.982124586293381</v>
      </c>
      <c r="X1439" s="123">
        <v>29.024503290587468</v>
      </c>
      <c r="Y1439" s="123">
        <v>29.066390085428075</v>
      </c>
      <c r="Z1439" s="123">
        <v>29.10773971543421</v>
      </c>
      <c r="AA1439" s="123">
        <v>29.148509612078644</v>
      </c>
      <c r="AB1439" s="123">
        <v>29.188660020037986</v>
      </c>
      <c r="AC1439" s="123">
        <v>29.228154097672057</v>
      </c>
      <c r="AD1439" s="123">
        <v>29.266957991835909</v>
      </c>
      <c r="AE1439" s="123">
        <v>29.305040887563123</v>
      </c>
      <c r="AF1439" s="123">
        <v>29.342375033463448</v>
      </c>
      <c r="AG1439" s="123">
        <v>29.378935743947121</v>
      </c>
      <c r="AH1439" s="123">
        <v>29.414701379619217</v>
      </c>
      <c r="AI1439" s="123">
        <v>29.449653307379027</v>
      </c>
      <c r="AJ1439" s="123">
        <v>29.483775841910429</v>
      </c>
      <c r="AK1439" s="123">
        <v>29.517056170360586</v>
      </c>
      <c r="AL1439" s="123">
        <v>29.549484262077346</v>
      </c>
      <c r="AM1439" s="123">
        <v>29.581052765312375</v>
      </c>
      <c r="AN1439" s="123">
        <v>29.611756892800678</v>
      </c>
      <c r="AO1439" s="123">
        <v>29.64159429810055</v>
      </c>
      <c r="AP1439" s="123">
        <v>29.67056494452504</v>
      </c>
      <c r="AQ1439" s="123">
        <v>29.698670968420711</v>
      </c>
      <c r="AR1439" s="123">
        <v>29.725916538455191</v>
      </c>
      <c r="AS1439" s="123">
        <v>29.752307712466234</v>
      </c>
      <c r="AT1439" s="123">
        <v>29.777852293304786</v>
      </c>
      <c r="AU1439" s="123">
        <v>29.802559684976856</v>
      </c>
      <c r="AV1439" s="123">
        <v>29.826440750256712</v>
      </c>
      <c r="AW1439" s="123">
        <v>29.849507670809949</v>
      </c>
      <c r="AX1439" s="124">
        <v>29.871773810731888</v>
      </c>
    </row>
    <row r="1440" spans="1:50" x14ac:dyDescent="0.25">
      <c r="A1440" s="356"/>
      <c r="B1440" s="359"/>
      <c r="C1440" s="350"/>
      <c r="D1440" s="2" t="s">
        <v>8</v>
      </c>
      <c r="E1440" s="160" t="str">
        <f>A1419&amp;"/"&amp;B1435&amp;"/"&amp;C1439&amp;"/"&amp;D1440</f>
        <v>Fuel oil fired power plants/Steam turbine/CHP/M</v>
      </c>
      <c r="F1440" s="76" t="str">
        <f>A1419</f>
        <v>Fuel oil fired power plants</v>
      </c>
      <c r="G1440" s="76" t="str">
        <f>B1435</f>
        <v>Steam turbine</v>
      </c>
      <c r="H1440" s="76" t="str">
        <f>C1439</f>
        <v>CHP</v>
      </c>
      <c r="I1440" s="161" t="str">
        <f t="shared" si="101"/>
        <v>M</v>
      </c>
      <c r="J1440" s="119">
        <v>30.07375875</v>
      </c>
      <c r="K1440" s="119">
        <v>30.120130818986958</v>
      </c>
      <c r="L1440" s="119">
        <v>30.166759085046323</v>
      </c>
      <c r="M1440" s="119">
        <v>30.213581249315023</v>
      </c>
      <c r="N1440" s="119">
        <v>30.260534241146726</v>
      </c>
      <c r="O1440" s="119">
        <v>30.307554552806064</v>
      </c>
      <c r="P1440" s="119">
        <v>30.354578577118161</v>
      </c>
      <c r="Q1440" s="119">
        <v>30.40154294431801</v>
      </c>
      <c r="R1440" s="119">
        <v>30.448384854383786</v>
      </c>
      <c r="S1440" s="119">
        <v>30.495042401246948</v>
      </c>
      <c r="T1440" s="119">
        <v>30.541454885446306</v>
      </c>
      <c r="U1440" s="119">
        <v>30.587563112027706</v>
      </c>
      <c r="V1440" s="119">
        <v>30.633309670778996</v>
      </c>
      <c r="W1440" s="119">
        <v>30.67863919622275</v>
      </c>
      <c r="X1440" s="119">
        <v>30.723498605158444</v>
      </c>
      <c r="Y1440" s="119">
        <v>30.767837309940941</v>
      </c>
      <c r="Z1440" s="119">
        <v>30.811607406093778</v>
      </c>
      <c r="AA1440" s="119">
        <v>30.854763833273491</v>
      </c>
      <c r="AB1440" s="119">
        <v>30.89726450901582</v>
      </c>
      <c r="AC1440" s="119">
        <v>30.939070435096767</v>
      </c>
      <c r="AD1440" s="119">
        <v>30.980145776723869</v>
      </c>
      <c r="AE1440" s="119">
        <v>31.020457915127796</v>
      </c>
      <c r="AF1440" s="119">
        <v>31.059977474446679</v>
      </c>
      <c r="AG1440" s="119">
        <v>31.098678324080613</v>
      </c>
      <c r="AH1440" s="119">
        <v>31.136537557938393</v>
      </c>
      <c r="AI1440" s="119">
        <v>31.173535452201218</v>
      </c>
      <c r="AJ1440" s="119">
        <v>31.209655403388116</v>
      </c>
      <c r="AK1440" s="119">
        <v>31.244883848625598</v>
      </c>
      <c r="AL1440" s="119">
        <v>31.27921017010139</v>
      </c>
      <c r="AM1440" s="119">
        <v>31.312626585720906</v>
      </c>
      <c r="AN1440" s="119">
        <v>31.345128027989013</v>
      </c>
      <c r="AO1440" s="119">
        <v>31.376712013111316</v>
      </c>
      <c r="AP1440" s="119">
        <v>31.407378502253337</v>
      </c>
      <c r="AQ1440" s="119">
        <v>31.43712975681607</v>
      </c>
      <c r="AR1440" s="119">
        <v>31.465970189486715</v>
      </c>
      <c r="AS1440" s="119">
        <v>31.493906212708165</v>
      </c>
      <c r="AT1440" s="119">
        <v>31.520946086083608</v>
      </c>
      <c r="AU1440" s="119">
        <v>31.547099764097457</v>
      </c>
      <c r="AV1440" s="119">
        <v>31.572378745393696</v>
      </c>
      <c r="AW1440" s="119">
        <v>31.596795924711021</v>
      </c>
      <c r="AX1440" s="120">
        <v>31.620365448433265</v>
      </c>
    </row>
    <row r="1441" spans="1:50" x14ac:dyDescent="0.25">
      <c r="A1441" s="356"/>
      <c r="B1441" s="359"/>
      <c r="C1441" s="350"/>
      <c r="D1441" s="2" t="s">
        <v>10</v>
      </c>
      <c r="E1441" s="160" t="str">
        <f>A1419&amp;"/"&amp;B1435&amp;"/"&amp;C1439&amp;"/"&amp;D1441</f>
        <v>Fuel oil fired power plants/Steam turbine/CHP/S</v>
      </c>
      <c r="F1441" s="76" t="str">
        <f>A1419</f>
        <v>Fuel oil fired power plants</v>
      </c>
      <c r="G1441" s="76" t="str">
        <f>B1435</f>
        <v>Steam turbine</v>
      </c>
      <c r="H1441" s="76" t="str">
        <f>C1439</f>
        <v>CHP</v>
      </c>
      <c r="I1441" s="161" t="str">
        <f t="shared" si="101"/>
        <v>S</v>
      </c>
      <c r="J1441" s="119">
        <v>37.931864064999999</v>
      </c>
      <c r="K1441" s="119">
        <v>37.990352896803444</v>
      </c>
      <c r="L1441" s="119">
        <v>38.04916486854443</v>
      </c>
      <c r="M1441" s="119">
        <v>38.108221403014682</v>
      </c>
      <c r="N1441" s="119">
        <v>38.167442949559991</v>
      </c>
      <c r="O1441" s="119">
        <v>38.226749406228159</v>
      </c>
      <c r="P1441" s="119">
        <v>38.286060545644531</v>
      </c>
      <c r="Q1441" s="119">
        <v>38.345296439878183</v>
      </c>
      <c r="R1441" s="119">
        <v>38.404377879612085</v>
      </c>
      <c r="S1441" s="119">
        <v>38.463226783067498</v>
      </c>
      <c r="T1441" s="119">
        <v>38.521766590352776</v>
      </c>
      <c r="U1441" s="119">
        <v>38.579922639202636</v>
      </c>
      <c r="V1441" s="119">
        <v>38.637622518436899</v>
      </c>
      <c r="W1441" s="119">
        <v>38.694796395887899</v>
      </c>
      <c r="X1441" s="119">
        <v>38.751377318011073</v>
      </c>
      <c r="Y1441" s="119">
        <v>38.807301478891958</v>
      </c>
      <c r="Z1441" s="119">
        <v>38.862508456881741</v>
      </c>
      <c r="AA1441" s="119">
        <v>38.916941417620713</v>
      </c>
      <c r="AB1441" s="119">
        <v>38.970547282731559</v>
      </c>
      <c r="AC1441" s="119">
        <v>39.023276863972008</v>
      </c>
      <c r="AD1441" s="119">
        <v>39.075084963118336</v>
      </c>
      <c r="AE1441" s="119">
        <v>39.12593043829883</v>
      </c>
      <c r="AF1441" s="119">
        <v>39.175776237902859</v>
      </c>
      <c r="AG1441" s="119">
        <v>39.224589403550624</v>
      </c>
      <c r="AH1441" s="119">
        <v>39.272341043917102</v>
      </c>
      <c r="AI1441" s="119">
        <v>39.319006281459735</v>
      </c>
      <c r="AJ1441" s="119">
        <v>39.364564174300646</v>
      </c>
      <c r="AK1441" s="119">
        <v>39.408997615663196</v>
      </c>
      <c r="AL1441" s="119">
        <v>39.452293213360008</v>
      </c>
      <c r="AM1441" s="119">
        <v>39.49444115187864</v>
      </c>
      <c r="AN1441" s="119">
        <v>39.535435039615749</v>
      </c>
      <c r="AO1441" s="119">
        <v>39.575271743775318</v>
      </c>
      <c r="AP1441" s="119">
        <v>39.613951215375657</v>
      </c>
      <c r="AQ1441" s="119">
        <v>39.651476306709206</v>
      </c>
      <c r="AR1441" s="119">
        <v>39.687852583473699</v>
      </c>
      <c r="AS1441" s="119">
        <v>39.723088133647572</v>
      </c>
      <c r="AT1441" s="119">
        <v>39.75719337502224</v>
      </c>
      <c r="AU1441" s="119">
        <v>39.790180863133315</v>
      </c>
      <c r="AV1441" s="119">
        <v>39.822065101156291</v>
      </c>
      <c r="AW1441" s="119">
        <v>39.852862353153121</v>
      </c>
      <c r="AX1441" s="120">
        <v>39.882590461878777</v>
      </c>
    </row>
    <row r="1442" spans="1:50" x14ac:dyDescent="0.25">
      <c r="A1442" s="356"/>
      <c r="B1442" s="359"/>
      <c r="C1442" s="360"/>
      <c r="D1442" s="59" t="s">
        <v>20</v>
      </c>
      <c r="E1442" s="166" t="str">
        <f>A1419&amp;"/"&amp;B1435&amp;"/"&amp;C1439&amp;"/"&amp;D1442</f>
        <v>Fuel oil fired power plants/Steam turbine/CHP/XS</v>
      </c>
      <c r="F1442" s="79" t="str">
        <f>A1419</f>
        <v>Fuel oil fired power plants</v>
      </c>
      <c r="G1442" s="79" t="str">
        <f>B1435</f>
        <v>Steam turbine</v>
      </c>
      <c r="H1442" s="79" t="str">
        <f>C1439</f>
        <v>CHP</v>
      </c>
      <c r="I1442" s="167" t="str">
        <f t="shared" si="101"/>
        <v>XS</v>
      </c>
      <c r="J1442" s="125">
        <v>37.649943749999998</v>
      </c>
      <c r="K1442" s="125">
        <v>37.707997876304724</v>
      </c>
      <c r="L1442" s="125">
        <v>37.76637274087981</v>
      </c>
      <c r="M1442" s="125">
        <v>37.824990350524949</v>
      </c>
      <c r="N1442" s="125">
        <v>37.883771745828852</v>
      </c>
      <c r="O1442" s="125">
        <v>37.942637420179643</v>
      </c>
      <c r="P1442" s="125">
        <v>38.00150774247512</v>
      </c>
      <c r="Q1442" s="125">
        <v>38.0603033788313</v>
      </c>
      <c r="R1442" s="125">
        <v>38.118945708637156</v>
      </c>
      <c r="S1442" s="125">
        <v>38.177357230439732</v>
      </c>
      <c r="T1442" s="125">
        <v>38.235461953362126</v>
      </c>
      <c r="U1442" s="125">
        <v>38.293185770050052</v>
      </c>
      <c r="V1442" s="125">
        <v>38.350456807503662</v>
      </c>
      <c r="W1442" s="125">
        <v>38.407205752567656</v>
      </c>
      <c r="X1442" s="125">
        <v>38.463366149315107</v>
      </c>
      <c r="Y1442" s="125">
        <v>38.518874666055098</v>
      </c>
      <c r="Z1442" s="125">
        <v>38.573671330209571</v>
      </c>
      <c r="AA1442" s="125">
        <v>38.627699729827803</v>
      </c>
      <c r="AB1442" s="125">
        <v>38.680907181025951</v>
      </c>
      <c r="AC1442" s="125">
        <v>38.733244861142651</v>
      </c>
      <c r="AD1442" s="125">
        <v>38.78466790788012</v>
      </c>
      <c r="AE1442" s="125">
        <v>38.835135485144626</v>
      </c>
      <c r="AF1442" s="125">
        <v>38.884610816703599</v>
      </c>
      <c r="AG1442" s="125">
        <v>38.933061189133184</v>
      </c>
      <c r="AH1442" s="125">
        <v>38.980457925836852</v>
      </c>
      <c r="AI1442" s="125">
        <v>39.026776334168964</v>
      </c>
      <c r="AJ1442" s="125">
        <v>39.071995627897564</v>
      </c>
      <c r="AK1442" s="125">
        <v>39.116098827388427</v>
      </c>
      <c r="AL1442" s="125">
        <v>39.159072639988686</v>
      </c>
      <c r="AM1442" s="125">
        <v>39.200907323137542</v>
      </c>
      <c r="AN1442" s="125">
        <v>39.241596532735869</v>
      </c>
      <c r="AO1442" s="125">
        <v>39.281137159271466</v>
      </c>
      <c r="AP1442" s="125">
        <v>39.319529154126684</v>
      </c>
      <c r="AQ1442" s="125">
        <v>39.356775348394933</v>
      </c>
      <c r="AR1442" s="125">
        <v>39.392881266408104</v>
      </c>
      <c r="AS1442" s="125">
        <v>39.427854936032496</v>
      </c>
      <c r="AT1442" s="125">
        <v>39.461706697631556</v>
      </c>
      <c r="AU1442" s="125">
        <v>39.494449013424621</v>
      </c>
      <c r="AV1442" s="125">
        <v>39.526096278795485</v>
      </c>
      <c r="AW1442" s="125">
        <v>39.55666463692701</v>
      </c>
      <c r="AX1442" s="126">
        <v>39.586171797961775</v>
      </c>
    </row>
    <row r="1443" spans="1:50" x14ac:dyDescent="0.25">
      <c r="A1443" s="356"/>
      <c r="B1443" s="359"/>
      <c r="C1443" s="361" t="s">
        <v>15</v>
      </c>
      <c r="D1443" s="58" t="s">
        <v>7</v>
      </c>
      <c r="E1443" s="164" t="str">
        <f>A1419&amp;"/"&amp;B1435&amp;"/"&amp;C1443&amp;"/"&amp;D1443</f>
        <v>Fuel oil fired power plants/Steam turbine/Electricity only with CCS/L</v>
      </c>
      <c r="F1443" s="78" t="str">
        <f>A1419</f>
        <v>Fuel oil fired power plants</v>
      </c>
      <c r="G1443" s="78" t="str">
        <f>B1435</f>
        <v>Steam turbine</v>
      </c>
      <c r="H1443" s="78" t="str">
        <f>C1443</f>
        <v>Electricity only with CCS</v>
      </c>
      <c r="I1443" s="165" t="str">
        <f t="shared" si="101"/>
        <v>L</v>
      </c>
      <c r="J1443" s="123" t="s">
        <v>112</v>
      </c>
      <c r="K1443" s="123" t="s">
        <v>112</v>
      </c>
      <c r="L1443" s="123" t="s">
        <v>112</v>
      </c>
      <c r="M1443" s="123" t="s">
        <v>112</v>
      </c>
      <c r="N1443" s="123" t="s">
        <v>112</v>
      </c>
      <c r="O1443" s="123" t="s">
        <v>112</v>
      </c>
      <c r="P1443" s="123" t="s">
        <v>112</v>
      </c>
      <c r="Q1443" s="123" t="s">
        <v>112</v>
      </c>
      <c r="R1443" s="123" t="s">
        <v>112</v>
      </c>
      <c r="S1443" s="123" t="s">
        <v>112</v>
      </c>
      <c r="T1443" s="123" t="s">
        <v>112</v>
      </c>
      <c r="U1443" s="123" t="s">
        <v>112</v>
      </c>
      <c r="V1443" s="123" t="s">
        <v>112</v>
      </c>
      <c r="W1443" s="123" t="s">
        <v>112</v>
      </c>
      <c r="X1443" s="123" t="s">
        <v>112</v>
      </c>
      <c r="Y1443" s="123" t="s">
        <v>112</v>
      </c>
      <c r="Z1443" s="123" t="s">
        <v>112</v>
      </c>
      <c r="AA1443" s="123" t="s">
        <v>112</v>
      </c>
      <c r="AB1443" s="123" t="s">
        <v>112</v>
      </c>
      <c r="AC1443" s="123" t="s">
        <v>112</v>
      </c>
      <c r="AD1443" s="123" t="s">
        <v>112</v>
      </c>
      <c r="AE1443" s="123">
        <v>56.257031249999997</v>
      </c>
      <c r="AF1443" s="123">
        <v>56.257031249999997</v>
      </c>
      <c r="AG1443" s="123">
        <v>56.257031249999997</v>
      </c>
      <c r="AH1443" s="123">
        <v>56.257031249999997</v>
      </c>
      <c r="AI1443" s="123">
        <v>56.257031249999997</v>
      </c>
      <c r="AJ1443" s="123">
        <v>56.257031249999997</v>
      </c>
      <c r="AK1443" s="123">
        <v>56.257031249999997</v>
      </c>
      <c r="AL1443" s="123">
        <v>56.257031249999997</v>
      </c>
      <c r="AM1443" s="123">
        <v>56.257031249999997</v>
      </c>
      <c r="AN1443" s="123">
        <v>56.257031249999997</v>
      </c>
      <c r="AO1443" s="123">
        <v>56.257031249999997</v>
      </c>
      <c r="AP1443" s="123">
        <v>56.257031249999997</v>
      </c>
      <c r="AQ1443" s="123">
        <v>56.257031249999997</v>
      </c>
      <c r="AR1443" s="123">
        <v>56.257031249999997</v>
      </c>
      <c r="AS1443" s="123">
        <v>56.257031249999997</v>
      </c>
      <c r="AT1443" s="123">
        <v>56.257031249999997</v>
      </c>
      <c r="AU1443" s="123">
        <v>56.257031249999997</v>
      </c>
      <c r="AV1443" s="123">
        <v>56.257031249999997</v>
      </c>
      <c r="AW1443" s="123">
        <v>56.257031249999997</v>
      </c>
      <c r="AX1443" s="124">
        <v>56.257031249999997</v>
      </c>
    </row>
    <row r="1444" spans="1:50" x14ac:dyDescent="0.25">
      <c r="A1444" s="356"/>
      <c r="B1444" s="359"/>
      <c r="C1444" s="360"/>
      <c r="D1444" s="59" t="s">
        <v>8</v>
      </c>
      <c r="E1444" s="166" t="str">
        <f>A1419&amp;"/"&amp;B1435&amp;"/"&amp;C1443&amp;"/"&amp;D1444</f>
        <v>Fuel oil fired power plants/Steam turbine/Electricity only with CCS/M</v>
      </c>
      <c r="F1444" s="79" t="str">
        <f>A1419</f>
        <v>Fuel oil fired power plants</v>
      </c>
      <c r="G1444" s="79" t="str">
        <f>B1435</f>
        <v>Steam turbine</v>
      </c>
      <c r="H1444" s="79" t="str">
        <f>C1443</f>
        <v>Electricity only with CCS</v>
      </c>
      <c r="I1444" s="167" t="str">
        <f t="shared" si="101"/>
        <v>M</v>
      </c>
      <c r="J1444" s="125" t="s">
        <v>112</v>
      </c>
      <c r="K1444" s="125" t="s">
        <v>112</v>
      </c>
      <c r="L1444" s="125" t="s">
        <v>112</v>
      </c>
      <c r="M1444" s="125" t="s">
        <v>112</v>
      </c>
      <c r="N1444" s="125" t="s">
        <v>112</v>
      </c>
      <c r="O1444" s="125" t="s">
        <v>112</v>
      </c>
      <c r="P1444" s="125" t="s">
        <v>112</v>
      </c>
      <c r="Q1444" s="125" t="s">
        <v>112</v>
      </c>
      <c r="R1444" s="125" t="s">
        <v>112</v>
      </c>
      <c r="S1444" s="125" t="s">
        <v>112</v>
      </c>
      <c r="T1444" s="125" t="s">
        <v>112</v>
      </c>
      <c r="U1444" s="125" t="s">
        <v>112</v>
      </c>
      <c r="V1444" s="125" t="s">
        <v>112</v>
      </c>
      <c r="W1444" s="125" t="s">
        <v>112</v>
      </c>
      <c r="X1444" s="125" t="s">
        <v>112</v>
      </c>
      <c r="Y1444" s="125" t="s">
        <v>112</v>
      </c>
      <c r="Z1444" s="125" t="s">
        <v>112</v>
      </c>
      <c r="AA1444" s="125" t="s">
        <v>112</v>
      </c>
      <c r="AB1444" s="125" t="s">
        <v>112</v>
      </c>
      <c r="AC1444" s="125" t="s">
        <v>112</v>
      </c>
      <c r="AD1444" s="125" t="s">
        <v>112</v>
      </c>
      <c r="AE1444" s="125">
        <v>66.195773437500009</v>
      </c>
      <c r="AF1444" s="125">
        <v>66.195773437500009</v>
      </c>
      <c r="AG1444" s="125">
        <v>66.195773437500009</v>
      </c>
      <c r="AH1444" s="125">
        <v>66.195773437500009</v>
      </c>
      <c r="AI1444" s="125">
        <v>66.195773437500009</v>
      </c>
      <c r="AJ1444" s="125">
        <v>66.195773437500009</v>
      </c>
      <c r="AK1444" s="125">
        <v>66.195773437500009</v>
      </c>
      <c r="AL1444" s="125">
        <v>66.195773437500009</v>
      </c>
      <c r="AM1444" s="125">
        <v>66.195773437500009</v>
      </c>
      <c r="AN1444" s="125">
        <v>66.195773437500009</v>
      </c>
      <c r="AO1444" s="125">
        <v>66.195773437500009</v>
      </c>
      <c r="AP1444" s="125">
        <v>66.195773437500009</v>
      </c>
      <c r="AQ1444" s="125">
        <v>66.195773437500009</v>
      </c>
      <c r="AR1444" s="125">
        <v>66.195773437500009</v>
      </c>
      <c r="AS1444" s="125">
        <v>66.195773437500009</v>
      </c>
      <c r="AT1444" s="125">
        <v>66.195773437500009</v>
      </c>
      <c r="AU1444" s="125">
        <v>66.195773437500009</v>
      </c>
      <c r="AV1444" s="125">
        <v>66.195773437500009</v>
      </c>
      <c r="AW1444" s="125">
        <v>66.195773437500009</v>
      </c>
      <c r="AX1444" s="126">
        <v>66.195773437500009</v>
      </c>
    </row>
    <row r="1445" spans="1:50" x14ac:dyDescent="0.25">
      <c r="A1445" s="356"/>
      <c r="B1445" s="359"/>
      <c r="C1445" s="361" t="s">
        <v>16</v>
      </c>
      <c r="D1445" s="2" t="s">
        <v>7</v>
      </c>
      <c r="E1445" s="160" t="str">
        <f>A1419&amp;"/"&amp;B1435&amp;"/"&amp;C1445&amp;"/"&amp;D1445</f>
        <v>Fuel oil fired power plants/Steam turbine/CHP with CCS/L</v>
      </c>
      <c r="F1445" s="76" t="str">
        <f>A1419</f>
        <v>Fuel oil fired power plants</v>
      </c>
      <c r="G1445" s="76" t="str">
        <f>B1435</f>
        <v>Steam turbine</v>
      </c>
      <c r="H1445" s="76" t="str">
        <f>C1445</f>
        <v>CHP with CCS</v>
      </c>
      <c r="I1445" s="161" t="str">
        <f t="shared" si="101"/>
        <v>L</v>
      </c>
      <c r="J1445" s="119" t="s">
        <v>112</v>
      </c>
      <c r="K1445" s="119" t="s">
        <v>112</v>
      </c>
      <c r="L1445" s="119" t="s">
        <v>112</v>
      </c>
      <c r="M1445" s="119" t="s">
        <v>112</v>
      </c>
      <c r="N1445" s="119" t="s">
        <v>112</v>
      </c>
      <c r="O1445" s="119" t="s">
        <v>112</v>
      </c>
      <c r="P1445" s="119" t="s">
        <v>112</v>
      </c>
      <c r="Q1445" s="119" t="s">
        <v>112</v>
      </c>
      <c r="R1445" s="119" t="s">
        <v>112</v>
      </c>
      <c r="S1445" s="119" t="s">
        <v>112</v>
      </c>
      <c r="T1445" s="119" t="s">
        <v>112</v>
      </c>
      <c r="U1445" s="119" t="s">
        <v>112</v>
      </c>
      <c r="V1445" s="119" t="s">
        <v>112</v>
      </c>
      <c r="W1445" s="119" t="s">
        <v>112</v>
      </c>
      <c r="X1445" s="119" t="s">
        <v>112</v>
      </c>
      <c r="Y1445" s="119" t="s">
        <v>112</v>
      </c>
      <c r="Z1445" s="119" t="s">
        <v>112</v>
      </c>
      <c r="AA1445" s="119" t="s">
        <v>112</v>
      </c>
      <c r="AB1445" s="119" t="s">
        <v>112</v>
      </c>
      <c r="AC1445" s="119" t="s">
        <v>112</v>
      </c>
      <c r="AD1445" s="119" t="s">
        <v>112</v>
      </c>
      <c r="AE1445" s="119">
        <v>62.572820625000006</v>
      </c>
      <c r="AF1445" s="119">
        <v>62.572820625000006</v>
      </c>
      <c r="AG1445" s="119">
        <v>62.572820625000006</v>
      </c>
      <c r="AH1445" s="119">
        <v>62.572820625000006</v>
      </c>
      <c r="AI1445" s="119">
        <v>62.572820625000006</v>
      </c>
      <c r="AJ1445" s="119">
        <v>62.572820625000006</v>
      </c>
      <c r="AK1445" s="119">
        <v>62.572820625000006</v>
      </c>
      <c r="AL1445" s="119">
        <v>62.572820625000006</v>
      </c>
      <c r="AM1445" s="119">
        <v>62.572820625000006</v>
      </c>
      <c r="AN1445" s="119">
        <v>62.572820625000006</v>
      </c>
      <c r="AO1445" s="119">
        <v>62.572820625000006</v>
      </c>
      <c r="AP1445" s="119">
        <v>62.572820625000006</v>
      </c>
      <c r="AQ1445" s="119">
        <v>62.572820625000006</v>
      </c>
      <c r="AR1445" s="119">
        <v>62.572820625000006</v>
      </c>
      <c r="AS1445" s="119">
        <v>62.572820625000006</v>
      </c>
      <c r="AT1445" s="119">
        <v>62.572820625000006</v>
      </c>
      <c r="AU1445" s="119">
        <v>62.572820625000006</v>
      </c>
      <c r="AV1445" s="119">
        <v>62.572820625000006</v>
      </c>
      <c r="AW1445" s="119">
        <v>62.572820625000006</v>
      </c>
      <c r="AX1445" s="120">
        <v>62.572820625000006</v>
      </c>
    </row>
    <row r="1446" spans="1:50" x14ac:dyDescent="0.25">
      <c r="A1446" s="357"/>
      <c r="B1446" s="362"/>
      <c r="C1446" s="354"/>
      <c r="D1446" s="4" t="s">
        <v>8</v>
      </c>
      <c r="E1446" s="168" t="str">
        <f>A1419&amp;"/"&amp;B1435&amp;"/"&amp;C1445&amp;"/"&amp;D1446</f>
        <v>Fuel oil fired power plants/Steam turbine/CHP with CCS/M</v>
      </c>
      <c r="F1446" s="80" t="str">
        <f>A1419</f>
        <v>Fuel oil fired power plants</v>
      </c>
      <c r="G1446" s="80" t="str">
        <f>B1435</f>
        <v>Steam turbine</v>
      </c>
      <c r="H1446" s="80" t="str">
        <f>C1445</f>
        <v>CHP with CCS</v>
      </c>
      <c r="I1446" s="169" t="str">
        <f t="shared" si="101"/>
        <v>M</v>
      </c>
      <c r="J1446" s="127" t="s">
        <v>112</v>
      </c>
      <c r="K1446" s="127" t="s">
        <v>112</v>
      </c>
      <c r="L1446" s="127" t="s">
        <v>112</v>
      </c>
      <c r="M1446" s="127" t="s">
        <v>112</v>
      </c>
      <c r="N1446" s="127" t="s">
        <v>112</v>
      </c>
      <c r="O1446" s="127" t="s">
        <v>112</v>
      </c>
      <c r="P1446" s="127" t="s">
        <v>112</v>
      </c>
      <c r="Q1446" s="127" t="s">
        <v>112</v>
      </c>
      <c r="R1446" s="127" t="s">
        <v>112</v>
      </c>
      <c r="S1446" s="127" t="s">
        <v>112</v>
      </c>
      <c r="T1446" s="127" t="s">
        <v>112</v>
      </c>
      <c r="U1446" s="127" t="s">
        <v>112</v>
      </c>
      <c r="V1446" s="127" t="s">
        <v>112</v>
      </c>
      <c r="W1446" s="127" t="s">
        <v>112</v>
      </c>
      <c r="X1446" s="127" t="s">
        <v>112</v>
      </c>
      <c r="Y1446" s="127" t="s">
        <v>112</v>
      </c>
      <c r="Z1446" s="127" t="s">
        <v>112</v>
      </c>
      <c r="AA1446" s="127" t="s">
        <v>112</v>
      </c>
      <c r="AB1446" s="127" t="s">
        <v>112</v>
      </c>
      <c r="AC1446" s="127" t="s">
        <v>112</v>
      </c>
      <c r="AD1446" s="127" t="s">
        <v>112</v>
      </c>
      <c r="AE1446" s="127">
        <v>72.213400546875008</v>
      </c>
      <c r="AF1446" s="127">
        <v>72.213400546875008</v>
      </c>
      <c r="AG1446" s="127">
        <v>72.213400546875008</v>
      </c>
      <c r="AH1446" s="127">
        <v>72.213400546875008</v>
      </c>
      <c r="AI1446" s="127">
        <v>72.213400546875008</v>
      </c>
      <c r="AJ1446" s="127">
        <v>72.213400546875008</v>
      </c>
      <c r="AK1446" s="127">
        <v>72.213400546875008</v>
      </c>
      <c r="AL1446" s="127">
        <v>72.213400546875008</v>
      </c>
      <c r="AM1446" s="127">
        <v>72.213400546875008</v>
      </c>
      <c r="AN1446" s="127">
        <v>72.213400546875008</v>
      </c>
      <c r="AO1446" s="127">
        <v>72.213400546875008</v>
      </c>
      <c r="AP1446" s="127">
        <v>72.213400546875008</v>
      </c>
      <c r="AQ1446" s="127">
        <v>72.213400546875008</v>
      </c>
      <c r="AR1446" s="127">
        <v>72.213400546875008</v>
      </c>
      <c r="AS1446" s="127">
        <v>72.213400546875008</v>
      </c>
      <c r="AT1446" s="127">
        <v>72.213400546875008</v>
      </c>
      <c r="AU1446" s="127">
        <v>72.213400546875008</v>
      </c>
      <c r="AV1446" s="127">
        <v>72.213400546875008</v>
      </c>
      <c r="AW1446" s="127">
        <v>72.213400546875008</v>
      </c>
      <c r="AX1446" s="128">
        <v>72.213400546875008</v>
      </c>
    </row>
    <row r="1447" spans="1:50" x14ac:dyDescent="0.25">
      <c r="A1447" s="355" t="s">
        <v>30</v>
      </c>
      <c r="B1447" s="358" t="s">
        <v>13</v>
      </c>
      <c r="C1447" s="353" t="s">
        <v>6</v>
      </c>
      <c r="D1447" s="3" t="s">
        <v>7</v>
      </c>
      <c r="E1447" s="162" t="str">
        <f>A1447&amp;"/"&amp;B1447&amp;"/"&amp;C1447&amp;"/"&amp;D1447</f>
        <v>Biomass and waste fired power plants/Integrated gasification combined cycle/Electricity only/L</v>
      </c>
      <c r="F1447" s="77" t="str">
        <f>A1447</f>
        <v>Biomass and waste fired power plants</v>
      </c>
      <c r="G1447" s="77" t="str">
        <f>B1447</f>
        <v>Integrated gasification combined cycle</v>
      </c>
      <c r="H1447" s="77" t="str">
        <f>C1447</f>
        <v>Electricity only</v>
      </c>
      <c r="I1447" s="163" t="str">
        <f t="shared" si="101"/>
        <v>L</v>
      </c>
      <c r="J1447" s="121">
        <v>81.587837837837839</v>
      </c>
      <c r="K1447" s="121">
        <v>81.587267186166727</v>
      </c>
      <c r="L1447" s="121">
        <v>81.586534490933175</v>
      </c>
      <c r="M1447" s="121">
        <v>81.585593751006769</v>
      </c>
      <c r="N1447" s="121">
        <v>81.584385914915757</v>
      </c>
      <c r="O1447" s="121">
        <v>81.582835184040093</v>
      </c>
      <c r="P1447" s="121">
        <v>81.580844272182532</v>
      </c>
      <c r="Q1447" s="121">
        <v>81.578288329224463</v>
      </c>
      <c r="R1447" s="121">
        <v>81.575007156220877</v>
      </c>
      <c r="S1447" s="121">
        <v>81.57079523783446</v>
      </c>
      <c r="T1447" s="121">
        <v>81.565388990565992</v>
      </c>
      <c r="U1447" s="121">
        <v>81.558450466238497</v>
      </c>
      <c r="V1447" s="121">
        <v>81.549546553637796</v>
      </c>
      <c r="W1447" s="121">
        <v>81.538122481277938</v>
      </c>
      <c r="X1447" s="121">
        <v>81.523468136501947</v>
      </c>
      <c r="Y1447" s="121">
        <v>81.504675379735531</v>
      </c>
      <c r="Z1447" s="121">
        <v>81.480584154471998</v>
      </c>
      <c r="AA1447" s="121">
        <v>81.449714794613826</v>
      </c>
      <c r="AB1447" s="121">
        <v>81.410183557703164</v>
      </c>
      <c r="AC1447" s="121">
        <v>81.359598155075346</v>
      </c>
      <c r="AD1447" s="121">
        <v>81.294930068276642</v>
      </c>
      <c r="AE1447" s="121">
        <v>81.212361006287111</v>
      </c>
      <c r="AF1447" s="121">
        <v>81.107102408345852</v>
      </c>
      <c r="AG1447" s="121">
        <v>80.973190108875187</v>
      </c>
      <c r="AH1447" s="121">
        <v>80.803262143304167</v>
      </c>
      <c r="AI1447" s="121">
        <v>80.588337530992234</v>
      </c>
      <c r="AJ1447" s="121">
        <v>80.317629351263378</v>
      </c>
      <c r="AK1447" s="121">
        <v>79.978448088462017</v>
      </c>
      <c r="AL1447" s="121">
        <v>79.556281637167004</v>
      </c>
      <c r="AM1447" s="121">
        <v>79.035174264315017</v>
      </c>
      <c r="AN1447" s="121">
        <v>78.39855999331715</v>
      </c>
      <c r="AO1447" s="121">
        <v>77.630718002488265</v>
      </c>
      <c r="AP1447" s="121">
        <v>76.718977198861694</v>
      </c>
      <c r="AQ1447" s="121">
        <v>75.656662370394287</v>
      </c>
      <c r="AR1447" s="121">
        <v>74.446510811616648</v>
      </c>
      <c r="AS1447" s="121">
        <v>73.103908314234886</v>
      </c>
      <c r="AT1447" s="121">
        <v>71.658908409788779</v>
      </c>
      <c r="AU1447" s="121">
        <v>70.155842557288082</v>
      </c>
      <c r="AV1447" s="121">
        <v>68.649679231473982</v>
      </c>
      <c r="AW1447" s="121">
        <v>67.199254972153938</v>
      </c>
      <c r="AX1447" s="122">
        <v>65.858788605616368</v>
      </c>
    </row>
    <row r="1448" spans="1:50" x14ac:dyDescent="0.25">
      <c r="A1448" s="356"/>
      <c r="B1448" s="359"/>
      <c r="C1448" s="360"/>
      <c r="D1448" s="2" t="s">
        <v>8</v>
      </c>
      <c r="E1448" s="160" t="str">
        <f>A1447&amp;"/"&amp;B1447&amp;"/"&amp;C1447&amp;"/"&amp;D1448</f>
        <v>Biomass and waste fired power plants/Integrated gasification combined cycle/Electricity only/M</v>
      </c>
      <c r="F1448" s="76" t="str">
        <f>A1447</f>
        <v>Biomass and waste fired power plants</v>
      </c>
      <c r="G1448" s="76" t="str">
        <f>B1447</f>
        <v>Integrated gasification combined cycle</v>
      </c>
      <c r="H1448" s="76" t="str">
        <f>C1447</f>
        <v>Electricity only</v>
      </c>
      <c r="I1448" s="161" t="str">
        <f t="shared" si="101"/>
        <v>M</v>
      </c>
      <c r="J1448" s="119">
        <v>87.706925675675677</v>
      </c>
      <c r="K1448" s="119">
        <v>87.70364578650755</v>
      </c>
      <c r="L1448" s="119">
        <v>87.699640579565838</v>
      </c>
      <c r="M1448" s="119">
        <v>87.694749889421118</v>
      </c>
      <c r="N1448" s="119">
        <v>87.688778296744317</v>
      </c>
      <c r="O1448" s="119">
        <v>87.681487424602921</v>
      </c>
      <c r="P1448" s="119">
        <v>87.672586578875965</v>
      </c>
      <c r="Q1448" s="119">
        <v>87.661721390444001</v>
      </c>
      <c r="R1448" s="119">
        <v>87.648460052796338</v>
      </c>
      <c r="S1448" s="119">
        <v>87.632276676178932</v>
      </c>
      <c r="T1448" s="119">
        <v>87.612531199182371</v>
      </c>
      <c r="U1448" s="119">
        <v>87.588445212956955</v>
      </c>
      <c r="V1448" s="119">
        <v>87.559072966522251</v>
      </c>
      <c r="W1448" s="119">
        <v>87.523266741919713</v>
      </c>
      <c r="X1448" s="119">
        <v>87.479635728585976</v>
      </c>
      <c r="Y1448" s="119">
        <v>87.42649750853451</v>
      </c>
      <c r="Z1448" s="119">
        <v>87.361821320363944</v>
      </c>
      <c r="AA1448" s="119">
        <v>87.283162449441463</v>
      </c>
      <c r="AB1448" s="119">
        <v>87.187587464426898</v>
      </c>
      <c r="AC1448" s="119">
        <v>87.071590685943733</v>
      </c>
      <c r="AD1448" s="119">
        <v>86.931003366714378</v>
      </c>
      <c r="AE1448" s="119">
        <v>86.760898759566885</v>
      </c>
      <c r="AF1448" s="119">
        <v>86.555498765477466</v>
      </c>
      <c r="AG1448" s="119">
        <v>86.308091427431663</v>
      </c>
      <c r="AH1448" s="119">
        <v>86.010973388750884</v>
      </c>
      <c r="AI1448" s="119">
        <v>85.655437682759327</v>
      </c>
      <c r="AJ1448" s="119">
        <v>85.231834717899318</v>
      </c>
      <c r="AK1448" s="119">
        <v>84.729742409162</v>
      </c>
      <c r="AL1448" s="119">
        <v>84.138288559973219</v>
      </c>
      <c r="AM1448" s="119">
        <v>83.446672026747379</v>
      </c>
      <c r="AN1448" s="119">
        <v>82.644924533216198</v>
      </c>
      <c r="AO1448" s="119">
        <v>81.724936413943013</v>
      </c>
      <c r="AP1448" s="119">
        <v>80.68173082667532</v>
      </c>
      <c r="AQ1448" s="119">
        <v>79.514908061720362</v>
      </c>
      <c r="AR1448" s="119">
        <v>78.230097099995859</v>
      </c>
      <c r="AS1448" s="119">
        <v>76.840160104210881</v>
      </c>
      <c r="AT1448" s="119">
        <v>75.365826987844031</v>
      </c>
      <c r="AU1448" s="119">
        <v>73.835433407463768</v>
      </c>
      <c r="AV1448" s="119">
        <v>72.283535468599723</v>
      </c>
      <c r="AW1448" s="119">
        <v>70.748389492788363</v>
      </c>
      <c r="AX1448" s="120">
        <v>69.268575689107337</v>
      </c>
    </row>
    <row r="1449" spans="1:50" x14ac:dyDescent="0.25">
      <c r="A1449" s="356"/>
      <c r="B1449" s="359"/>
      <c r="C1449" s="361" t="s">
        <v>14</v>
      </c>
      <c r="D1449" s="58" t="s">
        <v>7</v>
      </c>
      <c r="E1449" s="164" t="str">
        <f>A1447&amp;"/"&amp;B1447&amp;"/"&amp;C1449&amp;"/"&amp;D1449</f>
        <v>Biomass and waste fired power plants/Integrated gasification combined cycle/CHP/L</v>
      </c>
      <c r="F1449" s="78" t="str">
        <f>A1447</f>
        <v>Biomass and waste fired power plants</v>
      </c>
      <c r="G1449" s="78" t="str">
        <f>B1447</f>
        <v>Integrated gasification combined cycle</v>
      </c>
      <c r="H1449" s="78" t="str">
        <f>C1449</f>
        <v>CHP</v>
      </c>
      <c r="I1449" s="165" t="str">
        <f t="shared" si="101"/>
        <v>L</v>
      </c>
      <c r="J1449" s="123">
        <v>87.627702702702706</v>
      </c>
      <c r="K1449" s="123">
        <v>87.627136952146941</v>
      </c>
      <c r="L1449" s="123">
        <v>87.626410549760749</v>
      </c>
      <c r="M1449" s="123">
        <v>87.625477889500345</v>
      </c>
      <c r="N1449" s="123">
        <v>87.624280427065116</v>
      </c>
      <c r="O1449" s="123">
        <v>87.622743014841248</v>
      </c>
      <c r="P1449" s="123">
        <v>87.620769202186537</v>
      </c>
      <c r="Q1449" s="123">
        <v>87.618235211273671</v>
      </c>
      <c r="R1449" s="123">
        <v>87.614982219046908</v>
      </c>
      <c r="S1449" s="123">
        <v>87.6108064752639</v>
      </c>
      <c r="T1449" s="123">
        <v>87.605446660246216</v>
      </c>
      <c r="U1449" s="123">
        <v>87.598567728328334</v>
      </c>
      <c r="V1449" s="123">
        <v>87.589740288127501</v>
      </c>
      <c r="W1449" s="123">
        <v>87.578414332884094</v>
      </c>
      <c r="X1449" s="123">
        <v>87.563885848835142</v>
      </c>
      <c r="Y1449" s="123">
        <v>87.54525449608002</v>
      </c>
      <c r="Z1449" s="123">
        <v>87.521370181406709</v>
      </c>
      <c r="AA1449" s="123">
        <v>87.490765947020478</v>
      </c>
      <c r="AB1449" s="123">
        <v>87.451574229228186</v>
      </c>
      <c r="AC1449" s="123">
        <v>87.401423285844331</v>
      </c>
      <c r="AD1449" s="123">
        <v>87.337310609235928</v>
      </c>
      <c r="AE1449" s="123">
        <v>87.255450702267098</v>
      </c>
      <c r="AF1449" s="123">
        <v>87.151096131347614</v>
      </c>
      <c r="AG1449" s="123">
        <v>87.018333954903838</v>
      </c>
      <c r="AH1449" s="123">
        <v>86.849865437545489</v>
      </c>
      <c r="AI1449" s="123">
        <v>86.636786732940649</v>
      </c>
      <c r="AJ1449" s="123">
        <v>86.368403565270469</v>
      </c>
      <c r="AK1449" s="123">
        <v>86.032135404418497</v>
      </c>
      <c r="AL1449" s="123">
        <v>85.613594784049667</v>
      </c>
      <c r="AM1449" s="123">
        <v>85.096963008968515</v>
      </c>
      <c r="AN1449" s="123">
        <v>84.465816381609201</v>
      </c>
      <c r="AO1449" s="123">
        <v>83.704569100587833</v>
      </c>
      <c r="AP1449" s="123">
        <v>82.800658900251278</v>
      </c>
      <c r="AQ1449" s="123">
        <v>81.747467899474529</v>
      </c>
      <c r="AR1449" s="123">
        <v>80.547709883181625</v>
      </c>
      <c r="AS1449" s="123">
        <v>79.216638500225542</v>
      </c>
      <c r="AT1449" s="123">
        <v>77.784049163520621</v>
      </c>
      <c r="AU1449" s="123">
        <v>76.293892585632719</v>
      </c>
      <c r="AV1449" s="123">
        <v>74.800665137479783</v>
      </c>
      <c r="AW1449" s="123">
        <v>73.362698033671222</v>
      </c>
      <c r="AX1449" s="124">
        <v>72.033744435124518</v>
      </c>
    </row>
    <row r="1450" spans="1:50" x14ac:dyDescent="0.25">
      <c r="A1450" s="356"/>
      <c r="B1450" s="359"/>
      <c r="C1450" s="360"/>
      <c r="D1450" s="59" t="s">
        <v>8</v>
      </c>
      <c r="E1450" s="166" t="str">
        <f>A1447&amp;"/"&amp;B1447&amp;"/"&amp;C1449&amp;"/"&amp;D1450</f>
        <v>Biomass and waste fired power plants/Integrated gasification combined cycle/CHP/M</v>
      </c>
      <c r="F1450" s="79" t="str">
        <f>A1447</f>
        <v>Biomass and waste fired power plants</v>
      </c>
      <c r="G1450" s="79" t="str">
        <f>B1447</f>
        <v>Integrated gasification combined cycle</v>
      </c>
      <c r="H1450" s="79" t="str">
        <f>C1449</f>
        <v>CHP</v>
      </c>
      <c r="I1450" s="167" t="str">
        <f t="shared" si="101"/>
        <v>M</v>
      </c>
      <c r="J1450" s="125">
        <v>93.563217905405409</v>
      </c>
      <c r="K1450" s="125">
        <v>93.559944749180019</v>
      </c>
      <c r="L1450" s="125">
        <v>93.555947764110329</v>
      </c>
      <c r="M1450" s="125">
        <v>93.551067113553827</v>
      </c>
      <c r="N1450" s="125">
        <v>93.545107779337428</v>
      </c>
      <c r="O1450" s="125">
        <v>93.537831873867816</v>
      </c>
      <c r="P1450" s="125">
        <v>93.528949299759645</v>
      </c>
      <c r="Q1450" s="125">
        <v>93.518106415340924</v>
      </c>
      <c r="R1450" s="125">
        <v>93.504872300511607</v>
      </c>
      <c r="S1450" s="125">
        <v>93.488722145061871</v>
      </c>
      <c r="T1450" s="125">
        <v>93.469017201497721</v>
      </c>
      <c r="U1450" s="125">
        <v>93.44498065888385</v>
      </c>
      <c r="V1450" s="125">
        <v>93.41566870767349</v>
      </c>
      <c r="W1450" s="125">
        <v>93.379935985938687</v>
      </c>
      <c r="X1450" s="125">
        <v>93.336394538166232</v>
      </c>
      <c r="Y1450" s="125">
        <v>93.283365400030092</v>
      </c>
      <c r="Z1450" s="125">
        <v>93.218821978867453</v>
      </c>
      <c r="AA1450" s="125">
        <v>93.14032457854546</v>
      </c>
      <c r="AB1450" s="125">
        <v>93.044945789459433</v>
      </c>
      <c r="AC1450" s="125">
        <v>92.92918712867683</v>
      </c>
      <c r="AD1450" s="125">
        <v>92.788888406506999</v>
      </c>
      <c r="AE1450" s="125">
        <v>92.619132989383928</v>
      </c>
      <c r="AF1450" s="125">
        <v>92.414154639541252</v>
      </c>
      <c r="AG1450" s="125">
        <v>92.167255178241788</v>
      </c>
      <c r="AH1450" s="125">
        <v>91.870747062225163</v>
      </c>
      <c r="AI1450" s="125">
        <v>91.515941198440359</v>
      </c>
      <c r="AJ1450" s="125">
        <v>91.093207803970699</v>
      </c>
      <c r="AK1450" s="125">
        <v>90.592146188219829</v>
      </c>
      <c r="AL1450" s="125">
        <v>90.001906473013079</v>
      </c>
      <c r="AM1450" s="125">
        <v>89.311709687307143</v>
      </c>
      <c r="AN1450" s="125">
        <v>88.511608017669474</v>
      </c>
      <c r="AO1450" s="125">
        <v>87.593508446150636</v>
      </c>
      <c r="AP1450" s="125">
        <v>86.552444346938998</v>
      </c>
      <c r="AQ1450" s="125">
        <v>85.388016830864188</v>
      </c>
      <c r="AR1450" s="125">
        <v>84.105843323695538</v>
      </c>
      <c r="AS1450" s="125">
        <v>82.718759584748398</v>
      </c>
      <c r="AT1450" s="125">
        <v>81.247452973221911</v>
      </c>
      <c r="AU1450" s="125">
        <v>79.720200978367501</v>
      </c>
      <c r="AV1450" s="125">
        <v>78.171488769086253</v>
      </c>
      <c r="AW1450" s="125">
        <v>76.639494134498179</v>
      </c>
      <c r="AX1450" s="126">
        <v>75.162718086389432</v>
      </c>
    </row>
    <row r="1451" spans="1:50" x14ac:dyDescent="0.25">
      <c r="A1451" s="356"/>
      <c r="B1451" s="359"/>
      <c r="C1451" s="361" t="s">
        <v>15</v>
      </c>
      <c r="D1451" s="58" t="s">
        <v>7</v>
      </c>
      <c r="E1451" s="164" t="str">
        <f>A1447&amp;"/"&amp;B1447&amp;"/"&amp;C1451&amp;"/"&amp;D1451</f>
        <v>Biomass and waste fired power plants/Integrated gasification combined cycle/Electricity only with CCS/L</v>
      </c>
      <c r="F1451" s="78" t="str">
        <f>A1447</f>
        <v>Biomass and waste fired power plants</v>
      </c>
      <c r="G1451" s="78" t="str">
        <f>B1447</f>
        <v>Integrated gasification combined cycle</v>
      </c>
      <c r="H1451" s="78" t="str">
        <f>C1451</f>
        <v>Electricity only with CCS</v>
      </c>
      <c r="I1451" s="165" t="str">
        <f t="shared" si="101"/>
        <v>L</v>
      </c>
      <c r="J1451" s="123" t="s">
        <v>112</v>
      </c>
      <c r="K1451" s="123" t="s">
        <v>112</v>
      </c>
      <c r="L1451" s="123" t="s">
        <v>112</v>
      </c>
      <c r="M1451" s="123" t="s">
        <v>112</v>
      </c>
      <c r="N1451" s="123" t="s">
        <v>112</v>
      </c>
      <c r="O1451" s="123" t="s">
        <v>112</v>
      </c>
      <c r="P1451" s="123" t="s">
        <v>112</v>
      </c>
      <c r="Q1451" s="123" t="s">
        <v>112</v>
      </c>
      <c r="R1451" s="123" t="s">
        <v>112</v>
      </c>
      <c r="S1451" s="123" t="s">
        <v>112</v>
      </c>
      <c r="T1451" s="123" t="s">
        <v>112</v>
      </c>
      <c r="U1451" s="123" t="s">
        <v>112</v>
      </c>
      <c r="V1451" s="123" t="s">
        <v>112</v>
      </c>
      <c r="W1451" s="123" t="s">
        <v>112</v>
      </c>
      <c r="X1451" s="123" t="s">
        <v>112</v>
      </c>
      <c r="Y1451" s="123" t="s">
        <v>112</v>
      </c>
      <c r="Z1451" s="123" t="s">
        <v>112</v>
      </c>
      <c r="AA1451" s="123" t="s">
        <v>112</v>
      </c>
      <c r="AB1451" s="123" t="s">
        <v>112</v>
      </c>
      <c r="AC1451" s="123" t="s">
        <v>112</v>
      </c>
      <c r="AD1451" s="123" t="s">
        <v>112</v>
      </c>
      <c r="AE1451" s="123">
        <v>111.32073714841694</v>
      </c>
      <c r="AF1451" s="123">
        <v>111.3044075475123</v>
      </c>
      <c r="AG1451" s="123">
        <v>111.28238573519695</v>
      </c>
      <c r="AH1451" s="123">
        <v>111.25269731686329</v>
      </c>
      <c r="AI1451" s="123">
        <v>111.21269108962926</v>
      </c>
      <c r="AJ1451" s="123">
        <v>111.15881359802275</v>
      </c>
      <c r="AK1451" s="123">
        <v>111.08631395868467</v>
      </c>
      <c r="AL1451" s="123">
        <v>110.98886181230398</v>
      </c>
      <c r="AM1451" s="123">
        <v>110.85806085490725</v>
      </c>
      <c r="AN1451" s="123">
        <v>110.68284392753229</v>
      </c>
      <c r="AO1451" s="123">
        <v>110.44874711846215</v>
      </c>
      <c r="AP1451" s="123">
        <v>110.13708641752534</v>
      </c>
      <c r="AQ1451" s="123">
        <v>109.72411129167752</v>
      </c>
      <c r="AR1451" s="123">
        <v>109.18029859711149</v>
      </c>
      <c r="AS1451" s="123">
        <v>108.47009103374084</v>
      </c>
      <c r="AT1451" s="123">
        <v>107.55257978889614</v>
      </c>
      <c r="AU1451" s="123">
        <v>106.38384926149793</v>
      </c>
      <c r="AV1451" s="123">
        <v>104.92183542955817</v>
      </c>
      <c r="AW1451" s="123">
        <v>103.13437292200142</v>
      </c>
      <c r="AX1451" s="124">
        <v>101.0102907332268</v>
      </c>
    </row>
    <row r="1452" spans="1:50" x14ac:dyDescent="0.25">
      <c r="A1452" s="356"/>
      <c r="B1452" s="359"/>
      <c r="C1452" s="360"/>
      <c r="D1452" s="59" t="s">
        <v>8</v>
      </c>
      <c r="E1452" s="166" t="str">
        <f>A1447&amp;"/"&amp;B1447&amp;"/"&amp;C1451&amp;"/"&amp;D1452</f>
        <v>Biomass and waste fired power plants/Integrated gasification combined cycle/Electricity only with CCS/M</v>
      </c>
      <c r="F1452" s="79" t="str">
        <f>A1447</f>
        <v>Biomass and waste fired power plants</v>
      </c>
      <c r="G1452" s="79" t="str">
        <f>B1447</f>
        <v>Integrated gasification combined cycle</v>
      </c>
      <c r="H1452" s="79" t="str">
        <f>C1451</f>
        <v>Electricity only with CCS</v>
      </c>
      <c r="I1452" s="167" t="str">
        <f t="shared" si="101"/>
        <v>M</v>
      </c>
      <c r="J1452" s="125" t="s">
        <v>112</v>
      </c>
      <c r="K1452" s="125" t="s">
        <v>112</v>
      </c>
      <c r="L1452" s="125" t="s">
        <v>112</v>
      </c>
      <c r="M1452" s="125" t="s">
        <v>112</v>
      </c>
      <c r="N1452" s="125" t="s">
        <v>112</v>
      </c>
      <c r="O1452" s="125" t="s">
        <v>112</v>
      </c>
      <c r="P1452" s="125" t="s">
        <v>112</v>
      </c>
      <c r="Q1452" s="125" t="s">
        <v>112</v>
      </c>
      <c r="R1452" s="125" t="s">
        <v>112</v>
      </c>
      <c r="S1452" s="125" t="s">
        <v>112</v>
      </c>
      <c r="T1452" s="125" t="s">
        <v>112</v>
      </c>
      <c r="U1452" s="125" t="s">
        <v>112</v>
      </c>
      <c r="V1452" s="125" t="s">
        <v>112</v>
      </c>
      <c r="W1452" s="125" t="s">
        <v>112</v>
      </c>
      <c r="X1452" s="125" t="s">
        <v>112</v>
      </c>
      <c r="Y1452" s="125" t="s">
        <v>112</v>
      </c>
      <c r="Z1452" s="125" t="s">
        <v>112</v>
      </c>
      <c r="AA1452" s="125" t="s">
        <v>112</v>
      </c>
      <c r="AB1452" s="125" t="s">
        <v>112</v>
      </c>
      <c r="AC1452" s="125" t="s">
        <v>112</v>
      </c>
      <c r="AD1452" s="125" t="s">
        <v>112</v>
      </c>
      <c r="AE1452" s="125">
        <v>119.05562291279533</v>
      </c>
      <c r="AF1452" s="125">
        <v>119.04647607265774</v>
      </c>
      <c r="AG1452" s="125">
        <v>119.03350194791463</v>
      </c>
      <c r="AH1452" s="125">
        <v>119.01510257845473</v>
      </c>
      <c r="AI1452" s="125">
        <v>118.9890163461428</v>
      </c>
      <c r="AJ1452" s="125">
        <v>118.95204590340201</v>
      </c>
      <c r="AK1452" s="125">
        <v>118.89967815649804</v>
      </c>
      <c r="AL1452" s="125">
        <v>118.82555711432437</v>
      </c>
      <c r="AM1452" s="125">
        <v>118.72075992429001</v>
      </c>
      <c r="AN1452" s="125">
        <v>118.57281719049202</v>
      </c>
      <c r="AO1452" s="125">
        <v>118.36441633312283</v>
      </c>
      <c r="AP1452" s="125">
        <v>118.07174334426985</v>
      </c>
      <c r="AQ1452" s="125">
        <v>117.66247722837376</v>
      </c>
      <c r="AR1452" s="125">
        <v>117.09359391412832</v>
      </c>
      <c r="AS1452" s="125">
        <v>116.30942586738452</v>
      </c>
      <c r="AT1452" s="125">
        <v>115.24093513868117</v>
      </c>
      <c r="AU1452" s="125">
        <v>113.80792219424829</v>
      </c>
      <c r="AV1452" s="125">
        <v>111.92674463886524</v>
      </c>
      <c r="AW1452" s="125">
        <v>109.52641571820458</v>
      </c>
      <c r="AX1452" s="126">
        <v>106.57432697380099</v>
      </c>
    </row>
    <row r="1453" spans="1:50" x14ac:dyDescent="0.25">
      <c r="A1453" s="356"/>
      <c r="B1453" s="359"/>
      <c r="C1453" s="361" t="s">
        <v>16</v>
      </c>
      <c r="D1453" s="2" t="s">
        <v>7</v>
      </c>
      <c r="E1453" s="160" t="str">
        <f>A1447&amp;"/"&amp;B1447&amp;"/"&amp;C1453&amp;"/"&amp;D1453</f>
        <v>Biomass and waste fired power plants/Integrated gasification combined cycle/CHP with CCS/L</v>
      </c>
      <c r="F1453" s="76" t="str">
        <f>A1447</f>
        <v>Biomass and waste fired power plants</v>
      </c>
      <c r="G1453" s="76" t="str">
        <f>B1447</f>
        <v>Integrated gasification combined cycle</v>
      </c>
      <c r="H1453" s="76" t="str">
        <f>C1453</f>
        <v>CHP with CCS</v>
      </c>
      <c r="I1453" s="161" t="str">
        <f t="shared" si="101"/>
        <v>L</v>
      </c>
      <c r="J1453" s="119" t="s">
        <v>112</v>
      </c>
      <c r="K1453" s="119" t="s">
        <v>112</v>
      </c>
      <c r="L1453" s="119" t="s">
        <v>112</v>
      </c>
      <c r="M1453" s="119" t="s">
        <v>112</v>
      </c>
      <c r="N1453" s="119" t="s">
        <v>112</v>
      </c>
      <c r="O1453" s="119" t="s">
        <v>112</v>
      </c>
      <c r="P1453" s="119" t="s">
        <v>112</v>
      </c>
      <c r="Q1453" s="119" t="s">
        <v>112</v>
      </c>
      <c r="R1453" s="119" t="s">
        <v>112</v>
      </c>
      <c r="S1453" s="119" t="s">
        <v>112</v>
      </c>
      <c r="T1453" s="119" t="s">
        <v>112</v>
      </c>
      <c r="U1453" s="119" t="s">
        <v>112</v>
      </c>
      <c r="V1453" s="119" t="s">
        <v>112</v>
      </c>
      <c r="W1453" s="119" t="s">
        <v>112</v>
      </c>
      <c r="X1453" s="119" t="s">
        <v>112</v>
      </c>
      <c r="Y1453" s="119" t="s">
        <v>112</v>
      </c>
      <c r="Z1453" s="119" t="s">
        <v>112</v>
      </c>
      <c r="AA1453" s="119" t="s">
        <v>112</v>
      </c>
      <c r="AB1453" s="119" t="s">
        <v>112</v>
      </c>
      <c r="AC1453" s="119" t="s">
        <v>112</v>
      </c>
      <c r="AD1453" s="119" t="s">
        <v>112</v>
      </c>
      <c r="AE1453" s="119">
        <v>116.89241708101592</v>
      </c>
      <c r="AF1453" s="119">
        <v>116.87637685823326</v>
      </c>
      <c r="AG1453" s="119">
        <v>116.85474529615902</v>
      </c>
      <c r="AH1453" s="119">
        <v>116.82558298858534</v>
      </c>
      <c r="AI1453" s="119">
        <v>116.78628571480165</v>
      </c>
      <c r="AJ1453" s="119">
        <v>116.73336299039543</v>
      </c>
      <c r="AK1453" s="119">
        <v>116.66214812277947</v>
      </c>
      <c r="AL1453" s="119">
        <v>116.56642293343019</v>
      </c>
      <c r="AM1453" s="119">
        <v>116.43793990992695</v>
      </c>
      <c r="AN1453" s="119">
        <v>116.26582801528846</v>
      </c>
      <c r="AO1453" s="119">
        <v>116.03587965389715</v>
      </c>
      <c r="AP1453" s="119">
        <v>115.72974191637246</v>
      </c>
      <c r="AQ1453" s="119">
        <v>115.32408515470503</v>
      </c>
      <c r="AR1453" s="119">
        <v>114.78990940700491</v>
      </c>
      <c r="AS1453" s="119">
        <v>114.09228748685371</v>
      </c>
      <c r="AT1453" s="119">
        <v>113.19103552981861</v>
      </c>
      <c r="AU1453" s="119">
        <v>112.04301616658719</v>
      </c>
      <c r="AV1453" s="119">
        <v>110.60691079496191</v>
      </c>
      <c r="AW1453" s="119">
        <v>108.85112404889864</v>
      </c>
      <c r="AX1453" s="120">
        <v>106.76468288505163</v>
      </c>
    </row>
    <row r="1454" spans="1:50" x14ac:dyDescent="0.25">
      <c r="A1454" s="356"/>
      <c r="B1454" s="362"/>
      <c r="C1454" s="354"/>
      <c r="D1454" s="4" t="s">
        <v>8</v>
      </c>
      <c r="E1454" s="168" t="str">
        <f>A1447&amp;"/"&amp;B1447&amp;"/"&amp;C1453&amp;"/"&amp;D1454</f>
        <v>Biomass and waste fired power plants/Integrated gasification combined cycle/CHP with CCS/M</v>
      </c>
      <c r="F1454" s="80" t="str">
        <f>A1447</f>
        <v>Biomass and waste fired power plants</v>
      </c>
      <c r="G1454" s="80" t="str">
        <f>B1447</f>
        <v>Integrated gasification combined cycle</v>
      </c>
      <c r="H1454" s="80" t="str">
        <f>C1453</f>
        <v>CHP with CCS</v>
      </c>
      <c r="I1454" s="169" t="str">
        <f t="shared" si="101"/>
        <v>M</v>
      </c>
      <c r="J1454" s="127" t="s">
        <v>112</v>
      </c>
      <c r="K1454" s="127" t="s">
        <v>112</v>
      </c>
      <c r="L1454" s="127" t="s">
        <v>112</v>
      </c>
      <c r="M1454" s="127" t="s">
        <v>112</v>
      </c>
      <c r="N1454" s="127" t="s">
        <v>112</v>
      </c>
      <c r="O1454" s="127" t="s">
        <v>112</v>
      </c>
      <c r="P1454" s="127" t="s">
        <v>112</v>
      </c>
      <c r="Q1454" s="127" t="s">
        <v>112</v>
      </c>
      <c r="R1454" s="127" t="s">
        <v>112</v>
      </c>
      <c r="S1454" s="127" t="s">
        <v>112</v>
      </c>
      <c r="T1454" s="127" t="s">
        <v>112</v>
      </c>
      <c r="U1454" s="127" t="s">
        <v>112</v>
      </c>
      <c r="V1454" s="127" t="s">
        <v>112</v>
      </c>
      <c r="W1454" s="127" t="s">
        <v>112</v>
      </c>
      <c r="X1454" s="127" t="s">
        <v>112</v>
      </c>
      <c r="Y1454" s="127" t="s">
        <v>112</v>
      </c>
      <c r="Z1454" s="127" t="s">
        <v>112</v>
      </c>
      <c r="AA1454" s="127" t="s">
        <v>112</v>
      </c>
      <c r="AB1454" s="127" t="s">
        <v>112</v>
      </c>
      <c r="AC1454" s="127" t="s">
        <v>112</v>
      </c>
      <c r="AD1454" s="127" t="s">
        <v>112</v>
      </c>
      <c r="AE1454" s="127">
        <v>124.39680201553993</v>
      </c>
      <c r="AF1454" s="127">
        <v>124.38833724980951</v>
      </c>
      <c r="AG1454" s="127">
        <v>124.37633059780113</v>
      </c>
      <c r="AH1454" s="127">
        <v>124.3593032583349</v>
      </c>
      <c r="AI1454" s="127">
        <v>124.33516226078946</v>
      </c>
      <c r="AJ1454" s="127">
        <v>124.30094868188739</v>
      </c>
      <c r="AK1454" s="127">
        <v>124.25248596659935</v>
      </c>
      <c r="AL1454" s="127">
        <v>124.1838920862801</v>
      </c>
      <c r="AM1454" s="127">
        <v>124.08690956012832</v>
      </c>
      <c r="AN1454" s="127">
        <v>123.94999882764753</v>
      </c>
      <c r="AO1454" s="127">
        <v>123.75713829776848</v>
      </c>
      <c r="AP1454" s="127">
        <v>123.48628975892834</v>
      </c>
      <c r="AQ1454" s="127">
        <v>123.10754237290658</v>
      </c>
      <c r="AR1454" s="127">
        <v>122.58108034770304</v>
      </c>
      <c r="AS1454" s="127">
        <v>121.85538724394901</v>
      </c>
      <c r="AT1454" s="127">
        <v>120.8665732308495</v>
      </c>
      <c r="AU1454" s="127">
        <v>119.54041920597764</v>
      </c>
      <c r="AV1454" s="127">
        <v>117.79951993757844</v>
      </c>
      <c r="AW1454" s="127">
        <v>115.57818211120575</v>
      </c>
      <c r="AX1454" s="128">
        <v>112.84622886167035</v>
      </c>
    </row>
    <row r="1455" spans="1:50" x14ac:dyDescent="0.25">
      <c r="A1455" s="356"/>
      <c r="B1455" s="358" t="s">
        <v>18</v>
      </c>
      <c r="C1455" s="353" t="s">
        <v>6</v>
      </c>
      <c r="D1455" s="3" t="s">
        <v>7</v>
      </c>
      <c r="E1455" s="162" t="str">
        <f>A1447&amp;"/"&amp;B1455&amp;"/"&amp;C1455&amp;"/"&amp;D1455</f>
        <v>Biomass and waste fired power plants/Fluidized bed combustion/Electricity only/L</v>
      </c>
      <c r="F1455" s="77" t="str">
        <f>A1447</f>
        <v>Biomass and waste fired power plants</v>
      </c>
      <c r="G1455" s="77" t="str">
        <f>B1455</f>
        <v>Fluidized bed combustion</v>
      </c>
      <c r="H1455" s="77" t="str">
        <f>C1455</f>
        <v>Electricity only</v>
      </c>
      <c r="I1455" s="163" t="str">
        <f t="shared" si="101"/>
        <v>L</v>
      </c>
      <c r="J1455" s="121">
        <v>54.671428571428564</v>
      </c>
      <c r="K1455" s="121">
        <v>54.669475094374626</v>
      </c>
      <c r="L1455" s="121">
        <v>54.667089940567706</v>
      </c>
      <c r="M1455" s="121">
        <v>54.664177942423784</v>
      </c>
      <c r="N1455" s="121">
        <v>54.660623061582484</v>
      </c>
      <c r="O1455" s="121">
        <v>54.656283865808518</v>
      </c>
      <c r="P1455" s="121">
        <v>54.650988052202905</v>
      </c>
      <c r="Q1455" s="121">
        <v>54.64452582877454</v>
      </c>
      <c r="R1455" s="121">
        <v>54.636641935994575</v>
      </c>
      <c r="S1455" s="121">
        <v>54.627026058107148</v>
      </c>
      <c r="T1455" s="121">
        <v>54.615301342852632</v>
      </c>
      <c r="U1455" s="121">
        <v>54.601010721594527</v>
      </c>
      <c r="V1455" s="121">
        <v>54.583600705711284</v>
      </c>
      <c r="W1455" s="121">
        <v>54.562402339073564</v>
      </c>
      <c r="X1455" s="121">
        <v>54.536609025019871</v>
      </c>
      <c r="Y1455" s="121">
        <v>54.505251041002929</v>
      </c>
      <c r="Z1455" s="121">
        <v>54.467166736031039</v>
      </c>
      <c r="AA1455" s="121">
        <v>54.420970718570636</v>
      </c>
      <c r="AB1455" s="121">
        <v>54.365019844320557</v>
      </c>
      <c r="AC1455" s="121">
        <v>54.297378579845038</v>
      </c>
      <c r="AD1455" s="121">
        <v>54.215786440910023</v>
      </c>
      <c r="AE1455" s="121">
        <v>54.117631782974584</v>
      </c>
      <c r="AF1455" s="121">
        <v>53.999938342869612</v>
      </c>
      <c r="AG1455" s="121">
        <v>53.859373628715218</v>
      </c>
      <c r="AH1455" s="121">
        <v>53.692291435226444</v>
      </c>
      <c r="AI1455" s="121">
        <v>53.494824083812851</v>
      </c>
      <c r="AJ1455" s="121">
        <v>53.263042701390781</v>
      </c>
      <c r="AK1455" s="121">
        <v>52.993204609283367</v>
      </c>
      <c r="AL1455" s="121">
        <v>52.682103604947457</v>
      </c>
      <c r="AM1455" s="121">
        <v>52.327528825720456</v>
      </c>
      <c r="AN1455" s="121">
        <v>51.928818103142838</v>
      </c>
      <c r="AO1455" s="121">
        <v>51.487460583561628</v>
      </c>
      <c r="AP1455" s="121">
        <v>51.007662748259499</v>
      </c>
      <c r="AQ1455" s="121">
        <v>50.496749968962696</v>
      </c>
      <c r="AR1455" s="121">
        <v>49.965248613608452</v>
      </c>
      <c r="AS1455" s="121">
        <v>49.426503747759128</v>
      </c>
      <c r="AT1455" s="121">
        <v>48.895754442958093</v>
      </c>
      <c r="AU1455" s="121">
        <v>48.388715303063826</v>
      </c>
      <c r="AV1455" s="121">
        <v>47.919870959955368</v>
      </c>
      <c r="AW1455" s="121">
        <v>47.50082093663606</v>
      </c>
      <c r="AX1455" s="122">
        <v>47.139048398687422</v>
      </c>
    </row>
    <row r="1456" spans="1:50" x14ac:dyDescent="0.25">
      <c r="A1456" s="356"/>
      <c r="B1456" s="359"/>
      <c r="C1456" s="350"/>
      <c r="D1456" s="2" t="s">
        <v>8</v>
      </c>
      <c r="E1456" s="160" t="str">
        <f>A1447&amp;"/"&amp;B1455&amp;"/"&amp;C1455&amp;"/"&amp;D1456</f>
        <v>Biomass and waste fired power plants/Fluidized bed combustion/Electricity only/M</v>
      </c>
      <c r="F1456" s="76" t="str">
        <f>A1447</f>
        <v>Biomass and waste fired power plants</v>
      </c>
      <c r="G1456" s="76" t="str">
        <f>B1455</f>
        <v>Fluidized bed combustion</v>
      </c>
      <c r="H1456" s="76" t="str">
        <f>C1455</f>
        <v>Electricity only</v>
      </c>
      <c r="I1456" s="161" t="str">
        <f t="shared" si="101"/>
        <v>M</v>
      </c>
      <c r="J1456" s="119">
        <v>59.045142857142849</v>
      </c>
      <c r="K1456" s="119">
        <v>59.040876088694908</v>
      </c>
      <c r="L1456" s="119">
        <v>59.035796557876289</v>
      </c>
      <c r="M1456" s="119">
        <v>59.0297501809168</v>
      </c>
      <c r="N1456" s="119">
        <v>59.022553970603546</v>
      </c>
      <c r="O1456" s="119">
        <v>59.013990743171988</v>
      </c>
      <c r="P1456" s="119">
        <v>59.003802909839315</v>
      </c>
      <c r="Q1456" s="119">
        <v>58.991685217604747</v>
      </c>
      <c r="R1456" s="119">
        <v>58.977276294044493</v>
      </c>
      <c r="S1456" s="119">
        <v>58.960148845310002</v>
      </c>
      <c r="T1456" s="119">
        <v>58.939798358575118</v>
      </c>
      <c r="U1456" s="119">
        <v>58.915630174345161</v>
      </c>
      <c r="V1456" s="119">
        <v>58.886944826789531</v>
      </c>
      <c r="W1456" s="119">
        <v>58.852921610493709</v>
      </c>
      <c r="X1456" s="119">
        <v>58.812600431767208</v>
      </c>
      <c r="Y1456" s="119">
        <v>58.764862157718063</v>
      </c>
      <c r="Z1456" s="119">
        <v>58.70840790690589</v>
      </c>
      <c r="AA1456" s="119">
        <v>58.641738056270974</v>
      </c>
      <c r="AB1456" s="119">
        <v>58.563132198862469</v>
      </c>
      <c r="AC1456" s="119">
        <v>58.470631905956168</v>
      </c>
      <c r="AD1456" s="119">
        <v>58.362028952415301</v>
      </c>
      <c r="AE1456" s="119">
        <v>58.234862669867518</v>
      </c>
      <c r="AF1456" s="119">
        <v>58.086431284352841</v>
      </c>
      <c r="AG1456" s="119">
        <v>57.913823407009971</v>
      </c>
      <c r="AH1456" s="119">
        <v>57.713977125483552</v>
      </c>
      <c r="AI1456" s="119">
        <v>57.483775109536545</v>
      </c>
      <c r="AJ1456" s="119">
        <v>57.220184345841012</v>
      </c>
      <c r="AK1456" s="119">
        <v>56.920447906729244</v>
      </c>
      <c r="AL1456" s="119">
        <v>56.58233271522564</v>
      </c>
      <c r="AM1456" s="119">
        <v>56.204430720796722</v>
      </c>
      <c r="AN1456" s="119">
        <v>55.78650059570181</v>
      </c>
      <c r="AO1456" s="119">
        <v>55.329823035902429</v>
      </c>
      <c r="AP1456" s="119">
        <v>54.837526342346116</v>
      </c>
      <c r="AQ1456" s="119">
        <v>54.314823396622145</v>
      </c>
      <c r="AR1456" s="119">
        <v>53.769091719516972</v>
      </c>
      <c r="AS1456" s="119">
        <v>53.209731599806183</v>
      </c>
      <c r="AT1456" s="119">
        <v>52.647759087519447</v>
      </c>
      <c r="AU1456" s="119">
        <v>52.095132682023973</v>
      </c>
      <c r="AV1456" s="119">
        <v>51.563869254091642</v>
      </c>
      <c r="AW1456" s="119">
        <v>51.065062239433196</v>
      </c>
      <c r="AX1456" s="120">
        <v>50.607954318880182</v>
      </c>
    </row>
    <row r="1457" spans="1:50" x14ac:dyDescent="0.25">
      <c r="A1457" s="356"/>
      <c r="B1457" s="359"/>
      <c r="C1457" s="350"/>
      <c r="D1457" s="2" t="s">
        <v>10</v>
      </c>
      <c r="E1457" s="160" t="str">
        <f>A1447&amp;"/"&amp;B1455&amp;"/"&amp;C1455&amp;"/"&amp;D1457</f>
        <v>Biomass and waste fired power plants/Fluidized bed combustion/Electricity only/S</v>
      </c>
      <c r="F1457" s="76" t="str">
        <f>A1447</f>
        <v>Biomass and waste fired power plants</v>
      </c>
      <c r="G1457" s="76" t="str">
        <f>B1455</f>
        <v>Fluidized bed combustion</v>
      </c>
      <c r="H1457" s="76" t="str">
        <f>C1455</f>
        <v>Electricity only</v>
      </c>
      <c r="I1457" s="161" t="str">
        <f t="shared" si="101"/>
        <v>S</v>
      </c>
      <c r="J1457" s="119">
        <v>65.244882857142855</v>
      </c>
      <c r="K1457" s="119">
        <v>65.234265887835889</v>
      </c>
      <c r="L1457" s="119">
        <v>65.221946452291689</v>
      </c>
      <c r="M1457" s="119">
        <v>65.207654495620332</v>
      </c>
      <c r="N1457" s="119">
        <v>65.191078148228172</v>
      </c>
      <c r="O1457" s="119">
        <v>65.171857607608729</v>
      </c>
      <c r="P1457" s="119">
        <v>65.149578250169995</v>
      </c>
      <c r="Q1457" s="119">
        <v>65.123762921717557</v>
      </c>
      <c r="R1457" s="119">
        <v>65.093863370418504</v>
      </c>
      <c r="S1457" s="119">
        <v>65.059250810825574</v>
      </c>
      <c r="T1457" s="119">
        <v>65.019205645260442</v>
      </c>
      <c r="U1457" s="119">
        <v>64.972906423851782</v>
      </c>
      <c r="V1457" s="119">
        <v>64.919418202113391</v>
      </c>
      <c r="W1457" s="119">
        <v>64.85768056149854</v>
      </c>
      <c r="X1457" s="119">
        <v>64.78649570122144</v>
      </c>
      <c r="Y1457" s="119">
        <v>64.704517196808638</v>
      </c>
      <c r="Z1457" s="119">
        <v>64.610240260341257</v>
      </c>
      <c r="AA1457" s="119">
        <v>64.501994635947412</v>
      </c>
      <c r="AB1457" s="119">
        <v>64.37794162526933</v>
      </c>
      <c r="AC1457" s="119">
        <v>64.236077158342724</v>
      </c>
      <c r="AD1457" s="119">
        <v>64.074243291449804</v>
      </c>
      <c r="AE1457" s="119">
        <v>63.890150993528273</v>
      </c>
      <c r="AF1457" s="119">
        <v>63.681417519898098</v>
      </c>
      <c r="AG1457" s="119">
        <v>63.445621975688248</v>
      </c>
      <c r="AH1457" s="119">
        <v>63.180382708694822</v>
      </c>
      <c r="AI1457" s="119">
        <v>62.88345976375129</v>
      </c>
      <c r="AJ1457" s="119">
        <v>62.55288455849724</v>
      </c>
      <c r="AK1457" s="119">
        <v>62.187116965149421</v>
      </c>
      <c r="AL1457" s="119">
        <v>61.785226893962218</v>
      </c>
      <c r="AM1457" s="119">
        <v>61.347093168215856</v>
      </c>
      <c r="AN1457" s="119">
        <v>60.873607073555547</v>
      </c>
      <c r="AO1457" s="119">
        <v>60.366861921263457</v>
      </c>
      <c r="AP1457" s="119">
        <v>59.830304210969146</v>
      </c>
      <c r="AQ1457" s="119">
        <v>59.268817927840246</v>
      </c>
      <c r="AR1457" s="119">
        <v>58.688712930560911</v>
      </c>
      <c r="AS1457" s="119">
        <v>58.097593033373734</v>
      </c>
      <c r="AT1457" s="119">
        <v>57.504090395013222</v>
      </c>
      <c r="AU1457" s="119">
        <v>56.917470002186228</v>
      </c>
      <c r="AV1457" s="119">
        <v>56.347129280813213</v>
      </c>
      <c r="AW1457" s="119">
        <v>55.802039138849537</v>
      </c>
      <c r="AX1457" s="120">
        <v>55.29018877533327</v>
      </c>
    </row>
    <row r="1458" spans="1:50" x14ac:dyDescent="0.25">
      <c r="A1458" s="356"/>
      <c r="B1458" s="359"/>
      <c r="C1458" s="360"/>
      <c r="D1458" s="2" t="s">
        <v>20</v>
      </c>
      <c r="E1458" s="160" t="str">
        <f>A1447&amp;"/"&amp;B1455&amp;"/"&amp;C1455&amp;"/"&amp;D1458</f>
        <v>Biomass and waste fired power plants/Fluidized bed combustion/Electricity only/XS</v>
      </c>
      <c r="F1458" s="76" t="str">
        <f>A1447</f>
        <v>Biomass and waste fired power plants</v>
      </c>
      <c r="G1458" s="76" t="str">
        <f>B1455</f>
        <v>Fluidized bed combustion</v>
      </c>
      <c r="H1458" s="76" t="str">
        <f>C1455</f>
        <v>Electricity only</v>
      </c>
      <c r="I1458" s="161" t="str">
        <f t="shared" si="101"/>
        <v>XS</v>
      </c>
      <c r="J1458" s="119">
        <v>78.293859428571409</v>
      </c>
      <c r="K1458" s="119">
        <v>78.278452073379313</v>
      </c>
      <c r="L1458" s="119">
        <v>78.260576653509958</v>
      </c>
      <c r="M1458" s="119">
        <v>78.239842560989587</v>
      </c>
      <c r="N1458" s="119">
        <v>78.215799018029628</v>
      </c>
      <c r="O1458" s="119">
        <v>78.187926383000431</v>
      </c>
      <c r="P1458" s="119">
        <v>78.15562640249604</v>
      </c>
      <c r="Q1458" s="119">
        <v>78.118211355791345</v>
      </c>
      <c r="R1458" s="119">
        <v>78.074892066515801</v>
      </c>
      <c r="S1458" s="119">
        <v>78.024764800538293</v>
      </c>
      <c r="T1458" s="119">
        <v>77.966797134211163</v>
      </c>
      <c r="U1458" s="119">
        <v>77.899812969901063</v>
      </c>
      <c r="V1458" s="119">
        <v>77.822477004195761</v>
      </c>
      <c r="W1458" s="119">
        <v>77.7332791277571</v>
      </c>
      <c r="X1458" s="119">
        <v>77.630519465041516</v>
      </c>
      <c r="Y1458" s="119">
        <v>77.512295057998628</v>
      </c>
      <c r="Z1458" s="119">
        <v>77.376489570423544</v>
      </c>
      <c r="AA1458" s="119">
        <v>77.220767845661811</v>
      </c>
      <c r="AB1458" s="119">
        <v>77.042577689654735</v>
      </c>
      <c r="AC1458" s="119">
        <v>76.83916186118779</v>
      </c>
      <c r="AD1458" s="119">
        <v>76.607583898755422</v>
      </c>
      <c r="AE1458" s="119">
        <v>76.344772035512463</v>
      </c>
      <c r="AF1458" s="119">
        <v>76.047585945033219</v>
      </c>
      <c r="AG1458" s="119">
        <v>75.712911261510499</v>
      </c>
      <c r="AH1458" s="119">
        <v>75.337786506056403</v>
      </c>
      <c r="AI1458" s="119">
        <v>74.919565940964745</v>
      </c>
      <c r="AJ1458" s="119">
        <v>74.45611963805635</v>
      </c>
      <c r="AK1458" s="119">
        <v>73.946068364048486</v>
      </c>
      <c r="AL1458" s="119">
        <v>73.389045532618795</v>
      </c>
      <c r="AM1458" s="119">
        <v>72.785971466743561</v>
      </c>
      <c r="AN1458" s="119">
        <v>72.139316993803661</v>
      </c>
      <c r="AO1458" s="119">
        <v>71.453325001057749</v>
      </c>
      <c r="AP1458" s="119">
        <v>70.734151763886004</v>
      </c>
      <c r="AQ1458" s="119">
        <v>69.98988701231039</v>
      </c>
      <c r="AR1458" s="119">
        <v>69.230415463111257</v>
      </c>
      <c r="AS1458" s="119">
        <v>68.46709505573439</v>
      </c>
      <c r="AT1458" s="119">
        <v>67.712248995559804</v>
      </c>
      <c r="AU1458" s="119">
        <v>66.978497987470817</v>
      </c>
      <c r="AV1458" s="119">
        <v>66.277990769509444</v>
      </c>
      <c r="AW1458" s="119">
        <v>65.621617816492915</v>
      </c>
      <c r="AX1458" s="120">
        <v>65.018306874927333</v>
      </c>
    </row>
    <row r="1459" spans="1:50" x14ac:dyDescent="0.25">
      <c r="A1459" s="356"/>
      <c r="B1459" s="359"/>
      <c r="C1459" s="361" t="s">
        <v>14</v>
      </c>
      <c r="D1459" s="58" t="s">
        <v>7</v>
      </c>
      <c r="E1459" s="164" t="str">
        <f>A1447&amp;"/"&amp;B1455&amp;"/"&amp;C1459&amp;"/"&amp;D1459</f>
        <v>Biomass and waste fired power plants/Fluidized bed combustion/CHP/L</v>
      </c>
      <c r="F1459" s="78" t="str">
        <f>A1447</f>
        <v>Biomass and waste fired power plants</v>
      </c>
      <c r="G1459" s="78" t="str">
        <f>B1455</f>
        <v>Fluidized bed combustion</v>
      </c>
      <c r="H1459" s="78" t="str">
        <f>C1459</f>
        <v>CHP</v>
      </c>
      <c r="I1459" s="165" t="str">
        <f t="shared" si="101"/>
        <v>L</v>
      </c>
      <c r="J1459" s="123">
        <v>60.842095238095233</v>
      </c>
      <c r="K1459" s="123">
        <v>60.841395203779129</v>
      </c>
      <c r="L1459" s="123">
        <v>60.840540289197271</v>
      </c>
      <c r="M1459" s="123">
        <v>60.839496257139864</v>
      </c>
      <c r="N1459" s="123">
        <v>60.838221316574923</v>
      </c>
      <c r="O1459" s="123">
        <v>60.836664463170628</v>
      </c>
      <c r="P1459" s="123">
        <v>60.834763458761792</v>
      </c>
      <c r="Q1459" s="123">
        <v>60.832442372935056</v>
      </c>
      <c r="R1459" s="123">
        <v>60.829608594417415</v>
      </c>
      <c r="S1459" s="123">
        <v>60.826149201772587</v>
      </c>
      <c r="T1459" s="123">
        <v>60.821926561798122</v>
      </c>
      <c r="U1459" s="123">
        <v>60.816772999849491</v>
      </c>
      <c r="V1459" s="123">
        <v>60.810484359190255</v>
      </c>
      <c r="W1459" s="123">
        <v>60.80281223685671</v>
      </c>
      <c r="X1459" s="123">
        <v>60.793454652531835</v>
      </c>
      <c r="Y1459" s="123">
        <v>60.782044876642033</v>
      </c>
      <c r="Z1459" s="123">
        <v>60.768138117941163</v>
      </c>
      <c r="AA1459" s="123">
        <v>60.751195755149944</v>
      </c>
      <c r="AB1459" s="123">
        <v>60.730566801071667</v>
      </c>
      <c r="AC1459" s="123">
        <v>60.705466325160771</v>
      </c>
      <c r="AD1459" s="123">
        <v>60.674950652735255</v>
      </c>
      <c r="AE1459" s="123">
        <v>60.637889336087852</v>
      </c>
      <c r="AF1459" s="123">
        <v>60.592934196898291</v>
      </c>
      <c r="AG1459" s="123">
        <v>60.53848622761511</v>
      </c>
      <c r="AH1459" s="123">
        <v>60.472661885461349</v>
      </c>
      <c r="AI1459" s="123">
        <v>60.393261405414741</v>
      </c>
      <c r="AJ1459" s="123">
        <v>60.29774329471671</v>
      </c>
      <c r="AK1459" s="123">
        <v>60.183211236057076</v>
      </c>
      <c r="AL1459" s="123">
        <v>60.046422252128593</v>
      </c>
      <c r="AM1459" s="123">
        <v>59.883828078922576</v>
      </c>
      <c r="AN1459" s="123">
        <v>59.691664928153138</v>
      </c>
      <c r="AO1459" s="123">
        <v>59.466109460795735</v>
      </c>
      <c r="AP1459" s="123">
        <v>59.203519530836274</v>
      </c>
      <c r="AQ1459" s="123">
        <v>58.900775058027129</v>
      </c>
      <c r="AR1459" s="123">
        <v>58.5557245660249</v>
      </c>
      <c r="AS1459" s="123">
        <v>58.167723672978013</v>
      </c>
      <c r="AT1459" s="123">
        <v>57.738221525046363</v>
      </c>
      <c r="AU1459" s="123">
        <v>57.271311612577328</v>
      </c>
      <c r="AV1459" s="123">
        <v>56.774122539369905</v>
      </c>
      <c r="AW1459" s="123">
        <v>56.256897922986724</v>
      </c>
      <c r="AX1459" s="124">
        <v>55.732624365148652</v>
      </c>
    </row>
    <row r="1460" spans="1:50" x14ac:dyDescent="0.25">
      <c r="A1460" s="356"/>
      <c r="B1460" s="359"/>
      <c r="C1460" s="350"/>
      <c r="D1460" s="2" t="s">
        <v>8</v>
      </c>
      <c r="E1460" s="160" t="str">
        <f>A1447&amp;"/"&amp;B1455&amp;"/"&amp;C1459&amp;"/"&amp;D1460</f>
        <v>Biomass and waste fired power plants/Fluidized bed combustion/CHP/M</v>
      </c>
      <c r="F1460" s="76" t="str">
        <f>A1447</f>
        <v>Biomass and waste fired power plants</v>
      </c>
      <c r="G1460" s="76" t="str">
        <f>B1455</f>
        <v>Fluidized bed combustion</v>
      </c>
      <c r="H1460" s="76" t="str">
        <f>C1459</f>
        <v>CHP</v>
      </c>
      <c r="I1460" s="161" t="str">
        <f t="shared" si="101"/>
        <v>M</v>
      </c>
      <c r="J1460" s="119">
        <v>65.084598095238093</v>
      </c>
      <c r="K1460" s="119">
        <v>65.082854097208681</v>
      </c>
      <c r="L1460" s="119">
        <v>65.080777118846072</v>
      </c>
      <c r="M1460" s="119">
        <v>65.078303710236256</v>
      </c>
      <c r="N1460" s="119">
        <v>65.07535838363863</v>
      </c>
      <c r="O1460" s="119">
        <v>65.071851351690881</v>
      </c>
      <c r="P1460" s="119">
        <v>65.067675849883159</v>
      </c>
      <c r="Q1460" s="119">
        <v>65.062704970780075</v>
      </c>
      <c r="R1460" s="119">
        <v>65.056787926480027</v>
      </c>
      <c r="S1460" s="119">
        <v>65.049745643886425</v>
      </c>
      <c r="T1460" s="119">
        <v>65.041365584819076</v>
      </c>
      <c r="U1460" s="119">
        <v>65.03139567034718</v>
      </c>
      <c r="V1460" s="119">
        <v>65.019537176864745</v>
      </c>
      <c r="W1460" s="119">
        <v>65.005436461743372</v>
      </c>
      <c r="X1460" s="119">
        <v>64.988675370996305</v>
      </c>
      <c r="Y1460" s="119">
        <v>64.968760183381505</v>
      </c>
      <c r="Z1460" s="119">
        <v>64.945108959235412</v>
      </c>
      <c r="AA1460" s="119">
        <v>64.917037194377485</v>
      </c>
      <c r="AB1460" s="119">
        <v>64.883741738371072</v>
      </c>
      <c r="AC1460" s="119">
        <v>64.844283034033964</v>
      </c>
      <c r="AD1460" s="119">
        <v>64.79756588684819</v>
      </c>
      <c r="AE1460" s="119">
        <v>64.742319198588362</v>
      </c>
      <c r="AF1460" s="119">
        <v>64.677075423294809</v>
      </c>
      <c r="AG1460" s="119">
        <v>64.600150953708081</v>
      </c>
      <c r="AH1460" s="119">
        <v>64.509629252106933</v>
      </c>
      <c r="AI1460" s="119">
        <v>64.403349327529966</v>
      </c>
      <c r="AJ1460" s="119">
        <v>64.278903145568393</v>
      </c>
      <c r="AK1460" s="119">
        <v>64.133646723500462</v>
      </c>
      <c r="AL1460" s="119">
        <v>63.964730947388652</v>
      </c>
      <c r="AM1460" s="119">
        <v>63.769159399515189</v>
      </c>
      <c r="AN1460" s="119">
        <v>63.543881429675189</v>
      </c>
      <c r="AO1460" s="119">
        <v>63.285928901024988</v>
      </c>
      <c r="AP1460" s="119">
        <v>62.992603856878915</v>
      </c>
      <c r="AQ1460" s="119">
        <v>62.661720986020264</v>
      </c>
      <c r="AR1460" s="119">
        <v>62.291902356269283</v>
      </c>
      <c r="AS1460" s="119">
        <v>61.882911801911881</v>
      </c>
      <c r="AT1460" s="119">
        <v>61.436002624683937</v>
      </c>
      <c r="AU1460" s="119">
        <v>60.954236210836186</v>
      </c>
      <c r="AV1460" s="119">
        <v>60.442713937854911</v>
      </c>
      <c r="AW1460" s="119">
        <v>59.908655520556181</v>
      </c>
      <c r="AX1460" s="120">
        <v>59.361260174518414</v>
      </c>
    </row>
    <row r="1461" spans="1:50" x14ac:dyDescent="0.25">
      <c r="A1461" s="356"/>
      <c r="B1461" s="359"/>
      <c r="C1461" s="350"/>
      <c r="D1461" s="2" t="s">
        <v>10</v>
      </c>
      <c r="E1461" s="160" t="str">
        <f>A1447&amp;"/"&amp;B1455&amp;"/"&amp;C1459&amp;"/"&amp;D1461</f>
        <v>Biomass and waste fired power plants/Fluidized bed combustion/CHP/S</v>
      </c>
      <c r="F1461" s="76" t="str">
        <f>A1447</f>
        <v>Biomass and waste fired power plants</v>
      </c>
      <c r="G1461" s="76" t="str">
        <f>B1455</f>
        <v>Fluidized bed combustion</v>
      </c>
      <c r="H1461" s="76" t="str">
        <f>C1459</f>
        <v>CHP</v>
      </c>
      <c r="I1461" s="161" t="str">
        <f t="shared" si="101"/>
        <v>S</v>
      </c>
      <c r="J1461" s="119">
        <v>71.920536371428568</v>
      </c>
      <c r="K1461" s="119">
        <v>71.915553464565264</v>
      </c>
      <c r="L1461" s="119">
        <v>71.909767644567083</v>
      </c>
      <c r="M1461" s="119">
        <v>71.903050190207068</v>
      </c>
      <c r="N1461" s="119">
        <v>71.895251972463427</v>
      </c>
      <c r="O1461" s="119">
        <v>71.886200298784843</v>
      </c>
      <c r="P1461" s="119">
        <v>71.875695297330083</v>
      </c>
      <c r="Q1461" s="119">
        <v>71.863505784054524</v>
      </c>
      <c r="R1461" s="119">
        <v>71.849364552099999</v>
      </c>
      <c r="S1461" s="119">
        <v>71.832963020887604</v>
      </c>
      <c r="T1461" s="119">
        <v>71.813945182431979</v>
      </c>
      <c r="U1461" s="119">
        <v>71.791900785812004</v>
      </c>
      <c r="V1461" s="119">
        <v>71.766357708959561</v>
      </c>
      <c r="W1461" s="119">
        <v>71.736773481972392</v>
      </c>
      <c r="X1461" s="119">
        <v>71.702525950651207</v>
      </c>
      <c r="Y1461" s="119">
        <v>71.662903106282471</v>
      </c>
      <c r="Z1461" s="119">
        <v>71.617092162105322</v>
      </c>
      <c r="AA1461" s="119">
        <v>71.564168033672061</v>
      </c>
      <c r="AB1461" s="119">
        <v>71.503081485739145</v>
      </c>
      <c r="AC1461" s="119">
        <v>71.432647349673914</v>
      </c>
      <c r="AD1461" s="119">
        <v>71.351533400559447</v>
      </c>
      <c r="AE1461" s="119">
        <v>71.258250720153697</v>
      </c>
      <c r="AF1461" s="119">
        <v>71.151146667306719</v>
      </c>
      <c r="AG1461" s="119">
        <v>71.028401934797714</v>
      </c>
      <c r="AH1461" s="119">
        <v>70.888033587828502</v>
      </c>
      <c r="AI1461" s="119">
        <v>70.727906440618696</v>
      </c>
      <c r="AJ1461" s="119">
        <v>70.545755602506574</v>
      </c>
      <c r="AK1461" s="119">
        <v>70.339223457527865</v>
      </c>
      <c r="AL1461" s="119">
        <v>70.105914641863919</v>
      </c>
      <c r="AM1461" s="119">
        <v>69.84347262050521</v>
      </c>
      <c r="AN1461" s="119">
        <v>69.549681061125369</v>
      </c>
      <c r="AO1461" s="119">
        <v>69.222592142273484</v>
      </c>
      <c r="AP1461" s="119">
        <v>68.860681978541606</v>
      </c>
      <c r="AQ1461" s="119">
        <v>68.463030289023905</v>
      </c>
      <c r="AR1461" s="119">
        <v>68.029517174945113</v>
      </c>
      <c r="AS1461" s="119">
        <v>67.561024522343359</v>
      </c>
      <c r="AT1461" s="119">
        <v>67.059623566184897</v>
      </c>
      <c r="AU1461" s="119">
        <v>66.528724458894217</v>
      </c>
      <c r="AV1461" s="119">
        <v>65.973159678536135</v>
      </c>
      <c r="AW1461" s="119">
        <v>65.399172539256142</v>
      </c>
      <c r="AX1461" s="120">
        <v>64.814286664545122</v>
      </c>
    </row>
    <row r="1462" spans="1:50" x14ac:dyDescent="0.25">
      <c r="A1462" s="356"/>
      <c r="B1462" s="359"/>
      <c r="C1462" s="360"/>
      <c r="D1462" s="59" t="s">
        <v>20</v>
      </c>
      <c r="E1462" s="166" t="str">
        <f>A1447&amp;"/"&amp;B1455&amp;"/"&amp;C1459&amp;"/"&amp;D1462</f>
        <v>Biomass and waste fired power plants/Fluidized bed combustion/CHP/XS</v>
      </c>
      <c r="F1462" s="79" t="str">
        <f>A1447</f>
        <v>Biomass and waste fired power plants</v>
      </c>
      <c r="G1462" s="79" t="str">
        <f>B1455</f>
        <v>Fluidized bed combustion</v>
      </c>
      <c r="H1462" s="79" t="str">
        <f>C1459</f>
        <v>CHP</v>
      </c>
      <c r="I1462" s="167" t="str">
        <f t="shared" si="101"/>
        <v>XS</v>
      </c>
      <c r="J1462" s="125">
        <v>85.605781740952366</v>
      </c>
      <c r="K1462" s="125">
        <v>85.598570690236471</v>
      </c>
      <c r="L1462" s="125">
        <v>85.590198264239106</v>
      </c>
      <c r="M1462" s="125">
        <v>85.580478471672521</v>
      </c>
      <c r="N1462" s="125">
        <v>85.569195902852286</v>
      </c>
      <c r="O1462" s="125">
        <v>85.556101204905332</v>
      </c>
      <c r="P1462" s="125">
        <v>85.54090590603802</v>
      </c>
      <c r="Q1462" s="125">
        <v>85.523276511251794</v>
      </c>
      <c r="R1462" s="125">
        <v>85.502827788634491</v>
      </c>
      <c r="S1462" s="125">
        <v>85.479115164595498</v>
      </c>
      <c r="T1462" s="125">
        <v>85.451626149498026</v>
      </c>
      <c r="U1462" s="125">
        <v>85.419770723887808</v>
      </c>
      <c r="V1462" s="125">
        <v>85.382870632358589</v>
      </c>
      <c r="W1462" s="125">
        <v>85.340147560224935</v>
      </c>
      <c r="X1462" s="125">
        <v>85.290710211735714</v>
      </c>
      <c r="Y1462" s="125">
        <v>85.233540372817984</v>
      </c>
      <c r="Z1462" s="125">
        <v>85.167478132843769</v>
      </c>
      <c r="AA1462" s="125">
        <v>85.09120656660599</v>
      </c>
      <c r="AB1462" s="125">
        <v>85.003236348881074</v>
      </c>
      <c r="AC1462" s="125">
        <v>84.901891000052686</v>
      </c>
      <c r="AD1462" s="125">
        <v>84.785293753086663</v>
      </c>
      <c r="AE1462" s="125">
        <v>84.651357399585777</v>
      </c>
      <c r="AF1462" s="125">
        <v>84.49777892239851</v>
      </c>
      <c r="AG1462" s="125">
        <v>84.322041254123889</v>
      </c>
      <c r="AH1462" s="125">
        <v>84.121425102334285</v>
      </c>
      <c r="AI1462" s="125">
        <v>83.893034420976804</v>
      </c>
      <c r="AJ1462" s="125">
        <v>83.63383972090935</v>
      </c>
      <c r="AK1462" s="125">
        <v>83.340743897016608</v>
      </c>
      <c r="AL1462" s="125">
        <v>83.010675447497462</v>
      </c>
      <c r="AM1462" s="125">
        <v>82.64071365323889</v>
      </c>
      <c r="AN1462" s="125">
        <v>82.228249190663405</v>
      </c>
      <c r="AO1462" s="125">
        <v>81.771181446470052</v>
      </c>
      <c r="AP1462" s="125">
        <v>81.26815017020202</v>
      </c>
      <c r="AQ1462" s="125">
        <v>80.718793820980949</v>
      </c>
      <c r="AR1462" s="125">
        <v>80.124020055085595</v>
      </c>
      <c r="AS1462" s="125">
        <v>79.486265693114561</v>
      </c>
      <c r="AT1462" s="125">
        <v>78.809715226121085</v>
      </c>
      <c r="AU1462" s="125">
        <v>78.100440198711311</v>
      </c>
      <c r="AV1462" s="125">
        <v>77.366418999382589</v>
      </c>
      <c r="AW1462" s="125">
        <v>76.617400298417593</v>
      </c>
      <c r="AX1462" s="126">
        <v>75.86458571233284</v>
      </c>
    </row>
    <row r="1463" spans="1:50" x14ac:dyDescent="0.25">
      <c r="A1463" s="356"/>
      <c r="B1463" s="359"/>
      <c r="C1463" s="361" t="s">
        <v>15</v>
      </c>
      <c r="D1463" s="58" t="s">
        <v>7</v>
      </c>
      <c r="E1463" s="164" t="str">
        <f>A1447&amp;"/"&amp;B1455&amp;"/"&amp;C1463&amp;"/"&amp;D1463</f>
        <v>Biomass and waste fired power plants/Fluidized bed combustion/Electricity only with CCS/L</v>
      </c>
      <c r="F1463" s="78" t="str">
        <f>A1447</f>
        <v>Biomass and waste fired power plants</v>
      </c>
      <c r="G1463" s="78" t="str">
        <f>B1455</f>
        <v>Fluidized bed combustion</v>
      </c>
      <c r="H1463" s="78" t="str">
        <f>C1463</f>
        <v>Electricity only with CCS</v>
      </c>
      <c r="I1463" s="165" t="str">
        <f t="shared" si="101"/>
        <v>L</v>
      </c>
      <c r="J1463" s="123" t="s">
        <v>112</v>
      </c>
      <c r="K1463" s="123" t="s">
        <v>112</v>
      </c>
      <c r="L1463" s="123" t="s">
        <v>112</v>
      </c>
      <c r="M1463" s="123" t="s">
        <v>112</v>
      </c>
      <c r="N1463" s="123" t="s">
        <v>112</v>
      </c>
      <c r="O1463" s="123" t="s">
        <v>112</v>
      </c>
      <c r="P1463" s="123" t="s">
        <v>112</v>
      </c>
      <c r="Q1463" s="123" t="s">
        <v>112</v>
      </c>
      <c r="R1463" s="123" t="s">
        <v>112</v>
      </c>
      <c r="S1463" s="123" t="s">
        <v>112</v>
      </c>
      <c r="T1463" s="123" t="s">
        <v>112</v>
      </c>
      <c r="U1463" s="123" t="s">
        <v>112</v>
      </c>
      <c r="V1463" s="123" t="s">
        <v>112</v>
      </c>
      <c r="W1463" s="123" t="s">
        <v>112</v>
      </c>
      <c r="X1463" s="123" t="s">
        <v>112</v>
      </c>
      <c r="Y1463" s="123" t="s">
        <v>112</v>
      </c>
      <c r="Z1463" s="123" t="s">
        <v>112</v>
      </c>
      <c r="AA1463" s="123" t="s">
        <v>112</v>
      </c>
      <c r="AB1463" s="123" t="s">
        <v>112</v>
      </c>
      <c r="AC1463" s="123" t="s">
        <v>112</v>
      </c>
      <c r="AD1463" s="123" t="s">
        <v>112</v>
      </c>
      <c r="AE1463" s="123">
        <v>113.2806227455185</v>
      </c>
      <c r="AF1463" s="123">
        <v>113.25393602018089</v>
      </c>
      <c r="AG1463" s="123">
        <v>113.21972342633219</v>
      </c>
      <c r="AH1463" s="123">
        <v>113.17588212455293</v>
      </c>
      <c r="AI1463" s="123">
        <v>113.11973427189618</v>
      </c>
      <c r="AJ1463" s="123">
        <v>113.0478778645971</v>
      </c>
      <c r="AK1463" s="123">
        <v>112.95600409396003</v>
      </c>
      <c r="AL1463" s="123">
        <v>112.8386771294153</v>
      </c>
      <c r="AM1463" s="123">
        <v>112.68907424370553</v>
      </c>
      <c r="AN1463" s="123">
        <v>112.49868844078651</v>
      </c>
      <c r="AO1463" s="123">
        <v>112.25700358472641</v>
      </c>
      <c r="AP1463" s="123">
        <v>111.9511652911129</v>
      </c>
      <c r="AQ1463" s="123">
        <v>111.56569175498981</v>
      </c>
      <c r="AR1463" s="123">
        <v>111.08229939476223</v>
      </c>
      <c r="AS1463" s="123">
        <v>110.4799595380471</v>
      </c>
      <c r="AT1463" s="123">
        <v>109.73535145788723</v>
      </c>
      <c r="AU1463" s="123">
        <v>108.82392313632587</v>
      </c>
      <c r="AV1463" s="123">
        <v>107.7217902910829</v>
      </c>
      <c r="AW1463" s="123">
        <v>106.40865554089098</v>
      </c>
      <c r="AX1463" s="124">
        <v>104.87175937499998</v>
      </c>
    </row>
    <row r="1464" spans="1:50" x14ac:dyDescent="0.25">
      <c r="A1464" s="356"/>
      <c r="B1464" s="359"/>
      <c r="C1464" s="360"/>
      <c r="D1464" s="59" t="s">
        <v>8</v>
      </c>
      <c r="E1464" s="166" t="str">
        <f>A1447&amp;"/"&amp;B1455&amp;"/"&amp;C1463&amp;"/"&amp;D1464</f>
        <v>Biomass and waste fired power plants/Fluidized bed combustion/Electricity only with CCS/M</v>
      </c>
      <c r="F1464" s="79" t="str">
        <f>A1447</f>
        <v>Biomass and waste fired power plants</v>
      </c>
      <c r="G1464" s="79" t="str">
        <f>B1455</f>
        <v>Fluidized bed combustion</v>
      </c>
      <c r="H1464" s="79" t="str">
        <f>C1463</f>
        <v>Electricity only with CCS</v>
      </c>
      <c r="I1464" s="167" t="str">
        <f t="shared" si="101"/>
        <v>M</v>
      </c>
      <c r="J1464" s="125" t="s">
        <v>112</v>
      </c>
      <c r="K1464" s="125" t="s">
        <v>112</v>
      </c>
      <c r="L1464" s="125" t="s">
        <v>112</v>
      </c>
      <c r="M1464" s="125" t="s">
        <v>112</v>
      </c>
      <c r="N1464" s="125" t="s">
        <v>112</v>
      </c>
      <c r="O1464" s="125" t="s">
        <v>112</v>
      </c>
      <c r="P1464" s="125" t="s">
        <v>112</v>
      </c>
      <c r="Q1464" s="125" t="s">
        <v>112</v>
      </c>
      <c r="R1464" s="125" t="s">
        <v>112</v>
      </c>
      <c r="S1464" s="125" t="s">
        <v>112</v>
      </c>
      <c r="T1464" s="125" t="s">
        <v>112</v>
      </c>
      <c r="U1464" s="125" t="s">
        <v>112</v>
      </c>
      <c r="V1464" s="125" t="s">
        <v>112</v>
      </c>
      <c r="W1464" s="125" t="s">
        <v>112</v>
      </c>
      <c r="X1464" s="125" t="s">
        <v>112</v>
      </c>
      <c r="Y1464" s="125" t="s">
        <v>112</v>
      </c>
      <c r="Z1464" s="125" t="s">
        <v>112</v>
      </c>
      <c r="AA1464" s="125" t="s">
        <v>112</v>
      </c>
      <c r="AB1464" s="125" t="s">
        <v>112</v>
      </c>
      <c r="AC1464" s="125" t="s">
        <v>112</v>
      </c>
      <c r="AD1464" s="125" t="s">
        <v>112</v>
      </c>
      <c r="AE1464" s="125">
        <v>124.5178539199534</v>
      </c>
      <c r="AF1464" s="125">
        <v>124.48656258446856</v>
      </c>
      <c r="AG1464" s="125">
        <v>124.44644684383782</v>
      </c>
      <c r="AH1464" s="125">
        <v>124.39504102822302</v>
      </c>
      <c r="AI1464" s="125">
        <v>124.32920525137105</v>
      </c>
      <c r="AJ1464" s="125">
        <v>124.24495051726306</v>
      </c>
      <c r="AK1464" s="125">
        <v>124.13722456202152</v>
      </c>
      <c r="AL1464" s="125">
        <v>123.99965364005394</v>
      </c>
      <c r="AM1464" s="125">
        <v>123.82423780963543</v>
      </c>
      <c r="AN1464" s="125">
        <v>123.60100225130719</v>
      </c>
      <c r="AO1464" s="125">
        <v>123.31761634251119</v>
      </c>
      <c r="AP1464" s="125">
        <v>122.95900776358259</v>
      </c>
      <c r="AQ1464" s="125">
        <v>122.50702343104389</v>
      </c>
      <c r="AR1464" s="125">
        <v>121.94022505757003</v>
      </c>
      <c r="AS1464" s="125">
        <v>121.23395561859115</v>
      </c>
      <c r="AT1464" s="125">
        <v>120.36087055677638</v>
      </c>
      <c r="AU1464" s="125">
        <v>119.29218157303704</v>
      </c>
      <c r="AV1464" s="125">
        <v>117.99988331714044</v>
      </c>
      <c r="AW1464" s="125">
        <v>116.46017623486395</v>
      </c>
      <c r="AX1464" s="126">
        <v>114.65809924999998</v>
      </c>
    </row>
    <row r="1465" spans="1:50" x14ac:dyDescent="0.25">
      <c r="A1465" s="356"/>
      <c r="B1465" s="359"/>
      <c r="C1465" s="361" t="s">
        <v>16</v>
      </c>
      <c r="D1465" s="2" t="s">
        <v>7</v>
      </c>
      <c r="E1465" s="160" t="str">
        <f>A1447&amp;"/"&amp;B1455&amp;"/"&amp;C1465&amp;"/"&amp;D1465</f>
        <v>Biomass and waste fired power plants/Fluidized bed combustion/CHP with CCS/L</v>
      </c>
      <c r="F1465" s="76" t="str">
        <f>A1447</f>
        <v>Biomass and waste fired power plants</v>
      </c>
      <c r="G1465" s="76" t="str">
        <f>B1455</f>
        <v>Fluidized bed combustion</v>
      </c>
      <c r="H1465" s="76" t="str">
        <f>C1465</f>
        <v>CHP with CCS</v>
      </c>
      <c r="I1465" s="161" t="str">
        <f t="shared" si="101"/>
        <v>L</v>
      </c>
      <c r="J1465" s="119" t="s">
        <v>112</v>
      </c>
      <c r="K1465" s="119" t="s">
        <v>112</v>
      </c>
      <c r="L1465" s="119" t="s">
        <v>112</v>
      </c>
      <c r="M1465" s="119" t="s">
        <v>112</v>
      </c>
      <c r="N1465" s="119" t="s">
        <v>112</v>
      </c>
      <c r="O1465" s="119" t="s">
        <v>112</v>
      </c>
      <c r="P1465" s="119" t="s">
        <v>112</v>
      </c>
      <c r="Q1465" s="119" t="s">
        <v>112</v>
      </c>
      <c r="R1465" s="119" t="s">
        <v>112</v>
      </c>
      <c r="S1465" s="119" t="s">
        <v>112</v>
      </c>
      <c r="T1465" s="119" t="s">
        <v>112</v>
      </c>
      <c r="U1465" s="119" t="s">
        <v>112</v>
      </c>
      <c r="V1465" s="119" t="s">
        <v>112</v>
      </c>
      <c r="W1465" s="119" t="s">
        <v>112</v>
      </c>
      <c r="X1465" s="119" t="s">
        <v>112</v>
      </c>
      <c r="Y1465" s="119" t="s">
        <v>112</v>
      </c>
      <c r="Z1465" s="119" t="s">
        <v>112</v>
      </c>
      <c r="AA1465" s="119" t="s">
        <v>112</v>
      </c>
      <c r="AB1465" s="119" t="s">
        <v>112</v>
      </c>
      <c r="AC1465" s="119" t="s">
        <v>112</v>
      </c>
      <c r="AD1465" s="119" t="s">
        <v>112</v>
      </c>
      <c r="AE1465" s="119">
        <v>118.09638455938773</v>
      </c>
      <c r="AF1465" s="119">
        <v>118.07413128184504</v>
      </c>
      <c r="AG1465" s="119">
        <v>118.04560240328316</v>
      </c>
      <c r="AH1465" s="119">
        <v>118.00904442758608</v>
      </c>
      <c r="AI1465" s="119">
        <v>117.96222438006097</v>
      </c>
      <c r="AJ1465" s="119">
        <v>117.90230542954835</v>
      </c>
      <c r="AK1465" s="119">
        <v>117.82569458685352</v>
      </c>
      <c r="AL1465" s="119">
        <v>117.72785907229616</v>
      </c>
      <c r="AM1465" s="119">
        <v>117.60310961372562</v>
      </c>
      <c r="AN1465" s="119">
        <v>117.44435247664914</v>
      </c>
      <c r="AO1465" s="119">
        <v>117.2428185637493</v>
      </c>
      <c r="AP1465" s="119">
        <v>116.98778898088122</v>
      </c>
      <c r="AQ1465" s="119">
        <v>116.66635390497021</v>
      </c>
      <c r="AR1465" s="119">
        <v>116.26326719357806</v>
      </c>
      <c r="AS1465" s="119">
        <v>115.76099365357132</v>
      </c>
      <c r="AT1465" s="119">
        <v>115.14008681473268</v>
      </c>
      <c r="AU1465" s="119">
        <v>114.38007346939381</v>
      </c>
      <c r="AV1465" s="119">
        <v>113.46103721508247</v>
      </c>
      <c r="AW1465" s="119">
        <v>112.3660526608781</v>
      </c>
      <c r="AX1465" s="120">
        <v>111.084480025</v>
      </c>
    </row>
    <row r="1466" spans="1:50" x14ac:dyDescent="0.25">
      <c r="A1466" s="356"/>
      <c r="B1466" s="362"/>
      <c r="C1466" s="354"/>
      <c r="D1466" s="4" t="s">
        <v>8</v>
      </c>
      <c r="E1466" s="168" t="str">
        <f>A1447&amp;"/"&amp;B1455&amp;"/"&amp;C1465&amp;"/"&amp;D1466</f>
        <v>Biomass and waste fired power plants/Fluidized bed combustion/CHP with CCS/M</v>
      </c>
      <c r="F1466" s="80" t="str">
        <f>A1447</f>
        <v>Biomass and waste fired power plants</v>
      </c>
      <c r="G1466" s="80" t="str">
        <f>B1455</f>
        <v>Fluidized bed combustion</v>
      </c>
      <c r="H1466" s="80" t="str">
        <f>C1465</f>
        <v>CHP with CCS</v>
      </c>
      <c r="I1466" s="169" t="str">
        <f t="shared" si="101"/>
        <v>M</v>
      </c>
      <c r="J1466" s="127" t="s">
        <v>112</v>
      </c>
      <c r="K1466" s="127" t="s">
        <v>112</v>
      </c>
      <c r="L1466" s="127" t="s">
        <v>112</v>
      </c>
      <c r="M1466" s="127" t="s">
        <v>112</v>
      </c>
      <c r="N1466" s="127" t="s">
        <v>112</v>
      </c>
      <c r="O1466" s="127" t="s">
        <v>112</v>
      </c>
      <c r="P1466" s="127" t="s">
        <v>112</v>
      </c>
      <c r="Q1466" s="127" t="s">
        <v>112</v>
      </c>
      <c r="R1466" s="127" t="s">
        <v>112</v>
      </c>
      <c r="S1466" s="127" t="s">
        <v>112</v>
      </c>
      <c r="T1466" s="127" t="s">
        <v>112</v>
      </c>
      <c r="U1466" s="127" t="s">
        <v>112</v>
      </c>
      <c r="V1466" s="127" t="s">
        <v>112</v>
      </c>
      <c r="W1466" s="127" t="s">
        <v>112</v>
      </c>
      <c r="X1466" s="127" t="s">
        <v>112</v>
      </c>
      <c r="Y1466" s="127" t="s">
        <v>112</v>
      </c>
      <c r="Z1466" s="127" t="s">
        <v>112</v>
      </c>
      <c r="AA1466" s="127" t="s">
        <v>112</v>
      </c>
      <c r="AB1466" s="127" t="s">
        <v>112</v>
      </c>
      <c r="AC1466" s="127" t="s">
        <v>112</v>
      </c>
      <c r="AD1466" s="127" t="s">
        <v>112</v>
      </c>
      <c r="AE1466" s="127">
        <v>128.9942819600073</v>
      </c>
      <c r="AF1466" s="127">
        <v>128.96693453160563</v>
      </c>
      <c r="AG1466" s="127">
        <v>128.93187491118098</v>
      </c>
      <c r="AH1466" s="127">
        <v>128.88694819775782</v>
      </c>
      <c r="AI1466" s="127">
        <v>128.82941025104412</v>
      </c>
      <c r="AJ1466" s="127">
        <v>128.75577484134305</v>
      </c>
      <c r="AK1466" s="127">
        <v>128.66162648358446</v>
      </c>
      <c r="AL1466" s="127">
        <v>128.54139476830716</v>
      </c>
      <c r="AM1466" s="127">
        <v>128.38808805293181</v>
      </c>
      <c r="AN1466" s="127">
        <v>128.19298872739978</v>
      </c>
      <c r="AO1466" s="127">
        <v>127.9453202999977</v>
      </c>
      <c r="AP1466" s="127">
        <v>127.63191014077884</v>
      </c>
      <c r="AQ1466" s="127">
        <v>127.23689315025224</v>
      </c>
      <c r="AR1466" s="127">
        <v>126.74153308662477</v>
      </c>
      <c r="AS1466" s="127">
        <v>126.12428065506522</v>
      </c>
      <c r="AT1466" s="127">
        <v>125.36123776007227</v>
      </c>
      <c r="AU1466" s="127">
        <v>124.42724453115993</v>
      </c>
      <c r="AV1466" s="127">
        <v>123.29782536514645</v>
      </c>
      <c r="AW1466" s="127">
        <v>121.9521803634334</v>
      </c>
      <c r="AX1466" s="128">
        <v>120.37723411859375</v>
      </c>
    </row>
    <row r="1467" spans="1:50" x14ac:dyDescent="0.25">
      <c r="A1467" s="356"/>
      <c r="B1467" s="358" t="s">
        <v>19</v>
      </c>
      <c r="C1467" s="353" t="s">
        <v>6</v>
      </c>
      <c r="D1467" s="3" t="s">
        <v>7</v>
      </c>
      <c r="E1467" s="162" t="str">
        <f>A1447&amp;"/"&amp;B1467&amp;"/"&amp;C1467&amp;"/"&amp;D1467</f>
        <v>Biomass and waste fired power plants/Steam turbine/Electricity only/L</v>
      </c>
      <c r="F1467" s="77" t="str">
        <f>A1447</f>
        <v>Biomass and waste fired power plants</v>
      </c>
      <c r="G1467" s="77" t="str">
        <f>B1467</f>
        <v>Steam turbine</v>
      </c>
      <c r="H1467" s="77" t="str">
        <f>C1467</f>
        <v>Electricity only</v>
      </c>
      <c r="I1467" s="163" t="str">
        <f t="shared" si="101"/>
        <v>L</v>
      </c>
      <c r="J1467" s="121">
        <v>40.99702380952381</v>
      </c>
      <c r="K1467" s="121">
        <v>41.055337712063817</v>
      </c>
      <c r="L1467" s="121">
        <v>41.113685620760016</v>
      </c>
      <c r="M1467" s="121">
        <v>41.172037462482621</v>
      </c>
      <c r="N1467" s="121">
        <v>41.230363284863756</v>
      </c>
      <c r="O1467" s="121">
        <v>41.288633314887242</v>
      </c>
      <c r="P1467" s="121">
        <v>41.346818016393989</v>
      </c>
      <c r="Q1467" s="121">
        <v>41.404888146280456</v>
      </c>
      <c r="R1467" s="121">
        <v>41.462814809178688</v>
      </c>
      <c r="S1467" s="121">
        <v>41.520569510417552</v>
      </c>
      <c r="T1467" s="121">
        <v>41.578124207078169</v>
      </c>
      <c r="U1467" s="121">
        <v>41.635451356969966</v>
      </c>
      <c r="V1467" s="121">
        <v>41.692523965368693</v>
      </c>
      <c r="W1467" s="121">
        <v>41.7493156293732</v>
      </c>
      <c r="X1467" s="121">
        <v>41.80580057975348</v>
      </c>
      <c r="Y1467" s="121">
        <v>41.861953720179343</v>
      </c>
      <c r="Z1467" s="121">
        <v>41.917750663735305</v>
      </c>
      <c r="AA1467" s="121">
        <v>41.973167766644252</v>
      </c>
      <c r="AB1467" s="121">
        <v>42.028182159139327</v>
      </c>
      <c r="AC1467" s="121">
        <v>42.082771773439838</v>
      </c>
      <c r="AD1467" s="121">
        <v>42.136915368803471</v>
      </c>
      <c r="AE1467" s="121">
        <v>42.190592553642858</v>
      </c>
      <c r="AF1467" s="121">
        <v>42.243783804710098</v>
      </c>
      <c r="AG1467" s="121">
        <v>42.296470483367386</v>
      </c>
      <c r="AH1467" s="121">
        <v>42.348634848976083</v>
      </c>
      <c r="AI1467" s="121">
        <v>42.400260069449679</v>
      </c>
      <c r="AJ1467" s="121">
        <v>42.451330229028628</v>
      </c>
      <c r="AK1467" s="121">
        <v>42.501830333346312</v>
      </c>
      <c r="AL1467" s="121">
        <v>42.551746311866069</v>
      </c>
      <c r="AM1467" s="121">
        <v>42.601065017778602</v>
      </c>
      <c r="AN1467" s="121">
        <v>42.649774225457605</v>
      </c>
      <c r="AO1467" s="121">
        <v>42.697862625578964</v>
      </c>
      <c r="AP1467" s="121">
        <v>42.745319818015268</v>
      </c>
      <c r="AQ1467" s="121">
        <v>42.792136302622843</v>
      </c>
      <c r="AR1467" s="121">
        <v>42.838303468042916</v>
      </c>
      <c r="AS1467" s="121">
        <v>42.88381357864197</v>
      </c>
      <c r="AT1467" s="121">
        <v>42.928659759718954</v>
      </c>
      <c r="AU1467" s="121">
        <v>42.972835981108439</v>
      </c>
      <c r="AV1467" s="121">
        <v>43.016337039309917</v>
      </c>
      <c r="AW1467" s="121">
        <v>43.059158538272996</v>
      </c>
      <c r="AX1467" s="122">
        <v>43.101296868967729</v>
      </c>
    </row>
    <row r="1468" spans="1:50" x14ac:dyDescent="0.25">
      <c r="A1468" s="356"/>
      <c r="B1468" s="359"/>
      <c r="C1468" s="350"/>
      <c r="D1468" s="2" t="s">
        <v>8</v>
      </c>
      <c r="E1468" s="160" t="str">
        <f>A1447&amp;"/"&amp;B1467&amp;"/"&amp;C1467&amp;"/"&amp;D1468</f>
        <v>Biomass and waste fired power plants/Steam turbine/Electricity only/M</v>
      </c>
      <c r="F1468" s="76" t="str">
        <f>A1447</f>
        <v>Biomass and waste fired power plants</v>
      </c>
      <c r="G1468" s="76" t="str">
        <f>B1467</f>
        <v>Steam turbine</v>
      </c>
      <c r="H1468" s="76" t="str">
        <f>C1467</f>
        <v>Electricity only</v>
      </c>
      <c r="I1468" s="161" t="str">
        <f t="shared" si="101"/>
        <v>M</v>
      </c>
      <c r="J1468" s="119">
        <v>44.276785714285715</v>
      </c>
      <c r="K1468" s="119">
        <v>44.32401997534312</v>
      </c>
      <c r="L1468" s="119">
        <v>44.37128178138704</v>
      </c>
      <c r="M1468" s="119">
        <v>44.418546773182356</v>
      </c>
      <c r="N1468" s="119">
        <v>44.465790689311078</v>
      </c>
      <c r="O1468" s="119">
        <v>44.512989413630095</v>
      </c>
      <c r="P1468" s="119">
        <v>44.560119021850561</v>
      </c>
      <c r="Q1468" s="119">
        <v>44.607155827058605</v>
      </c>
      <c r="R1468" s="119">
        <v>44.65407642400617</v>
      </c>
      <c r="S1468" s="119">
        <v>44.700857732009652</v>
      </c>
      <c r="T1468" s="119">
        <v>44.747477036304751</v>
      </c>
      <c r="U1468" s="119">
        <v>44.793912027717106</v>
      </c>
      <c r="V1468" s="119">
        <v>44.840140840520078</v>
      </c>
      <c r="W1468" s="119">
        <v>44.886142088363727</v>
      </c>
      <c r="X1468" s="119">
        <v>44.931894898171748</v>
      </c>
      <c r="Y1468" s="119">
        <v>44.977378941916712</v>
      </c>
      <c r="Z1468" s="119">
        <v>45.022574466197028</v>
      </c>
      <c r="AA1468" s="119">
        <v>45.067462319553272</v>
      </c>
      <c r="AB1468" s="119">
        <v>45.112023977474287</v>
      </c>
      <c r="AC1468" s="119">
        <v>45.156241565057698</v>
      </c>
      <c r="AD1468" s="119">
        <v>45.200097877302241</v>
      </c>
      <c r="AE1468" s="119">
        <v>45.243576397022146</v>
      </c>
      <c r="AF1468" s="119">
        <v>45.286661310386606</v>
      </c>
      <c r="AG1468" s="119">
        <v>45.329337520099017</v>
      </c>
      <c r="AH1468" s="119">
        <v>45.371590656242063</v>
      </c>
      <c r="AI1468" s="119">
        <v>45.413407084825671</v>
      </c>
      <c r="AJ1468" s="119">
        <v>45.454773914084619</v>
      </c>
      <c r="AK1468" s="119">
        <v>45.495678998581944</v>
      </c>
      <c r="AL1468" s="119">
        <v>45.536110941182947</v>
      </c>
      <c r="AM1468" s="119">
        <v>45.576059092972109</v>
      </c>
      <c r="AN1468" s="119">
        <v>45.615513551192102</v>
      </c>
      <c r="AO1468" s="119">
        <v>45.654465155290396</v>
      </c>
      <c r="AP1468" s="119">
        <v>45.692905481163791</v>
      </c>
      <c r="AQ1468" s="119">
        <v>45.730826833695929</v>
      </c>
      <c r="AR1468" s="119">
        <v>45.768222237686196</v>
      </c>
      <c r="AS1468" s="119">
        <v>45.805085427271436</v>
      </c>
      <c r="AT1468" s="119">
        <v>45.841410833943783</v>
      </c>
      <c r="AU1468" s="119">
        <v>45.877193573269267</v>
      </c>
      <c r="AV1468" s="119">
        <v>45.912429430412466</v>
      </c>
      <c r="AW1468" s="119">
        <v>45.94711484457256</v>
      </c>
      <c r="AX1468" s="120">
        <v>45.981246892435294</v>
      </c>
    </row>
    <row r="1469" spans="1:50" x14ac:dyDescent="0.25">
      <c r="A1469" s="356"/>
      <c r="B1469" s="359"/>
      <c r="C1469" s="350"/>
      <c r="D1469" s="2" t="s">
        <v>10</v>
      </c>
      <c r="E1469" s="160" t="str">
        <f>A1447&amp;"/"&amp;B1467&amp;"/"&amp;C1467&amp;"/"&amp;D1469</f>
        <v>Biomass and waste fired power plants/Steam turbine/Electricity only/S</v>
      </c>
      <c r="F1469" s="76" t="str">
        <f>A1447</f>
        <v>Biomass and waste fired power plants</v>
      </c>
      <c r="G1469" s="76" t="str">
        <f>B1467</f>
        <v>Steam turbine</v>
      </c>
      <c r="H1469" s="76" t="str">
        <f>C1467</f>
        <v>Electricity only</v>
      </c>
      <c r="I1469" s="161" t="str">
        <f t="shared" si="101"/>
        <v>S</v>
      </c>
      <c r="J1469" s="119">
        <v>48.925848214285715</v>
      </c>
      <c r="K1469" s="119">
        <v>48.96934309634274</v>
      </c>
      <c r="L1469" s="119">
        <v>49.012863342741518</v>
      </c>
      <c r="M1469" s="119">
        <v>49.056386522686367</v>
      </c>
      <c r="N1469" s="119">
        <v>49.099890295454898</v>
      </c>
      <c r="O1469" s="119">
        <v>49.143352454098668</v>
      </c>
      <c r="P1469" s="119">
        <v>49.186750968335005</v>
      </c>
      <c r="Q1469" s="119">
        <v>49.230064026464085</v>
      </c>
      <c r="R1469" s="119">
        <v>49.273270076153302</v>
      </c>
      <c r="S1469" s="119">
        <v>49.316347863939839</v>
      </c>
      <c r="T1469" s="119">
        <v>49.359276473311574</v>
      </c>
      <c r="U1469" s="119">
        <v>49.402035361237111</v>
      </c>
      <c r="V1469" s="119">
        <v>49.444604393026523</v>
      </c>
      <c r="W1469" s="119">
        <v>49.486963875415881</v>
      </c>
      <c r="X1469" s="119">
        <v>49.529094587780769</v>
      </c>
      <c r="Y1469" s="119">
        <v>49.570977811395913</v>
      </c>
      <c r="Z1469" s="119">
        <v>49.612595356670724</v>
      </c>
      <c r="AA1469" s="119">
        <v>49.653929588302923</v>
      </c>
      <c r="AB1469" s="119">
        <v>49.694963448305188</v>
      </c>
      <c r="AC1469" s="119">
        <v>49.735680476871586</v>
      </c>
      <c r="AD1469" s="119">
        <v>49.776064831063429</v>
      </c>
      <c r="AE1469" s="119">
        <v>49.816101301305508</v>
      </c>
      <c r="AF1469" s="119">
        <v>49.855775325695291</v>
      </c>
      <c r="AG1469" s="119">
        <v>49.895073002138794</v>
      </c>
      <c r="AH1469" s="119">
        <v>49.933981098337185</v>
      </c>
      <c r="AI1469" s="119">
        <v>49.972487059657922</v>
      </c>
      <c r="AJ1469" s="119">
        <v>50.010579014933874</v>
      </c>
      <c r="AK1469" s="119">
        <v>50.048245780241828</v>
      </c>
      <c r="AL1469" s="119">
        <v>50.085476860720256</v>
      </c>
      <c r="AM1469" s="119">
        <v>50.122262450492762</v>
      </c>
      <c r="AN1469" s="119">
        <v>50.158593430770338</v>
      </c>
      <c r="AO1469" s="119">
        <v>50.194461366210852</v>
      </c>
      <c r="AP1469" s="119">
        <v>50.229858499619283</v>
      </c>
      <c r="AQ1469" s="119">
        <v>50.264777745075953</v>
      </c>
      <c r="AR1469" s="119">
        <v>50.299212679583654</v>
      </c>
      <c r="AS1469" s="119">
        <v>50.333157533326734</v>
      </c>
      <c r="AT1469" s="119">
        <v>50.366607178637516</v>
      </c>
      <c r="AU1469" s="119">
        <v>50.399557117766406</v>
      </c>
      <c r="AV1469" s="119">
        <v>50.432003469552427</v>
      </c>
      <c r="AW1469" s="119">
        <v>50.463942955091518</v>
      </c>
      <c r="AX1469" s="120">
        <v>50.495372882498451</v>
      </c>
    </row>
    <row r="1470" spans="1:50" x14ac:dyDescent="0.25">
      <c r="A1470" s="356"/>
      <c r="B1470" s="359"/>
      <c r="C1470" s="360"/>
      <c r="D1470" s="2" t="s">
        <v>20</v>
      </c>
      <c r="E1470" s="160" t="str">
        <f>A1447&amp;"/"&amp;B1467&amp;"/"&amp;C1467&amp;"/"&amp;D1470</f>
        <v>Biomass and waste fired power plants/Steam turbine/Electricity only/XS</v>
      </c>
      <c r="F1470" s="76" t="str">
        <f>A1447</f>
        <v>Biomass and waste fired power plants</v>
      </c>
      <c r="G1470" s="76" t="str">
        <f>B1467</f>
        <v>Steam turbine</v>
      </c>
      <c r="H1470" s="76" t="str">
        <f>C1467</f>
        <v>Electricity only</v>
      </c>
      <c r="I1470" s="161" t="str">
        <f t="shared" si="101"/>
        <v>XS</v>
      </c>
      <c r="J1470" s="119">
        <v>58.711017857142856</v>
      </c>
      <c r="K1470" s="119">
        <v>58.74561239811969</v>
      </c>
      <c r="L1470" s="119">
        <v>58.780071661941321</v>
      </c>
      <c r="M1470" s="119">
        <v>58.814379760157316</v>
      </c>
      <c r="N1470" s="119">
        <v>58.848521136128454</v>
      </c>
      <c r="O1470" s="119">
        <v>58.882480589874248</v>
      </c>
      <c r="P1470" s="119">
        <v>58.916243301478964</v>
      </c>
      <c r="Q1470" s="119">
        <v>58.949794852995112</v>
      </c>
      <c r="R1470" s="119">
        <v>58.983121248792735</v>
      </c>
      <c r="S1470" s="119">
        <v>59.016208934312054</v>
      </c>
      <c r="T1470" s="119">
        <v>59.049044813186512</v>
      </c>
      <c r="U1470" s="119">
        <v>59.081616262712501</v>
      </c>
      <c r="V1470" s="119">
        <v>59.113911147651216</v>
      </c>
      <c r="W1470" s="119">
        <v>59.145917832356986</v>
      </c>
      <c r="X1470" s="119">
        <v>59.177625191234874</v>
      </c>
      <c r="Y1470" s="119">
        <v>59.209022617538999</v>
      </c>
      <c r="Z1470" s="119">
        <v>59.240100030530357</v>
      </c>
      <c r="AA1470" s="119">
        <v>59.270847881020948</v>
      </c>
      <c r="AB1470" s="119">
        <v>59.301257155337467</v>
      </c>
      <c r="AC1470" s="119">
        <v>59.331319377744542</v>
      </c>
      <c r="AD1470" s="119">
        <v>59.361026611373347</v>
      </c>
      <c r="AE1470" s="119">
        <v>59.39037145770677</v>
      </c>
      <c r="AF1470" s="119">
        <v>59.41934705467704</v>
      </c>
      <c r="AG1470" s="119">
        <v>59.44794707343609</v>
      </c>
      <c r="AH1470" s="119">
        <v>59.476165713862393</v>
      </c>
      <c r="AI1470" s="119">
        <v>59.503997698871189</v>
      </c>
      <c r="AJ1470" s="119">
        <v>59.531438267597558</v>
      </c>
      <c r="AK1470" s="119">
        <v>59.558483167523633</v>
      </c>
      <c r="AL1470" s="119">
        <v>59.585128645622724</v>
      </c>
      <c r="AM1470" s="119">
        <v>59.611371438594318</v>
      </c>
      <c r="AN1470" s="119">
        <v>59.637208762263754</v>
      </c>
      <c r="AO1470" s="119">
        <v>59.662638300221118</v>
      </c>
      <c r="AP1470" s="119">
        <v>59.687658191772769</v>
      </c>
      <c r="AQ1470" s="119">
        <v>59.712267019278677</v>
      </c>
      <c r="AR1470" s="119">
        <v>59.736463794946957</v>
      </c>
      <c r="AS1470" s="119">
        <v>59.760247947156039</v>
      </c>
      <c r="AT1470" s="119">
        <v>59.783619306372671</v>
      </c>
      <c r="AU1470" s="119">
        <v>59.806578090731968</v>
      </c>
      <c r="AV1470" s="119">
        <v>59.829124891343518</v>
      </c>
      <c r="AW1470" s="119">
        <v>59.851260657384884</v>
      </c>
      <c r="AX1470" s="120">
        <v>59.872986681041183</v>
      </c>
    </row>
    <row r="1471" spans="1:50" x14ac:dyDescent="0.25">
      <c r="A1471" s="356"/>
      <c r="B1471" s="359"/>
      <c r="C1471" s="361" t="s">
        <v>14</v>
      </c>
      <c r="D1471" s="58" t="s">
        <v>7</v>
      </c>
      <c r="E1471" s="164" t="str">
        <f>A1447&amp;"/"&amp;B1467&amp;"/"&amp;C1471&amp;"/"&amp;D1471</f>
        <v>Biomass and waste fired power plants/Steam turbine/CHP/L</v>
      </c>
      <c r="F1471" s="78" t="str">
        <f>A1447</f>
        <v>Biomass and waste fired power plants</v>
      </c>
      <c r="G1471" s="78" t="str">
        <f>B1467</f>
        <v>Steam turbine</v>
      </c>
      <c r="H1471" s="78" t="str">
        <f>C1471</f>
        <v>CHP</v>
      </c>
      <c r="I1471" s="165" t="str">
        <f t="shared" si="101"/>
        <v>L</v>
      </c>
      <c r="J1471" s="123">
        <v>46.297291666666673</v>
      </c>
      <c r="K1471" s="123">
        <v>46.33821283997019</v>
      </c>
      <c r="L1471" s="123">
        <v>46.379075319749745</v>
      </c>
      <c r="M1471" s="123">
        <v>46.419869854301126</v>
      </c>
      <c r="N1471" s="123">
        <v>46.460587283906385</v>
      </c>
      <c r="O1471" s="123">
        <v>46.501218548182358</v>
      </c>
      <c r="P1471" s="123">
        <v>46.541754693216774</v>
      </c>
      <c r="Q1471" s="123">
        <v>46.582186878482112</v>
      </c>
      <c r="R1471" s="123">
        <v>46.622506383517276</v>
      </c>
      <c r="S1471" s="123">
        <v>46.662704614368856</v>
      </c>
      <c r="T1471" s="123">
        <v>46.702773109783486</v>
      </c>
      <c r="U1471" s="123">
        <v>46.742703547144458</v>
      </c>
      <c r="V1471" s="123">
        <v>46.782487748145691</v>
      </c>
      <c r="W1471" s="123">
        <v>46.822117684197579</v>
      </c>
      <c r="X1471" s="123">
        <v>46.861585481559423</v>
      </c>
      <c r="Y1471" s="123">
        <v>46.900883426194376</v>
      </c>
      <c r="Z1471" s="123">
        <v>46.940003968343213</v>
      </c>
      <c r="AA1471" s="123">
        <v>46.978939726814211</v>
      </c>
      <c r="AB1471" s="123">
        <v>47.017683492986947</v>
      </c>
      <c r="AC1471" s="123">
        <v>47.056228234528774</v>
      </c>
      <c r="AD1471" s="123">
        <v>47.094567098823241</v>
      </c>
      <c r="AE1471" s="123">
        <v>47.132693416110378</v>
      </c>
      <c r="AF1471" s="123">
        <v>47.170600702339733</v>
      </c>
      <c r="AG1471" s="123">
        <v>47.208282661737229</v>
      </c>
      <c r="AH1471" s="123">
        <v>47.245733189087979</v>
      </c>
      <c r="AI1471" s="123">
        <v>47.282946371737509</v>
      </c>
      <c r="AJ1471" s="123">
        <v>47.319916491314459</v>
      </c>
      <c r="AK1471" s="123">
        <v>47.356638025178476</v>
      </c>
      <c r="AL1471" s="123">
        <v>47.393105647597459</v>
      </c>
      <c r="AM1471" s="123">
        <v>47.429314230658832</v>
      </c>
      <c r="AN1471" s="123">
        <v>47.46525884491988</v>
      </c>
      <c r="AO1471" s="123">
        <v>47.500934759802874</v>
      </c>
      <c r="AP1471" s="123">
        <v>47.536337443740685</v>
      </c>
      <c r="AQ1471" s="123">
        <v>47.571462564079553</v>
      </c>
      <c r="AR1471" s="123">
        <v>47.606305986745369</v>
      </c>
      <c r="AS1471" s="123">
        <v>47.640863775680657</v>
      </c>
      <c r="AT1471" s="123">
        <v>47.67513219205933</v>
      </c>
      <c r="AU1471" s="123">
        <v>47.709107693287038</v>
      </c>
      <c r="AV1471" s="123">
        <v>47.742786931794498</v>
      </c>
      <c r="AW1471" s="123">
        <v>47.776166753631891</v>
      </c>
      <c r="AX1471" s="124">
        <v>47.809244196872505</v>
      </c>
    </row>
    <row r="1472" spans="1:50" x14ac:dyDescent="0.25">
      <c r="A1472" s="356"/>
      <c r="B1472" s="359"/>
      <c r="C1472" s="350"/>
      <c r="D1472" s="2" t="s">
        <v>8</v>
      </c>
      <c r="E1472" s="160" t="str">
        <f>A1447&amp;"/"&amp;B1467&amp;"/"&amp;C1471&amp;"/"&amp;D1472</f>
        <v>Biomass and waste fired power plants/Steam turbine/CHP/M</v>
      </c>
      <c r="F1472" s="76" t="str">
        <f>A1447</f>
        <v>Biomass and waste fired power plants</v>
      </c>
      <c r="G1472" s="76" t="str">
        <f>B1467</f>
        <v>Steam turbine</v>
      </c>
      <c r="H1472" s="76" t="str">
        <f>C1471</f>
        <v>CHP</v>
      </c>
      <c r="I1472" s="161" t="str">
        <f t="shared" si="101"/>
        <v>M</v>
      </c>
      <c r="J1472" s="119">
        <v>49.478660714285716</v>
      </c>
      <c r="K1472" s="119">
        <v>49.50623152954681</v>
      </c>
      <c r="L1472" s="119">
        <v>49.533694259740145</v>
      </c>
      <c r="M1472" s="119">
        <v>49.561043582749548</v>
      </c>
      <c r="N1472" s="119">
        <v>49.588274282492264</v>
      </c>
      <c r="O1472" s="119">
        <v>49.61538125203721</v>
      </c>
      <c r="P1472" s="119">
        <v>49.64235949653844</v>
      </c>
      <c r="Q1472" s="119">
        <v>49.669204135982142</v>
      </c>
      <c r="R1472" s="119">
        <v>49.695910407745963</v>
      </c>
      <c r="S1472" s="119">
        <v>49.722473668969556</v>
      </c>
      <c r="T1472" s="119">
        <v>49.748889398736303</v>
      </c>
      <c r="U1472" s="119">
        <v>49.775153200065915</v>
      </c>
      <c r="V1472" s="119">
        <v>49.801260801718648</v>
      </c>
      <c r="W1472" s="119">
        <v>49.827208059811881</v>
      </c>
      <c r="X1472" s="119">
        <v>49.852990959250384</v>
      </c>
      <c r="Y1472" s="119">
        <v>49.87860561497201</v>
      </c>
      <c r="Z1472" s="119">
        <v>49.90404827301068</v>
      </c>
      <c r="AA1472" s="119">
        <v>49.929315311379398</v>
      </c>
      <c r="AB1472" s="119">
        <v>49.954403240775612</v>
      </c>
      <c r="AC1472" s="119">
        <v>49.979308705112359</v>
      </c>
      <c r="AD1472" s="119">
        <v>50.004028481878336</v>
      </c>
      <c r="AE1472" s="119">
        <v>50.028559482330586</v>
      </c>
      <c r="AF1472" s="119">
        <v>50.052898751523756</v>
      </c>
      <c r="AG1472" s="119">
        <v>50.077043468179973</v>
      </c>
      <c r="AH1472" s="119">
        <v>50.100990944403819</v>
      </c>
      <c r="AI1472" s="119">
        <v>50.124738625246898</v>
      </c>
      <c r="AJ1472" s="119">
        <v>50.148284088126815</v>
      </c>
      <c r="AK1472" s="119">
        <v>50.171625042105404</v>
      </c>
      <c r="AL1472" s="119">
        <v>50.194759327031342</v>
      </c>
      <c r="AM1472" s="119">
        <v>50.217684912552372</v>
      </c>
      <c r="AN1472" s="119">
        <v>50.24039989700232</v>
      </c>
      <c r="AO1472" s="119">
        <v>50.26290250616843</v>
      </c>
      <c r="AP1472" s="119">
        <v>50.285191091944363</v>
      </c>
      <c r="AQ1472" s="119">
        <v>50.307264130874522</v>
      </c>
      <c r="AR1472" s="119">
        <v>50.329120222595044</v>
      </c>
      <c r="AS1472" s="119">
        <v>50.350758088177344</v>
      </c>
      <c r="AT1472" s="119">
        <v>50.372176568379416</v>
      </c>
      <c r="AU1472" s="119">
        <v>50.393374621810857</v>
      </c>
      <c r="AV1472" s="119">
        <v>50.414351323016824</v>
      </c>
      <c r="AW1472" s="119">
        <v>50.435105860486736</v>
      </c>
      <c r="AX1472" s="120">
        <v>50.45563753459291</v>
      </c>
    </row>
    <row r="1473" spans="1:50" x14ac:dyDescent="0.25">
      <c r="A1473" s="356"/>
      <c r="B1473" s="359"/>
      <c r="C1473" s="350"/>
      <c r="D1473" s="2" t="s">
        <v>10</v>
      </c>
      <c r="E1473" s="160" t="str">
        <f>A1447&amp;"/"&amp;B1467&amp;"/"&amp;C1471&amp;"/"&amp;D1473</f>
        <v>Biomass and waste fired power plants/Steam turbine/CHP/S</v>
      </c>
      <c r="F1473" s="76" t="str">
        <f>A1447</f>
        <v>Biomass and waste fired power plants</v>
      </c>
      <c r="G1473" s="76" t="str">
        <f>B1467</f>
        <v>Steam turbine</v>
      </c>
      <c r="H1473" s="76" t="str">
        <f>C1471</f>
        <v>CHP</v>
      </c>
      <c r="I1473" s="161" t="str">
        <f t="shared" si="101"/>
        <v>S</v>
      </c>
      <c r="J1473" s="119">
        <v>54.155691815476189</v>
      </c>
      <c r="K1473" s="119">
        <v>54.176145447541209</v>
      </c>
      <c r="L1473" s="119">
        <v>54.196465569138759</v>
      </c>
      <c r="M1473" s="119">
        <v>54.216649260078754</v>
      </c>
      <c r="N1473" s="119">
        <v>54.236693701639346</v>
      </c>
      <c r="O1473" s="119">
        <v>54.256596177172526</v>
      </c>
      <c r="P1473" s="119">
        <v>54.27635407257624</v>
      </c>
      <c r="Q1473" s="119">
        <v>54.295964876635395</v>
      </c>
      <c r="R1473" s="119">
        <v>54.315426181234216</v>
      </c>
      <c r="S1473" s="119">
        <v>54.334735681442872</v>
      </c>
      <c r="T1473" s="119">
        <v>54.35389117548111</v>
      </c>
      <c r="U1473" s="119">
        <v>54.372890564562297</v>
      </c>
      <c r="V1473" s="119">
        <v>54.391731852620872</v>
      </c>
      <c r="W1473" s="119">
        <v>54.410413145926952</v>
      </c>
      <c r="X1473" s="119">
        <v>54.428932652591484</v>
      </c>
      <c r="Y1473" s="119">
        <v>54.447288681965759</v>
      </c>
      <c r="Z1473" s="119">
        <v>54.465479643939041</v>
      </c>
      <c r="AA1473" s="119">
        <v>54.48350404813835</v>
      </c>
      <c r="AB1473" s="119">
        <v>54.501360503034277</v>
      </c>
      <c r="AC1473" s="119">
        <v>54.519047714956912</v>
      </c>
      <c r="AD1473" s="119">
        <v>54.536564487026133</v>
      </c>
      <c r="AE1473" s="119">
        <v>54.553909718000263</v>
      </c>
      <c r="AF1473" s="119">
        <v>54.571082401047377</v>
      </c>
      <c r="AG1473" s="119">
        <v>54.588081622443426</v>
      </c>
      <c r="AH1473" s="119">
        <v>54.604906560201471</v>
      </c>
      <c r="AI1473" s="119">
        <v>54.621556482636088</v>
      </c>
      <c r="AJ1473" s="119">
        <v>54.638030746867315</v>
      </c>
      <c r="AK1473" s="119">
        <v>54.65432879726815</v>
      </c>
      <c r="AL1473" s="119">
        <v>54.670450163859833</v>
      </c>
      <c r="AM1473" s="119">
        <v>54.68639446065891</v>
      </c>
      <c r="AN1473" s="119">
        <v>54.702161383980219</v>
      </c>
      <c r="AO1473" s="119">
        <v>54.717750710699612</v>
      </c>
      <c r="AP1473" s="119">
        <v>54.733162296480479</v>
      </c>
      <c r="AQ1473" s="119">
        <v>54.748396073967747</v>
      </c>
      <c r="AR1473" s="119">
        <v>54.763452050953212</v>
      </c>
      <c r="AS1473" s="119">
        <v>54.778330308515734</v>
      </c>
      <c r="AT1473" s="119">
        <v>54.793030999139937</v>
      </c>
      <c r="AU1473" s="119">
        <v>54.80755434481695</v>
      </c>
      <c r="AV1473" s="119">
        <v>54.821900635130262</v>
      </c>
      <c r="AW1473" s="119">
        <v>54.836070225330275</v>
      </c>
      <c r="AX1473" s="120">
        <v>54.850063534400505</v>
      </c>
    </row>
    <row r="1474" spans="1:50" x14ac:dyDescent="0.25">
      <c r="A1474" s="356"/>
      <c r="B1474" s="359"/>
      <c r="C1474" s="360"/>
      <c r="D1474" s="59" t="s">
        <v>20</v>
      </c>
      <c r="E1474" s="166" t="str">
        <f>A1447&amp;"/"&amp;B1467&amp;"/"&amp;C1471&amp;"/"&amp;D1474</f>
        <v>Biomass and waste fired power plants/Steam turbine/CHP/XS</v>
      </c>
      <c r="F1474" s="79" t="str">
        <f>A1447</f>
        <v>Biomass and waste fired power plants</v>
      </c>
      <c r="G1474" s="79" t="str">
        <f>B1467</f>
        <v>Steam turbine</v>
      </c>
      <c r="H1474" s="79" t="str">
        <f>C1471</f>
        <v>CHP</v>
      </c>
      <c r="I1474" s="167" t="str">
        <f t="shared" si="101"/>
        <v>XS</v>
      </c>
      <c r="J1474" s="125">
        <v>64.317068273809525</v>
      </c>
      <c r="K1474" s="125">
        <v>64.332007887514592</v>
      </c>
      <c r="L1474" s="125">
        <v>64.346808193779921</v>
      </c>
      <c r="M1474" s="125">
        <v>64.361468147714291</v>
      </c>
      <c r="N1474" s="125">
        <v>64.375986782956176</v>
      </c>
      <c r="O1474" s="125">
        <v>64.390363210768001</v>
      </c>
      <c r="P1474" s="125">
        <v>64.40459661906695</v>
      </c>
      <c r="Q1474" s="125">
        <v>64.418686271395998</v>
      </c>
      <c r="R1474" s="125">
        <v>64.432631505838089</v>
      </c>
      <c r="S1474" s="125">
        <v>64.446431733877176</v>
      </c>
      <c r="T1474" s="125">
        <v>64.460086439209093</v>
      </c>
      <c r="U1474" s="125">
        <v>64.47359517650591</v>
      </c>
      <c r="V1474" s="125">
        <v>64.486957570136894</v>
      </c>
      <c r="W1474" s="125">
        <v>64.50017331284927</v>
      </c>
      <c r="X1474" s="125">
        <v>64.513242164412205</v>
      </c>
      <c r="Y1474" s="125">
        <v>64.52616395022703</v>
      </c>
      <c r="Z1474" s="125">
        <v>64.538938559906896</v>
      </c>
      <c r="AA1474" s="125">
        <v>64.551565945828997</v>
      </c>
      <c r="AB1474" s="125">
        <v>64.564046121662201</v>
      </c>
      <c r="AC1474" s="125">
        <v>64.576379160873216</v>
      </c>
      <c r="AD1474" s="125">
        <v>64.588565195214159</v>
      </c>
      <c r="AE1474" s="125">
        <v>64.600604413194077</v>
      </c>
      <c r="AF1474" s="125">
        <v>64.612497058537599</v>
      </c>
      <c r="AG1474" s="125">
        <v>64.624243428632823</v>
      </c>
      <c r="AH1474" s="125">
        <v>64.635843872971549</v>
      </c>
      <c r="AI1474" s="125">
        <v>64.647298791583793</v>
      </c>
      <c r="AJ1474" s="125">
        <v>64.658608633469427</v>
      </c>
      <c r="AK1474" s="125">
        <v>64.669773895028925</v>
      </c>
      <c r="AL1474" s="125">
        <v>64.68079511849561</v>
      </c>
      <c r="AM1474" s="125">
        <v>64.691672890371308</v>
      </c>
      <c r="AN1474" s="125">
        <v>64.702407839867718</v>
      </c>
      <c r="AO1474" s="125">
        <v>64.713000637355037</v>
      </c>
      <c r="AP1474" s="125">
        <v>64.723451992820117</v>
      </c>
      <c r="AQ1474" s="125">
        <v>64.73376265433545</v>
      </c>
      <c r="AR1474" s="125">
        <v>64.743933406540961</v>
      </c>
      <c r="AS1474" s="125">
        <v>64.753965069139909</v>
      </c>
      <c r="AT1474" s="125">
        <v>64.763858495410574</v>
      </c>
      <c r="AU1474" s="125">
        <v>64.773614570734992</v>
      </c>
      <c r="AV1474" s="125">
        <v>64.783234211145867</v>
      </c>
      <c r="AW1474" s="125">
        <v>64.792718361893179</v>
      </c>
      <c r="AX1474" s="126">
        <v>64.802067996031383</v>
      </c>
    </row>
    <row r="1475" spans="1:50" x14ac:dyDescent="0.25">
      <c r="A1475" s="356"/>
      <c r="B1475" s="359"/>
      <c r="C1475" s="361" t="s">
        <v>15</v>
      </c>
      <c r="D1475" s="58" t="s">
        <v>7</v>
      </c>
      <c r="E1475" s="164" t="str">
        <f>A1447&amp;"/"&amp;B1467&amp;"/"&amp;C1475&amp;"/"&amp;D1475</f>
        <v>Biomass and waste fired power plants/Steam turbine/Electricity only with CCS/L</v>
      </c>
      <c r="F1475" s="78" t="str">
        <f>A1447</f>
        <v>Biomass and waste fired power plants</v>
      </c>
      <c r="G1475" s="78" t="str">
        <f>B1467</f>
        <v>Steam turbine</v>
      </c>
      <c r="H1475" s="78" t="str">
        <f>C1475</f>
        <v>Electricity only with CCS</v>
      </c>
      <c r="I1475" s="165" t="str">
        <f t="shared" si="101"/>
        <v>L</v>
      </c>
      <c r="J1475" s="123" t="s">
        <v>112</v>
      </c>
      <c r="K1475" s="123" t="s">
        <v>112</v>
      </c>
      <c r="L1475" s="123" t="s">
        <v>112</v>
      </c>
      <c r="M1475" s="123" t="s">
        <v>112</v>
      </c>
      <c r="N1475" s="123" t="s">
        <v>112</v>
      </c>
      <c r="O1475" s="123" t="s">
        <v>112</v>
      </c>
      <c r="P1475" s="123" t="s">
        <v>112</v>
      </c>
      <c r="Q1475" s="123" t="s">
        <v>112</v>
      </c>
      <c r="R1475" s="123" t="s">
        <v>112</v>
      </c>
      <c r="S1475" s="123" t="s">
        <v>112</v>
      </c>
      <c r="T1475" s="123" t="s">
        <v>112</v>
      </c>
      <c r="U1475" s="123" t="s">
        <v>112</v>
      </c>
      <c r="V1475" s="123" t="s">
        <v>112</v>
      </c>
      <c r="W1475" s="123" t="s">
        <v>112</v>
      </c>
      <c r="X1475" s="123" t="s">
        <v>112</v>
      </c>
      <c r="Y1475" s="123" t="s">
        <v>112</v>
      </c>
      <c r="Z1475" s="123" t="s">
        <v>112</v>
      </c>
      <c r="AA1475" s="123" t="s">
        <v>112</v>
      </c>
      <c r="AB1475" s="123" t="s">
        <v>112</v>
      </c>
      <c r="AC1475" s="123" t="s">
        <v>112</v>
      </c>
      <c r="AD1475" s="123" t="s">
        <v>112</v>
      </c>
      <c r="AE1475" s="123">
        <v>99.0078125</v>
      </c>
      <c r="AF1475" s="123">
        <v>99.0078125</v>
      </c>
      <c r="AG1475" s="123">
        <v>99.0078125</v>
      </c>
      <c r="AH1475" s="123">
        <v>99.0078125</v>
      </c>
      <c r="AI1475" s="123">
        <v>99.0078125</v>
      </c>
      <c r="AJ1475" s="123">
        <v>99.0078125</v>
      </c>
      <c r="AK1475" s="123">
        <v>99.0078125</v>
      </c>
      <c r="AL1475" s="123">
        <v>99.0078125</v>
      </c>
      <c r="AM1475" s="123">
        <v>99.0078125</v>
      </c>
      <c r="AN1475" s="123">
        <v>99.0078125</v>
      </c>
      <c r="AO1475" s="123">
        <v>99.0078125</v>
      </c>
      <c r="AP1475" s="123">
        <v>99.0078125</v>
      </c>
      <c r="AQ1475" s="123">
        <v>99.0078125</v>
      </c>
      <c r="AR1475" s="123">
        <v>99.0078125</v>
      </c>
      <c r="AS1475" s="123">
        <v>99.0078125</v>
      </c>
      <c r="AT1475" s="123">
        <v>99.0078125</v>
      </c>
      <c r="AU1475" s="123">
        <v>99.0078125</v>
      </c>
      <c r="AV1475" s="123">
        <v>99.0078125</v>
      </c>
      <c r="AW1475" s="123">
        <v>99.0078125</v>
      </c>
      <c r="AX1475" s="124">
        <v>99.0078125</v>
      </c>
    </row>
    <row r="1476" spans="1:50" x14ac:dyDescent="0.25">
      <c r="A1476" s="356"/>
      <c r="B1476" s="359"/>
      <c r="C1476" s="360"/>
      <c r="D1476" s="59" t="s">
        <v>8</v>
      </c>
      <c r="E1476" s="166" t="str">
        <f>A1447&amp;"/"&amp;B1467&amp;"/"&amp;C1475&amp;"/"&amp;D1476</f>
        <v>Biomass and waste fired power plants/Steam turbine/Electricity only with CCS/M</v>
      </c>
      <c r="F1476" s="79" t="str">
        <f>A1447</f>
        <v>Biomass and waste fired power plants</v>
      </c>
      <c r="G1476" s="79" t="str">
        <f>B1467</f>
        <v>Steam turbine</v>
      </c>
      <c r="H1476" s="79" t="str">
        <f>C1475</f>
        <v>Electricity only with CCS</v>
      </c>
      <c r="I1476" s="167" t="str">
        <f t="shared" si="101"/>
        <v>M</v>
      </c>
      <c r="J1476" s="125" t="s">
        <v>112</v>
      </c>
      <c r="K1476" s="125" t="s">
        <v>112</v>
      </c>
      <c r="L1476" s="125" t="s">
        <v>112</v>
      </c>
      <c r="M1476" s="125" t="s">
        <v>112</v>
      </c>
      <c r="N1476" s="125" t="s">
        <v>112</v>
      </c>
      <c r="O1476" s="125" t="s">
        <v>112</v>
      </c>
      <c r="P1476" s="125" t="s">
        <v>112</v>
      </c>
      <c r="Q1476" s="125" t="s">
        <v>112</v>
      </c>
      <c r="R1476" s="125" t="s">
        <v>112</v>
      </c>
      <c r="S1476" s="125" t="s">
        <v>112</v>
      </c>
      <c r="T1476" s="125" t="s">
        <v>112</v>
      </c>
      <c r="U1476" s="125" t="s">
        <v>112</v>
      </c>
      <c r="V1476" s="125" t="s">
        <v>112</v>
      </c>
      <c r="W1476" s="125" t="s">
        <v>112</v>
      </c>
      <c r="X1476" s="125" t="s">
        <v>112</v>
      </c>
      <c r="Y1476" s="125" t="s">
        <v>112</v>
      </c>
      <c r="Z1476" s="125" t="s">
        <v>112</v>
      </c>
      <c r="AA1476" s="125" t="s">
        <v>112</v>
      </c>
      <c r="AB1476" s="125" t="s">
        <v>112</v>
      </c>
      <c r="AC1476" s="125" t="s">
        <v>112</v>
      </c>
      <c r="AD1476" s="125" t="s">
        <v>112</v>
      </c>
      <c r="AE1476" s="125">
        <v>108.87460937500002</v>
      </c>
      <c r="AF1476" s="125">
        <v>108.87460937500002</v>
      </c>
      <c r="AG1476" s="125">
        <v>108.87460937500002</v>
      </c>
      <c r="AH1476" s="125">
        <v>108.87460937500002</v>
      </c>
      <c r="AI1476" s="125">
        <v>108.87460937500002</v>
      </c>
      <c r="AJ1476" s="125">
        <v>108.87460937500002</v>
      </c>
      <c r="AK1476" s="125">
        <v>108.87460937500002</v>
      </c>
      <c r="AL1476" s="125">
        <v>108.87460937500002</v>
      </c>
      <c r="AM1476" s="125">
        <v>108.87460937500002</v>
      </c>
      <c r="AN1476" s="125">
        <v>108.87460937500002</v>
      </c>
      <c r="AO1476" s="125">
        <v>108.87460937500002</v>
      </c>
      <c r="AP1476" s="125">
        <v>108.87460937500002</v>
      </c>
      <c r="AQ1476" s="125">
        <v>108.87460937500002</v>
      </c>
      <c r="AR1476" s="125">
        <v>108.87460937500002</v>
      </c>
      <c r="AS1476" s="125">
        <v>108.87460937500002</v>
      </c>
      <c r="AT1476" s="125">
        <v>108.87460937500002</v>
      </c>
      <c r="AU1476" s="125">
        <v>108.87460937500002</v>
      </c>
      <c r="AV1476" s="125">
        <v>108.87460937500002</v>
      </c>
      <c r="AW1476" s="125">
        <v>108.87460937500002</v>
      </c>
      <c r="AX1476" s="126">
        <v>108.87460937500002</v>
      </c>
    </row>
    <row r="1477" spans="1:50" x14ac:dyDescent="0.25">
      <c r="A1477" s="356"/>
      <c r="B1477" s="359"/>
      <c r="C1477" s="361" t="s">
        <v>16</v>
      </c>
      <c r="D1477" s="2" t="s">
        <v>7</v>
      </c>
      <c r="E1477" s="160" t="str">
        <f>A1447&amp;"/"&amp;B1467&amp;"/"&amp;C1477&amp;"/"&amp;D1477</f>
        <v>Biomass and waste fired power plants/Steam turbine/CHP with CCS/L</v>
      </c>
      <c r="F1477" s="76" t="str">
        <f>A1447</f>
        <v>Biomass and waste fired power plants</v>
      </c>
      <c r="G1477" s="76" t="str">
        <f>B1467</f>
        <v>Steam turbine</v>
      </c>
      <c r="H1477" s="76" t="str">
        <f>C1477</f>
        <v>CHP with CCS</v>
      </c>
      <c r="I1477" s="161" t="str">
        <f t="shared" si="101"/>
        <v>L</v>
      </c>
      <c r="J1477" s="119" t="s">
        <v>112</v>
      </c>
      <c r="K1477" s="119" t="s">
        <v>112</v>
      </c>
      <c r="L1477" s="119" t="s">
        <v>112</v>
      </c>
      <c r="M1477" s="119" t="s">
        <v>112</v>
      </c>
      <c r="N1477" s="119" t="s">
        <v>112</v>
      </c>
      <c r="O1477" s="119" t="s">
        <v>112</v>
      </c>
      <c r="P1477" s="119" t="s">
        <v>112</v>
      </c>
      <c r="Q1477" s="119" t="s">
        <v>112</v>
      </c>
      <c r="R1477" s="119" t="s">
        <v>112</v>
      </c>
      <c r="S1477" s="119" t="s">
        <v>112</v>
      </c>
      <c r="T1477" s="119" t="s">
        <v>112</v>
      </c>
      <c r="U1477" s="119" t="s">
        <v>112</v>
      </c>
      <c r="V1477" s="119" t="s">
        <v>112</v>
      </c>
      <c r="W1477" s="119" t="s">
        <v>112</v>
      </c>
      <c r="X1477" s="119" t="s">
        <v>112</v>
      </c>
      <c r="Y1477" s="119" t="s">
        <v>112</v>
      </c>
      <c r="Z1477" s="119" t="s">
        <v>112</v>
      </c>
      <c r="AA1477" s="119" t="s">
        <v>112</v>
      </c>
      <c r="AB1477" s="119" t="s">
        <v>112</v>
      </c>
      <c r="AC1477" s="119" t="s">
        <v>112</v>
      </c>
      <c r="AD1477" s="119" t="s">
        <v>112</v>
      </c>
      <c r="AE1477" s="119">
        <v>102.89426562500002</v>
      </c>
      <c r="AF1477" s="119">
        <v>102.89426562500002</v>
      </c>
      <c r="AG1477" s="119">
        <v>102.89426562500002</v>
      </c>
      <c r="AH1477" s="119">
        <v>102.89426562500002</v>
      </c>
      <c r="AI1477" s="119">
        <v>102.89426562500002</v>
      </c>
      <c r="AJ1477" s="119">
        <v>102.89426562500002</v>
      </c>
      <c r="AK1477" s="119">
        <v>102.89426562500002</v>
      </c>
      <c r="AL1477" s="119">
        <v>102.89426562500002</v>
      </c>
      <c r="AM1477" s="119">
        <v>102.89426562500002</v>
      </c>
      <c r="AN1477" s="119">
        <v>102.89426562500002</v>
      </c>
      <c r="AO1477" s="119">
        <v>102.89426562500002</v>
      </c>
      <c r="AP1477" s="119">
        <v>102.89426562500002</v>
      </c>
      <c r="AQ1477" s="119">
        <v>102.89426562500002</v>
      </c>
      <c r="AR1477" s="119">
        <v>102.89426562500002</v>
      </c>
      <c r="AS1477" s="119">
        <v>102.89426562500002</v>
      </c>
      <c r="AT1477" s="119">
        <v>102.89426562500002</v>
      </c>
      <c r="AU1477" s="119">
        <v>102.89426562500002</v>
      </c>
      <c r="AV1477" s="119">
        <v>102.89426562500002</v>
      </c>
      <c r="AW1477" s="119">
        <v>102.89426562500002</v>
      </c>
      <c r="AX1477" s="120">
        <v>102.89426562500002</v>
      </c>
    </row>
    <row r="1478" spans="1:50" x14ac:dyDescent="0.25">
      <c r="A1478" s="357"/>
      <c r="B1478" s="362"/>
      <c r="C1478" s="354"/>
      <c r="D1478" s="4" t="s">
        <v>8</v>
      </c>
      <c r="E1478" s="168" t="str">
        <f>A1447&amp;"/"&amp;B1467&amp;"/"&amp;C1477&amp;"/"&amp;D1478</f>
        <v>Biomass and waste fired power plants/Steam turbine/CHP with CCS/M</v>
      </c>
      <c r="F1478" s="80" t="str">
        <f>A1447</f>
        <v>Biomass and waste fired power plants</v>
      </c>
      <c r="G1478" s="80" t="str">
        <f>B1467</f>
        <v>Steam turbine</v>
      </c>
      <c r="H1478" s="80" t="str">
        <f>C1477</f>
        <v>CHP with CCS</v>
      </c>
      <c r="I1478" s="169" t="str">
        <f t="shared" si="101"/>
        <v>M</v>
      </c>
      <c r="J1478" s="127" t="s">
        <v>112</v>
      </c>
      <c r="K1478" s="127" t="s">
        <v>112</v>
      </c>
      <c r="L1478" s="127" t="s">
        <v>112</v>
      </c>
      <c r="M1478" s="127" t="s">
        <v>112</v>
      </c>
      <c r="N1478" s="127" t="s">
        <v>112</v>
      </c>
      <c r="O1478" s="127" t="s">
        <v>112</v>
      </c>
      <c r="P1478" s="127" t="s">
        <v>112</v>
      </c>
      <c r="Q1478" s="127" t="s">
        <v>112</v>
      </c>
      <c r="R1478" s="127" t="s">
        <v>112</v>
      </c>
      <c r="S1478" s="127" t="s">
        <v>112</v>
      </c>
      <c r="T1478" s="127" t="s">
        <v>112</v>
      </c>
      <c r="U1478" s="127" t="s">
        <v>112</v>
      </c>
      <c r="V1478" s="127" t="s">
        <v>112</v>
      </c>
      <c r="W1478" s="127" t="s">
        <v>112</v>
      </c>
      <c r="X1478" s="127" t="s">
        <v>112</v>
      </c>
      <c r="Y1478" s="127" t="s">
        <v>112</v>
      </c>
      <c r="Z1478" s="127" t="s">
        <v>112</v>
      </c>
      <c r="AA1478" s="127" t="s">
        <v>112</v>
      </c>
      <c r="AB1478" s="127" t="s">
        <v>112</v>
      </c>
      <c r="AC1478" s="127" t="s">
        <v>112</v>
      </c>
      <c r="AD1478" s="127" t="s">
        <v>112</v>
      </c>
      <c r="AE1478" s="127">
        <v>112.46505859375002</v>
      </c>
      <c r="AF1478" s="127">
        <v>112.46505859375002</v>
      </c>
      <c r="AG1478" s="127">
        <v>112.46505859375002</v>
      </c>
      <c r="AH1478" s="127">
        <v>112.46505859375002</v>
      </c>
      <c r="AI1478" s="127">
        <v>112.46505859375002</v>
      </c>
      <c r="AJ1478" s="127">
        <v>112.46505859375002</v>
      </c>
      <c r="AK1478" s="127">
        <v>112.46505859375002</v>
      </c>
      <c r="AL1478" s="127">
        <v>112.46505859375002</v>
      </c>
      <c r="AM1478" s="127">
        <v>112.46505859375002</v>
      </c>
      <c r="AN1478" s="127">
        <v>112.46505859375002</v>
      </c>
      <c r="AO1478" s="127">
        <v>112.46505859375002</v>
      </c>
      <c r="AP1478" s="127">
        <v>112.46505859375002</v>
      </c>
      <c r="AQ1478" s="127">
        <v>112.46505859375002</v>
      </c>
      <c r="AR1478" s="127">
        <v>112.46505859375002</v>
      </c>
      <c r="AS1478" s="127">
        <v>112.46505859375002</v>
      </c>
      <c r="AT1478" s="127">
        <v>112.46505859375002</v>
      </c>
      <c r="AU1478" s="127">
        <v>112.46505859375002</v>
      </c>
      <c r="AV1478" s="127">
        <v>112.46505859375002</v>
      </c>
      <c r="AW1478" s="127">
        <v>112.46505859375002</v>
      </c>
      <c r="AX1478" s="128">
        <v>112.46505859375002</v>
      </c>
    </row>
    <row r="1479" spans="1:50" x14ac:dyDescent="0.25">
      <c r="A1479" s="355" t="s">
        <v>31</v>
      </c>
      <c r="B1479" s="358" t="s">
        <v>32</v>
      </c>
      <c r="C1479" s="353" t="s">
        <v>6</v>
      </c>
      <c r="D1479" s="3" t="s">
        <v>8</v>
      </c>
      <c r="E1479" s="162" t="str">
        <f>A1479&amp;"/"&amp;B1479&amp;"/"&amp;C1479&amp;"/"&amp;D1479</f>
        <v>Fuel cells/Natural gas fuel cell power plant/Electricity only/M</v>
      </c>
      <c r="F1479" s="77" t="str">
        <f>A1479</f>
        <v>Fuel cells</v>
      </c>
      <c r="G1479" s="77" t="str">
        <f>B1479</f>
        <v>Natural gas fuel cell power plant</v>
      </c>
      <c r="H1479" s="77" t="str">
        <f>C1479</f>
        <v>Electricity only</v>
      </c>
      <c r="I1479" s="163" t="str">
        <f t="shared" si="101"/>
        <v>M</v>
      </c>
      <c r="J1479" s="121" t="s">
        <v>112</v>
      </c>
      <c r="K1479" s="121" t="s">
        <v>112</v>
      </c>
      <c r="L1479" s="121" t="s">
        <v>112</v>
      </c>
      <c r="M1479" s="121" t="s">
        <v>112</v>
      </c>
      <c r="N1479" s="121" t="s">
        <v>112</v>
      </c>
      <c r="O1479" s="121" t="s">
        <v>112</v>
      </c>
      <c r="P1479" s="121" t="s">
        <v>112</v>
      </c>
      <c r="Q1479" s="121" t="s">
        <v>112</v>
      </c>
      <c r="R1479" s="121" t="s">
        <v>112</v>
      </c>
      <c r="S1479" s="121" t="s">
        <v>112</v>
      </c>
      <c r="T1479" s="121" t="s">
        <v>112</v>
      </c>
      <c r="U1479" s="121" t="s">
        <v>112</v>
      </c>
      <c r="V1479" s="121" t="s">
        <v>112</v>
      </c>
      <c r="W1479" s="121" t="s">
        <v>112</v>
      </c>
      <c r="X1479" s="121" t="s">
        <v>112</v>
      </c>
      <c r="Y1479" s="121" t="s">
        <v>112</v>
      </c>
      <c r="Z1479" s="121" t="s">
        <v>112</v>
      </c>
      <c r="AA1479" s="121" t="s">
        <v>112</v>
      </c>
      <c r="AB1479" s="121" t="s">
        <v>112</v>
      </c>
      <c r="AC1479" s="121" t="s">
        <v>112</v>
      </c>
      <c r="AD1479" s="121" t="s">
        <v>112</v>
      </c>
      <c r="AE1479" s="121">
        <v>64.5</v>
      </c>
      <c r="AF1479" s="121">
        <v>64.5</v>
      </c>
      <c r="AG1479" s="121">
        <v>64.5</v>
      </c>
      <c r="AH1479" s="121">
        <v>64.5</v>
      </c>
      <c r="AI1479" s="121">
        <v>63.98586299773681</v>
      </c>
      <c r="AJ1479" s="121">
        <v>63.808505603689042</v>
      </c>
      <c r="AK1479" s="121">
        <v>63.571136198226398</v>
      </c>
      <c r="AL1479" s="121">
        <v>63.254388671808329</v>
      </c>
      <c r="AM1479" s="121">
        <v>62.833396243047346</v>
      </c>
      <c r="AN1479" s="121">
        <v>62.276824494165602</v>
      </c>
      <c r="AO1479" s="121">
        <v>61.546230892796935</v>
      </c>
      <c r="AP1479" s="121">
        <v>60.596253691866856</v>
      </c>
      <c r="AQ1479" s="121">
        <v>59.376440892213893</v>
      </c>
      <c r="AR1479" s="121">
        <v>57.835862442747086</v>
      </c>
      <c r="AS1479" s="121">
        <v>55.931810887750984</v>
      </c>
      <c r="AT1479" s="121">
        <v>53.643466776451405</v>
      </c>
      <c r="AU1479" s="121">
        <v>50.989746478999891</v>
      </c>
      <c r="AV1479" s="121">
        <v>48.047163488641452</v>
      </c>
      <c r="AW1479" s="121">
        <v>44.959054132085662</v>
      </c>
      <c r="AX1479" s="122">
        <v>41.924999999999997</v>
      </c>
    </row>
    <row r="1480" spans="1:50" x14ac:dyDescent="0.25">
      <c r="A1480" s="356"/>
      <c r="B1480" s="359"/>
      <c r="C1480" s="350"/>
      <c r="D1480" s="2" t="s">
        <v>10</v>
      </c>
      <c r="E1480" s="160" t="str">
        <f>A1479&amp;"/"&amp;B1479&amp;"/"&amp;C1479&amp;"/"&amp;D1480</f>
        <v>Fuel cells/Natural gas fuel cell power plant/Electricity only/S</v>
      </c>
      <c r="F1480" s="76" t="str">
        <f>A1479</f>
        <v>Fuel cells</v>
      </c>
      <c r="G1480" s="76" t="str">
        <f>B1479</f>
        <v>Natural gas fuel cell power plant</v>
      </c>
      <c r="H1480" s="76" t="str">
        <f>C1479</f>
        <v>Electricity only</v>
      </c>
      <c r="I1480" s="161" t="str">
        <f t="shared" si="101"/>
        <v>S</v>
      </c>
      <c r="J1480" s="119" t="s">
        <v>112</v>
      </c>
      <c r="K1480" s="119" t="s">
        <v>112</v>
      </c>
      <c r="L1480" s="119" t="s">
        <v>112</v>
      </c>
      <c r="M1480" s="119" t="s">
        <v>112</v>
      </c>
      <c r="N1480" s="119" t="s">
        <v>112</v>
      </c>
      <c r="O1480" s="119" t="s">
        <v>112</v>
      </c>
      <c r="P1480" s="119" t="s">
        <v>112</v>
      </c>
      <c r="Q1480" s="119" t="s">
        <v>112</v>
      </c>
      <c r="R1480" s="119" t="s">
        <v>112</v>
      </c>
      <c r="S1480" s="119" t="s">
        <v>112</v>
      </c>
      <c r="T1480" s="119" t="s">
        <v>112</v>
      </c>
      <c r="U1480" s="119" t="s">
        <v>112</v>
      </c>
      <c r="V1480" s="119" t="s">
        <v>112</v>
      </c>
      <c r="W1480" s="119" t="s">
        <v>112</v>
      </c>
      <c r="X1480" s="119" t="s">
        <v>112</v>
      </c>
      <c r="Y1480" s="119" t="s">
        <v>112</v>
      </c>
      <c r="Z1480" s="119" t="s">
        <v>112</v>
      </c>
      <c r="AA1480" s="119" t="s">
        <v>112</v>
      </c>
      <c r="AB1480" s="119" t="s">
        <v>112</v>
      </c>
      <c r="AC1480" s="119">
        <v>77.399999999999991</v>
      </c>
      <c r="AD1480" s="119">
        <v>77.399999999999991</v>
      </c>
      <c r="AE1480" s="119">
        <v>77.399999999999991</v>
      </c>
      <c r="AF1480" s="119">
        <v>77.399999999999991</v>
      </c>
      <c r="AG1480" s="119">
        <v>77.399999999999991</v>
      </c>
      <c r="AH1480" s="119">
        <v>77.399999999999991</v>
      </c>
      <c r="AI1480" s="119">
        <v>76.913755979119273</v>
      </c>
      <c r="AJ1480" s="119">
        <v>76.745803708074405</v>
      </c>
      <c r="AK1480" s="119">
        <v>76.520845713812761</v>
      </c>
      <c r="AL1480" s="119">
        <v>76.220343204958866</v>
      </c>
      <c r="AM1480" s="119">
        <v>75.82037453431218</v>
      </c>
      <c r="AN1480" s="119">
        <v>75.290586116765937</v>
      </c>
      <c r="AO1480" s="119">
        <v>74.593363294508364</v>
      </c>
      <c r="AP1480" s="119">
        <v>73.683652273810083</v>
      </c>
      <c r="AQ1480" s="119">
        <v>72.510151598778933</v>
      </c>
      <c r="AR1480" s="119">
        <v>71.018929785505847</v>
      </c>
      <c r="AS1480" s="119">
        <v>69.160768142528866</v>
      </c>
      <c r="AT1480" s="119">
        <v>66.90332980637325</v>
      </c>
      <c r="AU1480" s="119">
        <v>64.248042932057956</v>
      </c>
      <c r="AV1480" s="119">
        <v>61.248783017921788</v>
      </c>
      <c r="AW1480" s="119">
        <v>58.025245283123212</v>
      </c>
      <c r="AX1480" s="120">
        <v>54.760499999999993</v>
      </c>
    </row>
    <row r="1481" spans="1:50" x14ac:dyDescent="0.25">
      <c r="A1481" s="356"/>
      <c r="B1481" s="368"/>
      <c r="C1481" s="360"/>
      <c r="D1481" s="59" t="s">
        <v>20</v>
      </c>
      <c r="E1481" s="166" t="str">
        <f>A1479&amp;"/"&amp;B1479&amp;"/"&amp;C1479&amp;"/"&amp;D1481</f>
        <v>Fuel cells/Natural gas fuel cell power plant/Electricity only/XS</v>
      </c>
      <c r="F1481" s="79" t="str">
        <f>A1479</f>
        <v>Fuel cells</v>
      </c>
      <c r="G1481" s="79" t="str">
        <f>B1479</f>
        <v>Natural gas fuel cell power plant</v>
      </c>
      <c r="H1481" s="79" t="str">
        <f>C1479</f>
        <v>Electricity only</v>
      </c>
      <c r="I1481" s="167" t="str">
        <f t="shared" si="101"/>
        <v>XS</v>
      </c>
      <c r="J1481" s="125" t="s">
        <v>112</v>
      </c>
      <c r="K1481" s="125" t="s">
        <v>112</v>
      </c>
      <c r="L1481" s="125" t="s">
        <v>112</v>
      </c>
      <c r="M1481" s="125" t="s">
        <v>112</v>
      </c>
      <c r="N1481" s="125" t="s">
        <v>112</v>
      </c>
      <c r="O1481" s="125" t="s">
        <v>112</v>
      </c>
      <c r="P1481" s="125" t="s">
        <v>112</v>
      </c>
      <c r="Q1481" s="125" t="s">
        <v>112</v>
      </c>
      <c r="R1481" s="125" t="s">
        <v>112</v>
      </c>
      <c r="S1481" s="125" t="s">
        <v>112</v>
      </c>
      <c r="T1481" s="125" t="s">
        <v>112</v>
      </c>
      <c r="U1481" s="125" t="s">
        <v>112</v>
      </c>
      <c r="V1481" s="125" t="s">
        <v>112</v>
      </c>
      <c r="W1481" s="125" t="s">
        <v>112</v>
      </c>
      <c r="X1481" s="125" t="s">
        <v>112</v>
      </c>
      <c r="Y1481" s="125" t="s">
        <v>112</v>
      </c>
      <c r="Z1481" s="125">
        <v>116.09999999999998</v>
      </c>
      <c r="AA1481" s="125">
        <v>116.09999999999998</v>
      </c>
      <c r="AB1481" s="125">
        <v>116.09999999999998</v>
      </c>
      <c r="AC1481" s="125">
        <v>116.09999999999998</v>
      </c>
      <c r="AD1481" s="125">
        <v>116.09999999999998</v>
      </c>
      <c r="AE1481" s="125">
        <v>116.09999999999998</v>
      </c>
      <c r="AF1481" s="125">
        <v>116.09999999999998</v>
      </c>
      <c r="AG1481" s="125">
        <v>116.09999999999998</v>
      </c>
      <c r="AH1481" s="125">
        <v>116.09999999999998</v>
      </c>
      <c r="AI1481" s="125">
        <v>115.53390383927082</v>
      </c>
      <c r="AJ1481" s="125">
        <v>115.33813106584888</v>
      </c>
      <c r="AK1481" s="125">
        <v>115.07571574420308</v>
      </c>
      <c r="AL1481" s="125">
        <v>114.72482774476744</v>
      </c>
      <c r="AM1481" s="125">
        <v>114.25716971678794</v>
      </c>
      <c r="AN1481" s="125">
        <v>113.63660531409565</v>
      </c>
      <c r="AO1481" s="125">
        <v>112.81794263587601</v>
      </c>
      <c r="AP1481" s="125">
        <v>111.74632199789177</v>
      </c>
      <c r="AQ1481" s="125">
        <v>110.3579833398035</v>
      </c>
      <c r="AR1481" s="125">
        <v>108.58360066945177</v>
      </c>
      <c r="AS1481" s="125">
        <v>106.35573933306085</v>
      </c>
      <c r="AT1481" s="125">
        <v>103.62197692655924</v>
      </c>
      <c r="AU1481" s="125">
        <v>100.36420889410302</v>
      </c>
      <c r="AV1481" s="125">
        <v>96.621889554603996</v>
      </c>
      <c r="AW1481" s="125">
        <v>92.512283272319465</v>
      </c>
      <c r="AX1481" s="126">
        <v>88.235999999999976</v>
      </c>
    </row>
    <row r="1482" spans="1:50" x14ac:dyDescent="0.25">
      <c r="A1482" s="356"/>
      <c r="B1482" s="359" t="s">
        <v>33</v>
      </c>
      <c r="C1482" s="350" t="s">
        <v>6</v>
      </c>
      <c r="D1482" s="2" t="s">
        <v>8</v>
      </c>
      <c r="E1482" s="160" t="str">
        <f>A1479&amp;"/"&amp;B1482&amp;"/"&amp;C1482&amp;"/"&amp;D1482</f>
        <v>Fuel cells/Hydrogen fuel cell power plant/Electricity only/M</v>
      </c>
      <c r="F1482" s="76" t="str">
        <f>A1479</f>
        <v>Fuel cells</v>
      </c>
      <c r="G1482" s="76" t="str">
        <f>B1482</f>
        <v>Hydrogen fuel cell power plant</v>
      </c>
      <c r="H1482" s="76" t="str">
        <f>C1482</f>
        <v>Electricity only</v>
      </c>
      <c r="I1482" s="161" t="str">
        <f t="shared" si="101"/>
        <v>M</v>
      </c>
      <c r="J1482" s="119" t="s">
        <v>112</v>
      </c>
      <c r="K1482" s="119" t="s">
        <v>112</v>
      </c>
      <c r="L1482" s="119" t="s">
        <v>112</v>
      </c>
      <c r="M1482" s="119" t="s">
        <v>112</v>
      </c>
      <c r="N1482" s="119" t="s">
        <v>112</v>
      </c>
      <c r="O1482" s="119" t="s">
        <v>112</v>
      </c>
      <c r="P1482" s="119" t="s">
        <v>112</v>
      </c>
      <c r="Q1482" s="119" t="s">
        <v>112</v>
      </c>
      <c r="R1482" s="119" t="s">
        <v>112</v>
      </c>
      <c r="S1482" s="119" t="s">
        <v>112</v>
      </c>
      <c r="T1482" s="119" t="s">
        <v>112</v>
      </c>
      <c r="U1482" s="119" t="s">
        <v>112</v>
      </c>
      <c r="V1482" s="119" t="s">
        <v>112</v>
      </c>
      <c r="W1482" s="119" t="s">
        <v>112</v>
      </c>
      <c r="X1482" s="119" t="s">
        <v>112</v>
      </c>
      <c r="Y1482" s="119" t="s">
        <v>112</v>
      </c>
      <c r="Z1482" s="119" t="s">
        <v>112</v>
      </c>
      <c r="AA1482" s="119" t="s">
        <v>112</v>
      </c>
      <c r="AB1482" s="119" t="s">
        <v>112</v>
      </c>
      <c r="AC1482" s="119" t="s">
        <v>112</v>
      </c>
      <c r="AD1482" s="119" t="s">
        <v>112</v>
      </c>
      <c r="AE1482" s="119" t="s">
        <v>112</v>
      </c>
      <c r="AF1482" s="119" t="s">
        <v>112</v>
      </c>
      <c r="AG1482" s="119">
        <v>51.943499999999993</v>
      </c>
      <c r="AH1482" s="119">
        <v>51.943499999999993</v>
      </c>
      <c r="AI1482" s="119">
        <v>51.943499999999993</v>
      </c>
      <c r="AJ1482" s="119">
        <v>51.943499999999993</v>
      </c>
      <c r="AK1482" s="119">
        <v>51.943499999999993</v>
      </c>
      <c r="AL1482" s="119">
        <v>51.943499999999993</v>
      </c>
      <c r="AM1482" s="119">
        <v>51.943499999999993</v>
      </c>
      <c r="AN1482" s="119">
        <v>50.332157903898008</v>
      </c>
      <c r="AO1482" s="119">
        <v>49.802628758790654</v>
      </c>
      <c r="AP1482" s="119">
        <v>49.114091911304449</v>
      </c>
      <c r="AQ1482" s="119">
        <v>48.229980104437843</v>
      </c>
      <c r="AR1482" s="119">
        <v>47.113379592486041</v>
      </c>
      <c r="AS1482" s="119">
        <v>45.733336309505489</v>
      </c>
      <c r="AT1482" s="119">
        <v>44.074760462827022</v>
      </c>
      <c r="AU1482" s="119">
        <v>42.151362505561828</v>
      </c>
      <c r="AV1482" s="119">
        <v>40.018598883798795</v>
      </c>
      <c r="AW1482" s="119">
        <v>37.780358767116162</v>
      </c>
      <c r="AX1482" s="120">
        <v>35.581297499999991</v>
      </c>
    </row>
    <row r="1483" spans="1:50" x14ac:dyDescent="0.25">
      <c r="A1483" s="356"/>
      <c r="B1483" s="359"/>
      <c r="C1483" s="350"/>
      <c r="D1483" s="2" t="s">
        <v>10</v>
      </c>
      <c r="E1483" s="160" t="str">
        <f>A1479&amp;"/"&amp;B1482&amp;"/"&amp;C1482&amp;"/"&amp;D1483</f>
        <v>Fuel cells/Hydrogen fuel cell power plant/Electricity only/S</v>
      </c>
      <c r="F1483" s="76" t="str">
        <f>A1479</f>
        <v>Fuel cells</v>
      </c>
      <c r="G1483" s="76" t="str">
        <f>B1482</f>
        <v>Hydrogen fuel cell power plant</v>
      </c>
      <c r="H1483" s="76" t="str">
        <f>C1482</f>
        <v>Electricity only</v>
      </c>
      <c r="I1483" s="161" t="str">
        <f t="shared" si="101"/>
        <v>S</v>
      </c>
      <c r="J1483" s="119" t="s">
        <v>112</v>
      </c>
      <c r="K1483" s="119" t="s">
        <v>112</v>
      </c>
      <c r="L1483" s="119" t="s">
        <v>112</v>
      </c>
      <c r="M1483" s="119" t="s">
        <v>112</v>
      </c>
      <c r="N1483" s="119" t="s">
        <v>112</v>
      </c>
      <c r="O1483" s="119" t="s">
        <v>112</v>
      </c>
      <c r="P1483" s="119" t="s">
        <v>112</v>
      </c>
      <c r="Q1483" s="119" t="s">
        <v>112</v>
      </c>
      <c r="R1483" s="119" t="s">
        <v>112</v>
      </c>
      <c r="S1483" s="119" t="s">
        <v>112</v>
      </c>
      <c r="T1483" s="119" t="s">
        <v>112</v>
      </c>
      <c r="U1483" s="119" t="s">
        <v>112</v>
      </c>
      <c r="V1483" s="119" t="s">
        <v>112</v>
      </c>
      <c r="W1483" s="119" t="s">
        <v>112</v>
      </c>
      <c r="X1483" s="119" t="s">
        <v>112</v>
      </c>
      <c r="Y1483" s="119" t="s">
        <v>112</v>
      </c>
      <c r="Z1483" s="119" t="s">
        <v>112</v>
      </c>
      <c r="AA1483" s="119" t="s">
        <v>112</v>
      </c>
      <c r="AB1483" s="119" t="s">
        <v>112</v>
      </c>
      <c r="AC1483" s="119" t="s">
        <v>112</v>
      </c>
      <c r="AD1483" s="119" t="s">
        <v>112</v>
      </c>
      <c r="AE1483" s="119">
        <v>57.137849999999993</v>
      </c>
      <c r="AF1483" s="119">
        <v>57.137849999999993</v>
      </c>
      <c r="AG1483" s="119">
        <v>57.137849999999993</v>
      </c>
      <c r="AH1483" s="119">
        <v>57.137849999999993</v>
      </c>
      <c r="AI1483" s="119">
        <v>57.137849999999993</v>
      </c>
      <c r="AJ1483" s="119">
        <v>57.137849999999993</v>
      </c>
      <c r="AK1483" s="119">
        <v>57.137849999999993</v>
      </c>
      <c r="AL1483" s="119">
        <v>57.137849999999993</v>
      </c>
      <c r="AM1483" s="119">
        <v>57.137849999999993</v>
      </c>
      <c r="AN1483" s="119">
        <v>55.92550653700259</v>
      </c>
      <c r="AO1483" s="119">
        <v>55.522607094205753</v>
      </c>
      <c r="AP1483" s="119">
        <v>54.995216058288037</v>
      </c>
      <c r="AQ1483" s="119">
        <v>54.31195433567779</v>
      </c>
      <c r="AR1483" s="119">
        <v>53.438703596132953</v>
      </c>
      <c r="AS1483" s="119">
        <v>52.342276319134641</v>
      </c>
      <c r="AT1483" s="119">
        <v>50.996873163938012</v>
      </c>
      <c r="AU1483" s="119">
        <v>49.393584092678076</v>
      </c>
      <c r="AV1483" s="119">
        <v>47.551826288436956</v>
      </c>
      <c r="AW1483" s="119">
        <v>45.529310635411704</v>
      </c>
      <c r="AX1483" s="120">
        <v>43.424765999999998</v>
      </c>
    </row>
    <row r="1484" spans="1:50" x14ac:dyDescent="0.25">
      <c r="A1484" s="357"/>
      <c r="B1484" s="362"/>
      <c r="C1484" s="354"/>
      <c r="D1484" s="4" t="s">
        <v>20</v>
      </c>
      <c r="E1484" s="160" t="str">
        <f>A1479&amp;"/"&amp;B1482&amp;"/"&amp;C1482&amp;"/"&amp;D1484</f>
        <v>Fuel cells/Hydrogen fuel cell power plant/Electricity only/XS</v>
      </c>
      <c r="F1484" s="76" t="str">
        <f>A1479</f>
        <v>Fuel cells</v>
      </c>
      <c r="G1484" s="76" t="str">
        <f>B1482</f>
        <v>Hydrogen fuel cell power plant</v>
      </c>
      <c r="H1484" s="76" t="str">
        <f>C1482</f>
        <v>Electricity only</v>
      </c>
      <c r="I1484" s="161" t="str">
        <f t="shared" si="101"/>
        <v>XS</v>
      </c>
      <c r="J1484" s="119" t="s">
        <v>112</v>
      </c>
      <c r="K1484" s="119" t="s">
        <v>112</v>
      </c>
      <c r="L1484" s="119" t="s">
        <v>112</v>
      </c>
      <c r="M1484" s="119" t="s">
        <v>112</v>
      </c>
      <c r="N1484" s="119" t="s">
        <v>112</v>
      </c>
      <c r="O1484" s="119" t="s">
        <v>112</v>
      </c>
      <c r="P1484" s="119" t="s">
        <v>112</v>
      </c>
      <c r="Q1484" s="119" t="s">
        <v>112</v>
      </c>
      <c r="R1484" s="119" t="s">
        <v>112</v>
      </c>
      <c r="S1484" s="119" t="s">
        <v>112</v>
      </c>
      <c r="T1484" s="119" t="s">
        <v>112</v>
      </c>
      <c r="U1484" s="119" t="s">
        <v>112</v>
      </c>
      <c r="V1484" s="119" t="s">
        <v>112</v>
      </c>
      <c r="W1484" s="119" t="s">
        <v>112</v>
      </c>
      <c r="X1484" s="119" t="s">
        <v>112</v>
      </c>
      <c r="Y1484" s="119" t="s">
        <v>112</v>
      </c>
      <c r="Z1484" s="119" t="s">
        <v>112</v>
      </c>
      <c r="AA1484" s="119" t="s">
        <v>112</v>
      </c>
      <c r="AB1484" s="119">
        <v>77.136097499999991</v>
      </c>
      <c r="AC1484" s="119">
        <v>77.136097499999991</v>
      </c>
      <c r="AD1484" s="119">
        <v>77.136097499999991</v>
      </c>
      <c r="AE1484" s="119">
        <v>77.136097499999991</v>
      </c>
      <c r="AF1484" s="119">
        <v>77.136097499999991</v>
      </c>
      <c r="AG1484" s="119">
        <v>77.136097499999991</v>
      </c>
      <c r="AH1484" s="119">
        <v>77.136097499999991</v>
      </c>
      <c r="AI1484" s="119">
        <v>77.136097499999991</v>
      </c>
      <c r="AJ1484" s="119">
        <v>77.136097499999991</v>
      </c>
      <c r="AK1484" s="119">
        <v>77.136097499999991</v>
      </c>
      <c r="AL1484" s="119">
        <v>77.136097499999991</v>
      </c>
      <c r="AM1484" s="119">
        <v>77.136097499999991</v>
      </c>
      <c r="AN1484" s="119">
        <v>75.7040167843343</v>
      </c>
      <c r="AO1484" s="119">
        <v>75.228091817530554</v>
      </c>
      <c r="AP1484" s="119">
        <v>74.605111156352748</v>
      </c>
      <c r="AQ1484" s="119">
        <v>73.798008246519387</v>
      </c>
      <c r="AR1484" s="119">
        <v>72.766480810432057</v>
      </c>
      <c r="AS1484" s="119">
        <v>71.471326089477799</v>
      </c>
      <c r="AT1484" s="119">
        <v>69.882068612401781</v>
      </c>
      <c r="AU1484" s="119">
        <v>67.988183396975984</v>
      </c>
      <c r="AV1484" s="119">
        <v>65.812606990716162</v>
      </c>
      <c r="AW1484" s="119">
        <v>63.423510375580079</v>
      </c>
      <c r="AX1484" s="120">
        <v>60.937517024999998</v>
      </c>
    </row>
    <row r="1485" spans="1:50" x14ac:dyDescent="0.25">
      <c r="A1485" s="355" t="s">
        <v>34</v>
      </c>
      <c r="B1485" s="358" t="s">
        <v>35</v>
      </c>
      <c r="C1485" s="353" t="s">
        <v>6</v>
      </c>
      <c r="D1485" s="3" t="s">
        <v>7</v>
      </c>
      <c r="E1485" s="162" t="str">
        <f>A1485&amp;"/"&amp;B1485&amp;"/"&amp;C1485&amp;"/"&amp;D1485</f>
        <v>Wind power plants/Onshore/Electricity only/L</v>
      </c>
      <c r="F1485" s="77" t="str">
        <f>A1485</f>
        <v>Wind power plants</v>
      </c>
      <c r="G1485" s="77" t="str">
        <f>B1485</f>
        <v>Onshore</v>
      </c>
      <c r="H1485" s="77" t="str">
        <f>C1485</f>
        <v>Electricity only</v>
      </c>
      <c r="I1485" s="163" t="str">
        <f t="shared" si="101"/>
        <v>L</v>
      </c>
      <c r="J1485" s="121">
        <v>26.730000000000004</v>
      </c>
      <c r="K1485" s="121">
        <v>25.431120000000004</v>
      </c>
      <c r="L1485" s="121">
        <v>24.578730000000007</v>
      </c>
      <c r="M1485" s="121">
        <v>24.030765000000006</v>
      </c>
      <c r="N1485" s="121">
        <v>23.717628000000005</v>
      </c>
      <c r="O1485" s="121">
        <v>23.482800000000005</v>
      </c>
      <c r="P1485" s="121">
        <v>23.104603793166579</v>
      </c>
      <c r="Q1485" s="121">
        <v>22.856412532432142</v>
      </c>
      <c r="R1485" s="121">
        <v>22.69686100767429</v>
      </c>
      <c r="S1485" s="121">
        <v>22.577197364105903</v>
      </c>
      <c r="T1485" s="121">
        <v>22.537309482916438</v>
      </c>
      <c r="U1485" s="121">
        <v>22.339249602675647</v>
      </c>
      <c r="V1485" s="121">
        <v>22.137500346748421</v>
      </c>
      <c r="W1485" s="121">
        <v>21.932262727033901</v>
      </c>
      <c r="X1485" s="121">
        <v>21.723759149071856</v>
      </c>
      <c r="Y1485" s="121">
        <v>21.512233330705396</v>
      </c>
      <c r="Z1485" s="121">
        <v>21.297950025618061</v>
      </c>
      <c r="AA1485" s="121">
        <v>21.081194538616845</v>
      </c>
      <c r="AB1485" s="121">
        <v>20.862272021635128</v>
      </c>
      <c r="AC1485" s="121">
        <v>20.641506541990779</v>
      </c>
      <c r="AD1485" s="121">
        <v>20.419239917445818</v>
      </c>
      <c r="AE1485" s="121">
        <v>20.195830316048131</v>
      </c>
      <c r="AF1485" s="121">
        <v>19.971650622552637</v>
      </c>
      <c r="AG1485" s="121">
        <v>19.747086577357578</v>
      </c>
      <c r="AH1485" s="121">
        <v>19.522534698276214</v>
      </c>
      <c r="AI1485" s="121">
        <v>19.298400000000001</v>
      </c>
      <c r="AJ1485" s="121">
        <v>19.075093530688534</v>
      </c>
      <c r="AK1485" s="121">
        <v>18.853029749621882</v>
      </c>
      <c r="AL1485" s="121">
        <v>18.632623774141763</v>
      </c>
      <c r="AM1485" s="121">
        <v>18.414288528053014</v>
      </c>
      <c r="AN1485" s="121">
        <v>18.198431827119471</v>
      </c>
      <c r="AO1485" s="121">
        <v>17.985453440137267</v>
      </c>
      <c r="AP1485" s="121">
        <v>17.775742166183363</v>
      </c>
      <c r="AQ1485" s="121">
        <v>17.569672969913555</v>
      </c>
      <c r="AR1485" s="121">
        <v>17.367604217140848</v>
      </c>
      <c r="AS1485" s="121">
        <v>17.169875052306953</v>
      </c>
      <c r="AT1485" s="121">
        <v>16.976802957842757</v>
      </c>
      <c r="AU1485" s="121">
        <v>16.788681532807441</v>
      </c>
      <c r="AV1485" s="121">
        <v>16.605778524645391</v>
      </c>
      <c r="AW1485" s="121">
        <v>16.42833414348334</v>
      </c>
      <c r="AX1485" s="122">
        <v>16.256559683219177</v>
      </c>
    </row>
    <row r="1486" spans="1:50" x14ac:dyDescent="0.25">
      <c r="A1486" s="356"/>
      <c r="B1486" s="359"/>
      <c r="C1486" s="350"/>
      <c r="D1486" s="2" t="s">
        <v>8</v>
      </c>
      <c r="E1486" s="160" t="str">
        <f>A1485&amp;"/"&amp;B1485&amp;"/"&amp;C1485&amp;"/"&amp;D1486</f>
        <v>Wind power plants/Onshore/Electricity only/M</v>
      </c>
      <c r="F1486" s="76" t="str">
        <f>A1485</f>
        <v>Wind power plants</v>
      </c>
      <c r="G1486" s="76" t="str">
        <f>B1485</f>
        <v>Onshore</v>
      </c>
      <c r="H1486" s="76" t="str">
        <f>C1485</f>
        <v>Electricity only</v>
      </c>
      <c r="I1486" s="161" t="str">
        <f t="shared" si="101"/>
        <v>M</v>
      </c>
      <c r="J1486" s="119">
        <v>29.040000000000003</v>
      </c>
      <c r="K1486" s="119">
        <v>28.326056000000001</v>
      </c>
      <c r="L1486" s="119">
        <v>27.826289315000007</v>
      </c>
      <c r="M1486" s="119">
        <v>27.462046104075004</v>
      </c>
      <c r="N1486" s="119">
        <v>27.087735400000003</v>
      </c>
      <c r="O1486" s="119">
        <v>26.554000000000002</v>
      </c>
      <c r="P1486" s="119">
        <v>26.064276394052154</v>
      </c>
      <c r="Q1486" s="119">
        <v>25.750037080235618</v>
      </c>
      <c r="R1486" s="119">
        <v>25.42251189857533</v>
      </c>
      <c r="S1486" s="119">
        <v>25.170803859975571</v>
      </c>
      <c r="T1486" s="119">
        <v>24.921587980173832</v>
      </c>
      <c r="U1486" s="119">
        <v>24.729205444544803</v>
      </c>
      <c r="V1486" s="119">
        <v>24.531697027603443</v>
      </c>
      <c r="W1486" s="119">
        <v>24.329277064269306</v>
      </c>
      <c r="X1486" s="119">
        <v>24.122196966339065</v>
      </c>
      <c r="Y1486" s="119">
        <v>23.91074594524915</v>
      </c>
      <c r="Z1486" s="119">
        <v>23.695251329971512</v>
      </c>
      <c r="AA1486" s="119">
        <v>23.476078430091409</v>
      </c>
      <c r="AB1486" s="119">
        <v>23.253629898278152</v>
      </c>
      <c r="AC1486" s="119">
        <v>23.028344552457849</v>
      </c>
      <c r="AD1486" s="119">
        <v>22.800695626112073</v>
      </c>
      <c r="AE1486" s="119">
        <v>22.571188425261788</v>
      </c>
      <c r="AF1486" s="119">
        <v>22.340357382765433</v>
      </c>
      <c r="AG1486" s="119">
        <v>22.108762514375499</v>
      </c>
      <c r="AH1486" s="119">
        <v>21.876985296260361</v>
      </c>
      <c r="AI1486" s="119">
        <v>21.645624000000002</v>
      </c>
      <c r="AJ1486" s="119">
        <v>21.415288537890294</v>
      </c>
      <c r="AK1486" s="119">
        <v>21.186594888136149</v>
      </c>
      <c r="AL1486" s="119">
        <v>20.960159185501631</v>
      </c>
      <c r="AM1486" s="119">
        <v>20.736591577499194</v>
      </c>
      <c r="AN1486" s="119">
        <v>20.516489958518047</v>
      </c>
      <c r="AO1486" s="119">
        <v>20.300433703728867</v>
      </c>
      <c r="AP1486" s="119">
        <v>20.088977530553944</v>
      </c>
      <c r="AQ1486" s="119">
        <v>19.882645617477706</v>
      </c>
      <c r="AR1486" s="119">
        <v>19.681926107673561</v>
      </c>
      <c r="AS1486" s="119">
        <v>19.487266118214396</v>
      </c>
      <c r="AT1486" s="119">
        <v>19.299067364604767</v>
      </c>
      <c r="AU1486" s="119">
        <v>19.117682495332357</v>
      </c>
      <c r="AV1486" s="119">
        <v>18.943412212607466</v>
      </c>
      <c r="AW1486" s="119">
        <v>18.776503234153861</v>
      </c>
      <c r="AX1486" s="120">
        <v>18.617147127697887</v>
      </c>
    </row>
    <row r="1487" spans="1:50" x14ac:dyDescent="0.25">
      <c r="A1487" s="356"/>
      <c r="B1487" s="359"/>
      <c r="C1487" s="350"/>
      <c r="D1487" s="2" t="s">
        <v>10</v>
      </c>
      <c r="E1487" s="160" t="str">
        <f>A1485&amp;"/"&amp;B1485&amp;"/"&amp;C1485&amp;"/"&amp;D1487</f>
        <v>Wind power plants/Onshore/Electricity only/S</v>
      </c>
      <c r="F1487" s="76" t="str">
        <f>A1485</f>
        <v>Wind power plants</v>
      </c>
      <c r="G1487" s="76" t="str">
        <f>B1485</f>
        <v>Onshore</v>
      </c>
      <c r="H1487" s="76" t="str">
        <f>C1485</f>
        <v>Electricity only</v>
      </c>
      <c r="I1487" s="161" t="str">
        <f t="shared" si="101"/>
        <v>S</v>
      </c>
      <c r="J1487" s="119">
        <v>31.35</v>
      </c>
      <c r="K1487" s="119">
        <v>30.860152520560007</v>
      </c>
      <c r="L1487" s="119">
        <v>30.554606456000002</v>
      </c>
      <c r="M1487" s="119">
        <v>30.252085600000004</v>
      </c>
      <c r="N1487" s="119">
        <v>29.952560000000002</v>
      </c>
      <c r="O1487" s="119">
        <v>29.656000000000002</v>
      </c>
      <c r="P1487" s="119">
        <v>29.177381744307493</v>
      </c>
      <c r="Q1487" s="119">
        <v>28.722694401399604</v>
      </c>
      <c r="R1487" s="119">
        <v>28.29831954801891</v>
      </c>
      <c r="S1487" s="119">
        <v>27.938374840627343</v>
      </c>
      <c r="T1487" s="119">
        <v>27.661757267947863</v>
      </c>
      <c r="U1487" s="119">
        <v>27.457775690896952</v>
      </c>
      <c r="V1487" s="119">
        <v>27.246511841261093</v>
      </c>
      <c r="W1487" s="119">
        <v>27.02817530843118</v>
      </c>
      <c r="X1487" s="119">
        <v>26.803037742730847</v>
      </c>
      <c r="Y1487" s="119">
        <v>26.57143579184353</v>
      </c>
      <c r="Z1487" s="119">
        <v>26.333773300810503</v>
      </c>
      <c r="AA1487" s="119">
        <v>26.090522623810866</v>
      </c>
      <c r="AB1487" s="119">
        <v>25.842224899401064</v>
      </c>
      <c r="AC1487" s="119">
        <v>25.589489150821201</v>
      </c>
      <c r="AD1487" s="119">
        <v>25.332990090141056</v>
      </c>
      <c r="AE1487" s="119">
        <v>25.073464529922234</v>
      </c>
      <c r="AF1487" s="119">
        <v>24.811706338846459</v>
      </c>
      <c r="AG1487" s="119">
        <v>24.548559918074158</v>
      </c>
      <c r="AH1487" s="119">
        <v>24.284912222087868</v>
      </c>
      <c r="AI1487" s="119">
        <v>24.021683400000004</v>
      </c>
      <c r="AJ1487" s="119">
        <v>23.759816188742811</v>
      </c>
      <c r="AK1487" s="119">
        <v>23.500264245662805</v>
      </c>
      <c r="AL1487" s="119">
        <v>23.243979661843337</v>
      </c>
      <c r="AM1487" s="119">
        <v>22.991899945756973</v>
      </c>
      <c r="AN1487" s="119">
        <v>22.744934806344752</v>
      </c>
      <c r="AO1487" s="119">
        <v>22.503953092290097</v>
      </c>
      <c r="AP1487" s="119">
        <v>22.269770257542966</v>
      </c>
      <c r="AQ1487" s="119">
        <v>22.043136720238643</v>
      </c>
      <c r="AR1487" s="119">
        <v>21.824727462185322</v>
      </c>
      <c r="AS1487" s="119">
        <v>21.615133179310781</v>
      </c>
      <c r="AT1487" s="119">
        <v>21.414853241266208</v>
      </c>
      <c r="AU1487" s="119">
        <v>21.224290653300013</v>
      </c>
      <c r="AV1487" s="119">
        <v>21.043749139005378</v>
      </c>
      <c r="AW1487" s="119">
        <v>20.873432382782706</v>
      </c>
      <c r="AX1487" s="120">
        <v>20.713445390388198</v>
      </c>
    </row>
    <row r="1488" spans="1:50" x14ac:dyDescent="0.25">
      <c r="A1488" s="356"/>
      <c r="B1488" s="368"/>
      <c r="C1488" s="360"/>
      <c r="D1488" s="59" t="s">
        <v>20</v>
      </c>
      <c r="E1488" s="166" t="str">
        <f>A1485&amp;"/"&amp;B1485&amp;"/"&amp;C1485&amp;"/"&amp;D1488</f>
        <v>Wind power plants/Onshore/Electricity only/XS</v>
      </c>
      <c r="F1488" s="79" t="str">
        <f>A1485</f>
        <v>Wind power plants</v>
      </c>
      <c r="G1488" s="79" t="str">
        <f>B1485</f>
        <v>Onshore</v>
      </c>
      <c r="H1488" s="79" t="str">
        <f>C1485</f>
        <v>Electricity only</v>
      </c>
      <c r="I1488" s="167" t="str">
        <f t="shared" si="101"/>
        <v>XS</v>
      </c>
      <c r="J1488" s="125">
        <v>37.642000000000003</v>
      </c>
      <c r="K1488" s="125">
        <v>37.293913745915916</v>
      </c>
      <c r="L1488" s="125">
        <v>36.997930303488005</v>
      </c>
      <c r="M1488" s="125">
        <v>36.704295936000008</v>
      </c>
      <c r="N1488" s="125">
        <v>36.412992000000003</v>
      </c>
      <c r="O1488" s="125">
        <v>36.124000000000002</v>
      </c>
      <c r="P1488" s="125">
        <v>35.844424912370414</v>
      </c>
      <c r="Q1488" s="125">
        <v>35.48952961620833</v>
      </c>
      <c r="R1488" s="125">
        <v>35.138148134859733</v>
      </c>
      <c r="S1488" s="125">
        <v>34.790245678078946</v>
      </c>
      <c r="T1488" s="125">
        <v>34.445787800078165</v>
      </c>
      <c r="U1488" s="125">
        <v>34.270049826003529</v>
      </c>
      <c r="V1488" s="125">
        <v>34.08803789400956</v>
      </c>
      <c r="W1488" s="125">
        <v>33.899932573417637</v>
      </c>
      <c r="X1488" s="125">
        <v>33.705967901429659</v>
      </c>
      <c r="Y1488" s="125">
        <v>33.506433912972888</v>
      </c>
      <c r="Z1488" s="125">
        <v>33.301678536082896</v>
      </c>
      <c r="AA1488" s="125">
        <v>33.092108722052437</v>
      </c>
      <c r="AB1488" s="125">
        <v>32.87819068256092</v>
      </c>
      <c r="AC1488" s="125">
        <v>32.660449114553657</v>
      </c>
      <c r="AD1488" s="125">
        <v>32.439465308429213</v>
      </c>
      <c r="AE1488" s="125">
        <v>32.215874056548387</v>
      </c>
      <c r="AF1488" s="125">
        <v>31.990359307313877</v>
      </c>
      <c r="AG1488" s="125">
        <v>31.763648544802354</v>
      </c>
      <c r="AH1488" s="125">
        <v>31.536505914414168</v>
      </c>
      <c r="AI1488" s="125">
        <v>31.309724160000005</v>
      </c>
      <c r="AJ1488" s="125">
        <v>31.084115485686112</v>
      </c>
      <c r="AK1488" s="125">
        <v>30.86050150395565</v>
      </c>
      <c r="AL1488" s="125">
        <v>30.639702477895803</v>
      </c>
      <c r="AM1488" s="125">
        <v>30.422526107113701</v>
      </c>
      <c r="AN1488" s="125">
        <v>30.209756140850864</v>
      </c>
      <c r="AO1488" s="125">
        <v>30.002141125665315</v>
      </c>
      <c r="AP1488" s="125">
        <v>29.800383606498556</v>
      </c>
      <c r="AQ1488" s="125">
        <v>29.605130097436373</v>
      </c>
      <c r="AR1488" s="125">
        <v>29.416962121267353</v>
      </c>
      <c r="AS1488" s="125">
        <v>29.236388585252364</v>
      </c>
      <c r="AT1488" s="125">
        <v>29.063839715552422</v>
      </c>
      <c r="AU1488" s="125">
        <v>28.899662716689242</v>
      </c>
      <c r="AV1488" s="125">
        <v>28.744119258220021</v>
      </c>
      <c r="AW1488" s="125">
        <v>28.597384822089715</v>
      </c>
      <c r="AX1488" s="126">
        <v>28.459549874795986</v>
      </c>
    </row>
    <row r="1489" spans="1:50" x14ac:dyDescent="0.25">
      <c r="A1489" s="356"/>
      <c r="B1489" s="359" t="s">
        <v>36</v>
      </c>
      <c r="C1489" s="361" t="s">
        <v>6</v>
      </c>
      <c r="D1489" s="2" t="s">
        <v>7</v>
      </c>
      <c r="E1489" s="160" t="str">
        <f>A1485&amp;"/"&amp;B1489&amp;"/"&amp;C1489&amp;"/"&amp;D1489</f>
        <v>Wind power plants/Offshore/Electricity only/L</v>
      </c>
      <c r="F1489" s="76" t="str">
        <f>A1485</f>
        <v>Wind power plants</v>
      </c>
      <c r="G1489" s="76" t="str">
        <f>B1489</f>
        <v>Offshore</v>
      </c>
      <c r="H1489" s="76" t="str">
        <f>C1489</f>
        <v>Electricity only</v>
      </c>
      <c r="I1489" s="161" t="str">
        <f t="shared" si="101"/>
        <v>L</v>
      </c>
      <c r="J1489" s="119">
        <v>78.728000000000009</v>
      </c>
      <c r="K1489" s="119">
        <v>77.352258479340009</v>
      </c>
      <c r="L1489" s="119">
        <v>76.586394533999993</v>
      </c>
      <c r="M1489" s="119">
        <v>75.828113400000007</v>
      </c>
      <c r="N1489" s="119">
        <v>75.077340000000007</v>
      </c>
      <c r="O1489" s="119">
        <v>74.334000000000003</v>
      </c>
      <c r="P1489" s="119">
        <v>73.034460956765059</v>
      </c>
      <c r="Q1489" s="119">
        <v>72.311347481945603</v>
      </c>
      <c r="R1489" s="119">
        <v>71.595393546480807</v>
      </c>
      <c r="S1489" s="119">
        <v>70.886528263842379</v>
      </c>
      <c r="T1489" s="119">
        <v>70.184681449348886</v>
      </c>
      <c r="U1489" s="119">
        <v>68.965867368032946</v>
      </c>
      <c r="V1489" s="119">
        <v>67.694129262650421</v>
      </c>
      <c r="W1489" s="119">
        <v>66.377957039637522</v>
      </c>
      <c r="X1489" s="119">
        <v>65.027377569326958</v>
      </c>
      <c r="Y1489" s="119">
        <v>63.653717401738831</v>
      </c>
      <c r="Z1489" s="119">
        <v>62.269273226015791</v>
      </c>
      <c r="AA1489" s="119">
        <v>60.886906604049777</v>
      </c>
      <c r="AB1489" s="119">
        <v>59.519588740985753</v>
      </c>
      <c r="AC1489" s="119">
        <v>58.179927798272118</v>
      </c>
      <c r="AD1489" s="119">
        <v>56.879714222952529</v>
      </c>
      <c r="AE1489" s="119">
        <v>55.629518106781475</v>
      </c>
      <c r="AF1489" s="119">
        <v>54.438366865766071</v>
      </c>
      <c r="AG1489" s="119">
        <v>53.313522506703286</v>
      </c>
      <c r="AH1489" s="119">
        <v>52.260366952853488</v>
      </c>
      <c r="AI1489" s="119">
        <v>51.282393073786672</v>
      </c>
      <c r="AJ1489" s="119">
        <v>50.381289766114143</v>
      </c>
      <c r="AK1489" s="119">
        <v>49.557102751980757</v>
      </c>
      <c r="AL1489" s="119">
        <v>48.808449178591246</v>
      </c>
      <c r="AM1489" s="119">
        <v>48.132763504606494</v>
      </c>
      <c r="AN1489" s="119">
        <v>47.526553997551844</v>
      </c>
      <c r="AO1489" s="119">
        <v>46.985652654422616</v>
      </c>
      <c r="AP1489" s="119">
        <v>46.505445671904049</v>
      </c>
      <c r="AQ1489" s="119">
        <v>46.081076020017044</v>
      </c>
      <c r="AR1489" s="119">
        <v>45.707613692330057</v>
      </c>
      <c r="AS1489" s="119">
        <v>45.380192507456186</v>
      </c>
      <c r="AT1489" s="119">
        <v>45.094114798184307</v>
      </c>
      <c r="AU1489" s="119">
        <v>44.844926964582939</v>
      </c>
      <c r="AV1489" s="119">
        <v>44.628469792281102</v>
      </c>
      <c r="AW1489" s="119">
        <v>44.440907795491889</v>
      </c>
      <c r="AX1489" s="120">
        <v>44.27874179249735</v>
      </c>
    </row>
    <row r="1490" spans="1:50" x14ac:dyDescent="0.25">
      <c r="A1490" s="356"/>
      <c r="B1490" s="359"/>
      <c r="C1490" s="350"/>
      <c r="D1490" s="2" t="s">
        <v>8</v>
      </c>
      <c r="E1490" s="160" t="str">
        <f>A1485&amp;"/"&amp;B1489&amp;"/"&amp;C1489&amp;"/"&amp;D1490</f>
        <v>Wind power plants/Offshore/Electricity only/M</v>
      </c>
      <c r="F1490" s="76" t="str">
        <f>A1485</f>
        <v>Wind power plants</v>
      </c>
      <c r="G1490" s="76" t="str">
        <f>B1489</f>
        <v>Offshore</v>
      </c>
      <c r="H1490" s="76" t="str">
        <f>C1489</f>
        <v>Electricity only</v>
      </c>
      <c r="I1490" s="161" t="str">
        <f t="shared" si="101"/>
        <v>M</v>
      </c>
      <c r="J1490" s="119">
        <v>86.606000000000009</v>
      </c>
      <c r="K1490" s="119">
        <v>85.712471095680016</v>
      </c>
      <c r="L1490" s="119">
        <v>84.863832768000009</v>
      </c>
      <c r="M1490" s="119">
        <v>84.023596800000007</v>
      </c>
      <c r="N1490" s="119">
        <v>83.191680000000005</v>
      </c>
      <c r="O1490" s="119">
        <v>82.368000000000009</v>
      </c>
      <c r="P1490" s="119">
        <v>80.990103909515071</v>
      </c>
      <c r="Q1490" s="119">
        <v>80.188221692589167</v>
      </c>
      <c r="R1490" s="119">
        <v>79.394278903553641</v>
      </c>
      <c r="S1490" s="119">
        <v>78.608196934211534</v>
      </c>
      <c r="T1490" s="119">
        <v>77.829897954664872</v>
      </c>
      <c r="U1490" s="119">
        <v>76.578582164513833</v>
      </c>
      <c r="V1490" s="119">
        <v>75.272931042987764</v>
      </c>
      <c r="W1490" s="119">
        <v>73.921660894027852</v>
      </c>
      <c r="X1490" s="119">
        <v>72.535065971175683</v>
      </c>
      <c r="Y1490" s="119">
        <v>71.124774865785213</v>
      </c>
      <c r="Z1490" s="119">
        <v>69.703412178709556</v>
      </c>
      <c r="AA1490" s="119">
        <v>68.284182446824431</v>
      </c>
      <c r="AB1490" s="119">
        <v>66.880402774078718</v>
      </c>
      <c r="AC1490" s="119">
        <v>65.505017539559375</v>
      </c>
      <c r="AD1490" s="119">
        <v>64.170131602231265</v>
      </c>
      <c r="AE1490" s="119">
        <v>62.886596922962305</v>
      </c>
      <c r="AF1490" s="119">
        <v>61.663681648853178</v>
      </c>
      <c r="AG1490" s="119">
        <v>60.508841440215377</v>
      </c>
      <c r="AH1490" s="119">
        <v>59.427601738262915</v>
      </c>
      <c r="AI1490" s="119">
        <v>58.423548555754323</v>
      </c>
      <c r="AJ1490" s="119">
        <v>57.498415826543855</v>
      </c>
      <c r="AK1490" s="119">
        <v>56.652250492033573</v>
      </c>
      <c r="AL1490" s="119">
        <v>55.883632823353686</v>
      </c>
      <c r="AM1490" s="119">
        <v>55.189928864729332</v>
      </c>
      <c r="AN1490" s="119">
        <v>54.567553770819885</v>
      </c>
      <c r="AO1490" s="119">
        <v>54.01222839187389</v>
      </c>
      <c r="AP1490" s="119">
        <v>53.519215889821496</v>
      </c>
      <c r="AQ1490" s="119">
        <v>53.083529713884168</v>
      </c>
      <c r="AR1490" s="119">
        <v>52.700108390792188</v>
      </c>
      <c r="AS1490" s="119">
        <v>52.363955974321684</v>
      </c>
      <c r="AT1490" s="119">
        <v>52.070249526135889</v>
      </c>
      <c r="AU1490" s="119">
        <v>51.814416683638477</v>
      </c>
      <c r="AV1490" s="119">
        <v>51.592187320075261</v>
      </c>
      <c r="AW1490" s="119">
        <v>51.399623670038338</v>
      </c>
      <c r="AX1490" s="120">
        <v>51.233133240297278</v>
      </c>
    </row>
    <row r="1491" spans="1:50" x14ac:dyDescent="0.25">
      <c r="A1491" s="356"/>
      <c r="B1491" s="359"/>
      <c r="C1491" s="350"/>
      <c r="D1491" s="2" t="s">
        <v>10</v>
      </c>
      <c r="E1491" s="160" t="str">
        <f>A1485&amp;"/"&amp;B1489&amp;"/"&amp;C1489&amp;"/"&amp;D1491</f>
        <v>Wind power plants/Offshore/Electricity only/S</v>
      </c>
      <c r="F1491" s="76" t="str">
        <f>A1485</f>
        <v>Wind power plants</v>
      </c>
      <c r="G1491" s="76" t="str">
        <f>B1489</f>
        <v>Offshore</v>
      </c>
      <c r="H1491" s="76" t="str">
        <f>C1489</f>
        <v>Electricity only</v>
      </c>
      <c r="I1491" s="161" t="str">
        <f t="shared" si="101"/>
        <v>S</v>
      </c>
      <c r="J1491" s="119">
        <v>99.606000000000009</v>
      </c>
      <c r="K1491" s="119">
        <v>99.186211817160014</v>
      </c>
      <c r="L1491" s="119">
        <v>98.204170116</v>
      </c>
      <c r="M1491" s="119">
        <v>97.231851600000013</v>
      </c>
      <c r="N1491" s="119">
        <v>96.269159999999999</v>
      </c>
      <c r="O1491" s="119">
        <v>95.316000000000003</v>
      </c>
      <c r="P1491" s="119">
        <v>93.638637086365307</v>
      </c>
      <c r="Q1491" s="119">
        <v>92.711521867688404</v>
      </c>
      <c r="R1491" s="119">
        <v>91.793586007612291</v>
      </c>
      <c r="S1491" s="119">
        <v>90.884738621398313</v>
      </c>
      <c r="T1491" s="119">
        <v>89.984889724156744</v>
      </c>
      <c r="U1491" s="119">
        <v>88.614401001610375</v>
      </c>
      <c r="V1491" s="119">
        <v>87.184402154224685</v>
      </c>
      <c r="W1491" s="119">
        <v>85.704439610125732</v>
      </c>
      <c r="X1491" s="119">
        <v>84.185788027954317</v>
      </c>
      <c r="Y1491" s="119">
        <v>82.641183483955217</v>
      </c>
      <c r="Z1491" s="119">
        <v>81.084452921919976</v>
      </c>
      <c r="AA1491" s="119">
        <v>79.53005845366485</v>
      </c>
      <c r="AB1491" s="119">
        <v>77.992585478752872</v>
      </c>
      <c r="AC1491" s="119">
        <v>76.486211174279305</v>
      </c>
      <c r="AD1491" s="119">
        <v>75.024193242919949</v>
      </c>
      <c r="AE1491" s="119">
        <v>73.618417165625374</v>
      </c>
      <c r="AF1491" s="119">
        <v>72.279033770172518</v>
      </c>
      <c r="AG1491" s="119">
        <v>71.014208779759684</v>
      </c>
      <c r="AH1491" s="119">
        <v>69.829993868097475</v>
      </c>
      <c r="AI1491" s="119">
        <v>68.730316572968988</v>
      </c>
      <c r="AJ1491" s="119">
        <v>67.717075964786105</v>
      </c>
      <c r="AK1491" s="119">
        <v>66.790323455560568</v>
      </c>
      <c r="AL1491" s="119">
        <v>65.948504104149265</v>
      </c>
      <c r="AM1491" s="119">
        <v>65.18873310184641</v>
      </c>
      <c r="AN1491" s="119">
        <v>64.507084189469396</v>
      </c>
      <c r="AO1491" s="119">
        <v>63.898870679195198</v>
      </c>
      <c r="AP1491" s="119">
        <v>63.358904605518759</v>
      </c>
      <c r="AQ1491" s="119">
        <v>62.881724508063598</v>
      </c>
      <c r="AR1491" s="119">
        <v>62.461786868486676</v>
      </c>
      <c r="AS1491" s="119">
        <v>62.093619936161829</v>
      </c>
      <c r="AT1491" s="119">
        <v>61.771941445291674</v>
      </c>
      <c r="AU1491" s="119">
        <v>61.491743570175473</v>
      </c>
      <c r="AV1491" s="119">
        <v>61.248349505320519</v>
      </c>
      <c r="AW1491" s="119">
        <v>61.037446460041977</v>
      </c>
      <c r="AX1491" s="120">
        <v>60.855099798897008</v>
      </c>
    </row>
    <row r="1492" spans="1:50" x14ac:dyDescent="0.25">
      <c r="A1492" s="357"/>
      <c r="B1492" s="362"/>
      <c r="C1492" s="354"/>
      <c r="D1492" s="4" t="s">
        <v>20</v>
      </c>
      <c r="E1492" s="168" t="str">
        <f>A1485&amp;"/"&amp;B1489&amp;"/"&amp;C1489&amp;"/"&amp;D1492</f>
        <v>Wind power plants/Offshore/Electricity only/XS</v>
      </c>
      <c r="F1492" s="80" t="str">
        <f>A1485</f>
        <v>Wind power plants</v>
      </c>
      <c r="G1492" s="80" t="str">
        <f>B1489</f>
        <v>Offshore</v>
      </c>
      <c r="H1492" s="80" t="str">
        <f>C1489</f>
        <v>Electricity only</v>
      </c>
      <c r="I1492" s="169" t="str">
        <f t="shared" si="101"/>
        <v>XS</v>
      </c>
      <c r="J1492" s="127">
        <v>119.52200000000001</v>
      </c>
      <c r="K1492" s="127">
        <v>119.52200000000001</v>
      </c>
      <c r="L1492" s="127">
        <v>118.50934222400001</v>
      </c>
      <c r="M1492" s="127">
        <v>117.33598240000002</v>
      </c>
      <c r="N1492" s="127">
        <v>116.17424</v>
      </c>
      <c r="O1492" s="127">
        <v>115.02400000000002</v>
      </c>
      <c r="P1492" s="127">
        <v>113.26639616639976</v>
      </c>
      <c r="Q1492" s="127">
        <v>112.14494669940568</v>
      </c>
      <c r="R1492" s="127">
        <v>111.03460069248089</v>
      </c>
      <c r="S1492" s="127">
        <v>109.93524821037714</v>
      </c>
      <c r="T1492" s="127">
        <v>108.84678040631398</v>
      </c>
      <c r="U1492" s="127">
        <v>107.32553792428753</v>
      </c>
      <c r="V1492" s="127">
        <v>105.7382392036894</v>
      </c>
      <c r="W1492" s="127">
        <v>104.09548077973956</v>
      </c>
      <c r="X1492" s="127">
        <v>102.40977752352927</v>
      </c>
      <c r="Y1492" s="127">
        <v>100.69526647969029</v>
      </c>
      <c r="Z1492" s="127">
        <v>98.967295555831171</v>
      </c>
      <c r="AA1492" s="127">
        <v>97.241917696067972</v>
      </c>
      <c r="AB1492" s="127">
        <v>95.535322693915674</v>
      </c>
      <c r="AC1492" s="127">
        <v>93.863247215950025</v>
      </c>
      <c r="AD1492" s="127">
        <v>92.24040731214113</v>
      </c>
      <c r="AE1492" s="127">
        <v>90.679995866344157</v>
      </c>
      <c r="AF1492" s="127">
        <v>89.193280297391482</v>
      </c>
      <c r="AG1492" s="127">
        <v>87.789324558033258</v>
      </c>
      <c r="AH1492" s="127">
        <v>86.4748460060882</v>
      </c>
      <c r="AI1492" s="127">
        <v>85.254204208495594</v>
      </c>
      <c r="AJ1492" s="127">
        <v>84.129507133412588</v>
      </c>
      <c r="AK1492" s="127">
        <v>83.100811848172228</v>
      </c>
      <c r="AL1492" s="127">
        <v>82.166392368105676</v>
      </c>
      <c r="AM1492" s="127">
        <v>81.32304655554951</v>
      </c>
      <c r="AN1492" s="127">
        <v>80.566416262811018</v>
      </c>
      <c r="AO1492" s="127">
        <v>79.891299266406662</v>
      </c>
      <c r="AP1492" s="127">
        <v>79.29193692462583</v>
      </c>
      <c r="AQ1492" s="127">
        <v>78.762267016450593</v>
      </c>
      <c r="AR1492" s="127">
        <v>78.296136236520198</v>
      </c>
      <c r="AS1492" s="127">
        <v>77.887470941639634</v>
      </c>
      <c r="AT1492" s="127">
        <v>77.53040781677376</v>
      </c>
      <c r="AU1492" s="127">
        <v>77.219388175394769</v>
      </c>
      <c r="AV1492" s="127">
        <v>76.949220763405776</v>
      </c>
      <c r="AW1492" s="127">
        <v>76.715118383146589</v>
      </c>
      <c r="AX1492" s="128">
        <v>76.512713589275677</v>
      </c>
    </row>
    <row r="1493" spans="1:50" x14ac:dyDescent="0.25">
      <c r="A1493" s="355" t="s">
        <v>37</v>
      </c>
      <c r="B1493" s="358" t="s">
        <v>37</v>
      </c>
      <c r="C1493" s="353" t="s">
        <v>6</v>
      </c>
      <c r="D1493" s="3" t="s">
        <v>7</v>
      </c>
      <c r="E1493" s="162" t="str">
        <f>A1493&amp;"/"&amp;B1493&amp;"/"&amp;C1493&amp;"/"&amp;D1493</f>
        <v>Solar PV power plants/Solar PV power plants/Electricity only/L</v>
      </c>
      <c r="F1493" s="77" t="str">
        <f>A1493</f>
        <v>Solar PV power plants</v>
      </c>
      <c r="G1493" s="77" t="str">
        <f>B1493</f>
        <v>Solar PV power plants</v>
      </c>
      <c r="H1493" s="77" t="str">
        <f>C1493</f>
        <v>Electricity only</v>
      </c>
      <c r="I1493" s="163" t="str">
        <f t="shared" si="101"/>
        <v>L</v>
      </c>
      <c r="J1493" s="121">
        <v>32.4</v>
      </c>
      <c r="K1493" s="121">
        <v>25.544647593517269</v>
      </c>
      <c r="L1493" s="121">
        <v>22.116971390275904</v>
      </c>
      <c r="M1493" s="121">
        <v>20.403133288655216</v>
      </c>
      <c r="N1493" s="121">
        <v>18.689295187034531</v>
      </c>
      <c r="O1493" s="121">
        <v>18.477443953586423</v>
      </c>
      <c r="P1493" s="121">
        <v>17.055899308701481</v>
      </c>
      <c r="Q1493" s="121">
        <v>14.009983301083061</v>
      </c>
      <c r="R1493" s="121">
        <v>13.525511574938848</v>
      </c>
      <c r="S1493" s="121">
        <v>13.065319163351232</v>
      </c>
      <c r="T1493" s="121">
        <v>12.629633369896467</v>
      </c>
      <c r="U1493" s="121">
        <v>12.218554560732743</v>
      </c>
      <c r="V1493" s="121">
        <v>11.832055522602575</v>
      </c>
      <c r="W1493" s="121">
        <v>11.469982332413336</v>
      </c>
      <c r="X1493" s="121">
        <v>11.132056770176737</v>
      </c>
      <c r="Y1493" s="121">
        <v>10.817880276503535</v>
      </c>
      <c r="Z1493" s="121">
        <v>10.526939423364514</v>
      </c>
      <c r="AA1493" s="121">
        <v>10.258612833321431</v>
      </c>
      <c r="AB1493" s="121">
        <v>10.012179448900891</v>
      </c>
      <c r="AC1493" s="121">
        <v>9.7868280213134842</v>
      </c>
      <c r="AD1493" s="121">
        <v>9.581667657443397</v>
      </c>
      <c r="AE1493" s="121">
        <v>9.3957392370811803</v>
      </c>
      <c r="AF1493" s="121">
        <v>9.2280274898260046</v>
      </c>
      <c r="AG1493" s="121">
        <v>9.077473503916961</v>
      </c>
      <c r="AH1493" s="121">
        <v>8.9429874282800395</v>
      </c>
      <c r="AI1493" s="121">
        <v>8.8234611249003834</v>
      </c>
      <c r="AJ1493" s="121">
        <v>8.7177805315969916</v>
      </c>
      <c r="AK1493" s="121">
        <v>8.6248375054507385</v>
      </c>
      <c r="AL1493" s="121">
        <v>8.5435409342730146</v>
      </c>
      <c r="AM1493" s="121">
        <v>8.4728269270506136</v>
      </c>
      <c r="AN1493" s="121">
        <v>8.4116679234193548</v>
      </c>
      <c r="AO1493" s="121">
        <v>8.3590805958021424</v>
      </c>
      <c r="AP1493" s="121">
        <v>8.314132454584561</v>
      </c>
      <c r="AQ1493" s="121">
        <v>8.2759471051359004</v>
      </c>
      <c r="AR1493" s="121">
        <v>8.2437081440878632</v>
      </c>
      <c r="AS1493" s="121">
        <v>8.216661719540026</v>
      </c>
      <c r="AT1493" s="121">
        <v>8.1941178143443967</v>
      </c>
      <c r="AU1493" s="121">
        <v>8.1754503420737006</v>
      </c>
      <c r="AV1493" s="121">
        <v>8.1600961706744144</v>
      </c>
      <c r="AW1493" s="121">
        <v>8.1475532084060589</v>
      </c>
      <c r="AX1493" s="122">
        <v>8.1373777000476899</v>
      </c>
    </row>
    <row r="1494" spans="1:50" x14ac:dyDescent="0.25">
      <c r="A1494" s="356"/>
      <c r="B1494" s="359"/>
      <c r="C1494" s="350"/>
      <c r="D1494" s="2" t="s">
        <v>8</v>
      </c>
      <c r="E1494" s="160" t="str">
        <f>A1493&amp;"/"&amp;B1493&amp;"/"&amp;C1493&amp;"/"&amp;D1494</f>
        <v>Solar PV power plants/Solar PV power plants/Electricity only/M</v>
      </c>
      <c r="F1494" s="76" t="str">
        <f>A1493</f>
        <v>Solar PV power plants</v>
      </c>
      <c r="G1494" s="76" t="str">
        <f>B1493</f>
        <v>Solar PV power plants</v>
      </c>
      <c r="H1494" s="76" t="str">
        <f>C1493</f>
        <v>Electricity only</v>
      </c>
      <c r="I1494" s="161" t="str">
        <f t="shared" si="101"/>
        <v>M</v>
      </c>
      <c r="J1494" s="119">
        <v>34.65</v>
      </c>
      <c r="K1494" s="119">
        <v>28.051723308760373</v>
      </c>
      <c r="L1494" s="119">
        <v>24.432560846824224</v>
      </c>
      <c r="M1494" s="119">
        <v>22.452554783755872</v>
      </c>
      <c r="N1494" s="119">
        <v>20.296330793396294</v>
      </c>
      <c r="O1494" s="119">
        <v>19.760599783696588</v>
      </c>
      <c r="P1494" s="119">
        <v>18.386945094047434</v>
      </c>
      <c r="Q1494" s="119">
        <v>16.339824052171121</v>
      </c>
      <c r="R1494" s="119">
        <v>15.710474315253556</v>
      </c>
      <c r="S1494" s="119">
        <v>15.112664458589364</v>
      </c>
      <c r="T1494" s="119">
        <v>14.546689759360257</v>
      </c>
      <c r="U1494" s="119">
        <v>14.012680597548892</v>
      </c>
      <c r="V1494" s="119">
        <v>13.510601621956193</v>
      </c>
      <c r="W1494" s="119">
        <v>13.040252879824084</v>
      </c>
      <c r="X1494" s="119">
        <v>12.601272951348308</v>
      </c>
      <c r="Y1494" s="119">
        <v>12.193144090635279</v>
      </c>
      <c r="Z1494" s="119">
        <v>11.815199332457356</v>
      </c>
      <c r="AA1494" s="119">
        <v>11.466631480633257</v>
      </c>
      <c r="AB1494" s="119">
        <v>11.146503850302556</v>
      </c>
      <c r="AC1494" s="119">
        <v>10.85376259418245</v>
      </c>
      <c r="AD1494" s="119">
        <v>10.587250403563679</v>
      </c>
      <c r="AE1494" s="119">
        <v>10.345721339789941</v>
      </c>
      <c r="AF1494" s="119">
        <v>10.127856522676524</v>
      </c>
      <c r="AG1494" s="119">
        <v>9.932280380023478</v>
      </c>
      <c r="AH1494" s="119">
        <v>9.757577148124291</v>
      </c>
      <c r="AI1494" s="119">
        <v>9.602307307744951</v>
      </c>
      <c r="AJ1494" s="119">
        <v>9.4650236439032689</v>
      </c>
      <c r="AK1494" s="119">
        <v>9.3442866309943753</v>
      </c>
      <c r="AL1494" s="119">
        <v>9.238678867069325</v>
      </c>
      <c r="AM1494" s="119">
        <v>9.1468183116639565</v>
      </c>
      <c r="AN1494" s="119">
        <v>9.0673701193993477</v>
      </c>
      <c r="AO1494" s="119">
        <v>8.9990569052010869</v>
      </c>
      <c r="AP1494" s="119">
        <v>8.9406673247082153</v>
      </c>
      <c r="AQ1494" s="119">
        <v>8.891062903371008</v>
      </c>
      <c r="AR1494" s="119">
        <v>8.8491830978856481</v>
      </c>
      <c r="AS1494" s="119">
        <v>8.8140486220118675</v>
      </c>
      <c r="AT1494" s="119">
        <v>8.784763113615158</v>
      </c>
      <c r="AU1494" s="119">
        <v>8.7605132593337114</v>
      </c>
      <c r="AV1494" s="119">
        <v>8.7405675262614544</v>
      </c>
      <c r="AW1494" s="119">
        <v>8.724273675500374</v>
      </c>
      <c r="AX1494" s="120">
        <v>8.7110552498157467</v>
      </c>
    </row>
    <row r="1495" spans="1:50" x14ac:dyDescent="0.25">
      <c r="A1495" s="356"/>
      <c r="B1495" s="359"/>
      <c r="C1495" s="350"/>
      <c r="D1495" s="2" t="s">
        <v>10</v>
      </c>
      <c r="E1495" s="160" t="str">
        <f>A1493&amp;"/"&amp;B1493&amp;"/"&amp;C1493&amp;"/"&amp;D1495</f>
        <v>Solar PV power plants/Solar PV power plants/Electricity only/S</v>
      </c>
      <c r="F1495" s="76" t="str">
        <f>A1493</f>
        <v>Solar PV power plants</v>
      </c>
      <c r="G1495" s="76" t="str">
        <f>B1493</f>
        <v>Solar PV power plants</v>
      </c>
      <c r="H1495" s="76" t="str">
        <f>C1493</f>
        <v>Electricity only</v>
      </c>
      <c r="I1495" s="161" t="str">
        <f t="shared" si="101"/>
        <v>S</v>
      </c>
      <c r="J1495" s="119">
        <v>42.3</v>
      </c>
      <c r="K1495" s="119">
        <v>35.283467274246256</v>
      </c>
      <c r="L1495" s="119">
        <v>28.456920665374476</v>
      </c>
      <c r="M1495" s="119">
        <v>25.212035510624087</v>
      </c>
      <c r="N1495" s="119">
        <v>22.075642385612962</v>
      </c>
      <c r="O1495" s="119">
        <v>21.738731939183197</v>
      </c>
      <c r="P1495" s="119">
        <v>18.721647476391862</v>
      </c>
      <c r="Q1495" s="119">
        <v>18.113067934794387</v>
      </c>
      <c r="R1495" s="119">
        <v>17.570546829121056</v>
      </c>
      <c r="S1495" s="119">
        <v>17.040825791329929</v>
      </c>
      <c r="T1495" s="119">
        <v>16.525334295670547</v>
      </c>
      <c r="U1495" s="119">
        <v>16.025435278546979</v>
      </c>
      <c r="V1495" s="119">
        <v>15.542408826588126</v>
      </c>
      <c r="W1495" s="119">
        <v>15.077436223375111</v>
      </c>
      <c r="X1495" s="119">
        <v>14.631584706855653</v>
      </c>
      <c r="Y1495" s="119">
        <v>14.205793303111152</v>
      </c>
      <c r="Z1495" s="119">
        <v>13.800860105104094</v>
      </c>
      <c r="AA1495" s="119">
        <v>13.417431355820725</v>
      </c>
      <c r="AB1495" s="119">
        <v>13.05599267271138</v>
      </c>
      <c r="AC1495" s="119">
        <v>12.716862713898889</v>
      </c>
      <c r="AD1495" s="119">
        <v>12.400189536270531</v>
      </c>
      <c r="AE1495" s="119">
        <v>12.105949832005551</v>
      </c>
      <c r="AF1495" s="119">
        <v>11.833951154803115</v>
      </c>
      <c r="AG1495" s="119">
        <v>11.5838371623441</v>
      </c>
      <c r="AH1495" s="119">
        <v>11.355095810372408</v>
      </c>
      <c r="AI1495" s="119">
        <v>11.147070339902056</v>
      </c>
      <c r="AJ1495" s="119">
        <v>10.958972806622512</v>
      </c>
      <c r="AK1495" s="119">
        <v>10.7898998150423</v>
      </c>
      <c r="AL1495" s="119">
        <v>10.638850043747748</v>
      </c>
      <c r="AM1495" s="119">
        <v>10.504743086547133</v>
      </c>
      <c r="AN1495" s="119">
        <v>10.386439090822126</v>
      </c>
      <c r="AO1495" s="119">
        <v>10.28275865184863</v>
      </c>
      <c r="AP1495" s="119">
        <v>10.192502421794607</v>
      </c>
      <c r="AQ1495" s="119">
        <v>10.114469914883886</v>
      </c>
      <c r="AR1495" s="119">
        <v>10.047477034796824</v>
      </c>
      <c r="AS1495" s="119">
        <v>9.990371914385225</v>
      </c>
      <c r="AT1495" s="119">
        <v>9.9420487376287259</v>
      </c>
      <c r="AU1495" s="119">
        <v>9.9014593049067852</v>
      </c>
      <c r="AV1495" s="119">
        <v>9.8676221999157612</v>
      </c>
      <c r="AW1495" s="119">
        <v>9.8396295144764743</v>
      </c>
      <c r="AX1495" s="120">
        <v>9.8166511807493713</v>
      </c>
    </row>
    <row r="1496" spans="1:50" x14ac:dyDescent="0.25">
      <c r="A1496" s="357"/>
      <c r="B1496" s="362"/>
      <c r="C1496" s="354"/>
      <c r="D1496" s="4" t="s">
        <v>20</v>
      </c>
      <c r="E1496" s="168" t="str">
        <f>A1493&amp;"/"&amp;B1493&amp;"/"&amp;C1493&amp;"/"&amp;D1496</f>
        <v>Solar PV power plants/Solar PV power plants/Electricity only/XS</v>
      </c>
      <c r="F1496" s="80" t="str">
        <f>A1493</f>
        <v>Solar PV power plants</v>
      </c>
      <c r="G1496" s="80" t="str">
        <f>B1493</f>
        <v>Solar PV power plants</v>
      </c>
      <c r="H1496" s="80" t="str">
        <f>C1493</f>
        <v>Electricity only</v>
      </c>
      <c r="I1496" s="169" t="str">
        <f t="shared" si="101"/>
        <v>XS</v>
      </c>
      <c r="J1496" s="127">
        <v>45</v>
      </c>
      <c r="K1496" s="127">
        <v>37.666991274540351</v>
      </c>
      <c r="L1496" s="127">
        <v>30.356545652851349</v>
      </c>
      <c r="M1496" s="127">
        <v>26.713506918042999</v>
      </c>
      <c r="N1496" s="127">
        <v>23.035621725771268</v>
      </c>
      <c r="O1496" s="127">
        <v>22.436896229354936</v>
      </c>
      <c r="P1496" s="127">
        <v>19.171556096218925</v>
      </c>
      <c r="Q1496" s="127">
        <v>18.516118280963578</v>
      </c>
      <c r="R1496" s="127">
        <v>17.98770038725096</v>
      </c>
      <c r="S1496" s="127">
        <v>17.471749814789003</v>
      </c>
      <c r="T1496" s="127">
        <v>16.969658877653892</v>
      </c>
      <c r="U1496" s="127">
        <v>16.482755081773732</v>
      </c>
      <c r="V1496" s="127">
        <v>16.01228523703876</v>
      </c>
      <c r="W1496" s="127">
        <v>15.5593999187451</v>
      </c>
      <c r="X1496" s="127">
        <v>15.125138621250716</v>
      </c>
      <c r="Y1496" s="127">
        <v>14.71041596000353</v>
      </c>
      <c r="Z1496" s="127">
        <v>14.316009280986615</v>
      </c>
      <c r="AA1496" s="127">
        <v>13.942548027652112</v>
      </c>
      <c r="AB1496" s="127">
        <v>13.59050519348834</v>
      </c>
      <c r="AC1496" s="127">
        <v>13.26019115287948</v>
      </c>
      <c r="AD1496" s="127">
        <v>12.951750113871466</v>
      </c>
      <c r="AE1496" s="127">
        <v>12.665159374546489</v>
      </c>
      <c r="AF1496" s="127">
        <v>12.400231491378614</v>
      </c>
      <c r="AG1496" s="127">
        <v>12.156619385414155</v>
      </c>
      <c r="AH1496" s="127">
        <v>11.933824323342158</v>
      </c>
      <c r="AI1496" s="127">
        <v>11.731206619081435</v>
      </c>
      <c r="AJ1496" s="127">
        <v>11.547998811479632</v>
      </c>
      <c r="AK1496" s="127">
        <v>11.383320989436886</v>
      </c>
      <c r="AL1496" s="127">
        <v>11.236197861583312</v>
      </c>
      <c r="AM1496" s="127">
        <v>11.105577107634568</v>
      </c>
      <c r="AN1496" s="127">
        <v>10.990348506230742</v>
      </c>
      <c r="AO1496" s="127">
        <v>10.889363312090545</v>
      </c>
      <c r="AP1496" s="127">
        <v>10.801453355259657</v>
      </c>
      <c r="AQ1496" s="127">
        <v>10.725449357421263</v>
      </c>
      <c r="AR1496" s="127">
        <v>10.660198003659808</v>
      </c>
      <c r="AS1496" s="127">
        <v>10.604577370411537</v>
      </c>
      <c r="AT1496" s="127">
        <v>10.557510388109565</v>
      </c>
      <c r="AU1496" s="127">
        <v>10.517976105808605</v>
      </c>
      <c r="AV1496" s="127">
        <v>10.485018619801682</v>
      </c>
      <c r="AW1496" s="127">
        <v>10.457753623611664</v>
      </c>
      <c r="AX1496" s="128">
        <v>10.435372627587498</v>
      </c>
    </row>
    <row r="1497" spans="1:50" x14ac:dyDescent="0.25">
      <c r="A1497" s="355" t="s">
        <v>38</v>
      </c>
      <c r="B1497" s="358" t="s">
        <v>38</v>
      </c>
      <c r="C1497" s="353" t="s">
        <v>6</v>
      </c>
      <c r="D1497" s="3" t="s">
        <v>7</v>
      </c>
      <c r="E1497" s="162" t="str">
        <f>A1497&amp;"/"&amp;B1497&amp;"/"&amp;C1497&amp;"/"&amp;D1497</f>
        <v>Solar thermal power plants/Solar thermal power plants/Electricity only/L</v>
      </c>
      <c r="F1497" s="77" t="str">
        <f>A1497</f>
        <v>Solar thermal power plants</v>
      </c>
      <c r="G1497" s="77" t="str">
        <f>B1497</f>
        <v>Solar thermal power plants</v>
      </c>
      <c r="H1497" s="77" t="str">
        <f>C1497</f>
        <v>Electricity only</v>
      </c>
      <c r="I1497" s="163" t="str">
        <f t="shared" si="101"/>
        <v>L</v>
      </c>
      <c r="J1497" s="121">
        <v>75.140000000000015</v>
      </c>
      <c r="K1497" s="121">
        <v>75.12187801494413</v>
      </c>
      <c r="L1497" s="121">
        <v>75.099768958219926</v>
      </c>
      <c r="M1497" s="121">
        <v>75.072802400947509</v>
      </c>
      <c r="N1497" s="121">
        <v>75.039921203122148</v>
      </c>
      <c r="O1497" s="121">
        <v>74.999843083499016</v>
      </c>
      <c r="P1497" s="121">
        <v>74.951015074938539</v>
      </c>
      <c r="Q1497" s="121">
        <v>74.891559946314487</v>
      </c>
      <c r="R1497" s="121">
        <v>74.819213767993077</v>
      </c>
      <c r="S1497" s="121">
        <v>74.73125404381706</v>
      </c>
      <c r="T1497" s="121">
        <v>74.624418310830407</v>
      </c>
      <c r="U1497" s="121">
        <v>74.494813932866322</v>
      </c>
      <c r="V1497" s="121">
        <v>74.337821138009545</v>
      </c>
      <c r="W1497" s="121">
        <v>74.147993366223815</v>
      </c>
      <c r="X1497" s="121">
        <v>73.918961930045114</v>
      </c>
      <c r="Y1497" s="121">
        <v>73.643356085417579</v>
      </c>
      <c r="Z1497" s="121">
        <v>73.312755048870869</v>
      </c>
      <c r="AA1497" s="121">
        <v>72.917695304827419</v>
      </c>
      <c r="AB1497" s="121">
        <v>72.447764389774719</v>
      </c>
      <c r="AC1497" s="121">
        <v>71.891820240242708</v>
      </c>
      <c r="AD1497" s="121">
        <v>71.238381155834318</v>
      </c>
      <c r="AE1497" s="121">
        <v>70.4762320839056</v>
      </c>
      <c r="AF1497" s="121">
        <v>69.595283385155255</v>
      </c>
      <c r="AG1497" s="121">
        <v>68.587692557613835</v>
      </c>
      <c r="AH1497" s="121">
        <v>67.449212261973031</v>
      </c>
      <c r="AI1497" s="121">
        <v>66.18065796799489</v>
      </c>
      <c r="AJ1497" s="121">
        <v>64.789302748710313</v>
      </c>
      <c r="AK1497" s="121">
        <v>63.289925252693287</v>
      </c>
      <c r="AL1497" s="121">
        <v>61.705193203958082</v>
      </c>
      <c r="AM1497" s="121">
        <v>60.065098010947317</v>
      </c>
      <c r="AN1497" s="121">
        <v>58.405292740686576</v>
      </c>
      <c r="AO1497" s="121">
        <v>56.764416873251548</v>
      </c>
      <c r="AP1497" s="121">
        <v>55.180759117564897</v>
      </c>
      <c r="AQ1497" s="121">
        <v>53.688819817132675</v>
      </c>
      <c r="AR1497" s="121">
        <v>52.316397025584557</v>
      </c>
      <c r="AS1497" s="121">
        <v>51.082698728881475</v>
      </c>
      <c r="AT1497" s="121">
        <v>49.997719889954048</v>
      </c>
      <c r="AU1497" s="121">
        <v>49.062817538971011</v>
      </c>
      <c r="AV1497" s="121">
        <v>48.272176820643075</v>
      </c>
      <c r="AW1497" s="121">
        <v>47.61474902076948</v>
      </c>
      <c r="AX1497" s="122">
        <v>47.07626081059793</v>
      </c>
    </row>
    <row r="1498" spans="1:50" x14ac:dyDescent="0.25">
      <c r="A1498" s="356"/>
      <c r="B1498" s="359"/>
      <c r="C1498" s="350"/>
      <c r="D1498" s="2" t="s">
        <v>8</v>
      </c>
      <c r="E1498" s="160" t="str">
        <f>A1497&amp;"/"&amp;B1497&amp;"/"&amp;C1497&amp;"/"&amp;D1498</f>
        <v>Solar thermal power plants/Solar thermal power plants/Electricity only/M</v>
      </c>
      <c r="F1498" s="76" t="str">
        <f>A1497</f>
        <v>Solar thermal power plants</v>
      </c>
      <c r="G1498" s="76" t="str">
        <f>B1497</f>
        <v>Solar thermal power plants</v>
      </c>
      <c r="H1498" s="76" t="str">
        <f>C1497</f>
        <v>Electricity only</v>
      </c>
      <c r="I1498" s="161" t="str">
        <f t="shared" si="101"/>
        <v>M</v>
      </c>
      <c r="J1498" s="119">
        <v>81.151200000000003</v>
      </c>
      <c r="K1498" s="119">
        <v>81.137623283944791</v>
      </c>
      <c r="L1498" s="119">
        <v>81.121056045723023</v>
      </c>
      <c r="M1498" s="119">
        <v>81.100843715736531</v>
      </c>
      <c r="N1498" s="119">
        <v>81.076190481581094</v>
      </c>
      <c r="O1498" s="119">
        <v>81.04612980408902</v>
      </c>
      <c r="P1498" s="119">
        <v>81.009489266279076</v>
      </c>
      <c r="Q1498" s="119">
        <v>80.964848908911193</v>
      </c>
      <c r="R1498" s="119">
        <v>80.910492207852954</v>
      </c>
      <c r="S1498" s="119">
        <v>80.844348933702591</v>
      </c>
      <c r="T1498" s="119">
        <v>80.763929355228129</v>
      </c>
      <c r="U1498" s="119">
        <v>80.66624967980303</v>
      </c>
      <c r="V1498" s="119">
        <v>80.547749369552676</v>
      </c>
      <c r="W1498" s="119">
        <v>80.404202169226451</v>
      </c>
      <c r="X1498" s="119">
        <v>80.230624505497744</v>
      </c>
      <c r="Y1498" s="119">
        <v>80.021187572781898</v>
      </c>
      <c r="Z1498" s="119">
        <v>79.769143120513135</v>
      </c>
      <c r="AA1498" s="119">
        <v>79.466777867397283</v>
      </c>
      <c r="AB1498" s="119">
        <v>79.105417605844266</v>
      </c>
      <c r="AC1498" s="119">
        <v>78.675509117268263</v>
      </c>
      <c r="AD1498" s="119">
        <v>78.166815106937321</v>
      </c>
      <c r="AE1498" s="119">
        <v>77.568762686114155</v>
      </c>
      <c r="AF1498" s="119">
        <v>76.870986452580013</v>
      </c>
      <c r="AG1498" s="119">
        <v>76.064098586939267</v>
      </c>
      <c r="AH1498" s="119">
        <v>75.14069535442566</v>
      </c>
      <c r="AI1498" s="119">
        <v>74.096567368445477</v>
      </c>
      <c r="AJ1498" s="119">
        <v>72.932018857761463</v>
      </c>
      <c r="AK1498" s="119">
        <v>71.653125526036149</v>
      </c>
      <c r="AL1498" s="119">
        <v>70.272689266763038</v>
      </c>
      <c r="AM1498" s="119">
        <v>68.810610349972364</v>
      </c>
      <c r="AN1498" s="119">
        <v>67.293427391549216</v>
      </c>
      <c r="AO1498" s="119">
        <v>65.752894588951719</v>
      </c>
      <c r="AP1498" s="119">
        <v>64.223665587101991</v>
      </c>
      <c r="AQ1498" s="119">
        <v>62.7403837077212</v>
      </c>
      <c r="AR1498" s="119">
        <v>61.334658879797928</v>
      </c>
      <c r="AS1498" s="119">
        <v>60.032466982971606</v>
      </c>
      <c r="AT1498" s="119">
        <v>58.852407595961076</v>
      </c>
      <c r="AU1498" s="119">
        <v>57.805036581052839</v>
      </c>
      <c r="AV1498" s="119">
        <v>56.893233718439859</v>
      </c>
      <c r="AW1498" s="119">
        <v>56.113360852619749</v>
      </c>
      <c r="AX1498" s="120">
        <v>55.456865572545738</v>
      </c>
    </row>
    <row r="1499" spans="1:50" x14ac:dyDescent="0.25">
      <c r="A1499" s="356"/>
      <c r="B1499" s="359"/>
      <c r="C1499" s="350"/>
      <c r="D1499" s="2" t="s">
        <v>10</v>
      </c>
      <c r="E1499" s="160" t="str">
        <f>A1497&amp;"/"&amp;B1497&amp;"/"&amp;C1497&amp;"/"&amp;D1499</f>
        <v>Solar thermal power plants/Solar thermal power plants/Electricity only/S</v>
      </c>
      <c r="F1499" s="76" t="str">
        <f>A1497</f>
        <v>Solar thermal power plants</v>
      </c>
      <c r="G1499" s="76" t="str">
        <f>B1497</f>
        <v>Solar thermal power plants</v>
      </c>
      <c r="H1499" s="76" t="str">
        <f>C1497</f>
        <v>Electricity only</v>
      </c>
      <c r="I1499" s="161" t="str">
        <f t="shared" si="101"/>
        <v>S</v>
      </c>
      <c r="J1499" s="119">
        <v>93.323879999999988</v>
      </c>
      <c r="K1499" s="119">
        <v>93.312674572617539</v>
      </c>
      <c r="L1499" s="119">
        <v>93.298998184975787</v>
      </c>
      <c r="M1499" s="119">
        <v>93.282308637059259</v>
      </c>
      <c r="N1499" s="119">
        <v>93.261946068873286</v>
      </c>
      <c r="O1499" s="119">
        <v>93.23710807137526</v>
      </c>
      <c r="P1499" s="119">
        <v>93.206819848510889</v>
      </c>
      <c r="Q1499" s="119">
        <v>93.169898603176065</v>
      </c>
      <c r="R1499" s="119">
        <v>93.124911262639117</v>
      </c>
      <c r="S1499" s="119">
        <v>93.070124645927464</v>
      </c>
      <c r="T1499" s="119">
        <v>93.003447240797996</v>
      </c>
      <c r="U1499" s="119">
        <v>92.922361951405151</v>
      </c>
      <c r="V1499" s="119">
        <v>92.82384957196598</v>
      </c>
      <c r="W1499" s="119">
        <v>92.704303437431335</v>
      </c>
      <c r="X1499" s="119">
        <v>92.559436834902556</v>
      </c>
      <c r="Y1499" s="119">
        <v>92.384186502753252</v>
      </c>
      <c r="Z1499" s="119">
        <v>92.172618105441416</v>
      </c>
      <c r="AA1499" s="119">
        <v>91.917843172172667</v>
      </c>
      <c r="AB1499" s="119">
        <v>91.611961813847415</v>
      </c>
      <c r="AC1499" s="119">
        <v>91.24605164239702</v>
      </c>
      <c r="AD1499" s="119">
        <v>90.810230473889121</v>
      </c>
      <c r="AE1499" s="119">
        <v>90.293827824759617</v>
      </c>
      <c r="AF1499" s="119">
        <v>89.68570626662391</v>
      </c>
      <c r="AG1499" s="119">
        <v>88.974775547766768</v>
      </c>
      <c r="AH1499" s="119">
        <v>88.150735813975501</v>
      </c>
      <c r="AI1499" s="119">
        <v>87.205066037459204</v>
      </c>
      <c r="AJ1499" s="119">
        <v>86.132234937985459</v>
      </c>
      <c r="AK1499" s="119">
        <v>84.931052260628533</v>
      </c>
      <c r="AL1499" s="119">
        <v>83.606003171670366</v>
      </c>
      <c r="AM1499" s="119">
        <v>82.168333491379514</v>
      </c>
      <c r="AN1499" s="119">
        <v>80.636606067262804</v>
      </c>
      <c r="AO1499" s="119">
        <v>79.036462482087927</v>
      </c>
      <c r="AP1499" s="119">
        <v>77.399424935854768</v>
      </c>
      <c r="AQ1499" s="119">
        <v>75.760758640071714</v>
      </c>
      <c r="AR1499" s="119">
        <v>74.156643439625569</v>
      </c>
      <c r="AS1499" s="119">
        <v>72.621099522276054</v>
      </c>
      <c r="AT1499" s="119">
        <v>71.183198271506583</v>
      </c>
      <c r="AU1499" s="119">
        <v>69.865025411638399</v>
      </c>
      <c r="AV1499" s="119">
        <v>68.680671048500784</v>
      </c>
      <c r="AW1499" s="119">
        <v>67.636273165097023</v>
      </c>
      <c r="AX1499" s="120">
        <v>66.730924451898261</v>
      </c>
    </row>
    <row r="1500" spans="1:50" x14ac:dyDescent="0.25">
      <c r="A1500" s="357"/>
      <c r="B1500" s="362"/>
      <c r="C1500" s="354"/>
      <c r="D1500" s="4" t="s">
        <v>20</v>
      </c>
      <c r="E1500" s="168" t="str">
        <f>A1497&amp;"/"&amp;B1497&amp;"/"&amp;C1497&amp;"/"&amp;D1500</f>
        <v>Solar thermal power plants/Solar thermal power plants/Electricity only/XS</v>
      </c>
      <c r="F1500" s="80" t="str">
        <f>A1497</f>
        <v>Solar thermal power plants</v>
      </c>
      <c r="G1500" s="80" t="str">
        <f>B1497</f>
        <v>Solar thermal power plants</v>
      </c>
      <c r="H1500" s="80" t="str">
        <f>C1497</f>
        <v>Electricity only</v>
      </c>
      <c r="I1500" s="169" t="str">
        <f t="shared" si="101"/>
        <v>XS</v>
      </c>
      <c r="J1500" s="127">
        <v>116.65484999999998</v>
      </c>
      <c r="K1500" s="127">
        <v>116.64576252467911</v>
      </c>
      <c r="L1500" s="127">
        <v>116.6346689779439</v>
      </c>
      <c r="M1500" s="127">
        <v>116.62112811432968</v>
      </c>
      <c r="N1500" s="127">
        <v>116.60460241752561</v>
      </c>
      <c r="O1500" s="127">
        <v>116.58443748003467</v>
      </c>
      <c r="P1500" s="127">
        <v>116.55983715470327</v>
      </c>
      <c r="Q1500" s="127">
        <v>116.52983370445713</v>
      </c>
      <c r="R1500" s="127">
        <v>116.49325208241676</v>
      </c>
      <c r="S1500" s="127">
        <v>116.4486673952549</v>
      </c>
      <c r="T1500" s="127">
        <v>116.3943545572687</v>
      </c>
      <c r="U1500" s="127">
        <v>116.32822916083133</v>
      </c>
      <c r="V1500" s="127">
        <v>116.24777871531944</v>
      </c>
      <c r="W1500" s="127">
        <v>116.1499837065746</v>
      </c>
      <c r="X1500" s="127">
        <v>116.03122849504307</v>
      </c>
      <c r="Y1500" s="127">
        <v>115.88720302991119</v>
      </c>
      <c r="Z1500" s="127">
        <v>115.71279787572279</v>
      </c>
      <c r="AA1500" s="127">
        <v>115.5019973345123</v>
      </c>
      <c r="AB1500" s="127">
        <v>115.2477787368713</v>
      </c>
      <c r="AC1500" s="127">
        <v>114.94203050072471</v>
      </c>
      <c r="AD1500" s="127">
        <v>114.57550746854284</v>
      </c>
      <c r="AE1500" s="127">
        <v>114.13784926862306</v>
      </c>
      <c r="AF1500" s="127">
        <v>113.61769550610742</v>
      </c>
      <c r="AG1500" s="127">
        <v>113.0029392325257</v>
      </c>
      <c r="AH1500" s="127">
        <v>112.28116501676803</v>
      </c>
      <c r="AI1500" s="127">
        <v>111.44031628602333</v>
      </c>
      <c r="AJ1500" s="127">
        <v>110.46962329495157</v>
      </c>
      <c r="AK1500" s="127">
        <v>109.36079242909585</v>
      </c>
      <c r="AL1500" s="127">
        <v>108.10940538781014</v>
      </c>
      <c r="AM1500" s="127">
        <v>106.71640405113446</v>
      </c>
      <c r="AN1500" s="127">
        <v>105.18945394505499</v>
      </c>
      <c r="AO1500" s="127">
        <v>103.5439091413989</v>
      </c>
      <c r="AP1500" s="127">
        <v>101.8030775980892</v>
      </c>
      <c r="AQ1500" s="127">
        <v>99.997541745638841</v>
      </c>
      <c r="AR1500" s="127">
        <v>98.163439521200601</v>
      </c>
      <c r="AS1500" s="127">
        <v>96.339834381565197</v>
      </c>
      <c r="AT1500" s="127">
        <v>94.565536484050071</v>
      </c>
      <c r="AU1500" s="127">
        <v>92.875897426054181</v>
      </c>
      <c r="AV1500" s="127">
        <v>91.300121623339123</v>
      </c>
      <c r="AW1500" s="127">
        <v>89.859506243111227</v>
      </c>
      <c r="AX1500" s="128">
        <v>88.566788382791344</v>
      </c>
    </row>
    <row r="1501" spans="1:50" x14ac:dyDescent="0.25">
      <c r="A1501" s="355" t="s">
        <v>39</v>
      </c>
      <c r="B1501" s="358" t="s">
        <v>39</v>
      </c>
      <c r="C1501" s="353" t="s">
        <v>6</v>
      </c>
      <c r="D1501" s="3" t="s">
        <v>7</v>
      </c>
      <c r="E1501" s="162" t="str">
        <f>A1501&amp;"/"&amp;B1501&amp;"/"&amp;C1501&amp;"/"&amp;D1501</f>
        <v>Geothermal power plants/Geothermal power plants/Electricity only/L</v>
      </c>
      <c r="F1501" s="77" t="str">
        <f>A1501</f>
        <v>Geothermal power plants</v>
      </c>
      <c r="G1501" s="77" t="str">
        <f>B1501</f>
        <v>Geothermal power plants</v>
      </c>
      <c r="H1501" s="77" t="str">
        <f>C1501</f>
        <v>Electricity only</v>
      </c>
      <c r="I1501" s="163" t="str">
        <f t="shared" si="101"/>
        <v>L</v>
      </c>
      <c r="J1501" s="121">
        <v>64.749999999999986</v>
      </c>
      <c r="K1501" s="121">
        <v>64.702056158044613</v>
      </c>
      <c r="L1501" s="121">
        <v>64.646486987327009</v>
      </c>
      <c r="M1501" s="121">
        <v>64.582104574836748</v>
      </c>
      <c r="N1501" s="121">
        <v>64.507544550130106</v>
      </c>
      <c r="O1501" s="121">
        <v>64.421242856637448</v>
      </c>
      <c r="P1501" s="121">
        <v>64.321410519912945</v>
      </c>
      <c r="Q1501" s="121">
        <v>64.206006644113813</v>
      </c>
      <c r="R1501" s="121">
        <v>64.072710068165591</v>
      </c>
      <c r="S1501" s="121">
        <v>63.918890386114718</v>
      </c>
      <c r="T1501" s="121">
        <v>63.741579399852881</v>
      </c>
      <c r="U1501" s="121">
        <v>63.537444545649173</v>
      </c>
      <c r="V1501" s="121">
        <v>63.302766436925729</v>
      </c>
      <c r="W1501" s="121">
        <v>63.033423408453572</v>
      </c>
      <c r="X1501" s="121">
        <v>62.724886835914056</v>
      </c>
      <c r="Y1501" s="121">
        <v>62.372232025773457</v>
      </c>
      <c r="Z1501" s="121">
        <v>61.97017057995911</v>
      </c>
      <c r="AA1501" s="121">
        <v>61.513111248712072</v>
      </c>
      <c r="AB1501" s="121">
        <v>60.995257239742266</v>
      </c>
      <c r="AC1501" s="121">
        <v>60.410748514869702</v>
      </c>
      <c r="AD1501" s="121">
        <v>59.753857439215771</v>
      </c>
      <c r="AE1501" s="121">
        <v>59.019244812214502</v>
      </c>
      <c r="AF1501" s="121">
        <v>58.202280283916757</v>
      </c>
      <c r="AG1501" s="121">
        <v>57.299425911274163</v>
      </c>
      <c r="AH1501" s="121">
        <v>56.30867372130156</v>
      </c>
      <c r="AI1501" s="121">
        <v>55.230017525495754</v>
      </c>
      <c r="AJ1501" s="121">
        <v>54.065926364403772</v>
      </c>
      <c r="AK1501" s="121">
        <v>52.821773214271317</v>
      </c>
      <c r="AL1501" s="121">
        <v>51.506160384504632</v>
      </c>
      <c r="AM1501" s="121">
        <v>50.131075813684518</v>
      </c>
      <c r="AN1501" s="121">
        <v>48.711816216843822</v>
      </c>
      <c r="AO1501" s="121">
        <v>47.266627287500206</v>
      </c>
      <c r="AP1501" s="121">
        <v>45.816039586013133</v>
      </c>
      <c r="AQ1501" s="121">
        <v>44.381919672983152</v>
      </c>
      <c r="AR1501" s="121">
        <v>42.986303563115705</v>
      </c>
      <c r="AS1501" s="121">
        <v>41.650123978706546</v>
      </c>
      <c r="AT1501" s="121">
        <v>40.391972816916415</v>
      </c>
      <c r="AU1501" s="121">
        <v>39.22704618306873</v>
      </c>
      <c r="AV1501" s="121">
        <v>38.166397201700995</v>
      </c>
      <c r="AW1501" s="121">
        <v>37.216575098730829</v>
      </c>
      <c r="AX1501" s="122">
        <v>36.37966828281084</v>
      </c>
    </row>
    <row r="1502" spans="1:50" x14ac:dyDescent="0.25">
      <c r="A1502" s="356"/>
      <c r="B1502" s="359"/>
      <c r="C1502" s="350"/>
      <c r="D1502" s="2" t="s">
        <v>8</v>
      </c>
      <c r="E1502" s="160" t="str">
        <f>A1501&amp;"/"&amp;B1501&amp;"/"&amp;C1501&amp;"/"&amp;D1502</f>
        <v>Geothermal power plants/Geothermal power plants/Electricity only/M</v>
      </c>
      <c r="F1502" s="76" t="str">
        <f>A1501</f>
        <v>Geothermal power plants</v>
      </c>
      <c r="G1502" s="76" t="str">
        <f>B1501</f>
        <v>Geothermal power plants</v>
      </c>
      <c r="H1502" s="76" t="str">
        <f>C1501</f>
        <v>Electricity only</v>
      </c>
      <c r="I1502" s="161" t="str">
        <f t="shared" si="101"/>
        <v>M</v>
      </c>
      <c r="J1502" s="119">
        <v>74.462499999999991</v>
      </c>
      <c r="K1502" s="119">
        <v>74.39537869834227</v>
      </c>
      <c r="L1502" s="119">
        <v>74.317604532134169</v>
      </c>
      <c r="M1502" s="119">
        <v>74.227525776151495</v>
      </c>
      <c r="N1502" s="119">
        <v>74.123248080532505</v>
      </c>
      <c r="O1502" s="119">
        <v>74.002603504259483</v>
      </c>
      <c r="P1502" s="119">
        <v>73.86311725492601</v>
      </c>
      <c r="Q1502" s="119">
        <v>73.701972613465387</v>
      </c>
      <c r="R1502" s="119">
        <v>73.515974843523324</v>
      </c>
      <c r="S1502" s="119">
        <v>73.301515315538211</v>
      </c>
      <c r="T1502" s="119">
        <v>73.054537639486611</v>
      </c>
      <c r="U1502" s="119">
        <v>72.770508321792221</v>
      </c>
      <c r="V1502" s="119">
        <v>72.444395361485846</v>
      </c>
      <c r="W1502" s="119">
        <v>72.070659288792982</v>
      </c>
      <c r="X1502" s="119">
        <v>71.643262416810529</v>
      </c>
      <c r="Y1502" s="119">
        <v>71.155703481234085</v>
      </c>
      <c r="Z1502" s="119">
        <v>70.601086289260053</v>
      </c>
      <c r="AA1502" s="119">
        <v>69.97223231588471</v>
      </c>
      <c r="AB1502" s="119">
        <v>69.261848100541869</v>
      </c>
      <c r="AC1502" s="119">
        <v>68.46275840954435</v>
      </c>
      <c r="AD1502" s="119">
        <v>67.568214901659914</v>
      </c>
      <c r="AE1502" s="119">
        <v>66.572286803938056</v>
      </c>
      <c r="AF1502" s="119">
        <v>65.470334153946553</v>
      </c>
      <c r="AG1502" s="119">
        <v>64.259554858556939</v>
      </c>
      <c r="AH1502" s="119">
        <v>62.939583847134564</v>
      </c>
      <c r="AI1502" s="119">
        <v>61.513106307204161</v>
      </c>
      <c r="AJ1502" s="119">
        <v>59.986428784114722</v>
      </c>
      <c r="AK1502" s="119">
        <v>58.369934590847159</v>
      </c>
      <c r="AL1502" s="119">
        <v>56.678337771225664</v>
      </c>
      <c r="AM1502" s="119">
        <v>54.930648116233733</v>
      </c>
      <c r="AN1502" s="119">
        <v>53.149773733114962</v>
      </c>
      <c r="AO1502" s="119">
        <v>51.361720835557158</v>
      </c>
      <c r="AP1502" s="119">
        <v>49.594402166076065</v>
      </c>
      <c r="AQ1502" s="119">
        <v>47.876129468479739</v>
      </c>
      <c r="AR1502" s="119">
        <v>46.233929510513683</v>
      </c>
      <c r="AS1502" s="119">
        <v>44.691871453064323</v>
      </c>
      <c r="AT1502" s="119">
        <v>43.269610857694985</v>
      </c>
      <c r="AU1502" s="119">
        <v>41.981333645813187</v>
      </c>
      <c r="AV1502" s="119">
        <v>40.835223692132011</v>
      </c>
      <c r="AW1502" s="119">
        <v>39.833493364345138</v>
      </c>
      <c r="AX1502" s="120">
        <v>38.972927478964451</v>
      </c>
    </row>
    <row r="1503" spans="1:50" x14ac:dyDescent="0.25">
      <c r="A1503" s="357"/>
      <c r="B1503" s="362"/>
      <c r="C1503" s="354"/>
      <c r="D1503" s="4" t="s">
        <v>10</v>
      </c>
      <c r="E1503" s="168" t="str">
        <f>A1501&amp;"/"&amp;B1501&amp;"/"&amp;C1501&amp;"/"&amp;D1503</f>
        <v>Geothermal power plants/Geothermal power plants/Electricity only/S</v>
      </c>
      <c r="F1503" s="80" t="str">
        <f>A1501</f>
        <v>Geothermal power plants</v>
      </c>
      <c r="G1503" s="80" t="str">
        <f>B1501</f>
        <v>Geothermal power plants</v>
      </c>
      <c r="H1503" s="80" t="str">
        <f>C1501</f>
        <v>Electricity only</v>
      </c>
      <c r="I1503" s="169" t="str">
        <f t="shared" ref="I1503:I1517" si="102">D1503</f>
        <v>S</v>
      </c>
      <c r="J1503" s="127">
        <v>96.801249999999996</v>
      </c>
      <c r="K1503" s="127">
        <v>96.751358707729509</v>
      </c>
      <c r="L1503" s="127">
        <v>96.693475457422167</v>
      </c>
      <c r="M1503" s="127">
        <v>96.626335402753469</v>
      </c>
      <c r="N1503" s="127">
        <v>96.548478858649915</v>
      </c>
      <c r="O1503" s="127">
        <v>96.458223148746981</v>
      </c>
      <c r="P1503" s="127">
        <v>96.353631040135028</v>
      </c>
      <c r="Q1503" s="127">
        <v>96.232475591507878</v>
      </c>
      <c r="R1503" s="127">
        <v>96.09220133319107</v>
      </c>
      <c r="S1503" s="127">
        <v>95.929881840557726</v>
      </c>
      <c r="T1503" s="127">
        <v>95.742173973314749</v>
      </c>
      <c r="U1503" s="127">
        <v>95.525269353578253</v>
      </c>
      <c r="V1503" s="127">
        <v>95.274844071632373</v>
      </c>
      <c r="W1503" s="127">
        <v>94.986008170348768</v>
      </c>
      <c r="X1503" s="127">
        <v>94.653257201591572</v>
      </c>
      <c r="Y1503" s="127">
        <v>94.270429106065848</v>
      </c>
      <c r="Z1503" s="127">
        <v>93.830670874489812</v>
      </c>
      <c r="AA1503" s="127">
        <v>93.326420924639066</v>
      </c>
      <c r="AB1503" s="127">
        <v>92.749414875111</v>
      </c>
      <c r="AC1503" s="127">
        <v>92.090724371520423</v>
      </c>
      <c r="AD1503" s="127">
        <v>91.340840717703117</v>
      </c>
      <c r="AE1503" s="127">
        <v>90.489817078816429</v>
      </c>
      <c r="AF1503" s="127">
        <v>89.527484613967431</v>
      </c>
      <c r="AG1503" s="127">
        <v>88.443758546581094</v>
      </c>
      <c r="AH1503" s="127">
        <v>87.229049170513449</v>
      </c>
      <c r="AI1503" s="127">
        <v>85.874789196211893</v>
      </c>
      <c r="AJ1503" s="127">
        <v>84.374081601573863</v>
      </c>
      <c r="AK1503" s="127">
        <v>82.722460225472986</v>
      </c>
      <c r="AL1503" s="127">
        <v>80.918738007241032</v>
      </c>
      <c r="AM1503" s="127">
        <v>78.965895088636259</v>
      </c>
      <c r="AN1503" s="127">
        <v>76.871932373738105</v>
      </c>
      <c r="AO1503" s="127">
        <v>74.650588958299991</v>
      </c>
      <c r="AP1503" s="127">
        <v>72.321799771481537</v>
      </c>
      <c r="AQ1503" s="127">
        <v>69.911760554205273</v>
      </c>
      <c r="AR1503" s="127">
        <v>67.452479479694333</v>
      </c>
      <c r="AS1503" s="127">
        <v>64.980735233804623</v>
      </c>
      <c r="AT1503" s="127">
        <v>62.536432176087622</v>
      </c>
      <c r="AU1503" s="127">
        <v>60.160438013436739</v>
      </c>
      <c r="AV1503" s="127">
        <v>57.892092154388635</v>
      </c>
      <c r="AW1503" s="127">
        <v>55.766659565272462</v>
      </c>
      <c r="AX1503" s="128">
        <v>53.813049608188223</v>
      </c>
    </row>
    <row r="1504" spans="1:50" x14ac:dyDescent="0.25">
      <c r="A1504" s="355" t="s">
        <v>40</v>
      </c>
      <c r="B1504" s="5" t="s">
        <v>41</v>
      </c>
      <c r="C1504" s="6" t="s">
        <v>6</v>
      </c>
      <c r="D1504" s="60" t="s">
        <v>8</v>
      </c>
      <c r="E1504" s="170" t="str">
        <f>A1504&amp;"/"&amp;B1504&amp;"/"&amp;C1504&amp;"/"&amp;D1504</f>
        <v>Tide, wave and ocean power plants/Tidal/Electricity only/M</v>
      </c>
      <c r="F1504" s="81" t="str">
        <f>A1504</f>
        <v>Tide, wave and ocean power plants</v>
      </c>
      <c r="G1504" s="81" t="str">
        <f>B1504</f>
        <v>Tidal</v>
      </c>
      <c r="H1504" s="81" t="str">
        <f>C1504</f>
        <v>Electricity only</v>
      </c>
      <c r="I1504" s="171" t="str">
        <f t="shared" si="102"/>
        <v>M</v>
      </c>
      <c r="J1504" s="129">
        <v>124.2</v>
      </c>
      <c r="K1504" s="129">
        <v>123.78180730793254</v>
      </c>
      <c r="L1504" s="129">
        <v>123.32277800505162</v>
      </c>
      <c r="M1504" s="129">
        <v>122.81928061178323</v>
      </c>
      <c r="N1504" s="129">
        <v>122.26743751670156</v>
      </c>
      <c r="O1504" s="129">
        <v>121.66312550419211</v>
      </c>
      <c r="P1504" s="129">
        <v>121.00198101174647</v>
      </c>
      <c r="Q1504" s="129">
        <v>120.27941128603041</v>
      </c>
      <c r="R1504" s="129">
        <v>119.49061277280546</v>
      </c>
      <c r="S1504" s="129">
        <v>118.63059824092566</v>
      </c>
      <c r="T1504" s="129">
        <v>117.69423429494525</v>
      </c>
      <c r="U1504" s="129">
        <v>116.67629106049043</v>
      </c>
      <c r="V1504" s="129">
        <v>115.57150591296492</v>
      </c>
      <c r="W1504" s="129">
        <v>114.37466313964801</v>
      </c>
      <c r="X1504" s="129">
        <v>113.08069134831702</v>
      </c>
      <c r="Y1504" s="129">
        <v>111.68478022695322</v>
      </c>
      <c r="Z1504" s="129">
        <v>110.18251787845739</v>
      </c>
      <c r="AA1504" s="129">
        <v>108.57004935761054</v>
      </c>
      <c r="AB1504" s="129">
        <v>106.84425618017131</v>
      </c>
      <c r="AC1504" s="129">
        <v>105.00295541548429</v>
      </c>
      <c r="AD1504" s="129">
        <v>103.04511548476529</v>
      </c>
      <c r="AE1504" s="129">
        <v>100.97108395795313</v>
      </c>
      <c r="AF1504" s="129">
        <v>98.782820494942015</v>
      </c>
      <c r="AG1504" s="129">
        <v>96.484125679108075</v>
      </c>
      <c r="AH1504" s="129">
        <v>94.080853967438742</v>
      </c>
      <c r="AI1504" s="129">
        <v>91.581096526976012</v>
      </c>
      <c r="AJ1504" s="129">
        <v>88.995317612218614</v>
      </c>
      <c r="AK1504" s="129">
        <v>86.336426705596168</v>
      </c>
      <c r="AL1504" s="129">
        <v>83.619768291057369</v>
      </c>
      <c r="AM1504" s="129">
        <v>80.863012275926494</v>
      </c>
      <c r="AN1504" s="129">
        <v>78.085931096875157</v>
      </c>
      <c r="AO1504" s="129">
        <v>75.310054705397746</v>
      </c>
      <c r="AP1504" s="129">
        <v>72.558201985159528</v>
      </c>
      <c r="AQ1504" s="129">
        <v>69.853896473498367</v>
      </c>
      <c r="AR1504" s="129">
        <v>67.220684948063862</v>
      </c>
      <c r="AS1504" s="129">
        <v>64.681388523608916</v>
      </c>
      <c r="AT1504" s="129">
        <v>62.257326081659635</v>
      </c>
      <c r="AU1504" s="129">
        <v>59.967557634217407</v>
      </c>
      <c r="AV1504" s="129">
        <v>57.828199137508342</v>
      </c>
      <c r="AW1504" s="129">
        <v>55.851859163762562</v>
      </c>
      <c r="AX1504" s="130">
        <v>54.047241134627583</v>
      </c>
    </row>
    <row r="1505" spans="1:50" x14ac:dyDescent="0.25">
      <c r="A1505" s="357"/>
      <c r="B1505" s="279" t="s">
        <v>42</v>
      </c>
      <c r="C1505" s="7" t="s">
        <v>6</v>
      </c>
      <c r="D1505" s="4" t="s">
        <v>8</v>
      </c>
      <c r="E1505" s="168" t="str">
        <f>A1504&amp;"/"&amp;B1505&amp;"/"&amp;C1505&amp;"/"&amp;D1505</f>
        <v>Tide, wave and ocean power plants/Wave/Electricity only/M</v>
      </c>
      <c r="F1505" s="80" t="str">
        <f>A1504</f>
        <v>Tide, wave and ocean power plants</v>
      </c>
      <c r="G1505" s="80" t="str">
        <f>B1505</f>
        <v>Wave</v>
      </c>
      <c r="H1505" s="80" t="str">
        <f>C1505</f>
        <v>Electricity only</v>
      </c>
      <c r="I1505" s="169" t="str">
        <f t="shared" si="102"/>
        <v>M</v>
      </c>
      <c r="J1505" s="127">
        <v>156.49200000000002</v>
      </c>
      <c r="K1505" s="127">
        <v>155.99550870829577</v>
      </c>
      <c r="L1505" s="127">
        <v>155.45019849660198</v>
      </c>
      <c r="M1505" s="127">
        <v>154.85165399994867</v>
      </c>
      <c r="N1505" s="127">
        <v>154.19514348108117</v>
      </c>
      <c r="O1505" s="127">
        <v>153.47561462358965</v>
      </c>
      <c r="P1505" s="127">
        <v>152.68769512294739</v>
      </c>
      <c r="Q1505" s="127">
        <v>151.82569936802662</v>
      </c>
      <c r="R1505" s="127">
        <v>150.88364270642521</v>
      </c>
      <c r="S1505" s="127">
        <v>149.85526499379989</v>
      </c>
      <c r="T1505" s="127">
        <v>148.73406533112322</v>
      </c>
      <c r="U1505" s="127">
        <v>147.51335008116209</v>
      </c>
      <c r="V1505" s="127">
        <v>146.18629640841829</v>
      </c>
      <c r="W1505" s="127">
        <v>144.74603368148519</v>
      </c>
      <c r="X1505" s="127">
        <v>143.18574508301384</v>
      </c>
      <c r="Y1505" s="127">
        <v>141.49879165315485</v>
      </c>
      <c r="Z1505" s="127">
        <v>139.67886070371185</v>
      </c>
      <c r="AA1505" s="127">
        <v>137.72014003292017</v>
      </c>
      <c r="AB1505" s="127">
        <v>135.61751859210889</v>
      </c>
      <c r="AC1505" s="127">
        <v>133.36681315366363</v>
      </c>
      <c r="AD1505" s="127">
        <v>130.96501905986804</v>
      </c>
      <c r="AE1505" s="127">
        <v>128.41058126536299</v>
      </c>
      <c r="AF1505" s="127">
        <v>125.70367962031858</v>
      </c>
      <c r="AG1505" s="127">
        <v>122.84651971606654</v>
      </c>
      <c r="AH1505" s="127">
        <v>119.84361772492046</v>
      </c>
      <c r="AI1505" s="127">
        <v>116.70206467669777</v>
      </c>
      <c r="AJ1505" s="127">
        <v>113.43175277297003</v>
      </c>
      <c r="AK1505" s="127">
        <v>110.04554397819555</v>
      </c>
      <c r="AL1505" s="127">
        <v>106.55935965261679</v>
      </c>
      <c r="AM1505" s="127">
        <v>102.99216986306425</v>
      </c>
      <c r="AN1505" s="127">
        <v>99.365862685125208</v>
      </c>
      <c r="AO1505" s="127">
        <v>95.704977687052164</v>
      </c>
      <c r="AP1505" s="127">
        <v>92.036294100765787</v>
      </c>
      <c r="AQ1505" s="127">
        <v>88.388272925242731</v>
      </c>
      <c r="AR1505" s="127">
        <v>84.790363020290101</v>
      </c>
      <c r="AS1505" s="127">
        <v>81.272193387605569</v>
      </c>
      <c r="AT1505" s="127">
        <v>77.862686162434599</v>
      </c>
      <c r="AU1505" s="127">
        <v>74.589135903259958</v>
      </c>
      <c r="AV1505" s="127">
        <v>71.476308976022153</v>
      </c>
      <c r="AW1505" s="127">
        <v>68.545620691447709</v>
      </c>
      <c r="AX1505" s="128">
        <v>65.814446261863168</v>
      </c>
    </row>
    <row r="1506" spans="1:50" x14ac:dyDescent="0.25">
      <c r="A1506" s="355" t="s">
        <v>43</v>
      </c>
      <c r="B1506" s="358" t="s">
        <v>44</v>
      </c>
      <c r="C1506" s="353" t="s">
        <v>6</v>
      </c>
      <c r="D1506" s="3" t="s">
        <v>7</v>
      </c>
      <c r="E1506" s="162" t="str">
        <f>A1506&amp;"/"&amp;B1506&amp;"/"&amp;C1506&amp;"/"&amp;D1506</f>
        <v>Hydro plants/Run-of-river/Electricity only/L</v>
      </c>
      <c r="F1506" s="77" t="str">
        <f>A1506</f>
        <v>Hydro plants</v>
      </c>
      <c r="G1506" s="77" t="str">
        <f>B1506</f>
        <v>Run-of-river</v>
      </c>
      <c r="H1506" s="77" t="str">
        <f>C1506</f>
        <v>Electricity only</v>
      </c>
      <c r="I1506" s="163" t="str">
        <f t="shared" si="102"/>
        <v>L</v>
      </c>
      <c r="J1506" s="121">
        <v>20.61</v>
      </c>
      <c r="K1506" s="121">
        <v>20.601268341292727</v>
      </c>
      <c r="L1506" s="121">
        <v>20.591682760058671</v>
      </c>
      <c r="M1506" s="121">
        <v>20.581166970262711</v>
      </c>
      <c r="N1506" s="121">
        <v>20.569639411519578</v>
      </c>
      <c r="O1506" s="121">
        <v>20.557013222945848</v>
      </c>
      <c r="P1506" s="121">
        <v>20.543196305929111</v>
      </c>
      <c r="Q1506" s="121">
        <v>20.528091497780167</v>
      </c>
      <c r="R1506" s="121">
        <v>20.511596881171901</v>
      </c>
      <c r="S1506" s="121">
        <v>20.493606257116507</v>
      </c>
      <c r="T1506" s="121">
        <v>20.474009811791611</v>
      </c>
      <c r="U1506" s="121">
        <v>20.452695009529901</v>
      </c>
      <c r="V1506" s="121">
        <v>20.429547745393794</v>
      </c>
      <c r="W1506" s="121">
        <v>20.404453790541535</v>
      </c>
      <c r="X1506" s="121">
        <v>20.377300561547301</v>
      </c>
      <c r="Y1506" s="121">
        <v>20.347979240385015</v>
      </c>
      <c r="Z1506" s="121">
        <v>20.316387264292196</v>
      </c>
      <c r="AA1506" s="121">
        <v>20.282431193556565</v>
      </c>
      <c r="AB1506" s="121">
        <v>20.246029949826216</v>
      </c>
      <c r="AC1506" s="121">
        <v>20.207118397391923</v>
      </c>
      <c r="AD1506" s="121">
        <v>20.165651214844516</v>
      </c>
      <c r="AE1506" s="121">
        <v>20.121606974792851</v>
      </c>
      <c r="AF1506" s="121">
        <v>20.074992315717168</v>
      </c>
      <c r="AG1506" s="121">
        <v>20.025846054020448</v>
      </c>
      <c r="AH1506" s="121">
        <v>19.97424304825045</v>
      </c>
      <c r="AI1506" s="121">
        <v>19.920297594506799</v>
      </c>
      <c r="AJ1506" s="121">
        <v>19.864166106254896</v>
      </c>
      <c r="AK1506" s="121">
        <v>19.806048817782436</v>
      </c>
      <c r="AL1506" s="121">
        <v>19.746190253193561</v>
      </c>
      <c r="AM1506" s="121">
        <v>19.684878226570927</v>
      </c>
      <c r="AN1506" s="121">
        <v>19.622441186993857</v>
      </c>
      <c r="AO1506" s="121">
        <v>19.559243795687866</v>
      </c>
      <c r="AP1506" s="121">
        <v>19.495680720063529</v>
      </c>
      <c r="AQ1506" s="121">
        <v>19.432168745741624</v>
      </c>
      <c r="AR1506" s="121">
        <v>19.369137434287236</v>
      </c>
      <c r="AS1506" s="121">
        <v>19.307018679649136</v>
      </c>
      <c r="AT1506" s="121">
        <v>19.246235626645475</v>
      </c>
      <c r="AU1506" s="121">
        <v>19.187191496462081</v>
      </c>
      <c r="AV1506" s="121">
        <v>19.130258905121977</v>
      </c>
      <c r="AW1506" s="121">
        <v>19.075770253301581</v>
      </c>
      <c r="AX1506" s="122">
        <v>19.024009707395614</v>
      </c>
    </row>
    <row r="1507" spans="1:50" x14ac:dyDescent="0.25">
      <c r="A1507" s="356"/>
      <c r="B1507" s="359"/>
      <c r="C1507" s="350"/>
      <c r="D1507" s="2" t="s">
        <v>8</v>
      </c>
      <c r="E1507" s="160" t="str">
        <f>A1506&amp;"/"&amp;B1506&amp;"/"&amp;C1506&amp;"/"&amp;D1507</f>
        <v>Hydro plants/Run-of-river/Electricity only/M</v>
      </c>
      <c r="F1507" s="76" t="str">
        <f>A1506</f>
        <v>Hydro plants</v>
      </c>
      <c r="G1507" s="76" t="str">
        <f>B1506</f>
        <v>Run-of-river</v>
      </c>
      <c r="H1507" s="76" t="str">
        <f>C1506</f>
        <v>Electricity only</v>
      </c>
      <c r="I1507" s="161" t="str">
        <f t="shared" si="102"/>
        <v>M</v>
      </c>
      <c r="J1507" s="119">
        <v>21.640500000000003</v>
      </c>
      <c r="K1507" s="119">
        <v>21.632961811763209</v>
      </c>
      <c r="L1507" s="119">
        <v>21.624676553428571</v>
      </c>
      <c r="M1507" s="119">
        <v>21.615575349600121</v>
      </c>
      <c r="N1507" s="119">
        <v>21.605584083158082</v>
      </c>
      <c r="O1507" s="119">
        <v>21.59462323945602</v>
      </c>
      <c r="P1507" s="119">
        <v>21.582607806273963</v>
      </c>
      <c r="Q1507" s="119">
        <v>21.569447246563783</v>
      </c>
      <c r="R1507" s="119">
        <v>21.555045563874863</v>
      </c>
      <c r="S1507" s="119">
        <v>21.53930148335569</v>
      </c>
      <c r="T1507" s="119">
        <v>21.522108774288974</v>
      </c>
      <c r="U1507" s="119">
        <v>21.503356743086382</v>
      </c>
      <c r="V1507" s="119">
        <v>21.482930928336383</v>
      </c>
      <c r="W1507" s="119">
        <v>21.460714031587383</v>
      </c>
      <c r="X1507" s="119">
        <v>21.436587118702178</v>
      </c>
      <c r="Y1507" s="119">
        <v>21.410431126395448</v>
      </c>
      <c r="Z1507" s="119">
        <v>21.38212870643585</v>
      </c>
      <c r="AA1507" s="119">
        <v>21.351566435352673</v>
      </c>
      <c r="AB1507" s="119">
        <v>21.31863740967685</v>
      </c>
      <c r="AC1507" s="119">
        <v>21.283244235099268</v>
      </c>
      <c r="AD1507" s="119">
        <v>21.245302401834177</v>
      </c>
      <c r="AE1507" s="119">
        <v>21.204744017470045</v>
      </c>
      <c r="AF1507" s="119">
        <v>21.161521842484987</v>
      </c>
      <c r="AG1507" s="119">
        <v>21.115613542628331</v>
      </c>
      <c r="AH1507" s="119">
        <v>21.067026037337012</v>
      </c>
      <c r="AI1507" s="119">
        <v>21.015799785818992</v>
      </c>
      <c r="AJ1507" s="119">
        <v>20.962012814818586</v>
      </c>
      <c r="AK1507" s="119">
        <v>20.905784257725486</v>
      </c>
      <c r="AL1507" s="119">
        <v>20.847277147804963</v>
      </c>
      <c r="AM1507" s="119">
        <v>20.786700193748779</v>
      </c>
      <c r="AN1507" s="119">
        <v>20.724308268518332</v>
      </c>
      <c r="AO1507" s="119">
        <v>20.660401367191184</v>
      </c>
      <c r="AP1507" s="119">
        <v>20.595321839613824</v>
      </c>
      <c r="AQ1507" s="119">
        <v>20.529449780365429</v>
      </c>
      <c r="AR1507" s="119">
        <v>20.463196560145249</v>
      </c>
      <c r="AS1507" s="119">
        <v>20.396996603959419</v>
      </c>
      <c r="AT1507" s="119">
        <v>20.331297653467555</v>
      </c>
      <c r="AU1507" s="119">
        <v>20.26654988142511</v>
      </c>
      <c r="AV1507" s="119">
        <v>20.203194341172356</v>
      </c>
      <c r="AW1507" s="119">
        <v>20.14165131920047</v>
      </c>
      <c r="AX1507" s="120">
        <v>20.082309201552576</v>
      </c>
    </row>
    <row r="1508" spans="1:50" x14ac:dyDescent="0.25">
      <c r="A1508" s="356"/>
      <c r="B1508" s="359"/>
      <c r="C1508" s="350"/>
      <c r="D1508" s="2" t="s">
        <v>10</v>
      </c>
      <c r="E1508" s="160" t="str">
        <f>A1506&amp;"/"&amp;B1506&amp;"/"&amp;C1506&amp;"/"&amp;D1508</f>
        <v>Hydro plants/Run-of-river/Electricity only/S</v>
      </c>
      <c r="F1508" s="76" t="str">
        <f>A1506</f>
        <v>Hydro plants</v>
      </c>
      <c r="G1508" s="76" t="str">
        <f>B1506</f>
        <v>Run-of-river</v>
      </c>
      <c r="H1508" s="76" t="str">
        <f>C1506</f>
        <v>Electricity only</v>
      </c>
      <c r="I1508" s="161" t="str">
        <f t="shared" si="102"/>
        <v>S</v>
      </c>
      <c r="J1508" s="119">
        <v>23.804549999999999</v>
      </c>
      <c r="K1508" s="119">
        <v>23.797737400034968</v>
      </c>
      <c r="L1508" s="119">
        <v>23.79024227800009</v>
      </c>
      <c r="M1508" s="119">
        <v>23.782000110038375</v>
      </c>
      <c r="N1508" s="119">
        <v>23.772941104259385</v>
      </c>
      <c r="O1508" s="119">
        <v>23.762989953100579</v>
      </c>
      <c r="P1508" s="119">
        <v>23.752065617759158</v>
      </c>
      <c r="Q1508" s="119">
        <v>23.740081157839001</v>
      </c>
      <c r="R1508" s="119">
        <v>23.726943621960572</v>
      </c>
      <c r="S1508" s="119">
        <v>23.712554017961033</v>
      </c>
      <c r="T1508" s="119">
        <v>23.696807384429917</v>
      </c>
      <c r="U1508" s="119">
        <v>23.679592988614175</v>
      </c>
      <c r="V1508" s="119">
        <v>23.66079467907435</v>
      </c>
      <c r="W1508" s="119">
        <v>23.640291424719329</v>
      </c>
      <c r="X1508" s="119">
        <v>23.617958074763624</v>
      </c>
      <c r="Y1508" s="119">
        <v>23.593666376434907</v>
      </c>
      <c r="Z1508" s="119">
        <v>23.5672862885211</v>
      </c>
      <c r="AA1508" s="119">
        <v>23.53868762860106</v>
      </c>
      <c r="AB1508" s="119">
        <v>23.507742089473865</v>
      </c>
      <c r="AC1508" s="119">
        <v>23.474325655226522</v>
      </c>
      <c r="AD1508" s="119">
        <v>23.438321438840553</v>
      </c>
      <c r="AE1508" s="119">
        <v>23.399622950503169</v>
      </c>
      <c r="AF1508" s="119">
        <v>23.358137788190596</v>
      </c>
      <c r="AG1508" s="119">
        <v>23.313791719124133</v>
      </c>
      <c r="AH1508" s="119">
        <v>23.266533092156109</v>
      </c>
      <c r="AI1508" s="119">
        <v>23.216337487274789</v>
      </c>
      <c r="AJ1508" s="119">
        <v>23.163212470112583</v>
      </c>
      <c r="AK1508" s="119">
        <v>23.107202278300235</v>
      </c>
      <c r="AL1508" s="119">
        <v>23.048392225378869</v>
      </c>
      <c r="AM1508" s="119">
        <v>22.986912570420941</v>
      </c>
      <c r="AN1508" s="119">
        <v>22.922941572115867</v>
      </c>
      <c r="AO1508" s="119">
        <v>22.856707430136897</v>
      </c>
      <c r="AP1508" s="119">
        <v>22.788488819636587</v>
      </c>
      <c r="AQ1508" s="119">
        <v>22.718613751768164</v>
      </c>
      <c r="AR1508" s="119">
        <v>22.647456547900092</v>
      </c>
      <c r="AS1508" s="119">
        <v>22.575432799055633</v>
      </c>
      <c r="AT1508" s="119">
        <v>22.50299229320655</v>
      </c>
      <c r="AU1508" s="119">
        <v>22.430610025637485</v>
      </c>
      <c r="AV1508" s="119">
        <v>22.358775551908234</v>
      </c>
      <c r="AW1508" s="119">
        <v>22.28798108571069</v>
      </c>
      <c r="AX1508" s="120">
        <v>22.218708869673495</v>
      </c>
    </row>
    <row r="1509" spans="1:50" x14ac:dyDescent="0.25">
      <c r="A1509" s="356"/>
      <c r="B1509" s="368"/>
      <c r="C1509" s="360"/>
      <c r="D1509" s="59" t="s">
        <v>20</v>
      </c>
      <c r="E1509" s="166" t="str">
        <f>A1506&amp;"/"&amp;B1506&amp;"/"&amp;C1506&amp;"/"&amp;D1509</f>
        <v>Hydro plants/Run-of-river/Electricity only/XS</v>
      </c>
      <c r="F1509" s="79" t="str">
        <f>A1506</f>
        <v>Hydro plants</v>
      </c>
      <c r="G1509" s="79" t="str">
        <f>B1506</f>
        <v>Run-of-river</v>
      </c>
      <c r="H1509" s="79" t="str">
        <f>C1506</f>
        <v>Electricity only</v>
      </c>
      <c r="I1509" s="167" t="str">
        <f t="shared" si="102"/>
        <v>XS</v>
      </c>
      <c r="J1509" s="125">
        <v>28.565460000000005</v>
      </c>
      <c r="K1509" s="125">
        <v>28.558747610122801</v>
      </c>
      <c r="L1509" s="125">
        <v>28.551356757923507</v>
      </c>
      <c r="M1509" s="125">
        <v>28.543221999890594</v>
      </c>
      <c r="N1509" s="125">
        <v>28.534272259043661</v>
      </c>
      <c r="O1509" s="125">
        <v>28.524430489032312</v>
      </c>
      <c r="P1509" s="125">
        <v>28.513613353077009</v>
      </c>
      <c r="Q1509" s="125">
        <v>28.50173092826984</v>
      </c>
      <c r="R1509" s="125">
        <v>28.488686448169879</v>
      </c>
      <c r="S1509" s="125">
        <v>28.474376099388792</v>
      </c>
      <c r="T1509" s="125">
        <v>28.458688890970826</v>
      </c>
      <c r="U1509" s="125">
        <v>28.441506618809463</v>
      </c>
      <c r="V1509" s="125">
        <v>28.422703951066445</v>
      </c>
      <c r="W1509" s="125">
        <v>28.40214866448532</v>
      </c>
      <c r="X1509" s="125">
        <v>28.379702065489461</v>
      </c>
      <c r="Y1509" s="125">
        <v>28.355219633830266</v>
      </c>
      <c r="Z1509" s="125">
        <v>28.328551930033395</v>
      </c>
      <c r="AA1509" s="125">
        <v>28.299545810618362</v>
      </c>
      <c r="AB1509" s="125">
        <v>28.268045996572731</v>
      </c>
      <c r="AC1509" s="125">
        <v>28.233897040269827</v>
      </c>
      <c r="AD1509" s="125">
        <v>28.196945733237293</v>
      </c>
      <c r="AE1509" s="125">
        <v>28.157043991124127</v>
      </c>
      <c r="AF1509" s="125">
        <v>28.114052242016925</v>
      </c>
      <c r="AG1509" s="125">
        <v>28.067843329049786</v>
      </c>
      <c r="AH1509" s="125">
        <v>28.018306917239155</v>
      </c>
      <c r="AI1509" s="125">
        <v>27.965354367050082</v>
      </c>
      <c r="AJ1509" s="125">
        <v>27.908924003117701</v>
      </c>
      <c r="AK1509" s="125">
        <v>27.8489866661067</v>
      </c>
      <c r="AL1509" s="125">
        <v>27.785551389952662</v>
      </c>
      <c r="AM1509" s="125">
        <v>27.718670997722217</v>
      </c>
      <c r="AN1509" s="125">
        <v>27.648447360216181</v>
      </c>
      <c r="AO1509" s="125">
        <v>27.575036016588683</v>
      </c>
      <c r="AP1509" s="125">
        <v>27.498649821155713</v>
      </c>
      <c r="AQ1509" s="125">
        <v>27.419561261533538</v>
      </c>
      <c r="AR1509" s="125">
        <v>27.338103096866607</v>
      </c>
      <c r="AS1509" s="125">
        <v>27.254666997204147</v>
      </c>
      <c r="AT1509" s="125">
        <v>27.169699930484175</v>
      </c>
      <c r="AU1509" s="125">
        <v>27.08369814372432</v>
      </c>
      <c r="AV1509" s="125">
        <v>26.997198717677183</v>
      </c>
      <c r="AW1509" s="125">
        <v>26.910768832527591</v>
      </c>
      <c r="AX1509" s="126">
        <v>26.824993054526765</v>
      </c>
    </row>
    <row r="1510" spans="1:50" x14ac:dyDescent="0.25">
      <c r="A1510" s="356"/>
      <c r="B1510" s="359" t="s">
        <v>45</v>
      </c>
      <c r="C1510" s="350" t="s">
        <v>6</v>
      </c>
      <c r="D1510" s="2" t="s">
        <v>7</v>
      </c>
      <c r="E1510" s="160" t="str">
        <f>A1506&amp;"/"&amp;B1510&amp;"/"&amp;C1510&amp;"/"&amp;D1510</f>
        <v>Hydro plants/Reservoirs (dams)/Electricity only/L</v>
      </c>
      <c r="F1510" s="76" t="str">
        <f>A1506</f>
        <v>Hydro plants</v>
      </c>
      <c r="G1510" s="76" t="str">
        <f>B1510</f>
        <v>Reservoirs (dams)</v>
      </c>
      <c r="H1510" s="76" t="str">
        <f>C1510</f>
        <v>Electricity only</v>
      </c>
      <c r="I1510" s="161" t="str">
        <f t="shared" si="102"/>
        <v>L</v>
      </c>
      <c r="J1510" s="119">
        <v>27.289166666666674</v>
      </c>
      <c r="K1510" s="119">
        <v>27.288781405338749</v>
      </c>
      <c r="L1510" s="119">
        <v>27.288376507339649</v>
      </c>
      <c r="M1510" s="119">
        <v>27.287950978029613</v>
      </c>
      <c r="N1510" s="119">
        <v>27.287503773041749</v>
      </c>
      <c r="O1510" s="119">
        <v>27.287033795864492</v>
      </c>
      <c r="P1510" s="119">
        <v>27.286539895313762</v>
      </c>
      <c r="Q1510" s="119">
        <v>27.286020862890545</v>
      </c>
      <c r="R1510" s="119">
        <v>27.285475430019602</v>
      </c>
      <c r="S1510" s="119">
        <v>27.28490226516487</v>
      </c>
      <c r="T1510" s="119">
        <v>27.284299970817102</v>
      </c>
      <c r="U1510" s="119">
        <v>27.283667080349304</v>
      </c>
      <c r="V1510" s="119">
        <v>27.28300205473532</v>
      </c>
      <c r="W1510" s="119">
        <v>27.282303279127174</v>
      </c>
      <c r="X1510" s="119">
        <v>27.281569059286568</v>
      </c>
      <c r="Y1510" s="119">
        <v>27.280797617866032</v>
      </c>
      <c r="Z1510" s="119">
        <v>27.279987090535428</v>
      </c>
      <c r="AA1510" s="119">
        <v>27.279135521949371</v>
      </c>
      <c r="AB1510" s="119">
        <v>27.278240861551421</v>
      </c>
      <c r="AC1510" s="119">
        <v>27.277300959211086</v>
      </c>
      <c r="AD1510" s="119">
        <v>27.276313560689783</v>
      </c>
      <c r="AE1510" s="119">
        <v>27.275276302932269</v>
      </c>
      <c r="AF1510" s="119">
        <v>27.274186709180313</v>
      </c>
      <c r="AG1510" s="119">
        <v>27.273042183905869</v>
      </c>
      <c r="AH1510" s="119">
        <v>27.271840007561266</v>
      </c>
      <c r="AI1510" s="119">
        <v>27.270577331144782</v>
      </c>
      <c r="AJ1510" s="119">
        <v>27.269251170580219</v>
      </c>
      <c r="AK1510" s="119">
        <v>27.267858400910118</v>
      </c>
      <c r="AL1510" s="119">
        <v>27.266395750302902</v>
      </c>
      <c r="AM1510" s="119">
        <v>27.264859793875228</v>
      </c>
      <c r="AN1510" s="119">
        <v>27.263246947331826</v>
      </c>
      <c r="AO1510" s="119">
        <v>27.26155346042642</v>
      </c>
      <c r="AP1510" s="119">
        <v>27.259775410248515</v>
      </c>
      <c r="AQ1510" s="119">
        <v>27.257908694342444</v>
      </c>
      <c r="AR1510" s="119">
        <v>27.255949023666705</v>
      </c>
      <c r="AS1510" s="119">
        <v>27.253891915403521</v>
      </c>
      <c r="AT1510" s="119">
        <v>27.251732685630571</v>
      </c>
      <c r="AU1510" s="119">
        <v>27.249466441869203</v>
      </c>
      <c r="AV1510" s="119">
        <v>27.24708807552598</v>
      </c>
      <c r="AW1510" s="119">
        <v>27.244592254247088</v>
      </c>
      <c r="AX1510" s="120">
        <v>27.241973414208381</v>
      </c>
    </row>
    <row r="1511" spans="1:50" x14ac:dyDescent="0.25">
      <c r="A1511" s="356"/>
      <c r="B1511" s="359"/>
      <c r="C1511" s="350"/>
      <c r="D1511" s="2" t="s">
        <v>8</v>
      </c>
      <c r="E1511" s="160" t="str">
        <f>A1506&amp;"/"&amp;B1510&amp;"/"&amp;C1510&amp;"/"&amp;D1511</f>
        <v>Hydro plants/Reservoirs (dams)/Electricity only/M</v>
      </c>
      <c r="F1511" s="76" t="str">
        <f>A1506</f>
        <v>Hydro plants</v>
      </c>
      <c r="G1511" s="76" t="str">
        <f>B1510</f>
        <v>Reservoirs (dams)</v>
      </c>
      <c r="H1511" s="76" t="str">
        <f>C1510</f>
        <v>Electricity only</v>
      </c>
      <c r="I1511" s="161" t="str">
        <f t="shared" si="102"/>
        <v>M</v>
      </c>
      <c r="J1511" s="119">
        <v>31.382541666666672</v>
      </c>
      <c r="K1511" s="119">
        <v>31.382290196906681</v>
      </c>
      <c r="L1511" s="119">
        <v>31.382012325780988</v>
      </c>
      <c r="M1511" s="119">
        <v>31.381705286790371</v>
      </c>
      <c r="N1511" s="119">
        <v>31.381366024723974</v>
      </c>
      <c r="O1511" s="119">
        <v>31.380991165790203</v>
      </c>
      <c r="P1511" s="119">
        <v>31.380576984715226</v>
      </c>
      <c r="Q1511" s="119">
        <v>31.380119368514102</v>
      </c>
      <c r="R1511" s="119">
        <v>31.379613776613649</v>
      </c>
      <c r="S1511" s="119">
        <v>31.379055196978907</v>
      </c>
      <c r="T1511" s="119">
        <v>31.378438097866049</v>
      </c>
      <c r="U1511" s="119">
        <v>31.377756374794373</v>
      </c>
      <c r="V1511" s="119">
        <v>31.377003292298465</v>
      </c>
      <c r="W1511" s="119">
        <v>31.376171419989468</v>
      </c>
      <c r="X1511" s="119">
        <v>31.37525256242137</v>
      </c>
      <c r="Y1511" s="119">
        <v>31.374237682225854</v>
      </c>
      <c r="Z1511" s="119">
        <v>31.373116815947153</v>
      </c>
      <c r="AA1511" s="119">
        <v>31.371878981978632</v>
      </c>
      <c r="AB1511" s="119">
        <v>31.370512079975743</v>
      </c>
      <c r="AC1511" s="119">
        <v>31.369002781097858</v>
      </c>
      <c r="AD1511" s="119">
        <v>31.367336408415841</v>
      </c>
      <c r="AE1511" s="119">
        <v>31.365496806815585</v>
      </c>
      <c r="AF1511" s="119">
        <v>31.363466201733484</v>
      </c>
      <c r="AG1511" s="119">
        <v>31.361225046080943</v>
      </c>
      <c r="AH1511" s="119">
        <v>31.358751854756974</v>
      </c>
      <c r="AI1511" s="119">
        <v>31.35602302621507</v>
      </c>
      <c r="AJ1511" s="119">
        <v>31.353012650650324</v>
      </c>
      <c r="AK1511" s="119">
        <v>31.349692304512345</v>
      </c>
      <c r="AL1511" s="119">
        <v>31.346030831237901</v>
      </c>
      <c r="AM1511" s="119">
        <v>31.341994108345567</v>
      </c>
      <c r="AN1511" s="119">
        <v>31.337544801354401</v>
      </c>
      <c r="AO1511" s="119">
        <v>31.332642105394658</v>
      </c>
      <c r="AP1511" s="119">
        <v>31.327241475885508</v>
      </c>
      <c r="AQ1511" s="119">
        <v>31.321294350281054</v>
      </c>
      <c r="AR1511" s="119">
        <v>31.314747863649714</v>
      </c>
      <c r="AS1511" s="119">
        <v>31.307544561773707</v>
      </c>
      <c r="AT1511" s="119">
        <v>31.299622116554964</v>
      </c>
      <c r="AU1511" s="119">
        <v>31.290913049811238</v>
      </c>
      <c r="AV1511" s="119">
        <v>31.28134447305867</v>
      </c>
      <c r="AW1511" s="119">
        <v>31.270837852618239</v>
      </c>
      <c r="AX1511" s="120">
        <v>31.259308811359251</v>
      </c>
    </row>
    <row r="1512" spans="1:50" x14ac:dyDescent="0.25">
      <c r="A1512" s="356"/>
      <c r="B1512" s="359"/>
      <c r="C1512" s="350"/>
      <c r="D1512" s="2" t="s">
        <v>10</v>
      </c>
      <c r="E1512" s="160" t="str">
        <f>A1506&amp;"/"&amp;B1510&amp;"/"&amp;C1510&amp;"/"&amp;D1512</f>
        <v>Hydro plants/Reservoirs (dams)/Electricity only/S</v>
      </c>
      <c r="F1512" s="76" t="str">
        <f>A1506</f>
        <v>Hydro plants</v>
      </c>
      <c r="G1512" s="76" t="str">
        <f>B1510</f>
        <v>Reservoirs (dams)</v>
      </c>
      <c r="H1512" s="76" t="str">
        <f>C1510</f>
        <v>Electricity only</v>
      </c>
      <c r="I1512" s="161" t="str">
        <f t="shared" si="102"/>
        <v>S</v>
      </c>
      <c r="J1512" s="119">
        <v>39.228177083333335</v>
      </c>
      <c r="K1512" s="119">
        <v>39.228076844594256</v>
      </c>
      <c r="L1512" s="119">
        <v>39.227960390034944</v>
      </c>
      <c r="M1512" s="119">
        <v>39.227825097562906</v>
      </c>
      <c r="N1512" s="119">
        <v>39.227667921504398</v>
      </c>
      <c r="O1512" s="119">
        <v>39.227485324321272</v>
      </c>
      <c r="P1512" s="119">
        <v>39.227273197370465</v>
      </c>
      <c r="Q1512" s="119">
        <v>39.22702676896526</v>
      </c>
      <c r="R1512" s="119">
        <v>39.226740497727477</v>
      </c>
      <c r="S1512" s="119">
        <v>39.226407948908964</v>
      </c>
      <c r="T1512" s="119">
        <v>39.226021651006292</v>
      </c>
      <c r="U1512" s="119">
        <v>39.225572929586647</v>
      </c>
      <c r="V1512" s="119">
        <v>39.225051714781813</v>
      </c>
      <c r="W1512" s="119">
        <v>39.22444631838399</v>
      </c>
      <c r="X1512" s="119">
        <v>39.22374317588649</v>
      </c>
      <c r="Y1512" s="119">
        <v>39.222926548149843</v>
      </c>
      <c r="Z1512" s="119">
        <v>39.221978176635211</v>
      </c>
      <c r="AA1512" s="119">
        <v>39.220876885330235</v>
      </c>
      <c r="AB1512" s="119">
        <v>39.219598121600242</v>
      </c>
      <c r="AC1512" s="119">
        <v>39.218113427235579</v>
      </c>
      <c r="AD1512" s="119">
        <v>39.216389829947644</v>
      </c>
      <c r="AE1512" s="119">
        <v>39.214389144516701</v>
      </c>
      <c r="AF1512" s="119">
        <v>39.212067171750988</v>
      </c>
      <c r="AG1512" s="119">
        <v>39.20937278243877</v>
      </c>
      <c r="AH1512" s="119">
        <v>39.206246872646553</v>
      </c>
      <c r="AI1512" s="119">
        <v>39.202621176160932</v>
      </c>
      <c r="AJ1512" s="119">
        <v>39.198416919755999</v>
      </c>
      <c r="AK1512" s="119">
        <v>39.193543307526262</v>
      </c>
      <c r="AL1512" s="119">
        <v>39.187895822066402</v>
      </c>
      <c r="AM1512" s="119">
        <v>39.181354333217392</v>
      </c>
      <c r="AN1512" s="119">
        <v>39.173781009967676</v>
      </c>
      <c r="AO1512" s="119">
        <v>39.165018038583135</v>
      </c>
      <c r="AP1512" s="119">
        <v>39.154885160992855</v>
      </c>
      <c r="AQ1512" s="119">
        <v>39.143177062919342</v>
      </c>
      <c r="AR1512" s="119">
        <v>39.129660662434851</v>
      </c>
      <c r="AS1512" s="119">
        <v>39.114072377927215</v>
      </c>
      <c r="AT1512" s="119">
        <v>39.09611549132061</v>
      </c>
      <c r="AU1512" s="119">
        <v>39.075457769186166</v>
      </c>
      <c r="AV1512" s="119">
        <v>39.051729562105685</v>
      </c>
      <c r="AW1512" s="119">
        <v>39.024522671546436</v>
      </c>
      <c r="AX1512" s="120">
        <v>38.993390352376785</v>
      </c>
    </row>
    <row r="1513" spans="1:50" x14ac:dyDescent="0.25">
      <c r="A1513" s="357"/>
      <c r="B1513" s="362"/>
      <c r="C1513" s="354"/>
      <c r="D1513" s="4" t="s">
        <v>20</v>
      </c>
      <c r="E1513" s="168" t="str">
        <f>A1506&amp;"/"&amp;B1510&amp;"/"&amp;C1510&amp;"/"&amp;D1513</f>
        <v>Hydro plants/Reservoirs (dams)/Electricity only/XS</v>
      </c>
      <c r="F1513" s="80" t="str">
        <f>A1506</f>
        <v>Hydro plants</v>
      </c>
      <c r="G1513" s="80" t="str">
        <f>B1510</f>
        <v>Reservoirs (dams)</v>
      </c>
      <c r="H1513" s="80" t="str">
        <f>C1510</f>
        <v>Electricity only</v>
      </c>
      <c r="I1513" s="169" t="str">
        <f t="shared" si="102"/>
        <v>XS</v>
      </c>
      <c r="J1513" s="127">
        <v>52.958039062500006</v>
      </c>
      <c r="K1513" s="127">
        <v>52.958004976258358</v>
      </c>
      <c r="L1513" s="127">
        <v>52.957963343800245</v>
      </c>
      <c r="M1513" s="127">
        <v>52.957912494653577</v>
      </c>
      <c r="N1513" s="127">
        <v>52.957850388637297</v>
      </c>
      <c r="O1513" s="127">
        <v>52.957774534074865</v>
      </c>
      <c r="P1513" s="127">
        <v>52.957681887933148</v>
      </c>
      <c r="Q1513" s="127">
        <v>52.95756873390188</v>
      </c>
      <c r="R1513" s="127">
        <v>52.957430533553733</v>
      </c>
      <c r="S1513" s="127">
        <v>52.957261744661736</v>
      </c>
      <c r="T1513" s="127">
        <v>52.957055599457036</v>
      </c>
      <c r="U1513" s="127">
        <v>52.956803834038823</v>
      </c>
      <c r="V1513" s="127">
        <v>52.956496358242525</v>
      </c>
      <c r="W1513" s="127">
        <v>52.956120852964062</v>
      </c>
      <c r="X1513" s="127">
        <v>52.955662279147695</v>
      </c>
      <c r="Y1513" s="127">
        <v>52.955102279280311</v>
      </c>
      <c r="Z1513" s="127">
        <v>52.95441844819009</v>
      </c>
      <c r="AA1513" s="127">
        <v>52.953583445101977</v>
      </c>
      <c r="AB1513" s="127">
        <v>52.95256391312757</v>
      </c>
      <c r="AC1513" s="127">
        <v>52.951319165523977</v>
      </c>
      <c r="AD1513" s="127">
        <v>52.949799590011935</v>
      </c>
      <c r="AE1513" s="127">
        <v>52.94794471308127</v>
      </c>
      <c r="AF1513" s="127">
        <v>52.945680855463486</v>
      </c>
      <c r="AG1513" s="127">
        <v>52.942918297832762</v>
      </c>
      <c r="AH1513" s="127">
        <v>52.939547862484083</v>
      </c>
      <c r="AI1513" s="127">
        <v>52.935436802657456</v>
      </c>
      <c r="AJ1513" s="127">
        <v>52.930423877166866</v>
      </c>
      <c r="AK1513" s="127">
        <v>52.924313475511084</v>
      </c>
      <c r="AL1513" s="127">
        <v>52.916868650087643</v>
      </c>
      <c r="AM1513" s="127">
        <v>52.907802911270259</v>
      </c>
      <c r="AN1513" s="127">
        <v>52.896770653666337</v>
      </c>
      <c r="AO1513" s="127">
        <v>52.883356116282719</v>
      </c>
      <c r="AP1513" s="127">
        <v>52.867060847658855</v>
      </c>
      <c r="AQ1513" s="127">
        <v>52.847289765975987</v>
      </c>
      <c r="AR1513" s="127">
        <v>52.823336095935915</v>
      </c>
      <c r="AS1513" s="127">
        <v>52.794365756883721</v>
      </c>
      <c r="AT1513" s="127">
        <v>52.759402203070728</v>
      </c>
      <c r="AU1513" s="127">
        <v>52.717313310898355</v>
      </c>
      <c r="AV1513" s="127">
        <v>52.666802695386522</v>
      </c>
      <c r="AW1513" s="127">
        <v>52.606408820441636</v>
      </c>
      <c r="AX1513" s="128">
        <v>52.534516394176315</v>
      </c>
    </row>
    <row r="1514" spans="1:50" x14ac:dyDescent="0.25">
      <c r="A1514" s="356" t="s">
        <v>46</v>
      </c>
      <c r="B1514" s="359" t="s">
        <v>46</v>
      </c>
      <c r="C1514" s="353" t="s">
        <v>6</v>
      </c>
      <c r="D1514" s="2" t="s">
        <v>7</v>
      </c>
      <c r="E1514" s="160" t="str">
        <f>A1514&amp;"/"&amp;B1514&amp;"/"&amp;C1514&amp;"/"&amp;D1514</f>
        <v>Pump storage/Pump storage/Electricity only/L</v>
      </c>
      <c r="F1514" s="76" t="str">
        <f>A1514</f>
        <v>Pump storage</v>
      </c>
      <c r="G1514" s="76" t="str">
        <f>B1514</f>
        <v>Pump storage</v>
      </c>
      <c r="H1514" s="76" t="str">
        <f>C1514</f>
        <v>Electricity only</v>
      </c>
      <c r="I1514" s="161" t="str">
        <f t="shared" si="102"/>
        <v>L</v>
      </c>
      <c r="J1514" s="119">
        <v>33.491250000000001</v>
      </c>
      <c r="K1514" s="119">
        <v>33.49077717927937</v>
      </c>
      <c r="L1514" s="119">
        <v>33.490280259007747</v>
      </c>
      <c r="M1514" s="119">
        <v>33.489758018490882</v>
      </c>
      <c r="N1514" s="119">
        <v>33.489209176005772</v>
      </c>
      <c r="O1514" s="119">
        <v>33.488632385833682</v>
      </c>
      <c r="P1514" s="119">
        <v>33.48802623515779</v>
      </c>
      <c r="Q1514" s="119">
        <v>33.487389240820207</v>
      </c>
      <c r="R1514" s="119">
        <v>33.486719845933145</v>
      </c>
      <c r="S1514" s="119">
        <v>33.486016416338693</v>
      </c>
      <c r="T1514" s="119">
        <v>33.485277236911891</v>
      </c>
      <c r="U1514" s="119">
        <v>33.484500507701412</v>
      </c>
      <c r="V1514" s="119">
        <v>33.483684339902432</v>
      </c>
      <c r="W1514" s="119">
        <v>33.48282675165607</v>
      </c>
      <c r="X1514" s="119">
        <v>33.48192566366987</v>
      </c>
      <c r="Y1514" s="119">
        <v>33.480978894653759</v>
      </c>
      <c r="Z1514" s="119">
        <v>33.479984156566204</v>
      </c>
      <c r="AA1514" s="119">
        <v>33.478939049665129</v>
      </c>
      <c r="AB1514" s="119">
        <v>33.477841057358553</v>
      </c>
      <c r="AC1514" s="119">
        <v>33.476687540849966</v>
      </c>
      <c r="AD1514" s="119">
        <v>33.475475733573816</v>
      </c>
      <c r="AE1514" s="119">
        <v>33.474202735416867</v>
      </c>
      <c r="AF1514" s="119">
        <v>33.472865506721291</v>
      </c>
      <c r="AG1514" s="119">
        <v>33.471460862066287</v>
      </c>
      <c r="AH1514" s="119">
        <v>33.469985463825182</v>
      </c>
      <c r="AI1514" s="119">
        <v>33.468435815495866</v>
      </c>
      <c r="AJ1514" s="119">
        <v>33.466808254802984</v>
      </c>
      <c r="AK1514" s="119">
        <v>33.465098946571501</v>
      </c>
      <c r="AL1514" s="119">
        <v>33.463303875371736</v>
      </c>
      <c r="AM1514" s="119">
        <v>33.461418837937771</v>
      </c>
      <c r="AN1514" s="119">
        <v>33.459439435361773</v>
      </c>
      <c r="AO1514" s="119">
        <v>33.457361065068781</v>
      </c>
      <c r="AP1514" s="119">
        <v>33.455178912577715</v>
      </c>
      <c r="AQ1514" s="119">
        <v>33.452887943056631</v>
      </c>
      <c r="AR1514" s="119">
        <v>33.450482892681862</v>
      </c>
      <c r="AS1514" s="119">
        <v>33.447958259813412</v>
      </c>
      <c r="AT1514" s="119">
        <v>33.445308296001144</v>
      </c>
      <c r="AU1514" s="119">
        <v>33.442526996839469</v>
      </c>
      <c r="AV1514" s="119">
        <v>33.439608092690968</v>
      </c>
      <c r="AW1514" s="119">
        <v>33.43654503930324</v>
      </c>
      <c r="AX1514" s="120">
        <v>33.433331008346649</v>
      </c>
    </row>
    <row r="1515" spans="1:50" x14ac:dyDescent="0.25">
      <c r="A1515" s="356"/>
      <c r="B1515" s="359"/>
      <c r="C1515" s="350"/>
      <c r="D1515" s="2" t="s">
        <v>8</v>
      </c>
      <c r="E1515" s="160" t="str">
        <f>A1514&amp;"/"&amp;B1514&amp;"/"&amp;C1514&amp;"/"&amp;D1515</f>
        <v>Pump storage/Pump storage/Electricity only/M</v>
      </c>
      <c r="F1515" s="76" t="str">
        <f>A1514</f>
        <v>Pump storage</v>
      </c>
      <c r="G1515" s="76" t="str">
        <f>B1514</f>
        <v>Pump storage</v>
      </c>
      <c r="H1515" s="76" t="str">
        <f>C1514</f>
        <v>Electricity only</v>
      </c>
      <c r="I1515" s="161" t="str">
        <f t="shared" si="102"/>
        <v>M</v>
      </c>
      <c r="J1515" s="119">
        <v>38.514937499999995</v>
      </c>
      <c r="K1515" s="119">
        <v>38.514628878021824</v>
      </c>
      <c r="L1515" s="119">
        <v>38.514287854367566</v>
      </c>
      <c r="M1515" s="119">
        <v>38.513911033788176</v>
      </c>
      <c r="N1515" s="119">
        <v>38.513494666706691</v>
      </c>
      <c r="O1515" s="119">
        <v>38.513034612560695</v>
      </c>
      <c r="P1515" s="119">
        <v>38.512526299423229</v>
      </c>
      <c r="Q1515" s="119">
        <v>38.511964679540029</v>
      </c>
      <c r="R1515" s="119">
        <v>38.511344180389472</v>
      </c>
      <c r="S1515" s="119">
        <v>38.51065865083774</v>
      </c>
      <c r="T1515" s="119">
        <v>38.509901301926504</v>
      </c>
      <c r="U1515" s="119">
        <v>38.509064641793088</v>
      </c>
      <c r="V1515" s="119">
        <v>38.508140404184481</v>
      </c>
      <c r="W1515" s="119">
        <v>38.507119469987067</v>
      </c>
      <c r="X1515" s="119">
        <v>38.505991781153497</v>
      </c>
      <c r="Y1515" s="119">
        <v>38.504746246368086</v>
      </c>
      <c r="Z1515" s="119">
        <v>38.503370637753321</v>
      </c>
      <c r="AA1515" s="119">
        <v>38.501851477882859</v>
      </c>
      <c r="AB1515" s="119">
        <v>38.500173916333857</v>
      </c>
      <c r="AC1515" s="119">
        <v>38.498321594983729</v>
      </c>
      <c r="AD1515" s="119">
        <v>38.49627650123761</v>
      </c>
      <c r="AE1515" s="119">
        <v>38.494018808364579</v>
      </c>
      <c r="AF1515" s="119">
        <v>38.491526702127452</v>
      </c>
      <c r="AG1515" s="119">
        <v>38.488776192917513</v>
      </c>
      <c r="AH1515" s="119">
        <v>38.485740912656283</v>
      </c>
      <c r="AI1515" s="119">
        <v>38.4823918958094</v>
      </c>
      <c r="AJ1515" s="119">
        <v>38.478697343979938</v>
      </c>
      <c r="AK1515" s="119">
        <v>38.474622373719683</v>
      </c>
      <c r="AL1515" s="119">
        <v>38.470128747428326</v>
      </c>
      <c r="AM1515" s="119">
        <v>38.465174587515001</v>
      </c>
      <c r="AN1515" s="119">
        <v>38.459714074389488</v>
      </c>
      <c r="AO1515" s="119">
        <v>38.453697129347979</v>
      </c>
      <c r="AP1515" s="119">
        <v>38.447069084041296</v>
      </c>
      <c r="AQ1515" s="119">
        <v>38.439770338981283</v>
      </c>
      <c r="AR1515" s="119">
        <v>38.431736014479192</v>
      </c>
      <c r="AS1515" s="119">
        <v>38.42289559854045</v>
      </c>
      <c r="AT1515" s="119">
        <v>38.413172597590176</v>
      </c>
      <c r="AU1515" s="119">
        <v>38.402484197495603</v>
      </c>
      <c r="AV1515" s="119">
        <v>38.390740944208368</v>
      </c>
      <c r="AW1515" s="119">
        <v>38.377846455486015</v>
      </c>
      <c r="AX1515" s="120">
        <v>38.363697177577258</v>
      </c>
    </row>
    <row r="1516" spans="1:50" x14ac:dyDescent="0.25">
      <c r="A1516" s="356"/>
      <c r="B1516" s="359"/>
      <c r="C1516" s="350"/>
      <c r="D1516" s="2" t="s">
        <v>10</v>
      </c>
      <c r="E1516" s="160" t="str">
        <f>A1514&amp;"/"&amp;B1514&amp;"/"&amp;C1514&amp;"/"&amp;D1516</f>
        <v>Pump storage/Pump storage/Electricity only/S</v>
      </c>
      <c r="F1516" s="76" t="str">
        <f>A1514</f>
        <v>Pump storage</v>
      </c>
      <c r="G1516" s="76" t="str">
        <f>B1514</f>
        <v>Pump storage</v>
      </c>
      <c r="H1516" s="76" t="str">
        <f>C1514</f>
        <v>Electricity only</v>
      </c>
      <c r="I1516" s="161" t="str">
        <f t="shared" si="102"/>
        <v>S</v>
      </c>
      <c r="J1516" s="119">
        <v>48.143671874999995</v>
      </c>
      <c r="K1516" s="119">
        <v>48.143548854729296</v>
      </c>
      <c r="L1516" s="119">
        <v>48.143405933224706</v>
      </c>
      <c r="M1516" s="119">
        <v>48.143239892463562</v>
      </c>
      <c r="N1516" s="119">
        <v>48.143046994573574</v>
      </c>
      <c r="O1516" s="119">
        <v>48.142822898030644</v>
      </c>
      <c r="P1516" s="119">
        <v>48.142562560409196</v>
      </c>
      <c r="Q1516" s="119">
        <v>48.142260125548269</v>
      </c>
      <c r="R1516" s="119">
        <v>48.141908792665525</v>
      </c>
      <c r="S1516" s="119">
        <v>48.141500664570074</v>
      </c>
      <c r="T1516" s="119">
        <v>48.14102657168953</v>
      </c>
      <c r="U1516" s="119">
        <v>48.140475868129052</v>
      </c>
      <c r="V1516" s="119">
        <v>48.139836195414041</v>
      </c>
      <c r="W1516" s="119">
        <v>48.1390932089258</v>
      </c>
      <c r="X1516" s="119">
        <v>48.138230261315222</v>
      </c>
      <c r="Y1516" s="119">
        <v>48.137228036365705</v>
      </c>
      <c r="Z1516" s="119">
        <v>48.136064125870476</v>
      </c>
      <c r="AA1516" s="119">
        <v>48.134712541087097</v>
      </c>
      <c r="AB1516" s="119">
        <v>48.133143149236652</v>
      </c>
      <c r="AC1516" s="119">
        <v>48.131321024334561</v>
      </c>
      <c r="AD1516" s="119">
        <v>48.12920570039028</v>
      </c>
      <c r="AE1516" s="119">
        <v>48.126750313725026</v>
      </c>
      <c r="AF1516" s="119">
        <v>48.123900619876203</v>
      </c>
      <c r="AG1516" s="119">
        <v>48.120593869356654</v>
      </c>
      <c r="AH1516" s="119">
        <v>48.116757525520761</v>
      </c>
      <c r="AI1516" s="119">
        <v>48.112307807106589</v>
      </c>
      <c r="AJ1516" s="119">
        <v>48.107148037882354</v>
      </c>
      <c r="AK1516" s="119">
        <v>48.101166786509495</v>
      </c>
      <c r="AL1516" s="119">
        <v>48.094235781626942</v>
      </c>
      <c r="AM1516" s="119">
        <v>48.086207590766783</v>
      </c>
      <c r="AN1516" s="119">
        <v>48.076913057687591</v>
      </c>
      <c r="AO1516" s="119">
        <v>48.066158501897476</v>
      </c>
      <c r="AP1516" s="119">
        <v>48.053722697582124</v>
      </c>
      <c r="AQ1516" s="119">
        <v>48.039353668128271</v>
      </c>
      <c r="AR1516" s="119">
        <v>48.022765358442761</v>
      </c>
      <c r="AS1516" s="119">
        <v>48.00363428200157</v>
      </c>
      <c r="AT1516" s="119">
        <v>47.981596284802563</v>
      </c>
      <c r="AU1516" s="119">
        <v>47.956243625819369</v>
      </c>
      <c r="AV1516" s="119">
        <v>47.927122644402417</v>
      </c>
      <c r="AW1516" s="119">
        <v>47.893732369625162</v>
      </c>
      <c r="AX1516" s="120">
        <v>47.8555245233715</v>
      </c>
    </row>
    <row r="1517" spans="1:50" ht="11" thickBot="1" x14ac:dyDescent="0.3">
      <c r="A1517" s="372"/>
      <c r="B1517" s="373"/>
      <c r="C1517" s="374"/>
      <c r="D1517" s="158" t="s">
        <v>20</v>
      </c>
      <c r="E1517" s="172" t="str">
        <f>A1514&amp;"/"&amp;B1514&amp;"/"&amp;C1514&amp;"/"&amp;D1517</f>
        <v>Pump storage/Pump storage/Electricity only/XS</v>
      </c>
      <c r="F1517" s="82" t="str">
        <f>A1514</f>
        <v>Pump storage</v>
      </c>
      <c r="G1517" s="82" t="str">
        <f>B1514</f>
        <v>Pump storage</v>
      </c>
      <c r="H1517" s="82" t="str">
        <f>C1514</f>
        <v>Electricity only</v>
      </c>
      <c r="I1517" s="173" t="str">
        <f t="shared" si="102"/>
        <v>XS</v>
      </c>
      <c r="J1517" s="131">
        <v>64.993957031249991</v>
      </c>
      <c r="K1517" s="131">
        <v>64.993915198135241</v>
      </c>
      <c r="L1517" s="131">
        <v>64.993864103754831</v>
      </c>
      <c r="M1517" s="131">
        <v>64.993801697983912</v>
      </c>
      <c r="N1517" s="131">
        <v>64.993725476963945</v>
      </c>
      <c r="O1517" s="131">
        <v>64.993632382728222</v>
      </c>
      <c r="P1517" s="131">
        <v>64.993518680645195</v>
      </c>
      <c r="Q1517" s="131">
        <v>64.993379809788649</v>
      </c>
      <c r="R1517" s="131">
        <v>64.993210200270468</v>
      </c>
      <c r="S1517" s="131">
        <v>64.993003050266665</v>
      </c>
      <c r="T1517" s="131">
        <v>64.992750053879078</v>
      </c>
      <c r="U1517" s="131">
        <v>64.992441069047629</v>
      </c>
      <c r="V1517" s="131">
        <v>64.992063712388529</v>
      </c>
      <c r="W1517" s="131">
        <v>64.99160286500134</v>
      </c>
      <c r="X1517" s="131">
        <v>64.991040069863061</v>
      </c>
      <c r="Y1517" s="131">
        <v>64.990352797298542</v>
      </c>
      <c r="Z1517" s="131">
        <v>64.989513550051456</v>
      </c>
      <c r="AA1517" s="131">
        <v>64.988488773534229</v>
      </c>
      <c r="AB1517" s="131">
        <v>64.987237529747446</v>
      </c>
      <c r="AC1517" s="131">
        <v>64.985709884961238</v>
      </c>
      <c r="AD1517" s="131">
        <v>64.983844951378259</v>
      </c>
      <c r="AE1517" s="131">
        <v>64.981568511508812</v>
      </c>
      <c r="AF1517" s="131">
        <v>64.978790140796079</v>
      </c>
      <c r="AG1517" s="131">
        <v>64.975399729158369</v>
      </c>
      <c r="AH1517" s="131">
        <v>64.97126328577589</v>
      </c>
      <c r="AI1517" s="131">
        <v>64.966217894170484</v>
      </c>
      <c r="AJ1517" s="131">
        <v>64.960065667432048</v>
      </c>
      <c r="AK1517" s="131">
        <v>64.952566538127215</v>
      </c>
      <c r="AL1517" s="131">
        <v>64.943429706925713</v>
      </c>
      <c r="AM1517" s="131">
        <v>64.932303572922578</v>
      </c>
      <c r="AN1517" s="131">
        <v>64.918763984045029</v>
      </c>
      <c r="AO1517" s="131">
        <v>64.902300688165127</v>
      </c>
      <c r="AP1517" s="131">
        <v>64.882301949399476</v>
      </c>
      <c r="AQ1517" s="131">
        <v>64.858037440061409</v>
      </c>
      <c r="AR1517" s="131">
        <v>64.828639754103136</v>
      </c>
      <c r="AS1517" s="131">
        <v>64.793085247084548</v>
      </c>
      <c r="AT1517" s="131">
        <v>64.750175431041328</v>
      </c>
      <c r="AU1517" s="131">
        <v>64.698520881557045</v>
      </c>
      <c r="AV1517" s="131">
        <v>64.636530580701631</v>
      </c>
      <c r="AW1517" s="131">
        <v>64.56241082508744</v>
      </c>
      <c r="AX1517" s="132">
        <v>64.474179211034553</v>
      </c>
    </row>
    <row r="1523" spans="1:50" ht="11" thickBot="1" x14ac:dyDescent="0.3"/>
    <row r="1524" spans="1:50" x14ac:dyDescent="0.25">
      <c r="A1524" s="343" t="s">
        <v>49</v>
      </c>
      <c r="B1524" s="345" t="s">
        <v>50</v>
      </c>
      <c r="C1524" s="345" t="s">
        <v>51</v>
      </c>
      <c r="D1524" s="345" t="s">
        <v>52</v>
      </c>
      <c r="E1524" s="290"/>
      <c r="F1524" s="290"/>
      <c r="G1524" s="290"/>
      <c r="H1524" s="290"/>
      <c r="I1524" s="290"/>
      <c r="J1524" s="1" t="s">
        <v>101</v>
      </c>
      <c r="K1524" s="289"/>
      <c r="L1524" s="289"/>
      <c r="M1524" s="289"/>
      <c r="N1524" s="289"/>
      <c r="O1524" s="289"/>
      <c r="P1524" s="289"/>
      <c r="Q1524" s="289"/>
      <c r="R1524" s="289"/>
      <c r="S1524" s="289"/>
      <c r="T1524" s="289"/>
      <c r="U1524" s="289"/>
      <c r="V1524" s="289"/>
      <c r="W1524" s="289"/>
      <c r="X1524" s="289"/>
      <c r="Y1524" s="289"/>
      <c r="Z1524" s="289"/>
      <c r="AA1524" s="289"/>
      <c r="AB1524" s="289"/>
      <c r="AC1524" s="289"/>
      <c r="AD1524" s="289"/>
      <c r="AE1524" s="289"/>
      <c r="AF1524" s="289"/>
      <c r="AG1524" s="289"/>
      <c r="AH1524" s="289"/>
      <c r="AI1524" s="289"/>
      <c r="AJ1524" s="289"/>
      <c r="AK1524" s="289"/>
      <c r="AL1524" s="289"/>
      <c r="AM1524" s="289"/>
      <c r="AN1524" s="289"/>
      <c r="AO1524" s="289"/>
      <c r="AP1524" s="289"/>
      <c r="AQ1524" s="289"/>
      <c r="AR1524" s="289"/>
      <c r="AS1524" s="289"/>
      <c r="AT1524" s="289"/>
      <c r="AU1524" s="289"/>
      <c r="AV1524" s="289"/>
      <c r="AW1524" s="289"/>
      <c r="AX1524" s="288"/>
    </row>
    <row r="1525" spans="1:50" ht="11" thickBot="1" x14ac:dyDescent="0.3">
      <c r="A1525" s="344"/>
      <c r="B1525" s="346"/>
      <c r="C1525" s="346"/>
      <c r="D1525" s="346"/>
      <c r="E1525" s="291"/>
      <c r="F1525" s="291"/>
      <c r="G1525" s="291"/>
      <c r="H1525" s="291"/>
      <c r="I1525" s="291"/>
      <c r="J1525" s="68">
        <v>2010</v>
      </c>
      <c r="K1525" s="68">
        <v>2011</v>
      </c>
      <c r="L1525" s="68">
        <v>2012</v>
      </c>
      <c r="M1525" s="68">
        <v>2013</v>
      </c>
      <c r="N1525" s="68">
        <v>2014</v>
      </c>
      <c r="O1525" s="68">
        <v>2015</v>
      </c>
      <c r="P1525" s="68">
        <v>2016</v>
      </c>
      <c r="Q1525" s="68">
        <v>2017</v>
      </c>
      <c r="R1525" s="68">
        <v>2018</v>
      </c>
      <c r="S1525" s="68">
        <v>2019</v>
      </c>
      <c r="T1525" s="68">
        <v>2020</v>
      </c>
      <c r="U1525" s="68">
        <v>2021</v>
      </c>
      <c r="V1525" s="68">
        <v>2022</v>
      </c>
      <c r="W1525" s="68">
        <v>2023</v>
      </c>
      <c r="X1525" s="68">
        <v>2024</v>
      </c>
      <c r="Y1525" s="68">
        <v>2025</v>
      </c>
      <c r="Z1525" s="68">
        <v>2026</v>
      </c>
      <c r="AA1525" s="68">
        <v>2027</v>
      </c>
      <c r="AB1525" s="68">
        <v>2028</v>
      </c>
      <c r="AC1525" s="68">
        <v>2029</v>
      </c>
      <c r="AD1525" s="68">
        <v>2030</v>
      </c>
      <c r="AE1525" s="68">
        <v>2031</v>
      </c>
      <c r="AF1525" s="68">
        <v>2032</v>
      </c>
      <c r="AG1525" s="68">
        <v>2033</v>
      </c>
      <c r="AH1525" s="68">
        <v>2034</v>
      </c>
      <c r="AI1525" s="68">
        <v>2035</v>
      </c>
      <c r="AJ1525" s="68">
        <v>2036</v>
      </c>
      <c r="AK1525" s="68">
        <v>2037</v>
      </c>
      <c r="AL1525" s="68">
        <v>2038</v>
      </c>
      <c r="AM1525" s="68">
        <v>2039</v>
      </c>
      <c r="AN1525" s="68">
        <v>2040</v>
      </c>
      <c r="AO1525" s="68">
        <v>2041</v>
      </c>
      <c r="AP1525" s="68">
        <v>2042</v>
      </c>
      <c r="AQ1525" s="68">
        <v>2043</v>
      </c>
      <c r="AR1525" s="68">
        <v>2044</v>
      </c>
      <c r="AS1525" s="68">
        <v>2045</v>
      </c>
      <c r="AT1525" s="68">
        <v>2046</v>
      </c>
      <c r="AU1525" s="68">
        <v>2047</v>
      </c>
      <c r="AV1525" s="68">
        <v>2048</v>
      </c>
      <c r="AW1525" s="68">
        <v>2049</v>
      </c>
      <c r="AX1525" s="83">
        <v>2050</v>
      </c>
    </row>
    <row r="1526" spans="1:50" x14ac:dyDescent="0.25">
      <c r="A1526" s="347" t="s">
        <v>4</v>
      </c>
      <c r="B1526" s="349" t="s">
        <v>5</v>
      </c>
      <c r="C1526" s="350" t="s">
        <v>6</v>
      </c>
      <c r="D1526" s="2" t="s">
        <v>7</v>
      </c>
      <c r="E1526" s="160" t="str">
        <f>A1526&amp;"/"&amp;B1526&amp;"/"&amp;C1526&amp;"/"&amp;D1526</f>
        <v>Nuclear power plants/Nuclear - current/Electricity only/L</v>
      </c>
      <c r="F1526" s="76" t="str">
        <f>A1526</f>
        <v>Nuclear power plants</v>
      </c>
      <c r="G1526" s="76" t="str">
        <f>B1526</f>
        <v>Nuclear - current</v>
      </c>
      <c r="H1526" s="76" t="str">
        <f>C1526</f>
        <v>Electricity only</v>
      </c>
      <c r="I1526" s="161" t="str">
        <f>D1526</f>
        <v>L</v>
      </c>
      <c r="J1526" s="119">
        <v>8.0422039859320034</v>
      </c>
      <c r="K1526" s="119">
        <v>8.0422039859320034</v>
      </c>
      <c r="L1526" s="119">
        <v>8.0422039859320034</v>
      </c>
      <c r="M1526" s="119">
        <v>8.0422039859320034</v>
      </c>
      <c r="N1526" s="119">
        <v>8.0422039859320034</v>
      </c>
      <c r="O1526" s="119">
        <v>8.0422039859320034</v>
      </c>
      <c r="P1526" s="119">
        <v>8.0422039859320034</v>
      </c>
      <c r="Q1526" s="119">
        <v>8.0422039859320034</v>
      </c>
      <c r="R1526" s="119">
        <v>8.0422039859320034</v>
      </c>
      <c r="S1526" s="119">
        <v>8.0422039859320034</v>
      </c>
      <c r="T1526" s="119">
        <v>8.0422039859320034</v>
      </c>
      <c r="U1526" s="119">
        <v>8.0422039859320034</v>
      </c>
      <c r="V1526" s="119">
        <v>8.0422039859320034</v>
      </c>
      <c r="W1526" s="119">
        <v>8.0422039859320034</v>
      </c>
      <c r="X1526" s="119">
        <v>8.0422039859320034</v>
      </c>
      <c r="Y1526" s="119">
        <v>8.0422039859320034</v>
      </c>
      <c r="Z1526" s="119">
        <v>8.0422039859320034</v>
      </c>
      <c r="AA1526" s="119">
        <v>8.0422039859320034</v>
      </c>
      <c r="AB1526" s="119">
        <v>8.0422039859320034</v>
      </c>
      <c r="AC1526" s="119">
        <v>8.0422039859320034</v>
      </c>
      <c r="AD1526" s="119">
        <v>8.0422039859320034</v>
      </c>
      <c r="AE1526" s="119">
        <v>8.0422039859320034</v>
      </c>
      <c r="AF1526" s="119">
        <v>8.0422039859320034</v>
      </c>
      <c r="AG1526" s="119">
        <v>8.0422039859320034</v>
      </c>
      <c r="AH1526" s="119">
        <v>8.0422039859320034</v>
      </c>
      <c r="AI1526" s="119">
        <v>8.0422039859320034</v>
      </c>
      <c r="AJ1526" s="119">
        <v>8.0422039859320034</v>
      </c>
      <c r="AK1526" s="119">
        <v>8.0422039859320034</v>
      </c>
      <c r="AL1526" s="119">
        <v>8.0422039859320034</v>
      </c>
      <c r="AM1526" s="119">
        <v>8.0422039859320034</v>
      </c>
      <c r="AN1526" s="119">
        <v>8.0422039859320034</v>
      </c>
      <c r="AO1526" s="119">
        <v>8.0422039859320034</v>
      </c>
      <c r="AP1526" s="119">
        <v>8.0422039859320034</v>
      </c>
      <c r="AQ1526" s="119">
        <v>8.0422039859320034</v>
      </c>
      <c r="AR1526" s="119">
        <v>8.0422039859320034</v>
      </c>
      <c r="AS1526" s="119">
        <v>8.0422039859320034</v>
      </c>
      <c r="AT1526" s="119">
        <v>8.0422039859320034</v>
      </c>
      <c r="AU1526" s="119">
        <v>8.0422039859320034</v>
      </c>
      <c r="AV1526" s="119">
        <v>8.0422039859320034</v>
      </c>
      <c r="AW1526" s="119">
        <v>8.0422039859320034</v>
      </c>
      <c r="AX1526" s="120">
        <v>8.0422039859320034</v>
      </c>
    </row>
    <row r="1527" spans="1:50" x14ac:dyDescent="0.25">
      <c r="A1527" s="347"/>
      <c r="B1527" s="349"/>
      <c r="C1527" s="350"/>
      <c r="D1527" s="4" t="s">
        <v>8</v>
      </c>
      <c r="E1527" s="168" t="str">
        <f>A1526&amp;"/"&amp;B1526&amp;"/"&amp;C1526&amp;"/"&amp;D1527</f>
        <v>Nuclear power plants/Nuclear - current/Electricity only/M</v>
      </c>
      <c r="F1527" s="80" t="str">
        <f>A1526</f>
        <v>Nuclear power plants</v>
      </c>
      <c r="G1527" s="80" t="str">
        <f>B1526</f>
        <v>Nuclear - current</v>
      </c>
      <c r="H1527" s="80" t="str">
        <f>C1526</f>
        <v>Electricity only</v>
      </c>
      <c r="I1527" s="169" t="str">
        <f t="shared" ref="I1527:I1590" si="103">D1527</f>
        <v>M</v>
      </c>
      <c r="J1527" s="127">
        <v>8.4443141852286043</v>
      </c>
      <c r="K1527" s="127">
        <v>8.4443141852286043</v>
      </c>
      <c r="L1527" s="127">
        <v>8.4443141852286043</v>
      </c>
      <c r="M1527" s="127">
        <v>8.4443141852286043</v>
      </c>
      <c r="N1527" s="127">
        <v>8.4443141852286043</v>
      </c>
      <c r="O1527" s="127">
        <v>8.4443141852286043</v>
      </c>
      <c r="P1527" s="127">
        <v>8.4443141852286043</v>
      </c>
      <c r="Q1527" s="127">
        <v>8.4443141852286043</v>
      </c>
      <c r="R1527" s="127">
        <v>8.4443141852286043</v>
      </c>
      <c r="S1527" s="127">
        <v>8.4443141852286043</v>
      </c>
      <c r="T1527" s="127">
        <v>8.4443141852286043</v>
      </c>
      <c r="U1527" s="127">
        <v>8.4443141852286043</v>
      </c>
      <c r="V1527" s="127">
        <v>8.4443141852286043</v>
      </c>
      <c r="W1527" s="127">
        <v>8.4443141852286043</v>
      </c>
      <c r="X1527" s="127">
        <v>8.4443141852286043</v>
      </c>
      <c r="Y1527" s="127">
        <v>8.4443141852286043</v>
      </c>
      <c r="Z1527" s="127">
        <v>8.4443141852286043</v>
      </c>
      <c r="AA1527" s="127">
        <v>8.4443141852286043</v>
      </c>
      <c r="AB1527" s="127">
        <v>8.4443141852286043</v>
      </c>
      <c r="AC1527" s="127">
        <v>8.4443141852286043</v>
      </c>
      <c r="AD1527" s="127">
        <v>8.4443141852286043</v>
      </c>
      <c r="AE1527" s="127">
        <v>8.4443141852286043</v>
      </c>
      <c r="AF1527" s="127">
        <v>8.4443141852286043</v>
      </c>
      <c r="AG1527" s="127">
        <v>8.4443141852286043</v>
      </c>
      <c r="AH1527" s="127">
        <v>8.4443141852286043</v>
      </c>
      <c r="AI1527" s="127">
        <v>8.4443141852286043</v>
      </c>
      <c r="AJ1527" s="127">
        <v>8.4443141852286043</v>
      </c>
      <c r="AK1527" s="127">
        <v>8.4443141852286043</v>
      </c>
      <c r="AL1527" s="127">
        <v>8.4443141852286043</v>
      </c>
      <c r="AM1527" s="127">
        <v>8.4443141852286043</v>
      </c>
      <c r="AN1527" s="127">
        <v>8.4443141852286043</v>
      </c>
      <c r="AO1527" s="127">
        <v>8.4443141852286043</v>
      </c>
      <c r="AP1527" s="127">
        <v>8.4443141852286043</v>
      </c>
      <c r="AQ1527" s="127">
        <v>8.4443141852286043</v>
      </c>
      <c r="AR1527" s="127">
        <v>8.4443141852286043</v>
      </c>
      <c r="AS1527" s="127">
        <v>8.4443141852286043</v>
      </c>
      <c r="AT1527" s="127">
        <v>8.4443141852286043</v>
      </c>
      <c r="AU1527" s="127">
        <v>8.4443141852286043</v>
      </c>
      <c r="AV1527" s="127">
        <v>8.4443141852286043</v>
      </c>
      <c r="AW1527" s="127">
        <v>8.4443141852286043</v>
      </c>
      <c r="AX1527" s="128">
        <v>8.4443141852286043</v>
      </c>
    </row>
    <row r="1528" spans="1:50" x14ac:dyDescent="0.25">
      <c r="A1528" s="347"/>
      <c r="B1528" s="351" t="s">
        <v>9</v>
      </c>
      <c r="C1528" s="353" t="s">
        <v>6</v>
      </c>
      <c r="D1528" s="2" t="s">
        <v>7</v>
      </c>
      <c r="E1528" s="160" t="str">
        <f>A1526&amp;"/"&amp;B1528&amp;"/"&amp;C1528&amp;"/"&amp;D1528</f>
        <v>Nuclear power plants/Nuclear III/Electricity only/L</v>
      </c>
      <c r="F1528" s="76" t="str">
        <f>A1526</f>
        <v>Nuclear power plants</v>
      </c>
      <c r="G1528" s="76" t="str">
        <f>B1528</f>
        <v>Nuclear III</v>
      </c>
      <c r="H1528" s="76" t="str">
        <f>C1528</f>
        <v>Electricity only</v>
      </c>
      <c r="I1528" s="161" t="str">
        <f t="shared" si="103"/>
        <v>L</v>
      </c>
      <c r="J1528" s="119">
        <v>6.1070486518171174</v>
      </c>
      <c r="K1528" s="119">
        <v>6.104556702793503</v>
      </c>
      <c r="L1528" s="119">
        <v>6.1015223961713083</v>
      </c>
      <c r="M1528" s="119">
        <v>6.0978301917635243</v>
      </c>
      <c r="N1528" s="119">
        <v>6.0933411463316114</v>
      </c>
      <c r="O1528" s="119">
        <v>6.0878887593030973</v>
      </c>
      <c r="P1528" s="119">
        <v>6.0812743690659072</v>
      </c>
      <c r="Q1528" s="119">
        <v>6.0732622044621962</v>
      </c>
      <c r="R1528" s="119">
        <v>6.0635742990058317</v>
      </c>
      <c r="S1528" s="119">
        <v>6.0518856252182092</v>
      </c>
      <c r="T1528" s="119">
        <v>6.0378200154243666</v>
      </c>
      <c r="U1528" s="119">
        <v>6.0209477129382156</v>
      </c>
      <c r="V1528" s="119">
        <v>6.0007857449927213</v>
      </c>
      <c r="W1528" s="119">
        <v>5.9768027090374121</v>
      </c>
      <c r="X1528" s="119">
        <v>5.9484299672145529</v>
      </c>
      <c r="Y1528" s="119">
        <v>5.9150815482151078</v>
      </c>
      <c r="Z1528" s="119">
        <v>5.8761850891614991</v>
      </c>
      <c r="AA1528" s="119">
        <v>5.8312256629136163</v>
      </c>
      <c r="AB1528" s="119">
        <v>5.7798030255192323</v>
      </c>
      <c r="AC1528" s="119">
        <v>5.7217004130071309</v>
      </c>
      <c r="AD1528" s="119">
        <v>5.6569594430704582</v>
      </c>
      <c r="AE1528" s="119">
        <v>5.5859512987202056</v>
      </c>
      <c r="AF1528" s="119">
        <v>5.5094302117993221</v>
      </c>
      <c r="AG1528" s="119">
        <v>5.4285530349911415</v>
      </c>
      <c r="AH1528" s="119">
        <v>5.3448503869546835</v>
      </c>
      <c r="AI1528" s="119">
        <v>5.2601418304405607</v>
      </c>
      <c r="AJ1528" s="119">
        <v>5.1763993404992892</v>
      </c>
      <c r="AK1528" s="119">
        <v>5.0955769904922086</v>
      </c>
      <c r="AL1528" s="119">
        <v>5.0194355136511017</v>
      </c>
      <c r="AM1528" s="119">
        <v>4.9493935902507369</v>
      </c>
      <c r="AN1528" s="119">
        <v>4.8864315044204929</v>
      </c>
      <c r="AO1528" s="119">
        <v>4.8310593514693974</v>
      </c>
      <c r="AP1528" s="119">
        <v>4.7833463877546896</v>
      </c>
      <c r="AQ1528" s="119">
        <v>4.7429958507544496</v>
      </c>
      <c r="AR1528" s="119">
        <v>4.7094438667130936</v>
      </c>
      <c r="AS1528" s="119">
        <v>4.6819619929048848</v>
      </c>
      <c r="AT1528" s="119">
        <v>4.6597482856243824</v>
      </c>
      <c r="AU1528" s="119">
        <v>4.6419986277761787</v>
      </c>
      <c r="AV1528" s="119">
        <v>4.6279561073845104</v>
      </c>
      <c r="AW1528" s="119">
        <v>4.6169403827107107</v>
      </c>
      <c r="AX1528" s="120">
        <v>4.608361081544432</v>
      </c>
    </row>
    <row r="1529" spans="1:50" x14ac:dyDescent="0.25">
      <c r="A1529" s="347"/>
      <c r="B1529" s="349"/>
      <c r="C1529" s="350"/>
      <c r="D1529" s="2" t="s">
        <v>8</v>
      </c>
      <c r="E1529" s="160" t="str">
        <f>A1526&amp;"/"&amp;B1528&amp;"/"&amp;C1528&amp;"/"&amp;D1529</f>
        <v>Nuclear power plants/Nuclear III/Electricity only/M</v>
      </c>
      <c r="F1529" s="76" t="str">
        <f>A1526</f>
        <v>Nuclear power plants</v>
      </c>
      <c r="G1529" s="76" t="str">
        <f>B1528</f>
        <v>Nuclear III</v>
      </c>
      <c r="H1529" s="76" t="str">
        <f>C1528</f>
        <v>Electricity only</v>
      </c>
      <c r="I1529" s="161" t="str">
        <f t="shared" si="103"/>
        <v>M</v>
      </c>
      <c r="J1529" s="119">
        <v>6.4124010844079731</v>
      </c>
      <c r="K1529" s="119">
        <v>6.4086575055926724</v>
      </c>
      <c r="L1529" s="119">
        <v>6.4043245254653707</v>
      </c>
      <c r="M1529" s="119">
        <v>6.3993123787673127</v>
      </c>
      <c r="N1529" s="119">
        <v>6.3935186666959973</v>
      </c>
      <c r="O1529" s="119">
        <v>6.3868269349108129</v>
      </c>
      <c r="P1529" s="119">
        <v>6.3791052176139686</v>
      </c>
      <c r="Q1529" s="119">
        <v>6.370204599440787</v>
      </c>
      <c r="R1529" s="119">
        <v>6.3599578694574248</v>
      </c>
      <c r="S1529" s="119">
        <v>6.3481783699299692</v>
      </c>
      <c r="T1529" s="119">
        <v>6.3346591771499874</v>
      </c>
      <c r="U1529" s="119">
        <v>6.3191727923826395</v>
      </c>
      <c r="V1529" s="119">
        <v>6.3014715668958861</v>
      </c>
      <c r="W1529" s="119">
        <v>6.2812891334892464</v>
      </c>
      <c r="X1529" s="119">
        <v>6.2583431632533166</v>
      </c>
      <c r="Y1529" s="119">
        <v>6.2323398028299284</v>
      </c>
      <c r="Z1529" s="119">
        <v>6.2029801630001362</v>
      </c>
      <c r="AA1529" s="119">
        <v>6.1699692088995661</v>
      </c>
      <c r="AB1529" s="119">
        <v>6.1330273270031563</v>
      </c>
      <c r="AC1529" s="119">
        <v>6.0919046940478685</v>
      </c>
      <c r="AD1529" s="119">
        <v>6.0463983302058075</v>
      </c>
      <c r="AE1529" s="119">
        <v>5.9963713732913755</v>
      </c>
      <c r="AF1529" s="119">
        <v>5.9417736694741263</v>
      </c>
      <c r="AG1529" s="119">
        <v>5.8826622718274706</v>
      </c>
      <c r="AH1529" s="119">
        <v>5.8192199376111731</v>
      </c>
      <c r="AI1529" s="119">
        <v>5.7517693198126851</v>
      </c>
      <c r="AJ1529" s="119">
        <v>5.6807803841576119</v>
      </c>
      <c r="AK1529" s="119">
        <v>5.6068687751127833</v>
      </c>
      <c r="AL1529" s="119">
        <v>5.5307834897172317</v>
      </c>
      <c r="AM1529" s="119">
        <v>5.4533832998185519</v>
      </c>
      <c r="AN1529" s="119">
        <v>5.375602779466119</v>
      </c>
      <c r="AO1529" s="119">
        <v>5.298410315070532</v>
      </c>
      <c r="AP1529" s="119">
        <v>5.2227617941928033</v>
      </c>
      <c r="AQ1529" s="119">
        <v>5.1495544784930978</v>
      </c>
      <c r="AR1529" s="119">
        <v>5.0795856565366462</v>
      </c>
      <c r="AS1529" s="119">
        <v>5.0135199996222832</v>
      </c>
      <c r="AT1529" s="119">
        <v>4.9518682528501765</v>
      </c>
      <c r="AU1529" s="119">
        <v>4.8949782725684905</v>
      </c>
      <c r="AV1529" s="119">
        <v>4.8430378130490048</v>
      </c>
      <c r="AW1529" s="119">
        <v>4.7960871683247186</v>
      </c>
      <c r="AX1529" s="120">
        <v>4.754038972058491</v>
      </c>
    </row>
    <row r="1530" spans="1:50" x14ac:dyDescent="0.25">
      <c r="A1530" s="347"/>
      <c r="B1530" s="352"/>
      <c r="C1530" s="354"/>
      <c r="D1530" s="4" t="s">
        <v>10</v>
      </c>
      <c r="E1530" s="168" t="str">
        <f>A1526&amp;"/"&amp;B1528&amp;"/"&amp;C1528&amp;"/"&amp;D1530</f>
        <v>Nuclear power plants/Nuclear III/Electricity only/S</v>
      </c>
      <c r="F1530" s="80" t="str">
        <f>A1526</f>
        <v>Nuclear power plants</v>
      </c>
      <c r="G1530" s="80" t="str">
        <f>B1528</f>
        <v>Nuclear III</v>
      </c>
      <c r="H1530" s="80" t="str">
        <f>C1528</f>
        <v>Electricity only</v>
      </c>
      <c r="I1530" s="169" t="str">
        <f t="shared" si="103"/>
        <v>S</v>
      </c>
      <c r="J1530" s="127" t="s">
        <v>112</v>
      </c>
      <c r="K1530" s="127" t="s">
        <v>112</v>
      </c>
      <c r="L1530" s="127" t="s">
        <v>112</v>
      </c>
      <c r="M1530" s="127" t="s">
        <v>112</v>
      </c>
      <c r="N1530" s="127" t="s">
        <v>112</v>
      </c>
      <c r="O1530" s="127" t="s">
        <v>112</v>
      </c>
      <c r="P1530" s="127" t="s">
        <v>112</v>
      </c>
      <c r="Q1530" s="127" t="s">
        <v>112</v>
      </c>
      <c r="R1530" s="127" t="s">
        <v>112</v>
      </c>
      <c r="S1530" s="127" t="s">
        <v>112</v>
      </c>
      <c r="T1530" s="127" t="s">
        <v>112</v>
      </c>
      <c r="U1530" s="127" t="s">
        <v>112</v>
      </c>
      <c r="V1530" s="127" t="s">
        <v>112</v>
      </c>
      <c r="W1530" s="127" t="s">
        <v>112</v>
      </c>
      <c r="X1530" s="127" t="s">
        <v>112</v>
      </c>
      <c r="Y1530" s="127">
        <v>6.802240564497982</v>
      </c>
      <c r="Z1530" s="127">
        <v>6.7717302890580093</v>
      </c>
      <c r="AA1530" s="127">
        <v>6.7388796169745682</v>
      </c>
      <c r="AB1530" s="127">
        <v>6.7035936551409874</v>
      </c>
      <c r="AC1530" s="127">
        <v>6.6657895767265236</v>
      </c>
      <c r="AD1530" s="127">
        <v>6.6253999070404825</v>
      </c>
      <c r="AE1530" s="127">
        <v>6.5823760096247295</v>
      </c>
      <c r="AF1530" s="127">
        <v>6.5366916847520722</v>
      </c>
      <c r="AG1530" s="127">
        <v>6.4883467655899674</v>
      </c>
      <c r="AH1530" s="127">
        <v>6.4373705707349327</v>
      </c>
      <c r="AI1530" s="127">
        <v>6.3838250479837892</v>
      </c>
      <c r="AJ1530" s="127">
        <v>6.327807425908115</v>
      </c>
      <c r="AK1530" s="127">
        <v>6.269452180139325</v>
      </c>
      <c r="AL1530" s="127">
        <v>6.2089321233193786</v>
      </c>
      <c r="AM1530" s="127">
        <v>6.1464584440416274</v>
      </c>
      <c r="AN1530" s="127">
        <v>6.0822795524809212</v>
      </c>
      <c r="AO1530" s="127">
        <v>6.0166786390640965</v>
      </c>
      <c r="AP1530" s="127">
        <v>5.9499699159345019</v>
      </c>
      <c r="AQ1530" s="127">
        <v>5.8824935855952063</v>
      </c>
      <c r="AR1530" s="127">
        <v>5.8146096615412821</v>
      </c>
      <c r="AS1530" s="127">
        <v>5.7466908449802752</v>
      </c>
      <c r="AT1530" s="127">
        <v>5.6791147321957842</v>
      </c>
      <c r="AU1530" s="127">
        <v>5.6122556812435338</v>
      </c>
      <c r="AV1530" s="127">
        <v>5.5464766982618352</v>
      </c>
      <c r="AW1530" s="127">
        <v>5.4821217087352094</v>
      </c>
      <c r="AX1530" s="128">
        <v>5.4195085564726257</v>
      </c>
    </row>
    <row r="1531" spans="1:50" x14ac:dyDescent="0.25">
      <c r="A1531" s="347"/>
      <c r="B1531" s="349" t="s">
        <v>11</v>
      </c>
      <c r="C1531" s="363" t="s">
        <v>6</v>
      </c>
      <c r="D1531" s="2" t="s">
        <v>7</v>
      </c>
      <c r="E1531" s="160" t="str">
        <f>A1526&amp;"/"&amp;B1531&amp;"/"&amp;C1531&amp;"/"&amp;D1531</f>
        <v>Nuclear power plants/Nuclear IV/Electricity only/L</v>
      </c>
      <c r="F1531" s="76" t="str">
        <f>A1526</f>
        <v>Nuclear power plants</v>
      </c>
      <c r="G1531" s="76" t="str">
        <f>B1531</f>
        <v>Nuclear IV</v>
      </c>
      <c r="H1531" s="76" t="str">
        <f>C1531</f>
        <v>Electricity only</v>
      </c>
      <c r="I1531" s="161" t="str">
        <f t="shared" si="103"/>
        <v>L</v>
      </c>
      <c r="J1531" s="119" t="s">
        <v>112</v>
      </c>
      <c r="K1531" s="119" t="s">
        <v>112</v>
      </c>
      <c r="L1531" s="119" t="s">
        <v>112</v>
      </c>
      <c r="M1531" s="119" t="s">
        <v>112</v>
      </c>
      <c r="N1531" s="119" t="s">
        <v>112</v>
      </c>
      <c r="O1531" s="119" t="s">
        <v>112</v>
      </c>
      <c r="P1531" s="119" t="s">
        <v>112</v>
      </c>
      <c r="Q1531" s="119" t="s">
        <v>112</v>
      </c>
      <c r="R1531" s="119" t="s">
        <v>112</v>
      </c>
      <c r="S1531" s="119" t="s">
        <v>112</v>
      </c>
      <c r="T1531" s="119" t="s">
        <v>112</v>
      </c>
      <c r="U1531" s="119" t="s">
        <v>112</v>
      </c>
      <c r="V1531" s="119" t="s">
        <v>112</v>
      </c>
      <c r="W1531" s="119" t="s">
        <v>112</v>
      </c>
      <c r="X1531" s="119" t="s">
        <v>112</v>
      </c>
      <c r="Y1531" s="119" t="s">
        <v>112</v>
      </c>
      <c r="Z1531" s="119" t="s">
        <v>112</v>
      </c>
      <c r="AA1531" s="119" t="s">
        <v>112</v>
      </c>
      <c r="AB1531" s="119" t="s">
        <v>112</v>
      </c>
      <c r="AC1531" s="119" t="s">
        <v>112</v>
      </c>
      <c r="AD1531" s="119" t="s">
        <v>112</v>
      </c>
      <c r="AE1531" s="119" t="s">
        <v>112</v>
      </c>
      <c r="AF1531" s="119" t="s">
        <v>112</v>
      </c>
      <c r="AG1531" s="119" t="s">
        <v>112</v>
      </c>
      <c r="AH1531" s="119" t="s">
        <v>112</v>
      </c>
      <c r="AI1531" s="119">
        <v>5.5381486858766253</v>
      </c>
      <c r="AJ1531" s="119">
        <v>5.5160093957303253</v>
      </c>
      <c r="AK1531" s="119">
        <v>5.4894630323319236</v>
      </c>
      <c r="AL1531" s="119">
        <v>5.4577579349228671</v>
      </c>
      <c r="AM1531" s="119">
        <v>5.4200716830655047</v>
      </c>
      <c r="AN1531" s="119">
        <v>5.3755319018740471</v>
      </c>
      <c r="AO1531" s="119">
        <v>5.3232524137286381</v>
      </c>
      <c r="AP1531" s="119">
        <v>5.2623890381197169</v>
      </c>
      <c r="AQ1531" s="119">
        <v>5.1922185995010217</v>
      </c>
      <c r="AR1531" s="119">
        <v>5.1122424263780939</v>
      </c>
      <c r="AS1531" s="119">
        <v>5.0223111632342432</v>
      </c>
      <c r="AT1531" s="119">
        <v>4.9227606947207017</v>
      </c>
      <c r="AU1531" s="119">
        <v>4.8145398144206863</v>
      </c>
      <c r="AV1531" s="119">
        <v>4.6993007977685775</v>
      </c>
      <c r="AW1531" s="119">
        <v>4.579417921429906</v>
      </c>
      <c r="AX1531" s="120">
        <v>4.4579012338804231</v>
      </c>
    </row>
    <row r="1532" spans="1:50" x14ac:dyDescent="0.25">
      <c r="A1532" s="348"/>
      <c r="B1532" s="352"/>
      <c r="C1532" s="364"/>
      <c r="D1532" s="4" t="s">
        <v>8</v>
      </c>
      <c r="E1532" s="160" t="str">
        <f>A1526&amp;"/"&amp;B1531&amp;"/"&amp;C1531&amp;"/"&amp;D1532</f>
        <v>Nuclear power plants/Nuclear IV/Electricity only/M</v>
      </c>
      <c r="F1532" s="76" t="str">
        <f>A1526</f>
        <v>Nuclear power plants</v>
      </c>
      <c r="G1532" s="76" t="str">
        <f>B1531</f>
        <v>Nuclear IV</v>
      </c>
      <c r="H1532" s="76" t="str">
        <f>C1531</f>
        <v>Electricity only</v>
      </c>
      <c r="I1532" s="161" t="str">
        <f t="shared" si="103"/>
        <v>M</v>
      </c>
      <c r="J1532" s="119" t="s">
        <v>112</v>
      </c>
      <c r="K1532" s="119" t="s">
        <v>112</v>
      </c>
      <c r="L1532" s="119" t="s">
        <v>112</v>
      </c>
      <c r="M1532" s="119" t="s">
        <v>112</v>
      </c>
      <c r="N1532" s="119" t="s">
        <v>112</v>
      </c>
      <c r="O1532" s="119" t="s">
        <v>112</v>
      </c>
      <c r="P1532" s="119" t="s">
        <v>112</v>
      </c>
      <c r="Q1532" s="119" t="s">
        <v>112</v>
      </c>
      <c r="R1532" s="119" t="s">
        <v>112</v>
      </c>
      <c r="S1532" s="119" t="s">
        <v>112</v>
      </c>
      <c r="T1532" s="119" t="s">
        <v>112</v>
      </c>
      <c r="U1532" s="119" t="s">
        <v>112</v>
      </c>
      <c r="V1532" s="119" t="s">
        <v>112</v>
      </c>
      <c r="W1532" s="119" t="s">
        <v>112</v>
      </c>
      <c r="X1532" s="119" t="s">
        <v>112</v>
      </c>
      <c r="Y1532" s="119" t="s">
        <v>112</v>
      </c>
      <c r="Z1532" s="119" t="s">
        <v>112</v>
      </c>
      <c r="AA1532" s="119" t="s">
        <v>112</v>
      </c>
      <c r="AB1532" s="119" t="s">
        <v>112</v>
      </c>
      <c r="AC1532" s="119" t="s">
        <v>112</v>
      </c>
      <c r="AD1532" s="119" t="s">
        <v>112</v>
      </c>
      <c r="AE1532" s="119" t="s">
        <v>112</v>
      </c>
      <c r="AF1532" s="119" t="s">
        <v>112</v>
      </c>
      <c r="AG1532" s="119" t="s">
        <v>112</v>
      </c>
      <c r="AH1532" s="119" t="s">
        <v>112</v>
      </c>
      <c r="AI1532" s="119">
        <v>5.8969169217630037</v>
      </c>
      <c r="AJ1532" s="119">
        <v>5.889024948220424</v>
      </c>
      <c r="AK1532" s="119">
        <v>5.8789560342778202</v>
      </c>
      <c r="AL1532" s="119">
        <v>5.8661327508782595</v>
      </c>
      <c r="AM1532" s="119">
        <v>5.849839075141305</v>
      </c>
      <c r="AN1532" s="119">
        <v>5.8291963225950711</v>
      </c>
      <c r="AO1532" s="119">
        <v>5.8031409198490511</v>
      </c>
      <c r="AP1532" s="119">
        <v>5.7704089057292371</v>
      </c>
      <c r="AQ1532" s="119">
        <v>5.7295350609055804</v>
      </c>
      <c r="AR1532" s="119">
        <v>5.6788784415482603</v>
      </c>
      <c r="AS1532" s="119">
        <v>5.6166903410062208</v>
      </c>
      <c r="AT1532" s="119">
        <v>5.5412439262727213</v>
      </c>
      <c r="AU1532" s="119">
        <v>5.4510441561333769</v>
      </c>
      <c r="AV1532" s="119">
        <v>5.3451275483620719</v>
      </c>
      <c r="AW1532" s="119">
        <v>5.2234385194299806</v>
      </c>
      <c r="AX1532" s="120">
        <v>5.0872292595716786</v>
      </c>
    </row>
    <row r="1533" spans="1:50" x14ac:dyDescent="0.25">
      <c r="A1533" s="355" t="s">
        <v>12</v>
      </c>
      <c r="B1533" s="358" t="s">
        <v>13</v>
      </c>
      <c r="C1533" s="353" t="s">
        <v>6</v>
      </c>
      <c r="D1533" s="3" t="s">
        <v>7</v>
      </c>
      <c r="E1533" s="162" t="str">
        <f>A1533&amp;"/"&amp;B1533&amp;"/"&amp;C1533&amp;"/"&amp;D1533</f>
        <v>Coal fired power plants/Integrated gasification combined cycle/Electricity only/L</v>
      </c>
      <c r="F1533" s="77" t="str">
        <f>A1533</f>
        <v>Coal fired power plants</v>
      </c>
      <c r="G1533" s="77" t="str">
        <f>B1533</f>
        <v>Integrated gasification combined cycle</v>
      </c>
      <c r="H1533" s="77" t="str">
        <f>C1533</f>
        <v>Electricity only</v>
      </c>
      <c r="I1533" s="163" t="str">
        <f t="shared" si="103"/>
        <v>L</v>
      </c>
      <c r="J1533" s="121">
        <v>4.9840897672081725</v>
      </c>
      <c r="K1533" s="121">
        <v>4.9840495437476005</v>
      </c>
      <c r="L1533" s="121">
        <v>4.9839978983405517</v>
      </c>
      <c r="M1533" s="121">
        <v>4.9839315885104858</v>
      </c>
      <c r="N1533" s="121">
        <v>4.9838464519029122</v>
      </c>
      <c r="O1533" s="121">
        <v>4.9837371457089716</v>
      </c>
      <c r="P1533" s="121">
        <v>4.9835968125273507</v>
      </c>
      <c r="Q1533" s="121">
        <v>4.9834166520616892</v>
      </c>
      <c r="R1533" s="121">
        <v>4.9831853723868536</v>
      </c>
      <c r="S1533" s="121">
        <v>4.9828884873662265</v>
      </c>
      <c r="T1533" s="121">
        <v>4.9825074178191571</v>
      </c>
      <c r="U1533" s="121">
        <v>4.9820183428302593</v>
      </c>
      <c r="V1533" s="121">
        <v>4.9813907337377765</v>
      </c>
      <c r="W1533" s="121">
        <v>4.9805854864259755</v>
      </c>
      <c r="X1533" s="121">
        <v>4.9795525472633591</v>
      </c>
      <c r="Y1533" s="121">
        <v>4.9782279043172357</v>
      </c>
      <c r="Z1533" s="121">
        <v>4.9765297888142559</v>
      </c>
      <c r="AA1533" s="121">
        <v>4.9743539036955511</v>
      </c>
      <c r="AB1533" s="121">
        <v>4.9715674698170069</v>
      </c>
      <c r="AC1533" s="121">
        <v>4.9680018621948472</v>
      </c>
      <c r="AD1533" s="121">
        <v>4.9634436099872596</v>
      </c>
      <c r="AE1533" s="121">
        <v>4.9576235737418131</v>
      </c>
      <c r="AF1533" s="121">
        <v>4.9502042227112701</v>
      </c>
      <c r="AG1533" s="121">
        <v>4.9407651614230446</v>
      </c>
      <c r="AH1533" s="121">
        <v>4.9287874679031196</v>
      </c>
      <c r="AI1533" s="121">
        <v>4.9136381007726975</v>
      </c>
      <c r="AJ1533" s="121">
        <v>4.8945567235595151</v>
      </c>
      <c r="AK1533" s="121">
        <v>4.870648891791598</v>
      </c>
      <c r="AL1533" s="121">
        <v>4.8408916923158429</v>
      </c>
      <c r="AM1533" s="121">
        <v>4.804160455158847</v>
      </c>
      <c r="AN1533" s="121">
        <v>4.7592874961800238</v>
      </c>
      <c r="AO1533" s="121">
        <v>4.7051647035780348</v>
      </c>
      <c r="AP1533" s="121">
        <v>4.6408989314389242</v>
      </c>
      <c r="AQ1533" s="121">
        <v>4.5660196648373521</v>
      </c>
      <c r="AR1533" s="121">
        <v>4.4807198471470082</v>
      </c>
      <c r="AS1533" s="121">
        <v>4.3860839749485345</v>
      </c>
      <c r="AT1533" s="121">
        <v>4.2842304281611225</v>
      </c>
      <c r="AU1533" s="121">
        <v>4.1782839933819984</v>
      </c>
      <c r="AV1533" s="121">
        <v>4.0721192273475726</v>
      </c>
      <c r="AW1533" s="121">
        <v>3.9698833346643272</v>
      </c>
      <c r="AX1533" s="122">
        <v>3.8753980316819581</v>
      </c>
    </row>
    <row r="1534" spans="1:50" x14ac:dyDescent="0.25">
      <c r="A1534" s="356"/>
      <c r="B1534" s="359"/>
      <c r="C1534" s="360"/>
      <c r="D1534" s="2" t="s">
        <v>8</v>
      </c>
      <c r="E1534" s="160" t="str">
        <f>A1533&amp;"/"&amp;B1533&amp;"/"&amp;C1533&amp;"/"&amp;D1534</f>
        <v>Coal fired power plants/Integrated gasification combined cycle/Electricity only/M</v>
      </c>
      <c r="F1534" s="76" t="str">
        <f>A1533</f>
        <v>Coal fired power plants</v>
      </c>
      <c r="G1534" s="76" t="str">
        <f>B1533</f>
        <v>Integrated gasification combined cycle</v>
      </c>
      <c r="H1534" s="76" t="str">
        <f>C1533</f>
        <v>Electricity only</v>
      </c>
      <c r="I1534" s="161" t="str">
        <f t="shared" si="103"/>
        <v>M</v>
      </c>
      <c r="J1534" s="119">
        <v>5.3578964997487866</v>
      </c>
      <c r="K1534" s="119">
        <v>5.3576702823778666</v>
      </c>
      <c r="L1534" s="119">
        <v>5.3573940390849089</v>
      </c>
      <c r="M1534" s="119">
        <v>5.3570567230934802</v>
      </c>
      <c r="N1534" s="119">
        <v>5.3566448561289866</v>
      </c>
      <c r="O1534" s="119">
        <v>5.3561419970861985</v>
      </c>
      <c r="P1534" s="119">
        <v>5.3555280964889223</v>
      </c>
      <c r="Q1534" s="119">
        <v>5.354778713130024</v>
      </c>
      <c r="R1534" s="119">
        <v>5.3538640648648679</v>
      </c>
      <c r="S1534" s="119">
        <v>5.3527478805295665</v>
      </c>
      <c r="T1534" s="119">
        <v>5.3513860144222836</v>
      </c>
      <c r="U1534" s="119">
        <v>5.349724778874184</v>
      </c>
      <c r="V1534" s="119">
        <v>5.3476989444554395</v>
      </c>
      <c r="W1534" s="119">
        <v>5.3452293518634528</v>
      </c>
      <c r="X1534" s="119">
        <v>5.34222007544557</v>
      </c>
      <c r="Y1534" s="119">
        <v>5.3385550770815389</v>
      </c>
      <c r="Z1534" s="119">
        <v>5.3340942930430941</v>
      </c>
      <c r="AA1534" s="119">
        <v>5.3286691088165963</v>
      </c>
      <c r="AB1534" s="119">
        <v>5.322077202588245</v>
      </c>
      <c r="AC1534" s="119">
        <v>5.3140767840013616</v>
      </c>
      <c r="AD1534" s="119">
        <v>5.3043803302157428</v>
      </c>
      <c r="AE1534" s="119">
        <v>5.2926480383492498</v>
      </c>
      <c r="AF1534" s="119">
        <v>5.2784813868961038</v>
      </c>
      <c r="AG1534" s="119">
        <v>5.2614174451925813</v>
      </c>
      <c r="AH1534" s="119">
        <v>5.2409249047078879</v>
      </c>
      <c r="AI1534" s="119">
        <v>5.2164032368847719</v>
      </c>
      <c r="AJ1534" s="119">
        <v>5.1871868993464227</v>
      </c>
      <c r="AK1534" s="119">
        <v>5.1525570700383918</v>
      </c>
      <c r="AL1534" s="119">
        <v>5.1117638822429159</v>
      </c>
      <c r="AM1534" s="119">
        <v>5.0640623698408334</v>
      </c>
      <c r="AN1534" s="119">
        <v>5.008765010439034</v>
      </c>
      <c r="AO1534" s="119">
        <v>4.9453124719686326</v>
      </c>
      <c r="AP1534" s="119">
        <v>4.8733614964376288</v>
      </c>
      <c r="AQ1534" s="119">
        <v>4.7928845154523323</v>
      </c>
      <c r="AR1534" s="119">
        <v>4.7042697656874957</v>
      </c>
      <c r="AS1534" s="119">
        <v>4.6084043638971366</v>
      </c>
      <c r="AT1534" s="119">
        <v>4.5067180737976944</v>
      </c>
      <c r="AU1534" s="119">
        <v>4.4011652351255481</v>
      </c>
      <c r="AV1534" s="119">
        <v>4.294129218458612</v>
      </c>
      <c r="AW1534" s="119">
        <v>4.1882486021254293</v>
      </c>
      <c r="AX1534" s="120">
        <v>4.0861843033154797</v>
      </c>
    </row>
    <row r="1535" spans="1:50" x14ac:dyDescent="0.25">
      <c r="A1535" s="356"/>
      <c r="B1535" s="359"/>
      <c r="C1535" s="361" t="s">
        <v>14</v>
      </c>
      <c r="D1535" s="58" t="s">
        <v>7</v>
      </c>
      <c r="E1535" s="164" t="str">
        <f>A1533&amp;"/"&amp;B1533&amp;"/"&amp;C1535&amp;"/"&amp;D1535</f>
        <v>Coal fired power plants/Integrated gasification combined cycle/CHP/L</v>
      </c>
      <c r="F1535" s="78" t="str">
        <f>A1533</f>
        <v>Coal fired power plants</v>
      </c>
      <c r="G1535" s="78" t="str">
        <f>B1533</f>
        <v>Integrated gasification combined cycle</v>
      </c>
      <c r="H1535" s="78" t="str">
        <f>C1535</f>
        <v>CHP</v>
      </c>
      <c r="I1535" s="165" t="str">
        <f t="shared" si="103"/>
        <v>L</v>
      </c>
      <c r="J1535" s="123">
        <v>5.7588835053211271</v>
      </c>
      <c r="K1535" s="123">
        <v>5.758840127408849</v>
      </c>
      <c r="L1535" s="123">
        <v>5.7587844318047248</v>
      </c>
      <c r="M1535" s="123">
        <v>5.7587129217468913</v>
      </c>
      <c r="N1535" s="123">
        <v>5.7586211084557819</v>
      </c>
      <c r="O1535" s="123">
        <v>5.7585032301224715</v>
      </c>
      <c r="P1535" s="123">
        <v>5.7583518915664271</v>
      </c>
      <c r="Q1535" s="123">
        <v>5.7581576023440606</v>
      </c>
      <c r="R1535" s="123">
        <v>5.7579081849815559</v>
      </c>
      <c r="S1535" s="123">
        <v>5.75758801729339</v>
      </c>
      <c r="T1535" s="123">
        <v>5.7571770630604746</v>
      </c>
      <c r="U1535" s="123">
        <v>5.7566496332554786</v>
      </c>
      <c r="V1535" s="123">
        <v>5.755972805061897</v>
      </c>
      <c r="W1535" s="123">
        <v>5.755104407694871</v>
      </c>
      <c r="X1535" s="123">
        <v>5.7539904621579323</v>
      </c>
      <c r="Y1535" s="123">
        <v>5.7525619364990401</v>
      </c>
      <c r="Z1535" s="123">
        <v>5.7507306493775792</v>
      </c>
      <c r="AA1535" s="123">
        <v>5.7483841244276164</v>
      </c>
      <c r="AB1535" s="123">
        <v>5.74537916954226</v>
      </c>
      <c r="AC1535" s="123">
        <v>5.7415339356302049</v>
      </c>
      <c r="AD1535" s="123">
        <v>5.7366182107872987</v>
      </c>
      <c r="AE1535" s="123">
        <v>5.7303417487892681</v>
      </c>
      <c r="AF1535" s="123">
        <v>5.7223405486541852</v>
      </c>
      <c r="AG1535" s="123">
        <v>5.7121612461594662</v>
      </c>
      <c r="AH1535" s="123">
        <v>5.6992442238194965</v>
      </c>
      <c r="AI1535" s="123">
        <v>5.6829067951372103</v>
      </c>
      <c r="AJ1535" s="123">
        <v>5.6623289956359919</v>
      </c>
      <c r="AK1535" s="123">
        <v>5.6365462356636566</v>
      </c>
      <c r="AL1535" s="123">
        <v>5.604455381964331</v>
      </c>
      <c r="AM1535" s="123">
        <v>5.5648435643683669</v>
      </c>
      <c r="AN1535" s="123">
        <v>5.5164515252311332</v>
      </c>
      <c r="AO1535" s="123">
        <v>5.4580842510995602</v>
      </c>
      <c r="AP1535" s="123">
        <v>5.3887785527165297</v>
      </c>
      <c r="AQ1535" s="123">
        <v>5.3080270158798202</v>
      </c>
      <c r="AR1535" s="123">
        <v>5.2160377151961264</v>
      </c>
      <c r="AS1535" s="123">
        <v>5.1139801969171108</v>
      </c>
      <c r="AT1535" s="123">
        <v>5.0041389710525852</v>
      </c>
      <c r="AU1535" s="123">
        <v>4.8898838799028965</v>
      </c>
      <c r="AV1535" s="123">
        <v>4.7753933352664752</v>
      </c>
      <c r="AW1535" s="123">
        <v>4.6651397787249422</v>
      </c>
      <c r="AX1535" s="124">
        <v>4.5632446377788325</v>
      </c>
    </row>
    <row r="1536" spans="1:50" x14ac:dyDescent="0.25">
      <c r="A1536" s="356"/>
      <c r="B1536" s="359"/>
      <c r="C1536" s="360"/>
      <c r="D1536" s="59" t="s">
        <v>8</v>
      </c>
      <c r="E1536" s="166" t="str">
        <f>A1533&amp;"/"&amp;B1533&amp;"/"&amp;C1535&amp;"/"&amp;D1536</f>
        <v>Coal fired power plants/Integrated gasification combined cycle/CHP/M</v>
      </c>
      <c r="F1536" s="79" t="str">
        <f>A1533</f>
        <v>Coal fired power plants</v>
      </c>
      <c r="G1536" s="79" t="str">
        <f>B1533</f>
        <v>Integrated gasification combined cycle</v>
      </c>
      <c r="H1536" s="79" t="str">
        <f>C1535</f>
        <v>CHP</v>
      </c>
      <c r="I1536" s="167" t="str">
        <f t="shared" si="103"/>
        <v>M</v>
      </c>
      <c r="J1536" s="125">
        <v>6.117521351481253</v>
      </c>
      <c r="K1536" s="125">
        <v>6.1172778211720704</v>
      </c>
      <c r="L1536" s="125">
        <v>6.1169804363414073</v>
      </c>
      <c r="M1536" s="125">
        <v>6.1166173047775017</v>
      </c>
      <c r="N1536" s="125">
        <v>6.1161739166822491</v>
      </c>
      <c r="O1536" s="125">
        <v>6.1156325726746354</v>
      </c>
      <c r="P1536" s="125">
        <v>6.1149716888457135</v>
      </c>
      <c r="Q1536" s="125">
        <v>6.1141649534462745</v>
      </c>
      <c r="R1536" s="125">
        <v>6.1131803050353177</v>
      </c>
      <c r="S1536" s="125">
        <v>6.1119786965329475</v>
      </c>
      <c r="T1536" s="125">
        <v>6.1105126036647306</v>
      </c>
      <c r="U1536" s="125">
        <v>6.1087242299204467</v>
      </c>
      <c r="V1536" s="125">
        <v>6.1065433537112312</v>
      </c>
      <c r="W1536" s="125">
        <v>6.1038847574900981</v>
      </c>
      <c r="X1536" s="125">
        <v>6.1006451741924774</v>
      </c>
      <c r="Y1536" s="125">
        <v>6.0966996850325677</v>
      </c>
      <c r="Z1536" s="125">
        <v>6.0918975068812475</v>
      </c>
      <c r="AA1536" s="125">
        <v>6.086057120766422</v>
      </c>
      <c r="AB1536" s="125">
        <v>6.078960720718241</v>
      </c>
      <c r="AC1536" s="125">
        <v>6.0703480116051693</v>
      </c>
      <c r="AD1536" s="125">
        <v>6.059909465799481</v>
      </c>
      <c r="AE1536" s="125">
        <v>6.0472792745190649</v>
      </c>
      <c r="AF1536" s="125">
        <v>6.032028416486181</v>
      </c>
      <c r="AG1536" s="125">
        <v>6.0136585318834221</v>
      </c>
      <c r="AH1536" s="125">
        <v>5.9915976499100907</v>
      </c>
      <c r="AI1536" s="125">
        <v>5.9651992821704223</v>
      </c>
      <c r="AJ1536" s="125">
        <v>5.9337469507912086</v>
      </c>
      <c r="AK1536" s="125">
        <v>5.8964668206047302</v>
      </c>
      <c r="AL1536" s="125">
        <v>5.8525516358601104</v>
      </c>
      <c r="AM1536" s="125">
        <v>5.8011994164592142</v>
      </c>
      <c r="AN1536" s="125">
        <v>5.7416700223310855</v>
      </c>
      <c r="AO1536" s="125">
        <v>5.6733613144307986</v>
      </c>
      <c r="AP1536" s="125">
        <v>5.595903764438833</v>
      </c>
      <c r="AQ1536" s="125">
        <v>5.5092676940886154</v>
      </c>
      <c r="AR1536" s="125">
        <v>5.4138710527049607</v>
      </c>
      <c r="AS1536" s="125">
        <v>5.3106688501375103</v>
      </c>
      <c r="AT1536" s="125">
        <v>5.201200273224595</v>
      </c>
      <c r="AU1536" s="125">
        <v>5.0875692318397778</v>
      </c>
      <c r="AV1536" s="125">
        <v>4.9723415014200931</v>
      </c>
      <c r="AW1536" s="125">
        <v>4.8583575967922314</v>
      </c>
      <c r="AX1536" s="126">
        <v>4.7484820812884871</v>
      </c>
    </row>
    <row r="1537" spans="1:50" x14ac:dyDescent="0.25">
      <c r="A1537" s="356"/>
      <c r="B1537" s="359"/>
      <c r="C1537" s="361" t="s">
        <v>15</v>
      </c>
      <c r="D1537" s="58" t="s">
        <v>7</v>
      </c>
      <c r="E1537" s="164" t="str">
        <f>A1533&amp;"/"&amp;B1533&amp;"/"&amp;C1537&amp;"/"&amp;D1537</f>
        <v>Coal fired power plants/Integrated gasification combined cycle/Electricity only with CCS/L</v>
      </c>
      <c r="F1537" s="78" t="str">
        <f>A1533</f>
        <v>Coal fired power plants</v>
      </c>
      <c r="G1537" s="78" t="str">
        <f>B1533</f>
        <v>Integrated gasification combined cycle</v>
      </c>
      <c r="H1537" s="78" t="str">
        <f>C1537</f>
        <v>Electricity only with CCS</v>
      </c>
      <c r="I1537" s="165" t="str">
        <f t="shared" si="103"/>
        <v>L</v>
      </c>
      <c r="J1537" s="123" t="s">
        <v>112</v>
      </c>
      <c r="K1537" s="123" t="s">
        <v>112</v>
      </c>
      <c r="L1537" s="123" t="s">
        <v>112</v>
      </c>
      <c r="M1537" s="123" t="s">
        <v>112</v>
      </c>
      <c r="N1537" s="123" t="s">
        <v>112</v>
      </c>
      <c r="O1537" s="123" t="s">
        <v>112</v>
      </c>
      <c r="P1537" s="123" t="s">
        <v>112</v>
      </c>
      <c r="Q1537" s="123" t="s">
        <v>112</v>
      </c>
      <c r="R1537" s="123" t="s">
        <v>112</v>
      </c>
      <c r="S1537" s="123" t="s">
        <v>112</v>
      </c>
      <c r="T1537" s="123" t="s">
        <v>112</v>
      </c>
      <c r="U1537" s="123" t="s">
        <v>112</v>
      </c>
      <c r="V1537" s="123" t="s">
        <v>112</v>
      </c>
      <c r="W1537" s="123" t="s">
        <v>112</v>
      </c>
      <c r="X1537" s="123" t="s">
        <v>112</v>
      </c>
      <c r="Y1537" s="123" t="s">
        <v>112</v>
      </c>
      <c r="Z1537" s="123" t="s">
        <v>112</v>
      </c>
      <c r="AA1537" s="123" t="s">
        <v>112</v>
      </c>
      <c r="AB1537" s="123" t="s">
        <v>112</v>
      </c>
      <c r="AC1537" s="123" t="s">
        <v>112</v>
      </c>
      <c r="AD1537" s="123" t="s">
        <v>112</v>
      </c>
      <c r="AE1537" s="123">
        <v>5.8286214176147313</v>
      </c>
      <c r="AF1537" s="123">
        <v>5.8276560460950222</v>
      </c>
      <c r="AG1537" s="123">
        <v>5.8263541630578466</v>
      </c>
      <c r="AH1537" s="123">
        <v>5.824599046463641</v>
      </c>
      <c r="AI1537" s="123">
        <v>5.8222339627969761</v>
      </c>
      <c r="AJ1537" s="123">
        <v>5.8190488392747293</v>
      </c>
      <c r="AK1537" s="123">
        <v>5.8147628137058982</v>
      </c>
      <c r="AL1537" s="123">
        <v>5.809001648616821</v>
      </c>
      <c r="AM1537" s="123">
        <v>5.8012689722483799</v>
      </c>
      <c r="AN1537" s="123">
        <v>5.7909105175349804</v>
      </c>
      <c r="AO1537" s="123">
        <v>5.7770712085616225</v>
      </c>
      <c r="AP1537" s="123">
        <v>5.7586464861049169</v>
      </c>
      <c r="AQ1537" s="123">
        <v>5.7342322688090013</v>
      </c>
      <c r="AR1537" s="123">
        <v>5.7020832107606347</v>
      </c>
      <c r="AS1537" s="123">
        <v>5.6600972394706259</v>
      </c>
      <c r="AT1537" s="123">
        <v>5.6058559123274989</v>
      </c>
      <c r="AU1537" s="123">
        <v>5.5367630317388858</v>
      </c>
      <c r="AV1537" s="123">
        <v>5.4503318615580305</v>
      </c>
      <c r="AW1537" s="123">
        <v>5.3446608529756023</v>
      </c>
      <c r="AX1537" s="124">
        <v>5.2190895997320377</v>
      </c>
    </row>
    <row r="1538" spans="1:50" x14ac:dyDescent="0.25">
      <c r="A1538" s="356"/>
      <c r="B1538" s="359"/>
      <c r="C1538" s="360"/>
      <c r="D1538" s="59" t="s">
        <v>8</v>
      </c>
      <c r="E1538" s="166" t="str">
        <f>A1533&amp;"/"&amp;B1533&amp;"/"&amp;C1537&amp;"/"&amp;D1538</f>
        <v>Coal fired power plants/Integrated gasification combined cycle/Electricity only with CCS/M</v>
      </c>
      <c r="F1538" s="79" t="str">
        <f>A1533</f>
        <v>Coal fired power plants</v>
      </c>
      <c r="G1538" s="79" t="str">
        <f>B1533</f>
        <v>Integrated gasification combined cycle</v>
      </c>
      <c r="H1538" s="79" t="str">
        <f>C1537</f>
        <v>Electricity only with CCS</v>
      </c>
      <c r="I1538" s="167" t="str">
        <f t="shared" si="103"/>
        <v>M</v>
      </c>
      <c r="J1538" s="125" t="s">
        <v>112</v>
      </c>
      <c r="K1538" s="125" t="s">
        <v>112</v>
      </c>
      <c r="L1538" s="125" t="s">
        <v>112</v>
      </c>
      <c r="M1538" s="125" t="s">
        <v>112</v>
      </c>
      <c r="N1538" s="125" t="s">
        <v>112</v>
      </c>
      <c r="O1538" s="125" t="s">
        <v>112</v>
      </c>
      <c r="P1538" s="125" t="s">
        <v>112</v>
      </c>
      <c r="Q1538" s="125" t="s">
        <v>112</v>
      </c>
      <c r="R1538" s="125" t="s">
        <v>112</v>
      </c>
      <c r="S1538" s="125" t="s">
        <v>112</v>
      </c>
      <c r="T1538" s="125" t="s">
        <v>112</v>
      </c>
      <c r="U1538" s="125" t="s">
        <v>112</v>
      </c>
      <c r="V1538" s="125" t="s">
        <v>112</v>
      </c>
      <c r="W1538" s="125" t="s">
        <v>112</v>
      </c>
      <c r="X1538" s="125" t="s">
        <v>112</v>
      </c>
      <c r="Y1538" s="125" t="s">
        <v>112</v>
      </c>
      <c r="Z1538" s="125" t="s">
        <v>112</v>
      </c>
      <c r="AA1538" s="125" t="s">
        <v>112</v>
      </c>
      <c r="AB1538" s="125" t="s">
        <v>112</v>
      </c>
      <c r="AC1538" s="125" t="s">
        <v>112</v>
      </c>
      <c r="AD1538" s="125" t="s">
        <v>112</v>
      </c>
      <c r="AE1538" s="125">
        <v>6.2222723914589233</v>
      </c>
      <c r="AF1538" s="125">
        <v>6.2217601921178245</v>
      </c>
      <c r="AG1538" s="125">
        <v>6.2210336747583002</v>
      </c>
      <c r="AH1538" s="125">
        <v>6.2200033577556821</v>
      </c>
      <c r="AI1538" s="125">
        <v>6.2185425963560164</v>
      </c>
      <c r="AJ1538" s="125">
        <v>6.2164723473818206</v>
      </c>
      <c r="AK1538" s="125">
        <v>6.2135398892809333</v>
      </c>
      <c r="AL1538" s="125">
        <v>6.2093893030247136</v>
      </c>
      <c r="AM1538" s="125">
        <v>6.2035209319941576</v>
      </c>
      <c r="AN1538" s="125">
        <v>6.1952365223366366</v>
      </c>
      <c r="AO1538" s="125">
        <v>6.183566614453345</v>
      </c>
      <c r="AP1538" s="125">
        <v>6.1671776856218701</v>
      </c>
      <c r="AQ1538" s="125">
        <v>6.1442598438598326</v>
      </c>
      <c r="AR1538" s="125">
        <v>6.1124038526830544</v>
      </c>
      <c r="AS1538" s="125">
        <v>6.0684924744572477</v>
      </c>
      <c r="AT1538" s="125">
        <v>6.0086597629438305</v>
      </c>
      <c r="AU1538" s="125">
        <v>5.9284147521113137</v>
      </c>
      <c r="AV1538" s="125">
        <v>5.8230736846101134</v>
      </c>
      <c r="AW1538" s="125">
        <v>5.6886614861800124</v>
      </c>
      <c r="AX1538" s="126">
        <v>5.523352167660935</v>
      </c>
    </row>
    <row r="1539" spans="1:50" x14ac:dyDescent="0.25">
      <c r="A1539" s="356"/>
      <c r="B1539" s="359"/>
      <c r="C1539" s="361" t="s">
        <v>16</v>
      </c>
      <c r="D1539" s="2" t="s">
        <v>7</v>
      </c>
      <c r="E1539" s="160" t="str">
        <f>A1533&amp;"/"&amp;B1533&amp;"/"&amp;C1539&amp;"/"&amp;D1539</f>
        <v>Coal fired power plants/Integrated gasification combined cycle/CHP with CCS/L</v>
      </c>
      <c r="F1539" s="76" t="str">
        <f>A1533</f>
        <v>Coal fired power plants</v>
      </c>
      <c r="G1539" s="76" t="str">
        <f>B1533</f>
        <v>Integrated gasification combined cycle</v>
      </c>
      <c r="H1539" s="76" t="str">
        <f>C1539</f>
        <v>CHP with CCS</v>
      </c>
      <c r="I1539" s="161" t="str">
        <f t="shared" si="103"/>
        <v>L</v>
      </c>
      <c r="J1539" s="119" t="s">
        <v>112</v>
      </c>
      <c r="K1539" s="119" t="s">
        <v>112</v>
      </c>
      <c r="L1539" s="119" t="s">
        <v>112</v>
      </c>
      <c r="M1539" s="119" t="s">
        <v>112</v>
      </c>
      <c r="N1539" s="119" t="s">
        <v>112</v>
      </c>
      <c r="O1539" s="119" t="s">
        <v>112</v>
      </c>
      <c r="P1539" s="119" t="s">
        <v>112</v>
      </c>
      <c r="Q1539" s="119" t="s">
        <v>112</v>
      </c>
      <c r="R1539" s="119" t="s">
        <v>112</v>
      </c>
      <c r="S1539" s="119" t="s">
        <v>112</v>
      </c>
      <c r="T1539" s="119" t="s">
        <v>112</v>
      </c>
      <c r="U1539" s="119" t="s">
        <v>112</v>
      </c>
      <c r="V1539" s="119" t="s">
        <v>112</v>
      </c>
      <c r="W1539" s="119" t="s">
        <v>112</v>
      </c>
      <c r="X1539" s="119" t="s">
        <v>112</v>
      </c>
      <c r="Y1539" s="119" t="s">
        <v>112</v>
      </c>
      <c r="Z1539" s="119" t="s">
        <v>112</v>
      </c>
      <c r="AA1539" s="119" t="s">
        <v>112</v>
      </c>
      <c r="AB1539" s="119" t="s">
        <v>112</v>
      </c>
      <c r="AC1539" s="119" t="s">
        <v>112</v>
      </c>
      <c r="AD1539" s="119" t="s">
        <v>112</v>
      </c>
      <c r="AE1539" s="119">
        <v>6.3817427898457773</v>
      </c>
      <c r="AF1539" s="119">
        <v>6.3807462330394644</v>
      </c>
      <c r="AG1539" s="119">
        <v>6.3794022940737563</v>
      </c>
      <c r="AH1539" s="119">
        <v>6.3775904803293866</v>
      </c>
      <c r="AI1539" s="119">
        <v>6.3751489951836193</v>
      </c>
      <c r="AJ1539" s="119">
        <v>6.3718609796784564</v>
      </c>
      <c r="AK1539" s="119">
        <v>6.3674364986724896</v>
      </c>
      <c r="AL1539" s="119">
        <v>6.3614892253537692</v>
      </c>
      <c r="AM1539" s="119">
        <v>6.3535067532084168</v>
      </c>
      <c r="AN1539" s="119">
        <v>6.3428136797783621</v>
      </c>
      <c r="AO1539" s="119">
        <v>6.3285273068426466</v>
      </c>
      <c r="AP1539" s="119">
        <v>6.309507393582507</v>
      </c>
      <c r="AQ1539" s="119">
        <v>6.2843045013069956</v>
      </c>
      <c r="AR1539" s="119">
        <v>6.2511169025840303</v>
      </c>
      <c r="AS1539" s="119">
        <v>6.2077746197379682</v>
      </c>
      <c r="AT1539" s="119">
        <v>6.1517810849750232</v>
      </c>
      <c r="AU1539" s="119">
        <v>6.0804562333374124</v>
      </c>
      <c r="AV1539" s="119">
        <v>5.9912329973470113</v>
      </c>
      <c r="AW1539" s="119">
        <v>5.8821484007094194</v>
      </c>
      <c r="AX1539" s="120">
        <v>5.7525207034525474</v>
      </c>
    </row>
    <row r="1540" spans="1:50" x14ac:dyDescent="0.25">
      <c r="A1540" s="356"/>
      <c r="B1540" s="362"/>
      <c r="C1540" s="354"/>
      <c r="D1540" s="4" t="s">
        <v>8</v>
      </c>
      <c r="E1540" s="168" t="str">
        <f>A1533&amp;"/"&amp;B1533&amp;"/"&amp;C1539&amp;"/"&amp;D1540</f>
        <v>Coal fired power plants/Integrated gasification combined cycle/CHP with CCS/M</v>
      </c>
      <c r="F1540" s="80" t="str">
        <f>A1533</f>
        <v>Coal fired power plants</v>
      </c>
      <c r="G1540" s="80" t="str">
        <f>B1533</f>
        <v>Integrated gasification combined cycle</v>
      </c>
      <c r="H1540" s="80" t="str">
        <f>C1539</f>
        <v>CHP with CCS</v>
      </c>
      <c r="I1540" s="169" t="str">
        <f t="shared" si="103"/>
        <v>M</v>
      </c>
      <c r="J1540" s="127" t="s">
        <v>112</v>
      </c>
      <c r="K1540" s="127" t="s">
        <v>112</v>
      </c>
      <c r="L1540" s="127" t="s">
        <v>112</v>
      </c>
      <c r="M1540" s="127" t="s">
        <v>112</v>
      </c>
      <c r="N1540" s="127" t="s">
        <v>112</v>
      </c>
      <c r="O1540" s="127" t="s">
        <v>112</v>
      </c>
      <c r="P1540" s="127" t="s">
        <v>112</v>
      </c>
      <c r="Q1540" s="127" t="s">
        <v>112</v>
      </c>
      <c r="R1540" s="127" t="s">
        <v>112</v>
      </c>
      <c r="S1540" s="127" t="s">
        <v>112</v>
      </c>
      <c r="T1540" s="127" t="s">
        <v>112</v>
      </c>
      <c r="U1540" s="127" t="s">
        <v>112</v>
      </c>
      <c r="V1540" s="127" t="s">
        <v>112</v>
      </c>
      <c r="W1540" s="127" t="s">
        <v>112</v>
      </c>
      <c r="X1540" s="127" t="s">
        <v>112</v>
      </c>
      <c r="Y1540" s="127" t="s">
        <v>112</v>
      </c>
      <c r="Z1540" s="127" t="s">
        <v>112</v>
      </c>
      <c r="AA1540" s="127" t="s">
        <v>112</v>
      </c>
      <c r="AB1540" s="127" t="s">
        <v>112</v>
      </c>
      <c r="AC1540" s="127" t="s">
        <v>112</v>
      </c>
      <c r="AD1540" s="127" t="s">
        <v>112</v>
      </c>
      <c r="AE1540" s="127">
        <v>6.7601992684676517</v>
      </c>
      <c r="AF1540" s="127">
        <v>6.7596798940193796</v>
      </c>
      <c r="AG1540" s="127">
        <v>6.7589431992943281</v>
      </c>
      <c r="AH1540" s="127">
        <v>6.7578984491710044</v>
      </c>
      <c r="AI1540" s="127">
        <v>6.7564172248016421</v>
      </c>
      <c r="AJ1540" s="127">
        <v>6.7543179748954456</v>
      </c>
      <c r="AK1540" s="127">
        <v>6.7513444376687852</v>
      </c>
      <c r="AL1540" s="127">
        <v>6.7471357082272361</v>
      </c>
      <c r="AM1540" s="127">
        <v>6.7411851305484225</v>
      </c>
      <c r="AN1540" s="127">
        <v>6.7327846693414699</v>
      </c>
      <c r="AO1540" s="127">
        <v>6.7209512844033759</v>
      </c>
      <c r="AP1540" s="127">
        <v>6.7043327724557802</v>
      </c>
      <c r="AQ1540" s="127">
        <v>6.6810938877762549</v>
      </c>
      <c r="AR1540" s="127">
        <v>6.6487916442667752</v>
      </c>
      <c r="AS1540" s="127">
        <v>6.6042651366966423</v>
      </c>
      <c r="AT1540" s="127">
        <v>6.5435942630009016</v>
      </c>
      <c r="AU1540" s="127">
        <v>6.4622251457774382</v>
      </c>
      <c r="AV1540" s="127">
        <v>6.3554084156028976</v>
      </c>
      <c r="AW1540" s="127">
        <v>6.2191133136787489</v>
      </c>
      <c r="AX1540" s="128">
        <v>6.0514882716087319</v>
      </c>
    </row>
    <row r="1541" spans="1:50" x14ac:dyDescent="0.25">
      <c r="A1541" s="356"/>
      <c r="B1541" s="358" t="s">
        <v>17</v>
      </c>
      <c r="C1541" s="353" t="s">
        <v>6</v>
      </c>
      <c r="D1541" s="3" t="s">
        <v>7</v>
      </c>
      <c r="E1541" s="162" t="str">
        <f>A1533&amp;"/"&amp;B1541&amp;"/"&amp;C1541&amp;"/"&amp;D1541</f>
        <v>Coal fired power plants/Supercritical steam turbine/Electricity only/L</v>
      </c>
      <c r="F1541" s="77" t="str">
        <f>A1533</f>
        <v>Coal fired power plants</v>
      </c>
      <c r="G1541" s="77" t="str">
        <f>B1541</f>
        <v>Supercritical steam turbine</v>
      </c>
      <c r="H1541" s="77" t="str">
        <f>C1541</f>
        <v>Electricity only</v>
      </c>
      <c r="I1541" s="163" t="str">
        <f t="shared" si="103"/>
        <v>L</v>
      </c>
      <c r="J1541" s="121">
        <v>3.5800117233294251</v>
      </c>
      <c r="K1541" s="121">
        <v>3.579767912740889</v>
      </c>
      <c r="L1541" s="121">
        <v>3.5794703470056373</v>
      </c>
      <c r="M1541" s="121">
        <v>3.5791072349626214</v>
      </c>
      <c r="N1541" s="121">
        <v>3.5786642288320736</v>
      </c>
      <c r="O1541" s="121">
        <v>3.578123884467391</v>
      </c>
      <c r="P1541" s="121">
        <v>3.5774650148312617</v>
      </c>
      <c r="Q1541" s="121">
        <v>3.5766619191468916</v>
      </c>
      <c r="R1541" s="121">
        <v>3.5756834691502482</v>
      </c>
      <c r="S1541" s="121">
        <v>3.5744920339156567</v>
      </c>
      <c r="T1541" s="121">
        <v>3.5730422266349846</v>
      </c>
      <c r="U1541" s="121">
        <v>3.5712794616704531</v>
      </c>
      <c r="V1541" s="121">
        <v>3.5691383198590301</v>
      </c>
      <c r="W1541" s="121">
        <v>3.5665407367799262</v>
      </c>
      <c r="X1541" s="121">
        <v>3.5633940556859929</v>
      </c>
      <c r="Y1541" s="121">
        <v>3.5595890281412124</v>
      </c>
      <c r="Z1541" s="121">
        <v>3.5549979060396422</v>
      </c>
      <c r="AA1541" s="121">
        <v>3.5494728539578522</v>
      </c>
      <c r="AB1541" s="121">
        <v>3.5428450253712627</v>
      </c>
      <c r="AC1541" s="121">
        <v>3.5349247918718669</v>
      </c>
      <c r="AD1541" s="121">
        <v>3.5255037860042875</v>
      </c>
      <c r="AE1541" s="121">
        <v>3.5143595974488941</v>
      </c>
      <c r="AF1541" s="121">
        <v>3.5012641091946151</v>
      </c>
      <c r="AG1541" s="121">
        <v>3.4859965041294823</v>
      </c>
      <c r="AH1541" s="121">
        <v>3.4683618046612978</v>
      </c>
      <c r="AI1541" s="121">
        <v>3.4482152876176366</v>
      </c>
      <c r="AJ1541" s="121">
        <v>3.4254921002367396</v>
      </c>
      <c r="AK1541" s="121">
        <v>3.4002398138625294</v>
      </c>
      <c r="AL1541" s="121">
        <v>3.3726495937809058</v>
      </c>
      <c r="AM1541" s="121">
        <v>3.3430795522147903</v>
      </c>
      <c r="AN1541" s="121">
        <v>3.3120624844306663</v>
      </c>
      <c r="AO1541" s="121">
        <v>3.2802906245220016</v>
      </c>
      <c r="AP1541" s="121">
        <v>3.2485731999540062</v>
      </c>
      <c r="AQ1541" s="121">
        <v>3.2177684931753374</v>
      </c>
      <c r="AR1541" s="121">
        <v>3.1886995236602909</v>
      </c>
      <c r="AS1541" s="121">
        <v>3.1620687080178591</v>
      </c>
      <c r="AT1541" s="121">
        <v>3.1383890147283195</v>
      </c>
      <c r="AU1541" s="121">
        <v>3.1179456365996381</v>
      </c>
      <c r="AV1541" s="121">
        <v>3.1007940295217722</v>
      </c>
      <c r="AW1541" s="121">
        <v>3.0867905318678335</v>
      </c>
      <c r="AX1541" s="122">
        <v>3.0756444324050332</v>
      </c>
    </row>
    <row r="1542" spans="1:50" x14ac:dyDescent="0.25">
      <c r="A1542" s="356"/>
      <c r="B1542" s="359"/>
      <c r="C1542" s="360"/>
      <c r="D1542" s="2" t="s">
        <v>8</v>
      </c>
      <c r="E1542" s="160" t="str">
        <f>A1533&amp;"/"&amp;B1541&amp;"/"&amp;C1541&amp;"/"&amp;D1542</f>
        <v>Coal fired power plants/Supercritical steam turbine/Electricity only/M</v>
      </c>
      <c r="F1542" s="76" t="str">
        <f>A1533</f>
        <v>Coal fired power plants</v>
      </c>
      <c r="G1542" s="76" t="str">
        <f>B1541</f>
        <v>Supercritical steam turbine</v>
      </c>
      <c r="H1542" s="76" t="str">
        <f>C1541</f>
        <v>Electricity only</v>
      </c>
      <c r="I1542" s="161" t="str">
        <f t="shared" si="103"/>
        <v>M</v>
      </c>
      <c r="J1542" s="119">
        <v>3.9022127784290745</v>
      </c>
      <c r="K1542" s="119">
        <v>3.9017457008300385</v>
      </c>
      <c r="L1542" s="119">
        <v>3.9011898798893334</v>
      </c>
      <c r="M1542" s="119">
        <v>3.9005285869862911</v>
      </c>
      <c r="N1542" s="119">
        <v>3.8997419952352006</v>
      </c>
      <c r="O1542" s="119">
        <v>3.8988066286716889</v>
      </c>
      <c r="P1542" s="119">
        <v>3.8976947231599763</v>
      </c>
      <c r="Q1542" s="119">
        <v>3.8963734890025568</v>
      </c>
      <c r="R1542" s="119">
        <v>3.8948042660024744</v>
      </c>
      <c r="S1542" s="119">
        <v>3.8929415636412421</v>
      </c>
      <c r="T1542" s="119">
        <v>3.8907319826461468</v>
      </c>
      <c r="U1542" s="119">
        <v>3.888113020275787</v>
      </c>
      <c r="V1542" s="119">
        <v>3.885011771133986</v>
      </c>
      <c r="W1542" s="119">
        <v>3.8813435494799151</v>
      </c>
      <c r="X1542" s="119">
        <v>3.8770104793647024</v>
      </c>
      <c r="Y1542" s="119">
        <v>3.8719001272538254</v>
      </c>
      <c r="Z1542" s="119">
        <v>3.8658842899421613</v>
      </c>
      <c r="AA1542" s="119">
        <v>3.8588181001637678</v>
      </c>
      <c r="AB1542" s="119">
        <v>3.8505396741713316</v>
      </c>
      <c r="AC1542" s="119">
        <v>3.8408705987866791</v>
      </c>
      <c r="AD1542" s="119">
        <v>3.8296176358805836</v>
      </c>
      <c r="AE1542" s="119">
        <v>3.8165761006219183</v>
      </c>
      <c r="AF1542" s="119">
        <v>3.8015354292606278</v>
      </c>
      <c r="AG1542" s="119">
        <v>3.7842874658976071</v>
      </c>
      <c r="AH1542" s="119">
        <v>3.764637927813538</v>
      </c>
      <c r="AI1542" s="119">
        <v>3.7424213084889226</v>
      </c>
      <c r="AJ1542" s="119">
        <v>3.7175190979513828</v>
      </c>
      <c r="AK1542" s="119">
        <v>3.6898806077597537</v>
      </c>
      <c r="AL1542" s="119">
        <v>3.659544889814613</v>
      </c>
      <c r="AM1542" s="119">
        <v>3.6266613147790361</v>
      </c>
      <c r="AN1542" s="119">
        <v>3.5915055090879786</v>
      </c>
      <c r="AO1542" s="119">
        <v>3.5544868249959118</v>
      </c>
      <c r="AP1542" s="119">
        <v>3.5161436770676078</v>
      </c>
      <c r="AQ1542" s="119">
        <v>3.477124204147406</v>
      </c>
      <c r="AR1542" s="119">
        <v>3.438151872545224</v>
      </c>
      <c r="AS1542" s="119">
        <v>3.3999785272286189</v>
      </c>
      <c r="AT1542" s="119">
        <v>3.363330340056625</v>
      </c>
      <c r="AU1542" s="119">
        <v>3.3288541951547042</v>
      </c>
      <c r="AV1542" s="119">
        <v>3.2970725089347384</v>
      </c>
      <c r="AW1542" s="119">
        <v>3.2683530085630159</v>
      </c>
      <c r="AX1542" s="120">
        <v>3.2428969605281219</v>
      </c>
    </row>
    <row r="1543" spans="1:50" x14ac:dyDescent="0.25">
      <c r="A1543" s="356"/>
      <c r="B1543" s="359"/>
      <c r="C1543" s="361" t="s">
        <v>14</v>
      </c>
      <c r="D1543" s="58" t="s">
        <v>7</v>
      </c>
      <c r="E1543" s="164" t="str">
        <f>A1533&amp;"/"&amp;B1541&amp;"/"&amp;C1543&amp;"/"&amp;D1543</f>
        <v>Coal fired power plants/Supercritical steam turbine/CHP/L</v>
      </c>
      <c r="F1543" s="78" t="str">
        <f>A1533</f>
        <v>Coal fired power plants</v>
      </c>
      <c r="G1543" s="78" t="str">
        <f>B1541</f>
        <v>Supercritical steam turbine</v>
      </c>
      <c r="H1543" s="78" t="str">
        <f>C1543</f>
        <v>CHP</v>
      </c>
      <c r="I1543" s="165" t="str">
        <f t="shared" si="103"/>
        <v>L</v>
      </c>
      <c r="J1543" s="123">
        <v>4.4995804013147458</v>
      </c>
      <c r="K1543" s="123">
        <v>4.4993148232366522</v>
      </c>
      <c r="L1543" s="123">
        <v>4.498990690734658</v>
      </c>
      <c r="M1543" s="123">
        <v>4.4985951599289793</v>
      </c>
      <c r="N1543" s="123">
        <v>4.4981126020653477</v>
      </c>
      <c r="O1543" s="123">
        <v>4.4975240155780138</v>
      </c>
      <c r="P1543" s="123">
        <v>4.4968063218440033</v>
      </c>
      <c r="Q1543" s="123">
        <v>4.4959315255127157</v>
      </c>
      <c r="R1543" s="123">
        <v>4.4948657191784642</v>
      </c>
      <c r="S1543" s="123">
        <v>4.4935679122141474</v>
      </c>
      <c r="T1543" s="123">
        <v>4.4919886656624728</v>
      </c>
      <c r="U1543" s="123">
        <v>4.4900685204619606</v>
      </c>
      <c r="V1543" s="123">
        <v>4.4877362168051826</v>
      </c>
      <c r="W1543" s="123">
        <v>4.4849067206541759</v>
      </c>
      <c r="X1543" s="123">
        <v>4.4814791028369232</v>
      </c>
      <c r="Y1543" s="123">
        <v>4.4773343611810956</v>
      </c>
      <c r="Z1543" s="123">
        <v>4.4723333421878273</v>
      </c>
      <c r="AA1543" s="123">
        <v>4.466315011638442</v>
      </c>
      <c r="AB1543" s="123">
        <v>4.4590954483350966</v>
      </c>
      <c r="AC1543" s="123">
        <v>4.4504680937831322</v>
      </c>
      <c r="AD1543" s="123">
        <v>4.4402059774121998</v>
      </c>
      <c r="AE1543" s="123">
        <v>4.428066832036162</v>
      </c>
      <c r="AF1543" s="123">
        <v>4.4138021742821474</v>
      </c>
      <c r="AG1543" s="123">
        <v>4.3971714724137838</v>
      </c>
      <c r="AH1543" s="123">
        <v>4.3779623411752926</v>
      </c>
      <c r="AI1543" s="123">
        <v>4.3560171364618023</v>
      </c>
      <c r="AJ1543" s="123">
        <v>4.3312652154356481</v>
      </c>
      <c r="AK1543" s="123">
        <v>4.3037583966259891</v>
      </c>
      <c r="AL1543" s="123">
        <v>4.2737049126183422</v>
      </c>
      <c r="AM1543" s="123">
        <v>4.2414948480127093</v>
      </c>
      <c r="AN1543" s="123">
        <v>4.2077085662122569</v>
      </c>
      <c r="AO1543" s="123">
        <v>4.1731001041980571</v>
      </c>
      <c r="AP1543" s="123">
        <v>4.1385509375296525</v>
      </c>
      <c r="AQ1543" s="123">
        <v>4.1049959763950881</v>
      </c>
      <c r="AR1543" s="123">
        <v>4.0733317197180954</v>
      </c>
      <c r="AS1543" s="123">
        <v>4.044323296093614</v>
      </c>
      <c r="AT1543" s="123">
        <v>4.0185294719966045</v>
      </c>
      <c r="AU1543" s="123">
        <v>3.9962609023427573</v>
      </c>
      <c r="AV1543" s="123">
        <v>3.9775779941421301</v>
      </c>
      <c r="AW1543" s="123">
        <v>3.9623242596105204</v>
      </c>
      <c r="AX1543" s="124">
        <v>3.9501830327206329</v>
      </c>
    </row>
    <row r="1544" spans="1:50" x14ac:dyDescent="0.25">
      <c r="A1544" s="356"/>
      <c r="B1544" s="359"/>
      <c r="C1544" s="360"/>
      <c r="D1544" s="59" t="s">
        <v>8</v>
      </c>
      <c r="E1544" s="166" t="str">
        <f>A1533&amp;"/"&amp;B1541&amp;"/"&amp;C1543&amp;"/"&amp;D1544</f>
        <v>Coal fired power plants/Supercritical steam turbine/CHP/M</v>
      </c>
      <c r="F1544" s="79" t="str">
        <f>A1533</f>
        <v>Coal fired power plants</v>
      </c>
      <c r="G1544" s="79" t="str">
        <f>B1541</f>
        <v>Supercritical steam turbine</v>
      </c>
      <c r="H1544" s="79" t="str">
        <f>C1543</f>
        <v>CHP</v>
      </c>
      <c r="I1544" s="167" t="str">
        <f t="shared" si="103"/>
        <v>M</v>
      </c>
      <c r="J1544" s="125">
        <v>4.807479710821374</v>
      </c>
      <c r="K1544" s="125">
        <v>4.8069618201815185</v>
      </c>
      <c r="L1544" s="125">
        <v>4.8063455318747774</v>
      </c>
      <c r="M1544" s="125">
        <v>4.8056122973857018</v>
      </c>
      <c r="N1544" s="125">
        <v>4.8047401328757404</v>
      </c>
      <c r="O1544" s="125">
        <v>4.8037030084470045</v>
      </c>
      <c r="P1544" s="125">
        <v>4.8024701395230665</v>
      </c>
      <c r="Q1544" s="125">
        <v>4.8010051692384801</v>
      </c>
      <c r="R1544" s="125">
        <v>4.7992652315808719</v>
      </c>
      <c r="S1544" s="125">
        <v>4.7971998871505059</v>
      </c>
      <c r="T1544" s="125">
        <v>4.7947499274056531</v>
      </c>
      <c r="U1544" s="125">
        <v>4.7918460499759918</v>
      </c>
      <c r="V1544" s="125">
        <v>4.7884074181389877</v>
      </c>
      <c r="W1544" s="125">
        <v>4.7843401332521136</v>
      </c>
      <c r="X1544" s="125">
        <v>4.7795356715114208</v>
      </c>
      <c r="Y1544" s="125">
        <v>4.773869367817885</v>
      </c>
      <c r="Z1544" s="125">
        <v>4.7671990718306008</v>
      </c>
      <c r="AA1544" s="125">
        <v>4.7593641562764812</v>
      </c>
      <c r="AB1544" s="125">
        <v>4.7501851261901287</v>
      </c>
      <c r="AC1544" s="125">
        <v>4.7394641589502147</v>
      </c>
      <c r="AD1544" s="125">
        <v>4.7269869941884526</v>
      </c>
      <c r="AE1544" s="125">
        <v>4.7125266795560696</v>
      </c>
      <c r="AF1544" s="125">
        <v>4.6958497442219365</v>
      </c>
      <c r="AG1544" s="125">
        <v>4.6767253871542831</v>
      </c>
      <c r="AH1544" s="125">
        <v>4.6549381897545086</v>
      </c>
      <c r="AI1544" s="125">
        <v>4.6303046401662113</v>
      </c>
      <c r="AJ1544" s="125">
        <v>4.6026933358011499</v>
      </c>
      <c r="AK1544" s="125">
        <v>4.5720480738585811</v>
      </c>
      <c r="AL1544" s="125">
        <v>4.5384121546676619</v>
      </c>
      <c r="AM1544" s="125">
        <v>4.501951198819989</v>
      </c>
      <c r="AN1544" s="125">
        <v>4.4629708179549441</v>
      </c>
      <c r="AO1544" s="125">
        <v>4.421924897468517</v>
      </c>
      <c r="AP1544" s="125">
        <v>4.379410425664215</v>
      </c>
      <c r="AQ1544" s="125">
        <v>4.336146051951693</v>
      </c>
      <c r="AR1544" s="125">
        <v>4.2929339480277529</v>
      </c>
      <c r="AS1544" s="125">
        <v>4.2506077515408789</v>
      </c>
      <c r="AT1544" s="125">
        <v>4.2099726340717583</v>
      </c>
      <c r="AU1544" s="125">
        <v>4.1717458538111893</v>
      </c>
      <c r="AV1544" s="125">
        <v>4.1365066604820866</v>
      </c>
      <c r="AW1544" s="125">
        <v>4.1046627860284204</v>
      </c>
      <c r="AX1544" s="126">
        <v>4.0764373925773638</v>
      </c>
    </row>
    <row r="1545" spans="1:50" x14ac:dyDescent="0.25">
      <c r="A1545" s="356"/>
      <c r="B1545" s="359"/>
      <c r="C1545" s="361" t="s">
        <v>15</v>
      </c>
      <c r="D1545" s="58" t="s">
        <v>7</v>
      </c>
      <c r="E1545" s="164" t="str">
        <f>A1533&amp;"/"&amp;B1541&amp;"/"&amp;C1545&amp;"/"&amp;D1545</f>
        <v>Coal fired power plants/Supercritical steam turbine/Electricity only with CCS/L</v>
      </c>
      <c r="F1545" s="78" t="str">
        <f>A1533</f>
        <v>Coal fired power plants</v>
      </c>
      <c r="G1545" s="78" t="str">
        <f>B1541</f>
        <v>Supercritical steam turbine</v>
      </c>
      <c r="H1545" s="78" t="str">
        <f>C1545</f>
        <v>Electricity only with CCS</v>
      </c>
      <c r="I1545" s="165" t="str">
        <f t="shared" si="103"/>
        <v>L</v>
      </c>
      <c r="J1545" s="123" t="s">
        <v>112</v>
      </c>
      <c r="K1545" s="123" t="s">
        <v>112</v>
      </c>
      <c r="L1545" s="123" t="s">
        <v>112</v>
      </c>
      <c r="M1545" s="123" t="s">
        <v>112</v>
      </c>
      <c r="N1545" s="123" t="s">
        <v>112</v>
      </c>
      <c r="O1545" s="123" t="s">
        <v>112</v>
      </c>
      <c r="P1545" s="123" t="s">
        <v>112</v>
      </c>
      <c r="Q1545" s="123" t="s">
        <v>112</v>
      </c>
      <c r="R1545" s="123" t="s">
        <v>112</v>
      </c>
      <c r="S1545" s="123" t="s">
        <v>112</v>
      </c>
      <c r="T1545" s="123" t="s">
        <v>112</v>
      </c>
      <c r="U1545" s="123" t="s">
        <v>112</v>
      </c>
      <c r="V1545" s="123" t="s">
        <v>112</v>
      </c>
      <c r="W1545" s="123" t="s">
        <v>112</v>
      </c>
      <c r="X1545" s="123" t="s">
        <v>112</v>
      </c>
      <c r="Y1545" s="123" t="s">
        <v>112</v>
      </c>
      <c r="Z1545" s="123" t="s">
        <v>112</v>
      </c>
      <c r="AA1545" s="123" t="s">
        <v>112</v>
      </c>
      <c r="AB1545" s="123" t="s">
        <v>112</v>
      </c>
      <c r="AC1545" s="123" t="s">
        <v>112</v>
      </c>
      <c r="AD1545" s="123" t="s">
        <v>112</v>
      </c>
      <c r="AE1545" s="123">
        <v>7.0553826986028483</v>
      </c>
      <c r="AF1545" s="123">
        <v>7.0520561131089439</v>
      </c>
      <c r="AG1545" s="123">
        <v>7.0480054687167737</v>
      </c>
      <c r="AH1545" s="123">
        <v>7.0430764925776579</v>
      </c>
      <c r="AI1545" s="123">
        <v>7.0370836506975127</v>
      </c>
      <c r="AJ1545" s="123">
        <v>7.0298045917813745</v>
      </c>
      <c r="AK1545" s="123">
        <v>7.0209739856584621</v>
      </c>
      <c r="AL1545" s="123">
        <v>7.0102768931069779</v>
      </c>
      <c r="AM1545" s="123">
        <v>6.9973419397985426</v>
      </c>
      <c r="AN1545" s="123">
        <v>6.9817347649607964</v>
      </c>
      <c r="AO1545" s="123">
        <v>6.9629524910684459</v>
      </c>
      <c r="AP1545" s="123">
        <v>6.9404203268076134</v>
      </c>
      <c r="AQ1545" s="123">
        <v>6.9134918729368566</v>
      </c>
      <c r="AR1545" s="123">
        <v>6.8814552265897646</v>
      </c>
      <c r="AS1545" s="123">
        <v>6.8435475077590988</v>
      </c>
      <c r="AT1545" s="123">
        <v>6.7989808280771147</v>
      </c>
      <c r="AU1545" s="123">
        <v>6.7469827610066462</v>
      </c>
      <c r="AV1545" s="123">
        <v>6.6868537291773036</v>
      </c>
      <c r="AW1545" s="123">
        <v>6.6180420085858209</v>
      </c>
      <c r="AX1545" s="124">
        <v>6.5402339170574448</v>
      </c>
    </row>
    <row r="1546" spans="1:50" x14ac:dyDescent="0.25">
      <c r="A1546" s="356"/>
      <c r="B1546" s="359"/>
      <c r="C1546" s="360"/>
      <c r="D1546" s="59" t="s">
        <v>8</v>
      </c>
      <c r="E1546" s="166" t="str">
        <f>A1533&amp;"/"&amp;B1541&amp;"/"&amp;C1545&amp;"/"&amp;D1546</f>
        <v>Coal fired power plants/Supercritical steam turbine/Electricity only with CCS/M</v>
      </c>
      <c r="F1546" s="79" t="str">
        <f>A1533</f>
        <v>Coal fired power plants</v>
      </c>
      <c r="G1546" s="79" t="str">
        <f>B1541</f>
        <v>Supercritical steam turbine</v>
      </c>
      <c r="H1546" s="79" t="str">
        <f>C1545</f>
        <v>Electricity only with CCS</v>
      </c>
      <c r="I1546" s="167" t="str">
        <f t="shared" si="103"/>
        <v>M</v>
      </c>
      <c r="J1546" s="125" t="s">
        <v>112</v>
      </c>
      <c r="K1546" s="125" t="s">
        <v>112</v>
      </c>
      <c r="L1546" s="125" t="s">
        <v>112</v>
      </c>
      <c r="M1546" s="125" t="s">
        <v>112</v>
      </c>
      <c r="N1546" s="125" t="s">
        <v>112</v>
      </c>
      <c r="O1546" s="125" t="s">
        <v>112</v>
      </c>
      <c r="P1546" s="125" t="s">
        <v>112</v>
      </c>
      <c r="Q1546" s="125" t="s">
        <v>112</v>
      </c>
      <c r="R1546" s="125" t="s">
        <v>112</v>
      </c>
      <c r="S1546" s="125" t="s">
        <v>112</v>
      </c>
      <c r="T1546" s="125" t="s">
        <v>112</v>
      </c>
      <c r="U1546" s="125" t="s">
        <v>112</v>
      </c>
      <c r="V1546" s="125" t="s">
        <v>112</v>
      </c>
      <c r="W1546" s="125" t="s">
        <v>112</v>
      </c>
      <c r="X1546" s="125" t="s">
        <v>112</v>
      </c>
      <c r="Y1546" s="125" t="s">
        <v>112</v>
      </c>
      <c r="Z1546" s="125" t="s">
        <v>112</v>
      </c>
      <c r="AA1546" s="125" t="s">
        <v>112</v>
      </c>
      <c r="AB1546" s="125" t="s">
        <v>112</v>
      </c>
      <c r="AC1546" s="125" t="s">
        <v>112</v>
      </c>
      <c r="AD1546" s="125" t="s">
        <v>112</v>
      </c>
      <c r="AE1546" s="125">
        <v>7.5743443644398498</v>
      </c>
      <c r="AF1546" s="125">
        <v>7.5724111638296563</v>
      </c>
      <c r="AG1546" s="125">
        <v>7.5699327852924672</v>
      </c>
      <c r="AH1546" s="125">
        <v>7.5667568980197055</v>
      </c>
      <c r="AI1546" s="125">
        <v>7.562689517640738</v>
      </c>
      <c r="AJ1546" s="125">
        <v>7.5574842011892231</v>
      </c>
      <c r="AK1546" s="125">
        <v>7.5508288162662129</v>
      </c>
      <c r="AL1546" s="125">
        <v>7.5423295884073944</v>
      </c>
      <c r="AM1546" s="125">
        <v>7.531492275613032</v>
      </c>
      <c r="AN1546" s="125">
        <v>7.5177006265545918</v>
      </c>
      <c r="AO1546" s="125">
        <v>7.5001928467389982</v>
      </c>
      <c r="AP1546" s="125">
        <v>7.4780377577067352</v>
      </c>
      <c r="AQ1546" s="125">
        <v>7.4501138492533965</v>
      </c>
      <c r="AR1546" s="125">
        <v>7.4150966489812422</v>
      </c>
      <c r="AS1546" s="125">
        <v>7.3714628286524215</v>
      </c>
      <c r="AT1546" s="125">
        <v>7.3175230223738383</v>
      </c>
      <c r="AU1546" s="125">
        <v>7.2514986688759846</v>
      </c>
      <c r="AV1546" s="125">
        <v>7.1716595780177341</v>
      </c>
      <c r="AW1546" s="125">
        <v>7.0765353966795184</v>
      </c>
      <c r="AX1546" s="126">
        <v>6.9652018191004812</v>
      </c>
    </row>
    <row r="1547" spans="1:50" x14ac:dyDescent="0.25">
      <c r="A1547" s="356"/>
      <c r="B1547" s="359"/>
      <c r="C1547" s="361" t="s">
        <v>16</v>
      </c>
      <c r="D1547" s="2" t="s">
        <v>7</v>
      </c>
      <c r="E1547" s="160" t="str">
        <f>A1533&amp;"/"&amp;B1541&amp;"/"&amp;C1547&amp;"/"&amp;D1547</f>
        <v>Coal fired power plants/Supercritical steam turbine/CHP with CCS/L</v>
      </c>
      <c r="F1547" s="76" t="str">
        <f>A1533</f>
        <v>Coal fired power plants</v>
      </c>
      <c r="G1547" s="76" t="str">
        <f>B1541</f>
        <v>Supercritical steam turbine</v>
      </c>
      <c r="H1547" s="76" t="str">
        <f>C1547</f>
        <v>CHP with CCS</v>
      </c>
      <c r="I1547" s="161" t="str">
        <f t="shared" si="103"/>
        <v>L</v>
      </c>
      <c r="J1547" s="119" t="s">
        <v>112</v>
      </c>
      <c r="K1547" s="119" t="s">
        <v>112</v>
      </c>
      <c r="L1547" s="119" t="s">
        <v>112</v>
      </c>
      <c r="M1547" s="119" t="s">
        <v>112</v>
      </c>
      <c r="N1547" s="119" t="s">
        <v>112</v>
      </c>
      <c r="O1547" s="119" t="s">
        <v>112</v>
      </c>
      <c r="P1547" s="119" t="s">
        <v>112</v>
      </c>
      <c r="Q1547" s="119" t="s">
        <v>112</v>
      </c>
      <c r="R1547" s="119" t="s">
        <v>112</v>
      </c>
      <c r="S1547" s="119" t="s">
        <v>112</v>
      </c>
      <c r="T1547" s="119" t="s">
        <v>112</v>
      </c>
      <c r="U1547" s="119" t="s">
        <v>112</v>
      </c>
      <c r="V1547" s="119" t="s">
        <v>112</v>
      </c>
      <c r="W1547" s="119" t="s">
        <v>112</v>
      </c>
      <c r="X1547" s="119" t="s">
        <v>112</v>
      </c>
      <c r="Y1547" s="119" t="s">
        <v>112</v>
      </c>
      <c r="Z1547" s="119" t="s">
        <v>112</v>
      </c>
      <c r="AA1547" s="119" t="s">
        <v>112</v>
      </c>
      <c r="AB1547" s="119" t="s">
        <v>112</v>
      </c>
      <c r="AC1547" s="119" t="s">
        <v>112</v>
      </c>
      <c r="AD1547" s="119" t="s">
        <v>112</v>
      </c>
      <c r="AE1547" s="119">
        <v>7.9342853286979276</v>
      </c>
      <c r="AF1547" s="119">
        <v>7.9311689560707928</v>
      </c>
      <c r="AG1547" s="119">
        <v>7.9273742791177595</v>
      </c>
      <c r="AH1547" s="119">
        <v>7.9227567737664373</v>
      </c>
      <c r="AI1547" s="119">
        <v>7.9171426302465289</v>
      </c>
      <c r="AJ1547" s="119">
        <v>7.9103235480377236</v>
      </c>
      <c r="AK1547" s="119">
        <v>7.9020509636556682</v>
      </c>
      <c r="AL1547" s="119">
        <v>7.8920298394493473</v>
      </c>
      <c r="AM1547" s="119">
        <v>7.8799122688961392</v>
      </c>
      <c r="AN1547" s="119">
        <v>7.8652913392551085</v>
      </c>
      <c r="AO1547" s="119">
        <v>7.8476959507281316</v>
      </c>
      <c r="AP1547" s="119">
        <v>7.8265876340889786</v>
      </c>
      <c r="AQ1547" s="119">
        <v>7.8013608372164365</v>
      </c>
      <c r="AR1547" s="119">
        <v>7.7713486436551431</v>
      </c>
      <c r="AS1547" s="119">
        <v>7.7358363811452966</v>
      </c>
      <c r="AT1547" s="119">
        <v>7.6940859493894669</v>
      </c>
      <c r="AU1547" s="119">
        <v>7.6453737328601719</v>
      </c>
      <c r="AV1547" s="119">
        <v>7.5890443617280026</v>
      </c>
      <c r="AW1547" s="119">
        <v>7.5245809764128682</v>
      </c>
      <c r="AX1547" s="120">
        <v>7.4516897168757597</v>
      </c>
    </row>
    <row r="1548" spans="1:50" x14ac:dyDescent="0.25">
      <c r="A1548" s="356"/>
      <c r="B1548" s="362"/>
      <c r="C1548" s="354"/>
      <c r="D1548" s="4" t="s">
        <v>8</v>
      </c>
      <c r="E1548" s="168" t="str">
        <f>A1533&amp;"/"&amp;B1541&amp;"/"&amp;C1547&amp;"/"&amp;D1548</f>
        <v>Coal fired power plants/Supercritical steam turbine/CHP with CCS/M</v>
      </c>
      <c r="F1548" s="80" t="str">
        <f>A1533</f>
        <v>Coal fired power plants</v>
      </c>
      <c r="G1548" s="80" t="str">
        <f>B1541</f>
        <v>Supercritical steam turbine</v>
      </c>
      <c r="H1548" s="80" t="str">
        <f>C1547</f>
        <v>CHP with CCS</v>
      </c>
      <c r="I1548" s="169" t="str">
        <f t="shared" si="103"/>
        <v>M</v>
      </c>
      <c r="J1548" s="127" t="s">
        <v>112</v>
      </c>
      <c r="K1548" s="127" t="s">
        <v>112</v>
      </c>
      <c r="L1548" s="127" t="s">
        <v>112</v>
      </c>
      <c r="M1548" s="127" t="s">
        <v>112</v>
      </c>
      <c r="N1548" s="127" t="s">
        <v>112</v>
      </c>
      <c r="O1548" s="127" t="s">
        <v>112</v>
      </c>
      <c r="P1548" s="127" t="s">
        <v>112</v>
      </c>
      <c r="Q1548" s="127" t="s">
        <v>112</v>
      </c>
      <c r="R1548" s="127" t="s">
        <v>112</v>
      </c>
      <c r="S1548" s="127" t="s">
        <v>112</v>
      </c>
      <c r="T1548" s="127" t="s">
        <v>112</v>
      </c>
      <c r="U1548" s="127" t="s">
        <v>112</v>
      </c>
      <c r="V1548" s="127" t="s">
        <v>112</v>
      </c>
      <c r="W1548" s="127" t="s">
        <v>112</v>
      </c>
      <c r="X1548" s="127" t="s">
        <v>112</v>
      </c>
      <c r="Y1548" s="127" t="s">
        <v>112</v>
      </c>
      <c r="Z1548" s="127" t="s">
        <v>112</v>
      </c>
      <c r="AA1548" s="127" t="s">
        <v>112</v>
      </c>
      <c r="AB1548" s="127" t="s">
        <v>112</v>
      </c>
      <c r="AC1548" s="127" t="s">
        <v>112</v>
      </c>
      <c r="AD1548" s="127" t="s">
        <v>112</v>
      </c>
      <c r="AE1548" s="127">
        <v>8.4324332787082632</v>
      </c>
      <c r="AF1548" s="127">
        <v>8.4306124298433645</v>
      </c>
      <c r="AG1548" s="127">
        <v>8.428278087136027</v>
      </c>
      <c r="AH1548" s="127">
        <v>8.4252867727813996</v>
      </c>
      <c r="AI1548" s="127">
        <v>8.4214557761910349</v>
      </c>
      <c r="AJ1548" s="127">
        <v>8.4165529769149536</v>
      </c>
      <c r="AK1548" s="127">
        <v>8.4102843827408122</v>
      </c>
      <c r="AL1548" s="127">
        <v>8.4022791041796374</v>
      </c>
      <c r="AM1548" s="127">
        <v>8.3920716230749388</v>
      </c>
      <c r="AN1548" s="127">
        <v>8.379081502752868</v>
      </c>
      <c r="AO1548" s="127">
        <v>8.3625912219015248</v>
      </c>
      <c r="AP1548" s="127">
        <v>8.3417237193240013</v>
      </c>
      <c r="AQ1548" s="127">
        <v>8.3154226635811916</v>
      </c>
      <c r="AR1548" s="127">
        <v>8.2824405565866002</v>
      </c>
      <c r="AS1548" s="127">
        <v>8.2413426013108246</v>
      </c>
      <c r="AT1548" s="127">
        <v>8.1905376126732161</v>
      </c>
      <c r="AU1548" s="127">
        <v>8.1283503939809645</v>
      </c>
      <c r="AV1548" s="127">
        <v>8.0531513084866386</v>
      </c>
      <c r="AW1548" s="127">
        <v>7.9635554555262109</v>
      </c>
      <c r="AX1548" s="128">
        <v>7.8586922471810743</v>
      </c>
    </row>
    <row r="1549" spans="1:50" x14ac:dyDescent="0.25">
      <c r="A1549" s="356"/>
      <c r="B1549" s="358" t="s">
        <v>18</v>
      </c>
      <c r="C1549" s="353" t="s">
        <v>6</v>
      </c>
      <c r="D1549" s="3" t="s">
        <v>7</v>
      </c>
      <c r="E1549" s="162" t="str">
        <f>A1533&amp;"/"&amp;B1549&amp;"/"&amp;C1549&amp;"/"&amp;D1549</f>
        <v>Coal fired power plants/Fluidized bed combustion/Electricity only/L</v>
      </c>
      <c r="F1549" s="77" t="str">
        <f>A1533</f>
        <v>Coal fired power plants</v>
      </c>
      <c r="G1549" s="77" t="str">
        <f>B1549</f>
        <v>Fluidized bed combustion</v>
      </c>
      <c r="H1549" s="77" t="str">
        <f>C1549</f>
        <v>Electricity only</v>
      </c>
      <c r="I1549" s="163" t="str">
        <f t="shared" si="103"/>
        <v>L</v>
      </c>
      <c r="J1549" s="121">
        <v>3.2711648114947924</v>
      </c>
      <c r="K1549" s="121">
        <v>3.2710187080920221</v>
      </c>
      <c r="L1549" s="121">
        <v>3.2708403189542423</v>
      </c>
      <c r="M1549" s="121">
        <v>3.2706225263588133</v>
      </c>
      <c r="N1549" s="121">
        <v>3.2703566516272358</v>
      </c>
      <c r="O1549" s="121">
        <v>3.2700321168360094</v>
      </c>
      <c r="P1549" s="121">
        <v>3.2696360351995954</v>
      </c>
      <c r="Q1549" s="121">
        <v>3.2691527160684868</v>
      </c>
      <c r="R1549" s="121">
        <v>3.2685630682096023</v>
      </c>
      <c r="S1549" s="121">
        <v>3.2678438826542107</v>
      </c>
      <c r="T1549" s="121">
        <v>3.2669669740712552</v>
      </c>
      <c r="U1549" s="121">
        <v>3.2658981576296648</v>
      </c>
      <c r="V1549" s="121">
        <v>3.2645960371068217</v>
      </c>
      <c r="W1549" s="121">
        <v>3.2630105802965086</v>
      </c>
      <c r="X1549" s="121">
        <v>3.2610814606560261</v>
      </c>
      <c r="Y1549" s="121">
        <v>3.2587361512193609</v>
      </c>
      <c r="Z1549" s="121">
        <v>3.2558877704117442</v>
      </c>
      <c r="AA1549" s="121">
        <v>3.2524327027764106</v>
      </c>
      <c r="AB1549" s="121">
        <v>3.2482480551505466</v>
      </c>
      <c r="AC1549" s="121">
        <v>3.2431890661607987</v>
      </c>
      <c r="AD1549" s="121">
        <v>3.2370866708888761</v>
      </c>
      <c r="AE1549" s="121">
        <v>3.229745540624116</v>
      </c>
      <c r="AF1549" s="121">
        <v>3.220943076295967</v>
      </c>
      <c r="AG1549" s="121">
        <v>3.2104300359681721</v>
      </c>
      <c r="AH1549" s="121">
        <v>3.1979337146205924</v>
      </c>
      <c r="AI1549" s="121">
        <v>3.1831648429210153</v>
      </c>
      <c r="AJ1549" s="121">
        <v>3.1658295747116774</v>
      </c>
      <c r="AK1549" s="121">
        <v>3.1456479895865184</v>
      </c>
      <c r="AL1549" s="121">
        <v>3.1223802909732767</v>
      </c>
      <c r="AM1549" s="121">
        <v>3.0958611252234851</v>
      </c>
      <c r="AN1549" s="121">
        <v>3.0660409677906686</v>
      </c>
      <c r="AO1549" s="121">
        <v>3.0330311941056709</v>
      </c>
      <c r="AP1549" s="121">
        <v>2.9971464130490286</v>
      </c>
      <c r="AQ1549" s="121">
        <v>2.9589344998740508</v>
      </c>
      <c r="AR1549" s="121">
        <v>2.9191827370171262</v>
      </c>
      <c r="AS1549" s="121">
        <v>2.8788892214279622</v>
      </c>
      <c r="AT1549" s="121">
        <v>2.8391937055306098</v>
      </c>
      <c r="AU1549" s="121">
        <v>2.8012715075056911</v>
      </c>
      <c r="AV1549" s="121">
        <v>2.7662059541325745</v>
      </c>
      <c r="AW1549" s="121">
        <v>2.734864590682851</v>
      </c>
      <c r="AX1549" s="122">
        <v>2.7078070940427961</v>
      </c>
    </row>
    <row r="1550" spans="1:50" x14ac:dyDescent="0.25">
      <c r="A1550" s="356"/>
      <c r="B1550" s="359"/>
      <c r="C1550" s="350"/>
      <c r="D1550" s="2" t="s">
        <v>8</v>
      </c>
      <c r="E1550" s="160" t="str">
        <f>A1533&amp;"/"&amp;B1549&amp;"/"&amp;C1549&amp;"/"&amp;D1550</f>
        <v>Coal fired power plants/Fluidized bed combustion/Electricity only/M</v>
      </c>
      <c r="F1550" s="76" t="str">
        <f>A1533</f>
        <v>Coal fired power plants</v>
      </c>
      <c r="G1550" s="76" t="str">
        <f>B1549</f>
        <v>Fluidized bed combustion</v>
      </c>
      <c r="H1550" s="76" t="str">
        <f>C1549</f>
        <v>Electricity only</v>
      </c>
      <c r="I1550" s="161" t="str">
        <f t="shared" si="103"/>
        <v>M</v>
      </c>
      <c r="J1550" s="119">
        <v>3.5492138204718495</v>
      </c>
      <c r="K1550" s="119">
        <v>3.5489003495674503</v>
      </c>
      <c r="L1550" s="119">
        <v>3.5485271666448095</v>
      </c>
      <c r="M1550" s="119">
        <v>3.5480829514789414</v>
      </c>
      <c r="N1550" s="119">
        <v>3.5475542603669994</v>
      </c>
      <c r="O1550" s="119">
        <v>3.5469251372542048</v>
      </c>
      <c r="P1550" s="119">
        <v>3.5461766576102725</v>
      </c>
      <c r="Q1550" s="119">
        <v>3.5452863951105984</v>
      </c>
      <c r="R1550" s="119">
        <v>3.5442278004493328</v>
      </c>
      <c r="S1550" s="119">
        <v>3.5429694812060109</v>
      </c>
      <c r="T1550" s="119">
        <v>3.5414743718370416</v>
      </c>
      <c r="U1550" s="119">
        <v>3.5396987839042349</v>
      </c>
      <c r="V1550" s="119">
        <v>3.5375913290584982</v>
      </c>
      <c r="W1550" s="119">
        <v>3.5350917117221146</v>
      </c>
      <c r="X1550" s="119">
        <v>3.53212939574082</v>
      </c>
      <c r="Y1550" s="119">
        <v>3.5286221606697814</v>
      </c>
      <c r="Z1550" s="119">
        <v>3.5244745802994917</v>
      </c>
      <c r="AA1550" s="119">
        <v>3.5195764803370388</v>
      </c>
      <c r="AB1550" s="119">
        <v>3.5138014659406576</v>
      </c>
      <c r="AC1550" s="119">
        <v>3.5070056552871689</v>
      </c>
      <c r="AD1550" s="119">
        <v>3.4990268145128915</v>
      </c>
      <c r="AE1550" s="119">
        <v>3.4896841632568769</v>
      </c>
      <c r="AF1550" s="119">
        <v>3.4787792076151196</v>
      </c>
      <c r="AG1550" s="119">
        <v>3.4660980536980075</v>
      </c>
      <c r="AH1550" s="119">
        <v>3.4514157489572739</v>
      </c>
      <c r="AI1550" s="119">
        <v>3.4345032694042423</v>
      </c>
      <c r="AJ1550" s="119">
        <v>3.4151377856441214</v>
      </c>
      <c r="AK1550" s="119">
        <v>3.3931167517408243</v>
      </c>
      <c r="AL1550" s="119">
        <v>3.3682761080160075</v>
      </c>
      <c r="AM1550" s="119">
        <v>3.3405124078262554</v>
      </c>
      <c r="AN1550" s="119">
        <v>3.3098079213073759</v>
      </c>
      <c r="AO1550" s="119">
        <v>3.276256738618283</v>
      </c>
      <c r="AP1550" s="119">
        <v>3.2400886897437098</v>
      </c>
      <c r="AQ1550" s="119">
        <v>3.2016867546194692</v>
      </c>
      <c r="AR1550" s="119">
        <v>3.1615929448736506</v>
      </c>
      <c r="AS1550" s="119">
        <v>3.120497880834038</v>
      </c>
      <c r="AT1550" s="119">
        <v>3.0792108895611054</v>
      </c>
      <c r="AU1550" s="119">
        <v>3.0386105379744399</v>
      </c>
      <c r="AV1550" s="119">
        <v>2.999579681423437</v>
      </c>
      <c r="AW1550" s="119">
        <v>2.9629333323390656</v>
      </c>
      <c r="AX1550" s="120">
        <v>2.9293505319101523</v>
      </c>
    </row>
    <row r="1551" spans="1:50" x14ac:dyDescent="0.25">
      <c r="A1551" s="356"/>
      <c r="B1551" s="359"/>
      <c r="C1551" s="360"/>
      <c r="D1551" s="2" t="s">
        <v>10</v>
      </c>
      <c r="E1551" s="160" t="str">
        <f>A1533&amp;"/"&amp;B1549&amp;"/"&amp;C1549&amp;"/"&amp;D1551</f>
        <v>Coal fired power plants/Fluidized bed combustion/Electricity only/S</v>
      </c>
      <c r="F1551" s="76" t="str">
        <f>A1533</f>
        <v>Coal fired power plants</v>
      </c>
      <c r="G1551" s="76" t="str">
        <f>B1549</f>
        <v>Fluidized bed combustion</v>
      </c>
      <c r="H1551" s="76" t="str">
        <f>C1549</f>
        <v>Electricity only</v>
      </c>
      <c r="I1551" s="161" t="str">
        <f t="shared" si="103"/>
        <v>S</v>
      </c>
      <c r="J1551" s="119">
        <v>4.028357686235549</v>
      </c>
      <c r="K1551" s="119">
        <v>4.027571069145484</v>
      </c>
      <c r="L1551" s="119">
        <v>4.026658315396384</v>
      </c>
      <c r="M1551" s="119">
        <v>4.0255994164730557</v>
      </c>
      <c r="N1551" s="119">
        <v>4.0243712657859332</v>
      </c>
      <c r="O1551" s="119">
        <v>4.0229472053695936</v>
      </c>
      <c r="P1551" s="119">
        <v>4.0212965155342699</v>
      </c>
      <c r="Q1551" s="119">
        <v>4.0193838436634932</v>
      </c>
      <c r="R1551" s="119">
        <v>4.0171685694776986</v>
      </c>
      <c r="S1551" s="119">
        <v>4.0146041059175737</v>
      </c>
      <c r="T1551" s="119">
        <v>4.0116371375957067</v>
      </c>
      <c r="U1551" s="119">
        <v>4.0082068028397382</v>
      </c>
      <c r="V1551" s="119">
        <v>4.0042438310989255</v>
      </c>
      <c r="W1551" s="119">
        <v>3.9996696553804321</v>
      </c>
      <c r="X1551" s="119">
        <v>3.9943955299658391</v>
      </c>
      <c r="Y1551" s="119">
        <v>3.9883216975260356</v>
      </c>
      <c r="Z1551" s="119">
        <v>3.9813366674972199</v>
      </c>
      <c r="AA1551" s="119">
        <v>3.9733166897040233</v>
      </c>
      <c r="AB1551" s="119">
        <v>3.9641255339747401</v>
      </c>
      <c r="AC1551" s="119">
        <v>3.953614717664462</v>
      </c>
      <c r="AD1551" s="119">
        <v>3.9416243575373326</v>
      </c>
      <c r="AE1551" s="119">
        <v>3.927984858024101</v>
      </c>
      <c r="AF1551" s="119">
        <v>3.9125196802620903</v>
      </c>
      <c r="AG1551" s="119">
        <v>3.8950494588200022</v>
      </c>
      <c r="AH1551" s="119">
        <v>3.8753977357773115</v>
      </c>
      <c r="AI1551" s="119">
        <v>3.8533985516248577</v>
      </c>
      <c r="AJ1551" s="119">
        <v>3.8289060530138057</v>
      </c>
      <c r="AK1551" s="119">
        <v>3.8018061310303808</v>
      </c>
      <c r="AL1551" s="119">
        <v>3.7720298748142378</v>
      </c>
      <c r="AM1551" s="119">
        <v>3.7395683063156238</v>
      </c>
      <c r="AN1551" s="119">
        <v>3.7044874613777581</v>
      </c>
      <c r="AO1551" s="119">
        <v>3.6669424345838295</v>
      </c>
      <c r="AP1551" s="119">
        <v>3.627188578985272</v>
      </c>
      <c r="AQ1551" s="119">
        <v>3.5855877517269459</v>
      </c>
      <c r="AR1551" s="119">
        <v>3.5426074537060779</v>
      </c>
      <c r="AS1551" s="119">
        <v>3.4988110556982597</v>
      </c>
      <c r="AT1551" s="119">
        <v>3.4548381190875741</v>
      </c>
      <c r="AU1551" s="119">
        <v>3.4113750918303167</v>
      </c>
      <c r="AV1551" s="119">
        <v>3.3691182343768973</v>
      </c>
      <c r="AW1551" s="119">
        <v>3.3287322062273152</v>
      </c>
      <c r="AX1551" s="120">
        <v>3.2908089315284332</v>
      </c>
    </row>
    <row r="1552" spans="1:50" x14ac:dyDescent="0.25">
      <c r="A1552" s="356"/>
      <c r="B1552" s="359"/>
      <c r="C1552" s="361" t="s">
        <v>14</v>
      </c>
      <c r="D1552" s="58" t="s">
        <v>7</v>
      </c>
      <c r="E1552" s="164" t="str">
        <f>A1533&amp;"/"&amp;B1549&amp;"/"&amp;C1552&amp;"/"&amp;D1552</f>
        <v>Coal fired power plants/Fluidized bed combustion/CHP/L</v>
      </c>
      <c r="F1552" s="78" t="str">
        <f>A1533</f>
        <v>Coal fired power plants</v>
      </c>
      <c r="G1552" s="78" t="str">
        <f>B1549</f>
        <v>Fluidized bed combustion</v>
      </c>
      <c r="H1552" s="78" t="str">
        <f>C1552</f>
        <v>CHP</v>
      </c>
      <c r="I1552" s="165" t="str">
        <f t="shared" si="103"/>
        <v>L</v>
      </c>
      <c r="J1552" s="123">
        <v>3.9209558864446863</v>
      </c>
      <c r="K1552" s="123">
        <v>3.9208978832927674</v>
      </c>
      <c r="L1552" s="123">
        <v>3.9208270471362705</v>
      </c>
      <c r="M1552" s="123">
        <v>3.9207405411627194</v>
      </c>
      <c r="N1552" s="123">
        <v>3.9206349026681862</v>
      </c>
      <c r="O1552" s="123">
        <v>3.9205059055569769</v>
      </c>
      <c r="P1552" s="123">
        <v>3.9203483929251148</v>
      </c>
      <c r="Q1552" s="123">
        <v>3.9201560733620195</v>
      </c>
      <c r="R1552" s="123">
        <v>3.9199212733213931</v>
      </c>
      <c r="S1552" s="123">
        <v>3.9196346364058758</v>
      </c>
      <c r="T1552" s="123">
        <v>3.9192847586608837</v>
      </c>
      <c r="U1552" s="123">
        <v>3.918857746970525</v>
      </c>
      <c r="V1552" s="123">
        <v>3.9183366854009312</v>
      </c>
      <c r="W1552" s="123">
        <v>3.917700991882751</v>
      </c>
      <c r="X1552" s="123">
        <v>3.9169256450566028</v>
      </c>
      <c r="Y1552" s="123">
        <v>3.9159802585961554</v>
      </c>
      <c r="Z1552" s="123">
        <v>3.9148279781735171</v>
      </c>
      <c r="AA1552" s="123">
        <v>3.9134241749309746</v>
      </c>
      <c r="AB1552" s="123">
        <v>3.9117149096424049</v>
      </c>
      <c r="AC1552" s="123">
        <v>3.9096351448594584</v>
      </c>
      <c r="AD1552" s="123">
        <v>3.9071066899782094</v>
      </c>
      <c r="AE1552" s="123">
        <v>3.9040358788331724</v>
      </c>
      <c r="AF1552" s="123">
        <v>3.9003110046263707</v>
      </c>
      <c r="AG1552" s="123">
        <v>3.8957995774558194</v>
      </c>
      <c r="AH1552" s="123">
        <v>3.8903455315182818</v>
      </c>
      <c r="AI1552" s="123">
        <v>3.8837665995993702</v>
      </c>
      <c r="AJ1552" s="123">
        <v>3.8758521997501942</v>
      </c>
      <c r="AK1552" s="123">
        <v>3.8663623501168884</v>
      </c>
      <c r="AL1552" s="123">
        <v>3.8550283454358802</v>
      </c>
      <c r="AM1552" s="123">
        <v>3.8415561851251856</v>
      </c>
      <c r="AN1552" s="123">
        <v>3.8256340107819873</v>
      </c>
      <c r="AO1552" s="123">
        <v>3.8069450297731624</v>
      </c>
      <c r="AP1552" s="123">
        <v>3.785187462680609</v>
      </c>
      <c r="AQ1552" s="123">
        <v>3.760102787194151</v>
      </c>
      <c r="AR1552" s="123">
        <v>3.7315127371826504</v>
      </c>
      <c r="AS1552" s="123">
        <v>3.6993639207229276</v>
      </c>
      <c r="AT1552" s="123">
        <v>3.6637764105641737</v>
      </c>
      <c r="AU1552" s="123">
        <v>3.6250893834253497</v>
      </c>
      <c r="AV1552" s="123">
        <v>3.5838934981921846</v>
      </c>
      <c r="AW1552" s="123">
        <v>3.5410375162639554</v>
      </c>
      <c r="AX1552" s="124">
        <v>3.497597476079342</v>
      </c>
    </row>
    <row r="1553" spans="1:50" x14ac:dyDescent="0.25">
      <c r="A1553" s="356"/>
      <c r="B1553" s="359"/>
      <c r="C1553" s="350"/>
      <c r="D1553" s="2" t="s">
        <v>8</v>
      </c>
      <c r="E1553" s="160" t="str">
        <f>A1533&amp;"/"&amp;B1549&amp;"/"&amp;C1552&amp;"/"&amp;D1553</f>
        <v>Coal fired power plants/Fluidized bed combustion/CHP/M</v>
      </c>
      <c r="F1553" s="76" t="str">
        <f>A1533</f>
        <v>Coal fired power plants</v>
      </c>
      <c r="G1553" s="76" t="str">
        <f>B1549</f>
        <v>Fluidized bed combustion</v>
      </c>
      <c r="H1553" s="76" t="str">
        <f>C1552</f>
        <v>CHP</v>
      </c>
      <c r="I1553" s="161" t="str">
        <f t="shared" si="103"/>
        <v>M</v>
      </c>
      <c r="J1553" s="119">
        <v>4.1873170228247849</v>
      </c>
      <c r="K1553" s="119">
        <v>4.1871767693537247</v>
      </c>
      <c r="L1553" s="119">
        <v>4.1870097373847894</v>
      </c>
      <c r="M1553" s="119">
        <v>4.1868108242340707</v>
      </c>
      <c r="N1553" s="119">
        <v>4.1865739591277134</v>
      </c>
      <c r="O1553" s="119">
        <v>4.1862919213068599</v>
      </c>
      <c r="P1553" s="119">
        <v>4.1859561246992509</v>
      </c>
      <c r="Q1553" s="119">
        <v>4.1855563633252872</v>
      </c>
      <c r="R1553" s="119">
        <v>4.1850805107225302</v>
      </c>
      <c r="S1553" s="119">
        <v>4.1845141657145204</v>
      </c>
      <c r="T1553" s="119">
        <v>4.1838402358407114</v>
      </c>
      <c r="U1553" s="119">
        <v>4.1830384487473342</v>
      </c>
      <c r="V1553" s="119">
        <v>4.1820847808850967</v>
      </c>
      <c r="W1553" s="119">
        <v>4.180950792080723</v>
      </c>
      <c r="X1553" s="119">
        <v>4.1796028541149779</v>
      </c>
      <c r="Y1553" s="119">
        <v>4.1780012616001452</v>
      </c>
      <c r="Z1553" s="119">
        <v>4.1760992145649025</v>
      </c>
      <c r="AA1553" s="119">
        <v>4.1738416647318699</v>
      </c>
      <c r="AB1553" s="119">
        <v>4.171164022213544</v>
      </c>
      <c r="AC1553" s="119">
        <v>4.1679907272020333</v>
      </c>
      <c r="AD1553" s="119">
        <v>4.1642337034323207</v>
      </c>
      <c r="AE1553" s="119">
        <v>4.159790728347291</v>
      </c>
      <c r="AF1553" s="119">
        <v>4.1545437809335528</v>
      </c>
      <c r="AG1553" s="119">
        <v>4.148357464385569</v>
      </c>
      <c r="AH1553" s="119">
        <v>4.1410776494765402</v>
      </c>
      <c r="AI1553" s="119">
        <v>4.1325305478889556</v>
      </c>
      <c r="AJ1553" s="119">
        <v>4.1225225039084359</v>
      </c>
      <c r="AK1553" s="119">
        <v>4.1108408867017507</v>
      </c>
      <c r="AL1553" s="119">
        <v>4.0972565686480822</v>
      </c>
      <c r="AM1553" s="119">
        <v>4.0815285758595206</v>
      </c>
      <c r="AN1553" s="119">
        <v>4.0634115730357854</v>
      </c>
      <c r="AO1553" s="119">
        <v>4.0426668606555021</v>
      </c>
      <c r="AP1553" s="119">
        <v>4.0190774672636813</v>
      </c>
      <c r="AQ1553" s="119">
        <v>3.9924676486918558</v>
      </c>
      <c r="AR1553" s="119">
        <v>3.9627265907258837</v>
      </c>
      <c r="AS1553" s="119">
        <v>3.9298353007633695</v>
      </c>
      <c r="AT1553" s="119">
        <v>3.8938945701560144</v>
      </c>
      <c r="AU1553" s="119">
        <v>3.8551505976039739</v>
      </c>
      <c r="AV1553" s="119">
        <v>3.8140136392472082</v>
      </c>
      <c r="AW1553" s="119">
        <v>3.7710643093100118</v>
      </c>
      <c r="AX1553" s="120">
        <v>3.7270424147727477</v>
      </c>
    </row>
    <row r="1554" spans="1:50" x14ac:dyDescent="0.25">
      <c r="A1554" s="356"/>
      <c r="B1554" s="359"/>
      <c r="C1554" s="360"/>
      <c r="D1554" s="59" t="s">
        <v>10</v>
      </c>
      <c r="E1554" s="166" t="str">
        <f>A1533&amp;"/"&amp;B1549&amp;"/"&amp;C1552&amp;"/"&amp;D1554</f>
        <v>Coal fired power plants/Fluidized bed combustion/CHP/S</v>
      </c>
      <c r="F1554" s="79" t="str">
        <f>A1533</f>
        <v>Coal fired power plants</v>
      </c>
      <c r="G1554" s="79" t="str">
        <f>B1549</f>
        <v>Fluidized bed combustion</v>
      </c>
      <c r="H1554" s="79" t="str">
        <f>C1552</f>
        <v>CHP</v>
      </c>
      <c r="I1554" s="167" t="str">
        <f t="shared" si="103"/>
        <v>S</v>
      </c>
      <c r="J1554" s="125">
        <v>4.7526499959609145</v>
      </c>
      <c r="K1554" s="125">
        <v>4.7522475423205428</v>
      </c>
      <c r="L1554" s="125">
        <v>4.751780239923634</v>
      </c>
      <c r="M1554" s="125">
        <v>4.7512376923634676</v>
      </c>
      <c r="N1554" s="125">
        <v>4.7506078549602337</v>
      </c>
      <c r="O1554" s="125">
        <v>4.7498767798823058</v>
      </c>
      <c r="P1554" s="125">
        <v>4.7490283241127011</v>
      </c>
      <c r="Q1554" s="125">
        <v>4.7480438156467217</v>
      </c>
      <c r="R1554" s="125">
        <v>4.7469016730308633</v>
      </c>
      <c r="S1554" s="125">
        <v>4.7455769731869424</v>
      </c>
      <c r="T1554" s="125">
        <v>4.7440409624750357</v>
      </c>
      <c r="U1554" s="125">
        <v>4.7422605062247234</v>
      </c>
      <c r="V1554" s="125">
        <v>4.7401974726285587</v>
      </c>
      <c r="W1554" s="125">
        <v>4.7378080481068521</v>
      </c>
      <c r="X1554" s="125">
        <v>4.7350419832310573</v>
      </c>
      <c r="Y1554" s="125">
        <v>4.7318417713074696</v>
      </c>
      <c r="Z1554" s="125">
        <v>4.728141766117985</v>
      </c>
      <c r="AA1554" s="125">
        <v>4.7238672515152116</v>
      </c>
      <c r="AB1554" s="125">
        <v>4.7189334840843236</v>
      </c>
      <c r="AC1554" s="125">
        <v>4.7132447415002261</v>
      </c>
      <c r="AD1554" s="125">
        <v>4.7066934241664784</v>
      </c>
      <c r="AE1554" s="125">
        <v>4.6991592768619457</v>
      </c>
      <c r="AF1554" s="125">
        <v>4.6905088209836245</v>
      </c>
      <c r="AG1554" s="125">
        <v>4.6805951168366615</v>
      </c>
      <c r="AH1554" s="125">
        <v>4.6692580090438787</v>
      </c>
      <c r="AI1554" s="125">
        <v>4.6563250453974057</v>
      </c>
      <c r="AJ1554" s="125">
        <v>4.641613297835999</v>
      </c>
      <c r="AK1554" s="125">
        <v>4.6249323491687635</v>
      </c>
      <c r="AL1554" s="125">
        <v>4.606088733429889</v>
      </c>
      <c r="AM1554" s="125">
        <v>4.5848921207337785</v>
      </c>
      <c r="AN1554" s="125">
        <v>4.561163504922483</v>
      </c>
      <c r="AO1554" s="125">
        <v>4.5347455666129148</v>
      </c>
      <c r="AP1554" s="125">
        <v>4.5055152263964553</v>
      </c>
      <c r="AQ1554" s="125">
        <v>4.473398156092613</v>
      </c>
      <c r="AR1554" s="125">
        <v>4.4383846718562108</v>
      </c>
      <c r="AS1554" s="125">
        <v>4.4005460008356136</v>
      </c>
      <c r="AT1554" s="125">
        <v>4.3600494301335342</v>
      </c>
      <c r="AU1554" s="125">
        <v>4.3171703869845333</v>
      </c>
      <c r="AV1554" s="125">
        <v>4.2722991753703159</v>
      </c>
      <c r="AW1554" s="125">
        <v>4.2259400480442961</v>
      </c>
      <c r="AX1554" s="126">
        <v>4.1787006642996873</v>
      </c>
    </row>
    <row r="1555" spans="1:50" x14ac:dyDescent="0.25">
      <c r="A1555" s="356"/>
      <c r="B1555" s="359"/>
      <c r="C1555" s="361" t="s">
        <v>15</v>
      </c>
      <c r="D1555" s="58" t="s">
        <v>7</v>
      </c>
      <c r="E1555" s="164" t="str">
        <f>A1533&amp;"/"&amp;B1549&amp;"/"&amp;C1555&amp;"/"&amp;D1555</f>
        <v>Coal fired power plants/Fluidized bed combustion/Electricity only with CCS/L</v>
      </c>
      <c r="F1555" s="78" t="str">
        <f>A1533</f>
        <v>Coal fired power plants</v>
      </c>
      <c r="G1555" s="78" t="str">
        <f>B1549</f>
        <v>Fluidized bed combustion</v>
      </c>
      <c r="H1555" s="78" t="str">
        <f>C1555</f>
        <v>Electricity only with CCS</v>
      </c>
      <c r="I1555" s="165" t="str">
        <f t="shared" si="103"/>
        <v>L</v>
      </c>
      <c r="J1555" s="123" t="s">
        <v>112</v>
      </c>
      <c r="K1555" s="123" t="s">
        <v>112</v>
      </c>
      <c r="L1555" s="123" t="s">
        <v>112</v>
      </c>
      <c r="M1555" s="123" t="s">
        <v>112</v>
      </c>
      <c r="N1555" s="123" t="s">
        <v>112</v>
      </c>
      <c r="O1555" s="123" t="s">
        <v>112</v>
      </c>
      <c r="P1555" s="123" t="s">
        <v>112</v>
      </c>
      <c r="Q1555" s="123" t="s">
        <v>112</v>
      </c>
      <c r="R1555" s="123" t="s">
        <v>112</v>
      </c>
      <c r="S1555" s="123" t="s">
        <v>112</v>
      </c>
      <c r="T1555" s="123" t="s">
        <v>112</v>
      </c>
      <c r="U1555" s="123" t="s">
        <v>112</v>
      </c>
      <c r="V1555" s="123" t="s">
        <v>112</v>
      </c>
      <c r="W1555" s="123" t="s">
        <v>112</v>
      </c>
      <c r="X1555" s="123" t="s">
        <v>112</v>
      </c>
      <c r="Y1555" s="123" t="s">
        <v>112</v>
      </c>
      <c r="Z1555" s="123" t="s">
        <v>112</v>
      </c>
      <c r="AA1555" s="123" t="s">
        <v>112</v>
      </c>
      <c r="AB1555" s="123" t="s">
        <v>112</v>
      </c>
      <c r="AC1555" s="123" t="s">
        <v>112</v>
      </c>
      <c r="AD1555" s="123" t="s">
        <v>112</v>
      </c>
      <c r="AE1555" s="123">
        <v>7.6007340979464439</v>
      </c>
      <c r="AF1555" s="123">
        <v>7.5986447911581196</v>
      </c>
      <c r="AG1555" s="123">
        <v>7.5959662832606529</v>
      </c>
      <c r="AH1555" s="123">
        <v>7.5925339427146445</v>
      </c>
      <c r="AI1555" s="123">
        <v>7.5881381208885657</v>
      </c>
      <c r="AJ1555" s="123">
        <v>7.5825124745173671</v>
      </c>
      <c r="AK1555" s="123">
        <v>7.5753196664739404</v>
      </c>
      <c r="AL1555" s="123">
        <v>7.5661341249593548</v>
      </c>
      <c r="AM1555" s="123">
        <v>7.5544216978738916</v>
      </c>
      <c r="AN1555" s="123">
        <v>7.5395163715212838</v>
      </c>
      <c r="AO1555" s="123">
        <v>7.520594836412954</v>
      </c>
      <c r="AP1555" s="123">
        <v>7.4966507213185443</v>
      </c>
      <c r="AQ1555" s="123">
        <v>7.4664719539518769</v>
      </c>
      <c r="AR1555" s="123">
        <v>7.4286271106122985</v>
      </c>
      <c r="AS1555" s="123">
        <v>7.3814698541264123</v>
      </c>
      <c r="AT1555" s="123">
        <v>7.3231744021052663</v>
      </c>
      <c r="AU1555" s="123">
        <v>7.2518185742462862</v>
      </c>
      <c r="AV1555" s="123">
        <v>7.1655324673496228</v>
      </c>
      <c r="AW1555" s="123">
        <v>7.0627269971072408</v>
      </c>
      <c r="AX1555" s="124">
        <v>6.9424032199586687</v>
      </c>
    </row>
    <row r="1556" spans="1:50" x14ac:dyDescent="0.25">
      <c r="A1556" s="356"/>
      <c r="B1556" s="359"/>
      <c r="C1556" s="360"/>
      <c r="D1556" s="59" t="s">
        <v>8</v>
      </c>
      <c r="E1556" s="166" t="str">
        <f>A1533&amp;"/"&amp;B1549&amp;"/"&amp;C1555&amp;"/"&amp;D1556</f>
        <v>Coal fired power plants/Fluidized bed combustion/Electricity only with CCS/M</v>
      </c>
      <c r="F1556" s="79" t="str">
        <f>A1533</f>
        <v>Coal fired power plants</v>
      </c>
      <c r="G1556" s="79" t="str">
        <f>B1549</f>
        <v>Fluidized bed combustion</v>
      </c>
      <c r="H1556" s="79" t="str">
        <f>C1555</f>
        <v>Electricity only with CCS</v>
      </c>
      <c r="I1556" s="167" t="str">
        <f t="shared" si="103"/>
        <v>M</v>
      </c>
      <c r="J1556" s="125" t="s">
        <v>112</v>
      </c>
      <c r="K1556" s="125" t="s">
        <v>112</v>
      </c>
      <c r="L1556" s="125" t="s">
        <v>112</v>
      </c>
      <c r="M1556" s="125" t="s">
        <v>112</v>
      </c>
      <c r="N1556" s="125" t="s">
        <v>112</v>
      </c>
      <c r="O1556" s="125" t="s">
        <v>112</v>
      </c>
      <c r="P1556" s="125" t="s">
        <v>112</v>
      </c>
      <c r="Q1556" s="125" t="s">
        <v>112</v>
      </c>
      <c r="R1556" s="125" t="s">
        <v>112</v>
      </c>
      <c r="S1556" s="125" t="s">
        <v>112</v>
      </c>
      <c r="T1556" s="125" t="s">
        <v>112</v>
      </c>
      <c r="U1556" s="125" t="s">
        <v>112</v>
      </c>
      <c r="V1556" s="125" t="s">
        <v>112</v>
      </c>
      <c r="W1556" s="125" t="s">
        <v>112</v>
      </c>
      <c r="X1556" s="125" t="s">
        <v>112</v>
      </c>
      <c r="Y1556" s="125" t="s">
        <v>112</v>
      </c>
      <c r="Z1556" s="125" t="s">
        <v>112</v>
      </c>
      <c r="AA1556" s="125" t="s">
        <v>112</v>
      </c>
      <c r="AB1556" s="125" t="s">
        <v>112</v>
      </c>
      <c r="AC1556" s="125" t="s">
        <v>112</v>
      </c>
      <c r="AD1556" s="125" t="s">
        <v>112</v>
      </c>
      <c r="AE1556" s="125">
        <v>8.4993592681448717</v>
      </c>
      <c r="AF1556" s="125">
        <v>8.4968558914572316</v>
      </c>
      <c r="AG1556" s="125">
        <v>8.4936465426599934</v>
      </c>
      <c r="AH1556" s="125">
        <v>8.4895339626622004</v>
      </c>
      <c r="AI1556" s="125">
        <v>8.4842669535547248</v>
      </c>
      <c r="AJ1556" s="125">
        <v>8.4775263867517747</v>
      </c>
      <c r="AK1556" s="125">
        <v>8.4689080698654298</v>
      </c>
      <c r="AL1556" s="125">
        <v>8.4579020890207559</v>
      </c>
      <c r="AM1556" s="125">
        <v>8.4438684310221959</v>
      </c>
      <c r="AN1556" s="125">
        <v>8.4260090880471541</v>
      </c>
      <c r="AO1556" s="125">
        <v>8.4033375827664436</v>
      </c>
      <c r="AP1556" s="125">
        <v>8.3746480959622822</v>
      </c>
      <c r="AQ1556" s="125">
        <v>8.3384883404349637</v>
      </c>
      <c r="AR1556" s="125">
        <v>8.2931432053437142</v>
      </c>
      <c r="AS1556" s="125">
        <v>8.2366400736832688</v>
      </c>
      <c r="AT1556" s="125">
        <v>8.1667913198283504</v>
      </c>
      <c r="AU1556" s="125">
        <v>8.0812938155903176</v>
      </c>
      <c r="AV1556" s="125">
        <v>7.9779070704367152</v>
      </c>
      <c r="AW1556" s="125">
        <v>7.8547270669041129</v>
      </c>
      <c r="AX1556" s="126">
        <v>7.7105568854996323</v>
      </c>
    </row>
    <row r="1557" spans="1:50" x14ac:dyDescent="0.25">
      <c r="A1557" s="356"/>
      <c r="B1557" s="359"/>
      <c r="C1557" s="361" t="s">
        <v>16</v>
      </c>
      <c r="D1557" s="2" t="s">
        <v>7</v>
      </c>
      <c r="E1557" s="160" t="str">
        <f>A1533&amp;"/"&amp;B1549&amp;"/"&amp;C1557&amp;"/"&amp;D1557</f>
        <v>Coal fired power plants/Fluidized bed combustion/CHP with CCS/L</v>
      </c>
      <c r="F1557" s="76" t="str">
        <f>A1533</f>
        <v>Coal fired power plants</v>
      </c>
      <c r="G1557" s="76" t="str">
        <f>B1549</f>
        <v>Fluidized bed combustion</v>
      </c>
      <c r="H1557" s="76" t="str">
        <f>C1557</f>
        <v>CHP with CCS</v>
      </c>
      <c r="I1557" s="161" t="str">
        <f t="shared" si="103"/>
        <v>L</v>
      </c>
      <c r="J1557" s="119" t="s">
        <v>112</v>
      </c>
      <c r="K1557" s="119" t="s">
        <v>112</v>
      </c>
      <c r="L1557" s="119" t="s">
        <v>112</v>
      </c>
      <c r="M1557" s="119" t="s">
        <v>112</v>
      </c>
      <c r="N1557" s="119" t="s">
        <v>112</v>
      </c>
      <c r="O1557" s="119" t="s">
        <v>112</v>
      </c>
      <c r="P1557" s="119" t="s">
        <v>112</v>
      </c>
      <c r="Q1557" s="119" t="s">
        <v>112</v>
      </c>
      <c r="R1557" s="119" t="s">
        <v>112</v>
      </c>
      <c r="S1557" s="119" t="s">
        <v>112</v>
      </c>
      <c r="T1557" s="119" t="s">
        <v>112</v>
      </c>
      <c r="U1557" s="119" t="s">
        <v>112</v>
      </c>
      <c r="V1557" s="119" t="s">
        <v>112</v>
      </c>
      <c r="W1557" s="119" t="s">
        <v>112</v>
      </c>
      <c r="X1557" s="119" t="s">
        <v>112</v>
      </c>
      <c r="Y1557" s="119" t="s">
        <v>112</v>
      </c>
      <c r="Z1557" s="119" t="s">
        <v>112</v>
      </c>
      <c r="AA1557" s="119" t="s">
        <v>112</v>
      </c>
      <c r="AB1557" s="119" t="s">
        <v>112</v>
      </c>
      <c r="AC1557" s="119" t="s">
        <v>112</v>
      </c>
      <c r="AD1557" s="119" t="s">
        <v>112</v>
      </c>
      <c r="AE1557" s="119">
        <v>8.1725742690577974</v>
      </c>
      <c r="AF1557" s="119">
        <v>8.1706489685118306</v>
      </c>
      <c r="AG1557" s="119">
        <v>8.1681807179197268</v>
      </c>
      <c r="AH1557" s="119">
        <v>8.1650178089759056</v>
      </c>
      <c r="AI1557" s="119">
        <v>8.1609670500308731</v>
      </c>
      <c r="AJ1557" s="119">
        <v>8.1557830052125571</v>
      </c>
      <c r="AK1557" s="119">
        <v>8.1491548176575108</v>
      </c>
      <c r="AL1557" s="119">
        <v>8.1406903220688971</v>
      </c>
      <c r="AM1557" s="119">
        <v>8.1298972961771252</v>
      </c>
      <c r="AN1557" s="119">
        <v>8.1161620069774418</v>
      </c>
      <c r="AO1557" s="119">
        <v>8.0987257730657056</v>
      </c>
      <c r="AP1557" s="119">
        <v>8.0766612212624107</v>
      </c>
      <c r="AQ1557" s="119">
        <v>8.048851424437764</v>
      </c>
      <c r="AR1557" s="119">
        <v>8.0139773226778352</v>
      </c>
      <c r="AS1557" s="119">
        <v>7.9705218128570916</v>
      </c>
      <c r="AT1557" s="119">
        <v>7.916802432711048</v>
      </c>
      <c r="AU1557" s="119">
        <v>7.8510478890975648</v>
      </c>
      <c r="AV1557" s="119">
        <v>7.771535062333264</v>
      </c>
      <c r="AW1557" s="119">
        <v>7.6767996079269771</v>
      </c>
      <c r="AX1557" s="120">
        <v>7.5659209973124257</v>
      </c>
    </row>
    <row r="1558" spans="1:50" x14ac:dyDescent="0.25">
      <c r="A1558" s="356"/>
      <c r="B1558" s="362"/>
      <c r="C1558" s="354"/>
      <c r="D1558" s="4" t="s">
        <v>8</v>
      </c>
      <c r="E1558" s="168" t="str">
        <f>A1533&amp;"/"&amp;B1549&amp;"/"&amp;C1557&amp;"/"&amp;D1558</f>
        <v>Coal fired power plants/Fluidized bed combustion/CHP with CCS/M</v>
      </c>
      <c r="F1558" s="80" t="str">
        <f>A1533</f>
        <v>Coal fired power plants</v>
      </c>
      <c r="G1558" s="80" t="str">
        <f>B1549</f>
        <v>Fluidized bed combustion</v>
      </c>
      <c r="H1558" s="80" t="str">
        <f>C1557</f>
        <v>CHP with CCS</v>
      </c>
      <c r="I1558" s="169" t="str">
        <f t="shared" si="103"/>
        <v>M</v>
      </c>
      <c r="J1558" s="127" t="s">
        <v>112</v>
      </c>
      <c r="K1558" s="127" t="s">
        <v>112</v>
      </c>
      <c r="L1558" s="127" t="s">
        <v>112</v>
      </c>
      <c r="M1558" s="127" t="s">
        <v>112</v>
      </c>
      <c r="N1558" s="127" t="s">
        <v>112</v>
      </c>
      <c r="O1558" s="127" t="s">
        <v>112</v>
      </c>
      <c r="P1558" s="127" t="s">
        <v>112</v>
      </c>
      <c r="Q1558" s="127" t="s">
        <v>112</v>
      </c>
      <c r="R1558" s="127" t="s">
        <v>112</v>
      </c>
      <c r="S1558" s="127" t="s">
        <v>112</v>
      </c>
      <c r="T1558" s="127" t="s">
        <v>112</v>
      </c>
      <c r="U1558" s="127" t="s">
        <v>112</v>
      </c>
      <c r="V1558" s="127" t="s">
        <v>112</v>
      </c>
      <c r="W1558" s="127" t="s">
        <v>112</v>
      </c>
      <c r="X1558" s="127" t="s">
        <v>112</v>
      </c>
      <c r="Y1558" s="127" t="s">
        <v>112</v>
      </c>
      <c r="Z1558" s="127" t="s">
        <v>112</v>
      </c>
      <c r="AA1558" s="127" t="s">
        <v>112</v>
      </c>
      <c r="AB1558" s="127" t="s">
        <v>112</v>
      </c>
      <c r="AC1558" s="127" t="s">
        <v>112</v>
      </c>
      <c r="AD1558" s="127" t="s">
        <v>112</v>
      </c>
      <c r="AE1558" s="127">
        <v>9.0366991306703301</v>
      </c>
      <c r="AF1558" s="127">
        <v>9.0343926931183791</v>
      </c>
      <c r="AG1558" s="127">
        <v>9.0314358218573307</v>
      </c>
      <c r="AH1558" s="127">
        <v>9.027646776050064</v>
      </c>
      <c r="AI1558" s="127">
        <v>9.0227941193756109</v>
      </c>
      <c r="AJ1558" s="127">
        <v>9.0165838289017426</v>
      </c>
      <c r="AK1558" s="127">
        <v>9.0086435098121616</v>
      </c>
      <c r="AL1558" s="127">
        <v>8.9985033628492435</v>
      </c>
      <c r="AM1558" s="127">
        <v>8.9855737242699103</v>
      </c>
      <c r="AN1558" s="127">
        <v>8.969119365046156</v>
      </c>
      <c r="AO1558" s="127">
        <v>8.9482314134259031</v>
      </c>
      <c r="AP1558" s="127">
        <v>8.9217989112627176</v>
      </c>
      <c r="AQ1558" s="127">
        <v>8.8884838219158571</v>
      </c>
      <c r="AR1558" s="127">
        <v>8.8467059612810122</v>
      </c>
      <c r="AS1558" s="127">
        <v>8.7946478969441859</v>
      </c>
      <c r="AT1558" s="127">
        <v>8.7302941024699567</v>
      </c>
      <c r="AU1558" s="127">
        <v>8.6515226353766153</v>
      </c>
      <c r="AV1558" s="127">
        <v>8.5562692631719539</v>
      </c>
      <c r="AW1558" s="127">
        <v>8.4427797562991902</v>
      </c>
      <c r="AX1558" s="128">
        <v>8.3099513562007878</v>
      </c>
    </row>
    <row r="1559" spans="1:50" x14ac:dyDescent="0.25">
      <c r="A1559" s="356"/>
      <c r="B1559" s="358" t="s">
        <v>19</v>
      </c>
      <c r="C1559" s="353" t="s">
        <v>6</v>
      </c>
      <c r="D1559" s="3" t="s">
        <v>7</v>
      </c>
      <c r="E1559" s="162" t="str">
        <f>A1533&amp;"/"&amp;B1559&amp;"/"&amp;C1559&amp;"/"&amp;D1559</f>
        <v>Coal fired power plants/Steam turbine/Electricity only/L</v>
      </c>
      <c r="F1559" s="77" t="str">
        <f>A1533</f>
        <v>Coal fired power plants</v>
      </c>
      <c r="G1559" s="77" t="str">
        <f>B1559</f>
        <v>Steam turbine</v>
      </c>
      <c r="H1559" s="77" t="str">
        <f>C1559</f>
        <v>Electricity only</v>
      </c>
      <c r="I1559" s="163" t="str">
        <f t="shared" si="103"/>
        <v>L</v>
      </c>
      <c r="J1559" s="121">
        <v>2.1761430246189919</v>
      </c>
      <c r="K1559" s="121">
        <v>2.1800121893917912</v>
      </c>
      <c r="L1559" s="121">
        <v>2.1838836104948283</v>
      </c>
      <c r="M1559" s="121">
        <v>2.1877552925566865</v>
      </c>
      <c r="N1559" s="121">
        <v>2.1916252482185778</v>
      </c>
      <c r="O1559" s="121">
        <v>2.195491502021814</v>
      </c>
      <c r="P1559" s="121">
        <v>2.1993520942233271</v>
      </c>
      <c r="Q1559" s="121">
        <v>2.2032050845244737</v>
      </c>
      <c r="R1559" s="121">
        <v>2.2070485556990858</v>
      </c>
      <c r="S1559" s="121">
        <v>2.2108806171074895</v>
      </c>
      <c r="T1559" s="121">
        <v>2.2146994080840607</v>
      </c>
      <c r="U1559" s="121">
        <v>2.2185031011868186</v>
      </c>
      <c r="V1559" s="121">
        <v>2.2222899052985254</v>
      </c>
      <c r="W1559" s="121">
        <v>2.2260580685697819</v>
      </c>
      <c r="X1559" s="121">
        <v>2.229805881195678</v>
      </c>
      <c r="Y1559" s="121">
        <v>2.2335316780186361</v>
      </c>
      <c r="Z1559" s="121">
        <v>2.2372338409511974</v>
      </c>
      <c r="AA1559" s="121">
        <v>2.240910801213611</v>
      </c>
      <c r="AB1559" s="121">
        <v>2.244561041382203</v>
      </c>
      <c r="AC1559" s="121">
        <v>2.2481830972455947</v>
      </c>
      <c r="AD1559" s="121">
        <v>2.2517755594669313</v>
      </c>
      <c r="AE1559" s="121">
        <v>2.2553370750513344</v>
      </c>
      <c r="AF1559" s="121">
        <v>2.2588663486188052</v>
      </c>
      <c r="AG1559" s="121">
        <v>2.2623621434837902</v>
      </c>
      <c r="AH1559" s="121">
        <v>2.2658232825435562</v>
      </c>
      <c r="AI1559" s="121">
        <v>2.2692486489783859</v>
      </c>
      <c r="AJ1559" s="121">
        <v>2.2726371867674415</v>
      </c>
      <c r="AK1559" s="121">
        <v>2.2759879010248967</v>
      </c>
      <c r="AL1559" s="121">
        <v>2.2792998581616359</v>
      </c>
      <c r="AM1559" s="121">
        <v>2.2825721858784429</v>
      </c>
      <c r="AN1559" s="121">
        <v>2.285804072997184</v>
      </c>
      <c r="AO1559" s="121">
        <v>2.2889947691369628</v>
      </c>
      <c r="AP1559" s="121">
        <v>2.2921435842426665</v>
      </c>
      <c r="AQ1559" s="121">
        <v>2.2952498879736796</v>
      </c>
      <c r="AR1559" s="121">
        <v>2.2983131089608326</v>
      </c>
      <c r="AS1559" s="121">
        <v>2.3013327339398897</v>
      </c>
      <c r="AT1559" s="121">
        <v>2.3043083067700323</v>
      </c>
      <c r="AU1559" s="121">
        <v>2.3072394273459249</v>
      </c>
      <c r="AV1559" s="121">
        <v>2.3101257504119754</v>
      </c>
      <c r="AW1559" s="121">
        <v>2.3129669842874265</v>
      </c>
      <c r="AX1559" s="122">
        <v>2.3157628895108302</v>
      </c>
    </row>
    <row r="1560" spans="1:50" x14ac:dyDescent="0.25">
      <c r="A1560" s="356"/>
      <c r="B1560" s="359"/>
      <c r="C1560" s="350"/>
      <c r="D1560" s="2" t="s">
        <v>8</v>
      </c>
      <c r="E1560" s="160" t="str">
        <f>A1533&amp;"/"&amp;B1559&amp;"/"&amp;C1559&amp;"/"&amp;D1560</f>
        <v>Coal fired power plants/Steam turbine/Electricity only/M</v>
      </c>
      <c r="F1560" s="76" t="str">
        <f>A1533</f>
        <v>Coal fired power plants</v>
      </c>
      <c r="G1560" s="76" t="str">
        <f>B1559</f>
        <v>Steam turbine</v>
      </c>
      <c r="H1560" s="76" t="str">
        <f>C1559</f>
        <v>Electricity only</v>
      </c>
      <c r="I1560" s="161" t="str">
        <f t="shared" si="103"/>
        <v>M</v>
      </c>
      <c r="J1560" s="119">
        <v>2.3502344665885113</v>
      </c>
      <c r="K1560" s="119">
        <v>2.3535774249522099</v>
      </c>
      <c r="L1560" s="119">
        <v>2.3569223327852349</v>
      </c>
      <c r="M1560" s="119">
        <v>2.3602674660866803</v>
      </c>
      <c r="N1560" s="119">
        <v>2.3636111077785538</v>
      </c>
      <c r="O1560" s="119">
        <v>2.3669515510645498</v>
      </c>
      <c r="P1560" s="119">
        <v>2.3702871027266577</v>
      </c>
      <c r="Q1560" s="119">
        <v>2.3736160863468476</v>
      </c>
      <c r="R1560" s="119">
        <v>2.3769368454417128</v>
      </c>
      <c r="S1560" s="119">
        <v>2.3802477464985734</v>
      </c>
      <c r="T1560" s="119">
        <v>2.3835471819023311</v>
      </c>
      <c r="U1560" s="119">
        <v>2.386833572743114</v>
      </c>
      <c r="V1560" s="119">
        <v>2.3901053714956286</v>
      </c>
      <c r="W1560" s="119">
        <v>2.393361064561994</v>
      </c>
      <c r="X1560" s="119">
        <v>2.3965991746707682</v>
      </c>
      <c r="Y1560" s="119">
        <v>2.399818263125804</v>
      </c>
      <c r="Z1560" s="119">
        <v>2.4030169318995371</v>
      </c>
      <c r="AA1560" s="119">
        <v>2.4061938255662625</v>
      </c>
      <c r="AB1560" s="119">
        <v>2.4093476330719263</v>
      </c>
      <c r="AC1560" s="119">
        <v>2.4124770893378966</v>
      </c>
      <c r="AD1560" s="119">
        <v>2.415580976697131</v>
      </c>
      <c r="AE1560" s="119">
        <v>2.4186581261620557</v>
      </c>
      <c r="AF1560" s="119">
        <v>2.4217074185243503</v>
      </c>
      <c r="AG1560" s="119">
        <v>2.4247277852876974</v>
      </c>
      <c r="AH1560" s="119">
        <v>2.4277182094353353</v>
      </c>
      <c r="AI1560" s="119">
        <v>2.4306777260350283</v>
      </c>
      <c r="AJ1560" s="119">
        <v>2.4336054226847721</v>
      </c>
      <c r="AK1560" s="119">
        <v>2.4365004398032135</v>
      </c>
      <c r="AL1560" s="119">
        <v>2.4393619707693559</v>
      </c>
      <c r="AM1560" s="119">
        <v>2.4421892619166776</v>
      </c>
      <c r="AN1560" s="119">
        <v>2.4449816123872696</v>
      </c>
      <c r="AO1560" s="119">
        <v>2.4477383738520384</v>
      </c>
      <c r="AP1560" s="119">
        <v>2.4504589501033665</v>
      </c>
      <c r="AQ1560" s="119">
        <v>2.4531427965269619</v>
      </c>
      <c r="AR1560" s="119">
        <v>2.4557894194598622</v>
      </c>
      <c r="AS1560" s="119">
        <v>2.4583983754417673</v>
      </c>
      <c r="AT1560" s="119">
        <v>2.460969270367011</v>
      </c>
      <c r="AU1560" s="119">
        <v>2.4635017585445813</v>
      </c>
      <c r="AV1560" s="119">
        <v>2.4659955416736494</v>
      </c>
      <c r="AW1560" s="119">
        <v>2.4684503677420393</v>
      </c>
      <c r="AX1560" s="120">
        <v>2.4708660298550598</v>
      </c>
    </row>
    <row r="1561" spans="1:50" x14ac:dyDescent="0.25">
      <c r="A1561" s="356"/>
      <c r="B1561" s="359"/>
      <c r="C1561" s="350"/>
      <c r="D1561" s="2" t="s">
        <v>10</v>
      </c>
      <c r="E1561" s="160" t="str">
        <f>A1533&amp;"/"&amp;B1559&amp;"/"&amp;C1559&amp;"/"&amp;D1561</f>
        <v>Coal fired power plants/Steam turbine/Electricity only/S</v>
      </c>
      <c r="F1561" s="76" t="str">
        <f>A1533</f>
        <v>Coal fired power plants</v>
      </c>
      <c r="G1561" s="76" t="str">
        <f>B1559</f>
        <v>Steam turbine</v>
      </c>
      <c r="H1561" s="76" t="str">
        <f>C1559</f>
        <v>Electricity only</v>
      </c>
      <c r="I1561" s="161" t="str">
        <f t="shared" si="103"/>
        <v>S</v>
      </c>
      <c r="J1561" s="119">
        <v>2.597009085580305</v>
      </c>
      <c r="K1561" s="119">
        <v>2.5997795623242204</v>
      </c>
      <c r="L1561" s="119">
        <v>2.6025516546908389</v>
      </c>
      <c r="M1561" s="119">
        <v>2.6053239339144123</v>
      </c>
      <c r="N1561" s="119">
        <v>2.6080949769665525</v>
      </c>
      <c r="O1561" s="119">
        <v>2.610863369339822</v>
      </c>
      <c r="P1561" s="119">
        <v>2.6136277077797931</v>
      </c>
      <c r="Q1561" s="119">
        <v>2.6163866029550262</v>
      </c>
      <c r="R1561" s="119">
        <v>2.6191386820548956</v>
      </c>
      <c r="S1561" s="119">
        <v>2.6218825913057691</v>
      </c>
      <c r="T1561" s="119">
        <v>2.624616998396633</v>
      </c>
      <c r="U1561" s="119">
        <v>2.6273405948059319</v>
      </c>
      <c r="V1561" s="119">
        <v>2.6300520980220781</v>
      </c>
      <c r="W1561" s="119">
        <v>2.6327502536508289</v>
      </c>
      <c r="X1561" s="119">
        <v>2.6354338374034754</v>
      </c>
      <c r="Y1561" s="119">
        <v>2.6381016569605862</v>
      </c>
      <c r="Z1561" s="119">
        <v>2.6407525537068173</v>
      </c>
      <c r="AA1561" s="119">
        <v>2.6433854043331162</v>
      </c>
      <c r="AB1561" s="119">
        <v>2.6459991223034351</v>
      </c>
      <c r="AC1561" s="119">
        <v>2.648592659183858</v>
      </c>
      <c r="AD1561" s="119">
        <v>2.6511650058328238</v>
      </c>
      <c r="AE1561" s="119">
        <v>2.6537151934518799</v>
      </c>
      <c r="AF1561" s="119">
        <v>2.6562422944971318</v>
      </c>
      <c r="AG1561" s="119">
        <v>2.6587454234522556</v>
      </c>
      <c r="AH1561" s="119">
        <v>2.6612237374646099</v>
      </c>
      <c r="AI1561" s="119">
        <v>2.6636764368466057</v>
      </c>
      <c r="AJ1561" s="119">
        <v>2.6661027654450806</v>
      </c>
      <c r="AK1561" s="119">
        <v>2.6685020108819892</v>
      </c>
      <c r="AL1561" s="119">
        <v>2.6708735046701801</v>
      </c>
      <c r="AM1561" s="119">
        <v>2.6732166222085225</v>
      </c>
      <c r="AN1561" s="119">
        <v>2.675530782661026</v>
      </c>
      <c r="AO1561" s="119">
        <v>2.677815448724953</v>
      </c>
      <c r="AP1561" s="119">
        <v>2.6800701262932414</v>
      </c>
      <c r="AQ1561" s="119">
        <v>2.682294364016796</v>
      </c>
      <c r="AR1561" s="119">
        <v>2.6844877527724371</v>
      </c>
      <c r="AS1561" s="119">
        <v>2.6866499250424409</v>
      </c>
      <c r="AT1561" s="119">
        <v>2.688780554211736</v>
      </c>
      <c r="AU1561" s="119">
        <v>2.690879353788898</v>
      </c>
      <c r="AV1561" s="119">
        <v>2.6929460765571136</v>
      </c>
      <c r="AW1561" s="119">
        <v>2.694980513661291</v>
      </c>
      <c r="AX1561" s="120">
        <v>2.6969824936374569</v>
      </c>
    </row>
    <row r="1562" spans="1:50" x14ac:dyDescent="0.25">
      <c r="A1562" s="356"/>
      <c r="B1562" s="359"/>
      <c r="C1562" s="360"/>
      <c r="D1562" s="2" t="s">
        <v>20</v>
      </c>
      <c r="E1562" s="160" t="str">
        <f>A1533&amp;"/"&amp;B1559&amp;"/"&amp;C1559&amp;"/"&amp;D1562</f>
        <v>Coal fired power plants/Steam turbine/Electricity only/XS</v>
      </c>
      <c r="F1562" s="76" t="str">
        <f>A1533</f>
        <v>Coal fired power plants</v>
      </c>
      <c r="G1562" s="76" t="str">
        <f>B1559</f>
        <v>Steam turbine</v>
      </c>
      <c r="H1562" s="76" t="str">
        <f>C1559</f>
        <v>Electricity only</v>
      </c>
      <c r="I1562" s="161" t="str">
        <f t="shared" si="103"/>
        <v>XS</v>
      </c>
      <c r="J1562" s="119">
        <v>3.1164109026963662</v>
      </c>
      <c r="K1562" s="119">
        <v>3.1191653466306293</v>
      </c>
      <c r="L1562" s="119">
        <v>3.1219090196938502</v>
      </c>
      <c r="M1562" s="119">
        <v>3.1246406568353979</v>
      </c>
      <c r="N1562" s="119">
        <v>3.1273590194237046</v>
      </c>
      <c r="O1562" s="119">
        <v>3.1300628972246445</v>
      </c>
      <c r="P1562" s="119">
        <v>3.1327511102651395</v>
      </c>
      <c r="Q1562" s="119">
        <v>3.1354225105771314</v>
      </c>
      <c r="R1562" s="119">
        <v>3.1380759838178101</v>
      </c>
      <c r="S1562" s="119">
        <v>3.1407104507627102</v>
      </c>
      <c r="T1562" s="119">
        <v>3.143324868669064</v>
      </c>
      <c r="U1562" s="119">
        <v>3.1459182325075106</v>
      </c>
      <c r="V1562" s="119">
        <v>3.1484895760610132</v>
      </c>
      <c r="W1562" s="119">
        <v>3.1510379728905207</v>
      </c>
      <c r="X1562" s="119">
        <v>3.1535625371676179</v>
      </c>
      <c r="Y1562" s="119">
        <v>3.1560624243750461</v>
      </c>
      <c r="Z1562" s="119">
        <v>3.1585368318766207</v>
      </c>
      <c r="AA1562" s="119">
        <v>3.1609849993586558</v>
      </c>
      <c r="AB1562" s="119">
        <v>3.1634062091455575</v>
      </c>
      <c r="AC1562" s="119">
        <v>3.1657997863927609</v>
      </c>
      <c r="AD1562" s="119">
        <v>3.1681650991606736</v>
      </c>
      <c r="AE1562" s="119">
        <v>3.1705015583736769</v>
      </c>
      <c r="AF1562" s="119">
        <v>3.1728086176686627</v>
      </c>
      <c r="AG1562" s="119">
        <v>3.1750857731378859</v>
      </c>
      <c r="AH1562" s="119">
        <v>3.1773325629712121</v>
      </c>
      <c r="AI1562" s="119">
        <v>3.1795485670031001</v>
      </c>
      <c r="AJ1562" s="119">
        <v>3.1817334061698257</v>
      </c>
      <c r="AK1562" s="119">
        <v>3.1838867418826466</v>
      </c>
      <c r="AL1562" s="119">
        <v>3.1860082753226986</v>
      </c>
      <c r="AM1562" s="119">
        <v>3.188097746663483</v>
      </c>
      <c r="AN1562" s="119">
        <v>3.1901549342268765</v>
      </c>
      <c r="AO1562" s="119">
        <v>3.1921796535785409</v>
      </c>
      <c r="AP1562" s="119">
        <v>3.1941717565686201</v>
      </c>
      <c r="AQ1562" s="119">
        <v>3.1961311303235238</v>
      </c>
      <c r="AR1562" s="119">
        <v>3.1980576961945038</v>
      </c>
      <c r="AS1562" s="119">
        <v>3.1999514086686127</v>
      </c>
      <c r="AT1562" s="119">
        <v>3.2018122542474807</v>
      </c>
      <c r="AU1562" s="119">
        <v>3.2036402502991939</v>
      </c>
      <c r="AV1562" s="119">
        <v>3.2054354438883528</v>
      </c>
      <c r="AW1562" s="119">
        <v>3.2071979105892039</v>
      </c>
      <c r="AX1562" s="120">
        <v>3.208927753286519</v>
      </c>
    </row>
    <row r="1563" spans="1:50" x14ac:dyDescent="0.25">
      <c r="A1563" s="356"/>
      <c r="B1563" s="359"/>
      <c r="C1563" s="361" t="s">
        <v>14</v>
      </c>
      <c r="D1563" s="58" t="s">
        <v>7</v>
      </c>
      <c r="E1563" s="164" t="str">
        <f>A1533&amp;"/"&amp;B1559&amp;"/"&amp;C1563&amp;"/"&amp;D1563</f>
        <v>Coal fired power plants/Steam turbine/CHP/L</v>
      </c>
      <c r="F1563" s="78" t="str">
        <f>A1533</f>
        <v>Coal fired power plants</v>
      </c>
      <c r="G1563" s="78" t="str">
        <f>B1559</f>
        <v>Steam turbine</v>
      </c>
      <c r="H1563" s="78" t="str">
        <f>C1563</f>
        <v>CHP</v>
      </c>
      <c r="I1563" s="165" t="str">
        <f t="shared" si="103"/>
        <v>L</v>
      </c>
      <c r="J1563" s="123">
        <v>2.8037909289107734</v>
      </c>
      <c r="K1563" s="123">
        <v>2.8068886915006153</v>
      </c>
      <c r="L1563" s="123">
        <v>2.809982010947992</v>
      </c>
      <c r="M1563" s="123">
        <v>2.8130701868921659</v>
      </c>
      <c r="N1563" s="123">
        <v>2.8161525259358227</v>
      </c>
      <c r="O1563" s="123">
        <v>2.8192283422013658</v>
      </c>
      <c r="P1563" s="123">
        <v>2.822296957871123</v>
      </c>
      <c r="Q1563" s="123">
        <v>2.8253577037107278</v>
      </c>
      <c r="R1563" s="123">
        <v>2.8284099195749328</v>
      </c>
      <c r="S1563" s="123">
        <v>2.8314529548952105</v>
      </c>
      <c r="T1563" s="123">
        <v>2.8344861691485277</v>
      </c>
      <c r="U1563" s="123">
        <v>2.8375089323067431</v>
      </c>
      <c r="V1563" s="123">
        <v>2.8405206252661377</v>
      </c>
      <c r="W1563" s="123">
        <v>2.8435206402566364</v>
      </c>
      <c r="X1563" s="123">
        <v>2.8465083812303411</v>
      </c>
      <c r="Y1563" s="123">
        <v>2.8494832642290491</v>
      </c>
      <c r="Z1563" s="123">
        <v>2.8524447177304957</v>
      </c>
      <c r="AA1563" s="123">
        <v>2.8553921829730964</v>
      </c>
      <c r="AB1563" s="123">
        <v>2.8583251142590416</v>
      </c>
      <c r="AC1563" s="123">
        <v>2.8612429792356333</v>
      </c>
      <c r="AD1563" s="123">
        <v>2.8641452591548213</v>
      </c>
      <c r="AE1563" s="123">
        <v>2.8670314491109239</v>
      </c>
      <c r="AF1563" s="123">
        <v>2.8699010582566027</v>
      </c>
      <c r="AG1563" s="123">
        <v>2.872753609997182</v>
      </c>
      <c r="AH1563" s="123">
        <v>2.8755886421634527</v>
      </c>
      <c r="AI1563" s="123">
        <v>2.8784057071631688</v>
      </c>
      <c r="AJ1563" s="123">
        <v>2.8812043721114584</v>
      </c>
      <c r="AK1563" s="123">
        <v>2.8839842189404292</v>
      </c>
      <c r="AL1563" s="123">
        <v>2.8867448444882871</v>
      </c>
      <c r="AM1563" s="123">
        <v>2.889485860568318</v>
      </c>
      <c r="AN1563" s="123">
        <v>2.8922068940181243</v>
      </c>
      <c r="AO1563" s="123">
        <v>2.8949075867295275</v>
      </c>
      <c r="AP1563" s="123">
        <v>2.8975875956596018</v>
      </c>
      <c r="AQ1563" s="123">
        <v>2.9002465928233043</v>
      </c>
      <c r="AR1563" s="123">
        <v>2.9028842652682183</v>
      </c>
      <c r="AS1563" s="123">
        <v>2.9055003150319263</v>
      </c>
      <c r="AT1563" s="123">
        <v>2.9080944590825775</v>
      </c>
      <c r="AU1563" s="123">
        <v>2.910666429243201</v>
      </c>
      <c r="AV1563" s="123">
        <v>2.9132159721003643</v>
      </c>
      <c r="AW1563" s="123">
        <v>2.9157428488977746</v>
      </c>
      <c r="AX1563" s="124">
        <v>2.9182468354154243</v>
      </c>
    </row>
    <row r="1564" spans="1:50" x14ac:dyDescent="0.25">
      <c r="A1564" s="356"/>
      <c r="B1564" s="359"/>
      <c r="C1564" s="350"/>
      <c r="D1564" s="2" t="s">
        <v>8</v>
      </c>
      <c r="E1564" s="160" t="str">
        <f>A1533&amp;"/"&amp;B1559&amp;"/"&amp;C1563&amp;"/"&amp;D1564</f>
        <v>Coal fired power plants/Steam turbine/CHP/M</v>
      </c>
      <c r="F1564" s="76" t="str">
        <f>A1533</f>
        <v>Coal fired power plants</v>
      </c>
      <c r="G1564" s="76" t="str">
        <f>B1559</f>
        <v>Steam turbine</v>
      </c>
      <c r="H1564" s="76" t="str">
        <f>C1563</f>
        <v>CHP</v>
      </c>
      <c r="I1564" s="161" t="str">
        <f t="shared" si="103"/>
        <v>M</v>
      </c>
      <c r="J1564" s="119">
        <v>2.9698881052627106</v>
      </c>
      <c r="K1564" s="119">
        <v>2.9720946386143741</v>
      </c>
      <c r="L1564" s="119">
        <v>2.9742925217573108</v>
      </c>
      <c r="M1564" s="119">
        <v>2.9764813287546446</v>
      </c>
      <c r="N1564" s="119">
        <v>2.9786606421555164</v>
      </c>
      <c r="O1564" s="119">
        <v>2.9808300532446359</v>
      </c>
      <c r="P1564" s="119">
        <v>2.9829891622770521</v>
      </c>
      <c r="Q1564" s="119">
        <v>2.9851375786980037</v>
      </c>
      <c r="R1564" s="119">
        <v>2.987274921347737</v>
      </c>
      <c r="S1564" s="119">
        <v>2.9894008186512373</v>
      </c>
      <c r="T1564" s="119">
        <v>2.9915149087928192</v>
      </c>
      <c r="U1564" s="119">
        <v>2.9936168398756142</v>
      </c>
      <c r="V1564" s="119">
        <v>2.9957062700659502</v>
      </c>
      <c r="W1564" s="119">
        <v>2.9977828677227398</v>
      </c>
      <c r="X1564" s="119">
        <v>2.99984631151194</v>
      </c>
      <c r="Y1564" s="119">
        <v>3.0018962905062465</v>
      </c>
      <c r="Z1564" s="119">
        <v>3.0039325042701734</v>
      </c>
      <c r="AA1564" s="119">
        <v>3.005954662930713</v>
      </c>
      <c r="AB1564" s="119">
        <v>3.0079624872337929</v>
      </c>
      <c r="AC1564" s="119">
        <v>3.009955708586781</v>
      </c>
      <c r="AD1564" s="119">
        <v>3.0119340690873067</v>
      </c>
      <c r="AE1564" s="119">
        <v>3.0138973215386757</v>
      </c>
      <c r="AF1564" s="119">
        <v>3.0158452294522173</v>
      </c>
      <c r="AG1564" s="119">
        <v>3.0177775670368656</v>
      </c>
      <c r="AH1564" s="119">
        <v>3.0196941191763544</v>
      </c>
      <c r="AI1564" s="119">
        <v>3.0215946813943635</v>
      </c>
      <c r="AJ1564" s="119">
        <v>3.0234790598080203</v>
      </c>
      <c r="AK1564" s="119">
        <v>3.0253470710701351</v>
      </c>
      <c r="AL1564" s="119">
        <v>3.027198542300586</v>
      </c>
      <c r="AM1564" s="119">
        <v>3.0290333110072618</v>
      </c>
      <c r="AN1564" s="119">
        <v>3.0308512249969897</v>
      </c>
      <c r="AO1564" s="119">
        <v>3.0326521422768842</v>
      </c>
      <c r="AP1564" s="119">
        <v>3.0344359309465445</v>
      </c>
      <c r="AQ1564" s="119">
        <v>3.0362024690815517</v>
      </c>
      <c r="AR1564" s="119">
        <v>3.037951644608706</v>
      </c>
      <c r="AS1564" s="119">
        <v>3.0396833551734472</v>
      </c>
      <c r="AT1564" s="119">
        <v>3.0413975079999154</v>
      </c>
      <c r="AU1564" s="119">
        <v>3.0430940197440872</v>
      </c>
      <c r="AV1564" s="119">
        <v>3.0447728163404353</v>
      </c>
      <c r="AW1564" s="119">
        <v>3.0464338328425602</v>
      </c>
      <c r="AX1564" s="120">
        <v>3.0480770132582196</v>
      </c>
    </row>
    <row r="1565" spans="1:50" x14ac:dyDescent="0.25">
      <c r="A1565" s="356"/>
      <c r="B1565" s="359"/>
      <c r="C1565" s="350"/>
      <c r="D1565" s="2" t="s">
        <v>10</v>
      </c>
      <c r="E1565" s="160" t="str">
        <f>A1533&amp;"/"&amp;B1559&amp;"/"&amp;C1563&amp;"/"&amp;D1565</f>
        <v>Coal fired power plants/Steam turbine/CHP/S</v>
      </c>
      <c r="F1565" s="76" t="str">
        <f>A1533</f>
        <v>Coal fired power plants</v>
      </c>
      <c r="G1565" s="76" t="str">
        <f>B1559</f>
        <v>Steam turbine</v>
      </c>
      <c r="H1565" s="76" t="str">
        <f>C1563</f>
        <v>CHP</v>
      </c>
      <c r="I1565" s="161" t="str">
        <f t="shared" si="103"/>
        <v>S</v>
      </c>
      <c r="J1565" s="119">
        <v>3.8947221383249597</v>
      </c>
      <c r="K1565" s="119">
        <v>3.8964872982394718</v>
      </c>
      <c r="L1565" s="119">
        <v>3.8982409361257884</v>
      </c>
      <c r="M1565" s="119">
        <v>3.8999827999698682</v>
      </c>
      <c r="N1565" s="119">
        <v>3.9017126465144361</v>
      </c>
      <c r="O1565" s="119">
        <v>3.9034302413112454</v>
      </c>
      <c r="P1565" s="119">
        <v>3.9051353587618234</v>
      </c>
      <c r="Q1565" s="119">
        <v>3.9068277821468982</v>
      </c>
      <c r="R1565" s="119">
        <v>3.9085073036447304</v>
      </c>
      <c r="S1565" s="119">
        <v>3.9101737243385815</v>
      </c>
      <c r="T1565" s="119">
        <v>3.9118268542135839</v>
      </c>
      <c r="U1565" s="119">
        <v>3.9134665121432715</v>
      </c>
      <c r="V1565" s="119">
        <v>3.9150925258660689</v>
      </c>
      <c r="W1565" s="119">
        <v>3.916704731952025</v>
      </c>
      <c r="X1565" s="119">
        <v>3.9183029757601102</v>
      </c>
      <c r="Y1565" s="119">
        <v>3.9198871113863927</v>
      </c>
      <c r="Z1565" s="119">
        <v>3.9214570016034247</v>
      </c>
      <c r="AA1565" s="119">
        <v>3.9230125177911823</v>
      </c>
      <c r="AB1565" s="119">
        <v>3.9245535398598981</v>
      </c>
      <c r="AC1565" s="119">
        <v>3.9260799561651329</v>
      </c>
      <c r="AD1565" s="119">
        <v>3.9275916634154608</v>
      </c>
      <c r="AE1565" s="119">
        <v>3.9290885665731086</v>
      </c>
      <c r="AF1565" s="119">
        <v>3.9305705787479153</v>
      </c>
      <c r="AG1565" s="119">
        <v>3.932037621084985</v>
      </c>
      <c r="AH1565" s="119">
        <v>3.9334896226463818</v>
      </c>
      <c r="AI1565" s="119">
        <v>3.9349265202872448</v>
      </c>
      <c r="AJ1565" s="119">
        <v>3.936348258526674</v>
      </c>
      <c r="AK1565" s="119">
        <v>3.9377547894137459</v>
      </c>
      <c r="AL1565" s="119">
        <v>3.9391460723890299</v>
      </c>
      <c r="AM1565" s="119">
        <v>3.9405220741419384</v>
      </c>
      <c r="AN1565" s="119">
        <v>3.9418827684642714</v>
      </c>
      <c r="AO1565" s="119">
        <v>3.9432281361002892</v>
      </c>
      <c r="AP1565" s="119">
        <v>3.9445581645936625</v>
      </c>
      <c r="AQ1565" s="119">
        <v>3.9458728481316103</v>
      </c>
      <c r="AR1565" s="119">
        <v>3.9471721873865695</v>
      </c>
      <c r="AS1565" s="119">
        <v>3.9484561893556895</v>
      </c>
      <c r="AT1565" s="119">
        <v>3.9497248671984804</v>
      </c>
      <c r="AU1565" s="119">
        <v>3.9509782400729008</v>
      </c>
      <c r="AV1565" s="119">
        <v>3.9522163329701678</v>
      </c>
      <c r="AW1565" s="119">
        <v>3.9534391765485895</v>
      </c>
      <c r="AX1565" s="120">
        <v>3.95464680696668</v>
      </c>
    </row>
    <row r="1566" spans="1:50" x14ac:dyDescent="0.25">
      <c r="A1566" s="356"/>
      <c r="B1566" s="359"/>
      <c r="C1566" s="360"/>
      <c r="D1566" s="59" t="s">
        <v>20</v>
      </c>
      <c r="E1566" s="166" t="str">
        <f>A1533&amp;"/"&amp;B1559&amp;"/"&amp;C1563&amp;"/"&amp;D1566</f>
        <v>Coal fired power plants/Steam turbine/CHP/XS</v>
      </c>
      <c r="F1566" s="79" t="str">
        <f>A1533</f>
        <v>Coal fired power plants</v>
      </c>
      <c r="G1566" s="79" t="str">
        <f>B1559</f>
        <v>Steam turbine</v>
      </c>
      <c r="H1566" s="79" t="str">
        <f>C1563</f>
        <v>CHP</v>
      </c>
      <c r="I1566" s="167" t="str">
        <f t="shared" si="103"/>
        <v>XS</v>
      </c>
      <c r="J1566" s="125">
        <v>3.7949683689955784</v>
      </c>
      <c r="K1566" s="125">
        <v>3.7962906158651282</v>
      </c>
      <c r="L1566" s="125">
        <v>3.7976005331771847</v>
      </c>
      <c r="M1566" s="125">
        <v>3.7988980284525056</v>
      </c>
      <c r="N1566" s="125">
        <v>3.8001830161622081</v>
      </c>
      <c r="O1566" s="125">
        <v>3.8014554176475985</v>
      </c>
      <c r="P1566" s="125">
        <v>3.8027151610343974</v>
      </c>
      <c r="Q1566" s="125">
        <v>3.8039621811416708</v>
      </c>
      <c r="R1566" s="125">
        <v>3.8051964193857253</v>
      </c>
      <c r="S1566" s="125">
        <v>3.8064178236793018</v>
      </c>
      <c r="T1566" s="125">
        <v>3.8076263483263353</v>
      </c>
      <c r="U1566" s="125">
        <v>3.8088219539125912</v>
      </c>
      <c r="V1566" s="125">
        <v>3.8100046071924578</v>
      </c>
      <c r="W1566" s="125">
        <v>3.8111742809721942</v>
      </c>
      <c r="X1566" s="125">
        <v>3.8123309539899068</v>
      </c>
      <c r="Y1566" s="125">
        <v>3.8134746107925475</v>
      </c>
      <c r="Z1566" s="125">
        <v>3.8146052416102094</v>
      </c>
      <c r="AA1566" s="125">
        <v>3.8157228422279834</v>
      </c>
      <c r="AB1566" s="125">
        <v>3.8168274138556466</v>
      </c>
      <c r="AC1566" s="125">
        <v>3.8179189629954529</v>
      </c>
      <c r="AD1566" s="125">
        <v>3.8189975013082642</v>
      </c>
      <c r="AE1566" s="125">
        <v>3.8200630454782836</v>
      </c>
      <c r="AF1566" s="125">
        <v>3.8211156170766238</v>
      </c>
      <c r="AG1566" s="125">
        <v>3.8221552424239458</v>
      </c>
      <c r="AH1566" s="125">
        <v>3.8231819524524013</v>
      </c>
      <c r="AI1566" s="125">
        <v>3.8241957825670876</v>
      </c>
      <c r="AJ1566" s="125">
        <v>3.8251967725072284</v>
      </c>
      <c r="AK1566" s="125">
        <v>3.8261849662072938</v>
      </c>
      <c r="AL1566" s="125">
        <v>3.8271604116582343</v>
      </c>
      <c r="AM1566" s="125">
        <v>3.8281231607690396</v>
      </c>
      <c r="AN1566" s="125">
        <v>3.8290732692287759</v>
      </c>
      <c r="AO1566" s="125">
        <v>3.8300107963692955</v>
      </c>
      <c r="AP1566" s="125">
        <v>3.8309358050287603</v>
      </c>
      <c r="AQ1566" s="125">
        <v>3.8318483614161463</v>
      </c>
      <c r="AR1566" s="125">
        <v>3.8327485349768664</v>
      </c>
      <c r="AS1566" s="125">
        <v>3.8336363982596589</v>
      </c>
      <c r="AT1566" s="125">
        <v>3.8345120267848518</v>
      </c>
      <c r="AU1566" s="125">
        <v>3.8353754989141486</v>
      </c>
      <c r="AV1566" s="125">
        <v>3.8362268957220289</v>
      </c>
      <c r="AW1566" s="125">
        <v>3.8370663008688783</v>
      </c>
      <c r="AX1566" s="126">
        <v>3.8378938004759449</v>
      </c>
    </row>
    <row r="1567" spans="1:50" x14ac:dyDescent="0.25">
      <c r="A1567" s="356"/>
      <c r="B1567" s="359"/>
      <c r="C1567" s="361" t="s">
        <v>15</v>
      </c>
      <c r="D1567" s="58" t="s">
        <v>7</v>
      </c>
      <c r="E1567" s="164" t="str">
        <f>A1533&amp;"/"&amp;B1559&amp;"/"&amp;C1567&amp;"/"&amp;D1567</f>
        <v>Coal fired power plants/Steam turbine/Electricity only with CCS/L</v>
      </c>
      <c r="F1567" s="78" t="str">
        <f>A1533</f>
        <v>Coal fired power plants</v>
      </c>
      <c r="G1567" s="78" t="str">
        <f>B1559</f>
        <v>Steam turbine</v>
      </c>
      <c r="H1567" s="78" t="str">
        <f>C1567</f>
        <v>Electricity only with CCS</v>
      </c>
      <c r="I1567" s="165" t="str">
        <f t="shared" si="103"/>
        <v>L</v>
      </c>
      <c r="J1567" s="123" t="s">
        <v>112</v>
      </c>
      <c r="K1567" s="123" t="s">
        <v>112</v>
      </c>
      <c r="L1567" s="123" t="s">
        <v>112</v>
      </c>
      <c r="M1567" s="123" t="s">
        <v>112</v>
      </c>
      <c r="N1567" s="123" t="s">
        <v>112</v>
      </c>
      <c r="O1567" s="123" t="s">
        <v>112</v>
      </c>
      <c r="P1567" s="123" t="s">
        <v>112</v>
      </c>
      <c r="Q1567" s="123" t="s">
        <v>112</v>
      </c>
      <c r="R1567" s="123" t="s">
        <v>112</v>
      </c>
      <c r="S1567" s="123" t="s">
        <v>112</v>
      </c>
      <c r="T1567" s="123" t="s">
        <v>112</v>
      </c>
      <c r="U1567" s="123" t="s">
        <v>112</v>
      </c>
      <c r="V1567" s="123" t="s">
        <v>112</v>
      </c>
      <c r="W1567" s="123" t="s">
        <v>112</v>
      </c>
      <c r="X1567" s="123" t="s">
        <v>112</v>
      </c>
      <c r="Y1567" s="123" t="s">
        <v>112</v>
      </c>
      <c r="Z1567" s="123" t="s">
        <v>112</v>
      </c>
      <c r="AA1567" s="123" t="s">
        <v>112</v>
      </c>
      <c r="AB1567" s="123" t="s">
        <v>112</v>
      </c>
      <c r="AC1567" s="123" t="s">
        <v>112</v>
      </c>
      <c r="AD1567" s="123" t="s">
        <v>112</v>
      </c>
      <c r="AE1567" s="123">
        <v>5.5508482966105612</v>
      </c>
      <c r="AF1567" s="123">
        <v>5.5508482966105612</v>
      </c>
      <c r="AG1567" s="123">
        <v>5.5508482966105612</v>
      </c>
      <c r="AH1567" s="123">
        <v>5.5508482966105612</v>
      </c>
      <c r="AI1567" s="123">
        <v>5.5508482966105612</v>
      </c>
      <c r="AJ1567" s="123">
        <v>5.5508482966105612</v>
      </c>
      <c r="AK1567" s="123">
        <v>5.5508482966105612</v>
      </c>
      <c r="AL1567" s="123">
        <v>5.5508482966105612</v>
      </c>
      <c r="AM1567" s="123">
        <v>5.5508482966105612</v>
      </c>
      <c r="AN1567" s="123">
        <v>5.5508482966105612</v>
      </c>
      <c r="AO1567" s="123">
        <v>5.5508482966105612</v>
      </c>
      <c r="AP1567" s="123">
        <v>5.5508482966105612</v>
      </c>
      <c r="AQ1567" s="123">
        <v>5.5508482966105612</v>
      </c>
      <c r="AR1567" s="123">
        <v>5.5508482966105612</v>
      </c>
      <c r="AS1567" s="123">
        <v>5.5508482966105612</v>
      </c>
      <c r="AT1567" s="123">
        <v>5.5508482966105612</v>
      </c>
      <c r="AU1567" s="123">
        <v>5.5508482966105612</v>
      </c>
      <c r="AV1567" s="123">
        <v>5.5508482966105612</v>
      </c>
      <c r="AW1567" s="123">
        <v>5.5508482966105612</v>
      </c>
      <c r="AX1567" s="124">
        <v>5.5508482966105612</v>
      </c>
    </row>
    <row r="1568" spans="1:50" x14ac:dyDescent="0.25">
      <c r="A1568" s="356"/>
      <c r="B1568" s="359"/>
      <c r="C1568" s="360"/>
      <c r="D1568" s="59" t="s">
        <v>8</v>
      </c>
      <c r="E1568" s="166" t="str">
        <f>A1533&amp;"/"&amp;B1559&amp;"/"&amp;C1567&amp;"/"&amp;D1568</f>
        <v>Coal fired power plants/Steam turbine/Electricity only with CCS/M</v>
      </c>
      <c r="F1568" s="79" t="str">
        <f>A1533</f>
        <v>Coal fired power plants</v>
      </c>
      <c r="G1568" s="79" t="str">
        <f>B1559</f>
        <v>Steam turbine</v>
      </c>
      <c r="H1568" s="79" t="str">
        <f>C1567</f>
        <v>Electricity only with CCS</v>
      </c>
      <c r="I1568" s="167" t="str">
        <f t="shared" si="103"/>
        <v>M</v>
      </c>
      <c r="J1568" s="125" t="s">
        <v>112</v>
      </c>
      <c r="K1568" s="125" t="s">
        <v>112</v>
      </c>
      <c r="L1568" s="125" t="s">
        <v>112</v>
      </c>
      <c r="M1568" s="125" t="s">
        <v>112</v>
      </c>
      <c r="N1568" s="125" t="s">
        <v>112</v>
      </c>
      <c r="O1568" s="125" t="s">
        <v>112</v>
      </c>
      <c r="P1568" s="125" t="s">
        <v>112</v>
      </c>
      <c r="Q1568" s="125" t="s">
        <v>112</v>
      </c>
      <c r="R1568" s="125" t="s">
        <v>112</v>
      </c>
      <c r="S1568" s="125" t="s">
        <v>112</v>
      </c>
      <c r="T1568" s="125" t="s">
        <v>112</v>
      </c>
      <c r="U1568" s="125" t="s">
        <v>112</v>
      </c>
      <c r="V1568" s="125" t="s">
        <v>112</v>
      </c>
      <c r="W1568" s="125" t="s">
        <v>112</v>
      </c>
      <c r="X1568" s="125" t="s">
        <v>112</v>
      </c>
      <c r="Y1568" s="125" t="s">
        <v>112</v>
      </c>
      <c r="Z1568" s="125" t="s">
        <v>112</v>
      </c>
      <c r="AA1568" s="125" t="s">
        <v>112</v>
      </c>
      <c r="AB1568" s="125" t="s">
        <v>112</v>
      </c>
      <c r="AC1568" s="125" t="s">
        <v>112</v>
      </c>
      <c r="AD1568" s="125" t="s">
        <v>112</v>
      </c>
      <c r="AE1568" s="125">
        <v>6.3773470499125589</v>
      </c>
      <c r="AF1568" s="125">
        <v>6.3773470499125589</v>
      </c>
      <c r="AG1568" s="125">
        <v>6.3773470499125589</v>
      </c>
      <c r="AH1568" s="125">
        <v>6.3773470499125589</v>
      </c>
      <c r="AI1568" s="125">
        <v>6.3773470499125589</v>
      </c>
      <c r="AJ1568" s="125">
        <v>6.3773470499125589</v>
      </c>
      <c r="AK1568" s="125">
        <v>6.3773470499125589</v>
      </c>
      <c r="AL1568" s="125">
        <v>6.3773470499125589</v>
      </c>
      <c r="AM1568" s="125">
        <v>6.3773470499125589</v>
      </c>
      <c r="AN1568" s="125">
        <v>6.3773470499125589</v>
      </c>
      <c r="AO1568" s="125">
        <v>6.3773470499125589</v>
      </c>
      <c r="AP1568" s="125">
        <v>6.3773470499125589</v>
      </c>
      <c r="AQ1568" s="125">
        <v>6.3773470499125589</v>
      </c>
      <c r="AR1568" s="125">
        <v>6.3773470499125589</v>
      </c>
      <c r="AS1568" s="125">
        <v>6.3773470499125589</v>
      </c>
      <c r="AT1568" s="125">
        <v>6.3773470499125589</v>
      </c>
      <c r="AU1568" s="125">
        <v>6.3773470499125589</v>
      </c>
      <c r="AV1568" s="125">
        <v>6.3773470499125589</v>
      </c>
      <c r="AW1568" s="125">
        <v>6.3773470499125589</v>
      </c>
      <c r="AX1568" s="126">
        <v>6.3773470499125589</v>
      </c>
    </row>
    <row r="1569" spans="1:50" x14ac:dyDescent="0.25">
      <c r="A1569" s="356"/>
      <c r="B1569" s="359"/>
      <c r="C1569" s="361" t="s">
        <v>16</v>
      </c>
      <c r="D1569" s="2" t="s">
        <v>7</v>
      </c>
      <c r="E1569" s="160" t="str">
        <f>A1533&amp;"/"&amp;B1559&amp;"/"&amp;C1569&amp;"/"&amp;D1569</f>
        <v>Coal fired power plants/Steam turbine/CHP with CCS/L</v>
      </c>
      <c r="F1569" s="76" t="str">
        <f>A1533</f>
        <v>Coal fired power plants</v>
      </c>
      <c r="G1569" s="76" t="str">
        <f>B1559</f>
        <v>Steam turbine</v>
      </c>
      <c r="H1569" s="76" t="str">
        <f>C1569</f>
        <v>CHP with CCS</v>
      </c>
      <c r="I1569" s="161" t="str">
        <f t="shared" si="103"/>
        <v>L</v>
      </c>
      <c r="J1569" s="119" t="s">
        <v>112</v>
      </c>
      <c r="K1569" s="119" t="s">
        <v>112</v>
      </c>
      <c r="L1569" s="119" t="s">
        <v>112</v>
      </c>
      <c r="M1569" s="119" t="s">
        <v>112</v>
      </c>
      <c r="N1569" s="119" t="s">
        <v>112</v>
      </c>
      <c r="O1569" s="119" t="s">
        <v>112</v>
      </c>
      <c r="P1569" s="119" t="s">
        <v>112</v>
      </c>
      <c r="Q1569" s="119" t="s">
        <v>112</v>
      </c>
      <c r="R1569" s="119" t="s">
        <v>112</v>
      </c>
      <c r="S1569" s="119" t="s">
        <v>112</v>
      </c>
      <c r="T1569" s="119" t="s">
        <v>112</v>
      </c>
      <c r="U1569" s="119" t="s">
        <v>112</v>
      </c>
      <c r="V1569" s="119" t="s">
        <v>112</v>
      </c>
      <c r="W1569" s="119" t="s">
        <v>112</v>
      </c>
      <c r="X1569" s="119" t="s">
        <v>112</v>
      </c>
      <c r="Y1569" s="119" t="s">
        <v>112</v>
      </c>
      <c r="Z1569" s="119" t="s">
        <v>112</v>
      </c>
      <c r="AA1569" s="119" t="s">
        <v>112</v>
      </c>
      <c r="AB1569" s="119" t="s">
        <v>112</v>
      </c>
      <c r="AC1569" s="119" t="s">
        <v>112</v>
      </c>
      <c r="AD1569" s="119" t="s">
        <v>112</v>
      </c>
      <c r="AE1569" s="119">
        <v>6.17146847734967</v>
      </c>
      <c r="AF1569" s="119">
        <v>6.17146847734967</v>
      </c>
      <c r="AG1569" s="119">
        <v>6.17146847734967</v>
      </c>
      <c r="AH1569" s="119">
        <v>6.17146847734967</v>
      </c>
      <c r="AI1569" s="119">
        <v>6.17146847734967</v>
      </c>
      <c r="AJ1569" s="119">
        <v>6.17146847734967</v>
      </c>
      <c r="AK1569" s="119">
        <v>6.17146847734967</v>
      </c>
      <c r="AL1569" s="119">
        <v>6.17146847734967</v>
      </c>
      <c r="AM1569" s="119">
        <v>6.17146847734967</v>
      </c>
      <c r="AN1569" s="119">
        <v>6.17146847734967</v>
      </c>
      <c r="AO1569" s="119">
        <v>6.17146847734967</v>
      </c>
      <c r="AP1569" s="119">
        <v>6.17146847734967</v>
      </c>
      <c r="AQ1569" s="119">
        <v>6.17146847734967</v>
      </c>
      <c r="AR1569" s="119">
        <v>6.17146847734967</v>
      </c>
      <c r="AS1569" s="119">
        <v>6.17146847734967</v>
      </c>
      <c r="AT1569" s="119">
        <v>6.17146847734967</v>
      </c>
      <c r="AU1569" s="119">
        <v>6.17146847734967</v>
      </c>
      <c r="AV1569" s="119">
        <v>6.17146847734967</v>
      </c>
      <c r="AW1569" s="119">
        <v>6.17146847734967</v>
      </c>
      <c r="AX1569" s="120">
        <v>6.17146847734967</v>
      </c>
    </row>
    <row r="1570" spans="1:50" x14ac:dyDescent="0.25">
      <c r="A1570" s="357"/>
      <c r="B1570" s="362"/>
      <c r="C1570" s="354"/>
      <c r="D1570" s="4" t="s">
        <v>8</v>
      </c>
      <c r="E1570" s="168" t="str">
        <f>A1533&amp;"/"&amp;B1559&amp;"/"&amp;C1569&amp;"/"&amp;D1570</f>
        <v>Coal fired power plants/Steam turbine/CHP with CCS/M</v>
      </c>
      <c r="F1570" s="80" t="str">
        <f>A1533</f>
        <v>Coal fired power plants</v>
      </c>
      <c r="G1570" s="80" t="str">
        <f>B1559</f>
        <v>Steam turbine</v>
      </c>
      <c r="H1570" s="80" t="str">
        <f>C1569</f>
        <v>CHP with CCS</v>
      </c>
      <c r="I1570" s="169" t="str">
        <f t="shared" si="103"/>
        <v>M</v>
      </c>
      <c r="J1570" s="127" t="s">
        <v>112</v>
      </c>
      <c r="K1570" s="127" t="s">
        <v>112</v>
      </c>
      <c r="L1570" s="127" t="s">
        <v>112</v>
      </c>
      <c r="M1570" s="127" t="s">
        <v>112</v>
      </c>
      <c r="N1570" s="127" t="s">
        <v>112</v>
      </c>
      <c r="O1570" s="127" t="s">
        <v>112</v>
      </c>
      <c r="P1570" s="127" t="s">
        <v>112</v>
      </c>
      <c r="Q1570" s="127" t="s">
        <v>112</v>
      </c>
      <c r="R1570" s="127" t="s">
        <v>112</v>
      </c>
      <c r="S1570" s="127" t="s">
        <v>112</v>
      </c>
      <c r="T1570" s="127" t="s">
        <v>112</v>
      </c>
      <c r="U1570" s="127" t="s">
        <v>112</v>
      </c>
      <c r="V1570" s="127" t="s">
        <v>112</v>
      </c>
      <c r="W1570" s="127" t="s">
        <v>112</v>
      </c>
      <c r="X1570" s="127" t="s">
        <v>112</v>
      </c>
      <c r="Y1570" s="127" t="s">
        <v>112</v>
      </c>
      <c r="Z1570" s="127" t="s">
        <v>112</v>
      </c>
      <c r="AA1570" s="127" t="s">
        <v>112</v>
      </c>
      <c r="AB1570" s="127" t="s">
        <v>112</v>
      </c>
      <c r="AC1570" s="127" t="s">
        <v>112</v>
      </c>
      <c r="AD1570" s="127" t="s">
        <v>112</v>
      </c>
      <c r="AE1570" s="127">
        <v>6.9655619377140283</v>
      </c>
      <c r="AF1570" s="127">
        <v>6.9655619377140283</v>
      </c>
      <c r="AG1570" s="127">
        <v>6.9655619377140283</v>
      </c>
      <c r="AH1570" s="127">
        <v>6.9655619377140283</v>
      </c>
      <c r="AI1570" s="127">
        <v>6.9655619377140283</v>
      </c>
      <c r="AJ1570" s="127">
        <v>6.9655619377140283</v>
      </c>
      <c r="AK1570" s="127">
        <v>6.9655619377140283</v>
      </c>
      <c r="AL1570" s="127">
        <v>6.9655619377140283</v>
      </c>
      <c r="AM1570" s="127">
        <v>6.9655619377140283</v>
      </c>
      <c r="AN1570" s="127">
        <v>6.9655619377140283</v>
      </c>
      <c r="AO1570" s="127">
        <v>6.9655619377140283</v>
      </c>
      <c r="AP1570" s="127">
        <v>6.9655619377140283</v>
      </c>
      <c r="AQ1570" s="127">
        <v>6.9655619377140283</v>
      </c>
      <c r="AR1570" s="127">
        <v>6.9655619377140283</v>
      </c>
      <c r="AS1570" s="127">
        <v>6.9655619377140283</v>
      </c>
      <c r="AT1570" s="127">
        <v>6.9655619377140283</v>
      </c>
      <c r="AU1570" s="127">
        <v>6.9655619377140283</v>
      </c>
      <c r="AV1570" s="127">
        <v>6.9655619377140283</v>
      </c>
      <c r="AW1570" s="127">
        <v>6.9655619377140283</v>
      </c>
      <c r="AX1570" s="128">
        <v>6.9655619377140283</v>
      </c>
    </row>
    <row r="1571" spans="1:50" x14ac:dyDescent="0.25">
      <c r="A1571" s="355" t="s">
        <v>21</v>
      </c>
      <c r="B1571" s="358" t="s">
        <v>13</v>
      </c>
      <c r="C1571" s="353" t="s">
        <v>6</v>
      </c>
      <c r="D1571" s="3" t="s">
        <v>7</v>
      </c>
      <c r="E1571" s="162" t="str">
        <f>A1571&amp;"/"&amp;B1571&amp;"/"&amp;C1571&amp;"/"&amp;D1571</f>
        <v>Lignite fired power plants/Integrated gasification combined cycle/Electricity only/L</v>
      </c>
      <c r="F1571" s="77" t="str">
        <f>A1571</f>
        <v>Lignite fired power plants</v>
      </c>
      <c r="G1571" s="77" t="str">
        <f>B1571</f>
        <v>Integrated gasification combined cycle</v>
      </c>
      <c r="H1571" s="77" t="str">
        <f>C1571</f>
        <v>Electricity only</v>
      </c>
      <c r="I1571" s="163" t="str">
        <f t="shared" si="103"/>
        <v>L</v>
      </c>
      <c r="J1571" s="121">
        <v>5.5891765153195401</v>
      </c>
      <c r="K1571" s="121">
        <v>5.5891344156992986</v>
      </c>
      <c r="L1571" s="121">
        <v>5.589080361373961</v>
      </c>
      <c r="M1571" s="121">
        <v>5.5890109586267993</v>
      </c>
      <c r="N1571" s="121">
        <v>5.5889218509568845</v>
      </c>
      <c r="O1571" s="121">
        <v>5.5888074463484934</v>
      </c>
      <c r="P1571" s="121">
        <v>5.5886605675476773</v>
      </c>
      <c r="Q1571" s="121">
        <v>5.5884720037821793</v>
      </c>
      <c r="R1571" s="121">
        <v>5.5882299364328833</v>
      </c>
      <c r="S1571" s="121">
        <v>5.5879192036802587</v>
      </c>
      <c r="T1571" s="121">
        <v>5.5875203597471668</v>
      </c>
      <c r="U1571" s="121">
        <v>5.5870084726293179</v>
      </c>
      <c r="V1571" s="121">
        <v>5.5863515897038374</v>
      </c>
      <c r="W1571" s="121">
        <v>5.5855087829053929</v>
      </c>
      <c r="X1571" s="121">
        <v>5.5844276639300459</v>
      </c>
      <c r="Y1571" s="121">
        <v>5.5830412351098007</v>
      </c>
      <c r="Z1571" s="121">
        <v>5.5812639136962643</v>
      </c>
      <c r="AA1571" s="121">
        <v>5.5789865378592935</v>
      </c>
      <c r="AB1571" s="121">
        <v>5.5760701351817064</v>
      </c>
      <c r="AC1571" s="121">
        <v>5.5723382154341889</v>
      </c>
      <c r="AD1571" s="121">
        <v>5.5675673507653061</v>
      </c>
      <c r="AE1571" s="121">
        <v>5.561475848138751</v>
      </c>
      <c r="AF1571" s="121">
        <v>5.5537104332196865</v>
      </c>
      <c r="AG1571" s="121">
        <v>5.5438311018539377</v>
      </c>
      <c r="AH1571" s="121">
        <v>5.5312947277731448</v>
      </c>
      <c r="AI1571" s="121">
        <v>5.515438742385113</v>
      </c>
      <c r="AJ1571" s="121">
        <v>5.4954673445259798</v>
      </c>
      <c r="AK1571" s="121">
        <v>5.4704443697767351</v>
      </c>
      <c r="AL1571" s="121">
        <v>5.4392991928188934</v>
      </c>
      <c r="AM1571" s="121">
        <v>5.4008546852278094</v>
      </c>
      <c r="AN1571" s="121">
        <v>5.3538886980838889</v>
      </c>
      <c r="AO1571" s="121">
        <v>5.2972414334642828</v>
      </c>
      <c r="AP1571" s="121">
        <v>5.2299780860771836</v>
      </c>
      <c r="AQ1571" s="121">
        <v>5.1516061945730973</v>
      </c>
      <c r="AR1571" s="121">
        <v>5.0623277018640671</v>
      </c>
      <c r="AS1571" s="121">
        <v>4.9632776891576427</v>
      </c>
      <c r="AT1571" s="121">
        <v>4.8566733448522479</v>
      </c>
      <c r="AU1571" s="121">
        <v>4.7457852062713091</v>
      </c>
      <c r="AV1571" s="121">
        <v>4.6346685527191473</v>
      </c>
      <c r="AW1571" s="121">
        <v>4.527664028598628</v>
      </c>
      <c r="AX1571" s="122">
        <v>4.428771608171135</v>
      </c>
    </row>
    <row r="1572" spans="1:50" x14ac:dyDescent="0.25">
      <c r="A1572" s="356"/>
      <c r="B1572" s="359"/>
      <c r="C1572" s="360"/>
      <c r="D1572" s="2" t="s">
        <v>8</v>
      </c>
      <c r="E1572" s="160" t="str">
        <f>A1571&amp;"/"&amp;B1571&amp;"/"&amp;C1571&amp;"/"&amp;D1572</f>
        <v>Lignite fired power plants/Integrated gasification combined cycle/Electricity only/M</v>
      </c>
      <c r="F1572" s="76" t="str">
        <f>A1571</f>
        <v>Lignite fired power plants</v>
      </c>
      <c r="G1572" s="76" t="str">
        <f>B1571</f>
        <v>Integrated gasification combined cycle</v>
      </c>
      <c r="H1572" s="76" t="str">
        <f>C1571</f>
        <v>Electricity only</v>
      </c>
      <c r="I1572" s="161" t="str">
        <f t="shared" si="103"/>
        <v>M</v>
      </c>
      <c r="J1572" s="119">
        <v>6.0083647539685057</v>
      </c>
      <c r="K1572" s="119">
        <v>6.0081255690368724</v>
      </c>
      <c r="L1572" s="119">
        <v>6.0078334905246367</v>
      </c>
      <c r="M1572" s="119">
        <v>6.0074768384160002</v>
      </c>
      <c r="N1572" s="119">
        <v>6.0070413618151379</v>
      </c>
      <c r="O1572" s="119">
        <v>6.0065096771559032</v>
      </c>
      <c r="P1572" s="119">
        <v>6.0058605856569098</v>
      </c>
      <c r="Q1572" s="119">
        <v>6.0050682450566439</v>
      </c>
      <c r="R1572" s="119">
        <v>6.0041011659951211</v>
      </c>
      <c r="S1572" s="119">
        <v>6.0029209981201097</v>
      </c>
      <c r="T1572" s="119">
        <v>6.001481065145736</v>
      </c>
      <c r="U1572" s="119">
        <v>5.9997246018406303</v>
      </c>
      <c r="V1572" s="119">
        <v>5.9975826395988392</v>
      </c>
      <c r="W1572" s="119">
        <v>5.9949714814332502</v>
      </c>
      <c r="X1572" s="119">
        <v>5.9917897029016123</v>
      </c>
      <c r="Y1572" s="119">
        <v>5.9879146141780053</v>
      </c>
      <c r="Z1572" s="119">
        <v>5.9831981225976874</v>
      </c>
      <c r="AA1572" s="119">
        <v>5.9774619480809612</v>
      </c>
      <c r="AB1572" s="119">
        <v>5.9704921710291456</v>
      </c>
      <c r="AC1572" s="119">
        <v>5.9620331408275371</v>
      </c>
      <c r="AD1572" s="119">
        <v>5.9517808528340694</v>
      </c>
      <c r="AE1572" s="119">
        <v>5.9393760254922308</v>
      </c>
      <c r="AF1572" s="119">
        <v>5.9243972926676403</v>
      </c>
      <c r="AG1572" s="119">
        <v>5.9063551869126751</v>
      </c>
      <c r="AH1572" s="119">
        <v>5.884687943257215</v>
      </c>
      <c r="AI1572" s="119">
        <v>5.8587606087737942</v>
      </c>
      <c r="AJ1572" s="119">
        <v>5.8278694898987879</v>
      </c>
      <c r="AK1572" s="119">
        <v>5.7912545592158633</v>
      </c>
      <c r="AL1572" s="119">
        <v>5.7481229650580916</v>
      </c>
      <c r="AM1572" s="119">
        <v>5.6976870372763786</v>
      </c>
      <c r="AN1572" s="119">
        <v>5.6392198423203785</v>
      </c>
      <c r="AO1572" s="119">
        <v>5.5721299852759332</v>
      </c>
      <c r="AP1572" s="119">
        <v>5.4960545314178457</v>
      </c>
      <c r="AQ1572" s="119">
        <v>5.4109643320369241</v>
      </c>
      <c r="AR1572" s="119">
        <v>5.3172698788744945</v>
      </c>
      <c r="AS1572" s="119">
        <v>5.215909141279675</v>
      </c>
      <c r="AT1572" s="119">
        <v>5.1083938419613677</v>
      </c>
      <c r="AU1572" s="119">
        <v>4.996790350156969</v>
      </c>
      <c r="AV1572" s="119">
        <v>4.8836186594744699</v>
      </c>
      <c r="AW1572" s="119">
        <v>4.7716686006618572</v>
      </c>
      <c r="AX1572" s="120">
        <v>4.6637536238686863</v>
      </c>
    </row>
    <row r="1573" spans="1:50" x14ac:dyDescent="0.25">
      <c r="A1573" s="356"/>
      <c r="B1573" s="359"/>
      <c r="C1573" s="361" t="s">
        <v>14</v>
      </c>
      <c r="D1573" s="58" t="s">
        <v>7</v>
      </c>
      <c r="E1573" s="164" t="str">
        <f>A1571&amp;"/"&amp;B1571&amp;"/"&amp;C1573&amp;"/"&amp;D1573</f>
        <v>Lignite fired power plants/Integrated gasification combined cycle/CHP/L</v>
      </c>
      <c r="F1573" s="78" t="str">
        <f>A1571</f>
        <v>Lignite fired power plants</v>
      </c>
      <c r="G1573" s="78" t="str">
        <f>B1571</f>
        <v>Integrated gasification combined cycle</v>
      </c>
      <c r="H1573" s="78" t="str">
        <f>C1573</f>
        <v>CHP</v>
      </c>
      <c r="I1573" s="165" t="str">
        <f t="shared" si="103"/>
        <v>L</v>
      </c>
      <c r="J1573" s="123" t="s">
        <v>112</v>
      </c>
      <c r="K1573" s="123" t="s">
        <v>112</v>
      </c>
      <c r="L1573" s="123" t="s">
        <v>112</v>
      </c>
      <c r="M1573" s="123" t="s">
        <v>112</v>
      </c>
      <c r="N1573" s="123" t="s">
        <v>112</v>
      </c>
      <c r="O1573" s="123" t="s">
        <v>112</v>
      </c>
      <c r="P1573" s="123" t="s">
        <v>112</v>
      </c>
      <c r="Q1573" s="123" t="s">
        <v>112</v>
      </c>
      <c r="R1573" s="123" t="s">
        <v>112</v>
      </c>
      <c r="S1573" s="123" t="s">
        <v>112</v>
      </c>
      <c r="T1573" s="123">
        <v>6.2379775908514938</v>
      </c>
      <c r="U1573" s="123">
        <v>6.237446944706063</v>
      </c>
      <c r="V1573" s="123">
        <v>6.2367659891198581</v>
      </c>
      <c r="W1573" s="123">
        <v>6.2358922961446996</v>
      </c>
      <c r="X1573" s="123">
        <v>6.2347715576126763</v>
      </c>
      <c r="Y1573" s="123">
        <v>6.2333343206052891</v>
      </c>
      <c r="Z1573" s="123">
        <v>6.2314918660398186</v>
      </c>
      <c r="AA1573" s="123">
        <v>6.2291310316537816</v>
      </c>
      <c r="AB1573" s="123">
        <v>6.2261077521348707</v>
      </c>
      <c r="AC1573" s="123">
        <v>6.2222390694506853</v>
      </c>
      <c r="AD1573" s="123">
        <v>6.2172933678328075</v>
      </c>
      <c r="AE1573" s="123">
        <v>6.2109786310950481</v>
      </c>
      <c r="AF1573" s="123">
        <v>6.202928638526779</v>
      </c>
      <c r="AG1573" s="123">
        <v>6.1926872612272232</v>
      </c>
      <c r="AH1573" s="123">
        <v>6.1796914690853679</v>
      </c>
      <c r="AI1573" s="123">
        <v>6.1632544124867747</v>
      </c>
      <c r="AJ1573" s="123">
        <v>6.1425511266972075</v>
      </c>
      <c r="AK1573" s="123">
        <v>6.1166111398623952</v>
      </c>
      <c r="AL1573" s="123">
        <v>6.0843245916661726</v>
      </c>
      <c r="AM1573" s="123">
        <v>6.0444712156876159</v>
      </c>
      <c r="AN1573" s="123">
        <v>5.9957840751535336</v>
      </c>
      <c r="AO1573" s="123">
        <v>5.9370608692523215</v>
      </c>
      <c r="AP1573" s="123">
        <v>5.8673325350645777</v>
      </c>
      <c r="AQ1573" s="123">
        <v>5.7860885641055804</v>
      </c>
      <c r="AR1573" s="123">
        <v>5.6935382998499637</v>
      </c>
      <c r="AS1573" s="123">
        <v>5.5908584206053824</v>
      </c>
      <c r="AT1573" s="123">
        <v>5.4803473676419747</v>
      </c>
      <c r="AU1573" s="123">
        <v>5.3653955330279341</v>
      </c>
      <c r="AV1573" s="123">
        <v>5.2502068090989971</v>
      </c>
      <c r="AW1573" s="123">
        <v>5.1392809110086644</v>
      </c>
      <c r="AX1573" s="124">
        <v>5.0367643992965876</v>
      </c>
    </row>
    <row r="1574" spans="1:50" x14ac:dyDescent="0.25">
      <c r="A1574" s="356"/>
      <c r="B1574" s="359"/>
      <c r="C1574" s="360"/>
      <c r="D1574" s="59" t="s">
        <v>8</v>
      </c>
      <c r="E1574" s="166" t="str">
        <f>A1571&amp;"/"&amp;B1571&amp;"/"&amp;C1573&amp;"/"&amp;D1574</f>
        <v>Lignite fired power plants/Integrated gasification combined cycle/CHP/M</v>
      </c>
      <c r="F1574" s="79" t="str">
        <f>A1571</f>
        <v>Lignite fired power plants</v>
      </c>
      <c r="G1574" s="79" t="str">
        <f>B1571</f>
        <v>Integrated gasification combined cycle</v>
      </c>
      <c r="H1574" s="79" t="str">
        <f>C1573</f>
        <v>CHP</v>
      </c>
      <c r="I1574" s="167" t="str">
        <f t="shared" si="103"/>
        <v>M</v>
      </c>
      <c r="J1574" s="125" t="s">
        <v>112</v>
      </c>
      <c r="K1574" s="125" t="s">
        <v>112</v>
      </c>
      <c r="L1574" s="125" t="s">
        <v>112</v>
      </c>
      <c r="M1574" s="125" t="s">
        <v>112</v>
      </c>
      <c r="N1574" s="125" t="s">
        <v>112</v>
      </c>
      <c r="O1574" s="125" t="s">
        <v>112</v>
      </c>
      <c r="P1574" s="125" t="s">
        <v>112</v>
      </c>
      <c r="Q1574" s="125" t="s">
        <v>112</v>
      </c>
      <c r="R1574" s="125" t="s">
        <v>112</v>
      </c>
      <c r="S1574" s="125" t="s">
        <v>112</v>
      </c>
      <c r="T1574" s="125">
        <v>6.6351970276438976</v>
      </c>
      <c r="U1574" s="125">
        <v>6.6333729134216135</v>
      </c>
      <c r="V1574" s="125">
        <v>6.6311484526102289</v>
      </c>
      <c r="W1574" s="125">
        <v>6.6284367245982416</v>
      </c>
      <c r="X1574" s="125">
        <v>6.6251323985386872</v>
      </c>
      <c r="Y1574" s="125">
        <v>6.6211080591557945</v>
      </c>
      <c r="Z1574" s="125">
        <v>6.616209909934045</v>
      </c>
      <c r="AA1574" s="125">
        <v>6.6102528042620712</v>
      </c>
      <c r="AB1574" s="125">
        <v>6.6030145833385809</v>
      </c>
      <c r="AC1574" s="125">
        <v>6.594229750058763</v>
      </c>
      <c r="AD1574" s="125">
        <v>6.583582590914892</v>
      </c>
      <c r="AE1574" s="125">
        <v>6.5706999864713849</v>
      </c>
      <c r="AF1574" s="125">
        <v>6.5551443415013528</v>
      </c>
      <c r="AG1574" s="125">
        <v>6.5364073365141717</v>
      </c>
      <c r="AH1574" s="125">
        <v>6.5139055699274682</v>
      </c>
      <c r="AI1574" s="125">
        <v>6.4869796333368086</v>
      </c>
      <c r="AJ1574" s="125">
        <v>6.4548987301273071</v>
      </c>
      <c r="AK1574" s="125">
        <v>6.4168735601095319</v>
      </c>
      <c r="AL1574" s="125">
        <v>6.3720807346037365</v>
      </c>
      <c r="AM1574" s="125">
        <v>6.3197022460163392</v>
      </c>
      <c r="AN1574" s="125">
        <v>6.2589831626479464</v>
      </c>
      <c r="AO1574" s="125">
        <v>6.1893093117624911</v>
      </c>
      <c r="AP1574" s="125">
        <v>6.1103037800523801</v>
      </c>
      <c r="AQ1574" s="125">
        <v>6.0219362961337239</v>
      </c>
      <c r="AR1574" s="125">
        <v>5.9246331620085657</v>
      </c>
      <c r="AS1574" s="125">
        <v>5.8193684733069242</v>
      </c>
      <c r="AT1574" s="125">
        <v>5.7077121773686832</v>
      </c>
      <c r="AU1574" s="125">
        <v>5.5918102305047261</v>
      </c>
      <c r="AV1574" s="125">
        <v>5.4742796849284616</v>
      </c>
      <c r="AW1574" s="125">
        <v>5.3580178228833439</v>
      </c>
      <c r="AX1574" s="126">
        <v>5.2459464557255089</v>
      </c>
    </row>
    <row r="1575" spans="1:50" x14ac:dyDescent="0.25">
      <c r="A1575" s="356"/>
      <c r="B1575" s="359"/>
      <c r="C1575" s="361" t="s">
        <v>15</v>
      </c>
      <c r="D1575" s="58" t="s">
        <v>7</v>
      </c>
      <c r="E1575" s="164" t="str">
        <f>A1571&amp;"/"&amp;B1571&amp;"/"&amp;C1575&amp;"/"&amp;D1575</f>
        <v>Lignite fired power plants/Integrated gasification combined cycle/Electricity only with CCS/L</v>
      </c>
      <c r="F1575" s="78" t="str">
        <f>A1571</f>
        <v>Lignite fired power plants</v>
      </c>
      <c r="G1575" s="78" t="str">
        <f>B1571</f>
        <v>Integrated gasification combined cycle</v>
      </c>
      <c r="H1575" s="78" t="str">
        <f>C1575</f>
        <v>Electricity only with CCS</v>
      </c>
      <c r="I1575" s="165" t="str">
        <f t="shared" si="103"/>
        <v>L</v>
      </c>
      <c r="J1575" s="123" t="s">
        <v>112</v>
      </c>
      <c r="K1575" s="123" t="s">
        <v>112</v>
      </c>
      <c r="L1575" s="123" t="s">
        <v>112</v>
      </c>
      <c r="M1575" s="123" t="s">
        <v>112</v>
      </c>
      <c r="N1575" s="123" t="s">
        <v>112</v>
      </c>
      <c r="O1575" s="123" t="s">
        <v>112</v>
      </c>
      <c r="P1575" s="123" t="s">
        <v>112</v>
      </c>
      <c r="Q1575" s="123" t="s">
        <v>112</v>
      </c>
      <c r="R1575" s="123" t="s">
        <v>112</v>
      </c>
      <c r="S1575" s="123" t="s">
        <v>112</v>
      </c>
      <c r="T1575" s="123" t="s">
        <v>112</v>
      </c>
      <c r="U1575" s="123" t="s">
        <v>112</v>
      </c>
      <c r="V1575" s="123" t="s">
        <v>112</v>
      </c>
      <c r="W1575" s="123" t="s">
        <v>112</v>
      </c>
      <c r="X1575" s="123" t="s">
        <v>112</v>
      </c>
      <c r="Y1575" s="123" t="s">
        <v>112</v>
      </c>
      <c r="Z1575" s="123" t="s">
        <v>112</v>
      </c>
      <c r="AA1575" s="123" t="s">
        <v>112</v>
      </c>
      <c r="AB1575" s="123" t="s">
        <v>112</v>
      </c>
      <c r="AC1575" s="123" t="s">
        <v>112</v>
      </c>
      <c r="AD1575" s="123" t="s">
        <v>112</v>
      </c>
      <c r="AE1575" s="123">
        <v>6.2850139358052202</v>
      </c>
      <c r="AF1575" s="123">
        <v>6.284032483932001</v>
      </c>
      <c r="AG1575" s="123">
        <v>6.2827089152131572</v>
      </c>
      <c r="AH1575" s="123">
        <v>6.2809245633507524</v>
      </c>
      <c r="AI1575" s="123">
        <v>6.2785200840932029</v>
      </c>
      <c r="AJ1575" s="123">
        <v>6.27528190544019</v>
      </c>
      <c r="AK1575" s="123">
        <v>6.2709244868326177</v>
      </c>
      <c r="AL1575" s="123">
        <v>6.2650673570611604</v>
      </c>
      <c r="AM1575" s="123">
        <v>6.2572058762199791</v>
      </c>
      <c r="AN1575" s="123">
        <v>6.2466748790084621</v>
      </c>
      <c r="AO1575" s="123">
        <v>6.232605046370276</v>
      </c>
      <c r="AP1575" s="123">
        <v>6.2138734202558563</v>
      </c>
      <c r="AQ1575" s="123">
        <v>6.1890525312933269</v>
      </c>
      <c r="AR1575" s="123">
        <v>6.1563679610531041</v>
      </c>
      <c r="AS1575" s="123">
        <v>6.1136826224759151</v>
      </c>
      <c r="AT1575" s="123">
        <v>6.0585377885506011</v>
      </c>
      <c r="AU1575" s="123">
        <v>5.9882940163909195</v>
      </c>
      <c r="AV1575" s="123">
        <v>5.900423147873691</v>
      </c>
      <c r="AW1575" s="123">
        <v>5.7929919597756925</v>
      </c>
      <c r="AX1575" s="124">
        <v>5.6653290453407683</v>
      </c>
    </row>
    <row r="1576" spans="1:50" x14ac:dyDescent="0.25">
      <c r="A1576" s="356"/>
      <c r="B1576" s="359"/>
      <c r="C1576" s="360"/>
      <c r="D1576" s="59" t="s">
        <v>8</v>
      </c>
      <c r="E1576" s="166" t="str">
        <f>A1571&amp;"/"&amp;B1571&amp;"/"&amp;C1575&amp;"/"&amp;D1576</f>
        <v>Lignite fired power plants/Integrated gasification combined cycle/Electricity only with CCS/M</v>
      </c>
      <c r="F1576" s="79" t="str">
        <f>A1571</f>
        <v>Lignite fired power plants</v>
      </c>
      <c r="G1576" s="79" t="str">
        <f>B1571</f>
        <v>Integrated gasification combined cycle</v>
      </c>
      <c r="H1576" s="79" t="str">
        <f>C1575</f>
        <v>Electricity only with CCS</v>
      </c>
      <c r="I1576" s="167" t="str">
        <f t="shared" si="103"/>
        <v>M</v>
      </c>
      <c r="J1576" s="125" t="s">
        <v>112</v>
      </c>
      <c r="K1576" s="125" t="s">
        <v>112</v>
      </c>
      <c r="L1576" s="125" t="s">
        <v>112</v>
      </c>
      <c r="M1576" s="125" t="s">
        <v>112</v>
      </c>
      <c r="N1576" s="125" t="s">
        <v>112</v>
      </c>
      <c r="O1576" s="125" t="s">
        <v>112</v>
      </c>
      <c r="P1576" s="125" t="s">
        <v>112</v>
      </c>
      <c r="Q1576" s="125" t="s">
        <v>112</v>
      </c>
      <c r="R1576" s="125" t="s">
        <v>112</v>
      </c>
      <c r="S1576" s="125" t="s">
        <v>112</v>
      </c>
      <c r="T1576" s="125" t="s">
        <v>112</v>
      </c>
      <c r="U1576" s="125" t="s">
        <v>112</v>
      </c>
      <c r="V1576" s="125" t="s">
        <v>112</v>
      </c>
      <c r="W1576" s="125" t="s">
        <v>112</v>
      </c>
      <c r="X1576" s="125" t="s">
        <v>112</v>
      </c>
      <c r="Y1576" s="125" t="s">
        <v>112</v>
      </c>
      <c r="Z1576" s="125" t="s">
        <v>112</v>
      </c>
      <c r="AA1576" s="125" t="s">
        <v>112</v>
      </c>
      <c r="AB1576" s="125" t="s">
        <v>112</v>
      </c>
      <c r="AC1576" s="125" t="s">
        <v>112</v>
      </c>
      <c r="AD1576" s="125" t="s">
        <v>112</v>
      </c>
      <c r="AE1576" s="125">
        <v>6.7057816600025735</v>
      </c>
      <c r="AF1576" s="125">
        <v>6.7052664663652903</v>
      </c>
      <c r="AG1576" s="125">
        <v>6.7045357018152991</v>
      </c>
      <c r="AH1576" s="125">
        <v>6.7034993616220522</v>
      </c>
      <c r="AI1576" s="125">
        <v>6.7020300606715981</v>
      </c>
      <c r="AJ1576" s="125">
        <v>6.6999477091074349</v>
      </c>
      <c r="AK1576" s="125">
        <v>6.6969981079776471</v>
      </c>
      <c r="AL1576" s="125">
        <v>6.6928232575656628</v>
      </c>
      <c r="AM1576" s="125">
        <v>6.6869205802805212</v>
      </c>
      <c r="AN1576" s="125">
        <v>6.6785877403064244</v>
      </c>
      <c r="AO1576" s="125">
        <v>6.6668496106238075</v>
      </c>
      <c r="AP1576" s="125">
        <v>6.650364872791517</v>
      </c>
      <c r="AQ1576" s="125">
        <v>6.627313054273424</v>
      </c>
      <c r="AR1576" s="125">
        <v>6.5952708342884021</v>
      </c>
      <c r="AS1576" s="125">
        <v>6.5511027519597524</v>
      </c>
      <c r="AT1576" s="125">
        <v>6.4909202608869041</v>
      </c>
      <c r="AU1576" s="125">
        <v>6.4102061410365021</v>
      </c>
      <c r="AV1576" s="125">
        <v>6.3042492540070114</v>
      </c>
      <c r="AW1576" s="125">
        <v>6.1690512874183252</v>
      </c>
      <c r="AX1576" s="126">
        <v>6.0027755774531855</v>
      </c>
    </row>
    <row r="1577" spans="1:50" x14ac:dyDescent="0.25">
      <c r="A1577" s="356"/>
      <c r="B1577" s="359"/>
      <c r="C1577" s="361" t="s">
        <v>16</v>
      </c>
      <c r="D1577" s="2" t="s">
        <v>7</v>
      </c>
      <c r="E1577" s="160" t="str">
        <f>A1571&amp;"/"&amp;B1571&amp;"/"&amp;C1577&amp;"/"&amp;D1577</f>
        <v>Lignite fired power plants/Integrated gasification combined cycle/CHP with CCS/L</v>
      </c>
      <c r="F1577" s="76" t="str">
        <f>A1571</f>
        <v>Lignite fired power plants</v>
      </c>
      <c r="G1577" s="76" t="str">
        <f>B1571</f>
        <v>Integrated gasification combined cycle</v>
      </c>
      <c r="H1577" s="76" t="str">
        <f>C1577</f>
        <v>CHP with CCS</v>
      </c>
      <c r="I1577" s="161" t="str">
        <f t="shared" si="103"/>
        <v>L</v>
      </c>
      <c r="J1577" s="119" t="s">
        <v>112</v>
      </c>
      <c r="K1577" s="119" t="s">
        <v>112</v>
      </c>
      <c r="L1577" s="119" t="s">
        <v>112</v>
      </c>
      <c r="M1577" s="119" t="s">
        <v>112</v>
      </c>
      <c r="N1577" s="119" t="s">
        <v>112</v>
      </c>
      <c r="O1577" s="119" t="s">
        <v>112</v>
      </c>
      <c r="P1577" s="119" t="s">
        <v>112</v>
      </c>
      <c r="Q1577" s="119" t="s">
        <v>112</v>
      </c>
      <c r="R1577" s="119" t="s">
        <v>112</v>
      </c>
      <c r="S1577" s="119" t="s">
        <v>112</v>
      </c>
      <c r="T1577" s="119" t="s">
        <v>112</v>
      </c>
      <c r="U1577" s="119" t="s">
        <v>112</v>
      </c>
      <c r="V1577" s="119" t="s">
        <v>112</v>
      </c>
      <c r="W1577" s="119" t="s">
        <v>112</v>
      </c>
      <c r="X1577" s="119" t="s">
        <v>112</v>
      </c>
      <c r="Y1577" s="119" t="s">
        <v>112</v>
      </c>
      <c r="Z1577" s="119" t="s">
        <v>112</v>
      </c>
      <c r="AA1577" s="119" t="s">
        <v>112</v>
      </c>
      <c r="AB1577" s="119" t="s">
        <v>112</v>
      </c>
      <c r="AC1577" s="119" t="s">
        <v>112</v>
      </c>
      <c r="AD1577" s="119" t="s">
        <v>112</v>
      </c>
      <c r="AE1577" s="119">
        <v>6.691435761437563</v>
      </c>
      <c r="AF1577" s="119">
        <v>6.690454198698216</v>
      </c>
      <c r="AG1577" s="119">
        <v>6.6891304804672655</v>
      </c>
      <c r="AH1577" s="119">
        <v>6.6873459270420694</v>
      </c>
      <c r="AI1577" s="119">
        <v>6.6849411761713</v>
      </c>
      <c r="AJ1577" s="119">
        <v>6.6817026317292632</v>
      </c>
      <c r="AK1577" s="119">
        <v>6.6773447209018091</v>
      </c>
      <c r="AL1577" s="119">
        <v>6.6714869295010759</v>
      </c>
      <c r="AM1577" s="119">
        <v>6.6636245606164204</v>
      </c>
      <c r="AN1577" s="119">
        <v>6.6530923738092609</v>
      </c>
      <c r="AO1577" s="119">
        <v>6.6390209518238095</v>
      </c>
      <c r="AP1577" s="119">
        <v>6.6202872097596499</v>
      </c>
      <c r="AQ1577" s="119">
        <v>6.5954635169960403</v>
      </c>
      <c r="AR1577" s="119">
        <v>6.5627752546626983</v>
      </c>
      <c r="AS1577" s="119">
        <v>6.5200850942921154</v>
      </c>
      <c r="AT1577" s="119">
        <v>6.4649340311320147</v>
      </c>
      <c r="AU1577" s="119">
        <v>6.3946823241411277</v>
      </c>
      <c r="AV1577" s="119">
        <v>6.3068015296121249</v>
      </c>
      <c r="AW1577" s="119">
        <v>6.1993582059422812</v>
      </c>
      <c r="AX1577" s="120">
        <v>6.0716808705324281</v>
      </c>
    </row>
    <row r="1578" spans="1:50" x14ac:dyDescent="0.25">
      <c r="A1578" s="356"/>
      <c r="B1578" s="359"/>
      <c r="C1578" s="354"/>
      <c r="D1578" s="2" t="s">
        <v>8</v>
      </c>
      <c r="E1578" s="168" t="str">
        <f>A1571&amp;"/"&amp;B1571&amp;"/"&amp;C1577&amp;"/"&amp;D1578</f>
        <v>Lignite fired power plants/Integrated gasification combined cycle/CHP with CCS/M</v>
      </c>
      <c r="F1578" s="80" t="str">
        <f>A1571</f>
        <v>Lignite fired power plants</v>
      </c>
      <c r="G1578" s="80" t="str">
        <f>B1571</f>
        <v>Integrated gasification combined cycle</v>
      </c>
      <c r="H1578" s="80" t="str">
        <f>C1577</f>
        <v>CHP with CCS</v>
      </c>
      <c r="I1578" s="169" t="str">
        <f t="shared" si="103"/>
        <v>M</v>
      </c>
      <c r="J1578" s="127" t="s">
        <v>112</v>
      </c>
      <c r="K1578" s="127" t="s">
        <v>112</v>
      </c>
      <c r="L1578" s="127" t="s">
        <v>112</v>
      </c>
      <c r="M1578" s="127" t="s">
        <v>112</v>
      </c>
      <c r="N1578" s="127" t="s">
        <v>112</v>
      </c>
      <c r="O1578" s="127" t="s">
        <v>112</v>
      </c>
      <c r="P1578" s="127" t="s">
        <v>112</v>
      </c>
      <c r="Q1578" s="127" t="s">
        <v>112</v>
      </c>
      <c r="R1578" s="127" t="s">
        <v>112</v>
      </c>
      <c r="S1578" s="127" t="s">
        <v>112</v>
      </c>
      <c r="T1578" s="127" t="s">
        <v>112</v>
      </c>
      <c r="U1578" s="127" t="s">
        <v>112</v>
      </c>
      <c r="V1578" s="127" t="s">
        <v>112</v>
      </c>
      <c r="W1578" s="127" t="s">
        <v>112</v>
      </c>
      <c r="X1578" s="127" t="s">
        <v>112</v>
      </c>
      <c r="Y1578" s="127" t="s">
        <v>112</v>
      </c>
      <c r="Z1578" s="127" t="s">
        <v>112</v>
      </c>
      <c r="AA1578" s="127" t="s">
        <v>112</v>
      </c>
      <c r="AB1578" s="127" t="s">
        <v>112</v>
      </c>
      <c r="AC1578" s="127" t="s">
        <v>112</v>
      </c>
      <c r="AD1578" s="127" t="s">
        <v>112</v>
      </c>
      <c r="AE1578" s="127">
        <v>7.0961463929108533</v>
      </c>
      <c r="AF1578" s="127">
        <v>7.0956323670235619</v>
      </c>
      <c r="AG1578" s="127">
        <v>7.0949032588416525</v>
      </c>
      <c r="AH1578" s="127">
        <v>7.0938692676414146</v>
      </c>
      <c r="AI1578" s="127">
        <v>7.0924032970429849</v>
      </c>
      <c r="AJ1578" s="127">
        <v>7.0903256653857571</v>
      </c>
      <c r="AK1578" s="127">
        <v>7.0873827498911286</v>
      </c>
      <c r="AL1578" s="127">
        <v>7.0832173622930865</v>
      </c>
      <c r="AM1578" s="127">
        <v>7.0773280641548366</v>
      </c>
      <c r="AN1578" s="127">
        <v>7.0690141115914269</v>
      </c>
      <c r="AO1578" s="127">
        <v>7.0573025878290849</v>
      </c>
      <c r="AP1578" s="127">
        <v>7.040855214690521</v>
      </c>
      <c r="AQ1578" s="127">
        <v>7.0178556459653914</v>
      </c>
      <c r="AR1578" s="127">
        <v>6.9858860536283336</v>
      </c>
      <c r="AS1578" s="127">
        <v>6.9418180837118744</v>
      </c>
      <c r="AT1578" s="127">
        <v>6.8817720036859917</v>
      </c>
      <c r="AU1578" s="127">
        <v>6.8012408323542957</v>
      </c>
      <c r="AV1578" s="127">
        <v>6.6955241096921361</v>
      </c>
      <c r="AW1578" s="127">
        <v>6.5606325859881052</v>
      </c>
      <c r="AX1578" s="128">
        <v>6.3947337604502632</v>
      </c>
    </row>
    <row r="1579" spans="1:50" x14ac:dyDescent="0.25">
      <c r="A1579" s="356"/>
      <c r="B1579" s="358" t="s">
        <v>17</v>
      </c>
      <c r="C1579" s="353" t="s">
        <v>6</v>
      </c>
      <c r="D1579" s="3" t="s">
        <v>7</v>
      </c>
      <c r="E1579" s="162" t="str">
        <f>A1571&amp;"/"&amp;B1579&amp;"/"&amp;C1579&amp;"/"&amp;D1579</f>
        <v>Lignite fired power plants/Supercritical steam turbine/Electricity only/L</v>
      </c>
      <c r="F1579" s="77" t="str">
        <f>A1571</f>
        <v>Lignite fired power plants</v>
      </c>
      <c r="G1579" s="77" t="str">
        <f>B1579</f>
        <v>Supercritical steam turbine</v>
      </c>
      <c r="H1579" s="77" t="str">
        <f>C1579</f>
        <v>Electricity only</v>
      </c>
      <c r="I1579" s="163" t="str">
        <f t="shared" si="103"/>
        <v>L</v>
      </c>
      <c r="J1579" s="121">
        <v>3.9042873890470604</v>
      </c>
      <c r="K1579" s="121">
        <v>3.9040569468616497</v>
      </c>
      <c r="L1579" s="121">
        <v>3.9037756969834287</v>
      </c>
      <c r="M1579" s="121">
        <v>3.9034324947736985</v>
      </c>
      <c r="N1579" s="121">
        <v>3.903013779157257</v>
      </c>
      <c r="O1579" s="121">
        <v>3.9025030624692771</v>
      </c>
      <c r="P1579" s="121">
        <v>3.9018803193810379</v>
      </c>
      <c r="Q1579" s="121">
        <v>3.9011212583176476</v>
      </c>
      <c r="R1579" s="121">
        <v>3.9001964578120782</v>
      </c>
      <c r="S1579" s="121">
        <v>3.8990703502837594</v>
      </c>
      <c r="T1579" s="121">
        <v>3.8977000375332418</v>
      </c>
      <c r="U1579" s="121">
        <v>3.8960339269133923</v>
      </c>
      <c r="V1579" s="121">
        <v>3.8940101862659473</v>
      </c>
      <c r="W1579" s="121">
        <v>3.891555031528295</v>
      </c>
      <c r="X1579" s="121">
        <v>3.8885808864247955</v>
      </c>
      <c r="Y1579" s="121">
        <v>3.884984492731514</v>
      </c>
      <c r="Z1579" s="121">
        <v>3.8806451069118717</v>
      </c>
      <c r="AA1579" s="121">
        <v>3.8754229995215441</v>
      </c>
      <c r="AB1579" s="121">
        <v>3.869158582076877</v>
      </c>
      <c r="AC1579" s="121">
        <v>3.8616726237043513</v>
      </c>
      <c r="AD1579" s="121">
        <v>3.8527681819656818</v>
      </c>
      <c r="AE1579" s="121">
        <v>3.8422350415440496</v>
      </c>
      <c r="AF1579" s="121">
        <v>3.8298575933353685</v>
      </c>
      <c r="AG1579" s="121">
        <v>3.8154271278731482</v>
      </c>
      <c r="AH1579" s="121">
        <v>3.7987593584013384</v>
      </c>
      <c r="AI1579" s="121">
        <v>3.7797174970784693</v>
      </c>
      <c r="AJ1579" s="121">
        <v>3.7582402470911447</v>
      </c>
      <c r="AK1579" s="121">
        <v>3.7343725713941009</v>
      </c>
      <c r="AL1579" s="121">
        <v>3.7082951534700435</v>
      </c>
      <c r="AM1579" s="121">
        <v>3.6803464698542516</v>
      </c>
      <c r="AN1579" s="121">
        <v>3.6510301020618781</v>
      </c>
      <c r="AO1579" s="121">
        <v>3.621000328228551</v>
      </c>
      <c r="AP1579" s="121">
        <v>3.5910220049862049</v>
      </c>
      <c r="AQ1579" s="121">
        <v>3.5619063542114424</v>
      </c>
      <c r="AR1579" s="121">
        <v>3.5344312683142318</v>
      </c>
      <c r="AS1579" s="121">
        <v>3.5092606496271856</v>
      </c>
      <c r="AT1579" s="121">
        <v>3.4868793400037759</v>
      </c>
      <c r="AU1579" s="121">
        <v>3.4675568948161697</v>
      </c>
      <c r="AV1579" s="121">
        <v>3.4513457292467935</v>
      </c>
      <c r="AW1579" s="121">
        <v>3.438110058794003</v>
      </c>
      <c r="AX1579" s="122">
        <v>3.4275751122421214</v>
      </c>
    </row>
    <row r="1580" spans="1:50" x14ac:dyDescent="0.25">
      <c r="A1580" s="356"/>
      <c r="B1580" s="359"/>
      <c r="C1580" s="360"/>
      <c r="D1580" s="2" t="s">
        <v>8</v>
      </c>
      <c r="E1580" s="160" t="str">
        <f>A1571&amp;"/"&amp;B1579&amp;"/"&amp;C1579&amp;"/"&amp;D1580</f>
        <v>Lignite fired power plants/Supercritical steam turbine/Electricity only/M</v>
      </c>
      <c r="F1580" s="76" t="str">
        <f>A1571</f>
        <v>Lignite fired power plants</v>
      </c>
      <c r="G1580" s="76" t="str">
        <f>B1579</f>
        <v>Supercritical steam turbine</v>
      </c>
      <c r="H1580" s="76" t="str">
        <f>C1579</f>
        <v>Electricity only</v>
      </c>
      <c r="I1580" s="161" t="str">
        <f t="shared" si="103"/>
        <v>M</v>
      </c>
      <c r="J1580" s="119">
        <v>4.255673254061298</v>
      </c>
      <c r="K1580" s="119">
        <v>4.2552148073330462</v>
      </c>
      <c r="L1580" s="119">
        <v>4.2546692571026652</v>
      </c>
      <c r="M1580" s="119">
        <v>4.2540201838684943</v>
      </c>
      <c r="N1580" s="119">
        <v>4.2532481271149685</v>
      </c>
      <c r="O1580" s="119">
        <v>4.2523300446771843</v>
      </c>
      <c r="P1580" s="119">
        <v>4.2512386854576008</v>
      </c>
      <c r="Q1580" s="119">
        <v>4.2499418656615484</v>
      </c>
      <c r="R1580" s="119">
        <v>4.2484016394726476</v>
      </c>
      <c r="S1580" s="119">
        <v>4.2465733569667545</v>
      </c>
      <c r="T1580" s="119">
        <v>4.2444046056070279</v>
      </c>
      <c r="U1580" s="119">
        <v>4.2418340376059476</v>
      </c>
      <c r="V1580" s="119">
        <v>4.2387900947461663</v>
      </c>
      <c r="W1580" s="119">
        <v>4.2351896561482132</v>
      </c>
      <c r="X1580" s="119">
        <v>4.2309366544591978</v>
      </c>
      <c r="Y1580" s="119">
        <v>4.2259207337422193</v>
      </c>
      <c r="Z1580" s="119">
        <v>4.2200160597888665</v>
      </c>
      <c r="AA1580" s="119">
        <v>4.2130804422559542</v>
      </c>
      <c r="AB1580" s="119">
        <v>4.2049549887571507</v>
      </c>
      <c r="AC1580" s="119">
        <v>4.1954645829135515</v>
      </c>
      <c r="AD1580" s="119">
        <v>4.1844195573373373</v>
      </c>
      <c r="AE1580" s="119">
        <v>4.1716190094561201</v>
      </c>
      <c r="AF1580" s="119">
        <v>4.1568562664118973</v>
      </c>
      <c r="AG1580" s="119">
        <v>4.1399270187042605</v>
      </c>
      <c r="AH1580" s="119">
        <v>4.1206405736577079</v>
      </c>
      <c r="AI1580" s="119">
        <v>4.0988344830569421</v>
      </c>
      <c r="AJ1580" s="119">
        <v>4.0743924268103733</v>
      </c>
      <c r="AK1580" s="119">
        <v>4.0472646531207346</v>
      </c>
      <c r="AL1580" s="119">
        <v>4.0174894922699549</v>
      </c>
      <c r="AM1580" s="119">
        <v>3.9852135547825478</v>
      </c>
      <c r="AN1580" s="119">
        <v>3.9507073739437426</v>
      </c>
      <c r="AO1580" s="119">
        <v>3.9143727378122097</v>
      </c>
      <c r="AP1580" s="119">
        <v>3.8767381118852713</v>
      </c>
      <c r="AQ1580" s="119">
        <v>3.8384396584050307</v>
      </c>
      <c r="AR1580" s="119">
        <v>3.8001874751442495</v>
      </c>
      <c r="AS1580" s="119">
        <v>3.7627195141396754</v>
      </c>
      <c r="AT1580" s="119">
        <v>3.7267485287188276</v>
      </c>
      <c r="AU1580" s="119">
        <v>3.6929094495901951</v>
      </c>
      <c r="AV1580" s="119">
        <v>3.6617150397193035</v>
      </c>
      <c r="AW1580" s="119">
        <v>3.6335262312438128</v>
      </c>
      <c r="AX1580" s="120">
        <v>3.6085405715592502</v>
      </c>
    </row>
    <row r="1581" spans="1:50" x14ac:dyDescent="0.25">
      <c r="A1581" s="356"/>
      <c r="B1581" s="359"/>
      <c r="C1581" s="361" t="s">
        <v>14</v>
      </c>
      <c r="D1581" s="58" t="s">
        <v>7</v>
      </c>
      <c r="E1581" s="164" t="str">
        <f>A1571&amp;"/"&amp;B1579&amp;"/"&amp;C1581&amp;"/"&amp;D1581</f>
        <v>Lignite fired power plants/Supercritical steam turbine/CHP/L</v>
      </c>
      <c r="F1581" s="78" t="str">
        <f>A1571</f>
        <v>Lignite fired power plants</v>
      </c>
      <c r="G1581" s="78" t="str">
        <f>B1579</f>
        <v>Supercritical steam turbine</v>
      </c>
      <c r="H1581" s="78" t="str">
        <f>C1581</f>
        <v>CHP</v>
      </c>
      <c r="I1581" s="165" t="str">
        <f t="shared" si="103"/>
        <v>L</v>
      </c>
      <c r="J1581" s="123">
        <v>4.7785204567770361</v>
      </c>
      <c r="K1581" s="123">
        <v>4.7782818059247623</v>
      </c>
      <c r="L1581" s="123">
        <v>4.7779905375399387</v>
      </c>
      <c r="M1581" s="123">
        <v>4.7776351099965444</v>
      </c>
      <c r="N1581" s="123">
        <v>4.7772014791552717</v>
      </c>
      <c r="O1581" s="123">
        <v>4.7766725700380448</v>
      </c>
      <c r="P1581" s="123">
        <v>4.7760276439864562</v>
      </c>
      <c r="Q1581" s="123">
        <v>4.7752415441263807</v>
      </c>
      <c r="R1581" s="123">
        <v>4.7742838009577637</v>
      </c>
      <c r="S1581" s="123">
        <v>4.7731175799340066</v>
      </c>
      <c r="T1581" s="123">
        <v>4.7716984547629311</v>
      </c>
      <c r="U1581" s="123">
        <v>4.7699729949965155</v>
      </c>
      <c r="V1581" s="123">
        <v>4.7678771659301695</v>
      </c>
      <c r="W1581" s="123">
        <v>4.7653345552117239</v>
      </c>
      <c r="X1581" s="123">
        <v>4.7622544669784261</v>
      </c>
      <c r="Y1581" s="123">
        <v>4.7585299648067094</v>
      </c>
      <c r="Z1581" s="123">
        <v>4.7540360041095333</v>
      </c>
      <c r="AA1581" s="123">
        <v>4.748627878088028</v>
      </c>
      <c r="AB1581" s="123">
        <v>4.7421403134977576</v>
      </c>
      <c r="AC1581" s="123">
        <v>4.7343876950155437</v>
      </c>
      <c r="AD1581" s="123">
        <v>4.7251660648431972</v>
      </c>
      <c r="AE1581" s="123">
        <v>4.7142577195058513</v>
      </c>
      <c r="AF1581" s="123">
        <v>4.7014393696072654</v>
      </c>
      <c r="AG1581" s="123">
        <v>4.6864948711633589</v>
      </c>
      <c r="AH1581" s="123">
        <v>4.6692333728709423</v>
      </c>
      <c r="AI1581" s="123">
        <v>4.6495132143179321</v>
      </c>
      <c r="AJ1581" s="123">
        <v>4.627270915214325</v>
      </c>
      <c r="AK1581" s="123">
        <v>4.6025530401570016</v>
      </c>
      <c r="AL1581" s="123">
        <v>4.5755467088222641</v>
      </c>
      <c r="AM1581" s="123">
        <v>4.5466024547440451</v>
      </c>
      <c r="AN1581" s="123">
        <v>4.5162417977020963</v>
      </c>
      <c r="AO1581" s="123">
        <v>4.4851423221170572</v>
      </c>
      <c r="AP1581" s="123">
        <v>4.4540961298636521</v>
      </c>
      <c r="AQ1581" s="123">
        <v>4.4239433396549126</v>
      </c>
      <c r="AR1581" s="123">
        <v>4.3954895534958949</v>
      </c>
      <c r="AS1581" s="123">
        <v>4.369422322831328</v>
      </c>
      <c r="AT1581" s="123">
        <v>4.3462437602468196</v>
      </c>
      <c r="AU1581" s="123">
        <v>4.3262330230467843</v>
      </c>
      <c r="AV1581" s="123">
        <v>4.3094443935143731</v>
      </c>
      <c r="AW1581" s="123">
        <v>4.2957372503176661</v>
      </c>
      <c r="AX1581" s="124">
        <v>4.2848270345132322</v>
      </c>
    </row>
    <row r="1582" spans="1:50" x14ac:dyDescent="0.25">
      <c r="A1582" s="356"/>
      <c r="B1582" s="359"/>
      <c r="C1582" s="360"/>
      <c r="D1582" s="59" t="s">
        <v>8</v>
      </c>
      <c r="E1582" s="166" t="str">
        <f>A1571&amp;"/"&amp;B1579&amp;"/"&amp;C1581&amp;"/"&amp;D1582</f>
        <v>Lignite fired power plants/Supercritical steam turbine/CHP/M</v>
      </c>
      <c r="F1582" s="79" t="str">
        <f>A1571</f>
        <v>Lignite fired power plants</v>
      </c>
      <c r="G1582" s="79" t="str">
        <f>B1579</f>
        <v>Supercritical steam turbine</v>
      </c>
      <c r="H1582" s="79" t="str">
        <f>C1581</f>
        <v>CHP</v>
      </c>
      <c r="I1582" s="167" t="str">
        <f t="shared" si="103"/>
        <v>M</v>
      </c>
      <c r="J1582" s="125">
        <v>5.1675213304927219</v>
      </c>
      <c r="K1582" s="125">
        <v>5.1670265069465824</v>
      </c>
      <c r="L1582" s="125">
        <v>5.1664376684121169</v>
      </c>
      <c r="M1582" s="125">
        <v>5.1657370925335151</v>
      </c>
      <c r="N1582" s="125">
        <v>5.1649037746427808</v>
      </c>
      <c r="O1582" s="125">
        <v>5.1639128442259672</v>
      </c>
      <c r="P1582" s="125">
        <v>5.1627348878662263</v>
      </c>
      <c r="Q1582" s="125">
        <v>5.1613351680500683</v>
      </c>
      <c r="R1582" s="125">
        <v>5.1596727280375596</v>
      </c>
      <c r="S1582" s="125">
        <v>5.1576993750236531</v>
      </c>
      <c r="T1582" s="125">
        <v>5.1553585376430311</v>
      </c>
      <c r="U1582" s="125">
        <v>5.1525840002856826</v>
      </c>
      <c r="V1582" s="125">
        <v>5.1492985267348779</v>
      </c>
      <c r="W1582" s="125">
        <v>5.1454124006379782</v>
      </c>
      <c r="X1582" s="125">
        <v>5.1408219318925195</v>
      </c>
      <c r="Y1582" s="125">
        <v>5.1354080080418747</v>
      </c>
      <c r="Z1582" s="125">
        <v>5.1290348101884646</v>
      </c>
      <c r="AA1582" s="125">
        <v>5.1215488654738124</v>
      </c>
      <c r="AB1582" s="125">
        <v>5.1127786737230601</v>
      </c>
      <c r="AC1582" s="125">
        <v>5.1025352234278776</v>
      </c>
      <c r="AD1582" s="125">
        <v>5.0906137974779773</v>
      </c>
      <c r="AE1582" s="125">
        <v>5.0767975520894</v>
      </c>
      <c r="AF1582" s="125">
        <v>5.0608634153321139</v>
      </c>
      <c r="AG1582" s="125">
        <v>5.0425908661613121</v>
      </c>
      <c r="AH1582" s="125">
        <v>5.0217740808245308</v>
      </c>
      <c r="AI1582" s="125">
        <v>4.9982377211701277</v>
      </c>
      <c r="AJ1582" s="125">
        <v>4.9718562373432098</v>
      </c>
      <c r="AK1582" s="125">
        <v>4.9425759298423237</v>
      </c>
      <c r="AL1582" s="125">
        <v>4.9104381703795132</v>
      </c>
      <c r="AM1582" s="125">
        <v>4.8756012027269993</v>
      </c>
      <c r="AN1582" s="125">
        <v>4.8383570264373956</v>
      </c>
      <c r="AO1582" s="125">
        <v>4.7991393106367646</v>
      </c>
      <c r="AP1582" s="125">
        <v>4.7585184534876035</v>
      </c>
      <c r="AQ1582" s="125">
        <v>4.717181095415417</v>
      </c>
      <c r="AR1582" s="125">
        <v>4.6758936790107413</v>
      </c>
      <c r="AS1582" s="125">
        <v>4.6354527113074422</v>
      </c>
      <c r="AT1582" s="125">
        <v>4.5966275011636908</v>
      </c>
      <c r="AU1582" s="125">
        <v>4.5601033597516887</v>
      </c>
      <c r="AV1582" s="125">
        <v>4.5264337367380891</v>
      </c>
      <c r="AW1582" s="125">
        <v>4.4960082034934938</v>
      </c>
      <c r="AX1582" s="126">
        <v>4.4690399823985247</v>
      </c>
    </row>
    <row r="1583" spans="1:50" x14ac:dyDescent="0.25">
      <c r="A1583" s="356"/>
      <c r="B1583" s="359"/>
      <c r="C1583" s="361" t="s">
        <v>15</v>
      </c>
      <c r="D1583" s="58" t="s">
        <v>7</v>
      </c>
      <c r="E1583" s="164" t="str">
        <f>A1571&amp;"/"&amp;B1579&amp;"/"&amp;C1583&amp;"/"&amp;D1583</f>
        <v>Lignite fired power plants/Supercritical steam turbine/Electricity only with CCS/L</v>
      </c>
      <c r="F1583" s="78" t="str">
        <f>A1571</f>
        <v>Lignite fired power plants</v>
      </c>
      <c r="G1583" s="78" t="str">
        <f>B1579</f>
        <v>Supercritical steam turbine</v>
      </c>
      <c r="H1583" s="78" t="str">
        <f>C1583</f>
        <v>Electricity only with CCS</v>
      </c>
      <c r="I1583" s="165" t="str">
        <f t="shared" si="103"/>
        <v>L</v>
      </c>
      <c r="J1583" s="123" t="s">
        <v>112</v>
      </c>
      <c r="K1583" s="123" t="s">
        <v>112</v>
      </c>
      <c r="L1583" s="123" t="s">
        <v>112</v>
      </c>
      <c r="M1583" s="123" t="s">
        <v>112</v>
      </c>
      <c r="N1583" s="123" t="s">
        <v>112</v>
      </c>
      <c r="O1583" s="123" t="s">
        <v>112</v>
      </c>
      <c r="P1583" s="123" t="s">
        <v>112</v>
      </c>
      <c r="Q1583" s="123" t="s">
        <v>112</v>
      </c>
      <c r="R1583" s="123" t="s">
        <v>112</v>
      </c>
      <c r="S1583" s="123" t="s">
        <v>112</v>
      </c>
      <c r="T1583" s="123" t="s">
        <v>112</v>
      </c>
      <c r="U1583" s="123" t="s">
        <v>112</v>
      </c>
      <c r="V1583" s="123" t="s">
        <v>112</v>
      </c>
      <c r="W1583" s="123" t="s">
        <v>112</v>
      </c>
      <c r="X1583" s="123" t="s">
        <v>112</v>
      </c>
      <c r="Y1583" s="123" t="s">
        <v>112</v>
      </c>
      <c r="Z1583" s="123" t="s">
        <v>112</v>
      </c>
      <c r="AA1583" s="123" t="s">
        <v>112</v>
      </c>
      <c r="AB1583" s="123" t="s">
        <v>112</v>
      </c>
      <c r="AC1583" s="123" t="s">
        <v>112</v>
      </c>
      <c r="AD1583" s="123" t="s">
        <v>112</v>
      </c>
      <c r="AE1583" s="123">
        <v>7.5012687609244741</v>
      </c>
      <c r="AF1583" s="123">
        <v>7.4980863067274299</v>
      </c>
      <c r="AG1583" s="123">
        <v>7.4942111650032128</v>
      </c>
      <c r="AH1583" s="123">
        <v>7.4894957470980374</v>
      </c>
      <c r="AI1583" s="123">
        <v>7.4837625576674203</v>
      </c>
      <c r="AJ1583" s="123">
        <v>7.4767988792528275</v>
      </c>
      <c r="AK1583" s="123">
        <v>7.4683508776698817</v>
      </c>
      <c r="AL1583" s="123">
        <v>7.4581172590994207</v>
      </c>
      <c r="AM1583" s="123">
        <v>7.445742739785115</v>
      </c>
      <c r="AN1583" s="123">
        <v>7.4308117785465084</v>
      </c>
      <c r="AO1583" s="123">
        <v>7.4128432860823041</v>
      </c>
      <c r="AP1583" s="123">
        <v>7.3912873751184085</v>
      </c>
      <c r="AQ1583" s="123">
        <v>7.3655256530168884</v>
      </c>
      <c r="AR1583" s="123">
        <v>7.3348770615968393</v>
      </c>
      <c r="AS1583" s="123">
        <v>7.2986117742281245</v>
      </c>
      <c r="AT1583" s="123">
        <v>7.2559760394597941</v>
      </c>
      <c r="AU1583" s="123">
        <v>7.2062308977552298</v>
      </c>
      <c r="AV1583" s="123">
        <v>7.1487070824015682</v>
      </c>
      <c r="AW1583" s="123">
        <v>7.0828767739956939</v>
      </c>
      <c r="AX1583" s="124">
        <v>7.0084398813012916</v>
      </c>
    </row>
    <row r="1584" spans="1:50" x14ac:dyDescent="0.25">
      <c r="A1584" s="356"/>
      <c r="B1584" s="359"/>
      <c r="C1584" s="360"/>
      <c r="D1584" s="59" t="s">
        <v>8</v>
      </c>
      <c r="E1584" s="166" t="str">
        <f>A1571&amp;"/"&amp;B1579&amp;"/"&amp;C1583&amp;"/"&amp;D1584</f>
        <v>Lignite fired power plants/Supercritical steam turbine/Electricity only with CCS/M</v>
      </c>
      <c r="F1584" s="79" t="str">
        <f>A1571</f>
        <v>Lignite fired power plants</v>
      </c>
      <c r="G1584" s="79" t="str">
        <f>B1579</f>
        <v>Supercritical steam turbine</v>
      </c>
      <c r="H1584" s="79" t="str">
        <f>C1583</f>
        <v>Electricity only with CCS</v>
      </c>
      <c r="I1584" s="167" t="str">
        <f t="shared" si="103"/>
        <v>M</v>
      </c>
      <c r="J1584" s="125" t="s">
        <v>112</v>
      </c>
      <c r="K1584" s="125" t="s">
        <v>112</v>
      </c>
      <c r="L1584" s="125" t="s">
        <v>112</v>
      </c>
      <c r="M1584" s="125" t="s">
        <v>112</v>
      </c>
      <c r="N1584" s="125" t="s">
        <v>112</v>
      </c>
      <c r="O1584" s="125" t="s">
        <v>112</v>
      </c>
      <c r="P1584" s="125" t="s">
        <v>112</v>
      </c>
      <c r="Q1584" s="125" t="s">
        <v>112</v>
      </c>
      <c r="R1584" s="125" t="s">
        <v>112</v>
      </c>
      <c r="S1584" s="125" t="s">
        <v>112</v>
      </c>
      <c r="T1584" s="125" t="s">
        <v>112</v>
      </c>
      <c r="U1584" s="125" t="s">
        <v>112</v>
      </c>
      <c r="V1584" s="125" t="s">
        <v>112</v>
      </c>
      <c r="W1584" s="125" t="s">
        <v>112</v>
      </c>
      <c r="X1584" s="125" t="s">
        <v>112</v>
      </c>
      <c r="Y1584" s="125" t="s">
        <v>112</v>
      </c>
      <c r="Z1584" s="125" t="s">
        <v>112</v>
      </c>
      <c r="AA1584" s="125" t="s">
        <v>112</v>
      </c>
      <c r="AB1584" s="125" t="s">
        <v>112</v>
      </c>
      <c r="AC1584" s="125" t="s">
        <v>112</v>
      </c>
      <c r="AD1584" s="125" t="s">
        <v>112</v>
      </c>
      <c r="AE1584" s="125">
        <v>8.043075233053786</v>
      </c>
      <c r="AF1584" s="125">
        <v>8.0411804399778664</v>
      </c>
      <c r="AG1584" s="125">
        <v>8.0387513002046749</v>
      </c>
      <c r="AH1584" s="125">
        <v>8.0356385093320668</v>
      </c>
      <c r="AI1584" s="125">
        <v>8.0316519369408912</v>
      </c>
      <c r="AJ1584" s="125">
        <v>8.0265500362285174</v>
      </c>
      <c r="AK1584" s="125">
        <v>8.0200268760333415</v>
      </c>
      <c r="AL1584" s="125">
        <v>8.0116965051382323</v>
      </c>
      <c r="AM1584" s="125">
        <v>8.0010745008123134</v>
      </c>
      <c r="AN1584" s="125">
        <v>7.9875568549954927</v>
      </c>
      <c r="AO1584" s="125">
        <v>7.9703969080171957</v>
      </c>
      <c r="AP1584" s="125">
        <v>7.9486819814475558</v>
      </c>
      <c r="AQ1584" s="125">
        <v>7.9213128464953737</v>
      </c>
      <c r="AR1584" s="125">
        <v>7.8869913444929702</v>
      </c>
      <c r="AS1584" s="125">
        <v>7.8442244116671311</v>
      </c>
      <c r="AT1584" s="125">
        <v>7.7913562453142724</v>
      </c>
      <c r="AU1584" s="125">
        <v>7.7266436194283621</v>
      </c>
      <c r="AV1584" s="125">
        <v>7.6483907181265831</v>
      </c>
      <c r="AW1584" s="125">
        <v>7.5551564002798566</v>
      </c>
      <c r="AX1584" s="126">
        <v>7.4460347236147966</v>
      </c>
    </row>
    <row r="1585" spans="1:50" x14ac:dyDescent="0.25">
      <c r="A1585" s="356"/>
      <c r="B1585" s="359"/>
      <c r="C1585" s="361" t="s">
        <v>16</v>
      </c>
      <c r="D1585" s="2" t="s">
        <v>7</v>
      </c>
      <c r="E1585" s="160" t="str">
        <f>A1571&amp;"/"&amp;B1579&amp;"/"&amp;C1585&amp;"/"&amp;D1585</f>
        <v>Lignite fired power plants/Supercritical steam turbine/CHP with CCS/L</v>
      </c>
      <c r="F1585" s="76" t="str">
        <f>A1571</f>
        <v>Lignite fired power plants</v>
      </c>
      <c r="G1585" s="76" t="str">
        <f>B1579</f>
        <v>Supercritical steam turbine</v>
      </c>
      <c r="H1585" s="76" t="str">
        <f>C1585</f>
        <v>CHP with CCS</v>
      </c>
      <c r="I1585" s="161" t="str">
        <f t="shared" si="103"/>
        <v>L</v>
      </c>
      <c r="J1585" s="119" t="s">
        <v>112</v>
      </c>
      <c r="K1585" s="119" t="s">
        <v>112</v>
      </c>
      <c r="L1585" s="119" t="s">
        <v>112</v>
      </c>
      <c r="M1585" s="119" t="s">
        <v>112</v>
      </c>
      <c r="N1585" s="119" t="s">
        <v>112</v>
      </c>
      <c r="O1585" s="119" t="s">
        <v>112</v>
      </c>
      <c r="P1585" s="119" t="s">
        <v>112</v>
      </c>
      <c r="Q1585" s="119" t="s">
        <v>112</v>
      </c>
      <c r="R1585" s="119" t="s">
        <v>112</v>
      </c>
      <c r="S1585" s="119" t="s">
        <v>112</v>
      </c>
      <c r="T1585" s="119" t="s">
        <v>112</v>
      </c>
      <c r="U1585" s="119" t="s">
        <v>112</v>
      </c>
      <c r="V1585" s="119" t="s">
        <v>112</v>
      </c>
      <c r="W1585" s="119" t="s">
        <v>112</v>
      </c>
      <c r="X1585" s="119" t="s">
        <v>112</v>
      </c>
      <c r="Y1585" s="119" t="s">
        <v>112</v>
      </c>
      <c r="Z1585" s="119" t="s">
        <v>112</v>
      </c>
      <c r="AA1585" s="119" t="s">
        <v>112</v>
      </c>
      <c r="AB1585" s="119" t="s">
        <v>112</v>
      </c>
      <c r="AC1585" s="119" t="s">
        <v>112</v>
      </c>
      <c r="AD1585" s="119" t="s">
        <v>112</v>
      </c>
      <c r="AE1585" s="119">
        <v>8.2435096930349747</v>
      </c>
      <c r="AF1585" s="119">
        <v>8.2405961690375982</v>
      </c>
      <c r="AG1585" s="119">
        <v>8.2370484923994791</v>
      </c>
      <c r="AH1585" s="119">
        <v>8.2327315463026096</v>
      </c>
      <c r="AI1585" s="119">
        <v>8.2274828344741344</v>
      </c>
      <c r="AJ1585" s="119">
        <v>8.2211076149376598</v>
      </c>
      <c r="AK1585" s="119">
        <v>8.2133735035199216</v>
      </c>
      <c r="AL1585" s="119">
        <v>8.2040046669431916</v>
      </c>
      <c r="AM1585" s="119">
        <v>8.1926758443597514</v>
      </c>
      <c r="AN1585" s="119">
        <v>8.1790066094928431</v>
      </c>
      <c r="AO1585" s="119">
        <v>8.1625565270251155</v>
      </c>
      <c r="AP1585" s="119">
        <v>8.1428221773722722</v>
      </c>
      <c r="AQ1585" s="119">
        <v>8.1192374245653838</v>
      </c>
      <c r="AR1585" s="119">
        <v>8.09117876258337</v>
      </c>
      <c r="AS1585" s="119">
        <v>8.0579780380863291</v>
      </c>
      <c r="AT1585" s="119">
        <v>8.0189451946572898</v>
      </c>
      <c r="AU1585" s="119">
        <v>7.9734037178172557</v>
      </c>
      <c r="AV1585" s="119">
        <v>7.9207408965866408</v>
      </c>
      <c r="AW1585" s="119">
        <v>7.8604735144281284</v>
      </c>
      <c r="AX1585" s="120">
        <v>7.7923268390237412</v>
      </c>
    </row>
    <row r="1586" spans="1:50" x14ac:dyDescent="0.25">
      <c r="A1586" s="356"/>
      <c r="B1586" s="362"/>
      <c r="C1586" s="354"/>
      <c r="D1586" s="4" t="s">
        <v>8</v>
      </c>
      <c r="E1586" s="168" t="str">
        <f>A1571&amp;"/"&amp;B1579&amp;"/"&amp;C1585&amp;"/"&amp;D1586</f>
        <v>Lignite fired power plants/Supercritical steam turbine/CHP with CCS/M</v>
      </c>
      <c r="F1586" s="80" t="str">
        <f>A1571</f>
        <v>Lignite fired power plants</v>
      </c>
      <c r="G1586" s="80" t="str">
        <f>B1579</f>
        <v>Supercritical steam turbine</v>
      </c>
      <c r="H1586" s="80" t="str">
        <f>C1585</f>
        <v>CHP with CCS</v>
      </c>
      <c r="I1586" s="169" t="str">
        <f t="shared" si="103"/>
        <v>M</v>
      </c>
      <c r="J1586" s="127" t="s">
        <v>112</v>
      </c>
      <c r="K1586" s="127" t="s">
        <v>112</v>
      </c>
      <c r="L1586" s="127" t="s">
        <v>112</v>
      </c>
      <c r="M1586" s="127" t="s">
        <v>112</v>
      </c>
      <c r="N1586" s="127" t="s">
        <v>112</v>
      </c>
      <c r="O1586" s="127" t="s">
        <v>112</v>
      </c>
      <c r="P1586" s="127" t="s">
        <v>112</v>
      </c>
      <c r="Q1586" s="127" t="s">
        <v>112</v>
      </c>
      <c r="R1586" s="127" t="s">
        <v>112</v>
      </c>
      <c r="S1586" s="127" t="s">
        <v>112</v>
      </c>
      <c r="T1586" s="127" t="s">
        <v>112</v>
      </c>
      <c r="U1586" s="127" t="s">
        <v>112</v>
      </c>
      <c r="V1586" s="127" t="s">
        <v>112</v>
      </c>
      <c r="W1586" s="127" t="s">
        <v>112</v>
      </c>
      <c r="X1586" s="127" t="s">
        <v>112</v>
      </c>
      <c r="Y1586" s="127" t="s">
        <v>112</v>
      </c>
      <c r="Z1586" s="127" t="s">
        <v>112</v>
      </c>
      <c r="AA1586" s="127" t="s">
        <v>112</v>
      </c>
      <c r="AB1586" s="127" t="s">
        <v>112</v>
      </c>
      <c r="AC1586" s="127" t="s">
        <v>112</v>
      </c>
      <c r="AD1586" s="127" t="s">
        <v>112</v>
      </c>
      <c r="AE1586" s="127">
        <v>8.8161919166999052</v>
      </c>
      <c r="AF1586" s="127">
        <v>8.8144613863200902</v>
      </c>
      <c r="AG1586" s="127">
        <v>8.8122428326280016</v>
      </c>
      <c r="AH1586" s="127">
        <v>8.8093998946631569</v>
      </c>
      <c r="AI1586" s="127">
        <v>8.8057589247219337</v>
      </c>
      <c r="AJ1586" s="127">
        <v>8.801099316087214</v>
      </c>
      <c r="AK1586" s="127">
        <v>8.7951416592677933</v>
      </c>
      <c r="AL1586" s="127">
        <v>8.7875334617858005</v>
      </c>
      <c r="AM1586" s="127">
        <v>8.7778322963054478</v>
      </c>
      <c r="AN1586" s="127">
        <v>8.7654865172085774</v>
      </c>
      <c r="AO1586" s="127">
        <v>8.7498141939668823</v>
      </c>
      <c r="AP1586" s="127">
        <v>8.7299817697292283</v>
      </c>
      <c r="AQ1586" s="127">
        <v>8.7049853096376673</v>
      </c>
      <c r="AR1586" s="127">
        <v>8.6736391945125675</v>
      </c>
      <c r="AS1586" s="127">
        <v>8.634579796709632</v>
      </c>
      <c r="AT1586" s="127">
        <v>8.5862948577569718</v>
      </c>
      <c r="AU1586" s="127">
        <v>8.5271922747486499</v>
      </c>
      <c r="AV1586" s="127">
        <v>8.4557232448411916</v>
      </c>
      <c r="AW1586" s="127">
        <v>8.3705715617758933</v>
      </c>
      <c r="AX1586" s="128">
        <v>8.2709098208897451</v>
      </c>
    </row>
    <row r="1587" spans="1:50" x14ac:dyDescent="0.25">
      <c r="A1587" s="356"/>
      <c r="B1587" s="358" t="s">
        <v>18</v>
      </c>
      <c r="C1587" s="353" t="s">
        <v>6</v>
      </c>
      <c r="D1587" s="3" t="s">
        <v>7</v>
      </c>
      <c r="E1587" s="162" t="str">
        <f>A1571&amp;"/"&amp;B1587&amp;"/"&amp;C1587&amp;"/"&amp;D1587</f>
        <v>Lignite fired power plants/Fluidized bed combustion/Electricity only/L</v>
      </c>
      <c r="F1587" s="77" t="str">
        <f>A1571</f>
        <v>Lignite fired power plants</v>
      </c>
      <c r="G1587" s="77" t="str">
        <f>B1587</f>
        <v>Fluidized bed combustion</v>
      </c>
      <c r="H1587" s="77" t="str">
        <f>C1587</f>
        <v>Electricity only</v>
      </c>
      <c r="I1587" s="163" t="str">
        <f t="shared" si="103"/>
        <v>L</v>
      </c>
      <c r="J1587" s="121">
        <v>4.0926700012769661</v>
      </c>
      <c r="K1587" s="121">
        <v>4.0925054856553897</v>
      </c>
      <c r="L1587" s="121">
        <v>4.0923046155912584</v>
      </c>
      <c r="M1587" s="121">
        <v>4.0920593763734683</v>
      </c>
      <c r="N1587" s="121">
        <v>4.0917599956205386</v>
      </c>
      <c r="O1587" s="121">
        <v>4.0913945623596462</v>
      </c>
      <c r="P1587" s="121">
        <v>4.090948565788902</v>
      </c>
      <c r="Q1587" s="121">
        <v>4.0904043378943671</v>
      </c>
      <c r="R1587" s="121">
        <v>4.0897403815307483</v>
      </c>
      <c r="S1587" s="121">
        <v>4.0889305628925054</v>
      </c>
      <c r="T1587" s="121">
        <v>4.0879431446814634</v>
      </c>
      <c r="U1587" s="121">
        <v>4.086739634031435</v>
      </c>
      <c r="V1587" s="121">
        <v>4.0852734178918979</v>
      </c>
      <c r="W1587" s="121">
        <v>4.0834881589062357</v>
      </c>
      <c r="X1587" s="121">
        <v>4.0813159280701869</v>
      </c>
      <c r="Y1587" s="121">
        <v>4.0786750584364473</v>
      </c>
      <c r="Z1587" s="121">
        <v>4.0754677194548323</v>
      </c>
      <c r="AA1587" s="121">
        <v>4.0715772378586612</v>
      </c>
      <c r="AB1587" s="121">
        <v>4.0668652332633277</v>
      </c>
      <c r="AC1587" s="121">
        <v>4.0611687012016775</v>
      </c>
      <c r="AD1587" s="121">
        <v>4.054297270884315</v>
      </c>
      <c r="AE1587" s="121">
        <v>4.0460309979181748</v>
      </c>
      <c r="AF1587" s="121">
        <v>4.0361192308895379</v>
      </c>
      <c r="AG1587" s="121">
        <v>4.0242813179361683</v>
      </c>
      <c r="AH1587" s="121">
        <v>4.0102101872510802</v>
      </c>
      <c r="AI1587" s="121">
        <v>3.9935801152502295</v>
      </c>
      <c r="AJ1587" s="121">
        <v>3.9740602247440626</v>
      </c>
      <c r="AK1587" s="121">
        <v>3.9513353192435079</v>
      </c>
      <c r="AL1587" s="121">
        <v>3.9251353825724205</v>
      </c>
      <c r="AM1587" s="121">
        <v>3.8952742229122563</v>
      </c>
      <c r="AN1587" s="121">
        <v>3.861696074542353</v>
      </c>
      <c r="AO1587" s="121">
        <v>3.8245263486296386</v>
      </c>
      <c r="AP1587" s="121">
        <v>3.7841193016428427</v>
      </c>
      <c r="AQ1587" s="121">
        <v>3.7410918530796349</v>
      </c>
      <c r="AR1587" s="121">
        <v>3.6963305001531026</v>
      </c>
      <c r="AS1587" s="121">
        <v>3.6509591218213093</v>
      </c>
      <c r="AT1587" s="121">
        <v>3.606261104199366</v>
      </c>
      <c r="AU1587" s="121">
        <v>3.5635598812208356</v>
      </c>
      <c r="AV1587" s="121">
        <v>3.5240753024929061</v>
      </c>
      <c r="AW1587" s="121">
        <v>3.4887842429335838</v>
      </c>
      <c r="AX1587" s="122">
        <v>3.4583169109369356</v>
      </c>
    </row>
    <row r="1588" spans="1:50" x14ac:dyDescent="0.25">
      <c r="A1588" s="356"/>
      <c r="B1588" s="359"/>
      <c r="C1588" s="350"/>
      <c r="D1588" s="2" t="s">
        <v>8</v>
      </c>
      <c r="E1588" s="160" t="str">
        <f>A1571&amp;"/"&amp;B1587&amp;"/"&amp;C1587&amp;"/"&amp;D1588</f>
        <v>Lignite fired power plants/Fluidized bed combustion/Electricity only/M</v>
      </c>
      <c r="F1588" s="76" t="str">
        <f>A1571</f>
        <v>Lignite fired power plants</v>
      </c>
      <c r="G1588" s="76" t="str">
        <f>B1587</f>
        <v>Fluidized bed combustion</v>
      </c>
      <c r="H1588" s="76" t="str">
        <f>C1587</f>
        <v>Electricity only</v>
      </c>
      <c r="I1588" s="161" t="str">
        <f t="shared" si="103"/>
        <v>M</v>
      </c>
      <c r="J1588" s="119">
        <v>4.4405469513855076</v>
      </c>
      <c r="K1588" s="119">
        <v>4.4401904108978778</v>
      </c>
      <c r="L1588" s="119">
        <v>4.4397659542119587</v>
      </c>
      <c r="M1588" s="119">
        <v>4.4392607057514848</v>
      </c>
      <c r="N1588" s="119">
        <v>4.4386593747054075</v>
      </c>
      <c r="O1588" s="119">
        <v>4.4379438127241624</v>
      </c>
      <c r="P1588" s="119">
        <v>4.437092495126632</v>
      </c>
      <c r="Q1588" s="119">
        <v>4.4360799143055809</v>
      </c>
      <c r="R1588" s="119">
        <v>4.43487587319225</v>
      </c>
      <c r="S1588" s="119">
        <v>4.433444666179696</v>
      </c>
      <c r="T1588" s="119">
        <v>4.4317441350746059</v>
      </c>
      <c r="U1588" s="119">
        <v>4.4297245888312133</v>
      </c>
      <c r="V1588" s="119">
        <v>4.4273275785574961</v>
      </c>
      <c r="W1588" s="119">
        <v>4.424484524317073</v>
      </c>
      <c r="X1588" s="119">
        <v>4.4211151985848867</v>
      </c>
      <c r="Y1588" s="119">
        <v>4.4171260841729563</v>
      </c>
      <c r="Z1588" s="119">
        <v>4.4124086437121273</v>
      </c>
      <c r="AA1588" s="119">
        <v>4.4068375654252332</v>
      </c>
      <c r="AB1588" s="119">
        <v>4.4002690883511004</v>
      </c>
      <c r="AC1588" s="119">
        <v>4.3925395619094774</v>
      </c>
      <c r="AD1588" s="119">
        <v>4.383464461986466</v>
      </c>
      <c r="AE1588" s="119">
        <v>4.3728381697602163</v>
      </c>
      <c r="AF1588" s="119">
        <v>4.3604349190995446</v>
      </c>
      <c r="AG1588" s="119">
        <v>4.3460114279944335</v>
      </c>
      <c r="AH1588" s="119">
        <v>4.3293118363630496</v>
      </c>
      <c r="AI1588" s="119">
        <v>4.3100756532843674</v>
      </c>
      <c r="AJ1588" s="119">
        <v>4.2880494335423815</v>
      </c>
      <c r="AK1588" s="119">
        <v>4.2630028022416635</v>
      </c>
      <c r="AL1588" s="119">
        <v>4.2347491585944059</v>
      </c>
      <c r="AM1588" s="119">
        <v>4.2031708428236723</v>
      </c>
      <c r="AN1588" s="119">
        <v>4.1682476890565336</v>
      </c>
      <c r="AO1588" s="119">
        <v>4.1300867150438254</v>
      </c>
      <c r="AP1588" s="119">
        <v>4.0889493284430944</v>
      </c>
      <c r="AQ1588" s="119">
        <v>4.0452711290218186</v>
      </c>
      <c r="AR1588" s="119">
        <v>3.9996685985250902</v>
      </c>
      <c r="AS1588" s="119">
        <v>3.952927245607714</v>
      </c>
      <c r="AT1588" s="119">
        <v>3.9059675954627582</v>
      </c>
      <c r="AU1588" s="119">
        <v>3.859788926407695</v>
      </c>
      <c r="AV1588" s="119">
        <v>3.8153953944020178</v>
      </c>
      <c r="AW1588" s="119">
        <v>3.7737139911552715</v>
      </c>
      <c r="AX1588" s="120">
        <v>3.7355170552583332</v>
      </c>
    </row>
    <row r="1589" spans="1:50" x14ac:dyDescent="0.25">
      <c r="A1589" s="356"/>
      <c r="B1589" s="359"/>
      <c r="C1589" s="360"/>
      <c r="D1589" s="2" t="s">
        <v>10</v>
      </c>
      <c r="E1589" s="160" t="str">
        <f>A1571&amp;"/"&amp;B1587&amp;"/"&amp;C1587&amp;"/"&amp;D1589</f>
        <v>Lignite fired power plants/Fluidized bed combustion/Electricity only/S</v>
      </c>
      <c r="F1589" s="76" t="str">
        <f>A1571</f>
        <v>Lignite fired power plants</v>
      </c>
      <c r="G1589" s="76" t="str">
        <f>B1587</f>
        <v>Fluidized bed combustion</v>
      </c>
      <c r="H1589" s="76" t="str">
        <f>C1587</f>
        <v>Electricity only</v>
      </c>
      <c r="I1589" s="161" t="str">
        <f t="shared" si="103"/>
        <v>S</v>
      </c>
      <c r="J1589" s="119">
        <v>5.0400207898225515</v>
      </c>
      <c r="K1589" s="119">
        <v>5.0391186390628659</v>
      </c>
      <c r="L1589" s="119">
        <v>5.0380718254370773</v>
      </c>
      <c r="M1589" s="119">
        <v>5.0368574016975254</v>
      </c>
      <c r="N1589" s="119">
        <v>5.0354488674953162</v>
      </c>
      <c r="O1589" s="119">
        <v>5.0338156495006077</v>
      </c>
      <c r="P1589" s="119">
        <v>5.0319225160971337</v>
      </c>
      <c r="Q1589" s="119">
        <v>5.0297289222850425</v>
      </c>
      <c r="R1589" s="119">
        <v>5.0271882817181517</v>
      </c>
      <c r="S1589" s="119">
        <v>5.0242471649051854</v>
      </c>
      <c r="T1589" s="119">
        <v>5.0208444258097042</v>
      </c>
      <c r="U1589" s="119">
        <v>5.0169102637565732</v>
      </c>
      <c r="V1589" s="119">
        <v>5.0123652341459204</v>
      </c>
      <c r="W1589" s="119">
        <v>5.0071192305292955</v>
      </c>
      <c r="X1589" s="119">
        <v>5.0010704727416089</v>
      </c>
      <c r="Y1589" s="119">
        <v>4.994104551686771</v>
      </c>
      <c r="Z1589" s="119">
        <v>4.9860936017258304</v>
      </c>
      <c r="AA1589" s="119">
        <v>4.9768956969889713</v>
      </c>
      <c r="AB1589" s="119">
        <v>4.9663545986219271</v>
      </c>
      <c r="AC1589" s="119">
        <v>4.9543000157263757</v>
      </c>
      <c r="AD1589" s="119">
        <v>4.9405485823616191</v>
      </c>
      <c r="AE1589" s="119">
        <v>4.92490579376343</v>
      </c>
      <c r="AF1589" s="119">
        <v>4.9071691820842496</v>
      </c>
      <c r="AG1589" s="119">
        <v>4.887133037758205</v>
      </c>
      <c r="AH1589" s="119">
        <v>4.8645949857681918</v>
      </c>
      <c r="AI1589" s="119">
        <v>4.8393646914530937</v>
      </c>
      <c r="AJ1589" s="119">
        <v>4.8112748793861284</v>
      </c>
      <c r="AK1589" s="119">
        <v>4.7801946810106015</v>
      </c>
      <c r="AL1589" s="119">
        <v>4.7460450642462346</v>
      </c>
      <c r="AM1589" s="119">
        <v>4.7088157324003808</v>
      </c>
      <c r="AN1589" s="119">
        <v>4.6685824202706687</v>
      </c>
      <c r="AO1589" s="119">
        <v>4.6255230018161271</v>
      </c>
      <c r="AP1589" s="119">
        <v>4.5799303348353542</v>
      </c>
      <c r="AQ1589" s="119">
        <v>4.5322194239122302</v>
      </c>
      <c r="AR1589" s="119">
        <v>4.4829264337130388</v>
      </c>
      <c r="AS1589" s="119">
        <v>4.432697479583612</v>
      </c>
      <c r="AT1589" s="119">
        <v>4.3822660579045944</v>
      </c>
      <c r="AU1589" s="119">
        <v>4.3324194380514935</v>
      </c>
      <c r="AV1589" s="119">
        <v>4.2839561430950761</v>
      </c>
      <c r="AW1589" s="119">
        <v>4.237638453794851</v>
      </c>
      <c r="AX1589" s="120">
        <v>4.1941452326183555</v>
      </c>
    </row>
    <row r="1590" spans="1:50" x14ac:dyDescent="0.25">
      <c r="A1590" s="356"/>
      <c r="B1590" s="359"/>
      <c r="C1590" s="361" t="s">
        <v>14</v>
      </c>
      <c r="D1590" s="58" t="s">
        <v>7</v>
      </c>
      <c r="E1590" s="164" t="str">
        <f>A1571&amp;"/"&amp;B1587&amp;"/"&amp;C1590&amp;"/"&amp;D1590</f>
        <v>Lignite fired power plants/Fluidized bed combustion/CHP/L</v>
      </c>
      <c r="F1590" s="78" t="str">
        <f>A1571</f>
        <v>Lignite fired power plants</v>
      </c>
      <c r="G1590" s="78" t="str">
        <f>B1587</f>
        <v>Fluidized bed combustion</v>
      </c>
      <c r="H1590" s="78" t="str">
        <f>C1590</f>
        <v>CHP</v>
      </c>
      <c r="I1590" s="165" t="str">
        <f t="shared" si="103"/>
        <v>L</v>
      </c>
      <c r="J1590" s="123">
        <v>4.7991056263895038</v>
      </c>
      <c r="K1590" s="123">
        <v>4.7990425208587135</v>
      </c>
      <c r="L1590" s="123">
        <v>4.7989654534389778</v>
      </c>
      <c r="M1590" s="123">
        <v>4.7988713377711774</v>
      </c>
      <c r="N1590" s="123">
        <v>4.7987564065467705</v>
      </c>
      <c r="O1590" s="123">
        <v>4.7986160619119715</v>
      </c>
      <c r="P1590" s="123">
        <v>4.7984446933240408</v>
      </c>
      <c r="Q1590" s="123">
        <v>4.7982354559341935</v>
      </c>
      <c r="R1590" s="123">
        <v>4.7979800011752145</v>
      </c>
      <c r="S1590" s="123">
        <v>4.7976681495930267</v>
      </c>
      <c r="T1590" s="123">
        <v>4.797287494058299</v>
      </c>
      <c r="U1590" s="123">
        <v>4.7968229193156828</v>
      </c>
      <c r="V1590" s="123">
        <v>4.7962560213827956</v>
      </c>
      <c r="W1590" s="123">
        <v>4.7955644076418587</v>
      </c>
      <c r="X1590" s="123">
        <v>4.7947208556728356</v>
      </c>
      <c r="Y1590" s="123">
        <v>4.7936923061472525</v>
      </c>
      <c r="Z1590" s="123">
        <v>4.7924386627626356</v>
      </c>
      <c r="AA1590" s="123">
        <v>4.790911370782541</v>
      </c>
      <c r="AB1590" s="123">
        <v>4.7890517460944286</v>
      </c>
      <c r="AC1590" s="123">
        <v>4.7867890300832272</v>
      </c>
      <c r="AD1590" s="123">
        <v>4.7840381539311192</v>
      </c>
      <c r="AE1590" s="123">
        <v>4.780697211915836</v>
      </c>
      <c r="AF1590" s="123">
        <v>4.7766446706974488</v>
      </c>
      <c r="AG1590" s="123">
        <v>4.7717363855991159</v>
      </c>
      <c r="AH1590" s="123">
        <v>4.7658025621350957</v>
      </c>
      <c r="AI1590" s="123">
        <v>4.7586448995419097</v>
      </c>
      <c r="AJ1590" s="123">
        <v>4.7500342915517084</v>
      </c>
      <c r="AK1590" s="123">
        <v>4.7397096457623187</v>
      </c>
      <c r="AL1590" s="123">
        <v>4.7273786196419447</v>
      </c>
      <c r="AM1590" s="123">
        <v>4.7127213501803054</v>
      </c>
      <c r="AN1590" s="123">
        <v>4.6953985456425489</v>
      </c>
      <c r="AO1590" s="123">
        <v>4.6750655460127613</v>
      </c>
      <c r="AP1590" s="123">
        <v>4.6513940251615642</v>
      </c>
      <c r="AQ1590" s="123">
        <v>4.6241027192771664</v>
      </c>
      <c r="AR1590" s="123">
        <v>4.5929976806437063</v>
      </c>
      <c r="AS1590" s="123">
        <v>4.5580208205963313</v>
      </c>
      <c r="AT1590" s="123">
        <v>4.5193027743560696</v>
      </c>
      <c r="AU1590" s="123">
        <v>4.4772125550915778</v>
      </c>
      <c r="AV1590" s="123">
        <v>4.4323927803377119</v>
      </c>
      <c r="AW1590" s="123">
        <v>4.3857668747161327</v>
      </c>
      <c r="AX1590" s="124">
        <v>4.3385055328283819</v>
      </c>
    </row>
    <row r="1591" spans="1:50" x14ac:dyDescent="0.25">
      <c r="A1591" s="356"/>
      <c r="B1591" s="359"/>
      <c r="C1591" s="350"/>
      <c r="D1591" s="2" t="s">
        <v>8</v>
      </c>
      <c r="E1591" s="160" t="str">
        <f>A1571&amp;"/"&amp;B1587&amp;"/"&amp;C1590&amp;"/"&amp;D1591</f>
        <v>Lignite fired power plants/Fluidized bed combustion/CHP/M</v>
      </c>
      <c r="F1591" s="76" t="str">
        <f>A1571</f>
        <v>Lignite fired power plants</v>
      </c>
      <c r="G1591" s="76" t="str">
        <f>B1587</f>
        <v>Fluidized bed combustion</v>
      </c>
      <c r="H1591" s="76" t="str">
        <f>C1590</f>
        <v>CHP</v>
      </c>
      <c r="I1591" s="161" t="str">
        <f t="shared" ref="I1591:I1654" si="104">D1591</f>
        <v>M</v>
      </c>
      <c r="J1591" s="119">
        <v>5.1326812229163199</v>
      </c>
      <c r="K1591" s="119">
        <v>5.1325264964606694</v>
      </c>
      <c r="L1591" s="119">
        <v>5.1323422281902431</v>
      </c>
      <c r="M1591" s="119">
        <v>5.1321227888668517</v>
      </c>
      <c r="N1591" s="119">
        <v>5.1318614812635763</v>
      </c>
      <c r="O1591" s="119">
        <v>5.1315503394996673</v>
      </c>
      <c r="P1591" s="119">
        <v>5.1311798914920592</v>
      </c>
      <c r="Q1591" s="119">
        <v>5.1307388780894563</v>
      </c>
      <c r="R1591" s="119">
        <v>5.1302139214799709</v>
      </c>
      <c r="S1591" s="119">
        <v>5.1295891344062401</v>
      </c>
      <c r="T1591" s="119">
        <v>5.1288456606088166</v>
      </c>
      <c r="U1591" s="119">
        <v>5.1279611357966584</v>
      </c>
      <c r="V1591" s="119">
        <v>5.1269090573912148</v>
      </c>
      <c r="W1591" s="119">
        <v>5.1256580504313094</v>
      </c>
      <c r="X1591" s="119">
        <v>5.124171016546879</v>
      </c>
      <c r="Y1591" s="119">
        <v>5.1224041530864453</v>
      </c>
      <c r="Z1591" s="119">
        <v>5.1203058307132618</v>
      </c>
      <c r="AA1591" s="119">
        <v>5.1178153206283596</v>
      </c>
      <c r="AB1591" s="119">
        <v>5.1148613678083272</v>
      </c>
      <c r="AC1591" s="119">
        <v>5.1113606153053732</v>
      </c>
      <c r="AD1591" s="119">
        <v>5.1072158981209412</v>
      </c>
      <c r="AE1591" s="119">
        <v>5.1023144451854074</v>
      </c>
      <c r="AF1591" s="119">
        <v>5.0965260567043842</v>
      </c>
      <c r="AG1591" s="119">
        <v>5.0897013640549869</v>
      </c>
      <c r="AH1591" s="119">
        <v>5.0816703331639443</v>
      </c>
      <c r="AI1591" s="119">
        <v>5.0722412422136198</v>
      </c>
      <c r="AJ1591" s="119">
        <v>5.0612004518403957</v>
      </c>
      <c r="AK1591" s="119">
        <v>5.048313389488321</v>
      </c>
      <c r="AL1591" s="119">
        <v>5.0333272834834242</v>
      </c>
      <c r="AM1591" s="119">
        <v>5.0159762934489978</v>
      </c>
      <c r="AN1591" s="119">
        <v>4.995989767534712</v>
      </c>
      <c r="AO1591" s="119">
        <v>4.9731043744259935</v>
      </c>
      <c r="AP1591" s="119">
        <v>4.9470807530292902</v>
      </c>
      <c r="AQ1591" s="119">
        <v>4.9177250238485533</v>
      </c>
      <c r="AR1591" s="119">
        <v>4.88491493757002</v>
      </c>
      <c r="AS1591" s="119">
        <v>4.8486295417136569</v>
      </c>
      <c r="AT1591" s="119">
        <v>4.8089800284552515</v>
      </c>
      <c r="AU1591" s="119">
        <v>4.7662380021406543</v>
      </c>
      <c r="AV1591" s="119">
        <v>4.7208560539104951</v>
      </c>
      <c r="AW1591" s="119">
        <v>4.6734747125185088</v>
      </c>
      <c r="AX1591" s="120">
        <v>4.6249101268348163</v>
      </c>
    </row>
    <row r="1592" spans="1:50" x14ac:dyDescent="0.25">
      <c r="A1592" s="356"/>
      <c r="B1592" s="359"/>
      <c r="C1592" s="360"/>
      <c r="D1592" s="59" t="s">
        <v>10</v>
      </c>
      <c r="E1592" s="166" t="str">
        <f>A1571&amp;"/"&amp;B1587&amp;"/"&amp;C1590&amp;"/"&amp;D1592</f>
        <v>Lignite fired power plants/Fluidized bed combustion/CHP/S</v>
      </c>
      <c r="F1592" s="79" t="str">
        <f>A1571</f>
        <v>Lignite fired power plants</v>
      </c>
      <c r="G1592" s="79" t="str">
        <f>B1587</f>
        <v>Fluidized bed combustion</v>
      </c>
      <c r="H1592" s="79" t="str">
        <f>C1590</f>
        <v>CHP</v>
      </c>
      <c r="I1592" s="167" t="str">
        <f t="shared" si="104"/>
        <v>S</v>
      </c>
      <c r="J1592" s="125">
        <v>5.8400215391550718</v>
      </c>
      <c r="K1592" s="125">
        <v>5.8395719645291884</v>
      </c>
      <c r="L1592" s="125">
        <v>5.839049948378281</v>
      </c>
      <c r="M1592" s="125">
        <v>5.8384438770400751</v>
      </c>
      <c r="N1592" s="125">
        <v>5.8377402955923712</v>
      </c>
      <c r="O1592" s="125">
        <v>5.8369236231320363</v>
      </c>
      <c r="P1592" s="125">
        <v>5.835975826548939</v>
      </c>
      <c r="Q1592" s="125">
        <v>5.8348760476405808</v>
      </c>
      <c r="R1592" s="125">
        <v>5.8336001781050077</v>
      </c>
      <c r="S1592" s="125">
        <v>5.8321203767639389</v>
      </c>
      <c r="T1592" s="125">
        <v>5.8304045233788848</v>
      </c>
      <c r="U1592" s="125">
        <v>5.8284156037311492</v>
      </c>
      <c r="V1592" s="125">
        <v>5.8261110213789422</v>
      </c>
      <c r="W1592" s="125">
        <v>5.8234418328621418</v>
      </c>
      <c r="X1592" s="125">
        <v>5.8203519053351878</v>
      </c>
      <c r="Y1592" s="125">
        <v>5.8167769989758673</v>
      </c>
      <c r="Z1592" s="125">
        <v>5.8126437814273908</v>
      </c>
      <c r="AA1592" s="125">
        <v>5.8078687884577569</v>
      </c>
      <c r="AB1592" s="125">
        <v>5.8023573545323659</v>
      </c>
      <c r="AC1592" s="125">
        <v>5.7960025497488008</v>
      </c>
      <c r="AD1592" s="125">
        <v>5.7886841762918024</v>
      </c>
      <c r="AE1592" s="125">
        <v>5.7802678989470051</v>
      </c>
      <c r="AF1592" s="125">
        <v>5.7706046108683271</v>
      </c>
      <c r="AG1592" s="125">
        <v>5.7595301680359032</v>
      </c>
      <c r="AH1592" s="125">
        <v>5.7468656633991886</v>
      </c>
      <c r="AI1592" s="125">
        <v>5.7324184533116682</v>
      </c>
      <c r="AJ1592" s="125">
        <v>5.7159841917159371</v>
      </c>
      <c r="AK1592" s="125">
        <v>5.6973501665657595</v>
      </c>
      <c r="AL1592" s="125">
        <v>5.6763002600764407</v>
      </c>
      <c r="AM1592" s="125">
        <v>5.6526218577291152</v>
      </c>
      <c r="AN1592" s="125">
        <v>5.6261149945628111</v>
      </c>
      <c r="AO1592" s="125">
        <v>5.5966039315713383</v>
      </c>
      <c r="AP1592" s="125">
        <v>5.5639511786849534</v>
      </c>
      <c r="AQ1592" s="125">
        <v>5.5280737050633659</v>
      </c>
      <c r="AR1592" s="125">
        <v>5.4889606930355805</v>
      </c>
      <c r="AS1592" s="125">
        <v>5.4466917093277187</v>
      </c>
      <c r="AT1592" s="125">
        <v>5.401453627728638</v>
      </c>
      <c r="AU1592" s="125">
        <v>5.3535541236660542</v>
      </c>
      <c r="AV1592" s="125">
        <v>5.3034291995734248</v>
      </c>
      <c r="AW1592" s="125">
        <v>5.2516421482632047</v>
      </c>
      <c r="AX1592" s="126">
        <v>5.1988717763655368</v>
      </c>
    </row>
    <row r="1593" spans="1:50" x14ac:dyDescent="0.25">
      <c r="A1593" s="356"/>
      <c r="B1593" s="359"/>
      <c r="C1593" s="361" t="s">
        <v>15</v>
      </c>
      <c r="D1593" s="58" t="s">
        <v>7</v>
      </c>
      <c r="E1593" s="164" t="str">
        <f>A1571&amp;"/"&amp;B1587&amp;"/"&amp;C1593&amp;"/"&amp;D1593</f>
        <v>Lignite fired power plants/Fluidized bed combustion/Electricity only with CCS/L</v>
      </c>
      <c r="F1593" s="78" t="str">
        <f>A1571</f>
        <v>Lignite fired power plants</v>
      </c>
      <c r="G1593" s="78" t="str">
        <f>B1587</f>
        <v>Fluidized bed combustion</v>
      </c>
      <c r="H1593" s="78" t="str">
        <f>C1593</f>
        <v>Electricity only with CCS</v>
      </c>
      <c r="I1593" s="165" t="str">
        <f t="shared" si="104"/>
        <v>L</v>
      </c>
      <c r="J1593" s="123" t="s">
        <v>112</v>
      </c>
      <c r="K1593" s="123" t="s">
        <v>112</v>
      </c>
      <c r="L1593" s="123" t="s">
        <v>112</v>
      </c>
      <c r="M1593" s="123" t="s">
        <v>112</v>
      </c>
      <c r="N1593" s="123" t="s">
        <v>112</v>
      </c>
      <c r="O1593" s="123" t="s">
        <v>112</v>
      </c>
      <c r="P1593" s="123" t="s">
        <v>112</v>
      </c>
      <c r="Q1593" s="123" t="s">
        <v>112</v>
      </c>
      <c r="R1593" s="123" t="s">
        <v>112</v>
      </c>
      <c r="S1593" s="123" t="s">
        <v>112</v>
      </c>
      <c r="T1593" s="123" t="s">
        <v>112</v>
      </c>
      <c r="U1593" s="123" t="s">
        <v>112</v>
      </c>
      <c r="V1593" s="123" t="s">
        <v>112</v>
      </c>
      <c r="W1593" s="123" t="s">
        <v>112</v>
      </c>
      <c r="X1593" s="123" t="s">
        <v>112</v>
      </c>
      <c r="Y1593" s="123" t="s">
        <v>112</v>
      </c>
      <c r="Z1593" s="123" t="s">
        <v>112</v>
      </c>
      <c r="AA1593" s="123" t="s">
        <v>112</v>
      </c>
      <c r="AB1593" s="123" t="s">
        <v>112</v>
      </c>
      <c r="AC1593" s="123" t="s">
        <v>112</v>
      </c>
      <c r="AD1593" s="123" t="s">
        <v>112</v>
      </c>
      <c r="AE1593" s="123">
        <v>7.8916054590016467</v>
      </c>
      <c r="AF1593" s="123">
        <v>7.8895602681396744</v>
      </c>
      <c r="AG1593" s="123">
        <v>7.8869383172101939</v>
      </c>
      <c r="AH1593" s="123">
        <v>7.8835784508855813</v>
      </c>
      <c r="AI1593" s="123">
        <v>7.8792754472865898</v>
      </c>
      <c r="AJ1593" s="123">
        <v>7.8737685870134326</v>
      </c>
      <c r="AK1593" s="123">
        <v>7.8667276558469101</v>
      </c>
      <c r="AL1593" s="123">
        <v>7.8577360679801203</v>
      </c>
      <c r="AM1593" s="123">
        <v>7.8462709499895169</v>
      </c>
      <c r="AN1593" s="123">
        <v>7.8316803511260904</v>
      </c>
      <c r="AO1593" s="123">
        <v>7.813158346165257</v>
      </c>
      <c r="AP1593" s="123">
        <v>7.7897198135080297</v>
      </c>
      <c r="AQ1593" s="123">
        <v>7.7601782738984255</v>
      </c>
      <c r="AR1593" s="123">
        <v>7.7231325282935082</v>
      </c>
      <c r="AS1593" s="123">
        <v>7.6769710020975497</v>
      </c>
      <c r="AT1593" s="123">
        <v>7.6199064645033259</v>
      </c>
      <c r="AU1593" s="123">
        <v>7.5500573222417851</v>
      </c>
      <c r="AV1593" s="123">
        <v>7.4655931553102404</v>
      </c>
      <c r="AW1593" s="123">
        <v>7.3649584330782165</v>
      </c>
      <c r="AX1593" s="124">
        <v>7.2471753047806056</v>
      </c>
    </row>
    <row r="1594" spans="1:50" x14ac:dyDescent="0.25">
      <c r="A1594" s="356"/>
      <c r="B1594" s="359"/>
      <c r="C1594" s="360"/>
      <c r="D1594" s="59" t="s">
        <v>8</v>
      </c>
      <c r="E1594" s="166" t="str">
        <f>A1571&amp;"/"&amp;B1587&amp;"/"&amp;C1593&amp;"/"&amp;D1594</f>
        <v>Lignite fired power plants/Fluidized bed combustion/Electricity only with CCS/M</v>
      </c>
      <c r="F1594" s="79" t="str">
        <f>A1571</f>
        <v>Lignite fired power plants</v>
      </c>
      <c r="G1594" s="79" t="str">
        <f>B1587</f>
        <v>Fluidized bed combustion</v>
      </c>
      <c r="H1594" s="79" t="str">
        <f>C1593</f>
        <v>Electricity only with CCS</v>
      </c>
      <c r="I1594" s="167" t="str">
        <f t="shared" si="104"/>
        <v>M</v>
      </c>
      <c r="J1594" s="125" t="s">
        <v>112</v>
      </c>
      <c r="K1594" s="125" t="s">
        <v>112</v>
      </c>
      <c r="L1594" s="125" t="s">
        <v>112</v>
      </c>
      <c r="M1594" s="125" t="s">
        <v>112</v>
      </c>
      <c r="N1594" s="125" t="s">
        <v>112</v>
      </c>
      <c r="O1594" s="125" t="s">
        <v>112</v>
      </c>
      <c r="P1594" s="125" t="s">
        <v>112</v>
      </c>
      <c r="Q1594" s="125" t="s">
        <v>112</v>
      </c>
      <c r="R1594" s="125" t="s">
        <v>112</v>
      </c>
      <c r="S1594" s="125" t="s">
        <v>112</v>
      </c>
      <c r="T1594" s="125" t="s">
        <v>112</v>
      </c>
      <c r="U1594" s="125" t="s">
        <v>112</v>
      </c>
      <c r="V1594" s="125" t="s">
        <v>112</v>
      </c>
      <c r="W1594" s="125" t="s">
        <v>112</v>
      </c>
      <c r="X1594" s="125" t="s">
        <v>112</v>
      </c>
      <c r="Y1594" s="125" t="s">
        <v>112</v>
      </c>
      <c r="Z1594" s="125" t="s">
        <v>112</v>
      </c>
      <c r="AA1594" s="125" t="s">
        <v>112</v>
      </c>
      <c r="AB1594" s="125" t="s">
        <v>112</v>
      </c>
      <c r="AC1594" s="125" t="s">
        <v>112</v>
      </c>
      <c r="AD1594" s="125" t="s">
        <v>112</v>
      </c>
      <c r="AE1594" s="125">
        <v>8.7458266174936892</v>
      </c>
      <c r="AF1594" s="125">
        <v>8.7434225451125247</v>
      </c>
      <c r="AG1594" s="125">
        <v>8.7403405052249354</v>
      </c>
      <c r="AH1594" s="125">
        <v>8.7363910636419586</v>
      </c>
      <c r="AI1594" s="125">
        <v>8.731332987009246</v>
      </c>
      <c r="AJ1594" s="125">
        <v>8.7248598059796514</v>
      </c>
      <c r="AK1594" s="125">
        <v>8.7165833617270199</v>
      </c>
      <c r="AL1594" s="125">
        <v>8.7060139677133463</v>
      </c>
      <c r="AM1594" s="125">
        <v>8.6925369988785643</v>
      </c>
      <c r="AN1594" s="125">
        <v>8.675386102889151</v>
      </c>
      <c r="AO1594" s="125">
        <v>8.653613934140477</v>
      </c>
      <c r="AP1594" s="125">
        <v>8.6260625060249243</v>
      </c>
      <c r="AQ1594" s="125">
        <v>8.5913371408802774</v>
      </c>
      <c r="AR1594" s="125">
        <v>8.5477907631292656</v>
      </c>
      <c r="AS1594" s="125">
        <v>8.4935290058216832</v>
      </c>
      <c r="AT1594" s="125">
        <v>8.4264510223801761</v>
      </c>
      <c r="AU1594" s="125">
        <v>8.3443450454363166</v>
      </c>
      <c r="AV1594" s="125">
        <v>8.2450594605583234</v>
      </c>
      <c r="AW1594" s="125">
        <v>8.1267657791213281</v>
      </c>
      <c r="AX1594" s="126">
        <v>7.988314561207039</v>
      </c>
    </row>
    <row r="1595" spans="1:50" x14ac:dyDescent="0.25">
      <c r="A1595" s="356"/>
      <c r="B1595" s="359"/>
      <c r="C1595" s="361" t="s">
        <v>16</v>
      </c>
      <c r="D1595" s="2" t="s">
        <v>7</v>
      </c>
      <c r="E1595" s="160" t="str">
        <f>A1571&amp;"/"&amp;B1587&amp;"/"&amp;C1595&amp;"/"&amp;D1595</f>
        <v>Lignite fired power plants/Fluidized bed combustion/CHP with CCS/L</v>
      </c>
      <c r="F1595" s="76" t="str">
        <f>A1571</f>
        <v>Lignite fired power plants</v>
      </c>
      <c r="G1595" s="76" t="str">
        <f>B1587</f>
        <v>Fluidized bed combustion</v>
      </c>
      <c r="H1595" s="76" t="str">
        <f>C1595</f>
        <v>CHP with CCS</v>
      </c>
      <c r="I1595" s="161" t="str">
        <f t="shared" si="104"/>
        <v>L</v>
      </c>
      <c r="J1595" s="119" t="s">
        <v>112</v>
      </c>
      <c r="K1595" s="119" t="s">
        <v>112</v>
      </c>
      <c r="L1595" s="119" t="s">
        <v>112</v>
      </c>
      <c r="M1595" s="119" t="s">
        <v>112</v>
      </c>
      <c r="N1595" s="119" t="s">
        <v>112</v>
      </c>
      <c r="O1595" s="119" t="s">
        <v>112</v>
      </c>
      <c r="P1595" s="119" t="s">
        <v>112</v>
      </c>
      <c r="Q1595" s="119" t="s">
        <v>112</v>
      </c>
      <c r="R1595" s="119" t="s">
        <v>112</v>
      </c>
      <c r="S1595" s="119" t="s">
        <v>112</v>
      </c>
      <c r="T1595" s="119" t="s">
        <v>112</v>
      </c>
      <c r="U1595" s="119" t="s">
        <v>112</v>
      </c>
      <c r="V1595" s="119" t="s">
        <v>112</v>
      </c>
      <c r="W1595" s="119" t="s">
        <v>112</v>
      </c>
      <c r="X1595" s="119" t="s">
        <v>112</v>
      </c>
      <c r="Y1595" s="119" t="s">
        <v>112</v>
      </c>
      <c r="Z1595" s="119" t="s">
        <v>112</v>
      </c>
      <c r="AA1595" s="119" t="s">
        <v>112</v>
      </c>
      <c r="AB1595" s="119" t="s">
        <v>112</v>
      </c>
      <c r="AC1595" s="119" t="s">
        <v>112</v>
      </c>
      <c r="AD1595" s="119" t="s">
        <v>112</v>
      </c>
      <c r="AE1595" s="119">
        <v>8.388573374603677</v>
      </c>
      <c r="AF1595" s="119">
        <v>8.3867949553879697</v>
      </c>
      <c r="AG1595" s="119">
        <v>8.3845150078278987</v>
      </c>
      <c r="AH1595" s="119">
        <v>8.3815933974564629</v>
      </c>
      <c r="AI1595" s="119">
        <v>8.3778516712303226</v>
      </c>
      <c r="AJ1595" s="119">
        <v>8.373063117599413</v>
      </c>
      <c r="AK1595" s="119">
        <v>8.3669405949948743</v>
      </c>
      <c r="AL1595" s="119">
        <v>8.3591218564412504</v>
      </c>
      <c r="AM1595" s="119">
        <v>8.349152231344652</v>
      </c>
      <c r="AN1595" s="119">
        <v>8.3364648084395956</v>
      </c>
      <c r="AO1595" s="119">
        <v>8.3203587861859951</v>
      </c>
      <c r="AP1595" s="119">
        <v>8.2999775407772329</v>
      </c>
      <c r="AQ1595" s="119">
        <v>8.2742893555422121</v>
      </c>
      <c r="AR1595" s="119">
        <v>8.242075801751696</v>
      </c>
      <c r="AS1595" s="119">
        <v>8.2019355161970626</v>
      </c>
      <c r="AT1595" s="119">
        <v>8.1523143917924727</v>
      </c>
      <c r="AU1595" s="119">
        <v>8.0915762674890761</v>
      </c>
      <c r="AV1595" s="119">
        <v>8.0181294805398284</v>
      </c>
      <c r="AW1595" s="119">
        <v>7.930621401410102</v>
      </c>
      <c r="AX1595" s="120">
        <v>7.8282017287304253</v>
      </c>
    </row>
    <row r="1596" spans="1:50" x14ac:dyDescent="0.25">
      <c r="A1596" s="356"/>
      <c r="B1596" s="362"/>
      <c r="C1596" s="354"/>
      <c r="D1596" s="4" t="s">
        <v>8</v>
      </c>
      <c r="E1596" s="168" t="str">
        <f>A1571&amp;"/"&amp;B1587&amp;"/"&amp;C1595&amp;"/"&amp;D1596</f>
        <v>Lignite fired power plants/Fluidized bed combustion/CHP with CCS/M</v>
      </c>
      <c r="F1596" s="80" t="str">
        <f>A1571</f>
        <v>Lignite fired power plants</v>
      </c>
      <c r="G1596" s="80" t="str">
        <f>B1587</f>
        <v>Fluidized bed combustion</v>
      </c>
      <c r="H1596" s="80" t="str">
        <f>C1595</f>
        <v>CHP with CCS</v>
      </c>
      <c r="I1596" s="169" t="str">
        <f t="shared" si="104"/>
        <v>M</v>
      </c>
      <c r="J1596" s="127" t="s">
        <v>112</v>
      </c>
      <c r="K1596" s="127" t="s">
        <v>112</v>
      </c>
      <c r="L1596" s="127" t="s">
        <v>112</v>
      </c>
      <c r="M1596" s="127" t="s">
        <v>112</v>
      </c>
      <c r="N1596" s="127" t="s">
        <v>112</v>
      </c>
      <c r="O1596" s="127" t="s">
        <v>112</v>
      </c>
      <c r="P1596" s="127" t="s">
        <v>112</v>
      </c>
      <c r="Q1596" s="127" t="s">
        <v>112</v>
      </c>
      <c r="R1596" s="127" t="s">
        <v>112</v>
      </c>
      <c r="S1596" s="127" t="s">
        <v>112</v>
      </c>
      <c r="T1596" s="127" t="s">
        <v>112</v>
      </c>
      <c r="U1596" s="127" t="s">
        <v>112</v>
      </c>
      <c r="V1596" s="127" t="s">
        <v>112</v>
      </c>
      <c r="W1596" s="127" t="s">
        <v>112</v>
      </c>
      <c r="X1596" s="127" t="s">
        <v>112</v>
      </c>
      <c r="Y1596" s="127" t="s">
        <v>112</v>
      </c>
      <c r="Z1596" s="127" t="s">
        <v>112</v>
      </c>
      <c r="AA1596" s="127" t="s">
        <v>112</v>
      </c>
      <c r="AB1596" s="127" t="s">
        <v>112</v>
      </c>
      <c r="AC1596" s="127" t="s">
        <v>112</v>
      </c>
      <c r="AD1596" s="127" t="s">
        <v>112</v>
      </c>
      <c r="AE1596" s="127">
        <v>9.209961581419547</v>
      </c>
      <c r="AF1596" s="127">
        <v>9.2077918924724322</v>
      </c>
      <c r="AG1596" s="127">
        <v>9.2050103340089429</v>
      </c>
      <c r="AH1596" s="127">
        <v>9.2014459406000757</v>
      </c>
      <c r="AI1596" s="127">
        <v>9.1968809977765407</v>
      </c>
      <c r="AJ1596" s="127">
        <v>9.19103891521587</v>
      </c>
      <c r="AK1596" s="127">
        <v>9.183569377377891</v>
      </c>
      <c r="AL1596" s="127">
        <v>9.1740304393871543</v>
      </c>
      <c r="AM1596" s="127">
        <v>9.1618673986440626</v>
      </c>
      <c r="AN1596" s="127">
        <v>9.1463886178249396</v>
      </c>
      <c r="AO1596" s="127">
        <v>9.1267391121533024</v>
      </c>
      <c r="AP1596" s="127">
        <v>9.1018737921538264</v>
      </c>
      <c r="AQ1596" s="127">
        <v>9.0705339533331735</v>
      </c>
      <c r="AR1596" s="127">
        <v>9.0312331006494002</v>
      </c>
      <c r="AS1596" s="127">
        <v>8.9822615571951729</v>
      </c>
      <c r="AT1596" s="127">
        <v>8.9217232970295957</v>
      </c>
      <c r="AU1596" s="127">
        <v>8.8476221875692858</v>
      </c>
      <c r="AV1596" s="127">
        <v>8.7580163845970347</v>
      </c>
      <c r="AW1596" s="127">
        <v>8.6512556667674474</v>
      </c>
      <c r="AX1596" s="128">
        <v>8.5263026580407466</v>
      </c>
    </row>
    <row r="1597" spans="1:50" x14ac:dyDescent="0.25">
      <c r="A1597" s="356"/>
      <c r="B1597" s="358" t="s">
        <v>19</v>
      </c>
      <c r="C1597" s="353" t="s">
        <v>6</v>
      </c>
      <c r="D1597" s="3" t="s">
        <v>7</v>
      </c>
      <c r="E1597" s="162" t="str">
        <f>A1571&amp;"/"&amp;B1597&amp;"/"&amp;C1597&amp;"/"&amp;D1597</f>
        <v>Lignite fired power plants/Steam turbine/Electricity only/L</v>
      </c>
      <c r="F1597" s="77" t="str">
        <f>A1571</f>
        <v>Lignite fired power plants</v>
      </c>
      <c r="G1597" s="77" t="str">
        <f>B1597</f>
        <v>Steam turbine</v>
      </c>
      <c r="H1597" s="77" t="str">
        <f>C1597</f>
        <v>Electricity only</v>
      </c>
      <c r="I1597" s="163" t="str">
        <f t="shared" si="104"/>
        <v>L</v>
      </c>
      <c r="J1597" s="121">
        <v>2.7633562217384027</v>
      </c>
      <c r="K1597" s="121">
        <v>2.767286801825056</v>
      </c>
      <c r="L1597" s="121">
        <v>2.7712196740567134</v>
      </c>
      <c r="M1597" s="121">
        <v>2.7751528113893946</v>
      </c>
      <c r="N1597" s="121">
        <v>2.779084194918934</v>
      </c>
      <c r="O1597" s="121">
        <v>2.7830118178301584</v>
      </c>
      <c r="P1597" s="121">
        <v>2.7869336892729653</v>
      </c>
      <c r="Q1597" s="121">
        <v>2.7908478381503206</v>
      </c>
      <c r="R1597" s="121">
        <v>2.7947523168038946</v>
      </c>
      <c r="S1597" s="121">
        <v>2.7986452045838601</v>
      </c>
      <c r="T1597" s="121">
        <v>2.8025246112902185</v>
      </c>
      <c r="U1597" s="121">
        <v>2.8063886804739728</v>
      </c>
      <c r="V1597" s="121">
        <v>2.8102355925874525</v>
      </c>
      <c r="W1597" s="121">
        <v>2.8140635679741255</v>
      </c>
      <c r="X1597" s="121">
        <v>2.8178708696893215</v>
      </c>
      <c r="Y1597" s="121">
        <v>2.8216558061443902</v>
      </c>
      <c r="Z1597" s="121">
        <v>2.8254167335679448</v>
      </c>
      <c r="AA1597" s="121">
        <v>2.8291520582789684</v>
      </c>
      <c r="AB1597" s="121">
        <v>2.8328602387676964</v>
      </c>
      <c r="AC1597" s="121">
        <v>2.8365397875813008</v>
      </c>
      <c r="AD1597" s="121">
        <v>2.8401892730125002</v>
      </c>
      <c r="AE1597" s="121">
        <v>2.8438073205903063</v>
      </c>
      <c r="AF1597" s="121">
        <v>2.8473926143731334</v>
      </c>
      <c r="AG1597" s="121">
        <v>2.8509438980454993</v>
      </c>
      <c r="AH1597" s="121">
        <v>2.8544599758205003</v>
      </c>
      <c r="AI1597" s="121">
        <v>2.8579397131511199</v>
      </c>
      <c r="AJ1597" s="121">
        <v>2.861382037254288</v>
      </c>
      <c r="AK1597" s="121">
        <v>2.8647859374523379</v>
      </c>
      <c r="AL1597" s="121">
        <v>2.8681504653372789</v>
      </c>
      <c r="AM1597" s="121">
        <v>2.8714747347638765</v>
      </c>
      <c r="AN1597" s="121">
        <v>2.8747579216781536</v>
      </c>
      <c r="AO1597" s="121">
        <v>2.8779992637884044</v>
      </c>
      <c r="AP1597" s="121">
        <v>2.8811980600862626</v>
      </c>
      <c r="AQ1597" s="121">
        <v>2.8843536702257042</v>
      </c>
      <c r="AR1597" s="121">
        <v>2.887465513768209</v>
      </c>
      <c r="AS1597" s="121">
        <v>2.8905330693024895</v>
      </c>
      <c r="AT1597" s="121">
        <v>2.8935558734473958</v>
      </c>
      <c r="AU1597" s="121">
        <v>2.8965335197467152</v>
      </c>
      <c r="AV1597" s="121">
        <v>2.8994656574646083</v>
      </c>
      <c r="AW1597" s="121">
        <v>2.9023519902904629</v>
      </c>
      <c r="AX1597" s="122">
        <v>2.9051922749618573</v>
      </c>
    </row>
    <row r="1598" spans="1:50" x14ac:dyDescent="0.25">
      <c r="A1598" s="356"/>
      <c r="B1598" s="359"/>
      <c r="C1598" s="350"/>
      <c r="D1598" s="2" t="s">
        <v>8</v>
      </c>
      <c r="E1598" s="160" t="str">
        <f>A1571&amp;"/"&amp;B1597&amp;"/"&amp;C1597&amp;"/"&amp;D1598</f>
        <v>Lignite fired power plants/Steam turbine/Electricity only/M</v>
      </c>
      <c r="F1598" s="76" t="str">
        <f>A1571</f>
        <v>Lignite fired power plants</v>
      </c>
      <c r="G1598" s="76" t="str">
        <f>B1597</f>
        <v>Steam turbine</v>
      </c>
      <c r="H1598" s="76" t="str">
        <f>C1597</f>
        <v>Electricity only</v>
      </c>
      <c r="I1598" s="161" t="str">
        <f t="shared" si="104"/>
        <v>M</v>
      </c>
      <c r="J1598" s="119">
        <v>2.9844247194774747</v>
      </c>
      <c r="K1598" s="119">
        <v>2.987608489347664</v>
      </c>
      <c r="L1598" s="119">
        <v>2.9907941158553064</v>
      </c>
      <c r="M1598" s="119">
        <v>2.9939799570947785</v>
      </c>
      <c r="N1598" s="119">
        <v>2.9971643777537054</v>
      </c>
      <c r="O1598" s="119">
        <v>3.0003457523117967</v>
      </c>
      <c r="P1598" s="119">
        <v>3.0035224681804706</v>
      </c>
      <c r="Q1598" s="119">
        <v>3.0066929287711286</v>
      </c>
      <c r="R1598" s="119">
        <v>3.0098555564805238</v>
      </c>
      <c r="S1598" s="119">
        <v>3.0130087955822957</v>
      </c>
      <c r="T1598" s="119">
        <v>3.0161511150144458</v>
      </c>
      <c r="U1598" s="119">
        <v>3.0192810110532866</v>
      </c>
      <c r="V1598" s="119">
        <v>3.0223970098652053</v>
      </c>
      <c r="W1598" s="119">
        <v>3.0254976699284106</v>
      </c>
      <c r="X1598" s="119">
        <v>3.0285815843177195</v>
      </c>
      <c r="Y1598" s="119">
        <v>3.0316473828463248</v>
      </c>
      <c r="Z1598" s="119">
        <v>3.0346937340594042</v>
      </c>
      <c r="AA1598" s="119">
        <v>3.0377193470753334</v>
      </c>
      <c r="AB1598" s="119">
        <v>3.0407229732712033</v>
      </c>
      <c r="AC1598" s="119">
        <v>3.0437034078102227</v>
      </c>
      <c r="AD1598" s="119">
        <v>3.0466594910094935</v>
      </c>
      <c r="AE1598" s="119">
        <v>3.0495901095475175</v>
      </c>
      <c r="AF1598" s="119">
        <v>3.0524941975116073</v>
      </c>
      <c r="AG1598" s="119">
        <v>3.0553707372862235</v>
      </c>
      <c r="AH1598" s="119">
        <v>3.0582187602839741</v>
      </c>
      <c r="AI1598" s="119">
        <v>3.0610373475217765</v>
      </c>
      <c r="AJ1598" s="119">
        <v>3.0638256300453417</v>
      </c>
      <c r="AK1598" s="119">
        <v>3.0665827892057624</v>
      </c>
      <c r="AL1598" s="119">
        <v>3.0693080567925648</v>
      </c>
      <c r="AM1598" s="119">
        <v>3.0720007150281092</v>
      </c>
      <c r="AN1598" s="119">
        <v>3.0746600964286732</v>
      </c>
      <c r="AO1598" s="119">
        <v>3.0772855835379769</v>
      </c>
      <c r="AP1598" s="119">
        <v>3.0798766085392417</v>
      </c>
      <c r="AQ1598" s="119">
        <v>3.0824326527521895</v>
      </c>
      <c r="AR1598" s="119">
        <v>3.0849532460216182</v>
      </c>
      <c r="AS1598" s="119">
        <v>3.0874379660043854</v>
      </c>
      <c r="AT1598" s="119">
        <v>3.0898864373617596</v>
      </c>
      <c r="AU1598" s="119">
        <v>3.0922983308642085</v>
      </c>
      <c r="AV1598" s="119">
        <v>3.0946733624157017</v>
      </c>
      <c r="AW1598" s="119">
        <v>3.0970112920046442</v>
      </c>
      <c r="AX1598" s="120">
        <v>3.0993119225884733</v>
      </c>
    </row>
    <row r="1599" spans="1:50" x14ac:dyDescent="0.25">
      <c r="A1599" s="356"/>
      <c r="B1599" s="359"/>
      <c r="C1599" s="350"/>
      <c r="D1599" s="2" t="s">
        <v>10</v>
      </c>
      <c r="E1599" s="160" t="str">
        <f>A1571&amp;"/"&amp;B1597&amp;"/"&amp;C1597&amp;"/"&amp;D1599</f>
        <v>Lignite fired power plants/Steam turbine/Electricity only/S</v>
      </c>
      <c r="F1599" s="76" t="str">
        <f>A1571</f>
        <v>Lignite fired power plants</v>
      </c>
      <c r="G1599" s="76" t="str">
        <f>B1597</f>
        <v>Steam turbine</v>
      </c>
      <c r="H1599" s="76" t="str">
        <f>C1597</f>
        <v>Electricity only</v>
      </c>
      <c r="I1599" s="161" t="str">
        <f t="shared" si="104"/>
        <v>S</v>
      </c>
      <c r="J1599" s="119">
        <v>3.2977893150226096</v>
      </c>
      <c r="K1599" s="119">
        <v>3.3007210364447426</v>
      </c>
      <c r="L1599" s="119">
        <v>3.3036544675205297</v>
      </c>
      <c r="M1599" s="119">
        <v>3.3065880963285439</v>
      </c>
      <c r="N1599" s="119">
        <v>3.3095204170186392</v>
      </c>
      <c r="O1599" s="119">
        <v>3.3124499327575481</v>
      </c>
      <c r="P1599" s="119">
        <v>3.3153751586199518</v>
      </c>
      <c r="Q1599" s="119">
        <v>3.3182946244138494</v>
      </c>
      <c r="R1599" s="119">
        <v>3.3212068774295842</v>
      </c>
      <c r="S1599" s="119">
        <v>3.3241104851024659</v>
      </c>
      <c r="T1599" s="119">
        <v>3.3270040375795706</v>
      </c>
      <c r="U1599" s="119">
        <v>3.3298861501820034</v>
      </c>
      <c r="V1599" s="119">
        <v>3.3327554657546452</v>
      </c>
      <c r="W1599" s="119">
        <v>3.3356106568961801</v>
      </c>
      <c r="X1599" s="119">
        <v>3.3384504280630019</v>
      </c>
      <c r="Y1599" s="119">
        <v>3.3412735175414259</v>
      </c>
      <c r="Z1599" s="119">
        <v>3.3440786992834695</v>
      </c>
      <c r="AA1599" s="119">
        <v>3.3468647846023045</v>
      </c>
      <c r="AB1599" s="119">
        <v>3.3496306237243347</v>
      </c>
      <c r="AC1599" s="119">
        <v>3.352375107195682</v>
      </c>
      <c r="AD1599" s="119">
        <v>3.3550971671416772</v>
      </c>
      <c r="AE1599" s="119">
        <v>3.3577957783787742</v>
      </c>
      <c r="AF1599" s="119">
        <v>3.3604699593790404</v>
      </c>
      <c r="AG1599" s="119">
        <v>3.363118773088166</v>
      </c>
      <c r="AH1599" s="119">
        <v>3.3657413275985948</v>
      </c>
      <c r="AI1599" s="119">
        <v>3.3683367766800711</v>
      </c>
      <c r="AJ1599" s="119">
        <v>3.3709043201705207</v>
      </c>
      <c r="AK1599" s="119">
        <v>3.3734432042307416</v>
      </c>
      <c r="AL1599" s="119">
        <v>3.3759527214669225</v>
      </c>
      <c r="AM1599" s="119">
        <v>3.3784322109254856</v>
      </c>
      <c r="AN1599" s="119">
        <v>3.3808810579651718</v>
      </c>
      <c r="AO1599" s="119">
        <v>3.3832986940116556</v>
      </c>
      <c r="AP1599" s="119">
        <v>3.3856845962003201</v>
      </c>
      <c r="AQ1599" s="119">
        <v>3.3880382869130767</v>
      </c>
      <c r="AR1599" s="119">
        <v>3.3903593332153421</v>
      </c>
      <c r="AS1599" s="119">
        <v>3.3926473461994733</v>
      </c>
      <c r="AT1599" s="119">
        <v>3.3949019802410558</v>
      </c>
      <c r="AU1599" s="119">
        <v>3.3971229321745606</v>
      </c>
      <c r="AV1599" s="119">
        <v>3.3993099403948941</v>
      </c>
      <c r="AW1599" s="119">
        <v>3.4014627838913785</v>
      </c>
      <c r="AX1599" s="120">
        <v>3.4035812812206547</v>
      </c>
    </row>
    <row r="1600" spans="1:50" x14ac:dyDescent="0.25">
      <c r="A1600" s="356"/>
      <c r="B1600" s="359"/>
      <c r="C1600" s="360"/>
      <c r="D1600" s="2" t="s">
        <v>20</v>
      </c>
      <c r="E1600" s="160" t="str">
        <f>A1571&amp;"/"&amp;B1597&amp;"/"&amp;C1597&amp;"/"&amp;D1600</f>
        <v>Lignite fired power plants/Steam turbine/Electricity only/XS</v>
      </c>
      <c r="F1600" s="76" t="str">
        <f>A1571</f>
        <v>Lignite fired power plants</v>
      </c>
      <c r="G1600" s="76" t="str">
        <f>B1597</f>
        <v>Steam turbine</v>
      </c>
      <c r="H1600" s="76" t="str">
        <f>C1597</f>
        <v>Electricity only</v>
      </c>
      <c r="I1600" s="161" t="str">
        <f t="shared" si="104"/>
        <v>XS</v>
      </c>
      <c r="J1600" s="119">
        <v>3.9573471780271321</v>
      </c>
      <c r="K1600" s="119">
        <v>3.9596789824159258</v>
      </c>
      <c r="L1600" s="119">
        <v>3.9620016686070123</v>
      </c>
      <c r="M1600" s="119">
        <v>3.9643141656580583</v>
      </c>
      <c r="N1600" s="119">
        <v>3.9666154249920753</v>
      </c>
      <c r="O1600" s="119">
        <v>3.9689044220722351</v>
      </c>
      <c r="P1600" s="119">
        <v>3.9711801579795325</v>
      </c>
      <c r="Q1600" s="119">
        <v>3.9734416608891561</v>
      </c>
      <c r="R1600" s="119">
        <v>3.9756879874421109</v>
      </c>
      <c r="S1600" s="119">
        <v>3.977918224009223</v>
      </c>
      <c r="T1600" s="119">
        <v>3.9801314878452891</v>
      </c>
      <c r="U1600" s="119">
        <v>3.9823269281318043</v>
      </c>
      <c r="V1600" s="119">
        <v>3.9845037269072563</v>
      </c>
      <c r="W1600" s="119">
        <v>3.9866610998846168</v>
      </c>
      <c r="X1600" s="119">
        <v>3.9887982971562344</v>
      </c>
      <c r="Y1600" s="119">
        <v>3.9909146037868606</v>
      </c>
      <c r="Z1600" s="119">
        <v>3.9930093402961302</v>
      </c>
      <c r="AA1600" s="119">
        <v>3.9950818630322447</v>
      </c>
      <c r="AB1600" s="119">
        <v>3.9971315644391456</v>
      </c>
      <c r="AC1600" s="119">
        <v>3.9991578732198469</v>
      </c>
      <c r="AD1600" s="119">
        <v>4.0011602543990321</v>
      </c>
      <c r="AE1600" s="119">
        <v>4.0031382092883465</v>
      </c>
      <c r="AF1600" s="119">
        <v>4.0050912753581773</v>
      </c>
      <c r="AG1600" s="119">
        <v>4.007019026019953</v>
      </c>
      <c r="AH1600" s="119">
        <v>4.0089210703232983</v>
      </c>
      <c r="AI1600" s="119">
        <v>4.0107970525725145</v>
      </c>
      <c r="AJ1600" s="119">
        <v>4.0126466518670973</v>
      </c>
      <c r="AK1600" s="119">
        <v>4.0144695815710731</v>
      </c>
      <c r="AL1600" s="119">
        <v>4.0162655887160907</v>
      </c>
      <c r="AM1600" s="119">
        <v>4.0180344533432093</v>
      </c>
      <c r="AN1600" s="119">
        <v>4.0197759877884103</v>
      </c>
      <c r="AO1600" s="119">
        <v>4.0214900359168047</v>
      </c>
      <c r="AP1600" s="119">
        <v>4.0231764723105217</v>
      </c>
      <c r="AQ1600" s="119">
        <v>4.0248352014152013</v>
      </c>
      <c r="AR1600" s="119">
        <v>4.026466156649894</v>
      </c>
      <c r="AS1600" s="119">
        <v>4.0280692994851179</v>
      </c>
      <c r="AT1600" s="119">
        <v>4.029644618493684</v>
      </c>
      <c r="AU1600" s="119">
        <v>4.0311921283787324</v>
      </c>
      <c r="AV1600" s="119">
        <v>4.0327118689833119</v>
      </c>
      <c r="AW1600" s="119">
        <v>4.0342039042856186</v>
      </c>
      <c r="AX1600" s="120">
        <v>4.0356683213838753</v>
      </c>
    </row>
    <row r="1601" spans="1:50" x14ac:dyDescent="0.25">
      <c r="A1601" s="356"/>
      <c r="B1601" s="359"/>
      <c r="C1601" s="361" t="s">
        <v>14</v>
      </c>
      <c r="D1601" s="58" t="s">
        <v>7</v>
      </c>
      <c r="E1601" s="164" t="str">
        <f>A1571&amp;"/"&amp;B1597&amp;"/"&amp;C1601&amp;"/"&amp;D1601</f>
        <v>Lignite fired power plants/Steam turbine/CHP/L</v>
      </c>
      <c r="F1601" s="78" t="str">
        <f>A1571</f>
        <v>Lignite fired power plants</v>
      </c>
      <c r="G1601" s="78" t="str">
        <f>B1597</f>
        <v>Steam turbine</v>
      </c>
      <c r="H1601" s="78" t="str">
        <f>C1601</f>
        <v>CHP</v>
      </c>
      <c r="I1601" s="165" t="str">
        <f t="shared" si="104"/>
        <v>L</v>
      </c>
      <c r="J1601" s="123">
        <v>3.4680417723013193</v>
      </c>
      <c r="K1601" s="123">
        <v>3.4711070993059732</v>
      </c>
      <c r="L1601" s="123">
        <v>3.4741680296907487</v>
      </c>
      <c r="M1601" s="123">
        <v>3.477223870428138</v>
      </c>
      <c r="N1601" s="123">
        <v>3.4802739353811485</v>
      </c>
      <c r="O1601" s="123">
        <v>3.4833175458537644</v>
      </c>
      <c r="P1601" s="123">
        <v>3.4863540311255083</v>
      </c>
      <c r="Q1601" s="123">
        <v>3.4893827289693293</v>
      </c>
      <c r="R1601" s="123">
        <v>3.4924029861521304</v>
      </c>
      <c r="S1601" s="123">
        <v>3.4954141589172587</v>
      </c>
      <c r="T1601" s="123">
        <v>3.4984156134483726</v>
      </c>
      <c r="U1601" s="123">
        <v>3.5014067263141344</v>
      </c>
      <c r="V1601" s="123">
        <v>3.5043868848932429</v>
      </c>
      <c r="W1601" s="123">
        <v>3.5073554877793716</v>
      </c>
      <c r="X1601" s="123">
        <v>3.5103119451656277</v>
      </c>
      <c r="Y1601" s="123">
        <v>3.5132556792082332</v>
      </c>
      <c r="Z1601" s="123">
        <v>3.5161861243691312</v>
      </c>
      <c r="AA1601" s="123">
        <v>3.5191027277373341</v>
      </c>
      <c r="AB1601" s="123">
        <v>3.5220049493288412</v>
      </c>
      <c r="AC1601" s="123">
        <v>3.5248922623650349</v>
      </c>
      <c r="AD1601" s="123">
        <v>3.5277641535294917</v>
      </c>
      <c r="AE1601" s="123">
        <v>3.5306201232032213</v>
      </c>
      <c r="AF1601" s="123">
        <v>3.5334596856783764</v>
      </c>
      <c r="AG1601" s="123">
        <v>3.536282369350535</v>
      </c>
      <c r="AH1601" s="123">
        <v>3.5390877168897013</v>
      </c>
      <c r="AI1601" s="123">
        <v>3.5418752853902098</v>
      </c>
      <c r="AJ1601" s="123">
        <v>3.5446446464997745</v>
      </c>
      <c r="AK1601" s="123">
        <v>3.5473953865279437</v>
      </c>
      <c r="AL1601" s="123">
        <v>3.5501271065342914</v>
      </c>
      <c r="AM1601" s="123">
        <v>3.5528394223966711</v>
      </c>
      <c r="AN1601" s="123">
        <v>3.5555319648599344</v>
      </c>
      <c r="AO1601" s="123">
        <v>3.55820437956553</v>
      </c>
      <c r="AP1601" s="123">
        <v>3.5608563270624138</v>
      </c>
      <c r="AQ1601" s="123">
        <v>3.5634874827997596</v>
      </c>
      <c r="AR1601" s="123">
        <v>3.5660975371019648</v>
      </c>
      <c r="AS1601" s="123">
        <v>3.5686861951264732</v>
      </c>
      <c r="AT1601" s="123">
        <v>3.5712531768049587</v>
      </c>
      <c r="AU1601" s="123">
        <v>3.5737982167684397</v>
      </c>
      <c r="AV1601" s="123">
        <v>3.5763210642568861</v>
      </c>
      <c r="AW1601" s="123">
        <v>3.5788214830139387</v>
      </c>
      <c r="AX1601" s="124">
        <v>3.581299251167319</v>
      </c>
    </row>
    <row r="1602" spans="1:50" x14ac:dyDescent="0.25">
      <c r="A1602" s="356"/>
      <c r="B1602" s="359"/>
      <c r="C1602" s="350"/>
      <c r="D1602" s="2" t="s">
        <v>8</v>
      </c>
      <c r="E1602" s="160" t="str">
        <f>A1571&amp;"/"&amp;B1597&amp;"/"&amp;C1601&amp;"/"&amp;D1602</f>
        <v>Lignite fired power plants/Steam turbine/CHP/M</v>
      </c>
      <c r="F1602" s="76" t="str">
        <f>A1571</f>
        <v>Lignite fired power plants</v>
      </c>
      <c r="G1602" s="76" t="str">
        <f>B1597</f>
        <v>Steam turbine</v>
      </c>
      <c r="H1602" s="76" t="str">
        <f>C1601</f>
        <v>CHP</v>
      </c>
      <c r="I1602" s="161" t="str">
        <f t="shared" si="104"/>
        <v>M</v>
      </c>
      <c r="J1602" s="119">
        <v>3.6793020961156473</v>
      </c>
      <c r="K1602" s="119">
        <v>3.6813523003232249</v>
      </c>
      <c r="L1602" s="119">
        <v>3.6833944671746863</v>
      </c>
      <c r="M1602" s="119">
        <v>3.6854282009100618</v>
      </c>
      <c r="N1602" s="119">
        <v>3.6874531136541764</v>
      </c>
      <c r="O1602" s="119">
        <v>3.689468825648524</v>
      </c>
      <c r="P1602" s="119">
        <v>3.691474965469407</v>
      </c>
      <c r="Q1602" s="119">
        <v>3.6934711702322049</v>
      </c>
      <c r="R1602" s="119">
        <v>3.6954570857816869</v>
      </c>
      <c r="S1602" s="119">
        <v>3.6974323668682954</v>
      </c>
      <c r="T1602" s="119">
        <v>3.6993966773103755</v>
      </c>
      <c r="U1602" s="119">
        <v>3.7013496901423517</v>
      </c>
      <c r="V1602" s="119">
        <v>3.70329108774889</v>
      </c>
      <c r="W1602" s="119">
        <v>3.7052205619851097</v>
      </c>
      <c r="X1602" s="119">
        <v>3.7071378142829405</v>
      </c>
      <c r="Y1602" s="119">
        <v>3.7090425557437503</v>
      </c>
      <c r="Z1602" s="119">
        <v>3.7109345072173969</v>
      </c>
      <c r="AA1602" s="119">
        <v>3.7128133993678829</v>
      </c>
      <c r="AB1602" s="119">
        <v>3.7146789727258138</v>
      </c>
      <c r="AC1602" s="119">
        <v>3.7165309777278912</v>
      </c>
      <c r="AD1602" s="119">
        <v>3.7183691747436876</v>
      </c>
      <c r="AE1602" s="119">
        <v>3.7201933340899753</v>
      </c>
      <c r="AF1602" s="119">
        <v>3.7220032360329056</v>
      </c>
      <c r="AG1602" s="119">
        <v>3.7237986707783262</v>
      </c>
      <c r="AH1602" s="119">
        <v>3.7255794384505938</v>
      </c>
      <c r="AI1602" s="119">
        <v>3.7273453490601871</v>
      </c>
      <c r="AJ1602" s="119">
        <v>3.7290962224605075</v>
      </c>
      <c r="AK1602" s="119">
        <v>3.7308318882942015</v>
      </c>
      <c r="AL1602" s="119">
        <v>3.7325521859294111</v>
      </c>
      <c r="AM1602" s="119">
        <v>3.7342569643863159</v>
      </c>
      <c r="AN1602" s="119">
        <v>3.7359460822543706</v>
      </c>
      <c r="AO1602" s="119">
        <v>3.7376194076006457</v>
      </c>
      <c r="AP1602" s="119">
        <v>3.739276817869658</v>
      </c>
      <c r="AQ1602" s="119">
        <v>3.7409181997751291</v>
      </c>
      <c r="AR1602" s="119">
        <v>3.742543449184053</v>
      </c>
      <c r="AS1602" s="119">
        <v>3.7441524709935177</v>
      </c>
      <c r="AT1602" s="119">
        <v>3.7457451790006759</v>
      </c>
      <c r="AU1602" s="119">
        <v>3.7473214957662857</v>
      </c>
      <c r="AV1602" s="119">
        <v>3.7488813524722384</v>
      </c>
      <c r="AW1602" s="119">
        <v>3.7504246887734758</v>
      </c>
      <c r="AX1602" s="120">
        <v>3.7519514526447093</v>
      </c>
    </row>
    <row r="1603" spans="1:50" x14ac:dyDescent="0.25">
      <c r="A1603" s="356"/>
      <c r="B1603" s="359"/>
      <c r="C1603" s="350"/>
      <c r="D1603" s="2" t="s">
        <v>10</v>
      </c>
      <c r="E1603" s="160" t="str">
        <f>A1571&amp;"/"&amp;B1597&amp;"/"&amp;C1601&amp;"/"&amp;D1603</f>
        <v>Lignite fired power plants/Steam turbine/CHP/S</v>
      </c>
      <c r="F1603" s="76" t="str">
        <f>A1571</f>
        <v>Lignite fired power plants</v>
      </c>
      <c r="G1603" s="76" t="str">
        <f>B1597</f>
        <v>Steam turbine</v>
      </c>
      <c r="H1603" s="76" t="str">
        <f>C1601</f>
        <v>CHP</v>
      </c>
      <c r="I1603" s="161" t="str">
        <f t="shared" si="104"/>
        <v>S</v>
      </c>
      <c r="J1603" s="119">
        <v>4.8480026406435588</v>
      </c>
      <c r="K1603" s="119">
        <v>4.8498336441620786</v>
      </c>
      <c r="L1603" s="119">
        <v>4.8516526958602579</v>
      </c>
      <c r="M1603" s="119">
        <v>4.8534595343234885</v>
      </c>
      <c r="N1603" s="119">
        <v>4.855253907220562</v>
      </c>
      <c r="O1603" s="119">
        <v>4.8570355713578977</v>
      </c>
      <c r="P1603" s="119">
        <v>4.8588042927217971</v>
      </c>
      <c r="Q1603" s="119">
        <v>4.8605598465089752</v>
      </c>
      <c r="R1603" s="119">
        <v>4.8623020171455709</v>
      </c>
      <c r="S1603" s="119">
        <v>4.8640305982948986</v>
      </c>
      <c r="T1603" s="119">
        <v>4.8657453928541976</v>
      </c>
      <c r="U1603" s="119">
        <v>4.8674462129406635</v>
      </c>
      <c r="V1603" s="119">
        <v>4.8691328798670561</v>
      </c>
      <c r="W1603" s="119">
        <v>4.8708052241071975</v>
      </c>
      <c r="X1603" s="119">
        <v>4.872463085251673</v>
      </c>
      <c r="Y1603" s="119">
        <v>4.8741063119540753</v>
      </c>
      <c r="Z1603" s="119">
        <v>4.8757347618681264</v>
      </c>
      <c r="AA1603" s="119">
        <v>4.8773483015760499</v>
      </c>
      <c r="AB1603" s="119">
        <v>4.8789468065085124</v>
      </c>
      <c r="AC1603" s="119">
        <v>4.8805301608565408</v>
      </c>
      <c r="AD1603" s="119">
        <v>4.8820982574757572</v>
      </c>
      <c r="AE1603" s="119">
        <v>4.8836509977833069</v>
      </c>
      <c r="AF1603" s="119">
        <v>4.885188291647875</v>
      </c>
      <c r="AG1603" s="119">
        <v>4.8867100572731337</v>
      </c>
      <c r="AH1603" s="119">
        <v>4.8882162210750391</v>
      </c>
      <c r="AI1603" s="119">
        <v>4.8897067175533149</v>
      </c>
      <c r="AJ1603" s="119">
        <v>4.891181489157522</v>
      </c>
      <c r="AK1603" s="119">
        <v>4.8926404861480846</v>
      </c>
      <c r="AL1603" s="119">
        <v>4.8940836664526319</v>
      </c>
      <c r="AM1603" s="119">
        <v>4.8955109955180331</v>
      </c>
      <c r="AN1603" s="119">
        <v>4.8969224461584755</v>
      </c>
      <c r="AO1603" s="119">
        <v>4.8983179983999463</v>
      </c>
      <c r="AP1603" s="119">
        <v>4.8996976393214711</v>
      </c>
      <c r="AQ1603" s="119">
        <v>4.9010613628934445</v>
      </c>
      <c r="AR1603" s="119">
        <v>4.9024091698133825</v>
      </c>
      <c r="AS1603" s="119">
        <v>4.9037410673394461</v>
      </c>
      <c r="AT1603" s="119">
        <v>4.9050570691220159</v>
      </c>
      <c r="AU1603" s="119">
        <v>4.9063571950336753</v>
      </c>
      <c r="AV1603" s="119">
        <v>4.9076414709978593</v>
      </c>
      <c r="AW1603" s="119">
        <v>4.9089099288164855</v>
      </c>
      <c r="AX1603" s="120">
        <v>4.9101626059968453</v>
      </c>
    </row>
    <row r="1604" spans="1:50" x14ac:dyDescent="0.25">
      <c r="A1604" s="356"/>
      <c r="B1604" s="359"/>
      <c r="C1604" s="360"/>
      <c r="D1604" s="59" t="s">
        <v>20</v>
      </c>
      <c r="E1604" s="166" t="str">
        <f>A1571&amp;"/"&amp;B1597&amp;"/"&amp;C1601&amp;"/"&amp;D1604</f>
        <v>Lignite fired power plants/Steam turbine/CHP/XS</v>
      </c>
      <c r="F1604" s="79" t="str">
        <f>A1571</f>
        <v>Lignite fired power plants</v>
      </c>
      <c r="G1604" s="79" t="str">
        <f>B1597</f>
        <v>Steam turbine</v>
      </c>
      <c r="H1604" s="79" t="str">
        <f>C1601</f>
        <v>CHP</v>
      </c>
      <c r="I1604" s="167" t="str">
        <f t="shared" si="104"/>
        <v>XS</v>
      </c>
      <c r="J1604" s="125">
        <v>4.7159641274269815</v>
      </c>
      <c r="K1604" s="125">
        <v>4.7170595548804037</v>
      </c>
      <c r="L1604" s="125">
        <v>4.7181447677997035</v>
      </c>
      <c r="M1604" s="125">
        <v>4.7192196895696119</v>
      </c>
      <c r="N1604" s="125">
        <v>4.7202842493329475</v>
      </c>
      <c r="O1604" s="125">
        <v>4.7213383819241974</v>
      </c>
      <c r="P1604" s="125">
        <v>4.7223820277984627</v>
      </c>
      <c r="Q1604" s="125">
        <v>4.7234151329560063</v>
      </c>
      <c r="R1604" s="125">
        <v>4.7244376488626321</v>
      </c>
      <c r="S1604" s="125">
        <v>4.7254495323661772</v>
      </c>
      <c r="T1604" s="125">
        <v>4.7264507456093199</v>
      </c>
      <c r="U1604" s="125">
        <v>4.72744125593898</v>
      </c>
      <c r="V1604" s="125">
        <v>4.728421035812528</v>
      </c>
      <c r="W1604" s="125">
        <v>4.7293900627010599</v>
      </c>
      <c r="X1604" s="125">
        <v>4.7303483189899671</v>
      </c>
      <c r="Y1604" s="125">
        <v>4.7312957918770326</v>
      </c>
      <c r="Z1604" s="125">
        <v>4.7322324732682874</v>
      </c>
      <c r="AA1604" s="125">
        <v>4.7331583596718518</v>
      </c>
      <c r="AB1604" s="125">
        <v>4.7340734520899748</v>
      </c>
      <c r="AC1604" s="125">
        <v>4.7349777559095116</v>
      </c>
      <c r="AD1604" s="125">
        <v>4.7358712807910059</v>
      </c>
      <c r="AE1604" s="125">
        <v>4.7367540405566402</v>
      </c>
      <c r="AF1604" s="125">
        <v>4.7376260530771956</v>
      </c>
      <c r="AG1604" s="125">
        <v>4.738487340158267</v>
      </c>
      <c r="AH1604" s="125">
        <v>4.7393379274258756</v>
      </c>
      <c r="AI1604" s="125">
        <v>4.7401778442116953</v>
      </c>
      <c r="AJ1604" s="125">
        <v>4.7410071234380498</v>
      </c>
      <c r="AK1604" s="125">
        <v>4.7418258015028494</v>
      </c>
      <c r="AL1604" s="125">
        <v>4.7426339181646346</v>
      </c>
      <c r="AM1604" s="125">
        <v>4.7434315164278793</v>
      </c>
      <c r="AN1604" s="125">
        <v>4.7442186424286978</v>
      </c>
      <c r="AO1604" s="125">
        <v>4.7449953453211027</v>
      </c>
      <c r="AP1604" s="125">
        <v>4.7457616771639426</v>
      </c>
      <c r="AQ1604" s="125">
        <v>4.746517692808645</v>
      </c>
      <c r="AR1604" s="125">
        <v>4.7472634497878952</v>
      </c>
      <c r="AS1604" s="125">
        <v>4.7479990082053529</v>
      </c>
      <c r="AT1604" s="125">
        <v>4.7487244306265257</v>
      </c>
      <c r="AU1604" s="125">
        <v>4.7494397819708771</v>
      </c>
      <c r="AV1604" s="125">
        <v>4.7501451294052979</v>
      </c>
      <c r="AW1604" s="125">
        <v>4.750840542238997</v>
      </c>
      <c r="AX1604" s="126">
        <v>4.7515260918199047</v>
      </c>
    </row>
    <row r="1605" spans="1:50" x14ac:dyDescent="0.25">
      <c r="A1605" s="356"/>
      <c r="B1605" s="359"/>
      <c r="C1605" s="361" t="s">
        <v>15</v>
      </c>
      <c r="D1605" s="58" t="s">
        <v>7</v>
      </c>
      <c r="E1605" s="164" t="str">
        <f>A1571&amp;"/"&amp;B1597&amp;"/"&amp;C1605&amp;"/"&amp;D1605</f>
        <v>Lignite fired power plants/Steam turbine/Electricity only with CCS/L</v>
      </c>
      <c r="F1605" s="78" t="str">
        <f>A1571</f>
        <v>Lignite fired power plants</v>
      </c>
      <c r="G1605" s="78" t="str">
        <f>B1597</f>
        <v>Steam turbine</v>
      </c>
      <c r="H1605" s="78" t="str">
        <f>C1605</f>
        <v>Electricity only with CCS</v>
      </c>
      <c r="I1605" s="165" t="str">
        <f t="shared" si="104"/>
        <v>L</v>
      </c>
      <c r="J1605" s="123" t="s">
        <v>112</v>
      </c>
      <c r="K1605" s="123" t="s">
        <v>112</v>
      </c>
      <c r="L1605" s="123" t="s">
        <v>112</v>
      </c>
      <c r="M1605" s="123" t="s">
        <v>112</v>
      </c>
      <c r="N1605" s="123" t="s">
        <v>112</v>
      </c>
      <c r="O1605" s="123" t="s">
        <v>112</v>
      </c>
      <c r="P1605" s="123" t="s">
        <v>112</v>
      </c>
      <c r="Q1605" s="123" t="s">
        <v>112</v>
      </c>
      <c r="R1605" s="123" t="s">
        <v>112</v>
      </c>
      <c r="S1605" s="123" t="s">
        <v>112</v>
      </c>
      <c r="T1605" s="123" t="s">
        <v>112</v>
      </c>
      <c r="U1605" s="123" t="s">
        <v>112</v>
      </c>
      <c r="V1605" s="123" t="s">
        <v>112</v>
      </c>
      <c r="W1605" s="123" t="s">
        <v>112</v>
      </c>
      <c r="X1605" s="123" t="s">
        <v>112</v>
      </c>
      <c r="Y1605" s="123" t="s">
        <v>112</v>
      </c>
      <c r="Z1605" s="123" t="s">
        <v>112</v>
      </c>
      <c r="AA1605" s="123" t="s">
        <v>112</v>
      </c>
      <c r="AB1605" s="123" t="s">
        <v>112</v>
      </c>
      <c r="AC1605" s="123" t="s">
        <v>112</v>
      </c>
      <c r="AD1605" s="123" t="s">
        <v>112</v>
      </c>
      <c r="AE1605" s="123">
        <v>7.6171336956808373</v>
      </c>
      <c r="AF1605" s="123">
        <v>7.6171336956808373</v>
      </c>
      <c r="AG1605" s="123">
        <v>7.6171336956808373</v>
      </c>
      <c r="AH1605" s="123">
        <v>7.6171336956808373</v>
      </c>
      <c r="AI1605" s="123">
        <v>7.6171336956808373</v>
      </c>
      <c r="AJ1605" s="123">
        <v>7.6171336956808373</v>
      </c>
      <c r="AK1605" s="123">
        <v>7.6171336956808373</v>
      </c>
      <c r="AL1605" s="123">
        <v>7.6171336956808373</v>
      </c>
      <c r="AM1605" s="123">
        <v>7.6171336956808373</v>
      </c>
      <c r="AN1605" s="123">
        <v>7.6171336956808373</v>
      </c>
      <c r="AO1605" s="123">
        <v>7.6171336956808373</v>
      </c>
      <c r="AP1605" s="123">
        <v>7.6171336956808373</v>
      </c>
      <c r="AQ1605" s="123">
        <v>7.6171336956808373</v>
      </c>
      <c r="AR1605" s="123">
        <v>7.6171336956808373</v>
      </c>
      <c r="AS1605" s="123">
        <v>7.6171336956808373</v>
      </c>
      <c r="AT1605" s="123">
        <v>7.6171336956808373</v>
      </c>
      <c r="AU1605" s="123">
        <v>7.6171336956808373</v>
      </c>
      <c r="AV1605" s="123">
        <v>7.6171336956808373</v>
      </c>
      <c r="AW1605" s="123">
        <v>7.6171336956808373</v>
      </c>
      <c r="AX1605" s="124">
        <v>7.6171336956808373</v>
      </c>
    </row>
    <row r="1606" spans="1:50" x14ac:dyDescent="0.25">
      <c r="A1606" s="356"/>
      <c r="B1606" s="359"/>
      <c r="C1606" s="360"/>
      <c r="D1606" s="59" t="s">
        <v>8</v>
      </c>
      <c r="E1606" s="166" t="str">
        <f>A1571&amp;"/"&amp;B1597&amp;"/"&amp;C1605&amp;"/"&amp;D1606</f>
        <v>Lignite fired power plants/Steam turbine/Electricity only with CCS/M</v>
      </c>
      <c r="F1606" s="79" t="str">
        <f>A1571</f>
        <v>Lignite fired power plants</v>
      </c>
      <c r="G1606" s="79" t="str">
        <f>B1597</f>
        <v>Steam turbine</v>
      </c>
      <c r="H1606" s="79" t="str">
        <f>C1605</f>
        <v>Electricity only with CCS</v>
      </c>
      <c r="I1606" s="167" t="str">
        <f t="shared" si="104"/>
        <v>M</v>
      </c>
      <c r="J1606" s="125" t="s">
        <v>112</v>
      </c>
      <c r="K1606" s="125" t="s">
        <v>112</v>
      </c>
      <c r="L1606" s="125" t="s">
        <v>112</v>
      </c>
      <c r="M1606" s="125" t="s">
        <v>112</v>
      </c>
      <c r="N1606" s="125" t="s">
        <v>112</v>
      </c>
      <c r="O1606" s="125" t="s">
        <v>112</v>
      </c>
      <c r="P1606" s="125" t="s">
        <v>112</v>
      </c>
      <c r="Q1606" s="125" t="s">
        <v>112</v>
      </c>
      <c r="R1606" s="125" t="s">
        <v>112</v>
      </c>
      <c r="S1606" s="125" t="s">
        <v>112</v>
      </c>
      <c r="T1606" s="125" t="s">
        <v>112</v>
      </c>
      <c r="U1606" s="125" t="s">
        <v>112</v>
      </c>
      <c r="V1606" s="125" t="s">
        <v>112</v>
      </c>
      <c r="W1606" s="125" t="s">
        <v>112</v>
      </c>
      <c r="X1606" s="125" t="s">
        <v>112</v>
      </c>
      <c r="Y1606" s="125" t="s">
        <v>112</v>
      </c>
      <c r="Z1606" s="125" t="s">
        <v>112</v>
      </c>
      <c r="AA1606" s="125" t="s">
        <v>112</v>
      </c>
      <c r="AB1606" s="125" t="s">
        <v>112</v>
      </c>
      <c r="AC1606" s="125" t="s">
        <v>112</v>
      </c>
      <c r="AD1606" s="125" t="s">
        <v>112</v>
      </c>
      <c r="AE1606" s="125">
        <v>8.615188960549693</v>
      </c>
      <c r="AF1606" s="125">
        <v>8.615188960549693</v>
      </c>
      <c r="AG1606" s="125">
        <v>8.615188960549693</v>
      </c>
      <c r="AH1606" s="125">
        <v>8.615188960549693</v>
      </c>
      <c r="AI1606" s="125">
        <v>8.615188960549693</v>
      </c>
      <c r="AJ1606" s="125">
        <v>8.615188960549693</v>
      </c>
      <c r="AK1606" s="125">
        <v>8.615188960549693</v>
      </c>
      <c r="AL1606" s="125">
        <v>8.615188960549693</v>
      </c>
      <c r="AM1606" s="125">
        <v>8.615188960549693</v>
      </c>
      <c r="AN1606" s="125">
        <v>8.615188960549693</v>
      </c>
      <c r="AO1606" s="125">
        <v>8.615188960549693</v>
      </c>
      <c r="AP1606" s="125">
        <v>8.615188960549693</v>
      </c>
      <c r="AQ1606" s="125">
        <v>8.615188960549693</v>
      </c>
      <c r="AR1606" s="125">
        <v>8.615188960549693</v>
      </c>
      <c r="AS1606" s="125">
        <v>8.615188960549693</v>
      </c>
      <c r="AT1606" s="125">
        <v>8.615188960549693</v>
      </c>
      <c r="AU1606" s="125">
        <v>8.615188960549693</v>
      </c>
      <c r="AV1606" s="125">
        <v>8.615188960549693</v>
      </c>
      <c r="AW1606" s="125">
        <v>8.615188960549693</v>
      </c>
      <c r="AX1606" s="126">
        <v>8.615188960549693</v>
      </c>
    </row>
    <row r="1607" spans="1:50" x14ac:dyDescent="0.25">
      <c r="A1607" s="356"/>
      <c r="B1607" s="359"/>
      <c r="C1607" s="361" t="s">
        <v>16</v>
      </c>
      <c r="D1607" s="2" t="s">
        <v>7</v>
      </c>
      <c r="E1607" s="160" t="str">
        <f>A1571&amp;"/"&amp;B1597&amp;"/"&amp;C1607&amp;"/"&amp;D1607</f>
        <v>Lignite fired power plants/Steam turbine/CHP with CCS/L</v>
      </c>
      <c r="F1607" s="76" t="str">
        <f>A1571</f>
        <v>Lignite fired power plants</v>
      </c>
      <c r="G1607" s="76" t="str">
        <f>B1597</f>
        <v>Steam turbine</v>
      </c>
      <c r="H1607" s="76" t="str">
        <f>C1607</f>
        <v>CHP with CCS</v>
      </c>
      <c r="I1607" s="161" t="str">
        <f t="shared" si="104"/>
        <v>L</v>
      </c>
      <c r="J1607" s="119" t="s">
        <v>112</v>
      </c>
      <c r="K1607" s="119" t="s">
        <v>112</v>
      </c>
      <c r="L1607" s="119" t="s">
        <v>112</v>
      </c>
      <c r="M1607" s="119" t="s">
        <v>112</v>
      </c>
      <c r="N1607" s="119" t="s">
        <v>112</v>
      </c>
      <c r="O1607" s="119" t="s">
        <v>112</v>
      </c>
      <c r="P1607" s="119" t="s">
        <v>112</v>
      </c>
      <c r="Q1607" s="119" t="s">
        <v>112</v>
      </c>
      <c r="R1607" s="119" t="s">
        <v>112</v>
      </c>
      <c r="S1607" s="119" t="s">
        <v>112</v>
      </c>
      <c r="T1607" s="119" t="s">
        <v>112</v>
      </c>
      <c r="U1607" s="119" t="s">
        <v>112</v>
      </c>
      <c r="V1607" s="119" t="s">
        <v>112</v>
      </c>
      <c r="W1607" s="119" t="s">
        <v>112</v>
      </c>
      <c r="X1607" s="119" t="s">
        <v>112</v>
      </c>
      <c r="Y1607" s="119" t="s">
        <v>112</v>
      </c>
      <c r="Z1607" s="119" t="s">
        <v>112</v>
      </c>
      <c r="AA1607" s="119" t="s">
        <v>112</v>
      </c>
      <c r="AB1607" s="119" t="s">
        <v>112</v>
      </c>
      <c r="AC1607" s="119" t="s">
        <v>112</v>
      </c>
      <c r="AD1607" s="119" t="s">
        <v>112</v>
      </c>
      <c r="AE1607" s="119">
        <v>8.2863037443762586</v>
      </c>
      <c r="AF1607" s="119">
        <v>8.2863037443762586</v>
      </c>
      <c r="AG1607" s="119">
        <v>8.2863037443762586</v>
      </c>
      <c r="AH1607" s="119">
        <v>8.2863037443762586</v>
      </c>
      <c r="AI1607" s="119">
        <v>8.2863037443762586</v>
      </c>
      <c r="AJ1607" s="119">
        <v>8.2863037443762586</v>
      </c>
      <c r="AK1607" s="119">
        <v>8.2863037443762586</v>
      </c>
      <c r="AL1607" s="119">
        <v>8.2863037443762586</v>
      </c>
      <c r="AM1607" s="119">
        <v>8.2863037443762586</v>
      </c>
      <c r="AN1607" s="119">
        <v>8.2863037443762586</v>
      </c>
      <c r="AO1607" s="119">
        <v>8.2863037443762586</v>
      </c>
      <c r="AP1607" s="119">
        <v>8.2863037443762586</v>
      </c>
      <c r="AQ1607" s="119">
        <v>8.2863037443762586</v>
      </c>
      <c r="AR1607" s="119">
        <v>8.2863037443762586</v>
      </c>
      <c r="AS1607" s="119">
        <v>8.2863037443762586</v>
      </c>
      <c r="AT1607" s="119">
        <v>8.2863037443762586</v>
      </c>
      <c r="AU1607" s="119">
        <v>8.2863037443762586</v>
      </c>
      <c r="AV1607" s="119">
        <v>8.2863037443762586</v>
      </c>
      <c r="AW1607" s="119">
        <v>8.2863037443762586</v>
      </c>
      <c r="AX1607" s="120">
        <v>8.2863037443762586</v>
      </c>
    </row>
    <row r="1608" spans="1:50" x14ac:dyDescent="0.25">
      <c r="A1608" s="357"/>
      <c r="B1608" s="362"/>
      <c r="C1608" s="354"/>
      <c r="D1608" s="4" t="s">
        <v>8</v>
      </c>
      <c r="E1608" s="168" t="str">
        <f>A1571&amp;"/"&amp;B1597&amp;"/"&amp;C1607&amp;"/"&amp;D1608</f>
        <v>Lignite fired power plants/Steam turbine/CHP with CCS/M</v>
      </c>
      <c r="F1608" s="80" t="str">
        <f>A1571</f>
        <v>Lignite fired power plants</v>
      </c>
      <c r="G1608" s="80" t="str">
        <f>B1597</f>
        <v>Steam turbine</v>
      </c>
      <c r="H1608" s="80" t="str">
        <f>C1607</f>
        <v>CHP with CCS</v>
      </c>
      <c r="I1608" s="169" t="str">
        <f t="shared" si="104"/>
        <v>M</v>
      </c>
      <c r="J1608" s="127" t="s">
        <v>112</v>
      </c>
      <c r="K1608" s="127" t="s">
        <v>112</v>
      </c>
      <c r="L1608" s="127" t="s">
        <v>112</v>
      </c>
      <c r="M1608" s="127" t="s">
        <v>112</v>
      </c>
      <c r="N1608" s="127" t="s">
        <v>112</v>
      </c>
      <c r="O1608" s="127" t="s">
        <v>112</v>
      </c>
      <c r="P1608" s="127" t="s">
        <v>112</v>
      </c>
      <c r="Q1608" s="127" t="s">
        <v>112</v>
      </c>
      <c r="R1608" s="127" t="s">
        <v>112</v>
      </c>
      <c r="S1608" s="127" t="s">
        <v>112</v>
      </c>
      <c r="T1608" s="127" t="s">
        <v>112</v>
      </c>
      <c r="U1608" s="127" t="s">
        <v>112</v>
      </c>
      <c r="V1608" s="127" t="s">
        <v>112</v>
      </c>
      <c r="W1608" s="127" t="s">
        <v>112</v>
      </c>
      <c r="X1608" s="127" t="s">
        <v>112</v>
      </c>
      <c r="Y1608" s="127" t="s">
        <v>112</v>
      </c>
      <c r="Z1608" s="127" t="s">
        <v>112</v>
      </c>
      <c r="AA1608" s="127" t="s">
        <v>112</v>
      </c>
      <c r="AB1608" s="127" t="s">
        <v>112</v>
      </c>
      <c r="AC1608" s="127" t="s">
        <v>112</v>
      </c>
      <c r="AD1608" s="127" t="s">
        <v>112</v>
      </c>
      <c r="AE1608" s="127">
        <v>9.2457354251810209</v>
      </c>
      <c r="AF1608" s="127">
        <v>9.2457354251810209</v>
      </c>
      <c r="AG1608" s="127">
        <v>9.2457354251810209</v>
      </c>
      <c r="AH1608" s="127">
        <v>9.2457354251810209</v>
      </c>
      <c r="AI1608" s="127">
        <v>9.2457354251810209</v>
      </c>
      <c r="AJ1608" s="127">
        <v>9.2457354251810209</v>
      </c>
      <c r="AK1608" s="127">
        <v>9.2457354251810209</v>
      </c>
      <c r="AL1608" s="127">
        <v>9.2457354251810209</v>
      </c>
      <c r="AM1608" s="127">
        <v>9.2457354251810209</v>
      </c>
      <c r="AN1608" s="127">
        <v>9.2457354251810209</v>
      </c>
      <c r="AO1608" s="127">
        <v>9.2457354251810209</v>
      </c>
      <c r="AP1608" s="127">
        <v>9.2457354251810209</v>
      </c>
      <c r="AQ1608" s="127">
        <v>9.2457354251810209</v>
      </c>
      <c r="AR1608" s="127">
        <v>9.2457354251810209</v>
      </c>
      <c r="AS1608" s="127">
        <v>9.2457354251810209</v>
      </c>
      <c r="AT1608" s="127">
        <v>9.2457354251810209</v>
      </c>
      <c r="AU1608" s="127">
        <v>9.2457354251810209</v>
      </c>
      <c r="AV1608" s="127">
        <v>9.2457354251810209</v>
      </c>
      <c r="AW1608" s="127">
        <v>9.2457354251810209</v>
      </c>
      <c r="AX1608" s="128">
        <v>9.2457354251810209</v>
      </c>
    </row>
    <row r="1609" spans="1:50" x14ac:dyDescent="0.25">
      <c r="A1609" s="356" t="s">
        <v>22</v>
      </c>
      <c r="B1609" s="358" t="s">
        <v>23</v>
      </c>
      <c r="C1609" s="353" t="s">
        <v>6</v>
      </c>
      <c r="D1609" s="3" t="s">
        <v>7</v>
      </c>
      <c r="E1609" s="162" t="str">
        <f>A1609&amp;"/"&amp;B1609&amp;"/"&amp;C1609&amp;"/"&amp;D1609</f>
        <v>Gas fired power plants (Natural gas, biogas)/Gas turbine combined cycle/Electricity only/L</v>
      </c>
      <c r="F1609" s="77" t="str">
        <f>A1609</f>
        <v>Gas fired power plants (Natural gas, biogas)</v>
      </c>
      <c r="G1609" s="77" t="str">
        <f>B1609</f>
        <v>Gas turbine combined cycle</v>
      </c>
      <c r="H1609" s="77" t="str">
        <f>C1609</f>
        <v>Electricity only</v>
      </c>
      <c r="I1609" s="163" t="str">
        <f t="shared" si="104"/>
        <v>L</v>
      </c>
      <c r="J1609" s="121">
        <v>2.0836386283704571</v>
      </c>
      <c r="K1609" s="121">
        <v>2.0821621594498678</v>
      </c>
      <c r="L1609" s="121">
        <v>2.0803841657821178</v>
      </c>
      <c r="M1609" s="121">
        <v>2.0782495165401089</v>
      </c>
      <c r="N1609" s="121">
        <v>2.0756959451998784</v>
      </c>
      <c r="O1609" s="121">
        <v>2.0726544871257389</v>
      </c>
      <c r="P1609" s="121">
        <v>2.0690506763882315</v>
      </c>
      <c r="Q1609" s="121">
        <v>2.0648067883977008</v>
      </c>
      <c r="R1609" s="121">
        <v>2.0598454277955422</v>
      </c>
      <c r="S1609" s="121">
        <v>2.0540947151573024</v>
      </c>
      <c r="T1609" s="121">
        <v>2.0474951849254368</v>
      </c>
      <c r="U1609" s="121">
        <v>2.0400082360448826</v>
      </c>
      <c r="V1609" s="121">
        <v>2.0316255621030201</v>
      </c>
      <c r="W1609" s="121">
        <v>2.0223784636565627</v>
      </c>
      <c r="X1609" s="121">
        <v>2.0123454217278378</v>
      </c>
      <c r="Y1609" s="121">
        <v>2.0016559805577132</v>
      </c>
      <c r="Z1609" s="121">
        <v>1.9904890846412659</v>
      </c>
      <c r="AA1609" s="121">
        <v>1.9790647174410536</v>
      </c>
      <c r="AB1609" s="121">
        <v>1.9676289837129461</v>
      </c>
      <c r="AC1609" s="121">
        <v>1.9564343711498395</v>
      </c>
      <c r="AD1609" s="121">
        <v>1.9457182958806933</v>
      </c>
      <c r="AE1609" s="121">
        <v>1.9356836378948492</v>
      </c>
      <c r="AF1609" s="121">
        <v>1.9264845264760919</v>
      </c>
      <c r="AG1609" s="121">
        <v>1.9182192920159591</v>
      </c>
      <c r="AH1609" s="121">
        <v>1.910930769556237</v>
      </c>
      <c r="AI1609" s="121">
        <v>1.9046126272707276</v>
      </c>
      <c r="AJ1609" s="121">
        <v>1.899219518450775</v>
      </c>
      <c r="AK1609" s="121">
        <v>1.8946787141388699</v>
      </c>
      <c r="AL1609" s="121">
        <v>1.8909012894647543</v>
      </c>
      <c r="AM1609" s="121">
        <v>1.8877916175246638</v>
      </c>
      <c r="AN1609" s="121">
        <v>1.8852546079561101</v>
      </c>
      <c r="AO1609" s="121">
        <v>1.8832006558492274</v>
      </c>
      <c r="AP1609" s="121">
        <v>1.8815485909887943</v>
      </c>
      <c r="AQ1609" s="121">
        <v>1.8802270606733369</v>
      </c>
      <c r="AR1609" s="121">
        <v>1.8791747954986389</v>
      </c>
      <c r="AS1609" s="121">
        <v>1.8783401520187173</v>
      </c>
      <c r="AT1609" s="121">
        <v>1.877680241868751</v>
      </c>
      <c r="AU1609" s="121">
        <v>1.8771598706789121</v>
      </c>
      <c r="AV1609" s="121">
        <v>1.8767504356217584</v>
      </c>
      <c r="AW1609" s="121">
        <v>1.8764288724777296</v>
      </c>
      <c r="AX1609" s="122">
        <v>1.8761767013790043</v>
      </c>
    </row>
    <row r="1610" spans="1:50" x14ac:dyDescent="0.25">
      <c r="A1610" s="356"/>
      <c r="B1610" s="359"/>
      <c r="C1610" s="350"/>
      <c r="D1610" s="2" t="s">
        <v>8</v>
      </c>
      <c r="E1610" s="160" t="str">
        <f>A1609&amp;"/"&amp;B1609&amp;"/"&amp;C1609&amp;"/"&amp;D1610</f>
        <v>Gas fired power plants (Natural gas, biogas)/Gas turbine combined cycle/Electricity only/M</v>
      </c>
      <c r="F1610" s="76" t="str">
        <f>A1609</f>
        <v>Gas fired power plants (Natural gas, biogas)</v>
      </c>
      <c r="G1610" s="76" t="str">
        <f>B1609</f>
        <v>Gas turbine combined cycle</v>
      </c>
      <c r="H1610" s="76" t="str">
        <f>C1609</f>
        <v>Electricity only</v>
      </c>
      <c r="I1610" s="161" t="str">
        <f t="shared" si="104"/>
        <v>M</v>
      </c>
      <c r="J1610" s="119">
        <v>2.1669841735052757</v>
      </c>
      <c r="K1610" s="119">
        <v>2.1665975394431798</v>
      </c>
      <c r="L1610" s="119">
        <v>2.1661027439464302</v>
      </c>
      <c r="M1610" s="119">
        <v>2.1654701234045106</v>
      </c>
      <c r="N1610" s="119">
        <v>2.1646622581808517</v>
      </c>
      <c r="O1610" s="119">
        <v>2.163632185841887</v>
      </c>
      <c r="P1610" s="119">
        <v>2.1623213575106979</v>
      </c>
      <c r="Q1610" s="119">
        <v>2.1606574065815503</v>
      </c>
      <c r="R1610" s="119">
        <v>2.1585518901615228</v>
      </c>
      <c r="S1610" s="119">
        <v>2.1558983069059376</v>
      </c>
      <c r="T1610" s="119">
        <v>2.1525709045971002</v>
      </c>
      <c r="U1610" s="119">
        <v>2.1484250718098803</v>
      </c>
      <c r="V1610" s="119">
        <v>2.1433004390405359</v>
      </c>
      <c r="W1610" s="119">
        <v>2.1370281205198096</v>
      </c>
      <c r="X1610" s="119">
        <v>2.1294436442844251</v>
      </c>
      <c r="Y1610" s="119">
        <v>2.1204067679407741</v>
      </c>
      <c r="Z1610" s="119">
        <v>2.1098282045533114</v>
      </c>
      <c r="AA1610" s="119">
        <v>2.097701011445964</v>
      </c>
      <c r="AB1610" s="119">
        <v>2.0841311616158542</v>
      </c>
      <c r="AC1610" s="119">
        <v>2.0693585811958521</v>
      </c>
      <c r="AD1610" s="119">
        <v>2.0537585949658368</v>
      </c>
      <c r="AE1610" s="119">
        <v>2.0378164103562555</v>
      </c>
      <c r="AF1610" s="119">
        <v>2.022074712128711</v>
      </c>
      <c r="AG1610" s="119">
        <v>2.0070643635527183</v>
      </c>
      <c r="AH1610" s="119">
        <v>1.9932356938778548</v>
      </c>
      <c r="AI1610" s="119">
        <v>1.9809083404112626</v>
      </c>
      <c r="AJ1610" s="119">
        <v>1.9702504874043103</v>
      </c>
      <c r="AK1610" s="119">
        <v>1.9612876124851559</v>
      </c>
      <c r="AL1610" s="119">
        <v>1.9539321179424429</v>
      </c>
      <c r="AM1610" s="119">
        <v>1.9480218338949797</v>
      </c>
      <c r="AN1610" s="119">
        <v>1.9433570377697524</v>
      </c>
      <c r="AO1610" s="119">
        <v>1.9397298259001821</v>
      </c>
      <c r="AP1610" s="119">
        <v>1.9369438595260073</v>
      </c>
      <c r="AQ1610" s="119">
        <v>1.9348253330510998</v>
      </c>
      <c r="AR1610" s="119">
        <v>1.9332272963198633</v>
      </c>
      <c r="AS1610" s="119">
        <v>1.9320296390666576</v>
      </c>
      <c r="AT1610" s="119">
        <v>1.9311366554126608</v>
      </c>
      <c r="AU1610" s="119">
        <v>1.930473548512432</v>
      </c>
      <c r="AV1610" s="119">
        <v>1.9299827248564523</v>
      </c>
      <c r="AW1610" s="119">
        <v>1.929620342618501</v>
      </c>
      <c r="AX1610" s="120">
        <v>1.9293533224643666</v>
      </c>
    </row>
    <row r="1611" spans="1:50" x14ac:dyDescent="0.25">
      <c r="A1611" s="356"/>
      <c r="B1611" s="359"/>
      <c r="C1611" s="350"/>
      <c r="D1611" s="2" t="s">
        <v>10</v>
      </c>
      <c r="E1611" s="160" t="str">
        <f>A1609&amp;"/"&amp;B1609&amp;"/"&amp;C1609&amp;"/"&amp;D1611</f>
        <v>Gas fired power plants (Natural gas, biogas)/Gas turbine combined cycle/Electricity only/S</v>
      </c>
      <c r="F1611" s="76" t="str">
        <f>A1609</f>
        <v>Gas fired power plants (Natural gas, biogas)</v>
      </c>
      <c r="G1611" s="76" t="str">
        <f>B1609</f>
        <v>Gas turbine combined cycle</v>
      </c>
      <c r="H1611" s="76" t="str">
        <f>C1609</f>
        <v>Electricity only</v>
      </c>
      <c r="I1611" s="161" t="str">
        <f t="shared" si="104"/>
        <v>S</v>
      </c>
      <c r="J1611" s="119">
        <v>2.3295079865181711</v>
      </c>
      <c r="K1611" s="119">
        <v>2.3294657588197492</v>
      </c>
      <c r="L1611" s="119">
        <v>2.3294087761021696</v>
      </c>
      <c r="M1611" s="119">
        <v>2.3293318915570516</v>
      </c>
      <c r="N1611" s="119">
        <v>2.3292281703234718</v>
      </c>
      <c r="O1611" s="119">
        <v>2.329088274242749</v>
      </c>
      <c r="P1611" s="119">
        <v>2.3288996397894683</v>
      </c>
      <c r="Q1611" s="119">
        <v>2.3286453836595924</v>
      </c>
      <c r="R1611" s="119">
        <v>2.3283028530721865</v>
      </c>
      <c r="S1611" s="119">
        <v>2.3278417186611939</v>
      </c>
      <c r="T1611" s="119">
        <v>2.3272214895955052</v>
      </c>
      <c r="U1611" s="119">
        <v>2.3263883192742321</v>
      </c>
      <c r="V1611" s="119">
        <v>2.3252709775189953</v>
      </c>
      <c r="W1611" s="119">
        <v>2.3237759135246048</v>
      </c>
      <c r="X1611" s="119">
        <v>2.3217814604987241</v>
      </c>
      <c r="Y1611" s="119">
        <v>2.3191314975640598</v>
      </c>
      <c r="Z1611" s="119">
        <v>2.3156293721099366</v>
      </c>
      <c r="AA1611" s="119">
        <v>2.3110336963492757</v>
      </c>
      <c r="AB1611" s="119">
        <v>2.3050588339585656</v>
      </c>
      <c r="AC1611" s="119">
        <v>2.2973844043259755</v>
      </c>
      <c r="AD1611" s="119">
        <v>2.2876794924706108</v>
      </c>
      <c r="AE1611" s="119">
        <v>2.2756473179214995</v>
      </c>
      <c r="AF1611" s="119">
        <v>2.2610929257246672</v>
      </c>
      <c r="AG1611" s="119">
        <v>2.2440079058931786</v>
      </c>
      <c r="AH1611" s="119">
        <v>2.2246521819183167</v>
      </c>
      <c r="AI1611" s="119">
        <v>2.2035989299888779</v>
      </c>
      <c r="AJ1611" s="119">
        <v>2.1817065075808073</v>
      </c>
      <c r="AK1611" s="119">
        <v>2.1600021314812001</v>
      </c>
      <c r="AL1611" s="119">
        <v>2.1395025594325672</v>
      </c>
      <c r="AM1611" s="119">
        <v>2.1210329391642193</v>
      </c>
      <c r="AN1611" s="119">
        <v>2.1051082394717082</v>
      </c>
      <c r="AO1611" s="119">
        <v>2.091908369808579</v>
      </c>
      <c r="AP1611" s="119">
        <v>2.0813335760058433</v>
      </c>
      <c r="AQ1611" s="119">
        <v>2.0731002391381899</v>
      </c>
      <c r="AR1611" s="119">
        <v>2.0668375456356598</v>
      </c>
      <c r="AS1611" s="119">
        <v>2.0621616450780071</v>
      </c>
      <c r="AT1611" s="119">
        <v>2.0587211023066074</v>
      </c>
      <c r="AU1611" s="119">
        <v>2.0562179983801712</v>
      </c>
      <c r="AV1611" s="119">
        <v>2.0544126105845608</v>
      </c>
      <c r="AW1611" s="119">
        <v>2.0531189934111618</v>
      </c>
      <c r="AX1611" s="120">
        <v>2.0521966664789852</v>
      </c>
    </row>
    <row r="1612" spans="1:50" x14ac:dyDescent="0.25">
      <c r="A1612" s="356"/>
      <c r="B1612" s="359"/>
      <c r="C1612" s="360"/>
      <c r="D1612" s="2" t="s">
        <v>20</v>
      </c>
      <c r="E1612" s="160" t="str">
        <f>A1609&amp;"/"&amp;B1609&amp;"/"&amp;C1609&amp;"/"&amp;D1612</f>
        <v>Gas fired power plants (Natural gas, biogas)/Gas turbine combined cycle/Electricity only/XS</v>
      </c>
      <c r="F1612" s="76" t="str">
        <f>A1609</f>
        <v>Gas fired power plants (Natural gas, biogas)</v>
      </c>
      <c r="G1612" s="76" t="str">
        <f>B1609</f>
        <v>Gas turbine combined cycle</v>
      </c>
      <c r="H1612" s="76" t="str">
        <f>C1609</f>
        <v>Electricity only</v>
      </c>
      <c r="I1612" s="161" t="str">
        <f t="shared" si="104"/>
        <v>XS</v>
      </c>
      <c r="J1612" s="119">
        <v>2.6789341844958967</v>
      </c>
      <c r="K1612" s="119">
        <v>2.6789267373761727</v>
      </c>
      <c r="L1612" s="119">
        <v>2.6789166852958806</v>
      </c>
      <c r="M1612" s="119">
        <v>2.6789031172810516</v>
      </c>
      <c r="N1612" s="119">
        <v>2.6788848039696096</v>
      </c>
      <c r="O1612" s="119">
        <v>2.6788600864868326</v>
      </c>
      <c r="P1612" s="119">
        <v>2.6788267266616557</v>
      </c>
      <c r="Q1612" s="119">
        <v>2.6787817052380638</v>
      </c>
      <c r="R1612" s="119">
        <v>2.6787209502138003</v>
      </c>
      <c r="S1612" s="119">
        <v>2.6786389714547139</v>
      </c>
      <c r="T1612" s="119">
        <v>2.6785283698737188</v>
      </c>
      <c r="U1612" s="119">
        <v>2.6783791792491529</v>
      </c>
      <c r="V1612" s="119">
        <v>2.6781779856828365</v>
      </c>
      <c r="W1612" s="119">
        <v>2.6779067533342564</v>
      </c>
      <c r="X1612" s="119">
        <v>2.6775412652828661</v>
      </c>
      <c r="Y1612" s="119">
        <v>2.6770490657748574</v>
      </c>
      <c r="Z1612" s="119">
        <v>2.6763867668850603</v>
      </c>
      <c r="AA1612" s="119">
        <v>2.6754965640123598</v>
      </c>
      <c r="AB1612" s="119">
        <v>2.6743018014779749</v>
      </c>
      <c r="AC1612" s="119">
        <v>2.6727014623560961</v>
      </c>
      <c r="AD1612" s="119">
        <v>2.670563561797596</v>
      </c>
      <c r="AE1612" s="119">
        <v>2.6677176600617791</v>
      </c>
      <c r="AF1612" s="119">
        <v>2.6639471694338663</v>
      </c>
      <c r="AG1612" s="119">
        <v>2.6589829234972489</v>
      </c>
      <c r="AH1612" s="119">
        <v>2.6525007158831473</v>
      </c>
      <c r="AI1612" s="119">
        <v>2.6441271990638051</v>
      </c>
      <c r="AJ1612" s="119">
        <v>2.633460340153424</v>
      </c>
      <c r="AK1612" s="119">
        <v>2.6201115778761075</v>
      </c>
      <c r="AL1612" s="119">
        <v>2.6037749744033656</v>
      </c>
      <c r="AM1612" s="119">
        <v>2.5843214063144795</v>
      </c>
      <c r="AN1612" s="119">
        <v>2.5619017243036302</v>
      </c>
      <c r="AO1612" s="119">
        <v>2.537025128039863</v>
      </c>
      <c r="AP1612" s="119">
        <v>2.5105687829917493</v>
      </c>
      <c r="AQ1612" s="119">
        <v>2.4836869084241657</v>
      </c>
      <c r="AR1612" s="119">
        <v>2.4576270426100826</v>
      </c>
      <c r="AS1612" s="119">
        <v>2.4335092231496875</v>
      </c>
      <c r="AT1612" s="119">
        <v>2.4121462890866532</v>
      </c>
      <c r="AU1612" s="119">
        <v>2.3939616905300132</v>
      </c>
      <c r="AV1612" s="119">
        <v>2.3790117517363498</v>
      </c>
      <c r="AW1612" s="119">
        <v>2.3670775416985945</v>
      </c>
      <c r="AX1612" s="120">
        <v>2.357778627689759</v>
      </c>
    </row>
    <row r="1613" spans="1:50" x14ac:dyDescent="0.25">
      <c r="A1613" s="356"/>
      <c r="B1613" s="359"/>
      <c r="C1613" s="361" t="s">
        <v>14</v>
      </c>
      <c r="D1613" s="58" t="s">
        <v>7</v>
      </c>
      <c r="E1613" s="164" t="str">
        <f>A1609&amp;"/"&amp;B1609&amp;"/"&amp;C1613&amp;"/"&amp;D1613</f>
        <v>Gas fired power plants (Natural gas, biogas)/Gas turbine combined cycle/CHP/L</v>
      </c>
      <c r="F1613" s="78" t="str">
        <f>A1609</f>
        <v>Gas fired power plants (Natural gas, biogas)</v>
      </c>
      <c r="G1613" s="78" t="str">
        <f>B1609</f>
        <v>Gas turbine combined cycle</v>
      </c>
      <c r="H1613" s="78" t="str">
        <f>C1613</f>
        <v>CHP</v>
      </c>
      <c r="I1613" s="165" t="str">
        <f t="shared" si="104"/>
        <v>L</v>
      </c>
      <c r="J1613" s="123">
        <v>2.9768267476468839</v>
      </c>
      <c r="K1613" s="123">
        <v>2.9751392411416635</v>
      </c>
      <c r="L1613" s="123">
        <v>2.9731071117559864</v>
      </c>
      <c r="M1613" s="123">
        <v>2.9706673485940116</v>
      </c>
      <c r="N1613" s="123">
        <v>2.9677487851294564</v>
      </c>
      <c r="O1613" s="123">
        <v>2.9642725993365198</v>
      </c>
      <c r="P1613" s="123">
        <v>2.9601536815737939</v>
      </c>
      <c r="Q1613" s="123">
        <v>2.9553031977663942</v>
      </c>
      <c r="R1613" s="123">
        <v>2.9496326901287908</v>
      </c>
      <c r="S1613" s="123">
        <v>2.9430600052240448</v>
      </c>
      <c r="T1613" s="123">
        <v>2.9355171778455809</v>
      </c>
      <c r="U1613" s="123">
        <v>2.9269600895357613</v>
      </c>
      <c r="V1613" s="123">
        <v>2.9173792466133186</v>
      </c>
      <c r="W1613" s="123">
        <v>2.9068104235482304</v>
      </c>
      <c r="X1613" s="123">
        <v>2.8953433189679894</v>
      </c>
      <c r="Y1613" s="123">
        <v>2.8831259933878779</v>
      </c>
      <c r="Z1613" s="123">
        <v>2.8703629685525143</v>
      </c>
      <c r="AA1613" s="123">
        <v>2.8573056710371079</v>
      </c>
      <c r="AB1613" s="123">
        <v>2.8442353823306936</v>
      </c>
      <c r="AC1613" s="123">
        <v>2.8314406791979492</v>
      </c>
      <c r="AD1613" s="123">
        <v>2.8191929126009398</v>
      </c>
      <c r="AE1613" s="123">
        <v>2.8077239609740992</v>
      </c>
      <c r="AF1613" s="123">
        <v>2.7972099839137456</v>
      </c>
      <c r="AG1613" s="123">
        <v>2.7877633665660002</v>
      </c>
      <c r="AH1613" s="123">
        <v>2.7794330665558129</v>
      </c>
      <c r="AI1613" s="123">
        <v>2.7722118470238439</v>
      </c>
      <c r="AJ1613" s="123">
        <v>2.7660478796757206</v>
      </c>
      <c r="AK1613" s="123">
        <v>2.7608580401143064</v>
      </c>
      <c r="AL1613" s="123">
        <v>2.7565406930833878</v>
      </c>
      <c r="AM1613" s="123">
        <v>2.7529865433448952</v>
      </c>
      <c r="AN1613" s="123">
        <v>2.7500869088920199</v>
      </c>
      <c r="AO1613" s="123">
        <v>2.7477393772281689</v>
      </c>
      <c r="AP1613" s="123">
        <v>2.745851176155901</v>
      </c>
      <c r="AQ1613" s="123">
        <v>2.7443407542478728</v>
      </c>
      <c r="AR1613" s="123">
        <v>2.743138084619845</v>
      </c>
      <c r="AS1613" s="123">
        <v>2.7421841422223676</v>
      </c>
      <c r="AT1613" s="123">
        <v>2.7414299084857814</v>
      </c>
      <c r="AU1613" s="123">
        <v>2.740835158568776</v>
      </c>
      <c r="AV1613" s="123">
        <v>2.7403672013278366</v>
      </c>
      <c r="AW1613" s="123">
        <v>2.7399996758826202</v>
      </c>
      <c r="AX1613" s="124">
        <v>2.7397114609641795</v>
      </c>
    </row>
    <row r="1614" spans="1:50" x14ac:dyDescent="0.25">
      <c r="A1614" s="356"/>
      <c r="B1614" s="359"/>
      <c r="C1614" s="350"/>
      <c r="D1614" s="2" t="s">
        <v>8</v>
      </c>
      <c r="E1614" s="160" t="str">
        <f>A1609&amp;"/"&amp;B1609&amp;"/"&amp;C1613&amp;"/"&amp;D1614</f>
        <v>Gas fired power plants (Natural gas, biogas)/Gas turbine combined cycle/CHP/M</v>
      </c>
      <c r="F1614" s="76" t="str">
        <f>A1609</f>
        <v>Gas fired power plants (Natural gas, biogas)</v>
      </c>
      <c r="G1614" s="76" t="str">
        <f>B1609</f>
        <v>Gas turbine combined cycle</v>
      </c>
      <c r="H1614" s="76" t="str">
        <f>C1613</f>
        <v>CHP</v>
      </c>
      <c r="I1614" s="161" t="str">
        <f t="shared" si="104"/>
        <v>M</v>
      </c>
      <c r="J1614" s="119">
        <v>3.0556412478629871</v>
      </c>
      <c r="K1614" s="119">
        <v>3.0551951844931202</v>
      </c>
      <c r="L1614" s="119">
        <v>3.0546243342543202</v>
      </c>
      <c r="M1614" s="119">
        <v>3.0538944739589122</v>
      </c>
      <c r="N1614" s="119">
        <v>3.0529624322186919</v>
      </c>
      <c r="O1614" s="119">
        <v>3.0517740280304131</v>
      </c>
      <c r="P1614" s="119">
        <v>3.0502617130016785</v>
      </c>
      <c r="Q1614" s="119">
        <v>3.0483419970958252</v>
      </c>
      <c r="R1614" s="119">
        <v>3.0459128429117936</v>
      </c>
      <c r="S1614" s="119">
        <v>3.0428513788421405</v>
      </c>
      <c r="T1614" s="119">
        <v>3.0390125233653622</v>
      </c>
      <c r="U1614" s="119">
        <v>3.0342294369141833</v>
      </c>
      <c r="V1614" s="119">
        <v>3.0283170996771678</v>
      </c>
      <c r="W1614" s="119">
        <v>3.0210806665469043</v>
      </c>
      <c r="X1614" s="119">
        <v>3.0123303846656411</v>
      </c>
      <c r="Y1614" s="119">
        <v>3.0019044550590372</v>
      </c>
      <c r="Z1614" s="119">
        <v>2.9896998665460877</v>
      </c>
      <c r="AA1614" s="119">
        <v>2.9757086092958192</v>
      </c>
      <c r="AB1614" s="119">
        <v>2.9600529453561113</v>
      </c>
      <c r="AC1614" s="119">
        <v>2.943009679772973</v>
      </c>
      <c r="AD1614" s="119">
        <v>2.9250118282905433</v>
      </c>
      <c r="AE1614" s="119">
        <v>2.9066191793049518</v>
      </c>
      <c r="AF1614" s="119">
        <v>2.8884578333522586</v>
      </c>
      <c r="AG1614" s="119">
        <v>2.8711402524014216</v>
      </c>
      <c r="AH1614" s="119">
        <v>2.8551859855618202</v>
      </c>
      <c r="AI1614" s="119">
        <v>2.8409638014142304</v>
      </c>
      <c r="AJ1614" s="119">
        <v>2.8286677357182475</v>
      </c>
      <c r="AK1614" s="119">
        <v>2.8183271822541576</v>
      </c>
      <c r="AL1614" s="119">
        <v>2.8098410787148569</v>
      </c>
      <c r="AM1614" s="119">
        <v>2.8030223281764401</v>
      </c>
      <c r="AN1614" s="119">
        <v>2.7976405088196952</v>
      </c>
      <c r="AO1614" s="119">
        <v>2.7934557602204793</v>
      </c>
      <c r="AP1614" s="119">
        <v>2.7902415644963217</v>
      </c>
      <c r="AQ1614" s="119">
        <v>2.7877974004890724</v>
      </c>
      <c r="AR1614" s="119">
        <v>2.7859537304160233</v>
      </c>
      <c r="AS1614" s="119">
        <v>2.7845719819290546</v>
      </c>
      <c r="AT1614" s="119">
        <v>2.783541738251663</v>
      </c>
      <c r="AU1614" s="119">
        <v>2.7827767055566772</v>
      </c>
      <c r="AV1614" s="119">
        <v>2.7822104376680943</v>
      </c>
      <c r="AW1614" s="119">
        <v>2.7817923538568428</v>
      </c>
      <c r="AX1614" s="120">
        <v>2.7814842901825512</v>
      </c>
    </row>
    <row r="1615" spans="1:50" x14ac:dyDescent="0.25">
      <c r="A1615" s="356"/>
      <c r="B1615" s="359"/>
      <c r="C1615" s="350"/>
      <c r="D1615" s="2" t="s">
        <v>10</v>
      </c>
      <c r="E1615" s="160" t="str">
        <f>A1609&amp;"/"&amp;B1609&amp;"/"&amp;C1613&amp;"/"&amp;D1615</f>
        <v>Gas fired power plants (Natural gas, biogas)/Gas turbine combined cycle/CHP/S</v>
      </c>
      <c r="F1615" s="76" t="str">
        <f>A1609</f>
        <v>Gas fired power plants (Natural gas, biogas)</v>
      </c>
      <c r="G1615" s="76" t="str">
        <f>B1609</f>
        <v>Gas turbine combined cycle</v>
      </c>
      <c r="H1615" s="76" t="str">
        <f>C1613</f>
        <v>CHP</v>
      </c>
      <c r="I1615" s="161" t="str">
        <f t="shared" si="104"/>
        <v>S</v>
      </c>
      <c r="J1615" s="119">
        <v>3.8262743000209443</v>
      </c>
      <c r="K1615" s="119">
        <v>3.8262164999911534</v>
      </c>
      <c r="L1615" s="119">
        <v>3.8261385037257476</v>
      </c>
      <c r="M1615" s="119">
        <v>3.8260332664250112</v>
      </c>
      <c r="N1615" s="119">
        <v>3.8258912958555786</v>
      </c>
      <c r="O1615" s="119">
        <v>3.8256998102208999</v>
      </c>
      <c r="P1615" s="119">
        <v>3.8254416129374458</v>
      </c>
      <c r="Q1615" s="119">
        <v>3.8250935946359421</v>
      </c>
      <c r="R1615" s="119">
        <v>3.8246247488570817</v>
      </c>
      <c r="S1615" s="119">
        <v>3.8239935616579515</v>
      </c>
      <c r="T1615" s="119">
        <v>3.8231446103815774</v>
      </c>
      <c r="U1615" s="119">
        <v>3.8220041913867093</v>
      </c>
      <c r="V1615" s="119">
        <v>3.820474806903253</v>
      </c>
      <c r="W1615" s="119">
        <v>3.8184284073445869</v>
      </c>
      <c r="X1615" s="119">
        <v>3.8156984587890359</v>
      </c>
      <c r="Y1615" s="119">
        <v>3.8120712675782755</v>
      </c>
      <c r="Z1615" s="119">
        <v>3.8072776614111827</v>
      </c>
      <c r="AA1615" s="119">
        <v>3.8009872357948384</v>
      </c>
      <c r="AB1615" s="119">
        <v>3.7928090201429909</v>
      </c>
      <c r="AC1615" s="119">
        <v>3.7823044869109226</v>
      </c>
      <c r="AD1615" s="119">
        <v>3.769020689419829</v>
      </c>
      <c r="AE1615" s="119">
        <v>3.7525514033026628</v>
      </c>
      <c r="AF1615" s="119">
        <v>3.7326297799607877</v>
      </c>
      <c r="AG1615" s="119">
        <v>3.7092443080518023</v>
      </c>
      <c r="AH1615" s="119">
        <v>3.6827507631945728</v>
      </c>
      <c r="AI1615" s="119">
        <v>3.6539336920735153</v>
      </c>
      <c r="AJ1615" s="119">
        <v>3.6239679891189311</v>
      </c>
      <c r="AK1615" s="119">
        <v>3.5942596784124992</v>
      </c>
      <c r="AL1615" s="119">
        <v>3.5662004680037418</v>
      </c>
      <c r="AM1615" s="119">
        <v>3.5409197957999536</v>
      </c>
      <c r="AN1615" s="119">
        <v>3.5191225359201685</v>
      </c>
      <c r="AO1615" s="119">
        <v>3.5010549431251961</v>
      </c>
      <c r="AP1615" s="119">
        <v>3.4865804768467656</v>
      </c>
      <c r="AQ1615" s="119">
        <v>3.4753109278538608</v>
      </c>
      <c r="AR1615" s="119">
        <v>3.46673873745417</v>
      </c>
      <c r="AS1615" s="119">
        <v>3.4603385024987117</v>
      </c>
      <c r="AT1615" s="119">
        <v>3.4556291888938233</v>
      </c>
      <c r="AU1615" s="119">
        <v>3.4522030139678179</v>
      </c>
      <c r="AV1615" s="119">
        <v>3.4497318523305776</v>
      </c>
      <c r="AW1615" s="119">
        <v>3.4479611872469027</v>
      </c>
      <c r="AX1615" s="120">
        <v>3.4466987333091224</v>
      </c>
    </row>
    <row r="1616" spans="1:50" x14ac:dyDescent="0.25">
      <c r="A1616" s="356"/>
      <c r="B1616" s="359"/>
      <c r="C1616" s="360"/>
      <c r="D1616" s="59" t="s">
        <v>20</v>
      </c>
      <c r="E1616" s="166" t="str">
        <f>A1609&amp;"/"&amp;B1609&amp;"/"&amp;C1613&amp;"/"&amp;D1616</f>
        <v>Gas fired power plants (Natural gas, biogas)/Gas turbine combined cycle/CHP/XS</v>
      </c>
      <c r="F1616" s="79" t="str">
        <f>A1609</f>
        <v>Gas fired power plants (Natural gas, biogas)</v>
      </c>
      <c r="G1616" s="79" t="str">
        <f>B1609</f>
        <v>Gas turbine combined cycle</v>
      </c>
      <c r="H1616" s="79" t="str">
        <f>C1613</f>
        <v>CHP</v>
      </c>
      <c r="I1616" s="167" t="str">
        <f t="shared" si="104"/>
        <v>XS</v>
      </c>
      <c r="J1616" s="125">
        <v>4.0210167914171553</v>
      </c>
      <c r="K1616" s="125">
        <v>4.0210073331514264</v>
      </c>
      <c r="L1616" s="125">
        <v>4.0209945664375759</v>
      </c>
      <c r="M1616" s="125">
        <v>4.0209773342868349</v>
      </c>
      <c r="N1616" s="125">
        <v>4.0209540753394277</v>
      </c>
      <c r="O1616" s="125">
        <v>4.0209226827300801</v>
      </c>
      <c r="P1616" s="125">
        <v>4.0208803138542075</v>
      </c>
      <c r="Q1616" s="125">
        <v>4.0208231340848988</v>
      </c>
      <c r="R1616" s="125">
        <v>4.020745971747627</v>
      </c>
      <c r="S1616" s="125">
        <v>4.0206418540596722</v>
      </c>
      <c r="T1616" s="125">
        <v>4.0205013837594938</v>
      </c>
      <c r="U1616" s="125">
        <v>4.0203119031785839</v>
      </c>
      <c r="V1616" s="125">
        <v>4.0200563759031116</v>
      </c>
      <c r="W1616" s="125">
        <v>4.0197118953895377</v>
      </c>
      <c r="X1616" s="125">
        <v>4.0192477047710247</v>
      </c>
      <c r="Y1616" s="125">
        <v>4.018622583393773</v>
      </c>
      <c r="Z1616" s="125">
        <v>4.0177814261244018</v>
      </c>
      <c r="AA1616" s="125">
        <v>4.0166508178308904</v>
      </c>
      <c r="AB1616" s="125">
        <v>4.0151334014401163</v>
      </c>
      <c r="AC1616" s="125">
        <v>4.0131008797092713</v>
      </c>
      <c r="AD1616" s="125">
        <v>4.0103856243711169</v>
      </c>
      <c r="AE1616" s="125">
        <v>4.0067711672583597</v>
      </c>
      <c r="AF1616" s="125">
        <v>4.0019824296511812</v>
      </c>
      <c r="AG1616" s="125">
        <v>3.9956775548871435</v>
      </c>
      <c r="AH1616" s="125">
        <v>3.9874447824332377</v>
      </c>
      <c r="AI1616" s="125">
        <v>3.9768099396888248</v>
      </c>
      <c r="AJ1616" s="125">
        <v>3.9632624220165966</v>
      </c>
      <c r="AK1616" s="125">
        <v>3.9463087344902421</v>
      </c>
      <c r="AL1616" s="125">
        <v>3.925560318662245</v>
      </c>
      <c r="AM1616" s="125">
        <v>3.9008531804422404</v>
      </c>
      <c r="AN1616" s="125">
        <v>3.8723789087939942</v>
      </c>
      <c r="AO1616" s="125">
        <v>3.8407842162664414</v>
      </c>
      <c r="AP1616" s="125">
        <v>3.8071831529081313</v>
      </c>
      <c r="AQ1616" s="125">
        <v>3.7730416428509828</v>
      </c>
      <c r="AR1616" s="125">
        <v>3.7399441306762795</v>
      </c>
      <c r="AS1616" s="125">
        <v>3.7093131278571336</v>
      </c>
      <c r="AT1616" s="125">
        <v>3.6821809862228299</v>
      </c>
      <c r="AU1616" s="125">
        <v>3.6590855115026484</v>
      </c>
      <c r="AV1616" s="125">
        <v>3.6400982387068321</v>
      </c>
      <c r="AW1616" s="125">
        <v>3.624941113001042</v>
      </c>
      <c r="AX1616" s="126">
        <v>3.613130963178528</v>
      </c>
    </row>
    <row r="1617" spans="1:50" x14ac:dyDescent="0.25">
      <c r="A1617" s="356"/>
      <c r="B1617" s="359"/>
      <c r="C1617" s="361" t="s">
        <v>15</v>
      </c>
      <c r="D1617" s="58" t="s">
        <v>7</v>
      </c>
      <c r="E1617" s="164" t="str">
        <f>A1609&amp;"/"&amp;B1609&amp;"/"&amp;C1617&amp;"/"&amp;D1617</f>
        <v>Gas fired power plants (Natural gas, biogas)/Gas turbine combined cycle/Electricity only with CCS/L</v>
      </c>
      <c r="F1617" s="78" t="str">
        <f>A1609</f>
        <v>Gas fired power plants (Natural gas, biogas)</v>
      </c>
      <c r="G1617" s="78" t="str">
        <f>B1609</f>
        <v>Gas turbine combined cycle</v>
      </c>
      <c r="H1617" s="78" t="str">
        <f>C1617</f>
        <v>Electricity only with CCS</v>
      </c>
      <c r="I1617" s="165" t="str">
        <f t="shared" si="104"/>
        <v>L</v>
      </c>
      <c r="J1617" s="123" t="s">
        <v>112</v>
      </c>
      <c r="K1617" s="123" t="s">
        <v>112</v>
      </c>
      <c r="L1617" s="123" t="s">
        <v>112</v>
      </c>
      <c r="M1617" s="123" t="s">
        <v>112</v>
      </c>
      <c r="N1617" s="123" t="s">
        <v>112</v>
      </c>
      <c r="O1617" s="123" t="s">
        <v>112</v>
      </c>
      <c r="P1617" s="123" t="s">
        <v>112</v>
      </c>
      <c r="Q1617" s="123" t="s">
        <v>112</v>
      </c>
      <c r="R1617" s="123" t="s">
        <v>112</v>
      </c>
      <c r="S1617" s="123" t="s">
        <v>112</v>
      </c>
      <c r="T1617" s="123" t="s">
        <v>112</v>
      </c>
      <c r="U1617" s="123" t="s">
        <v>112</v>
      </c>
      <c r="V1617" s="123" t="s">
        <v>112</v>
      </c>
      <c r="W1617" s="123" t="s">
        <v>112</v>
      </c>
      <c r="X1617" s="123" t="s">
        <v>112</v>
      </c>
      <c r="Y1617" s="123" t="s">
        <v>112</v>
      </c>
      <c r="Z1617" s="123" t="s">
        <v>112</v>
      </c>
      <c r="AA1617" s="123" t="s">
        <v>112</v>
      </c>
      <c r="AB1617" s="123" t="s">
        <v>112</v>
      </c>
      <c r="AC1617" s="123" t="s">
        <v>112</v>
      </c>
      <c r="AD1617" s="123" t="s">
        <v>112</v>
      </c>
      <c r="AE1617" s="123">
        <v>3.4326917014840808</v>
      </c>
      <c r="AF1617" s="123">
        <v>3.4311909274234478</v>
      </c>
      <c r="AG1617" s="123">
        <v>3.4292690393372429</v>
      </c>
      <c r="AH1617" s="123">
        <v>3.4268097314520372</v>
      </c>
      <c r="AI1617" s="123">
        <v>3.4236657664438832</v>
      </c>
      <c r="AJ1617" s="123">
        <v>3.4196515106571121</v>
      </c>
      <c r="AK1617" s="123">
        <v>3.414534158882585</v>
      </c>
      <c r="AL1617" s="123">
        <v>3.4080237515930096</v>
      </c>
      <c r="AM1617" s="123">
        <v>3.3997623725402328</v>
      </c>
      <c r="AN1617" s="123">
        <v>3.3893133938561566</v>
      </c>
      <c r="AO1617" s="123">
        <v>3.3761523883800293</v>
      </c>
      <c r="AP1617" s="123">
        <v>3.359662430590058</v>
      </c>
      <c r="AQ1617" s="123">
        <v>3.3391379862127364</v>
      </c>
      <c r="AR1617" s="123">
        <v>3.3138033362046535</v>
      </c>
      <c r="AS1617" s="123">
        <v>3.2828530933447011</v>
      </c>
      <c r="AT1617" s="123">
        <v>3.2455229592637083</v>
      </c>
      <c r="AU1617" s="123">
        <v>3.201196904094791</v>
      </c>
      <c r="AV1617" s="123">
        <v>3.1495503994016754</v>
      </c>
      <c r="AW1617" s="123">
        <v>3.0907165240900039</v>
      </c>
      <c r="AX1617" s="124">
        <v>3.025443288393904</v>
      </c>
    </row>
    <row r="1618" spans="1:50" x14ac:dyDescent="0.25">
      <c r="A1618" s="356"/>
      <c r="B1618" s="359"/>
      <c r="C1618" s="360"/>
      <c r="D1618" s="59" t="s">
        <v>8</v>
      </c>
      <c r="E1618" s="166" t="str">
        <f>A1609&amp;"/"&amp;B1609&amp;"/"&amp;C1617&amp;"/"&amp;D1618</f>
        <v>Gas fired power plants (Natural gas, biogas)/Gas turbine combined cycle/Electricity only with CCS/M</v>
      </c>
      <c r="F1618" s="79" t="str">
        <f>A1609</f>
        <v>Gas fired power plants (Natural gas, biogas)</v>
      </c>
      <c r="G1618" s="79" t="str">
        <f>B1609</f>
        <v>Gas turbine combined cycle</v>
      </c>
      <c r="H1618" s="79" t="str">
        <f>C1617</f>
        <v>Electricity only with CCS</v>
      </c>
      <c r="I1618" s="167" t="str">
        <f t="shared" si="104"/>
        <v>M</v>
      </c>
      <c r="J1618" s="125" t="s">
        <v>112</v>
      </c>
      <c r="K1618" s="125" t="s">
        <v>112</v>
      </c>
      <c r="L1618" s="125" t="s">
        <v>112</v>
      </c>
      <c r="M1618" s="125" t="s">
        <v>112</v>
      </c>
      <c r="N1618" s="125" t="s">
        <v>112</v>
      </c>
      <c r="O1618" s="125" t="s">
        <v>112</v>
      </c>
      <c r="P1618" s="125" t="s">
        <v>112</v>
      </c>
      <c r="Q1618" s="125" t="s">
        <v>112</v>
      </c>
      <c r="R1618" s="125" t="s">
        <v>112</v>
      </c>
      <c r="S1618" s="125" t="s">
        <v>112</v>
      </c>
      <c r="T1618" s="125" t="s">
        <v>112</v>
      </c>
      <c r="U1618" s="125" t="s">
        <v>112</v>
      </c>
      <c r="V1618" s="125" t="s">
        <v>112</v>
      </c>
      <c r="W1618" s="125" t="s">
        <v>112</v>
      </c>
      <c r="X1618" s="125" t="s">
        <v>112</v>
      </c>
      <c r="Y1618" s="125" t="s">
        <v>112</v>
      </c>
      <c r="Z1618" s="125" t="s">
        <v>112</v>
      </c>
      <c r="AA1618" s="125" t="s">
        <v>112</v>
      </c>
      <c r="AB1618" s="125" t="s">
        <v>112</v>
      </c>
      <c r="AC1618" s="125" t="s">
        <v>112</v>
      </c>
      <c r="AD1618" s="125" t="s">
        <v>112</v>
      </c>
      <c r="AE1618" s="125">
        <v>4.2012816174457841</v>
      </c>
      <c r="AF1618" s="125">
        <v>4.1995980995166677</v>
      </c>
      <c r="AG1618" s="125">
        <v>4.1974421900191938</v>
      </c>
      <c r="AH1618" s="125">
        <v>4.1946834210435258</v>
      </c>
      <c r="AI1618" s="125">
        <v>4.1911566267054701</v>
      </c>
      <c r="AJ1618" s="125">
        <v>4.1866535694056672</v>
      </c>
      <c r="AK1618" s="125">
        <v>4.1809130960806025</v>
      </c>
      <c r="AL1618" s="125">
        <v>4.1736099398725131</v>
      </c>
      <c r="AM1618" s="125">
        <v>4.1643426023568919</v>
      </c>
      <c r="AN1618" s="125">
        <v>4.1526212890579544</v>
      </c>
      <c r="AO1618" s="125">
        <v>4.1378577152026628</v>
      </c>
      <c r="AP1618" s="125">
        <v>4.1193598344636522</v>
      </c>
      <c r="AQ1618" s="125">
        <v>4.0963362021923153</v>
      </c>
      <c r="AR1618" s="125">
        <v>4.0679166428227278</v>
      </c>
      <c r="AS1618" s="125">
        <v>4.0331977000237957</v>
      </c>
      <c r="AT1618" s="125">
        <v>3.9913220095583268</v>
      </c>
      <c r="AU1618" s="125">
        <v>3.9415985298145455</v>
      </c>
      <c r="AV1618" s="125">
        <v>3.8836632156937889</v>
      </c>
      <c r="AW1618" s="125">
        <v>3.8176653506421876</v>
      </c>
      <c r="AX1618" s="126">
        <v>3.7444440274141733</v>
      </c>
    </row>
    <row r="1619" spans="1:50" x14ac:dyDescent="0.25">
      <c r="A1619" s="356"/>
      <c r="B1619" s="359"/>
      <c r="C1619" s="361" t="s">
        <v>16</v>
      </c>
      <c r="D1619" s="2" t="s">
        <v>7</v>
      </c>
      <c r="E1619" s="160" t="str">
        <f>A1609&amp;"/"&amp;B1609&amp;"/"&amp;C1619&amp;"/"&amp;D1619</f>
        <v>Gas fired power plants (Natural gas, biogas)/Gas turbine combined cycle/CHP with CCS/L</v>
      </c>
      <c r="F1619" s="76" t="str">
        <f>A1609</f>
        <v>Gas fired power plants (Natural gas, biogas)</v>
      </c>
      <c r="G1619" s="76" t="str">
        <f>B1609</f>
        <v>Gas turbine combined cycle</v>
      </c>
      <c r="H1619" s="76" t="str">
        <f>C1619</f>
        <v>CHP with CCS</v>
      </c>
      <c r="I1619" s="161" t="str">
        <f t="shared" si="104"/>
        <v>L</v>
      </c>
      <c r="J1619" s="119" t="s">
        <v>112</v>
      </c>
      <c r="K1619" s="119" t="s">
        <v>112</v>
      </c>
      <c r="L1619" s="119" t="s">
        <v>112</v>
      </c>
      <c r="M1619" s="119" t="s">
        <v>112</v>
      </c>
      <c r="N1619" s="119" t="s">
        <v>112</v>
      </c>
      <c r="O1619" s="119" t="s">
        <v>112</v>
      </c>
      <c r="P1619" s="119" t="s">
        <v>112</v>
      </c>
      <c r="Q1619" s="119" t="s">
        <v>112</v>
      </c>
      <c r="R1619" s="119" t="s">
        <v>112</v>
      </c>
      <c r="S1619" s="119" t="s">
        <v>112</v>
      </c>
      <c r="T1619" s="119" t="s">
        <v>112</v>
      </c>
      <c r="U1619" s="119" t="s">
        <v>112</v>
      </c>
      <c r="V1619" s="119" t="s">
        <v>112</v>
      </c>
      <c r="W1619" s="119" t="s">
        <v>112</v>
      </c>
      <c r="X1619" s="119" t="s">
        <v>112</v>
      </c>
      <c r="Y1619" s="119" t="s">
        <v>112</v>
      </c>
      <c r="Z1619" s="119" t="s">
        <v>112</v>
      </c>
      <c r="AA1619" s="119" t="s">
        <v>112</v>
      </c>
      <c r="AB1619" s="119" t="s">
        <v>112</v>
      </c>
      <c r="AC1619" s="119" t="s">
        <v>112</v>
      </c>
      <c r="AD1619" s="119" t="s">
        <v>112</v>
      </c>
      <c r="AE1619" s="119">
        <v>4.1551557709946767</v>
      </c>
      <c r="AF1619" s="119">
        <v>4.153769452268155</v>
      </c>
      <c r="AG1619" s="119">
        <v>4.1519934615537935</v>
      </c>
      <c r="AH1619" s="119">
        <v>4.1497197428262371</v>
      </c>
      <c r="AI1619" s="119">
        <v>4.1468112223135654</v>
      </c>
      <c r="AJ1619" s="119">
        <v>4.1430946220597029</v>
      </c>
      <c r="AK1619" s="119">
        <v>4.138351884371958</v>
      </c>
      <c r="AL1619" s="119">
        <v>4.1323102005185168</v>
      </c>
      <c r="AM1619" s="119">
        <v>4.1246308498690682</v>
      </c>
      <c r="AN1619" s="119">
        <v>4.1148974306294646</v>
      </c>
      <c r="AO1619" s="119">
        <v>4.1026046761980988</v>
      </c>
      <c r="AP1619" s="119">
        <v>4.0871499869626868</v>
      </c>
      <c r="AQ1619" s="119">
        <v>4.0678311323325032</v>
      </c>
      <c r="AR1619" s="119">
        <v>4.0438552753821062</v>
      </c>
      <c r="AS1619" s="119">
        <v>4.0143663233686624</v>
      </c>
      <c r="AT1619" s="119">
        <v>3.9784990065788564</v>
      </c>
      <c r="AU1619" s="119">
        <v>3.935467841612696</v>
      </c>
      <c r="AV1619" s="119">
        <v>3.8846953964984037</v>
      </c>
      <c r="AW1619" s="119">
        <v>3.8259749543605177</v>
      </c>
      <c r="AX1619" s="120">
        <v>3.7596467600793706</v>
      </c>
    </row>
    <row r="1620" spans="1:50" x14ac:dyDescent="0.25">
      <c r="A1620" s="356"/>
      <c r="B1620" s="362"/>
      <c r="C1620" s="354"/>
      <c r="D1620" s="4" t="s">
        <v>8</v>
      </c>
      <c r="E1620" s="168" t="str">
        <f>A1609&amp;"/"&amp;B1609&amp;"/"&amp;C1619&amp;"/"&amp;D1620</f>
        <v>Gas fired power plants (Natural gas, biogas)/Gas turbine combined cycle/CHP with CCS/M</v>
      </c>
      <c r="F1620" s="80" t="str">
        <f>A1609</f>
        <v>Gas fired power plants (Natural gas, biogas)</v>
      </c>
      <c r="G1620" s="80" t="str">
        <f>B1609</f>
        <v>Gas turbine combined cycle</v>
      </c>
      <c r="H1620" s="80" t="str">
        <f>C1619</f>
        <v>CHP with CCS</v>
      </c>
      <c r="I1620" s="169" t="str">
        <f t="shared" si="104"/>
        <v>M</v>
      </c>
      <c r="J1620" s="127" t="s">
        <v>112</v>
      </c>
      <c r="K1620" s="127" t="s">
        <v>112</v>
      </c>
      <c r="L1620" s="127" t="s">
        <v>112</v>
      </c>
      <c r="M1620" s="127" t="s">
        <v>112</v>
      </c>
      <c r="N1620" s="127" t="s">
        <v>112</v>
      </c>
      <c r="O1620" s="127" t="s">
        <v>112</v>
      </c>
      <c r="P1620" s="127" t="s">
        <v>112</v>
      </c>
      <c r="Q1620" s="127" t="s">
        <v>112</v>
      </c>
      <c r="R1620" s="127" t="s">
        <v>112</v>
      </c>
      <c r="S1620" s="127" t="s">
        <v>112</v>
      </c>
      <c r="T1620" s="127" t="s">
        <v>112</v>
      </c>
      <c r="U1620" s="127" t="s">
        <v>112</v>
      </c>
      <c r="V1620" s="127" t="s">
        <v>112</v>
      </c>
      <c r="W1620" s="127" t="s">
        <v>112</v>
      </c>
      <c r="X1620" s="127" t="s">
        <v>112</v>
      </c>
      <c r="Y1620" s="127" t="s">
        <v>112</v>
      </c>
      <c r="Z1620" s="127" t="s">
        <v>112</v>
      </c>
      <c r="AA1620" s="127" t="s">
        <v>112</v>
      </c>
      <c r="AB1620" s="127" t="s">
        <v>112</v>
      </c>
      <c r="AC1620" s="127" t="s">
        <v>112</v>
      </c>
      <c r="AD1620" s="127" t="s">
        <v>112</v>
      </c>
      <c r="AE1620" s="127">
        <v>4.8918125849976457</v>
      </c>
      <c r="AF1620" s="127">
        <v>4.8903290200499416</v>
      </c>
      <c r="AG1620" s="127">
        <v>4.8884284487593215</v>
      </c>
      <c r="AH1620" s="127">
        <v>4.8859952352849536</v>
      </c>
      <c r="AI1620" s="127">
        <v>4.8828826905290263</v>
      </c>
      <c r="AJ1620" s="127">
        <v>4.8789053815914976</v>
      </c>
      <c r="AK1620" s="127">
        <v>4.8738299546675981</v>
      </c>
      <c r="AL1620" s="127">
        <v>4.8673644642875002</v>
      </c>
      <c r="AM1620" s="127">
        <v>4.8591464295551576</v>
      </c>
      <c r="AN1620" s="127">
        <v>4.8487302393032845</v>
      </c>
      <c r="AO1620" s="127">
        <v>4.835575183949695</v>
      </c>
      <c r="AP1620" s="127">
        <v>4.8190363932743034</v>
      </c>
      <c r="AQ1620" s="127">
        <v>4.7983623772556028</v>
      </c>
      <c r="AR1620" s="127">
        <v>4.7727046837668734</v>
      </c>
      <c r="AS1620" s="127">
        <v>4.7411471676526364</v>
      </c>
      <c r="AT1620" s="127">
        <v>4.7027638630491788</v>
      </c>
      <c r="AU1620" s="127">
        <v>4.6567141871836242</v>
      </c>
      <c r="AV1620" s="127">
        <v>4.6023802029130731</v>
      </c>
      <c r="AW1620" s="127">
        <v>4.5395406927752884</v>
      </c>
      <c r="AX1620" s="128">
        <v>4.4685597688380359</v>
      </c>
    </row>
    <row r="1621" spans="1:50" x14ac:dyDescent="0.25">
      <c r="A1621" s="356"/>
      <c r="B1621" s="358" t="s">
        <v>24</v>
      </c>
      <c r="C1621" s="353" t="s">
        <v>6</v>
      </c>
      <c r="D1621" s="3" t="s">
        <v>8</v>
      </c>
      <c r="E1621" s="162" t="str">
        <f>A1609&amp;"/"&amp;B1621&amp;"/"&amp;C1621&amp;"/"&amp;D1621</f>
        <v>Gas fired power plants (Natural gas, biogas)/Gas turbine /Electricity only/M</v>
      </c>
      <c r="F1621" s="77" t="str">
        <f>A1609</f>
        <v>Gas fired power plants (Natural gas, biogas)</v>
      </c>
      <c r="G1621" s="77" t="str">
        <f>B1621</f>
        <v xml:space="preserve">Gas turbine </v>
      </c>
      <c r="H1621" s="77" t="str">
        <f>C1621</f>
        <v>Electricity only</v>
      </c>
      <c r="I1621" s="163" t="str">
        <f t="shared" si="104"/>
        <v>M</v>
      </c>
      <c r="J1621" s="121">
        <v>2.3833528722157089</v>
      </c>
      <c r="K1621" s="121">
        <v>2.382950405592223</v>
      </c>
      <c r="L1621" s="121">
        <v>2.3825084488126507</v>
      </c>
      <c r="M1621" s="121">
        <v>2.382023443385199</v>
      </c>
      <c r="N1621" s="121">
        <v>2.3814915771111203</v>
      </c>
      <c r="O1621" s="121">
        <v>2.3809087804769091</v>
      </c>
      <c r="P1621" s="121">
        <v>2.3802707266400152</v>
      </c>
      <c r="Q1621" s="121">
        <v>2.3795728359256549</v>
      </c>
      <c r="R1621" s="121">
        <v>2.3788102858742128</v>
      </c>
      <c r="S1621" s="121">
        <v>2.3779780279964009</v>
      </c>
      <c r="T1621" s="121">
        <v>2.3770708124986415</v>
      </c>
      <c r="U1621" s="121">
        <v>2.3760832223232708</v>
      </c>
      <c r="V1621" s="121">
        <v>2.375009717893461</v>
      </c>
      <c r="W1621" s="121">
        <v>2.3738446939446396</v>
      </c>
      <c r="X1621" s="121">
        <v>2.3725825497430266</v>
      </c>
      <c r="Y1621" s="121">
        <v>2.3712177738160718</v>
      </c>
      <c r="Z1621" s="121">
        <v>2.3697450440258043</v>
      </c>
      <c r="AA1621" s="121">
        <v>2.3681593433820076</v>
      </c>
      <c r="AB1621" s="121">
        <v>2.3664560913981703</v>
      </c>
      <c r="AC1621" s="121">
        <v>2.3646312900264448</v>
      </c>
      <c r="AD1621" s="121">
        <v>2.3626816822661771</v>
      </c>
      <c r="AE1621" s="121">
        <v>2.3606049204374533</v>
      </c>
      <c r="AF1621" s="121">
        <v>2.3583997398804772</v>
      </c>
      <c r="AG1621" s="121">
        <v>2.3560661325422489</v>
      </c>
      <c r="AH1621" s="121">
        <v>2.3536055136302636</v>
      </c>
      <c r="AI1621" s="121">
        <v>2.3510208733622266</v>
      </c>
      <c r="AJ1621" s="121">
        <v>2.3483169049574486</v>
      </c>
      <c r="AK1621" s="121">
        <v>2.3455000995493442</v>
      </c>
      <c r="AL1621" s="121">
        <v>2.3425787987973155</v>
      </c>
      <c r="AM1621" s="121">
        <v>2.3395631967664201</v>
      </c>
      <c r="AN1621" s="121">
        <v>2.3364652842059872</v>
      </c>
      <c r="AO1621" s="121">
        <v>2.3332987307067312</v>
      </c>
      <c r="AP1621" s="121">
        <v>2.330078703276401</v>
      </c>
      <c r="AQ1621" s="121">
        <v>2.3268216234763806</v>
      </c>
      <c r="AR1621" s="121">
        <v>2.3235448691438561</v>
      </c>
      <c r="AS1621" s="121">
        <v>2.3202664305513929</v>
      </c>
      <c r="AT1621" s="121">
        <v>2.3170045342566841</v>
      </c>
      <c r="AU1621" s="121">
        <v>2.3137772505082927</v>
      </c>
      <c r="AV1621" s="121">
        <v>2.3106021015981746</v>
      </c>
      <c r="AW1621" s="121">
        <v>2.3074956887958824</v>
      </c>
      <c r="AX1621" s="122">
        <v>2.3044733544095197</v>
      </c>
    </row>
    <row r="1622" spans="1:50" x14ac:dyDescent="0.25">
      <c r="A1622" s="356"/>
      <c r="B1622" s="359"/>
      <c r="C1622" s="350"/>
      <c r="D1622" s="2" t="s">
        <v>10</v>
      </c>
      <c r="E1622" s="160" t="str">
        <f>A1609&amp;"/"&amp;B1621&amp;"/"&amp;C1621&amp;"/"&amp;D1622</f>
        <v>Gas fired power plants (Natural gas, biogas)/Gas turbine /Electricity only/S</v>
      </c>
      <c r="F1622" s="76" t="str">
        <f>A1609</f>
        <v>Gas fired power plants (Natural gas, biogas)</v>
      </c>
      <c r="G1622" s="76" t="str">
        <f>B1621</f>
        <v xml:space="preserve">Gas turbine </v>
      </c>
      <c r="H1622" s="76" t="str">
        <f>C1621</f>
        <v>Electricity only</v>
      </c>
      <c r="I1622" s="161" t="str">
        <f t="shared" si="104"/>
        <v>S</v>
      </c>
      <c r="J1622" s="119">
        <v>2.5382708089097306</v>
      </c>
      <c r="K1622" s="119">
        <v>2.5378382665883166</v>
      </c>
      <c r="L1622" s="119">
        <v>2.5373631409343953</v>
      </c>
      <c r="M1622" s="119">
        <v>2.5368415651273493</v>
      </c>
      <c r="N1622" s="119">
        <v>2.536269390426614</v>
      </c>
      <c r="O1622" s="119">
        <v>2.5356421806560521</v>
      </c>
      <c r="P1622" s="119">
        <v>2.5349552103457307</v>
      </c>
      <c r="Q1622" s="119">
        <v>2.5342034675185836</v>
      </c>
      <c r="R1622" s="119">
        <v>2.5333816622519447</v>
      </c>
      <c r="S1622" s="119">
        <v>2.5324842422863312</v>
      </c>
      <c r="T1622" s="119">
        <v>2.5315054170881965</v>
      </c>
      <c r="U1622" s="119">
        <v>2.5304391918888758</v>
      </c>
      <c r="V1622" s="119">
        <v>2.5292794133046139</v>
      </c>
      <c r="W1622" s="119">
        <v>2.5280198281748802</v>
      </c>
      <c r="X1622" s="119">
        <v>2.5266541572167349</v>
      </c>
      <c r="Y1622" s="119">
        <v>2.5251761849573828</v>
      </c>
      <c r="Z1622" s="119">
        <v>2.5235798671478702</v>
      </c>
      <c r="AA1622" s="119">
        <v>2.5218594564499748</v>
      </c>
      <c r="AB1622" s="119">
        <v>2.5200096465986745</v>
      </c>
      <c r="AC1622" s="119">
        <v>2.5180257344521042</v>
      </c>
      <c r="AD1622" s="119">
        <v>2.5159037983367094</v>
      </c>
      <c r="AE1622" s="119">
        <v>2.5136408898795684</v>
      </c>
      <c r="AF1622" s="119">
        <v>2.5112352351156479</v>
      </c>
      <c r="AG1622" s="119">
        <v>2.5086864391156007</v>
      </c>
      <c r="AH1622" s="119">
        <v>2.5059956867823572</v>
      </c>
      <c r="AI1622" s="119">
        <v>2.5031659309302596</v>
      </c>
      <c r="AJ1622" s="119">
        <v>2.5002020574405854</v>
      </c>
      <c r="AK1622" s="119">
        <v>2.4971110163607859</v>
      </c>
      <c r="AL1622" s="119">
        <v>2.4939019074734374</v>
      </c>
      <c r="AM1622" s="119">
        <v>2.4905860092885845</v>
      </c>
      <c r="AN1622" s="119">
        <v>2.4871767417584039</v>
      </c>
      <c r="AO1622" s="119">
        <v>2.4836895553581981</v>
      </c>
      <c r="AP1622" s="119">
        <v>2.4801417425090309</v>
      </c>
      <c r="AQ1622" s="119">
        <v>2.4765521715026271</v>
      </c>
      <c r="AR1622" s="119">
        <v>2.4729409478686781</v>
      </c>
      <c r="AS1622" s="119">
        <v>2.4693290131214347</v>
      </c>
      <c r="AT1622" s="119">
        <v>2.4657376955738739</v>
      </c>
      <c r="AU1622" s="119">
        <v>2.4621882319185291</v>
      </c>
      <c r="AV1622" s="119">
        <v>2.4587012810821971</v>
      </c>
      <c r="AW1622" s="119">
        <v>2.455296453108156</v>
      </c>
      <c r="AX1622" s="120">
        <v>2.4519918753076109</v>
      </c>
    </row>
    <row r="1623" spans="1:50" x14ac:dyDescent="0.25">
      <c r="A1623" s="356"/>
      <c r="B1623" s="359"/>
      <c r="C1623" s="360"/>
      <c r="D1623" s="59" t="s">
        <v>20</v>
      </c>
      <c r="E1623" s="160" t="str">
        <f>A1609&amp;"/"&amp;B1621&amp;"/"&amp;C1621&amp;"/"&amp;D1623</f>
        <v>Gas fired power plants (Natural gas, biogas)/Gas turbine /Electricity only/XS</v>
      </c>
      <c r="F1623" s="76" t="str">
        <f>A1609</f>
        <v>Gas fired power plants (Natural gas, biogas)</v>
      </c>
      <c r="G1623" s="76" t="str">
        <f>B1621</f>
        <v xml:space="preserve">Gas turbine </v>
      </c>
      <c r="H1623" s="76" t="str">
        <f>C1621</f>
        <v>Electricity only</v>
      </c>
      <c r="I1623" s="161" t="str">
        <f t="shared" si="104"/>
        <v>XS</v>
      </c>
      <c r="J1623" s="119">
        <v>3.6804926729191085</v>
      </c>
      <c r="K1623" s="119">
        <v>3.680108397155665</v>
      </c>
      <c r="L1623" s="119">
        <v>3.6796852910491982</v>
      </c>
      <c r="M1623" s="119">
        <v>3.6792196108269355</v>
      </c>
      <c r="N1623" s="119">
        <v>3.6787072906277212</v>
      </c>
      <c r="O1623" s="119">
        <v>3.678143923269019</v>
      </c>
      <c r="P1623" s="119">
        <v>3.6775247418299646</v>
      </c>
      <c r="Q1623" s="119">
        <v>3.6768446026353425</v>
      </c>
      <c r="R1623" s="119">
        <v>3.67609797035731</v>
      </c>
      <c r="S1623" s="119">
        <v>3.675278906101509</v>
      </c>
      <c r="T1623" s="119">
        <v>3.6743810595114783</v>
      </c>
      <c r="U1623" s="119">
        <v>3.6733976661086265</v>
      </c>
      <c r="V1623" s="119">
        <v>3.6723215512813199</v>
      </c>
      <c r="W1623" s="119">
        <v>3.6711451425406518</v>
      </c>
      <c r="X1623" s="119">
        <v>3.6698604918643243</v>
      </c>
      <c r="Y1623" s="119">
        <v>3.6684593101423091</v>
      </c>
      <c r="Z1623" s="119">
        <v>3.66693301590337</v>
      </c>
      <c r="AA1623" s="119">
        <v>3.6652728006198343</v>
      </c>
      <c r="AB1623" s="119">
        <v>3.6634697129342402</v>
      </c>
      <c r="AC1623" s="119">
        <v>3.6615147640950729</v>
      </c>
      <c r="AD1623" s="119">
        <v>3.6593990566946122</v>
      </c>
      <c r="AE1623" s="119">
        <v>3.6571139384309221</v>
      </c>
      <c r="AF1623" s="119">
        <v>3.6546511820277914</v>
      </c>
      <c r="AG1623" s="119">
        <v>3.6520031916023443</v>
      </c>
      <c r="AH1623" s="119">
        <v>3.6491632346384688</v>
      </c>
      <c r="AI1623" s="119">
        <v>3.6461256972867107</v>
      </c>
      <c r="AJ1623" s="119">
        <v>3.6428863589709577</v>
      </c>
      <c r="AK1623" s="119">
        <v>3.6394426802721371</v>
      </c>
      <c r="AL1623" s="119">
        <v>3.6357940958515282</v>
      </c>
      <c r="AM1623" s="119">
        <v>3.6319423018897488</v>
      </c>
      <c r="AN1623" s="119">
        <v>3.6278915253207731</v>
      </c>
      <c r="AO1623" s="119">
        <v>3.6236487602509597</v>
      </c>
      <c r="AP1623" s="119">
        <v>3.6192239556267332</v>
      </c>
      <c r="AQ1623" s="119">
        <v>3.6146301377259675</v>
      </c>
      <c r="AR1623" s="119">
        <v>3.6098834516603295</v>
      </c>
      <c r="AS1623" s="119">
        <v>3.6050031080015694</v>
      </c>
      <c r="AT1623" s="119">
        <v>3.6000112240017059</v>
      </c>
      <c r="AU1623" s="119">
        <v>3.5949325536457941</v>
      </c>
      <c r="AV1623" s="119">
        <v>3.5897941067671932</v>
      </c>
      <c r="AW1623" s="119">
        <v>3.5846246642971336</v>
      </c>
      <c r="AX1623" s="120">
        <v>3.5794542038731509</v>
      </c>
    </row>
    <row r="1624" spans="1:50" x14ac:dyDescent="0.25">
      <c r="A1624" s="356"/>
      <c r="B1624" s="359"/>
      <c r="C1624" s="361" t="s">
        <v>14</v>
      </c>
      <c r="D1624" s="2" t="s">
        <v>8</v>
      </c>
      <c r="E1624" s="164" t="str">
        <f>A1609&amp;"/"&amp;B1621&amp;"/"&amp;C1624&amp;"/"&amp;D1624</f>
        <v>Gas fired power plants (Natural gas, biogas)/Gas turbine /CHP/M</v>
      </c>
      <c r="F1624" s="78" t="str">
        <f>A1609</f>
        <v>Gas fired power plants (Natural gas, biogas)</v>
      </c>
      <c r="G1624" s="78" t="str">
        <f>B1621</f>
        <v xml:space="preserve">Gas turbine </v>
      </c>
      <c r="H1624" s="78" t="str">
        <f>C1624</f>
        <v>CHP</v>
      </c>
      <c r="I1624" s="165" t="str">
        <f t="shared" si="104"/>
        <v>M</v>
      </c>
      <c r="J1624" s="123">
        <v>3.7641740692847745</v>
      </c>
      <c r="K1624" s="123">
        <v>3.7640858533141399</v>
      </c>
      <c r="L1624" s="123">
        <v>3.7639884461320312</v>
      </c>
      <c r="M1624" s="123">
        <v>3.7638809001084779</v>
      </c>
      <c r="N1624" s="123">
        <v>3.7637621721115004</v>
      </c>
      <c r="O1624" s="123">
        <v>3.7636311143671883</v>
      </c>
      <c r="P1624" s="123">
        <v>3.763486464552777</v>
      </c>
      <c r="Q1624" s="123">
        <v>3.7633268350830358</v>
      </c>
      <c r="R1624" s="123">
        <v>3.7631507015544772</v>
      </c>
      <c r="S1624" s="123">
        <v>3.7629563903181973</v>
      </c>
      <c r="T1624" s="123">
        <v>3.7627420651609755</v>
      </c>
      <c r="U1624" s="123">
        <v>3.7625057130862603</v>
      </c>
      <c r="V1624" s="123">
        <v>3.7622451292025474</v>
      </c>
      <c r="W1624" s="123">
        <v>3.7619579007471202</v>
      </c>
      <c r="X1624" s="123">
        <v>3.7616413902992254</v>
      </c>
      <c r="Y1624" s="123">
        <v>3.7612927182694347</v>
      </c>
      <c r="Z1624" s="123">
        <v>3.7609087447924243</v>
      </c>
      <c r="AA1624" s="123">
        <v>3.7604860511999036</v>
      </c>
      <c r="AB1624" s="123">
        <v>3.7600209213103732</v>
      </c>
      <c r="AC1624" s="123">
        <v>3.7595093228441208</v>
      </c>
      <c r="AD1624" s="123">
        <v>3.7589468893568148</v>
      </c>
      <c r="AE1624" s="123">
        <v>3.7583289031845082</v>
      </c>
      <c r="AF1624" s="123">
        <v>3.7576502800078386</v>
      </c>
      <c r="AG1624" s="123">
        <v>3.7569055557744013</v>
      </c>
      <c r="AH1624" s="123">
        <v>3.7560888768655993</v>
      </c>
      <c r="AI1624" s="123">
        <v>3.7551939945568753</v>
      </c>
      <c r="AJ1624" s="123">
        <v>3.7542142649957673</v>
      </c>
      <c r="AK1624" s="123">
        <v>3.7531426561067596</v>
      </c>
      <c r="AL1624" s="123">
        <v>3.7519717630190246</v>
      </c>
      <c r="AM1624" s="123">
        <v>3.7506938337939197</v>
      </c>
      <c r="AN1624" s="123">
        <v>3.7493008073907301</v>
      </c>
      <c r="AO1624" s="123">
        <v>3.7477843659352867</v>
      </c>
      <c r="AP1624" s="123">
        <v>3.7461360034256526</v>
      </c>
      <c r="AQ1624" s="123">
        <v>3.7443471129965702</v>
      </c>
      <c r="AR1624" s="123">
        <v>3.7424090947398021</v>
      </c>
      <c r="AS1624" s="123">
        <v>3.7403134858074361</v>
      </c>
      <c r="AT1624" s="123">
        <v>3.7380521140741787</v>
      </c>
      <c r="AU1624" s="123">
        <v>3.7356172759681061</v>
      </c>
      <c r="AV1624" s="123">
        <v>3.7330019381672965</v>
      </c>
      <c r="AW1624" s="123">
        <v>3.7301999616824721</v>
      </c>
      <c r="AX1624" s="124">
        <v>3.7272063453998747</v>
      </c>
    </row>
    <row r="1625" spans="1:50" x14ac:dyDescent="0.25">
      <c r="A1625" s="356"/>
      <c r="B1625" s="359"/>
      <c r="C1625" s="350"/>
      <c r="D1625" s="2" t="s">
        <v>10</v>
      </c>
      <c r="E1625" s="160" t="str">
        <f>A1609&amp;"/"&amp;B1621&amp;"/"&amp;C1624&amp;"/"&amp;D1625</f>
        <v>Gas fired power plants (Natural gas, biogas)/Gas turbine /CHP/S</v>
      </c>
      <c r="F1625" s="76" t="str">
        <f>A1609</f>
        <v>Gas fired power plants (Natural gas, biogas)</v>
      </c>
      <c r="G1625" s="76" t="str">
        <f>B1621</f>
        <v xml:space="preserve">Gas turbine </v>
      </c>
      <c r="H1625" s="76" t="str">
        <f>C1624</f>
        <v>CHP</v>
      </c>
      <c r="I1625" s="161" t="str">
        <f t="shared" si="104"/>
        <v>S</v>
      </c>
      <c r="J1625" s="119">
        <v>3.7916552398448418</v>
      </c>
      <c r="K1625" s="119">
        <v>3.7915081455890691</v>
      </c>
      <c r="L1625" s="119">
        <v>3.7913458068564538</v>
      </c>
      <c r="M1625" s="119">
        <v>3.7911666697430806</v>
      </c>
      <c r="N1625" s="119">
        <v>3.7909690276539529</v>
      </c>
      <c r="O1625" s="119">
        <v>3.7907510075532165</v>
      </c>
      <c r="P1625" s="119">
        <v>3.7905105552563181</v>
      </c>
      <c r="Q1625" s="119">
        <v>3.790245419763496</v>
      </c>
      <c r="R1625" s="119">
        <v>3.7899531366535117</v>
      </c>
      <c r="S1625" s="119">
        <v>3.7896310105815068</v>
      </c>
      <c r="T1625" s="119">
        <v>3.7892760969564341</v>
      </c>
      <c r="U1625" s="119">
        <v>3.7888851829128884</v>
      </c>
      <c r="V1625" s="119">
        <v>3.7884547677406024</v>
      </c>
      <c r="W1625" s="119">
        <v>3.787981042993946</v>
      </c>
      <c r="X1625" s="119">
        <v>3.7874598725748951</v>
      </c>
      <c r="Y1625" s="119">
        <v>3.786886773167796</v>
      </c>
      <c r="Z1625" s="119">
        <v>3.7862568955042666</v>
      </c>
      <c r="AA1625" s="119">
        <v>3.7855650070532203</v>
      </c>
      <c r="AB1625" s="119">
        <v>3.7848054768652326</v>
      </c>
      <c r="AC1625" s="119">
        <v>3.7839722634528399</v>
      </c>
      <c r="AD1625" s="119">
        <v>3.7830589067585549</v>
      </c>
      <c r="AE1625" s="119">
        <v>3.7820585254488943</v>
      </c>
      <c r="AF1625" s="119">
        <v>3.7809638209723686</v>
      </c>
      <c r="AG1625" s="119">
        <v>3.779767090026978</v>
      </c>
      <c r="AH1625" s="119">
        <v>3.7784602472900675</v>
      </c>
      <c r="AI1625" s="119">
        <v>3.7770348604590414</v>
      </c>
      <c r="AJ1625" s="119">
        <v>3.7754821998196162</v>
      </c>
      <c r="AK1625" s="119">
        <v>3.7737933046787222</v>
      </c>
      <c r="AL1625" s="119">
        <v>3.7719590690461482</v>
      </c>
      <c r="AM1625" s="119">
        <v>3.7699703488916558</v>
      </c>
      <c r="AN1625" s="119">
        <v>3.7678180931067424</v>
      </c>
      <c r="AO1625" s="119">
        <v>3.7654934999228424</v>
      </c>
      <c r="AP1625" s="119">
        <v>3.7629881999393398</v>
      </c>
      <c r="AQ1625" s="119">
        <v>3.7602944660561377</v>
      </c>
      <c r="AR1625" s="119">
        <v>3.757405449454374</v>
      </c>
      <c r="AS1625" s="119">
        <v>3.7543154393065685</v>
      </c>
      <c r="AT1625" s="119">
        <v>3.7510201421270764</v>
      </c>
      <c r="AU1625" s="119">
        <v>3.7475169746289119</v>
      </c>
      <c r="AV1625" s="119">
        <v>3.7438053617072535</v>
      </c>
      <c r="AW1625" s="119">
        <v>3.7398870288438681</v>
      </c>
      <c r="AX1625" s="120">
        <v>3.7357662759920944</v>
      </c>
    </row>
    <row r="1626" spans="1:50" x14ac:dyDescent="0.25">
      <c r="A1626" s="356"/>
      <c r="B1626" s="362"/>
      <c r="C1626" s="354"/>
      <c r="D1626" s="4" t="s">
        <v>20</v>
      </c>
      <c r="E1626" s="168" t="str">
        <f>A1609&amp;"/"&amp;B1621&amp;"/"&amp;C1624&amp;"/"&amp;D1626</f>
        <v>Gas fired power plants (Natural gas, biogas)/Gas turbine /CHP/XS</v>
      </c>
      <c r="F1626" s="80" t="str">
        <f>A1609</f>
        <v>Gas fired power plants (Natural gas, biogas)</v>
      </c>
      <c r="G1626" s="80" t="str">
        <f>B1621</f>
        <v xml:space="preserve">Gas turbine </v>
      </c>
      <c r="H1626" s="80" t="str">
        <f>C1624</f>
        <v>CHP</v>
      </c>
      <c r="I1626" s="169" t="str">
        <f t="shared" si="104"/>
        <v>XS</v>
      </c>
      <c r="J1626" s="127">
        <v>4.2808869807160077</v>
      </c>
      <c r="K1626" s="127">
        <v>4.2807209071031291</v>
      </c>
      <c r="L1626" s="127">
        <v>4.2805376220408116</v>
      </c>
      <c r="M1626" s="127">
        <v>4.2803353711271885</v>
      </c>
      <c r="N1626" s="127">
        <v>4.2801122275678001</v>
      </c>
      <c r="O1626" s="127">
        <v>4.2798660766517127</v>
      </c>
      <c r="P1626" s="127">
        <v>4.2795945991459368</v>
      </c>
      <c r="Q1626" s="127">
        <v>4.279295253607498</v>
      </c>
      <c r="R1626" s="127">
        <v>4.2789652576344812</v>
      </c>
      <c r="S1626" s="127">
        <v>4.2786015681056169</v>
      </c>
      <c r="T1626" s="127">
        <v>4.2782008604935733</v>
      </c>
      <c r="U1626" s="127">
        <v>4.2777595073816101</v>
      </c>
      <c r="V1626" s="127">
        <v>4.2772735563679269</v>
      </c>
      <c r="W1626" s="127">
        <v>4.2767387076087111</v>
      </c>
      <c r="X1626" s="127">
        <v>4.2761502913312492</v>
      </c>
      <c r="Y1626" s="127">
        <v>4.275503245744213</v>
      </c>
      <c r="Z1626" s="127">
        <v>4.2747920958851973</v>
      </c>
      <c r="AA1626" s="127">
        <v>4.2740109340772712</v>
      </c>
      <c r="AB1626" s="127">
        <v>4.2731534028178233</v>
      </c>
      <c r="AC1626" s="127">
        <v>4.2722126810950813</v>
      </c>
      <c r="AD1626" s="127">
        <v>4.2711814753197714</v>
      </c>
      <c r="AE1626" s="127">
        <v>4.270052016269994</v>
      </c>
      <c r="AF1626" s="127">
        <v>4.2688160636728165</v>
      </c>
      <c r="AG1626" s="127">
        <v>4.2674649202804247</v>
      </c>
      <c r="AH1626" s="127">
        <v>4.2659894575327844</v>
      </c>
      <c r="AI1626" s="127">
        <v>4.2643801551196061</v>
      </c>
      <c r="AJ1626" s="127">
        <v>4.2626271569443128</v>
      </c>
      <c r="AK1626" s="127">
        <v>4.260720346128692</v>
      </c>
      <c r="AL1626" s="127">
        <v>4.2586494417499026</v>
      </c>
      <c r="AM1626" s="127">
        <v>4.2564041199368345</v>
      </c>
      <c r="AN1626" s="127">
        <v>4.2539741617296691</v>
      </c>
      <c r="AO1626" s="127">
        <v>4.2513496296804885</v>
      </c>
      <c r="AP1626" s="127">
        <v>4.2485210744971313</v>
      </c>
      <c r="AQ1626" s="127">
        <v>4.2454797720630566</v>
      </c>
      <c r="AR1626" s="127">
        <v>4.2422179898663002</v>
      </c>
      <c r="AS1626" s="127">
        <v>4.2387292802196495</v>
      </c>
      <c r="AT1626" s="127">
        <v>4.2350087956552738</v>
      </c>
      <c r="AU1626" s="127">
        <v>4.2310536195684385</v>
      </c>
      <c r="AV1626" s="127">
        <v>4.2268631026493848</v>
      </c>
      <c r="AW1626" s="127">
        <v>4.2224391930162763</v>
      </c>
      <c r="AX1626" s="128">
        <v>4.2177867454391516</v>
      </c>
    </row>
    <row r="1627" spans="1:50" x14ac:dyDescent="0.25">
      <c r="A1627" s="356"/>
      <c r="B1627" s="358" t="s">
        <v>19</v>
      </c>
      <c r="C1627" s="353" t="s">
        <v>6</v>
      </c>
      <c r="D1627" s="3" t="s">
        <v>7</v>
      </c>
      <c r="E1627" s="162" t="str">
        <f>A1609&amp;"/"&amp;B1627&amp;"/"&amp;C1627&amp;"/"&amp;D1627</f>
        <v>Gas fired power plants (Natural gas, biogas)/Steam turbine/Electricity only/L</v>
      </c>
      <c r="F1627" s="77" t="str">
        <f>A1609</f>
        <v>Gas fired power plants (Natural gas, biogas)</v>
      </c>
      <c r="G1627" s="77" t="str">
        <f>B1627</f>
        <v>Steam turbine</v>
      </c>
      <c r="H1627" s="77" t="str">
        <f>C1627</f>
        <v>Electricity only</v>
      </c>
      <c r="I1627" s="163" t="str">
        <f t="shared" si="104"/>
        <v>L</v>
      </c>
      <c r="J1627" s="121">
        <v>1.9142962917257973</v>
      </c>
      <c r="K1627" s="121">
        <v>1.9149767743637847</v>
      </c>
      <c r="L1627" s="121">
        <v>1.9156428062282218</v>
      </c>
      <c r="M1627" s="121">
        <v>1.9162945519861025</v>
      </c>
      <c r="N1627" s="121">
        <v>1.9169321819512861</v>
      </c>
      <c r="O1627" s="121">
        <v>1.917555871619141</v>
      </c>
      <c r="P1627" s="121">
        <v>1.9181658012140601</v>
      </c>
      <c r="Q1627" s="121">
        <v>1.9187621552503473</v>
      </c>
      <c r="R1627" s="121">
        <v>1.9193451221069047</v>
      </c>
      <c r="S1627" s="121">
        <v>1.9199148936160564</v>
      </c>
      <c r="T1627" s="121">
        <v>1.9204716646667876</v>
      </c>
      <c r="U1627" s="121">
        <v>1.9210156328225976</v>
      </c>
      <c r="V1627" s="121">
        <v>1.9215469979540987</v>
      </c>
      <c r="W1627" s="121">
        <v>1.9220659618864488</v>
      </c>
      <c r="X1627" s="121">
        <v>1.9225727280616245</v>
      </c>
      <c r="Y1627" s="121">
        <v>1.9230675012155094</v>
      </c>
      <c r="Z1627" s="121">
        <v>1.9235504870697187</v>
      </c>
      <c r="AA1627" s="121">
        <v>1.9240218920380265</v>
      </c>
      <c r="AB1627" s="121">
        <v>1.924481922947245</v>
      </c>
      <c r="AC1627" s="121">
        <v>1.9249307867723411</v>
      </c>
      <c r="AD1627" s="121">
        <v>1.9253686903855707</v>
      </c>
      <c r="AE1627" s="121">
        <v>1.9257958403193567</v>
      </c>
      <c r="AF1627" s="121">
        <v>1.9262124425426326</v>
      </c>
      <c r="AG1627" s="121">
        <v>1.9266187022503372</v>
      </c>
      <c r="AH1627" s="121">
        <v>1.9270148236657327</v>
      </c>
      <c r="AI1627" s="121">
        <v>1.9274010098552001</v>
      </c>
      <c r="AJ1627" s="121">
        <v>1.9277774625551525</v>
      </c>
      <c r="AK1627" s="121">
        <v>1.9281443820106965</v>
      </c>
      <c r="AL1627" s="121">
        <v>1.9285019668256618</v>
      </c>
      <c r="AM1627" s="121">
        <v>1.928850413823612</v>
      </c>
      <c r="AN1627" s="121">
        <v>1.9291899179194458</v>
      </c>
      <c r="AO1627" s="121">
        <v>1.9295206720011957</v>
      </c>
      <c r="AP1627" s="121">
        <v>1.9298428668216308</v>
      </c>
      <c r="AQ1627" s="121">
        <v>1.930156690899262</v>
      </c>
      <c r="AR1627" s="121">
        <v>1.9304623304283681</v>
      </c>
      <c r="AS1627" s="121">
        <v>1.9307599691976418</v>
      </c>
      <c r="AT1627" s="121">
        <v>1.9310497885170801</v>
      </c>
      <c r="AU1627" s="121">
        <v>1.9313319671527311</v>
      </c>
      <c r="AV1627" s="121">
        <v>1.9316066812689296</v>
      </c>
      <c r="AW1627" s="121">
        <v>1.9318741043776508</v>
      </c>
      <c r="AX1627" s="122">
        <v>1.9321344072946252</v>
      </c>
    </row>
    <row r="1628" spans="1:50" x14ac:dyDescent="0.25">
      <c r="A1628" s="356"/>
      <c r="B1628" s="359"/>
      <c r="C1628" s="350"/>
      <c r="D1628" s="2" t="s">
        <v>8</v>
      </c>
      <c r="E1628" s="160" t="str">
        <f>A1609&amp;"/"&amp;B1627&amp;"/"&amp;C1627&amp;"/"&amp;D1628</f>
        <v>Gas fired power plants (Natural gas, biogas)/Steam turbine/Electricity only/M</v>
      </c>
      <c r="F1628" s="76" t="str">
        <f>A1609</f>
        <v>Gas fired power plants (Natural gas, biogas)</v>
      </c>
      <c r="G1628" s="76" t="str">
        <f>B1627</f>
        <v>Steam turbine</v>
      </c>
      <c r="H1628" s="76" t="str">
        <f>C1627</f>
        <v>Electricity only</v>
      </c>
      <c r="I1628" s="161" t="str">
        <f t="shared" si="104"/>
        <v>M</v>
      </c>
      <c r="J1628" s="119">
        <v>2.0674399950638613</v>
      </c>
      <c r="K1628" s="119">
        <v>2.067991186000631</v>
      </c>
      <c r="L1628" s="119">
        <v>2.0685306718108252</v>
      </c>
      <c r="M1628" s="119">
        <v>2.0690585858747084</v>
      </c>
      <c r="N1628" s="119">
        <v>2.0695750661465073</v>
      </c>
      <c r="O1628" s="119">
        <v>2.0700802547774702</v>
      </c>
      <c r="P1628" s="119">
        <v>2.0705742977493546</v>
      </c>
      <c r="Q1628" s="119">
        <v>2.071057344518747</v>
      </c>
      <c r="R1628" s="119">
        <v>2.0715295476725588</v>
      </c>
      <c r="S1628" s="119">
        <v>2.0719910625949711</v>
      </c>
      <c r="T1628" s="119">
        <v>2.0724420471460636</v>
      </c>
      <c r="U1628" s="119">
        <v>2.0728826613522702</v>
      </c>
      <c r="V1628" s="119">
        <v>2.0733130671087858</v>
      </c>
      <c r="W1628" s="119">
        <v>2.0737334278939894</v>
      </c>
      <c r="X1628" s="119">
        <v>2.0741439084958815</v>
      </c>
      <c r="Y1628" s="119">
        <v>2.0745446747505283</v>
      </c>
      <c r="Z1628" s="119">
        <v>2.0749358932924378</v>
      </c>
      <c r="AA1628" s="119">
        <v>2.0753177313167672</v>
      </c>
      <c r="AB1628" s="119">
        <v>2.0756903563532343</v>
      </c>
      <c r="AC1628" s="119">
        <v>2.0760539360515624</v>
      </c>
      <c r="AD1628" s="119">
        <v>2.0764086379782785</v>
      </c>
      <c r="AE1628" s="119">
        <v>2.0767546294246446</v>
      </c>
      <c r="AF1628" s="119">
        <v>2.0770920772254979</v>
      </c>
      <c r="AG1628" s="119">
        <v>2.0774211475887387</v>
      </c>
      <c r="AH1628" s="119">
        <v>2.0777420059352094</v>
      </c>
      <c r="AI1628" s="119">
        <v>2.0780548167486779</v>
      </c>
      <c r="AJ1628" s="119">
        <v>2.0783597434356391</v>
      </c>
      <c r="AK1628" s="119">
        <v>2.07865694819463</v>
      </c>
      <c r="AL1628" s="119">
        <v>2.0789465918947521</v>
      </c>
      <c r="AM1628" s="119">
        <v>2.0792288339630915</v>
      </c>
      <c r="AN1628" s="119">
        <v>2.0795038322807171</v>
      </c>
      <c r="AO1628" s="119">
        <v>2.0797717430869342</v>
      </c>
      <c r="AP1628" s="119">
        <v>2.0800327208914866</v>
      </c>
      <c r="AQ1628" s="119">
        <v>2.0802869183943682</v>
      </c>
      <c r="AR1628" s="119">
        <v>2.0805344864129438</v>
      </c>
      <c r="AS1628" s="119">
        <v>2.080775573816056</v>
      </c>
      <c r="AT1628" s="119">
        <v>2.0810103274648006</v>
      </c>
      <c r="AU1628" s="119">
        <v>2.0812388921596781</v>
      </c>
      <c r="AV1628" s="119">
        <v>2.0814614105937985</v>
      </c>
      <c r="AW1628" s="119">
        <v>2.0816780233118632</v>
      </c>
      <c r="AX1628" s="120">
        <v>2.081888868674612</v>
      </c>
    </row>
    <row r="1629" spans="1:50" x14ac:dyDescent="0.25">
      <c r="A1629" s="356"/>
      <c r="B1629" s="359"/>
      <c r="C1629" s="350"/>
      <c r="D1629" s="2" t="s">
        <v>10</v>
      </c>
      <c r="E1629" s="160" t="str">
        <f>A1609&amp;"/"&amp;B1627&amp;"/"&amp;C1627&amp;"/"&amp;D1629</f>
        <v>Gas fired power plants (Natural gas, biogas)/Steam turbine/Electricity only/S</v>
      </c>
      <c r="F1629" s="76" t="str">
        <f>A1609</f>
        <v>Gas fired power plants (Natural gas, biogas)</v>
      </c>
      <c r="G1629" s="76" t="str">
        <f>B1627</f>
        <v>Steam turbine</v>
      </c>
      <c r="H1629" s="76" t="str">
        <f>C1627</f>
        <v>Electricity only</v>
      </c>
      <c r="I1629" s="161" t="str">
        <f t="shared" si="104"/>
        <v>S</v>
      </c>
      <c r="J1629" s="119">
        <v>2.284521194545567</v>
      </c>
      <c r="K1629" s="119">
        <v>2.285028749533176</v>
      </c>
      <c r="L1629" s="119">
        <v>2.2855255260500629</v>
      </c>
      <c r="M1629" s="119">
        <v>2.2860116469172223</v>
      </c>
      <c r="N1629" s="119">
        <v>2.2864872391675037</v>
      </c>
      <c r="O1629" s="119">
        <v>2.2869524336985152</v>
      </c>
      <c r="P1629" s="119">
        <v>2.2874073649351252</v>
      </c>
      <c r="Q1629" s="119">
        <v>2.287852170501941</v>
      </c>
      <c r="R1629" s="119">
        <v>2.2882869909060761</v>
      </c>
      <c r="S1629" s="119">
        <v>2.288711969230464</v>
      </c>
      <c r="T1629" s="119">
        <v>2.2891272508379288</v>
      </c>
      <c r="U1629" s="119">
        <v>2.2895329830861426</v>
      </c>
      <c r="V1629" s="119">
        <v>2.2899293150536018</v>
      </c>
      <c r="W1629" s="119">
        <v>2.2903163972766429</v>
      </c>
      <c r="X1629" s="119">
        <v>2.290694381497552</v>
      </c>
      <c r="Y1629" s="119">
        <v>2.2910634204237059</v>
      </c>
      <c r="Z1629" s="119">
        <v>2.2914236674977144</v>
      </c>
      <c r="AA1629" s="119">
        <v>2.2917752766784512</v>
      </c>
      <c r="AB1629" s="119">
        <v>2.2921184022328642</v>
      </c>
      <c r="AC1629" s="119">
        <v>2.292453198538408</v>
      </c>
      <c r="AD1629" s="119">
        <v>2.2927798198959257</v>
      </c>
      <c r="AE1629" s="119">
        <v>2.2930984203527882</v>
      </c>
      <c r="AF1629" s="119">
        <v>2.2934091535360741</v>
      </c>
      <c r="AG1629" s="119">
        <v>2.2937121724955585</v>
      </c>
      <c r="AH1629" s="119">
        <v>2.2940076295562664</v>
      </c>
      <c r="AI1629" s="119">
        <v>2.2942956761803353</v>
      </c>
      <c r="AJ1629" s="119">
        <v>2.2945764628379126</v>
      </c>
      <c r="AK1629" s="119">
        <v>2.2948501388868165</v>
      </c>
      <c r="AL1629" s="119">
        <v>2.2951168524606786</v>
      </c>
      <c r="AM1629" s="119">
        <v>2.2953767503652753</v>
      </c>
      <c r="AN1629" s="119">
        <v>2.2956299779827547</v>
      </c>
      <c r="AO1629" s="119">
        <v>2.2958766791834799</v>
      </c>
      <c r="AP1629" s="119">
        <v>2.2961169962451717</v>
      </c>
      <c r="AQ1629" s="119">
        <v>2.296351069779075</v>
      </c>
      <c r="AR1629" s="119">
        <v>2.2965790386628471</v>
      </c>
      <c r="AS1629" s="119">
        <v>2.2968010399798793</v>
      </c>
      <c r="AT1629" s="119">
        <v>2.2970172089647654</v>
      </c>
      <c r="AU1629" s="119">
        <v>2.2972276789546315</v>
      </c>
      <c r="AV1629" s="119">
        <v>2.297432581346051</v>
      </c>
      <c r="AW1629" s="119">
        <v>2.2976320455572687</v>
      </c>
      <c r="AX1629" s="120">
        <v>2.2978261989954665</v>
      </c>
    </row>
    <row r="1630" spans="1:50" x14ac:dyDescent="0.25">
      <c r="A1630" s="356"/>
      <c r="B1630" s="359"/>
      <c r="C1630" s="360"/>
      <c r="D1630" s="2" t="s">
        <v>20</v>
      </c>
      <c r="E1630" s="160" t="str">
        <f>A1609&amp;"/"&amp;B1627&amp;"/"&amp;C1627&amp;"/"&amp;D1630</f>
        <v>Gas fired power plants (Natural gas, biogas)/Steam turbine/Electricity only/XS</v>
      </c>
      <c r="F1630" s="76" t="str">
        <f>A1609</f>
        <v>Gas fired power plants (Natural gas, biogas)</v>
      </c>
      <c r="G1630" s="76" t="str">
        <f>B1627</f>
        <v>Steam turbine</v>
      </c>
      <c r="H1630" s="76" t="str">
        <f>C1627</f>
        <v>Electricity only</v>
      </c>
      <c r="I1630" s="161" t="str">
        <f t="shared" si="104"/>
        <v>XS</v>
      </c>
      <c r="J1630" s="119">
        <v>2.7414254334546801</v>
      </c>
      <c r="K1630" s="119">
        <v>2.7417287713686807</v>
      </c>
      <c r="L1630" s="119">
        <v>2.7420247288966229</v>
      </c>
      <c r="M1630" s="119">
        <v>2.7423134437240031</v>
      </c>
      <c r="N1630" s="119">
        <v>2.7425950532450116</v>
      </c>
      <c r="O1630" s="119">
        <v>2.7428696944176747</v>
      </c>
      <c r="P1630" s="119">
        <v>2.7431375036276235</v>
      </c>
      <c r="Q1630" s="119">
        <v>2.74339861656027</v>
      </c>
      <c r="R1630" s="119">
        <v>2.7436531680811553</v>
      </c>
      <c r="S1630" s="119">
        <v>2.7439012921242285</v>
      </c>
      <c r="T1630" s="119">
        <v>2.7441431215878191</v>
      </c>
      <c r="U1630" s="119">
        <v>2.7443787882380395</v>
      </c>
      <c r="V1630" s="119">
        <v>2.7446084226193674</v>
      </c>
      <c r="W1630" s="119">
        <v>2.7448321539721476</v>
      </c>
      <c r="X1630" s="119">
        <v>2.745050110156753</v>
      </c>
      <c r="Y1630" s="119">
        <v>2.7452624175841414</v>
      </c>
      <c r="Z1630" s="119">
        <v>2.7454692011525528</v>
      </c>
      <c r="AA1630" s="119">
        <v>2.7456705841900817</v>
      </c>
      <c r="AB1630" s="119">
        <v>2.7458666884028728</v>
      </c>
      <c r="AC1630" s="119">
        <v>2.7460576338286855</v>
      </c>
      <c r="AD1630" s="119">
        <v>2.7462435387955733</v>
      </c>
      <c r="AE1630" s="119">
        <v>2.7464245198854376</v>
      </c>
      <c r="AF1630" s="119">
        <v>2.7466006919022132</v>
      </c>
      <c r="AG1630" s="119">
        <v>2.7467721678444472</v>
      </c>
      <c r="AH1630" s="119">
        <v>2.7469390588820466</v>
      </c>
      <c r="AI1630" s="119">
        <v>2.7471014743369619</v>
      </c>
      <c r="AJ1630" s="119">
        <v>2.7472595216675986</v>
      </c>
      <c r="AK1630" s="119">
        <v>2.7474133064567385</v>
      </c>
      <c r="AL1630" s="119">
        <v>2.7475629324027668</v>
      </c>
      <c r="AM1630" s="119">
        <v>2.7477085013140075</v>
      </c>
      <c r="AN1630" s="119">
        <v>2.7478501131059745</v>
      </c>
      <c r="AO1630" s="119">
        <v>2.7479878658013566</v>
      </c>
      <c r="AP1630" s="119">
        <v>2.7481218555325544</v>
      </c>
      <c r="AQ1630" s="119">
        <v>2.7482521765465995</v>
      </c>
      <c r="AR1630" s="119">
        <v>2.748378921212292</v>
      </c>
      <c r="AS1630" s="119">
        <v>2.7485021800294032</v>
      </c>
      <c r="AT1630" s="119">
        <v>2.7486220416397815</v>
      </c>
      <c r="AU1630" s="119">
        <v>2.7487385928402328</v>
      </c>
      <c r="AV1630" s="119">
        <v>2.7488519185970191</v>
      </c>
      <c r="AW1630" s="119">
        <v>2.7489621020618666</v>
      </c>
      <c r="AX1630" s="120">
        <v>2.7490692245893356</v>
      </c>
    </row>
    <row r="1631" spans="1:50" x14ac:dyDescent="0.25">
      <c r="A1631" s="356"/>
      <c r="B1631" s="359"/>
      <c r="C1631" s="361" t="s">
        <v>14</v>
      </c>
      <c r="D1631" s="58" t="s">
        <v>7</v>
      </c>
      <c r="E1631" s="164" t="str">
        <f>A1609&amp;"/"&amp;B1627&amp;"/"&amp;C1631&amp;"/"&amp;D1631</f>
        <v>Gas fired power plants (Natural gas, biogas)/Steam turbine/CHP/L</v>
      </c>
      <c r="F1631" s="78" t="str">
        <f>A1609</f>
        <v>Gas fired power plants (Natural gas, biogas)</v>
      </c>
      <c r="G1631" s="78" t="str">
        <f>B1627</f>
        <v>Steam turbine</v>
      </c>
      <c r="H1631" s="78" t="str">
        <f>C1631</f>
        <v>CHP</v>
      </c>
      <c r="I1631" s="165" t="str">
        <f t="shared" si="104"/>
        <v>L</v>
      </c>
      <c r="J1631" s="123">
        <v>3.5195761136646069</v>
      </c>
      <c r="K1631" s="123">
        <v>3.5201642967850284</v>
      </c>
      <c r="L1631" s="123">
        <v>3.5207431628935986</v>
      </c>
      <c r="M1631" s="123">
        <v>3.5213128184721243</v>
      </c>
      <c r="N1631" s="123">
        <v>3.5218733702741631</v>
      </c>
      <c r="O1631" s="123">
        <v>3.522424925259124</v>
      </c>
      <c r="P1631" s="123">
        <v>3.5229675905285682</v>
      </c>
      <c r="Q1631" s="123">
        <v>3.5235014732647074</v>
      </c>
      <c r="R1631" s="123">
        <v>3.5240266806710543</v>
      </c>
      <c r="S1631" s="123">
        <v>3.5245433199152192</v>
      </c>
      <c r="T1631" s="123">
        <v>3.5250514980738115</v>
      </c>
      <c r="U1631" s="123">
        <v>3.5255513220794263</v>
      </c>
      <c r="V1631" s="123">
        <v>3.5260428986696803</v>
      </c>
      <c r="W1631" s="123">
        <v>3.526526334338266</v>
      </c>
      <c r="X1631" s="123">
        <v>3.5270017352879903</v>
      </c>
      <c r="Y1631" s="123">
        <v>3.5274692073857676</v>
      </c>
      <c r="Z1631" s="123">
        <v>3.5279288561195234</v>
      </c>
      <c r="AA1631" s="123">
        <v>3.5283807865569803</v>
      </c>
      <c r="AB1631" s="123">
        <v>3.5288251033062821</v>
      </c>
      <c r="AC1631" s="123">
        <v>3.5292619104784202</v>
      </c>
      <c r="AD1631" s="123">
        <v>3.5296913116514288</v>
      </c>
      <c r="AE1631" s="123">
        <v>3.5301134098363005</v>
      </c>
      <c r="AF1631" s="123">
        <v>3.530528307444587</v>
      </c>
      <c r="AG1631" s="123">
        <v>3.530936106257653</v>
      </c>
      <c r="AH1631" s="123">
        <v>3.5313369073975203</v>
      </c>
      <c r="AI1631" s="123">
        <v>3.5317308112992936</v>
      </c>
      <c r="AJ1631" s="123">
        <v>3.5321179176850976</v>
      </c>
      <c r="AK1631" s="123">
        <v>3.5324983255395046</v>
      </c>
      <c r="AL1631" s="123">
        <v>3.5328721330864066</v>
      </c>
      <c r="AM1631" s="123">
        <v>3.5332394377672838</v>
      </c>
      <c r="AN1631" s="123">
        <v>3.5336003362208439</v>
      </c>
      <c r="AO1631" s="123">
        <v>3.5339549242639809</v>
      </c>
      <c r="AP1631" s="123">
        <v>3.5343032968740222</v>
      </c>
      <c r="AQ1631" s="123">
        <v>3.534645548172211</v>
      </c>
      <c r="AR1631" s="123">
        <v>3.5349817714084044</v>
      </c>
      <c r="AS1631" s="123">
        <v>3.53531205894694</v>
      </c>
      <c r="AT1631" s="123">
        <v>3.5356365022536185</v>
      </c>
      <c r="AU1631" s="123">
        <v>3.5359551918837964</v>
      </c>
      <c r="AV1631" s="123">
        <v>3.5362682174715228</v>
      </c>
      <c r="AW1631" s="123">
        <v>3.5365756677196982</v>
      </c>
      <c r="AX1631" s="124">
        <v>3.5368776303912162</v>
      </c>
    </row>
    <row r="1632" spans="1:50" x14ac:dyDescent="0.25">
      <c r="A1632" s="356"/>
      <c r="B1632" s="359"/>
      <c r="C1632" s="350"/>
      <c r="D1632" s="2" t="s">
        <v>8</v>
      </c>
      <c r="E1632" s="160" t="str">
        <f>A1609&amp;"/"&amp;B1627&amp;"/"&amp;C1631&amp;"/"&amp;D1632</f>
        <v>Gas fired power plants (Natural gas, biogas)/Steam turbine/CHP/M</v>
      </c>
      <c r="F1632" s="76" t="str">
        <f>A1609</f>
        <v>Gas fired power plants (Natural gas, biogas)</v>
      </c>
      <c r="G1632" s="76" t="str">
        <f>B1627</f>
        <v>Steam turbine</v>
      </c>
      <c r="H1632" s="76" t="str">
        <f>C1631</f>
        <v>CHP</v>
      </c>
      <c r="I1632" s="161" t="str">
        <f t="shared" si="104"/>
        <v>M</v>
      </c>
      <c r="J1632" s="119">
        <v>3.6701545361678312</v>
      </c>
      <c r="K1632" s="119">
        <v>3.6705261634703734</v>
      </c>
      <c r="L1632" s="119">
        <v>3.6708916269236216</v>
      </c>
      <c r="M1632" s="119">
        <v>3.6712510072920788</v>
      </c>
      <c r="N1632" s="119">
        <v>3.6716043850693971</v>
      </c>
      <c r="O1632" s="119">
        <v>3.6719518404462415</v>
      </c>
      <c r="P1632" s="119">
        <v>3.6722934532795724</v>
      </c>
      <c r="Q1632" s="119">
        <v>3.672629303063315</v>
      </c>
      <c r="R1632" s="119">
        <v>3.6729594689003826</v>
      </c>
      <c r="S1632" s="119">
        <v>3.6732840294760289</v>
      </c>
      <c r="T1632" s="119">
        <v>3.6736030630325001</v>
      </c>
      <c r="U1632" s="119">
        <v>3.6739166473449463</v>
      </c>
      <c r="V1632" s="119">
        <v>3.6742248596985863</v>
      </c>
      <c r="W1632" s="119">
        <v>3.6745277768670577</v>
      </c>
      <c r="X1632" s="119">
        <v>3.6748254750919598</v>
      </c>
      <c r="Y1632" s="119">
        <v>3.6751180300635342</v>
      </c>
      <c r="Z1632" s="119">
        <v>3.6754055169024613</v>
      </c>
      <c r="AA1632" s="119">
        <v>3.6756880101427405</v>
      </c>
      <c r="AB1632" s="119">
        <v>3.6759655837156253</v>
      </c>
      <c r="AC1632" s="119">
        <v>3.6762383109345769</v>
      </c>
      <c r="AD1632" s="119">
        <v>3.6765062644812194</v>
      </c>
      <c r="AE1632" s="119">
        <v>3.6767695163922496</v>
      </c>
      <c r="AF1632" s="119">
        <v>3.6770281380472851</v>
      </c>
      <c r="AG1632" s="119">
        <v>3.6772822001576149</v>
      </c>
      <c r="AH1632" s="119">
        <v>3.6775317727558248</v>
      </c>
      <c r="AI1632" s="119">
        <v>3.67777692518627</v>
      </c>
      <c r="AJ1632" s="119">
        <v>3.6780177260963702</v>
      </c>
      <c r="AK1632" s="119">
        <v>3.678254243428686</v>
      </c>
      <c r="AL1632" s="119">
        <v>3.6784865444137655</v>
      </c>
      <c r="AM1632" s="119">
        <v>3.6787146955637291</v>
      </c>
      <c r="AN1632" s="119">
        <v>3.6789387626665526</v>
      </c>
      <c r="AO1632" s="119">
        <v>3.6791588107810487</v>
      </c>
      <c r="AP1632" s="119">
        <v>3.6793749042324944</v>
      </c>
      <c r="AQ1632" s="119">
        <v>3.6795871066088996</v>
      </c>
      <c r="AR1632" s="119">
        <v>3.6797954807578792</v>
      </c>
      <c r="AS1632" s="119">
        <v>3.6800000887841149</v>
      </c>
      <c r="AT1632" s="119">
        <v>3.6802009920473693</v>
      </c>
      <c r="AU1632" s="119">
        <v>3.6803982511610491</v>
      </c>
      <c r="AV1632" s="119">
        <v>3.6805919259912789</v>
      </c>
      <c r="AW1632" s="119">
        <v>3.680782075656464</v>
      </c>
      <c r="AX1632" s="120">
        <v>3.6809687585273334</v>
      </c>
    </row>
    <row r="1633" spans="1:50" x14ac:dyDescent="0.25">
      <c r="A1633" s="356"/>
      <c r="B1633" s="359"/>
      <c r="C1633" s="350"/>
      <c r="D1633" s="2" t="s">
        <v>10</v>
      </c>
      <c r="E1633" s="160" t="str">
        <f>A1609&amp;"/"&amp;B1627&amp;"/"&amp;C1631&amp;"/"&amp;D1633</f>
        <v>Gas fired power plants (Natural gas, biogas)/Steam turbine/CHP/S</v>
      </c>
      <c r="F1633" s="76" t="str">
        <f>A1609</f>
        <v>Gas fired power plants (Natural gas, biogas)</v>
      </c>
      <c r="G1633" s="76" t="str">
        <f>B1627</f>
        <v>Steam turbine</v>
      </c>
      <c r="H1633" s="76" t="str">
        <f>C1631</f>
        <v>CHP</v>
      </c>
      <c r="I1633" s="161" t="str">
        <f t="shared" si="104"/>
        <v>S</v>
      </c>
      <c r="J1633" s="119">
        <v>4.6117805589532699</v>
      </c>
      <c r="K1633" s="119">
        <v>4.6120754139512288</v>
      </c>
      <c r="L1633" s="119">
        <v>4.6123651521439459</v>
      </c>
      <c r="M1633" s="119">
        <v>4.6126498491138177</v>
      </c>
      <c r="N1633" s="119">
        <v>4.6129295798183412</v>
      </c>
      <c r="O1633" s="119">
        <v>4.6132044185754761</v>
      </c>
      <c r="P1633" s="119">
        <v>4.6134744390499955</v>
      </c>
      <c r="Q1633" s="119">
        <v>4.6137397142407881</v>
      </c>
      <c r="R1633" s="119">
        <v>4.6140003164691041</v>
      </c>
      <c r="S1633" s="119">
        <v>4.6142563173676914</v>
      </c>
      <c r="T1633" s="119">
        <v>4.6145077878708083</v>
      </c>
      <c r="U1633" s="119">
        <v>4.6147547982050776</v>
      </c>
      <c r="V1633" s="119">
        <v>4.6149974178811606</v>
      </c>
      <c r="W1633" s="119">
        <v>4.6152357156862047</v>
      </c>
      <c r="X1633" s="119">
        <v>4.6154697596770635</v>
      </c>
      <c r="Y1633" s="119">
        <v>4.6156996171742426</v>
      </c>
      <c r="Z1633" s="119">
        <v>4.6159253547565449</v>
      </c>
      <c r="AA1633" s="119">
        <v>4.6161470382564094</v>
      </c>
      <c r="AB1633" s="119">
        <v>4.6163647327558852</v>
      </c>
      <c r="AC1633" s="119">
        <v>4.6165785025832502</v>
      </c>
      <c r="AD1633" s="119">
        <v>4.6167884113102184</v>
      </c>
      <c r="AE1633" s="119">
        <v>4.6169945217497448</v>
      </c>
      <c r="AF1633" s="119">
        <v>4.6171968959543639</v>
      </c>
      <c r="AG1633" s="119">
        <v>4.61739559521508</v>
      </c>
      <c r="AH1633" s="119">
        <v>4.6175906800607596</v>
      </c>
      <c r="AI1633" s="119">
        <v>4.6177822102580146</v>
      </c>
      <c r="AJ1633" s="119">
        <v>4.6179702448115476</v>
      </c>
      <c r="AK1633" s="119">
        <v>4.6181548419649534</v>
      </c>
      <c r="AL1633" s="119">
        <v>4.6183360592019369</v>
      </c>
      <c r="AM1633" s="119">
        <v>4.6185139532479447</v>
      </c>
      <c r="AN1633" s="119">
        <v>4.6186885800721775</v>
      </c>
      <c r="AO1633" s="119">
        <v>4.6188599948899816</v>
      </c>
      <c r="AP1633" s="119">
        <v>4.619028252165573</v>
      </c>
      <c r="AQ1633" s="119">
        <v>4.619193405615114</v>
      </c>
      <c r="AR1633" s="119">
        <v>4.6193555082100977</v>
      </c>
      <c r="AS1633" s="119">
        <v>4.6195146121810202</v>
      </c>
      <c r="AT1633" s="119">
        <v>4.6196707690213632</v>
      </c>
      <c r="AU1633" s="119">
        <v>4.619824029491812</v>
      </c>
      <c r="AV1633" s="119">
        <v>4.6199744436247574</v>
      </c>
      <c r="AW1633" s="119">
        <v>4.6201220607290043</v>
      </c>
      <c r="AX1633" s="120">
        <v>4.6202669293947363</v>
      </c>
    </row>
    <row r="1634" spans="1:50" x14ac:dyDescent="0.25">
      <c r="A1634" s="356"/>
      <c r="B1634" s="359"/>
      <c r="C1634" s="360"/>
      <c r="D1634" s="59" t="s">
        <v>20</v>
      </c>
      <c r="E1634" s="166" t="str">
        <f>A1609&amp;"/"&amp;B1627&amp;"/"&amp;C1631&amp;"/"&amp;D1634</f>
        <v>Gas fired power plants (Natural gas, biogas)/Steam turbine/CHP/XS</v>
      </c>
      <c r="F1634" s="79" t="str">
        <f>A1609</f>
        <v>Gas fired power plants (Natural gas, biogas)</v>
      </c>
      <c r="G1634" s="79" t="str">
        <f>B1627</f>
        <v>Steam turbine</v>
      </c>
      <c r="H1634" s="79" t="str">
        <f>C1631</f>
        <v>CHP</v>
      </c>
      <c r="I1634" s="167" t="str">
        <f t="shared" si="104"/>
        <v>XS</v>
      </c>
      <c r="J1634" s="125">
        <v>5.2955005421266277</v>
      </c>
      <c r="K1634" s="125">
        <v>5.2956830467486817</v>
      </c>
      <c r="L1634" s="125">
        <v>5.2958622399486188</v>
      </c>
      <c r="M1634" s="125">
        <v>5.2960381761668911</v>
      </c>
      <c r="N1634" s="125">
        <v>5.2962109091622676</v>
      </c>
      <c r="O1634" s="125">
        <v>5.2963804920119575</v>
      </c>
      <c r="P1634" s="125">
        <v>5.2965469771121505</v>
      </c>
      <c r="Q1634" s="125">
        <v>5.2967104161789447</v>
      </c>
      <c r="R1634" s="125">
        <v>5.2968708602496362</v>
      </c>
      <c r="S1634" s="125">
        <v>5.2970283596843704</v>
      </c>
      <c r="T1634" s="125">
        <v>5.2971829641681349</v>
      </c>
      <c r="U1634" s="125">
        <v>5.297334722713062</v>
      </c>
      <c r="V1634" s="125">
        <v>5.2974836836610413</v>
      </c>
      <c r="W1634" s="125">
        <v>5.2976298946866196</v>
      </c>
      <c r="X1634" s="125">
        <v>5.2977734028001802</v>
      </c>
      <c r="Y1634" s="125">
        <v>5.2979142543513733</v>
      </c>
      <c r="Z1634" s="125">
        <v>5.2980524950327972</v>
      </c>
      <c r="AA1634" s="125">
        <v>5.2981881698839119</v>
      </c>
      <c r="AB1634" s="125">
        <v>5.2983213232951707</v>
      </c>
      <c r="AC1634" s="125">
        <v>5.298451999012352</v>
      </c>
      <c r="AD1634" s="125">
        <v>5.298580240141094</v>
      </c>
      <c r="AE1634" s="125">
        <v>5.2987060891516045</v>
      </c>
      <c r="AF1634" s="125">
        <v>5.2988295878835459</v>
      </c>
      <c r="AG1634" s="125">
        <v>5.2989507775510702</v>
      </c>
      <c r="AH1634" s="125">
        <v>5.2990696987480135</v>
      </c>
      <c r="AI1634" s="125">
        <v>5.2991863914532225</v>
      </c>
      <c r="AJ1634" s="125">
        <v>5.2993008950360068</v>
      </c>
      <c r="AK1634" s="125">
        <v>5.2994132482617156</v>
      </c>
      <c r="AL1634" s="125">
        <v>5.2995234892974175</v>
      </c>
      <c r="AM1634" s="125">
        <v>5.2996316557176861</v>
      </c>
      <c r="AN1634" s="125">
        <v>5.2997377845104747</v>
      </c>
      <c r="AO1634" s="125">
        <v>5.2998419120830702</v>
      </c>
      <c r="AP1634" s="125">
        <v>5.2999440742681321</v>
      </c>
      <c r="AQ1634" s="125">
        <v>5.3000443063297942</v>
      </c>
      <c r="AR1634" s="125">
        <v>5.3001426429698197</v>
      </c>
      <c r="AS1634" s="125">
        <v>5.3002391183338275</v>
      </c>
      <c r="AT1634" s="125">
        <v>5.3003337660175518</v>
      </c>
      <c r="AU1634" s="125">
        <v>5.3004266190731419</v>
      </c>
      <c r="AV1634" s="125">
        <v>5.3005177100155096</v>
      </c>
      <c r="AW1634" s="125">
        <v>5.3006070708286908</v>
      </c>
      <c r="AX1634" s="126">
        <v>5.3006947329722403</v>
      </c>
    </row>
    <row r="1635" spans="1:50" x14ac:dyDescent="0.25">
      <c r="A1635" s="356"/>
      <c r="B1635" s="359"/>
      <c r="C1635" s="361" t="s">
        <v>15</v>
      </c>
      <c r="D1635" s="58" t="s">
        <v>7</v>
      </c>
      <c r="E1635" s="164" t="str">
        <f>A1609&amp;"/"&amp;B1627&amp;"/"&amp;C1635&amp;"/"&amp;D1635</f>
        <v>Gas fired power plants (Natural gas, biogas)/Steam turbine/Electricity only with CCS/L</v>
      </c>
      <c r="F1635" s="78" t="str">
        <f>A1609</f>
        <v>Gas fired power plants (Natural gas, biogas)</v>
      </c>
      <c r="G1635" s="78" t="str">
        <f>B1627</f>
        <v>Steam turbine</v>
      </c>
      <c r="H1635" s="78" t="str">
        <f>C1635</f>
        <v>Electricity only with CCS</v>
      </c>
      <c r="I1635" s="165" t="str">
        <f t="shared" si="104"/>
        <v>L</v>
      </c>
      <c r="J1635" s="123" t="s">
        <v>112</v>
      </c>
      <c r="K1635" s="123" t="s">
        <v>112</v>
      </c>
      <c r="L1635" s="123" t="s">
        <v>112</v>
      </c>
      <c r="M1635" s="123" t="s">
        <v>112</v>
      </c>
      <c r="N1635" s="123" t="s">
        <v>112</v>
      </c>
      <c r="O1635" s="123" t="s">
        <v>112</v>
      </c>
      <c r="P1635" s="123" t="s">
        <v>112</v>
      </c>
      <c r="Q1635" s="123" t="s">
        <v>112</v>
      </c>
      <c r="R1635" s="123" t="s">
        <v>112</v>
      </c>
      <c r="S1635" s="123" t="s">
        <v>112</v>
      </c>
      <c r="T1635" s="123" t="s">
        <v>112</v>
      </c>
      <c r="U1635" s="123" t="s">
        <v>112</v>
      </c>
      <c r="V1635" s="123" t="s">
        <v>112</v>
      </c>
      <c r="W1635" s="123" t="s">
        <v>112</v>
      </c>
      <c r="X1635" s="123" t="s">
        <v>112</v>
      </c>
      <c r="Y1635" s="123" t="s">
        <v>112</v>
      </c>
      <c r="Z1635" s="123" t="s">
        <v>112</v>
      </c>
      <c r="AA1635" s="123" t="s">
        <v>112</v>
      </c>
      <c r="AB1635" s="123" t="s">
        <v>112</v>
      </c>
      <c r="AC1635" s="123" t="s">
        <v>112</v>
      </c>
      <c r="AD1635" s="123" t="s">
        <v>112</v>
      </c>
      <c r="AE1635" s="123">
        <v>3.7328777688653041</v>
      </c>
      <c r="AF1635" s="123">
        <v>3.7328777688653041</v>
      </c>
      <c r="AG1635" s="123">
        <v>3.7328777688653041</v>
      </c>
      <c r="AH1635" s="123">
        <v>3.7328777688653041</v>
      </c>
      <c r="AI1635" s="123">
        <v>3.7328777688653041</v>
      </c>
      <c r="AJ1635" s="123">
        <v>3.7328777688653041</v>
      </c>
      <c r="AK1635" s="123">
        <v>3.7328777688653041</v>
      </c>
      <c r="AL1635" s="123">
        <v>3.7328777688653041</v>
      </c>
      <c r="AM1635" s="123">
        <v>3.7328777688653041</v>
      </c>
      <c r="AN1635" s="123">
        <v>3.7328777688653041</v>
      </c>
      <c r="AO1635" s="123">
        <v>3.7328777688653041</v>
      </c>
      <c r="AP1635" s="123">
        <v>3.7328777688653041</v>
      </c>
      <c r="AQ1635" s="123">
        <v>3.7328777688653041</v>
      </c>
      <c r="AR1635" s="123">
        <v>3.7328777688653041</v>
      </c>
      <c r="AS1635" s="123">
        <v>3.7328777688653041</v>
      </c>
      <c r="AT1635" s="123">
        <v>3.7328777688653041</v>
      </c>
      <c r="AU1635" s="123">
        <v>3.7328777688653041</v>
      </c>
      <c r="AV1635" s="123">
        <v>3.7328777688653041</v>
      </c>
      <c r="AW1635" s="123">
        <v>3.7328777688653041</v>
      </c>
      <c r="AX1635" s="124">
        <v>3.7328777688653041</v>
      </c>
    </row>
    <row r="1636" spans="1:50" x14ac:dyDescent="0.25">
      <c r="A1636" s="356"/>
      <c r="B1636" s="359"/>
      <c r="C1636" s="360"/>
      <c r="D1636" s="59" t="s">
        <v>8</v>
      </c>
      <c r="E1636" s="166" t="str">
        <f>A1609&amp;"/"&amp;B1627&amp;"/"&amp;C1635&amp;"/"&amp;D1636</f>
        <v>Gas fired power plants (Natural gas, biogas)/Steam turbine/Electricity only with CCS/M</v>
      </c>
      <c r="F1636" s="79" t="str">
        <f>A1609</f>
        <v>Gas fired power plants (Natural gas, biogas)</v>
      </c>
      <c r="G1636" s="79" t="str">
        <f>B1627</f>
        <v>Steam turbine</v>
      </c>
      <c r="H1636" s="79" t="str">
        <f>C1635</f>
        <v>Electricity only with CCS</v>
      </c>
      <c r="I1636" s="167" t="str">
        <f t="shared" si="104"/>
        <v>M</v>
      </c>
      <c r="J1636" s="125" t="s">
        <v>112</v>
      </c>
      <c r="K1636" s="125" t="s">
        <v>112</v>
      </c>
      <c r="L1636" s="125" t="s">
        <v>112</v>
      </c>
      <c r="M1636" s="125" t="s">
        <v>112</v>
      </c>
      <c r="N1636" s="125" t="s">
        <v>112</v>
      </c>
      <c r="O1636" s="125" t="s">
        <v>112</v>
      </c>
      <c r="P1636" s="125" t="s">
        <v>112</v>
      </c>
      <c r="Q1636" s="125" t="s">
        <v>112</v>
      </c>
      <c r="R1636" s="125" t="s">
        <v>112</v>
      </c>
      <c r="S1636" s="125" t="s">
        <v>112</v>
      </c>
      <c r="T1636" s="125" t="s">
        <v>112</v>
      </c>
      <c r="U1636" s="125" t="s">
        <v>112</v>
      </c>
      <c r="V1636" s="125" t="s">
        <v>112</v>
      </c>
      <c r="W1636" s="125" t="s">
        <v>112</v>
      </c>
      <c r="X1636" s="125" t="s">
        <v>112</v>
      </c>
      <c r="Y1636" s="125" t="s">
        <v>112</v>
      </c>
      <c r="Z1636" s="125" t="s">
        <v>112</v>
      </c>
      <c r="AA1636" s="125" t="s">
        <v>112</v>
      </c>
      <c r="AB1636" s="125" t="s">
        <v>112</v>
      </c>
      <c r="AC1636" s="125" t="s">
        <v>112</v>
      </c>
      <c r="AD1636" s="125" t="s">
        <v>112</v>
      </c>
      <c r="AE1636" s="125">
        <v>4.8573432775960992</v>
      </c>
      <c r="AF1636" s="125">
        <v>4.8573432775960992</v>
      </c>
      <c r="AG1636" s="125">
        <v>4.8573432775960992</v>
      </c>
      <c r="AH1636" s="125">
        <v>4.8573432775960992</v>
      </c>
      <c r="AI1636" s="125">
        <v>4.8573432775960992</v>
      </c>
      <c r="AJ1636" s="125">
        <v>4.8573432775960992</v>
      </c>
      <c r="AK1636" s="125">
        <v>4.8573432775960992</v>
      </c>
      <c r="AL1636" s="125">
        <v>4.8573432775960992</v>
      </c>
      <c r="AM1636" s="125">
        <v>4.8573432775960992</v>
      </c>
      <c r="AN1636" s="125">
        <v>4.8573432775960992</v>
      </c>
      <c r="AO1636" s="125">
        <v>4.8573432775960992</v>
      </c>
      <c r="AP1636" s="125">
        <v>4.8573432775960992</v>
      </c>
      <c r="AQ1636" s="125">
        <v>4.8573432775960992</v>
      </c>
      <c r="AR1636" s="125">
        <v>4.8573432775960992</v>
      </c>
      <c r="AS1636" s="125">
        <v>4.8573432775960992</v>
      </c>
      <c r="AT1636" s="125">
        <v>4.8573432775960992</v>
      </c>
      <c r="AU1636" s="125">
        <v>4.8573432775960992</v>
      </c>
      <c r="AV1636" s="125">
        <v>4.8573432775960992</v>
      </c>
      <c r="AW1636" s="125">
        <v>4.8573432775960992</v>
      </c>
      <c r="AX1636" s="126">
        <v>4.8573432775960992</v>
      </c>
    </row>
    <row r="1637" spans="1:50" x14ac:dyDescent="0.25">
      <c r="A1637" s="356"/>
      <c r="B1637" s="359"/>
      <c r="C1637" s="361" t="s">
        <v>16</v>
      </c>
      <c r="D1637" s="2" t="s">
        <v>7</v>
      </c>
      <c r="E1637" s="160" t="str">
        <f>A1609&amp;"/"&amp;B1627&amp;"/"&amp;C1637&amp;"/"&amp;D1637</f>
        <v>Gas fired power plants (Natural gas, biogas)/Steam turbine/CHP with CCS/L</v>
      </c>
      <c r="F1637" s="76" t="str">
        <f>A1609</f>
        <v>Gas fired power plants (Natural gas, biogas)</v>
      </c>
      <c r="G1637" s="76" t="str">
        <f>B1627</f>
        <v>Steam turbine</v>
      </c>
      <c r="H1637" s="76" t="str">
        <f>C1637</f>
        <v>CHP with CCS</v>
      </c>
      <c r="I1637" s="161" t="str">
        <f t="shared" si="104"/>
        <v>L</v>
      </c>
      <c r="J1637" s="119" t="s">
        <v>112</v>
      </c>
      <c r="K1637" s="119" t="s">
        <v>112</v>
      </c>
      <c r="L1637" s="119" t="s">
        <v>112</v>
      </c>
      <c r="M1637" s="119" t="s">
        <v>112</v>
      </c>
      <c r="N1637" s="119" t="s">
        <v>112</v>
      </c>
      <c r="O1637" s="119" t="s">
        <v>112</v>
      </c>
      <c r="P1637" s="119" t="s">
        <v>112</v>
      </c>
      <c r="Q1637" s="119" t="s">
        <v>112</v>
      </c>
      <c r="R1637" s="119" t="s">
        <v>112</v>
      </c>
      <c r="S1637" s="119" t="s">
        <v>112</v>
      </c>
      <c r="T1637" s="119" t="s">
        <v>112</v>
      </c>
      <c r="U1637" s="119" t="s">
        <v>112</v>
      </c>
      <c r="V1637" s="119" t="s">
        <v>112</v>
      </c>
      <c r="W1637" s="119" t="s">
        <v>112</v>
      </c>
      <c r="X1637" s="119" t="s">
        <v>112</v>
      </c>
      <c r="Y1637" s="119" t="s">
        <v>112</v>
      </c>
      <c r="Z1637" s="119" t="s">
        <v>112</v>
      </c>
      <c r="AA1637" s="119" t="s">
        <v>112</v>
      </c>
      <c r="AB1637" s="119" t="s">
        <v>112</v>
      </c>
      <c r="AC1637" s="119" t="s">
        <v>112</v>
      </c>
      <c r="AD1637" s="119" t="s">
        <v>112</v>
      </c>
      <c r="AE1637" s="119">
        <v>4.850537118690097</v>
      </c>
      <c r="AF1637" s="119">
        <v>4.850537118690097</v>
      </c>
      <c r="AG1637" s="119">
        <v>4.850537118690097</v>
      </c>
      <c r="AH1637" s="119">
        <v>4.850537118690097</v>
      </c>
      <c r="AI1637" s="119">
        <v>4.850537118690097</v>
      </c>
      <c r="AJ1637" s="119">
        <v>4.850537118690097</v>
      </c>
      <c r="AK1637" s="119">
        <v>4.850537118690097</v>
      </c>
      <c r="AL1637" s="119">
        <v>4.850537118690097</v>
      </c>
      <c r="AM1637" s="119">
        <v>4.850537118690097</v>
      </c>
      <c r="AN1637" s="119">
        <v>4.850537118690097</v>
      </c>
      <c r="AO1637" s="119">
        <v>4.850537118690097</v>
      </c>
      <c r="AP1637" s="119">
        <v>4.850537118690097</v>
      </c>
      <c r="AQ1637" s="119">
        <v>4.850537118690097</v>
      </c>
      <c r="AR1637" s="119">
        <v>4.850537118690097</v>
      </c>
      <c r="AS1637" s="119">
        <v>4.850537118690097</v>
      </c>
      <c r="AT1637" s="119">
        <v>4.850537118690097</v>
      </c>
      <c r="AU1637" s="119">
        <v>4.850537118690097</v>
      </c>
      <c r="AV1637" s="119">
        <v>4.850537118690097</v>
      </c>
      <c r="AW1637" s="119">
        <v>4.850537118690097</v>
      </c>
      <c r="AX1637" s="120">
        <v>4.850537118690097</v>
      </c>
    </row>
    <row r="1638" spans="1:50" x14ac:dyDescent="0.25">
      <c r="A1638" s="356"/>
      <c r="B1638" s="362"/>
      <c r="C1638" s="354"/>
      <c r="D1638" s="4" t="s">
        <v>8</v>
      </c>
      <c r="E1638" s="168" t="str">
        <f>A1609&amp;"/"&amp;B1627&amp;"/"&amp;C1637&amp;"/"&amp;D1638</f>
        <v>Gas fired power plants (Natural gas, biogas)/Steam turbine/CHP with CCS/M</v>
      </c>
      <c r="F1638" s="80" t="str">
        <f>A1609</f>
        <v>Gas fired power plants (Natural gas, biogas)</v>
      </c>
      <c r="G1638" s="80" t="str">
        <f>B1627</f>
        <v>Steam turbine</v>
      </c>
      <c r="H1638" s="80" t="str">
        <f>C1637</f>
        <v>CHP with CCS</v>
      </c>
      <c r="I1638" s="169" t="str">
        <f t="shared" si="104"/>
        <v>M</v>
      </c>
      <c r="J1638" s="127" t="s">
        <v>112</v>
      </c>
      <c r="K1638" s="127" t="s">
        <v>112</v>
      </c>
      <c r="L1638" s="127" t="s">
        <v>112</v>
      </c>
      <c r="M1638" s="127" t="s">
        <v>112</v>
      </c>
      <c r="N1638" s="127" t="s">
        <v>112</v>
      </c>
      <c r="O1638" s="127" t="s">
        <v>112</v>
      </c>
      <c r="P1638" s="127" t="s">
        <v>112</v>
      </c>
      <c r="Q1638" s="127" t="s">
        <v>112</v>
      </c>
      <c r="R1638" s="127" t="s">
        <v>112</v>
      </c>
      <c r="S1638" s="127" t="s">
        <v>112</v>
      </c>
      <c r="T1638" s="127" t="s">
        <v>112</v>
      </c>
      <c r="U1638" s="127" t="s">
        <v>112</v>
      </c>
      <c r="V1638" s="127" t="s">
        <v>112</v>
      </c>
      <c r="W1638" s="127" t="s">
        <v>112</v>
      </c>
      <c r="X1638" s="127" t="s">
        <v>112</v>
      </c>
      <c r="Y1638" s="127" t="s">
        <v>112</v>
      </c>
      <c r="Z1638" s="127" t="s">
        <v>112</v>
      </c>
      <c r="AA1638" s="127" t="s">
        <v>112</v>
      </c>
      <c r="AB1638" s="127" t="s">
        <v>112</v>
      </c>
      <c r="AC1638" s="127" t="s">
        <v>112</v>
      </c>
      <c r="AD1638" s="127" t="s">
        <v>112</v>
      </c>
      <c r="AE1638" s="127">
        <v>5.9321672377272154</v>
      </c>
      <c r="AF1638" s="127">
        <v>5.9321672377272154</v>
      </c>
      <c r="AG1638" s="127">
        <v>5.9321672377272154</v>
      </c>
      <c r="AH1638" s="127">
        <v>5.9321672377272154</v>
      </c>
      <c r="AI1638" s="127">
        <v>5.9321672377272154</v>
      </c>
      <c r="AJ1638" s="127">
        <v>5.9321672377272154</v>
      </c>
      <c r="AK1638" s="127">
        <v>5.9321672377272154</v>
      </c>
      <c r="AL1638" s="127">
        <v>5.9321672377272154</v>
      </c>
      <c r="AM1638" s="127">
        <v>5.9321672377272154</v>
      </c>
      <c r="AN1638" s="127">
        <v>5.9321672377272154</v>
      </c>
      <c r="AO1638" s="127">
        <v>5.9321672377272154</v>
      </c>
      <c r="AP1638" s="127">
        <v>5.9321672377272154</v>
      </c>
      <c r="AQ1638" s="127">
        <v>5.9321672377272154</v>
      </c>
      <c r="AR1638" s="127">
        <v>5.9321672377272154</v>
      </c>
      <c r="AS1638" s="127">
        <v>5.9321672377272154</v>
      </c>
      <c r="AT1638" s="127">
        <v>5.9321672377272154</v>
      </c>
      <c r="AU1638" s="127">
        <v>5.9321672377272154</v>
      </c>
      <c r="AV1638" s="127">
        <v>5.9321672377272154</v>
      </c>
      <c r="AW1638" s="127">
        <v>5.9321672377272154</v>
      </c>
      <c r="AX1638" s="128">
        <v>5.9321672377272154</v>
      </c>
    </row>
    <row r="1639" spans="1:50" x14ac:dyDescent="0.25">
      <c r="A1639" s="356"/>
      <c r="B1639" s="358" t="s">
        <v>25</v>
      </c>
      <c r="C1639" s="353" t="s">
        <v>6</v>
      </c>
      <c r="D1639" s="3" t="s">
        <v>10</v>
      </c>
      <c r="E1639" s="162" t="str">
        <f>A1609&amp;"/"&amp;B1639&amp;"/"&amp;C1639&amp;"/"&amp;D1639</f>
        <v>Gas fired power plants (Natural gas, biogas)/Internal combustion engine/Electricity only/S</v>
      </c>
      <c r="F1639" s="77" t="str">
        <f>A1609</f>
        <v>Gas fired power plants (Natural gas, biogas)</v>
      </c>
      <c r="G1639" s="77" t="str">
        <f>B1639</f>
        <v>Internal combustion engine</v>
      </c>
      <c r="H1639" s="77" t="str">
        <f>C1639</f>
        <v>Electricity only</v>
      </c>
      <c r="I1639" s="163" t="str">
        <f t="shared" si="104"/>
        <v>S</v>
      </c>
      <c r="J1639" s="121">
        <v>2.1981242672919108</v>
      </c>
      <c r="K1639" s="121">
        <v>2.197903672481472</v>
      </c>
      <c r="L1639" s="121">
        <v>2.1976726728577445</v>
      </c>
      <c r="M1639" s="121">
        <v>2.1974308242751697</v>
      </c>
      <c r="N1639" s="121">
        <v>2.1971776683111393</v>
      </c>
      <c r="O1639" s="121">
        <v>2.1969127322932893</v>
      </c>
      <c r="P1639" s="121">
        <v>2.1966355293886903</v>
      </c>
      <c r="Q1639" s="121">
        <v>2.1963455587618075</v>
      </c>
      <c r="R1639" s="121">
        <v>2.1960423058085046</v>
      </c>
      <c r="S1639" s="121">
        <v>2.195725242473765</v>
      </c>
      <c r="T1639" s="121">
        <v>2.1953938276611606</v>
      </c>
      <c r="U1639" s="121">
        <v>2.1950475077424585</v>
      </c>
      <c r="V1639" s="121">
        <v>2.194685717176061</v>
      </c>
      <c r="W1639" s="121">
        <v>2.1943078792432207</v>
      </c>
      <c r="X1639" s="121">
        <v>2.1939134069112098</v>
      </c>
      <c r="Y1639" s="121">
        <v>2.1935017038327129</v>
      </c>
      <c r="Z1639" s="121">
        <v>2.1930721654907899</v>
      </c>
      <c r="AA1639" s="121">
        <v>2.1926241804986959</v>
      </c>
      <c r="AB1639" s="121">
        <v>2.1921571320636604</v>
      </c>
      <c r="AC1639" s="121">
        <v>2.1916703996234328</v>
      </c>
      <c r="AD1639" s="121">
        <v>2.1911633606639418</v>
      </c>
      <c r="AE1639" s="121">
        <v>2.1906353927257842</v>
      </c>
      <c r="AF1639" s="121">
        <v>2.1900858756064294</v>
      </c>
      <c r="AG1639" s="121">
        <v>2.1895141937640052</v>
      </c>
      <c r="AH1639" s="121">
        <v>2.1889197389272712</v>
      </c>
      <c r="AI1639" s="121">
        <v>2.1883019129148678</v>
      </c>
      <c r="AJ1639" s="121">
        <v>2.1876601306651828</v>
      </c>
      <c r="AK1639" s="121">
        <v>2.1869938234761328</v>
      </c>
      <c r="AL1639" s="121">
        <v>2.1863024424518298</v>
      </c>
      <c r="AM1639" s="121">
        <v>2.1855854621505126</v>
      </c>
      <c r="AN1639" s="121">
        <v>2.1848423844252172</v>
      </c>
      <c r="AO1639" s="121">
        <v>2.1840727424454962</v>
      </c>
      <c r="AP1639" s="121">
        <v>2.1832761048850453</v>
      </c>
      <c r="AQ1639" s="121">
        <v>2.1824520802564291</v>
      </c>
      <c r="AR1639" s="121">
        <v>2.1816003213701824</v>
      </c>
      <c r="AS1639" s="121">
        <v>2.1807205298915022</v>
      </c>
      <c r="AT1639" s="121">
        <v>2.1798124609635625</v>
      </c>
      <c r="AU1639" s="121">
        <v>2.1788759278622201</v>
      </c>
      <c r="AV1639" s="121">
        <v>2.1779108066426685</v>
      </c>
      <c r="AW1639" s="121">
        <v>2.1769170407344558</v>
      </c>
      <c r="AX1639" s="122">
        <v>2.1758946454373582</v>
      </c>
    </row>
    <row r="1640" spans="1:50" x14ac:dyDescent="0.25">
      <c r="A1640" s="356"/>
      <c r="B1640" s="359"/>
      <c r="C1640" s="360"/>
      <c r="D1640" s="59" t="s">
        <v>20</v>
      </c>
      <c r="E1640" s="160" t="str">
        <f>A1609&amp;"/"&amp;B1639&amp;"/"&amp;C1639&amp;"/"&amp;D1640</f>
        <v>Gas fired power plants (Natural gas, biogas)/Internal combustion engine/Electricity only/XS</v>
      </c>
      <c r="F1640" s="76" t="str">
        <f>A1609</f>
        <v>Gas fired power plants (Natural gas, biogas)</v>
      </c>
      <c r="G1640" s="76" t="str">
        <f>B1639</f>
        <v>Internal combustion engine</v>
      </c>
      <c r="H1640" s="76" t="str">
        <f>C1639</f>
        <v>Electricity only</v>
      </c>
      <c r="I1640" s="161" t="str">
        <f t="shared" si="104"/>
        <v>XS</v>
      </c>
      <c r="J1640" s="119">
        <v>2.1431711606096129</v>
      </c>
      <c r="K1640" s="119">
        <v>2.1430022687044361</v>
      </c>
      <c r="L1640" s="119">
        <v>2.1428252620336283</v>
      </c>
      <c r="M1640" s="119">
        <v>2.1426397790249978</v>
      </c>
      <c r="N1640" s="119">
        <v>2.1424454448674135</v>
      </c>
      <c r="O1640" s="119">
        <v>2.1422418713239737</v>
      </c>
      <c r="P1640" s="119">
        <v>2.1420286565776512</v>
      </c>
      <c r="Q1640" s="119">
        <v>2.1418053851141212</v>
      </c>
      <c r="R1640" s="119">
        <v>2.1415716276468459</v>
      </c>
      <c r="S1640" s="119">
        <v>2.1413269410898805</v>
      </c>
      <c r="T1640" s="119">
        <v>2.1410708685842526</v>
      </c>
      <c r="U1640" s="119">
        <v>2.1408029395841708</v>
      </c>
      <c r="V1640" s="119">
        <v>2.1405226700097013</v>
      </c>
      <c r="W1640" s="119">
        <v>2.1402295624729399</v>
      </c>
      <c r="X1640" s="119">
        <v>2.1399231065851052</v>
      </c>
      <c r="Y1640" s="119">
        <v>2.1396027793523089</v>
      </c>
      <c r="Z1640" s="119">
        <v>2.1392680456681141</v>
      </c>
      <c r="AA1640" s="119">
        <v>2.138918358911281</v>
      </c>
      <c r="AB1640" s="119">
        <v>2.1385531616573594</v>
      </c>
      <c r="AC1640" s="119">
        <v>2.1381718865129731</v>
      </c>
      <c r="AD1640" s="119">
        <v>2.1377739570817802</v>
      </c>
      <c r="AE1640" s="119">
        <v>2.1373587890711327</v>
      </c>
      <c r="AF1640" s="119">
        <v>2.1369257915484092</v>
      </c>
      <c r="AG1640" s="119">
        <v>2.1364743683558216</v>
      </c>
      <c r="AH1640" s="119">
        <v>2.1360039196922118</v>
      </c>
      <c r="AI1640" s="119">
        <v>2.1355138438698997</v>
      </c>
      <c r="AJ1640" s="119">
        <v>2.1350035392540443</v>
      </c>
      <c r="AK1640" s="119">
        <v>2.1344724063911711</v>
      </c>
      <c r="AL1640" s="119">
        <v>2.1339198503325436</v>
      </c>
      <c r="AM1640" s="119">
        <v>2.1333452831568134</v>
      </c>
      <c r="AN1640" s="119">
        <v>2.1327481266949539</v>
      </c>
      <c r="AO1640" s="119">
        <v>2.1321278154587615</v>
      </c>
      <c r="AP1640" s="119">
        <v>2.1314837997722473</v>
      </c>
      <c r="AQ1640" s="119">
        <v>2.1308155491029956</v>
      </c>
      <c r="AR1640" s="119">
        <v>2.1301225555880547</v>
      </c>
      <c r="AS1640" s="119">
        <v>2.1294043377461134</v>
      </c>
      <c r="AT1640" s="119">
        <v>2.1286604443646722</v>
      </c>
      <c r="AU1640" s="119">
        <v>2.1278904585475775</v>
      </c>
      <c r="AV1640" s="119">
        <v>2.1270940019047195</v>
      </c>
      <c r="AW1640" s="119">
        <v>2.1262707388619577</v>
      </c>
      <c r="AX1640" s="120">
        <v>2.1254203810653691</v>
      </c>
    </row>
    <row r="1641" spans="1:50" x14ac:dyDescent="0.25">
      <c r="A1641" s="356"/>
      <c r="B1641" s="359"/>
      <c r="C1641" s="361" t="s">
        <v>14</v>
      </c>
      <c r="D1641" s="2" t="s">
        <v>10</v>
      </c>
      <c r="E1641" s="164" t="str">
        <f>A1609&amp;"/"&amp;B1639&amp;"/"&amp;C1641&amp;"/"&amp;D1641</f>
        <v>Gas fired power plants (Natural gas, biogas)/Internal combustion engine/CHP/S</v>
      </c>
      <c r="F1641" s="78" t="str">
        <f>A1609</f>
        <v>Gas fired power plants (Natural gas, biogas)</v>
      </c>
      <c r="G1641" s="78" t="str">
        <f>B1639</f>
        <v>Internal combustion engine</v>
      </c>
      <c r="H1641" s="78" t="str">
        <f>C1641</f>
        <v>CHP</v>
      </c>
      <c r="I1641" s="165" t="str">
        <f t="shared" si="104"/>
        <v>S</v>
      </c>
      <c r="J1641" s="123">
        <v>2.6877540597815432</v>
      </c>
      <c r="K1641" s="123">
        <v>2.6875880328318047</v>
      </c>
      <c r="L1641" s="123">
        <v>2.6874139132097263</v>
      </c>
      <c r="M1641" s="123">
        <v>2.6872313284523641</v>
      </c>
      <c r="N1641" s="123">
        <v>2.6870398912025193</v>
      </c>
      <c r="O1641" s="123">
        <v>2.6868391988465579</v>
      </c>
      <c r="P1641" s="123">
        <v>2.686628833169769</v>
      </c>
      <c r="Q1641" s="123">
        <v>2.6864083600330488</v>
      </c>
      <c r="R1641" s="123">
        <v>2.6861773290750963</v>
      </c>
      <c r="S1641" s="123">
        <v>2.6859352734446573</v>
      </c>
      <c r="T1641" s="123">
        <v>2.6856817095678251</v>
      </c>
      <c r="U1641" s="123">
        <v>2.6854161369557765</v>
      </c>
      <c r="V1641" s="123">
        <v>2.6851380380588279</v>
      </c>
      <c r="W1641" s="123">
        <v>2.6848468781731221</v>
      </c>
      <c r="X1641" s="123">
        <v>2.6845421054067571</v>
      </c>
      <c r="Y1641" s="123">
        <v>2.6842231507126444</v>
      </c>
      <c r="Z1641" s="123">
        <v>2.6838894279958891</v>
      </c>
      <c r="AA1641" s="123">
        <v>2.6835403343039497</v>
      </c>
      <c r="AB1641" s="123">
        <v>2.683175250108361</v>
      </c>
      <c r="AC1641" s="123">
        <v>2.6827935396872307</v>
      </c>
      <c r="AD1641" s="123">
        <v>2.6823945516182004</v>
      </c>
      <c r="AE1641" s="123">
        <v>2.6819776193919562</v>
      </c>
      <c r="AF1641" s="123">
        <v>2.6815420621567623</v>
      </c>
      <c r="AG1641" s="123">
        <v>2.6810871856047895</v>
      </c>
      <c r="AH1641" s="123">
        <v>2.6806122830112766</v>
      </c>
      <c r="AI1641" s="123">
        <v>2.6801166364376896</v>
      </c>
      <c r="AJ1641" s="123">
        <v>2.6795995181101429</v>
      </c>
      <c r="AK1641" s="123">
        <v>2.6790601919842367</v>
      </c>
      <c r="AL1641" s="123">
        <v>2.6784979155072923</v>
      </c>
      <c r="AM1641" s="123">
        <v>2.6779119415885813</v>
      </c>
      <c r="AN1641" s="123">
        <v>2.6773015207875908</v>
      </c>
      <c r="AO1641" s="123">
        <v>2.6766659037296217</v>
      </c>
      <c r="AP1641" s="123">
        <v>2.6760043437570071</v>
      </c>
      <c r="AQ1641" s="123">
        <v>2.675316099823021</v>
      </c>
      <c r="AR1641" s="123">
        <v>2.6746004396339962</v>
      </c>
      <c r="AS1641" s="123">
        <v>2.6738566430434085</v>
      </c>
      <c r="AT1641" s="123">
        <v>2.6730840056995095</v>
      </c>
      <c r="AU1641" s="123">
        <v>2.6722818429456767</v>
      </c>
      <c r="AV1641" s="123">
        <v>2.6714494939698334</v>
      </c>
      <c r="AW1641" s="123">
        <v>2.6705863261961693</v>
      </c>
      <c r="AX1641" s="124">
        <v>2.6696917399088971</v>
      </c>
    </row>
    <row r="1642" spans="1:50" x14ac:dyDescent="0.25">
      <c r="A1642" s="356"/>
      <c r="B1642" s="362"/>
      <c r="C1642" s="354"/>
      <c r="D1642" s="4" t="s">
        <v>20</v>
      </c>
      <c r="E1642" s="168" t="str">
        <f>A1609&amp;"/"&amp;B1639&amp;"/"&amp;C1641&amp;"/"&amp;D1642</f>
        <v>Gas fired power plants (Natural gas, biogas)/Internal combustion engine/CHP/XS</v>
      </c>
      <c r="F1642" s="80" t="str">
        <f>A1609</f>
        <v>Gas fired power plants (Natural gas, biogas)</v>
      </c>
      <c r="G1642" s="80" t="str">
        <f>B1639</f>
        <v>Internal combustion engine</v>
      </c>
      <c r="H1642" s="80" t="str">
        <f>C1641</f>
        <v>CHP</v>
      </c>
      <c r="I1642" s="169" t="str">
        <f t="shared" si="104"/>
        <v>XS</v>
      </c>
      <c r="J1642" s="127">
        <v>2.4159349351749766</v>
      </c>
      <c r="K1642" s="127">
        <v>2.4157856989356739</v>
      </c>
      <c r="L1642" s="127">
        <v>2.4156291884557253</v>
      </c>
      <c r="M1642" s="127">
        <v>2.415465068940275</v>
      </c>
      <c r="N1642" s="127">
        <v>2.4152929922065018</v>
      </c>
      <c r="O1642" s="127">
        <v>2.4151125963580702</v>
      </c>
      <c r="P1642" s="127">
        <v>2.4149235054753428</v>
      </c>
      <c r="Q1642" s="127">
        <v>2.4147253293247646</v>
      </c>
      <c r="R1642" s="127">
        <v>2.41451766309117</v>
      </c>
      <c r="S1642" s="127">
        <v>2.4143000871371108</v>
      </c>
      <c r="T1642" s="127">
        <v>2.4140721667936895</v>
      </c>
      <c r="U1642" s="127">
        <v>2.4138334521877383</v>
      </c>
      <c r="V1642" s="127">
        <v>2.4135834781106356</v>
      </c>
      <c r="W1642" s="127">
        <v>2.4133217639344307</v>
      </c>
      <c r="X1642" s="127">
        <v>2.4130478135813944</v>
      </c>
      <c r="Y1642" s="127">
        <v>2.4127611155535602</v>
      </c>
      <c r="Z1642" s="127">
        <v>2.4124611430292373</v>
      </c>
      <c r="AA1642" s="127">
        <v>2.4121473540339466</v>
      </c>
      <c r="AB1642" s="127">
        <v>2.4118191916936489</v>
      </c>
      <c r="AC1642" s="127">
        <v>2.411476084578557</v>
      </c>
      <c r="AD1642" s="127">
        <v>2.4111174471462444</v>
      </c>
      <c r="AE1642" s="127">
        <v>2.4107426802931098</v>
      </c>
      <c r="AF1642" s="127">
        <v>2.4103511720236144</v>
      </c>
      <c r="AG1642" s="127">
        <v>2.4099422982469747</v>
      </c>
      <c r="AH1642" s="127">
        <v>2.4095154237112268</v>
      </c>
      <c r="AI1642" s="127">
        <v>2.4090699030847134</v>
      </c>
      <c r="AJ1642" s="127">
        <v>2.4086050821950966</v>
      </c>
      <c r="AK1642" s="127">
        <v>2.4081202994359416</v>
      </c>
      <c r="AL1642" s="127">
        <v>2.4076148873507353</v>
      </c>
      <c r="AM1642" s="127">
        <v>2.4070881744038553</v>
      </c>
      <c r="AN1642" s="127">
        <v>2.4065394869475369</v>
      </c>
      <c r="AO1642" s="127">
        <v>2.4059681513931723</v>
      </c>
      <c r="AP1642" s="127">
        <v>2.4053734965944065</v>
      </c>
      <c r="AQ1642" s="127">
        <v>2.4047548564483749</v>
      </c>
      <c r="AR1642" s="127">
        <v>2.4041115727200566</v>
      </c>
      <c r="AS1642" s="127">
        <v>2.4034429980931016</v>
      </c>
      <c r="AT1642" s="127">
        <v>2.4027484994485726</v>
      </c>
      <c r="AU1642" s="127">
        <v>2.4020274613708406</v>
      </c>
      <c r="AV1642" s="127">
        <v>2.4012792898773672</v>
      </c>
      <c r="AW1642" s="127">
        <v>2.4005034163662757</v>
      </c>
      <c r="AX1642" s="128">
        <v>2.3996993017725008</v>
      </c>
    </row>
    <row r="1643" spans="1:50" x14ac:dyDescent="0.25">
      <c r="A1643" s="355" t="s">
        <v>26</v>
      </c>
      <c r="B1643" s="358" t="s">
        <v>19</v>
      </c>
      <c r="C1643" s="353" t="s">
        <v>6</v>
      </c>
      <c r="D1643" s="3" t="s">
        <v>7</v>
      </c>
      <c r="E1643" s="162" t="str">
        <f>A1643&amp;"/"&amp;B1643&amp;"/"&amp;C1643&amp;"/"&amp;D1643</f>
        <v>Derived gas fired power plants/Steam turbine/Electricity only/L</v>
      </c>
      <c r="F1643" s="77" t="str">
        <f>A1643</f>
        <v>Derived gas fired power plants</v>
      </c>
      <c r="G1643" s="77" t="str">
        <f>B1643</f>
        <v>Steam turbine</v>
      </c>
      <c r="H1643" s="77" t="str">
        <f>C1643</f>
        <v>Electricity only</v>
      </c>
      <c r="I1643" s="163" t="str">
        <f t="shared" si="104"/>
        <v>L</v>
      </c>
      <c r="J1643" s="121">
        <v>2.4531858939830804</v>
      </c>
      <c r="K1643" s="121">
        <v>2.454057937885493</v>
      </c>
      <c r="L1643" s="121">
        <v>2.4549114630068871</v>
      </c>
      <c r="M1643" s="121">
        <v>2.455746680369324</v>
      </c>
      <c r="N1643" s="121">
        <v>2.4565638082313641</v>
      </c>
      <c r="O1643" s="121">
        <v>2.4573630714917161</v>
      </c>
      <c r="P1643" s="121">
        <v>2.45814470110937</v>
      </c>
      <c r="Q1643" s="121">
        <v>2.4589089335408714</v>
      </c>
      <c r="R1643" s="121">
        <v>2.4596560101952782</v>
      </c>
      <c r="S1643" s="121">
        <v>2.4603861769072375</v>
      </c>
      <c r="T1643" s="121">
        <v>2.4610996834285306</v>
      </c>
      <c r="U1643" s="121">
        <v>2.461796782938348</v>
      </c>
      <c r="V1643" s="121">
        <v>2.4624777315724686</v>
      </c>
      <c r="W1643" s="121">
        <v>2.4631427879714334</v>
      </c>
      <c r="X1643" s="121">
        <v>2.4637922128477503</v>
      </c>
      <c r="Y1643" s="121">
        <v>2.464426268572081</v>
      </c>
      <c r="Z1643" s="121">
        <v>2.4650452187783056</v>
      </c>
      <c r="AA1643" s="121">
        <v>2.4656493279873164</v>
      </c>
      <c r="AB1643" s="121">
        <v>2.4662388612493138</v>
      </c>
      <c r="AC1643" s="121">
        <v>2.466814083804362</v>
      </c>
      <c r="AD1643" s="121">
        <v>2.4673752607608979</v>
      </c>
      <c r="AE1643" s="121">
        <v>2.467922656791862</v>
      </c>
      <c r="AF1643" s="121">
        <v>2.4684565358480768</v>
      </c>
      <c r="AG1643" s="121">
        <v>2.4689771608884858</v>
      </c>
      <c r="AH1643" s="121">
        <v>2.4694847936268207</v>
      </c>
      <c r="AI1643" s="121">
        <v>2.4699796942942602</v>
      </c>
      <c r="AJ1643" s="121">
        <v>2.4704621214176199</v>
      </c>
      <c r="AK1643" s="121">
        <v>2.4709323316125928</v>
      </c>
      <c r="AL1643" s="121">
        <v>2.471390579391564</v>
      </c>
      <c r="AM1643" s="121">
        <v>2.4718371169854918</v>
      </c>
      <c r="AN1643" s="121">
        <v>2.4722721941793662</v>
      </c>
      <c r="AO1643" s="121">
        <v>2.4726960581607327</v>
      </c>
      <c r="AP1643" s="121">
        <v>2.4731089533807786</v>
      </c>
      <c r="AQ1643" s="121">
        <v>2.4735111214274732</v>
      </c>
      <c r="AR1643" s="121">
        <v>2.4739028009102615</v>
      </c>
      <c r="AS1643" s="121">
        <v>2.4742842273558128</v>
      </c>
      <c r="AT1643" s="121">
        <v>2.474655633114327</v>
      </c>
      <c r="AU1643" s="121">
        <v>2.4750172472759147</v>
      </c>
      <c r="AV1643" s="121">
        <v>2.4753692955965687</v>
      </c>
      <c r="AW1643" s="121">
        <v>2.4757120004332629</v>
      </c>
      <c r="AX1643" s="122">
        <v>2.4760455806877117</v>
      </c>
    </row>
    <row r="1644" spans="1:50" x14ac:dyDescent="0.25">
      <c r="A1644" s="356"/>
      <c r="B1644" s="359"/>
      <c r="C1644" s="350"/>
      <c r="D1644" s="2" t="s">
        <v>8</v>
      </c>
      <c r="E1644" s="160" t="str">
        <f>A1643&amp;"/"&amp;B1643&amp;"/"&amp;C1643&amp;"/"&amp;D1644</f>
        <v>Derived gas fired power plants/Steam turbine/Electricity only/M</v>
      </c>
      <c r="F1644" s="76" t="str">
        <f>A1643</f>
        <v>Derived gas fired power plants</v>
      </c>
      <c r="G1644" s="76" t="str">
        <f>B1643</f>
        <v>Steam turbine</v>
      </c>
      <c r="H1644" s="76" t="str">
        <f>C1643</f>
        <v>Electricity only</v>
      </c>
      <c r="I1644" s="161" t="str">
        <f t="shared" si="104"/>
        <v>M</v>
      </c>
      <c r="J1644" s="119">
        <v>2.6494407655017271</v>
      </c>
      <c r="K1644" s="119">
        <v>2.6501471210626808</v>
      </c>
      <c r="L1644" s="119">
        <v>2.6508384764110109</v>
      </c>
      <c r="M1644" s="119">
        <v>2.6515150024745839</v>
      </c>
      <c r="N1644" s="119">
        <v>2.6521768760428364</v>
      </c>
      <c r="O1644" s="119">
        <v>2.6528242792837218</v>
      </c>
      <c r="P1644" s="119">
        <v>2.6534573992740214</v>
      </c>
      <c r="Q1644" s="119">
        <v>2.6540764275435378</v>
      </c>
      <c r="R1644" s="119">
        <v>2.6546815596336075</v>
      </c>
      <c r="S1644" s="119">
        <v>2.6552729946702942</v>
      </c>
      <c r="T1644" s="119">
        <v>2.6558509349525412</v>
      </c>
      <c r="U1644" s="119">
        <v>2.6564155855554938</v>
      </c>
      <c r="V1644" s="119">
        <v>2.6569671539491315</v>
      </c>
      <c r="W1644" s="119">
        <v>2.657505849632293</v>
      </c>
      <c r="X1644" s="119">
        <v>2.65803188378211</v>
      </c>
      <c r="Y1644" s="119">
        <v>2.6585454689188173</v>
      </c>
      <c r="Z1644" s="119">
        <v>2.6590468185858596</v>
      </c>
      <c r="AA1644" s="119">
        <v>2.6595361470451584</v>
      </c>
      <c r="AB1644" s="119">
        <v>2.6600136689873759</v>
      </c>
      <c r="AC1644" s="119">
        <v>2.6604795992569645</v>
      </c>
      <c r="AD1644" s="119">
        <v>2.6609341525917589</v>
      </c>
      <c r="AE1644" s="119">
        <v>2.6613775433768398</v>
      </c>
      <c r="AF1644" s="119">
        <v>2.6618099854123738</v>
      </c>
      <c r="AG1644" s="119">
        <v>2.6622316916951054</v>
      </c>
      <c r="AH1644" s="119">
        <v>2.6626428742131565</v>
      </c>
      <c r="AI1644" s="119">
        <v>2.6630437437537831</v>
      </c>
      <c r="AJ1644" s="119">
        <v>2.6634345097237038</v>
      </c>
      <c r="AK1644" s="119">
        <v>2.663815379981632</v>
      </c>
      <c r="AL1644" s="119">
        <v>2.6641865606825985</v>
      </c>
      <c r="AM1644" s="119">
        <v>2.66454825613368</v>
      </c>
      <c r="AN1644" s="119">
        <v>2.6649006686607182</v>
      </c>
      <c r="AO1644" s="119">
        <v>2.6652439984856255</v>
      </c>
      <c r="AP1644" s="119">
        <v>2.6655784436138625</v>
      </c>
      <c r="AQ1644" s="119">
        <v>2.6659041997316852</v>
      </c>
      <c r="AR1644" s="119">
        <v>2.6662214601127436</v>
      </c>
      <c r="AS1644" s="119">
        <v>2.6665304155336402</v>
      </c>
      <c r="AT1644" s="119">
        <v>2.666831254198037</v>
      </c>
      <c r="AU1644" s="119">
        <v>2.667124161668923</v>
      </c>
      <c r="AV1644" s="119">
        <v>2.6674093208086527</v>
      </c>
      <c r="AW1644" s="119">
        <v>2.6676869117263746</v>
      </c>
      <c r="AX1644" s="120">
        <v>2.6679571117324783</v>
      </c>
    </row>
    <row r="1645" spans="1:50" x14ac:dyDescent="0.25">
      <c r="A1645" s="356"/>
      <c r="B1645" s="359"/>
      <c r="C1645" s="350"/>
      <c r="D1645" s="2" t="s">
        <v>10</v>
      </c>
      <c r="E1645" s="160" t="str">
        <f>A1643&amp;"/"&amp;B1643&amp;"/"&amp;C1643&amp;"/"&amp;D1645</f>
        <v>Derived gas fired power plants/Steam turbine/Electricity only/S</v>
      </c>
      <c r="F1645" s="76" t="str">
        <f>A1643</f>
        <v>Derived gas fired power plants</v>
      </c>
      <c r="G1645" s="76" t="str">
        <f>B1643</f>
        <v>Steam turbine</v>
      </c>
      <c r="H1645" s="76" t="str">
        <f>C1643</f>
        <v>Electricity only</v>
      </c>
      <c r="I1645" s="161" t="str">
        <f t="shared" si="104"/>
        <v>S</v>
      </c>
      <c r="J1645" s="119">
        <v>2.9276320458794078</v>
      </c>
      <c r="K1645" s="119">
        <v>2.9282824816251201</v>
      </c>
      <c r="L1645" s="119">
        <v>2.9289191046750402</v>
      </c>
      <c r="M1645" s="119">
        <v>2.9295420724252472</v>
      </c>
      <c r="N1645" s="119">
        <v>2.9301515476693463</v>
      </c>
      <c r="O1645" s="119">
        <v>2.9307476981536618</v>
      </c>
      <c r="P1645" s="119">
        <v>2.931330696144729</v>
      </c>
      <c r="Q1645" s="119">
        <v>2.9319007180095751</v>
      </c>
      <c r="R1645" s="119">
        <v>2.9324579438091813</v>
      </c>
      <c r="S1645" s="119">
        <v>2.9330025569054632</v>
      </c>
      <c r="T1645" s="119">
        <v>2.9335347435820327</v>
      </c>
      <c r="U1645" s="119">
        <v>2.9340546926789179</v>
      </c>
      <c r="V1645" s="119">
        <v>2.9345625952413927</v>
      </c>
      <c r="W1645" s="119">
        <v>2.9350586441829707</v>
      </c>
      <c r="X1645" s="119">
        <v>2.9355430339625941</v>
      </c>
      <c r="Y1645" s="119">
        <v>2.9360159602759786</v>
      </c>
      <c r="Z1645" s="119">
        <v>2.9364776197610465</v>
      </c>
      <c r="AA1645" s="119">
        <v>2.9369282097173173</v>
      </c>
      <c r="AB1645" s="119">
        <v>2.9373679278391096</v>
      </c>
      <c r="AC1645" s="119">
        <v>2.937796971962356</v>
      </c>
      <c r="AD1645" s="119">
        <v>2.9382155398248124</v>
      </c>
      <c r="AE1645" s="119">
        <v>2.9386238288394075</v>
      </c>
      <c r="AF1645" s="119">
        <v>2.9390220358804617</v>
      </c>
      <c r="AG1645" s="119">
        <v>2.9394103570824774</v>
      </c>
      <c r="AH1645" s="119">
        <v>2.9397889876511827</v>
      </c>
      <c r="AI1645" s="119">
        <v>2.9401581216865096</v>
      </c>
      <c r="AJ1645" s="119">
        <v>2.9405179520171449</v>
      </c>
      <c r="AK1645" s="119">
        <v>2.9408686700463207</v>
      </c>
      <c r="AL1645" s="119">
        <v>2.9412104656084606</v>
      </c>
      <c r="AM1645" s="119">
        <v>2.9415435268363312</v>
      </c>
      <c r="AN1645" s="119">
        <v>2.9418680400383121</v>
      </c>
      <c r="AO1645" s="119">
        <v>2.9421841895854146</v>
      </c>
      <c r="AP1645" s="119">
        <v>2.9424921578076662</v>
      </c>
      <c r="AQ1645" s="119">
        <v>2.9427921248994946</v>
      </c>
      <c r="AR1645" s="119">
        <v>2.9430842688337191</v>
      </c>
      <c r="AS1645" s="119">
        <v>2.9433687652837945</v>
      </c>
      <c r="AT1645" s="119">
        <v>2.9436457875539266</v>
      </c>
      <c r="AU1645" s="119">
        <v>2.9439155065167006</v>
      </c>
      <c r="AV1645" s="119">
        <v>2.9441780905578683</v>
      </c>
      <c r="AW1645" s="119">
        <v>2.9444337055279379</v>
      </c>
      <c r="AX1645" s="120">
        <v>2.9446825147002245</v>
      </c>
    </row>
    <row r="1646" spans="1:50" x14ac:dyDescent="0.25">
      <c r="A1646" s="356"/>
      <c r="B1646" s="359"/>
      <c r="C1646" s="360"/>
      <c r="D1646" s="2" t="s">
        <v>20</v>
      </c>
      <c r="E1646" s="160" t="str">
        <f>A1643&amp;"/"&amp;B1643&amp;"/"&amp;C1643&amp;"/"&amp;D1646</f>
        <v>Derived gas fired power plants/Steam turbine/Electricity only/XS</v>
      </c>
      <c r="F1646" s="76" t="str">
        <f>A1643</f>
        <v>Derived gas fired power plants</v>
      </c>
      <c r="G1646" s="76" t="str">
        <f>B1643</f>
        <v>Steam turbine</v>
      </c>
      <c r="H1646" s="76" t="str">
        <f>C1643</f>
        <v>Electricity only</v>
      </c>
      <c r="I1646" s="161" t="str">
        <f t="shared" si="104"/>
        <v>XS</v>
      </c>
      <c r="J1646" s="119">
        <v>3.5131584550552892</v>
      </c>
      <c r="K1646" s="119">
        <v>3.513547185000049</v>
      </c>
      <c r="L1646" s="119">
        <v>3.5139264569214874</v>
      </c>
      <c r="M1646" s="119">
        <v>3.5142964472646621</v>
      </c>
      <c r="N1646" s="119">
        <v>3.5146573321013173</v>
      </c>
      <c r="O1646" s="119">
        <v>3.5150092869442511</v>
      </c>
      <c r="P1646" s="119">
        <v>3.5153524865727337</v>
      </c>
      <c r="Q1646" s="119">
        <v>3.5156871048686971</v>
      </c>
      <c r="R1646" s="119">
        <v>3.5160133146634012</v>
      </c>
      <c r="S1646" s="119">
        <v>3.5163312875942667</v>
      </c>
      <c r="T1646" s="119">
        <v>3.5166411939715578</v>
      </c>
      <c r="U1646" s="119">
        <v>3.516943202654593</v>
      </c>
      <c r="V1646" s="119">
        <v>3.5172374809371565</v>
      </c>
      <c r="W1646" s="119">
        <v>3.5175241944417772</v>
      </c>
      <c r="X1646" s="119">
        <v>3.5178035070225362</v>
      </c>
      <c r="Y1646" s="119">
        <v>3.5180755806760811</v>
      </c>
      <c r="Z1646" s="119">
        <v>3.5183405754604968</v>
      </c>
      <c r="AA1646" s="119">
        <v>3.5185986494217163</v>
      </c>
      <c r="AB1646" s="119">
        <v>3.5188499585271296</v>
      </c>
      <c r="AC1646" s="119">
        <v>3.5190946566060788</v>
      </c>
      <c r="AD1646" s="119">
        <v>3.5193328952969032</v>
      </c>
      <c r="AE1646" s="119">
        <v>3.5195648240002346</v>
      </c>
      <c r="AF1646" s="119">
        <v>3.5197905898382276</v>
      </c>
      <c r="AG1646" s="119">
        <v>3.5200103376194174</v>
      </c>
      <c r="AH1646" s="119">
        <v>3.5202242098089211</v>
      </c>
      <c r="AI1646" s="119">
        <v>3.5204323465036871</v>
      </c>
      <c r="AJ1646" s="119">
        <v>3.520634885412516</v>
      </c>
      <c r="AK1646" s="119">
        <v>3.520831961840579</v>
      </c>
      <c r="AL1646" s="119">
        <v>3.5210237086781802</v>
      </c>
      <c r="AM1646" s="119">
        <v>3.5212102563934948</v>
      </c>
      <c r="AN1646" s="119">
        <v>3.5213917330290485</v>
      </c>
      <c r="AO1646" s="119">
        <v>3.521568264201695</v>
      </c>
      <c r="AP1646" s="119">
        <v>3.5217399731058672</v>
      </c>
      <c r="AQ1646" s="119">
        <v>3.5219069805198839</v>
      </c>
      <c r="AR1646" s="119">
        <v>3.5220694048150984</v>
      </c>
      <c r="AS1646" s="119">
        <v>3.5222273619676838</v>
      </c>
      <c r="AT1646" s="119">
        <v>3.5223809655728742</v>
      </c>
      <c r="AU1646" s="119">
        <v>3.5225303268614625</v>
      </c>
      <c r="AV1646" s="119">
        <v>3.5226755547183912</v>
      </c>
      <c r="AW1646" s="119">
        <v>3.5228167557032561</v>
      </c>
      <c r="AX1646" s="120">
        <v>3.5229540340725713</v>
      </c>
    </row>
    <row r="1647" spans="1:50" x14ac:dyDescent="0.25">
      <c r="A1647" s="356"/>
      <c r="B1647" s="359"/>
      <c r="C1647" s="361" t="s">
        <v>14</v>
      </c>
      <c r="D1647" s="58" t="s">
        <v>7</v>
      </c>
      <c r="E1647" s="164" t="str">
        <f>A1643&amp;"/"&amp;B1643&amp;"/"&amp;C1647&amp;"/"&amp;D1647</f>
        <v>Derived gas fired power plants/Steam turbine/CHP/L</v>
      </c>
      <c r="F1647" s="78" t="str">
        <f>A1643</f>
        <v>Derived gas fired power plants</v>
      </c>
      <c r="G1647" s="78" t="str">
        <f>B1643</f>
        <v>Steam turbine</v>
      </c>
      <c r="H1647" s="78" t="str">
        <f>C1647</f>
        <v>CHP</v>
      </c>
      <c r="I1647" s="165" t="str">
        <f t="shared" si="104"/>
        <v>L</v>
      </c>
      <c r="J1647" s="123">
        <v>4.2740267431238621</v>
      </c>
      <c r="K1647" s="123">
        <v>4.2747410082243604</v>
      </c>
      <c r="L1647" s="123">
        <v>4.2754439591334528</v>
      </c>
      <c r="M1647" s="123">
        <v>4.2761357251582117</v>
      </c>
      <c r="N1647" s="123">
        <v>4.2768164359357161</v>
      </c>
      <c r="O1647" s="123">
        <v>4.2774862213530209</v>
      </c>
      <c r="P1647" s="123">
        <v>4.2781452114698029</v>
      </c>
      <c r="Q1647" s="123">
        <v>4.2787935364436809</v>
      </c>
      <c r="R1647" s="123">
        <v>4.2794313264581367</v>
      </c>
      <c r="S1647" s="123">
        <v>4.2800587116530577</v>
      </c>
      <c r="T1647" s="123">
        <v>4.2806758220578196</v>
      </c>
      <c r="U1647" s="123">
        <v>4.2812827875269166</v>
      </c>
      <c r="V1647" s="123">
        <v>4.281879737678068</v>
      </c>
      <c r="W1647" s="123">
        <v>4.2824668018327801</v>
      </c>
      <c r="X1647" s="123">
        <v>4.2830441089593219</v>
      </c>
      <c r="Y1647" s="123">
        <v>4.283611787618069</v>
      </c>
      <c r="Z1647" s="123">
        <v>4.2841699659091681</v>
      </c>
      <c r="AA1647" s="123">
        <v>4.2847187714224875</v>
      </c>
      <c r="AB1647" s="123">
        <v>4.2852583311898016</v>
      </c>
      <c r="AC1647" s="123">
        <v>4.2857887716391652</v>
      </c>
      <c r="AD1647" s="123">
        <v>4.2863102185514341</v>
      </c>
      <c r="AE1647" s="123">
        <v>4.2868227970188704</v>
      </c>
      <c r="AF1647" s="123">
        <v>4.2873266314057989</v>
      </c>
      <c r="AG1647" s="123">
        <v>4.2878218453112718</v>
      </c>
      <c r="AH1647" s="123">
        <v>4.2883085615336656</v>
      </c>
      <c r="AI1647" s="123">
        <v>4.2887869020371889</v>
      </c>
      <c r="AJ1647" s="123">
        <v>4.2892569879202407</v>
      </c>
      <c r="AK1647" s="123">
        <v>4.2897189393855655</v>
      </c>
      <c r="AL1647" s="123">
        <v>4.2901728757121704</v>
      </c>
      <c r="AM1647" s="123">
        <v>4.2906189152289311</v>
      </c>
      <c r="AN1647" s="123">
        <v>4.2910571752898736</v>
      </c>
      <c r="AO1647" s="123">
        <v>4.2914877722510472</v>
      </c>
      <c r="AP1647" s="123">
        <v>4.2919108214489619</v>
      </c>
      <c r="AQ1647" s="123">
        <v>4.2923264371805407</v>
      </c>
      <c r="AR1647" s="123">
        <v>4.2927347326845284</v>
      </c>
      <c r="AS1647" s="123">
        <v>4.2931358201243315</v>
      </c>
      <c r="AT1647" s="123">
        <v>4.2935298105722106</v>
      </c>
      <c r="AU1647" s="123">
        <v>4.2939168139948256</v>
      </c>
      <c r="AV1647" s="123">
        <v>4.2942969392400299</v>
      </c>
      <c r="AW1647" s="123">
        <v>4.2946702940249368</v>
      </c>
      <c r="AX1647" s="124">
        <v>4.2950369849251517</v>
      </c>
    </row>
    <row r="1648" spans="1:50" x14ac:dyDescent="0.25">
      <c r="A1648" s="356"/>
      <c r="B1648" s="359"/>
      <c r="C1648" s="350"/>
      <c r="D1648" s="2" t="s">
        <v>8</v>
      </c>
      <c r="E1648" s="160" t="str">
        <f>A1643&amp;"/"&amp;B1643&amp;"/"&amp;C1647&amp;"/"&amp;D1648</f>
        <v>Derived gas fired power plants/Steam turbine/CHP/M</v>
      </c>
      <c r="F1648" s="76" t="str">
        <f>A1643</f>
        <v>Derived gas fired power plants</v>
      </c>
      <c r="G1648" s="76" t="str">
        <f>B1643</f>
        <v>Steam turbine</v>
      </c>
      <c r="H1648" s="76" t="str">
        <f>C1647</f>
        <v>CHP</v>
      </c>
      <c r="I1648" s="161" t="str">
        <f t="shared" si="104"/>
        <v>M</v>
      </c>
      <c r="J1648" s="119">
        <v>4.455018444529081</v>
      </c>
      <c r="K1648" s="119">
        <v>4.4554695444680616</v>
      </c>
      <c r="L1648" s="119">
        <v>4.4559131624162909</v>
      </c>
      <c r="M1648" s="119">
        <v>4.4563493964097924</v>
      </c>
      <c r="N1648" s="119">
        <v>4.456778344155814</v>
      </c>
      <c r="O1648" s="119">
        <v>4.4572001029938235</v>
      </c>
      <c r="P1648" s="119">
        <v>4.4576147698582247</v>
      </c>
      <c r="Q1648" s="119">
        <v>4.4580224412427452</v>
      </c>
      <c r="R1648" s="119">
        <v>4.4584232131664869</v>
      </c>
      <c r="S1648" s="119">
        <v>4.4588171811415744</v>
      </c>
      <c r="T1648" s="119">
        <v>4.4592044401423854</v>
      </c>
      <c r="U1648" s="119">
        <v>4.459585084576319</v>
      </c>
      <c r="V1648" s="119">
        <v>4.4599592082560617</v>
      </c>
      <c r="W1648" s="119">
        <v>4.4603269043733249</v>
      </c>
      <c r="X1648" s="119">
        <v>4.4606882654740012</v>
      </c>
      <c r="Y1648" s="119">
        <v>4.4610433834347196</v>
      </c>
      <c r="Z1648" s="119">
        <v>4.4613923494407439</v>
      </c>
      <c r="AA1648" s="119">
        <v>4.4617352539651982</v>
      </c>
      <c r="AB1648" s="119">
        <v>4.4620721867495616</v>
      </c>
      <c r="AC1648" s="119">
        <v>4.4624032367854056</v>
      </c>
      <c r="AD1648" s="119">
        <v>4.4627284922973498</v>
      </c>
      <c r="AE1648" s="119">
        <v>4.4630480407271609</v>
      </c>
      <c r="AF1648" s="119">
        <v>4.463361968719016</v>
      </c>
      <c r="AG1648" s="119">
        <v>4.4636703621058391</v>
      </c>
      <c r="AH1648" s="119">
        <v>4.4639733058967099</v>
      </c>
      <c r="AI1648" s="119">
        <v>4.4642708842653045</v>
      </c>
      <c r="AJ1648" s="119">
        <v>4.4645631805393124</v>
      </c>
      <c r="AK1648" s="119">
        <v>4.4648502771908376</v>
      </c>
      <c r="AL1648" s="119">
        <v>4.4651322558277089</v>
      </c>
      <c r="AM1648" s="119">
        <v>4.4654091971856849</v>
      </c>
      <c r="AN1648" s="119">
        <v>4.4656811811215258</v>
      </c>
      <c r="AO1648" s="119">
        <v>4.4659482866068947</v>
      </c>
      <c r="AP1648" s="119">
        <v>4.4662105917230539</v>
      </c>
      <c r="AQ1648" s="119">
        <v>4.4664681736563328</v>
      </c>
      <c r="AR1648" s="119">
        <v>4.4667211086943324</v>
      </c>
      <c r="AS1648" s="119">
        <v>4.466969472222841</v>
      </c>
      <c r="AT1648" s="119">
        <v>4.4672133387234334</v>
      </c>
      <c r="AU1648" s="119">
        <v>4.4674527817717129</v>
      </c>
      <c r="AV1648" s="119">
        <v>4.467687874036196</v>
      </c>
      <c r="AW1648" s="119">
        <v>4.4679186872777841</v>
      </c>
      <c r="AX1648" s="120">
        <v>4.4681452923498064</v>
      </c>
    </row>
    <row r="1649" spans="1:50" x14ac:dyDescent="0.25">
      <c r="A1649" s="356"/>
      <c r="B1649" s="359"/>
      <c r="C1649" s="350"/>
      <c r="D1649" s="2" t="s">
        <v>10</v>
      </c>
      <c r="E1649" s="160" t="str">
        <f>A1643&amp;"/"&amp;B1643&amp;"/"&amp;C1647&amp;"/"&amp;D1649</f>
        <v>Derived gas fired power plants/Steam turbine/CHP/S</v>
      </c>
      <c r="F1649" s="76" t="str">
        <f>A1643</f>
        <v>Derived gas fired power plants</v>
      </c>
      <c r="G1649" s="76" t="str">
        <f>B1643</f>
        <v>Steam turbine</v>
      </c>
      <c r="H1649" s="76" t="str">
        <f>C1647</f>
        <v>CHP</v>
      </c>
      <c r="I1649" s="161" t="str">
        <f t="shared" si="104"/>
        <v>S</v>
      </c>
      <c r="J1649" s="119">
        <v>5.6519766310883588</v>
      </c>
      <c r="K1649" s="119">
        <v>5.6523379912044183</v>
      </c>
      <c r="L1649" s="119">
        <v>5.6526930804098656</v>
      </c>
      <c r="M1649" s="119">
        <v>5.6530419913348506</v>
      </c>
      <c r="N1649" s="119">
        <v>5.6533848158436815</v>
      </c>
      <c r="O1649" s="119">
        <v>5.6537216450168808</v>
      </c>
      <c r="P1649" s="119">
        <v>5.6540525691344508</v>
      </c>
      <c r="Q1649" s="119">
        <v>5.6543776776603245</v>
      </c>
      <c r="R1649" s="119">
        <v>5.6546970592279475</v>
      </c>
      <c r="S1649" s="119">
        <v>5.6550108016269744</v>
      </c>
      <c r="T1649" s="119">
        <v>5.6553189917910229</v>
      </c>
      <c r="U1649" s="119">
        <v>5.6556217157864692</v>
      </c>
      <c r="V1649" s="119">
        <v>5.6559190588022368</v>
      </c>
      <c r="W1649" s="119">
        <v>5.6562111051405513</v>
      </c>
      <c r="X1649" s="119">
        <v>5.65649793820862</v>
      </c>
      <c r="Y1649" s="119">
        <v>5.6567796405112185</v>
      </c>
      <c r="Z1649" s="119">
        <v>5.6570562936441293</v>
      </c>
      <c r="AA1649" s="119">
        <v>5.6573279782884258</v>
      </c>
      <c r="AB1649" s="119">
        <v>5.6575947742055401</v>
      </c>
      <c r="AC1649" s="119">
        <v>5.6578567602331162</v>
      </c>
      <c r="AD1649" s="119">
        <v>5.6581140142815967</v>
      </c>
      <c r="AE1649" s="119">
        <v>5.6583666133315145</v>
      </c>
      <c r="AF1649" s="119">
        <v>5.6586146334314789</v>
      </c>
      <c r="AG1649" s="119">
        <v>5.6588581496967958</v>
      </c>
      <c r="AH1649" s="119">
        <v>5.659097236308738</v>
      </c>
      <c r="AI1649" s="119">
        <v>5.659331966514392</v>
      </c>
      <c r="AJ1649" s="119">
        <v>5.6595624126270856</v>
      </c>
      <c r="AK1649" s="119">
        <v>5.6597886460273692</v>
      </c>
      <c r="AL1649" s="119">
        <v>5.6600107371645096</v>
      </c>
      <c r="AM1649" s="119">
        <v>5.6602287555584878</v>
      </c>
      <c r="AN1649" s="119">
        <v>5.6604427698024686</v>
      </c>
      <c r="AO1649" s="119">
        <v>5.660652847565725</v>
      </c>
      <c r="AP1649" s="119">
        <v>5.6608590555969815</v>
      </c>
      <c r="AQ1649" s="119">
        <v>5.6610614597281881</v>
      </c>
      <c r="AR1649" s="119">
        <v>5.6612601248786589</v>
      </c>
      <c r="AS1649" s="119">
        <v>5.6614551150595833</v>
      </c>
      <c r="AT1649" s="119">
        <v>5.6616464933788935</v>
      </c>
      <c r="AU1649" s="119">
        <v>5.6618343220464507</v>
      </c>
      <c r="AV1649" s="119">
        <v>5.6620186623795421</v>
      </c>
      <c r="AW1649" s="119">
        <v>5.6621995748086764</v>
      </c>
      <c r="AX1649" s="120">
        <v>5.6623771188836436</v>
      </c>
    </row>
    <row r="1650" spans="1:50" x14ac:dyDescent="0.25">
      <c r="A1650" s="356"/>
      <c r="B1650" s="359"/>
      <c r="C1650" s="360"/>
      <c r="D1650" s="59" t="s">
        <v>20</v>
      </c>
      <c r="E1650" s="166" t="str">
        <f>A1643&amp;"/"&amp;B1643&amp;"/"&amp;C1647&amp;"/"&amp;D1650</f>
        <v>Derived gas fired power plants/Steam turbine/CHP/XS</v>
      </c>
      <c r="F1650" s="79" t="str">
        <f>A1643</f>
        <v>Derived gas fired power plants</v>
      </c>
      <c r="G1650" s="79" t="str">
        <f>B1643</f>
        <v>Steam turbine</v>
      </c>
      <c r="H1650" s="79" t="str">
        <f>C1647</f>
        <v>CHP</v>
      </c>
      <c r="I1650" s="167" t="str">
        <f t="shared" si="104"/>
        <v>XS</v>
      </c>
      <c r="J1650" s="125">
        <v>6.259620510035842</v>
      </c>
      <c r="K1650" s="125">
        <v>6.259836242177931</v>
      </c>
      <c r="L1650" s="125">
        <v>6.2600480600071728</v>
      </c>
      <c r="M1650" s="125">
        <v>6.2602560278756663</v>
      </c>
      <c r="N1650" s="125">
        <v>6.2604602093297164</v>
      </c>
      <c r="O1650" s="125">
        <v>6.260660667109982</v>
      </c>
      <c r="P1650" s="125">
        <v>6.2608574631521128</v>
      </c>
      <c r="Q1650" s="125">
        <v>6.2610506585878438</v>
      </c>
      <c r="R1650" s="125">
        <v>6.2612403137465238</v>
      </c>
      <c r="S1650" s="125">
        <v>6.2614264881570705</v>
      </c>
      <c r="T1650" s="125">
        <v>6.2616092405503192</v>
      </c>
      <c r="U1650" s="125">
        <v>6.2617886288617433</v>
      </c>
      <c r="V1650" s="125">
        <v>6.261964710234551</v>
      </c>
      <c r="W1650" s="125">
        <v>6.262137541023109</v>
      </c>
      <c r="X1650" s="125">
        <v>6.2623071767966962</v>
      </c>
      <c r="Y1650" s="125">
        <v>6.2624736723435674</v>
      </c>
      <c r="Z1650" s="125">
        <v>6.2626370816752974</v>
      </c>
      <c r="AA1650" s="125">
        <v>6.2627974580314092</v>
      </c>
      <c r="AB1650" s="125">
        <v>6.2629548538842599</v>
      </c>
      <c r="AC1650" s="125">
        <v>6.2631093209441575</v>
      </c>
      <c r="AD1650" s="125">
        <v>6.2632609101647265</v>
      </c>
      <c r="AE1650" s="125">
        <v>6.2634096717484704</v>
      </c>
      <c r="AF1650" s="125">
        <v>6.2635556551525458</v>
      </c>
      <c r="AG1650" s="125">
        <v>6.2636989090947184</v>
      </c>
      <c r="AH1650" s="125">
        <v>6.2638394815595015</v>
      </c>
      <c r="AI1650" s="125">
        <v>6.2639774198044496</v>
      </c>
      <c r="AJ1650" s="125">
        <v>6.2641127703666033</v>
      </c>
      <c r="AK1650" s="125">
        <v>6.2642455790690894</v>
      </c>
      <c r="AL1650" s="125">
        <v>6.2643758910278242</v>
      </c>
      <c r="AM1650" s="125">
        <v>6.2645037506583598</v>
      </c>
      <c r="AN1650" s="125">
        <v>6.2646292016828209</v>
      </c>
      <c r="AO1650" s="125">
        <v>6.2647522871369512</v>
      </c>
      <c r="AP1650" s="125">
        <v>6.2648730493772495</v>
      </c>
      <c r="AQ1650" s="125">
        <v>6.2649915300881744</v>
      </c>
      <c r="AR1650" s="125">
        <v>6.2651077702894362</v>
      </c>
      <c r="AS1650" s="125">
        <v>6.2652218103433368</v>
      </c>
      <c r="AT1650" s="125">
        <v>6.2653336899621852</v>
      </c>
      <c r="AU1650" s="125">
        <v>6.2654434482157377</v>
      </c>
      <c r="AV1650" s="125">
        <v>6.2655511235387014</v>
      </c>
      <c r="AW1650" s="125">
        <v>6.2656567537382513</v>
      </c>
      <c r="AX1650" s="126">
        <v>6.2657603760015954</v>
      </c>
    </row>
    <row r="1651" spans="1:50" x14ac:dyDescent="0.25">
      <c r="A1651" s="356"/>
      <c r="B1651" s="359"/>
      <c r="C1651" s="361" t="s">
        <v>15</v>
      </c>
      <c r="D1651" s="58" t="s">
        <v>7</v>
      </c>
      <c r="E1651" s="164" t="str">
        <f>A1643&amp;"/"&amp;B1643&amp;"/"&amp;C1651&amp;"/"&amp;D1651</f>
        <v>Derived gas fired power plants/Steam turbine/Electricity only with CCS/L</v>
      </c>
      <c r="F1651" s="78" t="str">
        <f>A1643</f>
        <v>Derived gas fired power plants</v>
      </c>
      <c r="G1651" s="78" t="str">
        <f>B1643</f>
        <v>Steam turbine</v>
      </c>
      <c r="H1651" s="78" t="str">
        <f>C1651</f>
        <v>Electricity only with CCS</v>
      </c>
      <c r="I1651" s="165" t="str">
        <f t="shared" si="104"/>
        <v>L</v>
      </c>
      <c r="J1651" s="123" t="s">
        <v>112</v>
      </c>
      <c r="K1651" s="123" t="s">
        <v>112</v>
      </c>
      <c r="L1651" s="123" t="s">
        <v>112</v>
      </c>
      <c r="M1651" s="123" t="s">
        <v>112</v>
      </c>
      <c r="N1651" s="123" t="s">
        <v>112</v>
      </c>
      <c r="O1651" s="123" t="s">
        <v>112</v>
      </c>
      <c r="P1651" s="123" t="s">
        <v>112</v>
      </c>
      <c r="Q1651" s="123" t="s">
        <v>112</v>
      </c>
      <c r="R1651" s="123" t="s">
        <v>112</v>
      </c>
      <c r="S1651" s="123" t="s">
        <v>112</v>
      </c>
      <c r="T1651" s="123" t="s">
        <v>112</v>
      </c>
      <c r="U1651" s="123" t="s">
        <v>112</v>
      </c>
      <c r="V1651" s="123" t="s">
        <v>112</v>
      </c>
      <c r="W1651" s="123" t="s">
        <v>112</v>
      </c>
      <c r="X1651" s="123" t="s">
        <v>112</v>
      </c>
      <c r="Y1651" s="123" t="s">
        <v>112</v>
      </c>
      <c r="Z1651" s="123" t="s">
        <v>112</v>
      </c>
      <c r="AA1651" s="123" t="s">
        <v>112</v>
      </c>
      <c r="AB1651" s="123" t="s">
        <v>112</v>
      </c>
      <c r="AC1651" s="123" t="s">
        <v>112</v>
      </c>
      <c r="AD1651" s="123" t="s">
        <v>112</v>
      </c>
      <c r="AE1651" s="123">
        <v>4.6610531985678527</v>
      </c>
      <c r="AF1651" s="123">
        <v>4.6610531985678527</v>
      </c>
      <c r="AG1651" s="123">
        <v>4.6610531985678527</v>
      </c>
      <c r="AH1651" s="123">
        <v>4.6610531985678527</v>
      </c>
      <c r="AI1651" s="123">
        <v>4.6610531985678527</v>
      </c>
      <c r="AJ1651" s="123">
        <v>4.6610531985678527</v>
      </c>
      <c r="AK1651" s="123">
        <v>4.6610531985678527</v>
      </c>
      <c r="AL1651" s="123">
        <v>4.6610531985678527</v>
      </c>
      <c r="AM1651" s="123">
        <v>4.6610531985678527</v>
      </c>
      <c r="AN1651" s="123">
        <v>4.6610531985678527</v>
      </c>
      <c r="AO1651" s="123">
        <v>4.6610531985678527</v>
      </c>
      <c r="AP1651" s="123">
        <v>4.6610531985678527</v>
      </c>
      <c r="AQ1651" s="123">
        <v>4.6610531985678527</v>
      </c>
      <c r="AR1651" s="123">
        <v>4.6610531985678527</v>
      </c>
      <c r="AS1651" s="123">
        <v>4.6610531985678527</v>
      </c>
      <c r="AT1651" s="123">
        <v>4.6610531985678527</v>
      </c>
      <c r="AU1651" s="123">
        <v>4.6610531985678527</v>
      </c>
      <c r="AV1651" s="123">
        <v>4.6610531985678527</v>
      </c>
      <c r="AW1651" s="123">
        <v>4.6610531985678527</v>
      </c>
      <c r="AX1651" s="124">
        <v>4.6610531985678527</v>
      </c>
    </row>
    <row r="1652" spans="1:50" x14ac:dyDescent="0.25">
      <c r="A1652" s="356"/>
      <c r="B1652" s="359"/>
      <c r="C1652" s="360"/>
      <c r="D1652" s="59" t="s">
        <v>8</v>
      </c>
      <c r="E1652" s="166" t="str">
        <f>A1643&amp;"/"&amp;B1643&amp;"/"&amp;C1651&amp;"/"&amp;D1652</f>
        <v>Derived gas fired power plants/Steam turbine/Electricity only with CCS/M</v>
      </c>
      <c r="F1652" s="79" t="str">
        <f>A1643</f>
        <v>Derived gas fired power plants</v>
      </c>
      <c r="G1652" s="79" t="str">
        <f>B1643</f>
        <v>Steam turbine</v>
      </c>
      <c r="H1652" s="79" t="str">
        <f>C1651</f>
        <v>Electricity only with CCS</v>
      </c>
      <c r="I1652" s="167" t="str">
        <f t="shared" si="104"/>
        <v>M</v>
      </c>
      <c r="J1652" s="125" t="s">
        <v>112</v>
      </c>
      <c r="K1652" s="125" t="s">
        <v>112</v>
      </c>
      <c r="L1652" s="125" t="s">
        <v>112</v>
      </c>
      <c r="M1652" s="125" t="s">
        <v>112</v>
      </c>
      <c r="N1652" s="125" t="s">
        <v>112</v>
      </c>
      <c r="O1652" s="125" t="s">
        <v>112</v>
      </c>
      <c r="P1652" s="125" t="s">
        <v>112</v>
      </c>
      <c r="Q1652" s="125" t="s">
        <v>112</v>
      </c>
      <c r="R1652" s="125" t="s">
        <v>112</v>
      </c>
      <c r="S1652" s="125" t="s">
        <v>112</v>
      </c>
      <c r="T1652" s="125" t="s">
        <v>112</v>
      </c>
      <c r="U1652" s="125" t="s">
        <v>112</v>
      </c>
      <c r="V1652" s="125" t="s">
        <v>112</v>
      </c>
      <c r="W1652" s="125" t="s">
        <v>112</v>
      </c>
      <c r="X1652" s="125" t="s">
        <v>112</v>
      </c>
      <c r="Y1652" s="125" t="s">
        <v>112</v>
      </c>
      <c r="Z1652" s="125" t="s">
        <v>112</v>
      </c>
      <c r="AA1652" s="125" t="s">
        <v>112</v>
      </c>
      <c r="AB1652" s="125" t="s">
        <v>112</v>
      </c>
      <c r="AC1652" s="125" t="s">
        <v>112</v>
      </c>
      <c r="AD1652" s="125" t="s">
        <v>112</v>
      </c>
      <c r="AE1652" s="125">
        <v>5.9332633630113101</v>
      </c>
      <c r="AF1652" s="125">
        <v>5.9332633630113101</v>
      </c>
      <c r="AG1652" s="125">
        <v>5.9332633630113101</v>
      </c>
      <c r="AH1652" s="125">
        <v>5.9332633630113101</v>
      </c>
      <c r="AI1652" s="125">
        <v>5.9332633630113101</v>
      </c>
      <c r="AJ1652" s="125">
        <v>5.9332633630113101</v>
      </c>
      <c r="AK1652" s="125">
        <v>5.9332633630113101</v>
      </c>
      <c r="AL1652" s="125">
        <v>5.9332633630113101</v>
      </c>
      <c r="AM1652" s="125">
        <v>5.9332633630113101</v>
      </c>
      <c r="AN1652" s="125">
        <v>5.9332633630113101</v>
      </c>
      <c r="AO1652" s="125">
        <v>5.9332633630113101</v>
      </c>
      <c r="AP1652" s="125">
        <v>5.9332633630113101</v>
      </c>
      <c r="AQ1652" s="125">
        <v>5.9332633630113101</v>
      </c>
      <c r="AR1652" s="125">
        <v>5.9332633630113101</v>
      </c>
      <c r="AS1652" s="125">
        <v>5.9332633630113101</v>
      </c>
      <c r="AT1652" s="125">
        <v>5.9332633630113101</v>
      </c>
      <c r="AU1652" s="125">
        <v>5.9332633630113101</v>
      </c>
      <c r="AV1652" s="125">
        <v>5.9332633630113101</v>
      </c>
      <c r="AW1652" s="125">
        <v>5.9332633630113101</v>
      </c>
      <c r="AX1652" s="126">
        <v>5.9332633630113101</v>
      </c>
    </row>
    <row r="1653" spans="1:50" x14ac:dyDescent="0.25">
      <c r="A1653" s="356"/>
      <c r="B1653" s="359"/>
      <c r="C1653" s="361" t="s">
        <v>16</v>
      </c>
      <c r="D1653" s="2" t="s">
        <v>7</v>
      </c>
      <c r="E1653" s="160" t="str">
        <f>A1643&amp;"/"&amp;B1643&amp;"/"&amp;C1653&amp;"/"&amp;D1653</f>
        <v>Derived gas fired power plants/Steam turbine/CHP with CCS/L</v>
      </c>
      <c r="F1653" s="76" t="str">
        <f>A1643</f>
        <v>Derived gas fired power plants</v>
      </c>
      <c r="G1653" s="76" t="str">
        <f>B1643</f>
        <v>Steam turbine</v>
      </c>
      <c r="H1653" s="76" t="str">
        <f>C1653</f>
        <v>CHP with CCS</v>
      </c>
      <c r="I1653" s="161" t="str">
        <f t="shared" si="104"/>
        <v>L</v>
      </c>
      <c r="J1653" s="119" t="s">
        <v>112</v>
      </c>
      <c r="K1653" s="119" t="s">
        <v>112</v>
      </c>
      <c r="L1653" s="119" t="s">
        <v>112</v>
      </c>
      <c r="M1653" s="119" t="s">
        <v>112</v>
      </c>
      <c r="N1653" s="119" t="s">
        <v>112</v>
      </c>
      <c r="O1653" s="119" t="s">
        <v>112</v>
      </c>
      <c r="P1653" s="119" t="s">
        <v>112</v>
      </c>
      <c r="Q1653" s="119" t="s">
        <v>112</v>
      </c>
      <c r="R1653" s="119" t="s">
        <v>112</v>
      </c>
      <c r="S1653" s="119" t="s">
        <v>112</v>
      </c>
      <c r="T1653" s="119" t="s">
        <v>112</v>
      </c>
      <c r="U1653" s="119" t="s">
        <v>112</v>
      </c>
      <c r="V1653" s="119" t="s">
        <v>112</v>
      </c>
      <c r="W1653" s="119" t="s">
        <v>112</v>
      </c>
      <c r="X1653" s="119" t="s">
        <v>112</v>
      </c>
      <c r="Y1653" s="119" t="s">
        <v>112</v>
      </c>
      <c r="Z1653" s="119" t="s">
        <v>112</v>
      </c>
      <c r="AA1653" s="119" t="s">
        <v>112</v>
      </c>
      <c r="AB1653" s="119" t="s">
        <v>112</v>
      </c>
      <c r="AC1653" s="119" t="s">
        <v>112</v>
      </c>
      <c r="AD1653" s="119" t="s">
        <v>112</v>
      </c>
      <c r="AE1653" s="119">
        <v>5.8886199145308478</v>
      </c>
      <c r="AF1653" s="119">
        <v>5.8886199145308478</v>
      </c>
      <c r="AG1653" s="119">
        <v>5.8886199145308478</v>
      </c>
      <c r="AH1653" s="119">
        <v>5.8886199145308478</v>
      </c>
      <c r="AI1653" s="119">
        <v>5.8886199145308478</v>
      </c>
      <c r="AJ1653" s="119">
        <v>5.8886199145308478</v>
      </c>
      <c r="AK1653" s="119">
        <v>5.8886199145308478</v>
      </c>
      <c r="AL1653" s="119">
        <v>5.8886199145308478</v>
      </c>
      <c r="AM1653" s="119">
        <v>5.8886199145308478</v>
      </c>
      <c r="AN1653" s="119">
        <v>5.8886199145308478</v>
      </c>
      <c r="AO1653" s="119">
        <v>5.8886199145308478</v>
      </c>
      <c r="AP1653" s="119">
        <v>5.8886199145308478</v>
      </c>
      <c r="AQ1653" s="119">
        <v>5.8886199145308478</v>
      </c>
      <c r="AR1653" s="119">
        <v>5.8886199145308478</v>
      </c>
      <c r="AS1653" s="119">
        <v>5.8886199145308478</v>
      </c>
      <c r="AT1653" s="119">
        <v>5.8886199145308478</v>
      </c>
      <c r="AU1653" s="119">
        <v>5.8886199145308478</v>
      </c>
      <c r="AV1653" s="119">
        <v>5.8886199145308478</v>
      </c>
      <c r="AW1653" s="119">
        <v>5.8886199145308478</v>
      </c>
      <c r="AX1653" s="120">
        <v>5.8886199145308478</v>
      </c>
    </row>
    <row r="1654" spans="1:50" x14ac:dyDescent="0.25">
      <c r="A1654" s="357"/>
      <c r="B1654" s="362"/>
      <c r="C1654" s="354"/>
      <c r="D1654" s="4" t="s">
        <v>8</v>
      </c>
      <c r="E1654" s="168" t="str">
        <f>A1643&amp;"/"&amp;B1643&amp;"/"&amp;C1653&amp;"/"&amp;D1654</f>
        <v>Derived gas fired power plants/Steam turbine/CHP with CCS/M</v>
      </c>
      <c r="F1654" s="80" t="str">
        <f>A1643</f>
        <v>Derived gas fired power plants</v>
      </c>
      <c r="G1654" s="80" t="str">
        <f>B1643</f>
        <v>Steam turbine</v>
      </c>
      <c r="H1654" s="80" t="str">
        <f>C1653</f>
        <v>CHP with CCS</v>
      </c>
      <c r="I1654" s="169" t="str">
        <f t="shared" si="104"/>
        <v>M</v>
      </c>
      <c r="J1654" s="127" t="s">
        <v>112</v>
      </c>
      <c r="K1654" s="127" t="s">
        <v>112</v>
      </c>
      <c r="L1654" s="127" t="s">
        <v>112</v>
      </c>
      <c r="M1654" s="127" t="s">
        <v>112</v>
      </c>
      <c r="N1654" s="127" t="s">
        <v>112</v>
      </c>
      <c r="O1654" s="127" t="s">
        <v>112</v>
      </c>
      <c r="P1654" s="127" t="s">
        <v>112</v>
      </c>
      <c r="Q1654" s="127" t="s">
        <v>112</v>
      </c>
      <c r="R1654" s="127" t="s">
        <v>112</v>
      </c>
      <c r="S1654" s="127" t="s">
        <v>112</v>
      </c>
      <c r="T1654" s="127" t="s">
        <v>112</v>
      </c>
      <c r="U1654" s="127" t="s">
        <v>112</v>
      </c>
      <c r="V1654" s="127" t="s">
        <v>112</v>
      </c>
      <c r="W1654" s="127" t="s">
        <v>112</v>
      </c>
      <c r="X1654" s="127" t="s">
        <v>112</v>
      </c>
      <c r="Y1654" s="127" t="s">
        <v>112</v>
      </c>
      <c r="Z1654" s="127" t="s">
        <v>112</v>
      </c>
      <c r="AA1654" s="127" t="s">
        <v>112</v>
      </c>
      <c r="AB1654" s="127" t="s">
        <v>112</v>
      </c>
      <c r="AC1654" s="127" t="s">
        <v>112</v>
      </c>
      <c r="AD1654" s="127" t="s">
        <v>112</v>
      </c>
      <c r="AE1654" s="127">
        <v>7.1052733782637763</v>
      </c>
      <c r="AF1654" s="127">
        <v>7.1052733782637763</v>
      </c>
      <c r="AG1654" s="127">
        <v>7.1052733782637763</v>
      </c>
      <c r="AH1654" s="127">
        <v>7.1052733782637763</v>
      </c>
      <c r="AI1654" s="127">
        <v>7.1052733782637763</v>
      </c>
      <c r="AJ1654" s="127">
        <v>7.1052733782637763</v>
      </c>
      <c r="AK1654" s="127">
        <v>7.1052733782637763</v>
      </c>
      <c r="AL1654" s="127">
        <v>7.1052733782637763</v>
      </c>
      <c r="AM1654" s="127">
        <v>7.1052733782637763</v>
      </c>
      <c r="AN1654" s="127">
        <v>7.1052733782637763</v>
      </c>
      <c r="AO1654" s="127">
        <v>7.1052733782637763</v>
      </c>
      <c r="AP1654" s="127">
        <v>7.1052733782637763</v>
      </c>
      <c r="AQ1654" s="127">
        <v>7.1052733782637763</v>
      </c>
      <c r="AR1654" s="127">
        <v>7.1052733782637763</v>
      </c>
      <c r="AS1654" s="127">
        <v>7.1052733782637763</v>
      </c>
      <c r="AT1654" s="127">
        <v>7.1052733782637763</v>
      </c>
      <c r="AU1654" s="127">
        <v>7.1052733782637763</v>
      </c>
      <c r="AV1654" s="127">
        <v>7.1052733782637763</v>
      </c>
      <c r="AW1654" s="127">
        <v>7.1052733782637763</v>
      </c>
      <c r="AX1654" s="128">
        <v>7.1052733782637763</v>
      </c>
    </row>
    <row r="1655" spans="1:50" x14ac:dyDescent="0.25">
      <c r="A1655" s="356" t="s">
        <v>27</v>
      </c>
      <c r="B1655" s="365" t="s">
        <v>19</v>
      </c>
      <c r="C1655" s="353" t="s">
        <v>6</v>
      </c>
      <c r="D1655" s="2" t="s">
        <v>7</v>
      </c>
      <c r="E1655" s="162" t="str">
        <f>A1655&amp;"/"&amp;B1655&amp;"/"&amp;C1655&amp;"/"&amp;D1655</f>
        <v>Refinery gas fired power plants/Steam turbine/Electricity only/L</v>
      </c>
      <c r="F1655" s="77" t="str">
        <f>A1655</f>
        <v>Refinery gas fired power plants</v>
      </c>
      <c r="G1655" s="77" t="str">
        <f>B1655</f>
        <v>Steam turbine</v>
      </c>
      <c r="H1655" s="77" t="str">
        <f>C1655</f>
        <v>Electricity only</v>
      </c>
      <c r="I1655" s="163" t="str">
        <f t="shared" ref="I1655:I1718" si="105">D1655</f>
        <v>L</v>
      </c>
      <c r="J1655" s="121">
        <v>2.1190689208366758</v>
      </c>
      <c r="K1655" s="121">
        <v>2.1198221948285649</v>
      </c>
      <c r="L1655" s="121">
        <v>2.1205594722449796</v>
      </c>
      <c r="M1655" s="121">
        <v>2.1212809353673716</v>
      </c>
      <c r="N1655" s="121">
        <v>2.1219867727281061</v>
      </c>
      <c r="O1655" s="121">
        <v>2.1226771785953229</v>
      </c>
      <c r="P1655" s="121">
        <v>2.1233523524720508</v>
      </c>
      <c r="Q1655" s="121">
        <v>2.1240124986101252</v>
      </c>
      <c r="R1655" s="121">
        <v>2.124657825539372</v>
      </c>
      <c r="S1655" s="121">
        <v>2.1252885456124564</v>
      </c>
      <c r="T1655" s="121">
        <v>2.125904874565673</v>
      </c>
      <c r="U1655" s="121">
        <v>2.1265070310959255</v>
      </c>
      <c r="V1655" s="121">
        <v>2.1270952364540237</v>
      </c>
      <c r="W1655" s="121">
        <v>2.1276697140543992</v>
      </c>
      <c r="X1655" s="121">
        <v>2.1282306891012546</v>
      </c>
      <c r="Y1655" s="121">
        <v>2.1287783882311091</v>
      </c>
      <c r="Z1655" s="121">
        <v>2.1293130391716573</v>
      </c>
      <c r="AA1655" s="121">
        <v>2.1298348704167926</v>
      </c>
      <c r="AB1655" s="121">
        <v>2.1303441109176293</v>
      </c>
      <c r="AC1655" s="121">
        <v>2.1308409897892857</v>
      </c>
      <c r="AD1655" s="121">
        <v>2.1313257360331814</v>
      </c>
      <c r="AE1655" s="121">
        <v>2.1317985782745499</v>
      </c>
      <c r="AF1655" s="121">
        <v>2.1322597445148603</v>
      </c>
      <c r="AG1655" s="121">
        <v>2.1327094618987923</v>
      </c>
      <c r="AH1655" s="121">
        <v>2.1331479564954079</v>
      </c>
      <c r="AI1655" s="121">
        <v>2.1335754530931359</v>
      </c>
      <c r="AJ1655" s="121">
        <v>2.1339921750081721</v>
      </c>
      <c r="AK1655" s="121">
        <v>2.134398343905878</v>
      </c>
      <c r="AL1655" s="121">
        <v>2.1347941796347731</v>
      </c>
      <c r="AM1655" s="121">
        <v>2.1351799000726732</v>
      </c>
      <c r="AN1655" s="121">
        <v>2.1355557209845601</v>
      </c>
      <c r="AO1655" s="121">
        <v>2.135921855891735</v>
      </c>
      <c r="AP1655" s="121">
        <v>2.1362785159518252</v>
      </c>
      <c r="AQ1655" s="121">
        <v>2.1366259098492035</v>
      </c>
      <c r="AR1655" s="121">
        <v>2.1369642436953837</v>
      </c>
      <c r="AS1655" s="121">
        <v>2.1372937209389691</v>
      </c>
      <c r="AT1655" s="121">
        <v>2.1376145422847213</v>
      </c>
      <c r="AU1655" s="121">
        <v>2.1379269056213253</v>
      </c>
      <c r="AV1655" s="121">
        <v>2.1382310059574476</v>
      </c>
      <c r="AW1655" s="121">
        <v>2.1385270353656716</v>
      </c>
      <c r="AX1655" s="122">
        <v>2.1388151829339175</v>
      </c>
    </row>
    <row r="1656" spans="1:50" x14ac:dyDescent="0.25">
      <c r="A1656" s="356"/>
      <c r="B1656" s="366"/>
      <c r="C1656" s="350"/>
      <c r="D1656" s="2" t="s">
        <v>8</v>
      </c>
      <c r="E1656" s="160" t="str">
        <f>A1655&amp;"/"&amp;B1655&amp;"/"&amp;C1655&amp;"/"&amp;D1656</f>
        <v>Refinery gas fired power plants/Steam turbine/Electricity only/M</v>
      </c>
      <c r="F1656" s="76" t="str">
        <f>A1655</f>
        <v>Refinery gas fired power plants</v>
      </c>
      <c r="G1656" s="76" t="str">
        <f>B1655</f>
        <v>Steam turbine</v>
      </c>
      <c r="H1656" s="76" t="str">
        <f>C1655</f>
        <v>Electricity only</v>
      </c>
      <c r="I1656" s="161" t="str">
        <f t="shared" si="105"/>
        <v>M</v>
      </c>
      <c r="J1656" s="119">
        <v>2.2885944345036098</v>
      </c>
      <c r="K1656" s="119">
        <v>2.2893062784259453</v>
      </c>
      <c r="L1656" s="119">
        <v>2.2900030055844569</v>
      </c>
      <c r="M1656" s="119">
        <v>2.2906847882351178</v>
      </c>
      <c r="N1656" s="119">
        <v>2.2913518045410117</v>
      </c>
      <c r="O1656" s="119">
        <v>2.2920042380855312</v>
      </c>
      <c r="P1656" s="119">
        <v>2.2926422773990396</v>
      </c>
      <c r="Q1656" s="119">
        <v>2.2932661154995193</v>
      </c>
      <c r="R1656" s="119">
        <v>2.2938759494476577</v>
      </c>
      <c r="S1656" s="119">
        <v>2.2944719799167221</v>
      </c>
      <c r="T1656" s="119">
        <v>2.2950544107775124</v>
      </c>
      <c r="U1656" s="119">
        <v>2.2956234486986009</v>
      </c>
      <c r="V1656" s="119">
        <v>2.2961793027620034</v>
      </c>
      <c r="W1656" s="119">
        <v>2.2967221840943584</v>
      </c>
      <c r="X1656" s="119">
        <v>2.2972523055136365</v>
      </c>
      <c r="Y1656" s="119">
        <v>2.2977698811913494</v>
      </c>
      <c r="Z1656" s="119">
        <v>2.2982751263301671</v>
      </c>
      <c r="AA1656" s="119">
        <v>2.2987682568568202</v>
      </c>
      <c r="AB1656" s="119">
        <v>2.2992494891301107</v>
      </c>
      <c r="AC1656" s="119">
        <v>2.2997190396638265</v>
      </c>
      <c r="AD1656" s="119">
        <v>2.3001771248643079</v>
      </c>
      <c r="AE1656" s="119">
        <v>2.3006239607824011</v>
      </c>
      <c r="AF1656" s="119">
        <v>2.3010597628794942</v>
      </c>
      <c r="AG1656" s="119">
        <v>2.30148474580731</v>
      </c>
      <c r="AH1656" s="119">
        <v>2.3018991232011112</v>
      </c>
      <c r="AI1656" s="119">
        <v>2.3023031074859643</v>
      </c>
      <c r="AJ1656" s="119">
        <v>2.3026969096956735</v>
      </c>
      <c r="AK1656" s="119">
        <v>2.303080739304006</v>
      </c>
      <c r="AL1656" s="119">
        <v>2.3034548040678118</v>
      </c>
      <c r="AM1656" s="119">
        <v>2.3038193098816278</v>
      </c>
      <c r="AN1656" s="119">
        <v>2.3041744606433601</v>
      </c>
      <c r="AO1656" s="119">
        <v>2.3045204581306407</v>
      </c>
      <c r="AP1656" s="119">
        <v>2.304857501887426</v>
      </c>
      <c r="AQ1656" s="119">
        <v>2.3051857891204488</v>
      </c>
      <c r="AR1656" s="119">
        <v>2.3055055146050889</v>
      </c>
      <c r="AS1656" s="119">
        <v>2.3058168706002773</v>
      </c>
      <c r="AT1656" s="119">
        <v>2.3061200467720129</v>
      </c>
      <c r="AU1656" s="119">
        <v>2.3064152301251037</v>
      </c>
      <c r="AV1656" s="119">
        <v>2.3067026049427395</v>
      </c>
      <c r="AW1656" s="119">
        <v>2.3069823527335114</v>
      </c>
      <c r="AX1656" s="120">
        <v>2.3072546521855033</v>
      </c>
    </row>
    <row r="1657" spans="1:50" x14ac:dyDescent="0.25">
      <c r="A1657" s="356"/>
      <c r="B1657" s="366"/>
      <c r="C1657" s="360"/>
      <c r="D1657" s="2" t="s">
        <v>10</v>
      </c>
      <c r="E1657" s="160" t="str">
        <f>A1655&amp;"/"&amp;B1655&amp;"/"&amp;C1655&amp;"/"&amp;D1657</f>
        <v>Refinery gas fired power plants/Steam turbine/Electricity only/S</v>
      </c>
      <c r="F1657" s="76" t="str">
        <f>A1655</f>
        <v>Refinery gas fired power plants</v>
      </c>
      <c r="G1657" s="76" t="str">
        <f>B1655</f>
        <v>Steam turbine</v>
      </c>
      <c r="H1657" s="76" t="str">
        <f>C1655</f>
        <v>Electricity only</v>
      </c>
      <c r="I1657" s="161" t="str">
        <f t="shared" si="105"/>
        <v>S</v>
      </c>
      <c r="J1657" s="119">
        <v>2.5174538779539715</v>
      </c>
      <c r="K1657" s="119">
        <v>2.5181250450807449</v>
      </c>
      <c r="L1657" s="119">
        <v>2.5187819592587704</v>
      </c>
      <c r="M1657" s="119">
        <v>2.5194247829008214</v>
      </c>
      <c r="N1657" s="119">
        <v>2.5200536839892358</v>
      </c>
      <c r="O1657" s="119">
        <v>2.520668835616926</v>
      </c>
      <c r="P1657" s="119">
        <v>2.5212704155410908</v>
      </c>
      <c r="Q1657" s="119">
        <v>2.5218586057501144</v>
      </c>
      <c r="R1657" s="119">
        <v>2.5224335920440741</v>
      </c>
      <c r="S1657" s="119">
        <v>2.5229955636291916</v>
      </c>
      <c r="T1657" s="119">
        <v>2.5235447127265078</v>
      </c>
      <c r="U1657" s="119">
        <v>2.5240812341949628</v>
      </c>
      <c r="V1657" s="119">
        <v>2.5246053251690284</v>
      </c>
      <c r="W1657" s="119">
        <v>2.5251171847109628</v>
      </c>
      <c r="X1657" s="119">
        <v>2.5256170134777109</v>
      </c>
      <c r="Y1657" s="119">
        <v>2.5261050134024119</v>
      </c>
      <c r="Z1657" s="119">
        <v>2.5265813873904395</v>
      </c>
      <c r="AA1657" s="119">
        <v>2.5270463390298556</v>
      </c>
      <c r="AB1657" s="119">
        <v>2.527500072316101</v>
      </c>
      <c r="AC1657" s="119">
        <v>2.5279427913907471</v>
      </c>
      <c r="AD1657" s="119">
        <v>2.5283747002940578</v>
      </c>
      <c r="AE1657" s="119">
        <v>2.5287960027311174</v>
      </c>
      <c r="AF1657" s="119">
        <v>2.529206901851234</v>
      </c>
      <c r="AG1657" s="119">
        <v>2.5296076000403169</v>
      </c>
      <c r="AH1657" s="119">
        <v>2.5299982987259013</v>
      </c>
      <c r="AI1657" s="119">
        <v>2.5303791981944777</v>
      </c>
      <c r="AJ1657" s="119">
        <v>2.5307504974207742</v>
      </c>
      <c r="AK1657" s="119">
        <v>2.5311123939086309</v>
      </c>
      <c r="AL1657" s="119">
        <v>2.5314650835430763</v>
      </c>
      <c r="AM1657" s="119">
        <v>2.5318087604532451</v>
      </c>
      <c r="AN1657" s="119">
        <v>2.5321436168857363</v>
      </c>
      <c r="AO1657" s="119">
        <v>2.532469843088029</v>
      </c>
      <c r="AP1657" s="119">
        <v>2.5327876272015697</v>
      </c>
      <c r="AQ1657" s="119">
        <v>2.5330971551641337</v>
      </c>
      <c r="AR1657" s="119">
        <v>2.5333986106210804</v>
      </c>
      <c r="AS1657" s="119">
        <v>2.5336921748451147</v>
      </c>
      <c r="AT1657" s="119">
        <v>2.53397802666418</v>
      </c>
      <c r="AU1657" s="119">
        <v>2.5342563423970943</v>
      </c>
      <c r="AV1657" s="119">
        <v>2.5345272957965794</v>
      </c>
      <c r="AW1657" s="119">
        <v>2.5347910579993069</v>
      </c>
      <c r="AX1657" s="120">
        <v>2.5350477974826138</v>
      </c>
    </row>
    <row r="1658" spans="1:50" x14ac:dyDescent="0.25">
      <c r="A1658" s="356"/>
      <c r="B1658" s="366"/>
      <c r="C1658" s="361" t="s">
        <v>14</v>
      </c>
      <c r="D1658" s="58" t="s">
        <v>7</v>
      </c>
      <c r="E1658" s="164" t="str">
        <f>A1655&amp;"/"&amp;B1655&amp;"/"&amp;C1658&amp;"/"&amp;D1658</f>
        <v>Refinery gas fired power plants/Steam turbine/CHP/L</v>
      </c>
      <c r="F1658" s="78" t="str">
        <f>A1655</f>
        <v>Refinery gas fired power plants</v>
      </c>
      <c r="G1658" s="78" t="str">
        <f>B1655</f>
        <v>Steam turbine</v>
      </c>
      <c r="H1658" s="78" t="str">
        <f>C1658</f>
        <v>CHP</v>
      </c>
      <c r="I1658" s="165" t="str">
        <f t="shared" si="105"/>
        <v>L</v>
      </c>
      <c r="J1658" s="123">
        <v>3.7586781640785074</v>
      </c>
      <c r="K1658" s="123">
        <v>3.7595132344002664</v>
      </c>
      <c r="L1658" s="123">
        <v>3.7603305711143697</v>
      </c>
      <c r="M1658" s="123">
        <v>3.7611303762958044</v>
      </c>
      <c r="N1658" s="123">
        <v>3.7619128589492399</v>
      </c>
      <c r="O1658" s="123">
        <v>3.7626782344379581</v>
      </c>
      <c r="P1658" s="123">
        <v>3.7634267239285726</v>
      </c>
      <c r="Q1658" s="123">
        <v>3.7641585538521651</v>
      </c>
      <c r="R1658" s="123">
        <v>3.7648739553823498</v>
      </c>
      <c r="S1658" s="123">
        <v>3.7655731639306884</v>
      </c>
      <c r="T1658" s="123">
        <v>3.7662564186597955</v>
      </c>
      <c r="U1658" s="123">
        <v>3.7669239620143804</v>
      </c>
      <c r="V1658" s="123">
        <v>3.7675760392703799</v>
      </c>
      <c r="W1658" s="123">
        <v>3.7682128981022975</v>
      </c>
      <c r="X1658" s="123">
        <v>3.7688347881687543</v>
      </c>
      <c r="Y1658" s="123">
        <v>3.7694419607162191</v>
      </c>
      <c r="Z1658" s="123">
        <v>3.7700346682008248</v>
      </c>
      <c r="AA1658" s="123">
        <v>3.7706131639281044</v>
      </c>
      <c r="AB1658" s="123">
        <v>3.7711777017104589</v>
      </c>
      <c r="AC1658" s="123">
        <v>3.7717285355421022</v>
      </c>
      <c r="AD1658" s="123">
        <v>3.7722659192912023</v>
      </c>
      <c r="AE1658" s="123">
        <v>3.7727901064088938</v>
      </c>
      <c r="AF1658" s="123">
        <v>3.7733013496548136</v>
      </c>
      <c r="AG1658" s="123">
        <v>3.7737999008387697</v>
      </c>
      <c r="AH1658" s="123">
        <v>3.7742860105781575</v>
      </c>
      <c r="AI1658" s="123">
        <v>3.7747599280706767</v>
      </c>
      <c r="AJ1658" s="123">
        <v>3.7752219008819239</v>
      </c>
      <c r="AK1658" s="123">
        <v>3.7756721747474078</v>
      </c>
      <c r="AL1658" s="123">
        <v>3.7761109933885009</v>
      </c>
      <c r="AM1658" s="123">
        <v>3.7765385983418831</v>
      </c>
      <c r="AN1658" s="123">
        <v>3.7769552288019708</v>
      </c>
      <c r="AO1658" s="123">
        <v>3.7773611214758636</v>
      </c>
      <c r="AP1658" s="123">
        <v>3.7777565104503208</v>
      </c>
      <c r="AQ1658" s="123">
        <v>3.7781416270702808</v>
      </c>
      <c r="AR1658" s="123">
        <v>3.7785166998284452</v>
      </c>
      <c r="AS1658" s="123">
        <v>3.7788819542654442</v>
      </c>
      <c r="AT1658" s="123">
        <v>3.7792376128801166</v>
      </c>
      <c r="AU1658" s="123">
        <v>3.7795838950494356</v>
      </c>
      <c r="AV1658" s="123">
        <v>3.7799210169576218</v>
      </c>
      <c r="AW1658" s="123">
        <v>3.7802491915339878</v>
      </c>
      <c r="AX1658" s="124">
        <v>3.7805686283990854</v>
      </c>
    </row>
    <row r="1659" spans="1:50" x14ac:dyDescent="0.25">
      <c r="A1659" s="356"/>
      <c r="B1659" s="366"/>
      <c r="C1659" s="350"/>
      <c r="D1659" s="2" t="s">
        <v>8</v>
      </c>
      <c r="E1659" s="160" t="str">
        <f>A1655&amp;"/"&amp;B1655&amp;"/"&amp;C1658&amp;"/"&amp;D1659</f>
        <v>Refinery gas fired power plants/Steam turbine/CHP/M</v>
      </c>
      <c r="F1659" s="76" t="str">
        <f>A1655</f>
        <v>Refinery gas fired power plants</v>
      </c>
      <c r="G1659" s="76" t="str">
        <f>B1655</f>
        <v>Steam turbine</v>
      </c>
      <c r="H1659" s="76" t="str">
        <f>C1658</f>
        <v>CHP</v>
      </c>
      <c r="I1659" s="161" t="str">
        <f t="shared" si="105"/>
        <v>M</v>
      </c>
      <c r="J1659" s="119">
        <v>3.9145415372793457</v>
      </c>
      <c r="K1659" s="119">
        <v>3.9152372962282902</v>
      </c>
      <c r="L1659" s="119">
        <v>3.9159182799949517</v>
      </c>
      <c r="M1659" s="119">
        <v>3.9165846569429714</v>
      </c>
      <c r="N1659" s="119">
        <v>3.917236601209622</v>
      </c>
      <c r="O1659" s="119">
        <v>3.9178742922300103</v>
      </c>
      <c r="P1659" s="119">
        <v>3.9184979142744254</v>
      </c>
      <c r="Q1659" s="119">
        <v>3.9191076559993778</v>
      </c>
      <c r="R1659" s="119">
        <v>3.9197037100127283</v>
      </c>
      <c r="S1659" s="119">
        <v>3.9202862724532901</v>
      </c>
      <c r="T1659" s="119">
        <v>3.9208555425851563</v>
      </c>
      <c r="U1659" s="119">
        <v>3.9214117224069733</v>
      </c>
      <c r="V1659" s="119">
        <v>3.9219550162762959</v>
      </c>
      <c r="W1659" s="119">
        <v>3.9224856305491005</v>
      </c>
      <c r="X1659" s="119">
        <v>3.9230037732344796</v>
      </c>
      <c r="Y1659" s="119">
        <v>3.9235096536644805</v>
      </c>
      <c r="Z1659" s="119">
        <v>3.9240034821790091</v>
      </c>
      <c r="AA1659" s="119">
        <v>3.9244854698256697</v>
      </c>
      <c r="AB1659" s="119">
        <v>3.9249558280743782</v>
      </c>
      <c r="AC1659" s="119">
        <v>3.925414768546529</v>
      </c>
      <c r="AD1659" s="119">
        <v>3.9258625027584992</v>
      </c>
      <c r="AE1659" s="119">
        <v>3.9262992418792089</v>
      </c>
      <c r="AF1659" s="119">
        <v>3.926725196501434</v>
      </c>
      <c r="AG1659" s="119">
        <v>3.9271405764265808</v>
      </c>
      <c r="AH1659" s="119">
        <v>3.9275455904625671</v>
      </c>
      <c r="AI1659" s="119">
        <v>3.9279404462344578</v>
      </c>
      <c r="AJ1659" s="119">
        <v>3.9283253500074924</v>
      </c>
      <c r="AK1659" s="119">
        <v>3.9287005065221274</v>
      </c>
      <c r="AL1659" s="119">
        <v>3.9290661188406935</v>
      </c>
      <c r="AM1659" s="119">
        <v>3.9294223882052934</v>
      </c>
      <c r="AN1659" s="119">
        <v>3.9297695139065141</v>
      </c>
      <c r="AO1659" s="119">
        <v>3.9301076931625754</v>
      </c>
      <c r="AP1659" s="119">
        <v>3.9304371210085001</v>
      </c>
      <c r="AQ1659" s="119">
        <v>3.9307579901948939</v>
      </c>
      <c r="AR1659" s="119">
        <v>3.9310704910959537</v>
      </c>
      <c r="AS1659" s="119">
        <v>3.9313748116262874</v>
      </c>
      <c r="AT1659" s="119">
        <v>3.9316711371661617</v>
      </c>
      <c r="AU1659" s="119">
        <v>3.9319596504947825</v>
      </c>
      <c r="AV1659" s="119">
        <v>3.9322405317312414</v>
      </c>
      <c r="AW1659" s="119">
        <v>3.9325139582827227</v>
      </c>
      <c r="AX1659" s="120">
        <v>3.9327801047996371</v>
      </c>
    </row>
    <row r="1660" spans="1:50" x14ac:dyDescent="0.25">
      <c r="A1660" s="356"/>
      <c r="B1660" s="366"/>
      <c r="C1660" s="360"/>
      <c r="D1660" s="59" t="s">
        <v>10</v>
      </c>
      <c r="E1660" s="166" t="str">
        <f>A1655&amp;"/"&amp;B1655&amp;"/"&amp;C1658&amp;"/"&amp;D1660</f>
        <v>Refinery gas fired power plants/Steam turbine/CHP/S</v>
      </c>
      <c r="F1660" s="79" t="str">
        <f>A1655</f>
        <v>Refinery gas fired power plants</v>
      </c>
      <c r="G1660" s="79" t="str">
        <f>B1655</f>
        <v>Steam turbine</v>
      </c>
      <c r="H1660" s="79" t="str">
        <f>C1658</f>
        <v>CHP</v>
      </c>
      <c r="I1660" s="167" t="str">
        <f t="shared" si="105"/>
        <v>S</v>
      </c>
      <c r="J1660" s="125">
        <v>4.2532225394463374</v>
      </c>
      <c r="K1660" s="125">
        <v>4.25378950577218</v>
      </c>
      <c r="L1660" s="125">
        <v>4.2543444319642605</v>
      </c>
      <c r="M1660" s="125">
        <v>4.2548874552202589</v>
      </c>
      <c r="N1660" s="125">
        <v>4.2554187174427272</v>
      </c>
      <c r="O1660" s="125">
        <v>4.2559383648513611</v>
      </c>
      <c r="P1660" s="125">
        <v>4.2564465476059965</v>
      </c>
      <c r="Q1660" s="125">
        <v>4.2569434194407521</v>
      </c>
      <c r="R1660" s="125">
        <v>4.2574291373096589</v>
      </c>
      <c r="S1660" s="125">
        <v>4.2579038610440803</v>
      </c>
      <c r="T1660" s="125">
        <v>4.2583677530221369</v>
      </c>
      <c r="U1660" s="125">
        <v>4.2588209778503083</v>
      </c>
      <c r="V1660" s="125">
        <v>4.2592637020573214</v>
      </c>
      <c r="W1660" s="125">
        <v>4.2596960938003932</v>
      </c>
      <c r="X1660" s="125">
        <v>4.2601183225838506</v>
      </c>
      <c r="Y1660" s="125">
        <v>4.2605305589900784</v>
      </c>
      <c r="Z1660" s="125">
        <v>4.2609329744227562</v>
      </c>
      <c r="AA1660" s="125">
        <v>4.2613257408622598</v>
      </c>
      <c r="AB1660" s="125">
        <v>4.2617090306330985</v>
      </c>
      <c r="AC1660" s="125">
        <v>4.262083016183225</v>
      </c>
      <c r="AD1660" s="125">
        <v>4.2624478698750119</v>
      </c>
      <c r="AE1660" s="125">
        <v>4.2628037637876899</v>
      </c>
      <c r="AF1660" s="125">
        <v>4.2631508695310014</v>
      </c>
      <c r="AG1660" s="125">
        <v>4.2634893580698074</v>
      </c>
      <c r="AH1660" s="125">
        <v>4.263819399559388</v>
      </c>
      <c r="AI1660" s="125">
        <v>4.2641411631911268</v>
      </c>
      <c r="AJ1660" s="125">
        <v>4.2644548170483034</v>
      </c>
      <c r="AK1660" s="125">
        <v>4.2647605279716636</v>
      </c>
      <c r="AL1660" s="125">
        <v>4.2650584614344753</v>
      </c>
      <c r="AM1660" s="125">
        <v>4.2653487814267139</v>
      </c>
      <c r="AN1660" s="125">
        <v>4.2656316503480918</v>
      </c>
      <c r="AO1660" s="125">
        <v>4.2659072289095707</v>
      </c>
      <c r="AP1660" s="125">
        <v>4.266175676043046</v>
      </c>
      <c r="AQ1660" s="125">
        <v>4.2664371488188726</v>
      </c>
      <c r="AR1660" s="125">
        <v>4.2666918023708895</v>
      </c>
      <c r="AS1660" s="125">
        <v>4.2669397898286494</v>
      </c>
      <c r="AT1660" s="125">
        <v>4.2671812622564937</v>
      </c>
      <c r="AU1660" s="125">
        <v>4.2674163685991919</v>
      </c>
      <c r="AV1660" s="125">
        <v>4.26764525563381</v>
      </c>
      <c r="AW1660" s="125">
        <v>4.2678680679275169</v>
      </c>
      <c r="AX1660" s="126">
        <v>4.2680849478010119</v>
      </c>
    </row>
    <row r="1661" spans="1:50" x14ac:dyDescent="0.25">
      <c r="A1661" s="356"/>
      <c r="B1661" s="366"/>
      <c r="C1661" s="361" t="s">
        <v>15</v>
      </c>
      <c r="D1661" s="58" t="s">
        <v>7</v>
      </c>
      <c r="E1661" s="164" t="str">
        <f>A1655&amp;"/"&amp;B1655&amp;"/"&amp;C1661&amp;"/"&amp;D1661</f>
        <v>Refinery gas fired power plants/Steam turbine/Electricity only with CCS/L</v>
      </c>
      <c r="F1661" s="78" t="str">
        <f>A1655</f>
        <v>Refinery gas fired power plants</v>
      </c>
      <c r="G1661" s="78" t="str">
        <f>B1655</f>
        <v>Steam turbine</v>
      </c>
      <c r="H1661" s="78" t="str">
        <f>C1661</f>
        <v>Electricity only with CCS</v>
      </c>
      <c r="I1661" s="165" t="str">
        <f t="shared" si="105"/>
        <v>L</v>
      </c>
      <c r="J1661" s="123" t="s">
        <v>112</v>
      </c>
      <c r="K1661" s="123" t="s">
        <v>112</v>
      </c>
      <c r="L1661" s="123" t="s">
        <v>112</v>
      </c>
      <c r="M1661" s="123" t="s">
        <v>112</v>
      </c>
      <c r="N1661" s="123" t="s">
        <v>112</v>
      </c>
      <c r="O1661" s="123" t="s">
        <v>112</v>
      </c>
      <c r="P1661" s="123" t="s">
        <v>112</v>
      </c>
      <c r="Q1661" s="123" t="s">
        <v>112</v>
      </c>
      <c r="R1661" s="123" t="s">
        <v>112</v>
      </c>
      <c r="S1661" s="123" t="s">
        <v>112</v>
      </c>
      <c r="T1661" s="123" t="s">
        <v>112</v>
      </c>
      <c r="U1661" s="123" t="s">
        <v>112</v>
      </c>
      <c r="V1661" s="123" t="s">
        <v>112</v>
      </c>
      <c r="W1661" s="123" t="s">
        <v>112</v>
      </c>
      <c r="X1661" s="123" t="s">
        <v>112</v>
      </c>
      <c r="Y1661" s="123" t="s">
        <v>112</v>
      </c>
      <c r="Z1661" s="123" t="s">
        <v>112</v>
      </c>
      <c r="AA1661" s="123" t="s">
        <v>112</v>
      </c>
      <c r="AB1661" s="123" t="s">
        <v>112</v>
      </c>
      <c r="AC1661" s="123" t="s">
        <v>112</v>
      </c>
      <c r="AD1661" s="123" t="s">
        <v>112</v>
      </c>
      <c r="AE1661" s="123">
        <v>4.1321843956315174</v>
      </c>
      <c r="AF1661" s="123">
        <v>4.1321843956315174</v>
      </c>
      <c r="AG1661" s="123">
        <v>4.1321843956315174</v>
      </c>
      <c r="AH1661" s="123">
        <v>4.1321843956315174</v>
      </c>
      <c r="AI1661" s="123">
        <v>4.1321843956315174</v>
      </c>
      <c r="AJ1661" s="123">
        <v>4.1321843956315174</v>
      </c>
      <c r="AK1661" s="123">
        <v>4.1321843956315174</v>
      </c>
      <c r="AL1661" s="123">
        <v>4.1321843956315174</v>
      </c>
      <c r="AM1661" s="123">
        <v>4.1321843956315174</v>
      </c>
      <c r="AN1661" s="123">
        <v>4.1321843956315174</v>
      </c>
      <c r="AO1661" s="123">
        <v>4.1321843956315174</v>
      </c>
      <c r="AP1661" s="123">
        <v>4.1321843956315174</v>
      </c>
      <c r="AQ1661" s="123">
        <v>4.1321843956315174</v>
      </c>
      <c r="AR1661" s="123">
        <v>4.1321843956315174</v>
      </c>
      <c r="AS1661" s="123">
        <v>4.1321843956315174</v>
      </c>
      <c r="AT1661" s="123">
        <v>4.1321843956315174</v>
      </c>
      <c r="AU1661" s="123">
        <v>4.1321843956315174</v>
      </c>
      <c r="AV1661" s="123">
        <v>4.1321843956315174</v>
      </c>
      <c r="AW1661" s="123">
        <v>4.1321843956315174</v>
      </c>
      <c r="AX1661" s="124">
        <v>4.1321843956315174</v>
      </c>
    </row>
    <row r="1662" spans="1:50" x14ac:dyDescent="0.25">
      <c r="A1662" s="356"/>
      <c r="B1662" s="366"/>
      <c r="C1662" s="360"/>
      <c r="D1662" s="59" t="s">
        <v>8</v>
      </c>
      <c r="E1662" s="166" t="str">
        <f>A1655&amp;"/"&amp;B1655&amp;"/"&amp;C1661&amp;"/"&amp;D1662</f>
        <v>Refinery gas fired power plants/Steam turbine/Electricity only with CCS/M</v>
      </c>
      <c r="F1662" s="79" t="str">
        <f>A1655</f>
        <v>Refinery gas fired power plants</v>
      </c>
      <c r="G1662" s="79" t="str">
        <f>B1655</f>
        <v>Steam turbine</v>
      </c>
      <c r="H1662" s="79" t="str">
        <f>C1661</f>
        <v>Electricity only with CCS</v>
      </c>
      <c r="I1662" s="167" t="str">
        <f t="shared" si="105"/>
        <v>M</v>
      </c>
      <c r="J1662" s="125" t="s">
        <v>112</v>
      </c>
      <c r="K1662" s="125" t="s">
        <v>112</v>
      </c>
      <c r="L1662" s="125" t="s">
        <v>112</v>
      </c>
      <c r="M1662" s="125" t="s">
        <v>112</v>
      </c>
      <c r="N1662" s="125" t="s">
        <v>112</v>
      </c>
      <c r="O1662" s="125" t="s">
        <v>112</v>
      </c>
      <c r="P1662" s="125" t="s">
        <v>112</v>
      </c>
      <c r="Q1662" s="125" t="s">
        <v>112</v>
      </c>
      <c r="R1662" s="125" t="s">
        <v>112</v>
      </c>
      <c r="S1662" s="125" t="s">
        <v>112</v>
      </c>
      <c r="T1662" s="125" t="s">
        <v>112</v>
      </c>
      <c r="U1662" s="125" t="s">
        <v>112</v>
      </c>
      <c r="V1662" s="125" t="s">
        <v>112</v>
      </c>
      <c r="W1662" s="125" t="s">
        <v>112</v>
      </c>
      <c r="X1662" s="125" t="s">
        <v>112</v>
      </c>
      <c r="Y1662" s="125" t="s">
        <v>112</v>
      </c>
      <c r="Z1662" s="125" t="s">
        <v>112</v>
      </c>
      <c r="AA1662" s="125" t="s">
        <v>112</v>
      </c>
      <c r="AB1662" s="125" t="s">
        <v>112</v>
      </c>
      <c r="AC1662" s="125" t="s">
        <v>112</v>
      </c>
      <c r="AD1662" s="125" t="s">
        <v>112</v>
      </c>
      <c r="AE1662" s="125">
        <v>5.2984079024495605</v>
      </c>
      <c r="AF1662" s="125">
        <v>5.2984079024495605</v>
      </c>
      <c r="AG1662" s="125">
        <v>5.2984079024495605</v>
      </c>
      <c r="AH1662" s="125">
        <v>5.2984079024495605</v>
      </c>
      <c r="AI1662" s="125">
        <v>5.2984079024495605</v>
      </c>
      <c r="AJ1662" s="125">
        <v>5.2984079024495605</v>
      </c>
      <c r="AK1662" s="125">
        <v>5.2984079024495605</v>
      </c>
      <c r="AL1662" s="125">
        <v>5.2984079024495605</v>
      </c>
      <c r="AM1662" s="125">
        <v>5.2984079024495605</v>
      </c>
      <c r="AN1662" s="125">
        <v>5.2984079024495605</v>
      </c>
      <c r="AO1662" s="125">
        <v>5.2984079024495605</v>
      </c>
      <c r="AP1662" s="125">
        <v>5.2984079024495605</v>
      </c>
      <c r="AQ1662" s="125">
        <v>5.2984079024495605</v>
      </c>
      <c r="AR1662" s="125">
        <v>5.2984079024495605</v>
      </c>
      <c r="AS1662" s="125">
        <v>5.2984079024495605</v>
      </c>
      <c r="AT1662" s="125">
        <v>5.2984079024495605</v>
      </c>
      <c r="AU1662" s="125">
        <v>5.2984079024495605</v>
      </c>
      <c r="AV1662" s="125">
        <v>5.2984079024495605</v>
      </c>
      <c r="AW1662" s="125">
        <v>5.2984079024495605</v>
      </c>
      <c r="AX1662" s="126">
        <v>5.2984079024495605</v>
      </c>
    </row>
    <row r="1663" spans="1:50" x14ac:dyDescent="0.25">
      <c r="A1663" s="356"/>
      <c r="B1663" s="366"/>
      <c r="C1663" s="361" t="s">
        <v>16</v>
      </c>
      <c r="D1663" s="2" t="s">
        <v>7</v>
      </c>
      <c r="E1663" s="160" t="str">
        <f>A1655&amp;"/"&amp;B1655&amp;"/"&amp;C1663&amp;"/"&amp;D1663</f>
        <v>Refinery gas fired power plants/Steam turbine/CHP with CCS/L</v>
      </c>
      <c r="F1663" s="76" t="str">
        <f>A1655</f>
        <v>Refinery gas fired power plants</v>
      </c>
      <c r="G1663" s="76" t="str">
        <f>B1655</f>
        <v>Steam turbine</v>
      </c>
      <c r="H1663" s="76" t="str">
        <f>C1663</f>
        <v>CHP with CCS</v>
      </c>
      <c r="I1663" s="161" t="str">
        <f t="shared" si="105"/>
        <v>L</v>
      </c>
      <c r="J1663" s="119" t="s">
        <v>112</v>
      </c>
      <c r="K1663" s="119" t="s">
        <v>112</v>
      </c>
      <c r="L1663" s="119" t="s">
        <v>112</v>
      </c>
      <c r="M1663" s="119" t="s">
        <v>112</v>
      </c>
      <c r="N1663" s="119" t="s">
        <v>112</v>
      </c>
      <c r="O1663" s="119" t="s">
        <v>112</v>
      </c>
      <c r="P1663" s="119" t="s">
        <v>112</v>
      </c>
      <c r="Q1663" s="119" t="s">
        <v>112</v>
      </c>
      <c r="R1663" s="119" t="s">
        <v>112</v>
      </c>
      <c r="S1663" s="119" t="s">
        <v>112</v>
      </c>
      <c r="T1663" s="119" t="s">
        <v>112</v>
      </c>
      <c r="U1663" s="119" t="s">
        <v>112</v>
      </c>
      <c r="V1663" s="119" t="s">
        <v>112</v>
      </c>
      <c r="W1663" s="119" t="s">
        <v>112</v>
      </c>
      <c r="X1663" s="119" t="s">
        <v>112</v>
      </c>
      <c r="Y1663" s="119" t="s">
        <v>112</v>
      </c>
      <c r="Z1663" s="119" t="s">
        <v>112</v>
      </c>
      <c r="AA1663" s="119" t="s">
        <v>112</v>
      </c>
      <c r="AB1663" s="119" t="s">
        <v>112</v>
      </c>
      <c r="AC1663" s="119" t="s">
        <v>112</v>
      </c>
      <c r="AD1663" s="119" t="s">
        <v>112</v>
      </c>
      <c r="AE1663" s="119">
        <v>5.2692546510036289</v>
      </c>
      <c r="AF1663" s="119">
        <v>5.2692546510036289</v>
      </c>
      <c r="AG1663" s="119">
        <v>5.2692546510036289</v>
      </c>
      <c r="AH1663" s="119">
        <v>5.2692546510036289</v>
      </c>
      <c r="AI1663" s="119">
        <v>5.2692546510036289</v>
      </c>
      <c r="AJ1663" s="119">
        <v>5.2692546510036289</v>
      </c>
      <c r="AK1663" s="119">
        <v>5.2692546510036289</v>
      </c>
      <c r="AL1663" s="119">
        <v>5.2692546510036289</v>
      </c>
      <c r="AM1663" s="119">
        <v>5.2692546510036289</v>
      </c>
      <c r="AN1663" s="119">
        <v>5.2692546510036289</v>
      </c>
      <c r="AO1663" s="119">
        <v>5.2692546510036289</v>
      </c>
      <c r="AP1663" s="119">
        <v>5.2692546510036289</v>
      </c>
      <c r="AQ1663" s="119">
        <v>5.2692546510036289</v>
      </c>
      <c r="AR1663" s="119">
        <v>5.2692546510036289</v>
      </c>
      <c r="AS1663" s="119">
        <v>5.2692546510036289</v>
      </c>
      <c r="AT1663" s="119">
        <v>5.2692546510036289</v>
      </c>
      <c r="AU1663" s="119">
        <v>5.2692546510036289</v>
      </c>
      <c r="AV1663" s="119">
        <v>5.2692546510036289</v>
      </c>
      <c r="AW1663" s="119">
        <v>5.2692546510036289</v>
      </c>
      <c r="AX1663" s="120">
        <v>5.2692546510036289</v>
      </c>
    </row>
    <row r="1664" spans="1:50" x14ac:dyDescent="0.25">
      <c r="A1664" s="357"/>
      <c r="B1664" s="367"/>
      <c r="C1664" s="354"/>
      <c r="D1664" s="4" t="s">
        <v>8</v>
      </c>
      <c r="E1664" s="168" t="str">
        <f>A1655&amp;"/"&amp;B1655&amp;"/"&amp;C1663&amp;"/"&amp;D1664</f>
        <v>Refinery gas fired power plants/Steam turbine/CHP with CCS/M</v>
      </c>
      <c r="F1664" s="80" t="str">
        <f>A1655</f>
        <v>Refinery gas fired power plants</v>
      </c>
      <c r="G1664" s="80" t="str">
        <f>B1655</f>
        <v>Steam turbine</v>
      </c>
      <c r="H1664" s="80" t="str">
        <f>C1663</f>
        <v>CHP with CCS</v>
      </c>
      <c r="I1664" s="169" t="str">
        <f t="shared" si="105"/>
        <v>M</v>
      </c>
      <c r="J1664" s="127" t="s">
        <v>112</v>
      </c>
      <c r="K1664" s="127" t="s">
        <v>112</v>
      </c>
      <c r="L1664" s="127" t="s">
        <v>112</v>
      </c>
      <c r="M1664" s="127" t="s">
        <v>112</v>
      </c>
      <c r="N1664" s="127" t="s">
        <v>112</v>
      </c>
      <c r="O1664" s="127" t="s">
        <v>112</v>
      </c>
      <c r="P1664" s="127" t="s">
        <v>112</v>
      </c>
      <c r="Q1664" s="127" t="s">
        <v>112</v>
      </c>
      <c r="R1664" s="127" t="s">
        <v>112</v>
      </c>
      <c r="S1664" s="127" t="s">
        <v>112</v>
      </c>
      <c r="T1664" s="127" t="s">
        <v>112</v>
      </c>
      <c r="U1664" s="127" t="s">
        <v>112</v>
      </c>
      <c r="V1664" s="127" t="s">
        <v>112</v>
      </c>
      <c r="W1664" s="127" t="s">
        <v>112</v>
      </c>
      <c r="X1664" s="127" t="s">
        <v>112</v>
      </c>
      <c r="Y1664" s="127" t="s">
        <v>112</v>
      </c>
      <c r="Z1664" s="127" t="s">
        <v>112</v>
      </c>
      <c r="AA1664" s="127" t="s">
        <v>112</v>
      </c>
      <c r="AB1664" s="127" t="s">
        <v>112</v>
      </c>
      <c r="AC1664" s="127" t="s">
        <v>112</v>
      </c>
      <c r="AD1664" s="127" t="s">
        <v>112</v>
      </c>
      <c r="AE1664" s="127">
        <v>6.3840592069191988</v>
      </c>
      <c r="AF1664" s="127">
        <v>6.3840592069191988</v>
      </c>
      <c r="AG1664" s="127">
        <v>6.3840592069191988</v>
      </c>
      <c r="AH1664" s="127">
        <v>6.3840592069191988</v>
      </c>
      <c r="AI1664" s="127">
        <v>6.3840592069191988</v>
      </c>
      <c r="AJ1664" s="127">
        <v>6.3840592069191988</v>
      </c>
      <c r="AK1664" s="127">
        <v>6.3840592069191988</v>
      </c>
      <c r="AL1664" s="127">
        <v>6.3840592069191988</v>
      </c>
      <c r="AM1664" s="127">
        <v>6.3840592069191988</v>
      </c>
      <c r="AN1664" s="127">
        <v>6.3840592069191988</v>
      </c>
      <c r="AO1664" s="127">
        <v>6.3840592069191988</v>
      </c>
      <c r="AP1664" s="127">
        <v>6.3840592069191988</v>
      </c>
      <c r="AQ1664" s="127">
        <v>6.3840592069191988</v>
      </c>
      <c r="AR1664" s="127">
        <v>6.3840592069191988</v>
      </c>
      <c r="AS1664" s="127">
        <v>6.3840592069191988</v>
      </c>
      <c r="AT1664" s="127">
        <v>6.3840592069191988</v>
      </c>
      <c r="AU1664" s="127">
        <v>6.3840592069191988</v>
      </c>
      <c r="AV1664" s="127">
        <v>6.3840592069191988</v>
      </c>
      <c r="AW1664" s="127">
        <v>6.3840592069191988</v>
      </c>
      <c r="AX1664" s="128">
        <v>6.3840592069191988</v>
      </c>
    </row>
    <row r="1665" spans="1:50" x14ac:dyDescent="0.25">
      <c r="A1665" s="355" t="s">
        <v>28</v>
      </c>
      <c r="B1665" s="358" t="s">
        <v>23</v>
      </c>
      <c r="C1665" s="353" t="s">
        <v>6</v>
      </c>
      <c r="D1665" s="3" t="s">
        <v>7</v>
      </c>
      <c r="E1665" s="162" t="str">
        <f>A1665&amp;"/"&amp;B1665&amp;"/"&amp;C1665&amp;"/"&amp;D1665</f>
        <v>Diesel oil fired power plants/Gas turbine combined cycle/Electricity only/L</v>
      </c>
      <c r="F1665" s="77" t="str">
        <f>A1665</f>
        <v>Diesel oil fired power plants</v>
      </c>
      <c r="G1665" s="77" t="str">
        <f>B1665</f>
        <v>Gas turbine combined cycle</v>
      </c>
      <c r="H1665" s="77" t="str">
        <f>C1665</f>
        <v>Electricity only</v>
      </c>
      <c r="I1665" s="163" t="str">
        <f t="shared" si="105"/>
        <v>L</v>
      </c>
      <c r="J1665" s="121">
        <v>2.3574882766705745</v>
      </c>
      <c r="K1665" s="121">
        <v>2.3558177575489938</v>
      </c>
      <c r="L1665" s="121">
        <v>2.3538060847134816</v>
      </c>
      <c r="M1665" s="121">
        <v>2.3513908815710942</v>
      </c>
      <c r="N1665" s="121">
        <v>2.3485016979975768</v>
      </c>
      <c r="O1665" s="121">
        <v>2.3450605054336933</v>
      </c>
      <c r="P1665" s="121">
        <v>2.3409830509992564</v>
      </c>
      <c r="Q1665" s="121">
        <v>2.3361813948728267</v>
      </c>
      <c r="R1665" s="121">
        <v>2.3305679697343851</v>
      </c>
      <c r="S1665" s="121">
        <v>2.3240614491494047</v>
      </c>
      <c r="T1665" s="121">
        <v>2.3165945520870657</v>
      </c>
      <c r="U1665" s="121">
        <v>2.3081236042107811</v>
      </c>
      <c r="V1665" s="121">
        <v>2.2986392074079882</v>
      </c>
      <c r="W1665" s="121">
        <v>2.288176776022854</v>
      </c>
      <c r="X1665" s="121">
        <v>2.2768251057263535</v>
      </c>
      <c r="Y1665" s="121">
        <v>2.2647307665738698</v>
      </c>
      <c r="Z1665" s="121">
        <v>2.2520962214798321</v>
      </c>
      <c r="AA1665" s="121">
        <v>2.2391703660190205</v>
      </c>
      <c r="AB1665" s="121">
        <v>2.2262316501437902</v>
      </c>
      <c r="AC1665" s="121">
        <v>2.2135657456438187</v>
      </c>
      <c r="AD1665" s="121">
        <v>2.2014412719107272</v>
      </c>
      <c r="AE1665" s="121">
        <v>2.1900877731610295</v>
      </c>
      <c r="AF1665" s="121">
        <v>2.1796796356700927</v>
      </c>
      <c r="AG1665" s="121">
        <v>2.1703281132523422</v>
      </c>
      <c r="AH1665" s="121">
        <v>2.1620816706979142</v>
      </c>
      <c r="AI1665" s="121">
        <v>2.1549331439977375</v>
      </c>
      <c r="AJ1665" s="121">
        <v>2.1488312265900196</v>
      </c>
      <c r="AK1665" s="121">
        <v>2.1436936308542647</v>
      </c>
      <c r="AL1665" s="121">
        <v>2.1394197446515508</v>
      </c>
      <c r="AM1665" s="121">
        <v>2.1359013729707623</v>
      </c>
      <c r="AN1665" s="121">
        <v>2.1330309278589135</v>
      </c>
      <c r="AO1665" s="121">
        <v>2.13070702776084</v>
      </c>
      <c r="AP1665" s="121">
        <v>2.1288378343758931</v>
      </c>
      <c r="AQ1665" s="121">
        <v>2.1273426172189756</v>
      </c>
      <c r="AR1665" s="121">
        <v>2.1261520543356029</v>
      </c>
      <c r="AS1665" s="121">
        <v>2.1252077148554624</v>
      </c>
      <c r="AT1665" s="121">
        <v>2.1244610736572151</v>
      </c>
      <c r="AU1665" s="121">
        <v>2.1238723108252833</v>
      </c>
      <c r="AV1665" s="121">
        <v>2.1234090643034755</v>
      </c>
      <c r="AW1665" s="121">
        <v>2.1230452385748029</v>
      </c>
      <c r="AX1665" s="122">
        <v>2.1227599249888165</v>
      </c>
    </row>
    <row r="1666" spans="1:50" x14ac:dyDescent="0.25">
      <c r="A1666" s="356"/>
      <c r="B1666" s="359"/>
      <c r="C1666" s="360"/>
      <c r="D1666" s="2" t="s">
        <v>8</v>
      </c>
      <c r="E1666" s="160" t="str">
        <f>A1665&amp;"/"&amp;B1665&amp;"/"&amp;C1665&amp;"/"&amp;D1666</f>
        <v>Diesel oil fired power plants/Gas turbine combined cycle/Electricity only/M</v>
      </c>
      <c r="F1666" s="76" t="str">
        <f>A1665</f>
        <v>Diesel oil fired power plants</v>
      </c>
      <c r="G1666" s="76" t="str">
        <f>B1665</f>
        <v>Gas turbine combined cycle</v>
      </c>
      <c r="H1666" s="76" t="str">
        <f>C1665</f>
        <v>Electricity only</v>
      </c>
      <c r="I1666" s="161" t="str">
        <f t="shared" si="105"/>
        <v>M</v>
      </c>
      <c r="J1666" s="119">
        <v>2.4517878077373978</v>
      </c>
      <c r="K1666" s="119">
        <v>2.4512708227629387</v>
      </c>
      <c r="L1666" s="119">
        <v>2.4506092104987127</v>
      </c>
      <c r="M1666" s="119">
        <v>2.4497633064598037</v>
      </c>
      <c r="N1666" s="119">
        <v>2.4486830752464539</v>
      </c>
      <c r="O1666" s="119">
        <v>2.4473057213760674</v>
      </c>
      <c r="P1666" s="119">
        <v>2.4455529566360767</v>
      </c>
      <c r="Q1666" s="119">
        <v>2.4433280165365305</v>
      </c>
      <c r="R1666" s="119">
        <v>2.4405126402948936</v>
      </c>
      <c r="S1666" s="119">
        <v>2.4369644203988545</v>
      </c>
      <c r="T1666" s="119">
        <v>2.432515208168752</v>
      </c>
      <c r="U1666" s="119">
        <v>2.4269716374704124</v>
      </c>
      <c r="V1666" s="119">
        <v>2.4201192713674033</v>
      </c>
      <c r="W1666" s="119">
        <v>2.411732285459689</v>
      </c>
      <c r="X1666" s="119">
        <v>2.4015907572363755</v>
      </c>
      <c r="Y1666" s="119">
        <v>2.389507162582579</v>
      </c>
      <c r="Z1666" s="119">
        <v>2.3753621121102002</v>
      </c>
      <c r="AA1666" s="119">
        <v>2.3591463224695186</v>
      </c>
      <c r="AB1666" s="119">
        <v>2.3410014946966857</v>
      </c>
      <c r="AC1666" s="119">
        <v>2.3212484443065118</v>
      </c>
      <c r="AD1666" s="119">
        <v>2.3003890341475195</v>
      </c>
      <c r="AE1666" s="119">
        <v>2.2790720558695656</v>
      </c>
      <c r="AF1666" s="119">
        <v>2.2580231565253057</v>
      </c>
      <c r="AG1666" s="119">
        <v>2.2379521761436925</v>
      </c>
      <c r="AH1666" s="119">
        <v>2.2194612692641607</v>
      </c>
      <c r="AI1666" s="119">
        <v>2.2029778366288317</v>
      </c>
      <c r="AJ1666" s="119">
        <v>2.188726764608107</v>
      </c>
      <c r="AK1666" s="119">
        <v>2.1767421204304949</v>
      </c>
      <c r="AL1666" s="119">
        <v>2.1669067734419527</v>
      </c>
      <c r="AM1666" s="119">
        <v>2.1590038793442021</v>
      </c>
      <c r="AN1666" s="119">
        <v>2.152766380525327</v>
      </c>
      <c r="AO1666" s="119">
        <v>2.1479162800825868</v>
      </c>
      <c r="AP1666" s="119">
        <v>2.1441910450451198</v>
      </c>
      <c r="AQ1666" s="119">
        <v>2.1413582725015283</v>
      </c>
      <c r="AR1666" s="119">
        <v>2.1392214691009039</v>
      </c>
      <c r="AS1666" s="119">
        <v>2.1376200302594746</v>
      </c>
      <c r="AT1666" s="119">
        <v>2.1364259835449873</v>
      </c>
      <c r="AU1666" s="119">
        <v>2.1355393148898245</v>
      </c>
      <c r="AV1666" s="119">
        <v>2.1348830135441137</v>
      </c>
      <c r="AW1666" s="119">
        <v>2.134398456723082</v>
      </c>
      <c r="AX1666" s="120">
        <v>2.1340414126312681</v>
      </c>
    </row>
    <row r="1667" spans="1:50" x14ac:dyDescent="0.25">
      <c r="A1667" s="356"/>
      <c r="B1667" s="359"/>
      <c r="C1667" s="361" t="s">
        <v>14</v>
      </c>
      <c r="D1667" s="58" t="s">
        <v>7</v>
      </c>
      <c r="E1667" s="164" t="str">
        <f>A1665&amp;"/"&amp;B1665&amp;"/"&amp;C1667&amp;"/"&amp;D1667</f>
        <v>Diesel oil fired power plants/Gas turbine combined cycle/CHP/L</v>
      </c>
      <c r="F1667" s="78" t="str">
        <f>A1665</f>
        <v>Diesel oil fired power plants</v>
      </c>
      <c r="G1667" s="78" t="str">
        <f>B1665</f>
        <v>Gas turbine combined cycle</v>
      </c>
      <c r="H1667" s="78" t="str">
        <f>C1667</f>
        <v>CHP</v>
      </c>
      <c r="I1667" s="165" t="str">
        <f t="shared" si="105"/>
        <v>L</v>
      </c>
      <c r="J1667" s="123">
        <v>3.2361407885910793</v>
      </c>
      <c r="K1667" s="123">
        <v>3.2343062818846096</v>
      </c>
      <c r="L1667" s="123">
        <v>3.2320971318902796</v>
      </c>
      <c r="M1667" s="123">
        <v>3.2294448387767458</v>
      </c>
      <c r="N1667" s="123">
        <v>3.226272036637956</v>
      </c>
      <c r="O1667" s="123">
        <v>3.2224930371909331</v>
      </c>
      <c r="P1667" s="123">
        <v>3.2180153168172683</v>
      </c>
      <c r="Q1667" s="123">
        <v>3.2127423030263462</v>
      </c>
      <c r="R1667" s="123">
        <v>3.2065778323958094</v>
      </c>
      <c r="S1667" s="123">
        <v>3.1994325950293359</v>
      </c>
      <c r="T1667" s="123">
        <v>3.1912327052104059</v>
      </c>
      <c r="U1667" s="123">
        <v>3.1819302012830697</v>
      </c>
      <c r="V1667" s="123">
        <v>3.1715147625629929</v>
      </c>
      <c r="W1667" s="123">
        <v>3.1600252798662356</v>
      </c>
      <c r="X1667" s="123">
        <v>3.1475592655479714</v>
      </c>
      <c r="Y1667" s="123">
        <v>3.1342776778074186</v>
      </c>
      <c r="Z1667" s="123">
        <v>3.1204028544613274</v>
      </c>
      <c r="AA1667" s="123">
        <v>3.1062081240787895</v>
      </c>
      <c r="AB1667" s="123">
        <v>3.0919992708309736</v>
      </c>
      <c r="AC1667" s="123">
        <v>3.0780900096626778</v>
      </c>
      <c r="AD1667" s="123">
        <v>3.064775329161014</v>
      </c>
      <c r="AE1667" s="123">
        <v>3.052307306898268</v>
      </c>
      <c r="AF1667" s="123">
        <v>3.040877447890781</v>
      </c>
      <c r="AG1667" s="123">
        <v>3.0306079272552866</v>
      </c>
      <c r="AH1667" s="123">
        <v>3.0215519673592404</v>
      </c>
      <c r="AI1667" s="123">
        <v>3.0137017009340115</v>
      </c>
      <c r="AJ1667" s="123">
        <v>3.0070007848761406</v>
      </c>
      <c r="AK1667" s="123">
        <v>3.0013588537478979</v>
      </c>
      <c r="AL1667" s="123">
        <v>2.9966654187549806</v>
      </c>
      <c r="AM1667" s="123">
        <v>2.9928016638533599</v>
      </c>
      <c r="AN1667" s="123">
        <v>2.9896494396493911</v>
      </c>
      <c r="AO1667" s="123">
        <v>2.9870974124022887</v>
      </c>
      <c r="AP1667" s="123">
        <v>2.9850447284455028</v>
      </c>
      <c r="AQ1667" s="123">
        <v>2.9834027323338996</v>
      </c>
      <c r="AR1667" s="123">
        <v>2.9820952970787116</v>
      </c>
      <c r="AS1667" s="123">
        <v>2.9810582559056291</v>
      </c>
      <c r="AT1667" s="123">
        <v>2.9802383201935401</v>
      </c>
      <c r="AU1667" s="123">
        <v>2.9795917610792237</v>
      </c>
      <c r="AV1667" s="123">
        <v>2.9790830396644083</v>
      </c>
      <c r="AW1667" s="123">
        <v>2.9786834987488851</v>
      </c>
      <c r="AX1667" s="124">
        <v>2.9783701771710729</v>
      </c>
    </row>
    <row r="1668" spans="1:50" x14ac:dyDescent="0.25">
      <c r="A1668" s="356"/>
      <c r="B1668" s="359"/>
      <c r="C1668" s="360"/>
      <c r="D1668" s="59" t="s">
        <v>8</v>
      </c>
      <c r="E1668" s="166" t="str">
        <f>A1665&amp;"/"&amp;B1665&amp;"/"&amp;C1667&amp;"/"&amp;D1668</f>
        <v>Diesel oil fired power plants/Gas turbine combined cycle/CHP/M</v>
      </c>
      <c r="F1668" s="79" t="str">
        <f>A1665</f>
        <v>Diesel oil fired power plants</v>
      </c>
      <c r="G1668" s="79" t="str">
        <f>B1665</f>
        <v>Gas turbine combined cycle</v>
      </c>
      <c r="H1668" s="79" t="str">
        <f>C1667</f>
        <v>CHP</v>
      </c>
      <c r="I1668" s="167" t="str">
        <f t="shared" si="105"/>
        <v>M</v>
      </c>
      <c r="J1668" s="125">
        <v>3.5263009152186049</v>
      </c>
      <c r="K1668" s="125">
        <v>3.5257289481067704</v>
      </c>
      <c r="L1668" s="125">
        <v>3.5249969723732022</v>
      </c>
      <c r="M1668" s="125">
        <v>3.5240611051547588</v>
      </c>
      <c r="N1668" s="125">
        <v>3.5228659897109114</v>
      </c>
      <c r="O1668" s="125">
        <v>3.521342152164098</v>
      </c>
      <c r="P1668" s="125">
        <v>3.5194029782314189</v>
      </c>
      <c r="Q1668" s="125">
        <v>3.5169414123724239</v>
      </c>
      <c r="R1668" s="125">
        <v>3.5138266165907064</v>
      </c>
      <c r="S1668" s="125">
        <v>3.5099010381186924</v>
      </c>
      <c r="T1668" s="125">
        <v>3.5049786454092078</v>
      </c>
      <c r="U1668" s="125">
        <v>3.4988455075459708</v>
      </c>
      <c r="V1668" s="125">
        <v>3.491264381898612</v>
      </c>
      <c r="W1668" s="125">
        <v>3.481985427299108</v>
      </c>
      <c r="X1668" s="125">
        <v>3.4707653321434493</v>
      </c>
      <c r="Y1668" s="125">
        <v>3.4573966288422708</v>
      </c>
      <c r="Z1668" s="125">
        <v>3.4417472307646886</v>
      </c>
      <c r="AA1668" s="125">
        <v>3.4238068672626336</v>
      </c>
      <c r="AB1668" s="125">
        <v>3.4037323094927103</v>
      </c>
      <c r="AC1668" s="125">
        <v>3.3818784921870715</v>
      </c>
      <c r="AD1668" s="125">
        <v>3.3588006520705522</v>
      </c>
      <c r="AE1668" s="125">
        <v>3.3352165807705365</v>
      </c>
      <c r="AF1668" s="125">
        <v>3.3119290990060466</v>
      </c>
      <c r="AG1668" s="125">
        <v>3.2897235393714186</v>
      </c>
      <c r="AH1668" s="125">
        <v>3.2692660964560765</v>
      </c>
      <c r="AI1668" s="125">
        <v>3.2510296257203231</v>
      </c>
      <c r="AJ1668" s="125">
        <v>3.2352629305416714</v>
      </c>
      <c r="AK1668" s="125">
        <v>3.2220037012501339</v>
      </c>
      <c r="AL1668" s="125">
        <v>3.2111223501686785</v>
      </c>
      <c r="AM1668" s="125">
        <v>3.202378971278502</v>
      </c>
      <c r="AN1668" s="125">
        <v>3.1954781049849781</v>
      </c>
      <c r="AO1668" s="125">
        <v>3.1901121889924609</v>
      </c>
      <c r="AP1668" s="125">
        <v>3.1859907695498273</v>
      </c>
      <c r="AQ1668" s="125">
        <v>3.1828567273430166</v>
      </c>
      <c r="AR1668" s="125">
        <v>3.1804926716547599</v>
      </c>
      <c r="AS1668" s="125">
        <v>3.1787209173598301</v>
      </c>
      <c r="AT1668" s="125">
        <v>3.1773998819634044</v>
      </c>
      <c r="AU1668" s="125">
        <v>3.1764189147498443</v>
      </c>
      <c r="AV1668" s="125">
        <v>3.1756928147590426</v>
      </c>
      <c r="AW1668" s="125">
        <v>3.1751567245840135</v>
      </c>
      <c r="AX1668" s="126">
        <v>3.174761708310657</v>
      </c>
    </row>
    <row r="1669" spans="1:50" x14ac:dyDescent="0.25">
      <c r="A1669" s="356"/>
      <c r="B1669" s="359"/>
      <c r="C1669" s="361" t="s">
        <v>15</v>
      </c>
      <c r="D1669" s="58" t="s">
        <v>7</v>
      </c>
      <c r="E1669" s="164" t="str">
        <f>A1665&amp;"/"&amp;B1665&amp;"/"&amp;C1669&amp;"/"&amp;D1669</f>
        <v>Diesel oil fired power plants/Gas turbine combined cycle/Electricity only with CCS/L</v>
      </c>
      <c r="F1669" s="78" t="str">
        <f>A1665</f>
        <v>Diesel oil fired power plants</v>
      </c>
      <c r="G1669" s="78" t="str">
        <f>B1665</f>
        <v>Gas turbine combined cycle</v>
      </c>
      <c r="H1669" s="78" t="str">
        <f>C1669</f>
        <v>Electricity only with CCS</v>
      </c>
      <c r="I1669" s="165" t="str">
        <f t="shared" si="105"/>
        <v>L</v>
      </c>
      <c r="J1669" s="123" t="s">
        <v>112</v>
      </c>
      <c r="K1669" s="123" t="s">
        <v>112</v>
      </c>
      <c r="L1669" s="123" t="s">
        <v>112</v>
      </c>
      <c r="M1669" s="123" t="s">
        <v>112</v>
      </c>
      <c r="N1669" s="123" t="s">
        <v>112</v>
      </c>
      <c r="O1669" s="123" t="s">
        <v>112</v>
      </c>
      <c r="P1669" s="123" t="s">
        <v>112</v>
      </c>
      <c r="Q1669" s="123" t="s">
        <v>112</v>
      </c>
      <c r="R1669" s="123" t="s">
        <v>112</v>
      </c>
      <c r="S1669" s="123" t="s">
        <v>112</v>
      </c>
      <c r="T1669" s="123" t="s">
        <v>112</v>
      </c>
      <c r="U1669" s="123" t="s">
        <v>112</v>
      </c>
      <c r="V1669" s="123" t="s">
        <v>112</v>
      </c>
      <c r="W1669" s="123" t="s">
        <v>112</v>
      </c>
      <c r="X1669" s="123" t="s">
        <v>112</v>
      </c>
      <c r="Y1669" s="123" t="s">
        <v>112</v>
      </c>
      <c r="Z1669" s="123" t="s">
        <v>112</v>
      </c>
      <c r="AA1669" s="123" t="s">
        <v>112</v>
      </c>
      <c r="AB1669" s="123" t="s">
        <v>112</v>
      </c>
      <c r="AC1669" s="123" t="s">
        <v>112</v>
      </c>
      <c r="AD1669" s="123" t="s">
        <v>112</v>
      </c>
      <c r="AE1669" s="123">
        <v>4.4134607590509614</v>
      </c>
      <c r="AF1669" s="123">
        <v>4.4115311924015765</v>
      </c>
      <c r="AG1669" s="123">
        <v>4.4090601934335973</v>
      </c>
      <c r="AH1669" s="123">
        <v>4.4058982261526189</v>
      </c>
      <c r="AI1669" s="123">
        <v>4.4018559854278498</v>
      </c>
      <c r="AJ1669" s="123">
        <v>4.3966947994162862</v>
      </c>
      <c r="AK1669" s="123">
        <v>4.3901153471347527</v>
      </c>
      <c r="AL1669" s="123">
        <v>4.3817448234767271</v>
      </c>
      <c r="AM1669" s="123">
        <v>4.3711230504088707</v>
      </c>
      <c r="AN1669" s="123">
        <v>4.3576886492436291</v>
      </c>
      <c r="AO1669" s="123">
        <v>4.340767356488608</v>
      </c>
      <c r="AP1669" s="123">
        <v>4.3195659821872177</v>
      </c>
      <c r="AQ1669" s="123">
        <v>4.2931774108449465</v>
      </c>
      <c r="AR1669" s="123">
        <v>4.2606042894059826</v>
      </c>
      <c r="AS1669" s="123">
        <v>4.2208111200146163</v>
      </c>
      <c r="AT1669" s="123">
        <v>4.1728152333390529</v>
      </c>
      <c r="AU1669" s="123">
        <v>4.1158245909790168</v>
      </c>
      <c r="AV1669" s="123">
        <v>4.0494219420878688</v>
      </c>
      <c r="AW1669" s="123">
        <v>3.9737783881157198</v>
      </c>
      <c r="AX1669" s="124">
        <v>3.8898556565064477</v>
      </c>
    </row>
    <row r="1670" spans="1:50" x14ac:dyDescent="0.25">
      <c r="A1670" s="356"/>
      <c r="B1670" s="359"/>
      <c r="C1670" s="360"/>
      <c r="D1670" s="59" t="s">
        <v>8</v>
      </c>
      <c r="E1670" s="166" t="str">
        <f>A1665&amp;"/"&amp;B1665&amp;"/"&amp;C1669&amp;"/"&amp;D1670</f>
        <v>Diesel oil fired power plants/Gas turbine combined cycle/Electricity only with CCS/M</v>
      </c>
      <c r="F1670" s="79" t="str">
        <f>A1665</f>
        <v>Diesel oil fired power plants</v>
      </c>
      <c r="G1670" s="79" t="str">
        <f>B1665</f>
        <v>Gas turbine combined cycle</v>
      </c>
      <c r="H1670" s="79" t="str">
        <f>C1669</f>
        <v>Electricity only with CCS</v>
      </c>
      <c r="I1670" s="167" t="str">
        <f t="shared" si="105"/>
        <v>M</v>
      </c>
      <c r="J1670" s="125" t="s">
        <v>112</v>
      </c>
      <c r="K1670" s="125" t="s">
        <v>112</v>
      </c>
      <c r="L1670" s="125" t="s">
        <v>112</v>
      </c>
      <c r="M1670" s="125" t="s">
        <v>112</v>
      </c>
      <c r="N1670" s="125" t="s">
        <v>112</v>
      </c>
      <c r="O1670" s="125" t="s">
        <v>112</v>
      </c>
      <c r="P1670" s="125" t="s">
        <v>112</v>
      </c>
      <c r="Q1670" s="125" t="s">
        <v>112</v>
      </c>
      <c r="R1670" s="125" t="s">
        <v>112</v>
      </c>
      <c r="S1670" s="125" t="s">
        <v>112</v>
      </c>
      <c r="T1670" s="125" t="s">
        <v>112</v>
      </c>
      <c r="U1670" s="125" t="s">
        <v>112</v>
      </c>
      <c r="V1670" s="125" t="s">
        <v>112</v>
      </c>
      <c r="W1670" s="125" t="s">
        <v>112</v>
      </c>
      <c r="X1670" s="125" t="s">
        <v>112</v>
      </c>
      <c r="Y1670" s="125" t="s">
        <v>112</v>
      </c>
      <c r="Z1670" s="125" t="s">
        <v>112</v>
      </c>
      <c r="AA1670" s="125" t="s">
        <v>112</v>
      </c>
      <c r="AB1670" s="125" t="s">
        <v>112</v>
      </c>
      <c r="AC1670" s="125" t="s">
        <v>112</v>
      </c>
      <c r="AD1670" s="125" t="s">
        <v>112</v>
      </c>
      <c r="AE1670" s="125">
        <v>4.6114996646320625</v>
      </c>
      <c r="AF1670" s="125">
        <v>4.609651766044812</v>
      </c>
      <c r="AG1670" s="125">
        <v>4.607285351024383</v>
      </c>
      <c r="AH1670" s="125">
        <v>4.6042572126217438</v>
      </c>
      <c r="AI1670" s="125">
        <v>4.600386057962738</v>
      </c>
      <c r="AJ1670" s="125">
        <v>4.5954433168854356</v>
      </c>
      <c r="AK1670" s="125">
        <v>4.5891423370359918</v>
      </c>
      <c r="AL1670" s="125">
        <v>4.5811260921205106</v>
      </c>
      <c r="AM1670" s="125">
        <v>4.5709538809390793</v>
      </c>
      <c r="AN1670" s="125">
        <v>4.5580880849108762</v>
      </c>
      <c r="AO1670" s="125">
        <v>4.5418829784500909</v>
      </c>
      <c r="AP1670" s="125">
        <v>4.5215789430171576</v>
      </c>
      <c r="AQ1670" s="125">
        <v>4.4963072563830133</v>
      </c>
      <c r="AR1670" s="125">
        <v>4.4651127780224984</v>
      </c>
      <c r="AS1670" s="125">
        <v>4.4270038370724754</v>
      </c>
      <c r="AT1670" s="125">
        <v>4.3810393552496283</v>
      </c>
      <c r="AU1670" s="125">
        <v>4.3264608168315855</v>
      </c>
      <c r="AV1670" s="125">
        <v>4.2628686309307851</v>
      </c>
      <c r="AW1670" s="125">
        <v>4.1904266572035107</v>
      </c>
      <c r="AX1670" s="126">
        <v>4.1100559184013861</v>
      </c>
    </row>
    <row r="1671" spans="1:50" x14ac:dyDescent="0.25">
      <c r="A1671" s="356"/>
      <c r="B1671" s="359"/>
      <c r="C1671" s="361" t="s">
        <v>16</v>
      </c>
      <c r="D1671" s="2" t="s">
        <v>7</v>
      </c>
      <c r="E1671" s="160" t="str">
        <f>A1665&amp;"/"&amp;B1665&amp;"/"&amp;C1671&amp;"/"&amp;D1671</f>
        <v>Diesel oil fired power plants/Gas turbine combined cycle/CHP with CCS/L</v>
      </c>
      <c r="F1671" s="76" t="str">
        <f>A1665</f>
        <v>Diesel oil fired power plants</v>
      </c>
      <c r="G1671" s="76" t="str">
        <f>B1665</f>
        <v>Gas turbine combined cycle</v>
      </c>
      <c r="H1671" s="76" t="str">
        <f>C1671</f>
        <v>CHP with CCS</v>
      </c>
      <c r="I1671" s="161" t="str">
        <f t="shared" si="105"/>
        <v>L</v>
      </c>
      <c r="J1671" s="119" t="s">
        <v>112</v>
      </c>
      <c r="K1671" s="119" t="s">
        <v>112</v>
      </c>
      <c r="L1671" s="119" t="s">
        <v>112</v>
      </c>
      <c r="M1671" s="119" t="s">
        <v>112</v>
      </c>
      <c r="N1671" s="119" t="s">
        <v>112</v>
      </c>
      <c r="O1671" s="119" t="s">
        <v>112</v>
      </c>
      <c r="P1671" s="119" t="s">
        <v>112</v>
      </c>
      <c r="Q1671" s="119" t="s">
        <v>112</v>
      </c>
      <c r="R1671" s="119" t="s">
        <v>112</v>
      </c>
      <c r="S1671" s="119" t="s">
        <v>112</v>
      </c>
      <c r="T1671" s="119" t="s">
        <v>112</v>
      </c>
      <c r="U1671" s="119" t="s">
        <v>112</v>
      </c>
      <c r="V1671" s="119" t="s">
        <v>112</v>
      </c>
      <c r="W1671" s="119" t="s">
        <v>112</v>
      </c>
      <c r="X1671" s="119" t="s">
        <v>112</v>
      </c>
      <c r="Y1671" s="119" t="s">
        <v>112</v>
      </c>
      <c r="Z1671" s="119" t="s">
        <v>112</v>
      </c>
      <c r="AA1671" s="119" t="s">
        <v>112</v>
      </c>
      <c r="AB1671" s="119" t="s">
        <v>112</v>
      </c>
      <c r="AC1671" s="119" t="s">
        <v>112</v>
      </c>
      <c r="AD1671" s="119" t="s">
        <v>112</v>
      </c>
      <c r="AE1671" s="119">
        <v>5.1871270860029224</v>
      </c>
      <c r="AF1671" s="119">
        <v>5.1853964622158744</v>
      </c>
      <c r="AG1671" s="119">
        <v>5.183179387803583</v>
      </c>
      <c r="AH1671" s="119">
        <v>5.1803409700287331</v>
      </c>
      <c r="AI1671" s="119">
        <v>5.1767100915820601</v>
      </c>
      <c r="AJ1671" s="119">
        <v>5.1720704393266068</v>
      </c>
      <c r="AK1671" s="119">
        <v>5.1661497989276013</v>
      </c>
      <c r="AL1671" s="119">
        <v>5.1586076070848765</v>
      </c>
      <c r="AM1671" s="119">
        <v>5.1490210187709726</v>
      </c>
      <c r="AN1671" s="119">
        <v>5.1368702149600525</v>
      </c>
      <c r="AO1671" s="119">
        <v>5.1215244414230821</v>
      </c>
      <c r="AP1671" s="119">
        <v>5.102231437368129</v>
      </c>
      <c r="AQ1671" s="119">
        <v>5.0781145667510765</v>
      </c>
      <c r="AR1671" s="119">
        <v>5.0481840842729753</v>
      </c>
      <c r="AS1671" s="119">
        <v>5.0113712786509721</v>
      </c>
      <c r="AT1671" s="119">
        <v>4.9665959824463437</v>
      </c>
      <c r="AU1671" s="119">
        <v>4.912877630201562</v>
      </c>
      <c r="AV1671" s="119">
        <v>4.8494953793811799</v>
      </c>
      <c r="AW1671" s="119">
        <v>4.7761911730643662</v>
      </c>
      <c r="AX1671" s="120">
        <v>4.6933897590901692</v>
      </c>
    </row>
    <row r="1672" spans="1:50" x14ac:dyDescent="0.25">
      <c r="A1672" s="356"/>
      <c r="B1672" s="362"/>
      <c r="C1672" s="354"/>
      <c r="D1672" s="4" t="s">
        <v>8</v>
      </c>
      <c r="E1672" s="168" t="str">
        <f>A1665&amp;"/"&amp;B1665&amp;"/"&amp;C1671&amp;"/"&amp;D1672</f>
        <v>Diesel oil fired power plants/Gas turbine combined cycle/CHP with CCS/M</v>
      </c>
      <c r="F1672" s="80" t="str">
        <f>A1665</f>
        <v>Diesel oil fired power plants</v>
      </c>
      <c r="G1672" s="80" t="str">
        <f>B1665</f>
        <v>Gas turbine combined cycle</v>
      </c>
      <c r="H1672" s="80" t="str">
        <f>C1671</f>
        <v>CHP with CCS</v>
      </c>
      <c r="I1672" s="169" t="str">
        <f t="shared" si="105"/>
        <v>M</v>
      </c>
      <c r="J1672" s="127" t="s">
        <v>112</v>
      </c>
      <c r="K1672" s="127" t="s">
        <v>112</v>
      </c>
      <c r="L1672" s="127" t="s">
        <v>112</v>
      </c>
      <c r="M1672" s="127" t="s">
        <v>112</v>
      </c>
      <c r="N1672" s="127" t="s">
        <v>112</v>
      </c>
      <c r="O1672" s="127" t="s">
        <v>112</v>
      </c>
      <c r="P1672" s="127" t="s">
        <v>112</v>
      </c>
      <c r="Q1672" s="127" t="s">
        <v>112</v>
      </c>
      <c r="R1672" s="127" t="s">
        <v>112</v>
      </c>
      <c r="S1672" s="127" t="s">
        <v>112</v>
      </c>
      <c r="T1672" s="127" t="s">
        <v>112</v>
      </c>
      <c r="U1672" s="127" t="s">
        <v>112</v>
      </c>
      <c r="V1672" s="127" t="s">
        <v>112</v>
      </c>
      <c r="W1672" s="127" t="s">
        <v>112</v>
      </c>
      <c r="X1672" s="127" t="s">
        <v>112</v>
      </c>
      <c r="Y1672" s="127" t="s">
        <v>112</v>
      </c>
      <c r="Z1672" s="127" t="s">
        <v>112</v>
      </c>
      <c r="AA1672" s="127" t="s">
        <v>112</v>
      </c>
      <c r="AB1672" s="127" t="s">
        <v>112</v>
      </c>
      <c r="AC1672" s="127" t="s">
        <v>112</v>
      </c>
      <c r="AD1672" s="127" t="s">
        <v>112</v>
      </c>
      <c r="AE1672" s="127">
        <v>5.5684949870113734</v>
      </c>
      <c r="AF1672" s="127">
        <v>5.5668062011409711</v>
      </c>
      <c r="AG1672" s="127">
        <v>5.5646427246135319</v>
      </c>
      <c r="AH1672" s="127">
        <v>5.5618729257304151</v>
      </c>
      <c r="AI1672" s="127">
        <v>5.5583298239518673</v>
      </c>
      <c r="AJ1672" s="127">
        <v>5.5538023355218433</v>
      </c>
      <c r="AK1672" s="127">
        <v>5.5480248269007326</v>
      </c>
      <c r="AL1672" s="127">
        <v>5.540664967923191</v>
      </c>
      <c r="AM1672" s="127">
        <v>5.5313101358614576</v>
      </c>
      <c r="AN1672" s="127">
        <v>5.5194530783406517</v>
      </c>
      <c r="AO1672" s="127">
        <v>5.5044782896467881</v>
      </c>
      <c r="AP1672" s="127">
        <v>5.4856516949302225</v>
      </c>
      <c r="AQ1672" s="127">
        <v>5.4621178508670649</v>
      </c>
      <c r="AR1672" s="127">
        <v>5.432910939300494</v>
      </c>
      <c r="AS1672" s="127">
        <v>5.3969880850963925</v>
      </c>
      <c r="AT1672" s="127">
        <v>5.3532952339179189</v>
      </c>
      <c r="AU1672" s="127">
        <v>5.3008755255265445</v>
      </c>
      <c r="AV1672" s="127">
        <v>5.2390255437911817</v>
      </c>
      <c r="AW1672" s="127">
        <v>5.1674934703299762</v>
      </c>
      <c r="AX1672" s="128">
        <v>5.0866937846817137</v>
      </c>
    </row>
    <row r="1673" spans="1:50" x14ac:dyDescent="0.25">
      <c r="A1673" s="356"/>
      <c r="B1673" s="358" t="s">
        <v>24</v>
      </c>
      <c r="C1673" s="353" t="s">
        <v>6</v>
      </c>
      <c r="D1673" s="3" t="s">
        <v>7</v>
      </c>
      <c r="E1673" s="162" t="str">
        <f>A1665&amp;"/"&amp;B1673&amp;"/"&amp;C1673&amp;"/"&amp;D1673</f>
        <v>Diesel oil fired power plants/Gas turbine /Electricity only/L</v>
      </c>
      <c r="F1673" s="77" t="str">
        <f>A1665</f>
        <v>Diesel oil fired power plants</v>
      </c>
      <c r="G1673" s="77" t="str">
        <f>B1673</f>
        <v xml:space="preserve">Gas turbine </v>
      </c>
      <c r="H1673" s="77" t="str">
        <f>C1673</f>
        <v>Electricity only</v>
      </c>
      <c r="I1673" s="163" t="str">
        <f t="shared" si="105"/>
        <v>L</v>
      </c>
      <c r="J1673" s="121">
        <v>2.5838218053927315</v>
      </c>
      <c r="K1673" s="121">
        <v>2.5833854864364296</v>
      </c>
      <c r="L1673" s="121">
        <v>2.5829063557221263</v>
      </c>
      <c r="M1673" s="121">
        <v>2.5823805554456372</v>
      </c>
      <c r="N1673" s="121">
        <v>2.5818039527559806</v>
      </c>
      <c r="O1673" s="121">
        <v>2.5811721358441257</v>
      </c>
      <c r="P1673" s="121">
        <v>2.5804804139274933</v>
      </c>
      <c r="Q1673" s="121">
        <v>2.5797238221250098</v>
      </c>
      <c r="R1673" s="121">
        <v>2.5788971323496144</v>
      </c>
      <c r="S1673" s="121">
        <v>2.5779948714727339</v>
      </c>
      <c r="T1673" s="121">
        <v>2.5770113481293691</v>
      </c>
      <c r="U1673" s="121">
        <v>2.5759406896214898</v>
      </c>
      <c r="V1673" s="121">
        <v>2.5747768904265564</v>
      </c>
      <c r="W1673" s="121">
        <v>2.5735138738091421</v>
      </c>
      <c r="X1673" s="121">
        <v>2.5721455679457113</v>
      </c>
      <c r="Y1673" s="121">
        <v>2.57066599778191</v>
      </c>
      <c r="Z1673" s="121">
        <v>2.5690693935233022</v>
      </c>
      <c r="AA1673" s="121">
        <v>2.5673503161898403</v>
      </c>
      <c r="AB1673" s="121">
        <v>2.5655038000204469</v>
      </c>
      <c r="AC1673" s="121">
        <v>2.5635255106828754</v>
      </c>
      <c r="AD1673" s="121">
        <v>2.5614119172231455</v>
      </c>
      <c r="AE1673" s="121">
        <v>2.5591604744929404</v>
      </c>
      <c r="AF1673" s="121">
        <v>2.5567698114592097</v>
      </c>
      <c r="AG1673" s="121">
        <v>2.5542399193915974</v>
      </c>
      <c r="AH1673" s="121">
        <v>2.5515723325337443</v>
      </c>
      <c r="AI1673" s="121">
        <v>2.5487702926169939</v>
      </c>
      <c r="AJ1673" s="121">
        <v>2.5458388876174212</v>
      </c>
      <c r="AK1673" s="121">
        <v>2.542785154651626</v>
      </c>
      <c r="AL1673" s="121">
        <v>2.5396181370139126</v>
      </c>
      <c r="AM1673" s="121">
        <v>2.5363488862140637</v>
      </c>
      <c r="AN1673" s="121">
        <v>2.5329904015691076</v>
      </c>
      <c r="AO1673" s="121">
        <v>2.5295575024484198</v>
      </c>
      <c r="AP1673" s="121">
        <v>2.5260666315893698</v>
      </c>
      <c r="AQ1673" s="121">
        <v>2.5225355918061698</v>
      </c>
      <c r="AR1673" s="121">
        <v>2.518983222623246</v>
      </c>
      <c r="AS1673" s="121">
        <v>2.5154290275136599</v>
      </c>
      <c r="AT1673" s="121">
        <v>2.511892766110051</v>
      </c>
      <c r="AU1673" s="121">
        <v>2.5083940285884303</v>
      </c>
      <c r="AV1673" s="121">
        <v>2.5049518110783957</v>
      </c>
      <c r="AW1673" s="121">
        <v>2.5015841112179666</v>
      </c>
      <c r="AX1673" s="122">
        <v>2.4983075617897597</v>
      </c>
    </row>
    <row r="1674" spans="1:50" x14ac:dyDescent="0.25">
      <c r="A1674" s="356"/>
      <c r="B1674" s="359"/>
      <c r="C1674" s="350"/>
      <c r="D1674" s="2" t="s">
        <v>8</v>
      </c>
      <c r="E1674" s="160" t="str">
        <f>A1665&amp;"/"&amp;B1673&amp;"/"&amp;C1673&amp;"/"&amp;D1674</f>
        <v>Diesel oil fired power plants/Gas turbine /Electricity only/M</v>
      </c>
      <c r="F1674" s="76" t="str">
        <f>A1665</f>
        <v>Diesel oil fired power plants</v>
      </c>
      <c r="G1674" s="76" t="str">
        <f>B1673</f>
        <v xml:space="preserve">Gas turbine </v>
      </c>
      <c r="H1674" s="76" t="str">
        <f>C1673</f>
        <v>Electricity only</v>
      </c>
      <c r="I1674" s="161" t="str">
        <f t="shared" si="105"/>
        <v>M</v>
      </c>
      <c r="J1674" s="119">
        <v>2.7000937866354038</v>
      </c>
      <c r="K1674" s="119">
        <v>2.699633668341324</v>
      </c>
      <c r="L1674" s="119">
        <v>2.6991282518894941</v>
      </c>
      <c r="M1674" s="119">
        <v>2.6985734239369674</v>
      </c>
      <c r="N1674" s="119">
        <v>2.6979647712475456</v>
      </c>
      <c r="O1674" s="119">
        <v>2.6972975748245056</v>
      </c>
      <c r="P1674" s="119">
        <v>2.6965668079339156</v>
      </c>
      <c r="Q1674" s="119">
        <v>2.6957671390689537</v>
      </c>
      <c r="R1674" s="119">
        <v>2.6948929410572644</v>
      </c>
      <c r="S1674" s="119">
        <v>2.6939383076648578</v>
      </c>
      <c r="T1674" s="119">
        <v>2.6928970791929361</v>
      </c>
      <c r="U1674" s="119">
        <v>2.6917628786869323</v>
      </c>
      <c r="V1674" s="119">
        <v>2.690529160464965</v>
      </c>
      <c r="W1674" s="119">
        <v>2.6891892727072868</v>
      </c>
      <c r="X1674" s="119">
        <v>2.6877365358063487</v>
      </c>
      <c r="Y1674" s="119">
        <v>2.6861643380328535</v>
      </c>
      <c r="Z1674" s="119">
        <v>2.684466249797417</v>
      </c>
      <c r="AA1674" s="119">
        <v>2.6826361573504078</v>
      </c>
      <c r="AB1674" s="119">
        <v>2.680668416135239</v>
      </c>
      <c r="AC1674" s="119">
        <v>2.678558023169531</v>
      </c>
      <c r="AD1674" s="119">
        <v>2.6763008067603509</v>
      </c>
      <c r="AE1674" s="119">
        <v>2.6738936305664613</v>
      </c>
      <c r="AF1674" s="119">
        <v>2.6713346075268198</v>
      </c>
      <c r="AG1674" s="119">
        <v>2.6686233175340526</v>
      </c>
      <c r="AH1674" s="119">
        <v>2.6657610210324885</v>
      </c>
      <c r="AI1674" s="119">
        <v>2.6627508590879376</v>
      </c>
      <c r="AJ1674" s="119">
        <v>2.6595980290724199</v>
      </c>
      <c r="AK1674" s="119">
        <v>2.6563099241214014</v>
      </c>
      <c r="AL1674" s="119">
        <v>2.6528962241580447</v>
      </c>
      <c r="AM1674" s="119">
        <v>2.6493689267339051</v>
      </c>
      <c r="AN1674" s="119">
        <v>2.6457423073665365</v>
      </c>
      <c r="AO1674" s="119">
        <v>2.6420328015490377</v>
      </c>
      <c r="AP1674" s="119">
        <v>2.6382588041502752</v>
      </c>
      <c r="AQ1674" s="119">
        <v>2.634440386376625</v>
      </c>
      <c r="AR1674" s="119">
        <v>2.6305989355503576</v>
      </c>
      <c r="AS1674" s="119">
        <v>2.6267567282750219</v>
      </c>
      <c r="AT1674" s="119">
        <v>2.6229364526125658</v>
      </c>
      <c r="AU1674" s="119">
        <v>2.6191606991633889</v>
      </c>
      <c r="AV1674" s="119">
        <v>2.6154514439277241</v>
      </c>
      <c r="AW1674" s="119">
        <v>2.6118295471525648</v>
      </c>
      <c r="AX1674" s="120">
        <v>2.6083142918238647</v>
      </c>
    </row>
    <row r="1675" spans="1:50" x14ac:dyDescent="0.25">
      <c r="A1675" s="356"/>
      <c r="B1675" s="359"/>
      <c r="C1675" s="350"/>
      <c r="D1675" s="2" t="s">
        <v>10</v>
      </c>
      <c r="E1675" s="160" t="str">
        <f>A1665&amp;"/"&amp;B1673&amp;"/"&amp;C1673&amp;"/"&amp;D1675</f>
        <v>Diesel oil fired power plants/Gas turbine /Electricity only/S</v>
      </c>
      <c r="F1675" s="76" t="str">
        <f>A1665</f>
        <v>Diesel oil fired power plants</v>
      </c>
      <c r="G1675" s="76" t="str">
        <f>B1673</f>
        <v xml:space="preserve">Gas turbine </v>
      </c>
      <c r="H1675" s="76" t="str">
        <f>C1673</f>
        <v>Electricity only</v>
      </c>
      <c r="I1675" s="161" t="str">
        <f t="shared" si="105"/>
        <v>S</v>
      </c>
      <c r="J1675" s="119">
        <v>3.2401125439624838</v>
      </c>
      <c r="K1675" s="119">
        <v>3.2397742477526759</v>
      </c>
      <c r="L1675" s="119">
        <v>3.2394017673472457</v>
      </c>
      <c r="M1675" s="119">
        <v>3.2389918069251724</v>
      </c>
      <c r="N1675" s="119">
        <v>3.2385407871157286</v>
      </c>
      <c r="O1675" s="119">
        <v>3.2380448280667622</v>
      </c>
      <c r="P1675" s="119">
        <v>3.2374997332313806</v>
      </c>
      <c r="Q1675" s="119">
        <v>3.2369009743879378</v>
      </c>
      <c r="R1675" s="119">
        <v>3.2362436785243758</v>
      </c>
      <c r="S1675" s="119">
        <v>3.2355226173498592</v>
      </c>
      <c r="T1675" s="119">
        <v>3.2347322003439198</v>
      </c>
      <c r="U1675" s="119">
        <v>3.2338664724147019</v>
      </c>
      <c r="V1675" s="119">
        <v>3.2329191174107486</v>
      </c>
      <c r="W1675" s="119">
        <v>3.2318834689103428</v>
      </c>
      <c r="X1675" s="119">
        <v>3.2307525298918773</v>
      </c>
      <c r="Y1675" s="119">
        <v>3.2295190030580172</v>
      </c>
      <c r="Z1675" s="119">
        <v>3.2281753337319641</v>
      </c>
      <c r="AA1675" s="119">
        <v>3.2267137673483535</v>
      </c>
      <c r="AB1675" s="119">
        <v>3.2251264236019734</v>
      </c>
      <c r="AC1675" s="119">
        <v>3.2234053892678478</v>
      </c>
      <c r="AD1675" s="119">
        <v>3.2215428315352845</v>
      </c>
      <c r="AE1675" s="119">
        <v>3.2195311333718575</v>
      </c>
      <c r="AF1675" s="119">
        <v>3.2173630519154743</v>
      </c>
      <c r="AG1675" s="119">
        <v>3.2150319001495946</v>
      </c>
      <c r="AH1675" s="119">
        <v>3.2125317511204514</v>
      </c>
      <c r="AI1675" s="119">
        <v>3.2098576626896818</v>
      </c>
      <c r="AJ1675" s="119">
        <v>3.2070059192836333</v>
      </c>
      <c r="AK1675" s="119">
        <v>3.2039742853310575</v>
      </c>
      <c r="AL1675" s="119">
        <v>3.200762263137424</v>
      </c>
      <c r="AM1675" s="119">
        <v>3.1973713459311091</v>
      </c>
      <c r="AN1675" s="119">
        <v>3.1938052548828915</v>
      </c>
      <c r="AO1675" s="119">
        <v>3.1900701472368578</v>
      </c>
      <c r="AP1675" s="119">
        <v>3.1861747815231776</v>
      </c>
      <c r="AQ1675" s="119">
        <v>3.1821306253930848</v>
      </c>
      <c r="AR1675" s="119">
        <v>3.1779518921553609</v>
      </c>
      <c r="AS1675" s="119">
        <v>3.1736554937889281</v>
      </c>
      <c r="AT1675" s="119">
        <v>3.1692609011614326</v>
      </c>
      <c r="AU1675" s="119">
        <v>3.1647899063818694</v>
      </c>
      <c r="AV1675" s="119">
        <v>3.1602662874896641</v>
      </c>
      <c r="AW1675" s="119">
        <v>3.1557153817058339</v>
      </c>
      <c r="AX1675" s="120">
        <v>3.1511635797688071</v>
      </c>
    </row>
    <row r="1676" spans="1:50" x14ac:dyDescent="0.25">
      <c r="A1676" s="356"/>
      <c r="B1676" s="359"/>
      <c r="C1676" s="360"/>
      <c r="D1676" s="2" t="s">
        <v>20</v>
      </c>
      <c r="E1676" s="160" t="str">
        <f>A1665&amp;"/"&amp;B1673&amp;"/"&amp;C1673&amp;"/"&amp;D1676</f>
        <v>Diesel oil fired power plants/Gas turbine /Electricity only/XS</v>
      </c>
      <c r="F1676" s="76" t="str">
        <f>A1665</f>
        <v>Diesel oil fired power plants</v>
      </c>
      <c r="G1676" s="76" t="str">
        <f>B1673</f>
        <v xml:space="preserve">Gas turbine </v>
      </c>
      <c r="H1676" s="76" t="str">
        <f>C1673</f>
        <v>Electricity only</v>
      </c>
      <c r="I1676" s="161" t="str">
        <f t="shared" si="105"/>
        <v>XS</v>
      </c>
      <c r="J1676" s="119">
        <v>4.6981631887456015</v>
      </c>
      <c r="K1676" s="119">
        <v>4.6978638213157913</v>
      </c>
      <c r="L1676" s="119">
        <v>4.697533722863577</v>
      </c>
      <c r="M1676" s="119">
        <v>4.6971698251402385</v>
      </c>
      <c r="N1676" s="119">
        <v>4.6967687723929989</v>
      </c>
      <c r="O1676" s="119">
        <v>4.6963268985531013</v>
      </c>
      <c r="P1676" s="119">
        <v>4.6958402035453908</v>
      </c>
      <c r="Q1676" s="119">
        <v>4.6953043289226866</v>
      </c>
      <c r="R1676" s="119">
        <v>4.694714533101755</v>
      </c>
      <c r="S1676" s="119">
        <v>4.6940656665662432</v>
      </c>
      <c r="T1676" s="119">
        <v>4.6933521475076097</v>
      </c>
      <c r="U1676" s="119">
        <v>4.6925679384995949</v>
      </c>
      <c r="V1676" s="119">
        <v>4.6917065249469809</v>
      </c>
      <c r="W1676" s="119">
        <v>4.6907608962165677</v>
      </c>
      <c r="X1676" s="119">
        <v>4.6897235305479121</v>
      </c>
      <c r="Y1676" s="119">
        <v>4.6885863850533793</v>
      </c>
      <c r="Z1676" s="119">
        <v>4.6873408923491446</v>
      </c>
      <c r="AA1676" s="119">
        <v>4.6859779656074725</v>
      </c>
      <c r="AB1676" s="119">
        <v>4.6844880140789673</v>
      </c>
      <c r="AC1676" s="119">
        <v>4.6828609713916594</v>
      </c>
      <c r="AD1676" s="119">
        <v>4.6810863391773117</v>
      </c>
      <c r="AE1676" s="119">
        <v>4.6791532487847958</v>
      </c>
      <c r="AF1676" s="119">
        <v>4.677050543990247</v>
      </c>
      <c r="AG1676" s="119">
        <v>4.674766887672245</v>
      </c>
      <c r="AH1676" s="119">
        <v>4.6722908953488522</v>
      </c>
      <c r="AI1676" s="119">
        <v>4.6696112982273643</v>
      </c>
      <c r="AJ1676" s="119">
        <v>4.6667171379477779</v>
      </c>
      <c r="AK1676" s="119">
        <v>4.6635979944559525</v>
      </c>
      <c r="AL1676" s="119">
        <v>4.6602442473734369</v>
      </c>
      <c r="AM1676" s="119">
        <v>4.656647369797696</v>
      </c>
      <c r="AN1676" s="119">
        <v>4.6528002516459095</v>
      </c>
      <c r="AO1676" s="119">
        <v>4.6486975474513121</v>
      </c>
      <c r="AP1676" s="119">
        <v>4.6443360409751913</v>
      </c>
      <c r="AQ1676" s="119">
        <v>4.63971501620171</v>
      </c>
      <c r="AR1676" s="119">
        <v>4.6348366213866719</v>
      </c>
      <c r="AS1676" s="119">
        <v>4.629706210049239</v>
      </c>
      <c r="AT1676" s="119">
        <v>4.6243326404026321</v>
      </c>
      <c r="AU1676" s="119">
        <v>4.6187285130400122</v>
      </c>
      <c r="AV1676" s="119">
        <v>4.6129103260729272</v>
      </c>
      <c r="AW1676" s="119">
        <v>4.6068985276950807</v>
      </c>
      <c r="AX1676" s="120">
        <v>4.6007174485831808</v>
      </c>
    </row>
    <row r="1677" spans="1:50" x14ac:dyDescent="0.25">
      <c r="A1677" s="356"/>
      <c r="B1677" s="359"/>
      <c r="C1677" s="361" t="s">
        <v>14</v>
      </c>
      <c r="D1677" s="58" t="s">
        <v>7</v>
      </c>
      <c r="E1677" s="164" t="str">
        <f>A1665&amp;"/"&amp;B1673&amp;"/"&amp;C1677&amp;"/"&amp;D1677</f>
        <v>Diesel oil fired power plants/Gas turbine /CHP/L</v>
      </c>
      <c r="F1677" s="78" t="str">
        <f>A1665</f>
        <v>Diesel oil fired power plants</v>
      </c>
      <c r="G1677" s="78" t="str">
        <f>B1673</f>
        <v xml:space="preserve">Gas turbine </v>
      </c>
      <c r="H1677" s="78" t="str">
        <f>C1677</f>
        <v>CHP</v>
      </c>
      <c r="I1677" s="165" t="str">
        <f t="shared" si="105"/>
        <v>L</v>
      </c>
      <c r="J1677" s="123">
        <v>3.8930488238192544</v>
      </c>
      <c r="K1677" s="123">
        <v>3.8925077703851407</v>
      </c>
      <c r="L1677" s="123">
        <v>3.8919129551348202</v>
      </c>
      <c r="M1677" s="123">
        <v>3.8912593887877365</v>
      </c>
      <c r="N1677" s="123">
        <v>3.890541694297962</v>
      </c>
      <c r="O1677" s="123">
        <v>3.8897540930236252</v>
      </c>
      <c r="P1677" s="123">
        <v>3.8888903943276292</v>
      </c>
      <c r="Q1677" s="123">
        <v>3.8879439897189321</v>
      </c>
      <c r="R1677" s="123">
        <v>3.8869078528293444</v>
      </c>
      <c r="S1677" s="123">
        <v>3.8857745467159148</v>
      </c>
      <c r="T1677" s="123">
        <v>3.8845362401769203</v>
      </c>
      <c r="U1677" s="123">
        <v>3.883184734960607</v>
      </c>
      <c r="V1677" s="123">
        <v>3.8817115059167864</v>
      </c>
      <c r="W1677" s="123">
        <v>3.8801077562747848</v>
      </c>
      <c r="X1677" s="123">
        <v>3.8783644903048224</v>
      </c>
      <c r="Y1677" s="123">
        <v>3.8764726056066539</v>
      </c>
      <c r="Z1677" s="123">
        <v>3.8744230071376027</v>
      </c>
      <c r="AA1677" s="123">
        <v>3.8722067448064754</v>
      </c>
      <c r="AB1677" s="123">
        <v>3.8698151759828812</v>
      </c>
      <c r="AC1677" s="123">
        <v>3.8672401535664673</v>
      </c>
      <c r="AD1677" s="123">
        <v>3.8644742392961176</v>
      </c>
      <c r="AE1677" s="123">
        <v>3.8615109407340107</v>
      </c>
      <c r="AF1677" s="123">
        <v>3.8583449688303335</v>
      </c>
      <c r="AG1677" s="123">
        <v>3.8549725111830244</v>
      </c>
      <c r="AH1677" s="123">
        <v>3.8513915141085349</v>
      </c>
      <c r="AI1677" s="123">
        <v>3.8476019645295816</v>
      </c>
      <c r="AJ1677" s="123">
        <v>3.8436061606044212</v>
      </c>
      <c r="AK1677" s="123">
        <v>3.8394089581535074</v>
      </c>
      <c r="AL1677" s="123">
        <v>3.8350179785049736</v>
      </c>
      <c r="AM1677" s="123">
        <v>3.8304437626232315</v>
      </c>
      <c r="AN1677" s="123">
        <v>3.8256998565455071</v>
      </c>
      <c r="AO1677" s="123">
        <v>3.8208028144342401</v>
      </c>
      <c r="AP1677" s="123">
        <v>3.8157721080910139</v>
      </c>
      <c r="AQ1677" s="123">
        <v>3.8106299355912716</v>
      </c>
      <c r="AR1677" s="123">
        <v>3.8054009266689359</v>
      </c>
      <c r="AS1677" s="123">
        <v>3.8001117483300675</v>
      </c>
      <c r="AT1677" s="123">
        <v>3.7947906204788935</v>
      </c>
      <c r="AU1677" s="123">
        <v>3.7894667575546692</v>
      </c>
      <c r="AV1677" s="123">
        <v>3.784169757700536</v>
      </c>
      <c r="AW1677" s="123">
        <v>3.778928965228928</v>
      </c>
      <c r="AX1677" s="124">
        <v>3.7737728346244599</v>
      </c>
    </row>
    <row r="1678" spans="1:50" x14ac:dyDescent="0.25">
      <c r="A1678" s="356"/>
      <c r="B1678" s="359"/>
      <c r="C1678" s="350"/>
      <c r="D1678" s="2" t="s">
        <v>8</v>
      </c>
      <c r="E1678" s="160" t="str">
        <f>A1665&amp;"/"&amp;B1673&amp;"/"&amp;C1677&amp;"/"&amp;D1678</f>
        <v>Diesel oil fired power plants/Gas turbine /CHP/M</v>
      </c>
      <c r="F1678" s="76" t="str">
        <f>A1665</f>
        <v>Diesel oil fired power plants</v>
      </c>
      <c r="G1678" s="76" t="str">
        <f>B1673</f>
        <v xml:space="preserve">Gas turbine </v>
      </c>
      <c r="H1678" s="76" t="str">
        <f>C1677</f>
        <v>CHP</v>
      </c>
      <c r="I1678" s="161" t="str">
        <f t="shared" si="105"/>
        <v>M</v>
      </c>
      <c r="J1678" s="119">
        <v>4.002384275158251</v>
      </c>
      <c r="K1678" s="119">
        <v>4.0017656343767367</v>
      </c>
      <c r="L1678" s="119">
        <v>4.00108570345167</v>
      </c>
      <c r="M1678" s="119">
        <v>4.0003388340486072</v>
      </c>
      <c r="N1678" s="119">
        <v>3.9995189477544337</v>
      </c>
      <c r="O1678" s="119">
        <v>3.9986195229945651</v>
      </c>
      <c r="P1678" s="119">
        <v>3.9976335863627113</v>
      </c>
      <c r="Q1678" s="119">
        <v>3.9965537096998593</v>
      </c>
      <c r="R1678" s="119">
        <v>3.9953720144747464</v>
      </c>
      <c r="S1678" s="119">
        <v>3.9940801852420722</v>
      </c>
      <c r="T1678" s="119">
        <v>3.9926694941785974</v>
      </c>
      <c r="U1678" s="119">
        <v>3.9911308389083557</v>
      </c>
      <c r="V1678" s="119">
        <v>3.9894547960098614</v>
      </c>
      <c r="W1678" s="119">
        <v>3.9876316927281006</v>
      </c>
      <c r="X1678" s="119">
        <v>3.9856516994648739</v>
      </c>
      <c r="Y1678" s="119">
        <v>3.9835049455590985</v>
      </c>
      <c r="Z1678" s="119">
        <v>3.9811816606554622</v>
      </c>
      <c r="AA1678" s="119">
        <v>3.9786723435523981</v>
      </c>
      <c r="AB1678" s="119">
        <v>3.9759679597744331</v>
      </c>
      <c r="AC1678" s="119">
        <v>3.9730601681870552</v>
      </c>
      <c r="AD1678" s="119">
        <v>3.9699415757296528</v>
      </c>
      <c r="AE1678" s="119">
        <v>3.9666060177635392</v>
      </c>
      <c r="AF1678" s="119">
        <v>3.9630488596210109</v>
      </c>
      <c r="AG1678" s="119">
        <v>3.9592673127340441</v>
      </c>
      <c r="AH1678" s="119">
        <v>3.9552607562970827</v>
      </c>
      <c r="AI1678" s="119">
        <v>3.9510310529073944</v>
      </c>
      <c r="AJ1678" s="119">
        <v>3.9465828442143334</v>
      </c>
      <c r="AK1678" s="119">
        <v>3.9419238105340488</v>
      </c>
      <c r="AL1678" s="119">
        <v>3.9370648769297309</v>
      </c>
      <c r="AM1678" s="119">
        <v>3.932020347720929</v>
      </c>
      <c r="AN1678" s="119">
        <v>3.9268079520578074</v>
      </c>
      <c r="AO1678" s="119">
        <v>3.9214487853107967</v>
      </c>
      <c r="AP1678" s="119">
        <v>3.9159671347124863</v>
      </c>
      <c r="AQ1678" s="119">
        <v>3.9103901829251728</v>
      </c>
      <c r="AR1678" s="119">
        <v>3.9047475897865422</v>
      </c>
      <c r="AS1678" s="119">
        <v>3.89907095999913</v>
      </c>
      <c r="AT1678" s="119">
        <v>3.8933932123837129</v>
      </c>
      <c r="AU1678" s="119">
        <v>3.8877478737857705</v>
      </c>
      <c r="AV1678" s="119">
        <v>3.8821683270288636</v>
      </c>
      <c r="AW1678" s="119">
        <v>3.8766870467230192</v>
      </c>
      <c r="AX1678" s="120">
        <v>3.8713348586954615</v>
      </c>
    </row>
    <row r="1679" spans="1:50" x14ac:dyDescent="0.25">
      <c r="A1679" s="356"/>
      <c r="B1679" s="359"/>
      <c r="C1679" s="350"/>
      <c r="D1679" s="2" t="s">
        <v>10</v>
      </c>
      <c r="E1679" s="160" t="str">
        <f>A1665&amp;"/"&amp;B1673&amp;"/"&amp;C1677&amp;"/"&amp;D1679</f>
        <v>Diesel oil fired power plants/Gas turbine /CHP/S</v>
      </c>
      <c r="F1679" s="76" t="str">
        <f>A1665</f>
        <v>Diesel oil fired power plants</v>
      </c>
      <c r="G1679" s="76" t="str">
        <f>B1673</f>
        <v xml:space="preserve">Gas turbine </v>
      </c>
      <c r="H1679" s="76" t="str">
        <f>C1677</f>
        <v>CHP</v>
      </c>
      <c r="I1679" s="161" t="str">
        <f t="shared" si="105"/>
        <v>S</v>
      </c>
      <c r="J1679" s="119">
        <v>4.3399900481866869</v>
      </c>
      <c r="K1679" s="119">
        <v>4.3396179971315956</v>
      </c>
      <c r="L1679" s="119">
        <v>4.3392080769166546</v>
      </c>
      <c r="M1679" s="119">
        <v>4.3387565767277803</v>
      </c>
      <c r="N1679" s="119">
        <v>4.3382594532941523</v>
      </c>
      <c r="O1679" s="119">
        <v>4.3377123079149547</v>
      </c>
      <c r="P1679" s="119">
        <v>4.3371103634554977</v>
      </c>
      <c r="Q1679" s="119">
        <v>4.3364484417496376</v>
      </c>
      <c r="R1679" s="119">
        <v>4.3357209419610108</v>
      </c>
      <c r="S1679" s="119">
        <v>4.3349218205902531</v>
      </c>
      <c r="T1679" s="119">
        <v>4.3340445739704565</v>
      </c>
      <c r="U1679" s="119">
        <v>4.3330822242690878</v>
      </c>
      <c r="V1679" s="119">
        <v>4.3320273102111591</v>
      </c>
      <c r="W1679" s="119">
        <v>4.3308718839538667</v>
      </c>
      <c r="X1679" s="119">
        <v>4.3296075157735148</v>
      </c>
      <c r="Y1679" s="119">
        <v>4.3282253084652957</v>
      </c>
      <c r="Z1679" s="119">
        <v>4.32671592359595</v>
      </c>
      <c r="AA1679" s="119">
        <v>4.3250696219752971</v>
      </c>
      <c r="AB1679" s="119">
        <v>4.3232763209068619</v>
      </c>
      <c r="AC1679" s="119">
        <v>4.321325670916945</v>
      </c>
      <c r="AD1679" s="119">
        <v>4.319207154715702</v>
      </c>
      <c r="AE1679" s="119">
        <v>4.3169102110775937</v>
      </c>
      <c r="AF1679" s="119">
        <v>4.3144243861003737</v>
      </c>
      <c r="AG1679" s="119">
        <v>4.311739513865894</v>
      </c>
      <c r="AH1679" s="119">
        <v>4.3088459278348683</v>
      </c>
      <c r="AI1679" s="119">
        <v>4.3057347033160243</v>
      </c>
      <c r="AJ1679" s="119">
        <v>4.3023979300204864</v>
      </c>
      <c r="AK1679" s="119">
        <v>4.2988290120233215</v>
      </c>
      <c r="AL1679" s="119">
        <v>4.2950229904093655</v>
      </c>
      <c r="AM1679" s="119">
        <v>4.2909768815187013</v>
      </c>
      <c r="AN1679" s="119">
        <v>4.2866900211133974</v>
      </c>
      <c r="AO1679" s="119">
        <v>4.2821644021004799</v>
      </c>
      <c r="AP1679" s="119">
        <v>4.2774049908652119</v>
      </c>
      <c r="AQ1679" s="119">
        <v>4.2724200050487795</v>
      </c>
      <c r="AR1679" s="119">
        <v>4.2672211340461903</v>
      </c>
      <c r="AS1679" s="119">
        <v>4.2618236829260434</v>
      </c>
      <c r="AT1679" s="119">
        <v>4.2562466211932106</v>
      </c>
      <c r="AU1679" s="119">
        <v>4.250512520078038</v>
      </c>
      <c r="AV1679" s="119">
        <v>4.2446473659799135</v>
      </c>
      <c r="AW1679" s="119">
        <v>4.2386802432960113</v>
      </c>
      <c r="AX1679" s="120">
        <v>4.2326428869053503</v>
      </c>
    </row>
    <row r="1680" spans="1:50" x14ac:dyDescent="0.25">
      <c r="A1680" s="356"/>
      <c r="B1680" s="359"/>
      <c r="C1680" s="360"/>
      <c r="D1680" s="59" t="s">
        <v>20</v>
      </c>
      <c r="E1680" s="166" t="str">
        <f>A1665&amp;"/"&amp;B1673&amp;"/"&amp;C1677&amp;"/"&amp;D1680</f>
        <v>Diesel oil fired power plants/Gas turbine /CHP/XS</v>
      </c>
      <c r="F1680" s="79" t="str">
        <f>A1665</f>
        <v>Diesel oil fired power plants</v>
      </c>
      <c r="G1680" s="79" t="str">
        <f>B1673</f>
        <v xml:space="preserve">Gas turbine </v>
      </c>
      <c r="H1680" s="79" t="str">
        <f>C1677</f>
        <v>CHP</v>
      </c>
      <c r="I1680" s="167" t="str">
        <f t="shared" si="105"/>
        <v>XS</v>
      </c>
      <c r="J1680" s="125">
        <v>5.3960218984975281</v>
      </c>
      <c r="K1680" s="125">
        <v>5.3957105002112389</v>
      </c>
      <c r="L1680" s="125">
        <v>5.3953670620010179</v>
      </c>
      <c r="M1680" s="125">
        <v>5.394988368762089</v>
      </c>
      <c r="N1680" s="125">
        <v>5.394570900559601</v>
      </c>
      <c r="O1680" s="125">
        <v>5.3941108076303124</v>
      </c>
      <c r="P1680" s="125">
        <v>5.393603884212447</v>
      </c>
      <c r="Q1680" s="125">
        <v>5.3930455413677461</v>
      </c>
      <c r="R1680" s="125">
        <v>5.3924307790289037</v>
      </c>
      <c r="S1680" s="125">
        <v>5.3917541575899453</v>
      </c>
      <c r="T1680" s="125">
        <v>5.3910097694587149</v>
      </c>
      <c r="U1680" s="125">
        <v>5.3901912111118389</v>
      </c>
      <c r="V1680" s="125">
        <v>5.3892915563353609</v>
      </c>
      <c r="W1680" s="125">
        <v>5.3883033315008975</v>
      </c>
      <c r="X1680" s="125">
        <v>5.3872184939188283</v>
      </c>
      <c r="Y1680" s="125">
        <v>5.386028414527722</v>
      </c>
      <c r="Z1680" s="125">
        <v>5.3847238664222434</v>
      </c>
      <c r="AA1680" s="125">
        <v>5.3832950209882062</v>
      </c>
      <c r="AB1680" s="125">
        <v>5.3817314536986176</v>
      </c>
      <c r="AC1680" s="125">
        <v>5.3800221619209934</v>
      </c>
      <c r="AD1680" s="125">
        <v>5.3781555973824462</v>
      </c>
      <c r="AE1680" s="125">
        <v>5.3761197162183558</v>
      </c>
      <c r="AF1680" s="125">
        <v>5.3739020497707459</v>
      </c>
      <c r="AG1680" s="125">
        <v>5.3714897994744559</v>
      </c>
      <c r="AH1680" s="125">
        <v>5.3688699592362994</v>
      </c>
      <c r="AI1680" s="125">
        <v>5.3660294686304848</v>
      </c>
      <c r="AJ1680" s="125">
        <v>5.362955399951419</v>
      </c>
      <c r="AK1680" s="125">
        <v>5.3596351816259356</v>
      </c>
      <c r="AL1680" s="125">
        <v>5.3560568596323614</v>
      </c>
      <c r="AM1680" s="125">
        <v>5.3522093973473792</v>
      </c>
      <c r="AN1680" s="125">
        <v>5.3480830125974634</v>
      </c>
      <c r="AO1680" s="125">
        <v>5.3436695486031045</v>
      </c>
      <c r="AP1680" s="125">
        <v>5.3389628729752818</v>
      </c>
      <c r="AQ1680" s="125">
        <v>5.333959296003103</v>
      </c>
      <c r="AR1680" s="125">
        <v>5.3286579962638871</v>
      </c>
      <c r="AS1680" s="125">
        <v>5.3230614382646362</v>
      </c>
      <c r="AT1680" s="125">
        <v>5.3171757636321848</v>
      </c>
      <c r="AU1680" s="125">
        <v>5.3110111346239819</v>
      </c>
      <c r="AV1680" s="125">
        <v>5.3045820068044378</v>
      </c>
      <c r="AW1680" s="125">
        <v>5.2979073070217551</v>
      </c>
      <c r="AX1680" s="126">
        <v>5.2910104937097824</v>
      </c>
    </row>
    <row r="1681" spans="1:50" x14ac:dyDescent="0.25">
      <c r="A1681" s="356"/>
      <c r="B1681" s="359"/>
      <c r="C1681" s="361" t="s">
        <v>15</v>
      </c>
      <c r="D1681" s="58" t="s">
        <v>7</v>
      </c>
      <c r="E1681" s="164" t="str">
        <f>A1665&amp;"/"&amp;B1673&amp;"/"&amp;C1681&amp;"/"&amp;D1681</f>
        <v>Diesel oil fired power plants/Gas turbine /Electricity only with CCS/L</v>
      </c>
      <c r="F1681" s="78" t="str">
        <f>A1665</f>
        <v>Diesel oil fired power plants</v>
      </c>
      <c r="G1681" s="78" t="str">
        <f>B1673</f>
        <v xml:space="preserve">Gas turbine </v>
      </c>
      <c r="H1681" s="78" t="str">
        <f>C1681</f>
        <v>Electricity only with CCS</v>
      </c>
      <c r="I1681" s="165" t="str">
        <f t="shared" si="105"/>
        <v>L</v>
      </c>
      <c r="J1681" s="123" t="s">
        <v>112</v>
      </c>
      <c r="K1681" s="123" t="s">
        <v>112</v>
      </c>
      <c r="L1681" s="123" t="s">
        <v>112</v>
      </c>
      <c r="M1681" s="123" t="s">
        <v>112</v>
      </c>
      <c r="N1681" s="123" t="s">
        <v>112</v>
      </c>
      <c r="O1681" s="123" t="s">
        <v>112</v>
      </c>
      <c r="P1681" s="123" t="s">
        <v>112</v>
      </c>
      <c r="Q1681" s="123" t="s">
        <v>112</v>
      </c>
      <c r="R1681" s="123" t="s">
        <v>112</v>
      </c>
      <c r="S1681" s="123" t="s">
        <v>112</v>
      </c>
      <c r="T1681" s="123" t="s">
        <v>112</v>
      </c>
      <c r="U1681" s="123" t="s">
        <v>112</v>
      </c>
      <c r="V1681" s="123" t="s">
        <v>112</v>
      </c>
      <c r="W1681" s="123" t="s">
        <v>112</v>
      </c>
      <c r="X1681" s="123" t="s">
        <v>112</v>
      </c>
      <c r="Y1681" s="123" t="s">
        <v>112</v>
      </c>
      <c r="Z1681" s="123" t="s">
        <v>112</v>
      </c>
      <c r="AA1681" s="123" t="s">
        <v>112</v>
      </c>
      <c r="AB1681" s="123" t="s">
        <v>112</v>
      </c>
      <c r="AC1681" s="123" t="s">
        <v>112</v>
      </c>
      <c r="AD1681" s="123" t="s">
        <v>112</v>
      </c>
      <c r="AE1681" s="123">
        <v>4.9092614302461888</v>
      </c>
      <c r="AF1681" s="123">
        <v>4.9092614302461888</v>
      </c>
      <c r="AG1681" s="123">
        <v>4.9092614302461888</v>
      </c>
      <c r="AH1681" s="123">
        <v>4.9092614302461888</v>
      </c>
      <c r="AI1681" s="123">
        <v>4.9092614302461888</v>
      </c>
      <c r="AJ1681" s="123">
        <v>4.9092614302461888</v>
      </c>
      <c r="AK1681" s="123">
        <v>4.9092614302461888</v>
      </c>
      <c r="AL1681" s="123">
        <v>4.9092614302461888</v>
      </c>
      <c r="AM1681" s="123">
        <v>4.9092614302461888</v>
      </c>
      <c r="AN1681" s="123">
        <v>4.9092614302461888</v>
      </c>
      <c r="AO1681" s="123">
        <v>4.9092614302461888</v>
      </c>
      <c r="AP1681" s="123">
        <v>4.9092614302461888</v>
      </c>
      <c r="AQ1681" s="123">
        <v>4.9092614302461888</v>
      </c>
      <c r="AR1681" s="123">
        <v>4.9092614302461888</v>
      </c>
      <c r="AS1681" s="123">
        <v>4.9092614302461888</v>
      </c>
      <c r="AT1681" s="123">
        <v>4.9092614302461888</v>
      </c>
      <c r="AU1681" s="123">
        <v>4.9092614302461888</v>
      </c>
      <c r="AV1681" s="123">
        <v>4.9092614302461888</v>
      </c>
      <c r="AW1681" s="123">
        <v>4.9092614302461888</v>
      </c>
      <c r="AX1681" s="124">
        <v>4.9092614302461888</v>
      </c>
    </row>
    <row r="1682" spans="1:50" x14ac:dyDescent="0.25">
      <c r="A1682" s="356"/>
      <c r="B1682" s="359"/>
      <c r="C1682" s="360"/>
      <c r="D1682" s="59" t="s">
        <v>8</v>
      </c>
      <c r="E1682" s="166" t="str">
        <f>A1665&amp;"/"&amp;B1673&amp;"/"&amp;C1681&amp;"/"&amp;D1682</f>
        <v>Diesel oil fired power plants/Gas turbine /Electricity only with CCS/M</v>
      </c>
      <c r="F1682" s="79" t="str">
        <f>A1665</f>
        <v>Diesel oil fired power plants</v>
      </c>
      <c r="G1682" s="79" t="str">
        <f>B1673</f>
        <v xml:space="preserve">Gas turbine </v>
      </c>
      <c r="H1682" s="79" t="str">
        <f>C1681</f>
        <v>Electricity only with CCS</v>
      </c>
      <c r="I1682" s="167" t="str">
        <f t="shared" si="105"/>
        <v>M</v>
      </c>
      <c r="J1682" s="125" t="s">
        <v>112</v>
      </c>
      <c r="K1682" s="125" t="s">
        <v>112</v>
      </c>
      <c r="L1682" s="125" t="s">
        <v>112</v>
      </c>
      <c r="M1682" s="125" t="s">
        <v>112</v>
      </c>
      <c r="N1682" s="125" t="s">
        <v>112</v>
      </c>
      <c r="O1682" s="125" t="s">
        <v>112</v>
      </c>
      <c r="P1682" s="125" t="s">
        <v>112</v>
      </c>
      <c r="Q1682" s="125" t="s">
        <v>112</v>
      </c>
      <c r="R1682" s="125" t="s">
        <v>112</v>
      </c>
      <c r="S1682" s="125" t="s">
        <v>112</v>
      </c>
      <c r="T1682" s="125" t="s">
        <v>112</v>
      </c>
      <c r="U1682" s="125" t="s">
        <v>112</v>
      </c>
      <c r="V1682" s="125" t="s">
        <v>112</v>
      </c>
      <c r="W1682" s="125" t="s">
        <v>112</v>
      </c>
      <c r="X1682" s="125" t="s">
        <v>112</v>
      </c>
      <c r="Y1682" s="125" t="s">
        <v>112</v>
      </c>
      <c r="Z1682" s="125" t="s">
        <v>112</v>
      </c>
      <c r="AA1682" s="125" t="s">
        <v>112</v>
      </c>
      <c r="AB1682" s="125" t="s">
        <v>112</v>
      </c>
      <c r="AC1682" s="125" t="s">
        <v>112</v>
      </c>
      <c r="AD1682" s="125" t="s">
        <v>112</v>
      </c>
      <c r="AE1682" s="125">
        <v>5.9029636576787814</v>
      </c>
      <c r="AF1682" s="125">
        <v>5.9029636576787814</v>
      </c>
      <c r="AG1682" s="125">
        <v>5.9029636576787814</v>
      </c>
      <c r="AH1682" s="125">
        <v>5.9029636576787814</v>
      </c>
      <c r="AI1682" s="125">
        <v>5.9029636576787814</v>
      </c>
      <c r="AJ1682" s="125">
        <v>5.9029636576787814</v>
      </c>
      <c r="AK1682" s="125">
        <v>5.9029636576787814</v>
      </c>
      <c r="AL1682" s="125">
        <v>5.9029636576787814</v>
      </c>
      <c r="AM1682" s="125">
        <v>5.9029636576787814</v>
      </c>
      <c r="AN1682" s="125">
        <v>5.9029636576787814</v>
      </c>
      <c r="AO1682" s="125">
        <v>5.9029636576787814</v>
      </c>
      <c r="AP1682" s="125">
        <v>5.9029636576787814</v>
      </c>
      <c r="AQ1682" s="125">
        <v>5.9029636576787814</v>
      </c>
      <c r="AR1682" s="125">
        <v>5.9029636576787814</v>
      </c>
      <c r="AS1682" s="125">
        <v>5.9029636576787814</v>
      </c>
      <c r="AT1682" s="125">
        <v>5.9029636576787814</v>
      </c>
      <c r="AU1682" s="125">
        <v>5.9029636576787814</v>
      </c>
      <c r="AV1682" s="125">
        <v>5.9029636576787814</v>
      </c>
      <c r="AW1682" s="125">
        <v>5.9029636576787814</v>
      </c>
      <c r="AX1682" s="126">
        <v>5.9029636576787814</v>
      </c>
    </row>
    <row r="1683" spans="1:50" x14ac:dyDescent="0.25">
      <c r="A1683" s="356"/>
      <c r="B1683" s="359"/>
      <c r="C1683" s="361" t="s">
        <v>16</v>
      </c>
      <c r="D1683" s="2" t="s">
        <v>7</v>
      </c>
      <c r="E1683" s="160" t="str">
        <f>A1665&amp;"/"&amp;B1673&amp;"/"&amp;C1683&amp;"/"&amp;D1683</f>
        <v>Diesel oil fired power plants/Gas turbine /CHP with CCS/L</v>
      </c>
      <c r="F1683" s="76" t="str">
        <f>A1665</f>
        <v>Diesel oil fired power plants</v>
      </c>
      <c r="G1683" s="76" t="str">
        <f>B1673</f>
        <v xml:space="preserve">Gas turbine </v>
      </c>
      <c r="H1683" s="76" t="str">
        <f>C1683</f>
        <v>CHP with CCS</v>
      </c>
      <c r="I1683" s="161" t="str">
        <f t="shared" si="105"/>
        <v>L</v>
      </c>
      <c r="J1683" s="119" t="s">
        <v>112</v>
      </c>
      <c r="K1683" s="119" t="s">
        <v>112</v>
      </c>
      <c r="L1683" s="119" t="s">
        <v>112</v>
      </c>
      <c r="M1683" s="119" t="s">
        <v>112</v>
      </c>
      <c r="N1683" s="119" t="s">
        <v>112</v>
      </c>
      <c r="O1683" s="119" t="s">
        <v>112</v>
      </c>
      <c r="P1683" s="119" t="s">
        <v>112</v>
      </c>
      <c r="Q1683" s="119" t="s">
        <v>112</v>
      </c>
      <c r="R1683" s="119" t="s">
        <v>112</v>
      </c>
      <c r="S1683" s="119" t="s">
        <v>112</v>
      </c>
      <c r="T1683" s="119" t="s">
        <v>112</v>
      </c>
      <c r="U1683" s="119" t="s">
        <v>112</v>
      </c>
      <c r="V1683" s="119" t="s">
        <v>112</v>
      </c>
      <c r="W1683" s="119" t="s">
        <v>112</v>
      </c>
      <c r="X1683" s="119" t="s">
        <v>112</v>
      </c>
      <c r="Y1683" s="119" t="s">
        <v>112</v>
      </c>
      <c r="Z1683" s="119" t="s">
        <v>112</v>
      </c>
      <c r="AA1683" s="119" t="s">
        <v>112</v>
      </c>
      <c r="AB1683" s="119" t="s">
        <v>112</v>
      </c>
      <c r="AC1683" s="119" t="s">
        <v>112</v>
      </c>
      <c r="AD1683" s="119" t="s">
        <v>112</v>
      </c>
      <c r="AE1683" s="119">
        <v>5.7654336259610597</v>
      </c>
      <c r="AF1683" s="119">
        <v>5.7654336259610597</v>
      </c>
      <c r="AG1683" s="119">
        <v>5.7654336259610597</v>
      </c>
      <c r="AH1683" s="119">
        <v>5.7654336259610597</v>
      </c>
      <c r="AI1683" s="119">
        <v>5.7654336259610597</v>
      </c>
      <c r="AJ1683" s="119">
        <v>5.7654336259610597</v>
      </c>
      <c r="AK1683" s="119">
        <v>5.7654336259610597</v>
      </c>
      <c r="AL1683" s="119">
        <v>5.7654336259610597</v>
      </c>
      <c r="AM1683" s="119">
        <v>5.7654336259610597</v>
      </c>
      <c r="AN1683" s="119">
        <v>5.7654336259610597</v>
      </c>
      <c r="AO1683" s="119">
        <v>5.7654336259610597</v>
      </c>
      <c r="AP1683" s="119">
        <v>5.7654336259610597</v>
      </c>
      <c r="AQ1683" s="119">
        <v>5.7654336259610597</v>
      </c>
      <c r="AR1683" s="119">
        <v>5.7654336259610597</v>
      </c>
      <c r="AS1683" s="119">
        <v>5.7654336259610597</v>
      </c>
      <c r="AT1683" s="119">
        <v>5.7654336259610597</v>
      </c>
      <c r="AU1683" s="119">
        <v>5.7654336259610597</v>
      </c>
      <c r="AV1683" s="119">
        <v>5.7654336259610597</v>
      </c>
      <c r="AW1683" s="119">
        <v>5.7654336259610597</v>
      </c>
      <c r="AX1683" s="120">
        <v>5.7654336259610597</v>
      </c>
    </row>
    <row r="1684" spans="1:50" x14ac:dyDescent="0.25">
      <c r="A1684" s="356"/>
      <c r="B1684" s="362"/>
      <c r="C1684" s="354"/>
      <c r="D1684" s="4" t="s">
        <v>8</v>
      </c>
      <c r="E1684" s="168" t="str">
        <f>A1665&amp;"/"&amp;B1673&amp;"/"&amp;C1683&amp;"/"&amp;D1684</f>
        <v>Diesel oil fired power plants/Gas turbine /CHP with CCS/M</v>
      </c>
      <c r="F1684" s="80" t="str">
        <f>A1665</f>
        <v>Diesel oil fired power plants</v>
      </c>
      <c r="G1684" s="80" t="str">
        <f>B1673</f>
        <v xml:space="preserve">Gas turbine </v>
      </c>
      <c r="H1684" s="80" t="str">
        <f>C1683</f>
        <v>CHP with CCS</v>
      </c>
      <c r="I1684" s="169" t="str">
        <f t="shared" si="105"/>
        <v>M</v>
      </c>
      <c r="J1684" s="127" t="s">
        <v>112</v>
      </c>
      <c r="K1684" s="127" t="s">
        <v>112</v>
      </c>
      <c r="L1684" s="127" t="s">
        <v>112</v>
      </c>
      <c r="M1684" s="127" t="s">
        <v>112</v>
      </c>
      <c r="N1684" s="127" t="s">
        <v>112</v>
      </c>
      <c r="O1684" s="127" t="s">
        <v>112</v>
      </c>
      <c r="P1684" s="127" t="s">
        <v>112</v>
      </c>
      <c r="Q1684" s="127" t="s">
        <v>112</v>
      </c>
      <c r="R1684" s="127" t="s">
        <v>112</v>
      </c>
      <c r="S1684" s="127" t="s">
        <v>112</v>
      </c>
      <c r="T1684" s="127" t="s">
        <v>112</v>
      </c>
      <c r="U1684" s="127" t="s">
        <v>112</v>
      </c>
      <c r="V1684" s="127" t="s">
        <v>112</v>
      </c>
      <c r="W1684" s="127" t="s">
        <v>112</v>
      </c>
      <c r="X1684" s="127" t="s">
        <v>112</v>
      </c>
      <c r="Y1684" s="127" t="s">
        <v>112</v>
      </c>
      <c r="Z1684" s="127" t="s">
        <v>112</v>
      </c>
      <c r="AA1684" s="127" t="s">
        <v>112</v>
      </c>
      <c r="AB1684" s="127" t="s">
        <v>112</v>
      </c>
      <c r="AC1684" s="127" t="s">
        <v>112</v>
      </c>
      <c r="AD1684" s="127" t="s">
        <v>112</v>
      </c>
      <c r="AE1684" s="127">
        <v>6.7185822406374296</v>
      </c>
      <c r="AF1684" s="127">
        <v>6.7185822406374296</v>
      </c>
      <c r="AG1684" s="127">
        <v>6.7185822406374296</v>
      </c>
      <c r="AH1684" s="127">
        <v>6.7185822406374296</v>
      </c>
      <c r="AI1684" s="127">
        <v>6.7185822406374296</v>
      </c>
      <c r="AJ1684" s="127">
        <v>6.7185822406374296</v>
      </c>
      <c r="AK1684" s="127">
        <v>6.7185822406374296</v>
      </c>
      <c r="AL1684" s="127">
        <v>6.7185822406374296</v>
      </c>
      <c r="AM1684" s="127">
        <v>6.7185822406374296</v>
      </c>
      <c r="AN1684" s="127">
        <v>6.7185822406374296</v>
      </c>
      <c r="AO1684" s="127">
        <v>6.7185822406374296</v>
      </c>
      <c r="AP1684" s="127">
        <v>6.7185822406374296</v>
      </c>
      <c r="AQ1684" s="127">
        <v>6.7185822406374296</v>
      </c>
      <c r="AR1684" s="127">
        <v>6.7185822406374296</v>
      </c>
      <c r="AS1684" s="127">
        <v>6.7185822406374296</v>
      </c>
      <c r="AT1684" s="127">
        <v>6.7185822406374296</v>
      </c>
      <c r="AU1684" s="127">
        <v>6.7185822406374296</v>
      </c>
      <c r="AV1684" s="127">
        <v>6.7185822406374296</v>
      </c>
      <c r="AW1684" s="127">
        <v>6.7185822406374296</v>
      </c>
      <c r="AX1684" s="128">
        <v>6.7185822406374296</v>
      </c>
    </row>
    <row r="1685" spans="1:50" x14ac:dyDescent="0.25">
      <c r="A1685" s="356"/>
      <c r="B1685" s="358" t="s">
        <v>19</v>
      </c>
      <c r="C1685" s="353" t="s">
        <v>6</v>
      </c>
      <c r="D1685" s="3" t="s">
        <v>7</v>
      </c>
      <c r="E1685" s="162" t="str">
        <f>A1665&amp;"/"&amp;B1685&amp;"/"&amp;C1685&amp;"/"&amp;D1685</f>
        <v>Diesel oil fired power plants/Steam turbine/Electricity only/L</v>
      </c>
      <c r="F1685" s="77" t="str">
        <f>A1665</f>
        <v>Diesel oil fired power plants</v>
      </c>
      <c r="G1685" s="77" t="str">
        <f>B1685</f>
        <v>Steam turbine</v>
      </c>
      <c r="H1685" s="77" t="str">
        <f>C1685</f>
        <v>Electricity only</v>
      </c>
      <c r="I1685" s="163" t="str">
        <f t="shared" si="105"/>
        <v>L</v>
      </c>
      <c r="J1685" s="121">
        <v>2.2405442092922812</v>
      </c>
      <c r="K1685" s="121">
        <v>2.2413406645958078</v>
      </c>
      <c r="L1685" s="121">
        <v>2.2421202063227175</v>
      </c>
      <c r="M1685" s="121">
        <v>2.2428830272037183</v>
      </c>
      <c r="N1685" s="121">
        <v>2.2436293265787612</v>
      </c>
      <c r="O1685" s="121">
        <v>2.2443593098523795</v>
      </c>
      <c r="P1685" s="121">
        <v>2.2450731879640795</v>
      </c>
      <c r="Q1685" s="121">
        <v>2.2457711768743995</v>
      </c>
      <c r="R1685" s="121">
        <v>2.2464534970671068</v>
      </c>
      <c r="S1685" s="121">
        <v>2.2471203730679474</v>
      </c>
      <c r="T1685" s="121">
        <v>2.2477720329802655</v>
      </c>
      <c r="U1685" s="121">
        <v>2.2484087080377302</v>
      </c>
      <c r="V1685" s="121">
        <v>2.2490306321743181</v>
      </c>
      <c r="W1685" s="121">
        <v>2.2496380416116577</v>
      </c>
      <c r="X1685" s="121">
        <v>2.2502311744637464</v>
      </c>
      <c r="Y1685" s="121">
        <v>2.2508102703590072</v>
      </c>
      <c r="Z1685" s="121">
        <v>2.2513755700795861</v>
      </c>
      <c r="AA1685" s="121">
        <v>2.2519273152177552</v>
      </c>
      <c r="AB1685" s="121">
        <v>2.2524657478492132</v>
      </c>
      <c r="AC1685" s="121">
        <v>2.2529911102230669</v>
      </c>
      <c r="AD1685" s="121">
        <v>2.2535036444682044</v>
      </c>
      <c r="AE1685" s="121">
        <v>2.2540035923157662</v>
      </c>
      <c r="AF1685" s="121">
        <v>2.2544911948373683</v>
      </c>
      <c r="AG1685" s="121">
        <v>2.2549666921987224</v>
      </c>
      <c r="AH1685" s="121">
        <v>2.2554303234282651</v>
      </c>
      <c r="AI1685" s="121">
        <v>2.2558823262003855</v>
      </c>
      <c r="AJ1685" s="121">
        <v>2.2563229366328441</v>
      </c>
      <c r="AK1685" s="121">
        <v>2.2567523890979349</v>
      </c>
      <c r="AL1685" s="121">
        <v>2.2571709160469577</v>
      </c>
      <c r="AM1685" s="121">
        <v>2.2575787478475395</v>
      </c>
      <c r="AN1685" s="121">
        <v>2.2579761126333562</v>
      </c>
      <c r="AO1685" s="121">
        <v>2.2583632361657835</v>
      </c>
      <c r="AP1685" s="121">
        <v>2.2587403417070253</v>
      </c>
      <c r="AQ1685" s="121">
        <v>2.2591076499042533</v>
      </c>
      <c r="AR1685" s="121">
        <v>2.2594653786842906</v>
      </c>
      <c r="AS1685" s="121">
        <v>2.2598137431584004</v>
      </c>
      <c r="AT1685" s="121">
        <v>2.2601529555367117</v>
      </c>
      <c r="AU1685" s="121">
        <v>2.2604832250518472</v>
      </c>
      <c r="AV1685" s="121">
        <v>2.260804757891314</v>
      </c>
      <c r="AW1685" s="121">
        <v>2.2611177571382259</v>
      </c>
      <c r="AX1685" s="122">
        <v>2.2614224227199382</v>
      </c>
    </row>
    <row r="1686" spans="1:50" x14ac:dyDescent="0.25">
      <c r="A1686" s="356"/>
      <c r="B1686" s="359"/>
      <c r="C1686" s="350"/>
      <c r="D1686" s="2" t="s">
        <v>8</v>
      </c>
      <c r="E1686" s="160" t="str">
        <f>A1665&amp;"/"&amp;B1685&amp;"/"&amp;C1685&amp;"/"&amp;D1686</f>
        <v>Diesel oil fired power plants/Steam turbine/Electricity only/M</v>
      </c>
      <c r="F1686" s="76" t="str">
        <f>A1665</f>
        <v>Diesel oil fired power plants</v>
      </c>
      <c r="G1686" s="76" t="str">
        <f>B1685</f>
        <v>Steam turbine</v>
      </c>
      <c r="H1686" s="76" t="str">
        <f>C1685</f>
        <v>Electricity only</v>
      </c>
      <c r="I1686" s="161" t="str">
        <f t="shared" si="105"/>
        <v>M</v>
      </c>
      <c r="J1686" s="119">
        <v>2.4197877460356638</v>
      </c>
      <c r="K1686" s="119">
        <v>2.4204328748315205</v>
      </c>
      <c r="L1686" s="119">
        <v>2.4210643036303172</v>
      </c>
      <c r="M1686" s="119">
        <v>2.4216821885439277</v>
      </c>
      <c r="N1686" s="119">
        <v>2.422286691037713</v>
      </c>
      <c r="O1686" s="119">
        <v>2.4228779774893434</v>
      </c>
      <c r="P1686" s="119">
        <v>2.4234562187598203</v>
      </c>
      <c r="Q1686" s="119">
        <v>2.4240215897771797</v>
      </c>
      <c r="R1686" s="119">
        <v>2.4245742691332728</v>
      </c>
      <c r="S1686" s="119">
        <v>2.4251144386939529</v>
      </c>
      <c r="T1686" s="119">
        <v>2.4256422832229316</v>
      </c>
      <c r="U1686" s="119">
        <v>2.4261579900194774</v>
      </c>
      <c r="V1686" s="119">
        <v>2.4266617485701136</v>
      </c>
      <c r="W1686" s="119">
        <v>2.4271537502143592</v>
      </c>
      <c r="X1686" s="119">
        <v>2.4276341878245509</v>
      </c>
      <c r="Y1686" s="119">
        <v>2.4281032554997122</v>
      </c>
      <c r="Z1686" s="119">
        <v>2.4285611482733804</v>
      </c>
      <c r="AA1686" s="119">
        <v>2.4290080618352974</v>
      </c>
      <c r="AB1686" s="119">
        <v>2.4294441922667787</v>
      </c>
      <c r="AC1686" s="119">
        <v>2.4298697357896</v>
      </c>
      <c r="AD1686" s="119">
        <v>2.4302848885281616</v>
      </c>
      <c r="AE1686" s="119">
        <v>2.4306898462846864</v>
      </c>
      <c r="AF1686" s="119">
        <v>2.4310848043271842</v>
      </c>
      <c r="AG1686" s="119">
        <v>2.4314699571898815</v>
      </c>
      <c r="AH1686" s="119">
        <v>2.4318454984858109</v>
      </c>
      <c r="AI1686" s="119">
        <v>2.4322116207312283</v>
      </c>
      <c r="AJ1686" s="119">
        <v>2.4325685151815195</v>
      </c>
      <c r="AK1686" s="119">
        <v>2.4329163716782434</v>
      </c>
      <c r="AL1686" s="119">
        <v>2.4332553785069519</v>
      </c>
      <c r="AM1686" s="119">
        <v>2.4335857222654229</v>
      </c>
      <c r="AN1686" s="119">
        <v>2.4339075877419347</v>
      </c>
      <c r="AO1686" s="119">
        <v>2.4342211578032007</v>
      </c>
      <c r="AP1686" s="119">
        <v>2.4345266132916068</v>
      </c>
      <c r="AQ1686" s="119">
        <v>2.4348241329313614</v>
      </c>
      <c r="AR1686" s="119">
        <v>2.4351138932431917</v>
      </c>
      <c r="AS1686" s="119">
        <v>2.4353960684672207</v>
      </c>
      <c r="AT1686" s="119">
        <v>2.4356708304936525</v>
      </c>
      <c r="AU1686" s="119">
        <v>2.4359383488009123</v>
      </c>
      <c r="AV1686" s="119">
        <v>2.4361987904008804</v>
      </c>
      <c r="AW1686" s="119">
        <v>2.4364523197908792</v>
      </c>
      <c r="AX1686" s="120">
        <v>2.436699098912066</v>
      </c>
    </row>
    <row r="1687" spans="1:50" x14ac:dyDescent="0.25">
      <c r="A1687" s="356"/>
      <c r="B1687" s="359"/>
      <c r="C1687" s="360"/>
      <c r="D1687" s="2" t="s">
        <v>10</v>
      </c>
      <c r="E1687" s="160" t="str">
        <f>A1665&amp;"/"&amp;B1685&amp;"/"&amp;C1685&amp;"/"&amp;D1687</f>
        <v>Diesel oil fired power plants/Steam turbine/Electricity only/S</v>
      </c>
      <c r="F1687" s="76" t="str">
        <f>A1665</f>
        <v>Diesel oil fired power plants</v>
      </c>
      <c r="G1687" s="76" t="str">
        <f>B1685</f>
        <v>Steam turbine</v>
      </c>
      <c r="H1687" s="76" t="str">
        <f>C1685</f>
        <v>Electricity only</v>
      </c>
      <c r="I1687" s="161" t="str">
        <f t="shared" si="105"/>
        <v>S</v>
      </c>
      <c r="J1687" s="119">
        <v>2.6617665206392305</v>
      </c>
      <c r="K1687" s="119">
        <v>2.6623578887020991</v>
      </c>
      <c r="L1687" s="119">
        <v>2.6629366984343292</v>
      </c>
      <c r="M1687" s="119">
        <v>2.6635030929384729</v>
      </c>
      <c r="N1687" s="119">
        <v>2.6640572202244424</v>
      </c>
      <c r="O1687" s="119">
        <v>2.6645992328051036</v>
      </c>
      <c r="P1687" s="119">
        <v>2.6651292873030408</v>
      </c>
      <c r="Q1687" s="119">
        <v>2.6656475440689538</v>
      </c>
      <c r="R1687" s="119">
        <v>2.6661541668120385</v>
      </c>
      <c r="S1687" s="119">
        <v>2.6666493222426624</v>
      </c>
      <c r="T1687" s="119">
        <v>2.6671331797275593</v>
      </c>
      <c r="U1687" s="119">
        <v>2.6676059109577261</v>
      </c>
      <c r="V1687" s="119">
        <v>2.6680676896291429</v>
      </c>
      <c r="W1687" s="119">
        <v>2.6685186911363679</v>
      </c>
      <c r="X1687" s="119">
        <v>2.6689590922790436</v>
      </c>
      <c r="Y1687" s="119">
        <v>2.6693890709812744</v>
      </c>
      <c r="Z1687" s="119">
        <v>2.6698088060238048</v>
      </c>
      <c r="AA1687" s="119">
        <v>2.6702184767888952</v>
      </c>
      <c r="AB1687" s="119">
        <v>2.6706182630177526</v>
      </c>
      <c r="AC1687" s="119">
        <v>2.671008344580339</v>
      </c>
      <c r="AD1687" s="119">
        <v>2.6713889012573535</v>
      </c>
      <c r="AE1687" s="119">
        <v>2.6717601125341681</v>
      </c>
      <c r="AF1687" s="119">
        <v>2.672122157406458</v>
      </c>
      <c r="AG1687" s="119">
        <v>2.6724752141972634</v>
      </c>
      <c r="AH1687" s="119">
        <v>2.6728194603851985</v>
      </c>
      <c r="AI1687" s="119">
        <v>2.6731550724434983</v>
      </c>
      <c r="AJ1687" s="119">
        <v>2.6734822256895985</v>
      </c>
      <c r="AK1687" s="119">
        <v>2.6738010941449284</v>
      </c>
      <c r="AL1687" s="119">
        <v>2.6741118504045778</v>
      </c>
      <c r="AM1687" s="119">
        <v>2.6744146655165104</v>
      </c>
      <c r="AN1687" s="119">
        <v>2.6747097088699787</v>
      </c>
      <c r="AO1687" s="119">
        <v>2.6749971480928059</v>
      </c>
      <c r="AP1687" s="119">
        <v>2.6752771489571785</v>
      </c>
      <c r="AQ1687" s="119">
        <v>2.67554987529362</v>
      </c>
      <c r="AR1687" s="119">
        <v>2.6758154889127979</v>
      </c>
      <c r="AS1687" s="119">
        <v>2.6760741495348244</v>
      </c>
      <c r="AT1687" s="119">
        <v>2.6763260147257202</v>
      </c>
      <c r="AU1687" s="119">
        <v>2.6765712398407087</v>
      </c>
      <c r="AV1687" s="119">
        <v>2.6768099779740124</v>
      </c>
      <c r="AW1687" s="119">
        <v>2.6770423799148451</v>
      </c>
      <c r="AX1687" s="120">
        <v>2.677268594109266</v>
      </c>
    </row>
    <row r="1688" spans="1:50" x14ac:dyDescent="0.25">
      <c r="A1688" s="356"/>
      <c r="B1688" s="359"/>
      <c r="C1688" s="361" t="s">
        <v>14</v>
      </c>
      <c r="D1688" s="58" t="s">
        <v>7</v>
      </c>
      <c r="E1688" s="164" t="str">
        <f>A1665&amp;"/"&amp;B1685&amp;"/"&amp;C1688&amp;"/"&amp;D1688</f>
        <v>Diesel oil fired power plants/Steam turbine/CHP/L</v>
      </c>
      <c r="F1688" s="78" t="str">
        <f>A1665</f>
        <v>Diesel oil fired power plants</v>
      </c>
      <c r="G1688" s="78" t="str">
        <f>B1685</f>
        <v>Steam turbine</v>
      </c>
      <c r="H1688" s="78" t="str">
        <f>C1688</f>
        <v>CHP</v>
      </c>
      <c r="I1688" s="165" t="str">
        <f t="shared" si="105"/>
        <v>L</v>
      </c>
      <c r="J1688" s="123">
        <v>3.8702624629175415</v>
      </c>
      <c r="K1688" s="123">
        <v>3.8709092518997297</v>
      </c>
      <c r="L1688" s="123">
        <v>3.8715457955341623</v>
      </c>
      <c r="M1688" s="123">
        <v>3.8721722109123671</v>
      </c>
      <c r="N1688" s="123">
        <v>3.8727886154246978</v>
      </c>
      <c r="O1688" s="123">
        <v>3.873395126687869</v>
      </c>
      <c r="P1688" s="123">
        <v>3.8739918624749157</v>
      </c>
      <c r="Q1688" s="123">
        <v>3.8745789406475559</v>
      </c>
      <c r="R1688" s="123">
        <v>3.8751564790909327</v>
      </c>
      <c r="S1688" s="123">
        <v>3.8757245956507078</v>
      </c>
      <c r="T1688" s="123">
        <v>3.8762834080724757</v>
      </c>
      <c r="U1688" s="123">
        <v>3.876833033943468</v>
      </c>
      <c r="V1688" s="123">
        <v>3.8773735906365094</v>
      </c>
      <c r="W1688" s="123">
        <v>3.8779051952561954</v>
      </c>
      <c r="X1688" s="123">
        <v>3.8784279645872548</v>
      </c>
      <c r="Y1688" s="123">
        <v>3.878942015045054</v>
      </c>
      <c r="Z1688" s="123">
        <v>3.8794474626282094</v>
      </c>
      <c r="AA1688" s="123">
        <v>3.8799444228732658</v>
      </c>
      <c r="AB1688" s="123">
        <v>3.8804330108113962</v>
      </c>
      <c r="AC1688" s="123">
        <v>3.8809133409270866</v>
      </c>
      <c r="AD1688" s="123">
        <v>3.8813855271187632</v>
      </c>
      <c r="AE1688" s="123">
        <v>3.8818496826613105</v>
      </c>
      <c r="AF1688" s="123">
        <v>3.8823059201704448</v>
      </c>
      <c r="AG1688" s="123">
        <v>3.8827543515689027</v>
      </c>
      <c r="AH1688" s="123">
        <v>3.8831950880543853</v>
      </c>
      <c r="AI1688" s="123">
        <v>3.8836282400692288</v>
      </c>
      <c r="AJ1688" s="123">
        <v>3.8840539172717521</v>
      </c>
      <c r="AK1688" s="123">
        <v>3.8844722285092321</v>
      </c>
      <c r="AL1688" s="123">
        <v>3.884883281792471</v>
      </c>
      <c r="AM1688" s="123">
        <v>3.8852871842719003</v>
      </c>
      <c r="AN1688" s="123">
        <v>3.8856840422151957</v>
      </c>
      <c r="AO1688" s="123">
        <v>3.8860739609863306</v>
      </c>
      <c r="AP1688" s="123">
        <v>3.8864570450260576</v>
      </c>
      <c r="AQ1688" s="123">
        <v>3.8868333978337493</v>
      </c>
      <c r="AR1688" s="123">
        <v>3.8872031219505683</v>
      </c>
      <c r="AS1688" s="123">
        <v>3.887566318943922</v>
      </c>
      <c r="AT1688" s="123">
        <v>3.8879230893931553</v>
      </c>
      <c r="AU1688" s="123">
        <v>3.8882735328764522</v>
      </c>
      <c r="AV1688" s="123">
        <v>3.8886177479588899</v>
      </c>
      <c r="AW1688" s="123">
        <v>3.8889558321816193</v>
      </c>
      <c r="AX1688" s="124">
        <v>3.8892878820521255</v>
      </c>
    </row>
    <row r="1689" spans="1:50" x14ac:dyDescent="0.25">
      <c r="A1689" s="356"/>
      <c r="B1689" s="359"/>
      <c r="C1689" s="350"/>
      <c r="D1689" s="2" t="s">
        <v>8</v>
      </c>
      <c r="E1689" s="160" t="str">
        <f>A1665&amp;"/"&amp;B1685&amp;"/"&amp;C1688&amp;"/"&amp;D1689</f>
        <v>Diesel oil fired power plants/Steam turbine/CHP/M</v>
      </c>
      <c r="F1689" s="76" t="str">
        <f>A1665</f>
        <v>Diesel oil fired power plants</v>
      </c>
      <c r="G1689" s="76" t="str">
        <f>B1685</f>
        <v>Steam turbine</v>
      </c>
      <c r="H1689" s="76" t="str">
        <f>C1688</f>
        <v>CHP</v>
      </c>
      <c r="I1689" s="161" t="str">
        <f t="shared" si="105"/>
        <v>M</v>
      </c>
      <c r="J1689" s="119">
        <v>4.0357999431767633</v>
      </c>
      <c r="K1689" s="119">
        <v>4.0362085944833224</v>
      </c>
      <c r="L1689" s="119">
        <v>4.0366104678565859</v>
      </c>
      <c r="M1689" s="119">
        <v>4.0370056521073598</v>
      </c>
      <c r="N1689" s="119">
        <v>4.0373942357486126</v>
      </c>
      <c r="O1689" s="119">
        <v>4.0377763069601382</v>
      </c>
      <c r="P1689" s="119">
        <v>4.0381519535547881</v>
      </c>
      <c r="Q1689" s="119">
        <v>4.0385212629462011</v>
      </c>
      <c r="R1689" s="119">
        <v>4.0388843221180553</v>
      </c>
      <c r="S1689" s="119">
        <v>4.0392412175947552</v>
      </c>
      <c r="T1689" s="119">
        <v>4.0395920354135662</v>
      </c>
      <c r="U1689" s="119">
        <v>4.0399368610981208</v>
      </c>
      <c r="V1689" s="119">
        <v>4.0402757796333066</v>
      </c>
      <c r="W1689" s="119">
        <v>4.0406088754414684</v>
      </c>
      <c r="X1689" s="119">
        <v>4.040936232359905</v>
      </c>
      <c r="Y1689" s="119">
        <v>4.0412579336196268</v>
      </c>
      <c r="Z1689" s="119">
        <v>4.0415740618253384</v>
      </c>
      <c r="AA1689" s="119">
        <v>4.0418846989366184</v>
      </c>
      <c r="AB1689" s="119">
        <v>4.0421899262502459</v>
      </c>
      <c r="AC1689" s="119">
        <v>4.0424898243836633</v>
      </c>
      <c r="AD1689" s="119">
        <v>4.0427844732595233</v>
      </c>
      <c r="AE1689" s="119">
        <v>4.0430739520913033</v>
      </c>
      <c r="AF1689" s="119">
        <v>4.0433583393699335</v>
      </c>
      <c r="AG1689" s="119">
        <v>4.0436377128514387</v>
      </c>
      <c r="AH1689" s="119">
        <v>4.0439121495455197</v>
      </c>
      <c r="AI1689" s="119">
        <v>4.0441817257050818</v>
      </c>
      <c r="AJ1689" s="119">
        <v>4.0444465168166612</v>
      </c>
      <c r="AK1689" s="119">
        <v>4.0447065975917109</v>
      </c>
      <c r="AL1689" s="119">
        <v>4.0449620419587395</v>
      </c>
      <c r="AM1689" s="119">
        <v>4.0452129230562477</v>
      </c>
      <c r="AN1689" s="119">
        <v>4.045459313226452</v>
      </c>
      <c r="AO1689" s="119">
        <v>4.0457012840097599</v>
      </c>
      <c r="AP1689" s="119">
        <v>4.0459389061399653</v>
      </c>
      <c r="AQ1689" s="119">
        <v>4.04617224954014</v>
      </c>
      <c r="AR1689" s="119">
        <v>4.0464013833192016</v>
      </c>
      <c r="AS1689" s="119">
        <v>4.0466263757691161</v>
      </c>
      <c r="AT1689" s="119">
        <v>4.0468472943627161</v>
      </c>
      <c r="AU1689" s="119">
        <v>4.0470642057521244</v>
      </c>
      <c r="AV1689" s="119">
        <v>4.0472771757677277</v>
      </c>
      <c r="AW1689" s="119">
        <v>4.0474862694177043</v>
      </c>
      <c r="AX1689" s="120">
        <v>4.0476915508880689</v>
      </c>
    </row>
    <row r="1690" spans="1:50" x14ac:dyDescent="0.25">
      <c r="A1690" s="356"/>
      <c r="B1690" s="359"/>
      <c r="C1690" s="360"/>
      <c r="D1690" s="59" t="s">
        <v>10</v>
      </c>
      <c r="E1690" s="166" t="str">
        <f>A1665&amp;"/"&amp;B1685&amp;"/"&amp;C1688&amp;"/"&amp;D1690</f>
        <v>Diesel oil fired power plants/Steam turbine/CHP/S</v>
      </c>
      <c r="F1690" s="79" t="str">
        <f>A1665</f>
        <v>Diesel oil fired power plants</v>
      </c>
      <c r="G1690" s="79" t="str">
        <f>B1685</f>
        <v>Steam turbine</v>
      </c>
      <c r="H1690" s="79" t="str">
        <f>C1688</f>
        <v>CHP</v>
      </c>
      <c r="I1690" s="167" t="str">
        <f t="shared" si="105"/>
        <v>S</v>
      </c>
      <c r="J1690" s="125">
        <v>4.3868702038428422</v>
      </c>
      <c r="K1690" s="125">
        <v>4.3871506791578456</v>
      </c>
      <c r="L1690" s="125">
        <v>4.3874262872073393</v>
      </c>
      <c r="M1690" s="125">
        <v>4.3876970998876672</v>
      </c>
      <c r="N1690" s="125">
        <v>4.3879631885007493</v>
      </c>
      <c r="O1690" s="125">
        <v>4.3882246237401601</v>
      </c>
      <c r="P1690" s="125">
        <v>4.3884814756781383</v>
      </c>
      <c r="Q1690" s="125">
        <v>4.3887338137535155</v>
      </c>
      <c r="R1690" s="125">
        <v>4.3889817067605312</v>
      </c>
      <c r="S1690" s="125">
        <v>4.3892252228384994</v>
      </c>
      <c r="T1690" s="125">
        <v>4.3894644294623113</v>
      </c>
      <c r="U1690" s="125">
        <v>4.3896993934337303</v>
      </c>
      <c r="V1690" s="125">
        <v>4.3899301808734768</v>
      </c>
      <c r="W1690" s="125">
        <v>4.3901568572140413</v>
      </c>
      <c r="X1690" s="125">
        <v>4.3903794871932353</v>
      </c>
      <c r="Y1690" s="125">
        <v>4.3905981348484335</v>
      </c>
      <c r="Z1690" s="125">
        <v>4.3908128635114814</v>
      </c>
      <c r="AA1690" s="125">
        <v>4.3910237358042554</v>
      </c>
      <c r="AB1690" s="125">
        <v>4.3912308136348424</v>
      </c>
      <c r="AC1690" s="125">
        <v>4.3914341581943148</v>
      </c>
      <c r="AD1690" s="125">
        <v>4.3916338299540829</v>
      </c>
      <c r="AE1690" s="125">
        <v>4.3918298886637936</v>
      </c>
      <c r="AF1690" s="125">
        <v>4.3920223933497651</v>
      </c>
      <c r="AG1690" s="125">
        <v>4.3922114023139205</v>
      </c>
      <c r="AH1690" s="125">
        <v>4.3923969731332164</v>
      </c>
      <c r="AI1690" s="125">
        <v>4.3925791626595236</v>
      </c>
      <c r="AJ1690" s="125">
        <v>4.3927580270199682</v>
      </c>
      <c r="AK1690" s="125">
        <v>4.3929336216176811</v>
      </c>
      <c r="AL1690" s="125">
        <v>4.3931060011329643</v>
      </c>
      <c r="AM1690" s="125">
        <v>4.3932752195248401</v>
      </c>
      <c r="AN1690" s="125">
        <v>4.3934413300329682</v>
      </c>
      <c r="AO1690" s="125">
        <v>4.3936043851799136</v>
      </c>
      <c r="AP1690" s="125">
        <v>4.393764436773747</v>
      </c>
      <c r="AQ1690" s="125">
        <v>4.3939215359109669</v>
      </c>
      <c r="AR1690" s="125">
        <v>4.3940757329797133</v>
      </c>
      <c r="AS1690" s="125">
        <v>4.3942270776632766</v>
      </c>
      <c r="AT1690" s="125">
        <v>4.3943756189438661</v>
      </c>
      <c r="AU1690" s="125">
        <v>4.394521405106639</v>
      </c>
      <c r="AV1690" s="125">
        <v>4.3946644837439717</v>
      </c>
      <c r="AW1690" s="125">
        <v>4.3948049017599455</v>
      </c>
      <c r="AX1690" s="126">
        <v>4.394942705375068</v>
      </c>
    </row>
    <row r="1691" spans="1:50" x14ac:dyDescent="0.25">
      <c r="A1691" s="356"/>
      <c r="B1691" s="359"/>
      <c r="C1691" s="361" t="s">
        <v>15</v>
      </c>
      <c r="D1691" s="58" t="s">
        <v>7</v>
      </c>
      <c r="E1691" s="164" t="str">
        <f>A1665&amp;"/"&amp;B1685&amp;"/"&amp;C1691&amp;"/"&amp;D1691</f>
        <v>Diesel oil fired power plants/Steam turbine/Electricity only with CCS/L</v>
      </c>
      <c r="F1691" s="78" t="str">
        <f>A1665</f>
        <v>Diesel oil fired power plants</v>
      </c>
      <c r="G1691" s="78" t="str">
        <f>B1685</f>
        <v>Steam turbine</v>
      </c>
      <c r="H1691" s="78" t="str">
        <f>C1691</f>
        <v>Electricity only with CCS</v>
      </c>
      <c r="I1691" s="165" t="str">
        <f t="shared" si="105"/>
        <v>L</v>
      </c>
      <c r="J1691" s="123" t="s">
        <v>112</v>
      </c>
      <c r="K1691" s="123" t="s">
        <v>112</v>
      </c>
      <c r="L1691" s="123" t="s">
        <v>112</v>
      </c>
      <c r="M1691" s="123" t="s">
        <v>112</v>
      </c>
      <c r="N1691" s="123" t="s">
        <v>112</v>
      </c>
      <c r="O1691" s="123" t="s">
        <v>112</v>
      </c>
      <c r="P1691" s="123" t="s">
        <v>112</v>
      </c>
      <c r="Q1691" s="123" t="s">
        <v>112</v>
      </c>
      <c r="R1691" s="123" t="s">
        <v>112</v>
      </c>
      <c r="S1691" s="123" t="s">
        <v>112</v>
      </c>
      <c r="T1691" s="123" t="s">
        <v>112</v>
      </c>
      <c r="U1691" s="123" t="s">
        <v>112</v>
      </c>
      <c r="V1691" s="123" t="s">
        <v>112</v>
      </c>
      <c r="W1691" s="123" t="s">
        <v>112</v>
      </c>
      <c r="X1691" s="123" t="s">
        <v>112</v>
      </c>
      <c r="Y1691" s="123" t="s">
        <v>112</v>
      </c>
      <c r="Z1691" s="123" t="s">
        <v>112</v>
      </c>
      <c r="AA1691" s="123" t="s">
        <v>112</v>
      </c>
      <c r="AB1691" s="123" t="s">
        <v>112</v>
      </c>
      <c r="AC1691" s="123" t="s">
        <v>112</v>
      </c>
      <c r="AD1691" s="123" t="s">
        <v>112</v>
      </c>
      <c r="AE1691" s="123">
        <v>4.3690612081199482</v>
      </c>
      <c r="AF1691" s="123">
        <v>4.3690612081199482</v>
      </c>
      <c r="AG1691" s="123">
        <v>4.3690612081199482</v>
      </c>
      <c r="AH1691" s="123">
        <v>4.3690612081199482</v>
      </c>
      <c r="AI1691" s="123">
        <v>4.3690612081199482</v>
      </c>
      <c r="AJ1691" s="123">
        <v>4.3690612081199482</v>
      </c>
      <c r="AK1691" s="123">
        <v>4.3690612081199482</v>
      </c>
      <c r="AL1691" s="123">
        <v>4.3690612081199482</v>
      </c>
      <c r="AM1691" s="123">
        <v>4.3690612081199482</v>
      </c>
      <c r="AN1691" s="123">
        <v>4.3690612081199482</v>
      </c>
      <c r="AO1691" s="123">
        <v>4.3690612081199482</v>
      </c>
      <c r="AP1691" s="123">
        <v>4.3690612081199482</v>
      </c>
      <c r="AQ1691" s="123">
        <v>4.3690612081199482</v>
      </c>
      <c r="AR1691" s="123">
        <v>4.3690612081199482</v>
      </c>
      <c r="AS1691" s="123">
        <v>4.3690612081199482</v>
      </c>
      <c r="AT1691" s="123">
        <v>4.3690612081199482</v>
      </c>
      <c r="AU1691" s="123">
        <v>4.3690612081199482</v>
      </c>
      <c r="AV1691" s="123">
        <v>4.3690612081199482</v>
      </c>
      <c r="AW1691" s="123">
        <v>4.3690612081199482</v>
      </c>
      <c r="AX1691" s="124">
        <v>4.3690612081199482</v>
      </c>
    </row>
    <row r="1692" spans="1:50" x14ac:dyDescent="0.25">
      <c r="A1692" s="356"/>
      <c r="B1692" s="359"/>
      <c r="C1692" s="360"/>
      <c r="D1692" s="59" t="s">
        <v>8</v>
      </c>
      <c r="E1692" s="166" t="str">
        <f>A1665&amp;"/"&amp;B1685&amp;"/"&amp;C1691&amp;"/"&amp;D1692</f>
        <v>Diesel oil fired power plants/Steam turbine/Electricity only with CCS/M</v>
      </c>
      <c r="F1692" s="79" t="str">
        <f>A1665</f>
        <v>Diesel oil fired power plants</v>
      </c>
      <c r="G1692" s="79" t="str">
        <f>B1685</f>
        <v>Steam turbine</v>
      </c>
      <c r="H1692" s="79" t="str">
        <f>C1691</f>
        <v>Electricity only with CCS</v>
      </c>
      <c r="I1692" s="167" t="str">
        <f t="shared" si="105"/>
        <v>M</v>
      </c>
      <c r="J1692" s="125" t="s">
        <v>112</v>
      </c>
      <c r="K1692" s="125" t="s">
        <v>112</v>
      </c>
      <c r="L1692" s="125" t="s">
        <v>112</v>
      </c>
      <c r="M1692" s="125" t="s">
        <v>112</v>
      </c>
      <c r="N1692" s="125" t="s">
        <v>112</v>
      </c>
      <c r="O1692" s="125" t="s">
        <v>112</v>
      </c>
      <c r="P1692" s="125" t="s">
        <v>112</v>
      </c>
      <c r="Q1692" s="125" t="s">
        <v>112</v>
      </c>
      <c r="R1692" s="125" t="s">
        <v>112</v>
      </c>
      <c r="S1692" s="125" t="s">
        <v>112</v>
      </c>
      <c r="T1692" s="125" t="s">
        <v>112</v>
      </c>
      <c r="U1692" s="125" t="s">
        <v>112</v>
      </c>
      <c r="V1692" s="125" t="s">
        <v>112</v>
      </c>
      <c r="W1692" s="125" t="s">
        <v>112</v>
      </c>
      <c r="X1692" s="125" t="s">
        <v>112</v>
      </c>
      <c r="Y1692" s="125" t="s">
        <v>112</v>
      </c>
      <c r="Z1692" s="125" t="s">
        <v>112</v>
      </c>
      <c r="AA1692" s="125" t="s">
        <v>112</v>
      </c>
      <c r="AB1692" s="125" t="s">
        <v>112</v>
      </c>
      <c r="AC1692" s="125" t="s">
        <v>112</v>
      </c>
      <c r="AD1692" s="125" t="s">
        <v>112</v>
      </c>
      <c r="AE1692" s="125">
        <v>5.5423910193126433</v>
      </c>
      <c r="AF1692" s="125">
        <v>5.5423910193126433</v>
      </c>
      <c r="AG1692" s="125">
        <v>5.5423910193126433</v>
      </c>
      <c r="AH1692" s="125">
        <v>5.5423910193126433</v>
      </c>
      <c r="AI1692" s="125">
        <v>5.5423910193126433</v>
      </c>
      <c r="AJ1692" s="125">
        <v>5.5423910193126433</v>
      </c>
      <c r="AK1692" s="125">
        <v>5.5423910193126433</v>
      </c>
      <c r="AL1692" s="125">
        <v>5.5423910193126433</v>
      </c>
      <c r="AM1692" s="125">
        <v>5.5423910193126433</v>
      </c>
      <c r="AN1692" s="125">
        <v>5.5423910193126433</v>
      </c>
      <c r="AO1692" s="125">
        <v>5.5423910193126433</v>
      </c>
      <c r="AP1692" s="125">
        <v>5.5423910193126433</v>
      </c>
      <c r="AQ1692" s="125">
        <v>5.5423910193126433</v>
      </c>
      <c r="AR1692" s="125">
        <v>5.5423910193126433</v>
      </c>
      <c r="AS1692" s="125">
        <v>5.5423910193126433</v>
      </c>
      <c r="AT1692" s="125">
        <v>5.5423910193126433</v>
      </c>
      <c r="AU1692" s="125">
        <v>5.5423910193126433</v>
      </c>
      <c r="AV1692" s="125">
        <v>5.5423910193126433</v>
      </c>
      <c r="AW1692" s="125">
        <v>5.5423910193126433</v>
      </c>
      <c r="AX1692" s="126">
        <v>5.5423910193126433</v>
      </c>
    </row>
    <row r="1693" spans="1:50" x14ac:dyDescent="0.25">
      <c r="A1693" s="356"/>
      <c r="B1693" s="359"/>
      <c r="C1693" s="361" t="s">
        <v>16</v>
      </c>
      <c r="D1693" s="2" t="s">
        <v>7</v>
      </c>
      <c r="E1693" s="160" t="str">
        <f>A1665&amp;"/"&amp;B1685&amp;"/"&amp;C1693&amp;"/"&amp;D1693</f>
        <v>Diesel oil fired power plants/Steam turbine/CHP with CCS/L</v>
      </c>
      <c r="F1693" s="76" t="str">
        <f>A1665</f>
        <v>Diesel oil fired power plants</v>
      </c>
      <c r="G1693" s="76" t="str">
        <f>B1685</f>
        <v>Steam turbine</v>
      </c>
      <c r="H1693" s="76" t="str">
        <f>C1693</f>
        <v>CHP with CCS</v>
      </c>
      <c r="I1693" s="161" t="str">
        <f t="shared" si="105"/>
        <v>L</v>
      </c>
      <c r="J1693" s="119" t="s">
        <v>112</v>
      </c>
      <c r="K1693" s="119" t="s">
        <v>112</v>
      </c>
      <c r="L1693" s="119" t="s">
        <v>112</v>
      </c>
      <c r="M1693" s="119" t="s">
        <v>112</v>
      </c>
      <c r="N1693" s="119" t="s">
        <v>112</v>
      </c>
      <c r="O1693" s="119" t="s">
        <v>112</v>
      </c>
      <c r="P1693" s="119" t="s">
        <v>112</v>
      </c>
      <c r="Q1693" s="119" t="s">
        <v>112</v>
      </c>
      <c r="R1693" s="119" t="s">
        <v>112</v>
      </c>
      <c r="S1693" s="119" t="s">
        <v>112</v>
      </c>
      <c r="T1693" s="119" t="s">
        <v>112</v>
      </c>
      <c r="U1693" s="119" t="s">
        <v>112</v>
      </c>
      <c r="V1693" s="119" t="s">
        <v>112</v>
      </c>
      <c r="W1693" s="119" t="s">
        <v>112</v>
      </c>
      <c r="X1693" s="119" t="s">
        <v>112</v>
      </c>
      <c r="Y1693" s="119" t="s">
        <v>112</v>
      </c>
      <c r="Z1693" s="119" t="s">
        <v>112</v>
      </c>
      <c r="AA1693" s="119" t="s">
        <v>112</v>
      </c>
      <c r="AB1693" s="119" t="s">
        <v>112</v>
      </c>
      <c r="AC1693" s="119" t="s">
        <v>112</v>
      </c>
      <c r="AD1693" s="119" t="s">
        <v>112</v>
      </c>
      <c r="AE1693" s="119">
        <v>5.4953653957490314</v>
      </c>
      <c r="AF1693" s="119">
        <v>5.4953653957490314</v>
      </c>
      <c r="AG1693" s="119">
        <v>5.4953653957490314</v>
      </c>
      <c r="AH1693" s="119">
        <v>5.4953653957490314</v>
      </c>
      <c r="AI1693" s="119">
        <v>5.4953653957490314</v>
      </c>
      <c r="AJ1693" s="119">
        <v>5.4953653957490314</v>
      </c>
      <c r="AK1693" s="119">
        <v>5.4953653957490314</v>
      </c>
      <c r="AL1693" s="119">
        <v>5.4953653957490314</v>
      </c>
      <c r="AM1693" s="119">
        <v>5.4953653957490314</v>
      </c>
      <c r="AN1693" s="119">
        <v>5.4953653957490314</v>
      </c>
      <c r="AO1693" s="119">
        <v>5.4953653957490314</v>
      </c>
      <c r="AP1693" s="119">
        <v>5.4953653957490314</v>
      </c>
      <c r="AQ1693" s="119">
        <v>5.4953653957490314</v>
      </c>
      <c r="AR1693" s="119">
        <v>5.4953653957490314</v>
      </c>
      <c r="AS1693" s="119">
        <v>5.4953653957490314</v>
      </c>
      <c r="AT1693" s="119">
        <v>5.4953653957490314</v>
      </c>
      <c r="AU1693" s="119">
        <v>5.4953653957490314</v>
      </c>
      <c r="AV1693" s="119">
        <v>5.4953653957490314</v>
      </c>
      <c r="AW1693" s="119">
        <v>5.4953653957490314</v>
      </c>
      <c r="AX1693" s="120">
        <v>5.4953653957490314</v>
      </c>
    </row>
    <row r="1694" spans="1:50" x14ac:dyDescent="0.25">
      <c r="A1694" s="356"/>
      <c r="B1694" s="362"/>
      <c r="C1694" s="354"/>
      <c r="D1694" s="4" t="s">
        <v>8</v>
      </c>
      <c r="E1694" s="168" t="str">
        <f>A1665&amp;"/"&amp;B1685&amp;"/"&amp;C1693&amp;"/"&amp;D1694</f>
        <v>Diesel oil fired power plants/Steam turbine/CHP with CCS/M</v>
      </c>
      <c r="F1694" s="80" t="str">
        <f>A1665</f>
        <v>Diesel oil fired power plants</v>
      </c>
      <c r="G1694" s="80" t="str">
        <f>B1685</f>
        <v>Steam turbine</v>
      </c>
      <c r="H1694" s="80" t="str">
        <f>C1693</f>
        <v>CHP with CCS</v>
      </c>
      <c r="I1694" s="169" t="str">
        <f t="shared" si="105"/>
        <v>M</v>
      </c>
      <c r="J1694" s="127" t="s">
        <v>112</v>
      </c>
      <c r="K1694" s="127" t="s">
        <v>112</v>
      </c>
      <c r="L1694" s="127" t="s">
        <v>112</v>
      </c>
      <c r="M1694" s="127" t="s">
        <v>112</v>
      </c>
      <c r="N1694" s="127" t="s">
        <v>112</v>
      </c>
      <c r="O1694" s="127" t="s">
        <v>112</v>
      </c>
      <c r="P1694" s="127" t="s">
        <v>112</v>
      </c>
      <c r="Q1694" s="127" t="s">
        <v>112</v>
      </c>
      <c r="R1694" s="127" t="s">
        <v>112</v>
      </c>
      <c r="S1694" s="127" t="s">
        <v>112</v>
      </c>
      <c r="T1694" s="127" t="s">
        <v>112</v>
      </c>
      <c r="U1694" s="127" t="s">
        <v>112</v>
      </c>
      <c r="V1694" s="127" t="s">
        <v>112</v>
      </c>
      <c r="W1694" s="127" t="s">
        <v>112</v>
      </c>
      <c r="X1694" s="127" t="s">
        <v>112</v>
      </c>
      <c r="Y1694" s="127" t="s">
        <v>112</v>
      </c>
      <c r="Z1694" s="127" t="s">
        <v>112</v>
      </c>
      <c r="AA1694" s="127" t="s">
        <v>112</v>
      </c>
      <c r="AB1694" s="127" t="s">
        <v>112</v>
      </c>
      <c r="AC1694" s="127" t="s">
        <v>112</v>
      </c>
      <c r="AD1694" s="127" t="s">
        <v>112</v>
      </c>
      <c r="AE1694" s="127">
        <v>6.6176861069422994</v>
      </c>
      <c r="AF1694" s="127">
        <v>6.6176861069422994</v>
      </c>
      <c r="AG1694" s="127">
        <v>6.6176861069422994</v>
      </c>
      <c r="AH1694" s="127">
        <v>6.6176861069422994</v>
      </c>
      <c r="AI1694" s="127">
        <v>6.6176861069422994</v>
      </c>
      <c r="AJ1694" s="127">
        <v>6.6176861069422994</v>
      </c>
      <c r="AK1694" s="127">
        <v>6.6176861069422994</v>
      </c>
      <c r="AL1694" s="127">
        <v>6.6176861069422994</v>
      </c>
      <c r="AM1694" s="127">
        <v>6.6176861069422994</v>
      </c>
      <c r="AN1694" s="127">
        <v>6.6176861069422994</v>
      </c>
      <c r="AO1694" s="127">
        <v>6.6176861069422994</v>
      </c>
      <c r="AP1694" s="127">
        <v>6.6176861069422994</v>
      </c>
      <c r="AQ1694" s="127">
        <v>6.6176861069422994</v>
      </c>
      <c r="AR1694" s="127">
        <v>6.6176861069422994</v>
      </c>
      <c r="AS1694" s="127">
        <v>6.6176861069422994</v>
      </c>
      <c r="AT1694" s="127">
        <v>6.6176861069422994</v>
      </c>
      <c r="AU1694" s="127">
        <v>6.6176861069422994</v>
      </c>
      <c r="AV1694" s="127">
        <v>6.6176861069422994</v>
      </c>
      <c r="AW1694" s="127">
        <v>6.6176861069422994</v>
      </c>
      <c r="AX1694" s="128">
        <v>6.6176861069422994</v>
      </c>
    </row>
    <row r="1695" spans="1:50" x14ac:dyDescent="0.25">
      <c r="A1695" s="356"/>
      <c r="B1695" s="358" t="s">
        <v>25</v>
      </c>
      <c r="C1695" s="353" t="s">
        <v>6</v>
      </c>
      <c r="D1695" s="3" t="s">
        <v>10</v>
      </c>
      <c r="E1695" s="162" t="str">
        <f>A1665&amp;"/"&amp;B1695&amp;"/"&amp;C1695&amp;"/"&amp;D1695</f>
        <v>Diesel oil fired power plants/Internal combustion engine/Electricity only/S</v>
      </c>
      <c r="F1695" s="77" t="str">
        <f>A1665</f>
        <v>Diesel oil fired power plants</v>
      </c>
      <c r="G1695" s="77" t="str">
        <f>B1695</f>
        <v>Internal combustion engine</v>
      </c>
      <c r="H1695" s="77" t="str">
        <f>C1695</f>
        <v>Electricity only</v>
      </c>
      <c r="I1695" s="163" t="str">
        <f t="shared" si="105"/>
        <v>S</v>
      </c>
      <c r="J1695" s="121">
        <v>2.3413353937972929</v>
      </c>
      <c r="K1695" s="121">
        <v>2.3411004269007196</v>
      </c>
      <c r="L1695" s="121">
        <v>2.3408543773015067</v>
      </c>
      <c r="M1695" s="121">
        <v>2.3405967719173404</v>
      </c>
      <c r="N1695" s="121">
        <v>2.3403271224586835</v>
      </c>
      <c r="O1695" s="121">
        <v>2.3400449254578524</v>
      </c>
      <c r="P1695" s="121">
        <v>2.3397496623640142</v>
      </c>
      <c r="Q1695" s="121">
        <v>2.3394407997114404</v>
      </c>
      <c r="R1695" s="121">
        <v>2.3391177893687556</v>
      </c>
      <c r="S1695" s="121">
        <v>2.3387800688773588</v>
      </c>
      <c r="T1695" s="121">
        <v>2.3384270618875695</v>
      </c>
      <c r="U1695" s="121">
        <v>2.338058178701437</v>
      </c>
      <c r="V1695" s="121">
        <v>2.3376728169314704</v>
      </c>
      <c r="W1695" s="121">
        <v>2.3372703622848245</v>
      </c>
      <c r="X1695" s="121">
        <v>2.3368501894826985</v>
      </c>
      <c r="Y1695" s="121">
        <v>2.3364116633248444</v>
      </c>
      <c r="Z1695" s="121">
        <v>2.3359541399091293</v>
      </c>
      <c r="AA1695" s="121">
        <v>2.3354769680160352</v>
      </c>
      <c r="AB1695" s="121">
        <v>2.3349794906678083</v>
      </c>
      <c r="AC1695" s="121">
        <v>2.3344610468716258</v>
      </c>
      <c r="AD1695" s="121">
        <v>2.3339209735556836</v>
      </c>
      <c r="AE1695" s="121">
        <v>2.3333586077064035</v>
      </c>
      <c r="AF1695" s="121">
        <v>2.332773288714121</v>
      </c>
      <c r="AG1695" s="121">
        <v>2.3321643609334788</v>
      </c>
      <c r="AH1695" s="121">
        <v>2.3315311764634425</v>
      </c>
      <c r="AI1695" s="121">
        <v>2.3308730981502301</v>
      </c>
      <c r="AJ1695" s="121">
        <v>2.3301895028145809</v>
      </c>
      <c r="AK1695" s="121">
        <v>2.3294797847026083</v>
      </c>
      <c r="AL1695" s="121">
        <v>2.3287433591570248</v>
      </c>
      <c r="AM1695" s="121">
        <v>2.3279796665027432</v>
      </c>
      <c r="AN1695" s="121">
        <v>2.3271881761377697</v>
      </c>
      <c r="AO1695" s="121">
        <v>2.3263683908169455</v>
      </c>
      <c r="AP1695" s="121">
        <v>2.3255198511124044</v>
      </c>
      <c r="AQ1695" s="121">
        <v>2.3246421400307118</v>
      </c>
      <c r="AR1695" s="121">
        <v>2.3237348877624822</v>
      </c>
      <c r="AS1695" s="121">
        <v>2.3227977765359489</v>
      </c>
      <c r="AT1695" s="121">
        <v>2.3218305455414918</v>
      </c>
      <c r="AU1695" s="121">
        <v>2.320832995889607</v>
      </c>
      <c r="AV1695" s="121">
        <v>2.3198049955602968</v>
      </c>
      <c r="AW1695" s="121">
        <v>2.3187464842974581</v>
      </c>
      <c r="AX1695" s="122">
        <v>2.3176574783976718</v>
      </c>
    </row>
    <row r="1696" spans="1:50" x14ac:dyDescent="0.25">
      <c r="A1696" s="356"/>
      <c r="B1696" s="359"/>
      <c r="C1696" s="360"/>
      <c r="D1696" s="59" t="s">
        <v>20</v>
      </c>
      <c r="E1696" s="160" t="str">
        <f>A1665&amp;"/"&amp;B1695&amp;"/"&amp;C1695&amp;"/"&amp;D1696</f>
        <v>Diesel oil fired power plants/Internal combustion engine/Electricity only/XS</v>
      </c>
      <c r="F1696" s="76" t="str">
        <f>A1665</f>
        <v>Diesel oil fired power plants</v>
      </c>
      <c r="G1696" s="76" t="str">
        <f>B1695</f>
        <v>Internal combustion engine</v>
      </c>
      <c r="H1696" s="76" t="str">
        <f>C1695</f>
        <v>Electricity only</v>
      </c>
      <c r="I1696" s="161" t="str">
        <f t="shared" si="105"/>
        <v>XS</v>
      </c>
      <c r="J1696" s="119">
        <v>2.1657352392624958</v>
      </c>
      <c r="K1696" s="119">
        <v>2.1655645692024512</v>
      </c>
      <c r="L1696" s="119">
        <v>2.1653856989415972</v>
      </c>
      <c r="M1696" s="119">
        <v>2.1651982631009798</v>
      </c>
      <c r="N1696" s="119">
        <v>2.1650018829233217</v>
      </c>
      <c r="O1696" s="119">
        <v>2.1647961660842219</v>
      </c>
      <c r="P1696" s="119">
        <v>2.1645807065361806</v>
      </c>
      <c r="Q1696" s="119">
        <v>2.1643550843901869</v>
      </c>
      <c r="R1696" s="119">
        <v>2.1641188658400199</v>
      </c>
      <c r="S1696" s="119">
        <v>2.163871603134766</v>
      </c>
      <c r="T1696" s="119">
        <v>2.1636128346054773</v>
      </c>
      <c r="U1696" s="119">
        <v>2.1633420847522871</v>
      </c>
      <c r="V1696" s="119">
        <v>2.1630588643986921</v>
      </c>
      <c r="W1696" s="119">
        <v>2.16276267092011</v>
      </c>
      <c r="X1696" s="119">
        <v>2.1624529885542025</v>
      </c>
      <c r="Y1696" s="119">
        <v>2.1621292888008119</v>
      </c>
      <c r="Z1696" s="119">
        <v>2.1617910309197086</v>
      </c>
      <c r="AA1696" s="119">
        <v>2.1614376625346283</v>
      </c>
      <c r="AB1696" s="119">
        <v>2.1610686203523537</v>
      </c>
      <c r="AC1696" s="119">
        <v>2.1606833310057865</v>
      </c>
      <c r="AD1696" s="119">
        <v>2.1602812120300769</v>
      </c>
      <c r="AE1696" s="119">
        <v>2.1598616729809339</v>
      </c>
      <c r="AF1696" s="119">
        <v>2.1594241167041832</v>
      </c>
      <c r="AG1696" s="119">
        <v>2.1589679407654732</v>
      </c>
      <c r="AH1696" s="119">
        <v>2.1584925390487224</v>
      </c>
      <c r="AI1696" s="119">
        <v>2.1579973035314675</v>
      </c>
      <c r="AJ1696" s="119">
        <v>2.1574816262446364</v>
      </c>
      <c r="AK1696" s="119">
        <v>2.1569449014234947</v>
      </c>
      <c r="AL1696" s="119">
        <v>2.1563865278554699</v>
      </c>
      <c r="AM1696" s="119">
        <v>2.1558059114293657</v>
      </c>
      <c r="AN1696" s="119">
        <v>2.1552024678889836</v>
      </c>
      <c r="AO1696" s="119">
        <v>2.1545756257924564</v>
      </c>
      <c r="AP1696" s="119">
        <v>2.1539248296766087</v>
      </c>
      <c r="AQ1696" s="119">
        <v>2.1532495434233887</v>
      </c>
      <c r="AR1696" s="119">
        <v>2.1525492538228783</v>
      </c>
      <c r="AS1696" s="119">
        <v>2.151823474324559</v>
      </c>
      <c r="AT1696" s="119">
        <v>2.1510717489654039</v>
      </c>
      <c r="AU1696" s="119">
        <v>2.1502936564600246</v>
      </c>
      <c r="AV1696" s="119">
        <v>2.1494888144344855</v>
      </c>
      <c r="AW1696" s="119">
        <v>2.1486568837816002</v>
      </c>
      <c r="AX1696" s="120">
        <v>2.1477975731115508</v>
      </c>
    </row>
    <row r="1697" spans="1:50" x14ac:dyDescent="0.25">
      <c r="A1697" s="356"/>
      <c r="B1697" s="359"/>
      <c r="C1697" s="350" t="s">
        <v>14</v>
      </c>
      <c r="D1697" s="2" t="s">
        <v>10</v>
      </c>
      <c r="E1697" s="164" t="str">
        <f>A1665&amp;"/"&amp;B1695&amp;"/"&amp;C1697&amp;"/"&amp;D1697</f>
        <v>Diesel oil fired power plants/Internal combustion engine/CHP/S</v>
      </c>
      <c r="F1697" s="78" t="str">
        <f>A1665</f>
        <v>Diesel oil fired power plants</v>
      </c>
      <c r="G1697" s="78" t="str">
        <f>B1695</f>
        <v>Internal combustion engine</v>
      </c>
      <c r="H1697" s="78" t="str">
        <f>C1697</f>
        <v>CHP</v>
      </c>
      <c r="I1697" s="165" t="str">
        <f t="shared" si="105"/>
        <v>S</v>
      </c>
      <c r="J1697" s="123">
        <v>2.9712920658337416</v>
      </c>
      <c r="K1697" s="123">
        <v>2.9711085242791571</v>
      </c>
      <c r="L1697" s="123">
        <v>2.9709160363356619</v>
      </c>
      <c r="M1697" s="123">
        <v>2.9707141902482506</v>
      </c>
      <c r="N1697" s="123">
        <v>2.9705025577964275</v>
      </c>
      <c r="O1697" s="123">
        <v>2.9702806938938244</v>
      </c>
      <c r="P1697" s="123">
        <v>2.970048136207196</v>
      </c>
      <c r="Q1697" s="123">
        <v>2.9698044047990035</v>
      </c>
      <c r="R1697" s="123">
        <v>2.9695490017981863</v>
      </c>
      <c r="S1697" s="123">
        <v>2.9692814111041668</v>
      </c>
      <c r="T1697" s="123">
        <v>2.9690010981295951</v>
      </c>
      <c r="U1697" s="123">
        <v>2.9687075095878113</v>
      </c>
      <c r="V1697" s="123">
        <v>2.9684000733315017</v>
      </c>
      <c r="W1697" s="123">
        <v>2.9680781982495397</v>
      </c>
      <c r="X1697" s="123">
        <v>2.9677412742295428</v>
      </c>
      <c r="Y1697" s="123">
        <v>2.9673886721942022</v>
      </c>
      <c r="Z1697" s="123">
        <v>2.967019744219979</v>
      </c>
      <c r="AA1697" s="123">
        <v>2.9666338237473386</v>
      </c>
      <c r="AB1697" s="123">
        <v>2.9662302258921822</v>
      </c>
      <c r="AC1697" s="123">
        <v>2.9658082478687016</v>
      </c>
      <c r="AD1697" s="123">
        <v>2.9653671695343364</v>
      </c>
      <c r="AE1697" s="123">
        <v>2.964906254068012</v>
      </c>
      <c r="AF1697" s="123">
        <v>2.9644247487932125</v>
      </c>
      <c r="AG1697" s="123">
        <v>2.963921886157812</v>
      </c>
      <c r="AH1697" s="123">
        <v>2.9633968848828576</v>
      </c>
      <c r="AI1697" s="123">
        <v>2.962848951292655</v>
      </c>
      <c r="AJ1697" s="123">
        <v>2.9622772808386024</v>
      </c>
      <c r="AK1697" s="123">
        <v>2.9616810598291061</v>
      </c>
      <c r="AL1697" s="123">
        <v>2.9610594673777175</v>
      </c>
      <c r="AM1697" s="123">
        <v>2.9604116775812086</v>
      </c>
      <c r="AN1697" s="123">
        <v>2.9597368619386821</v>
      </c>
      <c r="AO1697" s="123">
        <v>2.9590341920219982</v>
      </c>
      <c r="AP1697" s="123">
        <v>2.9583028424066771</v>
      </c>
      <c r="AQ1697" s="123">
        <v>2.9575419938710867</v>
      </c>
      <c r="AR1697" s="123">
        <v>2.9567508368700421</v>
      </c>
      <c r="AS1697" s="123">
        <v>2.9559285752869315</v>
      </c>
      <c r="AT1697" s="123">
        <v>2.9550744304661514</v>
      </c>
      <c r="AU1697" s="123">
        <v>2.954187645524911</v>
      </c>
      <c r="AV1697" s="123">
        <v>2.9532674899403899</v>
      </c>
      <c r="AW1697" s="123">
        <v>2.9523132644047463</v>
      </c>
      <c r="AX1697" s="124">
        <v>2.9513243059366525</v>
      </c>
    </row>
    <row r="1698" spans="1:50" x14ac:dyDescent="0.25">
      <c r="A1698" s="357"/>
      <c r="B1698" s="362"/>
      <c r="C1698" s="354"/>
      <c r="D1698" s="4" t="s">
        <v>20</v>
      </c>
      <c r="E1698" s="168" t="str">
        <f>A1665&amp;"/"&amp;B1695&amp;"/"&amp;C1697&amp;"/"&amp;D1698</f>
        <v>Diesel oil fired power plants/Internal combustion engine/CHP/XS</v>
      </c>
      <c r="F1698" s="80" t="str">
        <f>A1665</f>
        <v>Diesel oil fired power plants</v>
      </c>
      <c r="G1698" s="80" t="str">
        <f>B1695</f>
        <v>Internal combustion engine</v>
      </c>
      <c r="H1698" s="80" t="str">
        <f>C1697</f>
        <v>CHP</v>
      </c>
      <c r="I1698" s="169" t="str">
        <f t="shared" si="105"/>
        <v>XS</v>
      </c>
      <c r="J1698" s="127">
        <v>2.5337756867441619</v>
      </c>
      <c r="K1698" s="127">
        <v>2.5336191712895348</v>
      </c>
      <c r="L1698" s="127">
        <v>2.5334550267825624</v>
      </c>
      <c r="M1698" s="127">
        <v>2.5332829020982781</v>
      </c>
      <c r="N1698" s="127">
        <v>2.533102432070736</v>
      </c>
      <c r="O1698" s="127">
        <v>2.5329132371515808</v>
      </c>
      <c r="P1698" s="127">
        <v>2.5327149230851451</v>
      </c>
      <c r="Q1698" s="127">
        <v>2.5325070806036623</v>
      </c>
      <c r="R1698" s="127">
        <v>2.5322892851465162</v>
      </c>
      <c r="S1698" s="127">
        <v>2.5320610966078321</v>
      </c>
      <c r="T1698" s="127">
        <v>2.5318220591170997</v>
      </c>
      <c r="U1698" s="127">
        <v>2.5315717008579339</v>
      </c>
      <c r="V1698" s="127">
        <v>2.5313095339304819</v>
      </c>
      <c r="W1698" s="127">
        <v>2.5310350542634636</v>
      </c>
      <c r="X1698" s="127">
        <v>2.530747741582235</v>
      </c>
      <c r="Y1698" s="127">
        <v>2.5304470594397701</v>
      </c>
      <c r="Z1698" s="127">
        <v>2.5301324553178817</v>
      </c>
      <c r="AA1698" s="127">
        <v>2.5298033608064947</v>
      </c>
      <c r="AB1698" s="127">
        <v>2.5294591918692251</v>
      </c>
      <c r="AC1698" s="127">
        <v>2.5290993492039648</v>
      </c>
      <c r="AD1698" s="127">
        <v>2.5287232187076008</v>
      </c>
      <c r="AE1698" s="127">
        <v>2.52833017205438</v>
      </c>
      <c r="AF1698" s="127">
        <v>2.5279195673977877</v>
      </c>
      <c r="AG1698" s="127">
        <v>2.5274907502061024</v>
      </c>
      <c r="AH1698" s="127">
        <v>2.5270430542420175</v>
      </c>
      <c r="AI1698" s="127">
        <v>2.5265758026968839</v>
      </c>
      <c r="AJ1698" s="127">
        <v>2.5260883094901527</v>
      </c>
      <c r="AK1698" s="127">
        <v>2.5255798807445711</v>
      </c>
      <c r="AL1698" s="127">
        <v>2.5250498164474586</v>
      </c>
      <c r="AM1698" s="127">
        <v>2.5244974123080639</v>
      </c>
      <c r="AN1698" s="127">
        <v>2.5239219618204705</v>
      </c>
      <c r="AO1698" s="127">
        <v>2.5233227585408025</v>
      </c>
      <c r="AP1698" s="127">
        <v>2.5226990985865627</v>
      </c>
      <c r="AQ1698" s="127">
        <v>2.522050283364746</v>
      </c>
      <c r="AR1698" s="127">
        <v>2.5213756225339599</v>
      </c>
      <c r="AS1698" s="127">
        <v>2.5206744372040539</v>
      </c>
      <c r="AT1698" s="127">
        <v>2.5199460633747908</v>
      </c>
      <c r="AU1698" s="127">
        <v>2.5191898556127459</v>
      </c>
      <c r="AV1698" s="127">
        <v>2.5184051909630156</v>
      </c>
      <c r="AW1698" s="127">
        <v>2.5175914730893396</v>
      </c>
      <c r="AX1698" s="128">
        <v>2.5167481366329643</v>
      </c>
    </row>
    <row r="1699" spans="1:50" x14ac:dyDescent="0.25">
      <c r="A1699" s="355" t="s">
        <v>29</v>
      </c>
      <c r="B1699" s="358" t="s">
        <v>13</v>
      </c>
      <c r="C1699" s="353" t="s">
        <v>6</v>
      </c>
      <c r="D1699" s="3" t="s">
        <v>7</v>
      </c>
      <c r="E1699" s="162" t="str">
        <f>A1699&amp;"/"&amp;B1699&amp;"/"&amp;C1699&amp;"/"&amp;D1699</f>
        <v>Fuel oil fired power plants/Integrated gasification combined cycle/Electricity only/L</v>
      </c>
      <c r="F1699" s="77" t="str">
        <f>A1699</f>
        <v>Fuel oil fired power plants</v>
      </c>
      <c r="G1699" s="77" t="str">
        <f>B1699</f>
        <v>Integrated gasification combined cycle</v>
      </c>
      <c r="H1699" s="77" t="str">
        <f>C1699</f>
        <v>Electricity only</v>
      </c>
      <c r="I1699" s="163" t="str">
        <f t="shared" si="105"/>
        <v>L</v>
      </c>
      <c r="J1699" s="121">
        <v>6.7760844079718634</v>
      </c>
      <c r="K1699" s="121">
        <v>6.7760844079718634</v>
      </c>
      <c r="L1699" s="121">
        <v>6.7760844079718634</v>
      </c>
      <c r="M1699" s="121">
        <v>6.7760844079718634</v>
      </c>
      <c r="N1699" s="121">
        <v>6.7760844079718634</v>
      </c>
      <c r="O1699" s="121">
        <v>6.7760844079718634</v>
      </c>
      <c r="P1699" s="121">
        <v>6.7760844079718634</v>
      </c>
      <c r="Q1699" s="121">
        <v>6.7760844079718634</v>
      </c>
      <c r="R1699" s="121">
        <v>6.7760844079718634</v>
      </c>
      <c r="S1699" s="121">
        <v>6.7760844079718634</v>
      </c>
      <c r="T1699" s="121">
        <v>6.7760844079718634</v>
      </c>
      <c r="U1699" s="121">
        <v>6.7760844079718634</v>
      </c>
      <c r="V1699" s="121">
        <v>6.7760844079718634</v>
      </c>
      <c r="W1699" s="121">
        <v>6.7760844079718634</v>
      </c>
      <c r="X1699" s="121">
        <v>6.7760844079718634</v>
      </c>
      <c r="Y1699" s="121">
        <v>6.7760844079718634</v>
      </c>
      <c r="Z1699" s="121">
        <v>6.7760844079718634</v>
      </c>
      <c r="AA1699" s="121">
        <v>6.7760844079718634</v>
      </c>
      <c r="AB1699" s="121">
        <v>6.7760844079718634</v>
      </c>
      <c r="AC1699" s="121">
        <v>6.7760844079718634</v>
      </c>
      <c r="AD1699" s="121">
        <v>6.7760844079718634</v>
      </c>
      <c r="AE1699" s="121">
        <v>6.7760844079718634</v>
      </c>
      <c r="AF1699" s="121">
        <v>6.7760844079718634</v>
      </c>
      <c r="AG1699" s="121">
        <v>6.7760844079718634</v>
      </c>
      <c r="AH1699" s="121">
        <v>6.7760844079718634</v>
      </c>
      <c r="AI1699" s="121">
        <v>6.7760844079718634</v>
      </c>
      <c r="AJ1699" s="121">
        <v>6.7760844079718634</v>
      </c>
      <c r="AK1699" s="121">
        <v>6.7760844079718634</v>
      </c>
      <c r="AL1699" s="121">
        <v>6.7760844079718634</v>
      </c>
      <c r="AM1699" s="121">
        <v>6.7760844079718634</v>
      </c>
      <c r="AN1699" s="121">
        <v>6.7742298843446669</v>
      </c>
      <c r="AO1699" s="121">
        <v>6.7735856099130354</v>
      </c>
      <c r="AP1699" s="121">
        <v>6.772719633903292</v>
      </c>
      <c r="AQ1699" s="121">
        <v>6.771557386820243</v>
      </c>
      <c r="AR1699" s="121">
        <v>6.7700006009127813</v>
      </c>
      <c r="AS1699" s="121">
        <v>6.7679208832982294</v>
      </c>
      <c r="AT1699" s="121">
        <v>6.7651524327518606</v>
      </c>
      <c r="AU1699" s="121">
        <v>6.7614845559915526</v>
      </c>
      <c r="AV1699" s="121">
        <v>6.7566554119622371</v>
      </c>
      <c r="AW1699" s="121">
        <v>6.7503496175684683</v>
      </c>
      <c r="AX1699" s="122">
        <v>6.7422039859320044</v>
      </c>
    </row>
    <row r="1700" spans="1:50" x14ac:dyDescent="0.25">
      <c r="A1700" s="356"/>
      <c r="B1700" s="359"/>
      <c r="C1700" s="360"/>
      <c r="D1700" s="2" t="s">
        <v>8</v>
      </c>
      <c r="E1700" s="160" t="str">
        <f>A1699&amp;"/"&amp;B1699&amp;"/"&amp;C1699&amp;"/"&amp;D1700</f>
        <v>Fuel oil fired power plants/Integrated gasification combined cycle/Electricity only/M</v>
      </c>
      <c r="F1700" s="76" t="str">
        <f>A1699</f>
        <v>Fuel oil fired power plants</v>
      </c>
      <c r="G1700" s="76" t="str">
        <f>B1699</f>
        <v>Integrated gasification combined cycle</v>
      </c>
      <c r="H1700" s="76" t="str">
        <f>C1699</f>
        <v>Electricity only</v>
      </c>
      <c r="I1700" s="161" t="str">
        <f t="shared" si="105"/>
        <v>M</v>
      </c>
      <c r="J1700" s="119">
        <v>7.2842907385697524</v>
      </c>
      <c r="K1700" s="119">
        <v>7.2842907385697524</v>
      </c>
      <c r="L1700" s="119">
        <v>7.2842907385697524</v>
      </c>
      <c r="M1700" s="119">
        <v>7.2842907385697524</v>
      </c>
      <c r="N1700" s="119">
        <v>7.2842907385697524</v>
      </c>
      <c r="O1700" s="119">
        <v>7.2842907385697524</v>
      </c>
      <c r="P1700" s="119">
        <v>7.2842907385697524</v>
      </c>
      <c r="Q1700" s="119">
        <v>7.2842907385697524</v>
      </c>
      <c r="R1700" s="119">
        <v>7.2842907385697524</v>
      </c>
      <c r="S1700" s="119">
        <v>7.2842907385697524</v>
      </c>
      <c r="T1700" s="119">
        <v>7.2842907385697524</v>
      </c>
      <c r="U1700" s="119">
        <v>7.2842907385697524</v>
      </c>
      <c r="V1700" s="119">
        <v>7.2842907385697524</v>
      </c>
      <c r="W1700" s="119">
        <v>7.2842907385697524</v>
      </c>
      <c r="X1700" s="119">
        <v>7.2842907385697524</v>
      </c>
      <c r="Y1700" s="119">
        <v>7.2842907385697524</v>
      </c>
      <c r="Z1700" s="119">
        <v>7.2842907385697524</v>
      </c>
      <c r="AA1700" s="119">
        <v>7.2842907385697524</v>
      </c>
      <c r="AB1700" s="119">
        <v>7.2842907385697524</v>
      </c>
      <c r="AC1700" s="119">
        <v>7.2842907385697524</v>
      </c>
      <c r="AD1700" s="119">
        <v>7.2842907385697524</v>
      </c>
      <c r="AE1700" s="119">
        <v>7.2842907385697524</v>
      </c>
      <c r="AF1700" s="119">
        <v>7.2842907385697524</v>
      </c>
      <c r="AG1700" s="119">
        <v>7.2842907385697524</v>
      </c>
      <c r="AH1700" s="119">
        <v>7.2842907385697524</v>
      </c>
      <c r="AI1700" s="119">
        <v>7.2842907385697524</v>
      </c>
      <c r="AJ1700" s="119">
        <v>7.2842907385697524</v>
      </c>
      <c r="AK1700" s="119">
        <v>7.2842907385697524</v>
      </c>
      <c r="AL1700" s="119">
        <v>7.2842907385697524</v>
      </c>
      <c r="AM1700" s="119">
        <v>7.2842907385697524</v>
      </c>
      <c r="AN1700" s="119">
        <v>7.2822971256705138</v>
      </c>
      <c r="AO1700" s="119">
        <v>7.2816045306565123</v>
      </c>
      <c r="AP1700" s="119">
        <v>7.2806736064460367</v>
      </c>
      <c r="AQ1700" s="119">
        <v>7.2794241908317598</v>
      </c>
      <c r="AR1700" s="119">
        <v>7.2777506459812376</v>
      </c>
      <c r="AS1700" s="119">
        <v>7.2755149495455953</v>
      </c>
      <c r="AT1700" s="119">
        <v>7.272538865208249</v>
      </c>
      <c r="AU1700" s="119">
        <v>7.2685958976909175</v>
      </c>
      <c r="AV1700" s="119">
        <v>7.2634045678594035</v>
      </c>
      <c r="AW1700" s="119">
        <v>7.2566258388861016</v>
      </c>
      <c r="AX1700" s="120">
        <v>7.247869284876904</v>
      </c>
    </row>
    <row r="1701" spans="1:50" x14ac:dyDescent="0.25">
      <c r="A1701" s="356"/>
      <c r="B1701" s="359"/>
      <c r="C1701" s="361" t="s">
        <v>14</v>
      </c>
      <c r="D1701" s="58" t="s">
        <v>7</v>
      </c>
      <c r="E1701" s="164" t="str">
        <f>A1699&amp;"/"&amp;B1699&amp;"/"&amp;C1701&amp;"/"&amp;D1701</f>
        <v>Fuel oil fired power plants/Integrated gasification combined cycle/CHP/L</v>
      </c>
      <c r="F1701" s="78" t="str">
        <f>A1699</f>
        <v>Fuel oil fired power plants</v>
      </c>
      <c r="G1701" s="78" t="str">
        <f>B1699</f>
        <v>Integrated gasification combined cycle</v>
      </c>
      <c r="H1701" s="78" t="str">
        <f>C1701</f>
        <v>CHP</v>
      </c>
      <c r="I1701" s="165" t="str">
        <f t="shared" si="105"/>
        <v>L</v>
      </c>
      <c r="J1701" s="123">
        <v>7.8142651974374804</v>
      </c>
      <c r="K1701" s="123">
        <v>7.8142651974374804</v>
      </c>
      <c r="L1701" s="123">
        <v>7.8142651974374804</v>
      </c>
      <c r="M1701" s="123">
        <v>7.8142651974374804</v>
      </c>
      <c r="N1701" s="123">
        <v>7.8142651974374804</v>
      </c>
      <c r="O1701" s="123">
        <v>7.8142651974374804</v>
      </c>
      <c r="P1701" s="123">
        <v>7.8142651974374804</v>
      </c>
      <c r="Q1701" s="123">
        <v>7.8142651974374804</v>
      </c>
      <c r="R1701" s="123">
        <v>7.8142651974374804</v>
      </c>
      <c r="S1701" s="123">
        <v>7.8142651974374804</v>
      </c>
      <c r="T1701" s="123">
        <v>7.8142651974374804</v>
      </c>
      <c r="U1701" s="123">
        <v>7.8142651974374804</v>
      </c>
      <c r="V1701" s="123">
        <v>7.8142651974374804</v>
      </c>
      <c r="W1701" s="123">
        <v>7.8142651974374804</v>
      </c>
      <c r="X1701" s="123">
        <v>7.8142651974374804</v>
      </c>
      <c r="Y1701" s="123">
        <v>7.8142651974374804</v>
      </c>
      <c r="Z1701" s="123">
        <v>7.8142651974374804</v>
      </c>
      <c r="AA1701" s="123">
        <v>7.8142651974374804</v>
      </c>
      <c r="AB1701" s="123">
        <v>7.8142651974374804</v>
      </c>
      <c r="AC1701" s="123">
        <v>7.8142651974374804</v>
      </c>
      <c r="AD1701" s="123">
        <v>7.8142651974374804</v>
      </c>
      <c r="AE1701" s="123">
        <v>7.8142651974374804</v>
      </c>
      <c r="AF1701" s="123">
        <v>7.8142651974374804</v>
      </c>
      <c r="AG1701" s="123">
        <v>7.8142651974374804</v>
      </c>
      <c r="AH1701" s="123">
        <v>7.8142651974374804</v>
      </c>
      <c r="AI1701" s="123">
        <v>7.8142651974374804</v>
      </c>
      <c r="AJ1701" s="123">
        <v>7.8142651974374804</v>
      </c>
      <c r="AK1701" s="123">
        <v>7.8142651974374804</v>
      </c>
      <c r="AL1701" s="123">
        <v>7.8142651974374804</v>
      </c>
      <c r="AM1701" s="123">
        <v>7.8142651974374804</v>
      </c>
      <c r="AN1701" s="123">
        <v>7.8121265376207889</v>
      </c>
      <c r="AO1701" s="123">
        <v>7.8113835522968804</v>
      </c>
      <c r="AP1701" s="123">
        <v>7.8103848979432247</v>
      </c>
      <c r="AQ1701" s="123">
        <v>7.8090445800863195</v>
      </c>
      <c r="AR1701" s="123">
        <v>7.8072492751278659</v>
      </c>
      <c r="AS1701" s="123">
        <v>7.8048509187914599</v>
      </c>
      <c r="AT1701" s="123">
        <v>7.8016583070332786</v>
      </c>
      <c r="AU1701" s="123">
        <v>7.7974284657280482</v>
      </c>
      <c r="AV1701" s="123">
        <v>7.7918594364997098</v>
      </c>
      <c r="AW1701" s="123">
        <v>7.7845875156222988</v>
      </c>
      <c r="AX1701" s="124">
        <v>7.7751938714502931</v>
      </c>
    </row>
    <row r="1702" spans="1:50" x14ac:dyDescent="0.25">
      <c r="A1702" s="356"/>
      <c r="B1702" s="359"/>
      <c r="C1702" s="360"/>
      <c r="D1702" s="59" t="s">
        <v>8</v>
      </c>
      <c r="E1702" s="166" t="str">
        <f>A1699&amp;"/"&amp;B1699&amp;"/"&amp;C1701&amp;"/"&amp;D1702</f>
        <v>Fuel oil fired power plants/Integrated gasification combined cycle/CHP/M</v>
      </c>
      <c r="F1702" s="79" t="str">
        <f>A1699</f>
        <v>Fuel oil fired power plants</v>
      </c>
      <c r="G1702" s="79" t="str">
        <f>B1699</f>
        <v>Integrated gasification combined cycle</v>
      </c>
      <c r="H1702" s="79" t="str">
        <f>C1701</f>
        <v>CHP</v>
      </c>
      <c r="I1702" s="167" t="str">
        <f t="shared" si="105"/>
        <v>M</v>
      </c>
      <c r="J1702" s="125">
        <v>8.3018847140272669</v>
      </c>
      <c r="K1702" s="125">
        <v>8.3018847140272669</v>
      </c>
      <c r="L1702" s="125">
        <v>8.3018847140272669</v>
      </c>
      <c r="M1702" s="125">
        <v>8.3018847140272669</v>
      </c>
      <c r="N1702" s="125">
        <v>8.3018847140272669</v>
      </c>
      <c r="O1702" s="125">
        <v>8.3018847140272669</v>
      </c>
      <c r="P1702" s="125">
        <v>8.3018847140272669</v>
      </c>
      <c r="Q1702" s="125">
        <v>8.3018847140272669</v>
      </c>
      <c r="R1702" s="125">
        <v>8.3018847140272669</v>
      </c>
      <c r="S1702" s="125">
        <v>8.3018847140272669</v>
      </c>
      <c r="T1702" s="125">
        <v>8.3018847140272669</v>
      </c>
      <c r="U1702" s="125">
        <v>8.3018847140272669</v>
      </c>
      <c r="V1702" s="125">
        <v>8.3018847140272669</v>
      </c>
      <c r="W1702" s="125">
        <v>8.3018847140272669</v>
      </c>
      <c r="X1702" s="125">
        <v>8.3018847140272669</v>
      </c>
      <c r="Y1702" s="125">
        <v>8.3018847140272669</v>
      </c>
      <c r="Z1702" s="125">
        <v>8.3018847140272669</v>
      </c>
      <c r="AA1702" s="125">
        <v>8.3018847140272669</v>
      </c>
      <c r="AB1702" s="125">
        <v>8.3018847140272669</v>
      </c>
      <c r="AC1702" s="125">
        <v>8.3018847140272669</v>
      </c>
      <c r="AD1702" s="125">
        <v>8.3018847140272669</v>
      </c>
      <c r="AE1702" s="125">
        <v>8.3018847140272669</v>
      </c>
      <c r="AF1702" s="125">
        <v>8.3018847140272669</v>
      </c>
      <c r="AG1702" s="125">
        <v>8.3018847140272669</v>
      </c>
      <c r="AH1702" s="125">
        <v>8.3018847140272669</v>
      </c>
      <c r="AI1702" s="125">
        <v>8.3018847140272669</v>
      </c>
      <c r="AJ1702" s="125">
        <v>8.3018847140272669</v>
      </c>
      <c r="AK1702" s="125">
        <v>8.3018847140272669</v>
      </c>
      <c r="AL1702" s="125">
        <v>8.3018847140272669</v>
      </c>
      <c r="AM1702" s="125">
        <v>8.3018847140272669</v>
      </c>
      <c r="AN1702" s="125">
        <v>8.2996125992740417</v>
      </c>
      <c r="AO1702" s="125">
        <v>8.2988232507751825</v>
      </c>
      <c r="AP1702" s="125">
        <v>8.2977622791926038</v>
      </c>
      <c r="AQ1702" s="125">
        <v>8.2963383238945649</v>
      </c>
      <c r="AR1702" s="125">
        <v>8.2944309897543693</v>
      </c>
      <c r="AS1702" s="125">
        <v>8.2918829731072581</v>
      </c>
      <c r="AT1702" s="125">
        <v>8.2884911385478492</v>
      </c>
      <c r="AU1702" s="125">
        <v>8.2839973500741539</v>
      </c>
      <c r="AV1702" s="125">
        <v>8.2780808067454359</v>
      </c>
      <c r="AW1702" s="125">
        <v>8.2703551092872036</v>
      </c>
      <c r="AX1702" s="126">
        <v>8.2603752904571301</v>
      </c>
    </row>
    <row r="1703" spans="1:50" x14ac:dyDescent="0.25">
      <c r="A1703" s="356"/>
      <c r="B1703" s="359"/>
      <c r="C1703" s="361" t="s">
        <v>15</v>
      </c>
      <c r="D1703" s="58" t="s">
        <v>7</v>
      </c>
      <c r="E1703" s="164" t="str">
        <f>A1699&amp;"/"&amp;B1699&amp;"/"&amp;C1703&amp;"/"&amp;D1703</f>
        <v>Fuel oil fired power plants/Integrated gasification combined cycle/Electricity only with CCS/L</v>
      </c>
      <c r="F1703" s="78" t="str">
        <f>A1699</f>
        <v>Fuel oil fired power plants</v>
      </c>
      <c r="G1703" s="78" t="str">
        <f>B1699</f>
        <v>Integrated gasification combined cycle</v>
      </c>
      <c r="H1703" s="78" t="str">
        <f>C1703</f>
        <v>Electricity only with CCS</v>
      </c>
      <c r="I1703" s="165" t="str">
        <f t="shared" si="105"/>
        <v>L</v>
      </c>
      <c r="J1703" s="123" t="s">
        <v>112</v>
      </c>
      <c r="K1703" s="123" t="s">
        <v>112</v>
      </c>
      <c r="L1703" s="123" t="s">
        <v>112</v>
      </c>
      <c r="M1703" s="123" t="s">
        <v>112</v>
      </c>
      <c r="N1703" s="123" t="s">
        <v>112</v>
      </c>
      <c r="O1703" s="123" t="s">
        <v>112</v>
      </c>
      <c r="P1703" s="123" t="s">
        <v>112</v>
      </c>
      <c r="Q1703" s="123" t="s">
        <v>112</v>
      </c>
      <c r="R1703" s="123" t="s">
        <v>112</v>
      </c>
      <c r="S1703" s="123" t="s">
        <v>112</v>
      </c>
      <c r="T1703" s="123" t="s">
        <v>112</v>
      </c>
      <c r="U1703" s="123" t="s">
        <v>112</v>
      </c>
      <c r="V1703" s="123" t="s">
        <v>112</v>
      </c>
      <c r="W1703" s="123" t="s">
        <v>112</v>
      </c>
      <c r="X1703" s="123" t="s">
        <v>112</v>
      </c>
      <c r="Y1703" s="123" t="s">
        <v>112</v>
      </c>
      <c r="Z1703" s="123" t="s">
        <v>112</v>
      </c>
      <c r="AA1703" s="123" t="s">
        <v>112</v>
      </c>
      <c r="AB1703" s="123" t="s">
        <v>112</v>
      </c>
      <c r="AC1703" s="123" t="s">
        <v>112</v>
      </c>
      <c r="AD1703" s="123" t="s">
        <v>112</v>
      </c>
      <c r="AE1703" s="123">
        <v>7.6230949589683465</v>
      </c>
      <c r="AF1703" s="123">
        <v>7.6230949589683465</v>
      </c>
      <c r="AG1703" s="123">
        <v>7.6230949589683465</v>
      </c>
      <c r="AH1703" s="123">
        <v>7.6230949589683465</v>
      </c>
      <c r="AI1703" s="123">
        <v>7.6230949589683465</v>
      </c>
      <c r="AJ1703" s="123">
        <v>7.6230949589683465</v>
      </c>
      <c r="AK1703" s="123">
        <v>7.6230949589683465</v>
      </c>
      <c r="AL1703" s="123">
        <v>7.6230949589683465</v>
      </c>
      <c r="AM1703" s="123">
        <v>7.6230949589683465</v>
      </c>
      <c r="AN1703" s="123">
        <v>7.6230949589683465</v>
      </c>
      <c r="AO1703" s="123">
        <v>7.6230949589683465</v>
      </c>
      <c r="AP1703" s="123">
        <v>7.6230949589683465</v>
      </c>
      <c r="AQ1703" s="123">
        <v>7.6230949589683465</v>
      </c>
      <c r="AR1703" s="123">
        <v>7.6230949589683465</v>
      </c>
      <c r="AS1703" s="123">
        <v>7.6196667348470219</v>
      </c>
      <c r="AT1703" s="123">
        <v>7.6174739429461358</v>
      </c>
      <c r="AU1703" s="123">
        <v>7.6139109937105074</v>
      </c>
      <c r="AV1703" s="123">
        <v>7.6081749500557683</v>
      </c>
      <c r="AW1703" s="123">
        <v>7.5990764485697433</v>
      </c>
      <c r="AX1703" s="124">
        <v>7.5849794841735054</v>
      </c>
    </row>
    <row r="1704" spans="1:50" x14ac:dyDescent="0.25">
      <c r="A1704" s="356"/>
      <c r="B1704" s="359"/>
      <c r="C1704" s="360"/>
      <c r="D1704" s="59" t="s">
        <v>8</v>
      </c>
      <c r="E1704" s="166" t="str">
        <f>A1699&amp;"/"&amp;B1699&amp;"/"&amp;C1703&amp;"/"&amp;D1704</f>
        <v>Fuel oil fired power plants/Integrated gasification combined cycle/Electricity only with CCS/M</v>
      </c>
      <c r="F1704" s="79" t="str">
        <f>A1699</f>
        <v>Fuel oil fired power plants</v>
      </c>
      <c r="G1704" s="79" t="str">
        <f>B1699</f>
        <v>Integrated gasification combined cycle</v>
      </c>
      <c r="H1704" s="79" t="str">
        <f>C1703</f>
        <v>Electricity only with CCS</v>
      </c>
      <c r="I1704" s="167" t="str">
        <f t="shared" si="105"/>
        <v>M</v>
      </c>
      <c r="J1704" s="125" t="s">
        <v>112</v>
      </c>
      <c r="K1704" s="125" t="s">
        <v>112</v>
      </c>
      <c r="L1704" s="125" t="s">
        <v>112</v>
      </c>
      <c r="M1704" s="125" t="s">
        <v>112</v>
      </c>
      <c r="N1704" s="125" t="s">
        <v>112</v>
      </c>
      <c r="O1704" s="125" t="s">
        <v>112</v>
      </c>
      <c r="P1704" s="125" t="s">
        <v>112</v>
      </c>
      <c r="Q1704" s="125" t="s">
        <v>112</v>
      </c>
      <c r="R1704" s="125" t="s">
        <v>112</v>
      </c>
      <c r="S1704" s="125" t="s">
        <v>112</v>
      </c>
      <c r="T1704" s="125" t="s">
        <v>112</v>
      </c>
      <c r="U1704" s="125" t="s">
        <v>112</v>
      </c>
      <c r="V1704" s="125" t="s">
        <v>112</v>
      </c>
      <c r="W1704" s="125" t="s">
        <v>112</v>
      </c>
      <c r="X1704" s="125" t="s">
        <v>112</v>
      </c>
      <c r="Y1704" s="125" t="s">
        <v>112</v>
      </c>
      <c r="Z1704" s="125" t="s">
        <v>112</v>
      </c>
      <c r="AA1704" s="125" t="s">
        <v>112</v>
      </c>
      <c r="AB1704" s="125" t="s">
        <v>112</v>
      </c>
      <c r="AC1704" s="125" t="s">
        <v>112</v>
      </c>
      <c r="AD1704" s="125" t="s">
        <v>112</v>
      </c>
      <c r="AE1704" s="125">
        <v>8.1313012895662364</v>
      </c>
      <c r="AF1704" s="125">
        <v>8.1313012895662364</v>
      </c>
      <c r="AG1704" s="125">
        <v>8.1313012895662364</v>
      </c>
      <c r="AH1704" s="125">
        <v>8.1313012895662364</v>
      </c>
      <c r="AI1704" s="125">
        <v>8.1313012895662364</v>
      </c>
      <c r="AJ1704" s="125">
        <v>8.1313012895662364</v>
      </c>
      <c r="AK1704" s="125">
        <v>8.1313012895662364</v>
      </c>
      <c r="AL1704" s="125">
        <v>8.1313012895662364</v>
      </c>
      <c r="AM1704" s="125">
        <v>8.1313012895662364</v>
      </c>
      <c r="AN1704" s="125">
        <v>8.1313012895662364</v>
      </c>
      <c r="AO1704" s="125">
        <v>8.1313012895662364</v>
      </c>
      <c r="AP1704" s="125">
        <v>8.1313012895662364</v>
      </c>
      <c r="AQ1704" s="125">
        <v>8.1313012895662364</v>
      </c>
      <c r="AR1704" s="125">
        <v>8.1313012895662364</v>
      </c>
      <c r="AS1704" s="125">
        <v>8.1276445171701557</v>
      </c>
      <c r="AT1704" s="125">
        <v>8.1253055391425448</v>
      </c>
      <c r="AU1704" s="125">
        <v>8.1215050599578742</v>
      </c>
      <c r="AV1704" s="125">
        <v>8.1153866133928183</v>
      </c>
      <c r="AW1704" s="125">
        <v>8.1056815451410582</v>
      </c>
      <c r="AX1704" s="126">
        <v>8.0906447831184067</v>
      </c>
    </row>
    <row r="1705" spans="1:50" x14ac:dyDescent="0.25">
      <c r="A1705" s="356"/>
      <c r="B1705" s="359"/>
      <c r="C1705" s="361" t="s">
        <v>16</v>
      </c>
      <c r="D1705" s="2" t="s">
        <v>7</v>
      </c>
      <c r="E1705" s="160" t="str">
        <f>A1699&amp;"/"&amp;B1699&amp;"/"&amp;C1705&amp;"/"&amp;D1705</f>
        <v>Fuel oil fired power plants/Integrated gasification combined cycle/CHP with CCS/L</v>
      </c>
      <c r="F1705" s="76" t="str">
        <f>A1699</f>
        <v>Fuel oil fired power plants</v>
      </c>
      <c r="G1705" s="76" t="str">
        <f>B1699</f>
        <v>Integrated gasification combined cycle</v>
      </c>
      <c r="H1705" s="76" t="str">
        <f>C1705</f>
        <v>CHP with CCS</v>
      </c>
      <c r="I1705" s="161" t="str">
        <f t="shared" si="105"/>
        <v>L</v>
      </c>
      <c r="J1705" s="119" t="s">
        <v>112</v>
      </c>
      <c r="K1705" s="119" t="s">
        <v>112</v>
      </c>
      <c r="L1705" s="119" t="s">
        <v>112</v>
      </c>
      <c r="M1705" s="119" t="s">
        <v>112</v>
      </c>
      <c r="N1705" s="119" t="s">
        <v>112</v>
      </c>
      <c r="O1705" s="119" t="s">
        <v>112</v>
      </c>
      <c r="P1705" s="119" t="s">
        <v>112</v>
      </c>
      <c r="Q1705" s="119" t="s">
        <v>112</v>
      </c>
      <c r="R1705" s="119" t="s">
        <v>112</v>
      </c>
      <c r="S1705" s="119" t="s">
        <v>112</v>
      </c>
      <c r="T1705" s="119" t="s">
        <v>112</v>
      </c>
      <c r="U1705" s="119" t="s">
        <v>112</v>
      </c>
      <c r="V1705" s="119" t="s">
        <v>112</v>
      </c>
      <c r="W1705" s="119" t="s">
        <v>112</v>
      </c>
      <c r="X1705" s="119" t="s">
        <v>112</v>
      </c>
      <c r="Y1705" s="119" t="s">
        <v>112</v>
      </c>
      <c r="Z1705" s="119" t="s">
        <v>112</v>
      </c>
      <c r="AA1705" s="119" t="s">
        <v>112</v>
      </c>
      <c r="AB1705" s="119" t="s">
        <v>112</v>
      </c>
      <c r="AC1705" s="119" t="s">
        <v>112</v>
      </c>
      <c r="AD1705" s="119" t="s">
        <v>112</v>
      </c>
      <c r="AE1705" s="119">
        <v>8.3010112926898394</v>
      </c>
      <c r="AF1705" s="119">
        <v>8.3010112926898394</v>
      </c>
      <c r="AG1705" s="119">
        <v>8.3010112926898394</v>
      </c>
      <c r="AH1705" s="119">
        <v>8.3010112926898394</v>
      </c>
      <c r="AI1705" s="119">
        <v>8.3010112926898394</v>
      </c>
      <c r="AJ1705" s="119">
        <v>8.3010112926898394</v>
      </c>
      <c r="AK1705" s="119">
        <v>8.3010112926898394</v>
      </c>
      <c r="AL1705" s="119">
        <v>8.3010112926898394</v>
      </c>
      <c r="AM1705" s="119">
        <v>8.3010112926898394</v>
      </c>
      <c r="AN1705" s="119">
        <v>8.3010112926898394</v>
      </c>
      <c r="AO1705" s="119">
        <v>8.3010112926898394</v>
      </c>
      <c r="AP1705" s="119">
        <v>8.3010112926898394</v>
      </c>
      <c r="AQ1705" s="119">
        <v>8.3010112926898394</v>
      </c>
      <c r="AR1705" s="119">
        <v>8.3010112926898394</v>
      </c>
      <c r="AS1705" s="119">
        <v>8.2972781990712825</v>
      </c>
      <c r="AT1705" s="119">
        <v>8.2948904037690134</v>
      </c>
      <c r="AU1705" s="119">
        <v>8.2910106040289566</v>
      </c>
      <c r="AV1705" s="119">
        <v>8.2847644581512458</v>
      </c>
      <c r="AW1705" s="119">
        <v>8.2748568334937325</v>
      </c>
      <c r="AX1705" s="120">
        <v>8.2595062362263931</v>
      </c>
    </row>
    <row r="1706" spans="1:50" x14ac:dyDescent="0.25">
      <c r="A1706" s="356"/>
      <c r="B1706" s="362"/>
      <c r="C1706" s="354"/>
      <c r="D1706" s="4" t="s">
        <v>8</v>
      </c>
      <c r="E1706" s="168" t="str">
        <f>A1699&amp;"/"&amp;B1699&amp;"/"&amp;C1705&amp;"/"&amp;D1706</f>
        <v>Fuel oil fired power plants/Integrated gasification combined cycle/CHP with CCS/M</v>
      </c>
      <c r="F1706" s="80" t="str">
        <f>A1699</f>
        <v>Fuel oil fired power plants</v>
      </c>
      <c r="G1706" s="80" t="str">
        <f>B1699</f>
        <v>Integrated gasification combined cycle</v>
      </c>
      <c r="H1706" s="80" t="str">
        <f>C1705</f>
        <v>CHP with CCS</v>
      </c>
      <c r="I1706" s="169" t="str">
        <f t="shared" si="105"/>
        <v>M</v>
      </c>
      <c r="J1706" s="127" t="s">
        <v>112</v>
      </c>
      <c r="K1706" s="127" t="s">
        <v>112</v>
      </c>
      <c r="L1706" s="127" t="s">
        <v>112</v>
      </c>
      <c r="M1706" s="127" t="s">
        <v>112</v>
      </c>
      <c r="N1706" s="127" t="s">
        <v>112</v>
      </c>
      <c r="O1706" s="127" t="s">
        <v>112</v>
      </c>
      <c r="P1706" s="127" t="s">
        <v>112</v>
      </c>
      <c r="Q1706" s="127" t="s">
        <v>112</v>
      </c>
      <c r="R1706" s="127" t="s">
        <v>112</v>
      </c>
      <c r="S1706" s="127" t="s">
        <v>112</v>
      </c>
      <c r="T1706" s="127" t="s">
        <v>112</v>
      </c>
      <c r="U1706" s="127" t="s">
        <v>112</v>
      </c>
      <c r="V1706" s="127" t="s">
        <v>112</v>
      </c>
      <c r="W1706" s="127" t="s">
        <v>112</v>
      </c>
      <c r="X1706" s="127" t="s">
        <v>112</v>
      </c>
      <c r="Y1706" s="127" t="s">
        <v>112</v>
      </c>
      <c r="Z1706" s="127" t="s">
        <v>112</v>
      </c>
      <c r="AA1706" s="127" t="s">
        <v>112</v>
      </c>
      <c r="AB1706" s="127" t="s">
        <v>112</v>
      </c>
      <c r="AC1706" s="127" t="s">
        <v>112</v>
      </c>
      <c r="AD1706" s="127" t="s">
        <v>112</v>
      </c>
      <c r="AE1706" s="127">
        <v>8.7894983925023205</v>
      </c>
      <c r="AF1706" s="127">
        <v>8.7894983925023205</v>
      </c>
      <c r="AG1706" s="127">
        <v>8.7894983925023205</v>
      </c>
      <c r="AH1706" s="127">
        <v>8.7894983925023205</v>
      </c>
      <c r="AI1706" s="127">
        <v>8.7894983925023205</v>
      </c>
      <c r="AJ1706" s="127">
        <v>8.7894983925023205</v>
      </c>
      <c r="AK1706" s="127">
        <v>8.7894983925023205</v>
      </c>
      <c r="AL1706" s="127">
        <v>8.7894983925023205</v>
      </c>
      <c r="AM1706" s="127">
        <v>8.7894983925023205</v>
      </c>
      <c r="AN1706" s="127">
        <v>8.7894983925023205</v>
      </c>
      <c r="AO1706" s="127">
        <v>8.7894983925023205</v>
      </c>
      <c r="AP1706" s="127">
        <v>8.7894983925023205</v>
      </c>
      <c r="AQ1706" s="127">
        <v>8.7894983925023205</v>
      </c>
      <c r="AR1706" s="127">
        <v>8.7894983925023205</v>
      </c>
      <c r="AS1706" s="127">
        <v>8.7855456186531526</v>
      </c>
      <c r="AT1706" s="127">
        <v>8.7830173094832347</v>
      </c>
      <c r="AU1706" s="127">
        <v>8.7789091963418304</v>
      </c>
      <c r="AV1706" s="127">
        <v>8.7722954854076178</v>
      </c>
      <c r="AW1706" s="127">
        <v>8.7618048297597415</v>
      </c>
      <c r="AX1706" s="128">
        <v>8.7455509005398095</v>
      </c>
    </row>
    <row r="1707" spans="1:50" x14ac:dyDescent="0.25">
      <c r="A1707" s="356"/>
      <c r="B1707" s="358" t="s">
        <v>17</v>
      </c>
      <c r="C1707" s="353" t="s">
        <v>6</v>
      </c>
      <c r="D1707" s="3" t="s">
        <v>7</v>
      </c>
      <c r="E1707" s="162" t="str">
        <f>A1699&amp;"/"&amp;B1707&amp;"/"&amp;C1707&amp;"/"&amp;D1707</f>
        <v>Fuel oil fired power plants/Supercritical steam turbine/Electricity only/L</v>
      </c>
      <c r="F1707" s="77" t="str">
        <f>A1699</f>
        <v>Fuel oil fired power plants</v>
      </c>
      <c r="G1707" s="77" t="str">
        <f>B1707</f>
        <v>Supercritical steam turbine</v>
      </c>
      <c r="H1707" s="77" t="str">
        <f>C1707</f>
        <v>Electricity only</v>
      </c>
      <c r="I1707" s="163" t="str">
        <f t="shared" si="105"/>
        <v>L</v>
      </c>
      <c r="J1707" s="121">
        <v>5.1699882766705745</v>
      </c>
      <c r="K1707" s="121">
        <v>5.1699882766705745</v>
      </c>
      <c r="L1707" s="121">
        <v>5.1699882766705745</v>
      </c>
      <c r="M1707" s="121">
        <v>5.1699882766705745</v>
      </c>
      <c r="N1707" s="121">
        <v>5.1699882766705745</v>
      </c>
      <c r="O1707" s="121">
        <v>5.1699882766705745</v>
      </c>
      <c r="P1707" s="121">
        <v>5.1699882766705745</v>
      </c>
      <c r="Q1707" s="121">
        <v>5.1699882766705745</v>
      </c>
      <c r="R1707" s="121">
        <v>5.1699882766705745</v>
      </c>
      <c r="S1707" s="121">
        <v>5.1699882766705745</v>
      </c>
      <c r="T1707" s="121">
        <v>5.1699882766705745</v>
      </c>
      <c r="U1707" s="121">
        <v>5.1699882766705745</v>
      </c>
      <c r="V1707" s="121">
        <v>5.1699882766705745</v>
      </c>
      <c r="W1707" s="121">
        <v>5.1699882766705745</v>
      </c>
      <c r="X1707" s="121">
        <v>5.1699882766705745</v>
      </c>
      <c r="Y1707" s="121">
        <v>5.1699882766705745</v>
      </c>
      <c r="Z1707" s="121">
        <v>5.1699882766705745</v>
      </c>
      <c r="AA1707" s="121">
        <v>5.1699882766705745</v>
      </c>
      <c r="AB1707" s="121">
        <v>5.1699882766705745</v>
      </c>
      <c r="AC1707" s="121">
        <v>5.1699882766705745</v>
      </c>
      <c r="AD1707" s="121">
        <v>5.1699882766705745</v>
      </c>
      <c r="AE1707" s="121">
        <v>5.1699882766705745</v>
      </c>
      <c r="AF1707" s="121">
        <v>5.1699882766705745</v>
      </c>
      <c r="AG1707" s="121">
        <v>5.1699882766705745</v>
      </c>
      <c r="AH1707" s="121">
        <v>5.1699882766705745</v>
      </c>
      <c r="AI1707" s="121">
        <v>5.1699882766705745</v>
      </c>
      <c r="AJ1707" s="121">
        <v>5.1699882766705745</v>
      </c>
      <c r="AK1707" s="121">
        <v>5.1699882766705745</v>
      </c>
      <c r="AL1707" s="121">
        <v>5.1699882766705745</v>
      </c>
      <c r="AM1707" s="121">
        <v>5.1699882766705745</v>
      </c>
      <c r="AN1707" s="121">
        <v>5.168573320062281</v>
      </c>
      <c r="AO1707" s="121">
        <v>5.1680817542762094</v>
      </c>
      <c r="AP1707" s="121">
        <v>5.1674210355559715</v>
      </c>
      <c r="AQ1707" s="121">
        <v>5.166534269182919</v>
      </c>
      <c r="AR1707" s="121">
        <v>5.1653464792431425</v>
      </c>
      <c r="AS1707" s="121">
        <v>5.1637597050770232</v>
      </c>
      <c r="AT1707" s="121">
        <v>5.1616474443660394</v>
      </c>
      <c r="AU1707" s="121">
        <v>5.1588489432392306</v>
      </c>
      <c r="AV1707" s="121">
        <v>5.1551644233137495</v>
      </c>
      <c r="AW1707" s="121">
        <v>5.1503532549268076</v>
      </c>
      <c r="AX1707" s="122">
        <v>5.1441383352872228</v>
      </c>
    </row>
    <row r="1708" spans="1:50" x14ac:dyDescent="0.25">
      <c r="A1708" s="356"/>
      <c r="B1708" s="359"/>
      <c r="C1708" s="360"/>
      <c r="D1708" s="2" t="s">
        <v>8</v>
      </c>
      <c r="E1708" s="160" t="str">
        <f>A1699&amp;"/"&amp;B1707&amp;"/"&amp;C1707&amp;"/"&amp;D1708</f>
        <v>Fuel oil fired power plants/Supercritical steam turbine/Electricity only/M</v>
      </c>
      <c r="F1708" s="76" t="str">
        <f>A1699</f>
        <v>Fuel oil fired power plants</v>
      </c>
      <c r="G1708" s="76" t="str">
        <f>B1707</f>
        <v>Supercritical steam turbine</v>
      </c>
      <c r="H1708" s="76" t="str">
        <f>C1707</f>
        <v>Electricity only</v>
      </c>
      <c r="I1708" s="161" t="str">
        <f t="shared" si="105"/>
        <v>M</v>
      </c>
      <c r="J1708" s="119">
        <v>5.6352872215709269</v>
      </c>
      <c r="K1708" s="119">
        <v>5.6352872215709269</v>
      </c>
      <c r="L1708" s="119">
        <v>5.6352872215709269</v>
      </c>
      <c r="M1708" s="119">
        <v>5.6352872215709269</v>
      </c>
      <c r="N1708" s="119">
        <v>5.6352872215709269</v>
      </c>
      <c r="O1708" s="119">
        <v>5.6352872215709269</v>
      </c>
      <c r="P1708" s="119">
        <v>5.6352872215709269</v>
      </c>
      <c r="Q1708" s="119">
        <v>5.6352872215709269</v>
      </c>
      <c r="R1708" s="119">
        <v>5.6352872215709269</v>
      </c>
      <c r="S1708" s="119">
        <v>5.6352872215709269</v>
      </c>
      <c r="T1708" s="119">
        <v>5.6352872215709269</v>
      </c>
      <c r="U1708" s="119">
        <v>5.6352872215709269</v>
      </c>
      <c r="V1708" s="119">
        <v>5.6352872215709269</v>
      </c>
      <c r="W1708" s="119">
        <v>5.6352872215709269</v>
      </c>
      <c r="X1708" s="119">
        <v>5.6352872215709269</v>
      </c>
      <c r="Y1708" s="119">
        <v>5.6352872215709269</v>
      </c>
      <c r="Z1708" s="119">
        <v>5.6352872215709269</v>
      </c>
      <c r="AA1708" s="119">
        <v>5.6352872215709269</v>
      </c>
      <c r="AB1708" s="119">
        <v>5.6352872215709269</v>
      </c>
      <c r="AC1708" s="119">
        <v>5.6352872215709269</v>
      </c>
      <c r="AD1708" s="119">
        <v>5.6352872215709269</v>
      </c>
      <c r="AE1708" s="119">
        <v>5.6352872215709269</v>
      </c>
      <c r="AF1708" s="119">
        <v>5.6352872215709269</v>
      </c>
      <c r="AG1708" s="119">
        <v>5.6352872215709269</v>
      </c>
      <c r="AH1708" s="119">
        <v>5.6352872215709269</v>
      </c>
      <c r="AI1708" s="119">
        <v>5.6352872215709269</v>
      </c>
      <c r="AJ1708" s="119">
        <v>5.6352872215709269</v>
      </c>
      <c r="AK1708" s="119">
        <v>5.6352872215709269</v>
      </c>
      <c r="AL1708" s="119">
        <v>5.6352872215709269</v>
      </c>
      <c r="AM1708" s="119">
        <v>5.6352872215709269</v>
      </c>
      <c r="AN1708" s="119">
        <v>5.6337449188678859</v>
      </c>
      <c r="AO1708" s="119">
        <v>5.6332091121610679</v>
      </c>
      <c r="AP1708" s="119">
        <v>5.6324889287560094</v>
      </c>
      <c r="AQ1708" s="119">
        <v>5.6315223534093812</v>
      </c>
      <c r="AR1708" s="119">
        <v>5.6302276623750256</v>
      </c>
      <c r="AS1708" s="119">
        <v>5.6284980785339549</v>
      </c>
      <c r="AT1708" s="119">
        <v>5.6261957143589827</v>
      </c>
      <c r="AU1708" s="119">
        <v>5.6231453481307607</v>
      </c>
      <c r="AV1708" s="119">
        <v>5.6191292214119875</v>
      </c>
      <c r="AW1708" s="119">
        <v>5.6138850478702196</v>
      </c>
      <c r="AX1708" s="120">
        <v>5.607110785463072</v>
      </c>
    </row>
    <row r="1709" spans="1:50" x14ac:dyDescent="0.25">
      <c r="A1709" s="356"/>
      <c r="B1709" s="359"/>
      <c r="C1709" s="361" t="s">
        <v>14</v>
      </c>
      <c r="D1709" s="58" t="s">
        <v>7</v>
      </c>
      <c r="E1709" s="164" t="str">
        <f>A1699&amp;"/"&amp;B1707&amp;"/"&amp;C1709&amp;"/"&amp;D1709</f>
        <v>Fuel oil fired power plants/Supercritical steam turbine/CHP/L</v>
      </c>
      <c r="F1709" s="78" t="str">
        <f>A1699</f>
        <v>Fuel oil fired power plants</v>
      </c>
      <c r="G1709" s="78" t="str">
        <f>B1707</f>
        <v>Supercritical steam turbine</v>
      </c>
      <c r="H1709" s="78" t="str">
        <f>C1709</f>
        <v>CHP</v>
      </c>
      <c r="I1709" s="165" t="str">
        <f t="shared" si="105"/>
        <v>L</v>
      </c>
      <c r="J1709" s="123">
        <v>6.4802274621236693</v>
      </c>
      <c r="K1709" s="123">
        <v>6.4802274621236693</v>
      </c>
      <c r="L1709" s="123">
        <v>6.4802274621236693</v>
      </c>
      <c r="M1709" s="123">
        <v>6.4802274621236693</v>
      </c>
      <c r="N1709" s="123">
        <v>6.4802274621236693</v>
      </c>
      <c r="O1709" s="123">
        <v>6.4802274621236693</v>
      </c>
      <c r="P1709" s="123">
        <v>6.4802274621236693</v>
      </c>
      <c r="Q1709" s="123">
        <v>6.4802274621236693</v>
      </c>
      <c r="R1709" s="123">
        <v>6.4802274621236693</v>
      </c>
      <c r="S1709" s="123">
        <v>6.4802274621236693</v>
      </c>
      <c r="T1709" s="123">
        <v>6.4802274621236693</v>
      </c>
      <c r="U1709" s="123">
        <v>6.4802274621236693</v>
      </c>
      <c r="V1709" s="123">
        <v>6.4802274621236693</v>
      </c>
      <c r="W1709" s="123">
        <v>6.4802274621236693</v>
      </c>
      <c r="X1709" s="123">
        <v>6.4802274621236693</v>
      </c>
      <c r="Y1709" s="123">
        <v>6.4802274621236693</v>
      </c>
      <c r="Z1709" s="123">
        <v>6.4802274621236693</v>
      </c>
      <c r="AA1709" s="123">
        <v>6.4802274621236693</v>
      </c>
      <c r="AB1709" s="123">
        <v>6.4802274621236693</v>
      </c>
      <c r="AC1709" s="123">
        <v>6.4802274621236693</v>
      </c>
      <c r="AD1709" s="123">
        <v>6.4802274621236693</v>
      </c>
      <c r="AE1709" s="123">
        <v>6.4802274621236693</v>
      </c>
      <c r="AF1709" s="123">
        <v>6.4802274621236693</v>
      </c>
      <c r="AG1709" s="123">
        <v>6.4802274621236693</v>
      </c>
      <c r="AH1709" s="123">
        <v>6.4802274621236693</v>
      </c>
      <c r="AI1709" s="123">
        <v>6.4802274621236693</v>
      </c>
      <c r="AJ1709" s="123">
        <v>6.4802274621236693</v>
      </c>
      <c r="AK1709" s="123">
        <v>6.4802274621236693</v>
      </c>
      <c r="AL1709" s="123">
        <v>6.4802274621236693</v>
      </c>
      <c r="AM1709" s="123">
        <v>6.4802274621236693</v>
      </c>
      <c r="AN1709" s="123">
        <v>6.4784539105834922</v>
      </c>
      <c r="AO1709" s="123">
        <v>6.4778377664191602</v>
      </c>
      <c r="AP1709" s="123">
        <v>6.4770096005962419</v>
      </c>
      <c r="AQ1709" s="123">
        <v>6.4758980994678783</v>
      </c>
      <c r="AR1709" s="123">
        <v>6.4744092858429614</v>
      </c>
      <c r="AS1709" s="123">
        <v>6.4724203727202996</v>
      </c>
      <c r="AT1709" s="123">
        <v>6.4697727980771909</v>
      </c>
      <c r="AU1709" s="123">
        <v>6.4662650679075568</v>
      </c>
      <c r="AV1709" s="123">
        <v>6.4616467736430243</v>
      </c>
      <c r="AW1709" s="123">
        <v>6.4556163024238442</v>
      </c>
      <c r="AX1709" s="124">
        <v>6.4478263248130503</v>
      </c>
    </row>
    <row r="1710" spans="1:50" x14ac:dyDescent="0.25">
      <c r="A1710" s="356"/>
      <c r="B1710" s="359"/>
      <c r="C1710" s="360"/>
      <c r="D1710" s="59" t="s">
        <v>8</v>
      </c>
      <c r="E1710" s="166" t="str">
        <f>A1699&amp;"/"&amp;B1707&amp;"/"&amp;C1709&amp;"/"&amp;D1710</f>
        <v>Fuel oil fired power plants/Supercritical steam turbine/CHP/M</v>
      </c>
      <c r="F1710" s="79" t="str">
        <f>A1699</f>
        <v>Fuel oil fired power plants</v>
      </c>
      <c r="G1710" s="79" t="str">
        <f>B1707</f>
        <v>Supercritical steam turbine</v>
      </c>
      <c r="H1710" s="79" t="str">
        <f>C1709</f>
        <v>CHP</v>
      </c>
      <c r="I1710" s="167" t="str">
        <f t="shared" si="105"/>
        <v>M</v>
      </c>
      <c r="J1710" s="125">
        <v>7.0027968565905807</v>
      </c>
      <c r="K1710" s="125">
        <v>7.0027968565905807</v>
      </c>
      <c r="L1710" s="125">
        <v>7.0027968565905807</v>
      </c>
      <c r="M1710" s="125">
        <v>7.0027968565905807</v>
      </c>
      <c r="N1710" s="125">
        <v>7.0027968565905807</v>
      </c>
      <c r="O1710" s="125">
        <v>7.0027968565905807</v>
      </c>
      <c r="P1710" s="125">
        <v>7.0027968565905807</v>
      </c>
      <c r="Q1710" s="125">
        <v>7.0027968565905807</v>
      </c>
      <c r="R1710" s="125">
        <v>7.0027968565905807</v>
      </c>
      <c r="S1710" s="125">
        <v>7.0027968565905807</v>
      </c>
      <c r="T1710" s="125">
        <v>7.0027968565905807</v>
      </c>
      <c r="U1710" s="125">
        <v>7.0027968565905807</v>
      </c>
      <c r="V1710" s="125">
        <v>7.0027968565905807</v>
      </c>
      <c r="W1710" s="125">
        <v>7.0027968565905807</v>
      </c>
      <c r="X1710" s="125">
        <v>7.0027968565905807</v>
      </c>
      <c r="Y1710" s="125">
        <v>7.0027968565905807</v>
      </c>
      <c r="Z1710" s="125">
        <v>7.0027968565905807</v>
      </c>
      <c r="AA1710" s="125">
        <v>7.0027968565905807</v>
      </c>
      <c r="AB1710" s="125">
        <v>7.0027968565905807</v>
      </c>
      <c r="AC1710" s="125">
        <v>7.0027968565905807</v>
      </c>
      <c r="AD1710" s="125">
        <v>7.0027968565905807</v>
      </c>
      <c r="AE1710" s="125">
        <v>7.0027968565905807</v>
      </c>
      <c r="AF1710" s="125">
        <v>7.0027968565905807</v>
      </c>
      <c r="AG1710" s="125">
        <v>7.0027968565905807</v>
      </c>
      <c r="AH1710" s="125">
        <v>7.0027968565905807</v>
      </c>
      <c r="AI1710" s="125">
        <v>7.0027968565905807</v>
      </c>
      <c r="AJ1710" s="125">
        <v>7.0027968565905807</v>
      </c>
      <c r="AK1710" s="125">
        <v>7.0027968565905807</v>
      </c>
      <c r="AL1710" s="125">
        <v>7.0027968565905807</v>
      </c>
      <c r="AM1710" s="125">
        <v>7.0027968565905807</v>
      </c>
      <c r="AN1710" s="125">
        <v>7.0008802847999858</v>
      </c>
      <c r="AO1710" s="125">
        <v>7.0002144544039986</v>
      </c>
      <c r="AP1710" s="125">
        <v>6.9993195047968495</v>
      </c>
      <c r="AQ1710" s="125">
        <v>6.9981183715568056</v>
      </c>
      <c r="AR1710" s="125">
        <v>6.9965094991162067</v>
      </c>
      <c r="AS1710" s="125">
        <v>6.9943601988571018</v>
      </c>
      <c r="AT1710" s="125">
        <v>6.9914991222210237</v>
      </c>
      <c r="AU1710" s="125">
        <v>6.9877085266054744</v>
      </c>
      <c r="AV1710" s="125">
        <v>6.9827178103462844</v>
      </c>
      <c r="AW1710" s="125">
        <v>6.9762010383434081</v>
      </c>
      <c r="AX1710" s="126">
        <v>6.9677828723076294</v>
      </c>
    </row>
    <row r="1711" spans="1:50" x14ac:dyDescent="0.25">
      <c r="A1711" s="356"/>
      <c r="B1711" s="359"/>
      <c r="C1711" s="361" t="s">
        <v>15</v>
      </c>
      <c r="D1711" s="58" t="s">
        <v>7</v>
      </c>
      <c r="E1711" s="164" t="str">
        <f>A1699&amp;"/"&amp;B1707&amp;"/"&amp;C1711&amp;"/"&amp;D1711</f>
        <v>Fuel oil fired power plants/Supercritical steam turbine/Electricity only with CCS/L</v>
      </c>
      <c r="F1711" s="78" t="str">
        <f>A1699</f>
        <v>Fuel oil fired power plants</v>
      </c>
      <c r="G1711" s="78" t="str">
        <f>B1707</f>
        <v>Supercritical steam turbine</v>
      </c>
      <c r="H1711" s="78" t="str">
        <f>C1711</f>
        <v>Electricity only with CCS</v>
      </c>
      <c r="I1711" s="165" t="str">
        <f t="shared" si="105"/>
        <v>L</v>
      </c>
      <c r="J1711" s="123" t="s">
        <v>112</v>
      </c>
      <c r="K1711" s="123" t="s">
        <v>112</v>
      </c>
      <c r="L1711" s="123" t="s">
        <v>112</v>
      </c>
      <c r="M1711" s="123" t="s">
        <v>112</v>
      </c>
      <c r="N1711" s="123" t="s">
        <v>112</v>
      </c>
      <c r="O1711" s="123" t="s">
        <v>112</v>
      </c>
      <c r="P1711" s="123" t="s">
        <v>112</v>
      </c>
      <c r="Q1711" s="123" t="s">
        <v>112</v>
      </c>
      <c r="R1711" s="123" t="s">
        <v>112</v>
      </c>
      <c r="S1711" s="123" t="s">
        <v>112</v>
      </c>
      <c r="T1711" s="123" t="s">
        <v>112</v>
      </c>
      <c r="U1711" s="123" t="s">
        <v>112</v>
      </c>
      <c r="V1711" s="123" t="s">
        <v>112</v>
      </c>
      <c r="W1711" s="123" t="s">
        <v>112</v>
      </c>
      <c r="X1711" s="123" t="s">
        <v>112</v>
      </c>
      <c r="Y1711" s="123" t="s">
        <v>112</v>
      </c>
      <c r="Z1711" s="123" t="s">
        <v>112</v>
      </c>
      <c r="AA1711" s="123" t="s">
        <v>112</v>
      </c>
      <c r="AB1711" s="123" t="s">
        <v>112</v>
      </c>
      <c r="AC1711" s="123" t="s">
        <v>112</v>
      </c>
      <c r="AD1711" s="123" t="s">
        <v>112</v>
      </c>
      <c r="AE1711" s="123">
        <v>9.5644783118405634</v>
      </c>
      <c r="AF1711" s="123">
        <v>9.5644783118405634</v>
      </c>
      <c r="AG1711" s="123">
        <v>9.5644783118405634</v>
      </c>
      <c r="AH1711" s="123">
        <v>9.5644783118405634</v>
      </c>
      <c r="AI1711" s="123">
        <v>9.5644783118405634</v>
      </c>
      <c r="AJ1711" s="123">
        <v>9.5644783118405634</v>
      </c>
      <c r="AK1711" s="123">
        <v>9.5644783118405634</v>
      </c>
      <c r="AL1711" s="123">
        <v>9.5644783118405634</v>
      </c>
      <c r="AM1711" s="123">
        <v>9.5644783118405634</v>
      </c>
      <c r="AN1711" s="123">
        <v>9.5644783118405634</v>
      </c>
      <c r="AO1711" s="123">
        <v>9.5644783118405634</v>
      </c>
      <c r="AP1711" s="123">
        <v>9.5644783118405634</v>
      </c>
      <c r="AQ1711" s="123">
        <v>9.5644783118405634</v>
      </c>
      <c r="AR1711" s="123">
        <v>9.5644783118405634</v>
      </c>
      <c r="AS1711" s="123">
        <v>9.5601770174931833</v>
      </c>
      <c r="AT1711" s="123">
        <v>9.5574257844715209</v>
      </c>
      <c r="AU1711" s="123">
        <v>9.5529554543924924</v>
      </c>
      <c r="AV1711" s="123">
        <v>9.5457586051564753</v>
      </c>
      <c r="AW1711" s="123">
        <v>9.5343429766484054</v>
      </c>
      <c r="AX1711" s="124">
        <v>9.5166559202813605</v>
      </c>
    </row>
    <row r="1712" spans="1:50" x14ac:dyDescent="0.25">
      <c r="A1712" s="356"/>
      <c r="B1712" s="359"/>
      <c r="C1712" s="360"/>
      <c r="D1712" s="59" t="s">
        <v>8</v>
      </c>
      <c r="E1712" s="166" t="str">
        <f>A1699&amp;"/"&amp;B1707&amp;"/"&amp;C1711&amp;"/"&amp;D1712</f>
        <v>Fuel oil fired power plants/Supercritical steam turbine/Electricity only with CCS/M</v>
      </c>
      <c r="F1712" s="79" t="str">
        <f>A1699</f>
        <v>Fuel oil fired power plants</v>
      </c>
      <c r="G1712" s="79" t="str">
        <f>B1707</f>
        <v>Supercritical steam turbine</v>
      </c>
      <c r="H1712" s="79" t="str">
        <f>C1711</f>
        <v>Electricity only with CCS</v>
      </c>
      <c r="I1712" s="167" t="str">
        <f t="shared" si="105"/>
        <v>M</v>
      </c>
      <c r="J1712" s="125" t="s">
        <v>112</v>
      </c>
      <c r="K1712" s="125" t="s">
        <v>112</v>
      </c>
      <c r="L1712" s="125" t="s">
        <v>112</v>
      </c>
      <c r="M1712" s="125" t="s">
        <v>112</v>
      </c>
      <c r="N1712" s="125" t="s">
        <v>112</v>
      </c>
      <c r="O1712" s="125" t="s">
        <v>112</v>
      </c>
      <c r="P1712" s="125" t="s">
        <v>112</v>
      </c>
      <c r="Q1712" s="125" t="s">
        <v>112</v>
      </c>
      <c r="R1712" s="125" t="s">
        <v>112</v>
      </c>
      <c r="S1712" s="125" t="s">
        <v>112</v>
      </c>
      <c r="T1712" s="125" t="s">
        <v>112</v>
      </c>
      <c r="U1712" s="125" t="s">
        <v>112</v>
      </c>
      <c r="V1712" s="125" t="s">
        <v>112</v>
      </c>
      <c r="W1712" s="125" t="s">
        <v>112</v>
      </c>
      <c r="X1712" s="125" t="s">
        <v>112</v>
      </c>
      <c r="Y1712" s="125" t="s">
        <v>112</v>
      </c>
      <c r="Z1712" s="125" t="s">
        <v>112</v>
      </c>
      <c r="AA1712" s="125" t="s">
        <v>112</v>
      </c>
      <c r="AB1712" s="125" t="s">
        <v>112</v>
      </c>
      <c r="AC1712" s="125" t="s">
        <v>112</v>
      </c>
      <c r="AD1712" s="125" t="s">
        <v>112</v>
      </c>
      <c r="AE1712" s="125">
        <v>10.244059665576604</v>
      </c>
      <c r="AF1712" s="125">
        <v>10.244059665576604</v>
      </c>
      <c r="AG1712" s="125">
        <v>10.244059665576604</v>
      </c>
      <c r="AH1712" s="125">
        <v>10.244059665576604</v>
      </c>
      <c r="AI1712" s="125">
        <v>10.244059665576604</v>
      </c>
      <c r="AJ1712" s="125">
        <v>10.244059665576604</v>
      </c>
      <c r="AK1712" s="125">
        <v>10.244059665576604</v>
      </c>
      <c r="AL1712" s="125">
        <v>10.244059665576604</v>
      </c>
      <c r="AM1712" s="125">
        <v>10.244059665576604</v>
      </c>
      <c r="AN1712" s="125">
        <v>10.244059665576604</v>
      </c>
      <c r="AO1712" s="125">
        <v>10.244059665576604</v>
      </c>
      <c r="AP1712" s="125">
        <v>10.244059665576604</v>
      </c>
      <c r="AQ1712" s="125">
        <v>10.244059665576604</v>
      </c>
      <c r="AR1712" s="125">
        <v>10.244059665576604</v>
      </c>
      <c r="AS1712" s="125">
        <v>10.239452752946647</v>
      </c>
      <c r="AT1712" s="125">
        <v>10.236506037578707</v>
      </c>
      <c r="AU1712" s="125">
        <v>10.231718078783537</v>
      </c>
      <c r="AV1712" s="125">
        <v>10.224009874470227</v>
      </c>
      <c r="AW1712" s="125">
        <v>10.211783135515532</v>
      </c>
      <c r="AX1712" s="126">
        <v>10.192839367248721</v>
      </c>
    </row>
    <row r="1713" spans="1:50" x14ac:dyDescent="0.25">
      <c r="A1713" s="356"/>
      <c r="B1713" s="359"/>
      <c r="C1713" s="361" t="s">
        <v>16</v>
      </c>
      <c r="D1713" s="2" t="s">
        <v>7</v>
      </c>
      <c r="E1713" s="160" t="str">
        <f>A1699&amp;"/"&amp;B1707&amp;"/"&amp;C1713&amp;"/"&amp;D1713</f>
        <v>Fuel oil fired power plants/Supercritical steam turbine/CHP with CCS/L</v>
      </c>
      <c r="F1713" s="76" t="str">
        <f>A1699</f>
        <v>Fuel oil fired power plants</v>
      </c>
      <c r="G1713" s="76" t="str">
        <f>B1707</f>
        <v>Supercritical steam turbine</v>
      </c>
      <c r="H1713" s="76" t="str">
        <f>C1713</f>
        <v>CHP with CCS</v>
      </c>
      <c r="I1713" s="161" t="str">
        <f t="shared" si="105"/>
        <v>L</v>
      </c>
      <c r="J1713" s="119" t="s">
        <v>112</v>
      </c>
      <c r="K1713" s="119" t="s">
        <v>112</v>
      </c>
      <c r="L1713" s="119" t="s">
        <v>112</v>
      </c>
      <c r="M1713" s="119" t="s">
        <v>112</v>
      </c>
      <c r="N1713" s="119" t="s">
        <v>112</v>
      </c>
      <c r="O1713" s="119" t="s">
        <v>112</v>
      </c>
      <c r="P1713" s="119" t="s">
        <v>112</v>
      </c>
      <c r="Q1713" s="119" t="s">
        <v>112</v>
      </c>
      <c r="R1713" s="119" t="s">
        <v>112</v>
      </c>
      <c r="S1713" s="119" t="s">
        <v>112</v>
      </c>
      <c r="T1713" s="119" t="s">
        <v>112</v>
      </c>
      <c r="U1713" s="119" t="s">
        <v>112</v>
      </c>
      <c r="V1713" s="119" t="s">
        <v>112</v>
      </c>
      <c r="W1713" s="119" t="s">
        <v>112</v>
      </c>
      <c r="X1713" s="119" t="s">
        <v>112</v>
      </c>
      <c r="Y1713" s="119" t="s">
        <v>112</v>
      </c>
      <c r="Z1713" s="119" t="s">
        <v>112</v>
      </c>
      <c r="AA1713" s="119" t="s">
        <v>112</v>
      </c>
      <c r="AB1713" s="119" t="s">
        <v>112</v>
      </c>
      <c r="AC1713" s="119" t="s">
        <v>112</v>
      </c>
      <c r="AD1713" s="119" t="s">
        <v>112</v>
      </c>
      <c r="AE1713" s="119">
        <v>10.652746000968179</v>
      </c>
      <c r="AF1713" s="119">
        <v>10.652746000968179</v>
      </c>
      <c r="AG1713" s="119">
        <v>10.652746000968179</v>
      </c>
      <c r="AH1713" s="119">
        <v>10.652746000968179</v>
      </c>
      <c r="AI1713" s="119">
        <v>10.652746000968179</v>
      </c>
      <c r="AJ1713" s="119">
        <v>10.652746000968179</v>
      </c>
      <c r="AK1713" s="119">
        <v>10.652746000968179</v>
      </c>
      <c r="AL1713" s="119">
        <v>10.652746000968179</v>
      </c>
      <c r="AM1713" s="119">
        <v>10.652746000968179</v>
      </c>
      <c r="AN1713" s="119">
        <v>10.652746000968179</v>
      </c>
      <c r="AO1713" s="119">
        <v>10.652746000968179</v>
      </c>
      <c r="AP1713" s="119">
        <v>10.652746000968179</v>
      </c>
      <c r="AQ1713" s="119">
        <v>10.652746000968179</v>
      </c>
      <c r="AR1713" s="119">
        <v>10.652746000968179</v>
      </c>
      <c r="AS1713" s="119">
        <v>10.647955295749963</v>
      </c>
      <c r="AT1713" s="119">
        <v>10.64489102129466</v>
      </c>
      <c r="AU1713" s="119">
        <v>10.639912047081983</v>
      </c>
      <c r="AV1713" s="119">
        <v>10.63189632427736</v>
      </c>
      <c r="AW1713" s="119">
        <v>10.619181800079282</v>
      </c>
      <c r="AX1713" s="120">
        <v>10.599482270963337</v>
      </c>
    </row>
    <row r="1714" spans="1:50" x14ac:dyDescent="0.25">
      <c r="A1714" s="356"/>
      <c r="B1714" s="362"/>
      <c r="C1714" s="354"/>
      <c r="D1714" s="4" t="s">
        <v>8</v>
      </c>
      <c r="E1714" s="168" t="str">
        <f>A1699&amp;"/"&amp;B1707&amp;"/"&amp;C1713&amp;"/"&amp;D1714</f>
        <v>Fuel oil fired power plants/Supercritical steam turbine/CHP with CCS/M</v>
      </c>
      <c r="F1714" s="80" t="str">
        <f>A1699</f>
        <v>Fuel oil fired power plants</v>
      </c>
      <c r="G1714" s="80" t="str">
        <f>B1707</f>
        <v>Supercritical steam turbine</v>
      </c>
      <c r="H1714" s="80" t="str">
        <f>C1713</f>
        <v>CHP with CCS</v>
      </c>
      <c r="I1714" s="169" t="str">
        <f t="shared" si="105"/>
        <v>M</v>
      </c>
      <c r="J1714" s="127" t="s">
        <v>112</v>
      </c>
      <c r="K1714" s="127" t="s">
        <v>112</v>
      </c>
      <c r="L1714" s="127" t="s">
        <v>112</v>
      </c>
      <c r="M1714" s="127" t="s">
        <v>112</v>
      </c>
      <c r="N1714" s="127" t="s">
        <v>112</v>
      </c>
      <c r="O1714" s="127" t="s">
        <v>112</v>
      </c>
      <c r="P1714" s="127" t="s">
        <v>112</v>
      </c>
      <c r="Q1714" s="127" t="s">
        <v>112</v>
      </c>
      <c r="R1714" s="127" t="s">
        <v>112</v>
      </c>
      <c r="S1714" s="127" t="s">
        <v>112</v>
      </c>
      <c r="T1714" s="127" t="s">
        <v>112</v>
      </c>
      <c r="U1714" s="127" t="s">
        <v>112</v>
      </c>
      <c r="V1714" s="127" t="s">
        <v>112</v>
      </c>
      <c r="W1714" s="127" t="s">
        <v>112</v>
      </c>
      <c r="X1714" s="127" t="s">
        <v>112</v>
      </c>
      <c r="Y1714" s="127" t="s">
        <v>112</v>
      </c>
      <c r="Z1714" s="127" t="s">
        <v>112</v>
      </c>
      <c r="AA1714" s="127" t="s">
        <v>112</v>
      </c>
      <c r="AB1714" s="127" t="s">
        <v>112</v>
      </c>
      <c r="AC1714" s="127" t="s">
        <v>112</v>
      </c>
      <c r="AD1714" s="127" t="s">
        <v>112</v>
      </c>
      <c r="AE1714" s="127">
        <v>11.379717066535054</v>
      </c>
      <c r="AF1714" s="127">
        <v>11.379717066535054</v>
      </c>
      <c r="AG1714" s="127">
        <v>11.379717066535054</v>
      </c>
      <c r="AH1714" s="127">
        <v>11.379717066535054</v>
      </c>
      <c r="AI1714" s="127">
        <v>11.379717066535054</v>
      </c>
      <c r="AJ1714" s="127">
        <v>11.379717066535054</v>
      </c>
      <c r="AK1714" s="127">
        <v>11.379717066535054</v>
      </c>
      <c r="AL1714" s="127">
        <v>11.379717066535054</v>
      </c>
      <c r="AM1714" s="127">
        <v>11.379717066535054</v>
      </c>
      <c r="AN1714" s="127">
        <v>11.379717066535054</v>
      </c>
      <c r="AO1714" s="127">
        <v>11.379717066535054</v>
      </c>
      <c r="AP1714" s="127">
        <v>11.379717066535054</v>
      </c>
      <c r="AQ1714" s="127">
        <v>11.379717066535054</v>
      </c>
      <c r="AR1714" s="127">
        <v>11.379717066535054</v>
      </c>
      <c r="AS1714" s="127">
        <v>11.374599431145317</v>
      </c>
      <c r="AT1714" s="127">
        <v>11.371326042639444</v>
      </c>
      <c r="AU1714" s="127">
        <v>11.36600729028989</v>
      </c>
      <c r="AV1714" s="127">
        <v>11.357444553734254</v>
      </c>
      <c r="AW1714" s="127">
        <v>11.343862357369431</v>
      </c>
      <c r="AX1714" s="128">
        <v>11.322818481202381</v>
      </c>
    </row>
    <row r="1715" spans="1:50" x14ac:dyDescent="0.25">
      <c r="A1715" s="356"/>
      <c r="B1715" s="358" t="s">
        <v>19</v>
      </c>
      <c r="C1715" s="353" t="s">
        <v>6</v>
      </c>
      <c r="D1715" s="3" t="s">
        <v>7</v>
      </c>
      <c r="E1715" s="162" t="str">
        <f>A1699&amp;"/"&amp;B1715&amp;"/"&amp;C1715&amp;"/"&amp;D1715</f>
        <v>Fuel oil fired power plants/Steam turbine/Electricity only/L</v>
      </c>
      <c r="F1715" s="77" t="str">
        <f>A1699</f>
        <v>Fuel oil fired power plants</v>
      </c>
      <c r="G1715" s="77" t="str">
        <f>B1715</f>
        <v>Steam turbine</v>
      </c>
      <c r="H1715" s="77" t="str">
        <f>C1715</f>
        <v>Electricity only</v>
      </c>
      <c r="I1715" s="163" t="str">
        <f t="shared" si="105"/>
        <v>L</v>
      </c>
      <c r="J1715" s="121">
        <v>4.7479484173505275</v>
      </c>
      <c r="K1715" s="121">
        <v>4.7535194697041865</v>
      </c>
      <c r="L1715" s="121">
        <v>4.759054058642878</v>
      </c>
      <c r="M1715" s="121">
        <v>4.7645454337615165</v>
      </c>
      <c r="N1715" s="121">
        <v>4.76998707601365</v>
      </c>
      <c r="O1715" s="121">
        <v>4.7753727258183956</v>
      </c>
      <c r="P1715" s="121">
        <v>4.7806964084711554</v>
      </c>
      <c r="Q1715" s="121">
        <v>4.7859524566787988</v>
      </c>
      <c r="R1715" s="121">
        <v>4.7911355300868461</v>
      </c>
      <c r="S1715" s="121">
        <v>4.7962406317131645</v>
      </c>
      <c r="T1715" s="121">
        <v>4.8012631212488888</v>
      </c>
      <c r="U1715" s="121">
        <v>4.8061987252316687</v>
      </c>
      <c r="V1715" s="121">
        <v>4.8110435441380712</v>
      </c>
      <c r="W1715" s="121">
        <v>4.8157940564803852</v>
      </c>
      <c r="X1715" s="121">
        <v>4.820447120027513</v>
      </c>
      <c r="Y1715" s="121">
        <v>4.8249999702997775</v>
      </c>
      <c r="Z1715" s="121">
        <v>4.8294502165128916</v>
      </c>
      <c r="AA1715" s="121">
        <v>4.8337958351670283</v>
      </c>
      <c r="AB1715" s="121">
        <v>4.8380351614927868</v>
      </c>
      <c r="AC1715" s="121">
        <v>4.8421668789770065</v>
      </c>
      <c r="AD1715" s="121">
        <v>4.846190007198083</v>
      </c>
      <c r="AE1715" s="121">
        <v>4.8501038882028888</v>
      </c>
      <c r="AF1715" s="121">
        <v>4.8539081716560935</v>
      </c>
      <c r="AG1715" s="121">
        <v>4.8576027989878749</v>
      </c>
      <c r="AH1715" s="121">
        <v>4.8611879867583241</v>
      </c>
      <c r="AI1715" s="121">
        <v>4.8646642094465635</v>
      </c>
      <c r="AJ1715" s="121">
        <v>4.8680321818603405</v>
      </c>
      <c r="AK1715" s="121">
        <v>4.8712928413479402</v>
      </c>
      <c r="AL1715" s="121">
        <v>4.8744473299792856</v>
      </c>
      <c r="AM1715" s="121">
        <v>4.8774969768472021</v>
      </c>
      <c r="AN1715" s="121">
        <v>4.8804432806237221</v>
      </c>
      <c r="AO1715" s="121">
        <v>4.8832878924899807</v>
      </c>
      <c r="AP1715" s="121">
        <v>4.8860325995422471</v>
      </c>
      <c r="AQ1715" s="121">
        <v>4.8886793087610654</v>
      </c>
      <c r="AR1715" s="121">
        <v>4.8912300316155166</v>
      </c>
      <c r="AS1715" s="121">
        <v>4.8936868693605602</v>
      </c>
      <c r="AT1715" s="121">
        <v>4.8960519990722178</v>
      </c>
      <c r="AU1715" s="121">
        <v>4.8983276604532078</v>
      </c>
      <c r="AV1715" s="121">
        <v>4.9005161434305942</v>
      </c>
      <c r="AW1715" s="121">
        <v>4.9026197765570059</v>
      </c>
      <c r="AX1715" s="122">
        <v>4.9046409162181215</v>
      </c>
    </row>
    <row r="1716" spans="1:50" x14ac:dyDescent="0.25">
      <c r="A1716" s="356"/>
      <c r="B1716" s="359"/>
      <c r="C1716" s="350"/>
      <c r="D1716" s="2" t="s">
        <v>8</v>
      </c>
      <c r="E1716" s="160" t="str">
        <f>A1699&amp;"/"&amp;B1715&amp;"/"&amp;C1715&amp;"/"&amp;D1716</f>
        <v>Fuel oil fired power plants/Steam turbine/Electricity only/M</v>
      </c>
      <c r="F1716" s="76" t="str">
        <f>A1699</f>
        <v>Fuel oil fired power plants</v>
      </c>
      <c r="G1716" s="76" t="str">
        <f>B1715</f>
        <v>Steam turbine</v>
      </c>
      <c r="H1716" s="76" t="str">
        <f>C1715</f>
        <v>Electricity only</v>
      </c>
      <c r="I1716" s="161" t="str">
        <f t="shared" si="105"/>
        <v>M</v>
      </c>
      <c r="J1716" s="119">
        <v>5.1277842907385702</v>
      </c>
      <c r="K1716" s="119">
        <v>5.133801027280521</v>
      </c>
      <c r="L1716" s="119">
        <v>5.139778383334308</v>
      </c>
      <c r="M1716" s="119">
        <v>5.1457090684624376</v>
      </c>
      <c r="N1716" s="119">
        <v>5.1515860420947419</v>
      </c>
      <c r="O1716" s="119">
        <v>5.1574025438838671</v>
      </c>
      <c r="P1716" s="119">
        <v>5.1631521211488476</v>
      </c>
      <c r="Q1716" s="119">
        <v>5.1688286532131018</v>
      </c>
      <c r="R1716" s="119">
        <v>5.1744263724937936</v>
      </c>
      <c r="S1716" s="119">
        <v>5.179939882250217</v>
      </c>
      <c r="T1716" s="119">
        <v>5.185364170948799</v>
      </c>
      <c r="U1716" s="119">
        <v>5.1906946232502014</v>
      </c>
      <c r="V1716" s="119">
        <v>5.195927027669117</v>
      </c>
      <c r="W1716" s="119">
        <v>5.2010575809988158</v>
      </c>
      <c r="X1716" s="119">
        <v>5.2060828896297133</v>
      </c>
      <c r="Y1716" s="119">
        <v>5.2109999679237582</v>
      </c>
      <c r="Z1716" s="119">
        <v>5.2158062338339226</v>
      </c>
      <c r="AA1716" s="119">
        <v>5.2204995019803917</v>
      </c>
      <c r="AB1716" s="119">
        <v>5.2250779744122093</v>
      </c>
      <c r="AC1716" s="119">
        <v>5.2295402292951678</v>
      </c>
      <c r="AD1716" s="119">
        <v>5.2338852077739286</v>
      </c>
      <c r="AE1716" s="119">
        <v>5.2381121992591204</v>
      </c>
      <c r="AF1716" s="119">
        <v>5.2422208253885803</v>
      </c>
      <c r="AG1716" s="119">
        <v>5.2462110229069037</v>
      </c>
      <c r="AH1716" s="119">
        <v>5.2500830256989888</v>
      </c>
      <c r="AI1716" s="119">
        <v>5.2538373462022889</v>
      </c>
      <c r="AJ1716" s="119">
        <v>5.2574747564091666</v>
      </c>
      <c r="AK1716" s="119">
        <v>5.2609962686557763</v>
      </c>
      <c r="AL1716" s="119">
        <v>5.2644031163776281</v>
      </c>
      <c r="AM1716" s="119">
        <v>5.2676967349949786</v>
      </c>
      <c r="AN1716" s="119">
        <v>5.2708787430736193</v>
      </c>
      <c r="AO1716" s="119">
        <v>5.2739509238891786</v>
      </c>
      <c r="AP1716" s="119">
        <v>5.2769152075056276</v>
      </c>
      <c r="AQ1716" s="119">
        <v>5.2797736534619508</v>
      </c>
      <c r="AR1716" s="119">
        <v>5.2825284341447576</v>
      </c>
      <c r="AS1716" s="119">
        <v>5.2851818189094049</v>
      </c>
      <c r="AT1716" s="119">
        <v>5.287736158997995</v>
      </c>
      <c r="AU1716" s="119">
        <v>5.2901938732894642</v>
      </c>
      <c r="AV1716" s="119">
        <v>5.2925574349050413</v>
      </c>
      <c r="AW1716" s="119">
        <v>5.2948293586815653</v>
      </c>
      <c r="AX1716" s="120">
        <v>5.29701218951557</v>
      </c>
    </row>
    <row r="1717" spans="1:50" x14ac:dyDescent="0.25">
      <c r="A1717" s="356"/>
      <c r="B1717" s="359"/>
      <c r="C1717" s="350"/>
      <c r="D1717" s="2" t="s">
        <v>10</v>
      </c>
      <c r="E1717" s="160" t="str">
        <f>A1699&amp;"/"&amp;B1715&amp;"/"&amp;C1715&amp;"/"&amp;D1717</f>
        <v>Fuel oil fired power plants/Steam turbine/Electricity only/S</v>
      </c>
      <c r="F1717" s="76" t="str">
        <f>A1699</f>
        <v>Fuel oil fired power plants</v>
      </c>
      <c r="G1717" s="76" t="str">
        <f>B1715</f>
        <v>Steam turbine</v>
      </c>
      <c r="H1717" s="76" t="str">
        <f>C1715</f>
        <v>Electricity only</v>
      </c>
      <c r="I1717" s="161" t="str">
        <f t="shared" si="105"/>
        <v>S</v>
      </c>
      <c r="J1717" s="119">
        <v>5.6662016412661202</v>
      </c>
      <c r="K1717" s="119">
        <v>5.6728501351449765</v>
      </c>
      <c r="L1717" s="119">
        <v>5.6794551135844111</v>
      </c>
      <c r="M1717" s="119">
        <v>5.6860085206509936</v>
      </c>
      <c r="N1717" s="119">
        <v>5.6925025765146904</v>
      </c>
      <c r="O1717" s="119">
        <v>5.6989298109916753</v>
      </c>
      <c r="P1717" s="119">
        <v>5.7052830938694772</v>
      </c>
      <c r="Q1717" s="119">
        <v>5.7115556618004781</v>
      </c>
      <c r="R1717" s="119">
        <v>5.717741141605643</v>
      </c>
      <c r="S1717" s="119">
        <v>5.7238335698864908</v>
      </c>
      <c r="T1717" s="119">
        <v>5.7298274088984238</v>
      </c>
      <c r="U1717" s="119">
        <v>5.7357175586914737</v>
      </c>
      <c r="V1717" s="119">
        <v>5.7414993655743753</v>
      </c>
      <c r="W1717" s="119">
        <v>5.7471686270036928</v>
      </c>
      <c r="X1717" s="119">
        <v>5.7527215930408344</v>
      </c>
      <c r="Y1717" s="119">
        <v>5.7581549645557546</v>
      </c>
      <c r="Z1717" s="119">
        <v>5.7634658883864853</v>
      </c>
      <c r="AA1717" s="119">
        <v>5.7686519496883326</v>
      </c>
      <c r="AB1717" s="119">
        <v>5.7737111617254921</v>
      </c>
      <c r="AC1717" s="119">
        <v>5.778641953371161</v>
      </c>
      <c r="AD1717" s="119">
        <v>5.7834431545901932</v>
      </c>
      <c r="AE1717" s="119">
        <v>5.7881139801813282</v>
      </c>
      <c r="AF1717" s="119">
        <v>5.7926540120543821</v>
      </c>
      <c r="AG1717" s="119">
        <v>5.7970631803121302</v>
      </c>
      <c r="AH1717" s="119">
        <v>5.8013417433973844</v>
      </c>
      <c r="AI1717" s="119">
        <v>5.8054902675535294</v>
      </c>
      <c r="AJ1717" s="119">
        <v>5.8095096058321314</v>
      </c>
      <c r="AK1717" s="119">
        <v>5.813400876864633</v>
      </c>
      <c r="AL1717" s="119">
        <v>5.8171654435972808</v>
      </c>
      <c r="AM1717" s="119">
        <v>5.8208048921694528</v>
      </c>
      <c r="AN1717" s="119">
        <v>5.8243210110963517</v>
      </c>
      <c r="AO1717" s="119">
        <v>5.8277157708975427</v>
      </c>
      <c r="AP1717" s="119">
        <v>5.8309913042937183</v>
      </c>
      <c r="AQ1717" s="119">
        <v>5.8341498870754558</v>
      </c>
      <c r="AR1717" s="119">
        <v>5.837193919729958</v>
      </c>
      <c r="AS1717" s="119">
        <v>5.8401259098948932</v>
      </c>
      <c r="AT1717" s="119">
        <v>5.8429484556927855</v>
      </c>
      <c r="AU1717" s="119">
        <v>5.8456642299848589</v>
      </c>
      <c r="AV1717" s="119">
        <v>5.8482759655700711</v>
      </c>
      <c r="AW1717" s="119">
        <v>5.8507864413431294</v>
      </c>
      <c r="AX1717" s="120">
        <v>5.8531984694147061</v>
      </c>
    </row>
    <row r="1718" spans="1:50" x14ac:dyDescent="0.25">
      <c r="A1718" s="356"/>
      <c r="B1718" s="359"/>
      <c r="C1718" s="360"/>
      <c r="D1718" s="2" t="s">
        <v>20</v>
      </c>
      <c r="E1718" s="160" t="str">
        <f>A1699&amp;"/"&amp;B1715&amp;"/"&amp;C1715&amp;"/"&amp;D1718</f>
        <v>Fuel oil fired power plants/Steam turbine/Electricity only/XS</v>
      </c>
      <c r="F1718" s="76" t="str">
        <f>A1699</f>
        <v>Fuel oil fired power plants</v>
      </c>
      <c r="G1718" s="76" t="str">
        <f>B1715</f>
        <v>Steam turbine</v>
      </c>
      <c r="H1718" s="76" t="str">
        <f>C1715</f>
        <v>Electricity only</v>
      </c>
      <c r="I1718" s="161" t="str">
        <f t="shared" si="105"/>
        <v>XS</v>
      </c>
      <c r="J1718" s="119">
        <v>6.799441969519342</v>
      </c>
      <c r="K1718" s="119">
        <v>6.8074201621739689</v>
      </c>
      <c r="L1718" s="119">
        <v>6.815346136301291</v>
      </c>
      <c r="M1718" s="119">
        <v>6.8232102247811905</v>
      </c>
      <c r="N1718" s="119">
        <v>6.8310030918176263</v>
      </c>
      <c r="O1718" s="119">
        <v>6.8387157731900068</v>
      </c>
      <c r="P1718" s="119">
        <v>6.8463397126433705</v>
      </c>
      <c r="Q1718" s="119">
        <v>6.8538667941605729</v>
      </c>
      <c r="R1718" s="119">
        <v>6.8612893699267694</v>
      </c>
      <c r="S1718" s="119">
        <v>6.8686002838637865</v>
      </c>
      <c r="T1718" s="119">
        <v>6.8757928906781061</v>
      </c>
      <c r="U1718" s="119">
        <v>6.8828610704297652</v>
      </c>
      <c r="V1718" s="119">
        <v>6.8897992386892479</v>
      </c>
      <c r="W1718" s="119">
        <v>6.896602352404428</v>
      </c>
      <c r="X1718" s="119">
        <v>6.9032659116489992</v>
      </c>
      <c r="Y1718" s="119">
        <v>6.9097859574669034</v>
      </c>
      <c r="Z1718" s="119">
        <v>6.9161590660637797</v>
      </c>
      <c r="AA1718" s="119">
        <v>6.9223823396259974</v>
      </c>
      <c r="AB1718" s="119">
        <v>6.9284533940705888</v>
      </c>
      <c r="AC1718" s="119">
        <v>6.9343703440453899</v>
      </c>
      <c r="AD1718" s="119">
        <v>6.9401317855082283</v>
      </c>
      <c r="AE1718" s="119">
        <v>6.9457367762175917</v>
      </c>
      <c r="AF1718" s="119">
        <v>6.9511848144652557</v>
      </c>
      <c r="AG1718" s="119">
        <v>6.956475816374553</v>
      </c>
      <c r="AH1718" s="119">
        <v>6.9616100920768575</v>
      </c>
      <c r="AI1718" s="119">
        <v>6.9665883210642336</v>
      </c>
      <c r="AJ1718" s="119">
        <v>6.9714115269985548</v>
      </c>
      <c r="AK1718" s="119">
        <v>6.9760810522375563</v>
      </c>
      <c r="AL1718" s="119">
        <v>6.9805985323167334</v>
      </c>
      <c r="AM1718" s="119">
        <v>6.9849658706033395</v>
      </c>
      <c r="AN1718" s="119">
        <v>6.9891852133156185</v>
      </c>
      <c r="AO1718" s="119">
        <v>6.9932589250770487</v>
      </c>
      <c r="AP1718" s="119">
        <v>6.9971895651524596</v>
      </c>
      <c r="AQ1718" s="119">
        <v>7.0009798644905441</v>
      </c>
      <c r="AR1718" s="119">
        <v>7.0046327036759468</v>
      </c>
      <c r="AS1718" s="119">
        <v>7.0081510918738692</v>
      </c>
      <c r="AT1718" s="119">
        <v>7.0115381468313398</v>
      </c>
      <c r="AU1718" s="119">
        <v>7.0147970759818286</v>
      </c>
      <c r="AV1718" s="119">
        <v>7.0179311586840827</v>
      </c>
      <c r="AW1718" s="119">
        <v>7.0209437296117549</v>
      </c>
      <c r="AX1718" s="120">
        <v>7.0238381632976443</v>
      </c>
    </row>
    <row r="1719" spans="1:50" x14ac:dyDescent="0.25">
      <c r="A1719" s="356"/>
      <c r="B1719" s="359"/>
      <c r="C1719" s="361" t="s">
        <v>14</v>
      </c>
      <c r="D1719" s="58" t="s">
        <v>7</v>
      </c>
      <c r="E1719" s="164" t="str">
        <f>A1699&amp;"/"&amp;B1715&amp;"/"&amp;C1719&amp;"/"&amp;D1719</f>
        <v>Fuel oil fired power plants/Steam turbine/CHP/L</v>
      </c>
      <c r="F1719" s="78" t="str">
        <f>A1699</f>
        <v>Fuel oil fired power plants</v>
      </c>
      <c r="G1719" s="78" t="str">
        <f>B1715</f>
        <v>Steam turbine</v>
      </c>
      <c r="H1719" s="78" t="str">
        <f>C1719</f>
        <v>CHP</v>
      </c>
      <c r="I1719" s="165" t="str">
        <f t="shared" ref="I1719:I1782" si="106">D1719</f>
        <v>L</v>
      </c>
      <c r="J1719" s="123">
        <v>6.7538111445390667</v>
      </c>
      <c r="K1719" s="123">
        <v>6.7642251469563552</v>
      </c>
      <c r="L1719" s="123">
        <v>6.7746966848036925</v>
      </c>
      <c r="M1719" s="123">
        <v>6.7852117673205843</v>
      </c>
      <c r="N1719" s="123">
        <v>6.7957562304234029</v>
      </c>
      <c r="O1719" s="123">
        <v>6.8063158118692879</v>
      </c>
      <c r="P1719" s="123">
        <v>6.8168762270837675</v>
      </c>
      <c r="Q1719" s="123">
        <v>6.8274232448086662</v>
      </c>
      <c r="R1719" s="123">
        <v>6.8379427617358193</v>
      </c>
      <c r="S1719" s="123">
        <v>6.8484208753165268</v>
      </c>
      <c r="T1719" s="123">
        <v>6.8588439539758035</v>
      </c>
      <c r="U1719" s="123">
        <v>6.8691987040131721</v>
      </c>
      <c r="V1719" s="123">
        <v>6.8794722325363988</v>
      </c>
      <c r="W1719" s="123">
        <v>6.8896521058493327</v>
      </c>
      <c r="X1719" s="123">
        <v>6.8997264027979073</v>
      </c>
      <c r="Y1719" s="123">
        <v>6.9096837626671475</v>
      </c>
      <c r="Z1719" s="123">
        <v>6.9195134273143895</v>
      </c>
      <c r="AA1719" s="123">
        <v>6.9292052773178368</v>
      </c>
      <c r="AB1719" s="123">
        <v>6.9387498620125907</v>
      </c>
      <c r="AC1719" s="123">
        <v>6.9481384233766823</v>
      </c>
      <c r="AD1719" s="123">
        <v>6.95736291381544</v>
      </c>
      <c r="AE1719" s="123">
        <v>6.9664160079722395</v>
      </c>
      <c r="AF1719" s="123">
        <v>6.9752911087660561</v>
      </c>
      <c r="AG1719" s="123">
        <v>6.9839823479202172</v>
      </c>
      <c r="AH1719" s="123">
        <v>6.9924845813017482</v>
      </c>
      <c r="AI1719" s="123">
        <v>7.0007933794361596</v>
      </c>
      <c r="AJ1719" s="123">
        <v>7.0089050135984943</v>
      </c>
      <c r="AK1719" s="123">
        <v>7.0168164379078908</v>
      </c>
      <c r="AL1719" s="123">
        <v>7.024525267870299</v>
      </c>
      <c r="AM1719" s="123">
        <v>7.0320297558226619</v>
      </c>
      <c r="AN1719" s="123">
        <v>7.0393287637328026</v>
      </c>
      <c r="AO1719" s="123">
        <v>7.0464217338028625</v>
      </c>
      <c r="AP1719" s="123">
        <v>7.053308657311594</v>
      </c>
      <c r="AQ1719" s="123">
        <v>7.0599900421128812</v>
      </c>
      <c r="AR1719" s="123">
        <v>7.0664668791854774</v>
      </c>
      <c r="AS1719" s="123">
        <v>7.0727406086030591</v>
      </c>
      <c r="AT1719" s="123">
        <v>7.0788130852651259</v>
      </c>
      <c r="AU1719" s="123">
        <v>7.0846865446989442</v>
      </c>
      <c r="AV1719" s="123">
        <v>7.0903635692112577</v>
      </c>
      <c r="AW1719" s="123">
        <v>7.0958470546366232</v>
      </c>
      <c r="AX1719" s="124">
        <v>7.1011401778976717</v>
      </c>
    </row>
    <row r="1720" spans="1:50" x14ac:dyDescent="0.25">
      <c r="A1720" s="356"/>
      <c r="B1720" s="359"/>
      <c r="C1720" s="350"/>
      <c r="D1720" s="2" t="s">
        <v>8</v>
      </c>
      <c r="E1720" s="160" t="str">
        <f>A1699&amp;"/"&amp;B1715&amp;"/"&amp;C1719&amp;"/"&amp;D1720</f>
        <v>Fuel oil fired power plants/Steam turbine/CHP/M</v>
      </c>
      <c r="F1720" s="76" t="str">
        <f>A1699</f>
        <v>Fuel oil fired power plants</v>
      </c>
      <c r="G1720" s="76" t="str">
        <f>B1715</f>
        <v>Steam turbine</v>
      </c>
      <c r="H1720" s="76" t="str">
        <f>C1719</f>
        <v>CHP</v>
      </c>
      <c r="I1720" s="161" t="str">
        <f t="shared" si="106"/>
        <v>M</v>
      </c>
      <c r="J1720" s="119">
        <v>7.1133686160431768</v>
      </c>
      <c r="K1720" s="119">
        <v>7.1243370361510499</v>
      </c>
      <c r="L1720" s="119">
        <v>7.1353660547437858</v>
      </c>
      <c r="M1720" s="119">
        <v>7.1464409362247769</v>
      </c>
      <c r="N1720" s="119">
        <v>7.1575467624469473</v>
      </c>
      <c r="O1720" s="119">
        <v>7.1686685118782218</v>
      </c>
      <c r="P1720" s="119">
        <v>7.1797911394660261</v>
      </c>
      <c r="Q1720" s="119">
        <v>7.1908996563125189</v>
      </c>
      <c r="R1720" s="119">
        <v>7.2019792082816387</v>
      </c>
      <c r="S1720" s="119">
        <v>7.2130151526847639</v>
      </c>
      <c r="T1720" s="119">
        <v>7.2239931322330069</v>
      </c>
      <c r="U1720" s="119">
        <v>7.2348991454996581</v>
      </c>
      <c r="V1720" s="119">
        <v>7.2457196132043595</v>
      </c>
      <c r="W1720" s="119">
        <v>7.2564414397093939</v>
      </c>
      <c r="X1720" s="119">
        <v>7.2670520692056959</v>
      </c>
      <c r="Y1720" s="119">
        <v>7.2775395361597823</v>
      </c>
      <c r="Z1720" s="119">
        <v>7.2878925096900637</v>
      </c>
      <c r="AA1720" s="119">
        <v>7.2981003316398461</v>
      </c>
      <c r="AB1720" s="119">
        <v>7.3081530482124331</v>
      </c>
      <c r="AC1720" s="119">
        <v>7.3180414351287784</v>
      </c>
      <c r="AD1720" s="119">
        <v>7.3277570163586603</v>
      </c>
      <c r="AE1720" s="119">
        <v>7.3372920765602077</v>
      </c>
      <c r="AF1720" s="119">
        <v>7.3466396674388772</v>
      </c>
      <c r="AG1720" s="119">
        <v>7.3557936083043574</v>
      </c>
      <c r="AH1720" s="119">
        <v>7.3647484811617909</v>
      </c>
      <c r="AI1720" s="119">
        <v>7.3734996207215868</v>
      </c>
      <c r="AJ1720" s="119">
        <v>7.38204309974999</v>
      </c>
      <c r="AK1720" s="119">
        <v>7.3903757102104075</v>
      </c>
      <c r="AL1720" s="119">
        <v>7.3984949406637703</v>
      </c>
      <c r="AM1720" s="119">
        <v>7.4063989504054364</v>
      </c>
      <c r="AN1720" s="119">
        <v>7.4140865408169976</v>
      </c>
      <c r="AO1720" s="119">
        <v>7.4215571244047096</v>
      </c>
      <c r="AP1720" s="119">
        <v>7.428810691983025</v>
      </c>
      <c r="AQ1720" s="119">
        <v>7.4358477784428096</v>
      </c>
      <c r="AR1720" s="119">
        <v>7.4426694275202623</v>
      </c>
      <c r="AS1720" s="119">
        <v>7.4492771559552891</v>
      </c>
      <c r="AT1720" s="119">
        <v>7.4556729173980001</v>
      </c>
      <c r="AU1720" s="119">
        <v>7.4618590663900282</v>
      </c>
      <c r="AV1720" s="119">
        <v>7.467838322714222</v>
      </c>
      <c r="AW1720" s="119">
        <v>7.4736137363727551</v>
      </c>
      <c r="AX1720" s="120">
        <v>7.4791886534203584</v>
      </c>
    </row>
    <row r="1721" spans="1:50" x14ac:dyDescent="0.25">
      <c r="A1721" s="356"/>
      <c r="B1721" s="359"/>
      <c r="C1721" s="350"/>
      <c r="D1721" s="2" t="s">
        <v>10</v>
      </c>
      <c r="E1721" s="160" t="str">
        <f>A1699&amp;"/"&amp;B1715&amp;"/"&amp;C1719&amp;"/"&amp;D1721</f>
        <v>Fuel oil fired power plants/Steam turbine/CHP/S</v>
      </c>
      <c r="F1721" s="76" t="str">
        <f>A1699</f>
        <v>Fuel oil fired power plants</v>
      </c>
      <c r="G1721" s="76" t="str">
        <f>B1715</f>
        <v>Steam turbine</v>
      </c>
      <c r="H1721" s="76" t="str">
        <f>C1719</f>
        <v>CHP</v>
      </c>
      <c r="I1721" s="161" t="str">
        <f t="shared" si="106"/>
        <v>S</v>
      </c>
      <c r="J1721" s="119">
        <v>9.2737490052159526</v>
      </c>
      <c r="K1721" s="119">
        <v>9.2880486121328172</v>
      </c>
      <c r="L1721" s="119">
        <v>9.302427221723244</v>
      </c>
      <c r="M1721" s="119">
        <v>9.3168656230856577</v>
      </c>
      <c r="N1721" s="119">
        <v>9.3313443673261407</v>
      </c>
      <c r="O1721" s="119">
        <v>9.3458438707670162</v>
      </c>
      <c r="P1721" s="119">
        <v>9.3603445190667749</v>
      </c>
      <c r="Q1721" s="119">
        <v>9.3748267710932254</v>
      </c>
      <c r="R1721" s="119">
        <v>9.3892712614040654</v>
      </c>
      <c r="S1721" s="119">
        <v>9.4036589002225135</v>
      </c>
      <c r="T1721" s="119">
        <v>9.4179709698494403</v>
      </c>
      <c r="U1721" s="119">
        <v>9.4321892165257566</v>
      </c>
      <c r="V1721" s="119">
        <v>9.4462959368475659</v>
      </c>
      <c r="W1721" s="119">
        <v>9.4602740579392925</v>
      </c>
      <c r="X1721" s="119">
        <v>9.47410721070381</v>
      </c>
      <c r="Y1721" s="119">
        <v>9.4877797955904359</v>
      </c>
      <c r="Z1721" s="119">
        <v>9.5012770404486471</v>
      </c>
      <c r="AA1721" s="119">
        <v>9.5145850501641469</v>
      </c>
      <c r="AB1721" s="119">
        <v>9.527690847901729</v>
      </c>
      <c r="AC1721" s="119">
        <v>9.5405824079035302</v>
      </c>
      <c r="AD1721" s="119">
        <v>9.5532486799089646</v>
      </c>
      <c r="AE1721" s="119">
        <v>9.5656796053722317</v>
      </c>
      <c r="AF1721" s="119">
        <v>9.5778661257525624</v>
      </c>
      <c r="AG1721" s="119">
        <v>9.5898001832402642</v>
      </c>
      <c r="AH1721" s="119">
        <v>9.6014747143570904</v>
      </c>
      <c r="AI1721" s="119">
        <v>9.6128836369319881</v>
      </c>
      <c r="AJ1721" s="119">
        <v>9.6240218310025245</v>
      </c>
      <c r="AK1721" s="119">
        <v>9.6348851142286822</v>
      </c>
      <c r="AL1721" s="119">
        <v>9.6454702124295792</v>
      </c>
      <c r="AM1721" s="119">
        <v>9.6557747258655446</v>
      </c>
      <c r="AN1721" s="119">
        <v>9.6657970918892797</v>
      </c>
      <c r="AO1721" s="119">
        <v>9.6755365445810284</v>
      </c>
      <c r="AP1721" s="119">
        <v>9.6849930719655308</v>
      </c>
      <c r="AQ1721" s="119">
        <v>9.6941673713837933</v>
      </c>
      <c r="AR1721" s="119">
        <v>9.7030608035620833</v>
      </c>
      <c r="AS1721" s="119">
        <v>9.7116753458849505</v>
      </c>
      <c r="AT1721" s="119">
        <v>9.7200135453398726</v>
      </c>
      <c r="AU1721" s="119">
        <v>9.7280784715594333</v>
      </c>
      <c r="AV1721" s="119">
        <v>9.7358736703437838</v>
      </c>
      <c r="AW1721" s="119">
        <v>9.7434031180023428</v>
      </c>
      <c r="AX1721" s="120">
        <v>9.7506711768103429</v>
      </c>
    </row>
    <row r="1722" spans="1:50" x14ac:dyDescent="0.25">
      <c r="A1722" s="356"/>
      <c r="B1722" s="359"/>
      <c r="C1722" s="360"/>
      <c r="D1722" s="59" t="s">
        <v>20</v>
      </c>
      <c r="E1722" s="166" t="str">
        <f>A1699&amp;"/"&amp;B1715&amp;"/"&amp;C1719&amp;"/"&amp;D1722</f>
        <v>Fuel oil fired power plants/Steam turbine/CHP/XS</v>
      </c>
      <c r="F1722" s="79" t="str">
        <f>A1699</f>
        <v>Fuel oil fired power plants</v>
      </c>
      <c r="G1722" s="79" t="str">
        <f>B1715</f>
        <v>Steam turbine</v>
      </c>
      <c r="H1722" s="79" t="str">
        <f>C1719</f>
        <v>CHP</v>
      </c>
      <c r="I1722" s="167" t="str">
        <f t="shared" si="106"/>
        <v>XS</v>
      </c>
      <c r="J1722" s="125">
        <v>8.7782957521086384</v>
      </c>
      <c r="K1722" s="125">
        <v>8.7918313975724658</v>
      </c>
      <c r="L1722" s="125">
        <v>8.8054418249646567</v>
      </c>
      <c r="M1722" s="125">
        <v>8.8191088497327002</v>
      </c>
      <c r="N1722" s="125">
        <v>8.8328140620465767</v>
      </c>
      <c r="O1722" s="125">
        <v>8.8465389244933785</v>
      </c>
      <c r="P1722" s="125">
        <v>8.8602648706345786</v>
      </c>
      <c r="Q1722" s="125">
        <v>8.8739734033297406</v>
      </c>
      <c r="R1722" s="125">
        <v>8.887646191742034</v>
      </c>
      <c r="S1722" s="125">
        <v>8.9012651659726068</v>
      </c>
      <c r="T1722" s="125">
        <v>8.9148126083218955</v>
      </c>
      <c r="U1722" s="125">
        <v>8.9282712402442108</v>
      </c>
      <c r="V1722" s="125">
        <v>8.9416243041461421</v>
      </c>
      <c r="W1722" s="125">
        <v>8.9548556392764098</v>
      </c>
      <c r="X1722" s="125">
        <v>8.9679497510625623</v>
      </c>
      <c r="Y1722" s="125">
        <v>8.9808918733653229</v>
      </c>
      <c r="Z1722" s="125">
        <v>8.9936680232414261</v>
      </c>
      <c r="AA1722" s="125">
        <v>9.0062650479278687</v>
      </c>
      <c r="AB1722" s="125">
        <v>9.0186706638813678</v>
      </c>
      <c r="AC1722" s="125">
        <v>9.0308734878243282</v>
      </c>
      <c r="AD1722" s="125">
        <v>9.0428630598601689</v>
      </c>
      <c r="AE1722" s="125">
        <v>9.0546298588243843</v>
      </c>
      <c r="AF1722" s="125">
        <v>9.0661653101318844</v>
      </c>
      <c r="AG1722" s="125">
        <v>9.0774617864642497</v>
      </c>
      <c r="AH1722" s="125">
        <v>9.0885126017120044</v>
      </c>
      <c r="AI1722" s="125">
        <v>9.0993119986461934</v>
      </c>
      <c r="AJ1722" s="125">
        <v>9.1098551308401472</v>
      </c>
      <c r="AK1722" s="125">
        <v>9.1201380393968172</v>
      </c>
      <c r="AL1722" s="125">
        <v>9.1301576250595673</v>
      </c>
      <c r="AM1722" s="125">
        <v>9.1399116162956471</v>
      </c>
      <c r="AN1722" s="125">
        <v>9.1493985339427315</v>
      </c>
      <c r="AO1722" s="125">
        <v>9.1586176530005972</v>
      </c>
      <c r="AP1722" s="125">
        <v>9.1675689621337622</v>
      </c>
      <c r="AQ1722" s="125">
        <v>9.1762531214275516</v>
      </c>
      <c r="AR1722" s="125">
        <v>9.1846714189109573</v>
      </c>
      <c r="AS1722" s="125">
        <v>9.1928257263260758</v>
      </c>
      <c r="AT1722" s="125">
        <v>9.2007184545866973</v>
      </c>
      <c r="AU1722" s="125">
        <v>9.2083525093292202</v>
      </c>
      <c r="AV1722" s="125">
        <v>9.215731246918196</v>
      </c>
      <c r="AW1722" s="125">
        <v>9.2228584312273316</v>
      </c>
      <c r="AX1722" s="126">
        <v>9.2297381914757999</v>
      </c>
    </row>
    <row r="1723" spans="1:50" x14ac:dyDescent="0.25">
      <c r="A1723" s="356"/>
      <c r="B1723" s="359"/>
      <c r="C1723" s="361" t="s">
        <v>15</v>
      </c>
      <c r="D1723" s="58" t="s">
        <v>7</v>
      </c>
      <c r="E1723" s="164" t="str">
        <f>A1699&amp;"/"&amp;B1715&amp;"/"&amp;C1723&amp;"/"&amp;D1723</f>
        <v>Fuel oil fired power plants/Steam turbine/Electricity only with CCS/L</v>
      </c>
      <c r="F1723" s="78" t="str">
        <f>A1699</f>
        <v>Fuel oil fired power plants</v>
      </c>
      <c r="G1723" s="78" t="str">
        <f>B1715</f>
        <v>Steam turbine</v>
      </c>
      <c r="H1723" s="78" t="str">
        <f>C1723</f>
        <v>Electricity only with CCS</v>
      </c>
      <c r="I1723" s="165" t="str">
        <f t="shared" si="106"/>
        <v>L</v>
      </c>
      <c r="J1723" s="123" t="s">
        <v>112</v>
      </c>
      <c r="K1723" s="123" t="s">
        <v>112</v>
      </c>
      <c r="L1723" s="123" t="s">
        <v>112</v>
      </c>
      <c r="M1723" s="123" t="s">
        <v>112</v>
      </c>
      <c r="N1723" s="123" t="s">
        <v>112</v>
      </c>
      <c r="O1723" s="123" t="s">
        <v>112</v>
      </c>
      <c r="P1723" s="123" t="s">
        <v>112</v>
      </c>
      <c r="Q1723" s="123" t="s">
        <v>112</v>
      </c>
      <c r="R1723" s="123" t="s">
        <v>112</v>
      </c>
      <c r="S1723" s="123" t="s">
        <v>112</v>
      </c>
      <c r="T1723" s="123" t="s">
        <v>112</v>
      </c>
      <c r="U1723" s="123" t="s">
        <v>112</v>
      </c>
      <c r="V1723" s="123" t="s">
        <v>112</v>
      </c>
      <c r="W1723" s="123" t="s">
        <v>112</v>
      </c>
      <c r="X1723" s="123" t="s">
        <v>112</v>
      </c>
      <c r="Y1723" s="123" t="s">
        <v>112</v>
      </c>
      <c r="Z1723" s="123" t="s">
        <v>112</v>
      </c>
      <c r="AA1723" s="123" t="s">
        <v>112</v>
      </c>
      <c r="AB1723" s="123" t="s">
        <v>112</v>
      </c>
      <c r="AC1723" s="123" t="s">
        <v>112</v>
      </c>
      <c r="AD1723" s="123" t="s">
        <v>112</v>
      </c>
      <c r="AE1723" s="123">
        <v>9.2584994138335279</v>
      </c>
      <c r="AF1723" s="123">
        <v>9.2584994138335279</v>
      </c>
      <c r="AG1723" s="123">
        <v>9.2584994138335279</v>
      </c>
      <c r="AH1723" s="123">
        <v>9.2584994138335279</v>
      </c>
      <c r="AI1723" s="123">
        <v>9.2584994138335279</v>
      </c>
      <c r="AJ1723" s="123">
        <v>9.2584994138335279</v>
      </c>
      <c r="AK1723" s="123">
        <v>9.2584994138335279</v>
      </c>
      <c r="AL1723" s="123">
        <v>9.2584994138335279</v>
      </c>
      <c r="AM1723" s="123">
        <v>9.2584994138335279</v>
      </c>
      <c r="AN1723" s="123">
        <v>9.2584994138335279</v>
      </c>
      <c r="AO1723" s="123">
        <v>9.2584994138335279</v>
      </c>
      <c r="AP1723" s="123">
        <v>9.2584994138335279</v>
      </c>
      <c r="AQ1723" s="123">
        <v>9.2584994138335279</v>
      </c>
      <c r="AR1723" s="123">
        <v>9.2584994138335279</v>
      </c>
      <c r="AS1723" s="123">
        <v>9.2584994138335279</v>
      </c>
      <c r="AT1723" s="123">
        <v>9.2584994138335279</v>
      </c>
      <c r="AU1723" s="123">
        <v>9.2584994138335279</v>
      </c>
      <c r="AV1723" s="123">
        <v>9.2584994138335279</v>
      </c>
      <c r="AW1723" s="123">
        <v>9.2584994138335279</v>
      </c>
      <c r="AX1723" s="124">
        <v>9.2584994138335279</v>
      </c>
    </row>
    <row r="1724" spans="1:50" x14ac:dyDescent="0.25">
      <c r="A1724" s="356"/>
      <c r="B1724" s="359"/>
      <c r="C1724" s="360"/>
      <c r="D1724" s="59" t="s">
        <v>8</v>
      </c>
      <c r="E1724" s="166" t="str">
        <f>A1699&amp;"/"&amp;B1715&amp;"/"&amp;C1723&amp;"/"&amp;D1724</f>
        <v>Fuel oil fired power plants/Steam turbine/Electricity only with CCS/M</v>
      </c>
      <c r="F1724" s="79" t="str">
        <f>A1699</f>
        <v>Fuel oil fired power plants</v>
      </c>
      <c r="G1724" s="79" t="str">
        <f>B1715</f>
        <v>Steam turbine</v>
      </c>
      <c r="H1724" s="79" t="str">
        <f>C1723</f>
        <v>Electricity only with CCS</v>
      </c>
      <c r="I1724" s="167" t="str">
        <f t="shared" si="106"/>
        <v>M</v>
      </c>
      <c r="J1724" s="125" t="s">
        <v>112</v>
      </c>
      <c r="K1724" s="125" t="s">
        <v>112</v>
      </c>
      <c r="L1724" s="125" t="s">
        <v>112</v>
      </c>
      <c r="M1724" s="125" t="s">
        <v>112</v>
      </c>
      <c r="N1724" s="125" t="s">
        <v>112</v>
      </c>
      <c r="O1724" s="125" t="s">
        <v>112</v>
      </c>
      <c r="P1724" s="125" t="s">
        <v>112</v>
      </c>
      <c r="Q1724" s="125" t="s">
        <v>112</v>
      </c>
      <c r="R1724" s="125" t="s">
        <v>112</v>
      </c>
      <c r="S1724" s="125" t="s">
        <v>112</v>
      </c>
      <c r="T1724" s="125" t="s">
        <v>112</v>
      </c>
      <c r="U1724" s="125" t="s">
        <v>112</v>
      </c>
      <c r="V1724" s="125" t="s">
        <v>112</v>
      </c>
      <c r="W1724" s="125" t="s">
        <v>112</v>
      </c>
      <c r="X1724" s="125" t="s">
        <v>112</v>
      </c>
      <c r="Y1724" s="125" t="s">
        <v>112</v>
      </c>
      <c r="Z1724" s="125" t="s">
        <v>112</v>
      </c>
      <c r="AA1724" s="125" t="s">
        <v>112</v>
      </c>
      <c r="AB1724" s="125" t="s">
        <v>112</v>
      </c>
      <c r="AC1724" s="125" t="s">
        <v>112</v>
      </c>
      <c r="AD1724" s="125" t="s">
        <v>112</v>
      </c>
      <c r="AE1724" s="125">
        <v>10.894167643610787</v>
      </c>
      <c r="AF1724" s="125">
        <v>10.894167643610787</v>
      </c>
      <c r="AG1724" s="125">
        <v>10.894167643610787</v>
      </c>
      <c r="AH1724" s="125">
        <v>10.894167643610787</v>
      </c>
      <c r="AI1724" s="125">
        <v>10.894167643610787</v>
      </c>
      <c r="AJ1724" s="125">
        <v>10.894167643610787</v>
      </c>
      <c r="AK1724" s="125">
        <v>10.894167643610787</v>
      </c>
      <c r="AL1724" s="125">
        <v>10.894167643610787</v>
      </c>
      <c r="AM1724" s="125">
        <v>10.894167643610787</v>
      </c>
      <c r="AN1724" s="125">
        <v>10.894167643610787</v>
      </c>
      <c r="AO1724" s="125">
        <v>10.894167643610787</v>
      </c>
      <c r="AP1724" s="125">
        <v>10.894167643610787</v>
      </c>
      <c r="AQ1724" s="125">
        <v>10.894167643610787</v>
      </c>
      <c r="AR1724" s="125">
        <v>10.894167643610787</v>
      </c>
      <c r="AS1724" s="125">
        <v>10.894167643610787</v>
      </c>
      <c r="AT1724" s="125">
        <v>10.894167643610787</v>
      </c>
      <c r="AU1724" s="125">
        <v>10.894167643610787</v>
      </c>
      <c r="AV1724" s="125">
        <v>10.894167643610787</v>
      </c>
      <c r="AW1724" s="125">
        <v>10.894167643610787</v>
      </c>
      <c r="AX1724" s="126">
        <v>10.894167643610787</v>
      </c>
    </row>
    <row r="1725" spans="1:50" x14ac:dyDescent="0.25">
      <c r="A1725" s="356"/>
      <c r="B1725" s="359"/>
      <c r="C1725" s="361" t="s">
        <v>16</v>
      </c>
      <c r="D1725" s="2" t="s">
        <v>7</v>
      </c>
      <c r="E1725" s="160" t="str">
        <f>A1699&amp;"/"&amp;B1715&amp;"/"&amp;C1725&amp;"/"&amp;D1725</f>
        <v>Fuel oil fired power plants/Steam turbine/CHP with CCS/L</v>
      </c>
      <c r="F1725" s="76" t="str">
        <f>A1699</f>
        <v>Fuel oil fired power plants</v>
      </c>
      <c r="G1725" s="76" t="str">
        <f>B1715</f>
        <v>Steam turbine</v>
      </c>
      <c r="H1725" s="76" t="str">
        <f>C1725</f>
        <v>CHP with CCS</v>
      </c>
      <c r="I1725" s="161" t="str">
        <f t="shared" si="106"/>
        <v>L</v>
      </c>
      <c r="J1725" s="119" t="s">
        <v>112</v>
      </c>
      <c r="K1725" s="119" t="s">
        <v>112</v>
      </c>
      <c r="L1725" s="119" t="s">
        <v>112</v>
      </c>
      <c r="M1725" s="119" t="s">
        <v>112</v>
      </c>
      <c r="N1725" s="119" t="s">
        <v>112</v>
      </c>
      <c r="O1725" s="119" t="s">
        <v>112</v>
      </c>
      <c r="P1725" s="119" t="s">
        <v>112</v>
      </c>
      <c r="Q1725" s="119" t="s">
        <v>112</v>
      </c>
      <c r="R1725" s="119" t="s">
        <v>112</v>
      </c>
      <c r="S1725" s="119" t="s">
        <v>112</v>
      </c>
      <c r="T1725" s="119" t="s">
        <v>112</v>
      </c>
      <c r="U1725" s="119" t="s">
        <v>112</v>
      </c>
      <c r="V1725" s="119" t="s">
        <v>112</v>
      </c>
      <c r="W1725" s="119" t="s">
        <v>112</v>
      </c>
      <c r="X1725" s="119" t="s">
        <v>112</v>
      </c>
      <c r="Y1725" s="119" t="s">
        <v>112</v>
      </c>
      <c r="Z1725" s="119" t="s">
        <v>112</v>
      </c>
      <c r="AA1725" s="119" t="s">
        <v>112</v>
      </c>
      <c r="AB1725" s="119" t="s">
        <v>112</v>
      </c>
      <c r="AC1725" s="119" t="s">
        <v>112</v>
      </c>
      <c r="AD1725" s="119" t="s">
        <v>112</v>
      </c>
      <c r="AE1725" s="119">
        <v>10.575520612586269</v>
      </c>
      <c r="AF1725" s="119">
        <v>10.575520612586269</v>
      </c>
      <c r="AG1725" s="119">
        <v>10.575520612586269</v>
      </c>
      <c r="AH1725" s="119">
        <v>10.575520612586269</v>
      </c>
      <c r="AI1725" s="119">
        <v>10.575520612586269</v>
      </c>
      <c r="AJ1725" s="119">
        <v>10.575520612586269</v>
      </c>
      <c r="AK1725" s="119">
        <v>10.575520612586269</v>
      </c>
      <c r="AL1725" s="119">
        <v>10.575520612586269</v>
      </c>
      <c r="AM1725" s="119">
        <v>10.575520612586269</v>
      </c>
      <c r="AN1725" s="119">
        <v>10.575520612586269</v>
      </c>
      <c r="AO1725" s="119">
        <v>10.575520612586269</v>
      </c>
      <c r="AP1725" s="119">
        <v>10.575520612586269</v>
      </c>
      <c r="AQ1725" s="119">
        <v>10.575520612586269</v>
      </c>
      <c r="AR1725" s="119">
        <v>10.575520612586269</v>
      </c>
      <c r="AS1725" s="119">
        <v>10.575520612586269</v>
      </c>
      <c r="AT1725" s="119">
        <v>10.575520612586269</v>
      </c>
      <c r="AU1725" s="119">
        <v>10.575520612586269</v>
      </c>
      <c r="AV1725" s="119">
        <v>10.575520612586269</v>
      </c>
      <c r="AW1725" s="119">
        <v>10.575520612586269</v>
      </c>
      <c r="AX1725" s="120">
        <v>10.575520612586269</v>
      </c>
    </row>
    <row r="1726" spans="1:50" x14ac:dyDescent="0.25">
      <c r="A1726" s="357"/>
      <c r="B1726" s="362"/>
      <c r="C1726" s="354"/>
      <c r="D1726" s="4" t="s">
        <v>8</v>
      </c>
      <c r="E1726" s="168" t="str">
        <f>A1699&amp;"/"&amp;B1715&amp;"/"&amp;C1725&amp;"/"&amp;D1726</f>
        <v>Fuel oil fired power plants/Steam turbine/CHP with CCS/M</v>
      </c>
      <c r="F1726" s="80" t="str">
        <f>A1699</f>
        <v>Fuel oil fired power plants</v>
      </c>
      <c r="G1726" s="80" t="str">
        <f>B1715</f>
        <v>Steam turbine</v>
      </c>
      <c r="H1726" s="80" t="str">
        <f>C1725</f>
        <v>CHP with CCS</v>
      </c>
      <c r="I1726" s="169" t="str">
        <f t="shared" si="106"/>
        <v>M</v>
      </c>
      <c r="J1726" s="127" t="s">
        <v>112</v>
      </c>
      <c r="K1726" s="127" t="s">
        <v>112</v>
      </c>
      <c r="L1726" s="127" t="s">
        <v>112</v>
      </c>
      <c r="M1726" s="127" t="s">
        <v>112</v>
      </c>
      <c r="N1726" s="127" t="s">
        <v>112</v>
      </c>
      <c r="O1726" s="127" t="s">
        <v>112</v>
      </c>
      <c r="P1726" s="127" t="s">
        <v>112</v>
      </c>
      <c r="Q1726" s="127" t="s">
        <v>112</v>
      </c>
      <c r="R1726" s="127" t="s">
        <v>112</v>
      </c>
      <c r="S1726" s="127" t="s">
        <v>112</v>
      </c>
      <c r="T1726" s="127" t="s">
        <v>112</v>
      </c>
      <c r="U1726" s="127" t="s">
        <v>112</v>
      </c>
      <c r="V1726" s="127" t="s">
        <v>112</v>
      </c>
      <c r="W1726" s="127" t="s">
        <v>112</v>
      </c>
      <c r="X1726" s="127" t="s">
        <v>112</v>
      </c>
      <c r="Y1726" s="127" t="s">
        <v>112</v>
      </c>
      <c r="Z1726" s="127" t="s">
        <v>112</v>
      </c>
      <c r="AA1726" s="127" t="s">
        <v>112</v>
      </c>
      <c r="AB1726" s="127" t="s">
        <v>112</v>
      </c>
      <c r="AC1726" s="127" t="s">
        <v>112</v>
      </c>
      <c r="AD1726" s="127" t="s">
        <v>112</v>
      </c>
      <c r="AE1726" s="127">
        <v>12.145865669903003</v>
      </c>
      <c r="AF1726" s="127">
        <v>12.145865669903003</v>
      </c>
      <c r="AG1726" s="127">
        <v>12.145865669903003</v>
      </c>
      <c r="AH1726" s="127">
        <v>12.145865669903003</v>
      </c>
      <c r="AI1726" s="127">
        <v>12.145865669903003</v>
      </c>
      <c r="AJ1726" s="127">
        <v>12.145865669903003</v>
      </c>
      <c r="AK1726" s="127">
        <v>12.145865669903003</v>
      </c>
      <c r="AL1726" s="127">
        <v>12.145865669903003</v>
      </c>
      <c r="AM1726" s="127">
        <v>12.145865669903003</v>
      </c>
      <c r="AN1726" s="127">
        <v>12.145865669903003</v>
      </c>
      <c r="AO1726" s="127">
        <v>12.145865669903003</v>
      </c>
      <c r="AP1726" s="127">
        <v>12.145865669903003</v>
      </c>
      <c r="AQ1726" s="127">
        <v>12.145865669903003</v>
      </c>
      <c r="AR1726" s="127">
        <v>12.145865669903003</v>
      </c>
      <c r="AS1726" s="127">
        <v>12.145865669903003</v>
      </c>
      <c r="AT1726" s="127">
        <v>12.145865669903003</v>
      </c>
      <c r="AU1726" s="127">
        <v>12.145865669903003</v>
      </c>
      <c r="AV1726" s="127">
        <v>12.145865669903003</v>
      </c>
      <c r="AW1726" s="127">
        <v>12.145865669903003</v>
      </c>
      <c r="AX1726" s="128">
        <v>12.145865669903003</v>
      </c>
    </row>
    <row r="1727" spans="1:50" x14ac:dyDescent="0.25">
      <c r="A1727" s="355" t="s">
        <v>30</v>
      </c>
      <c r="B1727" s="358" t="s">
        <v>13</v>
      </c>
      <c r="C1727" s="353" t="s">
        <v>6</v>
      </c>
      <c r="D1727" s="3" t="s">
        <v>7</v>
      </c>
      <c r="E1727" s="162" t="str">
        <f>A1727&amp;"/"&amp;B1727&amp;"/"&amp;C1727&amp;"/"&amp;D1727</f>
        <v>Biomass and waste fired power plants/Integrated gasification combined cycle/Electricity only/L</v>
      </c>
      <c r="F1727" s="77" t="str">
        <f>A1727</f>
        <v>Biomass and waste fired power plants</v>
      </c>
      <c r="G1727" s="77" t="str">
        <f>B1727</f>
        <v>Integrated gasification combined cycle</v>
      </c>
      <c r="H1727" s="77" t="str">
        <f>C1727</f>
        <v>Electricity only</v>
      </c>
      <c r="I1727" s="163" t="str">
        <f t="shared" si="106"/>
        <v>L</v>
      </c>
      <c r="J1727" s="121">
        <v>6.5587275434872145</v>
      </c>
      <c r="K1727" s="121">
        <v>6.5586816696298813</v>
      </c>
      <c r="L1727" s="121">
        <v>6.5586227693263979</v>
      </c>
      <c r="M1727" s="121">
        <v>6.5585471446128372</v>
      </c>
      <c r="N1727" s="121">
        <v>6.5584500484273258</v>
      </c>
      <c r="O1727" s="121">
        <v>6.5583253874291145</v>
      </c>
      <c r="P1727" s="121">
        <v>6.5581653409223932</v>
      </c>
      <c r="Q1727" s="121">
        <v>6.5579598723878307</v>
      </c>
      <c r="R1727" s="121">
        <v>6.5576961036653847</v>
      </c>
      <c r="S1727" s="121">
        <v>6.5573575136761901</v>
      </c>
      <c r="T1727" s="121">
        <v>6.556922913326356</v>
      </c>
      <c r="U1727" s="121">
        <v>6.5563651354537722</v>
      </c>
      <c r="V1727" s="121">
        <v>6.5556493628782686</v>
      </c>
      <c r="W1727" s="121">
        <v>6.554730998327484</v>
      </c>
      <c r="X1727" s="121">
        <v>6.5535529568784003</v>
      </c>
      <c r="Y1727" s="121">
        <v>6.5520422345123182</v>
      </c>
      <c r="Z1727" s="121">
        <v>6.550105575974972</v>
      </c>
      <c r="AA1727" s="121">
        <v>6.5476240330622391</v>
      </c>
      <c r="AB1727" s="121">
        <v>6.5444461744594733</v>
      </c>
      <c r="AC1727" s="121">
        <v>6.5403796875625799</v>
      </c>
      <c r="AD1727" s="121">
        <v>6.5351811141806699</v>
      </c>
      <c r="AE1727" s="121">
        <v>6.5285435074556695</v>
      </c>
      <c r="AF1727" s="121">
        <v>6.5200819219571269</v>
      </c>
      <c r="AG1727" s="121">
        <v>6.5093169070943029</v>
      </c>
      <c r="AH1727" s="121">
        <v>6.4956566452497055</v>
      </c>
      <c r="AI1727" s="121">
        <v>6.4783791684602692</v>
      </c>
      <c r="AJ1727" s="121">
        <v>6.456617331871783</v>
      </c>
      <c r="AK1727" s="121">
        <v>6.4293510437886052</v>
      </c>
      <c r="AL1727" s="121">
        <v>6.3954136971763784</v>
      </c>
      <c r="AM1727" s="121">
        <v>6.353522633875599</v>
      </c>
      <c r="AN1727" s="121">
        <v>6.302346139137871</v>
      </c>
      <c r="AO1727" s="121">
        <v>6.2406204389874995</v>
      </c>
      <c r="AP1727" s="121">
        <v>6.1673269227019949</v>
      </c>
      <c r="AQ1727" s="121">
        <v>6.0819289797000931</v>
      </c>
      <c r="AR1727" s="121">
        <v>5.9846466571053405</v>
      </c>
      <c r="AS1727" s="121">
        <v>5.8767167963210092</v>
      </c>
      <c r="AT1727" s="121">
        <v>5.7605553570086432</v>
      </c>
      <c r="AU1727" s="121">
        <v>5.6397260806394698</v>
      </c>
      <c r="AV1727" s="121">
        <v>5.5186478028985944</v>
      </c>
      <c r="AW1727" s="121">
        <v>5.4020503075923445</v>
      </c>
      <c r="AX1727" s="122">
        <v>5.294292167257721</v>
      </c>
    </row>
    <row r="1728" spans="1:50" x14ac:dyDescent="0.25">
      <c r="A1728" s="356"/>
      <c r="B1728" s="359"/>
      <c r="C1728" s="360"/>
      <c r="D1728" s="2" t="s">
        <v>8</v>
      </c>
      <c r="E1728" s="160" t="str">
        <f>A1727&amp;"/"&amp;B1727&amp;"/"&amp;C1727&amp;"/"&amp;D1728</f>
        <v>Biomass and waste fired power plants/Integrated gasification combined cycle/Electricity only/M</v>
      </c>
      <c r="F1728" s="76" t="str">
        <f>A1727</f>
        <v>Biomass and waste fired power plants</v>
      </c>
      <c r="G1728" s="76" t="str">
        <f>B1727</f>
        <v>Integrated gasification combined cycle</v>
      </c>
      <c r="H1728" s="76" t="str">
        <f>C1727</f>
        <v>Electricity only</v>
      </c>
      <c r="I1728" s="161" t="str">
        <f t="shared" si="106"/>
        <v>M</v>
      </c>
      <c r="J1728" s="119">
        <v>7.0506321092487552</v>
      </c>
      <c r="K1728" s="119">
        <v>7.0503684437319745</v>
      </c>
      <c r="L1728" s="119">
        <v>7.0500464709749773</v>
      </c>
      <c r="M1728" s="119">
        <v>7.0496533155119954</v>
      </c>
      <c r="N1728" s="119">
        <v>7.0491732678675696</v>
      </c>
      <c r="O1728" s="119">
        <v>7.0485871652670227</v>
      </c>
      <c r="P1728" s="119">
        <v>7.0478716392330352</v>
      </c>
      <c r="Q1728" s="119">
        <v>7.0469982025478322</v>
      </c>
      <c r="R1728" s="119">
        <v>7.0459321429144586</v>
      </c>
      <c r="S1728" s="119">
        <v>7.0446311848209477</v>
      </c>
      <c r="T1728" s="119">
        <v>7.0430438746621213</v>
      </c>
      <c r="U1728" s="119">
        <v>7.0411076372834254</v>
      </c>
      <c r="V1728" s="119">
        <v>7.0387464451399557</v>
      </c>
      <c r="W1728" s="119">
        <v>7.0358680348553762</v>
      </c>
      <c r="X1728" s="119">
        <v>7.0323606011926403</v>
      </c>
      <c r="Y1728" s="119">
        <v>7.0280888970183479</v>
      </c>
      <c r="Z1728" s="119">
        <v>7.0228896723789447</v>
      </c>
      <c r="AA1728" s="119">
        <v>7.0165664002230601</v>
      </c>
      <c r="AB1728" s="119">
        <v>7.0088832662744762</v>
      </c>
      <c r="AC1728" s="119">
        <v>6.9995584540701685</v>
      </c>
      <c r="AD1728" s="119">
        <v>6.9882568440835522</v>
      </c>
      <c r="AE1728" s="119">
        <v>6.9745823822797011</v>
      </c>
      <c r="AF1728" s="119">
        <v>6.9580705756873504</v>
      </c>
      <c r="AG1728" s="119">
        <v>6.9381818598504754</v>
      </c>
      <c r="AH1728" s="119">
        <v>6.9142969731368966</v>
      </c>
      <c r="AI1728" s="119">
        <v>6.8857159751673871</v>
      </c>
      <c r="AJ1728" s="119">
        <v>6.8516631493203253</v>
      </c>
      <c r="AK1728" s="119">
        <v>6.8113006793498156</v>
      </c>
      <c r="AL1728" s="119">
        <v>6.7637545651963045</v>
      </c>
      <c r="AM1728" s="119">
        <v>6.7081565186465806</v>
      </c>
      <c r="AN1728" s="119">
        <v>6.643705204478942</v>
      </c>
      <c r="AO1728" s="119">
        <v>6.5697486984914821</v>
      </c>
      <c r="AP1728" s="119">
        <v>6.4858869195786548</v>
      </c>
      <c r="AQ1728" s="119">
        <v>6.3920877356599837</v>
      </c>
      <c r="AR1728" s="119">
        <v>6.2888036523192099</v>
      </c>
      <c r="AS1728" s="119">
        <v>6.1770686400973389</v>
      </c>
      <c r="AT1728" s="119">
        <v>6.0585491465692725</v>
      </c>
      <c r="AU1728" s="119">
        <v>5.9355230339277503</v>
      </c>
      <c r="AV1728" s="119">
        <v>5.8107682172044646</v>
      </c>
      <c r="AW1728" s="119">
        <v>5.6873600664107196</v>
      </c>
      <c r="AX1728" s="120">
        <v>5.568399988405881</v>
      </c>
    </row>
    <row r="1729" spans="1:50" x14ac:dyDescent="0.25">
      <c r="A1729" s="356"/>
      <c r="B1729" s="359"/>
      <c r="C1729" s="361" t="s">
        <v>14</v>
      </c>
      <c r="D1729" s="58" t="s">
        <v>7</v>
      </c>
      <c r="E1729" s="164" t="str">
        <f>A1727&amp;"/"&amp;B1727&amp;"/"&amp;C1729&amp;"/"&amp;D1729</f>
        <v>Biomass and waste fired power plants/Integrated gasification combined cycle/CHP/L</v>
      </c>
      <c r="F1729" s="78" t="str">
        <f>A1727</f>
        <v>Biomass and waste fired power plants</v>
      </c>
      <c r="G1729" s="78" t="str">
        <f>B1727</f>
        <v>Integrated gasification combined cycle</v>
      </c>
      <c r="H1729" s="78" t="str">
        <f>C1729</f>
        <v>CHP</v>
      </c>
      <c r="I1729" s="165" t="str">
        <f t="shared" si="106"/>
        <v>L</v>
      </c>
      <c r="J1729" s="123">
        <v>7.1711629794945813</v>
      </c>
      <c r="K1729" s="123">
        <v>7.1711166803298649</v>
      </c>
      <c r="L1729" s="123">
        <v>7.1710572339477343</v>
      </c>
      <c r="M1729" s="123">
        <v>7.1709809080995655</v>
      </c>
      <c r="N1729" s="123">
        <v>7.1708829117123498</v>
      </c>
      <c r="O1729" s="123">
        <v>7.1707570949525357</v>
      </c>
      <c r="P1729" s="123">
        <v>7.1705955646167929</v>
      </c>
      <c r="Q1729" s="123">
        <v>7.170388191134843</v>
      </c>
      <c r="R1729" s="123">
        <v>7.1701219769501776</v>
      </c>
      <c r="S1729" s="123">
        <v>7.1697802478131001</v>
      </c>
      <c r="T1729" s="123">
        <v>7.1693416181806189</v>
      </c>
      <c r="U1729" s="123">
        <v>7.1687786690174375</v>
      </c>
      <c r="V1729" s="123">
        <v>7.1680562603450726</v>
      </c>
      <c r="W1729" s="123">
        <v>7.1671293814192998</v>
      </c>
      <c r="X1729" s="123">
        <v>7.1659404180692787</v>
      </c>
      <c r="Y1729" s="123">
        <v>7.1644156894387825</v>
      </c>
      <c r="Z1729" s="123">
        <v>7.1624610756820246</v>
      </c>
      <c r="AA1729" s="123">
        <v>7.1599565257979449</v>
      </c>
      <c r="AB1729" s="123">
        <v>7.1567492045163572</v>
      </c>
      <c r="AC1729" s="123">
        <v>7.1526450162575239</v>
      </c>
      <c r="AD1729" s="123">
        <v>7.1473982456720808</v>
      </c>
      <c r="AE1729" s="123">
        <v>7.1406991001250226</v>
      </c>
      <c r="AF1729" s="123">
        <v>7.1321590652657525</v>
      </c>
      <c r="AG1729" s="123">
        <v>7.1212942454036954</v>
      </c>
      <c r="AH1729" s="123">
        <v>7.1075073360402339</v>
      </c>
      <c r="AI1729" s="123">
        <v>7.0900696756765349</v>
      </c>
      <c r="AJ1729" s="123">
        <v>7.0681060799533233</v>
      </c>
      <c r="AK1729" s="123">
        <v>7.0405869996635477</v>
      </c>
      <c r="AL1729" s="123">
        <v>7.0063350118830767</v>
      </c>
      <c r="AM1729" s="123">
        <v>6.9640555666251993</v>
      </c>
      <c r="AN1729" s="123">
        <v>6.9124046024990751</v>
      </c>
      <c r="AO1729" s="123">
        <v>6.8501066287815346</v>
      </c>
      <c r="AP1729" s="123">
        <v>6.776133590969132</v>
      </c>
      <c r="AQ1729" s="123">
        <v>6.6899439034369701</v>
      </c>
      <c r="AR1729" s="123">
        <v>6.5917596534175287</v>
      </c>
      <c r="AS1729" s="123">
        <v>6.4828291493633019</v>
      </c>
      <c r="AT1729" s="123">
        <v>6.3655907498693471</v>
      </c>
      <c r="AU1729" s="123">
        <v>6.2436412366970639</v>
      </c>
      <c r="AV1729" s="123">
        <v>6.1214404136024614</v>
      </c>
      <c r="AW1729" s="123">
        <v>6.0037619153363533</v>
      </c>
      <c r="AX1729" s="124">
        <v>5.895004723792745</v>
      </c>
    </row>
    <row r="1730" spans="1:50" x14ac:dyDescent="0.25">
      <c r="A1730" s="356"/>
      <c r="B1730" s="359"/>
      <c r="C1730" s="360"/>
      <c r="D1730" s="59" t="s">
        <v>8</v>
      </c>
      <c r="E1730" s="166" t="str">
        <f>A1727&amp;"/"&amp;B1727&amp;"/"&amp;C1729&amp;"/"&amp;D1730</f>
        <v>Biomass and waste fired power plants/Integrated gasification combined cycle/CHP/M</v>
      </c>
      <c r="F1730" s="79" t="str">
        <f>A1727</f>
        <v>Biomass and waste fired power plants</v>
      </c>
      <c r="G1730" s="79" t="str">
        <f>B1727</f>
        <v>Integrated gasification combined cycle</v>
      </c>
      <c r="H1730" s="79" t="str">
        <f>C1729</f>
        <v>CHP</v>
      </c>
      <c r="I1730" s="167" t="str">
        <f t="shared" si="106"/>
        <v>M</v>
      </c>
      <c r="J1730" s="125">
        <v>7.6439375742710078</v>
      </c>
      <c r="K1730" s="125">
        <v>7.6436701636109454</v>
      </c>
      <c r="L1730" s="125">
        <v>7.6433436175061615</v>
      </c>
      <c r="M1730" s="125">
        <v>7.642944877605899</v>
      </c>
      <c r="N1730" s="125">
        <v>7.6424580112950338</v>
      </c>
      <c r="O1730" s="125">
        <v>7.6418635836080524</v>
      </c>
      <c r="P1730" s="125">
        <v>7.6411378941383905</v>
      </c>
      <c r="Q1730" s="125">
        <v>7.6402520510316947</v>
      </c>
      <c r="R1730" s="125">
        <v>7.6391708489325074</v>
      </c>
      <c r="S1730" s="125">
        <v>7.637851411841349</v>
      </c>
      <c r="T1730" s="125">
        <v>7.6362415552985645</v>
      </c>
      <c r="U1730" s="125">
        <v>7.6342778153230171</v>
      </c>
      <c r="V1730" s="125">
        <v>7.6318830844635182</v>
      </c>
      <c r="W1730" s="125">
        <v>7.6289637888213386</v>
      </c>
      <c r="X1730" s="125">
        <v>7.6254065350616127</v>
      </c>
      <c r="Y1730" s="125">
        <v>7.6210741549810148</v>
      </c>
      <c r="Z1730" s="125">
        <v>7.6158010797999554</v>
      </c>
      <c r="AA1730" s="125">
        <v>7.6093879909682887</v>
      </c>
      <c r="AB1730" s="125">
        <v>7.6015957246695791</v>
      </c>
      <c r="AC1730" s="125">
        <v>7.5921384614788447</v>
      </c>
      <c r="AD1730" s="125">
        <v>7.5806763217830895</v>
      </c>
      <c r="AE1730" s="125">
        <v>7.5668076259383721</v>
      </c>
      <c r="AF1730" s="125">
        <v>7.5500612832478211</v>
      </c>
      <c r="AG1730" s="125">
        <v>7.5298900652035439</v>
      </c>
      <c r="AH1730" s="125">
        <v>7.505665914091221</v>
      </c>
      <c r="AI1730" s="125">
        <v>7.4766789474768576</v>
      </c>
      <c r="AJ1730" s="125">
        <v>7.4421424303473085</v>
      </c>
      <c r="AK1730" s="125">
        <v>7.4012066459930841</v>
      </c>
      <c r="AL1730" s="125">
        <v>7.3529851799308812</v>
      </c>
      <c r="AM1730" s="125">
        <v>7.2965974106556448</v>
      </c>
      <c r="AN1730" s="125">
        <v>7.2312306206638377</v>
      </c>
      <c r="AO1730" s="125">
        <v>7.1562236257275345</v>
      </c>
      <c r="AP1730" s="125">
        <v>7.0711706619310775</v>
      </c>
      <c r="AQ1730" s="125">
        <v>6.9760391407852547</v>
      </c>
      <c r="AR1730" s="125">
        <v>6.8712879953288208</v>
      </c>
      <c r="AS1730" s="125">
        <v>6.7579658827704634</v>
      </c>
      <c r="AT1730" s="125">
        <v>6.6377629211483953</v>
      </c>
      <c r="AU1730" s="125">
        <v>6.5129893277406641</v>
      </c>
      <c r="AV1730" s="125">
        <v>6.3864624754874004</v>
      </c>
      <c r="AW1730" s="125">
        <v>6.2613014174020645</v>
      </c>
      <c r="AX1730" s="126">
        <v>6.1406516131773463</v>
      </c>
    </row>
    <row r="1731" spans="1:50" x14ac:dyDescent="0.25">
      <c r="A1731" s="356"/>
      <c r="B1731" s="359"/>
      <c r="C1731" s="361" t="s">
        <v>15</v>
      </c>
      <c r="D1731" s="58" t="s">
        <v>7</v>
      </c>
      <c r="E1731" s="164" t="str">
        <f>A1727&amp;"/"&amp;B1727&amp;"/"&amp;C1731&amp;"/"&amp;D1731</f>
        <v>Biomass and waste fired power plants/Integrated gasification combined cycle/Electricity only with CCS/L</v>
      </c>
      <c r="F1731" s="78" t="str">
        <f>A1727</f>
        <v>Biomass and waste fired power plants</v>
      </c>
      <c r="G1731" s="78" t="str">
        <f>B1727</f>
        <v>Integrated gasification combined cycle</v>
      </c>
      <c r="H1731" s="78" t="str">
        <f>C1731</f>
        <v>Electricity only with CCS</v>
      </c>
      <c r="I1731" s="165" t="str">
        <f t="shared" si="106"/>
        <v>L</v>
      </c>
      <c r="J1731" s="123" t="s">
        <v>112</v>
      </c>
      <c r="K1731" s="123" t="s">
        <v>112</v>
      </c>
      <c r="L1731" s="123" t="s">
        <v>112</v>
      </c>
      <c r="M1731" s="123" t="s">
        <v>112</v>
      </c>
      <c r="N1731" s="123" t="s">
        <v>112</v>
      </c>
      <c r="O1731" s="123" t="s">
        <v>112</v>
      </c>
      <c r="P1731" s="123" t="s">
        <v>112</v>
      </c>
      <c r="Q1731" s="123" t="s">
        <v>112</v>
      </c>
      <c r="R1731" s="123" t="s">
        <v>112</v>
      </c>
      <c r="S1731" s="123" t="s">
        <v>112</v>
      </c>
      <c r="T1731" s="123" t="s">
        <v>112</v>
      </c>
      <c r="U1731" s="123" t="s">
        <v>112</v>
      </c>
      <c r="V1731" s="123" t="s">
        <v>112</v>
      </c>
      <c r="W1731" s="123" t="s">
        <v>112</v>
      </c>
      <c r="X1731" s="123" t="s">
        <v>112</v>
      </c>
      <c r="Y1731" s="123" t="s">
        <v>112</v>
      </c>
      <c r="Z1731" s="123" t="s">
        <v>112</v>
      </c>
      <c r="AA1731" s="123" t="s">
        <v>112</v>
      </c>
      <c r="AB1731" s="123" t="s">
        <v>112</v>
      </c>
      <c r="AC1731" s="123" t="s">
        <v>112</v>
      </c>
      <c r="AD1731" s="123" t="s">
        <v>112</v>
      </c>
      <c r="AE1731" s="123">
        <v>7.3754769616203761</v>
      </c>
      <c r="AF1731" s="123">
        <v>7.3743950554243716</v>
      </c>
      <c r="AG1731" s="123">
        <v>7.3729360157742088</v>
      </c>
      <c r="AH1731" s="123">
        <v>7.3709690305470543</v>
      </c>
      <c r="AI1731" s="123">
        <v>7.3683184461649853</v>
      </c>
      <c r="AJ1731" s="123">
        <v>7.3647488309407896</v>
      </c>
      <c r="AK1731" s="123">
        <v>7.3599454184467552</v>
      </c>
      <c r="AL1731" s="123">
        <v>7.353488795189465</v>
      </c>
      <c r="AM1731" s="123">
        <v>7.3448226699683277</v>
      </c>
      <c r="AN1731" s="123">
        <v>7.3332137959683559</v>
      </c>
      <c r="AO1731" s="123">
        <v>7.3177038769154157</v>
      </c>
      <c r="AP1731" s="123">
        <v>7.2970550168873221</v>
      </c>
      <c r="AQ1731" s="123">
        <v>7.2696936410607131</v>
      </c>
      <c r="AR1731" s="123">
        <v>7.2336637143556741</v>
      </c>
      <c r="AS1731" s="123">
        <v>7.186609412921924</v>
      </c>
      <c r="AT1731" s="123">
        <v>7.1258203522156727</v>
      </c>
      <c r="AU1731" s="123">
        <v>7.048386935046727</v>
      </c>
      <c r="AV1731" s="123">
        <v>6.9515222392922817</v>
      </c>
      <c r="AW1731" s="123">
        <v>6.8330951709674608</v>
      </c>
      <c r="AX1731" s="124">
        <v>6.6923656029714387</v>
      </c>
    </row>
    <row r="1732" spans="1:50" x14ac:dyDescent="0.25">
      <c r="A1732" s="356"/>
      <c r="B1732" s="359"/>
      <c r="C1732" s="360"/>
      <c r="D1732" s="59" t="s">
        <v>8</v>
      </c>
      <c r="E1732" s="166" t="str">
        <f>A1727&amp;"/"&amp;B1727&amp;"/"&amp;C1731&amp;"/"&amp;D1732</f>
        <v>Biomass and waste fired power plants/Integrated gasification combined cycle/Electricity only with CCS/M</v>
      </c>
      <c r="F1732" s="79" t="str">
        <f>A1727</f>
        <v>Biomass and waste fired power plants</v>
      </c>
      <c r="G1732" s="79" t="str">
        <f>B1727</f>
        <v>Integrated gasification combined cycle</v>
      </c>
      <c r="H1732" s="79" t="str">
        <f>C1731</f>
        <v>Electricity only with CCS</v>
      </c>
      <c r="I1732" s="167" t="str">
        <f t="shared" si="106"/>
        <v>M</v>
      </c>
      <c r="J1732" s="125" t="s">
        <v>112</v>
      </c>
      <c r="K1732" s="125" t="s">
        <v>112</v>
      </c>
      <c r="L1732" s="125" t="s">
        <v>112</v>
      </c>
      <c r="M1732" s="125" t="s">
        <v>112</v>
      </c>
      <c r="N1732" s="125" t="s">
        <v>112</v>
      </c>
      <c r="O1732" s="125" t="s">
        <v>112</v>
      </c>
      <c r="P1732" s="125" t="s">
        <v>112</v>
      </c>
      <c r="Q1732" s="125" t="s">
        <v>112</v>
      </c>
      <c r="R1732" s="125" t="s">
        <v>112</v>
      </c>
      <c r="S1732" s="125" t="s">
        <v>112</v>
      </c>
      <c r="T1732" s="125" t="s">
        <v>112</v>
      </c>
      <c r="U1732" s="125" t="s">
        <v>112</v>
      </c>
      <c r="V1732" s="125" t="s">
        <v>112</v>
      </c>
      <c r="W1732" s="125" t="s">
        <v>112</v>
      </c>
      <c r="X1732" s="125" t="s">
        <v>112</v>
      </c>
      <c r="Y1732" s="125" t="s">
        <v>112</v>
      </c>
      <c r="Z1732" s="125" t="s">
        <v>112</v>
      </c>
      <c r="AA1732" s="125" t="s">
        <v>112</v>
      </c>
      <c r="AB1732" s="125" t="s">
        <v>112</v>
      </c>
      <c r="AC1732" s="125" t="s">
        <v>112</v>
      </c>
      <c r="AD1732" s="125" t="s">
        <v>112</v>
      </c>
      <c r="AE1732" s="125">
        <v>7.8879463650512838</v>
      </c>
      <c r="AF1732" s="125">
        <v>7.8873403476062469</v>
      </c>
      <c r="AG1732" s="125">
        <v>7.8864807561178036</v>
      </c>
      <c r="AH1732" s="125">
        <v>7.8852617188653014</v>
      </c>
      <c r="AI1732" s="125">
        <v>7.8835333939335728</v>
      </c>
      <c r="AJ1732" s="125">
        <v>7.881083943312956</v>
      </c>
      <c r="AK1732" s="125">
        <v>7.8776143551596984</v>
      </c>
      <c r="AL1732" s="125">
        <v>7.8727035177638367</v>
      </c>
      <c r="AM1732" s="125">
        <v>7.8657602538173332</v>
      </c>
      <c r="AN1732" s="125">
        <v>7.8559584122852248</v>
      </c>
      <c r="AO1732" s="125">
        <v>7.8421509603972712</v>
      </c>
      <c r="AP1732" s="125">
        <v>7.8227601178474604</v>
      </c>
      <c r="AQ1732" s="125">
        <v>7.7956444798604512</v>
      </c>
      <c r="AR1732" s="125">
        <v>7.7579535169226705</v>
      </c>
      <c r="AS1732" s="125">
        <v>7.7059990158031999</v>
      </c>
      <c r="AT1732" s="125">
        <v>7.6352069158303983</v>
      </c>
      <c r="AU1732" s="125">
        <v>7.5402636534328709</v>
      </c>
      <c r="AV1732" s="125">
        <v>7.4156275606809245</v>
      </c>
      <c r="AW1732" s="125">
        <v>7.2565954602103648</v>
      </c>
      <c r="AX1732" s="126">
        <v>7.0610069015936645</v>
      </c>
    </row>
    <row r="1733" spans="1:50" x14ac:dyDescent="0.25">
      <c r="A1733" s="356"/>
      <c r="B1733" s="359"/>
      <c r="C1733" s="361" t="s">
        <v>16</v>
      </c>
      <c r="D1733" s="2" t="s">
        <v>7</v>
      </c>
      <c r="E1733" s="160" t="str">
        <f>A1727&amp;"/"&amp;B1727&amp;"/"&amp;C1733&amp;"/"&amp;D1733</f>
        <v>Biomass and waste fired power plants/Integrated gasification combined cycle/CHP with CCS/L</v>
      </c>
      <c r="F1733" s="76" t="str">
        <f>A1727</f>
        <v>Biomass and waste fired power plants</v>
      </c>
      <c r="G1733" s="76" t="str">
        <f>B1727</f>
        <v>Integrated gasification combined cycle</v>
      </c>
      <c r="H1733" s="76" t="str">
        <f>C1733</f>
        <v>CHP with CCS</v>
      </c>
      <c r="I1733" s="161" t="str">
        <f t="shared" si="106"/>
        <v>L</v>
      </c>
      <c r="J1733" s="119" t="s">
        <v>112</v>
      </c>
      <c r="K1733" s="119" t="s">
        <v>112</v>
      </c>
      <c r="L1733" s="119" t="s">
        <v>112</v>
      </c>
      <c r="M1733" s="119" t="s">
        <v>112</v>
      </c>
      <c r="N1733" s="119" t="s">
        <v>112</v>
      </c>
      <c r="O1733" s="119" t="s">
        <v>112</v>
      </c>
      <c r="P1733" s="119" t="s">
        <v>112</v>
      </c>
      <c r="Q1733" s="119" t="s">
        <v>112</v>
      </c>
      <c r="R1733" s="119" t="s">
        <v>112</v>
      </c>
      <c r="S1733" s="119" t="s">
        <v>112</v>
      </c>
      <c r="T1733" s="119" t="s">
        <v>112</v>
      </c>
      <c r="U1733" s="119" t="s">
        <v>112</v>
      </c>
      <c r="V1733" s="119" t="s">
        <v>112</v>
      </c>
      <c r="W1733" s="119" t="s">
        <v>112</v>
      </c>
      <c r="X1733" s="119" t="s">
        <v>112</v>
      </c>
      <c r="Y1733" s="119" t="s">
        <v>112</v>
      </c>
      <c r="Z1733" s="119" t="s">
        <v>112</v>
      </c>
      <c r="AA1733" s="119" t="s">
        <v>112</v>
      </c>
      <c r="AB1733" s="119" t="s">
        <v>112</v>
      </c>
      <c r="AC1733" s="119" t="s">
        <v>112</v>
      </c>
      <c r="AD1733" s="119" t="s">
        <v>112</v>
      </c>
      <c r="AE1733" s="119">
        <v>7.839710155525597</v>
      </c>
      <c r="AF1733" s="119">
        <v>7.8386343740456148</v>
      </c>
      <c r="AG1733" s="119">
        <v>7.8371835940796597</v>
      </c>
      <c r="AH1733" s="119">
        <v>7.8352277440377724</v>
      </c>
      <c r="AI1733" s="119">
        <v>7.8325921647242511</v>
      </c>
      <c r="AJ1733" s="119">
        <v>7.8290427572404626</v>
      </c>
      <c r="AK1733" s="119">
        <v>7.8242665370645508</v>
      </c>
      <c r="AL1733" s="119">
        <v>7.8178464650203487</v>
      </c>
      <c r="AM1733" s="119">
        <v>7.8092293990949102</v>
      </c>
      <c r="AN1733" s="119">
        <v>7.7976862434139989</v>
      </c>
      <c r="AO1733" s="119">
        <v>7.7822641266585855</v>
      </c>
      <c r="AP1733" s="119">
        <v>7.7617321606868446</v>
      </c>
      <c r="AQ1733" s="119">
        <v>7.7345256787480068</v>
      </c>
      <c r="AR1733" s="119">
        <v>7.6986997189581805</v>
      </c>
      <c r="AS1733" s="119">
        <v>7.6519117938839978</v>
      </c>
      <c r="AT1733" s="119">
        <v>7.5914668625814103</v>
      </c>
      <c r="AU1733" s="119">
        <v>7.5144717992110683</v>
      </c>
      <c r="AV1733" s="119">
        <v>7.4181554585323344</v>
      </c>
      <c r="AW1733" s="119">
        <v>7.3003988107721192</v>
      </c>
      <c r="AX1733" s="120">
        <v>7.1604659187199236</v>
      </c>
    </row>
    <row r="1734" spans="1:50" x14ac:dyDescent="0.25">
      <c r="A1734" s="356"/>
      <c r="B1734" s="362"/>
      <c r="C1734" s="354"/>
      <c r="D1734" s="4" t="s">
        <v>8</v>
      </c>
      <c r="E1734" s="168" t="str">
        <f>A1727&amp;"/"&amp;B1727&amp;"/"&amp;C1733&amp;"/"&amp;D1734</f>
        <v>Biomass and waste fired power plants/Integrated gasification combined cycle/CHP with CCS/M</v>
      </c>
      <c r="F1734" s="80" t="str">
        <f>A1727</f>
        <v>Biomass and waste fired power plants</v>
      </c>
      <c r="G1734" s="80" t="str">
        <f>B1727</f>
        <v>Integrated gasification combined cycle</v>
      </c>
      <c r="H1734" s="80" t="str">
        <f>C1733</f>
        <v>CHP with CCS</v>
      </c>
      <c r="I1734" s="169" t="str">
        <f t="shared" si="106"/>
        <v>M</v>
      </c>
      <c r="J1734" s="127" t="s">
        <v>112</v>
      </c>
      <c r="K1734" s="127" t="s">
        <v>112</v>
      </c>
      <c r="L1734" s="127" t="s">
        <v>112</v>
      </c>
      <c r="M1734" s="127" t="s">
        <v>112</v>
      </c>
      <c r="N1734" s="127" t="s">
        <v>112</v>
      </c>
      <c r="O1734" s="127" t="s">
        <v>112</v>
      </c>
      <c r="P1734" s="127" t="s">
        <v>112</v>
      </c>
      <c r="Q1734" s="127" t="s">
        <v>112</v>
      </c>
      <c r="R1734" s="127" t="s">
        <v>112</v>
      </c>
      <c r="S1734" s="127" t="s">
        <v>112</v>
      </c>
      <c r="T1734" s="127" t="s">
        <v>112</v>
      </c>
      <c r="U1734" s="127" t="s">
        <v>112</v>
      </c>
      <c r="V1734" s="127" t="s">
        <v>112</v>
      </c>
      <c r="W1734" s="127" t="s">
        <v>112</v>
      </c>
      <c r="X1734" s="127" t="s">
        <v>112</v>
      </c>
      <c r="Y1734" s="127" t="s">
        <v>112</v>
      </c>
      <c r="Z1734" s="127" t="s">
        <v>112</v>
      </c>
      <c r="AA1734" s="127" t="s">
        <v>112</v>
      </c>
      <c r="AB1734" s="127" t="s">
        <v>112</v>
      </c>
      <c r="AC1734" s="127" t="s">
        <v>112</v>
      </c>
      <c r="AD1734" s="127" t="s">
        <v>112</v>
      </c>
      <c r="AE1734" s="127">
        <v>8.3327011097133816</v>
      </c>
      <c r="AF1734" s="127">
        <v>8.3321340986515811</v>
      </c>
      <c r="AG1734" s="127">
        <v>8.3313298348691287</v>
      </c>
      <c r="AH1734" s="127">
        <v>8.3301892610909718</v>
      </c>
      <c r="AI1734" s="127">
        <v>8.328572179994211</v>
      </c>
      <c r="AJ1734" s="127">
        <v>8.3262803885472838</v>
      </c>
      <c r="AK1734" s="127">
        <v>8.3230341208384893</v>
      </c>
      <c r="AL1734" s="127">
        <v>8.3184393700619825</v>
      </c>
      <c r="AM1734" s="127">
        <v>8.3119430101058249</v>
      </c>
      <c r="AN1734" s="127">
        <v>8.3027720652423724</v>
      </c>
      <c r="AO1734" s="127">
        <v>8.289853331598863</v>
      </c>
      <c r="AP1734" s="127">
        <v>8.2717105828819353</v>
      </c>
      <c r="AQ1734" s="127">
        <v>8.2463402460833226</v>
      </c>
      <c r="AR1734" s="127">
        <v>8.2110752663526743</v>
      </c>
      <c r="AS1734" s="127">
        <v>8.1624648227320478</v>
      </c>
      <c r="AT1734" s="127">
        <v>8.0962292644961948</v>
      </c>
      <c r="AU1734" s="127">
        <v>8.007397036210131</v>
      </c>
      <c r="AV1734" s="127">
        <v>7.8907831600441085</v>
      </c>
      <c r="AW1734" s="127">
        <v>7.7419871791912271</v>
      </c>
      <c r="AX1734" s="128">
        <v>7.5589877008666573</v>
      </c>
    </row>
    <row r="1735" spans="1:50" x14ac:dyDescent="0.25">
      <c r="A1735" s="356"/>
      <c r="B1735" s="358" t="s">
        <v>18</v>
      </c>
      <c r="C1735" s="353" t="s">
        <v>6</v>
      </c>
      <c r="D1735" s="3" t="s">
        <v>7</v>
      </c>
      <c r="E1735" s="162" t="str">
        <f>A1727&amp;"/"&amp;B1735&amp;"/"&amp;C1735&amp;"/"&amp;D1735</f>
        <v>Biomass and waste fired power plants/Fluidized bed combustion/Electricity only/L</v>
      </c>
      <c r="F1735" s="77" t="str">
        <f>A1727</f>
        <v>Biomass and waste fired power plants</v>
      </c>
      <c r="G1735" s="77" t="str">
        <f>B1735</f>
        <v>Fluidized bed combustion</v>
      </c>
      <c r="H1735" s="77" t="str">
        <f>C1735</f>
        <v>Electricity only</v>
      </c>
      <c r="I1735" s="163" t="str">
        <f t="shared" si="106"/>
        <v>L</v>
      </c>
      <c r="J1735" s="121">
        <v>5.7611790319879406</v>
      </c>
      <c r="K1735" s="121">
        <v>5.7609731780101558</v>
      </c>
      <c r="L1735" s="121">
        <v>5.7607218346950182</v>
      </c>
      <c r="M1735" s="121">
        <v>5.7604149734498247</v>
      </c>
      <c r="N1735" s="121">
        <v>5.7600403663561517</v>
      </c>
      <c r="O1735" s="121">
        <v>5.7595831095336774</v>
      </c>
      <c r="P1735" s="121">
        <v>5.7590250460058128</v>
      </c>
      <c r="Q1735" s="121">
        <v>5.7583440682613434</v>
      </c>
      <c r="R1735" s="121">
        <v>5.7575132774998572</v>
      </c>
      <c r="S1735" s="121">
        <v>5.756499973192529</v>
      </c>
      <c r="T1735" s="121">
        <v>5.7552644433107361</v>
      </c>
      <c r="U1735" s="121">
        <v>5.753758522765076</v>
      </c>
      <c r="V1735" s="121">
        <v>5.7519238858976296</v>
      </c>
      <c r="W1735" s="121">
        <v>5.7496900392874926</v>
      </c>
      <c r="X1735" s="121">
        <v>5.7469719851964509</v>
      </c>
      <c r="Y1735" s="121">
        <v>5.7436675359672202</v>
      </c>
      <c r="Z1735" s="121">
        <v>5.7396542788604448</v>
      </c>
      <c r="AA1735" s="121">
        <v>5.7347862237517964</v>
      </c>
      <c r="AB1735" s="121">
        <v>5.7288902189834223</v>
      </c>
      <c r="AC1735" s="121">
        <v>5.7217623014444774</v>
      </c>
      <c r="AD1735" s="121">
        <v>5.7131642652802439</v>
      </c>
      <c r="AE1735" s="121">
        <v>5.7028208999801979</v>
      </c>
      <c r="AF1735" s="121">
        <v>5.6904185721637708</v>
      </c>
      <c r="AG1735" s="121">
        <v>5.6756061096950852</v>
      </c>
      <c r="AH1735" s="121">
        <v>5.6579992818711435</v>
      </c>
      <c r="AI1735" s="121">
        <v>5.637190519521357</v>
      </c>
      <c r="AJ1735" s="121">
        <v>5.6127658049070206</v>
      </c>
      <c r="AK1735" s="121">
        <v>5.5843307411286922</v>
      </c>
      <c r="AL1735" s="121">
        <v>5.5515474641987925</v>
      </c>
      <c r="AM1735" s="121">
        <v>5.5141829972965706</v>
      </c>
      <c r="AN1735" s="121">
        <v>5.4721675622738353</v>
      </c>
      <c r="AO1735" s="121">
        <v>5.4256580827547598</v>
      </c>
      <c r="AP1735" s="121">
        <v>5.3750978303420318</v>
      </c>
      <c r="AQ1735" s="121">
        <v>5.3212587398303617</v>
      </c>
      <c r="AR1735" s="121">
        <v>5.2652500613679107</v>
      </c>
      <c r="AS1735" s="121">
        <v>5.2084780745033799</v>
      </c>
      <c r="AT1735" s="121">
        <v>5.1525486458061414</v>
      </c>
      <c r="AU1735" s="121">
        <v>5.0991177526049585</v>
      </c>
      <c r="AV1735" s="121">
        <v>5.0497117599436621</v>
      </c>
      <c r="AW1735" s="121">
        <v>5.0055530051646997</v>
      </c>
      <c r="AX1735" s="122">
        <v>4.9674300511018536</v>
      </c>
    </row>
    <row r="1736" spans="1:50" x14ac:dyDescent="0.25">
      <c r="A1736" s="356"/>
      <c r="B1736" s="359"/>
      <c r="C1736" s="350"/>
      <c r="D1736" s="2" t="s">
        <v>8</v>
      </c>
      <c r="E1736" s="160" t="str">
        <f>A1727&amp;"/"&amp;B1735&amp;"/"&amp;C1735&amp;"/"&amp;D1736</f>
        <v>Biomass and waste fired power plants/Fluidized bed combustion/Electricity only/M</v>
      </c>
      <c r="F1736" s="76" t="str">
        <f>A1727</f>
        <v>Biomass and waste fired power plants</v>
      </c>
      <c r="G1736" s="76" t="str">
        <f>B1735</f>
        <v>Fluidized bed combustion</v>
      </c>
      <c r="H1736" s="76" t="str">
        <f>C1735</f>
        <v>Electricity only</v>
      </c>
      <c r="I1736" s="161" t="str">
        <f t="shared" si="106"/>
        <v>M</v>
      </c>
      <c r="J1736" s="119">
        <v>6.2220733545469784</v>
      </c>
      <c r="K1736" s="119">
        <v>6.2216237299887949</v>
      </c>
      <c r="L1736" s="119">
        <v>6.2210884579608052</v>
      </c>
      <c r="M1736" s="119">
        <v>6.2204513013861789</v>
      </c>
      <c r="N1736" s="119">
        <v>6.2196929773941081</v>
      </c>
      <c r="O1736" s="119">
        <v>6.2187905995412889</v>
      </c>
      <c r="P1736" s="119">
        <v>6.2177170235746226</v>
      </c>
      <c r="Q1736" s="119">
        <v>6.2164400824695143</v>
      </c>
      <c r="R1736" s="119">
        <v>6.2149216954352271</v>
      </c>
      <c r="S1736" s="119">
        <v>6.2131168349971704</v>
      </c>
      <c r="T1736" s="119">
        <v>6.2109723364806442</v>
      </c>
      <c r="U1736" s="119">
        <v>6.208425535713495</v>
      </c>
      <c r="V1736" s="119">
        <v>6.2054027242161363</v>
      </c>
      <c r="W1736" s="119">
        <v>6.2018174174947607</v>
      </c>
      <c r="X1736" s="119">
        <v>6.1975684425640871</v>
      </c>
      <c r="Y1736" s="119">
        <v>6.1925378671673625</v>
      </c>
      <c r="Z1736" s="119">
        <v>6.1865888174617965</v>
      </c>
      <c r="AA1736" s="119">
        <v>6.1795632658056547</v>
      </c>
      <c r="AB1736" s="119">
        <v>6.1712799187388843</v>
      </c>
      <c r="AC1736" s="119">
        <v>6.1615324004853917</v>
      </c>
      <c r="AD1736" s="119">
        <v>6.1500880121622634</v>
      </c>
      <c r="AE1736" s="119">
        <v>6.1366874528622084</v>
      </c>
      <c r="AF1736" s="119">
        <v>6.1210460143949685</v>
      </c>
      <c r="AG1736" s="119">
        <v>6.1028568997204831</v>
      </c>
      <c r="AH1736" s="119">
        <v>6.0817974498975005</v>
      </c>
      <c r="AI1736" s="119">
        <v>6.0575391661458236</v>
      </c>
      <c r="AJ1736" s="119">
        <v>6.0297624348529082</v>
      </c>
      <c r="AK1736" s="119">
        <v>5.9981767358277338</v>
      </c>
      <c r="AL1736" s="119">
        <v>5.9625467513443002</v>
      </c>
      <c r="AM1736" s="119">
        <v>5.9227241035127038</v>
      </c>
      <c r="AN1736" s="119">
        <v>5.8786833616398777</v>
      </c>
      <c r="AO1736" s="119">
        <v>5.8305594832148202</v>
      </c>
      <c r="AP1736" s="119">
        <v>5.778682123091917</v>
      </c>
      <c r="AQ1736" s="119">
        <v>5.723600605568941</v>
      </c>
      <c r="AR1736" s="119">
        <v>5.6660923608168901</v>
      </c>
      <c r="AS1736" s="119">
        <v>5.6071479747414887</v>
      </c>
      <c r="AT1736" s="119">
        <v>5.5479282993289472</v>
      </c>
      <c r="AU1736" s="119">
        <v>5.4896935002198699</v>
      </c>
      <c r="AV1736" s="119">
        <v>5.4337098941308701</v>
      </c>
      <c r="AW1736" s="119">
        <v>5.3811464878151893</v>
      </c>
      <c r="AX1736" s="120">
        <v>5.3329772587304767</v>
      </c>
    </row>
    <row r="1737" spans="1:50" x14ac:dyDescent="0.25">
      <c r="A1737" s="356"/>
      <c r="B1737" s="359"/>
      <c r="C1737" s="350"/>
      <c r="D1737" s="2" t="s">
        <v>10</v>
      </c>
      <c r="E1737" s="160" t="str">
        <f>A1727&amp;"/"&amp;B1735&amp;"/"&amp;C1735&amp;"/"&amp;D1737</f>
        <v>Biomass and waste fired power plants/Fluidized bed combustion/Electricity only/S</v>
      </c>
      <c r="F1737" s="76" t="str">
        <f>A1727</f>
        <v>Biomass and waste fired power plants</v>
      </c>
      <c r="G1737" s="76" t="str">
        <f>B1735</f>
        <v>Fluidized bed combustion</v>
      </c>
      <c r="H1737" s="76" t="str">
        <f>C1735</f>
        <v>Electricity only</v>
      </c>
      <c r="I1737" s="161" t="str">
        <f t="shared" si="106"/>
        <v>S</v>
      </c>
      <c r="J1737" s="119">
        <v>6.8753910567744114</v>
      </c>
      <c r="K1737" s="119">
        <v>6.8742722592131829</v>
      </c>
      <c r="L1737" s="119">
        <v>6.8729740587527646</v>
      </c>
      <c r="M1737" s="119">
        <v>6.8714679974836042</v>
      </c>
      <c r="N1737" s="119">
        <v>6.8697212111361816</v>
      </c>
      <c r="O1737" s="119">
        <v>6.8676957843548871</v>
      </c>
      <c r="P1737" s="119">
        <v>6.8653480248344927</v>
      </c>
      <c r="Q1737" s="119">
        <v>6.8626276509048116</v>
      </c>
      <c r="R1737" s="119">
        <v>6.8594768887515079</v>
      </c>
      <c r="S1737" s="119">
        <v>6.8558294780695324</v>
      </c>
      <c r="T1737" s="119">
        <v>6.8516095889205806</v>
      </c>
      <c r="U1737" s="119">
        <v>6.8467306583612952</v>
      </c>
      <c r="V1737" s="119">
        <v>6.8410941635853275</v>
      </c>
      <c r="W1737" s="119">
        <v>6.8345883595504091</v>
      </c>
      <c r="X1737" s="119">
        <v>6.8270870241154373</v>
      </c>
      <c r="Y1737" s="119">
        <v>6.8184482734363749</v>
      </c>
      <c r="Z1737" s="119">
        <v>6.8085135356077062</v>
      </c>
      <c r="AA1737" s="119">
        <v>6.7971068020019159</v>
      </c>
      <c r="AB1737" s="119">
        <v>6.7840343138184434</v>
      </c>
      <c r="AC1737" s="119">
        <v>6.7690848856875521</v>
      </c>
      <c r="AD1737" s="119">
        <v>6.7520311172938676</v>
      </c>
      <c r="AE1737" s="119">
        <v>6.732631794568098</v>
      </c>
      <c r="AF1737" s="119">
        <v>6.7106358280646612</v>
      </c>
      <c r="AG1737" s="119">
        <v>6.685788108137916</v>
      </c>
      <c r="AH1737" s="119">
        <v>6.657837660465491</v>
      </c>
      <c r="AI1737" s="119">
        <v>6.626548442509721</v>
      </c>
      <c r="AJ1737" s="119">
        <v>6.5917130085221762</v>
      </c>
      <c r="AK1737" s="119">
        <v>6.553169062544562</v>
      </c>
      <c r="AL1737" s="119">
        <v>6.5108185933545561</v>
      </c>
      <c r="AM1737" s="119">
        <v>6.4646488315624557</v>
      </c>
      <c r="AN1737" s="119">
        <v>6.4147536992826977</v>
      </c>
      <c r="AO1737" s="119">
        <v>6.3613537859782108</v>
      </c>
      <c r="AP1737" s="119">
        <v>6.3048122777211075</v>
      </c>
      <c r="AQ1737" s="119">
        <v>6.2456438402824412</v>
      </c>
      <c r="AR1737" s="119">
        <v>6.1845133954777909</v>
      </c>
      <c r="AS1737" s="119">
        <v>6.1222222198847422</v>
      </c>
      <c r="AT1737" s="119">
        <v>6.0596799552156426</v>
      </c>
      <c r="AU1737" s="119">
        <v>5.997862929482066</v>
      </c>
      <c r="AV1737" s="119">
        <v>5.9377614269070937</v>
      </c>
      <c r="AW1737" s="119">
        <v>5.8803207860004534</v>
      </c>
      <c r="AX1737" s="120">
        <v>5.8263828945119842</v>
      </c>
    </row>
    <row r="1738" spans="1:50" x14ac:dyDescent="0.25">
      <c r="A1738" s="356"/>
      <c r="B1738" s="359"/>
      <c r="C1738" s="360"/>
      <c r="D1738" s="2" t="s">
        <v>20</v>
      </c>
      <c r="E1738" s="160" t="str">
        <f>A1727&amp;"/"&amp;B1735&amp;"/"&amp;C1735&amp;"/"&amp;D1738</f>
        <v>Biomass and waste fired power plants/Fluidized bed combustion/Electricity only/XS</v>
      </c>
      <c r="F1738" s="76" t="str">
        <f>A1727</f>
        <v>Biomass and waste fired power plants</v>
      </c>
      <c r="G1738" s="76" t="str">
        <f>B1735</f>
        <v>Fluidized bed combustion</v>
      </c>
      <c r="H1738" s="76" t="str">
        <f>C1735</f>
        <v>Electricity only</v>
      </c>
      <c r="I1738" s="161" t="str">
        <f t="shared" si="106"/>
        <v>XS</v>
      </c>
      <c r="J1738" s="119">
        <v>8.2504692681292919</v>
      </c>
      <c r="K1738" s="119">
        <v>8.2488456681248543</v>
      </c>
      <c r="L1738" s="119">
        <v>8.2469619878035196</v>
      </c>
      <c r="M1738" s="119">
        <v>8.2447770655836869</v>
      </c>
      <c r="N1738" s="119">
        <v>8.2422433992944537</v>
      </c>
      <c r="O1738" s="119">
        <v>8.2393062300144031</v>
      </c>
      <c r="P1738" s="119">
        <v>8.2359025148513272</v>
      </c>
      <c r="Q1738" s="119">
        <v>8.2319597830042124</v>
      </c>
      <c r="R1738" s="119">
        <v>8.2273948724544752</v>
      </c>
      <c r="S1738" s="119">
        <v>8.2221125492881217</v>
      </c>
      <c r="T1738" s="119">
        <v>8.2160040185161343</v>
      </c>
      <c r="U1738" s="119">
        <v>8.2089453450374581</v>
      </c>
      <c r="V1738" s="119">
        <v>8.2007958169259361</v>
      </c>
      <c r="W1738" s="119">
        <v>8.1913963015142439</v>
      </c>
      <c r="X1738" s="119">
        <v>8.1805676689059403</v>
      </c>
      <c r="Y1738" s="119">
        <v>8.1681093887270197</v>
      </c>
      <c r="Z1738" s="119">
        <v>8.1537984451886718</v>
      </c>
      <c r="AA1738" s="119">
        <v>8.1373887635877935</v>
      </c>
      <c r="AB1738" s="119">
        <v>8.1186113982011658</v>
      </c>
      <c r="AC1738" s="119">
        <v>8.0971757957967583</v>
      </c>
      <c r="AD1738" s="119">
        <v>8.0727725172233296</v>
      </c>
      <c r="AE1738" s="119">
        <v>8.0450778650908195</v>
      </c>
      <c r="AF1738" s="119">
        <v>8.0137609173210986</v>
      </c>
      <c r="AG1738" s="119">
        <v>7.978493487520371</v>
      </c>
      <c r="AH1738" s="119">
        <v>7.9389635002496304</v>
      </c>
      <c r="AI1738" s="119">
        <v>7.8948921523205353</v>
      </c>
      <c r="AJ1738" s="119">
        <v>7.8460549956459147</v>
      </c>
      <c r="AK1738" s="119">
        <v>7.7923066890470905</v>
      </c>
      <c r="AL1738" s="119">
        <v>7.733608602301862</v>
      </c>
      <c r="AM1738" s="119">
        <v>7.6700577174275661</v>
      </c>
      <c r="AN1738" s="119">
        <v>7.6019144058699553</v>
      </c>
      <c r="AO1738" s="119">
        <v>7.529625775629464</v>
      </c>
      <c r="AP1738" s="119">
        <v>7.4538405641830972</v>
      </c>
      <c r="AQ1738" s="119">
        <v>7.3754112530590419</v>
      </c>
      <c r="AR1738" s="119">
        <v>7.295379476334551</v>
      </c>
      <c r="AS1738" s="119">
        <v>7.2149421137014791</v>
      </c>
      <c r="AT1738" s="119">
        <v>7.135397762878914</v>
      </c>
      <c r="AU1738" s="119">
        <v>7.058076371560607</v>
      </c>
      <c r="AV1738" s="119">
        <v>6.9842581524042782</v>
      </c>
      <c r="AW1738" s="119">
        <v>6.9150907245010123</v>
      </c>
      <c r="AX1738" s="120">
        <v>6.8515148780828889</v>
      </c>
    </row>
    <row r="1739" spans="1:50" x14ac:dyDescent="0.25">
      <c r="A1739" s="356"/>
      <c r="B1739" s="359"/>
      <c r="C1739" s="361" t="s">
        <v>14</v>
      </c>
      <c r="D1739" s="58" t="s">
        <v>7</v>
      </c>
      <c r="E1739" s="164" t="str">
        <f>A1727&amp;"/"&amp;B1735&amp;"/"&amp;C1739&amp;"/"&amp;D1739</f>
        <v>Biomass and waste fired power plants/Fluidized bed combustion/CHP/L</v>
      </c>
      <c r="F1739" s="78" t="str">
        <f>A1727</f>
        <v>Biomass and waste fired power plants</v>
      </c>
      <c r="G1739" s="78" t="str">
        <f>B1735</f>
        <v>Fluidized bed combustion</v>
      </c>
      <c r="H1739" s="78" t="str">
        <f>C1739</f>
        <v>CHP</v>
      </c>
      <c r="I1739" s="165" t="str">
        <f t="shared" si="106"/>
        <v>L</v>
      </c>
      <c r="J1739" s="123">
        <v>6.5851556647630067</v>
      </c>
      <c r="K1739" s="123">
        <v>6.5850798975672156</v>
      </c>
      <c r="L1739" s="123">
        <v>6.5849873671311823</v>
      </c>
      <c r="M1739" s="123">
        <v>6.5848743678403103</v>
      </c>
      <c r="N1739" s="123">
        <v>6.5847363765030522</v>
      </c>
      <c r="O1739" s="123">
        <v>6.5845678727397559</v>
      </c>
      <c r="P1739" s="123">
        <v>6.5843621202931546</v>
      </c>
      <c r="Q1739" s="123">
        <v>6.5841109009454231</v>
      </c>
      <c r="R1739" s="123">
        <v>6.5838041910501586</v>
      </c>
      <c r="S1739" s="123">
        <v>6.5834297687199852</v>
      </c>
      <c r="T1739" s="123">
        <v>6.5829727374254619</v>
      </c>
      <c r="U1739" s="123">
        <v>6.5824149491453756</v>
      </c>
      <c r="V1739" s="123">
        <v>6.5817343072723631</v>
      </c>
      <c r="W1739" s="123">
        <v>6.5809039262730291</v>
      </c>
      <c r="X1739" s="123">
        <v>6.5798911217470781</v>
      </c>
      <c r="Y1739" s="123">
        <v>6.5786562012526337</v>
      </c>
      <c r="Z1739" s="123">
        <v>6.5771510234562554</v>
      </c>
      <c r="AA1739" s="123">
        <v>6.5753172914673677</v>
      </c>
      <c r="AB1739" s="123">
        <v>6.573084546633793</v>
      </c>
      <c r="AC1739" s="123">
        <v>6.5703678331398541</v>
      </c>
      <c r="AD1739" s="123">
        <v>6.5670650137292039</v>
      </c>
      <c r="AE1739" s="123">
        <v>6.5630537360388299</v>
      </c>
      <c r="AF1739" s="123">
        <v>6.558188081949571</v>
      </c>
      <c r="AG1739" s="123">
        <v>6.5522949852053367</v>
      </c>
      <c r="AH1739" s="123">
        <v>6.5451705832938503</v>
      </c>
      <c r="AI1739" s="123">
        <v>6.5365767878481531</v>
      </c>
      <c r="AJ1739" s="123">
        <v>6.526238524096895</v>
      </c>
      <c r="AK1739" s="123">
        <v>6.5138423133495822</v>
      </c>
      <c r="AL1739" s="123">
        <v>6.4990371566752643</v>
      </c>
      <c r="AM1739" s="123">
        <v>6.4814390128809878</v>
      </c>
      <c r="AN1739" s="123">
        <v>6.4606405138172054</v>
      </c>
      <c r="AO1739" s="123">
        <v>6.4362278459468047</v>
      </c>
      <c r="AP1739" s="123">
        <v>6.4078068068945608</v>
      </c>
      <c r="AQ1739" s="123">
        <v>6.3750396993139766</v>
      </c>
      <c r="AR1739" s="123">
        <v>6.3376936612930006</v>
      </c>
      <c r="AS1739" s="123">
        <v>6.2956989490993776</v>
      </c>
      <c r="AT1739" s="123">
        <v>6.2492124089595</v>
      </c>
      <c r="AU1739" s="123">
        <v>6.1986770938458893</v>
      </c>
      <c r="AV1739" s="123">
        <v>6.1448645578200072</v>
      </c>
      <c r="AW1739" s="123">
        <v>6.0888835039262883</v>
      </c>
      <c r="AX1739" s="124">
        <v>6.0321395181090285</v>
      </c>
    </row>
    <row r="1740" spans="1:50" x14ac:dyDescent="0.25">
      <c r="A1740" s="356"/>
      <c r="B1740" s="359"/>
      <c r="C1740" s="350"/>
      <c r="D1740" s="2" t="s">
        <v>8</v>
      </c>
      <c r="E1740" s="160" t="str">
        <f>A1727&amp;"/"&amp;B1735&amp;"/"&amp;C1739&amp;"/"&amp;D1740</f>
        <v>Biomass and waste fired power plants/Fluidized bed combustion/CHP/M</v>
      </c>
      <c r="F1740" s="76" t="str">
        <f>A1727</f>
        <v>Biomass and waste fired power plants</v>
      </c>
      <c r="G1740" s="76" t="str">
        <f>B1735</f>
        <v>Fluidized bed combustion</v>
      </c>
      <c r="H1740" s="76" t="str">
        <f>C1739</f>
        <v>CHP</v>
      </c>
      <c r="I1740" s="161" t="str">
        <f t="shared" si="106"/>
        <v>M</v>
      </c>
      <c r="J1740" s="119">
        <v>7.0275296880304037</v>
      </c>
      <c r="K1740" s="119">
        <v>7.0273413793016681</v>
      </c>
      <c r="L1740" s="119">
        <v>7.0271171169180668</v>
      </c>
      <c r="M1740" s="119">
        <v>7.0268500498554296</v>
      </c>
      <c r="N1740" s="119">
        <v>7.0265320273015313</v>
      </c>
      <c r="O1740" s="119">
        <v>7.0261533544380432</v>
      </c>
      <c r="P1740" s="119">
        <v>7.0257025033338651</v>
      </c>
      <c r="Q1740" s="119">
        <v>7.0251657711192577</v>
      </c>
      <c r="R1740" s="119">
        <v>7.0245268764237236</v>
      </c>
      <c r="S1740" s="119">
        <v>7.0237664837740601</v>
      </c>
      <c r="T1740" s="119">
        <v>7.0228616442942631</v>
      </c>
      <c r="U1740" s="119">
        <v>7.0217851396835123</v>
      </c>
      <c r="V1740" s="119">
        <v>7.0205047151676965</v>
      </c>
      <c r="W1740" s="119">
        <v>7.0189821860742097</v>
      </c>
      <c r="X1740" s="119">
        <v>7.0171724020964952</v>
      </c>
      <c r="Y1740" s="119">
        <v>7.0150220535301431</v>
      </c>
      <c r="Z1740" s="119">
        <v>7.0124683052592891</v>
      </c>
      <c r="AA1740" s="119">
        <v>7.0094372477325022</v>
      </c>
      <c r="AB1740" s="119">
        <v>7.0058421605320067</v>
      </c>
      <c r="AC1740" s="119">
        <v>7.0015815946793216</v>
      </c>
      <c r="AD1740" s="119">
        <v>6.9965372962063146</v>
      </c>
      <c r="AE1740" s="119">
        <v>6.9905720178874233</v>
      </c>
      <c r="AF1740" s="119">
        <v>6.9835273009919812</v>
      </c>
      <c r="AG1740" s="119">
        <v>6.975221357503389</v>
      </c>
      <c r="AH1740" s="119">
        <v>6.9654472486661154</v>
      </c>
      <c r="AI1740" s="119">
        <v>6.9539716408101153</v>
      </c>
      <c r="AJ1740" s="119">
        <v>6.94053452567241</v>
      </c>
      <c r="AK1740" s="119">
        <v>6.9248504183976642</v>
      </c>
      <c r="AL1740" s="119">
        <v>6.9066116850238259</v>
      </c>
      <c r="AM1740" s="119">
        <v>6.8854947864174365</v>
      </c>
      <c r="AN1740" s="119">
        <v>6.8611703276753966</v>
      </c>
      <c r="AO1740" s="119">
        <v>6.8333178233004119</v>
      </c>
      <c r="AP1740" s="119">
        <v>6.8016459605816308</v>
      </c>
      <c r="AQ1740" s="119">
        <v>6.765918779861896</v>
      </c>
      <c r="AR1740" s="119">
        <v>6.7259874984862504</v>
      </c>
      <c r="AS1740" s="119">
        <v>6.6818266163883866</v>
      </c>
      <c r="AT1740" s="119">
        <v>6.6335714592123853</v>
      </c>
      <c r="AU1740" s="119">
        <v>6.581552581089225</v>
      </c>
      <c r="AV1740" s="119">
        <v>6.5263208048369616</v>
      </c>
      <c r="AW1740" s="119">
        <v>6.4686556814045728</v>
      </c>
      <c r="AX1740" s="120">
        <v>6.4095504989504839</v>
      </c>
    </row>
    <row r="1741" spans="1:50" x14ac:dyDescent="0.25">
      <c r="A1741" s="356"/>
      <c r="B1741" s="359"/>
      <c r="C1741" s="350"/>
      <c r="D1741" s="2" t="s">
        <v>10</v>
      </c>
      <c r="E1741" s="160" t="str">
        <f>A1727&amp;"/"&amp;B1735&amp;"/"&amp;C1739&amp;"/"&amp;D1741</f>
        <v>Biomass and waste fired power plants/Fluidized bed combustion/CHP/S</v>
      </c>
      <c r="F1741" s="76" t="str">
        <f>A1727</f>
        <v>Biomass and waste fired power plants</v>
      </c>
      <c r="G1741" s="76" t="str">
        <f>B1735</f>
        <v>Fluidized bed combustion</v>
      </c>
      <c r="H1741" s="76" t="str">
        <f>C1739</f>
        <v>CHP</v>
      </c>
      <c r="I1741" s="161" t="str">
        <f t="shared" si="106"/>
        <v>S</v>
      </c>
      <c r="J1741" s="119">
        <v>7.7656977321145755</v>
      </c>
      <c r="K1741" s="119">
        <v>7.7651596973545471</v>
      </c>
      <c r="L1741" s="119">
        <v>7.7645349671800368</v>
      </c>
      <c r="M1741" s="119">
        <v>7.7638096427772849</v>
      </c>
      <c r="N1741" s="119">
        <v>7.7629676217788095</v>
      </c>
      <c r="O1741" s="119">
        <v>7.7619902575195301</v>
      </c>
      <c r="P1741" s="119">
        <v>7.7608559686211311</v>
      </c>
      <c r="Q1741" s="119">
        <v>7.7595397927362519</v>
      </c>
      <c r="R1741" s="119">
        <v>7.7580128779152693</v>
      </c>
      <c r="S1741" s="119">
        <v>7.7562419048362932</v>
      </c>
      <c r="T1741" s="119">
        <v>7.7541884331519073</v>
      </c>
      <c r="U1741" s="119">
        <v>7.7518081655750155</v>
      </c>
      <c r="V1741" s="119">
        <v>7.74905012421448</v>
      </c>
      <c r="W1741" s="119">
        <v>7.7458557352956587</v>
      </c>
      <c r="X1741" s="119">
        <v>7.7421578210457165</v>
      </c>
      <c r="Y1741" s="119">
        <v>7.7378795015534205</v>
      </c>
      <c r="Z1741" s="119">
        <v>7.7329330152888405</v>
      </c>
      <c r="AA1741" s="119">
        <v>7.7272184752578008</v>
      </c>
      <c r="AB1741" s="119">
        <v>7.7206225891496185</v>
      </c>
      <c r="AC1741" s="119">
        <v>7.713017387098839</v>
      </c>
      <c r="AD1741" s="119">
        <v>7.7042590206785997</v>
      </c>
      <c r="AE1741" s="119">
        <v>7.6941867223307217</v>
      </c>
      <c r="AF1741" s="119">
        <v>7.682622046338893</v>
      </c>
      <c r="AG1741" s="119">
        <v>7.6693685510374756</v>
      </c>
      <c r="AH1741" s="119">
        <v>7.6542121268961152</v>
      </c>
      <c r="AI1741" s="119">
        <v>7.6369222249199238</v>
      </c>
      <c r="AJ1741" s="119">
        <v>7.6172542910891066</v>
      </c>
      <c r="AK1741" s="119">
        <v>7.5949537592690044</v>
      </c>
      <c r="AL1741" s="119">
        <v>7.5697619874595317</v>
      </c>
      <c r="AM1741" s="119">
        <v>7.5414245262432864</v>
      </c>
      <c r="AN1741" s="119">
        <v>7.509702064739276</v>
      </c>
      <c r="AO1741" s="119">
        <v>7.4743842848188118</v>
      </c>
      <c r="AP1741" s="119">
        <v>7.4353066433061388</v>
      </c>
      <c r="AQ1741" s="119">
        <v>7.3923697718747148</v>
      </c>
      <c r="AR1741" s="119">
        <v>7.3455607243245478</v>
      </c>
      <c r="AS1741" s="119">
        <v>7.2949747232548017</v>
      </c>
      <c r="AT1741" s="119">
        <v>7.2408354125020162</v>
      </c>
      <c r="AU1741" s="119">
        <v>7.1835110069639798</v>
      </c>
      <c r="AV1741" s="119">
        <v>7.1235232986884416</v>
      </c>
      <c r="AW1741" s="119">
        <v>7.0615464162754744</v>
      </c>
      <c r="AX1741" s="120">
        <v>6.998392731112002</v>
      </c>
    </row>
    <row r="1742" spans="1:50" x14ac:dyDescent="0.25">
      <c r="A1742" s="356"/>
      <c r="B1742" s="359"/>
      <c r="C1742" s="360"/>
      <c r="D1742" s="59" t="s">
        <v>20</v>
      </c>
      <c r="E1742" s="166" t="str">
        <f>A1727&amp;"/"&amp;B1735&amp;"/"&amp;C1739&amp;"/"&amp;D1742</f>
        <v>Biomass and waste fired power plants/Fluidized bed combustion/CHP/XS</v>
      </c>
      <c r="F1742" s="79" t="str">
        <f>A1727</f>
        <v>Biomass and waste fired power plants</v>
      </c>
      <c r="G1742" s="79" t="str">
        <f>B1735</f>
        <v>Fluidized bed combustion</v>
      </c>
      <c r="H1742" s="79" t="str">
        <f>C1739</f>
        <v>CHP</v>
      </c>
      <c r="I1742" s="167" t="str">
        <f t="shared" si="106"/>
        <v>XS</v>
      </c>
      <c r="J1742" s="125">
        <v>9.2246074860244125</v>
      </c>
      <c r="K1742" s="125">
        <v>9.2238304460738014</v>
      </c>
      <c r="L1742" s="125">
        <v>9.2229282600069169</v>
      </c>
      <c r="M1742" s="125">
        <v>9.2218808859925812</v>
      </c>
      <c r="N1742" s="125">
        <v>9.2206651121665146</v>
      </c>
      <c r="O1742" s="125">
        <v>9.2192540690540969</v>
      </c>
      <c r="P1742" s="125">
        <v>9.2176166718499228</v>
      </c>
      <c r="Q1742" s="125">
        <v>9.2157169841908431</v>
      </c>
      <c r="R1742" s="125">
        <v>9.2135134947080193</v>
      </c>
      <c r="S1742" s="125">
        <v>9.2109582975615787</v>
      </c>
      <c r="T1742" s="125">
        <v>9.2079961684939526</v>
      </c>
      <c r="U1742" s="125">
        <v>9.2045635288803851</v>
      </c>
      <c r="V1742" s="125">
        <v>9.2005872920698213</v>
      </c>
      <c r="W1742" s="125">
        <v>9.19598358934069</v>
      </c>
      <c r="X1742" s="125">
        <v>9.1906563774901784</v>
      </c>
      <c r="Y1742" s="125">
        <v>9.1844959369997081</v>
      </c>
      <c r="Z1742" s="125">
        <v>9.1773772795794208</v>
      </c>
      <c r="AA1742" s="125">
        <v>9.169158497546487</v>
      </c>
      <c r="AB1742" s="125">
        <v>9.1596791059391762</v>
      </c>
      <c r="AC1742" s="125">
        <v>9.1487584526320767</v>
      </c>
      <c r="AD1742" s="125">
        <v>9.1361943031629753</v>
      </c>
      <c r="AE1742" s="125">
        <v>9.1217617465759258</v>
      </c>
      <c r="AF1742" s="125">
        <v>9.105212617048192</v>
      </c>
      <c r="AG1742" s="125">
        <v>9.086275683381162</v>
      </c>
      <c r="AH1742" s="125">
        <v>9.0646579232488413</v>
      </c>
      <c r="AI1742" s="125">
        <v>9.0400472679152593</v>
      </c>
      <c r="AJ1742" s="125">
        <v>9.0121172692404574</v>
      </c>
      <c r="AK1742" s="125">
        <v>8.9805341930016933</v>
      </c>
      <c r="AL1742" s="125">
        <v>8.9449670639081429</v>
      </c>
      <c r="AM1742" s="125">
        <v>8.9051011545331455</v>
      </c>
      <c r="AN1742" s="125">
        <v>8.8606552924451556</v>
      </c>
      <c r="AO1742" s="125">
        <v>8.8114031222183264</v>
      </c>
      <c r="AP1742" s="125">
        <v>8.7571980675783454</v>
      </c>
      <c r="AQ1742" s="125">
        <v>8.698001170027025</v>
      </c>
      <c r="AR1742" s="125">
        <v>8.6339102357257467</v>
      </c>
      <c r="AS1742" s="125">
        <v>8.565187848732247</v>
      </c>
      <c r="AT1742" s="125">
        <v>8.4922849165285932</v>
      </c>
      <c r="AU1742" s="125">
        <v>8.4158556895016954</v>
      </c>
      <c r="AV1742" s="125">
        <v>8.3367598934873808</v>
      </c>
      <c r="AW1742" s="125">
        <v>8.2560480142710659</v>
      </c>
      <c r="AX1742" s="126">
        <v>8.1749271025153636</v>
      </c>
    </row>
    <row r="1743" spans="1:50" x14ac:dyDescent="0.25">
      <c r="A1743" s="356"/>
      <c r="B1743" s="359"/>
      <c r="C1743" s="361" t="s">
        <v>15</v>
      </c>
      <c r="D1743" s="58" t="s">
        <v>7</v>
      </c>
      <c r="E1743" s="164" t="str">
        <f>A1727&amp;"/"&amp;B1735&amp;"/"&amp;C1743&amp;"/"&amp;D1743</f>
        <v>Biomass and waste fired power plants/Fluidized bed combustion/Electricity only with CCS/L</v>
      </c>
      <c r="F1743" s="78" t="str">
        <f>A1727</f>
        <v>Biomass and waste fired power plants</v>
      </c>
      <c r="G1743" s="78" t="str">
        <f>B1735</f>
        <v>Fluidized bed combustion</v>
      </c>
      <c r="H1743" s="78" t="str">
        <f>C1743</f>
        <v>Electricity only with CCS</v>
      </c>
      <c r="I1743" s="165" t="str">
        <f t="shared" si="106"/>
        <v>L</v>
      </c>
      <c r="J1743" s="123" t="s">
        <v>112</v>
      </c>
      <c r="K1743" s="123" t="s">
        <v>112</v>
      </c>
      <c r="L1743" s="123" t="s">
        <v>112</v>
      </c>
      <c r="M1743" s="123" t="s">
        <v>112</v>
      </c>
      <c r="N1743" s="123" t="s">
        <v>112</v>
      </c>
      <c r="O1743" s="123" t="s">
        <v>112</v>
      </c>
      <c r="P1743" s="123" t="s">
        <v>112</v>
      </c>
      <c r="Q1743" s="123" t="s">
        <v>112</v>
      </c>
      <c r="R1743" s="123" t="s">
        <v>112</v>
      </c>
      <c r="S1743" s="123" t="s">
        <v>112</v>
      </c>
      <c r="T1743" s="123" t="s">
        <v>112</v>
      </c>
      <c r="U1743" s="123" t="s">
        <v>112</v>
      </c>
      <c r="V1743" s="123" t="s">
        <v>112</v>
      </c>
      <c r="W1743" s="123" t="s">
        <v>112</v>
      </c>
      <c r="X1743" s="123" t="s">
        <v>112</v>
      </c>
      <c r="Y1743" s="123" t="s">
        <v>112</v>
      </c>
      <c r="Z1743" s="123" t="s">
        <v>112</v>
      </c>
      <c r="AA1743" s="123" t="s">
        <v>112</v>
      </c>
      <c r="AB1743" s="123" t="s">
        <v>112</v>
      </c>
      <c r="AC1743" s="123" t="s">
        <v>112</v>
      </c>
      <c r="AD1743" s="123" t="s">
        <v>112</v>
      </c>
      <c r="AE1743" s="123">
        <v>10.505410973974012</v>
      </c>
      <c r="AF1743" s="123">
        <v>10.502936102187238</v>
      </c>
      <c r="AG1743" s="123">
        <v>10.499763296899316</v>
      </c>
      <c r="AH1743" s="123">
        <v>10.495697545125864</v>
      </c>
      <c r="AI1743" s="123">
        <v>10.490490509243033</v>
      </c>
      <c r="AJ1743" s="123">
        <v>10.48382669444846</v>
      </c>
      <c r="AK1743" s="123">
        <v>10.475306510723488</v>
      </c>
      <c r="AL1743" s="123">
        <v>10.464425850368714</v>
      </c>
      <c r="AM1743" s="123">
        <v>10.450551987750531</v>
      </c>
      <c r="AN1743" s="123">
        <v>10.432896001626872</v>
      </c>
      <c r="AO1743" s="123">
        <v>10.410482647272342</v>
      </c>
      <c r="AP1743" s="123">
        <v>10.382119835627083</v>
      </c>
      <c r="AQ1743" s="123">
        <v>10.346371816076896</v>
      </c>
      <c r="AR1743" s="123">
        <v>10.301543007029137</v>
      </c>
      <c r="AS1743" s="123">
        <v>10.245683252841413</v>
      </c>
      <c r="AT1743" s="123">
        <v>10.176629837464329</v>
      </c>
      <c r="AU1743" s="123">
        <v>10.092105857464402</v>
      </c>
      <c r="AV1743" s="123">
        <v>9.9898963338356044</v>
      </c>
      <c r="AW1743" s="123">
        <v>9.8681189293631473</v>
      </c>
      <c r="AX1743" s="124">
        <v>9.7255903533746437</v>
      </c>
    </row>
    <row r="1744" spans="1:50" x14ac:dyDescent="0.25">
      <c r="A1744" s="356"/>
      <c r="B1744" s="359"/>
      <c r="C1744" s="360"/>
      <c r="D1744" s="59" t="s">
        <v>8</v>
      </c>
      <c r="E1744" s="166" t="str">
        <f>A1727&amp;"/"&amp;B1735&amp;"/"&amp;C1743&amp;"/"&amp;D1744</f>
        <v>Biomass and waste fired power plants/Fluidized bed combustion/Electricity only with CCS/M</v>
      </c>
      <c r="F1744" s="79" t="str">
        <f>A1727</f>
        <v>Biomass and waste fired power plants</v>
      </c>
      <c r="G1744" s="79" t="str">
        <f>B1735</f>
        <v>Fluidized bed combustion</v>
      </c>
      <c r="H1744" s="79" t="str">
        <f>C1743</f>
        <v>Electricity only with CCS</v>
      </c>
      <c r="I1744" s="167" t="str">
        <f t="shared" si="106"/>
        <v>M</v>
      </c>
      <c r="J1744" s="125" t="s">
        <v>112</v>
      </c>
      <c r="K1744" s="125" t="s">
        <v>112</v>
      </c>
      <c r="L1744" s="125" t="s">
        <v>112</v>
      </c>
      <c r="M1744" s="125" t="s">
        <v>112</v>
      </c>
      <c r="N1744" s="125" t="s">
        <v>112</v>
      </c>
      <c r="O1744" s="125" t="s">
        <v>112</v>
      </c>
      <c r="P1744" s="125" t="s">
        <v>112</v>
      </c>
      <c r="Q1744" s="125" t="s">
        <v>112</v>
      </c>
      <c r="R1744" s="125" t="s">
        <v>112</v>
      </c>
      <c r="S1744" s="125" t="s">
        <v>112</v>
      </c>
      <c r="T1744" s="125" t="s">
        <v>112</v>
      </c>
      <c r="U1744" s="125" t="s">
        <v>112</v>
      </c>
      <c r="V1744" s="125" t="s">
        <v>112</v>
      </c>
      <c r="W1744" s="125" t="s">
        <v>112</v>
      </c>
      <c r="X1744" s="125" t="s">
        <v>112</v>
      </c>
      <c r="Y1744" s="125" t="s">
        <v>112</v>
      </c>
      <c r="Z1744" s="125" t="s">
        <v>112</v>
      </c>
      <c r="AA1744" s="125" t="s">
        <v>112</v>
      </c>
      <c r="AB1744" s="125" t="s">
        <v>112</v>
      </c>
      <c r="AC1744" s="125" t="s">
        <v>112</v>
      </c>
      <c r="AD1744" s="125" t="s">
        <v>112</v>
      </c>
      <c r="AE1744" s="125">
        <v>11.547528582756856</v>
      </c>
      <c r="AF1744" s="125">
        <v>11.544626688935782</v>
      </c>
      <c r="AG1744" s="125">
        <v>11.540906438008154</v>
      </c>
      <c r="AH1744" s="125">
        <v>11.536139168845986</v>
      </c>
      <c r="AI1744" s="125">
        <v>11.530033694883555</v>
      </c>
      <c r="AJ1744" s="125">
        <v>11.522220084869286</v>
      </c>
      <c r="AK1744" s="125">
        <v>11.512229802286544</v>
      </c>
      <c r="AL1744" s="125">
        <v>11.49947175913397</v>
      </c>
      <c r="AM1744" s="125">
        <v>11.483204057339753</v>
      </c>
      <c r="AN1744" s="125">
        <v>11.462501652750126</v>
      </c>
      <c r="AO1744" s="125">
        <v>11.436221028897773</v>
      </c>
      <c r="AP1744" s="125">
        <v>11.402964409988632</v>
      </c>
      <c r="AQ1744" s="125">
        <v>11.361048316555927</v>
      </c>
      <c r="AR1744" s="125">
        <v>11.308484606113591</v>
      </c>
      <c r="AS1744" s="125">
        <v>11.242986637131736</v>
      </c>
      <c r="AT1744" s="125">
        <v>11.162018531843273</v>
      </c>
      <c r="AU1744" s="125">
        <v>11.062910522852528</v>
      </c>
      <c r="AV1744" s="125">
        <v>10.943065451823548</v>
      </c>
      <c r="AW1744" s="125">
        <v>10.800276197255357</v>
      </c>
      <c r="AX1744" s="126">
        <v>10.633155299842343</v>
      </c>
    </row>
    <row r="1745" spans="1:50" x14ac:dyDescent="0.25">
      <c r="A1745" s="356"/>
      <c r="B1745" s="359"/>
      <c r="C1745" s="361" t="s">
        <v>16</v>
      </c>
      <c r="D1745" s="2" t="s">
        <v>7</v>
      </c>
      <c r="E1745" s="160" t="str">
        <f>A1727&amp;"/"&amp;B1735&amp;"/"&amp;C1745&amp;"/"&amp;D1745</f>
        <v>Biomass and waste fired power plants/Fluidized bed combustion/CHP with CCS/L</v>
      </c>
      <c r="F1745" s="76" t="str">
        <f>A1727</f>
        <v>Biomass and waste fired power plants</v>
      </c>
      <c r="G1745" s="76" t="str">
        <f>B1735</f>
        <v>Fluidized bed combustion</v>
      </c>
      <c r="H1745" s="76" t="str">
        <f>C1745</f>
        <v>CHP with CCS</v>
      </c>
      <c r="I1745" s="161" t="str">
        <f t="shared" si="106"/>
        <v>L</v>
      </c>
      <c r="J1745" s="119" t="s">
        <v>112</v>
      </c>
      <c r="K1745" s="119" t="s">
        <v>112</v>
      </c>
      <c r="L1745" s="119" t="s">
        <v>112</v>
      </c>
      <c r="M1745" s="119" t="s">
        <v>112</v>
      </c>
      <c r="N1745" s="119" t="s">
        <v>112</v>
      </c>
      <c r="O1745" s="119" t="s">
        <v>112</v>
      </c>
      <c r="P1745" s="119" t="s">
        <v>112</v>
      </c>
      <c r="Q1745" s="119" t="s">
        <v>112</v>
      </c>
      <c r="R1745" s="119" t="s">
        <v>112</v>
      </c>
      <c r="S1745" s="119" t="s">
        <v>112</v>
      </c>
      <c r="T1745" s="119" t="s">
        <v>112</v>
      </c>
      <c r="U1745" s="119" t="s">
        <v>112</v>
      </c>
      <c r="V1745" s="119" t="s">
        <v>112</v>
      </c>
      <c r="W1745" s="119" t="s">
        <v>112</v>
      </c>
      <c r="X1745" s="119" t="s">
        <v>112</v>
      </c>
      <c r="Y1745" s="119" t="s">
        <v>112</v>
      </c>
      <c r="Z1745" s="119" t="s">
        <v>112</v>
      </c>
      <c r="AA1745" s="119" t="s">
        <v>112</v>
      </c>
      <c r="AB1745" s="119" t="s">
        <v>112</v>
      </c>
      <c r="AC1745" s="119" t="s">
        <v>112</v>
      </c>
      <c r="AD1745" s="119" t="s">
        <v>112</v>
      </c>
      <c r="AE1745" s="119">
        <v>11.06614098799931</v>
      </c>
      <c r="AF1745" s="119">
        <v>11.064055759838842</v>
      </c>
      <c r="AG1745" s="119">
        <v>11.061382480774686</v>
      </c>
      <c r="AH1745" s="119">
        <v>11.057956840651924</v>
      </c>
      <c r="AI1745" s="119">
        <v>11.053569600103362</v>
      </c>
      <c r="AJ1745" s="119">
        <v>11.04795493580437</v>
      </c>
      <c r="AK1745" s="119">
        <v>11.040776169158519</v>
      </c>
      <c r="AL1745" s="119">
        <v>11.031608559144336</v>
      </c>
      <c r="AM1745" s="119">
        <v>11.019918996403966</v>
      </c>
      <c r="AN1745" s="119">
        <v>11.005042767395819</v>
      </c>
      <c r="AO1745" s="119">
        <v>10.986158169850064</v>
      </c>
      <c r="AP1745" s="119">
        <v>10.962260797117965</v>
      </c>
      <c r="AQ1745" s="119">
        <v>10.93214094305308</v>
      </c>
      <c r="AR1745" s="119">
        <v>10.894369978300036</v>
      </c>
      <c r="AS1745" s="119">
        <v>10.847304779572797</v>
      </c>
      <c r="AT1745" s="119">
        <v>10.789123128672671</v>
      </c>
      <c r="AU1745" s="119">
        <v>10.717906597669964</v>
      </c>
      <c r="AV1745" s="119">
        <v>10.631788933685277</v>
      </c>
      <c r="AW1745" s="119">
        <v>10.529184154532077</v>
      </c>
      <c r="AX1745" s="120">
        <v>10.409095266731647</v>
      </c>
    </row>
    <row r="1746" spans="1:50" x14ac:dyDescent="0.25">
      <c r="A1746" s="356"/>
      <c r="B1746" s="362"/>
      <c r="C1746" s="354"/>
      <c r="D1746" s="4" t="s">
        <v>8</v>
      </c>
      <c r="E1746" s="168" t="str">
        <f>A1727&amp;"/"&amp;B1735&amp;"/"&amp;C1745&amp;"/"&amp;D1746</f>
        <v>Biomass and waste fired power plants/Fluidized bed combustion/CHP with CCS/M</v>
      </c>
      <c r="F1746" s="80" t="str">
        <f>A1727</f>
        <v>Biomass and waste fired power plants</v>
      </c>
      <c r="G1746" s="80" t="str">
        <f>B1735</f>
        <v>Fluidized bed combustion</v>
      </c>
      <c r="H1746" s="80" t="str">
        <f>C1745</f>
        <v>CHP with CCS</v>
      </c>
      <c r="I1746" s="169" t="str">
        <f t="shared" si="106"/>
        <v>M</v>
      </c>
      <c r="J1746" s="127" t="s">
        <v>112</v>
      </c>
      <c r="K1746" s="127" t="s">
        <v>112</v>
      </c>
      <c r="L1746" s="127" t="s">
        <v>112</v>
      </c>
      <c r="M1746" s="127" t="s">
        <v>112</v>
      </c>
      <c r="N1746" s="127" t="s">
        <v>112</v>
      </c>
      <c r="O1746" s="127" t="s">
        <v>112</v>
      </c>
      <c r="P1746" s="127" t="s">
        <v>112</v>
      </c>
      <c r="Q1746" s="127" t="s">
        <v>112</v>
      </c>
      <c r="R1746" s="127" t="s">
        <v>112</v>
      </c>
      <c r="S1746" s="127" t="s">
        <v>112</v>
      </c>
      <c r="T1746" s="127" t="s">
        <v>112</v>
      </c>
      <c r="U1746" s="127" t="s">
        <v>112</v>
      </c>
      <c r="V1746" s="127" t="s">
        <v>112</v>
      </c>
      <c r="W1746" s="127" t="s">
        <v>112</v>
      </c>
      <c r="X1746" s="127" t="s">
        <v>112</v>
      </c>
      <c r="Y1746" s="127" t="s">
        <v>112</v>
      </c>
      <c r="Z1746" s="127" t="s">
        <v>112</v>
      </c>
      <c r="AA1746" s="127" t="s">
        <v>112</v>
      </c>
      <c r="AB1746" s="127" t="s">
        <v>112</v>
      </c>
      <c r="AC1746" s="127" t="s">
        <v>112</v>
      </c>
      <c r="AD1746" s="127" t="s">
        <v>112</v>
      </c>
      <c r="AE1746" s="127">
        <v>12.068339823435261</v>
      </c>
      <c r="AF1746" s="127">
        <v>12.065781275457525</v>
      </c>
      <c r="AG1746" s="127">
        <v>12.062501196628167</v>
      </c>
      <c r="AH1746" s="127">
        <v>12.058297980512673</v>
      </c>
      <c r="AI1746" s="127">
        <v>12.052914893114281</v>
      </c>
      <c r="AJ1746" s="127">
        <v>12.046025772652445</v>
      </c>
      <c r="AK1746" s="127">
        <v>12.03721751884472</v>
      </c>
      <c r="AL1746" s="127">
        <v>12.025968979952346</v>
      </c>
      <c r="AM1746" s="127">
        <v>12.011626037689696</v>
      </c>
      <c r="AN1746" s="127">
        <v>11.993373097140179</v>
      </c>
      <c r="AO1746" s="127">
        <v>11.970201940248506</v>
      </c>
      <c r="AP1746" s="127">
        <v>11.940880173049997</v>
      </c>
      <c r="AQ1746" s="127">
        <v>11.903923501752089</v>
      </c>
      <c r="AR1746" s="127">
        <v>11.857579016616938</v>
      </c>
      <c r="AS1746" s="127">
        <v>11.799830626628522</v>
      </c>
      <c r="AT1746" s="127">
        <v>11.728442493629821</v>
      </c>
      <c r="AU1746" s="127">
        <v>11.641060731368482</v>
      </c>
      <c r="AV1746" s="127">
        <v>11.535395471703893</v>
      </c>
      <c r="AW1746" s="127">
        <v>11.40950073500994</v>
      </c>
      <c r="AX1746" s="128">
        <v>11.262153223185651</v>
      </c>
    </row>
    <row r="1747" spans="1:50" x14ac:dyDescent="0.25">
      <c r="A1747" s="356"/>
      <c r="B1747" s="358" t="s">
        <v>19</v>
      </c>
      <c r="C1747" s="353" t="s">
        <v>6</v>
      </c>
      <c r="D1747" s="3" t="s">
        <v>7</v>
      </c>
      <c r="E1747" s="162" t="str">
        <f>A1727&amp;"/"&amp;B1747&amp;"/"&amp;C1747&amp;"/"&amp;D1747</f>
        <v>Biomass and waste fired power plants/Steam turbine/Electricity only/L</v>
      </c>
      <c r="F1747" s="77" t="str">
        <f>A1727</f>
        <v>Biomass and waste fired power plants</v>
      </c>
      <c r="G1747" s="77" t="str">
        <f>B1747</f>
        <v>Steam turbine</v>
      </c>
      <c r="H1747" s="77" t="str">
        <f>C1747</f>
        <v>Electricity only</v>
      </c>
      <c r="I1747" s="163" t="str">
        <f t="shared" si="106"/>
        <v>L</v>
      </c>
      <c r="J1747" s="121">
        <v>5.4691425221905883</v>
      </c>
      <c r="K1747" s="121">
        <v>5.4769217952787557</v>
      </c>
      <c r="L1747" s="121">
        <v>5.48470560490391</v>
      </c>
      <c r="M1747" s="121">
        <v>5.4924899392081752</v>
      </c>
      <c r="N1747" s="121">
        <v>5.5002708024437235</v>
      </c>
      <c r="O1747" s="121">
        <v>5.508044222788854</v>
      </c>
      <c r="P1747" s="121">
        <v>5.51580626001941</v>
      </c>
      <c r="Q1747" s="121">
        <v>5.5235530130058414</v>
      </c>
      <c r="R1747" s="121">
        <v>5.5312806270077077</v>
      </c>
      <c r="S1747" s="121">
        <v>5.5389853007388901</v>
      </c>
      <c r="T1747" s="121">
        <v>5.5466632931785567</v>
      </c>
      <c r="U1747" s="121">
        <v>5.5543109301047373</v>
      </c>
      <c r="V1747" s="121">
        <v>5.5619246103293314</v>
      </c>
      <c r="W1747" s="121">
        <v>5.5695008116154572</v>
      </c>
      <c r="X1747" s="121">
        <v>5.5770360962601151</v>
      </c>
      <c r="Y1747" s="121">
        <v>5.5845271163274379</v>
      </c>
      <c r="Z1747" s="121">
        <v>5.5919706185198885</v>
      </c>
      <c r="AA1747" s="121">
        <v>5.5993634486771233</v>
      </c>
      <c r="AB1747" s="121">
        <v>5.6067025558944001</v>
      </c>
      <c r="AC1747" s="121">
        <v>5.6139849962546569</v>
      </c>
      <c r="AD1747" s="121">
        <v>5.6212079361705722</v>
      </c>
      <c r="AE1747" s="121">
        <v>5.628368655334981</v>
      </c>
      <c r="AF1747" s="121">
        <v>5.6354645492801589</v>
      </c>
      <c r="AG1747" s="121">
        <v>5.6424931315483837</v>
      </c>
      <c r="AH1747" s="121">
        <v>5.6494520354780722</v>
      </c>
      <c r="AI1747" s="121">
        <v>5.656339015611592</v>
      </c>
      <c r="AJ1747" s="121">
        <v>5.6631519487324429</v>
      </c>
      <c r="AK1747" s="121">
        <v>5.6698888345410854</v>
      </c>
      <c r="AL1747" s="121">
        <v>5.6765477959800306</v>
      </c>
      <c r="AM1747" s="121">
        <v>5.6831270792201716</v>
      </c>
      <c r="AN1747" s="121">
        <v>5.6896250533213442</v>
      </c>
      <c r="AO1747" s="121">
        <v>5.6960402095812173</v>
      </c>
      <c r="AP1747" s="121">
        <v>5.7023711605873943</v>
      </c>
      <c r="AQ1747" s="121">
        <v>5.7086166389883726</v>
      </c>
      <c r="AR1747" s="121">
        <v>5.7147754959995805</v>
      </c>
      <c r="AS1747" s="121">
        <v>5.7208466996611751</v>
      </c>
      <c r="AT1747" s="121">
        <v>5.7268293328646376</v>
      </c>
      <c r="AU1747" s="121">
        <v>5.7327225911653734</v>
      </c>
      <c r="AV1747" s="121">
        <v>5.7385257803987031</v>
      </c>
      <c r="AW1747" s="121">
        <v>5.7442383141165418</v>
      </c>
      <c r="AX1747" s="122">
        <v>5.7498597108620082</v>
      </c>
    </row>
    <row r="1748" spans="1:50" x14ac:dyDescent="0.25">
      <c r="A1748" s="356"/>
      <c r="B1748" s="359"/>
      <c r="C1748" s="350"/>
      <c r="D1748" s="2" t="s">
        <v>8</v>
      </c>
      <c r="E1748" s="160" t="str">
        <f>A1727&amp;"/"&amp;B1747&amp;"/"&amp;C1747&amp;"/"&amp;D1748</f>
        <v>Biomass and waste fired power plants/Steam turbine/Electricity only/M</v>
      </c>
      <c r="F1748" s="76" t="str">
        <f>A1727</f>
        <v>Biomass and waste fired power plants</v>
      </c>
      <c r="G1748" s="76" t="str">
        <f>B1747</f>
        <v>Steam turbine</v>
      </c>
      <c r="H1748" s="76" t="str">
        <f>C1747</f>
        <v>Electricity only</v>
      </c>
      <c r="I1748" s="161" t="str">
        <f t="shared" si="106"/>
        <v>M</v>
      </c>
      <c r="J1748" s="119">
        <v>5.9066739239658368</v>
      </c>
      <c r="K1748" s="119">
        <v>5.9129751351672519</v>
      </c>
      <c r="L1748" s="119">
        <v>5.9192800209636278</v>
      </c>
      <c r="M1748" s="119">
        <v>5.9255853317500833</v>
      </c>
      <c r="N1748" s="119">
        <v>5.9318878309708767</v>
      </c>
      <c r="O1748" s="119">
        <v>5.9381843014504323</v>
      </c>
      <c r="P1748" s="119">
        <v>5.9444715516071822</v>
      </c>
      <c r="Q1748" s="119">
        <v>5.9507464215261914</v>
      </c>
      <c r="R1748" s="119">
        <v>5.9570057888677033</v>
      </c>
      <c r="S1748" s="119">
        <v>5.9632465745899612</v>
      </c>
      <c r="T1748" s="119">
        <v>5.9694657484660913</v>
      </c>
      <c r="U1748" s="119">
        <v>5.9756603343762977</v>
      </c>
      <c r="V1748" s="119">
        <v>5.9818274153582198</v>
      </c>
      <c r="W1748" s="119">
        <v>5.9879641383999802</v>
      </c>
      <c r="X1748" s="119">
        <v>5.9940677189621541</v>
      </c>
      <c r="Y1748" s="119">
        <v>6.000135445216686</v>
      </c>
      <c r="Z1748" s="119">
        <v>6.0061646819925709</v>
      </c>
      <c r="AA1748" s="119">
        <v>6.0121528744199306</v>
      </c>
      <c r="AB1748" s="119">
        <v>6.0180975512659245</v>
      </c>
      <c r="AC1748" s="119">
        <v>6.0239963279577324</v>
      </c>
      <c r="AD1748" s="119">
        <v>6.0298469092896241</v>
      </c>
      <c r="AE1748" s="119">
        <v>6.0356470918127947</v>
      </c>
      <c r="AF1748" s="119">
        <v>6.0413947659083886</v>
      </c>
      <c r="AG1748" s="119">
        <v>6.0470879175456513</v>
      </c>
      <c r="AH1748" s="119">
        <v>6.052724629728699</v>
      </c>
      <c r="AI1748" s="119">
        <v>6.058303083636849</v>
      </c>
      <c r="AJ1748" s="119">
        <v>6.0638215594647402</v>
      </c>
      <c r="AK1748" s="119">
        <v>6.0692784369697392</v>
      </c>
      <c r="AL1748" s="119">
        <v>6.0746721957352854</v>
      </c>
      <c r="AM1748" s="119">
        <v>6.0800014151598001</v>
      </c>
      <c r="AN1748" s="119">
        <v>6.0852647741817503</v>
      </c>
      <c r="AO1748" s="119">
        <v>6.0904610507522463</v>
      </c>
      <c r="AP1748" s="119">
        <v>6.095589121067249</v>
      </c>
      <c r="AQ1748" s="119">
        <v>6.1006479585720408</v>
      </c>
      <c r="AR1748" s="119">
        <v>6.1056366327511196</v>
      </c>
      <c r="AS1748" s="119">
        <v>6.1105543077170132</v>
      </c>
      <c r="AT1748" s="119">
        <v>6.1154002406118169</v>
      </c>
      <c r="AU1748" s="119">
        <v>6.1201737798354126</v>
      </c>
      <c r="AV1748" s="119">
        <v>6.1248743631144098</v>
      </c>
      <c r="AW1748" s="119">
        <v>6.1295015154258587</v>
      </c>
      <c r="AX1748" s="120">
        <v>6.1340548467896872</v>
      </c>
    </row>
    <row r="1749" spans="1:50" x14ac:dyDescent="0.25">
      <c r="A1749" s="356"/>
      <c r="B1749" s="359"/>
      <c r="C1749" s="350"/>
      <c r="D1749" s="2" t="s">
        <v>10</v>
      </c>
      <c r="E1749" s="160" t="str">
        <f>A1727&amp;"/"&amp;B1747&amp;"/"&amp;C1747&amp;"/"&amp;D1749</f>
        <v>Biomass and waste fired power plants/Steam turbine/Electricity only/S</v>
      </c>
      <c r="F1749" s="76" t="str">
        <f>A1727</f>
        <v>Biomass and waste fired power plants</v>
      </c>
      <c r="G1749" s="76" t="str">
        <f>B1747</f>
        <v>Steam turbine</v>
      </c>
      <c r="H1749" s="76" t="str">
        <f>C1747</f>
        <v>Electricity only</v>
      </c>
      <c r="I1749" s="161" t="str">
        <f t="shared" si="106"/>
        <v>S</v>
      </c>
      <c r="J1749" s="119">
        <v>6.5268746859822473</v>
      </c>
      <c r="K1749" s="119">
        <v>6.5326770512968846</v>
      </c>
      <c r="L1749" s="119">
        <v>6.5384828003010469</v>
      </c>
      <c r="M1749" s="119">
        <v>6.5442889406502402</v>
      </c>
      <c r="N1749" s="119">
        <v>6.5500924920160548</v>
      </c>
      <c r="O1749" s="119">
        <v>6.5558904919159797</v>
      </c>
      <c r="P1749" s="119">
        <v>6.5616800014353203</v>
      </c>
      <c r="Q1749" s="119">
        <v>6.567458110819075</v>
      </c>
      <c r="R1749" s="119">
        <v>6.5732219449127172</v>
      </c>
      <c r="S1749" s="119">
        <v>6.5789686684319628</v>
      </c>
      <c r="T1749" s="119">
        <v>6.5846954910428988</v>
      </c>
      <c r="U1749" s="119">
        <v>6.5903996722352129</v>
      </c>
      <c r="V1749" s="119">
        <v>6.5960785259727341</v>
      </c>
      <c r="W1749" s="119">
        <v>6.6017294251070213</v>
      </c>
      <c r="X1749" s="119">
        <v>6.6073498055413564</v>
      </c>
      <c r="Y1749" s="119">
        <v>6.6129371701340709</v>
      </c>
      <c r="Z1749" s="119">
        <v>6.618489092331866</v>
      </c>
      <c r="AA1749" s="119">
        <v>6.6240032195253926</v>
      </c>
      <c r="AB1749" s="119">
        <v>6.6294772761210785</v>
      </c>
      <c r="AC1749" s="119">
        <v>6.6349090663247852</v>
      </c>
      <c r="AD1749" s="119">
        <v>6.6402964766345685</v>
      </c>
      <c r="AE1749" s="119">
        <v>6.6456374780413219</v>
      </c>
      <c r="AF1749" s="119">
        <v>6.6509301279376825</v>
      </c>
      <c r="AG1749" s="119">
        <v>6.6561725717369926</v>
      </c>
      <c r="AH1749" s="119">
        <v>6.6613630442055509</v>
      </c>
      <c r="AI1749" s="119">
        <v>6.6664998705126388</v>
      </c>
      <c r="AJ1749" s="119">
        <v>6.6715814670041551</v>
      </c>
      <c r="AK1749" s="119">
        <v>6.676606341706675</v>
      </c>
      <c r="AL1749" s="119">
        <v>6.6815730945699485</v>
      </c>
      <c r="AM1749" s="119">
        <v>6.6864804174566892</v>
      </c>
      <c r="AN1749" s="119">
        <v>6.6913270938894014</v>
      </c>
      <c r="AO1749" s="119">
        <v>6.6961119985647333</v>
      </c>
      <c r="AP1749" s="119">
        <v>6.7008340966464663</v>
      </c>
      <c r="AQ1749" s="119">
        <v>6.7054924428487954</v>
      </c>
      <c r="AR1749" s="119">
        <v>6.7100861803220297</v>
      </c>
      <c r="AS1749" s="119">
        <v>6.7146145393531231</v>
      </c>
      <c r="AT1749" s="119">
        <v>6.7190768358937545</v>
      </c>
      <c r="AU1749" s="119">
        <v>6.7234724699288169</v>
      </c>
      <c r="AV1749" s="119">
        <v>6.7278009236982257</v>
      </c>
      <c r="AW1749" s="119">
        <v>6.7320617597850188</v>
      </c>
      <c r="AX1749" s="120">
        <v>6.7362546190825432</v>
      </c>
    </row>
    <row r="1750" spans="1:50" x14ac:dyDescent="0.25">
      <c r="A1750" s="356"/>
      <c r="B1750" s="359"/>
      <c r="C1750" s="360"/>
      <c r="D1750" s="2" t="s">
        <v>20</v>
      </c>
      <c r="E1750" s="160" t="str">
        <f>A1727&amp;"/"&amp;B1747&amp;"/"&amp;C1747&amp;"/"&amp;D1750</f>
        <v>Biomass and waste fired power plants/Steam turbine/Electricity only/XS</v>
      </c>
      <c r="F1750" s="76" t="str">
        <f>A1727</f>
        <v>Biomass and waste fired power plants</v>
      </c>
      <c r="G1750" s="76" t="str">
        <f>B1747</f>
        <v>Steam turbine</v>
      </c>
      <c r="H1750" s="76" t="str">
        <f>C1747</f>
        <v>Electricity only</v>
      </c>
      <c r="I1750" s="161" t="str">
        <f t="shared" si="106"/>
        <v>XS</v>
      </c>
      <c r="J1750" s="119">
        <v>7.8322496231786971</v>
      </c>
      <c r="K1750" s="119">
        <v>7.8368646526981847</v>
      </c>
      <c r="L1750" s="119">
        <v>7.8414616357847109</v>
      </c>
      <c r="M1750" s="119">
        <v>7.8460384528649048</v>
      </c>
      <c r="N1750" s="119">
        <v>7.8505930286301462</v>
      </c>
      <c r="O1750" s="119">
        <v>7.8551233353512977</v>
      </c>
      <c r="P1750" s="119">
        <v>7.8596273960011569</v>
      </c>
      <c r="Q1750" s="119">
        <v>7.8641032871764516</v>
      </c>
      <c r="R1750" s="119">
        <v>7.8685491418125082</v>
      </c>
      <c r="S1750" s="119">
        <v>7.8729631516849183</v>
      </c>
      <c r="T1750" s="119">
        <v>7.8773435696937995</v>
      </c>
      <c r="U1750" s="119">
        <v>7.881688711927529</v>
      </c>
      <c r="V1750" s="119">
        <v>7.8859969595039425</v>
      </c>
      <c r="W1750" s="119">
        <v>7.8902667601883048</v>
      </c>
      <c r="X1750" s="119">
        <v>7.894496629788379</v>
      </c>
      <c r="Y1750" s="119">
        <v>7.8986851533281621</v>
      </c>
      <c r="Z1750" s="119">
        <v>7.9028309860027566</v>
      </c>
      <c r="AA1750" s="119">
        <v>7.9069328539179837</v>
      </c>
      <c r="AB1750" s="119">
        <v>7.9109895546191407</v>
      </c>
      <c r="AC1750" s="119">
        <v>7.9149999574142784</v>
      </c>
      <c r="AD1750" s="119">
        <v>7.9189630034980834</v>
      </c>
      <c r="AE1750" s="119">
        <v>7.9228777058831854</v>
      </c>
      <c r="AF1750" s="119">
        <v>7.9267431491463896</v>
      </c>
      <c r="AG1750" s="119">
        <v>7.9305584889978222</v>
      </c>
      <c r="AH1750" s="119">
        <v>7.9343229516815255</v>
      </c>
      <c r="AI1750" s="119">
        <v>7.9380358332164347</v>
      </c>
      <c r="AJ1750" s="119">
        <v>7.9416964984869614</v>
      </c>
      <c r="AK1750" s="119">
        <v>7.9453043801927494</v>
      </c>
      <c r="AL1750" s="119">
        <v>7.9488589776672613</v>
      </c>
      <c r="AM1750" s="119">
        <v>7.9523598555751009</v>
      </c>
      <c r="AN1750" s="119">
        <v>7.9558066424978948</v>
      </c>
      <c r="AO1750" s="119">
        <v>7.9591990294186727</v>
      </c>
      <c r="AP1750" s="119">
        <v>7.9625367681145711</v>
      </c>
      <c r="AQ1750" s="119">
        <v>7.965819669467586</v>
      </c>
      <c r="AR1750" s="119">
        <v>7.969047601702913</v>
      </c>
      <c r="AS1750" s="119">
        <v>7.9722204885642931</v>
      </c>
      <c r="AT1750" s="119">
        <v>7.9753383074354138</v>
      </c>
      <c r="AU1750" s="119">
        <v>7.9784010874162385</v>
      </c>
      <c r="AV1750" s="119">
        <v>7.9814089073628018</v>
      </c>
      <c r="AW1750" s="119">
        <v>7.9843618938986189</v>
      </c>
      <c r="AX1750" s="120">
        <v>7.9872602194055835</v>
      </c>
    </row>
    <row r="1751" spans="1:50" x14ac:dyDescent="0.25">
      <c r="A1751" s="356"/>
      <c r="B1751" s="359"/>
      <c r="C1751" s="361" t="s">
        <v>14</v>
      </c>
      <c r="D1751" s="58" t="s">
        <v>7</v>
      </c>
      <c r="E1751" s="164" t="str">
        <f>A1727&amp;"/"&amp;B1747&amp;"/"&amp;C1751&amp;"/"&amp;D1751</f>
        <v>Biomass and waste fired power plants/Steam turbine/CHP/L</v>
      </c>
      <c r="F1751" s="78" t="str">
        <f>A1727</f>
        <v>Biomass and waste fired power plants</v>
      </c>
      <c r="G1751" s="78" t="str">
        <f>B1747</f>
        <v>Steam turbine</v>
      </c>
      <c r="H1751" s="78" t="str">
        <f>C1751</f>
        <v>CHP</v>
      </c>
      <c r="I1751" s="165" t="str">
        <f t="shared" si="106"/>
        <v>L</v>
      </c>
      <c r="J1751" s="123">
        <v>6.3668308342610347</v>
      </c>
      <c r="K1751" s="123">
        <v>6.372458338129702</v>
      </c>
      <c r="L1751" s="123">
        <v>6.3780777704303642</v>
      </c>
      <c r="M1751" s="123">
        <v>6.3836878588632056</v>
      </c>
      <c r="N1751" s="123">
        <v>6.3892873437784168</v>
      </c>
      <c r="O1751" s="123">
        <v>6.3948749791867634</v>
      </c>
      <c r="P1751" s="123">
        <v>6.4004495337409573</v>
      </c>
      <c r="Q1751" s="123">
        <v>6.4060097916864391</v>
      </c>
      <c r="R1751" s="123">
        <v>6.4115545537802632</v>
      </c>
      <c r="S1751" s="123">
        <v>6.4170826381768897</v>
      </c>
      <c r="T1751" s="123">
        <v>6.4225928812797708</v>
      </c>
      <c r="U1751" s="123">
        <v>6.4280841385577512</v>
      </c>
      <c r="V1751" s="123">
        <v>6.433555285325359</v>
      </c>
      <c r="W1751" s="123">
        <v>6.43900521748622</v>
      </c>
      <c r="X1751" s="123">
        <v>6.4444328522388741</v>
      </c>
      <c r="Y1751" s="123">
        <v>6.4498371287444272</v>
      </c>
      <c r="Z1751" s="123">
        <v>6.4552170087555423</v>
      </c>
      <c r="AA1751" s="123">
        <v>6.4605714772063809</v>
      </c>
      <c r="AB1751" s="123">
        <v>6.4658995427632169</v>
      </c>
      <c r="AC1751" s="123">
        <v>6.4712002383355216</v>
      </c>
      <c r="AD1751" s="123">
        <v>6.4764726215474377</v>
      </c>
      <c r="AE1751" s="123">
        <v>6.4817157751696479</v>
      </c>
      <c r="AF1751" s="123">
        <v>6.4869288075117097</v>
      </c>
      <c r="AG1751" s="123">
        <v>6.4921108527750633</v>
      </c>
      <c r="AH1751" s="123">
        <v>6.4972610713669594</v>
      </c>
      <c r="AI1751" s="123">
        <v>6.5023786501756691</v>
      </c>
      <c r="AJ1751" s="123">
        <v>6.5074628028073951</v>
      </c>
      <c r="AK1751" s="123">
        <v>6.5125127697853795</v>
      </c>
      <c r="AL1751" s="123">
        <v>6.5175278187118053</v>
      </c>
      <c r="AM1751" s="123">
        <v>6.5225072443931147</v>
      </c>
      <c r="AN1751" s="123">
        <v>6.527450368929439</v>
      </c>
      <c r="AO1751" s="123">
        <v>6.5323565417689409</v>
      </c>
      <c r="AP1751" s="123">
        <v>6.5372251397278394</v>
      </c>
      <c r="AQ1751" s="123">
        <v>6.5420555669770346</v>
      </c>
      <c r="AR1751" s="123">
        <v>6.5468472549962211</v>
      </c>
      <c r="AS1751" s="123">
        <v>6.5515996624964519</v>
      </c>
      <c r="AT1751" s="123">
        <v>6.5563122753121625</v>
      </c>
      <c r="AU1751" s="123">
        <v>6.5609846062636903</v>
      </c>
      <c r="AV1751" s="123">
        <v>6.5656161949913328</v>
      </c>
      <c r="AW1751" s="123">
        <v>6.5702066077620538</v>
      </c>
      <c r="AX1751" s="124">
        <v>6.5747554372499462</v>
      </c>
    </row>
    <row r="1752" spans="1:50" x14ac:dyDescent="0.25">
      <c r="A1752" s="356"/>
      <c r="B1752" s="359"/>
      <c r="C1752" s="350"/>
      <c r="D1752" s="2" t="s">
        <v>8</v>
      </c>
      <c r="E1752" s="160" t="str">
        <f>A1727&amp;"/"&amp;B1747&amp;"/"&amp;C1751&amp;"/"&amp;D1752</f>
        <v>Biomass and waste fired power plants/Steam turbine/CHP/M</v>
      </c>
      <c r="F1752" s="76" t="str">
        <f>A1727</f>
        <v>Biomass and waste fired power plants</v>
      </c>
      <c r="G1752" s="76" t="str">
        <f>B1747</f>
        <v>Steam turbine</v>
      </c>
      <c r="H1752" s="76" t="str">
        <f>C1751</f>
        <v>CHP</v>
      </c>
      <c r="I1752" s="161" t="str">
        <f t="shared" si="106"/>
        <v>M</v>
      </c>
      <c r="J1752" s="119">
        <v>6.7864914921289508</v>
      </c>
      <c r="K1752" s="119">
        <v>6.7902731042522237</v>
      </c>
      <c r="L1752" s="119">
        <v>6.7940398914311233</v>
      </c>
      <c r="M1752" s="119">
        <v>6.7977911236843687</v>
      </c>
      <c r="N1752" s="119">
        <v>6.8015260855742179</v>
      </c>
      <c r="O1752" s="119">
        <v>6.805244076634172</v>
      </c>
      <c r="P1752" s="119">
        <v>6.8089444117713214</v>
      </c>
      <c r="Q1752" s="119">
        <v>6.8126264216431318</v>
      </c>
      <c r="R1752" s="119">
        <v>6.8162894530084763</v>
      </c>
      <c r="S1752" s="119">
        <v>6.8199328690527796</v>
      </c>
      <c r="T1752" s="119">
        <v>6.8235560496872676</v>
      </c>
      <c r="U1752" s="119">
        <v>6.827158391822266</v>
      </c>
      <c r="V1752" s="119">
        <v>6.8307393096146711</v>
      </c>
      <c r="W1752" s="119">
        <v>6.8342982346896779</v>
      </c>
      <c r="X1752" s="119">
        <v>6.8378346163369548</v>
      </c>
      <c r="Y1752" s="119">
        <v>6.8413479216815034</v>
      </c>
      <c r="Z1752" s="119">
        <v>6.8448376358294594</v>
      </c>
      <c r="AA1752" s="119">
        <v>6.8483032619892059</v>
      </c>
      <c r="AB1752" s="119">
        <v>6.8517443215681153</v>
      </c>
      <c r="AC1752" s="119">
        <v>6.8551603542454114</v>
      </c>
      <c r="AD1752" s="119">
        <v>6.8585509180215478</v>
      </c>
      <c r="AE1752" s="119">
        <v>6.8619155892446431</v>
      </c>
      <c r="AF1752" s="119">
        <v>6.8652539626144868</v>
      </c>
      <c r="AG1752" s="119">
        <v>6.8685656511646975</v>
      </c>
      <c r="AH1752" s="119">
        <v>6.8718502862236281</v>
      </c>
      <c r="AI1752" s="119">
        <v>6.8751075173546408</v>
      </c>
      <c r="AJ1752" s="119">
        <v>6.878337012276412</v>
      </c>
      <c r="AK1752" s="119">
        <v>6.8815384567639359</v>
      </c>
      <c r="AL1752" s="119">
        <v>6.8847115545309299</v>
      </c>
      <c r="AM1752" s="119">
        <v>6.8878560270943447</v>
      </c>
      <c r="AN1752" s="119">
        <v>6.8909716136217085</v>
      </c>
      <c r="AO1752" s="119">
        <v>6.8940580707620569</v>
      </c>
      <c r="AP1752" s="119">
        <v>6.897115172461179</v>
      </c>
      <c r="AQ1752" s="119">
        <v>6.9001427097619557</v>
      </c>
      <c r="AR1752" s="119">
        <v>6.9031404905905243</v>
      </c>
      <c r="AS1752" s="119">
        <v>6.9061083395290801</v>
      </c>
      <c r="AT1752" s="119">
        <v>6.9090460975760308</v>
      </c>
      <c r="AU1752" s="119">
        <v>6.9119536218942992</v>
      </c>
      <c r="AV1752" s="119">
        <v>6.9148307855485323</v>
      </c>
      <c r="AW1752" s="119">
        <v>6.9176774772319618</v>
      </c>
      <c r="AX1752" s="120">
        <v>6.9204936009836802</v>
      </c>
    </row>
    <row r="1753" spans="1:50" x14ac:dyDescent="0.25">
      <c r="A1753" s="356"/>
      <c r="B1753" s="359"/>
      <c r="C1753" s="350"/>
      <c r="D1753" s="2" t="s">
        <v>10</v>
      </c>
      <c r="E1753" s="160" t="str">
        <f>A1727&amp;"/"&amp;B1747&amp;"/"&amp;C1751&amp;"/"&amp;D1753</f>
        <v>Biomass and waste fired power plants/Steam turbine/CHP/S</v>
      </c>
      <c r="F1753" s="76" t="str">
        <f>A1727</f>
        <v>Biomass and waste fired power plants</v>
      </c>
      <c r="G1753" s="76" t="str">
        <f>B1747</f>
        <v>Steam turbine</v>
      </c>
      <c r="H1753" s="76" t="str">
        <f>C1751</f>
        <v>CHP</v>
      </c>
      <c r="I1753" s="161" t="str">
        <f t="shared" si="106"/>
        <v>S</v>
      </c>
      <c r="J1753" s="119">
        <v>7.4103284040052699</v>
      </c>
      <c r="K1753" s="119">
        <v>7.4131271519406283</v>
      </c>
      <c r="L1753" s="119">
        <v>7.4159076311331065</v>
      </c>
      <c r="M1753" s="119">
        <v>7.4186694420020345</v>
      </c>
      <c r="N1753" s="119">
        <v>7.4214121988510273</v>
      </c>
      <c r="O1753" s="119">
        <v>7.4241355299508509</v>
      </c>
      <c r="P1753" s="119">
        <v>7.4268390776040212</v>
      </c>
      <c r="Q1753" s="119">
        <v>7.4295224981914645</v>
      </c>
      <c r="R1753" s="119">
        <v>7.4321854622015824</v>
      </c>
      <c r="S1753" s="119">
        <v>7.4348276542420964</v>
      </c>
      <c r="T1753" s="119">
        <v>7.4374487730350749</v>
      </c>
      <c r="U1753" s="119">
        <v>7.4400485313955951</v>
      </c>
      <c r="V1753" s="119">
        <v>7.4426266561944487</v>
      </c>
      <c r="W1753" s="119">
        <v>7.4451828883054016</v>
      </c>
      <c r="X1753" s="119">
        <v>7.4477169825374903</v>
      </c>
      <c r="Y1753" s="119">
        <v>7.4502287075528475</v>
      </c>
      <c r="Z1753" s="119">
        <v>7.4527178457706009</v>
      </c>
      <c r="AA1753" s="119">
        <v>7.4551841932573719</v>
      </c>
      <c r="AB1753" s="119">
        <v>7.4576275596049193</v>
      </c>
      <c r="AC1753" s="119">
        <v>7.4600477677954933</v>
      </c>
      <c r="AD1753" s="119">
        <v>7.4624446540554512</v>
      </c>
      <c r="AE1753" s="119">
        <v>7.4648180676977249</v>
      </c>
      <c r="AF1753" s="119">
        <v>7.4671678709536886</v>
      </c>
      <c r="AG1753" s="119">
        <v>7.4694939387950221</v>
      </c>
      <c r="AH1753" s="119">
        <v>7.4717961587461383</v>
      </c>
      <c r="AI1753" s="119">
        <v>7.4740744306877485</v>
      </c>
      <c r="AJ1753" s="119">
        <v>7.4763286666521553</v>
      </c>
      <c r="AK1753" s="119">
        <v>7.4785587906108102</v>
      </c>
      <c r="AL1753" s="119">
        <v>7.4807647382547398</v>
      </c>
      <c r="AM1753" s="119">
        <v>7.4829464567683663</v>
      </c>
      <c r="AN1753" s="119">
        <v>7.4851039045972989</v>
      </c>
      <c r="AO1753" s="119">
        <v>7.4872370512106166</v>
      </c>
      <c r="AP1753" s="119">
        <v>7.4893458768581924</v>
      </c>
      <c r="AQ1753" s="119">
        <v>7.4914303723235784</v>
      </c>
      <c r="AR1753" s="119">
        <v>7.4934905386729556</v>
      </c>
      <c r="AS1753" s="119">
        <v>7.4955263870006492</v>
      </c>
      <c r="AT1753" s="119">
        <v>7.4975379381717104</v>
      </c>
      <c r="AU1753" s="119">
        <v>7.4995252225620241</v>
      </c>
      <c r="AV1753" s="119">
        <v>7.5014882797963969</v>
      </c>
      <c r="AW1753" s="119">
        <v>7.5034271584850867</v>
      </c>
      <c r="AX1753" s="120">
        <v>7.5053419159591943</v>
      </c>
    </row>
    <row r="1754" spans="1:50" x14ac:dyDescent="0.25">
      <c r="A1754" s="356"/>
      <c r="B1754" s="359"/>
      <c r="C1754" s="360"/>
      <c r="D1754" s="59" t="s">
        <v>20</v>
      </c>
      <c r="E1754" s="166" t="str">
        <f>A1727&amp;"/"&amp;B1747&amp;"/"&amp;C1751&amp;"/"&amp;D1754</f>
        <v>Biomass and waste fired power plants/Steam turbine/CHP/XS</v>
      </c>
      <c r="F1754" s="79" t="str">
        <f>A1727</f>
        <v>Biomass and waste fired power plants</v>
      </c>
      <c r="G1754" s="79" t="str">
        <f>B1747</f>
        <v>Steam turbine</v>
      </c>
      <c r="H1754" s="79" t="str">
        <f>C1751</f>
        <v>CHP</v>
      </c>
      <c r="I1754" s="167" t="str">
        <f t="shared" si="106"/>
        <v>XS</v>
      </c>
      <c r="J1754" s="125">
        <v>8.7779844748976235</v>
      </c>
      <c r="K1754" s="125">
        <v>8.7800234312848424</v>
      </c>
      <c r="L1754" s="125">
        <v>8.7820433750121865</v>
      </c>
      <c r="M1754" s="125">
        <v>8.7840441634730446</v>
      </c>
      <c r="N1754" s="125">
        <v>8.7860256647785384</v>
      </c>
      <c r="O1754" s="125">
        <v>8.7879877576338821</v>
      </c>
      <c r="P1754" s="125">
        <v>8.7899303312061274</v>
      </c>
      <c r="Q1754" s="125">
        <v>8.7918532849837252</v>
      </c>
      <c r="R1754" s="125">
        <v>8.793756528628327</v>
      </c>
      <c r="S1754" s="125">
        <v>8.7956399818193436</v>
      </c>
      <c r="T1754" s="125">
        <v>8.797503574091655</v>
      </c>
      <c r="U1754" s="125">
        <v>8.7993472446669703</v>
      </c>
      <c r="V1754" s="125">
        <v>8.8011709422792563</v>
      </c>
      <c r="W1754" s="125">
        <v>8.8029746249947003</v>
      </c>
      <c r="X1754" s="125">
        <v>8.8047582600266292</v>
      </c>
      <c r="Y1754" s="125">
        <v>8.8065218235458431</v>
      </c>
      <c r="Z1754" s="125">
        <v>8.8082653004867613</v>
      </c>
      <c r="AA1754" s="125">
        <v>8.8099886843498272</v>
      </c>
      <c r="AB1754" s="125">
        <v>8.8116919770005637</v>
      </c>
      <c r="AC1754" s="125">
        <v>8.8133751884657041</v>
      </c>
      <c r="AD1754" s="125">
        <v>8.8150383367267526</v>
      </c>
      <c r="AE1754" s="125">
        <v>8.8166814475114013</v>
      </c>
      <c r="AF1754" s="125">
        <v>8.8183045540831504</v>
      </c>
      <c r="AG1754" s="125">
        <v>8.819907697029489</v>
      </c>
      <c r="AH1754" s="125">
        <v>8.8214909240490069</v>
      </c>
      <c r="AI1754" s="125">
        <v>8.8230542897377422</v>
      </c>
      <c r="AJ1754" s="125">
        <v>8.8245978553751421</v>
      </c>
      <c r="AK1754" s="125">
        <v>8.8261216887098684</v>
      </c>
      <c r="AL1754" s="125">
        <v>8.8276258637458476</v>
      </c>
      <c r="AM1754" s="125">
        <v>8.8291104605287725</v>
      </c>
      <c r="AN1754" s="125">
        <v>8.8305755649333602</v>
      </c>
      <c r="AO1754" s="125">
        <v>8.8320212684516513</v>
      </c>
      <c r="AP1754" s="125">
        <v>8.8334476679825418</v>
      </c>
      <c r="AQ1754" s="125">
        <v>8.8348548656228658</v>
      </c>
      <c r="AR1754" s="125">
        <v>8.8362429684601711</v>
      </c>
      <c r="AS1754" s="125">
        <v>8.8376120883674414</v>
      </c>
      <c r="AT1754" s="125">
        <v>8.8389623417999807</v>
      </c>
      <c r="AU1754" s="125">
        <v>8.8402938495946</v>
      </c>
      <c r="AV1754" s="125">
        <v>8.8416067367713183</v>
      </c>
      <c r="AW1754" s="125">
        <v>8.8429011323377171</v>
      </c>
      <c r="AX1754" s="126">
        <v>8.8441771690961364</v>
      </c>
    </row>
    <row r="1755" spans="1:50" x14ac:dyDescent="0.25">
      <c r="A1755" s="356"/>
      <c r="B1755" s="359"/>
      <c r="C1755" s="361" t="s">
        <v>15</v>
      </c>
      <c r="D1755" s="58" t="s">
        <v>7</v>
      </c>
      <c r="E1755" s="164" t="str">
        <f>A1727&amp;"/"&amp;B1747&amp;"/"&amp;C1755&amp;"/"&amp;D1755</f>
        <v>Biomass and waste fired power plants/Steam turbine/Electricity only with CCS/L</v>
      </c>
      <c r="F1755" s="78" t="str">
        <f>A1727</f>
        <v>Biomass and waste fired power plants</v>
      </c>
      <c r="G1755" s="78" t="str">
        <f>B1747</f>
        <v>Steam turbine</v>
      </c>
      <c r="H1755" s="78" t="str">
        <f>C1755</f>
        <v>Electricity only with CCS</v>
      </c>
      <c r="I1755" s="165" t="str">
        <f t="shared" si="106"/>
        <v>L</v>
      </c>
      <c r="J1755" s="123" t="s">
        <v>112</v>
      </c>
      <c r="K1755" s="123" t="s">
        <v>112</v>
      </c>
      <c r="L1755" s="123" t="s">
        <v>112</v>
      </c>
      <c r="M1755" s="123" t="s">
        <v>112</v>
      </c>
      <c r="N1755" s="123" t="s">
        <v>112</v>
      </c>
      <c r="O1755" s="123" t="s">
        <v>112</v>
      </c>
      <c r="P1755" s="123" t="s">
        <v>112</v>
      </c>
      <c r="Q1755" s="123" t="s">
        <v>112</v>
      </c>
      <c r="R1755" s="123" t="s">
        <v>112</v>
      </c>
      <c r="S1755" s="123" t="s">
        <v>112</v>
      </c>
      <c r="T1755" s="123" t="s">
        <v>112</v>
      </c>
      <c r="U1755" s="123" t="s">
        <v>112</v>
      </c>
      <c r="V1755" s="123" t="s">
        <v>112</v>
      </c>
      <c r="W1755" s="123" t="s">
        <v>112</v>
      </c>
      <c r="X1755" s="123" t="s">
        <v>112</v>
      </c>
      <c r="Y1755" s="123" t="s">
        <v>112</v>
      </c>
      <c r="Z1755" s="123" t="s">
        <v>112</v>
      </c>
      <c r="AA1755" s="123" t="s">
        <v>112</v>
      </c>
      <c r="AB1755" s="123" t="s">
        <v>112</v>
      </c>
      <c r="AC1755" s="123" t="s">
        <v>112</v>
      </c>
      <c r="AD1755" s="123" t="s">
        <v>112</v>
      </c>
      <c r="AE1755" s="123">
        <v>10.664827918271646</v>
      </c>
      <c r="AF1755" s="123">
        <v>10.664827918271646</v>
      </c>
      <c r="AG1755" s="123">
        <v>10.664827918271646</v>
      </c>
      <c r="AH1755" s="123">
        <v>10.664827918271646</v>
      </c>
      <c r="AI1755" s="123">
        <v>10.664827918271646</v>
      </c>
      <c r="AJ1755" s="123">
        <v>10.664827918271646</v>
      </c>
      <c r="AK1755" s="123">
        <v>10.664827918271646</v>
      </c>
      <c r="AL1755" s="123">
        <v>10.664827918271646</v>
      </c>
      <c r="AM1755" s="123">
        <v>10.664827918271646</v>
      </c>
      <c r="AN1755" s="123">
        <v>10.664827918271646</v>
      </c>
      <c r="AO1755" s="123">
        <v>10.664827918271646</v>
      </c>
      <c r="AP1755" s="123">
        <v>10.664827918271646</v>
      </c>
      <c r="AQ1755" s="123">
        <v>10.664827918271646</v>
      </c>
      <c r="AR1755" s="123">
        <v>10.664827918271646</v>
      </c>
      <c r="AS1755" s="123">
        <v>10.664827918271646</v>
      </c>
      <c r="AT1755" s="123">
        <v>10.664827918271646</v>
      </c>
      <c r="AU1755" s="123">
        <v>10.664827918271646</v>
      </c>
      <c r="AV1755" s="123">
        <v>10.664827918271646</v>
      </c>
      <c r="AW1755" s="123">
        <v>10.664827918271646</v>
      </c>
      <c r="AX1755" s="124">
        <v>10.664827918271646</v>
      </c>
    </row>
    <row r="1756" spans="1:50" x14ac:dyDescent="0.25">
      <c r="A1756" s="356"/>
      <c r="B1756" s="359"/>
      <c r="C1756" s="360"/>
      <c r="D1756" s="59" t="s">
        <v>8</v>
      </c>
      <c r="E1756" s="166" t="str">
        <f>A1727&amp;"/"&amp;B1747&amp;"/"&amp;C1755&amp;"/"&amp;D1756</f>
        <v>Biomass and waste fired power plants/Steam turbine/Electricity only with CCS/M</v>
      </c>
      <c r="F1756" s="79" t="str">
        <f>A1727</f>
        <v>Biomass and waste fired power plants</v>
      </c>
      <c r="G1756" s="79" t="str">
        <f>B1747</f>
        <v>Steam turbine</v>
      </c>
      <c r="H1756" s="79" t="str">
        <f>C1755</f>
        <v>Electricity only with CCS</v>
      </c>
      <c r="I1756" s="167" t="str">
        <f t="shared" si="106"/>
        <v>M</v>
      </c>
      <c r="J1756" s="125" t="s">
        <v>112</v>
      </c>
      <c r="K1756" s="125" t="s">
        <v>112</v>
      </c>
      <c r="L1756" s="125" t="s">
        <v>112</v>
      </c>
      <c r="M1756" s="125" t="s">
        <v>112</v>
      </c>
      <c r="N1756" s="125" t="s">
        <v>112</v>
      </c>
      <c r="O1756" s="125" t="s">
        <v>112</v>
      </c>
      <c r="P1756" s="125" t="s">
        <v>112</v>
      </c>
      <c r="Q1756" s="125" t="s">
        <v>112</v>
      </c>
      <c r="R1756" s="125" t="s">
        <v>112</v>
      </c>
      <c r="S1756" s="125" t="s">
        <v>112</v>
      </c>
      <c r="T1756" s="125" t="s">
        <v>112</v>
      </c>
      <c r="U1756" s="125" t="s">
        <v>112</v>
      </c>
      <c r="V1756" s="125" t="s">
        <v>112</v>
      </c>
      <c r="W1756" s="125" t="s">
        <v>112</v>
      </c>
      <c r="X1756" s="125" t="s">
        <v>112</v>
      </c>
      <c r="Y1756" s="125" t="s">
        <v>112</v>
      </c>
      <c r="Z1756" s="125" t="s">
        <v>112</v>
      </c>
      <c r="AA1756" s="125" t="s">
        <v>112</v>
      </c>
      <c r="AB1756" s="125" t="s">
        <v>112</v>
      </c>
      <c r="AC1756" s="125" t="s">
        <v>112</v>
      </c>
      <c r="AD1756" s="125" t="s">
        <v>112</v>
      </c>
      <c r="AE1756" s="125">
        <v>11.727650014017028</v>
      </c>
      <c r="AF1756" s="125">
        <v>11.727650014017028</v>
      </c>
      <c r="AG1756" s="125">
        <v>11.727650014017028</v>
      </c>
      <c r="AH1756" s="125">
        <v>11.727650014017028</v>
      </c>
      <c r="AI1756" s="125">
        <v>11.727650014017028</v>
      </c>
      <c r="AJ1756" s="125">
        <v>11.727650014017028</v>
      </c>
      <c r="AK1756" s="125">
        <v>11.727650014017028</v>
      </c>
      <c r="AL1756" s="125">
        <v>11.727650014017028</v>
      </c>
      <c r="AM1756" s="125">
        <v>11.727650014017028</v>
      </c>
      <c r="AN1756" s="125">
        <v>11.727650014017028</v>
      </c>
      <c r="AO1756" s="125">
        <v>11.727650014017028</v>
      </c>
      <c r="AP1756" s="125">
        <v>11.727650014017028</v>
      </c>
      <c r="AQ1756" s="125">
        <v>11.727650014017028</v>
      </c>
      <c r="AR1756" s="125">
        <v>11.727650014017028</v>
      </c>
      <c r="AS1756" s="125">
        <v>11.727650014017028</v>
      </c>
      <c r="AT1756" s="125">
        <v>11.727650014017028</v>
      </c>
      <c r="AU1756" s="125">
        <v>11.727650014017028</v>
      </c>
      <c r="AV1756" s="125">
        <v>11.727650014017028</v>
      </c>
      <c r="AW1756" s="125">
        <v>11.727650014017028</v>
      </c>
      <c r="AX1756" s="126">
        <v>11.727650014017028</v>
      </c>
    </row>
    <row r="1757" spans="1:50" x14ac:dyDescent="0.25">
      <c r="A1757" s="356"/>
      <c r="B1757" s="359"/>
      <c r="C1757" s="361" t="s">
        <v>16</v>
      </c>
      <c r="D1757" s="2" t="s">
        <v>7</v>
      </c>
      <c r="E1757" s="160" t="str">
        <f>A1727&amp;"/"&amp;B1747&amp;"/"&amp;C1757&amp;"/"&amp;D1757</f>
        <v>Biomass and waste fired power plants/Steam turbine/CHP with CCS/L</v>
      </c>
      <c r="F1757" s="76" t="str">
        <f>A1727</f>
        <v>Biomass and waste fired power plants</v>
      </c>
      <c r="G1757" s="76" t="str">
        <f>B1747</f>
        <v>Steam turbine</v>
      </c>
      <c r="H1757" s="76" t="str">
        <f>C1757</f>
        <v>CHP with CCS</v>
      </c>
      <c r="I1757" s="161" t="str">
        <f t="shared" si="106"/>
        <v>L</v>
      </c>
      <c r="J1757" s="119" t="s">
        <v>112</v>
      </c>
      <c r="K1757" s="119" t="s">
        <v>112</v>
      </c>
      <c r="L1757" s="119" t="s">
        <v>112</v>
      </c>
      <c r="M1757" s="119" t="s">
        <v>112</v>
      </c>
      <c r="N1757" s="119" t="s">
        <v>112</v>
      </c>
      <c r="O1757" s="119" t="s">
        <v>112</v>
      </c>
      <c r="P1757" s="119" t="s">
        <v>112</v>
      </c>
      <c r="Q1757" s="119" t="s">
        <v>112</v>
      </c>
      <c r="R1757" s="119" t="s">
        <v>112</v>
      </c>
      <c r="S1757" s="119" t="s">
        <v>112</v>
      </c>
      <c r="T1757" s="119" t="s">
        <v>112</v>
      </c>
      <c r="U1757" s="119" t="s">
        <v>112</v>
      </c>
      <c r="V1757" s="119" t="s">
        <v>112</v>
      </c>
      <c r="W1757" s="119" t="s">
        <v>112</v>
      </c>
      <c r="X1757" s="119" t="s">
        <v>112</v>
      </c>
      <c r="Y1757" s="119" t="s">
        <v>112</v>
      </c>
      <c r="Z1757" s="119" t="s">
        <v>112</v>
      </c>
      <c r="AA1757" s="119" t="s">
        <v>112</v>
      </c>
      <c r="AB1757" s="119" t="s">
        <v>112</v>
      </c>
      <c r="AC1757" s="119" t="s">
        <v>112</v>
      </c>
      <c r="AD1757" s="119" t="s">
        <v>112</v>
      </c>
      <c r="AE1757" s="119">
        <v>11.190667334225239</v>
      </c>
      <c r="AF1757" s="119">
        <v>11.190667334225239</v>
      </c>
      <c r="AG1757" s="119">
        <v>11.190667334225239</v>
      </c>
      <c r="AH1757" s="119">
        <v>11.190667334225239</v>
      </c>
      <c r="AI1757" s="119">
        <v>11.190667334225239</v>
      </c>
      <c r="AJ1757" s="119">
        <v>11.190667334225239</v>
      </c>
      <c r="AK1757" s="119">
        <v>11.190667334225239</v>
      </c>
      <c r="AL1757" s="119">
        <v>11.190667334225239</v>
      </c>
      <c r="AM1757" s="119">
        <v>11.190667334225239</v>
      </c>
      <c r="AN1757" s="119">
        <v>11.190667334225239</v>
      </c>
      <c r="AO1757" s="119">
        <v>11.190667334225239</v>
      </c>
      <c r="AP1757" s="119">
        <v>11.190667334225239</v>
      </c>
      <c r="AQ1757" s="119">
        <v>11.190667334225239</v>
      </c>
      <c r="AR1757" s="119">
        <v>11.190667334225239</v>
      </c>
      <c r="AS1757" s="119">
        <v>11.190667334225239</v>
      </c>
      <c r="AT1757" s="119">
        <v>11.190667334225239</v>
      </c>
      <c r="AU1757" s="119">
        <v>11.190667334225239</v>
      </c>
      <c r="AV1757" s="119">
        <v>11.190667334225239</v>
      </c>
      <c r="AW1757" s="119">
        <v>11.190667334225239</v>
      </c>
      <c r="AX1757" s="120">
        <v>11.190667334225239</v>
      </c>
    </row>
    <row r="1758" spans="1:50" x14ac:dyDescent="0.25">
      <c r="A1758" s="357"/>
      <c r="B1758" s="362"/>
      <c r="C1758" s="354"/>
      <c r="D1758" s="4" t="s">
        <v>8</v>
      </c>
      <c r="E1758" s="168" t="str">
        <f>A1727&amp;"/"&amp;B1747&amp;"/"&amp;C1757&amp;"/"&amp;D1758</f>
        <v>Biomass and waste fired power plants/Steam turbine/CHP with CCS/M</v>
      </c>
      <c r="F1758" s="80" t="str">
        <f>A1727</f>
        <v>Biomass and waste fired power plants</v>
      </c>
      <c r="G1758" s="80" t="str">
        <f>B1747</f>
        <v>Steam turbine</v>
      </c>
      <c r="H1758" s="80" t="str">
        <f>C1757</f>
        <v>CHP with CCS</v>
      </c>
      <c r="I1758" s="169" t="str">
        <f t="shared" si="106"/>
        <v>M</v>
      </c>
      <c r="J1758" s="127" t="s">
        <v>112</v>
      </c>
      <c r="K1758" s="127" t="s">
        <v>112</v>
      </c>
      <c r="L1758" s="127" t="s">
        <v>112</v>
      </c>
      <c r="M1758" s="127" t="s">
        <v>112</v>
      </c>
      <c r="N1758" s="127" t="s">
        <v>112</v>
      </c>
      <c r="O1758" s="127" t="s">
        <v>112</v>
      </c>
      <c r="P1758" s="127" t="s">
        <v>112</v>
      </c>
      <c r="Q1758" s="127" t="s">
        <v>112</v>
      </c>
      <c r="R1758" s="127" t="s">
        <v>112</v>
      </c>
      <c r="S1758" s="127" t="s">
        <v>112</v>
      </c>
      <c r="T1758" s="127" t="s">
        <v>112</v>
      </c>
      <c r="U1758" s="127" t="s">
        <v>112</v>
      </c>
      <c r="V1758" s="127" t="s">
        <v>112</v>
      </c>
      <c r="W1758" s="127" t="s">
        <v>112</v>
      </c>
      <c r="X1758" s="127" t="s">
        <v>112</v>
      </c>
      <c r="Y1758" s="127" t="s">
        <v>112</v>
      </c>
      <c r="Z1758" s="127" t="s">
        <v>112</v>
      </c>
      <c r="AA1758" s="127" t="s">
        <v>112</v>
      </c>
      <c r="AB1758" s="127" t="s">
        <v>112</v>
      </c>
      <c r="AC1758" s="127" t="s">
        <v>112</v>
      </c>
      <c r="AD1758" s="127" t="s">
        <v>112</v>
      </c>
      <c r="AE1758" s="127">
        <v>12.213067346685559</v>
      </c>
      <c r="AF1758" s="127">
        <v>12.213067346685559</v>
      </c>
      <c r="AG1758" s="127">
        <v>12.213067346685559</v>
      </c>
      <c r="AH1758" s="127">
        <v>12.213067346685559</v>
      </c>
      <c r="AI1758" s="127">
        <v>12.213067346685559</v>
      </c>
      <c r="AJ1758" s="127">
        <v>12.213067346685559</v>
      </c>
      <c r="AK1758" s="127">
        <v>12.213067346685559</v>
      </c>
      <c r="AL1758" s="127">
        <v>12.213067346685559</v>
      </c>
      <c r="AM1758" s="127">
        <v>12.213067346685559</v>
      </c>
      <c r="AN1758" s="127">
        <v>12.213067346685559</v>
      </c>
      <c r="AO1758" s="127">
        <v>12.213067346685559</v>
      </c>
      <c r="AP1758" s="127">
        <v>12.213067346685559</v>
      </c>
      <c r="AQ1758" s="127">
        <v>12.213067346685559</v>
      </c>
      <c r="AR1758" s="127">
        <v>12.213067346685559</v>
      </c>
      <c r="AS1758" s="127">
        <v>12.213067346685559</v>
      </c>
      <c r="AT1758" s="127">
        <v>12.213067346685559</v>
      </c>
      <c r="AU1758" s="127">
        <v>12.213067346685559</v>
      </c>
      <c r="AV1758" s="127">
        <v>12.213067346685559</v>
      </c>
      <c r="AW1758" s="127">
        <v>12.213067346685559</v>
      </c>
      <c r="AX1758" s="128">
        <v>12.213067346685559</v>
      </c>
    </row>
    <row r="1759" spans="1:50" x14ac:dyDescent="0.25">
      <c r="A1759" s="355" t="s">
        <v>31</v>
      </c>
      <c r="B1759" s="358" t="s">
        <v>32</v>
      </c>
      <c r="C1759" s="353" t="s">
        <v>6</v>
      </c>
      <c r="D1759" s="3" t="s">
        <v>8</v>
      </c>
      <c r="E1759" s="162" t="str">
        <f>A1759&amp;"/"&amp;B1759&amp;"/"&amp;C1759&amp;"/"&amp;D1759</f>
        <v>Fuel cells/Natural gas fuel cell power plant/Electricity only/M</v>
      </c>
      <c r="F1759" s="77" t="str">
        <f>A1759</f>
        <v>Fuel cells</v>
      </c>
      <c r="G1759" s="77" t="str">
        <f>B1759</f>
        <v>Natural gas fuel cell power plant</v>
      </c>
      <c r="H1759" s="77" t="str">
        <f>C1759</f>
        <v>Electricity only</v>
      </c>
      <c r="I1759" s="163" t="str">
        <f t="shared" si="106"/>
        <v>M</v>
      </c>
      <c r="J1759" s="121" t="s">
        <v>112</v>
      </c>
      <c r="K1759" s="121" t="s">
        <v>112</v>
      </c>
      <c r="L1759" s="121" t="s">
        <v>112</v>
      </c>
      <c r="M1759" s="121" t="s">
        <v>112</v>
      </c>
      <c r="N1759" s="121" t="s">
        <v>112</v>
      </c>
      <c r="O1759" s="121" t="s">
        <v>112</v>
      </c>
      <c r="P1759" s="121" t="s">
        <v>112</v>
      </c>
      <c r="Q1759" s="121" t="s">
        <v>112</v>
      </c>
      <c r="R1759" s="121" t="s">
        <v>112</v>
      </c>
      <c r="S1759" s="121" t="s">
        <v>112</v>
      </c>
      <c r="T1759" s="121" t="s">
        <v>112</v>
      </c>
      <c r="U1759" s="121" t="s">
        <v>112</v>
      </c>
      <c r="V1759" s="121" t="s">
        <v>112</v>
      </c>
      <c r="W1759" s="121" t="s">
        <v>112</v>
      </c>
      <c r="X1759" s="121" t="s">
        <v>112</v>
      </c>
      <c r="Y1759" s="121" t="s">
        <v>112</v>
      </c>
      <c r="Z1759" s="121" t="s">
        <v>112</v>
      </c>
      <c r="AA1759" s="121" t="s">
        <v>112</v>
      </c>
      <c r="AB1759" s="121" t="s">
        <v>112</v>
      </c>
      <c r="AC1759" s="121" t="s">
        <v>112</v>
      </c>
      <c r="AD1759" s="121" t="s">
        <v>112</v>
      </c>
      <c r="AE1759" s="121">
        <v>13.862837045720985</v>
      </c>
      <c r="AF1759" s="121">
        <v>13.862837045720985</v>
      </c>
      <c r="AG1759" s="121">
        <v>13.862837045720985</v>
      </c>
      <c r="AH1759" s="121">
        <v>13.862837045720985</v>
      </c>
      <c r="AI1759" s="121">
        <v>13.752334759185327</v>
      </c>
      <c r="AJ1759" s="121">
        <v>13.71421574131652</v>
      </c>
      <c r="AK1759" s="121">
        <v>13.663198479493756</v>
      </c>
      <c r="AL1759" s="121">
        <v>13.595120660216718</v>
      </c>
      <c r="AM1759" s="121">
        <v>13.504637723202832</v>
      </c>
      <c r="AN1759" s="121">
        <v>13.385015033916016</v>
      </c>
      <c r="AO1759" s="121">
        <v>13.227990227056786</v>
      </c>
      <c r="AP1759" s="121">
        <v>13.023813806380138</v>
      </c>
      <c r="AQ1759" s="121">
        <v>12.761642239436359</v>
      </c>
      <c r="AR1759" s="121">
        <v>12.430529247171123</v>
      </c>
      <c r="AS1759" s="121">
        <v>12.021295814092632</v>
      </c>
      <c r="AT1759" s="121">
        <v>11.529467263403001</v>
      </c>
      <c r="AU1759" s="121">
        <v>10.959109247147303</v>
      </c>
      <c r="AV1759" s="121">
        <v>10.326666634917077</v>
      </c>
      <c r="AW1759" s="121">
        <v>9.6629463746178672</v>
      </c>
      <c r="AX1759" s="122">
        <v>9.0108440797186393</v>
      </c>
    </row>
    <row r="1760" spans="1:50" x14ac:dyDescent="0.25">
      <c r="A1760" s="356"/>
      <c r="B1760" s="359"/>
      <c r="C1760" s="350"/>
      <c r="D1760" s="2" t="s">
        <v>10</v>
      </c>
      <c r="E1760" s="160" t="str">
        <f>A1759&amp;"/"&amp;B1759&amp;"/"&amp;C1759&amp;"/"&amp;D1760</f>
        <v>Fuel cells/Natural gas fuel cell power plant/Electricity only/S</v>
      </c>
      <c r="F1760" s="76" t="str">
        <f>A1759</f>
        <v>Fuel cells</v>
      </c>
      <c r="G1760" s="76" t="str">
        <f>B1759</f>
        <v>Natural gas fuel cell power plant</v>
      </c>
      <c r="H1760" s="76" t="str">
        <f>C1759</f>
        <v>Electricity only</v>
      </c>
      <c r="I1760" s="161" t="str">
        <f t="shared" si="106"/>
        <v>S</v>
      </c>
      <c r="J1760" s="119" t="s">
        <v>112</v>
      </c>
      <c r="K1760" s="119" t="s">
        <v>112</v>
      </c>
      <c r="L1760" s="119" t="s">
        <v>112</v>
      </c>
      <c r="M1760" s="119" t="s">
        <v>112</v>
      </c>
      <c r="N1760" s="119" t="s">
        <v>112</v>
      </c>
      <c r="O1760" s="119" t="s">
        <v>112</v>
      </c>
      <c r="P1760" s="119" t="s">
        <v>112</v>
      </c>
      <c r="Q1760" s="119" t="s">
        <v>112</v>
      </c>
      <c r="R1760" s="119" t="s">
        <v>112</v>
      </c>
      <c r="S1760" s="119" t="s">
        <v>112</v>
      </c>
      <c r="T1760" s="119" t="s">
        <v>112</v>
      </c>
      <c r="U1760" s="119" t="s">
        <v>112</v>
      </c>
      <c r="V1760" s="119" t="s">
        <v>112</v>
      </c>
      <c r="W1760" s="119" t="s">
        <v>112</v>
      </c>
      <c r="X1760" s="119" t="s">
        <v>112</v>
      </c>
      <c r="Y1760" s="119" t="s">
        <v>112</v>
      </c>
      <c r="Z1760" s="119" t="s">
        <v>112</v>
      </c>
      <c r="AA1760" s="119" t="s">
        <v>112</v>
      </c>
      <c r="AB1760" s="119" t="s">
        <v>112</v>
      </c>
      <c r="AC1760" s="119">
        <v>14.555978898007035</v>
      </c>
      <c r="AD1760" s="119">
        <v>14.555978898007035</v>
      </c>
      <c r="AE1760" s="119">
        <v>14.555978898007035</v>
      </c>
      <c r="AF1760" s="119">
        <v>14.555978898007035</v>
      </c>
      <c r="AG1760" s="119">
        <v>14.555978898007035</v>
      </c>
      <c r="AH1760" s="119">
        <v>14.555978898007035</v>
      </c>
      <c r="AI1760" s="119">
        <v>14.464534999980915</v>
      </c>
      <c r="AJ1760" s="119">
        <v>14.432949603169529</v>
      </c>
      <c r="AK1760" s="119">
        <v>14.390643610696523</v>
      </c>
      <c r="AL1760" s="119">
        <v>14.334130585145161</v>
      </c>
      <c r="AM1760" s="119">
        <v>14.258911779850626</v>
      </c>
      <c r="AN1760" s="119">
        <v>14.159278846695434</v>
      </c>
      <c r="AO1760" s="119">
        <v>14.028157907574114</v>
      </c>
      <c r="AP1760" s="119">
        <v>13.85707606751509</v>
      </c>
      <c r="AQ1760" s="119">
        <v>13.636385485311596</v>
      </c>
      <c r="AR1760" s="119">
        <v>13.355943712104221</v>
      </c>
      <c r="AS1760" s="119">
        <v>13.00649459499493</v>
      </c>
      <c r="AT1760" s="119">
        <v>12.581956807079772</v>
      </c>
      <c r="AU1760" s="119">
        <v>12.082598929680696</v>
      </c>
      <c r="AV1760" s="119">
        <v>11.518552882913196</v>
      </c>
      <c r="AW1760" s="119">
        <v>10.912328758305218</v>
      </c>
      <c r="AX1760" s="120">
        <v>10.298355070339978</v>
      </c>
    </row>
    <row r="1761" spans="1:50" x14ac:dyDescent="0.25">
      <c r="A1761" s="356"/>
      <c r="B1761" s="368"/>
      <c r="C1761" s="360"/>
      <c r="D1761" s="59" t="s">
        <v>20</v>
      </c>
      <c r="E1761" s="166" t="str">
        <f>A1759&amp;"/"&amp;B1759&amp;"/"&amp;C1759&amp;"/"&amp;D1761</f>
        <v>Fuel cells/Natural gas fuel cell power plant/Electricity only/XS</v>
      </c>
      <c r="F1761" s="79" t="str">
        <f>A1759</f>
        <v>Fuel cells</v>
      </c>
      <c r="G1761" s="79" t="str">
        <f>B1759</f>
        <v>Natural gas fuel cell power plant</v>
      </c>
      <c r="H1761" s="79" t="str">
        <f>C1759</f>
        <v>Electricity only</v>
      </c>
      <c r="I1761" s="167" t="str">
        <f t="shared" si="106"/>
        <v>XS</v>
      </c>
      <c r="J1761" s="125" t="s">
        <v>112</v>
      </c>
      <c r="K1761" s="125" t="s">
        <v>112</v>
      </c>
      <c r="L1761" s="125" t="s">
        <v>112</v>
      </c>
      <c r="M1761" s="125" t="s">
        <v>112</v>
      </c>
      <c r="N1761" s="125" t="s">
        <v>112</v>
      </c>
      <c r="O1761" s="125" t="s">
        <v>112</v>
      </c>
      <c r="P1761" s="125" t="s">
        <v>112</v>
      </c>
      <c r="Q1761" s="125" t="s">
        <v>112</v>
      </c>
      <c r="R1761" s="125" t="s">
        <v>112</v>
      </c>
      <c r="S1761" s="125" t="s">
        <v>112</v>
      </c>
      <c r="T1761" s="125" t="s">
        <v>112</v>
      </c>
      <c r="U1761" s="125" t="s">
        <v>112</v>
      </c>
      <c r="V1761" s="125" t="s">
        <v>112</v>
      </c>
      <c r="W1761" s="125" t="s">
        <v>112</v>
      </c>
      <c r="X1761" s="125" t="s">
        <v>112</v>
      </c>
      <c r="Y1761" s="125" t="s">
        <v>112</v>
      </c>
      <c r="Z1761" s="125">
        <v>15.283777842907389</v>
      </c>
      <c r="AA1761" s="125">
        <v>15.283777842907389</v>
      </c>
      <c r="AB1761" s="125">
        <v>15.283777842907389</v>
      </c>
      <c r="AC1761" s="125">
        <v>15.283777842907389</v>
      </c>
      <c r="AD1761" s="125">
        <v>15.283777842907389</v>
      </c>
      <c r="AE1761" s="125">
        <v>15.283777842907389</v>
      </c>
      <c r="AF1761" s="125">
        <v>15.283777842907389</v>
      </c>
      <c r="AG1761" s="125">
        <v>15.283777842907389</v>
      </c>
      <c r="AH1761" s="125">
        <v>15.283777842907389</v>
      </c>
      <c r="AI1761" s="125">
        <v>15.209255121474939</v>
      </c>
      <c r="AJ1761" s="125">
        <v>15.183482963191814</v>
      </c>
      <c r="AK1761" s="125">
        <v>15.148937765270974</v>
      </c>
      <c r="AL1761" s="125">
        <v>15.102745739163165</v>
      </c>
      <c r="AM1761" s="125">
        <v>15.04118173049744</v>
      </c>
      <c r="AN1761" s="125">
        <v>14.959488634304799</v>
      </c>
      <c r="AO1761" s="125">
        <v>14.851717243243744</v>
      </c>
      <c r="AP1761" s="125">
        <v>14.710645651832671</v>
      </c>
      <c r="AQ1761" s="125">
        <v>14.5278802804206</v>
      </c>
      <c r="AR1761" s="125">
        <v>14.294294832169431</v>
      </c>
      <c r="AS1761" s="125">
        <v>14.001011992116016</v>
      </c>
      <c r="AT1761" s="125">
        <v>13.64113070618783</v>
      </c>
      <c r="AU1761" s="125">
        <v>13.212267632356765</v>
      </c>
      <c r="AV1761" s="125">
        <v>12.719616664207592</v>
      </c>
      <c r="AW1761" s="125">
        <v>12.178614860243309</v>
      </c>
      <c r="AX1761" s="126">
        <v>11.615671160609613</v>
      </c>
    </row>
    <row r="1762" spans="1:50" x14ac:dyDescent="0.25">
      <c r="A1762" s="356"/>
      <c r="B1762" s="359" t="s">
        <v>33</v>
      </c>
      <c r="C1762" s="350" t="s">
        <v>6</v>
      </c>
      <c r="D1762" s="2" t="s">
        <v>8</v>
      </c>
      <c r="E1762" s="160" t="str">
        <f>A1759&amp;"/"&amp;B1762&amp;"/"&amp;C1762&amp;"/"&amp;D1762</f>
        <v>Fuel cells/Hydrogen fuel cell power plant/Electricity only/M</v>
      </c>
      <c r="F1762" s="76" t="str">
        <f>A1759</f>
        <v>Fuel cells</v>
      </c>
      <c r="G1762" s="76" t="str">
        <f>B1762</f>
        <v>Hydrogen fuel cell power plant</v>
      </c>
      <c r="H1762" s="76" t="str">
        <f>C1762</f>
        <v>Electricity only</v>
      </c>
      <c r="I1762" s="161" t="str">
        <f t="shared" si="106"/>
        <v>M</v>
      </c>
      <c r="J1762" s="119" t="s">
        <v>112</v>
      </c>
      <c r="K1762" s="119" t="s">
        <v>112</v>
      </c>
      <c r="L1762" s="119" t="s">
        <v>112</v>
      </c>
      <c r="M1762" s="119" t="s">
        <v>112</v>
      </c>
      <c r="N1762" s="119" t="s">
        <v>112</v>
      </c>
      <c r="O1762" s="119" t="s">
        <v>112</v>
      </c>
      <c r="P1762" s="119" t="s">
        <v>112</v>
      </c>
      <c r="Q1762" s="119" t="s">
        <v>112</v>
      </c>
      <c r="R1762" s="119" t="s">
        <v>112</v>
      </c>
      <c r="S1762" s="119" t="s">
        <v>112</v>
      </c>
      <c r="T1762" s="119" t="s">
        <v>112</v>
      </c>
      <c r="U1762" s="119" t="s">
        <v>112</v>
      </c>
      <c r="V1762" s="119" t="s">
        <v>112</v>
      </c>
      <c r="W1762" s="119" t="s">
        <v>112</v>
      </c>
      <c r="X1762" s="119" t="s">
        <v>112</v>
      </c>
      <c r="Y1762" s="119" t="s">
        <v>112</v>
      </c>
      <c r="Z1762" s="119" t="s">
        <v>112</v>
      </c>
      <c r="AA1762" s="119" t="s">
        <v>112</v>
      </c>
      <c r="AB1762" s="119" t="s">
        <v>112</v>
      </c>
      <c r="AC1762" s="119" t="s">
        <v>112</v>
      </c>
      <c r="AD1762" s="119" t="s">
        <v>112</v>
      </c>
      <c r="AE1762" s="119" t="s">
        <v>112</v>
      </c>
      <c r="AF1762" s="119" t="s">
        <v>112</v>
      </c>
      <c r="AG1762" s="119">
        <v>11.509378663540447</v>
      </c>
      <c r="AH1762" s="119">
        <v>11.509378663540447</v>
      </c>
      <c r="AI1762" s="119">
        <v>11.509378663540447</v>
      </c>
      <c r="AJ1762" s="119">
        <v>11.509378663540447</v>
      </c>
      <c r="AK1762" s="119">
        <v>11.509378663540447</v>
      </c>
      <c r="AL1762" s="119">
        <v>11.509378663540447</v>
      </c>
      <c r="AM1762" s="119">
        <v>11.509378663540447</v>
      </c>
      <c r="AN1762" s="119">
        <v>11.152345611463849</v>
      </c>
      <c r="AO1762" s="119">
        <v>11.035015215082755</v>
      </c>
      <c r="AP1762" s="119">
        <v>10.882452694237623</v>
      </c>
      <c r="AQ1762" s="119">
        <v>10.686555660611958</v>
      </c>
      <c r="AR1762" s="119">
        <v>10.439144952670512</v>
      </c>
      <c r="AS1762" s="119">
        <v>10.133361924651632</v>
      </c>
      <c r="AT1762" s="119">
        <v>9.7658630564270315</v>
      </c>
      <c r="AU1762" s="119">
        <v>9.3396862410248094</v>
      </c>
      <c r="AV1762" s="119">
        <v>8.8671192379792938</v>
      </c>
      <c r="AW1762" s="119">
        <v>8.3711812853417662</v>
      </c>
      <c r="AX1762" s="120">
        <v>7.8839243845252058</v>
      </c>
    </row>
    <row r="1763" spans="1:50" x14ac:dyDescent="0.25">
      <c r="A1763" s="356"/>
      <c r="B1763" s="359"/>
      <c r="C1763" s="350"/>
      <c r="D1763" s="2" t="s">
        <v>10</v>
      </c>
      <c r="E1763" s="160" t="str">
        <f>A1759&amp;"/"&amp;B1762&amp;"/"&amp;C1762&amp;"/"&amp;D1763</f>
        <v>Fuel cells/Hydrogen fuel cell power plant/Electricity only/S</v>
      </c>
      <c r="F1763" s="76" t="str">
        <f>A1759</f>
        <v>Fuel cells</v>
      </c>
      <c r="G1763" s="76" t="str">
        <f>B1762</f>
        <v>Hydrogen fuel cell power plant</v>
      </c>
      <c r="H1763" s="76" t="str">
        <f>C1762</f>
        <v>Electricity only</v>
      </c>
      <c r="I1763" s="161" t="str">
        <f t="shared" si="106"/>
        <v>S</v>
      </c>
      <c r="J1763" s="119" t="s">
        <v>112</v>
      </c>
      <c r="K1763" s="119" t="s">
        <v>112</v>
      </c>
      <c r="L1763" s="119" t="s">
        <v>112</v>
      </c>
      <c r="M1763" s="119" t="s">
        <v>112</v>
      </c>
      <c r="N1763" s="119" t="s">
        <v>112</v>
      </c>
      <c r="O1763" s="119" t="s">
        <v>112</v>
      </c>
      <c r="P1763" s="119" t="s">
        <v>112</v>
      </c>
      <c r="Q1763" s="119" t="s">
        <v>112</v>
      </c>
      <c r="R1763" s="119" t="s">
        <v>112</v>
      </c>
      <c r="S1763" s="119" t="s">
        <v>112</v>
      </c>
      <c r="T1763" s="119" t="s">
        <v>112</v>
      </c>
      <c r="U1763" s="119" t="s">
        <v>112</v>
      </c>
      <c r="V1763" s="119" t="s">
        <v>112</v>
      </c>
      <c r="W1763" s="119" t="s">
        <v>112</v>
      </c>
      <c r="X1763" s="119" t="s">
        <v>112</v>
      </c>
      <c r="Y1763" s="119" t="s">
        <v>112</v>
      </c>
      <c r="Z1763" s="119" t="s">
        <v>112</v>
      </c>
      <c r="AA1763" s="119" t="s">
        <v>112</v>
      </c>
      <c r="AB1763" s="119" t="s">
        <v>112</v>
      </c>
      <c r="AC1763" s="119" t="s">
        <v>112</v>
      </c>
      <c r="AD1763" s="119" t="s">
        <v>112</v>
      </c>
      <c r="AE1763" s="119">
        <v>12.08484759671747</v>
      </c>
      <c r="AF1763" s="119">
        <v>12.08484759671747</v>
      </c>
      <c r="AG1763" s="119">
        <v>12.08484759671747</v>
      </c>
      <c r="AH1763" s="119">
        <v>12.08484759671747</v>
      </c>
      <c r="AI1763" s="119">
        <v>12.08484759671747</v>
      </c>
      <c r="AJ1763" s="119">
        <v>12.08484759671747</v>
      </c>
      <c r="AK1763" s="119">
        <v>12.08484759671747</v>
      </c>
      <c r="AL1763" s="119">
        <v>12.08484759671747</v>
      </c>
      <c r="AM1763" s="119">
        <v>12.08484759671747</v>
      </c>
      <c r="AN1763" s="119">
        <v>11.828432873636352</v>
      </c>
      <c r="AO1763" s="119">
        <v>11.743218285355518</v>
      </c>
      <c r="AP1763" s="119">
        <v>11.631673306100252</v>
      </c>
      <c r="AQ1763" s="119">
        <v>11.487161151960475</v>
      </c>
      <c r="AR1763" s="119">
        <v>11.302465681250249</v>
      </c>
      <c r="AS1763" s="119">
        <v>11.070567621673129</v>
      </c>
      <c r="AT1763" s="119">
        <v>10.786010325822936</v>
      </c>
      <c r="AU1763" s="119">
        <v>10.446909290700699</v>
      </c>
      <c r="AV1763" s="119">
        <v>10.057371315885074</v>
      </c>
      <c r="AW1763" s="119">
        <v>9.6296024476342446</v>
      </c>
      <c r="AX1763" s="120">
        <v>9.1844841735052771</v>
      </c>
    </row>
    <row r="1764" spans="1:50" x14ac:dyDescent="0.25">
      <c r="A1764" s="357"/>
      <c r="B1764" s="362"/>
      <c r="C1764" s="354"/>
      <c r="D1764" s="4" t="s">
        <v>20</v>
      </c>
      <c r="E1764" s="160" t="str">
        <f>A1759&amp;"/"&amp;B1762&amp;"/"&amp;C1762&amp;"/"&amp;D1764</f>
        <v>Fuel cells/Hydrogen fuel cell power plant/Electricity only/XS</v>
      </c>
      <c r="F1764" s="76" t="str">
        <f>A1759</f>
        <v>Fuel cells</v>
      </c>
      <c r="G1764" s="76" t="str">
        <f>B1762</f>
        <v>Hydrogen fuel cell power plant</v>
      </c>
      <c r="H1764" s="76" t="str">
        <f>C1762</f>
        <v>Electricity only</v>
      </c>
      <c r="I1764" s="161" t="str">
        <f t="shared" si="106"/>
        <v>XS</v>
      </c>
      <c r="J1764" s="119" t="s">
        <v>112</v>
      </c>
      <c r="K1764" s="119" t="s">
        <v>112</v>
      </c>
      <c r="L1764" s="119" t="s">
        <v>112</v>
      </c>
      <c r="M1764" s="119" t="s">
        <v>112</v>
      </c>
      <c r="N1764" s="119" t="s">
        <v>112</v>
      </c>
      <c r="O1764" s="119" t="s">
        <v>112</v>
      </c>
      <c r="P1764" s="119" t="s">
        <v>112</v>
      </c>
      <c r="Q1764" s="119" t="s">
        <v>112</v>
      </c>
      <c r="R1764" s="119" t="s">
        <v>112</v>
      </c>
      <c r="S1764" s="119" t="s">
        <v>112</v>
      </c>
      <c r="T1764" s="119" t="s">
        <v>112</v>
      </c>
      <c r="U1764" s="119" t="s">
        <v>112</v>
      </c>
      <c r="V1764" s="119" t="s">
        <v>112</v>
      </c>
      <c r="W1764" s="119" t="s">
        <v>112</v>
      </c>
      <c r="X1764" s="119" t="s">
        <v>112</v>
      </c>
      <c r="Y1764" s="119" t="s">
        <v>112</v>
      </c>
      <c r="Z1764" s="119" t="s">
        <v>112</v>
      </c>
      <c r="AA1764" s="119" t="s">
        <v>112</v>
      </c>
      <c r="AB1764" s="119">
        <v>12.689089976553342</v>
      </c>
      <c r="AC1764" s="119">
        <v>12.689089976553342</v>
      </c>
      <c r="AD1764" s="119">
        <v>12.689089976553342</v>
      </c>
      <c r="AE1764" s="119">
        <v>12.689089976553342</v>
      </c>
      <c r="AF1764" s="119">
        <v>12.689089976553342</v>
      </c>
      <c r="AG1764" s="119">
        <v>12.689089976553342</v>
      </c>
      <c r="AH1764" s="119">
        <v>12.689089976553342</v>
      </c>
      <c r="AI1764" s="119">
        <v>12.689089976553342</v>
      </c>
      <c r="AJ1764" s="119">
        <v>12.689089976553342</v>
      </c>
      <c r="AK1764" s="119">
        <v>12.689089976553342</v>
      </c>
      <c r="AL1764" s="119">
        <v>12.689089976553342</v>
      </c>
      <c r="AM1764" s="119">
        <v>12.689089976553342</v>
      </c>
      <c r="AN1764" s="119">
        <v>12.453508949722567</v>
      </c>
      <c r="AO1764" s="119">
        <v>12.375218046739551</v>
      </c>
      <c r="AP1764" s="119">
        <v>12.272736097048773</v>
      </c>
      <c r="AQ1764" s="119">
        <v>12.139965555432854</v>
      </c>
      <c r="AR1764" s="119">
        <v>11.970276591717836</v>
      </c>
      <c r="AS1764" s="119">
        <v>11.757220249481357</v>
      </c>
      <c r="AT1764" s="119">
        <v>11.495783233918988</v>
      </c>
      <c r="AU1764" s="119">
        <v>11.184234157900436</v>
      </c>
      <c r="AV1764" s="119">
        <v>10.826346143538581</v>
      </c>
      <c r="AW1764" s="119">
        <v>10.43333349583313</v>
      </c>
      <c r="AX1764" s="120">
        <v>10.024381081477141</v>
      </c>
    </row>
    <row r="1765" spans="1:50" x14ac:dyDescent="0.25">
      <c r="A1765" s="355" t="s">
        <v>34</v>
      </c>
      <c r="B1765" s="358" t="s">
        <v>35</v>
      </c>
      <c r="C1765" s="353" t="s">
        <v>6</v>
      </c>
      <c r="D1765" s="3" t="s">
        <v>7</v>
      </c>
      <c r="E1765" s="162" t="str">
        <f>A1765&amp;"/"&amp;B1765&amp;"/"&amp;C1765&amp;"/"&amp;D1765</f>
        <v>Wind power plants/Onshore/Electricity only/L</v>
      </c>
      <c r="F1765" s="77" t="str">
        <f>A1765</f>
        <v>Wind power plants</v>
      </c>
      <c r="G1765" s="77" t="str">
        <f>B1765</f>
        <v>Onshore</v>
      </c>
      <c r="H1765" s="77" t="str">
        <f>C1765</f>
        <v>Electricity only</v>
      </c>
      <c r="I1765" s="163" t="str">
        <f t="shared" si="106"/>
        <v>L</v>
      </c>
      <c r="J1765" s="121">
        <v>0.56975381008206327</v>
      </c>
      <c r="K1765" s="121">
        <v>0.54206799531066818</v>
      </c>
      <c r="L1765" s="121">
        <v>0.52389917936694019</v>
      </c>
      <c r="M1765" s="121">
        <v>0.51221922626025795</v>
      </c>
      <c r="N1765" s="121">
        <v>0.50554466588511138</v>
      </c>
      <c r="O1765" s="121">
        <v>0.5005392731535756</v>
      </c>
      <c r="P1765" s="121">
        <v>0.49247796638956781</v>
      </c>
      <c r="Q1765" s="121">
        <v>0.4871877338256877</v>
      </c>
      <c r="R1765" s="121">
        <v>0.4837868700346219</v>
      </c>
      <c r="S1765" s="121">
        <v>0.48123622219132262</v>
      </c>
      <c r="T1765" s="121">
        <v>0.48038600624355615</v>
      </c>
      <c r="U1765" s="121">
        <v>0.47616433129437591</v>
      </c>
      <c r="V1765" s="121">
        <v>0.47186401676965617</v>
      </c>
      <c r="W1765" s="121">
        <v>0.46748934726705527</v>
      </c>
      <c r="X1765" s="121">
        <v>0.46304506339277107</v>
      </c>
      <c r="Y1765" s="121">
        <v>0.45853636002782461</v>
      </c>
      <c r="Z1765" s="121">
        <v>0.45396888043521377</v>
      </c>
      <c r="AA1765" s="121">
        <v>0.44934870592810067</v>
      </c>
      <c r="AB1765" s="121">
        <v>0.44468234086401204</v>
      </c>
      <c r="AC1765" s="121">
        <v>0.43997669278462703</v>
      </c>
      <c r="AD1765" s="121">
        <v>0.43523904758490495</v>
      </c>
      <c r="AE1765" s="121">
        <v>0.43047703966850964</v>
      </c>
      <c r="AF1765" s="121">
        <v>0.42569861712784046</v>
      </c>
      <c r="AG1765" s="121">
        <v>0.42091200207519081</v>
      </c>
      <c r="AH1765" s="121">
        <v>0.41612564634501142</v>
      </c>
      <c r="AI1765" s="121">
        <v>0.41134818288393898</v>
      </c>
      <c r="AJ1765" s="121">
        <v>0.40658837324285474</v>
      </c>
      <c r="AK1765" s="121">
        <v>0.40185505168116548</v>
      </c>
      <c r="AL1765" s="121">
        <v>0.39715706648495708</v>
      </c>
      <c r="AM1765" s="121">
        <v>0.39250321918475989</v>
      </c>
      <c r="AN1765" s="121">
        <v>0.38790220243247298</v>
      </c>
      <c r="AO1765" s="121">
        <v>0.38336253735771636</v>
      </c>
      <c r="AP1765" s="121">
        <v>0.37889251126896217</v>
      </c>
      <c r="AQ1765" s="121">
        <v>0.37450011659199728</v>
      </c>
      <c r="AR1765" s="121">
        <v>0.37019299194587751</v>
      </c>
      <c r="AS1765" s="121">
        <v>0.365978366243354</v>
      </c>
      <c r="AT1765" s="121">
        <v>0.36186300666828852</v>
      </c>
      <c r="AU1765" s="121">
        <v>0.35785317132702626</v>
      </c>
      <c r="AV1765" s="121">
        <v>0.35395456729500985</v>
      </c>
      <c r="AW1765" s="121">
        <v>0.35017231468577931</v>
      </c>
      <c r="AX1765" s="122">
        <v>0.34651091725928107</v>
      </c>
    </row>
    <row r="1766" spans="1:50" x14ac:dyDescent="0.25">
      <c r="A1766" s="356"/>
      <c r="B1766" s="359"/>
      <c r="C1766" s="350"/>
      <c r="D1766" s="2" t="s">
        <v>8</v>
      </c>
      <c r="E1766" s="160" t="str">
        <f>A1765&amp;"/"&amp;B1765&amp;"/"&amp;C1765&amp;"/"&amp;D1766</f>
        <v>Wind power plants/Onshore/Electricity only/M</v>
      </c>
      <c r="F1766" s="76" t="str">
        <f>A1765</f>
        <v>Wind power plants</v>
      </c>
      <c r="G1766" s="76" t="str">
        <f>B1765</f>
        <v>Onshore</v>
      </c>
      <c r="H1766" s="76" t="str">
        <f>C1765</f>
        <v>Electricity only</v>
      </c>
      <c r="I1766" s="161" t="str">
        <f t="shared" si="106"/>
        <v>M</v>
      </c>
      <c r="J1766" s="119">
        <v>0.59518441698980962</v>
      </c>
      <c r="K1766" s="119">
        <v>0.58055189827757236</v>
      </c>
      <c r="L1766" s="119">
        <v>0.57030901456398231</v>
      </c>
      <c r="M1766" s="119">
        <v>0.56284372933199567</v>
      </c>
      <c r="N1766" s="119">
        <v>0.55517210749391288</v>
      </c>
      <c r="O1766" s="119">
        <v>0.54423302371719728</v>
      </c>
      <c r="P1766" s="119">
        <v>0.53419597623468285</v>
      </c>
      <c r="Q1766" s="119">
        <v>0.52775553743340275</v>
      </c>
      <c r="R1766" s="119">
        <v>0.5210428003708697</v>
      </c>
      <c r="S1766" s="119">
        <v>0.51588396076323728</v>
      </c>
      <c r="T1766" s="119">
        <v>0.51077619877548242</v>
      </c>
      <c r="U1766" s="119">
        <v>0.50683325499767995</v>
      </c>
      <c r="V1766" s="119">
        <v>0.502785254584876</v>
      </c>
      <c r="W1766" s="119">
        <v>0.49863659040222702</v>
      </c>
      <c r="X1766" s="119">
        <v>0.49439241521776411</v>
      </c>
      <c r="Y1766" s="119">
        <v>0.49005865651565328</v>
      </c>
      <c r="Z1766" s="119">
        <v>0.48564202301157394</v>
      </c>
      <c r="AA1766" s="119">
        <v>0.48115000184645323</v>
      </c>
      <c r="AB1766" s="119">
        <v>0.47659084552009257</v>
      </c>
      <c r="AC1766" s="119">
        <v>0.47197354775120809</v>
      </c>
      <c r="AD1766" s="119">
        <v>0.46730780761672236</v>
      </c>
      <c r="AE1766" s="119">
        <v>0.46260398153087384</v>
      </c>
      <c r="AF1766" s="119">
        <v>0.45787302287208109</v>
      </c>
      <c r="AG1766" s="119">
        <v>0.45312640934864801</v>
      </c>
      <c r="AH1766" s="119">
        <v>0.44837605850720946</v>
      </c>
      <c r="AI1766" s="119">
        <v>0.4436342321219226</v>
      </c>
      <c r="AJ1766" s="119">
        <v>0.43891343054727228</v>
      </c>
      <c r="AK1766" s="119">
        <v>0.43422627846055767</v>
      </c>
      <c r="AL1766" s="119">
        <v>0.42958540374780962</v>
      </c>
      <c r="AM1766" s="119">
        <v>0.4250033115843545</v>
      </c>
      <c r="AN1766" s="119">
        <v>0.42049225601369994</v>
      </c>
      <c r="AO1766" s="119">
        <v>0.41606411152183703</v>
      </c>
      <c r="AP1766" s="119">
        <v>0.41173024722603774</v>
      </c>
      <c r="AQ1766" s="119">
        <v>0.4075014063379292</v>
      </c>
      <c r="AR1766" s="119">
        <v>0.40338759351350562</v>
      </c>
      <c r="AS1766" s="119">
        <v>0.39939797256524473</v>
      </c>
      <c r="AT1766" s="119">
        <v>0.39554077678544591</v>
      </c>
      <c r="AU1766" s="119">
        <v>0.39182323382164869</v>
      </c>
      <c r="AV1766" s="119">
        <v>0.38825150666523467</v>
      </c>
      <c r="AW1766" s="119">
        <v>0.38483065187765636</v>
      </c>
      <c r="AX1766" s="120">
        <v>0.38156459570290552</v>
      </c>
    </row>
    <row r="1767" spans="1:50" x14ac:dyDescent="0.25">
      <c r="A1767" s="356"/>
      <c r="B1767" s="359"/>
      <c r="C1767" s="350"/>
      <c r="D1767" s="2" t="s">
        <v>10</v>
      </c>
      <c r="E1767" s="160" t="str">
        <f>A1765&amp;"/"&amp;B1765&amp;"/"&amp;C1765&amp;"/"&amp;D1767</f>
        <v>Wind power plants/Onshore/Electricity only/S</v>
      </c>
      <c r="F1767" s="76" t="str">
        <f>A1765</f>
        <v>Wind power plants</v>
      </c>
      <c r="G1767" s="76" t="str">
        <f>B1765</f>
        <v>Onshore</v>
      </c>
      <c r="H1767" s="76" t="str">
        <f>C1765</f>
        <v>Electricity only</v>
      </c>
      <c r="I1767" s="161" t="str">
        <f t="shared" si="106"/>
        <v>S</v>
      </c>
      <c r="J1767" s="119">
        <v>0.59770105300245158</v>
      </c>
      <c r="K1767" s="119">
        <v>0.58836190294593227</v>
      </c>
      <c r="L1767" s="119">
        <v>0.58253653757022983</v>
      </c>
      <c r="M1767" s="119">
        <v>0.57676884907943549</v>
      </c>
      <c r="N1767" s="119">
        <v>0.57105826641528268</v>
      </c>
      <c r="O1767" s="119">
        <v>0.56540422417354719</v>
      </c>
      <c r="P1767" s="119">
        <v>0.55627916403276223</v>
      </c>
      <c r="Q1767" s="119">
        <v>0.54761035689901638</v>
      </c>
      <c r="R1767" s="119">
        <v>0.53951947024085367</v>
      </c>
      <c r="S1767" s="119">
        <v>0.53265697165614556</v>
      </c>
      <c r="T1767" s="119">
        <v>0.52738314025360933</v>
      </c>
      <c r="U1767" s="119">
        <v>0.52349414492995927</v>
      </c>
      <c r="V1767" s="119">
        <v>0.51946630998933085</v>
      </c>
      <c r="W1767" s="119">
        <v>0.51530363134239798</v>
      </c>
      <c r="X1767" s="119">
        <v>0.51101128811785257</v>
      </c>
      <c r="Y1767" s="119">
        <v>0.5065956986466319</v>
      </c>
      <c r="Z1767" s="119">
        <v>0.50206456240581443</v>
      </c>
      <c r="AA1767" s="119">
        <v>0.49742688502826282</v>
      </c>
      <c r="AB1767" s="119">
        <v>0.49269298355018148</v>
      </c>
      <c r="AC1767" s="119">
        <v>0.48787446925807476</v>
      </c>
      <c r="AD1767" s="119">
        <v>0.48298420582385898</v>
      </c>
      <c r="AE1767" s="119">
        <v>0.47803624089167907</v>
      </c>
      <c r="AF1767" s="119">
        <v>0.47304570990482075</v>
      </c>
      <c r="AG1767" s="119">
        <v>0.46802871172971927</v>
      </c>
      <c r="AH1767" s="119">
        <v>0.46300215652995297</v>
      </c>
      <c r="AI1767" s="119">
        <v>0.45798358733880423</v>
      </c>
      <c r="AJ1767" s="119">
        <v>0.45299097783592579</v>
      </c>
      <c r="AK1767" s="119">
        <v>0.44804250990330213</v>
      </c>
      <c r="AL1767" s="119">
        <v>0.44315633556144596</v>
      </c>
      <c r="AM1767" s="119">
        <v>0.43835032880720737</v>
      </c>
      <c r="AN1767" s="119">
        <v>0.43364183362757164</v>
      </c>
      <c r="AO1767" s="119">
        <v>0.42904741499137372</v>
      </c>
      <c r="AP1767" s="119">
        <v>0.42458261987419799</v>
      </c>
      <c r="AQ1767" s="119">
        <v>0.42026175531622467</v>
      </c>
      <c r="AR1767" s="119">
        <v>0.4160976901320475</v>
      </c>
      <c r="AS1767" s="119">
        <v>0.41210168619018445</v>
      </c>
      <c r="AT1767" s="119">
        <v>0.40828326418493699</v>
      </c>
      <c r="AU1767" s="119">
        <v>0.40465010758237663</v>
      </c>
      <c r="AV1767" s="119">
        <v>0.40120800700168896</v>
      </c>
      <c r="AW1767" s="119">
        <v>0.39796084577239854</v>
      </c>
      <c r="AX1767" s="120">
        <v>0.39491062587380549</v>
      </c>
    </row>
    <row r="1768" spans="1:50" x14ac:dyDescent="0.25">
      <c r="A1768" s="356"/>
      <c r="B1768" s="368"/>
      <c r="C1768" s="360"/>
      <c r="D1768" s="59" t="s">
        <v>20</v>
      </c>
      <c r="E1768" s="166" t="str">
        <f>A1765&amp;"/"&amp;B1765&amp;"/"&amp;C1765&amp;"/"&amp;D1768</f>
        <v>Wind power plants/Onshore/Electricity only/XS</v>
      </c>
      <c r="F1768" s="79" t="str">
        <f>A1765</f>
        <v>Wind power plants</v>
      </c>
      <c r="G1768" s="79" t="str">
        <f>B1765</f>
        <v>Onshore</v>
      </c>
      <c r="H1768" s="79" t="str">
        <f>C1765</f>
        <v>Electricity only</v>
      </c>
      <c r="I1768" s="167" t="str">
        <f t="shared" si="106"/>
        <v>XS</v>
      </c>
      <c r="J1768" s="125">
        <v>0.59805058578198511</v>
      </c>
      <c r="K1768" s="125">
        <v>0.59252024233164657</v>
      </c>
      <c r="L1768" s="125">
        <v>0.58781770072583983</v>
      </c>
      <c r="M1768" s="125">
        <v>0.58315248087880933</v>
      </c>
      <c r="N1768" s="125">
        <v>0.57852428658612021</v>
      </c>
      <c r="O1768" s="125">
        <v>0.5739328239941669</v>
      </c>
      <c r="P1768" s="125">
        <v>0.56949097592746156</v>
      </c>
      <c r="Q1768" s="125">
        <v>0.56385245141332818</v>
      </c>
      <c r="R1768" s="125">
        <v>0.55826975387458233</v>
      </c>
      <c r="S1768" s="125">
        <v>0.55274233056889355</v>
      </c>
      <c r="T1768" s="125">
        <v>0.54726963422662722</v>
      </c>
      <c r="U1768" s="125">
        <v>0.54447753501990404</v>
      </c>
      <c r="V1768" s="125">
        <v>0.54158575608817072</v>
      </c>
      <c r="W1768" s="125">
        <v>0.53859716629037291</v>
      </c>
      <c r="X1768" s="125">
        <v>0.53551548397531468</v>
      </c>
      <c r="Y1768" s="125">
        <v>0.53234531717546374</v>
      </c>
      <c r="Z1768" s="125">
        <v>0.52909219372051797</v>
      </c>
      <c r="AA1768" s="125">
        <v>0.52576257919304492</v>
      </c>
      <c r="AB1768" s="125">
        <v>0.52236388069596085</v>
      </c>
      <c r="AC1768" s="125">
        <v>0.51890443453752533</v>
      </c>
      <c r="AD1768" s="125">
        <v>0.5153934761744986</v>
      </c>
      <c r="AE1768" s="125">
        <v>0.51184109109498477</v>
      </c>
      <c r="AF1768" s="125">
        <v>0.50825814577108663</v>
      </c>
      <c r="AG1768" s="125">
        <v>0.50465619836332143</v>
      </c>
      <c r="AH1768" s="125">
        <v>0.50104738950195082</v>
      </c>
      <c r="AI1768" s="125">
        <v>0.49744431418522861</v>
      </c>
      <c r="AJ1768" s="125">
        <v>0.49385987659341835</v>
      </c>
      <c r="AK1768" s="125">
        <v>0.49030713038538093</v>
      </c>
      <c r="AL1768" s="125">
        <v>0.48679910778097135</v>
      </c>
      <c r="AM1768" s="125">
        <v>0.48334864139331291</v>
      </c>
      <c r="AN1768" s="125">
        <v>0.47996818331562563</v>
      </c>
      <c r="AO1768" s="125">
        <v>0.4766696263460477</v>
      </c>
      <c r="AP1768" s="125">
        <v>0.47346413241576768</v>
      </c>
      <c r="AQ1768" s="125">
        <v>0.4703619732459407</v>
      </c>
      <c r="AR1768" s="125">
        <v>0.46737238798550579</v>
      </c>
      <c r="AS1768" s="125">
        <v>0.46450346207852716</v>
      </c>
      <c r="AT1768" s="125">
        <v>0.46176203089527257</v>
      </c>
      <c r="AU1768" s="125">
        <v>0.45915361077035749</v>
      </c>
      <c r="AV1768" s="125">
        <v>0.4566823590714022</v>
      </c>
      <c r="AW1768" s="125">
        <v>0.45435106382986035</v>
      </c>
      <c r="AX1768" s="126">
        <v>0.45216116236420378</v>
      </c>
    </row>
    <row r="1769" spans="1:50" x14ac:dyDescent="0.25">
      <c r="A1769" s="356"/>
      <c r="B1769" s="359" t="s">
        <v>36</v>
      </c>
      <c r="C1769" s="361" t="s">
        <v>6</v>
      </c>
      <c r="D1769" s="2" t="s">
        <v>7</v>
      </c>
      <c r="E1769" s="160" t="str">
        <f>A1765&amp;"/"&amp;B1769&amp;"/"&amp;C1769&amp;"/"&amp;D1769</f>
        <v>Wind power plants/Offshore/Electricity only/L</v>
      </c>
      <c r="F1769" s="76" t="str">
        <f>A1765</f>
        <v>Wind power plants</v>
      </c>
      <c r="G1769" s="76" t="str">
        <f>B1769</f>
        <v>Offshore</v>
      </c>
      <c r="H1769" s="76" t="str">
        <f>C1769</f>
        <v>Electricity only</v>
      </c>
      <c r="I1769" s="161" t="str">
        <f t="shared" si="106"/>
        <v>L</v>
      </c>
      <c r="J1769" s="119">
        <v>1.4199296600234468</v>
      </c>
      <c r="K1769" s="119">
        <v>1.3951169353294257</v>
      </c>
      <c r="L1769" s="119">
        <v>1.3813038963657678</v>
      </c>
      <c r="M1769" s="119">
        <v>1.3676276201641269</v>
      </c>
      <c r="N1769" s="119">
        <v>1.3540867526377491</v>
      </c>
      <c r="O1769" s="119">
        <v>1.3406799531066824</v>
      </c>
      <c r="P1769" s="119">
        <v>1.3172416080217344</v>
      </c>
      <c r="Q1769" s="119">
        <v>1.3041996119027073</v>
      </c>
      <c r="R1769" s="119">
        <v>1.2912867444581262</v>
      </c>
      <c r="S1769" s="119">
        <v>1.2785017271862633</v>
      </c>
      <c r="T1769" s="119">
        <v>1.2658432942438254</v>
      </c>
      <c r="U1769" s="119">
        <v>1.2438608958072495</v>
      </c>
      <c r="V1769" s="119">
        <v>1.2209239654188913</v>
      </c>
      <c r="W1769" s="119">
        <v>1.1971856261094331</v>
      </c>
      <c r="X1769" s="119">
        <v>1.172826721423518</v>
      </c>
      <c r="Y1769" s="119">
        <v>1.1480515357875161</v>
      </c>
      <c r="Z1769" s="119">
        <v>1.123081850951678</v>
      </c>
      <c r="AA1769" s="119">
        <v>1.0981496366498291</v>
      </c>
      <c r="AB1769" s="119">
        <v>1.0734888401296014</v>
      </c>
      <c r="AC1769" s="119">
        <v>1.0493268608219337</v>
      </c>
      <c r="AD1769" s="119">
        <v>1.0258763499495451</v>
      </c>
      <c r="AE1769" s="119">
        <v>1.0033279485396605</v>
      </c>
      <c r="AF1769" s="119">
        <v>0.98184447408722297</v>
      </c>
      <c r="AG1769" s="119">
        <v>0.96155690335834221</v>
      </c>
      <c r="AH1769" s="119">
        <v>0.9425623041365947</v>
      </c>
      <c r="AI1769" s="119">
        <v>0.92492367343830229</v>
      </c>
      <c r="AJ1769" s="119">
        <v>0.90867147201937315</v>
      </c>
      <c r="AK1769" s="119">
        <v>0.8938065245194472</v>
      </c>
      <c r="AL1769" s="119">
        <v>0.88030388995565423</v>
      </c>
      <c r="AM1769" s="119">
        <v>0.86811729650295788</v>
      </c>
      <c r="AN1769" s="119">
        <v>0.85718376765356374</v>
      </c>
      <c r="AO1769" s="119">
        <v>0.847428129757825</v>
      </c>
      <c r="AP1769" s="119">
        <v>0.83876716876010537</v>
      </c>
      <c r="AQ1769" s="119">
        <v>0.831113283795059</v>
      </c>
      <c r="AR1769" s="119">
        <v>0.82437755780196686</v>
      </c>
      <c r="AS1769" s="119">
        <v>0.81847222486168603</v>
      </c>
      <c r="AT1769" s="119">
        <v>0.81331255835845084</v>
      </c>
      <c r="AU1769" s="119">
        <v>0.80881823364745131</v>
      </c>
      <c r="AV1769" s="119">
        <v>0.80491423558988373</v>
      </c>
      <c r="AW1769" s="119">
        <v>0.80153138778053723</v>
      </c>
      <c r="AX1769" s="120">
        <v>0.79860657935787438</v>
      </c>
    </row>
    <row r="1770" spans="1:50" x14ac:dyDescent="0.25">
      <c r="A1770" s="356"/>
      <c r="B1770" s="359"/>
      <c r="C1770" s="350"/>
      <c r="D1770" s="2" t="s">
        <v>8</v>
      </c>
      <c r="E1770" s="160" t="str">
        <f>A1765&amp;"/"&amp;B1769&amp;"/"&amp;C1769&amp;"/"&amp;D1770</f>
        <v>Wind power plants/Offshore/Electricity only/M</v>
      </c>
      <c r="F1770" s="76" t="str">
        <f>A1765</f>
        <v>Wind power plants</v>
      </c>
      <c r="G1770" s="76" t="str">
        <f>B1769</f>
        <v>Offshore</v>
      </c>
      <c r="H1770" s="76" t="str">
        <f>C1769</f>
        <v>Electricity only</v>
      </c>
      <c r="I1770" s="161" t="str">
        <f t="shared" si="106"/>
        <v>M</v>
      </c>
      <c r="J1770" s="119">
        <v>1.420014920601087</v>
      </c>
      <c r="K1770" s="119">
        <v>1.4053643839624854</v>
      </c>
      <c r="L1770" s="119">
        <v>1.3914498851113715</v>
      </c>
      <c r="M1770" s="119">
        <v>1.3776731535756155</v>
      </c>
      <c r="N1770" s="119">
        <v>1.3640328253223915</v>
      </c>
      <c r="O1770" s="119">
        <v>1.35052754982415</v>
      </c>
      <c r="P1770" s="119">
        <v>1.3279352004773783</v>
      </c>
      <c r="Q1770" s="119">
        <v>1.314787327205325</v>
      </c>
      <c r="R1770" s="119">
        <v>1.3017696308963613</v>
      </c>
      <c r="S1770" s="119">
        <v>1.2888808226696646</v>
      </c>
      <c r="T1770" s="119">
        <v>1.2761196264056087</v>
      </c>
      <c r="U1770" s="119">
        <v>1.2556027211981378</v>
      </c>
      <c r="V1770" s="119">
        <v>1.2341949195023365</v>
      </c>
      <c r="W1770" s="119">
        <v>1.2120391361468423</v>
      </c>
      <c r="X1770" s="119">
        <v>1.1893041584399884</v>
      </c>
      <c r="Y1770" s="119">
        <v>1.1661806518463866</v>
      </c>
      <c r="Z1770" s="119">
        <v>1.1428756126662711</v>
      </c>
      <c r="AA1770" s="119">
        <v>1.1196055459845453</v>
      </c>
      <c r="AB1770" s="119">
        <v>1.0965888025656663</v>
      </c>
      <c r="AC1770" s="119">
        <v>1.0740376218785095</v>
      </c>
      <c r="AD1770" s="119">
        <v>1.0521504783976137</v>
      </c>
      <c r="AE1770" s="119">
        <v>1.0311053037483877</v>
      </c>
      <c r="AF1770" s="119">
        <v>1.0110540609261132</v>
      </c>
      <c r="AG1770" s="119">
        <v>0.99211899491249089</v>
      </c>
      <c r="AH1770" s="119">
        <v>0.97439070230552649</v>
      </c>
      <c r="AI1770" s="119">
        <v>0.95792798032045379</v>
      </c>
      <c r="AJ1770" s="119">
        <v>0.94275925899611979</v>
      </c>
      <c r="AK1770" s="119">
        <v>0.92888530799618885</v>
      </c>
      <c r="AL1770" s="119">
        <v>0.91628284906998225</v>
      </c>
      <c r="AM1770" s="119">
        <v>0.90490869518079875</v>
      </c>
      <c r="AN1770" s="119">
        <v>0.8947040682546975</v>
      </c>
      <c r="AO1770" s="119">
        <v>0.88559880621867504</v>
      </c>
      <c r="AP1770" s="119">
        <v>0.87751524262080327</v>
      </c>
      <c r="AQ1770" s="119">
        <v>0.87037161665342655</v>
      </c>
      <c r="AR1770" s="119">
        <v>0.86408493905987394</v>
      </c>
      <c r="AS1770" s="119">
        <v>0.85857329498227841</v>
      </c>
      <c r="AT1770" s="119">
        <v>0.85375760624592556</v>
      </c>
      <c r="AU1770" s="119">
        <v>0.84956290318232597</v>
      </c>
      <c r="AV1770" s="119">
        <v>0.84591917166192954</v>
      </c>
      <c r="AW1770" s="119">
        <v>0.842761847039873</v>
      </c>
      <c r="AX1770" s="120">
        <v>0.84003202584538761</v>
      </c>
    </row>
    <row r="1771" spans="1:50" x14ac:dyDescent="0.25">
      <c r="A1771" s="356"/>
      <c r="B1771" s="359"/>
      <c r="C1771" s="350"/>
      <c r="D1771" s="2" t="s">
        <v>10</v>
      </c>
      <c r="E1771" s="160" t="str">
        <f>A1765&amp;"/"&amp;B1769&amp;"/"&amp;C1769&amp;"/"&amp;D1771</f>
        <v>Wind power plants/Offshore/Electricity only/S</v>
      </c>
      <c r="F1771" s="76" t="str">
        <f>A1765</f>
        <v>Wind power plants</v>
      </c>
      <c r="G1771" s="76" t="str">
        <f>B1769</f>
        <v>Offshore</v>
      </c>
      <c r="H1771" s="76" t="str">
        <f>C1769</f>
        <v>Electricity only</v>
      </c>
      <c r="I1771" s="161" t="str">
        <f t="shared" si="106"/>
        <v>S</v>
      </c>
      <c r="J1771" s="119">
        <v>1.420144664958366</v>
      </c>
      <c r="K1771" s="119">
        <v>1.414159483862119</v>
      </c>
      <c r="L1771" s="119">
        <v>1.4001579048139789</v>
      </c>
      <c r="M1771" s="119">
        <v>1.3862949552613655</v>
      </c>
      <c r="N1771" s="119">
        <v>1.3725692626350152</v>
      </c>
      <c r="O1771" s="119">
        <v>1.3589794679554605</v>
      </c>
      <c r="P1771" s="119">
        <v>1.3350642621144737</v>
      </c>
      <c r="Q1771" s="119">
        <v>1.321845804073736</v>
      </c>
      <c r="R1771" s="119">
        <v>1.3087582218551845</v>
      </c>
      <c r="S1771" s="119">
        <v>1.2958002196585985</v>
      </c>
      <c r="T1771" s="119">
        <v>1.2829705145134638</v>
      </c>
      <c r="U1771" s="119">
        <v>1.2634306047920634</v>
      </c>
      <c r="V1771" s="119">
        <v>1.2430422222246336</v>
      </c>
      <c r="W1771" s="119">
        <v>1.2219414761717819</v>
      </c>
      <c r="X1771" s="119">
        <v>1.2002891164509686</v>
      </c>
      <c r="Y1771" s="119">
        <v>1.178266729218967</v>
      </c>
      <c r="Z1771" s="119">
        <v>1.1560714538093331</v>
      </c>
      <c r="AA1771" s="119">
        <v>1.133909485541023</v>
      </c>
      <c r="AB1771" s="119">
        <v>1.1119887775230428</v>
      </c>
      <c r="AC1771" s="119">
        <v>1.0905114625828936</v>
      </c>
      <c r="AD1771" s="119">
        <v>1.0696665640296592</v>
      </c>
      <c r="AE1771" s="119">
        <v>1.0496235405542063</v>
      </c>
      <c r="AF1771" s="119">
        <v>1.0305271188187062</v>
      </c>
      <c r="AG1771" s="119">
        <v>1.0124937226152566</v>
      </c>
      <c r="AH1771" s="119">
        <v>0.99560963441814776</v>
      </c>
      <c r="AI1771" s="119">
        <v>0.97993085157522108</v>
      </c>
      <c r="AJ1771" s="119">
        <v>0.9654844503139508</v>
      </c>
      <c r="AK1771" s="119">
        <v>0.95227116364734998</v>
      </c>
      <c r="AL1771" s="119">
        <v>0.94026882181286742</v>
      </c>
      <c r="AM1771" s="119">
        <v>0.92943629429935948</v>
      </c>
      <c r="AN1771" s="119">
        <v>0.91971760198878683</v>
      </c>
      <c r="AO1771" s="119">
        <v>0.91104592385924144</v>
      </c>
      <c r="AP1771" s="119">
        <v>0.90334729186126839</v>
      </c>
      <c r="AQ1771" s="119">
        <v>0.89654383855900488</v>
      </c>
      <c r="AR1771" s="119">
        <v>0.89055652656514539</v>
      </c>
      <c r="AS1771" s="119">
        <v>0.88530734172934011</v>
      </c>
      <c r="AT1771" s="119">
        <v>0.88072097150424211</v>
      </c>
      <c r="AU1771" s="119">
        <v>0.87672601620557589</v>
      </c>
      <c r="AV1771" s="119">
        <v>0.87325579570996026</v>
      </c>
      <c r="AW1771" s="119">
        <v>0.87024881987943004</v>
      </c>
      <c r="AX1771" s="120">
        <v>0.86764899017039643</v>
      </c>
    </row>
    <row r="1772" spans="1:50" x14ac:dyDescent="0.25">
      <c r="A1772" s="357"/>
      <c r="B1772" s="362"/>
      <c r="C1772" s="354"/>
      <c r="D1772" s="4" t="s">
        <v>20</v>
      </c>
      <c r="E1772" s="168" t="str">
        <f>A1765&amp;"/"&amp;B1769&amp;"/"&amp;C1769&amp;"/"&amp;D1772</f>
        <v>Wind power plants/Offshore/Electricity only/XS</v>
      </c>
      <c r="F1772" s="80" t="str">
        <f>A1765</f>
        <v>Wind power plants</v>
      </c>
      <c r="G1772" s="80" t="str">
        <f>B1769</f>
        <v>Offshore</v>
      </c>
      <c r="H1772" s="80" t="str">
        <f>C1769</f>
        <v>Electricity only</v>
      </c>
      <c r="I1772" s="169" t="str">
        <f t="shared" si="106"/>
        <v>XS</v>
      </c>
      <c r="J1772" s="127">
        <v>1.4200828819310904</v>
      </c>
      <c r="K1772" s="127">
        <v>1.4200828819310904</v>
      </c>
      <c r="L1772" s="127">
        <v>1.4080511390473367</v>
      </c>
      <c r="M1772" s="127">
        <v>1.3941100386607297</v>
      </c>
      <c r="N1772" s="127">
        <v>1.3803069689710192</v>
      </c>
      <c r="O1772" s="127">
        <v>1.3666405633376428</v>
      </c>
      <c r="P1772" s="127">
        <v>1.3457578545701172</v>
      </c>
      <c r="Q1772" s="127">
        <v>1.3324335193763537</v>
      </c>
      <c r="R1772" s="127">
        <v>1.3192411082934197</v>
      </c>
      <c r="S1772" s="127">
        <v>1.306179315142</v>
      </c>
      <c r="T1772" s="127">
        <v>1.2932468466752474</v>
      </c>
      <c r="U1772" s="127">
        <v>1.2751724301829517</v>
      </c>
      <c r="V1772" s="127">
        <v>1.2563131763080793</v>
      </c>
      <c r="W1772" s="127">
        <v>1.2367949862091914</v>
      </c>
      <c r="X1772" s="127">
        <v>1.216766553467439</v>
      </c>
      <c r="Y1772" s="127">
        <v>1.1963958452778376</v>
      </c>
      <c r="Z1772" s="127">
        <v>1.1758652155239262</v>
      </c>
      <c r="AA1772" s="127">
        <v>1.1553653948757394</v>
      </c>
      <c r="AB1772" s="127">
        <v>1.1350887399591076</v>
      </c>
      <c r="AC1772" s="127">
        <v>1.1152222236394698</v>
      </c>
      <c r="AD1772" s="127">
        <v>1.0959406924777277</v>
      </c>
      <c r="AE1772" s="127">
        <v>1.0774008957629337</v>
      </c>
      <c r="AF1772" s="127">
        <v>1.0597367056575966</v>
      </c>
      <c r="AG1772" s="127">
        <v>1.0430558141694057</v>
      </c>
      <c r="AH1772" s="127">
        <v>1.0274380325870798</v>
      </c>
      <c r="AI1772" s="127">
        <v>1.0129351584573729</v>
      </c>
      <c r="AJ1772" s="127">
        <v>0.99957223729069777</v>
      </c>
      <c r="AK1772" s="127">
        <v>0.98734994712409208</v>
      </c>
      <c r="AL1772" s="127">
        <v>0.97624778092719544</v>
      </c>
      <c r="AM1772" s="127">
        <v>0.96622769297720068</v>
      </c>
      <c r="AN1772" s="127">
        <v>0.95723790258992114</v>
      </c>
      <c r="AO1772" s="127">
        <v>0.94921660032009159</v>
      </c>
      <c r="AP1772" s="127">
        <v>0.94209536572196662</v>
      </c>
      <c r="AQ1772" s="127">
        <v>0.93580217141737276</v>
      </c>
      <c r="AR1772" s="127">
        <v>0.93026390782305246</v>
      </c>
      <c r="AS1772" s="127">
        <v>0.92540841184993272</v>
      </c>
      <c r="AT1772" s="127">
        <v>0.92116601939171716</v>
      </c>
      <c r="AU1772" s="127">
        <v>0.91747068574045088</v>
      </c>
      <c r="AV1772" s="127">
        <v>0.91426073178200651</v>
      </c>
      <c r="AW1772" s="127">
        <v>0.91147927913876592</v>
      </c>
      <c r="AX1772" s="128">
        <v>0.90907443665790988</v>
      </c>
    </row>
    <row r="1773" spans="1:50" x14ac:dyDescent="0.25">
      <c r="A1773" s="355" t="s">
        <v>37</v>
      </c>
      <c r="B1773" s="358" t="s">
        <v>37</v>
      </c>
      <c r="C1773" s="353" t="s">
        <v>6</v>
      </c>
      <c r="D1773" s="3" t="s">
        <v>7</v>
      </c>
      <c r="E1773" s="162" t="str">
        <f>A1773&amp;"/"&amp;B1773&amp;"/"&amp;C1773&amp;"/"&amp;D1773</f>
        <v>Solar PV power plants/Solar PV power plants/Electricity only/L</v>
      </c>
      <c r="F1773" s="77" t="str">
        <f>A1773</f>
        <v>Solar PV power plants</v>
      </c>
      <c r="G1773" s="77" t="str">
        <f>B1773</f>
        <v>Solar PV power plants</v>
      </c>
      <c r="H1773" s="77" t="str">
        <f>C1773</f>
        <v>Electricity only</v>
      </c>
      <c r="I1773" s="163" t="str">
        <f t="shared" si="106"/>
        <v>L</v>
      </c>
      <c r="J1773" s="121">
        <v>0.16881594372801875</v>
      </c>
      <c r="K1773" s="121">
        <v>0.13309703057713831</v>
      </c>
      <c r="L1773" s="121">
        <v>0.11523757400169807</v>
      </c>
      <c r="M1773" s="121">
        <v>0.10630784571397794</v>
      </c>
      <c r="N1773" s="121">
        <v>9.7378117426257835E-2</v>
      </c>
      <c r="O1773" s="121">
        <v>9.6274294404514377E-2</v>
      </c>
      <c r="P1773" s="121">
        <v>8.8867522775571084E-2</v>
      </c>
      <c r="Q1773" s="121">
        <v>7.2997177548954337E-2</v>
      </c>
      <c r="R1773" s="121">
        <v>7.0472901263195775E-2</v>
      </c>
      <c r="S1773" s="121">
        <v>6.8075129156447728E-2</v>
      </c>
      <c r="T1773" s="121">
        <v>6.580504556413426E-2</v>
      </c>
      <c r="U1773" s="121">
        <v>6.3663173430937831E-2</v>
      </c>
      <c r="V1773" s="121">
        <v>6.1649370965755242E-2</v>
      </c>
      <c r="W1773" s="121">
        <v>5.9762836172532682E-2</v>
      </c>
      <c r="X1773" s="121">
        <v>5.8002119422569949E-2</v>
      </c>
      <c r="Y1773" s="121">
        <v>5.6365144074526689E-2</v>
      </c>
      <c r="Z1773" s="121">
        <v>5.4849234979103885E-2</v>
      </c>
      <c r="AA1773" s="121">
        <v>5.3451154530787713E-2</v>
      </c>
      <c r="AB1773" s="121">
        <v>5.2167145754335766E-2</v>
      </c>
      <c r="AC1773" s="121">
        <v>5.0992981744501682E-2</v>
      </c>
      <c r="AD1773" s="121">
        <v>4.9924020619738947E-2</v>
      </c>
      <c r="AE1773" s="121">
        <v>4.8955265010192428E-2</v>
      </c>
      <c r="AF1773" s="121">
        <v>4.8081424982811018E-2</v>
      </c>
      <c r="AG1773" s="121">
        <v>4.7296983216969971E-2</v>
      </c>
      <c r="AH1773" s="121">
        <v>4.6596261186817978E-2</v>
      </c>
      <c r="AI1773" s="121">
        <v>4.5973485084800751E-2</v>
      </c>
      <c r="AJ1773" s="121">
        <v>4.5422850236274549E-2</v>
      </c>
      <c r="AK1773" s="121">
        <v>4.4938582808132017E-2</v>
      </c>
      <c r="AL1773" s="121">
        <v>4.4514997703649944E-2</v>
      </c>
      <c r="AM1773" s="121">
        <v>4.4146551658463533E-2</v>
      </c>
      <c r="AN1773" s="121">
        <v>4.3827890704282176E-2</v>
      </c>
      <c r="AO1773" s="121">
        <v>4.3553891341941611E-2</v>
      </c>
      <c r="AP1773" s="121">
        <v>4.331969495680376E-2</v>
      </c>
      <c r="AQ1773" s="121">
        <v>4.3120735209774129E-2</v>
      </c>
      <c r="AR1773" s="121">
        <v>4.295275833835021E-2</v>
      </c>
      <c r="AS1773" s="121">
        <v>4.2811836496235642E-2</v>
      </c>
      <c r="AT1773" s="121">
        <v>4.2694374439725916E-2</v>
      </c>
      <c r="AU1773" s="121">
        <v>4.2597110027738444E-2</v>
      </c>
      <c r="AV1773" s="121">
        <v>4.2517109134684976E-2</v>
      </c>
      <c r="AW1773" s="121">
        <v>4.245175567750975E-2</v>
      </c>
      <c r="AX1773" s="122">
        <v>4.2398737527928568E-2</v>
      </c>
    </row>
    <row r="1774" spans="1:50" x14ac:dyDescent="0.25">
      <c r="A1774" s="356"/>
      <c r="B1774" s="359"/>
      <c r="C1774" s="350"/>
      <c r="D1774" s="2" t="s">
        <v>8</v>
      </c>
      <c r="E1774" s="160" t="str">
        <f>A1773&amp;"/"&amp;B1773&amp;"/"&amp;C1773&amp;"/"&amp;D1774</f>
        <v>Solar PV power plants/Solar PV power plants/Electricity only/M</v>
      </c>
      <c r="F1774" s="76" t="str">
        <f>A1773</f>
        <v>Solar PV power plants</v>
      </c>
      <c r="G1774" s="76" t="str">
        <f>B1773</f>
        <v>Solar PV power plants</v>
      </c>
      <c r="H1774" s="76" t="str">
        <f>C1773</f>
        <v>Electricity only</v>
      </c>
      <c r="I1774" s="161" t="str">
        <f t="shared" si="106"/>
        <v>M</v>
      </c>
      <c r="J1774" s="119">
        <v>0.16881594372801875</v>
      </c>
      <c r="K1774" s="119">
        <v>0.13666892189222635</v>
      </c>
      <c r="L1774" s="119">
        <v>0.11903624291627339</v>
      </c>
      <c r="M1774" s="119">
        <v>0.10938958802091746</v>
      </c>
      <c r="N1774" s="119">
        <v>9.8884393567193168E-2</v>
      </c>
      <c r="O1774" s="119">
        <v>9.6274294404514377E-2</v>
      </c>
      <c r="P1774" s="119">
        <v>8.9581803414917227E-2</v>
      </c>
      <c r="Q1774" s="119">
        <v>7.9608162127476123E-2</v>
      </c>
      <c r="R1774" s="119">
        <v>7.6541949435622758E-2</v>
      </c>
      <c r="S1774" s="119">
        <v>7.3629400081432941E-2</v>
      </c>
      <c r="T1774" s="119">
        <v>7.0871952665082477E-2</v>
      </c>
      <c r="U1774" s="119">
        <v>6.8270242402150488E-2</v>
      </c>
      <c r="V1774" s="119">
        <v>6.5824097060428161E-2</v>
      </c>
      <c r="W1774" s="119">
        <v>6.3532542463478142E-2</v>
      </c>
      <c r="X1774" s="119">
        <v>6.1393817762084302E-2</v>
      </c>
      <c r="Y1774" s="119">
        <v>5.9405400481163349E-2</v>
      </c>
      <c r="Z1774" s="119">
        <v>5.756404114411099E-2</v>
      </c>
      <c r="AA1774" s="119">
        <v>5.5865807064488099E-2</v>
      </c>
      <c r="AB1774" s="119">
        <v>5.4306134682736533E-2</v>
      </c>
      <c r="AC1774" s="119">
        <v>5.2879889620109088E-2</v>
      </c>
      <c r="AD1774" s="119">
        <v>5.158143343037374E-2</v>
      </c>
      <c r="AE1774" s="119">
        <v>5.040469585927105E-2</v>
      </c>
      <c r="AF1774" s="119">
        <v>4.9343251279007447E-2</v>
      </c>
      <c r="AG1774" s="119">
        <v>4.8390397856419867E-2</v>
      </c>
      <c r="AH1774" s="119">
        <v>4.7539237943998627E-2</v>
      </c>
      <c r="AI1774" s="119">
        <v>4.6782758156519909E-2</v>
      </c>
      <c r="AJ1774" s="119">
        <v>4.6113907614820822E-2</v>
      </c>
      <c r="AK1774" s="119">
        <v>4.5525672902638523E-2</v>
      </c>
      <c r="AL1774" s="119">
        <v>4.5011148390892104E-2</v>
      </c>
      <c r="AM1774" s="119">
        <v>4.4563600732821763E-2</v>
      </c>
      <c r="AN1774" s="119">
        <v>4.4176526517680781E-2</v>
      </c>
      <c r="AO1774" s="119">
        <v>4.3843702283222666E-2</v>
      </c>
      <c r="AP1774" s="119">
        <v>4.3559226319736744E-2</v>
      </c>
      <c r="AQ1774" s="119">
        <v>4.3317551941637965E-2</v>
      </c>
      <c r="AR1774" s="119">
        <v>4.3113512146943672E-2</v>
      </c>
      <c r="AS1774" s="119">
        <v>4.2942335820767001E-2</v>
      </c>
      <c r="AT1774" s="119">
        <v>4.2799655857201489E-2</v>
      </c>
      <c r="AU1774" s="119">
        <v>4.2681509766702513E-2</v>
      </c>
      <c r="AV1774" s="119">
        <v>4.2584333496805252E-2</v>
      </c>
      <c r="AW1774" s="119">
        <v>4.250494931806946E-2</v>
      </c>
      <c r="AX1774" s="120">
        <v>4.2440548711819841E-2</v>
      </c>
    </row>
    <row r="1775" spans="1:50" x14ac:dyDescent="0.25">
      <c r="A1775" s="356"/>
      <c r="B1775" s="359"/>
      <c r="C1775" s="350"/>
      <c r="D1775" s="2" t="s">
        <v>10</v>
      </c>
      <c r="E1775" s="160" t="str">
        <f>A1773&amp;"/"&amp;B1773&amp;"/"&amp;C1773&amp;"/"&amp;D1775</f>
        <v>Solar PV power plants/Solar PV power plants/Electricity only/S</v>
      </c>
      <c r="F1775" s="76" t="str">
        <f>A1773</f>
        <v>Solar PV power plants</v>
      </c>
      <c r="G1775" s="76" t="str">
        <f>B1773</f>
        <v>Solar PV power plants</v>
      </c>
      <c r="H1775" s="76" t="str">
        <f>C1773</f>
        <v>Electricity only</v>
      </c>
      <c r="I1775" s="161" t="str">
        <f t="shared" si="106"/>
        <v>S</v>
      </c>
      <c r="J1775" s="119">
        <v>0.16881594372801875</v>
      </c>
      <c r="K1775" s="119">
        <v>0.14081351834275527</v>
      </c>
      <c r="L1775" s="119">
        <v>0.11356931247561589</v>
      </c>
      <c r="M1775" s="119">
        <v>0.10061923328676894</v>
      </c>
      <c r="N1775" s="119">
        <v>8.8102137180366524E-2</v>
      </c>
      <c r="O1775" s="119">
        <v>8.6757554320653296E-2</v>
      </c>
      <c r="P1775" s="119">
        <v>7.471660961868494E-2</v>
      </c>
      <c r="Q1775" s="119">
        <v>7.2287816955603545E-2</v>
      </c>
      <c r="R1775" s="119">
        <v>7.012265826892243E-2</v>
      </c>
      <c r="S1775" s="119">
        <v>6.800858363754432E-2</v>
      </c>
      <c r="T1775" s="119">
        <v>6.5951297979778195E-2</v>
      </c>
      <c r="U1775" s="119">
        <v>6.3956240666671244E-2</v>
      </c>
      <c r="V1775" s="119">
        <v>6.2028520422391563E-2</v>
      </c>
      <c r="W1775" s="119">
        <v>6.017285165598308E-2</v>
      </c>
      <c r="X1775" s="119">
        <v>5.8393493629415691E-2</v>
      </c>
      <c r="Y1775" s="119">
        <v>5.6694193921273707E-2</v>
      </c>
      <c r="Z1775" s="119">
        <v>5.5078137657246139E-2</v>
      </c>
      <c r="AA1775" s="119">
        <v>5.3547903941815266E-2</v>
      </c>
      <c r="AB1775" s="119">
        <v>5.210543083569432E-2</v>
      </c>
      <c r="AC1775" s="119">
        <v>5.0751990078167726E-2</v>
      </c>
      <c r="AD1775" s="119">
        <v>4.9488172552525134E-2</v>
      </c>
      <c r="AE1775" s="119">
        <v>4.8313885239103252E-2</v>
      </c>
      <c r="AF1775" s="119">
        <v>4.7228360099984996E-2</v>
      </c>
      <c r="AG1775" s="119">
        <v>4.6230175001248555E-2</v>
      </c>
      <c r="AH1775" s="119">
        <v>4.5317286414895741E-2</v>
      </c>
      <c r="AI1775" s="119">
        <v>4.4487073267923699E-2</v>
      </c>
      <c r="AJ1775" s="119">
        <v>4.3736390937108127E-2</v>
      </c>
      <c r="AK1775" s="119">
        <v>4.3061634042722008E-2</v>
      </c>
      <c r="AL1775" s="119">
        <v>4.2458806390452714E-2</v>
      </c>
      <c r="AM1775" s="119">
        <v>4.1923596164913354E-2</v>
      </c>
      <c r="AN1775" s="119">
        <v>4.1451454304745207E-2</v>
      </c>
      <c r="AO1775" s="119">
        <v>4.1037673899273666E-2</v>
      </c>
      <c r="AP1775" s="119">
        <v>4.0677468446462729E-2</v>
      </c>
      <c r="AQ1775" s="119">
        <v>4.0366046902831604E-2</v>
      </c>
      <c r="AR1775" s="119">
        <v>4.0098683633920128E-2</v>
      </c>
      <c r="AS1775" s="119">
        <v>3.9870781629334162E-2</v>
      </c>
      <c r="AT1775" s="119">
        <v>3.9677927665076856E-2</v>
      </c>
      <c r="AU1775" s="119">
        <v>3.9515938459631479E-2</v>
      </c>
      <c r="AV1775" s="119">
        <v>3.9380897258400181E-2</v>
      </c>
      <c r="AW1775" s="119">
        <v>3.9269180671877381E-2</v>
      </c>
      <c r="AX1775" s="120">
        <v>3.9177475965176713E-2</v>
      </c>
    </row>
    <row r="1776" spans="1:50" x14ac:dyDescent="0.25">
      <c r="A1776" s="357"/>
      <c r="B1776" s="362"/>
      <c r="C1776" s="354"/>
      <c r="D1776" s="4" t="s">
        <v>20</v>
      </c>
      <c r="E1776" s="168" t="str">
        <f>A1773&amp;"/"&amp;B1773&amp;"/"&amp;C1773&amp;"/"&amp;D1776</f>
        <v>Solar PV power plants/Solar PV power plants/Electricity only/XS</v>
      </c>
      <c r="F1776" s="80" t="str">
        <f>A1773</f>
        <v>Solar PV power plants</v>
      </c>
      <c r="G1776" s="80" t="str">
        <f>B1773</f>
        <v>Solar PV power plants</v>
      </c>
      <c r="H1776" s="80" t="str">
        <f>C1773</f>
        <v>Electricity only</v>
      </c>
      <c r="I1776" s="169" t="str">
        <f t="shared" si="106"/>
        <v>XS</v>
      </c>
      <c r="J1776" s="127">
        <v>0.16881594372801878</v>
      </c>
      <c r="K1776" s="127">
        <v>0.14130641509792394</v>
      </c>
      <c r="L1776" s="127">
        <v>0.11388153117130637</v>
      </c>
      <c r="M1776" s="127">
        <v>0.10021479734787528</v>
      </c>
      <c r="N1776" s="127">
        <v>8.6417338244393987E-2</v>
      </c>
      <c r="O1776" s="127">
        <v>8.4171240250803997E-2</v>
      </c>
      <c r="P1776" s="127">
        <v>7.1921429669285553E-2</v>
      </c>
      <c r="Q1776" s="127">
        <v>6.9462577372899709E-2</v>
      </c>
      <c r="R1776" s="127">
        <v>6.7480235919347112E-2</v>
      </c>
      <c r="S1776" s="127">
        <v>6.5544665190298723E-2</v>
      </c>
      <c r="T1776" s="127">
        <v>6.3661088403859867E-2</v>
      </c>
      <c r="U1776" s="127">
        <v>6.1834485652609551E-2</v>
      </c>
      <c r="V1776" s="127">
        <v>6.0069534300731586E-2</v>
      </c>
      <c r="W1776" s="127">
        <v>5.8370550691658057E-2</v>
      </c>
      <c r="X1776" s="127">
        <v>5.6741434452523207E-2</v>
      </c>
      <c r="Y1776" s="127">
        <v>5.5185616731549009E-2</v>
      </c>
      <c r="Z1776" s="127">
        <v>5.3706013715307359E-2</v>
      </c>
      <c r="AA1776" s="127">
        <v>5.2304986739140406E-2</v>
      </c>
      <c r="AB1776" s="127">
        <v>5.0984310221761656E-2</v>
      </c>
      <c r="AC1776" s="127">
        <v>4.9745148521939439E-2</v>
      </c>
      <c r="AD1776" s="127">
        <v>4.8588042631170808E-2</v>
      </c>
      <c r="AE1776" s="127">
        <v>4.7512907383996217E-2</v>
      </c>
      <c r="AF1776" s="127">
        <v>4.6519039592510629E-2</v>
      </c>
      <c r="AG1776" s="127">
        <v>4.5605137202022625E-2</v>
      </c>
      <c r="AH1776" s="127">
        <v>4.476932923176425E-2</v>
      </c>
      <c r="AI1776" s="127">
        <v>4.4009215921524729E-2</v>
      </c>
      <c r="AJ1776" s="127">
        <v>4.3321918167332739E-2</v>
      </c>
      <c r="AK1776" s="127">
        <v>4.2704135013127829E-2</v>
      </c>
      <c r="AL1776" s="127">
        <v>4.2152207687065187E-2</v>
      </c>
      <c r="AM1776" s="127">
        <v>4.1662188445991351E-2</v>
      </c>
      <c r="AN1776" s="127">
        <v>4.1229912332870308E-2</v>
      </c>
      <c r="AO1776" s="127">
        <v>4.0851069869507324E-2</v>
      </c>
      <c r="AP1776" s="127">
        <v>4.0521278706718532E-2</v>
      </c>
      <c r="AQ1776" s="127">
        <v>4.023615233733651E-2</v>
      </c>
      <c r="AR1776" s="127">
        <v>3.9991364140341601E-2</v>
      </c>
      <c r="AS1776" s="127">
        <v>3.9782705258284784E-2</v>
      </c>
      <c r="AT1776" s="127">
        <v>3.9606135101935072E-2</v>
      </c>
      <c r="AU1776" s="127">
        <v>3.945782360912959E-2</v>
      </c>
      <c r="AV1776" s="127">
        <v>3.9334184740170447E-2</v>
      </c>
      <c r="AW1776" s="127">
        <v>3.9231901049891355E-2</v>
      </c>
      <c r="AX1776" s="128">
        <v>3.9147939517327077E-2</v>
      </c>
    </row>
    <row r="1777" spans="1:50" x14ac:dyDescent="0.25">
      <c r="A1777" s="355" t="s">
        <v>38</v>
      </c>
      <c r="B1777" s="358" t="s">
        <v>38</v>
      </c>
      <c r="C1777" s="353" t="s">
        <v>6</v>
      </c>
      <c r="D1777" s="3" t="s">
        <v>7</v>
      </c>
      <c r="E1777" s="162" t="str">
        <f>A1777&amp;"/"&amp;B1777&amp;"/"&amp;C1777&amp;"/"&amp;D1777</f>
        <v>Solar thermal power plants/Solar thermal power plants/Electricity only/L</v>
      </c>
      <c r="F1777" s="77" t="str">
        <f>A1777</f>
        <v>Solar thermal power plants</v>
      </c>
      <c r="G1777" s="77" t="str">
        <f>B1777</f>
        <v>Solar thermal power plants</v>
      </c>
      <c r="H1777" s="77" t="str">
        <f>C1777</f>
        <v>Electricity only</v>
      </c>
      <c r="I1777" s="163" t="str">
        <f t="shared" si="106"/>
        <v>L</v>
      </c>
      <c r="J1777" s="121">
        <v>1.5415592028135991</v>
      </c>
      <c r="K1777" s="121">
        <v>1.5411874153124525</v>
      </c>
      <c r="L1777" s="121">
        <v>1.5407338297407369</v>
      </c>
      <c r="M1777" s="121">
        <v>1.5401805885305759</v>
      </c>
      <c r="N1777" s="121">
        <v>1.5395060035810519</v>
      </c>
      <c r="O1777" s="121">
        <v>1.5386837678326291</v>
      </c>
      <c r="P1777" s="121">
        <v>1.5376820208809194</v>
      </c>
      <c r="Q1777" s="121">
        <v>1.5364622497778468</v>
      </c>
      <c r="R1777" s="121">
        <v>1.5349780081358484</v>
      </c>
      <c r="S1777" s="121">
        <v>1.5331734416961293</v>
      </c>
      <c r="T1777" s="121">
        <v>1.5309816183347384</v>
      </c>
      <c r="U1777" s="121">
        <v>1.5283226774034706</v>
      </c>
      <c r="V1777" s="121">
        <v>1.5251018404632672</v>
      </c>
      <c r="W1777" s="121">
        <v>1.5212073668334307</v>
      </c>
      <c r="X1777" s="121">
        <v>1.5165085976269512</v>
      </c>
      <c r="Y1777" s="121">
        <v>1.5108543159376406</v>
      </c>
      <c r="Z1777" s="121">
        <v>1.5040717624328723</v>
      </c>
      <c r="AA1777" s="121">
        <v>1.4959667852690266</v>
      </c>
      <c r="AB1777" s="121">
        <v>1.4863257641512981</v>
      </c>
      <c r="AC1777" s="121">
        <v>1.4749201104387424</v>
      </c>
      <c r="AD1777" s="121">
        <v>1.4615142675581483</v>
      </c>
      <c r="AE1777" s="121">
        <v>1.4458781494353432</v>
      </c>
      <c r="AF1777" s="121">
        <v>1.4278047587810281</v>
      </c>
      <c r="AG1777" s="121">
        <v>1.4071332001855121</v>
      </c>
      <c r="AH1777" s="121">
        <v>1.3837763359724828</v>
      </c>
      <c r="AI1777" s="121">
        <v>1.3577508961780895</v>
      </c>
      <c r="AJ1777" s="121">
        <v>1.3292060939067178</v>
      </c>
      <c r="AK1777" s="121">
        <v>1.298445125348338</v>
      </c>
      <c r="AL1777" s="121">
        <v>1.2659330375958573</v>
      </c>
      <c r="AM1777" s="121">
        <v>1.2322851291812167</v>
      </c>
      <c r="AN1777" s="121">
        <v>1.198232852241518</v>
      </c>
      <c r="AO1777" s="121">
        <v>1.1645689276458404</v>
      </c>
      <c r="AP1777" s="121">
        <v>1.1320788799031483</v>
      </c>
      <c r="AQ1777" s="121">
        <v>1.1014705120748203</v>
      </c>
      <c r="AR1777" s="121">
        <v>1.0733141242060136</v>
      </c>
      <c r="AS1777" s="121">
        <v>1.0480037840040159</v>
      </c>
      <c r="AT1777" s="121">
        <v>1.0257445463941333</v>
      </c>
      <c r="AU1777" s="121">
        <v>1.0065642519718552</v>
      </c>
      <c r="AV1777" s="121">
        <v>0.99034360417497513</v>
      </c>
      <c r="AW1777" s="121">
        <v>0.97685592949995981</v>
      </c>
      <c r="AX1777" s="122">
        <v>0.96580839881062563</v>
      </c>
    </row>
    <row r="1778" spans="1:50" x14ac:dyDescent="0.25">
      <c r="A1778" s="356"/>
      <c r="B1778" s="359"/>
      <c r="C1778" s="350"/>
      <c r="D1778" s="2" t="s">
        <v>8</v>
      </c>
      <c r="E1778" s="160" t="str">
        <f>A1777&amp;"/"&amp;B1777&amp;"/"&amp;C1777&amp;"/"&amp;D1778</f>
        <v>Solar thermal power plants/Solar thermal power plants/Electricity only/M</v>
      </c>
      <c r="F1778" s="76" t="str">
        <f>A1777</f>
        <v>Solar thermal power plants</v>
      </c>
      <c r="G1778" s="76" t="str">
        <f>B1777</f>
        <v>Solar thermal power plants</v>
      </c>
      <c r="H1778" s="76" t="str">
        <f>C1777</f>
        <v>Electricity only</v>
      </c>
      <c r="I1778" s="161" t="str">
        <f t="shared" si="106"/>
        <v>M</v>
      </c>
      <c r="J1778" s="119">
        <v>1.5415592028135991</v>
      </c>
      <c r="K1778" s="119">
        <v>1.5413012976738241</v>
      </c>
      <c r="L1778" s="119">
        <v>1.5409865841693291</v>
      </c>
      <c r="M1778" s="119">
        <v>1.5406026280072393</v>
      </c>
      <c r="N1778" s="119">
        <v>1.5401343118271777</v>
      </c>
      <c r="O1778" s="119">
        <v>1.5395632751200097</v>
      </c>
      <c r="P1778" s="119">
        <v>1.5388672464937299</v>
      </c>
      <c r="Q1778" s="119">
        <v>1.5380192522100058</v>
      </c>
      <c r="R1778" s="119">
        <v>1.5369866849435831</v>
      </c>
      <c r="S1778" s="119">
        <v>1.5357302183359334</v>
      </c>
      <c r="T1778" s="119">
        <v>1.5342025571148583</v>
      </c>
      <c r="U1778" s="119">
        <v>1.5323470207508934</v>
      </c>
      <c r="V1778" s="119">
        <v>1.5300959727836085</v>
      </c>
      <c r="W1778" s="119">
        <v>1.527369130695001</v>
      </c>
      <c r="X1778" s="119">
        <v>1.5240718258501695</v>
      </c>
      <c r="Y1778" s="119">
        <v>1.5200933334675906</v>
      </c>
      <c r="Z1778" s="119">
        <v>1.5153054628641611</v>
      </c>
      <c r="AA1778" s="119">
        <v>1.5095616915021626</v>
      </c>
      <c r="AB1778" s="119">
        <v>1.5026972429576166</v>
      </c>
      <c r="AC1778" s="119">
        <v>1.4945306429944361</v>
      </c>
      <c r="AD1778" s="119">
        <v>1.4848674225732741</v>
      </c>
      <c r="AE1778" s="119">
        <v>1.4735067376655353</v>
      </c>
      <c r="AF1778" s="119">
        <v>1.4602516856846752</v>
      </c>
      <c r="AG1778" s="119">
        <v>1.4449239343400602</v>
      </c>
      <c r="AH1778" s="119">
        <v>1.4273828412818037</v>
      </c>
      <c r="AI1778" s="119">
        <v>1.4075484444311968</v>
      </c>
      <c r="AJ1778" s="119">
        <v>1.3854265229590828</v>
      </c>
      <c r="AK1778" s="119">
        <v>1.3611324917563636</v>
      </c>
      <c r="AL1778" s="119">
        <v>1.3349095373283324</v>
      </c>
      <c r="AM1778" s="119">
        <v>1.3071356879038212</v>
      </c>
      <c r="AN1778" s="119">
        <v>1.2783150746299672</v>
      </c>
      <c r="AO1778" s="119">
        <v>1.2490509045489284</v>
      </c>
      <c r="AP1778" s="119">
        <v>1.2200014630001788</v>
      </c>
      <c r="AQ1778" s="119">
        <v>1.1918248392222666</v>
      </c>
      <c r="AR1778" s="119">
        <v>1.1651214997139328</v>
      </c>
      <c r="AS1778" s="119">
        <v>1.1403848858082615</v>
      </c>
      <c r="AT1778" s="119">
        <v>1.1179683176255033</v>
      </c>
      <c r="AU1778" s="119">
        <v>1.0980723157574841</v>
      </c>
      <c r="AV1778" s="119">
        <v>1.0807515848993721</v>
      </c>
      <c r="AW1778" s="119">
        <v>1.0659370141557527</v>
      </c>
      <c r="AX1778" s="120">
        <v>1.0534661407663044</v>
      </c>
    </row>
    <row r="1779" spans="1:50" x14ac:dyDescent="0.25">
      <c r="A1779" s="356"/>
      <c r="B1779" s="359"/>
      <c r="C1779" s="350"/>
      <c r="D1779" s="2" t="s">
        <v>10</v>
      </c>
      <c r="E1779" s="160" t="str">
        <f>A1777&amp;"/"&amp;B1777&amp;"/"&amp;C1777&amp;"/"&amp;D1779</f>
        <v>Solar thermal power plants/Solar thermal power plants/Electricity only/S</v>
      </c>
      <c r="F1779" s="76" t="str">
        <f>A1777</f>
        <v>Solar thermal power plants</v>
      </c>
      <c r="G1779" s="76" t="str">
        <f>B1777</f>
        <v>Solar thermal power plants</v>
      </c>
      <c r="H1779" s="76" t="str">
        <f>C1777</f>
        <v>Electricity only</v>
      </c>
      <c r="I1779" s="161" t="str">
        <f t="shared" si="106"/>
        <v>S</v>
      </c>
      <c r="J1779" s="119">
        <v>1.5415592028135991</v>
      </c>
      <c r="K1779" s="119">
        <v>1.5413741073192533</v>
      </c>
      <c r="L1779" s="119">
        <v>1.5411481955672943</v>
      </c>
      <c r="M1779" s="119">
        <v>1.5408725112924708</v>
      </c>
      <c r="N1779" s="119">
        <v>1.5405361546774223</v>
      </c>
      <c r="O1779" s="119">
        <v>1.5401258712256138</v>
      </c>
      <c r="P1779" s="119">
        <v>1.5396255588865488</v>
      </c>
      <c r="Q1779" s="119">
        <v>1.5390156797695933</v>
      </c>
      <c r="R1779" s="119">
        <v>1.5382725618364894</v>
      </c>
      <c r="S1779" s="119">
        <v>1.5373675757473679</v>
      </c>
      <c r="T1779" s="119">
        <v>1.5362661731106892</v>
      </c>
      <c r="U1779" s="119">
        <v>1.5349267755837506</v>
      </c>
      <c r="V1779" s="119">
        <v>1.533299510781692</v>
      </c>
      <c r="W1779" s="119">
        <v>1.5313248024449548</v>
      </c>
      <c r="X1779" s="119">
        <v>1.5289318410259849</v>
      </c>
      <c r="Y1779" s="119">
        <v>1.5260369896511714</v>
      </c>
      <c r="Z1779" s="119">
        <v>1.5225422227179859</v>
      </c>
      <c r="AA1779" s="119">
        <v>1.5183337538563542</v>
      </c>
      <c r="AB1779" s="119">
        <v>1.5132810897054916</v>
      </c>
      <c r="AC1779" s="119">
        <v>1.5072368468792987</v>
      </c>
      <c r="AD1779" s="119">
        <v>1.5000377877200104</v>
      </c>
      <c r="AE1779" s="119">
        <v>1.4915076531379197</v>
      </c>
      <c r="AF1779" s="119">
        <v>1.481462470871886</v>
      </c>
      <c r="AG1779" s="119">
        <v>1.4697190479428661</v>
      </c>
      <c r="AH1779" s="119">
        <v>1.456107247457181</v>
      </c>
      <c r="AI1779" s="119">
        <v>1.4404863158498433</v>
      </c>
      <c r="AJ1779" s="119">
        <v>1.4227648853386134</v>
      </c>
      <c r="AK1779" s="119">
        <v>1.4029232948417347</v>
      </c>
      <c r="AL1779" s="119">
        <v>1.3810356320349242</v>
      </c>
      <c r="AM1779" s="119">
        <v>1.3572876596375223</v>
      </c>
      <c r="AN1779" s="119">
        <v>1.3319860057966288</v>
      </c>
      <c r="AO1779" s="119">
        <v>1.3055542278899506</v>
      </c>
      <c r="AP1779" s="119">
        <v>1.2785130215583331</v>
      </c>
      <c r="AQ1779" s="119">
        <v>1.251444910924647</v>
      </c>
      <c r="AR1779" s="119">
        <v>1.2249475283723901</v>
      </c>
      <c r="AS1779" s="119">
        <v>1.1995828322505122</v>
      </c>
      <c r="AT1779" s="119">
        <v>1.1758310346842209</v>
      </c>
      <c r="AU1779" s="119">
        <v>1.1540569560343734</v>
      </c>
      <c r="AV1779" s="119">
        <v>1.1344933420066752</v>
      </c>
      <c r="AW1779" s="119">
        <v>1.1172415821295665</v>
      </c>
      <c r="AX1779" s="120">
        <v>1.1022866891205423</v>
      </c>
    </row>
    <row r="1780" spans="1:50" x14ac:dyDescent="0.25">
      <c r="A1780" s="357"/>
      <c r="B1780" s="362"/>
      <c r="C1780" s="354"/>
      <c r="D1780" s="4" t="s">
        <v>20</v>
      </c>
      <c r="E1780" s="168" t="str">
        <f>A1777&amp;"/"&amp;B1777&amp;"/"&amp;C1777&amp;"/"&amp;D1780</f>
        <v>Solar thermal power plants/Solar thermal power plants/Electricity only/XS</v>
      </c>
      <c r="F1780" s="80" t="str">
        <f>A1777</f>
        <v>Solar thermal power plants</v>
      </c>
      <c r="G1780" s="80" t="str">
        <f>B1777</f>
        <v>Solar thermal power plants</v>
      </c>
      <c r="H1780" s="80" t="str">
        <f>C1777</f>
        <v>Electricity only</v>
      </c>
      <c r="I1780" s="169" t="str">
        <f t="shared" si="106"/>
        <v>XS</v>
      </c>
      <c r="J1780" s="127">
        <v>1.5415592028135991</v>
      </c>
      <c r="K1780" s="127">
        <v>1.5414391145257034</v>
      </c>
      <c r="L1780" s="127">
        <v>1.5412925165997577</v>
      </c>
      <c r="M1780" s="127">
        <v>1.5411135781079712</v>
      </c>
      <c r="N1780" s="127">
        <v>1.540895195931909</v>
      </c>
      <c r="O1780" s="127">
        <v>1.5406287222708197</v>
      </c>
      <c r="P1780" s="127">
        <v>1.5403036362764799</v>
      </c>
      <c r="Q1780" s="127">
        <v>1.5399071495908161</v>
      </c>
      <c r="R1780" s="127">
        <v>1.5394237343182391</v>
      </c>
      <c r="S1780" s="127">
        <v>1.5388345609165421</v>
      </c>
      <c r="T1780" s="127">
        <v>1.538116832890416</v>
      </c>
      <c r="U1780" s="127">
        <v>1.5372430054120239</v>
      </c>
      <c r="V1780" s="127">
        <v>1.5361798766638466</v>
      </c>
      <c r="W1780" s="127">
        <v>1.5348875446629064</v>
      </c>
      <c r="X1780" s="127">
        <v>1.5333182298061432</v>
      </c>
      <c r="Y1780" s="127">
        <v>1.5314149760518967</v>
      </c>
      <c r="Z1780" s="127">
        <v>1.5291102637278291</v>
      </c>
      <c r="AA1780" s="127">
        <v>1.5263245971716499</v>
      </c>
      <c r="AB1780" s="127">
        <v>1.5229651738924646</v>
      </c>
      <c r="AC1780" s="127">
        <v>1.5189248017418358</v>
      </c>
      <c r="AD1780" s="127">
        <v>1.5140813087083003</v>
      </c>
      <c r="AE1780" s="127">
        <v>1.5082977855562567</v>
      </c>
      <c r="AF1780" s="127">
        <v>1.501424108041056</v>
      </c>
      <c r="AG1780" s="127">
        <v>1.4933002864337481</v>
      </c>
      <c r="AH1780" s="127">
        <v>1.4837622544989006</v>
      </c>
      <c r="AI1780" s="127">
        <v>1.4726506882069412</v>
      </c>
      <c r="AJ1780" s="127">
        <v>1.4598232685712096</v>
      </c>
      <c r="AK1780" s="127">
        <v>1.4451703979393953</v>
      </c>
      <c r="AL1780" s="127">
        <v>1.428633689780449</v>
      </c>
      <c r="AM1780" s="127">
        <v>1.4102255907594137</v>
      </c>
      <c r="AN1780" s="127">
        <v>1.390047398525966</v>
      </c>
      <c r="AO1780" s="127">
        <v>1.3683020125800052</v>
      </c>
      <c r="AP1780" s="127">
        <v>1.3452974406643303</v>
      </c>
      <c r="AQ1780" s="127">
        <v>1.3214378205169062</v>
      </c>
      <c r="AR1780" s="127">
        <v>1.2972007042462697</v>
      </c>
      <c r="AS1780" s="127">
        <v>1.2731023038342582</v>
      </c>
      <c r="AT1780" s="127">
        <v>1.2496554839853855</v>
      </c>
      <c r="AU1780" s="127">
        <v>1.2273274055618404</v>
      </c>
      <c r="AV1780" s="127">
        <v>1.2065039962458424</v>
      </c>
      <c r="AW1780" s="127">
        <v>1.1874666917779602</v>
      </c>
      <c r="AX1780" s="128">
        <v>1.1703838091184082</v>
      </c>
    </row>
    <row r="1781" spans="1:50" x14ac:dyDescent="0.25">
      <c r="A1781" s="355" t="s">
        <v>39</v>
      </c>
      <c r="B1781" s="358" t="s">
        <v>39</v>
      </c>
      <c r="C1781" s="353" t="s">
        <v>6</v>
      </c>
      <c r="D1781" s="3" t="s">
        <v>7</v>
      </c>
      <c r="E1781" s="162" t="str">
        <f>A1781&amp;"/"&amp;B1781&amp;"/"&amp;C1781&amp;"/"&amp;D1781</f>
        <v>Geothermal power plants/Geothermal power plants/Electricity only/L</v>
      </c>
      <c r="F1781" s="77" t="str">
        <f>A1781</f>
        <v>Geothermal power plants</v>
      </c>
      <c r="G1781" s="77" t="str">
        <f>B1781</f>
        <v>Geothermal power plants</v>
      </c>
      <c r="H1781" s="77" t="str">
        <f>C1781</f>
        <v>Electricity only</v>
      </c>
      <c r="I1781" s="163" t="str">
        <f t="shared" si="106"/>
        <v>L</v>
      </c>
      <c r="J1781" s="121">
        <v>32.53223915592028</v>
      </c>
      <c r="K1781" s="121">
        <v>32.508150807927294</v>
      </c>
      <c r="L1781" s="121">
        <v>32.480231278174692</v>
      </c>
      <c r="M1781" s="121">
        <v>32.447883725424603</v>
      </c>
      <c r="N1781" s="121">
        <v>32.410422651212592</v>
      </c>
      <c r="O1781" s="121">
        <v>32.367062229092674</v>
      </c>
      <c r="P1781" s="121">
        <v>32.316903627489346</v>
      </c>
      <c r="Q1781" s="121">
        <v>32.258921442361661</v>
      </c>
      <c r="R1781" s="121">
        <v>32.191949456455667</v>
      </c>
      <c r="S1781" s="121">
        <v>32.114666079106378</v>
      </c>
      <c r="T1781" s="121">
        <v>32.025580003275614</v>
      </c>
      <c r="U1781" s="121">
        <v>31.923016854286981</v>
      </c>
      <c r="V1781" s="121">
        <v>31.80510790667849</v>
      </c>
      <c r="W1781" s="121">
        <v>31.669782318767506</v>
      </c>
      <c r="X1781" s="121">
        <v>31.514764781065519</v>
      </c>
      <c r="Y1781" s="121">
        <v>31.337580987660431</v>
      </c>
      <c r="Z1781" s="121">
        <v>31.135573897149118</v>
      </c>
      <c r="AA1781" s="121">
        <v>30.9059343068391</v>
      </c>
      <c r="AB1781" s="121">
        <v>30.645749743632031</v>
      </c>
      <c r="AC1781" s="121">
        <v>30.352075957898034</v>
      </c>
      <c r="AD1781" s="121">
        <v>30.022035223186627</v>
      </c>
      <c r="AE1781" s="121">
        <v>29.652944973479077</v>
      </c>
      <c r="AF1781" s="121">
        <v>29.242478789440682</v>
      </c>
      <c r="AG1781" s="121">
        <v>28.788859107992387</v>
      </c>
      <c r="AH1781" s="121">
        <v>28.29107706647207</v>
      </c>
      <c r="AI1781" s="121">
        <v>27.749129555599954</v>
      </c>
      <c r="AJ1781" s="121">
        <v>27.164257091477367</v>
      </c>
      <c r="AK1781" s="121">
        <v>26.539159209983922</v>
      </c>
      <c r="AL1781" s="121">
        <v>25.878157955704896</v>
      </c>
      <c r="AM1781" s="121">
        <v>25.187276409488124</v>
      </c>
      <c r="AN1781" s="121">
        <v>24.474200075453275</v>
      </c>
      <c r="AO1781" s="121">
        <v>23.748096108273433</v>
      </c>
      <c r="AP1781" s="121">
        <v>23.019279644622248</v>
      </c>
      <c r="AQ1781" s="121">
        <v>22.298737065642186</v>
      </c>
      <c r="AR1781" s="121">
        <v>21.597539891031175</v>
      </c>
      <c r="AS1781" s="121">
        <v>20.926205315042651</v>
      </c>
      <c r="AT1781" s="121">
        <v>20.294074434893535</v>
      </c>
      <c r="AU1781" s="121">
        <v>19.708782205527754</v>
      </c>
      <c r="AV1781" s="121">
        <v>19.175882030665385</v>
      </c>
      <c r="AW1781" s="121">
        <v>18.698664427431336</v>
      </c>
      <c r="AX1781" s="122">
        <v>18.278178671651741</v>
      </c>
    </row>
    <row r="1782" spans="1:50" x14ac:dyDescent="0.25">
      <c r="A1782" s="356"/>
      <c r="B1782" s="359"/>
      <c r="C1782" s="350"/>
      <c r="D1782" s="2" t="s">
        <v>8</v>
      </c>
      <c r="E1782" s="160" t="str">
        <f>A1781&amp;"/"&amp;B1781&amp;"/"&amp;C1781&amp;"/"&amp;D1782</f>
        <v>Geothermal power plants/Geothermal power plants/Electricity only/M</v>
      </c>
      <c r="F1782" s="76" t="str">
        <f>A1781</f>
        <v>Geothermal power plants</v>
      </c>
      <c r="G1782" s="76" t="str">
        <f>B1781</f>
        <v>Geothermal power plants</v>
      </c>
      <c r="H1782" s="76" t="str">
        <f>C1781</f>
        <v>Electricity only</v>
      </c>
      <c r="I1782" s="161" t="str">
        <f t="shared" si="106"/>
        <v>M</v>
      </c>
      <c r="J1782" s="119">
        <v>34.158851113716295</v>
      </c>
      <c r="K1782" s="119">
        <v>34.128059956423904</v>
      </c>
      <c r="L1782" s="119">
        <v>34.092381914939992</v>
      </c>
      <c r="M1782" s="119">
        <v>34.051059278524058</v>
      </c>
      <c r="N1782" s="119">
        <v>34.003223035057474</v>
      </c>
      <c r="O1782" s="119">
        <v>33.947878665494436</v>
      </c>
      <c r="P1782" s="119">
        <v>33.883890886096857</v>
      </c>
      <c r="Q1782" s="119">
        <v>33.809967558040093</v>
      </c>
      <c r="R1782" s="119">
        <v>33.724643131235538</v>
      </c>
      <c r="S1782" s="119">
        <v>33.626262186647843</v>
      </c>
      <c r="T1782" s="119">
        <v>33.512963900065223</v>
      </c>
      <c r="U1782" s="119">
        <v>33.38266858127988</v>
      </c>
      <c r="V1782" s="119">
        <v>33.233067855312342</v>
      </c>
      <c r="W1782" s="119">
        <v>33.061620551462198</v>
      </c>
      <c r="X1782" s="119">
        <v>32.865556947412955</v>
      </c>
      <c r="Y1782" s="119">
        <v>32.641894659825013</v>
      </c>
      <c r="Z1782" s="119">
        <v>32.387470136262834</v>
      </c>
      <c r="AA1782" s="119">
        <v>32.098990307506121</v>
      </c>
      <c r="AB1782" s="119">
        <v>31.773109378912125</v>
      </c>
      <c r="AC1782" s="119">
        <v>31.406535791115715</v>
      </c>
      <c r="AD1782" s="119">
        <v>30.996173816960052</v>
      </c>
      <c r="AE1782" s="119">
        <v>30.539302779725908</v>
      </c>
      <c r="AF1782" s="119">
        <v>30.033794147791379</v>
      </c>
      <c r="AG1782" s="119">
        <v>29.478362491819794</v>
      </c>
      <c r="AH1782" s="119">
        <v>28.872840339681488</v>
      </c>
      <c r="AI1782" s="119">
        <v>28.218459491556015</v>
      </c>
      <c r="AJ1782" s="119">
        <v>27.51811300560847</v>
      </c>
      <c r="AK1782" s="119">
        <v>26.776564112218995</v>
      </c>
      <c r="AL1782" s="119">
        <v>26.000562716806719</v>
      </c>
      <c r="AM1782" s="119">
        <v>25.198829351450311</v>
      </c>
      <c r="AN1782" s="119">
        <v>24.381872857843661</v>
      </c>
      <c r="AO1782" s="119">
        <v>23.561623299863115</v>
      </c>
      <c r="AP1782" s="119">
        <v>22.750885340470187</v>
      </c>
      <c r="AQ1782" s="119">
        <v>21.962646680071245</v>
      </c>
      <c r="AR1782" s="119">
        <v>21.209305550467569</v>
      </c>
      <c r="AS1782" s="119">
        <v>20.501903413914008</v>
      </c>
      <c r="AT1782" s="119">
        <v>19.849457042624749</v>
      </c>
      <c r="AU1782" s="119">
        <v>19.258474071681466</v>
      </c>
      <c r="AV1782" s="119">
        <v>18.732708763402222</v>
      </c>
      <c r="AW1782" s="119">
        <v>18.273176017080704</v>
      </c>
      <c r="AX1782" s="120">
        <v>17.87840090273103</v>
      </c>
    </row>
    <row r="1783" spans="1:50" x14ac:dyDescent="0.25">
      <c r="A1783" s="357"/>
      <c r="B1783" s="362"/>
      <c r="C1783" s="354"/>
      <c r="D1783" s="4" t="s">
        <v>10</v>
      </c>
      <c r="E1783" s="168" t="str">
        <f>A1781&amp;"/"&amp;B1781&amp;"/"&amp;C1781&amp;"/"&amp;D1783</f>
        <v>Geothermal power plants/Geothermal power plants/Electricity only/S</v>
      </c>
      <c r="F1783" s="80" t="str">
        <f>A1781</f>
        <v>Geothermal power plants</v>
      </c>
      <c r="G1783" s="80" t="str">
        <f>B1781</f>
        <v>Geothermal power plants</v>
      </c>
      <c r="H1783" s="80" t="str">
        <f>C1781</f>
        <v>Electricity only</v>
      </c>
      <c r="I1783" s="169" t="str">
        <f t="shared" ref="I1783:I1797" si="107">D1783</f>
        <v>S</v>
      </c>
      <c r="J1783" s="127">
        <v>35.866793669402114</v>
      </c>
      <c r="K1783" s="127">
        <v>35.848307950614746</v>
      </c>
      <c r="L1783" s="127">
        <v>35.826861051988047</v>
      </c>
      <c r="M1783" s="127">
        <v>35.801984322733475</v>
      </c>
      <c r="N1783" s="127">
        <v>35.773136920420228</v>
      </c>
      <c r="O1783" s="127">
        <v>35.739695379897007</v>
      </c>
      <c r="P1783" s="127">
        <v>35.700941917735797</v>
      </c>
      <c r="Q1783" s="127">
        <v>35.656051407769922</v>
      </c>
      <c r="R1783" s="127">
        <v>35.604076997520288</v>
      </c>
      <c r="S1783" s="127">
        <v>35.543934388299832</v>
      </c>
      <c r="T1783" s="127">
        <v>35.474384879956418</v>
      </c>
      <c r="U1783" s="127">
        <v>35.394017392532149</v>
      </c>
      <c r="V1783" s="127">
        <v>35.301229831243887</v>
      </c>
      <c r="W1783" s="127">
        <v>35.194210369453309</v>
      </c>
      <c r="X1783" s="127">
        <v>35.070919499348761</v>
      </c>
      <c r="Y1783" s="127">
        <v>34.929074055069165</v>
      </c>
      <c r="Z1783" s="127">
        <v>34.766134860003405</v>
      </c>
      <c r="AA1783" s="127">
        <v>34.57930019713384</v>
      </c>
      <c r="AB1783" s="127">
        <v>34.365507948331057</v>
      </c>
      <c r="AC1783" s="127">
        <v>34.12144998023377</v>
      </c>
      <c r="AD1783" s="127">
        <v>33.843603131277554</v>
      </c>
      <c r="AE1783" s="127">
        <v>33.528281900779675</v>
      </c>
      <c r="AF1783" s="127">
        <v>33.171718530388212</v>
      </c>
      <c r="AG1783" s="127">
        <v>32.770176409257573</v>
      </c>
      <c r="AH1783" s="127">
        <v>32.320102360010196</v>
      </c>
      <c r="AI1783" s="127">
        <v>31.818322031006151</v>
      </c>
      <c r="AJ1783" s="127">
        <v>31.262279938006447</v>
      </c>
      <c r="AK1783" s="127">
        <v>30.650321279243428</v>
      </c>
      <c r="AL1783" s="127">
        <v>29.982006225065494</v>
      </c>
      <c r="AM1783" s="127">
        <v>29.258438977428192</v>
      </c>
      <c r="AN1783" s="127">
        <v>28.482584030858042</v>
      </c>
      <c r="AO1783" s="127">
        <v>27.659531994335751</v>
      </c>
      <c r="AP1783" s="127">
        <v>26.796669156684867</v>
      </c>
      <c r="AQ1783" s="127">
        <v>25.903701562348893</v>
      </c>
      <c r="AR1783" s="127">
        <v>24.992488877858257</v>
      </c>
      <c r="AS1783" s="127">
        <v>24.076658339813982</v>
      </c>
      <c r="AT1783" s="127">
        <v>23.170995309257826</v>
      </c>
      <c r="AU1783" s="127">
        <v>22.290642086634119</v>
      </c>
      <c r="AV1783" s="127">
        <v>21.450174707366592</v>
      </c>
      <c r="AW1783" s="127">
        <v>20.662659544782915</v>
      </c>
      <c r="AX1783" s="128">
        <v>19.93880809409163</v>
      </c>
    </row>
    <row r="1784" spans="1:50" x14ac:dyDescent="0.25">
      <c r="A1784" s="355" t="s">
        <v>40</v>
      </c>
      <c r="B1784" s="5" t="s">
        <v>41</v>
      </c>
      <c r="C1784" s="6" t="s">
        <v>6</v>
      </c>
      <c r="D1784" s="60" t="s">
        <v>8</v>
      </c>
      <c r="E1784" s="170" t="str">
        <f>A1784&amp;"/"&amp;B1784&amp;"/"&amp;C1784&amp;"/"&amp;D1784</f>
        <v>Tide, wave and ocean power plants/Tidal/Electricity only/M</v>
      </c>
      <c r="F1784" s="81" t="str">
        <f>A1784</f>
        <v>Tide, wave and ocean power plants</v>
      </c>
      <c r="G1784" s="81" t="str">
        <f>B1784</f>
        <v>Tidal</v>
      </c>
      <c r="H1784" s="81" t="str">
        <f>C1784</f>
        <v>Electricity only</v>
      </c>
      <c r="I1784" s="171" t="str">
        <f t="shared" si="107"/>
        <v>M</v>
      </c>
      <c r="J1784" s="129">
        <v>4.8534583821805386</v>
      </c>
      <c r="K1784" s="129">
        <v>4.8371163465389806</v>
      </c>
      <c r="L1784" s="129">
        <v>4.8191785074267912</v>
      </c>
      <c r="M1784" s="129">
        <v>4.7995029547394763</v>
      </c>
      <c r="N1784" s="129">
        <v>4.7779381600899384</v>
      </c>
      <c r="O1784" s="129">
        <v>4.7543229974283738</v>
      </c>
      <c r="P1784" s="129">
        <v>4.7284869484855978</v>
      </c>
      <c r="Q1784" s="129">
        <v>4.7002505387272526</v>
      </c>
      <c r="R1784" s="129">
        <v>4.6694260559908338</v>
      </c>
      <c r="S1784" s="129">
        <v>4.6358186104308574</v>
      </c>
      <c r="T1784" s="129">
        <v>4.5992276004277146</v>
      </c>
      <c r="U1784" s="129">
        <v>4.5594486541809465</v>
      </c>
      <c r="V1784" s="129">
        <v>4.5162761200845987</v>
      </c>
      <c r="W1784" s="129">
        <v>4.4695061797439619</v>
      </c>
      <c r="X1784" s="129">
        <v>4.4189406544867911</v>
      </c>
      <c r="Y1784" s="129">
        <v>4.3643915680716372</v>
      </c>
      <c r="Z1784" s="129">
        <v>4.3056865134215458</v>
      </c>
      <c r="AA1784" s="129">
        <v>4.2426748478941194</v>
      </c>
      <c r="AB1784" s="129">
        <v>4.1752347080957914</v>
      </c>
      <c r="AC1784" s="129">
        <v>4.1032807899759387</v>
      </c>
      <c r="AD1784" s="129">
        <v>4.0267727817415118</v>
      </c>
      <c r="AE1784" s="129">
        <v>3.9457242656488121</v>
      </c>
      <c r="AF1784" s="129">
        <v>3.8602118208261818</v>
      </c>
      <c r="AG1784" s="129">
        <v>3.7703839655767113</v>
      </c>
      <c r="AH1784" s="129">
        <v>3.6764694789933068</v>
      </c>
      <c r="AI1784" s="129">
        <v>3.5787845457982019</v>
      </c>
      <c r="AJ1784" s="129">
        <v>3.4777380856670024</v>
      </c>
      <c r="AK1784" s="129">
        <v>3.3738345723171608</v>
      </c>
      <c r="AL1784" s="129">
        <v>3.2676736338826631</v>
      </c>
      <c r="AM1784" s="129">
        <v>3.1599457708451149</v>
      </c>
      <c r="AN1784" s="129">
        <v>3.0514236458333386</v>
      </c>
      <c r="AO1784" s="129">
        <v>2.942948601226953</v>
      </c>
      <c r="AP1784" s="129">
        <v>2.8354123479937283</v>
      </c>
      <c r="AQ1784" s="129">
        <v>2.7297341333918856</v>
      </c>
      <c r="AR1784" s="129">
        <v>2.62683411285908</v>
      </c>
      <c r="AS1784" s="129">
        <v>2.527604084549</v>
      </c>
      <c r="AT1784" s="129">
        <v>2.4328771426986955</v>
      </c>
      <c r="AU1784" s="129">
        <v>2.3433981099733252</v>
      </c>
      <c r="AV1784" s="129">
        <v>2.259796761919044</v>
      </c>
      <c r="AW1784" s="129">
        <v>2.1825658133553167</v>
      </c>
      <c r="AX1784" s="130">
        <v>2.1120453745458212</v>
      </c>
    </row>
    <row r="1785" spans="1:50" x14ac:dyDescent="0.25">
      <c r="A1785" s="357"/>
      <c r="B1785" s="279" t="s">
        <v>42</v>
      </c>
      <c r="C1785" s="7" t="s">
        <v>6</v>
      </c>
      <c r="D1785" s="4" t="s">
        <v>8</v>
      </c>
      <c r="E1785" s="168" t="str">
        <f>A1784&amp;"/"&amp;B1785&amp;"/"&amp;C1785&amp;"/"&amp;D1785</f>
        <v>Tide, wave and ocean power plants/Wave/Electricity only/M</v>
      </c>
      <c r="F1785" s="80" t="str">
        <f>A1784</f>
        <v>Tide, wave and ocean power plants</v>
      </c>
      <c r="G1785" s="80" t="str">
        <f>B1785</f>
        <v>Wave</v>
      </c>
      <c r="H1785" s="80" t="str">
        <f>C1785</f>
        <v>Electricity only</v>
      </c>
      <c r="I1785" s="169" t="str">
        <f t="shared" si="107"/>
        <v>M</v>
      </c>
      <c r="J1785" s="127">
        <v>8.1538100820633073</v>
      </c>
      <c r="K1785" s="127">
        <v>8.1279410555318883</v>
      </c>
      <c r="L1785" s="127">
        <v>8.0995283833060832</v>
      </c>
      <c r="M1785" s="127">
        <v>8.0683420085944331</v>
      </c>
      <c r="N1785" s="127">
        <v>8.0341353904432022</v>
      </c>
      <c r="O1785" s="127">
        <v>7.9966452845429012</v>
      </c>
      <c r="P1785" s="127">
        <v>7.9555917740235707</v>
      </c>
      <c r="Q1785" s="127">
        <v>7.9106786175863801</v>
      </c>
      <c r="R1785" s="127">
        <v>7.861593992779742</v>
      </c>
      <c r="S1785" s="127">
        <v>7.8080117230063761</v>
      </c>
      <c r="T1785" s="127">
        <v>7.7495930874624568</v>
      </c>
      <c r="U1785" s="127">
        <v>7.6859893229731453</v>
      </c>
      <c r="V1785" s="127">
        <v>7.6168449346577205</v>
      </c>
      <c r="W1785" s="127">
        <v>7.5418019372924405</v>
      </c>
      <c r="X1785" s="127">
        <v>7.4605051495643524</v>
      </c>
      <c r="Y1785" s="127">
        <v>7.3726086571918632</v>
      </c>
      <c r="Z1785" s="127">
        <v>7.2777835458492559</v>
      </c>
      <c r="AA1785" s="127">
        <v>7.1757269783988624</v>
      </c>
      <c r="AB1785" s="127">
        <v>7.0661726503638862</v>
      </c>
      <c r="AC1785" s="127">
        <v>6.9489026001648373</v>
      </c>
      <c r="AD1785" s="127">
        <v>6.8237602740585137</v>
      </c>
      <c r="AE1785" s="127">
        <v>6.6906646484492898</v>
      </c>
      <c r="AF1785" s="127">
        <v>6.5496250941940115</v>
      </c>
      <c r="AG1785" s="127">
        <v>6.4007565307316163</v>
      </c>
      <c r="AH1785" s="127">
        <v>6.244294267287767</v>
      </c>
      <c r="AI1785" s="127">
        <v>6.0806077726558696</v>
      </c>
      <c r="AJ1785" s="127">
        <v>5.9102124670037783</v>
      </c>
      <c r="AK1785" s="127">
        <v>5.7337785060932944</v>
      </c>
      <c r="AL1785" s="127">
        <v>5.5521354514845278</v>
      </c>
      <c r="AM1785" s="127">
        <v>5.3662717135893834</v>
      </c>
      <c r="AN1785" s="127">
        <v>5.177327741832757</v>
      </c>
      <c r="AO1785" s="127">
        <v>4.986582138181693</v>
      </c>
      <c r="AP1785" s="127">
        <v>4.7954301993364998</v>
      </c>
      <c r="AQ1785" s="127">
        <v>4.605354848260661</v>
      </c>
      <c r="AR1785" s="127">
        <v>4.417890479108511</v>
      </c>
      <c r="AS1785" s="127">
        <v>4.2345808720909508</v>
      </c>
      <c r="AT1785" s="127">
        <v>4.0569329770709706</v>
      </c>
      <c r="AU1785" s="127">
        <v>3.8863689411624311</v>
      </c>
      <c r="AV1785" s="127">
        <v>3.7241791833279749</v>
      </c>
      <c r="AW1785" s="127">
        <v>3.5714795202004797</v>
      </c>
      <c r="AX1785" s="128">
        <v>3.4291752643930264</v>
      </c>
    </row>
    <row r="1786" spans="1:50" x14ac:dyDescent="0.25">
      <c r="A1786" s="355" t="s">
        <v>43</v>
      </c>
      <c r="B1786" s="358" t="s">
        <v>44</v>
      </c>
      <c r="C1786" s="353" t="s">
        <v>6</v>
      </c>
      <c r="D1786" s="3" t="s">
        <v>7</v>
      </c>
      <c r="E1786" s="162" t="str">
        <f>A1786&amp;"/"&amp;B1786&amp;"/"&amp;C1786&amp;"/"&amp;D1786</f>
        <v>Hydro plants/Run-of-river/Electricity only/L</v>
      </c>
      <c r="F1786" s="77" t="str">
        <f>A1786</f>
        <v>Hydro plants</v>
      </c>
      <c r="G1786" s="77" t="str">
        <f>B1786</f>
        <v>Run-of-river</v>
      </c>
      <c r="H1786" s="77" t="str">
        <f>C1786</f>
        <v>Electricity only</v>
      </c>
      <c r="I1786" s="163" t="str">
        <f t="shared" si="107"/>
        <v>L</v>
      </c>
      <c r="J1786" s="121">
        <v>0.80539273153575619</v>
      </c>
      <c r="K1786" s="121">
        <v>0.8050515178308999</v>
      </c>
      <c r="L1786" s="121">
        <v>0.80467693474242563</v>
      </c>
      <c r="M1786" s="121">
        <v>0.80426600118259917</v>
      </c>
      <c r="N1786" s="121">
        <v>0.80381552995387173</v>
      </c>
      <c r="O1786" s="121">
        <v>0.80332212672707504</v>
      </c>
      <c r="P1786" s="121">
        <v>0.80278219249429905</v>
      </c>
      <c r="Q1786" s="121">
        <v>0.80219193035483261</v>
      </c>
      <c r="R1786" s="121">
        <v>0.80154735760734286</v>
      </c>
      <c r="S1786" s="121">
        <v>0.80084432423276708</v>
      </c>
      <c r="T1786" s="121">
        <v>0.80007853895238812</v>
      </c>
      <c r="U1786" s="121">
        <v>0.7992456041238728</v>
      </c>
      <c r="V1786" s="121">
        <v>0.79834106078131273</v>
      </c>
      <c r="W1786" s="121">
        <v>0.79736044511690252</v>
      </c>
      <c r="X1786" s="121">
        <v>0.79629935762201265</v>
      </c>
      <c r="Y1786" s="121">
        <v>0.79515354593141918</v>
      </c>
      <c r="Z1786" s="121">
        <v>0.7939190021216177</v>
      </c>
      <c r="AA1786" s="121">
        <v>0.79259207477751337</v>
      </c>
      <c r="AB1786" s="121">
        <v>0.79116959553834376</v>
      </c>
      <c r="AC1786" s="121">
        <v>0.78964901904618701</v>
      </c>
      <c r="AD1786" s="121">
        <v>0.78802857424167716</v>
      </c>
      <c r="AE1786" s="121">
        <v>0.78630742379026397</v>
      </c>
      <c r="AF1786" s="121">
        <v>0.78448582710891646</v>
      </c>
      <c r="AG1786" s="121">
        <v>0.78256530105589883</v>
      </c>
      <c r="AH1786" s="121">
        <v>0.78054877093593011</v>
      </c>
      <c r="AI1786" s="121">
        <v>0.7784407031851035</v>
      </c>
      <c r="AJ1786" s="121">
        <v>0.77624721009202402</v>
      </c>
      <c r="AK1786" s="121">
        <v>0.77397611636508157</v>
      </c>
      <c r="AL1786" s="121">
        <v>0.77163697745969373</v>
      </c>
      <c r="AM1786" s="121">
        <v>0.76924104050687492</v>
      </c>
      <c r="AN1786" s="121">
        <v>0.76680114056247983</v>
      </c>
      <c r="AO1786" s="121">
        <v>0.76433152777209334</v>
      </c>
      <c r="AP1786" s="121">
        <v>0.76184762485594104</v>
      </c>
      <c r="AQ1786" s="121">
        <v>0.75936571886446358</v>
      </c>
      <c r="AR1786" s="121">
        <v>0.75690259610344812</v>
      </c>
      <c r="AS1786" s="121">
        <v>0.75447513402302224</v>
      </c>
      <c r="AT1786" s="121">
        <v>0.75209986817684549</v>
      </c>
      <c r="AU1786" s="121">
        <v>0.74979255554756086</v>
      </c>
      <c r="AV1786" s="121">
        <v>0.74756775713645873</v>
      </c>
      <c r="AW1786" s="121">
        <v>0.74543846241897549</v>
      </c>
      <c r="AX1786" s="122">
        <v>0.74341577598263442</v>
      </c>
    </row>
    <row r="1787" spans="1:50" x14ac:dyDescent="0.25">
      <c r="A1787" s="356"/>
      <c r="B1787" s="359"/>
      <c r="C1787" s="350"/>
      <c r="D1787" s="2" t="s">
        <v>8</v>
      </c>
      <c r="E1787" s="160" t="str">
        <f>A1786&amp;"/"&amp;B1786&amp;"/"&amp;C1786&amp;"/"&amp;D1787</f>
        <v>Hydro plants/Run-of-river/Electricity only/M</v>
      </c>
      <c r="F1787" s="76" t="str">
        <f>A1786</f>
        <v>Hydro plants</v>
      </c>
      <c r="G1787" s="76" t="str">
        <f>B1786</f>
        <v>Run-of-river</v>
      </c>
      <c r="H1787" s="76" t="str">
        <f>C1786</f>
        <v>Electricity only</v>
      </c>
      <c r="I1787" s="161" t="str">
        <f t="shared" si="107"/>
        <v>M</v>
      </c>
      <c r="J1787" s="119">
        <v>0.80539273153575619</v>
      </c>
      <c r="K1787" s="119">
        <v>0.80511218339616308</v>
      </c>
      <c r="L1787" s="119">
        <v>0.80480383160939228</v>
      </c>
      <c r="M1787" s="119">
        <v>0.80446511284542399</v>
      </c>
      <c r="N1787" s="119">
        <v>0.80409326869342856</v>
      </c>
      <c r="O1787" s="119">
        <v>0.80368533986326562</v>
      </c>
      <c r="P1787" s="119">
        <v>0.8032381624620466</v>
      </c>
      <c r="Q1787" s="119">
        <v>0.80274836697980168</v>
      </c>
      <c r="R1787" s="119">
        <v>0.80221238072442214</v>
      </c>
      <c r="S1787" s="119">
        <v>0.80162643455798166</v>
      </c>
      <c r="T1787" s="119">
        <v>0.8009865749004994</v>
      </c>
      <c r="U1787" s="119">
        <v>0.80028868207768578</v>
      </c>
      <c r="V1787" s="119">
        <v>0.79952849618848054</v>
      </c>
      <c r="W1787" s="119">
        <v>0.79870165174593422</v>
      </c>
      <c r="X1787" s="119">
        <v>0.79780372238791841</v>
      </c>
      <c r="Y1787" s="119">
        <v>0.7968302769458101</v>
      </c>
      <c r="Z1787" s="119">
        <v>0.79577694808001065</v>
      </c>
      <c r="AA1787" s="119">
        <v>0.79463951451841941</v>
      </c>
      <c r="AB1787" s="119">
        <v>0.79341399764330733</v>
      </c>
      <c r="AC1787" s="119">
        <v>0.7920967727385797</v>
      </c>
      <c r="AD1787" s="119">
        <v>0.79068469461040114</v>
      </c>
      <c r="AE1787" s="119">
        <v>0.78917523651240407</v>
      </c>
      <c r="AF1787" s="119">
        <v>0.78756664033513779</v>
      </c>
      <c r="AG1787" s="119">
        <v>0.78585807486660819</v>
      </c>
      <c r="AH1787" s="119">
        <v>0.78404979762693805</v>
      </c>
      <c r="AI1787" s="119">
        <v>0.78214331438318496</v>
      </c>
      <c r="AJ1787" s="119">
        <v>0.78014152905035761</v>
      </c>
      <c r="AK1787" s="119">
        <v>0.77804887540614764</v>
      </c>
      <c r="AL1787" s="119">
        <v>0.77587142104635221</v>
      </c>
      <c r="AM1787" s="119">
        <v>0.77361693346540783</v>
      </c>
      <c r="AN1787" s="119">
        <v>0.77129489824962616</v>
      </c>
      <c r="AO1787" s="119">
        <v>0.76891648029145243</v>
      </c>
      <c r="AP1787" s="119">
        <v>0.76649442079732855</v>
      </c>
      <c r="AQ1787" s="119">
        <v>0.76404286571634861</v>
      </c>
      <c r="AR1787" s="119">
        <v>0.76157712499842745</v>
      </c>
      <c r="AS1787" s="119">
        <v>0.7591133666037484</v>
      </c>
      <c r="AT1787" s="119">
        <v>0.75666825409730554</v>
      </c>
      <c r="AU1787" s="119">
        <v>0.75425854152199001</v>
      </c>
      <c r="AV1787" s="119">
        <v>0.75190064352415753</v>
      </c>
      <c r="AW1787" s="119">
        <v>0.74961020187202843</v>
      </c>
      <c r="AX1787" s="120">
        <v>0.7474016710974366</v>
      </c>
    </row>
    <row r="1788" spans="1:50" x14ac:dyDescent="0.25">
      <c r="A1788" s="356"/>
      <c r="B1788" s="359"/>
      <c r="C1788" s="350"/>
      <c r="D1788" s="2" t="s">
        <v>10</v>
      </c>
      <c r="E1788" s="160" t="str">
        <f>A1786&amp;"/"&amp;B1786&amp;"/"&amp;C1786&amp;"/"&amp;D1788</f>
        <v>Hydro plants/Run-of-river/Electricity only/S</v>
      </c>
      <c r="F1788" s="76" t="str">
        <f>A1786</f>
        <v>Hydro plants</v>
      </c>
      <c r="G1788" s="76" t="str">
        <f>B1786</f>
        <v>Run-of-river</v>
      </c>
      <c r="H1788" s="76" t="str">
        <f>C1786</f>
        <v>Electricity only</v>
      </c>
      <c r="I1788" s="161" t="str">
        <f t="shared" si="107"/>
        <v>S</v>
      </c>
      <c r="J1788" s="119">
        <v>0.80539273153575619</v>
      </c>
      <c r="K1788" s="119">
        <v>0.80516223700867229</v>
      </c>
      <c r="L1788" s="119">
        <v>0.8049086503284425</v>
      </c>
      <c r="M1788" s="119">
        <v>0.80462978842311494</v>
      </c>
      <c r="N1788" s="119">
        <v>0.80432328998439884</v>
      </c>
      <c r="O1788" s="119">
        <v>0.80398660708916592</v>
      </c>
      <c r="P1788" s="119">
        <v>0.80361699790601238</v>
      </c>
      <c r="Q1788" s="119">
        <v>0.80321152093160719</v>
      </c>
      <c r="R1788" s="119">
        <v>0.80276703128963633</v>
      </c>
      <c r="S1788" s="119">
        <v>0.80228017972256582</v>
      </c>
      <c r="T1788" s="119">
        <v>0.80174741501194902</v>
      </c>
      <c r="U1788" s="119">
        <v>0.80116499067425817</v>
      </c>
      <c r="V1788" s="119">
        <v>0.80052897689250058</v>
      </c>
      <c r="W1788" s="119">
        <v>0.79983527875368421</v>
      </c>
      <c r="X1788" s="119">
        <v>0.7990796619608791</v>
      </c>
      <c r="Y1788" s="119">
        <v>0.79825778726588981</v>
      </c>
      <c r="Z1788" s="119">
        <v>0.79736525491123256</v>
      </c>
      <c r="AA1788" s="119">
        <v>0.79639766036181825</v>
      </c>
      <c r="AB1788" s="119">
        <v>0.79535066252793785</v>
      </c>
      <c r="AC1788" s="119">
        <v>0.79422006550944113</v>
      </c>
      <c r="AD1788" s="119">
        <v>0.79300191460207692</v>
      </c>
      <c r="AE1788" s="119">
        <v>0.79169260687610221</v>
      </c>
      <c r="AF1788" s="119">
        <v>0.79028901604186552</v>
      </c>
      <c r="AG1788" s="119">
        <v>0.78878863054000514</v>
      </c>
      <c r="AH1788" s="119">
        <v>0.78718970282818512</v>
      </c>
      <c r="AI1788" s="119">
        <v>0.78549140669041062</v>
      </c>
      <c r="AJ1788" s="119">
        <v>0.78369399809897955</v>
      </c>
      <c r="AK1788" s="119">
        <v>0.78179897377053864</v>
      </c>
      <c r="AL1788" s="119">
        <v>0.77980922016611842</v>
      </c>
      <c r="AM1788" s="119">
        <v>0.77772914441419538</v>
      </c>
      <c r="AN1788" s="119">
        <v>0.77556477764128873</v>
      </c>
      <c r="AO1788" s="119">
        <v>0.77332384065531878</v>
      </c>
      <c r="AP1788" s="119">
        <v>0.7710157620294924</v>
      </c>
      <c r="AQ1788" s="119">
        <v>0.76865163954968085</v>
      </c>
      <c r="AR1788" s="119">
        <v>0.76624413784132039</v>
      </c>
      <c r="AS1788" s="119">
        <v>0.7638073178292939</v>
      </c>
      <c r="AT1788" s="119">
        <v>0.76135639744308092</v>
      </c>
      <c r="AU1788" s="119">
        <v>0.75890744746535821</v>
      </c>
      <c r="AV1788" s="119">
        <v>0.75647703130478239</v>
      </c>
      <c r="AW1788" s="119">
        <v>0.75408180230408894</v>
      </c>
      <c r="AX1788" s="120">
        <v>0.75173807644942126</v>
      </c>
    </row>
    <row r="1789" spans="1:50" x14ac:dyDescent="0.25">
      <c r="A1789" s="356"/>
      <c r="B1789" s="368"/>
      <c r="C1789" s="360"/>
      <c r="D1789" s="59" t="s">
        <v>20</v>
      </c>
      <c r="E1789" s="166" t="str">
        <f>A1786&amp;"/"&amp;B1786&amp;"/"&amp;C1786&amp;"/"&amp;D1789</f>
        <v>Hydro plants/Run-of-river/Electricity only/XS</v>
      </c>
      <c r="F1789" s="79" t="str">
        <f>A1786</f>
        <v>Hydro plants</v>
      </c>
      <c r="G1789" s="79" t="str">
        <f>B1786</f>
        <v>Run-of-river</v>
      </c>
      <c r="H1789" s="79" t="str">
        <f>C1786</f>
        <v>Electricity only</v>
      </c>
      <c r="I1789" s="167" t="str">
        <f t="shared" si="107"/>
        <v>XS</v>
      </c>
      <c r="J1789" s="125">
        <v>0.8053927315357563</v>
      </c>
      <c r="K1789" s="125">
        <v>0.80520347815008231</v>
      </c>
      <c r="L1789" s="125">
        <v>0.80499509576656159</v>
      </c>
      <c r="M1789" s="125">
        <v>0.8047657392292431</v>
      </c>
      <c r="N1789" s="125">
        <v>0.80451340454857456</v>
      </c>
      <c r="O1789" s="125">
        <v>0.80423591943079287</v>
      </c>
      <c r="P1789" s="125">
        <v>0.80393093422577833</v>
      </c>
      <c r="Q1789" s="125">
        <v>0.80359591358992255</v>
      </c>
      <c r="R1789" s="125">
        <v>0.80322812922869846</v>
      </c>
      <c r="S1789" s="125">
        <v>0.80282465416146587</v>
      </c>
      <c r="T1789" s="125">
        <v>0.80238235903868771</v>
      </c>
      <c r="U1789" s="125">
        <v>0.80189791113867026</v>
      </c>
      <c r="V1789" s="125">
        <v>0.80136777677592208</v>
      </c>
      <c r="W1789" s="125">
        <v>0.80078822796392779</v>
      </c>
      <c r="X1789" s="125">
        <v>0.80015535428785312</v>
      </c>
      <c r="Y1789" s="125">
        <v>0.799465081051972</v>
      </c>
      <c r="Z1789" s="125">
        <v>0.79871319486478121</v>
      </c>
      <c r="AA1789" s="125">
        <v>0.79789537790167508</v>
      </c>
      <c r="AB1789" s="125">
        <v>0.79700725212750323</v>
      </c>
      <c r="AC1789" s="125">
        <v>0.7960444347530975</v>
      </c>
      <c r="AD1789" s="125">
        <v>0.79500260612143014</v>
      </c>
      <c r="AE1789" s="125">
        <v>0.79387759104820677</v>
      </c>
      <c r="AF1789" s="125">
        <v>0.7926654543542081</v>
      </c>
      <c r="AG1789" s="125">
        <v>0.79136261089795357</v>
      </c>
      <c r="AH1789" s="125">
        <v>0.78996594982480295</v>
      </c>
      <c r="AI1789" s="125">
        <v>0.78847297197538047</v>
      </c>
      <c r="AJ1789" s="125">
        <v>0.78688193843525689</v>
      </c>
      <c r="AK1789" s="125">
        <v>0.78519202706760294</v>
      </c>
      <c r="AL1789" s="125">
        <v>0.78340349258093867</v>
      </c>
      <c r="AM1789" s="125">
        <v>0.78151782430237215</v>
      </c>
      <c r="AN1789" s="125">
        <v>0.7795378944419965</v>
      </c>
      <c r="AO1789" s="125">
        <v>0.77746808836956294</v>
      </c>
      <c r="AP1789" s="125">
        <v>0.7753144074349172</v>
      </c>
      <c r="AQ1789" s="125">
        <v>0.77308453432706847</v>
      </c>
      <c r="AR1789" s="125">
        <v>0.77078785106879122</v>
      </c>
      <c r="AS1789" s="125">
        <v>0.76843540065434524</v>
      </c>
      <c r="AT1789" s="125">
        <v>0.76603978518180682</v>
      </c>
      <c r="AU1789" s="125">
        <v>0.76361499615493744</v>
      </c>
      <c r="AV1789" s="125">
        <v>0.76117617636977086</v>
      </c>
      <c r="AW1789" s="125">
        <v>0.75873931726486077</v>
      </c>
      <c r="AX1789" s="126">
        <v>0.75632090047256362</v>
      </c>
    </row>
    <row r="1790" spans="1:50" x14ac:dyDescent="0.25">
      <c r="A1790" s="356"/>
      <c r="B1790" s="359" t="s">
        <v>45</v>
      </c>
      <c r="C1790" s="350" t="s">
        <v>6</v>
      </c>
      <c r="D1790" s="2" t="s">
        <v>7</v>
      </c>
      <c r="E1790" s="160" t="str">
        <f>A1786&amp;"/"&amp;B1790&amp;"/"&amp;C1790&amp;"/"&amp;D1790</f>
        <v>Hydro plants/Reservoirs (dams)/Electricity only/L</v>
      </c>
      <c r="F1790" s="76" t="str">
        <f>A1786</f>
        <v>Hydro plants</v>
      </c>
      <c r="G1790" s="76" t="str">
        <f>B1790</f>
        <v>Reservoirs (dams)</v>
      </c>
      <c r="H1790" s="76" t="str">
        <f>C1790</f>
        <v>Electricity only</v>
      </c>
      <c r="I1790" s="161" t="str">
        <f t="shared" si="107"/>
        <v>L</v>
      </c>
      <c r="J1790" s="119">
        <v>0.87250879249706914</v>
      </c>
      <c r="K1790" s="119">
        <v>0.87249647464580871</v>
      </c>
      <c r="L1790" s="119">
        <v>0.87248352895682546</v>
      </c>
      <c r="M1790" s="119">
        <v>0.87246992362878428</v>
      </c>
      <c r="N1790" s="119">
        <v>0.87245562527043841</v>
      </c>
      <c r="O1790" s="119">
        <v>0.87244059882333436</v>
      </c>
      <c r="P1790" s="119">
        <v>0.87242480748098972</v>
      </c>
      <c r="Q1790" s="119">
        <v>0.87240821260440826</v>
      </c>
      <c r="R1790" s="119">
        <v>0.87239077363379303</v>
      </c>
      <c r="S1790" s="119">
        <v>0.87237244799631886</v>
      </c>
      <c r="T1790" s="119">
        <v>0.87235319100981878</v>
      </c>
      <c r="U1790" s="119">
        <v>0.87233295578224335</v>
      </c>
      <c r="V1790" s="119">
        <v>0.87231169310674572</v>
      </c>
      <c r="W1790" s="119">
        <v>0.87228935135224883</v>
      </c>
      <c r="X1790" s="119">
        <v>0.87226587634935193</v>
      </c>
      <c r="Y1790" s="119">
        <v>0.87224121127142795</v>
      </c>
      <c r="Z1790" s="119">
        <v>0.87221529651077767</v>
      </c>
      <c r="AA1790" s="119">
        <v>0.87218806954969741</v>
      </c>
      <c r="AB1790" s="119">
        <v>0.87215946482632678</v>
      </c>
      <c r="AC1790" s="119">
        <v>0.87212941359515339</v>
      </c>
      <c r="AD1790" s="119">
        <v>0.87209784378204558</v>
      </c>
      <c r="AE1790" s="119">
        <v>0.87206467983370761</v>
      </c>
      <c r="AF1790" s="119">
        <v>0.87202984256145077</v>
      </c>
      <c r="AG1790" s="119">
        <v>0.87199324897919206</v>
      </c>
      <c r="AH1790" s="119">
        <v>0.87195481213560477</v>
      </c>
      <c r="AI1790" s="119">
        <v>0.87191444094036374</v>
      </c>
      <c r="AJ1790" s="119">
        <v>0.87187203998444684</v>
      </c>
      <c r="AK1790" s="119">
        <v>0.87182750935447439</v>
      </c>
      <c r="AL1790" s="119">
        <v>0.87178074444110287</v>
      </c>
      <c r="AM1790" s="119">
        <v>0.87173163574150769</v>
      </c>
      <c r="AN1790" s="119">
        <v>0.87168006865603187</v>
      </c>
      <c r="AO1790" s="119">
        <v>0.8716259232791137</v>
      </c>
      <c r="AP1790" s="119">
        <v>0.87156907418464813</v>
      </c>
      <c r="AQ1790" s="119">
        <v>0.87150939020598228</v>
      </c>
      <c r="AR1790" s="119">
        <v>0.87144673421080798</v>
      </c>
      <c r="AS1790" s="119">
        <v>0.87138096287126232</v>
      </c>
      <c r="AT1790" s="119">
        <v>0.87131192642962485</v>
      </c>
      <c r="AU1790" s="119">
        <v>0.87123946846006173</v>
      </c>
      <c r="AV1790" s="119">
        <v>0.87116342562696281</v>
      </c>
      <c r="AW1790" s="119">
        <v>0.87108362744049084</v>
      </c>
      <c r="AX1790" s="120">
        <v>0.87099989601007277</v>
      </c>
    </row>
    <row r="1791" spans="1:50" x14ac:dyDescent="0.25">
      <c r="A1791" s="356"/>
      <c r="B1791" s="359"/>
      <c r="C1791" s="350"/>
      <c r="D1791" s="2" t="s">
        <v>8</v>
      </c>
      <c r="E1791" s="160" t="str">
        <f>A1786&amp;"/"&amp;B1790&amp;"/"&amp;C1790&amp;"/"&amp;D1791</f>
        <v>Hydro plants/Reservoirs (dams)/Electricity only/M</v>
      </c>
      <c r="F1791" s="76" t="str">
        <f>A1786</f>
        <v>Hydro plants</v>
      </c>
      <c r="G1791" s="76" t="str">
        <f>B1790</f>
        <v>Reservoirs (dams)</v>
      </c>
      <c r="H1791" s="76" t="str">
        <f>C1790</f>
        <v>Electricity only</v>
      </c>
      <c r="I1791" s="161" t="str">
        <f t="shared" si="107"/>
        <v>M</v>
      </c>
      <c r="J1791" s="119">
        <v>0.87250879249706925</v>
      </c>
      <c r="K1791" s="119">
        <v>0.87250180104370101</v>
      </c>
      <c r="L1791" s="119">
        <v>0.87249407556999903</v>
      </c>
      <c r="M1791" s="119">
        <v>0.87248553916074967</v>
      </c>
      <c r="N1791" s="119">
        <v>0.87247610687387389</v>
      </c>
      <c r="O1791" s="119">
        <v>0.87246568490999543</v>
      </c>
      <c r="P1791" s="119">
        <v>0.87245416969770195</v>
      </c>
      <c r="Q1791" s="119">
        <v>0.87244144688629577</v>
      </c>
      <c r="R1791" s="119">
        <v>0.87242739023711657</v>
      </c>
      <c r="S1791" s="119">
        <v>0.87241186040375263</v>
      </c>
      <c r="T1791" s="119">
        <v>0.87239470359065796</v>
      </c>
      <c r="U1791" s="119">
        <v>0.8723757500788486</v>
      </c>
      <c r="V1791" s="119">
        <v>0.87235481260647518</v>
      </c>
      <c r="W1791" s="119">
        <v>0.87233168459117461</v>
      </c>
      <c r="X1791" s="119">
        <v>0.8723061381801881</v>
      </c>
      <c r="Y1791" s="119">
        <v>0.87227792211332766</v>
      </c>
      <c r="Z1791" s="119">
        <v>0.87224675938298646</v>
      </c>
      <c r="AA1791" s="119">
        <v>0.87221234467455844</v>
      </c>
      <c r="AB1791" s="119">
        <v>0.87217434156988094</v>
      </c>
      <c r="AC1791" s="119">
        <v>0.87213237949569833</v>
      </c>
      <c r="AD1791" s="119">
        <v>0.87208605039870934</v>
      </c>
      <c r="AE1791" s="119">
        <v>0.87203490512857906</v>
      </c>
      <c r="AF1791" s="119">
        <v>0.87197844951045089</v>
      </c>
      <c r="AG1791" s="119">
        <v>0.87191614008908647</v>
      </c>
      <c r="AH1791" s="119">
        <v>0.87184737952792457</v>
      </c>
      <c r="AI1791" s="119">
        <v>0.87177151164821876</v>
      </c>
      <c r="AJ1791" s="119">
        <v>0.87168781609618662</v>
      </c>
      <c r="AK1791" s="119">
        <v>0.87159550262998331</v>
      </c>
      <c r="AL1791" s="119">
        <v>0.8714937050235505</v>
      </c>
      <c r="AM1791" s="119">
        <v>0.87138147459129789</v>
      </c>
      <c r="AN1791" s="119">
        <v>0.87125777334646093</v>
      </c>
      <c r="AO1791" s="119">
        <v>0.87112146681726876</v>
      </c>
      <c r="AP1791" s="119">
        <v>0.87097131655914739</v>
      </c>
      <c r="AQ1791" s="119">
        <v>0.87080597241860314</v>
      </c>
      <c r="AR1791" s="119">
        <v>0.87062396462565639</v>
      </c>
      <c r="AS1791" s="119">
        <v>0.87042369581733026</v>
      </c>
      <c r="AT1791" s="119">
        <v>0.8702034331252626</v>
      </c>
      <c r="AU1791" s="119">
        <v>0.8699613004965846</v>
      </c>
      <c r="AV1791" s="119">
        <v>0.86969527145926273</v>
      </c>
      <c r="AW1791" s="119">
        <v>0.86940316259150197</v>
      </c>
      <c r="AX1791" s="120">
        <v>0.869082628009747</v>
      </c>
    </row>
    <row r="1792" spans="1:50" x14ac:dyDescent="0.25">
      <c r="A1792" s="356"/>
      <c r="B1792" s="359"/>
      <c r="C1792" s="350"/>
      <c r="D1792" s="2" t="s">
        <v>10</v>
      </c>
      <c r="E1792" s="160" t="str">
        <f>A1786&amp;"/"&amp;B1790&amp;"/"&amp;C1790&amp;"/"&amp;D1792</f>
        <v>Hydro plants/Reservoirs (dams)/Electricity only/S</v>
      </c>
      <c r="F1792" s="76" t="str">
        <f>A1786</f>
        <v>Hydro plants</v>
      </c>
      <c r="G1792" s="76" t="str">
        <f>B1790</f>
        <v>Reservoirs (dams)</v>
      </c>
      <c r="H1792" s="76" t="str">
        <f>C1790</f>
        <v>Electricity only</v>
      </c>
      <c r="I1792" s="161" t="str">
        <f t="shared" si="107"/>
        <v>S</v>
      </c>
      <c r="J1792" s="119">
        <v>0.87250879249706914</v>
      </c>
      <c r="K1792" s="119">
        <v>0.87250656299807905</v>
      </c>
      <c r="L1792" s="119">
        <v>0.87250397282860193</v>
      </c>
      <c r="M1792" s="119">
        <v>0.87250096366834529</v>
      </c>
      <c r="N1792" s="119">
        <v>0.87249746777576975</v>
      </c>
      <c r="O1792" s="119">
        <v>0.87249340646934148</v>
      </c>
      <c r="P1792" s="119">
        <v>0.87248868836507387</v>
      </c>
      <c r="Q1792" s="119">
        <v>0.87248320733163698</v>
      </c>
      <c r="R1792" s="119">
        <v>0.87247684011830773</v>
      </c>
      <c r="S1792" s="119">
        <v>0.87246944360412693</v>
      </c>
      <c r="T1792" s="119">
        <v>0.87246085160873821</v>
      </c>
      <c r="U1792" s="119">
        <v>0.872450871196363</v>
      </c>
      <c r="V1792" s="119">
        <v>0.87243927839410174</v>
      </c>
      <c r="W1792" s="119">
        <v>0.87242581323412449</v>
      </c>
      <c r="X1792" s="119">
        <v>0.87241017401616772</v>
      </c>
      <c r="Y1792" s="119">
        <v>0.87239201067202587</v>
      </c>
      <c r="Z1792" s="119">
        <v>0.87237091709728987</v>
      </c>
      <c r="AA1792" s="119">
        <v>0.87234642229742554</v>
      </c>
      <c r="AB1792" s="119">
        <v>0.87231798017543827</v>
      </c>
      <c r="AC1792" s="119">
        <v>0.87228495776696413</v>
      </c>
      <c r="AD1792" s="119">
        <v>0.87224662170599321</v>
      </c>
      <c r="AE1792" s="119">
        <v>0.87220212268107511</v>
      </c>
      <c r="AF1792" s="119">
        <v>0.87215047761865705</v>
      </c>
      <c r="AG1792" s="119">
        <v>0.87209054930844454</v>
      </c>
      <c r="AH1792" s="119">
        <v>0.87202102316726116</v>
      </c>
      <c r="AI1792" s="119">
        <v>0.87194038082550995</v>
      </c>
      <c r="AJ1792" s="119">
        <v>0.87184687021777973</v>
      </c>
      <c r="AK1792" s="119">
        <v>0.87173847187154407</v>
      </c>
      <c r="AL1792" s="119">
        <v>0.87161286112219016</v>
      </c>
      <c r="AM1792" s="119">
        <v>0.8714673660479566</v>
      </c>
      <c r="AN1792" s="119">
        <v>0.87129892102667106</v>
      </c>
      <c r="AO1792" s="119">
        <v>0.87110401598264697</v>
      </c>
      <c r="AP1792" s="119">
        <v>0.87087864163573203</v>
      </c>
      <c r="AQ1792" s="119">
        <v>0.87061823140838812</v>
      </c>
      <c r="AR1792" s="119">
        <v>0.87031760111805945</v>
      </c>
      <c r="AS1792" s="119">
        <v>0.86997088821156954</v>
      </c>
      <c r="AT1792" s="119">
        <v>0.86957149311816906</v>
      </c>
      <c r="AU1792" s="119">
        <v>0.86911202633853812</v>
      </c>
      <c r="AV1792" s="119">
        <v>0.86858426617104612</v>
      </c>
      <c r="AW1792" s="119">
        <v>0.86797913350890321</v>
      </c>
      <c r="AX1792" s="120">
        <v>0.8672866918961144</v>
      </c>
    </row>
    <row r="1793" spans="1:50" x14ac:dyDescent="0.25">
      <c r="A1793" s="357"/>
      <c r="B1793" s="362"/>
      <c r="C1793" s="354"/>
      <c r="D1793" s="4" t="s">
        <v>20</v>
      </c>
      <c r="E1793" s="168" t="str">
        <f>A1786&amp;"/"&amp;B1790&amp;"/"&amp;C1790&amp;"/"&amp;D1793</f>
        <v>Hydro plants/Reservoirs (dams)/Electricity only/XS</v>
      </c>
      <c r="F1793" s="80" t="str">
        <f>A1786</f>
        <v>Hydro plants</v>
      </c>
      <c r="G1793" s="80" t="str">
        <f>B1790</f>
        <v>Reservoirs (dams)</v>
      </c>
      <c r="H1793" s="80" t="str">
        <f>C1790</f>
        <v>Electricity only</v>
      </c>
      <c r="I1793" s="169" t="str">
        <f t="shared" si="107"/>
        <v>XS</v>
      </c>
      <c r="J1793" s="127">
        <v>0.87250879249706914</v>
      </c>
      <c r="K1793" s="127">
        <v>0.87250823091008323</v>
      </c>
      <c r="L1793" s="127">
        <v>0.87250754499560457</v>
      </c>
      <c r="M1793" s="127">
        <v>0.87250670723181367</v>
      </c>
      <c r="N1793" s="127">
        <v>0.87250568400576101</v>
      </c>
      <c r="O1793" s="127">
        <v>0.87250443426589441</v>
      </c>
      <c r="P1793" s="127">
        <v>0.87250290787680085</v>
      </c>
      <c r="Q1793" s="127">
        <v>0.87250104361050751</v>
      </c>
      <c r="R1793" s="127">
        <v>0.87249876669427306</v>
      </c>
      <c r="S1793" s="127">
        <v>0.87249598581728161</v>
      </c>
      <c r="T1793" s="127">
        <v>0.87249258947733366</v>
      </c>
      <c r="U1793" s="127">
        <v>0.87248844152274685</v>
      </c>
      <c r="V1793" s="127">
        <v>0.87248337571327772</v>
      </c>
      <c r="W1793" s="127">
        <v>0.87247718908584793</v>
      </c>
      <c r="X1793" s="127">
        <v>0.87246963386488674</v>
      </c>
      <c r="Y1793" s="127">
        <v>0.8724604076016651</v>
      </c>
      <c r="Z1793" s="127">
        <v>0.87244914116035877</v>
      </c>
      <c r="AA1793" s="127">
        <v>0.87243538408874055</v>
      </c>
      <c r="AB1793" s="127">
        <v>0.87241858681626505</v>
      </c>
      <c r="AC1793" s="127">
        <v>0.87239807900956001</v>
      </c>
      <c r="AD1793" s="127">
        <v>0.87237304328281107</v>
      </c>
      <c r="AE1793" s="127">
        <v>0.87234248330627784</v>
      </c>
      <c r="AF1793" s="127">
        <v>0.87230518517909161</v>
      </c>
      <c r="AG1793" s="127">
        <v>0.8722596707328385</v>
      </c>
      <c r="AH1793" s="127">
        <v>0.87220414121308432</v>
      </c>
      <c r="AI1793" s="127">
        <v>0.87213640955404415</v>
      </c>
      <c r="AJ1793" s="127">
        <v>0.87205381923075997</v>
      </c>
      <c r="AK1793" s="127">
        <v>0.87195314746751607</v>
      </c>
      <c r="AL1793" s="127">
        <v>0.87183049044026295</v>
      </c>
      <c r="AM1793" s="127">
        <v>0.87168112809662868</v>
      </c>
      <c r="AN1793" s="127">
        <v>0.87149936642397408</v>
      </c>
      <c r="AO1793" s="127">
        <v>0.87127835556289068</v>
      </c>
      <c r="AP1793" s="127">
        <v>0.87100988328933004</v>
      </c>
      <c r="AQ1793" s="127">
        <v>0.87068414534829486</v>
      </c>
      <c r="AR1793" s="127">
        <v>0.87028949728177807</v>
      </c>
      <c r="AS1793" s="127">
        <v>0.86981219721568548</v>
      </c>
      <c r="AT1793" s="127">
        <v>0.86923615609598359</v>
      </c>
      <c r="AU1793" s="127">
        <v>0.86854272164982671</v>
      </c>
      <c r="AV1793" s="127">
        <v>0.86771053532025932</v>
      </c>
      <c r="AW1793" s="127">
        <v>0.86671551760745857</v>
      </c>
      <c r="AX1793" s="128">
        <v>0.86553105581202827</v>
      </c>
    </row>
    <row r="1794" spans="1:50" x14ac:dyDescent="0.25">
      <c r="A1794" s="356" t="s">
        <v>46</v>
      </c>
      <c r="B1794" s="359" t="s">
        <v>46</v>
      </c>
      <c r="C1794" s="353" t="s">
        <v>6</v>
      </c>
      <c r="D1794" s="2" t="s">
        <v>7</v>
      </c>
      <c r="E1794" s="160" t="str">
        <f>A1794&amp;"/"&amp;B1794&amp;"/"&amp;C1794&amp;"/"&amp;D1794</f>
        <v>Pump storage/Pump storage/Electricity only/L</v>
      </c>
      <c r="F1794" s="76" t="str">
        <f>A1794</f>
        <v>Pump storage</v>
      </c>
      <c r="G1794" s="76" t="str">
        <f>B1794</f>
        <v>Pump storage</v>
      </c>
      <c r="H1794" s="76" t="str">
        <f>C1794</f>
        <v>Electricity only</v>
      </c>
      <c r="I1794" s="161" t="str">
        <f t="shared" si="107"/>
        <v>L</v>
      </c>
      <c r="J1794" s="119">
        <v>0.98157239155920284</v>
      </c>
      <c r="K1794" s="119">
        <v>0.98155853397653481</v>
      </c>
      <c r="L1794" s="119">
        <v>0.9815439700764288</v>
      </c>
      <c r="M1794" s="119">
        <v>0.98152866408238237</v>
      </c>
      <c r="N1794" s="119">
        <v>0.98151257842924322</v>
      </c>
      <c r="O1794" s="119">
        <v>0.98149567367625101</v>
      </c>
      <c r="P1794" s="119">
        <v>0.98147790841611349</v>
      </c>
      <c r="Q1794" s="119">
        <v>0.98145923917995914</v>
      </c>
      <c r="R1794" s="119">
        <v>0.98143962033801724</v>
      </c>
      <c r="S1794" s="119">
        <v>0.98141900399585869</v>
      </c>
      <c r="T1794" s="119">
        <v>0.98139733988604594</v>
      </c>
      <c r="U1794" s="119">
        <v>0.9813745752550237</v>
      </c>
      <c r="V1794" s="119">
        <v>0.98135065474508887</v>
      </c>
      <c r="W1794" s="119">
        <v>0.98132552027127995</v>
      </c>
      <c r="X1794" s="119">
        <v>0.9812991108930208</v>
      </c>
      <c r="Y1794" s="119">
        <v>0.98127136268035642</v>
      </c>
      <c r="Z1794" s="119">
        <v>0.98124220857462507</v>
      </c>
      <c r="AA1794" s="119">
        <v>0.98121157824340954</v>
      </c>
      <c r="AB1794" s="119">
        <v>0.98117939792961761</v>
      </c>
      <c r="AC1794" s="119">
        <v>0.98114559029454751</v>
      </c>
      <c r="AD1794" s="119">
        <v>0.98111007425480123</v>
      </c>
      <c r="AE1794" s="119">
        <v>0.98107276481292105</v>
      </c>
      <c r="AF1794" s="119">
        <v>0.98103357288163218</v>
      </c>
      <c r="AG1794" s="119">
        <v>0.98099240510159114</v>
      </c>
      <c r="AH1794" s="119">
        <v>0.98094916365255513</v>
      </c>
      <c r="AI1794" s="119">
        <v>0.9809037460579092</v>
      </c>
      <c r="AJ1794" s="119">
        <v>0.98085604498250256</v>
      </c>
      <c r="AK1794" s="119">
        <v>0.98080594802378351</v>
      </c>
      <c r="AL1794" s="119">
        <v>0.98075333749624083</v>
      </c>
      <c r="AM1794" s="119">
        <v>0.98069809020919618</v>
      </c>
      <c r="AN1794" s="119">
        <v>0.9806400772380357</v>
      </c>
      <c r="AO1794" s="119">
        <v>0.980579163689003</v>
      </c>
      <c r="AP1794" s="119">
        <v>0.9805152084577291</v>
      </c>
      <c r="AQ1794" s="119">
        <v>0.98044806398173012</v>
      </c>
      <c r="AR1794" s="119">
        <v>0.98037757598715891</v>
      </c>
      <c r="AS1794" s="119">
        <v>0.98030358323017019</v>
      </c>
      <c r="AT1794" s="119">
        <v>0.98022591723332786</v>
      </c>
      <c r="AU1794" s="119">
        <v>0.98014440201756947</v>
      </c>
      <c r="AV1794" s="119">
        <v>0.98005885383033309</v>
      </c>
      <c r="AW1794" s="119">
        <v>0.97996908087055201</v>
      </c>
      <c r="AX1794" s="120">
        <v>0.97987488301133197</v>
      </c>
    </row>
    <row r="1795" spans="1:50" x14ac:dyDescent="0.25">
      <c r="A1795" s="356"/>
      <c r="B1795" s="359"/>
      <c r="C1795" s="350"/>
      <c r="D1795" s="2" t="s">
        <v>8</v>
      </c>
      <c r="E1795" s="160" t="str">
        <f>A1794&amp;"/"&amp;B1794&amp;"/"&amp;C1794&amp;"/"&amp;D1795</f>
        <v>Pump storage/Pump storage/Electricity only/M</v>
      </c>
      <c r="F1795" s="76" t="str">
        <f>A1794</f>
        <v>Pump storage</v>
      </c>
      <c r="G1795" s="76" t="str">
        <f>B1794</f>
        <v>Pump storage</v>
      </c>
      <c r="H1795" s="76" t="str">
        <f>C1794</f>
        <v>Electricity only</v>
      </c>
      <c r="I1795" s="161" t="str">
        <f t="shared" si="107"/>
        <v>M</v>
      </c>
      <c r="J1795" s="119">
        <v>0.98157239155920284</v>
      </c>
      <c r="K1795" s="119">
        <v>0.98156452617416357</v>
      </c>
      <c r="L1795" s="119">
        <v>0.98155583501624888</v>
      </c>
      <c r="M1795" s="119">
        <v>0.98154623155584331</v>
      </c>
      <c r="N1795" s="119">
        <v>0.98153562023310814</v>
      </c>
      <c r="O1795" s="119">
        <v>0.98152389552374497</v>
      </c>
      <c r="P1795" s="119">
        <v>0.98151094090991475</v>
      </c>
      <c r="Q1795" s="119">
        <v>0.98149662774708268</v>
      </c>
      <c r="R1795" s="119">
        <v>0.98148081401675624</v>
      </c>
      <c r="S1795" s="119">
        <v>0.98146334295422155</v>
      </c>
      <c r="T1795" s="119">
        <v>0.98144404153949005</v>
      </c>
      <c r="U1795" s="119">
        <v>0.98142271883870469</v>
      </c>
      <c r="V1795" s="119">
        <v>0.98139916418228468</v>
      </c>
      <c r="W1795" s="119">
        <v>0.98137314516507135</v>
      </c>
      <c r="X1795" s="119">
        <v>0.98134440545271162</v>
      </c>
      <c r="Y1795" s="119">
        <v>0.98131266237749359</v>
      </c>
      <c r="Z1795" s="119">
        <v>0.98127760430585975</v>
      </c>
      <c r="AA1795" s="119">
        <v>0.98123888775887824</v>
      </c>
      <c r="AB1795" s="119">
        <v>0.98119613426611618</v>
      </c>
      <c r="AC1795" s="119">
        <v>0.98114892693266043</v>
      </c>
      <c r="AD1795" s="119">
        <v>0.98109680669854793</v>
      </c>
      <c r="AE1795" s="119">
        <v>0.98103926826965149</v>
      </c>
      <c r="AF1795" s="119">
        <v>0.98097575569925732</v>
      </c>
      <c r="AG1795" s="119">
        <v>0.98090565760022208</v>
      </c>
      <c r="AH1795" s="119">
        <v>0.98082830196891513</v>
      </c>
      <c r="AI1795" s="119">
        <v>0.98074295060424588</v>
      </c>
      <c r="AJ1795" s="119">
        <v>0.98064879310820996</v>
      </c>
      <c r="AK1795" s="119">
        <v>0.9805449404587312</v>
      </c>
      <c r="AL1795" s="119">
        <v>0.98043041815149434</v>
      </c>
      <c r="AM1795" s="119">
        <v>0.98030415891520994</v>
      </c>
      <c r="AN1795" s="119">
        <v>0.98016499501476861</v>
      </c>
      <c r="AO1795" s="119">
        <v>0.98001165016942726</v>
      </c>
      <c r="AP1795" s="119">
        <v>0.97984273112904086</v>
      </c>
      <c r="AQ1795" s="119">
        <v>0.97965671897092854</v>
      </c>
      <c r="AR1795" s="119">
        <v>0.9794519602038636</v>
      </c>
      <c r="AS1795" s="119">
        <v>0.97922665779449658</v>
      </c>
      <c r="AT1795" s="119">
        <v>0.97897886226592024</v>
      </c>
      <c r="AU1795" s="119">
        <v>0.97870646305865783</v>
      </c>
      <c r="AV1795" s="119">
        <v>0.97840718039167074</v>
      </c>
      <c r="AW1795" s="119">
        <v>0.97807855791543963</v>
      </c>
      <c r="AX1795" s="120">
        <v>0.97771795651096538</v>
      </c>
    </row>
    <row r="1796" spans="1:50" x14ac:dyDescent="0.25">
      <c r="A1796" s="356"/>
      <c r="B1796" s="359"/>
      <c r="C1796" s="350"/>
      <c r="D1796" s="2" t="s">
        <v>10</v>
      </c>
      <c r="E1796" s="160" t="str">
        <f>A1794&amp;"/"&amp;B1794&amp;"/"&amp;C1794&amp;"/"&amp;D1796</f>
        <v>Pump storage/Pump storage/Electricity only/S</v>
      </c>
      <c r="F1796" s="76" t="str">
        <f>A1794</f>
        <v>Pump storage</v>
      </c>
      <c r="G1796" s="76" t="str">
        <f>B1794</f>
        <v>Pump storage</v>
      </c>
      <c r="H1796" s="76" t="str">
        <f>C1794</f>
        <v>Electricity only</v>
      </c>
      <c r="I1796" s="161" t="str">
        <f t="shared" si="107"/>
        <v>S</v>
      </c>
      <c r="J1796" s="119">
        <v>0.98157239155920284</v>
      </c>
      <c r="K1796" s="119">
        <v>0.98156988337283868</v>
      </c>
      <c r="L1796" s="119">
        <v>0.98156696943217725</v>
      </c>
      <c r="M1796" s="119">
        <v>0.98156358412688871</v>
      </c>
      <c r="N1796" s="119">
        <v>0.98155965124774092</v>
      </c>
      <c r="O1796" s="119">
        <v>0.98155508227800914</v>
      </c>
      <c r="P1796" s="119">
        <v>0.98154977441070801</v>
      </c>
      <c r="Q1796" s="119">
        <v>0.9815436082480915</v>
      </c>
      <c r="R1796" s="119">
        <v>0.98153644513309624</v>
      </c>
      <c r="S1796" s="119">
        <v>0.98152812405464263</v>
      </c>
      <c r="T1796" s="119">
        <v>0.98151845805983051</v>
      </c>
      <c r="U1796" s="119">
        <v>0.98150723009590823</v>
      </c>
      <c r="V1796" s="119">
        <v>0.98149418819336465</v>
      </c>
      <c r="W1796" s="119">
        <v>0.9814790398883898</v>
      </c>
      <c r="X1796" s="119">
        <v>0.9814614457681885</v>
      </c>
      <c r="Y1796" s="119">
        <v>0.98144101200602918</v>
      </c>
      <c r="Z1796" s="119">
        <v>0.98141728173445097</v>
      </c>
      <c r="AA1796" s="119">
        <v>0.98138972508460376</v>
      </c>
      <c r="AB1796" s="119">
        <v>0.98135772769736807</v>
      </c>
      <c r="AC1796" s="119">
        <v>0.98132057748783463</v>
      </c>
      <c r="AD1796" s="119">
        <v>0.98127744941924233</v>
      </c>
      <c r="AE1796" s="119">
        <v>0.98122738801620957</v>
      </c>
      <c r="AF1796" s="119">
        <v>0.98116928732098907</v>
      </c>
      <c r="AG1796" s="119">
        <v>0.98110186797199994</v>
      </c>
      <c r="AH1796" s="119">
        <v>0.9810236510631688</v>
      </c>
      <c r="AI1796" s="119">
        <v>0.98093292842869861</v>
      </c>
      <c r="AJ1796" s="119">
        <v>0.98082772899500204</v>
      </c>
      <c r="AK1796" s="119">
        <v>0.98070578085548721</v>
      </c>
      <c r="AL1796" s="119">
        <v>0.98056446876246395</v>
      </c>
      <c r="AM1796" s="119">
        <v>0.98040078680395093</v>
      </c>
      <c r="AN1796" s="119">
        <v>0.98021128615500475</v>
      </c>
      <c r="AO1796" s="119">
        <v>0.97999201798047764</v>
      </c>
      <c r="AP1796" s="119">
        <v>0.97973847184019835</v>
      </c>
      <c r="AQ1796" s="119">
        <v>0.97944551033443661</v>
      </c>
      <c r="AR1796" s="119">
        <v>0.97910730125781675</v>
      </c>
      <c r="AS1796" s="119">
        <v>0.97871724923801573</v>
      </c>
      <c r="AT1796" s="119">
        <v>0.97826792975794019</v>
      </c>
      <c r="AU1796" s="119">
        <v>0.97775102963085525</v>
      </c>
      <c r="AV1796" s="119">
        <v>0.9771572994424268</v>
      </c>
      <c r="AW1796" s="119">
        <v>0.97647652519751604</v>
      </c>
      <c r="AX1796" s="120">
        <v>0.97569752838312873</v>
      </c>
    </row>
    <row r="1797" spans="1:50" ht="11" thickBot="1" x14ac:dyDescent="0.3">
      <c r="A1797" s="372"/>
      <c r="B1797" s="373"/>
      <c r="C1797" s="374"/>
      <c r="D1797" s="158" t="s">
        <v>20</v>
      </c>
      <c r="E1797" s="172" t="str">
        <f>A1794&amp;"/"&amp;B1794&amp;"/"&amp;C1794&amp;"/"&amp;D1797</f>
        <v>Pump storage/Pump storage/Electricity only/XS</v>
      </c>
      <c r="F1797" s="82" t="str">
        <f>A1794</f>
        <v>Pump storage</v>
      </c>
      <c r="G1797" s="82" t="str">
        <f>B1794</f>
        <v>Pump storage</v>
      </c>
      <c r="H1797" s="82" t="str">
        <f>C1794</f>
        <v>Electricity only</v>
      </c>
      <c r="I1797" s="173" t="str">
        <f t="shared" si="107"/>
        <v>XS</v>
      </c>
      <c r="J1797" s="131">
        <v>0.98157239155920284</v>
      </c>
      <c r="K1797" s="131">
        <v>0.98157175977384359</v>
      </c>
      <c r="L1797" s="131">
        <v>0.98157098812005494</v>
      </c>
      <c r="M1797" s="131">
        <v>0.9815700456357902</v>
      </c>
      <c r="N1797" s="131">
        <v>0.98156889450648099</v>
      </c>
      <c r="O1797" s="131">
        <v>0.9815674885491309</v>
      </c>
      <c r="P1797" s="131">
        <v>0.98156577136140077</v>
      </c>
      <c r="Q1797" s="131">
        <v>0.98156367406182066</v>
      </c>
      <c r="R1797" s="131">
        <v>0.98156111253105693</v>
      </c>
      <c r="S1797" s="131">
        <v>0.98155798404444172</v>
      </c>
      <c r="T1797" s="131">
        <v>0.98155416316200017</v>
      </c>
      <c r="U1797" s="131">
        <v>0.98154949671309011</v>
      </c>
      <c r="V1797" s="131">
        <v>0.98154379767743716</v>
      </c>
      <c r="W1797" s="131">
        <v>0.98153683772157907</v>
      </c>
      <c r="X1797" s="131">
        <v>0.98152833809799744</v>
      </c>
      <c r="Y1797" s="131">
        <v>0.98151795855187318</v>
      </c>
      <c r="Z1797" s="131">
        <v>0.98150528380540358</v>
      </c>
      <c r="AA1797" s="131">
        <v>0.98148980709983324</v>
      </c>
      <c r="AB1797" s="131">
        <v>0.98147091016829802</v>
      </c>
      <c r="AC1797" s="131">
        <v>0.98144783888575504</v>
      </c>
      <c r="AD1797" s="131">
        <v>0.9814196736931623</v>
      </c>
      <c r="AE1797" s="131">
        <v>0.98138529371956229</v>
      </c>
      <c r="AF1797" s="131">
        <v>0.98134333332647816</v>
      </c>
      <c r="AG1797" s="131">
        <v>0.98129212957444312</v>
      </c>
      <c r="AH1797" s="131">
        <v>0.98122965886471969</v>
      </c>
      <c r="AI1797" s="131">
        <v>0.98115346074829934</v>
      </c>
      <c r="AJ1797" s="131">
        <v>0.98106054663460474</v>
      </c>
      <c r="AK1797" s="131">
        <v>0.98094729090095545</v>
      </c>
      <c r="AL1797" s="131">
        <v>0.98080930174529568</v>
      </c>
      <c r="AM1797" s="131">
        <v>0.9806412691087073</v>
      </c>
      <c r="AN1797" s="131">
        <v>0.98043678722697059</v>
      </c>
      <c r="AO1797" s="131">
        <v>0.98018815000825177</v>
      </c>
      <c r="AP1797" s="131">
        <v>0.97988611870049613</v>
      </c>
      <c r="AQ1797" s="131">
        <v>0.9795196635168314</v>
      </c>
      <c r="AR1797" s="131">
        <v>0.9790756844420001</v>
      </c>
      <c r="AS1797" s="131">
        <v>0.97853872186764612</v>
      </c>
      <c r="AT1797" s="131">
        <v>0.97789067560798137</v>
      </c>
      <c r="AU1797" s="131">
        <v>0.97711056185605494</v>
      </c>
      <c r="AV1797" s="131">
        <v>0.9761743522352917</v>
      </c>
      <c r="AW1797" s="131">
        <v>0.97505495730839076</v>
      </c>
      <c r="AX1797" s="132">
        <v>0.97372243778853163</v>
      </c>
    </row>
    <row r="1803" spans="1:50" ht="11" thickBot="1" x14ac:dyDescent="0.3"/>
    <row r="1804" spans="1:50" x14ac:dyDescent="0.25">
      <c r="A1804" s="343" t="s">
        <v>49</v>
      </c>
      <c r="B1804" s="345" t="s">
        <v>50</v>
      </c>
      <c r="C1804" s="345" t="s">
        <v>51</v>
      </c>
      <c r="D1804" s="345" t="s">
        <v>52</v>
      </c>
      <c r="E1804" s="290"/>
      <c r="F1804" s="290"/>
      <c r="G1804" s="290"/>
      <c r="H1804" s="290"/>
      <c r="I1804" s="290"/>
      <c r="J1804" s="1" t="s">
        <v>71</v>
      </c>
      <c r="K1804" s="289"/>
      <c r="L1804" s="289"/>
      <c r="M1804" s="289"/>
      <c r="N1804" s="289"/>
      <c r="O1804" s="289"/>
      <c r="P1804" s="289"/>
      <c r="Q1804" s="289"/>
      <c r="R1804" s="289"/>
      <c r="S1804" s="289"/>
      <c r="T1804" s="289"/>
      <c r="U1804" s="289"/>
      <c r="V1804" s="289"/>
      <c r="W1804" s="289"/>
      <c r="X1804" s="289"/>
      <c r="Y1804" s="289"/>
      <c r="Z1804" s="289"/>
      <c r="AA1804" s="289"/>
      <c r="AB1804" s="289"/>
      <c r="AC1804" s="289"/>
      <c r="AD1804" s="289"/>
      <c r="AE1804" s="289"/>
      <c r="AF1804" s="289"/>
      <c r="AG1804" s="289"/>
      <c r="AH1804" s="289"/>
      <c r="AI1804" s="289"/>
      <c r="AJ1804" s="289"/>
      <c r="AK1804" s="289"/>
      <c r="AL1804" s="289"/>
      <c r="AM1804" s="289"/>
      <c r="AN1804" s="289"/>
      <c r="AO1804" s="289"/>
      <c r="AP1804" s="289"/>
      <c r="AQ1804" s="289"/>
      <c r="AR1804" s="289"/>
      <c r="AS1804" s="289"/>
      <c r="AT1804" s="289"/>
      <c r="AU1804" s="289"/>
      <c r="AV1804" s="289"/>
      <c r="AW1804" s="289"/>
      <c r="AX1804" s="288"/>
    </row>
    <row r="1805" spans="1:50" ht="11" thickBot="1" x14ac:dyDescent="0.3">
      <c r="A1805" s="344"/>
      <c r="B1805" s="346"/>
      <c r="C1805" s="346"/>
      <c r="D1805" s="346"/>
      <c r="E1805" s="291"/>
      <c r="F1805" s="291"/>
      <c r="G1805" s="291"/>
      <c r="H1805" s="291"/>
      <c r="I1805" s="291"/>
      <c r="J1805" s="68">
        <v>2010</v>
      </c>
      <c r="K1805" s="68">
        <v>2011</v>
      </c>
      <c r="L1805" s="68">
        <v>2012</v>
      </c>
      <c r="M1805" s="68">
        <v>2013</v>
      </c>
      <c r="N1805" s="68">
        <v>2014</v>
      </c>
      <c r="O1805" s="68">
        <v>2015</v>
      </c>
      <c r="P1805" s="68">
        <v>2016</v>
      </c>
      <c r="Q1805" s="68">
        <v>2017</v>
      </c>
      <c r="R1805" s="68">
        <v>2018</v>
      </c>
      <c r="S1805" s="68">
        <v>2019</v>
      </c>
      <c r="T1805" s="68">
        <v>2020</v>
      </c>
      <c r="U1805" s="68">
        <v>2021</v>
      </c>
      <c r="V1805" s="68">
        <v>2022</v>
      </c>
      <c r="W1805" s="68">
        <v>2023</v>
      </c>
      <c r="X1805" s="68">
        <v>2024</v>
      </c>
      <c r="Y1805" s="68">
        <v>2025</v>
      </c>
      <c r="Z1805" s="68">
        <v>2026</v>
      </c>
      <c r="AA1805" s="68">
        <v>2027</v>
      </c>
      <c r="AB1805" s="68">
        <v>2028</v>
      </c>
      <c r="AC1805" s="68">
        <v>2029</v>
      </c>
      <c r="AD1805" s="68">
        <v>2030</v>
      </c>
      <c r="AE1805" s="68">
        <v>2031</v>
      </c>
      <c r="AF1805" s="68">
        <v>2032</v>
      </c>
      <c r="AG1805" s="68">
        <v>2033</v>
      </c>
      <c r="AH1805" s="68">
        <v>2034</v>
      </c>
      <c r="AI1805" s="68">
        <v>2035</v>
      </c>
      <c r="AJ1805" s="68">
        <v>2036</v>
      </c>
      <c r="AK1805" s="68">
        <v>2037</v>
      </c>
      <c r="AL1805" s="68">
        <v>2038</v>
      </c>
      <c r="AM1805" s="68">
        <v>2039</v>
      </c>
      <c r="AN1805" s="68">
        <v>2040</v>
      </c>
      <c r="AO1805" s="68">
        <v>2041</v>
      </c>
      <c r="AP1805" s="68">
        <v>2042</v>
      </c>
      <c r="AQ1805" s="68">
        <v>2043</v>
      </c>
      <c r="AR1805" s="68">
        <v>2044</v>
      </c>
      <c r="AS1805" s="68">
        <v>2045</v>
      </c>
      <c r="AT1805" s="68">
        <v>2046</v>
      </c>
      <c r="AU1805" s="68">
        <v>2047</v>
      </c>
      <c r="AV1805" s="68">
        <v>2048</v>
      </c>
      <c r="AW1805" s="68">
        <v>2049</v>
      </c>
      <c r="AX1805" s="83">
        <v>2050</v>
      </c>
    </row>
    <row r="1806" spans="1:50" x14ac:dyDescent="0.25">
      <c r="A1806" s="347" t="s">
        <v>4</v>
      </c>
      <c r="B1806" s="349" t="s">
        <v>5</v>
      </c>
      <c r="C1806" s="350" t="s">
        <v>6</v>
      </c>
      <c r="D1806" s="2" t="s">
        <v>7</v>
      </c>
      <c r="E1806" s="160" t="str">
        <f>A1806&amp;"/"&amp;B1806&amp;"/"&amp;C1806&amp;"/"&amp;D1806</f>
        <v>Nuclear power plants/Nuclear - current/Electricity only/L</v>
      </c>
      <c r="F1806" s="76" t="str">
        <f>A1806</f>
        <v>Nuclear power plants</v>
      </c>
      <c r="G1806" s="76" t="str">
        <f>B1806</f>
        <v>Nuclear - current</v>
      </c>
      <c r="H1806" s="76" t="str">
        <f>C1806</f>
        <v>Electricity only</v>
      </c>
      <c r="I1806" s="161" t="str">
        <f>D1806</f>
        <v>L</v>
      </c>
      <c r="J1806" s="91">
        <v>6500</v>
      </c>
      <c r="K1806" s="91">
        <v>6500</v>
      </c>
      <c r="L1806" s="91">
        <v>6500</v>
      </c>
      <c r="M1806" s="91">
        <v>6500</v>
      </c>
      <c r="N1806" s="91">
        <v>6500</v>
      </c>
      <c r="O1806" s="91">
        <v>6500</v>
      </c>
      <c r="P1806" s="91">
        <v>6500</v>
      </c>
      <c r="Q1806" s="91">
        <v>6500</v>
      </c>
      <c r="R1806" s="91">
        <v>6500</v>
      </c>
      <c r="S1806" s="91">
        <v>6500</v>
      </c>
      <c r="T1806" s="91">
        <v>6500</v>
      </c>
      <c r="U1806" s="91">
        <v>6500</v>
      </c>
      <c r="V1806" s="91">
        <v>6500</v>
      </c>
      <c r="W1806" s="91">
        <v>6500</v>
      </c>
      <c r="X1806" s="91">
        <v>6500</v>
      </c>
      <c r="Y1806" s="91">
        <v>6500</v>
      </c>
      <c r="Z1806" s="91">
        <v>6500</v>
      </c>
      <c r="AA1806" s="91">
        <v>6500</v>
      </c>
      <c r="AB1806" s="91">
        <v>6500</v>
      </c>
      <c r="AC1806" s="91">
        <v>6500</v>
      </c>
      <c r="AD1806" s="91">
        <v>6500</v>
      </c>
      <c r="AE1806" s="91">
        <v>6500</v>
      </c>
      <c r="AF1806" s="91">
        <v>6500</v>
      </c>
      <c r="AG1806" s="91">
        <v>6500</v>
      </c>
      <c r="AH1806" s="91">
        <v>6500</v>
      </c>
      <c r="AI1806" s="91">
        <v>6500</v>
      </c>
      <c r="AJ1806" s="91">
        <v>6500</v>
      </c>
      <c r="AK1806" s="91">
        <v>6500</v>
      </c>
      <c r="AL1806" s="91">
        <v>6500</v>
      </c>
      <c r="AM1806" s="91">
        <v>6500</v>
      </c>
      <c r="AN1806" s="91">
        <v>6500</v>
      </c>
      <c r="AO1806" s="91">
        <v>6500</v>
      </c>
      <c r="AP1806" s="91">
        <v>6500</v>
      </c>
      <c r="AQ1806" s="91">
        <v>6500</v>
      </c>
      <c r="AR1806" s="91">
        <v>6500</v>
      </c>
      <c r="AS1806" s="91">
        <v>6500</v>
      </c>
      <c r="AT1806" s="91">
        <v>6500</v>
      </c>
      <c r="AU1806" s="91">
        <v>6500</v>
      </c>
      <c r="AV1806" s="91">
        <v>6500</v>
      </c>
      <c r="AW1806" s="91">
        <v>6500</v>
      </c>
      <c r="AX1806" s="92">
        <v>6500</v>
      </c>
    </row>
    <row r="1807" spans="1:50" x14ac:dyDescent="0.25">
      <c r="A1807" s="347"/>
      <c r="B1807" s="349"/>
      <c r="C1807" s="350"/>
      <c r="D1807" s="4" t="s">
        <v>8</v>
      </c>
      <c r="E1807" s="168" t="str">
        <f>A1806&amp;"/"&amp;B1806&amp;"/"&amp;C1806&amp;"/"&amp;D1807</f>
        <v>Nuclear power plants/Nuclear - current/Electricity only/M</v>
      </c>
      <c r="F1807" s="80" t="str">
        <f>A1806</f>
        <v>Nuclear power plants</v>
      </c>
      <c r="G1807" s="80" t="str">
        <f>B1806</f>
        <v>Nuclear - current</v>
      </c>
      <c r="H1807" s="80" t="str">
        <f>C1806</f>
        <v>Electricity only</v>
      </c>
      <c r="I1807" s="169" t="str">
        <f t="shared" ref="I1807:I1870" si="108">D1807</f>
        <v>M</v>
      </c>
      <c r="J1807" s="99">
        <v>4875</v>
      </c>
      <c r="K1807" s="99">
        <v>4875</v>
      </c>
      <c r="L1807" s="99">
        <v>4875</v>
      </c>
      <c r="M1807" s="99">
        <v>4875</v>
      </c>
      <c r="N1807" s="99">
        <v>4875</v>
      </c>
      <c r="O1807" s="99">
        <v>4875</v>
      </c>
      <c r="P1807" s="99">
        <v>4875</v>
      </c>
      <c r="Q1807" s="99">
        <v>4875</v>
      </c>
      <c r="R1807" s="99">
        <v>4875</v>
      </c>
      <c r="S1807" s="99">
        <v>4875</v>
      </c>
      <c r="T1807" s="99">
        <v>4875</v>
      </c>
      <c r="U1807" s="99">
        <v>4875</v>
      </c>
      <c r="V1807" s="99">
        <v>4875</v>
      </c>
      <c r="W1807" s="99">
        <v>4875</v>
      </c>
      <c r="X1807" s="99">
        <v>4875</v>
      </c>
      <c r="Y1807" s="99">
        <v>4875</v>
      </c>
      <c r="Z1807" s="99">
        <v>4875</v>
      </c>
      <c r="AA1807" s="99">
        <v>4875</v>
      </c>
      <c r="AB1807" s="99">
        <v>4875</v>
      </c>
      <c r="AC1807" s="99">
        <v>4875</v>
      </c>
      <c r="AD1807" s="99">
        <v>4875</v>
      </c>
      <c r="AE1807" s="99">
        <v>4875</v>
      </c>
      <c r="AF1807" s="99">
        <v>4875</v>
      </c>
      <c r="AG1807" s="99">
        <v>4875</v>
      </c>
      <c r="AH1807" s="99">
        <v>4875</v>
      </c>
      <c r="AI1807" s="99">
        <v>4875</v>
      </c>
      <c r="AJ1807" s="99">
        <v>4875</v>
      </c>
      <c r="AK1807" s="99">
        <v>4875</v>
      </c>
      <c r="AL1807" s="99">
        <v>4875</v>
      </c>
      <c r="AM1807" s="99">
        <v>4875</v>
      </c>
      <c r="AN1807" s="99">
        <v>4875</v>
      </c>
      <c r="AO1807" s="99">
        <v>4875</v>
      </c>
      <c r="AP1807" s="99">
        <v>4875</v>
      </c>
      <c r="AQ1807" s="99">
        <v>4875</v>
      </c>
      <c r="AR1807" s="99">
        <v>4875</v>
      </c>
      <c r="AS1807" s="99">
        <v>4875</v>
      </c>
      <c r="AT1807" s="99">
        <v>4875</v>
      </c>
      <c r="AU1807" s="99">
        <v>4875</v>
      </c>
      <c r="AV1807" s="99">
        <v>4875</v>
      </c>
      <c r="AW1807" s="99">
        <v>4875</v>
      </c>
      <c r="AX1807" s="100">
        <v>4875</v>
      </c>
    </row>
    <row r="1808" spans="1:50" x14ac:dyDescent="0.25">
      <c r="A1808" s="347"/>
      <c r="B1808" s="351" t="s">
        <v>9</v>
      </c>
      <c r="C1808" s="353" t="s">
        <v>6</v>
      </c>
      <c r="D1808" s="2" t="s">
        <v>7</v>
      </c>
      <c r="E1808" s="160" t="str">
        <f>A1806&amp;"/"&amp;B1808&amp;"/"&amp;C1808&amp;"/"&amp;D1808</f>
        <v>Nuclear power plants/Nuclear III/Electricity only/L</v>
      </c>
      <c r="F1808" s="76" t="str">
        <f>A1806</f>
        <v>Nuclear power plants</v>
      </c>
      <c r="G1808" s="76" t="str">
        <f>B1808</f>
        <v>Nuclear III</v>
      </c>
      <c r="H1808" s="76" t="str">
        <f>C1808</f>
        <v>Electricity only</v>
      </c>
      <c r="I1808" s="161" t="str">
        <f t="shared" si="108"/>
        <v>L</v>
      </c>
      <c r="J1808" s="91">
        <v>6000</v>
      </c>
      <c r="K1808" s="91">
        <v>6000</v>
      </c>
      <c r="L1808" s="91">
        <v>6000</v>
      </c>
      <c r="M1808" s="91">
        <v>6000</v>
      </c>
      <c r="N1808" s="91">
        <v>6000</v>
      </c>
      <c r="O1808" s="91">
        <v>6000</v>
      </c>
      <c r="P1808" s="91">
        <v>6000</v>
      </c>
      <c r="Q1808" s="91">
        <v>6000</v>
      </c>
      <c r="R1808" s="91">
        <v>6000</v>
      </c>
      <c r="S1808" s="91">
        <v>6000</v>
      </c>
      <c r="T1808" s="91">
        <v>6000</v>
      </c>
      <c r="U1808" s="91">
        <v>6000</v>
      </c>
      <c r="V1808" s="91">
        <v>6000</v>
      </c>
      <c r="W1808" s="91">
        <v>6000</v>
      </c>
      <c r="X1808" s="91">
        <v>6000</v>
      </c>
      <c r="Y1808" s="91">
        <v>6000</v>
      </c>
      <c r="Z1808" s="91">
        <v>6000</v>
      </c>
      <c r="AA1808" s="91">
        <v>6000</v>
      </c>
      <c r="AB1808" s="91">
        <v>6000</v>
      </c>
      <c r="AC1808" s="91">
        <v>6000</v>
      </c>
      <c r="AD1808" s="91">
        <v>6000</v>
      </c>
      <c r="AE1808" s="91">
        <v>6000</v>
      </c>
      <c r="AF1808" s="91">
        <v>6000</v>
      </c>
      <c r="AG1808" s="91">
        <v>6000</v>
      </c>
      <c r="AH1808" s="91">
        <v>6000</v>
      </c>
      <c r="AI1808" s="91">
        <v>6000</v>
      </c>
      <c r="AJ1808" s="91">
        <v>6000</v>
      </c>
      <c r="AK1808" s="91">
        <v>6000</v>
      </c>
      <c r="AL1808" s="91">
        <v>6000</v>
      </c>
      <c r="AM1808" s="91">
        <v>6000</v>
      </c>
      <c r="AN1808" s="91">
        <v>6000</v>
      </c>
      <c r="AO1808" s="91">
        <v>6000</v>
      </c>
      <c r="AP1808" s="91">
        <v>6000</v>
      </c>
      <c r="AQ1808" s="91">
        <v>6000</v>
      </c>
      <c r="AR1808" s="91">
        <v>6000</v>
      </c>
      <c r="AS1808" s="91">
        <v>6000</v>
      </c>
      <c r="AT1808" s="91">
        <v>6000</v>
      </c>
      <c r="AU1808" s="91">
        <v>6000</v>
      </c>
      <c r="AV1808" s="91">
        <v>6000</v>
      </c>
      <c r="AW1808" s="91">
        <v>6000</v>
      </c>
      <c r="AX1808" s="92">
        <v>6000</v>
      </c>
    </row>
    <row r="1809" spans="1:50" x14ac:dyDescent="0.25">
      <c r="A1809" s="347"/>
      <c r="B1809" s="349"/>
      <c r="C1809" s="350"/>
      <c r="D1809" s="2" t="s">
        <v>8</v>
      </c>
      <c r="E1809" s="160" t="str">
        <f>A1806&amp;"/"&amp;B1808&amp;"/"&amp;C1808&amp;"/"&amp;D1809</f>
        <v>Nuclear power plants/Nuclear III/Electricity only/M</v>
      </c>
      <c r="F1809" s="76" t="str">
        <f>A1806</f>
        <v>Nuclear power plants</v>
      </c>
      <c r="G1809" s="76" t="str">
        <f>B1808</f>
        <v>Nuclear III</v>
      </c>
      <c r="H1809" s="76" t="str">
        <f>C1808</f>
        <v>Electricity only</v>
      </c>
      <c r="I1809" s="161" t="str">
        <f t="shared" si="108"/>
        <v>M</v>
      </c>
      <c r="J1809" s="91">
        <v>4200</v>
      </c>
      <c r="K1809" s="91">
        <v>4200</v>
      </c>
      <c r="L1809" s="91">
        <v>4200</v>
      </c>
      <c r="M1809" s="91">
        <v>4200</v>
      </c>
      <c r="N1809" s="91">
        <v>4200</v>
      </c>
      <c r="O1809" s="91">
        <v>4200</v>
      </c>
      <c r="P1809" s="91">
        <v>4200</v>
      </c>
      <c r="Q1809" s="91">
        <v>4200</v>
      </c>
      <c r="R1809" s="91">
        <v>4200</v>
      </c>
      <c r="S1809" s="91">
        <v>4200</v>
      </c>
      <c r="T1809" s="91">
        <v>4200</v>
      </c>
      <c r="U1809" s="91">
        <v>4200</v>
      </c>
      <c r="V1809" s="91">
        <v>4200</v>
      </c>
      <c r="W1809" s="91">
        <v>4200</v>
      </c>
      <c r="X1809" s="91">
        <v>4200</v>
      </c>
      <c r="Y1809" s="91">
        <v>4200</v>
      </c>
      <c r="Z1809" s="91">
        <v>4200</v>
      </c>
      <c r="AA1809" s="91">
        <v>4200</v>
      </c>
      <c r="AB1809" s="91">
        <v>4200</v>
      </c>
      <c r="AC1809" s="91">
        <v>4200</v>
      </c>
      <c r="AD1809" s="91">
        <v>4200</v>
      </c>
      <c r="AE1809" s="91">
        <v>4200</v>
      </c>
      <c r="AF1809" s="91">
        <v>4200</v>
      </c>
      <c r="AG1809" s="91">
        <v>4200</v>
      </c>
      <c r="AH1809" s="91">
        <v>4200</v>
      </c>
      <c r="AI1809" s="91">
        <v>4200</v>
      </c>
      <c r="AJ1809" s="91">
        <v>4200</v>
      </c>
      <c r="AK1809" s="91">
        <v>4200</v>
      </c>
      <c r="AL1809" s="91">
        <v>4200</v>
      </c>
      <c r="AM1809" s="91">
        <v>4200</v>
      </c>
      <c r="AN1809" s="91">
        <v>4200</v>
      </c>
      <c r="AO1809" s="91">
        <v>4200</v>
      </c>
      <c r="AP1809" s="91">
        <v>4200</v>
      </c>
      <c r="AQ1809" s="91">
        <v>4200</v>
      </c>
      <c r="AR1809" s="91">
        <v>4200</v>
      </c>
      <c r="AS1809" s="91">
        <v>4200</v>
      </c>
      <c r="AT1809" s="91">
        <v>4200</v>
      </c>
      <c r="AU1809" s="91">
        <v>4200</v>
      </c>
      <c r="AV1809" s="91">
        <v>4200</v>
      </c>
      <c r="AW1809" s="91">
        <v>4200</v>
      </c>
      <c r="AX1809" s="92">
        <v>4200</v>
      </c>
    </row>
    <row r="1810" spans="1:50" x14ac:dyDescent="0.25">
      <c r="A1810" s="347"/>
      <c r="B1810" s="352"/>
      <c r="C1810" s="354"/>
      <c r="D1810" s="4" t="s">
        <v>10</v>
      </c>
      <c r="E1810" s="168" t="str">
        <f>A1806&amp;"/"&amp;B1808&amp;"/"&amp;C1808&amp;"/"&amp;D1810</f>
        <v>Nuclear power plants/Nuclear III/Electricity only/S</v>
      </c>
      <c r="F1810" s="80" t="str">
        <f>A1806</f>
        <v>Nuclear power plants</v>
      </c>
      <c r="G1810" s="80" t="str">
        <f>B1808</f>
        <v>Nuclear III</v>
      </c>
      <c r="H1810" s="80" t="str">
        <f>C1808</f>
        <v>Electricity only</v>
      </c>
      <c r="I1810" s="169" t="str">
        <f t="shared" si="108"/>
        <v>S</v>
      </c>
      <c r="J1810" s="99" t="s">
        <v>112</v>
      </c>
      <c r="K1810" s="99" t="s">
        <v>112</v>
      </c>
      <c r="L1810" s="99" t="s">
        <v>112</v>
      </c>
      <c r="M1810" s="99" t="s">
        <v>112</v>
      </c>
      <c r="N1810" s="99" t="s">
        <v>112</v>
      </c>
      <c r="O1810" s="99" t="s">
        <v>112</v>
      </c>
      <c r="P1810" s="99" t="s">
        <v>112</v>
      </c>
      <c r="Q1810" s="99" t="s">
        <v>112</v>
      </c>
      <c r="R1810" s="99" t="s">
        <v>112</v>
      </c>
      <c r="S1810" s="99" t="s">
        <v>112</v>
      </c>
      <c r="T1810" s="99" t="s">
        <v>112</v>
      </c>
      <c r="U1810" s="99" t="s">
        <v>112</v>
      </c>
      <c r="V1810" s="99" t="s">
        <v>112</v>
      </c>
      <c r="W1810" s="99" t="s">
        <v>112</v>
      </c>
      <c r="X1810" s="99" t="s">
        <v>112</v>
      </c>
      <c r="Y1810" s="99">
        <v>2730</v>
      </c>
      <c r="Z1810" s="99">
        <v>2730</v>
      </c>
      <c r="AA1810" s="99">
        <v>2730</v>
      </c>
      <c r="AB1810" s="99">
        <v>2730</v>
      </c>
      <c r="AC1810" s="99">
        <v>2730</v>
      </c>
      <c r="AD1810" s="99">
        <v>2730</v>
      </c>
      <c r="AE1810" s="99">
        <v>2730</v>
      </c>
      <c r="AF1810" s="99">
        <v>2730</v>
      </c>
      <c r="AG1810" s="99">
        <v>2730</v>
      </c>
      <c r="AH1810" s="99">
        <v>2730</v>
      </c>
      <c r="AI1810" s="99">
        <v>2730</v>
      </c>
      <c r="AJ1810" s="99">
        <v>2730</v>
      </c>
      <c r="AK1810" s="99">
        <v>2730</v>
      </c>
      <c r="AL1810" s="99">
        <v>2730</v>
      </c>
      <c r="AM1810" s="99">
        <v>2730</v>
      </c>
      <c r="AN1810" s="99">
        <v>2730</v>
      </c>
      <c r="AO1810" s="99">
        <v>2730</v>
      </c>
      <c r="AP1810" s="99">
        <v>2730</v>
      </c>
      <c r="AQ1810" s="99">
        <v>2730</v>
      </c>
      <c r="AR1810" s="99">
        <v>2730</v>
      </c>
      <c r="AS1810" s="99">
        <v>2730</v>
      </c>
      <c r="AT1810" s="99">
        <v>2730</v>
      </c>
      <c r="AU1810" s="99">
        <v>2730</v>
      </c>
      <c r="AV1810" s="99">
        <v>2730</v>
      </c>
      <c r="AW1810" s="99">
        <v>2730</v>
      </c>
      <c r="AX1810" s="100">
        <v>2730</v>
      </c>
    </row>
    <row r="1811" spans="1:50" x14ac:dyDescent="0.25">
      <c r="A1811" s="347"/>
      <c r="B1811" s="349" t="s">
        <v>11</v>
      </c>
      <c r="C1811" s="363" t="s">
        <v>6</v>
      </c>
      <c r="D1811" s="2" t="s">
        <v>7</v>
      </c>
      <c r="E1811" s="160" t="str">
        <f>A1806&amp;"/"&amp;B1811&amp;"/"&amp;C1811&amp;"/"&amp;D1811</f>
        <v>Nuclear power plants/Nuclear IV/Electricity only/L</v>
      </c>
      <c r="F1811" s="76" t="str">
        <f>A1806</f>
        <v>Nuclear power plants</v>
      </c>
      <c r="G1811" s="76" t="str">
        <f>B1811</f>
        <v>Nuclear IV</v>
      </c>
      <c r="H1811" s="76" t="str">
        <f>C1811</f>
        <v>Electricity only</v>
      </c>
      <c r="I1811" s="161" t="str">
        <f t="shared" si="108"/>
        <v>L</v>
      </c>
      <c r="J1811" s="91" t="s">
        <v>112</v>
      </c>
      <c r="K1811" s="91" t="s">
        <v>112</v>
      </c>
      <c r="L1811" s="91" t="s">
        <v>112</v>
      </c>
      <c r="M1811" s="91" t="s">
        <v>112</v>
      </c>
      <c r="N1811" s="91" t="s">
        <v>112</v>
      </c>
      <c r="O1811" s="91" t="s">
        <v>112</v>
      </c>
      <c r="P1811" s="91" t="s">
        <v>112</v>
      </c>
      <c r="Q1811" s="91" t="s">
        <v>112</v>
      </c>
      <c r="R1811" s="91" t="s">
        <v>112</v>
      </c>
      <c r="S1811" s="91" t="s">
        <v>112</v>
      </c>
      <c r="T1811" s="91" t="s">
        <v>112</v>
      </c>
      <c r="U1811" s="91" t="s">
        <v>112</v>
      </c>
      <c r="V1811" s="91" t="s">
        <v>112</v>
      </c>
      <c r="W1811" s="91" t="s">
        <v>112</v>
      </c>
      <c r="X1811" s="91" t="s">
        <v>112</v>
      </c>
      <c r="Y1811" s="91" t="s">
        <v>112</v>
      </c>
      <c r="Z1811" s="91" t="s">
        <v>112</v>
      </c>
      <c r="AA1811" s="91" t="s">
        <v>112</v>
      </c>
      <c r="AB1811" s="91" t="s">
        <v>112</v>
      </c>
      <c r="AC1811" s="91" t="s">
        <v>112</v>
      </c>
      <c r="AD1811" s="91" t="s">
        <v>112</v>
      </c>
      <c r="AE1811" s="91" t="s">
        <v>112</v>
      </c>
      <c r="AF1811" s="91" t="s">
        <v>112</v>
      </c>
      <c r="AG1811" s="91" t="s">
        <v>112</v>
      </c>
      <c r="AH1811" s="91" t="s">
        <v>112</v>
      </c>
      <c r="AI1811" s="91">
        <v>5750</v>
      </c>
      <c r="AJ1811" s="91">
        <v>5750</v>
      </c>
      <c r="AK1811" s="91">
        <v>5750</v>
      </c>
      <c r="AL1811" s="91">
        <v>5750</v>
      </c>
      <c r="AM1811" s="91">
        <v>5750</v>
      </c>
      <c r="AN1811" s="91">
        <v>5750</v>
      </c>
      <c r="AO1811" s="91">
        <v>5750</v>
      </c>
      <c r="AP1811" s="91">
        <v>5750</v>
      </c>
      <c r="AQ1811" s="91">
        <v>5750</v>
      </c>
      <c r="AR1811" s="91">
        <v>5750</v>
      </c>
      <c r="AS1811" s="91">
        <v>5750</v>
      </c>
      <c r="AT1811" s="91">
        <v>5750</v>
      </c>
      <c r="AU1811" s="91">
        <v>5750</v>
      </c>
      <c r="AV1811" s="91">
        <v>5750</v>
      </c>
      <c r="AW1811" s="91">
        <v>5750</v>
      </c>
      <c r="AX1811" s="92">
        <v>5750</v>
      </c>
    </row>
    <row r="1812" spans="1:50" x14ac:dyDescent="0.25">
      <c r="A1812" s="348"/>
      <c r="B1812" s="352"/>
      <c r="C1812" s="364"/>
      <c r="D1812" s="4" t="s">
        <v>8</v>
      </c>
      <c r="E1812" s="160" t="str">
        <f>A1806&amp;"/"&amp;B1811&amp;"/"&amp;C1811&amp;"/"&amp;D1812</f>
        <v>Nuclear power plants/Nuclear IV/Electricity only/M</v>
      </c>
      <c r="F1812" s="76" t="str">
        <f>A1806</f>
        <v>Nuclear power plants</v>
      </c>
      <c r="G1812" s="76" t="str">
        <f>B1811</f>
        <v>Nuclear IV</v>
      </c>
      <c r="H1812" s="76" t="str">
        <f>C1811</f>
        <v>Electricity only</v>
      </c>
      <c r="I1812" s="161" t="str">
        <f t="shared" si="108"/>
        <v>M</v>
      </c>
      <c r="J1812" s="91" t="s">
        <v>112</v>
      </c>
      <c r="K1812" s="91" t="s">
        <v>112</v>
      </c>
      <c r="L1812" s="91" t="s">
        <v>112</v>
      </c>
      <c r="M1812" s="91" t="s">
        <v>112</v>
      </c>
      <c r="N1812" s="91" t="s">
        <v>112</v>
      </c>
      <c r="O1812" s="91" t="s">
        <v>112</v>
      </c>
      <c r="P1812" s="91" t="s">
        <v>112</v>
      </c>
      <c r="Q1812" s="91" t="s">
        <v>112</v>
      </c>
      <c r="R1812" s="91" t="s">
        <v>112</v>
      </c>
      <c r="S1812" s="91" t="s">
        <v>112</v>
      </c>
      <c r="T1812" s="91" t="s">
        <v>112</v>
      </c>
      <c r="U1812" s="91" t="s">
        <v>112</v>
      </c>
      <c r="V1812" s="91" t="s">
        <v>112</v>
      </c>
      <c r="W1812" s="91" t="s">
        <v>112</v>
      </c>
      <c r="X1812" s="91" t="s">
        <v>112</v>
      </c>
      <c r="Y1812" s="91" t="s">
        <v>112</v>
      </c>
      <c r="Z1812" s="91" t="s">
        <v>112</v>
      </c>
      <c r="AA1812" s="91" t="s">
        <v>112</v>
      </c>
      <c r="AB1812" s="91" t="s">
        <v>112</v>
      </c>
      <c r="AC1812" s="91" t="s">
        <v>112</v>
      </c>
      <c r="AD1812" s="91" t="s">
        <v>112</v>
      </c>
      <c r="AE1812" s="91" t="s">
        <v>112</v>
      </c>
      <c r="AF1812" s="91" t="s">
        <v>112</v>
      </c>
      <c r="AG1812" s="91" t="s">
        <v>112</v>
      </c>
      <c r="AH1812" s="91" t="s">
        <v>112</v>
      </c>
      <c r="AI1812" s="91">
        <v>4168.75</v>
      </c>
      <c r="AJ1812" s="91">
        <v>4168.75</v>
      </c>
      <c r="AK1812" s="91">
        <v>4168.75</v>
      </c>
      <c r="AL1812" s="91">
        <v>4168.75</v>
      </c>
      <c r="AM1812" s="91">
        <v>4168.75</v>
      </c>
      <c r="AN1812" s="91">
        <v>4168.75</v>
      </c>
      <c r="AO1812" s="91">
        <v>4168.75</v>
      </c>
      <c r="AP1812" s="91">
        <v>4168.75</v>
      </c>
      <c r="AQ1812" s="91">
        <v>4168.75</v>
      </c>
      <c r="AR1812" s="91">
        <v>4168.75</v>
      </c>
      <c r="AS1812" s="91">
        <v>4168.75</v>
      </c>
      <c r="AT1812" s="91">
        <v>4168.75</v>
      </c>
      <c r="AU1812" s="91">
        <v>4168.75</v>
      </c>
      <c r="AV1812" s="91">
        <v>4168.75</v>
      </c>
      <c r="AW1812" s="91">
        <v>4168.75</v>
      </c>
      <c r="AX1812" s="92">
        <v>4168.75</v>
      </c>
    </row>
    <row r="1813" spans="1:50" x14ac:dyDescent="0.25">
      <c r="A1813" s="355" t="s">
        <v>12</v>
      </c>
      <c r="B1813" s="358" t="s">
        <v>13</v>
      </c>
      <c r="C1813" s="353" t="s">
        <v>6</v>
      </c>
      <c r="D1813" s="3" t="s">
        <v>7</v>
      </c>
      <c r="E1813" s="162" t="str">
        <f>A1813&amp;"/"&amp;B1813&amp;"/"&amp;C1813&amp;"/"&amp;D1813</f>
        <v>Coal fired power plants/Integrated gasification combined cycle/Electricity only/L</v>
      </c>
      <c r="F1813" s="77" t="str">
        <f>A1813</f>
        <v>Coal fired power plants</v>
      </c>
      <c r="G1813" s="77" t="str">
        <f>B1813</f>
        <v>Integrated gasification combined cycle</v>
      </c>
      <c r="H1813" s="77" t="str">
        <f>C1813</f>
        <v>Electricity only</v>
      </c>
      <c r="I1813" s="163" t="str">
        <f t="shared" si="108"/>
        <v>L</v>
      </c>
      <c r="J1813" s="93">
        <v>6700</v>
      </c>
      <c r="K1813" s="93">
        <v>6700</v>
      </c>
      <c r="L1813" s="93">
        <v>6700</v>
      </c>
      <c r="M1813" s="93">
        <v>6700</v>
      </c>
      <c r="N1813" s="93">
        <v>6700</v>
      </c>
      <c r="O1813" s="93">
        <v>6700</v>
      </c>
      <c r="P1813" s="93">
        <v>6700</v>
      </c>
      <c r="Q1813" s="93">
        <v>6700</v>
      </c>
      <c r="R1813" s="93">
        <v>6700</v>
      </c>
      <c r="S1813" s="93">
        <v>6700</v>
      </c>
      <c r="T1813" s="93">
        <v>6700</v>
      </c>
      <c r="U1813" s="93">
        <v>6700</v>
      </c>
      <c r="V1813" s="93">
        <v>6700</v>
      </c>
      <c r="W1813" s="93">
        <v>6700</v>
      </c>
      <c r="X1813" s="93">
        <v>6700</v>
      </c>
      <c r="Y1813" s="93">
        <v>6700</v>
      </c>
      <c r="Z1813" s="93">
        <v>6700</v>
      </c>
      <c r="AA1813" s="93">
        <v>6700</v>
      </c>
      <c r="AB1813" s="93">
        <v>6700</v>
      </c>
      <c r="AC1813" s="93">
        <v>6700</v>
      </c>
      <c r="AD1813" s="93">
        <v>6700</v>
      </c>
      <c r="AE1813" s="93">
        <v>6700</v>
      </c>
      <c r="AF1813" s="93">
        <v>6700</v>
      </c>
      <c r="AG1813" s="93">
        <v>6700</v>
      </c>
      <c r="AH1813" s="93">
        <v>6700</v>
      </c>
      <c r="AI1813" s="93">
        <v>6700</v>
      </c>
      <c r="AJ1813" s="93">
        <v>6700</v>
      </c>
      <c r="AK1813" s="93">
        <v>6700</v>
      </c>
      <c r="AL1813" s="93">
        <v>6700</v>
      </c>
      <c r="AM1813" s="93">
        <v>6700</v>
      </c>
      <c r="AN1813" s="93">
        <v>6700</v>
      </c>
      <c r="AO1813" s="93">
        <v>6700</v>
      </c>
      <c r="AP1813" s="93">
        <v>6700</v>
      </c>
      <c r="AQ1813" s="93">
        <v>6700</v>
      </c>
      <c r="AR1813" s="93">
        <v>6700</v>
      </c>
      <c r="AS1813" s="93">
        <v>6700</v>
      </c>
      <c r="AT1813" s="93">
        <v>6700</v>
      </c>
      <c r="AU1813" s="93">
        <v>6700</v>
      </c>
      <c r="AV1813" s="93">
        <v>6700</v>
      </c>
      <c r="AW1813" s="93">
        <v>6700</v>
      </c>
      <c r="AX1813" s="94">
        <v>6700</v>
      </c>
    </row>
    <row r="1814" spans="1:50" x14ac:dyDescent="0.25">
      <c r="A1814" s="356"/>
      <c r="B1814" s="359"/>
      <c r="C1814" s="360"/>
      <c r="D1814" s="2" t="s">
        <v>8</v>
      </c>
      <c r="E1814" s="160" t="str">
        <f>A1813&amp;"/"&amp;B1813&amp;"/"&amp;C1813&amp;"/"&amp;D1814</f>
        <v>Coal fired power plants/Integrated gasification combined cycle/Electricity only/M</v>
      </c>
      <c r="F1814" s="76" t="str">
        <f>A1813</f>
        <v>Coal fired power plants</v>
      </c>
      <c r="G1814" s="76" t="str">
        <f>B1813</f>
        <v>Integrated gasification combined cycle</v>
      </c>
      <c r="H1814" s="76" t="str">
        <f>C1813</f>
        <v>Electricity only</v>
      </c>
      <c r="I1814" s="161" t="str">
        <f t="shared" si="108"/>
        <v>M</v>
      </c>
      <c r="J1814" s="91">
        <v>4556</v>
      </c>
      <c r="K1814" s="91">
        <v>4556</v>
      </c>
      <c r="L1814" s="91">
        <v>4556</v>
      </c>
      <c r="M1814" s="91">
        <v>4556</v>
      </c>
      <c r="N1814" s="91">
        <v>4556</v>
      </c>
      <c r="O1814" s="91">
        <v>4556</v>
      </c>
      <c r="P1814" s="91">
        <v>4556</v>
      </c>
      <c r="Q1814" s="91">
        <v>4556</v>
      </c>
      <c r="R1814" s="91">
        <v>4556</v>
      </c>
      <c r="S1814" s="91">
        <v>4556</v>
      </c>
      <c r="T1814" s="91">
        <v>4556</v>
      </c>
      <c r="U1814" s="91">
        <v>4556</v>
      </c>
      <c r="V1814" s="91">
        <v>4556</v>
      </c>
      <c r="W1814" s="91">
        <v>4556</v>
      </c>
      <c r="X1814" s="91">
        <v>4556</v>
      </c>
      <c r="Y1814" s="91">
        <v>4556</v>
      </c>
      <c r="Z1814" s="91">
        <v>4556</v>
      </c>
      <c r="AA1814" s="91">
        <v>4556</v>
      </c>
      <c r="AB1814" s="91">
        <v>4556</v>
      </c>
      <c r="AC1814" s="91">
        <v>4556</v>
      </c>
      <c r="AD1814" s="91">
        <v>4556</v>
      </c>
      <c r="AE1814" s="91">
        <v>4556</v>
      </c>
      <c r="AF1814" s="91">
        <v>4556</v>
      </c>
      <c r="AG1814" s="91">
        <v>4556</v>
      </c>
      <c r="AH1814" s="91">
        <v>4556</v>
      </c>
      <c r="AI1814" s="91">
        <v>4556</v>
      </c>
      <c r="AJ1814" s="91">
        <v>4556</v>
      </c>
      <c r="AK1814" s="91">
        <v>4556</v>
      </c>
      <c r="AL1814" s="91">
        <v>4556</v>
      </c>
      <c r="AM1814" s="91">
        <v>4556</v>
      </c>
      <c r="AN1814" s="91">
        <v>4556</v>
      </c>
      <c r="AO1814" s="91">
        <v>4556</v>
      </c>
      <c r="AP1814" s="91">
        <v>4556</v>
      </c>
      <c r="AQ1814" s="91">
        <v>4556</v>
      </c>
      <c r="AR1814" s="91">
        <v>4556</v>
      </c>
      <c r="AS1814" s="91">
        <v>4556</v>
      </c>
      <c r="AT1814" s="91">
        <v>4556</v>
      </c>
      <c r="AU1814" s="91">
        <v>4556</v>
      </c>
      <c r="AV1814" s="91">
        <v>4556</v>
      </c>
      <c r="AW1814" s="91">
        <v>4556</v>
      </c>
      <c r="AX1814" s="92">
        <v>4556</v>
      </c>
    </row>
    <row r="1815" spans="1:50" x14ac:dyDescent="0.25">
      <c r="A1815" s="356"/>
      <c r="B1815" s="359"/>
      <c r="C1815" s="361" t="s">
        <v>14</v>
      </c>
      <c r="D1815" s="58" t="s">
        <v>7</v>
      </c>
      <c r="E1815" s="164" t="str">
        <f>A1813&amp;"/"&amp;B1813&amp;"/"&amp;C1815&amp;"/"&amp;D1815</f>
        <v>Coal fired power plants/Integrated gasification combined cycle/CHP/L</v>
      </c>
      <c r="F1815" s="78" t="str">
        <f>A1813</f>
        <v>Coal fired power plants</v>
      </c>
      <c r="G1815" s="78" t="str">
        <f>B1813</f>
        <v>Integrated gasification combined cycle</v>
      </c>
      <c r="H1815" s="78" t="str">
        <f>C1815</f>
        <v>CHP</v>
      </c>
      <c r="I1815" s="165" t="str">
        <f t="shared" si="108"/>
        <v>L</v>
      </c>
      <c r="J1815" s="95">
        <v>5360</v>
      </c>
      <c r="K1815" s="95">
        <v>5360</v>
      </c>
      <c r="L1815" s="95">
        <v>5360</v>
      </c>
      <c r="M1815" s="95">
        <v>5360</v>
      </c>
      <c r="N1815" s="95">
        <v>5360</v>
      </c>
      <c r="O1815" s="95">
        <v>5360</v>
      </c>
      <c r="P1815" s="95">
        <v>5360</v>
      </c>
      <c r="Q1815" s="95">
        <v>5360</v>
      </c>
      <c r="R1815" s="95">
        <v>5360</v>
      </c>
      <c r="S1815" s="95">
        <v>5360</v>
      </c>
      <c r="T1815" s="95">
        <v>5360</v>
      </c>
      <c r="U1815" s="95">
        <v>5360</v>
      </c>
      <c r="V1815" s="95">
        <v>5360</v>
      </c>
      <c r="W1815" s="95">
        <v>5360</v>
      </c>
      <c r="X1815" s="95">
        <v>5360</v>
      </c>
      <c r="Y1815" s="95">
        <v>5360</v>
      </c>
      <c r="Z1815" s="95">
        <v>5360</v>
      </c>
      <c r="AA1815" s="95">
        <v>5360</v>
      </c>
      <c r="AB1815" s="95">
        <v>5360</v>
      </c>
      <c r="AC1815" s="95">
        <v>5360</v>
      </c>
      <c r="AD1815" s="95">
        <v>5360</v>
      </c>
      <c r="AE1815" s="95">
        <v>5360</v>
      </c>
      <c r="AF1815" s="95">
        <v>5360</v>
      </c>
      <c r="AG1815" s="95">
        <v>5360</v>
      </c>
      <c r="AH1815" s="95">
        <v>5360</v>
      </c>
      <c r="AI1815" s="95">
        <v>5360</v>
      </c>
      <c r="AJ1815" s="95">
        <v>5360</v>
      </c>
      <c r="AK1815" s="95">
        <v>5360</v>
      </c>
      <c r="AL1815" s="95">
        <v>5360</v>
      </c>
      <c r="AM1815" s="95">
        <v>5360</v>
      </c>
      <c r="AN1815" s="95">
        <v>5360</v>
      </c>
      <c r="AO1815" s="95">
        <v>5360</v>
      </c>
      <c r="AP1815" s="95">
        <v>5360</v>
      </c>
      <c r="AQ1815" s="95">
        <v>5360</v>
      </c>
      <c r="AR1815" s="95">
        <v>5360</v>
      </c>
      <c r="AS1815" s="95">
        <v>5360</v>
      </c>
      <c r="AT1815" s="95">
        <v>5360</v>
      </c>
      <c r="AU1815" s="95">
        <v>5360</v>
      </c>
      <c r="AV1815" s="95">
        <v>5360</v>
      </c>
      <c r="AW1815" s="95">
        <v>5360</v>
      </c>
      <c r="AX1815" s="96">
        <v>5360</v>
      </c>
    </row>
    <row r="1816" spans="1:50" x14ac:dyDescent="0.25">
      <c r="A1816" s="356"/>
      <c r="B1816" s="359"/>
      <c r="C1816" s="360"/>
      <c r="D1816" s="59" t="s">
        <v>8</v>
      </c>
      <c r="E1816" s="166" t="str">
        <f>A1813&amp;"/"&amp;B1813&amp;"/"&amp;C1815&amp;"/"&amp;D1816</f>
        <v>Coal fired power plants/Integrated gasification combined cycle/CHP/M</v>
      </c>
      <c r="F1816" s="79" t="str">
        <f>A1813</f>
        <v>Coal fired power plants</v>
      </c>
      <c r="G1816" s="79" t="str">
        <f>B1813</f>
        <v>Integrated gasification combined cycle</v>
      </c>
      <c r="H1816" s="79" t="str">
        <f>C1815</f>
        <v>CHP</v>
      </c>
      <c r="I1816" s="167" t="str">
        <f t="shared" si="108"/>
        <v>M</v>
      </c>
      <c r="J1816" s="97">
        <v>3216</v>
      </c>
      <c r="K1816" s="97">
        <v>3216</v>
      </c>
      <c r="L1816" s="97">
        <v>3216</v>
      </c>
      <c r="M1816" s="97">
        <v>3216</v>
      </c>
      <c r="N1816" s="97">
        <v>3216</v>
      </c>
      <c r="O1816" s="97">
        <v>3216</v>
      </c>
      <c r="P1816" s="97">
        <v>3216</v>
      </c>
      <c r="Q1816" s="97">
        <v>3216</v>
      </c>
      <c r="R1816" s="97">
        <v>3216</v>
      </c>
      <c r="S1816" s="97">
        <v>3216</v>
      </c>
      <c r="T1816" s="97">
        <v>3216</v>
      </c>
      <c r="U1816" s="97">
        <v>3216</v>
      </c>
      <c r="V1816" s="97">
        <v>3216</v>
      </c>
      <c r="W1816" s="97">
        <v>3216</v>
      </c>
      <c r="X1816" s="97">
        <v>3216</v>
      </c>
      <c r="Y1816" s="97">
        <v>3216</v>
      </c>
      <c r="Z1816" s="97">
        <v>3216</v>
      </c>
      <c r="AA1816" s="97">
        <v>3216</v>
      </c>
      <c r="AB1816" s="97">
        <v>3216</v>
      </c>
      <c r="AC1816" s="97">
        <v>3216</v>
      </c>
      <c r="AD1816" s="97">
        <v>3216</v>
      </c>
      <c r="AE1816" s="97">
        <v>3216</v>
      </c>
      <c r="AF1816" s="97">
        <v>3216</v>
      </c>
      <c r="AG1816" s="97">
        <v>3216</v>
      </c>
      <c r="AH1816" s="97">
        <v>3216</v>
      </c>
      <c r="AI1816" s="97">
        <v>3216</v>
      </c>
      <c r="AJ1816" s="97">
        <v>3216</v>
      </c>
      <c r="AK1816" s="97">
        <v>3216</v>
      </c>
      <c r="AL1816" s="97">
        <v>3216</v>
      </c>
      <c r="AM1816" s="97">
        <v>3216</v>
      </c>
      <c r="AN1816" s="97">
        <v>3216</v>
      </c>
      <c r="AO1816" s="97">
        <v>3216</v>
      </c>
      <c r="AP1816" s="97">
        <v>3216</v>
      </c>
      <c r="AQ1816" s="97">
        <v>3216</v>
      </c>
      <c r="AR1816" s="97">
        <v>3216</v>
      </c>
      <c r="AS1816" s="97">
        <v>3216</v>
      </c>
      <c r="AT1816" s="97">
        <v>3216</v>
      </c>
      <c r="AU1816" s="97">
        <v>3216</v>
      </c>
      <c r="AV1816" s="97">
        <v>3216</v>
      </c>
      <c r="AW1816" s="97">
        <v>3216</v>
      </c>
      <c r="AX1816" s="98">
        <v>3216</v>
      </c>
    </row>
    <row r="1817" spans="1:50" x14ac:dyDescent="0.25">
      <c r="A1817" s="356"/>
      <c r="B1817" s="359"/>
      <c r="C1817" s="361" t="s">
        <v>15</v>
      </c>
      <c r="D1817" s="58" t="s">
        <v>7</v>
      </c>
      <c r="E1817" s="164" t="str">
        <f>A1813&amp;"/"&amp;B1813&amp;"/"&amp;C1817&amp;"/"&amp;D1817</f>
        <v>Coal fired power plants/Integrated gasification combined cycle/Electricity only with CCS/L</v>
      </c>
      <c r="F1817" s="78" t="str">
        <f>A1813</f>
        <v>Coal fired power plants</v>
      </c>
      <c r="G1817" s="78" t="str">
        <f>B1813</f>
        <v>Integrated gasification combined cycle</v>
      </c>
      <c r="H1817" s="78" t="str">
        <f>C1817</f>
        <v>Electricity only with CCS</v>
      </c>
      <c r="I1817" s="165" t="str">
        <f t="shared" si="108"/>
        <v>L</v>
      </c>
      <c r="J1817" s="95" t="s">
        <v>112</v>
      </c>
      <c r="K1817" s="95" t="s">
        <v>112</v>
      </c>
      <c r="L1817" s="95" t="s">
        <v>112</v>
      </c>
      <c r="M1817" s="95" t="s">
        <v>112</v>
      </c>
      <c r="N1817" s="95" t="s">
        <v>112</v>
      </c>
      <c r="O1817" s="95" t="s">
        <v>112</v>
      </c>
      <c r="P1817" s="95" t="s">
        <v>112</v>
      </c>
      <c r="Q1817" s="95" t="s">
        <v>112</v>
      </c>
      <c r="R1817" s="95" t="s">
        <v>112</v>
      </c>
      <c r="S1817" s="95" t="s">
        <v>112</v>
      </c>
      <c r="T1817" s="95" t="s">
        <v>112</v>
      </c>
      <c r="U1817" s="95" t="s">
        <v>112</v>
      </c>
      <c r="V1817" s="95" t="s">
        <v>112</v>
      </c>
      <c r="W1817" s="95" t="s">
        <v>112</v>
      </c>
      <c r="X1817" s="95" t="s">
        <v>112</v>
      </c>
      <c r="Y1817" s="95" t="s">
        <v>112</v>
      </c>
      <c r="Z1817" s="95" t="s">
        <v>112</v>
      </c>
      <c r="AA1817" s="95" t="s">
        <v>112</v>
      </c>
      <c r="AB1817" s="95" t="s">
        <v>112</v>
      </c>
      <c r="AC1817" s="95" t="s">
        <v>112</v>
      </c>
      <c r="AD1817" s="95" t="s">
        <v>112</v>
      </c>
      <c r="AE1817" s="95">
        <v>6700</v>
      </c>
      <c r="AF1817" s="95">
        <v>6700</v>
      </c>
      <c r="AG1817" s="95">
        <v>6700</v>
      </c>
      <c r="AH1817" s="95">
        <v>6700</v>
      </c>
      <c r="AI1817" s="95">
        <v>6700</v>
      </c>
      <c r="AJ1817" s="95">
        <v>6700</v>
      </c>
      <c r="AK1817" s="95">
        <v>6700</v>
      </c>
      <c r="AL1817" s="95">
        <v>6700</v>
      </c>
      <c r="AM1817" s="95">
        <v>6700</v>
      </c>
      <c r="AN1817" s="95">
        <v>6700</v>
      </c>
      <c r="AO1817" s="95">
        <v>6700</v>
      </c>
      <c r="AP1817" s="95">
        <v>6700</v>
      </c>
      <c r="AQ1817" s="95">
        <v>6700</v>
      </c>
      <c r="AR1817" s="95">
        <v>6700</v>
      </c>
      <c r="AS1817" s="95">
        <v>6700</v>
      </c>
      <c r="AT1817" s="95">
        <v>6700</v>
      </c>
      <c r="AU1817" s="95">
        <v>6700</v>
      </c>
      <c r="AV1817" s="95">
        <v>6700</v>
      </c>
      <c r="AW1817" s="95">
        <v>6700</v>
      </c>
      <c r="AX1817" s="96">
        <v>6700</v>
      </c>
    </row>
    <row r="1818" spans="1:50" x14ac:dyDescent="0.25">
      <c r="A1818" s="356"/>
      <c r="B1818" s="359"/>
      <c r="C1818" s="360"/>
      <c r="D1818" s="59" t="s">
        <v>8</v>
      </c>
      <c r="E1818" s="166" t="str">
        <f>A1813&amp;"/"&amp;B1813&amp;"/"&amp;C1817&amp;"/"&amp;D1818</f>
        <v>Coal fired power plants/Integrated gasification combined cycle/Electricity only with CCS/M</v>
      </c>
      <c r="F1818" s="79" t="str">
        <f>A1813</f>
        <v>Coal fired power plants</v>
      </c>
      <c r="G1818" s="79" t="str">
        <f>B1813</f>
        <v>Integrated gasification combined cycle</v>
      </c>
      <c r="H1818" s="79" t="str">
        <f>C1817</f>
        <v>Electricity only with CCS</v>
      </c>
      <c r="I1818" s="167" t="str">
        <f t="shared" si="108"/>
        <v>M</v>
      </c>
      <c r="J1818" s="97" t="s">
        <v>112</v>
      </c>
      <c r="K1818" s="97" t="s">
        <v>112</v>
      </c>
      <c r="L1818" s="97" t="s">
        <v>112</v>
      </c>
      <c r="M1818" s="97" t="s">
        <v>112</v>
      </c>
      <c r="N1818" s="97" t="s">
        <v>112</v>
      </c>
      <c r="O1818" s="97" t="s">
        <v>112</v>
      </c>
      <c r="P1818" s="97" t="s">
        <v>112</v>
      </c>
      <c r="Q1818" s="97" t="s">
        <v>112</v>
      </c>
      <c r="R1818" s="97" t="s">
        <v>112</v>
      </c>
      <c r="S1818" s="97" t="s">
        <v>112</v>
      </c>
      <c r="T1818" s="97" t="s">
        <v>112</v>
      </c>
      <c r="U1818" s="97" t="s">
        <v>112</v>
      </c>
      <c r="V1818" s="97" t="s">
        <v>112</v>
      </c>
      <c r="W1818" s="97" t="s">
        <v>112</v>
      </c>
      <c r="X1818" s="97" t="s">
        <v>112</v>
      </c>
      <c r="Y1818" s="97" t="s">
        <v>112</v>
      </c>
      <c r="Z1818" s="97" t="s">
        <v>112</v>
      </c>
      <c r="AA1818" s="97" t="s">
        <v>112</v>
      </c>
      <c r="AB1818" s="97" t="s">
        <v>112</v>
      </c>
      <c r="AC1818" s="97" t="s">
        <v>112</v>
      </c>
      <c r="AD1818" s="97" t="s">
        <v>112</v>
      </c>
      <c r="AE1818" s="97">
        <v>4556</v>
      </c>
      <c r="AF1818" s="97">
        <v>4556</v>
      </c>
      <c r="AG1818" s="97">
        <v>4556</v>
      </c>
      <c r="AH1818" s="97">
        <v>4556</v>
      </c>
      <c r="AI1818" s="97">
        <v>4556</v>
      </c>
      <c r="AJ1818" s="97">
        <v>4556</v>
      </c>
      <c r="AK1818" s="97">
        <v>4556</v>
      </c>
      <c r="AL1818" s="97">
        <v>4556</v>
      </c>
      <c r="AM1818" s="97">
        <v>4556</v>
      </c>
      <c r="AN1818" s="97">
        <v>4556</v>
      </c>
      <c r="AO1818" s="97">
        <v>4556</v>
      </c>
      <c r="AP1818" s="97">
        <v>4556</v>
      </c>
      <c r="AQ1818" s="97">
        <v>4556</v>
      </c>
      <c r="AR1818" s="97">
        <v>4556</v>
      </c>
      <c r="AS1818" s="97">
        <v>4556</v>
      </c>
      <c r="AT1818" s="97">
        <v>4556</v>
      </c>
      <c r="AU1818" s="97">
        <v>4556</v>
      </c>
      <c r="AV1818" s="97">
        <v>4556</v>
      </c>
      <c r="AW1818" s="97">
        <v>4556</v>
      </c>
      <c r="AX1818" s="98">
        <v>4556</v>
      </c>
    </row>
    <row r="1819" spans="1:50" x14ac:dyDescent="0.25">
      <c r="A1819" s="356"/>
      <c r="B1819" s="359"/>
      <c r="C1819" s="361" t="s">
        <v>16</v>
      </c>
      <c r="D1819" s="2" t="s">
        <v>7</v>
      </c>
      <c r="E1819" s="160" t="str">
        <f>A1813&amp;"/"&amp;B1813&amp;"/"&amp;C1819&amp;"/"&amp;D1819</f>
        <v>Coal fired power plants/Integrated gasification combined cycle/CHP with CCS/L</v>
      </c>
      <c r="F1819" s="76" t="str">
        <f>A1813</f>
        <v>Coal fired power plants</v>
      </c>
      <c r="G1819" s="76" t="str">
        <f>B1813</f>
        <v>Integrated gasification combined cycle</v>
      </c>
      <c r="H1819" s="76" t="str">
        <f>C1819</f>
        <v>CHP with CCS</v>
      </c>
      <c r="I1819" s="161" t="str">
        <f t="shared" si="108"/>
        <v>L</v>
      </c>
      <c r="J1819" s="91" t="s">
        <v>112</v>
      </c>
      <c r="K1819" s="91" t="s">
        <v>112</v>
      </c>
      <c r="L1819" s="91" t="s">
        <v>112</v>
      </c>
      <c r="M1819" s="91" t="s">
        <v>112</v>
      </c>
      <c r="N1819" s="91" t="s">
        <v>112</v>
      </c>
      <c r="O1819" s="91" t="s">
        <v>112</v>
      </c>
      <c r="P1819" s="91" t="s">
        <v>112</v>
      </c>
      <c r="Q1819" s="91" t="s">
        <v>112</v>
      </c>
      <c r="R1819" s="91" t="s">
        <v>112</v>
      </c>
      <c r="S1819" s="91" t="s">
        <v>112</v>
      </c>
      <c r="T1819" s="91" t="s">
        <v>112</v>
      </c>
      <c r="U1819" s="91" t="s">
        <v>112</v>
      </c>
      <c r="V1819" s="91" t="s">
        <v>112</v>
      </c>
      <c r="W1819" s="91" t="s">
        <v>112</v>
      </c>
      <c r="X1819" s="91" t="s">
        <v>112</v>
      </c>
      <c r="Y1819" s="91" t="s">
        <v>112</v>
      </c>
      <c r="Z1819" s="91" t="s">
        <v>112</v>
      </c>
      <c r="AA1819" s="91" t="s">
        <v>112</v>
      </c>
      <c r="AB1819" s="91" t="s">
        <v>112</v>
      </c>
      <c r="AC1819" s="91" t="s">
        <v>112</v>
      </c>
      <c r="AD1819" s="91" t="s">
        <v>112</v>
      </c>
      <c r="AE1819" s="91">
        <v>5360</v>
      </c>
      <c r="AF1819" s="91">
        <v>5360</v>
      </c>
      <c r="AG1819" s="91">
        <v>5360</v>
      </c>
      <c r="AH1819" s="91">
        <v>5360</v>
      </c>
      <c r="AI1819" s="91">
        <v>5360</v>
      </c>
      <c r="AJ1819" s="91">
        <v>5360</v>
      </c>
      <c r="AK1819" s="91">
        <v>5360</v>
      </c>
      <c r="AL1819" s="91">
        <v>5360</v>
      </c>
      <c r="AM1819" s="91">
        <v>5360</v>
      </c>
      <c r="AN1819" s="91">
        <v>5360</v>
      </c>
      <c r="AO1819" s="91">
        <v>5360</v>
      </c>
      <c r="AP1819" s="91">
        <v>5360</v>
      </c>
      <c r="AQ1819" s="91">
        <v>5360</v>
      </c>
      <c r="AR1819" s="91">
        <v>5360</v>
      </c>
      <c r="AS1819" s="91">
        <v>5360</v>
      </c>
      <c r="AT1819" s="91">
        <v>5360</v>
      </c>
      <c r="AU1819" s="91">
        <v>5360</v>
      </c>
      <c r="AV1819" s="91">
        <v>5360</v>
      </c>
      <c r="AW1819" s="91">
        <v>5360</v>
      </c>
      <c r="AX1819" s="92">
        <v>5360</v>
      </c>
    </row>
    <row r="1820" spans="1:50" x14ac:dyDescent="0.25">
      <c r="A1820" s="356"/>
      <c r="B1820" s="362"/>
      <c r="C1820" s="354"/>
      <c r="D1820" s="4" t="s">
        <v>8</v>
      </c>
      <c r="E1820" s="168" t="str">
        <f>A1813&amp;"/"&amp;B1813&amp;"/"&amp;C1819&amp;"/"&amp;D1820</f>
        <v>Coal fired power plants/Integrated gasification combined cycle/CHP with CCS/M</v>
      </c>
      <c r="F1820" s="80" t="str">
        <f>A1813</f>
        <v>Coal fired power plants</v>
      </c>
      <c r="G1820" s="80" t="str">
        <f>B1813</f>
        <v>Integrated gasification combined cycle</v>
      </c>
      <c r="H1820" s="80" t="str">
        <f>C1819</f>
        <v>CHP with CCS</v>
      </c>
      <c r="I1820" s="169" t="str">
        <f t="shared" si="108"/>
        <v>M</v>
      </c>
      <c r="J1820" s="99" t="s">
        <v>112</v>
      </c>
      <c r="K1820" s="99" t="s">
        <v>112</v>
      </c>
      <c r="L1820" s="99" t="s">
        <v>112</v>
      </c>
      <c r="M1820" s="99" t="s">
        <v>112</v>
      </c>
      <c r="N1820" s="99" t="s">
        <v>112</v>
      </c>
      <c r="O1820" s="99" t="s">
        <v>112</v>
      </c>
      <c r="P1820" s="99" t="s">
        <v>112</v>
      </c>
      <c r="Q1820" s="99" t="s">
        <v>112</v>
      </c>
      <c r="R1820" s="99" t="s">
        <v>112</v>
      </c>
      <c r="S1820" s="99" t="s">
        <v>112</v>
      </c>
      <c r="T1820" s="99" t="s">
        <v>112</v>
      </c>
      <c r="U1820" s="99" t="s">
        <v>112</v>
      </c>
      <c r="V1820" s="99" t="s">
        <v>112</v>
      </c>
      <c r="W1820" s="99" t="s">
        <v>112</v>
      </c>
      <c r="X1820" s="99" t="s">
        <v>112</v>
      </c>
      <c r="Y1820" s="99" t="s">
        <v>112</v>
      </c>
      <c r="Z1820" s="99" t="s">
        <v>112</v>
      </c>
      <c r="AA1820" s="99" t="s">
        <v>112</v>
      </c>
      <c r="AB1820" s="99" t="s">
        <v>112</v>
      </c>
      <c r="AC1820" s="99" t="s">
        <v>112</v>
      </c>
      <c r="AD1820" s="99" t="s">
        <v>112</v>
      </c>
      <c r="AE1820" s="99">
        <v>3216</v>
      </c>
      <c r="AF1820" s="99">
        <v>3216</v>
      </c>
      <c r="AG1820" s="99">
        <v>3216</v>
      </c>
      <c r="AH1820" s="99">
        <v>3216</v>
      </c>
      <c r="AI1820" s="99">
        <v>3216</v>
      </c>
      <c r="AJ1820" s="99">
        <v>3216</v>
      </c>
      <c r="AK1820" s="99">
        <v>3216</v>
      </c>
      <c r="AL1820" s="99">
        <v>3216</v>
      </c>
      <c r="AM1820" s="99">
        <v>3216</v>
      </c>
      <c r="AN1820" s="99">
        <v>3216</v>
      </c>
      <c r="AO1820" s="99">
        <v>3216</v>
      </c>
      <c r="AP1820" s="99">
        <v>3216</v>
      </c>
      <c r="AQ1820" s="99">
        <v>3216</v>
      </c>
      <c r="AR1820" s="99">
        <v>3216</v>
      </c>
      <c r="AS1820" s="99">
        <v>3216</v>
      </c>
      <c r="AT1820" s="99">
        <v>3216</v>
      </c>
      <c r="AU1820" s="99">
        <v>3216</v>
      </c>
      <c r="AV1820" s="99">
        <v>3216</v>
      </c>
      <c r="AW1820" s="99">
        <v>3216</v>
      </c>
      <c r="AX1820" s="100">
        <v>3216</v>
      </c>
    </row>
    <row r="1821" spans="1:50" x14ac:dyDescent="0.25">
      <c r="A1821" s="356"/>
      <c r="B1821" s="358" t="s">
        <v>17</v>
      </c>
      <c r="C1821" s="353" t="s">
        <v>6</v>
      </c>
      <c r="D1821" s="3" t="s">
        <v>7</v>
      </c>
      <c r="E1821" s="162" t="str">
        <f>A1813&amp;"/"&amp;B1821&amp;"/"&amp;C1821&amp;"/"&amp;D1821</f>
        <v>Coal fired power plants/Supercritical steam turbine/Electricity only/L</v>
      </c>
      <c r="F1821" s="77" t="str">
        <f>A1813</f>
        <v>Coal fired power plants</v>
      </c>
      <c r="G1821" s="77" t="str">
        <f>B1821</f>
        <v>Supercritical steam turbine</v>
      </c>
      <c r="H1821" s="77" t="str">
        <f>C1821</f>
        <v>Electricity only</v>
      </c>
      <c r="I1821" s="163" t="str">
        <f t="shared" si="108"/>
        <v>L</v>
      </c>
      <c r="J1821" s="93">
        <v>6550</v>
      </c>
      <c r="K1821" s="93">
        <v>6550</v>
      </c>
      <c r="L1821" s="93">
        <v>6550</v>
      </c>
      <c r="M1821" s="93">
        <v>6550</v>
      </c>
      <c r="N1821" s="93">
        <v>6550</v>
      </c>
      <c r="O1821" s="93">
        <v>6550</v>
      </c>
      <c r="P1821" s="93">
        <v>6550</v>
      </c>
      <c r="Q1821" s="93">
        <v>6550</v>
      </c>
      <c r="R1821" s="93">
        <v>6550</v>
      </c>
      <c r="S1821" s="93">
        <v>6550</v>
      </c>
      <c r="T1821" s="93">
        <v>6550</v>
      </c>
      <c r="U1821" s="93">
        <v>6550</v>
      </c>
      <c r="V1821" s="93">
        <v>6550</v>
      </c>
      <c r="W1821" s="93">
        <v>6550</v>
      </c>
      <c r="X1821" s="93">
        <v>6550</v>
      </c>
      <c r="Y1821" s="93">
        <v>6550</v>
      </c>
      <c r="Z1821" s="93">
        <v>6550</v>
      </c>
      <c r="AA1821" s="93">
        <v>6550</v>
      </c>
      <c r="AB1821" s="93">
        <v>6550</v>
      </c>
      <c r="AC1821" s="93">
        <v>6550</v>
      </c>
      <c r="AD1821" s="93">
        <v>6550</v>
      </c>
      <c r="AE1821" s="93">
        <v>6550</v>
      </c>
      <c r="AF1821" s="93">
        <v>6550</v>
      </c>
      <c r="AG1821" s="93">
        <v>6550</v>
      </c>
      <c r="AH1821" s="93">
        <v>6550</v>
      </c>
      <c r="AI1821" s="93">
        <v>6550</v>
      </c>
      <c r="AJ1821" s="93">
        <v>6550</v>
      </c>
      <c r="AK1821" s="93">
        <v>6550</v>
      </c>
      <c r="AL1821" s="93">
        <v>6550</v>
      </c>
      <c r="AM1821" s="93">
        <v>6550</v>
      </c>
      <c r="AN1821" s="93">
        <v>6550</v>
      </c>
      <c r="AO1821" s="93">
        <v>6550</v>
      </c>
      <c r="AP1821" s="93">
        <v>6550</v>
      </c>
      <c r="AQ1821" s="93">
        <v>6550</v>
      </c>
      <c r="AR1821" s="93">
        <v>6550</v>
      </c>
      <c r="AS1821" s="93">
        <v>6550</v>
      </c>
      <c r="AT1821" s="93">
        <v>6550</v>
      </c>
      <c r="AU1821" s="93">
        <v>6550</v>
      </c>
      <c r="AV1821" s="93">
        <v>6550</v>
      </c>
      <c r="AW1821" s="93">
        <v>6550</v>
      </c>
      <c r="AX1821" s="94">
        <v>6550</v>
      </c>
    </row>
    <row r="1822" spans="1:50" x14ac:dyDescent="0.25">
      <c r="A1822" s="356"/>
      <c r="B1822" s="359"/>
      <c r="C1822" s="360"/>
      <c r="D1822" s="2" t="s">
        <v>8</v>
      </c>
      <c r="E1822" s="160" t="str">
        <f>A1813&amp;"/"&amp;B1821&amp;"/"&amp;C1821&amp;"/"&amp;D1822</f>
        <v>Coal fired power plants/Supercritical steam turbine/Electricity only/M</v>
      </c>
      <c r="F1822" s="76" t="str">
        <f>A1813</f>
        <v>Coal fired power plants</v>
      </c>
      <c r="G1822" s="76" t="str">
        <f>B1821</f>
        <v>Supercritical steam turbine</v>
      </c>
      <c r="H1822" s="76" t="str">
        <f>C1821</f>
        <v>Electricity only</v>
      </c>
      <c r="I1822" s="161" t="str">
        <f t="shared" si="108"/>
        <v>M</v>
      </c>
      <c r="J1822" s="91">
        <v>4716</v>
      </c>
      <c r="K1822" s="91">
        <v>4716</v>
      </c>
      <c r="L1822" s="91">
        <v>4716</v>
      </c>
      <c r="M1822" s="91">
        <v>4716</v>
      </c>
      <c r="N1822" s="91">
        <v>4716</v>
      </c>
      <c r="O1822" s="91">
        <v>4716</v>
      </c>
      <c r="P1822" s="91">
        <v>4716</v>
      </c>
      <c r="Q1822" s="91">
        <v>4716</v>
      </c>
      <c r="R1822" s="91">
        <v>4716</v>
      </c>
      <c r="S1822" s="91">
        <v>4716</v>
      </c>
      <c r="T1822" s="91">
        <v>4716</v>
      </c>
      <c r="U1822" s="91">
        <v>4716</v>
      </c>
      <c r="V1822" s="91">
        <v>4716</v>
      </c>
      <c r="W1822" s="91">
        <v>4716</v>
      </c>
      <c r="X1822" s="91">
        <v>4716</v>
      </c>
      <c r="Y1822" s="91">
        <v>4716</v>
      </c>
      <c r="Z1822" s="91">
        <v>4716</v>
      </c>
      <c r="AA1822" s="91">
        <v>4716</v>
      </c>
      <c r="AB1822" s="91">
        <v>4716</v>
      </c>
      <c r="AC1822" s="91">
        <v>4716</v>
      </c>
      <c r="AD1822" s="91">
        <v>4716</v>
      </c>
      <c r="AE1822" s="91">
        <v>4716</v>
      </c>
      <c r="AF1822" s="91">
        <v>4716</v>
      </c>
      <c r="AG1822" s="91">
        <v>4716</v>
      </c>
      <c r="AH1822" s="91">
        <v>4716</v>
      </c>
      <c r="AI1822" s="91">
        <v>4716</v>
      </c>
      <c r="AJ1822" s="91">
        <v>4716</v>
      </c>
      <c r="AK1822" s="91">
        <v>4716</v>
      </c>
      <c r="AL1822" s="91">
        <v>4716</v>
      </c>
      <c r="AM1822" s="91">
        <v>4716</v>
      </c>
      <c r="AN1822" s="91">
        <v>4716</v>
      </c>
      <c r="AO1822" s="91">
        <v>4716</v>
      </c>
      <c r="AP1822" s="91">
        <v>4716</v>
      </c>
      <c r="AQ1822" s="91">
        <v>4716</v>
      </c>
      <c r="AR1822" s="91">
        <v>4716</v>
      </c>
      <c r="AS1822" s="91">
        <v>4716</v>
      </c>
      <c r="AT1822" s="91">
        <v>4716</v>
      </c>
      <c r="AU1822" s="91">
        <v>4716</v>
      </c>
      <c r="AV1822" s="91">
        <v>4716</v>
      </c>
      <c r="AW1822" s="91">
        <v>4716</v>
      </c>
      <c r="AX1822" s="92">
        <v>4716</v>
      </c>
    </row>
    <row r="1823" spans="1:50" x14ac:dyDescent="0.25">
      <c r="A1823" s="356"/>
      <c r="B1823" s="359"/>
      <c r="C1823" s="361" t="s">
        <v>14</v>
      </c>
      <c r="D1823" s="58" t="s">
        <v>7</v>
      </c>
      <c r="E1823" s="164" t="str">
        <f>A1813&amp;"/"&amp;B1821&amp;"/"&amp;C1823&amp;"/"&amp;D1823</f>
        <v>Coal fired power plants/Supercritical steam turbine/CHP/L</v>
      </c>
      <c r="F1823" s="78" t="str">
        <f>A1813</f>
        <v>Coal fired power plants</v>
      </c>
      <c r="G1823" s="78" t="str">
        <f>B1821</f>
        <v>Supercritical steam turbine</v>
      </c>
      <c r="H1823" s="78" t="str">
        <f>C1823</f>
        <v>CHP</v>
      </c>
      <c r="I1823" s="165" t="str">
        <f t="shared" si="108"/>
        <v>L</v>
      </c>
      <c r="J1823" s="95">
        <v>5240</v>
      </c>
      <c r="K1823" s="95">
        <v>5240</v>
      </c>
      <c r="L1823" s="95">
        <v>5240</v>
      </c>
      <c r="M1823" s="95">
        <v>5240</v>
      </c>
      <c r="N1823" s="95">
        <v>5240</v>
      </c>
      <c r="O1823" s="95">
        <v>5240</v>
      </c>
      <c r="P1823" s="95">
        <v>5240</v>
      </c>
      <c r="Q1823" s="95">
        <v>5240</v>
      </c>
      <c r="R1823" s="95">
        <v>5240</v>
      </c>
      <c r="S1823" s="95">
        <v>5240</v>
      </c>
      <c r="T1823" s="95">
        <v>5240</v>
      </c>
      <c r="U1823" s="95">
        <v>5240</v>
      </c>
      <c r="V1823" s="95">
        <v>5240</v>
      </c>
      <c r="W1823" s="95">
        <v>5240</v>
      </c>
      <c r="X1823" s="95">
        <v>5240</v>
      </c>
      <c r="Y1823" s="95">
        <v>5240</v>
      </c>
      <c r="Z1823" s="95">
        <v>5240</v>
      </c>
      <c r="AA1823" s="95">
        <v>5240</v>
      </c>
      <c r="AB1823" s="95">
        <v>5240</v>
      </c>
      <c r="AC1823" s="95">
        <v>5240</v>
      </c>
      <c r="AD1823" s="95">
        <v>5240</v>
      </c>
      <c r="AE1823" s="95">
        <v>5240</v>
      </c>
      <c r="AF1823" s="95">
        <v>5240</v>
      </c>
      <c r="AG1823" s="95">
        <v>5240</v>
      </c>
      <c r="AH1823" s="95">
        <v>5240</v>
      </c>
      <c r="AI1823" s="95">
        <v>5240</v>
      </c>
      <c r="AJ1823" s="95">
        <v>5240</v>
      </c>
      <c r="AK1823" s="95">
        <v>5240</v>
      </c>
      <c r="AL1823" s="95">
        <v>5240</v>
      </c>
      <c r="AM1823" s="95">
        <v>5240</v>
      </c>
      <c r="AN1823" s="95">
        <v>5240</v>
      </c>
      <c r="AO1823" s="95">
        <v>5240</v>
      </c>
      <c r="AP1823" s="95">
        <v>5240</v>
      </c>
      <c r="AQ1823" s="95">
        <v>5240</v>
      </c>
      <c r="AR1823" s="95">
        <v>5240</v>
      </c>
      <c r="AS1823" s="95">
        <v>5240</v>
      </c>
      <c r="AT1823" s="95">
        <v>5240</v>
      </c>
      <c r="AU1823" s="95">
        <v>5240</v>
      </c>
      <c r="AV1823" s="95">
        <v>5240</v>
      </c>
      <c r="AW1823" s="95">
        <v>5240</v>
      </c>
      <c r="AX1823" s="96">
        <v>5240</v>
      </c>
    </row>
    <row r="1824" spans="1:50" x14ac:dyDescent="0.25">
      <c r="A1824" s="356"/>
      <c r="B1824" s="359"/>
      <c r="C1824" s="360"/>
      <c r="D1824" s="59" t="s">
        <v>8</v>
      </c>
      <c r="E1824" s="166" t="str">
        <f>A1813&amp;"/"&amp;B1821&amp;"/"&amp;C1823&amp;"/"&amp;D1824</f>
        <v>Coal fired power plants/Supercritical steam turbine/CHP/M</v>
      </c>
      <c r="F1824" s="79" t="str">
        <f>A1813</f>
        <v>Coal fired power plants</v>
      </c>
      <c r="G1824" s="79" t="str">
        <f>B1821</f>
        <v>Supercritical steam turbine</v>
      </c>
      <c r="H1824" s="79" t="str">
        <f>C1823</f>
        <v>CHP</v>
      </c>
      <c r="I1824" s="167" t="str">
        <f t="shared" si="108"/>
        <v>M</v>
      </c>
      <c r="J1824" s="97">
        <v>3799</v>
      </c>
      <c r="K1824" s="97">
        <v>3799</v>
      </c>
      <c r="L1824" s="97">
        <v>3799</v>
      </c>
      <c r="M1824" s="97">
        <v>3799</v>
      </c>
      <c r="N1824" s="97">
        <v>3799</v>
      </c>
      <c r="O1824" s="97">
        <v>3799</v>
      </c>
      <c r="P1824" s="97">
        <v>3799</v>
      </c>
      <c r="Q1824" s="97">
        <v>3799</v>
      </c>
      <c r="R1824" s="97">
        <v>3799</v>
      </c>
      <c r="S1824" s="97">
        <v>3799</v>
      </c>
      <c r="T1824" s="97">
        <v>3799</v>
      </c>
      <c r="U1824" s="97">
        <v>3799</v>
      </c>
      <c r="V1824" s="97">
        <v>3799</v>
      </c>
      <c r="W1824" s="97">
        <v>3799</v>
      </c>
      <c r="X1824" s="97">
        <v>3799</v>
      </c>
      <c r="Y1824" s="97">
        <v>3799</v>
      </c>
      <c r="Z1824" s="97">
        <v>3799</v>
      </c>
      <c r="AA1824" s="97">
        <v>3799</v>
      </c>
      <c r="AB1824" s="97">
        <v>3799</v>
      </c>
      <c r="AC1824" s="97">
        <v>3799</v>
      </c>
      <c r="AD1824" s="97">
        <v>3799</v>
      </c>
      <c r="AE1824" s="97">
        <v>3799</v>
      </c>
      <c r="AF1824" s="97">
        <v>3799</v>
      </c>
      <c r="AG1824" s="97">
        <v>3799</v>
      </c>
      <c r="AH1824" s="97">
        <v>3799</v>
      </c>
      <c r="AI1824" s="97">
        <v>3799</v>
      </c>
      <c r="AJ1824" s="97">
        <v>3799</v>
      </c>
      <c r="AK1824" s="97">
        <v>3799</v>
      </c>
      <c r="AL1824" s="97">
        <v>3799</v>
      </c>
      <c r="AM1824" s="97">
        <v>3799</v>
      </c>
      <c r="AN1824" s="97">
        <v>3799</v>
      </c>
      <c r="AO1824" s="97">
        <v>3799</v>
      </c>
      <c r="AP1824" s="97">
        <v>3799</v>
      </c>
      <c r="AQ1824" s="97">
        <v>3799</v>
      </c>
      <c r="AR1824" s="97">
        <v>3799</v>
      </c>
      <c r="AS1824" s="97">
        <v>3799</v>
      </c>
      <c r="AT1824" s="97">
        <v>3799</v>
      </c>
      <c r="AU1824" s="97">
        <v>3799</v>
      </c>
      <c r="AV1824" s="97">
        <v>3799</v>
      </c>
      <c r="AW1824" s="97">
        <v>3799</v>
      </c>
      <c r="AX1824" s="98">
        <v>3799</v>
      </c>
    </row>
    <row r="1825" spans="1:50" x14ac:dyDescent="0.25">
      <c r="A1825" s="356"/>
      <c r="B1825" s="359"/>
      <c r="C1825" s="361" t="s">
        <v>15</v>
      </c>
      <c r="D1825" s="58" t="s">
        <v>7</v>
      </c>
      <c r="E1825" s="164" t="str">
        <f>A1813&amp;"/"&amp;B1821&amp;"/"&amp;C1825&amp;"/"&amp;D1825</f>
        <v>Coal fired power plants/Supercritical steam turbine/Electricity only with CCS/L</v>
      </c>
      <c r="F1825" s="78" t="str">
        <f>A1813</f>
        <v>Coal fired power plants</v>
      </c>
      <c r="G1825" s="78" t="str">
        <f>B1821</f>
        <v>Supercritical steam turbine</v>
      </c>
      <c r="H1825" s="78" t="str">
        <f>C1825</f>
        <v>Electricity only with CCS</v>
      </c>
      <c r="I1825" s="165" t="str">
        <f t="shared" si="108"/>
        <v>L</v>
      </c>
      <c r="J1825" s="95" t="s">
        <v>112</v>
      </c>
      <c r="K1825" s="95" t="s">
        <v>112</v>
      </c>
      <c r="L1825" s="95" t="s">
        <v>112</v>
      </c>
      <c r="M1825" s="95" t="s">
        <v>112</v>
      </c>
      <c r="N1825" s="95" t="s">
        <v>112</v>
      </c>
      <c r="O1825" s="95" t="s">
        <v>112</v>
      </c>
      <c r="P1825" s="95" t="s">
        <v>112</v>
      </c>
      <c r="Q1825" s="95" t="s">
        <v>112</v>
      </c>
      <c r="R1825" s="95" t="s">
        <v>112</v>
      </c>
      <c r="S1825" s="95" t="s">
        <v>112</v>
      </c>
      <c r="T1825" s="95" t="s">
        <v>112</v>
      </c>
      <c r="U1825" s="95" t="s">
        <v>112</v>
      </c>
      <c r="V1825" s="95" t="s">
        <v>112</v>
      </c>
      <c r="W1825" s="95" t="s">
        <v>112</v>
      </c>
      <c r="X1825" s="95" t="s">
        <v>112</v>
      </c>
      <c r="Y1825" s="95" t="s">
        <v>112</v>
      </c>
      <c r="Z1825" s="95" t="s">
        <v>112</v>
      </c>
      <c r="AA1825" s="95" t="s">
        <v>112</v>
      </c>
      <c r="AB1825" s="95" t="s">
        <v>112</v>
      </c>
      <c r="AC1825" s="95" t="s">
        <v>112</v>
      </c>
      <c r="AD1825" s="95" t="s">
        <v>112</v>
      </c>
      <c r="AE1825" s="95">
        <v>6550</v>
      </c>
      <c r="AF1825" s="95">
        <v>6550</v>
      </c>
      <c r="AG1825" s="95">
        <v>6550</v>
      </c>
      <c r="AH1825" s="95">
        <v>6550</v>
      </c>
      <c r="AI1825" s="95">
        <v>6550</v>
      </c>
      <c r="AJ1825" s="95">
        <v>6550</v>
      </c>
      <c r="AK1825" s="95">
        <v>6550</v>
      </c>
      <c r="AL1825" s="95">
        <v>6550</v>
      </c>
      <c r="AM1825" s="95">
        <v>6550</v>
      </c>
      <c r="AN1825" s="95">
        <v>6550</v>
      </c>
      <c r="AO1825" s="95">
        <v>6550</v>
      </c>
      <c r="AP1825" s="95">
        <v>6550</v>
      </c>
      <c r="AQ1825" s="95">
        <v>6550</v>
      </c>
      <c r="AR1825" s="95">
        <v>6550</v>
      </c>
      <c r="AS1825" s="95">
        <v>6550</v>
      </c>
      <c r="AT1825" s="95">
        <v>6550</v>
      </c>
      <c r="AU1825" s="95">
        <v>6550</v>
      </c>
      <c r="AV1825" s="95">
        <v>6550</v>
      </c>
      <c r="AW1825" s="95">
        <v>6550</v>
      </c>
      <c r="AX1825" s="96">
        <v>6550</v>
      </c>
    </row>
    <row r="1826" spans="1:50" x14ac:dyDescent="0.25">
      <c r="A1826" s="356"/>
      <c r="B1826" s="359"/>
      <c r="C1826" s="360"/>
      <c r="D1826" s="59" t="s">
        <v>8</v>
      </c>
      <c r="E1826" s="166" t="str">
        <f>A1813&amp;"/"&amp;B1821&amp;"/"&amp;C1825&amp;"/"&amp;D1826</f>
        <v>Coal fired power plants/Supercritical steam turbine/Electricity only with CCS/M</v>
      </c>
      <c r="F1826" s="79" t="str">
        <f>A1813</f>
        <v>Coal fired power plants</v>
      </c>
      <c r="G1826" s="79" t="str">
        <f>B1821</f>
        <v>Supercritical steam turbine</v>
      </c>
      <c r="H1826" s="79" t="str">
        <f>C1825</f>
        <v>Electricity only with CCS</v>
      </c>
      <c r="I1826" s="167" t="str">
        <f t="shared" si="108"/>
        <v>M</v>
      </c>
      <c r="J1826" s="97" t="s">
        <v>112</v>
      </c>
      <c r="K1826" s="97" t="s">
        <v>112</v>
      </c>
      <c r="L1826" s="97" t="s">
        <v>112</v>
      </c>
      <c r="M1826" s="97" t="s">
        <v>112</v>
      </c>
      <c r="N1826" s="97" t="s">
        <v>112</v>
      </c>
      <c r="O1826" s="97" t="s">
        <v>112</v>
      </c>
      <c r="P1826" s="97" t="s">
        <v>112</v>
      </c>
      <c r="Q1826" s="97" t="s">
        <v>112</v>
      </c>
      <c r="R1826" s="97" t="s">
        <v>112</v>
      </c>
      <c r="S1826" s="97" t="s">
        <v>112</v>
      </c>
      <c r="T1826" s="97" t="s">
        <v>112</v>
      </c>
      <c r="U1826" s="97" t="s">
        <v>112</v>
      </c>
      <c r="V1826" s="97" t="s">
        <v>112</v>
      </c>
      <c r="W1826" s="97" t="s">
        <v>112</v>
      </c>
      <c r="X1826" s="97" t="s">
        <v>112</v>
      </c>
      <c r="Y1826" s="97" t="s">
        <v>112</v>
      </c>
      <c r="Z1826" s="97" t="s">
        <v>112</v>
      </c>
      <c r="AA1826" s="97" t="s">
        <v>112</v>
      </c>
      <c r="AB1826" s="97" t="s">
        <v>112</v>
      </c>
      <c r="AC1826" s="97" t="s">
        <v>112</v>
      </c>
      <c r="AD1826" s="97" t="s">
        <v>112</v>
      </c>
      <c r="AE1826" s="97">
        <v>4716</v>
      </c>
      <c r="AF1826" s="97">
        <v>4716</v>
      </c>
      <c r="AG1826" s="97">
        <v>4716</v>
      </c>
      <c r="AH1826" s="97">
        <v>4716</v>
      </c>
      <c r="AI1826" s="97">
        <v>4716</v>
      </c>
      <c r="AJ1826" s="97">
        <v>4716</v>
      </c>
      <c r="AK1826" s="97">
        <v>4716</v>
      </c>
      <c r="AL1826" s="97">
        <v>4716</v>
      </c>
      <c r="AM1826" s="97">
        <v>4716</v>
      </c>
      <c r="AN1826" s="97">
        <v>4716</v>
      </c>
      <c r="AO1826" s="97">
        <v>4716</v>
      </c>
      <c r="AP1826" s="97">
        <v>4716</v>
      </c>
      <c r="AQ1826" s="97">
        <v>4716</v>
      </c>
      <c r="AR1826" s="97">
        <v>4716</v>
      </c>
      <c r="AS1826" s="97">
        <v>4716</v>
      </c>
      <c r="AT1826" s="97">
        <v>4716</v>
      </c>
      <c r="AU1826" s="97">
        <v>4716</v>
      </c>
      <c r="AV1826" s="97">
        <v>4716</v>
      </c>
      <c r="AW1826" s="97">
        <v>4716</v>
      </c>
      <c r="AX1826" s="98">
        <v>4716</v>
      </c>
    </row>
    <row r="1827" spans="1:50" x14ac:dyDescent="0.25">
      <c r="A1827" s="356"/>
      <c r="B1827" s="359"/>
      <c r="C1827" s="361" t="s">
        <v>16</v>
      </c>
      <c r="D1827" s="2" t="s">
        <v>7</v>
      </c>
      <c r="E1827" s="160" t="str">
        <f>A1813&amp;"/"&amp;B1821&amp;"/"&amp;C1827&amp;"/"&amp;D1827</f>
        <v>Coal fired power plants/Supercritical steam turbine/CHP with CCS/L</v>
      </c>
      <c r="F1827" s="76" t="str">
        <f>A1813</f>
        <v>Coal fired power plants</v>
      </c>
      <c r="G1827" s="76" t="str">
        <f>B1821</f>
        <v>Supercritical steam turbine</v>
      </c>
      <c r="H1827" s="76" t="str">
        <f>C1827</f>
        <v>CHP with CCS</v>
      </c>
      <c r="I1827" s="161" t="str">
        <f t="shared" si="108"/>
        <v>L</v>
      </c>
      <c r="J1827" s="91" t="s">
        <v>112</v>
      </c>
      <c r="K1827" s="91" t="s">
        <v>112</v>
      </c>
      <c r="L1827" s="91" t="s">
        <v>112</v>
      </c>
      <c r="M1827" s="91" t="s">
        <v>112</v>
      </c>
      <c r="N1827" s="91" t="s">
        <v>112</v>
      </c>
      <c r="O1827" s="91" t="s">
        <v>112</v>
      </c>
      <c r="P1827" s="91" t="s">
        <v>112</v>
      </c>
      <c r="Q1827" s="91" t="s">
        <v>112</v>
      </c>
      <c r="R1827" s="91" t="s">
        <v>112</v>
      </c>
      <c r="S1827" s="91" t="s">
        <v>112</v>
      </c>
      <c r="T1827" s="91" t="s">
        <v>112</v>
      </c>
      <c r="U1827" s="91" t="s">
        <v>112</v>
      </c>
      <c r="V1827" s="91" t="s">
        <v>112</v>
      </c>
      <c r="W1827" s="91" t="s">
        <v>112</v>
      </c>
      <c r="X1827" s="91" t="s">
        <v>112</v>
      </c>
      <c r="Y1827" s="91" t="s">
        <v>112</v>
      </c>
      <c r="Z1827" s="91" t="s">
        <v>112</v>
      </c>
      <c r="AA1827" s="91" t="s">
        <v>112</v>
      </c>
      <c r="AB1827" s="91" t="s">
        <v>112</v>
      </c>
      <c r="AC1827" s="91" t="s">
        <v>112</v>
      </c>
      <c r="AD1827" s="91" t="s">
        <v>112</v>
      </c>
      <c r="AE1827" s="91">
        <v>5240</v>
      </c>
      <c r="AF1827" s="91">
        <v>5240</v>
      </c>
      <c r="AG1827" s="91">
        <v>5240</v>
      </c>
      <c r="AH1827" s="91">
        <v>5240</v>
      </c>
      <c r="AI1827" s="91">
        <v>5240</v>
      </c>
      <c r="AJ1827" s="91">
        <v>5240</v>
      </c>
      <c r="AK1827" s="91">
        <v>5240</v>
      </c>
      <c r="AL1827" s="91">
        <v>5240</v>
      </c>
      <c r="AM1827" s="91">
        <v>5240</v>
      </c>
      <c r="AN1827" s="91">
        <v>5240</v>
      </c>
      <c r="AO1827" s="91">
        <v>5240</v>
      </c>
      <c r="AP1827" s="91">
        <v>5240</v>
      </c>
      <c r="AQ1827" s="91">
        <v>5240</v>
      </c>
      <c r="AR1827" s="91">
        <v>5240</v>
      </c>
      <c r="AS1827" s="91">
        <v>5240</v>
      </c>
      <c r="AT1827" s="91">
        <v>5240</v>
      </c>
      <c r="AU1827" s="91">
        <v>5240</v>
      </c>
      <c r="AV1827" s="91">
        <v>5240</v>
      </c>
      <c r="AW1827" s="91">
        <v>5240</v>
      </c>
      <c r="AX1827" s="92">
        <v>5240</v>
      </c>
    </row>
    <row r="1828" spans="1:50" x14ac:dyDescent="0.25">
      <c r="A1828" s="356"/>
      <c r="B1828" s="362"/>
      <c r="C1828" s="354"/>
      <c r="D1828" s="4" t="s">
        <v>8</v>
      </c>
      <c r="E1828" s="168" t="str">
        <f>A1813&amp;"/"&amp;B1821&amp;"/"&amp;C1827&amp;"/"&amp;D1828</f>
        <v>Coal fired power plants/Supercritical steam turbine/CHP with CCS/M</v>
      </c>
      <c r="F1828" s="80" t="str">
        <f>A1813</f>
        <v>Coal fired power plants</v>
      </c>
      <c r="G1828" s="80" t="str">
        <f>B1821</f>
        <v>Supercritical steam turbine</v>
      </c>
      <c r="H1828" s="80" t="str">
        <f>C1827</f>
        <v>CHP with CCS</v>
      </c>
      <c r="I1828" s="169" t="str">
        <f t="shared" si="108"/>
        <v>M</v>
      </c>
      <c r="J1828" s="99" t="s">
        <v>112</v>
      </c>
      <c r="K1828" s="99" t="s">
        <v>112</v>
      </c>
      <c r="L1828" s="99" t="s">
        <v>112</v>
      </c>
      <c r="M1828" s="99" t="s">
        <v>112</v>
      </c>
      <c r="N1828" s="99" t="s">
        <v>112</v>
      </c>
      <c r="O1828" s="99" t="s">
        <v>112</v>
      </c>
      <c r="P1828" s="99" t="s">
        <v>112</v>
      </c>
      <c r="Q1828" s="99" t="s">
        <v>112</v>
      </c>
      <c r="R1828" s="99" t="s">
        <v>112</v>
      </c>
      <c r="S1828" s="99" t="s">
        <v>112</v>
      </c>
      <c r="T1828" s="99" t="s">
        <v>112</v>
      </c>
      <c r="U1828" s="99" t="s">
        <v>112</v>
      </c>
      <c r="V1828" s="99" t="s">
        <v>112</v>
      </c>
      <c r="W1828" s="99" t="s">
        <v>112</v>
      </c>
      <c r="X1828" s="99" t="s">
        <v>112</v>
      </c>
      <c r="Y1828" s="99" t="s">
        <v>112</v>
      </c>
      <c r="Z1828" s="99" t="s">
        <v>112</v>
      </c>
      <c r="AA1828" s="99" t="s">
        <v>112</v>
      </c>
      <c r="AB1828" s="99" t="s">
        <v>112</v>
      </c>
      <c r="AC1828" s="99" t="s">
        <v>112</v>
      </c>
      <c r="AD1828" s="99" t="s">
        <v>112</v>
      </c>
      <c r="AE1828" s="99">
        <v>3799</v>
      </c>
      <c r="AF1828" s="99">
        <v>3799</v>
      </c>
      <c r="AG1828" s="99">
        <v>3799</v>
      </c>
      <c r="AH1828" s="99">
        <v>3799</v>
      </c>
      <c r="AI1828" s="99">
        <v>3799</v>
      </c>
      <c r="AJ1828" s="99">
        <v>3799</v>
      </c>
      <c r="AK1828" s="99">
        <v>3799</v>
      </c>
      <c r="AL1828" s="99">
        <v>3799</v>
      </c>
      <c r="AM1828" s="99">
        <v>3799</v>
      </c>
      <c r="AN1828" s="99">
        <v>3799</v>
      </c>
      <c r="AO1828" s="99">
        <v>3799</v>
      </c>
      <c r="AP1828" s="99">
        <v>3799</v>
      </c>
      <c r="AQ1828" s="99">
        <v>3799</v>
      </c>
      <c r="AR1828" s="99">
        <v>3799</v>
      </c>
      <c r="AS1828" s="99">
        <v>3799</v>
      </c>
      <c r="AT1828" s="99">
        <v>3799</v>
      </c>
      <c r="AU1828" s="99">
        <v>3799</v>
      </c>
      <c r="AV1828" s="99">
        <v>3799</v>
      </c>
      <c r="AW1828" s="99">
        <v>3799</v>
      </c>
      <c r="AX1828" s="100">
        <v>3799</v>
      </c>
    </row>
    <row r="1829" spans="1:50" x14ac:dyDescent="0.25">
      <c r="A1829" s="356"/>
      <c r="B1829" s="358" t="s">
        <v>18</v>
      </c>
      <c r="C1829" s="353" t="s">
        <v>6</v>
      </c>
      <c r="D1829" s="3" t="s">
        <v>7</v>
      </c>
      <c r="E1829" s="162" t="str">
        <f>A1813&amp;"/"&amp;B1829&amp;"/"&amp;C1829&amp;"/"&amp;D1829</f>
        <v>Coal fired power plants/Fluidized bed combustion/Electricity only/L</v>
      </c>
      <c r="F1829" s="77" t="str">
        <f>A1813</f>
        <v>Coal fired power plants</v>
      </c>
      <c r="G1829" s="77" t="str">
        <f>B1829</f>
        <v>Fluidized bed combustion</v>
      </c>
      <c r="H1829" s="77" t="str">
        <f>C1829</f>
        <v>Electricity only</v>
      </c>
      <c r="I1829" s="163" t="str">
        <f t="shared" si="108"/>
        <v>L</v>
      </c>
      <c r="J1829" s="93">
        <v>6000</v>
      </c>
      <c r="K1829" s="93">
        <v>6000</v>
      </c>
      <c r="L1829" s="93">
        <v>6000</v>
      </c>
      <c r="M1829" s="93">
        <v>6000</v>
      </c>
      <c r="N1829" s="93">
        <v>6000</v>
      </c>
      <c r="O1829" s="93">
        <v>6000</v>
      </c>
      <c r="P1829" s="93">
        <v>6000</v>
      </c>
      <c r="Q1829" s="93">
        <v>6000</v>
      </c>
      <c r="R1829" s="93">
        <v>6000</v>
      </c>
      <c r="S1829" s="93">
        <v>6000</v>
      </c>
      <c r="T1829" s="93">
        <v>6000</v>
      </c>
      <c r="U1829" s="93">
        <v>6000</v>
      </c>
      <c r="V1829" s="93">
        <v>6000</v>
      </c>
      <c r="W1829" s="93">
        <v>6000</v>
      </c>
      <c r="X1829" s="93">
        <v>6000</v>
      </c>
      <c r="Y1829" s="93">
        <v>6000</v>
      </c>
      <c r="Z1829" s="93">
        <v>6000</v>
      </c>
      <c r="AA1829" s="93">
        <v>6000</v>
      </c>
      <c r="AB1829" s="93">
        <v>6000</v>
      </c>
      <c r="AC1829" s="93">
        <v>6000</v>
      </c>
      <c r="AD1829" s="93">
        <v>6000</v>
      </c>
      <c r="AE1829" s="93">
        <v>6000</v>
      </c>
      <c r="AF1829" s="93">
        <v>6000</v>
      </c>
      <c r="AG1829" s="93">
        <v>6000</v>
      </c>
      <c r="AH1829" s="93">
        <v>6000</v>
      </c>
      <c r="AI1829" s="93">
        <v>6000</v>
      </c>
      <c r="AJ1829" s="93">
        <v>6000</v>
      </c>
      <c r="AK1829" s="93">
        <v>6000</v>
      </c>
      <c r="AL1829" s="93">
        <v>6000</v>
      </c>
      <c r="AM1829" s="93">
        <v>6000</v>
      </c>
      <c r="AN1829" s="93">
        <v>6000</v>
      </c>
      <c r="AO1829" s="93">
        <v>6000</v>
      </c>
      <c r="AP1829" s="93">
        <v>6000</v>
      </c>
      <c r="AQ1829" s="93">
        <v>6000</v>
      </c>
      <c r="AR1829" s="93">
        <v>6000</v>
      </c>
      <c r="AS1829" s="93">
        <v>6000</v>
      </c>
      <c r="AT1829" s="93">
        <v>6000</v>
      </c>
      <c r="AU1829" s="93">
        <v>6000</v>
      </c>
      <c r="AV1829" s="93">
        <v>6000</v>
      </c>
      <c r="AW1829" s="93">
        <v>6000</v>
      </c>
      <c r="AX1829" s="94">
        <v>6000</v>
      </c>
    </row>
    <row r="1830" spans="1:50" x14ac:dyDescent="0.25">
      <c r="A1830" s="356"/>
      <c r="B1830" s="359"/>
      <c r="C1830" s="350"/>
      <c r="D1830" s="2" t="s">
        <v>8</v>
      </c>
      <c r="E1830" s="160" t="str">
        <f>A1813&amp;"/"&amp;B1829&amp;"/"&amp;C1829&amp;"/"&amp;D1830</f>
        <v>Coal fired power plants/Fluidized bed combustion/Electricity only/M</v>
      </c>
      <c r="F1830" s="76" t="str">
        <f>A1813</f>
        <v>Coal fired power plants</v>
      </c>
      <c r="G1830" s="76" t="str">
        <f>B1829</f>
        <v>Fluidized bed combustion</v>
      </c>
      <c r="H1830" s="76" t="str">
        <f>C1829</f>
        <v>Electricity only</v>
      </c>
      <c r="I1830" s="161" t="str">
        <f t="shared" si="108"/>
        <v>M</v>
      </c>
      <c r="J1830" s="91">
        <v>4290</v>
      </c>
      <c r="K1830" s="91">
        <v>4290</v>
      </c>
      <c r="L1830" s="91">
        <v>4290</v>
      </c>
      <c r="M1830" s="91">
        <v>4290</v>
      </c>
      <c r="N1830" s="91">
        <v>4290</v>
      </c>
      <c r="O1830" s="91">
        <v>4290</v>
      </c>
      <c r="P1830" s="91">
        <v>4290</v>
      </c>
      <c r="Q1830" s="91">
        <v>4290</v>
      </c>
      <c r="R1830" s="91">
        <v>4290</v>
      </c>
      <c r="S1830" s="91">
        <v>4290</v>
      </c>
      <c r="T1830" s="91">
        <v>4290</v>
      </c>
      <c r="U1830" s="91">
        <v>4290</v>
      </c>
      <c r="V1830" s="91">
        <v>4290</v>
      </c>
      <c r="W1830" s="91">
        <v>4290</v>
      </c>
      <c r="X1830" s="91">
        <v>4290</v>
      </c>
      <c r="Y1830" s="91">
        <v>4290</v>
      </c>
      <c r="Z1830" s="91">
        <v>4290</v>
      </c>
      <c r="AA1830" s="91">
        <v>4290</v>
      </c>
      <c r="AB1830" s="91">
        <v>4290</v>
      </c>
      <c r="AC1830" s="91">
        <v>4290</v>
      </c>
      <c r="AD1830" s="91">
        <v>4290</v>
      </c>
      <c r="AE1830" s="91">
        <v>4290</v>
      </c>
      <c r="AF1830" s="91">
        <v>4290</v>
      </c>
      <c r="AG1830" s="91">
        <v>4290</v>
      </c>
      <c r="AH1830" s="91">
        <v>4290</v>
      </c>
      <c r="AI1830" s="91">
        <v>4290</v>
      </c>
      <c r="AJ1830" s="91">
        <v>4290</v>
      </c>
      <c r="AK1830" s="91">
        <v>4290</v>
      </c>
      <c r="AL1830" s="91">
        <v>4290</v>
      </c>
      <c r="AM1830" s="91">
        <v>4290</v>
      </c>
      <c r="AN1830" s="91">
        <v>4290</v>
      </c>
      <c r="AO1830" s="91">
        <v>4290</v>
      </c>
      <c r="AP1830" s="91">
        <v>4290</v>
      </c>
      <c r="AQ1830" s="91">
        <v>4290</v>
      </c>
      <c r="AR1830" s="91">
        <v>4290</v>
      </c>
      <c r="AS1830" s="91">
        <v>4290</v>
      </c>
      <c r="AT1830" s="91">
        <v>4290</v>
      </c>
      <c r="AU1830" s="91">
        <v>4290</v>
      </c>
      <c r="AV1830" s="91">
        <v>4290</v>
      </c>
      <c r="AW1830" s="91">
        <v>4290</v>
      </c>
      <c r="AX1830" s="92">
        <v>4290</v>
      </c>
    </row>
    <row r="1831" spans="1:50" x14ac:dyDescent="0.25">
      <c r="A1831" s="356"/>
      <c r="B1831" s="359"/>
      <c r="C1831" s="360"/>
      <c r="D1831" s="2" t="s">
        <v>10</v>
      </c>
      <c r="E1831" s="160" t="str">
        <f>A1813&amp;"/"&amp;B1829&amp;"/"&amp;C1829&amp;"/"&amp;D1831</f>
        <v>Coal fired power plants/Fluidized bed combustion/Electricity only/S</v>
      </c>
      <c r="F1831" s="76" t="str">
        <f>A1813</f>
        <v>Coal fired power plants</v>
      </c>
      <c r="G1831" s="76" t="str">
        <f>B1829</f>
        <v>Fluidized bed combustion</v>
      </c>
      <c r="H1831" s="76" t="str">
        <f>C1829</f>
        <v>Electricity only</v>
      </c>
      <c r="I1831" s="161" t="str">
        <f t="shared" si="108"/>
        <v>S</v>
      </c>
      <c r="J1831" s="91">
        <v>2895.75</v>
      </c>
      <c r="K1831" s="91">
        <v>2895.75</v>
      </c>
      <c r="L1831" s="91">
        <v>2895.75</v>
      </c>
      <c r="M1831" s="91">
        <v>2895.75</v>
      </c>
      <c r="N1831" s="91">
        <v>2895.75</v>
      </c>
      <c r="O1831" s="91">
        <v>2895.75</v>
      </c>
      <c r="P1831" s="91">
        <v>2895.75</v>
      </c>
      <c r="Q1831" s="91">
        <v>2895.75</v>
      </c>
      <c r="R1831" s="91">
        <v>2895.75</v>
      </c>
      <c r="S1831" s="91">
        <v>2895.75</v>
      </c>
      <c r="T1831" s="91">
        <v>2895.75</v>
      </c>
      <c r="U1831" s="91">
        <v>2895.75</v>
      </c>
      <c r="V1831" s="91">
        <v>2895.75</v>
      </c>
      <c r="W1831" s="91">
        <v>2895.75</v>
      </c>
      <c r="X1831" s="91">
        <v>2895.75</v>
      </c>
      <c r="Y1831" s="91">
        <v>2895.75</v>
      </c>
      <c r="Z1831" s="91">
        <v>2895.75</v>
      </c>
      <c r="AA1831" s="91">
        <v>2895.75</v>
      </c>
      <c r="AB1831" s="91">
        <v>2895.75</v>
      </c>
      <c r="AC1831" s="91">
        <v>2895.75</v>
      </c>
      <c r="AD1831" s="91">
        <v>2895.75</v>
      </c>
      <c r="AE1831" s="91">
        <v>2895.75</v>
      </c>
      <c r="AF1831" s="91">
        <v>2895.75</v>
      </c>
      <c r="AG1831" s="91">
        <v>2895.75</v>
      </c>
      <c r="AH1831" s="91">
        <v>2895.75</v>
      </c>
      <c r="AI1831" s="91">
        <v>2895.75</v>
      </c>
      <c r="AJ1831" s="91">
        <v>2895.75</v>
      </c>
      <c r="AK1831" s="91">
        <v>2895.75</v>
      </c>
      <c r="AL1831" s="91">
        <v>2895.75</v>
      </c>
      <c r="AM1831" s="91">
        <v>2895.75</v>
      </c>
      <c r="AN1831" s="91">
        <v>2895.75</v>
      </c>
      <c r="AO1831" s="91">
        <v>2895.75</v>
      </c>
      <c r="AP1831" s="91">
        <v>2895.75</v>
      </c>
      <c r="AQ1831" s="91">
        <v>2895.75</v>
      </c>
      <c r="AR1831" s="91">
        <v>2895.75</v>
      </c>
      <c r="AS1831" s="91">
        <v>2895.75</v>
      </c>
      <c r="AT1831" s="91">
        <v>2895.75</v>
      </c>
      <c r="AU1831" s="91">
        <v>2895.75</v>
      </c>
      <c r="AV1831" s="91">
        <v>2895.75</v>
      </c>
      <c r="AW1831" s="91">
        <v>2895.75</v>
      </c>
      <c r="AX1831" s="92">
        <v>2895.75</v>
      </c>
    </row>
    <row r="1832" spans="1:50" x14ac:dyDescent="0.25">
      <c r="A1832" s="356"/>
      <c r="B1832" s="359"/>
      <c r="C1832" s="361" t="s">
        <v>14</v>
      </c>
      <c r="D1832" s="58" t="s">
        <v>7</v>
      </c>
      <c r="E1832" s="164" t="str">
        <f>A1813&amp;"/"&amp;B1829&amp;"/"&amp;C1832&amp;"/"&amp;D1832</f>
        <v>Coal fired power plants/Fluidized bed combustion/CHP/L</v>
      </c>
      <c r="F1832" s="78" t="str">
        <f>A1813</f>
        <v>Coal fired power plants</v>
      </c>
      <c r="G1832" s="78" t="str">
        <f>B1829</f>
        <v>Fluidized bed combustion</v>
      </c>
      <c r="H1832" s="78" t="str">
        <f>C1832</f>
        <v>CHP</v>
      </c>
      <c r="I1832" s="165" t="str">
        <f t="shared" si="108"/>
        <v>L</v>
      </c>
      <c r="J1832" s="95">
        <v>4800</v>
      </c>
      <c r="K1832" s="95">
        <v>4800</v>
      </c>
      <c r="L1832" s="95">
        <v>4800</v>
      </c>
      <c r="M1832" s="95">
        <v>4800</v>
      </c>
      <c r="N1832" s="95">
        <v>4800</v>
      </c>
      <c r="O1832" s="95">
        <v>4800</v>
      </c>
      <c r="P1832" s="95">
        <v>4800</v>
      </c>
      <c r="Q1832" s="95">
        <v>4800</v>
      </c>
      <c r="R1832" s="95">
        <v>4800</v>
      </c>
      <c r="S1832" s="95">
        <v>4800</v>
      </c>
      <c r="T1832" s="95">
        <v>4800</v>
      </c>
      <c r="U1832" s="95">
        <v>4800</v>
      </c>
      <c r="V1832" s="95">
        <v>4800</v>
      </c>
      <c r="W1832" s="95">
        <v>4800</v>
      </c>
      <c r="X1832" s="95">
        <v>4800</v>
      </c>
      <c r="Y1832" s="95">
        <v>4800</v>
      </c>
      <c r="Z1832" s="95">
        <v>4800</v>
      </c>
      <c r="AA1832" s="95">
        <v>4800</v>
      </c>
      <c r="AB1832" s="95">
        <v>4800</v>
      </c>
      <c r="AC1832" s="95">
        <v>4800</v>
      </c>
      <c r="AD1832" s="95">
        <v>4800</v>
      </c>
      <c r="AE1832" s="95">
        <v>4800</v>
      </c>
      <c r="AF1832" s="95">
        <v>4800</v>
      </c>
      <c r="AG1832" s="95">
        <v>4800</v>
      </c>
      <c r="AH1832" s="95">
        <v>4800</v>
      </c>
      <c r="AI1832" s="95">
        <v>4800</v>
      </c>
      <c r="AJ1832" s="95">
        <v>4800</v>
      </c>
      <c r="AK1832" s="95">
        <v>4800</v>
      </c>
      <c r="AL1832" s="95">
        <v>4800</v>
      </c>
      <c r="AM1832" s="95">
        <v>4800</v>
      </c>
      <c r="AN1832" s="95">
        <v>4800</v>
      </c>
      <c r="AO1832" s="95">
        <v>4800</v>
      </c>
      <c r="AP1832" s="95">
        <v>4800</v>
      </c>
      <c r="AQ1832" s="95">
        <v>4800</v>
      </c>
      <c r="AR1832" s="95">
        <v>4800</v>
      </c>
      <c r="AS1832" s="95">
        <v>4800</v>
      </c>
      <c r="AT1832" s="95">
        <v>4800</v>
      </c>
      <c r="AU1832" s="95">
        <v>4800</v>
      </c>
      <c r="AV1832" s="95">
        <v>4800</v>
      </c>
      <c r="AW1832" s="95">
        <v>4800</v>
      </c>
      <c r="AX1832" s="96">
        <v>4800</v>
      </c>
    </row>
    <row r="1833" spans="1:50" x14ac:dyDescent="0.25">
      <c r="A1833" s="356"/>
      <c r="B1833" s="359"/>
      <c r="C1833" s="350"/>
      <c r="D1833" s="2" t="s">
        <v>8</v>
      </c>
      <c r="E1833" s="160" t="str">
        <f>A1813&amp;"/"&amp;B1829&amp;"/"&amp;C1832&amp;"/"&amp;D1833</f>
        <v>Coal fired power plants/Fluidized bed combustion/CHP/M</v>
      </c>
      <c r="F1833" s="76" t="str">
        <f>A1813</f>
        <v>Coal fired power plants</v>
      </c>
      <c r="G1833" s="76" t="str">
        <f>B1829</f>
        <v>Fluidized bed combustion</v>
      </c>
      <c r="H1833" s="76" t="str">
        <f>C1832</f>
        <v>CHP</v>
      </c>
      <c r="I1833" s="161" t="str">
        <f t="shared" si="108"/>
        <v>M</v>
      </c>
      <c r="J1833" s="91">
        <v>3432</v>
      </c>
      <c r="K1833" s="91">
        <v>3432</v>
      </c>
      <c r="L1833" s="91">
        <v>3432</v>
      </c>
      <c r="M1833" s="91">
        <v>3432</v>
      </c>
      <c r="N1833" s="91">
        <v>3432</v>
      </c>
      <c r="O1833" s="91">
        <v>3432</v>
      </c>
      <c r="P1833" s="91">
        <v>3432</v>
      </c>
      <c r="Q1833" s="91">
        <v>3432</v>
      </c>
      <c r="R1833" s="91">
        <v>3432</v>
      </c>
      <c r="S1833" s="91">
        <v>3432</v>
      </c>
      <c r="T1833" s="91">
        <v>3432</v>
      </c>
      <c r="U1833" s="91">
        <v>3432</v>
      </c>
      <c r="V1833" s="91">
        <v>3432</v>
      </c>
      <c r="W1833" s="91">
        <v>3432</v>
      </c>
      <c r="X1833" s="91">
        <v>3432</v>
      </c>
      <c r="Y1833" s="91">
        <v>3432</v>
      </c>
      <c r="Z1833" s="91">
        <v>3432</v>
      </c>
      <c r="AA1833" s="91">
        <v>3432</v>
      </c>
      <c r="AB1833" s="91">
        <v>3432</v>
      </c>
      <c r="AC1833" s="91">
        <v>3432</v>
      </c>
      <c r="AD1833" s="91">
        <v>3432</v>
      </c>
      <c r="AE1833" s="91">
        <v>3432</v>
      </c>
      <c r="AF1833" s="91">
        <v>3432</v>
      </c>
      <c r="AG1833" s="91">
        <v>3432</v>
      </c>
      <c r="AH1833" s="91">
        <v>3432</v>
      </c>
      <c r="AI1833" s="91">
        <v>3432</v>
      </c>
      <c r="AJ1833" s="91">
        <v>3432</v>
      </c>
      <c r="AK1833" s="91">
        <v>3432</v>
      </c>
      <c r="AL1833" s="91">
        <v>3432</v>
      </c>
      <c r="AM1833" s="91">
        <v>3432</v>
      </c>
      <c r="AN1833" s="91">
        <v>3432</v>
      </c>
      <c r="AO1833" s="91">
        <v>3432</v>
      </c>
      <c r="AP1833" s="91">
        <v>3432</v>
      </c>
      <c r="AQ1833" s="91">
        <v>3432</v>
      </c>
      <c r="AR1833" s="91">
        <v>3432</v>
      </c>
      <c r="AS1833" s="91">
        <v>3432</v>
      </c>
      <c r="AT1833" s="91">
        <v>3432</v>
      </c>
      <c r="AU1833" s="91">
        <v>3432</v>
      </c>
      <c r="AV1833" s="91">
        <v>3432</v>
      </c>
      <c r="AW1833" s="91">
        <v>3432</v>
      </c>
      <c r="AX1833" s="92">
        <v>3432</v>
      </c>
    </row>
    <row r="1834" spans="1:50" x14ac:dyDescent="0.25">
      <c r="A1834" s="356"/>
      <c r="B1834" s="359"/>
      <c r="C1834" s="360"/>
      <c r="D1834" s="59" t="s">
        <v>10</v>
      </c>
      <c r="E1834" s="166" t="str">
        <f>A1813&amp;"/"&amp;B1829&amp;"/"&amp;C1832&amp;"/"&amp;D1834</f>
        <v>Coal fired power plants/Fluidized bed combustion/CHP/S</v>
      </c>
      <c r="F1834" s="79" t="str">
        <f>A1813</f>
        <v>Coal fired power plants</v>
      </c>
      <c r="G1834" s="79" t="str">
        <f>B1829</f>
        <v>Fluidized bed combustion</v>
      </c>
      <c r="H1834" s="79" t="str">
        <f>C1832</f>
        <v>CHP</v>
      </c>
      <c r="I1834" s="167" t="str">
        <f t="shared" si="108"/>
        <v>S</v>
      </c>
      <c r="J1834" s="97">
        <v>2316.6000000000004</v>
      </c>
      <c r="K1834" s="97">
        <v>2316.6000000000004</v>
      </c>
      <c r="L1834" s="97">
        <v>2316.6000000000004</v>
      </c>
      <c r="M1834" s="97">
        <v>2316.6000000000004</v>
      </c>
      <c r="N1834" s="97">
        <v>2316.6000000000004</v>
      </c>
      <c r="O1834" s="97">
        <v>2316.6000000000004</v>
      </c>
      <c r="P1834" s="97">
        <v>2316.6000000000004</v>
      </c>
      <c r="Q1834" s="97">
        <v>2316.6000000000004</v>
      </c>
      <c r="R1834" s="97">
        <v>2316.6000000000004</v>
      </c>
      <c r="S1834" s="97">
        <v>2316.6000000000004</v>
      </c>
      <c r="T1834" s="97">
        <v>2316.6000000000004</v>
      </c>
      <c r="U1834" s="97">
        <v>2316.6000000000004</v>
      </c>
      <c r="V1834" s="97">
        <v>2316.6000000000004</v>
      </c>
      <c r="W1834" s="97">
        <v>2316.6000000000004</v>
      </c>
      <c r="X1834" s="97">
        <v>2316.6000000000004</v>
      </c>
      <c r="Y1834" s="97">
        <v>2316.6000000000004</v>
      </c>
      <c r="Z1834" s="97">
        <v>2316.6000000000004</v>
      </c>
      <c r="AA1834" s="97">
        <v>2316.6000000000004</v>
      </c>
      <c r="AB1834" s="97">
        <v>2316.6000000000004</v>
      </c>
      <c r="AC1834" s="97">
        <v>2316.6000000000004</v>
      </c>
      <c r="AD1834" s="97">
        <v>2316.6000000000004</v>
      </c>
      <c r="AE1834" s="97">
        <v>2316.6000000000004</v>
      </c>
      <c r="AF1834" s="97">
        <v>2316.6000000000004</v>
      </c>
      <c r="AG1834" s="97">
        <v>2316.6000000000004</v>
      </c>
      <c r="AH1834" s="97">
        <v>2316.6000000000004</v>
      </c>
      <c r="AI1834" s="97">
        <v>2316.6000000000004</v>
      </c>
      <c r="AJ1834" s="97">
        <v>2316.6000000000004</v>
      </c>
      <c r="AK1834" s="97">
        <v>2316.6000000000004</v>
      </c>
      <c r="AL1834" s="97">
        <v>2316.6000000000004</v>
      </c>
      <c r="AM1834" s="97">
        <v>2316.6000000000004</v>
      </c>
      <c r="AN1834" s="97">
        <v>2316.6000000000004</v>
      </c>
      <c r="AO1834" s="97">
        <v>2316.6000000000004</v>
      </c>
      <c r="AP1834" s="97">
        <v>2316.6000000000004</v>
      </c>
      <c r="AQ1834" s="97">
        <v>2316.6000000000004</v>
      </c>
      <c r="AR1834" s="97">
        <v>2316.6000000000004</v>
      </c>
      <c r="AS1834" s="97">
        <v>2316.6000000000004</v>
      </c>
      <c r="AT1834" s="97">
        <v>2316.6000000000004</v>
      </c>
      <c r="AU1834" s="97">
        <v>2316.6000000000004</v>
      </c>
      <c r="AV1834" s="97">
        <v>2316.6000000000004</v>
      </c>
      <c r="AW1834" s="97">
        <v>2316.6000000000004</v>
      </c>
      <c r="AX1834" s="98">
        <v>2316.6000000000004</v>
      </c>
    </row>
    <row r="1835" spans="1:50" x14ac:dyDescent="0.25">
      <c r="A1835" s="356"/>
      <c r="B1835" s="359"/>
      <c r="C1835" s="361" t="s">
        <v>15</v>
      </c>
      <c r="D1835" s="58" t="s">
        <v>7</v>
      </c>
      <c r="E1835" s="164" t="str">
        <f>A1813&amp;"/"&amp;B1829&amp;"/"&amp;C1835&amp;"/"&amp;D1835</f>
        <v>Coal fired power plants/Fluidized bed combustion/Electricity only with CCS/L</v>
      </c>
      <c r="F1835" s="78" t="str">
        <f>A1813</f>
        <v>Coal fired power plants</v>
      </c>
      <c r="G1835" s="78" t="str">
        <f>B1829</f>
        <v>Fluidized bed combustion</v>
      </c>
      <c r="H1835" s="78" t="str">
        <f>C1835</f>
        <v>Electricity only with CCS</v>
      </c>
      <c r="I1835" s="165" t="str">
        <f t="shared" si="108"/>
        <v>L</v>
      </c>
      <c r="J1835" s="95" t="s">
        <v>112</v>
      </c>
      <c r="K1835" s="95" t="s">
        <v>112</v>
      </c>
      <c r="L1835" s="95" t="s">
        <v>112</v>
      </c>
      <c r="M1835" s="95" t="s">
        <v>112</v>
      </c>
      <c r="N1835" s="95" t="s">
        <v>112</v>
      </c>
      <c r="O1835" s="95" t="s">
        <v>112</v>
      </c>
      <c r="P1835" s="95" t="s">
        <v>112</v>
      </c>
      <c r="Q1835" s="95" t="s">
        <v>112</v>
      </c>
      <c r="R1835" s="95" t="s">
        <v>112</v>
      </c>
      <c r="S1835" s="95" t="s">
        <v>112</v>
      </c>
      <c r="T1835" s="95" t="s">
        <v>112</v>
      </c>
      <c r="U1835" s="95" t="s">
        <v>112</v>
      </c>
      <c r="V1835" s="95" t="s">
        <v>112</v>
      </c>
      <c r="W1835" s="95" t="s">
        <v>112</v>
      </c>
      <c r="X1835" s="95" t="s">
        <v>112</v>
      </c>
      <c r="Y1835" s="95" t="s">
        <v>112</v>
      </c>
      <c r="Z1835" s="95" t="s">
        <v>112</v>
      </c>
      <c r="AA1835" s="95" t="s">
        <v>112</v>
      </c>
      <c r="AB1835" s="95" t="s">
        <v>112</v>
      </c>
      <c r="AC1835" s="95" t="s">
        <v>112</v>
      </c>
      <c r="AD1835" s="95" t="s">
        <v>112</v>
      </c>
      <c r="AE1835" s="95">
        <v>6000</v>
      </c>
      <c r="AF1835" s="95">
        <v>6000</v>
      </c>
      <c r="AG1835" s="95">
        <v>6000</v>
      </c>
      <c r="AH1835" s="95">
        <v>6000</v>
      </c>
      <c r="AI1835" s="95">
        <v>6000</v>
      </c>
      <c r="AJ1835" s="95">
        <v>6000</v>
      </c>
      <c r="AK1835" s="95">
        <v>6000</v>
      </c>
      <c r="AL1835" s="95">
        <v>6000</v>
      </c>
      <c r="AM1835" s="95">
        <v>6000</v>
      </c>
      <c r="AN1835" s="95">
        <v>6000</v>
      </c>
      <c r="AO1835" s="95">
        <v>6000</v>
      </c>
      <c r="AP1835" s="95">
        <v>6000</v>
      </c>
      <c r="AQ1835" s="95">
        <v>6000</v>
      </c>
      <c r="AR1835" s="95">
        <v>6000</v>
      </c>
      <c r="AS1835" s="95">
        <v>6000</v>
      </c>
      <c r="AT1835" s="95">
        <v>6000</v>
      </c>
      <c r="AU1835" s="95">
        <v>6000</v>
      </c>
      <c r="AV1835" s="95">
        <v>6000</v>
      </c>
      <c r="AW1835" s="95">
        <v>6000</v>
      </c>
      <c r="AX1835" s="96">
        <v>6000</v>
      </c>
    </row>
    <row r="1836" spans="1:50" x14ac:dyDescent="0.25">
      <c r="A1836" s="356"/>
      <c r="B1836" s="359"/>
      <c r="C1836" s="360"/>
      <c r="D1836" s="59" t="s">
        <v>8</v>
      </c>
      <c r="E1836" s="166" t="str">
        <f>A1813&amp;"/"&amp;B1829&amp;"/"&amp;C1835&amp;"/"&amp;D1836</f>
        <v>Coal fired power plants/Fluidized bed combustion/Electricity only with CCS/M</v>
      </c>
      <c r="F1836" s="79" t="str">
        <f>A1813</f>
        <v>Coal fired power plants</v>
      </c>
      <c r="G1836" s="79" t="str">
        <f>B1829</f>
        <v>Fluidized bed combustion</v>
      </c>
      <c r="H1836" s="79" t="str">
        <f>C1835</f>
        <v>Electricity only with CCS</v>
      </c>
      <c r="I1836" s="167" t="str">
        <f t="shared" si="108"/>
        <v>M</v>
      </c>
      <c r="J1836" s="97" t="s">
        <v>112</v>
      </c>
      <c r="K1836" s="97" t="s">
        <v>112</v>
      </c>
      <c r="L1836" s="97" t="s">
        <v>112</v>
      </c>
      <c r="M1836" s="97" t="s">
        <v>112</v>
      </c>
      <c r="N1836" s="97" t="s">
        <v>112</v>
      </c>
      <c r="O1836" s="97" t="s">
        <v>112</v>
      </c>
      <c r="P1836" s="97" t="s">
        <v>112</v>
      </c>
      <c r="Q1836" s="97" t="s">
        <v>112</v>
      </c>
      <c r="R1836" s="97" t="s">
        <v>112</v>
      </c>
      <c r="S1836" s="97" t="s">
        <v>112</v>
      </c>
      <c r="T1836" s="97" t="s">
        <v>112</v>
      </c>
      <c r="U1836" s="97" t="s">
        <v>112</v>
      </c>
      <c r="V1836" s="97" t="s">
        <v>112</v>
      </c>
      <c r="W1836" s="97" t="s">
        <v>112</v>
      </c>
      <c r="X1836" s="97" t="s">
        <v>112</v>
      </c>
      <c r="Y1836" s="97" t="s">
        <v>112</v>
      </c>
      <c r="Z1836" s="97" t="s">
        <v>112</v>
      </c>
      <c r="AA1836" s="97" t="s">
        <v>112</v>
      </c>
      <c r="AB1836" s="97" t="s">
        <v>112</v>
      </c>
      <c r="AC1836" s="97" t="s">
        <v>112</v>
      </c>
      <c r="AD1836" s="97" t="s">
        <v>112</v>
      </c>
      <c r="AE1836" s="97">
        <v>4290</v>
      </c>
      <c r="AF1836" s="97">
        <v>4290</v>
      </c>
      <c r="AG1836" s="97">
        <v>4290</v>
      </c>
      <c r="AH1836" s="97">
        <v>4290</v>
      </c>
      <c r="AI1836" s="97">
        <v>4290</v>
      </c>
      <c r="AJ1836" s="97">
        <v>4290</v>
      </c>
      <c r="AK1836" s="97">
        <v>4290</v>
      </c>
      <c r="AL1836" s="97">
        <v>4290</v>
      </c>
      <c r="AM1836" s="97">
        <v>4290</v>
      </c>
      <c r="AN1836" s="97">
        <v>4290</v>
      </c>
      <c r="AO1836" s="97">
        <v>4290</v>
      </c>
      <c r="AP1836" s="97">
        <v>4290</v>
      </c>
      <c r="AQ1836" s="97">
        <v>4290</v>
      </c>
      <c r="AR1836" s="97">
        <v>4290</v>
      </c>
      <c r="AS1836" s="97">
        <v>4290</v>
      </c>
      <c r="AT1836" s="97">
        <v>4290</v>
      </c>
      <c r="AU1836" s="97">
        <v>4290</v>
      </c>
      <c r="AV1836" s="97">
        <v>4290</v>
      </c>
      <c r="AW1836" s="97">
        <v>4290</v>
      </c>
      <c r="AX1836" s="98">
        <v>4290</v>
      </c>
    </row>
    <row r="1837" spans="1:50" x14ac:dyDescent="0.25">
      <c r="A1837" s="356"/>
      <c r="B1837" s="359"/>
      <c r="C1837" s="361" t="s">
        <v>16</v>
      </c>
      <c r="D1837" s="2" t="s">
        <v>7</v>
      </c>
      <c r="E1837" s="160" t="str">
        <f>A1813&amp;"/"&amp;B1829&amp;"/"&amp;C1837&amp;"/"&amp;D1837</f>
        <v>Coal fired power plants/Fluidized bed combustion/CHP with CCS/L</v>
      </c>
      <c r="F1837" s="76" t="str">
        <f>A1813</f>
        <v>Coal fired power plants</v>
      </c>
      <c r="G1837" s="76" t="str">
        <f>B1829</f>
        <v>Fluidized bed combustion</v>
      </c>
      <c r="H1837" s="76" t="str">
        <f>C1837</f>
        <v>CHP with CCS</v>
      </c>
      <c r="I1837" s="161" t="str">
        <f t="shared" si="108"/>
        <v>L</v>
      </c>
      <c r="J1837" s="91" t="s">
        <v>112</v>
      </c>
      <c r="K1837" s="91" t="s">
        <v>112</v>
      </c>
      <c r="L1837" s="91" t="s">
        <v>112</v>
      </c>
      <c r="M1837" s="91" t="s">
        <v>112</v>
      </c>
      <c r="N1837" s="91" t="s">
        <v>112</v>
      </c>
      <c r="O1837" s="91" t="s">
        <v>112</v>
      </c>
      <c r="P1837" s="91" t="s">
        <v>112</v>
      </c>
      <c r="Q1837" s="91" t="s">
        <v>112</v>
      </c>
      <c r="R1837" s="91" t="s">
        <v>112</v>
      </c>
      <c r="S1837" s="91" t="s">
        <v>112</v>
      </c>
      <c r="T1837" s="91" t="s">
        <v>112</v>
      </c>
      <c r="U1837" s="91" t="s">
        <v>112</v>
      </c>
      <c r="V1837" s="91" t="s">
        <v>112</v>
      </c>
      <c r="W1837" s="91" t="s">
        <v>112</v>
      </c>
      <c r="X1837" s="91" t="s">
        <v>112</v>
      </c>
      <c r="Y1837" s="91" t="s">
        <v>112</v>
      </c>
      <c r="Z1837" s="91" t="s">
        <v>112</v>
      </c>
      <c r="AA1837" s="91" t="s">
        <v>112</v>
      </c>
      <c r="AB1837" s="91" t="s">
        <v>112</v>
      </c>
      <c r="AC1837" s="91" t="s">
        <v>112</v>
      </c>
      <c r="AD1837" s="91" t="s">
        <v>112</v>
      </c>
      <c r="AE1837" s="91">
        <v>4800</v>
      </c>
      <c r="AF1837" s="91">
        <v>4800</v>
      </c>
      <c r="AG1837" s="91">
        <v>4800</v>
      </c>
      <c r="AH1837" s="91">
        <v>4800</v>
      </c>
      <c r="AI1837" s="91">
        <v>4800</v>
      </c>
      <c r="AJ1837" s="91">
        <v>4800</v>
      </c>
      <c r="AK1837" s="91">
        <v>4800</v>
      </c>
      <c r="AL1837" s="91">
        <v>4800</v>
      </c>
      <c r="AM1837" s="91">
        <v>4800</v>
      </c>
      <c r="AN1837" s="91">
        <v>4800</v>
      </c>
      <c r="AO1837" s="91">
        <v>4800</v>
      </c>
      <c r="AP1837" s="91">
        <v>4800</v>
      </c>
      <c r="AQ1837" s="91">
        <v>4800</v>
      </c>
      <c r="AR1837" s="91">
        <v>4800</v>
      </c>
      <c r="AS1837" s="91">
        <v>4800</v>
      </c>
      <c r="AT1837" s="91">
        <v>4800</v>
      </c>
      <c r="AU1837" s="91">
        <v>4800</v>
      </c>
      <c r="AV1837" s="91">
        <v>4800</v>
      </c>
      <c r="AW1837" s="91">
        <v>4800</v>
      </c>
      <c r="AX1837" s="92">
        <v>4800</v>
      </c>
    </row>
    <row r="1838" spans="1:50" x14ac:dyDescent="0.25">
      <c r="A1838" s="356"/>
      <c r="B1838" s="362"/>
      <c r="C1838" s="354"/>
      <c r="D1838" s="4" t="s">
        <v>8</v>
      </c>
      <c r="E1838" s="168" t="str">
        <f>A1813&amp;"/"&amp;B1829&amp;"/"&amp;C1837&amp;"/"&amp;D1838</f>
        <v>Coal fired power plants/Fluidized bed combustion/CHP with CCS/M</v>
      </c>
      <c r="F1838" s="80" t="str">
        <f>A1813</f>
        <v>Coal fired power plants</v>
      </c>
      <c r="G1838" s="80" t="str">
        <f>B1829</f>
        <v>Fluidized bed combustion</v>
      </c>
      <c r="H1838" s="80" t="str">
        <f>C1837</f>
        <v>CHP with CCS</v>
      </c>
      <c r="I1838" s="169" t="str">
        <f t="shared" si="108"/>
        <v>M</v>
      </c>
      <c r="J1838" s="99" t="s">
        <v>112</v>
      </c>
      <c r="K1838" s="99" t="s">
        <v>112</v>
      </c>
      <c r="L1838" s="99" t="s">
        <v>112</v>
      </c>
      <c r="M1838" s="99" t="s">
        <v>112</v>
      </c>
      <c r="N1838" s="99" t="s">
        <v>112</v>
      </c>
      <c r="O1838" s="99" t="s">
        <v>112</v>
      </c>
      <c r="P1838" s="99" t="s">
        <v>112</v>
      </c>
      <c r="Q1838" s="99" t="s">
        <v>112</v>
      </c>
      <c r="R1838" s="99" t="s">
        <v>112</v>
      </c>
      <c r="S1838" s="99" t="s">
        <v>112</v>
      </c>
      <c r="T1838" s="99" t="s">
        <v>112</v>
      </c>
      <c r="U1838" s="99" t="s">
        <v>112</v>
      </c>
      <c r="V1838" s="99" t="s">
        <v>112</v>
      </c>
      <c r="W1838" s="99" t="s">
        <v>112</v>
      </c>
      <c r="X1838" s="99" t="s">
        <v>112</v>
      </c>
      <c r="Y1838" s="99" t="s">
        <v>112</v>
      </c>
      <c r="Z1838" s="99" t="s">
        <v>112</v>
      </c>
      <c r="AA1838" s="99" t="s">
        <v>112</v>
      </c>
      <c r="AB1838" s="99" t="s">
        <v>112</v>
      </c>
      <c r="AC1838" s="99" t="s">
        <v>112</v>
      </c>
      <c r="AD1838" s="99" t="s">
        <v>112</v>
      </c>
      <c r="AE1838" s="99">
        <v>3432</v>
      </c>
      <c r="AF1838" s="99">
        <v>3432</v>
      </c>
      <c r="AG1838" s="99">
        <v>3432</v>
      </c>
      <c r="AH1838" s="99">
        <v>3432</v>
      </c>
      <c r="AI1838" s="99">
        <v>3432</v>
      </c>
      <c r="AJ1838" s="99">
        <v>3432</v>
      </c>
      <c r="AK1838" s="99">
        <v>3432</v>
      </c>
      <c r="AL1838" s="99">
        <v>3432</v>
      </c>
      <c r="AM1838" s="99">
        <v>3432</v>
      </c>
      <c r="AN1838" s="99">
        <v>3432</v>
      </c>
      <c r="AO1838" s="99">
        <v>3432</v>
      </c>
      <c r="AP1838" s="99">
        <v>3432</v>
      </c>
      <c r="AQ1838" s="99">
        <v>3432</v>
      </c>
      <c r="AR1838" s="99">
        <v>3432</v>
      </c>
      <c r="AS1838" s="99">
        <v>3432</v>
      </c>
      <c r="AT1838" s="99">
        <v>3432</v>
      </c>
      <c r="AU1838" s="99">
        <v>3432</v>
      </c>
      <c r="AV1838" s="99">
        <v>3432</v>
      </c>
      <c r="AW1838" s="99">
        <v>3432</v>
      </c>
      <c r="AX1838" s="100">
        <v>3432</v>
      </c>
    </row>
    <row r="1839" spans="1:50" x14ac:dyDescent="0.25">
      <c r="A1839" s="356"/>
      <c r="B1839" s="358" t="s">
        <v>19</v>
      </c>
      <c r="C1839" s="353" t="s">
        <v>6</v>
      </c>
      <c r="D1839" s="3" t="s">
        <v>7</v>
      </c>
      <c r="E1839" s="162" t="str">
        <f>A1813&amp;"/"&amp;B1839&amp;"/"&amp;C1839&amp;"/"&amp;D1839</f>
        <v>Coal fired power plants/Steam turbine/Electricity only/L</v>
      </c>
      <c r="F1839" s="77" t="str">
        <f>A1813</f>
        <v>Coal fired power plants</v>
      </c>
      <c r="G1839" s="77" t="str">
        <f>B1839</f>
        <v>Steam turbine</v>
      </c>
      <c r="H1839" s="77" t="str">
        <f>C1839</f>
        <v>Electricity only</v>
      </c>
      <c r="I1839" s="163" t="str">
        <f t="shared" si="108"/>
        <v>L</v>
      </c>
      <c r="J1839" s="93">
        <v>5750</v>
      </c>
      <c r="K1839" s="93">
        <v>5750</v>
      </c>
      <c r="L1839" s="93">
        <v>5750</v>
      </c>
      <c r="M1839" s="93">
        <v>5750</v>
      </c>
      <c r="N1839" s="93">
        <v>5750</v>
      </c>
      <c r="O1839" s="93">
        <v>5750</v>
      </c>
      <c r="P1839" s="93">
        <v>5750</v>
      </c>
      <c r="Q1839" s="93">
        <v>5750</v>
      </c>
      <c r="R1839" s="93">
        <v>5750</v>
      </c>
      <c r="S1839" s="93">
        <v>5750</v>
      </c>
      <c r="T1839" s="93">
        <v>5750</v>
      </c>
      <c r="U1839" s="93">
        <v>5750</v>
      </c>
      <c r="V1839" s="93">
        <v>5750</v>
      </c>
      <c r="W1839" s="93">
        <v>5750</v>
      </c>
      <c r="X1839" s="93">
        <v>5750</v>
      </c>
      <c r="Y1839" s="93">
        <v>5750</v>
      </c>
      <c r="Z1839" s="93">
        <v>5750</v>
      </c>
      <c r="AA1839" s="93">
        <v>5750</v>
      </c>
      <c r="AB1839" s="93">
        <v>5750</v>
      </c>
      <c r="AC1839" s="93">
        <v>5750</v>
      </c>
      <c r="AD1839" s="93">
        <v>5750</v>
      </c>
      <c r="AE1839" s="93">
        <v>5750</v>
      </c>
      <c r="AF1839" s="93">
        <v>5750</v>
      </c>
      <c r="AG1839" s="93">
        <v>5750</v>
      </c>
      <c r="AH1839" s="93">
        <v>5750</v>
      </c>
      <c r="AI1839" s="93">
        <v>5750</v>
      </c>
      <c r="AJ1839" s="93">
        <v>5750</v>
      </c>
      <c r="AK1839" s="93">
        <v>5750</v>
      </c>
      <c r="AL1839" s="93">
        <v>5750</v>
      </c>
      <c r="AM1839" s="93">
        <v>5750</v>
      </c>
      <c r="AN1839" s="93">
        <v>5750</v>
      </c>
      <c r="AO1839" s="93">
        <v>5750</v>
      </c>
      <c r="AP1839" s="93">
        <v>5750</v>
      </c>
      <c r="AQ1839" s="93">
        <v>5750</v>
      </c>
      <c r="AR1839" s="93">
        <v>5750</v>
      </c>
      <c r="AS1839" s="93">
        <v>5750</v>
      </c>
      <c r="AT1839" s="93">
        <v>5750</v>
      </c>
      <c r="AU1839" s="93">
        <v>5750</v>
      </c>
      <c r="AV1839" s="93">
        <v>5750</v>
      </c>
      <c r="AW1839" s="93">
        <v>5750</v>
      </c>
      <c r="AX1839" s="94">
        <v>5750</v>
      </c>
    </row>
    <row r="1840" spans="1:50" x14ac:dyDescent="0.25">
      <c r="A1840" s="356"/>
      <c r="B1840" s="359"/>
      <c r="C1840" s="350"/>
      <c r="D1840" s="2" t="s">
        <v>8</v>
      </c>
      <c r="E1840" s="160" t="str">
        <f>A1813&amp;"/"&amp;B1839&amp;"/"&amp;C1839&amp;"/"&amp;D1840</f>
        <v>Coal fired power plants/Steam turbine/Electricity only/M</v>
      </c>
      <c r="F1840" s="76" t="str">
        <f>A1813</f>
        <v>Coal fired power plants</v>
      </c>
      <c r="G1840" s="76" t="str">
        <f>B1839</f>
        <v>Steam turbine</v>
      </c>
      <c r="H1840" s="76" t="str">
        <f>C1839</f>
        <v>Electricity only</v>
      </c>
      <c r="I1840" s="161" t="str">
        <f t="shared" si="108"/>
        <v>M</v>
      </c>
      <c r="J1840" s="91">
        <v>4600</v>
      </c>
      <c r="K1840" s="91">
        <v>4600</v>
      </c>
      <c r="L1840" s="91">
        <v>4600</v>
      </c>
      <c r="M1840" s="91">
        <v>4600</v>
      </c>
      <c r="N1840" s="91">
        <v>4600</v>
      </c>
      <c r="O1840" s="91">
        <v>4600</v>
      </c>
      <c r="P1840" s="91">
        <v>4600</v>
      </c>
      <c r="Q1840" s="91">
        <v>4600</v>
      </c>
      <c r="R1840" s="91">
        <v>4600</v>
      </c>
      <c r="S1840" s="91">
        <v>4600</v>
      </c>
      <c r="T1840" s="91">
        <v>4600</v>
      </c>
      <c r="U1840" s="91">
        <v>4600</v>
      </c>
      <c r="V1840" s="91">
        <v>4600</v>
      </c>
      <c r="W1840" s="91">
        <v>4600</v>
      </c>
      <c r="X1840" s="91">
        <v>4600</v>
      </c>
      <c r="Y1840" s="91">
        <v>4600</v>
      </c>
      <c r="Z1840" s="91">
        <v>4600</v>
      </c>
      <c r="AA1840" s="91">
        <v>4600</v>
      </c>
      <c r="AB1840" s="91">
        <v>4600</v>
      </c>
      <c r="AC1840" s="91">
        <v>4600</v>
      </c>
      <c r="AD1840" s="91">
        <v>4600</v>
      </c>
      <c r="AE1840" s="91">
        <v>4600</v>
      </c>
      <c r="AF1840" s="91">
        <v>4600</v>
      </c>
      <c r="AG1840" s="91">
        <v>4600</v>
      </c>
      <c r="AH1840" s="91">
        <v>4600</v>
      </c>
      <c r="AI1840" s="91">
        <v>4600</v>
      </c>
      <c r="AJ1840" s="91">
        <v>4600</v>
      </c>
      <c r="AK1840" s="91">
        <v>4600</v>
      </c>
      <c r="AL1840" s="91">
        <v>4600</v>
      </c>
      <c r="AM1840" s="91">
        <v>4600</v>
      </c>
      <c r="AN1840" s="91">
        <v>4600</v>
      </c>
      <c r="AO1840" s="91">
        <v>4600</v>
      </c>
      <c r="AP1840" s="91">
        <v>4600</v>
      </c>
      <c r="AQ1840" s="91">
        <v>4600</v>
      </c>
      <c r="AR1840" s="91">
        <v>4600</v>
      </c>
      <c r="AS1840" s="91">
        <v>4600</v>
      </c>
      <c r="AT1840" s="91">
        <v>4600</v>
      </c>
      <c r="AU1840" s="91">
        <v>4600</v>
      </c>
      <c r="AV1840" s="91">
        <v>4600</v>
      </c>
      <c r="AW1840" s="91">
        <v>4600</v>
      </c>
      <c r="AX1840" s="92">
        <v>4600</v>
      </c>
    </row>
    <row r="1841" spans="1:50" x14ac:dyDescent="0.25">
      <c r="A1841" s="356"/>
      <c r="B1841" s="359"/>
      <c r="C1841" s="350"/>
      <c r="D1841" s="2" t="s">
        <v>10</v>
      </c>
      <c r="E1841" s="160" t="str">
        <f>A1813&amp;"/"&amp;B1839&amp;"/"&amp;C1839&amp;"/"&amp;D1841</f>
        <v>Coal fired power plants/Steam turbine/Electricity only/S</v>
      </c>
      <c r="F1841" s="76" t="str">
        <f>A1813</f>
        <v>Coal fired power plants</v>
      </c>
      <c r="G1841" s="76" t="str">
        <f>B1839</f>
        <v>Steam turbine</v>
      </c>
      <c r="H1841" s="76" t="str">
        <f>C1839</f>
        <v>Electricity only</v>
      </c>
      <c r="I1841" s="161" t="str">
        <f t="shared" si="108"/>
        <v>S</v>
      </c>
      <c r="J1841" s="91">
        <v>3450</v>
      </c>
      <c r="K1841" s="91">
        <v>3450</v>
      </c>
      <c r="L1841" s="91">
        <v>3450</v>
      </c>
      <c r="M1841" s="91">
        <v>3450</v>
      </c>
      <c r="N1841" s="91">
        <v>3450</v>
      </c>
      <c r="O1841" s="91">
        <v>3450</v>
      </c>
      <c r="P1841" s="91">
        <v>3450</v>
      </c>
      <c r="Q1841" s="91">
        <v>3450</v>
      </c>
      <c r="R1841" s="91">
        <v>3450</v>
      </c>
      <c r="S1841" s="91">
        <v>3450</v>
      </c>
      <c r="T1841" s="91">
        <v>3450</v>
      </c>
      <c r="U1841" s="91">
        <v>3450</v>
      </c>
      <c r="V1841" s="91">
        <v>3450</v>
      </c>
      <c r="W1841" s="91">
        <v>3450</v>
      </c>
      <c r="X1841" s="91">
        <v>3450</v>
      </c>
      <c r="Y1841" s="91">
        <v>3450</v>
      </c>
      <c r="Z1841" s="91">
        <v>3450</v>
      </c>
      <c r="AA1841" s="91">
        <v>3450</v>
      </c>
      <c r="AB1841" s="91">
        <v>3450</v>
      </c>
      <c r="AC1841" s="91">
        <v>3450</v>
      </c>
      <c r="AD1841" s="91">
        <v>3450</v>
      </c>
      <c r="AE1841" s="91">
        <v>3450</v>
      </c>
      <c r="AF1841" s="91">
        <v>3450</v>
      </c>
      <c r="AG1841" s="91">
        <v>3450</v>
      </c>
      <c r="AH1841" s="91">
        <v>3450</v>
      </c>
      <c r="AI1841" s="91">
        <v>3450</v>
      </c>
      <c r="AJ1841" s="91">
        <v>3450</v>
      </c>
      <c r="AK1841" s="91">
        <v>3450</v>
      </c>
      <c r="AL1841" s="91">
        <v>3450</v>
      </c>
      <c r="AM1841" s="91">
        <v>3450</v>
      </c>
      <c r="AN1841" s="91">
        <v>3450</v>
      </c>
      <c r="AO1841" s="91">
        <v>3450</v>
      </c>
      <c r="AP1841" s="91">
        <v>3450</v>
      </c>
      <c r="AQ1841" s="91">
        <v>3450</v>
      </c>
      <c r="AR1841" s="91">
        <v>3450</v>
      </c>
      <c r="AS1841" s="91">
        <v>3450</v>
      </c>
      <c r="AT1841" s="91">
        <v>3450</v>
      </c>
      <c r="AU1841" s="91">
        <v>3450</v>
      </c>
      <c r="AV1841" s="91">
        <v>3450</v>
      </c>
      <c r="AW1841" s="91">
        <v>3450</v>
      </c>
      <c r="AX1841" s="92">
        <v>3450</v>
      </c>
    </row>
    <row r="1842" spans="1:50" x14ac:dyDescent="0.25">
      <c r="A1842" s="356"/>
      <c r="B1842" s="359"/>
      <c r="C1842" s="360"/>
      <c r="D1842" s="2" t="s">
        <v>20</v>
      </c>
      <c r="E1842" s="160" t="str">
        <f>A1813&amp;"/"&amp;B1839&amp;"/"&amp;C1839&amp;"/"&amp;D1842</f>
        <v>Coal fired power plants/Steam turbine/Electricity only/XS</v>
      </c>
      <c r="F1842" s="76" t="str">
        <f>A1813</f>
        <v>Coal fired power plants</v>
      </c>
      <c r="G1842" s="76" t="str">
        <f>B1839</f>
        <v>Steam turbine</v>
      </c>
      <c r="H1842" s="76" t="str">
        <f>C1839</f>
        <v>Electricity only</v>
      </c>
      <c r="I1842" s="161" t="str">
        <f t="shared" si="108"/>
        <v>XS</v>
      </c>
      <c r="J1842" s="91">
        <v>2932.5</v>
      </c>
      <c r="K1842" s="91">
        <v>2932.5</v>
      </c>
      <c r="L1842" s="91">
        <v>2932.5</v>
      </c>
      <c r="M1842" s="91">
        <v>2932.5</v>
      </c>
      <c r="N1842" s="91">
        <v>2932.5</v>
      </c>
      <c r="O1842" s="91">
        <v>2932.5</v>
      </c>
      <c r="P1842" s="91">
        <v>2932.5</v>
      </c>
      <c r="Q1842" s="91">
        <v>2932.5</v>
      </c>
      <c r="R1842" s="91">
        <v>2932.5</v>
      </c>
      <c r="S1842" s="91">
        <v>2932.5</v>
      </c>
      <c r="T1842" s="91">
        <v>2932.5</v>
      </c>
      <c r="U1842" s="91">
        <v>2932.5</v>
      </c>
      <c r="V1842" s="91">
        <v>2932.5</v>
      </c>
      <c r="W1842" s="91">
        <v>2932.5</v>
      </c>
      <c r="X1842" s="91">
        <v>2932.5</v>
      </c>
      <c r="Y1842" s="91">
        <v>2932.5</v>
      </c>
      <c r="Z1842" s="91">
        <v>2932.5</v>
      </c>
      <c r="AA1842" s="91">
        <v>2932.5</v>
      </c>
      <c r="AB1842" s="91">
        <v>2932.5</v>
      </c>
      <c r="AC1842" s="91">
        <v>2932.5</v>
      </c>
      <c r="AD1842" s="91">
        <v>2932.5</v>
      </c>
      <c r="AE1842" s="91">
        <v>2932.5</v>
      </c>
      <c r="AF1842" s="91">
        <v>2932.5</v>
      </c>
      <c r="AG1842" s="91">
        <v>2932.5</v>
      </c>
      <c r="AH1842" s="91">
        <v>2932.5</v>
      </c>
      <c r="AI1842" s="91">
        <v>2932.5</v>
      </c>
      <c r="AJ1842" s="91">
        <v>2932.5</v>
      </c>
      <c r="AK1842" s="91">
        <v>2932.5</v>
      </c>
      <c r="AL1842" s="91">
        <v>2932.5</v>
      </c>
      <c r="AM1842" s="91">
        <v>2932.5</v>
      </c>
      <c r="AN1842" s="91">
        <v>2932.5</v>
      </c>
      <c r="AO1842" s="91">
        <v>2932.5</v>
      </c>
      <c r="AP1842" s="91">
        <v>2932.5</v>
      </c>
      <c r="AQ1842" s="91">
        <v>2932.5</v>
      </c>
      <c r="AR1842" s="91">
        <v>2932.5</v>
      </c>
      <c r="AS1842" s="91">
        <v>2932.5</v>
      </c>
      <c r="AT1842" s="91">
        <v>2932.5</v>
      </c>
      <c r="AU1842" s="91">
        <v>2932.5</v>
      </c>
      <c r="AV1842" s="91">
        <v>2932.5</v>
      </c>
      <c r="AW1842" s="91">
        <v>2932.5</v>
      </c>
      <c r="AX1842" s="92">
        <v>2932.5</v>
      </c>
    </row>
    <row r="1843" spans="1:50" x14ac:dyDescent="0.25">
      <c r="A1843" s="356"/>
      <c r="B1843" s="359"/>
      <c r="C1843" s="361" t="s">
        <v>14</v>
      </c>
      <c r="D1843" s="58" t="s">
        <v>7</v>
      </c>
      <c r="E1843" s="164" t="str">
        <f>A1813&amp;"/"&amp;B1839&amp;"/"&amp;C1843&amp;"/"&amp;D1843</f>
        <v>Coal fired power plants/Steam turbine/CHP/L</v>
      </c>
      <c r="F1843" s="78" t="str">
        <f>A1813</f>
        <v>Coal fired power plants</v>
      </c>
      <c r="G1843" s="78" t="str">
        <f>B1839</f>
        <v>Steam turbine</v>
      </c>
      <c r="H1843" s="78" t="str">
        <f>C1843</f>
        <v>CHP</v>
      </c>
      <c r="I1843" s="165" t="str">
        <f t="shared" si="108"/>
        <v>L</v>
      </c>
      <c r="J1843" s="95">
        <v>5175</v>
      </c>
      <c r="K1843" s="95">
        <v>5175</v>
      </c>
      <c r="L1843" s="95">
        <v>5175</v>
      </c>
      <c r="M1843" s="95">
        <v>5175</v>
      </c>
      <c r="N1843" s="95">
        <v>5175</v>
      </c>
      <c r="O1843" s="95">
        <v>5175</v>
      </c>
      <c r="P1843" s="95">
        <v>5175</v>
      </c>
      <c r="Q1843" s="95">
        <v>5175</v>
      </c>
      <c r="R1843" s="95">
        <v>5175</v>
      </c>
      <c r="S1843" s="95">
        <v>5175</v>
      </c>
      <c r="T1843" s="95">
        <v>5175</v>
      </c>
      <c r="U1843" s="95">
        <v>5175</v>
      </c>
      <c r="V1843" s="95">
        <v>5175</v>
      </c>
      <c r="W1843" s="95">
        <v>5175</v>
      </c>
      <c r="X1843" s="95">
        <v>5175</v>
      </c>
      <c r="Y1843" s="95">
        <v>5175</v>
      </c>
      <c r="Z1843" s="95">
        <v>5175</v>
      </c>
      <c r="AA1843" s="95">
        <v>5175</v>
      </c>
      <c r="AB1843" s="95">
        <v>5175</v>
      </c>
      <c r="AC1843" s="95">
        <v>5175</v>
      </c>
      <c r="AD1843" s="95">
        <v>5175</v>
      </c>
      <c r="AE1843" s="95">
        <v>5175</v>
      </c>
      <c r="AF1843" s="95">
        <v>5175</v>
      </c>
      <c r="AG1843" s="95">
        <v>5175</v>
      </c>
      <c r="AH1843" s="95">
        <v>5175</v>
      </c>
      <c r="AI1843" s="95">
        <v>5175</v>
      </c>
      <c r="AJ1843" s="95">
        <v>5175</v>
      </c>
      <c r="AK1843" s="95">
        <v>5175</v>
      </c>
      <c r="AL1843" s="95">
        <v>5175</v>
      </c>
      <c r="AM1843" s="95">
        <v>5175</v>
      </c>
      <c r="AN1843" s="95">
        <v>5175</v>
      </c>
      <c r="AO1843" s="95">
        <v>5175</v>
      </c>
      <c r="AP1843" s="95">
        <v>5175</v>
      </c>
      <c r="AQ1843" s="95">
        <v>5175</v>
      </c>
      <c r="AR1843" s="95">
        <v>5175</v>
      </c>
      <c r="AS1843" s="95">
        <v>5175</v>
      </c>
      <c r="AT1843" s="95">
        <v>5175</v>
      </c>
      <c r="AU1843" s="95">
        <v>5175</v>
      </c>
      <c r="AV1843" s="95">
        <v>5175</v>
      </c>
      <c r="AW1843" s="95">
        <v>5175</v>
      </c>
      <c r="AX1843" s="96">
        <v>5175</v>
      </c>
    </row>
    <row r="1844" spans="1:50" x14ac:dyDescent="0.25">
      <c r="A1844" s="356"/>
      <c r="B1844" s="359"/>
      <c r="C1844" s="350"/>
      <c r="D1844" s="2" t="s">
        <v>8</v>
      </c>
      <c r="E1844" s="160" t="str">
        <f>A1813&amp;"/"&amp;B1839&amp;"/"&amp;C1843&amp;"/"&amp;D1844</f>
        <v>Coal fired power plants/Steam turbine/CHP/M</v>
      </c>
      <c r="F1844" s="76" t="str">
        <f>A1813</f>
        <v>Coal fired power plants</v>
      </c>
      <c r="G1844" s="76" t="str">
        <f>B1839</f>
        <v>Steam turbine</v>
      </c>
      <c r="H1844" s="76" t="str">
        <f>C1843</f>
        <v>CHP</v>
      </c>
      <c r="I1844" s="161" t="str">
        <f t="shared" si="108"/>
        <v>M</v>
      </c>
      <c r="J1844" s="91">
        <v>4140</v>
      </c>
      <c r="K1844" s="91">
        <v>4140</v>
      </c>
      <c r="L1844" s="91">
        <v>4140</v>
      </c>
      <c r="M1844" s="91">
        <v>4140</v>
      </c>
      <c r="N1844" s="91">
        <v>4140</v>
      </c>
      <c r="O1844" s="91">
        <v>4140</v>
      </c>
      <c r="P1844" s="91">
        <v>4140</v>
      </c>
      <c r="Q1844" s="91">
        <v>4140</v>
      </c>
      <c r="R1844" s="91">
        <v>4140</v>
      </c>
      <c r="S1844" s="91">
        <v>4140</v>
      </c>
      <c r="T1844" s="91">
        <v>4140</v>
      </c>
      <c r="U1844" s="91">
        <v>4140</v>
      </c>
      <c r="V1844" s="91">
        <v>4140</v>
      </c>
      <c r="W1844" s="91">
        <v>4140</v>
      </c>
      <c r="X1844" s="91">
        <v>4140</v>
      </c>
      <c r="Y1844" s="91">
        <v>4140</v>
      </c>
      <c r="Z1844" s="91">
        <v>4140</v>
      </c>
      <c r="AA1844" s="91">
        <v>4140</v>
      </c>
      <c r="AB1844" s="91">
        <v>4140</v>
      </c>
      <c r="AC1844" s="91">
        <v>4140</v>
      </c>
      <c r="AD1844" s="91">
        <v>4140</v>
      </c>
      <c r="AE1844" s="91">
        <v>4140</v>
      </c>
      <c r="AF1844" s="91">
        <v>4140</v>
      </c>
      <c r="AG1844" s="91">
        <v>4140</v>
      </c>
      <c r="AH1844" s="91">
        <v>4140</v>
      </c>
      <c r="AI1844" s="91">
        <v>4140</v>
      </c>
      <c r="AJ1844" s="91">
        <v>4140</v>
      </c>
      <c r="AK1844" s="91">
        <v>4140</v>
      </c>
      <c r="AL1844" s="91">
        <v>4140</v>
      </c>
      <c r="AM1844" s="91">
        <v>4140</v>
      </c>
      <c r="AN1844" s="91">
        <v>4140</v>
      </c>
      <c r="AO1844" s="91">
        <v>4140</v>
      </c>
      <c r="AP1844" s="91">
        <v>4140</v>
      </c>
      <c r="AQ1844" s="91">
        <v>4140</v>
      </c>
      <c r="AR1844" s="91">
        <v>4140</v>
      </c>
      <c r="AS1844" s="91">
        <v>4140</v>
      </c>
      <c r="AT1844" s="91">
        <v>4140</v>
      </c>
      <c r="AU1844" s="91">
        <v>4140</v>
      </c>
      <c r="AV1844" s="91">
        <v>4140</v>
      </c>
      <c r="AW1844" s="91">
        <v>4140</v>
      </c>
      <c r="AX1844" s="92">
        <v>4140</v>
      </c>
    </row>
    <row r="1845" spans="1:50" x14ac:dyDescent="0.25">
      <c r="A1845" s="356"/>
      <c r="B1845" s="359"/>
      <c r="C1845" s="350"/>
      <c r="D1845" s="2" t="s">
        <v>10</v>
      </c>
      <c r="E1845" s="160" t="str">
        <f>A1813&amp;"/"&amp;B1839&amp;"/"&amp;C1843&amp;"/"&amp;D1845</f>
        <v>Coal fired power plants/Steam turbine/CHP/S</v>
      </c>
      <c r="F1845" s="76" t="str">
        <f>A1813</f>
        <v>Coal fired power plants</v>
      </c>
      <c r="G1845" s="76" t="str">
        <f>B1839</f>
        <v>Steam turbine</v>
      </c>
      <c r="H1845" s="76" t="str">
        <f>C1843</f>
        <v>CHP</v>
      </c>
      <c r="I1845" s="161" t="str">
        <f t="shared" si="108"/>
        <v>S</v>
      </c>
      <c r="J1845" s="91">
        <v>3105</v>
      </c>
      <c r="K1845" s="91">
        <v>3105</v>
      </c>
      <c r="L1845" s="91">
        <v>3105</v>
      </c>
      <c r="M1845" s="91">
        <v>3105</v>
      </c>
      <c r="N1845" s="91">
        <v>3105</v>
      </c>
      <c r="O1845" s="91">
        <v>3105</v>
      </c>
      <c r="P1845" s="91">
        <v>3105</v>
      </c>
      <c r="Q1845" s="91">
        <v>3105</v>
      </c>
      <c r="R1845" s="91">
        <v>3105</v>
      </c>
      <c r="S1845" s="91">
        <v>3105</v>
      </c>
      <c r="T1845" s="91">
        <v>3105</v>
      </c>
      <c r="U1845" s="91">
        <v>3105</v>
      </c>
      <c r="V1845" s="91">
        <v>3105</v>
      </c>
      <c r="W1845" s="91">
        <v>3105</v>
      </c>
      <c r="X1845" s="91">
        <v>3105</v>
      </c>
      <c r="Y1845" s="91">
        <v>3105</v>
      </c>
      <c r="Z1845" s="91">
        <v>3105</v>
      </c>
      <c r="AA1845" s="91">
        <v>3105</v>
      </c>
      <c r="AB1845" s="91">
        <v>3105</v>
      </c>
      <c r="AC1845" s="91">
        <v>3105</v>
      </c>
      <c r="AD1845" s="91">
        <v>3105</v>
      </c>
      <c r="AE1845" s="91">
        <v>3105</v>
      </c>
      <c r="AF1845" s="91">
        <v>3105</v>
      </c>
      <c r="AG1845" s="91">
        <v>3105</v>
      </c>
      <c r="AH1845" s="91">
        <v>3105</v>
      </c>
      <c r="AI1845" s="91">
        <v>3105</v>
      </c>
      <c r="AJ1845" s="91">
        <v>3105</v>
      </c>
      <c r="AK1845" s="91">
        <v>3105</v>
      </c>
      <c r="AL1845" s="91">
        <v>3105</v>
      </c>
      <c r="AM1845" s="91">
        <v>3105</v>
      </c>
      <c r="AN1845" s="91">
        <v>3105</v>
      </c>
      <c r="AO1845" s="91">
        <v>3105</v>
      </c>
      <c r="AP1845" s="91">
        <v>3105</v>
      </c>
      <c r="AQ1845" s="91">
        <v>3105</v>
      </c>
      <c r="AR1845" s="91">
        <v>3105</v>
      </c>
      <c r="AS1845" s="91">
        <v>3105</v>
      </c>
      <c r="AT1845" s="91">
        <v>3105</v>
      </c>
      <c r="AU1845" s="91">
        <v>3105</v>
      </c>
      <c r="AV1845" s="91">
        <v>3105</v>
      </c>
      <c r="AW1845" s="91">
        <v>3105</v>
      </c>
      <c r="AX1845" s="92">
        <v>3105</v>
      </c>
    </row>
    <row r="1846" spans="1:50" x14ac:dyDescent="0.25">
      <c r="A1846" s="356"/>
      <c r="B1846" s="359"/>
      <c r="C1846" s="360"/>
      <c r="D1846" s="59" t="s">
        <v>20</v>
      </c>
      <c r="E1846" s="166" t="str">
        <f>A1813&amp;"/"&amp;B1839&amp;"/"&amp;C1843&amp;"/"&amp;D1846</f>
        <v>Coal fired power plants/Steam turbine/CHP/XS</v>
      </c>
      <c r="F1846" s="79" t="str">
        <f>A1813</f>
        <v>Coal fired power plants</v>
      </c>
      <c r="G1846" s="79" t="str">
        <f>B1839</f>
        <v>Steam turbine</v>
      </c>
      <c r="H1846" s="79" t="str">
        <f>C1843</f>
        <v>CHP</v>
      </c>
      <c r="I1846" s="167" t="str">
        <f t="shared" si="108"/>
        <v>XS</v>
      </c>
      <c r="J1846" s="97">
        <v>2639.25</v>
      </c>
      <c r="K1846" s="97">
        <v>2639.25</v>
      </c>
      <c r="L1846" s="97">
        <v>2639.25</v>
      </c>
      <c r="M1846" s="97">
        <v>2639.25</v>
      </c>
      <c r="N1846" s="97">
        <v>2639.25</v>
      </c>
      <c r="O1846" s="97">
        <v>2639.25</v>
      </c>
      <c r="P1846" s="97">
        <v>2639.25</v>
      </c>
      <c r="Q1846" s="97">
        <v>2639.25</v>
      </c>
      <c r="R1846" s="97">
        <v>2639.25</v>
      </c>
      <c r="S1846" s="97">
        <v>2639.25</v>
      </c>
      <c r="T1846" s="97">
        <v>2639.25</v>
      </c>
      <c r="U1846" s="97">
        <v>2639.25</v>
      </c>
      <c r="V1846" s="97">
        <v>2639.25</v>
      </c>
      <c r="W1846" s="97">
        <v>2639.25</v>
      </c>
      <c r="X1846" s="97">
        <v>2639.25</v>
      </c>
      <c r="Y1846" s="97">
        <v>2639.25</v>
      </c>
      <c r="Z1846" s="97">
        <v>2639.25</v>
      </c>
      <c r="AA1846" s="97">
        <v>2639.25</v>
      </c>
      <c r="AB1846" s="97">
        <v>2639.25</v>
      </c>
      <c r="AC1846" s="97">
        <v>2639.25</v>
      </c>
      <c r="AD1846" s="97">
        <v>2639.25</v>
      </c>
      <c r="AE1846" s="97">
        <v>2639.25</v>
      </c>
      <c r="AF1846" s="97">
        <v>2639.25</v>
      </c>
      <c r="AG1846" s="97">
        <v>2639.25</v>
      </c>
      <c r="AH1846" s="97">
        <v>2639.25</v>
      </c>
      <c r="AI1846" s="97">
        <v>2639.25</v>
      </c>
      <c r="AJ1846" s="97">
        <v>2639.25</v>
      </c>
      <c r="AK1846" s="97">
        <v>2639.25</v>
      </c>
      <c r="AL1846" s="97">
        <v>2639.25</v>
      </c>
      <c r="AM1846" s="97">
        <v>2639.25</v>
      </c>
      <c r="AN1846" s="97">
        <v>2639.25</v>
      </c>
      <c r="AO1846" s="97">
        <v>2639.25</v>
      </c>
      <c r="AP1846" s="97">
        <v>2639.25</v>
      </c>
      <c r="AQ1846" s="97">
        <v>2639.25</v>
      </c>
      <c r="AR1846" s="97">
        <v>2639.25</v>
      </c>
      <c r="AS1846" s="97">
        <v>2639.25</v>
      </c>
      <c r="AT1846" s="97">
        <v>2639.25</v>
      </c>
      <c r="AU1846" s="97">
        <v>2639.25</v>
      </c>
      <c r="AV1846" s="97">
        <v>2639.25</v>
      </c>
      <c r="AW1846" s="97">
        <v>2639.25</v>
      </c>
      <c r="AX1846" s="98">
        <v>2639.25</v>
      </c>
    </row>
    <row r="1847" spans="1:50" x14ac:dyDescent="0.25">
      <c r="A1847" s="356"/>
      <c r="B1847" s="359"/>
      <c r="C1847" s="361" t="s">
        <v>15</v>
      </c>
      <c r="D1847" s="58" t="s">
        <v>7</v>
      </c>
      <c r="E1847" s="164" t="str">
        <f>A1813&amp;"/"&amp;B1839&amp;"/"&amp;C1847&amp;"/"&amp;D1847</f>
        <v>Coal fired power plants/Steam turbine/Electricity only with CCS/L</v>
      </c>
      <c r="F1847" s="78" t="str">
        <f>A1813</f>
        <v>Coal fired power plants</v>
      </c>
      <c r="G1847" s="78" t="str">
        <f>B1839</f>
        <v>Steam turbine</v>
      </c>
      <c r="H1847" s="78" t="str">
        <f>C1847</f>
        <v>Electricity only with CCS</v>
      </c>
      <c r="I1847" s="165" t="str">
        <f t="shared" si="108"/>
        <v>L</v>
      </c>
      <c r="J1847" s="95" t="s">
        <v>112</v>
      </c>
      <c r="K1847" s="95" t="s">
        <v>112</v>
      </c>
      <c r="L1847" s="95" t="s">
        <v>112</v>
      </c>
      <c r="M1847" s="95" t="s">
        <v>112</v>
      </c>
      <c r="N1847" s="95" t="s">
        <v>112</v>
      </c>
      <c r="O1847" s="95" t="s">
        <v>112</v>
      </c>
      <c r="P1847" s="95" t="s">
        <v>112</v>
      </c>
      <c r="Q1847" s="95" t="s">
        <v>112</v>
      </c>
      <c r="R1847" s="95" t="s">
        <v>112</v>
      </c>
      <c r="S1847" s="95" t="s">
        <v>112</v>
      </c>
      <c r="T1847" s="95" t="s">
        <v>112</v>
      </c>
      <c r="U1847" s="95" t="s">
        <v>112</v>
      </c>
      <c r="V1847" s="95" t="s">
        <v>112</v>
      </c>
      <c r="W1847" s="95" t="s">
        <v>112</v>
      </c>
      <c r="X1847" s="95" t="s">
        <v>112</v>
      </c>
      <c r="Y1847" s="95" t="s">
        <v>112</v>
      </c>
      <c r="Z1847" s="95" t="s">
        <v>112</v>
      </c>
      <c r="AA1847" s="95" t="s">
        <v>112</v>
      </c>
      <c r="AB1847" s="95" t="s">
        <v>112</v>
      </c>
      <c r="AC1847" s="95" t="s">
        <v>112</v>
      </c>
      <c r="AD1847" s="95" t="s">
        <v>112</v>
      </c>
      <c r="AE1847" s="95">
        <v>5750</v>
      </c>
      <c r="AF1847" s="95">
        <v>5750</v>
      </c>
      <c r="AG1847" s="95">
        <v>5750</v>
      </c>
      <c r="AH1847" s="95">
        <v>5750</v>
      </c>
      <c r="AI1847" s="95">
        <v>5750</v>
      </c>
      <c r="AJ1847" s="95">
        <v>5750</v>
      </c>
      <c r="AK1847" s="95">
        <v>5750</v>
      </c>
      <c r="AL1847" s="95">
        <v>5750</v>
      </c>
      <c r="AM1847" s="95">
        <v>5750</v>
      </c>
      <c r="AN1847" s="95">
        <v>5750</v>
      </c>
      <c r="AO1847" s="95">
        <v>5750</v>
      </c>
      <c r="AP1847" s="95">
        <v>5750</v>
      </c>
      <c r="AQ1847" s="95">
        <v>5750</v>
      </c>
      <c r="AR1847" s="95">
        <v>5750</v>
      </c>
      <c r="AS1847" s="95">
        <v>5750</v>
      </c>
      <c r="AT1847" s="95">
        <v>5750</v>
      </c>
      <c r="AU1847" s="95">
        <v>5750</v>
      </c>
      <c r="AV1847" s="95">
        <v>5750</v>
      </c>
      <c r="AW1847" s="95">
        <v>5750</v>
      </c>
      <c r="AX1847" s="96">
        <v>5750</v>
      </c>
    </row>
    <row r="1848" spans="1:50" x14ac:dyDescent="0.25">
      <c r="A1848" s="356"/>
      <c r="B1848" s="359"/>
      <c r="C1848" s="360"/>
      <c r="D1848" s="59" t="s">
        <v>8</v>
      </c>
      <c r="E1848" s="166" t="str">
        <f>A1813&amp;"/"&amp;B1839&amp;"/"&amp;C1847&amp;"/"&amp;D1848</f>
        <v>Coal fired power plants/Steam turbine/Electricity only with CCS/M</v>
      </c>
      <c r="F1848" s="79" t="str">
        <f>A1813</f>
        <v>Coal fired power plants</v>
      </c>
      <c r="G1848" s="79" t="str">
        <f>B1839</f>
        <v>Steam turbine</v>
      </c>
      <c r="H1848" s="79" t="str">
        <f>C1847</f>
        <v>Electricity only with CCS</v>
      </c>
      <c r="I1848" s="167" t="str">
        <f t="shared" si="108"/>
        <v>M</v>
      </c>
      <c r="J1848" s="97" t="s">
        <v>112</v>
      </c>
      <c r="K1848" s="97" t="s">
        <v>112</v>
      </c>
      <c r="L1848" s="97" t="s">
        <v>112</v>
      </c>
      <c r="M1848" s="97" t="s">
        <v>112</v>
      </c>
      <c r="N1848" s="97" t="s">
        <v>112</v>
      </c>
      <c r="O1848" s="97" t="s">
        <v>112</v>
      </c>
      <c r="P1848" s="97" t="s">
        <v>112</v>
      </c>
      <c r="Q1848" s="97" t="s">
        <v>112</v>
      </c>
      <c r="R1848" s="97" t="s">
        <v>112</v>
      </c>
      <c r="S1848" s="97" t="s">
        <v>112</v>
      </c>
      <c r="T1848" s="97" t="s">
        <v>112</v>
      </c>
      <c r="U1848" s="97" t="s">
        <v>112</v>
      </c>
      <c r="V1848" s="97" t="s">
        <v>112</v>
      </c>
      <c r="W1848" s="97" t="s">
        <v>112</v>
      </c>
      <c r="X1848" s="97" t="s">
        <v>112</v>
      </c>
      <c r="Y1848" s="97" t="s">
        <v>112</v>
      </c>
      <c r="Z1848" s="97" t="s">
        <v>112</v>
      </c>
      <c r="AA1848" s="97" t="s">
        <v>112</v>
      </c>
      <c r="AB1848" s="97" t="s">
        <v>112</v>
      </c>
      <c r="AC1848" s="97" t="s">
        <v>112</v>
      </c>
      <c r="AD1848" s="97" t="s">
        <v>112</v>
      </c>
      <c r="AE1848" s="97">
        <v>4600</v>
      </c>
      <c r="AF1848" s="97">
        <v>4600</v>
      </c>
      <c r="AG1848" s="97">
        <v>4600</v>
      </c>
      <c r="AH1848" s="97">
        <v>4600</v>
      </c>
      <c r="AI1848" s="97">
        <v>4600</v>
      </c>
      <c r="AJ1848" s="97">
        <v>4600</v>
      </c>
      <c r="AK1848" s="97">
        <v>4600</v>
      </c>
      <c r="AL1848" s="97">
        <v>4600</v>
      </c>
      <c r="AM1848" s="97">
        <v>4600</v>
      </c>
      <c r="AN1848" s="97">
        <v>4600</v>
      </c>
      <c r="AO1848" s="97">
        <v>4600</v>
      </c>
      <c r="AP1848" s="97">
        <v>4600</v>
      </c>
      <c r="AQ1848" s="97">
        <v>4600</v>
      </c>
      <c r="AR1848" s="97">
        <v>4600</v>
      </c>
      <c r="AS1848" s="97">
        <v>4600</v>
      </c>
      <c r="AT1848" s="97">
        <v>4600</v>
      </c>
      <c r="AU1848" s="97">
        <v>4600</v>
      </c>
      <c r="AV1848" s="97">
        <v>4600</v>
      </c>
      <c r="AW1848" s="97">
        <v>4600</v>
      </c>
      <c r="AX1848" s="98">
        <v>4600</v>
      </c>
    </row>
    <row r="1849" spans="1:50" x14ac:dyDescent="0.25">
      <c r="A1849" s="356"/>
      <c r="B1849" s="359"/>
      <c r="C1849" s="361" t="s">
        <v>16</v>
      </c>
      <c r="D1849" s="2" t="s">
        <v>7</v>
      </c>
      <c r="E1849" s="160" t="str">
        <f>A1813&amp;"/"&amp;B1839&amp;"/"&amp;C1849&amp;"/"&amp;D1849</f>
        <v>Coal fired power plants/Steam turbine/CHP with CCS/L</v>
      </c>
      <c r="F1849" s="76" t="str">
        <f>A1813</f>
        <v>Coal fired power plants</v>
      </c>
      <c r="G1849" s="76" t="str">
        <f>B1839</f>
        <v>Steam turbine</v>
      </c>
      <c r="H1849" s="76" t="str">
        <f>C1849</f>
        <v>CHP with CCS</v>
      </c>
      <c r="I1849" s="161" t="str">
        <f t="shared" si="108"/>
        <v>L</v>
      </c>
      <c r="J1849" s="91" t="s">
        <v>112</v>
      </c>
      <c r="K1849" s="91" t="s">
        <v>112</v>
      </c>
      <c r="L1849" s="91" t="s">
        <v>112</v>
      </c>
      <c r="M1849" s="91" t="s">
        <v>112</v>
      </c>
      <c r="N1849" s="91" t="s">
        <v>112</v>
      </c>
      <c r="O1849" s="91" t="s">
        <v>112</v>
      </c>
      <c r="P1849" s="91" t="s">
        <v>112</v>
      </c>
      <c r="Q1849" s="91" t="s">
        <v>112</v>
      </c>
      <c r="R1849" s="91" t="s">
        <v>112</v>
      </c>
      <c r="S1849" s="91" t="s">
        <v>112</v>
      </c>
      <c r="T1849" s="91" t="s">
        <v>112</v>
      </c>
      <c r="U1849" s="91" t="s">
        <v>112</v>
      </c>
      <c r="V1849" s="91" t="s">
        <v>112</v>
      </c>
      <c r="W1849" s="91" t="s">
        <v>112</v>
      </c>
      <c r="X1849" s="91" t="s">
        <v>112</v>
      </c>
      <c r="Y1849" s="91" t="s">
        <v>112</v>
      </c>
      <c r="Z1849" s="91" t="s">
        <v>112</v>
      </c>
      <c r="AA1849" s="91" t="s">
        <v>112</v>
      </c>
      <c r="AB1849" s="91" t="s">
        <v>112</v>
      </c>
      <c r="AC1849" s="91" t="s">
        <v>112</v>
      </c>
      <c r="AD1849" s="91" t="s">
        <v>112</v>
      </c>
      <c r="AE1849" s="91">
        <v>5175</v>
      </c>
      <c r="AF1849" s="91">
        <v>5175</v>
      </c>
      <c r="AG1849" s="91">
        <v>5175</v>
      </c>
      <c r="AH1849" s="91">
        <v>5175</v>
      </c>
      <c r="AI1849" s="91">
        <v>5175</v>
      </c>
      <c r="AJ1849" s="91">
        <v>5175</v>
      </c>
      <c r="AK1849" s="91">
        <v>5175</v>
      </c>
      <c r="AL1849" s="91">
        <v>5175</v>
      </c>
      <c r="AM1849" s="91">
        <v>5175</v>
      </c>
      <c r="AN1849" s="91">
        <v>5175</v>
      </c>
      <c r="AO1849" s="91">
        <v>5175</v>
      </c>
      <c r="AP1849" s="91">
        <v>5175</v>
      </c>
      <c r="AQ1849" s="91">
        <v>5175</v>
      </c>
      <c r="AR1849" s="91">
        <v>5175</v>
      </c>
      <c r="AS1849" s="91">
        <v>5175</v>
      </c>
      <c r="AT1849" s="91">
        <v>5175</v>
      </c>
      <c r="AU1849" s="91">
        <v>5175</v>
      </c>
      <c r="AV1849" s="91">
        <v>5175</v>
      </c>
      <c r="AW1849" s="91">
        <v>5175</v>
      </c>
      <c r="AX1849" s="92">
        <v>5175</v>
      </c>
    </row>
    <row r="1850" spans="1:50" x14ac:dyDescent="0.25">
      <c r="A1850" s="357"/>
      <c r="B1850" s="362"/>
      <c r="C1850" s="354"/>
      <c r="D1850" s="4" t="s">
        <v>8</v>
      </c>
      <c r="E1850" s="168" t="str">
        <f>A1813&amp;"/"&amp;B1839&amp;"/"&amp;C1849&amp;"/"&amp;D1850</f>
        <v>Coal fired power plants/Steam turbine/CHP with CCS/M</v>
      </c>
      <c r="F1850" s="80" t="str">
        <f>A1813</f>
        <v>Coal fired power plants</v>
      </c>
      <c r="G1850" s="80" t="str">
        <f>B1839</f>
        <v>Steam turbine</v>
      </c>
      <c r="H1850" s="80" t="str">
        <f>C1849</f>
        <v>CHP with CCS</v>
      </c>
      <c r="I1850" s="169" t="str">
        <f t="shared" si="108"/>
        <v>M</v>
      </c>
      <c r="J1850" s="99" t="s">
        <v>112</v>
      </c>
      <c r="K1850" s="99" t="s">
        <v>112</v>
      </c>
      <c r="L1850" s="99" t="s">
        <v>112</v>
      </c>
      <c r="M1850" s="99" t="s">
        <v>112</v>
      </c>
      <c r="N1850" s="99" t="s">
        <v>112</v>
      </c>
      <c r="O1850" s="99" t="s">
        <v>112</v>
      </c>
      <c r="P1850" s="99" t="s">
        <v>112</v>
      </c>
      <c r="Q1850" s="99" t="s">
        <v>112</v>
      </c>
      <c r="R1850" s="99" t="s">
        <v>112</v>
      </c>
      <c r="S1850" s="99" t="s">
        <v>112</v>
      </c>
      <c r="T1850" s="99" t="s">
        <v>112</v>
      </c>
      <c r="U1850" s="99" t="s">
        <v>112</v>
      </c>
      <c r="V1850" s="99" t="s">
        <v>112</v>
      </c>
      <c r="W1850" s="99" t="s">
        <v>112</v>
      </c>
      <c r="X1850" s="99" t="s">
        <v>112</v>
      </c>
      <c r="Y1850" s="99" t="s">
        <v>112</v>
      </c>
      <c r="Z1850" s="99" t="s">
        <v>112</v>
      </c>
      <c r="AA1850" s="99" t="s">
        <v>112</v>
      </c>
      <c r="AB1850" s="99" t="s">
        <v>112</v>
      </c>
      <c r="AC1850" s="99" t="s">
        <v>112</v>
      </c>
      <c r="AD1850" s="99" t="s">
        <v>112</v>
      </c>
      <c r="AE1850" s="99">
        <v>4140</v>
      </c>
      <c r="AF1850" s="99">
        <v>4140</v>
      </c>
      <c r="AG1850" s="99">
        <v>4140</v>
      </c>
      <c r="AH1850" s="99">
        <v>4140</v>
      </c>
      <c r="AI1850" s="99">
        <v>4140</v>
      </c>
      <c r="AJ1850" s="99">
        <v>4140</v>
      </c>
      <c r="AK1850" s="99">
        <v>4140</v>
      </c>
      <c r="AL1850" s="99">
        <v>4140</v>
      </c>
      <c r="AM1850" s="99">
        <v>4140</v>
      </c>
      <c r="AN1850" s="99">
        <v>4140</v>
      </c>
      <c r="AO1850" s="99">
        <v>4140</v>
      </c>
      <c r="AP1850" s="99">
        <v>4140</v>
      </c>
      <c r="AQ1850" s="99">
        <v>4140</v>
      </c>
      <c r="AR1850" s="99">
        <v>4140</v>
      </c>
      <c r="AS1850" s="99">
        <v>4140</v>
      </c>
      <c r="AT1850" s="99">
        <v>4140</v>
      </c>
      <c r="AU1850" s="99">
        <v>4140</v>
      </c>
      <c r="AV1850" s="99">
        <v>4140</v>
      </c>
      <c r="AW1850" s="99">
        <v>4140</v>
      </c>
      <c r="AX1850" s="100">
        <v>4140</v>
      </c>
    </row>
    <row r="1851" spans="1:50" x14ac:dyDescent="0.25">
      <c r="A1851" s="355" t="s">
        <v>21</v>
      </c>
      <c r="B1851" s="358" t="s">
        <v>13</v>
      </c>
      <c r="C1851" s="353" t="s">
        <v>6</v>
      </c>
      <c r="D1851" s="3" t="s">
        <v>7</v>
      </c>
      <c r="E1851" s="162" t="str">
        <f>A1851&amp;"/"&amp;B1851&amp;"/"&amp;C1851&amp;"/"&amp;D1851</f>
        <v>Lignite fired power plants/Integrated gasification combined cycle/Electricity only/L</v>
      </c>
      <c r="F1851" s="77" t="str">
        <f>A1851</f>
        <v>Lignite fired power plants</v>
      </c>
      <c r="G1851" s="77" t="str">
        <f>B1851</f>
        <v>Integrated gasification combined cycle</v>
      </c>
      <c r="H1851" s="77" t="str">
        <f>C1851</f>
        <v>Electricity only</v>
      </c>
      <c r="I1851" s="163" t="str">
        <f t="shared" si="108"/>
        <v>L</v>
      </c>
      <c r="J1851" s="93">
        <v>6900</v>
      </c>
      <c r="K1851" s="93">
        <v>6900</v>
      </c>
      <c r="L1851" s="93">
        <v>6900</v>
      </c>
      <c r="M1851" s="93">
        <v>6900</v>
      </c>
      <c r="N1851" s="93">
        <v>6900</v>
      </c>
      <c r="O1851" s="93">
        <v>6900</v>
      </c>
      <c r="P1851" s="93">
        <v>6900</v>
      </c>
      <c r="Q1851" s="93">
        <v>6900</v>
      </c>
      <c r="R1851" s="93">
        <v>6900</v>
      </c>
      <c r="S1851" s="93">
        <v>6900</v>
      </c>
      <c r="T1851" s="93">
        <v>6900</v>
      </c>
      <c r="U1851" s="93">
        <v>6900</v>
      </c>
      <c r="V1851" s="93">
        <v>6900</v>
      </c>
      <c r="W1851" s="93">
        <v>6900</v>
      </c>
      <c r="X1851" s="93">
        <v>6900</v>
      </c>
      <c r="Y1851" s="93">
        <v>6900</v>
      </c>
      <c r="Z1851" s="93">
        <v>6900</v>
      </c>
      <c r="AA1851" s="93">
        <v>6900</v>
      </c>
      <c r="AB1851" s="93">
        <v>6900</v>
      </c>
      <c r="AC1851" s="93">
        <v>6900</v>
      </c>
      <c r="AD1851" s="93">
        <v>6900</v>
      </c>
      <c r="AE1851" s="93">
        <v>6900</v>
      </c>
      <c r="AF1851" s="93">
        <v>6900</v>
      </c>
      <c r="AG1851" s="93">
        <v>6900</v>
      </c>
      <c r="AH1851" s="93">
        <v>6900</v>
      </c>
      <c r="AI1851" s="93">
        <v>6900</v>
      </c>
      <c r="AJ1851" s="93">
        <v>6900</v>
      </c>
      <c r="AK1851" s="93">
        <v>6900</v>
      </c>
      <c r="AL1851" s="93">
        <v>6900</v>
      </c>
      <c r="AM1851" s="93">
        <v>6900</v>
      </c>
      <c r="AN1851" s="93">
        <v>6900</v>
      </c>
      <c r="AO1851" s="93">
        <v>6900</v>
      </c>
      <c r="AP1851" s="93">
        <v>6900</v>
      </c>
      <c r="AQ1851" s="93">
        <v>6900</v>
      </c>
      <c r="AR1851" s="93">
        <v>6900</v>
      </c>
      <c r="AS1851" s="93">
        <v>6900</v>
      </c>
      <c r="AT1851" s="93">
        <v>6900</v>
      </c>
      <c r="AU1851" s="93">
        <v>6900</v>
      </c>
      <c r="AV1851" s="93">
        <v>6900</v>
      </c>
      <c r="AW1851" s="93">
        <v>6900</v>
      </c>
      <c r="AX1851" s="94">
        <v>6900</v>
      </c>
    </row>
    <row r="1852" spans="1:50" x14ac:dyDescent="0.25">
      <c r="A1852" s="356"/>
      <c r="B1852" s="359"/>
      <c r="C1852" s="360"/>
      <c r="D1852" s="2" t="s">
        <v>8</v>
      </c>
      <c r="E1852" s="160" t="str">
        <f>A1851&amp;"/"&amp;B1851&amp;"/"&amp;C1851&amp;"/"&amp;D1852</f>
        <v>Lignite fired power plants/Integrated gasification combined cycle/Electricity only/M</v>
      </c>
      <c r="F1852" s="76" t="str">
        <f>A1851</f>
        <v>Lignite fired power plants</v>
      </c>
      <c r="G1852" s="76" t="str">
        <f>B1851</f>
        <v>Integrated gasification combined cycle</v>
      </c>
      <c r="H1852" s="76" t="str">
        <f>C1851</f>
        <v>Electricity only</v>
      </c>
      <c r="I1852" s="161" t="str">
        <f t="shared" si="108"/>
        <v>M</v>
      </c>
      <c r="J1852" s="91">
        <v>4692</v>
      </c>
      <c r="K1852" s="91">
        <v>4692</v>
      </c>
      <c r="L1852" s="91">
        <v>4692</v>
      </c>
      <c r="M1852" s="91">
        <v>4692</v>
      </c>
      <c r="N1852" s="91">
        <v>4692</v>
      </c>
      <c r="O1852" s="91">
        <v>4692</v>
      </c>
      <c r="P1852" s="91">
        <v>4692</v>
      </c>
      <c r="Q1852" s="91">
        <v>4692</v>
      </c>
      <c r="R1852" s="91">
        <v>4692</v>
      </c>
      <c r="S1852" s="91">
        <v>4692</v>
      </c>
      <c r="T1852" s="91">
        <v>4692</v>
      </c>
      <c r="U1852" s="91">
        <v>4692</v>
      </c>
      <c r="V1852" s="91">
        <v>4692</v>
      </c>
      <c r="W1852" s="91">
        <v>4692</v>
      </c>
      <c r="X1852" s="91">
        <v>4692</v>
      </c>
      <c r="Y1852" s="91">
        <v>4692</v>
      </c>
      <c r="Z1852" s="91">
        <v>4692</v>
      </c>
      <c r="AA1852" s="91">
        <v>4692</v>
      </c>
      <c r="AB1852" s="91">
        <v>4692</v>
      </c>
      <c r="AC1852" s="91">
        <v>4692</v>
      </c>
      <c r="AD1852" s="91">
        <v>4692</v>
      </c>
      <c r="AE1852" s="91">
        <v>4692</v>
      </c>
      <c r="AF1852" s="91">
        <v>4692</v>
      </c>
      <c r="AG1852" s="91">
        <v>4692</v>
      </c>
      <c r="AH1852" s="91">
        <v>4692</v>
      </c>
      <c r="AI1852" s="91">
        <v>4692</v>
      </c>
      <c r="AJ1852" s="91">
        <v>4692</v>
      </c>
      <c r="AK1852" s="91">
        <v>4692</v>
      </c>
      <c r="AL1852" s="91">
        <v>4692</v>
      </c>
      <c r="AM1852" s="91">
        <v>4692</v>
      </c>
      <c r="AN1852" s="91">
        <v>4692</v>
      </c>
      <c r="AO1852" s="91">
        <v>4692</v>
      </c>
      <c r="AP1852" s="91">
        <v>4692</v>
      </c>
      <c r="AQ1852" s="91">
        <v>4692</v>
      </c>
      <c r="AR1852" s="91">
        <v>4692</v>
      </c>
      <c r="AS1852" s="91">
        <v>4692</v>
      </c>
      <c r="AT1852" s="91">
        <v>4692</v>
      </c>
      <c r="AU1852" s="91">
        <v>4692</v>
      </c>
      <c r="AV1852" s="91">
        <v>4692</v>
      </c>
      <c r="AW1852" s="91">
        <v>4692</v>
      </c>
      <c r="AX1852" s="92">
        <v>4692</v>
      </c>
    </row>
    <row r="1853" spans="1:50" x14ac:dyDescent="0.25">
      <c r="A1853" s="356"/>
      <c r="B1853" s="359"/>
      <c r="C1853" s="361" t="s">
        <v>14</v>
      </c>
      <c r="D1853" s="58" t="s">
        <v>7</v>
      </c>
      <c r="E1853" s="164" t="str">
        <f>A1851&amp;"/"&amp;B1851&amp;"/"&amp;C1853&amp;"/"&amp;D1853</f>
        <v>Lignite fired power plants/Integrated gasification combined cycle/CHP/L</v>
      </c>
      <c r="F1853" s="78" t="str">
        <f>A1851</f>
        <v>Lignite fired power plants</v>
      </c>
      <c r="G1853" s="78" t="str">
        <f>B1851</f>
        <v>Integrated gasification combined cycle</v>
      </c>
      <c r="H1853" s="78" t="str">
        <f>C1853</f>
        <v>CHP</v>
      </c>
      <c r="I1853" s="165" t="str">
        <f t="shared" si="108"/>
        <v>L</v>
      </c>
      <c r="J1853" s="95" t="s">
        <v>112</v>
      </c>
      <c r="K1853" s="95" t="s">
        <v>112</v>
      </c>
      <c r="L1853" s="95" t="s">
        <v>112</v>
      </c>
      <c r="M1853" s="95" t="s">
        <v>112</v>
      </c>
      <c r="N1853" s="95" t="s">
        <v>112</v>
      </c>
      <c r="O1853" s="95" t="s">
        <v>112</v>
      </c>
      <c r="P1853" s="95" t="s">
        <v>112</v>
      </c>
      <c r="Q1853" s="95" t="s">
        <v>112</v>
      </c>
      <c r="R1853" s="95" t="s">
        <v>112</v>
      </c>
      <c r="S1853" s="95" t="s">
        <v>112</v>
      </c>
      <c r="T1853" s="95">
        <v>5520</v>
      </c>
      <c r="U1853" s="95">
        <v>5520</v>
      </c>
      <c r="V1853" s="95">
        <v>5520</v>
      </c>
      <c r="W1853" s="95">
        <v>5520</v>
      </c>
      <c r="X1853" s="95">
        <v>5520</v>
      </c>
      <c r="Y1853" s="95">
        <v>5520</v>
      </c>
      <c r="Z1853" s="95">
        <v>5520</v>
      </c>
      <c r="AA1853" s="95">
        <v>5520</v>
      </c>
      <c r="AB1853" s="95">
        <v>5520</v>
      </c>
      <c r="AC1853" s="95">
        <v>5520</v>
      </c>
      <c r="AD1853" s="95">
        <v>5520</v>
      </c>
      <c r="AE1853" s="95">
        <v>5520</v>
      </c>
      <c r="AF1853" s="95">
        <v>5520</v>
      </c>
      <c r="AG1853" s="95">
        <v>5520</v>
      </c>
      <c r="AH1853" s="95">
        <v>5520</v>
      </c>
      <c r="AI1853" s="95">
        <v>5520</v>
      </c>
      <c r="AJ1853" s="95">
        <v>5520</v>
      </c>
      <c r="AK1853" s="95">
        <v>5520</v>
      </c>
      <c r="AL1853" s="95">
        <v>5520</v>
      </c>
      <c r="AM1853" s="95">
        <v>5520</v>
      </c>
      <c r="AN1853" s="95">
        <v>5520</v>
      </c>
      <c r="AO1853" s="95">
        <v>5520</v>
      </c>
      <c r="AP1853" s="95">
        <v>5520</v>
      </c>
      <c r="AQ1853" s="95">
        <v>5520</v>
      </c>
      <c r="AR1853" s="95">
        <v>5520</v>
      </c>
      <c r="AS1853" s="95">
        <v>5520</v>
      </c>
      <c r="AT1853" s="95">
        <v>5520</v>
      </c>
      <c r="AU1853" s="95">
        <v>5520</v>
      </c>
      <c r="AV1853" s="95">
        <v>5520</v>
      </c>
      <c r="AW1853" s="95">
        <v>5520</v>
      </c>
      <c r="AX1853" s="96">
        <v>5520</v>
      </c>
    </row>
    <row r="1854" spans="1:50" x14ac:dyDescent="0.25">
      <c r="A1854" s="356"/>
      <c r="B1854" s="359"/>
      <c r="C1854" s="360"/>
      <c r="D1854" s="59" t="s">
        <v>8</v>
      </c>
      <c r="E1854" s="166" t="str">
        <f>A1851&amp;"/"&amp;B1851&amp;"/"&amp;C1853&amp;"/"&amp;D1854</f>
        <v>Lignite fired power plants/Integrated gasification combined cycle/CHP/M</v>
      </c>
      <c r="F1854" s="79" t="str">
        <f>A1851</f>
        <v>Lignite fired power plants</v>
      </c>
      <c r="G1854" s="79" t="str">
        <f>B1851</f>
        <v>Integrated gasification combined cycle</v>
      </c>
      <c r="H1854" s="79" t="str">
        <f>C1853</f>
        <v>CHP</v>
      </c>
      <c r="I1854" s="167" t="str">
        <f t="shared" si="108"/>
        <v>M</v>
      </c>
      <c r="J1854" s="97" t="s">
        <v>112</v>
      </c>
      <c r="K1854" s="97" t="s">
        <v>112</v>
      </c>
      <c r="L1854" s="97" t="s">
        <v>112</v>
      </c>
      <c r="M1854" s="97" t="s">
        <v>112</v>
      </c>
      <c r="N1854" s="97" t="s">
        <v>112</v>
      </c>
      <c r="O1854" s="97" t="s">
        <v>112</v>
      </c>
      <c r="P1854" s="97" t="s">
        <v>112</v>
      </c>
      <c r="Q1854" s="97" t="s">
        <v>112</v>
      </c>
      <c r="R1854" s="97" t="s">
        <v>112</v>
      </c>
      <c r="S1854" s="97" t="s">
        <v>112</v>
      </c>
      <c r="T1854" s="97">
        <v>3312</v>
      </c>
      <c r="U1854" s="97">
        <v>3312</v>
      </c>
      <c r="V1854" s="97">
        <v>3312</v>
      </c>
      <c r="W1854" s="97">
        <v>3312</v>
      </c>
      <c r="X1854" s="97">
        <v>3312</v>
      </c>
      <c r="Y1854" s="97">
        <v>3312</v>
      </c>
      <c r="Z1854" s="97">
        <v>3312</v>
      </c>
      <c r="AA1854" s="97">
        <v>3312</v>
      </c>
      <c r="AB1854" s="97">
        <v>3312</v>
      </c>
      <c r="AC1854" s="97">
        <v>3312</v>
      </c>
      <c r="AD1854" s="97">
        <v>3312</v>
      </c>
      <c r="AE1854" s="97">
        <v>3312</v>
      </c>
      <c r="AF1854" s="97">
        <v>3312</v>
      </c>
      <c r="AG1854" s="97">
        <v>3312</v>
      </c>
      <c r="AH1854" s="97">
        <v>3312</v>
      </c>
      <c r="AI1854" s="97">
        <v>3312</v>
      </c>
      <c r="AJ1854" s="97">
        <v>3312</v>
      </c>
      <c r="AK1854" s="97">
        <v>3312</v>
      </c>
      <c r="AL1854" s="97">
        <v>3312</v>
      </c>
      <c r="AM1854" s="97">
        <v>3312</v>
      </c>
      <c r="AN1854" s="97">
        <v>3312</v>
      </c>
      <c r="AO1854" s="97">
        <v>3312</v>
      </c>
      <c r="AP1854" s="97">
        <v>3312</v>
      </c>
      <c r="AQ1854" s="97">
        <v>3312</v>
      </c>
      <c r="AR1854" s="97">
        <v>3312</v>
      </c>
      <c r="AS1854" s="97">
        <v>3312</v>
      </c>
      <c r="AT1854" s="97">
        <v>3312</v>
      </c>
      <c r="AU1854" s="97">
        <v>3312</v>
      </c>
      <c r="AV1854" s="97">
        <v>3312</v>
      </c>
      <c r="AW1854" s="97">
        <v>3312</v>
      </c>
      <c r="AX1854" s="98">
        <v>3312</v>
      </c>
    </row>
    <row r="1855" spans="1:50" x14ac:dyDescent="0.25">
      <c r="A1855" s="356"/>
      <c r="B1855" s="359"/>
      <c r="C1855" s="361" t="s">
        <v>15</v>
      </c>
      <c r="D1855" s="58" t="s">
        <v>7</v>
      </c>
      <c r="E1855" s="164" t="str">
        <f>A1851&amp;"/"&amp;B1851&amp;"/"&amp;C1855&amp;"/"&amp;D1855</f>
        <v>Lignite fired power plants/Integrated gasification combined cycle/Electricity only with CCS/L</v>
      </c>
      <c r="F1855" s="78" t="str">
        <f>A1851</f>
        <v>Lignite fired power plants</v>
      </c>
      <c r="G1855" s="78" t="str">
        <f>B1851</f>
        <v>Integrated gasification combined cycle</v>
      </c>
      <c r="H1855" s="78" t="str">
        <f>C1855</f>
        <v>Electricity only with CCS</v>
      </c>
      <c r="I1855" s="165" t="str">
        <f t="shared" si="108"/>
        <v>L</v>
      </c>
      <c r="J1855" s="95" t="s">
        <v>112</v>
      </c>
      <c r="K1855" s="95" t="s">
        <v>112</v>
      </c>
      <c r="L1855" s="95" t="s">
        <v>112</v>
      </c>
      <c r="M1855" s="95" t="s">
        <v>112</v>
      </c>
      <c r="N1855" s="95" t="s">
        <v>112</v>
      </c>
      <c r="O1855" s="95" t="s">
        <v>112</v>
      </c>
      <c r="P1855" s="95" t="s">
        <v>112</v>
      </c>
      <c r="Q1855" s="95" t="s">
        <v>112</v>
      </c>
      <c r="R1855" s="95" t="s">
        <v>112</v>
      </c>
      <c r="S1855" s="95" t="s">
        <v>112</v>
      </c>
      <c r="T1855" s="95" t="s">
        <v>112</v>
      </c>
      <c r="U1855" s="95" t="s">
        <v>112</v>
      </c>
      <c r="V1855" s="95" t="s">
        <v>112</v>
      </c>
      <c r="W1855" s="95" t="s">
        <v>112</v>
      </c>
      <c r="X1855" s="95" t="s">
        <v>112</v>
      </c>
      <c r="Y1855" s="95" t="s">
        <v>112</v>
      </c>
      <c r="Z1855" s="95" t="s">
        <v>112</v>
      </c>
      <c r="AA1855" s="95" t="s">
        <v>112</v>
      </c>
      <c r="AB1855" s="95" t="s">
        <v>112</v>
      </c>
      <c r="AC1855" s="95" t="s">
        <v>112</v>
      </c>
      <c r="AD1855" s="95" t="s">
        <v>112</v>
      </c>
      <c r="AE1855" s="95">
        <v>6900</v>
      </c>
      <c r="AF1855" s="95">
        <v>6900</v>
      </c>
      <c r="AG1855" s="95">
        <v>6900</v>
      </c>
      <c r="AH1855" s="95">
        <v>6900</v>
      </c>
      <c r="AI1855" s="95">
        <v>6900</v>
      </c>
      <c r="AJ1855" s="95">
        <v>6900</v>
      </c>
      <c r="AK1855" s="95">
        <v>6900</v>
      </c>
      <c r="AL1855" s="95">
        <v>6900</v>
      </c>
      <c r="AM1855" s="95">
        <v>6900</v>
      </c>
      <c r="AN1855" s="95">
        <v>6900</v>
      </c>
      <c r="AO1855" s="95">
        <v>6900</v>
      </c>
      <c r="AP1855" s="95">
        <v>6900</v>
      </c>
      <c r="AQ1855" s="95">
        <v>6900</v>
      </c>
      <c r="AR1855" s="95">
        <v>6900</v>
      </c>
      <c r="AS1855" s="95">
        <v>6900</v>
      </c>
      <c r="AT1855" s="95">
        <v>6900</v>
      </c>
      <c r="AU1855" s="95">
        <v>6900</v>
      </c>
      <c r="AV1855" s="95">
        <v>6900</v>
      </c>
      <c r="AW1855" s="95">
        <v>6900</v>
      </c>
      <c r="AX1855" s="96">
        <v>6900</v>
      </c>
    </row>
    <row r="1856" spans="1:50" x14ac:dyDescent="0.25">
      <c r="A1856" s="356"/>
      <c r="B1856" s="359"/>
      <c r="C1856" s="360"/>
      <c r="D1856" s="59" t="s">
        <v>8</v>
      </c>
      <c r="E1856" s="166" t="str">
        <f>A1851&amp;"/"&amp;B1851&amp;"/"&amp;C1855&amp;"/"&amp;D1856</f>
        <v>Lignite fired power plants/Integrated gasification combined cycle/Electricity only with CCS/M</v>
      </c>
      <c r="F1856" s="79" t="str">
        <f>A1851</f>
        <v>Lignite fired power plants</v>
      </c>
      <c r="G1856" s="79" t="str">
        <f>B1851</f>
        <v>Integrated gasification combined cycle</v>
      </c>
      <c r="H1856" s="79" t="str">
        <f>C1855</f>
        <v>Electricity only with CCS</v>
      </c>
      <c r="I1856" s="167" t="str">
        <f t="shared" si="108"/>
        <v>M</v>
      </c>
      <c r="J1856" s="97" t="s">
        <v>112</v>
      </c>
      <c r="K1856" s="97" t="s">
        <v>112</v>
      </c>
      <c r="L1856" s="97" t="s">
        <v>112</v>
      </c>
      <c r="M1856" s="97" t="s">
        <v>112</v>
      </c>
      <c r="N1856" s="97" t="s">
        <v>112</v>
      </c>
      <c r="O1856" s="97" t="s">
        <v>112</v>
      </c>
      <c r="P1856" s="97" t="s">
        <v>112</v>
      </c>
      <c r="Q1856" s="97" t="s">
        <v>112</v>
      </c>
      <c r="R1856" s="97" t="s">
        <v>112</v>
      </c>
      <c r="S1856" s="97" t="s">
        <v>112</v>
      </c>
      <c r="T1856" s="97" t="s">
        <v>112</v>
      </c>
      <c r="U1856" s="97" t="s">
        <v>112</v>
      </c>
      <c r="V1856" s="97" t="s">
        <v>112</v>
      </c>
      <c r="W1856" s="97" t="s">
        <v>112</v>
      </c>
      <c r="X1856" s="97" t="s">
        <v>112</v>
      </c>
      <c r="Y1856" s="97" t="s">
        <v>112</v>
      </c>
      <c r="Z1856" s="97" t="s">
        <v>112</v>
      </c>
      <c r="AA1856" s="97" t="s">
        <v>112</v>
      </c>
      <c r="AB1856" s="97" t="s">
        <v>112</v>
      </c>
      <c r="AC1856" s="97" t="s">
        <v>112</v>
      </c>
      <c r="AD1856" s="97" t="s">
        <v>112</v>
      </c>
      <c r="AE1856" s="97">
        <v>4692</v>
      </c>
      <c r="AF1856" s="97">
        <v>4692</v>
      </c>
      <c r="AG1856" s="97">
        <v>4692</v>
      </c>
      <c r="AH1856" s="97">
        <v>4692</v>
      </c>
      <c r="AI1856" s="97">
        <v>4692</v>
      </c>
      <c r="AJ1856" s="97">
        <v>4692</v>
      </c>
      <c r="AK1856" s="97">
        <v>4692</v>
      </c>
      <c r="AL1856" s="97">
        <v>4692</v>
      </c>
      <c r="AM1856" s="97">
        <v>4692</v>
      </c>
      <c r="AN1856" s="97">
        <v>4692</v>
      </c>
      <c r="AO1856" s="97">
        <v>4692</v>
      </c>
      <c r="AP1856" s="97">
        <v>4692</v>
      </c>
      <c r="AQ1856" s="97">
        <v>4692</v>
      </c>
      <c r="AR1856" s="97">
        <v>4692</v>
      </c>
      <c r="AS1856" s="97">
        <v>4692</v>
      </c>
      <c r="AT1856" s="97">
        <v>4692</v>
      </c>
      <c r="AU1856" s="97">
        <v>4692</v>
      </c>
      <c r="AV1856" s="97">
        <v>4692</v>
      </c>
      <c r="AW1856" s="97">
        <v>4692</v>
      </c>
      <c r="AX1856" s="98">
        <v>4692</v>
      </c>
    </row>
    <row r="1857" spans="1:50" x14ac:dyDescent="0.25">
      <c r="A1857" s="356"/>
      <c r="B1857" s="359"/>
      <c r="C1857" s="361" t="s">
        <v>16</v>
      </c>
      <c r="D1857" s="2" t="s">
        <v>7</v>
      </c>
      <c r="E1857" s="160" t="str">
        <f>A1851&amp;"/"&amp;B1851&amp;"/"&amp;C1857&amp;"/"&amp;D1857</f>
        <v>Lignite fired power plants/Integrated gasification combined cycle/CHP with CCS/L</v>
      </c>
      <c r="F1857" s="76" t="str">
        <f>A1851</f>
        <v>Lignite fired power plants</v>
      </c>
      <c r="G1857" s="76" t="str">
        <f>B1851</f>
        <v>Integrated gasification combined cycle</v>
      </c>
      <c r="H1857" s="76" t="str">
        <f>C1857</f>
        <v>CHP with CCS</v>
      </c>
      <c r="I1857" s="161" t="str">
        <f t="shared" si="108"/>
        <v>L</v>
      </c>
      <c r="J1857" s="91" t="s">
        <v>112</v>
      </c>
      <c r="K1857" s="91" t="s">
        <v>112</v>
      </c>
      <c r="L1857" s="91" t="s">
        <v>112</v>
      </c>
      <c r="M1857" s="91" t="s">
        <v>112</v>
      </c>
      <c r="N1857" s="91" t="s">
        <v>112</v>
      </c>
      <c r="O1857" s="91" t="s">
        <v>112</v>
      </c>
      <c r="P1857" s="91" t="s">
        <v>112</v>
      </c>
      <c r="Q1857" s="91" t="s">
        <v>112</v>
      </c>
      <c r="R1857" s="91" t="s">
        <v>112</v>
      </c>
      <c r="S1857" s="91" t="s">
        <v>112</v>
      </c>
      <c r="T1857" s="91" t="s">
        <v>112</v>
      </c>
      <c r="U1857" s="91" t="s">
        <v>112</v>
      </c>
      <c r="V1857" s="91" t="s">
        <v>112</v>
      </c>
      <c r="W1857" s="91" t="s">
        <v>112</v>
      </c>
      <c r="X1857" s="91" t="s">
        <v>112</v>
      </c>
      <c r="Y1857" s="91" t="s">
        <v>112</v>
      </c>
      <c r="Z1857" s="91" t="s">
        <v>112</v>
      </c>
      <c r="AA1857" s="91" t="s">
        <v>112</v>
      </c>
      <c r="AB1857" s="91" t="s">
        <v>112</v>
      </c>
      <c r="AC1857" s="91" t="s">
        <v>112</v>
      </c>
      <c r="AD1857" s="91" t="s">
        <v>112</v>
      </c>
      <c r="AE1857" s="91">
        <v>5520</v>
      </c>
      <c r="AF1857" s="91">
        <v>5520</v>
      </c>
      <c r="AG1857" s="91">
        <v>5520</v>
      </c>
      <c r="AH1857" s="91">
        <v>5520</v>
      </c>
      <c r="AI1857" s="91">
        <v>5520</v>
      </c>
      <c r="AJ1857" s="91">
        <v>5520</v>
      </c>
      <c r="AK1857" s="91">
        <v>5520</v>
      </c>
      <c r="AL1857" s="91">
        <v>5520</v>
      </c>
      <c r="AM1857" s="91">
        <v>5520</v>
      </c>
      <c r="AN1857" s="91">
        <v>5520</v>
      </c>
      <c r="AO1857" s="91">
        <v>5520</v>
      </c>
      <c r="AP1857" s="91">
        <v>5520</v>
      </c>
      <c r="AQ1857" s="91">
        <v>5520</v>
      </c>
      <c r="AR1857" s="91">
        <v>5520</v>
      </c>
      <c r="AS1857" s="91">
        <v>5520</v>
      </c>
      <c r="AT1857" s="91">
        <v>5520</v>
      </c>
      <c r="AU1857" s="91">
        <v>5520</v>
      </c>
      <c r="AV1857" s="91">
        <v>5520</v>
      </c>
      <c r="AW1857" s="91">
        <v>5520</v>
      </c>
      <c r="AX1857" s="92">
        <v>5520</v>
      </c>
    </row>
    <row r="1858" spans="1:50" x14ac:dyDescent="0.25">
      <c r="A1858" s="356"/>
      <c r="B1858" s="359"/>
      <c r="C1858" s="354"/>
      <c r="D1858" s="2" t="s">
        <v>8</v>
      </c>
      <c r="E1858" s="168" t="str">
        <f>A1851&amp;"/"&amp;B1851&amp;"/"&amp;C1857&amp;"/"&amp;D1858</f>
        <v>Lignite fired power plants/Integrated gasification combined cycle/CHP with CCS/M</v>
      </c>
      <c r="F1858" s="80" t="str">
        <f>A1851</f>
        <v>Lignite fired power plants</v>
      </c>
      <c r="G1858" s="80" t="str">
        <f>B1851</f>
        <v>Integrated gasification combined cycle</v>
      </c>
      <c r="H1858" s="80" t="str">
        <f>C1857</f>
        <v>CHP with CCS</v>
      </c>
      <c r="I1858" s="169" t="str">
        <f t="shared" si="108"/>
        <v>M</v>
      </c>
      <c r="J1858" s="99" t="s">
        <v>112</v>
      </c>
      <c r="K1858" s="99" t="s">
        <v>112</v>
      </c>
      <c r="L1858" s="99" t="s">
        <v>112</v>
      </c>
      <c r="M1858" s="99" t="s">
        <v>112</v>
      </c>
      <c r="N1858" s="99" t="s">
        <v>112</v>
      </c>
      <c r="O1858" s="99" t="s">
        <v>112</v>
      </c>
      <c r="P1858" s="99" t="s">
        <v>112</v>
      </c>
      <c r="Q1858" s="99" t="s">
        <v>112</v>
      </c>
      <c r="R1858" s="99" t="s">
        <v>112</v>
      </c>
      <c r="S1858" s="99" t="s">
        <v>112</v>
      </c>
      <c r="T1858" s="99" t="s">
        <v>112</v>
      </c>
      <c r="U1858" s="99" t="s">
        <v>112</v>
      </c>
      <c r="V1858" s="99" t="s">
        <v>112</v>
      </c>
      <c r="W1858" s="99" t="s">
        <v>112</v>
      </c>
      <c r="X1858" s="99" t="s">
        <v>112</v>
      </c>
      <c r="Y1858" s="99" t="s">
        <v>112</v>
      </c>
      <c r="Z1858" s="99" t="s">
        <v>112</v>
      </c>
      <c r="AA1858" s="99" t="s">
        <v>112</v>
      </c>
      <c r="AB1858" s="99" t="s">
        <v>112</v>
      </c>
      <c r="AC1858" s="99" t="s">
        <v>112</v>
      </c>
      <c r="AD1858" s="99" t="s">
        <v>112</v>
      </c>
      <c r="AE1858" s="99">
        <v>3312</v>
      </c>
      <c r="AF1858" s="99">
        <v>3312</v>
      </c>
      <c r="AG1858" s="99">
        <v>3312</v>
      </c>
      <c r="AH1858" s="99">
        <v>3312</v>
      </c>
      <c r="AI1858" s="99">
        <v>3312</v>
      </c>
      <c r="AJ1858" s="99">
        <v>3312</v>
      </c>
      <c r="AK1858" s="99">
        <v>3312</v>
      </c>
      <c r="AL1858" s="99">
        <v>3312</v>
      </c>
      <c r="AM1858" s="99">
        <v>3312</v>
      </c>
      <c r="AN1858" s="99">
        <v>3312</v>
      </c>
      <c r="AO1858" s="99">
        <v>3312</v>
      </c>
      <c r="AP1858" s="99">
        <v>3312</v>
      </c>
      <c r="AQ1858" s="99">
        <v>3312</v>
      </c>
      <c r="AR1858" s="99">
        <v>3312</v>
      </c>
      <c r="AS1858" s="99">
        <v>3312</v>
      </c>
      <c r="AT1858" s="99">
        <v>3312</v>
      </c>
      <c r="AU1858" s="99">
        <v>3312</v>
      </c>
      <c r="AV1858" s="99">
        <v>3312</v>
      </c>
      <c r="AW1858" s="99">
        <v>3312</v>
      </c>
      <c r="AX1858" s="100">
        <v>3312</v>
      </c>
    </row>
    <row r="1859" spans="1:50" x14ac:dyDescent="0.25">
      <c r="A1859" s="356"/>
      <c r="B1859" s="358" t="s">
        <v>17</v>
      </c>
      <c r="C1859" s="353" t="s">
        <v>6</v>
      </c>
      <c r="D1859" s="3" t="s">
        <v>7</v>
      </c>
      <c r="E1859" s="162" t="str">
        <f>A1851&amp;"/"&amp;B1859&amp;"/"&amp;C1859&amp;"/"&amp;D1859</f>
        <v>Lignite fired power plants/Supercritical steam turbine/Electricity only/L</v>
      </c>
      <c r="F1859" s="77" t="str">
        <f>A1851</f>
        <v>Lignite fired power plants</v>
      </c>
      <c r="G1859" s="77" t="str">
        <f>B1859</f>
        <v>Supercritical steam turbine</v>
      </c>
      <c r="H1859" s="77" t="str">
        <f>C1859</f>
        <v>Electricity only</v>
      </c>
      <c r="I1859" s="163" t="str">
        <f t="shared" si="108"/>
        <v>L</v>
      </c>
      <c r="J1859" s="93">
        <v>6750</v>
      </c>
      <c r="K1859" s="93">
        <v>6750</v>
      </c>
      <c r="L1859" s="93">
        <v>6750</v>
      </c>
      <c r="M1859" s="93">
        <v>6750</v>
      </c>
      <c r="N1859" s="93">
        <v>6750</v>
      </c>
      <c r="O1859" s="93">
        <v>6750</v>
      </c>
      <c r="P1859" s="93">
        <v>6750</v>
      </c>
      <c r="Q1859" s="93">
        <v>6750</v>
      </c>
      <c r="R1859" s="93">
        <v>6750</v>
      </c>
      <c r="S1859" s="93">
        <v>6750</v>
      </c>
      <c r="T1859" s="93">
        <v>6750</v>
      </c>
      <c r="U1859" s="93">
        <v>6750</v>
      </c>
      <c r="V1859" s="93">
        <v>6750</v>
      </c>
      <c r="W1859" s="93">
        <v>6750</v>
      </c>
      <c r="X1859" s="93">
        <v>6750</v>
      </c>
      <c r="Y1859" s="93">
        <v>6750</v>
      </c>
      <c r="Z1859" s="93">
        <v>6750</v>
      </c>
      <c r="AA1859" s="93">
        <v>6750</v>
      </c>
      <c r="AB1859" s="93">
        <v>6750</v>
      </c>
      <c r="AC1859" s="93">
        <v>6750</v>
      </c>
      <c r="AD1859" s="93">
        <v>6750</v>
      </c>
      <c r="AE1859" s="93">
        <v>6750</v>
      </c>
      <c r="AF1859" s="93">
        <v>6750</v>
      </c>
      <c r="AG1859" s="93">
        <v>6750</v>
      </c>
      <c r="AH1859" s="93">
        <v>6750</v>
      </c>
      <c r="AI1859" s="93">
        <v>6750</v>
      </c>
      <c r="AJ1859" s="93">
        <v>6750</v>
      </c>
      <c r="AK1859" s="93">
        <v>6750</v>
      </c>
      <c r="AL1859" s="93">
        <v>6750</v>
      </c>
      <c r="AM1859" s="93">
        <v>6750</v>
      </c>
      <c r="AN1859" s="93">
        <v>6750</v>
      </c>
      <c r="AO1859" s="93">
        <v>6750</v>
      </c>
      <c r="AP1859" s="93">
        <v>6750</v>
      </c>
      <c r="AQ1859" s="93">
        <v>6750</v>
      </c>
      <c r="AR1859" s="93">
        <v>6750</v>
      </c>
      <c r="AS1859" s="93">
        <v>6750</v>
      </c>
      <c r="AT1859" s="93">
        <v>6750</v>
      </c>
      <c r="AU1859" s="93">
        <v>6750</v>
      </c>
      <c r="AV1859" s="93">
        <v>6750</v>
      </c>
      <c r="AW1859" s="93">
        <v>6750</v>
      </c>
      <c r="AX1859" s="94">
        <v>6750</v>
      </c>
    </row>
    <row r="1860" spans="1:50" x14ac:dyDescent="0.25">
      <c r="A1860" s="356"/>
      <c r="B1860" s="359"/>
      <c r="C1860" s="360"/>
      <c r="D1860" s="2" t="s">
        <v>8</v>
      </c>
      <c r="E1860" s="160" t="str">
        <f>A1851&amp;"/"&amp;B1859&amp;"/"&amp;C1859&amp;"/"&amp;D1860</f>
        <v>Lignite fired power plants/Supercritical steam turbine/Electricity only/M</v>
      </c>
      <c r="F1860" s="76" t="str">
        <f>A1851</f>
        <v>Lignite fired power plants</v>
      </c>
      <c r="G1860" s="76" t="str">
        <f>B1859</f>
        <v>Supercritical steam turbine</v>
      </c>
      <c r="H1860" s="76" t="str">
        <f>C1859</f>
        <v>Electricity only</v>
      </c>
      <c r="I1860" s="161" t="str">
        <f t="shared" si="108"/>
        <v>M</v>
      </c>
      <c r="J1860" s="91">
        <v>4860</v>
      </c>
      <c r="K1860" s="91">
        <v>4860</v>
      </c>
      <c r="L1860" s="91">
        <v>4860</v>
      </c>
      <c r="M1860" s="91">
        <v>4860</v>
      </c>
      <c r="N1860" s="91">
        <v>4860</v>
      </c>
      <c r="O1860" s="91">
        <v>4860</v>
      </c>
      <c r="P1860" s="91">
        <v>4860</v>
      </c>
      <c r="Q1860" s="91">
        <v>4860</v>
      </c>
      <c r="R1860" s="91">
        <v>4860</v>
      </c>
      <c r="S1860" s="91">
        <v>4860</v>
      </c>
      <c r="T1860" s="91">
        <v>4860</v>
      </c>
      <c r="U1860" s="91">
        <v>4860</v>
      </c>
      <c r="V1860" s="91">
        <v>4860</v>
      </c>
      <c r="W1860" s="91">
        <v>4860</v>
      </c>
      <c r="X1860" s="91">
        <v>4860</v>
      </c>
      <c r="Y1860" s="91">
        <v>4860</v>
      </c>
      <c r="Z1860" s="91">
        <v>4860</v>
      </c>
      <c r="AA1860" s="91">
        <v>4860</v>
      </c>
      <c r="AB1860" s="91">
        <v>4860</v>
      </c>
      <c r="AC1860" s="91">
        <v>4860</v>
      </c>
      <c r="AD1860" s="91">
        <v>4860</v>
      </c>
      <c r="AE1860" s="91">
        <v>4860</v>
      </c>
      <c r="AF1860" s="91">
        <v>4860</v>
      </c>
      <c r="AG1860" s="91">
        <v>4860</v>
      </c>
      <c r="AH1860" s="91">
        <v>4860</v>
      </c>
      <c r="AI1860" s="91">
        <v>4860</v>
      </c>
      <c r="AJ1860" s="91">
        <v>4860</v>
      </c>
      <c r="AK1860" s="91">
        <v>4860</v>
      </c>
      <c r="AL1860" s="91">
        <v>4860</v>
      </c>
      <c r="AM1860" s="91">
        <v>4860</v>
      </c>
      <c r="AN1860" s="91">
        <v>4860</v>
      </c>
      <c r="AO1860" s="91">
        <v>4860</v>
      </c>
      <c r="AP1860" s="91">
        <v>4860</v>
      </c>
      <c r="AQ1860" s="91">
        <v>4860</v>
      </c>
      <c r="AR1860" s="91">
        <v>4860</v>
      </c>
      <c r="AS1860" s="91">
        <v>4860</v>
      </c>
      <c r="AT1860" s="91">
        <v>4860</v>
      </c>
      <c r="AU1860" s="91">
        <v>4860</v>
      </c>
      <c r="AV1860" s="91">
        <v>4860</v>
      </c>
      <c r="AW1860" s="91">
        <v>4860</v>
      </c>
      <c r="AX1860" s="92">
        <v>4860</v>
      </c>
    </row>
    <row r="1861" spans="1:50" x14ac:dyDescent="0.25">
      <c r="A1861" s="356"/>
      <c r="B1861" s="359"/>
      <c r="C1861" s="361" t="s">
        <v>14</v>
      </c>
      <c r="D1861" s="58" t="s">
        <v>7</v>
      </c>
      <c r="E1861" s="164" t="str">
        <f>A1851&amp;"/"&amp;B1859&amp;"/"&amp;C1861&amp;"/"&amp;D1861</f>
        <v>Lignite fired power plants/Supercritical steam turbine/CHP/L</v>
      </c>
      <c r="F1861" s="78" t="str">
        <f>A1851</f>
        <v>Lignite fired power plants</v>
      </c>
      <c r="G1861" s="78" t="str">
        <f>B1859</f>
        <v>Supercritical steam turbine</v>
      </c>
      <c r="H1861" s="78" t="str">
        <f>C1861</f>
        <v>CHP</v>
      </c>
      <c r="I1861" s="165" t="str">
        <f t="shared" si="108"/>
        <v>L</v>
      </c>
      <c r="J1861" s="95">
        <v>5400</v>
      </c>
      <c r="K1861" s="95">
        <v>5400</v>
      </c>
      <c r="L1861" s="95">
        <v>5400</v>
      </c>
      <c r="M1861" s="95">
        <v>5400</v>
      </c>
      <c r="N1861" s="95">
        <v>5400</v>
      </c>
      <c r="O1861" s="95">
        <v>5400</v>
      </c>
      <c r="P1861" s="95">
        <v>5400</v>
      </c>
      <c r="Q1861" s="95">
        <v>5400</v>
      </c>
      <c r="R1861" s="95">
        <v>5400</v>
      </c>
      <c r="S1861" s="95">
        <v>5400</v>
      </c>
      <c r="T1861" s="95">
        <v>5400</v>
      </c>
      <c r="U1861" s="95">
        <v>5400</v>
      </c>
      <c r="V1861" s="95">
        <v>5400</v>
      </c>
      <c r="W1861" s="95">
        <v>5400</v>
      </c>
      <c r="X1861" s="95">
        <v>5400</v>
      </c>
      <c r="Y1861" s="95">
        <v>5400</v>
      </c>
      <c r="Z1861" s="95">
        <v>5400</v>
      </c>
      <c r="AA1861" s="95">
        <v>5400</v>
      </c>
      <c r="AB1861" s="95">
        <v>5400</v>
      </c>
      <c r="AC1861" s="95">
        <v>5400</v>
      </c>
      <c r="AD1861" s="95">
        <v>5400</v>
      </c>
      <c r="AE1861" s="95">
        <v>5400</v>
      </c>
      <c r="AF1861" s="95">
        <v>5400</v>
      </c>
      <c r="AG1861" s="95">
        <v>5400</v>
      </c>
      <c r="AH1861" s="95">
        <v>5400</v>
      </c>
      <c r="AI1861" s="95">
        <v>5400</v>
      </c>
      <c r="AJ1861" s="95">
        <v>5400</v>
      </c>
      <c r="AK1861" s="95">
        <v>5400</v>
      </c>
      <c r="AL1861" s="95">
        <v>5400</v>
      </c>
      <c r="AM1861" s="95">
        <v>5400</v>
      </c>
      <c r="AN1861" s="95">
        <v>5400</v>
      </c>
      <c r="AO1861" s="95">
        <v>5400</v>
      </c>
      <c r="AP1861" s="95">
        <v>5400</v>
      </c>
      <c r="AQ1861" s="95">
        <v>5400</v>
      </c>
      <c r="AR1861" s="95">
        <v>5400</v>
      </c>
      <c r="AS1861" s="95">
        <v>5400</v>
      </c>
      <c r="AT1861" s="95">
        <v>5400</v>
      </c>
      <c r="AU1861" s="95">
        <v>5400</v>
      </c>
      <c r="AV1861" s="95">
        <v>5400</v>
      </c>
      <c r="AW1861" s="95">
        <v>5400</v>
      </c>
      <c r="AX1861" s="96">
        <v>5400</v>
      </c>
    </row>
    <row r="1862" spans="1:50" x14ac:dyDescent="0.25">
      <c r="A1862" s="356"/>
      <c r="B1862" s="359"/>
      <c r="C1862" s="360"/>
      <c r="D1862" s="59" t="s">
        <v>8</v>
      </c>
      <c r="E1862" s="166" t="str">
        <f>A1851&amp;"/"&amp;B1859&amp;"/"&amp;C1861&amp;"/"&amp;D1862</f>
        <v>Lignite fired power plants/Supercritical steam turbine/CHP/M</v>
      </c>
      <c r="F1862" s="79" t="str">
        <f>A1851</f>
        <v>Lignite fired power plants</v>
      </c>
      <c r="G1862" s="79" t="str">
        <f>B1859</f>
        <v>Supercritical steam turbine</v>
      </c>
      <c r="H1862" s="79" t="str">
        <f>C1861</f>
        <v>CHP</v>
      </c>
      <c r="I1862" s="167" t="str">
        <f t="shared" si="108"/>
        <v>M</v>
      </c>
      <c r="J1862" s="97">
        <v>3915</v>
      </c>
      <c r="K1862" s="97">
        <v>3915</v>
      </c>
      <c r="L1862" s="97">
        <v>3915</v>
      </c>
      <c r="M1862" s="97">
        <v>3915</v>
      </c>
      <c r="N1862" s="97">
        <v>3915</v>
      </c>
      <c r="O1862" s="97">
        <v>3915</v>
      </c>
      <c r="P1862" s="97">
        <v>3915</v>
      </c>
      <c r="Q1862" s="97">
        <v>3915</v>
      </c>
      <c r="R1862" s="97">
        <v>3915</v>
      </c>
      <c r="S1862" s="97">
        <v>3915</v>
      </c>
      <c r="T1862" s="97">
        <v>3915</v>
      </c>
      <c r="U1862" s="97">
        <v>3915</v>
      </c>
      <c r="V1862" s="97">
        <v>3915</v>
      </c>
      <c r="W1862" s="97">
        <v>3915</v>
      </c>
      <c r="X1862" s="97">
        <v>3915</v>
      </c>
      <c r="Y1862" s="97">
        <v>3915</v>
      </c>
      <c r="Z1862" s="97">
        <v>3915</v>
      </c>
      <c r="AA1862" s="97">
        <v>3915</v>
      </c>
      <c r="AB1862" s="97">
        <v>3915</v>
      </c>
      <c r="AC1862" s="97">
        <v>3915</v>
      </c>
      <c r="AD1862" s="97">
        <v>3915</v>
      </c>
      <c r="AE1862" s="97">
        <v>3915</v>
      </c>
      <c r="AF1862" s="97">
        <v>3915</v>
      </c>
      <c r="AG1862" s="97">
        <v>3915</v>
      </c>
      <c r="AH1862" s="97">
        <v>3915</v>
      </c>
      <c r="AI1862" s="97">
        <v>3915</v>
      </c>
      <c r="AJ1862" s="97">
        <v>3915</v>
      </c>
      <c r="AK1862" s="97">
        <v>3915</v>
      </c>
      <c r="AL1862" s="97">
        <v>3915</v>
      </c>
      <c r="AM1862" s="97">
        <v>3915</v>
      </c>
      <c r="AN1862" s="97">
        <v>3915</v>
      </c>
      <c r="AO1862" s="97">
        <v>3915</v>
      </c>
      <c r="AP1862" s="97">
        <v>3915</v>
      </c>
      <c r="AQ1862" s="97">
        <v>3915</v>
      </c>
      <c r="AR1862" s="97">
        <v>3915</v>
      </c>
      <c r="AS1862" s="97">
        <v>3915</v>
      </c>
      <c r="AT1862" s="97">
        <v>3915</v>
      </c>
      <c r="AU1862" s="97">
        <v>3915</v>
      </c>
      <c r="AV1862" s="97">
        <v>3915</v>
      </c>
      <c r="AW1862" s="97">
        <v>3915</v>
      </c>
      <c r="AX1862" s="98">
        <v>3915</v>
      </c>
    </row>
    <row r="1863" spans="1:50" x14ac:dyDescent="0.25">
      <c r="A1863" s="356"/>
      <c r="B1863" s="359"/>
      <c r="C1863" s="361" t="s">
        <v>15</v>
      </c>
      <c r="D1863" s="58" t="s">
        <v>7</v>
      </c>
      <c r="E1863" s="164" t="str">
        <f>A1851&amp;"/"&amp;B1859&amp;"/"&amp;C1863&amp;"/"&amp;D1863</f>
        <v>Lignite fired power plants/Supercritical steam turbine/Electricity only with CCS/L</v>
      </c>
      <c r="F1863" s="78" t="str">
        <f>A1851</f>
        <v>Lignite fired power plants</v>
      </c>
      <c r="G1863" s="78" t="str">
        <f>B1859</f>
        <v>Supercritical steam turbine</v>
      </c>
      <c r="H1863" s="78" t="str">
        <f>C1863</f>
        <v>Electricity only with CCS</v>
      </c>
      <c r="I1863" s="165" t="str">
        <f t="shared" si="108"/>
        <v>L</v>
      </c>
      <c r="J1863" s="95" t="s">
        <v>112</v>
      </c>
      <c r="K1863" s="95" t="s">
        <v>112</v>
      </c>
      <c r="L1863" s="95" t="s">
        <v>112</v>
      </c>
      <c r="M1863" s="95" t="s">
        <v>112</v>
      </c>
      <c r="N1863" s="95" t="s">
        <v>112</v>
      </c>
      <c r="O1863" s="95" t="s">
        <v>112</v>
      </c>
      <c r="P1863" s="95" t="s">
        <v>112</v>
      </c>
      <c r="Q1863" s="95" t="s">
        <v>112</v>
      </c>
      <c r="R1863" s="95" t="s">
        <v>112</v>
      </c>
      <c r="S1863" s="95" t="s">
        <v>112</v>
      </c>
      <c r="T1863" s="95" t="s">
        <v>112</v>
      </c>
      <c r="U1863" s="95" t="s">
        <v>112</v>
      </c>
      <c r="V1863" s="95" t="s">
        <v>112</v>
      </c>
      <c r="W1863" s="95" t="s">
        <v>112</v>
      </c>
      <c r="X1863" s="95" t="s">
        <v>112</v>
      </c>
      <c r="Y1863" s="95" t="s">
        <v>112</v>
      </c>
      <c r="Z1863" s="95" t="s">
        <v>112</v>
      </c>
      <c r="AA1863" s="95" t="s">
        <v>112</v>
      </c>
      <c r="AB1863" s="95" t="s">
        <v>112</v>
      </c>
      <c r="AC1863" s="95" t="s">
        <v>112</v>
      </c>
      <c r="AD1863" s="95" t="s">
        <v>112</v>
      </c>
      <c r="AE1863" s="95">
        <v>6750</v>
      </c>
      <c r="AF1863" s="95">
        <v>6750</v>
      </c>
      <c r="AG1863" s="95">
        <v>6750</v>
      </c>
      <c r="AH1863" s="95">
        <v>6750</v>
      </c>
      <c r="AI1863" s="95">
        <v>6750</v>
      </c>
      <c r="AJ1863" s="95">
        <v>6750</v>
      </c>
      <c r="AK1863" s="95">
        <v>6750</v>
      </c>
      <c r="AL1863" s="95">
        <v>6750</v>
      </c>
      <c r="AM1863" s="95">
        <v>6750</v>
      </c>
      <c r="AN1863" s="95">
        <v>6750</v>
      </c>
      <c r="AO1863" s="95">
        <v>6750</v>
      </c>
      <c r="AP1863" s="95">
        <v>6750</v>
      </c>
      <c r="AQ1863" s="95">
        <v>6750</v>
      </c>
      <c r="AR1863" s="95">
        <v>6750</v>
      </c>
      <c r="AS1863" s="95">
        <v>6750</v>
      </c>
      <c r="AT1863" s="95">
        <v>6750</v>
      </c>
      <c r="AU1863" s="95">
        <v>6750</v>
      </c>
      <c r="AV1863" s="95">
        <v>6750</v>
      </c>
      <c r="AW1863" s="95">
        <v>6750</v>
      </c>
      <c r="AX1863" s="96">
        <v>6750</v>
      </c>
    </row>
    <row r="1864" spans="1:50" x14ac:dyDescent="0.25">
      <c r="A1864" s="356"/>
      <c r="B1864" s="359"/>
      <c r="C1864" s="360"/>
      <c r="D1864" s="59" t="s">
        <v>8</v>
      </c>
      <c r="E1864" s="166" t="str">
        <f>A1851&amp;"/"&amp;B1859&amp;"/"&amp;C1863&amp;"/"&amp;D1864</f>
        <v>Lignite fired power plants/Supercritical steam turbine/Electricity only with CCS/M</v>
      </c>
      <c r="F1864" s="79" t="str">
        <f>A1851</f>
        <v>Lignite fired power plants</v>
      </c>
      <c r="G1864" s="79" t="str">
        <f>B1859</f>
        <v>Supercritical steam turbine</v>
      </c>
      <c r="H1864" s="79" t="str">
        <f>C1863</f>
        <v>Electricity only with CCS</v>
      </c>
      <c r="I1864" s="167" t="str">
        <f t="shared" si="108"/>
        <v>M</v>
      </c>
      <c r="J1864" s="97" t="s">
        <v>112</v>
      </c>
      <c r="K1864" s="97" t="s">
        <v>112</v>
      </c>
      <c r="L1864" s="97" t="s">
        <v>112</v>
      </c>
      <c r="M1864" s="97" t="s">
        <v>112</v>
      </c>
      <c r="N1864" s="97" t="s">
        <v>112</v>
      </c>
      <c r="O1864" s="97" t="s">
        <v>112</v>
      </c>
      <c r="P1864" s="97" t="s">
        <v>112</v>
      </c>
      <c r="Q1864" s="97" t="s">
        <v>112</v>
      </c>
      <c r="R1864" s="97" t="s">
        <v>112</v>
      </c>
      <c r="S1864" s="97" t="s">
        <v>112</v>
      </c>
      <c r="T1864" s="97" t="s">
        <v>112</v>
      </c>
      <c r="U1864" s="97" t="s">
        <v>112</v>
      </c>
      <c r="V1864" s="97" t="s">
        <v>112</v>
      </c>
      <c r="W1864" s="97" t="s">
        <v>112</v>
      </c>
      <c r="X1864" s="97" t="s">
        <v>112</v>
      </c>
      <c r="Y1864" s="97" t="s">
        <v>112</v>
      </c>
      <c r="Z1864" s="97" t="s">
        <v>112</v>
      </c>
      <c r="AA1864" s="97" t="s">
        <v>112</v>
      </c>
      <c r="AB1864" s="97" t="s">
        <v>112</v>
      </c>
      <c r="AC1864" s="97" t="s">
        <v>112</v>
      </c>
      <c r="AD1864" s="97" t="s">
        <v>112</v>
      </c>
      <c r="AE1864" s="97">
        <v>4860</v>
      </c>
      <c r="AF1864" s="97">
        <v>4860</v>
      </c>
      <c r="AG1864" s="97">
        <v>4860</v>
      </c>
      <c r="AH1864" s="97">
        <v>4860</v>
      </c>
      <c r="AI1864" s="97">
        <v>4860</v>
      </c>
      <c r="AJ1864" s="97">
        <v>4860</v>
      </c>
      <c r="AK1864" s="97">
        <v>4860</v>
      </c>
      <c r="AL1864" s="97">
        <v>4860</v>
      </c>
      <c r="AM1864" s="97">
        <v>4860</v>
      </c>
      <c r="AN1864" s="97">
        <v>4860</v>
      </c>
      <c r="AO1864" s="97">
        <v>4860</v>
      </c>
      <c r="AP1864" s="97">
        <v>4860</v>
      </c>
      <c r="AQ1864" s="97">
        <v>4860</v>
      </c>
      <c r="AR1864" s="97">
        <v>4860</v>
      </c>
      <c r="AS1864" s="97">
        <v>4860</v>
      </c>
      <c r="AT1864" s="97">
        <v>4860</v>
      </c>
      <c r="AU1864" s="97">
        <v>4860</v>
      </c>
      <c r="AV1864" s="97">
        <v>4860</v>
      </c>
      <c r="AW1864" s="97">
        <v>4860</v>
      </c>
      <c r="AX1864" s="98">
        <v>4860</v>
      </c>
    </row>
    <row r="1865" spans="1:50" x14ac:dyDescent="0.25">
      <c r="A1865" s="356"/>
      <c r="B1865" s="359"/>
      <c r="C1865" s="361" t="s">
        <v>16</v>
      </c>
      <c r="D1865" s="2" t="s">
        <v>7</v>
      </c>
      <c r="E1865" s="160" t="str">
        <f>A1851&amp;"/"&amp;B1859&amp;"/"&amp;C1865&amp;"/"&amp;D1865</f>
        <v>Lignite fired power plants/Supercritical steam turbine/CHP with CCS/L</v>
      </c>
      <c r="F1865" s="76" t="str">
        <f>A1851</f>
        <v>Lignite fired power plants</v>
      </c>
      <c r="G1865" s="76" t="str">
        <f>B1859</f>
        <v>Supercritical steam turbine</v>
      </c>
      <c r="H1865" s="76" t="str">
        <f>C1865</f>
        <v>CHP with CCS</v>
      </c>
      <c r="I1865" s="161" t="str">
        <f t="shared" si="108"/>
        <v>L</v>
      </c>
      <c r="J1865" s="91" t="s">
        <v>112</v>
      </c>
      <c r="K1865" s="91" t="s">
        <v>112</v>
      </c>
      <c r="L1865" s="91" t="s">
        <v>112</v>
      </c>
      <c r="M1865" s="91" t="s">
        <v>112</v>
      </c>
      <c r="N1865" s="91" t="s">
        <v>112</v>
      </c>
      <c r="O1865" s="91" t="s">
        <v>112</v>
      </c>
      <c r="P1865" s="91" t="s">
        <v>112</v>
      </c>
      <c r="Q1865" s="91" t="s">
        <v>112</v>
      </c>
      <c r="R1865" s="91" t="s">
        <v>112</v>
      </c>
      <c r="S1865" s="91" t="s">
        <v>112</v>
      </c>
      <c r="T1865" s="91" t="s">
        <v>112</v>
      </c>
      <c r="U1865" s="91" t="s">
        <v>112</v>
      </c>
      <c r="V1865" s="91" t="s">
        <v>112</v>
      </c>
      <c r="W1865" s="91" t="s">
        <v>112</v>
      </c>
      <c r="X1865" s="91" t="s">
        <v>112</v>
      </c>
      <c r="Y1865" s="91" t="s">
        <v>112</v>
      </c>
      <c r="Z1865" s="91" t="s">
        <v>112</v>
      </c>
      <c r="AA1865" s="91" t="s">
        <v>112</v>
      </c>
      <c r="AB1865" s="91" t="s">
        <v>112</v>
      </c>
      <c r="AC1865" s="91" t="s">
        <v>112</v>
      </c>
      <c r="AD1865" s="91" t="s">
        <v>112</v>
      </c>
      <c r="AE1865" s="91">
        <v>5400</v>
      </c>
      <c r="AF1865" s="91">
        <v>5400</v>
      </c>
      <c r="AG1865" s="91">
        <v>5400</v>
      </c>
      <c r="AH1865" s="91">
        <v>5400</v>
      </c>
      <c r="AI1865" s="91">
        <v>5400</v>
      </c>
      <c r="AJ1865" s="91">
        <v>5400</v>
      </c>
      <c r="AK1865" s="91">
        <v>5400</v>
      </c>
      <c r="AL1865" s="91">
        <v>5400</v>
      </c>
      <c r="AM1865" s="91">
        <v>5400</v>
      </c>
      <c r="AN1865" s="91">
        <v>5400</v>
      </c>
      <c r="AO1865" s="91">
        <v>5400</v>
      </c>
      <c r="AP1865" s="91">
        <v>5400</v>
      </c>
      <c r="AQ1865" s="91">
        <v>5400</v>
      </c>
      <c r="AR1865" s="91">
        <v>5400</v>
      </c>
      <c r="AS1865" s="91">
        <v>5400</v>
      </c>
      <c r="AT1865" s="91">
        <v>5400</v>
      </c>
      <c r="AU1865" s="91">
        <v>5400</v>
      </c>
      <c r="AV1865" s="91">
        <v>5400</v>
      </c>
      <c r="AW1865" s="91">
        <v>5400</v>
      </c>
      <c r="AX1865" s="92">
        <v>5400</v>
      </c>
    </row>
    <row r="1866" spans="1:50" x14ac:dyDescent="0.25">
      <c r="A1866" s="356"/>
      <c r="B1866" s="362"/>
      <c r="C1866" s="354"/>
      <c r="D1866" s="4" t="s">
        <v>8</v>
      </c>
      <c r="E1866" s="168" t="str">
        <f>A1851&amp;"/"&amp;B1859&amp;"/"&amp;C1865&amp;"/"&amp;D1866</f>
        <v>Lignite fired power plants/Supercritical steam turbine/CHP with CCS/M</v>
      </c>
      <c r="F1866" s="80" t="str">
        <f>A1851</f>
        <v>Lignite fired power plants</v>
      </c>
      <c r="G1866" s="80" t="str">
        <f>B1859</f>
        <v>Supercritical steam turbine</v>
      </c>
      <c r="H1866" s="80" t="str">
        <f>C1865</f>
        <v>CHP with CCS</v>
      </c>
      <c r="I1866" s="169" t="str">
        <f t="shared" si="108"/>
        <v>M</v>
      </c>
      <c r="J1866" s="99" t="s">
        <v>112</v>
      </c>
      <c r="K1866" s="99" t="s">
        <v>112</v>
      </c>
      <c r="L1866" s="99" t="s">
        <v>112</v>
      </c>
      <c r="M1866" s="99" t="s">
        <v>112</v>
      </c>
      <c r="N1866" s="99" t="s">
        <v>112</v>
      </c>
      <c r="O1866" s="99" t="s">
        <v>112</v>
      </c>
      <c r="P1866" s="99" t="s">
        <v>112</v>
      </c>
      <c r="Q1866" s="99" t="s">
        <v>112</v>
      </c>
      <c r="R1866" s="99" t="s">
        <v>112</v>
      </c>
      <c r="S1866" s="99" t="s">
        <v>112</v>
      </c>
      <c r="T1866" s="99" t="s">
        <v>112</v>
      </c>
      <c r="U1866" s="99" t="s">
        <v>112</v>
      </c>
      <c r="V1866" s="99" t="s">
        <v>112</v>
      </c>
      <c r="W1866" s="99" t="s">
        <v>112</v>
      </c>
      <c r="X1866" s="99" t="s">
        <v>112</v>
      </c>
      <c r="Y1866" s="99" t="s">
        <v>112</v>
      </c>
      <c r="Z1866" s="99" t="s">
        <v>112</v>
      </c>
      <c r="AA1866" s="99" t="s">
        <v>112</v>
      </c>
      <c r="AB1866" s="99" t="s">
        <v>112</v>
      </c>
      <c r="AC1866" s="99" t="s">
        <v>112</v>
      </c>
      <c r="AD1866" s="99" t="s">
        <v>112</v>
      </c>
      <c r="AE1866" s="99">
        <v>3915</v>
      </c>
      <c r="AF1866" s="99">
        <v>3915</v>
      </c>
      <c r="AG1866" s="99">
        <v>3915</v>
      </c>
      <c r="AH1866" s="99">
        <v>3915</v>
      </c>
      <c r="AI1866" s="99">
        <v>3915</v>
      </c>
      <c r="AJ1866" s="99">
        <v>3915</v>
      </c>
      <c r="AK1866" s="99">
        <v>3915</v>
      </c>
      <c r="AL1866" s="99">
        <v>3915</v>
      </c>
      <c r="AM1866" s="99">
        <v>3915</v>
      </c>
      <c r="AN1866" s="99">
        <v>3915</v>
      </c>
      <c r="AO1866" s="99">
        <v>3915</v>
      </c>
      <c r="AP1866" s="99">
        <v>3915</v>
      </c>
      <c r="AQ1866" s="99">
        <v>3915</v>
      </c>
      <c r="AR1866" s="99">
        <v>3915</v>
      </c>
      <c r="AS1866" s="99">
        <v>3915</v>
      </c>
      <c r="AT1866" s="99">
        <v>3915</v>
      </c>
      <c r="AU1866" s="99">
        <v>3915</v>
      </c>
      <c r="AV1866" s="99">
        <v>3915</v>
      </c>
      <c r="AW1866" s="99">
        <v>3915</v>
      </c>
      <c r="AX1866" s="100">
        <v>3915</v>
      </c>
    </row>
    <row r="1867" spans="1:50" x14ac:dyDescent="0.25">
      <c r="A1867" s="356"/>
      <c r="B1867" s="358" t="s">
        <v>18</v>
      </c>
      <c r="C1867" s="353" t="s">
        <v>6</v>
      </c>
      <c r="D1867" s="3" t="s">
        <v>7</v>
      </c>
      <c r="E1867" s="162" t="str">
        <f>A1851&amp;"/"&amp;B1867&amp;"/"&amp;C1867&amp;"/"&amp;D1867</f>
        <v>Lignite fired power plants/Fluidized bed combustion/Electricity only/L</v>
      </c>
      <c r="F1867" s="77" t="str">
        <f>A1851</f>
        <v>Lignite fired power plants</v>
      </c>
      <c r="G1867" s="77" t="str">
        <f>B1867</f>
        <v>Fluidized bed combustion</v>
      </c>
      <c r="H1867" s="77" t="str">
        <f>C1867</f>
        <v>Electricity only</v>
      </c>
      <c r="I1867" s="163" t="str">
        <f t="shared" si="108"/>
        <v>L</v>
      </c>
      <c r="J1867" s="93">
        <v>6300</v>
      </c>
      <c r="K1867" s="93">
        <v>6300</v>
      </c>
      <c r="L1867" s="93">
        <v>6300</v>
      </c>
      <c r="M1867" s="93">
        <v>6300</v>
      </c>
      <c r="N1867" s="93">
        <v>6300</v>
      </c>
      <c r="O1867" s="93">
        <v>6300</v>
      </c>
      <c r="P1867" s="93">
        <v>6300</v>
      </c>
      <c r="Q1867" s="93">
        <v>6300</v>
      </c>
      <c r="R1867" s="93">
        <v>6300</v>
      </c>
      <c r="S1867" s="93">
        <v>6300</v>
      </c>
      <c r="T1867" s="93">
        <v>6300</v>
      </c>
      <c r="U1867" s="93">
        <v>6300</v>
      </c>
      <c r="V1867" s="93">
        <v>6300</v>
      </c>
      <c r="W1867" s="93">
        <v>6300</v>
      </c>
      <c r="X1867" s="93">
        <v>6300</v>
      </c>
      <c r="Y1867" s="93">
        <v>6300</v>
      </c>
      <c r="Z1867" s="93">
        <v>6300</v>
      </c>
      <c r="AA1867" s="93">
        <v>6300</v>
      </c>
      <c r="AB1867" s="93">
        <v>6300</v>
      </c>
      <c r="AC1867" s="93">
        <v>6300</v>
      </c>
      <c r="AD1867" s="93">
        <v>6300</v>
      </c>
      <c r="AE1867" s="93">
        <v>6300</v>
      </c>
      <c r="AF1867" s="93">
        <v>6300</v>
      </c>
      <c r="AG1867" s="93">
        <v>6300</v>
      </c>
      <c r="AH1867" s="93">
        <v>6300</v>
      </c>
      <c r="AI1867" s="93">
        <v>6300</v>
      </c>
      <c r="AJ1867" s="93">
        <v>6300</v>
      </c>
      <c r="AK1867" s="93">
        <v>6300</v>
      </c>
      <c r="AL1867" s="93">
        <v>6300</v>
      </c>
      <c r="AM1867" s="93">
        <v>6300</v>
      </c>
      <c r="AN1867" s="93">
        <v>6300</v>
      </c>
      <c r="AO1867" s="93">
        <v>6300</v>
      </c>
      <c r="AP1867" s="93">
        <v>6300</v>
      </c>
      <c r="AQ1867" s="93">
        <v>6300</v>
      </c>
      <c r="AR1867" s="93">
        <v>6300</v>
      </c>
      <c r="AS1867" s="93">
        <v>6300</v>
      </c>
      <c r="AT1867" s="93">
        <v>6300</v>
      </c>
      <c r="AU1867" s="93">
        <v>6300</v>
      </c>
      <c r="AV1867" s="93">
        <v>6300</v>
      </c>
      <c r="AW1867" s="93">
        <v>6300</v>
      </c>
      <c r="AX1867" s="94">
        <v>6300</v>
      </c>
    </row>
    <row r="1868" spans="1:50" x14ac:dyDescent="0.25">
      <c r="A1868" s="356"/>
      <c r="B1868" s="359"/>
      <c r="C1868" s="350"/>
      <c r="D1868" s="2" t="s">
        <v>8</v>
      </c>
      <c r="E1868" s="160" t="str">
        <f>A1851&amp;"/"&amp;B1867&amp;"/"&amp;C1867&amp;"/"&amp;D1868</f>
        <v>Lignite fired power plants/Fluidized bed combustion/Electricity only/M</v>
      </c>
      <c r="F1868" s="76" t="str">
        <f>A1851</f>
        <v>Lignite fired power plants</v>
      </c>
      <c r="G1868" s="76" t="str">
        <f>B1867</f>
        <v>Fluidized bed combustion</v>
      </c>
      <c r="H1868" s="76" t="str">
        <f>C1867</f>
        <v>Electricity only</v>
      </c>
      <c r="I1868" s="161" t="str">
        <f t="shared" si="108"/>
        <v>M</v>
      </c>
      <c r="J1868" s="91">
        <v>4504.5</v>
      </c>
      <c r="K1868" s="91">
        <v>4504.5</v>
      </c>
      <c r="L1868" s="91">
        <v>4504.5</v>
      </c>
      <c r="M1868" s="91">
        <v>4504.5</v>
      </c>
      <c r="N1868" s="91">
        <v>4504.5</v>
      </c>
      <c r="O1868" s="91">
        <v>4504.5</v>
      </c>
      <c r="P1868" s="91">
        <v>4504.5</v>
      </c>
      <c r="Q1868" s="91">
        <v>4504.5</v>
      </c>
      <c r="R1868" s="91">
        <v>4504.5</v>
      </c>
      <c r="S1868" s="91">
        <v>4504.5</v>
      </c>
      <c r="T1868" s="91">
        <v>4504.5</v>
      </c>
      <c r="U1868" s="91">
        <v>4504.5</v>
      </c>
      <c r="V1868" s="91">
        <v>4504.5</v>
      </c>
      <c r="W1868" s="91">
        <v>4504.5</v>
      </c>
      <c r="X1868" s="91">
        <v>4504.5</v>
      </c>
      <c r="Y1868" s="91">
        <v>4504.5</v>
      </c>
      <c r="Z1868" s="91">
        <v>4504.5</v>
      </c>
      <c r="AA1868" s="91">
        <v>4504.5</v>
      </c>
      <c r="AB1868" s="91">
        <v>4504.5</v>
      </c>
      <c r="AC1868" s="91">
        <v>4504.5</v>
      </c>
      <c r="AD1868" s="91">
        <v>4504.5</v>
      </c>
      <c r="AE1868" s="91">
        <v>4504.5</v>
      </c>
      <c r="AF1868" s="91">
        <v>4504.5</v>
      </c>
      <c r="AG1868" s="91">
        <v>4504.5</v>
      </c>
      <c r="AH1868" s="91">
        <v>4504.5</v>
      </c>
      <c r="AI1868" s="91">
        <v>4504.5</v>
      </c>
      <c r="AJ1868" s="91">
        <v>4504.5</v>
      </c>
      <c r="AK1868" s="91">
        <v>4504.5</v>
      </c>
      <c r="AL1868" s="91">
        <v>4504.5</v>
      </c>
      <c r="AM1868" s="91">
        <v>4504.5</v>
      </c>
      <c r="AN1868" s="91">
        <v>4504.5</v>
      </c>
      <c r="AO1868" s="91">
        <v>4504.5</v>
      </c>
      <c r="AP1868" s="91">
        <v>4504.5</v>
      </c>
      <c r="AQ1868" s="91">
        <v>4504.5</v>
      </c>
      <c r="AR1868" s="91">
        <v>4504.5</v>
      </c>
      <c r="AS1868" s="91">
        <v>4504.5</v>
      </c>
      <c r="AT1868" s="91">
        <v>4504.5</v>
      </c>
      <c r="AU1868" s="91">
        <v>4504.5</v>
      </c>
      <c r="AV1868" s="91">
        <v>4504.5</v>
      </c>
      <c r="AW1868" s="91">
        <v>4504.5</v>
      </c>
      <c r="AX1868" s="92">
        <v>4504.5</v>
      </c>
    </row>
    <row r="1869" spans="1:50" x14ac:dyDescent="0.25">
      <c r="A1869" s="356"/>
      <c r="B1869" s="359"/>
      <c r="C1869" s="360"/>
      <c r="D1869" s="2" t="s">
        <v>10</v>
      </c>
      <c r="E1869" s="160" t="str">
        <f>A1851&amp;"/"&amp;B1867&amp;"/"&amp;C1867&amp;"/"&amp;D1869</f>
        <v>Lignite fired power plants/Fluidized bed combustion/Electricity only/S</v>
      </c>
      <c r="F1869" s="76" t="str">
        <f>A1851</f>
        <v>Lignite fired power plants</v>
      </c>
      <c r="G1869" s="76" t="str">
        <f>B1867</f>
        <v>Fluidized bed combustion</v>
      </c>
      <c r="H1869" s="76" t="str">
        <f>C1867</f>
        <v>Electricity only</v>
      </c>
      <c r="I1869" s="161" t="str">
        <f t="shared" si="108"/>
        <v>S</v>
      </c>
      <c r="J1869" s="91">
        <v>3040.5375000000004</v>
      </c>
      <c r="K1869" s="91">
        <v>3040.5375000000004</v>
      </c>
      <c r="L1869" s="91">
        <v>3040.5375000000004</v>
      </c>
      <c r="M1869" s="91">
        <v>3040.5375000000004</v>
      </c>
      <c r="N1869" s="91">
        <v>3040.5375000000004</v>
      </c>
      <c r="O1869" s="91">
        <v>3040.5375000000004</v>
      </c>
      <c r="P1869" s="91">
        <v>3040.5375000000004</v>
      </c>
      <c r="Q1869" s="91">
        <v>3040.5375000000004</v>
      </c>
      <c r="R1869" s="91">
        <v>3040.5375000000004</v>
      </c>
      <c r="S1869" s="91">
        <v>3040.5375000000004</v>
      </c>
      <c r="T1869" s="91">
        <v>3040.5375000000004</v>
      </c>
      <c r="U1869" s="91">
        <v>3040.5375000000004</v>
      </c>
      <c r="V1869" s="91">
        <v>3040.5375000000004</v>
      </c>
      <c r="W1869" s="91">
        <v>3040.5375000000004</v>
      </c>
      <c r="X1869" s="91">
        <v>3040.5375000000004</v>
      </c>
      <c r="Y1869" s="91">
        <v>3040.5375000000004</v>
      </c>
      <c r="Z1869" s="91">
        <v>3040.5375000000004</v>
      </c>
      <c r="AA1869" s="91">
        <v>3040.5375000000004</v>
      </c>
      <c r="AB1869" s="91">
        <v>3040.5375000000004</v>
      </c>
      <c r="AC1869" s="91">
        <v>3040.5375000000004</v>
      </c>
      <c r="AD1869" s="91">
        <v>3040.5375000000004</v>
      </c>
      <c r="AE1869" s="91">
        <v>3040.5375000000004</v>
      </c>
      <c r="AF1869" s="91">
        <v>3040.5375000000004</v>
      </c>
      <c r="AG1869" s="91">
        <v>3040.5375000000004</v>
      </c>
      <c r="AH1869" s="91">
        <v>3040.5375000000004</v>
      </c>
      <c r="AI1869" s="91">
        <v>3040.5375000000004</v>
      </c>
      <c r="AJ1869" s="91">
        <v>3040.5375000000004</v>
      </c>
      <c r="AK1869" s="91">
        <v>3040.5375000000004</v>
      </c>
      <c r="AL1869" s="91">
        <v>3040.5375000000004</v>
      </c>
      <c r="AM1869" s="91">
        <v>3040.5375000000004</v>
      </c>
      <c r="AN1869" s="91">
        <v>3040.5375000000004</v>
      </c>
      <c r="AO1869" s="91">
        <v>3040.5375000000004</v>
      </c>
      <c r="AP1869" s="91">
        <v>3040.5375000000004</v>
      </c>
      <c r="AQ1869" s="91">
        <v>3040.5375000000004</v>
      </c>
      <c r="AR1869" s="91">
        <v>3040.5375000000004</v>
      </c>
      <c r="AS1869" s="91">
        <v>3040.5375000000004</v>
      </c>
      <c r="AT1869" s="91">
        <v>3040.5375000000004</v>
      </c>
      <c r="AU1869" s="91">
        <v>3040.5375000000004</v>
      </c>
      <c r="AV1869" s="91">
        <v>3040.5375000000004</v>
      </c>
      <c r="AW1869" s="91">
        <v>3040.5375000000004</v>
      </c>
      <c r="AX1869" s="92">
        <v>3040.5375000000004</v>
      </c>
    </row>
    <row r="1870" spans="1:50" x14ac:dyDescent="0.25">
      <c r="A1870" s="356"/>
      <c r="B1870" s="359"/>
      <c r="C1870" s="361" t="s">
        <v>14</v>
      </c>
      <c r="D1870" s="58" t="s">
        <v>7</v>
      </c>
      <c r="E1870" s="164" t="str">
        <f>A1851&amp;"/"&amp;B1867&amp;"/"&amp;C1870&amp;"/"&amp;D1870</f>
        <v>Lignite fired power plants/Fluidized bed combustion/CHP/L</v>
      </c>
      <c r="F1870" s="78" t="str">
        <f>A1851</f>
        <v>Lignite fired power plants</v>
      </c>
      <c r="G1870" s="78" t="str">
        <f>B1867</f>
        <v>Fluidized bed combustion</v>
      </c>
      <c r="H1870" s="78" t="str">
        <f>C1870</f>
        <v>CHP</v>
      </c>
      <c r="I1870" s="165" t="str">
        <f t="shared" si="108"/>
        <v>L</v>
      </c>
      <c r="J1870" s="95">
        <v>5040</v>
      </c>
      <c r="K1870" s="95">
        <v>5040</v>
      </c>
      <c r="L1870" s="95">
        <v>5040</v>
      </c>
      <c r="M1870" s="95">
        <v>5040</v>
      </c>
      <c r="N1870" s="95">
        <v>5040</v>
      </c>
      <c r="O1870" s="95">
        <v>5040</v>
      </c>
      <c r="P1870" s="95">
        <v>5040</v>
      </c>
      <c r="Q1870" s="95">
        <v>5040</v>
      </c>
      <c r="R1870" s="95">
        <v>5040</v>
      </c>
      <c r="S1870" s="95">
        <v>5040</v>
      </c>
      <c r="T1870" s="95">
        <v>5040</v>
      </c>
      <c r="U1870" s="95">
        <v>5040</v>
      </c>
      <c r="V1870" s="95">
        <v>5040</v>
      </c>
      <c r="W1870" s="95">
        <v>5040</v>
      </c>
      <c r="X1870" s="95">
        <v>5040</v>
      </c>
      <c r="Y1870" s="95">
        <v>5040</v>
      </c>
      <c r="Z1870" s="95">
        <v>5040</v>
      </c>
      <c r="AA1870" s="95">
        <v>5040</v>
      </c>
      <c r="AB1870" s="95">
        <v>5040</v>
      </c>
      <c r="AC1870" s="95">
        <v>5040</v>
      </c>
      <c r="AD1870" s="95">
        <v>5040</v>
      </c>
      <c r="AE1870" s="95">
        <v>5040</v>
      </c>
      <c r="AF1870" s="95">
        <v>5040</v>
      </c>
      <c r="AG1870" s="95">
        <v>5040</v>
      </c>
      <c r="AH1870" s="95">
        <v>5040</v>
      </c>
      <c r="AI1870" s="95">
        <v>5040</v>
      </c>
      <c r="AJ1870" s="95">
        <v>5040</v>
      </c>
      <c r="AK1870" s="95">
        <v>5040</v>
      </c>
      <c r="AL1870" s="95">
        <v>5040</v>
      </c>
      <c r="AM1870" s="95">
        <v>5040</v>
      </c>
      <c r="AN1870" s="95">
        <v>5040</v>
      </c>
      <c r="AO1870" s="95">
        <v>5040</v>
      </c>
      <c r="AP1870" s="95">
        <v>5040</v>
      </c>
      <c r="AQ1870" s="95">
        <v>5040</v>
      </c>
      <c r="AR1870" s="95">
        <v>5040</v>
      </c>
      <c r="AS1870" s="95">
        <v>5040</v>
      </c>
      <c r="AT1870" s="95">
        <v>5040</v>
      </c>
      <c r="AU1870" s="95">
        <v>5040</v>
      </c>
      <c r="AV1870" s="95">
        <v>5040</v>
      </c>
      <c r="AW1870" s="95">
        <v>5040</v>
      </c>
      <c r="AX1870" s="96">
        <v>5040</v>
      </c>
    </row>
    <row r="1871" spans="1:50" x14ac:dyDescent="0.25">
      <c r="A1871" s="356"/>
      <c r="B1871" s="359"/>
      <c r="C1871" s="350"/>
      <c r="D1871" s="2" t="s">
        <v>8</v>
      </c>
      <c r="E1871" s="160" t="str">
        <f>A1851&amp;"/"&amp;B1867&amp;"/"&amp;C1870&amp;"/"&amp;D1871</f>
        <v>Lignite fired power plants/Fluidized bed combustion/CHP/M</v>
      </c>
      <c r="F1871" s="76" t="str">
        <f>A1851</f>
        <v>Lignite fired power plants</v>
      </c>
      <c r="G1871" s="76" t="str">
        <f>B1867</f>
        <v>Fluidized bed combustion</v>
      </c>
      <c r="H1871" s="76" t="str">
        <f>C1870</f>
        <v>CHP</v>
      </c>
      <c r="I1871" s="161" t="str">
        <f t="shared" ref="I1871:I1934" si="109">D1871</f>
        <v>M</v>
      </c>
      <c r="J1871" s="91">
        <v>3603.6</v>
      </c>
      <c r="K1871" s="91">
        <v>3603.6</v>
      </c>
      <c r="L1871" s="91">
        <v>3603.6</v>
      </c>
      <c r="M1871" s="91">
        <v>3603.6</v>
      </c>
      <c r="N1871" s="91">
        <v>3603.6</v>
      </c>
      <c r="O1871" s="91">
        <v>3603.6</v>
      </c>
      <c r="P1871" s="91">
        <v>3603.6</v>
      </c>
      <c r="Q1871" s="91">
        <v>3603.6</v>
      </c>
      <c r="R1871" s="91">
        <v>3603.6</v>
      </c>
      <c r="S1871" s="91">
        <v>3603.6</v>
      </c>
      <c r="T1871" s="91">
        <v>3603.6</v>
      </c>
      <c r="U1871" s="91">
        <v>3603.6</v>
      </c>
      <c r="V1871" s="91">
        <v>3603.6</v>
      </c>
      <c r="W1871" s="91">
        <v>3603.6</v>
      </c>
      <c r="X1871" s="91">
        <v>3603.6</v>
      </c>
      <c r="Y1871" s="91">
        <v>3603.6</v>
      </c>
      <c r="Z1871" s="91">
        <v>3603.6</v>
      </c>
      <c r="AA1871" s="91">
        <v>3603.6</v>
      </c>
      <c r="AB1871" s="91">
        <v>3603.6</v>
      </c>
      <c r="AC1871" s="91">
        <v>3603.6</v>
      </c>
      <c r="AD1871" s="91">
        <v>3603.6</v>
      </c>
      <c r="AE1871" s="91">
        <v>3603.6</v>
      </c>
      <c r="AF1871" s="91">
        <v>3603.6</v>
      </c>
      <c r="AG1871" s="91">
        <v>3603.6</v>
      </c>
      <c r="AH1871" s="91">
        <v>3603.6</v>
      </c>
      <c r="AI1871" s="91">
        <v>3603.6</v>
      </c>
      <c r="AJ1871" s="91">
        <v>3603.6</v>
      </c>
      <c r="AK1871" s="91">
        <v>3603.6</v>
      </c>
      <c r="AL1871" s="91">
        <v>3603.6</v>
      </c>
      <c r="AM1871" s="91">
        <v>3603.6</v>
      </c>
      <c r="AN1871" s="91">
        <v>3603.6</v>
      </c>
      <c r="AO1871" s="91">
        <v>3603.6</v>
      </c>
      <c r="AP1871" s="91">
        <v>3603.6</v>
      </c>
      <c r="AQ1871" s="91">
        <v>3603.6</v>
      </c>
      <c r="AR1871" s="91">
        <v>3603.6</v>
      </c>
      <c r="AS1871" s="91">
        <v>3603.6</v>
      </c>
      <c r="AT1871" s="91">
        <v>3603.6</v>
      </c>
      <c r="AU1871" s="91">
        <v>3603.6</v>
      </c>
      <c r="AV1871" s="91">
        <v>3603.6</v>
      </c>
      <c r="AW1871" s="91">
        <v>3603.6</v>
      </c>
      <c r="AX1871" s="92">
        <v>3603.6</v>
      </c>
    </row>
    <row r="1872" spans="1:50" x14ac:dyDescent="0.25">
      <c r="A1872" s="356"/>
      <c r="B1872" s="359"/>
      <c r="C1872" s="360"/>
      <c r="D1872" s="59" t="s">
        <v>10</v>
      </c>
      <c r="E1872" s="166" t="str">
        <f>A1851&amp;"/"&amp;B1867&amp;"/"&amp;C1870&amp;"/"&amp;D1872</f>
        <v>Lignite fired power plants/Fluidized bed combustion/CHP/S</v>
      </c>
      <c r="F1872" s="79" t="str">
        <f>A1851</f>
        <v>Lignite fired power plants</v>
      </c>
      <c r="G1872" s="79" t="str">
        <f>B1867</f>
        <v>Fluidized bed combustion</v>
      </c>
      <c r="H1872" s="79" t="str">
        <f>C1870</f>
        <v>CHP</v>
      </c>
      <c r="I1872" s="167" t="str">
        <f t="shared" si="109"/>
        <v>S</v>
      </c>
      <c r="J1872" s="97">
        <v>2432.4300000000003</v>
      </c>
      <c r="K1872" s="97">
        <v>2432.4300000000003</v>
      </c>
      <c r="L1872" s="97">
        <v>2432.4300000000003</v>
      </c>
      <c r="M1872" s="97">
        <v>2432.4300000000003</v>
      </c>
      <c r="N1872" s="97">
        <v>2432.4300000000003</v>
      </c>
      <c r="O1872" s="97">
        <v>2432.4300000000003</v>
      </c>
      <c r="P1872" s="97">
        <v>2432.4300000000003</v>
      </c>
      <c r="Q1872" s="97">
        <v>2432.4300000000003</v>
      </c>
      <c r="R1872" s="97">
        <v>2432.4300000000003</v>
      </c>
      <c r="S1872" s="97">
        <v>2432.4300000000003</v>
      </c>
      <c r="T1872" s="97">
        <v>2432.4300000000003</v>
      </c>
      <c r="U1872" s="97">
        <v>2432.4300000000003</v>
      </c>
      <c r="V1872" s="97">
        <v>2432.4300000000003</v>
      </c>
      <c r="W1872" s="97">
        <v>2432.4300000000003</v>
      </c>
      <c r="X1872" s="97">
        <v>2432.4300000000003</v>
      </c>
      <c r="Y1872" s="97">
        <v>2432.4300000000003</v>
      </c>
      <c r="Z1872" s="97">
        <v>2432.4300000000003</v>
      </c>
      <c r="AA1872" s="97">
        <v>2432.4300000000003</v>
      </c>
      <c r="AB1872" s="97">
        <v>2432.4300000000003</v>
      </c>
      <c r="AC1872" s="97">
        <v>2432.4300000000003</v>
      </c>
      <c r="AD1872" s="97">
        <v>2432.4300000000003</v>
      </c>
      <c r="AE1872" s="97">
        <v>2432.4300000000003</v>
      </c>
      <c r="AF1872" s="97">
        <v>2432.4300000000003</v>
      </c>
      <c r="AG1872" s="97">
        <v>2432.4300000000003</v>
      </c>
      <c r="AH1872" s="97">
        <v>2432.4300000000003</v>
      </c>
      <c r="AI1872" s="97">
        <v>2432.4300000000003</v>
      </c>
      <c r="AJ1872" s="97">
        <v>2432.4300000000003</v>
      </c>
      <c r="AK1872" s="97">
        <v>2432.4300000000003</v>
      </c>
      <c r="AL1872" s="97">
        <v>2432.4300000000003</v>
      </c>
      <c r="AM1872" s="97">
        <v>2432.4300000000003</v>
      </c>
      <c r="AN1872" s="97">
        <v>2432.4300000000003</v>
      </c>
      <c r="AO1872" s="97">
        <v>2432.4300000000003</v>
      </c>
      <c r="AP1872" s="97">
        <v>2432.4300000000003</v>
      </c>
      <c r="AQ1872" s="97">
        <v>2432.4300000000003</v>
      </c>
      <c r="AR1872" s="97">
        <v>2432.4300000000003</v>
      </c>
      <c r="AS1872" s="97">
        <v>2432.4300000000003</v>
      </c>
      <c r="AT1872" s="97">
        <v>2432.4300000000003</v>
      </c>
      <c r="AU1872" s="97">
        <v>2432.4300000000003</v>
      </c>
      <c r="AV1872" s="97">
        <v>2432.4300000000003</v>
      </c>
      <c r="AW1872" s="97">
        <v>2432.4300000000003</v>
      </c>
      <c r="AX1872" s="98">
        <v>2432.4300000000003</v>
      </c>
    </row>
    <row r="1873" spans="1:50" x14ac:dyDescent="0.25">
      <c r="A1873" s="356"/>
      <c r="B1873" s="359"/>
      <c r="C1873" s="361" t="s">
        <v>15</v>
      </c>
      <c r="D1873" s="58" t="s">
        <v>7</v>
      </c>
      <c r="E1873" s="164" t="str">
        <f>A1851&amp;"/"&amp;B1867&amp;"/"&amp;C1873&amp;"/"&amp;D1873</f>
        <v>Lignite fired power plants/Fluidized bed combustion/Electricity only with CCS/L</v>
      </c>
      <c r="F1873" s="78" t="str">
        <f>A1851</f>
        <v>Lignite fired power plants</v>
      </c>
      <c r="G1873" s="78" t="str">
        <f>B1867</f>
        <v>Fluidized bed combustion</v>
      </c>
      <c r="H1873" s="78" t="str">
        <f>C1873</f>
        <v>Electricity only with CCS</v>
      </c>
      <c r="I1873" s="165" t="str">
        <f t="shared" si="109"/>
        <v>L</v>
      </c>
      <c r="J1873" s="95" t="s">
        <v>112</v>
      </c>
      <c r="K1873" s="95" t="s">
        <v>112</v>
      </c>
      <c r="L1873" s="95" t="s">
        <v>112</v>
      </c>
      <c r="M1873" s="95" t="s">
        <v>112</v>
      </c>
      <c r="N1873" s="95" t="s">
        <v>112</v>
      </c>
      <c r="O1873" s="95" t="s">
        <v>112</v>
      </c>
      <c r="P1873" s="95" t="s">
        <v>112</v>
      </c>
      <c r="Q1873" s="95" t="s">
        <v>112</v>
      </c>
      <c r="R1873" s="95" t="s">
        <v>112</v>
      </c>
      <c r="S1873" s="95" t="s">
        <v>112</v>
      </c>
      <c r="T1873" s="95" t="s">
        <v>112</v>
      </c>
      <c r="U1873" s="95" t="s">
        <v>112</v>
      </c>
      <c r="V1873" s="95" t="s">
        <v>112</v>
      </c>
      <c r="W1873" s="95" t="s">
        <v>112</v>
      </c>
      <c r="X1873" s="95" t="s">
        <v>112</v>
      </c>
      <c r="Y1873" s="95" t="s">
        <v>112</v>
      </c>
      <c r="Z1873" s="95" t="s">
        <v>112</v>
      </c>
      <c r="AA1873" s="95" t="s">
        <v>112</v>
      </c>
      <c r="AB1873" s="95" t="s">
        <v>112</v>
      </c>
      <c r="AC1873" s="95" t="s">
        <v>112</v>
      </c>
      <c r="AD1873" s="95" t="s">
        <v>112</v>
      </c>
      <c r="AE1873" s="95">
        <v>6300</v>
      </c>
      <c r="AF1873" s="95">
        <v>6300</v>
      </c>
      <c r="AG1873" s="95">
        <v>6300</v>
      </c>
      <c r="AH1873" s="95">
        <v>6300</v>
      </c>
      <c r="AI1873" s="95">
        <v>6300</v>
      </c>
      <c r="AJ1873" s="95">
        <v>6300</v>
      </c>
      <c r="AK1873" s="95">
        <v>6300</v>
      </c>
      <c r="AL1873" s="95">
        <v>6300</v>
      </c>
      <c r="AM1873" s="95">
        <v>6300</v>
      </c>
      <c r="AN1873" s="95">
        <v>6300</v>
      </c>
      <c r="AO1873" s="95">
        <v>6300</v>
      </c>
      <c r="AP1873" s="95">
        <v>6300</v>
      </c>
      <c r="AQ1873" s="95">
        <v>6300</v>
      </c>
      <c r="AR1873" s="95">
        <v>6300</v>
      </c>
      <c r="AS1873" s="95">
        <v>6300</v>
      </c>
      <c r="AT1873" s="95">
        <v>6300</v>
      </c>
      <c r="AU1873" s="95">
        <v>6300</v>
      </c>
      <c r="AV1873" s="95">
        <v>6300</v>
      </c>
      <c r="AW1873" s="95">
        <v>6300</v>
      </c>
      <c r="AX1873" s="96">
        <v>6300</v>
      </c>
    </row>
    <row r="1874" spans="1:50" x14ac:dyDescent="0.25">
      <c r="A1874" s="356"/>
      <c r="B1874" s="359"/>
      <c r="C1874" s="360"/>
      <c r="D1874" s="59" t="s">
        <v>8</v>
      </c>
      <c r="E1874" s="166" t="str">
        <f>A1851&amp;"/"&amp;B1867&amp;"/"&amp;C1873&amp;"/"&amp;D1874</f>
        <v>Lignite fired power plants/Fluidized bed combustion/Electricity only with CCS/M</v>
      </c>
      <c r="F1874" s="79" t="str">
        <f>A1851</f>
        <v>Lignite fired power plants</v>
      </c>
      <c r="G1874" s="79" t="str">
        <f>B1867</f>
        <v>Fluidized bed combustion</v>
      </c>
      <c r="H1874" s="79" t="str">
        <f>C1873</f>
        <v>Electricity only with CCS</v>
      </c>
      <c r="I1874" s="167" t="str">
        <f t="shared" si="109"/>
        <v>M</v>
      </c>
      <c r="J1874" s="97" t="s">
        <v>112</v>
      </c>
      <c r="K1874" s="97" t="s">
        <v>112</v>
      </c>
      <c r="L1874" s="97" t="s">
        <v>112</v>
      </c>
      <c r="M1874" s="97" t="s">
        <v>112</v>
      </c>
      <c r="N1874" s="97" t="s">
        <v>112</v>
      </c>
      <c r="O1874" s="97" t="s">
        <v>112</v>
      </c>
      <c r="P1874" s="97" t="s">
        <v>112</v>
      </c>
      <c r="Q1874" s="97" t="s">
        <v>112</v>
      </c>
      <c r="R1874" s="97" t="s">
        <v>112</v>
      </c>
      <c r="S1874" s="97" t="s">
        <v>112</v>
      </c>
      <c r="T1874" s="97" t="s">
        <v>112</v>
      </c>
      <c r="U1874" s="97" t="s">
        <v>112</v>
      </c>
      <c r="V1874" s="97" t="s">
        <v>112</v>
      </c>
      <c r="W1874" s="97" t="s">
        <v>112</v>
      </c>
      <c r="X1874" s="97" t="s">
        <v>112</v>
      </c>
      <c r="Y1874" s="97" t="s">
        <v>112</v>
      </c>
      <c r="Z1874" s="97" t="s">
        <v>112</v>
      </c>
      <c r="AA1874" s="97" t="s">
        <v>112</v>
      </c>
      <c r="AB1874" s="97" t="s">
        <v>112</v>
      </c>
      <c r="AC1874" s="97" t="s">
        <v>112</v>
      </c>
      <c r="AD1874" s="97" t="s">
        <v>112</v>
      </c>
      <c r="AE1874" s="97">
        <v>4504.5</v>
      </c>
      <c r="AF1874" s="97">
        <v>4504.5</v>
      </c>
      <c r="AG1874" s="97">
        <v>4504.5</v>
      </c>
      <c r="AH1874" s="97">
        <v>4504.5</v>
      </c>
      <c r="AI1874" s="97">
        <v>4504.5</v>
      </c>
      <c r="AJ1874" s="97">
        <v>4504.5</v>
      </c>
      <c r="AK1874" s="97">
        <v>4504.5</v>
      </c>
      <c r="AL1874" s="97">
        <v>4504.5</v>
      </c>
      <c r="AM1874" s="97">
        <v>4504.5</v>
      </c>
      <c r="AN1874" s="97">
        <v>4504.5</v>
      </c>
      <c r="AO1874" s="97">
        <v>4504.5</v>
      </c>
      <c r="AP1874" s="97">
        <v>4504.5</v>
      </c>
      <c r="AQ1874" s="97">
        <v>4504.5</v>
      </c>
      <c r="AR1874" s="97">
        <v>4504.5</v>
      </c>
      <c r="AS1874" s="97">
        <v>4504.5</v>
      </c>
      <c r="AT1874" s="97">
        <v>4504.5</v>
      </c>
      <c r="AU1874" s="97">
        <v>4504.5</v>
      </c>
      <c r="AV1874" s="97">
        <v>4504.5</v>
      </c>
      <c r="AW1874" s="97">
        <v>4504.5</v>
      </c>
      <c r="AX1874" s="98">
        <v>4504.5</v>
      </c>
    </row>
    <row r="1875" spans="1:50" x14ac:dyDescent="0.25">
      <c r="A1875" s="356"/>
      <c r="B1875" s="359"/>
      <c r="C1875" s="361" t="s">
        <v>16</v>
      </c>
      <c r="D1875" s="2" t="s">
        <v>7</v>
      </c>
      <c r="E1875" s="160" t="str">
        <f>A1851&amp;"/"&amp;B1867&amp;"/"&amp;C1875&amp;"/"&amp;D1875</f>
        <v>Lignite fired power plants/Fluidized bed combustion/CHP with CCS/L</v>
      </c>
      <c r="F1875" s="76" t="str">
        <f>A1851</f>
        <v>Lignite fired power plants</v>
      </c>
      <c r="G1875" s="76" t="str">
        <f>B1867</f>
        <v>Fluidized bed combustion</v>
      </c>
      <c r="H1875" s="76" t="str">
        <f>C1875</f>
        <v>CHP with CCS</v>
      </c>
      <c r="I1875" s="161" t="str">
        <f t="shared" si="109"/>
        <v>L</v>
      </c>
      <c r="J1875" s="91" t="s">
        <v>112</v>
      </c>
      <c r="K1875" s="91" t="s">
        <v>112</v>
      </c>
      <c r="L1875" s="91" t="s">
        <v>112</v>
      </c>
      <c r="M1875" s="91" t="s">
        <v>112</v>
      </c>
      <c r="N1875" s="91" t="s">
        <v>112</v>
      </c>
      <c r="O1875" s="91" t="s">
        <v>112</v>
      </c>
      <c r="P1875" s="91" t="s">
        <v>112</v>
      </c>
      <c r="Q1875" s="91" t="s">
        <v>112</v>
      </c>
      <c r="R1875" s="91" t="s">
        <v>112</v>
      </c>
      <c r="S1875" s="91" t="s">
        <v>112</v>
      </c>
      <c r="T1875" s="91" t="s">
        <v>112</v>
      </c>
      <c r="U1875" s="91" t="s">
        <v>112</v>
      </c>
      <c r="V1875" s="91" t="s">
        <v>112</v>
      </c>
      <c r="W1875" s="91" t="s">
        <v>112</v>
      </c>
      <c r="X1875" s="91" t="s">
        <v>112</v>
      </c>
      <c r="Y1875" s="91" t="s">
        <v>112</v>
      </c>
      <c r="Z1875" s="91" t="s">
        <v>112</v>
      </c>
      <c r="AA1875" s="91" t="s">
        <v>112</v>
      </c>
      <c r="AB1875" s="91" t="s">
        <v>112</v>
      </c>
      <c r="AC1875" s="91" t="s">
        <v>112</v>
      </c>
      <c r="AD1875" s="91" t="s">
        <v>112</v>
      </c>
      <c r="AE1875" s="91">
        <v>5040</v>
      </c>
      <c r="AF1875" s="91">
        <v>5040</v>
      </c>
      <c r="AG1875" s="91">
        <v>5040</v>
      </c>
      <c r="AH1875" s="91">
        <v>5040</v>
      </c>
      <c r="AI1875" s="91">
        <v>5040</v>
      </c>
      <c r="AJ1875" s="91">
        <v>5040</v>
      </c>
      <c r="AK1875" s="91">
        <v>5040</v>
      </c>
      <c r="AL1875" s="91">
        <v>5040</v>
      </c>
      <c r="AM1875" s="91">
        <v>5040</v>
      </c>
      <c r="AN1875" s="91">
        <v>5040</v>
      </c>
      <c r="AO1875" s="91">
        <v>5040</v>
      </c>
      <c r="AP1875" s="91">
        <v>5040</v>
      </c>
      <c r="AQ1875" s="91">
        <v>5040</v>
      </c>
      <c r="AR1875" s="91">
        <v>5040</v>
      </c>
      <c r="AS1875" s="91">
        <v>5040</v>
      </c>
      <c r="AT1875" s="91">
        <v>5040</v>
      </c>
      <c r="AU1875" s="91">
        <v>5040</v>
      </c>
      <c r="AV1875" s="91">
        <v>5040</v>
      </c>
      <c r="AW1875" s="91">
        <v>5040</v>
      </c>
      <c r="AX1875" s="92">
        <v>5040</v>
      </c>
    </row>
    <row r="1876" spans="1:50" x14ac:dyDescent="0.25">
      <c r="A1876" s="356"/>
      <c r="B1876" s="362"/>
      <c r="C1876" s="354"/>
      <c r="D1876" s="4" t="s">
        <v>8</v>
      </c>
      <c r="E1876" s="168" t="str">
        <f>A1851&amp;"/"&amp;B1867&amp;"/"&amp;C1875&amp;"/"&amp;D1876</f>
        <v>Lignite fired power plants/Fluidized bed combustion/CHP with CCS/M</v>
      </c>
      <c r="F1876" s="80" t="str">
        <f>A1851</f>
        <v>Lignite fired power plants</v>
      </c>
      <c r="G1876" s="80" t="str">
        <f>B1867</f>
        <v>Fluidized bed combustion</v>
      </c>
      <c r="H1876" s="80" t="str">
        <f>C1875</f>
        <v>CHP with CCS</v>
      </c>
      <c r="I1876" s="169" t="str">
        <f t="shared" si="109"/>
        <v>M</v>
      </c>
      <c r="J1876" s="99" t="s">
        <v>112</v>
      </c>
      <c r="K1876" s="99" t="s">
        <v>112</v>
      </c>
      <c r="L1876" s="99" t="s">
        <v>112</v>
      </c>
      <c r="M1876" s="99" t="s">
        <v>112</v>
      </c>
      <c r="N1876" s="99" t="s">
        <v>112</v>
      </c>
      <c r="O1876" s="99" t="s">
        <v>112</v>
      </c>
      <c r="P1876" s="99" t="s">
        <v>112</v>
      </c>
      <c r="Q1876" s="99" t="s">
        <v>112</v>
      </c>
      <c r="R1876" s="99" t="s">
        <v>112</v>
      </c>
      <c r="S1876" s="99" t="s">
        <v>112</v>
      </c>
      <c r="T1876" s="99" t="s">
        <v>112</v>
      </c>
      <c r="U1876" s="99" t="s">
        <v>112</v>
      </c>
      <c r="V1876" s="99" t="s">
        <v>112</v>
      </c>
      <c r="W1876" s="99" t="s">
        <v>112</v>
      </c>
      <c r="X1876" s="99" t="s">
        <v>112</v>
      </c>
      <c r="Y1876" s="99" t="s">
        <v>112</v>
      </c>
      <c r="Z1876" s="99" t="s">
        <v>112</v>
      </c>
      <c r="AA1876" s="99" t="s">
        <v>112</v>
      </c>
      <c r="AB1876" s="99" t="s">
        <v>112</v>
      </c>
      <c r="AC1876" s="99" t="s">
        <v>112</v>
      </c>
      <c r="AD1876" s="99" t="s">
        <v>112</v>
      </c>
      <c r="AE1876" s="99">
        <v>3603.6</v>
      </c>
      <c r="AF1876" s="99">
        <v>3603.6</v>
      </c>
      <c r="AG1876" s="99">
        <v>3603.6</v>
      </c>
      <c r="AH1876" s="99">
        <v>3603.6</v>
      </c>
      <c r="AI1876" s="99">
        <v>3603.6</v>
      </c>
      <c r="AJ1876" s="99">
        <v>3603.6</v>
      </c>
      <c r="AK1876" s="99">
        <v>3603.6</v>
      </c>
      <c r="AL1876" s="99">
        <v>3603.6</v>
      </c>
      <c r="AM1876" s="99">
        <v>3603.6</v>
      </c>
      <c r="AN1876" s="99">
        <v>3603.6</v>
      </c>
      <c r="AO1876" s="99">
        <v>3603.6</v>
      </c>
      <c r="AP1876" s="99">
        <v>3603.6</v>
      </c>
      <c r="AQ1876" s="99">
        <v>3603.6</v>
      </c>
      <c r="AR1876" s="99">
        <v>3603.6</v>
      </c>
      <c r="AS1876" s="99">
        <v>3603.6</v>
      </c>
      <c r="AT1876" s="99">
        <v>3603.6</v>
      </c>
      <c r="AU1876" s="99">
        <v>3603.6</v>
      </c>
      <c r="AV1876" s="99">
        <v>3603.6</v>
      </c>
      <c r="AW1876" s="99">
        <v>3603.6</v>
      </c>
      <c r="AX1876" s="100">
        <v>3603.6</v>
      </c>
    </row>
    <row r="1877" spans="1:50" x14ac:dyDescent="0.25">
      <c r="A1877" s="356"/>
      <c r="B1877" s="358" t="s">
        <v>19</v>
      </c>
      <c r="C1877" s="353" t="s">
        <v>6</v>
      </c>
      <c r="D1877" s="3" t="s">
        <v>7</v>
      </c>
      <c r="E1877" s="162" t="str">
        <f>A1851&amp;"/"&amp;B1877&amp;"/"&amp;C1877&amp;"/"&amp;D1877</f>
        <v>Lignite fired power plants/Steam turbine/Electricity only/L</v>
      </c>
      <c r="F1877" s="77" t="str">
        <f>A1851</f>
        <v>Lignite fired power plants</v>
      </c>
      <c r="G1877" s="77" t="str">
        <f>B1877</f>
        <v>Steam turbine</v>
      </c>
      <c r="H1877" s="77" t="str">
        <f>C1877</f>
        <v>Electricity only</v>
      </c>
      <c r="I1877" s="163" t="str">
        <f t="shared" si="109"/>
        <v>L</v>
      </c>
      <c r="J1877" s="93">
        <v>6150</v>
      </c>
      <c r="K1877" s="93">
        <v>6150</v>
      </c>
      <c r="L1877" s="93">
        <v>6150</v>
      </c>
      <c r="M1877" s="93">
        <v>6150</v>
      </c>
      <c r="N1877" s="93">
        <v>6150</v>
      </c>
      <c r="O1877" s="93">
        <v>6150</v>
      </c>
      <c r="P1877" s="93">
        <v>6150</v>
      </c>
      <c r="Q1877" s="93">
        <v>6150</v>
      </c>
      <c r="R1877" s="93">
        <v>6150</v>
      </c>
      <c r="S1877" s="93">
        <v>6150</v>
      </c>
      <c r="T1877" s="93">
        <v>6150</v>
      </c>
      <c r="U1877" s="93">
        <v>6150</v>
      </c>
      <c r="V1877" s="93">
        <v>6150</v>
      </c>
      <c r="W1877" s="93">
        <v>6150</v>
      </c>
      <c r="X1877" s="93">
        <v>6150</v>
      </c>
      <c r="Y1877" s="93">
        <v>6150</v>
      </c>
      <c r="Z1877" s="93">
        <v>6150</v>
      </c>
      <c r="AA1877" s="93">
        <v>6150</v>
      </c>
      <c r="AB1877" s="93">
        <v>6150</v>
      </c>
      <c r="AC1877" s="93">
        <v>6150</v>
      </c>
      <c r="AD1877" s="93">
        <v>6150</v>
      </c>
      <c r="AE1877" s="93">
        <v>6150</v>
      </c>
      <c r="AF1877" s="93">
        <v>6150</v>
      </c>
      <c r="AG1877" s="93">
        <v>6150</v>
      </c>
      <c r="AH1877" s="93">
        <v>6150</v>
      </c>
      <c r="AI1877" s="93">
        <v>6150</v>
      </c>
      <c r="AJ1877" s="93">
        <v>6150</v>
      </c>
      <c r="AK1877" s="93">
        <v>6150</v>
      </c>
      <c r="AL1877" s="93">
        <v>6150</v>
      </c>
      <c r="AM1877" s="93">
        <v>6150</v>
      </c>
      <c r="AN1877" s="93">
        <v>6150</v>
      </c>
      <c r="AO1877" s="93">
        <v>6150</v>
      </c>
      <c r="AP1877" s="93">
        <v>6150</v>
      </c>
      <c r="AQ1877" s="93">
        <v>6150</v>
      </c>
      <c r="AR1877" s="93">
        <v>6150</v>
      </c>
      <c r="AS1877" s="93">
        <v>6150</v>
      </c>
      <c r="AT1877" s="93">
        <v>6150</v>
      </c>
      <c r="AU1877" s="93">
        <v>6150</v>
      </c>
      <c r="AV1877" s="93">
        <v>6150</v>
      </c>
      <c r="AW1877" s="93">
        <v>6150</v>
      </c>
      <c r="AX1877" s="94">
        <v>6150</v>
      </c>
    </row>
    <row r="1878" spans="1:50" x14ac:dyDescent="0.25">
      <c r="A1878" s="356"/>
      <c r="B1878" s="359"/>
      <c r="C1878" s="350"/>
      <c r="D1878" s="2" t="s">
        <v>8</v>
      </c>
      <c r="E1878" s="160" t="str">
        <f>A1851&amp;"/"&amp;B1877&amp;"/"&amp;C1877&amp;"/"&amp;D1878</f>
        <v>Lignite fired power plants/Steam turbine/Electricity only/M</v>
      </c>
      <c r="F1878" s="76" t="str">
        <f>A1851</f>
        <v>Lignite fired power plants</v>
      </c>
      <c r="G1878" s="76" t="str">
        <f>B1877</f>
        <v>Steam turbine</v>
      </c>
      <c r="H1878" s="76" t="str">
        <f>C1877</f>
        <v>Electricity only</v>
      </c>
      <c r="I1878" s="161" t="str">
        <f t="shared" si="109"/>
        <v>M</v>
      </c>
      <c r="J1878" s="91">
        <v>4920</v>
      </c>
      <c r="K1878" s="91">
        <v>4920</v>
      </c>
      <c r="L1878" s="91">
        <v>4920</v>
      </c>
      <c r="M1878" s="91">
        <v>4920</v>
      </c>
      <c r="N1878" s="91">
        <v>4920</v>
      </c>
      <c r="O1878" s="91">
        <v>4920</v>
      </c>
      <c r="P1878" s="91">
        <v>4920</v>
      </c>
      <c r="Q1878" s="91">
        <v>4920</v>
      </c>
      <c r="R1878" s="91">
        <v>4920</v>
      </c>
      <c r="S1878" s="91">
        <v>4920</v>
      </c>
      <c r="T1878" s="91">
        <v>4920</v>
      </c>
      <c r="U1878" s="91">
        <v>4920</v>
      </c>
      <c r="V1878" s="91">
        <v>4920</v>
      </c>
      <c r="W1878" s="91">
        <v>4920</v>
      </c>
      <c r="X1878" s="91">
        <v>4920</v>
      </c>
      <c r="Y1878" s="91">
        <v>4920</v>
      </c>
      <c r="Z1878" s="91">
        <v>4920</v>
      </c>
      <c r="AA1878" s="91">
        <v>4920</v>
      </c>
      <c r="AB1878" s="91">
        <v>4920</v>
      </c>
      <c r="AC1878" s="91">
        <v>4920</v>
      </c>
      <c r="AD1878" s="91">
        <v>4920</v>
      </c>
      <c r="AE1878" s="91">
        <v>4920</v>
      </c>
      <c r="AF1878" s="91">
        <v>4920</v>
      </c>
      <c r="AG1878" s="91">
        <v>4920</v>
      </c>
      <c r="AH1878" s="91">
        <v>4920</v>
      </c>
      <c r="AI1878" s="91">
        <v>4920</v>
      </c>
      <c r="AJ1878" s="91">
        <v>4920</v>
      </c>
      <c r="AK1878" s="91">
        <v>4920</v>
      </c>
      <c r="AL1878" s="91">
        <v>4920</v>
      </c>
      <c r="AM1878" s="91">
        <v>4920</v>
      </c>
      <c r="AN1878" s="91">
        <v>4920</v>
      </c>
      <c r="AO1878" s="91">
        <v>4920</v>
      </c>
      <c r="AP1878" s="91">
        <v>4920</v>
      </c>
      <c r="AQ1878" s="91">
        <v>4920</v>
      </c>
      <c r="AR1878" s="91">
        <v>4920</v>
      </c>
      <c r="AS1878" s="91">
        <v>4920</v>
      </c>
      <c r="AT1878" s="91">
        <v>4920</v>
      </c>
      <c r="AU1878" s="91">
        <v>4920</v>
      </c>
      <c r="AV1878" s="91">
        <v>4920</v>
      </c>
      <c r="AW1878" s="91">
        <v>4920</v>
      </c>
      <c r="AX1878" s="92">
        <v>4920</v>
      </c>
    </row>
    <row r="1879" spans="1:50" x14ac:dyDescent="0.25">
      <c r="A1879" s="356"/>
      <c r="B1879" s="359"/>
      <c r="C1879" s="350"/>
      <c r="D1879" s="2" t="s">
        <v>10</v>
      </c>
      <c r="E1879" s="160" t="str">
        <f>A1851&amp;"/"&amp;B1877&amp;"/"&amp;C1877&amp;"/"&amp;D1879</f>
        <v>Lignite fired power plants/Steam turbine/Electricity only/S</v>
      </c>
      <c r="F1879" s="76" t="str">
        <f>A1851</f>
        <v>Lignite fired power plants</v>
      </c>
      <c r="G1879" s="76" t="str">
        <f>B1877</f>
        <v>Steam turbine</v>
      </c>
      <c r="H1879" s="76" t="str">
        <f>C1877</f>
        <v>Electricity only</v>
      </c>
      <c r="I1879" s="161" t="str">
        <f t="shared" si="109"/>
        <v>S</v>
      </c>
      <c r="J1879" s="91">
        <v>3690</v>
      </c>
      <c r="K1879" s="91">
        <v>3690</v>
      </c>
      <c r="L1879" s="91">
        <v>3690</v>
      </c>
      <c r="M1879" s="91">
        <v>3690</v>
      </c>
      <c r="N1879" s="91">
        <v>3690</v>
      </c>
      <c r="O1879" s="91">
        <v>3690</v>
      </c>
      <c r="P1879" s="91">
        <v>3690</v>
      </c>
      <c r="Q1879" s="91">
        <v>3690</v>
      </c>
      <c r="R1879" s="91">
        <v>3690</v>
      </c>
      <c r="S1879" s="91">
        <v>3690</v>
      </c>
      <c r="T1879" s="91">
        <v>3690</v>
      </c>
      <c r="U1879" s="91">
        <v>3690</v>
      </c>
      <c r="V1879" s="91">
        <v>3690</v>
      </c>
      <c r="W1879" s="91">
        <v>3690</v>
      </c>
      <c r="X1879" s="91">
        <v>3690</v>
      </c>
      <c r="Y1879" s="91">
        <v>3690</v>
      </c>
      <c r="Z1879" s="91">
        <v>3690</v>
      </c>
      <c r="AA1879" s="91">
        <v>3690</v>
      </c>
      <c r="AB1879" s="91">
        <v>3690</v>
      </c>
      <c r="AC1879" s="91">
        <v>3690</v>
      </c>
      <c r="AD1879" s="91">
        <v>3690</v>
      </c>
      <c r="AE1879" s="91">
        <v>3690</v>
      </c>
      <c r="AF1879" s="91">
        <v>3690</v>
      </c>
      <c r="AG1879" s="91">
        <v>3690</v>
      </c>
      <c r="AH1879" s="91">
        <v>3690</v>
      </c>
      <c r="AI1879" s="91">
        <v>3690</v>
      </c>
      <c r="AJ1879" s="91">
        <v>3690</v>
      </c>
      <c r="AK1879" s="91">
        <v>3690</v>
      </c>
      <c r="AL1879" s="91">
        <v>3690</v>
      </c>
      <c r="AM1879" s="91">
        <v>3690</v>
      </c>
      <c r="AN1879" s="91">
        <v>3690</v>
      </c>
      <c r="AO1879" s="91">
        <v>3690</v>
      </c>
      <c r="AP1879" s="91">
        <v>3690</v>
      </c>
      <c r="AQ1879" s="91">
        <v>3690</v>
      </c>
      <c r="AR1879" s="91">
        <v>3690</v>
      </c>
      <c r="AS1879" s="91">
        <v>3690</v>
      </c>
      <c r="AT1879" s="91">
        <v>3690</v>
      </c>
      <c r="AU1879" s="91">
        <v>3690</v>
      </c>
      <c r="AV1879" s="91">
        <v>3690</v>
      </c>
      <c r="AW1879" s="91">
        <v>3690</v>
      </c>
      <c r="AX1879" s="92">
        <v>3690</v>
      </c>
    </row>
    <row r="1880" spans="1:50" x14ac:dyDescent="0.25">
      <c r="A1880" s="356"/>
      <c r="B1880" s="359"/>
      <c r="C1880" s="360"/>
      <c r="D1880" s="2" t="s">
        <v>20</v>
      </c>
      <c r="E1880" s="160" t="str">
        <f>A1851&amp;"/"&amp;B1877&amp;"/"&amp;C1877&amp;"/"&amp;D1880</f>
        <v>Lignite fired power plants/Steam turbine/Electricity only/XS</v>
      </c>
      <c r="F1880" s="76" t="str">
        <f>A1851</f>
        <v>Lignite fired power plants</v>
      </c>
      <c r="G1880" s="76" t="str">
        <f>B1877</f>
        <v>Steam turbine</v>
      </c>
      <c r="H1880" s="76" t="str">
        <f>C1877</f>
        <v>Electricity only</v>
      </c>
      <c r="I1880" s="161" t="str">
        <f t="shared" si="109"/>
        <v>XS</v>
      </c>
      <c r="J1880" s="91">
        <v>3136.5</v>
      </c>
      <c r="K1880" s="91">
        <v>3136.5</v>
      </c>
      <c r="L1880" s="91">
        <v>3136.5</v>
      </c>
      <c r="M1880" s="91">
        <v>3136.5</v>
      </c>
      <c r="N1880" s="91">
        <v>3136.5</v>
      </c>
      <c r="O1880" s="91">
        <v>3136.5</v>
      </c>
      <c r="P1880" s="91">
        <v>3136.5</v>
      </c>
      <c r="Q1880" s="91">
        <v>3136.5</v>
      </c>
      <c r="R1880" s="91">
        <v>3136.5</v>
      </c>
      <c r="S1880" s="91">
        <v>3136.5</v>
      </c>
      <c r="T1880" s="91">
        <v>3136.5</v>
      </c>
      <c r="U1880" s="91">
        <v>3136.5</v>
      </c>
      <c r="V1880" s="91">
        <v>3136.5</v>
      </c>
      <c r="W1880" s="91">
        <v>3136.5</v>
      </c>
      <c r="X1880" s="91">
        <v>3136.5</v>
      </c>
      <c r="Y1880" s="91">
        <v>3136.5</v>
      </c>
      <c r="Z1880" s="91">
        <v>3136.5</v>
      </c>
      <c r="AA1880" s="91">
        <v>3136.5</v>
      </c>
      <c r="AB1880" s="91">
        <v>3136.5</v>
      </c>
      <c r="AC1880" s="91">
        <v>3136.5</v>
      </c>
      <c r="AD1880" s="91">
        <v>3136.5</v>
      </c>
      <c r="AE1880" s="91">
        <v>3136.5</v>
      </c>
      <c r="AF1880" s="91">
        <v>3136.5</v>
      </c>
      <c r="AG1880" s="91">
        <v>3136.5</v>
      </c>
      <c r="AH1880" s="91">
        <v>3136.5</v>
      </c>
      <c r="AI1880" s="91">
        <v>3136.5</v>
      </c>
      <c r="AJ1880" s="91">
        <v>3136.5</v>
      </c>
      <c r="AK1880" s="91">
        <v>3136.5</v>
      </c>
      <c r="AL1880" s="91">
        <v>3136.5</v>
      </c>
      <c r="AM1880" s="91">
        <v>3136.5</v>
      </c>
      <c r="AN1880" s="91">
        <v>3136.5</v>
      </c>
      <c r="AO1880" s="91">
        <v>3136.5</v>
      </c>
      <c r="AP1880" s="91">
        <v>3136.5</v>
      </c>
      <c r="AQ1880" s="91">
        <v>3136.5</v>
      </c>
      <c r="AR1880" s="91">
        <v>3136.5</v>
      </c>
      <c r="AS1880" s="91">
        <v>3136.5</v>
      </c>
      <c r="AT1880" s="91">
        <v>3136.5</v>
      </c>
      <c r="AU1880" s="91">
        <v>3136.5</v>
      </c>
      <c r="AV1880" s="91">
        <v>3136.5</v>
      </c>
      <c r="AW1880" s="91">
        <v>3136.5</v>
      </c>
      <c r="AX1880" s="92">
        <v>3136.5</v>
      </c>
    </row>
    <row r="1881" spans="1:50" x14ac:dyDescent="0.25">
      <c r="A1881" s="356"/>
      <c r="B1881" s="359"/>
      <c r="C1881" s="361" t="s">
        <v>14</v>
      </c>
      <c r="D1881" s="58" t="s">
        <v>7</v>
      </c>
      <c r="E1881" s="164" t="str">
        <f>A1851&amp;"/"&amp;B1877&amp;"/"&amp;C1881&amp;"/"&amp;D1881</f>
        <v>Lignite fired power plants/Steam turbine/CHP/L</v>
      </c>
      <c r="F1881" s="78" t="str">
        <f>A1851</f>
        <v>Lignite fired power plants</v>
      </c>
      <c r="G1881" s="78" t="str">
        <f>B1877</f>
        <v>Steam turbine</v>
      </c>
      <c r="H1881" s="78" t="str">
        <f>C1881</f>
        <v>CHP</v>
      </c>
      <c r="I1881" s="165" t="str">
        <f t="shared" si="109"/>
        <v>L</v>
      </c>
      <c r="J1881" s="95">
        <v>5535</v>
      </c>
      <c r="K1881" s="95">
        <v>5535</v>
      </c>
      <c r="L1881" s="95">
        <v>5535</v>
      </c>
      <c r="M1881" s="95">
        <v>5535</v>
      </c>
      <c r="N1881" s="95">
        <v>5535</v>
      </c>
      <c r="O1881" s="95">
        <v>5535</v>
      </c>
      <c r="P1881" s="95">
        <v>5535</v>
      </c>
      <c r="Q1881" s="95">
        <v>5535</v>
      </c>
      <c r="R1881" s="95">
        <v>5535</v>
      </c>
      <c r="S1881" s="95">
        <v>5535</v>
      </c>
      <c r="T1881" s="95">
        <v>5535</v>
      </c>
      <c r="U1881" s="95">
        <v>5535</v>
      </c>
      <c r="V1881" s="95">
        <v>5535</v>
      </c>
      <c r="W1881" s="95">
        <v>5535</v>
      </c>
      <c r="X1881" s="95">
        <v>5535</v>
      </c>
      <c r="Y1881" s="95">
        <v>5535</v>
      </c>
      <c r="Z1881" s="95">
        <v>5535</v>
      </c>
      <c r="AA1881" s="95">
        <v>5535</v>
      </c>
      <c r="AB1881" s="95">
        <v>5535</v>
      </c>
      <c r="AC1881" s="95">
        <v>5535</v>
      </c>
      <c r="AD1881" s="95">
        <v>5535</v>
      </c>
      <c r="AE1881" s="95">
        <v>5535</v>
      </c>
      <c r="AF1881" s="95">
        <v>5535</v>
      </c>
      <c r="AG1881" s="95">
        <v>5535</v>
      </c>
      <c r="AH1881" s="95">
        <v>5535</v>
      </c>
      <c r="AI1881" s="95">
        <v>5535</v>
      </c>
      <c r="AJ1881" s="95">
        <v>5535</v>
      </c>
      <c r="AK1881" s="95">
        <v>5535</v>
      </c>
      <c r="AL1881" s="95">
        <v>5535</v>
      </c>
      <c r="AM1881" s="95">
        <v>5535</v>
      </c>
      <c r="AN1881" s="95">
        <v>5535</v>
      </c>
      <c r="AO1881" s="95">
        <v>5535</v>
      </c>
      <c r="AP1881" s="95">
        <v>5535</v>
      </c>
      <c r="AQ1881" s="95">
        <v>5535</v>
      </c>
      <c r="AR1881" s="95">
        <v>5535</v>
      </c>
      <c r="AS1881" s="95">
        <v>5535</v>
      </c>
      <c r="AT1881" s="95">
        <v>5535</v>
      </c>
      <c r="AU1881" s="95">
        <v>5535</v>
      </c>
      <c r="AV1881" s="95">
        <v>5535</v>
      </c>
      <c r="AW1881" s="95">
        <v>5535</v>
      </c>
      <c r="AX1881" s="96">
        <v>5535</v>
      </c>
    </row>
    <row r="1882" spans="1:50" x14ac:dyDescent="0.25">
      <c r="A1882" s="356"/>
      <c r="B1882" s="359"/>
      <c r="C1882" s="350"/>
      <c r="D1882" s="2" t="s">
        <v>8</v>
      </c>
      <c r="E1882" s="160" t="str">
        <f>A1851&amp;"/"&amp;B1877&amp;"/"&amp;C1881&amp;"/"&amp;D1882</f>
        <v>Lignite fired power plants/Steam turbine/CHP/M</v>
      </c>
      <c r="F1882" s="76" t="str">
        <f>A1851</f>
        <v>Lignite fired power plants</v>
      </c>
      <c r="G1882" s="76" t="str">
        <f>B1877</f>
        <v>Steam turbine</v>
      </c>
      <c r="H1882" s="76" t="str">
        <f>C1881</f>
        <v>CHP</v>
      </c>
      <c r="I1882" s="161" t="str">
        <f t="shared" si="109"/>
        <v>M</v>
      </c>
      <c r="J1882" s="91">
        <v>4428</v>
      </c>
      <c r="K1882" s="91">
        <v>4428</v>
      </c>
      <c r="L1882" s="91">
        <v>4428</v>
      </c>
      <c r="M1882" s="91">
        <v>4428</v>
      </c>
      <c r="N1882" s="91">
        <v>4428</v>
      </c>
      <c r="O1882" s="91">
        <v>4428</v>
      </c>
      <c r="P1882" s="91">
        <v>4428</v>
      </c>
      <c r="Q1882" s="91">
        <v>4428</v>
      </c>
      <c r="R1882" s="91">
        <v>4428</v>
      </c>
      <c r="S1882" s="91">
        <v>4428</v>
      </c>
      <c r="T1882" s="91">
        <v>4428</v>
      </c>
      <c r="U1882" s="91">
        <v>4428</v>
      </c>
      <c r="V1882" s="91">
        <v>4428</v>
      </c>
      <c r="W1882" s="91">
        <v>4428</v>
      </c>
      <c r="X1882" s="91">
        <v>4428</v>
      </c>
      <c r="Y1882" s="91">
        <v>4428</v>
      </c>
      <c r="Z1882" s="91">
        <v>4428</v>
      </c>
      <c r="AA1882" s="91">
        <v>4428</v>
      </c>
      <c r="AB1882" s="91">
        <v>4428</v>
      </c>
      <c r="AC1882" s="91">
        <v>4428</v>
      </c>
      <c r="AD1882" s="91">
        <v>4428</v>
      </c>
      <c r="AE1882" s="91">
        <v>4428</v>
      </c>
      <c r="AF1882" s="91">
        <v>4428</v>
      </c>
      <c r="AG1882" s="91">
        <v>4428</v>
      </c>
      <c r="AH1882" s="91">
        <v>4428</v>
      </c>
      <c r="AI1882" s="91">
        <v>4428</v>
      </c>
      <c r="AJ1882" s="91">
        <v>4428</v>
      </c>
      <c r="AK1882" s="91">
        <v>4428</v>
      </c>
      <c r="AL1882" s="91">
        <v>4428</v>
      </c>
      <c r="AM1882" s="91">
        <v>4428</v>
      </c>
      <c r="AN1882" s="91">
        <v>4428</v>
      </c>
      <c r="AO1882" s="91">
        <v>4428</v>
      </c>
      <c r="AP1882" s="91">
        <v>4428</v>
      </c>
      <c r="AQ1882" s="91">
        <v>4428</v>
      </c>
      <c r="AR1882" s="91">
        <v>4428</v>
      </c>
      <c r="AS1882" s="91">
        <v>4428</v>
      </c>
      <c r="AT1882" s="91">
        <v>4428</v>
      </c>
      <c r="AU1882" s="91">
        <v>4428</v>
      </c>
      <c r="AV1882" s="91">
        <v>4428</v>
      </c>
      <c r="AW1882" s="91">
        <v>4428</v>
      </c>
      <c r="AX1882" s="92">
        <v>4428</v>
      </c>
    </row>
    <row r="1883" spans="1:50" x14ac:dyDescent="0.25">
      <c r="A1883" s="356"/>
      <c r="B1883" s="359"/>
      <c r="C1883" s="350"/>
      <c r="D1883" s="2" t="s">
        <v>10</v>
      </c>
      <c r="E1883" s="160" t="str">
        <f>A1851&amp;"/"&amp;B1877&amp;"/"&amp;C1881&amp;"/"&amp;D1883</f>
        <v>Lignite fired power plants/Steam turbine/CHP/S</v>
      </c>
      <c r="F1883" s="76" t="str">
        <f>A1851</f>
        <v>Lignite fired power plants</v>
      </c>
      <c r="G1883" s="76" t="str">
        <f>B1877</f>
        <v>Steam turbine</v>
      </c>
      <c r="H1883" s="76" t="str">
        <f>C1881</f>
        <v>CHP</v>
      </c>
      <c r="I1883" s="161" t="str">
        <f t="shared" si="109"/>
        <v>S</v>
      </c>
      <c r="J1883" s="91">
        <v>3321</v>
      </c>
      <c r="K1883" s="91">
        <v>3321</v>
      </c>
      <c r="L1883" s="91">
        <v>3321</v>
      </c>
      <c r="M1883" s="91">
        <v>3321</v>
      </c>
      <c r="N1883" s="91">
        <v>3321</v>
      </c>
      <c r="O1883" s="91">
        <v>3321</v>
      </c>
      <c r="P1883" s="91">
        <v>3321</v>
      </c>
      <c r="Q1883" s="91">
        <v>3321</v>
      </c>
      <c r="R1883" s="91">
        <v>3321</v>
      </c>
      <c r="S1883" s="91">
        <v>3321</v>
      </c>
      <c r="T1883" s="91">
        <v>3321</v>
      </c>
      <c r="U1883" s="91">
        <v>3321</v>
      </c>
      <c r="V1883" s="91">
        <v>3321</v>
      </c>
      <c r="W1883" s="91">
        <v>3321</v>
      </c>
      <c r="X1883" s="91">
        <v>3321</v>
      </c>
      <c r="Y1883" s="91">
        <v>3321</v>
      </c>
      <c r="Z1883" s="91">
        <v>3321</v>
      </c>
      <c r="AA1883" s="91">
        <v>3321</v>
      </c>
      <c r="AB1883" s="91">
        <v>3321</v>
      </c>
      <c r="AC1883" s="91">
        <v>3321</v>
      </c>
      <c r="AD1883" s="91">
        <v>3321</v>
      </c>
      <c r="AE1883" s="91">
        <v>3321</v>
      </c>
      <c r="AF1883" s="91">
        <v>3321</v>
      </c>
      <c r="AG1883" s="91">
        <v>3321</v>
      </c>
      <c r="AH1883" s="91">
        <v>3321</v>
      </c>
      <c r="AI1883" s="91">
        <v>3321</v>
      </c>
      <c r="AJ1883" s="91">
        <v>3321</v>
      </c>
      <c r="AK1883" s="91">
        <v>3321</v>
      </c>
      <c r="AL1883" s="91">
        <v>3321</v>
      </c>
      <c r="AM1883" s="91">
        <v>3321</v>
      </c>
      <c r="AN1883" s="91">
        <v>3321</v>
      </c>
      <c r="AO1883" s="91">
        <v>3321</v>
      </c>
      <c r="AP1883" s="91">
        <v>3321</v>
      </c>
      <c r="AQ1883" s="91">
        <v>3321</v>
      </c>
      <c r="AR1883" s="91">
        <v>3321</v>
      </c>
      <c r="AS1883" s="91">
        <v>3321</v>
      </c>
      <c r="AT1883" s="91">
        <v>3321</v>
      </c>
      <c r="AU1883" s="91">
        <v>3321</v>
      </c>
      <c r="AV1883" s="91">
        <v>3321</v>
      </c>
      <c r="AW1883" s="91">
        <v>3321</v>
      </c>
      <c r="AX1883" s="92">
        <v>3321</v>
      </c>
    </row>
    <row r="1884" spans="1:50" x14ac:dyDescent="0.25">
      <c r="A1884" s="356"/>
      <c r="B1884" s="359"/>
      <c r="C1884" s="360"/>
      <c r="D1884" s="59" t="s">
        <v>20</v>
      </c>
      <c r="E1884" s="166" t="str">
        <f>A1851&amp;"/"&amp;B1877&amp;"/"&amp;C1881&amp;"/"&amp;D1884</f>
        <v>Lignite fired power plants/Steam turbine/CHP/XS</v>
      </c>
      <c r="F1884" s="79" t="str">
        <f>A1851</f>
        <v>Lignite fired power plants</v>
      </c>
      <c r="G1884" s="79" t="str">
        <f>B1877</f>
        <v>Steam turbine</v>
      </c>
      <c r="H1884" s="79" t="str">
        <f>C1881</f>
        <v>CHP</v>
      </c>
      <c r="I1884" s="167" t="str">
        <f t="shared" si="109"/>
        <v>XS</v>
      </c>
      <c r="J1884" s="97">
        <v>2822.85</v>
      </c>
      <c r="K1884" s="97">
        <v>2822.85</v>
      </c>
      <c r="L1884" s="97">
        <v>2822.85</v>
      </c>
      <c r="M1884" s="97">
        <v>2822.85</v>
      </c>
      <c r="N1884" s="97">
        <v>2822.85</v>
      </c>
      <c r="O1884" s="97">
        <v>2822.85</v>
      </c>
      <c r="P1884" s="97">
        <v>2822.85</v>
      </c>
      <c r="Q1884" s="97">
        <v>2822.85</v>
      </c>
      <c r="R1884" s="97">
        <v>2822.85</v>
      </c>
      <c r="S1884" s="97">
        <v>2822.85</v>
      </c>
      <c r="T1884" s="97">
        <v>2822.85</v>
      </c>
      <c r="U1884" s="97">
        <v>2822.85</v>
      </c>
      <c r="V1884" s="97">
        <v>2822.85</v>
      </c>
      <c r="W1884" s="97">
        <v>2822.85</v>
      </c>
      <c r="X1884" s="97">
        <v>2822.85</v>
      </c>
      <c r="Y1884" s="97">
        <v>2822.85</v>
      </c>
      <c r="Z1884" s="97">
        <v>2822.85</v>
      </c>
      <c r="AA1884" s="97">
        <v>2822.85</v>
      </c>
      <c r="AB1884" s="97">
        <v>2822.85</v>
      </c>
      <c r="AC1884" s="97">
        <v>2822.85</v>
      </c>
      <c r="AD1884" s="97">
        <v>2822.85</v>
      </c>
      <c r="AE1884" s="97">
        <v>2822.85</v>
      </c>
      <c r="AF1884" s="97">
        <v>2822.85</v>
      </c>
      <c r="AG1884" s="97">
        <v>2822.85</v>
      </c>
      <c r="AH1884" s="97">
        <v>2822.85</v>
      </c>
      <c r="AI1884" s="97">
        <v>2822.85</v>
      </c>
      <c r="AJ1884" s="97">
        <v>2822.85</v>
      </c>
      <c r="AK1884" s="97">
        <v>2822.85</v>
      </c>
      <c r="AL1884" s="97">
        <v>2822.85</v>
      </c>
      <c r="AM1884" s="97">
        <v>2822.85</v>
      </c>
      <c r="AN1884" s="97">
        <v>2822.85</v>
      </c>
      <c r="AO1884" s="97">
        <v>2822.85</v>
      </c>
      <c r="AP1884" s="97">
        <v>2822.85</v>
      </c>
      <c r="AQ1884" s="97">
        <v>2822.85</v>
      </c>
      <c r="AR1884" s="97">
        <v>2822.85</v>
      </c>
      <c r="AS1884" s="97">
        <v>2822.85</v>
      </c>
      <c r="AT1884" s="97">
        <v>2822.85</v>
      </c>
      <c r="AU1884" s="97">
        <v>2822.85</v>
      </c>
      <c r="AV1884" s="97">
        <v>2822.85</v>
      </c>
      <c r="AW1884" s="97">
        <v>2822.85</v>
      </c>
      <c r="AX1884" s="98">
        <v>2822.85</v>
      </c>
    </row>
    <row r="1885" spans="1:50" x14ac:dyDescent="0.25">
      <c r="A1885" s="356"/>
      <c r="B1885" s="359"/>
      <c r="C1885" s="361" t="s">
        <v>15</v>
      </c>
      <c r="D1885" s="58" t="s">
        <v>7</v>
      </c>
      <c r="E1885" s="164" t="str">
        <f>A1851&amp;"/"&amp;B1877&amp;"/"&amp;C1885&amp;"/"&amp;D1885</f>
        <v>Lignite fired power plants/Steam turbine/Electricity only with CCS/L</v>
      </c>
      <c r="F1885" s="78" t="str">
        <f>A1851</f>
        <v>Lignite fired power plants</v>
      </c>
      <c r="G1885" s="78" t="str">
        <f>B1877</f>
        <v>Steam turbine</v>
      </c>
      <c r="H1885" s="78" t="str">
        <f>C1885</f>
        <v>Electricity only with CCS</v>
      </c>
      <c r="I1885" s="165" t="str">
        <f t="shared" si="109"/>
        <v>L</v>
      </c>
      <c r="J1885" s="95" t="s">
        <v>112</v>
      </c>
      <c r="K1885" s="95" t="s">
        <v>112</v>
      </c>
      <c r="L1885" s="95" t="s">
        <v>112</v>
      </c>
      <c r="M1885" s="95" t="s">
        <v>112</v>
      </c>
      <c r="N1885" s="95" t="s">
        <v>112</v>
      </c>
      <c r="O1885" s="95" t="s">
        <v>112</v>
      </c>
      <c r="P1885" s="95" t="s">
        <v>112</v>
      </c>
      <c r="Q1885" s="95" t="s">
        <v>112</v>
      </c>
      <c r="R1885" s="95" t="s">
        <v>112</v>
      </c>
      <c r="S1885" s="95" t="s">
        <v>112</v>
      </c>
      <c r="T1885" s="95" t="s">
        <v>112</v>
      </c>
      <c r="U1885" s="95" t="s">
        <v>112</v>
      </c>
      <c r="V1885" s="95" t="s">
        <v>112</v>
      </c>
      <c r="W1885" s="95" t="s">
        <v>112</v>
      </c>
      <c r="X1885" s="95" t="s">
        <v>112</v>
      </c>
      <c r="Y1885" s="95" t="s">
        <v>112</v>
      </c>
      <c r="Z1885" s="95" t="s">
        <v>112</v>
      </c>
      <c r="AA1885" s="95" t="s">
        <v>112</v>
      </c>
      <c r="AB1885" s="95" t="s">
        <v>112</v>
      </c>
      <c r="AC1885" s="95" t="s">
        <v>112</v>
      </c>
      <c r="AD1885" s="95" t="s">
        <v>112</v>
      </c>
      <c r="AE1885" s="95">
        <v>6150</v>
      </c>
      <c r="AF1885" s="95">
        <v>6150</v>
      </c>
      <c r="AG1885" s="95">
        <v>6150</v>
      </c>
      <c r="AH1885" s="95">
        <v>6150</v>
      </c>
      <c r="AI1885" s="95">
        <v>6150</v>
      </c>
      <c r="AJ1885" s="95">
        <v>6150</v>
      </c>
      <c r="AK1885" s="95">
        <v>6150</v>
      </c>
      <c r="AL1885" s="95">
        <v>6150</v>
      </c>
      <c r="AM1885" s="95">
        <v>6150</v>
      </c>
      <c r="AN1885" s="95">
        <v>6150</v>
      </c>
      <c r="AO1885" s="95">
        <v>6150</v>
      </c>
      <c r="AP1885" s="95">
        <v>6150</v>
      </c>
      <c r="AQ1885" s="95">
        <v>6150</v>
      </c>
      <c r="AR1885" s="95">
        <v>6150</v>
      </c>
      <c r="AS1885" s="95">
        <v>6150</v>
      </c>
      <c r="AT1885" s="95">
        <v>6150</v>
      </c>
      <c r="AU1885" s="95">
        <v>6150</v>
      </c>
      <c r="AV1885" s="95">
        <v>6150</v>
      </c>
      <c r="AW1885" s="95">
        <v>6150</v>
      </c>
      <c r="AX1885" s="96">
        <v>6150</v>
      </c>
    </row>
    <row r="1886" spans="1:50" x14ac:dyDescent="0.25">
      <c r="A1886" s="356"/>
      <c r="B1886" s="359"/>
      <c r="C1886" s="360"/>
      <c r="D1886" s="59" t="s">
        <v>8</v>
      </c>
      <c r="E1886" s="166" t="str">
        <f>A1851&amp;"/"&amp;B1877&amp;"/"&amp;C1885&amp;"/"&amp;D1886</f>
        <v>Lignite fired power plants/Steam turbine/Electricity only with CCS/M</v>
      </c>
      <c r="F1886" s="79" t="str">
        <f>A1851</f>
        <v>Lignite fired power plants</v>
      </c>
      <c r="G1886" s="79" t="str">
        <f>B1877</f>
        <v>Steam turbine</v>
      </c>
      <c r="H1886" s="79" t="str">
        <f>C1885</f>
        <v>Electricity only with CCS</v>
      </c>
      <c r="I1886" s="167" t="str">
        <f t="shared" si="109"/>
        <v>M</v>
      </c>
      <c r="J1886" s="97" t="s">
        <v>112</v>
      </c>
      <c r="K1886" s="97" t="s">
        <v>112</v>
      </c>
      <c r="L1886" s="97" t="s">
        <v>112</v>
      </c>
      <c r="M1886" s="97" t="s">
        <v>112</v>
      </c>
      <c r="N1886" s="97" t="s">
        <v>112</v>
      </c>
      <c r="O1886" s="97" t="s">
        <v>112</v>
      </c>
      <c r="P1886" s="97" t="s">
        <v>112</v>
      </c>
      <c r="Q1886" s="97" t="s">
        <v>112</v>
      </c>
      <c r="R1886" s="97" t="s">
        <v>112</v>
      </c>
      <c r="S1886" s="97" t="s">
        <v>112</v>
      </c>
      <c r="T1886" s="97" t="s">
        <v>112</v>
      </c>
      <c r="U1886" s="97" t="s">
        <v>112</v>
      </c>
      <c r="V1886" s="97" t="s">
        <v>112</v>
      </c>
      <c r="W1886" s="97" t="s">
        <v>112</v>
      </c>
      <c r="X1886" s="97" t="s">
        <v>112</v>
      </c>
      <c r="Y1886" s="97" t="s">
        <v>112</v>
      </c>
      <c r="Z1886" s="97" t="s">
        <v>112</v>
      </c>
      <c r="AA1886" s="97" t="s">
        <v>112</v>
      </c>
      <c r="AB1886" s="97" t="s">
        <v>112</v>
      </c>
      <c r="AC1886" s="97" t="s">
        <v>112</v>
      </c>
      <c r="AD1886" s="97" t="s">
        <v>112</v>
      </c>
      <c r="AE1886" s="97">
        <v>4920</v>
      </c>
      <c r="AF1886" s="97">
        <v>4920</v>
      </c>
      <c r="AG1886" s="97">
        <v>4920</v>
      </c>
      <c r="AH1886" s="97">
        <v>4920</v>
      </c>
      <c r="AI1886" s="97">
        <v>4920</v>
      </c>
      <c r="AJ1886" s="97">
        <v>4920</v>
      </c>
      <c r="AK1886" s="97">
        <v>4920</v>
      </c>
      <c r="AL1886" s="97">
        <v>4920</v>
      </c>
      <c r="AM1886" s="97">
        <v>4920</v>
      </c>
      <c r="AN1886" s="97">
        <v>4920</v>
      </c>
      <c r="AO1886" s="97">
        <v>4920</v>
      </c>
      <c r="AP1886" s="97">
        <v>4920</v>
      </c>
      <c r="AQ1886" s="97">
        <v>4920</v>
      </c>
      <c r="AR1886" s="97">
        <v>4920</v>
      </c>
      <c r="AS1886" s="97">
        <v>4920</v>
      </c>
      <c r="AT1886" s="97">
        <v>4920</v>
      </c>
      <c r="AU1886" s="97">
        <v>4920</v>
      </c>
      <c r="AV1886" s="97">
        <v>4920</v>
      </c>
      <c r="AW1886" s="97">
        <v>4920</v>
      </c>
      <c r="AX1886" s="98">
        <v>4920</v>
      </c>
    </row>
    <row r="1887" spans="1:50" x14ac:dyDescent="0.25">
      <c r="A1887" s="356"/>
      <c r="B1887" s="359"/>
      <c r="C1887" s="361" t="s">
        <v>16</v>
      </c>
      <c r="D1887" s="2" t="s">
        <v>7</v>
      </c>
      <c r="E1887" s="160" t="str">
        <f>A1851&amp;"/"&amp;B1877&amp;"/"&amp;C1887&amp;"/"&amp;D1887</f>
        <v>Lignite fired power plants/Steam turbine/CHP with CCS/L</v>
      </c>
      <c r="F1887" s="76" t="str">
        <f>A1851</f>
        <v>Lignite fired power plants</v>
      </c>
      <c r="G1887" s="76" t="str">
        <f>B1877</f>
        <v>Steam turbine</v>
      </c>
      <c r="H1887" s="76" t="str">
        <f>C1887</f>
        <v>CHP with CCS</v>
      </c>
      <c r="I1887" s="161" t="str">
        <f t="shared" si="109"/>
        <v>L</v>
      </c>
      <c r="J1887" s="91" t="s">
        <v>112</v>
      </c>
      <c r="K1887" s="91" t="s">
        <v>112</v>
      </c>
      <c r="L1887" s="91" t="s">
        <v>112</v>
      </c>
      <c r="M1887" s="91" t="s">
        <v>112</v>
      </c>
      <c r="N1887" s="91" t="s">
        <v>112</v>
      </c>
      <c r="O1887" s="91" t="s">
        <v>112</v>
      </c>
      <c r="P1887" s="91" t="s">
        <v>112</v>
      </c>
      <c r="Q1887" s="91" t="s">
        <v>112</v>
      </c>
      <c r="R1887" s="91" t="s">
        <v>112</v>
      </c>
      <c r="S1887" s="91" t="s">
        <v>112</v>
      </c>
      <c r="T1887" s="91" t="s">
        <v>112</v>
      </c>
      <c r="U1887" s="91" t="s">
        <v>112</v>
      </c>
      <c r="V1887" s="91" t="s">
        <v>112</v>
      </c>
      <c r="W1887" s="91" t="s">
        <v>112</v>
      </c>
      <c r="X1887" s="91" t="s">
        <v>112</v>
      </c>
      <c r="Y1887" s="91" t="s">
        <v>112</v>
      </c>
      <c r="Z1887" s="91" t="s">
        <v>112</v>
      </c>
      <c r="AA1887" s="91" t="s">
        <v>112</v>
      </c>
      <c r="AB1887" s="91" t="s">
        <v>112</v>
      </c>
      <c r="AC1887" s="91" t="s">
        <v>112</v>
      </c>
      <c r="AD1887" s="91" t="s">
        <v>112</v>
      </c>
      <c r="AE1887" s="91">
        <v>5535</v>
      </c>
      <c r="AF1887" s="91">
        <v>5535</v>
      </c>
      <c r="AG1887" s="91">
        <v>5535</v>
      </c>
      <c r="AH1887" s="91">
        <v>5535</v>
      </c>
      <c r="AI1887" s="91">
        <v>5535</v>
      </c>
      <c r="AJ1887" s="91">
        <v>5535</v>
      </c>
      <c r="AK1887" s="91">
        <v>5535</v>
      </c>
      <c r="AL1887" s="91">
        <v>5535</v>
      </c>
      <c r="AM1887" s="91">
        <v>5535</v>
      </c>
      <c r="AN1887" s="91">
        <v>5535</v>
      </c>
      <c r="AO1887" s="91">
        <v>5535</v>
      </c>
      <c r="AP1887" s="91">
        <v>5535</v>
      </c>
      <c r="AQ1887" s="91">
        <v>5535</v>
      </c>
      <c r="AR1887" s="91">
        <v>5535</v>
      </c>
      <c r="AS1887" s="91">
        <v>5535</v>
      </c>
      <c r="AT1887" s="91">
        <v>5535</v>
      </c>
      <c r="AU1887" s="91">
        <v>5535</v>
      </c>
      <c r="AV1887" s="91">
        <v>5535</v>
      </c>
      <c r="AW1887" s="91">
        <v>5535</v>
      </c>
      <c r="AX1887" s="92">
        <v>5535</v>
      </c>
    </row>
    <row r="1888" spans="1:50" x14ac:dyDescent="0.25">
      <c r="A1888" s="357"/>
      <c r="B1888" s="362"/>
      <c r="C1888" s="354"/>
      <c r="D1888" s="4" t="s">
        <v>8</v>
      </c>
      <c r="E1888" s="168" t="str">
        <f>A1851&amp;"/"&amp;B1877&amp;"/"&amp;C1887&amp;"/"&amp;D1888</f>
        <v>Lignite fired power plants/Steam turbine/CHP with CCS/M</v>
      </c>
      <c r="F1888" s="80" t="str">
        <f>A1851</f>
        <v>Lignite fired power plants</v>
      </c>
      <c r="G1888" s="80" t="str">
        <f>B1877</f>
        <v>Steam turbine</v>
      </c>
      <c r="H1888" s="80" t="str">
        <f>C1887</f>
        <v>CHP with CCS</v>
      </c>
      <c r="I1888" s="169" t="str">
        <f t="shared" si="109"/>
        <v>M</v>
      </c>
      <c r="J1888" s="99" t="s">
        <v>112</v>
      </c>
      <c r="K1888" s="99" t="s">
        <v>112</v>
      </c>
      <c r="L1888" s="99" t="s">
        <v>112</v>
      </c>
      <c r="M1888" s="99" t="s">
        <v>112</v>
      </c>
      <c r="N1888" s="99" t="s">
        <v>112</v>
      </c>
      <c r="O1888" s="99" t="s">
        <v>112</v>
      </c>
      <c r="P1888" s="99" t="s">
        <v>112</v>
      </c>
      <c r="Q1888" s="99" t="s">
        <v>112</v>
      </c>
      <c r="R1888" s="99" t="s">
        <v>112</v>
      </c>
      <c r="S1888" s="99" t="s">
        <v>112</v>
      </c>
      <c r="T1888" s="99" t="s">
        <v>112</v>
      </c>
      <c r="U1888" s="99" t="s">
        <v>112</v>
      </c>
      <c r="V1888" s="99" t="s">
        <v>112</v>
      </c>
      <c r="W1888" s="99" t="s">
        <v>112</v>
      </c>
      <c r="X1888" s="99" t="s">
        <v>112</v>
      </c>
      <c r="Y1888" s="99" t="s">
        <v>112</v>
      </c>
      <c r="Z1888" s="99" t="s">
        <v>112</v>
      </c>
      <c r="AA1888" s="99" t="s">
        <v>112</v>
      </c>
      <c r="AB1888" s="99" t="s">
        <v>112</v>
      </c>
      <c r="AC1888" s="99" t="s">
        <v>112</v>
      </c>
      <c r="AD1888" s="99" t="s">
        <v>112</v>
      </c>
      <c r="AE1888" s="99">
        <v>4428</v>
      </c>
      <c r="AF1888" s="99">
        <v>4428</v>
      </c>
      <c r="AG1888" s="99">
        <v>4428</v>
      </c>
      <c r="AH1888" s="99">
        <v>4428</v>
      </c>
      <c r="AI1888" s="99">
        <v>4428</v>
      </c>
      <c r="AJ1888" s="99">
        <v>4428</v>
      </c>
      <c r="AK1888" s="99">
        <v>4428</v>
      </c>
      <c r="AL1888" s="99">
        <v>4428</v>
      </c>
      <c r="AM1888" s="99">
        <v>4428</v>
      </c>
      <c r="AN1888" s="99">
        <v>4428</v>
      </c>
      <c r="AO1888" s="99">
        <v>4428</v>
      </c>
      <c r="AP1888" s="99">
        <v>4428</v>
      </c>
      <c r="AQ1888" s="99">
        <v>4428</v>
      </c>
      <c r="AR1888" s="99">
        <v>4428</v>
      </c>
      <c r="AS1888" s="99">
        <v>4428</v>
      </c>
      <c r="AT1888" s="99">
        <v>4428</v>
      </c>
      <c r="AU1888" s="99">
        <v>4428</v>
      </c>
      <c r="AV1888" s="99">
        <v>4428</v>
      </c>
      <c r="AW1888" s="99">
        <v>4428</v>
      </c>
      <c r="AX1888" s="100">
        <v>4428</v>
      </c>
    </row>
    <row r="1889" spans="1:50" x14ac:dyDescent="0.25">
      <c r="A1889" s="356" t="s">
        <v>22</v>
      </c>
      <c r="B1889" s="358" t="s">
        <v>23</v>
      </c>
      <c r="C1889" s="353" t="s">
        <v>6</v>
      </c>
      <c r="D1889" s="3" t="s">
        <v>7</v>
      </c>
      <c r="E1889" s="162" t="str">
        <f>A1889&amp;"/"&amp;B1889&amp;"/"&amp;C1889&amp;"/"&amp;D1889</f>
        <v>Gas fired power plants (Natural gas, biogas)/Gas turbine combined cycle/Electricity only/L</v>
      </c>
      <c r="F1889" s="77" t="str">
        <f>A1889</f>
        <v>Gas fired power plants (Natural gas, biogas)</v>
      </c>
      <c r="G1889" s="77" t="str">
        <f>B1889</f>
        <v>Gas turbine combined cycle</v>
      </c>
      <c r="H1889" s="77" t="str">
        <f>C1889</f>
        <v>Electricity only</v>
      </c>
      <c r="I1889" s="163" t="str">
        <f t="shared" si="109"/>
        <v>L</v>
      </c>
      <c r="J1889" s="93">
        <v>3500</v>
      </c>
      <c r="K1889" s="93">
        <v>3500</v>
      </c>
      <c r="L1889" s="93">
        <v>3500</v>
      </c>
      <c r="M1889" s="93">
        <v>3500</v>
      </c>
      <c r="N1889" s="93">
        <v>3500</v>
      </c>
      <c r="O1889" s="93">
        <v>3500</v>
      </c>
      <c r="P1889" s="93">
        <v>3500</v>
      </c>
      <c r="Q1889" s="93">
        <v>3500</v>
      </c>
      <c r="R1889" s="93">
        <v>3500</v>
      </c>
      <c r="S1889" s="93">
        <v>3500</v>
      </c>
      <c r="T1889" s="93">
        <v>3500</v>
      </c>
      <c r="U1889" s="93">
        <v>3500</v>
      </c>
      <c r="V1889" s="93">
        <v>3500</v>
      </c>
      <c r="W1889" s="93">
        <v>3500</v>
      </c>
      <c r="X1889" s="93">
        <v>3500</v>
      </c>
      <c r="Y1889" s="93">
        <v>3500</v>
      </c>
      <c r="Z1889" s="93">
        <v>3500</v>
      </c>
      <c r="AA1889" s="93">
        <v>3500</v>
      </c>
      <c r="AB1889" s="93">
        <v>3500</v>
      </c>
      <c r="AC1889" s="93">
        <v>3500</v>
      </c>
      <c r="AD1889" s="93">
        <v>3500</v>
      </c>
      <c r="AE1889" s="93">
        <v>3500</v>
      </c>
      <c r="AF1889" s="93">
        <v>3500</v>
      </c>
      <c r="AG1889" s="93">
        <v>3500</v>
      </c>
      <c r="AH1889" s="93">
        <v>3500</v>
      </c>
      <c r="AI1889" s="93">
        <v>3500</v>
      </c>
      <c r="AJ1889" s="93">
        <v>3500</v>
      </c>
      <c r="AK1889" s="93">
        <v>3500</v>
      </c>
      <c r="AL1889" s="93">
        <v>3500</v>
      </c>
      <c r="AM1889" s="93">
        <v>3500</v>
      </c>
      <c r="AN1889" s="93">
        <v>3500</v>
      </c>
      <c r="AO1889" s="93">
        <v>3500</v>
      </c>
      <c r="AP1889" s="93">
        <v>3500</v>
      </c>
      <c r="AQ1889" s="93">
        <v>3500</v>
      </c>
      <c r="AR1889" s="93">
        <v>3500</v>
      </c>
      <c r="AS1889" s="93">
        <v>3500</v>
      </c>
      <c r="AT1889" s="93">
        <v>3500</v>
      </c>
      <c r="AU1889" s="93">
        <v>3500</v>
      </c>
      <c r="AV1889" s="93">
        <v>3500</v>
      </c>
      <c r="AW1889" s="93">
        <v>3500</v>
      </c>
      <c r="AX1889" s="94">
        <v>3500</v>
      </c>
    </row>
    <row r="1890" spans="1:50" x14ac:dyDescent="0.25">
      <c r="A1890" s="356"/>
      <c r="B1890" s="359"/>
      <c r="C1890" s="350"/>
      <c r="D1890" s="2" t="s">
        <v>8</v>
      </c>
      <c r="E1890" s="160" t="str">
        <f>A1889&amp;"/"&amp;B1889&amp;"/"&amp;C1889&amp;"/"&amp;D1890</f>
        <v>Gas fired power plants (Natural gas, biogas)/Gas turbine combined cycle/Electricity only/M</v>
      </c>
      <c r="F1890" s="76" t="str">
        <f>A1889</f>
        <v>Gas fired power plants (Natural gas, biogas)</v>
      </c>
      <c r="G1890" s="76" t="str">
        <f>B1889</f>
        <v>Gas turbine combined cycle</v>
      </c>
      <c r="H1890" s="76" t="str">
        <f>C1889</f>
        <v>Electricity only</v>
      </c>
      <c r="I1890" s="161" t="str">
        <f t="shared" si="109"/>
        <v>M</v>
      </c>
      <c r="J1890" s="91">
        <v>2800</v>
      </c>
      <c r="K1890" s="91">
        <v>2800</v>
      </c>
      <c r="L1890" s="91">
        <v>2800</v>
      </c>
      <c r="M1890" s="91">
        <v>2800</v>
      </c>
      <c r="N1890" s="91">
        <v>2800</v>
      </c>
      <c r="O1890" s="91">
        <v>2800</v>
      </c>
      <c r="P1890" s="91">
        <v>2800</v>
      </c>
      <c r="Q1890" s="91">
        <v>2800</v>
      </c>
      <c r="R1890" s="91">
        <v>2800</v>
      </c>
      <c r="S1890" s="91">
        <v>2800</v>
      </c>
      <c r="T1890" s="91">
        <v>2800</v>
      </c>
      <c r="U1890" s="91">
        <v>2800</v>
      </c>
      <c r="V1890" s="91">
        <v>2800</v>
      </c>
      <c r="W1890" s="91">
        <v>2800</v>
      </c>
      <c r="X1890" s="91">
        <v>2800</v>
      </c>
      <c r="Y1890" s="91">
        <v>2800</v>
      </c>
      <c r="Z1890" s="91">
        <v>2800</v>
      </c>
      <c r="AA1890" s="91">
        <v>2800</v>
      </c>
      <c r="AB1890" s="91">
        <v>2800</v>
      </c>
      <c r="AC1890" s="91">
        <v>2800</v>
      </c>
      <c r="AD1890" s="91">
        <v>2800</v>
      </c>
      <c r="AE1890" s="91">
        <v>2800</v>
      </c>
      <c r="AF1890" s="91">
        <v>2800</v>
      </c>
      <c r="AG1890" s="91">
        <v>2800</v>
      </c>
      <c r="AH1890" s="91">
        <v>2800</v>
      </c>
      <c r="AI1890" s="91">
        <v>2800</v>
      </c>
      <c r="AJ1890" s="91">
        <v>2800</v>
      </c>
      <c r="AK1890" s="91">
        <v>2800</v>
      </c>
      <c r="AL1890" s="91">
        <v>2800</v>
      </c>
      <c r="AM1890" s="91">
        <v>2800</v>
      </c>
      <c r="AN1890" s="91">
        <v>2800</v>
      </c>
      <c r="AO1890" s="91">
        <v>2800</v>
      </c>
      <c r="AP1890" s="91">
        <v>2800</v>
      </c>
      <c r="AQ1890" s="91">
        <v>2800</v>
      </c>
      <c r="AR1890" s="91">
        <v>2800</v>
      </c>
      <c r="AS1890" s="91">
        <v>2800</v>
      </c>
      <c r="AT1890" s="91">
        <v>2800</v>
      </c>
      <c r="AU1890" s="91">
        <v>2800</v>
      </c>
      <c r="AV1890" s="91">
        <v>2800</v>
      </c>
      <c r="AW1890" s="91">
        <v>2800</v>
      </c>
      <c r="AX1890" s="92">
        <v>2800</v>
      </c>
    </row>
    <row r="1891" spans="1:50" x14ac:dyDescent="0.25">
      <c r="A1891" s="356"/>
      <c r="B1891" s="359"/>
      <c r="C1891" s="350"/>
      <c r="D1891" s="2" t="s">
        <v>10</v>
      </c>
      <c r="E1891" s="160" t="str">
        <f>A1889&amp;"/"&amp;B1889&amp;"/"&amp;C1889&amp;"/"&amp;D1891</f>
        <v>Gas fired power plants (Natural gas, biogas)/Gas turbine combined cycle/Electricity only/S</v>
      </c>
      <c r="F1891" s="76" t="str">
        <f>A1889</f>
        <v>Gas fired power plants (Natural gas, biogas)</v>
      </c>
      <c r="G1891" s="76" t="str">
        <f>B1889</f>
        <v>Gas turbine combined cycle</v>
      </c>
      <c r="H1891" s="76" t="str">
        <f>C1889</f>
        <v>Electricity only</v>
      </c>
      <c r="I1891" s="161" t="str">
        <f t="shared" si="109"/>
        <v>S</v>
      </c>
      <c r="J1891" s="91">
        <v>2100</v>
      </c>
      <c r="K1891" s="91">
        <v>2100</v>
      </c>
      <c r="L1891" s="91">
        <v>2100</v>
      </c>
      <c r="M1891" s="91">
        <v>2100</v>
      </c>
      <c r="N1891" s="91">
        <v>2100</v>
      </c>
      <c r="O1891" s="91">
        <v>2100</v>
      </c>
      <c r="P1891" s="91">
        <v>2100</v>
      </c>
      <c r="Q1891" s="91">
        <v>2100</v>
      </c>
      <c r="R1891" s="91">
        <v>2100</v>
      </c>
      <c r="S1891" s="91">
        <v>2100</v>
      </c>
      <c r="T1891" s="91">
        <v>2100</v>
      </c>
      <c r="U1891" s="91">
        <v>2100</v>
      </c>
      <c r="V1891" s="91">
        <v>2100</v>
      </c>
      <c r="W1891" s="91">
        <v>2100</v>
      </c>
      <c r="X1891" s="91">
        <v>2100</v>
      </c>
      <c r="Y1891" s="91">
        <v>2100</v>
      </c>
      <c r="Z1891" s="91">
        <v>2100</v>
      </c>
      <c r="AA1891" s="91">
        <v>2100</v>
      </c>
      <c r="AB1891" s="91">
        <v>2100</v>
      </c>
      <c r="AC1891" s="91">
        <v>2100</v>
      </c>
      <c r="AD1891" s="91">
        <v>2100</v>
      </c>
      <c r="AE1891" s="91">
        <v>2100</v>
      </c>
      <c r="AF1891" s="91">
        <v>2100</v>
      </c>
      <c r="AG1891" s="91">
        <v>2100</v>
      </c>
      <c r="AH1891" s="91">
        <v>2100</v>
      </c>
      <c r="AI1891" s="91">
        <v>2100</v>
      </c>
      <c r="AJ1891" s="91">
        <v>2100</v>
      </c>
      <c r="AK1891" s="91">
        <v>2100</v>
      </c>
      <c r="AL1891" s="91">
        <v>2100</v>
      </c>
      <c r="AM1891" s="91">
        <v>2100</v>
      </c>
      <c r="AN1891" s="91">
        <v>2100</v>
      </c>
      <c r="AO1891" s="91">
        <v>2100</v>
      </c>
      <c r="AP1891" s="91">
        <v>2100</v>
      </c>
      <c r="AQ1891" s="91">
        <v>2100</v>
      </c>
      <c r="AR1891" s="91">
        <v>2100</v>
      </c>
      <c r="AS1891" s="91">
        <v>2100</v>
      </c>
      <c r="AT1891" s="91">
        <v>2100</v>
      </c>
      <c r="AU1891" s="91">
        <v>2100</v>
      </c>
      <c r="AV1891" s="91">
        <v>2100</v>
      </c>
      <c r="AW1891" s="91">
        <v>2100</v>
      </c>
      <c r="AX1891" s="92">
        <v>2100</v>
      </c>
    </row>
    <row r="1892" spans="1:50" x14ac:dyDescent="0.25">
      <c r="A1892" s="356"/>
      <c r="B1892" s="359"/>
      <c r="C1892" s="360"/>
      <c r="D1892" s="2" t="s">
        <v>20</v>
      </c>
      <c r="E1892" s="160" t="str">
        <f>A1889&amp;"/"&amp;B1889&amp;"/"&amp;C1889&amp;"/"&amp;D1892</f>
        <v>Gas fired power plants (Natural gas, biogas)/Gas turbine combined cycle/Electricity only/XS</v>
      </c>
      <c r="F1892" s="76" t="str">
        <f>A1889</f>
        <v>Gas fired power plants (Natural gas, biogas)</v>
      </c>
      <c r="G1892" s="76" t="str">
        <f>B1889</f>
        <v>Gas turbine combined cycle</v>
      </c>
      <c r="H1892" s="76" t="str">
        <f>C1889</f>
        <v>Electricity only</v>
      </c>
      <c r="I1892" s="161" t="str">
        <f t="shared" si="109"/>
        <v>XS</v>
      </c>
      <c r="J1892" s="91">
        <v>1785</v>
      </c>
      <c r="K1892" s="91">
        <v>1785</v>
      </c>
      <c r="L1892" s="91">
        <v>1785</v>
      </c>
      <c r="M1892" s="91">
        <v>1785</v>
      </c>
      <c r="N1892" s="91">
        <v>1785</v>
      </c>
      <c r="O1892" s="91">
        <v>1785</v>
      </c>
      <c r="P1892" s="91">
        <v>1785</v>
      </c>
      <c r="Q1892" s="91">
        <v>1785</v>
      </c>
      <c r="R1892" s="91">
        <v>1785</v>
      </c>
      <c r="S1892" s="91">
        <v>1785</v>
      </c>
      <c r="T1892" s="91">
        <v>1785</v>
      </c>
      <c r="U1892" s="91">
        <v>1785</v>
      </c>
      <c r="V1892" s="91">
        <v>1785</v>
      </c>
      <c r="W1892" s="91">
        <v>1785</v>
      </c>
      <c r="X1892" s="91">
        <v>1785</v>
      </c>
      <c r="Y1892" s="91">
        <v>1785</v>
      </c>
      <c r="Z1892" s="91">
        <v>1785</v>
      </c>
      <c r="AA1892" s="91">
        <v>1785</v>
      </c>
      <c r="AB1892" s="91">
        <v>1785</v>
      </c>
      <c r="AC1892" s="91">
        <v>1785</v>
      </c>
      <c r="AD1892" s="91">
        <v>1785</v>
      </c>
      <c r="AE1892" s="91">
        <v>1785</v>
      </c>
      <c r="AF1892" s="91">
        <v>1785</v>
      </c>
      <c r="AG1892" s="91">
        <v>1785</v>
      </c>
      <c r="AH1892" s="91">
        <v>1785</v>
      </c>
      <c r="AI1892" s="91">
        <v>1785</v>
      </c>
      <c r="AJ1892" s="91">
        <v>1785</v>
      </c>
      <c r="AK1892" s="91">
        <v>1785</v>
      </c>
      <c r="AL1892" s="91">
        <v>1785</v>
      </c>
      <c r="AM1892" s="91">
        <v>1785</v>
      </c>
      <c r="AN1892" s="91">
        <v>1785</v>
      </c>
      <c r="AO1892" s="91">
        <v>1785</v>
      </c>
      <c r="AP1892" s="91">
        <v>1785</v>
      </c>
      <c r="AQ1892" s="91">
        <v>1785</v>
      </c>
      <c r="AR1892" s="91">
        <v>1785</v>
      </c>
      <c r="AS1892" s="91">
        <v>1785</v>
      </c>
      <c r="AT1892" s="91">
        <v>1785</v>
      </c>
      <c r="AU1892" s="91">
        <v>1785</v>
      </c>
      <c r="AV1892" s="91">
        <v>1785</v>
      </c>
      <c r="AW1892" s="91">
        <v>1785</v>
      </c>
      <c r="AX1892" s="92">
        <v>1785</v>
      </c>
    </row>
    <row r="1893" spans="1:50" x14ac:dyDescent="0.25">
      <c r="A1893" s="356"/>
      <c r="B1893" s="359"/>
      <c r="C1893" s="361" t="s">
        <v>14</v>
      </c>
      <c r="D1893" s="58" t="s">
        <v>7</v>
      </c>
      <c r="E1893" s="164" t="str">
        <f>A1889&amp;"/"&amp;B1889&amp;"/"&amp;C1893&amp;"/"&amp;D1893</f>
        <v>Gas fired power plants (Natural gas, biogas)/Gas turbine combined cycle/CHP/L</v>
      </c>
      <c r="F1893" s="78" t="str">
        <f>A1889</f>
        <v>Gas fired power plants (Natural gas, biogas)</v>
      </c>
      <c r="G1893" s="78" t="str">
        <f>B1889</f>
        <v>Gas turbine combined cycle</v>
      </c>
      <c r="H1893" s="78" t="str">
        <f>C1893</f>
        <v>CHP</v>
      </c>
      <c r="I1893" s="165" t="str">
        <f t="shared" si="109"/>
        <v>L</v>
      </c>
      <c r="J1893" s="95">
        <v>2800</v>
      </c>
      <c r="K1893" s="95">
        <v>2800</v>
      </c>
      <c r="L1893" s="95">
        <v>2800</v>
      </c>
      <c r="M1893" s="95">
        <v>2800</v>
      </c>
      <c r="N1893" s="95">
        <v>2800</v>
      </c>
      <c r="O1893" s="95">
        <v>2800</v>
      </c>
      <c r="P1893" s="95">
        <v>2800</v>
      </c>
      <c r="Q1893" s="95">
        <v>2800</v>
      </c>
      <c r="R1893" s="95">
        <v>2800</v>
      </c>
      <c r="S1893" s="95">
        <v>2800</v>
      </c>
      <c r="T1893" s="95">
        <v>2800</v>
      </c>
      <c r="U1893" s="95">
        <v>2800</v>
      </c>
      <c r="V1893" s="95">
        <v>2800</v>
      </c>
      <c r="W1893" s="95">
        <v>2800</v>
      </c>
      <c r="X1893" s="95">
        <v>2800</v>
      </c>
      <c r="Y1893" s="95">
        <v>2800</v>
      </c>
      <c r="Z1893" s="95">
        <v>2800</v>
      </c>
      <c r="AA1893" s="95">
        <v>2800</v>
      </c>
      <c r="AB1893" s="95">
        <v>2800</v>
      </c>
      <c r="AC1893" s="95">
        <v>2800</v>
      </c>
      <c r="AD1893" s="95">
        <v>2800</v>
      </c>
      <c r="AE1893" s="95">
        <v>2800</v>
      </c>
      <c r="AF1893" s="95">
        <v>2800</v>
      </c>
      <c r="AG1893" s="95">
        <v>2800</v>
      </c>
      <c r="AH1893" s="95">
        <v>2800</v>
      </c>
      <c r="AI1893" s="95">
        <v>2800</v>
      </c>
      <c r="AJ1893" s="95">
        <v>2800</v>
      </c>
      <c r="AK1893" s="95">
        <v>2800</v>
      </c>
      <c r="AL1893" s="95">
        <v>2800</v>
      </c>
      <c r="AM1893" s="95">
        <v>2800</v>
      </c>
      <c r="AN1893" s="95">
        <v>2800</v>
      </c>
      <c r="AO1893" s="95">
        <v>2800</v>
      </c>
      <c r="AP1893" s="95">
        <v>2800</v>
      </c>
      <c r="AQ1893" s="95">
        <v>2800</v>
      </c>
      <c r="AR1893" s="95">
        <v>2800</v>
      </c>
      <c r="AS1893" s="95">
        <v>2800</v>
      </c>
      <c r="AT1893" s="95">
        <v>2800</v>
      </c>
      <c r="AU1893" s="95">
        <v>2800</v>
      </c>
      <c r="AV1893" s="95">
        <v>2800</v>
      </c>
      <c r="AW1893" s="95">
        <v>2800</v>
      </c>
      <c r="AX1893" s="96">
        <v>2800</v>
      </c>
    </row>
    <row r="1894" spans="1:50" x14ac:dyDescent="0.25">
      <c r="A1894" s="356"/>
      <c r="B1894" s="359"/>
      <c r="C1894" s="350"/>
      <c r="D1894" s="2" t="s">
        <v>8</v>
      </c>
      <c r="E1894" s="160" t="str">
        <f>A1889&amp;"/"&amp;B1889&amp;"/"&amp;C1893&amp;"/"&amp;D1894</f>
        <v>Gas fired power plants (Natural gas, biogas)/Gas turbine combined cycle/CHP/M</v>
      </c>
      <c r="F1894" s="76" t="str">
        <f>A1889</f>
        <v>Gas fired power plants (Natural gas, biogas)</v>
      </c>
      <c r="G1894" s="76" t="str">
        <f>B1889</f>
        <v>Gas turbine combined cycle</v>
      </c>
      <c r="H1894" s="76" t="str">
        <f>C1893</f>
        <v>CHP</v>
      </c>
      <c r="I1894" s="161" t="str">
        <f t="shared" si="109"/>
        <v>M</v>
      </c>
      <c r="J1894" s="91">
        <v>2240</v>
      </c>
      <c r="K1894" s="91">
        <v>2240</v>
      </c>
      <c r="L1894" s="91">
        <v>2240</v>
      </c>
      <c r="M1894" s="91">
        <v>2240</v>
      </c>
      <c r="N1894" s="91">
        <v>2240</v>
      </c>
      <c r="O1894" s="91">
        <v>2240</v>
      </c>
      <c r="P1894" s="91">
        <v>2240</v>
      </c>
      <c r="Q1894" s="91">
        <v>2240</v>
      </c>
      <c r="R1894" s="91">
        <v>2240</v>
      </c>
      <c r="S1894" s="91">
        <v>2240</v>
      </c>
      <c r="T1894" s="91">
        <v>2240</v>
      </c>
      <c r="U1894" s="91">
        <v>2240</v>
      </c>
      <c r="V1894" s="91">
        <v>2240</v>
      </c>
      <c r="W1894" s="91">
        <v>2240</v>
      </c>
      <c r="X1894" s="91">
        <v>2240</v>
      </c>
      <c r="Y1894" s="91">
        <v>2240</v>
      </c>
      <c r="Z1894" s="91">
        <v>2240</v>
      </c>
      <c r="AA1894" s="91">
        <v>2240</v>
      </c>
      <c r="AB1894" s="91">
        <v>2240</v>
      </c>
      <c r="AC1894" s="91">
        <v>2240</v>
      </c>
      <c r="AD1894" s="91">
        <v>2240</v>
      </c>
      <c r="AE1894" s="91">
        <v>2240</v>
      </c>
      <c r="AF1894" s="91">
        <v>2240</v>
      </c>
      <c r="AG1894" s="91">
        <v>2240</v>
      </c>
      <c r="AH1894" s="91">
        <v>2240</v>
      </c>
      <c r="AI1894" s="91">
        <v>2240</v>
      </c>
      <c r="AJ1894" s="91">
        <v>2240</v>
      </c>
      <c r="AK1894" s="91">
        <v>2240</v>
      </c>
      <c r="AL1894" s="91">
        <v>2240</v>
      </c>
      <c r="AM1894" s="91">
        <v>2240</v>
      </c>
      <c r="AN1894" s="91">
        <v>2240</v>
      </c>
      <c r="AO1894" s="91">
        <v>2240</v>
      </c>
      <c r="AP1894" s="91">
        <v>2240</v>
      </c>
      <c r="AQ1894" s="91">
        <v>2240</v>
      </c>
      <c r="AR1894" s="91">
        <v>2240</v>
      </c>
      <c r="AS1894" s="91">
        <v>2240</v>
      </c>
      <c r="AT1894" s="91">
        <v>2240</v>
      </c>
      <c r="AU1894" s="91">
        <v>2240</v>
      </c>
      <c r="AV1894" s="91">
        <v>2240</v>
      </c>
      <c r="AW1894" s="91">
        <v>2240</v>
      </c>
      <c r="AX1894" s="92">
        <v>2240</v>
      </c>
    </row>
    <row r="1895" spans="1:50" x14ac:dyDescent="0.25">
      <c r="A1895" s="356"/>
      <c r="B1895" s="359"/>
      <c r="C1895" s="350"/>
      <c r="D1895" s="2" t="s">
        <v>10</v>
      </c>
      <c r="E1895" s="160" t="str">
        <f>A1889&amp;"/"&amp;B1889&amp;"/"&amp;C1893&amp;"/"&amp;D1895</f>
        <v>Gas fired power plants (Natural gas, biogas)/Gas turbine combined cycle/CHP/S</v>
      </c>
      <c r="F1895" s="76" t="str">
        <f>A1889</f>
        <v>Gas fired power plants (Natural gas, biogas)</v>
      </c>
      <c r="G1895" s="76" t="str">
        <f>B1889</f>
        <v>Gas turbine combined cycle</v>
      </c>
      <c r="H1895" s="76" t="str">
        <f>C1893</f>
        <v>CHP</v>
      </c>
      <c r="I1895" s="161" t="str">
        <f t="shared" si="109"/>
        <v>S</v>
      </c>
      <c r="J1895" s="91">
        <v>1680</v>
      </c>
      <c r="K1895" s="91">
        <v>1680</v>
      </c>
      <c r="L1895" s="91">
        <v>1680</v>
      </c>
      <c r="M1895" s="91">
        <v>1680</v>
      </c>
      <c r="N1895" s="91">
        <v>1680</v>
      </c>
      <c r="O1895" s="91">
        <v>1680</v>
      </c>
      <c r="P1895" s="91">
        <v>1680</v>
      </c>
      <c r="Q1895" s="91">
        <v>1680</v>
      </c>
      <c r="R1895" s="91">
        <v>1680</v>
      </c>
      <c r="S1895" s="91">
        <v>1680</v>
      </c>
      <c r="T1895" s="91">
        <v>1680</v>
      </c>
      <c r="U1895" s="91">
        <v>1680</v>
      </c>
      <c r="V1895" s="91">
        <v>1680</v>
      </c>
      <c r="W1895" s="91">
        <v>1680</v>
      </c>
      <c r="X1895" s="91">
        <v>1680</v>
      </c>
      <c r="Y1895" s="91">
        <v>1680</v>
      </c>
      <c r="Z1895" s="91">
        <v>1680</v>
      </c>
      <c r="AA1895" s="91">
        <v>1680</v>
      </c>
      <c r="AB1895" s="91">
        <v>1680</v>
      </c>
      <c r="AC1895" s="91">
        <v>1680</v>
      </c>
      <c r="AD1895" s="91">
        <v>1680</v>
      </c>
      <c r="AE1895" s="91">
        <v>1680</v>
      </c>
      <c r="AF1895" s="91">
        <v>1680</v>
      </c>
      <c r="AG1895" s="91">
        <v>1680</v>
      </c>
      <c r="AH1895" s="91">
        <v>1680</v>
      </c>
      <c r="AI1895" s="91">
        <v>1680</v>
      </c>
      <c r="AJ1895" s="91">
        <v>1680</v>
      </c>
      <c r="AK1895" s="91">
        <v>1680</v>
      </c>
      <c r="AL1895" s="91">
        <v>1680</v>
      </c>
      <c r="AM1895" s="91">
        <v>1680</v>
      </c>
      <c r="AN1895" s="91">
        <v>1680</v>
      </c>
      <c r="AO1895" s="91">
        <v>1680</v>
      </c>
      <c r="AP1895" s="91">
        <v>1680</v>
      </c>
      <c r="AQ1895" s="91">
        <v>1680</v>
      </c>
      <c r="AR1895" s="91">
        <v>1680</v>
      </c>
      <c r="AS1895" s="91">
        <v>1680</v>
      </c>
      <c r="AT1895" s="91">
        <v>1680</v>
      </c>
      <c r="AU1895" s="91">
        <v>1680</v>
      </c>
      <c r="AV1895" s="91">
        <v>1680</v>
      </c>
      <c r="AW1895" s="91">
        <v>1680</v>
      </c>
      <c r="AX1895" s="92">
        <v>1680</v>
      </c>
    </row>
    <row r="1896" spans="1:50" x14ac:dyDescent="0.25">
      <c r="A1896" s="356"/>
      <c r="B1896" s="359"/>
      <c r="C1896" s="360"/>
      <c r="D1896" s="59" t="s">
        <v>20</v>
      </c>
      <c r="E1896" s="166" t="str">
        <f>A1889&amp;"/"&amp;B1889&amp;"/"&amp;C1893&amp;"/"&amp;D1896</f>
        <v>Gas fired power plants (Natural gas, biogas)/Gas turbine combined cycle/CHP/XS</v>
      </c>
      <c r="F1896" s="79" t="str">
        <f>A1889</f>
        <v>Gas fired power plants (Natural gas, biogas)</v>
      </c>
      <c r="G1896" s="79" t="str">
        <f>B1889</f>
        <v>Gas turbine combined cycle</v>
      </c>
      <c r="H1896" s="79" t="str">
        <f>C1893</f>
        <v>CHP</v>
      </c>
      <c r="I1896" s="167" t="str">
        <f t="shared" si="109"/>
        <v>XS</v>
      </c>
      <c r="J1896" s="97">
        <v>1428</v>
      </c>
      <c r="K1896" s="97">
        <v>1428</v>
      </c>
      <c r="L1896" s="97">
        <v>1428</v>
      </c>
      <c r="M1896" s="97">
        <v>1428</v>
      </c>
      <c r="N1896" s="97">
        <v>1428</v>
      </c>
      <c r="O1896" s="97">
        <v>1428</v>
      </c>
      <c r="P1896" s="97">
        <v>1428</v>
      </c>
      <c r="Q1896" s="97">
        <v>1428</v>
      </c>
      <c r="R1896" s="97">
        <v>1428</v>
      </c>
      <c r="S1896" s="97">
        <v>1428</v>
      </c>
      <c r="T1896" s="97">
        <v>1428</v>
      </c>
      <c r="U1896" s="97">
        <v>1428</v>
      </c>
      <c r="V1896" s="97">
        <v>1428</v>
      </c>
      <c r="W1896" s="97">
        <v>1428</v>
      </c>
      <c r="X1896" s="97">
        <v>1428</v>
      </c>
      <c r="Y1896" s="97">
        <v>1428</v>
      </c>
      <c r="Z1896" s="97">
        <v>1428</v>
      </c>
      <c r="AA1896" s="97">
        <v>1428</v>
      </c>
      <c r="AB1896" s="97">
        <v>1428</v>
      </c>
      <c r="AC1896" s="97">
        <v>1428</v>
      </c>
      <c r="AD1896" s="97">
        <v>1428</v>
      </c>
      <c r="AE1896" s="97">
        <v>1428</v>
      </c>
      <c r="AF1896" s="97">
        <v>1428</v>
      </c>
      <c r="AG1896" s="97">
        <v>1428</v>
      </c>
      <c r="AH1896" s="97">
        <v>1428</v>
      </c>
      <c r="AI1896" s="97">
        <v>1428</v>
      </c>
      <c r="AJ1896" s="97">
        <v>1428</v>
      </c>
      <c r="AK1896" s="97">
        <v>1428</v>
      </c>
      <c r="AL1896" s="97">
        <v>1428</v>
      </c>
      <c r="AM1896" s="97">
        <v>1428</v>
      </c>
      <c r="AN1896" s="97">
        <v>1428</v>
      </c>
      <c r="AO1896" s="97">
        <v>1428</v>
      </c>
      <c r="AP1896" s="97">
        <v>1428</v>
      </c>
      <c r="AQ1896" s="97">
        <v>1428</v>
      </c>
      <c r="AR1896" s="97">
        <v>1428</v>
      </c>
      <c r="AS1896" s="97">
        <v>1428</v>
      </c>
      <c r="AT1896" s="97">
        <v>1428</v>
      </c>
      <c r="AU1896" s="97">
        <v>1428</v>
      </c>
      <c r="AV1896" s="97">
        <v>1428</v>
      </c>
      <c r="AW1896" s="97">
        <v>1428</v>
      </c>
      <c r="AX1896" s="98">
        <v>1428</v>
      </c>
    </row>
    <row r="1897" spans="1:50" x14ac:dyDescent="0.25">
      <c r="A1897" s="356"/>
      <c r="B1897" s="359"/>
      <c r="C1897" s="361" t="s">
        <v>15</v>
      </c>
      <c r="D1897" s="58" t="s">
        <v>7</v>
      </c>
      <c r="E1897" s="164" t="str">
        <f>A1889&amp;"/"&amp;B1889&amp;"/"&amp;C1897&amp;"/"&amp;D1897</f>
        <v>Gas fired power plants (Natural gas, biogas)/Gas turbine combined cycle/Electricity only with CCS/L</v>
      </c>
      <c r="F1897" s="78" t="str">
        <f>A1889</f>
        <v>Gas fired power plants (Natural gas, biogas)</v>
      </c>
      <c r="G1897" s="78" t="str">
        <f>B1889</f>
        <v>Gas turbine combined cycle</v>
      </c>
      <c r="H1897" s="78" t="str">
        <f>C1897</f>
        <v>Electricity only with CCS</v>
      </c>
      <c r="I1897" s="165" t="str">
        <f t="shared" si="109"/>
        <v>L</v>
      </c>
      <c r="J1897" s="95" t="s">
        <v>112</v>
      </c>
      <c r="K1897" s="95" t="s">
        <v>112</v>
      </c>
      <c r="L1897" s="95" t="s">
        <v>112</v>
      </c>
      <c r="M1897" s="95" t="s">
        <v>112</v>
      </c>
      <c r="N1897" s="95" t="s">
        <v>112</v>
      </c>
      <c r="O1897" s="95" t="s">
        <v>112</v>
      </c>
      <c r="P1897" s="95" t="s">
        <v>112</v>
      </c>
      <c r="Q1897" s="95" t="s">
        <v>112</v>
      </c>
      <c r="R1897" s="95" t="s">
        <v>112</v>
      </c>
      <c r="S1897" s="95" t="s">
        <v>112</v>
      </c>
      <c r="T1897" s="95" t="s">
        <v>112</v>
      </c>
      <c r="U1897" s="95" t="s">
        <v>112</v>
      </c>
      <c r="V1897" s="95" t="s">
        <v>112</v>
      </c>
      <c r="W1897" s="95" t="s">
        <v>112</v>
      </c>
      <c r="X1897" s="95" t="s">
        <v>112</v>
      </c>
      <c r="Y1897" s="95" t="s">
        <v>112</v>
      </c>
      <c r="Z1897" s="95" t="s">
        <v>112</v>
      </c>
      <c r="AA1897" s="95" t="s">
        <v>112</v>
      </c>
      <c r="AB1897" s="95" t="s">
        <v>112</v>
      </c>
      <c r="AC1897" s="95" t="s">
        <v>112</v>
      </c>
      <c r="AD1897" s="95" t="s">
        <v>112</v>
      </c>
      <c r="AE1897" s="95">
        <v>3500</v>
      </c>
      <c r="AF1897" s="95">
        <v>3500</v>
      </c>
      <c r="AG1897" s="95">
        <v>3500</v>
      </c>
      <c r="AH1897" s="95">
        <v>3500</v>
      </c>
      <c r="AI1897" s="95">
        <v>3500</v>
      </c>
      <c r="AJ1897" s="95">
        <v>3500</v>
      </c>
      <c r="AK1897" s="95">
        <v>3500</v>
      </c>
      <c r="AL1897" s="95">
        <v>3500</v>
      </c>
      <c r="AM1897" s="95">
        <v>3500</v>
      </c>
      <c r="AN1897" s="95">
        <v>3500</v>
      </c>
      <c r="AO1897" s="95">
        <v>3500</v>
      </c>
      <c r="AP1897" s="95">
        <v>3500</v>
      </c>
      <c r="AQ1897" s="95">
        <v>3500</v>
      </c>
      <c r="AR1897" s="95">
        <v>3500</v>
      </c>
      <c r="AS1897" s="95">
        <v>3500</v>
      </c>
      <c r="AT1897" s="95">
        <v>3500</v>
      </c>
      <c r="AU1897" s="95">
        <v>3500</v>
      </c>
      <c r="AV1897" s="95">
        <v>3500</v>
      </c>
      <c r="AW1897" s="95">
        <v>3500</v>
      </c>
      <c r="AX1897" s="96">
        <v>3500</v>
      </c>
    </row>
    <row r="1898" spans="1:50" x14ac:dyDescent="0.25">
      <c r="A1898" s="356"/>
      <c r="B1898" s="359"/>
      <c r="C1898" s="360"/>
      <c r="D1898" s="59" t="s">
        <v>8</v>
      </c>
      <c r="E1898" s="166" t="str">
        <f>A1889&amp;"/"&amp;B1889&amp;"/"&amp;C1897&amp;"/"&amp;D1898</f>
        <v>Gas fired power plants (Natural gas, biogas)/Gas turbine combined cycle/Electricity only with CCS/M</v>
      </c>
      <c r="F1898" s="79" t="str">
        <f>A1889</f>
        <v>Gas fired power plants (Natural gas, biogas)</v>
      </c>
      <c r="G1898" s="79" t="str">
        <f>B1889</f>
        <v>Gas turbine combined cycle</v>
      </c>
      <c r="H1898" s="79" t="str">
        <f>C1897</f>
        <v>Electricity only with CCS</v>
      </c>
      <c r="I1898" s="167" t="str">
        <f t="shared" si="109"/>
        <v>M</v>
      </c>
      <c r="J1898" s="97" t="s">
        <v>112</v>
      </c>
      <c r="K1898" s="97" t="s">
        <v>112</v>
      </c>
      <c r="L1898" s="97" t="s">
        <v>112</v>
      </c>
      <c r="M1898" s="97" t="s">
        <v>112</v>
      </c>
      <c r="N1898" s="97" t="s">
        <v>112</v>
      </c>
      <c r="O1898" s="97" t="s">
        <v>112</v>
      </c>
      <c r="P1898" s="97" t="s">
        <v>112</v>
      </c>
      <c r="Q1898" s="97" t="s">
        <v>112</v>
      </c>
      <c r="R1898" s="97" t="s">
        <v>112</v>
      </c>
      <c r="S1898" s="97" t="s">
        <v>112</v>
      </c>
      <c r="T1898" s="97" t="s">
        <v>112</v>
      </c>
      <c r="U1898" s="97" t="s">
        <v>112</v>
      </c>
      <c r="V1898" s="97" t="s">
        <v>112</v>
      </c>
      <c r="W1898" s="97" t="s">
        <v>112</v>
      </c>
      <c r="X1898" s="97" t="s">
        <v>112</v>
      </c>
      <c r="Y1898" s="97" t="s">
        <v>112</v>
      </c>
      <c r="Z1898" s="97" t="s">
        <v>112</v>
      </c>
      <c r="AA1898" s="97" t="s">
        <v>112</v>
      </c>
      <c r="AB1898" s="97" t="s">
        <v>112</v>
      </c>
      <c r="AC1898" s="97" t="s">
        <v>112</v>
      </c>
      <c r="AD1898" s="97" t="s">
        <v>112</v>
      </c>
      <c r="AE1898" s="97">
        <v>2800</v>
      </c>
      <c r="AF1898" s="97">
        <v>2800</v>
      </c>
      <c r="AG1898" s="97">
        <v>2800</v>
      </c>
      <c r="AH1898" s="97">
        <v>2800</v>
      </c>
      <c r="AI1898" s="97">
        <v>2800</v>
      </c>
      <c r="AJ1898" s="97">
        <v>2800</v>
      </c>
      <c r="AK1898" s="97">
        <v>2800</v>
      </c>
      <c r="AL1898" s="97">
        <v>2800</v>
      </c>
      <c r="AM1898" s="97">
        <v>2800</v>
      </c>
      <c r="AN1898" s="97">
        <v>2800</v>
      </c>
      <c r="AO1898" s="97">
        <v>2800</v>
      </c>
      <c r="AP1898" s="97">
        <v>2800</v>
      </c>
      <c r="AQ1898" s="97">
        <v>2800</v>
      </c>
      <c r="AR1898" s="97">
        <v>2800</v>
      </c>
      <c r="AS1898" s="97">
        <v>2800</v>
      </c>
      <c r="AT1898" s="97">
        <v>2800</v>
      </c>
      <c r="AU1898" s="97">
        <v>2800</v>
      </c>
      <c r="AV1898" s="97">
        <v>2800</v>
      </c>
      <c r="AW1898" s="97">
        <v>2800</v>
      </c>
      <c r="AX1898" s="98">
        <v>2800</v>
      </c>
    </row>
    <row r="1899" spans="1:50" x14ac:dyDescent="0.25">
      <c r="A1899" s="356"/>
      <c r="B1899" s="359"/>
      <c r="C1899" s="361" t="s">
        <v>16</v>
      </c>
      <c r="D1899" s="2" t="s">
        <v>7</v>
      </c>
      <c r="E1899" s="160" t="str">
        <f>A1889&amp;"/"&amp;B1889&amp;"/"&amp;C1899&amp;"/"&amp;D1899</f>
        <v>Gas fired power plants (Natural gas, biogas)/Gas turbine combined cycle/CHP with CCS/L</v>
      </c>
      <c r="F1899" s="76" t="str">
        <f>A1889</f>
        <v>Gas fired power plants (Natural gas, biogas)</v>
      </c>
      <c r="G1899" s="76" t="str">
        <f>B1889</f>
        <v>Gas turbine combined cycle</v>
      </c>
      <c r="H1899" s="76" t="str">
        <f>C1899</f>
        <v>CHP with CCS</v>
      </c>
      <c r="I1899" s="161" t="str">
        <f t="shared" si="109"/>
        <v>L</v>
      </c>
      <c r="J1899" s="91" t="s">
        <v>112</v>
      </c>
      <c r="K1899" s="91" t="s">
        <v>112</v>
      </c>
      <c r="L1899" s="91" t="s">
        <v>112</v>
      </c>
      <c r="M1899" s="91" t="s">
        <v>112</v>
      </c>
      <c r="N1899" s="91" t="s">
        <v>112</v>
      </c>
      <c r="O1899" s="91" t="s">
        <v>112</v>
      </c>
      <c r="P1899" s="91" t="s">
        <v>112</v>
      </c>
      <c r="Q1899" s="91" t="s">
        <v>112</v>
      </c>
      <c r="R1899" s="91" t="s">
        <v>112</v>
      </c>
      <c r="S1899" s="91" t="s">
        <v>112</v>
      </c>
      <c r="T1899" s="91" t="s">
        <v>112</v>
      </c>
      <c r="U1899" s="91" t="s">
        <v>112</v>
      </c>
      <c r="V1899" s="91" t="s">
        <v>112</v>
      </c>
      <c r="W1899" s="91" t="s">
        <v>112</v>
      </c>
      <c r="X1899" s="91" t="s">
        <v>112</v>
      </c>
      <c r="Y1899" s="91" t="s">
        <v>112</v>
      </c>
      <c r="Z1899" s="91" t="s">
        <v>112</v>
      </c>
      <c r="AA1899" s="91" t="s">
        <v>112</v>
      </c>
      <c r="AB1899" s="91" t="s">
        <v>112</v>
      </c>
      <c r="AC1899" s="91" t="s">
        <v>112</v>
      </c>
      <c r="AD1899" s="91" t="s">
        <v>112</v>
      </c>
      <c r="AE1899" s="91">
        <v>2800</v>
      </c>
      <c r="AF1899" s="91">
        <v>2800</v>
      </c>
      <c r="AG1899" s="91">
        <v>2800</v>
      </c>
      <c r="AH1899" s="91">
        <v>2800</v>
      </c>
      <c r="AI1899" s="91">
        <v>2800</v>
      </c>
      <c r="AJ1899" s="91">
        <v>2800</v>
      </c>
      <c r="AK1899" s="91">
        <v>2800</v>
      </c>
      <c r="AL1899" s="91">
        <v>2800</v>
      </c>
      <c r="AM1899" s="91">
        <v>2800</v>
      </c>
      <c r="AN1899" s="91">
        <v>2800</v>
      </c>
      <c r="AO1899" s="91">
        <v>2800</v>
      </c>
      <c r="AP1899" s="91">
        <v>2800</v>
      </c>
      <c r="AQ1899" s="91">
        <v>2800</v>
      </c>
      <c r="AR1899" s="91">
        <v>2800</v>
      </c>
      <c r="AS1899" s="91">
        <v>2800</v>
      </c>
      <c r="AT1899" s="91">
        <v>2800</v>
      </c>
      <c r="AU1899" s="91">
        <v>2800</v>
      </c>
      <c r="AV1899" s="91">
        <v>2800</v>
      </c>
      <c r="AW1899" s="91">
        <v>2800</v>
      </c>
      <c r="AX1899" s="92">
        <v>2800</v>
      </c>
    </row>
    <row r="1900" spans="1:50" x14ac:dyDescent="0.25">
      <c r="A1900" s="356"/>
      <c r="B1900" s="362"/>
      <c r="C1900" s="354"/>
      <c r="D1900" s="4" t="s">
        <v>8</v>
      </c>
      <c r="E1900" s="168" t="str">
        <f>A1889&amp;"/"&amp;B1889&amp;"/"&amp;C1899&amp;"/"&amp;D1900</f>
        <v>Gas fired power plants (Natural gas, biogas)/Gas turbine combined cycle/CHP with CCS/M</v>
      </c>
      <c r="F1900" s="80" t="str">
        <f>A1889</f>
        <v>Gas fired power plants (Natural gas, biogas)</v>
      </c>
      <c r="G1900" s="80" t="str">
        <f>B1889</f>
        <v>Gas turbine combined cycle</v>
      </c>
      <c r="H1900" s="80" t="str">
        <f>C1899</f>
        <v>CHP with CCS</v>
      </c>
      <c r="I1900" s="169" t="str">
        <f t="shared" si="109"/>
        <v>M</v>
      </c>
      <c r="J1900" s="99" t="s">
        <v>112</v>
      </c>
      <c r="K1900" s="99" t="s">
        <v>112</v>
      </c>
      <c r="L1900" s="99" t="s">
        <v>112</v>
      </c>
      <c r="M1900" s="99" t="s">
        <v>112</v>
      </c>
      <c r="N1900" s="99" t="s">
        <v>112</v>
      </c>
      <c r="O1900" s="99" t="s">
        <v>112</v>
      </c>
      <c r="P1900" s="99" t="s">
        <v>112</v>
      </c>
      <c r="Q1900" s="99" t="s">
        <v>112</v>
      </c>
      <c r="R1900" s="99" t="s">
        <v>112</v>
      </c>
      <c r="S1900" s="99" t="s">
        <v>112</v>
      </c>
      <c r="T1900" s="99" t="s">
        <v>112</v>
      </c>
      <c r="U1900" s="99" t="s">
        <v>112</v>
      </c>
      <c r="V1900" s="99" t="s">
        <v>112</v>
      </c>
      <c r="W1900" s="99" t="s">
        <v>112</v>
      </c>
      <c r="X1900" s="99" t="s">
        <v>112</v>
      </c>
      <c r="Y1900" s="99" t="s">
        <v>112</v>
      </c>
      <c r="Z1900" s="99" t="s">
        <v>112</v>
      </c>
      <c r="AA1900" s="99" t="s">
        <v>112</v>
      </c>
      <c r="AB1900" s="99" t="s">
        <v>112</v>
      </c>
      <c r="AC1900" s="99" t="s">
        <v>112</v>
      </c>
      <c r="AD1900" s="99" t="s">
        <v>112</v>
      </c>
      <c r="AE1900" s="99">
        <v>2240</v>
      </c>
      <c r="AF1900" s="99">
        <v>2240</v>
      </c>
      <c r="AG1900" s="99">
        <v>2240</v>
      </c>
      <c r="AH1900" s="99">
        <v>2240</v>
      </c>
      <c r="AI1900" s="99">
        <v>2240</v>
      </c>
      <c r="AJ1900" s="99">
        <v>2240</v>
      </c>
      <c r="AK1900" s="99">
        <v>2240</v>
      </c>
      <c r="AL1900" s="99">
        <v>2240</v>
      </c>
      <c r="AM1900" s="99">
        <v>2240</v>
      </c>
      <c r="AN1900" s="99">
        <v>2240</v>
      </c>
      <c r="AO1900" s="99">
        <v>2240</v>
      </c>
      <c r="AP1900" s="99">
        <v>2240</v>
      </c>
      <c r="AQ1900" s="99">
        <v>2240</v>
      </c>
      <c r="AR1900" s="99">
        <v>2240</v>
      </c>
      <c r="AS1900" s="99">
        <v>2240</v>
      </c>
      <c r="AT1900" s="99">
        <v>2240</v>
      </c>
      <c r="AU1900" s="99">
        <v>2240</v>
      </c>
      <c r="AV1900" s="99">
        <v>2240</v>
      </c>
      <c r="AW1900" s="99">
        <v>2240</v>
      </c>
      <c r="AX1900" s="100">
        <v>2240</v>
      </c>
    </row>
    <row r="1901" spans="1:50" x14ac:dyDescent="0.25">
      <c r="A1901" s="356"/>
      <c r="B1901" s="358" t="s">
        <v>24</v>
      </c>
      <c r="C1901" s="353" t="s">
        <v>6</v>
      </c>
      <c r="D1901" s="3" t="s">
        <v>8</v>
      </c>
      <c r="E1901" s="162" t="str">
        <f>A1889&amp;"/"&amp;B1901&amp;"/"&amp;C1901&amp;"/"&amp;D1901</f>
        <v>Gas fired power plants (Natural gas, biogas)/Gas turbine /Electricity only/M</v>
      </c>
      <c r="F1901" s="77" t="str">
        <f>A1889</f>
        <v>Gas fired power plants (Natural gas, biogas)</v>
      </c>
      <c r="G1901" s="77" t="str">
        <f>B1901</f>
        <v xml:space="preserve">Gas turbine </v>
      </c>
      <c r="H1901" s="77" t="str">
        <f>C1901</f>
        <v>Electricity only</v>
      </c>
      <c r="I1901" s="163" t="str">
        <f t="shared" si="109"/>
        <v>M</v>
      </c>
      <c r="J1901" s="93">
        <v>1500</v>
      </c>
      <c r="K1901" s="93">
        <v>1500</v>
      </c>
      <c r="L1901" s="93">
        <v>1500</v>
      </c>
      <c r="M1901" s="93">
        <v>1500</v>
      </c>
      <c r="N1901" s="93">
        <v>1500</v>
      </c>
      <c r="O1901" s="93">
        <v>1500</v>
      </c>
      <c r="P1901" s="93">
        <v>1500</v>
      </c>
      <c r="Q1901" s="93">
        <v>1500</v>
      </c>
      <c r="R1901" s="93">
        <v>1500</v>
      </c>
      <c r="S1901" s="93">
        <v>1500</v>
      </c>
      <c r="T1901" s="93">
        <v>1500</v>
      </c>
      <c r="U1901" s="93">
        <v>1500</v>
      </c>
      <c r="V1901" s="93">
        <v>1500</v>
      </c>
      <c r="W1901" s="93">
        <v>1500</v>
      </c>
      <c r="X1901" s="93">
        <v>1500</v>
      </c>
      <c r="Y1901" s="93">
        <v>1500</v>
      </c>
      <c r="Z1901" s="93">
        <v>1500</v>
      </c>
      <c r="AA1901" s="93">
        <v>1500</v>
      </c>
      <c r="AB1901" s="93">
        <v>1500</v>
      </c>
      <c r="AC1901" s="93">
        <v>1500</v>
      </c>
      <c r="AD1901" s="93">
        <v>1500</v>
      </c>
      <c r="AE1901" s="93">
        <v>1500</v>
      </c>
      <c r="AF1901" s="93">
        <v>1500</v>
      </c>
      <c r="AG1901" s="93">
        <v>1500</v>
      </c>
      <c r="AH1901" s="93">
        <v>1500</v>
      </c>
      <c r="AI1901" s="93">
        <v>1500</v>
      </c>
      <c r="AJ1901" s="93">
        <v>1500</v>
      </c>
      <c r="AK1901" s="93">
        <v>1500</v>
      </c>
      <c r="AL1901" s="93">
        <v>1500</v>
      </c>
      <c r="AM1901" s="93">
        <v>1500</v>
      </c>
      <c r="AN1901" s="93">
        <v>1500</v>
      </c>
      <c r="AO1901" s="93">
        <v>1500</v>
      </c>
      <c r="AP1901" s="93">
        <v>1500</v>
      </c>
      <c r="AQ1901" s="93">
        <v>1500</v>
      </c>
      <c r="AR1901" s="93">
        <v>1500</v>
      </c>
      <c r="AS1901" s="93">
        <v>1500</v>
      </c>
      <c r="AT1901" s="93">
        <v>1500</v>
      </c>
      <c r="AU1901" s="93">
        <v>1500</v>
      </c>
      <c r="AV1901" s="93">
        <v>1500</v>
      </c>
      <c r="AW1901" s="93">
        <v>1500</v>
      </c>
      <c r="AX1901" s="94">
        <v>1500</v>
      </c>
    </row>
    <row r="1902" spans="1:50" x14ac:dyDescent="0.25">
      <c r="A1902" s="356"/>
      <c r="B1902" s="359"/>
      <c r="C1902" s="350"/>
      <c r="D1902" s="2" t="s">
        <v>10</v>
      </c>
      <c r="E1902" s="160" t="str">
        <f>A1889&amp;"/"&amp;B1901&amp;"/"&amp;C1901&amp;"/"&amp;D1902</f>
        <v>Gas fired power plants (Natural gas, biogas)/Gas turbine /Electricity only/S</v>
      </c>
      <c r="F1902" s="76" t="str">
        <f>A1889</f>
        <v>Gas fired power plants (Natural gas, biogas)</v>
      </c>
      <c r="G1902" s="76" t="str">
        <f>B1901</f>
        <v xml:space="preserve">Gas turbine </v>
      </c>
      <c r="H1902" s="76" t="str">
        <f>C1901</f>
        <v>Electricity only</v>
      </c>
      <c r="I1902" s="161" t="str">
        <f t="shared" si="109"/>
        <v>S</v>
      </c>
      <c r="J1902" s="91">
        <v>750</v>
      </c>
      <c r="K1902" s="91">
        <v>750</v>
      </c>
      <c r="L1902" s="91">
        <v>750</v>
      </c>
      <c r="M1902" s="91">
        <v>750</v>
      </c>
      <c r="N1902" s="91">
        <v>750</v>
      </c>
      <c r="O1902" s="91">
        <v>750</v>
      </c>
      <c r="P1902" s="91">
        <v>750</v>
      </c>
      <c r="Q1902" s="91">
        <v>750</v>
      </c>
      <c r="R1902" s="91">
        <v>750</v>
      </c>
      <c r="S1902" s="91">
        <v>750</v>
      </c>
      <c r="T1902" s="91">
        <v>750</v>
      </c>
      <c r="U1902" s="91">
        <v>750</v>
      </c>
      <c r="V1902" s="91">
        <v>750</v>
      </c>
      <c r="W1902" s="91">
        <v>750</v>
      </c>
      <c r="X1902" s="91">
        <v>750</v>
      </c>
      <c r="Y1902" s="91">
        <v>750</v>
      </c>
      <c r="Z1902" s="91">
        <v>750</v>
      </c>
      <c r="AA1902" s="91">
        <v>750</v>
      </c>
      <c r="AB1902" s="91">
        <v>750</v>
      </c>
      <c r="AC1902" s="91">
        <v>750</v>
      </c>
      <c r="AD1902" s="91">
        <v>750</v>
      </c>
      <c r="AE1902" s="91">
        <v>750</v>
      </c>
      <c r="AF1902" s="91">
        <v>750</v>
      </c>
      <c r="AG1902" s="91">
        <v>750</v>
      </c>
      <c r="AH1902" s="91">
        <v>750</v>
      </c>
      <c r="AI1902" s="91">
        <v>750</v>
      </c>
      <c r="AJ1902" s="91">
        <v>750</v>
      </c>
      <c r="AK1902" s="91">
        <v>750</v>
      </c>
      <c r="AL1902" s="91">
        <v>750</v>
      </c>
      <c r="AM1902" s="91">
        <v>750</v>
      </c>
      <c r="AN1902" s="91">
        <v>750</v>
      </c>
      <c r="AO1902" s="91">
        <v>750</v>
      </c>
      <c r="AP1902" s="91">
        <v>750</v>
      </c>
      <c r="AQ1902" s="91">
        <v>750</v>
      </c>
      <c r="AR1902" s="91">
        <v>750</v>
      </c>
      <c r="AS1902" s="91">
        <v>750</v>
      </c>
      <c r="AT1902" s="91">
        <v>750</v>
      </c>
      <c r="AU1902" s="91">
        <v>750</v>
      </c>
      <c r="AV1902" s="91">
        <v>750</v>
      </c>
      <c r="AW1902" s="91">
        <v>750</v>
      </c>
      <c r="AX1902" s="92">
        <v>750</v>
      </c>
    </row>
    <row r="1903" spans="1:50" x14ac:dyDescent="0.25">
      <c r="A1903" s="356"/>
      <c r="B1903" s="359"/>
      <c r="C1903" s="360"/>
      <c r="D1903" s="59" t="s">
        <v>20</v>
      </c>
      <c r="E1903" s="160" t="str">
        <f>A1889&amp;"/"&amp;B1901&amp;"/"&amp;C1901&amp;"/"&amp;D1903</f>
        <v>Gas fired power plants (Natural gas, biogas)/Gas turbine /Electricity only/XS</v>
      </c>
      <c r="F1903" s="76" t="str">
        <f>A1889</f>
        <v>Gas fired power plants (Natural gas, biogas)</v>
      </c>
      <c r="G1903" s="76" t="str">
        <f>B1901</f>
        <v xml:space="preserve">Gas turbine </v>
      </c>
      <c r="H1903" s="76" t="str">
        <f>C1901</f>
        <v>Electricity only</v>
      </c>
      <c r="I1903" s="161" t="str">
        <f t="shared" si="109"/>
        <v>XS</v>
      </c>
      <c r="J1903" s="91">
        <v>37.5</v>
      </c>
      <c r="K1903" s="91">
        <v>37.5</v>
      </c>
      <c r="L1903" s="91">
        <v>37.5</v>
      </c>
      <c r="M1903" s="91">
        <v>37.5</v>
      </c>
      <c r="N1903" s="91">
        <v>37.5</v>
      </c>
      <c r="O1903" s="91">
        <v>37.5</v>
      </c>
      <c r="P1903" s="91">
        <v>37.5</v>
      </c>
      <c r="Q1903" s="91">
        <v>37.5</v>
      </c>
      <c r="R1903" s="91">
        <v>37.5</v>
      </c>
      <c r="S1903" s="91">
        <v>37.5</v>
      </c>
      <c r="T1903" s="91">
        <v>37.5</v>
      </c>
      <c r="U1903" s="91">
        <v>37.5</v>
      </c>
      <c r="V1903" s="91">
        <v>37.5</v>
      </c>
      <c r="W1903" s="91">
        <v>37.5</v>
      </c>
      <c r="X1903" s="91">
        <v>37.5</v>
      </c>
      <c r="Y1903" s="91">
        <v>37.5</v>
      </c>
      <c r="Z1903" s="91">
        <v>37.5</v>
      </c>
      <c r="AA1903" s="91">
        <v>37.5</v>
      </c>
      <c r="AB1903" s="91">
        <v>37.5</v>
      </c>
      <c r="AC1903" s="91">
        <v>37.5</v>
      </c>
      <c r="AD1903" s="91">
        <v>37.5</v>
      </c>
      <c r="AE1903" s="91">
        <v>37.5</v>
      </c>
      <c r="AF1903" s="91">
        <v>37.5</v>
      </c>
      <c r="AG1903" s="91">
        <v>37.5</v>
      </c>
      <c r="AH1903" s="91">
        <v>37.5</v>
      </c>
      <c r="AI1903" s="91">
        <v>37.5</v>
      </c>
      <c r="AJ1903" s="91">
        <v>37.5</v>
      </c>
      <c r="AK1903" s="91">
        <v>37.5</v>
      </c>
      <c r="AL1903" s="91">
        <v>37.5</v>
      </c>
      <c r="AM1903" s="91">
        <v>37.5</v>
      </c>
      <c r="AN1903" s="91">
        <v>37.5</v>
      </c>
      <c r="AO1903" s="91">
        <v>37.5</v>
      </c>
      <c r="AP1903" s="91">
        <v>37.5</v>
      </c>
      <c r="AQ1903" s="91">
        <v>37.5</v>
      </c>
      <c r="AR1903" s="91">
        <v>37.5</v>
      </c>
      <c r="AS1903" s="91">
        <v>37.5</v>
      </c>
      <c r="AT1903" s="91">
        <v>37.5</v>
      </c>
      <c r="AU1903" s="91">
        <v>37.5</v>
      </c>
      <c r="AV1903" s="91">
        <v>37.5</v>
      </c>
      <c r="AW1903" s="91">
        <v>37.5</v>
      </c>
      <c r="AX1903" s="92">
        <v>37.5</v>
      </c>
    </row>
    <row r="1904" spans="1:50" x14ac:dyDescent="0.25">
      <c r="A1904" s="356"/>
      <c r="B1904" s="359"/>
      <c r="C1904" s="361" t="s">
        <v>14</v>
      </c>
      <c r="D1904" s="2" t="s">
        <v>8</v>
      </c>
      <c r="E1904" s="164" t="str">
        <f>A1889&amp;"/"&amp;B1901&amp;"/"&amp;C1904&amp;"/"&amp;D1904</f>
        <v>Gas fired power plants (Natural gas, biogas)/Gas turbine /CHP/M</v>
      </c>
      <c r="F1904" s="78" t="str">
        <f>A1889</f>
        <v>Gas fired power plants (Natural gas, biogas)</v>
      </c>
      <c r="G1904" s="78" t="str">
        <f>B1901</f>
        <v xml:space="preserve">Gas turbine </v>
      </c>
      <c r="H1904" s="78" t="str">
        <f>C1904</f>
        <v>CHP</v>
      </c>
      <c r="I1904" s="165" t="str">
        <f t="shared" si="109"/>
        <v>M</v>
      </c>
      <c r="J1904" s="95">
        <v>1724.9999999999998</v>
      </c>
      <c r="K1904" s="95">
        <v>1724.9999999999998</v>
      </c>
      <c r="L1904" s="95">
        <v>1724.9999999999998</v>
      </c>
      <c r="M1904" s="95">
        <v>1724.9999999999998</v>
      </c>
      <c r="N1904" s="95">
        <v>1724.9999999999998</v>
      </c>
      <c r="O1904" s="95">
        <v>1724.9999999999998</v>
      </c>
      <c r="P1904" s="95">
        <v>1724.9999999999998</v>
      </c>
      <c r="Q1904" s="95">
        <v>1724.9999999999998</v>
      </c>
      <c r="R1904" s="95">
        <v>1724.9999999999998</v>
      </c>
      <c r="S1904" s="95">
        <v>1724.9999999999998</v>
      </c>
      <c r="T1904" s="95">
        <v>1724.9999999999998</v>
      </c>
      <c r="U1904" s="95">
        <v>1724.9999999999998</v>
      </c>
      <c r="V1904" s="95">
        <v>1724.9999999999998</v>
      </c>
      <c r="W1904" s="95">
        <v>1724.9999999999998</v>
      </c>
      <c r="X1904" s="95">
        <v>1724.9999999999998</v>
      </c>
      <c r="Y1904" s="95">
        <v>1724.9999999999998</v>
      </c>
      <c r="Z1904" s="95">
        <v>1724.9999999999998</v>
      </c>
      <c r="AA1904" s="95">
        <v>1724.9999999999998</v>
      </c>
      <c r="AB1904" s="95">
        <v>1724.9999999999998</v>
      </c>
      <c r="AC1904" s="95">
        <v>1724.9999999999998</v>
      </c>
      <c r="AD1904" s="95">
        <v>1724.9999999999998</v>
      </c>
      <c r="AE1904" s="95">
        <v>1724.9999999999998</v>
      </c>
      <c r="AF1904" s="95">
        <v>1724.9999999999998</v>
      </c>
      <c r="AG1904" s="95">
        <v>1724.9999999999998</v>
      </c>
      <c r="AH1904" s="95">
        <v>1724.9999999999998</v>
      </c>
      <c r="AI1904" s="95">
        <v>1724.9999999999998</v>
      </c>
      <c r="AJ1904" s="95">
        <v>1724.9999999999998</v>
      </c>
      <c r="AK1904" s="95">
        <v>1724.9999999999998</v>
      </c>
      <c r="AL1904" s="95">
        <v>1724.9999999999998</v>
      </c>
      <c r="AM1904" s="95">
        <v>1724.9999999999998</v>
      </c>
      <c r="AN1904" s="95">
        <v>1724.9999999999998</v>
      </c>
      <c r="AO1904" s="95">
        <v>1724.9999999999998</v>
      </c>
      <c r="AP1904" s="95">
        <v>1724.9999999999998</v>
      </c>
      <c r="AQ1904" s="95">
        <v>1724.9999999999998</v>
      </c>
      <c r="AR1904" s="95">
        <v>1724.9999999999998</v>
      </c>
      <c r="AS1904" s="95">
        <v>1724.9999999999998</v>
      </c>
      <c r="AT1904" s="95">
        <v>1724.9999999999998</v>
      </c>
      <c r="AU1904" s="95">
        <v>1724.9999999999998</v>
      </c>
      <c r="AV1904" s="95">
        <v>1724.9999999999998</v>
      </c>
      <c r="AW1904" s="95">
        <v>1724.9999999999998</v>
      </c>
      <c r="AX1904" s="96">
        <v>1724.9999999999998</v>
      </c>
    </row>
    <row r="1905" spans="1:50" x14ac:dyDescent="0.25">
      <c r="A1905" s="356"/>
      <c r="B1905" s="359"/>
      <c r="C1905" s="350"/>
      <c r="D1905" s="2" t="s">
        <v>10</v>
      </c>
      <c r="E1905" s="160" t="str">
        <f>A1889&amp;"/"&amp;B1901&amp;"/"&amp;C1904&amp;"/"&amp;D1905</f>
        <v>Gas fired power plants (Natural gas, biogas)/Gas turbine /CHP/S</v>
      </c>
      <c r="F1905" s="76" t="str">
        <f>A1889</f>
        <v>Gas fired power plants (Natural gas, biogas)</v>
      </c>
      <c r="G1905" s="76" t="str">
        <f>B1901</f>
        <v xml:space="preserve">Gas turbine </v>
      </c>
      <c r="H1905" s="76" t="str">
        <f>C1904</f>
        <v>CHP</v>
      </c>
      <c r="I1905" s="161" t="str">
        <f t="shared" si="109"/>
        <v>S</v>
      </c>
      <c r="J1905" s="91">
        <v>1380</v>
      </c>
      <c r="K1905" s="91">
        <v>1380</v>
      </c>
      <c r="L1905" s="91">
        <v>1380</v>
      </c>
      <c r="M1905" s="91">
        <v>1380</v>
      </c>
      <c r="N1905" s="91">
        <v>1380</v>
      </c>
      <c r="O1905" s="91">
        <v>1380</v>
      </c>
      <c r="P1905" s="91">
        <v>1380</v>
      </c>
      <c r="Q1905" s="91">
        <v>1380</v>
      </c>
      <c r="R1905" s="91">
        <v>1380</v>
      </c>
      <c r="S1905" s="91">
        <v>1380</v>
      </c>
      <c r="T1905" s="91">
        <v>1380</v>
      </c>
      <c r="U1905" s="91">
        <v>1380</v>
      </c>
      <c r="V1905" s="91">
        <v>1380</v>
      </c>
      <c r="W1905" s="91">
        <v>1380</v>
      </c>
      <c r="X1905" s="91">
        <v>1380</v>
      </c>
      <c r="Y1905" s="91">
        <v>1380</v>
      </c>
      <c r="Z1905" s="91">
        <v>1380</v>
      </c>
      <c r="AA1905" s="91">
        <v>1380</v>
      </c>
      <c r="AB1905" s="91">
        <v>1380</v>
      </c>
      <c r="AC1905" s="91">
        <v>1380</v>
      </c>
      <c r="AD1905" s="91">
        <v>1380</v>
      </c>
      <c r="AE1905" s="91">
        <v>1380</v>
      </c>
      <c r="AF1905" s="91">
        <v>1380</v>
      </c>
      <c r="AG1905" s="91">
        <v>1380</v>
      </c>
      <c r="AH1905" s="91">
        <v>1380</v>
      </c>
      <c r="AI1905" s="91">
        <v>1380</v>
      </c>
      <c r="AJ1905" s="91">
        <v>1380</v>
      </c>
      <c r="AK1905" s="91">
        <v>1380</v>
      </c>
      <c r="AL1905" s="91">
        <v>1380</v>
      </c>
      <c r="AM1905" s="91">
        <v>1380</v>
      </c>
      <c r="AN1905" s="91">
        <v>1380</v>
      </c>
      <c r="AO1905" s="91">
        <v>1380</v>
      </c>
      <c r="AP1905" s="91">
        <v>1380</v>
      </c>
      <c r="AQ1905" s="91">
        <v>1380</v>
      </c>
      <c r="AR1905" s="91">
        <v>1380</v>
      </c>
      <c r="AS1905" s="91">
        <v>1380</v>
      </c>
      <c r="AT1905" s="91">
        <v>1380</v>
      </c>
      <c r="AU1905" s="91">
        <v>1380</v>
      </c>
      <c r="AV1905" s="91">
        <v>1380</v>
      </c>
      <c r="AW1905" s="91">
        <v>1380</v>
      </c>
      <c r="AX1905" s="92">
        <v>1380</v>
      </c>
    </row>
    <row r="1906" spans="1:50" x14ac:dyDescent="0.25">
      <c r="A1906" s="356"/>
      <c r="B1906" s="362"/>
      <c r="C1906" s="354"/>
      <c r="D1906" s="4" t="s">
        <v>20</v>
      </c>
      <c r="E1906" s="168" t="str">
        <f>A1889&amp;"/"&amp;B1901&amp;"/"&amp;C1904&amp;"/"&amp;D1906</f>
        <v>Gas fired power plants (Natural gas, biogas)/Gas turbine /CHP/XS</v>
      </c>
      <c r="F1906" s="80" t="str">
        <f>A1889</f>
        <v>Gas fired power plants (Natural gas, biogas)</v>
      </c>
      <c r="G1906" s="80" t="str">
        <f>B1901</f>
        <v xml:space="preserve">Gas turbine </v>
      </c>
      <c r="H1906" s="80" t="str">
        <f>C1904</f>
        <v>CHP</v>
      </c>
      <c r="I1906" s="169" t="str">
        <f t="shared" si="109"/>
        <v>XS</v>
      </c>
      <c r="J1906" s="99">
        <v>69</v>
      </c>
      <c r="K1906" s="99">
        <v>69</v>
      </c>
      <c r="L1906" s="99">
        <v>69</v>
      </c>
      <c r="M1906" s="99">
        <v>69</v>
      </c>
      <c r="N1906" s="99">
        <v>69</v>
      </c>
      <c r="O1906" s="99">
        <v>69</v>
      </c>
      <c r="P1906" s="99">
        <v>69</v>
      </c>
      <c r="Q1906" s="99">
        <v>69</v>
      </c>
      <c r="R1906" s="99">
        <v>69</v>
      </c>
      <c r="S1906" s="99">
        <v>69</v>
      </c>
      <c r="T1906" s="99">
        <v>69</v>
      </c>
      <c r="U1906" s="99">
        <v>69</v>
      </c>
      <c r="V1906" s="99">
        <v>69</v>
      </c>
      <c r="W1906" s="99">
        <v>69</v>
      </c>
      <c r="X1906" s="99">
        <v>69</v>
      </c>
      <c r="Y1906" s="99">
        <v>69</v>
      </c>
      <c r="Z1906" s="99">
        <v>69</v>
      </c>
      <c r="AA1906" s="99">
        <v>69</v>
      </c>
      <c r="AB1906" s="99">
        <v>69</v>
      </c>
      <c r="AC1906" s="99">
        <v>69</v>
      </c>
      <c r="AD1906" s="99">
        <v>69</v>
      </c>
      <c r="AE1906" s="99">
        <v>69</v>
      </c>
      <c r="AF1906" s="99">
        <v>69</v>
      </c>
      <c r="AG1906" s="99">
        <v>69</v>
      </c>
      <c r="AH1906" s="99">
        <v>69</v>
      </c>
      <c r="AI1906" s="99">
        <v>69</v>
      </c>
      <c r="AJ1906" s="99">
        <v>69</v>
      </c>
      <c r="AK1906" s="99">
        <v>69</v>
      </c>
      <c r="AL1906" s="99">
        <v>69</v>
      </c>
      <c r="AM1906" s="99">
        <v>69</v>
      </c>
      <c r="AN1906" s="99">
        <v>69</v>
      </c>
      <c r="AO1906" s="99">
        <v>69</v>
      </c>
      <c r="AP1906" s="99">
        <v>69</v>
      </c>
      <c r="AQ1906" s="99">
        <v>69</v>
      </c>
      <c r="AR1906" s="99">
        <v>69</v>
      </c>
      <c r="AS1906" s="99">
        <v>69</v>
      </c>
      <c r="AT1906" s="99">
        <v>69</v>
      </c>
      <c r="AU1906" s="99">
        <v>69</v>
      </c>
      <c r="AV1906" s="99">
        <v>69</v>
      </c>
      <c r="AW1906" s="99">
        <v>69</v>
      </c>
      <c r="AX1906" s="100">
        <v>69</v>
      </c>
    </row>
    <row r="1907" spans="1:50" x14ac:dyDescent="0.25">
      <c r="A1907" s="356"/>
      <c r="B1907" s="358" t="s">
        <v>19</v>
      </c>
      <c r="C1907" s="353" t="s">
        <v>6</v>
      </c>
      <c r="D1907" s="3" t="s">
        <v>7</v>
      </c>
      <c r="E1907" s="162" t="str">
        <f>A1889&amp;"/"&amp;B1907&amp;"/"&amp;C1907&amp;"/"&amp;D1907</f>
        <v>Gas fired power plants (Natural gas, biogas)/Steam turbine/Electricity only/L</v>
      </c>
      <c r="F1907" s="77" t="str">
        <f>A1889</f>
        <v>Gas fired power plants (Natural gas, biogas)</v>
      </c>
      <c r="G1907" s="77" t="str">
        <f>B1907</f>
        <v>Steam turbine</v>
      </c>
      <c r="H1907" s="77" t="str">
        <f>C1907</f>
        <v>Electricity only</v>
      </c>
      <c r="I1907" s="163" t="str">
        <f t="shared" si="109"/>
        <v>L</v>
      </c>
      <c r="J1907" s="93">
        <v>3750</v>
      </c>
      <c r="K1907" s="93">
        <v>3750</v>
      </c>
      <c r="L1907" s="93">
        <v>3750</v>
      </c>
      <c r="M1907" s="93">
        <v>3750</v>
      </c>
      <c r="N1907" s="93">
        <v>3750</v>
      </c>
      <c r="O1907" s="93">
        <v>3750</v>
      </c>
      <c r="P1907" s="93">
        <v>3750</v>
      </c>
      <c r="Q1907" s="93">
        <v>3750</v>
      </c>
      <c r="R1907" s="93">
        <v>3750</v>
      </c>
      <c r="S1907" s="93">
        <v>3750</v>
      </c>
      <c r="T1907" s="93">
        <v>3750</v>
      </c>
      <c r="U1907" s="93">
        <v>3750</v>
      </c>
      <c r="V1907" s="93">
        <v>3750</v>
      </c>
      <c r="W1907" s="93">
        <v>3750</v>
      </c>
      <c r="X1907" s="93">
        <v>3750</v>
      </c>
      <c r="Y1907" s="93">
        <v>3750</v>
      </c>
      <c r="Z1907" s="93">
        <v>3750</v>
      </c>
      <c r="AA1907" s="93">
        <v>3750</v>
      </c>
      <c r="AB1907" s="93">
        <v>3750</v>
      </c>
      <c r="AC1907" s="93">
        <v>3750</v>
      </c>
      <c r="AD1907" s="93">
        <v>3750</v>
      </c>
      <c r="AE1907" s="93">
        <v>3750</v>
      </c>
      <c r="AF1907" s="93">
        <v>3750</v>
      </c>
      <c r="AG1907" s="93">
        <v>3750</v>
      </c>
      <c r="AH1907" s="93">
        <v>3750</v>
      </c>
      <c r="AI1907" s="93">
        <v>3750</v>
      </c>
      <c r="AJ1907" s="93">
        <v>3750</v>
      </c>
      <c r="AK1907" s="93">
        <v>3750</v>
      </c>
      <c r="AL1907" s="93">
        <v>3750</v>
      </c>
      <c r="AM1907" s="93">
        <v>3750</v>
      </c>
      <c r="AN1907" s="93">
        <v>3750</v>
      </c>
      <c r="AO1907" s="93">
        <v>3750</v>
      </c>
      <c r="AP1907" s="93">
        <v>3750</v>
      </c>
      <c r="AQ1907" s="93">
        <v>3750</v>
      </c>
      <c r="AR1907" s="93">
        <v>3750</v>
      </c>
      <c r="AS1907" s="93">
        <v>3750</v>
      </c>
      <c r="AT1907" s="93">
        <v>3750</v>
      </c>
      <c r="AU1907" s="93">
        <v>3750</v>
      </c>
      <c r="AV1907" s="93">
        <v>3750</v>
      </c>
      <c r="AW1907" s="93">
        <v>3750</v>
      </c>
      <c r="AX1907" s="94">
        <v>3750</v>
      </c>
    </row>
    <row r="1908" spans="1:50" x14ac:dyDescent="0.25">
      <c r="A1908" s="356"/>
      <c r="B1908" s="359"/>
      <c r="C1908" s="350"/>
      <c r="D1908" s="2" t="s">
        <v>8</v>
      </c>
      <c r="E1908" s="160" t="str">
        <f>A1889&amp;"/"&amp;B1907&amp;"/"&amp;C1907&amp;"/"&amp;D1908</f>
        <v>Gas fired power plants (Natural gas, biogas)/Steam turbine/Electricity only/M</v>
      </c>
      <c r="F1908" s="76" t="str">
        <f>A1889</f>
        <v>Gas fired power plants (Natural gas, biogas)</v>
      </c>
      <c r="G1908" s="76" t="str">
        <f>B1907</f>
        <v>Steam turbine</v>
      </c>
      <c r="H1908" s="76" t="str">
        <f>C1907</f>
        <v>Electricity only</v>
      </c>
      <c r="I1908" s="161" t="str">
        <f t="shared" si="109"/>
        <v>M</v>
      </c>
      <c r="J1908" s="91">
        <v>3000</v>
      </c>
      <c r="K1908" s="91">
        <v>3000</v>
      </c>
      <c r="L1908" s="91">
        <v>3000</v>
      </c>
      <c r="M1908" s="91">
        <v>3000</v>
      </c>
      <c r="N1908" s="91">
        <v>3000</v>
      </c>
      <c r="O1908" s="91">
        <v>3000</v>
      </c>
      <c r="P1908" s="91">
        <v>3000</v>
      </c>
      <c r="Q1908" s="91">
        <v>3000</v>
      </c>
      <c r="R1908" s="91">
        <v>3000</v>
      </c>
      <c r="S1908" s="91">
        <v>3000</v>
      </c>
      <c r="T1908" s="91">
        <v>3000</v>
      </c>
      <c r="U1908" s="91">
        <v>3000</v>
      </c>
      <c r="V1908" s="91">
        <v>3000</v>
      </c>
      <c r="W1908" s="91">
        <v>3000</v>
      </c>
      <c r="X1908" s="91">
        <v>3000</v>
      </c>
      <c r="Y1908" s="91">
        <v>3000</v>
      </c>
      <c r="Z1908" s="91">
        <v>3000</v>
      </c>
      <c r="AA1908" s="91">
        <v>3000</v>
      </c>
      <c r="AB1908" s="91">
        <v>3000</v>
      </c>
      <c r="AC1908" s="91">
        <v>3000</v>
      </c>
      <c r="AD1908" s="91">
        <v>3000</v>
      </c>
      <c r="AE1908" s="91">
        <v>3000</v>
      </c>
      <c r="AF1908" s="91">
        <v>3000</v>
      </c>
      <c r="AG1908" s="91">
        <v>3000</v>
      </c>
      <c r="AH1908" s="91">
        <v>3000</v>
      </c>
      <c r="AI1908" s="91">
        <v>3000</v>
      </c>
      <c r="AJ1908" s="91">
        <v>3000</v>
      </c>
      <c r="AK1908" s="91">
        <v>3000</v>
      </c>
      <c r="AL1908" s="91">
        <v>3000</v>
      </c>
      <c r="AM1908" s="91">
        <v>3000</v>
      </c>
      <c r="AN1908" s="91">
        <v>3000</v>
      </c>
      <c r="AO1908" s="91">
        <v>3000</v>
      </c>
      <c r="AP1908" s="91">
        <v>3000</v>
      </c>
      <c r="AQ1908" s="91">
        <v>3000</v>
      </c>
      <c r="AR1908" s="91">
        <v>3000</v>
      </c>
      <c r="AS1908" s="91">
        <v>3000</v>
      </c>
      <c r="AT1908" s="91">
        <v>3000</v>
      </c>
      <c r="AU1908" s="91">
        <v>3000</v>
      </c>
      <c r="AV1908" s="91">
        <v>3000</v>
      </c>
      <c r="AW1908" s="91">
        <v>3000</v>
      </c>
      <c r="AX1908" s="92">
        <v>3000</v>
      </c>
    </row>
    <row r="1909" spans="1:50" x14ac:dyDescent="0.25">
      <c r="A1909" s="356"/>
      <c r="B1909" s="359"/>
      <c r="C1909" s="350"/>
      <c r="D1909" s="2" t="s">
        <v>10</v>
      </c>
      <c r="E1909" s="160" t="str">
        <f>A1889&amp;"/"&amp;B1907&amp;"/"&amp;C1907&amp;"/"&amp;D1909</f>
        <v>Gas fired power plants (Natural gas, biogas)/Steam turbine/Electricity only/S</v>
      </c>
      <c r="F1909" s="76" t="str">
        <f>A1889</f>
        <v>Gas fired power plants (Natural gas, biogas)</v>
      </c>
      <c r="G1909" s="76" t="str">
        <f>B1907</f>
        <v>Steam turbine</v>
      </c>
      <c r="H1909" s="76" t="str">
        <f>C1907</f>
        <v>Electricity only</v>
      </c>
      <c r="I1909" s="161" t="str">
        <f t="shared" si="109"/>
        <v>S</v>
      </c>
      <c r="J1909" s="91">
        <v>2250</v>
      </c>
      <c r="K1909" s="91">
        <v>2250</v>
      </c>
      <c r="L1909" s="91">
        <v>2250</v>
      </c>
      <c r="M1909" s="91">
        <v>2250</v>
      </c>
      <c r="N1909" s="91">
        <v>2250</v>
      </c>
      <c r="O1909" s="91">
        <v>2250</v>
      </c>
      <c r="P1909" s="91">
        <v>2250</v>
      </c>
      <c r="Q1909" s="91">
        <v>2250</v>
      </c>
      <c r="R1909" s="91">
        <v>2250</v>
      </c>
      <c r="S1909" s="91">
        <v>2250</v>
      </c>
      <c r="T1909" s="91">
        <v>2250</v>
      </c>
      <c r="U1909" s="91">
        <v>2250</v>
      </c>
      <c r="V1909" s="91">
        <v>2250</v>
      </c>
      <c r="W1909" s="91">
        <v>2250</v>
      </c>
      <c r="X1909" s="91">
        <v>2250</v>
      </c>
      <c r="Y1909" s="91">
        <v>2250</v>
      </c>
      <c r="Z1909" s="91">
        <v>2250</v>
      </c>
      <c r="AA1909" s="91">
        <v>2250</v>
      </c>
      <c r="AB1909" s="91">
        <v>2250</v>
      </c>
      <c r="AC1909" s="91">
        <v>2250</v>
      </c>
      <c r="AD1909" s="91">
        <v>2250</v>
      </c>
      <c r="AE1909" s="91">
        <v>2250</v>
      </c>
      <c r="AF1909" s="91">
        <v>2250</v>
      </c>
      <c r="AG1909" s="91">
        <v>2250</v>
      </c>
      <c r="AH1909" s="91">
        <v>2250</v>
      </c>
      <c r="AI1909" s="91">
        <v>2250</v>
      </c>
      <c r="AJ1909" s="91">
        <v>2250</v>
      </c>
      <c r="AK1909" s="91">
        <v>2250</v>
      </c>
      <c r="AL1909" s="91">
        <v>2250</v>
      </c>
      <c r="AM1909" s="91">
        <v>2250</v>
      </c>
      <c r="AN1909" s="91">
        <v>2250</v>
      </c>
      <c r="AO1909" s="91">
        <v>2250</v>
      </c>
      <c r="AP1909" s="91">
        <v>2250</v>
      </c>
      <c r="AQ1909" s="91">
        <v>2250</v>
      </c>
      <c r="AR1909" s="91">
        <v>2250</v>
      </c>
      <c r="AS1909" s="91">
        <v>2250</v>
      </c>
      <c r="AT1909" s="91">
        <v>2250</v>
      </c>
      <c r="AU1909" s="91">
        <v>2250</v>
      </c>
      <c r="AV1909" s="91">
        <v>2250</v>
      </c>
      <c r="AW1909" s="91">
        <v>2250</v>
      </c>
      <c r="AX1909" s="92">
        <v>2250</v>
      </c>
    </row>
    <row r="1910" spans="1:50" x14ac:dyDescent="0.25">
      <c r="A1910" s="356"/>
      <c r="B1910" s="359"/>
      <c r="C1910" s="360"/>
      <c r="D1910" s="2" t="s">
        <v>20</v>
      </c>
      <c r="E1910" s="160" t="str">
        <f>A1889&amp;"/"&amp;B1907&amp;"/"&amp;C1907&amp;"/"&amp;D1910</f>
        <v>Gas fired power plants (Natural gas, biogas)/Steam turbine/Electricity only/XS</v>
      </c>
      <c r="F1910" s="76" t="str">
        <f>A1889</f>
        <v>Gas fired power plants (Natural gas, biogas)</v>
      </c>
      <c r="G1910" s="76" t="str">
        <f>B1907</f>
        <v>Steam turbine</v>
      </c>
      <c r="H1910" s="76" t="str">
        <f>C1907</f>
        <v>Electricity only</v>
      </c>
      <c r="I1910" s="161" t="str">
        <f t="shared" si="109"/>
        <v>XS</v>
      </c>
      <c r="J1910" s="91">
        <v>1912.5</v>
      </c>
      <c r="K1910" s="91">
        <v>1912.5</v>
      </c>
      <c r="L1910" s="91">
        <v>1912.5</v>
      </c>
      <c r="M1910" s="91">
        <v>1912.5</v>
      </c>
      <c r="N1910" s="91">
        <v>1912.5</v>
      </c>
      <c r="O1910" s="91">
        <v>1912.5</v>
      </c>
      <c r="P1910" s="91">
        <v>1912.5</v>
      </c>
      <c r="Q1910" s="91">
        <v>1912.5</v>
      </c>
      <c r="R1910" s="91">
        <v>1912.5</v>
      </c>
      <c r="S1910" s="91">
        <v>1912.5</v>
      </c>
      <c r="T1910" s="91">
        <v>1912.5</v>
      </c>
      <c r="U1910" s="91">
        <v>1912.5</v>
      </c>
      <c r="V1910" s="91">
        <v>1912.5</v>
      </c>
      <c r="W1910" s="91">
        <v>1912.5</v>
      </c>
      <c r="X1910" s="91">
        <v>1912.5</v>
      </c>
      <c r="Y1910" s="91">
        <v>1912.5</v>
      </c>
      <c r="Z1910" s="91">
        <v>1912.5</v>
      </c>
      <c r="AA1910" s="91">
        <v>1912.5</v>
      </c>
      <c r="AB1910" s="91">
        <v>1912.5</v>
      </c>
      <c r="AC1910" s="91">
        <v>1912.5</v>
      </c>
      <c r="AD1910" s="91">
        <v>1912.5</v>
      </c>
      <c r="AE1910" s="91">
        <v>1912.5</v>
      </c>
      <c r="AF1910" s="91">
        <v>1912.5</v>
      </c>
      <c r="AG1910" s="91">
        <v>1912.5</v>
      </c>
      <c r="AH1910" s="91">
        <v>1912.5</v>
      </c>
      <c r="AI1910" s="91">
        <v>1912.5</v>
      </c>
      <c r="AJ1910" s="91">
        <v>1912.5</v>
      </c>
      <c r="AK1910" s="91">
        <v>1912.5</v>
      </c>
      <c r="AL1910" s="91">
        <v>1912.5</v>
      </c>
      <c r="AM1910" s="91">
        <v>1912.5</v>
      </c>
      <c r="AN1910" s="91">
        <v>1912.5</v>
      </c>
      <c r="AO1910" s="91">
        <v>1912.5</v>
      </c>
      <c r="AP1910" s="91">
        <v>1912.5</v>
      </c>
      <c r="AQ1910" s="91">
        <v>1912.5</v>
      </c>
      <c r="AR1910" s="91">
        <v>1912.5</v>
      </c>
      <c r="AS1910" s="91">
        <v>1912.5</v>
      </c>
      <c r="AT1910" s="91">
        <v>1912.5</v>
      </c>
      <c r="AU1910" s="91">
        <v>1912.5</v>
      </c>
      <c r="AV1910" s="91">
        <v>1912.5</v>
      </c>
      <c r="AW1910" s="91">
        <v>1912.5</v>
      </c>
      <c r="AX1910" s="92">
        <v>1912.5</v>
      </c>
    </row>
    <row r="1911" spans="1:50" x14ac:dyDescent="0.25">
      <c r="A1911" s="356"/>
      <c r="B1911" s="359"/>
      <c r="C1911" s="361" t="s">
        <v>14</v>
      </c>
      <c r="D1911" s="58" t="s">
        <v>7</v>
      </c>
      <c r="E1911" s="164" t="str">
        <f>A1889&amp;"/"&amp;B1907&amp;"/"&amp;C1911&amp;"/"&amp;D1911</f>
        <v>Gas fired power plants (Natural gas, biogas)/Steam turbine/CHP/L</v>
      </c>
      <c r="F1911" s="78" t="str">
        <f>A1889</f>
        <v>Gas fired power plants (Natural gas, biogas)</v>
      </c>
      <c r="G1911" s="78" t="str">
        <f>B1907</f>
        <v>Steam turbine</v>
      </c>
      <c r="H1911" s="78" t="str">
        <f>C1911</f>
        <v>CHP</v>
      </c>
      <c r="I1911" s="165" t="str">
        <f t="shared" si="109"/>
        <v>L</v>
      </c>
      <c r="J1911" s="95">
        <v>3000</v>
      </c>
      <c r="K1911" s="95">
        <v>3000</v>
      </c>
      <c r="L1911" s="95">
        <v>3000</v>
      </c>
      <c r="M1911" s="95">
        <v>3000</v>
      </c>
      <c r="N1911" s="95">
        <v>3000</v>
      </c>
      <c r="O1911" s="95">
        <v>3000</v>
      </c>
      <c r="P1911" s="95">
        <v>3000</v>
      </c>
      <c r="Q1911" s="95">
        <v>3000</v>
      </c>
      <c r="R1911" s="95">
        <v>3000</v>
      </c>
      <c r="S1911" s="95">
        <v>3000</v>
      </c>
      <c r="T1911" s="95">
        <v>3000</v>
      </c>
      <c r="U1911" s="95">
        <v>3000</v>
      </c>
      <c r="V1911" s="95">
        <v>3000</v>
      </c>
      <c r="W1911" s="95">
        <v>3000</v>
      </c>
      <c r="X1911" s="95">
        <v>3000</v>
      </c>
      <c r="Y1911" s="95">
        <v>3000</v>
      </c>
      <c r="Z1911" s="95">
        <v>3000</v>
      </c>
      <c r="AA1911" s="95">
        <v>3000</v>
      </c>
      <c r="AB1911" s="95">
        <v>3000</v>
      </c>
      <c r="AC1911" s="95">
        <v>3000</v>
      </c>
      <c r="AD1911" s="95">
        <v>3000</v>
      </c>
      <c r="AE1911" s="95">
        <v>3000</v>
      </c>
      <c r="AF1911" s="95">
        <v>3000</v>
      </c>
      <c r="AG1911" s="95">
        <v>3000</v>
      </c>
      <c r="AH1911" s="95">
        <v>3000</v>
      </c>
      <c r="AI1911" s="95">
        <v>3000</v>
      </c>
      <c r="AJ1911" s="95">
        <v>3000</v>
      </c>
      <c r="AK1911" s="95">
        <v>3000</v>
      </c>
      <c r="AL1911" s="95">
        <v>3000</v>
      </c>
      <c r="AM1911" s="95">
        <v>3000</v>
      </c>
      <c r="AN1911" s="95">
        <v>3000</v>
      </c>
      <c r="AO1911" s="95">
        <v>3000</v>
      </c>
      <c r="AP1911" s="95">
        <v>3000</v>
      </c>
      <c r="AQ1911" s="95">
        <v>3000</v>
      </c>
      <c r="AR1911" s="95">
        <v>3000</v>
      </c>
      <c r="AS1911" s="95">
        <v>3000</v>
      </c>
      <c r="AT1911" s="95">
        <v>3000</v>
      </c>
      <c r="AU1911" s="95">
        <v>3000</v>
      </c>
      <c r="AV1911" s="95">
        <v>3000</v>
      </c>
      <c r="AW1911" s="95">
        <v>3000</v>
      </c>
      <c r="AX1911" s="96">
        <v>3000</v>
      </c>
    </row>
    <row r="1912" spans="1:50" x14ac:dyDescent="0.25">
      <c r="A1912" s="356"/>
      <c r="B1912" s="359"/>
      <c r="C1912" s="350"/>
      <c r="D1912" s="2" t="s">
        <v>8</v>
      </c>
      <c r="E1912" s="160" t="str">
        <f>A1889&amp;"/"&amp;B1907&amp;"/"&amp;C1911&amp;"/"&amp;D1912</f>
        <v>Gas fired power plants (Natural gas, biogas)/Steam turbine/CHP/M</v>
      </c>
      <c r="F1912" s="76" t="str">
        <f>A1889</f>
        <v>Gas fired power plants (Natural gas, biogas)</v>
      </c>
      <c r="G1912" s="76" t="str">
        <f>B1907</f>
        <v>Steam turbine</v>
      </c>
      <c r="H1912" s="76" t="str">
        <f>C1911</f>
        <v>CHP</v>
      </c>
      <c r="I1912" s="161" t="str">
        <f t="shared" si="109"/>
        <v>M</v>
      </c>
      <c r="J1912" s="91">
        <v>2400</v>
      </c>
      <c r="K1912" s="91">
        <v>2400</v>
      </c>
      <c r="L1912" s="91">
        <v>2400</v>
      </c>
      <c r="M1912" s="91">
        <v>2400</v>
      </c>
      <c r="N1912" s="91">
        <v>2400</v>
      </c>
      <c r="O1912" s="91">
        <v>2400</v>
      </c>
      <c r="P1912" s="91">
        <v>2400</v>
      </c>
      <c r="Q1912" s="91">
        <v>2400</v>
      </c>
      <c r="R1912" s="91">
        <v>2400</v>
      </c>
      <c r="S1912" s="91">
        <v>2400</v>
      </c>
      <c r="T1912" s="91">
        <v>2400</v>
      </c>
      <c r="U1912" s="91">
        <v>2400</v>
      </c>
      <c r="V1912" s="91">
        <v>2400</v>
      </c>
      <c r="W1912" s="91">
        <v>2400</v>
      </c>
      <c r="X1912" s="91">
        <v>2400</v>
      </c>
      <c r="Y1912" s="91">
        <v>2400</v>
      </c>
      <c r="Z1912" s="91">
        <v>2400</v>
      </c>
      <c r="AA1912" s="91">
        <v>2400</v>
      </c>
      <c r="AB1912" s="91">
        <v>2400</v>
      </c>
      <c r="AC1912" s="91">
        <v>2400</v>
      </c>
      <c r="AD1912" s="91">
        <v>2400</v>
      </c>
      <c r="AE1912" s="91">
        <v>2400</v>
      </c>
      <c r="AF1912" s="91">
        <v>2400</v>
      </c>
      <c r="AG1912" s="91">
        <v>2400</v>
      </c>
      <c r="AH1912" s="91">
        <v>2400</v>
      </c>
      <c r="AI1912" s="91">
        <v>2400</v>
      </c>
      <c r="AJ1912" s="91">
        <v>2400</v>
      </c>
      <c r="AK1912" s="91">
        <v>2400</v>
      </c>
      <c r="AL1912" s="91">
        <v>2400</v>
      </c>
      <c r="AM1912" s="91">
        <v>2400</v>
      </c>
      <c r="AN1912" s="91">
        <v>2400</v>
      </c>
      <c r="AO1912" s="91">
        <v>2400</v>
      </c>
      <c r="AP1912" s="91">
        <v>2400</v>
      </c>
      <c r="AQ1912" s="91">
        <v>2400</v>
      </c>
      <c r="AR1912" s="91">
        <v>2400</v>
      </c>
      <c r="AS1912" s="91">
        <v>2400</v>
      </c>
      <c r="AT1912" s="91">
        <v>2400</v>
      </c>
      <c r="AU1912" s="91">
        <v>2400</v>
      </c>
      <c r="AV1912" s="91">
        <v>2400</v>
      </c>
      <c r="AW1912" s="91">
        <v>2400</v>
      </c>
      <c r="AX1912" s="92">
        <v>2400</v>
      </c>
    </row>
    <row r="1913" spans="1:50" x14ac:dyDescent="0.25">
      <c r="A1913" s="356"/>
      <c r="B1913" s="359"/>
      <c r="C1913" s="350"/>
      <c r="D1913" s="2" t="s">
        <v>10</v>
      </c>
      <c r="E1913" s="160" t="str">
        <f>A1889&amp;"/"&amp;B1907&amp;"/"&amp;C1911&amp;"/"&amp;D1913</f>
        <v>Gas fired power plants (Natural gas, biogas)/Steam turbine/CHP/S</v>
      </c>
      <c r="F1913" s="76" t="str">
        <f>A1889</f>
        <v>Gas fired power plants (Natural gas, biogas)</v>
      </c>
      <c r="G1913" s="76" t="str">
        <f>B1907</f>
        <v>Steam turbine</v>
      </c>
      <c r="H1913" s="76" t="str">
        <f>C1911</f>
        <v>CHP</v>
      </c>
      <c r="I1913" s="161" t="str">
        <f t="shared" si="109"/>
        <v>S</v>
      </c>
      <c r="J1913" s="91">
        <v>1800</v>
      </c>
      <c r="K1913" s="91">
        <v>1800</v>
      </c>
      <c r="L1913" s="91">
        <v>1800</v>
      </c>
      <c r="M1913" s="91">
        <v>1800</v>
      </c>
      <c r="N1913" s="91">
        <v>1800</v>
      </c>
      <c r="O1913" s="91">
        <v>1800</v>
      </c>
      <c r="P1913" s="91">
        <v>1800</v>
      </c>
      <c r="Q1913" s="91">
        <v>1800</v>
      </c>
      <c r="R1913" s="91">
        <v>1800</v>
      </c>
      <c r="S1913" s="91">
        <v>1800</v>
      </c>
      <c r="T1913" s="91">
        <v>1800</v>
      </c>
      <c r="U1913" s="91">
        <v>1800</v>
      </c>
      <c r="V1913" s="91">
        <v>1800</v>
      </c>
      <c r="W1913" s="91">
        <v>1800</v>
      </c>
      <c r="X1913" s="91">
        <v>1800</v>
      </c>
      <c r="Y1913" s="91">
        <v>1800</v>
      </c>
      <c r="Z1913" s="91">
        <v>1800</v>
      </c>
      <c r="AA1913" s="91">
        <v>1800</v>
      </c>
      <c r="AB1913" s="91">
        <v>1800</v>
      </c>
      <c r="AC1913" s="91">
        <v>1800</v>
      </c>
      <c r="AD1913" s="91">
        <v>1800</v>
      </c>
      <c r="AE1913" s="91">
        <v>1800</v>
      </c>
      <c r="AF1913" s="91">
        <v>1800</v>
      </c>
      <c r="AG1913" s="91">
        <v>1800</v>
      </c>
      <c r="AH1913" s="91">
        <v>1800</v>
      </c>
      <c r="AI1913" s="91">
        <v>1800</v>
      </c>
      <c r="AJ1913" s="91">
        <v>1800</v>
      </c>
      <c r="AK1913" s="91">
        <v>1800</v>
      </c>
      <c r="AL1913" s="91">
        <v>1800</v>
      </c>
      <c r="AM1913" s="91">
        <v>1800</v>
      </c>
      <c r="AN1913" s="91">
        <v>1800</v>
      </c>
      <c r="AO1913" s="91">
        <v>1800</v>
      </c>
      <c r="AP1913" s="91">
        <v>1800</v>
      </c>
      <c r="AQ1913" s="91">
        <v>1800</v>
      </c>
      <c r="AR1913" s="91">
        <v>1800</v>
      </c>
      <c r="AS1913" s="91">
        <v>1800</v>
      </c>
      <c r="AT1913" s="91">
        <v>1800</v>
      </c>
      <c r="AU1913" s="91">
        <v>1800</v>
      </c>
      <c r="AV1913" s="91">
        <v>1800</v>
      </c>
      <c r="AW1913" s="91">
        <v>1800</v>
      </c>
      <c r="AX1913" s="92">
        <v>1800</v>
      </c>
    </row>
    <row r="1914" spans="1:50" x14ac:dyDescent="0.25">
      <c r="A1914" s="356"/>
      <c r="B1914" s="359"/>
      <c r="C1914" s="360"/>
      <c r="D1914" s="59" t="s">
        <v>20</v>
      </c>
      <c r="E1914" s="166" t="str">
        <f>A1889&amp;"/"&amp;B1907&amp;"/"&amp;C1911&amp;"/"&amp;D1914</f>
        <v>Gas fired power plants (Natural gas, biogas)/Steam turbine/CHP/XS</v>
      </c>
      <c r="F1914" s="79" t="str">
        <f>A1889</f>
        <v>Gas fired power plants (Natural gas, biogas)</v>
      </c>
      <c r="G1914" s="79" t="str">
        <f>B1907</f>
        <v>Steam turbine</v>
      </c>
      <c r="H1914" s="79" t="str">
        <f>C1911</f>
        <v>CHP</v>
      </c>
      <c r="I1914" s="167" t="str">
        <f t="shared" si="109"/>
        <v>XS</v>
      </c>
      <c r="J1914" s="97">
        <v>1530</v>
      </c>
      <c r="K1914" s="97">
        <v>1530</v>
      </c>
      <c r="L1914" s="97">
        <v>1530</v>
      </c>
      <c r="M1914" s="97">
        <v>1530</v>
      </c>
      <c r="N1914" s="97">
        <v>1530</v>
      </c>
      <c r="O1914" s="97">
        <v>1530</v>
      </c>
      <c r="P1914" s="97">
        <v>1530</v>
      </c>
      <c r="Q1914" s="97">
        <v>1530</v>
      </c>
      <c r="R1914" s="97">
        <v>1530</v>
      </c>
      <c r="S1914" s="97">
        <v>1530</v>
      </c>
      <c r="T1914" s="97">
        <v>1530</v>
      </c>
      <c r="U1914" s="97">
        <v>1530</v>
      </c>
      <c r="V1914" s="97">
        <v>1530</v>
      </c>
      <c r="W1914" s="97">
        <v>1530</v>
      </c>
      <c r="X1914" s="97">
        <v>1530</v>
      </c>
      <c r="Y1914" s="97">
        <v>1530</v>
      </c>
      <c r="Z1914" s="97">
        <v>1530</v>
      </c>
      <c r="AA1914" s="97">
        <v>1530</v>
      </c>
      <c r="AB1914" s="97">
        <v>1530</v>
      </c>
      <c r="AC1914" s="97">
        <v>1530</v>
      </c>
      <c r="AD1914" s="97">
        <v>1530</v>
      </c>
      <c r="AE1914" s="97">
        <v>1530</v>
      </c>
      <c r="AF1914" s="97">
        <v>1530</v>
      </c>
      <c r="AG1914" s="97">
        <v>1530</v>
      </c>
      <c r="AH1914" s="97">
        <v>1530</v>
      </c>
      <c r="AI1914" s="97">
        <v>1530</v>
      </c>
      <c r="AJ1914" s="97">
        <v>1530</v>
      </c>
      <c r="AK1914" s="97">
        <v>1530</v>
      </c>
      <c r="AL1914" s="97">
        <v>1530</v>
      </c>
      <c r="AM1914" s="97">
        <v>1530</v>
      </c>
      <c r="AN1914" s="97">
        <v>1530</v>
      </c>
      <c r="AO1914" s="97">
        <v>1530</v>
      </c>
      <c r="AP1914" s="97">
        <v>1530</v>
      </c>
      <c r="AQ1914" s="97">
        <v>1530</v>
      </c>
      <c r="AR1914" s="97">
        <v>1530</v>
      </c>
      <c r="AS1914" s="97">
        <v>1530</v>
      </c>
      <c r="AT1914" s="97">
        <v>1530</v>
      </c>
      <c r="AU1914" s="97">
        <v>1530</v>
      </c>
      <c r="AV1914" s="97">
        <v>1530</v>
      </c>
      <c r="AW1914" s="97">
        <v>1530</v>
      </c>
      <c r="AX1914" s="98">
        <v>1530</v>
      </c>
    </row>
    <row r="1915" spans="1:50" x14ac:dyDescent="0.25">
      <c r="A1915" s="356"/>
      <c r="B1915" s="359"/>
      <c r="C1915" s="361" t="s">
        <v>15</v>
      </c>
      <c r="D1915" s="58" t="s">
        <v>7</v>
      </c>
      <c r="E1915" s="164" t="str">
        <f>A1889&amp;"/"&amp;B1907&amp;"/"&amp;C1915&amp;"/"&amp;D1915</f>
        <v>Gas fired power plants (Natural gas, biogas)/Steam turbine/Electricity only with CCS/L</v>
      </c>
      <c r="F1915" s="78" t="str">
        <f>A1889</f>
        <v>Gas fired power plants (Natural gas, biogas)</v>
      </c>
      <c r="G1915" s="78" t="str">
        <f>B1907</f>
        <v>Steam turbine</v>
      </c>
      <c r="H1915" s="78" t="str">
        <f>C1915</f>
        <v>Electricity only with CCS</v>
      </c>
      <c r="I1915" s="165" t="str">
        <f t="shared" si="109"/>
        <v>L</v>
      </c>
      <c r="J1915" s="95" t="s">
        <v>112</v>
      </c>
      <c r="K1915" s="95" t="s">
        <v>112</v>
      </c>
      <c r="L1915" s="95" t="s">
        <v>112</v>
      </c>
      <c r="M1915" s="95" t="s">
        <v>112</v>
      </c>
      <c r="N1915" s="95" t="s">
        <v>112</v>
      </c>
      <c r="O1915" s="95" t="s">
        <v>112</v>
      </c>
      <c r="P1915" s="95" t="s">
        <v>112</v>
      </c>
      <c r="Q1915" s="95" t="s">
        <v>112</v>
      </c>
      <c r="R1915" s="95" t="s">
        <v>112</v>
      </c>
      <c r="S1915" s="95" t="s">
        <v>112</v>
      </c>
      <c r="T1915" s="95" t="s">
        <v>112</v>
      </c>
      <c r="U1915" s="95" t="s">
        <v>112</v>
      </c>
      <c r="V1915" s="95" t="s">
        <v>112</v>
      </c>
      <c r="W1915" s="95" t="s">
        <v>112</v>
      </c>
      <c r="X1915" s="95" t="s">
        <v>112</v>
      </c>
      <c r="Y1915" s="95" t="s">
        <v>112</v>
      </c>
      <c r="Z1915" s="95" t="s">
        <v>112</v>
      </c>
      <c r="AA1915" s="95" t="s">
        <v>112</v>
      </c>
      <c r="AB1915" s="95" t="s">
        <v>112</v>
      </c>
      <c r="AC1915" s="95" t="s">
        <v>112</v>
      </c>
      <c r="AD1915" s="95" t="s">
        <v>112</v>
      </c>
      <c r="AE1915" s="95">
        <v>3750</v>
      </c>
      <c r="AF1915" s="95">
        <v>3750</v>
      </c>
      <c r="AG1915" s="95">
        <v>3750</v>
      </c>
      <c r="AH1915" s="95">
        <v>3750</v>
      </c>
      <c r="AI1915" s="95">
        <v>3750</v>
      </c>
      <c r="AJ1915" s="95">
        <v>3750</v>
      </c>
      <c r="AK1915" s="95">
        <v>3750</v>
      </c>
      <c r="AL1915" s="95">
        <v>3750</v>
      </c>
      <c r="AM1915" s="95">
        <v>3750</v>
      </c>
      <c r="AN1915" s="95">
        <v>3750</v>
      </c>
      <c r="AO1915" s="95">
        <v>3750</v>
      </c>
      <c r="AP1915" s="95">
        <v>3750</v>
      </c>
      <c r="AQ1915" s="95">
        <v>3750</v>
      </c>
      <c r="AR1915" s="95">
        <v>3750</v>
      </c>
      <c r="AS1915" s="95">
        <v>3750</v>
      </c>
      <c r="AT1915" s="95">
        <v>3750</v>
      </c>
      <c r="AU1915" s="95">
        <v>3750</v>
      </c>
      <c r="AV1915" s="95">
        <v>3750</v>
      </c>
      <c r="AW1915" s="95">
        <v>3750</v>
      </c>
      <c r="AX1915" s="96">
        <v>3750</v>
      </c>
    </row>
    <row r="1916" spans="1:50" x14ac:dyDescent="0.25">
      <c r="A1916" s="356"/>
      <c r="B1916" s="359"/>
      <c r="C1916" s="360"/>
      <c r="D1916" s="59" t="s">
        <v>8</v>
      </c>
      <c r="E1916" s="166" t="str">
        <f>A1889&amp;"/"&amp;B1907&amp;"/"&amp;C1915&amp;"/"&amp;D1916</f>
        <v>Gas fired power plants (Natural gas, biogas)/Steam turbine/Electricity only with CCS/M</v>
      </c>
      <c r="F1916" s="79" t="str">
        <f>A1889</f>
        <v>Gas fired power plants (Natural gas, biogas)</v>
      </c>
      <c r="G1916" s="79" t="str">
        <f>B1907</f>
        <v>Steam turbine</v>
      </c>
      <c r="H1916" s="79" t="str">
        <f>C1915</f>
        <v>Electricity only with CCS</v>
      </c>
      <c r="I1916" s="167" t="str">
        <f t="shared" si="109"/>
        <v>M</v>
      </c>
      <c r="J1916" s="97" t="s">
        <v>112</v>
      </c>
      <c r="K1916" s="97" t="s">
        <v>112</v>
      </c>
      <c r="L1916" s="97" t="s">
        <v>112</v>
      </c>
      <c r="M1916" s="97" t="s">
        <v>112</v>
      </c>
      <c r="N1916" s="97" t="s">
        <v>112</v>
      </c>
      <c r="O1916" s="97" t="s">
        <v>112</v>
      </c>
      <c r="P1916" s="97" t="s">
        <v>112</v>
      </c>
      <c r="Q1916" s="97" t="s">
        <v>112</v>
      </c>
      <c r="R1916" s="97" t="s">
        <v>112</v>
      </c>
      <c r="S1916" s="97" t="s">
        <v>112</v>
      </c>
      <c r="T1916" s="97" t="s">
        <v>112</v>
      </c>
      <c r="U1916" s="97" t="s">
        <v>112</v>
      </c>
      <c r="V1916" s="97" t="s">
        <v>112</v>
      </c>
      <c r="W1916" s="97" t="s">
        <v>112</v>
      </c>
      <c r="X1916" s="97" t="s">
        <v>112</v>
      </c>
      <c r="Y1916" s="97" t="s">
        <v>112</v>
      </c>
      <c r="Z1916" s="97" t="s">
        <v>112</v>
      </c>
      <c r="AA1916" s="97" t="s">
        <v>112</v>
      </c>
      <c r="AB1916" s="97" t="s">
        <v>112</v>
      </c>
      <c r="AC1916" s="97" t="s">
        <v>112</v>
      </c>
      <c r="AD1916" s="97" t="s">
        <v>112</v>
      </c>
      <c r="AE1916" s="97">
        <v>3000</v>
      </c>
      <c r="AF1916" s="97">
        <v>3000</v>
      </c>
      <c r="AG1916" s="97">
        <v>3000</v>
      </c>
      <c r="AH1916" s="97">
        <v>3000</v>
      </c>
      <c r="AI1916" s="97">
        <v>3000</v>
      </c>
      <c r="AJ1916" s="97">
        <v>3000</v>
      </c>
      <c r="AK1916" s="97">
        <v>3000</v>
      </c>
      <c r="AL1916" s="97">
        <v>3000</v>
      </c>
      <c r="AM1916" s="97">
        <v>3000</v>
      </c>
      <c r="AN1916" s="97">
        <v>3000</v>
      </c>
      <c r="AO1916" s="97">
        <v>3000</v>
      </c>
      <c r="AP1916" s="97">
        <v>3000</v>
      </c>
      <c r="AQ1916" s="97">
        <v>3000</v>
      </c>
      <c r="AR1916" s="97">
        <v>3000</v>
      </c>
      <c r="AS1916" s="97">
        <v>3000</v>
      </c>
      <c r="AT1916" s="97">
        <v>3000</v>
      </c>
      <c r="AU1916" s="97">
        <v>3000</v>
      </c>
      <c r="AV1916" s="97">
        <v>3000</v>
      </c>
      <c r="AW1916" s="97">
        <v>3000</v>
      </c>
      <c r="AX1916" s="98">
        <v>3000</v>
      </c>
    </row>
    <row r="1917" spans="1:50" x14ac:dyDescent="0.25">
      <c r="A1917" s="356"/>
      <c r="B1917" s="359"/>
      <c r="C1917" s="361" t="s">
        <v>16</v>
      </c>
      <c r="D1917" s="2" t="s">
        <v>7</v>
      </c>
      <c r="E1917" s="160" t="str">
        <f>A1889&amp;"/"&amp;B1907&amp;"/"&amp;C1917&amp;"/"&amp;D1917</f>
        <v>Gas fired power plants (Natural gas, biogas)/Steam turbine/CHP with CCS/L</v>
      </c>
      <c r="F1917" s="76" t="str">
        <f>A1889</f>
        <v>Gas fired power plants (Natural gas, biogas)</v>
      </c>
      <c r="G1917" s="76" t="str">
        <f>B1907</f>
        <v>Steam turbine</v>
      </c>
      <c r="H1917" s="76" t="str">
        <f>C1917</f>
        <v>CHP with CCS</v>
      </c>
      <c r="I1917" s="161" t="str">
        <f t="shared" si="109"/>
        <v>L</v>
      </c>
      <c r="J1917" s="91" t="s">
        <v>112</v>
      </c>
      <c r="K1917" s="91" t="s">
        <v>112</v>
      </c>
      <c r="L1917" s="91" t="s">
        <v>112</v>
      </c>
      <c r="M1917" s="91" t="s">
        <v>112</v>
      </c>
      <c r="N1917" s="91" t="s">
        <v>112</v>
      </c>
      <c r="O1917" s="91" t="s">
        <v>112</v>
      </c>
      <c r="P1917" s="91" t="s">
        <v>112</v>
      </c>
      <c r="Q1917" s="91" t="s">
        <v>112</v>
      </c>
      <c r="R1917" s="91" t="s">
        <v>112</v>
      </c>
      <c r="S1917" s="91" t="s">
        <v>112</v>
      </c>
      <c r="T1917" s="91" t="s">
        <v>112</v>
      </c>
      <c r="U1917" s="91" t="s">
        <v>112</v>
      </c>
      <c r="V1917" s="91" t="s">
        <v>112</v>
      </c>
      <c r="W1917" s="91" t="s">
        <v>112</v>
      </c>
      <c r="X1917" s="91" t="s">
        <v>112</v>
      </c>
      <c r="Y1917" s="91" t="s">
        <v>112</v>
      </c>
      <c r="Z1917" s="91" t="s">
        <v>112</v>
      </c>
      <c r="AA1917" s="91" t="s">
        <v>112</v>
      </c>
      <c r="AB1917" s="91" t="s">
        <v>112</v>
      </c>
      <c r="AC1917" s="91" t="s">
        <v>112</v>
      </c>
      <c r="AD1917" s="91" t="s">
        <v>112</v>
      </c>
      <c r="AE1917" s="91">
        <v>3000</v>
      </c>
      <c r="AF1917" s="91">
        <v>3000</v>
      </c>
      <c r="AG1917" s="91">
        <v>3000</v>
      </c>
      <c r="AH1917" s="91">
        <v>3000</v>
      </c>
      <c r="AI1917" s="91">
        <v>3000</v>
      </c>
      <c r="AJ1917" s="91">
        <v>3000</v>
      </c>
      <c r="AK1917" s="91">
        <v>3000</v>
      </c>
      <c r="AL1917" s="91">
        <v>3000</v>
      </c>
      <c r="AM1917" s="91">
        <v>3000</v>
      </c>
      <c r="AN1917" s="91">
        <v>3000</v>
      </c>
      <c r="AO1917" s="91">
        <v>3000</v>
      </c>
      <c r="AP1917" s="91">
        <v>3000</v>
      </c>
      <c r="AQ1917" s="91">
        <v>3000</v>
      </c>
      <c r="AR1917" s="91">
        <v>3000</v>
      </c>
      <c r="AS1917" s="91">
        <v>3000</v>
      </c>
      <c r="AT1917" s="91">
        <v>3000</v>
      </c>
      <c r="AU1917" s="91">
        <v>3000</v>
      </c>
      <c r="AV1917" s="91">
        <v>3000</v>
      </c>
      <c r="AW1917" s="91">
        <v>3000</v>
      </c>
      <c r="AX1917" s="92">
        <v>3000</v>
      </c>
    </row>
    <row r="1918" spans="1:50" x14ac:dyDescent="0.25">
      <c r="A1918" s="356"/>
      <c r="B1918" s="362"/>
      <c r="C1918" s="354"/>
      <c r="D1918" s="4" t="s">
        <v>8</v>
      </c>
      <c r="E1918" s="168" t="str">
        <f>A1889&amp;"/"&amp;B1907&amp;"/"&amp;C1917&amp;"/"&amp;D1918</f>
        <v>Gas fired power plants (Natural gas, biogas)/Steam turbine/CHP with CCS/M</v>
      </c>
      <c r="F1918" s="80" t="str">
        <f>A1889</f>
        <v>Gas fired power plants (Natural gas, biogas)</v>
      </c>
      <c r="G1918" s="80" t="str">
        <f>B1907</f>
        <v>Steam turbine</v>
      </c>
      <c r="H1918" s="80" t="str">
        <f>C1917</f>
        <v>CHP with CCS</v>
      </c>
      <c r="I1918" s="169" t="str">
        <f t="shared" si="109"/>
        <v>M</v>
      </c>
      <c r="J1918" s="99" t="s">
        <v>112</v>
      </c>
      <c r="K1918" s="99" t="s">
        <v>112</v>
      </c>
      <c r="L1918" s="99" t="s">
        <v>112</v>
      </c>
      <c r="M1918" s="99" t="s">
        <v>112</v>
      </c>
      <c r="N1918" s="99" t="s">
        <v>112</v>
      </c>
      <c r="O1918" s="99" t="s">
        <v>112</v>
      </c>
      <c r="P1918" s="99" t="s">
        <v>112</v>
      </c>
      <c r="Q1918" s="99" t="s">
        <v>112</v>
      </c>
      <c r="R1918" s="99" t="s">
        <v>112</v>
      </c>
      <c r="S1918" s="99" t="s">
        <v>112</v>
      </c>
      <c r="T1918" s="99" t="s">
        <v>112</v>
      </c>
      <c r="U1918" s="99" t="s">
        <v>112</v>
      </c>
      <c r="V1918" s="99" t="s">
        <v>112</v>
      </c>
      <c r="W1918" s="99" t="s">
        <v>112</v>
      </c>
      <c r="X1918" s="99" t="s">
        <v>112</v>
      </c>
      <c r="Y1918" s="99" t="s">
        <v>112</v>
      </c>
      <c r="Z1918" s="99" t="s">
        <v>112</v>
      </c>
      <c r="AA1918" s="99" t="s">
        <v>112</v>
      </c>
      <c r="AB1918" s="99" t="s">
        <v>112</v>
      </c>
      <c r="AC1918" s="99" t="s">
        <v>112</v>
      </c>
      <c r="AD1918" s="99" t="s">
        <v>112</v>
      </c>
      <c r="AE1918" s="99">
        <v>2400</v>
      </c>
      <c r="AF1918" s="99">
        <v>2400</v>
      </c>
      <c r="AG1918" s="99">
        <v>2400</v>
      </c>
      <c r="AH1918" s="99">
        <v>2400</v>
      </c>
      <c r="AI1918" s="99">
        <v>2400</v>
      </c>
      <c r="AJ1918" s="99">
        <v>2400</v>
      </c>
      <c r="AK1918" s="99">
        <v>2400</v>
      </c>
      <c r="AL1918" s="99">
        <v>2400</v>
      </c>
      <c r="AM1918" s="99">
        <v>2400</v>
      </c>
      <c r="AN1918" s="99">
        <v>2400</v>
      </c>
      <c r="AO1918" s="99">
        <v>2400</v>
      </c>
      <c r="AP1918" s="99">
        <v>2400</v>
      </c>
      <c r="AQ1918" s="99">
        <v>2400</v>
      </c>
      <c r="AR1918" s="99">
        <v>2400</v>
      </c>
      <c r="AS1918" s="99">
        <v>2400</v>
      </c>
      <c r="AT1918" s="99">
        <v>2400</v>
      </c>
      <c r="AU1918" s="99">
        <v>2400</v>
      </c>
      <c r="AV1918" s="99">
        <v>2400</v>
      </c>
      <c r="AW1918" s="99">
        <v>2400</v>
      </c>
      <c r="AX1918" s="100">
        <v>2400</v>
      </c>
    </row>
    <row r="1919" spans="1:50" x14ac:dyDescent="0.25">
      <c r="A1919" s="356"/>
      <c r="B1919" s="358" t="s">
        <v>25</v>
      </c>
      <c r="C1919" s="353" t="s">
        <v>6</v>
      </c>
      <c r="D1919" s="3" t="s">
        <v>10</v>
      </c>
      <c r="E1919" s="162" t="str">
        <f>A1889&amp;"/"&amp;B1919&amp;"/"&amp;C1919&amp;"/"&amp;D1919</f>
        <v>Gas fired power plants (Natural gas, biogas)/Internal combustion engine/Electricity only/S</v>
      </c>
      <c r="F1919" s="77" t="str">
        <f>A1889</f>
        <v>Gas fired power plants (Natural gas, biogas)</v>
      </c>
      <c r="G1919" s="77" t="str">
        <f>B1919</f>
        <v>Internal combustion engine</v>
      </c>
      <c r="H1919" s="77" t="str">
        <f>C1919</f>
        <v>Electricity only</v>
      </c>
      <c r="I1919" s="163" t="str">
        <f t="shared" si="109"/>
        <v>S</v>
      </c>
      <c r="J1919" s="93">
        <v>50</v>
      </c>
      <c r="K1919" s="93">
        <v>50</v>
      </c>
      <c r="L1919" s="93">
        <v>50</v>
      </c>
      <c r="M1919" s="93">
        <v>50</v>
      </c>
      <c r="N1919" s="93">
        <v>50</v>
      </c>
      <c r="O1919" s="93">
        <v>50</v>
      </c>
      <c r="P1919" s="93">
        <v>50</v>
      </c>
      <c r="Q1919" s="93">
        <v>50</v>
      </c>
      <c r="R1919" s="93">
        <v>50</v>
      </c>
      <c r="S1919" s="93">
        <v>50</v>
      </c>
      <c r="T1919" s="93">
        <v>50</v>
      </c>
      <c r="U1919" s="93">
        <v>50</v>
      </c>
      <c r="V1919" s="93">
        <v>50</v>
      </c>
      <c r="W1919" s="93">
        <v>50</v>
      </c>
      <c r="X1919" s="93">
        <v>50</v>
      </c>
      <c r="Y1919" s="93">
        <v>50</v>
      </c>
      <c r="Z1919" s="93">
        <v>50</v>
      </c>
      <c r="AA1919" s="93">
        <v>50</v>
      </c>
      <c r="AB1919" s="93">
        <v>50</v>
      </c>
      <c r="AC1919" s="93">
        <v>50</v>
      </c>
      <c r="AD1919" s="93">
        <v>50</v>
      </c>
      <c r="AE1919" s="93">
        <v>50</v>
      </c>
      <c r="AF1919" s="93">
        <v>50</v>
      </c>
      <c r="AG1919" s="93">
        <v>50</v>
      </c>
      <c r="AH1919" s="93">
        <v>50</v>
      </c>
      <c r="AI1919" s="93">
        <v>50</v>
      </c>
      <c r="AJ1919" s="93">
        <v>50</v>
      </c>
      <c r="AK1919" s="93">
        <v>50</v>
      </c>
      <c r="AL1919" s="93">
        <v>50</v>
      </c>
      <c r="AM1919" s="93">
        <v>50</v>
      </c>
      <c r="AN1919" s="93">
        <v>50</v>
      </c>
      <c r="AO1919" s="93">
        <v>50</v>
      </c>
      <c r="AP1919" s="93">
        <v>50</v>
      </c>
      <c r="AQ1919" s="93">
        <v>50</v>
      </c>
      <c r="AR1919" s="93">
        <v>50</v>
      </c>
      <c r="AS1919" s="93">
        <v>50</v>
      </c>
      <c r="AT1919" s="93">
        <v>50</v>
      </c>
      <c r="AU1919" s="93">
        <v>50</v>
      </c>
      <c r="AV1919" s="93">
        <v>50</v>
      </c>
      <c r="AW1919" s="93">
        <v>50</v>
      </c>
      <c r="AX1919" s="94">
        <v>50</v>
      </c>
    </row>
    <row r="1920" spans="1:50" x14ac:dyDescent="0.25">
      <c r="A1920" s="356"/>
      <c r="B1920" s="359"/>
      <c r="C1920" s="360"/>
      <c r="D1920" s="59" t="s">
        <v>20</v>
      </c>
      <c r="E1920" s="160" t="str">
        <f>A1889&amp;"/"&amp;B1919&amp;"/"&amp;C1919&amp;"/"&amp;D1920</f>
        <v>Gas fired power plants (Natural gas, biogas)/Internal combustion engine/Electricity only/XS</v>
      </c>
      <c r="F1920" s="76" t="str">
        <f>A1889</f>
        <v>Gas fired power plants (Natural gas, biogas)</v>
      </c>
      <c r="G1920" s="76" t="str">
        <f>B1919</f>
        <v>Internal combustion engine</v>
      </c>
      <c r="H1920" s="76" t="str">
        <f>C1919</f>
        <v>Electricity only</v>
      </c>
      <c r="I1920" s="161" t="str">
        <f t="shared" si="109"/>
        <v>XS</v>
      </c>
      <c r="J1920" s="91">
        <v>0.1</v>
      </c>
      <c r="K1920" s="91">
        <v>0.1</v>
      </c>
      <c r="L1920" s="91">
        <v>0.1</v>
      </c>
      <c r="M1920" s="91">
        <v>0.1</v>
      </c>
      <c r="N1920" s="91">
        <v>0.1</v>
      </c>
      <c r="O1920" s="91">
        <v>0.1</v>
      </c>
      <c r="P1920" s="91">
        <v>0.1</v>
      </c>
      <c r="Q1920" s="91">
        <v>0.1</v>
      </c>
      <c r="R1920" s="91">
        <v>0.1</v>
      </c>
      <c r="S1920" s="91">
        <v>0.1</v>
      </c>
      <c r="T1920" s="91">
        <v>0.1</v>
      </c>
      <c r="U1920" s="91">
        <v>0.1</v>
      </c>
      <c r="V1920" s="91">
        <v>0.1</v>
      </c>
      <c r="W1920" s="91">
        <v>0.1</v>
      </c>
      <c r="X1920" s="91">
        <v>0.1</v>
      </c>
      <c r="Y1920" s="91">
        <v>0.1</v>
      </c>
      <c r="Z1920" s="91">
        <v>0.1</v>
      </c>
      <c r="AA1920" s="91">
        <v>0.1</v>
      </c>
      <c r="AB1920" s="91">
        <v>0.1</v>
      </c>
      <c r="AC1920" s="91">
        <v>0.1</v>
      </c>
      <c r="AD1920" s="91">
        <v>0.1</v>
      </c>
      <c r="AE1920" s="91">
        <v>0.1</v>
      </c>
      <c r="AF1920" s="91">
        <v>0.1</v>
      </c>
      <c r="AG1920" s="91">
        <v>0.1</v>
      </c>
      <c r="AH1920" s="91">
        <v>0.1</v>
      </c>
      <c r="AI1920" s="91">
        <v>0.1</v>
      </c>
      <c r="AJ1920" s="91">
        <v>0.1</v>
      </c>
      <c r="AK1920" s="91">
        <v>0.1</v>
      </c>
      <c r="AL1920" s="91">
        <v>0.1</v>
      </c>
      <c r="AM1920" s="91">
        <v>0.1</v>
      </c>
      <c r="AN1920" s="91">
        <v>0.1</v>
      </c>
      <c r="AO1920" s="91">
        <v>0.1</v>
      </c>
      <c r="AP1920" s="91">
        <v>0.1</v>
      </c>
      <c r="AQ1920" s="91">
        <v>0.1</v>
      </c>
      <c r="AR1920" s="91">
        <v>0.1</v>
      </c>
      <c r="AS1920" s="91">
        <v>0.1</v>
      </c>
      <c r="AT1920" s="91">
        <v>0.1</v>
      </c>
      <c r="AU1920" s="91">
        <v>0.1</v>
      </c>
      <c r="AV1920" s="91">
        <v>0.1</v>
      </c>
      <c r="AW1920" s="91">
        <v>0.1</v>
      </c>
      <c r="AX1920" s="92">
        <v>0.1</v>
      </c>
    </row>
    <row r="1921" spans="1:50" x14ac:dyDescent="0.25">
      <c r="A1921" s="356"/>
      <c r="B1921" s="359"/>
      <c r="C1921" s="361" t="s">
        <v>14</v>
      </c>
      <c r="D1921" s="2" t="s">
        <v>10</v>
      </c>
      <c r="E1921" s="164" t="str">
        <f>A1889&amp;"/"&amp;B1919&amp;"/"&amp;C1921&amp;"/"&amp;D1921</f>
        <v>Gas fired power plants (Natural gas, biogas)/Internal combustion engine/CHP/S</v>
      </c>
      <c r="F1921" s="78" t="str">
        <f>A1889</f>
        <v>Gas fired power plants (Natural gas, biogas)</v>
      </c>
      <c r="G1921" s="78" t="str">
        <f>B1919</f>
        <v>Internal combustion engine</v>
      </c>
      <c r="H1921" s="78" t="str">
        <f>C1921</f>
        <v>CHP</v>
      </c>
      <c r="I1921" s="165" t="str">
        <f t="shared" si="109"/>
        <v>S</v>
      </c>
      <c r="J1921" s="95">
        <v>100</v>
      </c>
      <c r="K1921" s="95">
        <v>100</v>
      </c>
      <c r="L1921" s="95">
        <v>100</v>
      </c>
      <c r="M1921" s="95">
        <v>100</v>
      </c>
      <c r="N1921" s="95">
        <v>100</v>
      </c>
      <c r="O1921" s="95">
        <v>100</v>
      </c>
      <c r="P1921" s="95">
        <v>100</v>
      </c>
      <c r="Q1921" s="95">
        <v>100</v>
      </c>
      <c r="R1921" s="95">
        <v>100</v>
      </c>
      <c r="S1921" s="95">
        <v>100</v>
      </c>
      <c r="T1921" s="95">
        <v>100</v>
      </c>
      <c r="U1921" s="95">
        <v>100</v>
      </c>
      <c r="V1921" s="95">
        <v>100</v>
      </c>
      <c r="W1921" s="95">
        <v>100</v>
      </c>
      <c r="X1921" s="95">
        <v>100</v>
      </c>
      <c r="Y1921" s="95">
        <v>100</v>
      </c>
      <c r="Z1921" s="95">
        <v>100</v>
      </c>
      <c r="AA1921" s="95">
        <v>100</v>
      </c>
      <c r="AB1921" s="95">
        <v>100</v>
      </c>
      <c r="AC1921" s="95">
        <v>100</v>
      </c>
      <c r="AD1921" s="95">
        <v>100</v>
      </c>
      <c r="AE1921" s="95">
        <v>100</v>
      </c>
      <c r="AF1921" s="95">
        <v>100</v>
      </c>
      <c r="AG1921" s="95">
        <v>100</v>
      </c>
      <c r="AH1921" s="95">
        <v>100</v>
      </c>
      <c r="AI1921" s="95">
        <v>100</v>
      </c>
      <c r="AJ1921" s="95">
        <v>100</v>
      </c>
      <c r="AK1921" s="95">
        <v>100</v>
      </c>
      <c r="AL1921" s="95">
        <v>100</v>
      </c>
      <c r="AM1921" s="95">
        <v>100</v>
      </c>
      <c r="AN1921" s="95">
        <v>100</v>
      </c>
      <c r="AO1921" s="95">
        <v>100</v>
      </c>
      <c r="AP1921" s="95">
        <v>100</v>
      </c>
      <c r="AQ1921" s="95">
        <v>100</v>
      </c>
      <c r="AR1921" s="95">
        <v>100</v>
      </c>
      <c r="AS1921" s="95">
        <v>100</v>
      </c>
      <c r="AT1921" s="95">
        <v>100</v>
      </c>
      <c r="AU1921" s="95">
        <v>100</v>
      </c>
      <c r="AV1921" s="95">
        <v>100</v>
      </c>
      <c r="AW1921" s="95">
        <v>100</v>
      </c>
      <c r="AX1921" s="96">
        <v>100</v>
      </c>
    </row>
    <row r="1922" spans="1:50" x14ac:dyDescent="0.25">
      <c r="A1922" s="356"/>
      <c r="B1922" s="362"/>
      <c r="C1922" s="354"/>
      <c r="D1922" s="4" t="s">
        <v>20</v>
      </c>
      <c r="E1922" s="168" t="str">
        <f>A1889&amp;"/"&amp;B1919&amp;"/"&amp;C1921&amp;"/"&amp;D1922</f>
        <v>Gas fired power plants (Natural gas, biogas)/Internal combustion engine/CHP/XS</v>
      </c>
      <c r="F1922" s="80" t="str">
        <f>A1889</f>
        <v>Gas fired power plants (Natural gas, biogas)</v>
      </c>
      <c r="G1922" s="80" t="str">
        <f>B1919</f>
        <v>Internal combustion engine</v>
      </c>
      <c r="H1922" s="80" t="str">
        <f>C1921</f>
        <v>CHP</v>
      </c>
      <c r="I1922" s="169" t="str">
        <f t="shared" si="109"/>
        <v>XS</v>
      </c>
      <c r="J1922" s="99">
        <v>0.2</v>
      </c>
      <c r="K1922" s="99">
        <v>0.2</v>
      </c>
      <c r="L1922" s="99">
        <v>0.2</v>
      </c>
      <c r="M1922" s="99">
        <v>0.2</v>
      </c>
      <c r="N1922" s="99">
        <v>0.2</v>
      </c>
      <c r="O1922" s="99">
        <v>0.2</v>
      </c>
      <c r="P1922" s="99">
        <v>0.2</v>
      </c>
      <c r="Q1922" s="99">
        <v>0.2</v>
      </c>
      <c r="R1922" s="99">
        <v>0.2</v>
      </c>
      <c r="S1922" s="99">
        <v>0.2</v>
      </c>
      <c r="T1922" s="99">
        <v>0.2</v>
      </c>
      <c r="U1922" s="99">
        <v>0.2</v>
      </c>
      <c r="V1922" s="99">
        <v>0.2</v>
      </c>
      <c r="W1922" s="99">
        <v>0.2</v>
      </c>
      <c r="X1922" s="99">
        <v>0.2</v>
      </c>
      <c r="Y1922" s="99">
        <v>0.2</v>
      </c>
      <c r="Z1922" s="99">
        <v>0.2</v>
      </c>
      <c r="AA1922" s="99">
        <v>0.2</v>
      </c>
      <c r="AB1922" s="99">
        <v>0.2</v>
      </c>
      <c r="AC1922" s="99">
        <v>0.2</v>
      </c>
      <c r="AD1922" s="99">
        <v>0.2</v>
      </c>
      <c r="AE1922" s="99">
        <v>0.2</v>
      </c>
      <c r="AF1922" s="99">
        <v>0.2</v>
      </c>
      <c r="AG1922" s="99">
        <v>0.2</v>
      </c>
      <c r="AH1922" s="99">
        <v>0.2</v>
      </c>
      <c r="AI1922" s="99">
        <v>0.2</v>
      </c>
      <c r="AJ1922" s="99">
        <v>0.2</v>
      </c>
      <c r="AK1922" s="99">
        <v>0.2</v>
      </c>
      <c r="AL1922" s="99">
        <v>0.2</v>
      </c>
      <c r="AM1922" s="99">
        <v>0.2</v>
      </c>
      <c r="AN1922" s="99">
        <v>0.2</v>
      </c>
      <c r="AO1922" s="99">
        <v>0.2</v>
      </c>
      <c r="AP1922" s="99">
        <v>0.2</v>
      </c>
      <c r="AQ1922" s="99">
        <v>0.2</v>
      </c>
      <c r="AR1922" s="99">
        <v>0.2</v>
      </c>
      <c r="AS1922" s="99">
        <v>0.2</v>
      </c>
      <c r="AT1922" s="99">
        <v>0.2</v>
      </c>
      <c r="AU1922" s="99">
        <v>0.2</v>
      </c>
      <c r="AV1922" s="99">
        <v>0.2</v>
      </c>
      <c r="AW1922" s="99">
        <v>0.2</v>
      </c>
      <c r="AX1922" s="100">
        <v>0.2</v>
      </c>
    </row>
    <row r="1923" spans="1:50" x14ac:dyDescent="0.25">
      <c r="A1923" s="355" t="s">
        <v>26</v>
      </c>
      <c r="B1923" s="358" t="s">
        <v>19</v>
      </c>
      <c r="C1923" s="353" t="s">
        <v>6</v>
      </c>
      <c r="D1923" s="3" t="s">
        <v>7</v>
      </c>
      <c r="E1923" s="162" t="str">
        <f>A1923&amp;"/"&amp;B1923&amp;"/"&amp;C1923&amp;"/"&amp;D1923</f>
        <v>Derived gas fired power plants/Steam turbine/Electricity only/L</v>
      </c>
      <c r="F1923" s="77" t="str">
        <f>A1923</f>
        <v>Derived gas fired power plants</v>
      </c>
      <c r="G1923" s="77" t="str">
        <f>B1923</f>
        <v>Steam turbine</v>
      </c>
      <c r="H1923" s="77" t="str">
        <f>C1923</f>
        <v>Electricity only</v>
      </c>
      <c r="I1923" s="163" t="str">
        <f t="shared" si="109"/>
        <v>L</v>
      </c>
      <c r="J1923" s="93">
        <v>6200</v>
      </c>
      <c r="K1923" s="93">
        <v>6200</v>
      </c>
      <c r="L1923" s="93">
        <v>6200</v>
      </c>
      <c r="M1923" s="93">
        <v>6200</v>
      </c>
      <c r="N1923" s="93">
        <v>6200</v>
      </c>
      <c r="O1923" s="93">
        <v>6200</v>
      </c>
      <c r="P1923" s="93">
        <v>6200</v>
      </c>
      <c r="Q1923" s="93">
        <v>6200</v>
      </c>
      <c r="R1923" s="93">
        <v>6200</v>
      </c>
      <c r="S1923" s="93">
        <v>6200</v>
      </c>
      <c r="T1923" s="93">
        <v>6200</v>
      </c>
      <c r="U1923" s="93">
        <v>6200</v>
      </c>
      <c r="V1923" s="93">
        <v>6200</v>
      </c>
      <c r="W1923" s="93">
        <v>6200</v>
      </c>
      <c r="X1923" s="93">
        <v>6200</v>
      </c>
      <c r="Y1923" s="93">
        <v>6200</v>
      </c>
      <c r="Z1923" s="93">
        <v>6200</v>
      </c>
      <c r="AA1923" s="93">
        <v>6200</v>
      </c>
      <c r="AB1923" s="93">
        <v>6200</v>
      </c>
      <c r="AC1923" s="93">
        <v>6200</v>
      </c>
      <c r="AD1923" s="93">
        <v>6200</v>
      </c>
      <c r="AE1923" s="93">
        <v>6200</v>
      </c>
      <c r="AF1923" s="93">
        <v>6200</v>
      </c>
      <c r="AG1923" s="93">
        <v>6200</v>
      </c>
      <c r="AH1923" s="93">
        <v>6200</v>
      </c>
      <c r="AI1923" s="93">
        <v>6200</v>
      </c>
      <c r="AJ1923" s="93">
        <v>6200</v>
      </c>
      <c r="AK1923" s="93">
        <v>6200</v>
      </c>
      <c r="AL1923" s="93">
        <v>6200</v>
      </c>
      <c r="AM1923" s="93">
        <v>6200</v>
      </c>
      <c r="AN1923" s="93">
        <v>6200</v>
      </c>
      <c r="AO1923" s="93">
        <v>6200</v>
      </c>
      <c r="AP1923" s="93">
        <v>6200</v>
      </c>
      <c r="AQ1923" s="93">
        <v>6200</v>
      </c>
      <c r="AR1923" s="93">
        <v>6200</v>
      </c>
      <c r="AS1923" s="93">
        <v>6200</v>
      </c>
      <c r="AT1923" s="93">
        <v>6200</v>
      </c>
      <c r="AU1923" s="93">
        <v>6200</v>
      </c>
      <c r="AV1923" s="93">
        <v>6200</v>
      </c>
      <c r="AW1923" s="93">
        <v>6200</v>
      </c>
      <c r="AX1923" s="94">
        <v>6200</v>
      </c>
    </row>
    <row r="1924" spans="1:50" x14ac:dyDescent="0.25">
      <c r="A1924" s="356"/>
      <c r="B1924" s="359"/>
      <c r="C1924" s="350"/>
      <c r="D1924" s="2" t="s">
        <v>8</v>
      </c>
      <c r="E1924" s="160" t="str">
        <f>A1923&amp;"/"&amp;B1923&amp;"/"&amp;C1923&amp;"/"&amp;D1924</f>
        <v>Derived gas fired power plants/Steam turbine/Electricity only/M</v>
      </c>
      <c r="F1924" s="76" t="str">
        <f>A1923</f>
        <v>Derived gas fired power plants</v>
      </c>
      <c r="G1924" s="76" t="str">
        <f>B1923</f>
        <v>Steam turbine</v>
      </c>
      <c r="H1924" s="76" t="str">
        <f>C1923</f>
        <v>Electricity only</v>
      </c>
      <c r="I1924" s="161" t="str">
        <f t="shared" si="109"/>
        <v>M</v>
      </c>
      <c r="J1924" s="91">
        <v>4960</v>
      </c>
      <c r="K1924" s="91">
        <v>4960</v>
      </c>
      <c r="L1924" s="91">
        <v>4960</v>
      </c>
      <c r="M1924" s="91">
        <v>4960</v>
      </c>
      <c r="N1924" s="91">
        <v>4960</v>
      </c>
      <c r="O1924" s="91">
        <v>4960</v>
      </c>
      <c r="P1924" s="91">
        <v>4960</v>
      </c>
      <c r="Q1924" s="91">
        <v>4960</v>
      </c>
      <c r="R1924" s="91">
        <v>4960</v>
      </c>
      <c r="S1924" s="91">
        <v>4960</v>
      </c>
      <c r="T1924" s="91">
        <v>4960</v>
      </c>
      <c r="U1924" s="91">
        <v>4960</v>
      </c>
      <c r="V1924" s="91">
        <v>4960</v>
      </c>
      <c r="W1924" s="91">
        <v>4960</v>
      </c>
      <c r="X1924" s="91">
        <v>4960</v>
      </c>
      <c r="Y1924" s="91">
        <v>4960</v>
      </c>
      <c r="Z1924" s="91">
        <v>4960</v>
      </c>
      <c r="AA1924" s="91">
        <v>4960</v>
      </c>
      <c r="AB1924" s="91">
        <v>4960</v>
      </c>
      <c r="AC1924" s="91">
        <v>4960</v>
      </c>
      <c r="AD1924" s="91">
        <v>4960</v>
      </c>
      <c r="AE1924" s="91">
        <v>4960</v>
      </c>
      <c r="AF1924" s="91">
        <v>4960</v>
      </c>
      <c r="AG1924" s="91">
        <v>4960</v>
      </c>
      <c r="AH1924" s="91">
        <v>4960</v>
      </c>
      <c r="AI1924" s="91">
        <v>4960</v>
      </c>
      <c r="AJ1924" s="91">
        <v>4960</v>
      </c>
      <c r="AK1924" s="91">
        <v>4960</v>
      </c>
      <c r="AL1924" s="91">
        <v>4960</v>
      </c>
      <c r="AM1924" s="91">
        <v>4960</v>
      </c>
      <c r="AN1924" s="91">
        <v>4960</v>
      </c>
      <c r="AO1924" s="91">
        <v>4960</v>
      </c>
      <c r="AP1924" s="91">
        <v>4960</v>
      </c>
      <c r="AQ1924" s="91">
        <v>4960</v>
      </c>
      <c r="AR1924" s="91">
        <v>4960</v>
      </c>
      <c r="AS1924" s="91">
        <v>4960</v>
      </c>
      <c r="AT1924" s="91">
        <v>4960</v>
      </c>
      <c r="AU1924" s="91">
        <v>4960</v>
      </c>
      <c r="AV1924" s="91">
        <v>4960</v>
      </c>
      <c r="AW1924" s="91">
        <v>4960</v>
      </c>
      <c r="AX1924" s="92">
        <v>4960</v>
      </c>
    </row>
    <row r="1925" spans="1:50" x14ac:dyDescent="0.25">
      <c r="A1925" s="356"/>
      <c r="B1925" s="359"/>
      <c r="C1925" s="350"/>
      <c r="D1925" s="2" t="s">
        <v>10</v>
      </c>
      <c r="E1925" s="160" t="str">
        <f>A1923&amp;"/"&amp;B1923&amp;"/"&amp;C1923&amp;"/"&amp;D1925</f>
        <v>Derived gas fired power plants/Steam turbine/Electricity only/S</v>
      </c>
      <c r="F1925" s="76" t="str">
        <f>A1923</f>
        <v>Derived gas fired power plants</v>
      </c>
      <c r="G1925" s="76" t="str">
        <f>B1923</f>
        <v>Steam turbine</v>
      </c>
      <c r="H1925" s="76" t="str">
        <f>C1923</f>
        <v>Electricity only</v>
      </c>
      <c r="I1925" s="161" t="str">
        <f t="shared" si="109"/>
        <v>S</v>
      </c>
      <c r="J1925" s="91">
        <v>3720</v>
      </c>
      <c r="K1925" s="91">
        <v>3720</v>
      </c>
      <c r="L1925" s="91">
        <v>3720</v>
      </c>
      <c r="M1925" s="91">
        <v>3720</v>
      </c>
      <c r="N1925" s="91">
        <v>3720</v>
      </c>
      <c r="O1925" s="91">
        <v>3720</v>
      </c>
      <c r="P1925" s="91">
        <v>3720</v>
      </c>
      <c r="Q1925" s="91">
        <v>3720</v>
      </c>
      <c r="R1925" s="91">
        <v>3720</v>
      </c>
      <c r="S1925" s="91">
        <v>3720</v>
      </c>
      <c r="T1925" s="91">
        <v>3720</v>
      </c>
      <c r="U1925" s="91">
        <v>3720</v>
      </c>
      <c r="V1925" s="91">
        <v>3720</v>
      </c>
      <c r="W1925" s="91">
        <v>3720</v>
      </c>
      <c r="X1925" s="91">
        <v>3720</v>
      </c>
      <c r="Y1925" s="91">
        <v>3720</v>
      </c>
      <c r="Z1925" s="91">
        <v>3720</v>
      </c>
      <c r="AA1925" s="91">
        <v>3720</v>
      </c>
      <c r="AB1925" s="91">
        <v>3720</v>
      </c>
      <c r="AC1925" s="91">
        <v>3720</v>
      </c>
      <c r="AD1925" s="91">
        <v>3720</v>
      </c>
      <c r="AE1925" s="91">
        <v>3720</v>
      </c>
      <c r="AF1925" s="91">
        <v>3720</v>
      </c>
      <c r="AG1925" s="91">
        <v>3720</v>
      </c>
      <c r="AH1925" s="91">
        <v>3720</v>
      </c>
      <c r="AI1925" s="91">
        <v>3720</v>
      </c>
      <c r="AJ1925" s="91">
        <v>3720</v>
      </c>
      <c r="AK1925" s="91">
        <v>3720</v>
      </c>
      <c r="AL1925" s="91">
        <v>3720</v>
      </c>
      <c r="AM1925" s="91">
        <v>3720</v>
      </c>
      <c r="AN1925" s="91">
        <v>3720</v>
      </c>
      <c r="AO1925" s="91">
        <v>3720</v>
      </c>
      <c r="AP1925" s="91">
        <v>3720</v>
      </c>
      <c r="AQ1925" s="91">
        <v>3720</v>
      </c>
      <c r="AR1925" s="91">
        <v>3720</v>
      </c>
      <c r="AS1925" s="91">
        <v>3720</v>
      </c>
      <c r="AT1925" s="91">
        <v>3720</v>
      </c>
      <c r="AU1925" s="91">
        <v>3720</v>
      </c>
      <c r="AV1925" s="91">
        <v>3720</v>
      </c>
      <c r="AW1925" s="91">
        <v>3720</v>
      </c>
      <c r="AX1925" s="92">
        <v>3720</v>
      </c>
    </row>
    <row r="1926" spans="1:50" x14ac:dyDescent="0.25">
      <c r="A1926" s="356"/>
      <c r="B1926" s="359"/>
      <c r="C1926" s="360"/>
      <c r="D1926" s="2" t="s">
        <v>20</v>
      </c>
      <c r="E1926" s="160" t="str">
        <f>A1923&amp;"/"&amp;B1923&amp;"/"&amp;C1923&amp;"/"&amp;D1926</f>
        <v>Derived gas fired power plants/Steam turbine/Electricity only/XS</v>
      </c>
      <c r="F1926" s="76" t="str">
        <f>A1923</f>
        <v>Derived gas fired power plants</v>
      </c>
      <c r="G1926" s="76" t="str">
        <f>B1923</f>
        <v>Steam turbine</v>
      </c>
      <c r="H1926" s="76" t="str">
        <f>C1923</f>
        <v>Electricity only</v>
      </c>
      <c r="I1926" s="161" t="str">
        <f t="shared" si="109"/>
        <v>XS</v>
      </c>
      <c r="J1926" s="91">
        <v>3162</v>
      </c>
      <c r="K1926" s="91">
        <v>3162</v>
      </c>
      <c r="L1926" s="91">
        <v>3162</v>
      </c>
      <c r="M1926" s="91">
        <v>3162</v>
      </c>
      <c r="N1926" s="91">
        <v>3162</v>
      </c>
      <c r="O1926" s="91">
        <v>3162</v>
      </c>
      <c r="P1926" s="91">
        <v>3162</v>
      </c>
      <c r="Q1926" s="91">
        <v>3162</v>
      </c>
      <c r="R1926" s="91">
        <v>3162</v>
      </c>
      <c r="S1926" s="91">
        <v>3162</v>
      </c>
      <c r="T1926" s="91">
        <v>3162</v>
      </c>
      <c r="U1926" s="91">
        <v>3162</v>
      </c>
      <c r="V1926" s="91">
        <v>3162</v>
      </c>
      <c r="W1926" s="91">
        <v>3162</v>
      </c>
      <c r="X1926" s="91">
        <v>3162</v>
      </c>
      <c r="Y1926" s="91">
        <v>3162</v>
      </c>
      <c r="Z1926" s="91">
        <v>3162</v>
      </c>
      <c r="AA1926" s="91">
        <v>3162</v>
      </c>
      <c r="AB1926" s="91">
        <v>3162</v>
      </c>
      <c r="AC1926" s="91">
        <v>3162</v>
      </c>
      <c r="AD1926" s="91">
        <v>3162</v>
      </c>
      <c r="AE1926" s="91">
        <v>3162</v>
      </c>
      <c r="AF1926" s="91">
        <v>3162</v>
      </c>
      <c r="AG1926" s="91">
        <v>3162</v>
      </c>
      <c r="AH1926" s="91">
        <v>3162</v>
      </c>
      <c r="AI1926" s="91">
        <v>3162</v>
      </c>
      <c r="AJ1926" s="91">
        <v>3162</v>
      </c>
      <c r="AK1926" s="91">
        <v>3162</v>
      </c>
      <c r="AL1926" s="91">
        <v>3162</v>
      </c>
      <c r="AM1926" s="91">
        <v>3162</v>
      </c>
      <c r="AN1926" s="91">
        <v>3162</v>
      </c>
      <c r="AO1926" s="91">
        <v>3162</v>
      </c>
      <c r="AP1926" s="91">
        <v>3162</v>
      </c>
      <c r="AQ1926" s="91">
        <v>3162</v>
      </c>
      <c r="AR1926" s="91">
        <v>3162</v>
      </c>
      <c r="AS1926" s="91">
        <v>3162</v>
      </c>
      <c r="AT1926" s="91">
        <v>3162</v>
      </c>
      <c r="AU1926" s="91">
        <v>3162</v>
      </c>
      <c r="AV1926" s="91">
        <v>3162</v>
      </c>
      <c r="AW1926" s="91">
        <v>3162</v>
      </c>
      <c r="AX1926" s="92">
        <v>3162</v>
      </c>
    </row>
    <row r="1927" spans="1:50" x14ac:dyDescent="0.25">
      <c r="A1927" s="356"/>
      <c r="B1927" s="359"/>
      <c r="C1927" s="361" t="s">
        <v>14</v>
      </c>
      <c r="D1927" s="58" t="s">
        <v>7</v>
      </c>
      <c r="E1927" s="164" t="str">
        <f>A1923&amp;"/"&amp;B1923&amp;"/"&amp;C1927&amp;"/"&amp;D1927</f>
        <v>Derived gas fired power plants/Steam turbine/CHP/L</v>
      </c>
      <c r="F1927" s="78" t="str">
        <f>A1923</f>
        <v>Derived gas fired power plants</v>
      </c>
      <c r="G1927" s="78" t="str">
        <f>B1923</f>
        <v>Steam turbine</v>
      </c>
      <c r="H1927" s="78" t="str">
        <f>C1927</f>
        <v>CHP</v>
      </c>
      <c r="I1927" s="165" t="str">
        <f t="shared" si="109"/>
        <v>L</v>
      </c>
      <c r="J1927" s="95">
        <v>4960</v>
      </c>
      <c r="K1927" s="95">
        <v>4960</v>
      </c>
      <c r="L1927" s="95">
        <v>4960</v>
      </c>
      <c r="M1927" s="95">
        <v>4960</v>
      </c>
      <c r="N1927" s="95">
        <v>4960</v>
      </c>
      <c r="O1927" s="95">
        <v>4960</v>
      </c>
      <c r="P1927" s="95">
        <v>4960</v>
      </c>
      <c r="Q1927" s="95">
        <v>4960</v>
      </c>
      <c r="R1927" s="95">
        <v>4960</v>
      </c>
      <c r="S1927" s="95">
        <v>4960</v>
      </c>
      <c r="T1927" s="95">
        <v>4960</v>
      </c>
      <c r="U1927" s="95">
        <v>4960</v>
      </c>
      <c r="V1927" s="95">
        <v>4960</v>
      </c>
      <c r="W1927" s="95">
        <v>4960</v>
      </c>
      <c r="X1927" s="95">
        <v>4960</v>
      </c>
      <c r="Y1927" s="95">
        <v>4960</v>
      </c>
      <c r="Z1927" s="95">
        <v>4960</v>
      </c>
      <c r="AA1927" s="95">
        <v>4960</v>
      </c>
      <c r="AB1927" s="95">
        <v>4960</v>
      </c>
      <c r="AC1927" s="95">
        <v>4960</v>
      </c>
      <c r="AD1927" s="95">
        <v>4960</v>
      </c>
      <c r="AE1927" s="95">
        <v>4960</v>
      </c>
      <c r="AF1927" s="95">
        <v>4960</v>
      </c>
      <c r="AG1927" s="95">
        <v>4960</v>
      </c>
      <c r="AH1927" s="95">
        <v>4960</v>
      </c>
      <c r="AI1927" s="95">
        <v>4960</v>
      </c>
      <c r="AJ1927" s="95">
        <v>4960</v>
      </c>
      <c r="AK1927" s="95">
        <v>4960</v>
      </c>
      <c r="AL1927" s="95">
        <v>4960</v>
      </c>
      <c r="AM1927" s="95">
        <v>4960</v>
      </c>
      <c r="AN1927" s="95">
        <v>4960</v>
      </c>
      <c r="AO1927" s="95">
        <v>4960</v>
      </c>
      <c r="AP1927" s="95">
        <v>4960</v>
      </c>
      <c r="AQ1927" s="95">
        <v>4960</v>
      </c>
      <c r="AR1927" s="95">
        <v>4960</v>
      </c>
      <c r="AS1927" s="95">
        <v>4960</v>
      </c>
      <c r="AT1927" s="95">
        <v>4960</v>
      </c>
      <c r="AU1927" s="95">
        <v>4960</v>
      </c>
      <c r="AV1927" s="95">
        <v>4960</v>
      </c>
      <c r="AW1927" s="95">
        <v>4960</v>
      </c>
      <c r="AX1927" s="96">
        <v>4960</v>
      </c>
    </row>
    <row r="1928" spans="1:50" x14ac:dyDescent="0.25">
      <c r="A1928" s="356"/>
      <c r="B1928" s="359"/>
      <c r="C1928" s="350"/>
      <c r="D1928" s="2" t="s">
        <v>8</v>
      </c>
      <c r="E1928" s="160" t="str">
        <f>A1923&amp;"/"&amp;B1923&amp;"/"&amp;C1927&amp;"/"&amp;D1928</f>
        <v>Derived gas fired power plants/Steam turbine/CHP/M</v>
      </c>
      <c r="F1928" s="76" t="str">
        <f>A1923</f>
        <v>Derived gas fired power plants</v>
      </c>
      <c r="G1928" s="76" t="str">
        <f>B1923</f>
        <v>Steam turbine</v>
      </c>
      <c r="H1928" s="76" t="str">
        <f>C1927</f>
        <v>CHP</v>
      </c>
      <c r="I1928" s="161" t="str">
        <f t="shared" si="109"/>
        <v>M</v>
      </c>
      <c r="J1928" s="91">
        <v>3968</v>
      </c>
      <c r="K1928" s="91">
        <v>3968</v>
      </c>
      <c r="L1928" s="91">
        <v>3968</v>
      </c>
      <c r="M1928" s="91">
        <v>3968</v>
      </c>
      <c r="N1928" s="91">
        <v>3968</v>
      </c>
      <c r="O1928" s="91">
        <v>3968</v>
      </c>
      <c r="P1928" s="91">
        <v>3968</v>
      </c>
      <c r="Q1928" s="91">
        <v>3968</v>
      </c>
      <c r="R1928" s="91">
        <v>3968</v>
      </c>
      <c r="S1928" s="91">
        <v>3968</v>
      </c>
      <c r="T1928" s="91">
        <v>3968</v>
      </c>
      <c r="U1928" s="91">
        <v>3968</v>
      </c>
      <c r="V1928" s="91">
        <v>3968</v>
      </c>
      <c r="W1928" s="91">
        <v>3968</v>
      </c>
      <c r="X1928" s="91">
        <v>3968</v>
      </c>
      <c r="Y1928" s="91">
        <v>3968</v>
      </c>
      <c r="Z1928" s="91">
        <v>3968</v>
      </c>
      <c r="AA1928" s="91">
        <v>3968</v>
      </c>
      <c r="AB1928" s="91">
        <v>3968</v>
      </c>
      <c r="AC1928" s="91">
        <v>3968</v>
      </c>
      <c r="AD1928" s="91">
        <v>3968</v>
      </c>
      <c r="AE1928" s="91">
        <v>3968</v>
      </c>
      <c r="AF1928" s="91">
        <v>3968</v>
      </c>
      <c r="AG1928" s="91">
        <v>3968</v>
      </c>
      <c r="AH1928" s="91">
        <v>3968</v>
      </c>
      <c r="AI1928" s="91">
        <v>3968</v>
      </c>
      <c r="AJ1928" s="91">
        <v>3968</v>
      </c>
      <c r="AK1928" s="91">
        <v>3968</v>
      </c>
      <c r="AL1928" s="91">
        <v>3968</v>
      </c>
      <c r="AM1928" s="91">
        <v>3968</v>
      </c>
      <c r="AN1928" s="91">
        <v>3968</v>
      </c>
      <c r="AO1928" s="91">
        <v>3968</v>
      </c>
      <c r="AP1928" s="91">
        <v>3968</v>
      </c>
      <c r="AQ1928" s="91">
        <v>3968</v>
      </c>
      <c r="AR1928" s="91">
        <v>3968</v>
      </c>
      <c r="AS1928" s="91">
        <v>3968</v>
      </c>
      <c r="AT1928" s="91">
        <v>3968</v>
      </c>
      <c r="AU1928" s="91">
        <v>3968</v>
      </c>
      <c r="AV1928" s="91">
        <v>3968</v>
      </c>
      <c r="AW1928" s="91">
        <v>3968</v>
      </c>
      <c r="AX1928" s="92">
        <v>3968</v>
      </c>
    </row>
    <row r="1929" spans="1:50" x14ac:dyDescent="0.25">
      <c r="A1929" s="356"/>
      <c r="B1929" s="359"/>
      <c r="C1929" s="350"/>
      <c r="D1929" s="2" t="s">
        <v>10</v>
      </c>
      <c r="E1929" s="160" t="str">
        <f>A1923&amp;"/"&amp;B1923&amp;"/"&amp;C1927&amp;"/"&amp;D1929</f>
        <v>Derived gas fired power plants/Steam turbine/CHP/S</v>
      </c>
      <c r="F1929" s="76" t="str">
        <f>A1923</f>
        <v>Derived gas fired power plants</v>
      </c>
      <c r="G1929" s="76" t="str">
        <f>B1923</f>
        <v>Steam turbine</v>
      </c>
      <c r="H1929" s="76" t="str">
        <f>C1927</f>
        <v>CHP</v>
      </c>
      <c r="I1929" s="161" t="str">
        <f t="shared" si="109"/>
        <v>S</v>
      </c>
      <c r="J1929" s="91">
        <v>2976</v>
      </c>
      <c r="K1929" s="91">
        <v>2976</v>
      </c>
      <c r="L1929" s="91">
        <v>2976</v>
      </c>
      <c r="M1929" s="91">
        <v>2976</v>
      </c>
      <c r="N1929" s="91">
        <v>2976</v>
      </c>
      <c r="O1929" s="91">
        <v>2976</v>
      </c>
      <c r="P1929" s="91">
        <v>2976</v>
      </c>
      <c r="Q1929" s="91">
        <v>2976</v>
      </c>
      <c r="R1929" s="91">
        <v>2976</v>
      </c>
      <c r="S1929" s="91">
        <v>2976</v>
      </c>
      <c r="T1929" s="91">
        <v>2976</v>
      </c>
      <c r="U1929" s="91">
        <v>2976</v>
      </c>
      <c r="V1929" s="91">
        <v>2976</v>
      </c>
      <c r="W1929" s="91">
        <v>2976</v>
      </c>
      <c r="X1929" s="91">
        <v>2976</v>
      </c>
      <c r="Y1929" s="91">
        <v>2976</v>
      </c>
      <c r="Z1929" s="91">
        <v>2976</v>
      </c>
      <c r="AA1929" s="91">
        <v>2976</v>
      </c>
      <c r="AB1929" s="91">
        <v>2976</v>
      </c>
      <c r="AC1929" s="91">
        <v>2976</v>
      </c>
      <c r="AD1929" s="91">
        <v>2976</v>
      </c>
      <c r="AE1929" s="91">
        <v>2976</v>
      </c>
      <c r="AF1929" s="91">
        <v>2976</v>
      </c>
      <c r="AG1929" s="91">
        <v>2976</v>
      </c>
      <c r="AH1929" s="91">
        <v>2976</v>
      </c>
      <c r="AI1929" s="91">
        <v>2976</v>
      </c>
      <c r="AJ1929" s="91">
        <v>2976</v>
      </c>
      <c r="AK1929" s="91">
        <v>2976</v>
      </c>
      <c r="AL1929" s="91">
        <v>2976</v>
      </c>
      <c r="AM1929" s="91">
        <v>2976</v>
      </c>
      <c r="AN1929" s="91">
        <v>2976</v>
      </c>
      <c r="AO1929" s="91">
        <v>2976</v>
      </c>
      <c r="AP1929" s="91">
        <v>2976</v>
      </c>
      <c r="AQ1929" s="91">
        <v>2976</v>
      </c>
      <c r="AR1929" s="91">
        <v>2976</v>
      </c>
      <c r="AS1929" s="91">
        <v>2976</v>
      </c>
      <c r="AT1929" s="91">
        <v>2976</v>
      </c>
      <c r="AU1929" s="91">
        <v>2976</v>
      </c>
      <c r="AV1929" s="91">
        <v>2976</v>
      </c>
      <c r="AW1929" s="91">
        <v>2976</v>
      </c>
      <c r="AX1929" s="92">
        <v>2976</v>
      </c>
    </row>
    <row r="1930" spans="1:50" x14ac:dyDescent="0.25">
      <c r="A1930" s="356"/>
      <c r="B1930" s="359"/>
      <c r="C1930" s="360"/>
      <c r="D1930" s="59" t="s">
        <v>20</v>
      </c>
      <c r="E1930" s="166" t="str">
        <f>A1923&amp;"/"&amp;B1923&amp;"/"&amp;C1927&amp;"/"&amp;D1930</f>
        <v>Derived gas fired power plants/Steam turbine/CHP/XS</v>
      </c>
      <c r="F1930" s="79" t="str">
        <f>A1923</f>
        <v>Derived gas fired power plants</v>
      </c>
      <c r="G1930" s="79" t="str">
        <f>B1923</f>
        <v>Steam turbine</v>
      </c>
      <c r="H1930" s="79" t="str">
        <f>C1927</f>
        <v>CHP</v>
      </c>
      <c r="I1930" s="167" t="str">
        <f t="shared" si="109"/>
        <v>XS</v>
      </c>
      <c r="J1930" s="97">
        <v>2529.6</v>
      </c>
      <c r="K1930" s="97">
        <v>2529.6</v>
      </c>
      <c r="L1930" s="97">
        <v>2529.6</v>
      </c>
      <c r="M1930" s="97">
        <v>2529.6</v>
      </c>
      <c r="N1930" s="97">
        <v>2529.6</v>
      </c>
      <c r="O1930" s="97">
        <v>2529.6</v>
      </c>
      <c r="P1930" s="97">
        <v>2529.6</v>
      </c>
      <c r="Q1930" s="97">
        <v>2529.6</v>
      </c>
      <c r="R1930" s="97">
        <v>2529.6</v>
      </c>
      <c r="S1930" s="97">
        <v>2529.6</v>
      </c>
      <c r="T1930" s="97">
        <v>2529.6</v>
      </c>
      <c r="U1930" s="97">
        <v>2529.6</v>
      </c>
      <c r="V1930" s="97">
        <v>2529.6</v>
      </c>
      <c r="W1930" s="97">
        <v>2529.6</v>
      </c>
      <c r="X1930" s="97">
        <v>2529.6</v>
      </c>
      <c r="Y1930" s="97">
        <v>2529.6</v>
      </c>
      <c r="Z1930" s="97">
        <v>2529.6</v>
      </c>
      <c r="AA1930" s="97">
        <v>2529.6</v>
      </c>
      <c r="AB1930" s="97">
        <v>2529.6</v>
      </c>
      <c r="AC1930" s="97">
        <v>2529.6</v>
      </c>
      <c r="AD1930" s="97">
        <v>2529.6</v>
      </c>
      <c r="AE1930" s="97">
        <v>2529.6</v>
      </c>
      <c r="AF1930" s="97">
        <v>2529.6</v>
      </c>
      <c r="AG1930" s="97">
        <v>2529.6</v>
      </c>
      <c r="AH1930" s="97">
        <v>2529.6</v>
      </c>
      <c r="AI1930" s="97">
        <v>2529.6</v>
      </c>
      <c r="AJ1930" s="97">
        <v>2529.6</v>
      </c>
      <c r="AK1930" s="97">
        <v>2529.6</v>
      </c>
      <c r="AL1930" s="97">
        <v>2529.6</v>
      </c>
      <c r="AM1930" s="97">
        <v>2529.6</v>
      </c>
      <c r="AN1930" s="97">
        <v>2529.6</v>
      </c>
      <c r="AO1930" s="97">
        <v>2529.6</v>
      </c>
      <c r="AP1930" s="97">
        <v>2529.6</v>
      </c>
      <c r="AQ1930" s="97">
        <v>2529.6</v>
      </c>
      <c r="AR1930" s="97">
        <v>2529.6</v>
      </c>
      <c r="AS1930" s="97">
        <v>2529.6</v>
      </c>
      <c r="AT1930" s="97">
        <v>2529.6</v>
      </c>
      <c r="AU1930" s="97">
        <v>2529.6</v>
      </c>
      <c r="AV1930" s="97">
        <v>2529.6</v>
      </c>
      <c r="AW1930" s="97">
        <v>2529.6</v>
      </c>
      <c r="AX1930" s="98">
        <v>2529.6</v>
      </c>
    </row>
    <row r="1931" spans="1:50" x14ac:dyDescent="0.25">
      <c r="A1931" s="356"/>
      <c r="B1931" s="359"/>
      <c r="C1931" s="361" t="s">
        <v>15</v>
      </c>
      <c r="D1931" s="58" t="s">
        <v>7</v>
      </c>
      <c r="E1931" s="164" t="str">
        <f>A1923&amp;"/"&amp;B1923&amp;"/"&amp;C1931&amp;"/"&amp;D1931</f>
        <v>Derived gas fired power plants/Steam turbine/Electricity only with CCS/L</v>
      </c>
      <c r="F1931" s="78" t="str">
        <f>A1923</f>
        <v>Derived gas fired power plants</v>
      </c>
      <c r="G1931" s="78" t="str">
        <f>B1923</f>
        <v>Steam turbine</v>
      </c>
      <c r="H1931" s="78" t="str">
        <f>C1931</f>
        <v>Electricity only with CCS</v>
      </c>
      <c r="I1931" s="165" t="str">
        <f t="shared" si="109"/>
        <v>L</v>
      </c>
      <c r="J1931" s="95" t="s">
        <v>112</v>
      </c>
      <c r="K1931" s="95" t="s">
        <v>112</v>
      </c>
      <c r="L1931" s="95" t="s">
        <v>112</v>
      </c>
      <c r="M1931" s="95" t="s">
        <v>112</v>
      </c>
      <c r="N1931" s="95" t="s">
        <v>112</v>
      </c>
      <c r="O1931" s="95" t="s">
        <v>112</v>
      </c>
      <c r="P1931" s="95" t="s">
        <v>112</v>
      </c>
      <c r="Q1931" s="95" t="s">
        <v>112</v>
      </c>
      <c r="R1931" s="95" t="s">
        <v>112</v>
      </c>
      <c r="S1931" s="95" t="s">
        <v>112</v>
      </c>
      <c r="T1931" s="95" t="s">
        <v>112</v>
      </c>
      <c r="U1931" s="95" t="s">
        <v>112</v>
      </c>
      <c r="V1931" s="95" t="s">
        <v>112</v>
      </c>
      <c r="W1931" s="95" t="s">
        <v>112</v>
      </c>
      <c r="X1931" s="95" t="s">
        <v>112</v>
      </c>
      <c r="Y1931" s="95" t="s">
        <v>112</v>
      </c>
      <c r="Z1931" s="95" t="s">
        <v>112</v>
      </c>
      <c r="AA1931" s="95" t="s">
        <v>112</v>
      </c>
      <c r="AB1931" s="95" t="s">
        <v>112</v>
      </c>
      <c r="AC1931" s="95" t="s">
        <v>112</v>
      </c>
      <c r="AD1931" s="95" t="s">
        <v>112</v>
      </c>
      <c r="AE1931" s="95">
        <v>6200</v>
      </c>
      <c r="AF1931" s="95">
        <v>6200</v>
      </c>
      <c r="AG1931" s="95">
        <v>6200</v>
      </c>
      <c r="AH1931" s="95">
        <v>6200</v>
      </c>
      <c r="AI1931" s="95">
        <v>6200</v>
      </c>
      <c r="AJ1931" s="95">
        <v>6200</v>
      </c>
      <c r="AK1931" s="95">
        <v>6200</v>
      </c>
      <c r="AL1931" s="95">
        <v>6200</v>
      </c>
      <c r="AM1931" s="95">
        <v>6200</v>
      </c>
      <c r="AN1931" s="95">
        <v>6200</v>
      </c>
      <c r="AO1931" s="95">
        <v>6200</v>
      </c>
      <c r="AP1931" s="95">
        <v>6200</v>
      </c>
      <c r="AQ1931" s="95">
        <v>6200</v>
      </c>
      <c r="AR1931" s="95">
        <v>6200</v>
      </c>
      <c r="AS1931" s="95">
        <v>6200</v>
      </c>
      <c r="AT1931" s="95">
        <v>6200</v>
      </c>
      <c r="AU1931" s="95">
        <v>6200</v>
      </c>
      <c r="AV1931" s="95">
        <v>6200</v>
      </c>
      <c r="AW1931" s="95">
        <v>6200</v>
      </c>
      <c r="AX1931" s="96">
        <v>6200</v>
      </c>
    </row>
    <row r="1932" spans="1:50" x14ac:dyDescent="0.25">
      <c r="A1932" s="356"/>
      <c r="B1932" s="359"/>
      <c r="C1932" s="360"/>
      <c r="D1932" s="59" t="s">
        <v>8</v>
      </c>
      <c r="E1932" s="166" t="str">
        <f>A1923&amp;"/"&amp;B1923&amp;"/"&amp;C1931&amp;"/"&amp;D1932</f>
        <v>Derived gas fired power plants/Steam turbine/Electricity only with CCS/M</v>
      </c>
      <c r="F1932" s="79" t="str">
        <f>A1923</f>
        <v>Derived gas fired power plants</v>
      </c>
      <c r="G1932" s="79" t="str">
        <f>B1923</f>
        <v>Steam turbine</v>
      </c>
      <c r="H1932" s="79" t="str">
        <f>C1931</f>
        <v>Electricity only with CCS</v>
      </c>
      <c r="I1932" s="167" t="str">
        <f t="shared" si="109"/>
        <v>M</v>
      </c>
      <c r="J1932" s="97" t="s">
        <v>112</v>
      </c>
      <c r="K1932" s="97" t="s">
        <v>112</v>
      </c>
      <c r="L1932" s="97" t="s">
        <v>112</v>
      </c>
      <c r="M1932" s="97" t="s">
        <v>112</v>
      </c>
      <c r="N1932" s="97" t="s">
        <v>112</v>
      </c>
      <c r="O1932" s="97" t="s">
        <v>112</v>
      </c>
      <c r="P1932" s="97" t="s">
        <v>112</v>
      </c>
      <c r="Q1932" s="97" t="s">
        <v>112</v>
      </c>
      <c r="R1932" s="97" t="s">
        <v>112</v>
      </c>
      <c r="S1932" s="97" t="s">
        <v>112</v>
      </c>
      <c r="T1932" s="97" t="s">
        <v>112</v>
      </c>
      <c r="U1932" s="97" t="s">
        <v>112</v>
      </c>
      <c r="V1932" s="97" t="s">
        <v>112</v>
      </c>
      <c r="W1932" s="97" t="s">
        <v>112</v>
      </c>
      <c r="X1932" s="97" t="s">
        <v>112</v>
      </c>
      <c r="Y1932" s="97" t="s">
        <v>112</v>
      </c>
      <c r="Z1932" s="97" t="s">
        <v>112</v>
      </c>
      <c r="AA1932" s="97" t="s">
        <v>112</v>
      </c>
      <c r="AB1932" s="97" t="s">
        <v>112</v>
      </c>
      <c r="AC1932" s="97" t="s">
        <v>112</v>
      </c>
      <c r="AD1932" s="97" t="s">
        <v>112</v>
      </c>
      <c r="AE1932" s="97">
        <v>4960</v>
      </c>
      <c r="AF1932" s="97">
        <v>4960</v>
      </c>
      <c r="AG1932" s="97">
        <v>4960</v>
      </c>
      <c r="AH1932" s="97">
        <v>4960</v>
      </c>
      <c r="AI1932" s="97">
        <v>4960</v>
      </c>
      <c r="AJ1932" s="97">
        <v>4960</v>
      </c>
      <c r="AK1932" s="97">
        <v>4960</v>
      </c>
      <c r="AL1932" s="97">
        <v>4960</v>
      </c>
      <c r="AM1932" s="97">
        <v>4960</v>
      </c>
      <c r="AN1932" s="97">
        <v>4960</v>
      </c>
      <c r="AO1932" s="97">
        <v>4960</v>
      </c>
      <c r="AP1932" s="97">
        <v>4960</v>
      </c>
      <c r="AQ1932" s="97">
        <v>4960</v>
      </c>
      <c r="AR1932" s="97">
        <v>4960</v>
      </c>
      <c r="AS1932" s="97">
        <v>4960</v>
      </c>
      <c r="AT1932" s="97">
        <v>4960</v>
      </c>
      <c r="AU1932" s="97">
        <v>4960</v>
      </c>
      <c r="AV1932" s="97">
        <v>4960</v>
      </c>
      <c r="AW1932" s="97">
        <v>4960</v>
      </c>
      <c r="AX1932" s="98">
        <v>4960</v>
      </c>
    </row>
    <row r="1933" spans="1:50" x14ac:dyDescent="0.25">
      <c r="A1933" s="356"/>
      <c r="B1933" s="359"/>
      <c r="C1933" s="361" t="s">
        <v>16</v>
      </c>
      <c r="D1933" s="2" t="s">
        <v>7</v>
      </c>
      <c r="E1933" s="160" t="str">
        <f>A1923&amp;"/"&amp;B1923&amp;"/"&amp;C1933&amp;"/"&amp;D1933</f>
        <v>Derived gas fired power plants/Steam turbine/CHP with CCS/L</v>
      </c>
      <c r="F1933" s="76" t="str">
        <f>A1923</f>
        <v>Derived gas fired power plants</v>
      </c>
      <c r="G1933" s="76" t="str">
        <f>B1923</f>
        <v>Steam turbine</v>
      </c>
      <c r="H1933" s="76" t="str">
        <f>C1933</f>
        <v>CHP with CCS</v>
      </c>
      <c r="I1933" s="161" t="str">
        <f t="shared" si="109"/>
        <v>L</v>
      </c>
      <c r="J1933" s="91" t="s">
        <v>112</v>
      </c>
      <c r="K1933" s="91" t="s">
        <v>112</v>
      </c>
      <c r="L1933" s="91" t="s">
        <v>112</v>
      </c>
      <c r="M1933" s="91" t="s">
        <v>112</v>
      </c>
      <c r="N1933" s="91" t="s">
        <v>112</v>
      </c>
      <c r="O1933" s="91" t="s">
        <v>112</v>
      </c>
      <c r="P1933" s="91" t="s">
        <v>112</v>
      </c>
      <c r="Q1933" s="91" t="s">
        <v>112</v>
      </c>
      <c r="R1933" s="91" t="s">
        <v>112</v>
      </c>
      <c r="S1933" s="91" t="s">
        <v>112</v>
      </c>
      <c r="T1933" s="91" t="s">
        <v>112</v>
      </c>
      <c r="U1933" s="91" t="s">
        <v>112</v>
      </c>
      <c r="V1933" s="91" t="s">
        <v>112</v>
      </c>
      <c r="W1933" s="91" t="s">
        <v>112</v>
      </c>
      <c r="X1933" s="91" t="s">
        <v>112</v>
      </c>
      <c r="Y1933" s="91" t="s">
        <v>112</v>
      </c>
      <c r="Z1933" s="91" t="s">
        <v>112</v>
      </c>
      <c r="AA1933" s="91" t="s">
        <v>112</v>
      </c>
      <c r="AB1933" s="91" t="s">
        <v>112</v>
      </c>
      <c r="AC1933" s="91" t="s">
        <v>112</v>
      </c>
      <c r="AD1933" s="91" t="s">
        <v>112</v>
      </c>
      <c r="AE1933" s="91">
        <v>4960</v>
      </c>
      <c r="AF1933" s="91">
        <v>4960</v>
      </c>
      <c r="AG1933" s="91">
        <v>4960</v>
      </c>
      <c r="AH1933" s="91">
        <v>4960</v>
      </c>
      <c r="AI1933" s="91">
        <v>4960</v>
      </c>
      <c r="AJ1933" s="91">
        <v>4960</v>
      </c>
      <c r="AK1933" s="91">
        <v>4960</v>
      </c>
      <c r="AL1933" s="91">
        <v>4960</v>
      </c>
      <c r="AM1933" s="91">
        <v>4960</v>
      </c>
      <c r="AN1933" s="91">
        <v>4960</v>
      </c>
      <c r="AO1933" s="91">
        <v>4960</v>
      </c>
      <c r="AP1933" s="91">
        <v>4960</v>
      </c>
      <c r="AQ1933" s="91">
        <v>4960</v>
      </c>
      <c r="AR1933" s="91">
        <v>4960</v>
      </c>
      <c r="AS1933" s="91">
        <v>4960</v>
      </c>
      <c r="AT1933" s="91">
        <v>4960</v>
      </c>
      <c r="AU1933" s="91">
        <v>4960</v>
      </c>
      <c r="AV1933" s="91">
        <v>4960</v>
      </c>
      <c r="AW1933" s="91">
        <v>4960</v>
      </c>
      <c r="AX1933" s="92">
        <v>4960</v>
      </c>
    </row>
    <row r="1934" spans="1:50" x14ac:dyDescent="0.25">
      <c r="A1934" s="357"/>
      <c r="B1934" s="362"/>
      <c r="C1934" s="354"/>
      <c r="D1934" s="4" t="s">
        <v>8</v>
      </c>
      <c r="E1934" s="168" t="str">
        <f>A1923&amp;"/"&amp;B1923&amp;"/"&amp;C1933&amp;"/"&amp;D1934</f>
        <v>Derived gas fired power plants/Steam turbine/CHP with CCS/M</v>
      </c>
      <c r="F1934" s="80" t="str">
        <f>A1923</f>
        <v>Derived gas fired power plants</v>
      </c>
      <c r="G1934" s="80" t="str">
        <f>B1923</f>
        <v>Steam turbine</v>
      </c>
      <c r="H1934" s="80" t="str">
        <f>C1933</f>
        <v>CHP with CCS</v>
      </c>
      <c r="I1934" s="169" t="str">
        <f t="shared" si="109"/>
        <v>M</v>
      </c>
      <c r="J1934" s="99" t="s">
        <v>112</v>
      </c>
      <c r="K1934" s="99" t="s">
        <v>112</v>
      </c>
      <c r="L1934" s="99" t="s">
        <v>112</v>
      </c>
      <c r="M1934" s="99" t="s">
        <v>112</v>
      </c>
      <c r="N1934" s="99" t="s">
        <v>112</v>
      </c>
      <c r="O1934" s="99" t="s">
        <v>112</v>
      </c>
      <c r="P1934" s="99" t="s">
        <v>112</v>
      </c>
      <c r="Q1934" s="99" t="s">
        <v>112</v>
      </c>
      <c r="R1934" s="99" t="s">
        <v>112</v>
      </c>
      <c r="S1934" s="99" t="s">
        <v>112</v>
      </c>
      <c r="T1934" s="99" t="s">
        <v>112</v>
      </c>
      <c r="U1934" s="99" t="s">
        <v>112</v>
      </c>
      <c r="V1934" s="99" t="s">
        <v>112</v>
      </c>
      <c r="W1934" s="99" t="s">
        <v>112</v>
      </c>
      <c r="X1934" s="99" t="s">
        <v>112</v>
      </c>
      <c r="Y1934" s="99" t="s">
        <v>112</v>
      </c>
      <c r="Z1934" s="99" t="s">
        <v>112</v>
      </c>
      <c r="AA1934" s="99" t="s">
        <v>112</v>
      </c>
      <c r="AB1934" s="99" t="s">
        <v>112</v>
      </c>
      <c r="AC1934" s="99" t="s">
        <v>112</v>
      </c>
      <c r="AD1934" s="99" t="s">
        <v>112</v>
      </c>
      <c r="AE1934" s="99">
        <v>3968</v>
      </c>
      <c r="AF1934" s="99">
        <v>3968</v>
      </c>
      <c r="AG1934" s="99">
        <v>3968</v>
      </c>
      <c r="AH1934" s="99">
        <v>3968</v>
      </c>
      <c r="AI1934" s="99">
        <v>3968</v>
      </c>
      <c r="AJ1934" s="99">
        <v>3968</v>
      </c>
      <c r="AK1934" s="99">
        <v>3968</v>
      </c>
      <c r="AL1934" s="99">
        <v>3968</v>
      </c>
      <c r="AM1934" s="99">
        <v>3968</v>
      </c>
      <c r="AN1934" s="99">
        <v>3968</v>
      </c>
      <c r="AO1934" s="99">
        <v>3968</v>
      </c>
      <c r="AP1934" s="99">
        <v>3968</v>
      </c>
      <c r="AQ1934" s="99">
        <v>3968</v>
      </c>
      <c r="AR1934" s="99">
        <v>3968</v>
      </c>
      <c r="AS1934" s="99">
        <v>3968</v>
      </c>
      <c r="AT1934" s="99">
        <v>3968</v>
      </c>
      <c r="AU1934" s="99">
        <v>3968</v>
      </c>
      <c r="AV1934" s="99">
        <v>3968</v>
      </c>
      <c r="AW1934" s="99">
        <v>3968</v>
      </c>
      <c r="AX1934" s="100">
        <v>3968</v>
      </c>
    </row>
    <row r="1935" spans="1:50" x14ac:dyDescent="0.25">
      <c r="A1935" s="356" t="s">
        <v>27</v>
      </c>
      <c r="B1935" s="365" t="s">
        <v>19</v>
      </c>
      <c r="C1935" s="353" t="s">
        <v>6</v>
      </c>
      <c r="D1935" s="2" t="s">
        <v>7</v>
      </c>
      <c r="E1935" s="162" t="str">
        <f>A1935&amp;"/"&amp;B1935&amp;"/"&amp;C1935&amp;"/"&amp;D1935</f>
        <v>Refinery gas fired power plants/Steam turbine/Electricity only/L</v>
      </c>
      <c r="F1935" s="77" t="str">
        <f>A1935</f>
        <v>Refinery gas fired power plants</v>
      </c>
      <c r="G1935" s="77" t="str">
        <f>B1935</f>
        <v>Steam turbine</v>
      </c>
      <c r="H1935" s="77" t="str">
        <f>C1935</f>
        <v>Electricity only</v>
      </c>
      <c r="I1935" s="163" t="str">
        <f t="shared" ref="I1935:I1998" si="110">D1935</f>
        <v>L</v>
      </c>
      <c r="J1935" s="93">
        <v>6500</v>
      </c>
      <c r="K1935" s="93">
        <v>6500</v>
      </c>
      <c r="L1935" s="93">
        <v>6500</v>
      </c>
      <c r="M1935" s="93">
        <v>6500</v>
      </c>
      <c r="N1935" s="93">
        <v>6500</v>
      </c>
      <c r="O1935" s="93">
        <v>6500</v>
      </c>
      <c r="P1935" s="93">
        <v>6500</v>
      </c>
      <c r="Q1935" s="93">
        <v>6500</v>
      </c>
      <c r="R1935" s="93">
        <v>6500</v>
      </c>
      <c r="S1935" s="93">
        <v>6500</v>
      </c>
      <c r="T1935" s="93">
        <v>6500</v>
      </c>
      <c r="U1935" s="93">
        <v>6500</v>
      </c>
      <c r="V1935" s="93">
        <v>6500</v>
      </c>
      <c r="W1935" s="93">
        <v>6500</v>
      </c>
      <c r="X1935" s="93">
        <v>6500</v>
      </c>
      <c r="Y1935" s="93">
        <v>6500</v>
      </c>
      <c r="Z1935" s="93">
        <v>6500</v>
      </c>
      <c r="AA1935" s="93">
        <v>6500</v>
      </c>
      <c r="AB1935" s="93">
        <v>6500</v>
      </c>
      <c r="AC1935" s="93">
        <v>6500</v>
      </c>
      <c r="AD1935" s="93">
        <v>6500</v>
      </c>
      <c r="AE1935" s="93">
        <v>6500</v>
      </c>
      <c r="AF1935" s="93">
        <v>6500</v>
      </c>
      <c r="AG1935" s="93">
        <v>6500</v>
      </c>
      <c r="AH1935" s="93">
        <v>6500</v>
      </c>
      <c r="AI1935" s="93">
        <v>6500</v>
      </c>
      <c r="AJ1935" s="93">
        <v>6500</v>
      </c>
      <c r="AK1935" s="93">
        <v>6500</v>
      </c>
      <c r="AL1935" s="93">
        <v>6500</v>
      </c>
      <c r="AM1935" s="93">
        <v>6500</v>
      </c>
      <c r="AN1935" s="93">
        <v>6500</v>
      </c>
      <c r="AO1935" s="93">
        <v>6500</v>
      </c>
      <c r="AP1935" s="93">
        <v>6500</v>
      </c>
      <c r="AQ1935" s="93">
        <v>6500</v>
      </c>
      <c r="AR1935" s="93">
        <v>6500</v>
      </c>
      <c r="AS1935" s="93">
        <v>6500</v>
      </c>
      <c r="AT1935" s="93">
        <v>6500</v>
      </c>
      <c r="AU1935" s="93">
        <v>6500</v>
      </c>
      <c r="AV1935" s="93">
        <v>6500</v>
      </c>
      <c r="AW1935" s="93">
        <v>6500</v>
      </c>
      <c r="AX1935" s="94">
        <v>6500</v>
      </c>
    </row>
    <row r="1936" spans="1:50" x14ac:dyDescent="0.25">
      <c r="A1936" s="356"/>
      <c r="B1936" s="366"/>
      <c r="C1936" s="350"/>
      <c r="D1936" s="2" t="s">
        <v>8</v>
      </c>
      <c r="E1936" s="160" t="str">
        <f>A1935&amp;"/"&amp;B1935&amp;"/"&amp;C1935&amp;"/"&amp;D1936</f>
        <v>Refinery gas fired power plants/Steam turbine/Electricity only/M</v>
      </c>
      <c r="F1936" s="76" t="str">
        <f>A1935</f>
        <v>Refinery gas fired power plants</v>
      </c>
      <c r="G1936" s="76" t="str">
        <f>B1935</f>
        <v>Steam turbine</v>
      </c>
      <c r="H1936" s="76" t="str">
        <f>C1935</f>
        <v>Electricity only</v>
      </c>
      <c r="I1936" s="161" t="str">
        <f t="shared" si="110"/>
        <v>M</v>
      </c>
      <c r="J1936" s="91">
        <v>4647.5</v>
      </c>
      <c r="K1936" s="91">
        <v>4647.5</v>
      </c>
      <c r="L1936" s="91">
        <v>4647.5</v>
      </c>
      <c r="M1936" s="91">
        <v>4647.5</v>
      </c>
      <c r="N1936" s="91">
        <v>4647.5</v>
      </c>
      <c r="O1936" s="91">
        <v>4647.5</v>
      </c>
      <c r="P1936" s="91">
        <v>4647.5</v>
      </c>
      <c r="Q1936" s="91">
        <v>4647.5</v>
      </c>
      <c r="R1936" s="91">
        <v>4647.5</v>
      </c>
      <c r="S1936" s="91">
        <v>4647.5</v>
      </c>
      <c r="T1936" s="91">
        <v>4647.5</v>
      </c>
      <c r="U1936" s="91">
        <v>4647.5</v>
      </c>
      <c r="V1936" s="91">
        <v>4647.5</v>
      </c>
      <c r="W1936" s="91">
        <v>4647.5</v>
      </c>
      <c r="X1936" s="91">
        <v>4647.5</v>
      </c>
      <c r="Y1936" s="91">
        <v>4647.5</v>
      </c>
      <c r="Z1936" s="91">
        <v>4647.5</v>
      </c>
      <c r="AA1936" s="91">
        <v>4647.5</v>
      </c>
      <c r="AB1936" s="91">
        <v>4647.5</v>
      </c>
      <c r="AC1936" s="91">
        <v>4647.5</v>
      </c>
      <c r="AD1936" s="91">
        <v>4647.5</v>
      </c>
      <c r="AE1936" s="91">
        <v>4647.5</v>
      </c>
      <c r="AF1936" s="91">
        <v>4647.5</v>
      </c>
      <c r="AG1936" s="91">
        <v>4647.5</v>
      </c>
      <c r="AH1936" s="91">
        <v>4647.5</v>
      </c>
      <c r="AI1936" s="91">
        <v>4647.5</v>
      </c>
      <c r="AJ1936" s="91">
        <v>4647.5</v>
      </c>
      <c r="AK1936" s="91">
        <v>4647.5</v>
      </c>
      <c r="AL1936" s="91">
        <v>4647.5</v>
      </c>
      <c r="AM1936" s="91">
        <v>4647.5</v>
      </c>
      <c r="AN1936" s="91">
        <v>4647.5</v>
      </c>
      <c r="AO1936" s="91">
        <v>4647.5</v>
      </c>
      <c r="AP1936" s="91">
        <v>4647.5</v>
      </c>
      <c r="AQ1936" s="91">
        <v>4647.5</v>
      </c>
      <c r="AR1936" s="91">
        <v>4647.5</v>
      </c>
      <c r="AS1936" s="91">
        <v>4647.5</v>
      </c>
      <c r="AT1936" s="91">
        <v>4647.5</v>
      </c>
      <c r="AU1936" s="91">
        <v>4647.5</v>
      </c>
      <c r="AV1936" s="91">
        <v>4647.5</v>
      </c>
      <c r="AW1936" s="91">
        <v>4647.5</v>
      </c>
      <c r="AX1936" s="92">
        <v>4647.5</v>
      </c>
    </row>
    <row r="1937" spans="1:50" x14ac:dyDescent="0.25">
      <c r="A1937" s="356"/>
      <c r="B1937" s="366"/>
      <c r="C1937" s="360"/>
      <c r="D1937" s="2" t="s">
        <v>10</v>
      </c>
      <c r="E1937" s="160" t="str">
        <f>A1935&amp;"/"&amp;B1935&amp;"/"&amp;C1935&amp;"/"&amp;D1937</f>
        <v>Refinery gas fired power plants/Steam turbine/Electricity only/S</v>
      </c>
      <c r="F1937" s="76" t="str">
        <f>A1935</f>
        <v>Refinery gas fired power plants</v>
      </c>
      <c r="G1937" s="76" t="str">
        <f>B1935</f>
        <v>Steam turbine</v>
      </c>
      <c r="H1937" s="76" t="str">
        <f>C1935</f>
        <v>Electricity only</v>
      </c>
      <c r="I1937" s="161" t="str">
        <f t="shared" si="110"/>
        <v>S</v>
      </c>
      <c r="J1937" s="91">
        <v>3137.0625</v>
      </c>
      <c r="K1937" s="91">
        <v>3137.0625</v>
      </c>
      <c r="L1937" s="91">
        <v>3137.0625</v>
      </c>
      <c r="M1937" s="91">
        <v>3137.0625</v>
      </c>
      <c r="N1937" s="91">
        <v>3137.0625</v>
      </c>
      <c r="O1937" s="91">
        <v>3137.0625</v>
      </c>
      <c r="P1937" s="91">
        <v>3137.0625</v>
      </c>
      <c r="Q1937" s="91">
        <v>3137.0625</v>
      </c>
      <c r="R1937" s="91">
        <v>3137.0625</v>
      </c>
      <c r="S1937" s="91">
        <v>3137.0625</v>
      </c>
      <c r="T1937" s="91">
        <v>3137.0625</v>
      </c>
      <c r="U1937" s="91">
        <v>3137.0625</v>
      </c>
      <c r="V1937" s="91">
        <v>3137.0625</v>
      </c>
      <c r="W1937" s="91">
        <v>3137.0625</v>
      </c>
      <c r="X1937" s="91">
        <v>3137.0625</v>
      </c>
      <c r="Y1937" s="91">
        <v>3137.0625</v>
      </c>
      <c r="Z1937" s="91">
        <v>3137.0625</v>
      </c>
      <c r="AA1937" s="91">
        <v>3137.0625</v>
      </c>
      <c r="AB1937" s="91">
        <v>3137.0625</v>
      </c>
      <c r="AC1937" s="91">
        <v>3137.0625</v>
      </c>
      <c r="AD1937" s="91">
        <v>3137.0625</v>
      </c>
      <c r="AE1937" s="91">
        <v>3137.0625</v>
      </c>
      <c r="AF1937" s="91">
        <v>3137.0625</v>
      </c>
      <c r="AG1937" s="91">
        <v>3137.0625</v>
      </c>
      <c r="AH1937" s="91">
        <v>3137.0625</v>
      </c>
      <c r="AI1937" s="91">
        <v>3137.0625</v>
      </c>
      <c r="AJ1937" s="91">
        <v>3137.0625</v>
      </c>
      <c r="AK1937" s="91">
        <v>3137.0625</v>
      </c>
      <c r="AL1937" s="91">
        <v>3137.0625</v>
      </c>
      <c r="AM1937" s="91">
        <v>3137.0625</v>
      </c>
      <c r="AN1937" s="91">
        <v>3137.0625</v>
      </c>
      <c r="AO1937" s="91">
        <v>3137.0625</v>
      </c>
      <c r="AP1937" s="91">
        <v>3137.0625</v>
      </c>
      <c r="AQ1937" s="91">
        <v>3137.0625</v>
      </c>
      <c r="AR1937" s="91">
        <v>3137.0625</v>
      </c>
      <c r="AS1937" s="91">
        <v>3137.0625</v>
      </c>
      <c r="AT1937" s="91">
        <v>3137.0625</v>
      </c>
      <c r="AU1937" s="91">
        <v>3137.0625</v>
      </c>
      <c r="AV1937" s="91">
        <v>3137.0625</v>
      </c>
      <c r="AW1937" s="91">
        <v>3137.0625</v>
      </c>
      <c r="AX1937" s="92">
        <v>3137.0625</v>
      </c>
    </row>
    <row r="1938" spans="1:50" x14ac:dyDescent="0.25">
      <c r="A1938" s="356"/>
      <c r="B1938" s="366"/>
      <c r="C1938" s="361" t="s">
        <v>14</v>
      </c>
      <c r="D1938" s="58" t="s">
        <v>7</v>
      </c>
      <c r="E1938" s="164" t="str">
        <f>A1935&amp;"/"&amp;B1935&amp;"/"&amp;C1938&amp;"/"&amp;D1938</f>
        <v>Refinery gas fired power plants/Steam turbine/CHP/L</v>
      </c>
      <c r="F1938" s="78" t="str">
        <f>A1935</f>
        <v>Refinery gas fired power plants</v>
      </c>
      <c r="G1938" s="78" t="str">
        <f>B1935</f>
        <v>Steam turbine</v>
      </c>
      <c r="H1938" s="78" t="str">
        <f>C1938</f>
        <v>CHP</v>
      </c>
      <c r="I1938" s="165" t="str">
        <f t="shared" si="110"/>
        <v>L</v>
      </c>
      <c r="J1938" s="95">
        <v>5200</v>
      </c>
      <c r="K1938" s="95">
        <v>5200</v>
      </c>
      <c r="L1938" s="95">
        <v>5200</v>
      </c>
      <c r="M1938" s="95">
        <v>5200</v>
      </c>
      <c r="N1938" s="95">
        <v>5200</v>
      </c>
      <c r="O1938" s="95">
        <v>5200</v>
      </c>
      <c r="P1938" s="95">
        <v>5200</v>
      </c>
      <c r="Q1938" s="95">
        <v>5200</v>
      </c>
      <c r="R1938" s="95">
        <v>5200</v>
      </c>
      <c r="S1938" s="95">
        <v>5200</v>
      </c>
      <c r="T1938" s="95">
        <v>5200</v>
      </c>
      <c r="U1938" s="95">
        <v>5200</v>
      </c>
      <c r="V1938" s="95">
        <v>5200</v>
      </c>
      <c r="W1938" s="95">
        <v>5200</v>
      </c>
      <c r="X1938" s="95">
        <v>5200</v>
      </c>
      <c r="Y1938" s="95">
        <v>5200</v>
      </c>
      <c r="Z1938" s="95">
        <v>5200</v>
      </c>
      <c r="AA1938" s="95">
        <v>5200</v>
      </c>
      <c r="AB1938" s="95">
        <v>5200</v>
      </c>
      <c r="AC1938" s="95">
        <v>5200</v>
      </c>
      <c r="AD1938" s="95">
        <v>5200</v>
      </c>
      <c r="AE1938" s="95">
        <v>5200</v>
      </c>
      <c r="AF1938" s="95">
        <v>5200</v>
      </c>
      <c r="AG1938" s="95">
        <v>5200</v>
      </c>
      <c r="AH1938" s="95">
        <v>5200</v>
      </c>
      <c r="AI1938" s="95">
        <v>5200</v>
      </c>
      <c r="AJ1938" s="95">
        <v>5200</v>
      </c>
      <c r="AK1938" s="95">
        <v>5200</v>
      </c>
      <c r="AL1938" s="95">
        <v>5200</v>
      </c>
      <c r="AM1938" s="95">
        <v>5200</v>
      </c>
      <c r="AN1938" s="95">
        <v>5200</v>
      </c>
      <c r="AO1938" s="95">
        <v>5200</v>
      </c>
      <c r="AP1938" s="95">
        <v>5200</v>
      </c>
      <c r="AQ1938" s="95">
        <v>5200</v>
      </c>
      <c r="AR1938" s="95">
        <v>5200</v>
      </c>
      <c r="AS1938" s="95">
        <v>5200</v>
      </c>
      <c r="AT1938" s="95">
        <v>5200</v>
      </c>
      <c r="AU1938" s="95">
        <v>5200</v>
      </c>
      <c r="AV1938" s="95">
        <v>5200</v>
      </c>
      <c r="AW1938" s="95">
        <v>5200</v>
      </c>
      <c r="AX1938" s="96">
        <v>5200</v>
      </c>
    </row>
    <row r="1939" spans="1:50" x14ac:dyDescent="0.25">
      <c r="A1939" s="356"/>
      <c r="B1939" s="366"/>
      <c r="C1939" s="350"/>
      <c r="D1939" s="2" t="s">
        <v>8</v>
      </c>
      <c r="E1939" s="160" t="str">
        <f>A1935&amp;"/"&amp;B1935&amp;"/"&amp;C1938&amp;"/"&amp;D1939</f>
        <v>Refinery gas fired power plants/Steam turbine/CHP/M</v>
      </c>
      <c r="F1939" s="76" t="str">
        <f>A1935</f>
        <v>Refinery gas fired power plants</v>
      </c>
      <c r="G1939" s="76" t="str">
        <f>B1935</f>
        <v>Steam turbine</v>
      </c>
      <c r="H1939" s="76" t="str">
        <f>C1938</f>
        <v>CHP</v>
      </c>
      <c r="I1939" s="161" t="str">
        <f t="shared" si="110"/>
        <v>M</v>
      </c>
      <c r="J1939" s="91">
        <v>3718</v>
      </c>
      <c r="K1939" s="91">
        <v>3718</v>
      </c>
      <c r="L1939" s="91">
        <v>3718</v>
      </c>
      <c r="M1939" s="91">
        <v>3718</v>
      </c>
      <c r="N1939" s="91">
        <v>3718</v>
      </c>
      <c r="O1939" s="91">
        <v>3718</v>
      </c>
      <c r="P1939" s="91">
        <v>3718</v>
      </c>
      <c r="Q1939" s="91">
        <v>3718</v>
      </c>
      <c r="R1939" s="91">
        <v>3718</v>
      </c>
      <c r="S1939" s="91">
        <v>3718</v>
      </c>
      <c r="T1939" s="91">
        <v>3718</v>
      </c>
      <c r="U1939" s="91">
        <v>3718</v>
      </c>
      <c r="V1939" s="91">
        <v>3718</v>
      </c>
      <c r="W1939" s="91">
        <v>3718</v>
      </c>
      <c r="X1939" s="91">
        <v>3718</v>
      </c>
      <c r="Y1939" s="91">
        <v>3718</v>
      </c>
      <c r="Z1939" s="91">
        <v>3718</v>
      </c>
      <c r="AA1939" s="91">
        <v>3718</v>
      </c>
      <c r="AB1939" s="91">
        <v>3718</v>
      </c>
      <c r="AC1939" s="91">
        <v>3718</v>
      </c>
      <c r="AD1939" s="91">
        <v>3718</v>
      </c>
      <c r="AE1939" s="91">
        <v>3718</v>
      </c>
      <c r="AF1939" s="91">
        <v>3718</v>
      </c>
      <c r="AG1939" s="91">
        <v>3718</v>
      </c>
      <c r="AH1939" s="91">
        <v>3718</v>
      </c>
      <c r="AI1939" s="91">
        <v>3718</v>
      </c>
      <c r="AJ1939" s="91">
        <v>3718</v>
      </c>
      <c r="AK1939" s="91">
        <v>3718</v>
      </c>
      <c r="AL1939" s="91">
        <v>3718</v>
      </c>
      <c r="AM1939" s="91">
        <v>3718</v>
      </c>
      <c r="AN1939" s="91">
        <v>3718</v>
      </c>
      <c r="AO1939" s="91">
        <v>3718</v>
      </c>
      <c r="AP1939" s="91">
        <v>3718</v>
      </c>
      <c r="AQ1939" s="91">
        <v>3718</v>
      </c>
      <c r="AR1939" s="91">
        <v>3718</v>
      </c>
      <c r="AS1939" s="91">
        <v>3718</v>
      </c>
      <c r="AT1939" s="91">
        <v>3718</v>
      </c>
      <c r="AU1939" s="91">
        <v>3718</v>
      </c>
      <c r="AV1939" s="91">
        <v>3718</v>
      </c>
      <c r="AW1939" s="91">
        <v>3718</v>
      </c>
      <c r="AX1939" s="92">
        <v>3718</v>
      </c>
    </row>
    <row r="1940" spans="1:50" x14ac:dyDescent="0.25">
      <c r="A1940" s="356"/>
      <c r="B1940" s="366"/>
      <c r="C1940" s="360"/>
      <c r="D1940" s="59" t="s">
        <v>10</v>
      </c>
      <c r="E1940" s="166" t="str">
        <f>A1935&amp;"/"&amp;B1935&amp;"/"&amp;C1938&amp;"/"&amp;D1940</f>
        <v>Refinery gas fired power plants/Steam turbine/CHP/S</v>
      </c>
      <c r="F1940" s="79" t="str">
        <f>A1935</f>
        <v>Refinery gas fired power plants</v>
      </c>
      <c r="G1940" s="79" t="str">
        <f>B1935</f>
        <v>Steam turbine</v>
      </c>
      <c r="H1940" s="79" t="str">
        <f>C1938</f>
        <v>CHP</v>
      </c>
      <c r="I1940" s="167" t="str">
        <f t="shared" si="110"/>
        <v>S</v>
      </c>
      <c r="J1940" s="97">
        <v>2509.65</v>
      </c>
      <c r="K1940" s="97">
        <v>2509.65</v>
      </c>
      <c r="L1940" s="97">
        <v>2509.65</v>
      </c>
      <c r="M1940" s="97">
        <v>2509.65</v>
      </c>
      <c r="N1940" s="97">
        <v>2509.65</v>
      </c>
      <c r="O1940" s="97">
        <v>2509.65</v>
      </c>
      <c r="P1940" s="97">
        <v>2509.65</v>
      </c>
      <c r="Q1940" s="97">
        <v>2509.65</v>
      </c>
      <c r="R1940" s="97">
        <v>2509.65</v>
      </c>
      <c r="S1940" s="97">
        <v>2509.65</v>
      </c>
      <c r="T1940" s="97">
        <v>2509.65</v>
      </c>
      <c r="U1940" s="97">
        <v>2509.65</v>
      </c>
      <c r="V1940" s="97">
        <v>2509.65</v>
      </c>
      <c r="W1940" s="97">
        <v>2509.65</v>
      </c>
      <c r="X1940" s="97">
        <v>2509.65</v>
      </c>
      <c r="Y1940" s="97">
        <v>2509.65</v>
      </c>
      <c r="Z1940" s="97">
        <v>2509.65</v>
      </c>
      <c r="AA1940" s="97">
        <v>2509.65</v>
      </c>
      <c r="AB1940" s="97">
        <v>2509.65</v>
      </c>
      <c r="AC1940" s="97">
        <v>2509.65</v>
      </c>
      <c r="AD1940" s="97">
        <v>2509.65</v>
      </c>
      <c r="AE1940" s="97">
        <v>2509.65</v>
      </c>
      <c r="AF1940" s="97">
        <v>2509.65</v>
      </c>
      <c r="AG1940" s="97">
        <v>2509.65</v>
      </c>
      <c r="AH1940" s="97">
        <v>2509.65</v>
      </c>
      <c r="AI1940" s="97">
        <v>2509.65</v>
      </c>
      <c r="AJ1940" s="97">
        <v>2509.65</v>
      </c>
      <c r="AK1940" s="97">
        <v>2509.65</v>
      </c>
      <c r="AL1940" s="97">
        <v>2509.65</v>
      </c>
      <c r="AM1940" s="97">
        <v>2509.65</v>
      </c>
      <c r="AN1940" s="97">
        <v>2509.65</v>
      </c>
      <c r="AO1940" s="97">
        <v>2509.65</v>
      </c>
      <c r="AP1940" s="97">
        <v>2509.65</v>
      </c>
      <c r="AQ1940" s="97">
        <v>2509.65</v>
      </c>
      <c r="AR1940" s="97">
        <v>2509.65</v>
      </c>
      <c r="AS1940" s="97">
        <v>2509.65</v>
      </c>
      <c r="AT1940" s="97">
        <v>2509.65</v>
      </c>
      <c r="AU1940" s="97">
        <v>2509.65</v>
      </c>
      <c r="AV1940" s="97">
        <v>2509.65</v>
      </c>
      <c r="AW1940" s="97">
        <v>2509.65</v>
      </c>
      <c r="AX1940" s="98">
        <v>2509.65</v>
      </c>
    </row>
    <row r="1941" spans="1:50" x14ac:dyDescent="0.25">
      <c r="A1941" s="356"/>
      <c r="B1941" s="366"/>
      <c r="C1941" s="361" t="s">
        <v>15</v>
      </c>
      <c r="D1941" s="58" t="s">
        <v>7</v>
      </c>
      <c r="E1941" s="164" t="str">
        <f>A1935&amp;"/"&amp;B1935&amp;"/"&amp;C1941&amp;"/"&amp;D1941</f>
        <v>Refinery gas fired power plants/Steam turbine/Electricity only with CCS/L</v>
      </c>
      <c r="F1941" s="78" t="str">
        <f>A1935</f>
        <v>Refinery gas fired power plants</v>
      </c>
      <c r="G1941" s="78" t="str">
        <f>B1935</f>
        <v>Steam turbine</v>
      </c>
      <c r="H1941" s="78" t="str">
        <f>C1941</f>
        <v>Electricity only with CCS</v>
      </c>
      <c r="I1941" s="165" t="str">
        <f t="shared" si="110"/>
        <v>L</v>
      </c>
      <c r="J1941" s="95" t="s">
        <v>112</v>
      </c>
      <c r="K1941" s="95" t="s">
        <v>112</v>
      </c>
      <c r="L1941" s="95" t="s">
        <v>112</v>
      </c>
      <c r="M1941" s="95" t="s">
        <v>112</v>
      </c>
      <c r="N1941" s="95" t="s">
        <v>112</v>
      </c>
      <c r="O1941" s="95" t="s">
        <v>112</v>
      </c>
      <c r="P1941" s="95" t="s">
        <v>112</v>
      </c>
      <c r="Q1941" s="95" t="s">
        <v>112</v>
      </c>
      <c r="R1941" s="95" t="s">
        <v>112</v>
      </c>
      <c r="S1941" s="95" t="s">
        <v>112</v>
      </c>
      <c r="T1941" s="95" t="s">
        <v>112</v>
      </c>
      <c r="U1941" s="95" t="s">
        <v>112</v>
      </c>
      <c r="V1941" s="95" t="s">
        <v>112</v>
      </c>
      <c r="W1941" s="95" t="s">
        <v>112</v>
      </c>
      <c r="X1941" s="95" t="s">
        <v>112</v>
      </c>
      <c r="Y1941" s="95" t="s">
        <v>112</v>
      </c>
      <c r="Z1941" s="95" t="s">
        <v>112</v>
      </c>
      <c r="AA1941" s="95" t="s">
        <v>112</v>
      </c>
      <c r="AB1941" s="95" t="s">
        <v>112</v>
      </c>
      <c r="AC1941" s="95" t="s">
        <v>112</v>
      </c>
      <c r="AD1941" s="95" t="s">
        <v>112</v>
      </c>
      <c r="AE1941" s="95">
        <v>6500</v>
      </c>
      <c r="AF1941" s="95">
        <v>6500</v>
      </c>
      <c r="AG1941" s="95">
        <v>6500</v>
      </c>
      <c r="AH1941" s="95">
        <v>6500</v>
      </c>
      <c r="AI1941" s="95">
        <v>6500</v>
      </c>
      <c r="AJ1941" s="95">
        <v>6500</v>
      </c>
      <c r="AK1941" s="95">
        <v>6500</v>
      </c>
      <c r="AL1941" s="95">
        <v>6500</v>
      </c>
      <c r="AM1941" s="95">
        <v>6500</v>
      </c>
      <c r="AN1941" s="95">
        <v>6500</v>
      </c>
      <c r="AO1941" s="95">
        <v>6500</v>
      </c>
      <c r="AP1941" s="95">
        <v>6500</v>
      </c>
      <c r="AQ1941" s="95">
        <v>6500</v>
      </c>
      <c r="AR1941" s="95">
        <v>6500</v>
      </c>
      <c r="AS1941" s="95">
        <v>6500</v>
      </c>
      <c r="AT1941" s="95">
        <v>6500</v>
      </c>
      <c r="AU1941" s="95">
        <v>6500</v>
      </c>
      <c r="AV1941" s="95">
        <v>6500</v>
      </c>
      <c r="AW1941" s="95">
        <v>6500</v>
      </c>
      <c r="AX1941" s="96">
        <v>6500</v>
      </c>
    </row>
    <row r="1942" spans="1:50" x14ac:dyDescent="0.25">
      <c r="A1942" s="356"/>
      <c r="B1942" s="366"/>
      <c r="C1942" s="360"/>
      <c r="D1942" s="59" t="s">
        <v>8</v>
      </c>
      <c r="E1942" s="166" t="str">
        <f>A1935&amp;"/"&amp;B1935&amp;"/"&amp;C1941&amp;"/"&amp;D1942</f>
        <v>Refinery gas fired power plants/Steam turbine/Electricity only with CCS/M</v>
      </c>
      <c r="F1942" s="79" t="str">
        <f>A1935</f>
        <v>Refinery gas fired power plants</v>
      </c>
      <c r="G1942" s="79" t="str">
        <f>B1935</f>
        <v>Steam turbine</v>
      </c>
      <c r="H1942" s="79" t="str">
        <f>C1941</f>
        <v>Electricity only with CCS</v>
      </c>
      <c r="I1942" s="167" t="str">
        <f t="shared" si="110"/>
        <v>M</v>
      </c>
      <c r="J1942" s="97" t="s">
        <v>112</v>
      </c>
      <c r="K1942" s="97" t="s">
        <v>112</v>
      </c>
      <c r="L1942" s="97" t="s">
        <v>112</v>
      </c>
      <c r="M1942" s="97" t="s">
        <v>112</v>
      </c>
      <c r="N1942" s="97" t="s">
        <v>112</v>
      </c>
      <c r="O1942" s="97" t="s">
        <v>112</v>
      </c>
      <c r="P1942" s="97" t="s">
        <v>112</v>
      </c>
      <c r="Q1942" s="97" t="s">
        <v>112</v>
      </c>
      <c r="R1942" s="97" t="s">
        <v>112</v>
      </c>
      <c r="S1942" s="97" t="s">
        <v>112</v>
      </c>
      <c r="T1942" s="97" t="s">
        <v>112</v>
      </c>
      <c r="U1942" s="97" t="s">
        <v>112</v>
      </c>
      <c r="V1942" s="97" t="s">
        <v>112</v>
      </c>
      <c r="W1942" s="97" t="s">
        <v>112</v>
      </c>
      <c r="X1942" s="97" t="s">
        <v>112</v>
      </c>
      <c r="Y1942" s="97" t="s">
        <v>112</v>
      </c>
      <c r="Z1942" s="97" t="s">
        <v>112</v>
      </c>
      <c r="AA1942" s="97" t="s">
        <v>112</v>
      </c>
      <c r="AB1942" s="97" t="s">
        <v>112</v>
      </c>
      <c r="AC1942" s="97" t="s">
        <v>112</v>
      </c>
      <c r="AD1942" s="97" t="s">
        <v>112</v>
      </c>
      <c r="AE1942" s="97">
        <v>4647.5</v>
      </c>
      <c r="AF1942" s="97">
        <v>4647.5</v>
      </c>
      <c r="AG1942" s="97">
        <v>4647.5</v>
      </c>
      <c r="AH1942" s="97">
        <v>4647.5</v>
      </c>
      <c r="AI1942" s="97">
        <v>4647.5</v>
      </c>
      <c r="AJ1942" s="97">
        <v>4647.5</v>
      </c>
      <c r="AK1942" s="97">
        <v>4647.5</v>
      </c>
      <c r="AL1942" s="97">
        <v>4647.5</v>
      </c>
      <c r="AM1942" s="97">
        <v>4647.5</v>
      </c>
      <c r="AN1942" s="97">
        <v>4647.5</v>
      </c>
      <c r="AO1942" s="97">
        <v>4647.5</v>
      </c>
      <c r="AP1942" s="97">
        <v>4647.5</v>
      </c>
      <c r="AQ1942" s="97">
        <v>4647.5</v>
      </c>
      <c r="AR1942" s="97">
        <v>4647.5</v>
      </c>
      <c r="AS1942" s="97">
        <v>4647.5</v>
      </c>
      <c r="AT1942" s="97">
        <v>4647.5</v>
      </c>
      <c r="AU1942" s="97">
        <v>4647.5</v>
      </c>
      <c r="AV1942" s="97">
        <v>4647.5</v>
      </c>
      <c r="AW1942" s="97">
        <v>4647.5</v>
      </c>
      <c r="AX1942" s="98">
        <v>4647.5</v>
      </c>
    </row>
    <row r="1943" spans="1:50" x14ac:dyDescent="0.25">
      <c r="A1943" s="356"/>
      <c r="B1943" s="366"/>
      <c r="C1943" s="361" t="s">
        <v>16</v>
      </c>
      <c r="D1943" s="2" t="s">
        <v>7</v>
      </c>
      <c r="E1943" s="160" t="str">
        <f>A1935&amp;"/"&amp;B1935&amp;"/"&amp;C1943&amp;"/"&amp;D1943</f>
        <v>Refinery gas fired power plants/Steam turbine/CHP with CCS/L</v>
      </c>
      <c r="F1943" s="76" t="str">
        <f>A1935</f>
        <v>Refinery gas fired power plants</v>
      </c>
      <c r="G1943" s="76" t="str">
        <f>B1935</f>
        <v>Steam turbine</v>
      </c>
      <c r="H1943" s="76" t="str">
        <f>C1943</f>
        <v>CHP with CCS</v>
      </c>
      <c r="I1943" s="161" t="str">
        <f t="shared" si="110"/>
        <v>L</v>
      </c>
      <c r="J1943" s="91" t="s">
        <v>112</v>
      </c>
      <c r="K1943" s="91" t="s">
        <v>112</v>
      </c>
      <c r="L1943" s="91" t="s">
        <v>112</v>
      </c>
      <c r="M1943" s="91" t="s">
        <v>112</v>
      </c>
      <c r="N1943" s="91" t="s">
        <v>112</v>
      </c>
      <c r="O1943" s="91" t="s">
        <v>112</v>
      </c>
      <c r="P1943" s="91" t="s">
        <v>112</v>
      </c>
      <c r="Q1943" s="91" t="s">
        <v>112</v>
      </c>
      <c r="R1943" s="91" t="s">
        <v>112</v>
      </c>
      <c r="S1943" s="91" t="s">
        <v>112</v>
      </c>
      <c r="T1943" s="91" t="s">
        <v>112</v>
      </c>
      <c r="U1943" s="91" t="s">
        <v>112</v>
      </c>
      <c r="V1943" s="91" t="s">
        <v>112</v>
      </c>
      <c r="W1943" s="91" t="s">
        <v>112</v>
      </c>
      <c r="X1943" s="91" t="s">
        <v>112</v>
      </c>
      <c r="Y1943" s="91" t="s">
        <v>112</v>
      </c>
      <c r="Z1943" s="91" t="s">
        <v>112</v>
      </c>
      <c r="AA1943" s="91" t="s">
        <v>112</v>
      </c>
      <c r="AB1943" s="91" t="s">
        <v>112</v>
      </c>
      <c r="AC1943" s="91" t="s">
        <v>112</v>
      </c>
      <c r="AD1943" s="91" t="s">
        <v>112</v>
      </c>
      <c r="AE1943" s="91">
        <v>5200</v>
      </c>
      <c r="AF1943" s="91">
        <v>5200</v>
      </c>
      <c r="AG1943" s="91">
        <v>5200</v>
      </c>
      <c r="AH1943" s="91">
        <v>5200</v>
      </c>
      <c r="AI1943" s="91">
        <v>5200</v>
      </c>
      <c r="AJ1943" s="91">
        <v>5200</v>
      </c>
      <c r="AK1943" s="91">
        <v>5200</v>
      </c>
      <c r="AL1943" s="91">
        <v>5200</v>
      </c>
      <c r="AM1943" s="91">
        <v>5200</v>
      </c>
      <c r="AN1943" s="91">
        <v>5200</v>
      </c>
      <c r="AO1943" s="91">
        <v>5200</v>
      </c>
      <c r="AP1943" s="91">
        <v>5200</v>
      </c>
      <c r="AQ1943" s="91">
        <v>5200</v>
      </c>
      <c r="AR1943" s="91">
        <v>5200</v>
      </c>
      <c r="AS1943" s="91">
        <v>5200</v>
      </c>
      <c r="AT1943" s="91">
        <v>5200</v>
      </c>
      <c r="AU1943" s="91">
        <v>5200</v>
      </c>
      <c r="AV1943" s="91">
        <v>5200</v>
      </c>
      <c r="AW1943" s="91">
        <v>5200</v>
      </c>
      <c r="AX1943" s="92">
        <v>5200</v>
      </c>
    </row>
    <row r="1944" spans="1:50" x14ac:dyDescent="0.25">
      <c r="A1944" s="357"/>
      <c r="B1944" s="367"/>
      <c r="C1944" s="354"/>
      <c r="D1944" s="4" t="s">
        <v>8</v>
      </c>
      <c r="E1944" s="168" t="str">
        <f>A1935&amp;"/"&amp;B1935&amp;"/"&amp;C1943&amp;"/"&amp;D1944</f>
        <v>Refinery gas fired power plants/Steam turbine/CHP with CCS/M</v>
      </c>
      <c r="F1944" s="80" t="str">
        <f>A1935</f>
        <v>Refinery gas fired power plants</v>
      </c>
      <c r="G1944" s="80" t="str">
        <f>B1935</f>
        <v>Steam turbine</v>
      </c>
      <c r="H1944" s="80" t="str">
        <f>C1943</f>
        <v>CHP with CCS</v>
      </c>
      <c r="I1944" s="169" t="str">
        <f t="shared" si="110"/>
        <v>M</v>
      </c>
      <c r="J1944" s="99" t="s">
        <v>112</v>
      </c>
      <c r="K1944" s="99" t="s">
        <v>112</v>
      </c>
      <c r="L1944" s="99" t="s">
        <v>112</v>
      </c>
      <c r="M1944" s="99" t="s">
        <v>112</v>
      </c>
      <c r="N1944" s="99" t="s">
        <v>112</v>
      </c>
      <c r="O1944" s="99" t="s">
        <v>112</v>
      </c>
      <c r="P1944" s="99" t="s">
        <v>112</v>
      </c>
      <c r="Q1944" s="99" t="s">
        <v>112</v>
      </c>
      <c r="R1944" s="99" t="s">
        <v>112</v>
      </c>
      <c r="S1944" s="99" t="s">
        <v>112</v>
      </c>
      <c r="T1944" s="99" t="s">
        <v>112</v>
      </c>
      <c r="U1944" s="99" t="s">
        <v>112</v>
      </c>
      <c r="V1944" s="99" t="s">
        <v>112</v>
      </c>
      <c r="W1944" s="99" t="s">
        <v>112</v>
      </c>
      <c r="X1944" s="99" t="s">
        <v>112</v>
      </c>
      <c r="Y1944" s="99" t="s">
        <v>112</v>
      </c>
      <c r="Z1944" s="99" t="s">
        <v>112</v>
      </c>
      <c r="AA1944" s="99" t="s">
        <v>112</v>
      </c>
      <c r="AB1944" s="99" t="s">
        <v>112</v>
      </c>
      <c r="AC1944" s="99" t="s">
        <v>112</v>
      </c>
      <c r="AD1944" s="99" t="s">
        <v>112</v>
      </c>
      <c r="AE1944" s="99">
        <v>3718</v>
      </c>
      <c r="AF1944" s="99">
        <v>3718</v>
      </c>
      <c r="AG1944" s="99">
        <v>3718</v>
      </c>
      <c r="AH1944" s="99">
        <v>3718</v>
      </c>
      <c r="AI1944" s="99">
        <v>3718</v>
      </c>
      <c r="AJ1944" s="99">
        <v>3718</v>
      </c>
      <c r="AK1944" s="99">
        <v>3718</v>
      </c>
      <c r="AL1944" s="99">
        <v>3718</v>
      </c>
      <c r="AM1944" s="99">
        <v>3718</v>
      </c>
      <c r="AN1944" s="99">
        <v>3718</v>
      </c>
      <c r="AO1944" s="99">
        <v>3718</v>
      </c>
      <c r="AP1944" s="99">
        <v>3718</v>
      </c>
      <c r="AQ1944" s="99">
        <v>3718</v>
      </c>
      <c r="AR1944" s="99">
        <v>3718</v>
      </c>
      <c r="AS1944" s="99">
        <v>3718</v>
      </c>
      <c r="AT1944" s="99">
        <v>3718</v>
      </c>
      <c r="AU1944" s="99">
        <v>3718</v>
      </c>
      <c r="AV1944" s="99">
        <v>3718</v>
      </c>
      <c r="AW1944" s="99">
        <v>3718</v>
      </c>
      <c r="AX1944" s="100">
        <v>3718</v>
      </c>
    </row>
    <row r="1945" spans="1:50" x14ac:dyDescent="0.25">
      <c r="A1945" s="355" t="s">
        <v>28</v>
      </c>
      <c r="B1945" s="358" t="s">
        <v>23</v>
      </c>
      <c r="C1945" s="353" t="s">
        <v>6</v>
      </c>
      <c r="D1945" s="3" t="s">
        <v>7</v>
      </c>
      <c r="E1945" s="162" t="str">
        <f>A1945&amp;"/"&amp;B1945&amp;"/"&amp;C1945&amp;"/"&amp;D1945</f>
        <v>Diesel oil fired power plants/Gas turbine combined cycle/Electricity only/L</v>
      </c>
      <c r="F1945" s="77" t="str">
        <f>A1945</f>
        <v>Diesel oil fired power plants</v>
      </c>
      <c r="G1945" s="77" t="str">
        <f>B1945</f>
        <v>Gas turbine combined cycle</v>
      </c>
      <c r="H1945" s="77" t="str">
        <f>C1945</f>
        <v>Electricity only</v>
      </c>
      <c r="I1945" s="163" t="str">
        <f t="shared" si="110"/>
        <v>L</v>
      </c>
      <c r="J1945" s="93">
        <v>1500</v>
      </c>
      <c r="K1945" s="93">
        <v>1500</v>
      </c>
      <c r="L1945" s="93">
        <v>1500</v>
      </c>
      <c r="M1945" s="93">
        <v>1500</v>
      </c>
      <c r="N1945" s="93">
        <v>1500</v>
      </c>
      <c r="O1945" s="93">
        <v>1500</v>
      </c>
      <c r="P1945" s="93">
        <v>1500</v>
      </c>
      <c r="Q1945" s="93">
        <v>1500</v>
      </c>
      <c r="R1945" s="93">
        <v>1500</v>
      </c>
      <c r="S1945" s="93">
        <v>1500</v>
      </c>
      <c r="T1945" s="93">
        <v>1500</v>
      </c>
      <c r="U1945" s="93">
        <v>1500</v>
      </c>
      <c r="V1945" s="93">
        <v>1500</v>
      </c>
      <c r="W1945" s="93">
        <v>1500</v>
      </c>
      <c r="X1945" s="93">
        <v>1500</v>
      </c>
      <c r="Y1945" s="93">
        <v>1500</v>
      </c>
      <c r="Z1945" s="93">
        <v>1500</v>
      </c>
      <c r="AA1945" s="93">
        <v>1500</v>
      </c>
      <c r="AB1945" s="93">
        <v>1500</v>
      </c>
      <c r="AC1945" s="93">
        <v>1500</v>
      </c>
      <c r="AD1945" s="93">
        <v>1500</v>
      </c>
      <c r="AE1945" s="93">
        <v>1500</v>
      </c>
      <c r="AF1945" s="93">
        <v>1500</v>
      </c>
      <c r="AG1945" s="93">
        <v>1500</v>
      </c>
      <c r="AH1945" s="93">
        <v>1500</v>
      </c>
      <c r="AI1945" s="93">
        <v>1500</v>
      </c>
      <c r="AJ1945" s="93">
        <v>1500</v>
      </c>
      <c r="AK1945" s="93">
        <v>1500</v>
      </c>
      <c r="AL1945" s="93">
        <v>1500</v>
      </c>
      <c r="AM1945" s="93">
        <v>1500</v>
      </c>
      <c r="AN1945" s="93">
        <v>1500</v>
      </c>
      <c r="AO1945" s="93">
        <v>1500</v>
      </c>
      <c r="AP1945" s="93">
        <v>1500</v>
      </c>
      <c r="AQ1945" s="93">
        <v>1500</v>
      </c>
      <c r="AR1945" s="93">
        <v>1500</v>
      </c>
      <c r="AS1945" s="93">
        <v>1500</v>
      </c>
      <c r="AT1945" s="93">
        <v>1500</v>
      </c>
      <c r="AU1945" s="93">
        <v>1500</v>
      </c>
      <c r="AV1945" s="93">
        <v>1500</v>
      </c>
      <c r="AW1945" s="93">
        <v>1500</v>
      </c>
      <c r="AX1945" s="94">
        <v>1500</v>
      </c>
    </row>
    <row r="1946" spans="1:50" x14ac:dyDescent="0.25">
      <c r="A1946" s="356"/>
      <c r="B1946" s="359"/>
      <c r="C1946" s="360"/>
      <c r="D1946" s="2" t="s">
        <v>8</v>
      </c>
      <c r="E1946" s="160" t="str">
        <f>A1945&amp;"/"&amp;B1945&amp;"/"&amp;C1945&amp;"/"&amp;D1946</f>
        <v>Diesel oil fired power plants/Gas turbine combined cycle/Electricity only/M</v>
      </c>
      <c r="F1946" s="76" t="str">
        <f>A1945</f>
        <v>Diesel oil fired power plants</v>
      </c>
      <c r="G1946" s="76" t="str">
        <f>B1945</f>
        <v>Gas turbine combined cycle</v>
      </c>
      <c r="H1946" s="76" t="str">
        <f>C1945</f>
        <v>Electricity only</v>
      </c>
      <c r="I1946" s="161" t="str">
        <f t="shared" si="110"/>
        <v>M</v>
      </c>
      <c r="J1946" s="91">
        <v>300</v>
      </c>
      <c r="K1946" s="91">
        <v>300</v>
      </c>
      <c r="L1946" s="91">
        <v>300</v>
      </c>
      <c r="M1946" s="91">
        <v>300</v>
      </c>
      <c r="N1946" s="91">
        <v>300</v>
      </c>
      <c r="O1946" s="91">
        <v>300</v>
      </c>
      <c r="P1946" s="91">
        <v>300</v>
      </c>
      <c r="Q1946" s="91">
        <v>300</v>
      </c>
      <c r="R1946" s="91">
        <v>300</v>
      </c>
      <c r="S1946" s="91">
        <v>300</v>
      </c>
      <c r="T1946" s="91">
        <v>300</v>
      </c>
      <c r="U1946" s="91">
        <v>300</v>
      </c>
      <c r="V1946" s="91">
        <v>300</v>
      </c>
      <c r="W1946" s="91">
        <v>300</v>
      </c>
      <c r="X1946" s="91">
        <v>300</v>
      </c>
      <c r="Y1946" s="91">
        <v>300</v>
      </c>
      <c r="Z1946" s="91">
        <v>300</v>
      </c>
      <c r="AA1946" s="91">
        <v>300</v>
      </c>
      <c r="AB1946" s="91">
        <v>300</v>
      </c>
      <c r="AC1946" s="91">
        <v>300</v>
      </c>
      <c r="AD1946" s="91">
        <v>300</v>
      </c>
      <c r="AE1946" s="91">
        <v>300</v>
      </c>
      <c r="AF1946" s="91">
        <v>300</v>
      </c>
      <c r="AG1946" s="91">
        <v>300</v>
      </c>
      <c r="AH1946" s="91">
        <v>300</v>
      </c>
      <c r="AI1946" s="91">
        <v>300</v>
      </c>
      <c r="AJ1946" s="91">
        <v>300</v>
      </c>
      <c r="AK1946" s="91">
        <v>300</v>
      </c>
      <c r="AL1946" s="91">
        <v>300</v>
      </c>
      <c r="AM1946" s="91">
        <v>300</v>
      </c>
      <c r="AN1946" s="91">
        <v>300</v>
      </c>
      <c r="AO1946" s="91">
        <v>300</v>
      </c>
      <c r="AP1946" s="91">
        <v>300</v>
      </c>
      <c r="AQ1946" s="91">
        <v>300</v>
      </c>
      <c r="AR1946" s="91">
        <v>300</v>
      </c>
      <c r="AS1946" s="91">
        <v>300</v>
      </c>
      <c r="AT1946" s="91">
        <v>300</v>
      </c>
      <c r="AU1946" s="91">
        <v>300</v>
      </c>
      <c r="AV1946" s="91">
        <v>300</v>
      </c>
      <c r="AW1946" s="91">
        <v>300</v>
      </c>
      <c r="AX1946" s="92">
        <v>300</v>
      </c>
    </row>
    <row r="1947" spans="1:50" x14ac:dyDescent="0.25">
      <c r="A1947" s="356"/>
      <c r="B1947" s="359"/>
      <c r="C1947" s="361" t="s">
        <v>14</v>
      </c>
      <c r="D1947" s="58" t="s">
        <v>7</v>
      </c>
      <c r="E1947" s="164" t="str">
        <f>A1945&amp;"/"&amp;B1945&amp;"/"&amp;C1947&amp;"/"&amp;D1947</f>
        <v>Diesel oil fired power plants/Gas turbine combined cycle/CHP/L</v>
      </c>
      <c r="F1947" s="78" t="str">
        <f>A1945</f>
        <v>Diesel oil fired power plants</v>
      </c>
      <c r="G1947" s="78" t="str">
        <f>B1945</f>
        <v>Gas turbine combined cycle</v>
      </c>
      <c r="H1947" s="78" t="str">
        <f>C1947</f>
        <v>CHP</v>
      </c>
      <c r="I1947" s="165" t="str">
        <f t="shared" si="110"/>
        <v>L</v>
      </c>
      <c r="J1947" s="95">
        <v>1200</v>
      </c>
      <c r="K1947" s="95">
        <v>1200</v>
      </c>
      <c r="L1947" s="95">
        <v>1200</v>
      </c>
      <c r="M1947" s="95">
        <v>1200</v>
      </c>
      <c r="N1947" s="95">
        <v>1200</v>
      </c>
      <c r="O1947" s="95">
        <v>1200</v>
      </c>
      <c r="P1947" s="95">
        <v>1200</v>
      </c>
      <c r="Q1947" s="95">
        <v>1200</v>
      </c>
      <c r="R1947" s="95">
        <v>1200</v>
      </c>
      <c r="S1947" s="95">
        <v>1200</v>
      </c>
      <c r="T1947" s="95">
        <v>1200</v>
      </c>
      <c r="U1947" s="95">
        <v>1200</v>
      </c>
      <c r="V1947" s="95">
        <v>1200</v>
      </c>
      <c r="W1947" s="95">
        <v>1200</v>
      </c>
      <c r="X1947" s="95">
        <v>1200</v>
      </c>
      <c r="Y1947" s="95">
        <v>1200</v>
      </c>
      <c r="Z1947" s="95">
        <v>1200</v>
      </c>
      <c r="AA1947" s="95">
        <v>1200</v>
      </c>
      <c r="AB1947" s="95">
        <v>1200</v>
      </c>
      <c r="AC1947" s="95">
        <v>1200</v>
      </c>
      <c r="AD1947" s="95">
        <v>1200</v>
      </c>
      <c r="AE1947" s="95">
        <v>1200</v>
      </c>
      <c r="AF1947" s="95">
        <v>1200</v>
      </c>
      <c r="AG1947" s="95">
        <v>1200</v>
      </c>
      <c r="AH1947" s="95">
        <v>1200</v>
      </c>
      <c r="AI1947" s="95">
        <v>1200</v>
      </c>
      <c r="AJ1947" s="95">
        <v>1200</v>
      </c>
      <c r="AK1947" s="95">
        <v>1200</v>
      </c>
      <c r="AL1947" s="95">
        <v>1200</v>
      </c>
      <c r="AM1947" s="95">
        <v>1200</v>
      </c>
      <c r="AN1947" s="95">
        <v>1200</v>
      </c>
      <c r="AO1947" s="95">
        <v>1200</v>
      </c>
      <c r="AP1947" s="95">
        <v>1200</v>
      </c>
      <c r="AQ1947" s="95">
        <v>1200</v>
      </c>
      <c r="AR1947" s="95">
        <v>1200</v>
      </c>
      <c r="AS1947" s="95">
        <v>1200</v>
      </c>
      <c r="AT1947" s="95">
        <v>1200</v>
      </c>
      <c r="AU1947" s="95">
        <v>1200</v>
      </c>
      <c r="AV1947" s="95">
        <v>1200</v>
      </c>
      <c r="AW1947" s="95">
        <v>1200</v>
      </c>
      <c r="AX1947" s="96">
        <v>1200</v>
      </c>
    </row>
    <row r="1948" spans="1:50" x14ac:dyDescent="0.25">
      <c r="A1948" s="356"/>
      <c r="B1948" s="359"/>
      <c r="C1948" s="360"/>
      <c r="D1948" s="59" t="s">
        <v>8</v>
      </c>
      <c r="E1948" s="166" t="str">
        <f>A1945&amp;"/"&amp;B1945&amp;"/"&amp;C1947&amp;"/"&amp;D1948</f>
        <v>Diesel oil fired power plants/Gas turbine combined cycle/CHP/M</v>
      </c>
      <c r="F1948" s="79" t="str">
        <f>A1945</f>
        <v>Diesel oil fired power plants</v>
      </c>
      <c r="G1948" s="79" t="str">
        <f>B1945</f>
        <v>Gas turbine combined cycle</v>
      </c>
      <c r="H1948" s="79" t="str">
        <f>C1947</f>
        <v>CHP</v>
      </c>
      <c r="I1948" s="167" t="str">
        <f t="shared" si="110"/>
        <v>M</v>
      </c>
      <c r="J1948" s="97">
        <v>870</v>
      </c>
      <c r="K1948" s="97">
        <v>870</v>
      </c>
      <c r="L1948" s="97">
        <v>870</v>
      </c>
      <c r="M1948" s="97">
        <v>870</v>
      </c>
      <c r="N1948" s="97">
        <v>870</v>
      </c>
      <c r="O1948" s="97">
        <v>870</v>
      </c>
      <c r="P1948" s="97">
        <v>870</v>
      </c>
      <c r="Q1948" s="97">
        <v>870</v>
      </c>
      <c r="R1948" s="97">
        <v>870</v>
      </c>
      <c r="S1948" s="97">
        <v>870</v>
      </c>
      <c r="T1948" s="97">
        <v>870</v>
      </c>
      <c r="U1948" s="97">
        <v>870</v>
      </c>
      <c r="V1948" s="97">
        <v>870</v>
      </c>
      <c r="W1948" s="97">
        <v>870</v>
      </c>
      <c r="X1948" s="97">
        <v>870</v>
      </c>
      <c r="Y1948" s="97">
        <v>870</v>
      </c>
      <c r="Z1948" s="97">
        <v>870</v>
      </c>
      <c r="AA1948" s="97">
        <v>870</v>
      </c>
      <c r="AB1948" s="97">
        <v>870</v>
      </c>
      <c r="AC1948" s="97">
        <v>870</v>
      </c>
      <c r="AD1948" s="97">
        <v>870</v>
      </c>
      <c r="AE1948" s="97">
        <v>870</v>
      </c>
      <c r="AF1948" s="97">
        <v>870</v>
      </c>
      <c r="AG1948" s="97">
        <v>870</v>
      </c>
      <c r="AH1948" s="97">
        <v>870</v>
      </c>
      <c r="AI1948" s="97">
        <v>870</v>
      </c>
      <c r="AJ1948" s="97">
        <v>870</v>
      </c>
      <c r="AK1948" s="97">
        <v>870</v>
      </c>
      <c r="AL1948" s="97">
        <v>870</v>
      </c>
      <c r="AM1948" s="97">
        <v>870</v>
      </c>
      <c r="AN1948" s="97">
        <v>870</v>
      </c>
      <c r="AO1948" s="97">
        <v>870</v>
      </c>
      <c r="AP1948" s="97">
        <v>870</v>
      </c>
      <c r="AQ1948" s="97">
        <v>870</v>
      </c>
      <c r="AR1948" s="97">
        <v>870</v>
      </c>
      <c r="AS1948" s="97">
        <v>870</v>
      </c>
      <c r="AT1948" s="97">
        <v>870</v>
      </c>
      <c r="AU1948" s="97">
        <v>870</v>
      </c>
      <c r="AV1948" s="97">
        <v>870</v>
      </c>
      <c r="AW1948" s="97">
        <v>870</v>
      </c>
      <c r="AX1948" s="98">
        <v>870</v>
      </c>
    </row>
    <row r="1949" spans="1:50" x14ac:dyDescent="0.25">
      <c r="A1949" s="356"/>
      <c r="B1949" s="359"/>
      <c r="C1949" s="361" t="s">
        <v>15</v>
      </c>
      <c r="D1949" s="58" t="s">
        <v>7</v>
      </c>
      <c r="E1949" s="164" t="str">
        <f>A1945&amp;"/"&amp;B1945&amp;"/"&amp;C1949&amp;"/"&amp;D1949</f>
        <v>Diesel oil fired power plants/Gas turbine combined cycle/Electricity only with CCS/L</v>
      </c>
      <c r="F1949" s="78" t="str">
        <f>A1945</f>
        <v>Diesel oil fired power plants</v>
      </c>
      <c r="G1949" s="78" t="str">
        <f>B1945</f>
        <v>Gas turbine combined cycle</v>
      </c>
      <c r="H1949" s="78" t="str">
        <f>C1949</f>
        <v>Electricity only with CCS</v>
      </c>
      <c r="I1949" s="165" t="str">
        <f t="shared" si="110"/>
        <v>L</v>
      </c>
      <c r="J1949" s="95" t="s">
        <v>112</v>
      </c>
      <c r="K1949" s="95" t="s">
        <v>112</v>
      </c>
      <c r="L1949" s="95" t="s">
        <v>112</v>
      </c>
      <c r="M1949" s="95" t="s">
        <v>112</v>
      </c>
      <c r="N1949" s="95" t="s">
        <v>112</v>
      </c>
      <c r="O1949" s="95" t="s">
        <v>112</v>
      </c>
      <c r="P1949" s="95" t="s">
        <v>112</v>
      </c>
      <c r="Q1949" s="95" t="s">
        <v>112</v>
      </c>
      <c r="R1949" s="95" t="s">
        <v>112</v>
      </c>
      <c r="S1949" s="95" t="s">
        <v>112</v>
      </c>
      <c r="T1949" s="95" t="s">
        <v>112</v>
      </c>
      <c r="U1949" s="95" t="s">
        <v>112</v>
      </c>
      <c r="V1949" s="95" t="s">
        <v>112</v>
      </c>
      <c r="W1949" s="95" t="s">
        <v>112</v>
      </c>
      <c r="X1949" s="95" t="s">
        <v>112</v>
      </c>
      <c r="Y1949" s="95" t="s">
        <v>112</v>
      </c>
      <c r="Z1949" s="95" t="s">
        <v>112</v>
      </c>
      <c r="AA1949" s="95" t="s">
        <v>112</v>
      </c>
      <c r="AB1949" s="95" t="s">
        <v>112</v>
      </c>
      <c r="AC1949" s="95" t="s">
        <v>112</v>
      </c>
      <c r="AD1949" s="95" t="s">
        <v>112</v>
      </c>
      <c r="AE1949" s="95">
        <v>1500</v>
      </c>
      <c r="AF1949" s="95">
        <v>1500</v>
      </c>
      <c r="AG1949" s="95">
        <v>1500</v>
      </c>
      <c r="AH1949" s="95">
        <v>1500</v>
      </c>
      <c r="AI1949" s="95">
        <v>1500</v>
      </c>
      <c r="AJ1949" s="95">
        <v>1500</v>
      </c>
      <c r="AK1949" s="95">
        <v>1500</v>
      </c>
      <c r="AL1949" s="95">
        <v>1500</v>
      </c>
      <c r="AM1949" s="95">
        <v>1500</v>
      </c>
      <c r="AN1949" s="95">
        <v>1500</v>
      </c>
      <c r="AO1949" s="95">
        <v>1500</v>
      </c>
      <c r="AP1949" s="95">
        <v>1500</v>
      </c>
      <c r="AQ1949" s="95">
        <v>1500</v>
      </c>
      <c r="AR1949" s="95">
        <v>1500</v>
      </c>
      <c r="AS1949" s="95">
        <v>1500</v>
      </c>
      <c r="AT1949" s="95">
        <v>1500</v>
      </c>
      <c r="AU1949" s="95">
        <v>1500</v>
      </c>
      <c r="AV1949" s="95">
        <v>1500</v>
      </c>
      <c r="AW1949" s="95">
        <v>1500</v>
      </c>
      <c r="AX1949" s="96">
        <v>1500</v>
      </c>
    </row>
    <row r="1950" spans="1:50" x14ac:dyDescent="0.25">
      <c r="A1950" s="356"/>
      <c r="B1950" s="359"/>
      <c r="C1950" s="360"/>
      <c r="D1950" s="59" t="s">
        <v>8</v>
      </c>
      <c r="E1950" s="166" t="str">
        <f>A1945&amp;"/"&amp;B1945&amp;"/"&amp;C1949&amp;"/"&amp;D1950</f>
        <v>Diesel oil fired power plants/Gas turbine combined cycle/Electricity only with CCS/M</v>
      </c>
      <c r="F1950" s="79" t="str">
        <f>A1945</f>
        <v>Diesel oil fired power plants</v>
      </c>
      <c r="G1950" s="79" t="str">
        <f>B1945</f>
        <v>Gas turbine combined cycle</v>
      </c>
      <c r="H1950" s="79" t="str">
        <f>C1949</f>
        <v>Electricity only with CCS</v>
      </c>
      <c r="I1950" s="167" t="str">
        <f t="shared" si="110"/>
        <v>M</v>
      </c>
      <c r="J1950" s="97" t="s">
        <v>112</v>
      </c>
      <c r="K1950" s="97" t="s">
        <v>112</v>
      </c>
      <c r="L1950" s="97" t="s">
        <v>112</v>
      </c>
      <c r="M1950" s="97" t="s">
        <v>112</v>
      </c>
      <c r="N1950" s="97" t="s">
        <v>112</v>
      </c>
      <c r="O1950" s="97" t="s">
        <v>112</v>
      </c>
      <c r="P1950" s="97" t="s">
        <v>112</v>
      </c>
      <c r="Q1950" s="97" t="s">
        <v>112</v>
      </c>
      <c r="R1950" s="97" t="s">
        <v>112</v>
      </c>
      <c r="S1950" s="97" t="s">
        <v>112</v>
      </c>
      <c r="T1950" s="97" t="s">
        <v>112</v>
      </c>
      <c r="U1950" s="97" t="s">
        <v>112</v>
      </c>
      <c r="V1950" s="97" t="s">
        <v>112</v>
      </c>
      <c r="W1950" s="97" t="s">
        <v>112</v>
      </c>
      <c r="X1950" s="97" t="s">
        <v>112</v>
      </c>
      <c r="Y1950" s="97" t="s">
        <v>112</v>
      </c>
      <c r="Z1950" s="97" t="s">
        <v>112</v>
      </c>
      <c r="AA1950" s="97" t="s">
        <v>112</v>
      </c>
      <c r="AB1950" s="97" t="s">
        <v>112</v>
      </c>
      <c r="AC1950" s="97" t="s">
        <v>112</v>
      </c>
      <c r="AD1950" s="97" t="s">
        <v>112</v>
      </c>
      <c r="AE1950" s="97">
        <v>300</v>
      </c>
      <c r="AF1950" s="97">
        <v>300</v>
      </c>
      <c r="AG1950" s="97">
        <v>300</v>
      </c>
      <c r="AH1950" s="97">
        <v>300</v>
      </c>
      <c r="AI1950" s="97">
        <v>300</v>
      </c>
      <c r="AJ1950" s="97">
        <v>300</v>
      </c>
      <c r="AK1950" s="97">
        <v>300</v>
      </c>
      <c r="AL1950" s="97">
        <v>300</v>
      </c>
      <c r="AM1950" s="97">
        <v>300</v>
      </c>
      <c r="AN1950" s="97">
        <v>300</v>
      </c>
      <c r="AO1950" s="97">
        <v>300</v>
      </c>
      <c r="AP1950" s="97">
        <v>300</v>
      </c>
      <c r="AQ1950" s="97">
        <v>300</v>
      </c>
      <c r="AR1950" s="97">
        <v>300</v>
      </c>
      <c r="AS1950" s="97">
        <v>300</v>
      </c>
      <c r="AT1950" s="97">
        <v>300</v>
      </c>
      <c r="AU1950" s="97">
        <v>300</v>
      </c>
      <c r="AV1950" s="97">
        <v>300</v>
      </c>
      <c r="AW1950" s="97">
        <v>300</v>
      </c>
      <c r="AX1950" s="98">
        <v>300</v>
      </c>
    </row>
    <row r="1951" spans="1:50" x14ac:dyDescent="0.25">
      <c r="A1951" s="356"/>
      <c r="B1951" s="359"/>
      <c r="C1951" s="361" t="s">
        <v>16</v>
      </c>
      <c r="D1951" s="2" t="s">
        <v>7</v>
      </c>
      <c r="E1951" s="160" t="str">
        <f>A1945&amp;"/"&amp;B1945&amp;"/"&amp;C1951&amp;"/"&amp;D1951</f>
        <v>Diesel oil fired power plants/Gas turbine combined cycle/CHP with CCS/L</v>
      </c>
      <c r="F1951" s="76" t="str">
        <f>A1945</f>
        <v>Diesel oil fired power plants</v>
      </c>
      <c r="G1951" s="76" t="str">
        <f>B1945</f>
        <v>Gas turbine combined cycle</v>
      </c>
      <c r="H1951" s="76" t="str">
        <f>C1951</f>
        <v>CHP with CCS</v>
      </c>
      <c r="I1951" s="161" t="str">
        <f t="shared" si="110"/>
        <v>L</v>
      </c>
      <c r="J1951" s="91" t="s">
        <v>112</v>
      </c>
      <c r="K1951" s="91" t="s">
        <v>112</v>
      </c>
      <c r="L1951" s="91" t="s">
        <v>112</v>
      </c>
      <c r="M1951" s="91" t="s">
        <v>112</v>
      </c>
      <c r="N1951" s="91" t="s">
        <v>112</v>
      </c>
      <c r="O1951" s="91" t="s">
        <v>112</v>
      </c>
      <c r="P1951" s="91" t="s">
        <v>112</v>
      </c>
      <c r="Q1951" s="91" t="s">
        <v>112</v>
      </c>
      <c r="R1951" s="91" t="s">
        <v>112</v>
      </c>
      <c r="S1951" s="91" t="s">
        <v>112</v>
      </c>
      <c r="T1951" s="91" t="s">
        <v>112</v>
      </c>
      <c r="U1951" s="91" t="s">
        <v>112</v>
      </c>
      <c r="V1951" s="91" t="s">
        <v>112</v>
      </c>
      <c r="W1951" s="91" t="s">
        <v>112</v>
      </c>
      <c r="X1951" s="91" t="s">
        <v>112</v>
      </c>
      <c r="Y1951" s="91" t="s">
        <v>112</v>
      </c>
      <c r="Z1951" s="91" t="s">
        <v>112</v>
      </c>
      <c r="AA1951" s="91" t="s">
        <v>112</v>
      </c>
      <c r="AB1951" s="91" t="s">
        <v>112</v>
      </c>
      <c r="AC1951" s="91" t="s">
        <v>112</v>
      </c>
      <c r="AD1951" s="91" t="s">
        <v>112</v>
      </c>
      <c r="AE1951" s="91">
        <v>1200</v>
      </c>
      <c r="AF1951" s="91">
        <v>1200</v>
      </c>
      <c r="AG1951" s="91">
        <v>1200</v>
      </c>
      <c r="AH1951" s="91">
        <v>1200</v>
      </c>
      <c r="AI1951" s="91">
        <v>1200</v>
      </c>
      <c r="AJ1951" s="91">
        <v>1200</v>
      </c>
      <c r="AK1951" s="91">
        <v>1200</v>
      </c>
      <c r="AL1951" s="91">
        <v>1200</v>
      </c>
      <c r="AM1951" s="91">
        <v>1200</v>
      </c>
      <c r="AN1951" s="91">
        <v>1200</v>
      </c>
      <c r="AO1951" s="91">
        <v>1200</v>
      </c>
      <c r="AP1951" s="91">
        <v>1200</v>
      </c>
      <c r="AQ1951" s="91">
        <v>1200</v>
      </c>
      <c r="AR1951" s="91">
        <v>1200</v>
      </c>
      <c r="AS1951" s="91">
        <v>1200</v>
      </c>
      <c r="AT1951" s="91">
        <v>1200</v>
      </c>
      <c r="AU1951" s="91">
        <v>1200</v>
      </c>
      <c r="AV1951" s="91">
        <v>1200</v>
      </c>
      <c r="AW1951" s="91">
        <v>1200</v>
      </c>
      <c r="AX1951" s="92">
        <v>1200</v>
      </c>
    </row>
    <row r="1952" spans="1:50" x14ac:dyDescent="0.25">
      <c r="A1952" s="356"/>
      <c r="B1952" s="362"/>
      <c r="C1952" s="354"/>
      <c r="D1952" s="4" t="s">
        <v>8</v>
      </c>
      <c r="E1952" s="168" t="str">
        <f>A1945&amp;"/"&amp;B1945&amp;"/"&amp;C1951&amp;"/"&amp;D1952</f>
        <v>Diesel oil fired power plants/Gas turbine combined cycle/CHP with CCS/M</v>
      </c>
      <c r="F1952" s="80" t="str">
        <f>A1945</f>
        <v>Diesel oil fired power plants</v>
      </c>
      <c r="G1952" s="80" t="str">
        <f>B1945</f>
        <v>Gas turbine combined cycle</v>
      </c>
      <c r="H1952" s="80" t="str">
        <f>C1951</f>
        <v>CHP with CCS</v>
      </c>
      <c r="I1952" s="169" t="str">
        <f t="shared" si="110"/>
        <v>M</v>
      </c>
      <c r="J1952" s="99" t="s">
        <v>112</v>
      </c>
      <c r="K1952" s="99" t="s">
        <v>112</v>
      </c>
      <c r="L1952" s="99" t="s">
        <v>112</v>
      </c>
      <c r="M1952" s="99" t="s">
        <v>112</v>
      </c>
      <c r="N1952" s="99" t="s">
        <v>112</v>
      </c>
      <c r="O1952" s="99" t="s">
        <v>112</v>
      </c>
      <c r="P1952" s="99" t="s">
        <v>112</v>
      </c>
      <c r="Q1952" s="99" t="s">
        <v>112</v>
      </c>
      <c r="R1952" s="99" t="s">
        <v>112</v>
      </c>
      <c r="S1952" s="99" t="s">
        <v>112</v>
      </c>
      <c r="T1952" s="99" t="s">
        <v>112</v>
      </c>
      <c r="U1952" s="99" t="s">
        <v>112</v>
      </c>
      <c r="V1952" s="99" t="s">
        <v>112</v>
      </c>
      <c r="W1952" s="99" t="s">
        <v>112</v>
      </c>
      <c r="X1952" s="99" t="s">
        <v>112</v>
      </c>
      <c r="Y1952" s="99" t="s">
        <v>112</v>
      </c>
      <c r="Z1952" s="99" t="s">
        <v>112</v>
      </c>
      <c r="AA1952" s="99" t="s">
        <v>112</v>
      </c>
      <c r="AB1952" s="99" t="s">
        <v>112</v>
      </c>
      <c r="AC1952" s="99" t="s">
        <v>112</v>
      </c>
      <c r="AD1952" s="99" t="s">
        <v>112</v>
      </c>
      <c r="AE1952" s="99">
        <v>870</v>
      </c>
      <c r="AF1952" s="99">
        <v>870</v>
      </c>
      <c r="AG1952" s="99">
        <v>870</v>
      </c>
      <c r="AH1952" s="99">
        <v>870</v>
      </c>
      <c r="AI1952" s="99">
        <v>870</v>
      </c>
      <c r="AJ1952" s="99">
        <v>870</v>
      </c>
      <c r="AK1952" s="99">
        <v>870</v>
      </c>
      <c r="AL1952" s="99">
        <v>870</v>
      </c>
      <c r="AM1952" s="99">
        <v>870</v>
      </c>
      <c r="AN1952" s="99">
        <v>870</v>
      </c>
      <c r="AO1952" s="99">
        <v>870</v>
      </c>
      <c r="AP1952" s="99">
        <v>870</v>
      </c>
      <c r="AQ1952" s="99">
        <v>870</v>
      </c>
      <c r="AR1952" s="99">
        <v>870</v>
      </c>
      <c r="AS1952" s="99">
        <v>870</v>
      </c>
      <c r="AT1952" s="99">
        <v>870</v>
      </c>
      <c r="AU1952" s="99">
        <v>870</v>
      </c>
      <c r="AV1952" s="99">
        <v>870</v>
      </c>
      <c r="AW1952" s="99">
        <v>870</v>
      </c>
      <c r="AX1952" s="100">
        <v>870</v>
      </c>
    </row>
    <row r="1953" spans="1:50" x14ac:dyDescent="0.25">
      <c r="A1953" s="356"/>
      <c r="B1953" s="358" t="s">
        <v>24</v>
      </c>
      <c r="C1953" s="353" t="s">
        <v>6</v>
      </c>
      <c r="D1953" s="3" t="s">
        <v>7</v>
      </c>
      <c r="E1953" s="162" t="str">
        <f>A1945&amp;"/"&amp;B1953&amp;"/"&amp;C1953&amp;"/"&amp;D1953</f>
        <v>Diesel oil fired power plants/Gas turbine /Electricity only/L</v>
      </c>
      <c r="F1953" s="77" t="str">
        <f>A1945</f>
        <v>Diesel oil fired power plants</v>
      </c>
      <c r="G1953" s="77" t="str">
        <f>B1953</f>
        <v xml:space="preserve">Gas turbine </v>
      </c>
      <c r="H1953" s="77" t="str">
        <f>C1953</f>
        <v>Electricity only</v>
      </c>
      <c r="I1953" s="163" t="str">
        <f t="shared" si="110"/>
        <v>L</v>
      </c>
      <c r="J1953" s="93">
        <v>1200</v>
      </c>
      <c r="K1953" s="93">
        <v>1200</v>
      </c>
      <c r="L1953" s="93">
        <v>1200</v>
      </c>
      <c r="M1953" s="93">
        <v>1200</v>
      </c>
      <c r="N1953" s="93">
        <v>1200</v>
      </c>
      <c r="O1953" s="93">
        <v>1200</v>
      </c>
      <c r="P1953" s="93">
        <v>1200</v>
      </c>
      <c r="Q1953" s="93">
        <v>1200</v>
      </c>
      <c r="R1953" s="93">
        <v>1200</v>
      </c>
      <c r="S1953" s="93">
        <v>1200</v>
      </c>
      <c r="T1953" s="93">
        <v>1200</v>
      </c>
      <c r="U1953" s="93">
        <v>1200</v>
      </c>
      <c r="V1953" s="93">
        <v>1200</v>
      </c>
      <c r="W1953" s="93">
        <v>1200</v>
      </c>
      <c r="X1953" s="93">
        <v>1200</v>
      </c>
      <c r="Y1953" s="93">
        <v>1200</v>
      </c>
      <c r="Z1953" s="93">
        <v>1200</v>
      </c>
      <c r="AA1953" s="93">
        <v>1200</v>
      </c>
      <c r="AB1953" s="93">
        <v>1200</v>
      </c>
      <c r="AC1953" s="93">
        <v>1200</v>
      </c>
      <c r="AD1953" s="93">
        <v>1200</v>
      </c>
      <c r="AE1953" s="93">
        <v>1200</v>
      </c>
      <c r="AF1953" s="93">
        <v>1200</v>
      </c>
      <c r="AG1953" s="93">
        <v>1200</v>
      </c>
      <c r="AH1953" s="93">
        <v>1200</v>
      </c>
      <c r="AI1953" s="93">
        <v>1200</v>
      </c>
      <c r="AJ1953" s="93">
        <v>1200</v>
      </c>
      <c r="AK1953" s="93">
        <v>1200</v>
      </c>
      <c r="AL1953" s="93">
        <v>1200</v>
      </c>
      <c r="AM1953" s="93">
        <v>1200</v>
      </c>
      <c r="AN1953" s="93">
        <v>1200</v>
      </c>
      <c r="AO1953" s="93">
        <v>1200</v>
      </c>
      <c r="AP1953" s="93">
        <v>1200</v>
      </c>
      <c r="AQ1953" s="93">
        <v>1200</v>
      </c>
      <c r="AR1953" s="93">
        <v>1200</v>
      </c>
      <c r="AS1953" s="93">
        <v>1200</v>
      </c>
      <c r="AT1953" s="93">
        <v>1200</v>
      </c>
      <c r="AU1953" s="93">
        <v>1200</v>
      </c>
      <c r="AV1953" s="93">
        <v>1200</v>
      </c>
      <c r="AW1953" s="93">
        <v>1200</v>
      </c>
      <c r="AX1953" s="94">
        <v>1200</v>
      </c>
    </row>
    <row r="1954" spans="1:50" x14ac:dyDescent="0.25">
      <c r="A1954" s="356"/>
      <c r="B1954" s="359"/>
      <c r="C1954" s="350"/>
      <c r="D1954" s="2" t="s">
        <v>8</v>
      </c>
      <c r="E1954" s="160" t="str">
        <f>A1945&amp;"/"&amp;B1953&amp;"/"&amp;C1953&amp;"/"&amp;D1954</f>
        <v>Diesel oil fired power plants/Gas turbine /Electricity only/M</v>
      </c>
      <c r="F1954" s="76" t="str">
        <f>A1945</f>
        <v>Diesel oil fired power plants</v>
      </c>
      <c r="G1954" s="76" t="str">
        <f>B1953</f>
        <v xml:space="preserve">Gas turbine </v>
      </c>
      <c r="H1954" s="76" t="str">
        <f>C1953</f>
        <v>Electricity only</v>
      </c>
      <c r="I1954" s="161" t="str">
        <f t="shared" si="110"/>
        <v>M</v>
      </c>
      <c r="J1954" s="91">
        <v>600</v>
      </c>
      <c r="K1954" s="91">
        <v>600</v>
      </c>
      <c r="L1954" s="91">
        <v>600</v>
      </c>
      <c r="M1954" s="91">
        <v>600</v>
      </c>
      <c r="N1954" s="91">
        <v>600</v>
      </c>
      <c r="O1954" s="91">
        <v>600</v>
      </c>
      <c r="P1954" s="91">
        <v>600</v>
      </c>
      <c r="Q1954" s="91">
        <v>600</v>
      </c>
      <c r="R1954" s="91">
        <v>600</v>
      </c>
      <c r="S1954" s="91">
        <v>600</v>
      </c>
      <c r="T1954" s="91">
        <v>600</v>
      </c>
      <c r="U1954" s="91">
        <v>600</v>
      </c>
      <c r="V1954" s="91">
        <v>600</v>
      </c>
      <c r="W1954" s="91">
        <v>600</v>
      </c>
      <c r="X1954" s="91">
        <v>600</v>
      </c>
      <c r="Y1954" s="91">
        <v>600</v>
      </c>
      <c r="Z1954" s="91">
        <v>600</v>
      </c>
      <c r="AA1954" s="91">
        <v>600</v>
      </c>
      <c r="AB1954" s="91">
        <v>600</v>
      </c>
      <c r="AC1954" s="91">
        <v>600</v>
      </c>
      <c r="AD1954" s="91">
        <v>600</v>
      </c>
      <c r="AE1954" s="91">
        <v>600</v>
      </c>
      <c r="AF1954" s="91">
        <v>600</v>
      </c>
      <c r="AG1954" s="91">
        <v>600</v>
      </c>
      <c r="AH1954" s="91">
        <v>600</v>
      </c>
      <c r="AI1954" s="91">
        <v>600</v>
      </c>
      <c r="AJ1954" s="91">
        <v>600</v>
      </c>
      <c r="AK1954" s="91">
        <v>600</v>
      </c>
      <c r="AL1954" s="91">
        <v>600</v>
      </c>
      <c r="AM1954" s="91">
        <v>600</v>
      </c>
      <c r="AN1954" s="91">
        <v>600</v>
      </c>
      <c r="AO1954" s="91">
        <v>600</v>
      </c>
      <c r="AP1954" s="91">
        <v>600</v>
      </c>
      <c r="AQ1954" s="91">
        <v>600</v>
      </c>
      <c r="AR1954" s="91">
        <v>600</v>
      </c>
      <c r="AS1954" s="91">
        <v>600</v>
      </c>
      <c r="AT1954" s="91">
        <v>600</v>
      </c>
      <c r="AU1954" s="91">
        <v>600</v>
      </c>
      <c r="AV1954" s="91">
        <v>600</v>
      </c>
      <c r="AW1954" s="91">
        <v>600</v>
      </c>
      <c r="AX1954" s="92">
        <v>600</v>
      </c>
    </row>
    <row r="1955" spans="1:50" x14ac:dyDescent="0.25">
      <c r="A1955" s="356"/>
      <c r="B1955" s="359"/>
      <c r="C1955" s="350"/>
      <c r="D1955" s="2" t="s">
        <v>10</v>
      </c>
      <c r="E1955" s="160" t="str">
        <f>A1945&amp;"/"&amp;B1953&amp;"/"&amp;C1953&amp;"/"&amp;D1955</f>
        <v>Diesel oil fired power plants/Gas turbine /Electricity only/S</v>
      </c>
      <c r="F1955" s="76" t="str">
        <f>A1945</f>
        <v>Diesel oil fired power plants</v>
      </c>
      <c r="G1955" s="76" t="str">
        <f>B1953</f>
        <v xml:space="preserve">Gas turbine </v>
      </c>
      <c r="H1955" s="76" t="str">
        <f>C1953</f>
        <v>Electricity only</v>
      </c>
      <c r="I1955" s="161" t="str">
        <f t="shared" si="110"/>
        <v>S</v>
      </c>
      <c r="J1955" s="91">
        <v>300</v>
      </c>
      <c r="K1955" s="91">
        <v>300</v>
      </c>
      <c r="L1955" s="91">
        <v>300</v>
      </c>
      <c r="M1955" s="91">
        <v>300</v>
      </c>
      <c r="N1955" s="91">
        <v>300</v>
      </c>
      <c r="O1955" s="91">
        <v>300</v>
      </c>
      <c r="P1955" s="91">
        <v>300</v>
      </c>
      <c r="Q1955" s="91">
        <v>300</v>
      </c>
      <c r="R1955" s="91">
        <v>300</v>
      </c>
      <c r="S1955" s="91">
        <v>300</v>
      </c>
      <c r="T1955" s="91">
        <v>300</v>
      </c>
      <c r="U1955" s="91">
        <v>300</v>
      </c>
      <c r="V1955" s="91">
        <v>300</v>
      </c>
      <c r="W1955" s="91">
        <v>300</v>
      </c>
      <c r="X1955" s="91">
        <v>300</v>
      </c>
      <c r="Y1955" s="91">
        <v>300</v>
      </c>
      <c r="Z1955" s="91">
        <v>300</v>
      </c>
      <c r="AA1955" s="91">
        <v>300</v>
      </c>
      <c r="AB1955" s="91">
        <v>300</v>
      </c>
      <c r="AC1955" s="91">
        <v>300</v>
      </c>
      <c r="AD1955" s="91">
        <v>300</v>
      </c>
      <c r="AE1955" s="91">
        <v>300</v>
      </c>
      <c r="AF1955" s="91">
        <v>300</v>
      </c>
      <c r="AG1955" s="91">
        <v>300</v>
      </c>
      <c r="AH1955" s="91">
        <v>300</v>
      </c>
      <c r="AI1955" s="91">
        <v>300</v>
      </c>
      <c r="AJ1955" s="91">
        <v>300</v>
      </c>
      <c r="AK1955" s="91">
        <v>300</v>
      </c>
      <c r="AL1955" s="91">
        <v>300</v>
      </c>
      <c r="AM1955" s="91">
        <v>300</v>
      </c>
      <c r="AN1955" s="91">
        <v>300</v>
      </c>
      <c r="AO1955" s="91">
        <v>300</v>
      </c>
      <c r="AP1955" s="91">
        <v>300</v>
      </c>
      <c r="AQ1955" s="91">
        <v>300</v>
      </c>
      <c r="AR1955" s="91">
        <v>300</v>
      </c>
      <c r="AS1955" s="91">
        <v>300</v>
      </c>
      <c r="AT1955" s="91">
        <v>300</v>
      </c>
      <c r="AU1955" s="91">
        <v>300</v>
      </c>
      <c r="AV1955" s="91">
        <v>300</v>
      </c>
      <c r="AW1955" s="91">
        <v>300</v>
      </c>
      <c r="AX1955" s="92">
        <v>300</v>
      </c>
    </row>
    <row r="1956" spans="1:50" x14ac:dyDescent="0.25">
      <c r="A1956" s="356"/>
      <c r="B1956" s="359"/>
      <c r="C1956" s="360"/>
      <c r="D1956" s="2" t="s">
        <v>20</v>
      </c>
      <c r="E1956" s="160" t="str">
        <f>A1945&amp;"/"&amp;B1953&amp;"/"&amp;C1953&amp;"/"&amp;D1956</f>
        <v>Diesel oil fired power plants/Gas turbine /Electricity only/XS</v>
      </c>
      <c r="F1956" s="76" t="str">
        <f>A1945</f>
        <v>Diesel oil fired power plants</v>
      </c>
      <c r="G1956" s="76" t="str">
        <f>B1953</f>
        <v xml:space="preserve">Gas turbine </v>
      </c>
      <c r="H1956" s="76" t="str">
        <f>C1953</f>
        <v>Electricity only</v>
      </c>
      <c r="I1956" s="161" t="str">
        <f t="shared" si="110"/>
        <v>XS</v>
      </c>
      <c r="J1956" s="91">
        <v>15</v>
      </c>
      <c r="K1956" s="91">
        <v>15</v>
      </c>
      <c r="L1956" s="91">
        <v>15</v>
      </c>
      <c r="M1956" s="91">
        <v>15</v>
      </c>
      <c r="N1956" s="91">
        <v>15</v>
      </c>
      <c r="O1956" s="91">
        <v>15</v>
      </c>
      <c r="P1956" s="91">
        <v>15</v>
      </c>
      <c r="Q1956" s="91">
        <v>15</v>
      </c>
      <c r="R1956" s="91">
        <v>15</v>
      </c>
      <c r="S1956" s="91">
        <v>15</v>
      </c>
      <c r="T1956" s="91">
        <v>15</v>
      </c>
      <c r="U1956" s="91">
        <v>15</v>
      </c>
      <c r="V1956" s="91">
        <v>15</v>
      </c>
      <c r="W1956" s="91">
        <v>15</v>
      </c>
      <c r="X1956" s="91">
        <v>15</v>
      </c>
      <c r="Y1956" s="91">
        <v>15</v>
      </c>
      <c r="Z1956" s="91">
        <v>15</v>
      </c>
      <c r="AA1956" s="91">
        <v>15</v>
      </c>
      <c r="AB1956" s="91">
        <v>15</v>
      </c>
      <c r="AC1956" s="91">
        <v>15</v>
      </c>
      <c r="AD1956" s="91">
        <v>15</v>
      </c>
      <c r="AE1956" s="91">
        <v>15</v>
      </c>
      <c r="AF1956" s="91">
        <v>15</v>
      </c>
      <c r="AG1956" s="91">
        <v>15</v>
      </c>
      <c r="AH1956" s="91">
        <v>15</v>
      </c>
      <c r="AI1956" s="91">
        <v>15</v>
      </c>
      <c r="AJ1956" s="91">
        <v>15</v>
      </c>
      <c r="AK1956" s="91">
        <v>15</v>
      </c>
      <c r="AL1956" s="91">
        <v>15</v>
      </c>
      <c r="AM1956" s="91">
        <v>15</v>
      </c>
      <c r="AN1956" s="91">
        <v>15</v>
      </c>
      <c r="AO1956" s="91">
        <v>15</v>
      </c>
      <c r="AP1956" s="91">
        <v>15</v>
      </c>
      <c r="AQ1956" s="91">
        <v>15</v>
      </c>
      <c r="AR1956" s="91">
        <v>15</v>
      </c>
      <c r="AS1956" s="91">
        <v>15</v>
      </c>
      <c r="AT1956" s="91">
        <v>15</v>
      </c>
      <c r="AU1956" s="91">
        <v>15</v>
      </c>
      <c r="AV1956" s="91">
        <v>15</v>
      </c>
      <c r="AW1956" s="91">
        <v>15</v>
      </c>
      <c r="AX1956" s="92">
        <v>15</v>
      </c>
    </row>
    <row r="1957" spans="1:50" x14ac:dyDescent="0.25">
      <c r="A1957" s="356"/>
      <c r="B1957" s="359"/>
      <c r="C1957" s="361" t="s">
        <v>14</v>
      </c>
      <c r="D1957" s="58" t="s">
        <v>7</v>
      </c>
      <c r="E1957" s="164" t="str">
        <f>A1945&amp;"/"&amp;B1953&amp;"/"&amp;C1957&amp;"/"&amp;D1957</f>
        <v>Diesel oil fired power plants/Gas turbine /CHP/L</v>
      </c>
      <c r="F1957" s="78" t="str">
        <f>A1945</f>
        <v>Diesel oil fired power plants</v>
      </c>
      <c r="G1957" s="78" t="str">
        <f>B1953</f>
        <v xml:space="preserve">Gas turbine </v>
      </c>
      <c r="H1957" s="78" t="str">
        <f>C1957</f>
        <v>CHP</v>
      </c>
      <c r="I1957" s="165" t="str">
        <f t="shared" si="110"/>
        <v>L</v>
      </c>
      <c r="J1957" s="95">
        <v>1260</v>
      </c>
      <c r="K1957" s="95">
        <v>1260</v>
      </c>
      <c r="L1957" s="95">
        <v>1260</v>
      </c>
      <c r="M1957" s="95">
        <v>1260</v>
      </c>
      <c r="N1957" s="95">
        <v>1260</v>
      </c>
      <c r="O1957" s="95">
        <v>1260</v>
      </c>
      <c r="P1957" s="95">
        <v>1260</v>
      </c>
      <c r="Q1957" s="95">
        <v>1260</v>
      </c>
      <c r="R1957" s="95">
        <v>1260</v>
      </c>
      <c r="S1957" s="95">
        <v>1260</v>
      </c>
      <c r="T1957" s="95">
        <v>1260</v>
      </c>
      <c r="U1957" s="95">
        <v>1260</v>
      </c>
      <c r="V1957" s="95">
        <v>1260</v>
      </c>
      <c r="W1957" s="95">
        <v>1260</v>
      </c>
      <c r="X1957" s="95">
        <v>1260</v>
      </c>
      <c r="Y1957" s="95">
        <v>1260</v>
      </c>
      <c r="Z1957" s="95">
        <v>1260</v>
      </c>
      <c r="AA1957" s="95">
        <v>1260</v>
      </c>
      <c r="AB1957" s="95">
        <v>1260</v>
      </c>
      <c r="AC1957" s="95">
        <v>1260</v>
      </c>
      <c r="AD1957" s="95">
        <v>1260</v>
      </c>
      <c r="AE1957" s="95">
        <v>1260</v>
      </c>
      <c r="AF1957" s="95">
        <v>1260</v>
      </c>
      <c r="AG1957" s="95">
        <v>1260</v>
      </c>
      <c r="AH1957" s="95">
        <v>1260</v>
      </c>
      <c r="AI1957" s="95">
        <v>1260</v>
      </c>
      <c r="AJ1957" s="95">
        <v>1260</v>
      </c>
      <c r="AK1957" s="95">
        <v>1260</v>
      </c>
      <c r="AL1957" s="95">
        <v>1260</v>
      </c>
      <c r="AM1957" s="95">
        <v>1260</v>
      </c>
      <c r="AN1957" s="95">
        <v>1260</v>
      </c>
      <c r="AO1957" s="95">
        <v>1260</v>
      </c>
      <c r="AP1957" s="95">
        <v>1260</v>
      </c>
      <c r="AQ1957" s="95">
        <v>1260</v>
      </c>
      <c r="AR1957" s="95">
        <v>1260</v>
      </c>
      <c r="AS1957" s="95">
        <v>1260</v>
      </c>
      <c r="AT1957" s="95">
        <v>1260</v>
      </c>
      <c r="AU1957" s="95">
        <v>1260</v>
      </c>
      <c r="AV1957" s="95">
        <v>1260</v>
      </c>
      <c r="AW1957" s="95">
        <v>1260</v>
      </c>
      <c r="AX1957" s="96">
        <v>1260</v>
      </c>
    </row>
    <row r="1958" spans="1:50" x14ac:dyDescent="0.25">
      <c r="A1958" s="356"/>
      <c r="B1958" s="359"/>
      <c r="C1958" s="350"/>
      <c r="D1958" s="2" t="s">
        <v>8</v>
      </c>
      <c r="E1958" s="160" t="str">
        <f>A1945&amp;"/"&amp;B1953&amp;"/"&amp;C1957&amp;"/"&amp;D1958</f>
        <v>Diesel oil fired power plants/Gas turbine /CHP/M</v>
      </c>
      <c r="F1958" s="76" t="str">
        <f>A1945</f>
        <v>Diesel oil fired power plants</v>
      </c>
      <c r="G1958" s="76" t="str">
        <f>B1953</f>
        <v xml:space="preserve">Gas turbine </v>
      </c>
      <c r="H1958" s="76" t="str">
        <f>C1957</f>
        <v>CHP</v>
      </c>
      <c r="I1958" s="161" t="str">
        <f t="shared" si="110"/>
        <v>M</v>
      </c>
      <c r="J1958" s="91">
        <v>630</v>
      </c>
      <c r="K1958" s="91">
        <v>630</v>
      </c>
      <c r="L1958" s="91">
        <v>630</v>
      </c>
      <c r="M1958" s="91">
        <v>630</v>
      </c>
      <c r="N1958" s="91">
        <v>630</v>
      </c>
      <c r="O1958" s="91">
        <v>630</v>
      </c>
      <c r="P1958" s="91">
        <v>630</v>
      </c>
      <c r="Q1958" s="91">
        <v>630</v>
      </c>
      <c r="R1958" s="91">
        <v>630</v>
      </c>
      <c r="S1958" s="91">
        <v>630</v>
      </c>
      <c r="T1958" s="91">
        <v>630</v>
      </c>
      <c r="U1958" s="91">
        <v>630</v>
      </c>
      <c r="V1958" s="91">
        <v>630</v>
      </c>
      <c r="W1958" s="91">
        <v>630</v>
      </c>
      <c r="X1958" s="91">
        <v>630</v>
      </c>
      <c r="Y1958" s="91">
        <v>630</v>
      </c>
      <c r="Z1958" s="91">
        <v>630</v>
      </c>
      <c r="AA1958" s="91">
        <v>630</v>
      </c>
      <c r="AB1958" s="91">
        <v>630</v>
      </c>
      <c r="AC1958" s="91">
        <v>630</v>
      </c>
      <c r="AD1958" s="91">
        <v>630</v>
      </c>
      <c r="AE1958" s="91">
        <v>630</v>
      </c>
      <c r="AF1958" s="91">
        <v>630</v>
      </c>
      <c r="AG1958" s="91">
        <v>630</v>
      </c>
      <c r="AH1958" s="91">
        <v>630</v>
      </c>
      <c r="AI1958" s="91">
        <v>630</v>
      </c>
      <c r="AJ1958" s="91">
        <v>630</v>
      </c>
      <c r="AK1958" s="91">
        <v>630</v>
      </c>
      <c r="AL1958" s="91">
        <v>630</v>
      </c>
      <c r="AM1958" s="91">
        <v>630</v>
      </c>
      <c r="AN1958" s="91">
        <v>630</v>
      </c>
      <c r="AO1958" s="91">
        <v>630</v>
      </c>
      <c r="AP1958" s="91">
        <v>630</v>
      </c>
      <c r="AQ1958" s="91">
        <v>630</v>
      </c>
      <c r="AR1958" s="91">
        <v>630</v>
      </c>
      <c r="AS1958" s="91">
        <v>630</v>
      </c>
      <c r="AT1958" s="91">
        <v>630</v>
      </c>
      <c r="AU1958" s="91">
        <v>630</v>
      </c>
      <c r="AV1958" s="91">
        <v>630</v>
      </c>
      <c r="AW1958" s="91">
        <v>630</v>
      </c>
      <c r="AX1958" s="92">
        <v>630</v>
      </c>
    </row>
    <row r="1959" spans="1:50" x14ac:dyDescent="0.25">
      <c r="A1959" s="356"/>
      <c r="B1959" s="359"/>
      <c r="C1959" s="350"/>
      <c r="D1959" s="2" t="s">
        <v>10</v>
      </c>
      <c r="E1959" s="160" t="str">
        <f>A1945&amp;"/"&amp;B1953&amp;"/"&amp;C1957&amp;"/"&amp;D1959</f>
        <v>Diesel oil fired power plants/Gas turbine /CHP/S</v>
      </c>
      <c r="F1959" s="76" t="str">
        <f>A1945</f>
        <v>Diesel oil fired power plants</v>
      </c>
      <c r="G1959" s="76" t="str">
        <f>B1953</f>
        <v xml:space="preserve">Gas turbine </v>
      </c>
      <c r="H1959" s="76" t="str">
        <f>C1957</f>
        <v>CHP</v>
      </c>
      <c r="I1959" s="161" t="str">
        <f t="shared" si="110"/>
        <v>S</v>
      </c>
      <c r="J1959" s="91">
        <v>315</v>
      </c>
      <c r="K1959" s="91">
        <v>315</v>
      </c>
      <c r="L1959" s="91">
        <v>315</v>
      </c>
      <c r="M1959" s="91">
        <v>315</v>
      </c>
      <c r="N1959" s="91">
        <v>315</v>
      </c>
      <c r="O1959" s="91">
        <v>315</v>
      </c>
      <c r="P1959" s="91">
        <v>315</v>
      </c>
      <c r="Q1959" s="91">
        <v>315</v>
      </c>
      <c r="R1959" s="91">
        <v>315</v>
      </c>
      <c r="S1959" s="91">
        <v>315</v>
      </c>
      <c r="T1959" s="91">
        <v>315</v>
      </c>
      <c r="U1959" s="91">
        <v>315</v>
      </c>
      <c r="V1959" s="91">
        <v>315</v>
      </c>
      <c r="W1959" s="91">
        <v>315</v>
      </c>
      <c r="X1959" s="91">
        <v>315</v>
      </c>
      <c r="Y1959" s="91">
        <v>315</v>
      </c>
      <c r="Z1959" s="91">
        <v>315</v>
      </c>
      <c r="AA1959" s="91">
        <v>315</v>
      </c>
      <c r="AB1959" s="91">
        <v>315</v>
      </c>
      <c r="AC1959" s="91">
        <v>315</v>
      </c>
      <c r="AD1959" s="91">
        <v>315</v>
      </c>
      <c r="AE1959" s="91">
        <v>315</v>
      </c>
      <c r="AF1959" s="91">
        <v>315</v>
      </c>
      <c r="AG1959" s="91">
        <v>315</v>
      </c>
      <c r="AH1959" s="91">
        <v>315</v>
      </c>
      <c r="AI1959" s="91">
        <v>315</v>
      </c>
      <c r="AJ1959" s="91">
        <v>315</v>
      </c>
      <c r="AK1959" s="91">
        <v>315</v>
      </c>
      <c r="AL1959" s="91">
        <v>315</v>
      </c>
      <c r="AM1959" s="91">
        <v>315</v>
      </c>
      <c r="AN1959" s="91">
        <v>315</v>
      </c>
      <c r="AO1959" s="91">
        <v>315</v>
      </c>
      <c r="AP1959" s="91">
        <v>315</v>
      </c>
      <c r="AQ1959" s="91">
        <v>315</v>
      </c>
      <c r="AR1959" s="91">
        <v>315</v>
      </c>
      <c r="AS1959" s="91">
        <v>315</v>
      </c>
      <c r="AT1959" s="91">
        <v>315</v>
      </c>
      <c r="AU1959" s="91">
        <v>315</v>
      </c>
      <c r="AV1959" s="91">
        <v>315</v>
      </c>
      <c r="AW1959" s="91">
        <v>315</v>
      </c>
      <c r="AX1959" s="92">
        <v>315</v>
      </c>
    </row>
    <row r="1960" spans="1:50" x14ac:dyDescent="0.25">
      <c r="A1960" s="356"/>
      <c r="B1960" s="359"/>
      <c r="C1960" s="360"/>
      <c r="D1960" s="59" t="s">
        <v>20</v>
      </c>
      <c r="E1960" s="166" t="str">
        <f>A1945&amp;"/"&amp;B1953&amp;"/"&amp;C1957&amp;"/"&amp;D1960</f>
        <v>Diesel oil fired power plants/Gas turbine /CHP/XS</v>
      </c>
      <c r="F1960" s="79" t="str">
        <f>A1945</f>
        <v>Diesel oil fired power plants</v>
      </c>
      <c r="G1960" s="79" t="str">
        <f>B1953</f>
        <v xml:space="preserve">Gas turbine </v>
      </c>
      <c r="H1960" s="79" t="str">
        <f>C1957</f>
        <v>CHP</v>
      </c>
      <c r="I1960" s="167" t="str">
        <f t="shared" si="110"/>
        <v>XS</v>
      </c>
      <c r="J1960" s="97">
        <v>47.25</v>
      </c>
      <c r="K1960" s="97">
        <v>47.25</v>
      </c>
      <c r="L1960" s="97">
        <v>47.25</v>
      </c>
      <c r="M1960" s="97">
        <v>47.25</v>
      </c>
      <c r="N1960" s="97">
        <v>47.25</v>
      </c>
      <c r="O1960" s="97">
        <v>47.25</v>
      </c>
      <c r="P1960" s="97">
        <v>47.25</v>
      </c>
      <c r="Q1960" s="97">
        <v>47.25</v>
      </c>
      <c r="R1960" s="97">
        <v>47.25</v>
      </c>
      <c r="S1960" s="97">
        <v>47.25</v>
      </c>
      <c r="T1960" s="97">
        <v>47.25</v>
      </c>
      <c r="U1960" s="97">
        <v>47.25</v>
      </c>
      <c r="V1960" s="97">
        <v>47.25</v>
      </c>
      <c r="W1960" s="97">
        <v>47.25</v>
      </c>
      <c r="X1960" s="97">
        <v>47.25</v>
      </c>
      <c r="Y1960" s="97">
        <v>47.25</v>
      </c>
      <c r="Z1960" s="97">
        <v>47.25</v>
      </c>
      <c r="AA1960" s="97">
        <v>47.25</v>
      </c>
      <c r="AB1960" s="97">
        <v>47.25</v>
      </c>
      <c r="AC1960" s="97">
        <v>47.25</v>
      </c>
      <c r="AD1960" s="97">
        <v>47.25</v>
      </c>
      <c r="AE1960" s="97">
        <v>47.25</v>
      </c>
      <c r="AF1960" s="97">
        <v>47.25</v>
      </c>
      <c r="AG1960" s="97">
        <v>47.25</v>
      </c>
      <c r="AH1960" s="97">
        <v>47.25</v>
      </c>
      <c r="AI1960" s="97">
        <v>47.25</v>
      </c>
      <c r="AJ1960" s="97">
        <v>47.25</v>
      </c>
      <c r="AK1960" s="97">
        <v>47.25</v>
      </c>
      <c r="AL1960" s="97">
        <v>47.25</v>
      </c>
      <c r="AM1960" s="97">
        <v>47.25</v>
      </c>
      <c r="AN1960" s="97">
        <v>47.25</v>
      </c>
      <c r="AO1960" s="97">
        <v>47.25</v>
      </c>
      <c r="AP1960" s="97">
        <v>47.25</v>
      </c>
      <c r="AQ1960" s="97">
        <v>47.25</v>
      </c>
      <c r="AR1960" s="97">
        <v>47.25</v>
      </c>
      <c r="AS1960" s="97">
        <v>47.25</v>
      </c>
      <c r="AT1960" s="97">
        <v>47.25</v>
      </c>
      <c r="AU1960" s="97">
        <v>47.25</v>
      </c>
      <c r="AV1960" s="97">
        <v>47.25</v>
      </c>
      <c r="AW1960" s="97">
        <v>47.25</v>
      </c>
      <c r="AX1960" s="98">
        <v>47.25</v>
      </c>
    </row>
    <row r="1961" spans="1:50" x14ac:dyDescent="0.25">
      <c r="A1961" s="356"/>
      <c r="B1961" s="359"/>
      <c r="C1961" s="361" t="s">
        <v>15</v>
      </c>
      <c r="D1961" s="58" t="s">
        <v>7</v>
      </c>
      <c r="E1961" s="164" t="str">
        <f>A1945&amp;"/"&amp;B1953&amp;"/"&amp;C1961&amp;"/"&amp;D1961</f>
        <v>Diesel oil fired power plants/Gas turbine /Electricity only with CCS/L</v>
      </c>
      <c r="F1961" s="78" t="str">
        <f>A1945</f>
        <v>Diesel oil fired power plants</v>
      </c>
      <c r="G1961" s="78" t="str">
        <f>B1953</f>
        <v xml:space="preserve">Gas turbine </v>
      </c>
      <c r="H1961" s="78" t="str">
        <f>C1961</f>
        <v>Electricity only with CCS</v>
      </c>
      <c r="I1961" s="165" t="str">
        <f t="shared" si="110"/>
        <v>L</v>
      </c>
      <c r="J1961" s="95" t="s">
        <v>112</v>
      </c>
      <c r="K1961" s="95" t="s">
        <v>112</v>
      </c>
      <c r="L1961" s="95" t="s">
        <v>112</v>
      </c>
      <c r="M1961" s="95" t="s">
        <v>112</v>
      </c>
      <c r="N1961" s="95" t="s">
        <v>112</v>
      </c>
      <c r="O1961" s="95" t="s">
        <v>112</v>
      </c>
      <c r="P1961" s="95" t="s">
        <v>112</v>
      </c>
      <c r="Q1961" s="95" t="s">
        <v>112</v>
      </c>
      <c r="R1961" s="95" t="s">
        <v>112</v>
      </c>
      <c r="S1961" s="95" t="s">
        <v>112</v>
      </c>
      <c r="T1961" s="95" t="s">
        <v>112</v>
      </c>
      <c r="U1961" s="95" t="s">
        <v>112</v>
      </c>
      <c r="V1961" s="95" t="s">
        <v>112</v>
      </c>
      <c r="W1961" s="95" t="s">
        <v>112</v>
      </c>
      <c r="X1961" s="95" t="s">
        <v>112</v>
      </c>
      <c r="Y1961" s="95" t="s">
        <v>112</v>
      </c>
      <c r="Z1961" s="95" t="s">
        <v>112</v>
      </c>
      <c r="AA1961" s="95" t="s">
        <v>112</v>
      </c>
      <c r="AB1961" s="95" t="s">
        <v>112</v>
      </c>
      <c r="AC1961" s="95" t="s">
        <v>112</v>
      </c>
      <c r="AD1961" s="95" t="s">
        <v>112</v>
      </c>
      <c r="AE1961" s="95">
        <v>1200</v>
      </c>
      <c r="AF1961" s="95">
        <v>1200</v>
      </c>
      <c r="AG1961" s="95">
        <v>1200</v>
      </c>
      <c r="AH1961" s="95">
        <v>1200</v>
      </c>
      <c r="AI1961" s="95">
        <v>1200</v>
      </c>
      <c r="AJ1961" s="95">
        <v>1200</v>
      </c>
      <c r="AK1961" s="95">
        <v>1200</v>
      </c>
      <c r="AL1961" s="95">
        <v>1200</v>
      </c>
      <c r="AM1961" s="95">
        <v>1200</v>
      </c>
      <c r="AN1961" s="95">
        <v>1200</v>
      </c>
      <c r="AO1961" s="95">
        <v>1200</v>
      </c>
      <c r="AP1961" s="95">
        <v>1200</v>
      </c>
      <c r="AQ1961" s="95">
        <v>1200</v>
      </c>
      <c r="AR1961" s="95">
        <v>1200</v>
      </c>
      <c r="AS1961" s="95">
        <v>1200</v>
      </c>
      <c r="AT1961" s="95">
        <v>1200</v>
      </c>
      <c r="AU1961" s="95">
        <v>1200</v>
      </c>
      <c r="AV1961" s="95">
        <v>1200</v>
      </c>
      <c r="AW1961" s="95">
        <v>1200</v>
      </c>
      <c r="AX1961" s="96">
        <v>1200</v>
      </c>
    </row>
    <row r="1962" spans="1:50" x14ac:dyDescent="0.25">
      <c r="A1962" s="356"/>
      <c r="B1962" s="359"/>
      <c r="C1962" s="360"/>
      <c r="D1962" s="59" t="s">
        <v>8</v>
      </c>
      <c r="E1962" s="166" t="str">
        <f>A1945&amp;"/"&amp;B1953&amp;"/"&amp;C1961&amp;"/"&amp;D1962</f>
        <v>Diesel oil fired power plants/Gas turbine /Electricity only with CCS/M</v>
      </c>
      <c r="F1962" s="79" t="str">
        <f>A1945</f>
        <v>Diesel oil fired power plants</v>
      </c>
      <c r="G1962" s="79" t="str">
        <f>B1953</f>
        <v xml:space="preserve">Gas turbine </v>
      </c>
      <c r="H1962" s="79" t="str">
        <f>C1961</f>
        <v>Electricity only with CCS</v>
      </c>
      <c r="I1962" s="167" t="str">
        <f t="shared" si="110"/>
        <v>M</v>
      </c>
      <c r="J1962" s="97" t="s">
        <v>112</v>
      </c>
      <c r="K1962" s="97" t="s">
        <v>112</v>
      </c>
      <c r="L1962" s="97" t="s">
        <v>112</v>
      </c>
      <c r="M1962" s="97" t="s">
        <v>112</v>
      </c>
      <c r="N1962" s="97" t="s">
        <v>112</v>
      </c>
      <c r="O1962" s="97" t="s">
        <v>112</v>
      </c>
      <c r="P1962" s="97" t="s">
        <v>112</v>
      </c>
      <c r="Q1962" s="97" t="s">
        <v>112</v>
      </c>
      <c r="R1962" s="97" t="s">
        <v>112</v>
      </c>
      <c r="S1962" s="97" t="s">
        <v>112</v>
      </c>
      <c r="T1962" s="97" t="s">
        <v>112</v>
      </c>
      <c r="U1962" s="97" t="s">
        <v>112</v>
      </c>
      <c r="V1962" s="97" t="s">
        <v>112</v>
      </c>
      <c r="W1962" s="97" t="s">
        <v>112</v>
      </c>
      <c r="X1962" s="97" t="s">
        <v>112</v>
      </c>
      <c r="Y1962" s="97" t="s">
        <v>112</v>
      </c>
      <c r="Z1962" s="97" t="s">
        <v>112</v>
      </c>
      <c r="AA1962" s="97" t="s">
        <v>112</v>
      </c>
      <c r="AB1962" s="97" t="s">
        <v>112</v>
      </c>
      <c r="AC1962" s="97" t="s">
        <v>112</v>
      </c>
      <c r="AD1962" s="97" t="s">
        <v>112</v>
      </c>
      <c r="AE1962" s="97">
        <v>600</v>
      </c>
      <c r="AF1962" s="97">
        <v>600</v>
      </c>
      <c r="AG1962" s="97">
        <v>600</v>
      </c>
      <c r="AH1962" s="97">
        <v>600</v>
      </c>
      <c r="AI1962" s="97">
        <v>600</v>
      </c>
      <c r="AJ1962" s="97">
        <v>600</v>
      </c>
      <c r="AK1962" s="97">
        <v>600</v>
      </c>
      <c r="AL1962" s="97">
        <v>600</v>
      </c>
      <c r="AM1962" s="97">
        <v>600</v>
      </c>
      <c r="AN1962" s="97">
        <v>600</v>
      </c>
      <c r="AO1962" s="97">
        <v>600</v>
      </c>
      <c r="AP1962" s="97">
        <v>600</v>
      </c>
      <c r="AQ1962" s="97">
        <v>600</v>
      </c>
      <c r="AR1962" s="97">
        <v>600</v>
      </c>
      <c r="AS1962" s="97">
        <v>600</v>
      </c>
      <c r="AT1962" s="97">
        <v>600</v>
      </c>
      <c r="AU1962" s="97">
        <v>600</v>
      </c>
      <c r="AV1962" s="97">
        <v>600</v>
      </c>
      <c r="AW1962" s="97">
        <v>600</v>
      </c>
      <c r="AX1962" s="98">
        <v>600</v>
      </c>
    </row>
    <row r="1963" spans="1:50" x14ac:dyDescent="0.25">
      <c r="A1963" s="356"/>
      <c r="B1963" s="359"/>
      <c r="C1963" s="361" t="s">
        <v>16</v>
      </c>
      <c r="D1963" s="2" t="s">
        <v>7</v>
      </c>
      <c r="E1963" s="160" t="str">
        <f>A1945&amp;"/"&amp;B1953&amp;"/"&amp;C1963&amp;"/"&amp;D1963</f>
        <v>Diesel oil fired power plants/Gas turbine /CHP with CCS/L</v>
      </c>
      <c r="F1963" s="76" t="str">
        <f>A1945</f>
        <v>Diesel oil fired power plants</v>
      </c>
      <c r="G1963" s="76" t="str">
        <f>B1953</f>
        <v xml:space="preserve">Gas turbine </v>
      </c>
      <c r="H1963" s="76" t="str">
        <f>C1963</f>
        <v>CHP with CCS</v>
      </c>
      <c r="I1963" s="161" t="str">
        <f t="shared" si="110"/>
        <v>L</v>
      </c>
      <c r="J1963" s="91" t="s">
        <v>112</v>
      </c>
      <c r="K1963" s="91" t="s">
        <v>112</v>
      </c>
      <c r="L1963" s="91" t="s">
        <v>112</v>
      </c>
      <c r="M1963" s="91" t="s">
        <v>112</v>
      </c>
      <c r="N1963" s="91" t="s">
        <v>112</v>
      </c>
      <c r="O1963" s="91" t="s">
        <v>112</v>
      </c>
      <c r="P1963" s="91" t="s">
        <v>112</v>
      </c>
      <c r="Q1963" s="91" t="s">
        <v>112</v>
      </c>
      <c r="R1963" s="91" t="s">
        <v>112</v>
      </c>
      <c r="S1963" s="91" t="s">
        <v>112</v>
      </c>
      <c r="T1963" s="91" t="s">
        <v>112</v>
      </c>
      <c r="U1963" s="91" t="s">
        <v>112</v>
      </c>
      <c r="V1963" s="91" t="s">
        <v>112</v>
      </c>
      <c r="W1963" s="91" t="s">
        <v>112</v>
      </c>
      <c r="X1963" s="91" t="s">
        <v>112</v>
      </c>
      <c r="Y1963" s="91" t="s">
        <v>112</v>
      </c>
      <c r="Z1963" s="91" t="s">
        <v>112</v>
      </c>
      <c r="AA1963" s="91" t="s">
        <v>112</v>
      </c>
      <c r="AB1963" s="91" t="s">
        <v>112</v>
      </c>
      <c r="AC1963" s="91" t="s">
        <v>112</v>
      </c>
      <c r="AD1963" s="91" t="s">
        <v>112</v>
      </c>
      <c r="AE1963" s="91">
        <v>1260</v>
      </c>
      <c r="AF1963" s="91">
        <v>1260</v>
      </c>
      <c r="AG1963" s="91">
        <v>1260</v>
      </c>
      <c r="AH1963" s="91">
        <v>1260</v>
      </c>
      <c r="AI1963" s="91">
        <v>1260</v>
      </c>
      <c r="AJ1963" s="91">
        <v>1260</v>
      </c>
      <c r="AK1963" s="91">
        <v>1260</v>
      </c>
      <c r="AL1963" s="91">
        <v>1260</v>
      </c>
      <c r="AM1963" s="91">
        <v>1260</v>
      </c>
      <c r="AN1963" s="91">
        <v>1260</v>
      </c>
      <c r="AO1963" s="91">
        <v>1260</v>
      </c>
      <c r="AP1963" s="91">
        <v>1260</v>
      </c>
      <c r="AQ1963" s="91">
        <v>1260</v>
      </c>
      <c r="AR1963" s="91">
        <v>1260</v>
      </c>
      <c r="AS1963" s="91">
        <v>1260</v>
      </c>
      <c r="AT1963" s="91">
        <v>1260</v>
      </c>
      <c r="AU1963" s="91">
        <v>1260</v>
      </c>
      <c r="AV1963" s="91">
        <v>1260</v>
      </c>
      <c r="AW1963" s="91">
        <v>1260</v>
      </c>
      <c r="AX1963" s="92">
        <v>1260</v>
      </c>
    </row>
    <row r="1964" spans="1:50" x14ac:dyDescent="0.25">
      <c r="A1964" s="356"/>
      <c r="B1964" s="362"/>
      <c r="C1964" s="354"/>
      <c r="D1964" s="4" t="s">
        <v>8</v>
      </c>
      <c r="E1964" s="168" t="str">
        <f>A1945&amp;"/"&amp;B1953&amp;"/"&amp;C1963&amp;"/"&amp;D1964</f>
        <v>Diesel oil fired power plants/Gas turbine /CHP with CCS/M</v>
      </c>
      <c r="F1964" s="80" t="str">
        <f>A1945</f>
        <v>Diesel oil fired power plants</v>
      </c>
      <c r="G1964" s="80" t="str">
        <f>B1953</f>
        <v xml:space="preserve">Gas turbine </v>
      </c>
      <c r="H1964" s="80" t="str">
        <f>C1963</f>
        <v>CHP with CCS</v>
      </c>
      <c r="I1964" s="169" t="str">
        <f t="shared" si="110"/>
        <v>M</v>
      </c>
      <c r="J1964" s="99" t="s">
        <v>112</v>
      </c>
      <c r="K1964" s="99" t="s">
        <v>112</v>
      </c>
      <c r="L1964" s="99" t="s">
        <v>112</v>
      </c>
      <c r="M1964" s="99" t="s">
        <v>112</v>
      </c>
      <c r="N1964" s="99" t="s">
        <v>112</v>
      </c>
      <c r="O1964" s="99" t="s">
        <v>112</v>
      </c>
      <c r="P1964" s="99" t="s">
        <v>112</v>
      </c>
      <c r="Q1964" s="99" t="s">
        <v>112</v>
      </c>
      <c r="R1964" s="99" t="s">
        <v>112</v>
      </c>
      <c r="S1964" s="99" t="s">
        <v>112</v>
      </c>
      <c r="T1964" s="99" t="s">
        <v>112</v>
      </c>
      <c r="U1964" s="99" t="s">
        <v>112</v>
      </c>
      <c r="V1964" s="99" t="s">
        <v>112</v>
      </c>
      <c r="W1964" s="99" t="s">
        <v>112</v>
      </c>
      <c r="X1964" s="99" t="s">
        <v>112</v>
      </c>
      <c r="Y1964" s="99" t="s">
        <v>112</v>
      </c>
      <c r="Z1964" s="99" t="s">
        <v>112</v>
      </c>
      <c r="AA1964" s="99" t="s">
        <v>112</v>
      </c>
      <c r="AB1964" s="99" t="s">
        <v>112</v>
      </c>
      <c r="AC1964" s="99" t="s">
        <v>112</v>
      </c>
      <c r="AD1964" s="99" t="s">
        <v>112</v>
      </c>
      <c r="AE1964" s="99">
        <v>630</v>
      </c>
      <c r="AF1964" s="99">
        <v>630</v>
      </c>
      <c r="AG1964" s="99">
        <v>630</v>
      </c>
      <c r="AH1964" s="99">
        <v>630</v>
      </c>
      <c r="AI1964" s="99">
        <v>630</v>
      </c>
      <c r="AJ1964" s="99">
        <v>630</v>
      </c>
      <c r="AK1964" s="99">
        <v>630</v>
      </c>
      <c r="AL1964" s="99">
        <v>630</v>
      </c>
      <c r="AM1964" s="99">
        <v>630</v>
      </c>
      <c r="AN1964" s="99">
        <v>630</v>
      </c>
      <c r="AO1964" s="99">
        <v>630</v>
      </c>
      <c r="AP1964" s="99">
        <v>630</v>
      </c>
      <c r="AQ1964" s="99">
        <v>630</v>
      </c>
      <c r="AR1964" s="99">
        <v>630</v>
      </c>
      <c r="AS1964" s="99">
        <v>630</v>
      </c>
      <c r="AT1964" s="99">
        <v>630</v>
      </c>
      <c r="AU1964" s="99">
        <v>630</v>
      </c>
      <c r="AV1964" s="99">
        <v>630</v>
      </c>
      <c r="AW1964" s="99">
        <v>630</v>
      </c>
      <c r="AX1964" s="100">
        <v>630</v>
      </c>
    </row>
    <row r="1965" spans="1:50" x14ac:dyDescent="0.25">
      <c r="A1965" s="356"/>
      <c r="B1965" s="358" t="s">
        <v>19</v>
      </c>
      <c r="C1965" s="353" t="s">
        <v>6</v>
      </c>
      <c r="D1965" s="3" t="s">
        <v>7</v>
      </c>
      <c r="E1965" s="162" t="str">
        <f>A1945&amp;"/"&amp;B1965&amp;"/"&amp;C1965&amp;"/"&amp;D1965</f>
        <v>Diesel oil fired power plants/Steam turbine/Electricity only/L</v>
      </c>
      <c r="F1965" s="77" t="str">
        <f>A1945</f>
        <v>Diesel oil fired power plants</v>
      </c>
      <c r="G1965" s="77" t="str">
        <f>B1965</f>
        <v>Steam turbine</v>
      </c>
      <c r="H1965" s="77" t="str">
        <f>C1965</f>
        <v>Electricity only</v>
      </c>
      <c r="I1965" s="163" t="str">
        <f t="shared" si="110"/>
        <v>L</v>
      </c>
      <c r="J1965" s="93">
        <v>1600</v>
      </c>
      <c r="K1965" s="93">
        <v>1600</v>
      </c>
      <c r="L1965" s="93">
        <v>1600</v>
      </c>
      <c r="M1965" s="93">
        <v>1600</v>
      </c>
      <c r="N1965" s="93">
        <v>1600</v>
      </c>
      <c r="O1965" s="93">
        <v>1600</v>
      </c>
      <c r="P1965" s="93">
        <v>1600</v>
      </c>
      <c r="Q1965" s="93">
        <v>1600</v>
      </c>
      <c r="R1965" s="93">
        <v>1600</v>
      </c>
      <c r="S1965" s="93">
        <v>1600</v>
      </c>
      <c r="T1965" s="93">
        <v>1600</v>
      </c>
      <c r="U1965" s="93">
        <v>1600</v>
      </c>
      <c r="V1965" s="93">
        <v>1600</v>
      </c>
      <c r="W1965" s="93">
        <v>1600</v>
      </c>
      <c r="X1965" s="93">
        <v>1600</v>
      </c>
      <c r="Y1965" s="93">
        <v>1600</v>
      </c>
      <c r="Z1965" s="93">
        <v>1600</v>
      </c>
      <c r="AA1965" s="93">
        <v>1600</v>
      </c>
      <c r="AB1965" s="93">
        <v>1600</v>
      </c>
      <c r="AC1965" s="93">
        <v>1600</v>
      </c>
      <c r="AD1965" s="93">
        <v>1600</v>
      </c>
      <c r="AE1965" s="93">
        <v>1600</v>
      </c>
      <c r="AF1965" s="93">
        <v>1600</v>
      </c>
      <c r="AG1965" s="93">
        <v>1600</v>
      </c>
      <c r="AH1965" s="93">
        <v>1600</v>
      </c>
      <c r="AI1965" s="93">
        <v>1600</v>
      </c>
      <c r="AJ1965" s="93">
        <v>1600</v>
      </c>
      <c r="AK1965" s="93">
        <v>1600</v>
      </c>
      <c r="AL1965" s="93">
        <v>1600</v>
      </c>
      <c r="AM1965" s="93">
        <v>1600</v>
      </c>
      <c r="AN1965" s="93">
        <v>1600</v>
      </c>
      <c r="AO1965" s="93">
        <v>1600</v>
      </c>
      <c r="AP1965" s="93">
        <v>1600</v>
      </c>
      <c r="AQ1965" s="93">
        <v>1600</v>
      </c>
      <c r="AR1965" s="93">
        <v>1600</v>
      </c>
      <c r="AS1965" s="93">
        <v>1600</v>
      </c>
      <c r="AT1965" s="93">
        <v>1600</v>
      </c>
      <c r="AU1965" s="93">
        <v>1600</v>
      </c>
      <c r="AV1965" s="93">
        <v>1600</v>
      </c>
      <c r="AW1965" s="93">
        <v>1600</v>
      </c>
      <c r="AX1965" s="94">
        <v>1600</v>
      </c>
    </row>
    <row r="1966" spans="1:50" x14ac:dyDescent="0.25">
      <c r="A1966" s="356"/>
      <c r="B1966" s="359"/>
      <c r="C1966" s="350"/>
      <c r="D1966" s="2" t="s">
        <v>8</v>
      </c>
      <c r="E1966" s="160" t="str">
        <f>A1945&amp;"/"&amp;B1965&amp;"/"&amp;C1965&amp;"/"&amp;D1966</f>
        <v>Diesel oil fired power plants/Steam turbine/Electricity only/M</v>
      </c>
      <c r="F1966" s="76" t="str">
        <f>A1945</f>
        <v>Diesel oil fired power plants</v>
      </c>
      <c r="G1966" s="76" t="str">
        <f>B1965</f>
        <v>Steam turbine</v>
      </c>
      <c r="H1966" s="76" t="str">
        <f>C1965</f>
        <v>Electricity only</v>
      </c>
      <c r="I1966" s="161" t="str">
        <f t="shared" si="110"/>
        <v>M</v>
      </c>
      <c r="J1966" s="91">
        <v>800</v>
      </c>
      <c r="K1966" s="91">
        <v>800</v>
      </c>
      <c r="L1966" s="91">
        <v>800</v>
      </c>
      <c r="M1966" s="91">
        <v>800</v>
      </c>
      <c r="N1966" s="91">
        <v>800</v>
      </c>
      <c r="O1966" s="91">
        <v>800</v>
      </c>
      <c r="P1966" s="91">
        <v>800</v>
      </c>
      <c r="Q1966" s="91">
        <v>800</v>
      </c>
      <c r="R1966" s="91">
        <v>800</v>
      </c>
      <c r="S1966" s="91">
        <v>800</v>
      </c>
      <c r="T1966" s="91">
        <v>800</v>
      </c>
      <c r="U1966" s="91">
        <v>800</v>
      </c>
      <c r="V1966" s="91">
        <v>800</v>
      </c>
      <c r="W1966" s="91">
        <v>800</v>
      </c>
      <c r="X1966" s="91">
        <v>800</v>
      </c>
      <c r="Y1966" s="91">
        <v>800</v>
      </c>
      <c r="Z1966" s="91">
        <v>800</v>
      </c>
      <c r="AA1966" s="91">
        <v>800</v>
      </c>
      <c r="AB1966" s="91">
        <v>800</v>
      </c>
      <c r="AC1966" s="91">
        <v>800</v>
      </c>
      <c r="AD1966" s="91">
        <v>800</v>
      </c>
      <c r="AE1966" s="91">
        <v>800</v>
      </c>
      <c r="AF1966" s="91">
        <v>800</v>
      </c>
      <c r="AG1966" s="91">
        <v>800</v>
      </c>
      <c r="AH1966" s="91">
        <v>800</v>
      </c>
      <c r="AI1966" s="91">
        <v>800</v>
      </c>
      <c r="AJ1966" s="91">
        <v>800</v>
      </c>
      <c r="AK1966" s="91">
        <v>800</v>
      </c>
      <c r="AL1966" s="91">
        <v>800</v>
      </c>
      <c r="AM1966" s="91">
        <v>800</v>
      </c>
      <c r="AN1966" s="91">
        <v>800</v>
      </c>
      <c r="AO1966" s="91">
        <v>800</v>
      </c>
      <c r="AP1966" s="91">
        <v>800</v>
      </c>
      <c r="AQ1966" s="91">
        <v>800</v>
      </c>
      <c r="AR1966" s="91">
        <v>800</v>
      </c>
      <c r="AS1966" s="91">
        <v>800</v>
      </c>
      <c r="AT1966" s="91">
        <v>800</v>
      </c>
      <c r="AU1966" s="91">
        <v>800</v>
      </c>
      <c r="AV1966" s="91">
        <v>800</v>
      </c>
      <c r="AW1966" s="91">
        <v>800</v>
      </c>
      <c r="AX1966" s="92">
        <v>800</v>
      </c>
    </row>
    <row r="1967" spans="1:50" x14ac:dyDescent="0.25">
      <c r="A1967" s="356"/>
      <c r="B1967" s="359"/>
      <c r="C1967" s="360"/>
      <c r="D1967" s="2" t="s">
        <v>10</v>
      </c>
      <c r="E1967" s="160" t="str">
        <f>A1945&amp;"/"&amp;B1965&amp;"/"&amp;C1965&amp;"/"&amp;D1967</f>
        <v>Diesel oil fired power plants/Steam turbine/Electricity only/S</v>
      </c>
      <c r="F1967" s="76" t="str">
        <f>A1945</f>
        <v>Diesel oil fired power plants</v>
      </c>
      <c r="G1967" s="76" t="str">
        <f>B1965</f>
        <v>Steam turbine</v>
      </c>
      <c r="H1967" s="76" t="str">
        <f>C1965</f>
        <v>Electricity only</v>
      </c>
      <c r="I1967" s="161" t="str">
        <f t="shared" si="110"/>
        <v>S</v>
      </c>
      <c r="J1967" s="91">
        <v>400</v>
      </c>
      <c r="K1967" s="91">
        <v>400</v>
      </c>
      <c r="L1967" s="91">
        <v>400</v>
      </c>
      <c r="M1967" s="91">
        <v>400</v>
      </c>
      <c r="N1967" s="91">
        <v>400</v>
      </c>
      <c r="O1967" s="91">
        <v>400</v>
      </c>
      <c r="P1967" s="91">
        <v>400</v>
      </c>
      <c r="Q1967" s="91">
        <v>400</v>
      </c>
      <c r="R1967" s="91">
        <v>400</v>
      </c>
      <c r="S1967" s="91">
        <v>400</v>
      </c>
      <c r="T1967" s="91">
        <v>400</v>
      </c>
      <c r="U1967" s="91">
        <v>400</v>
      </c>
      <c r="V1967" s="91">
        <v>400</v>
      </c>
      <c r="W1967" s="91">
        <v>400</v>
      </c>
      <c r="X1967" s="91">
        <v>400</v>
      </c>
      <c r="Y1967" s="91">
        <v>400</v>
      </c>
      <c r="Z1967" s="91">
        <v>400</v>
      </c>
      <c r="AA1967" s="91">
        <v>400</v>
      </c>
      <c r="AB1967" s="91">
        <v>400</v>
      </c>
      <c r="AC1967" s="91">
        <v>400</v>
      </c>
      <c r="AD1967" s="91">
        <v>400</v>
      </c>
      <c r="AE1967" s="91">
        <v>400</v>
      </c>
      <c r="AF1967" s="91">
        <v>400</v>
      </c>
      <c r="AG1967" s="91">
        <v>400</v>
      </c>
      <c r="AH1967" s="91">
        <v>400</v>
      </c>
      <c r="AI1967" s="91">
        <v>400</v>
      </c>
      <c r="AJ1967" s="91">
        <v>400</v>
      </c>
      <c r="AK1967" s="91">
        <v>400</v>
      </c>
      <c r="AL1967" s="91">
        <v>400</v>
      </c>
      <c r="AM1967" s="91">
        <v>400</v>
      </c>
      <c r="AN1967" s="91">
        <v>400</v>
      </c>
      <c r="AO1967" s="91">
        <v>400</v>
      </c>
      <c r="AP1967" s="91">
        <v>400</v>
      </c>
      <c r="AQ1967" s="91">
        <v>400</v>
      </c>
      <c r="AR1967" s="91">
        <v>400</v>
      </c>
      <c r="AS1967" s="91">
        <v>400</v>
      </c>
      <c r="AT1967" s="91">
        <v>400</v>
      </c>
      <c r="AU1967" s="91">
        <v>400</v>
      </c>
      <c r="AV1967" s="91">
        <v>400</v>
      </c>
      <c r="AW1967" s="91">
        <v>400</v>
      </c>
      <c r="AX1967" s="92">
        <v>400</v>
      </c>
    </row>
    <row r="1968" spans="1:50" x14ac:dyDescent="0.25">
      <c r="A1968" s="356"/>
      <c r="B1968" s="359"/>
      <c r="C1968" s="361" t="s">
        <v>14</v>
      </c>
      <c r="D1968" s="58" t="s">
        <v>7</v>
      </c>
      <c r="E1968" s="164" t="str">
        <f>A1945&amp;"/"&amp;B1965&amp;"/"&amp;C1968&amp;"/"&amp;D1968</f>
        <v>Diesel oil fired power plants/Steam turbine/CHP/L</v>
      </c>
      <c r="F1968" s="78" t="str">
        <f>A1945</f>
        <v>Diesel oil fired power plants</v>
      </c>
      <c r="G1968" s="78" t="str">
        <f>B1965</f>
        <v>Steam turbine</v>
      </c>
      <c r="H1968" s="78" t="str">
        <f>C1968</f>
        <v>CHP</v>
      </c>
      <c r="I1968" s="165" t="str">
        <f t="shared" si="110"/>
        <v>L</v>
      </c>
      <c r="J1968" s="95">
        <v>1280</v>
      </c>
      <c r="K1968" s="95">
        <v>1280</v>
      </c>
      <c r="L1968" s="95">
        <v>1280</v>
      </c>
      <c r="M1968" s="95">
        <v>1280</v>
      </c>
      <c r="N1968" s="95">
        <v>1280</v>
      </c>
      <c r="O1968" s="95">
        <v>1280</v>
      </c>
      <c r="P1968" s="95">
        <v>1280</v>
      </c>
      <c r="Q1968" s="95">
        <v>1280</v>
      </c>
      <c r="R1968" s="95">
        <v>1280</v>
      </c>
      <c r="S1968" s="95">
        <v>1280</v>
      </c>
      <c r="T1968" s="95">
        <v>1280</v>
      </c>
      <c r="U1968" s="95">
        <v>1280</v>
      </c>
      <c r="V1968" s="95">
        <v>1280</v>
      </c>
      <c r="W1968" s="95">
        <v>1280</v>
      </c>
      <c r="X1968" s="95">
        <v>1280</v>
      </c>
      <c r="Y1968" s="95">
        <v>1280</v>
      </c>
      <c r="Z1968" s="95">
        <v>1280</v>
      </c>
      <c r="AA1968" s="95">
        <v>1280</v>
      </c>
      <c r="AB1968" s="95">
        <v>1280</v>
      </c>
      <c r="AC1968" s="95">
        <v>1280</v>
      </c>
      <c r="AD1968" s="95">
        <v>1280</v>
      </c>
      <c r="AE1968" s="95">
        <v>1280</v>
      </c>
      <c r="AF1968" s="95">
        <v>1280</v>
      </c>
      <c r="AG1968" s="95">
        <v>1280</v>
      </c>
      <c r="AH1968" s="95">
        <v>1280</v>
      </c>
      <c r="AI1968" s="95">
        <v>1280</v>
      </c>
      <c r="AJ1968" s="95">
        <v>1280</v>
      </c>
      <c r="AK1968" s="95">
        <v>1280</v>
      </c>
      <c r="AL1968" s="95">
        <v>1280</v>
      </c>
      <c r="AM1968" s="95">
        <v>1280</v>
      </c>
      <c r="AN1968" s="95">
        <v>1280</v>
      </c>
      <c r="AO1968" s="95">
        <v>1280</v>
      </c>
      <c r="AP1968" s="95">
        <v>1280</v>
      </c>
      <c r="AQ1968" s="95">
        <v>1280</v>
      </c>
      <c r="AR1968" s="95">
        <v>1280</v>
      </c>
      <c r="AS1968" s="95">
        <v>1280</v>
      </c>
      <c r="AT1968" s="95">
        <v>1280</v>
      </c>
      <c r="AU1968" s="95">
        <v>1280</v>
      </c>
      <c r="AV1968" s="95">
        <v>1280</v>
      </c>
      <c r="AW1968" s="95">
        <v>1280</v>
      </c>
      <c r="AX1968" s="96">
        <v>1280</v>
      </c>
    </row>
    <row r="1969" spans="1:50" x14ac:dyDescent="0.25">
      <c r="A1969" s="356"/>
      <c r="B1969" s="359"/>
      <c r="C1969" s="350"/>
      <c r="D1969" s="2" t="s">
        <v>8</v>
      </c>
      <c r="E1969" s="160" t="str">
        <f>A1945&amp;"/"&amp;B1965&amp;"/"&amp;C1968&amp;"/"&amp;D1969</f>
        <v>Diesel oil fired power plants/Steam turbine/CHP/M</v>
      </c>
      <c r="F1969" s="76" t="str">
        <f>A1945</f>
        <v>Diesel oil fired power plants</v>
      </c>
      <c r="G1969" s="76" t="str">
        <f>B1965</f>
        <v>Steam turbine</v>
      </c>
      <c r="H1969" s="76" t="str">
        <f>C1968</f>
        <v>CHP</v>
      </c>
      <c r="I1969" s="161" t="str">
        <f t="shared" si="110"/>
        <v>M</v>
      </c>
      <c r="J1969" s="91">
        <v>915.19999999999993</v>
      </c>
      <c r="K1969" s="91">
        <v>915.19999999999993</v>
      </c>
      <c r="L1969" s="91">
        <v>915.19999999999993</v>
      </c>
      <c r="M1969" s="91">
        <v>915.19999999999993</v>
      </c>
      <c r="N1969" s="91">
        <v>915.19999999999993</v>
      </c>
      <c r="O1969" s="91">
        <v>915.19999999999993</v>
      </c>
      <c r="P1969" s="91">
        <v>915.19999999999993</v>
      </c>
      <c r="Q1969" s="91">
        <v>915.19999999999993</v>
      </c>
      <c r="R1969" s="91">
        <v>915.19999999999993</v>
      </c>
      <c r="S1969" s="91">
        <v>915.19999999999993</v>
      </c>
      <c r="T1969" s="91">
        <v>915.19999999999993</v>
      </c>
      <c r="U1969" s="91">
        <v>915.19999999999993</v>
      </c>
      <c r="V1969" s="91">
        <v>915.19999999999993</v>
      </c>
      <c r="W1969" s="91">
        <v>915.19999999999993</v>
      </c>
      <c r="X1969" s="91">
        <v>915.19999999999993</v>
      </c>
      <c r="Y1969" s="91">
        <v>915.19999999999993</v>
      </c>
      <c r="Z1969" s="91">
        <v>915.19999999999993</v>
      </c>
      <c r="AA1969" s="91">
        <v>915.19999999999993</v>
      </c>
      <c r="AB1969" s="91">
        <v>915.19999999999993</v>
      </c>
      <c r="AC1969" s="91">
        <v>915.19999999999993</v>
      </c>
      <c r="AD1969" s="91">
        <v>915.19999999999993</v>
      </c>
      <c r="AE1969" s="91">
        <v>915.19999999999993</v>
      </c>
      <c r="AF1969" s="91">
        <v>915.19999999999993</v>
      </c>
      <c r="AG1969" s="91">
        <v>915.19999999999993</v>
      </c>
      <c r="AH1969" s="91">
        <v>915.19999999999993</v>
      </c>
      <c r="AI1969" s="91">
        <v>915.19999999999993</v>
      </c>
      <c r="AJ1969" s="91">
        <v>915.19999999999993</v>
      </c>
      <c r="AK1969" s="91">
        <v>915.19999999999993</v>
      </c>
      <c r="AL1969" s="91">
        <v>915.19999999999993</v>
      </c>
      <c r="AM1969" s="91">
        <v>915.19999999999993</v>
      </c>
      <c r="AN1969" s="91">
        <v>915.19999999999993</v>
      </c>
      <c r="AO1969" s="91">
        <v>915.19999999999993</v>
      </c>
      <c r="AP1969" s="91">
        <v>915.19999999999993</v>
      </c>
      <c r="AQ1969" s="91">
        <v>915.19999999999993</v>
      </c>
      <c r="AR1969" s="91">
        <v>915.19999999999993</v>
      </c>
      <c r="AS1969" s="91">
        <v>915.19999999999993</v>
      </c>
      <c r="AT1969" s="91">
        <v>915.19999999999993</v>
      </c>
      <c r="AU1969" s="91">
        <v>915.19999999999993</v>
      </c>
      <c r="AV1969" s="91">
        <v>915.19999999999993</v>
      </c>
      <c r="AW1969" s="91">
        <v>915.19999999999993</v>
      </c>
      <c r="AX1969" s="92">
        <v>915.19999999999993</v>
      </c>
    </row>
    <row r="1970" spans="1:50" x14ac:dyDescent="0.25">
      <c r="A1970" s="356"/>
      <c r="B1970" s="359"/>
      <c r="C1970" s="360"/>
      <c r="D1970" s="59" t="s">
        <v>10</v>
      </c>
      <c r="E1970" s="166" t="str">
        <f>A1945&amp;"/"&amp;B1965&amp;"/"&amp;C1968&amp;"/"&amp;D1970</f>
        <v>Diesel oil fired power plants/Steam turbine/CHP/S</v>
      </c>
      <c r="F1970" s="79" t="str">
        <f>A1945</f>
        <v>Diesel oil fired power plants</v>
      </c>
      <c r="G1970" s="79" t="str">
        <f>B1965</f>
        <v>Steam turbine</v>
      </c>
      <c r="H1970" s="79" t="str">
        <f>C1968</f>
        <v>CHP</v>
      </c>
      <c r="I1970" s="167" t="str">
        <f t="shared" si="110"/>
        <v>S</v>
      </c>
      <c r="J1970" s="97">
        <v>617.76</v>
      </c>
      <c r="K1970" s="97">
        <v>617.76</v>
      </c>
      <c r="L1970" s="97">
        <v>617.76</v>
      </c>
      <c r="M1970" s="97">
        <v>617.76</v>
      </c>
      <c r="N1970" s="97">
        <v>617.76</v>
      </c>
      <c r="O1970" s="97">
        <v>617.76</v>
      </c>
      <c r="P1970" s="97">
        <v>617.76</v>
      </c>
      <c r="Q1970" s="97">
        <v>617.76</v>
      </c>
      <c r="R1970" s="97">
        <v>617.76</v>
      </c>
      <c r="S1970" s="97">
        <v>617.76</v>
      </c>
      <c r="T1970" s="97">
        <v>617.76</v>
      </c>
      <c r="U1970" s="97">
        <v>617.76</v>
      </c>
      <c r="V1970" s="97">
        <v>617.76</v>
      </c>
      <c r="W1970" s="97">
        <v>617.76</v>
      </c>
      <c r="X1970" s="97">
        <v>617.76</v>
      </c>
      <c r="Y1970" s="97">
        <v>617.76</v>
      </c>
      <c r="Z1970" s="97">
        <v>617.76</v>
      </c>
      <c r="AA1970" s="97">
        <v>617.76</v>
      </c>
      <c r="AB1970" s="97">
        <v>617.76</v>
      </c>
      <c r="AC1970" s="97">
        <v>617.76</v>
      </c>
      <c r="AD1970" s="97">
        <v>617.76</v>
      </c>
      <c r="AE1970" s="97">
        <v>617.76</v>
      </c>
      <c r="AF1970" s="97">
        <v>617.76</v>
      </c>
      <c r="AG1970" s="97">
        <v>617.76</v>
      </c>
      <c r="AH1970" s="97">
        <v>617.76</v>
      </c>
      <c r="AI1970" s="97">
        <v>617.76</v>
      </c>
      <c r="AJ1970" s="97">
        <v>617.76</v>
      </c>
      <c r="AK1970" s="97">
        <v>617.76</v>
      </c>
      <c r="AL1970" s="97">
        <v>617.76</v>
      </c>
      <c r="AM1970" s="97">
        <v>617.76</v>
      </c>
      <c r="AN1970" s="97">
        <v>617.76</v>
      </c>
      <c r="AO1970" s="97">
        <v>617.76</v>
      </c>
      <c r="AP1970" s="97">
        <v>617.76</v>
      </c>
      <c r="AQ1970" s="97">
        <v>617.76</v>
      </c>
      <c r="AR1970" s="97">
        <v>617.76</v>
      </c>
      <c r="AS1970" s="97">
        <v>617.76</v>
      </c>
      <c r="AT1970" s="97">
        <v>617.76</v>
      </c>
      <c r="AU1970" s="97">
        <v>617.76</v>
      </c>
      <c r="AV1970" s="97">
        <v>617.76</v>
      </c>
      <c r="AW1970" s="97">
        <v>617.76</v>
      </c>
      <c r="AX1970" s="98">
        <v>617.76</v>
      </c>
    </row>
    <row r="1971" spans="1:50" x14ac:dyDescent="0.25">
      <c r="A1971" s="356"/>
      <c r="B1971" s="359"/>
      <c r="C1971" s="361" t="s">
        <v>15</v>
      </c>
      <c r="D1971" s="58" t="s">
        <v>7</v>
      </c>
      <c r="E1971" s="164" t="str">
        <f>A1945&amp;"/"&amp;B1965&amp;"/"&amp;C1971&amp;"/"&amp;D1971</f>
        <v>Diesel oil fired power plants/Steam turbine/Electricity only with CCS/L</v>
      </c>
      <c r="F1971" s="78" t="str">
        <f>A1945</f>
        <v>Diesel oil fired power plants</v>
      </c>
      <c r="G1971" s="78" t="str">
        <f>B1965</f>
        <v>Steam turbine</v>
      </c>
      <c r="H1971" s="78" t="str">
        <f>C1971</f>
        <v>Electricity only with CCS</v>
      </c>
      <c r="I1971" s="165" t="str">
        <f t="shared" si="110"/>
        <v>L</v>
      </c>
      <c r="J1971" s="95" t="s">
        <v>112</v>
      </c>
      <c r="K1971" s="95" t="s">
        <v>112</v>
      </c>
      <c r="L1971" s="95" t="s">
        <v>112</v>
      </c>
      <c r="M1971" s="95" t="s">
        <v>112</v>
      </c>
      <c r="N1971" s="95" t="s">
        <v>112</v>
      </c>
      <c r="O1971" s="95" t="s">
        <v>112</v>
      </c>
      <c r="P1971" s="95" t="s">
        <v>112</v>
      </c>
      <c r="Q1971" s="95" t="s">
        <v>112</v>
      </c>
      <c r="R1971" s="95" t="s">
        <v>112</v>
      </c>
      <c r="S1971" s="95" t="s">
        <v>112</v>
      </c>
      <c r="T1971" s="95" t="s">
        <v>112</v>
      </c>
      <c r="U1971" s="95" t="s">
        <v>112</v>
      </c>
      <c r="V1971" s="95" t="s">
        <v>112</v>
      </c>
      <c r="W1971" s="95" t="s">
        <v>112</v>
      </c>
      <c r="X1971" s="95" t="s">
        <v>112</v>
      </c>
      <c r="Y1971" s="95" t="s">
        <v>112</v>
      </c>
      <c r="Z1971" s="95" t="s">
        <v>112</v>
      </c>
      <c r="AA1971" s="95" t="s">
        <v>112</v>
      </c>
      <c r="AB1971" s="95" t="s">
        <v>112</v>
      </c>
      <c r="AC1971" s="95" t="s">
        <v>112</v>
      </c>
      <c r="AD1971" s="95" t="s">
        <v>112</v>
      </c>
      <c r="AE1971" s="95">
        <v>1600</v>
      </c>
      <c r="AF1971" s="95">
        <v>1600</v>
      </c>
      <c r="AG1971" s="95">
        <v>1600</v>
      </c>
      <c r="AH1971" s="95">
        <v>1600</v>
      </c>
      <c r="AI1971" s="95">
        <v>1600</v>
      </c>
      <c r="AJ1971" s="95">
        <v>1600</v>
      </c>
      <c r="AK1971" s="95">
        <v>1600</v>
      </c>
      <c r="AL1971" s="95">
        <v>1600</v>
      </c>
      <c r="AM1971" s="95">
        <v>1600</v>
      </c>
      <c r="AN1971" s="95">
        <v>1600</v>
      </c>
      <c r="AO1971" s="95">
        <v>1600</v>
      </c>
      <c r="AP1971" s="95">
        <v>1600</v>
      </c>
      <c r="AQ1971" s="95">
        <v>1600</v>
      </c>
      <c r="AR1971" s="95">
        <v>1600</v>
      </c>
      <c r="AS1971" s="95">
        <v>1600</v>
      </c>
      <c r="AT1971" s="95">
        <v>1600</v>
      </c>
      <c r="AU1971" s="95">
        <v>1600</v>
      </c>
      <c r="AV1971" s="95">
        <v>1600</v>
      </c>
      <c r="AW1971" s="95">
        <v>1600</v>
      </c>
      <c r="AX1971" s="96">
        <v>1600</v>
      </c>
    </row>
    <row r="1972" spans="1:50" x14ac:dyDescent="0.25">
      <c r="A1972" s="356"/>
      <c r="B1972" s="359"/>
      <c r="C1972" s="360"/>
      <c r="D1972" s="59" t="s">
        <v>8</v>
      </c>
      <c r="E1972" s="166" t="str">
        <f>A1945&amp;"/"&amp;B1965&amp;"/"&amp;C1971&amp;"/"&amp;D1972</f>
        <v>Diesel oil fired power plants/Steam turbine/Electricity only with CCS/M</v>
      </c>
      <c r="F1972" s="79" t="str">
        <f>A1945</f>
        <v>Diesel oil fired power plants</v>
      </c>
      <c r="G1972" s="79" t="str">
        <f>B1965</f>
        <v>Steam turbine</v>
      </c>
      <c r="H1972" s="79" t="str">
        <f>C1971</f>
        <v>Electricity only with CCS</v>
      </c>
      <c r="I1972" s="167" t="str">
        <f t="shared" si="110"/>
        <v>M</v>
      </c>
      <c r="J1972" s="97" t="s">
        <v>112</v>
      </c>
      <c r="K1972" s="97" t="s">
        <v>112</v>
      </c>
      <c r="L1972" s="97" t="s">
        <v>112</v>
      </c>
      <c r="M1972" s="97" t="s">
        <v>112</v>
      </c>
      <c r="N1972" s="97" t="s">
        <v>112</v>
      </c>
      <c r="O1972" s="97" t="s">
        <v>112</v>
      </c>
      <c r="P1972" s="97" t="s">
        <v>112</v>
      </c>
      <c r="Q1972" s="97" t="s">
        <v>112</v>
      </c>
      <c r="R1972" s="97" t="s">
        <v>112</v>
      </c>
      <c r="S1972" s="97" t="s">
        <v>112</v>
      </c>
      <c r="T1972" s="97" t="s">
        <v>112</v>
      </c>
      <c r="U1972" s="97" t="s">
        <v>112</v>
      </c>
      <c r="V1972" s="97" t="s">
        <v>112</v>
      </c>
      <c r="W1972" s="97" t="s">
        <v>112</v>
      </c>
      <c r="X1972" s="97" t="s">
        <v>112</v>
      </c>
      <c r="Y1972" s="97" t="s">
        <v>112</v>
      </c>
      <c r="Z1972" s="97" t="s">
        <v>112</v>
      </c>
      <c r="AA1972" s="97" t="s">
        <v>112</v>
      </c>
      <c r="AB1972" s="97" t="s">
        <v>112</v>
      </c>
      <c r="AC1972" s="97" t="s">
        <v>112</v>
      </c>
      <c r="AD1972" s="97" t="s">
        <v>112</v>
      </c>
      <c r="AE1972" s="97">
        <v>800</v>
      </c>
      <c r="AF1972" s="97">
        <v>800</v>
      </c>
      <c r="AG1972" s="97">
        <v>800</v>
      </c>
      <c r="AH1972" s="97">
        <v>800</v>
      </c>
      <c r="AI1972" s="97">
        <v>800</v>
      </c>
      <c r="AJ1972" s="97">
        <v>800</v>
      </c>
      <c r="AK1972" s="97">
        <v>800</v>
      </c>
      <c r="AL1972" s="97">
        <v>800</v>
      </c>
      <c r="AM1972" s="97">
        <v>800</v>
      </c>
      <c r="AN1972" s="97">
        <v>800</v>
      </c>
      <c r="AO1972" s="97">
        <v>800</v>
      </c>
      <c r="AP1972" s="97">
        <v>800</v>
      </c>
      <c r="AQ1972" s="97">
        <v>800</v>
      </c>
      <c r="AR1972" s="97">
        <v>800</v>
      </c>
      <c r="AS1972" s="97">
        <v>800</v>
      </c>
      <c r="AT1972" s="97">
        <v>800</v>
      </c>
      <c r="AU1972" s="97">
        <v>800</v>
      </c>
      <c r="AV1972" s="97">
        <v>800</v>
      </c>
      <c r="AW1972" s="97">
        <v>800</v>
      </c>
      <c r="AX1972" s="98">
        <v>800</v>
      </c>
    </row>
    <row r="1973" spans="1:50" x14ac:dyDescent="0.25">
      <c r="A1973" s="356"/>
      <c r="B1973" s="359"/>
      <c r="C1973" s="361" t="s">
        <v>16</v>
      </c>
      <c r="D1973" s="2" t="s">
        <v>7</v>
      </c>
      <c r="E1973" s="160" t="str">
        <f>A1945&amp;"/"&amp;B1965&amp;"/"&amp;C1973&amp;"/"&amp;D1973</f>
        <v>Diesel oil fired power plants/Steam turbine/CHP with CCS/L</v>
      </c>
      <c r="F1973" s="76" t="str">
        <f>A1945</f>
        <v>Diesel oil fired power plants</v>
      </c>
      <c r="G1973" s="76" t="str">
        <f>B1965</f>
        <v>Steam turbine</v>
      </c>
      <c r="H1973" s="76" t="str">
        <f>C1973</f>
        <v>CHP with CCS</v>
      </c>
      <c r="I1973" s="161" t="str">
        <f t="shared" si="110"/>
        <v>L</v>
      </c>
      <c r="J1973" s="91" t="s">
        <v>112</v>
      </c>
      <c r="K1973" s="91" t="s">
        <v>112</v>
      </c>
      <c r="L1973" s="91" t="s">
        <v>112</v>
      </c>
      <c r="M1973" s="91" t="s">
        <v>112</v>
      </c>
      <c r="N1973" s="91" t="s">
        <v>112</v>
      </c>
      <c r="O1973" s="91" t="s">
        <v>112</v>
      </c>
      <c r="P1973" s="91" t="s">
        <v>112</v>
      </c>
      <c r="Q1973" s="91" t="s">
        <v>112</v>
      </c>
      <c r="R1973" s="91" t="s">
        <v>112</v>
      </c>
      <c r="S1973" s="91" t="s">
        <v>112</v>
      </c>
      <c r="T1973" s="91" t="s">
        <v>112</v>
      </c>
      <c r="U1973" s="91" t="s">
        <v>112</v>
      </c>
      <c r="V1973" s="91" t="s">
        <v>112</v>
      </c>
      <c r="W1973" s="91" t="s">
        <v>112</v>
      </c>
      <c r="X1973" s="91" t="s">
        <v>112</v>
      </c>
      <c r="Y1973" s="91" t="s">
        <v>112</v>
      </c>
      <c r="Z1973" s="91" t="s">
        <v>112</v>
      </c>
      <c r="AA1973" s="91" t="s">
        <v>112</v>
      </c>
      <c r="AB1973" s="91" t="s">
        <v>112</v>
      </c>
      <c r="AC1973" s="91" t="s">
        <v>112</v>
      </c>
      <c r="AD1973" s="91" t="s">
        <v>112</v>
      </c>
      <c r="AE1973" s="91">
        <v>1280</v>
      </c>
      <c r="AF1973" s="91">
        <v>1280</v>
      </c>
      <c r="AG1973" s="91">
        <v>1280</v>
      </c>
      <c r="AH1973" s="91">
        <v>1280</v>
      </c>
      <c r="AI1973" s="91">
        <v>1280</v>
      </c>
      <c r="AJ1973" s="91">
        <v>1280</v>
      </c>
      <c r="AK1973" s="91">
        <v>1280</v>
      </c>
      <c r="AL1973" s="91">
        <v>1280</v>
      </c>
      <c r="AM1973" s="91">
        <v>1280</v>
      </c>
      <c r="AN1973" s="91">
        <v>1280</v>
      </c>
      <c r="AO1973" s="91">
        <v>1280</v>
      </c>
      <c r="AP1973" s="91">
        <v>1280</v>
      </c>
      <c r="AQ1973" s="91">
        <v>1280</v>
      </c>
      <c r="AR1973" s="91">
        <v>1280</v>
      </c>
      <c r="AS1973" s="91">
        <v>1280</v>
      </c>
      <c r="AT1973" s="91">
        <v>1280</v>
      </c>
      <c r="AU1973" s="91">
        <v>1280</v>
      </c>
      <c r="AV1973" s="91">
        <v>1280</v>
      </c>
      <c r="AW1973" s="91">
        <v>1280</v>
      </c>
      <c r="AX1973" s="92">
        <v>1280</v>
      </c>
    </row>
    <row r="1974" spans="1:50" x14ac:dyDescent="0.25">
      <c r="A1974" s="356"/>
      <c r="B1974" s="362"/>
      <c r="C1974" s="354"/>
      <c r="D1974" s="4" t="s">
        <v>8</v>
      </c>
      <c r="E1974" s="168" t="str">
        <f>A1945&amp;"/"&amp;B1965&amp;"/"&amp;C1973&amp;"/"&amp;D1974</f>
        <v>Diesel oil fired power plants/Steam turbine/CHP with CCS/M</v>
      </c>
      <c r="F1974" s="80" t="str">
        <f>A1945</f>
        <v>Diesel oil fired power plants</v>
      </c>
      <c r="G1974" s="80" t="str">
        <f>B1965</f>
        <v>Steam turbine</v>
      </c>
      <c r="H1974" s="80" t="str">
        <f>C1973</f>
        <v>CHP with CCS</v>
      </c>
      <c r="I1974" s="169" t="str">
        <f t="shared" si="110"/>
        <v>M</v>
      </c>
      <c r="J1974" s="99" t="s">
        <v>112</v>
      </c>
      <c r="K1974" s="99" t="s">
        <v>112</v>
      </c>
      <c r="L1974" s="99" t="s">
        <v>112</v>
      </c>
      <c r="M1974" s="99" t="s">
        <v>112</v>
      </c>
      <c r="N1974" s="99" t="s">
        <v>112</v>
      </c>
      <c r="O1974" s="99" t="s">
        <v>112</v>
      </c>
      <c r="P1974" s="99" t="s">
        <v>112</v>
      </c>
      <c r="Q1974" s="99" t="s">
        <v>112</v>
      </c>
      <c r="R1974" s="99" t="s">
        <v>112</v>
      </c>
      <c r="S1974" s="99" t="s">
        <v>112</v>
      </c>
      <c r="T1974" s="99" t="s">
        <v>112</v>
      </c>
      <c r="U1974" s="99" t="s">
        <v>112</v>
      </c>
      <c r="V1974" s="99" t="s">
        <v>112</v>
      </c>
      <c r="W1974" s="99" t="s">
        <v>112</v>
      </c>
      <c r="X1974" s="99" t="s">
        <v>112</v>
      </c>
      <c r="Y1974" s="99" t="s">
        <v>112</v>
      </c>
      <c r="Z1974" s="99" t="s">
        <v>112</v>
      </c>
      <c r="AA1974" s="99" t="s">
        <v>112</v>
      </c>
      <c r="AB1974" s="99" t="s">
        <v>112</v>
      </c>
      <c r="AC1974" s="99" t="s">
        <v>112</v>
      </c>
      <c r="AD1974" s="99" t="s">
        <v>112</v>
      </c>
      <c r="AE1974" s="99">
        <v>915.19999999999993</v>
      </c>
      <c r="AF1974" s="99">
        <v>915.19999999999993</v>
      </c>
      <c r="AG1974" s="99">
        <v>915.19999999999993</v>
      </c>
      <c r="AH1974" s="99">
        <v>915.19999999999993</v>
      </c>
      <c r="AI1974" s="99">
        <v>915.19999999999993</v>
      </c>
      <c r="AJ1974" s="99">
        <v>915.19999999999993</v>
      </c>
      <c r="AK1974" s="99">
        <v>915.19999999999993</v>
      </c>
      <c r="AL1974" s="99">
        <v>915.19999999999993</v>
      </c>
      <c r="AM1974" s="99">
        <v>915.19999999999993</v>
      </c>
      <c r="AN1974" s="99">
        <v>915.19999999999993</v>
      </c>
      <c r="AO1974" s="99">
        <v>915.19999999999993</v>
      </c>
      <c r="AP1974" s="99">
        <v>915.19999999999993</v>
      </c>
      <c r="AQ1974" s="99">
        <v>915.19999999999993</v>
      </c>
      <c r="AR1974" s="99">
        <v>915.19999999999993</v>
      </c>
      <c r="AS1974" s="99">
        <v>915.19999999999993</v>
      </c>
      <c r="AT1974" s="99">
        <v>915.19999999999993</v>
      </c>
      <c r="AU1974" s="99">
        <v>915.19999999999993</v>
      </c>
      <c r="AV1974" s="99">
        <v>915.19999999999993</v>
      </c>
      <c r="AW1974" s="99">
        <v>915.19999999999993</v>
      </c>
      <c r="AX1974" s="100">
        <v>915.19999999999993</v>
      </c>
    </row>
    <row r="1975" spans="1:50" x14ac:dyDescent="0.25">
      <c r="A1975" s="356"/>
      <c r="B1975" s="358" t="s">
        <v>25</v>
      </c>
      <c r="C1975" s="353" t="s">
        <v>6</v>
      </c>
      <c r="D1975" s="3" t="s">
        <v>10</v>
      </c>
      <c r="E1975" s="162" t="str">
        <f>A1945&amp;"/"&amp;B1975&amp;"/"&amp;C1975&amp;"/"&amp;D1975</f>
        <v>Diesel oil fired power plants/Internal combustion engine/Electricity only/S</v>
      </c>
      <c r="F1975" s="77" t="str">
        <f>A1945</f>
        <v>Diesel oil fired power plants</v>
      </c>
      <c r="G1975" s="77" t="str">
        <f>B1975</f>
        <v>Internal combustion engine</v>
      </c>
      <c r="H1975" s="77" t="str">
        <f>C1975</f>
        <v>Electricity only</v>
      </c>
      <c r="I1975" s="163" t="str">
        <f t="shared" si="110"/>
        <v>S</v>
      </c>
      <c r="J1975" s="93">
        <v>50</v>
      </c>
      <c r="K1975" s="93">
        <v>50</v>
      </c>
      <c r="L1975" s="93">
        <v>50</v>
      </c>
      <c r="M1975" s="93">
        <v>50</v>
      </c>
      <c r="N1975" s="93">
        <v>50</v>
      </c>
      <c r="O1975" s="93">
        <v>50</v>
      </c>
      <c r="P1975" s="93">
        <v>50</v>
      </c>
      <c r="Q1975" s="93">
        <v>50</v>
      </c>
      <c r="R1975" s="93">
        <v>50</v>
      </c>
      <c r="S1975" s="93">
        <v>50</v>
      </c>
      <c r="T1975" s="93">
        <v>50</v>
      </c>
      <c r="U1975" s="93">
        <v>50</v>
      </c>
      <c r="V1975" s="93">
        <v>50</v>
      </c>
      <c r="W1975" s="93">
        <v>50</v>
      </c>
      <c r="X1975" s="93">
        <v>50</v>
      </c>
      <c r="Y1975" s="93">
        <v>50</v>
      </c>
      <c r="Z1975" s="93">
        <v>50</v>
      </c>
      <c r="AA1975" s="93">
        <v>50</v>
      </c>
      <c r="AB1975" s="93">
        <v>50</v>
      </c>
      <c r="AC1975" s="93">
        <v>50</v>
      </c>
      <c r="AD1975" s="93">
        <v>50</v>
      </c>
      <c r="AE1975" s="93">
        <v>50</v>
      </c>
      <c r="AF1975" s="93">
        <v>50</v>
      </c>
      <c r="AG1975" s="93">
        <v>50</v>
      </c>
      <c r="AH1975" s="93">
        <v>50</v>
      </c>
      <c r="AI1975" s="93">
        <v>50</v>
      </c>
      <c r="AJ1975" s="93">
        <v>50</v>
      </c>
      <c r="AK1975" s="93">
        <v>50</v>
      </c>
      <c r="AL1975" s="93">
        <v>50</v>
      </c>
      <c r="AM1975" s="93">
        <v>50</v>
      </c>
      <c r="AN1975" s="93">
        <v>50</v>
      </c>
      <c r="AO1975" s="93">
        <v>50</v>
      </c>
      <c r="AP1975" s="93">
        <v>50</v>
      </c>
      <c r="AQ1975" s="93">
        <v>50</v>
      </c>
      <c r="AR1975" s="93">
        <v>50</v>
      </c>
      <c r="AS1975" s="93">
        <v>50</v>
      </c>
      <c r="AT1975" s="93">
        <v>50</v>
      </c>
      <c r="AU1975" s="93">
        <v>50</v>
      </c>
      <c r="AV1975" s="93">
        <v>50</v>
      </c>
      <c r="AW1975" s="93">
        <v>50</v>
      </c>
      <c r="AX1975" s="94">
        <v>50</v>
      </c>
    </row>
    <row r="1976" spans="1:50" x14ac:dyDescent="0.25">
      <c r="A1976" s="356"/>
      <c r="B1976" s="359"/>
      <c r="C1976" s="360"/>
      <c r="D1976" s="59" t="s">
        <v>20</v>
      </c>
      <c r="E1976" s="160" t="str">
        <f>A1945&amp;"/"&amp;B1975&amp;"/"&amp;C1975&amp;"/"&amp;D1976</f>
        <v>Diesel oil fired power plants/Internal combustion engine/Electricity only/XS</v>
      </c>
      <c r="F1976" s="76" t="str">
        <f>A1945</f>
        <v>Diesel oil fired power plants</v>
      </c>
      <c r="G1976" s="76" t="str">
        <f>B1975</f>
        <v>Internal combustion engine</v>
      </c>
      <c r="H1976" s="76" t="str">
        <f>C1975</f>
        <v>Electricity only</v>
      </c>
      <c r="I1976" s="161" t="str">
        <f t="shared" si="110"/>
        <v>XS</v>
      </c>
      <c r="J1976" s="91">
        <v>0.1</v>
      </c>
      <c r="K1976" s="91">
        <v>0.1</v>
      </c>
      <c r="L1976" s="91">
        <v>0.1</v>
      </c>
      <c r="M1976" s="91">
        <v>0.1</v>
      </c>
      <c r="N1976" s="91">
        <v>0.1</v>
      </c>
      <c r="O1976" s="91">
        <v>0.1</v>
      </c>
      <c r="P1976" s="91">
        <v>0.1</v>
      </c>
      <c r="Q1976" s="91">
        <v>0.1</v>
      </c>
      <c r="R1976" s="91">
        <v>0.1</v>
      </c>
      <c r="S1976" s="91">
        <v>0.1</v>
      </c>
      <c r="T1976" s="91">
        <v>0.1</v>
      </c>
      <c r="U1976" s="91">
        <v>0.1</v>
      </c>
      <c r="V1976" s="91">
        <v>0.1</v>
      </c>
      <c r="W1976" s="91">
        <v>0.1</v>
      </c>
      <c r="X1976" s="91">
        <v>0.1</v>
      </c>
      <c r="Y1976" s="91">
        <v>0.1</v>
      </c>
      <c r="Z1976" s="91">
        <v>0.1</v>
      </c>
      <c r="AA1976" s="91">
        <v>0.1</v>
      </c>
      <c r="AB1976" s="91">
        <v>0.1</v>
      </c>
      <c r="AC1976" s="91">
        <v>0.1</v>
      </c>
      <c r="AD1976" s="91">
        <v>0.1</v>
      </c>
      <c r="AE1976" s="91">
        <v>0.1</v>
      </c>
      <c r="AF1976" s="91">
        <v>0.1</v>
      </c>
      <c r="AG1976" s="91">
        <v>0.1</v>
      </c>
      <c r="AH1976" s="91">
        <v>0.1</v>
      </c>
      <c r="AI1976" s="91">
        <v>0.1</v>
      </c>
      <c r="AJ1976" s="91">
        <v>0.1</v>
      </c>
      <c r="AK1976" s="91">
        <v>0.1</v>
      </c>
      <c r="AL1976" s="91">
        <v>0.1</v>
      </c>
      <c r="AM1976" s="91">
        <v>0.1</v>
      </c>
      <c r="AN1976" s="91">
        <v>0.1</v>
      </c>
      <c r="AO1976" s="91">
        <v>0.1</v>
      </c>
      <c r="AP1976" s="91">
        <v>0.1</v>
      </c>
      <c r="AQ1976" s="91">
        <v>0.1</v>
      </c>
      <c r="AR1976" s="91">
        <v>0.1</v>
      </c>
      <c r="AS1976" s="91">
        <v>0.1</v>
      </c>
      <c r="AT1976" s="91">
        <v>0.1</v>
      </c>
      <c r="AU1976" s="91">
        <v>0.1</v>
      </c>
      <c r="AV1976" s="91">
        <v>0.1</v>
      </c>
      <c r="AW1976" s="91">
        <v>0.1</v>
      </c>
      <c r="AX1976" s="92">
        <v>0.1</v>
      </c>
    </row>
    <row r="1977" spans="1:50" x14ac:dyDescent="0.25">
      <c r="A1977" s="356"/>
      <c r="B1977" s="359"/>
      <c r="C1977" s="350" t="s">
        <v>14</v>
      </c>
      <c r="D1977" s="2" t="s">
        <v>10</v>
      </c>
      <c r="E1977" s="164" t="str">
        <f>A1945&amp;"/"&amp;B1975&amp;"/"&amp;C1977&amp;"/"&amp;D1977</f>
        <v>Diesel oil fired power plants/Internal combustion engine/CHP/S</v>
      </c>
      <c r="F1977" s="78" t="str">
        <f>A1945</f>
        <v>Diesel oil fired power plants</v>
      </c>
      <c r="G1977" s="78" t="str">
        <f>B1975</f>
        <v>Internal combustion engine</v>
      </c>
      <c r="H1977" s="78" t="str">
        <f>C1977</f>
        <v>CHP</v>
      </c>
      <c r="I1977" s="165" t="str">
        <f t="shared" si="110"/>
        <v>S</v>
      </c>
      <c r="J1977" s="95">
        <v>100</v>
      </c>
      <c r="K1977" s="95">
        <v>100</v>
      </c>
      <c r="L1977" s="95">
        <v>100</v>
      </c>
      <c r="M1977" s="95">
        <v>100</v>
      </c>
      <c r="N1977" s="95">
        <v>100</v>
      </c>
      <c r="O1977" s="95">
        <v>100</v>
      </c>
      <c r="P1977" s="95">
        <v>100</v>
      </c>
      <c r="Q1977" s="95">
        <v>100</v>
      </c>
      <c r="R1977" s="95">
        <v>100</v>
      </c>
      <c r="S1977" s="95">
        <v>100</v>
      </c>
      <c r="T1977" s="95">
        <v>100</v>
      </c>
      <c r="U1977" s="95">
        <v>100</v>
      </c>
      <c r="V1977" s="95">
        <v>100</v>
      </c>
      <c r="W1977" s="95">
        <v>100</v>
      </c>
      <c r="X1977" s="95">
        <v>100</v>
      </c>
      <c r="Y1977" s="95">
        <v>100</v>
      </c>
      <c r="Z1977" s="95">
        <v>100</v>
      </c>
      <c r="AA1977" s="95">
        <v>100</v>
      </c>
      <c r="AB1977" s="95">
        <v>100</v>
      </c>
      <c r="AC1977" s="95">
        <v>100</v>
      </c>
      <c r="AD1977" s="95">
        <v>100</v>
      </c>
      <c r="AE1977" s="95">
        <v>100</v>
      </c>
      <c r="AF1977" s="95">
        <v>100</v>
      </c>
      <c r="AG1977" s="95">
        <v>100</v>
      </c>
      <c r="AH1977" s="95">
        <v>100</v>
      </c>
      <c r="AI1977" s="95">
        <v>100</v>
      </c>
      <c r="AJ1977" s="95">
        <v>100</v>
      </c>
      <c r="AK1977" s="95">
        <v>100</v>
      </c>
      <c r="AL1977" s="95">
        <v>100</v>
      </c>
      <c r="AM1977" s="95">
        <v>100</v>
      </c>
      <c r="AN1977" s="95">
        <v>100</v>
      </c>
      <c r="AO1977" s="95">
        <v>100</v>
      </c>
      <c r="AP1977" s="95">
        <v>100</v>
      </c>
      <c r="AQ1977" s="95">
        <v>100</v>
      </c>
      <c r="AR1977" s="95">
        <v>100</v>
      </c>
      <c r="AS1977" s="95">
        <v>100</v>
      </c>
      <c r="AT1977" s="95">
        <v>100</v>
      </c>
      <c r="AU1977" s="95">
        <v>100</v>
      </c>
      <c r="AV1977" s="95">
        <v>100</v>
      </c>
      <c r="AW1977" s="95">
        <v>100</v>
      </c>
      <c r="AX1977" s="96">
        <v>100</v>
      </c>
    </row>
    <row r="1978" spans="1:50" x14ac:dyDescent="0.25">
      <c r="A1978" s="357"/>
      <c r="B1978" s="362"/>
      <c r="C1978" s="354"/>
      <c r="D1978" s="4" t="s">
        <v>20</v>
      </c>
      <c r="E1978" s="168" t="str">
        <f>A1945&amp;"/"&amp;B1975&amp;"/"&amp;C1977&amp;"/"&amp;D1978</f>
        <v>Diesel oil fired power plants/Internal combustion engine/CHP/XS</v>
      </c>
      <c r="F1978" s="80" t="str">
        <f>A1945</f>
        <v>Diesel oil fired power plants</v>
      </c>
      <c r="G1978" s="80" t="str">
        <f>B1975</f>
        <v>Internal combustion engine</v>
      </c>
      <c r="H1978" s="80" t="str">
        <f>C1977</f>
        <v>CHP</v>
      </c>
      <c r="I1978" s="169" t="str">
        <f t="shared" si="110"/>
        <v>XS</v>
      </c>
      <c r="J1978" s="99">
        <v>0.2</v>
      </c>
      <c r="K1978" s="99">
        <v>0.2</v>
      </c>
      <c r="L1978" s="99">
        <v>0.2</v>
      </c>
      <c r="M1978" s="99">
        <v>0.2</v>
      </c>
      <c r="N1978" s="99">
        <v>0.2</v>
      </c>
      <c r="O1978" s="99">
        <v>0.2</v>
      </c>
      <c r="P1978" s="99">
        <v>0.2</v>
      </c>
      <c r="Q1978" s="99">
        <v>0.2</v>
      </c>
      <c r="R1978" s="99">
        <v>0.2</v>
      </c>
      <c r="S1978" s="99">
        <v>0.2</v>
      </c>
      <c r="T1978" s="99">
        <v>0.2</v>
      </c>
      <c r="U1978" s="99">
        <v>0.2</v>
      </c>
      <c r="V1978" s="99">
        <v>0.2</v>
      </c>
      <c r="W1978" s="99">
        <v>0.2</v>
      </c>
      <c r="X1978" s="99">
        <v>0.2</v>
      </c>
      <c r="Y1978" s="99">
        <v>0.2</v>
      </c>
      <c r="Z1978" s="99">
        <v>0.2</v>
      </c>
      <c r="AA1978" s="99">
        <v>0.2</v>
      </c>
      <c r="AB1978" s="99">
        <v>0.2</v>
      </c>
      <c r="AC1978" s="99">
        <v>0.2</v>
      </c>
      <c r="AD1978" s="99">
        <v>0.2</v>
      </c>
      <c r="AE1978" s="99">
        <v>0.2</v>
      </c>
      <c r="AF1978" s="99">
        <v>0.2</v>
      </c>
      <c r="AG1978" s="99">
        <v>0.2</v>
      </c>
      <c r="AH1978" s="99">
        <v>0.2</v>
      </c>
      <c r="AI1978" s="99">
        <v>0.2</v>
      </c>
      <c r="AJ1978" s="99">
        <v>0.2</v>
      </c>
      <c r="AK1978" s="99">
        <v>0.2</v>
      </c>
      <c r="AL1978" s="99">
        <v>0.2</v>
      </c>
      <c r="AM1978" s="99">
        <v>0.2</v>
      </c>
      <c r="AN1978" s="99">
        <v>0.2</v>
      </c>
      <c r="AO1978" s="99">
        <v>0.2</v>
      </c>
      <c r="AP1978" s="99">
        <v>0.2</v>
      </c>
      <c r="AQ1978" s="99">
        <v>0.2</v>
      </c>
      <c r="AR1978" s="99">
        <v>0.2</v>
      </c>
      <c r="AS1978" s="99">
        <v>0.2</v>
      </c>
      <c r="AT1978" s="99">
        <v>0.2</v>
      </c>
      <c r="AU1978" s="99">
        <v>0.2</v>
      </c>
      <c r="AV1978" s="99">
        <v>0.2</v>
      </c>
      <c r="AW1978" s="99">
        <v>0.2</v>
      </c>
      <c r="AX1978" s="100">
        <v>0.2</v>
      </c>
    </row>
    <row r="1979" spans="1:50" x14ac:dyDescent="0.25">
      <c r="A1979" s="355" t="s">
        <v>29</v>
      </c>
      <c r="B1979" s="358" t="s">
        <v>13</v>
      </c>
      <c r="C1979" s="353" t="s">
        <v>6</v>
      </c>
      <c r="D1979" s="3" t="s">
        <v>7</v>
      </c>
      <c r="E1979" s="162" t="str">
        <f>A1979&amp;"/"&amp;B1979&amp;"/"&amp;C1979&amp;"/"&amp;D1979</f>
        <v>Fuel oil fired power plants/Integrated gasification combined cycle/Electricity only/L</v>
      </c>
      <c r="F1979" s="77" t="str">
        <f>A1979</f>
        <v>Fuel oil fired power plants</v>
      </c>
      <c r="G1979" s="77" t="str">
        <f>B1979</f>
        <v>Integrated gasification combined cycle</v>
      </c>
      <c r="H1979" s="77" t="str">
        <f>C1979</f>
        <v>Electricity only</v>
      </c>
      <c r="I1979" s="163" t="str">
        <f t="shared" si="110"/>
        <v>L</v>
      </c>
      <c r="J1979" s="93">
        <v>6450</v>
      </c>
      <c r="K1979" s="93">
        <v>6450</v>
      </c>
      <c r="L1979" s="93">
        <v>6450</v>
      </c>
      <c r="M1979" s="93">
        <v>6450</v>
      </c>
      <c r="N1979" s="93">
        <v>6450</v>
      </c>
      <c r="O1979" s="93">
        <v>6450</v>
      </c>
      <c r="P1979" s="93">
        <v>6450</v>
      </c>
      <c r="Q1979" s="93">
        <v>6450</v>
      </c>
      <c r="R1979" s="93">
        <v>6450</v>
      </c>
      <c r="S1979" s="93">
        <v>6450</v>
      </c>
      <c r="T1979" s="93">
        <v>6450</v>
      </c>
      <c r="U1979" s="93">
        <v>6450</v>
      </c>
      <c r="V1979" s="93">
        <v>6450</v>
      </c>
      <c r="W1979" s="93">
        <v>6450</v>
      </c>
      <c r="X1979" s="93">
        <v>6450</v>
      </c>
      <c r="Y1979" s="93">
        <v>6450</v>
      </c>
      <c r="Z1979" s="93">
        <v>6450</v>
      </c>
      <c r="AA1979" s="93">
        <v>6450</v>
      </c>
      <c r="AB1979" s="93">
        <v>6450</v>
      </c>
      <c r="AC1979" s="93">
        <v>6450</v>
      </c>
      <c r="AD1979" s="93">
        <v>6450</v>
      </c>
      <c r="AE1979" s="93">
        <v>6450</v>
      </c>
      <c r="AF1979" s="93">
        <v>6450</v>
      </c>
      <c r="AG1979" s="93">
        <v>6450</v>
      </c>
      <c r="AH1979" s="93">
        <v>6450</v>
      </c>
      <c r="AI1979" s="93">
        <v>6450</v>
      </c>
      <c r="AJ1979" s="93">
        <v>6450</v>
      </c>
      <c r="AK1979" s="93">
        <v>6450</v>
      </c>
      <c r="AL1979" s="93">
        <v>6450</v>
      </c>
      <c r="AM1979" s="93">
        <v>6450</v>
      </c>
      <c r="AN1979" s="93">
        <v>6450</v>
      </c>
      <c r="AO1979" s="93">
        <v>6450</v>
      </c>
      <c r="AP1979" s="93">
        <v>6450</v>
      </c>
      <c r="AQ1979" s="93">
        <v>6450</v>
      </c>
      <c r="AR1979" s="93">
        <v>6450</v>
      </c>
      <c r="AS1979" s="93">
        <v>6450</v>
      </c>
      <c r="AT1979" s="93">
        <v>6450</v>
      </c>
      <c r="AU1979" s="93">
        <v>6450</v>
      </c>
      <c r="AV1979" s="93">
        <v>6450</v>
      </c>
      <c r="AW1979" s="93">
        <v>6450</v>
      </c>
      <c r="AX1979" s="94">
        <v>6450</v>
      </c>
    </row>
    <row r="1980" spans="1:50" x14ac:dyDescent="0.25">
      <c r="A1980" s="356"/>
      <c r="B1980" s="359"/>
      <c r="C1980" s="360"/>
      <c r="D1980" s="2" t="s">
        <v>8</v>
      </c>
      <c r="E1980" s="160" t="str">
        <f>A1979&amp;"/"&amp;B1979&amp;"/"&amp;C1979&amp;"/"&amp;D1980</f>
        <v>Fuel oil fired power plants/Integrated gasification combined cycle/Electricity only/M</v>
      </c>
      <c r="F1980" s="76" t="str">
        <f>A1979</f>
        <v>Fuel oil fired power plants</v>
      </c>
      <c r="G1980" s="76" t="str">
        <f>B1979</f>
        <v>Integrated gasification combined cycle</v>
      </c>
      <c r="H1980" s="76" t="str">
        <f>C1979</f>
        <v>Electricity only</v>
      </c>
      <c r="I1980" s="161" t="str">
        <f t="shared" si="110"/>
        <v>M</v>
      </c>
      <c r="J1980" s="91">
        <v>4386</v>
      </c>
      <c r="K1980" s="91">
        <v>4386</v>
      </c>
      <c r="L1980" s="91">
        <v>4386</v>
      </c>
      <c r="M1980" s="91">
        <v>4386</v>
      </c>
      <c r="N1980" s="91">
        <v>4386</v>
      </c>
      <c r="O1980" s="91">
        <v>4386</v>
      </c>
      <c r="P1980" s="91">
        <v>4386</v>
      </c>
      <c r="Q1980" s="91">
        <v>4386</v>
      </c>
      <c r="R1980" s="91">
        <v>4386</v>
      </c>
      <c r="S1980" s="91">
        <v>4386</v>
      </c>
      <c r="T1980" s="91">
        <v>4386</v>
      </c>
      <c r="U1980" s="91">
        <v>4386</v>
      </c>
      <c r="V1980" s="91">
        <v>4386</v>
      </c>
      <c r="W1980" s="91">
        <v>4386</v>
      </c>
      <c r="X1980" s="91">
        <v>4386</v>
      </c>
      <c r="Y1980" s="91">
        <v>4386</v>
      </c>
      <c r="Z1980" s="91">
        <v>4386</v>
      </c>
      <c r="AA1980" s="91">
        <v>4386</v>
      </c>
      <c r="AB1980" s="91">
        <v>4386</v>
      </c>
      <c r="AC1980" s="91">
        <v>4386</v>
      </c>
      <c r="AD1980" s="91">
        <v>4386</v>
      </c>
      <c r="AE1980" s="91">
        <v>4386</v>
      </c>
      <c r="AF1980" s="91">
        <v>4386</v>
      </c>
      <c r="AG1980" s="91">
        <v>4386</v>
      </c>
      <c r="AH1980" s="91">
        <v>4386</v>
      </c>
      <c r="AI1980" s="91">
        <v>4386</v>
      </c>
      <c r="AJ1980" s="91">
        <v>4386</v>
      </c>
      <c r="AK1980" s="91">
        <v>4386</v>
      </c>
      <c r="AL1980" s="91">
        <v>4386</v>
      </c>
      <c r="AM1980" s="91">
        <v>4386</v>
      </c>
      <c r="AN1980" s="91">
        <v>4386</v>
      </c>
      <c r="AO1980" s="91">
        <v>4386</v>
      </c>
      <c r="AP1980" s="91">
        <v>4386</v>
      </c>
      <c r="AQ1980" s="91">
        <v>4386</v>
      </c>
      <c r="AR1980" s="91">
        <v>4386</v>
      </c>
      <c r="AS1980" s="91">
        <v>4386</v>
      </c>
      <c r="AT1980" s="91">
        <v>4386</v>
      </c>
      <c r="AU1980" s="91">
        <v>4386</v>
      </c>
      <c r="AV1980" s="91">
        <v>4386</v>
      </c>
      <c r="AW1980" s="91">
        <v>4386</v>
      </c>
      <c r="AX1980" s="92">
        <v>4386</v>
      </c>
    </row>
    <row r="1981" spans="1:50" x14ac:dyDescent="0.25">
      <c r="A1981" s="356"/>
      <c r="B1981" s="359"/>
      <c r="C1981" s="361" t="s">
        <v>14</v>
      </c>
      <c r="D1981" s="58" t="s">
        <v>7</v>
      </c>
      <c r="E1981" s="164" t="str">
        <f>A1979&amp;"/"&amp;B1979&amp;"/"&amp;C1981&amp;"/"&amp;D1981</f>
        <v>Fuel oil fired power plants/Integrated gasification combined cycle/CHP/L</v>
      </c>
      <c r="F1981" s="78" t="str">
        <f>A1979</f>
        <v>Fuel oil fired power plants</v>
      </c>
      <c r="G1981" s="78" t="str">
        <f>B1979</f>
        <v>Integrated gasification combined cycle</v>
      </c>
      <c r="H1981" s="78" t="str">
        <f>C1981</f>
        <v>CHP</v>
      </c>
      <c r="I1981" s="165" t="str">
        <f t="shared" si="110"/>
        <v>L</v>
      </c>
      <c r="J1981" s="95">
        <v>5160</v>
      </c>
      <c r="K1981" s="95">
        <v>5160</v>
      </c>
      <c r="L1981" s="95">
        <v>5160</v>
      </c>
      <c r="M1981" s="95">
        <v>5160</v>
      </c>
      <c r="N1981" s="95">
        <v>5160</v>
      </c>
      <c r="O1981" s="95">
        <v>5160</v>
      </c>
      <c r="P1981" s="95">
        <v>5160</v>
      </c>
      <c r="Q1981" s="95">
        <v>5160</v>
      </c>
      <c r="R1981" s="95">
        <v>5160</v>
      </c>
      <c r="S1981" s="95">
        <v>5160</v>
      </c>
      <c r="T1981" s="95">
        <v>5160</v>
      </c>
      <c r="U1981" s="95">
        <v>5160</v>
      </c>
      <c r="V1981" s="95">
        <v>5160</v>
      </c>
      <c r="W1981" s="95">
        <v>5160</v>
      </c>
      <c r="X1981" s="95">
        <v>5160</v>
      </c>
      <c r="Y1981" s="95">
        <v>5160</v>
      </c>
      <c r="Z1981" s="95">
        <v>5160</v>
      </c>
      <c r="AA1981" s="95">
        <v>5160</v>
      </c>
      <c r="AB1981" s="95">
        <v>5160</v>
      </c>
      <c r="AC1981" s="95">
        <v>5160</v>
      </c>
      <c r="AD1981" s="95">
        <v>5160</v>
      </c>
      <c r="AE1981" s="95">
        <v>5160</v>
      </c>
      <c r="AF1981" s="95">
        <v>5160</v>
      </c>
      <c r="AG1981" s="95">
        <v>5160</v>
      </c>
      <c r="AH1981" s="95">
        <v>5160</v>
      </c>
      <c r="AI1981" s="95">
        <v>5160</v>
      </c>
      <c r="AJ1981" s="95">
        <v>5160</v>
      </c>
      <c r="AK1981" s="95">
        <v>5160</v>
      </c>
      <c r="AL1981" s="95">
        <v>5160</v>
      </c>
      <c r="AM1981" s="95">
        <v>5160</v>
      </c>
      <c r="AN1981" s="95">
        <v>5160</v>
      </c>
      <c r="AO1981" s="95">
        <v>5160</v>
      </c>
      <c r="AP1981" s="95">
        <v>5160</v>
      </c>
      <c r="AQ1981" s="95">
        <v>5160</v>
      </c>
      <c r="AR1981" s="95">
        <v>5160</v>
      </c>
      <c r="AS1981" s="95">
        <v>5160</v>
      </c>
      <c r="AT1981" s="95">
        <v>5160</v>
      </c>
      <c r="AU1981" s="95">
        <v>5160</v>
      </c>
      <c r="AV1981" s="95">
        <v>5160</v>
      </c>
      <c r="AW1981" s="95">
        <v>5160</v>
      </c>
      <c r="AX1981" s="96">
        <v>5160</v>
      </c>
    </row>
    <row r="1982" spans="1:50" x14ac:dyDescent="0.25">
      <c r="A1982" s="356"/>
      <c r="B1982" s="359"/>
      <c r="C1982" s="360"/>
      <c r="D1982" s="59" t="s">
        <v>8</v>
      </c>
      <c r="E1982" s="166" t="str">
        <f>A1979&amp;"/"&amp;B1979&amp;"/"&amp;C1981&amp;"/"&amp;D1982</f>
        <v>Fuel oil fired power plants/Integrated gasification combined cycle/CHP/M</v>
      </c>
      <c r="F1982" s="79" t="str">
        <f>A1979</f>
        <v>Fuel oil fired power plants</v>
      </c>
      <c r="G1982" s="79" t="str">
        <f>B1979</f>
        <v>Integrated gasification combined cycle</v>
      </c>
      <c r="H1982" s="79" t="str">
        <f>C1981</f>
        <v>CHP</v>
      </c>
      <c r="I1982" s="167" t="str">
        <f t="shared" si="110"/>
        <v>M</v>
      </c>
      <c r="J1982" s="97">
        <v>3096</v>
      </c>
      <c r="K1982" s="97">
        <v>3096</v>
      </c>
      <c r="L1982" s="97">
        <v>3096</v>
      </c>
      <c r="M1982" s="97">
        <v>3096</v>
      </c>
      <c r="N1982" s="97">
        <v>3096</v>
      </c>
      <c r="O1982" s="97">
        <v>3096</v>
      </c>
      <c r="P1982" s="97">
        <v>3096</v>
      </c>
      <c r="Q1982" s="97">
        <v>3096</v>
      </c>
      <c r="R1982" s="97">
        <v>3096</v>
      </c>
      <c r="S1982" s="97">
        <v>3096</v>
      </c>
      <c r="T1982" s="97">
        <v>3096</v>
      </c>
      <c r="U1982" s="97">
        <v>3096</v>
      </c>
      <c r="V1982" s="97">
        <v>3096</v>
      </c>
      <c r="W1982" s="97">
        <v>3096</v>
      </c>
      <c r="X1982" s="97">
        <v>3096</v>
      </c>
      <c r="Y1982" s="97">
        <v>3096</v>
      </c>
      <c r="Z1982" s="97">
        <v>3096</v>
      </c>
      <c r="AA1982" s="97">
        <v>3096</v>
      </c>
      <c r="AB1982" s="97">
        <v>3096</v>
      </c>
      <c r="AC1982" s="97">
        <v>3096</v>
      </c>
      <c r="AD1982" s="97">
        <v>3096</v>
      </c>
      <c r="AE1982" s="97">
        <v>3096</v>
      </c>
      <c r="AF1982" s="97">
        <v>3096</v>
      </c>
      <c r="AG1982" s="97">
        <v>3096</v>
      </c>
      <c r="AH1982" s="97">
        <v>3096</v>
      </c>
      <c r="AI1982" s="97">
        <v>3096</v>
      </c>
      <c r="AJ1982" s="97">
        <v>3096</v>
      </c>
      <c r="AK1982" s="97">
        <v>3096</v>
      </c>
      <c r="AL1982" s="97">
        <v>3096</v>
      </c>
      <c r="AM1982" s="97">
        <v>3096</v>
      </c>
      <c r="AN1982" s="97">
        <v>3096</v>
      </c>
      <c r="AO1982" s="97">
        <v>3096</v>
      </c>
      <c r="AP1982" s="97">
        <v>3096</v>
      </c>
      <c r="AQ1982" s="97">
        <v>3096</v>
      </c>
      <c r="AR1982" s="97">
        <v>3096</v>
      </c>
      <c r="AS1982" s="97">
        <v>3096</v>
      </c>
      <c r="AT1982" s="97">
        <v>3096</v>
      </c>
      <c r="AU1982" s="97">
        <v>3096</v>
      </c>
      <c r="AV1982" s="97">
        <v>3096</v>
      </c>
      <c r="AW1982" s="97">
        <v>3096</v>
      </c>
      <c r="AX1982" s="98">
        <v>3096</v>
      </c>
    </row>
    <row r="1983" spans="1:50" x14ac:dyDescent="0.25">
      <c r="A1983" s="356"/>
      <c r="B1983" s="359"/>
      <c r="C1983" s="361" t="s">
        <v>15</v>
      </c>
      <c r="D1983" s="58" t="s">
        <v>7</v>
      </c>
      <c r="E1983" s="164" t="str">
        <f>A1979&amp;"/"&amp;B1979&amp;"/"&amp;C1983&amp;"/"&amp;D1983</f>
        <v>Fuel oil fired power plants/Integrated gasification combined cycle/Electricity only with CCS/L</v>
      </c>
      <c r="F1983" s="78" t="str">
        <f>A1979</f>
        <v>Fuel oil fired power plants</v>
      </c>
      <c r="G1983" s="78" t="str">
        <f>B1979</f>
        <v>Integrated gasification combined cycle</v>
      </c>
      <c r="H1983" s="78" t="str">
        <f>C1983</f>
        <v>Electricity only with CCS</v>
      </c>
      <c r="I1983" s="165" t="str">
        <f t="shared" si="110"/>
        <v>L</v>
      </c>
      <c r="J1983" s="95" t="s">
        <v>112</v>
      </c>
      <c r="K1983" s="95" t="s">
        <v>112</v>
      </c>
      <c r="L1983" s="95" t="s">
        <v>112</v>
      </c>
      <c r="M1983" s="95" t="s">
        <v>112</v>
      </c>
      <c r="N1983" s="95" t="s">
        <v>112</v>
      </c>
      <c r="O1983" s="95" t="s">
        <v>112</v>
      </c>
      <c r="P1983" s="95" t="s">
        <v>112</v>
      </c>
      <c r="Q1983" s="95" t="s">
        <v>112</v>
      </c>
      <c r="R1983" s="95" t="s">
        <v>112</v>
      </c>
      <c r="S1983" s="95" t="s">
        <v>112</v>
      </c>
      <c r="T1983" s="95" t="s">
        <v>112</v>
      </c>
      <c r="U1983" s="95" t="s">
        <v>112</v>
      </c>
      <c r="V1983" s="95" t="s">
        <v>112</v>
      </c>
      <c r="W1983" s="95" t="s">
        <v>112</v>
      </c>
      <c r="X1983" s="95" t="s">
        <v>112</v>
      </c>
      <c r="Y1983" s="95" t="s">
        <v>112</v>
      </c>
      <c r="Z1983" s="95" t="s">
        <v>112</v>
      </c>
      <c r="AA1983" s="95" t="s">
        <v>112</v>
      </c>
      <c r="AB1983" s="95" t="s">
        <v>112</v>
      </c>
      <c r="AC1983" s="95" t="s">
        <v>112</v>
      </c>
      <c r="AD1983" s="95" t="s">
        <v>112</v>
      </c>
      <c r="AE1983" s="95">
        <v>6450</v>
      </c>
      <c r="AF1983" s="95">
        <v>6450</v>
      </c>
      <c r="AG1983" s="95">
        <v>6450</v>
      </c>
      <c r="AH1983" s="95">
        <v>6450</v>
      </c>
      <c r="AI1983" s="95">
        <v>6450</v>
      </c>
      <c r="AJ1983" s="95">
        <v>6450</v>
      </c>
      <c r="AK1983" s="95">
        <v>6450</v>
      </c>
      <c r="AL1983" s="95">
        <v>6450</v>
      </c>
      <c r="AM1983" s="95">
        <v>6450</v>
      </c>
      <c r="AN1983" s="95">
        <v>6450</v>
      </c>
      <c r="AO1983" s="95">
        <v>6450</v>
      </c>
      <c r="AP1983" s="95">
        <v>6450</v>
      </c>
      <c r="AQ1983" s="95">
        <v>6450</v>
      </c>
      <c r="AR1983" s="95">
        <v>6450</v>
      </c>
      <c r="AS1983" s="95">
        <v>6450</v>
      </c>
      <c r="AT1983" s="95">
        <v>6450</v>
      </c>
      <c r="AU1983" s="95">
        <v>6450</v>
      </c>
      <c r="AV1983" s="95">
        <v>6450</v>
      </c>
      <c r="AW1983" s="95">
        <v>6450</v>
      </c>
      <c r="AX1983" s="96">
        <v>6450</v>
      </c>
    </row>
    <row r="1984" spans="1:50" x14ac:dyDescent="0.25">
      <c r="A1984" s="356"/>
      <c r="B1984" s="359"/>
      <c r="C1984" s="360"/>
      <c r="D1984" s="59" t="s">
        <v>8</v>
      </c>
      <c r="E1984" s="166" t="str">
        <f>A1979&amp;"/"&amp;B1979&amp;"/"&amp;C1983&amp;"/"&amp;D1984</f>
        <v>Fuel oil fired power plants/Integrated gasification combined cycle/Electricity only with CCS/M</v>
      </c>
      <c r="F1984" s="79" t="str">
        <f>A1979</f>
        <v>Fuel oil fired power plants</v>
      </c>
      <c r="G1984" s="79" t="str">
        <f>B1979</f>
        <v>Integrated gasification combined cycle</v>
      </c>
      <c r="H1984" s="79" t="str">
        <f>C1983</f>
        <v>Electricity only with CCS</v>
      </c>
      <c r="I1984" s="167" t="str">
        <f t="shared" si="110"/>
        <v>M</v>
      </c>
      <c r="J1984" s="97" t="s">
        <v>112</v>
      </c>
      <c r="K1984" s="97" t="s">
        <v>112</v>
      </c>
      <c r="L1984" s="97" t="s">
        <v>112</v>
      </c>
      <c r="M1984" s="97" t="s">
        <v>112</v>
      </c>
      <c r="N1984" s="97" t="s">
        <v>112</v>
      </c>
      <c r="O1984" s="97" t="s">
        <v>112</v>
      </c>
      <c r="P1984" s="97" t="s">
        <v>112</v>
      </c>
      <c r="Q1984" s="97" t="s">
        <v>112</v>
      </c>
      <c r="R1984" s="97" t="s">
        <v>112</v>
      </c>
      <c r="S1984" s="97" t="s">
        <v>112</v>
      </c>
      <c r="T1984" s="97" t="s">
        <v>112</v>
      </c>
      <c r="U1984" s="97" t="s">
        <v>112</v>
      </c>
      <c r="V1984" s="97" t="s">
        <v>112</v>
      </c>
      <c r="W1984" s="97" t="s">
        <v>112</v>
      </c>
      <c r="X1984" s="97" t="s">
        <v>112</v>
      </c>
      <c r="Y1984" s="97" t="s">
        <v>112</v>
      </c>
      <c r="Z1984" s="97" t="s">
        <v>112</v>
      </c>
      <c r="AA1984" s="97" t="s">
        <v>112</v>
      </c>
      <c r="AB1984" s="97" t="s">
        <v>112</v>
      </c>
      <c r="AC1984" s="97" t="s">
        <v>112</v>
      </c>
      <c r="AD1984" s="97" t="s">
        <v>112</v>
      </c>
      <c r="AE1984" s="97">
        <v>4386</v>
      </c>
      <c r="AF1984" s="97">
        <v>4386</v>
      </c>
      <c r="AG1984" s="97">
        <v>4386</v>
      </c>
      <c r="AH1984" s="97">
        <v>4386</v>
      </c>
      <c r="AI1984" s="97">
        <v>4386</v>
      </c>
      <c r="AJ1984" s="97">
        <v>4386</v>
      </c>
      <c r="AK1984" s="97">
        <v>4386</v>
      </c>
      <c r="AL1984" s="97">
        <v>4386</v>
      </c>
      <c r="AM1984" s="97">
        <v>4386</v>
      </c>
      <c r="AN1984" s="97">
        <v>4386</v>
      </c>
      <c r="AO1984" s="97">
        <v>4386</v>
      </c>
      <c r="AP1984" s="97">
        <v>4386</v>
      </c>
      <c r="AQ1984" s="97">
        <v>4386</v>
      </c>
      <c r="AR1984" s="97">
        <v>4386</v>
      </c>
      <c r="AS1984" s="97">
        <v>4386</v>
      </c>
      <c r="AT1984" s="97">
        <v>4386</v>
      </c>
      <c r="AU1984" s="97">
        <v>4386</v>
      </c>
      <c r="AV1984" s="97">
        <v>4386</v>
      </c>
      <c r="AW1984" s="97">
        <v>4386</v>
      </c>
      <c r="AX1984" s="98">
        <v>4386</v>
      </c>
    </row>
    <row r="1985" spans="1:50" x14ac:dyDescent="0.25">
      <c r="A1985" s="356"/>
      <c r="B1985" s="359"/>
      <c r="C1985" s="361" t="s">
        <v>16</v>
      </c>
      <c r="D1985" s="2" t="s">
        <v>7</v>
      </c>
      <c r="E1985" s="160" t="str">
        <f>A1979&amp;"/"&amp;B1979&amp;"/"&amp;C1985&amp;"/"&amp;D1985</f>
        <v>Fuel oil fired power plants/Integrated gasification combined cycle/CHP with CCS/L</v>
      </c>
      <c r="F1985" s="76" t="str">
        <f>A1979</f>
        <v>Fuel oil fired power plants</v>
      </c>
      <c r="G1985" s="76" t="str">
        <f>B1979</f>
        <v>Integrated gasification combined cycle</v>
      </c>
      <c r="H1985" s="76" t="str">
        <f>C1985</f>
        <v>CHP with CCS</v>
      </c>
      <c r="I1985" s="161" t="str">
        <f t="shared" si="110"/>
        <v>L</v>
      </c>
      <c r="J1985" s="91" t="s">
        <v>112</v>
      </c>
      <c r="K1985" s="91" t="s">
        <v>112</v>
      </c>
      <c r="L1985" s="91" t="s">
        <v>112</v>
      </c>
      <c r="M1985" s="91" t="s">
        <v>112</v>
      </c>
      <c r="N1985" s="91" t="s">
        <v>112</v>
      </c>
      <c r="O1985" s="91" t="s">
        <v>112</v>
      </c>
      <c r="P1985" s="91" t="s">
        <v>112</v>
      </c>
      <c r="Q1985" s="91" t="s">
        <v>112</v>
      </c>
      <c r="R1985" s="91" t="s">
        <v>112</v>
      </c>
      <c r="S1985" s="91" t="s">
        <v>112</v>
      </c>
      <c r="T1985" s="91" t="s">
        <v>112</v>
      </c>
      <c r="U1985" s="91" t="s">
        <v>112</v>
      </c>
      <c r="V1985" s="91" t="s">
        <v>112</v>
      </c>
      <c r="W1985" s="91" t="s">
        <v>112</v>
      </c>
      <c r="X1985" s="91" t="s">
        <v>112</v>
      </c>
      <c r="Y1985" s="91" t="s">
        <v>112</v>
      </c>
      <c r="Z1985" s="91" t="s">
        <v>112</v>
      </c>
      <c r="AA1985" s="91" t="s">
        <v>112</v>
      </c>
      <c r="AB1985" s="91" t="s">
        <v>112</v>
      </c>
      <c r="AC1985" s="91" t="s">
        <v>112</v>
      </c>
      <c r="AD1985" s="91" t="s">
        <v>112</v>
      </c>
      <c r="AE1985" s="91">
        <v>5160</v>
      </c>
      <c r="AF1985" s="91">
        <v>5160</v>
      </c>
      <c r="AG1985" s="91">
        <v>5160</v>
      </c>
      <c r="AH1985" s="91">
        <v>5160</v>
      </c>
      <c r="AI1985" s="91">
        <v>5160</v>
      </c>
      <c r="AJ1985" s="91">
        <v>5160</v>
      </c>
      <c r="AK1985" s="91">
        <v>5160</v>
      </c>
      <c r="AL1985" s="91">
        <v>5160</v>
      </c>
      <c r="AM1985" s="91">
        <v>5160</v>
      </c>
      <c r="AN1985" s="91">
        <v>5160</v>
      </c>
      <c r="AO1985" s="91">
        <v>5160</v>
      </c>
      <c r="AP1985" s="91">
        <v>5160</v>
      </c>
      <c r="AQ1985" s="91">
        <v>5160</v>
      </c>
      <c r="AR1985" s="91">
        <v>5160</v>
      </c>
      <c r="AS1985" s="91">
        <v>5160</v>
      </c>
      <c r="AT1985" s="91">
        <v>5160</v>
      </c>
      <c r="AU1985" s="91">
        <v>5160</v>
      </c>
      <c r="AV1985" s="91">
        <v>5160</v>
      </c>
      <c r="AW1985" s="91">
        <v>5160</v>
      </c>
      <c r="AX1985" s="92">
        <v>5160</v>
      </c>
    </row>
    <row r="1986" spans="1:50" x14ac:dyDescent="0.25">
      <c r="A1986" s="356"/>
      <c r="B1986" s="362"/>
      <c r="C1986" s="354"/>
      <c r="D1986" s="4" t="s">
        <v>8</v>
      </c>
      <c r="E1986" s="168" t="str">
        <f>A1979&amp;"/"&amp;B1979&amp;"/"&amp;C1985&amp;"/"&amp;D1986</f>
        <v>Fuel oil fired power plants/Integrated gasification combined cycle/CHP with CCS/M</v>
      </c>
      <c r="F1986" s="80" t="str">
        <f>A1979</f>
        <v>Fuel oil fired power plants</v>
      </c>
      <c r="G1986" s="80" t="str">
        <f>B1979</f>
        <v>Integrated gasification combined cycle</v>
      </c>
      <c r="H1986" s="80" t="str">
        <f>C1985</f>
        <v>CHP with CCS</v>
      </c>
      <c r="I1986" s="169" t="str">
        <f t="shared" si="110"/>
        <v>M</v>
      </c>
      <c r="J1986" s="99" t="s">
        <v>112</v>
      </c>
      <c r="K1986" s="99" t="s">
        <v>112</v>
      </c>
      <c r="L1986" s="99" t="s">
        <v>112</v>
      </c>
      <c r="M1986" s="99" t="s">
        <v>112</v>
      </c>
      <c r="N1986" s="99" t="s">
        <v>112</v>
      </c>
      <c r="O1986" s="99" t="s">
        <v>112</v>
      </c>
      <c r="P1986" s="99" t="s">
        <v>112</v>
      </c>
      <c r="Q1986" s="99" t="s">
        <v>112</v>
      </c>
      <c r="R1986" s="99" t="s">
        <v>112</v>
      </c>
      <c r="S1986" s="99" t="s">
        <v>112</v>
      </c>
      <c r="T1986" s="99" t="s">
        <v>112</v>
      </c>
      <c r="U1986" s="99" t="s">
        <v>112</v>
      </c>
      <c r="V1986" s="99" t="s">
        <v>112</v>
      </c>
      <c r="W1986" s="99" t="s">
        <v>112</v>
      </c>
      <c r="X1986" s="99" t="s">
        <v>112</v>
      </c>
      <c r="Y1986" s="99" t="s">
        <v>112</v>
      </c>
      <c r="Z1986" s="99" t="s">
        <v>112</v>
      </c>
      <c r="AA1986" s="99" t="s">
        <v>112</v>
      </c>
      <c r="AB1986" s="99" t="s">
        <v>112</v>
      </c>
      <c r="AC1986" s="99" t="s">
        <v>112</v>
      </c>
      <c r="AD1986" s="99" t="s">
        <v>112</v>
      </c>
      <c r="AE1986" s="99">
        <v>3096</v>
      </c>
      <c r="AF1986" s="99">
        <v>3096</v>
      </c>
      <c r="AG1986" s="99">
        <v>3096</v>
      </c>
      <c r="AH1986" s="99">
        <v>3096</v>
      </c>
      <c r="AI1986" s="99">
        <v>3096</v>
      </c>
      <c r="AJ1986" s="99">
        <v>3096</v>
      </c>
      <c r="AK1986" s="99">
        <v>3096</v>
      </c>
      <c r="AL1986" s="99">
        <v>3096</v>
      </c>
      <c r="AM1986" s="99">
        <v>3096</v>
      </c>
      <c r="AN1986" s="99">
        <v>3096</v>
      </c>
      <c r="AO1986" s="99">
        <v>3096</v>
      </c>
      <c r="AP1986" s="99">
        <v>3096</v>
      </c>
      <c r="AQ1986" s="99">
        <v>3096</v>
      </c>
      <c r="AR1986" s="99">
        <v>3096</v>
      </c>
      <c r="AS1986" s="99">
        <v>3096</v>
      </c>
      <c r="AT1986" s="99">
        <v>3096</v>
      </c>
      <c r="AU1986" s="99">
        <v>3096</v>
      </c>
      <c r="AV1986" s="99">
        <v>3096</v>
      </c>
      <c r="AW1986" s="99">
        <v>3096</v>
      </c>
      <c r="AX1986" s="100">
        <v>3096</v>
      </c>
    </row>
    <row r="1987" spans="1:50" x14ac:dyDescent="0.25">
      <c r="A1987" s="356"/>
      <c r="B1987" s="358" t="s">
        <v>17</v>
      </c>
      <c r="C1987" s="353" t="s">
        <v>6</v>
      </c>
      <c r="D1987" s="3" t="s">
        <v>7</v>
      </c>
      <c r="E1987" s="162" t="str">
        <f>A1979&amp;"/"&amp;B1987&amp;"/"&amp;C1987&amp;"/"&amp;D1987</f>
        <v>Fuel oil fired power plants/Supercritical steam turbine/Electricity only/L</v>
      </c>
      <c r="F1987" s="77" t="str">
        <f>A1979</f>
        <v>Fuel oil fired power plants</v>
      </c>
      <c r="G1987" s="77" t="str">
        <f>B1987</f>
        <v>Supercritical steam turbine</v>
      </c>
      <c r="H1987" s="77" t="str">
        <f>C1987</f>
        <v>Electricity only</v>
      </c>
      <c r="I1987" s="163" t="str">
        <f t="shared" si="110"/>
        <v>L</v>
      </c>
      <c r="J1987" s="93">
        <v>6600</v>
      </c>
      <c r="K1987" s="93">
        <v>6600</v>
      </c>
      <c r="L1987" s="93">
        <v>6600</v>
      </c>
      <c r="M1987" s="93">
        <v>6600</v>
      </c>
      <c r="N1987" s="93">
        <v>6600</v>
      </c>
      <c r="O1987" s="93">
        <v>6600</v>
      </c>
      <c r="P1987" s="93">
        <v>6600</v>
      </c>
      <c r="Q1987" s="93">
        <v>6600</v>
      </c>
      <c r="R1987" s="93">
        <v>6600</v>
      </c>
      <c r="S1987" s="93">
        <v>6600</v>
      </c>
      <c r="T1987" s="93">
        <v>6600</v>
      </c>
      <c r="U1987" s="93">
        <v>6600</v>
      </c>
      <c r="V1987" s="93">
        <v>6600</v>
      </c>
      <c r="W1987" s="93">
        <v>6600</v>
      </c>
      <c r="X1987" s="93">
        <v>6600</v>
      </c>
      <c r="Y1987" s="93">
        <v>6600</v>
      </c>
      <c r="Z1987" s="93">
        <v>6600</v>
      </c>
      <c r="AA1987" s="93">
        <v>6600</v>
      </c>
      <c r="AB1987" s="93">
        <v>6600</v>
      </c>
      <c r="AC1987" s="93">
        <v>6600</v>
      </c>
      <c r="AD1987" s="93">
        <v>6600</v>
      </c>
      <c r="AE1987" s="93">
        <v>6600</v>
      </c>
      <c r="AF1987" s="93">
        <v>6600</v>
      </c>
      <c r="AG1987" s="93">
        <v>6600</v>
      </c>
      <c r="AH1987" s="93">
        <v>6600</v>
      </c>
      <c r="AI1987" s="93">
        <v>6600</v>
      </c>
      <c r="AJ1987" s="93">
        <v>6600</v>
      </c>
      <c r="AK1987" s="93">
        <v>6600</v>
      </c>
      <c r="AL1987" s="93">
        <v>6600</v>
      </c>
      <c r="AM1987" s="93">
        <v>6600</v>
      </c>
      <c r="AN1987" s="93">
        <v>6600</v>
      </c>
      <c r="AO1987" s="93">
        <v>6600</v>
      </c>
      <c r="AP1987" s="93">
        <v>6600</v>
      </c>
      <c r="AQ1987" s="93">
        <v>6600</v>
      </c>
      <c r="AR1987" s="93">
        <v>6600</v>
      </c>
      <c r="AS1987" s="93">
        <v>6600</v>
      </c>
      <c r="AT1987" s="93">
        <v>6600</v>
      </c>
      <c r="AU1987" s="93">
        <v>6600</v>
      </c>
      <c r="AV1987" s="93">
        <v>6600</v>
      </c>
      <c r="AW1987" s="93">
        <v>6600</v>
      </c>
      <c r="AX1987" s="94">
        <v>6600</v>
      </c>
    </row>
    <row r="1988" spans="1:50" x14ac:dyDescent="0.25">
      <c r="A1988" s="356"/>
      <c r="B1988" s="359"/>
      <c r="C1988" s="360"/>
      <c r="D1988" s="2" t="s">
        <v>8</v>
      </c>
      <c r="E1988" s="160" t="str">
        <f>A1979&amp;"/"&amp;B1987&amp;"/"&amp;C1987&amp;"/"&amp;D1988</f>
        <v>Fuel oil fired power plants/Supercritical steam turbine/Electricity only/M</v>
      </c>
      <c r="F1988" s="76" t="str">
        <f>A1979</f>
        <v>Fuel oil fired power plants</v>
      </c>
      <c r="G1988" s="76" t="str">
        <f>B1987</f>
        <v>Supercritical steam turbine</v>
      </c>
      <c r="H1988" s="76" t="str">
        <f>C1987</f>
        <v>Electricity only</v>
      </c>
      <c r="I1988" s="161" t="str">
        <f t="shared" si="110"/>
        <v>M</v>
      </c>
      <c r="J1988" s="91">
        <v>4752</v>
      </c>
      <c r="K1988" s="91">
        <v>4752</v>
      </c>
      <c r="L1988" s="91">
        <v>4752</v>
      </c>
      <c r="M1988" s="91">
        <v>4752</v>
      </c>
      <c r="N1988" s="91">
        <v>4752</v>
      </c>
      <c r="O1988" s="91">
        <v>4752</v>
      </c>
      <c r="P1988" s="91">
        <v>4752</v>
      </c>
      <c r="Q1988" s="91">
        <v>4752</v>
      </c>
      <c r="R1988" s="91">
        <v>4752</v>
      </c>
      <c r="S1988" s="91">
        <v>4752</v>
      </c>
      <c r="T1988" s="91">
        <v>4752</v>
      </c>
      <c r="U1988" s="91">
        <v>4752</v>
      </c>
      <c r="V1988" s="91">
        <v>4752</v>
      </c>
      <c r="W1988" s="91">
        <v>4752</v>
      </c>
      <c r="X1988" s="91">
        <v>4752</v>
      </c>
      <c r="Y1988" s="91">
        <v>4752</v>
      </c>
      <c r="Z1988" s="91">
        <v>4752</v>
      </c>
      <c r="AA1988" s="91">
        <v>4752</v>
      </c>
      <c r="AB1988" s="91">
        <v>4752</v>
      </c>
      <c r="AC1988" s="91">
        <v>4752</v>
      </c>
      <c r="AD1988" s="91">
        <v>4752</v>
      </c>
      <c r="AE1988" s="91">
        <v>4752</v>
      </c>
      <c r="AF1988" s="91">
        <v>4752</v>
      </c>
      <c r="AG1988" s="91">
        <v>4752</v>
      </c>
      <c r="AH1988" s="91">
        <v>4752</v>
      </c>
      <c r="AI1988" s="91">
        <v>4752</v>
      </c>
      <c r="AJ1988" s="91">
        <v>4752</v>
      </c>
      <c r="AK1988" s="91">
        <v>4752</v>
      </c>
      <c r="AL1988" s="91">
        <v>4752</v>
      </c>
      <c r="AM1988" s="91">
        <v>4752</v>
      </c>
      <c r="AN1988" s="91">
        <v>4752</v>
      </c>
      <c r="AO1988" s="91">
        <v>4752</v>
      </c>
      <c r="AP1988" s="91">
        <v>4752</v>
      </c>
      <c r="AQ1988" s="91">
        <v>4752</v>
      </c>
      <c r="AR1988" s="91">
        <v>4752</v>
      </c>
      <c r="AS1988" s="91">
        <v>4752</v>
      </c>
      <c r="AT1988" s="91">
        <v>4752</v>
      </c>
      <c r="AU1988" s="91">
        <v>4752</v>
      </c>
      <c r="AV1988" s="91">
        <v>4752</v>
      </c>
      <c r="AW1988" s="91">
        <v>4752</v>
      </c>
      <c r="AX1988" s="92">
        <v>4752</v>
      </c>
    </row>
    <row r="1989" spans="1:50" x14ac:dyDescent="0.25">
      <c r="A1989" s="356"/>
      <c r="B1989" s="359"/>
      <c r="C1989" s="361" t="s">
        <v>14</v>
      </c>
      <c r="D1989" s="58" t="s">
        <v>7</v>
      </c>
      <c r="E1989" s="164" t="str">
        <f>A1979&amp;"/"&amp;B1987&amp;"/"&amp;C1989&amp;"/"&amp;D1989</f>
        <v>Fuel oil fired power plants/Supercritical steam turbine/CHP/L</v>
      </c>
      <c r="F1989" s="78" t="str">
        <f>A1979</f>
        <v>Fuel oil fired power plants</v>
      </c>
      <c r="G1989" s="78" t="str">
        <f>B1987</f>
        <v>Supercritical steam turbine</v>
      </c>
      <c r="H1989" s="78" t="str">
        <f>C1989</f>
        <v>CHP</v>
      </c>
      <c r="I1989" s="165" t="str">
        <f t="shared" si="110"/>
        <v>L</v>
      </c>
      <c r="J1989" s="95">
        <v>5280</v>
      </c>
      <c r="K1989" s="95">
        <v>5280</v>
      </c>
      <c r="L1989" s="95">
        <v>5280</v>
      </c>
      <c r="M1989" s="95">
        <v>5280</v>
      </c>
      <c r="N1989" s="95">
        <v>5280</v>
      </c>
      <c r="O1989" s="95">
        <v>5280</v>
      </c>
      <c r="P1989" s="95">
        <v>5280</v>
      </c>
      <c r="Q1989" s="95">
        <v>5280</v>
      </c>
      <c r="R1989" s="95">
        <v>5280</v>
      </c>
      <c r="S1989" s="95">
        <v>5280</v>
      </c>
      <c r="T1989" s="95">
        <v>5280</v>
      </c>
      <c r="U1989" s="95">
        <v>5280</v>
      </c>
      <c r="V1989" s="95">
        <v>5280</v>
      </c>
      <c r="W1989" s="95">
        <v>5280</v>
      </c>
      <c r="X1989" s="95">
        <v>5280</v>
      </c>
      <c r="Y1989" s="95">
        <v>5280</v>
      </c>
      <c r="Z1989" s="95">
        <v>5280</v>
      </c>
      <c r="AA1989" s="95">
        <v>5280</v>
      </c>
      <c r="AB1989" s="95">
        <v>5280</v>
      </c>
      <c r="AC1989" s="95">
        <v>5280</v>
      </c>
      <c r="AD1989" s="95">
        <v>5280</v>
      </c>
      <c r="AE1989" s="95">
        <v>5280</v>
      </c>
      <c r="AF1989" s="95">
        <v>5280</v>
      </c>
      <c r="AG1989" s="95">
        <v>5280</v>
      </c>
      <c r="AH1989" s="95">
        <v>5280</v>
      </c>
      <c r="AI1989" s="95">
        <v>5280</v>
      </c>
      <c r="AJ1989" s="95">
        <v>5280</v>
      </c>
      <c r="AK1989" s="95">
        <v>5280</v>
      </c>
      <c r="AL1989" s="95">
        <v>5280</v>
      </c>
      <c r="AM1989" s="95">
        <v>5280</v>
      </c>
      <c r="AN1989" s="95">
        <v>5280</v>
      </c>
      <c r="AO1989" s="95">
        <v>5280</v>
      </c>
      <c r="AP1989" s="95">
        <v>5280</v>
      </c>
      <c r="AQ1989" s="95">
        <v>5280</v>
      </c>
      <c r="AR1989" s="95">
        <v>5280</v>
      </c>
      <c r="AS1989" s="95">
        <v>5280</v>
      </c>
      <c r="AT1989" s="95">
        <v>5280</v>
      </c>
      <c r="AU1989" s="95">
        <v>5280</v>
      </c>
      <c r="AV1989" s="95">
        <v>5280</v>
      </c>
      <c r="AW1989" s="95">
        <v>5280</v>
      </c>
      <c r="AX1989" s="96">
        <v>5280</v>
      </c>
    </row>
    <row r="1990" spans="1:50" x14ac:dyDescent="0.25">
      <c r="A1990" s="356"/>
      <c r="B1990" s="359"/>
      <c r="C1990" s="360"/>
      <c r="D1990" s="59" t="s">
        <v>8</v>
      </c>
      <c r="E1990" s="166" t="str">
        <f>A1979&amp;"/"&amp;B1987&amp;"/"&amp;C1989&amp;"/"&amp;D1990</f>
        <v>Fuel oil fired power plants/Supercritical steam turbine/CHP/M</v>
      </c>
      <c r="F1990" s="79" t="str">
        <f>A1979</f>
        <v>Fuel oil fired power plants</v>
      </c>
      <c r="G1990" s="79" t="str">
        <f>B1987</f>
        <v>Supercritical steam turbine</v>
      </c>
      <c r="H1990" s="79" t="str">
        <f>C1989</f>
        <v>CHP</v>
      </c>
      <c r="I1990" s="167" t="str">
        <f t="shared" si="110"/>
        <v>M</v>
      </c>
      <c r="J1990" s="97">
        <v>3828</v>
      </c>
      <c r="K1990" s="97">
        <v>3828</v>
      </c>
      <c r="L1990" s="97">
        <v>3828</v>
      </c>
      <c r="M1990" s="97">
        <v>3828</v>
      </c>
      <c r="N1990" s="97">
        <v>3828</v>
      </c>
      <c r="O1990" s="97">
        <v>3828</v>
      </c>
      <c r="P1990" s="97">
        <v>3828</v>
      </c>
      <c r="Q1990" s="97">
        <v>3828</v>
      </c>
      <c r="R1990" s="97">
        <v>3828</v>
      </c>
      <c r="S1990" s="97">
        <v>3828</v>
      </c>
      <c r="T1990" s="97">
        <v>3828</v>
      </c>
      <c r="U1990" s="97">
        <v>3828</v>
      </c>
      <c r="V1990" s="97">
        <v>3828</v>
      </c>
      <c r="W1990" s="97">
        <v>3828</v>
      </c>
      <c r="X1990" s="97">
        <v>3828</v>
      </c>
      <c r="Y1990" s="97">
        <v>3828</v>
      </c>
      <c r="Z1990" s="97">
        <v>3828</v>
      </c>
      <c r="AA1990" s="97">
        <v>3828</v>
      </c>
      <c r="AB1990" s="97">
        <v>3828</v>
      </c>
      <c r="AC1990" s="97">
        <v>3828</v>
      </c>
      <c r="AD1990" s="97">
        <v>3828</v>
      </c>
      <c r="AE1990" s="97">
        <v>3828</v>
      </c>
      <c r="AF1990" s="97">
        <v>3828</v>
      </c>
      <c r="AG1990" s="97">
        <v>3828</v>
      </c>
      <c r="AH1990" s="97">
        <v>3828</v>
      </c>
      <c r="AI1990" s="97">
        <v>3828</v>
      </c>
      <c r="AJ1990" s="97">
        <v>3828</v>
      </c>
      <c r="AK1990" s="97">
        <v>3828</v>
      </c>
      <c r="AL1990" s="97">
        <v>3828</v>
      </c>
      <c r="AM1990" s="97">
        <v>3828</v>
      </c>
      <c r="AN1990" s="97">
        <v>3828</v>
      </c>
      <c r="AO1990" s="97">
        <v>3828</v>
      </c>
      <c r="AP1990" s="97">
        <v>3828</v>
      </c>
      <c r="AQ1990" s="97">
        <v>3828</v>
      </c>
      <c r="AR1990" s="97">
        <v>3828</v>
      </c>
      <c r="AS1990" s="97">
        <v>3828</v>
      </c>
      <c r="AT1990" s="97">
        <v>3828</v>
      </c>
      <c r="AU1990" s="97">
        <v>3828</v>
      </c>
      <c r="AV1990" s="97">
        <v>3828</v>
      </c>
      <c r="AW1990" s="97">
        <v>3828</v>
      </c>
      <c r="AX1990" s="98">
        <v>3828</v>
      </c>
    </row>
    <row r="1991" spans="1:50" x14ac:dyDescent="0.25">
      <c r="A1991" s="356"/>
      <c r="B1991" s="359"/>
      <c r="C1991" s="361" t="s">
        <v>15</v>
      </c>
      <c r="D1991" s="58" t="s">
        <v>7</v>
      </c>
      <c r="E1991" s="164" t="str">
        <f>A1979&amp;"/"&amp;B1987&amp;"/"&amp;C1991&amp;"/"&amp;D1991</f>
        <v>Fuel oil fired power plants/Supercritical steam turbine/Electricity only with CCS/L</v>
      </c>
      <c r="F1991" s="78" t="str">
        <f>A1979</f>
        <v>Fuel oil fired power plants</v>
      </c>
      <c r="G1991" s="78" t="str">
        <f>B1987</f>
        <v>Supercritical steam turbine</v>
      </c>
      <c r="H1991" s="78" t="str">
        <f>C1991</f>
        <v>Electricity only with CCS</v>
      </c>
      <c r="I1991" s="165" t="str">
        <f t="shared" si="110"/>
        <v>L</v>
      </c>
      <c r="J1991" s="95" t="s">
        <v>112</v>
      </c>
      <c r="K1991" s="95" t="s">
        <v>112</v>
      </c>
      <c r="L1991" s="95" t="s">
        <v>112</v>
      </c>
      <c r="M1991" s="95" t="s">
        <v>112</v>
      </c>
      <c r="N1991" s="95" t="s">
        <v>112</v>
      </c>
      <c r="O1991" s="95" t="s">
        <v>112</v>
      </c>
      <c r="P1991" s="95" t="s">
        <v>112</v>
      </c>
      <c r="Q1991" s="95" t="s">
        <v>112</v>
      </c>
      <c r="R1991" s="95" t="s">
        <v>112</v>
      </c>
      <c r="S1991" s="95" t="s">
        <v>112</v>
      </c>
      <c r="T1991" s="95" t="s">
        <v>112</v>
      </c>
      <c r="U1991" s="95" t="s">
        <v>112</v>
      </c>
      <c r="V1991" s="95" t="s">
        <v>112</v>
      </c>
      <c r="W1991" s="95" t="s">
        <v>112</v>
      </c>
      <c r="X1991" s="95" t="s">
        <v>112</v>
      </c>
      <c r="Y1991" s="95" t="s">
        <v>112</v>
      </c>
      <c r="Z1991" s="95" t="s">
        <v>112</v>
      </c>
      <c r="AA1991" s="95" t="s">
        <v>112</v>
      </c>
      <c r="AB1991" s="95" t="s">
        <v>112</v>
      </c>
      <c r="AC1991" s="95" t="s">
        <v>112</v>
      </c>
      <c r="AD1991" s="95" t="s">
        <v>112</v>
      </c>
      <c r="AE1991" s="95">
        <v>6600</v>
      </c>
      <c r="AF1991" s="95">
        <v>6600</v>
      </c>
      <c r="AG1991" s="95">
        <v>6600</v>
      </c>
      <c r="AH1991" s="95">
        <v>6600</v>
      </c>
      <c r="AI1991" s="95">
        <v>6600</v>
      </c>
      <c r="AJ1991" s="95">
        <v>6600</v>
      </c>
      <c r="AK1991" s="95">
        <v>6600</v>
      </c>
      <c r="AL1991" s="95">
        <v>6600</v>
      </c>
      <c r="AM1991" s="95">
        <v>6600</v>
      </c>
      <c r="AN1991" s="95">
        <v>6600</v>
      </c>
      <c r="AO1991" s="95">
        <v>6600</v>
      </c>
      <c r="AP1991" s="95">
        <v>6600</v>
      </c>
      <c r="AQ1991" s="95">
        <v>6600</v>
      </c>
      <c r="AR1991" s="95">
        <v>6600</v>
      </c>
      <c r="AS1991" s="95">
        <v>6600</v>
      </c>
      <c r="AT1991" s="95">
        <v>6600</v>
      </c>
      <c r="AU1991" s="95">
        <v>6600</v>
      </c>
      <c r="AV1991" s="95">
        <v>6600</v>
      </c>
      <c r="AW1991" s="95">
        <v>6600</v>
      </c>
      <c r="AX1991" s="96">
        <v>6600</v>
      </c>
    </row>
    <row r="1992" spans="1:50" x14ac:dyDescent="0.25">
      <c r="A1992" s="356"/>
      <c r="B1992" s="359"/>
      <c r="C1992" s="360"/>
      <c r="D1992" s="59" t="s">
        <v>8</v>
      </c>
      <c r="E1992" s="166" t="str">
        <f>A1979&amp;"/"&amp;B1987&amp;"/"&amp;C1991&amp;"/"&amp;D1992</f>
        <v>Fuel oil fired power plants/Supercritical steam turbine/Electricity only with CCS/M</v>
      </c>
      <c r="F1992" s="79" t="str">
        <f>A1979</f>
        <v>Fuel oil fired power plants</v>
      </c>
      <c r="G1992" s="79" t="str">
        <f>B1987</f>
        <v>Supercritical steam turbine</v>
      </c>
      <c r="H1992" s="79" t="str">
        <f>C1991</f>
        <v>Electricity only with CCS</v>
      </c>
      <c r="I1992" s="167" t="str">
        <f t="shared" si="110"/>
        <v>M</v>
      </c>
      <c r="J1992" s="97" t="s">
        <v>112</v>
      </c>
      <c r="K1992" s="97" t="s">
        <v>112</v>
      </c>
      <c r="L1992" s="97" t="s">
        <v>112</v>
      </c>
      <c r="M1992" s="97" t="s">
        <v>112</v>
      </c>
      <c r="N1992" s="97" t="s">
        <v>112</v>
      </c>
      <c r="O1992" s="97" t="s">
        <v>112</v>
      </c>
      <c r="P1992" s="97" t="s">
        <v>112</v>
      </c>
      <c r="Q1992" s="97" t="s">
        <v>112</v>
      </c>
      <c r="R1992" s="97" t="s">
        <v>112</v>
      </c>
      <c r="S1992" s="97" t="s">
        <v>112</v>
      </c>
      <c r="T1992" s="97" t="s">
        <v>112</v>
      </c>
      <c r="U1992" s="97" t="s">
        <v>112</v>
      </c>
      <c r="V1992" s="97" t="s">
        <v>112</v>
      </c>
      <c r="W1992" s="97" t="s">
        <v>112</v>
      </c>
      <c r="X1992" s="97" t="s">
        <v>112</v>
      </c>
      <c r="Y1992" s="97" t="s">
        <v>112</v>
      </c>
      <c r="Z1992" s="97" t="s">
        <v>112</v>
      </c>
      <c r="AA1992" s="97" t="s">
        <v>112</v>
      </c>
      <c r="AB1992" s="97" t="s">
        <v>112</v>
      </c>
      <c r="AC1992" s="97" t="s">
        <v>112</v>
      </c>
      <c r="AD1992" s="97" t="s">
        <v>112</v>
      </c>
      <c r="AE1992" s="97">
        <v>4752</v>
      </c>
      <c r="AF1992" s="97">
        <v>4752</v>
      </c>
      <c r="AG1992" s="97">
        <v>4752</v>
      </c>
      <c r="AH1992" s="97">
        <v>4752</v>
      </c>
      <c r="AI1992" s="97">
        <v>4752</v>
      </c>
      <c r="AJ1992" s="97">
        <v>4752</v>
      </c>
      <c r="AK1992" s="97">
        <v>4752</v>
      </c>
      <c r="AL1992" s="97">
        <v>4752</v>
      </c>
      <c r="AM1992" s="97">
        <v>4752</v>
      </c>
      <c r="AN1992" s="97">
        <v>4752</v>
      </c>
      <c r="AO1992" s="97">
        <v>4752</v>
      </c>
      <c r="AP1992" s="97">
        <v>4752</v>
      </c>
      <c r="AQ1992" s="97">
        <v>4752</v>
      </c>
      <c r="AR1992" s="97">
        <v>4752</v>
      </c>
      <c r="AS1992" s="97">
        <v>4752</v>
      </c>
      <c r="AT1992" s="97">
        <v>4752</v>
      </c>
      <c r="AU1992" s="97">
        <v>4752</v>
      </c>
      <c r="AV1992" s="97">
        <v>4752</v>
      </c>
      <c r="AW1992" s="97">
        <v>4752</v>
      </c>
      <c r="AX1992" s="98">
        <v>4752</v>
      </c>
    </row>
    <row r="1993" spans="1:50" x14ac:dyDescent="0.25">
      <c r="A1993" s="356"/>
      <c r="B1993" s="359"/>
      <c r="C1993" s="361" t="s">
        <v>16</v>
      </c>
      <c r="D1993" s="2" t="s">
        <v>7</v>
      </c>
      <c r="E1993" s="160" t="str">
        <f>A1979&amp;"/"&amp;B1987&amp;"/"&amp;C1993&amp;"/"&amp;D1993</f>
        <v>Fuel oil fired power plants/Supercritical steam turbine/CHP with CCS/L</v>
      </c>
      <c r="F1993" s="76" t="str">
        <f>A1979</f>
        <v>Fuel oil fired power plants</v>
      </c>
      <c r="G1993" s="76" t="str">
        <f>B1987</f>
        <v>Supercritical steam turbine</v>
      </c>
      <c r="H1993" s="76" t="str">
        <f>C1993</f>
        <v>CHP with CCS</v>
      </c>
      <c r="I1993" s="161" t="str">
        <f t="shared" si="110"/>
        <v>L</v>
      </c>
      <c r="J1993" s="91" t="s">
        <v>112</v>
      </c>
      <c r="K1993" s="91" t="s">
        <v>112</v>
      </c>
      <c r="L1993" s="91" t="s">
        <v>112</v>
      </c>
      <c r="M1993" s="91" t="s">
        <v>112</v>
      </c>
      <c r="N1993" s="91" t="s">
        <v>112</v>
      </c>
      <c r="O1993" s="91" t="s">
        <v>112</v>
      </c>
      <c r="P1993" s="91" t="s">
        <v>112</v>
      </c>
      <c r="Q1993" s="91" t="s">
        <v>112</v>
      </c>
      <c r="R1993" s="91" t="s">
        <v>112</v>
      </c>
      <c r="S1993" s="91" t="s">
        <v>112</v>
      </c>
      <c r="T1993" s="91" t="s">
        <v>112</v>
      </c>
      <c r="U1993" s="91" t="s">
        <v>112</v>
      </c>
      <c r="V1993" s="91" t="s">
        <v>112</v>
      </c>
      <c r="W1993" s="91" t="s">
        <v>112</v>
      </c>
      <c r="X1993" s="91" t="s">
        <v>112</v>
      </c>
      <c r="Y1993" s="91" t="s">
        <v>112</v>
      </c>
      <c r="Z1993" s="91" t="s">
        <v>112</v>
      </c>
      <c r="AA1993" s="91" t="s">
        <v>112</v>
      </c>
      <c r="AB1993" s="91" t="s">
        <v>112</v>
      </c>
      <c r="AC1993" s="91" t="s">
        <v>112</v>
      </c>
      <c r="AD1993" s="91" t="s">
        <v>112</v>
      </c>
      <c r="AE1993" s="91">
        <v>5280</v>
      </c>
      <c r="AF1993" s="91">
        <v>5280</v>
      </c>
      <c r="AG1993" s="91">
        <v>5280</v>
      </c>
      <c r="AH1993" s="91">
        <v>5280</v>
      </c>
      <c r="AI1993" s="91">
        <v>5280</v>
      </c>
      <c r="AJ1993" s="91">
        <v>5280</v>
      </c>
      <c r="AK1993" s="91">
        <v>5280</v>
      </c>
      <c r="AL1993" s="91">
        <v>5280</v>
      </c>
      <c r="AM1993" s="91">
        <v>5280</v>
      </c>
      <c r="AN1993" s="91">
        <v>5280</v>
      </c>
      <c r="AO1993" s="91">
        <v>5280</v>
      </c>
      <c r="AP1993" s="91">
        <v>5280</v>
      </c>
      <c r="AQ1993" s="91">
        <v>5280</v>
      </c>
      <c r="AR1993" s="91">
        <v>5280</v>
      </c>
      <c r="AS1993" s="91">
        <v>5280</v>
      </c>
      <c r="AT1993" s="91">
        <v>5280</v>
      </c>
      <c r="AU1993" s="91">
        <v>5280</v>
      </c>
      <c r="AV1993" s="91">
        <v>5280</v>
      </c>
      <c r="AW1993" s="91">
        <v>5280</v>
      </c>
      <c r="AX1993" s="92">
        <v>5280</v>
      </c>
    </row>
    <row r="1994" spans="1:50" x14ac:dyDescent="0.25">
      <c r="A1994" s="356"/>
      <c r="B1994" s="362"/>
      <c r="C1994" s="354"/>
      <c r="D1994" s="4" t="s">
        <v>8</v>
      </c>
      <c r="E1994" s="168" t="str">
        <f>A1979&amp;"/"&amp;B1987&amp;"/"&amp;C1993&amp;"/"&amp;D1994</f>
        <v>Fuel oil fired power plants/Supercritical steam turbine/CHP with CCS/M</v>
      </c>
      <c r="F1994" s="80" t="str">
        <f>A1979</f>
        <v>Fuel oil fired power plants</v>
      </c>
      <c r="G1994" s="80" t="str">
        <f>B1987</f>
        <v>Supercritical steam turbine</v>
      </c>
      <c r="H1994" s="80" t="str">
        <f>C1993</f>
        <v>CHP with CCS</v>
      </c>
      <c r="I1994" s="169" t="str">
        <f t="shared" si="110"/>
        <v>M</v>
      </c>
      <c r="J1994" s="99" t="s">
        <v>112</v>
      </c>
      <c r="K1994" s="99" t="s">
        <v>112</v>
      </c>
      <c r="L1994" s="99" t="s">
        <v>112</v>
      </c>
      <c r="M1994" s="99" t="s">
        <v>112</v>
      </c>
      <c r="N1994" s="99" t="s">
        <v>112</v>
      </c>
      <c r="O1994" s="99" t="s">
        <v>112</v>
      </c>
      <c r="P1994" s="99" t="s">
        <v>112</v>
      </c>
      <c r="Q1994" s="99" t="s">
        <v>112</v>
      </c>
      <c r="R1994" s="99" t="s">
        <v>112</v>
      </c>
      <c r="S1994" s="99" t="s">
        <v>112</v>
      </c>
      <c r="T1994" s="99" t="s">
        <v>112</v>
      </c>
      <c r="U1994" s="99" t="s">
        <v>112</v>
      </c>
      <c r="V1994" s="99" t="s">
        <v>112</v>
      </c>
      <c r="W1994" s="99" t="s">
        <v>112</v>
      </c>
      <c r="X1994" s="99" t="s">
        <v>112</v>
      </c>
      <c r="Y1994" s="99" t="s">
        <v>112</v>
      </c>
      <c r="Z1994" s="99" t="s">
        <v>112</v>
      </c>
      <c r="AA1994" s="99" t="s">
        <v>112</v>
      </c>
      <c r="AB1994" s="99" t="s">
        <v>112</v>
      </c>
      <c r="AC1994" s="99" t="s">
        <v>112</v>
      </c>
      <c r="AD1994" s="99" t="s">
        <v>112</v>
      </c>
      <c r="AE1994" s="99">
        <v>3828</v>
      </c>
      <c r="AF1994" s="99">
        <v>3828</v>
      </c>
      <c r="AG1994" s="99">
        <v>3828</v>
      </c>
      <c r="AH1994" s="99">
        <v>3828</v>
      </c>
      <c r="AI1994" s="99">
        <v>3828</v>
      </c>
      <c r="AJ1994" s="99">
        <v>3828</v>
      </c>
      <c r="AK1994" s="99">
        <v>3828</v>
      </c>
      <c r="AL1994" s="99">
        <v>3828</v>
      </c>
      <c r="AM1994" s="99">
        <v>3828</v>
      </c>
      <c r="AN1994" s="99">
        <v>3828</v>
      </c>
      <c r="AO1994" s="99">
        <v>3828</v>
      </c>
      <c r="AP1994" s="99">
        <v>3828</v>
      </c>
      <c r="AQ1994" s="99">
        <v>3828</v>
      </c>
      <c r="AR1994" s="99">
        <v>3828</v>
      </c>
      <c r="AS1994" s="99">
        <v>3828</v>
      </c>
      <c r="AT1994" s="99">
        <v>3828</v>
      </c>
      <c r="AU1994" s="99">
        <v>3828</v>
      </c>
      <c r="AV1994" s="99">
        <v>3828</v>
      </c>
      <c r="AW1994" s="99">
        <v>3828</v>
      </c>
      <c r="AX1994" s="100">
        <v>3828</v>
      </c>
    </row>
    <row r="1995" spans="1:50" x14ac:dyDescent="0.25">
      <c r="A1995" s="356"/>
      <c r="B1995" s="358" t="s">
        <v>19</v>
      </c>
      <c r="C1995" s="353" t="s">
        <v>6</v>
      </c>
      <c r="D1995" s="3" t="s">
        <v>7</v>
      </c>
      <c r="E1995" s="162" t="str">
        <f>A1979&amp;"/"&amp;B1995&amp;"/"&amp;C1995&amp;"/"&amp;D1995</f>
        <v>Fuel oil fired power plants/Steam turbine/Electricity only/L</v>
      </c>
      <c r="F1995" s="77" t="str">
        <f>A1979</f>
        <v>Fuel oil fired power plants</v>
      </c>
      <c r="G1995" s="77" t="str">
        <f>B1995</f>
        <v>Steam turbine</v>
      </c>
      <c r="H1995" s="77" t="str">
        <f>C1995</f>
        <v>Electricity only</v>
      </c>
      <c r="I1995" s="163" t="str">
        <f t="shared" si="110"/>
        <v>L</v>
      </c>
      <c r="J1995" s="93">
        <v>6200</v>
      </c>
      <c r="K1995" s="93">
        <v>6200</v>
      </c>
      <c r="L1995" s="93">
        <v>6200</v>
      </c>
      <c r="M1995" s="93">
        <v>6200</v>
      </c>
      <c r="N1995" s="93">
        <v>6200</v>
      </c>
      <c r="O1995" s="93">
        <v>6200</v>
      </c>
      <c r="P1995" s="93">
        <v>6200</v>
      </c>
      <c r="Q1995" s="93">
        <v>6200</v>
      </c>
      <c r="R1995" s="93">
        <v>6200</v>
      </c>
      <c r="S1995" s="93">
        <v>6200</v>
      </c>
      <c r="T1995" s="93">
        <v>6200</v>
      </c>
      <c r="U1995" s="93">
        <v>6200</v>
      </c>
      <c r="V1995" s="93">
        <v>6200</v>
      </c>
      <c r="W1995" s="93">
        <v>6200</v>
      </c>
      <c r="X1995" s="93">
        <v>6200</v>
      </c>
      <c r="Y1995" s="93">
        <v>6200</v>
      </c>
      <c r="Z1995" s="93">
        <v>6200</v>
      </c>
      <c r="AA1995" s="93">
        <v>6200</v>
      </c>
      <c r="AB1995" s="93">
        <v>6200</v>
      </c>
      <c r="AC1995" s="93">
        <v>6200</v>
      </c>
      <c r="AD1995" s="93">
        <v>6200</v>
      </c>
      <c r="AE1995" s="93">
        <v>6200</v>
      </c>
      <c r="AF1995" s="93">
        <v>6200</v>
      </c>
      <c r="AG1995" s="93">
        <v>6200</v>
      </c>
      <c r="AH1995" s="93">
        <v>6200</v>
      </c>
      <c r="AI1995" s="93">
        <v>6200</v>
      </c>
      <c r="AJ1995" s="93">
        <v>6200</v>
      </c>
      <c r="AK1995" s="93">
        <v>6200</v>
      </c>
      <c r="AL1995" s="93">
        <v>6200</v>
      </c>
      <c r="AM1995" s="93">
        <v>6200</v>
      </c>
      <c r="AN1995" s="93">
        <v>6200</v>
      </c>
      <c r="AO1995" s="93">
        <v>6200</v>
      </c>
      <c r="AP1995" s="93">
        <v>6200</v>
      </c>
      <c r="AQ1995" s="93">
        <v>6200</v>
      </c>
      <c r="AR1995" s="93">
        <v>6200</v>
      </c>
      <c r="AS1995" s="93">
        <v>6200</v>
      </c>
      <c r="AT1995" s="93">
        <v>6200</v>
      </c>
      <c r="AU1995" s="93">
        <v>6200</v>
      </c>
      <c r="AV1995" s="93">
        <v>6200</v>
      </c>
      <c r="AW1995" s="93">
        <v>6200</v>
      </c>
      <c r="AX1995" s="94">
        <v>6200</v>
      </c>
    </row>
    <row r="1996" spans="1:50" x14ac:dyDescent="0.25">
      <c r="A1996" s="356"/>
      <c r="B1996" s="359"/>
      <c r="C1996" s="350"/>
      <c r="D1996" s="2" t="s">
        <v>8</v>
      </c>
      <c r="E1996" s="160" t="str">
        <f>A1979&amp;"/"&amp;B1995&amp;"/"&amp;C1995&amp;"/"&amp;D1996</f>
        <v>Fuel oil fired power plants/Steam turbine/Electricity only/M</v>
      </c>
      <c r="F1996" s="76" t="str">
        <f>A1979</f>
        <v>Fuel oil fired power plants</v>
      </c>
      <c r="G1996" s="76" t="str">
        <f>B1995</f>
        <v>Steam turbine</v>
      </c>
      <c r="H1996" s="76" t="str">
        <f>C1995</f>
        <v>Electricity only</v>
      </c>
      <c r="I1996" s="161" t="str">
        <f t="shared" si="110"/>
        <v>M</v>
      </c>
      <c r="J1996" s="91">
        <v>4960</v>
      </c>
      <c r="K1996" s="91">
        <v>4960</v>
      </c>
      <c r="L1996" s="91">
        <v>4960</v>
      </c>
      <c r="M1996" s="91">
        <v>4960</v>
      </c>
      <c r="N1996" s="91">
        <v>4960</v>
      </c>
      <c r="O1996" s="91">
        <v>4960</v>
      </c>
      <c r="P1996" s="91">
        <v>4960</v>
      </c>
      <c r="Q1996" s="91">
        <v>4960</v>
      </c>
      <c r="R1996" s="91">
        <v>4960</v>
      </c>
      <c r="S1996" s="91">
        <v>4960</v>
      </c>
      <c r="T1996" s="91">
        <v>4960</v>
      </c>
      <c r="U1996" s="91">
        <v>4960</v>
      </c>
      <c r="V1996" s="91">
        <v>4960</v>
      </c>
      <c r="W1996" s="91">
        <v>4960</v>
      </c>
      <c r="X1996" s="91">
        <v>4960</v>
      </c>
      <c r="Y1996" s="91">
        <v>4960</v>
      </c>
      <c r="Z1996" s="91">
        <v>4960</v>
      </c>
      <c r="AA1996" s="91">
        <v>4960</v>
      </c>
      <c r="AB1996" s="91">
        <v>4960</v>
      </c>
      <c r="AC1996" s="91">
        <v>4960</v>
      </c>
      <c r="AD1996" s="91">
        <v>4960</v>
      </c>
      <c r="AE1996" s="91">
        <v>4960</v>
      </c>
      <c r="AF1996" s="91">
        <v>4960</v>
      </c>
      <c r="AG1996" s="91">
        <v>4960</v>
      </c>
      <c r="AH1996" s="91">
        <v>4960</v>
      </c>
      <c r="AI1996" s="91">
        <v>4960</v>
      </c>
      <c r="AJ1996" s="91">
        <v>4960</v>
      </c>
      <c r="AK1996" s="91">
        <v>4960</v>
      </c>
      <c r="AL1996" s="91">
        <v>4960</v>
      </c>
      <c r="AM1996" s="91">
        <v>4960</v>
      </c>
      <c r="AN1996" s="91">
        <v>4960</v>
      </c>
      <c r="AO1996" s="91">
        <v>4960</v>
      </c>
      <c r="AP1996" s="91">
        <v>4960</v>
      </c>
      <c r="AQ1996" s="91">
        <v>4960</v>
      </c>
      <c r="AR1996" s="91">
        <v>4960</v>
      </c>
      <c r="AS1996" s="91">
        <v>4960</v>
      </c>
      <c r="AT1996" s="91">
        <v>4960</v>
      </c>
      <c r="AU1996" s="91">
        <v>4960</v>
      </c>
      <c r="AV1996" s="91">
        <v>4960</v>
      </c>
      <c r="AW1996" s="91">
        <v>4960</v>
      </c>
      <c r="AX1996" s="92">
        <v>4960</v>
      </c>
    </row>
    <row r="1997" spans="1:50" x14ac:dyDescent="0.25">
      <c r="A1997" s="356"/>
      <c r="B1997" s="359"/>
      <c r="C1997" s="350"/>
      <c r="D1997" s="2" t="s">
        <v>10</v>
      </c>
      <c r="E1997" s="160" t="str">
        <f>A1979&amp;"/"&amp;B1995&amp;"/"&amp;C1995&amp;"/"&amp;D1997</f>
        <v>Fuel oil fired power plants/Steam turbine/Electricity only/S</v>
      </c>
      <c r="F1997" s="76" t="str">
        <f>A1979</f>
        <v>Fuel oil fired power plants</v>
      </c>
      <c r="G1997" s="76" t="str">
        <f>B1995</f>
        <v>Steam turbine</v>
      </c>
      <c r="H1997" s="76" t="str">
        <f>C1995</f>
        <v>Electricity only</v>
      </c>
      <c r="I1997" s="161" t="str">
        <f t="shared" si="110"/>
        <v>S</v>
      </c>
      <c r="J1997" s="91">
        <v>3720</v>
      </c>
      <c r="K1997" s="91">
        <v>3720</v>
      </c>
      <c r="L1997" s="91">
        <v>3720</v>
      </c>
      <c r="M1997" s="91">
        <v>3720</v>
      </c>
      <c r="N1997" s="91">
        <v>3720</v>
      </c>
      <c r="O1997" s="91">
        <v>3720</v>
      </c>
      <c r="P1997" s="91">
        <v>3720</v>
      </c>
      <c r="Q1997" s="91">
        <v>3720</v>
      </c>
      <c r="R1997" s="91">
        <v>3720</v>
      </c>
      <c r="S1997" s="91">
        <v>3720</v>
      </c>
      <c r="T1997" s="91">
        <v>3720</v>
      </c>
      <c r="U1997" s="91">
        <v>3720</v>
      </c>
      <c r="V1997" s="91">
        <v>3720</v>
      </c>
      <c r="W1997" s="91">
        <v>3720</v>
      </c>
      <c r="X1997" s="91">
        <v>3720</v>
      </c>
      <c r="Y1997" s="91">
        <v>3720</v>
      </c>
      <c r="Z1997" s="91">
        <v>3720</v>
      </c>
      <c r="AA1997" s="91">
        <v>3720</v>
      </c>
      <c r="AB1997" s="91">
        <v>3720</v>
      </c>
      <c r="AC1997" s="91">
        <v>3720</v>
      </c>
      <c r="AD1997" s="91">
        <v>3720</v>
      </c>
      <c r="AE1997" s="91">
        <v>3720</v>
      </c>
      <c r="AF1997" s="91">
        <v>3720</v>
      </c>
      <c r="AG1997" s="91">
        <v>3720</v>
      </c>
      <c r="AH1997" s="91">
        <v>3720</v>
      </c>
      <c r="AI1997" s="91">
        <v>3720</v>
      </c>
      <c r="AJ1997" s="91">
        <v>3720</v>
      </c>
      <c r="AK1997" s="91">
        <v>3720</v>
      </c>
      <c r="AL1997" s="91">
        <v>3720</v>
      </c>
      <c r="AM1997" s="91">
        <v>3720</v>
      </c>
      <c r="AN1997" s="91">
        <v>3720</v>
      </c>
      <c r="AO1997" s="91">
        <v>3720</v>
      </c>
      <c r="AP1997" s="91">
        <v>3720</v>
      </c>
      <c r="AQ1997" s="91">
        <v>3720</v>
      </c>
      <c r="AR1997" s="91">
        <v>3720</v>
      </c>
      <c r="AS1997" s="91">
        <v>3720</v>
      </c>
      <c r="AT1997" s="91">
        <v>3720</v>
      </c>
      <c r="AU1997" s="91">
        <v>3720</v>
      </c>
      <c r="AV1997" s="91">
        <v>3720</v>
      </c>
      <c r="AW1997" s="91">
        <v>3720</v>
      </c>
      <c r="AX1997" s="92">
        <v>3720</v>
      </c>
    </row>
    <row r="1998" spans="1:50" x14ac:dyDescent="0.25">
      <c r="A1998" s="356"/>
      <c r="B1998" s="359"/>
      <c r="C1998" s="360"/>
      <c r="D1998" s="2" t="s">
        <v>20</v>
      </c>
      <c r="E1998" s="160" t="str">
        <f>A1979&amp;"/"&amp;B1995&amp;"/"&amp;C1995&amp;"/"&amp;D1998</f>
        <v>Fuel oil fired power plants/Steam turbine/Electricity only/XS</v>
      </c>
      <c r="F1998" s="76" t="str">
        <f>A1979</f>
        <v>Fuel oil fired power plants</v>
      </c>
      <c r="G1998" s="76" t="str">
        <f>B1995</f>
        <v>Steam turbine</v>
      </c>
      <c r="H1998" s="76" t="str">
        <f>C1995</f>
        <v>Electricity only</v>
      </c>
      <c r="I1998" s="161" t="str">
        <f t="shared" si="110"/>
        <v>XS</v>
      </c>
      <c r="J1998" s="91">
        <v>3162</v>
      </c>
      <c r="K1998" s="91">
        <v>3162</v>
      </c>
      <c r="L1998" s="91">
        <v>3162</v>
      </c>
      <c r="M1998" s="91">
        <v>3162</v>
      </c>
      <c r="N1998" s="91">
        <v>3162</v>
      </c>
      <c r="O1998" s="91">
        <v>3162</v>
      </c>
      <c r="P1998" s="91">
        <v>3162</v>
      </c>
      <c r="Q1998" s="91">
        <v>3162</v>
      </c>
      <c r="R1998" s="91">
        <v>3162</v>
      </c>
      <c r="S1998" s="91">
        <v>3162</v>
      </c>
      <c r="T1998" s="91">
        <v>3162</v>
      </c>
      <c r="U1998" s="91">
        <v>3162</v>
      </c>
      <c r="V1998" s="91">
        <v>3162</v>
      </c>
      <c r="W1998" s="91">
        <v>3162</v>
      </c>
      <c r="X1998" s="91">
        <v>3162</v>
      </c>
      <c r="Y1998" s="91">
        <v>3162</v>
      </c>
      <c r="Z1998" s="91">
        <v>3162</v>
      </c>
      <c r="AA1998" s="91">
        <v>3162</v>
      </c>
      <c r="AB1998" s="91">
        <v>3162</v>
      </c>
      <c r="AC1998" s="91">
        <v>3162</v>
      </c>
      <c r="AD1998" s="91">
        <v>3162</v>
      </c>
      <c r="AE1998" s="91">
        <v>3162</v>
      </c>
      <c r="AF1998" s="91">
        <v>3162</v>
      </c>
      <c r="AG1998" s="91">
        <v>3162</v>
      </c>
      <c r="AH1998" s="91">
        <v>3162</v>
      </c>
      <c r="AI1998" s="91">
        <v>3162</v>
      </c>
      <c r="AJ1998" s="91">
        <v>3162</v>
      </c>
      <c r="AK1998" s="91">
        <v>3162</v>
      </c>
      <c r="AL1998" s="91">
        <v>3162</v>
      </c>
      <c r="AM1998" s="91">
        <v>3162</v>
      </c>
      <c r="AN1998" s="91">
        <v>3162</v>
      </c>
      <c r="AO1998" s="91">
        <v>3162</v>
      </c>
      <c r="AP1998" s="91">
        <v>3162</v>
      </c>
      <c r="AQ1998" s="91">
        <v>3162</v>
      </c>
      <c r="AR1998" s="91">
        <v>3162</v>
      </c>
      <c r="AS1998" s="91">
        <v>3162</v>
      </c>
      <c r="AT1998" s="91">
        <v>3162</v>
      </c>
      <c r="AU1998" s="91">
        <v>3162</v>
      </c>
      <c r="AV1998" s="91">
        <v>3162</v>
      </c>
      <c r="AW1998" s="91">
        <v>3162</v>
      </c>
      <c r="AX1998" s="92">
        <v>3162</v>
      </c>
    </row>
    <row r="1999" spans="1:50" x14ac:dyDescent="0.25">
      <c r="A1999" s="356"/>
      <c r="B1999" s="359"/>
      <c r="C1999" s="361" t="s">
        <v>14</v>
      </c>
      <c r="D1999" s="58" t="s">
        <v>7</v>
      </c>
      <c r="E1999" s="164" t="str">
        <f>A1979&amp;"/"&amp;B1995&amp;"/"&amp;C1999&amp;"/"&amp;D1999</f>
        <v>Fuel oil fired power plants/Steam turbine/CHP/L</v>
      </c>
      <c r="F1999" s="78" t="str">
        <f>A1979</f>
        <v>Fuel oil fired power plants</v>
      </c>
      <c r="G1999" s="78" t="str">
        <f>B1995</f>
        <v>Steam turbine</v>
      </c>
      <c r="H1999" s="78" t="str">
        <f>C1999</f>
        <v>CHP</v>
      </c>
      <c r="I1999" s="165" t="str">
        <f t="shared" ref="I1999:I2062" si="111">D1999</f>
        <v>L</v>
      </c>
      <c r="J1999" s="95">
        <v>4960</v>
      </c>
      <c r="K1999" s="95">
        <v>4960</v>
      </c>
      <c r="L1999" s="95">
        <v>4960</v>
      </c>
      <c r="M1999" s="95">
        <v>4960</v>
      </c>
      <c r="N1999" s="95">
        <v>4960</v>
      </c>
      <c r="O1999" s="95">
        <v>4960</v>
      </c>
      <c r="P1999" s="95">
        <v>4960</v>
      </c>
      <c r="Q1999" s="95">
        <v>4960</v>
      </c>
      <c r="R1999" s="95">
        <v>4960</v>
      </c>
      <c r="S1999" s="95">
        <v>4960</v>
      </c>
      <c r="T1999" s="95">
        <v>4960</v>
      </c>
      <c r="U1999" s="95">
        <v>4960</v>
      </c>
      <c r="V1999" s="95">
        <v>4960</v>
      </c>
      <c r="W1999" s="95">
        <v>4960</v>
      </c>
      <c r="X1999" s="95">
        <v>4960</v>
      </c>
      <c r="Y1999" s="95">
        <v>4960</v>
      </c>
      <c r="Z1999" s="95">
        <v>4960</v>
      </c>
      <c r="AA1999" s="95">
        <v>4960</v>
      </c>
      <c r="AB1999" s="95">
        <v>4960</v>
      </c>
      <c r="AC1999" s="95">
        <v>4960</v>
      </c>
      <c r="AD1999" s="95">
        <v>4960</v>
      </c>
      <c r="AE1999" s="95">
        <v>4960</v>
      </c>
      <c r="AF1999" s="95">
        <v>4960</v>
      </c>
      <c r="AG1999" s="95">
        <v>4960</v>
      </c>
      <c r="AH1999" s="95">
        <v>4960</v>
      </c>
      <c r="AI1999" s="95">
        <v>4960</v>
      </c>
      <c r="AJ1999" s="95">
        <v>4960</v>
      </c>
      <c r="AK1999" s="95">
        <v>4960</v>
      </c>
      <c r="AL1999" s="95">
        <v>4960</v>
      </c>
      <c r="AM1999" s="95">
        <v>4960</v>
      </c>
      <c r="AN1999" s="95">
        <v>4960</v>
      </c>
      <c r="AO1999" s="95">
        <v>4960</v>
      </c>
      <c r="AP1999" s="95">
        <v>4960</v>
      </c>
      <c r="AQ1999" s="95">
        <v>4960</v>
      </c>
      <c r="AR1999" s="95">
        <v>4960</v>
      </c>
      <c r="AS1999" s="95">
        <v>4960</v>
      </c>
      <c r="AT1999" s="95">
        <v>4960</v>
      </c>
      <c r="AU1999" s="95">
        <v>4960</v>
      </c>
      <c r="AV1999" s="95">
        <v>4960</v>
      </c>
      <c r="AW1999" s="95">
        <v>4960</v>
      </c>
      <c r="AX1999" s="96">
        <v>4960</v>
      </c>
    </row>
    <row r="2000" spans="1:50" x14ac:dyDescent="0.25">
      <c r="A2000" s="356"/>
      <c r="B2000" s="359"/>
      <c r="C2000" s="350"/>
      <c r="D2000" s="2" t="s">
        <v>8</v>
      </c>
      <c r="E2000" s="160" t="str">
        <f>A1979&amp;"/"&amp;B1995&amp;"/"&amp;C1999&amp;"/"&amp;D2000</f>
        <v>Fuel oil fired power plants/Steam turbine/CHP/M</v>
      </c>
      <c r="F2000" s="76" t="str">
        <f>A1979</f>
        <v>Fuel oil fired power plants</v>
      </c>
      <c r="G2000" s="76" t="str">
        <f>B1995</f>
        <v>Steam turbine</v>
      </c>
      <c r="H2000" s="76" t="str">
        <f>C1999</f>
        <v>CHP</v>
      </c>
      <c r="I2000" s="161" t="str">
        <f t="shared" si="111"/>
        <v>M</v>
      </c>
      <c r="J2000" s="91">
        <v>3968</v>
      </c>
      <c r="K2000" s="91">
        <v>3968</v>
      </c>
      <c r="L2000" s="91">
        <v>3968</v>
      </c>
      <c r="M2000" s="91">
        <v>3968</v>
      </c>
      <c r="N2000" s="91">
        <v>3968</v>
      </c>
      <c r="O2000" s="91">
        <v>3968</v>
      </c>
      <c r="P2000" s="91">
        <v>3968</v>
      </c>
      <c r="Q2000" s="91">
        <v>3968</v>
      </c>
      <c r="R2000" s="91">
        <v>3968</v>
      </c>
      <c r="S2000" s="91">
        <v>3968</v>
      </c>
      <c r="T2000" s="91">
        <v>3968</v>
      </c>
      <c r="U2000" s="91">
        <v>3968</v>
      </c>
      <c r="V2000" s="91">
        <v>3968</v>
      </c>
      <c r="W2000" s="91">
        <v>3968</v>
      </c>
      <c r="X2000" s="91">
        <v>3968</v>
      </c>
      <c r="Y2000" s="91">
        <v>3968</v>
      </c>
      <c r="Z2000" s="91">
        <v>3968</v>
      </c>
      <c r="AA2000" s="91">
        <v>3968</v>
      </c>
      <c r="AB2000" s="91">
        <v>3968</v>
      </c>
      <c r="AC2000" s="91">
        <v>3968</v>
      </c>
      <c r="AD2000" s="91">
        <v>3968</v>
      </c>
      <c r="AE2000" s="91">
        <v>3968</v>
      </c>
      <c r="AF2000" s="91">
        <v>3968</v>
      </c>
      <c r="AG2000" s="91">
        <v>3968</v>
      </c>
      <c r="AH2000" s="91">
        <v>3968</v>
      </c>
      <c r="AI2000" s="91">
        <v>3968</v>
      </c>
      <c r="AJ2000" s="91">
        <v>3968</v>
      </c>
      <c r="AK2000" s="91">
        <v>3968</v>
      </c>
      <c r="AL2000" s="91">
        <v>3968</v>
      </c>
      <c r="AM2000" s="91">
        <v>3968</v>
      </c>
      <c r="AN2000" s="91">
        <v>3968</v>
      </c>
      <c r="AO2000" s="91">
        <v>3968</v>
      </c>
      <c r="AP2000" s="91">
        <v>3968</v>
      </c>
      <c r="AQ2000" s="91">
        <v>3968</v>
      </c>
      <c r="AR2000" s="91">
        <v>3968</v>
      </c>
      <c r="AS2000" s="91">
        <v>3968</v>
      </c>
      <c r="AT2000" s="91">
        <v>3968</v>
      </c>
      <c r="AU2000" s="91">
        <v>3968</v>
      </c>
      <c r="AV2000" s="91">
        <v>3968</v>
      </c>
      <c r="AW2000" s="91">
        <v>3968</v>
      </c>
      <c r="AX2000" s="92">
        <v>3968</v>
      </c>
    </row>
    <row r="2001" spans="1:50" x14ac:dyDescent="0.25">
      <c r="A2001" s="356"/>
      <c r="B2001" s="359"/>
      <c r="C2001" s="350"/>
      <c r="D2001" s="2" t="s">
        <v>10</v>
      </c>
      <c r="E2001" s="160" t="str">
        <f>A1979&amp;"/"&amp;B1995&amp;"/"&amp;C1999&amp;"/"&amp;D2001</f>
        <v>Fuel oil fired power plants/Steam turbine/CHP/S</v>
      </c>
      <c r="F2001" s="76" t="str">
        <f>A1979</f>
        <v>Fuel oil fired power plants</v>
      </c>
      <c r="G2001" s="76" t="str">
        <f>B1995</f>
        <v>Steam turbine</v>
      </c>
      <c r="H2001" s="76" t="str">
        <f>C1999</f>
        <v>CHP</v>
      </c>
      <c r="I2001" s="161" t="str">
        <f t="shared" si="111"/>
        <v>S</v>
      </c>
      <c r="J2001" s="91">
        <v>2976</v>
      </c>
      <c r="K2001" s="91">
        <v>2976</v>
      </c>
      <c r="L2001" s="91">
        <v>2976</v>
      </c>
      <c r="M2001" s="91">
        <v>2976</v>
      </c>
      <c r="N2001" s="91">
        <v>2976</v>
      </c>
      <c r="O2001" s="91">
        <v>2976</v>
      </c>
      <c r="P2001" s="91">
        <v>2976</v>
      </c>
      <c r="Q2001" s="91">
        <v>2976</v>
      </c>
      <c r="R2001" s="91">
        <v>2976</v>
      </c>
      <c r="S2001" s="91">
        <v>2976</v>
      </c>
      <c r="T2001" s="91">
        <v>2976</v>
      </c>
      <c r="U2001" s="91">
        <v>2976</v>
      </c>
      <c r="V2001" s="91">
        <v>2976</v>
      </c>
      <c r="W2001" s="91">
        <v>2976</v>
      </c>
      <c r="X2001" s="91">
        <v>2976</v>
      </c>
      <c r="Y2001" s="91">
        <v>2976</v>
      </c>
      <c r="Z2001" s="91">
        <v>2976</v>
      </c>
      <c r="AA2001" s="91">
        <v>2976</v>
      </c>
      <c r="AB2001" s="91">
        <v>2976</v>
      </c>
      <c r="AC2001" s="91">
        <v>2976</v>
      </c>
      <c r="AD2001" s="91">
        <v>2976</v>
      </c>
      <c r="AE2001" s="91">
        <v>2976</v>
      </c>
      <c r="AF2001" s="91">
        <v>2976</v>
      </c>
      <c r="AG2001" s="91">
        <v>2976</v>
      </c>
      <c r="AH2001" s="91">
        <v>2976</v>
      </c>
      <c r="AI2001" s="91">
        <v>2976</v>
      </c>
      <c r="AJ2001" s="91">
        <v>2976</v>
      </c>
      <c r="AK2001" s="91">
        <v>2976</v>
      </c>
      <c r="AL2001" s="91">
        <v>2976</v>
      </c>
      <c r="AM2001" s="91">
        <v>2976</v>
      </c>
      <c r="AN2001" s="91">
        <v>2976</v>
      </c>
      <c r="AO2001" s="91">
        <v>2976</v>
      </c>
      <c r="AP2001" s="91">
        <v>2976</v>
      </c>
      <c r="AQ2001" s="91">
        <v>2976</v>
      </c>
      <c r="AR2001" s="91">
        <v>2976</v>
      </c>
      <c r="AS2001" s="91">
        <v>2976</v>
      </c>
      <c r="AT2001" s="91">
        <v>2976</v>
      </c>
      <c r="AU2001" s="91">
        <v>2976</v>
      </c>
      <c r="AV2001" s="91">
        <v>2976</v>
      </c>
      <c r="AW2001" s="91">
        <v>2976</v>
      </c>
      <c r="AX2001" s="92">
        <v>2976</v>
      </c>
    </row>
    <row r="2002" spans="1:50" x14ac:dyDescent="0.25">
      <c r="A2002" s="356"/>
      <c r="B2002" s="359"/>
      <c r="C2002" s="360"/>
      <c r="D2002" s="59" t="s">
        <v>20</v>
      </c>
      <c r="E2002" s="166" t="str">
        <f>A1979&amp;"/"&amp;B1995&amp;"/"&amp;C1999&amp;"/"&amp;D2002</f>
        <v>Fuel oil fired power plants/Steam turbine/CHP/XS</v>
      </c>
      <c r="F2002" s="79" t="str">
        <f>A1979</f>
        <v>Fuel oil fired power plants</v>
      </c>
      <c r="G2002" s="79" t="str">
        <f>B1995</f>
        <v>Steam turbine</v>
      </c>
      <c r="H2002" s="79" t="str">
        <f>C1999</f>
        <v>CHP</v>
      </c>
      <c r="I2002" s="167" t="str">
        <f t="shared" si="111"/>
        <v>XS</v>
      </c>
      <c r="J2002" s="97">
        <v>2529.6</v>
      </c>
      <c r="K2002" s="97">
        <v>2529.6</v>
      </c>
      <c r="L2002" s="97">
        <v>2529.6</v>
      </c>
      <c r="M2002" s="97">
        <v>2529.6</v>
      </c>
      <c r="N2002" s="97">
        <v>2529.6</v>
      </c>
      <c r="O2002" s="97">
        <v>2529.6</v>
      </c>
      <c r="P2002" s="97">
        <v>2529.6</v>
      </c>
      <c r="Q2002" s="97">
        <v>2529.6</v>
      </c>
      <c r="R2002" s="97">
        <v>2529.6</v>
      </c>
      <c r="S2002" s="97">
        <v>2529.6</v>
      </c>
      <c r="T2002" s="97">
        <v>2529.6</v>
      </c>
      <c r="U2002" s="97">
        <v>2529.6</v>
      </c>
      <c r="V2002" s="97">
        <v>2529.6</v>
      </c>
      <c r="W2002" s="97">
        <v>2529.6</v>
      </c>
      <c r="X2002" s="97">
        <v>2529.6</v>
      </c>
      <c r="Y2002" s="97">
        <v>2529.6</v>
      </c>
      <c r="Z2002" s="97">
        <v>2529.6</v>
      </c>
      <c r="AA2002" s="97">
        <v>2529.6</v>
      </c>
      <c r="AB2002" s="97">
        <v>2529.6</v>
      </c>
      <c r="AC2002" s="97">
        <v>2529.6</v>
      </c>
      <c r="AD2002" s="97">
        <v>2529.6</v>
      </c>
      <c r="AE2002" s="97">
        <v>2529.6</v>
      </c>
      <c r="AF2002" s="97">
        <v>2529.6</v>
      </c>
      <c r="AG2002" s="97">
        <v>2529.6</v>
      </c>
      <c r="AH2002" s="97">
        <v>2529.6</v>
      </c>
      <c r="AI2002" s="97">
        <v>2529.6</v>
      </c>
      <c r="AJ2002" s="97">
        <v>2529.6</v>
      </c>
      <c r="AK2002" s="97">
        <v>2529.6</v>
      </c>
      <c r="AL2002" s="97">
        <v>2529.6</v>
      </c>
      <c r="AM2002" s="97">
        <v>2529.6</v>
      </c>
      <c r="AN2002" s="97">
        <v>2529.6</v>
      </c>
      <c r="AO2002" s="97">
        <v>2529.6</v>
      </c>
      <c r="AP2002" s="97">
        <v>2529.6</v>
      </c>
      <c r="AQ2002" s="97">
        <v>2529.6</v>
      </c>
      <c r="AR2002" s="97">
        <v>2529.6</v>
      </c>
      <c r="AS2002" s="97">
        <v>2529.6</v>
      </c>
      <c r="AT2002" s="97">
        <v>2529.6</v>
      </c>
      <c r="AU2002" s="97">
        <v>2529.6</v>
      </c>
      <c r="AV2002" s="97">
        <v>2529.6</v>
      </c>
      <c r="AW2002" s="97">
        <v>2529.6</v>
      </c>
      <c r="AX2002" s="98">
        <v>2529.6</v>
      </c>
    </row>
    <row r="2003" spans="1:50" x14ac:dyDescent="0.25">
      <c r="A2003" s="356"/>
      <c r="B2003" s="359"/>
      <c r="C2003" s="361" t="s">
        <v>15</v>
      </c>
      <c r="D2003" s="58" t="s">
        <v>7</v>
      </c>
      <c r="E2003" s="164" t="str">
        <f>A1979&amp;"/"&amp;B1995&amp;"/"&amp;C2003&amp;"/"&amp;D2003</f>
        <v>Fuel oil fired power plants/Steam turbine/Electricity only with CCS/L</v>
      </c>
      <c r="F2003" s="78" t="str">
        <f>A1979</f>
        <v>Fuel oil fired power plants</v>
      </c>
      <c r="G2003" s="78" t="str">
        <f>B1995</f>
        <v>Steam turbine</v>
      </c>
      <c r="H2003" s="78" t="str">
        <f>C2003</f>
        <v>Electricity only with CCS</v>
      </c>
      <c r="I2003" s="165" t="str">
        <f t="shared" si="111"/>
        <v>L</v>
      </c>
      <c r="J2003" s="95" t="s">
        <v>112</v>
      </c>
      <c r="K2003" s="95" t="s">
        <v>112</v>
      </c>
      <c r="L2003" s="95" t="s">
        <v>112</v>
      </c>
      <c r="M2003" s="95" t="s">
        <v>112</v>
      </c>
      <c r="N2003" s="95" t="s">
        <v>112</v>
      </c>
      <c r="O2003" s="95" t="s">
        <v>112</v>
      </c>
      <c r="P2003" s="95" t="s">
        <v>112</v>
      </c>
      <c r="Q2003" s="95" t="s">
        <v>112</v>
      </c>
      <c r="R2003" s="95" t="s">
        <v>112</v>
      </c>
      <c r="S2003" s="95" t="s">
        <v>112</v>
      </c>
      <c r="T2003" s="95" t="s">
        <v>112</v>
      </c>
      <c r="U2003" s="95" t="s">
        <v>112</v>
      </c>
      <c r="V2003" s="95" t="s">
        <v>112</v>
      </c>
      <c r="W2003" s="95" t="s">
        <v>112</v>
      </c>
      <c r="X2003" s="95" t="s">
        <v>112</v>
      </c>
      <c r="Y2003" s="95" t="s">
        <v>112</v>
      </c>
      <c r="Z2003" s="95" t="s">
        <v>112</v>
      </c>
      <c r="AA2003" s="95" t="s">
        <v>112</v>
      </c>
      <c r="AB2003" s="95" t="s">
        <v>112</v>
      </c>
      <c r="AC2003" s="95" t="s">
        <v>112</v>
      </c>
      <c r="AD2003" s="95" t="s">
        <v>112</v>
      </c>
      <c r="AE2003" s="95">
        <v>6200</v>
      </c>
      <c r="AF2003" s="95">
        <v>6200</v>
      </c>
      <c r="AG2003" s="95">
        <v>6200</v>
      </c>
      <c r="AH2003" s="95">
        <v>6200</v>
      </c>
      <c r="AI2003" s="95">
        <v>6200</v>
      </c>
      <c r="AJ2003" s="95">
        <v>6200</v>
      </c>
      <c r="AK2003" s="95">
        <v>6200</v>
      </c>
      <c r="AL2003" s="95">
        <v>6200</v>
      </c>
      <c r="AM2003" s="95">
        <v>6200</v>
      </c>
      <c r="AN2003" s="95">
        <v>6200</v>
      </c>
      <c r="AO2003" s="95">
        <v>6200</v>
      </c>
      <c r="AP2003" s="95">
        <v>6200</v>
      </c>
      <c r="AQ2003" s="95">
        <v>6200</v>
      </c>
      <c r="AR2003" s="95">
        <v>6200</v>
      </c>
      <c r="AS2003" s="95">
        <v>6200</v>
      </c>
      <c r="AT2003" s="95">
        <v>6200</v>
      </c>
      <c r="AU2003" s="95">
        <v>6200</v>
      </c>
      <c r="AV2003" s="95">
        <v>6200</v>
      </c>
      <c r="AW2003" s="95">
        <v>6200</v>
      </c>
      <c r="AX2003" s="96">
        <v>6200</v>
      </c>
    </row>
    <row r="2004" spans="1:50" x14ac:dyDescent="0.25">
      <c r="A2004" s="356"/>
      <c r="B2004" s="359"/>
      <c r="C2004" s="360"/>
      <c r="D2004" s="59" t="s">
        <v>8</v>
      </c>
      <c r="E2004" s="166" t="str">
        <f>A1979&amp;"/"&amp;B1995&amp;"/"&amp;C2003&amp;"/"&amp;D2004</f>
        <v>Fuel oil fired power plants/Steam turbine/Electricity only with CCS/M</v>
      </c>
      <c r="F2004" s="79" t="str">
        <f>A1979</f>
        <v>Fuel oil fired power plants</v>
      </c>
      <c r="G2004" s="79" t="str">
        <f>B1995</f>
        <v>Steam turbine</v>
      </c>
      <c r="H2004" s="79" t="str">
        <f>C2003</f>
        <v>Electricity only with CCS</v>
      </c>
      <c r="I2004" s="167" t="str">
        <f t="shared" si="111"/>
        <v>M</v>
      </c>
      <c r="J2004" s="97" t="s">
        <v>112</v>
      </c>
      <c r="K2004" s="97" t="s">
        <v>112</v>
      </c>
      <c r="L2004" s="97" t="s">
        <v>112</v>
      </c>
      <c r="M2004" s="97" t="s">
        <v>112</v>
      </c>
      <c r="N2004" s="97" t="s">
        <v>112</v>
      </c>
      <c r="O2004" s="97" t="s">
        <v>112</v>
      </c>
      <c r="P2004" s="97" t="s">
        <v>112</v>
      </c>
      <c r="Q2004" s="97" t="s">
        <v>112</v>
      </c>
      <c r="R2004" s="97" t="s">
        <v>112</v>
      </c>
      <c r="S2004" s="97" t="s">
        <v>112</v>
      </c>
      <c r="T2004" s="97" t="s">
        <v>112</v>
      </c>
      <c r="U2004" s="97" t="s">
        <v>112</v>
      </c>
      <c r="V2004" s="97" t="s">
        <v>112</v>
      </c>
      <c r="W2004" s="97" t="s">
        <v>112</v>
      </c>
      <c r="X2004" s="97" t="s">
        <v>112</v>
      </c>
      <c r="Y2004" s="97" t="s">
        <v>112</v>
      </c>
      <c r="Z2004" s="97" t="s">
        <v>112</v>
      </c>
      <c r="AA2004" s="97" t="s">
        <v>112</v>
      </c>
      <c r="AB2004" s="97" t="s">
        <v>112</v>
      </c>
      <c r="AC2004" s="97" t="s">
        <v>112</v>
      </c>
      <c r="AD2004" s="97" t="s">
        <v>112</v>
      </c>
      <c r="AE2004" s="97">
        <v>4960</v>
      </c>
      <c r="AF2004" s="97">
        <v>4960</v>
      </c>
      <c r="AG2004" s="97">
        <v>4960</v>
      </c>
      <c r="AH2004" s="97">
        <v>4960</v>
      </c>
      <c r="AI2004" s="97">
        <v>4960</v>
      </c>
      <c r="AJ2004" s="97">
        <v>4960</v>
      </c>
      <c r="AK2004" s="97">
        <v>4960</v>
      </c>
      <c r="AL2004" s="97">
        <v>4960</v>
      </c>
      <c r="AM2004" s="97">
        <v>4960</v>
      </c>
      <c r="AN2004" s="97">
        <v>4960</v>
      </c>
      <c r="AO2004" s="97">
        <v>4960</v>
      </c>
      <c r="AP2004" s="97">
        <v>4960</v>
      </c>
      <c r="AQ2004" s="97">
        <v>4960</v>
      </c>
      <c r="AR2004" s="97">
        <v>4960</v>
      </c>
      <c r="AS2004" s="97">
        <v>4960</v>
      </c>
      <c r="AT2004" s="97">
        <v>4960</v>
      </c>
      <c r="AU2004" s="97">
        <v>4960</v>
      </c>
      <c r="AV2004" s="97">
        <v>4960</v>
      </c>
      <c r="AW2004" s="97">
        <v>4960</v>
      </c>
      <c r="AX2004" s="98">
        <v>4960</v>
      </c>
    </row>
    <row r="2005" spans="1:50" x14ac:dyDescent="0.25">
      <c r="A2005" s="356"/>
      <c r="B2005" s="359"/>
      <c r="C2005" s="361" t="s">
        <v>16</v>
      </c>
      <c r="D2005" s="2" t="s">
        <v>7</v>
      </c>
      <c r="E2005" s="160" t="str">
        <f>A1979&amp;"/"&amp;B1995&amp;"/"&amp;C2005&amp;"/"&amp;D2005</f>
        <v>Fuel oil fired power plants/Steam turbine/CHP with CCS/L</v>
      </c>
      <c r="F2005" s="76" t="str">
        <f>A1979</f>
        <v>Fuel oil fired power plants</v>
      </c>
      <c r="G2005" s="76" t="str">
        <f>B1995</f>
        <v>Steam turbine</v>
      </c>
      <c r="H2005" s="76" t="str">
        <f>C2005</f>
        <v>CHP with CCS</v>
      </c>
      <c r="I2005" s="161" t="str">
        <f t="shared" si="111"/>
        <v>L</v>
      </c>
      <c r="J2005" s="91" t="s">
        <v>112</v>
      </c>
      <c r="K2005" s="91" t="s">
        <v>112</v>
      </c>
      <c r="L2005" s="91" t="s">
        <v>112</v>
      </c>
      <c r="M2005" s="91" t="s">
        <v>112</v>
      </c>
      <c r="N2005" s="91" t="s">
        <v>112</v>
      </c>
      <c r="O2005" s="91" t="s">
        <v>112</v>
      </c>
      <c r="P2005" s="91" t="s">
        <v>112</v>
      </c>
      <c r="Q2005" s="91" t="s">
        <v>112</v>
      </c>
      <c r="R2005" s="91" t="s">
        <v>112</v>
      </c>
      <c r="S2005" s="91" t="s">
        <v>112</v>
      </c>
      <c r="T2005" s="91" t="s">
        <v>112</v>
      </c>
      <c r="U2005" s="91" t="s">
        <v>112</v>
      </c>
      <c r="V2005" s="91" t="s">
        <v>112</v>
      </c>
      <c r="W2005" s="91" t="s">
        <v>112</v>
      </c>
      <c r="X2005" s="91" t="s">
        <v>112</v>
      </c>
      <c r="Y2005" s="91" t="s">
        <v>112</v>
      </c>
      <c r="Z2005" s="91" t="s">
        <v>112</v>
      </c>
      <c r="AA2005" s="91" t="s">
        <v>112</v>
      </c>
      <c r="AB2005" s="91" t="s">
        <v>112</v>
      </c>
      <c r="AC2005" s="91" t="s">
        <v>112</v>
      </c>
      <c r="AD2005" s="91" t="s">
        <v>112</v>
      </c>
      <c r="AE2005" s="91">
        <v>4960</v>
      </c>
      <c r="AF2005" s="91">
        <v>4960</v>
      </c>
      <c r="AG2005" s="91">
        <v>4960</v>
      </c>
      <c r="AH2005" s="91">
        <v>4960</v>
      </c>
      <c r="AI2005" s="91">
        <v>4960</v>
      </c>
      <c r="AJ2005" s="91">
        <v>4960</v>
      </c>
      <c r="AK2005" s="91">
        <v>4960</v>
      </c>
      <c r="AL2005" s="91">
        <v>4960</v>
      </c>
      <c r="AM2005" s="91">
        <v>4960</v>
      </c>
      <c r="AN2005" s="91">
        <v>4960</v>
      </c>
      <c r="AO2005" s="91">
        <v>4960</v>
      </c>
      <c r="AP2005" s="91">
        <v>4960</v>
      </c>
      <c r="AQ2005" s="91">
        <v>4960</v>
      </c>
      <c r="AR2005" s="91">
        <v>4960</v>
      </c>
      <c r="AS2005" s="91">
        <v>4960</v>
      </c>
      <c r="AT2005" s="91">
        <v>4960</v>
      </c>
      <c r="AU2005" s="91">
        <v>4960</v>
      </c>
      <c r="AV2005" s="91">
        <v>4960</v>
      </c>
      <c r="AW2005" s="91">
        <v>4960</v>
      </c>
      <c r="AX2005" s="92">
        <v>4960</v>
      </c>
    </row>
    <row r="2006" spans="1:50" x14ac:dyDescent="0.25">
      <c r="A2006" s="357"/>
      <c r="B2006" s="362"/>
      <c r="C2006" s="354"/>
      <c r="D2006" s="4" t="s">
        <v>8</v>
      </c>
      <c r="E2006" s="168" t="str">
        <f>A1979&amp;"/"&amp;B1995&amp;"/"&amp;C2005&amp;"/"&amp;D2006</f>
        <v>Fuel oil fired power plants/Steam turbine/CHP with CCS/M</v>
      </c>
      <c r="F2006" s="80" t="str">
        <f>A1979</f>
        <v>Fuel oil fired power plants</v>
      </c>
      <c r="G2006" s="80" t="str">
        <f>B1995</f>
        <v>Steam turbine</v>
      </c>
      <c r="H2006" s="80" t="str">
        <f>C2005</f>
        <v>CHP with CCS</v>
      </c>
      <c r="I2006" s="169" t="str">
        <f t="shared" si="111"/>
        <v>M</v>
      </c>
      <c r="J2006" s="99" t="s">
        <v>112</v>
      </c>
      <c r="K2006" s="99" t="s">
        <v>112</v>
      </c>
      <c r="L2006" s="99" t="s">
        <v>112</v>
      </c>
      <c r="M2006" s="99" t="s">
        <v>112</v>
      </c>
      <c r="N2006" s="99" t="s">
        <v>112</v>
      </c>
      <c r="O2006" s="99" t="s">
        <v>112</v>
      </c>
      <c r="P2006" s="99" t="s">
        <v>112</v>
      </c>
      <c r="Q2006" s="99" t="s">
        <v>112</v>
      </c>
      <c r="R2006" s="99" t="s">
        <v>112</v>
      </c>
      <c r="S2006" s="99" t="s">
        <v>112</v>
      </c>
      <c r="T2006" s="99" t="s">
        <v>112</v>
      </c>
      <c r="U2006" s="99" t="s">
        <v>112</v>
      </c>
      <c r="V2006" s="99" t="s">
        <v>112</v>
      </c>
      <c r="W2006" s="99" t="s">
        <v>112</v>
      </c>
      <c r="X2006" s="99" t="s">
        <v>112</v>
      </c>
      <c r="Y2006" s="99" t="s">
        <v>112</v>
      </c>
      <c r="Z2006" s="99" t="s">
        <v>112</v>
      </c>
      <c r="AA2006" s="99" t="s">
        <v>112</v>
      </c>
      <c r="AB2006" s="99" t="s">
        <v>112</v>
      </c>
      <c r="AC2006" s="99" t="s">
        <v>112</v>
      </c>
      <c r="AD2006" s="99" t="s">
        <v>112</v>
      </c>
      <c r="AE2006" s="99">
        <v>3968</v>
      </c>
      <c r="AF2006" s="99">
        <v>3968</v>
      </c>
      <c r="AG2006" s="99">
        <v>3968</v>
      </c>
      <c r="AH2006" s="99">
        <v>3968</v>
      </c>
      <c r="AI2006" s="99">
        <v>3968</v>
      </c>
      <c r="AJ2006" s="99">
        <v>3968</v>
      </c>
      <c r="AK2006" s="99">
        <v>3968</v>
      </c>
      <c r="AL2006" s="99">
        <v>3968</v>
      </c>
      <c r="AM2006" s="99">
        <v>3968</v>
      </c>
      <c r="AN2006" s="99">
        <v>3968</v>
      </c>
      <c r="AO2006" s="99">
        <v>3968</v>
      </c>
      <c r="AP2006" s="99">
        <v>3968</v>
      </c>
      <c r="AQ2006" s="99">
        <v>3968</v>
      </c>
      <c r="AR2006" s="99">
        <v>3968</v>
      </c>
      <c r="AS2006" s="99">
        <v>3968</v>
      </c>
      <c r="AT2006" s="99">
        <v>3968</v>
      </c>
      <c r="AU2006" s="99">
        <v>3968</v>
      </c>
      <c r="AV2006" s="99">
        <v>3968</v>
      </c>
      <c r="AW2006" s="99">
        <v>3968</v>
      </c>
      <c r="AX2006" s="100">
        <v>3968</v>
      </c>
    </row>
    <row r="2007" spans="1:50" x14ac:dyDescent="0.25">
      <c r="A2007" s="355" t="s">
        <v>30</v>
      </c>
      <c r="B2007" s="358" t="s">
        <v>13</v>
      </c>
      <c r="C2007" s="353" t="s">
        <v>6</v>
      </c>
      <c r="D2007" s="3" t="s">
        <v>7</v>
      </c>
      <c r="E2007" s="162" t="str">
        <f>A2007&amp;"/"&amp;B2007&amp;"/"&amp;C2007&amp;"/"&amp;D2007</f>
        <v>Biomass and waste fired power plants/Integrated gasification combined cycle/Electricity only/L</v>
      </c>
      <c r="F2007" s="77" t="str">
        <f>A2007</f>
        <v>Biomass and waste fired power plants</v>
      </c>
      <c r="G2007" s="77" t="str">
        <f>B2007</f>
        <v>Integrated gasification combined cycle</v>
      </c>
      <c r="H2007" s="77" t="str">
        <f>C2007</f>
        <v>Electricity only</v>
      </c>
      <c r="I2007" s="163" t="str">
        <f t="shared" si="111"/>
        <v>L</v>
      </c>
      <c r="J2007" s="93">
        <v>6650</v>
      </c>
      <c r="K2007" s="93">
        <v>6650</v>
      </c>
      <c r="L2007" s="93">
        <v>6650</v>
      </c>
      <c r="M2007" s="93">
        <v>6650</v>
      </c>
      <c r="N2007" s="93">
        <v>6650</v>
      </c>
      <c r="O2007" s="93">
        <v>6650</v>
      </c>
      <c r="P2007" s="93">
        <v>6650</v>
      </c>
      <c r="Q2007" s="93">
        <v>6650</v>
      </c>
      <c r="R2007" s="93">
        <v>6650</v>
      </c>
      <c r="S2007" s="93">
        <v>6650</v>
      </c>
      <c r="T2007" s="93">
        <v>6650</v>
      </c>
      <c r="U2007" s="93">
        <v>6650</v>
      </c>
      <c r="V2007" s="93">
        <v>6650</v>
      </c>
      <c r="W2007" s="93">
        <v>6650</v>
      </c>
      <c r="X2007" s="93">
        <v>6650</v>
      </c>
      <c r="Y2007" s="93">
        <v>6650</v>
      </c>
      <c r="Z2007" s="93">
        <v>6650</v>
      </c>
      <c r="AA2007" s="93">
        <v>6650</v>
      </c>
      <c r="AB2007" s="93">
        <v>6650</v>
      </c>
      <c r="AC2007" s="93">
        <v>6650</v>
      </c>
      <c r="AD2007" s="93">
        <v>6650</v>
      </c>
      <c r="AE2007" s="93">
        <v>6650</v>
      </c>
      <c r="AF2007" s="93">
        <v>6650</v>
      </c>
      <c r="AG2007" s="93">
        <v>6650</v>
      </c>
      <c r="AH2007" s="93">
        <v>6650</v>
      </c>
      <c r="AI2007" s="93">
        <v>6650</v>
      </c>
      <c r="AJ2007" s="93">
        <v>6650</v>
      </c>
      <c r="AK2007" s="93">
        <v>6650</v>
      </c>
      <c r="AL2007" s="93">
        <v>6650</v>
      </c>
      <c r="AM2007" s="93">
        <v>6650</v>
      </c>
      <c r="AN2007" s="93">
        <v>6650</v>
      </c>
      <c r="AO2007" s="93">
        <v>6650</v>
      </c>
      <c r="AP2007" s="93">
        <v>6650</v>
      </c>
      <c r="AQ2007" s="93">
        <v>6650</v>
      </c>
      <c r="AR2007" s="93">
        <v>6650</v>
      </c>
      <c r="AS2007" s="93">
        <v>6650</v>
      </c>
      <c r="AT2007" s="93">
        <v>6650</v>
      </c>
      <c r="AU2007" s="93">
        <v>6650</v>
      </c>
      <c r="AV2007" s="93">
        <v>6650</v>
      </c>
      <c r="AW2007" s="93">
        <v>6650</v>
      </c>
      <c r="AX2007" s="94">
        <v>6650</v>
      </c>
    </row>
    <row r="2008" spans="1:50" x14ac:dyDescent="0.25">
      <c r="A2008" s="356"/>
      <c r="B2008" s="359"/>
      <c r="C2008" s="360"/>
      <c r="D2008" s="2" t="s">
        <v>8</v>
      </c>
      <c r="E2008" s="160" t="str">
        <f>A2007&amp;"/"&amp;B2007&amp;"/"&amp;C2007&amp;"/"&amp;D2008</f>
        <v>Biomass and waste fired power plants/Integrated gasification combined cycle/Electricity only/M</v>
      </c>
      <c r="F2008" s="76" t="str">
        <f>A2007</f>
        <v>Biomass and waste fired power plants</v>
      </c>
      <c r="G2008" s="76" t="str">
        <f>B2007</f>
        <v>Integrated gasification combined cycle</v>
      </c>
      <c r="H2008" s="76" t="str">
        <f>C2007</f>
        <v>Electricity only</v>
      </c>
      <c r="I2008" s="161" t="str">
        <f t="shared" si="111"/>
        <v>M</v>
      </c>
      <c r="J2008" s="91">
        <v>4522</v>
      </c>
      <c r="K2008" s="91">
        <v>4522</v>
      </c>
      <c r="L2008" s="91">
        <v>4522</v>
      </c>
      <c r="M2008" s="91">
        <v>4522</v>
      </c>
      <c r="N2008" s="91">
        <v>4522</v>
      </c>
      <c r="O2008" s="91">
        <v>4522</v>
      </c>
      <c r="P2008" s="91">
        <v>4522</v>
      </c>
      <c r="Q2008" s="91">
        <v>4522</v>
      </c>
      <c r="R2008" s="91">
        <v>4522</v>
      </c>
      <c r="S2008" s="91">
        <v>4522</v>
      </c>
      <c r="T2008" s="91">
        <v>4522</v>
      </c>
      <c r="U2008" s="91">
        <v>4522</v>
      </c>
      <c r="V2008" s="91">
        <v>4522</v>
      </c>
      <c r="W2008" s="91">
        <v>4522</v>
      </c>
      <c r="X2008" s="91">
        <v>4522</v>
      </c>
      <c r="Y2008" s="91">
        <v>4522</v>
      </c>
      <c r="Z2008" s="91">
        <v>4522</v>
      </c>
      <c r="AA2008" s="91">
        <v>4522</v>
      </c>
      <c r="AB2008" s="91">
        <v>4522</v>
      </c>
      <c r="AC2008" s="91">
        <v>4522</v>
      </c>
      <c r="AD2008" s="91">
        <v>4522</v>
      </c>
      <c r="AE2008" s="91">
        <v>4522</v>
      </c>
      <c r="AF2008" s="91">
        <v>4522</v>
      </c>
      <c r="AG2008" s="91">
        <v>4522</v>
      </c>
      <c r="AH2008" s="91">
        <v>4522</v>
      </c>
      <c r="AI2008" s="91">
        <v>4522</v>
      </c>
      <c r="AJ2008" s="91">
        <v>4522</v>
      </c>
      <c r="AK2008" s="91">
        <v>4522</v>
      </c>
      <c r="AL2008" s="91">
        <v>4522</v>
      </c>
      <c r="AM2008" s="91">
        <v>4522</v>
      </c>
      <c r="AN2008" s="91">
        <v>4522</v>
      </c>
      <c r="AO2008" s="91">
        <v>4522</v>
      </c>
      <c r="AP2008" s="91">
        <v>4522</v>
      </c>
      <c r="AQ2008" s="91">
        <v>4522</v>
      </c>
      <c r="AR2008" s="91">
        <v>4522</v>
      </c>
      <c r="AS2008" s="91">
        <v>4522</v>
      </c>
      <c r="AT2008" s="91">
        <v>4522</v>
      </c>
      <c r="AU2008" s="91">
        <v>4522</v>
      </c>
      <c r="AV2008" s="91">
        <v>4522</v>
      </c>
      <c r="AW2008" s="91">
        <v>4522</v>
      </c>
      <c r="AX2008" s="92">
        <v>4522</v>
      </c>
    </row>
    <row r="2009" spans="1:50" x14ac:dyDescent="0.25">
      <c r="A2009" s="356"/>
      <c r="B2009" s="359"/>
      <c r="C2009" s="361" t="s">
        <v>14</v>
      </c>
      <c r="D2009" s="58" t="s">
        <v>7</v>
      </c>
      <c r="E2009" s="164" t="str">
        <f>A2007&amp;"/"&amp;B2007&amp;"/"&amp;C2009&amp;"/"&amp;D2009</f>
        <v>Biomass and waste fired power plants/Integrated gasification combined cycle/CHP/L</v>
      </c>
      <c r="F2009" s="78" t="str">
        <f>A2007</f>
        <v>Biomass and waste fired power plants</v>
      </c>
      <c r="G2009" s="78" t="str">
        <f>B2007</f>
        <v>Integrated gasification combined cycle</v>
      </c>
      <c r="H2009" s="78" t="str">
        <f>C2009</f>
        <v>CHP</v>
      </c>
      <c r="I2009" s="165" t="str">
        <f t="shared" si="111"/>
        <v>L</v>
      </c>
      <c r="J2009" s="95">
        <v>5320</v>
      </c>
      <c r="K2009" s="95">
        <v>5320</v>
      </c>
      <c r="L2009" s="95">
        <v>5320</v>
      </c>
      <c r="M2009" s="95">
        <v>5320</v>
      </c>
      <c r="N2009" s="95">
        <v>5320</v>
      </c>
      <c r="O2009" s="95">
        <v>5320</v>
      </c>
      <c r="P2009" s="95">
        <v>5320</v>
      </c>
      <c r="Q2009" s="95">
        <v>5320</v>
      </c>
      <c r="R2009" s="95">
        <v>5320</v>
      </c>
      <c r="S2009" s="95">
        <v>5320</v>
      </c>
      <c r="T2009" s="95">
        <v>5320</v>
      </c>
      <c r="U2009" s="95">
        <v>5320</v>
      </c>
      <c r="V2009" s="95">
        <v>5320</v>
      </c>
      <c r="W2009" s="95">
        <v>5320</v>
      </c>
      <c r="X2009" s="95">
        <v>5320</v>
      </c>
      <c r="Y2009" s="95">
        <v>5320</v>
      </c>
      <c r="Z2009" s="95">
        <v>5320</v>
      </c>
      <c r="AA2009" s="95">
        <v>5320</v>
      </c>
      <c r="AB2009" s="95">
        <v>5320</v>
      </c>
      <c r="AC2009" s="95">
        <v>5320</v>
      </c>
      <c r="AD2009" s="95">
        <v>5320</v>
      </c>
      <c r="AE2009" s="95">
        <v>5320</v>
      </c>
      <c r="AF2009" s="95">
        <v>5320</v>
      </c>
      <c r="AG2009" s="95">
        <v>5320</v>
      </c>
      <c r="AH2009" s="95">
        <v>5320</v>
      </c>
      <c r="AI2009" s="95">
        <v>5320</v>
      </c>
      <c r="AJ2009" s="95">
        <v>5320</v>
      </c>
      <c r="AK2009" s="95">
        <v>5320</v>
      </c>
      <c r="AL2009" s="95">
        <v>5320</v>
      </c>
      <c r="AM2009" s="95">
        <v>5320</v>
      </c>
      <c r="AN2009" s="95">
        <v>5320</v>
      </c>
      <c r="AO2009" s="95">
        <v>5320</v>
      </c>
      <c r="AP2009" s="95">
        <v>5320</v>
      </c>
      <c r="AQ2009" s="95">
        <v>5320</v>
      </c>
      <c r="AR2009" s="95">
        <v>5320</v>
      </c>
      <c r="AS2009" s="95">
        <v>5320</v>
      </c>
      <c r="AT2009" s="95">
        <v>5320</v>
      </c>
      <c r="AU2009" s="95">
        <v>5320</v>
      </c>
      <c r="AV2009" s="95">
        <v>5320</v>
      </c>
      <c r="AW2009" s="95">
        <v>5320</v>
      </c>
      <c r="AX2009" s="96">
        <v>5320</v>
      </c>
    </row>
    <row r="2010" spans="1:50" x14ac:dyDescent="0.25">
      <c r="A2010" s="356"/>
      <c r="B2010" s="359"/>
      <c r="C2010" s="360"/>
      <c r="D2010" s="59" t="s">
        <v>8</v>
      </c>
      <c r="E2010" s="166" t="str">
        <f>A2007&amp;"/"&amp;B2007&amp;"/"&amp;C2009&amp;"/"&amp;D2010</f>
        <v>Biomass and waste fired power plants/Integrated gasification combined cycle/CHP/M</v>
      </c>
      <c r="F2010" s="79" t="str">
        <f>A2007</f>
        <v>Biomass and waste fired power plants</v>
      </c>
      <c r="G2010" s="79" t="str">
        <f>B2007</f>
        <v>Integrated gasification combined cycle</v>
      </c>
      <c r="H2010" s="79" t="str">
        <f>C2009</f>
        <v>CHP</v>
      </c>
      <c r="I2010" s="167" t="str">
        <f t="shared" si="111"/>
        <v>M</v>
      </c>
      <c r="J2010" s="97">
        <v>3192</v>
      </c>
      <c r="K2010" s="97">
        <v>3192</v>
      </c>
      <c r="L2010" s="97">
        <v>3192</v>
      </c>
      <c r="M2010" s="97">
        <v>3192</v>
      </c>
      <c r="N2010" s="97">
        <v>3192</v>
      </c>
      <c r="O2010" s="97">
        <v>3192</v>
      </c>
      <c r="P2010" s="97">
        <v>3192</v>
      </c>
      <c r="Q2010" s="97">
        <v>3192</v>
      </c>
      <c r="R2010" s="97">
        <v>3192</v>
      </c>
      <c r="S2010" s="97">
        <v>3192</v>
      </c>
      <c r="T2010" s="97">
        <v>3192</v>
      </c>
      <c r="U2010" s="97">
        <v>3192</v>
      </c>
      <c r="V2010" s="97">
        <v>3192</v>
      </c>
      <c r="W2010" s="97">
        <v>3192</v>
      </c>
      <c r="X2010" s="97">
        <v>3192</v>
      </c>
      <c r="Y2010" s="97">
        <v>3192</v>
      </c>
      <c r="Z2010" s="97">
        <v>3192</v>
      </c>
      <c r="AA2010" s="97">
        <v>3192</v>
      </c>
      <c r="AB2010" s="97">
        <v>3192</v>
      </c>
      <c r="AC2010" s="97">
        <v>3192</v>
      </c>
      <c r="AD2010" s="97">
        <v>3192</v>
      </c>
      <c r="AE2010" s="97">
        <v>3192</v>
      </c>
      <c r="AF2010" s="97">
        <v>3192</v>
      </c>
      <c r="AG2010" s="97">
        <v>3192</v>
      </c>
      <c r="AH2010" s="97">
        <v>3192</v>
      </c>
      <c r="AI2010" s="97">
        <v>3192</v>
      </c>
      <c r="AJ2010" s="97">
        <v>3192</v>
      </c>
      <c r="AK2010" s="97">
        <v>3192</v>
      </c>
      <c r="AL2010" s="97">
        <v>3192</v>
      </c>
      <c r="AM2010" s="97">
        <v>3192</v>
      </c>
      <c r="AN2010" s="97">
        <v>3192</v>
      </c>
      <c r="AO2010" s="97">
        <v>3192</v>
      </c>
      <c r="AP2010" s="97">
        <v>3192</v>
      </c>
      <c r="AQ2010" s="97">
        <v>3192</v>
      </c>
      <c r="AR2010" s="97">
        <v>3192</v>
      </c>
      <c r="AS2010" s="97">
        <v>3192</v>
      </c>
      <c r="AT2010" s="97">
        <v>3192</v>
      </c>
      <c r="AU2010" s="97">
        <v>3192</v>
      </c>
      <c r="AV2010" s="97">
        <v>3192</v>
      </c>
      <c r="AW2010" s="97">
        <v>3192</v>
      </c>
      <c r="AX2010" s="98">
        <v>3192</v>
      </c>
    </row>
    <row r="2011" spans="1:50" x14ac:dyDescent="0.25">
      <c r="A2011" s="356"/>
      <c r="B2011" s="359"/>
      <c r="C2011" s="361" t="s">
        <v>15</v>
      </c>
      <c r="D2011" s="58" t="s">
        <v>7</v>
      </c>
      <c r="E2011" s="164" t="str">
        <f>A2007&amp;"/"&amp;B2007&amp;"/"&amp;C2011&amp;"/"&amp;D2011</f>
        <v>Biomass and waste fired power plants/Integrated gasification combined cycle/Electricity only with CCS/L</v>
      </c>
      <c r="F2011" s="78" t="str">
        <f>A2007</f>
        <v>Biomass and waste fired power plants</v>
      </c>
      <c r="G2011" s="78" t="str">
        <f>B2007</f>
        <v>Integrated gasification combined cycle</v>
      </c>
      <c r="H2011" s="78" t="str">
        <f>C2011</f>
        <v>Electricity only with CCS</v>
      </c>
      <c r="I2011" s="165" t="str">
        <f t="shared" si="111"/>
        <v>L</v>
      </c>
      <c r="J2011" s="95" t="s">
        <v>112</v>
      </c>
      <c r="K2011" s="95" t="s">
        <v>112</v>
      </c>
      <c r="L2011" s="95" t="s">
        <v>112</v>
      </c>
      <c r="M2011" s="95" t="s">
        <v>112</v>
      </c>
      <c r="N2011" s="95" t="s">
        <v>112</v>
      </c>
      <c r="O2011" s="95" t="s">
        <v>112</v>
      </c>
      <c r="P2011" s="95" t="s">
        <v>112</v>
      </c>
      <c r="Q2011" s="95" t="s">
        <v>112</v>
      </c>
      <c r="R2011" s="95" t="s">
        <v>112</v>
      </c>
      <c r="S2011" s="95" t="s">
        <v>112</v>
      </c>
      <c r="T2011" s="95" t="s">
        <v>112</v>
      </c>
      <c r="U2011" s="95" t="s">
        <v>112</v>
      </c>
      <c r="V2011" s="95" t="s">
        <v>112</v>
      </c>
      <c r="W2011" s="95" t="s">
        <v>112</v>
      </c>
      <c r="X2011" s="95" t="s">
        <v>112</v>
      </c>
      <c r="Y2011" s="95" t="s">
        <v>112</v>
      </c>
      <c r="Z2011" s="95" t="s">
        <v>112</v>
      </c>
      <c r="AA2011" s="95" t="s">
        <v>112</v>
      </c>
      <c r="AB2011" s="95" t="s">
        <v>112</v>
      </c>
      <c r="AC2011" s="95" t="s">
        <v>112</v>
      </c>
      <c r="AD2011" s="95" t="s">
        <v>112</v>
      </c>
      <c r="AE2011" s="95">
        <v>6650</v>
      </c>
      <c r="AF2011" s="95">
        <v>6650</v>
      </c>
      <c r="AG2011" s="95">
        <v>6650</v>
      </c>
      <c r="AH2011" s="95">
        <v>6650</v>
      </c>
      <c r="AI2011" s="95">
        <v>6650</v>
      </c>
      <c r="AJ2011" s="95">
        <v>6650</v>
      </c>
      <c r="AK2011" s="95">
        <v>6650</v>
      </c>
      <c r="AL2011" s="95">
        <v>6650</v>
      </c>
      <c r="AM2011" s="95">
        <v>6650</v>
      </c>
      <c r="AN2011" s="95">
        <v>6650</v>
      </c>
      <c r="AO2011" s="95">
        <v>6650</v>
      </c>
      <c r="AP2011" s="95">
        <v>6650</v>
      </c>
      <c r="AQ2011" s="95">
        <v>6650</v>
      </c>
      <c r="AR2011" s="95">
        <v>6650</v>
      </c>
      <c r="AS2011" s="95">
        <v>6650</v>
      </c>
      <c r="AT2011" s="95">
        <v>6650</v>
      </c>
      <c r="AU2011" s="95">
        <v>6650</v>
      </c>
      <c r="AV2011" s="95">
        <v>6650</v>
      </c>
      <c r="AW2011" s="95">
        <v>6650</v>
      </c>
      <c r="AX2011" s="96">
        <v>6650</v>
      </c>
    </row>
    <row r="2012" spans="1:50" x14ac:dyDescent="0.25">
      <c r="A2012" s="356"/>
      <c r="B2012" s="359"/>
      <c r="C2012" s="360"/>
      <c r="D2012" s="59" t="s">
        <v>8</v>
      </c>
      <c r="E2012" s="166" t="str">
        <f>A2007&amp;"/"&amp;B2007&amp;"/"&amp;C2011&amp;"/"&amp;D2012</f>
        <v>Biomass and waste fired power plants/Integrated gasification combined cycle/Electricity only with CCS/M</v>
      </c>
      <c r="F2012" s="79" t="str">
        <f>A2007</f>
        <v>Biomass and waste fired power plants</v>
      </c>
      <c r="G2012" s="79" t="str">
        <f>B2007</f>
        <v>Integrated gasification combined cycle</v>
      </c>
      <c r="H2012" s="79" t="str">
        <f>C2011</f>
        <v>Electricity only with CCS</v>
      </c>
      <c r="I2012" s="167" t="str">
        <f t="shared" si="111"/>
        <v>M</v>
      </c>
      <c r="J2012" s="97" t="s">
        <v>112</v>
      </c>
      <c r="K2012" s="97" t="s">
        <v>112</v>
      </c>
      <c r="L2012" s="97" t="s">
        <v>112</v>
      </c>
      <c r="M2012" s="97" t="s">
        <v>112</v>
      </c>
      <c r="N2012" s="97" t="s">
        <v>112</v>
      </c>
      <c r="O2012" s="97" t="s">
        <v>112</v>
      </c>
      <c r="P2012" s="97" t="s">
        <v>112</v>
      </c>
      <c r="Q2012" s="97" t="s">
        <v>112</v>
      </c>
      <c r="R2012" s="97" t="s">
        <v>112</v>
      </c>
      <c r="S2012" s="97" t="s">
        <v>112</v>
      </c>
      <c r="T2012" s="97" t="s">
        <v>112</v>
      </c>
      <c r="U2012" s="97" t="s">
        <v>112</v>
      </c>
      <c r="V2012" s="97" t="s">
        <v>112</v>
      </c>
      <c r="W2012" s="97" t="s">
        <v>112</v>
      </c>
      <c r="X2012" s="97" t="s">
        <v>112</v>
      </c>
      <c r="Y2012" s="97" t="s">
        <v>112</v>
      </c>
      <c r="Z2012" s="97" t="s">
        <v>112</v>
      </c>
      <c r="AA2012" s="97" t="s">
        <v>112</v>
      </c>
      <c r="AB2012" s="97" t="s">
        <v>112</v>
      </c>
      <c r="AC2012" s="97" t="s">
        <v>112</v>
      </c>
      <c r="AD2012" s="97" t="s">
        <v>112</v>
      </c>
      <c r="AE2012" s="97">
        <v>4522</v>
      </c>
      <c r="AF2012" s="97">
        <v>4522</v>
      </c>
      <c r="AG2012" s="97">
        <v>4522</v>
      </c>
      <c r="AH2012" s="97">
        <v>4522</v>
      </c>
      <c r="AI2012" s="97">
        <v>4522</v>
      </c>
      <c r="AJ2012" s="97">
        <v>4522</v>
      </c>
      <c r="AK2012" s="97">
        <v>4522</v>
      </c>
      <c r="AL2012" s="97">
        <v>4522</v>
      </c>
      <c r="AM2012" s="97">
        <v>4522</v>
      </c>
      <c r="AN2012" s="97">
        <v>4522</v>
      </c>
      <c r="AO2012" s="97">
        <v>4522</v>
      </c>
      <c r="AP2012" s="97">
        <v>4522</v>
      </c>
      <c r="AQ2012" s="97">
        <v>4522</v>
      </c>
      <c r="AR2012" s="97">
        <v>4522</v>
      </c>
      <c r="AS2012" s="97">
        <v>4522</v>
      </c>
      <c r="AT2012" s="97">
        <v>4522</v>
      </c>
      <c r="AU2012" s="97">
        <v>4522</v>
      </c>
      <c r="AV2012" s="97">
        <v>4522</v>
      </c>
      <c r="AW2012" s="97">
        <v>4522</v>
      </c>
      <c r="AX2012" s="98">
        <v>4522</v>
      </c>
    </row>
    <row r="2013" spans="1:50" x14ac:dyDescent="0.25">
      <c r="A2013" s="356"/>
      <c r="B2013" s="359"/>
      <c r="C2013" s="361" t="s">
        <v>16</v>
      </c>
      <c r="D2013" s="2" t="s">
        <v>7</v>
      </c>
      <c r="E2013" s="160" t="str">
        <f>A2007&amp;"/"&amp;B2007&amp;"/"&amp;C2013&amp;"/"&amp;D2013</f>
        <v>Biomass and waste fired power plants/Integrated gasification combined cycle/CHP with CCS/L</v>
      </c>
      <c r="F2013" s="76" t="str">
        <f>A2007</f>
        <v>Biomass and waste fired power plants</v>
      </c>
      <c r="G2013" s="76" t="str">
        <f>B2007</f>
        <v>Integrated gasification combined cycle</v>
      </c>
      <c r="H2013" s="76" t="str">
        <f>C2013</f>
        <v>CHP with CCS</v>
      </c>
      <c r="I2013" s="161" t="str">
        <f t="shared" si="111"/>
        <v>L</v>
      </c>
      <c r="J2013" s="91" t="s">
        <v>112</v>
      </c>
      <c r="K2013" s="91" t="s">
        <v>112</v>
      </c>
      <c r="L2013" s="91" t="s">
        <v>112</v>
      </c>
      <c r="M2013" s="91" t="s">
        <v>112</v>
      </c>
      <c r="N2013" s="91" t="s">
        <v>112</v>
      </c>
      <c r="O2013" s="91" t="s">
        <v>112</v>
      </c>
      <c r="P2013" s="91" t="s">
        <v>112</v>
      </c>
      <c r="Q2013" s="91" t="s">
        <v>112</v>
      </c>
      <c r="R2013" s="91" t="s">
        <v>112</v>
      </c>
      <c r="S2013" s="91" t="s">
        <v>112</v>
      </c>
      <c r="T2013" s="91" t="s">
        <v>112</v>
      </c>
      <c r="U2013" s="91" t="s">
        <v>112</v>
      </c>
      <c r="V2013" s="91" t="s">
        <v>112</v>
      </c>
      <c r="W2013" s="91" t="s">
        <v>112</v>
      </c>
      <c r="X2013" s="91" t="s">
        <v>112</v>
      </c>
      <c r="Y2013" s="91" t="s">
        <v>112</v>
      </c>
      <c r="Z2013" s="91" t="s">
        <v>112</v>
      </c>
      <c r="AA2013" s="91" t="s">
        <v>112</v>
      </c>
      <c r="AB2013" s="91" t="s">
        <v>112</v>
      </c>
      <c r="AC2013" s="91" t="s">
        <v>112</v>
      </c>
      <c r="AD2013" s="91" t="s">
        <v>112</v>
      </c>
      <c r="AE2013" s="91">
        <v>5320</v>
      </c>
      <c r="AF2013" s="91">
        <v>5320</v>
      </c>
      <c r="AG2013" s="91">
        <v>5320</v>
      </c>
      <c r="AH2013" s="91">
        <v>5320</v>
      </c>
      <c r="AI2013" s="91">
        <v>5320</v>
      </c>
      <c r="AJ2013" s="91">
        <v>5320</v>
      </c>
      <c r="AK2013" s="91">
        <v>5320</v>
      </c>
      <c r="AL2013" s="91">
        <v>5320</v>
      </c>
      <c r="AM2013" s="91">
        <v>5320</v>
      </c>
      <c r="AN2013" s="91">
        <v>5320</v>
      </c>
      <c r="AO2013" s="91">
        <v>5320</v>
      </c>
      <c r="AP2013" s="91">
        <v>5320</v>
      </c>
      <c r="AQ2013" s="91">
        <v>5320</v>
      </c>
      <c r="AR2013" s="91">
        <v>5320</v>
      </c>
      <c r="AS2013" s="91">
        <v>5320</v>
      </c>
      <c r="AT2013" s="91">
        <v>5320</v>
      </c>
      <c r="AU2013" s="91">
        <v>5320</v>
      </c>
      <c r="AV2013" s="91">
        <v>5320</v>
      </c>
      <c r="AW2013" s="91">
        <v>5320</v>
      </c>
      <c r="AX2013" s="92">
        <v>5320</v>
      </c>
    </row>
    <row r="2014" spans="1:50" x14ac:dyDescent="0.25">
      <c r="A2014" s="356"/>
      <c r="B2014" s="362"/>
      <c r="C2014" s="354"/>
      <c r="D2014" s="4" t="s">
        <v>8</v>
      </c>
      <c r="E2014" s="168" t="str">
        <f>A2007&amp;"/"&amp;B2007&amp;"/"&amp;C2013&amp;"/"&amp;D2014</f>
        <v>Biomass and waste fired power plants/Integrated gasification combined cycle/CHP with CCS/M</v>
      </c>
      <c r="F2014" s="80" t="str">
        <f>A2007</f>
        <v>Biomass and waste fired power plants</v>
      </c>
      <c r="G2014" s="80" t="str">
        <f>B2007</f>
        <v>Integrated gasification combined cycle</v>
      </c>
      <c r="H2014" s="80" t="str">
        <f>C2013</f>
        <v>CHP with CCS</v>
      </c>
      <c r="I2014" s="169" t="str">
        <f t="shared" si="111"/>
        <v>M</v>
      </c>
      <c r="J2014" s="99" t="s">
        <v>112</v>
      </c>
      <c r="K2014" s="99" t="s">
        <v>112</v>
      </c>
      <c r="L2014" s="99" t="s">
        <v>112</v>
      </c>
      <c r="M2014" s="99" t="s">
        <v>112</v>
      </c>
      <c r="N2014" s="99" t="s">
        <v>112</v>
      </c>
      <c r="O2014" s="99" t="s">
        <v>112</v>
      </c>
      <c r="P2014" s="99" t="s">
        <v>112</v>
      </c>
      <c r="Q2014" s="99" t="s">
        <v>112</v>
      </c>
      <c r="R2014" s="99" t="s">
        <v>112</v>
      </c>
      <c r="S2014" s="99" t="s">
        <v>112</v>
      </c>
      <c r="T2014" s="99" t="s">
        <v>112</v>
      </c>
      <c r="U2014" s="99" t="s">
        <v>112</v>
      </c>
      <c r="V2014" s="99" t="s">
        <v>112</v>
      </c>
      <c r="W2014" s="99" t="s">
        <v>112</v>
      </c>
      <c r="X2014" s="99" t="s">
        <v>112</v>
      </c>
      <c r="Y2014" s="99" t="s">
        <v>112</v>
      </c>
      <c r="Z2014" s="99" t="s">
        <v>112</v>
      </c>
      <c r="AA2014" s="99" t="s">
        <v>112</v>
      </c>
      <c r="AB2014" s="99" t="s">
        <v>112</v>
      </c>
      <c r="AC2014" s="99" t="s">
        <v>112</v>
      </c>
      <c r="AD2014" s="99" t="s">
        <v>112</v>
      </c>
      <c r="AE2014" s="99">
        <v>3192</v>
      </c>
      <c r="AF2014" s="99">
        <v>3192</v>
      </c>
      <c r="AG2014" s="99">
        <v>3192</v>
      </c>
      <c r="AH2014" s="99">
        <v>3192</v>
      </c>
      <c r="AI2014" s="99">
        <v>3192</v>
      </c>
      <c r="AJ2014" s="99">
        <v>3192</v>
      </c>
      <c r="AK2014" s="99">
        <v>3192</v>
      </c>
      <c r="AL2014" s="99">
        <v>3192</v>
      </c>
      <c r="AM2014" s="99">
        <v>3192</v>
      </c>
      <c r="AN2014" s="99">
        <v>3192</v>
      </c>
      <c r="AO2014" s="99">
        <v>3192</v>
      </c>
      <c r="AP2014" s="99">
        <v>3192</v>
      </c>
      <c r="AQ2014" s="99">
        <v>3192</v>
      </c>
      <c r="AR2014" s="99">
        <v>3192</v>
      </c>
      <c r="AS2014" s="99">
        <v>3192</v>
      </c>
      <c r="AT2014" s="99">
        <v>3192</v>
      </c>
      <c r="AU2014" s="99">
        <v>3192</v>
      </c>
      <c r="AV2014" s="99">
        <v>3192</v>
      </c>
      <c r="AW2014" s="99">
        <v>3192</v>
      </c>
      <c r="AX2014" s="100">
        <v>3192</v>
      </c>
    </row>
    <row r="2015" spans="1:50" x14ac:dyDescent="0.25">
      <c r="A2015" s="356"/>
      <c r="B2015" s="358" t="s">
        <v>18</v>
      </c>
      <c r="C2015" s="353" t="s">
        <v>6</v>
      </c>
      <c r="D2015" s="3" t="s">
        <v>7</v>
      </c>
      <c r="E2015" s="162" t="str">
        <f>A2007&amp;"/"&amp;B2015&amp;"/"&amp;C2015&amp;"/"&amp;D2015</f>
        <v>Biomass and waste fired power plants/Fluidized bed combustion/Electricity only/L</v>
      </c>
      <c r="F2015" s="77" t="str">
        <f>A2007</f>
        <v>Biomass and waste fired power plants</v>
      </c>
      <c r="G2015" s="77" t="str">
        <f>B2015</f>
        <v>Fluidized bed combustion</v>
      </c>
      <c r="H2015" s="77" t="str">
        <f>C2015</f>
        <v>Electricity only</v>
      </c>
      <c r="I2015" s="163" t="str">
        <f t="shared" si="111"/>
        <v>L</v>
      </c>
      <c r="J2015" s="93">
        <v>5500</v>
      </c>
      <c r="K2015" s="93">
        <v>5500</v>
      </c>
      <c r="L2015" s="93">
        <v>5500</v>
      </c>
      <c r="M2015" s="93">
        <v>5500</v>
      </c>
      <c r="N2015" s="93">
        <v>5500</v>
      </c>
      <c r="O2015" s="93">
        <v>5500</v>
      </c>
      <c r="P2015" s="93">
        <v>5500</v>
      </c>
      <c r="Q2015" s="93">
        <v>5500</v>
      </c>
      <c r="R2015" s="93">
        <v>5500</v>
      </c>
      <c r="S2015" s="93">
        <v>5500</v>
      </c>
      <c r="T2015" s="93">
        <v>5500</v>
      </c>
      <c r="U2015" s="93">
        <v>5500</v>
      </c>
      <c r="V2015" s="93">
        <v>5500</v>
      </c>
      <c r="W2015" s="93">
        <v>5500</v>
      </c>
      <c r="X2015" s="93">
        <v>5500</v>
      </c>
      <c r="Y2015" s="93">
        <v>5500</v>
      </c>
      <c r="Z2015" s="93">
        <v>5500</v>
      </c>
      <c r="AA2015" s="93">
        <v>5500</v>
      </c>
      <c r="AB2015" s="93">
        <v>5500</v>
      </c>
      <c r="AC2015" s="93">
        <v>5500</v>
      </c>
      <c r="AD2015" s="93">
        <v>5500</v>
      </c>
      <c r="AE2015" s="93">
        <v>5500</v>
      </c>
      <c r="AF2015" s="93">
        <v>5500</v>
      </c>
      <c r="AG2015" s="93">
        <v>5500</v>
      </c>
      <c r="AH2015" s="93">
        <v>5500</v>
      </c>
      <c r="AI2015" s="93">
        <v>5500</v>
      </c>
      <c r="AJ2015" s="93">
        <v>5500</v>
      </c>
      <c r="AK2015" s="93">
        <v>5500</v>
      </c>
      <c r="AL2015" s="93">
        <v>5500</v>
      </c>
      <c r="AM2015" s="93">
        <v>5500</v>
      </c>
      <c r="AN2015" s="93">
        <v>5500</v>
      </c>
      <c r="AO2015" s="93">
        <v>5500</v>
      </c>
      <c r="AP2015" s="93">
        <v>5500</v>
      </c>
      <c r="AQ2015" s="93">
        <v>5500</v>
      </c>
      <c r="AR2015" s="93">
        <v>5500</v>
      </c>
      <c r="AS2015" s="93">
        <v>5500</v>
      </c>
      <c r="AT2015" s="93">
        <v>5500</v>
      </c>
      <c r="AU2015" s="93">
        <v>5500</v>
      </c>
      <c r="AV2015" s="93">
        <v>5500</v>
      </c>
      <c r="AW2015" s="93">
        <v>5500</v>
      </c>
      <c r="AX2015" s="94">
        <v>5500</v>
      </c>
    </row>
    <row r="2016" spans="1:50" x14ac:dyDescent="0.25">
      <c r="A2016" s="356"/>
      <c r="B2016" s="359"/>
      <c r="C2016" s="350"/>
      <c r="D2016" s="2" t="s">
        <v>8</v>
      </c>
      <c r="E2016" s="160" t="str">
        <f>A2007&amp;"/"&amp;B2015&amp;"/"&amp;C2015&amp;"/"&amp;D2016</f>
        <v>Biomass and waste fired power plants/Fluidized bed combustion/Electricity only/M</v>
      </c>
      <c r="F2016" s="76" t="str">
        <f>A2007</f>
        <v>Biomass and waste fired power plants</v>
      </c>
      <c r="G2016" s="76" t="str">
        <f>B2015</f>
        <v>Fluidized bed combustion</v>
      </c>
      <c r="H2016" s="76" t="str">
        <f>C2015</f>
        <v>Electricity only</v>
      </c>
      <c r="I2016" s="161" t="str">
        <f t="shared" si="111"/>
        <v>M</v>
      </c>
      <c r="J2016" s="91">
        <v>4400</v>
      </c>
      <c r="K2016" s="91">
        <v>4400</v>
      </c>
      <c r="L2016" s="91">
        <v>4400</v>
      </c>
      <c r="M2016" s="91">
        <v>4400</v>
      </c>
      <c r="N2016" s="91">
        <v>4400</v>
      </c>
      <c r="O2016" s="91">
        <v>4400</v>
      </c>
      <c r="P2016" s="91">
        <v>4400</v>
      </c>
      <c r="Q2016" s="91">
        <v>4400</v>
      </c>
      <c r="R2016" s="91">
        <v>4400</v>
      </c>
      <c r="S2016" s="91">
        <v>4400</v>
      </c>
      <c r="T2016" s="91">
        <v>4400</v>
      </c>
      <c r="U2016" s="91">
        <v>4400</v>
      </c>
      <c r="V2016" s="91">
        <v>4400</v>
      </c>
      <c r="W2016" s="91">
        <v>4400</v>
      </c>
      <c r="X2016" s="91">
        <v>4400</v>
      </c>
      <c r="Y2016" s="91">
        <v>4400</v>
      </c>
      <c r="Z2016" s="91">
        <v>4400</v>
      </c>
      <c r="AA2016" s="91">
        <v>4400</v>
      </c>
      <c r="AB2016" s="91">
        <v>4400</v>
      </c>
      <c r="AC2016" s="91">
        <v>4400</v>
      </c>
      <c r="AD2016" s="91">
        <v>4400</v>
      </c>
      <c r="AE2016" s="91">
        <v>4400</v>
      </c>
      <c r="AF2016" s="91">
        <v>4400</v>
      </c>
      <c r="AG2016" s="91">
        <v>4400</v>
      </c>
      <c r="AH2016" s="91">
        <v>4400</v>
      </c>
      <c r="AI2016" s="91">
        <v>4400</v>
      </c>
      <c r="AJ2016" s="91">
        <v>4400</v>
      </c>
      <c r="AK2016" s="91">
        <v>4400</v>
      </c>
      <c r="AL2016" s="91">
        <v>4400</v>
      </c>
      <c r="AM2016" s="91">
        <v>4400</v>
      </c>
      <c r="AN2016" s="91">
        <v>4400</v>
      </c>
      <c r="AO2016" s="91">
        <v>4400</v>
      </c>
      <c r="AP2016" s="91">
        <v>4400</v>
      </c>
      <c r="AQ2016" s="91">
        <v>4400</v>
      </c>
      <c r="AR2016" s="91">
        <v>4400</v>
      </c>
      <c r="AS2016" s="91">
        <v>4400</v>
      </c>
      <c r="AT2016" s="91">
        <v>4400</v>
      </c>
      <c r="AU2016" s="91">
        <v>4400</v>
      </c>
      <c r="AV2016" s="91">
        <v>4400</v>
      </c>
      <c r="AW2016" s="91">
        <v>4400</v>
      </c>
      <c r="AX2016" s="92">
        <v>4400</v>
      </c>
    </row>
    <row r="2017" spans="1:50" x14ac:dyDescent="0.25">
      <c r="A2017" s="356"/>
      <c r="B2017" s="359"/>
      <c r="C2017" s="350"/>
      <c r="D2017" s="2" t="s">
        <v>10</v>
      </c>
      <c r="E2017" s="160" t="str">
        <f>A2007&amp;"/"&amp;B2015&amp;"/"&amp;C2015&amp;"/"&amp;D2017</f>
        <v>Biomass and waste fired power plants/Fluidized bed combustion/Electricity only/S</v>
      </c>
      <c r="F2017" s="76" t="str">
        <f>A2007</f>
        <v>Biomass and waste fired power plants</v>
      </c>
      <c r="G2017" s="76" t="str">
        <f>B2015</f>
        <v>Fluidized bed combustion</v>
      </c>
      <c r="H2017" s="76" t="str">
        <f>C2015</f>
        <v>Electricity only</v>
      </c>
      <c r="I2017" s="161" t="str">
        <f t="shared" si="111"/>
        <v>S</v>
      </c>
      <c r="J2017" s="91">
        <v>3300</v>
      </c>
      <c r="K2017" s="91">
        <v>3300</v>
      </c>
      <c r="L2017" s="91">
        <v>3300</v>
      </c>
      <c r="M2017" s="91">
        <v>3300</v>
      </c>
      <c r="N2017" s="91">
        <v>3300</v>
      </c>
      <c r="O2017" s="91">
        <v>3300</v>
      </c>
      <c r="P2017" s="91">
        <v>3300</v>
      </c>
      <c r="Q2017" s="91">
        <v>3300</v>
      </c>
      <c r="R2017" s="91">
        <v>3300</v>
      </c>
      <c r="S2017" s="91">
        <v>3300</v>
      </c>
      <c r="T2017" s="91">
        <v>3300</v>
      </c>
      <c r="U2017" s="91">
        <v>3300</v>
      </c>
      <c r="V2017" s="91">
        <v>3300</v>
      </c>
      <c r="W2017" s="91">
        <v>3300</v>
      </c>
      <c r="X2017" s="91">
        <v>3300</v>
      </c>
      <c r="Y2017" s="91">
        <v>3300</v>
      </c>
      <c r="Z2017" s="91">
        <v>3300</v>
      </c>
      <c r="AA2017" s="91">
        <v>3300</v>
      </c>
      <c r="AB2017" s="91">
        <v>3300</v>
      </c>
      <c r="AC2017" s="91">
        <v>3300</v>
      </c>
      <c r="AD2017" s="91">
        <v>3300</v>
      </c>
      <c r="AE2017" s="91">
        <v>3300</v>
      </c>
      <c r="AF2017" s="91">
        <v>3300</v>
      </c>
      <c r="AG2017" s="91">
        <v>3300</v>
      </c>
      <c r="AH2017" s="91">
        <v>3300</v>
      </c>
      <c r="AI2017" s="91">
        <v>3300</v>
      </c>
      <c r="AJ2017" s="91">
        <v>3300</v>
      </c>
      <c r="AK2017" s="91">
        <v>3300</v>
      </c>
      <c r="AL2017" s="91">
        <v>3300</v>
      </c>
      <c r="AM2017" s="91">
        <v>3300</v>
      </c>
      <c r="AN2017" s="91">
        <v>3300</v>
      </c>
      <c r="AO2017" s="91">
        <v>3300</v>
      </c>
      <c r="AP2017" s="91">
        <v>3300</v>
      </c>
      <c r="AQ2017" s="91">
        <v>3300</v>
      </c>
      <c r="AR2017" s="91">
        <v>3300</v>
      </c>
      <c r="AS2017" s="91">
        <v>3300</v>
      </c>
      <c r="AT2017" s="91">
        <v>3300</v>
      </c>
      <c r="AU2017" s="91">
        <v>3300</v>
      </c>
      <c r="AV2017" s="91">
        <v>3300</v>
      </c>
      <c r="AW2017" s="91">
        <v>3300</v>
      </c>
      <c r="AX2017" s="92">
        <v>3300</v>
      </c>
    </row>
    <row r="2018" spans="1:50" x14ac:dyDescent="0.25">
      <c r="A2018" s="356"/>
      <c r="B2018" s="359"/>
      <c r="C2018" s="360"/>
      <c r="D2018" s="2" t="s">
        <v>20</v>
      </c>
      <c r="E2018" s="160" t="str">
        <f>A2007&amp;"/"&amp;B2015&amp;"/"&amp;C2015&amp;"/"&amp;D2018</f>
        <v>Biomass and waste fired power plants/Fluidized bed combustion/Electricity only/XS</v>
      </c>
      <c r="F2018" s="76" t="str">
        <f>A2007</f>
        <v>Biomass and waste fired power plants</v>
      </c>
      <c r="G2018" s="76" t="str">
        <f>B2015</f>
        <v>Fluidized bed combustion</v>
      </c>
      <c r="H2018" s="76" t="str">
        <f>C2015</f>
        <v>Electricity only</v>
      </c>
      <c r="I2018" s="161" t="str">
        <f t="shared" si="111"/>
        <v>XS</v>
      </c>
      <c r="J2018" s="91">
        <v>2805</v>
      </c>
      <c r="K2018" s="91">
        <v>2805</v>
      </c>
      <c r="L2018" s="91">
        <v>2805</v>
      </c>
      <c r="M2018" s="91">
        <v>2805</v>
      </c>
      <c r="N2018" s="91">
        <v>2805</v>
      </c>
      <c r="O2018" s="91">
        <v>2805</v>
      </c>
      <c r="P2018" s="91">
        <v>2805</v>
      </c>
      <c r="Q2018" s="91">
        <v>2805</v>
      </c>
      <c r="R2018" s="91">
        <v>2805</v>
      </c>
      <c r="S2018" s="91">
        <v>2805</v>
      </c>
      <c r="T2018" s="91">
        <v>2805</v>
      </c>
      <c r="U2018" s="91">
        <v>2805</v>
      </c>
      <c r="V2018" s="91">
        <v>2805</v>
      </c>
      <c r="W2018" s="91">
        <v>2805</v>
      </c>
      <c r="X2018" s="91">
        <v>2805</v>
      </c>
      <c r="Y2018" s="91">
        <v>2805</v>
      </c>
      <c r="Z2018" s="91">
        <v>2805</v>
      </c>
      <c r="AA2018" s="91">
        <v>2805</v>
      </c>
      <c r="AB2018" s="91">
        <v>2805</v>
      </c>
      <c r="AC2018" s="91">
        <v>2805</v>
      </c>
      <c r="AD2018" s="91">
        <v>2805</v>
      </c>
      <c r="AE2018" s="91">
        <v>2805</v>
      </c>
      <c r="AF2018" s="91">
        <v>2805</v>
      </c>
      <c r="AG2018" s="91">
        <v>2805</v>
      </c>
      <c r="AH2018" s="91">
        <v>2805</v>
      </c>
      <c r="AI2018" s="91">
        <v>2805</v>
      </c>
      <c r="AJ2018" s="91">
        <v>2805</v>
      </c>
      <c r="AK2018" s="91">
        <v>2805</v>
      </c>
      <c r="AL2018" s="91">
        <v>2805</v>
      </c>
      <c r="AM2018" s="91">
        <v>2805</v>
      </c>
      <c r="AN2018" s="91">
        <v>2805</v>
      </c>
      <c r="AO2018" s="91">
        <v>2805</v>
      </c>
      <c r="AP2018" s="91">
        <v>2805</v>
      </c>
      <c r="AQ2018" s="91">
        <v>2805</v>
      </c>
      <c r="AR2018" s="91">
        <v>2805</v>
      </c>
      <c r="AS2018" s="91">
        <v>2805</v>
      </c>
      <c r="AT2018" s="91">
        <v>2805</v>
      </c>
      <c r="AU2018" s="91">
        <v>2805</v>
      </c>
      <c r="AV2018" s="91">
        <v>2805</v>
      </c>
      <c r="AW2018" s="91">
        <v>2805</v>
      </c>
      <c r="AX2018" s="92">
        <v>2805</v>
      </c>
    </row>
    <row r="2019" spans="1:50" x14ac:dyDescent="0.25">
      <c r="A2019" s="356"/>
      <c r="B2019" s="359"/>
      <c r="C2019" s="361" t="s">
        <v>14</v>
      </c>
      <c r="D2019" s="58" t="s">
        <v>7</v>
      </c>
      <c r="E2019" s="164" t="str">
        <f>A2007&amp;"/"&amp;B2015&amp;"/"&amp;C2019&amp;"/"&amp;D2019</f>
        <v>Biomass and waste fired power plants/Fluidized bed combustion/CHP/L</v>
      </c>
      <c r="F2019" s="78" t="str">
        <f>A2007</f>
        <v>Biomass and waste fired power plants</v>
      </c>
      <c r="G2019" s="78" t="str">
        <f>B2015</f>
        <v>Fluidized bed combustion</v>
      </c>
      <c r="H2019" s="78" t="str">
        <f>C2019</f>
        <v>CHP</v>
      </c>
      <c r="I2019" s="165" t="str">
        <f t="shared" si="111"/>
        <v>L</v>
      </c>
      <c r="J2019" s="95">
        <v>4400</v>
      </c>
      <c r="K2019" s="95">
        <v>4400</v>
      </c>
      <c r="L2019" s="95">
        <v>4400</v>
      </c>
      <c r="M2019" s="95">
        <v>4400</v>
      </c>
      <c r="N2019" s="95">
        <v>4400</v>
      </c>
      <c r="O2019" s="95">
        <v>4400</v>
      </c>
      <c r="P2019" s="95">
        <v>4400</v>
      </c>
      <c r="Q2019" s="95">
        <v>4400</v>
      </c>
      <c r="R2019" s="95">
        <v>4400</v>
      </c>
      <c r="S2019" s="95">
        <v>4400</v>
      </c>
      <c r="T2019" s="95">
        <v>4400</v>
      </c>
      <c r="U2019" s="95">
        <v>4400</v>
      </c>
      <c r="V2019" s="95">
        <v>4400</v>
      </c>
      <c r="W2019" s="95">
        <v>4400</v>
      </c>
      <c r="X2019" s="95">
        <v>4400</v>
      </c>
      <c r="Y2019" s="95">
        <v>4400</v>
      </c>
      <c r="Z2019" s="95">
        <v>4400</v>
      </c>
      <c r="AA2019" s="95">
        <v>4400</v>
      </c>
      <c r="AB2019" s="95">
        <v>4400</v>
      </c>
      <c r="AC2019" s="95">
        <v>4400</v>
      </c>
      <c r="AD2019" s="95">
        <v>4400</v>
      </c>
      <c r="AE2019" s="95">
        <v>4400</v>
      </c>
      <c r="AF2019" s="95">
        <v>4400</v>
      </c>
      <c r="AG2019" s="95">
        <v>4400</v>
      </c>
      <c r="AH2019" s="95">
        <v>4400</v>
      </c>
      <c r="AI2019" s="95">
        <v>4400</v>
      </c>
      <c r="AJ2019" s="95">
        <v>4400</v>
      </c>
      <c r="AK2019" s="95">
        <v>4400</v>
      </c>
      <c r="AL2019" s="95">
        <v>4400</v>
      </c>
      <c r="AM2019" s="95">
        <v>4400</v>
      </c>
      <c r="AN2019" s="95">
        <v>4400</v>
      </c>
      <c r="AO2019" s="95">
        <v>4400</v>
      </c>
      <c r="AP2019" s="95">
        <v>4400</v>
      </c>
      <c r="AQ2019" s="95">
        <v>4400</v>
      </c>
      <c r="AR2019" s="95">
        <v>4400</v>
      </c>
      <c r="AS2019" s="95">
        <v>4400</v>
      </c>
      <c r="AT2019" s="95">
        <v>4400</v>
      </c>
      <c r="AU2019" s="95">
        <v>4400</v>
      </c>
      <c r="AV2019" s="95">
        <v>4400</v>
      </c>
      <c r="AW2019" s="95">
        <v>4400</v>
      </c>
      <c r="AX2019" s="96">
        <v>4400</v>
      </c>
    </row>
    <row r="2020" spans="1:50" x14ac:dyDescent="0.25">
      <c r="A2020" s="356"/>
      <c r="B2020" s="359"/>
      <c r="C2020" s="350"/>
      <c r="D2020" s="2" t="s">
        <v>8</v>
      </c>
      <c r="E2020" s="160" t="str">
        <f>A2007&amp;"/"&amp;B2015&amp;"/"&amp;C2019&amp;"/"&amp;D2020</f>
        <v>Biomass and waste fired power plants/Fluidized bed combustion/CHP/M</v>
      </c>
      <c r="F2020" s="76" t="str">
        <f>A2007</f>
        <v>Biomass and waste fired power plants</v>
      </c>
      <c r="G2020" s="76" t="str">
        <f>B2015</f>
        <v>Fluidized bed combustion</v>
      </c>
      <c r="H2020" s="76" t="str">
        <f>C2019</f>
        <v>CHP</v>
      </c>
      <c r="I2020" s="161" t="str">
        <f t="shared" si="111"/>
        <v>M</v>
      </c>
      <c r="J2020" s="91">
        <v>3520</v>
      </c>
      <c r="K2020" s="91">
        <v>3520</v>
      </c>
      <c r="L2020" s="91">
        <v>3520</v>
      </c>
      <c r="M2020" s="91">
        <v>3520</v>
      </c>
      <c r="N2020" s="91">
        <v>3520</v>
      </c>
      <c r="O2020" s="91">
        <v>3520</v>
      </c>
      <c r="P2020" s="91">
        <v>3520</v>
      </c>
      <c r="Q2020" s="91">
        <v>3520</v>
      </c>
      <c r="R2020" s="91">
        <v>3520</v>
      </c>
      <c r="S2020" s="91">
        <v>3520</v>
      </c>
      <c r="T2020" s="91">
        <v>3520</v>
      </c>
      <c r="U2020" s="91">
        <v>3520</v>
      </c>
      <c r="V2020" s="91">
        <v>3520</v>
      </c>
      <c r="W2020" s="91">
        <v>3520</v>
      </c>
      <c r="X2020" s="91">
        <v>3520</v>
      </c>
      <c r="Y2020" s="91">
        <v>3520</v>
      </c>
      <c r="Z2020" s="91">
        <v>3520</v>
      </c>
      <c r="AA2020" s="91">
        <v>3520</v>
      </c>
      <c r="AB2020" s="91">
        <v>3520</v>
      </c>
      <c r="AC2020" s="91">
        <v>3520</v>
      </c>
      <c r="AD2020" s="91">
        <v>3520</v>
      </c>
      <c r="AE2020" s="91">
        <v>3520</v>
      </c>
      <c r="AF2020" s="91">
        <v>3520</v>
      </c>
      <c r="AG2020" s="91">
        <v>3520</v>
      </c>
      <c r="AH2020" s="91">
        <v>3520</v>
      </c>
      <c r="AI2020" s="91">
        <v>3520</v>
      </c>
      <c r="AJ2020" s="91">
        <v>3520</v>
      </c>
      <c r="AK2020" s="91">
        <v>3520</v>
      </c>
      <c r="AL2020" s="91">
        <v>3520</v>
      </c>
      <c r="AM2020" s="91">
        <v>3520</v>
      </c>
      <c r="AN2020" s="91">
        <v>3520</v>
      </c>
      <c r="AO2020" s="91">
        <v>3520</v>
      </c>
      <c r="AP2020" s="91">
        <v>3520</v>
      </c>
      <c r="AQ2020" s="91">
        <v>3520</v>
      </c>
      <c r="AR2020" s="91">
        <v>3520</v>
      </c>
      <c r="AS2020" s="91">
        <v>3520</v>
      </c>
      <c r="AT2020" s="91">
        <v>3520</v>
      </c>
      <c r="AU2020" s="91">
        <v>3520</v>
      </c>
      <c r="AV2020" s="91">
        <v>3520</v>
      </c>
      <c r="AW2020" s="91">
        <v>3520</v>
      </c>
      <c r="AX2020" s="92">
        <v>3520</v>
      </c>
    </row>
    <row r="2021" spans="1:50" x14ac:dyDescent="0.25">
      <c r="A2021" s="356"/>
      <c r="B2021" s="359"/>
      <c r="C2021" s="350"/>
      <c r="D2021" s="2" t="s">
        <v>10</v>
      </c>
      <c r="E2021" s="160" t="str">
        <f>A2007&amp;"/"&amp;B2015&amp;"/"&amp;C2019&amp;"/"&amp;D2021</f>
        <v>Biomass and waste fired power plants/Fluidized bed combustion/CHP/S</v>
      </c>
      <c r="F2021" s="76" t="str">
        <f>A2007</f>
        <v>Biomass and waste fired power plants</v>
      </c>
      <c r="G2021" s="76" t="str">
        <f>B2015</f>
        <v>Fluidized bed combustion</v>
      </c>
      <c r="H2021" s="76" t="str">
        <f>C2019</f>
        <v>CHP</v>
      </c>
      <c r="I2021" s="161" t="str">
        <f t="shared" si="111"/>
        <v>S</v>
      </c>
      <c r="J2021" s="91">
        <v>2640</v>
      </c>
      <c r="K2021" s="91">
        <v>2640</v>
      </c>
      <c r="L2021" s="91">
        <v>2640</v>
      </c>
      <c r="M2021" s="91">
        <v>2640</v>
      </c>
      <c r="N2021" s="91">
        <v>2640</v>
      </c>
      <c r="O2021" s="91">
        <v>2640</v>
      </c>
      <c r="P2021" s="91">
        <v>2640</v>
      </c>
      <c r="Q2021" s="91">
        <v>2640</v>
      </c>
      <c r="R2021" s="91">
        <v>2640</v>
      </c>
      <c r="S2021" s="91">
        <v>2640</v>
      </c>
      <c r="T2021" s="91">
        <v>2640</v>
      </c>
      <c r="U2021" s="91">
        <v>2640</v>
      </c>
      <c r="V2021" s="91">
        <v>2640</v>
      </c>
      <c r="W2021" s="91">
        <v>2640</v>
      </c>
      <c r="X2021" s="91">
        <v>2640</v>
      </c>
      <c r="Y2021" s="91">
        <v>2640</v>
      </c>
      <c r="Z2021" s="91">
        <v>2640</v>
      </c>
      <c r="AA2021" s="91">
        <v>2640</v>
      </c>
      <c r="AB2021" s="91">
        <v>2640</v>
      </c>
      <c r="AC2021" s="91">
        <v>2640</v>
      </c>
      <c r="AD2021" s="91">
        <v>2640</v>
      </c>
      <c r="AE2021" s="91">
        <v>2640</v>
      </c>
      <c r="AF2021" s="91">
        <v>2640</v>
      </c>
      <c r="AG2021" s="91">
        <v>2640</v>
      </c>
      <c r="AH2021" s="91">
        <v>2640</v>
      </c>
      <c r="AI2021" s="91">
        <v>2640</v>
      </c>
      <c r="AJ2021" s="91">
        <v>2640</v>
      </c>
      <c r="AK2021" s="91">
        <v>2640</v>
      </c>
      <c r="AL2021" s="91">
        <v>2640</v>
      </c>
      <c r="AM2021" s="91">
        <v>2640</v>
      </c>
      <c r="AN2021" s="91">
        <v>2640</v>
      </c>
      <c r="AO2021" s="91">
        <v>2640</v>
      </c>
      <c r="AP2021" s="91">
        <v>2640</v>
      </c>
      <c r="AQ2021" s="91">
        <v>2640</v>
      </c>
      <c r="AR2021" s="91">
        <v>2640</v>
      </c>
      <c r="AS2021" s="91">
        <v>2640</v>
      </c>
      <c r="AT2021" s="91">
        <v>2640</v>
      </c>
      <c r="AU2021" s="91">
        <v>2640</v>
      </c>
      <c r="AV2021" s="91">
        <v>2640</v>
      </c>
      <c r="AW2021" s="91">
        <v>2640</v>
      </c>
      <c r="AX2021" s="92">
        <v>2640</v>
      </c>
    </row>
    <row r="2022" spans="1:50" x14ac:dyDescent="0.25">
      <c r="A2022" s="356"/>
      <c r="B2022" s="359"/>
      <c r="C2022" s="360"/>
      <c r="D2022" s="59" t="s">
        <v>20</v>
      </c>
      <c r="E2022" s="166" t="str">
        <f>A2007&amp;"/"&amp;B2015&amp;"/"&amp;C2019&amp;"/"&amp;D2022</f>
        <v>Biomass and waste fired power plants/Fluidized bed combustion/CHP/XS</v>
      </c>
      <c r="F2022" s="79" t="str">
        <f>A2007</f>
        <v>Biomass and waste fired power plants</v>
      </c>
      <c r="G2022" s="79" t="str">
        <f>B2015</f>
        <v>Fluidized bed combustion</v>
      </c>
      <c r="H2022" s="79" t="str">
        <f>C2019</f>
        <v>CHP</v>
      </c>
      <c r="I2022" s="167" t="str">
        <f t="shared" si="111"/>
        <v>XS</v>
      </c>
      <c r="J2022" s="97">
        <v>2244</v>
      </c>
      <c r="K2022" s="97">
        <v>2244</v>
      </c>
      <c r="L2022" s="97">
        <v>2244</v>
      </c>
      <c r="M2022" s="97">
        <v>2244</v>
      </c>
      <c r="N2022" s="97">
        <v>2244</v>
      </c>
      <c r="O2022" s="97">
        <v>2244</v>
      </c>
      <c r="P2022" s="97">
        <v>2244</v>
      </c>
      <c r="Q2022" s="97">
        <v>2244</v>
      </c>
      <c r="R2022" s="97">
        <v>2244</v>
      </c>
      <c r="S2022" s="97">
        <v>2244</v>
      </c>
      <c r="T2022" s="97">
        <v>2244</v>
      </c>
      <c r="U2022" s="97">
        <v>2244</v>
      </c>
      <c r="V2022" s="97">
        <v>2244</v>
      </c>
      <c r="W2022" s="97">
        <v>2244</v>
      </c>
      <c r="X2022" s="97">
        <v>2244</v>
      </c>
      <c r="Y2022" s="97">
        <v>2244</v>
      </c>
      <c r="Z2022" s="97">
        <v>2244</v>
      </c>
      <c r="AA2022" s="97">
        <v>2244</v>
      </c>
      <c r="AB2022" s="97">
        <v>2244</v>
      </c>
      <c r="AC2022" s="97">
        <v>2244</v>
      </c>
      <c r="AD2022" s="97">
        <v>2244</v>
      </c>
      <c r="AE2022" s="97">
        <v>2244</v>
      </c>
      <c r="AF2022" s="97">
        <v>2244</v>
      </c>
      <c r="AG2022" s="97">
        <v>2244</v>
      </c>
      <c r="AH2022" s="97">
        <v>2244</v>
      </c>
      <c r="AI2022" s="97">
        <v>2244</v>
      </c>
      <c r="AJ2022" s="97">
        <v>2244</v>
      </c>
      <c r="AK2022" s="97">
        <v>2244</v>
      </c>
      <c r="AL2022" s="97">
        <v>2244</v>
      </c>
      <c r="AM2022" s="97">
        <v>2244</v>
      </c>
      <c r="AN2022" s="97">
        <v>2244</v>
      </c>
      <c r="AO2022" s="97">
        <v>2244</v>
      </c>
      <c r="AP2022" s="97">
        <v>2244</v>
      </c>
      <c r="AQ2022" s="97">
        <v>2244</v>
      </c>
      <c r="AR2022" s="97">
        <v>2244</v>
      </c>
      <c r="AS2022" s="97">
        <v>2244</v>
      </c>
      <c r="AT2022" s="97">
        <v>2244</v>
      </c>
      <c r="AU2022" s="97">
        <v>2244</v>
      </c>
      <c r="AV2022" s="97">
        <v>2244</v>
      </c>
      <c r="AW2022" s="97">
        <v>2244</v>
      </c>
      <c r="AX2022" s="98">
        <v>2244</v>
      </c>
    </row>
    <row r="2023" spans="1:50" x14ac:dyDescent="0.25">
      <c r="A2023" s="356"/>
      <c r="B2023" s="359"/>
      <c r="C2023" s="361" t="s">
        <v>15</v>
      </c>
      <c r="D2023" s="58" t="s">
        <v>7</v>
      </c>
      <c r="E2023" s="164" t="str">
        <f>A2007&amp;"/"&amp;B2015&amp;"/"&amp;C2023&amp;"/"&amp;D2023</f>
        <v>Biomass and waste fired power plants/Fluidized bed combustion/Electricity only with CCS/L</v>
      </c>
      <c r="F2023" s="78" t="str">
        <f>A2007</f>
        <v>Biomass and waste fired power plants</v>
      </c>
      <c r="G2023" s="78" t="str">
        <f>B2015</f>
        <v>Fluidized bed combustion</v>
      </c>
      <c r="H2023" s="78" t="str">
        <f>C2023</f>
        <v>Electricity only with CCS</v>
      </c>
      <c r="I2023" s="165" t="str">
        <f t="shared" si="111"/>
        <v>L</v>
      </c>
      <c r="J2023" s="95" t="s">
        <v>112</v>
      </c>
      <c r="K2023" s="95" t="s">
        <v>112</v>
      </c>
      <c r="L2023" s="95" t="s">
        <v>112</v>
      </c>
      <c r="M2023" s="95" t="s">
        <v>112</v>
      </c>
      <c r="N2023" s="95" t="s">
        <v>112</v>
      </c>
      <c r="O2023" s="95" t="s">
        <v>112</v>
      </c>
      <c r="P2023" s="95" t="s">
        <v>112</v>
      </c>
      <c r="Q2023" s="95" t="s">
        <v>112</v>
      </c>
      <c r="R2023" s="95" t="s">
        <v>112</v>
      </c>
      <c r="S2023" s="95" t="s">
        <v>112</v>
      </c>
      <c r="T2023" s="95" t="s">
        <v>112</v>
      </c>
      <c r="U2023" s="95" t="s">
        <v>112</v>
      </c>
      <c r="V2023" s="95" t="s">
        <v>112</v>
      </c>
      <c r="W2023" s="95" t="s">
        <v>112</v>
      </c>
      <c r="X2023" s="95" t="s">
        <v>112</v>
      </c>
      <c r="Y2023" s="95" t="s">
        <v>112</v>
      </c>
      <c r="Z2023" s="95" t="s">
        <v>112</v>
      </c>
      <c r="AA2023" s="95" t="s">
        <v>112</v>
      </c>
      <c r="AB2023" s="95" t="s">
        <v>112</v>
      </c>
      <c r="AC2023" s="95" t="s">
        <v>112</v>
      </c>
      <c r="AD2023" s="95" t="s">
        <v>112</v>
      </c>
      <c r="AE2023" s="95">
        <v>5500</v>
      </c>
      <c r="AF2023" s="95">
        <v>5500</v>
      </c>
      <c r="AG2023" s="95">
        <v>5500</v>
      </c>
      <c r="AH2023" s="95">
        <v>5500</v>
      </c>
      <c r="AI2023" s="95">
        <v>5500</v>
      </c>
      <c r="AJ2023" s="95">
        <v>5500</v>
      </c>
      <c r="AK2023" s="95">
        <v>5500</v>
      </c>
      <c r="AL2023" s="95">
        <v>5500</v>
      </c>
      <c r="AM2023" s="95">
        <v>5500</v>
      </c>
      <c r="AN2023" s="95">
        <v>5500</v>
      </c>
      <c r="AO2023" s="95">
        <v>5500</v>
      </c>
      <c r="AP2023" s="95">
        <v>5500</v>
      </c>
      <c r="AQ2023" s="95">
        <v>5500</v>
      </c>
      <c r="AR2023" s="95">
        <v>5500</v>
      </c>
      <c r="AS2023" s="95">
        <v>5500</v>
      </c>
      <c r="AT2023" s="95">
        <v>5500</v>
      </c>
      <c r="AU2023" s="95">
        <v>5500</v>
      </c>
      <c r="AV2023" s="95">
        <v>5500</v>
      </c>
      <c r="AW2023" s="95">
        <v>5500</v>
      </c>
      <c r="AX2023" s="96">
        <v>5500</v>
      </c>
    </row>
    <row r="2024" spans="1:50" x14ac:dyDescent="0.25">
      <c r="A2024" s="356"/>
      <c r="B2024" s="359"/>
      <c r="C2024" s="360"/>
      <c r="D2024" s="59" t="s">
        <v>8</v>
      </c>
      <c r="E2024" s="166" t="str">
        <f>A2007&amp;"/"&amp;B2015&amp;"/"&amp;C2023&amp;"/"&amp;D2024</f>
        <v>Biomass and waste fired power plants/Fluidized bed combustion/Electricity only with CCS/M</v>
      </c>
      <c r="F2024" s="79" t="str">
        <f>A2007</f>
        <v>Biomass and waste fired power plants</v>
      </c>
      <c r="G2024" s="79" t="str">
        <f>B2015</f>
        <v>Fluidized bed combustion</v>
      </c>
      <c r="H2024" s="79" t="str">
        <f>C2023</f>
        <v>Electricity only with CCS</v>
      </c>
      <c r="I2024" s="167" t="str">
        <f t="shared" si="111"/>
        <v>M</v>
      </c>
      <c r="J2024" s="97" t="s">
        <v>112</v>
      </c>
      <c r="K2024" s="97" t="s">
        <v>112</v>
      </c>
      <c r="L2024" s="97" t="s">
        <v>112</v>
      </c>
      <c r="M2024" s="97" t="s">
        <v>112</v>
      </c>
      <c r="N2024" s="97" t="s">
        <v>112</v>
      </c>
      <c r="O2024" s="97" t="s">
        <v>112</v>
      </c>
      <c r="P2024" s="97" t="s">
        <v>112</v>
      </c>
      <c r="Q2024" s="97" t="s">
        <v>112</v>
      </c>
      <c r="R2024" s="97" t="s">
        <v>112</v>
      </c>
      <c r="S2024" s="97" t="s">
        <v>112</v>
      </c>
      <c r="T2024" s="97" t="s">
        <v>112</v>
      </c>
      <c r="U2024" s="97" t="s">
        <v>112</v>
      </c>
      <c r="V2024" s="97" t="s">
        <v>112</v>
      </c>
      <c r="W2024" s="97" t="s">
        <v>112</v>
      </c>
      <c r="X2024" s="97" t="s">
        <v>112</v>
      </c>
      <c r="Y2024" s="97" t="s">
        <v>112</v>
      </c>
      <c r="Z2024" s="97" t="s">
        <v>112</v>
      </c>
      <c r="AA2024" s="97" t="s">
        <v>112</v>
      </c>
      <c r="AB2024" s="97" t="s">
        <v>112</v>
      </c>
      <c r="AC2024" s="97" t="s">
        <v>112</v>
      </c>
      <c r="AD2024" s="97" t="s">
        <v>112</v>
      </c>
      <c r="AE2024" s="97">
        <v>4400</v>
      </c>
      <c r="AF2024" s="97">
        <v>4400</v>
      </c>
      <c r="AG2024" s="97">
        <v>4400</v>
      </c>
      <c r="AH2024" s="97">
        <v>4400</v>
      </c>
      <c r="AI2024" s="97">
        <v>4400</v>
      </c>
      <c r="AJ2024" s="97">
        <v>4400</v>
      </c>
      <c r="AK2024" s="97">
        <v>4400</v>
      </c>
      <c r="AL2024" s="97">
        <v>4400</v>
      </c>
      <c r="AM2024" s="97">
        <v>4400</v>
      </c>
      <c r="AN2024" s="97">
        <v>4400</v>
      </c>
      <c r="AO2024" s="97">
        <v>4400</v>
      </c>
      <c r="AP2024" s="97">
        <v>4400</v>
      </c>
      <c r="AQ2024" s="97">
        <v>4400</v>
      </c>
      <c r="AR2024" s="97">
        <v>4400</v>
      </c>
      <c r="AS2024" s="97">
        <v>4400</v>
      </c>
      <c r="AT2024" s="97">
        <v>4400</v>
      </c>
      <c r="AU2024" s="97">
        <v>4400</v>
      </c>
      <c r="AV2024" s="97">
        <v>4400</v>
      </c>
      <c r="AW2024" s="97">
        <v>4400</v>
      </c>
      <c r="AX2024" s="98">
        <v>4400</v>
      </c>
    </row>
    <row r="2025" spans="1:50" x14ac:dyDescent="0.25">
      <c r="A2025" s="356"/>
      <c r="B2025" s="359"/>
      <c r="C2025" s="361" t="s">
        <v>16</v>
      </c>
      <c r="D2025" s="2" t="s">
        <v>7</v>
      </c>
      <c r="E2025" s="160" t="str">
        <f>A2007&amp;"/"&amp;B2015&amp;"/"&amp;C2025&amp;"/"&amp;D2025</f>
        <v>Biomass and waste fired power plants/Fluidized bed combustion/CHP with CCS/L</v>
      </c>
      <c r="F2025" s="76" t="str">
        <f>A2007</f>
        <v>Biomass and waste fired power plants</v>
      </c>
      <c r="G2025" s="76" t="str">
        <f>B2015</f>
        <v>Fluidized bed combustion</v>
      </c>
      <c r="H2025" s="76" t="str">
        <f>C2025</f>
        <v>CHP with CCS</v>
      </c>
      <c r="I2025" s="161" t="str">
        <f t="shared" si="111"/>
        <v>L</v>
      </c>
      <c r="J2025" s="91" t="s">
        <v>112</v>
      </c>
      <c r="K2025" s="91" t="s">
        <v>112</v>
      </c>
      <c r="L2025" s="91" t="s">
        <v>112</v>
      </c>
      <c r="M2025" s="91" t="s">
        <v>112</v>
      </c>
      <c r="N2025" s="91" t="s">
        <v>112</v>
      </c>
      <c r="O2025" s="91" t="s">
        <v>112</v>
      </c>
      <c r="P2025" s="91" t="s">
        <v>112</v>
      </c>
      <c r="Q2025" s="91" t="s">
        <v>112</v>
      </c>
      <c r="R2025" s="91" t="s">
        <v>112</v>
      </c>
      <c r="S2025" s="91" t="s">
        <v>112</v>
      </c>
      <c r="T2025" s="91" t="s">
        <v>112</v>
      </c>
      <c r="U2025" s="91" t="s">
        <v>112</v>
      </c>
      <c r="V2025" s="91" t="s">
        <v>112</v>
      </c>
      <c r="W2025" s="91" t="s">
        <v>112</v>
      </c>
      <c r="X2025" s="91" t="s">
        <v>112</v>
      </c>
      <c r="Y2025" s="91" t="s">
        <v>112</v>
      </c>
      <c r="Z2025" s="91" t="s">
        <v>112</v>
      </c>
      <c r="AA2025" s="91" t="s">
        <v>112</v>
      </c>
      <c r="AB2025" s="91" t="s">
        <v>112</v>
      </c>
      <c r="AC2025" s="91" t="s">
        <v>112</v>
      </c>
      <c r="AD2025" s="91" t="s">
        <v>112</v>
      </c>
      <c r="AE2025" s="91">
        <v>4400</v>
      </c>
      <c r="AF2025" s="91">
        <v>4400</v>
      </c>
      <c r="AG2025" s="91">
        <v>4400</v>
      </c>
      <c r="AH2025" s="91">
        <v>4400</v>
      </c>
      <c r="AI2025" s="91">
        <v>4400</v>
      </c>
      <c r="AJ2025" s="91">
        <v>4400</v>
      </c>
      <c r="AK2025" s="91">
        <v>4400</v>
      </c>
      <c r="AL2025" s="91">
        <v>4400</v>
      </c>
      <c r="AM2025" s="91">
        <v>4400</v>
      </c>
      <c r="AN2025" s="91">
        <v>4400</v>
      </c>
      <c r="AO2025" s="91">
        <v>4400</v>
      </c>
      <c r="AP2025" s="91">
        <v>4400</v>
      </c>
      <c r="AQ2025" s="91">
        <v>4400</v>
      </c>
      <c r="AR2025" s="91">
        <v>4400</v>
      </c>
      <c r="AS2025" s="91">
        <v>4400</v>
      </c>
      <c r="AT2025" s="91">
        <v>4400</v>
      </c>
      <c r="AU2025" s="91">
        <v>4400</v>
      </c>
      <c r="AV2025" s="91">
        <v>4400</v>
      </c>
      <c r="AW2025" s="91">
        <v>4400</v>
      </c>
      <c r="AX2025" s="92">
        <v>4400</v>
      </c>
    </row>
    <row r="2026" spans="1:50" x14ac:dyDescent="0.25">
      <c r="A2026" s="356"/>
      <c r="B2026" s="362"/>
      <c r="C2026" s="354"/>
      <c r="D2026" s="4" t="s">
        <v>8</v>
      </c>
      <c r="E2026" s="168" t="str">
        <f>A2007&amp;"/"&amp;B2015&amp;"/"&amp;C2025&amp;"/"&amp;D2026</f>
        <v>Biomass and waste fired power plants/Fluidized bed combustion/CHP with CCS/M</v>
      </c>
      <c r="F2026" s="80" t="str">
        <f>A2007</f>
        <v>Biomass and waste fired power plants</v>
      </c>
      <c r="G2026" s="80" t="str">
        <f>B2015</f>
        <v>Fluidized bed combustion</v>
      </c>
      <c r="H2026" s="80" t="str">
        <f>C2025</f>
        <v>CHP with CCS</v>
      </c>
      <c r="I2026" s="169" t="str">
        <f t="shared" si="111"/>
        <v>M</v>
      </c>
      <c r="J2026" s="99" t="s">
        <v>112</v>
      </c>
      <c r="K2026" s="99" t="s">
        <v>112</v>
      </c>
      <c r="L2026" s="99" t="s">
        <v>112</v>
      </c>
      <c r="M2026" s="99" t="s">
        <v>112</v>
      </c>
      <c r="N2026" s="99" t="s">
        <v>112</v>
      </c>
      <c r="O2026" s="99" t="s">
        <v>112</v>
      </c>
      <c r="P2026" s="99" t="s">
        <v>112</v>
      </c>
      <c r="Q2026" s="99" t="s">
        <v>112</v>
      </c>
      <c r="R2026" s="99" t="s">
        <v>112</v>
      </c>
      <c r="S2026" s="99" t="s">
        <v>112</v>
      </c>
      <c r="T2026" s="99" t="s">
        <v>112</v>
      </c>
      <c r="U2026" s="99" t="s">
        <v>112</v>
      </c>
      <c r="V2026" s="99" t="s">
        <v>112</v>
      </c>
      <c r="W2026" s="99" t="s">
        <v>112</v>
      </c>
      <c r="X2026" s="99" t="s">
        <v>112</v>
      </c>
      <c r="Y2026" s="99" t="s">
        <v>112</v>
      </c>
      <c r="Z2026" s="99" t="s">
        <v>112</v>
      </c>
      <c r="AA2026" s="99" t="s">
        <v>112</v>
      </c>
      <c r="AB2026" s="99" t="s">
        <v>112</v>
      </c>
      <c r="AC2026" s="99" t="s">
        <v>112</v>
      </c>
      <c r="AD2026" s="99" t="s">
        <v>112</v>
      </c>
      <c r="AE2026" s="99">
        <v>3520</v>
      </c>
      <c r="AF2026" s="99">
        <v>3520</v>
      </c>
      <c r="AG2026" s="99">
        <v>3520</v>
      </c>
      <c r="AH2026" s="99">
        <v>3520</v>
      </c>
      <c r="AI2026" s="99">
        <v>3520</v>
      </c>
      <c r="AJ2026" s="99">
        <v>3520</v>
      </c>
      <c r="AK2026" s="99">
        <v>3520</v>
      </c>
      <c r="AL2026" s="99">
        <v>3520</v>
      </c>
      <c r="AM2026" s="99">
        <v>3520</v>
      </c>
      <c r="AN2026" s="99">
        <v>3520</v>
      </c>
      <c r="AO2026" s="99">
        <v>3520</v>
      </c>
      <c r="AP2026" s="99">
        <v>3520</v>
      </c>
      <c r="AQ2026" s="99">
        <v>3520</v>
      </c>
      <c r="AR2026" s="99">
        <v>3520</v>
      </c>
      <c r="AS2026" s="99">
        <v>3520</v>
      </c>
      <c r="AT2026" s="99">
        <v>3520</v>
      </c>
      <c r="AU2026" s="99">
        <v>3520</v>
      </c>
      <c r="AV2026" s="99">
        <v>3520</v>
      </c>
      <c r="AW2026" s="99">
        <v>3520</v>
      </c>
      <c r="AX2026" s="100">
        <v>3520</v>
      </c>
    </row>
    <row r="2027" spans="1:50" x14ac:dyDescent="0.25">
      <c r="A2027" s="356"/>
      <c r="B2027" s="358" t="s">
        <v>19</v>
      </c>
      <c r="C2027" s="353" t="s">
        <v>6</v>
      </c>
      <c r="D2027" s="3" t="s">
        <v>7</v>
      </c>
      <c r="E2027" s="162" t="str">
        <f>A2007&amp;"/"&amp;B2027&amp;"/"&amp;C2027&amp;"/"&amp;D2027</f>
        <v>Biomass and waste fired power plants/Steam turbine/Electricity only/L</v>
      </c>
      <c r="F2027" s="77" t="str">
        <f>A2007</f>
        <v>Biomass and waste fired power plants</v>
      </c>
      <c r="G2027" s="77" t="str">
        <f>B2027</f>
        <v>Steam turbine</v>
      </c>
      <c r="H2027" s="77" t="str">
        <f>C2027</f>
        <v>Electricity only</v>
      </c>
      <c r="I2027" s="163" t="str">
        <f t="shared" si="111"/>
        <v>L</v>
      </c>
      <c r="J2027" s="93">
        <v>4750</v>
      </c>
      <c r="K2027" s="93">
        <v>4750</v>
      </c>
      <c r="L2027" s="93">
        <v>4750</v>
      </c>
      <c r="M2027" s="93">
        <v>4750</v>
      </c>
      <c r="N2027" s="93">
        <v>4750</v>
      </c>
      <c r="O2027" s="93">
        <v>4750</v>
      </c>
      <c r="P2027" s="93">
        <v>4750</v>
      </c>
      <c r="Q2027" s="93">
        <v>4750</v>
      </c>
      <c r="R2027" s="93">
        <v>4750</v>
      </c>
      <c r="S2027" s="93">
        <v>4750</v>
      </c>
      <c r="T2027" s="93">
        <v>4750</v>
      </c>
      <c r="U2027" s="93">
        <v>4750</v>
      </c>
      <c r="V2027" s="93">
        <v>4750</v>
      </c>
      <c r="W2027" s="93">
        <v>4750</v>
      </c>
      <c r="X2027" s="93">
        <v>4750</v>
      </c>
      <c r="Y2027" s="93">
        <v>4750</v>
      </c>
      <c r="Z2027" s="93">
        <v>4750</v>
      </c>
      <c r="AA2027" s="93">
        <v>4750</v>
      </c>
      <c r="AB2027" s="93">
        <v>4750</v>
      </c>
      <c r="AC2027" s="93">
        <v>4750</v>
      </c>
      <c r="AD2027" s="93">
        <v>4750</v>
      </c>
      <c r="AE2027" s="93">
        <v>4750</v>
      </c>
      <c r="AF2027" s="93">
        <v>4750</v>
      </c>
      <c r="AG2027" s="93">
        <v>4750</v>
      </c>
      <c r="AH2027" s="93">
        <v>4750</v>
      </c>
      <c r="AI2027" s="93">
        <v>4750</v>
      </c>
      <c r="AJ2027" s="93">
        <v>4750</v>
      </c>
      <c r="AK2027" s="93">
        <v>4750</v>
      </c>
      <c r="AL2027" s="93">
        <v>4750</v>
      </c>
      <c r="AM2027" s="93">
        <v>4750</v>
      </c>
      <c r="AN2027" s="93">
        <v>4750</v>
      </c>
      <c r="AO2027" s="93">
        <v>4750</v>
      </c>
      <c r="AP2027" s="93">
        <v>4750</v>
      </c>
      <c r="AQ2027" s="93">
        <v>4750</v>
      </c>
      <c r="AR2027" s="93">
        <v>4750</v>
      </c>
      <c r="AS2027" s="93">
        <v>4750</v>
      </c>
      <c r="AT2027" s="93">
        <v>4750</v>
      </c>
      <c r="AU2027" s="93">
        <v>4750</v>
      </c>
      <c r="AV2027" s="93">
        <v>4750</v>
      </c>
      <c r="AW2027" s="93">
        <v>4750</v>
      </c>
      <c r="AX2027" s="94">
        <v>4750</v>
      </c>
    </row>
    <row r="2028" spans="1:50" x14ac:dyDescent="0.25">
      <c r="A2028" s="356"/>
      <c r="B2028" s="359"/>
      <c r="C2028" s="350"/>
      <c r="D2028" s="2" t="s">
        <v>8</v>
      </c>
      <c r="E2028" s="160" t="str">
        <f>A2007&amp;"/"&amp;B2027&amp;"/"&amp;C2027&amp;"/"&amp;D2028</f>
        <v>Biomass and waste fired power plants/Steam turbine/Electricity only/M</v>
      </c>
      <c r="F2028" s="76" t="str">
        <f>A2007</f>
        <v>Biomass and waste fired power plants</v>
      </c>
      <c r="G2028" s="76" t="str">
        <f>B2027</f>
        <v>Steam turbine</v>
      </c>
      <c r="H2028" s="76" t="str">
        <f>C2027</f>
        <v>Electricity only</v>
      </c>
      <c r="I2028" s="161" t="str">
        <f t="shared" si="111"/>
        <v>M</v>
      </c>
      <c r="J2028" s="91">
        <v>3800</v>
      </c>
      <c r="K2028" s="91">
        <v>3800</v>
      </c>
      <c r="L2028" s="91">
        <v>3800</v>
      </c>
      <c r="M2028" s="91">
        <v>3800</v>
      </c>
      <c r="N2028" s="91">
        <v>3800</v>
      </c>
      <c r="O2028" s="91">
        <v>3800</v>
      </c>
      <c r="P2028" s="91">
        <v>3800</v>
      </c>
      <c r="Q2028" s="91">
        <v>3800</v>
      </c>
      <c r="R2028" s="91">
        <v>3800</v>
      </c>
      <c r="S2028" s="91">
        <v>3800</v>
      </c>
      <c r="T2028" s="91">
        <v>3800</v>
      </c>
      <c r="U2028" s="91">
        <v>3800</v>
      </c>
      <c r="V2028" s="91">
        <v>3800</v>
      </c>
      <c r="W2028" s="91">
        <v>3800</v>
      </c>
      <c r="X2028" s="91">
        <v>3800</v>
      </c>
      <c r="Y2028" s="91">
        <v>3800</v>
      </c>
      <c r="Z2028" s="91">
        <v>3800</v>
      </c>
      <c r="AA2028" s="91">
        <v>3800</v>
      </c>
      <c r="AB2028" s="91">
        <v>3800</v>
      </c>
      <c r="AC2028" s="91">
        <v>3800</v>
      </c>
      <c r="AD2028" s="91">
        <v>3800</v>
      </c>
      <c r="AE2028" s="91">
        <v>3800</v>
      </c>
      <c r="AF2028" s="91">
        <v>3800</v>
      </c>
      <c r="AG2028" s="91">
        <v>3800</v>
      </c>
      <c r="AH2028" s="91">
        <v>3800</v>
      </c>
      <c r="AI2028" s="91">
        <v>3800</v>
      </c>
      <c r="AJ2028" s="91">
        <v>3800</v>
      </c>
      <c r="AK2028" s="91">
        <v>3800</v>
      </c>
      <c r="AL2028" s="91">
        <v>3800</v>
      </c>
      <c r="AM2028" s="91">
        <v>3800</v>
      </c>
      <c r="AN2028" s="91">
        <v>3800</v>
      </c>
      <c r="AO2028" s="91">
        <v>3800</v>
      </c>
      <c r="AP2028" s="91">
        <v>3800</v>
      </c>
      <c r="AQ2028" s="91">
        <v>3800</v>
      </c>
      <c r="AR2028" s="91">
        <v>3800</v>
      </c>
      <c r="AS2028" s="91">
        <v>3800</v>
      </c>
      <c r="AT2028" s="91">
        <v>3800</v>
      </c>
      <c r="AU2028" s="91">
        <v>3800</v>
      </c>
      <c r="AV2028" s="91">
        <v>3800</v>
      </c>
      <c r="AW2028" s="91">
        <v>3800</v>
      </c>
      <c r="AX2028" s="92">
        <v>3800</v>
      </c>
    </row>
    <row r="2029" spans="1:50" x14ac:dyDescent="0.25">
      <c r="A2029" s="356"/>
      <c r="B2029" s="359"/>
      <c r="C2029" s="350"/>
      <c r="D2029" s="2" t="s">
        <v>10</v>
      </c>
      <c r="E2029" s="160" t="str">
        <f>A2007&amp;"/"&amp;B2027&amp;"/"&amp;C2027&amp;"/"&amp;D2029</f>
        <v>Biomass and waste fired power plants/Steam turbine/Electricity only/S</v>
      </c>
      <c r="F2029" s="76" t="str">
        <f>A2007</f>
        <v>Biomass and waste fired power plants</v>
      </c>
      <c r="G2029" s="76" t="str">
        <f>B2027</f>
        <v>Steam turbine</v>
      </c>
      <c r="H2029" s="76" t="str">
        <f>C2027</f>
        <v>Electricity only</v>
      </c>
      <c r="I2029" s="161" t="str">
        <f t="shared" si="111"/>
        <v>S</v>
      </c>
      <c r="J2029" s="91">
        <v>2850</v>
      </c>
      <c r="K2029" s="91">
        <v>2850</v>
      </c>
      <c r="L2029" s="91">
        <v>2850</v>
      </c>
      <c r="M2029" s="91">
        <v>2850</v>
      </c>
      <c r="N2029" s="91">
        <v>2850</v>
      </c>
      <c r="O2029" s="91">
        <v>2850</v>
      </c>
      <c r="P2029" s="91">
        <v>2850</v>
      </c>
      <c r="Q2029" s="91">
        <v>2850</v>
      </c>
      <c r="R2029" s="91">
        <v>2850</v>
      </c>
      <c r="S2029" s="91">
        <v>2850</v>
      </c>
      <c r="T2029" s="91">
        <v>2850</v>
      </c>
      <c r="U2029" s="91">
        <v>2850</v>
      </c>
      <c r="V2029" s="91">
        <v>2850</v>
      </c>
      <c r="W2029" s="91">
        <v>2850</v>
      </c>
      <c r="X2029" s="91">
        <v>2850</v>
      </c>
      <c r="Y2029" s="91">
        <v>2850</v>
      </c>
      <c r="Z2029" s="91">
        <v>2850</v>
      </c>
      <c r="AA2029" s="91">
        <v>2850</v>
      </c>
      <c r="AB2029" s="91">
        <v>2850</v>
      </c>
      <c r="AC2029" s="91">
        <v>2850</v>
      </c>
      <c r="AD2029" s="91">
        <v>2850</v>
      </c>
      <c r="AE2029" s="91">
        <v>2850</v>
      </c>
      <c r="AF2029" s="91">
        <v>2850</v>
      </c>
      <c r="AG2029" s="91">
        <v>2850</v>
      </c>
      <c r="AH2029" s="91">
        <v>2850</v>
      </c>
      <c r="AI2029" s="91">
        <v>2850</v>
      </c>
      <c r="AJ2029" s="91">
        <v>2850</v>
      </c>
      <c r="AK2029" s="91">
        <v>2850</v>
      </c>
      <c r="AL2029" s="91">
        <v>2850</v>
      </c>
      <c r="AM2029" s="91">
        <v>2850</v>
      </c>
      <c r="AN2029" s="91">
        <v>2850</v>
      </c>
      <c r="AO2029" s="91">
        <v>2850</v>
      </c>
      <c r="AP2029" s="91">
        <v>2850</v>
      </c>
      <c r="AQ2029" s="91">
        <v>2850</v>
      </c>
      <c r="AR2029" s="91">
        <v>2850</v>
      </c>
      <c r="AS2029" s="91">
        <v>2850</v>
      </c>
      <c r="AT2029" s="91">
        <v>2850</v>
      </c>
      <c r="AU2029" s="91">
        <v>2850</v>
      </c>
      <c r="AV2029" s="91">
        <v>2850</v>
      </c>
      <c r="AW2029" s="91">
        <v>2850</v>
      </c>
      <c r="AX2029" s="92">
        <v>2850</v>
      </c>
    </row>
    <row r="2030" spans="1:50" x14ac:dyDescent="0.25">
      <c r="A2030" s="356"/>
      <c r="B2030" s="359"/>
      <c r="C2030" s="360"/>
      <c r="D2030" s="2" t="s">
        <v>20</v>
      </c>
      <c r="E2030" s="160" t="str">
        <f>A2007&amp;"/"&amp;B2027&amp;"/"&amp;C2027&amp;"/"&amp;D2030</f>
        <v>Biomass and waste fired power plants/Steam turbine/Electricity only/XS</v>
      </c>
      <c r="F2030" s="76" t="str">
        <f>A2007</f>
        <v>Biomass and waste fired power plants</v>
      </c>
      <c r="G2030" s="76" t="str">
        <f>B2027</f>
        <v>Steam turbine</v>
      </c>
      <c r="H2030" s="76" t="str">
        <f>C2027</f>
        <v>Electricity only</v>
      </c>
      <c r="I2030" s="161" t="str">
        <f t="shared" si="111"/>
        <v>XS</v>
      </c>
      <c r="J2030" s="91">
        <v>2422.5</v>
      </c>
      <c r="K2030" s="91">
        <v>2422.5</v>
      </c>
      <c r="L2030" s="91">
        <v>2422.5</v>
      </c>
      <c r="M2030" s="91">
        <v>2422.5</v>
      </c>
      <c r="N2030" s="91">
        <v>2422.5</v>
      </c>
      <c r="O2030" s="91">
        <v>2422.5</v>
      </c>
      <c r="P2030" s="91">
        <v>2422.5</v>
      </c>
      <c r="Q2030" s="91">
        <v>2422.5</v>
      </c>
      <c r="R2030" s="91">
        <v>2422.5</v>
      </c>
      <c r="S2030" s="91">
        <v>2422.5</v>
      </c>
      <c r="T2030" s="91">
        <v>2422.5</v>
      </c>
      <c r="U2030" s="91">
        <v>2422.5</v>
      </c>
      <c r="V2030" s="91">
        <v>2422.5</v>
      </c>
      <c r="W2030" s="91">
        <v>2422.5</v>
      </c>
      <c r="X2030" s="91">
        <v>2422.5</v>
      </c>
      <c r="Y2030" s="91">
        <v>2422.5</v>
      </c>
      <c r="Z2030" s="91">
        <v>2422.5</v>
      </c>
      <c r="AA2030" s="91">
        <v>2422.5</v>
      </c>
      <c r="AB2030" s="91">
        <v>2422.5</v>
      </c>
      <c r="AC2030" s="91">
        <v>2422.5</v>
      </c>
      <c r="AD2030" s="91">
        <v>2422.5</v>
      </c>
      <c r="AE2030" s="91">
        <v>2422.5</v>
      </c>
      <c r="AF2030" s="91">
        <v>2422.5</v>
      </c>
      <c r="AG2030" s="91">
        <v>2422.5</v>
      </c>
      <c r="AH2030" s="91">
        <v>2422.5</v>
      </c>
      <c r="AI2030" s="91">
        <v>2422.5</v>
      </c>
      <c r="AJ2030" s="91">
        <v>2422.5</v>
      </c>
      <c r="AK2030" s="91">
        <v>2422.5</v>
      </c>
      <c r="AL2030" s="91">
        <v>2422.5</v>
      </c>
      <c r="AM2030" s="91">
        <v>2422.5</v>
      </c>
      <c r="AN2030" s="91">
        <v>2422.5</v>
      </c>
      <c r="AO2030" s="91">
        <v>2422.5</v>
      </c>
      <c r="AP2030" s="91">
        <v>2422.5</v>
      </c>
      <c r="AQ2030" s="91">
        <v>2422.5</v>
      </c>
      <c r="AR2030" s="91">
        <v>2422.5</v>
      </c>
      <c r="AS2030" s="91">
        <v>2422.5</v>
      </c>
      <c r="AT2030" s="91">
        <v>2422.5</v>
      </c>
      <c r="AU2030" s="91">
        <v>2422.5</v>
      </c>
      <c r="AV2030" s="91">
        <v>2422.5</v>
      </c>
      <c r="AW2030" s="91">
        <v>2422.5</v>
      </c>
      <c r="AX2030" s="92">
        <v>2422.5</v>
      </c>
    </row>
    <row r="2031" spans="1:50" x14ac:dyDescent="0.25">
      <c r="A2031" s="356"/>
      <c r="B2031" s="359"/>
      <c r="C2031" s="361" t="s">
        <v>14</v>
      </c>
      <c r="D2031" s="58" t="s">
        <v>7</v>
      </c>
      <c r="E2031" s="164" t="str">
        <f>A2007&amp;"/"&amp;B2027&amp;"/"&amp;C2031&amp;"/"&amp;D2031</f>
        <v>Biomass and waste fired power plants/Steam turbine/CHP/L</v>
      </c>
      <c r="F2031" s="78" t="str">
        <f>A2007</f>
        <v>Biomass and waste fired power plants</v>
      </c>
      <c r="G2031" s="78" t="str">
        <f>B2027</f>
        <v>Steam turbine</v>
      </c>
      <c r="H2031" s="78" t="str">
        <f>C2031</f>
        <v>CHP</v>
      </c>
      <c r="I2031" s="165" t="str">
        <f t="shared" si="111"/>
        <v>L</v>
      </c>
      <c r="J2031" s="95">
        <v>3800</v>
      </c>
      <c r="K2031" s="95">
        <v>3800</v>
      </c>
      <c r="L2031" s="95">
        <v>3800</v>
      </c>
      <c r="M2031" s="95">
        <v>3800</v>
      </c>
      <c r="N2031" s="95">
        <v>3800</v>
      </c>
      <c r="O2031" s="95">
        <v>3800</v>
      </c>
      <c r="P2031" s="95">
        <v>3800</v>
      </c>
      <c r="Q2031" s="95">
        <v>3800</v>
      </c>
      <c r="R2031" s="95">
        <v>3800</v>
      </c>
      <c r="S2031" s="95">
        <v>3800</v>
      </c>
      <c r="T2031" s="95">
        <v>3800</v>
      </c>
      <c r="U2031" s="95">
        <v>3800</v>
      </c>
      <c r="V2031" s="95">
        <v>3800</v>
      </c>
      <c r="W2031" s="95">
        <v>3800</v>
      </c>
      <c r="X2031" s="95">
        <v>3800</v>
      </c>
      <c r="Y2031" s="95">
        <v>3800</v>
      </c>
      <c r="Z2031" s="95">
        <v>3800</v>
      </c>
      <c r="AA2031" s="95">
        <v>3800</v>
      </c>
      <c r="AB2031" s="95">
        <v>3800</v>
      </c>
      <c r="AC2031" s="95">
        <v>3800</v>
      </c>
      <c r="AD2031" s="95">
        <v>3800</v>
      </c>
      <c r="AE2031" s="95">
        <v>3800</v>
      </c>
      <c r="AF2031" s="95">
        <v>3800</v>
      </c>
      <c r="AG2031" s="95">
        <v>3800</v>
      </c>
      <c r="AH2031" s="95">
        <v>3800</v>
      </c>
      <c r="AI2031" s="95">
        <v>3800</v>
      </c>
      <c r="AJ2031" s="95">
        <v>3800</v>
      </c>
      <c r="AK2031" s="95">
        <v>3800</v>
      </c>
      <c r="AL2031" s="95">
        <v>3800</v>
      </c>
      <c r="AM2031" s="95">
        <v>3800</v>
      </c>
      <c r="AN2031" s="95">
        <v>3800</v>
      </c>
      <c r="AO2031" s="95">
        <v>3800</v>
      </c>
      <c r="AP2031" s="95">
        <v>3800</v>
      </c>
      <c r="AQ2031" s="95">
        <v>3800</v>
      </c>
      <c r="AR2031" s="95">
        <v>3800</v>
      </c>
      <c r="AS2031" s="95">
        <v>3800</v>
      </c>
      <c r="AT2031" s="95">
        <v>3800</v>
      </c>
      <c r="AU2031" s="95">
        <v>3800</v>
      </c>
      <c r="AV2031" s="95">
        <v>3800</v>
      </c>
      <c r="AW2031" s="95">
        <v>3800</v>
      </c>
      <c r="AX2031" s="96">
        <v>3800</v>
      </c>
    </row>
    <row r="2032" spans="1:50" x14ac:dyDescent="0.25">
      <c r="A2032" s="356"/>
      <c r="B2032" s="359"/>
      <c r="C2032" s="350"/>
      <c r="D2032" s="2" t="s">
        <v>8</v>
      </c>
      <c r="E2032" s="160" t="str">
        <f>A2007&amp;"/"&amp;B2027&amp;"/"&amp;C2031&amp;"/"&amp;D2032</f>
        <v>Biomass and waste fired power plants/Steam turbine/CHP/M</v>
      </c>
      <c r="F2032" s="76" t="str">
        <f>A2007</f>
        <v>Biomass and waste fired power plants</v>
      </c>
      <c r="G2032" s="76" t="str">
        <f>B2027</f>
        <v>Steam turbine</v>
      </c>
      <c r="H2032" s="76" t="str">
        <f>C2031</f>
        <v>CHP</v>
      </c>
      <c r="I2032" s="161" t="str">
        <f t="shared" si="111"/>
        <v>M</v>
      </c>
      <c r="J2032" s="91">
        <v>3040</v>
      </c>
      <c r="K2032" s="91">
        <v>3040</v>
      </c>
      <c r="L2032" s="91">
        <v>3040</v>
      </c>
      <c r="M2032" s="91">
        <v>3040</v>
      </c>
      <c r="N2032" s="91">
        <v>3040</v>
      </c>
      <c r="O2032" s="91">
        <v>3040</v>
      </c>
      <c r="P2032" s="91">
        <v>3040</v>
      </c>
      <c r="Q2032" s="91">
        <v>3040</v>
      </c>
      <c r="R2032" s="91">
        <v>3040</v>
      </c>
      <c r="S2032" s="91">
        <v>3040</v>
      </c>
      <c r="T2032" s="91">
        <v>3040</v>
      </c>
      <c r="U2032" s="91">
        <v>3040</v>
      </c>
      <c r="V2032" s="91">
        <v>3040</v>
      </c>
      <c r="W2032" s="91">
        <v>3040</v>
      </c>
      <c r="X2032" s="91">
        <v>3040</v>
      </c>
      <c r="Y2032" s="91">
        <v>3040</v>
      </c>
      <c r="Z2032" s="91">
        <v>3040</v>
      </c>
      <c r="AA2032" s="91">
        <v>3040</v>
      </c>
      <c r="AB2032" s="91">
        <v>3040</v>
      </c>
      <c r="AC2032" s="91">
        <v>3040</v>
      </c>
      <c r="AD2032" s="91">
        <v>3040</v>
      </c>
      <c r="AE2032" s="91">
        <v>3040</v>
      </c>
      <c r="AF2032" s="91">
        <v>3040</v>
      </c>
      <c r="AG2032" s="91">
        <v>3040</v>
      </c>
      <c r="AH2032" s="91">
        <v>3040</v>
      </c>
      <c r="AI2032" s="91">
        <v>3040</v>
      </c>
      <c r="AJ2032" s="91">
        <v>3040</v>
      </c>
      <c r="AK2032" s="91">
        <v>3040</v>
      </c>
      <c r="AL2032" s="91">
        <v>3040</v>
      </c>
      <c r="AM2032" s="91">
        <v>3040</v>
      </c>
      <c r="AN2032" s="91">
        <v>3040</v>
      </c>
      <c r="AO2032" s="91">
        <v>3040</v>
      </c>
      <c r="AP2032" s="91">
        <v>3040</v>
      </c>
      <c r="AQ2032" s="91">
        <v>3040</v>
      </c>
      <c r="AR2032" s="91">
        <v>3040</v>
      </c>
      <c r="AS2032" s="91">
        <v>3040</v>
      </c>
      <c r="AT2032" s="91">
        <v>3040</v>
      </c>
      <c r="AU2032" s="91">
        <v>3040</v>
      </c>
      <c r="AV2032" s="91">
        <v>3040</v>
      </c>
      <c r="AW2032" s="91">
        <v>3040</v>
      </c>
      <c r="AX2032" s="92">
        <v>3040</v>
      </c>
    </row>
    <row r="2033" spans="1:50" x14ac:dyDescent="0.25">
      <c r="A2033" s="356"/>
      <c r="B2033" s="359"/>
      <c r="C2033" s="350"/>
      <c r="D2033" s="2" t="s">
        <v>10</v>
      </c>
      <c r="E2033" s="160" t="str">
        <f>A2007&amp;"/"&amp;B2027&amp;"/"&amp;C2031&amp;"/"&amp;D2033</f>
        <v>Biomass and waste fired power plants/Steam turbine/CHP/S</v>
      </c>
      <c r="F2033" s="76" t="str">
        <f>A2007</f>
        <v>Biomass and waste fired power plants</v>
      </c>
      <c r="G2033" s="76" t="str">
        <f>B2027</f>
        <v>Steam turbine</v>
      </c>
      <c r="H2033" s="76" t="str">
        <f>C2031</f>
        <v>CHP</v>
      </c>
      <c r="I2033" s="161" t="str">
        <f t="shared" si="111"/>
        <v>S</v>
      </c>
      <c r="J2033" s="91">
        <v>2280</v>
      </c>
      <c r="K2033" s="91">
        <v>2280</v>
      </c>
      <c r="L2033" s="91">
        <v>2280</v>
      </c>
      <c r="M2033" s="91">
        <v>2280</v>
      </c>
      <c r="N2033" s="91">
        <v>2280</v>
      </c>
      <c r="O2033" s="91">
        <v>2280</v>
      </c>
      <c r="P2033" s="91">
        <v>2280</v>
      </c>
      <c r="Q2033" s="91">
        <v>2280</v>
      </c>
      <c r="R2033" s="91">
        <v>2280</v>
      </c>
      <c r="S2033" s="91">
        <v>2280</v>
      </c>
      <c r="T2033" s="91">
        <v>2280</v>
      </c>
      <c r="U2033" s="91">
        <v>2280</v>
      </c>
      <c r="V2033" s="91">
        <v>2280</v>
      </c>
      <c r="W2033" s="91">
        <v>2280</v>
      </c>
      <c r="X2033" s="91">
        <v>2280</v>
      </c>
      <c r="Y2033" s="91">
        <v>2280</v>
      </c>
      <c r="Z2033" s="91">
        <v>2280</v>
      </c>
      <c r="AA2033" s="91">
        <v>2280</v>
      </c>
      <c r="AB2033" s="91">
        <v>2280</v>
      </c>
      <c r="AC2033" s="91">
        <v>2280</v>
      </c>
      <c r="AD2033" s="91">
        <v>2280</v>
      </c>
      <c r="AE2033" s="91">
        <v>2280</v>
      </c>
      <c r="AF2033" s="91">
        <v>2280</v>
      </c>
      <c r="AG2033" s="91">
        <v>2280</v>
      </c>
      <c r="AH2033" s="91">
        <v>2280</v>
      </c>
      <c r="AI2033" s="91">
        <v>2280</v>
      </c>
      <c r="AJ2033" s="91">
        <v>2280</v>
      </c>
      <c r="AK2033" s="91">
        <v>2280</v>
      </c>
      <c r="AL2033" s="91">
        <v>2280</v>
      </c>
      <c r="AM2033" s="91">
        <v>2280</v>
      </c>
      <c r="AN2033" s="91">
        <v>2280</v>
      </c>
      <c r="AO2033" s="91">
        <v>2280</v>
      </c>
      <c r="AP2033" s="91">
        <v>2280</v>
      </c>
      <c r="AQ2033" s="91">
        <v>2280</v>
      </c>
      <c r="AR2033" s="91">
        <v>2280</v>
      </c>
      <c r="AS2033" s="91">
        <v>2280</v>
      </c>
      <c r="AT2033" s="91">
        <v>2280</v>
      </c>
      <c r="AU2033" s="91">
        <v>2280</v>
      </c>
      <c r="AV2033" s="91">
        <v>2280</v>
      </c>
      <c r="AW2033" s="91">
        <v>2280</v>
      </c>
      <c r="AX2033" s="92">
        <v>2280</v>
      </c>
    </row>
    <row r="2034" spans="1:50" x14ac:dyDescent="0.25">
      <c r="A2034" s="356"/>
      <c r="B2034" s="359"/>
      <c r="C2034" s="360"/>
      <c r="D2034" s="59" t="s">
        <v>20</v>
      </c>
      <c r="E2034" s="166" t="str">
        <f>A2007&amp;"/"&amp;B2027&amp;"/"&amp;C2031&amp;"/"&amp;D2034</f>
        <v>Biomass and waste fired power plants/Steam turbine/CHP/XS</v>
      </c>
      <c r="F2034" s="79" t="str">
        <f>A2007</f>
        <v>Biomass and waste fired power plants</v>
      </c>
      <c r="G2034" s="79" t="str">
        <f>B2027</f>
        <v>Steam turbine</v>
      </c>
      <c r="H2034" s="79" t="str">
        <f>C2031</f>
        <v>CHP</v>
      </c>
      <c r="I2034" s="167" t="str">
        <f t="shared" si="111"/>
        <v>XS</v>
      </c>
      <c r="J2034" s="97">
        <v>1938</v>
      </c>
      <c r="K2034" s="97">
        <v>1938</v>
      </c>
      <c r="L2034" s="97">
        <v>1938</v>
      </c>
      <c r="M2034" s="97">
        <v>1938</v>
      </c>
      <c r="N2034" s="97">
        <v>1938</v>
      </c>
      <c r="O2034" s="97">
        <v>1938</v>
      </c>
      <c r="P2034" s="97">
        <v>1938</v>
      </c>
      <c r="Q2034" s="97">
        <v>1938</v>
      </c>
      <c r="R2034" s="97">
        <v>1938</v>
      </c>
      <c r="S2034" s="97">
        <v>1938</v>
      </c>
      <c r="T2034" s="97">
        <v>1938</v>
      </c>
      <c r="U2034" s="97">
        <v>1938</v>
      </c>
      <c r="V2034" s="97">
        <v>1938</v>
      </c>
      <c r="W2034" s="97">
        <v>1938</v>
      </c>
      <c r="X2034" s="97">
        <v>1938</v>
      </c>
      <c r="Y2034" s="97">
        <v>1938</v>
      </c>
      <c r="Z2034" s="97">
        <v>1938</v>
      </c>
      <c r="AA2034" s="97">
        <v>1938</v>
      </c>
      <c r="AB2034" s="97">
        <v>1938</v>
      </c>
      <c r="AC2034" s="97">
        <v>1938</v>
      </c>
      <c r="AD2034" s="97">
        <v>1938</v>
      </c>
      <c r="AE2034" s="97">
        <v>1938</v>
      </c>
      <c r="AF2034" s="97">
        <v>1938</v>
      </c>
      <c r="AG2034" s="97">
        <v>1938</v>
      </c>
      <c r="AH2034" s="97">
        <v>1938</v>
      </c>
      <c r="AI2034" s="97">
        <v>1938</v>
      </c>
      <c r="AJ2034" s="97">
        <v>1938</v>
      </c>
      <c r="AK2034" s="97">
        <v>1938</v>
      </c>
      <c r="AL2034" s="97">
        <v>1938</v>
      </c>
      <c r="AM2034" s="97">
        <v>1938</v>
      </c>
      <c r="AN2034" s="97">
        <v>1938</v>
      </c>
      <c r="AO2034" s="97">
        <v>1938</v>
      </c>
      <c r="AP2034" s="97">
        <v>1938</v>
      </c>
      <c r="AQ2034" s="97">
        <v>1938</v>
      </c>
      <c r="AR2034" s="97">
        <v>1938</v>
      </c>
      <c r="AS2034" s="97">
        <v>1938</v>
      </c>
      <c r="AT2034" s="97">
        <v>1938</v>
      </c>
      <c r="AU2034" s="97">
        <v>1938</v>
      </c>
      <c r="AV2034" s="97">
        <v>1938</v>
      </c>
      <c r="AW2034" s="97">
        <v>1938</v>
      </c>
      <c r="AX2034" s="98">
        <v>1938</v>
      </c>
    </row>
    <row r="2035" spans="1:50" x14ac:dyDescent="0.25">
      <c r="A2035" s="356"/>
      <c r="B2035" s="359"/>
      <c r="C2035" s="361" t="s">
        <v>15</v>
      </c>
      <c r="D2035" s="58" t="s">
        <v>7</v>
      </c>
      <c r="E2035" s="164" t="str">
        <f>A2007&amp;"/"&amp;B2027&amp;"/"&amp;C2035&amp;"/"&amp;D2035</f>
        <v>Biomass and waste fired power plants/Steam turbine/Electricity only with CCS/L</v>
      </c>
      <c r="F2035" s="78" t="str">
        <f>A2007</f>
        <v>Biomass and waste fired power plants</v>
      </c>
      <c r="G2035" s="78" t="str">
        <f>B2027</f>
        <v>Steam turbine</v>
      </c>
      <c r="H2035" s="78" t="str">
        <f>C2035</f>
        <v>Electricity only with CCS</v>
      </c>
      <c r="I2035" s="165" t="str">
        <f t="shared" si="111"/>
        <v>L</v>
      </c>
      <c r="J2035" s="95" t="s">
        <v>112</v>
      </c>
      <c r="K2035" s="95" t="s">
        <v>112</v>
      </c>
      <c r="L2035" s="95" t="s">
        <v>112</v>
      </c>
      <c r="M2035" s="95" t="s">
        <v>112</v>
      </c>
      <c r="N2035" s="95" t="s">
        <v>112</v>
      </c>
      <c r="O2035" s="95" t="s">
        <v>112</v>
      </c>
      <c r="P2035" s="95" t="s">
        <v>112</v>
      </c>
      <c r="Q2035" s="95" t="s">
        <v>112</v>
      </c>
      <c r="R2035" s="95" t="s">
        <v>112</v>
      </c>
      <c r="S2035" s="95" t="s">
        <v>112</v>
      </c>
      <c r="T2035" s="95" t="s">
        <v>112</v>
      </c>
      <c r="U2035" s="95" t="s">
        <v>112</v>
      </c>
      <c r="V2035" s="95" t="s">
        <v>112</v>
      </c>
      <c r="W2035" s="95" t="s">
        <v>112</v>
      </c>
      <c r="X2035" s="95" t="s">
        <v>112</v>
      </c>
      <c r="Y2035" s="95" t="s">
        <v>112</v>
      </c>
      <c r="Z2035" s="95" t="s">
        <v>112</v>
      </c>
      <c r="AA2035" s="95" t="s">
        <v>112</v>
      </c>
      <c r="AB2035" s="95" t="s">
        <v>112</v>
      </c>
      <c r="AC2035" s="95" t="s">
        <v>112</v>
      </c>
      <c r="AD2035" s="95" t="s">
        <v>112</v>
      </c>
      <c r="AE2035" s="95">
        <v>4750</v>
      </c>
      <c r="AF2035" s="95">
        <v>4750</v>
      </c>
      <c r="AG2035" s="95">
        <v>4750</v>
      </c>
      <c r="AH2035" s="95">
        <v>4750</v>
      </c>
      <c r="AI2035" s="95">
        <v>4750</v>
      </c>
      <c r="AJ2035" s="95">
        <v>4750</v>
      </c>
      <c r="AK2035" s="95">
        <v>4750</v>
      </c>
      <c r="AL2035" s="95">
        <v>4750</v>
      </c>
      <c r="AM2035" s="95">
        <v>4750</v>
      </c>
      <c r="AN2035" s="95">
        <v>4750</v>
      </c>
      <c r="AO2035" s="95">
        <v>4750</v>
      </c>
      <c r="AP2035" s="95">
        <v>4750</v>
      </c>
      <c r="AQ2035" s="95">
        <v>4750</v>
      </c>
      <c r="AR2035" s="95">
        <v>4750</v>
      </c>
      <c r="AS2035" s="95">
        <v>4750</v>
      </c>
      <c r="AT2035" s="95">
        <v>4750</v>
      </c>
      <c r="AU2035" s="95">
        <v>4750</v>
      </c>
      <c r="AV2035" s="95">
        <v>4750</v>
      </c>
      <c r="AW2035" s="95">
        <v>4750</v>
      </c>
      <c r="AX2035" s="96">
        <v>4750</v>
      </c>
    </row>
    <row r="2036" spans="1:50" x14ac:dyDescent="0.25">
      <c r="A2036" s="356"/>
      <c r="B2036" s="359"/>
      <c r="C2036" s="360"/>
      <c r="D2036" s="59" t="s">
        <v>8</v>
      </c>
      <c r="E2036" s="166" t="str">
        <f>A2007&amp;"/"&amp;B2027&amp;"/"&amp;C2035&amp;"/"&amp;D2036</f>
        <v>Biomass and waste fired power plants/Steam turbine/Electricity only with CCS/M</v>
      </c>
      <c r="F2036" s="79" t="str">
        <f>A2007</f>
        <v>Biomass and waste fired power plants</v>
      </c>
      <c r="G2036" s="79" t="str">
        <f>B2027</f>
        <v>Steam turbine</v>
      </c>
      <c r="H2036" s="79" t="str">
        <f>C2035</f>
        <v>Electricity only with CCS</v>
      </c>
      <c r="I2036" s="167" t="str">
        <f t="shared" si="111"/>
        <v>M</v>
      </c>
      <c r="J2036" s="97" t="s">
        <v>112</v>
      </c>
      <c r="K2036" s="97" t="s">
        <v>112</v>
      </c>
      <c r="L2036" s="97" t="s">
        <v>112</v>
      </c>
      <c r="M2036" s="97" t="s">
        <v>112</v>
      </c>
      <c r="N2036" s="97" t="s">
        <v>112</v>
      </c>
      <c r="O2036" s="97" t="s">
        <v>112</v>
      </c>
      <c r="P2036" s="97" t="s">
        <v>112</v>
      </c>
      <c r="Q2036" s="97" t="s">
        <v>112</v>
      </c>
      <c r="R2036" s="97" t="s">
        <v>112</v>
      </c>
      <c r="S2036" s="97" t="s">
        <v>112</v>
      </c>
      <c r="T2036" s="97" t="s">
        <v>112</v>
      </c>
      <c r="U2036" s="97" t="s">
        <v>112</v>
      </c>
      <c r="V2036" s="97" t="s">
        <v>112</v>
      </c>
      <c r="W2036" s="97" t="s">
        <v>112</v>
      </c>
      <c r="X2036" s="97" t="s">
        <v>112</v>
      </c>
      <c r="Y2036" s="97" t="s">
        <v>112</v>
      </c>
      <c r="Z2036" s="97" t="s">
        <v>112</v>
      </c>
      <c r="AA2036" s="97" t="s">
        <v>112</v>
      </c>
      <c r="AB2036" s="97" t="s">
        <v>112</v>
      </c>
      <c r="AC2036" s="97" t="s">
        <v>112</v>
      </c>
      <c r="AD2036" s="97" t="s">
        <v>112</v>
      </c>
      <c r="AE2036" s="97">
        <v>3800</v>
      </c>
      <c r="AF2036" s="97">
        <v>3800</v>
      </c>
      <c r="AG2036" s="97">
        <v>3800</v>
      </c>
      <c r="AH2036" s="97">
        <v>3800</v>
      </c>
      <c r="AI2036" s="97">
        <v>3800</v>
      </c>
      <c r="AJ2036" s="97">
        <v>3800</v>
      </c>
      <c r="AK2036" s="97">
        <v>3800</v>
      </c>
      <c r="AL2036" s="97">
        <v>3800</v>
      </c>
      <c r="AM2036" s="97">
        <v>3800</v>
      </c>
      <c r="AN2036" s="97">
        <v>3800</v>
      </c>
      <c r="AO2036" s="97">
        <v>3800</v>
      </c>
      <c r="AP2036" s="97">
        <v>3800</v>
      </c>
      <c r="AQ2036" s="97">
        <v>3800</v>
      </c>
      <c r="AR2036" s="97">
        <v>3800</v>
      </c>
      <c r="AS2036" s="97">
        <v>3800</v>
      </c>
      <c r="AT2036" s="97">
        <v>3800</v>
      </c>
      <c r="AU2036" s="97">
        <v>3800</v>
      </c>
      <c r="AV2036" s="97">
        <v>3800</v>
      </c>
      <c r="AW2036" s="97">
        <v>3800</v>
      </c>
      <c r="AX2036" s="98">
        <v>3800</v>
      </c>
    </row>
    <row r="2037" spans="1:50" x14ac:dyDescent="0.25">
      <c r="A2037" s="356"/>
      <c r="B2037" s="359"/>
      <c r="C2037" s="361" t="s">
        <v>16</v>
      </c>
      <c r="D2037" s="2" t="s">
        <v>7</v>
      </c>
      <c r="E2037" s="160" t="str">
        <f>A2007&amp;"/"&amp;B2027&amp;"/"&amp;C2037&amp;"/"&amp;D2037</f>
        <v>Biomass and waste fired power plants/Steam turbine/CHP with CCS/L</v>
      </c>
      <c r="F2037" s="76" t="str">
        <f>A2007</f>
        <v>Biomass and waste fired power plants</v>
      </c>
      <c r="G2037" s="76" t="str">
        <f>B2027</f>
        <v>Steam turbine</v>
      </c>
      <c r="H2037" s="76" t="str">
        <f>C2037</f>
        <v>CHP with CCS</v>
      </c>
      <c r="I2037" s="161" t="str">
        <f t="shared" si="111"/>
        <v>L</v>
      </c>
      <c r="J2037" s="91" t="s">
        <v>112</v>
      </c>
      <c r="K2037" s="91" t="s">
        <v>112</v>
      </c>
      <c r="L2037" s="91" t="s">
        <v>112</v>
      </c>
      <c r="M2037" s="91" t="s">
        <v>112</v>
      </c>
      <c r="N2037" s="91" t="s">
        <v>112</v>
      </c>
      <c r="O2037" s="91" t="s">
        <v>112</v>
      </c>
      <c r="P2037" s="91" t="s">
        <v>112</v>
      </c>
      <c r="Q2037" s="91" t="s">
        <v>112</v>
      </c>
      <c r="R2037" s="91" t="s">
        <v>112</v>
      </c>
      <c r="S2037" s="91" t="s">
        <v>112</v>
      </c>
      <c r="T2037" s="91" t="s">
        <v>112</v>
      </c>
      <c r="U2037" s="91" t="s">
        <v>112</v>
      </c>
      <c r="V2037" s="91" t="s">
        <v>112</v>
      </c>
      <c r="W2037" s="91" t="s">
        <v>112</v>
      </c>
      <c r="X2037" s="91" t="s">
        <v>112</v>
      </c>
      <c r="Y2037" s="91" t="s">
        <v>112</v>
      </c>
      <c r="Z2037" s="91" t="s">
        <v>112</v>
      </c>
      <c r="AA2037" s="91" t="s">
        <v>112</v>
      </c>
      <c r="AB2037" s="91" t="s">
        <v>112</v>
      </c>
      <c r="AC2037" s="91" t="s">
        <v>112</v>
      </c>
      <c r="AD2037" s="91" t="s">
        <v>112</v>
      </c>
      <c r="AE2037" s="91">
        <v>3800</v>
      </c>
      <c r="AF2037" s="91">
        <v>3800</v>
      </c>
      <c r="AG2037" s="91">
        <v>3800</v>
      </c>
      <c r="AH2037" s="91">
        <v>3800</v>
      </c>
      <c r="AI2037" s="91">
        <v>3800</v>
      </c>
      <c r="AJ2037" s="91">
        <v>3800</v>
      </c>
      <c r="AK2037" s="91">
        <v>3800</v>
      </c>
      <c r="AL2037" s="91">
        <v>3800</v>
      </c>
      <c r="AM2037" s="91">
        <v>3800</v>
      </c>
      <c r="AN2037" s="91">
        <v>3800</v>
      </c>
      <c r="AO2037" s="91">
        <v>3800</v>
      </c>
      <c r="AP2037" s="91">
        <v>3800</v>
      </c>
      <c r="AQ2037" s="91">
        <v>3800</v>
      </c>
      <c r="AR2037" s="91">
        <v>3800</v>
      </c>
      <c r="AS2037" s="91">
        <v>3800</v>
      </c>
      <c r="AT2037" s="91">
        <v>3800</v>
      </c>
      <c r="AU2037" s="91">
        <v>3800</v>
      </c>
      <c r="AV2037" s="91">
        <v>3800</v>
      </c>
      <c r="AW2037" s="91">
        <v>3800</v>
      </c>
      <c r="AX2037" s="92">
        <v>3800</v>
      </c>
    </row>
    <row r="2038" spans="1:50" x14ac:dyDescent="0.25">
      <c r="A2038" s="357"/>
      <c r="B2038" s="362"/>
      <c r="C2038" s="354"/>
      <c r="D2038" s="4" t="s">
        <v>8</v>
      </c>
      <c r="E2038" s="168" t="str">
        <f>A2007&amp;"/"&amp;B2027&amp;"/"&amp;C2037&amp;"/"&amp;D2038</f>
        <v>Biomass and waste fired power plants/Steam turbine/CHP with CCS/M</v>
      </c>
      <c r="F2038" s="80" t="str">
        <f>A2007</f>
        <v>Biomass and waste fired power plants</v>
      </c>
      <c r="G2038" s="80" t="str">
        <f>B2027</f>
        <v>Steam turbine</v>
      </c>
      <c r="H2038" s="80" t="str">
        <f>C2037</f>
        <v>CHP with CCS</v>
      </c>
      <c r="I2038" s="169" t="str">
        <f t="shared" si="111"/>
        <v>M</v>
      </c>
      <c r="J2038" s="99" t="s">
        <v>112</v>
      </c>
      <c r="K2038" s="99" t="s">
        <v>112</v>
      </c>
      <c r="L2038" s="99" t="s">
        <v>112</v>
      </c>
      <c r="M2038" s="99" t="s">
        <v>112</v>
      </c>
      <c r="N2038" s="99" t="s">
        <v>112</v>
      </c>
      <c r="O2038" s="99" t="s">
        <v>112</v>
      </c>
      <c r="P2038" s="99" t="s">
        <v>112</v>
      </c>
      <c r="Q2038" s="99" t="s">
        <v>112</v>
      </c>
      <c r="R2038" s="99" t="s">
        <v>112</v>
      </c>
      <c r="S2038" s="99" t="s">
        <v>112</v>
      </c>
      <c r="T2038" s="99" t="s">
        <v>112</v>
      </c>
      <c r="U2038" s="99" t="s">
        <v>112</v>
      </c>
      <c r="V2038" s="99" t="s">
        <v>112</v>
      </c>
      <c r="W2038" s="99" t="s">
        <v>112</v>
      </c>
      <c r="X2038" s="99" t="s">
        <v>112</v>
      </c>
      <c r="Y2038" s="99" t="s">
        <v>112</v>
      </c>
      <c r="Z2038" s="99" t="s">
        <v>112</v>
      </c>
      <c r="AA2038" s="99" t="s">
        <v>112</v>
      </c>
      <c r="AB2038" s="99" t="s">
        <v>112</v>
      </c>
      <c r="AC2038" s="99" t="s">
        <v>112</v>
      </c>
      <c r="AD2038" s="99" t="s">
        <v>112</v>
      </c>
      <c r="AE2038" s="99">
        <v>3040</v>
      </c>
      <c r="AF2038" s="99">
        <v>3040</v>
      </c>
      <c r="AG2038" s="99">
        <v>3040</v>
      </c>
      <c r="AH2038" s="99">
        <v>3040</v>
      </c>
      <c r="AI2038" s="99">
        <v>3040</v>
      </c>
      <c r="AJ2038" s="99">
        <v>3040</v>
      </c>
      <c r="AK2038" s="99">
        <v>3040</v>
      </c>
      <c r="AL2038" s="99">
        <v>3040</v>
      </c>
      <c r="AM2038" s="99">
        <v>3040</v>
      </c>
      <c r="AN2038" s="99">
        <v>3040</v>
      </c>
      <c r="AO2038" s="99">
        <v>3040</v>
      </c>
      <c r="AP2038" s="99">
        <v>3040</v>
      </c>
      <c r="AQ2038" s="99">
        <v>3040</v>
      </c>
      <c r="AR2038" s="99">
        <v>3040</v>
      </c>
      <c r="AS2038" s="99">
        <v>3040</v>
      </c>
      <c r="AT2038" s="99">
        <v>3040</v>
      </c>
      <c r="AU2038" s="99">
        <v>3040</v>
      </c>
      <c r="AV2038" s="99">
        <v>3040</v>
      </c>
      <c r="AW2038" s="99">
        <v>3040</v>
      </c>
      <c r="AX2038" s="100">
        <v>3040</v>
      </c>
    </row>
    <row r="2039" spans="1:50" x14ac:dyDescent="0.25">
      <c r="A2039" s="355" t="s">
        <v>31</v>
      </c>
      <c r="B2039" s="358" t="s">
        <v>32</v>
      </c>
      <c r="C2039" s="353" t="s">
        <v>6</v>
      </c>
      <c r="D2039" s="3" t="s">
        <v>8</v>
      </c>
      <c r="E2039" s="162" t="str">
        <f>A2039&amp;"/"&amp;B2039&amp;"/"&amp;C2039&amp;"/"&amp;D2039</f>
        <v>Fuel cells/Natural gas fuel cell power plant/Electricity only/M</v>
      </c>
      <c r="F2039" s="77" t="str">
        <f>A2039</f>
        <v>Fuel cells</v>
      </c>
      <c r="G2039" s="77" t="str">
        <f>B2039</f>
        <v>Natural gas fuel cell power plant</v>
      </c>
      <c r="H2039" s="77" t="str">
        <f>C2039</f>
        <v>Electricity only</v>
      </c>
      <c r="I2039" s="163" t="str">
        <f t="shared" si="111"/>
        <v>M</v>
      </c>
      <c r="J2039" s="93" t="s">
        <v>112</v>
      </c>
      <c r="K2039" s="93" t="s">
        <v>112</v>
      </c>
      <c r="L2039" s="93" t="s">
        <v>112</v>
      </c>
      <c r="M2039" s="93" t="s">
        <v>112</v>
      </c>
      <c r="N2039" s="93" t="s">
        <v>112</v>
      </c>
      <c r="O2039" s="93" t="s">
        <v>112</v>
      </c>
      <c r="P2039" s="93" t="s">
        <v>112</v>
      </c>
      <c r="Q2039" s="93" t="s">
        <v>112</v>
      </c>
      <c r="R2039" s="93" t="s">
        <v>112</v>
      </c>
      <c r="S2039" s="93" t="s">
        <v>112</v>
      </c>
      <c r="T2039" s="93" t="s">
        <v>112</v>
      </c>
      <c r="U2039" s="93" t="s">
        <v>112</v>
      </c>
      <c r="V2039" s="93" t="s">
        <v>112</v>
      </c>
      <c r="W2039" s="93" t="s">
        <v>112</v>
      </c>
      <c r="X2039" s="93" t="s">
        <v>112</v>
      </c>
      <c r="Y2039" s="93" t="s">
        <v>112</v>
      </c>
      <c r="Z2039" s="93" t="s">
        <v>112</v>
      </c>
      <c r="AA2039" s="93" t="s">
        <v>112</v>
      </c>
      <c r="AB2039" s="93" t="s">
        <v>112</v>
      </c>
      <c r="AC2039" s="93" t="s">
        <v>112</v>
      </c>
      <c r="AD2039" s="93" t="s">
        <v>112</v>
      </c>
      <c r="AE2039" s="93">
        <v>3000</v>
      </c>
      <c r="AF2039" s="93">
        <v>3000</v>
      </c>
      <c r="AG2039" s="93">
        <v>3000</v>
      </c>
      <c r="AH2039" s="93">
        <v>3000</v>
      </c>
      <c r="AI2039" s="93">
        <v>3000</v>
      </c>
      <c r="AJ2039" s="93">
        <v>3000</v>
      </c>
      <c r="AK2039" s="93">
        <v>3000</v>
      </c>
      <c r="AL2039" s="93">
        <v>3000</v>
      </c>
      <c r="AM2039" s="93">
        <v>3000</v>
      </c>
      <c r="AN2039" s="93">
        <v>3000</v>
      </c>
      <c r="AO2039" s="93">
        <v>3000</v>
      </c>
      <c r="AP2039" s="93">
        <v>3000</v>
      </c>
      <c r="AQ2039" s="93">
        <v>3000</v>
      </c>
      <c r="AR2039" s="93">
        <v>3000</v>
      </c>
      <c r="AS2039" s="93">
        <v>3000</v>
      </c>
      <c r="AT2039" s="93">
        <v>3000</v>
      </c>
      <c r="AU2039" s="93">
        <v>3000</v>
      </c>
      <c r="AV2039" s="93">
        <v>3000</v>
      </c>
      <c r="AW2039" s="93">
        <v>3000</v>
      </c>
      <c r="AX2039" s="94">
        <v>3000</v>
      </c>
    </row>
    <row r="2040" spans="1:50" x14ac:dyDescent="0.25">
      <c r="A2040" s="356"/>
      <c r="B2040" s="359"/>
      <c r="C2040" s="350"/>
      <c r="D2040" s="2" t="s">
        <v>10</v>
      </c>
      <c r="E2040" s="160" t="str">
        <f>A2039&amp;"/"&amp;B2039&amp;"/"&amp;C2039&amp;"/"&amp;D2040</f>
        <v>Fuel cells/Natural gas fuel cell power plant/Electricity only/S</v>
      </c>
      <c r="F2040" s="76" t="str">
        <f>A2039</f>
        <v>Fuel cells</v>
      </c>
      <c r="G2040" s="76" t="str">
        <f>B2039</f>
        <v>Natural gas fuel cell power plant</v>
      </c>
      <c r="H2040" s="76" t="str">
        <f>C2039</f>
        <v>Electricity only</v>
      </c>
      <c r="I2040" s="161" t="str">
        <f t="shared" si="111"/>
        <v>S</v>
      </c>
      <c r="J2040" s="91" t="s">
        <v>112</v>
      </c>
      <c r="K2040" s="91" t="s">
        <v>112</v>
      </c>
      <c r="L2040" s="91" t="s">
        <v>112</v>
      </c>
      <c r="M2040" s="91" t="s">
        <v>112</v>
      </c>
      <c r="N2040" s="91" t="s">
        <v>112</v>
      </c>
      <c r="O2040" s="91" t="s">
        <v>112</v>
      </c>
      <c r="P2040" s="91" t="s">
        <v>112</v>
      </c>
      <c r="Q2040" s="91" t="s">
        <v>112</v>
      </c>
      <c r="R2040" s="91" t="s">
        <v>112</v>
      </c>
      <c r="S2040" s="91" t="s">
        <v>112</v>
      </c>
      <c r="T2040" s="91" t="s">
        <v>112</v>
      </c>
      <c r="U2040" s="91" t="s">
        <v>112</v>
      </c>
      <c r="V2040" s="91" t="s">
        <v>112</v>
      </c>
      <c r="W2040" s="91" t="s">
        <v>112</v>
      </c>
      <c r="X2040" s="91" t="s">
        <v>112</v>
      </c>
      <c r="Y2040" s="91" t="s">
        <v>112</v>
      </c>
      <c r="Z2040" s="91" t="s">
        <v>112</v>
      </c>
      <c r="AA2040" s="91" t="s">
        <v>112</v>
      </c>
      <c r="AB2040" s="91" t="s">
        <v>112</v>
      </c>
      <c r="AC2040" s="91">
        <v>2250</v>
      </c>
      <c r="AD2040" s="91">
        <v>2250</v>
      </c>
      <c r="AE2040" s="91">
        <v>2250</v>
      </c>
      <c r="AF2040" s="91">
        <v>2250</v>
      </c>
      <c r="AG2040" s="91">
        <v>2250</v>
      </c>
      <c r="AH2040" s="91">
        <v>2250</v>
      </c>
      <c r="AI2040" s="91">
        <v>2250</v>
      </c>
      <c r="AJ2040" s="91">
        <v>2250</v>
      </c>
      <c r="AK2040" s="91">
        <v>2250</v>
      </c>
      <c r="AL2040" s="91">
        <v>2250</v>
      </c>
      <c r="AM2040" s="91">
        <v>2250</v>
      </c>
      <c r="AN2040" s="91">
        <v>2250</v>
      </c>
      <c r="AO2040" s="91">
        <v>2250</v>
      </c>
      <c r="AP2040" s="91">
        <v>2250</v>
      </c>
      <c r="AQ2040" s="91">
        <v>2250</v>
      </c>
      <c r="AR2040" s="91">
        <v>2250</v>
      </c>
      <c r="AS2040" s="91">
        <v>2250</v>
      </c>
      <c r="AT2040" s="91">
        <v>2250</v>
      </c>
      <c r="AU2040" s="91">
        <v>2250</v>
      </c>
      <c r="AV2040" s="91">
        <v>2250</v>
      </c>
      <c r="AW2040" s="91">
        <v>2250</v>
      </c>
      <c r="AX2040" s="92">
        <v>2250</v>
      </c>
    </row>
    <row r="2041" spans="1:50" x14ac:dyDescent="0.25">
      <c r="A2041" s="356"/>
      <c r="B2041" s="368"/>
      <c r="C2041" s="360"/>
      <c r="D2041" s="59" t="s">
        <v>20</v>
      </c>
      <c r="E2041" s="166" t="str">
        <f>A2039&amp;"/"&amp;B2039&amp;"/"&amp;C2039&amp;"/"&amp;D2041</f>
        <v>Fuel cells/Natural gas fuel cell power plant/Electricity only/XS</v>
      </c>
      <c r="F2041" s="79" t="str">
        <f>A2039</f>
        <v>Fuel cells</v>
      </c>
      <c r="G2041" s="79" t="str">
        <f>B2039</f>
        <v>Natural gas fuel cell power plant</v>
      </c>
      <c r="H2041" s="79" t="str">
        <f>C2039</f>
        <v>Electricity only</v>
      </c>
      <c r="I2041" s="167" t="str">
        <f t="shared" si="111"/>
        <v>XS</v>
      </c>
      <c r="J2041" s="97" t="s">
        <v>112</v>
      </c>
      <c r="K2041" s="97" t="s">
        <v>112</v>
      </c>
      <c r="L2041" s="97" t="s">
        <v>112</v>
      </c>
      <c r="M2041" s="97" t="s">
        <v>112</v>
      </c>
      <c r="N2041" s="97" t="s">
        <v>112</v>
      </c>
      <c r="O2041" s="97" t="s">
        <v>112</v>
      </c>
      <c r="P2041" s="97" t="s">
        <v>112</v>
      </c>
      <c r="Q2041" s="97" t="s">
        <v>112</v>
      </c>
      <c r="R2041" s="97" t="s">
        <v>112</v>
      </c>
      <c r="S2041" s="97" t="s">
        <v>112</v>
      </c>
      <c r="T2041" s="97" t="s">
        <v>112</v>
      </c>
      <c r="U2041" s="97" t="s">
        <v>112</v>
      </c>
      <c r="V2041" s="97" t="s">
        <v>112</v>
      </c>
      <c r="W2041" s="97" t="s">
        <v>112</v>
      </c>
      <c r="X2041" s="97" t="s">
        <v>112</v>
      </c>
      <c r="Y2041" s="97" t="s">
        <v>112</v>
      </c>
      <c r="Z2041" s="97">
        <v>1687.5</v>
      </c>
      <c r="AA2041" s="97">
        <v>1687.5</v>
      </c>
      <c r="AB2041" s="97">
        <v>1687.5</v>
      </c>
      <c r="AC2041" s="97">
        <v>1687.5</v>
      </c>
      <c r="AD2041" s="97">
        <v>1687.5</v>
      </c>
      <c r="AE2041" s="97">
        <v>1687.5</v>
      </c>
      <c r="AF2041" s="97">
        <v>1687.5</v>
      </c>
      <c r="AG2041" s="97">
        <v>1687.5</v>
      </c>
      <c r="AH2041" s="97">
        <v>1687.5</v>
      </c>
      <c r="AI2041" s="97">
        <v>1687.5</v>
      </c>
      <c r="AJ2041" s="97">
        <v>1687.5</v>
      </c>
      <c r="AK2041" s="97">
        <v>1687.5</v>
      </c>
      <c r="AL2041" s="97">
        <v>1687.5</v>
      </c>
      <c r="AM2041" s="97">
        <v>1687.5</v>
      </c>
      <c r="AN2041" s="97">
        <v>1687.5</v>
      </c>
      <c r="AO2041" s="97">
        <v>1687.5</v>
      </c>
      <c r="AP2041" s="97">
        <v>1687.5</v>
      </c>
      <c r="AQ2041" s="97">
        <v>1687.5</v>
      </c>
      <c r="AR2041" s="97">
        <v>1687.5</v>
      </c>
      <c r="AS2041" s="97">
        <v>1687.5</v>
      </c>
      <c r="AT2041" s="97">
        <v>1687.5</v>
      </c>
      <c r="AU2041" s="97">
        <v>1687.5</v>
      </c>
      <c r="AV2041" s="97">
        <v>1687.5</v>
      </c>
      <c r="AW2041" s="97">
        <v>1687.5</v>
      </c>
      <c r="AX2041" s="98">
        <v>1687.5</v>
      </c>
    </row>
    <row r="2042" spans="1:50" x14ac:dyDescent="0.25">
      <c r="A2042" s="356"/>
      <c r="B2042" s="359" t="s">
        <v>33</v>
      </c>
      <c r="C2042" s="350" t="s">
        <v>6</v>
      </c>
      <c r="D2042" s="2" t="s">
        <v>8</v>
      </c>
      <c r="E2042" s="160" t="str">
        <f>A2039&amp;"/"&amp;B2042&amp;"/"&amp;C2042&amp;"/"&amp;D2042</f>
        <v>Fuel cells/Hydrogen fuel cell power plant/Electricity only/M</v>
      </c>
      <c r="F2042" s="76" t="str">
        <f>A2039</f>
        <v>Fuel cells</v>
      </c>
      <c r="G2042" s="76" t="str">
        <f>B2042</f>
        <v>Hydrogen fuel cell power plant</v>
      </c>
      <c r="H2042" s="76" t="str">
        <f>C2042</f>
        <v>Electricity only</v>
      </c>
      <c r="I2042" s="161" t="str">
        <f t="shared" si="111"/>
        <v>M</v>
      </c>
      <c r="J2042" s="91" t="s">
        <v>112</v>
      </c>
      <c r="K2042" s="91" t="s">
        <v>112</v>
      </c>
      <c r="L2042" s="91" t="s">
        <v>112</v>
      </c>
      <c r="M2042" s="91" t="s">
        <v>112</v>
      </c>
      <c r="N2042" s="91" t="s">
        <v>112</v>
      </c>
      <c r="O2042" s="91" t="s">
        <v>112</v>
      </c>
      <c r="P2042" s="91" t="s">
        <v>112</v>
      </c>
      <c r="Q2042" s="91" t="s">
        <v>112</v>
      </c>
      <c r="R2042" s="91" t="s">
        <v>112</v>
      </c>
      <c r="S2042" s="91" t="s">
        <v>112</v>
      </c>
      <c r="T2042" s="91" t="s">
        <v>112</v>
      </c>
      <c r="U2042" s="91" t="s">
        <v>112</v>
      </c>
      <c r="V2042" s="91" t="s">
        <v>112</v>
      </c>
      <c r="W2042" s="91" t="s">
        <v>112</v>
      </c>
      <c r="X2042" s="91" t="s">
        <v>112</v>
      </c>
      <c r="Y2042" s="91" t="s">
        <v>112</v>
      </c>
      <c r="Z2042" s="91" t="s">
        <v>112</v>
      </c>
      <c r="AA2042" s="91" t="s">
        <v>112</v>
      </c>
      <c r="AB2042" s="91" t="s">
        <v>112</v>
      </c>
      <c r="AC2042" s="91" t="s">
        <v>112</v>
      </c>
      <c r="AD2042" s="91" t="s">
        <v>112</v>
      </c>
      <c r="AE2042" s="91" t="s">
        <v>112</v>
      </c>
      <c r="AF2042" s="91" t="s">
        <v>112</v>
      </c>
      <c r="AG2042" s="91">
        <v>2900</v>
      </c>
      <c r="AH2042" s="91">
        <v>2900</v>
      </c>
      <c r="AI2042" s="91">
        <v>2900</v>
      </c>
      <c r="AJ2042" s="91">
        <v>2900</v>
      </c>
      <c r="AK2042" s="91">
        <v>2900</v>
      </c>
      <c r="AL2042" s="91">
        <v>2900</v>
      </c>
      <c r="AM2042" s="91">
        <v>2900</v>
      </c>
      <c r="AN2042" s="91">
        <v>2900</v>
      </c>
      <c r="AO2042" s="91">
        <v>2900</v>
      </c>
      <c r="AP2042" s="91">
        <v>2900</v>
      </c>
      <c r="AQ2042" s="91">
        <v>2900</v>
      </c>
      <c r="AR2042" s="91">
        <v>2900</v>
      </c>
      <c r="AS2042" s="91">
        <v>2900</v>
      </c>
      <c r="AT2042" s="91">
        <v>2900</v>
      </c>
      <c r="AU2042" s="91">
        <v>2900</v>
      </c>
      <c r="AV2042" s="91">
        <v>2900</v>
      </c>
      <c r="AW2042" s="91">
        <v>2900</v>
      </c>
      <c r="AX2042" s="92">
        <v>2900</v>
      </c>
    </row>
    <row r="2043" spans="1:50" x14ac:dyDescent="0.25">
      <c r="A2043" s="356"/>
      <c r="B2043" s="359"/>
      <c r="C2043" s="350"/>
      <c r="D2043" s="2" t="s">
        <v>10</v>
      </c>
      <c r="E2043" s="160" t="str">
        <f>A2039&amp;"/"&amp;B2042&amp;"/"&amp;C2042&amp;"/"&amp;D2043</f>
        <v>Fuel cells/Hydrogen fuel cell power plant/Electricity only/S</v>
      </c>
      <c r="F2043" s="76" t="str">
        <f>A2039</f>
        <v>Fuel cells</v>
      </c>
      <c r="G2043" s="76" t="str">
        <f>B2042</f>
        <v>Hydrogen fuel cell power plant</v>
      </c>
      <c r="H2043" s="76" t="str">
        <f>C2042</f>
        <v>Electricity only</v>
      </c>
      <c r="I2043" s="161" t="str">
        <f t="shared" si="111"/>
        <v>S</v>
      </c>
      <c r="J2043" s="91" t="s">
        <v>112</v>
      </c>
      <c r="K2043" s="91" t="s">
        <v>112</v>
      </c>
      <c r="L2043" s="91" t="s">
        <v>112</v>
      </c>
      <c r="M2043" s="91" t="s">
        <v>112</v>
      </c>
      <c r="N2043" s="91" t="s">
        <v>112</v>
      </c>
      <c r="O2043" s="91" t="s">
        <v>112</v>
      </c>
      <c r="P2043" s="91" t="s">
        <v>112</v>
      </c>
      <c r="Q2043" s="91" t="s">
        <v>112</v>
      </c>
      <c r="R2043" s="91" t="s">
        <v>112</v>
      </c>
      <c r="S2043" s="91" t="s">
        <v>112</v>
      </c>
      <c r="T2043" s="91" t="s">
        <v>112</v>
      </c>
      <c r="U2043" s="91" t="s">
        <v>112</v>
      </c>
      <c r="V2043" s="91" t="s">
        <v>112</v>
      </c>
      <c r="W2043" s="91" t="s">
        <v>112</v>
      </c>
      <c r="X2043" s="91" t="s">
        <v>112</v>
      </c>
      <c r="Y2043" s="91" t="s">
        <v>112</v>
      </c>
      <c r="Z2043" s="91" t="s">
        <v>112</v>
      </c>
      <c r="AA2043" s="91" t="s">
        <v>112</v>
      </c>
      <c r="AB2043" s="91" t="s">
        <v>112</v>
      </c>
      <c r="AC2043" s="91" t="s">
        <v>112</v>
      </c>
      <c r="AD2043" s="91" t="s">
        <v>112</v>
      </c>
      <c r="AE2043" s="91">
        <v>2175</v>
      </c>
      <c r="AF2043" s="91">
        <v>2175</v>
      </c>
      <c r="AG2043" s="91">
        <v>2175</v>
      </c>
      <c r="AH2043" s="91">
        <v>2175</v>
      </c>
      <c r="AI2043" s="91">
        <v>2175</v>
      </c>
      <c r="AJ2043" s="91">
        <v>2175</v>
      </c>
      <c r="AK2043" s="91">
        <v>2175</v>
      </c>
      <c r="AL2043" s="91">
        <v>2175</v>
      </c>
      <c r="AM2043" s="91">
        <v>2175</v>
      </c>
      <c r="AN2043" s="91">
        <v>2175</v>
      </c>
      <c r="AO2043" s="91">
        <v>2175</v>
      </c>
      <c r="AP2043" s="91">
        <v>2175</v>
      </c>
      <c r="AQ2043" s="91">
        <v>2175</v>
      </c>
      <c r="AR2043" s="91">
        <v>2175</v>
      </c>
      <c r="AS2043" s="91">
        <v>2175</v>
      </c>
      <c r="AT2043" s="91">
        <v>2175</v>
      </c>
      <c r="AU2043" s="91">
        <v>2175</v>
      </c>
      <c r="AV2043" s="91">
        <v>2175</v>
      </c>
      <c r="AW2043" s="91">
        <v>2175</v>
      </c>
      <c r="AX2043" s="92">
        <v>2175</v>
      </c>
    </row>
    <row r="2044" spans="1:50" x14ac:dyDescent="0.25">
      <c r="A2044" s="357"/>
      <c r="B2044" s="362"/>
      <c r="C2044" s="354"/>
      <c r="D2044" s="4" t="s">
        <v>20</v>
      </c>
      <c r="E2044" s="160" t="str">
        <f>A2039&amp;"/"&amp;B2042&amp;"/"&amp;C2042&amp;"/"&amp;D2044</f>
        <v>Fuel cells/Hydrogen fuel cell power plant/Electricity only/XS</v>
      </c>
      <c r="F2044" s="76" t="str">
        <f>A2039</f>
        <v>Fuel cells</v>
      </c>
      <c r="G2044" s="76" t="str">
        <f>B2042</f>
        <v>Hydrogen fuel cell power plant</v>
      </c>
      <c r="H2044" s="76" t="str">
        <f>C2042</f>
        <v>Electricity only</v>
      </c>
      <c r="I2044" s="161" t="str">
        <f t="shared" si="111"/>
        <v>XS</v>
      </c>
      <c r="J2044" s="91" t="s">
        <v>112</v>
      </c>
      <c r="K2044" s="91" t="s">
        <v>112</v>
      </c>
      <c r="L2044" s="91" t="s">
        <v>112</v>
      </c>
      <c r="M2044" s="91" t="s">
        <v>112</v>
      </c>
      <c r="N2044" s="91" t="s">
        <v>112</v>
      </c>
      <c r="O2044" s="91" t="s">
        <v>112</v>
      </c>
      <c r="P2044" s="91" t="s">
        <v>112</v>
      </c>
      <c r="Q2044" s="91" t="s">
        <v>112</v>
      </c>
      <c r="R2044" s="91" t="s">
        <v>112</v>
      </c>
      <c r="S2044" s="91" t="s">
        <v>112</v>
      </c>
      <c r="T2044" s="91" t="s">
        <v>112</v>
      </c>
      <c r="U2044" s="91" t="s">
        <v>112</v>
      </c>
      <c r="V2044" s="91" t="s">
        <v>112</v>
      </c>
      <c r="W2044" s="91" t="s">
        <v>112</v>
      </c>
      <c r="X2044" s="91" t="s">
        <v>112</v>
      </c>
      <c r="Y2044" s="91" t="s">
        <v>112</v>
      </c>
      <c r="Z2044" s="91" t="s">
        <v>112</v>
      </c>
      <c r="AA2044" s="91" t="s">
        <v>112</v>
      </c>
      <c r="AB2044" s="91">
        <v>1631.25</v>
      </c>
      <c r="AC2044" s="91">
        <v>1631.25</v>
      </c>
      <c r="AD2044" s="91">
        <v>1631.25</v>
      </c>
      <c r="AE2044" s="91">
        <v>1631.25</v>
      </c>
      <c r="AF2044" s="91">
        <v>1631.25</v>
      </c>
      <c r="AG2044" s="91">
        <v>1631.25</v>
      </c>
      <c r="AH2044" s="91">
        <v>1631.25</v>
      </c>
      <c r="AI2044" s="91">
        <v>1631.25</v>
      </c>
      <c r="AJ2044" s="91">
        <v>1631.25</v>
      </c>
      <c r="AK2044" s="91">
        <v>1631.25</v>
      </c>
      <c r="AL2044" s="91">
        <v>1631.25</v>
      </c>
      <c r="AM2044" s="91">
        <v>1631.25</v>
      </c>
      <c r="AN2044" s="91">
        <v>1631.25</v>
      </c>
      <c r="AO2044" s="91">
        <v>1631.25</v>
      </c>
      <c r="AP2044" s="91">
        <v>1631.25</v>
      </c>
      <c r="AQ2044" s="91">
        <v>1631.25</v>
      </c>
      <c r="AR2044" s="91">
        <v>1631.25</v>
      </c>
      <c r="AS2044" s="91">
        <v>1631.25</v>
      </c>
      <c r="AT2044" s="91">
        <v>1631.25</v>
      </c>
      <c r="AU2044" s="91">
        <v>1631.25</v>
      </c>
      <c r="AV2044" s="91">
        <v>1631.25</v>
      </c>
      <c r="AW2044" s="91">
        <v>1631.25</v>
      </c>
      <c r="AX2044" s="92">
        <v>1631.25</v>
      </c>
    </row>
    <row r="2045" spans="1:50" x14ac:dyDescent="0.25">
      <c r="A2045" s="355" t="s">
        <v>34</v>
      </c>
      <c r="B2045" s="358" t="s">
        <v>35</v>
      </c>
      <c r="C2045" s="353" t="s">
        <v>6</v>
      </c>
      <c r="D2045" s="3" t="s">
        <v>7</v>
      </c>
      <c r="E2045" s="162" t="str">
        <f>A2045&amp;"/"&amp;B2045&amp;"/"&amp;C2045&amp;"/"&amp;D2045</f>
        <v>Wind power plants/Onshore/Electricity only/L</v>
      </c>
      <c r="F2045" s="77" t="str">
        <f>A2045</f>
        <v>Wind power plants</v>
      </c>
      <c r="G2045" s="77" t="str">
        <f>B2045</f>
        <v>Onshore</v>
      </c>
      <c r="H2045" s="77" t="str">
        <f>C2045</f>
        <v>Electricity only</v>
      </c>
      <c r="I2045" s="163" t="str">
        <f t="shared" si="111"/>
        <v>L</v>
      </c>
      <c r="J2045" s="93">
        <v>1400</v>
      </c>
      <c r="K2045" s="93">
        <v>1400</v>
      </c>
      <c r="L2045" s="93">
        <v>1400</v>
      </c>
      <c r="M2045" s="93">
        <v>1400</v>
      </c>
      <c r="N2045" s="93">
        <v>1400</v>
      </c>
      <c r="O2045" s="93">
        <v>1400</v>
      </c>
      <c r="P2045" s="93">
        <v>1400</v>
      </c>
      <c r="Q2045" s="93">
        <v>1400</v>
      </c>
      <c r="R2045" s="93">
        <v>1400</v>
      </c>
      <c r="S2045" s="93">
        <v>1400</v>
      </c>
      <c r="T2045" s="93">
        <v>1400</v>
      </c>
      <c r="U2045" s="93">
        <v>1400</v>
      </c>
      <c r="V2045" s="93">
        <v>1400</v>
      </c>
      <c r="W2045" s="93">
        <v>1400</v>
      </c>
      <c r="X2045" s="93">
        <v>1400</v>
      </c>
      <c r="Y2045" s="93">
        <v>1400</v>
      </c>
      <c r="Z2045" s="93">
        <v>1400</v>
      </c>
      <c r="AA2045" s="93">
        <v>1400</v>
      </c>
      <c r="AB2045" s="93">
        <v>1400</v>
      </c>
      <c r="AC2045" s="93">
        <v>1400</v>
      </c>
      <c r="AD2045" s="93">
        <v>1400</v>
      </c>
      <c r="AE2045" s="93">
        <v>1400</v>
      </c>
      <c r="AF2045" s="93">
        <v>1400</v>
      </c>
      <c r="AG2045" s="93">
        <v>1400</v>
      </c>
      <c r="AH2045" s="93">
        <v>1400</v>
      </c>
      <c r="AI2045" s="93">
        <v>1400</v>
      </c>
      <c r="AJ2045" s="93">
        <v>1400</v>
      </c>
      <c r="AK2045" s="93">
        <v>1400</v>
      </c>
      <c r="AL2045" s="93">
        <v>1400</v>
      </c>
      <c r="AM2045" s="93">
        <v>1400</v>
      </c>
      <c r="AN2045" s="93">
        <v>1400</v>
      </c>
      <c r="AO2045" s="93">
        <v>1400</v>
      </c>
      <c r="AP2045" s="93">
        <v>1400</v>
      </c>
      <c r="AQ2045" s="93">
        <v>1400</v>
      </c>
      <c r="AR2045" s="93">
        <v>1400</v>
      </c>
      <c r="AS2045" s="93">
        <v>1400</v>
      </c>
      <c r="AT2045" s="93">
        <v>1400</v>
      </c>
      <c r="AU2045" s="93">
        <v>1400</v>
      </c>
      <c r="AV2045" s="93">
        <v>1400</v>
      </c>
      <c r="AW2045" s="93">
        <v>1400</v>
      </c>
      <c r="AX2045" s="94">
        <v>1400</v>
      </c>
    </row>
    <row r="2046" spans="1:50" x14ac:dyDescent="0.25">
      <c r="A2046" s="356"/>
      <c r="B2046" s="359"/>
      <c r="C2046" s="350"/>
      <c r="D2046" s="2" t="s">
        <v>8</v>
      </c>
      <c r="E2046" s="160" t="str">
        <f>A2045&amp;"/"&amp;B2045&amp;"/"&amp;C2045&amp;"/"&amp;D2046</f>
        <v>Wind power plants/Onshore/Electricity only/M</v>
      </c>
      <c r="F2046" s="76" t="str">
        <f>A2045</f>
        <v>Wind power plants</v>
      </c>
      <c r="G2046" s="76" t="str">
        <f>B2045</f>
        <v>Onshore</v>
      </c>
      <c r="H2046" s="76" t="str">
        <f>C2045</f>
        <v>Electricity only</v>
      </c>
      <c r="I2046" s="161" t="str">
        <f t="shared" si="111"/>
        <v>M</v>
      </c>
      <c r="J2046" s="91">
        <v>1400</v>
      </c>
      <c r="K2046" s="91">
        <v>1400</v>
      </c>
      <c r="L2046" s="91">
        <v>1400</v>
      </c>
      <c r="M2046" s="91">
        <v>1400</v>
      </c>
      <c r="N2046" s="91">
        <v>1400</v>
      </c>
      <c r="O2046" s="91">
        <v>1400</v>
      </c>
      <c r="P2046" s="91">
        <v>1400</v>
      </c>
      <c r="Q2046" s="91">
        <v>1400</v>
      </c>
      <c r="R2046" s="91">
        <v>1400</v>
      </c>
      <c r="S2046" s="91">
        <v>1400</v>
      </c>
      <c r="T2046" s="91">
        <v>1400</v>
      </c>
      <c r="U2046" s="91">
        <v>1400</v>
      </c>
      <c r="V2046" s="91">
        <v>1400</v>
      </c>
      <c r="W2046" s="91">
        <v>1400</v>
      </c>
      <c r="X2046" s="91">
        <v>1400</v>
      </c>
      <c r="Y2046" s="91">
        <v>1400</v>
      </c>
      <c r="Z2046" s="91">
        <v>1400</v>
      </c>
      <c r="AA2046" s="91">
        <v>1400</v>
      </c>
      <c r="AB2046" s="91">
        <v>1400</v>
      </c>
      <c r="AC2046" s="91">
        <v>1400</v>
      </c>
      <c r="AD2046" s="91">
        <v>1400</v>
      </c>
      <c r="AE2046" s="91">
        <v>1400</v>
      </c>
      <c r="AF2046" s="91">
        <v>1400</v>
      </c>
      <c r="AG2046" s="91">
        <v>1400</v>
      </c>
      <c r="AH2046" s="91">
        <v>1400</v>
      </c>
      <c r="AI2046" s="91">
        <v>1400</v>
      </c>
      <c r="AJ2046" s="91">
        <v>1400</v>
      </c>
      <c r="AK2046" s="91">
        <v>1400</v>
      </c>
      <c r="AL2046" s="91">
        <v>1400</v>
      </c>
      <c r="AM2046" s="91">
        <v>1400</v>
      </c>
      <c r="AN2046" s="91">
        <v>1400</v>
      </c>
      <c r="AO2046" s="91">
        <v>1400</v>
      </c>
      <c r="AP2046" s="91">
        <v>1400</v>
      </c>
      <c r="AQ2046" s="91">
        <v>1400</v>
      </c>
      <c r="AR2046" s="91">
        <v>1400</v>
      </c>
      <c r="AS2046" s="91">
        <v>1400</v>
      </c>
      <c r="AT2046" s="91">
        <v>1400</v>
      </c>
      <c r="AU2046" s="91">
        <v>1400</v>
      </c>
      <c r="AV2046" s="91">
        <v>1400</v>
      </c>
      <c r="AW2046" s="91">
        <v>1400</v>
      </c>
      <c r="AX2046" s="92">
        <v>1400</v>
      </c>
    </row>
    <row r="2047" spans="1:50" x14ac:dyDescent="0.25">
      <c r="A2047" s="356"/>
      <c r="B2047" s="359"/>
      <c r="C2047" s="350"/>
      <c r="D2047" s="2" t="s">
        <v>10</v>
      </c>
      <c r="E2047" s="160" t="str">
        <f>A2045&amp;"/"&amp;B2045&amp;"/"&amp;C2045&amp;"/"&amp;D2047</f>
        <v>Wind power plants/Onshore/Electricity only/S</v>
      </c>
      <c r="F2047" s="76" t="str">
        <f>A2045</f>
        <v>Wind power plants</v>
      </c>
      <c r="G2047" s="76" t="str">
        <f>B2045</f>
        <v>Onshore</v>
      </c>
      <c r="H2047" s="76" t="str">
        <f>C2045</f>
        <v>Electricity only</v>
      </c>
      <c r="I2047" s="161" t="str">
        <f t="shared" si="111"/>
        <v>S</v>
      </c>
      <c r="J2047" s="91">
        <v>1400</v>
      </c>
      <c r="K2047" s="91">
        <v>1400</v>
      </c>
      <c r="L2047" s="91">
        <v>1400</v>
      </c>
      <c r="M2047" s="91">
        <v>1400</v>
      </c>
      <c r="N2047" s="91">
        <v>1400</v>
      </c>
      <c r="O2047" s="91">
        <v>1400</v>
      </c>
      <c r="P2047" s="91">
        <v>1400</v>
      </c>
      <c r="Q2047" s="91">
        <v>1400</v>
      </c>
      <c r="R2047" s="91">
        <v>1400</v>
      </c>
      <c r="S2047" s="91">
        <v>1400</v>
      </c>
      <c r="T2047" s="91">
        <v>1400</v>
      </c>
      <c r="U2047" s="91">
        <v>1400</v>
      </c>
      <c r="V2047" s="91">
        <v>1400</v>
      </c>
      <c r="W2047" s="91">
        <v>1400</v>
      </c>
      <c r="X2047" s="91">
        <v>1400</v>
      </c>
      <c r="Y2047" s="91">
        <v>1400</v>
      </c>
      <c r="Z2047" s="91">
        <v>1400</v>
      </c>
      <c r="AA2047" s="91">
        <v>1400</v>
      </c>
      <c r="AB2047" s="91">
        <v>1400</v>
      </c>
      <c r="AC2047" s="91">
        <v>1400</v>
      </c>
      <c r="AD2047" s="91">
        <v>1400</v>
      </c>
      <c r="AE2047" s="91">
        <v>1400</v>
      </c>
      <c r="AF2047" s="91">
        <v>1400</v>
      </c>
      <c r="AG2047" s="91">
        <v>1400</v>
      </c>
      <c r="AH2047" s="91">
        <v>1400</v>
      </c>
      <c r="AI2047" s="91">
        <v>1400</v>
      </c>
      <c r="AJ2047" s="91">
        <v>1400</v>
      </c>
      <c r="AK2047" s="91">
        <v>1400</v>
      </c>
      <c r="AL2047" s="91">
        <v>1400</v>
      </c>
      <c r="AM2047" s="91">
        <v>1400</v>
      </c>
      <c r="AN2047" s="91">
        <v>1400</v>
      </c>
      <c r="AO2047" s="91">
        <v>1400</v>
      </c>
      <c r="AP2047" s="91">
        <v>1400</v>
      </c>
      <c r="AQ2047" s="91">
        <v>1400</v>
      </c>
      <c r="AR2047" s="91">
        <v>1400</v>
      </c>
      <c r="AS2047" s="91">
        <v>1400</v>
      </c>
      <c r="AT2047" s="91">
        <v>1400</v>
      </c>
      <c r="AU2047" s="91">
        <v>1400</v>
      </c>
      <c r="AV2047" s="91">
        <v>1400</v>
      </c>
      <c r="AW2047" s="91">
        <v>1400</v>
      </c>
      <c r="AX2047" s="92">
        <v>1400</v>
      </c>
    </row>
    <row r="2048" spans="1:50" x14ac:dyDescent="0.25">
      <c r="A2048" s="356"/>
      <c r="B2048" s="368"/>
      <c r="C2048" s="360"/>
      <c r="D2048" s="59" t="s">
        <v>20</v>
      </c>
      <c r="E2048" s="166" t="str">
        <f>A2045&amp;"/"&amp;B2045&amp;"/"&amp;C2045&amp;"/"&amp;D2048</f>
        <v>Wind power plants/Onshore/Electricity only/XS</v>
      </c>
      <c r="F2048" s="79" t="str">
        <f>A2045</f>
        <v>Wind power plants</v>
      </c>
      <c r="G2048" s="79" t="str">
        <f>B2045</f>
        <v>Onshore</v>
      </c>
      <c r="H2048" s="79" t="str">
        <f>C2045</f>
        <v>Electricity only</v>
      </c>
      <c r="I2048" s="167" t="str">
        <f t="shared" si="111"/>
        <v>XS</v>
      </c>
      <c r="J2048" s="97">
        <v>1400</v>
      </c>
      <c r="K2048" s="97">
        <v>1400</v>
      </c>
      <c r="L2048" s="97">
        <v>1400</v>
      </c>
      <c r="M2048" s="97">
        <v>1400</v>
      </c>
      <c r="N2048" s="97">
        <v>1400</v>
      </c>
      <c r="O2048" s="97">
        <v>1400</v>
      </c>
      <c r="P2048" s="97">
        <v>1400</v>
      </c>
      <c r="Q2048" s="97">
        <v>1400</v>
      </c>
      <c r="R2048" s="97">
        <v>1400</v>
      </c>
      <c r="S2048" s="97">
        <v>1400</v>
      </c>
      <c r="T2048" s="97">
        <v>1400</v>
      </c>
      <c r="U2048" s="97">
        <v>1400</v>
      </c>
      <c r="V2048" s="97">
        <v>1400</v>
      </c>
      <c r="W2048" s="97">
        <v>1400</v>
      </c>
      <c r="X2048" s="97">
        <v>1400</v>
      </c>
      <c r="Y2048" s="97">
        <v>1400</v>
      </c>
      <c r="Z2048" s="97">
        <v>1400</v>
      </c>
      <c r="AA2048" s="97">
        <v>1400</v>
      </c>
      <c r="AB2048" s="97">
        <v>1400</v>
      </c>
      <c r="AC2048" s="97">
        <v>1400</v>
      </c>
      <c r="AD2048" s="97">
        <v>1400</v>
      </c>
      <c r="AE2048" s="97">
        <v>1400</v>
      </c>
      <c r="AF2048" s="97">
        <v>1400</v>
      </c>
      <c r="AG2048" s="97">
        <v>1400</v>
      </c>
      <c r="AH2048" s="97">
        <v>1400</v>
      </c>
      <c r="AI2048" s="97">
        <v>1400</v>
      </c>
      <c r="AJ2048" s="97">
        <v>1400</v>
      </c>
      <c r="AK2048" s="97">
        <v>1400</v>
      </c>
      <c r="AL2048" s="97">
        <v>1400</v>
      </c>
      <c r="AM2048" s="97">
        <v>1400</v>
      </c>
      <c r="AN2048" s="97">
        <v>1400</v>
      </c>
      <c r="AO2048" s="97">
        <v>1400</v>
      </c>
      <c r="AP2048" s="97">
        <v>1400</v>
      </c>
      <c r="AQ2048" s="97">
        <v>1400</v>
      </c>
      <c r="AR2048" s="97">
        <v>1400</v>
      </c>
      <c r="AS2048" s="97">
        <v>1400</v>
      </c>
      <c r="AT2048" s="97">
        <v>1400</v>
      </c>
      <c r="AU2048" s="97">
        <v>1400</v>
      </c>
      <c r="AV2048" s="97">
        <v>1400</v>
      </c>
      <c r="AW2048" s="97">
        <v>1400</v>
      </c>
      <c r="AX2048" s="98">
        <v>1400</v>
      </c>
    </row>
    <row r="2049" spans="1:50" x14ac:dyDescent="0.25">
      <c r="A2049" s="356"/>
      <c r="B2049" s="359" t="s">
        <v>36</v>
      </c>
      <c r="C2049" s="361" t="s">
        <v>6</v>
      </c>
      <c r="D2049" s="2" t="s">
        <v>7</v>
      </c>
      <c r="E2049" s="160" t="str">
        <f>A2045&amp;"/"&amp;B2049&amp;"/"&amp;C2049&amp;"/"&amp;D2049</f>
        <v>Wind power plants/Offshore/Electricity only/L</v>
      </c>
      <c r="F2049" s="76" t="str">
        <f>A2045</f>
        <v>Wind power plants</v>
      </c>
      <c r="G2049" s="76" t="str">
        <f>B2049</f>
        <v>Offshore</v>
      </c>
      <c r="H2049" s="76" t="str">
        <f>C2049</f>
        <v>Electricity only</v>
      </c>
      <c r="I2049" s="161" t="str">
        <f t="shared" si="111"/>
        <v>L</v>
      </c>
      <c r="J2049" s="91">
        <v>2000</v>
      </c>
      <c r="K2049" s="91">
        <v>2000</v>
      </c>
      <c r="L2049" s="91">
        <v>2000</v>
      </c>
      <c r="M2049" s="91">
        <v>2000</v>
      </c>
      <c r="N2049" s="91">
        <v>2000</v>
      </c>
      <c r="O2049" s="91">
        <v>2000</v>
      </c>
      <c r="P2049" s="91">
        <v>2000</v>
      </c>
      <c r="Q2049" s="91">
        <v>2000</v>
      </c>
      <c r="R2049" s="91">
        <v>2000</v>
      </c>
      <c r="S2049" s="91">
        <v>2000</v>
      </c>
      <c r="T2049" s="91">
        <v>2000</v>
      </c>
      <c r="U2049" s="91">
        <v>2000</v>
      </c>
      <c r="V2049" s="91">
        <v>2000</v>
      </c>
      <c r="W2049" s="91">
        <v>2000</v>
      </c>
      <c r="X2049" s="91">
        <v>2000</v>
      </c>
      <c r="Y2049" s="91">
        <v>2000</v>
      </c>
      <c r="Z2049" s="91">
        <v>2000</v>
      </c>
      <c r="AA2049" s="91">
        <v>2000</v>
      </c>
      <c r="AB2049" s="91">
        <v>2000</v>
      </c>
      <c r="AC2049" s="91">
        <v>2000</v>
      </c>
      <c r="AD2049" s="91">
        <v>2000</v>
      </c>
      <c r="AE2049" s="91">
        <v>2000</v>
      </c>
      <c r="AF2049" s="91">
        <v>2000</v>
      </c>
      <c r="AG2049" s="91">
        <v>2000</v>
      </c>
      <c r="AH2049" s="91">
        <v>2000</v>
      </c>
      <c r="AI2049" s="91">
        <v>2000</v>
      </c>
      <c r="AJ2049" s="91">
        <v>2000</v>
      </c>
      <c r="AK2049" s="91">
        <v>2000</v>
      </c>
      <c r="AL2049" s="91">
        <v>2000</v>
      </c>
      <c r="AM2049" s="91">
        <v>2000</v>
      </c>
      <c r="AN2049" s="91">
        <v>2000</v>
      </c>
      <c r="AO2049" s="91">
        <v>2000</v>
      </c>
      <c r="AP2049" s="91">
        <v>2000</v>
      </c>
      <c r="AQ2049" s="91">
        <v>2000</v>
      </c>
      <c r="AR2049" s="91">
        <v>2000</v>
      </c>
      <c r="AS2049" s="91">
        <v>2000</v>
      </c>
      <c r="AT2049" s="91">
        <v>2000</v>
      </c>
      <c r="AU2049" s="91">
        <v>2000</v>
      </c>
      <c r="AV2049" s="91">
        <v>2000</v>
      </c>
      <c r="AW2049" s="91">
        <v>2000</v>
      </c>
      <c r="AX2049" s="92">
        <v>2000</v>
      </c>
    </row>
    <row r="2050" spans="1:50" x14ac:dyDescent="0.25">
      <c r="A2050" s="356"/>
      <c r="B2050" s="359"/>
      <c r="C2050" s="350"/>
      <c r="D2050" s="2" t="s">
        <v>8</v>
      </c>
      <c r="E2050" s="160" t="str">
        <f>A2045&amp;"/"&amp;B2049&amp;"/"&amp;C2049&amp;"/"&amp;D2050</f>
        <v>Wind power plants/Offshore/Electricity only/M</v>
      </c>
      <c r="F2050" s="76" t="str">
        <f>A2045</f>
        <v>Wind power plants</v>
      </c>
      <c r="G2050" s="76" t="str">
        <f>B2049</f>
        <v>Offshore</v>
      </c>
      <c r="H2050" s="76" t="str">
        <f>C2049</f>
        <v>Electricity only</v>
      </c>
      <c r="I2050" s="161" t="str">
        <f t="shared" si="111"/>
        <v>M</v>
      </c>
      <c r="J2050" s="91">
        <v>2000</v>
      </c>
      <c r="K2050" s="91">
        <v>2000</v>
      </c>
      <c r="L2050" s="91">
        <v>2000</v>
      </c>
      <c r="M2050" s="91">
        <v>2000</v>
      </c>
      <c r="N2050" s="91">
        <v>2000</v>
      </c>
      <c r="O2050" s="91">
        <v>2000</v>
      </c>
      <c r="P2050" s="91">
        <v>2000</v>
      </c>
      <c r="Q2050" s="91">
        <v>2000</v>
      </c>
      <c r="R2050" s="91">
        <v>2000</v>
      </c>
      <c r="S2050" s="91">
        <v>2000</v>
      </c>
      <c r="T2050" s="91">
        <v>2000</v>
      </c>
      <c r="U2050" s="91">
        <v>2000</v>
      </c>
      <c r="V2050" s="91">
        <v>2000</v>
      </c>
      <c r="W2050" s="91">
        <v>2000</v>
      </c>
      <c r="X2050" s="91">
        <v>2000</v>
      </c>
      <c r="Y2050" s="91">
        <v>2000</v>
      </c>
      <c r="Z2050" s="91">
        <v>2000</v>
      </c>
      <c r="AA2050" s="91">
        <v>2000</v>
      </c>
      <c r="AB2050" s="91">
        <v>2000</v>
      </c>
      <c r="AC2050" s="91">
        <v>2000</v>
      </c>
      <c r="AD2050" s="91">
        <v>2000</v>
      </c>
      <c r="AE2050" s="91">
        <v>2000</v>
      </c>
      <c r="AF2050" s="91">
        <v>2000</v>
      </c>
      <c r="AG2050" s="91">
        <v>2000</v>
      </c>
      <c r="AH2050" s="91">
        <v>2000</v>
      </c>
      <c r="AI2050" s="91">
        <v>2000</v>
      </c>
      <c r="AJ2050" s="91">
        <v>2000</v>
      </c>
      <c r="AK2050" s="91">
        <v>2000</v>
      </c>
      <c r="AL2050" s="91">
        <v>2000</v>
      </c>
      <c r="AM2050" s="91">
        <v>2000</v>
      </c>
      <c r="AN2050" s="91">
        <v>2000</v>
      </c>
      <c r="AO2050" s="91">
        <v>2000</v>
      </c>
      <c r="AP2050" s="91">
        <v>2000</v>
      </c>
      <c r="AQ2050" s="91">
        <v>2000</v>
      </c>
      <c r="AR2050" s="91">
        <v>2000</v>
      </c>
      <c r="AS2050" s="91">
        <v>2000</v>
      </c>
      <c r="AT2050" s="91">
        <v>2000</v>
      </c>
      <c r="AU2050" s="91">
        <v>2000</v>
      </c>
      <c r="AV2050" s="91">
        <v>2000</v>
      </c>
      <c r="AW2050" s="91">
        <v>2000</v>
      </c>
      <c r="AX2050" s="92">
        <v>2000</v>
      </c>
    </row>
    <row r="2051" spans="1:50" x14ac:dyDescent="0.25">
      <c r="A2051" s="356"/>
      <c r="B2051" s="359"/>
      <c r="C2051" s="350"/>
      <c r="D2051" s="2" t="s">
        <v>10</v>
      </c>
      <c r="E2051" s="160" t="str">
        <f>A2045&amp;"/"&amp;B2049&amp;"/"&amp;C2049&amp;"/"&amp;D2051</f>
        <v>Wind power plants/Offshore/Electricity only/S</v>
      </c>
      <c r="F2051" s="76" t="str">
        <f>A2045</f>
        <v>Wind power plants</v>
      </c>
      <c r="G2051" s="76" t="str">
        <f>B2049</f>
        <v>Offshore</v>
      </c>
      <c r="H2051" s="76" t="str">
        <f>C2049</f>
        <v>Electricity only</v>
      </c>
      <c r="I2051" s="161" t="str">
        <f t="shared" si="111"/>
        <v>S</v>
      </c>
      <c r="J2051" s="91">
        <v>2000</v>
      </c>
      <c r="K2051" s="91">
        <v>2000</v>
      </c>
      <c r="L2051" s="91">
        <v>2000</v>
      </c>
      <c r="M2051" s="91">
        <v>2000</v>
      </c>
      <c r="N2051" s="91">
        <v>2000</v>
      </c>
      <c r="O2051" s="91">
        <v>2000</v>
      </c>
      <c r="P2051" s="91">
        <v>2000</v>
      </c>
      <c r="Q2051" s="91">
        <v>2000</v>
      </c>
      <c r="R2051" s="91">
        <v>2000</v>
      </c>
      <c r="S2051" s="91">
        <v>2000</v>
      </c>
      <c r="T2051" s="91">
        <v>2000</v>
      </c>
      <c r="U2051" s="91">
        <v>2000</v>
      </c>
      <c r="V2051" s="91">
        <v>2000</v>
      </c>
      <c r="W2051" s="91">
        <v>2000</v>
      </c>
      <c r="X2051" s="91">
        <v>2000</v>
      </c>
      <c r="Y2051" s="91">
        <v>2000</v>
      </c>
      <c r="Z2051" s="91">
        <v>2000</v>
      </c>
      <c r="AA2051" s="91">
        <v>2000</v>
      </c>
      <c r="AB2051" s="91">
        <v>2000</v>
      </c>
      <c r="AC2051" s="91">
        <v>2000</v>
      </c>
      <c r="AD2051" s="91">
        <v>2000</v>
      </c>
      <c r="AE2051" s="91">
        <v>2000</v>
      </c>
      <c r="AF2051" s="91">
        <v>2000</v>
      </c>
      <c r="AG2051" s="91">
        <v>2000</v>
      </c>
      <c r="AH2051" s="91">
        <v>2000</v>
      </c>
      <c r="AI2051" s="91">
        <v>2000</v>
      </c>
      <c r="AJ2051" s="91">
        <v>2000</v>
      </c>
      <c r="AK2051" s="91">
        <v>2000</v>
      </c>
      <c r="AL2051" s="91">
        <v>2000</v>
      </c>
      <c r="AM2051" s="91">
        <v>2000</v>
      </c>
      <c r="AN2051" s="91">
        <v>2000</v>
      </c>
      <c r="AO2051" s="91">
        <v>2000</v>
      </c>
      <c r="AP2051" s="91">
        <v>2000</v>
      </c>
      <c r="AQ2051" s="91">
        <v>2000</v>
      </c>
      <c r="AR2051" s="91">
        <v>2000</v>
      </c>
      <c r="AS2051" s="91">
        <v>2000</v>
      </c>
      <c r="AT2051" s="91">
        <v>2000</v>
      </c>
      <c r="AU2051" s="91">
        <v>2000</v>
      </c>
      <c r="AV2051" s="91">
        <v>2000</v>
      </c>
      <c r="AW2051" s="91">
        <v>2000</v>
      </c>
      <c r="AX2051" s="92">
        <v>2000</v>
      </c>
    </row>
    <row r="2052" spans="1:50" x14ac:dyDescent="0.25">
      <c r="A2052" s="357"/>
      <c r="B2052" s="362"/>
      <c r="C2052" s="354"/>
      <c r="D2052" s="4" t="s">
        <v>20</v>
      </c>
      <c r="E2052" s="168" t="str">
        <f>A2045&amp;"/"&amp;B2049&amp;"/"&amp;C2049&amp;"/"&amp;D2052</f>
        <v>Wind power plants/Offshore/Electricity only/XS</v>
      </c>
      <c r="F2052" s="80" t="str">
        <f>A2045</f>
        <v>Wind power plants</v>
      </c>
      <c r="G2052" s="80" t="str">
        <f>B2049</f>
        <v>Offshore</v>
      </c>
      <c r="H2052" s="80" t="str">
        <f>C2049</f>
        <v>Electricity only</v>
      </c>
      <c r="I2052" s="169" t="str">
        <f t="shared" si="111"/>
        <v>XS</v>
      </c>
      <c r="J2052" s="99">
        <v>2000</v>
      </c>
      <c r="K2052" s="99">
        <v>2000</v>
      </c>
      <c r="L2052" s="99">
        <v>2000</v>
      </c>
      <c r="M2052" s="99">
        <v>2000</v>
      </c>
      <c r="N2052" s="99">
        <v>2000</v>
      </c>
      <c r="O2052" s="99">
        <v>2000</v>
      </c>
      <c r="P2052" s="99">
        <v>2000</v>
      </c>
      <c r="Q2052" s="99">
        <v>2000</v>
      </c>
      <c r="R2052" s="99">
        <v>2000</v>
      </c>
      <c r="S2052" s="99">
        <v>2000</v>
      </c>
      <c r="T2052" s="99">
        <v>2000</v>
      </c>
      <c r="U2052" s="99">
        <v>2000</v>
      </c>
      <c r="V2052" s="99">
        <v>2000</v>
      </c>
      <c r="W2052" s="99">
        <v>2000</v>
      </c>
      <c r="X2052" s="99">
        <v>2000</v>
      </c>
      <c r="Y2052" s="99">
        <v>2000</v>
      </c>
      <c r="Z2052" s="99">
        <v>2000</v>
      </c>
      <c r="AA2052" s="99">
        <v>2000</v>
      </c>
      <c r="AB2052" s="99">
        <v>2000</v>
      </c>
      <c r="AC2052" s="99">
        <v>2000</v>
      </c>
      <c r="AD2052" s="99">
        <v>2000</v>
      </c>
      <c r="AE2052" s="99">
        <v>2000</v>
      </c>
      <c r="AF2052" s="99">
        <v>2000</v>
      </c>
      <c r="AG2052" s="99">
        <v>2000</v>
      </c>
      <c r="AH2052" s="99">
        <v>2000</v>
      </c>
      <c r="AI2052" s="99">
        <v>2000</v>
      </c>
      <c r="AJ2052" s="99">
        <v>2000</v>
      </c>
      <c r="AK2052" s="99">
        <v>2000</v>
      </c>
      <c r="AL2052" s="99">
        <v>2000</v>
      </c>
      <c r="AM2052" s="99">
        <v>2000</v>
      </c>
      <c r="AN2052" s="99">
        <v>2000</v>
      </c>
      <c r="AO2052" s="99">
        <v>2000</v>
      </c>
      <c r="AP2052" s="99">
        <v>2000</v>
      </c>
      <c r="AQ2052" s="99">
        <v>2000</v>
      </c>
      <c r="AR2052" s="99">
        <v>2000</v>
      </c>
      <c r="AS2052" s="99">
        <v>2000</v>
      </c>
      <c r="AT2052" s="99">
        <v>2000</v>
      </c>
      <c r="AU2052" s="99">
        <v>2000</v>
      </c>
      <c r="AV2052" s="99">
        <v>2000</v>
      </c>
      <c r="AW2052" s="99">
        <v>2000</v>
      </c>
      <c r="AX2052" s="100">
        <v>2000</v>
      </c>
    </row>
    <row r="2053" spans="1:50" x14ac:dyDescent="0.25">
      <c r="A2053" s="355" t="s">
        <v>37</v>
      </c>
      <c r="B2053" s="358" t="s">
        <v>37</v>
      </c>
      <c r="C2053" s="353" t="s">
        <v>6</v>
      </c>
      <c r="D2053" s="3" t="s">
        <v>7</v>
      </c>
      <c r="E2053" s="162" t="str">
        <f>A2053&amp;"/"&amp;B2053&amp;"/"&amp;C2053&amp;"/"&amp;D2053</f>
        <v>Solar PV power plants/Solar PV power plants/Electricity only/L</v>
      </c>
      <c r="F2053" s="77" t="str">
        <f>A2053</f>
        <v>Solar PV power plants</v>
      </c>
      <c r="G2053" s="77" t="str">
        <f>B2053</f>
        <v>Solar PV power plants</v>
      </c>
      <c r="H2053" s="77" t="str">
        <f>C2053</f>
        <v>Electricity only</v>
      </c>
      <c r="I2053" s="163" t="str">
        <f t="shared" si="111"/>
        <v>L</v>
      </c>
      <c r="J2053" s="93">
        <v>500</v>
      </c>
      <c r="K2053" s="93">
        <v>500</v>
      </c>
      <c r="L2053" s="93">
        <v>500</v>
      </c>
      <c r="M2053" s="93">
        <v>500</v>
      </c>
      <c r="N2053" s="93">
        <v>500</v>
      </c>
      <c r="O2053" s="93">
        <v>500</v>
      </c>
      <c r="P2053" s="93">
        <v>500</v>
      </c>
      <c r="Q2053" s="93">
        <v>500</v>
      </c>
      <c r="R2053" s="93">
        <v>500</v>
      </c>
      <c r="S2053" s="93">
        <v>500</v>
      </c>
      <c r="T2053" s="93">
        <v>500</v>
      </c>
      <c r="U2053" s="93">
        <v>500</v>
      </c>
      <c r="V2053" s="93">
        <v>500</v>
      </c>
      <c r="W2053" s="93">
        <v>500</v>
      </c>
      <c r="X2053" s="93">
        <v>500</v>
      </c>
      <c r="Y2053" s="93">
        <v>500</v>
      </c>
      <c r="Z2053" s="93">
        <v>500</v>
      </c>
      <c r="AA2053" s="93">
        <v>500</v>
      </c>
      <c r="AB2053" s="93">
        <v>500</v>
      </c>
      <c r="AC2053" s="93">
        <v>500</v>
      </c>
      <c r="AD2053" s="93">
        <v>500</v>
      </c>
      <c r="AE2053" s="93">
        <v>500</v>
      </c>
      <c r="AF2053" s="93">
        <v>500</v>
      </c>
      <c r="AG2053" s="93">
        <v>500</v>
      </c>
      <c r="AH2053" s="93">
        <v>500</v>
      </c>
      <c r="AI2053" s="93">
        <v>500</v>
      </c>
      <c r="AJ2053" s="93">
        <v>500</v>
      </c>
      <c r="AK2053" s="93">
        <v>500</v>
      </c>
      <c r="AL2053" s="93">
        <v>500</v>
      </c>
      <c r="AM2053" s="93">
        <v>500</v>
      </c>
      <c r="AN2053" s="93">
        <v>500</v>
      </c>
      <c r="AO2053" s="93">
        <v>500</v>
      </c>
      <c r="AP2053" s="93">
        <v>500</v>
      </c>
      <c r="AQ2053" s="93">
        <v>500</v>
      </c>
      <c r="AR2053" s="93">
        <v>500</v>
      </c>
      <c r="AS2053" s="93">
        <v>500</v>
      </c>
      <c r="AT2053" s="93">
        <v>500</v>
      </c>
      <c r="AU2053" s="93">
        <v>500</v>
      </c>
      <c r="AV2053" s="93">
        <v>500</v>
      </c>
      <c r="AW2053" s="93">
        <v>500</v>
      </c>
      <c r="AX2053" s="94">
        <v>500</v>
      </c>
    </row>
    <row r="2054" spans="1:50" x14ac:dyDescent="0.25">
      <c r="A2054" s="356"/>
      <c r="B2054" s="359"/>
      <c r="C2054" s="350"/>
      <c r="D2054" s="2" t="s">
        <v>8</v>
      </c>
      <c r="E2054" s="160" t="str">
        <f>A2053&amp;"/"&amp;B2053&amp;"/"&amp;C2053&amp;"/"&amp;D2054</f>
        <v>Solar PV power plants/Solar PV power plants/Electricity only/M</v>
      </c>
      <c r="F2054" s="76" t="str">
        <f>A2053</f>
        <v>Solar PV power plants</v>
      </c>
      <c r="G2054" s="76" t="str">
        <f>B2053</f>
        <v>Solar PV power plants</v>
      </c>
      <c r="H2054" s="76" t="str">
        <f>C2053</f>
        <v>Electricity only</v>
      </c>
      <c r="I2054" s="161" t="str">
        <f t="shared" si="111"/>
        <v>M</v>
      </c>
      <c r="J2054" s="91">
        <v>500</v>
      </c>
      <c r="K2054" s="91">
        <v>500</v>
      </c>
      <c r="L2054" s="91">
        <v>500</v>
      </c>
      <c r="M2054" s="91">
        <v>500</v>
      </c>
      <c r="N2054" s="91">
        <v>500</v>
      </c>
      <c r="O2054" s="91">
        <v>500</v>
      </c>
      <c r="P2054" s="91">
        <v>500</v>
      </c>
      <c r="Q2054" s="91">
        <v>500</v>
      </c>
      <c r="R2054" s="91">
        <v>500</v>
      </c>
      <c r="S2054" s="91">
        <v>500</v>
      </c>
      <c r="T2054" s="91">
        <v>500</v>
      </c>
      <c r="U2054" s="91">
        <v>500</v>
      </c>
      <c r="V2054" s="91">
        <v>500</v>
      </c>
      <c r="W2054" s="91">
        <v>500</v>
      </c>
      <c r="X2054" s="91">
        <v>500</v>
      </c>
      <c r="Y2054" s="91">
        <v>500</v>
      </c>
      <c r="Z2054" s="91">
        <v>500</v>
      </c>
      <c r="AA2054" s="91">
        <v>500</v>
      </c>
      <c r="AB2054" s="91">
        <v>500</v>
      </c>
      <c r="AC2054" s="91">
        <v>500</v>
      </c>
      <c r="AD2054" s="91">
        <v>500</v>
      </c>
      <c r="AE2054" s="91">
        <v>500</v>
      </c>
      <c r="AF2054" s="91">
        <v>500</v>
      </c>
      <c r="AG2054" s="91">
        <v>500</v>
      </c>
      <c r="AH2054" s="91">
        <v>500</v>
      </c>
      <c r="AI2054" s="91">
        <v>500</v>
      </c>
      <c r="AJ2054" s="91">
        <v>500</v>
      </c>
      <c r="AK2054" s="91">
        <v>500</v>
      </c>
      <c r="AL2054" s="91">
        <v>500</v>
      </c>
      <c r="AM2054" s="91">
        <v>500</v>
      </c>
      <c r="AN2054" s="91">
        <v>500</v>
      </c>
      <c r="AO2054" s="91">
        <v>500</v>
      </c>
      <c r="AP2054" s="91">
        <v>500</v>
      </c>
      <c r="AQ2054" s="91">
        <v>500</v>
      </c>
      <c r="AR2054" s="91">
        <v>500</v>
      </c>
      <c r="AS2054" s="91">
        <v>500</v>
      </c>
      <c r="AT2054" s="91">
        <v>500</v>
      </c>
      <c r="AU2054" s="91">
        <v>500</v>
      </c>
      <c r="AV2054" s="91">
        <v>500</v>
      </c>
      <c r="AW2054" s="91">
        <v>500</v>
      </c>
      <c r="AX2054" s="92">
        <v>500</v>
      </c>
    </row>
    <row r="2055" spans="1:50" x14ac:dyDescent="0.25">
      <c r="A2055" s="356"/>
      <c r="B2055" s="359"/>
      <c r="C2055" s="350"/>
      <c r="D2055" s="2" t="s">
        <v>10</v>
      </c>
      <c r="E2055" s="160" t="str">
        <f>A2053&amp;"/"&amp;B2053&amp;"/"&amp;C2053&amp;"/"&amp;D2055</f>
        <v>Solar PV power plants/Solar PV power plants/Electricity only/S</v>
      </c>
      <c r="F2055" s="76" t="str">
        <f>A2053</f>
        <v>Solar PV power plants</v>
      </c>
      <c r="G2055" s="76" t="str">
        <f>B2053</f>
        <v>Solar PV power plants</v>
      </c>
      <c r="H2055" s="76" t="str">
        <f>C2053</f>
        <v>Electricity only</v>
      </c>
      <c r="I2055" s="161" t="str">
        <f t="shared" si="111"/>
        <v>S</v>
      </c>
      <c r="J2055" s="91">
        <v>500</v>
      </c>
      <c r="K2055" s="91">
        <v>500</v>
      </c>
      <c r="L2055" s="91">
        <v>500</v>
      </c>
      <c r="M2055" s="91">
        <v>500</v>
      </c>
      <c r="N2055" s="91">
        <v>500</v>
      </c>
      <c r="O2055" s="91">
        <v>500</v>
      </c>
      <c r="P2055" s="91">
        <v>500</v>
      </c>
      <c r="Q2055" s="91">
        <v>500</v>
      </c>
      <c r="R2055" s="91">
        <v>500</v>
      </c>
      <c r="S2055" s="91">
        <v>500</v>
      </c>
      <c r="T2055" s="91">
        <v>500</v>
      </c>
      <c r="U2055" s="91">
        <v>500</v>
      </c>
      <c r="V2055" s="91">
        <v>500</v>
      </c>
      <c r="W2055" s="91">
        <v>500</v>
      </c>
      <c r="X2055" s="91">
        <v>500</v>
      </c>
      <c r="Y2055" s="91">
        <v>500</v>
      </c>
      <c r="Z2055" s="91">
        <v>500</v>
      </c>
      <c r="AA2055" s="91">
        <v>500</v>
      </c>
      <c r="AB2055" s="91">
        <v>500</v>
      </c>
      <c r="AC2055" s="91">
        <v>500</v>
      </c>
      <c r="AD2055" s="91">
        <v>500</v>
      </c>
      <c r="AE2055" s="91">
        <v>500</v>
      </c>
      <c r="AF2055" s="91">
        <v>500</v>
      </c>
      <c r="AG2055" s="91">
        <v>500</v>
      </c>
      <c r="AH2055" s="91">
        <v>500</v>
      </c>
      <c r="AI2055" s="91">
        <v>500</v>
      </c>
      <c r="AJ2055" s="91">
        <v>500</v>
      </c>
      <c r="AK2055" s="91">
        <v>500</v>
      </c>
      <c r="AL2055" s="91">
        <v>500</v>
      </c>
      <c r="AM2055" s="91">
        <v>500</v>
      </c>
      <c r="AN2055" s="91">
        <v>500</v>
      </c>
      <c r="AO2055" s="91">
        <v>500</v>
      </c>
      <c r="AP2055" s="91">
        <v>500</v>
      </c>
      <c r="AQ2055" s="91">
        <v>500</v>
      </c>
      <c r="AR2055" s="91">
        <v>500</v>
      </c>
      <c r="AS2055" s="91">
        <v>500</v>
      </c>
      <c r="AT2055" s="91">
        <v>500</v>
      </c>
      <c r="AU2055" s="91">
        <v>500</v>
      </c>
      <c r="AV2055" s="91">
        <v>500</v>
      </c>
      <c r="AW2055" s="91">
        <v>500</v>
      </c>
      <c r="AX2055" s="92">
        <v>500</v>
      </c>
    </row>
    <row r="2056" spans="1:50" x14ac:dyDescent="0.25">
      <c r="A2056" s="357"/>
      <c r="B2056" s="362"/>
      <c r="C2056" s="354"/>
      <c r="D2056" s="4" t="s">
        <v>20</v>
      </c>
      <c r="E2056" s="168" t="str">
        <f>A2053&amp;"/"&amp;B2053&amp;"/"&amp;C2053&amp;"/"&amp;D2056</f>
        <v>Solar PV power plants/Solar PV power plants/Electricity only/XS</v>
      </c>
      <c r="F2056" s="80" t="str">
        <f>A2053</f>
        <v>Solar PV power plants</v>
      </c>
      <c r="G2056" s="80" t="str">
        <f>B2053</f>
        <v>Solar PV power plants</v>
      </c>
      <c r="H2056" s="80" t="str">
        <f>C2053</f>
        <v>Electricity only</v>
      </c>
      <c r="I2056" s="169" t="str">
        <f t="shared" si="111"/>
        <v>XS</v>
      </c>
      <c r="J2056" s="99">
        <v>500</v>
      </c>
      <c r="K2056" s="99">
        <v>500</v>
      </c>
      <c r="L2056" s="99">
        <v>500</v>
      </c>
      <c r="M2056" s="99">
        <v>500</v>
      </c>
      <c r="N2056" s="99">
        <v>500</v>
      </c>
      <c r="O2056" s="99">
        <v>500</v>
      </c>
      <c r="P2056" s="99">
        <v>500</v>
      </c>
      <c r="Q2056" s="99">
        <v>500</v>
      </c>
      <c r="R2056" s="99">
        <v>500</v>
      </c>
      <c r="S2056" s="99">
        <v>500</v>
      </c>
      <c r="T2056" s="99">
        <v>500</v>
      </c>
      <c r="U2056" s="99">
        <v>500</v>
      </c>
      <c r="V2056" s="99">
        <v>500</v>
      </c>
      <c r="W2056" s="99">
        <v>500</v>
      </c>
      <c r="X2056" s="99">
        <v>500</v>
      </c>
      <c r="Y2056" s="99">
        <v>500</v>
      </c>
      <c r="Z2056" s="99">
        <v>500</v>
      </c>
      <c r="AA2056" s="99">
        <v>500</v>
      </c>
      <c r="AB2056" s="99">
        <v>500</v>
      </c>
      <c r="AC2056" s="99">
        <v>500</v>
      </c>
      <c r="AD2056" s="99">
        <v>500</v>
      </c>
      <c r="AE2056" s="99">
        <v>500</v>
      </c>
      <c r="AF2056" s="99">
        <v>500</v>
      </c>
      <c r="AG2056" s="99">
        <v>500</v>
      </c>
      <c r="AH2056" s="99">
        <v>500</v>
      </c>
      <c r="AI2056" s="99">
        <v>500</v>
      </c>
      <c r="AJ2056" s="99">
        <v>500</v>
      </c>
      <c r="AK2056" s="99">
        <v>500</v>
      </c>
      <c r="AL2056" s="99">
        <v>500</v>
      </c>
      <c r="AM2056" s="99">
        <v>500</v>
      </c>
      <c r="AN2056" s="99">
        <v>500</v>
      </c>
      <c r="AO2056" s="99">
        <v>500</v>
      </c>
      <c r="AP2056" s="99">
        <v>500</v>
      </c>
      <c r="AQ2056" s="99">
        <v>500</v>
      </c>
      <c r="AR2056" s="99">
        <v>500</v>
      </c>
      <c r="AS2056" s="99">
        <v>500</v>
      </c>
      <c r="AT2056" s="99">
        <v>500</v>
      </c>
      <c r="AU2056" s="99">
        <v>500</v>
      </c>
      <c r="AV2056" s="99">
        <v>500</v>
      </c>
      <c r="AW2056" s="99">
        <v>500</v>
      </c>
      <c r="AX2056" s="100">
        <v>500</v>
      </c>
    </row>
    <row r="2057" spans="1:50" x14ac:dyDescent="0.25">
      <c r="A2057" s="355" t="s">
        <v>38</v>
      </c>
      <c r="B2057" s="358" t="s">
        <v>38</v>
      </c>
      <c r="C2057" s="353" t="s">
        <v>6</v>
      </c>
      <c r="D2057" s="3" t="s">
        <v>7</v>
      </c>
      <c r="E2057" s="162" t="str">
        <f>A2057&amp;"/"&amp;B2057&amp;"/"&amp;C2057&amp;"/"&amp;D2057</f>
        <v>Solar thermal power plants/Solar thermal power plants/Electricity only/L</v>
      </c>
      <c r="F2057" s="77" t="str">
        <f>A2057</f>
        <v>Solar thermal power plants</v>
      </c>
      <c r="G2057" s="77" t="str">
        <f>B2057</f>
        <v>Solar thermal power plants</v>
      </c>
      <c r="H2057" s="77" t="str">
        <f>C2057</f>
        <v>Electricity only</v>
      </c>
      <c r="I2057" s="163" t="str">
        <f t="shared" si="111"/>
        <v>L</v>
      </c>
      <c r="J2057" s="93">
        <v>1200</v>
      </c>
      <c r="K2057" s="93">
        <v>1200</v>
      </c>
      <c r="L2057" s="93">
        <v>1200</v>
      </c>
      <c r="M2057" s="93">
        <v>1200</v>
      </c>
      <c r="N2057" s="93">
        <v>1200</v>
      </c>
      <c r="O2057" s="93">
        <v>1200</v>
      </c>
      <c r="P2057" s="93">
        <v>1200</v>
      </c>
      <c r="Q2057" s="93">
        <v>1200</v>
      </c>
      <c r="R2057" s="93">
        <v>1200</v>
      </c>
      <c r="S2057" s="93">
        <v>1200</v>
      </c>
      <c r="T2057" s="93">
        <v>1200</v>
      </c>
      <c r="U2057" s="93">
        <v>1200</v>
      </c>
      <c r="V2057" s="93">
        <v>1200</v>
      </c>
      <c r="W2057" s="93">
        <v>1200</v>
      </c>
      <c r="X2057" s="93">
        <v>1200</v>
      </c>
      <c r="Y2057" s="93">
        <v>1200</v>
      </c>
      <c r="Z2057" s="93">
        <v>1200</v>
      </c>
      <c r="AA2057" s="93">
        <v>1200</v>
      </c>
      <c r="AB2057" s="93">
        <v>1200</v>
      </c>
      <c r="AC2057" s="93">
        <v>1200</v>
      </c>
      <c r="AD2057" s="93">
        <v>1200</v>
      </c>
      <c r="AE2057" s="93">
        <v>1200</v>
      </c>
      <c r="AF2057" s="93">
        <v>1200</v>
      </c>
      <c r="AG2057" s="93">
        <v>1200</v>
      </c>
      <c r="AH2057" s="93">
        <v>1200</v>
      </c>
      <c r="AI2057" s="93">
        <v>1200</v>
      </c>
      <c r="AJ2057" s="93">
        <v>1200</v>
      </c>
      <c r="AK2057" s="93">
        <v>1200</v>
      </c>
      <c r="AL2057" s="93">
        <v>1200</v>
      </c>
      <c r="AM2057" s="93">
        <v>1200</v>
      </c>
      <c r="AN2057" s="93">
        <v>1200</v>
      </c>
      <c r="AO2057" s="93">
        <v>1200</v>
      </c>
      <c r="AP2057" s="93">
        <v>1200</v>
      </c>
      <c r="AQ2057" s="93">
        <v>1200</v>
      </c>
      <c r="AR2057" s="93">
        <v>1200</v>
      </c>
      <c r="AS2057" s="93">
        <v>1200</v>
      </c>
      <c r="AT2057" s="93">
        <v>1200</v>
      </c>
      <c r="AU2057" s="93">
        <v>1200</v>
      </c>
      <c r="AV2057" s="93">
        <v>1200</v>
      </c>
      <c r="AW2057" s="93">
        <v>1200</v>
      </c>
      <c r="AX2057" s="94">
        <v>1200</v>
      </c>
    </row>
    <row r="2058" spans="1:50" x14ac:dyDescent="0.25">
      <c r="A2058" s="356"/>
      <c r="B2058" s="359"/>
      <c r="C2058" s="350"/>
      <c r="D2058" s="2" t="s">
        <v>8</v>
      </c>
      <c r="E2058" s="160" t="str">
        <f>A2057&amp;"/"&amp;B2057&amp;"/"&amp;C2057&amp;"/"&amp;D2058</f>
        <v>Solar thermal power plants/Solar thermal power plants/Electricity only/M</v>
      </c>
      <c r="F2058" s="76" t="str">
        <f>A2057</f>
        <v>Solar thermal power plants</v>
      </c>
      <c r="G2058" s="76" t="str">
        <f>B2057</f>
        <v>Solar thermal power plants</v>
      </c>
      <c r="H2058" s="76" t="str">
        <f>C2057</f>
        <v>Electricity only</v>
      </c>
      <c r="I2058" s="161" t="str">
        <f t="shared" si="111"/>
        <v>M</v>
      </c>
      <c r="J2058" s="91">
        <v>1200</v>
      </c>
      <c r="K2058" s="91">
        <v>1200</v>
      </c>
      <c r="L2058" s="91">
        <v>1200</v>
      </c>
      <c r="M2058" s="91">
        <v>1200</v>
      </c>
      <c r="N2058" s="91">
        <v>1200</v>
      </c>
      <c r="O2058" s="91">
        <v>1200</v>
      </c>
      <c r="P2058" s="91">
        <v>1200</v>
      </c>
      <c r="Q2058" s="91">
        <v>1200</v>
      </c>
      <c r="R2058" s="91">
        <v>1200</v>
      </c>
      <c r="S2058" s="91">
        <v>1200</v>
      </c>
      <c r="T2058" s="91">
        <v>1200</v>
      </c>
      <c r="U2058" s="91">
        <v>1200</v>
      </c>
      <c r="V2058" s="91">
        <v>1200</v>
      </c>
      <c r="W2058" s="91">
        <v>1200</v>
      </c>
      <c r="X2058" s="91">
        <v>1200</v>
      </c>
      <c r="Y2058" s="91">
        <v>1200</v>
      </c>
      <c r="Z2058" s="91">
        <v>1200</v>
      </c>
      <c r="AA2058" s="91">
        <v>1200</v>
      </c>
      <c r="AB2058" s="91">
        <v>1200</v>
      </c>
      <c r="AC2058" s="91">
        <v>1200</v>
      </c>
      <c r="AD2058" s="91">
        <v>1200</v>
      </c>
      <c r="AE2058" s="91">
        <v>1200</v>
      </c>
      <c r="AF2058" s="91">
        <v>1200</v>
      </c>
      <c r="AG2058" s="91">
        <v>1200</v>
      </c>
      <c r="AH2058" s="91">
        <v>1200</v>
      </c>
      <c r="AI2058" s="91">
        <v>1200</v>
      </c>
      <c r="AJ2058" s="91">
        <v>1200</v>
      </c>
      <c r="AK2058" s="91">
        <v>1200</v>
      </c>
      <c r="AL2058" s="91">
        <v>1200</v>
      </c>
      <c r="AM2058" s="91">
        <v>1200</v>
      </c>
      <c r="AN2058" s="91">
        <v>1200</v>
      </c>
      <c r="AO2058" s="91">
        <v>1200</v>
      </c>
      <c r="AP2058" s="91">
        <v>1200</v>
      </c>
      <c r="AQ2058" s="91">
        <v>1200</v>
      </c>
      <c r="AR2058" s="91">
        <v>1200</v>
      </c>
      <c r="AS2058" s="91">
        <v>1200</v>
      </c>
      <c r="AT2058" s="91">
        <v>1200</v>
      </c>
      <c r="AU2058" s="91">
        <v>1200</v>
      </c>
      <c r="AV2058" s="91">
        <v>1200</v>
      </c>
      <c r="AW2058" s="91">
        <v>1200</v>
      </c>
      <c r="AX2058" s="92">
        <v>1200</v>
      </c>
    </row>
    <row r="2059" spans="1:50" x14ac:dyDescent="0.25">
      <c r="A2059" s="356"/>
      <c r="B2059" s="359"/>
      <c r="C2059" s="350"/>
      <c r="D2059" s="2" t="s">
        <v>10</v>
      </c>
      <c r="E2059" s="160" t="str">
        <f>A2057&amp;"/"&amp;B2057&amp;"/"&amp;C2057&amp;"/"&amp;D2059</f>
        <v>Solar thermal power plants/Solar thermal power plants/Electricity only/S</v>
      </c>
      <c r="F2059" s="76" t="str">
        <f>A2057</f>
        <v>Solar thermal power plants</v>
      </c>
      <c r="G2059" s="76" t="str">
        <f>B2057</f>
        <v>Solar thermal power plants</v>
      </c>
      <c r="H2059" s="76" t="str">
        <f>C2057</f>
        <v>Electricity only</v>
      </c>
      <c r="I2059" s="161" t="str">
        <f t="shared" si="111"/>
        <v>S</v>
      </c>
      <c r="J2059" s="91">
        <v>1200</v>
      </c>
      <c r="K2059" s="91">
        <v>1200</v>
      </c>
      <c r="L2059" s="91">
        <v>1200</v>
      </c>
      <c r="M2059" s="91">
        <v>1200</v>
      </c>
      <c r="N2059" s="91">
        <v>1200</v>
      </c>
      <c r="O2059" s="91">
        <v>1200</v>
      </c>
      <c r="P2059" s="91">
        <v>1200</v>
      </c>
      <c r="Q2059" s="91">
        <v>1200</v>
      </c>
      <c r="R2059" s="91">
        <v>1200</v>
      </c>
      <c r="S2059" s="91">
        <v>1200</v>
      </c>
      <c r="T2059" s="91">
        <v>1200</v>
      </c>
      <c r="U2059" s="91">
        <v>1200</v>
      </c>
      <c r="V2059" s="91">
        <v>1200</v>
      </c>
      <c r="W2059" s="91">
        <v>1200</v>
      </c>
      <c r="X2059" s="91">
        <v>1200</v>
      </c>
      <c r="Y2059" s="91">
        <v>1200</v>
      </c>
      <c r="Z2059" s="91">
        <v>1200</v>
      </c>
      <c r="AA2059" s="91">
        <v>1200</v>
      </c>
      <c r="AB2059" s="91">
        <v>1200</v>
      </c>
      <c r="AC2059" s="91">
        <v>1200</v>
      </c>
      <c r="AD2059" s="91">
        <v>1200</v>
      </c>
      <c r="AE2059" s="91">
        <v>1200</v>
      </c>
      <c r="AF2059" s="91">
        <v>1200</v>
      </c>
      <c r="AG2059" s="91">
        <v>1200</v>
      </c>
      <c r="AH2059" s="91">
        <v>1200</v>
      </c>
      <c r="AI2059" s="91">
        <v>1200</v>
      </c>
      <c r="AJ2059" s="91">
        <v>1200</v>
      </c>
      <c r="AK2059" s="91">
        <v>1200</v>
      </c>
      <c r="AL2059" s="91">
        <v>1200</v>
      </c>
      <c r="AM2059" s="91">
        <v>1200</v>
      </c>
      <c r="AN2059" s="91">
        <v>1200</v>
      </c>
      <c r="AO2059" s="91">
        <v>1200</v>
      </c>
      <c r="AP2059" s="91">
        <v>1200</v>
      </c>
      <c r="AQ2059" s="91">
        <v>1200</v>
      </c>
      <c r="AR2059" s="91">
        <v>1200</v>
      </c>
      <c r="AS2059" s="91">
        <v>1200</v>
      </c>
      <c r="AT2059" s="91">
        <v>1200</v>
      </c>
      <c r="AU2059" s="91">
        <v>1200</v>
      </c>
      <c r="AV2059" s="91">
        <v>1200</v>
      </c>
      <c r="AW2059" s="91">
        <v>1200</v>
      </c>
      <c r="AX2059" s="92">
        <v>1200</v>
      </c>
    </row>
    <row r="2060" spans="1:50" x14ac:dyDescent="0.25">
      <c r="A2060" s="357"/>
      <c r="B2060" s="362"/>
      <c r="C2060" s="354"/>
      <c r="D2060" s="4" t="s">
        <v>20</v>
      </c>
      <c r="E2060" s="168" t="str">
        <f>A2057&amp;"/"&amp;B2057&amp;"/"&amp;C2057&amp;"/"&amp;D2060</f>
        <v>Solar thermal power plants/Solar thermal power plants/Electricity only/XS</v>
      </c>
      <c r="F2060" s="80" t="str">
        <f>A2057</f>
        <v>Solar thermal power plants</v>
      </c>
      <c r="G2060" s="80" t="str">
        <f>B2057</f>
        <v>Solar thermal power plants</v>
      </c>
      <c r="H2060" s="80" t="str">
        <f>C2057</f>
        <v>Electricity only</v>
      </c>
      <c r="I2060" s="169" t="str">
        <f t="shared" si="111"/>
        <v>XS</v>
      </c>
      <c r="J2060" s="99">
        <v>1200</v>
      </c>
      <c r="K2060" s="99">
        <v>1200</v>
      </c>
      <c r="L2060" s="99">
        <v>1200</v>
      </c>
      <c r="M2060" s="99">
        <v>1200</v>
      </c>
      <c r="N2060" s="99">
        <v>1200</v>
      </c>
      <c r="O2060" s="99">
        <v>1200</v>
      </c>
      <c r="P2060" s="99">
        <v>1200</v>
      </c>
      <c r="Q2060" s="99">
        <v>1200</v>
      </c>
      <c r="R2060" s="99">
        <v>1200</v>
      </c>
      <c r="S2060" s="99">
        <v>1200</v>
      </c>
      <c r="T2060" s="99">
        <v>1200</v>
      </c>
      <c r="U2060" s="99">
        <v>1200</v>
      </c>
      <c r="V2060" s="99">
        <v>1200</v>
      </c>
      <c r="W2060" s="99">
        <v>1200</v>
      </c>
      <c r="X2060" s="99">
        <v>1200</v>
      </c>
      <c r="Y2060" s="99">
        <v>1200</v>
      </c>
      <c r="Z2060" s="99">
        <v>1200</v>
      </c>
      <c r="AA2060" s="99">
        <v>1200</v>
      </c>
      <c r="AB2060" s="99">
        <v>1200</v>
      </c>
      <c r="AC2060" s="99">
        <v>1200</v>
      </c>
      <c r="AD2060" s="99">
        <v>1200</v>
      </c>
      <c r="AE2060" s="99">
        <v>1200</v>
      </c>
      <c r="AF2060" s="99">
        <v>1200</v>
      </c>
      <c r="AG2060" s="99">
        <v>1200</v>
      </c>
      <c r="AH2060" s="99">
        <v>1200</v>
      </c>
      <c r="AI2060" s="99">
        <v>1200</v>
      </c>
      <c r="AJ2060" s="99">
        <v>1200</v>
      </c>
      <c r="AK2060" s="99">
        <v>1200</v>
      </c>
      <c r="AL2060" s="99">
        <v>1200</v>
      </c>
      <c r="AM2060" s="99">
        <v>1200</v>
      </c>
      <c r="AN2060" s="99">
        <v>1200</v>
      </c>
      <c r="AO2060" s="99">
        <v>1200</v>
      </c>
      <c r="AP2060" s="99">
        <v>1200</v>
      </c>
      <c r="AQ2060" s="99">
        <v>1200</v>
      </c>
      <c r="AR2060" s="99">
        <v>1200</v>
      </c>
      <c r="AS2060" s="99">
        <v>1200</v>
      </c>
      <c r="AT2060" s="99">
        <v>1200</v>
      </c>
      <c r="AU2060" s="99">
        <v>1200</v>
      </c>
      <c r="AV2060" s="99">
        <v>1200</v>
      </c>
      <c r="AW2060" s="99">
        <v>1200</v>
      </c>
      <c r="AX2060" s="100">
        <v>1200</v>
      </c>
    </row>
    <row r="2061" spans="1:50" x14ac:dyDescent="0.25">
      <c r="A2061" s="355" t="s">
        <v>39</v>
      </c>
      <c r="B2061" s="358" t="s">
        <v>39</v>
      </c>
      <c r="C2061" s="353" t="s">
        <v>6</v>
      </c>
      <c r="D2061" s="3" t="s">
        <v>7</v>
      </c>
      <c r="E2061" s="162" t="str">
        <f>A2061&amp;"/"&amp;B2061&amp;"/"&amp;C2061&amp;"/"&amp;D2061</f>
        <v>Geothermal power plants/Geothermal power plants/Electricity only/L</v>
      </c>
      <c r="F2061" s="77" t="str">
        <f>A2061</f>
        <v>Geothermal power plants</v>
      </c>
      <c r="G2061" s="77" t="str">
        <f>B2061</f>
        <v>Geothermal power plants</v>
      </c>
      <c r="H2061" s="77" t="str">
        <f>C2061</f>
        <v>Electricity only</v>
      </c>
      <c r="I2061" s="163" t="str">
        <f t="shared" si="111"/>
        <v>L</v>
      </c>
      <c r="J2061" s="93">
        <v>4500</v>
      </c>
      <c r="K2061" s="93">
        <v>4500</v>
      </c>
      <c r="L2061" s="93">
        <v>4500</v>
      </c>
      <c r="M2061" s="93">
        <v>4500</v>
      </c>
      <c r="N2061" s="93">
        <v>4500</v>
      </c>
      <c r="O2061" s="93">
        <v>4500</v>
      </c>
      <c r="P2061" s="93">
        <v>4500</v>
      </c>
      <c r="Q2061" s="93">
        <v>4500</v>
      </c>
      <c r="R2061" s="93">
        <v>4500</v>
      </c>
      <c r="S2061" s="93">
        <v>4500</v>
      </c>
      <c r="T2061" s="93">
        <v>4500</v>
      </c>
      <c r="U2061" s="93">
        <v>4500</v>
      </c>
      <c r="V2061" s="93">
        <v>4500</v>
      </c>
      <c r="W2061" s="93">
        <v>4500</v>
      </c>
      <c r="X2061" s="93">
        <v>4500</v>
      </c>
      <c r="Y2061" s="93">
        <v>4500</v>
      </c>
      <c r="Z2061" s="93">
        <v>4500</v>
      </c>
      <c r="AA2061" s="93">
        <v>4500</v>
      </c>
      <c r="AB2061" s="93">
        <v>4500</v>
      </c>
      <c r="AC2061" s="93">
        <v>4500</v>
      </c>
      <c r="AD2061" s="93">
        <v>4500</v>
      </c>
      <c r="AE2061" s="93">
        <v>4500</v>
      </c>
      <c r="AF2061" s="93">
        <v>4500</v>
      </c>
      <c r="AG2061" s="93">
        <v>4500</v>
      </c>
      <c r="AH2061" s="93">
        <v>4500</v>
      </c>
      <c r="AI2061" s="93">
        <v>4500</v>
      </c>
      <c r="AJ2061" s="93">
        <v>4500</v>
      </c>
      <c r="AK2061" s="93">
        <v>4500</v>
      </c>
      <c r="AL2061" s="93">
        <v>4500</v>
      </c>
      <c r="AM2061" s="93">
        <v>4500</v>
      </c>
      <c r="AN2061" s="93">
        <v>4500</v>
      </c>
      <c r="AO2061" s="93">
        <v>4500</v>
      </c>
      <c r="AP2061" s="93">
        <v>4500</v>
      </c>
      <c r="AQ2061" s="93">
        <v>4500</v>
      </c>
      <c r="AR2061" s="93">
        <v>4500</v>
      </c>
      <c r="AS2061" s="93">
        <v>4500</v>
      </c>
      <c r="AT2061" s="93">
        <v>4500</v>
      </c>
      <c r="AU2061" s="93">
        <v>4500</v>
      </c>
      <c r="AV2061" s="93">
        <v>4500</v>
      </c>
      <c r="AW2061" s="93">
        <v>4500</v>
      </c>
      <c r="AX2061" s="94">
        <v>4500</v>
      </c>
    </row>
    <row r="2062" spans="1:50" x14ac:dyDescent="0.25">
      <c r="A2062" s="356"/>
      <c r="B2062" s="359"/>
      <c r="C2062" s="350"/>
      <c r="D2062" s="2" t="s">
        <v>8</v>
      </c>
      <c r="E2062" s="160" t="str">
        <f>A2061&amp;"/"&amp;B2061&amp;"/"&amp;C2061&amp;"/"&amp;D2062</f>
        <v>Geothermal power plants/Geothermal power plants/Electricity only/M</v>
      </c>
      <c r="F2062" s="76" t="str">
        <f>A2061</f>
        <v>Geothermal power plants</v>
      </c>
      <c r="G2062" s="76" t="str">
        <f>B2061</f>
        <v>Geothermal power plants</v>
      </c>
      <c r="H2062" s="76" t="str">
        <f>C2061</f>
        <v>Electricity only</v>
      </c>
      <c r="I2062" s="161" t="str">
        <f t="shared" si="111"/>
        <v>M</v>
      </c>
      <c r="J2062" s="91">
        <v>3375</v>
      </c>
      <c r="K2062" s="91">
        <v>3375</v>
      </c>
      <c r="L2062" s="91">
        <v>3375</v>
      </c>
      <c r="M2062" s="91">
        <v>3375</v>
      </c>
      <c r="N2062" s="91">
        <v>3375</v>
      </c>
      <c r="O2062" s="91">
        <v>3375</v>
      </c>
      <c r="P2062" s="91">
        <v>3375</v>
      </c>
      <c r="Q2062" s="91">
        <v>3375</v>
      </c>
      <c r="R2062" s="91">
        <v>3375</v>
      </c>
      <c r="S2062" s="91">
        <v>3375</v>
      </c>
      <c r="T2062" s="91">
        <v>3375</v>
      </c>
      <c r="U2062" s="91">
        <v>3375</v>
      </c>
      <c r="V2062" s="91">
        <v>3375</v>
      </c>
      <c r="W2062" s="91">
        <v>3375</v>
      </c>
      <c r="X2062" s="91">
        <v>3375</v>
      </c>
      <c r="Y2062" s="91">
        <v>3375</v>
      </c>
      <c r="Z2062" s="91">
        <v>3375</v>
      </c>
      <c r="AA2062" s="91">
        <v>3375</v>
      </c>
      <c r="AB2062" s="91">
        <v>3375</v>
      </c>
      <c r="AC2062" s="91">
        <v>3375</v>
      </c>
      <c r="AD2062" s="91">
        <v>3375</v>
      </c>
      <c r="AE2062" s="91">
        <v>3375</v>
      </c>
      <c r="AF2062" s="91">
        <v>3375</v>
      </c>
      <c r="AG2062" s="91">
        <v>3375</v>
      </c>
      <c r="AH2062" s="91">
        <v>3375</v>
      </c>
      <c r="AI2062" s="91">
        <v>3375</v>
      </c>
      <c r="AJ2062" s="91">
        <v>3375</v>
      </c>
      <c r="AK2062" s="91">
        <v>3375</v>
      </c>
      <c r="AL2062" s="91">
        <v>3375</v>
      </c>
      <c r="AM2062" s="91">
        <v>3375</v>
      </c>
      <c r="AN2062" s="91">
        <v>3375</v>
      </c>
      <c r="AO2062" s="91">
        <v>3375</v>
      </c>
      <c r="AP2062" s="91">
        <v>3375</v>
      </c>
      <c r="AQ2062" s="91">
        <v>3375</v>
      </c>
      <c r="AR2062" s="91">
        <v>3375</v>
      </c>
      <c r="AS2062" s="91">
        <v>3375</v>
      </c>
      <c r="AT2062" s="91">
        <v>3375</v>
      </c>
      <c r="AU2062" s="91">
        <v>3375</v>
      </c>
      <c r="AV2062" s="91">
        <v>3375</v>
      </c>
      <c r="AW2062" s="91">
        <v>3375</v>
      </c>
      <c r="AX2062" s="92">
        <v>3375</v>
      </c>
    </row>
    <row r="2063" spans="1:50" x14ac:dyDescent="0.25">
      <c r="A2063" s="357"/>
      <c r="B2063" s="362"/>
      <c r="C2063" s="354"/>
      <c r="D2063" s="4" t="s">
        <v>10</v>
      </c>
      <c r="E2063" s="168" t="str">
        <f>A2061&amp;"/"&amp;B2061&amp;"/"&amp;C2061&amp;"/"&amp;D2063</f>
        <v>Geothermal power plants/Geothermal power plants/Electricity only/S</v>
      </c>
      <c r="F2063" s="80" t="str">
        <f>A2061</f>
        <v>Geothermal power plants</v>
      </c>
      <c r="G2063" s="80" t="str">
        <f>B2061</f>
        <v>Geothermal power plants</v>
      </c>
      <c r="H2063" s="80" t="str">
        <f>C2061</f>
        <v>Electricity only</v>
      </c>
      <c r="I2063" s="169" t="str">
        <f t="shared" ref="I2063:I2077" si="112">D2063</f>
        <v>S</v>
      </c>
      <c r="J2063" s="99">
        <v>2531.25</v>
      </c>
      <c r="K2063" s="99">
        <v>2531.25</v>
      </c>
      <c r="L2063" s="99">
        <v>2531.25</v>
      </c>
      <c r="M2063" s="99">
        <v>2531.25</v>
      </c>
      <c r="N2063" s="99">
        <v>2531.25</v>
      </c>
      <c r="O2063" s="99">
        <v>2531.25</v>
      </c>
      <c r="P2063" s="99">
        <v>2531.25</v>
      </c>
      <c r="Q2063" s="99">
        <v>2531.25</v>
      </c>
      <c r="R2063" s="99">
        <v>2531.25</v>
      </c>
      <c r="S2063" s="99">
        <v>2531.25</v>
      </c>
      <c r="T2063" s="99">
        <v>2531.25</v>
      </c>
      <c r="U2063" s="99">
        <v>2531.25</v>
      </c>
      <c r="V2063" s="99">
        <v>2531.25</v>
      </c>
      <c r="W2063" s="99">
        <v>2531.25</v>
      </c>
      <c r="X2063" s="99">
        <v>2531.25</v>
      </c>
      <c r="Y2063" s="99">
        <v>2531.25</v>
      </c>
      <c r="Z2063" s="99">
        <v>2531.25</v>
      </c>
      <c r="AA2063" s="99">
        <v>2531.25</v>
      </c>
      <c r="AB2063" s="99">
        <v>2531.25</v>
      </c>
      <c r="AC2063" s="99">
        <v>2531.25</v>
      </c>
      <c r="AD2063" s="99">
        <v>2531.25</v>
      </c>
      <c r="AE2063" s="99">
        <v>2531.25</v>
      </c>
      <c r="AF2063" s="99">
        <v>2531.25</v>
      </c>
      <c r="AG2063" s="99">
        <v>2531.25</v>
      </c>
      <c r="AH2063" s="99">
        <v>2531.25</v>
      </c>
      <c r="AI2063" s="99">
        <v>2531.25</v>
      </c>
      <c r="AJ2063" s="99">
        <v>2531.25</v>
      </c>
      <c r="AK2063" s="99">
        <v>2531.25</v>
      </c>
      <c r="AL2063" s="99">
        <v>2531.25</v>
      </c>
      <c r="AM2063" s="99">
        <v>2531.25</v>
      </c>
      <c r="AN2063" s="99">
        <v>2531.25</v>
      </c>
      <c r="AO2063" s="99">
        <v>2531.25</v>
      </c>
      <c r="AP2063" s="99">
        <v>2531.25</v>
      </c>
      <c r="AQ2063" s="99">
        <v>2531.25</v>
      </c>
      <c r="AR2063" s="99">
        <v>2531.25</v>
      </c>
      <c r="AS2063" s="99">
        <v>2531.25</v>
      </c>
      <c r="AT2063" s="99">
        <v>2531.25</v>
      </c>
      <c r="AU2063" s="99">
        <v>2531.25</v>
      </c>
      <c r="AV2063" s="99">
        <v>2531.25</v>
      </c>
      <c r="AW2063" s="99">
        <v>2531.25</v>
      </c>
      <c r="AX2063" s="100">
        <v>2531.25</v>
      </c>
    </row>
    <row r="2064" spans="1:50" x14ac:dyDescent="0.25">
      <c r="A2064" s="355" t="s">
        <v>40</v>
      </c>
      <c r="B2064" s="5" t="s">
        <v>41</v>
      </c>
      <c r="C2064" s="6" t="s">
        <v>6</v>
      </c>
      <c r="D2064" s="60" t="s">
        <v>8</v>
      </c>
      <c r="E2064" s="170" t="str">
        <f>A2064&amp;"/"&amp;B2064&amp;"/"&amp;C2064&amp;"/"&amp;D2064</f>
        <v>Tide, wave and ocean power plants/Tidal/Electricity only/M</v>
      </c>
      <c r="F2064" s="81" t="str">
        <f>A2064</f>
        <v>Tide, wave and ocean power plants</v>
      </c>
      <c r="G2064" s="81" t="str">
        <f>B2064</f>
        <v>Tidal</v>
      </c>
      <c r="H2064" s="81" t="str">
        <f>C2064</f>
        <v>Electricity only</v>
      </c>
      <c r="I2064" s="171" t="str">
        <f t="shared" si="112"/>
        <v>M</v>
      </c>
      <c r="J2064" s="101">
        <v>1750</v>
      </c>
      <c r="K2064" s="101">
        <v>1750</v>
      </c>
      <c r="L2064" s="101">
        <v>1750</v>
      </c>
      <c r="M2064" s="101">
        <v>1750</v>
      </c>
      <c r="N2064" s="101">
        <v>1750</v>
      </c>
      <c r="O2064" s="101">
        <v>1750</v>
      </c>
      <c r="P2064" s="101">
        <v>1750</v>
      </c>
      <c r="Q2064" s="101">
        <v>1750</v>
      </c>
      <c r="R2064" s="101">
        <v>1750</v>
      </c>
      <c r="S2064" s="101">
        <v>1750</v>
      </c>
      <c r="T2064" s="101">
        <v>1750</v>
      </c>
      <c r="U2064" s="101">
        <v>1750</v>
      </c>
      <c r="V2064" s="101">
        <v>1750</v>
      </c>
      <c r="W2064" s="101">
        <v>1750</v>
      </c>
      <c r="X2064" s="101">
        <v>1750</v>
      </c>
      <c r="Y2064" s="101">
        <v>1750</v>
      </c>
      <c r="Z2064" s="101">
        <v>1750</v>
      </c>
      <c r="AA2064" s="101">
        <v>1750</v>
      </c>
      <c r="AB2064" s="101">
        <v>1750</v>
      </c>
      <c r="AC2064" s="101">
        <v>1750</v>
      </c>
      <c r="AD2064" s="101">
        <v>1750</v>
      </c>
      <c r="AE2064" s="101">
        <v>1750</v>
      </c>
      <c r="AF2064" s="101">
        <v>1750</v>
      </c>
      <c r="AG2064" s="101">
        <v>1750</v>
      </c>
      <c r="AH2064" s="101">
        <v>1750</v>
      </c>
      <c r="AI2064" s="101">
        <v>1750</v>
      </c>
      <c r="AJ2064" s="101">
        <v>1750</v>
      </c>
      <c r="AK2064" s="101">
        <v>1750</v>
      </c>
      <c r="AL2064" s="101">
        <v>1750</v>
      </c>
      <c r="AM2064" s="101">
        <v>1750</v>
      </c>
      <c r="AN2064" s="101">
        <v>1750</v>
      </c>
      <c r="AO2064" s="101">
        <v>1750</v>
      </c>
      <c r="AP2064" s="101">
        <v>1750</v>
      </c>
      <c r="AQ2064" s="101">
        <v>1750</v>
      </c>
      <c r="AR2064" s="101">
        <v>1750</v>
      </c>
      <c r="AS2064" s="101">
        <v>1750</v>
      </c>
      <c r="AT2064" s="101">
        <v>1750</v>
      </c>
      <c r="AU2064" s="101">
        <v>1750</v>
      </c>
      <c r="AV2064" s="101">
        <v>1750</v>
      </c>
      <c r="AW2064" s="101">
        <v>1750</v>
      </c>
      <c r="AX2064" s="102">
        <v>1750</v>
      </c>
    </row>
    <row r="2065" spans="1:50" x14ac:dyDescent="0.25">
      <c r="A2065" s="357"/>
      <c r="B2065" s="279" t="s">
        <v>42</v>
      </c>
      <c r="C2065" s="7" t="s">
        <v>6</v>
      </c>
      <c r="D2065" s="4" t="s">
        <v>8</v>
      </c>
      <c r="E2065" s="168" t="str">
        <f>A2064&amp;"/"&amp;B2065&amp;"/"&amp;C2065&amp;"/"&amp;D2065</f>
        <v>Tide, wave and ocean power plants/Wave/Electricity only/M</v>
      </c>
      <c r="F2065" s="80" t="str">
        <f>A2064</f>
        <v>Tide, wave and ocean power plants</v>
      </c>
      <c r="G2065" s="80" t="str">
        <f>B2065</f>
        <v>Wave</v>
      </c>
      <c r="H2065" s="80" t="str">
        <f>C2065</f>
        <v>Electricity only</v>
      </c>
      <c r="I2065" s="169" t="str">
        <f t="shared" si="112"/>
        <v>M</v>
      </c>
      <c r="J2065" s="99">
        <v>5000</v>
      </c>
      <c r="K2065" s="99">
        <v>5000</v>
      </c>
      <c r="L2065" s="99">
        <v>5000</v>
      </c>
      <c r="M2065" s="99">
        <v>5000</v>
      </c>
      <c r="N2065" s="99">
        <v>5000</v>
      </c>
      <c r="O2065" s="99">
        <v>5000</v>
      </c>
      <c r="P2065" s="99">
        <v>5000</v>
      </c>
      <c r="Q2065" s="99">
        <v>5000</v>
      </c>
      <c r="R2065" s="99">
        <v>5000</v>
      </c>
      <c r="S2065" s="99">
        <v>5000</v>
      </c>
      <c r="T2065" s="99">
        <v>5000</v>
      </c>
      <c r="U2065" s="99">
        <v>5000</v>
      </c>
      <c r="V2065" s="99">
        <v>5000</v>
      </c>
      <c r="W2065" s="99">
        <v>5000</v>
      </c>
      <c r="X2065" s="99">
        <v>5000</v>
      </c>
      <c r="Y2065" s="99">
        <v>5000</v>
      </c>
      <c r="Z2065" s="99">
        <v>5000</v>
      </c>
      <c r="AA2065" s="99">
        <v>5000</v>
      </c>
      <c r="AB2065" s="99">
        <v>5000</v>
      </c>
      <c r="AC2065" s="99">
        <v>5000</v>
      </c>
      <c r="AD2065" s="99">
        <v>5000</v>
      </c>
      <c r="AE2065" s="99">
        <v>5000</v>
      </c>
      <c r="AF2065" s="99">
        <v>5000</v>
      </c>
      <c r="AG2065" s="99">
        <v>5000</v>
      </c>
      <c r="AH2065" s="99">
        <v>5000</v>
      </c>
      <c r="AI2065" s="99">
        <v>5000</v>
      </c>
      <c r="AJ2065" s="99">
        <v>5000</v>
      </c>
      <c r="AK2065" s="99">
        <v>5000</v>
      </c>
      <c r="AL2065" s="99">
        <v>5000</v>
      </c>
      <c r="AM2065" s="99">
        <v>5000</v>
      </c>
      <c r="AN2065" s="99">
        <v>5000</v>
      </c>
      <c r="AO2065" s="99">
        <v>5000</v>
      </c>
      <c r="AP2065" s="99">
        <v>5000</v>
      </c>
      <c r="AQ2065" s="99">
        <v>5000</v>
      </c>
      <c r="AR2065" s="99">
        <v>5000</v>
      </c>
      <c r="AS2065" s="99">
        <v>5000</v>
      </c>
      <c r="AT2065" s="99">
        <v>5000</v>
      </c>
      <c r="AU2065" s="99">
        <v>5000</v>
      </c>
      <c r="AV2065" s="99">
        <v>5000</v>
      </c>
      <c r="AW2065" s="99">
        <v>5000</v>
      </c>
      <c r="AX2065" s="100">
        <v>5000</v>
      </c>
    </row>
    <row r="2066" spans="1:50" x14ac:dyDescent="0.25">
      <c r="A2066" s="355" t="s">
        <v>43</v>
      </c>
      <c r="B2066" s="358" t="s">
        <v>44</v>
      </c>
      <c r="C2066" s="353" t="s">
        <v>6</v>
      </c>
      <c r="D2066" s="3" t="s">
        <v>7</v>
      </c>
      <c r="E2066" s="162" t="str">
        <f>A2066&amp;"/"&amp;B2066&amp;"/"&amp;C2066&amp;"/"&amp;D2066</f>
        <v>Hydro plants/Run-of-river/Electricity only/L</v>
      </c>
      <c r="F2066" s="77" t="str">
        <f>A2066</f>
        <v>Hydro plants</v>
      </c>
      <c r="G2066" s="77" t="str">
        <f>B2066</f>
        <v>Run-of-river</v>
      </c>
      <c r="H2066" s="77" t="str">
        <f>C2066</f>
        <v>Electricity only</v>
      </c>
      <c r="I2066" s="163" t="str">
        <f t="shared" si="112"/>
        <v>L</v>
      </c>
      <c r="J2066" s="93">
        <v>4200</v>
      </c>
      <c r="K2066" s="93">
        <v>4200</v>
      </c>
      <c r="L2066" s="93">
        <v>4200</v>
      </c>
      <c r="M2066" s="93">
        <v>4200</v>
      </c>
      <c r="N2066" s="93">
        <v>4200</v>
      </c>
      <c r="O2066" s="93">
        <v>4200</v>
      </c>
      <c r="P2066" s="93">
        <v>4200</v>
      </c>
      <c r="Q2066" s="93">
        <v>4200</v>
      </c>
      <c r="R2066" s="93">
        <v>4200</v>
      </c>
      <c r="S2066" s="93">
        <v>4200</v>
      </c>
      <c r="T2066" s="93">
        <v>4200</v>
      </c>
      <c r="U2066" s="93">
        <v>4200</v>
      </c>
      <c r="V2066" s="93">
        <v>4200</v>
      </c>
      <c r="W2066" s="93">
        <v>4200</v>
      </c>
      <c r="X2066" s="93">
        <v>4200</v>
      </c>
      <c r="Y2066" s="93">
        <v>4200</v>
      </c>
      <c r="Z2066" s="93">
        <v>4200</v>
      </c>
      <c r="AA2066" s="93">
        <v>4200</v>
      </c>
      <c r="AB2066" s="93">
        <v>4200</v>
      </c>
      <c r="AC2066" s="93">
        <v>4200</v>
      </c>
      <c r="AD2066" s="93">
        <v>4200</v>
      </c>
      <c r="AE2066" s="93">
        <v>4200</v>
      </c>
      <c r="AF2066" s="93">
        <v>4200</v>
      </c>
      <c r="AG2066" s="93">
        <v>4200</v>
      </c>
      <c r="AH2066" s="93">
        <v>4200</v>
      </c>
      <c r="AI2066" s="93">
        <v>4200</v>
      </c>
      <c r="AJ2066" s="93">
        <v>4200</v>
      </c>
      <c r="AK2066" s="93">
        <v>4200</v>
      </c>
      <c r="AL2066" s="93">
        <v>4200</v>
      </c>
      <c r="AM2066" s="93">
        <v>4200</v>
      </c>
      <c r="AN2066" s="93">
        <v>4200</v>
      </c>
      <c r="AO2066" s="93">
        <v>4200</v>
      </c>
      <c r="AP2066" s="93">
        <v>4200</v>
      </c>
      <c r="AQ2066" s="93">
        <v>4200</v>
      </c>
      <c r="AR2066" s="93">
        <v>4200</v>
      </c>
      <c r="AS2066" s="93">
        <v>4200</v>
      </c>
      <c r="AT2066" s="93">
        <v>4200</v>
      </c>
      <c r="AU2066" s="93">
        <v>4200</v>
      </c>
      <c r="AV2066" s="93">
        <v>4200</v>
      </c>
      <c r="AW2066" s="93">
        <v>4200</v>
      </c>
      <c r="AX2066" s="94">
        <v>4200</v>
      </c>
    </row>
    <row r="2067" spans="1:50" x14ac:dyDescent="0.25">
      <c r="A2067" s="356"/>
      <c r="B2067" s="359"/>
      <c r="C2067" s="350"/>
      <c r="D2067" s="2" t="s">
        <v>8</v>
      </c>
      <c r="E2067" s="160" t="str">
        <f>A2066&amp;"/"&amp;B2066&amp;"/"&amp;C2066&amp;"/"&amp;D2067</f>
        <v>Hydro plants/Run-of-river/Electricity only/M</v>
      </c>
      <c r="F2067" s="76" t="str">
        <f>A2066</f>
        <v>Hydro plants</v>
      </c>
      <c r="G2067" s="76" t="str">
        <f>B2066</f>
        <v>Run-of-river</v>
      </c>
      <c r="H2067" s="76" t="str">
        <f>C2066</f>
        <v>Electricity only</v>
      </c>
      <c r="I2067" s="161" t="str">
        <f t="shared" si="112"/>
        <v>M</v>
      </c>
      <c r="J2067" s="91">
        <v>3990</v>
      </c>
      <c r="K2067" s="91">
        <v>3990</v>
      </c>
      <c r="L2067" s="91">
        <v>3990</v>
      </c>
      <c r="M2067" s="91">
        <v>3990</v>
      </c>
      <c r="N2067" s="91">
        <v>3990</v>
      </c>
      <c r="O2067" s="91">
        <v>3990</v>
      </c>
      <c r="P2067" s="91">
        <v>3990</v>
      </c>
      <c r="Q2067" s="91">
        <v>3990</v>
      </c>
      <c r="R2067" s="91">
        <v>3990</v>
      </c>
      <c r="S2067" s="91">
        <v>3990</v>
      </c>
      <c r="T2067" s="91">
        <v>3990</v>
      </c>
      <c r="U2067" s="91">
        <v>3990</v>
      </c>
      <c r="V2067" s="91">
        <v>3990</v>
      </c>
      <c r="W2067" s="91">
        <v>3990</v>
      </c>
      <c r="X2067" s="91">
        <v>3990</v>
      </c>
      <c r="Y2067" s="91">
        <v>3990</v>
      </c>
      <c r="Z2067" s="91">
        <v>3990</v>
      </c>
      <c r="AA2067" s="91">
        <v>3990</v>
      </c>
      <c r="AB2067" s="91">
        <v>3990</v>
      </c>
      <c r="AC2067" s="91">
        <v>3990</v>
      </c>
      <c r="AD2067" s="91">
        <v>3990</v>
      </c>
      <c r="AE2067" s="91">
        <v>3990</v>
      </c>
      <c r="AF2067" s="91">
        <v>3990</v>
      </c>
      <c r="AG2067" s="91">
        <v>3990</v>
      </c>
      <c r="AH2067" s="91">
        <v>3990</v>
      </c>
      <c r="AI2067" s="91">
        <v>3990</v>
      </c>
      <c r="AJ2067" s="91">
        <v>3990</v>
      </c>
      <c r="AK2067" s="91">
        <v>3990</v>
      </c>
      <c r="AL2067" s="91">
        <v>3990</v>
      </c>
      <c r="AM2067" s="91">
        <v>3990</v>
      </c>
      <c r="AN2067" s="91">
        <v>3990</v>
      </c>
      <c r="AO2067" s="91">
        <v>3990</v>
      </c>
      <c r="AP2067" s="91">
        <v>3990</v>
      </c>
      <c r="AQ2067" s="91">
        <v>3990</v>
      </c>
      <c r="AR2067" s="91">
        <v>3990</v>
      </c>
      <c r="AS2067" s="91">
        <v>3990</v>
      </c>
      <c r="AT2067" s="91">
        <v>3990</v>
      </c>
      <c r="AU2067" s="91">
        <v>3990</v>
      </c>
      <c r="AV2067" s="91">
        <v>3990</v>
      </c>
      <c r="AW2067" s="91">
        <v>3990</v>
      </c>
      <c r="AX2067" s="92">
        <v>3990</v>
      </c>
    </row>
    <row r="2068" spans="1:50" x14ac:dyDescent="0.25">
      <c r="A2068" s="356"/>
      <c r="B2068" s="359"/>
      <c r="C2068" s="350"/>
      <c r="D2068" s="2" t="s">
        <v>10</v>
      </c>
      <c r="E2068" s="160" t="str">
        <f>A2066&amp;"/"&amp;B2066&amp;"/"&amp;C2066&amp;"/"&amp;D2068</f>
        <v>Hydro plants/Run-of-river/Electricity only/S</v>
      </c>
      <c r="F2068" s="76" t="str">
        <f>A2066</f>
        <v>Hydro plants</v>
      </c>
      <c r="G2068" s="76" t="str">
        <f>B2066</f>
        <v>Run-of-river</v>
      </c>
      <c r="H2068" s="76" t="str">
        <f>C2066</f>
        <v>Electricity only</v>
      </c>
      <c r="I2068" s="161" t="str">
        <f t="shared" si="112"/>
        <v>S</v>
      </c>
      <c r="J2068" s="91">
        <v>3780</v>
      </c>
      <c r="K2068" s="91">
        <v>3780</v>
      </c>
      <c r="L2068" s="91">
        <v>3780</v>
      </c>
      <c r="M2068" s="91">
        <v>3780</v>
      </c>
      <c r="N2068" s="91">
        <v>3780</v>
      </c>
      <c r="O2068" s="91">
        <v>3780</v>
      </c>
      <c r="P2068" s="91">
        <v>3780</v>
      </c>
      <c r="Q2068" s="91">
        <v>3780</v>
      </c>
      <c r="R2068" s="91">
        <v>3780</v>
      </c>
      <c r="S2068" s="91">
        <v>3780</v>
      </c>
      <c r="T2068" s="91">
        <v>3780</v>
      </c>
      <c r="U2068" s="91">
        <v>3780</v>
      </c>
      <c r="V2068" s="91">
        <v>3780</v>
      </c>
      <c r="W2068" s="91">
        <v>3780</v>
      </c>
      <c r="X2068" s="91">
        <v>3780</v>
      </c>
      <c r="Y2068" s="91">
        <v>3780</v>
      </c>
      <c r="Z2068" s="91">
        <v>3780</v>
      </c>
      <c r="AA2068" s="91">
        <v>3780</v>
      </c>
      <c r="AB2068" s="91">
        <v>3780</v>
      </c>
      <c r="AC2068" s="91">
        <v>3780</v>
      </c>
      <c r="AD2068" s="91">
        <v>3780</v>
      </c>
      <c r="AE2068" s="91">
        <v>3780</v>
      </c>
      <c r="AF2068" s="91">
        <v>3780</v>
      </c>
      <c r="AG2068" s="91">
        <v>3780</v>
      </c>
      <c r="AH2068" s="91">
        <v>3780</v>
      </c>
      <c r="AI2068" s="91">
        <v>3780</v>
      </c>
      <c r="AJ2068" s="91">
        <v>3780</v>
      </c>
      <c r="AK2068" s="91">
        <v>3780</v>
      </c>
      <c r="AL2068" s="91">
        <v>3780</v>
      </c>
      <c r="AM2068" s="91">
        <v>3780</v>
      </c>
      <c r="AN2068" s="91">
        <v>3780</v>
      </c>
      <c r="AO2068" s="91">
        <v>3780</v>
      </c>
      <c r="AP2068" s="91">
        <v>3780</v>
      </c>
      <c r="AQ2068" s="91">
        <v>3780</v>
      </c>
      <c r="AR2068" s="91">
        <v>3780</v>
      </c>
      <c r="AS2068" s="91">
        <v>3780</v>
      </c>
      <c r="AT2068" s="91">
        <v>3780</v>
      </c>
      <c r="AU2068" s="91">
        <v>3780</v>
      </c>
      <c r="AV2068" s="91">
        <v>3780</v>
      </c>
      <c r="AW2068" s="91">
        <v>3780</v>
      </c>
      <c r="AX2068" s="92">
        <v>3780</v>
      </c>
    </row>
    <row r="2069" spans="1:50" x14ac:dyDescent="0.25">
      <c r="A2069" s="356"/>
      <c r="B2069" s="368"/>
      <c r="C2069" s="360"/>
      <c r="D2069" s="59" t="s">
        <v>20</v>
      </c>
      <c r="E2069" s="166" t="str">
        <f>A2066&amp;"/"&amp;B2066&amp;"/"&amp;C2066&amp;"/"&amp;D2069</f>
        <v>Hydro plants/Run-of-river/Electricity only/XS</v>
      </c>
      <c r="F2069" s="79" t="str">
        <f>A2066</f>
        <v>Hydro plants</v>
      </c>
      <c r="G2069" s="79" t="str">
        <f>B2066</f>
        <v>Run-of-river</v>
      </c>
      <c r="H2069" s="79" t="str">
        <f>C2066</f>
        <v>Electricity only</v>
      </c>
      <c r="I2069" s="167" t="str">
        <f t="shared" si="112"/>
        <v>XS</v>
      </c>
      <c r="J2069" s="97">
        <v>2940</v>
      </c>
      <c r="K2069" s="97">
        <v>2940</v>
      </c>
      <c r="L2069" s="97">
        <v>2940</v>
      </c>
      <c r="M2069" s="97">
        <v>2940</v>
      </c>
      <c r="N2069" s="97">
        <v>2940</v>
      </c>
      <c r="O2069" s="97">
        <v>2940</v>
      </c>
      <c r="P2069" s="97">
        <v>2940</v>
      </c>
      <c r="Q2069" s="97">
        <v>2940</v>
      </c>
      <c r="R2069" s="97">
        <v>2940</v>
      </c>
      <c r="S2069" s="97">
        <v>2940</v>
      </c>
      <c r="T2069" s="97">
        <v>2940</v>
      </c>
      <c r="U2069" s="97">
        <v>2940</v>
      </c>
      <c r="V2069" s="97">
        <v>2940</v>
      </c>
      <c r="W2069" s="97">
        <v>2940</v>
      </c>
      <c r="X2069" s="97">
        <v>2940</v>
      </c>
      <c r="Y2069" s="97">
        <v>2940</v>
      </c>
      <c r="Z2069" s="97">
        <v>2940</v>
      </c>
      <c r="AA2069" s="97">
        <v>2940</v>
      </c>
      <c r="AB2069" s="97">
        <v>2940</v>
      </c>
      <c r="AC2069" s="97">
        <v>2940</v>
      </c>
      <c r="AD2069" s="97">
        <v>2940</v>
      </c>
      <c r="AE2069" s="97">
        <v>2940</v>
      </c>
      <c r="AF2069" s="97">
        <v>2940</v>
      </c>
      <c r="AG2069" s="97">
        <v>2940</v>
      </c>
      <c r="AH2069" s="97">
        <v>2940</v>
      </c>
      <c r="AI2069" s="97">
        <v>2940</v>
      </c>
      <c r="AJ2069" s="97">
        <v>2940</v>
      </c>
      <c r="AK2069" s="97">
        <v>2940</v>
      </c>
      <c r="AL2069" s="97">
        <v>2940</v>
      </c>
      <c r="AM2069" s="97">
        <v>2940</v>
      </c>
      <c r="AN2069" s="97">
        <v>2940</v>
      </c>
      <c r="AO2069" s="97">
        <v>2940</v>
      </c>
      <c r="AP2069" s="97">
        <v>2940</v>
      </c>
      <c r="AQ2069" s="97">
        <v>2940</v>
      </c>
      <c r="AR2069" s="97">
        <v>2940</v>
      </c>
      <c r="AS2069" s="97">
        <v>2940</v>
      </c>
      <c r="AT2069" s="97">
        <v>2940</v>
      </c>
      <c r="AU2069" s="97">
        <v>2940</v>
      </c>
      <c r="AV2069" s="97">
        <v>2940</v>
      </c>
      <c r="AW2069" s="97">
        <v>2940</v>
      </c>
      <c r="AX2069" s="98">
        <v>2940</v>
      </c>
    </row>
    <row r="2070" spans="1:50" x14ac:dyDescent="0.25">
      <c r="A2070" s="356"/>
      <c r="B2070" s="359" t="s">
        <v>45</v>
      </c>
      <c r="C2070" s="350" t="s">
        <v>6</v>
      </c>
      <c r="D2070" s="2" t="s">
        <v>7</v>
      </c>
      <c r="E2070" s="160" t="str">
        <f>A2066&amp;"/"&amp;B2070&amp;"/"&amp;C2070&amp;"/"&amp;D2070</f>
        <v>Hydro plants/Reservoirs (dams)/Electricity only/L</v>
      </c>
      <c r="F2070" s="76" t="str">
        <f>A2066</f>
        <v>Hydro plants</v>
      </c>
      <c r="G2070" s="76" t="str">
        <f>B2070</f>
        <v>Reservoirs (dams)</v>
      </c>
      <c r="H2070" s="76" t="str">
        <f>C2070</f>
        <v>Electricity only</v>
      </c>
      <c r="I2070" s="161" t="str">
        <f t="shared" si="112"/>
        <v>L</v>
      </c>
      <c r="J2070" s="91">
        <v>500</v>
      </c>
      <c r="K2070" s="91">
        <v>500</v>
      </c>
      <c r="L2070" s="91">
        <v>500</v>
      </c>
      <c r="M2070" s="91">
        <v>500</v>
      </c>
      <c r="N2070" s="91">
        <v>500</v>
      </c>
      <c r="O2070" s="91">
        <v>500</v>
      </c>
      <c r="P2070" s="91">
        <v>500</v>
      </c>
      <c r="Q2070" s="91">
        <v>500</v>
      </c>
      <c r="R2070" s="91">
        <v>500</v>
      </c>
      <c r="S2070" s="91">
        <v>500</v>
      </c>
      <c r="T2070" s="91">
        <v>500</v>
      </c>
      <c r="U2070" s="91">
        <v>500</v>
      </c>
      <c r="V2070" s="91">
        <v>500</v>
      </c>
      <c r="W2070" s="91">
        <v>500</v>
      </c>
      <c r="X2070" s="91">
        <v>500</v>
      </c>
      <c r="Y2070" s="91">
        <v>500</v>
      </c>
      <c r="Z2070" s="91">
        <v>500</v>
      </c>
      <c r="AA2070" s="91">
        <v>500</v>
      </c>
      <c r="AB2070" s="91">
        <v>500</v>
      </c>
      <c r="AC2070" s="91">
        <v>500</v>
      </c>
      <c r="AD2070" s="91">
        <v>500</v>
      </c>
      <c r="AE2070" s="91">
        <v>500</v>
      </c>
      <c r="AF2070" s="91">
        <v>500</v>
      </c>
      <c r="AG2070" s="91">
        <v>500</v>
      </c>
      <c r="AH2070" s="91">
        <v>500</v>
      </c>
      <c r="AI2070" s="91">
        <v>500</v>
      </c>
      <c r="AJ2070" s="91">
        <v>500</v>
      </c>
      <c r="AK2070" s="91">
        <v>500</v>
      </c>
      <c r="AL2070" s="91">
        <v>500</v>
      </c>
      <c r="AM2070" s="91">
        <v>500</v>
      </c>
      <c r="AN2070" s="91">
        <v>500</v>
      </c>
      <c r="AO2070" s="91">
        <v>500</v>
      </c>
      <c r="AP2070" s="91">
        <v>500</v>
      </c>
      <c r="AQ2070" s="91">
        <v>500</v>
      </c>
      <c r="AR2070" s="91">
        <v>500</v>
      </c>
      <c r="AS2070" s="91">
        <v>500</v>
      </c>
      <c r="AT2070" s="91">
        <v>500</v>
      </c>
      <c r="AU2070" s="91">
        <v>500</v>
      </c>
      <c r="AV2070" s="91">
        <v>500</v>
      </c>
      <c r="AW2070" s="91">
        <v>500</v>
      </c>
      <c r="AX2070" s="92">
        <v>500</v>
      </c>
    </row>
    <row r="2071" spans="1:50" x14ac:dyDescent="0.25">
      <c r="A2071" s="356"/>
      <c r="B2071" s="359"/>
      <c r="C2071" s="350"/>
      <c r="D2071" s="2" t="s">
        <v>8</v>
      </c>
      <c r="E2071" s="160" t="str">
        <f>A2066&amp;"/"&amp;B2070&amp;"/"&amp;C2070&amp;"/"&amp;D2071</f>
        <v>Hydro plants/Reservoirs (dams)/Electricity only/M</v>
      </c>
      <c r="F2071" s="76" t="str">
        <f>A2066</f>
        <v>Hydro plants</v>
      </c>
      <c r="G2071" s="76" t="str">
        <f>B2070</f>
        <v>Reservoirs (dams)</v>
      </c>
      <c r="H2071" s="76" t="str">
        <f>C2070</f>
        <v>Electricity only</v>
      </c>
      <c r="I2071" s="161" t="str">
        <f t="shared" si="112"/>
        <v>M</v>
      </c>
      <c r="J2071" s="91">
        <v>400</v>
      </c>
      <c r="K2071" s="91">
        <v>400</v>
      </c>
      <c r="L2071" s="91">
        <v>400</v>
      </c>
      <c r="M2071" s="91">
        <v>400</v>
      </c>
      <c r="N2071" s="91">
        <v>400</v>
      </c>
      <c r="O2071" s="91">
        <v>400</v>
      </c>
      <c r="P2071" s="91">
        <v>400</v>
      </c>
      <c r="Q2071" s="91">
        <v>400</v>
      </c>
      <c r="R2071" s="91">
        <v>400</v>
      </c>
      <c r="S2071" s="91">
        <v>400</v>
      </c>
      <c r="T2071" s="91">
        <v>400</v>
      </c>
      <c r="U2071" s="91">
        <v>400</v>
      </c>
      <c r="V2071" s="91">
        <v>400</v>
      </c>
      <c r="W2071" s="91">
        <v>400</v>
      </c>
      <c r="X2071" s="91">
        <v>400</v>
      </c>
      <c r="Y2071" s="91">
        <v>400</v>
      </c>
      <c r="Z2071" s="91">
        <v>400</v>
      </c>
      <c r="AA2071" s="91">
        <v>400</v>
      </c>
      <c r="AB2071" s="91">
        <v>400</v>
      </c>
      <c r="AC2071" s="91">
        <v>400</v>
      </c>
      <c r="AD2071" s="91">
        <v>400</v>
      </c>
      <c r="AE2071" s="91">
        <v>400</v>
      </c>
      <c r="AF2071" s="91">
        <v>400</v>
      </c>
      <c r="AG2071" s="91">
        <v>400</v>
      </c>
      <c r="AH2071" s="91">
        <v>400</v>
      </c>
      <c r="AI2071" s="91">
        <v>400</v>
      </c>
      <c r="AJ2071" s="91">
        <v>400</v>
      </c>
      <c r="AK2071" s="91">
        <v>400</v>
      </c>
      <c r="AL2071" s="91">
        <v>400</v>
      </c>
      <c r="AM2071" s="91">
        <v>400</v>
      </c>
      <c r="AN2071" s="91">
        <v>400</v>
      </c>
      <c r="AO2071" s="91">
        <v>400</v>
      </c>
      <c r="AP2071" s="91">
        <v>400</v>
      </c>
      <c r="AQ2071" s="91">
        <v>400</v>
      </c>
      <c r="AR2071" s="91">
        <v>400</v>
      </c>
      <c r="AS2071" s="91">
        <v>400</v>
      </c>
      <c r="AT2071" s="91">
        <v>400</v>
      </c>
      <c r="AU2071" s="91">
        <v>400</v>
      </c>
      <c r="AV2071" s="91">
        <v>400</v>
      </c>
      <c r="AW2071" s="91">
        <v>400</v>
      </c>
      <c r="AX2071" s="92">
        <v>400</v>
      </c>
    </row>
    <row r="2072" spans="1:50" x14ac:dyDescent="0.25">
      <c r="A2072" s="356"/>
      <c r="B2072" s="359"/>
      <c r="C2072" s="350"/>
      <c r="D2072" s="2" t="s">
        <v>10</v>
      </c>
      <c r="E2072" s="160" t="str">
        <f>A2066&amp;"/"&amp;B2070&amp;"/"&amp;C2070&amp;"/"&amp;D2072</f>
        <v>Hydro plants/Reservoirs (dams)/Electricity only/S</v>
      </c>
      <c r="F2072" s="76" t="str">
        <f>A2066</f>
        <v>Hydro plants</v>
      </c>
      <c r="G2072" s="76" t="str">
        <f>B2070</f>
        <v>Reservoirs (dams)</v>
      </c>
      <c r="H2072" s="76" t="str">
        <f>C2070</f>
        <v>Electricity only</v>
      </c>
      <c r="I2072" s="161" t="str">
        <f t="shared" si="112"/>
        <v>S</v>
      </c>
      <c r="J2072" s="91">
        <v>300</v>
      </c>
      <c r="K2072" s="91">
        <v>300</v>
      </c>
      <c r="L2072" s="91">
        <v>300</v>
      </c>
      <c r="M2072" s="91">
        <v>300</v>
      </c>
      <c r="N2072" s="91">
        <v>300</v>
      </c>
      <c r="O2072" s="91">
        <v>300</v>
      </c>
      <c r="P2072" s="91">
        <v>300</v>
      </c>
      <c r="Q2072" s="91">
        <v>300</v>
      </c>
      <c r="R2072" s="91">
        <v>300</v>
      </c>
      <c r="S2072" s="91">
        <v>300</v>
      </c>
      <c r="T2072" s="91">
        <v>300</v>
      </c>
      <c r="U2072" s="91">
        <v>300</v>
      </c>
      <c r="V2072" s="91">
        <v>300</v>
      </c>
      <c r="W2072" s="91">
        <v>300</v>
      </c>
      <c r="X2072" s="91">
        <v>300</v>
      </c>
      <c r="Y2072" s="91">
        <v>300</v>
      </c>
      <c r="Z2072" s="91">
        <v>300</v>
      </c>
      <c r="AA2072" s="91">
        <v>300</v>
      </c>
      <c r="AB2072" s="91">
        <v>300</v>
      </c>
      <c r="AC2072" s="91">
        <v>300</v>
      </c>
      <c r="AD2072" s="91">
        <v>300</v>
      </c>
      <c r="AE2072" s="91">
        <v>300</v>
      </c>
      <c r="AF2072" s="91">
        <v>300</v>
      </c>
      <c r="AG2072" s="91">
        <v>300</v>
      </c>
      <c r="AH2072" s="91">
        <v>300</v>
      </c>
      <c r="AI2072" s="91">
        <v>300</v>
      </c>
      <c r="AJ2072" s="91">
        <v>300</v>
      </c>
      <c r="AK2072" s="91">
        <v>300</v>
      </c>
      <c r="AL2072" s="91">
        <v>300</v>
      </c>
      <c r="AM2072" s="91">
        <v>300</v>
      </c>
      <c r="AN2072" s="91">
        <v>300</v>
      </c>
      <c r="AO2072" s="91">
        <v>300</v>
      </c>
      <c r="AP2072" s="91">
        <v>300</v>
      </c>
      <c r="AQ2072" s="91">
        <v>300</v>
      </c>
      <c r="AR2072" s="91">
        <v>300</v>
      </c>
      <c r="AS2072" s="91">
        <v>300</v>
      </c>
      <c r="AT2072" s="91">
        <v>300</v>
      </c>
      <c r="AU2072" s="91">
        <v>300</v>
      </c>
      <c r="AV2072" s="91">
        <v>300</v>
      </c>
      <c r="AW2072" s="91">
        <v>300</v>
      </c>
      <c r="AX2072" s="92">
        <v>300</v>
      </c>
    </row>
    <row r="2073" spans="1:50" x14ac:dyDescent="0.25">
      <c r="A2073" s="357"/>
      <c r="B2073" s="362"/>
      <c r="C2073" s="354"/>
      <c r="D2073" s="4" t="s">
        <v>20</v>
      </c>
      <c r="E2073" s="168" t="str">
        <f>A2066&amp;"/"&amp;B2070&amp;"/"&amp;C2070&amp;"/"&amp;D2073</f>
        <v>Hydro plants/Reservoirs (dams)/Electricity only/XS</v>
      </c>
      <c r="F2073" s="80" t="str">
        <f>A2066</f>
        <v>Hydro plants</v>
      </c>
      <c r="G2073" s="80" t="str">
        <f>B2070</f>
        <v>Reservoirs (dams)</v>
      </c>
      <c r="H2073" s="80" t="str">
        <f>C2070</f>
        <v>Electricity only</v>
      </c>
      <c r="I2073" s="169" t="str">
        <f t="shared" si="112"/>
        <v>XS</v>
      </c>
      <c r="J2073" s="99">
        <v>200</v>
      </c>
      <c r="K2073" s="99">
        <v>200</v>
      </c>
      <c r="L2073" s="99">
        <v>200</v>
      </c>
      <c r="M2073" s="99">
        <v>200</v>
      </c>
      <c r="N2073" s="99">
        <v>200</v>
      </c>
      <c r="O2073" s="99">
        <v>200</v>
      </c>
      <c r="P2073" s="99">
        <v>200</v>
      </c>
      <c r="Q2073" s="99">
        <v>200</v>
      </c>
      <c r="R2073" s="99">
        <v>200</v>
      </c>
      <c r="S2073" s="99">
        <v>200</v>
      </c>
      <c r="T2073" s="99">
        <v>200</v>
      </c>
      <c r="U2073" s="99">
        <v>200</v>
      </c>
      <c r="V2073" s="99">
        <v>200</v>
      </c>
      <c r="W2073" s="99">
        <v>200</v>
      </c>
      <c r="X2073" s="99">
        <v>200</v>
      </c>
      <c r="Y2073" s="99">
        <v>200</v>
      </c>
      <c r="Z2073" s="99">
        <v>200</v>
      </c>
      <c r="AA2073" s="99">
        <v>200</v>
      </c>
      <c r="AB2073" s="99">
        <v>200</v>
      </c>
      <c r="AC2073" s="99">
        <v>200</v>
      </c>
      <c r="AD2073" s="99">
        <v>200</v>
      </c>
      <c r="AE2073" s="99">
        <v>200</v>
      </c>
      <c r="AF2073" s="99">
        <v>200</v>
      </c>
      <c r="AG2073" s="99">
        <v>200</v>
      </c>
      <c r="AH2073" s="99">
        <v>200</v>
      </c>
      <c r="AI2073" s="99">
        <v>200</v>
      </c>
      <c r="AJ2073" s="99">
        <v>200</v>
      </c>
      <c r="AK2073" s="99">
        <v>200</v>
      </c>
      <c r="AL2073" s="99">
        <v>200</v>
      </c>
      <c r="AM2073" s="99">
        <v>200</v>
      </c>
      <c r="AN2073" s="99">
        <v>200</v>
      </c>
      <c r="AO2073" s="99">
        <v>200</v>
      </c>
      <c r="AP2073" s="99">
        <v>200</v>
      </c>
      <c r="AQ2073" s="99">
        <v>200</v>
      </c>
      <c r="AR2073" s="99">
        <v>200</v>
      </c>
      <c r="AS2073" s="99">
        <v>200</v>
      </c>
      <c r="AT2073" s="99">
        <v>200</v>
      </c>
      <c r="AU2073" s="99">
        <v>200</v>
      </c>
      <c r="AV2073" s="99">
        <v>200</v>
      </c>
      <c r="AW2073" s="99">
        <v>200</v>
      </c>
      <c r="AX2073" s="100">
        <v>200</v>
      </c>
    </row>
    <row r="2074" spans="1:50" x14ac:dyDescent="0.25">
      <c r="A2074" s="356" t="s">
        <v>46</v>
      </c>
      <c r="B2074" s="359" t="s">
        <v>46</v>
      </c>
      <c r="C2074" s="353" t="s">
        <v>6</v>
      </c>
      <c r="D2074" s="2" t="s">
        <v>7</v>
      </c>
      <c r="E2074" s="160" t="str">
        <f>A2074&amp;"/"&amp;B2074&amp;"/"&amp;C2074&amp;"/"&amp;D2074</f>
        <v>Pump storage/Pump storage/Electricity only/L</v>
      </c>
      <c r="F2074" s="76" t="str">
        <f>A2074</f>
        <v>Pump storage</v>
      </c>
      <c r="G2074" s="76" t="str">
        <f>B2074</f>
        <v>Pump storage</v>
      </c>
      <c r="H2074" s="76" t="str">
        <f>C2074</f>
        <v>Electricity only</v>
      </c>
      <c r="I2074" s="161" t="str">
        <f t="shared" si="112"/>
        <v>L</v>
      </c>
      <c r="J2074" s="91">
        <v>0.1</v>
      </c>
      <c r="K2074" s="91">
        <v>0.1</v>
      </c>
      <c r="L2074" s="91">
        <v>0.1</v>
      </c>
      <c r="M2074" s="91">
        <v>0.1</v>
      </c>
      <c r="N2074" s="91">
        <v>0.1</v>
      </c>
      <c r="O2074" s="91">
        <v>0.1</v>
      </c>
      <c r="P2074" s="91">
        <v>0.1</v>
      </c>
      <c r="Q2074" s="91">
        <v>0.1</v>
      </c>
      <c r="R2074" s="91">
        <v>0.1</v>
      </c>
      <c r="S2074" s="91">
        <v>0.1</v>
      </c>
      <c r="T2074" s="91">
        <v>0.1</v>
      </c>
      <c r="U2074" s="91">
        <v>0.1</v>
      </c>
      <c r="V2074" s="91">
        <v>0.1</v>
      </c>
      <c r="W2074" s="91">
        <v>0.1</v>
      </c>
      <c r="X2074" s="91">
        <v>0.1</v>
      </c>
      <c r="Y2074" s="91">
        <v>0.1</v>
      </c>
      <c r="Z2074" s="91">
        <v>0.1</v>
      </c>
      <c r="AA2074" s="91">
        <v>0.1</v>
      </c>
      <c r="AB2074" s="91">
        <v>0.1</v>
      </c>
      <c r="AC2074" s="91">
        <v>0.1</v>
      </c>
      <c r="AD2074" s="91">
        <v>0.1</v>
      </c>
      <c r="AE2074" s="91">
        <v>0.1</v>
      </c>
      <c r="AF2074" s="91">
        <v>0.1</v>
      </c>
      <c r="AG2074" s="91">
        <v>0.1</v>
      </c>
      <c r="AH2074" s="91">
        <v>0.1</v>
      </c>
      <c r="AI2074" s="91">
        <v>0.1</v>
      </c>
      <c r="AJ2074" s="91">
        <v>0.1</v>
      </c>
      <c r="AK2074" s="91">
        <v>0.1</v>
      </c>
      <c r="AL2074" s="91">
        <v>0.1</v>
      </c>
      <c r="AM2074" s="91">
        <v>0.1</v>
      </c>
      <c r="AN2074" s="91">
        <v>0.1</v>
      </c>
      <c r="AO2074" s="91">
        <v>0.1</v>
      </c>
      <c r="AP2074" s="91">
        <v>0.1</v>
      </c>
      <c r="AQ2074" s="91">
        <v>0.1</v>
      </c>
      <c r="AR2074" s="91">
        <v>0.1</v>
      </c>
      <c r="AS2074" s="91">
        <v>0.1</v>
      </c>
      <c r="AT2074" s="91">
        <v>0.1</v>
      </c>
      <c r="AU2074" s="91">
        <v>0.1</v>
      </c>
      <c r="AV2074" s="91">
        <v>0.1</v>
      </c>
      <c r="AW2074" s="91">
        <v>0.1</v>
      </c>
      <c r="AX2074" s="92">
        <v>0.1</v>
      </c>
    </row>
    <row r="2075" spans="1:50" x14ac:dyDescent="0.25">
      <c r="A2075" s="356"/>
      <c r="B2075" s="359"/>
      <c r="C2075" s="350"/>
      <c r="D2075" s="2" t="s">
        <v>8</v>
      </c>
      <c r="E2075" s="160" t="str">
        <f>A2074&amp;"/"&amp;B2074&amp;"/"&amp;C2074&amp;"/"&amp;D2075</f>
        <v>Pump storage/Pump storage/Electricity only/M</v>
      </c>
      <c r="F2075" s="76" t="str">
        <f>A2074</f>
        <v>Pump storage</v>
      </c>
      <c r="G2075" s="76" t="str">
        <f>B2074</f>
        <v>Pump storage</v>
      </c>
      <c r="H2075" s="76" t="str">
        <f>C2074</f>
        <v>Electricity only</v>
      </c>
      <c r="I2075" s="161" t="str">
        <f t="shared" si="112"/>
        <v>M</v>
      </c>
      <c r="J2075" s="91">
        <v>0.1</v>
      </c>
      <c r="K2075" s="91">
        <v>0.1</v>
      </c>
      <c r="L2075" s="91">
        <v>0.1</v>
      </c>
      <c r="M2075" s="91">
        <v>0.1</v>
      </c>
      <c r="N2075" s="91">
        <v>0.1</v>
      </c>
      <c r="O2075" s="91">
        <v>0.1</v>
      </c>
      <c r="P2075" s="91">
        <v>0.1</v>
      </c>
      <c r="Q2075" s="91">
        <v>0.1</v>
      </c>
      <c r="R2075" s="91">
        <v>0.1</v>
      </c>
      <c r="S2075" s="91">
        <v>0.1</v>
      </c>
      <c r="T2075" s="91">
        <v>0.1</v>
      </c>
      <c r="U2075" s="91">
        <v>0.1</v>
      </c>
      <c r="V2075" s="91">
        <v>0.1</v>
      </c>
      <c r="W2075" s="91">
        <v>0.1</v>
      </c>
      <c r="X2075" s="91">
        <v>0.1</v>
      </c>
      <c r="Y2075" s="91">
        <v>0.1</v>
      </c>
      <c r="Z2075" s="91">
        <v>0.1</v>
      </c>
      <c r="AA2075" s="91">
        <v>0.1</v>
      </c>
      <c r="AB2075" s="91">
        <v>0.1</v>
      </c>
      <c r="AC2075" s="91">
        <v>0.1</v>
      </c>
      <c r="AD2075" s="91">
        <v>0.1</v>
      </c>
      <c r="AE2075" s="91">
        <v>0.1</v>
      </c>
      <c r="AF2075" s="91">
        <v>0.1</v>
      </c>
      <c r="AG2075" s="91">
        <v>0.1</v>
      </c>
      <c r="AH2075" s="91">
        <v>0.1</v>
      </c>
      <c r="AI2075" s="91">
        <v>0.1</v>
      </c>
      <c r="AJ2075" s="91">
        <v>0.1</v>
      </c>
      <c r="AK2075" s="91">
        <v>0.1</v>
      </c>
      <c r="AL2075" s="91">
        <v>0.1</v>
      </c>
      <c r="AM2075" s="91">
        <v>0.1</v>
      </c>
      <c r="AN2075" s="91">
        <v>0.1</v>
      </c>
      <c r="AO2075" s="91">
        <v>0.1</v>
      </c>
      <c r="AP2075" s="91">
        <v>0.1</v>
      </c>
      <c r="AQ2075" s="91">
        <v>0.1</v>
      </c>
      <c r="AR2075" s="91">
        <v>0.1</v>
      </c>
      <c r="AS2075" s="91">
        <v>0.1</v>
      </c>
      <c r="AT2075" s="91">
        <v>0.1</v>
      </c>
      <c r="AU2075" s="91">
        <v>0.1</v>
      </c>
      <c r="AV2075" s="91">
        <v>0.1</v>
      </c>
      <c r="AW2075" s="91">
        <v>0.1</v>
      </c>
      <c r="AX2075" s="92">
        <v>0.1</v>
      </c>
    </row>
    <row r="2076" spans="1:50" x14ac:dyDescent="0.25">
      <c r="A2076" s="356"/>
      <c r="B2076" s="359"/>
      <c r="C2076" s="350"/>
      <c r="D2076" s="2" t="s">
        <v>10</v>
      </c>
      <c r="E2076" s="160" t="str">
        <f>A2074&amp;"/"&amp;B2074&amp;"/"&amp;C2074&amp;"/"&amp;D2076</f>
        <v>Pump storage/Pump storage/Electricity only/S</v>
      </c>
      <c r="F2076" s="76" t="str">
        <f>A2074</f>
        <v>Pump storage</v>
      </c>
      <c r="G2076" s="76" t="str">
        <f>B2074</f>
        <v>Pump storage</v>
      </c>
      <c r="H2076" s="76" t="str">
        <f>C2074</f>
        <v>Electricity only</v>
      </c>
      <c r="I2076" s="161" t="str">
        <f t="shared" si="112"/>
        <v>S</v>
      </c>
      <c r="J2076" s="91">
        <v>0.1</v>
      </c>
      <c r="K2076" s="91">
        <v>0.1</v>
      </c>
      <c r="L2076" s="91">
        <v>0.1</v>
      </c>
      <c r="M2076" s="91">
        <v>0.1</v>
      </c>
      <c r="N2076" s="91">
        <v>0.1</v>
      </c>
      <c r="O2076" s="91">
        <v>0.1</v>
      </c>
      <c r="P2076" s="91">
        <v>0.1</v>
      </c>
      <c r="Q2076" s="91">
        <v>0.1</v>
      </c>
      <c r="R2076" s="91">
        <v>0.1</v>
      </c>
      <c r="S2076" s="91">
        <v>0.1</v>
      </c>
      <c r="T2076" s="91">
        <v>0.1</v>
      </c>
      <c r="U2076" s="91">
        <v>0.1</v>
      </c>
      <c r="V2076" s="91">
        <v>0.1</v>
      </c>
      <c r="W2076" s="91">
        <v>0.1</v>
      </c>
      <c r="X2076" s="91">
        <v>0.1</v>
      </c>
      <c r="Y2076" s="91">
        <v>0.1</v>
      </c>
      <c r="Z2076" s="91">
        <v>0.1</v>
      </c>
      <c r="AA2076" s="91">
        <v>0.1</v>
      </c>
      <c r="AB2076" s="91">
        <v>0.1</v>
      </c>
      <c r="AC2076" s="91">
        <v>0.1</v>
      </c>
      <c r="AD2076" s="91">
        <v>0.1</v>
      </c>
      <c r="AE2076" s="91">
        <v>0.1</v>
      </c>
      <c r="AF2076" s="91">
        <v>0.1</v>
      </c>
      <c r="AG2076" s="91">
        <v>0.1</v>
      </c>
      <c r="AH2076" s="91">
        <v>0.1</v>
      </c>
      <c r="AI2076" s="91">
        <v>0.1</v>
      </c>
      <c r="AJ2076" s="91">
        <v>0.1</v>
      </c>
      <c r="AK2076" s="91">
        <v>0.1</v>
      </c>
      <c r="AL2076" s="91">
        <v>0.1</v>
      </c>
      <c r="AM2076" s="91">
        <v>0.1</v>
      </c>
      <c r="AN2076" s="91">
        <v>0.1</v>
      </c>
      <c r="AO2076" s="91">
        <v>0.1</v>
      </c>
      <c r="AP2076" s="91">
        <v>0.1</v>
      </c>
      <c r="AQ2076" s="91">
        <v>0.1</v>
      </c>
      <c r="AR2076" s="91">
        <v>0.1</v>
      </c>
      <c r="AS2076" s="91">
        <v>0.1</v>
      </c>
      <c r="AT2076" s="91">
        <v>0.1</v>
      </c>
      <c r="AU2076" s="91">
        <v>0.1</v>
      </c>
      <c r="AV2076" s="91">
        <v>0.1</v>
      </c>
      <c r="AW2076" s="91">
        <v>0.1</v>
      </c>
      <c r="AX2076" s="92">
        <v>0.1</v>
      </c>
    </row>
    <row r="2077" spans="1:50" ht="11" thickBot="1" x14ac:dyDescent="0.3">
      <c r="A2077" s="372"/>
      <c r="B2077" s="373"/>
      <c r="C2077" s="374"/>
      <c r="D2077" s="158" t="s">
        <v>20</v>
      </c>
      <c r="E2077" s="172" t="str">
        <f>A2074&amp;"/"&amp;B2074&amp;"/"&amp;C2074&amp;"/"&amp;D2077</f>
        <v>Pump storage/Pump storage/Electricity only/XS</v>
      </c>
      <c r="F2077" s="82" t="str">
        <f>A2074</f>
        <v>Pump storage</v>
      </c>
      <c r="G2077" s="82" t="str">
        <f>B2074</f>
        <v>Pump storage</v>
      </c>
      <c r="H2077" s="82" t="str">
        <f>C2074</f>
        <v>Electricity only</v>
      </c>
      <c r="I2077" s="173" t="str">
        <f t="shared" si="112"/>
        <v>XS</v>
      </c>
      <c r="J2077" s="103">
        <v>0.1</v>
      </c>
      <c r="K2077" s="103">
        <v>0.1</v>
      </c>
      <c r="L2077" s="103">
        <v>0.1</v>
      </c>
      <c r="M2077" s="103">
        <v>0.1</v>
      </c>
      <c r="N2077" s="103">
        <v>0.1</v>
      </c>
      <c r="O2077" s="103">
        <v>0.1</v>
      </c>
      <c r="P2077" s="103">
        <v>0.1</v>
      </c>
      <c r="Q2077" s="103">
        <v>0.1</v>
      </c>
      <c r="R2077" s="103">
        <v>0.1</v>
      </c>
      <c r="S2077" s="103">
        <v>0.1</v>
      </c>
      <c r="T2077" s="103">
        <v>0.1</v>
      </c>
      <c r="U2077" s="103">
        <v>0.1</v>
      </c>
      <c r="V2077" s="103">
        <v>0.1</v>
      </c>
      <c r="W2077" s="103">
        <v>0.1</v>
      </c>
      <c r="X2077" s="103">
        <v>0.1</v>
      </c>
      <c r="Y2077" s="103">
        <v>0.1</v>
      </c>
      <c r="Z2077" s="103">
        <v>0.1</v>
      </c>
      <c r="AA2077" s="103">
        <v>0.1</v>
      </c>
      <c r="AB2077" s="103">
        <v>0.1</v>
      </c>
      <c r="AC2077" s="103">
        <v>0.1</v>
      </c>
      <c r="AD2077" s="103">
        <v>0.1</v>
      </c>
      <c r="AE2077" s="103">
        <v>0.1</v>
      </c>
      <c r="AF2077" s="103">
        <v>0.1</v>
      </c>
      <c r="AG2077" s="103">
        <v>0.1</v>
      </c>
      <c r="AH2077" s="103">
        <v>0.1</v>
      </c>
      <c r="AI2077" s="103">
        <v>0.1</v>
      </c>
      <c r="AJ2077" s="103">
        <v>0.1</v>
      </c>
      <c r="AK2077" s="103">
        <v>0.1</v>
      </c>
      <c r="AL2077" s="103">
        <v>0.1</v>
      </c>
      <c r="AM2077" s="103">
        <v>0.1</v>
      </c>
      <c r="AN2077" s="103">
        <v>0.1</v>
      </c>
      <c r="AO2077" s="103">
        <v>0.1</v>
      </c>
      <c r="AP2077" s="103">
        <v>0.1</v>
      </c>
      <c r="AQ2077" s="103">
        <v>0.1</v>
      </c>
      <c r="AR2077" s="103">
        <v>0.1</v>
      </c>
      <c r="AS2077" s="103">
        <v>0.1</v>
      </c>
      <c r="AT2077" s="103">
        <v>0.1</v>
      </c>
      <c r="AU2077" s="103">
        <v>0.1</v>
      </c>
      <c r="AV2077" s="103">
        <v>0.1</v>
      </c>
      <c r="AW2077" s="103">
        <v>0.1</v>
      </c>
      <c r="AX2077" s="104">
        <v>0.1</v>
      </c>
    </row>
    <row r="2083" spans="1:50" ht="11" thickBot="1" x14ac:dyDescent="0.3"/>
    <row r="2084" spans="1:50" x14ac:dyDescent="0.25">
      <c r="A2084" s="343" t="s">
        <v>49</v>
      </c>
      <c r="B2084" s="345" t="s">
        <v>50</v>
      </c>
      <c r="C2084" s="345" t="s">
        <v>51</v>
      </c>
      <c r="D2084" s="345" t="s">
        <v>52</v>
      </c>
      <c r="E2084" s="290"/>
      <c r="F2084" s="290"/>
      <c r="G2084" s="290"/>
      <c r="H2084" s="290"/>
      <c r="I2084" s="290"/>
      <c r="J2084" s="1" t="s">
        <v>73</v>
      </c>
      <c r="K2084" s="289"/>
      <c r="L2084" s="289"/>
      <c r="M2084" s="289"/>
      <c r="N2084" s="289"/>
      <c r="O2084" s="289"/>
      <c r="P2084" s="289"/>
      <c r="Q2084" s="289"/>
      <c r="R2084" s="289"/>
      <c r="S2084" s="289"/>
      <c r="T2084" s="289"/>
      <c r="U2084" s="289"/>
      <c r="V2084" s="289"/>
      <c r="W2084" s="289"/>
      <c r="X2084" s="289"/>
      <c r="Y2084" s="289"/>
      <c r="Z2084" s="289"/>
      <c r="AA2084" s="289"/>
      <c r="AB2084" s="289"/>
      <c r="AC2084" s="289"/>
      <c r="AD2084" s="289"/>
      <c r="AE2084" s="289"/>
      <c r="AF2084" s="289"/>
      <c r="AG2084" s="289"/>
      <c r="AH2084" s="289"/>
      <c r="AI2084" s="289"/>
      <c r="AJ2084" s="289"/>
      <c r="AK2084" s="289"/>
      <c r="AL2084" s="289"/>
      <c r="AM2084" s="289"/>
      <c r="AN2084" s="289"/>
      <c r="AO2084" s="289"/>
      <c r="AP2084" s="289"/>
      <c r="AQ2084" s="289"/>
      <c r="AR2084" s="289"/>
      <c r="AS2084" s="289"/>
      <c r="AT2084" s="289"/>
      <c r="AU2084" s="289"/>
      <c r="AV2084" s="289"/>
      <c r="AW2084" s="289"/>
      <c r="AX2084" s="288"/>
    </row>
    <row r="2085" spans="1:50" ht="11" thickBot="1" x14ac:dyDescent="0.3">
      <c r="A2085" s="344"/>
      <c r="B2085" s="346"/>
      <c r="C2085" s="346"/>
      <c r="D2085" s="346"/>
      <c r="E2085" s="291"/>
      <c r="F2085" s="291"/>
      <c r="G2085" s="291"/>
      <c r="H2085" s="291"/>
      <c r="I2085" s="291"/>
      <c r="J2085" s="68">
        <v>2010</v>
      </c>
      <c r="K2085" s="68">
        <v>2011</v>
      </c>
      <c r="L2085" s="68">
        <v>2012</v>
      </c>
      <c r="M2085" s="68">
        <v>2013</v>
      </c>
      <c r="N2085" s="68">
        <v>2014</v>
      </c>
      <c r="O2085" s="68">
        <v>2015</v>
      </c>
      <c r="P2085" s="68">
        <v>2016</v>
      </c>
      <c r="Q2085" s="68">
        <v>2017</v>
      </c>
      <c r="R2085" s="68">
        <v>2018</v>
      </c>
      <c r="S2085" s="68">
        <v>2019</v>
      </c>
      <c r="T2085" s="68">
        <v>2020</v>
      </c>
      <c r="U2085" s="68">
        <v>2021</v>
      </c>
      <c r="V2085" s="68">
        <v>2022</v>
      </c>
      <c r="W2085" s="68">
        <v>2023</v>
      </c>
      <c r="X2085" s="68">
        <v>2024</v>
      </c>
      <c r="Y2085" s="68">
        <v>2025</v>
      </c>
      <c r="Z2085" s="68">
        <v>2026</v>
      </c>
      <c r="AA2085" s="68">
        <v>2027</v>
      </c>
      <c r="AB2085" s="68">
        <v>2028</v>
      </c>
      <c r="AC2085" s="68">
        <v>2029</v>
      </c>
      <c r="AD2085" s="68">
        <v>2030</v>
      </c>
      <c r="AE2085" s="68">
        <v>2031</v>
      </c>
      <c r="AF2085" s="68">
        <v>2032</v>
      </c>
      <c r="AG2085" s="68">
        <v>2033</v>
      </c>
      <c r="AH2085" s="68">
        <v>2034</v>
      </c>
      <c r="AI2085" s="68">
        <v>2035</v>
      </c>
      <c r="AJ2085" s="68">
        <v>2036</v>
      </c>
      <c r="AK2085" s="68">
        <v>2037</v>
      </c>
      <c r="AL2085" s="68">
        <v>2038</v>
      </c>
      <c r="AM2085" s="68">
        <v>2039</v>
      </c>
      <c r="AN2085" s="68">
        <v>2040</v>
      </c>
      <c r="AO2085" s="68">
        <v>2041</v>
      </c>
      <c r="AP2085" s="68">
        <v>2042</v>
      </c>
      <c r="AQ2085" s="68">
        <v>2043</v>
      </c>
      <c r="AR2085" s="68">
        <v>2044</v>
      </c>
      <c r="AS2085" s="68">
        <v>2045</v>
      </c>
      <c r="AT2085" s="68">
        <v>2046</v>
      </c>
      <c r="AU2085" s="68">
        <v>2047</v>
      </c>
      <c r="AV2085" s="68">
        <v>2048</v>
      </c>
      <c r="AW2085" s="68">
        <v>2049</v>
      </c>
      <c r="AX2085" s="83">
        <v>2050</v>
      </c>
    </row>
    <row r="2086" spans="1:50" x14ac:dyDescent="0.25">
      <c r="A2086" s="347" t="s">
        <v>4</v>
      </c>
      <c r="B2086" s="349" t="s">
        <v>5</v>
      </c>
      <c r="C2086" s="350" t="s">
        <v>6</v>
      </c>
      <c r="D2086" s="2" t="s">
        <v>7</v>
      </c>
      <c r="E2086" s="160" t="str">
        <f>A2086&amp;"/"&amp;B2086&amp;"/"&amp;C2086&amp;"/"&amp;D2086</f>
        <v>Nuclear power plants/Nuclear - current/Electricity only/L</v>
      </c>
      <c r="F2086" s="76" t="str">
        <f>A2086</f>
        <v>Nuclear power plants</v>
      </c>
      <c r="G2086" s="76" t="str">
        <f>B2086</f>
        <v>Nuclear - current</v>
      </c>
      <c r="H2086" s="76" t="str">
        <f>C2086</f>
        <v>Electricity only</v>
      </c>
      <c r="I2086" s="161" t="str">
        <f>D2086</f>
        <v>L</v>
      </c>
      <c r="J2086" s="91">
        <v>8500</v>
      </c>
      <c r="K2086" s="91">
        <v>8500</v>
      </c>
      <c r="L2086" s="91">
        <v>8500</v>
      </c>
      <c r="M2086" s="91">
        <v>8500</v>
      </c>
      <c r="N2086" s="91">
        <v>8500</v>
      </c>
      <c r="O2086" s="91">
        <v>8500</v>
      </c>
      <c r="P2086" s="91">
        <v>8500</v>
      </c>
      <c r="Q2086" s="91">
        <v>8500</v>
      </c>
      <c r="R2086" s="91">
        <v>8500</v>
      </c>
      <c r="S2086" s="91">
        <v>8500</v>
      </c>
      <c r="T2086" s="91">
        <v>8500</v>
      </c>
      <c r="U2086" s="91">
        <v>8500</v>
      </c>
      <c r="V2086" s="91">
        <v>8500</v>
      </c>
      <c r="W2086" s="91">
        <v>8500</v>
      </c>
      <c r="X2086" s="91">
        <v>8500</v>
      </c>
      <c r="Y2086" s="91">
        <v>8500</v>
      </c>
      <c r="Z2086" s="91">
        <v>8500</v>
      </c>
      <c r="AA2086" s="91">
        <v>8500</v>
      </c>
      <c r="AB2086" s="91">
        <v>8500</v>
      </c>
      <c r="AC2086" s="91">
        <v>8500</v>
      </c>
      <c r="AD2086" s="91">
        <v>8500</v>
      </c>
      <c r="AE2086" s="91">
        <v>8500</v>
      </c>
      <c r="AF2086" s="91">
        <v>8500</v>
      </c>
      <c r="AG2086" s="91">
        <v>8500</v>
      </c>
      <c r="AH2086" s="91">
        <v>8500</v>
      </c>
      <c r="AI2086" s="91">
        <v>8500</v>
      </c>
      <c r="AJ2086" s="91">
        <v>8500</v>
      </c>
      <c r="AK2086" s="91">
        <v>8500</v>
      </c>
      <c r="AL2086" s="91">
        <v>8500</v>
      </c>
      <c r="AM2086" s="91">
        <v>8500</v>
      </c>
      <c r="AN2086" s="91">
        <v>8500</v>
      </c>
      <c r="AO2086" s="91">
        <v>8500</v>
      </c>
      <c r="AP2086" s="91">
        <v>8500</v>
      </c>
      <c r="AQ2086" s="91">
        <v>8500</v>
      </c>
      <c r="AR2086" s="91">
        <v>8500</v>
      </c>
      <c r="AS2086" s="91">
        <v>8500</v>
      </c>
      <c r="AT2086" s="91">
        <v>8500</v>
      </c>
      <c r="AU2086" s="91">
        <v>8500</v>
      </c>
      <c r="AV2086" s="91">
        <v>8500</v>
      </c>
      <c r="AW2086" s="91">
        <v>8500</v>
      </c>
      <c r="AX2086" s="92">
        <v>8500</v>
      </c>
    </row>
    <row r="2087" spans="1:50" x14ac:dyDescent="0.25">
      <c r="A2087" s="347"/>
      <c r="B2087" s="349"/>
      <c r="C2087" s="350"/>
      <c r="D2087" s="4" t="s">
        <v>8</v>
      </c>
      <c r="E2087" s="168" t="str">
        <f>A2086&amp;"/"&amp;B2086&amp;"/"&amp;C2086&amp;"/"&amp;D2087</f>
        <v>Nuclear power plants/Nuclear - current/Electricity only/M</v>
      </c>
      <c r="F2087" s="80" t="str">
        <f>A2086</f>
        <v>Nuclear power plants</v>
      </c>
      <c r="G2087" s="80" t="str">
        <f>B2086</f>
        <v>Nuclear - current</v>
      </c>
      <c r="H2087" s="80" t="str">
        <f>C2086</f>
        <v>Electricity only</v>
      </c>
      <c r="I2087" s="169" t="str">
        <f t="shared" ref="I2087:I2150" si="113">D2087</f>
        <v>M</v>
      </c>
      <c r="J2087" s="99">
        <v>7820.7259522624354</v>
      </c>
      <c r="K2087" s="99">
        <v>7820.7259522624354</v>
      </c>
      <c r="L2087" s="99">
        <v>7820.7259522624354</v>
      </c>
      <c r="M2087" s="99">
        <v>7820.7259522624354</v>
      </c>
      <c r="N2087" s="99">
        <v>7820.7259522624354</v>
      </c>
      <c r="O2087" s="99">
        <v>7820.7259522624354</v>
      </c>
      <c r="P2087" s="99">
        <v>7820.7259522624354</v>
      </c>
      <c r="Q2087" s="99">
        <v>7820.7259522624354</v>
      </c>
      <c r="R2087" s="99">
        <v>7820.7259522624354</v>
      </c>
      <c r="S2087" s="99">
        <v>7820.7259522624354</v>
      </c>
      <c r="T2087" s="99">
        <v>7820.7259522624354</v>
      </c>
      <c r="U2087" s="99">
        <v>7820.7259522624354</v>
      </c>
      <c r="V2087" s="99">
        <v>7820.7259522624354</v>
      </c>
      <c r="W2087" s="99">
        <v>7820.7259522624354</v>
      </c>
      <c r="X2087" s="99">
        <v>7820.7259522624354</v>
      </c>
      <c r="Y2087" s="99">
        <v>7820.7259522624354</v>
      </c>
      <c r="Z2087" s="99">
        <v>7820.7259522624354</v>
      </c>
      <c r="AA2087" s="99">
        <v>7820.7259522624354</v>
      </c>
      <c r="AB2087" s="99">
        <v>7820.7259522624354</v>
      </c>
      <c r="AC2087" s="99">
        <v>7820.7259522624354</v>
      </c>
      <c r="AD2087" s="99">
        <v>7820.7259522624354</v>
      </c>
      <c r="AE2087" s="99">
        <v>7820.7259522624354</v>
      </c>
      <c r="AF2087" s="99">
        <v>7820.7259522624354</v>
      </c>
      <c r="AG2087" s="99">
        <v>7820.7259522624354</v>
      </c>
      <c r="AH2087" s="99">
        <v>7820.7259522624354</v>
      </c>
      <c r="AI2087" s="99">
        <v>7820.7259522624354</v>
      </c>
      <c r="AJ2087" s="99">
        <v>7820.7259522624354</v>
      </c>
      <c r="AK2087" s="99">
        <v>7820.7259522624354</v>
      </c>
      <c r="AL2087" s="99">
        <v>7820.7259522624354</v>
      </c>
      <c r="AM2087" s="99">
        <v>7820.7259522624354</v>
      </c>
      <c r="AN2087" s="99">
        <v>7820.7259522624354</v>
      </c>
      <c r="AO2087" s="99">
        <v>7820.7259522624354</v>
      </c>
      <c r="AP2087" s="99">
        <v>7820.7259522624354</v>
      </c>
      <c r="AQ2087" s="99">
        <v>7820.7259522624354</v>
      </c>
      <c r="AR2087" s="99">
        <v>7820.7259522624354</v>
      </c>
      <c r="AS2087" s="99">
        <v>7820.7259522624354</v>
      </c>
      <c r="AT2087" s="99">
        <v>7820.7259522624354</v>
      </c>
      <c r="AU2087" s="99">
        <v>7820.7259522624354</v>
      </c>
      <c r="AV2087" s="99">
        <v>7820.7259522624354</v>
      </c>
      <c r="AW2087" s="99">
        <v>7820.7259522624354</v>
      </c>
      <c r="AX2087" s="100">
        <v>7820.7259522624354</v>
      </c>
    </row>
    <row r="2088" spans="1:50" x14ac:dyDescent="0.25">
      <c r="A2088" s="347"/>
      <c r="B2088" s="351" t="s">
        <v>9</v>
      </c>
      <c r="C2088" s="353" t="s">
        <v>6</v>
      </c>
      <c r="D2088" s="2" t="s">
        <v>7</v>
      </c>
      <c r="E2088" s="160" t="str">
        <f>A2086&amp;"/"&amp;B2088&amp;"/"&amp;C2088&amp;"/"&amp;D2088</f>
        <v>Nuclear power plants/Nuclear III/Electricity only/L</v>
      </c>
      <c r="F2088" s="76" t="str">
        <f>A2086</f>
        <v>Nuclear power plants</v>
      </c>
      <c r="G2088" s="76" t="str">
        <f>B2088</f>
        <v>Nuclear III</v>
      </c>
      <c r="H2088" s="76" t="str">
        <f>C2088</f>
        <v>Electricity only</v>
      </c>
      <c r="I2088" s="161" t="str">
        <f t="shared" si="113"/>
        <v>L</v>
      </c>
      <c r="J2088" s="91">
        <v>8600</v>
      </c>
      <c r="K2088" s="91">
        <v>8600</v>
      </c>
      <c r="L2088" s="91">
        <v>8600</v>
      </c>
      <c r="M2088" s="91">
        <v>8600</v>
      </c>
      <c r="N2088" s="91">
        <v>8600</v>
      </c>
      <c r="O2088" s="91">
        <v>8600</v>
      </c>
      <c r="P2088" s="91">
        <v>8600</v>
      </c>
      <c r="Q2088" s="91">
        <v>8600</v>
      </c>
      <c r="R2088" s="91">
        <v>8600</v>
      </c>
      <c r="S2088" s="91">
        <v>8600</v>
      </c>
      <c r="T2088" s="91">
        <v>8600</v>
      </c>
      <c r="U2088" s="91">
        <v>8600</v>
      </c>
      <c r="V2088" s="91">
        <v>8600</v>
      </c>
      <c r="W2088" s="91">
        <v>8600</v>
      </c>
      <c r="X2088" s="91">
        <v>8600</v>
      </c>
      <c r="Y2088" s="91">
        <v>8600</v>
      </c>
      <c r="Z2088" s="91">
        <v>8600</v>
      </c>
      <c r="AA2088" s="91">
        <v>8600</v>
      </c>
      <c r="AB2088" s="91">
        <v>8600</v>
      </c>
      <c r="AC2088" s="91">
        <v>8600</v>
      </c>
      <c r="AD2088" s="91">
        <v>8600</v>
      </c>
      <c r="AE2088" s="91">
        <v>8600</v>
      </c>
      <c r="AF2088" s="91">
        <v>8600</v>
      </c>
      <c r="AG2088" s="91">
        <v>8600</v>
      </c>
      <c r="AH2088" s="91">
        <v>8600</v>
      </c>
      <c r="AI2088" s="91">
        <v>8600</v>
      </c>
      <c r="AJ2088" s="91">
        <v>8600</v>
      </c>
      <c r="AK2088" s="91">
        <v>8600</v>
      </c>
      <c r="AL2088" s="91">
        <v>8600</v>
      </c>
      <c r="AM2088" s="91">
        <v>8600</v>
      </c>
      <c r="AN2088" s="91">
        <v>8600</v>
      </c>
      <c r="AO2088" s="91">
        <v>8600</v>
      </c>
      <c r="AP2088" s="91">
        <v>8600</v>
      </c>
      <c r="AQ2088" s="91">
        <v>8600</v>
      </c>
      <c r="AR2088" s="91">
        <v>8600</v>
      </c>
      <c r="AS2088" s="91">
        <v>8600</v>
      </c>
      <c r="AT2088" s="91">
        <v>8600</v>
      </c>
      <c r="AU2088" s="91">
        <v>8600</v>
      </c>
      <c r="AV2088" s="91">
        <v>8600</v>
      </c>
      <c r="AW2088" s="91">
        <v>8600</v>
      </c>
      <c r="AX2088" s="92">
        <v>8600</v>
      </c>
    </row>
    <row r="2089" spans="1:50" x14ac:dyDescent="0.25">
      <c r="A2089" s="347"/>
      <c r="B2089" s="349"/>
      <c r="C2089" s="350"/>
      <c r="D2089" s="2" t="s">
        <v>8</v>
      </c>
      <c r="E2089" s="160" t="str">
        <f>A2086&amp;"/"&amp;B2088&amp;"/"&amp;C2088&amp;"/"&amp;D2089</f>
        <v>Nuclear power plants/Nuclear III/Electricity only/M</v>
      </c>
      <c r="F2089" s="76" t="str">
        <f>A2086</f>
        <v>Nuclear power plants</v>
      </c>
      <c r="G2089" s="76" t="str">
        <f>B2088</f>
        <v>Nuclear III</v>
      </c>
      <c r="H2089" s="76" t="str">
        <f>C2088</f>
        <v>Electricity only</v>
      </c>
      <c r="I2089" s="161" t="str">
        <f t="shared" si="113"/>
        <v>M</v>
      </c>
      <c r="J2089" s="91">
        <v>7614.6049925745501</v>
      </c>
      <c r="K2089" s="91">
        <v>7614.6049925745501</v>
      </c>
      <c r="L2089" s="91">
        <v>7614.6049925745501</v>
      </c>
      <c r="M2089" s="91">
        <v>7614.6049925745501</v>
      </c>
      <c r="N2089" s="91">
        <v>7614.6049925745501</v>
      </c>
      <c r="O2089" s="91">
        <v>7614.6049925745501</v>
      </c>
      <c r="P2089" s="91">
        <v>7614.6049925745501</v>
      </c>
      <c r="Q2089" s="91">
        <v>7614.6049925745501</v>
      </c>
      <c r="R2089" s="91">
        <v>7614.6049925745501</v>
      </c>
      <c r="S2089" s="91">
        <v>7614.6049925745501</v>
      </c>
      <c r="T2089" s="91">
        <v>7614.6049925745501</v>
      </c>
      <c r="U2089" s="91">
        <v>7614.6049925745501</v>
      </c>
      <c r="V2089" s="91">
        <v>7614.6049925745501</v>
      </c>
      <c r="W2089" s="91">
        <v>7614.6049925745501</v>
      </c>
      <c r="X2089" s="91">
        <v>7614.6049925745501</v>
      </c>
      <c r="Y2089" s="91">
        <v>7614.6049925745501</v>
      </c>
      <c r="Z2089" s="91">
        <v>7614.6049925745501</v>
      </c>
      <c r="AA2089" s="91">
        <v>7614.6049925745501</v>
      </c>
      <c r="AB2089" s="91">
        <v>7614.6049925745501</v>
      </c>
      <c r="AC2089" s="91">
        <v>7614.6049925745501</v>
      </c>
      <c r="AD2089" s="91">
        <v>7614.6049925745501</v>
      </c>
      <c r="AE2089" s="91">
        <v>7614.6049925745501</v>
      </c>
      <c r="AF2089" s="91">
        <v>7614.6049925745501</v>
      </c>
      <c r="AG2089" s="91">
        <v>7614.6049925745501</v>
      </c>
      <c r="AH2089" s="91">
        <v>7614.6049925745501</v>
      </c>
      <c r="AI2089" s="91">
        <v>7614.6049925745501</v>
      </c>
      <c r="AJ2089" s="91">
        <v>7614.6049925745501</v>
      </c>
      <c r="AK2089" s="91">
        <v>7614.6049925745501</v>
      </c>
      <c r="AL2089" s="91">
        <v>7614.6049925745501</v>
      </c>
      <c r="AM2089" s="91">
        <v>7614.6049925745501</v>
      </c>
      <c r="AN2089" s="91">
        <v>7614.6049925745501</v>
      </c>
      <c r="AO2089" s="91">
        <v>7614.6049925745501</v>
      </c>
      <c r="AP2089" s="91">
        <v>7614.6049925745501</v>
      </c>
      <c r="AQ2089" s="91">
        <v>7614.6049925745501</v>
      </c>
      <c r="AR2089" s="91">
        <v>7614.6049925745501</v>
      </c>
      <c r="AS2089" s="91">
        <v>7614.6049925745501</v>
      </c>
      <c r="AT2089" s="91">
        <v>7614.6049925745501</v>
      </c>
      <c r="AU2089" s="91">
        <v>7614.6049925745501</v>
      </c>
      <c r="AV2089" s="91">
        <v>7614.6049925745501</v>
      </c>
      <c r="AW2089" s="91">
        <v>7614.6049925745501</v>
      </c>
      <c r="AX2089" s="92">
        <v>7614.6049925745501</v>
      </c>
    </row>
    <row r="2090" spans="1:50" x14ac:dyDescent="0.25">
      <c r="A2090" s="347"/>
      <c r="B2090" s="352"/>
      <c r="C2090" s="354"/>
      <c r="D2090" s="4" t="s">
        <v>10</v>
      </c>
      <c r="E2090" s="168" t="str">
        <f>A2086&amp;"/"&amp;B2088&amp;"/"&amp;C2088&amp;"/"&amp;D2090</f>
        <v>Nuclear power plants/Nuclear III/Electricity only/S</v>
      </c>
      <c r="F2090" s="80" t="str">
        <f>A2086</f>
        <v>Nuclear power plants</v>
      </c>
      <c r="G2090" s="80" t="str">
        <f>B2088</f>
        <v>Nuclear III</v>
      </c>
      <c r="H2090" s="80" t="str">
        <f>C2088</f>
        <v>Electricity only</v>
      </c>
      <c r="I2090" s="169" t="str">
        <f t="shared" si="113"/>
        <v>S</v>
      </c>
      <c r="J2090" s="99" t="s">
        <v>112</v>
      </c>
      <c r="K2090" s="99" t="s">
        <v>112</v>
      </c>
      <c r="L2090" s="99" t="s">
        <v>112</v>
      </c>
      <c r="M2090" s="99" t="s">
        <v>112</v>
      </c>
      <c r="N2090" s="99" t="s">
        <v>112</v>
      </c>
      <c r="O2090" s="99" t="s">
        <v>112</v>
      </c>
      <c r="P2090" s="99" t="s">
        <v>112</v>
      </c>
      <c r="Q2090" s="99" t="s">
        <v>112</v>
      </c>
      <c r="R2090" s="99" t="s">
        <v>112</v>
      </c>
      <c r="S2090" s="99" t="s">
        <v>112</v>
      </c>
      <c r="T2090" s="99" t="s">
        <v>112</v>
      </c>
      <c r="U2090" s="99" t="s">
        <v>112</v>
      </c>
      <c r="V2090" s="99" t="s">
        <v>112</v>
      </c>
      <c r="W2090" s="99" t="s">
        <v>112</v>
      </c>
      <c r="X2090" s="99" t="s">
        <v>112</v>
      </c>
      <c r="Y2090" s="99">
        <v>6472.5077300713847</v>
      </c>
      <c r="Z2090" s="99">
        <v>6472.5077300713847</v>
      </c>
      <c r="AA2090" s="99">
        <v>6472.5077300713847</v>
      </c>
      <c r="AB2090" s="99">
        <v>6472.5077300713847</v>
      </c>
      <c r="AC2090" s="99">
        <v>6472.5077300713847</v>
      </c>
      <c r="AD2090" s="99">
        <v>6472.5077300713847</v>
      </c>
      <c r="AE2090" s="99">
        <v>6472.5077300713847</v>
      </c>
      <c r="AF2090" s="99">
        <v>6472.5077300713847</v>
      </c>
      <c r="AG2090" s="99">
        <v>6472.5077300713847</v>
      </c>
      <c r="AH2090" s="99">
        <v>6472.5077300713847</v>
      </c>
      <c r="AI2090" s="99">
        <v>6472.5077300713847</v>
      </c>
      <c r="AJ2090" s="99">
        <v>6472.5077300713847</v>
      </c>
      <c r="AK2090" s="99">
        <v>6472.5077300713847</v>
      </c>
      <c r="AL2090" s="99">
        <v>6472.5077300713847</v>
      </c>
      <c r="AM2090" s="99">
        <v>6472.5077300713847</v>
      </c>
      <c r="AN2090" s="99">
        <v>6472.5077300713847</v>
      </c>
      <c r="AO2090" s="99">
        <v>6472.5077300713847</v>
      </c>
      <c r="AP2090" s="99">
        <v>6472.5077300713847</v>
      </c>
      <c r="AQ2090" s="99">
        <v>6472.5077300713847</v>
      </c>
      <c r="AR2090" s="99">
        <v>6472.5077300713847</v>
      </c>
      <c r="AS2090" s="99">
        <v>6472.5077300713847</v>
      </c>
      <c r="AT2090" s="99">
        <v>6472.5077300713847</v>
      </c>
      <c r="AU2090" s="99">
        <v>6472.5077300713847</v>
      </c>
      <c r="AV2090" s="99">
        <v>6472.5077300713847</v>
      </c>
      <c r="AW2090" s="99">
        <v>6472.5077300713847</v>
      </c>
      <c r="AX2090" s="100">
        <v>6472.5077300713847</v>
      </c>
    </row>
    <row r="2091" spans="1:50" x14ac:dyDescent="0.25">
      <c r="A2091" s="347"/>
      <c r="B2091" s="349" t="s">
        <v>11</v>
      </c>
      <c r="C2091" s="363" t="s">
        <v>6</v>
      </c>
      <c r="D2091" s="2" t="s">
        <v>7</v>
      </c>
      <c r="E2091" s="160" t="str">
        <f>A2086&amp;"/"&amp;B2091&amp;"/"&amp;C2091&amp;"/"&amp;D2091</f>
        <v>Nuclear power plants/Nuclear IV/Electricity only/L</v>
      </c>
      <c r="F2091" s="76" t="str">
        <f>A2086</f>
        <v>Nuclear power plants</v>
      </c>
      <c r="G2091" s="76" t="str">
        <f>B2091</f>
        <v>Nuclear IV</v>
      </c>
      <c r="H2091" s="76" t="str">
        <f>C2091</f>
        <v>Electricity only</v>
      </c>
      <c r="I2091" s="161" t="str">
        <f t="shared" si="113"/>
        <v>L</v>
      </c>
      <c r="J2091" s="91" t="s">
        <v>112</v>
      </c>
      <c r="K2091" s="91" t="s">
        <v>112</v>
      </c>
      <c r="L2091" s="91" t="s">
        <v>112</v>
      </c>
      <c r="M2091" s="91" t="s">
        <v>112</v>
      </c>
      <c r="N2091" s="91" t="s">
        <v>112</v>
      </c>
      <c r="O2091" s="91" t="s">
        <v>112</v>
      </c>
      <c r="P2091" s="91" t="s">
        <v>112</v>
      </c>
      <c r="Q2091" s="91" t="s">
        <v>112</v>
      </c>
      <c r="R2091" s="91" t="s">
        <v>112</v>
      </c>
      <c r="S2091" s="91" t="s">
        <v>112</v>
      </c>
      <c r="T2091" s="91" t="s">
        <v>112</v>
      </c>
      <c r="U2091" s="91" t="s">
        <v>112</v>
      </c>
      <c r="V2091" s="91" t="s">
        <v>112</v>
      </c>
      <c r="W2091" s="91" t="s">
        <v>112</v>
      </c>
      <c r="X2091" s="91" t="s">
        <v>112</v>
      </c>
      <c r="Y2091" s="91" t="s">
        <v>112</v>
      </c>
      <c r="Z2091" s="91" t="s">
        <v>112</v>
      </c>
      <c r="AA2091" s="91" t="s">
        <v>112</v>
      </c>
      <c r="AB2091" s="91" t="s">
        <v>112</v>
      </c>
      <c r="AC2091" s="91" t="s">
        <v>112</v>
      </c>
      <c r="AD2091" s="91" t="s">
        <v>112</v>
      </c>
      <c r="AE2091" s="91" t="s">
        <v>112</v>
      </c>
      <c r="AF2091" s="91" t="s">
        <v>112</v>
      </c>
      <c r="AG2091" s="91" t="s">
        <v>112</v>
      </c>
      <c r="AH2091" s="91" t="s">
        <v>112</v>
      </c>
      <c r="AI2091" s="91">
        <v>8600</v>
      </c>
      <c r="AJ2091" s="91">
        <v>8600</v>
      </c>
      <c r="AK2091" s="91">
        <v>8600</v>
      </c>
      <c r="AL2091" s="91">
        <v>8600</v>
      </c>
      <c r="AM2091" s="91">
        <v>8600</v>
      </c>
      <c r="AN2091" s="91">
        <v>8600</v>
      </c>
      <c r="AO2091" s="91">
        <v>8600</v>
      </c>
      <c r="AP2091" s="91">
        <v>8600</v>
      </c>
      <c r="AQ2091" s="91">
        <v>8600</v>
      </c>
      <c r="AR2091" s="91">
        <v>8600</v>
      </c>
      <c r="AS2091" s="91">
        <v>8600</v>
      </c>
      <c r="AT2091" s="91">
        <v>8600</v>
      </c>
      <c r="AU2091" s="91">
        <v>8600</v>
      </c>
      <c r="AV2091" s="91">
        <v>8600</v>
      </c>
      <c r="AW2091" s="91">
        <v>8600</v>
      </c>
      <c r="AX2091" s="92">
        <v>8600</v>
      </c>
    </row>
    <row r="2092" spans="1:50" x14ac:dyDescent="0.25">
      <c r="A2092" s="348"/>
      <c r="B2092" s="352"/>
      <c r="C2092" s="364"/>
      <c r="D2092" s="4" t="s">
        <v>8</v>
      </c>
      <c r="E2092" s="160" t="str">
        <f>A2086&amp;"/"&amp;B2091&amp;"/"&amp;C2091&amp;"/"&amp;D2092</f>
        <v>Nuclear power plants/Nuclear IV/Electricity only/M</v>
      </c>
      <c r="F2092" s="76" t="str">
        <f>A2086</f>
        <v>Nuclear power plants</v>
      </c>
      <c r="G2092" s="76" t="str">
        <f>B2091</f>
        <v>Nuclear IV</v>
      </c>
      <c r="H2092" s="76" t="str">
        <f>C2091</f>
        <v>Electricity only</v>
      </c>
      <c r="I2092" s="161" t="str">
        <f t="shared" si="113"/>
        <v>M</v>
      </c>
      <c r="J2092" s="91" t="s">
        <v>112</v>
      </c>
      <c r="K2092" s="91" t="s">
        <v>112</v>
      </c>
      <c r="L2092" s="91" t="s">
        <v>112</v>
      </c>
      <c r="M2092" s="91" t="s">
        <v>112</v>
      </c>
      <c r="N2092" s="91" t="s">
        <v>112</v>
      </c>
      <c r="O2092" s="91" t="s">
        <v>112</v>
      </c>
      <c r="P2092" s="91" t="s">
        <v>112</v>
      </c>
      <c r="Q2092" s="91" t="s">
        <v>112</v>
      </c>
      <c r="R2092" s="91" t="s">
        <v>112</v>
      </c>
      <c r="S2092" s="91" t="s">
        <v>112</v>
      </c>
      <c r="T2092" s="91" t="s">
        <v>112</v>
      </c>
      <c r="U2092" s="91" t="s">
        <v>112</v>
      </c>
      <c r="V2092" s="91" t="s">
        <v>112</v>
      </c>
      <c r="W2092" s="91" t="s">
        <v>112</v>
      </c>
      <c r="X2092" s="91" t="s">
        <v>112</v>
      </c>
      <c r="Y2092" s="91" t="s">
        <v>112</v>
      </c>
      <c r="Z2092" s="91" t="s">
        <v>112</v>
      </c>
      <c r="AA2092" s="91" t="s">
        <v>112</v>
      </c>
      <c r="AB2092" s="91" t="s">
        <v>112</v>
      </c>
      <c r="AC2092" s="91" t="s">
        <v>112</v>
      </c>
      <c r="AD2092" s="91" t="s">
        <v>112</v>
      </c>
      <c r="AE2092" s="91" t="s">
        <v>112</v>
      </c>
      <c r="AF2092" s="91" t="s">
        <v>112</v>
      </c>
      <c r="AG2092" s="91" t="s">
        <v>112</v>
      </c>
      <c r="AH2092" s="91" t="s">
        <v>112</v>
      </c>
      <c r="AI2092" s="91">
        <v>7718.5718348039818</v>
      </c>
      <c r="AJ2092" s="91">
        <v>7718.5718348039818</v>
      </c>
      <c r="AK2092" s="91">
        <v>7718.5718348039818</v>
      </c>
      <c r="AL2092" s="91">
        <v>7718.5718348039818</v>
      </c>
      <c r="AM2092" s="91">
        <v>7718.5718348039818</v>
      </c>
      <c r="AN2092" s="91">
        <v>7718.5718348039818</v>
      </c>
      <c r="AO2092" s="91">
        <v>7718.5718348039818</v>
      </c>
      <c r="AP2092" s="91">
        <v>7718.5718348039818</v>
      </c>
      <c r="AQ2092" s="91">
        <v>7718.5718348039818</v>
      </c>
      <c r="AR2092" s="91">
        <v>7718.5718348039818</v>
      </c>
      <c r="AS2092" s="91">
        <v>7718.5718348039818</v>
      </c>
      <c r="AT2092" s="91">
        <v>7718.5718348039818</v>
      </c>
      <c r="AU2092" s="91">
        <v>7718.5718348039818</v>
      </c>
      <c r="AV2092" s="91">
        <v>7718.5718348039818</v>
      </c>
      <c r="AW2092" s="91">
        <v>7718.5718348039818</v>
      </c>
      <c r="AX2092" s="92">
        <v>7718.5718348039818</v>
      </c>
    </row>
    <row r="2093" spans="1:50" x14ac:dyDescent="0.25">
      <c r="A2093" s="355" t="s">
        <v>12</v>
      </c>
      <c r="B2093" s="358" t="s">
        <v>13</v>
      </c>
      <c r="C2093" s="353" t="s">
        <v>6</v>
      </c>
      <c r="D2093" s="3" t="s">
        <v>7</v>
      </c>
      <c r="E2093" s="162" t="str">
        <f>A2093&amp;"/"&amp;B2093&amp;"/"&amp;C2093&amp;"/"&amp;D2093</f>
        <v>Coal fired power plants/Integrated gasification combined cycle/Electricity only/L</v>
      </c>
      <c r="F2093" s="77" t="str">
        <f>A2093</f>
        <v>Coal fired power plants</v>
      </c>
      <c r="G2093" s="77" t="str">
        <f>B2093</f>
        <v>Integrated gasification combined cycle</v>
      </c>
      <c r="H2093" s="77" t="str">
        <f>C2093</f>
        <v>Electricity only</v>
      </c>
      <c r="I2093" s="163" t="str">
        <f t="shared" si="113"/>
        <v>L</v>
      </c>
      <c r="J2093" s="93">
        <v>8380</v>
      </c>
      <c r="K2093" s="93">
        <v>8380</v>
      </c>
      <c r="L2093" s="93">
        <v>8380</v>
      </c>
      <c r="M2093" s="93">
        <v>8380</v>
      </c>
      <c r="N2093" s="93">
        <v>8380</v>
      </c>
      <c r="O2093" s="93">
        <v>8380</v>
      </c>
      <c r="P2093" s="93">
        <v>8380</v>
      </c>
      <c r="Q2093" s="93">
        <v>8380</v>
      </c>
      <c r="R2093" s="93">
        <v>8380</v>
      </c>
      <c r="S2093" s="93">
        <v>8380</v>
      </c>
      <c r="T2093" s="93">
        <v>8380</v>
      </c>
      <c r="U2093" s="93">
        <v>8380</v>
      </c>
      <c r="V2093" s="93">
        <v>8380</v>
      </c>
      <c r="W2093" s="93">
        <v>8380</v>
      </c>
      <c r="X2093" s="93">
        <v>8380</v>
      </c>
      <c r="Y2093" s="93">
        <v>8380</v>
      </c>
      <c r="Z2093" s="93">
        <v>8380</v>
      </c>
      <c r="AA2093" s="93">
        <v>8380</v>
      </c>
      <c r="AB2093" s="93">
        <v>8380</v>
      </c>
      <c r="AC2093" s="93">
        <v>8380</v>
      </c>
      <c r="AD2093" s="93">
        <v>8380</v>
      </c>
      <c r="AE2093" s="93">
        <v>8380</v>
      </c>
      <c r="AF2093" s="93">
        <v>8380</v>
      </c>
      <c r="AG2093" s="93">
        <v>8380</v>
      </c>
      <c r="AH2093" s="93">
        <v>8380</v>
      </c>
      <c r="AI2093" s="93">
        <v>8380</v>
      </c>
      <c r="AJ2093" s="93">
        <v>8380</v>
      </c>
      <c r="AK2093" s="93">
        <v>8380</v>
      </c>
      <c r="AL2093" s="93">
        <v>8380</v>
      </c>
      <c r="AM2093" s="93">
        <v>8380</v>
      </c>
      <c r="AN2093" s="93">
        <v>8380</v>
      </c>
      <c r="AO2093" s="93">
        <v>8380</v>
      </c>
      <c r="AP2093" s="93">
        <v>8380</v>
      </c>
      <c r="AQ2093" s="93">
        <v>8380</v>
      </c>
      <c r="AR2093" s="93">
        <v>8380</v>
      </c>
      <c r="AS2093" s="93">
        <v>8380</v>
      </c>
      <c r="AT2093" s="93">
        <v>8380</v>
      </c>
      <c r="AU2093" s="93">
        <v>8380</v>
      </c>
      <c r="AV2093" s="93">
        <v>8380</v>
      </c>
      <c r="AW2093" s="93">
        <v>8380</v>
      </c>
      <c r="AX2093" s="94">
        <v>8380</v>
      </c>
    </row>
    <row r="2094" spans="1:50" x14ac:dyDescent="0.25">
      <c r="A2094" s="356"/>
      <c r="B2094" s="359"/>
      <c r="C2094" s="360"/>
      <c r="D2094" s="2" t="s">
        <v>8</v>
      </c>
      <c r="E2094" s="160" t="str">
        <f>A2093&amp;"/"&amp;B2093&amp;"/"&amp;C2093&amp;"/"&amp;D2094</f>
        <v>Coal fired power plants/Integrated gasification combined cycle/Electricity only/M</v>
      </c>
      <c r="F2094" s="76" t="str">
        <f>A2093</f>
        <v>Coal fired power plants</v>
      </c>
      <c r="G2094" s="76" t="str">
        <f>B2093</f>
        <v>Integrated gasification combined cycle</v>
      </c>
      <c r="H2094" s="76" t="str">
        <f>C2093</f>
        <v>Electricity only</v>
      </c>
      <c r="I2094" s="161" t="str">
        <f t="shared" si="113"/>
        <v>M</v>
      </c>
      <c r="J2094" s="91">
        <v>7228.5563755045623</v>
      </c>
      <c r="K2094" s="91">
        <v>7228.5563755045623</v>
      </c>
      <c r="L2094" s="91">
        <v>7228.5563755045623</v>
      </c>
      <c r="M2094" s="91">
        <v>7228.5563755045623</v>
      </c>
      <c r="N2094" s="91">
        <v>7228.5563755045623</v>
      </c>
      <c r="O2094" s="91">
        <v>7228.5563755045623</v>
      </c>
      <c r="P2094" s="91">
        <v>7228.5563755045623</v>
      </c>
      <c r="Q2094" s="91">
        <v>7228.5563755045623</v>
      </c>
      <c r="R2094" s="91">
        <v>7228.5563755045623</v>
      </c>
      <c r="S2094" s="91">
        <v>7228.5563755045623</v>
      </c>
      <c r="T2094" s="91">
        <v>7228.5563755045623</v>
      </c>
      <c r="U2094" s="91">
        <v>7228.5563755045623</v>
      </c>
      <c r="V2094" s="91">
        <v>7228.5563755045623</v>
      </c>
      <c r="W2094" s="91">
        <v>7228.5563755045623</v>
      </c>
      <c r="X2094" s="91">
        <v>7228.5563755045623</v>
      </c>
      <c r="Y2094" s="91">
        <v>7228.5563755045623</v>
      </c>
      <c r="Z2094" s="91">
        <v>7228.5563755045623</v>
      </c>
      <c r="AA2094" s="91">
        <v>7228.5563755045623</v>
      </c>
      <c r="AB2094" s="91">
        <v>7228.5563755045623</v>
      </c>
      <c r="AC2094" s="91">
        <v>7228.5563755045623</v>
      </c>
      <c r="AD2094" s="91">
        <v>7228.5563755045623</v>
      </c>
      <c r="AE2094" s="91">
        <v>7228.5563755045623</v>
      </c>
      <c r="AF2094" s="91">
        <v>7228.5563755045623</v>
      </c>
      <c r="AG2094" s="91">
        <v>7228.5563755045623</v>
      </c>
      <c r="AH2094" s="91">
        <v>7228.5563755045623</v>
      </c>
      <c r="AI2094" s="91">
        <v>7228.5563755045623</v>
      </c>
      <c r="AJ2094" s="91">
        <v>7228.5563755045623</v>
      </c>
      <c r="AK2094" s="91">
        <v>7228.5563755045623</v>
      </c>
      <c r="AL2094" s="91">
        <v>7228.5563755045623</v>
      </c>
      <c r="AM2094" s="91">
        <v>7228.5563755045623</v>
      </c>
      <c r="AN2094" s="91">
        <v>7228.5563755045623</v>
      </c>
      <c r="AO2094" s="91">
        <v>7228.5563755045623</v>
      </c>
      <c r="AP2094" s="91">
        <v>7228.5563755045623</v>
      </c>
      <c r="AQ2094" s="91">
        <v>7228.5563755045623</v>
      </c>
      <c r="AR2094" s="91">
        <v>7228.5563755045623</v>
      </c>
      <c r="AS2094" s="91">
        <v>7228.5563755045623</v>
      </c>
      <c r="AT2094" s="91">
        <v>7228.5563755045623</v>
      </c>
      <c r="AU2094" s="91">
        <v>7228.5563755045623</v>
      </c>
      <c r="AV2094" s="91">
        <v>7228.5563755045623</v>
      </c>
      <c r="AW2094" s="91">
        <v>7228.5563755045623</v>
      </c>
      <c r="AX2094" s="92">
        <v>7228.5563755045623</v>
      </c>
    </row>
    <row r="2095" spans="1:50" x14ac:dyDescent="0.25">
      <c r="A2095" s="356"/>
      <c r="B2095" s="359"/>
      <c r="C2095" s="361" t="s">
        <v>14</v>
      </c>
      <c r="D2095" s="58" t="s">
        <v>7</v>
      </c>
      <c r="E2095" s="164" t="str">
        <f>A2093&amp;"/"&amp;B2093&amp;"/"&amp;C2095&amp;"/"&amp;D2095</f>
        <v>Coal fired power plants/Integrated gasification combined cycle/CHP/L</v>
      </c>
      <c r="F2095" s="78" t="str">
        <f>A2093</f>
        <v>Coal fired power plants</v>
      </c>
      <c r="G2095" s="78" t="str">
        <f>B2093</f>
        <v>Integrated gasification combined cycle</v>
      </c>
      <c r="H2095" s="78" t="str">
        <f>C2095</f>
        <v>CHP</v>
      </c>
      <c r="I2095" s="165" t="str">
        <f t="shared" si="113"/>
        <v>L</v>
      </c>
      <c r="J2095" s="95">
        <v>7980</v>
      </c>
      <c r="K2095" s="95">
        <v>7980</v>
      </c>
      <c r="L2095" s="95">
        <v>7980</v>
      </c>
      <c r="M2095" s="95">
        <v>7980</v>
      </c>
      <c r="N2095" s="95">
        <v>7980</v>
      </c>
      <c r="O2095" s="95">
        <v>7980</v>
      </c>
      <c r="P2095" s="95">
        <v>7980</v>
      </c>
      <c r="Q2095" s="95">
        <v>7980</v>
      </c>
      <c r="R2095" s="95">
        <v>7980</v>
      </c>
      <c r="S2095" s="95">
        <v>7980</v>
      </c>
      <c r="T2095" s="95">
        <v>7980</v>
      </c>
      <c r="U2095" s="95">
        <v>7980</v>
      </c>
      <c r="V2095" s="95">
        <v>7980</v>
      </c>
      <c r="W2095" s="95">
        <v>7980</v>
      </c>
      <c r="X2095" s="95">
        <v>7980</v>
      </c>
      <c r="Y2095" s="95">
        <v>7980</v>
      </c>
      <c r="Z2095" s="95">
        <v>7980</v>
      </c>
      <c r="AA2095" s="95">
        <v>7980</v>
      </c>
      <c r="AB2095" s="95">
        <v>7980</v>
      </c>
      <c r="AC2095" s="95">
        <v>7980</v>
      </c>
      <c r="AD2095" s="95">
        <v>7980</v>
      </c>
      <c r="AE2095" s="95">
        <v>7980</v>
      </c>
      <c r="AF2095" s="95">
        <v>7980</v>
      </c>
      <c r="AG2095" s="95">
        <v>7980</v>
      </c>
      <c r="AH2095" s="95">
        <v>7980</v>
      </c>
      <c r="AI2095" s="95">
        <v>7980</v>
      </c>
      <c r="AJ2095" s="95">
        <v>7980</v>
      </c>
      <c r="AK2095" s="95">
        <v>7980</v>
      </c>
      <c r="AL2095" s="95">
        <v>7980</v>
      </c>
      <c r="AM2095" s="95">
        <v>7980</v>
      </c>
      <c r="AN2095" s="95">
        <v>7980</v>
      </c>
      <c r="AO2095" s="95">
        <v>7980</v>
      </c>
      <c r="AP2095" s="95">
        <v>7980</v>
      </c>
      <c r="AQ2095" s="95">
        <v>7980</v>
      </c>
      <c r="AR2095" s="95">
        <v>7980</v>
      </c>
      <c r="AS2095" s="95">
        <v>7980</v>
      </c>
      <c r="AT2095" s="95">
        <v>7980</v>
      </c>
      <c r="AU2095" s="95">
        <v>7980</v>
      </c>
      <c r="AV2095" s="95">
        <v>7980</v>
      </c>
      <c r="AW2095" s="95">
        <v>7980</v>
      </c>
      <c r="AX2095" s="96">
        <v>7980</v>
      </c>
    </row>
    <row r="2096" spans="1:50" x14ac:dyDescent="0.25">
      <c r="A2096" s="356"/>
      <c r="B2096" s="359"/>
      <c r="C2096" s="360"/>
      <c r="D2096" s="59" t="s">
        <v>8</v>
      </c>
      <c r="E2096" s="166" t="str">
        <f>A2093&amp;"/"&amp;B2093&amp;"/"&amp;C2095&amp;"/"&amp;D2096</f>
        <v>Coal fired power plants/Integrated gasification combined cycle/CHP/M</v>
      </c>
      <c r="F2096" s="79" t="str">
        <f>A2093</f>
        <v>Coal fired power plants</v>
      </c>
      <c r="G2096" s="79" t="str">
        <f>B2093</f>
        <v>Integrated gasification combined cycle</v>
      </c>
      <c r="H2096" s="79" t="str">
        <f>C2095</f>
        <v>CHP</v>
      </c>
      <c r="I2096" s="167" t="str">
        <f t="shared" si="113"/>
        <v>M</v>
      </c>
      <c r="J2096" s="97">
        <v>6604.2952994839616</v>
      </c>
      <c r="K2096" s="97">
        <v>6604.2952994839616</v>
      </c>
      <c r="L2096" s="97">
        <v>6604.2952994839616</v>
      </c>
      <c r="M2096" s="97">
        <v>6604.2952994839616</v>
      </c>
      <c r="N2096" s="97">
        <v>6604.2952994839616</v>
      </c>
      <c r="O2096" s="97">
        <v>6604.2952994839616</v>
      </c>
      <c r="P2096" s="97">
        <v>6604.2952994839616</v>
      </c>
      <c r="Q2096" s="97">
        <v>6604.2952994839616</v>
      </c>
      <c r="R2096" s="97">
        <v>6604.2952994839616</v>
      </c>
      <c r="S2096" s="97">
        <v>6604.2952994839616</v>
      </c>
      <c r="T2096" s="97">
        <v>6604.2952994839616</v>
      </c>
      <c r="U2096" s="97">
        <v>6604.2952994839616</v>
      </c>
      <c r="V2096" s="97">
        <v>6604.2952994839616</v>
      </c>
      <c r="W2096" s="97">
        <v>6604.2952994839616</v>
      </c>
      <c r="X2096" s="97">
        <v>6604.2952994839616</v>
      </c>
      <c r="Y2096" s="97">
        <v>6604.2952994839616</v>
      </c>
      <c r="Z2096" s="97">
        <v>6604.2952994839616</v>
      </c>
      <c r="AA2096" s="97">
        <v>6604.2952994839616</v>
      </c>
      <c r="AB2096" s="97">
        <v>6604.2952994839616</v>
      </c>
      <c r="AC2096" s="97">
        <v>6604.2952994839616</v>
      </c>
      <c r="AD2096" s="97">
        <v>6604.2952994839616</v>
      </c>
      <c r="AE2096" s="97">
        <v>6604.2952994839616</v>
      </c>
      <c r="AF2096" s="97">
        <v>6604.2952994839616</v>
      </c>
      <c r="AG2096" s="97">
        <v>6604.2952994839616</v>
      </c>
      <c r="AH2096" s="97">
        <v>6604.2952994839616</v>
      </c>
      <c r="AI2096" s="97">
        <v>6604.2952994839616</v>
      </c>
      <c r="AJ2096" s="97">
        <v>6604.2952994839616</v>
      </c>
      <c r="AK2096" s="97">
        <v>6604.2952994839616</v>
      </c>
      <c r="AL2096" s="97">
        <v>6604.2952994839616</v>
      </c>
      <c r="AM2096" s="97">
        <v>6604.2952994839616</v>
      </c>
      <c r="AN2096" s="97">
        <v>6604.2952994839616</v>
      </c>
      <c r="AO2096" s="97">
        <v>6604.2952994839616</v>
      </c>
      <c r="AP2096" s="97">
        <v>6604.2952994839616</v>
      </c>
      <c r="AQ2096" s="97">
        <v>6604.2952994839616</v>
      </c>
      <c r="AR2096" s="97">
        <v>6604.2952994839616</v>
      </c>
      <c r="AS2096" s="97">
        <v>6604.2952994839616</v>
      </c>
      <c r="AT2096" s="97">
        <v>6604.2952994839616</v>
      </c>
      <c r="AU2096" s="97">
        <v>6604.2952994839616</v>
      </c>
      <c r="AV2096" s="97">
        <v>6604.2952994839616</v>
      </c>
      <c r="AW2096" s="97">
        <v>6604.2952994839616</v>
      </c>
      <c r="AX2096" s="98">
        <v>6604.2952994839616</v>
      </c>
    </row>
    <row r="2097" spans="1:50" x14ac:dyDescent="0.25">
      <c r="A2097" s="356"/>
      <c r="B2097" s="359"/>
      <c r="C2097" s="361" t="s">
        <v>15</v>
      </c>
      <c r="D2097" s="58" t="s">
        <v>7</v>
      </c>
      <c r="E2097" s="164" t="str">
        <f>A2093&amp;"/"&amp;B2093&amp;"/"&amp;C2097&amp;"/"&amp;D2097</f>
        <v>Coal fired power plants/Integrated gasification combined cycle/Electricity only with CCS/L</v>
      </c>
      <c r="F2097" s="78" t="str">
        <f>A2093</f>
        <v>Coal fired power plants</v>
      </c>
      <c r="G2097" s="78" t="str">
        <f>B2093</f>
        <v>Integrated gasification combined cycle</v>
      </c>
      <c r="H2097" s="78" t="str">
        <f>C2097</f>
        <v>Electricity only with CCS</v>
      </c>
      <c r="I2097" s="165" t="str">
        <f t="shared" si="113"/>
        <v>L</v>
      </c>
      <c r="J2097" s="95" t="s">
        <v>112</v>
      </c>
      <c r="K2097" s="95" t="s">
        <v>112</v>
      </c>
      <c r="L2097" s="95" t="s">
        <v>112</v>
      </c>
      <c r="M2097" s="95" t="s">
        <v>112</v>
      </c>
      <c r="N2097" s="95" t="s">
        <v>112</v>
      </c>
      <c r="O2097" s="95" t="s">
        <v>112</v>
      </c>
      <c r="P2097" s="95" t="s">
        <v>112</v>
      </c>
      <c r="Q2097" s="95" t="s">
        <v>112</v>
      </c>
      <c r="R2097" s="95" t="s">
        <v>112</v>
      </c>
      <c r="S2097" s="95" t="s">
        <v>112</v>
      </c>
      <c r="T2097" s="95" t="s">
        <v>112</v>
      </c>
      <c r="U2097" s="95" t="s">
        <v>112</v>
      </c>
      <c r="V2097" s="95" t="s">
        <v>112</v>
      </c>
      <c r="W2097" s="95" t="s">
        <v>112</v>
      </c>
      <c r="X2097" s="95" t="s">
        <v>112</v>
      </c>
      <c r="Y2097" s="95" t="s">
        <v>112</v>
      </c>
      <c r="Z2097" s="95" t="s">
        <v>112</v>
      </c>
      <c r="AA2097" s="95" t="s">
        <v>112</v>
      </c>
      <c r="AB2097" s="95" t="s">
        <v>112</v>
      </c>
      <c r="AC2097" s="95" t="s">
        <v>112</v>
      </c>
      <c r="AD2097" s="95" t="s">
        <v>112</v>
      </c>
      <c r="AE2097" s="95">
        <v>8380</v>
      </c>
      <c r="AF2097" s="95">
        <v>8380</v>
      </c>
      <c r="AG2097" s="95">
        <v>8380</v>
      </c>
      <c r="AH2097" s="95">
        <v>8380</v>
      </c>
      <c r="AI2097" s="95">
        <v>8380</v>
      </c>
      <c r="AJ2097" s="95">
        <v>8380</v>
      </c>
      <c r="AK2097" s="95">
        <v>8380</v>
      </c>
      <c r="AL2097" s="95">
        <v>8380</v>
      </c>
      <c r="AM2097" s="95">
        <v>8380</v>
      </c>
      <c r="AN2097" s="95">
        <v>8380</v>
      </c>
      <c r="AO2097" s="95">
        <v>8380</v>
      </c>
      <c r="AP2097" s="95">
        <v>8380</v>
      </c>
      <c r="AQ2097" s="95">
        <v>8380</v>
      </c>
      <c r="AR2097" s="95">
        <v>8380</v>
      </c>
      <c r="AS2097" s="95">
        <v>8380</v>
      </c>
      <c r="AT2097" s="95">
        <v>8380</v>
      </c>
      <c r="AU2097" s="95">
        <v>8380</v>
      </c>
      <c r="AV2097" s="95">
        <v>8380</v>
      </c>
      <c r="AW2097" s="95">
        <v>8380</v>
      </c>
      <c r="AX2097" s="96">
        <v>8380</v>
      </c>
    </row>
    <row r="2098" spans="1:50" x14ac:dyDescent="0.25">
      <c r="A2098" s="356"/>
      <c r="B2098" s="359"/>
      <c r="C2098" s="360"/>
      <c r="D2098" s="59" t="s">
        <v>8</v>
      </c>
      <c r="E2098" s="166" t="str">
        <f>A2093&amp;"/"&amp;B2093&amp;"/"&amp;C2097&amp;"/"&amp;D2098</f>
        <v>Coal fired power plants/Integrated gasification combined cycle/Electricity only with CCS/M</v>
      </c>
      <c r="F2098" s="79" t="str">
        <f>A2093</f>
        <v>Coal fired power plants</v>
      </c>
      <c r="G2098" s="79" t="str">
        <f>B2093</f>
        <v>Integrated gasification combined cycle</v>
      </c>
      <c r="H2098" s="79" t="str">
        <f>C2097</f>
        <v>Electricity only with CCS</v>
      </c>
      <c r="I2098" s="167" t="str">
        <f t="shared" si="113"/>
        <v>M</v>
      </c>
      <c r="J2098" s="97" t="s">
        <v>112</v>
      </c>
      <c r="K2098" s="97" t="s">
        <v>112</v>
      </c>
      <c r="L2098" s="97" t="s">
        <v>112</v>
      </c>
      <c r="M2098" s="97" t="s">
        <v>112</v>
      </c>
      <c r="N2098" s="97" t="s">
        <v>112</v>
      </c>
      <c r="O2098" s="97" t="s">
        <v>112</v>
      </c>
      <c r="P2098" s="97" t="s">
        <v>112</v>
      </c>
      <c r="Q2098" s="97" t="s">
        <v>112</v>
      </c>
      <c r="R2098" s="97" t="s">
        <v>112</v>
      </c>
      <c r="S2098" s="97" t="s">
        <v>112</v>
      </c>
      <c r="T2098" s="97" t="s">
        <v>112</v>
      </c>
      <c r="U2098" s="97" t="s">
        <v>112</v>
      </c>
      <c r="V2098" s="97" t="s">
        <v>112</v>
      </c>
      <c r="W2098" s="97" t="s">
        <v>112</v>
      </c>
      <c r="X2098" s="97" t="s">
        <v>112</v>
      </c>
      <c r="Y2098" s="97" t="s">
        <v>112</v>
      </c>
      <c r="Z2098" s="97" t="s">
        <v>112</v>
      </c>
      <c r="AA2098" s="97" t="s">
        <v>112</v>
      </c>
      <c r="AB2098" s="97" t="s">
        <v>112</v>
      </c>
      <c r="AC2098" s="97" t="s">
        <v>112</v>
      </c>
      <c r="AD2098" s="97" t="s">
        <v>112</v>
      </c>
      <c r="AE2098" s="97">
        <v>7228.5563755045623</v>
      </c>
      <c r="AF2098" s="97">
        <v>7228.5563755045623</v>
      </c>
      <c r="AG2098" s="97">
        <v>7228.5563755045623</v>
      </c>
      <c r="AH2098" s="97">
        <v>7228.5563755045623</v>
      </c>
      <c r="AI2098" s="97">
        <v>7228.5563755045623</v>
      </c>
      <c r="AJ2098" s="97">
        <v>7228.5563755045623</v>
      </c>
      <c r="AK2098" s="97">
        <v>7228.5563755045623</v>
      </c>
      <c r="AL2098" s="97">
        <v>7228.5563755045623</v>
      </c>
      <c r="AM2098" s="97">
        <v>7228.5563755045623</v>
      </c>
      <c r="AN2098" s="97">
        <v>7228.5563755045623</v>
      </c>
      <c r="AO2098" s="97">
        <v>7228.5563755045623</v>
      </c>
      <c r="AP2098" s="97">
        <v>7228.5563755045623</v>
      </c>
      <c r="AQ2098" s="97">
        <v>7228.5563755045623</v>
      </c>
      <c r="AR2098" s="97">
        <v>7228.5563755045623</v>
      </c>
      <c r="AS2098" s="97">
        <v>7228.5563755045623</v>
      </c>
      <c r="AT2098" s="97">
        <v>7228.5563755045623</v>
      </c>
      <c r="AU2098" s="97">
        <v>7228.5563755045623</v>
      </c>
      <c r="AV2098" s="97">
        <v>7228.5563755045623</v>
      </c>
      <c r="AW2098" s="97">
        <v>7228.5563755045623</v>
      </c>
      <c r="AX2098" s="98">
        <v>7228.5563755045623</v>
      </c>
    </row>
    <row r="2099" spans="1:50" x14ac:dyDescent="0.25">
      <c r="A2099" s="356"/>
      <c r="B2099" s="359"/>
      <c r="C2099" s="361" t="s">
        <v>16</v>
      </c>
      <c r="D2099" s="2" t="s">
        <v>7</v>
      </c>
      <c r="E2099" s="160" t="str">
        <f>A2093&amp;"/"&amp;B2093&amp;"/"&amp;C2099&amp;"/"&amp;D2099</f>
        <v>Coal fired power plants/Integrated gasification combined cycle/CHP with CCS/L</v>
      </c>
      <c r="F2099" s="76" t="str">
        <f>A2093</f>
        <v>Coal fired power plants</v>
      </c>
      <c r="G2099" s="76" t="str">
        <f>B2093</f>
        <v>Integrated gasification combined cycle</v>
      </c>
      <c r="H2099" s="76" t="str">
        <f>C2099</f>
        <v>CHP with CCS</v>
      </c>
      <c r="I2099" s="161" t="str">
        <f t="shared" si="113"/>
        <v>L</v>
      </c>
      <c r="J2099" s="91" t="s">
        <v>112</v>
      </c>
      <c r="K2099" s="91" t="s">
        <v>112</v>
      </c>
      <c r="L2099" s="91" t="s">
        <v>112</v>
      </c>
      <c r="M2099" s="91" t="s">
        <v>112</v>
      </c>
      <c r="N2099" s="91" t="s">
        <v>112</v>
      </c>
      <c r="O2099" s="91" t="s">
        <v>112</v>
      </c>
      <c r="P2099" s="91" t="s">
        <v>112</v>
      </c>
      <c r="Q2099" s="91" t="s">
        <v>112</v>
      </c>
      <c r="R2099" s="91" t="s">
        <v>112</v>
      </c>
      <c r="S2099" s="91" t="s">
        <v>112</v>
      </c>
      <c r="T2099" s="91" t="s">
        <v>112</v>
      </c>
      <c r="U2099" s="91" t="s">
        <v>112</v>
      </c>
      <c r="V2099" s="91" t="s">
        <v>112</v>
      </c>
      <c r="W2099" s="91" t="s">
        <v>112</v>
      </c>
      <c r="X2099" s="91" t="s">
        <v>112</v>
      </c>
      <c r="Y2099" s="91" t="s">
        <v>112</v>
      </c>
      <c r="Z2099" s="91" t="s">
        <v>112</v>
      </c>
      <c r="AA2099" s="91" t="s">
        <v>112</v>
      </c>
      <c r="AB2099" s="91" t="s">
        <v>112</v>
      </c>
      <c r="AC2099" s="91" t="s">
        <v>112</v>
      </c>
      <c r="AD2099" s="91" t="s">
        <v>112</v>
      </c>
      <c r="AE2099" s="91">
        <v>7980</v>
      </c>
      <c r="AF2099" s="91">
        <v>7980</v>
      </c>
      <c r="AG2099" s="91">
        <v>7980</v>
      </c>
      <c r="AH2099" s="91">
        <v>7980</v>
      </c>
      <c r="AI2099" s="91">
        <v>7980</v>
      </c>
      <c r="AJ2099" s="91">
        <v>7980</v>
      </c>
      <c r="AK2099" s="91">
        <v>7980</v>
      </c>
      <c r="AL2099" s="91">
        <v>7980</v>
      </c>
      <c r="AM2099" s="91">
        <v>7980</v>
      </c>
      <c r="AN2099" s="91">
        <v>7980</v>
      </c>
      <c r="AO2099" s="91">
        <v>7980</v>
      </c>
      <c r="AP2099" s="91">
        <v>7980</v>
      </c>
      <c r="AQ2099" s="91">
        <v>7980</v>
      </c>
      <c r="AR2099" s="91">
        <v>7980</v>
      </c>
      <c r="AS2099" s="91">
        <v>7980</v>
      </c>
      <c r="AT2099" s="91">
        <v>7980</v>
      </c>
      <c r="AU2099" s="91">
        <v>7980</v>
      </c>
      <c r="AV2099" s="91">
        <v>7980</v>
      </c>
      <c r="AW2099" s="91">
        <v>7980</v>
      </c>
      <c r="AX2099" s="92">
        <v>7980</v>
      </c>
    </row>
    <row r="2100" spans="1:50" x14ac:dyDescent="0.25">
      <c r="A2100" s="356"/>
      <c r="B2100" s="362"/>
      <c r="C2100" s="354"/>
      <c r="D2100" s="4" t="s">
        <v>8</v>
      </c>
      <c r="E2100" s="168" t="str">
        <f>A2093&amp;"/"&amp;B2093&amp;"/"&amp;C2099&amp;"/"&amp;D2100</f>
        <v>Coal fired power plants/Integrated gasification combined cycle/CHP with CCS/M</v>
      </c>
      <c r="F2100" s="80" t="str">
        <f>A2093</f>
        <v>Coal fired power plants</v>
      </c>
      <c r="G2100" s="80" t="str">
        <f>B2093</f>
        <v>Integrated gasification combined cycle</v>
      </c>
      <c r="H2100" s="80" t="str">
        <f>C2099</f>
        <v>CHP with CCS</v>
      </c>
      <c r="I2100" s="169" t="str">
        <f t="shared" si="113"/>
        <v>M</v>
      </c>
      <c r="J2100" s="99" t="s">
        <v>112</v>
      </c>
      <c r="K2100" s="99" t="s">
        <v>112</v>
      </c>
      <c r="L2100" s="99" t="s">
        <v>112</v>
      </c>
      <c r="M2100" s="99" t="s">
        <v>112</v>
      </c>
      <c r="N2100" s="99" t="s">
        <v>112</v>
      </c>
      <c r="O2100" s="99" t="s">
        <v>112</v>
      </c>
      <c r="P2100" s="99" t="s">
        <v>112</v>
      </c>
      <c r="Q2100" s="99" t="s">
        <v>112</v>
      </c>
      <c r="R2100" s="99" t="s">
        <v>112</v>
      </c>
      <c r="S2100" s="99" t="s">
        <v>112</v>
      </c>
      <c r="T2100" s="99" t="s">
        <v>112</v>
      </c>
      <c r="U2100" s="99" t="s">
        <v>112</v>
      </c>
      <c r="V2100" s="99" t="s">
        <v>112</v>
      </c>
      <c r="W2100" s="99" t="s">
        <v>112</v>
      </c>
      <c r="X2100" s="99" t="s">
        <v>112</v>
      </c>
      <c r="Y2100" s="99" t="s">
        <v>112</v>
      </c>
      <c r="Z2100" s="99" t="s">
        <v>112</v>
      </c>
      <c r="AA2100" s="99" t="s">
        <v>112</v>
      </c>
      <c r="AB2100" s="99" t="s">
        <v>112</v>
      </c>
      <c r="AC2100" s="99" t="s">
        <v>112</v>
      </c>
      <c r="AD2100" s="99" t="s">
        <v>112</v>
      </c>
      <c r="AE2100" s="99">
        <v>6604.2952994839616</v>
      </c>
      <c r="AF2100" s="99">
        <v>6604.2952994839616</v>
      </c>
      <c r="AG2100" s="99">
        <v>6604.2952994839616</v>
      </c>
      <c r="AH2100" s="99">
        <v>6604.2952994839616</v>
      </c>
      <c r="AI2100" s="99">
        <v>6604.2952994839616</v>
      </c>
      <c r="AJ2100" s="99">
        <v>6604.2952994839616</v>
      </c>
      <c r="AK2100" s="99">
        <v>6604.2952994839616</v>
      </c>
      <c r="AL2100" s="99">
        <v>6604.2952994839616</v>
      </c>
      <c r="AM2100" s="99">
        <v>6604.2952994839616</v>
      </c>
      <c r="AN2100" s="99">
        <v>6604.2952994839616</v>
      </c>
      <c r="AO2100" s="99">
        <v>6604.2952994839616</v>
      </c>
      <c r="AP2100" s="99">
        <v>6604.2952994839616</v>
      </c>
      <c r="AQ2100" s="99">
        <v>6604.2952994839616</v>
      </c>
      <c r="AR2100" s="99">
        <v>6604.2952994839616</v>
      </c>
      <c r="AS2100" s="99">
        <v>6604.2952994839616</v>
      </c>
      <c r="AT2100" s="99">
        <v>6604.2952994839616</v>
      </c>
      <c r="AU2100" s="99">
        <v>6604.2952994839616</v>
      </c>
      <c r="AV2100" s="99">
        <v>6604.2952994839616</v>
      </c>
      <c r="AW2100" s="99">
        <v>6604.2952994839616</v>
      </c>
      <c r="AX2100" s="100">
        <v>6604.2952994839616</v>
      </c>
    </row>
    <row r="2101" spans="1:50" x14ac:dyDescent="0.25">
      <c r="A2101" s="356"/>
      <c r="B2101" s="358" t="s">
        <v>17</v>
      </c>
      <c r="C2101" s="353" t="s">
        <v>6</v>
      </c>
      <c r="D2101" s="3" t="s">
        <v>7</v>
      </c>
      <c r="E2101" s="162" t="str">
        <f>A2093&amp;"/"&amp;B2101&amp;"/"&amp;C2101&amp;"/"&amp;D2101</f>
        <v>Coal fired power plants/Supercritical steam turbine/Electricity only/L</v>
      </c>
      <c r="F2101" s="77" t="str">
        <f>A2093</f>
        <v>Coal fired power plants</v>
      </c>
      <c r="G2101" s="77" t="str">
        <f>B2101</f>
        <v>Supercritical steam turbine</v>
      </c>
      <c r="H2101" s="77" t="str">
        <f>C2101</f>
        <v>Electricity only</v>
      </c>
      <c r="I2101" s="163" t="str">
        <f t="shared" si="113"/>
        <v>L</v>
      </c>
      <c r="J2101" s="93">
        <v>8530</v>
      </c>
      <c r="K2101" s="93">
        <v>8530</v>
      </c>
      <c r="L2101" s="93">
        <v>8530</v>
      </c>
      <c r="M2101" s="93">
        <v>8530</v>
      </c>
      <c r="N2101" s="93">
        <v>8530</v>
      </c>
      <c r="O2101" s="93">
        <v>8530</v>
      </c>
      <c r="P2101" s="93">
        <v>8530</v>
      </c>
      <c r="Q2101" s="93">
        <v>8530</v>
      </c>
      <c r="R2101" s="93">
        <v>8530</v>
      </c>
      <c r="S2101" s="93">
        <v>8530</v>
      </c>
      <c r="T2101" s="93">
        <v>8530</v>
      </c>
      <c r="U2101" s="93">
        <v>8530</v>
      </c>
      <c r="V2101" s="93">
        <v>8530</v>
      </c>
      <c r="W2101" s="93">
        <v>8530</v>
      </c>
      <c r="X2101" s="93">
        <v>8530</v>
      </c>
      <c r="Y2101" s="93">
        <v>8530</v>
      </c>
      <c r="Z2101" s="93">
        <v>8530</v>
      </c>
      <c r="AA2101" s="93">
        <v>8530</v>
      </c>
      <c r="AB2101" s="93">
        <v>8530</v>
      </c>
      <c r="AC2101" s="93">
        <v>8530</v>
      </c>
      <c r="AD2101" s="93">
        <v>8530</v>
      </c>
      <c r="AE2101" s="93">
        <v>8530</v>
      </c>
      <c r="AF2101" s="93">
        <v>8530</v>
      </c>
      <c r="AG2101" s="93">
        <v>8530</v>
      </c>
      <c r="AH2101" s="93">
        <v>8530</v>
      </c>
      <c r="AI2101" s="93">
        <v>8530</v>
      </c>
      <c r="AJ2101" s="93">
        <v>8530</v>
      </c>
      <c r="AK2101" s="93">
        <v>8530</v>
      </c>
      <c r="AL2101" s="93">
        <v>8530</v>
      </c>
      <c r="AM2101" s="93">
        <v>8530</v>
      </c>
      <c r="AN2101" s="93">
        <v>8530</v>
      </c>
      <c r="AO2101" s="93">
        <v>8530</v>
      </c>
      <c r="AP2101" s="93">
        <v>8530</v>
      </c>
      <c r="AQ2101" s="93">
        <v>8530</v>
      </c>
      <c r="AR2101" s="93">
        <v>8530</v>
      </c>
      <c r="AS2101" s="93">
        <v>8530</v>
      </c>
      <c r="AT2101" s="93">
        <v>8530</v>
      </c>
      <c r="AU2101" s="93">
        <v>8530</v>
      </c>
      <c r="AV2101" s="93">
        <v>8530</v>
      </c>
      <c r="AW2101" s="93">
        <v>8530</v>
      </c>
      <c r="AX2101" s="94">
        <v>8530</v>
      </c>
    </row>
    <row r="2102" spans="1:50" x14ac:dyDescent="0.25">
      <c r="A2102" s="356"/>
      <c r="B2102" s="359"/>
      <c r="C2102" s="360"/>
      <c r="D2102" s="2" t="s">
        <v>8</v>
      </c>
      <c r="E2102" s="160" t="str">
        <f>A2093&amp;"/"&amp;B2101&amp;"/"&amp;C2101&amp;"/"&amp;D2102</f>
        <v>Coal fired power plants/Supercritical steam turbine/Electricity only/M</v>
      </c>
      <c r="F2102" s="76" t="str">
        <f>A2093</f>
        <v>Coal fired power plants</v>
      </c>
      <c r="G2102" s="76" t="str">
        <f>B2101</f>
        <v>Supercritical steam turbine</v>
      </c>
      <c r="H2102" s="76" t="str">
        <f>C2101</f>
        <v>Electricity only</v>
      </c>
      <c r="I2102" s="161" t="str">
        <f t="shared" si="113"/>
        <v>M</v>
      </c>
      <c r="J2102" s="91">
        <v>7509.0721459752613</v>
      </c>
      <c r="K2102" s="91">
        <v>7509.0721459752613</v>
      </c>
      <c r="L2102" s="91">
        <v>7509.0721459752613</v>
      </c>
      <c r="M2102" s="91">
        <v>7509.0721459752613</v>
      </c>
      <c r="N2102" s="91">
        <v>7509.0721459752613</v>
      </c>
      <c r="O2102" s="91">
        <v>7509.0721459752613</v>
      </c>
      <c r="P2102" s="91">
        <v>7509.0721459752613</v>
      </c>
      <c r="Q2102" s="91">
        <v>7509.0721459752613</v>
      </c>
      <c r="R2102" s="91">
        <v>7509.0721459752613</v>
      </c>
      <c r="S2102" s="91">
        <v>7509.0721459752613</v>
      </c>
      <c r="T2102" s="91">
        <v>7509.0721459752613</v>
      </c>
      <c r="U2102" s="91">
        <v>7509.0721459752613</v>
      </c>
      <c r="V2102" s="91">
        <v>7509.0721459752613</v>
      </c>
      <c r="W2102" s="91">
        <v>7509.0721459752613</v>
      </c>
      <c r="X2102" s="91">
        <v>7509.0721459752613</v>
      </c>
      <c r="Y2102" s="91">
        <v>7509.0721459752613</v>
      </c>
      <c r="Z2102" s="91">
        <v>7509.0721459752613</v>
      </c>
      <c r="AA2102" s="91">
        <v>7509.0721459752613</v>
      </c>
      <c r="AB2102" s="91">
        <v>7509.0721459752613</v>
      </c>
      <c r="AC2102" s="91">
        <v>7509.0721459752613</v>
      </c>
      <c r="AD2102" s="91">
        <v>7509.0721459752613</v>
      </c>
      <c r="AE2102" s="91">
        <v>7509.0721459752613</v>
      </c>
      <c r="AF2102" s="91">
        <v>7509.0721459752613</v>
      </c>
      <c r="AG2102" s="91">
        <v>7509.0721459752613</v>
      </c>
      <c r="AH2102" s="91">
        <v>7509.0721459752613</v>
      </c>
      <c r="AI2102" s="91">
        <v>7509.0721459752613</v>
      </c>
      <c r="AJ2102" s="91">
        <v>7509.0721459752613</v>
      </c>
      <c r="AK2102" s="91">
        <v>7509.0721459752613</v>
      </c>
      <c r="AL2102" s="91">
        <v>7509.0721459752613</v>
      </c>
      <c r="AM2102" s="91">
        <v>7509.0721459752613</v>
      </c>
      <c r="AN2102" s="91">
        <v>7509.0721459752613</v>
      </c>
      <c r="AO2102" s="91">
        <v>7509.0721459752613</v>
      </c>
      <c r="AP2102" s="91">
        <v>7509.0721459752613</v>
      </c>
      <c r="AQ2102" s="91">
        <v>7509.0721459752613</v>
      </c>
      <c r="AR2102" s="91">
        <v>7509.0721459752613</v>
      </c>
      <c r="AS2102" s="91">
        <v>7509.0721459752613</v>
      </c>
      <c r="AT2102" s="91">
        <v>7509.0721459752613</v>
      </c>
      <c r="AU2102" s="91">
        <v>7509.0721459752613</v>
      </c>
      <c r="AV2102" s="91">
        <v>7509.0721459752613</v>
      </c>
      <c r="AW2102" s="91">
        <v>7509.0721459752613</v>
      </c>
      <c r="AX2102" s="92">
        <v>7509.0721459752613</v>
      </c>
    </row>
    <row r="2103" spans="1:50" x14ac:dyDescent="0.25">
      <c r="A2103" s="356"/>
      <c r="B2103" s="359"/>
      <c r="C2103" s="361" t="s">
        <v>14</v>
      </c>
      <c r="D2103" s="58" t="s">
        <v>7</v>
      </c>
      <c r="E2103" s="164" t="str">
        <f>A2093&amp;"/"&amp;B2101&amp;"/"&amp;C2103&amp;"/"&amp;D2103</f>
        <v>Coal fired power plants/Supercritical steam turbine/CHP/L</v>
      </c>
      <c r="F2103" s="78" t="str">
        <f>A2093</f>
        <v>Coal fired power plants</v>
      </c>
      <c r="G2103" s="78" t="str">
        <f>B2101</f>
        <v>Supercritical steam turbine</v>
      </c>
      <c r="H2103" s="78" t="str">
        <f>C2103</f>
        <v>CHP</v>
      </c>
      <c r="I2103" s="165" t="str">
        <f t="shared" si="113"/>
        <v>L</v>
      </c>
      <c r="J2103" s="95">
        <v>8115</v>
      </c>
      <c r="K2103" s="95">
        <v>8115</v>
      </c>
      <c r="L2103" s="95">
        <v>8115</v>
      </c>
      <c r="M2103" s="95">
        <v>8115</v>
      </c>
      <c r="N2103" s="95">
        <v>8115</v>
      </c>
      <c r="O2103" s="95">
        <v>8115</v>
      </c>
      <c r="P2103" s="95">
        <v>8115</v>
      </c>
      <c r="Q2103" s="95">
        <v>8115</v>
      </c>
      <c r="R2103" s="95">
        <v>8115</v>
      </c>
      <c r="S2103" s="95">
        <v>8115</v>
      </c>
      <c r="T2103" s="95">
        <v>8115</v>
      </c>
      <c r="U2103" s="95">
        <v>8115</v>
      </c>
      <c r="V2103" s="95">
        <v>8115</v>
      </c>
      <c r="W2103" s="95">
        <v>8115</v>
      </c>
      <c r="X2103" s="95">
        <v>8115</v>
      </c>
      <c r="Y2103" s="95">
        <v>8115</v>
      </c>
      <c r="Z2103" s="95">
        <v>8115</v>
      </c>
      <c r="AA2103" s="95">
        <v>8115</v>
      </c>
      <c r="AB2103" s="95">
        <v>8115</v>
      </c>
      <c r="AC2103" s="95">
        <v>8115</v>
      </c>
      <c r="AD2103" s="95">
        <v>8115</v>
      </c>
      <c r="AE2103" s="95">
        <v>8115</v>
      </c>
      <c r="AF2103" s="95">
        <v>8115</v>
      </c>
      <c r="AG2103" s="95">
        <v>8115</v>
      </c>
      <c r="AH2103" s="95">
        <v>8115</v>
      </c>
      <c r="AI2103" s="95">
        <v>8115</v>
      </c>
      <c r="AJ2103" s="95">
        <v>8115</v>
      </c>
      <c r="AK2103" s="95">
        <v>8115</v>
      </c>
      <c r="AL2103" s="95">
        <v>8115</v>
      </c>
      <c r="AM2103" s="95">
        <v>8115</v>
      </c>
      <c r="AN2103" s="95">
        <v>8115</v>
      </c>
      <c r="AO2103" s="95">
        <v>8115</v>
      </c>
      <c r="AP2103" s="95">
        <v>8115</v>
      </c>
      <c r="AQ2103" s="95">
        <v>8115</v>
      </c>
      <c r="AR2103" s="95">
        <v>8115</v>
      </c>
      <c r="AS2103" s="95">
        <v>8115</v>
      </c>
      <c r="AT2103" s="95">
        <v>8115</v>
      </c>
      <c r="AU2103" s="95">
        <v>8115</v>
      </c>
      <c r="AV2103" s="95">
        <v>8115</v>
      </c>
      <c r="AW2103" s="95">
        <v>8115</v>
      </c>
      <c r="AX2103" s="96">
        <v>8115</v>
      </c>
    </row>
    <row r="2104" spans="1:50" x14ac:dyDescent="0.25">
      <c r="A2104" s="356"/>
      <c r="B2104" s="359"/>
      <c r="C2104" s="360"/>
      <c r="D2104" s="59" t="s">
        <v>8</v>
      </c>
      <c r="E2104" s="166" t="str">
        <f>A2093&amp;"/"&amp;B2101&amp;"/"&amp;C2103&amp;"/"&amp;D2104</f>
        <v>Coal fired power plants/Supercritical steam turbine/CHP/M</v>
      </c>
      <c r="F2104" s="79" t="str">
        <f>A2093</f>
        <v>Coal fired power plants</v>
      </c>
      <c r="G2104" s="79" t="str">
        <f>B2101</f>
        <v>Supercritical steam turbine</v>
      </c>
      <c r="H2104" s="79" t="str">
        <f>C2103</f>
        <v>CHP</v>
      </c>
      <c r="I2104" s="167" t="str">
        <f t="shared" si="113"/>
        <v>M</v>
      </c>
      <c r="J2104" s="97">
        <v>7186.7544640654705</v>
      </c>
      <c r="K2104" s="97">
        <v>7186.7544640654705</v>
      </c>
      <c r="L2104" s="97">
        <v>7186.7544640654705</v>
      </c>
      <c r="M2104" s="97">
        <v>7186.7544640654705</v>
      </c>
      <c r="N2104" s="97">
        <v>7186.7544640654705</v>
      </c>
      <c r="O2104" s="97">
        <v>7186.7544640654705</v>
      </c>
      <c r="P2104" s="97">
        <v>7186.7544640654705</v>
      </c>
      <c r="Q2104" s="97">
        <v>7186.7544640654705</v>
      </c>
      <c r="R2104" s="97">
        <v>7186.7544640654705</v>
      </c>
      <c r="S2104" s="97">
        <v>7186.7544640654705</v>
      </c>
      <c r="T2104" s="97">
        <v>7186.7544640654705</v>
      </c>
      <c r="U2104" s="97">
        <v>7186.7544640654705</v>
      </c>
      <c r="V2104" s="97">
        <v>7186.7544640654705</v>
      </c>
      <c r="W2104" s="97">
        <v>7186.7544640654705</v>
      </c>
      <c r="X2104" s="97">
        <v>7186.7544640654705</v>
      </c>
      <c r="Y2104" s="97">
        <v>7186.7544640654705</v>
      </c>
      <c r="Z2104" s="97">
        <v>7186.7544640654705</v>
      </c>
      <c r="AA2104" s="97">
        <v>7186.7544640654705</v>
      </c>
      <c r="AB2104" s="97">
        <v>7186.7544640654705</v>
      </c>
      <c r="AC2104" s="97">
        <v>7186.7544640654705</v>
      </c>
      <c r="AD2104" s="97">
        <v>7186.7544640654705</v>
      </c>
      <c r="AE2104" s="97">
        <v>7186.7544640654705</v>
      </c>
      <c r="AF2104" s="97">
        <v>7186.7544640654705</v>
      </c>
      <c r="AG2104" s="97">
        <v>7186.7544640654705</v>
      </c>
      <c r="AH2104" s="97">
        <v>7186.7544640654705</v>
      </c>
      <c r="AI2104" s="97">
        <v>7186.7544640654705</v>
      </c>
      <c r="AJ2104" s="97">
        <v>7186.7544640654705</v>
      </c>
      <c r="AK2104" s="97">
        <v>7186.7544640654705</v>
      </c>
      <c r="AL2104" s="97">
        <v>7186.7544640654705</v>
      </c>
      <c r="AM2104" s="97">
        <v>7186.7544640654705</v>
      </c>
      <c r="AN2104" s="97">
        <v>7186.7544640654705</v>
      </c>
      <c r="AO2104" s="97">
        <v>7186.7544640654705</v>
      </c>
      <c r="AP2104" s="97">
        <v>7186.7544640654705</v>
      </c>
      <c r="AQ2104" s="97">
        <v>7186.7544640654705</v>
      </c>
      <c r="AR2104" s="97">
        <v>7186.7544640654705</v>
      </c>
      <c r="AS2104" s="97">
        <v>7186.7544640654705</v>
      </c>
      <c r="AT2104" s="97">
        <v>7186.7544640654705</v>
      </c>
      <c r="AU2104" s="97">
        <v>7186.7544640654705</v>
      </c>
      <c r="AV2104" s="97">
        <v>7186.7544640654705</v>
      </c>
      <c r="AW2104" s="97">
        <v>7186.7544640654705</v>
      </c>
      <c r="AX2104" s="98">
        <v>7186.7544640654705</v>
      </c>
    </row>
    <row r="2105" spans="1:50" x14ac:dyDescent="0.25">
      <c r="A2105" s="356"/>
      <c r="B2105" s="359"/>
      <c r="C2105" s="361" t="s">
        <v>15</v>
      </c>
      <c r="D2105" s="58" t="s">
        <v>7</v>
      </c>
      <c r="E2105" s="164" t="str">
        <f>A2093&amp;"/"&amp;B2101&amp;"/"&amp;C2105&amp;"/"&amp;D2105</f>
        <v>Coal fired power plants/Supercritical steam turbine/Electricity only with CCS/L</v>
      </c>
      <c r="F2105" s="78" t="str">
        <f>A2093</f>
        <v>Coal fired power plants</v>
      </c>
      <c r="G2105" s="78" t="str">
        <f>B2101</f>
        <v>Supercritical steam turbine</v>
      </c>
      <c r="H2105" s="78" t="str">
        <f>C2105</f>
        <v>Electricity only with CCS</v>
      </c>
      <c r="I2105" s="165" t="str">
        <f t="shared" si="113"/>
        <v>L</v>
      </c>
      <c r="J2105" s="95" t="s">
        <v>112</v>
      </c>
      <c r="K2105" s="95" t="s">
        <v>112</v>
      </c>
      <c r="L2105" s="95" t="s">
        <v>112</v>
      </c>
      <c r="M2105" s="95" t="s">
        <v>112</v>
      </c>
      <c r="N2105" s="95" t="s">
        <v>112</v>
      </c>
      <c r="O2105" s="95" t="s">
        <v>112</v>
      </c>
      <c r="P2105" s="95" t="s">
        <v>112</v>
      </c>
      <c r="Q2105" s="95" t="s">
        <v>112</v>
      </c>
      <c r="R2105" s="95" t="s">
        <v>112</v>
      </c>
      <c r="S2105" s="95" t="s">
        <v>112</v>
      </c>
      <c r="T2105" s="95" t="s">
        <v>112</v>
      </c>
      <c r="U2105" s="95" t="s">
        <v>112</v>
      </c>
      <c r="V2105" s="95" t="s">
        <v>112</v>
      </c>
      <c r="W2105" s="95" t="s">
        <v>112</v>
      </c>
      <c r="X2105" s="95" t="s">
        <v>112</v>
      </c>
      <c r="Y2105" s="95" t="s">
        <v>112</v>
      </c>
      <c r="Z2105" s="95" t="s">
        <v>112</v>
      </c>
      <c r="AA2105" s="95" t="s">
        <v>112</v>
      </c>
      <c r="AB2105" s="95" t="s">
        <v>112</v>
      </c>
      <c r="AC2105" s="95" t="s">
        <v>112</v>
      </c>
      <c r="AD2105" s="95" t="s">
        <v>112</v>
      </c>
      <c r="AE2105" s="95">
        <v>8530</v>
      </c>
      <c r="AF2105" s="95">
        <v>8530</v>
      </c>
      <c r="AG2105" s="95">
        <v>8530</v>
      </c>
      <c r="AH2105" s="95">
        <v>8530</v>
      </c>
      <c r="AI2105" s="95">
        <v>8530</v>
      </c>
      <c r="AJ2105" s="95">
        <v>8530</v>
      </c>
      <c r="AK2105" s="95">
        <v>8530</v>
      </c>
      <c r="AL2105" s="95">
        <v>8530</v>
      </c>
      <c r="AM2105" s="95">
        <v>8530</v>
      </c>
      <c r="AN2105" s="95">
        <v>8530</v>
      </c>
      <c r="AO2105" s="95">
        <v>8530</v>
      </c>
      <c r="AP2105" s="95">
        <v>8530</v>
      </c>
      <c r="AQ2105" s="95">
        <v>8530</v>
      </c>
      <c r="AR2105" s="95">
        <v>8530</v>
      </c>
      <c r="AS2105" s="95">
        <v>8530</v>
      </c>
      <c r="AT2105" s="95">
        <v>8530</v>
      </c>
      <c r="AU2105" s="95">
        <v>8530</v>
      </c>
      <c r="AV2105" s="95">
        <v>8530</v>
      </c>
      <c r="AW2105" s="95">
        <v>8530</v>
      </c>
      <c r="AX2105" s="96">
        <v>8530</v>
      </c>
    </row>
    <row r="2106" spans="1:50" x14ac:dyDescent="0.25">
      <c r="A2106" s="356"/>
      <c r="B2106" s="359"/>
      <c r="C2106" s="360"/>
      <c r="D2106" s="59" t="s">
        <v>8</v>
      </c>
      <c r="E2106" s="166" t="str">
        <f>A2093&amp;"/"&amp;B2101&amp;"/"&amp;C2105&amp;"/"&amp;D2106</f>
        <v>Coal fired power plants/Supercritical steam turbine/Electricity only with CCS/M</v>
      </c>
      <c r="F2106" s="79" t="str">
        <f>A2093</f>
        <v>Coal fired power plants</v>
      </c>
      <c r="G2106" s="79" t="str">
        <f>B2101</f>
        <v>Supercritical steam turbine</v>
      </c>
      <c r="H2106" s="79" t="str">
        <f>C2105</f>
        <v>Electricity only with CCS</v>
      </c>
      <c r="I2106" s="167" t="str">
        <f t="shared" si="113"/>
        <v>M</v>
      </c>
      <c r="J2106" s="97" t="s">
        <v>112</v>
      </c>
      <c r="K2106" s="97" t="s">
        <v>112</v>
      </c>
      <c r="L2106" s="97" t="s">
        <v>112</v>
      </c>
      <c r="M2106" s="97" t="s">
        <v>112</v>
      </c>
      <c r="N2106" s="97" t="s">
        <v>112</v>
      </c>
      <c r="O2106" s="97" t="s">
        <v>112</v>
      </c>
      <c r="P2106" s="97" t="s">
        <v>112</v>
      </c>
      <c r="Q2106" s="97" t="s">
        <v>112</v>
      </c>
      <c r="R2106" s="97" t="s">
        <v>112</v>
      </c>
      <c r="S2106" s="97" t="s">
        <v>112</v>
      </c>
      <c r="T2106" s="97" t="s">
        <v>112</v>
      </c>
      <c r="U2106" s="97" t="s">
        <v>112</v>
      </c>
      <c r="V2106" s="97" t="s">
        <v>112</v>
      </c>
      <c r="W2106" s="97" t="s">
        <v>112</v>
      </c>
      <c r="X2106" s="97" t="s">
        <v>112</v>
      </c>
      <c r="Y2106" s="97" t="s">
        <v>112</v>
      </c>
      <c r="Z2106" s="97" t="s">
        <v>112</v>
      </c>
      <c r="AA2106" s="97" t="s">
        <v>112</v>
      </c>
      <c r="AB2106" s="97" t="s">
        <v>112</v>
      </c>
      <c r="AC2106" s="97" t="s">
        <v>112</v>
      </c>
      <c r="AD2106" s="97" t="s">
        <v>112</v>
      </c>
      <c r="AE2106" s="97">
        <v>7509.0721459752613</v>
      </c>
      <c r="AF2106" s="97">
        <v>7509.0721459752613</v>
      </c>
      <c r="AG2106" s="97">
        <v>7509.0721459752613</v>
      </c>
      <c r="AH2106" s="97">
        <v>7509.0721459752613</v>
      </c>
      <c r="AI2106" s="97">
        <v>7509.0721459752613</v>
      </c>
      <c r="AJ2106" s="97">
        <v>7509.0721459752613</v>
      </c>
      <c r="AK2106" s="97">
        <v>7509.0721459752613</v>
      </c>
      <c r="AL2106" s="97">
        <v>7509.0721459752613</v>
      </c>
      <c r="AM2106" s="97">
        <v>7509.0721459752613</v>
      </c>
      <c r="AN2106" s="97">
        <v>7509.0721459752613</v>
      </c>
      <c r="AO2106" s="97">
        <v>7509.0721459752613</v>
      </c>
      <c r="AP2106" s="97">
        <v>7509.0721459752613</v>
      </c>
      <c r="AQ2106" s="97">
        <v>7509.0721459752613</v>
      </c>
      <c r="AR2106" s="97">
        <v>7509.0721459752613</v>
      </c>
      <c r="AS2106" s="97">
        <v>7509.0721459752613</v>
      </c>
      <c r="AT2106" s="97">
        <v>7509.0721459752613</v>
      </c>
      <c r="AU2106" s="97">
        <v>7509.0721459752613</v>
      </c>
      <c r="AV2106" s="97">
        <v>7509.0721459752613</v>
      </c>
      <c r="AW2106" s="97">
        <v>7509.0721459752613</v>
      </c>
      <c r="AX2106" s="98">
        <v>7509.0721459752613</v>
      </c>
    </row>
    <row r="2107" spans="1:50" x14ac:dyDescent="0.25">
      <c r="A2107" s="356"/>
      <c r="B2107" s="359"/>
      <c r="C2107" s="361" t="s">
        <v>16</v>
      </c>
      <c r="D2107" s="2" t="s">
        <v>7</v>
      </c>
      <c r="E2107" s="160" t="str">
        <f>A2093&amp;"/"&amp;B2101&amp;"/"&amp;C2107&amp;"/"&amp;D2107</f>
        <v>Coal fired power plants/Supercritical steam turbine/CHP with CCS/L</v>
      </c>
      <c r="F2107" s="76" t="str">
        <f>A2093</f>
        <v>Coal fired power plants</v>
      </c>
      <c r="G2107" s="76" t="str">
        <f>B2101</f>
        <v>Supercritical steam turbine</v>
      </c>
      <c r="H2107" s="76" t="str">
        <f>C2107</f>
        <v>CHP with CCS</v>
      </c>
      <c r="I2107" s="161" t="str">
        <f t="shared" si="113"/>
        <v>L</v>
      </c>
      <c r="J2107" s="91" t="s">
        <v>112</v>
      </c>
      <c r="K2107" s="91" t="s">
        <v>112</v>
      </c>
      <c r="L2107" s="91" t="s">
        <v>112</v>
      </c>
      <c r="M2107" s="91" t="s">
        <v>112</v>
      </c>
      <c r="N2107" s="91" t="s">
        <v>112</v>
      </c>
      <c r="O2107" s="91" t="s">
        <v>112</v>
      </c>
      <c r="P2107" s="91" t="s">
        <v>112</v>
      </c>
      <c r="Q2107" s="91" t="s">
        <v>112</v>
      </c>
      <c r="R2107" s="91" t="s">
        <v>112</v>
      </c>
      <c r="S2107" s="91" t="s">
        <v>112</v>
      </c>
      <c r="T2107" s="91" t="s">
        <v>112</v>
      </c>
      <c r="U2107" s="91" t="s">
        <v>112</v>
      </c>
      <c r="V2107" s="91" t="s">
        <v>112</v>
      </c>
      <c r="W2107" s="91" t="s">
        <v>112</v>
      </c>
      <c r="X2107" s="91" t="s">
        <v>112</v>
      </c>
      <c r="Y2107" s="91" t="s">
        <v>112</v>
      </c>
      <c r="Z2107" s="91" t="s">
        <v>112</v>
      </c>
      <c r="AA2107" s="91" t="s">
        <v>112</v>
      </c>
      <c r="AB2107" s="91" t="s">
        <v>112</v>
      </c>
      <c r="AC2107" s="91" t="s">
        <v>112</v>
      </c>
      <c r="AD2107" s="91" t="s">
        <v>112</v>
      </c>
      <c r="AE2107" s="91">
        <v>8115</v>
      </c>
      <c r="AF2107" s="91">
        <v>8115</v>
      </c>
      <c r="AG2107" s="91">
        <v>8115</v>
      </c>
      <c r="AH2107" s="91">
        <v>8115</v>
      </c>
      <c r="AI2107" s="91">
        <v>8115</v>
      </c>
      <c r="AJ2107" s="91">
        <v>8115</v>
      </c>
      <c r="AK2107" s="91">
        <v>8115</v>
      </c>
      <c r="AL2107" s="91">
        <v>8115</v>
      </c>
      <c r="AM2107" s="91">
        <v>8115</v>
      </c>
      <c r="AN2107" s="91">
        <v>8115</v>
      </c>
      <c r="AO2107" s="91">
        <v>8115</v>
      </c>
      <c r="AP2107" s="91">
        <v>8115</v>
      </c>
      <c r="AQ2107" s="91">
        <v>8115</v>
      </c>
      <c r="AR2107" s="91">
        <v>8115</v>
      </c>
      <c r="AS2107" s="91">
        <v>8115</v>
      </c>
      <c r="AT2107" s="91">
        <v>8115</v>
      </c>
      <c r="AU2107" s="91">
        <v>8115</v>
      </c>
      <c r="AV2107" s="91">
        <v>8115</v>
      </c>
      <c r="AW2107" s="91">
        <v>8115</v>
      </c>
      <c r="AX2107" s="92">
        <v>8115</v>
      </c>
    </row>
    <row r="2108" spans="1:50" x14ac:dyDescent="0.25">
      <c r="A2108" s="356"/>
      <c r="B2108" s="362"/>
      <c r="C2108" s="354"/>
      <c r="D2108" s="4" t="s">
        <v>8</v>
      </c>
      <c r="E2108" s="168" t="str">
        <f>A2093&amp;"/"&amp;B2101&amp;"/"&amp;C2107&amp;"/"&amp;D2108</f>
        <v>Coal fired power plants/Supercritical steam turbine/CHP with CCS/M</v>
      </c>
      <c r="F2108" s="80" t="str">
        <f>A2093</f>
        <v>Coal fired power plants</v>
      </c>
      <c r="G2108" s="80" t="str">
        <f>B2101</f>
        <v>Supercritical steam turbine</v>
      </c>
      <c r="H2108" s="80" t="str">
        <f>C2107</f>
        <v>CHP with CCS</v>
      </c>
      <c r="I2108" s="169" t="str">
        <f t="shared" si="113"/>
        <v>M</v>
      </c>
      <c r="J2108" s="99" t="s">
        <v>112</v>
      </c>
      <c r="K2108" s="99" t="s">
        <v>112</v>
      </c>
      <c r="L2108" s="99" t="s">
        <v>112</v>
      </c>
      <c r="M2108" s="99" t="s">
        <v>112</v>
      </c>
      <c r="N2108" s="99" t="s">
        <v>112</v>
      </c>
      <c r="O2108" s="99" t="s">
        <v>112</v>
      </c>
      <c r="P2108" s="99" t="s">
        <v>112</v>
      </c>
      <c r="Q2108" s="99" t="s">
        <v>112</v>
      </c>
      <c r="R2108" s="99" t="s">
        <v>112</v>
      </c>
      <c r="S2108" s="99" t="s">
        <v>112</v>
      </c>
      <c r="T2108" s="99" t="s">
        <v>112</v>
      </c>
      <c r="U2108" s="99" t="s">
        <v>112</v>
      </c>
      <c r="V2108" s="99" t="s">
        <v>112</v>
      </c>
      <c r="W2108" s="99" t="s">
        <v>112</v>
      </c>
      <c r="X2108" s="99" t="s">
        <v>112</v>
      </c>
      <c r="Y2108" s="99" t="s">
        <v>112</v>
      </c>
      <c r="Z2108" s="99" t="s">
        <v>112</v>
      </c>
      <c r="AA2108" s="99" t="s">
        <v>112</v>
      </c>
      <c r="AB2108" s="99" t="s">
        <v>112</v>
      </c>
      <c r="AC2108" s="99" t="s">
        <v>112</v>
      </c>
      <c r="AD2108" s="99" t="s">
        <v>112</v>
      </c>
      <c r="AE2108" s="99">
        <v>7186.7544640654705</v>
      </c>
      <c r="AF2108" s="99">
        <v>7186.7544640654705</v>
      </c>
      <c r="AG2108" s="99">
        <v>7186.7544640654705</v>
      </c>
      <c r="AH2108" s="99">
        <v>7186.7544640654705</v>
      </c>
      <c r="AI2108" s="99">
        <v>7186.7544640654705</v>
      </c>
      <c r="AJ2108" s="99">
        <v>7186.7544640654705</v>
      </c>
      <c r="AK2108" s="99">
        <v>7186.7544640654705</v>
      </c>
      <c r="AL2108" s="99">
        <v>7186.7544640654705</v>
      </c>
      <c r="AM2108" s="99">
        <v>7186.7544640654705</v>
      </c>
      <c r="AN2108" s="99">
        <v>7186.7544640654705</v>
      </c>
      <c r="AO2108" s="99">
        <v>7186.7544640654705</v>
      </c>
      <c r="AP2108" s="99">
        <v>7186.7544640654705</v>
      </c>
      <c r="AQ2108" s="99">
        <v>7186.7544640654705</v>
      </c>
      <c r="AR2108" s="99">
        <v>7186.7544640654705</v>
      </c>
      <c r="AS2108" s="99">
        <v>7186.7544640654705</v>
      </c>
      <c r="AT2108" s="99">
        <v>7186.7544640654705</v>
      </c>
      <c r="AU2108" s="99">
        <v>7186.7544640654705</v>
      </c>
      <c r="AV2108" s="99">
        <v>7186.7544640654705</v>
      </c>
      <c r="AW2108" s="99">
        <v>7186.7544640654705</v>
      </c>
      <c r="AX2108" s="100">
        <v>7186.7544640654705</v>
      </c>
    </row>
    <row r="2109" spans="1:50" x14ac:dyDescent="0.25">
      <c r="A2109" s="356"/>
      <c r="B2109" s="358" t="s">
        <v>18</v>
      </c>
      <c r="C2109" s="353" t="s">
        <v>6</v>
      </c>
      <c r="D2109" s="3" t="s">
        <v>7</v>
      </c>
      <c r="E2109" s="162" t="str">
        <f>A2093&amp;"/"&amp;B2109&amp;"/"&amp;C2109&amp;"/"&amp;D2109</f>
        <v>Coal fired power plants/Fluidized bed combustion/Electricity only/L</v>
      </c>
      <c r="F2109" s="77" t="str">
        <f>A2093</f>
        <v>Coal fired power plants</v>
      </c>
      <c r="G2109" s="77" t="str">
        <f>B2109</f>
        <v>Fluidized bed combustion</v>
      </c>
      <c r="H2109" s="77" t="str">
        <f>C2109</f>
        <v>Electricity only</v>
      </c>
      <c r="I2109" s="163" t="str">
        <f t="shared" si="113"/>
        <v>L</v>
      </c>
      <c r="J2109" s="93">
        <v>7800</v>
      </c>
      <c r="K2109" s="93">
        <v>7800</v>
      </c>
      <c r="L2109" s="93">
        <v>7800</v>
      </c>
      <c r="M2109" s="93">
        <v>7800</v>
      </c>
      <c r="N2109" s="93">
        <v>7800</v>
      </c>
      <c r="O2109" s="93">
        <v>7800</v>
      </c>
      <c r="P2109" s="93">
        <v>7800</v>
      </c>
      <c r="Q2109" s="93">
        <v>7800</v>
      </c>
      <c r="R2109" s="93">
        <v>7800</v>
      </c>
      <c r="S2109" s="93">
        <v>7800</v>
      </c>
      <c r="T2109" s="93">
        <v>7800</v>
      </c>
      <c r="U2109" s="93">
        <v>7800</v>
      </c>
      <c r="V2109" s="93">
        <v>7800</v>
      </c>
      <c r="W2109" s="93">
        <v>7800</v>
      </c>
      <c r="X2109" s="93">
        <v>7800</v>
      </c>
      <c r="Y2109" s="93">
        <v>7800</v>
      </c>
      <c r="Z2109" s="93">
        <v>7800</v>
      </c>
      <c r="AA2109" s="93">
        <v>7800</v>
      </c>
      <c r="AB2109" s="93">
        <v>7800</v>
      </c>
      <c r="AC2109" s="93">
        <v>7800</v>
      </c>
      <c r="AD2109" s="93">
        <v>7800</v>
      </c>
      <c r="AE2109" s="93">
        <v>7800</v>
      </c>
      <c r="AF2109" s="93">
        <v>7800</v>
      </c>
      <c r="AG2109" s="93">
        <v>7800</v>
      </c>
      <c r="AH2109" s="93">
        <v>7800</v>
      </c>
      <c r="AI2109" s="93">
        <v>7800</v>
      </c>
      <c r="AJ2109" s="93">
        <v>7800</v>
      </c>
      <c r="AK2109" s="93">
        <v>7800</v>
      </c>
      <c r="AL2109" s="93">
        <v>7800</v>
      </c>
      <c r="AM2109" s="93">
        <v>7800</v>
      </c>
      <c r="AN2109" s="93">
        <v>7800</v>
      </c>
      <c r="AO2109" s="93">
        <v>7800</v>
      </c>
      <c r="AP2109" s="93">
        <v>7800</v>
      </c>
      <c r="AQ2109" s="93">
        <v>7800</v>
      </c>
      <c r="AR2109" s="93">
        <v>7800</v>
      </c>
      <c r="AS2109" s="93">
        <v>7800</v>
      </c>
      <c r="AT2109" s="93">
        <v>7800</v>
      </c>
      <c r="AU2109" s="93">
        <v>7800</v>
      </c>
      <c r="AV2109" s="93">
        <v>7800</v>
      </c>
      <c r="AW2109" s="93">
        <v>7800</v>
      </c>
      <c r="AX2109" s="94">
        <v>7800</v>
      </c>
    </row>
    <row r="2110" spans="1:50" x14ac:dyDescent="0.25">
      <c r="A2110" s="356"/>
      <c r="B2110" s="359"/>
      <c r="C2110" s="350"/>
      <c r="D2110" s="2" t="s">
        <v>8</v>
      </c>
      <c r="E2110" s="160" t="str">
        <f>A2093&amp;"/"&amp;B2109&amp;"/"&amp;C2109&amp;"/"&amp;D2110</f>
        <v>Coal fired power plants/Fluidized bed combustion/Electricity only/M</v>
      </c>
      <c r="F2110" s="76" t="str">
        <f>A2093</f>
        <v>Coal fired power plants</v>
      </c>
      <c r="G2110" s="76" t="str">
        <f>B2109</f>
        <v>Fluidized bed combustion</v>
      </c>
      <c r="H2110" s="76" t="str">
        <f>C2109</f>
        <v>Electricity only</v>
      </c>
      <c r="I2110" s="161" t="str">
        <f t="shared" si="113"/>
        <v>M</v>
      </c>
      <c r="J2110" s="91">
        <v>6868.162533851224</v>
      </c>
      <c r="K2110" s="91">
        <v>6868.162533851224</v>
      </c>
      <c r="L2110" s="91">
        <v>6868.162533851224</v>
      </c>
      <c r="M2110" s="91">
        <v>6868.162533851224</v>
      </c>
      <c r="N2110" s="91">
        <v>6868.162533851224</v>
      </c>
      <c r="O2110" s="91">
        <v>6868.162533851224</v>
      </c>
      <c r="P2110" s="91">
        <v>6868.162533851224</v>
      </c>
      <c r="Q2110" s="91">
        <v>6868.162533851224</v>
      </c>
      <c r="R2110" s="91">
        <v>6868.162533851224</v>
      </c>
      <c r="S2110" s="91">
        <v>6868.162533851224</v>
      </c>
      <c r="T2110" s="91">
        <v>6868.162533851224</v>
      </c>
      <c r="U2110" s="91">
        <v>6868.162533851224</v>
      </c>
      <c r="V2110" s="91">
        <v>6868.162533851224</v>
      </c>
      <c r="W2110" s="91">
        <v>6868.162533851224</v>
      </c>
      <c r="X2110" s="91">
        <v>6868.162533851224</v>
      </c>
      <c r="Y2110" s="91">
        <v>6868.162533851224</v>
      </c>
      <c r="Z2110" s="91">
        <v>6868.162533851224</v>
      </c>
      <c r="AA2110" s="91">
        <v>6868.162533851224</v>
      </c>
      <c r="AB2110" s="91">
        <v>6868.162533851224</v>
      </c>
      <c r="AC2110" s="91">
        <v>6868.162533851224</v>
      </c>
      <c r="AD2110" s="91">
        <v>6868.162533851224</v>
      </c>
      <c r="AE2110" s="91">
        <v>6868.162533851224</v>
      </c>
      <c r="AF2110" s="91">
        <v>6868.162533851224</v>
      </c>
      <c r="AG2110" s="91">
        <v>6868.162533851224</v>
      </c>
      <c r="AH2110" s="91">
        <v>6868.162533851224</v>
      </c>
      <c r="AI2110" s="91">
        <v>6868.162533851224</v>
      </c>
      <c r="AJ2110" s="91">
        <v>6868.162533851224</v>
      </c>
      <c r="AK2110" s="91">
        <v>6868.162533851224</v>
      </c>
      <c r="AL2110" s="91">
        <v>6868.162533851224</v>
      </c>
      <c r="AM2110" s="91">
        <v>6868.162533851224</v>
      </c>
      <c r="AN2110" s="91">
        <v>6868.162533851224</v>
      </c>
      <c r="AO2110" s="91">
        <v>6868.162533851224</v>
      </c>
      <c r="AP2110" s="91">
        <v>6868.162533851224</v>
      </c>
      <c r="AQ2110" s="91">
        <v>6868.162533851224</v>
      </c>
      <c r="AR2110" s="91">
        <v>6868.162533851224</v>
      </c>
      <c r="AS2110" s="91">
        <v>6868.162533851224</v>
      </c>
      <c r="AT2110" s="91">
        <v>6868.162533851224</v>
      </c>
      <c r="AU2110" s="91">
        <v>6868.162533851224</v>
      </c>
      <c r="AV2110" s="91">
        <v>6868.162533851224</v>
      </c>
      <c r="AW2110" s="91">
        <v>6868.162533851224</v>
      </c>
      <c r="AX2110" s="92">
        <v>6868.162533851224</v>
      </c>
    </row>
    <row r="2111" spans="1:50" x14ac:dyDescent="0.25">
      <c r="A2111" s="356"/>
      <c r="B2111" s="359"/>
      <c r="C2111" s="360"/>
      <c r="D2111" s="2" t="s">
        <v>10</v>
      </c>
      <c r="E2111" s="160" t="str">
        <f>A2093&amp;"/"&amp;B2109&amp;"/"&amp;C2109&amp;"/"&amp;D2111</f>
        <v>Coal fired power plants/Fluidized bed combustion/Electricity only/S</v>
      </c>
      <c r="F2111" s="76" t="str">
        <f>A2093</f>
        <v>Coal fired power plants</v>
      </c>
      <c r="G2111" s="76" t="str">
        <f>B2109</f>
        <v>Fluidized bed combustion</v>
      </c>
      <c r="H2111" s="76" t="str">
        <f>C2109</f>
        <v>Electricity only</v>
      </c>
      <c r="I2111" s="161" t="str">
        <f t="shared" si="113"/>
        <v>S</v>
      </c>
      <c r="J2111" s="91">
        <v>5950.3206273232536</v>
      </c>
      <c r="K2111" s="91">
        <v>5950.3206273232536</v>
      </c>
      <c r="L2111" s="91">
        <v>5950.3206273232536</v>
      </c>
      <c r="M2111" s="91">
        <v>5950.3206273232536</v>
      </c>
      <c r="N2111" s="91">
        <v>5950.3206273232536</v>
      </c>
      <c r="O2111" s="91">
        <v>5950.3206273232536</v>
      </c>
      <c r="P2111" s="91">
        <v>5950.3206273232536</v>
      </c>
      <c r="Q2111" s="91">
        <v>5950.3206273232536</v>
      </c>
      <c r="R2111" s="91">
        <v>5950.3206273232536</v>
      </c>
      <c r="S2111" s="91">
        <v>5950.3206273232536</v>
      </c>
      <c r="T2111" s="91">
        <v>5950.3206273232536</v>
      </c>
      <c r="U2111" s="91">
        <v>5950.3206273232536</v>
      </c>
      <c r="V2111" s="91">
        <v>5950.3206273232536</v>
      </c>
      <c r="W2111" s="91">
        <v>5950.3206273232536</v>
      </c>
      <c r="X2111" s="91">
        <v>5950.3206273232536</v>
      </c>
      <c r="Y2111" s="91">
        <v>5950.3206273232536</v>
      </c>
      <c r="Z2111" s="91">
        <v>5950.3206273232536</v>
      </c>
      <c r="AA2111" s="91">
        <v>5950.3206273232536</v>
      </c>
      <c r="AB2111" s="91">
        <v>5950.3206273232536</v>
      </c>
      <c r="AC2111" s="91">
        <v>5950.3206273232536</v>
      </c>
      <c r="AD2111" s="91">
        <v>5950.3206273232536</v>
      </c>
      <c r="AE2111" s="91">
        <v>5950.3206273232536</v>
      </c>
      <c r="AF2111" s="91">
        <v>5950.3206273232536</v>
      </c>
      <c r="AG2111" s="91">
        <v>5950.3206273232536</v>
      </c>
      <c r="AH2111" s="91">
        <v>5950.3206273232536</v>
      </c>
      <c r="AI2111" s="91">
        <v>5950.3206273232536</v>
      </c>
      <c r="AJ2111" s="91">
        <v>5950.3206273232536</v>
      </c>
      <c r="AK2111" s="91">
        <v>5950.3206273232536</v>
      </c>
      <c r="AL2111" s="91">
        <v>5950.3206273232536</v>
      </c>
      <c r="AM2111" s="91">
        <v>5950.3206273232536</v>
      </c>
      <c r="AN2111" s="91">
        <v>5950.3206273232536</v>
      </c>
      <c r="AO2111" s="91">
        <v>5950.3206273232536</v>
      </c>
      <c r="AP2111" s="91">
        <v>5950.3206273232536</v>
      </c>
      <c r="AQ2111" s="91">
        <v>5950.3206273232536</v>
      </c>
      <c r="AR2111" s="91">
        <v>5950.3206273232536</v>
      </c>
      <c r="AS2111" s="91">
        <v>5950.3206273232536</v>
      </c>
      <c r="AT2111" s="91">
        <v>5950.3206273232536</v>
      </c>
      <c r="AU2111" s="91">
        <v>5950.3206273232536</v>
      </c>
      <c r="AV2111" s="91">
        <v>5950.3206273232536</v>
      </c>
      <c r="AW2111" s="91">
        <v>5950.3206273232536</v>
      </c>
      <c r="AX2111" s="92">
        <v>5950.3206273232536</v>
      </c>
    </row>
    <row r="2112" spans="1:50" x14ac:dyDescent="0.25">
      <c r="A2112" s="356"/>
      <c r="B2112" s="359"/>
      <c r="C2112" s="361" t="s">
        <v>14</v>
      </c>
      <c r="D2112" s="58" t="s">
        <v>7</v>
      </c>
      <c r="E2112" s="164" t="str">
        <f>A2093&amp;"/"&amp;B2109&amp;"/"&amp;C2112&amp;"/"&amp;D2112</f>
        <v>Coal fired power plants/Fluidized bed combustion/CHP/L</v>
      </c>
      <c r="F2112" s="78" t="str">
        <f>A2093</f>
        <v>Coal fired power plants</v>
      </c>
      <c r="G2112" s="78" t="str">
        <f>B2109</f>
        <v>Fluidized bed combustion</v>
      </c>
      <c r="H2112" s="78" t="str">
        <f>C2112</f>
        <v>CHP</v>
      </c>
      <c r="I2112" s="165" t="str">
        <f t="shared" si="113"/>
        <v>L</v>
      </c>
      <c r="J2112" s="95">
        <v>7437.5</v>
      </c>
      <c r="K2112" s="95">
        <v>7437.5</v>
      </c>
      <c r="L2112" s="95">
        <v>7437.5</v>
      </c>
      <c r="M2112" s="95">
        <v>7437.5</v>
      </c>
      <c r="N2112" s="95">
        <v>7437.5</v>
      </c>
      <c r="O2112" s="95">
        <v>7437.5</v>
      </c>
      <c r="P2112" s="95">
        <v>7437.5</v>
      </c>
      <c r="Q2112" s="95">
        <v>7437.5</v>
      </c>
      <c r="R2112" s="95">
        <v>7437.5</v>
      </c>
      <c r="S2112" s="95">
        <v>7437.5</v>
      </c>
      <c r="T2112" s="95">
        <v>7437.5</v>
      </c>
      <c r="U2112" s="95">
        <v>7437.5</v>
      </c>
      <c r="V2112" s="95">
        <v>7437.5</v>
      </c>
      <c r="W2112" s="95">
        <v>7437.5</v>
      </c>
      <c r="X2112" s="95">
        <v>7437.5</v>
      </c>
      <c r="Y2112" s="95">
        <v>7437.5</v>
      </c>
      <c r="Z2112" s="95">
        <v>7437.5</v>
      </c>
      <c r="AA2112" s="95">
        <v>7437.5</v>
      </c>
      <c r="AB2112" s="95">
        <v>7437.5</v>
      </c>
      <c r="AC2112" s="95">
        <v>7437.5</v>
      </c>
      <c r="AD2112" s="95">
        <v>7437.5</v>
      </c>
      <c r="AE2112" s="95">
        <v>7437.5</v>
      </c>
      <c r="AF2112" s="95">
        <v>7437.5</v>
      </c>
      <c r="AG2112" s="95">
        <v>7437.5</v>
      </c>
      <c r="AH2112" s="95">
        <v>7437.5</v>
      </c>
      <c r="AI2112" s="95">
        <v>7437.5</v>
      </c>
      <c r="AJ2112" s="95">
        <v>7437.5</v>
      </c>
      <c r="AK2112" s="95">
        <v>7437.5</v>
      </c>
      <c r="AL2112" s="95">
        <v>7437.5</v>
      </c>
      <c r="AM2112" s="95">
        <v>7437.5</v>
      </c>
      <c r="AN2112" s="95">
        <v>7437.5</v>
      </c>
      <c r="AO2112" s="95">
        <v>7437.5</v>
      </c>
      <c r="AP2112" s="95">
        <v>7437.5</v>
      </c>
      <c r="AQ2112" s="95">
        <v>7437.5</v>
      </c>
      <c r="AR2112" s="95">
        <v>7437.5</v>
      </c>
      <c r="AS2112" s="95">
        <v>7437.5</v>
      </c>
      <c r="AT2112" s="95">
        <v>7437.5</v>
      </c>
      <c r="AU2112" s="95">
        <v>7437.5</v>
      </c>
      <c r="AV2112" s="95">
        <v>7437.5</v>
      </c>
      <c r="AW2112" s="95">
        <v>7437.5</v>
      </c>
      <c r="AX2112" s="96">
        <v>7437.5</v>
      </c>
    </row>
    <row r="2113" spans="1:50" x14ac:dyDescent="0.25">
      <c r="A2113" s="356"/>
      <c r="B2113" s="359"/>
      <c r="C2113" s="350"/>
      <c r="D2113" s="2" t="s">
        <v>8</v>
      </c>
      <c r="E2113" s="160" t="str">
        <f>A2093&amp;"/"&amp;B2109&amp;"/"&amp;C2112&amp;"/"&amp;D2113</f>
        <v>Coal fired power plants/Fluidized bed combustion/CHP/M</v>
      </c>
      <c r="F2113" s="76" t="str">
        <f>A2093</f>
        <v>Coal fired power plants</v>
      </c>
      <c r="G2113" s="76" t="str">
        <f>B2109</f>
        <v>Fluidized bed combustion</v>
      </c>
      <c r="H2113" s="76" t="str">
        <f>C2112</f>
        <v>CHP</v>
      </c>
      <c r="I2113" s="161" t="str">
        <f t="shared" si="113"/>
        <v>M</v>
      </c>
      <c r="J2113" s="91">
        <v>6571.7533633601452</v>
      </c>
      <c r="K2113" s="91">
        <v>6571.7533633601452</v>
      </c>
      <c r="L2113" s="91">
        <v>6571.7533633601452</v>
      </c>
      <c r="M2113" s="91">
        <v>6571.7533633601452</v>
      </c>
      <c r="N2113" s="91">
        <v>6571.7533633601452</v>
      </c>
      <c r="O2113" s="91">
        <v>6571.7533633601452</v>
      </c>
      <c r="P2113" s="91">
        <v>6571.7533633601452</v>
      </c>
      <c r="Q2113" s="91">
        <v>6571.7533633601452</v>
      </c>
      <c r="R2113" s="91">
        <v>6571.7533633601452</v>
      </c>
      <c r="S2113" s="91">
        <v>6571.7533633601452</v>
      </c>
      <c r="T2113" s="91">
        <v>6571.7533633601452</v>
      </c>
      <c r="U2113" s="91">
        <v>6571.7533633601452</v>
      </c>
      <c r="V2113" s="91">
        <v>6571.7533633601452</v>
      </c>
      <c r="W2113" s="91">
        <v>6571.7533633601452</v>
      </c>
      <c r="X2113" s="91">
        <v>6571.7533633601452</v>
      </c>
      <c r="Y2113" s="91">
        <v>6571.7533633601452</v>
      </c>
      <c r="Z2113" s="91">
        <v>6571.7533633601452</v>
      </c>
      <c r="AA2113" s="91">
        <v>6571.7533633601452</v>
      </c>
      <c r="AB2113" s="91">
        <v>6571.7533633601452</v>
      </c>
      <c r="AC2113" s="91">
        <v>6571.7533633601452</v>
      </c>
      <c r="AD2113" s="91">
        <v>6571.7533633601452</v>
      </c>
      <c r="AE2113" s="91">
        <v>6571.7533633601452</v>
      </c>
      <c r="AF2113" s="91">
        <v>6571.7533633601452</v>
      </c>
      <c r="AG2113" s="91">
        <v>6571.7533633601452</v>
      </c>
      <c r="AH2113" s="91">
        <v>6571.7533633601452</v>
      </c>
      <c r="AI2113" s="91">
        <v>6571.7533633601452</v>
      </c>
      <c r="AJ2113" s="91">
        <v>6571.7533633601452</v>
      </c>
      <c r="AK2113" s="91">
        <v>6571.7533633601452</v>
      </c>
      <c r="AL2113" s="91">
        <v>6571.7533633601452</v>
      </c>
      <c r="AM2113" s="91">
        <v>6571.7533633601452</v>
      </c>
      <c r="AN2113" s="91">
        <v>6571.7533633601452</v>
      </c>
      <c r="AO2113" s="91">
        <v>6571.7533633601452</v>
      </c>
      <c r="AP2113" s="91">
        <v>6571.7533633601452</v>
      </c>
      <c r="AQ2113" s="91">
        <v>6571.7533633601452</v>
      </c>
      <c r="AR2113" s="91">
        <v>6571.7533633601452</v>
      </c>
      <c r="AS2113" s="91">
        <v>6571.7533633601452</v>
      </c>
      <c r="AT2113" s="91">
        <v>6571.7533633601452</v>
      </c>
      <c r="AU2113" s="91">
        <v>6571.7533633601452</v>
      </c>
      <c r="AV2113" s="91">
        <v>6571.7533633601452</v>
      </c>
      <c r="AW2113" s="91">
        <v>6571.7533633601452</v>
      </c>
      <c r="AX2113" s="92">
        <v>6571.7533633601452</v>
      </c>
    </row>
    <row r="2114" spans="1:50" x14ac:dyDescent="0.25">
      <c r="A2114" s="356"/>
      <c r="B2114" s="359"/>
      <c r="C2114" s="360"/>
      <c r="D2114" s="59" t="s">
        <v>10</v>
      </c>
      <c r="E2114" s="166" t="str">
        <f>A2093&amp;"/"&amp;B2109&amp;"/"&amp;C2112&amp;"/"&amp;D2114</f>
        <v>Coal fired power plants/Fluidized bed combustion/CHP/S</v>
      </c>
      <c r="F2114" s="79" t="str">
        <f>A2093</f>
        <v>Coal fired power plants</v>
      </c>
      <c r="G2114" s="79" t="str">
        <f>B2109</f>
        <v>Fluidized bed combustion</v>
      </c>
      <c r="H2114" s="79" t="str">
        <f>C2112</f>
        <v>CHP</v>
      </c>
      <c r="I2114" s="167" t="str">
        <f t="shared" si="113"/>
        <v>S</v>
      </c>
      <c r="J2114" s="97">
        <v>5716.1815515645976</v>
      </c>
      <c r="K2114" s="97">
        <v>5716.1815515645976</v>
      </c>
      <c r="L2114" s="97">
        <v>5716.1815515645976</v>
      </c>
      <c r="M2114" s="97">
        <v>5716.1815515645976</v>
      </c>
      <c r="N2114" s="97">
        <v>5716.1815515645976</v>
      </c>
      <c r="O2114" s="97">
        <v>5716.1815515645976</v>
      </c>
      <c r="P2114" s="97">
        <v>5716.1815515645976</v>
      </c>
      <c r="Q2114" s="97">
        <v>5716.1815515645976</v>
      </c>
      <c r="R2114" s="97">
        <v>5716.1815515645976</v>
      </c>
      <c r="S2114" s="97">
        <v>5716.1815515645976</v>
      </c>
      <c r="T2114" s="97">
        <v>5716.1815515645976</v>
      </c>
      <c r="U2114" s="97">
        <v>5716.1815515645976</v>
      </c>
      <c r="V2114" s="97">
        <v>5716.1815515645976</v>
      </c>
      <c r="W2114" s="97">
        <v>5716.1815515645976</v>
      </c>
      <c r="X2114" s="97">
        <v>5716.1815515645976</v>
      </c>
      <c r="Y2114" s="97">
        <v>5716.1815515645976</v>
      </c>
      <c r="Z2114" s="97">
        <v>5716.1815515645976</v>
      </c>
      <c r="AA2114" s="97">
        <v>5716.1815515645976</v>
      </c>
      <c r="AB2114" s="97">
        <v>5716.1815515645976</v>
      </c>
      <c r="AC2114" s="97">
        <v>5716.1815515645976</v>
      </c>
      <c r="AD2114" s="97">
        <v>5716.1815515645976</v>
      </c>
      <c r="AE2114" s="97">
        <v>5716.1815515645976</v>
      </c>
      <c r="AF2114" s="97">
        <v>5716.1815515645976</v>
      </c>
      <c r="AG2114" s="97">
        <v>5716.1815515645976</v>
      </c>
      <c r="AH2114" s="97">
        <v>5716.1815515645976</v>
      </c>
      <c r="AI2114" s="97">
        <v>5716.1815515645976</v>
      </c>
      <c r="AJ2114" s="97">
        <v>5716.1815515645976</v>
      </c>
      <c r="AK2114" s="97">
        <v>5716.1815515645976</v>
      </c>
      <c r="AL2114" s="97">
        <v>5716.1815515645976</v>
      </c>
      <c r="AM2114" s="97">
        <v>5716.1815515645976</v>
      </c>
      <c r="AN2114" s="97">
        <v>5716.1815515645976</v>
      </c>
      <c r="AO2114" s="97">
        <v>5716.1815515645976</v>
      </c>
      <c r="AP2114" s="97">
        <v>5716.1815515645976</v>
      </c>
      <c r="AQ2114" s="97">
        <v>5716.1815515645976</v>
      </c>
      <c r="AR2114" s="97">
        <v>5716.1815515645976</v>
      </c>
      <c r="AS2114" s="97">
        <v>5716.1815515645976</v>
      </c>
      <c r="AT2114" s="97">
        <v>5716.1815515645976</v>
      </c>
      <c r="AU2114" s="97">
        <v>5716.1815515645976</v>
      </c>
      <c r="AV2114" s="97">
        <v>5716.1815515645976</v>
      </c>
      <c r="AW2114" s="97">
        <v>5716.1815515645976</v>
      </c>
      <c r="AX2114" s="98">
        <v>5716.1815515645976</v>
      </c>
    </row>
    <row r="2115" spans="1:50" x14ac:dyDescent="0.25">
      <c r="A2115" s="356"/>
      <c r="B2115" s="359"/>
      <c r="C2115" s="361" t="s">
        <v>15</v>
      </c>
      <c r="D2115" s="58" t="s">
        <v>7</v>
      </c>
      <c r="E2115" s="164" t="str">
        <f>A2093&amp;"/"&amp;B2109&amp;"/"&amp;C2115&amp;"/"&amp;D2115</f>
        <v>Coal fired power plants/Fluidized bed combustion/Electricity only with CCS/L</v>
      </c>
      <c r="F2115" s="78" t="str">
        <f>A2093</f>
        <v>Coal fired power plants</v>
      </c>
      <c r="G2115" s="78" t="str">
        <f>B2109</f>
        <v>Fluidized bed combustion</v>
      </c>
      <c r="H2115" s="78" t="str">
        <f>C2115</f>
        <v>Electricity only with CCS</v>
      </c>
      <c r="I2115" s="165" t="str">
        <f t="shared" si="113"/>
        <v>L</v>
      </c>
      <c r="J2115" s="95" t="s">
        <v>112</v>
      </c>
      <c r="K2115" s="95" t="s">
        <v>112</v>
      </c>
      <c r="L2115" s="95" t="s">
        <v>112</v>
      </c>
      <c r="M2115" s="95" t="s">
        <v>112</v>
      </c>
      <c r="N2115" s="95" t="s">
        <v>112</v>
      </c>
      <c r="O2115" s="95" t="s">
        <v>112</v>
      </c>
      <c r="P2115" s="95" t="s">
        <v>112</v>
      </c>
      <c r="Q2115" s="95" t="s">
        <v>112</v>
      </c>
      <c r="R2115" s="95" t="s">
        <v>112</v>
      </c>
      <c r="S2115" s="95" t="s">
        <v>112</v>
      </c>
      <c r="T2115" s="95" t="s">
        <v>112</v>
      </c>
      <c r="U2115" s="95" t="s">
        <v>112</v>
      </c>
      <c r="V2115" s="95" t="s">
        <v>112</v>
      </c>
      <c r="W2115" s="95" t="s">
        <v>112</v>
      </c>
      <c r="X2115" s="95" t="s">
        <v>112</v>
      </c>
      <c r="Y2115" s="95" t="s">
        <v>112</v>
      </c>
      <c r="Z2115" s="95" t="s">
        <v>112</v>
      </c>
      <c r="AA2115" s="95" t="s">
        <v>112</v>
      </c>
      <c r="AB2115" s="95" t="s">
        <v>112</v>
      </c>
      <c r="AC2115" s="95" t="s">
        <v>112</v>
      </c>
      <c r="AD2115" s="95" t="s">
        <v>112</v>
      </c>
      <c r="AE2115" s="95">
        <v>7800</v>
      </c>
      <c r="AF2115" s="95">
        <v>7800</v>
      </c>
      <c r="AG2115" s="95">
        <v>7800</v>
      </c>
      <c r="AH2115" s="95">
        <v>7800</v>
      </c>
      <c r="AI2115" s="95">
        <v>7800</v>
      </c>
      <c r="AJ2115" s="95">
        <v>7800</v>
      </c>
      <c r="AK2115" s="95">
        <v>7800</v>
      </c>
      <c r="AL2115" s="95">
        <v>7800</v>
      </c>
      <c r="AM2115" s="95">
        <v>7800</v>
      </c>
      <c r="AN2115" s="95">
        <v>7800</v>
      </c>
      <c r="AO2115" s="95">
        <v>7800</v>
      </c>
      <c r="AP2115" s="95">
        <v>7800</v>
      </c>
      <c r="AQ2115" s="95">
        <v>7800</v>
      </c>
      <c r="AR2115" s="95">
        <v>7800</v>
      </c>
      <c r="AS2115" s="95">
        <v>7800</v>
      </c>
      <c r="AT2115" s="95">
        <v>7800</v>
      </c>
      <c r="AU2115" s="95">
        <v>7800</v>
      </c>
      <c r="AV2115" s="95">
        <v>7800</v>
      </c>
      <c r="AW2115" s="95">
        <v>7800</v>
      </c>
      <c r="AX2115" s="96">
        <v>7800</v>
      </c>
    </row>
    <row r="2116" spans="1:50" x14ac:dyDescent="0.25">
      <c r="A2116" s="356"/>
      <c r="B2116" s="359"/>
      <c r="C2116" s="360"/>
      <c r="D2116" s="59" t="s">
        <v>8</v>
      </c>
      <c r="E2116" s="166" t="str">
        <f>A2093&amp;"/"&amp;B2109&amp;"/"&amp;C2115&amp;"/"&amp;D2116</f>
        <v>Coal fired power plants/Fluidized bed combustion/Electricity only with CCS/M</v>
      </c>
      <c r="F2116" s="79" t="str">
        <f>A2093</f>
        <v>Coal fired power plants</v>
      </c>
      <c r="G2116" s="79" t="str">
        <f>B2109</f>
        <v>Fluidized bed combustion</v>
      </c>
      <c r="H2116" s="79" t="str">
        <f>C2115</f>
        <v>Electricity only with CCS</v>
      </c>
      <c r="I2116" s="167" t="str">
        <f t="shared" si="113"/>
        <v>M</v>
      </c>
      <c r="J2116" s="97" t="s">
        <v>112</v>
      </c>
      <c r="K2116" s="97" t="s">
        <v>112</v>
      </c>
      <c r="L2116" s="97" t="s">
        <v>112</v>
      </c>
      <c r="M2116" s="97" t="s">
        <v>112</v>
      </c>
      <c r="N2116" s="97" t="s">
        <v>112</v>
      </c>
      <c r="O2116" s="97" t="s">
        <v>112</v>
      </c>
      <c r="P2116" s="97" t="s">
        <v>112</v>
      </c>
      <c r="Q2116" s="97" t="s">
        <v>112</v>
      </c>
      <c r="R2116" s="97" t="s">
        <v>112</v>
      </c>
      <c r="S2116" s="97" t="s">
        <v>112</v>
      </c>
      <c r="T2116" s="97" t="s">
        <v>112</v>
      </c>
      <c r="U2116" s="97" t="s">
        <v>112</v>
      </c>
      <c r="V2116" s="97" t="s">
        <v>112</v>
      </c>
      <c r="W2116" s="97" t="s">
        <v>112</v>
      </c>
      <c r="X2116" s="97" t="s">
        <v>112</v>
      </c>
      <c r="Y2116" s="97" t="s">
        <v>112</v>
      </c>
      <c r="Z2116" s="97" t="s">
        <v>112</v>
      </c>
      <c r="AA2116" s="97" t="s">
        <v>112</v>
      </c>
      <c r="AB2116" s="97" t="s">
        <v>112</v>
      </c>
      <c r="AC2116" s="97" t="s">
        <v>112</v>
      </c>
      <c r="AD2116" s="97" t="s">
        <v>112</v>
      </c>
      <c r="AE2116" s="97">
        <v>6868.162533851224</v>
      </c>
      <c r="AF2116" s="97">
        <v>6868.162533851224</v>
      </c>
      <c r="AG2116" s="97">
        <v>6868.162533851224</v>
      </c>
      <c r="AH2116" s="97">
        <v>6868.162533851224</v>
      </c>
      <c r="AI2116" s="97">
        <v>6868.162533851224</v>
      </c>
      <c r="AJ2116" s="97">
        <v>6868.162533851224</v>
      </c>
      <c r="AK2116" s="97">
        <v>6868.162533851224</v>
      </c>
      <c r="AL2116" s="97">
        <v>6868.162533851224</v>
      </c>
      <c r="AM2116" s="97">
        <v>6868.162533851224</v>
      </c>
      <c r="AN2116" s="97">
        <v>6868.162533851224</v>
      </c>
      <c r="AO2116" s="97">
        <v>6868.162533851224</v>
      </c>
      <c r="AP2116" s="97">
        <v>6868.162533851224</v>
      </c>
      <c r="AQ2116" s="97">
        <v>6868.162533851224</v>
      </c>
      <c r="AR2116" s="97">
        <v>6868.162533851224</v>
      </c>
      <c r="AS2116" s="97">
        <v>6868.162533851224</v>
      </c>
      <c r="AT2116" s="97">
        <v>6868.162533851224</v>
      </c>
      <c r="AU2116" s="97">
        <v>6868.162533851224</v>
      </c>
      <c r="AV2116" s="97">
        <v>6868.162533851224</v>
      </c>
      <c r="AW2116" s="97">
        <v>6868.162533851224</v>
      </c>
      <c r="AX2116" s="98">
        <v>6868.162533851224</v>
      </c>
    </row>
    <row r="2117" spans="1:50" x14ac:dyDescent="0.25">
      <c r="A2117" s="356"/>
      <c r="B2117" s="359"/>
      <c r="C2117" s="361" t="s">
        <v>16</v>
      </c>
      <c r="D2117" s="2" t="s">
        <v>7</v>
      </c>
      <c r="E2117" s="160" t="str">
        <f>A2093&amp;"/"&amp;B2109&amp;"/"&amp;C2117&amp;"/"&amp;D2117</f>
        <v>Coal fired power plants/Fluidized bed combustion/CHP with CCS/L</v>
      </c>
      <c r="F2117" s="76" t="str">
        <f>A2093</f>
        <v>Coal fired power plants</v>
      </c>
      <c r="G2117" s="76" t="str">
        <f>B2109</f>
        <v>Fluidized bed combustion</v>
      </c>
      <c r="H2117" s="76" t="str">
        <f>C2117</f>
        <v>CHP with CCS</v>
      </c>
      <c r="I2117" s="161" t="str">
        <f t="shared" si="113"/>
        <v>L</v>
      </c>
      <c r="J2117" s="91" t="s">
        <v>112</v>
      </c>
      <c r="K2117" s="91" t="s">
        <v>112</v>
      </c>
      <c r="L2117" s="91" t="s">
        <v>112</v>
      </c>
      <c r="M2117" s="91" t="s">
        <v>112</v>
      </c>
      <c r="N2117" s="91" t="s">
        <v>112</v>
      </c>
      <c r="O2117" s="91" t="s">
        <v>112</v>
      </c>
      <c r="P2117" s="91" t="s">
        <v>112</v>
      </c>
      <c r="Q2117" s="91" t="s">
        <v>112</v>
      </c>
      <c r="R2117" s="91" t="s">
        <v>112</v>
      </c>
      <c r="S2117" s="91" t="s">
        <v>112</v>
      </c>
      <c r="T2117" s="91" t="s">
        <v>112</v>
      </c>
      <c r="U2117" s="91" t="s">
        <v>112</v>
      </c>
      <c r="V2117" s="91" t="s">
        <v>112</v>
      </c>
      <c r="W2117" s="91" t="s">
        <v>112</v>
      </c>
      <c r="X2117" s="91" t="s">
        <v>112</v>
      </c>
      <c r="Y2117" s="91" t="s">
        <v>112</v>
      </c>
      <c r="Z2117" s="91" t="s">
        <v>112</v>
      </c>
      <c r="AA2117" s="91" t="s">
        <v>112</v>
      </c>
      <c r="AB2117" s="91" t="s">
        <v>112</v>
      </c>
      <c r="AC2117" s="91" t="s">
        <v>112</v>
      </c>
      <c r="AD2117" s="91" t="s">
        <v>112</v>
      </c>
      <c r="AE2117" s="91">
        <v>7437.5</v>
      </c>
      <c r="AF2117" s="91">
        <v>7437.5</v>
      </c>
      <c r="AG2117" s="91">
        <v>7437.5</v>
      </c>
      <c r="AH2117" s="91">
        <v>7437.5</v>
      </c>
      <c r="AI2117" s="91">
        <v>7437.5</v>
      </c>
      <c r="AJ2117" s="91">
        <v>7437.5</v>
      </c>
      <c r="AK2117" s="91">
        <v>7437.5</v>
      </c>
      <c r="AL2117" s="91">
        <v>7437.5</v>
      </c>
      <c r="AM2117" s="91">
        <v>7437.5</v>
      </c>
      <c r="AN2117" s="91">
        <v>7437.5</v>
      </c>
      <c r="AO2117" s="91">
        <v>7437.5</v>
      </c>
      <c r="AP2117" s="91">
        <v>7437.5</v>
      </c>
      <c r="AQ2117" s="91">
        <v>7437.5</v>
      </c>
      <c r="AR2117" s="91">
        <v>7437.5</v>
      </c>
      <c r="AS2117" s="91">
        <v>7437.5</v>
      </c>
      <c r="AT2117" s="91">
        <v>7437.5</v>
      </c>
      <c r="AU2117" s="91">
        <v>7437.5</v>
      </c>
      <c r="AV2117" s="91">
        <v>7437.5</v>
      </c>
      <c r="AW2117" s="91">
        <v>7437.5</v>
      </c>
      <c r="AX2117" s="92">
        <v>7437.5</v>
      </c>
    </row>
    <row r="2118" spans="1:50" x14ac:dyDescent="0.25">
      <c r="A2118" s="356"/>
      <c r="B2118" s="362"/>
      <c r="C2118" s="354"/>
      <c r="D2118" s="4" t="s">
        <v>8</v>
      </c>
      <c r="E2118" s="168" t="str">
        <f>A2093&amp;"/"&amp;B2109&amp;"/"&amp;C2117&amp;"/"&amp;D2118</f>
        <v>Coal fired power plants/Fluidized bed combustion/CHP with CCS/M</v>
      </c>
      <c r="F2118" s="80" t="str">
        <f>A2093</f>
        <v>Coal fired power plants</v>
      </c>
      <c r="G2118" s="80" t="str">
        <f>B2109</f>
        <v>Fluidized bed combustion</v>
      </c>
      <c r="H2118" s="80" t="str">
        <f>C2117</f>
        <v>CHP with CCS</v>
      </c>
      <c r="I2118" s="169" t="str">
        <f t="shared" si="113"/>
        <v>M</v>
      </c>
      <c r="J2118" s="99" t="s">
        <v>112</v>
      </c>
      <c r="K2118" s="99" t="s">
        <v>112</v>
      </c>
      <c r="L2118" s="99" t="s">
        <v>112</v>
      </c>
      <c r="M2118" s="99" t="s">
        <v>112</v>
      </c>
      <c r="N2118" s="99" t="s">
        <v>112</v>
      </c>
      <c r="O2118" s="99" t="s">
        <v>112</v>
      </c>
      <c r="P2118" s="99" t="s">
        <v>112</v>
      </c>
      <c r="Q2118" s="99" t="s">
        <v>112</v>
      </c>
      <c r="R2118" s="99" t="s">
        <v>112</v>
      </c>
      <c r="S2118" s="99" t="s">
        <v>112</v>
      </c>
      <c r="T2118" s="99" t="s">
        <v>112</v>
      </c>
      <c r="U2118" s="99" t="s">
        <v>112</v>
      </c>
      <c r="V2118" s="99" t="s">
        <v>112</v>
      </c>
      <c r="W2118" s="99" t="s">
        <v>112</v>
      </c>
      <c r="X2118" s="99" t="s">
        <v>112</v>
      </c>
      <c r="Y2118" s="99" t="s">
        <v>112</v>
      </c>
      <c r="Z2118" s="99" t="s">
        <v>112</v>
      </c>
      <c r="AA2118" s="99" t="s">
        <v>112</v>
      </c>
      <c r="AB2118" s="99" t="s">
        <v>112</v>
      </c>
      <c r="AC2118" s="99" t="s">
        <v>112</v>
      </c>
      <c r="AD2118" s="99" t="s">
        <v>112</v>
      </c>
      <c r="AE2118" s="99">
        <v>6571.7533633601452</v>
      </c>
      <c r="AF2118" s="99">
        <v>6571.7533633601452</v>
      </c>
      <c r="AG2118" s="99">
        <v>6571.7533633601452</v>
      </c>
      <c r="AH2118" s="99">
        <v>6571.7533633601452</v>
      </c>
      <c r="AI2118" s="99">
        <v>6571.7533633601452</v>
      </c>
      <c r="AJ2118" s="99">
        <v>6571.7533633601452</v>
      </c>
      <c r="AK2118" s="99">
        <v>6571.7533633601452</v>
      </c>
      <c r="AL2118" s="99">
        <v>6571.7533633601452</v>
      </c>
      <c r="AM2118" s="99">
        <v>6571.7533633601452</v>
      </c>
      <c r="AN2118" s="99">
        <v>6571.7533633601452</v>
      </c>
      <c r="AO2118" s="99">
        <v>6571.7533633601452</v>
      </c>
      <c r="AP2118" s="99">
        <v>6571.7533633601452</v>
      </c>
      <c r="AQ2118" s="99">
        <v>6571.7533633601452</v>
      </c>
      <c r="AR2118" s="99">
        <v>6571.7533633601452</v>
      </c>
      <c r="AS2118" s="99">
        <v>6571.7533633601452</v>
      </c>
      <c r="AT2118" s="99">
        <v>6571.7533633601452</v>
      </c>
      <c r="AU2118" s="99">
        <v>6571.7533633601452</v>
      </c>
      <c r="AV2118" s="99">
        <v>6571.7533633601452</v>
      </c>
      <c r="AW2118" s="99">
        <v>6571.7533633601452</v>
      </c>
      <c r="AX2118" s="100">
        <v>6571.7533633601452</v>
      </c>
    </row>
    <row r="2119" spans="1:50" x14ac:dyDescent="0.25">
      <c r="A2119" s="356"/>
      <c r="B2119" s="358" t="s">
        <v>19</v>
      </c>
      <c r="C2119" s="353" t="s">
        <v>6</v>
      </c>
      <c r="D2119" s="3" t="s">
        <v>7</v>
      </c>
      <c r="E2119" s="162" t="str">
        <f>A2093&amp;"/"&amp;B2119&amp;"/"&amp;C2119&amp;"/"&amp;D2119</f>
        <v>Coal fired power plants/Steam turbine/Electricity only/L</v>
      </c>
      <c r="F2119" s="77" t="str">
        <f>A2093</f>
        <v>Coal fired power plants</v>
      </c>
      <c r="G2119" s="77" t="str">
        <f>B2119</f>
        <v>Steam turbine</v>
      </c>
      <c r="H2119" s="77" t="str">
        <f>C2119</f>
        <v>Electricity only</v>
      </c>
      <c r="I2119" s="163" t="str">
        <f t="shared" si="113"/>
        <v>L</v>
      </c>
      <c r="J2119" s="93">
        <v>7200</v>
      </c>
      <c r="K2119" s="93">
        <v>7200</v>
      </c>
      <c r="L2119" s="93">
        <v>7200</v>
      </c>
      <c r="M2119" s="93">
        <v>7200</v>
      </c>
      <c r="N2119" s="93">
        <v>7200</v>
      </c>
      <c r="O2119" s="93">
        <v>7200</v>
      </c>
      <c r="P2119" s="93">
        <v>7200</v>
      </c>
      <c r="Q2119" s="93">
        <v>7200</v>
      </c>
      <c r="R2119" s="93">
        <v>7200</v>
      </c>
      <c r="S2119" s="93">
        <v>7200</v>
      </c>
      <c r="T2119" s="93">
        <v>7200</v>
      </c>
      <c r="U2119" s="93">
        <v>7200</v>
      </c>
      <c r="V2119" s="93">
        <v>7200</v>
      </c>
      <c r="W2119" s="93">
        <v>7200</v>
      </c>
      <c r="X2119" s="93">
        <v>7200</v>
      </c>
      <c r="Y2119" s="93">
        <v>7200</v>
      </c>
      <c r="Z2119" s="93">
        <v>7200</v>
      </c>
      <c r="AA2119" s="93">
        <v>7200</v>
      </c>
      <c r="AB2119" s="93">
        <v>7200</v>
      </c>
      <c r="AC2119" s="93">
        <v>7200</v>
      </c>
      <c r="AD2119" s="93">
        <v>7200</v>
      </c>
      <c r="AE2119" s="93">
        <v>7200</v>
      </c>
      <c r="AF2119" s="93">
        <v>7200</v>
      </c>
      <c r="AG2119" s="93">
        <v>7200</v>
      </c>
      <c r="AH2119" s="93">
        <v>7200</v>
      </c>
      <c r="AI2119" s="93">
        <v>7200</v>
      </c>
      <c r="AJ2119" s="93">
        <v>7200</v>
      </c>
      <c r="AK2119" s="93">
        <v>7200</v>
      </c>
      <c r="AL2119" s="93">
        <v>7200</v>
      </c>
      <c r="AM2119" s="93">
        <v>7200</v>
      </c>
      <c r="AN2119" s="93">
        <v>7200</v>
      </c>
      <c r="AO2119" s="93">
        <v>7200</v>
      </c>
      <c r="AP2119" s="93">
        <v>7200</v>
      </c>
      <c r="AQ2119" s="93">
        <v>7200</v>
      </c>
      <c r="AR2119" s="93">
        <v>7200</v>
      </c>
      <c r="AS2119" s="93">
        <v>7200</v>
      </c>
      <c r="AT2119" s="93">
        <v>7200</v>
      </c>
      <c r="AU2119" s="93">
        <v>7200</v>
      </c>
      <c r="AV2119" s="93">
        <v>7200</v>
      </c>
      <c r="AW2119" s="93">
        <v>7200</v>
      </c>
      <c r="AX2119" s="94">
        <v>7200</v>
      </c>
    </row>
    <row r="2120" spans="1:50" x14ac:dyDescent="0.25">
      <c r="A2120" s="356"/>
      <c r="B2120" s="359"/>
      <c r="C2120" s="350"/>
      <c r="D2120" s="2" t="s">
        <v>8</v>
      </c>
      <c r="E2120" s="160" t="str">
        <f>A2093&amp;"/"&amp;B2119&amp;"/"&amp;C2119&amp;"/"&amp;D2120</f>
        <v>Coal fired power plants/Steam turbine/Electricity only/M</v>
      </c>
      <c r="F2120" s="76" t="str">
        <f>A2093</f>
        <v>Coal fired power plants</v>
      </c>
      <c r="G2120" s="76" t="str">
        <f>B2119</f>
        <v>Steam turbine</v>
      </c>
      <c r="H2120" s="76" t="str">
        <f>C2119</f>
        <v>Electricity only</v>
      </c>
      <c r="I2120" s="161" t="str">
        <f t="shared" si="113"/>
        <v>M</v>
      </c>
      <c r="J2120" s="91">
        <v>6628.5000504867112</v>
      </c>
      <c r="K2120" s="91">
        <v>6628.5000504867112</v>
      </c>
      <c r="L2120" s="91">
        <v>6628.5000504867112</v>
      </c>
      <c r="M2120" s="91">
        <v>6628.5000504867112</v>
      </c>
      <c r="N2120" s="91">
        <v>6628.5000504867112</v>
      </c>
      <c r="O2120" s="91">
        <v>6628.5000504867112</v>
      </c>
      <c r="P2120" s="91">
        <v>6628.5000504867112</v>
      </c>
      <c r="Q2120" s="91">
        <v>6628.5000504867112</v>
      </c>
      <c r="R2120" s="91">
        <v>6628.5000504867112</v>
      </c>
      <c r="S2120" s="91">
        <v>6628.5000504867112</v>
      </c>
      <c r="T2120" s="91">
        <v>6628.5000504867112</v>
      </c>
      <c r="U2120" s="91">
        <v>6628.5000504867112</v>
      </c>
      <c r="V2120" s="91">
        <v>6628.5000504867112</v>
      </c>
      <c r="W2120" s="91">
        <v>6628.5000504867112</v>
      </c>
      <c r="X2120" s="91">
        <v>6628.5000504867112</v>
      </c>
      <c r="Y2120" s="91">
        <v>6628.5000504867112</v>
      </c>
      <c r="Z2120" s="91">
        <v>6628.5000504867112</v>
      </c>
      <c r="AA2120" s="91">
        <v>6628.5000504867112</v>
      </c>
      <c r="AB2120" s="91">
        <v>6628.5000504867112</v>
      </c>
      <c r="AC2120" s="91">
        <v>6628.5000504867112</v>
      </c>
      <c r="AD2120" s="91">
        <v>6628.5000504867112</v>
      </c>
      <c r="AE2120" s="91">
        <v>6628.5000504867112</v>
      </c>
      <c r="AF2120" s="91">
        <v>6628.5000504867112</v>
      </c>
      <c r="AG2120" s="91">
        <v>6628.5000504867112</v>
      </c>
      <c r="AH2120" s="91">
        <v>6628.5000504867112</v>
      </c>
      <c r="AI2120" s="91">
        <v>6628.5000504867112</v>
      </c>
      <c r="AJ2120" s="91">
        <v>6628.5000504867112</v>
      </c>
      <c r="AK2120" s="91">
        <v>6628.5000504867112</v>
      </c>
      <c r="AL2120" s="91">
        <v>6628.5000504867112</v>
      </c>
      <c r="AM2120" s="91">
        <v>6628.5000504867112</v>
      </c>
      <c r="AN2120" s="91">
        <v>6628.5000504867112</v>
      </c>
      <c r="AO2120" s="91">
        <v>6628.5000504867112</v>
      </c>
      <c r="AP2120" s="91">
        <v>6628.5000504867112</v>
      </c>
      <c r="AQ2120" s="91">
        <v>6628.5000504867112</v>
      </c>
      <c r="AR2120" s="91">
        <v>6628.5000504867112</v>
      </c>
      <c r="AS2120" s="91">
        <v>6628.5000504867112</v>
      </c>
      <c r="AT2120" s="91">
        <v>6628.5000504867112</v>
      </c>
      <c r="AU2120" s="91">
        <v>6628.5000504867112</v>
      </c>
      <c r="AV2120" s="91">
        <v>6628.5000504867112</v>
      </c>
      <c r="AW2120" s="91">
        <v>6628.5000504867112</v>
      </c>
      <c r="AX2120" s="92">
        <v>6628.5000504867112</v>
      </c>
    </row>
    <row r="2121" spans="1:50" x14ac:dyDescent="0.25">
      <c r="A2121" s="356"/>
      <c r="B2121" s="359"/>
      <c r="C2121" s="350"/>
      <c r="D2121" s="2" t="s">
        <v>10</v>
      </c>
      <c r="E2121" s="160" t="str">
        <f>A2093&amp;"/"&amp;B2119&amp;"/"&amp;C2119&amp;"/"&amp;D2121</f>
        <v>Coal fired power plants/Steam turbine/Electricity only/S</v>
      </c>
      <c r="F2121" s="76" t="str">
        <f>A2093</f>
        <v>Coal fired power plants</v>
      </c>
      <c r="G2121" s="76" t="str">
        <f>B2119</f>
        <v>Steam turbine</v>
      </c>
      <c r="H2121" s="76" t="str">
        <f>C2119</f>
        <v>Electricity only</v>
      </c>
      <c r="I2121" s="161" t="str">
        <f t="shared" si="113"/>
        <v>S</v>
      </c>
      <c r="J2121" s="91">
        <v>5975.1348852382835</v>
      </c>
      <c r="K2121" s="91">
        <v>5975.1348852382835</v>
      </c>
      <c r="L2121" s="91">
        <v>5975.1348852382835</v>
      </c>
      <c r="M2121" s="91">
        <v>5975.1348852382835</v>
      </c>
      <c r="N2121" s="91">
        <v>5975.1348852382835</v>
      </c>
      <c r="O2121" s="91">
        <v>5975.1348852382835</v>
      </c>
      <c r="P2121" s="91">
        <v>5975.1348852382835</v>
      </c>
      <c r="Q2121" s="91">
        <v>5975.1348852382835</v>
      </c>
      <c r="R2121" s="91">
        <v>5975.1348852382835</v>
      </c>
      <c r="S2121" s="91">
        <v>5975.1348852382835</v>
      </c>
      <c r="T2121" s="91">
        <v>5975.1348852382835</v>
      </c>
      <c r="U2121" s="91">
        <v>5975.1348852382835</v>
      </c>
      <c r="V2121" s="91">
        <v>5975.1348852382835</v>
      </c>
      <c r="W2121" s="91">
        <v>5975.1348852382835</v>
      </c>
      <c r="X2121" s="91">
        <v>5975.1348852382835</v>
      </c>
      <c r="Y2121" s="91">
        <v>5975.1348852382835</v>
      </c>
      <c r="Z2121" s="91">
        <v>5975.1348852382835</v>
      </c>
      <c r="AA2121" s="91">
        <v>5975.1348852382835</v>
      </c>
      <c r="AB2121" s="91">
        <v>5975.1348852382835</v>
      </c>
      <c r="AC2121" s="91">
        <v>5975.1348852382835</v>
      </c>
      <c r="AD2121" s="91">
        <v>5975.1348852382835</v>
      </c>
      <c r="AE2121" s="91">
        <v>5975.1348852382835</v>
      </c>
      <c r="AF2121" s="91">
        <v>5975.1348852382835</v>
      </c>
      <c r="AG2121" s="91">
        <v>5975.1348852382835</v>
      </c>
      <c r="AH2121" s="91">
        <v>5975.1348852382835</v>
      </c>
      <c r="AI2121" s="91">
        <v>5975.1348852382835</v>
      </c>
      <c r="AJ2121" s="91">
        <v>5975.1348852382835</v>
      </c>
      <c r="AK2121" s="91">
        <v>5975.1348852382835</v>
      </c>
      <c r="AL2121" s="91">
        <v>5975.1348852382835</v>
      </c>
      <c r="AM2121" s="91">
        <v>5975.1348852382835</v>
      </c>
      <c r="AN2121" s="91">
        <v>5975.1348852382835</v>
      </c>
      <c r="AO2121" s="91">
        <v>5975.1348852382835</v>
      </c>
      <c r="AP2121" s="91">
        <v>5975.1348852382835</v>
      </c>
      <c r="AQ2121" s="91">
        <v>5975.1348852382835</v>
      </c>
      <c r="AR2121" s="91">
        <v>5975.1348852382835</v>
      </c>
      <c r="AS2121" s="91">
        <v>5975.1348852382835</v>
      </c>
      <c r="AT2121" s="91">
        <v>5975.1348852382835</v>
      </c>
      <c r="AU2121" s="91">
        <v>5975.1348852382835</v>
      </c>
      <c r="AV2121" s="91">
        <v>5975.1348852382835</v>
      </c>
      <c r="AW2121" s="91">
        <v>5975.1348852382835</v>
      </c>
      <c r="AX2121" s="92">
        <v>5975.1348852382835</v>
      </c>
    </row>
    <row r="2122" spans="1:50" x14ac:dyDescent="0.25">
      <c r="A2122" s="356"/>
      <c r="B2122" s="359"/>
      <c r="C2122" s="360"/>
      <c r="D2122" s="2" t="s">
        <v>20</v>
      </c>
      <c r="E2122" s="160" t="str">
        <f>A2093&amp;"/"&amp;B2119&amp;"/"&amp;C2119&amp;"/"&amp;D2122</f>
        <v>Coal fired power plants/Steam turbine/Electricity only/XS</v>
      </c>
      <c r="F2122" s="76" t="str">
        <f>A2093</f>
        <v>Coal fired power plants</v>
      </c>
      <c r="G2122" s="76" t="str">
        <f>B2119</f>
        <v>Steam turbine</v>
      </c>
      <c r="H2122" s="76" t="str">
        <f>C2119</f>
        <v>Electricity only</v>
      </c>
      <c r="I2122" s="161" t="str">
        <f t="shared" si="113"/>
        <v>XS</v>
      </c>
      <c r="J2122" s="91">
        <v>5642.7860365360393</v>
      </c>
      <c r="K2122" s="91">
        <v>5642.7860365360393</v>
      </c>
      <c r="L2122" s="91">
        <v>5642.7860365360393</v>
      </c>
      <c r="M2122" s="91">
        <v>5642.7860365360393</v>
      </c>
      <c r="N2122" s="91">
        <v>5642.7860365360393</v>
      </c>
      <c r="O2122" s="91">
        <v>5642.7860365360393</v>
      </c>
      <c r="P2122" s="91">
        <v>5642.7860365360393</v>
      </c>
      <c r="Q2122" s="91">
        <v>5642.7860365360393</v>
      </c>
      <c r="R2122" s="91">
        <v>5642.7860365360393</v>
      </c>
      <c r="S2122" s="91">
        <v>5642.7860365360393</v>
      </c>
      <c r="T2122" s="91">
        <v>5642.7860365360393</v>
      </c>
      <c r="U2122" s="91">
        <v>5642.7860365360393</v>
      </c>
      <c r="V2122" s="91">
        <v>5642.7860365360393</v>
      </c>
      <c r="W2122" s="91">
        <v>5642.7860365360393</v>
      </c>
      <c r="X2122" s="91">
        <v>5642.7860365360393</v>
      </c>
      <c r="Y2122" s="91">
        <v>5642.7860365360393</v>
      </c>
      <c r="Z2122" s="91">
        <v>5642.7860365360393</v>
      </c>
      <c r="AA2122" s="91">
        <v>5642.7860365360393</v>
      </c>
      <c r="AB2122" s="91">
        <v>5642.7860365360393</v>
      </c>
      <c r="AC2122" s="91">
        <v>5642.7860365360393</v>
      </c>
      <c r="AD2122" s="91">
        <v>5642.7860365360393</v>
      </c>
      <c r="AE2122" s="91">
        <v>5642.7860365360393</v>
      </c>
      <c r="AF2122" s="91">
        <v>5642.7860365360393</v>
      </c>
      <c r="AG2122" s="91">
        <v>5642.7860365360393</v>
      </c>
      <c r="AH2122" s="91">
        <v>5642.7860365360393</v>
      </c>
      <c r="AI2122" s="91">
        <v>5642.7860365360393</v>
      </c>
      <c r="AJ2122" s="91">
        <v>5642.7860365360393</v>
      </c>
      <c r="AK2122" s="91">
        <v>5642.7860365360393</v>
      </c>
      <c r="AL2122" s="91">
        <v>5642.7860365360393</v>
      </c>
      <c r="AM2122" s="91">
        <v>5642.7860365360393</v>
      </c>
      <c r="AN2122" s="91">
        <v>5642.7860365360393</v>
      </c>
      <c r="AO2122" s="91">
        <v>5642.7860365360393</v>
      </c>
      <c r="AP2122" s="91">
        <v>5642.7860365360393</v>
      </c>
      <c r="AQ2122" s="91">
        <v>5642.7860365360393</v>
      </c>
      <c r="AR2122" s="91">
        <v>5642.7860365360393</v>
      </c>
      <c r="AS2122" s="91">
        <v>5642.7860365360393</v>
      </c>
      <c r="AT2122" s="91">
        <v>5642.7860365360393</v>
      </c>
      <c r="AU2122" s="91">
        <v>5642.7860365360393</v>
      </c>
      <c r="AV2122" s="91">
        <v>5642.7860365360393</v>
      </c>
      <c r="AW2122" s="91">
        <v>5642.7860365360393</v>
      </c>
      <c r="AX2122" s="92">
        <v>5642.7860365360393</v>
      </c>
    </row>
    <row r="2123" spans="1:50" x14ac:dyDescent="0.25">
      <c r="A2123" s="356"/>
      <c r="B2123" s="359"/>
      <c r="C2123" s="361" t="s">
        <v>14</v>
      </c>
      <c r="D2123" s="58" t="s">
        <v>7</v>
      </c>
      <c r="E2123" s="164" t="str">
        <f>A2093&amp;"/"&amp;B2119&amp;"/"&amp;C2123&amp;"/"&amp;D2123</f>
        <v>Coal fired power plants/Steam turbine/CHP/L</v>
      </c>
      <c r="F2123" s="78" t="str">
        <f>A2093</f>
        <v>Coal fired power plants</v>
      </c>
      <c r="G2123" s="78" t="str">
        <f>B2119</f>
        <v>Steam turbine</v>
      </c>
      <c r="H2123" s="78" t="str">
        <f>C2123</f>
        <v>CHP</v>
      </c>
      <c r="I2123" s="165" t="str">
        <f t="shared" si="113"/>
        <v>L</v>
      </c>
      <c r="J2123" s="95">
        <v>6885</v>
      </c>
      <c r="K2123" s="95">
        <v>6885</v>
      </c>
      <c r="L2123" s="95">
        <v>6885</v>
      </c>
      <c r="M2123" s="95">
        <v>6885</v>
      </c>
      <c r="N2123" s="95">
        <v>6885</v>
      </c>
      <c r="O2123" s="95">
        <v>6885</v>
      </c>
      <c r="P2123" s="95">
        <v>6885</v>
      </c>
      <c r="Q2123" s="95">
        <v>6885</v>
      </c>
      <c r="R2123" s="95">
        <v>6885</v>
      </c>
      <c r="S2123" s="95">
        <v>6885</v>
      </c>
      <c r="T2123" s="95">
        <v>6885</v>
      </c>
      <c r="U2123" s="95">
        <v>6885</v>
      </c>
      <c r="V2123" s="95">
        <v>6885</v>
      </c>
      <c r="W2123" s="95">
        <v>6885</v>
      </c>
      <c r="X2123" s="95">
        <v>6885</v>
      </c>
      <c r="Y2123" s="95">
        <v>6885</v>
      </c>
      <c r="Z2123" s="95">
        <v>6885</v>
      </c>
      <c r="AA2123" s="95">
        <v>6885</v>
      </c>
      <c r="AB2123" s="95">
        <v>6885</v>
      </c>
      <c r="AC2123" s="95">
        <v>6885</v>
      </c>
      <c r="AD2123" s="95">
        <v>6885</v>
      </c>
      <c r="AE2123" s="95">
        <v>6885</v>
      </c>
      <c r="AF2123" s="95">
        <v>6885</v>
      </c>
      <c r="AG2123" s="95">
        <v>6885</v>
      </c>
      <c r="AH2123" s="95">
        <v>6885</v>
      </c>
      <c r="AI2123" s="95">
        <v>6885</v>
      </c>
      <c r="AJ2123" s="95">
        <v>6885</v>
      </c>
      <c r="AK2123" s="95">
        <v>6885</v>
      </c>
      <c r="AL2123" s="95">
        <v>6885</v>
      </c>
      <c r="AM2123" s="95">
        <v>6885</v>
      </c>
      <c r="AN2123" s="95">
        <v>6885</v>
      </c>
      <c r="AO2123" s="95">
        <v>6885</v>
      </c>
      <c r="AP2123" s="95">
        <v>6885</v>
      </c>
      <c r="AQ2123" s="95">
        <v>6885</v>
      </c>
      <c r="AR2123" s="95">
        <v>6885</v>
      </c>
      <c r="AS2123" s="95">
        <v>6885</v>
      </c>
      <c r="AT2123" s="95">
        <v>6885</v>
      </c>
      <c r="AU2123" s="95">
        <v>6885</v>
      </c>
      <c r="AV2123" s="95">
        <v>6885</v>
      </c>
      <c r="AW2123" s="95">
        <v>6885</v>
      </c>
      <c r="AX2123" s="96">
        <v>6885</v>
      </c>
    </row>
    <row r="2124" spans="1:50" x14ac:dyDescent="0.25">
      <c r="A2124" s="356"/>
      <c r="B2124" s="359"/>
      <c r="C2124" s="350"/>
      <c r="D2124" s="2" t="s">
        <v>8</v>
      </c>
      <c r="E2124" s="160" t="str">
        <f>A2093&amp;"/"&amp;B2119&amp;"/"&amp;C2123&amp;"/"&amp;D2124</f>
        <v>Coal fired power plants/Steam turbine/CHP/M</v>
      </c>
      <c r="F2124" s="76" t="str">
        <f>A2093</f>
        <v>Coal fired power plants</v>
      </c>
      <c r="G2124" s="76" t="str">
        <f>B2119</f>
        <v>Steam turbine</v>
      </c>
      <c r="H2124" s="76" t="str">
        <f>C2123</f>
        <v>CHP</v>
      </c>
      <c r="I2124" s="161" t="str">
        <f t="shared" si="113"/>
        <v>M</v>
      </c>
      <c r="J2124" s="91">
        <v>6352.9728078530043</v>
      </c>
      <c r="K2124" s="91">
        <v>6352.9728078530043</v>
      </c>
      <c r="L2124" s="91">
        <v>6352.9728078530043</v>
      </c>
      <c r="M2124" s="91">
        <v>6352.9728078530043</v>
      </c>
      <c r="N2124" s="91">
        <v>6352.9728078530043</v>
      </c>
      <c r="O2124" s="91">
        <v>6352.9728078530043</v>
      </c>
      <c r="P2124" s="91">
        <v>6352.9728078530043</v>
      </c>
      <c r="Q2124" s="91">
        <v>6352.9728078530043</v>
      </c>
      <c r="R2124" s="91">
        <v>6352.9728078530043</v>
      </c>
      <c r="S2124" s="91">
        <v>6352.9728078530043</v>
      </c>
      <c r="T2124" s="91">
        <v>6352.9728078530043</v>
      </c>
      <c r="U2124" s="91">
        <v>6352.9728078530043</v>
      </c>
      <c r="V2124" s="91">
        <v>6352.9728078530043</v>
      </c>
      <c r="W2124" s="91">
        <v>6352.9728078530043</v>
      </c>
      <c r="X2124" s="91">
        <v>6352.9728078530043</v>
      </c>
      <c r="Y2124" s="91">
        <v>6352.9728078530043</v>
      </c>
      <c r="Z2124" s="91">
        <v>6352.9728078530043</v>
      </c>
      <c r="AA2124" s="91">
        <v>6352.9728078530043</v>
      </c>
      <c r="AB2124" s="91">
        <v>6352.9728078530043</v>
      </c>
      <c r="AC2124" s="91">
        <v>6352.9728078530043</v>
      </c>
      <c r="AD2124" s="91">
        <v>6352.9728078530043</v>
      </c>
      <c r="AE2124" s="91">
        <v>6352.9728078530043</v>
      </c>
      <c r="AF2124" s="91">
        <v>6352.9728078530043</v>
      </c>
      <c r="AG2124" s="91">
        <v>6352.9728078530043</v>
      </c>
      <c r="AH2124" s="91">
        <v>6352.9728078530043</v>
      </c>
      <c r="AI2124" s="91">
        <v>6352.9728078530043</v>
      </c>
      <c r="AJ2124" s="91">
        <v>6352.9728078530043</v>
      </c>
      <c r="AK2124" s="91">
        <v>6352.9728078530043</v>
      </c>
      <c r="AL2124" s="91">
        <v>6352.9728078530043</v>
      </c>
      <c r="AM2124" s="91">
        <v>6352.9728078530043</v>
      </c>
      <c r="AN2124" s="91">
        <v>6352.9728078530043</v>
      </c>
      <c r="AO2124" s="91">
        <v>6352.9728078530043</v>
      </c>
      <c r="AP2124" s="91">
        <v>6352.9728078530043</v>
      </c>
      <c r="AQ2124" s="91">
        <v>6352.9728078530043</v>
      </c>
      <c r="AR2124" s="91">
        <v>6352.9728078530043</v>
      </c>
      <c r="AS2124" s="91">
        <v>6352.9728078530043</v>
      </c>
      <c r="AT2124" s="91">
        <v>6352.9728078530043</v>
      </c>
      <c r="AU2124" s="91">
        <v>6352.9728078530043</v>
      </c>
      <c r="AV2124" s="91">
        <v>6352.9728078530043</v>
      </c>
      <c r="AW2124" s="91">
        <v>6352.9728078530043</v>
      </c>
      <c r="AX2124" s="92">
        <v>6352.9728078530043</v>
      </c>
    </row>
    <row r="2125" spans="1:50" x14ac:dyDescent="0.25">
      <c r="A2125" s="356"/>
      <c r="B2125" s="359"/>
      <c r="C2125" s="350"/>
      <c r="D2125" s="2" t="s">
        <v>10</v>
      </c>
      <c r="E2125" s="160" t="str">
        <f>A2093&amp;"/"&amp;B2119&amp;"/"&amp;C2123&amp;"/"&amp;D2125</f>
        <v>Coal fired power plants/Steam turbine/CHP/S</v>
      </c>
      <c r="F2125" s="76" t="str">
        <f>A2093</f>
        <v>Coal fired power plants</v>
      </c>
      <c r="G2125" s="76" t="str">
        <f>B2119</f>
        <v>Steam turbine</v>
      </c>
      <c r="H2125" s="76" t="str">
        <f>C2123</f>
        <v>CHP</v>
      </c>
      <c r="I2125" s="161" t="str">
        <f t="shared" si="113"/>
        <v>S</v>
      </c>
      <c r="J2125" s="91">
        <v>5743.287979550666</v>
      </c>
      <c r="K2125" s="91">
        <v>5743.287979550666</v>
      </c>
      <c r="L2125" s="91">
        <v>5743.287979550666</v>
      </c>
      <c r="M2125" s="91">
        <v>5743.287979550666</v>
      </c>
      <c r="N2125" s="91">
        <v>5743.287979550666</v>
      </c>
      <c r="O2125" s="91">
        <v>5743.287979550666</v>
      </c>
      <c r="P2125" s="91">
        <v>5743.287979550666</v>
      </c>
      <c r="Q2125" s="91">
        <v>5743.287979550666</v>
      </c>
      <c r="R2125" s="91">
        <v>5743.287979550666</v>
      </c>
      <c r="S2125" s="91">
        <v>5743.287979550666</v>
      </c>
      <c r="T2125" s="91">
        <v>5743.287979550666</v>
      </c>
      <c r="U2125" s="91">
        <v>5743.287979550666</v>
      </c>
      <c r="V2125" s="91">
        <v>5743.287979550666</v>
      </c>
      <c r="W2125" s="91">
        <v>5743.287979550666</v>
      </c>
      <c r="X2125" s="91">
        <v>5743.287979550666</v>
      </c>
      <c r="Y2125" s="91">
        <v>5743.287979550666</v>
      </c>
      <c r="Z2125" s="91">
        <v>5743.287979550666</v>
      </c>
      <c r="AA2125" s="91">
        <v>5743.287979550666</v>
      </c>
      <c r="AB2125" s="91">
        <v>5743.287979550666</v>
      </c>
      <c r="AC2125" s="91">
        <v>5743.287979550666</v>
      </c>
      <c r="AD2125" s="91">
        <v>5743.287979550666</v>
      </c>
      <c r="AE2125" s="91">
        <v>5743.287979550666</v>
      </c>
      <c r="AF2125" s="91">
        <v>5743.287979550666</v>
      </c>
      <c r="AG2125" s="91">
        <v>5743.287979550666</v>
      </c>
      <c r="AH2125" s="91">
        <v>5743.287979550666</v>
      </c>
      <c r="AI2125" s="91">
        <v>5743.287979550666</v>
      </c>
      <c r="AJ2125" s="91">
        <v>5743.287979550666</v>
      </c>
      <c r="AK2125" s="91">
        <v>5743.287979550666</v>
      </c>
      <c r="AL2125" s="91">
        <v>5743.287979550666</v>
      </c>
      <c r="AM2125" s="91">
        <v>5743.287979550666</v>
      </c>
      <c r="AN2125" s="91">
        <v>5743.287979550666</v>
      </c>
      <c r="AO2125" s="91">
        <v>5743.287979550666</v>
      </c>
      <c r="AP2125" s="91">
        <v>5743.287979550666</v>
      </c>
      <c r="AQ2125" s="91">
        <v>5743.287979550666</v>
      </c>
      <c r="AR2125" s="91">
        <v>5743.287979550666</v>
      </c>
      <c r="AS2125" s="91">
        <v>5743.287979550666</v>
      </c>
      <c r="AT2125" s="91">
        <v>5743.287979550666</v>
      </c>
      <c r="AU2125" s="91">
        <v>5743.287979550666</v>
      </c>
      <c r="AV2125" s="91">
        <v>5743.287979550666</v>
      </c>
      <c r="AW2125" s="91">
        <v>5743.287979550666</v>
      </c>
      <c r="AX2125" s="92">
        <v>5743.287979550666</v>
      </c>
    </row>
    <row r="2126" spans="1:50" x14ac:dyDescent="0.25">
      <c r="A2126" s="356"/>
      <c r="B2126" s="359"/>
      <c r="C2126" s="360"/>
      <c r="D2126" s="59" t="s">
        <v>20</v>
      </c>
      <c r="E2126" s="166" t="str">
        <f>A2093&amp;"/"&amp;B2119&amp;"/"&amp;C2123&amp;"/"&amp;D2126</f>
        <v>Coal fired power plants/Steam turbine/CHP/XS</v>
      </c>
      <c r="F2126" s="79" t="str">
        <f>A2093</f>
        <v>Coal fired power plants</v>
      </c>
      <c r="G2126" s="79" t="str">
        <f>B2119</f>
        <v>Steam turbine</v>
      </c>
      <c r="H2126" s="79" t="str">
        <f>C2123</f>
        <v>CHP</v>
      </c>
      <c r="I2126" s="167" t="str">
        <f t="shared" si="113"/>
        <v>XS</v>
      </c>
      <c r="J2126" s="97">
        <v>5432.4795541155527</v>
      </c>
      <c r="K2126" s="97">
        <v>5432.4795541155527</v>
      </c>
      <c r="L2126" s="97">
        <v>5432.4795541155527</v>
      </c>
      <c r="M2126" s="97">
        <v>5432.4795541155527</v>
      </c>
      <c r="N2126" s="97">
        <v>5432.4795541155527</v>
      </c>
      <c r="O2126" s="97">
        <v>5432.4795541155527</v>
      </c>
      <c r="P2126" s="97">
        <v>5432.4795541155527</v>
      </c>
      <c r="Q2126" s="97">
        <v>5432.4795541155527</v>
      </c>
      <c r="R2126" s="97">
        <v>5432.4795541155527</v>
      </c>
      <c r="S2126" s="97">
        <v>5432.4795541155527</v>
      </c>
      <c r="T2126" s="97">
        <v>5432.4795541155527</v>
      </c>
      <c r="U2126" s="97">
        <v>5432.4795541155527</v>
      </c>
      <c r="V2126" s="97">
        <v>5432.4795541155527</v>
      </c>
      <c r="W2126" s="97">
        <v>5432.4795541155527</v>
      </c>
      <c r="X2126" s="97">
        <v>5432.4795541155527</v>
      </c>
      <c r="Y2126" s="97">
        <v>5432.4795541155527</v>
      </c>
      <c r="Z2126" s="97">
        <v>5432.4795541155527</v>
      </c>
      <c r="AA2126" s="97">
        <v>5432.4795541155527</v>
      </c>
      <c r="AB2126" s="97">
        <v>5432.4795541155527</v>
      </c>
      <c r="AC2126" s="97">
        <v>5432.4795541155527</v>
      </c>
      <c r="AD2126" s="97">
        <v>5432.4795541155527</v>
      </c>
      <c r="AE2126" s="97">
        <v>5432.4795541155527</v>
      </c>
      <c r="AF2126" s="97">
        <v>5432.4795541155527</v>
      </c>
      <c r="AG2126" s="97">
        <v>5432.4795541155527</v>
      </c>
      <c r="AH2126" s="97">
        <v>5432.4795541155527</v>
      </c>
      <c r="AI2126" s="97">
        <v>5432.4795541155527</v>
      </c>
      <c r="AJ2126" s="97">
        <v>5432.4795541155527</v>
      </c>
      <c r="AK2126" s="97">
        <v>5432.4795541155527</v>
      </c>
      <c r="AL2126" s="97">
        <v>5432.4795541155527</v>
      </c>
      <c r="AM2126" s="97">
        <v>5432.4795541155527</v>
      </c>
      <c r="AN2126" s="97">
        <v>5432.4795541155527</v>
      </c>
      <c r="AO2126" s="97">
        <v>5432.4795541155527</v>
      </c>
      <c r="AP2126" s="97">
        <v>5432.4795541155527</v>
      </c>
      <c r="AQ2126" s="97">
        <v>5432.4795541155527</v>
      </c>
      <c r="AR2126" s="97">
        <v>5432.4795541155527</v>
      </c>
      <c r="AS2126" s="97">
        <v>5432.4795541155527</v>
      </c>
      <c r="AT2126" s="97">
        <v>5432.4795541155527</v>
      </c>
      <c r="AU2126" s="97">
        <v>5432.4795541155527</v>
      </c>
      <c r="AV2126" s="97">
        <v>5432.4795541155527</v>
      </c>
      <c r="AW2126" s="97">
        <v>5432.4795541155527</v>
      </c>
      <c r="AX2126" s="98">
        <v>5432.4795541155527</v>
      </c>
    </row>
    <row r="2127" spans="1:50" x14ac:dyDescent="0.25">
      <c r="A2127" s="356"/>
      <c r="B2127" s="359"/>
      <c r="C2127" s="361" t="s">
        <v>15</v>
      </c>
      <c r="D2127" s="58" t="s">
        <v>7</v>
      </c>
      <c r="E2127" s="164" t="str">
        <f>A2093&amp;"/"&amp;B2119&amp;"/"&amp;C2127&amp;"/"&amp;D2127</f>
        <v>Coal fired power plants/Steam turbine/Electricity only with CCS/L</v>
      </c>
      <c r="F2127" s="78" t="str">
        <f>A2093</f>
        <v>Coal fired power plants</v>
      </c>
      <c r="G2127" s="78" t="str">
        <f>B2119</f>
        <v>Steam turbine</v>
      </c>
      <c r="H2127" s="78" t="str">
        <f>C2127</f>
        <v>Electricity only with CCS</v>
      </c>
      <c r="I2127" s="165" t="str">
        <f t="shared" si="113"/>
        <v>L</v>
      </c>
      <c r="J2127" s="95" t="s">
        <v>112</v>
      </c>
      <c r="K2127" s="95" t="s">
        <v>112</v>
      </c>
      <c r="L2127" s="95" t="s">
        <v>112</v>
      </c>
      <c r="M2127" s="95" t="s">
        <v>112</v>
      </c>
      <c r="N2127" s="95" t="s">
        <v>112</v>
      </c>
      <c r="O2127" s="95" t="s">
        <v>112</v>
      </c>
      <c r="P2127" s="95" t="s">
        <v>112</v>
      </c>
      <c r="Q2127" s="95" t="s">
        <v>112</v>
      </c>
      <c r="R2127" s="95" t="s">
        <v>112</v>
      </c>
      <c r="S2127" s="95" t="s">
        <v>112</v>
      </c>
      <c r="T2127" s="95" t="s">
        <v>112</v>
      </c>
      <c r="U2127" s="95" t="s">
        <v>112</v>
      </c>
      <c r="V2127" s="95" t="s">
        <v>112</v>
      </c>
      <c r="W2127" s="95" t="s">
        <v>112</v>
      </c>
      <c r="X2127" s="95" t="s">
        <v>112</v>
      </c>
      <c r="Y2127" s="95" t="s">
        <v>112</v>
      </c>
      <c r="Z2127" s="95" t="s">
        <v>112</v>
      </c>
      <c r="AA2127" s="95" t="s">
        <v>112</v>
      </c>
      <c r="AB2127" s="95" t="s">
        <v>112</v>
      </c>
      <c r="AC2127" s="95" t="s">
        <v>112</v>
      </c>
      <c r="AD2127" s="95" t="s">
        <v>112</v>
      </c>
      <c r="AE2127" s="95">
        <v>7200</v>
      </c>
      <c r="AF2127" s="95">
        <v>7200</v>
      </c>
      <c r="AG2127" s="95">
        <v>7200</v>
      </c>
      <c r="AH2127" s="95">
        <v>7200</v>
      </c>
      <c r="AI2127" s="95">
        <v>7200</v>
      </c>
      <c r="AJ2127" s="95">
        <v>7200</v>
      </c>
      <c r="AK2127" s="95">
        <v>7200</v>
      </c>
      <c r="AL2127" s="95">
        <v>7200</v>
      </c>
      <c r="AM2127" s="95">
        <v>7200</v>
      </c>
      <c r="AN2127" s="95">
        <v>7200</v>
      </c>
      <c r="AO2127" s="95">
        <v>7200</v>
      </c>
      <c r="AP2127" s="95">
        <v>7200</v>
      </c>
      <c r="AQ2127" s="95">
        <v>7200</v>
      </c>
      <c r="AR2127" s="95">
        <v>7200</v>
      </c>
      <c r="AS2127" s="95">
        <v>7200</v>
      </c>
      <c r="AT2127" s="95">
        <v>7200</v>
      </c>
      <c r="AU2127" s="95">
        <v>7200</v>
      </c>
      <c r="AV2127" s="95">
        <v>7200</v>
      </c>
      <c r="AW2127" s="95">
        <v>7200</v>
      </c>
      <c r="AX2127" s="96">
        <v>7200</v>
      </c>
    </row>
    <row r="2128" spans="1:50" x14ac:dyDescent="0.25">
      <c r="A2128" s="356"/>
      <c r="B2128" s="359"/>
      <c r="C2128" s="360"/>
      <c r="D2128" s="59" t="s">
        <v>8</v>
      </c>
      <c r="E2128" s="166" t="str">
        <f>A2093&amp;"/"&amp;B2119&amp;"/"&amp;C2127&amp;"/"&amp;D2128</f>
        <v>Coal fired power plants/Steam turbine/Electricity only with CCS/M</v>
      </c>
      <c r="F2128" s="79" t="str">
        <f>A2093</f>
        <v>Coal fired power plants</v>
      </c>
      <c r="G2128" s="79" t="str">
        <f>B2119</f>
        <v>Steam turbine</v>
      </c>
      <c r="H2128" s="79" t="str">
        <f>C2127</f>
        <v>Electricity only with CCS</v>
      </c>
      <c r="I2128" s="167" t="str">
        <f t="shared" si="113"/>
        <v>M</v>
      </c>
      <c r="J2128" s="97" t="s">
        <v>112</v>
      </c>
      <c r="K2128" s="97" t="s">
        <v>112</v>
      </c>
      <c r="L2128" s="97" t="s">
        <v>112</v>
      </c>
      <c r="M2128" s="97" t="s">
        <v>112</v>
      </c>
      <c r="N2128" s="97" t="s">
        <v>112</v>
      </c>
      <c r="O2128" s="97" t="s">
        <v>112</v>
      </c>
      <c r="P2128" s="97" t="s">
        <v>112</v>
      </c>
      <c r="Q2128" s="97" t="s">
        <v>112</v>
      </c>
      <c r="R2128" s="97" t="s">
        <v>112</v>
      </c>
      <c r="S2128" s="97" t="s">
        <v>112</v>
      </c>
      <c r="T2128" s="97" t="s">
        <v>112</v>
      </c>
      <c r="U2128" s="97" t="s">
        <v>112</v>
      </c>
      <c r="V2128" s="97" t="s">
        <v>112</v>
      </c>
      <c r="W2128" s="97" t="s">
        <v>112</v>
      </c>
      <c r="X2128" s="97" t="s">
        <v>112</v>
      </c>
      <c r="Y2128" s="97" t="s">
        <v>112</v>
      </c>
      <c r="Z2128" s="97" t="s">
        <v>112</v>
      </c>
      <c r="AA2128" s="97" t="s">
        <v>112</v>
      </c>
      <c r="AB2128" s="97" t="s">
        <v>112</v>
      </c>
      <c r="AC2128" s="97" t="s">
        <v>112</v>
      </c>
      <c r="AD2128" s="97" t="s">
        <v>112</v>
      </c>
      <c r="AE2128" s="97">
        <v>6628.5000504867112</v>
      </c>
      <c r="AF2128" s="97">
        <v>6628.5000504867112</v>
      </c>
      <c r="AG2128" s="97">
        <v>6628.5000504867112</v>
      </c>
      <c r="AH2128" s="97">
        <v>6628.5000504867112</v>
      </c>
      <c r="AI2128" s="97">
        <v>6628.5000504867112</v>
      </c>
      <c r="AJ2128" s="97">
        <v>6628.5000504867112</v>
      </c>
      <c r="AK2128" s="97">
        <v>6628.5000504867112</v>
      </c>
      <c r="AL2128" s="97">
        <v>6628.5000504867112</v>
      </c>
      <c r="AM2128" s="97">
        <v>6628.5000504867112</v>
      </c>
      <c r="AN2128" s="97">
        <v>6628.5000504867112</v>
      </c>
      <c r="AO2128" s="97">
        <v>6628.5000504867112</v>
      </c>
      <c r="AP2128" s="97">
        <v>6628.5000504867112</v>
      </c>
      <c r="AQ2128" s="97">
        <v>6628.5000504867112</v>
      </c>
      <c r="AR2128" s="97">
        <v>6628.5000504867112</v>
      </c>
      <c r="AS2128" s="97">
        <v>6628.5000504867112</v>
      </c>
      <c r="AT2128" s="97">
        <v>6628.5000504867112</v>
      </c>
      <c r="AU2128" s="97">
        <v>6628.5000504867112</v>
      </c>
      <c r="AV2128" s="97">
        <v>6628.5000504867112</v>
      </c>
      <c r="AW2128" s="97">
        <v>6628.5000504867112</v>
      </c>
      <c r="AX2128" s="98">
        <v>6628.5000504867112</v>
      </c>
    </row>
    <row r="2129" spans="1:50" x14ac:dyDescent="0.25">
      <c r="A2129" s="356"/>
      <c r="B2129" s="359"/>
      <c r="C2129" s="361" t="s">
        <v>16</v>
      </c>
      <c r="D2129" s="2" t="s">
        <v>7</v>
      </c>
      <c r="E2129" s="160" t="str">
        <f>A2093&amp;"/"&amp;B2119&amp;"/"&amp;C2129&amp;"/"&amp;D2129</f>
        <v>Coal fired power plants/Steam turbine/CHP with CCS/L</v>
      </c>
      <c r="F2129" s="76" t="str">
        <f>A2093</f>
        <v>Coal fired power plants</v>
      </c>
      <c r="G2129" s="76" t="str">
        <f>B2119</f>
        <v>Steam turbine</v>
      </c>
      <c r="H2129" s="76" t="str">
        <f>C2129</f>
        <v>CHP with CCS</v>
      </c>
      <c r="I2129" s="161" t="str">
        <f t="shared" si="113"/>
        <v>L</v>
      </c>
      <c r="J2129" s="91" t="s">
        <v>112</v>
      </c>
      <c r="K2129" s="91" t="s">
        <v>112</v>
      </c>
      <c r="L2129" s="91" t="s">
        <v>112</v>
      </c>
      <c r="M2129" s="91" t="s">
        <v>112</v>
      </c>
      <c r="N2129" s="91" t="s">
        <v>112</v>
      </c>
      <c r="O2129" s="91" t="s">
        <v>112</v>
      </c>
      <c r="P2129" s="91" t="s">
        <v>112</v>
      </c>
      <c r="Q2129" s="91" t="s">
        <v>112</v>
      </c>
      <c r="R2129" s="91" t="s">
        <v>112</v>
      </c>
      <c r="S2129" s="91" t="s">
        <v>112</v>
      </c>
      <c r="T2129" s="91" t="s">
        <v>112</v>
      </c>
      <c r="U2129" s="91" t="s">
        <v>112</v>
      </c>
      <c r="V2129" s="91" t="s">
        <v>112</v>
      </c>
      <c r="W2129" s="91" t="s">
        <v>112</v>
      </c>
      <c r="X2129" s="91" t="s">
        <v>112</v>
      </c>
      <c r="Y2129" s="91" t="s">
        <v>112</v>
      </c>
      <c r="Z2129" s="91" t="s">
        <v>112</v>
      </c>
      <c r="AA2129" s="91" t="s">
        <v>112</v>
      </c>
      <c r="AB2129" s="91" t="s">
        <v>112</v>
      </c>
      <c r="AC2129" s="91" t="s">
        <v>112</v>
      </c>
      <c r="AD2129" s="91" t="s">
        <v>112</v>
      </c>
      <c r="AE2129" s="91">
        <v>6885</v>
      </c>
      <c r="AF2129" s="91">
        <v>6885</v>
      </c>
      <c r="AG2129" s="91">
        <v>6885</v>
      </c>
      <c r="AH2129" s="91">
        <v>6885</v>
      </c>
      <c r="AI2129" s="91">
        <v>6885</v>
      </c>
      <c r="AJ2129" s="91">
        <v>6885</v>
      </c>
      <c r="AK2129" s="91">
        <v>6885</v>
      </c>
      <c r="AL2129" s="91">
        <v>6885</v>
      </c>
      <c r="AM2129" s="91">
        <v>6885</v>
      </c>
      <c r="AN2129" s="91">
        <v>6885</v>
      </c>
      <c r="AO2129" s="91">
        <v>6885</v>
      </c>
      <c r="AP2129" s="91">
        <v>6885</v>
      </c>
      <c r="AQ2129" s="91">
        <v>6885</v>
      </c>
      <c r="AR2129" s="91">
        <v>6885</v>
      </c>
      <c r="AS2129" s="91">
        <v>6885</v>
      </c>
      <c r="AT2129" s="91">
        <v>6885</v>
      </c>
      <c r="AU2129" s="91">
        <v>6885</v>
      </c>
      <c r="AV2129" s="91">
        <v>6885</v>
      </c>
      <c r="AW2129" s="91">
        <v>6885</v>
      </c>
      <c r="AX2129" s="92">
        <v>6885</v>
      </c>
    </row>
    <row r="2130" spans="1:50" x14ac:dyDescent="0.25">
      <c r="A2130" s="357"/>
      <c r="B2130" s="362"/>
      <c r="C2130" s="354"/>
      <c r="D2130" s="4" t="s">
        <v>8</v>
      </c>
      <c r="E2130" s="168" t="str">
        <f>A2093&amp;"/"&amp;B2119&amp;"/"&amp;C2129&amp;"/"&amp;D2130</f>
        <v>Coal fired power plants/Steam turbine/CHP with CCS/M</v>
      </c>
      <c r="F2130" s="80" t="str">
        <f>A2093</f>
        <v>Coal fired power plants</v>
      </c>
      <c r="G2130" s="80" t="str">
        <f>B2119</f>
        <v>Steam turbine</v>
      </c>
      <c r="H2130" s="80" t="str">
        <f>C2129</f>
        <v>CHP with CCS</v>
      </c>
      <c r="I2130" s="169" t="str">
        <f t="shared" si="113"/>
        <v>M</v>
      </c>
      <c r="J2130" s="99" t="s">
        <v>112</v>
      </c>
      <c r="K2130" s="99" t="s">
        <v>112</v>
      </c>
      <c r="L2130" s="99" t="s">
        <v>112</v>
      </c>
      <c r="M2130" s="99" t="s">
        <v>112</v>
      </c>
      <c r="N2130" s="99" t="s">
        <v>112</v>
      </c>
      <c r="O2130" s="99" t="s">
        <v>112</v>
      </c>
      <c r="P2130" s="99" t="s">
        <v>112</v>
      </c>
      <c r="Q2130" s="99" t="s">
        <v>112</v>
      </c>
      <c r="R2130" s="99" t="s">
        <v>112</v>
      </c>
      <c r="S2130" s="99" t="s">
        <v>112</v>
      </c>
      <c r="T2130" s="99" t="s">
        <v>112</v>
      </c>
      <c r="U2130" s="99" t="s">
        <v>112</v>
      </c>
      <c r="V2130" s="99" t="s">
        <v>112</v>
      </c>
      <c r="W2130" s="99" t="s">
        <v>112</v>
      </c>
      <c r="X2130" s="99" t="s">
        <v>112</v>
      </c>
      <c r="Y2130" s="99" t="s">
        <v>112</v>
      </c>
      <c r="Z2130" s="99" t="s">
        <v>112</v>
      </c>
      <c r="AA2130" s="99" t="s">
        <v>112</v>
      </c>
      <c r="AB2130" s="99" t="s">
        <v>112</v>
      </c>
      <c r="AC2130" s="99" t="s">
        <v>112</v>
      </c>
      <c r="AD2130" s="99" t="s">
        <v>112</v>
      </c>
      <c r="AE2130" s="99">
        <v>6352.9728078530043</v>
      </c>
      <c r="AF2130" s="99">
        <v>6352.9728078530043</v>
      </c>
      <c r="AG2130" s="99">
        <v>6352.9728078530043</v>
      </c>
      <c r="AH2130" s="99">
        <v>6352.9728078530043</v>
      </c>
      <c r="AI2130" s="99">
        <v>6352.9728078530043</v>
      </c>
      <c r="AJ2130" s="99">
        <v>6352.9728078530043</v>
      </c>
      <c r="AK2130" s="99">
        <v>6352.9728078530043</v>
      </c>
      <c r="AL2130" s="99">
        <v>6352.9728078530043</v>
      </c>
      <c r="AM2130" s="99">
        <v>6352.9728078530043</v>
      </c>
      <c r="AN2130" s="99">
        <v>6352.9728078530043</v>
      </c>
      <c r="AO2130" s="99">
        <v>6352.9728078530043</v>
      </c>
      <c r="AP2130" s="99">
        <v>6352.9728078530043</v>
      </c>
      <c r="AQ2130" s="99">
        <v>6352.9728078530043</v>
      </c>
      <c r="AR2130" s="99">
        <v>6352.9728078530043</v>
      </c>
      <c r="AS2130" s="99">
        <v>6352.9728078530043</v>
      </c>
      <c r="AT2130" s="99">
        <v>6352.9728078530043</v>
      </c>
      <c r="AU2130" s="99">
        <v>6352.9728078530043</v>
      </c>
      <c r="AV2130" s="99">
        <v>6352.9728078530043</v>
      </c>
      <c r="AW2130" s="99">
        <v>6352.9728078530043</v>
      </c>
      <c r="AX2130" s="100">
        <v>6352.9728078530043</v>
      </c>
    </row>
    <row r="2131" spans="1:50" x14ac:dyDescent="0.25">
      <c r="A2131" s="355" t="s">
        <v>21</v>
      </c>
      <c r="B2131" s="358" t="s">
        <v>13</v>
      </c>
      <c r="C2131" s="353" t="s">
        <v>6</v>
      </c>
      <c r="D2131" s="3" t="s">
        <v>7</v>
      </c>
      <c r="E2131" s="162" t="str">
        <f>A2131&amp;"/"&amp;B2131&amp;"/"&amp;C2131&amp;"/"&amp;D2131</f>
        <v>Lignite fired power plants/Integrated gasification combined cycle/Electricity only/L</v>
      </c>
      <c r="F2131" s="77" t="str">
        <f>A2131</f>
        <v>Lignite fired power plants</v>
      </c>
      <c r="G2131" s="77" t="str">
        <f>B2131</f>
        <v>Integrated gasification combined cycle</v>
      </c>
      <c r="H2131" s="77" t="str">
        <f>C2131</f>
        <v>Electricity only</v>
      </c>
      <c r="I2131" s="163" t="str">
        <f t="shared" si="113"/>
        <v>L</v>
      </c>
      <c r="J2131" s="93">
        <v>8505</v>
      </c>
      <c r="K2131" s="93">
        <v>8505</v>
      </c>
      <c r="L2131" s="93">
        <v>8505</v>
      </c>
      <c r="M2131" s="93">
        <v>8505</v>
      </c>
      <c r="N2131" s="93">
        <v>8505</v>
      </c>
      <c r="O2131" s="93">
        <v>8505</v>
      </c>
      <c r="P2131" s="93">
        <v>8505</v>
      </c>
      <c r="Q2131" s="93">
        <v>8505</v>
      </c>
      <c r="R2131" s="93">
        <v>8505</v>
      </c>
      <c r="S2131" s="93">
        <v>8505</v>
      </c>
      <c r="T2131" s="93">
        <v>8505</v>
      </c>
      <c r="U2131" s="93">
        <v>8505</v>
      </c>
      <c r="V2131" s="93">
        <v>8505</v>
      </c>
      <c r="W2131" s="93">
        <v>8505</v>
      </c>
      <c r="X2131" s="93">
        <v>8505</v>
      </c>
      <c r="Y2131" s="93">
        <v>8505</v>
      </c>
      <c r="Z2131" s="93">
        <v>8505</v>
      </c>
      <c r="AA2131" s="93">
        <v>8505</v>
      </c>
      <c r="AB2131" s="93">
        <v>8505</v>
      </c>
      <c r="AC2131" s="93">
        <v>8505</v>
      </c>
      <c r="AD2131" s="93">
        <v>8505</v>
      </c>
      <c r="AE2131" s="93">
        <v>8505</v>
      </c>
      <c r="AF2131" s="93">
        <v>8505</v>
      </c>
      <c r="AG2131" s="93">
        <v>8505</v>
      </c>
      <c r="AH2131" s="93">
        <v>8505</v>
      </c>
      <c r="AI2131" s="93">
        <v>8505</v>
      </c>
      <c r="AJ2131" s="93">
        <v>8505</v>
      </c>
      <c r="AK2131" s="93">
        <v>8505</v>
      </c>
      <c r="AL2131" s="93">
        <v>8505</v>
      </c>
      <c r="AM2131" s="93">
        <v>8505</v>
      </c>
      <c r="AN2131" s="93">
        <v>8505</v>
      </c>
      <c r="AO2131" s="93">
        <v>8505</v>
      </c>
      <c r="AP2131" s="93">
        <v>8505</v>
      </c>
      <c r="AQ2131" s="93">
        <v>8505</v>
      </c>
      <c r="AR2131" s="93">
        <v>8505</v>
      </c>
      <c r="AS2131" s="93">
        <v>8505</v>
      </c>
      <c r="AT2131" s="93">
        <v>8505</v>
      </c>
      <c r="AU2131" s="93">
        <v>8505</v>
      </c>
      <c r="AV2131" s="93">
        <v>8505</v>
      </c>
      <c r="AW2131" s="93">
        <v>8505</v>
      </c>
      <c r="AX2131" s="94">
        <v>8505</v>
      </c>
    </row>
    <row r="2132" spans="1:50" x14ac:dyDescent="0.25">
      <c r="A2132" s="356"/>
      <c r="B2132" s="359"/>
      <c r="C2132" s="360"/>
      <c r="D2132" s="2" t="s">
        <v>8</v>
      </c>
      <c r="E2132" s="160" t="str">
        <f>A2131&amp;"/"&amp;B2131&amp;"/"&amp;C2131&amp;"/"&amp;D2132</f>
        <v>Lignite fired power plants/Integrated gasification combined cycle/Electricity only/M</v>
      </c>
      <c r="F2132" s="76" t="str">
        <f>A2131</f>
        <v>Lignite fired power plants</v>
      </c>
      <c r="G2132" s="76" t="str">
        <f>B2131</f>
        <v>Integrated gasification combined cycle</v>
      </c>
      <c r="H2132" s="76" t="str">
        <f>C2131</f>
        <v>Electricity only</v>
      </c>
      <c r="I2132" s="161" t="str">
        <f t="shared" si="113"/>
        <v>M</v>
      </c>
      <c r="J2132" s="91">
        <v>7327.7343788085145</v>
      </c>
      <c r="K2132" s="91">
        <v>7327.7343788085145</v>
      </c>
      <c r="L2132" s="91">
        <v>7327.7343788085145</v>
      </c>
      <c r="M2132" s="91">
        <v>7327.7343788085145</v>
      </c>
      <c r="N2132" s="91">
        <v>7327.7343788085145</v>
      </c>
      <c r="O2132" s="91">
        <v>7327.7343788085145</v>
      </c>
      <c r="P2132" s="91">
        <v>7327.7343788085145</v>
      </c>
      <c r="Q2132" s="91">
        <v>7327.7343788085145</v>
      </c>
      <c r="R2132" s="91">
        <v>7327.7343788085145</v>
      </c>
      <c r="S2132" s="91">
        <v>7327.7343788085145</v>
      </c>
      <c r="T2132" s="91">
        <v>7327.7343788085145</v>
      </c>
      <c r="U2132" s="91">
        <v>7327.7343788085145</v>
      </c>
      <c r="V2132" s="91">
        <v>7327.7343788085145</v>
      </c>
      <c r="W2132" s="91">
        <v>7327.7343788085145</v>
      </c>
      <c r="X2132" s="91">
        <v>7327.7343788085145</v>
      </c>
      <c r="Y2132" s="91">
        <v>7327.7343788085145</v>
      </c>
      <c r="Z2132" s="91">
        <v>7327.7343788085145</v>
      </c>
      <c r="AA2132" s="91">
        <v>7327.7343788085145</v>
      </c>
      <c r="AB2132" s="91">
        <v>7327.7343788085145</v>
      </c>
      <c r="AC2132" s="91">
        <v>7327.7343788085145</v>
      </c>
      <c r="AD2132" s="91">
        <v>7327.7343788085145</v>
      </c>
      <c r="AE2132" s="91">
        <v>7327.7343788085145</v>
      </c>
      <c r="AF2132" s="91">
        <v>7327.7343788085145</v>
      </c>
      <c r="AG2132" s="91">
        <v>7327.7343788085145</v>
      </c>
      <c r="AH2132" s="91">
        <v>7327.7343788085145</v>
      </c>
      <c r="AI2132" s="91">
        <v>7327.7343788085145</v>
      </c>
      <c r="AJ2132" s="91">
        <v>7327.7343788085145</v>
      </c>
      <c r="AK2132" s="91">
        <v>7327.7343788085145</v>
      </c>
      <c r="AL2132" s="91">
        <v>7327.7343788085145</v>
      </c>
      <c r="AM2132" s="91">
        <v>7327.7343788085145</v>
      </c>
      <c r="AN2132" s="91">
        <v>7327.7343788085145</v>
      </c>
      <c r="AO2132" s="91">
        <v>7327.7343788085145</v>
      </c>
      <c r="AP2132" s="91">
        <v>7327.7343788085145</v>
      </c>
      <c r="AQ2132" s="91">
        <v>7327.7343788085145</v>
      </c>
      <c r="AR2132" s="91">
        <v>7327.7343788085145</v>
      </c>
      <c r="AS2132" s="91">
        <v>7327.7343788085145</v>
      </c>
      <c r="AT2132" s="91">
        <v>7327.7343788085145</v>
      </c>
      <c r="AU2132" s="91">
        <v>7327.7343788085145</v>
      </c>
      <c r="AV2132" s="91">
        <v>7327.7343788085145</v>
      </c>
      <c r="AW2132" s="91">
        <v>7327.7343788085145</v>
      </c>
      <c r="AX2132" s="92">
        <v>7327.7343788085145</v>
      </c>
    </row>
    <row r="2133" spans="1:50" x14ac:dyDescent="0.25">
      <c r="A2133" s="356"/>
      <c r="B2133" s="359"/>
      <c r="C2133" s="361" t="s">
        <v>14</v>
      </c>
      <c r="D2133" s="58" t="s">
        <v>7</v>
      </c>
      <c r="E2133" s="164" t="str">
        <f>A2131&amp;"/"&amp;B2131&amp;"/"&amp;C2133&amp;"/"&amp;D2133</f>
        <v>Lignite fired power plants/Integrated gasification combined cycle/CHP/L</v>
      </c>
      <c r="F2133" s="78" t="str">
        <f>A2131</f>
        <v>Lignite fired power plants</v>
      </c>
      <c r="G2133" s="78" t="str">
        <f>B2131</f>
        <v>Integrated gasification combined cycle</v>
      </c>
      <c r="H2133" s="78" t="str">
        <f>C2133</f>
        <v>CHP</v>
      </c>
      <c r="I2133" s="165" t="str">
        <f t="shared" si="113"/>
        <v>L</v>
      </c>
      <c r="J2133" s="95" t="s">
        <v>112</v>
      </c>
      <c r="K2133" s="95" t="s">
        <v>112</v>
      </c>
      <c r="L2133" s="95" t="s">
        <v>112</v>
      </c>
      <c r="M2133" s="95" t="s">
        <v>112</v>
      </c>
      <c r="N2133" s="95" t="s">
        <v>112</v>
      </c>
      <c r="O2133" s="95" t="s">
        <v>112</v>
      </c>
      <c r="P2133" s="95" t="s">
        <v>112</v>
      </c>
      <c r="Q2133" s="95" t="s">
        <v>112</v>
      </c>
      <c r="R2133" s="95" t="s">
        <v>112</v>
      </c>
      <c r="S2133" s="95" t="s">
        <v>112</v>
      </c>
      <c r="T2133" s="95">
        <v>8092.5</v>
      </c>
      <c r="U2133" s="95">
        <v>8092.5</v>
      </c>
      <c r="V2133" s="95">
        <v>8092.5</v>
      </c>
      <c r="W2133" s="95">
        <v>8092.5</v>
      </c>
      <c r="X2133" s="95">
        <v>8092.5</v>
      </c>
      <c r="Y2133" s="95">
        <v>8092.5</v>
      </c>
      <c r="Z2133" s="95">
        <v>8092.5</v>
      </c>
      <c r="AA2133" s="95">
        <v>8092.5</v>
      </c>
      <c r="AB2133" s="95">
        <v>8092.5</v>
      </c>
      <c r="AC2133" s="95">
        <v>8092.5</v>
      </c>
      <c r="AD2133" s="95">
        <v>8092.5</v>
      </c>
      <c r="AE2133" s="95">
        <v>8092.5</v>
      </c>
      <c r="AF2133" s="95">
        <v>8092.5</v>
      </c>
      <c r="AG2133" s="95">
        <v>8092.5</v>
      </c>
      <c r="AH2133" s="95">
        <v>8092.5</v>
      </c>
      <c r="AI2133" s="95">
        <v>8092.5</v>
      </c>
      <c r="AJ2133" s="95">
        <v>8092.5</v>
      </c>
      <c r="AK2133" s="95">
        <v>8092.5</v>
      </c>
      <c r="AL2133" s="95">
        <v>8092.5</v>
      </c>
      <c r="AM2133" s="95">
        <v>8092.5</v>
      </c>
      <c r="AN2133" s="95">
        <v>8092.5</v>
      </c>
      <c r="AO2133" s="95">
        <v>8092.5</v>
      </c>
      <c r="AP2133" s="95">
        <v>8092.5</v>
      </c>
      <c r="AQ2133" s="95">
        <v>8092.5</v>
      </c>
      <c r="AR2133" s="95">
        <v>8092.5</v>
      </c>
      <c r="AS2133" s="95">
        <v>8092.5</v>
      </c>
      <c r="AT2133" s="95">
        <v>8092.5</v>
      </c>
      <c r="AU2133" s="95">
        <v>8092.5</v>
      </c>
      <c r="AV2133" s="95">
        <v>8092.5</v>
      </c>
      <c r="AW2133" s="95">
        <v>8092.5</v>
      </c>
      <c r="AX2133" s="96">
        <v>8092.5</v>
      </c>
    </row>
    <row r="2134" spans="1:50" x14ac:dyDescent="0.25">
      <c r="A2134" s="356"/>
      <c r="B2134" s="359"/>
      <c r="C2134" s="360"/>
      <c r="D2134" s="59" t="s">
        <v>8</v>
      </c>
      <c r="E2134" s="166" t="str">
        <f>A2131&amp;"/"&amp;B2131&amp;"/"&amp;C2133&amp;"/"&amp;D2134</f>
        <v>Lignite fired power plants/Integrated gasification combined cycle/CHP/M</v>
      </c>
      <c r="F2134" s="79" t="str">
        <f>A2131</f>
        <v>Lignite fired power plants</v>
      </c>
      <c r="G2134" s="79" t="str">
        <f>B2131</f>
        <v>Integrated gasification combined cycle</v>
      </c>
      <c r="H2134" s="79" t="str">
        <f>C2133</f>
        <v>CHP</v>
      </c>
      <c r="I2134" s="167" t="str">
        <f t="shared" si="113"/>
        <v>M</v>
      </c>
      <c r="J2134" s="97" t="s">
        <v>112</v>
      </c>
      <c r="K2134" s="97" t="s">
        <v>112</v>
      </c>
      <c r="L2134" s="97" t="s">
        <v>112</v>
      </c>
      <c r="M2134" s="97" t="s">
        <v>112</v>
      </c>
      <c r="N2134" s="97" t="s">
        <v>112</v>
      </c>
      <c r="O2134" s="97" t="s">
        <v>112</v>
      </c>
      <c r="P2134" s="97" t="s">
        <v>112</v>
      </c>
      <c r="Q2134" s="97" t="s">
        <v>112</v>
      </c>
      <c r="R2134" s="97" t="s">
        <v>112</v>
      </c>
      <c r="S2134" s="97" t="s">
        <v>112</v>
      </c>
      <c r="T2134" s="97">
        <v>6687.0977658009688</v>
      </c>
      <c r="U2134" s="97">
        <v>6687.0977658009688</v>
      </c>
      <c r="V2134" s="97">
        <v>6687.0977658009688</v>
      </c>
      <c r="W2134" s="97">
        <v>6687.0977658009688</v>
      </c>
      <c r="X2134" s="97">
        <v>6687.0977658009688</v>
      </c>
      <c r="Y2134" s="97">
        <v>6687.0977658009688</v>
      </c>
      <c r="Z2134" s="97">
        <v>6687.0977658009688</v>
      </c>
      <c r="AA2134" s="97">
        <v>6687.0977658009688</v>
      </c>
      <c r="AB2134" s="97">
        <v>6687.0977658009688</v>
      </c>
      <c r="AC2134" s="97">
        <v>6687.0977658009688</v>
      </c>
      <c r="AD2134" s="97">
        <v>6687.0977658009688</v>
      </c>
      <c r="AE2134" s="97">
        <v>6687.0977658009688</v>
      </c>
      <c r="AF2134" s="97">
        <v>6687.0977658009688</v>
      </c>
      <c r="AG2134" s="97">
        <v>6687.0977658009688</v>
      </c>
      <c r="AH2134" s="97">
        <v>6687.0977658009688</v>
      </c>
      <c r="AI2134" s="97">
        <v>6687.0977658009688</v>
      </c>
      <c r="AJ2134" s="97">
        <v>6687.0977658009688</v>
      </c>
      <c r="AK2134" s="97">
        <v>6687.0977658009688</v>
      </c>
      <c r="AL2134" s="97">
        <v>6687.0977658009688</v>
      </c>
      <c r="AM2134" s="97">
        <v>6687.0977658009688</v>
      </c>
      <c r="AN2134" s="97">
        <v>6687.0977658009688</v>
      </c>
      <c r="AO2134" s="97">
        <v>6687.0977658009688</v>
      </c>
      <c r="AP2134" s="97">
        <v>6687.0977658009688</v>
      </c>
      <c r="AQ2134" s="97">
        <v>6687.0977658009688</v>
      </c>
      <c r="AR2134" s="97">
        <v>6687.0977658009688</v>
      </c>
      <c r="AS2134" s="97">
        <v>6687.0977658009688</v>
      </c>
      <c r="AT2134" s="97">
        <v>6687.0977658009688</v>
      </c>
      <c r="AU2134" s="97">
        <v>6687.0977658009688</v>
      </c>
      <c r="AV2134" s="97">
        <v>6687.0977658009688</v>
      </c>
      <c r="AW2134" s="97">
        <v>6687.0977658009688</v>
      </c>
      <c r="AX2134" s="98">
        <v>6687.0977658009688</v>
      </c>
    </row>
    <row r="2135" spans="1:50" x14ac:dyDescent="0.25">
      <c r="A2135" s="356"/>
      <c r="B2135" s="359"/>
      <c r="C2135" s="361" t="s">
        <v>15</v>
      </c>
      <c r="D2135" s="58" t="s">
        <v>7</v>
      </c>
      <c r="E2135" s="164" t="str">
        <f>A2131&amp;"/"&amp;B2131&amp;"/"&amp;C2135&amp;"/"&amp;D2135</f>
        <v>Lignite fired power plants/Integrated gasification combined cycle/Electricity only with CCS/L</v>
      </c>
      <c r="F2135" s="78" t="str">
        <f>A2131</f>
        <v>Lignite fired power plants</v>
      </c>
      <c r="G2135" s="78" t="str">
        <f>B2131</f>
        <v>Integrated gasification combined cycle</v>
      </c>
      <c r="H2135" s="78" t="str">
        <f>C2135</f>
        <v>Electricity only with CCS</v>
      </c>
      <c r="I2135" s="165" t="str">
        <f t="shared" si="113"/>
        <v>L</v>
      </c>
      <c r="J2135" s="95" t="s">
        <v>112</v>
      </c>
      <c r="K2135" s="95" t="s">
        <v>112</v>
      </c>
      <c r="L2135" s="95" t="s">
        <v>112</v>
      </c>
      <c r="M2135" s="95" t="s">
        <v>112</v>
      </c>
      <c r="N2135" s="95" t="s">
        <v>112</v>
      </c>
      <c r="O2135" s="95" t="s">
        <v>112</v>
      </c>
      <c r="P2135" s="95" t="s">
        <v>112</v>
      </c>
      <c r="Q2135" s="95" t="s">
        <v>112</v>
      </c>
      <c r="R2135" s="95" t="s">
        <v>112</v>
      </c>
      <c r="S2135" s="95" t="s">
        <v>112</v>
      </c>
      <c r="T2135" s="95" t="s">
        <v>112</v>
      </c>
      <c r="U2135" s="95" t="s">
        <v>112</v>
      </c>
      <c r="V2135" s="95" t="s">
        <v>112</v>
      </c>
      <c r="W2135" s="95" t="s">
        <v>112</v>
      </c>
      <c r="X2135" s="95" t="s">
        <v>112</v>
      </c>
      <c r="Y2135" s="95" t="s">
        <v>112</v>
      </c>
      <c r="Z2135" s="95" t="s">
        <v>112</v>
      </c>
      <c r="AA2135" s="95" t="s">
        <v>112</v>
      </c>
      <c r="AB2135" s="95" t="s">
        <v>112</v>
      </c>
      <c r="AC2135" s="95" t="s">
        <v>112</v>
      </c>
      <c r="AD2135" s="95" t="s">
        <v>112</v>
      </c>
      <c r="AE2135" s="95">
        <v>8505</v>
      </c>
      <c r="AF2135" s="95">
        <v>8505</v>
      </c>
      <c r="AG2135" s="95">
        <v>8505</v>
      </c>
      <c r="AH2135" s="95">
        <v>8505</v>
      </c>
      <c r="AI2135" s="95">
        <v>8505</v>
      </c>
      <c r="AJ2135" s="95">
        <v>8505</v>
      </c>
      <c r="AK2135" s="95">
        <v>8505</v>
      </c>
      <c r="AL2135" s="95">
        <v>8505</v>
      </c>
      <c r="AM2135" s="95">
        <v>8505</v>
      </c>
      <c r="AN2135" s="95">
        <v>8505</v>
      </c>
      <c r="AO2135" s="95">
        <v>8505</v>
      </c>
      <c r="AP2135" s="95">
        <v>8505</v>
      </c>
      <c r="AQ2135" s="95">
        <v>8505</v>
      </c>
      <c r="AR2135" s="95">
        <v>8505</v>
      </c>
      <c r="AS2135" s="95">
        <v>8505</v>
      </c>
      <c r="AT2135" s="95">
        <v>8505</v>
      </c>
      <c r="AU2135" s="95">
        <v>8505</v>
      </c>
      <c r="AV2135" s="95">
        <v>8505</v>
      </c>
      <c r="AW2135" s="95">
        <v>8505</v>
      </c>
      <c r="AX2135" s="96">
        <v>8505</v>
      </c>
    </row>
    <row r="2136" spans="1:50" x14ac:dyDescent="0.25">
      <c r="A2136" s="356"/>
      <c r="B2136" s="359"/>
      <c r="C2136" s="360"/>
      <c r="D2136" s="59" t="s">
        <v>8</v>
      </c>
      <c r="E2136" s="166" t="str">
        <f>A2131&amp;"/"&amp;B2131&amp;"/"&amp;C2135&amp;"/"&amp;D2136</f>
        <v>Lignite fired power plants/Integrated gasification combined cycle/Electricity only with CCS/M</v>
      </c>
      <c r="F2136" s="79" t="str">
        <f>A2131</f>
        <v>Lignite fired power plants</v>
      </c>
      <c r="G2136" s="79" t="str">
        <f>B2131</f>
        <v>Integrated gasification combined cycle</v>
      </c>
      <c r="H2136" s="79" t="str">
        <f>C2135</f>
        <v>Electricity only with CCS</v>
      </c>
      <c r="I2136" s="167" t="str">
        <f t="shared" si="113"/>
        <v>M</v>
      </c>
      <c r="J2136" s="97" t="s">
        <v>112</v>
      </c>
      <c r="K2136" s="97" t="s">
        <v>112</v>
      </c>
      <c r="L2136" s="97" t="s">
        <v>112</v>
      </c>
      <c r="M2136" s="97" t="s">
        <v>112</v>
      </c>
      <c r="N2136" s="97" t="s">
        <v>112</v>
      </c>
      <c r="O2136" s="97" t="s">
        <v>112</v>
      </c>
      <c r="P2136" s="97" t="s">
        <v>112</v>
      </c>
      <c r="Q2136" s="97" t="s">
        <v>112</v>
      </c>
      <c r="R2136" s="97" t="s">
        <v>112</v>
      </c>
      <c r="S2136" s="97" t="s">
        <v>112</v>
      </c>
      <c r="T2136" s="97" t="s">
        <v>112</v>
      </c>
      <c r="U2136" s="97" t="s">
        <v>112</v>
      </c>
      <c r="V2136" s="97" t="s">
        <v>112</v>
      </c>
      <c r="W2136" s="97" t="s">
        <v>112</v>
      </c>
      <c r="X2136" s="97" t="s">
        <v>112</v>
      </c>
      <c r="Y2136" s="97" t="s">
        <v>112</v>
      </c>
      <c r="Z2136" s="97" t="s">
        <v>112</v>
      </c>
      <c r="AA2136" s="97" t="s">
        <v>112</v>
      </c>
      <c r="AB2136" s="97" t="s">
        <v>112</v>
      </c>
      <c r="AC2136" s="97" t="s">
        <v>112</v>
      </c>
      <c r="AD2136" s="97" t="s">
        <v>112</v>
      </c>
      <c r="AE2136" s="97">
        <v>7327.7343788085145</v>
      </c>
      <c r="AF2136" s="97">
        <v>7327.7343788085145</v>
      </c>
      <c r="AG2136" s="97">
        <v>7327.7343788085145</v>
      </c>
      <c r="AH2136" s="97">
        <v>7327.7343788085145</v>
      </c>
      <c r="AI2136" s="97">
        <v>7327.7343788085145</v>
      </c>
      <c r="AJ2136" s="97">
        <v>7327.7343788085145</v>
      </c>
      <c r="AK2136" s="97">
        <v>7327.7343788085145</v>
      </c>
      <c r="AL2136" s="97">
        <v>7327.7343788085145</v>
      </c>
      <c r="AM2136" s="97">
        <v>7327.7343788085145</v>
      </c>
      <c r="AN2136" s="97">
        <v>7327.7343788085145</v>
      </c>
      <c r="AO2136" s="97">
        <v>7327.7343788085145</v>
      </c>
      <c r="AP2136" s="97">
        <v>7327.7343788085145</v>
      </c>
      <c r="AQ2136" s="97">
        <v>7327.7343788085145</v>
      </c>
      <c r="AR2136" s="97">
        <v>7327.7343788085145</v>
      </c>
      <c r="AS2136" s="97">
        <v>7327.7343788085145</v>
      </c>
      <c r="AT2136" s="97">
        <v>7327.7343788085145</v>
      </c>
      <c r="AU2136" s="97">
        <v>7327.7343788085145</v>
      </c>
      <c r="AV2136" s="97">
        <v>7327.7343788085145</v>
      </c>
      <c r="AW2136" s="97">
        <v>7327.7343788085145</v>
      </c>
      <c r="AX2136" s="98">
        <v>7327.7343788085145</v>
      </c>
    </row>
    <row r="2137" spans="1:50" x14ac:dyDescent="0.25">
      <c r="A2137" s="356"/>
      <c r="B2137" s="359"/>
      <c r="C2137" s="361" t="s">
        <v>16</v>
      </c>
      <c r="D2137" s="2" t="s">
        <v>7</v>
      </c>
      <c r="E2137" s="160" t="str">
        <f>A2131&amp;"/"&amp;B2131&amp;"/"&amp;C2137&amp;"/"&amp;D2137</f>
        <v>Lignite fired power plants/Integrated gasification combined cycle/CHP with CCS/L</v>
      </c>
      <c r="F2137" s="76" t="str">
        <f>A2131</f>
        <v>Lignite fired power plants</v>
      </c>
      <c r="G2137" s="76" t="str">
        <f>B2131</f>
        <v>Integrated gasification combined cycle</v>
      </c>
      <c r="H2137" s="76" t="str">
        <f>C2137</f>
        <v>CHP with CCS</v>
      </c>
      <c r="I2137" s="161" t="str">
        <f t="shared" si="113"/>
        <v>L</v>
      </c>
      <c r="J2137" s="91" t="s">
        <v>112</v>
      </c>
      <c r="K2137" s="91" t="s">
        <v>112</v>
      </c>
      <c r="L2137" s="91" t="s">
        <v>112</v>
      </c>
      <c r="M2137" s="91" t="s">
        <v>112</v>
      </c>
      <c r="N2137" s="91" t="s">
        <v>112</v>
      </c>
      <c r="O2137" s="91" t="s">
        <v>112</v>
      </c>
      <c r="P2137" s="91" t="s">
        <v>112</v>
      </c>
      <c r="Q2137" s="91" t="s">
        <v>112</v>
      </c>
      <c r="R2137" s="91" t="s">
        <v>112</v>
      </c>
      <c r="S2137" s="91" t="s">
        <v>112</v>
      </c>
      <c r="T2137" s="91" t="s">
        <v>112</v>
      </c>
      <c r="U2137" s="91" t="s">
        <v>112</v>
      </c>
      <c r="V2137" s="91" t="s">
        <v>112</v>
      </c>
      <c r="W2137" s="91" t="s">
        <v>112</v>
      </c>
      <c r="X2137" s="91" t="s">
        <v>112</v>
      </c>
      <c r="Y2137" s="91" t="s">
        <v>112</v>
      </c>
      <c r="Z2137" s="91" t="s">
        <v>112</v>
      </c>
      <c r="AA2137" s="91" t="s">
        <v>112</v>
      </c>
      <c r="AB2137" s="91" t="s">
        <v>112</v>
      </c>
      <c r="AC2137" s="91" t="s">
        <v>112</v>
      </c>
      <c r="AD2137" s="91" t="s">
        <v>112</v>
      </c>
      <c r="AE2137" s="91">
        <v>8092.5</v>
      </c>
      <c r="AF2137" s="91">
        <v>8092.5</v>
      </c>
      <c r="AG2137" s="91">
        <v>8092.5</v>
      </c>
      <c r="AH2137" s="91">
        <v>8092.5</v>
      </c>
      <c r="AI2137" s="91">
        <v>8092.5</v>
      </c>
      <c r="AJ2137" s="91">
        <v>8092.5</v>
      </c>
      <c r="AK2137" s="91">
        <v>8092.5</v>
      </c>
      <c r="AL2137" s="91">
        <v>8092.5</v>
      </c>
      <c r="AM2137" s="91">
        <v>8092.5</v>
      </c>
      <c r="AN2137" s="91">
        <v>8092.5</v>
      </c>
      <c r="AO2137" s="91">
        <v>8092.5</v>
      </c>
      <c r="AP2137" s="91">
        <v>8092.5</v>
      </c>
      <c r="AQ2137" s="91">
        <v>8092.5</v>
      </c>
      <c r="AR2137" s="91">
        <v>8092.5</v>
      </c>
      <c r="AS2137" s="91">
        <v>8092.5</v>
      </c>
      <c r="AT2137" s="91">
        <v>8092.5</v>
      </c>
      <c r="AU2137" s="91">
        <v>8092.5</v>
      </c>
      <c r="AV2137" s="91">
        <v>8092.5</v>
      </c>
      <c r="AW2137" s="91">
        <v>8092.5</v>
      </c>
      <c r="AX2137" s="92">
        <v>8092.5</v>
      </c>
    </row>
    <row r="2138" spans="1:50" x14ac:dyDescent="0.25">
      <c r="A2138" s="356"/>
      <c r="B2138" s="359"/>
      <c r="C2138" s="354"/>
      <c r="D2138" s="2" t="s">
        <v>8</v>
      </c>
      <c r="E2138" s="168" t="str">
        <f>A2131&amp;"/"&amp;B2131&amp;"/"&amp;C2137&amp;"/"&amp;D2138</f>
        <v>Lignite fired power plants/Integrated gasification combined cycle/CHP with CCS/M</v>
      </c>
      <c r="F2138" s="80" t="str">
        <f>A2131</f>
        <v>Lignite fired power plants</v>
      </c>
      <c r="G2138" s="80" t="str">
        <f>B2131</f>
        <v>Integrated gasification combined cycle</v>
      </c>
      <c r="H2138" s="80" t="str">
        <f>C2137</f>
        <v>CHP with CCS</v>
      </c>
      <c r="I2138" s="169" t="str">
        <f t="shared" si="113"/>
        <v>M</v>
      </c>
      <c r="J2138" s="99" t="s">
        <v>112</v>
      </c>
      <c r="K2138" s="99" t="s">
        <v>112</v>
      </c>
      <c r="L2138" s="99" t="s">
        <v>112</v>
      </c>
      <c r="M2138" s="99" t="s">
        <v>112</v>
      </c>
      <c r="N2138" s="99" t="s">
        <v>112</v>
      </c>
      <c r="O2138" s="99" t="s">
        <v>112</v>
      </c>
      <c r="P2138" s="99" t="s">
        <v>112</v>
      </c>
      <c r="Q2138" s="99" t="s">
        <v>112</v>
      </c>
      <c r="R2138" s="99" t="s">
        <v>112</v>
      </c>
      <c r="S2138" s="99" t="s">
        <v>112</v>
      </c>
      <c r="T2138" s="99" t="s">
        <v>112</v>
      </c>
      <c r="U2138" s="99" t="s">
        <v>112</v>
      </c>
      <c r="V2138" s="99" t="s">
        <v>112</v>
      </c>
      <c r="W2138" s="99" t="s">
        <v>112</v>
      </c>
      <c r="X2138" s="99" t="s">
        <v>112</v>
      </c>
      <c r="Y2138" s="99" t="s">
        <v>112</v>
      </c>
      <c r="Z2138" s="99" t="s">
        <v>112</v>
      </c>
      <c r="AA2138" s="99" t="s">
        <v>112</v>
      </c>
      <c r="AB2138" s="99" t="s">
        <v>112</v>
      </c>
      <c r="AC2138" s="99" t="s">
        <v>112</v>
      </c>
      <c r="AD2138" s="99" t="s">
        <v>112</v>
      </c>
      <c r="AE2138" s="99">
        <v>6687.0977658009688</v>
      </c>
      <c r="AF2138" s="99">
        <v>6687.0977658009688</v>
      </c>
      <c r="AG2138" s="99">
        <v>6687.0977658009688</v>
      </c>
      <c r="AH2138" s="99">
        <v>6687.0977658009688</v>
      </c>
      <c r="AI2138" s="99">
        <v>6687.0977658009688</v>
      </c>
      <c r="AJ2138" s="99">
        <v>6687.0977658009688</v>
      </c>
      <c r="AK2138" s="99">
        <v>6687.0977658009688</v>
      </c>
      <c r="AL2138" s="99">
        <v>6687.0977658009688</v>
      </c>
      <c r="AM2138" s="99">
        <v>6687.0977658009688</v>
      </c>
      <c r="AN2138" s="99">
        <v>6687.0977658009688</v>
      </c>
      <c r="AO2138" s="99">
        <v>6687.0977658009688</v>
      </c>
      <c r="AP2138" s="99">
        <v>6687.0977658009688</v>
      </c>
      <c r="AQ2138" s="99">
        <v>6687.0977658009688</v>
      </c>
      <c r="AR2138" s="99">
        <v>6687.0977658009688</v>
      </c>
      <c r="AS2138" s="99">
        <v>6687.0977658009688</v>
      </c>
      <c r="AT2138" s="99">
        <v>6687.0977658009688</v>
      </c>
      <c r="AU2138" s="99">
        <v>6687.0977658009688</v>
      </c>
      <c r="AV2138" s="99">
        <v>6687.0977658009688</v>
      </c>
      <c r="AW2138" s="99">
        <v>6687.0977658009688</v>
      </c>
      <c r="AX2138" s="100">
        <v>6687.0977658009688</v>
      </c>
    </row>
    <row r="2139" spans="1:50" x14ac:dyDescent="0.25">
      <c r="A2139" s="356"/>
      <c r="B2139" s="358" t="s">
        <v>17</v>
      </c>
      <c r="C2139" s="353" t="s">
        <v>6</v>
      </c>
      <c r="D2139" s="3" t="s">
        <v>7</v>
      </c>
      <c r="E2139" s="162" t="str">
        <f>A2131&amp;"/"&amp;B2139&amp;"/"&amp;C2139&amp;"/"&amp;D2139</f>
        <v>Lignite fired power plants/Supercritical steam turbine/Electricity only/L</v>
      </c>
      <c r="F2139" s="77" t="str">
        <f>A2131</f>
        <v>Lignite fired power plants</v>
      </c>
      <c r="G2139" s="77" t="str">
        <f>B2139</f>
        <v>Supercritical steam turbine</v>
      </c>
      <c r="H2139" s="77" t="str">
        <f>C2139</f>
        <v>Electricity only</v>
      </c>
      <c r="I2139" s="163" t="str">
        <f t="shared" si="113"/>
        <v>L</v>
      </c>
      <c r="J2139" s="93">
        <v>8630</v>
      </c>
      <c r="K2139" s="93">
        <v>8630</v>
      </c>
      <c r="L2139" s="93">
        <v>8630</v>
      </c>
      <c r="M2139" s="93">
        <v>8630</v>
      </c>
      <c r="N2139" s="93">
        <v>8630</v>
      </c>
      <c r="O2139" s="93">
        <v>8630</v>
      </c>
      <c r="P2139" s="93">
        <v>8630</v>
      </c>
      <c r="Q2139" s="93">
        <v>8630</v>
      </c>
      <c r="R2139" s="93">
        <v>8630</v>
      </c>
      <c r="S2139" s="93">
        <v>8630</v>
      </c>
      <c r="T2139" s="93">
        <v>8630</v>
      </c>
      <c r="U2139" s="93">
        <v>8630</v>
      </c>
      <c r="V2139" s="93">
        <v>8630</v>
      </c>
      <c r="W2139" s="93">
        <v>8630</v>
      </c>
      <c r="X2139" s="93">
        <v>8630</v>
      </c>
      <c r="Y2139" s="93">
        <v>8630</v>
      </c>
      <c r="Z2139" s="93">
        <v>8630</v>
      </c>
      <c r="AA2139" s="93">
        <v>8630</v>
      </c>
      <c r="AB2139" s="93">
        <v>8630</v>
      </c>
      <c r="AC2139" s="93">
        <v>8630</v>
      </c>
      <c r="AD2139" s="93">
        <v>8630</v>
      </c>
      <c r="AE2139" s="93">
        <v>8630</v>
      </c>
      <c r="AF2139" s="93">
        <v>8630</v>
      </c>
      <c r="AG2139" s="93">
        <v>8630</v>
      </c>
      <c r="AH2139" s="93">
        <v>8630</v>
      </c>
      <c r="AI2139" s="93">
        <v>8630</v>
      </c>
      <c r="AJ2139" s="93">
        <v>8630</v>
      </c>
      <c r="AK2139" s="93">
        <v>8630</v>
      </c>
      <c r="AL2139" s="93">
        <v>8630</v>
      </c>
      <c r="AM2139" s="93">
        <v>8630</v>
      </c>
      <c r="AN2139" s="93">
        <v>8630</v>
      </c>
      <c r="AO2139" s="93">
        <v>8630</v>
      </c>
      <c r="AP2139" s="93">
        <v>8630</v>
      </c>
      <c r="AQ2139" s="93">
        <v>8630</v>
      </c>
      <c r="AR2139" s="93">
        <v>8630</v>
      </c>
      <c r="AS2139" s="93">
        <v>8630</v>
      </c>
      <c r="AT2139" s="93">
        <v>8630</v>
      </c>
      <c r="AU2139" s="93">
        <v>8630</v>
      </c>
      <c r="AV2139" s="93">
        <v>8630</v>
      </c>
      <c r="AW2139" s="93">
        <v>8630</v>
      </c>
      <c r="AX2139" s="94">
        <v>8630</v>
      </c>
    </row>
    <row r="2140" spans="1:50" x14ac:dyDescent="0.25">
      <c r="A2140" s="356"/>
      <c r="B2140" s="359"/>
      <c r="C2140" s="360"/>
      <c r="D2140" s="2" t="s">
        <v>8</v>
      </c>
      <c r="E2140" s="160" t="str">
        <f>A2131&amp;"/"&amp;B2139&amp;"/"&amp;C2139&amp;"/"&amp;D2140</f>
        <v>Lignite fired power plants/Supercritical steam turbine/Electricity only/M</v>
      </c>
      <c r="F2140" s="76" t="str">
        <f>A2131</f>
        <v>Lignite fired power plants</v>
      </c>
      <c r="G2140" s="76" t="str">
        <f>B2139</f>
        <v>Supercritical steam turbine</v>
      </c>
      <c r="H2140" s="76" t="str">
        <f>C2139</f>
        <v>Electricity only</v>
      </c>
      <c r="I2140" s="161" t="str">
        <f t="shared" si="113"/>
        <v>M</v>
      </c>
      <c r="J2140" s="91">
        <v>7591.1827974454973</v>
      </c>
      <c r="K2140" s="91">
        <v>7591.1827974454973</v>
      </c>
      <c r="L2140" s="91">
        <v>7591.1827974454973</v>
      </c>
      <c r="M2140" s="91">
        <v>7591.1827974454973</v>
      </c>
      <c r="N2140" s="91">
        <v>7591.1827974454973</v>
      </c>
      <c r="O2140" s="91">
        <v>7591.1827974454973</v>
      </c>
      <c r="P2140" s="91">
        <v>7591.1827974454973</v>
      </c>
      <c r="Q2140" s="91">
        <v>7591.1827974454973</v>
      </c>
      <c r="R2140" s="91">
        <v>7591.1827974454973</v>
      </c>
      <c r="S2140" s="91">
        <v>7591.1827974454973</v>
      </c>
      <c r="T2140" s="91">
        <v>7591.1827974454973</v>
      </c>
      <c r="U2140" s="91">
        <v>7591.1827974454973</v>
      </c>
      <c r="V2140" s="91">
        <v>7591.1827974454973</v>
      </c>
      <c r="W2140" s="91">
        <v>7591.1827974454973</v>
      </c>
      <c r="X2140" s="91">
        <v>7591.1827974454973</v>
      </c>
      <c r="Y2140" s="91">
        <v>7591.1827974454973</v>
      </c>
      <c r="Z2140" s="91">
        <v>7591.1827974454973</v>
      </c>
      <c r="AA2140" s="91">
        <v>7591.1827974454973</v>
      </c>
      <c r="AB2140" s="91">
        <v>7591.1827974454973</v>
      </c>
      <c r="AC2140" s="91">
        <v>7591.1827974454973</v>
      </c>
      <c r="AD2140" s="91">
        <v>7591.1827974454973</v>
      </c>
      <c r="AE2140" s="91">
        <v>7591.1827974454973</v>
      </c>
      <c r="AF2140" s="91">
        <v>7591.1827974454973</v>
      </c>
      <c r="AG2140" s="91">
        <v>7591.1827974454973</v>
      </c>
      <c r="AH2140" s="91">
        <v>7591.1827974454973</v>
      </c>
      <c r="AI2140" s="91">
        <v>7591.1827974454973</v>
      </c>
      <c r="AJ2140" s="91">
        <v>7591.1827974454973</v>
      </c>
      <c r="AK2140" s="91">
        <v>7591.1827974454973</v>
      </c>
      <c r="AL2140" s="91">
        <v>7591.1827974454973</v>
      </c>
      <c r="AM2140" s="91">
        <v>7591.1827974454973</v>
      </c>
      <c r="AN2140" s="91">
        <v>7591.1827974454973</v>
      </c>
      <c r="AO2140" s="91">
        <v>7591.1827974454973</v>
      </c>
      <c r="AP2140" s="91">
        <v>7591.1827974454973</v>
      </c>
      <c r="AQ2140" s="91">
        <v>7591.1827974454973</v>
      </c>
      <c r="AR2140" s="91">
        <v>7591.1827974454973</v>
      </c>
      <c r="AS2140" s="91">
        <v>7591.1827974454973</v>
      </c>
      <c r="AT2140" s="91">
        <v>7591.1827974454973</v>
      </c>
      <c r="AU2140" s="91">
        <v>7591.1827974454973</v>
      </c>
      <c r="AV2140" s="91">
        <v>7591.1827974454973</v>
      </c>
      <c r="AW2140" s="91">
        <v>7591.1827974454973</v>
      </c>
      <c r="AX2140" s="92">
        <v>7591.1827974454973</v>
      </c>
    </row>
    <row r="2141" spans="1:50" x14ac:dyDescent="0.25">
      <c r="A2141" s="356"/>
      <c r="B2141" s="359"/>
      <c r="C2141" s="361" t="s">
        <v>14</v>
      </c>
      <c r="D2141" s="58" t="s">
        <v>7</v>
      </c>
      <c r="E2141" s="164" t="str">
        <f>A2131&amp;"/"&amp;B2139&amp;"/"&amp;C2141&amp;"/"&amp;D2141</f>
        <v>Lignite fired power plants/Supercritical steam turbine/CHP/L</v>
      </c>
      <c r="F2141" s="78" t="str">
        <f>A2131</f>
        <v>Lignite fired power plants</v>
      </c>
      <c r="G2141" s="78" t="str">
        <f>B2139</f>
        <v>Supercritical steam turbine</v>
      </c>
      <c r="H2141" s="78" t="str">
        <f>C2141</f>
        <v>CHP</v>
      </c>
      <c r="I2141" s="165" t="str">
        <f t="shared" si="113"/>
        <v>L</v>
      </c>
      <c r="J2141" s="95">
        <v>8205</v>
      </c>
      <c r="K2141" s="95">
        <v>8205</v>
      </c>
      <c r="L2141" s="95">
        <v>8205</v>
      </c>
      <c r="M2141" s="95">
        <v>8205</v>
      </c>
      <c r="N2141" s="95">
        <v>8205</v>
      </c>
      <c r="O2141" s="95">
        <v>8205</v>
      </c>
      <c r="P2141" s="95">
        <v>8205</v>
      </c>
      <c r="Q2141" s="95">
        <v>8205</v>
      </c>
      <c r="R2141" s="95">
        <v>8205</v>
      </c>
      <c r="S2141" s="95">
        <v>8205</v>
      </c>
      <c r="T2141" s="95">
        <v>8205</v>
      </c>
      <c r="U2141" s="95">
        <v>8205</v>
      </c>
      <c r="V2141" s="95">
        <v>8205</v>
      </c>
      <c r="W2141" s="95">
        <v>8205</v>
      </c>
      <c r="X2141" s="95">
        <v>8205</v>
      </c>
      <c r="Y2141" s="95">
        <v>8205</v>
      </c>
      <c r="Z2141" s="95">
        <v>8205</v>
      </c>
      <c r="AA2141" s="95">
        <v>8205</v>
      </c>
      <c r="AB2141" s="95">
        <v>8205</v>
      </c>
      <c r="AC2141" s="95">
        <v>8205</v>
      </c>
      <c r="AD2141" s="95">
        <v>8205</v>
      </c>
      <c r="AE2141" s="95">
        <v>8205</v>
      </c>
      <c r="AF2141" s="95">
        <v>8205</v>
      </c>
      <c r="AG2141" s="95">
        <v>8205</v>
      </c>
      <c r="AH2141" s="95">
        <v>8205</v>
      </c>
      <c r="AI2141" s="95">
        <v>8205</v>
      </c>
      <c r="AJ2141" s="95">
        <v>8205</v>
      </c>
      <c r="AK2141" s="95">
        <v>8205</v>
      </c>
      <c r="AL2141" s="95">
        <v>8205</v>
      </c>
      <c r="AM2141" s="95">
        <v>8205</v>
      </c>
      <c r="AN2141" s="95">
        <v>8205</v>
      </c>
      <c r="AO2141" s="95">
        <v>8205</v>
      </c>
      <c r="AP2141" s="95">
        <v>8205</v>
      </c>
      <c r="AQ2141" s="95">
        <v>8205</v>
      </c>
      <c r="AR2141" s="95">
        <v>8205</v>
      </c>
      <c r="AS2141" s="95">
        <v>8205</v>
      </c>
      <c r="AT2141" s="95">
        <v>8205</v>
      </c>
      <c r="AU2141" s="95">
        <v>8205</v>
      </c>
      <c r="AV2141" s="95">
        <v>8205</v>
      </c>
      <c r="AW2141" s="95">
        <v>8205</v>
      </c>
      <c r="AX2141" s="96">
        <v>8205</v>
      </c>
    </row>
    <row r="2142" spans="1:50" x14ac:dyDescent="0.25">
      <c r="A2142" s="356"/>
      <c r="B2142" s="359"/>
      <c r="C2142" s="360"/>
      <c r="D2142" s="59" t="s">
        <v>8</v>
      </c>
      <c r="E2142" s="166" t="str">
        <f>A2131&amp;"/"&amp;B2139&amp;"/"&amp;C2141&amp;"/"&amp;D2142</f>
        <v>Lignite fired power plants/Supercritical steam turbine/CHP/M</v>
      </c>
      <c r="F2142" s="79" t="str">
        <f>A2131</f>
        <v>Lignite fired power plants</v>
      </c>
      <c r="G2142" s="79" t="str">
        <f>B2139</f>
        <v>Supercritical steam turbine</v>
      </c>
      <c r="H2142" s="79" t="str">
        <f>C2141</f>
        <v>CHP</v>
      </c>
      <c r="I2142" s="167" t="str">
        <f t="shared" si="113"/>
        <v>M</v>
      </c>
      <c r="J2142" s="97">
        <v>7260.9615390522395</v>
      </c>
      <c r="K2142" s="97">
        <v>7260.9615390522395</v>
      </c>
      <c r="L2142" s="97">
        <v>7260.9615390522395</v>
      </c>
      <c r="M2142" s="97">
        <v>7260.9615390522395</v>
      </c>
      <c r="N2142" s="97">
        <v>7260.9615390522395</v>
      </c>
      <c r="O2142" s="97">
        <v>7260.9615390522395</v>
      </c>
      <c r="P2142" s="97">
        <v>7260.9615390522395</v>
      </c>
      <c r="Q2142" s="97">
        <v>7260.9615390522395</v>
      </c>
      <c r="R2142" s="97">
        <v>7260.9615390522395</v>
      </c>
      <c r="S2142" s="97">
        <v>7260.9615390522395</v>
      </c>
      <c r="T2142" s="97">
        <v>7260.9615390522395</v>
      </c>
      <c r="U2142" s="97">
        <v>7260.9615390522395</v>
      </c>
      <c r="V2142" s="97">
        <v>7260.9615390522395</v>
      </c>
      <c r="W2142" s="97">
        <v>7260.9615390522395</v>
      </c>
      <c r="X2142" s="97">
        <v>7260.9615390522395</v>
      </c>
      <c r="Y2142" s="97">
        <v>7260.9615390522395</v>
      </c>
      <c r="Z2142" s="97">
        <v>7260.9615390522395</v>
      </c>
      <c r="AA2142" s="97">
        <v>7260.9615390522395</v>
      </c>
      <c r="AB2142" s="97">
        <v>7260.9615390522395</v>
      </c>
      <c r="AC2142" s="97">
        <v>7260.9615390522395</v>
      </c>
      <c r="AD2142" s="97">
        <v>7260.9615390522395</v>
      </c>
      <c r="AE2142" s="97">
        <v>7260.9615390522395</v>
      </c>
      <c r="AF2142" s="97">
        <v>7260.9615390522395</v>
      </c>
      <c r="AG2142" s="97">
        <v>7260.9615390522395</v>
      </c>
      <c r="AH2142" s="97">
        <v>7260.9615390522395</v>
      </c>
      <c r="AI2142" s="97">
        <v>7260.9615390522395</v>
      </c>
      <c r="AJ2142" s="97">
        <v>7260.9615390522395</v>
      </c>
      <c r="AK2142" s="97">
        <v>7260.9615390522395</v>
      </c>
      <c r="AL2142" s="97">
        <v>7260.9615390522395</v>
      </c>
      <c r="AM2142" s="97">
        <v>7260.9615390522395</v>
      </c>
      <c r="AN2142" s="97">
        <v>7260.9615390522395</v>
      </c>
      <c r="AO2142" s="97">
        <v>7260.9615390522395</v>
      </c>
      <c r="AP2142" s="97">
        <v>7260.9615390522395</v>
      </c>
      <c r="AQ2142" s="97">
        <v>7260.9615390522395</v>
      </c>
      <c r="AR2142" s="97">
        <v>7260.9615390522395</v>
      </c>
      <c r="AS2142" s="97">
        <v>7260.9615390522395</v>
      </c>
      <c r="AT2142" s="97">
        <v>7260.9615390522395</v>
      </c>
      <c r="AU2142" s="97">
        <v>7260.9615390522395</v>
      </c>
      <c r="AV2142" s="97">
        <v>7260.9615390522395</v>
      </c>
      <c r="AW2142" s="97">
        <v>7260.9615390522395</v>
      </c>
      <c r="AX2142" s="98">
        <v>7260.9615390522395</v>
      </c>
    </row>
    <row r="2143" spans="1:50" x14ac:dyDescent="0.25">
      <c r="A2143" s="356"/>
      <c r="B2143" s="359"/>
      <c r="C2143" s="361" t="s">
        <v>15</v>
      </c>
      <c r="D2143" s="58" t="s">
        <v>7</v>
      </c>
      <c r="E2143" s="164" t="str">
        <f>A2131&amp;"/"&amp;B2139&amp;"/"&amp;C2143&amp;"/"&amp;D2143</f>
        <v>Lignite fired power plants/Supercritical steam turbine/Electricity only with CCS/L</v>
      </c>
      <c r="F2143" s="78" t="str">
        <f>A2131</f>
        <v>Lignite fired power plants</v>
      </c>
      <c r="G2143" s="78" t="str">
        <f>B2139</f>
        <v>Supercritical steam turbine</v>
      </c>
      <c r="H2143" s="78" t="str">
        <f>C2143</f>
        <v>Electricity only with CCS</v>
      </c>
      <c r="I2143" s="165" t="str">
        <f t="shared" si="113"/>
        <v>L</v>
      </c>
      <c r="J2143" s="95" t="s">
        <v>112</v>
      </c>
      <c r="K2143" s="95" t="s">
        <v>112</v>
      </c>
      <c r="L2143" s="95" t="s">
        <v>112</v>
      </c>
      <c r="M2143" s="95" t="s">
        <v>112</v>
      </c>
      <c r="N2143" s="95" t="s">
        <v>112</v>
      </c>
      <c r="O2143" s="95" t="s">
        <v>112</v>
      </c>
      <c r="P2143" s="95" t="s">
        <v>112</v>
      </c>
      <c r="Q2143" s="95" t="s">
        <v>112</v>
      </c>
      <c r="R2143" s="95" t="s">
        <v>112</v>
      </c>
      <c r="S2143" s="95" t="s">
        <v>112</v>
      </c>
      <c r="T2143" s="95" t="s">
        <v>112</v>
      </c>
      <c r="U2143" s="95" t="s">
        <v>112</v>
      </c>
      <c r="V2143" s="95" t="s">
        <v>112</v>
      </c>
      <c r="W2143" s="95" t="s">
        <v>112</v>
      </c>
      <c r="X2143" s="95" t="s">
        <v>112</v>
      </c>
      <c r="Y2143" s="95" t="s">
        <v>112</v>
      </c>
      <c r="Z2143" s="95" t="s">
        <v>112</v>
      </c>
      <c r="AA2143" s="95" t="s">
        <v>112</v>
      </c>
      <c r="AB2143" s="95" t="s">
        <v>112</v>
      </c>
      <c r="AC2143" s="95" t="s">
        <v>112</v>
      </c>
      <c r="AD2143" s="95" t="s">
        <v>112</v>
      </c>
      <c r="AE2143" s="95">
        <v>8630</v>
      </c>
      <c r="AF2143" s="95">
        <v>8630</v>
      </c>
      <c r="AG2143" s="95">
        <v>8630</v>
      </c>
      <c r="AH2143" s="95">
        <v>8630</v>
      </c>
      <c r="AI2143" s="95">
        <v>8630</v>
      </c>
      <c r="AJ2143" s="95">
        <v>8630</v>
      </c>
      <c r="AK2143" s="95">
        <v>8630</v>
      </c>
      <c r="AL2143" s="95">
        <v>8630</v>
      </c>
      <c r="AM2143" s="95">
        <v>8630</v>
      </c>
      <c r="AN2143" s="95">
        <v>8630</v>
      </c>
      <c r="AO2143" s="95">
        <v>8630</v>
      </c>
      <c r="AP2143" s="95">
        <v>8630</v>
      </c>
      <c r="AQ2143" s="95">
        <v>8630</v>
      </c>
      <c r="AR2143" s="95">
        <v>8630</v>
      </c>
      <c r="AS2143" s="95">
        <v>8630</v>
      </c>
      <c r="AT2143" s="95">
        <v>8630</v>
      </c>
      <c r="AU2143" s="95">
        <v>8630</v>
      </c>
      <c r="AV2143" s="95">
        <v>8630</v>
      </c>
      <c r="AW2143" s="95">
        <v>8630</v>
      </c>
      <c r="AX2143" s="96">
        <v>8630</v>
      </c>
    </row>
    <row r="2144" spans="1:50" x14ac:dyDescent="0.25">
      <c r="A2144" s="356"/>
      <c r="B2144" s="359"/>
      <c r="C2144" s="360"/>
      <c r="D2144" s="59" t="s">
        <v>8</v>
      </c>
      <c r="E2144" s="166" t="str">
        <f>A2131&amp;"/"&amp;B2139&amp;"/"&amp;C2143&amp;"/"&amp;D2144</f>
        <v>Lignite fired power plants/Supercritical steam turbine/Electricity only with CCS/M</v>
      </c>
      <c r="F2144" s="79" t="str">
        <f>A2131</f>
        <v>Lignite fired power plants</v>
      </c>
      <c r="G2144" s="79" t="str">
        <f>B2139</f>
        <v>Supercritical steam turbine</v>
      </c>
      <c r="H2144" s="79" t="str">
        <f>C2143</f>
        <v>Electricity only with CCS</v>
      </c>
      <c r="I2144" s="167" t="str">
        <f t="shared" si="113"/>
        <v>M</v>
      </c>
      <c r="J2144" s="97" t="s">
        <v>112</v>
      </c>
      <c r="K2144" s="97" t="s">
        <v>112</v>
      </c>
      <c r="L2144" s="97" t="s">
        <v>112</v>
      </c>
      <c r="M2144" s="97" t="s">
        <v>112</v>
      </c>
      <c r="N2144" s="97" t="s">
        <v>112</v>
      </c>
      <c r="O2144" s="97" t="s">
        <v>112</v>
      </c>
      <c r="P2144" s="97" t="s">
        <v>112</v>
      </c>
      <c r="Q2144" s="97" t="s">
        <v>112</v>
      </c>
      <c r="R2144" s="97" t="s">
        <v>112</v>
      </c>
      <c r="S2144" s="97" t="s">
        <v>112</v>
      </c>
      <c r="T2144" s="97" t="s">
        <v>112</v>
      </c>
      <c r="U2144" s="97" t="s">
        <v>112</v>
      </c>
      <c r="V2144" s="97" t="s">
        <v>112</v>
      </c>
      <c r="W2144" s="97" t="s">
        <v>112</v>
      </c>
      <c r="X2144" s="97" t="s">
        <v>112</v>
      </c>
      <c r="Y2144" s="97" t="s">
        <v>112</v>
      </c>
      <c r="Z2144" s="97" t="s">
        <v>112</v>
      </c>
      <c r="AA2144" s="97" t="s">
        <v>112</v>
      </c>
      <c r="AB2144" s="97" t="s">
        <v>112</v>
      </c>
      <c r="AC2144" s="97" t="s">
        <v>112</v>
      </c>
      <c r="AD2144" s="97" t="s">
        <v>112</v>
      </c>
      <c r="AE2144" s="97">
        <v>7591.1827974454973</v>
      </c>
      <c r="AF2144" s="97">
        <v>7591.1827974454973</v>
      </c>
      <c r="AG2144" s="97">
        <v>7591.1827974454973</v>
      </c>
      <c r="AH2144" s="97">
        <v>7591.1827974454973</v>
      </c>
      <c r="AI2144" s="97">
        <v>7591.1827974454973</v>
      </c>
      <c r="AJ2144" s="97">
        <v>7591.1827974454973</v>
      </c>
      <c r="AK2144" s="97">
        <v>7591.1827974454973</v>
      </c>
      <c r="AL2144" s="97">
        <v>7591.1827974454973</v>
      </c>
      <c r="AM2144" s="97">
        <v>7591.1827974454973</v>
      </c>
      <c r="AN2144" s="97">
        <v>7591.1827974454973</v>
      </c>
      <c r="AO2144" s="97">
        <v>7591.1827974454973</v>
      </c>
      <c r="AP2144" s="97">
        <v>7591.1827974454973</v>
      </c>
      <c r="AQ2144" s="97">
        <v>7591.1827974454973</v>
      </c>
      <c r="AR2144" s="97">
        <v>7591.1827974454973</v>
      </c>
      <c r="AS2144" s="97">
        <v>7591.1827974454973</v>
      </c>
      <c r="AT2144" s="97">
        <v>7591.1827974454973</v>
      </c>
      <c r="AU2144" s="97">
        <v>7591.1827974454973</v>
      </c>
      <c r="AV2144" s="97">
        <v>7591.1827974454973</v>
      </c>
      <c r="AW2144" s="97">
        <v>7591.1827974454973</v>
      </c>
      <c r="AX2144" s="98">
        <v>7591.1827974454973</v>
      </c>
    </row>
    <row r="2145" spans="1:50" x14ac:dyDescent="0.25">
      <c r="A2145" s="356"/>
      <c r="B2145" s="359"/>
      <c r="C2145" s="361" t="s">
        <v>16</v>
      </c>
      <c r="D2145" s="2" t="s">
        <v>7</v>
      </c>
      <c r="E2145" s="160" t="str">
        <f>A2131&amp;"/"&amp;B2139&amp;"/"&amp;C2145&amp;"/"&amp;D2145</f>
        <v>Lignite fired power plants/Supercritical steam turbine/CHP with CCS/L</v>
      </c>
      <c r="F2145" s="76" t="str">
        <f>A2131</f>
        <v>Lignite fired power plants</v>
      </c>
      <c r="G2145" s="76" t="str">
        <f>B2139</f>
        <v>Supercritical steam turbine</v>
      </c>
      <c r="H2145" s="76" t="str">
        <f>C2145</f>
        <v>CHP with CCS</v>
      </c>
      <c r="I2145" s="161" t="str">
        <f t="shared" si="113"/>
        <v>L</v>
      </c>
      <c r="J2145" s="91" t="s">
        <v>112</v>
      </c>
      <c r="K2145" s="91" t="s">
        <v>112</v>
      </c>
      <c r="L2145" s="91" t="s">
        <v>112</v>
      </c>
      <c r="M2145" s="91" t="s">
        <v>112</v>
      </c>
      <c r="N2145" s="91" t="s">
        <v>112</v>
      </c>
      <c r="O2145" s="91" t="s">
        <v>112</v>
      </c>
      <c r="P2145" s="91" t="s">
        <v>112</v>
      </c>
      <c r="Q2145" s="91" t="s">
        <v>112</v>
      </c>
      <c r="R2145" s="91" t="s">
        <v>112</v>
      </c>
      <c r="S2145" s="91" t="s">
        <v>112</v>
      </c>
      <c r="T2145" s="91" t="s">
        <v>112</v>
      </c>
      <c r="U2145" s="91" t="s">
        <v>112</v>
      </c>
      <c r="V2145" s="91" t="s">
        <v>112</v>
      </c>
      <c r="W2145" s="91" t="s">
        <v>112</v>
      </c>
      <c r="X2145" s="91" t="s">
        <v>112</v>
      </c>
      <c r="Y2145" s="91" t="s">
        <v>112</v>
      </c>
      <c r="Z2145" s="91" t="s">
        <v>112</v>
      </c>
      <c r="AA2145" s="91" t="s">
        <v>112</v>
      </c>
      <c r="AB2145" s="91" t="s">
        <v>112</v>
      </c>
      <c r="AC2145" s="91" t="s">
        <v>112</v>
      </c>
      <c r="AD2145" s="91" t="s">
        <v>112</v>
      </c>
      <c r="AE2145" s="91">
        <v>8205</v>
      </c>
      <c r="AF2145" s="91">
        <v>8205</v>
      </c>
      <c r="AG2145" s="91">
        <v>8205</v>
      </c>
      <c r="AH2145" s="91">
        <v>8205</v>
      </c>
      <c r="AI2145" s="91">
        <v>8205</v>
      </c>
      <c r="AJ2145" s="91">
        <v>8205</v>
      </c>
      <c r="AK2145" s="91">
        <v>8205</v>
      </c>
      <c r="AL2145" s="91">
        <v>8205</v>
      </c>
      <c r="AM2145" s="91">
        <v>8205</v>
      </c>
      <c r="AN2145" s="91">
        <v>8205</v>
      </c>
      <c r="AO2145" s="91">
        <v>8205</v>
      </c>
      <c r="AP2145" s="91">
        <v>8205</v>
      </c>
      <c r="AQ2145" s="91">
        <v>8205</v>
      </c>
      <c r="AR2145" s="91">
        <v>8205</v>
      </c>
      <c r="AS2145" s="91">
        <v>8205</v>
      </c>
      <c r="AT2145" s="91">
        <v>8205</v>
      </c>
      <c r="AU2145" s="91">
        <v>8205</v>
      </c>
      <c r="AV2145" s="91">
        <v>8205</v>
      </c>
      <c r="AW2145" s="91">
        <v>8205</v>
      </c>
      <c r="AX2145" s="92">
        <v>8205</v>
      </c>
    </row>
    <row r="2146" spans="1:50" x14ac:dyDescent="0.25">
      <c r="A2146" s="356"/>
      <c r="B2146" s="362"/>
      <c r="C2146" s="354"/>
      <c r="D2146" s="4" t="s">
        <v>8</v>
      </c>
      <c r="E2146" s="168" t="str">
        <f>A2131&amp;"/"&amp;B2139&amp;"/"&amp;C2145&amp;"/"&amp;D2146</f>
        <v>Lignite fired power plants/Supercritical steam turbine/CHP with CCS/M</v>
      </c>
      <c r="F2146" s="80" t="str">
        <f>A2131</f>
        <v>Lignite fired power plants</v>
      </c>
      <c r="G2146" s="80" t="str">
        <f>B2139</f>
        <v>Supercritical steam turbine</v>
      </c>
      <c r="H2146" s="80" t="str">
        <f>C2145</f>
        <v>CHP with CCS</v>
      </c>
      <c r="I2146" s="169" t="str">
        <f t="shared" si="113"/>
        <v>M</v>
      </c>
      <c r="J2146" s="99" t="s">
        <v>112</v>
      </c>
      <c r="K2146" s="99" t="s">
        <v>112</v>
      </c>
      <c r="L2146" s="99" t="s">
        <v>112</v>
      </c>
      <c r="M2146" s="99" t="s">
        <v>112</v>
      </c>
      <c r="N2146" s="99" t="s">
        <v>112</v>
      </c>
      <c r="O2146" s="99" t="s">
        <v>112</v>
      </c>
      <c r="P2146" s="99" t="s">
        <v>112</v>
      </c>
      <c r="Q2146" s="99" t="s">
        <v>112</v>
      </c>
      <c r="R2146" s="99" t="s">
        <v>112</v>
      </c>
      <c r="S2146" s="99" t="s">
        <v>112</v>
      </c>
      <c r="T2146" s="99" t="s">
        <v>112</v>
      </c>
      <c r="U2146" s="99" t="s">
        <v>112</v>
      </c>
      <c r="V2146" s="99" t="s">
        <v>112</v>
      </c>
      <c r="W2146" s="99" t="s">
        <v>112</v>
      </c>
      <c r="X2146" s="99" t="s">
        <v>112</v>
      </c>
      <c r="Y2146" s="99" t="s">
        <v>112</v>
      </c>
      <c r="Z2146" s="99" t="s">
        <v>112</v>
      </c>
      <c r="AA2146" s="99" t="s">
        <v>112</v>
      </c>
      <c r="AB2146" s="99" t="s">
        <v>112</v>
      </c>
      <c r="AC2146" s="99" t="s">
        <v>112</v>
      </c>
      <c r="AD2146" s="99" t="s">
        <v>112</v>
      </c>
      <c r="AE2146" s="99">
        <v>7260.9615390522395</v>
      </c>
      <c r="AF2146" s="99">
        <v>7260.9615390522395</v>
      </c>
      <c r="AG2146" s="99">
        <v>7260.9615390522395</v>
      </c>
      <c r="AH2146" s="99">
        <v>7260.9615390522395</v>
      </c>
      <c r="AI2146" s="99">
        <v>7260.9615390522395</v>
      </c>
      <c r="AJ2146" s="99">
        <v>7260.9615390522395</v>
      </c>
      <c r="AK2146" s="99">
        <v>7260.9615390522395</v>
      </c>
      <c r="AL2146" s="99">
        <v>7260.9615390522395</v>
      </c>
      <c r="AM2146" s="99">
        <v>7260.9615390522395</v>
      </c>
      <c r="AN2146" s="99">
        <v>7260.9615390522395</v>
      </c>
      <c r="AO2146" s="99">
        <v>7260.9615390522395</v>
      </c>
      <c r="AP2146" s="99">
        <v>7260.9615390522395</v>
      </c>
      <c r="AQ2146" s="99">
        <v>7260.9615390522395</v>
      </c>
      <c r="AR2146" s="99">
        <v>7260.9615390522395</v>
      </c>
      <c r="AS2146" s="99">
        <v>7260.9615390522395</v>
      </c>
      <c r="AT2146" s="99">
        <v>7260.9615390522395</v>
      </c>
      <c r="AU2146" s="99">
        <v>7260.9615390522395</v>
      </c>
      <c r="AV2146" s="99">
        <v>7260.9615390522395</v>
      </c>
      <c r="AW2146" s="99">
        <v>7260.9615390522395</v>
      </c>
      <c r="AX2146" s="100">
        <v>7260.9615390522395</v>
      </c>
    </row>
    <row r="2147" spans="1:50" x14ac:dyDescent="0.25">
      <c r="A2147" s="356"/>
      <c r="B2147" s="358" t="s">
        <v>18</v>
      </c>
      <c r="C2147" s="353" t="s">
        <v>6</v>
      </c>
      <c r="D2147" s="3" t="s">
        <v>7</v>
      </c>
      <c r="E2147" s="162" t="str">
        <f>A2131&amp;"/"&amp;B2147&amp;"/"&amp;C2147&amp;"/"&amp;D2147</f>
        <v>Lignite fired power plants/Fluidized bed combustion/Electricity only/L</v>
      </c>
      <c r="F2147" s="77" t="str">
        <f>A2131</f>
        <v>Lignite fired power plants</v>
      </c>
      <c r="G2147" s="77" t="str">
        <f>B2147</f>
        <v>Fluidized bed combustion</v>
      </c>
      <c r="H2147" s="77" t="str">
        <f>C2147</f>
        <v>Electricity only</v>
      </c>
      <c r="I2147" s="163" t="str">
        <f t="shared" si="113"/>
        <v>L</v>
      </c>
      <c r="J2147" s="93">
        <v>8225</v>
      </c>
      <c r="K2147" s="93">
        <v>8225</v>
      </c>
      <c r="L2147" s="93">
        <v>8225</v>
      </c>
      <c r="M2147" s="93">
        <v>8225</v>
      </c>
      <c r="N2147" s="93">
        <v>8225</v>
      </c>
      <c r="O2147" s="93">
        <v>8225</v>
      </c>
      <c r="P2147" s="93">
        <v>8225</v>
      </c>
      <c r="Q2147" s="93">
        <v>8225</v>
      </c>
      <c r="R2147" s="93">
        <v>8225</v>
      </c>
      <c r="S2147" s="93">
        <v>8225</v>
      </c>
      <c r="T2147" s="93">
        <v>8225</v>
      </c>
      <c r="U2147" s="93">
        <v>8225</v>
      </c>
      <c r="V2147" s="93">
        <v>8225</v>
      </c>
      <c r="W2147" s="93">
        <v>8225</v>
      </c>
      <c r="X2147" s="93">
        <v>8225</v>
      </c>
      <c r="Y2147" s="93">
        <v>8225</v>
      </c>
      <c r="Z2147" s="93">
        <v>8225</v>
      </c>
      <c r="AA2147" s="93">
        <v>8225</v>
      </c>
      <c r="AB2147" s="93">
        <v>8225</v>
      </c>
      <c r="AC2147" s="93">
        <v>8225</v>
      </c>
      <c r="AD2147" s="93">
        <v>8225</v>
      </c>
      <c r="AE2147" s="93">
        <v>8225</v>
      </c>
      <c r="AF2147" s="93">
        <v>8225</v>
      </c>
      <c r="AG2147" s="93">
        <v>8225</v>
      </c>
      <c r="AH2147" s="93">
        <v>8225</v>
      </c>
      <c r="AI2147" s="93">
        <v>8225</v>
      </c>
      <c r="AJ2147" s="93">
        <v>8225</v>
      </c>
      <c r="AK2147" s="93">
        <v>8225</v>
      </c>
      <c r="AL2147" s="93">
        <v>8225</v>
      </c>
      <c r="AM2147" s="93">
        <v>8225</v>
      </c>
      <c r="AN2147" s="93">
        <v>8225</v>
      </c>
      <c r="AO2147" s="93">
        <v>8225</v>
      </c>
      <c r="AP2147" s="93">
        <v>8225</v>
      </c>
      <c r="AQ2147" s="93">
        <v>8225</v>
      </c>
      <c r="AR2147" s="93">
        <v>8225</v>
      </c>
      <c r="AS2147" s="93">
        <v>8225</v>
      </c>
      <c r="AT2147" s="93">
        <v>8225</v>
      </c>
      <c r="AU2147" s="93">
        <v>8225</v>
      </c>
      <c r="AV2147" s="93">
        <v>8225</v>
      </c>
      <c r="AW2147" s="93">
        <v>8225</v>
      </c>
      <c r="AX2147" s="94">
        <v>8225</v>
      </c>
    </row>
    <row r="2148" spans="1:50" x14ac:dyDescent="0.25">
      <c r="A2148" s="356"/>
      <c r="B2148" s="359"/>
      <c r="C2148" s="350"/>
      <c r="D2148" s="2" t="s">
        <v>8</v>
      </c>
      <c r="E2148" s="160" t="str">
        <f>A2131&amp;"/"&amp;B2147&amp;"/"&amp;C2147&amp;"/"&amp;D2148</f>
        <v>Lignite fired power plants/Fluidized bed combustion/Electricity only/M</v>
      </c>
      <c r="F2148" s="76" t="str">
        <f>A2131</f>
        <v>Lignite fired power plants</v>
      </c>
      <c r="G2148" s="76" t="str">
        <f>B2147</f>
        <v>Fluidized bed combustion</v>
      </c>
      <c r="H2148" s="76" t="str">
        <f>C2147</f>
        <v>Electricity only</v>
      </c>
      <c r="I2148" s="161" t="str">
        <f t="shared" si="113"/>
        <v>M</v>
      </c>
      <c r="J2148" s="91">
        <v>7224.4837073664221</v>
      </c>
      <c r="K2148" s="91">
        <v>7224.4837073664221</v>
      </c>
      <c r="L2148" s="91">
        <v>7224.4837073664221</v>
      </c>
      <c r="M2148" s="91">
        <v>7224.4837073664221</v>
      </c>
      <c r="N2148" s="91">
        <v>7224.4837073664221</v>
      </c>
      <c r="O2148" s="91">
        <v>7224.4837073664221</v>
      </c>
      <c r="P2148" s="91">
        <v>7224.4837073664221</v>
      </c>
      <c r="Q2148" s="91">
        <v>7224.4837073664221</v>
      </c>
      <c r="R2148" s="91">
        <v>7224.4837073664221</v>
      </c>
      <c r="S2148" s="91">
        <v>7224.4837073664221</v>
      </c>
      <c r="T2148" s="91">
        <v>7224.4837073664221</v>
      </c>
      <c r="U2148" s="91">
        <v>7224.4837073664221</v>
      </c>
      <c r="V2148" s="91">
        <v>7224.4837073664221</v>
      </c>
      <c r="W2148" s="91">
        <v>7224.4837073664221</v>
      </c>
      <c r="X2148" s="91">
        <v>7224.4837073664221</v>
      </c>
      <c r="Y2148" s="91">
        <v>7224.4837073664221</v>
      </c>
      <c r="Z2148" s="91">
        <v>7224.4837073664221</v>
      </c>
      <c r="AA2148" s="91">
        <v>7224.4837073664221</v>
      </c>
      <c r="AB2148" s="91">
        <v>7224.4837073664221</v>
      </c>
      <c r="AC2148" s="91">
        <v>7224.4837073664221</v>
      </c>
      <c r="AD2148" s="91">
        <v>7224.4837073664221</v>
      </c>
      <c r="AE2148" s="91">
        <v>7224.4837073664221</v>
      </c>
      <c r="AF2148" s="91">
        <v>7224.4837073664221</v>
      </c>
      <c r="AG2148" s="91">
        <v>7224.4837073664221</v>
      </c>
      <c r="AH2148" s="91">
        <v>7224.4837073664221</v>
      </c>
      <c r="AI2148" s="91">
        <v>7224.4837073664221</v>
      </c>
      <c r="AJ2148" s="91">
        <v>7224.4837073664221</v>
      </c>
      <c r="AK2148" s="91">
        <v>7224.4837073664221</v>
      </c>
      <c r="AL2148" s="91">
        <v>7224.4837073664221</v>
      </c>
      <c r="AM2148" s="91">
        <v>7224.4837073664221</v>
      </c>
      <c r="AN2148" s="91">
        <v>7224.4837073664221</v>
      </c>
      <c r="AO2148" s="91">
        <v>7224.4837073664221</v>
      </c>
      <c r="AP2148" s="91">
        <v>7224.4837073664221</v>
      </c>
      <c r="AQ2148" s="91">
        <v>7224.4837073664221</v>
      </c>
      <c r="AR2148" s="91">
        <v>7224.4837073664221</v>
      </c>
      <c r="AS2148" s="91">
        <v>7224.4837073664221</v>
      </c>
      <c r="AT2148" s="91">
        <v>7224.4837073664221</v>
      </c>
      <c r="AU2148" s="91">
        <v>7224.4837073664221</v>
      </c>
      <c r="AV2148" s="91">
        <v>7224.4837073664221</v>
      </c>
      <c r="AW2148" s="91">
        <v>7224.4837073664221</v>
      </c>
      <c r="AX2148" s="92">
        <v>7224.4837073664221</v>
      </c>
    </row>
    <row r="2149" spans="1:50" x14ac:dyDescent="0.25">
      <c r="A2149" s="356"/>
      <c r="B2149" s="359"/>
      <c r="C2149" s="360"/>
      <c r="D2149" s="2" t="s">
        <v>10</v>
      </c>
      <c r="E2149" s="160" t="str">
        <f>A2131&amp;"/"&amp;B2147&amp;"/"&amp;C2147&amp;"/"&amp;D2149</f>
        <v>Lignite fired power plants/Fluidized bed combustion/Electricity only/S</v>
      </c>
      <c r="F2149" s="76" t="str">
        <f>A2131</f>
        <v>Lignite fired power plants</v>
      </c>
      <c r="G2149" s="76" t="str">
        <f>B2147</f>
        <v>Fluidized bed combustion</v>
      </c>
      <c r="H2149" s="76" t="str">
        <f>C2147</f>
        <v>Electricity only</v>
      </c>
      <c r="I2149" s="161" t="str">
        <f t="shared" si="113"/>
        <v>S</v>
      </c>
      <c r="J2149" s="91">
        <v>6241.217017353104</v>
      </c>
      <c r="K2149" s="91">
        <v>6241.217017353104</v>
      </c>
      <c r="L2149" s="91">
        <v>6241.217017353104</v>
      </c>
      <c r="M2149" s="91">
        <v>6241.217017353104</v>
      </c>
      <c r="N2149" s="91">
        <v>6241.217017353104</v>
      </c>
      <c r="O2149" s="91">
        <v>6241.217017353104</v>
      </c>
      <c r="P2149" s="91">
        <v>6241.217017353104</v>
      </c>
      <c r="Q2149" s="91">
        <v>6241.217017353104</v>
      </c>
      <c r="R2149" s="91">
        <v>6241.217017353104</v>
      </c>
      <c r="S2149" s="91">
        <v>6241.217017353104</v>
      </c>
      <c r="T2149" s="91">
        <v>6241.217017353104</v>
      </c>
      <c r="U2149" s="91">
        <v>6241.217017353104</v>
      </c>
      <c r="V2149" s="91">
        <v>6241.217017353104</v>
      </c>
      <c r="W2149" s="91">
        <v>6241.217017353104</v>
      </c>
      <c r="X2149" s="91">
        <v>6241.217017353104</v>
      </c>
      <c r="Y2149" s="91">
        <v>6241.217017353104</v>
      </c>
      <c r="Z2149" s="91">
        <v>6241.217017353104</v>
      </c>
      <c r="AA2149" s="91">
        <v>6241.217017353104</v>
      </c>
      <c r="AB2149" s="91">
        <v>6241.217017353104</v>
      </c>
      <c r="AC2149" s="91">
        <v>6241.217017353104</v>
      </c>
      <c r="AD2149" s="91">
        <v>6241.217017353104</v>
      </c>
      <c r="AE2149" s="91">
        <v>6241.217017353104</v>
      </c>
      <c r="AF2149" s="91">
        <v>6241.217017353104</v>
      </c>
      <c r="AG2149" s="91">
        <v>6241.217017353104</v>
      </c>
      <c r="AH2149" s="91">
        <v>6241.217017353104</v>
      </c>
      <c r="AI2149" s="91">
        <v>6241.217017353104</v>
      </c>
      <c r="AJ2149" s="91">
        <v>6241.217017353104</v>
      </c>
      <c r="AK2149" s="91">
        <v>6241.217017353104</v>
      </c>
      <c r="AL2149" s="91">
        <v>6241.217017353104</v>
      </c>
      <c r="AM2149" s="91">
        <v>6241.217017353104</v>
      </c>
      <c r="AN2149" s="91">
        <v>6241.217017353104</v>
      </c>
      <c r="AO2149" s="91">
        <v>6241.217017353104</v>
      </c>
      <c r="AP2149" s="91">
        <v>6241.217017353104</v>
      </c>
      <c r="AQ2149" s="91">
        <v>6241.217017353104</v>
      </c>
      <c r="AR2149" s="91">
        <v>6241.217017353104</v>
      </c>
      <c r="AS2149" s="91">
        <v>6241.217017353104</v>
      </c>
      <c r="AT2149" s="91">
        <v>6241.217017353104</v>
      </c>
      <c r="AU2149" s="91">
        <v>6241.217017353104</v>
      </c>
      <c r="AV2149" s="91">
        <v>6241.217017353104</v>
      </c>
      <c r="AW2149" s="91">
        <v>6241.217017353104</v>
      </c>
      <c r="AX2149" s="92">
        <v>6241.217017353104</v>
      </c>
    </row>
    <row r="2150" spans="1:50" x14ac:dyDescent="0.25">
      <c r="A2150" s="356"/>
      <c r="B2150" s="359"/>
      <c r="C2150" s="361" t="s">
        <v>14</v>
      </c>
      <c r="D2150" s="58" t="s">
        <v>7</v>
      </c>
      <c r="E2150" s="164" t="str">
        <f>A2131&amp;"/"&amp;B2147&amp;"/"&amp;C2150&amp;"/"&amp;D2150</f>
        <v>Lignite fired power plants/Fluidized bed combustion/CHP/L</v>
      </c>
      <c r="F2150" s="78" t="str">
        <f>A2131</f>
        <v>Lignite fired power plants</v>
      </c>
      <c r="G2150" s="78" t="str">
        <f>B2147</f>
        <v>Fluidized bed combustion</v>
      </c>
      <c r="H2150" s="78" t="str">
        <f>C2150</f>
        <v>CHP</v>
      </c>
      <c r="I2150" s="165" t="str">
        <f t="shared" si="113"/>
        <v>L</v>
      </c>
      <c r="J2150" s="95">
        <v>7827.5</v>
      </c>
      <c r="K2150" s="95">
        <v>7827.5</v>
      </c>
      <c r="L2150" s="95">
        <v>7827.5</v>
      </c>
      <c r="M2150" s="95">
        <v>7827.5</v>
      </c>
      <c r="N2150" s="95">
        <v>7827.5</v>
      </c>
      <c r="O2150" s="95">
        <v>7827.5</v>
      </c>
      <c r="P2150" s="95">
        <v>7827.5</v>
      </c>
      <c r="Q2150" s="95">
        <v>7827.5</v>
      </c>
      <c r="R2150" s="95">
        <v>7827.5</v>
      </c>
      <c r="S2150" s="95">
        <v>7827.5</v>
      </c>
      <c r="T2150" s="95">
        <v>7827.5</v>
      </c>
      <c r="U2150" s="95">
        <v>7827.5</v>
      </c>
      <c r="V2150" s="95">
        <v>7827.5</v>
      </c>
      <c r="W2150" s="95">
        <v>7827.5</v>
      </c>
      <c r="X2150" s="95">
        <v>7827.5</v>
      </c>
      <c r="Y2150" s="95">
        <v>7827.5</v>
      </c>
      <c r="Z2150" s="95">
        <v>7827.5</v>
      </c>
      <c r="AA2150" s="95">
        <v>7827.5</v>
      </c>
      <c r="AB2150" s="95">
        <v>7827.5</v>
      </c>
      <c r="AC2150" s="95">
        <v>7827.5</v>
      </c>
      <c r="AD2150" s="95">
        <v>7827.5</v>
      </c>
      <c r="AE2150" s="95">
        <v>7827.5</v>
      </c>
      <c r="AF2150" s="95">
        <v>7827.5</v>
      </c>
      <c r="AG2150" s="95">
        <v>7827.5</v>
      </c>
      <c r="AH2150" s="95">
        <v>7827.5</v>
      </c>
      <c r="AI2150" s="95">
        <v>7827.5</v>
      </c>
      <c r="AJ2150" s="95">
        <v>7827.5</v>
      </c>
      <c r="AK2150" s="95">
        <v>7827.5</v>
      </c>
      <c r="AL2150" s="95">
        <v>7827.5</v>
      </c>
      <c r="AM2150" s="95">
        <v>7827.5</v>
      </c>
      <c r="AN2150" s="95">
        <v>7827.5</v>
      </c>
      <c r="AO2150" s="95">
        <v>7827.5</v>
      </c>
      <c r="AP2150" s="95">
        <v>7827.5</v>
      </c>
      <c r="AQ2150" s="95">
        <v>7827.5</v>
      </c>
      <c r="AR2150" s="95">
        <v>7827.5</v>
      </c>
      <c r="AS2150" s="95">
        <v>7827.5</v>
      </c>
      <c r="AT2150" s="95">
        <v>7827.5</v>
      </c>
      <c r="AU2150" s="95">
        <v>7827.5</v>
      </c>
      <c r="AV2150" s="95">
        <v>7827.5</v>
      </c>
      <c r="AW2150" s="95">
        <v>7827.5</v>
      </c>
      <c r="AX2150" s="96">
        <v>7827.5</v>
      </c>
    </row>
    <row r="2151" spans="1:50" x14ac:dyDescent="0.25">
      <c r="A2151" s="356"/>
      <c r="B2151" s="359"/>
      <c r="C2151" s="350"/>
      <c r="D2151" s="2" t="s">
        <v>8</v>
      </c>
      <c r="E2151" s="160" t="str">
        <f>A2131&amp;"/"&amp;B2147&amp;"/"&amp;C2150&amp;"/"&amp;D2151</f>
        <v>Lignite fired power plants/Fluidized bed combustion/CHP/M</v>
      </c>
      <c r="F2151" s="76" t="str">
        <f>A2131</f>
        <v>Lignite fired power plants</v>
      </c>
      <c r="G2151" s="76" t="str">
        <f>B2147</f>
        <v>Fluidized bed combustion</v>
      </c>
      <c r="H2151" s="76" t="str">
        <f>C2150</f>
        <v>CHP</v>
      </c>
      <c r="I2151" s="161" t="str">
        <f t="shared" ref="I2151:I2214" si="114">D2151</f>
        <v>M</v>
      </c>
      <c r="J2151" s="91">
        <v>6899.4557204141356</v>
      </c>
      <c r="K2151" s="91">
        <v>6899.4557204141356</v>
      </c>
      <c r="L2151" s="91">
        <v>6899.4557204141356</v>
      </c>
      <c r="M2151" s="91">
        <v>6899.4557204141356</v>
      </c>
      <c r="N2151" s="91">
        <v>6899.4557204141356</v>
      </c>
      <c r="O2151" s="91">
        <v>6899.4557204141356</v>
      </c>
      <c r="P2151" s="91">
        <v>6899.4557204141356</v>
      </c>
      <c r="Q2151" s="91">
        <v>6899.4557204141356</v>
      </c>
      <c r="R2151" s="91">
        <v>6899.4557204141356</v>
      </c>
      <c r="S2151" s="91">
        <v>6899.4557204141356</v>
      </c>
      <c r="T2151" s="91">
        <v>6899.4557204141356</v>
      </c>
      <c r="U2151" s="91">
        <v>6899.4557204141356</v>
      </c>
      <c r="V2151" s="91">
        <v>6899.4557204141356</v>
      </c>
      <c r="W2151" s="91">
        <v>6899.4557204141356</v>
      </c>
      <c r="X2151" s="91">
        <v>6899.4557204141356</v>
      </c>
      <c r="Y2151" s="91">
        <v>6899.4557204141356</v>
      </c>
      <c r="Z2151" s="91">
        <v>6899.4557204141356</v>
      </c>
      <c r="AA2151" s="91">
        <v>6899.4557204141356</v>
      </c>
      <c r="AB2151" s="91">
        <v>6899.4557204141356</v>
      </c>
      <c r="AC2151" s="91">
        <v>6899.4557204141356</v>
      </c>
      <c r="AD2151" s="91">
        <v>6899.4557204141356</v>
      </c>
      <c r="AE2151" s="91">
        <v>6899.4557204141356</v>
      </c>
      <c r="AF2151" s="91">
        <v>6899.4557204141356</v>
      </c>
      <c r="AG2151" s="91">
        <v>6899.4557204141356</v>
      </c>
      <c r="AH2151" s="91">
        <v>6899.4557204141356</v>
      </c>
      <c r="AI2151" s="91">
        <v>6899.4557204141356</v>
      </c>
      <c r="AJ2151" s="91">
        <v>6899.4557204141356</v>
      </c>
      <c r="AK2151" s="91">
        <v>6899.4557204141356</v>
      </c>
      <c r="AL2151" s="91">
        <v>6899.4557204141356</v>
      </c>
      <c r="AM2151" s="91">
        <v>6899.4557204141356</v>
      </c>
      <c r="AN2151" s="91">
        <v>6899.4557204141356</v>
      </c>
      <c r="AO2151" s="91">
        <v>6899.4557204141356</v>
      </c>
      <c r="AP2151" s="91">
        <v>6899.4557204141356</v>
      </c>
      <c r="AQ2151" s="91">
        <v>6899.4557204141356</v>
      </c>
      <c r="AR2151" s="91">
        <v>6899.4557204141356</v>
      </c>
      <c r="AS2151" s="91">
        <v>6899.4557204141356</v>
      </c>
      <c r="AT2151" s="91">
        <v>6899.4557204141356</v>
      </c>
      <c r="AU2151" s="91">
        <v>6899.4557204141356</v>
      </c>
      <c r="AV2151" s="91">
        <v>6899.4557204141356</v>
      </c>
      <c r="AW2151" s="91">
        <v>6899.4557204141356</v>
      </c>
      <c r="AX2151" s="92">
        <v>6899.4557204141356</v>
      </c>
    </row>
    <row r="2152" spans="1:50" x14ac:dyDescent="0.25">
      <c r="A2152" s="356"/>
      <c r="B2152" s="359"/>
      <c r="C2152" s="360"/>
      <c r="D2152" s="59" t="s">
        <v>10</v>
      </c>
      <c r="E2152" s="166" t="str">
        <f>A2131&amp;"/"&amp;B2147&amp;"/"&amp;C2150&amp;"/"&amp;D2152</f>
        <v>Lignite fired power plants/Fluidized bed combustion/CHP/S</v>
      </c>
      <c r="F2152" s="79" t="str">
        <f>A2131</f>
        <v>Lignite fired power plants</v>
      </c>
      <c r="G2152" s="79" t="str">
        <f>B2147</f>
        <v>Fluidized bed combustion</v>
      </c>
      <c r="H2152" s="79" t="str">
        <f>C2150</f>
        <v>CHP</v>
      </c>
      <c r="I2152" s="167" t="str">
        <f t="shared" si="114"/>
        <v>S</v>
      </c>
      <c r="J2152" s="97">
        <v>5984.4714101418886</v>
      </c>
      <c r="K2152" s="97">
        <v>5984.4714101418886</v>
      </c>
      <c r="L2152" s="97">
        <v>5984.4714101418886</v>
      </c>
      <c r="M2152" s="97">
        <v>5984.4714101418886</v>
      </c>
      <c r="N2152" s="97">
        <v>5984.4714101418886</v>
      </c>
      <c r="O2152" s="97">
        <v>5984.4714101418886</v>
      </c>
      <c r="P2152" s="97">
        <v>5984.4714101418886</v>
      </c>
      <c r="Q2152" s="97">
        <v>5984.4714101418886</v>
      </c>
      <c r="R2152" s="97">
        <v>5984.4714101418886</v>
      </c>
      <c r="S2152" s="97">
        <v>5984.4714101418886</v>
      </c>
      <c r="T2152" s="97">
        <v>5984.4714101418886</v>
      </c>
      <c r="U2152" s="97">
        <v>5984.4714101418886</v>
      </c>
      <c r="V2152" s="97">
        <v>5984.4714101418886</v>
      </c>
      <c r="W2152" s="97">
        <v>5984.4714101418886</v>
      </c>
      <c r="X2152" s="97">
        <v>5984.4714101418886</v>
      </c>
      <c r="Y2152" s="97">
        <v>5984.4714101418886</v>
      </c>
      <c r="Z2152" s="97">
        <v>5984.4714101418886</v>
      </c>
      <c r="AA2152" s="97">
        <v>5984.4714101418886</v>
      </c>
      <c r="AB2152" s="97">
        <v>5984.4714101418886</v>
      </c>
      <c r="AC2152" s="97">
        <v>5984.4714101418886</v>
      </c>
      <c r="AD2152" s="97">
        <v>5984.4714101418886</v>
      </c>
      <c r="AE2152" s="97">
        <v>5984.4714101418886</v>
      </c>
      <c r="AF2152" s="97">
        <v>5984.4714101418886</v>
      </c>
      <c r="AG2152" s="97">
        <v>5984.4714101418886</v>
      </c>
      <c r="AH2152" s="97">
        <v>5984.4714101418886</v>
      </c>
      <c r="AI2152" s="97">
        <v>5984.4714101418886</v>
      </c>
      <c r="AJ2152" s="97">
        <v>5984.4714101418886</v>
      </c>
      <c r="AK2152" s="97">
        <v>5984.4714101418886</v>
      </c>
      <c r="AL2152" s="97">
        <v>5984.4714101418886</v>
      </c>
      <c r="AM2152" s="97">
        <v>5984.4714101418886</v>
      </c>
      <c r="AN2152" s="97">
        <v>5984.4714101418886</v>
      </c>
      <c r="AO2152" s="97">
        <v>5984.4714101418886</v>
      </c>
      <c r="AP2152" s="97">
        <v>5984.4714101418886</v>
      </c>
      <c r="AQ2152" s="97">
        <v>5984.4714101418886</v>
      </c>
      <c r="AR2152" s="97">
        <v>5984.4714101418886</v>
      </c>
      <c r="AS2152" s="97">
        <v>5984.4714101418886</v>
      </c>
      <c r="AT2152" s="97">
        <v>5984.4714101418886</v>
      </c>
      <c r="AU2152" s="97">
        <v>5984.4714101418886</v>
      </c>
      <c r="AV2152" s="97">
        <v>5984.4714101418886</v>
      </c>
      <c r="AW2152" s="97">
        <v>5984.4714101418886</v>
      </c>
      <c r="AX2152" s="98">
        <v>5984.4714101418886</v>
      </c>
    </row>
    <row r="2153" spans="1:50" x14ac:dyDescent="0.25">
      <c r="A2153" s="356"/>
      <c r="B2153" s="359"/>
      <c r="C2153" s="361" t="s">
        <v>15</v>
      </c>
      <c r="D2153" s="58" t="s">
        <v>7</v>
      </c>
      <c r="E2153" s="164" t="str">
        <f>A2131&amp;"/"&amp;B2147&amp;"/"&amp;C2153&amp;"/"&amp;D2153</f>
        <v>Lignite fired power plants/Fluidized bed combustion/Electricity only with CCS/L</v>
      </c>
      <c r="F2153" s="78" t="str">
        <f>A2131</f>
        <v>Lignite fired power plants</v>
      </c>
      <c r="G2153" s="78" t="str">
        <f>B2147</f>
        <v>Fluidized bed combustion</v>
      </c>
      <c r="H2153" s="78" t="str">
        <f>C2153</f>
        <v>Electricity only with CCS</v>
      </c>
      <c r="I2153" s="165" t="str">
        <f t="shared" si="114"/>
        <v>L</v>
      </c>
      <c r="J2153" s="95" t="s">
        <v>112</v>
      </c>
      <c r="K2153" s="95" t="s">
        <v>112</v>
      </c>
      <c r="L2153" s="95" t="s">
        <v>112</v>
      </c>
      <c r="M2153" s="95" t="s">
        <v>112</v>
      </c>
      <c r="N2153" s="95" t="s">
        <v>112</v>
      </c>
      <c r="O2153" s="95" t="s">
        <v>112</v>
      </c>
      <c r="P2153" s="95" t="s">
        <v>112</v>
      </c>
      <c r="Q2153" s="95" t="s">
        <v>112</v>
      </c>
      <c r="R2153" s="95" t="s">
        <v>112</v>
      </c>
      <c r="S2153" s="95" t="s">
        <v>112</v>
      </c>
      <c r="T2153" s="95" t="s">
        <v>112</v>
      </c>
      <c r="U2153" s="95" t="s">
        <v>112</v>
      </c>
      <c r="V2153" s="95" t="s">
        <v>112</v>
      </c>
      <c r="W2153" s="95" t="s">
        <v>112</v>
      </c>
      <c r="X2153" s="95" t="s">
        <v>112</v>
      </c>
      <c r="Y2153" s="95" t="s">
        <v>112</v>
      </c>
      <c r="Z2153" s="95" t="s">
        <v>112</v>
      </c>
      <c r="AA2153" s="95" t="s">
        <v>112</v>
      </c>
      <c r="AB2153" s="95" t="s">
        <v>112</v>
      </c>
      <c r="AC2153" s="95" t="s">
        <v>112</v>
      </c>
      <c r="AD2153" s="95" t="s">
        <v>112</v>
      </c>
      <c r="AE2153" s="95">
        <v>8225</v>
      </c>
      <c r="AF2153" s="95">
        <v>8225</v>
      </c>
      <c r="AG2153" s="95">
        <v>8225</v>
      </c>
      <c r="AH2153" s="95">
        <v>8225</v>
      </c>
      <c r="AI2153" s="95">
        <v>8225</v>
      </c>
      <c r="AJ2153" s="95">
        <v>8225</v>
      </c>
      <c r="AK2153" s="95">
        <v>8225</v>
      </c>
      <c r="AL2153" s="95">
        <v>8225</v>
      </c>
      <c r="AM2153" s="95">
        <v>8225</v>
      </c>
      <c r="AN2153" s="95">
        <v>8225</v>
      </c>
      <c r="AO2153" s="95">
        <v>8225</v>
      </c>
      <c r="AP2153" s="95">
        <v>8225</v>
      </c>
      <c r="AQ2153" s="95">
        <v>8225</v>
      </c>
      <c r="AR2153" s="95">
        <v>8225</v>
      </c>
      <c r="AS2153" s="95">
        <v>8225</v>
      </c>
      <c r="AT2153" s="95">
        <v>8225</v>
      </c>
      <c r="AU2153" s="95">
        <v>8225</v>
      </c>
      <c r="AV2153" s="95">
        <v>8225</v>
      </c>
      <c r="AW2153" s="95">
        <v>8225</v>
      </c>
      <c r="AX2153" s="96">
        <v>8225</v>
      </c>
    </row>
    <row r="2154" spans="1:50" x14ac:dyDescent="0.25">
      <c r="A2154" s="356"/>
      <c r="B2154" s="359"/>
      <c r="C2154" s="360"/>
      <c r="D2154" s="59" t="s">
        <v>8</v>
      </c>
      <c r="E2154" s="166" t="str">
        <f>A2131&amp;"/"&amp;B2147&amp;"/"&amp;C2153&amp;"/"&amp;D2154</f>
        <v>Lignite fired power plants/Fluidized bed combustion/Electricity only with CCS/M</v>
      </c>
      <c r="F2154" s="79" t="str">
        <f>A2131</f>
        <v>Lignite fired power plants</v>
      </c>
      <c r="G2154" s="79" t="str">
        <f>B2147</f>
        <v>Fluidized bed combustion</v>
      </c>
      <c r="H2154" s="79" t="str">
        <f>C2153</f>
        <v>Electricity only with CCS</v>
      </c>
      <c r="I2154" s="167" t="str">
        <f t="shared" si="114"/>
        <v>M</v>
      </c>
      <c r="J2154" s="97" t="s">
        <v>112</v>
      </c>
      <c r="K2154" s="97" t="s">
        <v>112</v>
      </c>
      <c r="L2154" s="97" t="s">
        <v>112</v>
      </c>
      <c r="M2154" s="97" t="s">
        <v>112</v>
      </c>
      <c r="N2154" s="97" t="s">
        <v>112</v>
      </c>
      <c r="O2154" s="97" t="s">
        <v>112</v>
      </c>
      <c r="P2154" s="97" t="s">
        <v>112</v>
      </c>
      <c r="Q2154" s="97" t="s">
        <v>112</v>
      </c>
      <c r="R2154" s="97" t="s">
        <v>112</v>
      </c>
      <c r="S2154" s="97" t="s">
        <v>112</v>
      </c>
      <c r="T2154" s="97" t="s">
        <v>112</v>
      </c>
      <c r="U2154" s="97" t="s">
        <v>112</v>
      </c>
      <c r="V2154" s="97" t="s">
        <v>112</v>
      </c>
      <c r="W2154" s="97" t="s">
        <v>112</v>
      </c>
      <c r="X2154" s="97" t="s">
        <v>112</v>
      </c>
      <c r="Y2154" s="97" t="s">
        <v>112</v>
      </c>
      <c r="Z2154" s="97" t="s">
        <v>112</v>
      </c>
      <c r="AA2154" s="97" t="s">
        <v>112</v>
      </c>
      <c r="AB2154" s="97" t="s">
        <v>112</v>
      </c>
      <c r="AC2154" s="97" t="s">
        <v>112</v>
      </c>
      <c r="AD2154" s="97" t="s">
        <v>112</v>
      </c>
      <c r="AE2154" s="97">
        <v>7224.4837073664221</v>
      </c>
      <c r="AF2154" s="97">
        <v>7224.4837073664221</v>
      </c>
      <c r="AG2154" s="97">
        <v>7224.4837073664221</v>
      </c>
      <c r="AH2154" s="97">
        <v>7224.4837073664221</v>
      </c>
      <c r="AI2154" s="97">
        <v>7224.4837073664221</v>
      </c>
      <c r="AJ2154" s="97">
        <v>7224.4837073664221</v>
      </c>
      <c r="AK2154" s="97">
        <v>7224.4837073664221</v>
      </c>
      <c r="AL2154" s="97">
        <v>7224.4837073664221</v>
      </c>
      <c r="AM2154" s="97">
        <v>7224.4837073664221</v>
      </c>
      <c r="AN2154" s="97">
        <v>7224.4837073664221</v>
      </c>
      <c r="AO2154" s="97">
        <v>7224.4837073664221</v>
      </c>
      <c r="AP2154" s="97">
        <v>7224.4837073664221</v>
      </c>
      <c r="AQ2154" s="97">
        <v>7224.4837073664221</v>
      </c>
      <c r="AR2154" s="97">
        <v>7224.4837073664221</v>
      </c>
      <c r="AS2154" s="97">
        <v>7224.4837073664221</v>
      </c>
      <c r="AT2154" s="97">
        <v>7224.4837073664221</v>
      </c>
      <c r="AU2154" s="97">
        <v>7224.4837073664221</v>
      </c>
      <c r="AV2154" s="97">
        <v>7224.4837073664221</v>
      </c>
      <c r="AW2154" s="97">
        <v>7224.4837073664221</v>
      </c>
      <c r="AX2154" s="98">
        <v>7224.4837073664221</v>
      </c>
    </row>
    <row r="2155" spans="1:50" x14ac:dyDescent="0.25">
      <c r="A2155" s="356"/>
      <c r="B2155" s="359"/>
      <c r="C2155" s="361" t="s">
        <v>16</v>
      </c>
      <c r="D2155" s="2" t="s">
        <v>7</v>
      </c>
      <c r="E2155" s="160" t="str">
        <f>A2131&amp;"/"&amp;B2147&amp;"/"&amp;C2155&amp;"/"&amp;D2155</f>
        <v>Lignite fired power plants/Fluidized bed combustion/CHP with CCS/L</v>
      </c>
      <c r="F2155" s="76" t="str">
        <f>A2131</f>
        <v>Lignite fired power plants</v>
      </c>
      <c r="G2155" s="76" t="str">
        <f>B2147</f>
        <v>Fluidized bed combustion</v>
      </c>
      <c r="H2155" s="76" t="str">
        <f>C2155</f>
        <v>CHP with CCS</v>
      </c>
      <c r="I2155" s="161" t="str">
        <f t="shared" si="114"/>
        <v>L</v>
      </c>
      <c r="J2155" s="91" t="s">
        <v>112</v>
      </c>
      <c r="K2155" s="91" t="s">
        <v>112</v>
      </c>
      <c r="L2155" s="91" t="s">
        <v>112</v>
      </c>
      <c r="M2155" s="91" t="s">
        <v>112</v>
      </c>
      <c r="N2155" s="91" t="s">
        <v>112</v>
      </c>
      <c r="O2155" s="91" t="s">
        <v>112</v>
      </c>
      <c r="P2155" s="91" t="s">
        <v>112</v>
      </c>
      <c r="Q2155" s="91" t="s">
        <v>112</v>
      </c>
      <c r="R2155" s="91" t="s">
        <v>112</v>
      </c>
      <c r="S2155" s="91" t="s">
        <v>112</v>
      </c>
      <c r="T2155" s="91" t="s">
        <v>112</v>
      </c>
      <c r="U2155" s="91" t="s">
        <v>112</v>
      </c>
      <c r="V2155" s="91" t="s">
        <v>112</v>
      </c>
      <c r="W2155" s="91" t="s">
        <v>112</v>
      </c>
      <c r="X2155" s="91" t="s">
        <v>112</v>
      </c>
      <c r="Y2155" s="91" t="s">
        <v>112</v>
      </c>
      <c r="Z2155" s="91" t="s">
        <v>112</v>
      </c>
      <c r="AA2155" s="91" t="s">
        <v>112</v>
      </c>
      <c r="AB2155" s="91" t="s">
        <v>112</v>
      </c>
      <c r="AC2155" s="91" t="s">
        <v>112</v>
      </c>
      <c r="AD2155" s="91" t="s">
        <v>112</v>
      </c>
      <c r="AE2155" s="91">
        <v>7827.5</v>
      </c>
      <c r="AF2155" s="91">
        <v>7827.5</v>
      </c>
      <c r="AG2155" s="91">
        <v>7827.5</v>
      </c>
      <c r="AH2155" s="91">
        <v>7827.5</v>
      </c>
      <c r="AI2155" s="91">
        <v>7827.5</v>
      </c>
      <c r="AJ2155" s="91">
        <v>7827.5</v>
      </c>
      <c r="AK2155" s="91">
        <v>7827.5</v>
      </c>
      <c r="AL2155" s="91">
        <v>7827.5</v>
      </c>
      <c r="AM2155" s="91">
        <v>7827.5</v>
      </c>
      <c r="AN2155" s="91">
        <v>7827.5</v>
      </c>
      <c r="AO2155" s="91">
        <v>7827.5</v>
      </c>
      <c r="AP2155" s="91">
        <v>7827.5</v>
      </c>
      <c r="AQ2155" s="91">
        <v>7827.5</v>
      </c>
      <c r="AR2155" s="91">
        <v>7827.5</v>
      </c>
      <c r="AS2155" s="91">
        <v>7827.5</v>
      </c>
      <c r="AT2155" s="91">
        <v>7827.5</v>
      </c>
      <c r="AU2155" s="91">
        <v>7827.5</v>
      </c>
      <c r="AV2155" s="91">
        <v>7827.5</v>
      </c>
      <c r="AW2155" s="91">
        <v>7827.5</v>
      </c>
      <c r="AX2155" s="92">
        <v>7827.5</v>
      </c>
    </row>
    <row r="2156" spans="1:50" x14ac:dyDescent="0.25">
      <c r="A2156" s="356"/>
      <c r="B2156" s="362"/>
      <c r="C2156" s="354"/>
      <c r="D2156" s="4" t="s">
        <v>8</v>
      </c>
      <c r="E2156" s="168" t="str">
        <f>A2131&amp;"/"&amp;B2147&amp;"/"&amp;C2155&amp;"/"&amp;D2156</f>
        <v>Lignite fired power plants/Fluidized bed combustion/CHP with CCS/M</v>
      </c>
      <c r="F2156" s="80" t="str">
        <f>A2131</f>
        <v>Lignite fired power plants</v>
      </c>
      <c r="G2156" s="80" t="str">
        <f>B2147</f>
        <v>Fluidized bed combustion</v>
      </c>
      <c r="H2156" s="80" t="str">
        <f>C2155</f>
        <v>CHP with CCS</v>
      </c>
      <c r="I2156" s="169" t="str">
        <f t="shared" si="114"/>
        <v>M</v>
      </c>
      <c r="J2156" s="99" t="s">
        <v>112</v>
      </c>
      <c r="K2156" s="99" t="s">
        <v>112</v>
      </c>
      <c r="L2156" s="99" t="s">
        <v>112</v>
      </c>
      <c r="M2156" s="99" t="s">
        <v>112</v>
      </c>
      <c r="N2156" s="99" t="s">
        <v>112</v>
      </c>
      <c r="O2156" s="99" t="s">
        <v>112</v>
      </c>
      <c r="P2156" s="99" t="s">
        <v>112</v>
      </c>
      <c r="Q2156" s="99" t="s">
        <v>112</v>
      </c>
      <c r="R2156" s="99" t="s">
        <v>112</v>
      </c>
      <c r="S2156" s="99" t="s">
        <v>112</v>
      </c>
      <c r="T2156" s="99" t="s">
        <v>112</v>
      </c>
      <c r="U2156" s="99" t="s">
        <v>112</v>
      </c>
      <c r="V2156" s="99" t="s">
        <v>112</v>
      </c>
      <c r="W2156" s="99" t="s">
        <v>112</v>
      </c>
      <c r="X2156" s="99" t="s">
        <v>112</v>
      </c>
      <c r="Y2156" s="99" t="s">
        <v>112</v>
      </c>
      <c r="Z2156" s="99" t="s">
        <v>112</v>
      </c>
      <c r="AA2156" s="99" t="s">
        <v>112</v>
      </c>
      <c r="AB2156" s="99" t="s">
        <v>112</v>
      </c>
      <c r="AC2156" s="99" t="s">
        <v>112</v>
      </c>
      <c r="AD2156" s="99" t="s">
        <v>112</v>
      </c>
      <c r="AE2156" s="99">
        <v>6899.4557204141356</v>
      </c>
      <c r="AF2156" s="99">
        <v>6899.4557204141356</v>
      </c>
      <c r="AG2156" s="99">
        <v>6899.4557204141356</v>
      </c>
      <c r="AH2156" s="99">
        <v>6899.4557204141356</v>
      </c>
      <c r="AI2156" s="99">
        <v>6899.4557204141356</v>
      </c>
      <c r="AJ2156" s="99">
        <v>6899.4557204141356</v>
      </c>
      <c r="AK2156" s="99">
        <v>6899.4557204141356</v>
      </c>
      <c r="AL2156" s="99">
        <v>6899.4557204141356</v>
      </c>
      <c r="AM2156" s="99">
        <v>6899.4557204141356</v>
      </c>
      <c r="AN2156" s="99">
        <v>6899.4557204141356</v>
      </c>
      <c r="AO2156" s="99">
        <v>6899.4557204141356</v>
      </c>
      <c r="AP2156" s="99">
        <v>6899.4557204141356</v>
      </c>
      <c r="AQ2156" s="99">
        <v>6899.4557204141356</v>
      </c>
      <c r="AR2156" s="99">
        <v>6899.4557204141356</v>
      </c>
      <c r="AS2156" s="99">
        <v>6899.4557204141356</v>
      </c>
      <c r="AT2156" s="99">
        <v>6899.4557204141356</v>
      </c>
      <c r="AU2156" s="99">
        <v>6899.4557204141356</v>
      </c>
      <c r="AV2156" s="99">
        <v>6899.4557204141356</v>
      </c>
      <c r="AW2156" s="99">
        <v>6899.4557204141356</v>
      </c>
      <c r="AX2156" s="100">
        <v>6899.4557204141356</v>
      </c>
    </row>
    <row r="2157" spans="1:50" x14ac:dyDescent="0.25">
      <c r="A2157" s="356"/>
      <c r="B2157" s="358" t="s">
        <v>19</v>
      </c>
      <c r="C2157" s="353" t="s">
        <v>6</v>
      </c>
      <c r="D2157" s="3" t="s">
        <v>7</v>
      </c>
      <c r="E2157" s="162" t="str">
        <f>A2131&amp;"/"&amp;B2157&amp;"/"&amp;C2157&amp;"/"&amp;D2157</f>
        <v>Lignite fired power plants/Steam turbine/Electricity only/L</v>
      </c>
      <c r="F2157" s="77" t="str">
        <f>A2131</f>
        <v>Lignite fired power plants</v>
      </c>
      <c r="G2157" s="77" t="str">
        <f>B2157</f>
        <v>Steam turbine</v>
      </c>
      <c r="H2157" s="77" t="str">
        <f>C2157</f>
        <v>Electricity only</v>
      </c>
      <c r="I2157" s="163" t="str">
        <f t="shared" si="114"/>
        <v>L</v>
      </c>
      <c r="J2157" s="93">
        <v>8125</v>
      </c>
      <c r="K2157" s="93">
        <v>8125</v>
      </c>
      <c r="L2157" s="93">
        <v>8125</v>
      </c>
      <c r="M2157" s="93">
        <v>8125</v>
      </c>
      <c r="N2157" s="93">
        <v>8125</v>
      </c>
      <c r="O2157" s="93">
        <v>8125</v>
      </c>
      <c r="P2157" s="93">
        <v>8125</v>
      </c>
      <c r="Q2157" s="93">
        <v>8125</v>
      </c>
      <c r="R2157" s="93">
        <v>8125</v>
      </c>
      <c r="S2157" s="93">
        <v>8125</v>
      </c>
      <c r="T2157" s="93">
        <v>8125</v>
      </c>
      <c r="U2157" s="93">
        <v>8125</v>
      </c>
      <c r="V2157" s="93">
        <v>8125</v>
      </c>
      <c r="W2157" s="93">
        <v>8125</v>
      </c>
      <c r="X2157" s="93">
        <v>8125</v>
      </c>
      <c r="Y2157" s="93">
        <v>8125</v>
      </c>
      <c r="Z2157" s="93">
        <v>8125</v>
      </c>
      <c r="AA2157" s="93">
        <v>8125</v>
      </c>
      <c r="AB2157" s="93">
        <v>8125</v>
      </c>
      <c r="AC2157" s="93">
        <v>8125</v>
      </c>
      <c r="AD2157" s="93">
        <v>8125</v>
      </c>
      <c r="AE2157" s="93">
        <v>8125</v>
      </c>
      <c r="AF2157" s="93">
        <v>8125</v>
      </c>
      <c r="AG2157" s="93">
        <v>8125</v>
      </c>
      <c r="AH2157" s="93">
        <v>8125</v>
      </c>
      <c r="AI2157" s="93">
        <v>8125</v>
      </c>
      <c r="AJ2157" s="93">
        <v>8125</v>
      </c>
      <c r="AK2157" s="93">
        <v>8125</v>
      </c>
      <c r="AL2157" s="93">
        <v>8125</v>
      </c>
      <c r="AM2157" s="93">
        <v>8125</v>
      </c>
      <c r="AN2157" s="93">
        <v>8125</v>
      </c>
      <c r="AO2157" s="93">
        <v>8125</v>
      </c>
      <c r="AP2157" s="93">
        <v>8125</v>
      </c>
      <c r="AQ2157" s="93">
        <v>8125</v>
      </c>
      <c r="AR2157" s="93">
        <v>8125</v>
      </c>
      <c r="AS2157" s="93">
        <v>8125</v>
      </c>
      <c r="AT2157" s="93">
        <v>8125</v>
      </c>
      <c r="AU2157" s="93">
        <v>8125</v>
      </c>
      <c r="AV2157" s="93">
        <v>8125</v>
      </c>
      <c r="AW2157" s="93">
        <v>8125</v>
      </c>
      <c r="AX2157" s="94">
        <v>8125</v>
      </c>
    </row>
    <row r="2158" spans="1:50" x14ac:dyDescent="0.25">
      <c r="A2158" s="356"/>
      <c r="B2158" s="359"/>
      <c r="C2158" s="350"/>
      <c r="D2158" s="2" t="s">
        <v>8</v>
      </c>
      <c r="E2158" s="160" t="str">
        <f>A2131&amp;"/"&amp;B2157&amp;"/"&amp;C2157&amp;"/"&amp;D2158</f>
        <v>Lignite fired power plants/Steam turbine/Electricity only/M</v>
      </c>
      <c r="F2158" s="76" t="str">
        <f>A2131</f>
        <v>Lignite fired power plants</v>
      </c>
      <c r="G2158" s="76" t="str">
        <f>B2157</f>
        <v>Steam turbine</v>
      </c>
      <c r="H2158" s="76" t="str">
        <f>C2157</f>
        <v>Electricity only</v>
      </c>
      <c r="I2158" s="161" t="str">
        <f t="shared" si="114"/>
        <v>M</v>
      </c>
      <c r="J2158" s="91">
        <v>7449.8374113000482</v>
      </c>
      <c r="K2158" s="91">
        <v>7449.8374113000482</v>
      </c>
      <c r="L2158" s="91">
        <v>7449.8374113000482</v>
      </c>
      <c r="M2158" s="91">
        <v>7449.8374113000482</v>
      </c>
      <c r="N2158" s="91">
        <v>7449.8374113000482</v>
      </c>
      <c r="O2158" s="91">
        <v>7449.8374113000482</v>
      </c>
      <c r="P2158" s="91">
        <v>7449.8374113000482</v>
      </c>
      <c r="Q2158" s="91">
        <v>7449.8374113000482</v>
      </c>
      <c r="R2158" s="91">
        <v>7449.8374113000482</v>
      </c>
      <c r="S2158" s="91">
        <v>7449.8374113000482</v>
      </c>
      <c r="T2158" s="91">
        <v>7449.8374113000482</v>
      </c>
      <c r="U2158" s="91">
        <v>7449.8374113000482</v>
      </c>
      <c r="V2158" s="91">
        <v>7449.8374113000482</v>
      </c>
      <c r="W2158" s="91">
        <v>7449.8374113000482</v>
      </c>
      <c r="X2158" s="91">
        <v>7449.8374113000482</v>
      </c>
      <c r="Y2158" s="91">
        <v>7449.8374113000482</v>
      </c>
      <c r="Z2158" s="91">
        <v>7449.8374113000482</v>
      </c>
      <c r="AA2158" s="91">
        <v>7449.8374113000482</v>
      </c>
      <c r="AB2158" s="91">
        <v>7449.8374113000482</v>
      </c>
      <c r="AC2158" s="91">
        <v>7449.8374113000482</v>
      </c>
      <c r="AD2158" s="91">
        <v>7449.8374113000482</v>
      </c>
      <c r="AE2158" s="91">
        <v>7449.8374113000482</v>
      </c>
      <c r="AF2158" s="91">
        <v>7449.8374113000482</v>
      </c>
      <c r="AG2158" s="91">
        <v>7449.8374113000482</v>
      </c>
      <c r="AH2158" s="91">
        <v>7449.8374113000482</v>
      </c>
      <c r="AI2158" s="91">
        <v>7449.8374113000482</v>
      </c>
      <c r="AJ2158" s="91">
        <v>7449.8374113000482</v>
      </c>
      <c r="AK2158" s="91">
        <v>7449.8374113000482</v>
      </c>
      <c r="AL2158" s="91">
        <v>7449.8374113000482</v>
      </c>
      <c r="AM2158" s="91">
        <v>7449.8374113000482</v>
      </c>
      <c r="AN2158" s="91">
        <v>7449.8374113000482</v>
      </c>
      <c r="AO2158" s="91">
        <v>7449.8374113000482</v>
      </c>
      <c r="AP2158" s="91">
        <v>7449.8374113000482</v>
      </c>
      <c r="AQ2158" s="91">
        <v>7449.8374113000482</v>
      </c>
      <c r="AR2158" s="91">
        <v>7449.8374113000482</v>
      </c>
      <c r="AS2158" s="91">
        <v>7449.8374113000482</v>
      </c>
      <c r="AT2158" s="91">
        <v>7449.8374113000482</v>
      </c>
      <c r="AU2158" s="91">
        <v>7449.8374113000482</v>
      </c>
      <c r="AV2158" s="91">
        <v>7449.8374113000482</v>
      </c>
      <c r="AW2158" s="91">
        <v>7449.8374113000482</v>
      </c>
      <c r="AX2158" s="92">
        <v>7449.8374113000482</v>
      </c>
    </row>
    <row r="2159" spans="1:50" x14ac:dyDescent="0.25">
      <c r="A2159" s="356"/>
      <c r="B2159" s="359"/>
      <c r="C2159" s="350"/>
      <c r="D2159" s="2" t="s">
        <v>10</v>
      </c>
      <c r="E2159" s="160" t="str">
        <f>A2131&amp;"/"&amp;B2157&amp;"/"&amp;C2157&amp;"/"&amp;D2159</f>
        <v>Lignite fired power plants/Steam turbine/Electricity only/S</v>
      </c>
      <c r="F2159" s="76" t="str">
        <f>A2131</f>
        <v>Lignite fired power plants</v>
      </c>
      <c r="G2159" s="76" t="str">
        <f>B2157</f>
        <v>Steam turbine</v>
      </c>
      <c r="H2159" s="76" t="str">
        <f>C2157</f>
        <v>Electricity only</v>
      </c>
      <c r="I2159" s="161" t="str">
        <f t="shared" si="114"/>
        <v>S</v>
      </c>
      <c r="J2159" s="91">
        <v>6680.9839431392202</v>
      </c>
      <c r="K2159" s="91">
        <v>6680.9839431392202</v>
      </c>
      <c r="L2159" s="91">
        <v>6680.9839431392202</v>
      </c>
      <c r="M2159" s="91">
        <v>6680.9839431392202</v>
      </c>
      <c r="N2159" s="91">
        <v>6680.9839431392202</v>
      </c>
      <c r="O2159" s="91">
        <v>6680.9839431392202</v>
      </c>
      <c r="P2159" s="91">
        <v>6680.9839431392202</v>
      </c>
      <c r="Q2159" s="91">
        <v>6680.9839431392202</v>
      </c>
      <c r="R2159" s="91">
        <v>6680.9839431392202</v>
      </c>
      <c r="S2159" s="91">
        <v>6680.9839431392202</v>
      </c>
      <c r="T2159" s="91">
        <v>6680.9839431392202</v>
      </c>
      <c r="U2159" s="91">
        <v>6680.9839431392202</v>
      </c>
      <c r="V2159" s="91">
        <v>6680.9839431392202</v>
      </c>
      <c r="W2159" s="91">
        <v>6680.9839431392202</v>
      </c>
      <c r="X2159" s="91">
        <v>6680.9839431392202</v>
      </c>
      <c r="Y2159" s="91">
        <v>6680.9839431392202</v>
      </c>
      <c r="Z2159" s="91">
        <v>6680.9839431392202</v>
      </c>
      <c r="AA2159" s="91">
        <v>6680.9839431392202</v>
      </c>
      <c r="AB2159" s="91">
        <v>6680.9839431392202</v>
      </c>
      <c r="AC2159" s="91">
        <v>6680.9839431392202</v>
      </c>
      <c r="AD2159" s="91">
        <v>6680.9839431392202</v>
      </c>
      <c r="AE2159" s="91">
        <v>6680.9839431392202</v>
      </c>
      <c r="AF2159" s="91">
        <v>6680.9839431392202</v>
      </c>
      <c r="AG2159" s="91">
        <v>6680.9839431392202</v>
      </c>
      <c r="AH2159" s="91">
        <v>6680.9839431392202</v>
      </c>
      <c r="AI2159" s="91">
        <v>6680.9839431392202</v>
      </c>
      <c r="AJ2159" s="91">
        <v>6680.9839431392202</v>
      </c>
      <c r="AK2159" s="91">
        <v>6680.9839431392202</v>
      </c>
      <c r="AL2159" s="91">
        <v>6680.9839431392202</v>
      </c>
      <c r="AM2159" s="91">
        <v>6680.9839431392202</v>
      </c>
      <c r="AN2159" s="91">
        <v>6680.9839431392202</v>
      </c>
      <c r="AO2159" s="91">
        <v>6680.9839431392202</v>
      </c>
      <c r="AP2159" s="91">
        <v>6680.9839431392202</v>
      </c>
      <c r="AQ2159" s="91">
        <v>6680.9839431392202</v>
      </c>
      <c r="AR2159" s="91">
        <v>6680.9839431392202</v>
      </c>
      <c r="AS2159" s="91">
        <v>6680.9839431392202</v>
      </c>
      <c r="AT2159" s="91">
        <v>6680.9839431392202</v>
      </c>
      <c r="AU2159" s="91">
        <v>6680.9839431392202</v>
      </c>
      <c r="AV2159" s="91">
        <v>6680.9839431392202</v>
      </c>
      <c r="AW2159" s="91">
        <v>6680.9839431392202</v>
      </c>
      <c r="AX2159" s="92">
        <v>6680.9839431392202</v>
      </c>
    </row>
    <row r="2160" spans="1:50" x14ac:dyDescent="0.25">
      <c r="A2160" s="356"/>
      <c r="B2160" s="359"/>
      <c r="C2160" s="360"/>
      <c r="D2160" s="2" t="s">
        <v>20</v>
      </c>
      <c r="E2160" s="160" t="str">
        <f>A2131&amp;"/"&amp;B2157&amp;"/"&amp;C2157&amp;"/"&amp;D2160</f>
        <v>Lignite fired power plants/Steam turbine/Electricity only/XS</v>
      </c>
      <c r="F2160" s="76" t="str">
        <f>A2131</f>
        <v>Lignite fired power plants</v>
      </c>
      <c r="G2160" s="76" t="str">
        <f>B2157</f>
        <v>Steam turbine</v>
      </c>
      <c r="H2160" s="76" t="str">
        <f>C2157</f>
        <v>Electricity only</v>
      </c>
      <c r="I2160" s="161" t="str">
        <f t="shared" si="114"/>
        <v>XS</v>
      </c>
      <c r="J2160" s="91">
        <v>6291.3075328950035</v>
      </c>
      <c r="K2160" s="91">
        <v>6291.3075328950035</v>
      </c>
      <c r="L2160" s="91">
        <v>6291.3075328950035</v>
      </c>
      <c r="M2160" s="91">
        <v>6291.3075328950035</v>
      </c>
      <c r="N2160" s="91">
        <v>6291.3075328950035</v>
      </c>
      <c r="O2160" s="91">
        <v>6291.3075328950035</v>
      </c>
      <c r="P2160" s="91">
        <v>6291.3075328950035</v>
      </c>
      <c r="Q2160" s="91">
        <v>6291.3075328950035</v>
      </c>
      <c r="R2160" s="91">
        <v>6291.3075328950035</v>
      </c>
      <c r="S2160" s="91">
        <v>6291.3075328950035</v>
      </c>
      <c r="T2160" s="91">
        <v>6291.3075328950035</v>
      </c>
      <c r="U2160" s="91">
        <v>6291.3075328950035</v>
      </c>
      <c r="V2160" s="91">
        <v>6291.3075328950035</v>
      </c>
      <c r="W2160" s="91">
        <v>6291.3075328950035</v>
      </c>
      <c r="X2160" s="91">
        <v>6291.3075328950035</v>
      </c>
      <c r="Y2160" s="91">
        <v>6291.3075328950035</v>
      </c>
      <c r="Z2160" s="91">
        <v>6291.3075328950035</v>
      </c>
      <c r="AA2160" s="91">
        <v>6291.3075328950035</v>
      </c>
      <c r="AB2160" s="91">
        <v>6291.3075328950035</v>
      </c>
      <c r="AC2160" s="91">
        <v>6291.3075328950035</v>
      </c>
      <c r="AD2160" s="91">
        <v>6291.3075328950035</v>
      </c>
      <c r="AE2160" s="91">
        <v>6291.3075328950035</v>
      </c>
      <c r="AF2160" s="91">
        <v>6291.3075328950035</v>
      </c>
      <c r="AG2160" s="91">
        <v>6291.3075328950035</v>
      </c>
      <c r="AH2160" s="91">
        <v>6291.3075328950035</v>
      </c>
      <c r="AI2160" s="91">
        <v>6291.3075328950035</v>
      </c>
      <c r="AJ2160" s="91">
        <v>6291.3075328950035</v>
      </c>
      <c r="AK2160" s="91">
        <v>6291.3075328950035</v>
      </c>
      <c r="AL2160" s="91">
        <v>6291.3075328950035</v>
      </c>
      <c r="AM2160" s="91">
        <v>6291.3075328950035</v>
      </c>
      <c r="AN2160" s="91">
        <v>6291.3075328950035</v>
      </c>
      <c r="AO2160" s="91">
        <v>6291.3075328950035</v>
      </c>
      <c r="AP2160" s="91">
        <v>6291.3075328950035</v>
      </c>
      <c r="AQ2160" s="91">
        <v>6291.3075328950035</v>
      </c>
      <c r="AR2160" s="91">
        <v>6291.3075328950035</v>
      </c>
      <c r="AS2160" s="91">
        <v>6291.3075328950035</v>
      </c>
      <c r="AT2160" s="91">
        <v>6291.3075328950035</v>
      </c>
      <c r="AU2160" s="91">
        <v>6291.3075328950035</v>
      </c>
      <c r="AV2160" s="91">
        <v>6291.3075328950035</v>
      </c>
      <c r="AW2160" s="91">
        <v>6291.3075328950035</v>
      </c>
      <c r="AX2160" s="92">
        <v>6291.3075328950035</v>
      </c>
    </row>
    <row r="2161" spans="1:50" x14ac:dyDescent="0.25">
      <c r="A2161" s="356"/>
      <c r="B2161" s="359"/>
      <c r="C2161" s="361" t="s">
        <v>14</v>
      </c>
      <c r="D2161" s="58" t="s">
        <v>7</v>
      </c>
      <c r="E2161" s="164" t="str">
        <f>A2131&amp;"/"&amp;B2157&amp;"/"&amp;C2161&amp;"/"&amp;D2161</f>
        <v>Lignite fired power plants/Steam turbine/CHP/L</v>
      </c>
      <c r="F2161" s="78" t="str">
        <f>A2131</f>
        <v>Lignite fired power plants</v>
      </c>
      <c r="G2161" s="78" t="str">
        <f>B2157</f>
        <v>Steam turbine</v>
      </c>
      <c r="H2161" s="78" t="str">
        <f>C2161</f>
        <v>CHP</v>
      </c>
      <c r="I2161" s="165" t="str">
        <f t="shared" si="114"/>
        <v>L</v>
      </c>
      <c r="J2161" s="95">
        <v>7732.5</v>
      </c>
      <c r="K2161" s="95">
        <v>7732.5</v>
      </c>
      <c r="L2161" s="95">
        <v>7732.5</v>
      </c>
      <c r="M2161" s="95">
        <v>7732.5</v>
      </c>
      <c r="N2161" s="95">
        <v>7732.5</v>
      </c>
      <c r="O2161" s="95">
        <v>7732.5</v>
      </c>
      <c r="P2161" s="95">
        <v>7732.5</v>
      </c>
      <c r="Q2161" s="95">
        <v>7732.5</v>
      </c>
      <c r="R2161" s="95">
        <v>7732.5</v>
      </c>
      <c r="S2161" s="95">
        <v>7732.5</v>
      </c>
      <c r="T2161" s="95">
        <v>7732.5</v>
      </c>
      <c r="U2161" s="95">
        <v>7732.5</v>
      </c>
      <c r="V2161" s="95">
        <v>7732.5</v>
      </c>
      <c r="W2161" s="95">
        <v>7732.5</v>
      </c>
      <c r="X2161" s="95">
        <v>7732.5</v>
      </c>
      <c r="Y2161" s="95">
        <v>7732.5</v>
      </c>
      <c r="Z2161" s="95">
        <v>7732.5</v>
      </c>
      <c r="AA2161" s="95">
        <v>7732.5</v>
      </c>
      <c r="AB2161" s="95">
        <v>7732.5</v>
      </c>
      <c r="AC2161" s="95">
        <v>7732.5</v>
      </c>
      <c r="AD2161" s="95">
        <v>7732.5</v>
      </c>
      <c r="AE2161" s="95">
        <v>7732.5</v>
      </c>
      <c r="AF2161" s="95">
        <v>7732.5</v>
      </c>
      <c r="AG2161" s="95">
        <v>7732.5</v>
      </c>
      <c r="AH2161" s="95">
        <v>7732.5</v>
      </c>
      <c r="AI2161" s="95">
        <v>7732.5</v>
      </c>
      <c r="AJ2161" s="95">
        <v>7732.5</v>
      </c>
      <c r="AK2161" s="95">
        <v>7732.5</v>
      </c>
      <c r="AL2161" s="95">
        <v>7732.5</v>
      </c>
      <c r="AM2161" s="95">
        <v>7732.5</v>
      </c>
      <c r="AN2161" s="95">
        <v>7732.5</v>
      </c>
      <c r="AO2161" s="95">
        <v>7732.5</v>
      </c>
      <c r="AP2161" s="95">
        <v>7732.5</v>
      </c>
      <c r="AQ2161" s="95">
        <v>7732.5</v>
      </c>
      <c r="AR2161" s="95">
        <v>7732.5</v>
      </c>
      <c r="AS2161" s="95">
        <v>7732.5</v>
      </c>
      <c r="AT2161" s="95">
        <v>7732.5</v>
      </c>
      <c r="AU2161" s="95">
        <v>7732.5</v>
      </c>
      <c r="AV2161" s="95">
        <v>7732.5</v>
      </c>
      <c r="AW2161" s="95">
        <v>7732.5</v>
      </c>
      <c r="AX2161" s="96">
        <v>7732.5</v>
      </c>
    </row>
    <row r="2162" spans="1:50" x14ac:dyDescent="0.25">
      <c r="A2162" s="356"/>
      <c r="B2162" s="359"/>
      <c r="C2162" s="350"/>
      <c r="D2162" s="2" t="s">
        <v>8</v>
      </c>
      <c r="E2162" s="160" t="str">
        <f>A2131&amp;"/"&amp;B2157&amp;"/"&amp;C2161&amp;"/"&amp;D2162</f>
        <v>Lignite fired power plants/Steam turbine/CHP/M</v>
      </c>
      <c r="F2162" s="76" t="str">
        <f>A2131</f>
        <v>Lignite fired power plants</v>
      </c>
      <c r="G2162" s="76" t="str">
        <f>B2157</f>
        <v>Steam turbine</v>
      </c>
      <c r="H2162" s="76" t="str">
        <f>C2161</f>
        <v>CHP</v>
      </c>
      <c r="I2162" s="161" t="str">
        <f t="shared" si="114"/>
        <v>M</v>
      </c>
      <c r="J2162" s="91">
        <v>7106.5217200818588</v>
      </c>
      <c r="K2162" s="91">
        <v>7106.5217200818588</v>
      </c>
      <c r="L2162" s="91">
        <v>7106.5217200818588</v>
      </c>
      <c r="M2162" s="91">
        <v>7106.5217200818588</v>
      </c>
      <c r="N2162" s="91">
        <v>7106.5217200818588</v>
      </c>
      <c r="O2162" s="91">
        <v>7106.5217200818588</v>
      </c>
      <c r="P2162" s="91">
        <v>7106.5217200818588</v>
      </c>
      <c r="Q2162" s="91">
        <v>7106.5217200818588</v>
      </c>
      <c r="R2162" s="91">
        <v>7106.5217200818588</v>
      </c>
      <c r="S2162" s="91">
        <v>7106.5217200818588</v>
      </c>
      <c r="T2162" s="91">
        <v>7106.5217200818588</v>
      </c>
      <c r="U2162" s="91">
        <v>7106.5217200818588</v>
      </c>
      <c r="V2162" s="91">
        <v>7106.5217200818588</v>
      </c>
      <c r="W2162" s="91">
        <v>7106.5217200818588</v>
      </c>
      <c r="X2162" s="91">
        <v>7106.5217200818588</v>
      </c>
      <c r="Y2162" s="91">
        <v>7106.5217200818588</v>
      </c>
      <c r="Z2162" s="91">
        <v>7106.5217200818588</v>
      </c>
      <c r="AA2162" s="91">
        <v>7106.5217200818588</v>
      </c>
      <c r="AB2162" s="91">
        <v>7106.5217200818588</v>
      </c>
      <c r="AC2162" s="91">
        <v>7106.5217200818588</v>
      </c>
      <c r="AD2162" s="91">
        <v>7106.5217200818588</v>
      </c>
      <c r="AE2162" s="91">
        <v>7106.5217200818588</v>
      </c>
      <c r="AF2162" s="91">
        <v>7106.5217200818588</v>
      </c>
      <c r="AG2162" s="91">
        <v>7106.5217200818588</v>
      </c>
      <c r="AH2162" s="91">
        <v>7106.5217200818588</v>
      </c>
      <c r="AI2162" s="91">
        <v>7106.5217200818588</v>
      </c>
      <c r="AJ2162" s="91">
        <v>7106.5217200818588</v>
      </c>
      <c r="AK2162" s="91">
        <v>7106.5217200818588</v>
      </c>
      <c r="AL2162" s="91">
        <v>7106.5217200818588</v>
      </c>
      <c r="AM2162" s="91">
        <v>7106.5217200818588</v>
      </c>
      <c r="AN2162" s="91">
        <v>7106.5217200818588</v>
      </c>
      <c r="AO2162" s="91">
        <v>7106.5217200818588</v>
      </c>
      <c r="AP2162" s="91">
        <v>7106.5217200818588</v>
      </c>
      <c r="AQ2162" s="91">
        <v>7106.5217200818588</v>
      </c>
      <c r="AR2162" s="91">
        <v>7106.5217200818588</v>
      </c>
      <c r="AS2162" s="91">
        <v>7106.5217200818588</v>
      </c>
      <c r="AT2162" s="91">
        <v>7106.5217200818588</v>
      </c>
      <c r="AU2162" s="91">
        <v>7106.5217200818588</v>
      </c>
      <c r="AV2162" s="91">
        <v>7106.5217200818588</v>
      </c>
      <c r="AW2162" s="91">
        <v>7106.5217200818588</v>
      </c>
      <c r="AX2162" s="92">
        <v>7106.5217200818588</v>
      </c>
    </row>
    <row r="2163" spans="1:50" x14ac:dyDescent="0.25">
      <c r="A2163" s="356"/>
      <c r="B2163" s="359"/>
      <c r="C2163" s="350"/>
      <c r="D2163" s="2" t="s">
        <v>10</v>
      </c>
      <c r="E2163" s="160" t="str">
        <f>A2131&amp;"/"&amp;B2157&amp;"/"&amp;C2161&amp;"/"&amp;D2163</f>
        <v>Lignite fired power plants/Steam turbine/CHP/S</v>
      </c>
      <c r="F2163" s="76" t="str">
        <f>A2131</f>
        <v>Lignite fired power plants</v>
      </c>
      <c r="G2163" s="76" t="str">
        <f>B2157</f>
        <v>Steam turbine</v>
      </c>
      <c r="H2163" s="76" t="str">
        <f>C2161</f>
        <v>CHP</v>
      </c>
      <c r="I2163" s="161" t="str">
        <f t="shared" si="114"/>
        <v>S</v>
      </c>
      <c r="J2163" s="91">
        <v>6392.0953384332206</v>
      </c>
      <c r="K2163" s="91">
        <v>6392.0953384332206</v>
      </c>
      <c r="L2163" s="91">
        <v>6392.0953384332206</v>
      </c>
      <c r="M2163" s="91">
        <v>6392.0953384332206</v>
      </c>
      <c r="N2163" s="91">
        <v>6392.0953384332206</v>
      </c>
      <c r="O2163" s="91">
        <v>6392.0953384332206</v>
      </c>
      <c r="P2163" s="91">
        <v>6392.0953384332206</v>
      </c>
      <c r="Q2163" s="91">
        <v>6392.0953384332206</v>
      </c>
      <c r="R2163" s="91">
        <v>6392.0953384332206</v>
      </c>
      <c r="S2163" s="91">
        <v>6392.0953384332206</v>
      </c>
      <c r="T2163" s="91">
        <v>6392.0953384332206</v>
      </c>
      <c r="U2163" s="91">
        <v>6392.0953384332206</v>
      </c>
      <c r="V2163" s="91">
        <v>6392.0953384332206</v>
      </c>
      <c r="W2163" s="91">
        <v>6392.0953384332206</v>
      </c>
      <c r="X2163" s="91">
        <v>6392.0953384332206</v>
      </c>
      <c r="Y2163" s="91">
        <v>6392.0953384332206</v>
      </c>
      <c r="Z2163" s="91">
        <v>6392.0953384332206</v>
      </c>
      <c r="AA2163" s="91">
        <v>6392.0953384332206</v>
      </c>
      <c r="AB2163" s="91">
        <v>6392.0953384332206</v>
      </c>
      <c r="AC2163" s="91">
        <v>6392.0953384332206</v>
      </c>
      <c r="AD2163" s="91">
        <v>6392.0953384332206</v>
      </c>
      <c r="AE2163" s="91">
        <v>6392.0953384332206</v>
      </c>
      <c r="AF2163" s="91">
        <v>6392.0953384332206</v>
      </c>
      <c r="AG2163" s="91">
        <v>6392.0953384332206</v>
      </c>
      <c r="AH2163" s="91">
        <v>6392.0953384332206</v>
      </c>
      <c r="AI2163" s="91">
        <v>6392.0953384332206</v>
      </c>
      <c r="AJ2163" s="91">
        <v>6392.0953384332206</v>
      </c>
      <c r="AK2163" s="91">
        <v>6392.0953384332206</v>
      </c>
      <c r="AL2163" s="91">
        <v>6392.0953384332206</v>
      </c>
      <c r="AM2163" s="91">
        <v>6392.0953384332206</v>
      </c>
      <c r="AN2163" s="91">
        <v>6392.0953384332206</v>
      </c>
      <c r="AO2163" s="91">
        <v>6392.0953384332206</v>
      </c>
      <c r="AP2163" s="91">
        <v>6392.0953384332206</v>
      </c>
      <c r="AQ2163" s="91">
        <v>6392.0953384332206</v>
      </c>
      <c r="AR2163" s="91">
        <v>6392.0953384332206</v>
      </c>
      <c r="AS2163" s="91">
        <v>6392.0953384332206</v>
      </c>
      <c r="AT2163" s="91">
        <v>6392.0953384332206</v>
      </c>
      <c r="AU2163" s="91">
        <v>6392.0953384332206</v>
      </c>
      <c r="AV2163" s="91">
        <v>6392.0953384332206</v>
      </c>
      <c r="AW2163" s="91">
        <v>6392.0953384332206</v>
      </c>
      <c r="AX2163" s="92">
        <v>6392.0953384332206</v>
      </c>
    </row>
    <row r="2164" spans="1:50" x14ac:dyDescent="0.25">
      <c r="A2164" s="356"/>
      <c r="B2164" s="359"/>
      <c r="C2164" s="360"/>
      <c r="D2164" s="59" t="s">
        <v>20</v>
      </c>
      <c r="E2164" s="166" t="str">
        <f>A2131&amp;"/"&amp;B2157&amp;"/"&amp;C2161&amp;"/"&amp;D2164</f>
        <v>Lignite fired power plants/Steam turbine/CHP/XS</v>
      </c>
      <c r="F2164" s="79" t="str">
        <f>A2131</f>
        <v>Lignite fired power plants</v>
      </c>
      <c r="G2164" s="79" t="str">
        <f>B2157</f>
        <v>Steam turbine</v>
      </c>
      <c r="H2164" s="79" t="str">
        <f>C2161</f>
        <v>CHP</v>
      </c>
      <c r="I2164" s="167" t="str">
        <f t="shared" si="114"/>
        <v>XS</v>
      </c>
      <c r="J2164" s="97">
        <v>6029.2589794028099</v>
      </c>
      <c r="K2164" s="97">
        <v>6029.2589794028099</v>
      </c>
      <c r="L2164" s="97">
        <v>6029.2589794028099</v>
      </c>
      <c r="M2164" s="97">
        <v>6029.2589794028099</v>
      </c>
      <c r="N2164" s="97">
        <v>6029.2589794028099</v>
      </c>
      <c r="O2164" s="97">
        <v>6029.2589794028099</v>
      </c>
      <c r="P2164" s="97">
        <v>6029.2589794028099</v>
      </c>
      <c r="Q2164" s="97">
        <v>6029.2589794028099</v>
      </c>
      <c r="R2164" s="97">
        <v>6029.2589794028099</v>
      </c>
      <c r="S2164" s="97">
        <v>6029.2589794028099</v>
      </c>
      <c r="T2164" s="97">
        <v>6029.2589794028099</v>
      </c>
      <c r="U2164" s="97">
        <v>6029.2589794028099</v>
      </c>
      <c r="V2164" s="97">
        <v>6029.2589794028099</v>
      </c>
      <c r="W2164" s="97">
        <v>6029.2589794028099</v>
      </c>
      <c r="X2164" s="97">
        <v>6029.2589794028099</v>
      </c>
      <c r="Y2164" s="97">
        <v>6029.2589794028099</v>
      </c>
      <c r="Z2164" s="97">
        <v>6029.2589794028099</v>
      </c>
      <c r="AA2164" s="97">
        <v>6029.2589794028099</v>
      </c>
      <c r="AB2164" s="97">
        <v>6029.2589794028099</v>
      </c>
      <c r="AC2164" s="97">
        <v>6029.2589794028099</v>
      </c>
      <c r="AD2164" s="97">
        <v>6029.2589794028099</v>
      </c>
      <c r="AE2164" s="97">
        <v>6029.2589794028099</v>
      </c>
      <c r="AF2164" s="97">
        <v>6029.2589794028099</v>
      </c>
      <c r="AG2164" s="97">
        <v>6029.2589794028099</v>
      </c>
      <c r="AH2164" s="97">
        <v>6029.2589794028099</v>
      </c>
      <c r="AI2164" s="97">
        <v>6029.2589794028099</v>
      </c>
      <c r="AJ2164" s="97">
        <v>6029.2589794028099</v>
      </c>
      <c r="AK2164" s="97">
        <v>6029.2589794028099</v>
      </c>
      <c r="AL2164" s="97">
        <v>6029.2589794028099</v>
      </c>
      <c r="AM2164" s="97">
        <v>6029.2589794028099</v>
      </c>
      <c r="AN2164" s="97">
        <v>6029.2589794028099</v>
      </c>
      <c r="AO2164" s="97">
        <v>6029.2589794028099</v>
      </c>
      <c r="AP2164" s="97">
        <v>6029.2589794028099</v>
      </c>
      <c r="AQ2164" s="97">
        <v>6029.2589794028099</v>
      </c>
      <c r="AR2164" s="97">
        <v>6029.2589794028099</v>
      </c>
      <c r="AS2164" s="97">
        <v>6029.2589794028099</v>
      </c>
      <c r="AT2164" s="97">
        <v>6029.2589794028099</v>
      </c>
      <c r="AU2164" s="97">
        <v>6029.2589794028099</v>
      </c>
      <c r="AV2164" s="97">
        <v>6029.2589794028099</v>
      </c>
      <c r="AW2164" s="97">
        <v>6029.2589794028099</v>
      </c>
      <c r="AX2164" s="98">
        <v>6029.2589794028099</v>
      </c>
    </row>
    <row r="2165" spans="1:50" x14ac:dyDescent="0.25">
      <c r="A2165" s="356"/>
      <c r="B2165" s="359"/>
      <c r="C2165" s="361" t="s">
        <v>15</v>
      </c>
      <c r="D2165" s="58" t="s">
        <v>7</v>
      </c>
      <c r="E2165" s="164" t="str">
        <f>A2131&amp;"/"&amp;B2157&amp;"/"&amp;C2165&amp;"/"&amp;D2165</f>
        <v>Lignite fired power plants/Steam turbine/Electricity only with CCS/L</v>
      </c>
      <c r="F2165" s="78" t="str">
        <f>A2131</f>
        <v>Lignite fired power plants</v>
      </c>
      <c r="G2165" s="78" t="str">
        <f>B2157</f>
        <v>Steam turbine</v>
      </c>
      <c r="H2165" s="78" t="str">
        <f>C2165</f>
        <v>Electricity only with CCS</v>
      </c>
      <c r="I2165" s="165" t="str">
        <f t="shared" si="114"/>
        <v>L</v>
      </c>
      <c r="J2165" s="95" t="s">
        <v>112</v>
      </c>
      <c r="K2165" s="95" t="s">
        <v>112</v>
      </c>
      <c r="L2165" s="95" t="s">
        <v>112</v>
      </c>
      <c r="M2165" s="95" t="s">
        <v>112</v>
      </c>
      <c r="N2165" s="95" t="s">
        <v>112</v>
      </c>
      <c r="O2165" s="95" t="s">
        <v>112</v>
      </c>
      <c r="P2165" s="95" t="s">
        <v>112</v>
      </c>
      <c r="Q2165" s="95" t="s">
        <v>112</v>
      </c>
      <c r="R2165" s="95" t="s">
        <v>112</v>
      </c>
      <c r="S2165" s="95" t="s">
        <v>112</v>
      </c>
      <c r="T2165" s="95" t="s">
        <v>112</v>
      </c>
      <c r="U2165" s="95" t="s">
        <v>112</v>
      </c>
      <c r="V2165" s="95" t="s">
        <v>112</v>
      </c>
      <c r="W2165" s="95" t="s">
        <v>112</v>
      </c>
      <c r="X2165" s="95" t="s">
        <v>112</v>
      </c>
      <c r="Y2165" s="95" t="s">
        <v>112</v>
      </c>
      <c r="Z2165" s="95" t="s">
        <v>112</v>
      </c>
      <c r="AA2165" s="95" t="s">
        <v>112</v>
      </c>
      <c r="AB2165" s="95" t="s">
        <v>112</v>
      </c>
      <c r="AC2165" s="95" t="s">
        <v>112</v>
      </c>
      <c r="AD2165" s="95" t="s">
        <v>112</v>
      </c>
      <c r="AE2165" s="95">
        <v>8125</v>
      </c>
      <c r="AF2165" s="95">
        <v>8125</v>
      </c>
      <c r="AG2165" s="95">
        <v>8125</v>
      </c>
      <c r="AH2165" s="95">
        <v>8125</v>
      </c>
      <c r="AI2165" s="95">
        <v>8125</v>
      </c>
      <c r="AJ2165" s="95">
        <v>8125</v>
      </c>
      <c r="AK2165" s="95">
        <v>8125</v>
      </c>
      <c r="AL2165" s="95">
        <v>8125</v>
      </c>
      <c r="AM2165" s="95">
        <v>8125</v>
      </c>
      <c r="AN2165" s="95">
        <v>8125</v>
      </c>
      <c r="AO2165" s="95">
        <v>8125</v>
      </c>
      <c r="AP2165" s="95">
        <v>8125</v>
      </c>
      <c r="AQ2165" s="95">
        <v>8125</v>
      </c>
      <c r="AR2165" s="95">
        <v>8125</v>
      </c>
      <c r="AS2165" s="95">
        <v>8125</v>
      </c>
      <c r="AT2165" s="95">
        <v>8125</v>
      </c>
      <c r="AU2165" s="95">
        <v>8125</v>
      </c>
      <c r="AV2165" s="95">
        <v>8125</v>
      </c>
      <c r="AW2165" s="95">
        <v>8125</v>
      </c>
      <c r="AX2165" s="96">
        <v>8125</v>
      </c>
    </row>
    <row r="2166" spans="1:50" x14ac:dyDescent="0.25">
      <c r="A2166" s="356"/>
      <c r="B2166" s="359"/>
      <c r="C2166" s="360"/>
      <c r="D2166" s="59" t="s">
        <v>8</v>
      </c>
      <c r="E2166" s="166" t="str">
        <f>A2131&amp;"/"&amp;B2157&amp;"/"&amp;C2165&amp;"/"&amp;D2166</f>
        <v>Lignite fired power plants/Steam turbine/Electricity only with CCS/M</v>
      </c>
      <c r="F2166" s="79" t="str">
        <f>A2131</f>
        <v>Lignite fired power plants</v>
      </c>
      <c r="G2166" s="79" t="str">
        <f>B2157</f>
        <v>Steam turbine</v>
      </c>
      <c r="H2166" s="79" t="str">
        <f>C2165</f>
        <v>Electricity only with CCS</v>
      </c>
      <c r="I2166" s="167" t="str">
        <f t="shared" si="114"/>
        <v>M</v>
      </c>
      <c r="J2166" s="97" t="s">
        <v>112</v>
      </c>
      <c r="K2166" s="97" t="s">
        <v>112</v>
      </c>
      <c r="L2166" s="97" t="s">
        <v>112</v>
      </c>
      <c r="M2166" s="97" t="s">
        <v>112</v>
      </c>
      <c r="N2166" s="97" t="s">
        <v>112</v>
      </c>
      <c r="O2166" s="97" t="s">
        <v>112</v>
      </c>
      <c r="P2166" s="97" t="s">
        <v>112</v>
      </c>
      <c r="Q2166" s="97" t="s">
        <v>112</v>
      </c>
      <c r="R2166" s="97" t="s">
        <v>112</v>
      </c>
      <c r="S2166" s="97" t="s">
        <v>112</v>
      </c>
      <c r="T2166" s="97" t="s">
        <v>112</v>
      </c>
      <c r="U2166" s="97" t="s">
        <v>112</v>
      </c>
      <c r="V2166" s="97" t="s">
        <v>112</v>
      </c>
      <c r="W2166" s="97" t="s">
        <v>112</v>
      </c>
      <c r="X2166" s="97" t="s">
        <v>112</v>
      </c>
      <c r="Y2166" s="97" t="s">
        <v>112</v>
      </c>
      <c r="Z2166" s="97" t="s">
        <v>112</v>
      </c>
      <c r="AA2166" s="97" t="s">
        <v>112</v>
      </c>
      <c r="AB2166" s="97" t="s">
        <v>112</v>
      </c>
      <c r="AC2166" s="97" t="s">
        <v>112</v>
      </c>
      <c r="AD2166" s="97" t="s">
        <v>112</v>
      </c>
      <c r="AE2166" s="97">
        <v>7449.8374113000482</v>
      </c>
      <c r="AF2166" s="97">
        <v>7449.8374113000482</v>
      </c>
      <c r="AG2166" s="97">
        <v>7449.8374113000482</v>
      </c>
      <c r="AH2166" s="97">
        <v>7449.8374113000482</v>
      </c>
      <c r="AI2166" s="97">
        <v>7449.8374113000482</v>
      </c>
      <c r="AJ2166" s="97">
        <v>7449.8374113000482</v>
      </c>
      <c r="AK2166" s="97">
        <v>7449.8374113000482</v>
      </c>
      <c r="AL2166" s="97">
        <v>7449.8374113000482</v>
      </c>
      <c r="AM2166" s="97">
        <v>7449.8374113000482</v>
      </c>
      <c r="AN2166" s="97">
        <v>7449.8374113000482</v>
      </c>
      <c r="AO2166" s="97">
        <v>7449.8374113000482</v>
      </c>
      <c r="AP2166" s="97">
        <v>7449.8374113000482</v>
      </c>
      <c r="AQ2166" s="97">
        <v>7449.8374113000482</v>
      </c>
      <c r="AR2166" s="97">
        <v>7449.8374113000482</v>
      </c>
      <c r="AS2166" s="97">
        <v>7449.8374113000482</v>
      </c>
      <c r="AT2166" s="97">
        <v>7449.8374113000482</v>
      </c>
      <c r="AU2166" s="97">
        <v>7449.8374113000482</v>
      </c>
      <c r="AV2166" s="97">
        <v>7449.8374113000482</v>
      </c>
      <c r="AW2166" s="97">
        <v>7449.8374113000482</v>
      </c>
      <c r="AX2166" s="98">
        <v>7449.8374113000482</v>
      </c>
    </row>
    <row r="2167" spans="1:50" x14ac:dyDescent="0.25">
      <c r="A2167" s="356"/>
      <c r="B2167" s="359"/>
      <c r="C2167" s="361" t="s">
        <v>16</v>
      </c>
      <c r="D2167" s="2" t="s">
        <v>7</v>
      </c>
      <c r="E2167" s="160" t="str">
        <f>A2131&amp;"/"&amp;B2157&amp;"/"&amp;C2167&amp;"/"&amp;D2167</f>
        <v>Lignite fired power plants/Steam turbine/CHP with CCS/L</v>
      </c>
      <c r="F2167" s="76" t="str">
        <f>A2131</f>
        <v>Lignite fired power plants</v>
      </c>
      <c r="G2167" s="76" t="str">
        <f>B2157</f>
        <v>Steam turbine</v>
      </c>
      <c r="H2167" s="76" t="str">
        <f>C2167</f>
        <v>CHP with CCS</v>
      </c>
      <c r="I2167" s="161" t="str">
        <f t="shared" si="114"/>
        <v>L</v>
      </c>
      <c r="J2167" s="91" t="s">
        <v>112</v>
      </c>
      <c r="K2167" s="91" t="s">
        <v>112</v>
      </c>
      <c r="L2167" s="91" t="s">
        <v>112</v>
      </c>
      <c r="M2167" s="91" t="s">
        <v>112</v>
      </c>
      <c r="N2167" s="91" t="s">
        <v>112</v>
      </c>
      <c r="O2167" s="91" t="s">
        <v>112</v>
      </c>
      <c r="P2167" s="91" t="s">
        <v>112</v>
      </c>
      <c r="Q2167" s="91" t="s">
        <v>112</v>
      </c>
      <c r="R2167" s="91" t="s">
        <v>112</v>
      </c>
      <c r="S2167" s="91" t="s">
        <v>112</v>
      </c>
      <c r="T2167" s="91" t="s">
        <v>112</v>
      </c>
      <c r="U2167" s="91" t="s">
        <v>112</v>
      </c>
      <c r="V2167" s="91" t="s">
        <v>112</v>
      </c>
      <c r="W2167" s="91" t="s">
        <v>112</v>
      </c>
      <c r="X2167" s="91" t="s">
        <v>112</v>
      </c>
      <c r="Y2167" s="91" t="s">
        <v>112</v>
      </c>
      <c r="Z2167" s="91" t="s">
        <v>112</v>
      </c>
      <c r="AA2167" s="91" t="s">
        <v>112</v>
      </c>
      <c r="AB2167" s="91" t="s">
        <v>112</v>
      </c>
      <c r="AC2167" s="91" t="s">
        <v>112</v>
      </c>
      <c r="AD2167" s="91" t="s">
        <v>112</v>
      </c>
      <c r="AE2167" s="91">
        <v>7732.5</v>
      </c>
      <c r="AF2167" s="91">
        <v>7732.5</v>
      </c>
      <c r="AG2167" s="91">
        <v>7732.5</v>
      </c>
      <c r="AH2167" s="91">
        <v>7732.5</v>
      </c>
      <c r="AI2167" s="91">
        <v>7732.5</v>
      </c>
      <c r="AJ2167" s="91">
        <v>7732.5</v>
      </c>
      <c r="AK2167" s="91">
        <v>7732.5</v>
      </c>
      <c r="AL2167" s="91">
        <v>7732.5</v>
      </c>
      <c r="AM2167" s="91">
        <v>7732.5</v>
      </c>
      <c r="AN2167" s="91">
        <v>7732.5</v>
      </c>
      <c r="AO2167" s="91">
        <v>7732.5</v>
      </c>
      <c r="AP2167" s="91">
        <v>7732.5</v>
      </c>
      <c r="AQ2167" s="91">
        <v>7732.5</v>
      </c>
      <c r="AR2167" s="91">
        <v>7732.5</v>
      </c>
      <c r="AS2167" s="91">
        <v>7732.5</v>
      </c>
      <c r="AT2167" s="91">
        <v>7732.5</v>
      </c>
      <c r="AU2167" s="91">
        <v>7732.5</v>
      </c>
      <c r="AV2167" s="91">
        <v>7732.5</v>
      </c>
      <c r="AW2167" s="91">
        <v>7732.5</v>
      </c>
      <c r="AX2167" s="92">
        <v>7732.5</v>
      </c>
    </row>
    <row r="2168" spans="1:50" x14ac:dyDescent="0.25">
      <c r="A2168" s="357"/>
      <c r="B2168" s="362"/>
      <c r="C2168" s="354"/>
      <c r="D2168" s="4" t="s">
        <v>8</v>
      </c>
      <c r="E2168" s="168" t="str">
        <f>A2131&amp;"/"&amp;B2157&amp;"/"&amp;C2167&amp;"/"&amp;D2168</f>
        <v>Lignite fired power plants/Steam turbine/CHP with CCS/M</v>
      </c>
      <c r="F2168" s="80" t="str">
        <f>A2131</f>
        <v>Lignite fired power plants</v>
      </c>
      <c r="G2168" s="80" t="str">
        <f>B2157</f>
        <v>Steam turbine</v>
      </c>
      <c r="H2168" s="80" t="str">
        <f>C2167</f>
        <v>CHP with CCS</v>
      </c>
      <c r="I2168" s="169" t="str">
        <f t="shared" si="114"/>
        <v>M</v>
      </c>
      <c r="J2168" s="99" t="s">
        <v>112</v>
      </c>
      <c r="K2168" s="99" t="s">
        <v>112</v>
      </c>
      <c r="L2168" s="99" t="s">
        <v>112</v>
      </c>
      <c r="M2168" s="99" t="s">
        <v>112</v>
      </c>
      <c r="N2168" s="99" t="s">
        <v>112</v>
      </c>
      <c r="O2168" s="99" t="s">
        <v>112</v>
      </c>
      <c r="P2168" s="99" t="s">
        <v>112</v>
      </c>
      <c r="Q2168" s="99" t="s">
        <v>112</v>
      </c>
      <c r="R2168" s="99" t="s">
        <v>112</v>
      </c>
      <c r="S2168" s="99" t="s">
        <v>112</v>
      </c>
      <c r="T2168" s="99" t="s">
        <v>112</v>
      </c>
      <c r="U2168" s="99" t="s">
        <v>112</v>
      </c>
      <c r="V2168" s="99" t="s">
        <v>112</v>
      </c>
      <c r="W2168" s="99" t="s">
        <v>112</v>
      </c>
      <c r="X2168" s="99" t="s">
        <v>112</v>
      </c>
      <c r="Y2168" s="99" t="s">
        <v>112</v>
      </c>
      <c r="Z2168" s="99" t="s">
        <v>112</v>
      </c>
      <c r="AA2168" s="99" t="s">
        <v>112</v>
      </c>
      <c r="AB2168" s="99" t="s">
        <v>112</v>
      </c>
      <c r="AC2168" s="99" t="s">
        <v>112</v>
      </c>
      <c r="AD2168" s="99" t="s">
        <v>112</v>
      </c>
      <c r="AE2168" s="99">
        <v>7106.5217200818588</v>
      </c>
      <c r="AF2168" s="99">
        <v>7106.5217200818588</v>
      </c>
      <c r="AG2168" s="99">
        <v>7106.5217200818588</v>
      </c>
      <c r="AH2168" s="99">
        <v>7106.5217200818588</v>
      </c>
      <c r="AI2168" s="99">
        <v>7106.5217200818588</v>
      </c>
      <c r="AJ2168" s="99">
        <v>7106.5217200818588</v>
      </c>
      <c r="AK2168" s="99">
        <v>7106.5217200818588</v>
      </c>
      <c r="AL2168" s="99">
        <v>7106.5217200818588</v>
      </c>
      <c r="AM2168" s="99">
        <v>7106.5217200818588</v>
      </c>
      <c r="AN2168" s="99">
        <v>7106.5217200818588</v>
      </c>
      <c r="AO2168" s="99">
        <v>7106.5217200818588</v>
      </c>
      <c r="AP2168" s="99">
        <v>7106.5217200818588</v>
      </c>
      <c r="AQ2168" s="99">
        <v>7106.5217200818588</v>
      </c>
      <c r="AR2168" s="99">
        <v>7106.5217200818588</v>
      </c>
      <c r="AS2168" s="99">
        <v>7106.5217200818588</v>
      </c>
      <c r="AT2168" s="99">
        <v>7106.5217200818588</v>
      </c>
      <c r="AU2168" s="99">
        <v>7106.5217200818588</v>
      </c>
      <c r="AV2168" s="99">
        <v>7106.5217200818588</v>
      </c>
      <c r="AW2168" s="99">
        <v>7106.5217200818588</v>
      </c>
      <c r="AX2168" s="100">
        <v>7106.5217200818588</v>
      </c>
    </row>
    <row r="2169" spans="1:50" x14ac:dyDescent="0.25">
      <c r="A2169" s="356" t="s">
        <v>22</v>
      </c>
      <c r="B2169" s="358" t="s">
        <v>23</v>
      </c>
      <c r="C2169" s="353" t="s">
        <v>6</v>
      </c>
      <c r="D2169" s="3" t="s">
        <v>7</v>
      </c>
      <c r="E2169" s="162" t="str">
        <f>A2169&amp;"/"&amp;B2169&amp;"/"&amp;C2169&amp;"/"&amp;D2169</f>
        <v>Gas fired power plants (Natural gas, biogas)/Gas turbine combined cycle/Electricity only/L</v>
      </c>
      <c r="F2169" s="77" t="str">
        <f>A2169</f>
        <v>Gas fired power plants (Natural gas, biogas)</v>
      </c>
      <c r="G2169" s="77" t="str">
        <f>B2169</f>
        <v>Gas turbine combined cycle</v>
      </c>
      <c r="H2169" s="77" t="str">
        <f>C2169</f>
        <v>Electricity only</v>
      </c>
      <c r="I2169" s="163" t="str">
        <f t="shared" si="114"/>
        <v>L</v>
      </c>
      <c r="J2169" s="93">
        <v>6250</v>
      </c>
      <c r="K2169" s="93">
        <v>6250</v>
      </c>
      <c r="L2169" s="93">
        <v>6250</v>
      </c>
      <c r="M2169" s="93">
        <v>6250</v>
      </c>
      <c r="N2169" s="93">
        <v>6250</v>
      </c>
      <c r="O2169" s="93">
        <v>6250</v>
      </c>
      <c r="P2169" s="93">
        <v>6250</v>
      </c>
      <c r="Q2169" s="93">
        <v>6250</v>
      </c>
      <c r="R2169" s="93">
        <v>6250</v>
      </c>
      <c r="S2169" s="93">
        <v>6250</v>
      </c>
      <c r="T2169" s="93">
        <v>6250</v>
      </c>
      <c r="U2169" s="93">
        <v>6250</v>
      </c>
      <c r="V2169" s="93">
        <v>6250</v>
      </c>
      <c r="W2169" s="93">
        <v>6250</v>
      </c>
      <c r="X2169" s="93">
        <v>6250</v>
      </c>
      <c r="Y2169" s="93">
        <v>6250</v>
      </c>
      <c r="Z2169" s="93">
        <v>6250</v>
      </c>
      <c r="AA2169" s="93">
        <v>6250</v>
      </c>
      <c r="AB2169" s="93">
        <v>6250</v>
      </c>
      <c r="AC2169" s="93">
        <v>6250</v>
      </c>
      <c r="AD2169" s="93">
        <v>6250</v>
      </c>
      <c r="AE2169" s="93">
        <v>6250</v>
      </c>
      <c r="AF2169" s="93">
        <v>6250</v>
      </c>
      <c r="AG2169" s="93">
        <v>6250</v>
      </c>
      <c r="AH2169" s="93">
        <v>6250</v>
      </c>
      <c r="AI2169" s="93">
        <v>6250</v>
      </c>
      <c r="AJ2169" s="93">
        <v>6250</v>
      </c>
      <c r="AK2169" s="93">
        <v>6250</v>
      </c>
      <c r="AL2169" s="93">
        <v>6250</v>
      </c>
      <c r="AM2169" s="93">
        <v>6250</v>
      </c>
      <c r="AN2169" s="93">
        <v>6250</v>
      </c>
      <c r="AO2169" s="93">
        <v>6250</v>
      </c>
      <c r="AP2169" s="93">
        <v>6250</v>
      </c>
      <c r="AQ2169" s="93">
        <v>6250</v>
      </c>
      <c r="AR2169" s="93">
        <v>6250</v>
      </c>
      <c r="AS2169" s="93">
        <v>6250</v>
      </c>
      <c r="AT2169" s="93">
        <v>6250</v>
      </c>
      <c r="AU2169" s="93">
        <v>6250</v>
      </c>
      <c r="AV2169" s="93">
        <v>6250</v>
      </c>
      <c r="AW2169" s="93">
        <v>6250</v>
      </c>
      <c r="AX2169" s="94">
        <v>6250</v>
      </c>
    </row>
    <row r="2170" spans="1:50" x14ac:dyDescent="0.25">
      <c r="A2170" s="356"/>
      <c r="B2170" s="359"/>
      <c r="C2170" s="350"/>
      <c r="D2170" s="2" t="s">
        <v>8</v>
      </c>
      <c r="E2170" s="160" t="str">
        <f>A2169&amp;"/"&amp;B2169&amp;"/"&amp;C2169&amp;"/"&amp;D2170</f>
        <v>Gas fired power plants (Natural gas, biogas)/Gas turbine combined cycle/Electricity only/M</v>
      </c>
      <c r="F2170" s="76" t="str">
        <f>A2169</f>
        <v>Gas fired power plants (Natural gas, biogas)</v>
      </c>
      <c r="G2170" s="76" t="str">
        <f>B2169</f>
        <v>Gas turbine combined cycle</v>
      </c>
      <c r="H2170" s="76" t="str">
        <f>C2169</f>
        <v>Electricity only</v>
      </c>
      <c r="I2170" s="161" t="str">
        <f t="shared" si="114"/>
        <v>M</v>
      </c>
      <c r="J2170" s="91">
        <v>5752.6303119403419</v>
      </c>
      <c r="K2170" s="91">
        <v>5752.6303119403419</v>
      </c>
      <c r="L2170" s="91">
        <v>5752.6303119403419</v>
      </c>
      <c r="M2170" s="91">
        <v>5752.6303119403419</v>
      </c>
      <c r="N2170" s="91">
        <v>5752.6303119403419</v>
      </c>
      <c r="O2170" s="91">
        <v>5752.6303119403419</v>
      </c>
      <c r="P2170" s="91">
        <v>5752.6303119403419</v>
      </c>
      <c r="Q2170" s="91">
        <v>5752.6303119403419</v>
      </c>
      <c r="R2170" s="91">
        <v>5752.6303119403419</v>
      </c>
      <c r="S2170" s="91">
        <v>5752.6303119403419</v>
      </c>
      <c r="T2170" s="91">
        <v>5752.6303119403419</v>
      </c>
      <c r="U2170" s="91">
        <v>5752.6303119403419</v>
      </c>
      <c r="V2170" s="91">
        <v>5752.6303119403419</v>
      </c>
      <c r="W2170" s="91">
        <v>5752.6303119403419</v>
      </c>
      <c r="X2170" s="91">
        <v>5752.6303119403419</v>
      </c>
      <c r="Y2170" s="91">
        <v>5752.6303119403419</v>
      </c>
      <c r="Z2170" s="91">
        <v>5752.6303119403419</v>
      </c>
      <c r="AA2170" s="91">
        <v>5752.6303119403419</v>
      </c>
      <c r="AB2170" s="91">
        <v>5752.6303119403419</v>
      </c>
      <c r="AC2170" s="91">
        <v>5752.6303119403419</v>
      </c>
      <c r="AD2170" s="91">
        <v>5752.6303119403419</v>
      </c>
      <c r="AE2170" s="91">
        <v>5752.6303119403419</v>
      </c>
      <c r="AF2170" s="91">
        <v>5752.6303119403419</v>
      </c>
      <c r="AG2170" s="91">
        <v>5752.6303119403419</v>
      </c>
      <c r="AH2170" s="91">
        <v>5752.6303119403419</v>
      </c>
      <c r="AI2170" s="91">
        <v>5752.6303119403419</v>
      </c>
      <c r="AJ2170" s="91">
        <v>5752.6303119403419</v>
      </c>
      <c r="AK2170" s="91">
        <v>5752.6303119403419</v>
      </c>
      <c r="AL2170" s="91">
        <v>5752.6303119403419</v>
      </c>
      <c r="AM2170" s="91">
        <v>5752.6303119403419</v>
      </c>
      <c r="AN2170" s="91">
        <v>5752.6303119403419</v>
      </c>
      <c r="AO2170" s="91">
        <v>5752.6303119403419</v>
      </c>
      <c r="AP2170" s="91">
        <v>5752.6303119403419</v>
      </c>
      <c r="AQ2170" s="91">
        <v>5752.6303119403419</v>
      </c>
      <c r="AR2170" s="91">
        <v>5752.6303119403419</v>
      </c>
      <c r="AS2170" s="91">
        <v>5752.6303119403419</v>
      </c>
      <c r="AT2170" s="91">
        <v>5752.6303119403419</v>
      </c>
      <c r="AU2170" s="91">
        <v>5752.6303119403419</v>
      </c>
      <c r="AV2170" s="91">
        <v>5752.6303119403419</v>
      </c>
      <c r="AW2170" s="91">
        <v>5752.6303119403419</v>
      </c>
      <c r="AX2170" s="92">
        <v>5752.6303119403419</v>
      </c>
    </row>
    <row r="2171" spans="1:50" x14ac:dyDescent="0.25">
      <c r="A2171" s="356"/>
      <c r="B2171" s="359"/>
      <c r="C2171" s="350"/>
      <c r="D2171" s="2" t="s">
        <v>10</v>
      </c>
      <c r="E2171" s="160" t="str">
        <f>A2169&amp;"/"&amp;B2169&amp;"/"&amp;C2169&amp;"/"&amp;D2171</f>
        <v>Gas fired power plants (Natural gas, biogas)/Gas turbine combined cycle/Electricity only/S</v>
      </c>
      <c r="F2171" s="76" t="str">
        <f>A2169</f>
        <v>Gas fired power plants (Natural gas, biogas)</v>
      </c>
      <c r="G2171" s="76" t="str">
        <f>B2169</f>
        <v>Gas turbine combined cycle</v>
      </c>
      <c r="H2171" s="76" t="str">
        <f>C2169</f>
        <v>Electricity only</v>
      </c>
      <c r="I2171" s="161" t="str">
        <f t="shared" si="114"/>
        <v>S</v>
      </c>
      <c r="J2171" s="91">
        <v>5184.1418678150621</v>
      </c>
      <c r="K2171" s="91">
        <v>5184.1418678150621</v>
      </c>
      <c r="L2171" s="91">
        <v>5184.1418678150621</v>
      </c>
      <c r="M2171" s="91">
        <v>5184.1418678150621</v>
      </c>
      <c r="N2171" s="91">
        <v>5184.1418678150621</v>
      </c>
      <c r="O2171" s="91">
        <v>5184.1418678150621</v>
      </c>
      <c r="P2171" s="91">
        <v>5184.1418678150621</v>
      </c>
      <c r="Q2171" s="91">
        <v>5184.1418678150621</v>
      </c>
      <c r="R2171" s="91">
        <v>5184.1418678150621</v>
      </c>
      <c r="S2171" s="91">
        <v>5184.1418678150621</v>
      </c>
      <c r="T2171" s="91">
        <v>5184.1418678150621</v>
      </c>
      <c r="U2171" s="91">
        <v>5184.1418678150621</v>
      </c>
      <c r="V2171" s="91">
        <v>5184.1418678150621</v>
      </c>
      <c r="W2171" s="91">
        <v>5184.1418678150621</v>
      </c>
      <c r="X2171" s="91">
        <v>5184.1418678150621</v>
      </c>
      <c r="Y2171" s="91">
        <v>5184.1418678150621</v>
      </c>
      <c r="Z2171" s="91">
        <v>5184.1418678150621</v>
      </c>
      <c r="AA2171" s="91">
        <v>5184.1418678150621</v>
      </c>
      <c r="AB2171" s="91">
        <v>5184.1418678150621</v>
      </c>
      <c r="AC2171" s="91">
        <v>5184.1418678150621</v>
      </c>
      <c r="AD2171" s="91">
        <v>5184.1418678150621</v>
      </c>
      <c r="AE2171" s="91">
        <v>5184.1418678150621</v>
      </c>
      <c r="AF2171" s="91">
        <v>5184.1418678150621</v>
      </c>
      <c r="AG2171" s="91">
        <v>5184.1418678150621</v>
      </c>
      <c r="AH2171" s="91">
        <v>5184.1418678150621</v>
      </c>
      <c r="AI2171" s="91">
        <v>5184.1418678150621</v>
      </c>
      <c r="AJ2171" s="91">
        <v>5184.1418678150621</v>
      </c>
      <c r="AK2171" s="91">
        <v>5184.1418678150621</v>
      </c>
      <c r="AL2171" s="91">
        <v>5184.1418678150621</v>
      </c>
      <c r="AM2171" s="91">
        <v>5184.1418678150621</v>
      </c>
      <c r="AN2171" s="91">
        <v>5184.1418678150621</v>
      </c>
      <c r="AO2171" s="91">
        <v>5184.1418678150621</v>
      </c>
      <c r="AP2171" s="91">
        <v>5184.1418678150621</v>
      </c>
      <c r="AQ2171" s="91">
        <v>5184.1418678150621</v>
      </c>
      <c r="AR2171" s="91">
        <v>5184.1418678150621</v>
      </c>
      <c r="AS2171" s="91">
        <v>5184.1418678150621</v>
      </c>
      <c r="AT2171" s="91">
        <v>5184.1418678150621</v>
      </c>
      <c r="AU2171" s="91">
        <v>5184.1418678150621</v>
      </c>
      <c r="AV2171" s="91">
        <v>5184.1418678150621</v>
      </c>
      <c r="AW2171" s="91">
        <v>5184.1418678150621</v>
      </c>
      <c r="AX2171" s="92">
        <v>5184.1418678150621</v>
      </c>
    </row>
    <row r="2172" spans="1:50" x14ac:dyDescent="0.25">
      <c r="A2172" s="356"/>
      <c r="B2172" s="359"/>
      <c r="C2172" s="360"/>
      <c r="D2172" s="2" t="s">
        <v>20</v>
      </c>
      <c r="E2172" s="160" t="str">
        <f>A2169&amp;"/"&amp;B2169&amp;"/"&amp;C2169&amp;"/"&amp;D2172</f>
        <v>Gas fired power plants (Natural gas, biogas)/Gas turbine combined cycle/Electricity only/XS</v>
      </c>
      <c r="F2172" s="76" t="str">
        <f>A2169</f>
        <v>Gas fired power plants (Natural gas, biogas)</v>
      </c>
      <c r="G2172" s="76" t="str">
        <f>B2169</f>
        <v>Gas turbine combined cycle</v>
      </c>
      <c r="H2172" s="76" t="str">
        <f>C2169</f>
        <v>Electricity only</v>
      </c>
      <c r="I2172" s="161" t="str">
        <f t="shared" si="114"/>
        <v>XS</v>
      </c>
      <c r="J2172" s="91">
        <v>4895.0273051564091</v>
      </c>
      <c r="K2172" s="91">
        <v>4895.0273051564091</v>
      </c>
      <c r="L2172" s="91">
        <v>4895.0273051564091</v>
      </c>
      <c r="M2172" s="91">
        <v>4895.0273051564091</v>
      </c>
      <c r="N2172" s="91">
        <v>4895.0273051564091</v>
      </c>
      <c r="O2172" s="91">
        <v>4895.0273051564091</v>
      </c>
      <c r="P2172" s="91">
        <v>4895.0273051564091</v>
      </c>
      <c r="Q2172" s="91">
        <v>4895.0273051564091</v>
      </c>
      <c r="R2172" s="91">
        <v>4895.0273051564091</v>
      </c>
      <c r="S2172" s="91">
        <v>4895.0273051564091</v>
      </c>
      <c r="T2172" s="91">
        <v>4895.0273051564091</v>
      </c>
      <c r="U2172" s="91">
        <v>4895.0273051564091</v>
      </c>
      <c r="V2172" s="91">
        <v>4895.0273051564091</v>
      </c>
      <c r="W2172" s="91">
        <v>4895.0273051564091</v>
      </c>
      <c r="X2172" s="91">
        <v>4895.0273051564091</v>
      </c>
      <c r="Y2172" s="91">
        <v>4895.0273051564091</v>
      </c>
      <c r="Z2172" s="91">
        <v>4895.0273051564091</v>
      </c>
      <c r="AA2172" s="91">
        <v>4895.0273051564091</v>
      </c>
      <c r="AB2172" s="91">
        <v>4895.0273051564091</v>
      </c>
      <c r="AC2172" s="91">
        <v>4895.0273051564091</v>
      </c>
      <c r="AD2172" s="91">
        <v>4895.0273051564091</v>
      </c>
      <c r="AE2172" s="91">
        <v>4895.0273051564091</v>
      </c>
      <c r="AF2172" s="91">
        <v>4895.0273051564091</v>
      </c>
      <c r="AG2172" s="91">
        <v>4895.0273051564091</v>
      </c>
      <c r="AH2172" s="91">
        <v>4895.0273051564091</v>
      </c>
      <c r="AI2172" s="91">
        <v>4895.0273051564091</v>
      </c>
      <c r="AJ2172" s="91">
        <v>4895.0273051564091</v>
      </c>
      <c r="AK2172" s="91">
        <v>4895.0273051564091</v>
      </c>
      <c r="AL2172" s="91">
        <v>4895.0273051564091</v>
      </c>
      <c r="AM2172" s="91">
        <v>4895.0273051564091</v>
      </c>
      <c r="AN2172" s="91">
        <v>4895.0273051564091</v>
      </c>
      <c r="AO2172" s="91">
        <v>4895.0273051564091</v>
      </c>
      <c r="AP2172" s="91">
        <v>4895.0273051564091</v>
      </c>
      <c r="AQ2172" s="91">
        <v>4895.0273051564091</v>
      </c>
      <c r="AR2172" s="91">
        <v>4895.0273051564091</v>
      </c>
      <c r="AS2172" s="91">
        <v>4895.0273051564091</v>
      </c>
      <c r="AT2172" s="91">
        <v>4895.0273051564091</v>
      </c>
      <c r="AU2172" s="91">
        <v>4895.0273051564091</v>
      </c>
      <c r="AV2172" s="91">
        <v>4895.0273051564091</v>
      </c>
      <c r="AW2172" s="91">
        <v>4895.0273051564091</v>
      </c>
      <c r="AX2172" s="92">
        <v>4895.0273051564091</v>
      </c>
    </row>
    <row r="2173" spans="1:50" x14ac:dyDescent="0.25">
      <c r="A2173" s="356"/>
      <c r="B2173" s="359"/>
      <c r="C2173" s="361" t="s">
        <v>14</v>
      </c>
      <c r="D2173" s="58" t="s">
        <v>7</v>
      </c>
      <c r="E2173" s="164" t="str">
        <f>A2169&amp;"/"&amp;B2169&amp;"/"&amp;C2173&amp;"/"&amp;D2173</f>
        <v>Gas fired power plants (Natural gas, biogas)/Gas turbine combined cycle/CHP/L</v>
      </c>
      <c r="F2173" s="78" t="str">
        <f>A2169</f>
        <v>Gas fired power plants (Natural gas, biogas)</v>
      </c>
      <c r="G2173" s="78" t="str">
        <f>B2169</f>
        <v>Gas turbine combined cycle</v>
      </c>
      <c r="H2173" s="78" t="str">
        <f>C2173</f>
        <v>CHP</v>
      </c>
      <c r="I2173" s="165" t="str">
        <f t="shared" si="114"/>
        <v>L</v>
      </c>
      <c r="J2173" s="95">
        <v>5662.5</v>
      </c>
      <c r="K2173" s="95">
        <v>5662.5</v>
      </c>
      <c r="L2173" s="95">
        <v>5662.5</v>
      </c>
      <c r="M2173" s="95">
        <v>5662.5</v>
      </c>
      <c r="N2173" s="95">
        <v>5662.5</v>
      </c>
      <c r="O2173" s="95">
        <v>5662.5</v>
      </c>
      <c r="P2173" s="95">
        <v>5662.5</v>
      </c>
      <c r="Q2173" s="95">
        <v>5662.5</v>
      </c>
      <c r="R2173" s="95">
        <v>5662.5</v>
      </c>
      <c r="S2173" s="95">
        <v>5662.5</v>
      </c>
      <c r="T2173" s="95">
        <v>5662.5</v>
      </c>
      <c r="U2173" s="95">
        <v>5662.5</v>
      </c>
      <c r="V2173" s="95">
        <v>5662.5</v>
      </c>
      <c r="W2173" s="95">
        <v>5662.5</v>
      </c>
      <c r="X2173" s="95">
        <v>5662.5</v>
      </c>
      <c r="Y2173" s="95">
        <v>5662.5</v>
      </c>
      <c r="Z2173" s="95">
        <v>5662.5</v>
      </c>
      <c r="AA2173" s="95">
        <v>5662.5</v>
      </c>
      <c r="AB2173" s="95">
        <v>5662.5</v>
      </c>
      <c r="AC2173" s="95">
        <v>5662.5</v>
      </c>
      <c r="AD2173" s="95">
        <v>5662.5</v>
      </c>
      <c r="AE2173" s="95">
        <v>5662.5</v>
      </c>
      <c r="AF2173" s="95">
        <v>5662.5</v>
      </c>
      <c r="AG2173" s="95">
        <v>5662.5</v>
      </c>
      <c r="AH2173" s="95">
        <v>5662.5</v>
      </c>
      <c r="AI2173" s="95">
        <v>5662.5</v>
      </c>
      <c r="AJ2173" s="95">
        <v>5662.5</v>
      </c>
      <c r="AK2173" s="95">
        <v>5662.5</v>
      </c>
      <c r="AL2173" s="95">
        <v>5662.5</v>
      </c>
      <c r="AM2173" s="95">
        <v>5662.5</v>
      </c>
      <c r="AN2173" s="95">
        <v>5662.5</v>
      </c>
      <c r="AO2173" s="95">
        <v>5662.5</v>
      </c>
      <c r="AP2173" s="95">
        <v>5662.5</v>
      </c>
      <c r="AQ2173" s="95">
        <v>5662.5</v>
      </c>
      <c r="AR2173" s="95">
        <v>5662.5</v>
      </c>
      <c r="AS2173" s="95">
        <v>5662.5</v>
      </c>
      <c r="AT2173" s="95">
        <v>5662.5</v>
      </c>
      <c r="AU2173" s="95">
        <v>5662.5</v>
      </c>
      <c r="AV2173" s="95">
        <v>5662.5</v>
      </c>
      <c r="AW2173" s="95">
        <v>5662.5</v>
      </c>
      <c r="AX2173" s="96">
        <v>5662.5</v>
      </c>
    </row>
    <row r="2174" spans="1:50" x14ac:dyDescent="0.25">
      <c r="A2174" s="356"/>
      <c r="B2174" s="359"/>
      <c r="C2174" s="350"/>
      <c r="D2174" s="2" t="s">
        <v>8</v>
      </c>
      <c r="E2174" s="160" t="str">
        <f>A2169&amp;"/"&amp;B2169&amp;"/"&amp;C2173&amp;"/"&amp;D2174</f>
        <v>Gas fired power plants (Natural gas, biogas)/Gas turbine combined cycle/CHP/M</v>
      </c>
      <c r="F2174" s="76" t="str">
        <f>A2169</f>
        <v>Gas fired power plants (Natural gas, biogas)</v>
      </c>
      <c r="G2174" s="76" t="str">
        <f>B2169</f>
        <v>Gas turbine combined cycle</v>
      </c>
      <c r="H2174" s="76" t="str">
        <f>C2173</f>
        <v>CHP</v>
      </c>
      <c r="I2174" s="161" t="str">
        <f t="shared" si="114"/>
        <v>M</v>
      </c>
      <c r="J2174" s="91">
        <v>5224.4591400758027</v>
      </c>
      <c r="K2174" s="91">
        <v>5224.4591400758027</v>
      </c>
      <c r="L2174" s="91">
        <v>5224.4591400758027</v>
      </c>
      <c r="M2174" s="91">
        <v>5224.4591400758027</v>
      </c>
      <c r="N2174" s="91">
        <v>5224.4591400758027</v>
      </c>
      <c r="O2174" s="91">
        <v>5224.4591400758027</v>
      </c>
      <c r="P2174" s="91">
        <v>5224.4591400758027</v>
      </c>
      <c r="Q2174" s="91">
        <v>5224.4591400758027</v>
      </c>
      <c r="R2174" s="91">
        <v>5224.4591400758027</v>
      </c>
      <c r="S2174" s="91">
        <v>5224.4591400758027</v>
      </c>
      <c r="T2174" s="91">
        <v>5224.4591400758027</v>
      </c>
      <c r="U2174" s="91">
        <v>5224.4591400758027</v>
      </c>
      <c r="V2174" s="91">
        <v>5224.4591400758027</v>
      </c>
      <c r="W2174" s="91">
        <v>5224.4591400758027</v>
      </c>
      <c r="X2174" s="91">
        <v>5224.4591400758027</v>
      </c>
      <c r="Y2174" s="91">
        <v>5224.4591400758027</v>
      </c>
      <c r="Z2174" s="91">
        <v>5224.4591400758027</v>
      </c>
      <c r="AA2174" s="91">
        <v>5224.4591400758027</v>
      </c>
      <c r="AB2174" s="91">
        <v>5224.4591400758027</v>
      </c>
      <c r="AC2174" s="91">
        <v>5224.4591400758027</v>
      </c>
      <c r="AD2174" s="91">
        <v>5224.4591400758027</v>
      </c>
      <c r="AE2174" s="91">
        <v>5224.4591400758027</v>
      </c>
      <c r="AF2174" s="91">
        <v>5224.4591400758027</v>
      </c>
      <c r="AG2174" s="91">
        <v>5224.4591400758027</v>
      </c>
      <c r="AH2174" s="91">
        <v>5224.4591400758027</v>
      </c>
      <c r="AI2174" s="91">
        <v>5224.4591400758027</v>
      </c>
      <c r="AJ2174" s="91">
        <v>5224.4591400758027</v>
      </c>
      <c r="AK2174" s="91">
        <v>5224.4591400758027</v>
      </c>
      <c r="AL2174" s="91">
        <v>5224.4591400758027</v>
      </c>
      <c r="AM2174" s="91">
        <v>5224.4591400758027</v>
      </c>
      <c r="AN2174" s="91">
        <v>5224.4591400758027</v>
      </c>
      <c r="AO2174" s="91">
        <v>5224.4591400758027</v>
      </c>
      <c r="AP2174" s="91">
        <v>5224.4591400758027</v>
      </c>
      <c r="AQ2174" s="91">
        <v>5224.4591400758027</v>
      </c>
      <c r="AR2174" s="91">
        <v>5224.4591400758027</v>
      </c>
      <c r="AS2174" s="91">
        <v>5224.4591400758027</v>
      </c>
      <c r="AT2174" s="91">
        <v>5224.4591400758027</v>
      </c>
      <c r="AU2174" s="91">
        <v>5224.4591400758027</v>
      </c>
      <c r="AV2174" s="91">
        <v>5224.4591400758027</v>
      </c>
      <c r="AW2174" s="91">
        <v>5224.4591400758027</v>
      </c>
      <c r="AX2174" s="92">
        <v>5224.4591400758027</v>
      </c>
    </row>
    <row r="2175" spans="1:50" x14ac:dyDescent="0.25">
      <c r="A2175" s="356"/>
      <c r="B2175" s="359"/>
      <c r="C2175" s="350"/>
      <c r="D2175" s="2" t="s">
        <v>10</v>
      </c>
      <c r="E2175" s="160" t="str">
        <f>A2169&amp;"/"&amp;B2169&amp;"/"&amp;C2173&amp;"/"&amp;D2175</f>
        <v>Gas fired power plants (Natural gas, biogas)/Gas turbine combined cycle/CHP/S</v>
      </c>
      <c r="F2175" s="76" t="str">
        <f>A2169</f>
        <v>Gas fired power plants (Natural gas, biogas)</v>
      </c>
      <c r="G2175" s="76" t="str">
        <f>B2169</f>
        <v>Gas turbine combined cycle</v>
      </c>
      <c r="H2175" s="76" t="str">
        <f>C2173</f>
        <v>CHP</v>
      </c>
      <c r="I2175" s="161" t="str">
        <f t="shared" si="114"/>
        <v>S</v>
      </c>
      <c r="J2175" s="91">
        <v>4722.5287456494043</v>
      </c>
      <c r="K2175" s="91">
        <v>4722.5287456494043</v>
      </c>
      <c r="L2175" s="91">
        <v>4722.5287456494043</v>
      </c>
      <c r="M2175" s="91">
        <v>4722.5287456494043</v>
      </c>
      <c r="N2175" s="91">
        <v>4722.5287456494043</v>
      </c>
      <c r="O2175" s="91">
        <v>4722.5287456494043</v>
      </c>
      <c r="P2175" s="91">
        <v>4722.5287456494043</v>
      </c>
      <c r="Q2175" s="91">
        <v>4722.5287456494043</v>
      </c>
      <c r="R2175" s="91">
        <v>4722.5287456494043</v>
      </c>
      <c r="S2175" s="91">
        <v>4722.5287456494043</v>
      </c>
      <c r="T2175" s="91">
        <v>4722.5287456494043</v>
      </c>
      <c r="U2175" s="91">
        <v>4722.5287456494043</v>
      </c>
      <c r="V2175" s="91">
        <v>4722.5287456494043</v>
      </c>
      <c r="W2175" s="91">
        <v>4722.5287456494043</v>
      </c>
      <c r="X2175" s="91">
        <v>4722.5287456494043</v>
      </c>
      <c r="Y2175" s="91">
        <v>4722.5287456494043</v>
      </c>
      <c r="Z2175" s="91">
        <v>4722.5287456494043</v>
      </c>
      <c r="AA2175" s="91">
        <v>4722.5287456494043</v>
      </c>
      <c r="AB2175" s="91">
        <v>4722.5287456494043</v>
      </c>
      <c r="AC2175" s="91">
        <v>4722.5287456494043</v>
      </c>
      <c r="AD2175" s="91">
        <v>4722.5287456494043</v>
      </c>
      <c r="AE2175" s="91">
        <v>4722.5287456494043</v>
      </c>
      <c r="AF2175" s="91">
        <v>4722.5287456494043</v>
      </c>
      <c r="AG2175" s="91">
        <v>4722.5287456494043</v>
      </c>
      <c r="AH2175" s="91">
        <v>4722.5287456494043</v>
      </c>
      <c r="AI2175" s="91">
        <v>4722.5287456494043</v>
      </c>
      <c r="AJ2175" s="91">
        <v>4722.5287456494043</v>
      </c>
      <c r="AK2175" s="91">
        <v>4722.5287456494043</v>
      </c>
      <c r="AL2175" s="91">
        <v>4722.5287456494043</v>
      </c>
      <c r="AM2175" s="91">
        <v>4722.5287456494043</v>
      </c>
      <c r="AN2175" s="91">
        <v>4722.5287456494043</v>
      </c>
      <c r="AO2175" s="91">
        <v>4722.5287456494043</v>
      </c>
      <c r="AP2175" s="91">
        <v>4722.5287456494043</v>
      </c>
      <c r="AQ2175" s="91">
        <v>4722.5287456494043</v>
      </c>
      <c r="AR2175" s="91">
        <v>4722.5287456494043</v>
      </c>
      <c r="AS2175" s="91">
        <v>4722.5287456494043</v>
      </c>
      <c r="AT2175" s="91">
        <v>4722.5287456494043</v>
      </c>
      <c r="AU2175" s="91">
        <v>4722.5287456494043</v>
      </c>
      <c r="AV2175" s="91">
        <v>4722.5287456494043</v>
      </c>
      <c r="AW2175" s="91">
        <v>4722.5287456494043</v>
      </c>
      <c r="AX2175" s="92">
        <v>4722.5287456494043</v>
      </c>
    </row>
    <row r="2176" spans="1:50" x14ac:dyDescent="0.25">
      <c r="A2176" s="356"/>
      <c r="B2176" s="359"/>
      <c r="C2176" s="360"/>
      <c r="D2176" s="59" t="s">
        <v>20</v>
      </c>
      <c r="E2176" s="166" t="str">
        <f>A2169&amp;"/"&amp;B2169&amp;"/"&amp;C2173&amp;"/"&amp;D2176</f>
        <v>Gas fired power plants (Natural gas, biogas)/Gas turbine combined cycle/CHP/XS</v>
      </c>
      <c r="F2176" s="79" t="str">
        <f>A2169</f>
        <v>Gas fired power plants (Natural gas, biogas)</v>
      </c>
      <c r="G2176" s="79" t="str">
        <f>B2169</f>
        <v>Gas turbine combined cycle</v>
      </c>
      <c r="H2176" s="79" t="str">
        <f>C2173</f>
        <v>CHP</v>
      </c>
      <c r="I2176" s="167" t="str">
        <f t="shared" si="114"/>
        <v>XS</v>
      </c>
      <c r="J2176" s="97">
        <v>4466.6750425473701</v>
      </c>
      <c r="K2176" s="97">
        <v>4466.6750425473701</v>
      </c>
      <c r="L2176" s="97">
        <v>4466.6750425473701</v>
      </c>
      <c r="M2176" s="97">
        <v>4466.6750425473701</v>
      </c>
      <c r="N2176" s="97">
        <v>4466.6750425473701</v>
      </c>
      <c r="O2176" s="97">
        <v>4466.6750425473701</v>
      </c>
      <c r="P2176" s="97">
        <v>4466.6750425473701</v>
      </c>
      <c r="Q2176" s="97">
        <v>4466.6750425473701</v>
      </c>
      <c r="R2176" s="97">
        <v>4466.6750425473701</v>
      </c>
      <c r="S2176" s="97">
        <v>4466.6750425473701</v>
      </c>
      <c r="T2176" s="97">
        <v>4466.6750425473701</v>
      </c>
      <c r="U2176" s="97">
        <v>4466.6750425473701</v>
      </c>
      <c r="V2176" s="97">
        <v>4466.6750425473701</v>
      </c>
      <c r="W2176" s="97">
        <v>4466.6750425473701</v>
      </c>
      <c r="X2176" s="97">
        <v>4466.6750425473701</v>
      </c>
      <c r="Y2176" s="97">
        <v>4466.6750425473701</v>
      </c>
      <c r="Z2176" s="97">
        <v>4466.6750425473701</v>
      </c>
      <c r="AA2176" s="97">
        <v>4466.6750425473701</v>
      </c>
      <c r="AB2176" s="97">
        <v>4466.6750425473701</v>
      </c>
      <c r="AC2176" s="97">
        <v>4466.6750425473701</v>
      </c>
      <c r="AD2176" s="97">
        <v>4466.6750425473701</v>
      </c>
      <c r="AE2176" s="97">
        <v>4466.6750425473701</v>
      </c>
      <c r="AF2176" s="97">
        <v>4466.6750425473701</v>
      </c>
      <c r="AG2176" s="97">
        <v>4466.6750425473701</v>
      </c>
      <c r="AH2176" s="97">
        <v>4466.6750425473701</v>
      </c>
      <c r="AI2176" s="97">
        <v>4466.6750425473701</v>
      </c>
      <c r="AJ2176" s="97">
        <v>4466.6750425473701</v>
      </c>
      <c r="AK2176" s="97">
        <v>4466.6750425473701</v>
      </c>
      <c r="AL2176" s="97">
        <v>4466.6750425473701</v>
      </c>
      <c r="AM2176" s="97">
        <v>4466.6750425473701</v>
      </c>
      <c r="AN2176" s="97">
        <v>4466.6750425473701</v>
      </c>
      <c r="AO2176" s="97">
        <v>4466.6750425473701</v>
      </c>
      <c r="AP2176" s="97">
        <v>4466.6750425473701</v>
      </c>
      <c r="AQ2176" s="97">
        <v>4466.6750425473701</v>
      </c>
      <c r="AR2176" s="97">
        <v>4466.6750425473701</v>
      </c>
      <c r="AS2176" s="97">
        <v>4466.6750425473701</v>
      </c>
      <c r="AT2176" s="97">
        <v>4466.6750425473701</v>
      </c>
      <c r="AU2176" s="97">
        <v>4466.6750425473701</v>
      </c>
      <c r="AV2176" s="97">
        <v>4466.6750425473701</v>
      </c>
      <c r="AW2176" s="97">
        <v>4466.6750425473701</v>
      </c>
      <c r="AX2176" s="98">
        <v>4466.6750425473701</v>
      </c>
    </row>
    <row r="2177" spans="1:50" x14ac:dyDescent="0.25">
      <c r="A2177" s="356"/>
      <c r="B2177" s="359"/>
      <c r="C2177" s="361" t="s">
        <v>15</v>
      </c>
      <c r="D2177" s="58" t="s">
        <v>7</v>
      </c>
      <c r="E2177" s="164" t="str">
        <f>A2169&amp;"/"&amp;B2169&amp;"/"&amp;C2177&amp;"/"&amp;D2177</f>
        <v>Gas fired power plants (Natural gas, biogas)/Gas turbine combined cycle/Electricity only with CCS/L</v>
      </c>
      <c r="F2177" s="78" t="str">
        <f>A2169</f>
        <v>Gas fired power plants (Natural gas, biogas)</v>
      </c>
      <c r="G2177" s="78" t="str">
        <f>B2169</f>
        <v>Gas turbine combined cycle</v>
      </c>
      <c r="H2177" s="78" t="str">
        <f>C2177</f>
        <v>Electricity only with CCS</v>
      </c>
      <c r="I2177" s="165" t="str">
        <f t="shared" si="114"/>
        <v>L</v>
      </c>
      <c r="J2177" s="95" t="s">
        <v>112</v>
      </c>
      <c r="K2177" s="95" t="s">
        <v>112</v>
      </c>
      <c r="L2177" s="95" t="s">
        <v>112</v>
      </c>
      <c r="M2177" s="95" t="s">
        <v>112</v>
      </c>
      <c r="N2177" s="95" t="s">
        <v>112</v>
      </c>
      <c r="O2177" s="95" t="s">
        <v>112</v>
      </c>
      <c r="P2177" s="95" t="s">
        <v>112</v>
      </c>
      <c r="Q2177" s="95" t="s">
        <v>112</v>
      </c>
      <c r="R2177" s="95" t="s">
        <v>112</v>
      </c>
      <c r="S2177" s="95" t="s">
        <v>112</v>
      </c>
      <c r="T2177" s="95" t="s">
        <v>112</v>
      </c>
      <c r="U2177" s="95" t="s">
        <v>112</v>
      </c>
      <c r="V2177" s="95" t="s">
        <v>112</v>
      </c>
      <c r="W2177" s="95" t="s">
        <v>112</v>
      </c>
      <c r="X2177" s="95" t="s">
        <v>112</v>
      </c>
      <c r="Y2177" s="95" t="s">
        <v>112</v>
      </c>
      <c r="Z2177" s="95" t="s">
        <v>112</v>
      </c>
      <c r="AA2177" s="95" t="s">
        <v>112</v>
      </c>
      <c r="AB2177" s="95" t="s">
        <v>112</v>
      </c>
      <c r="AC2177" s="95" t="s">
        <v>112</v>
      </c>
      <c r="AD2177" s="95" t="s">
        <v>112</v>
      </c>
      <c r="AE2177" s="95">
        <v>6250</v>
      </c>
      <c r="AF2177" s="95">
        <v>6250</v>
      </c>
      <c r="AG2177" s="95">
        <v>6250</v>
      </c>
      <c r="AH2177" s="95">
        <v>6250</v>
      </c>
      <c r="AI2177" s="95">
        <v>6250</v>
      </c>
      <c r="AJ2177" s="95">
        <v>6250</v>
      </c>
      <c r="AK2177" s="95">
        <v>6250</v>
      </c>
      <c r="AL2177" s="95">
        <v>6250</v>
      </c>
      <c r="AM2177" s="95">
        <v>6250</v>
      </c>
      <c r="AN2177" s="95">
        <v>6250</v>
      </c>
      <c r="AO2177" s="95">
        <v>6250</v>
      </c>
      <c r="AP2177" s="95">
        <v>6250</v>
      </c>
      <c r="AQ2177" s="95">
        <v>6250</v>
      </c>
      <c r="AR2177" s="95">
        <v>6250</v>
      </c>
      <c r="AS2177" s="95">
        <v>6250</v>
      </c>
      <c r="AT2177" s="95">
        <v>6250</v>
      </c>
      <c r="AU2177" s="95">
        <v>6250</v>
      </c>
      <c r="AV2177" s="95">
        <v>6250</v>
      </c>
      <c r="AW2177" s="95">
        <v>6250</v>
      </c>
      <c r="AX2177" s="96">
        <v>6250</v>
      </c>
    </row>
    <row r="2178" spans="1:50" x14ac:dyDescent="0.25">
      <c r="A2178" s="356"/>
      <c r="B2178" s="359"/>
      <c r="C2178" s="360"/>
      <c r="D2178" s="59" t="s">
        <v>8</v>
      </c>
      <c r="E2178" s="166" t="str">
        <f>A2169&amp;"/"&amp;B2169&amp;"/"&amp;C2177&amp;"/"&amp;D2178</f>
        <v>Gas fired power plants (Natural gas, biogas)/Gas turbine combined cycle/Electricity only with CCS/M</v>
      </c>
      <c r="F2178" s="79" t="str">
        <f>A2169</f>
        <v>Gas fired power plants (Natural gas, biogas)</v>
      </c>
      <c r="G2178" s="79" t="str">
        <f>B2169</f>
        <v>Gas turbine combined cycle</v>
      </c>
      <c r="H2178" s="79" t="str">
        <f>C2177</f>
        <v>Electricity only with CCS</v>
      </c>
      <c r="I2178" s="167" t="str">
        <f t="shared" si="114"/>
        <v>M</v>
      </c>
      <c r="J2178" s="97" t="s">
        <v>112</v>
      </c>
      <c r="K2178" s="97" t="s">
        <v>112</v>
      </c>
      <c r="L2178" s="97" t="s">
        <v>112</v>
      </c>
      <c r="M2178" s="97" t="s">
        <v>112</v>
      </c>
      <c r="N2178" s="97" t="s">
        <v>112</v>
      </c>
      <c r="O2178" s="97" t="s">
        <v>112</v>
      </c>
      <c r="P2178" s="97" t="s">
        <v>112</v>
      </c>
      <c r="Q2178" s="97" t="s">
        <v>112</v>
      </c>
      <c r="R2178" s="97" t="s">
        <v>112</v>
      </c>
      <c r="S2178" s="97" t="s">
        <v>112</v>
      </c>
      <c r="T2178" s="97" t="s">
        <v>112</v>
      </c>
      <c r="U2178" s="97" t="s">
        <v>112</v>
      </c>
      <c r="V2178" s="97" t="s">
        <v>112</v>
      </c>
      <c r="W2178" s="97" t="s">
        <v>112</v>
      </c>
      <c r="X2178" s="97" t="s">
        <v>112</v>
      </c>
      <c r="Y2178" s="97" t="s">
        <v>112</v>
      </c>
      <c r="Z2178" s="97" t="s">
        <v>112</v>
      </c>
      <c r="AA2178" s="97" t="s">
        <v>112</v>
      </c>
      <c r="AB2178" s="97" t="s">
        <v>112</v>
      </c>
      <c r="AC2178" s="97" t="s">
        <v>112</v>
      </c>
      <c r="AD2178" s="97" t="s">
        <v>112</v>
      </c>
      <c r="AE2178" s="97">
        <v>5752.6303119403419</v>
      </c>
      <c r="AF2178" s="97">
        <v>5752.6303119403419</v>
      </c>
      <c r="AG2178" s="97">
        <v>5752.6303119403419</v>
      </c>
      <c r="AH2178" s="97">
        <v>5752.6303119403419</v>
      </c>
      <c r="AI2178" s="97">
        <v>5752.6303119403419</v>
      </c>
      <c r="AJ2178" s="97">
        <v>5752.6303119403419</v>
      </c>
      <c r="AK2178" s="97">
        <v>5752.6303119403419</v>
      </c>
      <c r="AL2178" s="97">
        <v>5752.6303119403419</v>
      </c>
      <c r="AM2178" s="97">
        <v>5752.6303119403419</v>
      </c>
      <c r="AN2178" s="97">
        <v>5752.6303119403419</v>
      </c>
      <c r="AO2178" s="97">
        <v>5752.6303119403419</v>
      </c>
      <c r="AP2178" s="97">
        <v>5752.6303119403419</v>
      </c>
      <c r="AQ2178" s="97">
        <v>5752.6303119403419</v>
      </c>
      <c r="AR2178" s="97">
        <v>5752.6303119403419</v>
      </c>
      <c r="AS2178" s="97">
        <v>5752.6303119403419</v>
      </c>
      <c r="AT2178" s="97">
        <v>5752.6303119403419</v>
      </c>
      <c r="AU2178" s="97">
        <v>5752.6303119403419</v>
      </c>
      <c r="AV2178" s="97">
        <v>5752.6303119403419</v>
      </c>
      <c r="AW2178" s="97">
        <v>5752.6303119403419</v>
      </c>
      <c r="AX2178" s="98">
        <v>5752.6303119403419</v>
      </c>
    </row>
    <row r="2179" spans="1:50" x14ac:dyDescent="0.25">
      <c r="A2179" s="356"/>
      <c r="B2179" s="359"/>
      <c r="C2179" s="361" t="s">
        <v>16</v>
      </c>
      <c r="D2179" s="2" t="s">
        <v>7</v>
      </c>
      <c r="E2179" s="160" t="str">
        <f>A2169&amp;"/"&amp;B2169&amp;"/"&amp;C2179&amp;"/"&amp;D2179</f>
        <v>Gas fired power plants (Natural gas, biogas)/Gas turbine combined cycle/CHP with CCS/L</v>
      </c>
      <c r="F2179" s="76" t="str">
        <f>A2169</f>
        <v>Gas fired power plants (Natural gas, biogas)</v>
      </c>
      <c r="G2179" s="76" t="str">
        <f>B2169</f>
        <v>Gas turbine combined cycle</v>
      </c>
      <c r="H2179" s="76" t="str">
        <f>C2179</f>
        <v>CHP with CCS</v>
      </c>
      <c r="I2179" s="161" t="str">
        <f t="shared" si="114"/>
        <v>L</v>
      </c>
      <c r="J2179" s="91" t="s">
        <v>112</v>
      </c>
      <c r="K2179" s="91" t="s">
        <v>112</v>
      </c>
      <c r="L2179" s="91" t="s">
        <v>112</v>
      </c>
      <c r="M2179" s="91" t="s">
        <v>112</v>
      </c>
      <c r="N2179" s="91" t="s">
        <v>112</v>
      </c>
      <c r="O2179" s="91" t="s">
        <v>112</v>
      </c>
      <c r="P2179" s="91" t="s">
        <v>112</v>
      </c>
      <c r="Q2179" s="91" t="s">
        <v>112</v>
      </c>
      <c r="R2179" s="91" t="s">
        <v>112</v>
      </c>
      <c r="S2179" s="91" t="s">
        <v>112</v>
      </c>
      <c r="T2179" s="91" t="s">
        <v>112</v>
      </c>
      <c r="U2179" s="91" t="s">
        <v>112</v>
      </c>
      <c r="V2179" s="91" t="s">
        <v>112</v>
      </c>
      <c r="W2179" s="91" t="s">
        <v>112</v>
      </c>
      <c r="X2179" s="91" t="s">
        <v>112</v>
      </c>
      <c r="Y2179" s="91" t="s">
        <v>112</v>
      </c>
      <c r="Z2179" s="91" t="s">
        <v>112</v>
      </c>
      <c r="AA2179" s="91" t="s">
        <v>112</v>
      </c>
      <c r="AB2179" s="91" t="s">
        <v>112</v>
      </c>
      <c r="AC2179" s="91" t="s">
        <v>112</v>
      </c>
      <c r="AD2179" s="91" t="s">
        <v>112</v>
      </c>
      <c r="AE2179" s="91">
        <v>5662.5</v>
      </c>
      <c r="AF2179" s="91">
        <v>5662.5</v>
      </c>
      <c r="AG2179" s="91">
        <v>5662.5</v>
      </c>
      <c r="AH2179" s="91">
        <v>5662.5</v>
      </c>
      <c r="AI2179" s="91">
        <v>5662.5</v>
      </c>
      <c r="AJ2179" s="91">
        <v>5662.5</v>
      </c>
      <c r="AK2179" s="91">
        <v>5662.5</v>
      </c>
      <c r="AL2179" s="91">
        <v>5662.5</v>
      </c>
      <c r="AM2179" s="91">
        <v>5662.5</v>
      </c>
      <c r="AN2179" s="91">
        <v>5662.5</v>
      </c>
      <c r="AO2179" s="91">
        <v>5662.5</v>
      </c>
      <c r="AP2179" s="91">
        <v>5662.5</v>
      </c>
      <c r="AQ2179" s="91">
        <v>5662.5</v>
      </c>
      <c r="AR2179" s="91">
        <v>5662.5</v>
      </c>
      <c r="AS2179" s="91">
        <v>5662.5</v>
      </c>
      <c r="AT2179" s="91">
        <v>5662.5</v>
      </c>
      <c r="AU2179" s="91">
        <v>5662.5</v>
      </c>
      <c r="AV2179" s="91">
        <v>5662.5</v>
      </c>
      <c r="AW2179" s="91">
        <v>5662.5</v>
      </c>
      <c r="AX2179" s="92">
        <v>5662.5</v>
      </c>
    </row>
    <row r="2180" spans="1:50" x14ac:dyDescent="0.25">
      <c r="A2180" s="356"/>
      <c r="B2180" s="362"/>
      <c r="C2180" s="354"/>
      <c r="D2180" s="4" t="s">
        <v>8</v>
      </c>
      <c r="E2180" s="168" t="str">
        <f>A2169&amp;"/"&amp;B2169&amp;"/"&amp;C2179&amp;"/"&amp;D2180</f>
        <v>Gas fired power plants (Natural gas, biogas)/Gas turbine combined cycle/CHP with CCS/M</v>
      </c>
      <c r="F2180" s="80" t="str">
        <f>A2169</f>
        <v>Gas fired power plants (Natural gas, biogas)</v>
      </c>
      <c r="G2180" s="80" t="str">
        <f>B2169</f>
        <v>Gas turbine combined cycle</v>
      </c>
      <c r="H2180" s="80" t="str">
        <f>C2179</f>
        <v>CHP with CCS</v>
      </c>
      <c r="I2180" s="169" t="str">
        <f t="shared" si="114"/>
        <v>M</v>
      </c>
      <c r="J2180" s="99" t="s">
        <v>112</v>
      </c>
      <c r="K2180" s="99" t="s">
        <v>112</v>
      </c>
      <c r="L2180" s="99" t="s">
        <v>112</v>
      </c>
      <c r="M2180" s="99" t="s">
        <v>112</v>
      </c>
      <c r="N2180" s="99" t="s">
        <v>112</v>
      </c>
      <c r="O2180" s="99" t="s">
        <v>112</v>
      </c>
      <c r="P2180" s="99" t="s">
        <v>112</v>
      </c>
      <c r="Q2180" s="99" t="s">
        <v>112</v>
      </c>
      <c r="R2180" s="99" t="s">
        <v>112</v>
      </c>
      <c r="S2180" s="99" t="s">
        <v>112</v>
      </c>
      <c r="T2180" s="99" t="s">
        <v>112</v>
      </c>
      <c r="U2180" s="99" t="s">
        <v>112</v>
      </c>
      <c r="V2180" s="99" t="s">
        <v>112</v>
      </c>
      <c r="W2180" s="99" t="s">
        <v>112</v>
      </c>
      <c r="X2180" s="99" t="s">
        <v>112</v>
      </c>
      <c r="Y2180" s="99" t="s">
        <v>112</v>
      </c>
      <c r="Z2180" s="99" t="s">
        <v>112</v>
      </c>
      <c r="AA2180" s="99" t="s">
        <v>112</v>
      </c>
      <c r="AB2180" s="99" t="s">
        <v>112</v>
      </c>
      <c r="AC2180" s="99" t="s">
        <v>112</v>
      </c>
      <c r="AD2180" s="99" t="s">
        <v>112</v>
      </c>
      <c r="AE2180" s="99">
        <v>5224.4591400758027</v>
      </c>
      <c r="AF2180" s="99">
        <v>5224.4591400758027</v>
      </c>
      <c r="AG2180" s="99">
        <v>5224.4591400758027</v>
      </c>
      <c r="AH2180" s="99">
        <v>5224.4591400758027</v>
      </c>
      <c r="AI2180" s="99">
        <v>5224.4591400758027</v>
      </c>
      <c r="AJ2180" s="99">
        <v>5224.4591400758027</v>
      </c>
      <c r="AK2180" s="99">
        <v>5224.4591400758027</v>
      </c>
      <c r="AL2180" s="99">
        <v>5224.4591400758027</v>
      </c>
      <c r="AM2180" s="99">
        <v>5224.4591400758027</v>
      </c>
      <c r="AN2180" s="99">
        <v>5224.4591400758027</v>
      </c>
      <c r="AO2180" s="99">
        <v>5224.4591400758027</v>
      </c>
      <c r="AP2180" s="99">
        <v>5224.4591400758027</v>
      </c>
      <c r="AQ2180" s="99">
        <v>5224.4591400758027</v>
      </c>
      <c r="AR2180" s="99">
        <v>5224.4591400758027</v>
      </c>
      <c r="AS2180" s="99">
        <v>5224.4591400758027</v>
      </c>
      <c r="AT2180" s="99">
        <v>5224.4591400758027</v>
      </c>
      <c r="AU2180" s="99">
        <v>5224.4591400758027</v>
      </c>
      <c r="AV2180" s="99">
        <v>5224.4591400758027</v>
      </c>
      <c r="AW2180" s="99">
        <v>5224.4591400758027</v>
      </c>
      <c r="AX2180" s="100">
        <v>5224.4591400758027</v>
      </c>
    </row>
    <row r="2181" spans="1:50" x14ac:dyDescent="0.25">
      <c r="A2181" s="356"/>
      <c r="B2181" s="358" t="s">
        <v>24</v>
      </c>
      <c r="C2181" s="353" t="s">
        <v>6</v>
      </c>
      <c r="D2181" s="3" t="s">
        <v>8</v>
      </c>
      <c r="E2181" s="162" t="str">
        <f>A2169&amp;"/"&amp;B2181&amp;"/"&amp;C2181&amp;"/"&amp;D2181</f>
        <v>Gas fired power plants (Natural gas, biogas)/Gas turbine /Electricity only/M</v>
      </c>
      <c r="F2181" s="77" t="str">
        <f>A2169</f>
        <v>Gas fired power plants (Natural gas, biogas)</v>
      </c>
      <c r="G2181" s="77" t="str">
        <f>B2181</f>
        <v xml:space="preserve">Gas turbine </v>
      </c>
      <c r="H2181" s="77" t="str">
        <f>C2181</f>
        <v>Electricity only</v>
      </c>
      <c r="I2181" s="163" t="str">
        <f t="shared" si="114"/>
        <v>M</v>
      </c>
      <c r="J2181" s="93">
        <v>3500</v>
      </c>
      <c r="K2181" s="93">
        <v>3500</v>
      </c>
      <c r="L2181" s="93">
        <v>3500</v>
      </c>
      <c r="M2181" s="93">
        <v>3500</v>
      </c>
      <c r="N2181" s="93">
        <v>3500</v>
      </c>
      <c r="O2181" s="93">
        <v>3500</v>
      </c>
      <c r="P2181" s="93">
        <v>3500</v>
      </c>
      <c r="Q2181" s="93">
        <v>3500</v>
      </c>
      <c r="R2181" s="93">
        <v>3500</v>
      </c>
      <c r="S2181" s="93">
        <v>3500</v>
      </c>
      <c r="T2181" s="93">
        <v>3500</v>
      </c>
      <c r="U2181" s="93">
        <v>3500</v>
      </c>
      <c r="V2181" s="93">
        <v>3500</v>
      </c>
      <c r="W2181" s="93">
        <v>3500</v>
      </c>
      <c r="X2181" s="93">
        <v>3500</v>
      </c>
      <c r="Y2181" s="93">
        <v>3500</v>
      </c>
      <c r="Z2181" s="93">
        <v>3500</v>
      </c>
      <c r="AA2181" s="93">
        <v>3500</v>
      </c>
      <c r="AB2181" s="93">
        <v>3500</v>
      </c>
      <c r="AC2181" s="93">
        <v>3500</v>
      </c>
      <c r="AD2181" s="93">
        <v>3500</v>
      </c>
      <c r="AE2181" s="93">
        <v>3500</v>
      </c>
      <c r="AF2181" s="93">
        <v>3500</v>
      </c>
      <c r="AG2181" s="93">
        <v>3500</v>
      </c>
      <c r="AH2181" s="93">
        <v>3500</v>
      </c>
      <c r="AI2181" s="93">
        <v>3500</v>
      </c>
      <c r="AJ2181" s="93">
        <v>3500</v>
      </c>
      <c r="AK2181" s="93">
        <v>3500</v>
      </c>
      <c r="AL2181" s="93">
        <v>3500</v>
      </c>
      <c r="AM2181" s="93">
        <v>3500</v>
      </c>
      <c r="AN2181" s="93">
        <v>3500</v>
      </c>
      <c r="AO2181" s="93">
        <v>3500</v>
      </c>
      <c r="AP2181" s="93">
        <v>3500</v>
      </c>
      <c r="AQ2181" s="93">
        <v>3500</v>
      </c>
      <c r="AR2181" s="93">
        <v>3500</v>
      </c>
      <c r="AS2181" s="93">
        <v>3500</v>
      </c>
      <c r="AT2181" s="93">
        <v>3500</v>
      </c>
      <c r="AU2181" s="93">
        <v>3500</v>
      </c>
      <c r="AV2181" s="93">
        <v>3500</v>
      </c>
      <c r="AW2181" s="93">
        <v>3500</v>
      </c>
      <c r="AX2181" s="94">
        <v>3500</v>
      </c>
    </row>
    <row r="2182" spans="1:50" x14ac:dyDescent="0.25">
      <c r="A2182" s="356"/>
      <c r="B2182" s="359"/>
      <c r="C2182" s="350"/>
      <c r="D2182" s="2" t="s">
        <v>10</v>
      </c>
      <c r="E2182" s="160" t="str">
        <f>A2169&amp;"/"&amp;B2181&amp;"/"&amp;C2181&amp;"/"&amp;D2182</f>
        <v>Gas fired power plants (Natural gas, biogas)/Gas turbine /Electricity only/S</v>
      </c>
      <c r="F2182" s="76" t="str">
        <f>A2169</f>
        <v>Gas fired power plants (Natural gas, biogas)</v>
      </c>
      <c r="G2182" s="76" t="str">
        <f>B2181</f>
        <v xml:space="preserve">Gas turbine </v>
      </c>
      <c r="H2182" s="76" t="str">
        <f>C2181</f>
        <v>Electricity only</v>
      </c>
      <c r="I2182" s="161" t="str">
        <f t="shared" si="114"/>
        <v>S</v>
      </c>
      <c r="J2182" s="91">
        <v>2275.7373286208713</v>
      </c>
      <c r="K2182" s="91">
        <v>2275.7373286208713</v>
      </c>
      <c r="L2182" s="91">
        <v>2275.7373286208713</v>
      </c>
      <c r="M2182" s="91">
        <v>2275.7373286208713</v>
      </c>
      <c r="N2182" s="91">
        <v>2275.7373286208713</v>
      </c>
      <c r="O2182" s="91">
        <v>2275.7373286208713</v>
      </c>
      <c r="P2182" s="91">
        <v>2275.7373286208713</v>
      </c>
      <c r="Q2182" s="91">
        <v>2275.7373286208713</v>
      </c>
      <c r="R2182" s="91">
        <v>2275.7373286208713</v>
      </c>
      <c r="S2182" s="91">
        <v>2275.7373286208713</v>
      </c>
      <c r="T2182" s="91">
        <v>2275.7373286208713</v>
      </c>
      <c r="U2182" s="91">
        <v>2275.7373286208713</v>
      </c>
      <c r="V2182" s="91">
        <v>2275.7373286208713</v>
      </c>
      <c r="W2182" s="91">
        <v>2275.7373286208713</v>
      </c>
      <c r="X2182" s="91">
        <v>2275.7373286208713</v>
      </c>
      <c r="Y2182" s="91">
        <v>2275.7373286208713</v>
      </c>
      <c r="Z2182" s="91">
        <v>2275.7373286208713</v>
      </c>
      <c r="AA2182" s="91">
        <v>2275.7373286208713</v>
      </c>
      <c r="AB2182" s="91">
        <v>2275.7373286208713</v>
      </c>
      <c r="AC2182" s="91">
        <v>2275.7373286208713</v>
      </c>
      <c r="AD2182" s="91">
        <v>2275.7373286208713</v>
      </c>
      <c r="AE2182" s="91">
        <v>2275.7373286208713</v>
      </c>
      <c r="AF2182" s="91">
        <v>2275.7373286208713</v>
      </c>
      <c r="AG2182" s="91">
        <v>2275.7373286208713</v>
      </c>
      <c r="AH2182" s="91">
        <v>2275.7373286208713</v>
      </c>
      <c r="AI2182" s="91">
        <v>2275.7373286208713</v>
      </c>
      <c r="AJ2182" s="91">
        <v>2275.7373286208713</v>
      </c>
      <c r="AK2182" s="91">
        <v>2275.7373286208713</v>
      </c>
      <c r="AL2182" s="91">
        <v>2275.7373286208713</v>
      </c>
      <c r="AM2182" s="91">
        <v>2275.7373286208713</v>
      </c>
      <c r="AN2182" s="91">
        <v>2275.7373286208713</v>
      </c>
      <c r="AO2182" s="91">
        <v>2275.7373286208713</v>
      </c>
      <c r="AP2182" s="91">
        <v>2275.7373286208713</v>
      </c>
      <c r="AQ2182" s="91">
        <v>2275.7373286208713</v>
      </c>
      <c r="AR2182" s="91">
        <v>2275.7373286208713</v>
      </c>
      <c r="AS2182" s="91">
        <v>2275.7373286208713</v>
      </c>
      <c r="AT2182" s="91">
        <v>2275.7373286208713</v>
      </c>
      <c r="AU2182" s="91">
        <v>2275.7373286208713</v>
      </c>
      <c r="AV2182" s="91">
        <v>2275.7373286208713</v>
      </c>
      <c r="AW2182" s="91">
        <v>2275.7373286208713</v>
      </c>
      <c r="AX2182" s="92">
        <v>2275.7373286208713</v>
      </c>
    </row>
    <row r="2183" spans="1:50" x14ac:dyDescent="0.25">
      <c r="A2183" s="356"/>
      <c r="B2183" s="359"/>
      <c r="C2183" s="360"/>
      <c r="D2183" s="59" t="s">
        <v>20</v>
      </c>
      <c r="E2183" s="160" t="str">
        <f>A2169&amp;"/"&amp;B2181&amp;"/"&amp;C2181&amp;"/"&amp;D2183</f>
        <v>Gas fired power plants (Natural gas, biogas)/Gas turbine /Electricity only/XS</v>
      </c>
      <c r="F2183" s="76" t="str">
        <f>A2169</f>
        <v>Gas fired power plants (Natural gas, biogas)</v>
      </c>
      <c r="G2183" s="76" t="str">
        <f>B2181</f>
        <v xml:space="preserve">Gas turbine </v>
      </c>
      <c r="H2183" s="76" t="str">
        <f>C2181</f>
        <v>Electricity only</v>
      </c>
      <c r="I2183" s="161" t="str">
        <f t="shared" si="114"/>
        <v>XS</v>
      </c>
      <c r="J2183" s="91">
        <v>835.64226699634219</v>
      </c>
      <c r="K2183" s="91">
        <v>835.64226699634219</v>
      </c>
      <c r="L2183" s="91">
        <v>835.64226699634219</v>
      </c>
      <c r="M2183" s="91">
        <v>835.64226699634219</v>
      </c>
      <c r="N2183" s="91">
        <v>835.64226699634219</v>
      </c>
      <c r="O2183" s="91">
        <v>835.64226699634219</v>
      </c>
      <c r="P2183" s="91">
        <v>835.64226699634219</v>
      </c>
      <c r="Q2183" s="91">
        <v>835.64226699634219</v>
      </c>
      <c r="R2183" s="91">
        <v>835.64226699634219</v>
      </c>
      <c r="S2183" s="91">
        <v>835.64226699634219</v>
      </c>
      <c r="T2183" s="91">
        <v>835.64226699634219</v>
      </c>
      <c r="U2183" s="91">
        <v>835.64226699634219</v>
      </c>
      <c r="V2183" s="91">
        <v>835.64226699634219</v>
      </c>
      <c r="W2183" s="91">
        <v>835.64226699634219</v>
      </c>
      <c r="X2183" s="91">
        <v>835.64226699634219</v>
      </c>
      <c r="Y2183" s="91">
        <v>835.64226699634219</v>
      </c>
      <c r="Z2183" s="91">
        <v>835.64226699634219</v>
      </c>
      <c r="AA2183" s="91">
        <v>835.64226699634219</v>
      </c>
      <c r="AB2183" s="91">
        <v>835.64226699634219</v>
      </c>
      <c r="AC2183" s="91">
        <v>835.64226699634219</v>
      </c>
      <c r="AD2183" s="91">
        <v>835.64226699634219</v>
      </c>
      <c r="AE2183" s="91">
        <v>835.64226699634219</v>
      </c>
      <c r="AF2183" s="91">
        <v>835.64226699634219</v>
      </c>
      <c r="AG2183" s="91">
        <v>835.64226699634219</v>
      </c>
      <c r="AH2183" s="91">
        <v>835.64226699634219</v>
      </c>
      <c r="AI2183" s="91">
        <v>835.64226699634219</v>
      </c>
      <c r="AJ2183" s="91">
        <v>835.64226699634219</v>
      </c>
      <c r="AK2183" s="91">
        <v>835.64226699634219</v>
      </c>
      <c r="AL2183" s="91">
        <v>835.64226699634219</v>
      </c>
      <c r="AM2183" s="91">
        <v>835.64226699634219</v>
      </c>
      <c r="AN2183" s="91">
        <v>835.64226699634219</v>
      </c>
      <c r="AO2183" s="91">
        <v>835.64226699634219</v>
      </c>
      <c r="AP2183" s="91">
        <v>835.64226699634219</v>
      </c>
      <c r="AQ2183" s="91">
        <v>835.64226699634219</v>
      </c>
      <c r="AR2183" s="91">
        <v>835.64226699634219</v>
      </c>
      <c r="AS2183" s="91">
        <v>835.64226699634219</v>
      </c>
      <c r="AT2183" s="91">
        <v>835.64226699634219</v>
      </c>
      <c r="AU2183" s="91">
        <v>835.64226699634219</v>
      </c>
      <c r="AV2183" s="91">
        <v>835.64226699634219</v>
      </c>
      <c r="AW2183" s="91">
        <v>835.64226699634219</v>
      </c>
      <c r="AX2183" s="92">
        <v>835.64226699634219</v>
      </c>
    </row>
    <row r="2184" spans="1:50" x14ac:dyDescent="0.25">
      <c r="A2184" s="356"/>
      <c r="B2184" s="359"/>
      <c r="C2184" s="361" t="s">
        <v>14</v>
      </c>
      <c r="D2184" s="2" t="s">
        <v>8</v>
      </c>
      <c r="E2184" s="164" t="str">
        <f>A2169&amp;"/"&amp;B2181&amp;"/"&amp;C2184&amp;"/"&amp;D2184</f>
        <v>Gas fired power plants (Natural gas, biogas)/Gas turbine /CHP/M</v>
      </c>
      <c r="F2184" s="78" t="str">
        <f>A2169</f>
        <v>Gas fired power plants (Natural gas, biogas)</v>
      </c>
      <c r="G2184" s="78" t="str">
        <f>B2181</f>
        <v xml:space="preserve">Gas turbine </v>
      </c>
      <c r="H2184" s="78" t="str">
        <f>C2184</f>
        <v>CHP</v>
      </c>
      <c r="I2184" s="165" t="str">
        <f t="shared" si="114"/>
        <v>M</v>
      </c>
      <c r="J2184" s="95">
        <v>4575</v>
      </c>
      <c r="K2184" s="95">
        <v>4575</v>
      </c>
      <c r="L2184" s="95">
        <v>4575</v>
      </c>
      <c r="M2184" s="95">
        <v>4575</v>
      </c>
      <c r="N2184" s="95">
        <v>4575</v>
      </c>
      <c r="O2184" s="95">
        <v>4575</v>
      </c>
      <c r="P2184" s="95">
        <v>4575</v>
      </c>
      <c r="Q2184" s="95">
        <v>4575</v>
      </c>
      <c r="R2184" s="95">
        <v>4575</v>
      </c>
      <c r="S2184" s="95">
        <v>4575</v>
      </c>
      <c r="T2184" s="95">
        <v>4575</v>
      </c>
      <c r="U2184" s="95">
        <v>4575</v>
      </c>
      <c r="V2184" s="95">
        <v>4575</v>
      </c>
      <c r="W2184" s="95">
        <v>4575</v>
      </c>
      <c r="X2184" s="95">
        <v>4575</v>
      </c>
      <c r="Y2184" s="95">
        <v>4575</v>
      </c>
      <c r="Z2184" s="95">
        <v>4575</v>
      </c>
      <c r="AA2184" s="95">
        <v>4575</v>
      </c>
      <c r="AB2184" s="95">
        <v>4575</v>
      </c>
      <c r="AC2184" s="95">
        <v>4575</v>
      </c>
      <c r="AD2184" s="95">
        <v>4575</v>
      </c>
      <c r="AE2184" s="95">
        <v>4575</v>
      </c>
      <c r="AF2184" s="95">
        <v>4575</v>
      </c>
      <c r="AG2184" s="95">
        <v>4575</v>
      </c>
      <c r="AH2184" s="95">
        <v>4575</v>
      </c>
      <c r="AI2184" s="95">
        <v>4575</v>
      </c>
      <c r="AJ2184" s="95">
        <v>4575</v>
      </c>
      <c r="AK2184" s="95">
        <v>4575</v>
      </c>
      <c r="AL2184" s="95">
        <v>4575</v>
      </c>
      <c r="AM2184" s="95">
        <v>4575</v>
      </c>
      <c r="AN2184" s="95">
        <v>4575</v>
      </c>
      <c r="AO2184" s="95">
        <v>4575</v>
      </c>
      <c r="AP2184" s="95">
        <v>4575</v>
      </c>
      <c r="AQ2184" s="95">
        <v>4575</v>
      </c>
      <c r="AR2184" s="95">
        <v>4575</v>
      </c>
      <c r="AS2184" s="95">
        <v>4575</v>
      </c>
      <c r="AT2184" s="95">
        <v>4575</v>
      </c>
      <c r="AU2184" s="95">
        <v>4575</v>
      </c>
      <c r="AV2184" s="95">
        <v>4575</v>
      </c>
      <c r="AW2184" s="95">
        <v>4575</v>
      </c>
      <c r="AX2184" s="96">
        <v>4575</v>
      </c>
    </row>
    <row r="2185" spans="1:50" x14ac:dyDescent="0.25">
      <c r="A2185" s="356"/>
      <c r="B2185" s="359"/>
      <c r="C2185" s="350"/>
      <c r="D2185" s="2" t="s">
        <v>10</v>
      </c>
      <c r="E2185" s="160" t="str">
        <f>A2169&amp;"/"&amp;B2181&amp;"/"&amp;C2184&amp;"/"&amp;D2185</f>
        <v>Gas fired power plants (Natural gas, biogas)/Gas turbine /CHP/S</v>
      </c>
      <c r="F2185" s="76" t="str">
        <f>A2169</f>
        <v>Gas fired power plants (Natural gas, biogas)</v>
      </c>
      <c r="G2185" s="76" t="str">
        <f>B2181</f>
        <v xml:space="preserve">Gas turbine </v>
      </c>
      <c r="H2185" s="76" t="str">
        <f>C2184</f>
        <v>CHP</v>
      </c>
      <c r="I2185" s="161" t="str">
        <f t="shared" si="114"/>
        <v>S</v>
      </c>
      <c r="J2185" s="91">
        <v>3966.0380799086142</v>
      </c>
      <c r="K2185" s="91">
        <v>3966.0380799086142</v>
      </c>
      <c r="L2185" s="91">
        <v>3966.0380799086142</v>
      </c>
      <c r="M2185" s="91">
        <v>3966.0380799086142</v>
      </c>
      <c r="N2185" s="91">
        <v>3966.0380799086142</v>
      </c>
      <c r="O2185" s="91">
        <v>3966.0380799086142</v>
      </c>
      <c r="P2185" s="91">
        <v>3966.0380799086142</v>
      </c>
      <c r="Q2185" s="91">
        <v>3966.0380799086142</v>
      </c>
      <c r="R2185" s="91">
        <v>3966.0380799086142</v>
      </c>
      <c r="S2185" s="91">
        <v>3966.0380799086142</v>
      </c>
      <c r="T2185" s="91">
        <v>3966.0380799086142</v>
      </c>
      <c r="U2185" s="91">
        <v>3966.0380799086142</v>
      </c>
      <c r="V2185" s="91">
        <v>3966.0380799086142</v>
      </c>
      <c r="W2185" s="91">
        <v>3966.0380799086142</v>
      </c>
      <c r="X2185" s="91">
        <v>3966.0380799086142</v>
      </c>
      <c r="Y2185" s="91">
        <v>3966.0380799086142</v>
      </c>
      <c r="Z2185" s="91">
        <v>3966.0380799086142</v>
      </c>
      <c r="AA2185" s="91">
        <v>3966.0380799086142</v>
      </c>
      <c r="AB2185" s="91">
        <v>3966.0380799086142</v>
      </c>
      <c r="AC2185" s="91">
        <v>3966.0380799086142</v>
      </c>
      <c r="AD2185" s="91">
        <v>3966.0380799086142</v>
      </c>
      <c r="AE2185" s="91">
        <v>3966.0380799086142</v>
      </c>
      <c r="AF2185" s="91">
        <v>3966.0380799086142</v>
      </c>
      <c r="AG2185" s="91">
        <v>3966.0380799086142</v>
      </c>
      <c r="AH2185" s="91">
        <v>3966.0380799086142</v>
      </c>
      <c r="AI2185" s="91">
        <v>3966.0380799086142</v>
      </c>
      <c r="AJ2185" s="91">
        <v>3966.0380799086142</v>
      </c>
      <c r="AK2185" s="91">
        <v>3966.0380799086142</v>
      </c>
      <c r="AL2185" s="91">
        <v>3966.0380799086142</v>
      </c>
      <c r="AM2185" s="91">
        <v>3966.0380799086142</v>
      </c>
      <c r="AN2185" s="91">
        <v>3966.0380799086142</v>
      </c>
      <c r="AO2185" s="91">
        <v>3966.0380799086142</v>
      </c>
      <c r="AP2185" s="91">
        <v>3966.0380799086142</v>
      </c>
      <c r="AQ2185" s="91">
        <v>3966.0380799086142</v>
      </c>
      <c r="AR2185" s="91">
        <v>3966.0380799086142</v>
      </c>
      <c r="AS2185" s="91">
        <v>3966.0380799086142</v>
      </c>
      <c r="AT2185" s="91">
        <v>3966.0380799086142</v>
      </c>
      <c r="AU2185" s="91">
        <v>3966.0380799086142</v>
      </c>
      <c r="AV2185" s="91">
        <v>3966.0380799086142</v>
      </c>
      <c r="AW2185" s="91">
        <v>3966.0380799086142</v>
      </c>
      <c r="AX2185" s="92">
        <v>3966.0380799086142</v>
      </c>
    </row>
    <row r="2186" spans="1:50" x14ac:dyDescent="0.25">
      <c r="A2186" s="356"/>
      <c r="B2186" s="362"/>
      <c r="C2186" s="354"/>
      <c r="D2186" s="4" t="s">
        <v>20</v>
      </c>
      <c r="E2186" s="168" t="str">
        <f>A2169&amp;"/"&amp;B2181&amp;"/"&amp;C2184&amp;"/"&amp;D2186</f>
        <v>Gas fired power plants (Natural gas, biogas)/Gas turbine /CHP/XS</v>
      </c>
      <c r="F2186" s="80" t="str">
        <f>A2169</f>
        <v>Gas fired power plants (Natural gas, biogas)</v>
      </c>
      <c r="G2186" s="80" t="str">
        <f>B2181</f>
        <v xml:space="preserve">Gas turbine </v>
      </c>
      <c r="H2186" s="80" t="str">
        <f>C2184</f>
        <v>CHP</v>
      </c>
      <c r="I2186" s="169" t="str">
        <f t="shared" si="114"/>
        <v>XS</v>
      </c>
      <c r="J2186" s="99">
        <v>949.1737736557991</v>
      </c>
      <c r="K2186" s="99">
        <v>949.1737736557991</v>
      </c>
      <c r="L2186" s="99">
        <v>949.1737736557991</v>
      </c>
      <c r="M2186" s="99">
        <v>949.1737736557991</v>
      </c>
      <c r="N2186" s="99">
        <v>949.1737736557991</v>
      </c>
      <c r="O2186" s="99">
        <v>949.1737736557991</v>
      </c>
      <c r="P2186" s="99">
        <v>949.1737736557991</v>
      </c>
      <c r="Q2186" s="99">
        <v>949.1737736557991</v>
      </c>
      <c r="R2186" s="99">
        <v>949.1737736557991</v>
      </c>
      <c r="S2186" s="99">
        <v>949.1737736557991</v>
      </c>
      <c r="T2186" s="99">
        <v>949.1737736557991</v>
      </c>
      <c r="U2186" s="99">
        <v>949.1737736557991</v>
      </c>
      <c r="V2186" s="99">
        <v>949.1737736557991</v>
      </c>
      <c r="W2186" s="99">
        <v>949.1737736557991</v>
      </c>
      <c r="X2186" s="99">
        <v>949.1737736557991</v>
      </c>
      <c r="Y2186" s="99">
        <v>949.1737736557991</v>
      </c>
      <c r="Z2186" s="99">
        <v>949.1737736557991</v>
      </c>
      <c r="AA2186" s="99">
        <v>949.1737736557991</v>
      </c>
      <c r="AB2186" s="99">
        <v>949.1737736557991</v>
      </c>
      <c r="AC2186" s="99">
        <v>949.1737736557991</v>
      </c>
      <c r="AD2186" s="99">
        <v>949.1737736557991</v>
      </c>
      <c r="AE2186" s="99">
        <v>949.1737736557991</v>
      </c>
      <c r="AF2186" s="99">
        <v>949.1737736557991</v>
      </c>
      <c r="AG2186" s="99">
        <v>949.1737736557991</v>
      </c>
      <c r="AH2186" s="99">
        <v>949.1737736557991</v>
      </c>
      <c r="AI2186" s="99">
        <v>949.1737736557991</v>
      </c>
      <c r="AJ2186" s="99">
        <v>949.1737736557991</v>
      </c>
      <c r="AK2186" s="99">
        <v>949.1737736557991</v>
      </c>
      <c r="AL2186" s="99">
        <v>949.1737736557991</v>
      </c>
      <c r="AM2186" s="99">
        <v>949.1737736557991</v>
      </c>
      <c r="AN2186" s="99">
        <v>949.1737736557991</v>
      </c>
      <c r="AO2186" s="99">
        <v>949.1737736557991</v>
      </c>
      <c r="AP2186" s="99">
        <v>949.1737736557991</v>
      </c>
      <c r="AQ2186" s="99">
        <v>949.1737736557991</v>
      </c>
      <c r="AR2186" s="99">
        <v>949.1737736557991</v>
      </c>
      <c r="AS2186" s="99">
        <v>949.1737736557991</v>
      </c>
      <c r="AT2186" s="99">
        <v>949.1737736557991</v>
      </c>
      <c r="AU2186" s="99">
        <v>949.1737736557991</v>
      </c>
      <c r="AV2186" s="99">
        <v>949.1737736557991</v>
      </c>
      <c r="AW2186" s="99">
        <v>949.1737736557991</v>
      </c>
      <c r="AX2186" s="100">
        <v>949.1737736557991</v>
      </c>
    </row>
    <row r="2187" spans="1:50" x14ac:dyDescent="0.25">
      <c r="A2187" s="356"/>
      <c r="B2187" s="358" t="s">
        <v>19</v>
      </c>
      <c r="C2187" s="353" t="s">
        <v>6</v>
      </c>
      <c r="D2187" s="3" t="s">
        <v>7</v>
      </c>
      <c r="E2187" s="162" t="str">
        <f>A2169&amp;"/"&amp;B2187&amp;"/"&amp;C2187&amp;"/"&amp;D2187</f>
        <v>Gas fired power plants (Natural gas, biogas)/Steam turbine/Electricity only/L</v>
      </c>
      <c r="F2187" s="77" t="str">
        <f>A2169</f>
        <v>Gas fired power plants (Natural gas, biogas)</v>
      </c>
      <c r="G2187" s="77" t="str">
        <f>B2187</f>
        <v>Steam turbine</v>
      </c>
      <c r="H2187" s="77" t="str">
        <f>C2187</f>
        <v>Electricity only</v>
      </c>
      <c r="I2187" s="163" t="str">
        <f t="shared" si="114"/>
        <v>L</v>
      </c>
      <c r="J2187" s="93">
        <v>6625</v>
      </c>
      <c r="K2187" s="93">
        <v>6625</v>
      </c>
      <c r="L2187" s="93">
        <v>6625</v>
      </c>
      <c r="M2187" s="93">
        <v>6625</v>
      </c>
      <c r="N2187" s="93">
        <v>6625</v>
      </c>
      <c r="O2187" s="93">
        <v>6625</v>
      </c>
      <c r="P2187" s="93">
        <v>6625</v>
      </c>
      <c r="Q2187" s="93">
        <v>6625</v>
      </c>
      <c r="R2187" s="93">
        <v>6625</v>
      </c>
      <c r="S2187" s="93">
        <v>6625</v>
      </c>
      <c r="T2187" s="93">
        <v>6625</v>
      </c>
      <c r="U2187" s="93">
        <v>6625</v>
      </c>
      <c r="V2187" s="93">
        <v>6625</v>
      </c>
      <c r="W2187" s="93">
        <v>6625</v>
      </c>
      <c r="X2187" s="93">
        <v>6625</v>
      </c>
      <c r="Y2187" s="93">
        <v>6625</v>
      </c>
      <c r="Z2187" s="93">
        <v>6625</v>
      </c>
      <c r="AA2187" s="93">
        <v>6625</v>
      </c>
      <c r="AB2187" s="93">
        <v>6625</v>
      </c>
      <c r="AC2187" s="93">
        <v>6625</v>
      </c>
      <c r="AD2187" s="93">
        <v>6625</v>
      </c>
      <c r="AE2187" s="93">
        <v>6625</v>
      </c>
      <c r="AF2187" s="93">
        <v>6625</v>
      </c>
      <c r="AG2187" s="93">
        <v>6625</v>
      </c>
      <c r="AH2187" s="93">
        <v>6625</v>
      </c>
      <c r="AI2187" s="93">
        <v>6625</v>
      </c>
      <c r="AJ2187" s="93">
        <v>6625</v>
      </c>
      <c r="AK2187" s="93">
        <v>6625</v>
      </c>
      <c r="AL2187" s="93">
        <v>6625</v>
      </c>
      <c r="AM2187" s="93">
        <v>6625</v>
      </c>
      <c r="AN2187" s="93">
        <v>6625</v>
      </c>
      <c r="AO2187" s="93">
        <v>6625</v>
      </c>
      <c r="AP2187" s="93">
        <v>6625</v>
      </c>
      <c r="AQ2187" s="93">
        <v>6625</v>
      </c>
      <c r="AR2187" s="93">
        <v>6625</v>
      </c>
      <c r="AS2187" s="93">
        <v>6625</v>
      </c>
      <c r="AT2187" s="93">
        <v>6625</v>
      </c>
      <c r="AU2187" s="93">
        <v>6625</v>
      </c>
      <c r="AV2187" s="93">
        <v>6625</v>
      </c>
      <c r="AW2187" s="93">
        <v>6625</v>
      </c>
      <c r="AX2187" s="94">
        <v>6625</v>
      </c>
    </row>
    <row r="2188" spans="1:50" x14ac:dyDescent="0.25">
      <c r="A2188" s="356"/>
      <c r="B2188" s="359"/>
      <c r="C2188" s="350"/>
      <c r="D2188" s="2" t="s">
        <v>8</v>
      </c>
      <c r="E2188" s="160" t="str">
        <f>A2169&amp;"/"&amp;B2187&amp;"/"&amp;C2187&amp;"/"&amp;D2188</f>
        <v>Gas fired power plants (Natural gas, biogas)/Steam turbine/Electricity only/M</v>
      </c>
      <c r="F2188" s="76" t="str">
        <f>A2169</f>
        <v>Gas fired power plants (Natural gas, biogas)</v>
      </c>
      <c r="G2188" s="76" t="str">
        <f>B2187</f>
        <v>Steam turbine</v>
      </c>
      <c r="H2188" s="76" t="str">
        <f>C2187</f>
        <v>Electricity only</v>
      </c>
      <c r="I2188" s="161" t="str">
        <f t="shared" si="114"/>
        <v>M</v>
      </c>
      <c r="J2188" s="91">
        <v>6090.846789202752</v>
      </c>
      <c r="K2188" s="91">
        <v>6090.846789202752</v>
      </c>
      <c r="L2188" s="91">
        <v>6090.846789202752</v>
      </c>
      <c r="M2188" s="91">
        <v>6090.846789202752</v>
      </c>
      <c r="N2188" s="91">
        <v>6090.846789202752</v>
      </c>
      <c r="O2188" s="91">
        <v>6090.846789202752</v>
      </c>
      <c r="P2188" s="91">
        <v>6090.846789202752</v>
      </c>
      <c r="Q2188" s="91">
        <v>6090.846789202752</v>
      </c>
      <c r="R2188" s="91">
        <v>6090.846789202752</v>
      </c>
      <c r="S2188" s="91">
        <v>6090.846789202752</v>
      </c>
      <c r="T2188" s="91">
        <v>6090.846789202752</v>
      </c>
      <c r="U2188" s="91">
        <v>6090.846789202752</v>
      </c>
      <c r="V2188" s="91">
        <v>6090.846789202752</v>
      </c>
      <c r="W2188" s="91">
        <v>6090.846789202752</v>
      </c>
      <c r="X2188" s="91">
        <v>6090.846789202752</v>
      </c>
      <c r="Y2188" s="91">
        <v>6090.846789202752</v>
      </c>
      <c r="Z2188" s="91">
        <v>6090.846789202752</v>
      </c>
      <c r="AA2188" s="91">
        <v>6090.846789202752</v>
      </c>
      <c r="AB2188" s="91">
        <v>6090.846789202752</v>
      </c>
      <c r="AC2188" s="91">
        <v>6090.846789202752</v>
      </c>
      <c r="AD2188" s="91">
        <v>6090.846789202752</v>
      </c>
      <c r="AE2188" s="91">
        <v>6090.846789202752</v>
      </c>
      <c r="AF2188" s="91">
        <v>6090.846789202752</v>
      </c>
      <c r="AG2188" s="91">
        <v>6090.846789202752</v>
      </c>
      <c r="AH2188" s="91">
        <v>6090.846789202752</v>
      </c>
      <c r="AI2188" s="91">
        <v>6090.846789202752</v>
      </c>
      <c r="AJ2188" s="91">
        <v>6090.846789202752</v>
      </c>
      <c r="AK2188" s="91">
        <v>6090.846789202752</v>
      </c>
      <c r="AL2188" s="91">
        <v>6090.846789202752</v>
      </c>
      <c r="AM2188" s="91">
        <v>6090.846789202752</v>
      </c>
      <c r="AN2188" s="91">
        <v>6090.846789202752</v>
      </c>
      <c r="AO2188" s="91">
        <v>6090.846789202752</v>
      </c>
      <c r="AP2188" s="91">
        <v>6090.846789202752</v>
      </c>
      <c r="AQ2188" s="91">
        <v>6090.846789202752</v>
      </c>
      <c r="AR2188" s="91">
        <v>6090.846789202752</v>
      </c>
      <c r="AS2188" s="91">
        <v>6090.846789202752</v>
      </c>
      <c r="AT2188" s="91">
        <v>6090.846789202752</v>
      </c>
      <c r="AU2188" s="91">
        <v>6090.846789202752</v>
      </c>
      <c r="AV2188" s="91">
        <v>6090.846789202752</v>
      </c>
      <c r="AW2188" s="91">
        <v>6090.846789202752</v>
      </c>
      <c r="AX2188" s="92">
        <v>6090.846789202752</v>
      </c>
    </row>
    <row r="2189" spans="1:50" x14ac:dyDescent="0.25">
      <c r="A2189" s="356"/>
      <c r="B2189" s="359"/>
      <c r="C2189" s="350"/>
      <c r="D2189" s="2" t="s">
        <v>10</v>
      </c>
      <c r="E2189" s="160" t="str">
        <f>A2169&amp;"/"&amp;B2187&amp;"/"&amp;C2187&amp;"/"&amp;D2189</f>
        <v>Gas fired power plants (Natural gas, biogas)/Steam turbine/Electricity only/S</v>
      </c>
      <c r="F2189" s="76" t="str">
        <f>A2169</f>
        <v>Gas fired power plants (Natural gas, biogas)</v>
      </c>
      <c r="G2189" s="76" t="str">
        <f>B2187</f>
        <v>Steam turbine</v>
      </c>
      <c r="H2189" s="76" t="str">
        <f>C2187</f>
        <v>Electricity only</v>
      </c>
      <c r="I2189" s="161" t="str">
        <f t="shared" si="114"/>
        <v>S</v>
      </c>
      <c r="J2189" s="91">
        <v>5481.0074049504501</v>
      </c>
      <c r="K2189" s="91">
        <v>5481.0074049504501</v>
      </c>
      <c r="L2189" s="91">
        <v>5481.0074049504501</v>
      </c>
      <c r="M2189" s="91">
        <v>5481.0074049504501</v>
      </c>
      <c r="N2189" s="91">
        <v>5481.0074049504501</v>
      </c>
      <c r="O2189" s="91">
        <v>5481.0074049504501</v>
      </c>
      <c r="P2189" s="91">
        <v>5481.0074049504501</v>
      </c>
      <c r="Q2189" s="91">
        <v>5481.0074049504501</v>
      </c>
      <c r="R2189" s="91">
        <v>5481.0074049504501</v>
      </c>
      <c r="S2189" s="91">
        <v>5481.0074049504501</v>
      </c>
      <c r="T2189" s="91">
        <v>5481.0074049504501</v>
      </c>
      <c r="U2189" s="91">
        <v>5481.0074049504501</v>
      </c>
      <c r="V2189" s="91">
        <v>5481.0074049504501</v>
      </c>
      <c r="W2189" s="91">
        <v>5481.0074049504501</v>
      </c>
      <c r="X2189" s="91">
        <v>5481.0074049504501</v>
      </c>
      <c r="Y2189" s="91">
        <v>5481.0074049504501</v>
      </c>
      <c r="Z2189" s="91">
        <v>5481.0074049504501</v>
      </c>
      <c r="AA2189" s="91">
        <v>5481.0074049504501</v>
      </c>
      <c r="AB2189" s="91">
        <v>5481.0074049504501</v>
      </c>
      <c r="AC2189" s="91">
        <v>5481.0074049504501</v>
      </c>
      <c r="AD2189" s="91">
        <v>5481.0074049504501</v>
      </c>
      <c r="AE2189" s="91">
        <v>5481.0074049504501</v>
      </c>
      <c r="AF2189" s="91">
        <v>5481.0074049504501</v>
      </c>
      <c r="AG2189" s="91">
        <v>5481.0074049504501</v>
      </c>
      <c r="AH2189" s="91">
        <v>5481.0074049504501</v>
      </c>
      <c r="AI2189" s="91">
        <v>5481.0074049504501</v>
      </c>
      <c r="AJ2189" s="91">
        <v>5481.0074049504501</v>
      </c>
      <c r="AK2189" s="91">
        <v>5481.0074049504501</v>
      </c>
      <c r="AL2189" s="91">
        <v>5481.0074049504501</v>
      </c>
      <c r="AM2189" s="91">
        <v>5481.0074049504501</v>
      </c>
      <c r="AN2189" s="91">
        <v>5481.0074049504501</v>
      </c>
      <c r="AO2189" s="91">
        <v>5481.0074049504501</v>
      </c>
      <c r="AP2189" s="91">
        <v>5481.0074049504501</v>
      </c>
      <c r="AQ2189" s="91">
        <v>5481.0074049504501</v>
      </c>
      <c r="AR2189" s="91">
        <v>5481.0074049504501</v>
      </c>
      <c r="AS2189" s="91">
        <v>5481.0074049504501</v>
      </c>
      <c r="AT2189" s="91">
        <v>5481.0074049504501</v>
      </c>
      <c r="AU2189" s="91">
        <v>5481.0074049504501</v>
      </c>
      <c r="AV2189" s="91">
        <v>5481.0074049504501</v>
      </c>
      <c r="AW2189" s="91">
        <v>5481.0074049504501</v>
      </c>
      <c r="AX2189" s="92">
        <v>5481.0074049504501</v>
      </c>
    </row>
    <row r="2190" spans="1:50" x14ac:dyDescent="0.25">
      <c r="A2190" s="356"/>
      <c r="B2190" s="359"/>
      <c r="C2190" s="360"/>
      <c r="D2190" s="2" t="s">
        <v>20</v>
      </c>
      <c r="E2190" s="160" t="str">
        <f>A2169&amp;"/"&amp;B2187&amp;"/"&amp;C2187&amp;"/"&amp;D2190</f>
        <v>Gas fired power plants (Natural gas, biogas)/Steam turbine/Electricity only/XS</v>
      </c>
      <c r="F2190" s="76" t="str">
        <f>A2169</f>
        <v>Gas fired power plants (Natural gas, biogas)</v>
      </c>
      <c r="G2190" s="76" t="str">
        <f>B2187</f>
        <v>Steam turbine</v>
      </c>
      <c r="H2190" s="76" t="str">
        <f>C2187</f>
        <v>Electricity only</v>
      </c>
      <c r="I2190" s="161" t="str">
        <f t="shared" si="114"/>
        <v>XS</v>
      </c>
      <c r="J2190" s="91">
        <v>5171.1878665409131</v>
      </c>
      <c r="K2190" s="91">
        <v>5171.1878665409131</v>
      </c>
      <c r="L2190" s="91">
        <v>5171.1878665409131</v>
      </c>
      <c r="M2190" s="91">
        <v>5171.1878665409131</v>
      </c>
      <c r="N2190" s="91">
        <v>5171.1878665409131</v>
      </c>
      <c r="O2190" s="91">
        <v>5171.1878665409131</v>
      </c>
      <c r="P2190" s="91">
        <v>5171.1878665409131</v>
      </c>
      <c r="Q2190" s="91">
        <v>5171.1878665409131</v>
      </c>
      <c r="R2190" s="91">
        <v>5171.1878665409131</v>
      </c>
      <c r="S2190" s="91">
        <v>5171.1878665409131</v>
      </c>
      <c r="T2190" s="91">
        <v>5171.1878665409131</v>
      </c>
      <c r="U2190" s="91">
        <v>5171.1878665409131</v>
      </c>
      <c r="V2190" s="91">
        <v>5171.1878665409131</v>
      </c>
      <c r="W2190" s="91">
        <v>5171.1878665409131</v>
      </c>
      <c r="X2190" s="91">
        <v>5171.1878665409131</v>
      </c>
      <c r="Y2190" s="91">
        <v>5171.1878665409131</v>
      </c>
      <c r="Z2190" s="91">
        <v>5171.1878665409131</v>
      </c>
      <c r="AA2190" s="91">
        <v>5171.1878665409131</v>
      </c>
      <c r="AB2190" s="91">
        <v>5171.1878665409131</v>
      </c>
      <c r="AC2190" s="91">
        <v>5171.1878665409131</v>
      </c>
      <c r="AD2190" s="91">
        <v>5171.1878665409131</v>
      </c>
      <c r="AE2190" s="91">
        <v>5171.1878665409131</v>
      </c>
      <c r="AF2190" s="91">
        <v>5171.1878665409131</v>
      </c>
      <c r="AG2190" s="91">
        <v>5171.1878665409131</v>
      </c>
      <c r="AH2190" s="91">
        <v>5171.1878665409131</v>
      </c>
      <c r="AI2190" s="91">
        <v>5171.1878665409131</v>
      </c>
      <c r="AJ2190" s="91">
        <v>5171.1878665409131</v>
      </c>
      <c r="AK2190" s="91">
        <v>5171.1878665409131</v>
      </c>
      <c r="AL2190" s="91">
        <v>5171.1878665409131</v>
      </c>
      <c r="AM2190" s="91">
        <v>5171.1878665409131</v>
      </c>
      <c r="AN2190" s="91">
        <v>5171.1878665409131</v>
      </c>
      <c r="AO2190" s="91">
        <v>5171.1878665409131</v>
      </c>
      <c r="AP2190" s="91">
        <v>5171.1878665409131</v>
      </c>
      <c r="AQ2190" s="91">
        <v>5171.1878665409131</v>
      </c>
      <c r="AR2190" s="91">
        <v>5171.1878665409131</v>
      </c>
      <c r="AS2190" s="91">
        <v>5171.1878665409131</v>
      </c>
      <c r="AT2190" s="91">
        <v>5171.1878665409131</v>
      </c>
      <c r="AU2190" s="91">
        <v>5171.1878665409131</v>
      </c>
      <c r="AV2190" s="91">
        <v>5171.1878665409131</v>
      </c>
      <c r="AW2190" s="91">
        <v>5171.1878665409131</v>
      </c>
      <c r="AX2190" s="92">
        <v>5171.1878665409131</v>
      </c>
    </row>
    <row r="2191" spans="1:50" x14ac:dyDescent="0.25">
      <c r="A2191" s="356"/>
      <c r="B2191" s="359"/>
      <c r="C2191" s="361" t="s">
        <v>14</v>
      </c>
      <c r="D2191" s="58" t="s">
        <v>7</v>
      </c>
      <c r="E2191" s="164" t="str">
        <f>A2169&amp;"/"&amp;B2187&amp;"/"&amp;C2191&amp;"/"&amp;D2191</f>
        <v>Gas fired power plants (Natural gas, biogas)/Steam turbine/CHP/L</v>
      </c>
      <c r="F2191" s="78" t="str">
        <f>A2169</f>
        <v>Gas fired power plants (Natural gas, biogas)</v>
      </c>
      <c r="G2191" s="78" t="str">
        <f>B2187</f>
        <v>Steam turbine</v>
      </c>
      <c r="H2191" s="78" t="str">
        <f>C2191</f>
        <v>CHP</v>
      </c>
      <c r="I2191" s="165" t="str">
        <f t="shared" si="114"/>
        <v>L</v>
      </c>
      <c r="J2191" s="95">
        <v>5993.75</v>
      </c>
      <c r="K2191" s="95">
        <v>5993.75</v>
      </c>
      <c r="L2191" s="95">
        <v>5993.75</v>
      </c>
      <c r="M2191" s="95">
        <v>5993.75</v>
      </c>
      <c r="N2191" s="95">
        <v>5993.75</v>
      </c>
      <c r="O2191" s="95">
        <v>5993.75</v>
      </c>
      <c r="P2191" s="95">
        <v>5993.75</v>
      </c>
      <c r="Q2191" s="95">
        <v>5993.75</v>
      </c>
      <c r="R2191" s="95">
        <v>5993.75</v>
      </c>
      <c r="S2191" s="95">
        <v>5993.75</v>
      </c>
      <c r="T2191" s="95">
        <v>5993.75</v>
      </c>
      <c r="U2191" s="95">
        <v>5993.75</v>
      </c>
      <c r="V2191" s="95">
        <v>5993.75</v>
      </c>
      <c r="W2191" s="95">
        <v>5993.75</v>
      </c>
      <c r="X2191" s="95">
        <v>5993.75</v>
      </c>
      <c r="Y2191" s="95">
        <v>5993.75</v>
      </c>
      <c r="Z2191" s="95">
        <v>5993.75</v>
      </c>
      <c r="AA2191" s="95">
        <v>5993.75</v>
      </c>
      <c r="AB2191" s="95">
        <v>5993.75</v>
      </c>
      <c r="AC2191" s="95">
        <v>5993.75</v>
      </c>
      <c r="AD2191" s="95">
        <v>5993.75</v>
      </c>
      <c r="AE2191" s="95">
        <v>5993.75</v>
      </c>
      <c r="AF2191" s="95">
        <v>5993.75</v>
      </c>
      <c r="AG2191" s="95">
        <v>5993.75</v>
      </c>
      <c r="AH2191" s="95">
        <v>5993.75</v>
      </c>
      <c r="AI2191" s="95">
        <v>5993.75</v>
      </c>
      <c r="AJ2191" s="95">
        <v>5993.75</v>
      </c>
      <c r="AK2191" s="95">
        <v>5993.75</v>
      </c>
      <c r="AL2191" s="95">
        <v>5993.75</v>
      </c>
      <c r="AM2191" s="95">
        <v>5993.75</v>
      </c>
      <c r="AN2191" s="95">
        <v>5993.75</v>
      </c>
      <c r="AO2191" s="95">
        <v>5993.75</v>
      </c>
      <c r="AP2191" s="95">
        <v>5993.75</v>
      </c>
      <c r="AQ2191" s="95">
        <v>5993.75</v>
      </c>
      <c r="AR2191" s="95">
        <v>5993.75</v>
      </c>
      <c r="AS2191" s="95">
        <v>5993.75</v>
      </c>
      <c r="AT2191" s="95">
        <v>5993.75</v>
      </c>
      <c r="AU2191" s="95">
        <v>5993.75</v>
      </c>
      <c r="AV2191" s="95">
        <v>5993.75</v>
      </c>
      <c r="AW2191" s="95">
        <v>5993.75</v>
      </c>
      <c r="AX2191" s="96">
        <v>5993.75</v>
      </c>
    </row>
    <row r="2192" spans="1:50" x14ac:dyDescent="0.25">
      <c r="A2192" s="356"/>
      <c r="B2192" s="359"/>
      <c r="C2192" s="350"/>
      <c r="D2192" s="2" t="s">
        <v>8</v>
      </c>
      <c r="E2192" s="160" t="str">
        <f>A2169&amp;"/"&amp;B2187&amp;"/"&amp;C2191&amp;"/"&amp;D2192</f>
        <v>Gas fired power plants (Natural gas, biogas)/Steam turbine/CHP/M</v>
      </c>
      <c r="F2192" s="76" t="str">
        <f>A2169</f>
        <v>Gas fired power plants (Natural gas, biogas)</v>
      </c>
      <c r="G2192" s="76" t="str">
        <f>B2187</f>
        <v>Steam turbine</v>
      </c>
      <c r="H2192" s="76" t="str">
        <f>C2191</f>
        <v>CHP</v>
      </c>
      <c r="I2192" s="161" t="str">
        <f t="shared" si="114"/>
        <v>M</v>
      </c>
      <c r="J2192" s="91">
        <v>5523.8975519962278</v>
      </c>
      <c r="K2192" s="91">
        <v>5523.8975519962278</v>
      </c>
      <c r="L2192" s="91">
        <v>5523.8975519962278</v>
      </c>
      <c r="M2192" s="91">
        <v>5523.8975519962278</v>
      </c>
      <c r="N2192" s="91">
        <v>5523.8975519962278</v>
      </c>
      <c r="O2192" s="91">
        <v>5523.8975519962278</v>
      </c>
      <c r="P2192" s="91">
        <v>5523.8975519962278</v>
      </c>
      <c r="Q2192" s="91">
        <v>5523.8975519962278</v>
      </c>
      <c r="R2192" s="91">
        <v>5523.8975519962278</v>
      </c>
      <c r="S2192" s="91">
        <v>5523.8975519962278</v>
      </c>
      <c r="T2192" s="91">
        <v>5523.8975519962278</v>
      </c>
      <c r="U2192" s="91">
        <v>5523.8975519962278</v>
      </c>
      <c r="V2192" s="91">
        <v>5523.8975519962278</v>
      </c>
      <c r="W2192" s="91">
        <v>5523.8975519962278</v>
      </c>
      <c r="X2192" s="91">
        <v>5523.8975519962278</v>
      </c>
      <c r="Y2192" s="91">
        <v>5523.8975519962278</v>
      </c>
      <c r="Z2192" s="91">
        <v>5523.8975519962278</v>
      </c>
      <c r="AA2192" s="91">
        <v>5523.8975519962278</v>
      </c>
      <c r="AB2192" s="91">
        <v>5523.8975519962278</v>
      </c>
      <c r="AC2192" s="91">
        <v>5523.8975519962278</v>
      </c>
      <c r="AD2192" s="91">
        <v>5523.8975519962278</v>
      </c>
      <c r="AE2192" s="91">
        <v>5523.8975519962278</v>
      </c>
      <c r="AF2192" s="91">
        <v>5523.8975519962278</v>
      </c>
      <c r="AG2192" s="91">
        <v>5523.8975519962278</v>
      </c>
      <c r="AH2192" s="91">
        <v>5523.8975519962278</v>
      </c>
      <c r="AI2192" s="91">
        <v>5523.8975519962278</v>
      </c>
      <c r="AJ2192" s="91">
        <v>5523.8975519962278</v>
      </c>
      <c r="AK2192" s="91">
        <v>5523.8975519962278</v>
      </c>
      <c r="AL2192" s="91">
        <v>5523.8975519962278</v>
      </c>
      <c r="AM2192" s="91">
        <v>5523.8975519962278</v>
      </c>
      <c r="AN2192" s="91">
        <v>5523.8975519962278</v>
      </c>
      <c r="AO2192" s="91">
        <v>5523.8975519962278</v>
      </c>
      <c r="AP2192" s="91">
        <v>5523.8975519962278</v>
      </c>
      <c r="AQ2192" s="91">
        <v>5523.8975519962278</v>
      </c>
      <c r="AR2192" s="91">
        <v>5523.8975519962278</v>
      </c>
      <c r="AS2192" s="91">
        <v>5523.8975519962278</v>
      </c>
      <c r="AT2192" s="91">
        <v>5523.8975519962278</v>
      </c>
      <c r="AU2192" s="91">
        <v>5523.8975519962278</v>
      </c>
      <c r="AV2192" s="91">
        <v>5523.8975519962278</v>
      </c>
      <c r="AW2192" s="91">
        <v>5523.8975519962278</v>
      </c>
      <c r="AX2192" s="92">
        <v>5523.8975519962278</v>
      </c>
    </row>
    <row r="2193" spans="1:50" x14ac:dyDescent="0.25">
      <c r="A2193" s="356"/>
      <c r="B2193" s="359"/>
      <c r="C2193" s="350"/>
      <c r="D2193" s="2" t="s">
        <v>10</v>
      </c>
      <c r="E2193" s="160" t="str">
        <f>A2169&amp;"/"&amp;B2187&amp;"/"&amp;C2191&amp;"/"&amp;D2193</f>
        <v>Gas fired power plants (Natural gas, biogas)/Steam turbine/CHP/S</v>
      </c>
      <c r="F2193" s="76" t="str">
        <f>A2169</f>
        <v>Gas fired power plants (Natural gas, biogas)</v>
      </c>
      <c r="G2193" s="76" t="str">
        <f>B2187</f>
        <v>Steam turbine</v>
      </c>
      <c r="H2193" s="76" t="str">
        <f>C2191</f>
        <v>CHP</v>
      </c>
      <c r="I2193" s="161" t="str">
        <f t="shared" si="114"/>
        <v>S</v>
      </c>
      <c r="J2193" s="91">
        <v>4986.1504578575768</v>
      </c>
      <c r="K2193" s="91">
        <v>4986.1504578575768</v>
      </c>
      <c r="L2193" s="91">
        <v>4986.1504578575768</v>
      </c>
      <c r="M2193" s="91">
        <v>4986.1504578575768</v>
      </c>
      <c r="N2193" s="91">
        <v>4986.1504578575768</v>
      </c>
      <c r="O2193" s="91">
        <v>4986.1504578575768</v>
      </c>
      <c r="P2193" s="91">
        <v>4986.1504578575768</v>
      </c>
      <c r="Q2193" s="91">
        <v>4986.1504578575768</v>
      </c>
      <c r="R2193" s="91">
        <v>4986.1504578575768</v>
      </c>
      <c r="S2193" s="91">
        <v>4986.1504578575768</v>
      </c>
      <c r="T2193" s="91">
        <v>4986.1504578575768</v>
      </c>
      <c r="U2193" s="91">
        <v>4986.1504578575768</v>
      </c>
      <c r="V2193" s="91">
        <v>4986.1504578575768</v>
      </c>
      <c r="W2193" s="91">
        <v>4986.1504578575768</v>
      </c>
      <c r="X2193" s="91">
        <v>4986.1504578575768</v>
      </c>
      <c r="Y2193" s="91">
        <v>4986.1504578575768</v>
      </c>
      <c r="Z2193" s="91">
        <v>4986.1504578575768</v>
      </c>
      <c r="AA2193" s="91">
        <v>4986.1504578575768</v>
      </c>
      <c r="AB2193" s="91">
        <v>4986.1504578575768</v>
      </c>
      <c r="AC2193" s="91">
        <v>4986.1504578575768</v>
      </c>
      <c r="AD2193" s="91">
        <v>4986.1504578575768</v>
      </c>
      <c r="AE2193" s="91">
        <v>4986.1504578575768</v>
      </c>
      <c r="AF2193" s="91">
        <v>4986.1504578575768</v>
      </c>
      <c r="AG2193" s="91">
        <v>4986.1504578575768</v>
      </c>
      <c r="AH2193" s="91">
        <v>4986.1504578575768</v>
      </c>
      <c r="AI2193" s="91">
        <v>4986.1504578575768</v>
      </c>
      <c r="AJ2193" s="91">
        <v>4986.1504578575768</v>
      </c>
      <c r="AK2193" s="91">
        <v>4986.1504578575768</v>
      </c>
      <c r="AL2193" s="91">
        <v>4986.1504578575768</v>
      </c>
      <c r="AM2193" s="91">
        <v>4986.1504578575768</v>
      </c>
      <c r="AN2193" s="91">
        <v>4986.1504578575768</v>
      </c>
      <c r="AO2193" s="91">
        <v>4986.1504578575768</v>
      </c>
      <c r="AP2193" s="91">
        <v>4986.1504578575768</v>
      </c>
      <c r="AQ2193" s="91">
        <v>4986.1504578575768</v>
      </c>
      <c r="AR2193" s="91">
        <v>4986.1504578575768</v>
      </c>
      <c r="AS2193" s="91">
        <v>4986.1504578575768</v>
      </c>
      <c r="AT2193" s="91">
        <v>4986.1504578575768</v>
      </c>
      <c r="AU2193" s="91">
        <v>4986.1504578575768</v>
      </c>
      <c r="AV2193" s="91">
        <v>4986.1504578575768</v>
      </c>
      <c r="AW2193" s="91">
        <v>4986.1504578575768</v>
      </c>
      <c r="AX2193" s="92">
        <v>4986.1504578575768</v>
      </c>
    </row>
    <row r="2194" spans="1:50" x14ac:dyDescent="0.25">
      <c r="A2194" s="356"/>
      <c r="B2194" s="359"/>
      <c r="C2194" s="360"/>
      <c r="D2194" s="59" t="s">
        <v>20</v>
      </c>
      <c r="E2194" s="166" t="str">
        <f>A2169&amp;"/"&amp;B2187&amp;"/"&amp;C2191&amp;"/"&amp;D2194</f>
        <v>Gas fired power plants (Natural gas, biogas)/Steam turbine/CHP/XS</v>
      </c>
      <c r="F2194" s="79" t="str">
        <f>A2169</f>
        <v>Gas fired power plants (Natural gas, biogas)</v>
      </c>
      <c r="G2194" s="79" t="str">
        <f>B2187</f>
        <v>Steam turbine</v>
      </c>
      <c r="H2194" s="79" t="str">
        <f>C2191</f>
        <v>CHP</v>
      </c>
      <c r="I2194" s="167" t="str">
        <f t="shared" si="114"/>
        <v>XS</v>
      </c>
      <c r="J2194" s="97">
        <v>4712.3365851943572</v>
      </c>
      <c r="K2194" s="97">
        <v>4712.3365851943572</v>
      </c>
      <c r="L2194" s="97">
        <v>4712.3365851943572</v>
      </c>
      <c r="M2194" s="97">
        <v>4712.3365851943572</v>
      </c>
      <c r="N2194" s="97">
        <v>4712.3365851943572</v>
      </c>
      <c r="O2194" s="97">
        <v>4712.3365851943572</v>
      </c>
      <c r="P2194" s="97">
        <v>4712.3365851943572</v>
      </c>
      <c r="Q2194" s="97">
        <v>4712.3365851943572</v>
      </c>
      <c r="R2194" s="97">
        <v>4712.3365851943572</v>
      </c>
      <c r="S2194" s="97">
        <v>4712.3365851943572</v>
      </c>
      <c r="T2194" s="97">
        <v>4712.3365851943572</v>
      </c>
      <c r="U2194" s="97">
        <v>4712.3365851943572</v>
      </c>
      <c r="V2194" s="97">
        <v>4712.3365851943572</v>
      </c>
      <c r="W2194" s="97">
        <v>4712.3365851943572</v>
      </c>
      <c r="X2194" s="97">
        <v>4712.3365851943572</v>
      </c>
      <c r="Y2194" s="97">
        <v>4712.3365851943572</v>
      </c>
      <c r="Z2194" s="97">
        <v>4712.3365851943572</v>
      </c>
      <c r="AA2194" s="97">
        <v>4712.3365851943572</v>
      </c>
      <c r="AB2194" s="97">
        <v>4712.3365851943572</v>
      </c>
      <c r="AC2194" s="97">
        <v>4712.3365851943572</v>
      </c>
      <c r="AD2194" s="97">
        <v>4712.3365851943572</v>
      </c>
      <c r="AE2194" s="97">
        <v>4712.3365851943572</v>
      </c>
      <c r="AF2194" s="97">
        <v>4712.3365851943572</v>
      </c>
      <c r="AG2194" s="97">
        <v>4712.3365851943572</v>
      </c>
      <c r="AH2194" s="97">
        <v>4712.3365851943572</v>
      </c>
      <c r="AI2194" s="97">
        <v>4712.3365851943572</v>
      </c>
      <c r="AJ2194" s="97">
        <v>4712.3365851943572</v>
      </c>
      <c r="AK2194" s="97">
        <v>4712.3365851943572</v>
      </c>
      <c r="AL2194" s="97">
        <v>4712.3365851943572</v>
      </c>
      <c r="AM2194" s="97">
        <v>4712.3365851943572</v>
      </c>
      <c r="AN2194" s="97">
        <v>4712.3365851943572</v>
      </c>
      <c r="AO2194" s="97">
        <v>4712.3365851943572</v>
      </c>
      <c r="AP2194" s="97">
        <v>4712.3365851943572</v>
      </c>
      <c r="AQ2194" s="97">
        <v>4712.3365851943572</v>
      </c>
      <c r="AR2194" s="97">
        <v>4712.3365851943572</v>
      </c>
      <c r="AS2194" s="97">
        <v>4712.3365851943572</v>
      </c>
      <c r="AT2194" s="97">
        <v>4712.3365851943572</v>
      </c>
      <c r="AU2194" s="97">
        <v>4712.3365851943572</v>
      </c>
      <c r="AV2194" s="97">
        <v>4712.3365851943572</v>
      </c>
      <c r="AW2194" s="97">
        <v>4712.3365851943572</v>
      </c>
      <c r="AX2194" s="98">
        <v>4712.3365851943572</v>
      </c>
    </row>
    <row r="2195" spans="1:50" x14ac:dyDescent="0.25">
      <c r="A2195" s="356"/>
      <c r="B2195" s="359"/>
      <c r="C2195" s="361" t="s">
        <v>15</v>
      </c>
      <c r="D2195" s="58" t="s">
        <v>7</v>
      </c>
      <c r="E2195" s="164" t="str">
        <f>A2169&amp;"/"&amp;B2187&amp;"/"&amp;C2195&amp;"/"&amp;D2195</f>
        <v>Gas fired power plants (Natural gas, biogas)/Steam turbine/Electricity only with CCS/L</v>
      </c>
      <c r="F2195" s="78" t="str">
        <f>A2169</f>
        <v>Gas fired power plants (Natural gas, biogas)</v>
      </c>
      <c r="G2195" s="78" t="str">
        <f>B2187</f>
        <v>Steam turbine</v>
      </c>
      <c r="H2195" s="78" t="str">
        <f>C2195</f>
        <v>Electricity only with CCS</v>
      </c>
      <c r="I2195" s="165" t="str">
        <f t="shared" si="114"/>
        <v>L</v>
      </c>
      <c r="J2195" s="95" t="s">
        <v>112</v>
      </c>
      <c r="K2195" s="95" t="s">
        <v>112</v>
      </c>
      <c r="L2195" s="95" t="s">
        <v>112</v>
      </c>
      <c r="M2195" s="95" t="s">
        <v>112</v>
      </c>
      <c r="N2195" s="95" t="s">
        <v>112</v>
      </c>
      <c r="O2195" s="95" t="s">
        <v>112</v>
      </c>
      <c r="P2195" s="95" t="s">
        <v>112</v>
      </c>
      <c r="Q2195" s="95" t="s">
        <v>112</v>
      </c>
      <c r="R2195" s="95" t="s">
        <v>112</v>
      </c>
      <c r="S2195" s="95" t="s">
        <v>112</v>
      </c>
      <c r="T2195" s="95" t="s">
        <v>112</v>
      </c>
      <c r="U2195" s="95" t="s">
        <v>112</v>
      </c>
      <c r="V2195" s="95" t="s">
        <v>112</v>
      </c>
      <c r="W2195" s="95" t="s">
        <v>112</v>
      </c>
      <c r="X2195" s="95" t="s">
        <v>112</v>
      </c>
      <c r="Y2195" s="95" t="s">
        <v>112</v>
      </c>
      <c r="Z2195" s="95" t="s">
        <v>112</v>
      </c>
      <c r="AA2195" s="95" t="s">
        <v>112</v>
      </c>
      <c r="AB2195" s="95" t="s">
        <v>112</v>
      </c>
      <c r="AC2195" s="95" t="s">
        <v>112</v>
      </c>
      <c r="AD2195" s="95" t="s">
        <v>112</v>
      </c>
      <c r="AE2195" s="95">
        <v>6625</v>
      </c>
      <c r="AF2195" s="95">
        <v>6625</v>
      </c>
      <c r="AG2195" s="95">
        <v>6625</v>
      </c>
      <c r="AH2195" s="95">
        <v>6625</v>
      </c>
      <c r="AI2195" s="95">
        <v>6625</v>
      </c>
      <c r="AJ2195" s="95">
        <v>6625</v>
      </c>
      <c r="AK2195" s="95">
        <v>6625</v>
      </c>
      <c r="AL2195" s="95">
        <v>6625</v>
      </c>
      <c r="AM2195" s="95">
        <v>6625</v>
      </c>
      <c r="AN2195" s="95">
        <v>6625</v>
      </c>
      <c r="AO2195" s="95">
        <v>6625</v>
      </c>
      <c r="AP2195" s="95">
        <v>6625</v>
      </c>
      <c r="AQ2195" s="95">
        <v>6625</v>
      </c>
      <c r="AR2195" s="95">
        <v>6625</v>
      </c>
      <c r="AS2195" s="95">
        <v>6625</v>
      </c>
      <c r="AT2195" s="95">
        <v>6625</v>
      </c>
      <c r="AU2195" s="95">
        <v>6625</v>
      </c>
      <c r="AV2195" s="95">
        <v>6625</v>
      </c>
      <c r="AW2195" s="95">
        <v>6625</v>
      </c>
      <c r="AX2195" s="96">
        <v>6625</v>
      </c>
    </row>
    <row r="2196" spans="1:50" x14ac:dyDescent="0.25">
      <c r="A2196" s="356"/>
      <c r="B2196" s="359"/>
      <c r="C2196" s="360"/>
      <c r="D2196" s="59" t="s">
        <v>8</v>
      </c>
      <c r="E2196" s="166" t="str">
        <f>A2169&amp;"/"&amp;B2187&amp;"/"&amp;C2195&amp;"/"&amp;D2196</f>
        <v>Gas fired power plants (Natural gas, biogas)/Steam turbine/Electricity only with CCS/M</v>
      </c>
      <c r="F2196" s="79" t="str">
        <f>A2169</f>
        <v>Gas fired power plants (Natural gas, biogas)</v>
      </c>
      <c r="G2196" s="79" t="str">
        <f>B2187</f>
        <v>Steam turbine</v>
      </c>
      <c r="H2196" s="79" t="str">
        <f>C2195</f>
        <v>Electricity only with CCS</v>
      </c>
      <c r="I2196" s="167" t="str">
        <f t="shared" si="114"/>
        <v>M</v>
      </c>
      <c r="J2196" s="97" t="s">
        <v>112</v>
      </c>
      <c r="K2196" s="97" t="s">
        <v>112</v>
      </c>
      <c r="L2196" s="97" t="s">
        <v>112</v>
      </c>
      <c r="M2196" s="97" t="s">
        <v>112</v>
      </c>
      <c r="N2196" s="97" t="s">
        <v>112</v>
      </c>
      <c r="O2196" s="97" t="s">
        <v>112</v>
      </c>
      <c r="P2196" s="97" t="s">
        <v>112</v>
      </c>
      <c r="Q2196" s="97" t="s">
        <v>112</v>
      </c>
      <c r="R2196" s="97" t="s">
        <v>112</v>
      </c>
      <c r="S2196" s="97" t="s">
        <v>112</v>
      </c>
      <c r="T2196" s="97" t="s">
        <v>112</v>
      </c>
      <c r="U2196" s="97" t="s">
        <v>112</v>
      </c>
      <c r="V2196" s="97" t="s">
        <v>112</v>
      </c>
      <c r="W2196" s="97" t="s">
        <v>112</v>
      </c>
      <c r="X2196" s="97" t="s">
        <v>112</v>
      </c>
      <c r="Y2196" s="97" t="s">
        <v>112</v>
      </c>
      <c r="Z2196" s="97" t="s">
        <v>112</v>
      </c>
      <c r="AA2196" s="97" t="s">
        <v>112</v>
      </c>
      <c r="AB2196" s="97" t="s">
        <v>112</v>
      </c>
      <c r="AC2196" s="97" t="s">
        <v>112</v>
      </c>
      <c r="AD2196" s="97" t="s">
        <v>112</v>
      </c>
      <c r="AE2196" s="97">
        <v>6090.846789202752</v>
      </c>
      <c r="AF2196" s="97">
        <v>6090.846789202752</v>
      </c>
      <c r="AG2196" s="97">
        <v>6090.846789202752</v>
      </c>
      <c r="AH2196" s="97">
        <v>6090.846789202752</v>
      </c>
      <c r="AI2196" s="97">
        <v>6090.846789202752</v>
      </c>
      <c r="AJ2196" s="97">
        <v>6090.846789202752</v>
      </c>
      <c r="AK2196" s="97">
        <v>6090.846789202752</v>
      </c>
      <c r="AL2196" s="97">
        <v>6090.846789202752</v>
      </c>
      <c r="AM2196" s="97">
        <v>6090.846789202752</v>
      </c>
      <c r="AN2196" s="97">
        <v>6090.846789202752</v>
      </c>
      <c r="AO2196" s="97">
        <v>6090.846789202752</v>
      </c>
      <c r="AP2196" s="97">
        <v>6090.846789202752</v>
      </c>
      <c r="AQ2196" s="97">
        <v>6090.846789202752</v>
      </c>
      <c r="AR2196" s="97">
        <v>6090.846789202752</v>
      </c>
      <c r="AS2196" s="97">
        <v>6090.846789202752</v>
      </c>
      <c r="AT2196" s="97">
        <v>6090.846789202752</v>
      </c>
      <c r="AU2196" s="97">
        <v>6090.846789202752</v>
      </c>
      <c r="AV2196" s="97">
        <v>6090.846789202752</v>
      </c>
      <c r="AW2196" s="97">
        <v>6090.846789202752</v>
      </c>
      <c r="AX2196" s="98">
        <v>6090.846789202752</v>
      </c>
    </row>
    <row r="2197" spans="1:50" x14ac:dyDescent="0.25">
      <c r="A2197" s="356"/>
      <c r="B2197" s="359"/>
      <c r="C2197" s="361" t="s">
        <v>16</v>
      </c>
      <c r="D2197" s="2" t="s">
        <v>7</v>
      </c>
      <c r="E2197" s="160" t="str">
        <f>A2169&amp;"/"&amp;B2187&amp;"/"&amp;C2197&amp;"/"&amp;D2197</f>
        <v>Gas fired power plants (Natural gas, biogas)/Steam turbine/CHP with CCS/L</v>
      </c>
      <c r="F2197" s="76" t="str">
        <f>A2169</f>
        <v>Gas fired power plants (Natural gas, biogas)</v>
      </c>
      <c r="G2197" s="76" t="str">
        <f>B2187</f>
        <v>Steam turbine</v>
      </c>
      <c r="H2197" s="76" t="str">
        <f>C2197</f>
        <v>CHP with CCS</v>
      </c>
      <c r="I2197" s="161" t="str">
        <f t="shared" si="114"/>
        <v>L</v>
      </c>
      <c r="J2197" s="91" t="s">
        <v>112</v>
      </c>
      <c r="K2197" s="91" t="s">
        <v>112</v>
      </c>
      <c r="L2197" s="91" t="s">
        <v>112</v>
      </c>
      <c r="M2197" s="91" t="s">
        <v>112</v>
      </c>
      <c r="N2197" s="91" t="s">
        <v>112</v>
      </c>
      <c r="O2197" s="91" t="s">
        <v>112</v>
      </c>
      <c r="P2197" s="91" t="s">
        <v>112</v>
      </c>
      <c r="Q2197" s="91" t="s">
        <v>112</v>
      </c>
      <c r="R2197" s="91" t="s">
        <v>112</v>
      </c>
      <c r="S2197" s="91" t="s">
        <v>112</v>
      </c>
      <c r="T2197" s="91" t="s">
        <v>112</v>
      </c>
      <c r="U2197" s="91" t="s">
        <v>112</v>
      </c>
      <c r="V2197" s="91" t="s">
        <v>112</v>
      </c>
      <c r="W2197" s="91" t="s">
        <v>112</v>
      </c>
      <c r="X2197" s="91" t="s">
        <v>112</v>
      </c>
      <c r="Y2197" s="91" t="s">
        <v>112</v>
      </c>
      <c r="Z2197" s="91" t="s">
        <v>112</v>
      </c>
      <c r="AA2197" s="91" t="s">
        <v>112</v>
      </c>
      <c r="AB2197" s="91" t="s">
        <v>112</v>
      </c>
      <c r="AC2197" s="91" t="s">
        <v>112</v>
      </c>
      <c r="AD2197" s="91" t="s">
        <v>112</v>
      </c>
      <c r="AE2197" s="91">
        <v>5993.75</v>
      </c>
      <c r="AF2197" s="91">
        <v>5993.75</v>
      </c>
      <c r="AG2197" s="91">
        <v>5993.75</v>
      </c>
      <c r="AH2197" s="91">
        <v>5993.75</v>
      </c>
      <c r="AI2197" s="91">
        <v>5993.75</v>
      </c>
      <c r="AJ2197" s="91">
        <v>5993.75</v>
      </c>
      <c r="AK2197" s="91">
        <v>5993.75</v>
      </c>
      <c r="AL2197" s="91">
        <v>5993.75</v>
      </c>
      <c r="AM2197" s="91">
        <v>5993.75</v>
      </c>
      <c r="AN2197" s="91">
        <v>5993.75</v>
      </c>
      <c r="AO2197" s="91">
        <v>5993.75</v>
      </c>
      <c r="AP2197" s="91">
        <v>5993.75</v>
      </c>
      <c r="AQ2197" s="91">
        <v>5993.75</v>
      </c>
      <c r="AR2197" s="91">
        <v>5993.75</v>
      </c>
      <c r="AS2197" s="91">
        <v>5993.75</v>
      </c>
      <c r="AT2197" s="91">
        <v>5993.75</v>
      </c>
      <c r="AU2197" s="91">
        <v>5993.75</v>
      </c>
      <c r="AV2197" s="91">
        <v>5993.75</v>
      </c>
      <c r="AW2197" s="91">
        <v>5993.75</v>
      </c>
      <c r="AX2197" s="92">
        <v>5993.75</v>
      </c>
    </row>
    <row r="2198" spans="1:50" x14ac:dyDescent="0.25">
      <c r="A2198" s="356"/>
      <c r="B2198" s="362"/>
      <c r="C2198" s="354"/>
      <c r="D2198" s="4" t="s">
        <v>8</v>
      </c>
      <c r="E2198" s="168" t="str">
        <f>A2169&amp;"/"&amp;B2187&amp;"/"&amp;C2197&amp;"/"&amp;D2198</f>
        <v>Gas fired power plants (Natural gas, biogas)/Steam turbine/CHP with CCS/M</v>
      </c>
      <c r="F2198" s="80" t="str">
        <f>A2169</f>
        <v>Gas fired power plants (Natural gas, biogas)</v>
      </c>
      <c r="G2198" s="80" t="str">
        <f>B2187</f>
        <v>Steam turbine</v>
      </c>
      <c r="H2198" s="80" t="str">
        <f>C2197</f>
        <v>CHP with CCS</v>
      </c>
      <c r="I2198" s="169" t="str">
        <f t="shared" si="114"/>
        <v>M</v>
      </c>
      <c r="J2198" s="99" t="s">
        <v>112</v>
      </c>
      <c r="K2198" s="99" t="s">
        <v>112</v>
      </c>
      <c r="L2198" s="99" t="s">
        <v>112</v>
      </c>
      <c r="M2198" s="99" t="s">
        <v>112</v>
      </c>
      <c r="N2198" s="99" t="s">
        <v>112</v>
      </c>
      <c r="O2198" s="99" t="s">
        <v>112</v>
      </c>
      <c r="P2198" s="99" t="s">
        <v>112</v>
      </c>
      <c r="Q2198" s="99" t="s">
        <v>112</v>
      </c>
      <c r="R2198" s="99" t="s">
        <v>112</v>
      </c>
      <c r="S2198" s="99" t="s">
        <v>112</v>
      </c>
      <c r="T2198" s="99" t="s">
        <v>112</v>
      </c>
      <c r="U2198" s="99" t="s">
        <v>112</v>
      </c>
      <c r="V2198" s="99" t="s">
        <v>112</v>
      </c>
      <c r="W2198" s="99" t="s">
        <v>112</v>
      </c>
      <c r="X2198" s="99" t="s">
        <v>112</v>
      </c>
      <c r="Y2198" s="99" t="s">
        <v>112</v>
      </c>
      <c r="Z2198" s="99" t="s">
        <v>112</v>
      </c>
      <c r="AA2198" s="99" t="s">
        <v>112</v>
      </c>
      <c r="AB2198" s="99" t="s">
        <v>112</v>
      </c>
      <c r="AC2198" s="99" t="s">
        <v>112</v>
      </c>
      <c r="AD2198" s="99" t="s">
        <v>112</v>
      </c>
      <c r="AE2198" s="99">
        <v>5523.8975519962278</v>
      </c>
      <c r="AF2198" s="99">
        <v>5523.8975519962278</v>
      </c>
      <c r="AG2198" s="99">
        <v>5523.8975519962278</v>
      </c>
      <c r="AH2198" s="99">
        <v>5523.8975519962278</v>
      </c>
      <c r="AI2198" s="99">
        <v>5523.8975519962278</v>
      </c>
      <c r="AJ2198" s="99">
        <v>5523.8975519962278</v>
      </c>
      <c r="AK2198" s="99">
        <v>5523.8975519962278</v>
      </c>
      <c r="AL2198" s="99">
        <v>5523.8975519962278</v>
      </c>
      <c r="AM2198" s="99">
        <v>5523.8975519962278</v>
      </c>
      <c r="AN2198" s="99">
        <v>5523.8975519962278</v>
      </c>
      <c r="AO2198" s="99">
        <v>5523.8975519962278</v>
      </c>
      <c r="AP2198" s="99">
        <v>5523.8975519962278</v>
      </c>
      <c r="AQ2198" s="99">
        <v>5523.8975519962278</v>
      </c>
      <c r="AR2198" s="99">
        <v>5523.8975519962278</v>
      </c>
      <c r="AS2198" s="99">
        <v>5523.8975519962278</v>
      </c>
      <c r="AT2198" s="99">
        <v>5523.8975519962278</v>
      </c>
      <c r="AU2198" s="99">
        <v>5523.8975519962278</v>
      </c>
      <c r="AV2198" s="99">
        <v>5523.8975519962278</v>
      </c>
      <c r="AW2198" s="99">
        <v>5523.8975519962278</v>
      </c>
      <c r="AX2198" s="100">
        <v>5523.8975519962278</v>
      </c>
    </row>
    <row r="2199" spans="1:50" x14ac:dyDescent="0.25">
      <c r="A2199" s="356"/>
      <c r="B2199" s="358" t="s">
        <v>25</v>
      </c>
      <c r="C2199" s="353" t="s">
        <v>6</v>
      </c>
      <c r="D2199" s="3" t="s">
        <v>10</v>
      </c>
      <c r="E2199" s="162" t="str">
        <f>A2169&amp;"/"&amp;B2199&amp;"/"&amp;C2199&amp;"/"&amp;D2199</f>
        <v>Gas fired power plants (Natural gas, biogas)/Internal combustion engine/Electricity only/S</v>
      </c>
      <c r="F2199" s="77" t="str">
        <f>A2169</f>
        <v>Gas fired power plants (Natural gas, biogas)</v>
      </c>
      <c r="G2199" s="77" t="str">
        <f>B2199</f>
        <v>Internal combustion engine</v>
      </c>
      <c r="H2199" s="77" t="str">
        <f>C2199</f>
        <v>Electricity only</v>
      </c>
      <c r="I2199" s="163" t="str">
        <f t="shared" si="114"/>
        <v>S</v>
      </c>
      <c r="J2199" s="93">
        <v>860</v>
      </c>
      <c r="K2199" s="93">
        <v>860</v>
      </c>
      <c r="L2199" s="93">
        <v>860</v>
      </c>
      <c r="M2199" s="93">
        <v>860</v>
      </c>
      <c r="N2199" s="93">
        <v>860</v>
      </c>
      <c r="O2199" s="93">
        <v>860</v>
      </c>
      <c r="P2199" s="93">
        <v>860</v>
      </c>
      <c r="Q2199" s="93">
        <v>860</v>
      </c>
      <c r="R2199" s="93">
        <v>860</v>
      </c>
      <c r="S2199" s="93">
        <v>860</v>
      </c>
      <c r="T2199" s="93">
        <v>860</v>
      </c>
      <c r="U2199" s="93">
        <v>860</v>
      </c>
      <c r="V2199" s="93">
        <v>860</v>
      </c>
      <c r="W2199" s="93">
        <v>860</v>
      </c>
      <c r="X2199" s="93">
        <v>860</v>
      </c>
      <c r="Y2199" s="93">
        <v>860</v>
      </c>
      <c r="Z2199" s="93">
        <v>860</v>
      </c>
      <c r="AA2199" s="93">
        <v>860</v>
      </c>
      <c r="AB2199" s="93">
        <v>860</v>
      </c>
      <c r="AC2199" s="93">
        <v>860</v>
      </c>
      <c r="AD2199" s="93">
        <v>860</v>
      </c>
      <c r="AE2199" s="93">
        <v>860</v>
      </c>
      <c r="AF2199" s="93">
        <v>860</v>
      </c>
      <c r="AG2199" s="93">
        <v>860</v>
      </c>
      <c r="AH2199" s="93">
        <v>860</v>
      </c>
      <c r="AI2199" s="93">
        <v>860</v>
      </c>
      <c r="AJ2199" s="93">
        <v>860</v>
      </c>
      <c r="AK2199" s="93">
        <v>860</v>
      </c>
      <c r="AL2199" s="93">
        <v>860</v>
      </c>
      <c r="AM2199" s="93">
        <v>860</v>
      </c>
      <c r="AN2199" s="93">
        <v>860</v>
      </c>
      <c r="AO2199" s="93">
        <v>860</v>
      </c>
      <c r="AP2199" s="93">
        <v>860</v>
      </c>
      <c r="AQ2199" s="93">
        <v>860</v>
      </c>
      <c r="AR2199" s="93">
        <v>860</v>
      </c>
      <c r="AS2199" s="93">
        <v>860</v>
      </c>
      <c r="AT2199" s="93">
        <v>860</v>
      </c>
      <c r="AU2199" s="93">
        <v>860</v>
      </c>
      <c r="AV2199" s="93">
        <v>860</v>
      </c>
      <c r="AW2199" s="93">
        <v>860</v>
      </c>
      <c r="AX2199" s="94">
        <v>860</v>
      </c>
    </row>
    <row r="2200" spans="1:50" x14ac:dyDescent="0.25">
      <c r="A2200" s="356"/>
      <c r="B2200" s="359"/>
      <c r="C2200" s="360"/>
      <c r="D2200" s="59" t="s">
        <v>20</v>
      </c>
      <c r="E2200" s="160" t="str">
        <f>A2169&amp;"/"&amp;B2199&amp;"/"&amp;C2199&amp;"/"&amp;D2200</f>
        <v>Gas fired power plants (Natural gas, biogas)/Internal combustion engine/Electricity only/XS</v>
      </c>
      <c r="F2200" s="76" t="str">
        <f>A2169</f>
        <v>Gas fired power plants (Natural gas, biogas)</v>
      </c>
      <c r="G2200" s="76" t="str">
        <f>B2199</f>
        <v>Internal combustion engine</v>
      </c>
      <c r="H2200" s="76" t="str">
        <f>C2199</f>
        <v>Electricity only</v>
      </c>
      <c r="I2200" s="161" t="str">
        <f t="shared" si="114"/>
        <v>XS</v>
      </c>
      <c r="J2200" s="91">
        <v>540</v>
      </c>
      <c r="K2200" s="91">
        <v>540</v>
      </c>
      <c r="L2200" s="91">
        <v>540</v>
      </c>
      <c r="M2200" s="91">
        <v>540</v>
      </c>
      <c r="N2200" s="91">
        <v>540</v>
      </c>
      <c r="O2200" s="91">
        <v>540</v>
      </c>
      <c r="P2200" s="91">
        <v>540</v>
      </c>
      <c r="Q2200" s="91">
        <v>540</v>
      </c>
      <c r="R2200" s="91">
        <v>540</v>
      </c>
      <c r="S2200" s="91">
        <v>540</v>
      </c>
      <c r="T2200" s="91">
        <v>540</v>
      </c>
      <c r="U2200" s="91">
        <v>540</v>
      </c>
      <c r="V2200" s="91">
        <v>540</v>
      </c>
      <c r="W2200" s="91">
        <v>540</v>
      </c>
      <c r="X2200" s="91">
        <v>540</v>
      </c>
      <c r="Y2200" s="91">
        <v>540</v>
      </c>
      <c r="Z2200" s="91">
        <v>540</v>
      </c>
      <c r="AA2200" s="91">
        <v>540</v>
      </c>
      <c r="AB2200" s="91">
        <v>540</v>
      </c>
      <c r="AC2200" s="91">
        <v>540</v>
      </c>
      <c r="AD2200" s="91">
        <v>540</v>
      </c>
      <c r="AE2200" s="91">
        <v>540</v>
      </c>
      <c r="AF2200" s="91">
        <v>540</v>
      </c>
      <c r="AG2200" s="91">
        <v>540</v>
      </c>
      <c r="AH2200" s="91">
        <v>540</v>
      </c>
      <c r="AI2200" s="91">
        <v>540</v>
      </c>
      <c r="AJ2200" s="91">
        <v>540</v>
      </c>
      <c r="AK2200" s="91">
        <v>540</v>
      </c>
      <c r="AL2200" s="91">
        <v>540</v>
      </c>
      <c r="AM2200" s="91">
        <v>540</v>
      </c>
      <c r="AN2200" s="91">
        <v>540</v>
      </c>
      <c r="AO2200" s="91">
        <v>540</v>
      </c>
      <c r="AP2200" s="91">
        <v>540</v>
      </c>
      <c r="AQ2200" s="91">
        <v>540</v>
      </c>
      <c r="AR2200" s="91">
        <v>540</v>
      </c>
      <c r="AS2200" s="91">
        <v>540</v>
      </c>
      <c r="AT2200" s="91">
        <v>540</v>
      </c>
      <c r="AU2200" s="91">
        <v>540</v>
      </c>
      <c r="AV2200" s="91">
        <v>540</v>
      </c>
      <c r="AW2200" s="91">
        <v>540</v>
      </c>
      <c r="AX2200" s="92">
        <v>540</v>
      </c>
    </row>
    <row r="2201" spans="1:50" x14ac:dyDescent="0.25">
      <c r="A2201" s="356"/>
      <c r="B2201" s="359"/>
      <c r="C2201" s="361" t="s">
        <v>14</v>
      </c>
      <c r="D2201" s="2" t="s">
        <v>10</v>
      </c>
      <c r="E2201" s="164" t="str">
        <f>A2169&amp;"/"&amp;B2199&amp;"/"&amp;C2201&amp;"/"&amp;D2201</f>
        <v>Gas fired power plants (Natural gas, biogas)/Internal combustion engine/CHP/S</v>
      </c>
      <c r="F2201" s="78" t="str">
        <f>A2169</f>
        <v>Gas fired power plants (Natural gas, biogas)</v>
      </c>
      <c r="G2201" s="78" t="str">
        <f>B2199</f>
        <v>Internal combustion engine</v>
      </c>
      <c r="H2201" s="78" t="str">
        <f>C2201</f>
        <v>CHP</v>
      </c>
      <c r="I2201" s="165" t="str">
        <f t="shared" si="114"/>
        <v>S</v>
      </c>
      <c r="J2201" s="95">
        <v>826</v>
      </c>
      <c r="K2201" s="95">
        <v>826</v>
      </c>
      <c r="L2201" s="95">
        <v>826</v>
      </c>
      <c r="M2201" s="95">
        <v>826</v>
      </c>
      <c r="N2201" s="95">
        <v>826</v>
      </c>
      <c r="O2201" s="95">
        <v>826</v>
      </c>
      <c r="P2201" s="95">
        <v>826</v>
      </c>
      <c r="Q2201" s="95">
        <v>826</v>
      </c>
      <c r="R2201" s="95">
        <v>826</v>
      </c>
      <c r="S2201" s="95">
        <v>826</v>
      </c>
      <c r="T2201" s="95">
        <v>826</v>
      </c>
      <c r="U2201" s="95">
        <v>826</v>
      </c>
      <c r="V2201" s="95">
        <v>826</v>
      </c>
      <c r="W2201" s="95">
        <v>826</v>
      </c>
      <c r="X2201" s="95">
        <v>826</v>
      </c>
      <c r="Y2201" s="95">
        <v>826</v>
      </c>
      <c r="Z2201" s="95">
        <v>826</v>
      </c>
      <c r="AA2201" s="95">
        <v>826</v>
      </c>
      <c r="AB2201" s="95">
        <v>826</v>
      </c>
      <c r="AC2201" s="95">
        <v>826</v>
      </c>
      <c r="AD2201" s="95">
        <v>826</v>
      </c>
      <c r="AE2201" s="95">
        <v>826</v>
      </c>
      <c r="AF2201" s="95">
        <v>826</v>
      </c>
      <c r="AG2201" s="95">
        <v>826</v>
      </c>
      <c r="AH2201" s="95">
        <v>826</v>
      </c>
      <c r="AI2201" s="95">
        <v>826</v>
      </c>
      <c r="AJ2201" s="95">
        <v>826</v>
      </c>
      <c r="AK2201" s="95">
        <v>826</v>
      </c>
      <c r="AL2201" s="95">
        <v>826</v>
      </c>
      <c r="AM2201" s="95">
        <v>826</v>
      </c>
      <c r="AN2201" s="95">
        <v>826</v>
      </c>
      <c r="AO2201" s="95">
        <v>826</v>
      </c>
      <c r="AP2201" s="95">
        <v>826</v>
      </c>
      <c r="AQ2201" s="95">
        <v>826</v>
      </c>
      <c r="AR2201" s="95">
        <v>826</v>
      </c>
      <c r="AS2201" s="95">
        <v>826</v>
      </c>
      <c r="AT2201" s="95">
        <v>826</v>
      </c>
      <c r="AU2201" s="95">
        <v>826</v>
      </c>
      <c r="AV2201" s="95">
        <v>826</v>
      </c>
      <c r="AW2201" s="95">
        <v>826</v>
      </c>
      <c r="AX2201" s="96">
        <v>826</v>
      </c>
    </row>
    <row r="2202" spans="1:50" x14ac:dyDescent="0.25">
      <c r="A2202" s="356"/>
      <c r="B2202" s="362"/>
      <c r="C2202" s="354"/>
      <c r="D2202" s="4" t="s">
        <v>20</v>
      </c>
      <c r="E2202" s="168" t="str">
        <f>A2169&amp;"/"&amp;B2199&amp;"/"&amp;C2201&amp;"/"&amp;D2202</f>
        <v>Gas fired power plants (Natural gas, biogas)/Internal combustion engine/CHP/XS</v>
      </c>
      <c r="F2202" s="80" t="str">
        <f>A2169</f>
        <v>Gas fired power plants (Natural gas, biogas)</v>
      </c>
      <c r="G2202" s="80" t="str">
        <f>B2199</f>
        <v>Internal combustion engine</v>
      </c>
      <c r="H2202" s="80" t="str">
        <f>C2201</f>
        <v>CHP</v>
      </c>
      <c r="I2202" s="169" t="str">
        <f t="shared" si="114"/>
        <v>XS</v>
      </c>
      <c r="J2202" s="99">
        <v>524</v>
      </c>
      <c r="K2202" s="99">
        <v>524</v>
      </c>
      <c r="L2202" s="99">
        <v>524</v>
      </c>
      <c r="M2202" s="99">
        <v>524</v>
      </c>
      <c r="N2202" s="99">
        <v>524</v>
      </c>
      <c r="O2202" s="99">
        <v>524</v>
      </c>
      <c r="P2202" s="99">
        <v>524</v>
      </c>
      <c r="Q2202" s="99">
        <v>524</v>
      </c>
      <c r="R2202" s="99">
        <v>524</v>
      </c>
      <c r="S2202" s="99">
        <v>524</v>
      </c>
      <c r="T2202" s="99">
        <v>524</v>
      </c>
      <c r="U2202" s="99">
        <v>524</v>
      </c>
      <c r="V2202" s="99">
        <v>524</v>
      </c>
      <c r="W2202" s="99">
        <v>524</v>
      </c>
      <c r="X2202" s="99">
        <v>524</v>
      </c>
      <c r="Y2202" s="99">
        <v>524</v>
      </c>
      <c r="Z2202" s="99">
        <v>524</v>
      </c>
      <c r="AA2202" s="99">
        <v>524</v>
      </c>
      <c r="AB2202" s="99">
        <v>524</v>
      </c>
      <c r="AC2202" s="99">
        <v>524</v>
      </c>
      <c r="AD2202" s="99">
        <v>524</v>
      </c>
      <c r="AE2202" s="99">
        <v>524</v>
      </c>
      <c r="AF2202" s="99">
        <v>524</v>
      </c>
      <c r="AG2202" s="99">
        <v>524</v>
      </c>
      <c r="AH2202" s="99">
        <v>524</v>
      </c>
      <c r="AI2202" s="99">
        <v>524</v>
      </c>
      <c r="AJ2202" s="99">
        <v>524</v>
      </c>
      <c r="AK2202" s="99">
        <v>524</v>
      </c>
      <c r="AL2202" s="99">
        <v>524</v>
      </c>
      <c r="AM2202" s="99">
        <v>524</v>
      </c>
      <c r="AN2202" s="99">
        <v>524</v>
      </c>
      <c r="AO2202" s="99">
        <v>524</v>
      </c>
      <c r="AP2202" s="99">
        <v>524</v>
      </c>
      <c r="AQ2202" s="99">
        <v>524</v>
      </c>
      <c r="AR2202" s="99">
        <v>524</v>
      </c>
      <c r="AS2202" s="99">
        <v>524</v>
      </c>
      <c r="AT2202" s="99">
        <v>524</v>
      </c>
      <c r="AU2202" s="99">
        <v>524</v>
      </c>
      <c r="AV2202" s="99">
        <v>524</v>
      </c>
      <c r="AW2202" s="99">
        <v>524</v>
      </c>
      <c r="AX2202" s="100">
        <v>524</v>
      </c>
    </row>
    <row r="2203" spans="1:50" x14ac:dyDescent="0.25">
      <c r="A2203" s="355" t="s">
        <v>26</v>
      </c>
      <c r="B2203" s="358" t="s">
        <v>19</v>
      </c>
      <c r="C2203" s="353" t="s">
        <v>6</v>
      </c>
      <c r="D2203" s="3" t="s">
        <v>7</v>
      </c>
      <c r="E2203" s="162" t="str">
        <f>A2203&amp;"/"&amp;B2203&amp;"/"&amp;C2203&amp;"/"&amp;D2203</f>
        <v>Derived gas fired power plants/Steam turbine/Electricity only/L</v>
      </c>
      <c r="F2203" s="77" t="str">
        <f>A2203</f>
        <v>Derived gas fired power plants</v>
      </c>
      <c r="G2203" s="77" t="str">
        <f>B2203</f>
        <v>Steam turbine</v>
      </c>
      <c r="H2203" s="77" t="str">
        <f>C2203</f>
        <v>Electricity only</v>
      </c>
      <c r="I2203" s="163" t="str">
        <f t="shared" si="114"/>
        <v>L</v>
      </c>
      <c r="J2203" s="93">
        <v>7575</v>
      </c>
      <c r="K2203" s="93">
        <v>7575</v>
      </c>
      <c r="L2203" s="93">
        <v>7575</v>
      </c>
      <c r="M2203" s="93">
        <v>7575</v>
      </c>
      <c r="N2203" s="93">
        <v>7575</v>
      </c>
      <c r="O2203" s="93">
        <v>7575</v>
      </c>
      <c r="P2203" s="93">
        <v>7575</v>
      </c>
      <c r="Q2203" s="93">
        <v>7575</v>
      </c>
      <c r="R2203" s="93">
        <v>7575</v>
      </c>
      <c r="S2203" s="93">
        <v>7575</v>
      </c>
      <c r="T2203" s="93">
        <v>7575</v>
      </c>
      <c r="U2203" s="93">
        <v>7575</v>
      </c>
      <c r="V2203" s="93">
        <v>7575</v>
      </c>
      <c r="W2203" s="93">
        <v>7575</v>
      </c>
      <c r="X2203" s="93">
        <v>7575</v>
      </c>
      <c r="Y2203" s="93">
        <v>7575</v>
      </c>
      <c r="Z2203" s="93">
        <v>7575</v>
      </c>
      <c r="AA2203" s="93">
        <v>7575</v>
      </c>
      <c r="AB2203" s="93">
        <v>7575</v>
      </c>
      <c r="AC2203" s="93">
        <v>7575</v>
      </c>
      <c r="AD2203" s="93">
        <v>7575</v>
      </c>
      <c r="AE2203" s="93">
        <v>7575</v>
      </c>
      <c r="AF2203" s="93">
        <v>7575</v>
      </c>
      <c r="AG2203" s="93">
        <v>7575</v>
      </c>
      <c r="AH2203" s="93">
        <v>7575</v>
      </c>
      <c r="AI2203" s="93">
        <v>7575</v>
      </c>
      <c r="AJ2203" s="93">
        <v>7575</v>
      </c>
      <c r="AK2203" s="93">
        <v>7575</v>
      </c>
      <c r="AL2203" s="93">
        <v>7575</v>
      </c>
      <c r="AM2203" s="93">
        <v>7575</v>
      </c>
      <c r="AN2203" s="93">
        <v>7575</v>
      </c>
      <c r="AO2203" s="93">
        <v>7575</v>
      </c>
      <c r="AP2203" s="93">
        <v>7575</v>
      </c>
      <c r="AQ2203" s="93">
        <v>7575</v>
      </c>
      <c r="AR2203" s="93">
        <v>7575</v>
      </c>
      <c r="AS2203" s="93">
        <v>7575</v>
      </c>
      <c r="AT2203" s="93">
        <v>7575</v>
      </c>
      <c r="AU2203" s="93">
        <v>7575</v>
      </c>
      <c r="AV2203" s="93">
        <v>7575</v>
      </c>
      <c r="AW2203" s="93">
        <v>7575</v>
      </c>
      <c r="AX2203" s="94">
        <v>7575</v>
      </c>
    </row>
    <row r="2204" spans="1:50" x14ac:dyDescent="0.25">
      <c r="A2204" s="356"/>
      <c r="B2204" s="359"/>
      <c r="C2204" s="350"/>
      <c r="D2204" s="2" t="s">
        <v>8</v>
      </c>
      <c r="E2204" s="160" t="str">
        <f>A2203&amp;"/"&amp;B2203&amp;"/"&amp;C2203&amp;"/"&amp;D2204</f>
        <v>Derived gas fired power plants/Steam turbine/Electricity only/M</v>
      </c>
      <c r="F2204" s="76" t="str">
        <f>A2203</f>
        <v>Derived gas fired power plants</v>
      </c>
      <c r="G2204" s="76" t="str">
        <f>B2203</f>
        <v>Steam turbine</v>
      </c>
      <c r="H2204" s="76" t="str">
        <f>C2203</f>
        <v>Electricity only</v>
      </c>
      <c r="I2204" s="161" t="str">
        <f t="shared" si="114"/>
        <v>M</v>
      </c>
      <c r="J2204" s="91">
        <v>6960.5918147014645</v>
      </c>
      <c r="K2204" s="91">
        <v>6960.5918147014645</v>
      </c>
      <c r="L2204" s="91">
        <v>6960.5918147014645</v>
      </c>
      <c r="M2204" s="91">
        <v>6960.5918147014645</v>
      </c>
      <c r="N2204" s="91">
        <v>6960.5918147014645</v>
      </c>
      <c r="O2204" s="91">
        <v>6960.5918147014645</v>
      </c>
      <c r="P2204" s="91">
        <v>6960.5918147014645</v>
      </c>
      <c r="Q2204" s="91">
        <v>6960.5918147014645</v>
      </c>
      <c r="R2204" s="91">
        <v>6960.5918147014645</v>
      </c>
      <c r="S2204" s="91">
        <v>6960.5918147014645</v>
      </c>
      <c r="T2204" s="91">
        <v>6960.5918147014645</v>
      </c>
      <c r="U2204" s="91">
        <v>6960.5918147014645</v>
      </c>
      <c r="V2204" s="91">
        <v>6960.5918147014645</v>
      </c>
      <c r="W2204" s="91">
        <v>6960.5918147014645</v>
      </c>
      <c r="X2204" s="91">
        <v>6960.5918147014645</v>
      </c>
      <c r="Y2204" s="91">
        <v>6960.5918147014645</v>
      </c>
      <c r="Z2204" s="91">
        <v>6960.5918147014645</v>
      </c>
      <c r="AA2204" s="91">
        <v>6960.5918147014645</v>
      </c>
      <c r="AB2204" s="91">
        <v>6960.5918147014645</v>
      </c>
      <c r="AC2204" s="91">
        <v>6960.5918147014645</v>
      </c>
      <c r="AD2204" s="91">
        <v>6960.5918147014645</v>
      </c>
      <c r="AE2204" s="91">
        <v>6960.5918147014645</v>
      </c>
      <c r="AF2204" s="91">
        <v>6960.5918147014645</v>
      </c>
      <c r="AG2204" s="91">
        <v>6960.5918147014645</v>
      </c>
      <c r="AH2204" s="91">
        <v>6960.5918147014645</v>
      </c>
      <c r="AI2204" s="91">
        <v>6960.5918147014645</v>
      </c>
      <c r="AJ2204" s="91">
        <v>6960.5918147014645</v>
      </c>
      <c r="AK2204" s="91">
        <v>6960.5918147014645</v>
      </c>
      <c r="AL2204" s="91">
        <v>6960.5918147014645</v>
      </c>
      <c r="AM2204" s="91">
        <v>6960.5918147014645</v>
      </c>
      <c r="AN2204" s="91">
        <v>6960.5918147014645</v>
      </c>
      <c r="AO2204" s="91">
        <v>6960.5918147014645</v>
      </c>
      <c r="AP2204" s="91">
        <v>6960.5918147014645</v>
      </c>
      <c r="AQ2204" s="91">
        <v>6960.5918147014645</v>
      </c>
      <c r="AR2204" s="91">
        <v>6960.5918147014645</v>
      </c>
      <c r="AS2204" s="91">
        <v>6960.5918147014645</v>
      </c>
      <c r="AT2204" s="91">
        <v>6960.5918147014645</v>
      </c>
      <c r="AU2204" s="91">
        <v>6960.5918147014645</v>
      </c>
      <c r="AV2204" s="91">
        <v>6960.5918147014645</v>
      </c>
      <c r="AW2204" s="91">
        <v>6960.5918147014645</v>
      </c>
      <c r="AX2204" s="92">
        <v>6960.5918147014645</v>
      </c>
    </row>
    <row r="2205" spans="1:50" x14ac:dyDescent="0.25">
      <c r="A2205" s="356"/>
      <c r="B2205" s="359"/>
      <c r="C2205" s="350"/>
      <c r="D2205" s="2" t="s">
        <v>10</v>
      </c>
      <c r="E2205" s="160" t="str">
        <f>A2203&amp;"/"&amp;B2203&amp;"/"&amp;C2203&amp;"/"&amp;D2205</f>
        <v>Derived gas fired power plants/Steam turbine/Electricity only/S</v>
      </c>
      <c r="F2205" s="76" t="str">
        <f>A2203</f>
        <v>Derived gas fired power plants</v>
      </c>
      <c r="G2205" s="76" t="str">
        <f>B2203</f>
        <v>Steam turbine</v>
      </c>
      <c r="H2205" s="76" t="str">
        <f>C2203</f>
        <v>Electricity only</v>
      </c>
      <c r="I2205" s="161" t="str">
        <f t="shared" si="114"/>
        <v>S</v>
      </c>
      <c r="J2205" s="91">
        <v>6259.4860327264505</v>
      </c>
      <c r="K2205" s="91">
        <v>6259.4860327264505</v>
      </c>
      <c r="L2205" s="91">
        <v>6259.4860327264505</v>
      </c>
      <c r="M2205" s="91">
        <v>6259.4860327264505</v>
      </c>
      <c r="N2205" s="91">
        <v>6259.4860327264505</v>
      </c>
      <c r="O2205" s="91">
        <v>6259.4860327264505</v>
      </c>
      <c r="P2205" s="91">
        <v>6259.4860327264505</v>
      </c>
      <c r="Q2205" s="91">
        <v>6259.4860327264505</v>
      </c>
      <c r="R2205" s="91">
        <v>6259.4860327264505</v>
      </c>
      <c r="S2205" s="91">
        <v>6259.4860327264505</v>
      </c>
      <c r="T2205" s="91">
        <v>6259.4860327264505</v>
      </c>
      <c r="U2205" s="91">
        <v>6259.4860327264505</v>
      </c>
      <c r="V2205" s="91">
        <v>6259.4860327264505</v>
      </c>
      <c r="W2205" s="91">
        <v>6259.4860327264505</v>
      </c>
      <c r="X2205" s="91">
        <v>6259.4860327264505</v>
      </c>
      <c r="Y2205" s="91">
        <v>6259.4860327264505</v>
      </c>
      <c r="Z2205" s="91">
        <v>6259.4860327264505</v>
      </c>
      <c r="AA2205" s="91">
        <v>6259.4860327264505</v>
      </c>
      <c r="AB2205" s="91">
        <v>6259.4860327264505</v>
      </c>
      <c r="AC2205" s="91">
        <v>6259.4860327264505</v>
      </c>
      <c r="AD2205" s="91">
        <v>6259.4860327264505</v>
      </c>
      <c r="AE2205" s="91">
        <v>6259.4860327264505</v>
      </c>
      <c r="AF2205" s="91">
        <v>6259.4860327264505</v>
      </c>
      <c r="AG2205" s="91">
        <v>6259.4860327264505</v>
      </c>
      <c r="AH2205" s="91">
        <v>6259.4860327264505</v>
      </c>
      <c r="AI2205" s="91">
        <v>6259.4860327264505</v>
      </c>
      <c r="AJ2205" s="91">
        <v>6259.4860327264505</v>
      </c>
      <c r="AK2205" s="91">
        <v>6259.4860327264505</v>
      </c>
      <c r="AL2205" s="91">
        <v>6259.4860327264505</v>
      </c>
      <c r="AM2205" s="91">
        <v>6259.4860327264505</v>
      </c>
      <c r="AN2205" s="91">
        <v>6259.4860327264505</v>
      </c>
      <c r="AO2205" s="91">
        <v>6259.4860327264505</v>
      </c>
      <c r="AP2205" s="91">
        <v>6259.4860327264505</v>
      </c>
      <c r="AQ2205" s="91">
        <v>6259.4860327264505</v>
      </c>
      <c r="AR2205" s="91">
        <v>6259.4860327264505</v>
      </c>
      <c r="AS2205" s="91">
        <v>6259.4860327264505</v>
      </c>
      <c r="AT2205" s="91">
        <v>6259.4860327264505</v>
      </c>
      <c r="AU2205" s="91">
        <v>6259.4860327264505</v>
      </c>
      <c r="AV2205" s="91">
        <v>6259.4860327264505</v>
      </c>
      <c r="AW2205" s="91">
        <v>6259.4860327264505</v>
      </c>
      <c r="AX2205" s="92">
        <v>6259.4860327264505</v>
      </c>
    </row>
    <row r="2206" spans="1:50" x14ac:dyDescent="0.25">
      <c r="A2206" s="356"/>
      <c r="B2206" s="359"/>
      <c r="C2206" s="360"/>
      <c r="D2206" s="2" t="s">
        <v>20</v>
      </c>
      <c r="E2206" s="160" t="str">
        <f>A2203&amp;"/"&amp;B2203&amp;"/"&amp;C2203&amp;"/"&amp;D2206</f>
        <v>Derived gas fired power plants/Steam turbine/Electricity only/XS</v>
      </c>
      <c r="F2206" s="76" t="str">
        <f>A2203</f>
        <v>Derived gas fired power plants</v>
      </c>
      <c r="G2206" s="76" t="str">
        <f>B2203</f>
        <v>Steam turbine</v>
      </c>
      <c r="H2206" s="76" t="str">
        <f>C2203</f>
        <v>Electricity only</v>
      </c>
      <c r="I2206" s="161" t="str">
        <f t="shared" si="114"/>
        <v>XS</v>
      </c>
      <c r="J2206" s="91">
        <v>5903.4691771044727</v>
      </c>
      <c r="K2206" s="91">
        <v>5903.4691771044727</v>
      </c>
      <c r="L2206" s="91">
        <v>5903.4691771044727</v>
      </c>
      <c r="M2206" s="91">
        <v>5903.4691771044727</v>
      </c>
      <c r="N2206" s="91">
        <v>5903.4691771044727</v>
      </c>
      <c r="O2206" s="91">
        <v>5903.4691771044727</v>
      </c>
      <c r="P2206" s="91">
        <v>5903.4691771044727</v>
      </c>
      <c r="Q2206" s="91">
        <v>5903.4691771044727</v>
      </c>
      <c r="R2206" s="91">
        <v>5903.4691771044727</v>
      </c>
      <c r="S2206" s="91">
        <v>5903.4691771044727</v>
      </c>
      <c r="T2206" s="91">
        <v>5903.4691771044727</v>
      </c>
      <c r="U2206" s="91">
        <v>5903.4691771044727</v>
      </c>
      <c r="V2206" s="91">
        <v>5903.4691771044727</v>
      </c>
      <c r="W2206" s="91">
        <v>5903.4691771044727</v>
      </c>
      <c r="X2206" s="91">
        <v>5903.4691771044727</v>
      </c>
      <c r="Y2206" s="91">
        <v>5903.4691771044727</v>
      </c>
      <c r="Z2206" s="91">
        <v>5903.4691771044727</v>
      </c>
      <c r="AA2206" s="91">
        <v>5903.4691771044727</v>
      </c>
      <c r="AB2206" s="91">
        <v>5903.4691771044727</v>
      </c>
      <c r="AC2206" s="91">
        <v>5903.4691771044727</v>
      </c>
      <c r="AD2206" s="91">
        <v>5903.4691771044727</v>
      </c>
      <c r="AE2206" s="91">
        <v>5903.4691771044727</v>
      </c>
      <c r="AF2206" s="91">
        <v>5903.4691771044727</v>
      </c>
      <c r="AG2206" s="91">
        <v>5903.4691771044727</v>
      </c>
      <c r="AH2206" s="91">
        <v>5903.4691771044727</v>
      </c>
      <c r="AI2206" s="91">
        <v>5903.4691771044727</v>
      </c>
      <c r="AJ2206" s="91">
        <v>5903.4691771044727</v>
      </c>
      <c r="AK2206" s="91">
        <v>5903.4691771044727</v>
      </c>
      <c r="AL2206" s="91">
        <v>5903.4691771044727</v>
      </c>
      <c r="AM2206" s="91">
        <v>5903.4691771044727</v>
      </c>
      <c r="AN2206" s="91">
        <v>5903.4691771044727</v>
      </c>
      <c r="AO2206" s="91">
        <v>5903.4691771044727</v>
      </c>
      <c r="AP2206" s="91">
        <v>5903.4691771044727</v>
      </c>
      <c r="AQ2206" s="91">
        <v>5903.4691771044727</v>
      </c>
      <c r="AR2206" s="91">
        <v>5903.4691771044727</v>
      </c>
      <c r="AS2206" s="91">
        <v>5903.4691771044727</v>
      </c>
      <c r="AT2206" s="91">
        <v>5903.4691771044727</v>
      </c>
      <c r="AU2206" s="91">
        <v>5903.4691771044727</v>
      </c>
      <c r="AV2206" s="91">
        <v>5903.4691771044727</v>
      </c>
      <c r="AW2206" s="91">
        <v>5903.4691771044727</v>
      </c>
      <c r="AX2206" s="92">
        <v>5903.4691771044727</v>
      </c>
    </row>
    <row r="2207" spans="1:50" x14ac:dyDescent="0.25">
      <c r="A2207" s="356"/>
      <c r="B2207" s="359"/>
      <c r="C2207" s="361" t="s">
        <v>14</v>
      </c>
      <c r="D2207" s="58" t="s">
        <v>7</v>
      </c>
      <c r="E2207" s="164" t="str">
        <f>A2203&amp;"/"&amp;B2203&amp;"/"&amp;C2207&amp;"/"&amp;D2207</f>
        <v>Derived gas fired power plants/Steam turbine/CHP/L</v>
      </c>
      <c r="F2207" s="78" t="str">
        <f>A2203</f>
        <v>Derived gas fired power plants</v>
      </c>
      <c r="G2207" s="78" t="str">
        <f>B2203</f>
        <v>Steam turbine</v>
      </c>
      <c r="H2207" s="78" t="str">
        <f>C2207</f>
        <v>CHP</v>
      </c>
      <c r="I2207" s="165" t="str">
        <f t="shared" si="114"/>
        <v>L</v>
      </c>
      <c r="J2207" s="95">
        <v>6848.75</v>
      </c>
      <c r="K2207" s="95">
        <v>6848.75</v>
      </c>
      <c r="L2207" s="95">
        <v>6848.75</v>
      </c>
      <c r="M2207" s="95">
        <v>6848.75</v>
      </c>
      <c r="N2207" s="95">
        <v>6848.75</v>
      </c>
      <c r="O2207" s="95">
        <v>6848.75</v>
      </c>
      <c r="P2207" s="95">
        <v>6848.75</v>
      </c>
      <c r="Q2207" s="95">
        <v>6848.75</v>
      </c>
      <c r="R2207" s="95">
        <v>6848.75</v>
      </c>
      <c r="S2207" s="95">
        <v>6848.75</v>
      </c>
      <c r="T2207" s="95">
        <v>6848.75</v>
      </c>
      <c r="U2207" s="95">
        <v>6848.75</v>
      </c>
      <c r="V2207" s="95">
        <v>6848.75</v>
      </c>
      <c r="W2207" s="95">
        <v>6848.75</v>
      </c>
      <c r="X2207" s="95">
        <v>6848.75</v>
      </c>
      <c r="Y2207" s="95">
        <v>6848.75</v>
      </c>
      <c r="Z2207" s="95">
        <v>6848.75</v>
      </c>
      <c r="AA2207" s="95">
        <v>6848.75</v>
      </c>
      <c r="AB2207" s="95">
        <v>6848.75</v>
      </c>
      <c r="AC2207" s="95">
        <v>6848.75</v>
      </c>
      <c r="AD2207" s="95">
        <v>6848.75</v>
      </c>
      <c r="AE2207" s="95">
        <v>6848.75</v>
      </c>
      <c r="AF2207" s="95">
        <v>6848.75</v>
      </c>
      <c r="AG2207" s="95">
        <v>6848.75</v>
      </c>
      <c r="AH2207" s="95">
        <v>6848.75</v>
      </c>
      <c r="AI2207" s="95">
        <v>6848.75</v>
      </c>
      <c r="AJ2207" s="95">
        <v>6848.75</v>
      </c>
      <c r="AK2207" s="95">
        <v>6848.75</v>
      </c>
      <c r="AL2207" s="95">
        <v>6848.75</v>
      </c>
      <c r="AM2207" s="95">
        <v>6848.75</v>
      </c>
      <c r="AN2207" s="95">
        <v>6848.75</v>
      </c>
      <c r="AO2207" s="95">
        <v>6848.75</v>
      </c>
      <c r="AP2207" s="95">
        <v>6848.75</v>
      </c>
      <c r="AQ2207" s="95">
        <v>6848.75</v>
      </c>
      <c r="AR2207" s="95">
        <v>6848.75</v>
      </c>
      <c r="AS2207" s="95">
        <v>6848.75</v>
      </c>
      <c r="AT2207" s="95">
        <v>6848.75</v>
      </c>
      <c r="AU2207" s="95">
        <v>6848.75</v>
      </c>
      <c r="AV2207" s="95">
        <v>6848.75</v>
      </c>
      <c r="AW2207" s="95">
        <v>6848.75</v>
      </c>
      <c r="AX2207" s="96">
        <v>6848.75</v>
      </c>
    </row>
    <row r="2208" spans="1:50" x14ac:dyDescent="0.25">
      <c r="A2208" s="356"/>
      <c r="B2208" s="359"/>
      <c r="C2208" s="350"/>
      <c r="D2208" s="2" t="s">
        <v>8</v>
      </c>
      <c r="E2208" s="160" t="str">
        <f>A2203&amp;"/"&amp;B2203&amp;"/"&amp;C2207&amp;"/"&amp;D2208</f>
        <v>Derived gas fired power plants/Steam turbine/CHP/M</v>
      </c>
      <c r="F2208" s="76" t="str">
        <f>A2203</f>
        <v>Derived gas fired power plants</v>
      </c>
      <c r="G2208" s="76" t="str">
        <f>B2203</f>
        <v>Steam turbine</v>
      </c>
      <c r="H2208" s="76" t="str">
        <f>C2207</f>
        <v>CHP</v>
      </c>
      <c r="I2208" s="161" t="str">
        <f t="shared" si="114"/>
        <v>M</v>
      </c>
      <c r="J2208" s="91">
        <v>6308.6075674101603</v>
      </c>
      <c r="K2208" s="91">
        <v>6308.6075674101603</v>
      </c>
      <c r="L2208" s="91">
        <v>6308.6075674101603</v>
      </c>
      <c r="M2208" s="91">
        <v>6308.6075674101603</v>
      </c>
      <c r="N2208" s="91">
        <v>6308.6075674101603</v>
      </c>
      <c r="O2208" s="91">
        <v>6308.6075674101603</v>
      </c>
      <c r="P2208" s="91">
        <v>6308.6075674101603</v>
      </c>
      <c r="Q2208" s="91">
        <v>6308.6075674101603</v>
      </c>
      <c r="R2208" s="91">
        <v>6308.6075674101603</v>
      </c>
      <c r="S2208" s="91">
        <v>6308.6075674101603</v>
      </c>
      <c r="T2208" s="91">
        <v>6308.6075674101603</v>
      </c>
      <c r="U2208" s="91">
        <v>6308.6075674101603</v>
      </c>
      <c r="V2208" s="91">
        <v>6308.6075674101603</v>
      </c>
      <c r="W2208" s="91">
        <v>6308.6075674101603</v>
      </c>
      <c r="X2208" s="91">
        <v>6308.6075674101603</v>
      </c>
      <c r="Y2208" s="91">
        <v>6308.6075674101603</v>
      </c>
      <c r="Z2208" s="91">
        <v>6308.6075674101603</v>
      </c>
      <c r="AA2208" s="91">
        <v>6308.6075674101603</v>
      </c>
      <c r="AB2208" s="91">
        <v>6308.6075674101603</v>
      </c>
      <c r="AC2208" s="91">
        <v>6308.6075674101603</v>
      </c>
      <c r="AD2208" s="91">
        <v>6308.6075674101603</v>
      </c>
      <c r="AE2208" s="91">
        <v>6308.6075674101603</v>
      </c>
      <c r="AF2208" s="91">
        <v>6308.6075674101603</v>
      </c>
      <c r="AG2208" s="91">
        <v>6308.6075674101603</v>
      </c>
      <c r="AH2208" s="91">
        <v>6308.6075674101603</v>
      </c>
      <c r="AI2208" s="91">
        <v>6308.6075674101603</v>
      </c>
      <c r="AJ2208" s="91">
        <v>6308.6075674101603</v>
      </c>
      <c r="AK2208" s="91">
        <v>6308.6075674101603</v>
      </c>
      <c r="AL2208" s="91">
        <v>6308.6075674101603</v>
      </c>
      <c r="AM2208" s="91">
        <v>6308.6075674101603</v>
      </c>
      <c r="AN2208" s="91">
        <v>6308.6075674101603</v>
      </c>
      <c r="AO2208" s="91">
        <v>6308.6075674101603</v>
      </c>
      <c r="AP2208" s="91">
        <v>6308.6075674101603</v>
      </c>
      <c r="AQ2208" s="91">
        <v>6308.6075674101603</v>
      </c>
      <c r="AR2208" s="91">
        <v>6308.6075674101603</v>
      </c>
      <c r="AS2208" s="91">
        <v>6308.6075674101603</v>
      </c>
      <c r="AT2208" s="91">
        <v>6308.6075674101603</v>
      </c>
      <c r="AU2208" s="91">
        <v>6308.6075674101603</v>
      </c>
      <c r="AV2208" s="91">
        <v>6308.6075674101603</v>
      </c>
      <c r="AW2208" s="91">
        <v>6308.6075674101603</v>
      </c>
      <c r="AX2208" s="92">
        <v>6308.6075674101603</v>
      </c>
    </row>
    <row r="2209" spans="1:50" x14ac:dyDescent="0.25">
      <c r="A2209" s="356"/>
      <c r="B2209" s="359"/>
      <c r="C2209" s="350"/>
      <c r="D2209" s="2" t="s">
        <v>10</v>
      </c>
      <c r="E2209" s="160" t="str">
        <f>A2203&amp;"/"&amp;B2203&amp;"/"&amp;C2207&amp;"/"&amp;D2209</f>
        <v>Derived gas fired power plants/Steam turbine/CHP/S</v>
      </c>
      <c r="F2209" s="76" t="str">
        <f>A2203</f>
        <v>Derived gas fired power plants</v>
      </c>
      <c r="G2209" s="76" t="str">
        <f>B2203</f>
        <v>Steam turbine</v>
      </c>
      <c r="H2209" s="76" t="str">
        <f>C2207</f>
        <v>CHP</v>
      </c>
      <c r="I2209" s="161" t="str">
        <f t="shared" si="114"/>
        <v>S</v>
      </c>
      <c r="J2209" s="91">
        <v>5690.744112910932</v>
      </c>
      <c r="K2209" s="91">
        <v>5690.744112910932</v>
      </c>
      <c r="L2209" s="91">
        <v>5690.744112910932</v>
      </c>
      <c r="M2209" s="91">
        <v>5690.744112910932</v>
      </c>
      <c r="N2209" s="91">
        <v>5690.744112910932</v>
      </c>
      <c r="O2209" s="91">
        <v>5690.744112910932</v>
      </c>
      <c r="P2209" s="91">
        <v>5690.744112910932</v>
      </c>
      <c r="Q2209" s="91">
        <v>5690.744112910932</v>
      </c>
      <c r="R2209" s="91">
        <v>5690.744112910932</v>
      </c>
      <c r="S2209" s="91">
        <v>5690.744112910932</v>
      </c>
      <c r="T2209" s="91">
        <v>5690.744112910932</v>
      </c>
      <c r="U2209" s="91">
        <v>5690.744112910932</v>
      </c>
      <c r="V2209" s="91">
        <v>5690.744112910932</v>
      </c>
      <c r="W2209" s="91">
        <v>5690.744112910932</v>
      </c>
      <c r="X2209" s="91">
        <v>5690.744112910932</v>
      </c>
      <c r="Y2209" s="91">
        <v>5690.744112910932</v>
      </c>
      <c r="Z2209" s="91">
        <v>5690.744112910932</v>
      </c>
      <c r="AA2209" s="91">
        <v>5690.744112910932</v>
      </c>
      <c r="AB2209" s="91">
        <v>5690.744112910932</v>
      </c>
      <c r="AC2209" s="91">
        <v>5690.744112910932</v>
      </c>
      <c r="AD2209" s="91">
        <v>5690.744112910932</v>
      </c>
      <c r="AE2209" s="91">
        <v>5690.744112910932</v>
      </c>
      <c r="AF2209" s="91">
        <v>5690.744112910932</v>
      </c>
      <c r="AG2209" s="91">
        <v>5690.744112910932</v>
      </c>
      <c r="AH2209" s="91">
        <v>5690.744112910932</v>
      </c>
      <c r="AI2209" s="91">
        <v>5690.744112910932</v>
      </c>
      <c r="AJ2209" s="91">
        <v>5690.744112910932</v>
      </c>
      <c r="AK2209" s="91">
        <v>5690.744112910932</v>
      </c>
      <c r="AL2209" s="91">
        <v>5690.744112910932</v>
      </c>
      <c r="AM2209" s="91">
        <v>5690.744112910932</v>
      </c>
      <c r="AN2209" s="91">
        <v>5690.744112910932</v>
      </c>
      <c r="AO2209" s="91">
        <v>5690.744112910932</v>
      </c>
      <c r="AP2209" s="91">
        <v>5690.744112910932</v>
      </c>
      <c r="AQ2209" s="91">
        <v>5690.744112910932</v>
      </c>
      <c r="AR2209" s="91">
        <v>5690.744112910932</v>
      </c>
      <c r="AS2209" s="91">
        <v>5690.744112910932</v>
      </c>
      <c r="AT2209" s="91">
        <v>5690.744112910932</v>
      </c>
      <c r="AU2209" s="91">
        <v>5690.744112910932</v>
      </c>
      <c r="AV2209" s="91">
        <v>5690.744112910932</v>
      </c>
      <c r="AW2209" s="91">
        <v>5690.744112910932</v>
      </c>
      <c r="AX2209" s="92">
        <v>5690.744112910932</v>
      </c>
    </row>
    <row r="2210" spans="1:50" x14ac:dyDescent="0.25">
      <c r="A2210" s="356"/>
      <c r="B2210" s="359"/>
      <c r="C2210" s="360"/>
      <c r="D2210" s="59" t="s">
        <v>20</v>
      </c>
      <c r="E2210" s="166" t="str">
        <f>A2203&amp;"/"&amp;B2203&amp;"/"&amp;C2207&amp;"/"&amp;D2210</f>
        <v>Derived gas fired power plants/Steam turbine/CHP/XS</v>
      </c>
      <c r="F2210" s="79" t="str">
        <f>A2203</f>
        <v>Derived gas fired power plants</v>
      </c>
      <c r="G2210" s="79" t="str">
        <f>B2203</f>
        <v>Steam turbine</v>
      </c>
      <c r="H2210" s="79" t="str">
        <f>C2207</f>
        <v>CHP</v>
      </c>
      <c r="I2210" s="167" t="str">
        <f t="shared" si="114"/>
        <v>XS</v>
      </c>
      <c r="J2210" s="97">
        <v>5376.2909479599839</v>
      </c>
      <c r="K2210" s="97">
        <v>5376.2909479599839</v>
      </c>
      <c r="L2210" s="97">
        <v>5376.2909479599839</v>
      </c>
      <c r="M2210" s="97">
        <v>5376.2909479599839</v>
      </c>
      <c r="N2210" s="97">
        <v>5376.2909479599839</v>
      </c>
      <c r="O2210" s="97">
        <v>5376.2909479599839</v>
      </c>
      <c r="P2210" s="97">
        <v>5376.2909479599839</v>
      </c>
      <c r="Q2210" s="97">
        <v>5376.2909479599839</v>
      </c>
      <c r="R2210" s="97">
        <v>5376.2909479599839</v>
      </c>
      <c r="S2210" s="97">
        <v>5376.2909479599839</v>
      </c>
      <c r="T2210" s="97">
        <v>5376.2909479599839</v>
      </c>
      <c r="U2210" s="97">
        <v>5376.2909479599839</v>
      </c>
      <c r="V2210" s="97">
        <v>5376.2909479599839</v>
      </c>
      <c r="W2210" s="97">
        <v>5376.2909479599839</v>
      </c>
      <c r="X2210" s="97">
        <v>5376.2909479599839</v>
      </c>
      <c r="Y2210" s="97">
        <v>5376.2909479599839</v>
      </c>
      <c r="Z2210" s="97">
        <v>5376.2909479599839</v>
      </c>
      <c r="AA2210" s="97">
        <v>5376.2909479599839</v>
      </c>
      <c r="AB2210" s="97">
        <v>5376.2909479599839</v>
      </c>
      <c r="AC2210" s="97">
        <v>5376.2909479599839</v>
      </c>
      <c r="AD2210" s="97">
        <v>5376.2909479599839</v>
      </c>
      <c r="AE2210" s="97">
        <v>5376.2909479599839</v>
      </c>
      <c r="AF2210" s="97">
        <v>5376.2909479599839</v>
      </c>
      <c r="AG2210" s="97">
        <v>5376.2909479599839</v>
      </c>
      <c r="AH2210" s="97">
        <v>5376.2909479599839</v>
      </c>
      <c r="AI2210" s="97">
        <v>5376.2909479599839</v>
      </c>
      <c r="AJ2210" s="97">
        <v>5376.2909479599839</v>
      </c>
      <c r="AK2210" s="97">
        <v>5376.2909479599839</v>
      </c>
      <c r="AL2210" s="97">
        <v>5376.2909479599839</v>
      </c>
      <c r="AM2210" s="97">
        <v>5376.2909479599839</v>
      </c>
      <c r="AN2210" s="97">
        <v>5376.2909479599839</v>
      </c>
      <c r="AO2210" s="97">
        <v>5376.2909479599839</v>
      </c>
      <c r="AP2210" s="97">
        <v>5376.2909479599839</v>
      </c>
      <c r="AQ2210" s="97">
        <v>5376.2909479599839</v>
      </c>
      <c r="AR2210" s="97">
        <v>5376.2909479599839</v>
      </c>
      <c r="AS2210" s="97">
        <v>5376.2909479599839</v>
      </c>
      <c r="AT2210" s="97">
        <v>5376.2909479599839</v>
      </c>
      <c r="AU2210" s="97">
        <v>5376.2909479599839</v>
      </c>
      <c r="AV2210" s="97">
        <v>5376.2909479599839</v>
      </c>
      <c r="AW2210" s="97">
        <v>5376.2909479599839</v>
      </c>
      <c r="AX2210" s="98">
        <v>5376.2909479599839</v>
      </c>
    </row>
    <row r="2211" spans="1:50" x14ac:dyDescent="0.25">
      <c r="A2211" s="356"/>
      <c r="B2211" s="359"/>
      <c r="C2211" s="361" t="s">
        <v>15</v>
      </c>
      <c r="D2211" s="58" t="s">
        <v>7</v>
      </c>
      <c r="E2211" s="164" t="str">
        <f>A2203&amp;"/"&amp;B2203&amp;"/"&amp;C2211&amp;"/"&amp;D2211</f>
        <v>Derived gas fired power plants/Steam turbine/Electricity only with CCS/L</v>
      </c>
      <c r="F2211" s="78" t="str">
        <f>A2203</f>
        <v>Derived gas fired power plants</v>
      </c>
      <c r="G2211" s="78" t="str">
        <f>B2203</f>
        <v>Steam turbine</v>
      </c>
      <c r="H2211" s="78" t="str">
        <f>C2211</f>
        <v>Electricity only with CCS</v>
      </c>
      <c r="I2211" s="165" t="str">
        <f t="shared" si="114"/>
        <v>L</v>
      </c>
      <c r="J2211" s="95" t="s">
        <v>112</v>
      </c>
      <c r="K2211" s="95" t="s">
        <v>112</v>
      </c>
      <c r="L2211" s="95" t="s">
        <v>112</v>
      </c>
      <c r="M2211" s="95" t="s">
        <v>112</v>
      </c>
      <c r="N2211" s="95" t="s">
        <v>112</v>
      </c>
      <c r="O2211" s="95" t="s">
        <v>112</v>
      </c>
      <c r="P2211" s="95" t="s">
        <v>112</v>
      </c>
      <c r="Q2211" s="95" t="s">
        <v>112</v>
      </c>
      <c r="R2211" s="95" t="s">
        <v>112</v>
      </c>
      <c r="S2211" s="95" t="s">
        <v>112</v>
      </c>
      <c r="T2211" s="95" t="s">
        <v>112</v>
      </c>
      <c r="U2211" s="95" t="s">
        <v>112</v>
      </c>
      <c r="V2211" s="95" t="s">
        <v>112</v>
      </c>
      <c r="W2211" s="95" t="s">
        <v>112</v>
      </c>
      <c r="X2211" s="95" t="s">
        <v>112</v>
      </c>
      <c r="Y2211" s="95" t="s">
        <v>112</v>
      </c>
      <c r="Z2211" s="95" t="s">
        <v>112</v>
      </c>
      <c r="AA2211" s="95" t="s">
        <v>112</v>
      </c>
      <c r="AB2211" s="95" t="s">
        <v>112</v>
      </c>
      <c r="AC2211" s="95" t="s">
        <v>112</v>
      </c>
      <c r="AD2211" s="95" t="s">
        <v>112</v>
      </c>
      <c r="AE2211" s="95">
        <v>7575</v>
      </c>
      <c r="AF2211" s="95">
        <v>7575</v>
      </c>
      <c r="AG2211" s="95">
        <v>7575</v>
      </c>
      <c r="AH2211" s="95">
        <v>7575</v>
      </c>
      <c r="AI2211" s="95">
        <v>7575</v>
      </c>
      <c r="AJ2211" s="95">
        <v>7575</v>
      </c>
      <c r="AK2211" s="95">
        <v>7575</v>
      </c>
      <c r="AL2211" s="95">
        <v>7575</v>
      </c>
      <c r="AM2211" s="95">
        <v>7575</v>
      </c>
      <c r="AN2211" s="95">
        <v>7575</v>
      </c>
      <c r="AO2211" s="95">
        <v>7575</v>
      </c>
      <c r="AP2211" s="95">
        <v>7575</v>
      </c>
      <c r="AQ2211" s="95">
        <v>7575</v>
      </c>
      <c r="AR2211" s="95">
        <v>7575</v>
      </c>
      <c r="AS2211" s="95">
        <v>7575</v>
      </c>
      <c r="AT2211" s="95">
        <v>7575</v>
      </c>
      <c r="AU2211" s="95">
        <v>7575</v>
      </c>
      <c r="AV2211" s="95">
        <v>7575</v>
      </c>
      <c r="AW2211" s="95">
        <v>7575</v>
      </c>
      <c r="AX2211" s="96">
        <v>7575</v>
      </c>
    </row>
    <row r="2212" spans="1:50" x14ac:dyDescent="0.25">
      <c r="A2212" s="356"/>
      <c r="B2212" s="359"/>
      <c r="C2212" s="360"/>
      <c r="D2212" s="59" t="s">
        <v>8</v>
      </c>
      <c r="E2212" s="166" t="str">
        <f>A2203&amp;"/"&amp;B2203&amp;"/"&amp;C2211&amp;"/"&amp;D2212</f>
        <v>Derived gas fired power plants/Steam turbine/Electricity only with CCS/M</v>
      </c>
      <c r="F2212" s="79" t="str">
        <f>A2203</f>
        <v>Derived gas fired power plants</v>
      </c>
      <c r="G2212" s="79" t="str">
        <f>B2203</f>
        <v>Steam turbine</v>
      </c>
      <c r="H2212" s="79" t="str">
        <f>C2211</f>
        <v>Electricity only with CCS</v>
      </c>
      <c r="I2212" s="167" t="str">
        <f t="shared" si="114"/>
        <v>M</v>
      </c>
      <c r="J2212" s="97" t="s">
        <v>112</v>
      </c>
      <c r="K2212" s="97" t="s">
        <v>112</v>
      </c>
      <c r="L2212" s="97" t="s">
        <v>112</v>
      </c>
      <c r="M2212" s="97" t="s">
        <v>112</v>
      </c>
      <c r="N2212" s="97" t="s">
        <v>112</v>
      </c>
      <c r="O2212" s="97" t="s">
        <v>112</v>
      </c>
      <c r="P2212" s="97" t="s">
        <v>112</v>
      </c>
      <c r="Q2212" s="97" t="s">
        <v>112</v>
      </c>
      <c r="R2212" s="97" t="s">
        <v>112</v>
      </c>
      <c r="S2212" s="97" t="s">
        <v>112</v>
      </c>
      <c r="T2212" s="97" t="s">
        <v>112</v>
      </c>
      <c r="U2212" s="97" t="s">
        <v>112</v>
      </c>
      <c r="V2212" s="97" t="s">
        <v>112</v>
      </c>
      <c r="W2212" s="97" t="s">
        <v>112</v>
      </c>
      <c r="X2212" s="97" t="s">
        <v>112</v>
      </c>
      <c r="Y2212" s="97" t="s">
        <v>112</v>
      </c>
      <c r="Z2212" s="97" t="s">
        <v>112</v>
      </c>
      <c r="AA2212" s="97" t="s">
        <v>112</v>
      </c>
      <c r="AB2212" s="97" t="s">
        <v>112</v>
      </c>
      <c r="AC2212" s="97" t="s">
        <v>112</v>
      </c>
      <c r="AD2212" s="97" t="s">
        <v>112</v>
      </c>
      <c r="AE2212" s="97">
        <v>6960.5918147014645</v>
      </c>
      <c r="AF2212" s="97">
        <v>6960.5918147014645</v>
      </c>
      <c r="AG2212" s="97">
        <v>6960.5918147014645</v>
      </c>
      <c r="AH2212" s="97">
        <v>6960.5918147014645</v>
      </c>
      <c r="AI2212" s="97">
        <v>6960.5918147014645</v>
      </c>
      <c r="AJ2212" s="97">
        <v>6960.5918147014645</v>
      </c>
      <c r="AK2212" s="97">
        <v>6960.5918147014645</v>
      </c>
      <c r="AL2212" s="97">
        <v>6960.5918147014645</v>
      </c>
      <c r="AM2212" s="97">
        <v>6960.5918147014645</v>
      </c>
      <c r="AN2212" s="97">
        <v>6960.5918147014645</v>
      </c>
      <c r="AO2212" s="97">
        <v>6960.5918147014645</v>
      </c>
      <c r="AP2212" s="97">
        <v>6960.5918147014645</v>
      </c>
      <c r="AQ2212" s="97">
        <v>6960.5918147014645</v>
      </c>
      <c r="AR2212" s="97">
        <v>6960.5918147014645</v>
      </c>
      <c r="AS2212" s="97">
        <v>6960.5918147014645</v>
      </c>
      <c r="AT2212" s="97">
        <v>6960.5918147014645</v>
      </c>
      <c r="AU2212" s="97">
        <v>6960.5918147014645</v>
      </c>
      <c r="AV2212" s="97">
        <v>6960.5918147014645</v>
      </c>
      <c r="AW2212" s="97">
        <v>6960.5918147014645</v>
      </c>
      <c r="AX2212" s="98">
        <v>6960.5918147014645</v>
      </c>
    </row>
    <row r="2213" spans="1:50" x14ac:dyDescent="0.25">
      <c r="A2213" s="356"/>
      <c r="B2213" s="359"/>
      <c r="C2213" s="361" t="s">
        <v>16</v>
      </c>
      <c r="D2213" s="2" t="s">
        <v>7</v>
      </c>
      <c r="E2213" s="160" t="str">
        <f>A2203&amp;"/"&amp;B2203&amp;"/"&amp;C2213&amp;"/"&amp;D2213</f>
        <v>Derived gas fired power plants/Steam turbine/CHP with CCS/L</v>
      </c>
      <c r="F2213" s="76" t="str">
        <f>A2203</f>
        <v>Derived gas fired power plants</v>
      </c>
      <c r="G2213" s="76" t="str">
        <f>B2203</f>
        <v>Steam turbine</v>
      </c>
      <c r="H2213" s="76" t="str">
        <f>C2213</f>
        <v>CHP with CCS</v>
      </c>
      <c r="I2213" s="161" t="str">
        <f t="shared" si="114"/>
        <v>L</v>
      </c>
      <c r="J2213" s="91" t="s">
        <v>112</v>
      </c>
      <c r="K2213" s="91" t="s">
        <v>112</v>
      </c>
      <c r="L2213" s="91" t="s">
        <v>112</v>
      </c>
      <c r="M2213" s="91" t="s">
        <v>112</v>
      </c>
      <c r="N2213" s="91" t="s">
        <v>112</v>
      </c>
      <c r="O2213" s="91" t="s">
        <v>112</v>
      </c>
      <c r="P2213" s="91" t="s">
        <v>112</v>
      </c>
      <c r="Q2213" s="91" t="s">
        <v>112</v>
      </c>
      <c r="R2213" s="91" t="s">
        <v>112</v>
      </c>
      <c r="S2213" s="91" t="s">
        <v>112</v>
      </c>
      <c r="T2213" s="91" t="s">
        <v>112</v>
      </c>
      <c r="U2213" s="91" t="s">
        <v>112</v>
      </c>
      <c r="V2213" s="91" t="s">
        <v>112</v>
      </c>
      <c r="W2213" s="91" t="s">
        <v>112</v>
      </c>
      <c r="X2213" s="91" t="s">
        <v>112</v>
      </c>
      <c r="Y2213" s="91" t="s">
        <v>112</v>
      </c>
      <c r="Z2213" s="91" t="s">
        <v>112</v>
      </c>
      <c r="AA2213" s="91" t="s">
        <v>112</v>
      </c>
      <c r="AB2213" s="91" t="s">
        <v>112</v>
      </c>
      <c r="AC2213" s="91" t="s">
        <v>112</v>
      </c>
      <c r="AD2213" s="91" t="s">
        <v>112</v>
      </c>
      <c r="AE2213" s="91">
        <v>6848.75</v>
      </c>
      <c r="AF2213" s="91">
        <v>6848.75</v>
      </c>
      <c r="AG2213" s="91">
        <v>6848.75</v>
      </c>
      <c r="AH2213" s="91">
        <v>6848.75</v>
      </c>
      <c r="AI2213" s="91">
        <v>6848.75</v>
      </c>
      <c r="AJ2213" s="91">
        <v>6848.75</v>
      </c>
      <c r="AK2213" s="91">
        <v>6848.75</v>
      </c>
      <c r="AL2213" s="91">
        <v>6848.75</v>
      </c>
      <c r="AM2213" s="91">
        <v>6848.75</v>
      </c>
      <c r="AN2213" s="91">
        <v>6848.75</v>
      </c>
      <c r="AO2213" s="91">
        <v>6848.75</v>
      </c>
      <c r="AP2213" s="91">
        <v>6848.75</v>
      </c>
      <c r="AQ2213" s="91">
        <v>6848.75</v>
      </c>
      <c r="AR2213" s="91">
        <v>6848.75</v>
      </c>
      <c r="AS2213" s="91">
        <v>6848.75</v>
      </c>
      <c r="AT2213" s="91">
        <v>6848.75</v>
      </c>
      <c r="AU2213" s="91">
        <v>6848.75</v>
      </c>
      <c r="AV2213" s="91">
        <v>6848.75</v>
      </c>
      <c r="AW2213" s="91">
        <v>6848.75</v>
      </c>
      <c r="AX2213" s="92">
        <v>6848.75</v>
      </c>
    </row>
    <row r="2214" spans="1:50" x14ac:dyDescent="0.25">
      <c r="A2214" s="357"/>
      <c r="B2214" s="362"/>
      <c r="C2214" s="354"/>
      <c r="D2214" s="4" t="s">
        <v>8</v>
      </c>
      <c r="E2214" s="168" t="str">
        <f>A2203&amp;"/"&amp;B2203&amp;"/"&amp;C2213&amp;"/"&amp;D2214</f>
        <v>Derived gas fired power plants/Steam turbine/CHP with CCS/M</v>
      </c>
      <c r="F2214" s="80" t="str">
        <f>A2203</f>
        <v>Derived gas fired power plants</v>
      </c>
      <c r="G2214" s="80" t="str">
        <f>B2203</f>
        <v>Steam turbine</v>
      </c>
      <c r="H2214" s="80" t="str">
        <f>C2213</f>
        <v>CHP with CCS</v>
      </c>
      <c r="I2214" s="169" t="str">
        <f t="shared" si="114"/>
        <v>M</v>
      </c>
      <c r="J2214" s="99" t="s">
        <v>112</v>
      </c>
      <c r="K2214" s="99" t="s">
        <v>112</v>
      </c>
      <c r="L2214" s="99" t="s">
        <v>112</v>
      </c>
      <c r="M2214" s="99" t="s">
        <v>112</v>
      </c>
      <c r="N2214" s="99" t="s">
        <v>112</v>
      </c>
      <c r="O2214" s="99" t="s">
        <v>112</v>
      </c>
      <c r="P2214" s="99" t="s">
        <v>112</v>
      </c>
      <c r="Q2214" s="99" t="s">
        <v>112</v>
      </c>
      <c r="R2214" s="99" t="s">
        <v>112</v>
      </c>
      <c r="S2214" s="99" t="s">
        <v>112</v>
      </c>
      <c r="T2214" s="99" t="s">
        <v>112</v>
      </c>
      <c r="U2214" s="99" t="s">
        <v>112</v>
      </c>
      <c r="V2214" s="99" t="s">
        <v>112</v>
      </c>
      <c r="W2214" s="99" t="s">
        <v>112</v>
      </c>
      <c r="X2214" s="99" t="s">
        <v>112</v>
      </c>
      <c r="Y2214" s="99" t="s">
        <v>112</v>
      </c>
      <c r="Z2214" s="99" t="s">
        <v>112</v>
      </c>
      <c r="AA2214" s="99" t="s">
        <v>112</v>
      </c>
      <c r="AB2214" s="99" t="s">
        <v>112</v>
      </c>
      <c r="AC2214" s="99" t="s">
        <v>112</v>
      </c>
      <c r="AD2214" s="99" t="s">
        <v>112</v>
      </c>
      <c r="AE2214" s="99">
        <v>6308.6075674101603</v>
      </c>
      <c r="AF2214" s="99">
        <v>6308.6075674101603</v>
      </c>
      <c r="AG2214" s="99">
        <v>6308.6075674101603</v>
      </c>
      <c r="AH2214" s="99">
        <v>6308.6075674101603</v>
      </c>
      <c r="AI2214" s="99">
        <v>6308.6075674101603</v>
      </c>
      <c r="AJ2214" s="99">
        <v>6308.6075674101603</v>
      </c>
      <c r="AK2214" s="99">
        <v>6308.6075674101603</v>
      </c>
      <c r="AL2214" s="99">
        <v>6308.6075674101603</v>
      </c>
      <c r="AM2214" s="99">
        <v>6308.6075674101603</v>
      </c>
      <c r="AN2214" s="99">
        <v>6308.6075674101603</v>
      </c>
      <c r="AO2214" s="99">
        <v>6308.6075674101603</v>
      </c>
      <c r="AP2214" s="99">
        <v>6308.6075674101603</v>
      </c>
      <c r="AQ2214" s="99">
        <v>6308.6075674101603</v>
      </c>
      <c r="AR2214" s="99">
        <v>6308.6075674101603</v>
      </c>
      <c r="AS2214" s="99">
        <v>6308.6075674101603</v>
      </c>
      <c r="AT2214" s="99">
        <v>6308.6075674101603</v>
      </c>
      <c r="AU2214" s="99">
        <v>6308.6075674101603</v>
      </c>
      <c r="AV2214" s="99">
        <v>6308.6075674101603</v>
      </c>
      <c r="AW2214" s="99">
        <v>6308.6075674101603</v>
      </c>
      <c r="AX2214" s="100">
        <v>6308.6075674101603</v>
      </c>
    </row>
    <row r="2215" spans="1:50" x14ac:dyDescent="0.25">
      <c r="A2215" s="356" t="s">
        <v>27</v>
      </c>
      <c r="B2215" s="365" t="s">
        <v>19</v>
      </c>
      <c r="C2215" s="353" t="s">
        <v>6</v>
      </c>
      <c r="D2215" s="2" t="s">
        <v>7</v>
      </c>
      <c r="E2215" s="162" t="str">
        <f>A2215&amp;"/"&amp;B2215&amp;"/"&amp;C2215&amp;"/"&amp;D2215</f>
        <v>Refinery gas fired power plants/Steam turbine/Electricity only/L</v>
      </c>
      <c r="F2215" s="77" t="str">
        <f>A2215</f>
        <v>Refinery gas fired power plants</v>
      </c>
      <c r="G2215" s="77" t="str">
        <f>B2215</f>
        <v>Steam turbine</v>
      </c>
      <c r="H2215" s="77" t="str">
        <f>C2215</f>
        <v>Electricity only</v>
      </c>
      <c r="I2215" s="163" t="str">
        <f t="shared" ref="I2215:I2278" si="115">D2215</f>
        <v>L</v>
      </c>
      <c r="J2215" s="93">
        <v>7875</v>
      </c>
      <c r="K2215" s="93">
        <v>7875</v>
      </c>
      <c r="L2215" s="93">
        <v>7875</v>
      </c>
      <c r="M2215" s="93">
        <v>7875</v>
      </c>
      <c r="N2215" s="93">
        <v>7875</v>
      </c>
      <c r="O2215" s="93">
        <v>7875</v>
      </c>
      <c r="P2215" s="93">
        <v>7875</v>
      </c>
      <c r="Q2215" s="93">
        <v>7875</v>
      </c>
      <c r="R2215" s="93">
        <v>7875</v>
      </c>
      <c r="S2215" s="93">
        <v>7875</v>
      </c>
      <c r="T2215" s="93">
        <v>7875</v>
      </c>
      <c r="U2215" s="93">
        <v>7875</v>
      </c>
      <c r="V2215" s="93">
        <v>7875</v>
      </c>
      <c r="W2215" s="93">
        <v>7875</v>
      </c>
      <c r="X2215" s="93">
        <v>7875</v>
      </c>
      <c r="Y2215" s="93">
        <v>7875</v>
      </c>
      <c r="Z2215" s="93">
        <v>7875</v>
      </c>
      <c r="AA2215" s="93">
        <v>7875</v>
      </c>
      <c r="AB2215" s="93">
        <v>7875</v>
      </c>
      <c r="AC2215" s="93">
        <v>7875</v>
      </c>
      <c r="AD2215" s="93">
        <v>7875</v>
      </c>
      <c r="AE2215" s="93">
        <v>7875</v>
      </c>
      <c r="AF2215" s="93">
        <v>7875</v>
      </c>
      <c r="AG2215" s="93">
        <v>7875</v>
      </c>
      <c r="AH2215" s="93">
        <v>7875</v>
      </c>
      <c r="AI2215" s="93">
        <v>7875</v>
      </c>
      <c r="AJ2215" s="93">
        <v>7875</v>
      </c>
      <c r="AK2215" s="93">
        <v>7875</v>
      </c>
      <c r="AL2215" s="93">
        <v>7875</v>
      </c>
      <c r="AM2215" s="93">
        <v>7875</v>
      </c>
      <c r="AN2215" s="93">
        <v>7875</v>
      </c>
      <c r="AO2215" s="93">
        <v>7875</v>
      </c>
      <c r="AP2215" s="93">
        <v>7875</v>
      </c>
      <c r="AQ2215" s="93">
        <v>7875</v>
      </c>
      <c r="AR2215" s="93">
        <v>7875</v>
      </c>
      <c r="AS2215" s="93">
        <v>7875</v>
      </c>
      <c r="AT2215" s="93">
        <v>7875</v>
      </c>
      <c r="AU2215" s="93">
        <v>7875</v>
      </c>
      <c r="AV2215" s="93">
        <v>7875</v>
      </c>
      <c r="AW2215" s="93">
        <v>7875</v>
      </c>
      <c r="AX2215" s="94">
        <v>7875</v>
      </c>
    </row>
    <row r="2216" spans="1:50" x14ac:dyDescent="0.25">
      <c r="A2216" s="356"/>
      <c r="B2216" s="366"/>
      <c r="C2216" s="350"/>
      <c r="D2216" s="2" t="s">
        <v>8</v>
      </c>
      <c r="E2216" s="160" t="str">
        <f>A2215&amp;"/"&amp;B2215&amp;"/"&amp;C2215&amp;"/"&amp;D2216</f>
        <v>Refinery gas fired power plants/Steam turbine/Electricity only/M</v>
      </c>
      <c r="F2216" s="76" t="str">
        <f>A2215</f>
        <v>Refinery gas fired power plants</v>
      </c>
      <c r="G2216" s="76" t="str">
        <f>B2215</f>
        <v>Steam turbine</v>
      </c>
      <c r="H2216" s="76" t="str">
        <f>C2215</f>
        <v>Electricity only</v>
      </c>
      <c r="I2216" s="161" t="str">
        <f t="shared" si="115"/>
        <v>M</v>
      </c>
      <c r="J2216" s="91">
        <v>6938.2955427543457</v>
      </c>
      <c r="K2216" s="91">
        <v>6938.2955427543457</v>
      </c>
      <c r="L2216" s="91">
        <v>6938.2955427543457</v>
      </c>
      <c r="M2216" s="91">
        <v>6938.2955427543457</v>
      </c>
      <c r="N2216" s="91">
        <v>6938.2955427543457</v>
      </c>
      <c r="O2216" s="91">
        <v>6938.2955427543457</v>
      </c>
      <c r="P2216" s="91">
        <v>6938.2955427543457</v>
      </c>
      <c r="Q2216" s="91">
        <v>6938.2955427543457</v>
      </c>
      <c r="R2216" s="91">
        <v>6938.2955427543457</v>
      </c>
      <c r="S2216" s="91">
        <v>6938.2955427543457</v>
      </c>
      <c r="T2216" s="91">
        <v>6938.2955427543457</v>
      </c>
      <c r="U2216" s="91">
        <v>6938.2955427543457</v>
      </c>
      <c r="V2216" s="91">
        <v>6938.2955427543457</v>
      </c>
      <c r="W2216" s="91">
        <v>6938.2955427543457</v>
      </c>
      <c r="X2216" s="91">
        <v>6938.2955427543457</v>
      </c>
      <c r="Y2216" s="91">
        <v>6938.2955427543457</v>
      </c>
      <c r="Z2216" s="91">
        <v>6938.2955427543457</v>
      </c>
      <c r="AA2216" s="91">
        <v>6938.2955427543457</v>
      </c>
      <c r="AB2216" s="91">
        <v>6938.2955427543457</v>
      </c>
      <c r="AC2216" s="91">
        <v>6938.2955427543457</v>
      </c>
      <c r="AD2216" s="91">
        <v>6938.2955427543457</v>
      </c>
      <c r="AE2216" s="91">
        <v>6938.2955427543457</v>
      </c>
      <c r="AF2216" s="91">
        <v>6938.2955427543457</v>
      </c>
      <c r="AG2216" s="91">
        <v>6938.2955427543457</v>
      </c>
      <c r="AH2216" s="91">
        <v>6938.2955427543457</v>
      </c>
      <c r="AI2216" s="91">
        <v>6938.2955427543457</v>
      </c>
      <c r="AJ2216" s="91">
        <v>6938.2955427543457</v>
      </c>
      <c r="AK2216" s="91">
        <v>6938.2955427543457</v>
      </c>
      <c r="AL2216" s="91">
        <v>6938.2955427543457</v>
      </c>
      <c r="AM2216" s="91">
        <v>6938.2955427543457</v>
      </c>
      <c r="AN2216" s="91">
        <v>6938.2955427543457</v>
      </c>
      <c r="AO2216" s="91">
        <v>6938.2955427543457</v>
      </c>
      <c r="AP2216" s="91">
        <v>6938.2955427543457</v>
      </c>
      <c r="AQ2216" s="91">
        <v>6938.2955427543457</v>
      </c>
      <c r="AR2216" s="91">
        <v>6938.2955427543457</v>
      </c>
      <c r="AS2216" s="91">
        <v>6938.2955427543457</v>
      </c>
      <c r="AT2216" s="91">
        <v>6938.2955427543457</v>
      </c>
      <c r="AU2216" s="91">
        <v>6938.2955427543457</v>
      </c>
      <c r="AV2216" s="91">
        <v>6938.2955427543457</v>
      </c>
      <c r="AW2216" s="91">
        <v>6938.2955427543457</v>
      </c>
      <c r="AX2216" s="92">
        <v>6938.2955427543457</v>
      </c>
    </row>
    <row r="2217" spans="1:50" x14ac:dyDescent="0.25">
      <c r="A2217" s="356"/>
      <c r="B2217" s="366"/>
      <c r="C2217" s="360"/>
      <c r="D2217" s="2" t="s">
        <v>10</v>
      </c>
      <c r="E2217" s="160" t="str">
        <f>A2215&amp;"/"&amp;B2215&amp;"/"&amp;C2215&amp;"/"&amp;D2217</f>
        <v>Refinery gas fired power plants/Steam turbine/Electricity only/S</v>
      </c>
      <c r="F2217" s="76" t="str">
        <f>A2215</f>
        <v>Refinery gas fired power plants</v>
      </c>
      <c r="G2217" s="76" t="str">
        <f>B2215</f>
        <v>Steam turbine</v>
      </c>
      <c r="H2217" s="76" t="str">
        <f>C2215</f>
        <v>Electricity only</v>
      </c>
      <c r="I2217" s="161" t="str">
        <f t="shared" si="115"/>
        <v>S</v>
      </c>
      <c r="J2217" s="91">
        <v>6015.1517028275048</v>
      </c>
      <c r="K2217" s="91">
        <v>6015.1517028275048</v>
      </c>
      <c r="L2217" s="91">
        <v>6015.1517028275048</v>
      </c>
      <c r="M2217" s="91">
        <v>6015.1517028275048</v>
      </c>
      <c r="N2217" s="91">
        <v>6015.1517028275048</v>
      </c>
      <c r="O2217" s="91">
        <v>6015.1517028275048</v>
      </c>
      <c r="P2217" s="91">
        <v>6015.1517028275048</v>
      </c>
      <c r="Q2217" s="91">
        <v>6015.1517028275048</v>
      </c>
      <c r="R2217" s="91">
        <v>6015.1517028275048</v>
      </c>
      <c r="S2217" s="91">
        <v>6015.1517028275048</v>
      </c>
      <c r="T2217" s="91">
        <v>6015.1517028275048</v>
      </c>
      <c r="U2217" s="91">
        <v>6015.1517028275048</v>
      </c>
      <c r="V2217" s="91">
        <v>6015.1517028275048</v>
      </c>
      <c r="W2217" s="91">
        <v>6015.1517028275048</v>
      </c>
      <c r="X2217" s="91">
        <v>6015.1517028275048</v>
      </c>
      <c r="Y2217" s="91">
        <v>6015.1517028275048</v>
      </c>
      <c r="Z2217" s="91">
        <v>6015.1517028275048</v>
      </c>
      <c r="AA2217" s="91">
        <v>6015.1517028275048</v>
      </c>
      <c r="AB2217" s="91">
        <v>6015.1517028275048</v>
      </c>
      <c r="AC2217" s="91">
        <v>6015.1517028275048</v>
      </c>
      <c r="AD2217" s="91">
        <v>6015.1517028275048</v>
      </c>
      <c r="AE2217" s="91">
        <v>6015.1517028275048</v>
      </c>
      <c r="AF2217" s="91">
        <v>6015.1517028275048</v>
      </c>
      <c r="AG2217" s="91">
        <v>6015.1517028275048</v>
      </c>
      <c r="AH2217" s="91">
        <v>6015.1517028275048</v>
      </c>
      <c r="AI2217" s="91">
        <v>6015.1517028275048</v>
      </c>
      <c r="AJ2217" s="91">
        <v>6015.1517028275048</v>
      </c>
      <c r="AK2217" s="91">
        <v>6015.1517028275048</v>
      </c>
      <c r="AL2217" s="91">
        <v>6015.1517028275048</v>
      </c>
      <c r="AM2217" s="91">
        <v>6015.1517028275048</v>
      </c>
      <c r="AN2217" s="91">
        <v>6015.1517028275048</v>
      </c>
      <c r="AO2217" s="91">
        <v>6015.1517028275048</v>
      </c>
      <c r="AP2217" s="91">
        <v>6015.1517028275048</v>
      </c>
      <c r="AQ2217" s="91">
        <v>6015.1517028275048</v>
      </c>
      <c r="AR2217" s="91">
        <v>6015.1517028275048</v>
      </c>
      <c r="AS2217" s="91">
        <v>6015.1517028275048</v>
      </c>
      <c r="AT2217" s="91">
        <v>6015.1517028275048</v>
      </c>
      <c r="AU2217" s="91">
        <v>6015.1517028275048</v>
      </c>
      <c r="AV2217" s="91">
        <v>6015.1517028275048</v>
      </c>
      <c r="AW2217" s="91">
        <v>6015.1517028275048</v>
      </c>
      <c r="AX2217" s="92">
        <v>6015.1517028275048</v>
      </c>
    </row>
    <row r="2218" spans="1:50" x14ac:dyDescent="0.25">
      <c r="A2218" s="356"/>
      <c r="B2218" s="366"/>
      <c r="C2218" s="361" t="s">
        <v>14</v>
      </c>
      <c r="D2218" s="58" t="s">
        <v>7</v>
      </c>
      <c r="E2218" s="164" t="str">
        <f>A2215&amp;"/"&amp;B2215&amp;"/"&amp;C2218&amp;"/"&amp;D2218</f>
        <v>Refinery gas fired power plants/Steam turbine/CHP/L</v>
      </c>
      <c r="F2218" s="78" t="str">
        <f>A2215</f>
        <v>Refinery gas fired power plants</v>
      </c>
      <c r="G2218" s="78" t="str">
        <f>B2215</f>
        <v>Steam turbine</v>
      </c>
      <c r="H2218" s="78" t="str">
        <f>C2218</f>
        <v>CHP</v>
      </c>
      <c r="I2218" s="165" t="str">
        <f t="shared" si="115"/>
        <v>L</v>
      </c>
      <c r="J2218" s="95">
        <v>7512.5</v>
      </c>
      <c r="K2218" s="95">
        <v>7512.5</v>
      </c>
      <c r="L2218" s="95">
        <v>7512.5</v>
      </c>
      <c r="M2218" s="95">
        <v>7512.5</v>
      </c>
      <c r="N2218" s="95">
        <v>7512.5</v>
      </c>
      <c r="O2218" s="95">
        <v>7512.5</v>
      </c>
      <c r="P2218" s="95">
        <v>7512.5</v>
      </c>
      <c r="Q2218" s="95">
        <v>7512.5</v>
      </c>
      <c r="R2218" s="95">
        <v>7512.5</v>
      </c>
      <c r="S2218" s="95">
        <v>7512.5</v>
      </c>
      <c r="T2218" s="95">
        <v>7512.5</v>
      </c>
      <c r="U2218" s="95">
        <v>7512.5</v>
      </c>
      <c r="V2218" s="95">
        <v>7512.5</v>
      </c>
      <c r="W2218" s="95">
        <v>7512.5</v>
      </c>
      <c r="X2218" s="95">
        <v>7512.5</v>
      </c>
      <c r="Y2218" s="95">
        <v>7512.5</v>
      </c>
      <c r="Z2218" s="95">
        <v>7512.5</v>
      </c>
      <c r="AA2218" s="95">
        <v>7512.5</v>
      </c>
      <c r="AB2218" s="95">
        <v>7512.5</v>
      </c>
      <c r="AC2218" s="95">
        <v>7512.5</v>
      </c>
      <c r="AD2218" s="95">
        <v>7512.5</v>
      </c>
      <c r="AE2218" s="95">
        <v>7512.5</v>
      </c>
      <c r="AF2218" s="95">
        <v>7512.5</v>
      </c>
      <c r="AG2218" s="95">
        <v>7512.5</v>
      </c>
      <c r="AH2218" s="95">
        <v>7512.5</v>
      </c>
      <c r="AI2218" s="95">
        <v>7512.5</v>
      </c>
      <c r="AJ2218" s="95">
        <v>7512.5</v>
      </c>
      <c r="AK2218" s="95">
        <v>7512.5</v>
      </c>
      <c r="AL2218" s="95">
        <v>7512.5</v>
      </c>
      <c r="AM2218" s="95">
        <v>7512.5</v>
      </c>
      <c r="AN2218" s="95">
        <v>7512.5</v>
      </c>
      <c r="AO2218" s="95">
        <v>7512.5</v>
      </c>
      <c r="AP2218" s="95">
        <v>7512.5</v>
      </c>
      <c r="AQ2218" s="95">
        <v>7512.5</v>
      </c>
      <c r="AR2218" s="95">
        <v>7512.5</v>
      </c>
      <c r="AS2218" s="95">
        <v>7512.5</v>
      </c>
      <c r="AT2218" s="95">
        <v>7512.5</v>
      </c>
      <c r="AU2218" s="95">
        <v>7512.5</v>
      </c>
      <c r="AV2218" s="95">
        <v>7512.5</v>
      </c>
      <c r="AW2218" s="95">
        <v>7512.5</v>
      </c>
      <c r="AX2218" s="96">
        <v>7512.5</v>
      </c>
    </row>
    <row r="2219" spans="1:50" x14ac:dyDescent="0.25">
      <c r="A2219" s="356"/>
      <c r="B2219" s="366"/>
      <c r="C2219" s="350"/>
      <c r="D2219" s="2" t="s">
        <v>8</v>
      </c>
      <c r="E2219" s="160" t="str">
        <f>A2215&amp;"/"&amp;B2215&amp;"/"&amp;C2218&amp;"/"&amp;D2219</f>
        <v>Refinery gas fired power plants/Steam turbine/CHP/M</v>
      </c>
      <c r="F2219" s="76" t="str">
        <f>A2215</f>
        <v>Refinery gas fired power plants</v>
      </c>
      <c r="G2219" s="76" t="str">
        <f>B2215</f>
        <v>Steam turbine</v>
      </c>
      <c r="H2219" s="76" t="str">
        <f>C2218</f>
        <v>CHP</v>
      </c>
      <c r="I2219" s="161" t="str">
        <f t="shared" si="115"/>
        <v>M</v>
      </c>
      <c r="J2219" s="91">
        <v>6641.8863722632668</v>
      </c>
      <c r="K2219" s="91">
        <v>6641.8863722632668</v>
      </c>
      <c r="L2219" s="91">
        <v>6641.8863722632668</v>
      </c>
      <c r="M2219" s="91">
        <v>6641.8863722632668</v>
      </c>
      <c r="N2219" s="91">
        <v>6641.8863722632668</v>
      </c>
      <c r="O2219" s="91">
        <v>6641.8863722632668</v>
      </c>
      <c r="P2219" s="91">
        <v>6641.8863722632668</v>
      </c>
      <c r="Q2219" s="91">
        <v>6641.8863722632668</v>
      </c>
      <c r="R2219" s="91">
        <v>6641.8863722632668</v>
      </c>
      <c r="S2219" s="91">
        <v>6641.8863722632668</v>
      </c>
      <c r="T2219" s="91">
        <v>6641.8863722632668</v>
      </c>
      <c r="U2219" s="91">
        <v>6641.8863722632668</v>
      </c>
      <c r="V2219" s="91">
        <v>6641.8863722632668</v>
      </c>
      <c r="W2219" s="91">
        <v>6641.8863722632668</v>
      </c>
      <c r="X2219" s="91">
        <v>6641.8863722632668</v>
      </c>
      <c r="Y2219" s="91">
        <v>6641.8863722632668</v>
      </c>
      <c r="Z2219" s="91">
        <v>6641.8863722632668</v>
      </c>
      <c r="AA2219" s="91">
        <v>6641.8863722632668</v>
      </c>
      <c r="AB2219" s="91">
        <v>6641.8863722632668</v>
      </c>
      <c r="AC2219" s="91">
        <v>6641.8863722632668</v>
      </c>
      <c r="AD2219" s="91">
        <v>6641.8863722632668</v>
      </c>
      <c r="AE2219" s="91">
        <v>6641.8863722632668</v>
      </c>
      <c r="AF2219" s="91">
        <v>6641.8863722632668</v>
      </c>
      <c r="AG2219" s="91">
        <v>6641.8863722632668</v>
      </c>
      <c r="AH2219" s="91">
        <v>6641.8863722632668</v>
      </c>
      <c r="AI2219" s="91">
        <v>6641.8863722632668</v>
      </c>
      <c r="AJ2219" s="91">
        <v>6641.8863722632668</v>
      </c>
      <c r="AK2219" s="91">
        <v>6641.8863722632668</v>
      </c>
      <c r="AL2219" s="91">
        <v>6641.8863722632668</v>
      </c>
      <c r="AM2219" s="91">
        <v>6641.8863722632668</v>
      </c>
      <c r="AN2219" s="91">
        <v>6641.8863722632668</v>
      </c>
      <c r="AO2219" s="91">
        <v>6641.8863722632668</v>
      </c>
      <c r="AP2219" s="91">
        <v>6641.8863722632668</v>
      </c>
      <c r="AQ2219" s="91">
        <v>6641.8863722632668</v>
      </c>
      <c r="AR2219" s="91">
        <v>6641.8863722632668</v>
      </c>
      <c r="AS2219" s="91">
        <v>6641.8863722632668</v>
      </c>
      <c r="AT2219" s="91">
        <v>6641.8863722632668</v>
      </c>
      <c r="AU2219" s="91">
        <v>6641.8863722632668</v>
      </c>
      <c r="AV2219" s="91">
        <v>6641.8863722632668</v>
      </c>
      <c r="AW2219" s="91">
        <v>6641.8863722632668</v>
      </c>
      <c r="AX2219" s="92">
        <v>6641.8863722632668</v>
      </c>
    </row>
    <row r="2220" spans="1:50" x14ac:dyDescent="0.25">
      <c r="A2220" s="356"/>
      <c r="B2220" s="366"/>
      <c r="C2220" s="360"/>
      <c r="D2220" s="59" t="s">
        <v>10</v>
      </c>
      <c r="E2220" s="166" t="str">
        <f>A2215&amp;"/"&amp;B2215&amp;"/"&amp;C2218&amp;"/"&amp;D2220</f>
        <v>Refinery gas fired power plants/Steam turbine/CHP/S</v>
      </c>
      <c r="F2220" s="79" t="str">
        <f>A2215</f>
        <v>Refinery gas fired power plants</v>
      </c>
      <c r="G2220" s="79" t="str">
        <f>B2215</f>
        <v>Steam turbine</v>
      </c>
      <c r="H2220" s="79" t="str">
        <f>C2218</f>
        <v>CHP</v>
      </c>
      <c r="I2220" s="167" t="str">
        <f t="shared" si="115"/>
        <v>S</v>
      </c>
      <c r="J2220" s="97">
        <v>5781.0126270688488</v>
      </c>
      <c r="K2220" s="97">
        <v>5781.0126270688488</v>
      </c>
      <c r="L2220" s="97">
        <v>5781.0126270688488</v>
      </c>
      <c r="M2220" s="97">
        <v>5781.0126270688488</v>
      </c>
      <c r="N2220" s="97">
        <v>5781.0126270688488</v>
      </c>
      <c r="O2220" s="97">
        <v>5781.0126270688488</v>
      </c>
      <c r="P2220" s="97">
        <v>5781.0126270688488</v>
      </c>
      <c r="Q2220" s="97">
        <v>5781.0126270688488</v>
      </c>
      <c r="R2220" s="97">
        <v>5781.0126270688488</v>
      </c>
      <c r="S2220" s="97">
        <v>5781.0126270688488</v>
      </c>
      <c r="T2220" s="97">
        <v>5781.0126270688488</v>
      </c>
      <c r="U2220" s="97">
        <v>5781.0126270688488</v>
      </c>
      <c r="V2220" s="97">
        <v>5781.0126270688488</v>
      </c>
      <c r="W2220" s="97">
        <v>5781.0126270688488</v>
      </c>
      <c r="X2220" s="97">
        <v>5781.0126270688488</v>
      </c>
      <c r="Y2220" s="97">
        <v>5781.0126270688488</v>
      </c>
      <c r="Z2220" s="97">
        <v>5781.0126270688488</v>
      </c>
      <c r="AA2220" s="97">
        <v>5781.0126270688488</v>
      </c>
      <c r="AB2220" s="97">
        <v>5781.0126270688488</v>
      </c>
      <c r="AC2220" s="97">
        <v>5781.0126270688488</v>
      </c>
      <c r="AD2220" s="97">
        <v>5781.0126270688488</v>
      </c>
      <c r="AE2220" s="97">
        <v>5781.0126270688488</v>
      </c>
      <c r="AF2220" s="97">
        <v>5781.0126270688488</v>
      </c>
      <c r="AG2220" s="97">
        <v>5781.0126270688488</v>
      </c>
      <c r="AH2220" s="97">
        <v>5781.0126270688488</v>
      </c>
      <c r="AI2220" s="97">
        <v>5781.0126270688488</v>
      </c>
      <c r="AJ2220" s="97">
        <v>5781.0126270688488</v>
      </c>
      <c r="AK2220" s="97">
        <v>5781.0126270688488</v>
      </c>
      <c r="AL2220" s="97">
        <v>5781.0126270688488</v>
      </c>
      <c r="AM2220" s="97">
        <v>5781.0126270688488</v>
      </c>
      <c r="AN2220" s="97">
        <v>5781.0126270688488</v>
      </c>
      <c r="AO2220" s="97">
        <v>5781.0126270688488</v>
      </c>
      <c r="AP2220" s="97">
        <v>5781.0126270688488</v>
      </c>
      <c r="AQ2220" s="97">
        <v>5781.0126270688488</v>
      </c>
      <c r="AR2220" s="97">
        <v>5781.0126270688488</v>
      </c>
      <c r="AS2220" s="97">
        <v>5781.0126270688488</v>
      </c>
      <c r="AT2220" s="97">
        <v>5781.0126270688488</v>
      </c>
      <c r="AU2220" s="97">
        <v>5781.0126270688488</v>
      </c>
      <c r="AV2220" s="97">
        <v>5781.0126270688488</v>
      </c>
      <c r="AW2220" s="97">
        <v>5781.0126270688488</v>
      </c>
      <c r="AX2220" s="98">
        <v>5781.0126270688488</v>
      </c>
    </row>
    <row r="2221" spans="1:50" x14ac:dyDescent="0.25">
      <c r="A2221" s="356"/>
      <c r="B2221" s="366"/>
      <c r="C2221" s="361" t="s">
        <v>15</v>
      </c>
      <c r="D2221" s="58" t="s">
        <v>7</v>
      </c>
      <c r="E2221" s="164" t="str">
        <f>A2215&amp;"/"&amp;B2215&amp;"/"&amp;C2221&amp;"/"&amp;D2221</f>
        <v>Refinery gas fired power plants/Steam turbine/Electricity only with CCS/L</v>
      </c>
      <c r="F2221" s="78" t="str">
        <f>A2215</f>
        <v>Refinery gas fired power plants</v>
      </c>
      <c r="G2221" s="78" t="str">
        <f>B2215</f>
        <v>Steam turbine</v>
      </c>
      <c r="H2221" s="78" t="str">
        <f>C2221</f>
        <v>Electricity only with CCS</v>
      </c>
      <c r="I2221" s="165" t="str">
        <f t="shared" si="115"/>
        <v>L</v>
      </c>
      <c r="J2221" s="95" t="s">
        <v>112</v>
      </c>
      <c r="K2221" s="95" t="s">
        <v>112</v>
      </c>
      <c r="L2221" s="95" t="s">
        <v>112</v>
      </c>
      <c r="M2221" s="95" t="s">
        <v>112</v>
      </c>
      <c r="N2221" s="95" t="s">
        <v>112</v>
      </c>
      <c r="O2221" s="95" t="s">
        <v>112</v>
      </c>
      <c r="P2221" s="95" t="s">
        <v>112</v>
      </c>
      <c r="Q2221" s="95" t="s">
        <v>112</v>
      </c>
      <c r="R2221" s="95" t="s">
        <v>112</v>
      </c>
      <c r="S2221" s="95" t="s">
        <v>112</v>
      </c>
      <c r="T2221" s="95" t="s">
        <v>112</v>
      </c>
      <c r="U2221" s="95" t="s">
        <v>112</v>
      </c>
      <c r="V2221" s="95" t="s">
        <v>112</v>
      </c>
      <c r="W2221" s="95" t="s">
        <v>112</v>
      </c>
      <c r="X2221" s="95" t="s">
        <v>112</v>
      </c>
      <c r="Y2221" s="95" t="s">
        <v>112</v>
      </c>
      <c r="Z2221" s="95" t="s">
        <v>112</v>
      </c>
      <c r="AA2221" s="95" t="s">
        <v>112</v>
      </c>
      <c r="AB2221" s="95" t="s">
        <v>112</v>
      </c>
      <c r="AC2221" s="95" t="s">
        <v>112</v>
      </c>
      <c r="AD2221" s="95" t="s">
        <v>112</v>
      </c>
      <c r="AE2221" s="95">
        <v>7875</v>
      </c>
      <c r="AF2221" s="95">
        <v>7875</v>
      </c>
      <c r="AG2221" s="95">
        <v>7875</v>
      </c>
      <c r="AH2221" s="95">
        <v>7875</v>
      </c>
      <c r="AI2221" s="95">
        <v>7875</v>
      </c>
      <c r="AJ2221" s="95">
        <v>7875</v>
      </c>
      <c r="AK2221" s="95">
        <v>7875</v>
      </c>
      <c r="AL2221" s="95">
        <v>7875</v>
      </c>
      <c r="AM2221" s="95">
        <v>7875</v>
      </c>
      <c r="AN2221" s="95">
        <v>7875</v>
      </c>
      <c r="AO2221" s="95">
        <v>7875</v>
      </c>
      <c r="AP2221" s="95">
        <v>7875</v>
      </c>
      <c r="AQ2221" s="95">
        <v>7875</v>
      </c>
      <c r="AR2221" s="95">
        <v>7875</v>
      </c>
      <c r="AS2221" s="95">
        <v>7875</v>
      </c>
      <c r="AT2221" s="95">
        <v>7875</v>
      </c>
      <c r="AU2221" s="95">
        <v>7875</v>
      </c>
      <c r="AV2221" s="95">
        <v>7875</v>
      </c>
      <c r="AW2221" s="95">
        <v>7875</v>
      </c>
      <c r="AX2221" s="96">
        <v>7875</v>
      </c>
    </row>
    <row r="2222" spans="1:50" x14ac:dyDescent="0.25">
      <c r="A2222" s="356"/>
      <c r="B2222" s="366"/>
      <c r="C2222" s="360"/>
      <c r="D2222" s="59" t="s">
        <v>8</v>
      </c>
      <c r="E2222" s="166" t="str">
        <f>A2215&amp;"/"&amp;B2215&amp;"/"&amp;C2221&amp;"/"&amp;D2222</f>
        <v>Refinery gas fired power plants/Steam turbine/Electricity only with CCS/M</v>
      </c>
      <c r="F2222" s="79" t="str">
        <f>A2215</f>
        <v>Refinery gas fired power plants</v>
      </c>
      <c r="G2222" s="79" t="str">
        <f>B2215</f>
        <v>Steam turbine</v>
      </c>
      <c r="H2222" s="79" t="str">
        <f>C2221</f>
        <v>Electricity only with CCS</v>
      </c>
      <c r="I2222" s="167" t="str">
        <f t="shared" si="115"/>
        <v>M</v>
      </c>
      <c r="J2222" s="97" t="s">
        <v>112</v>
      </c>
      <c r="K2222" s="97" t="s">
        <v>112</v>
      </c>
      <c r="L2222" s="97" t="s">
        <v>112</v>
      </c>
      <c r="M2222" s="97" t="s">
        <v>112</v>
      </c>
      <c r="N2222" s="97" t="s">
        <v>112</v>
      </c>
      <c r="O2222" s="97" t="s">
        <v>112</v>
      </c>
      <c r="P2222" s="97" t="s">
        <v>112</v>
      </c>
      <c r="Q2222" s="97" t="s">
        <v>112</v>
      </c>
      <c r="R2222" s="97" t="s">
        <v>112</v>
      </c>
      <c r="S2222" s="97" t="s">
        <v>112</v>
      </c>
      <c r="T2222" s="97" t="s">
        <v>112</v>
      </c>
      <c r="U2222" s="97" t="s">
        <v>112</v>
      </c>
      <c r="V2222" s="97" t="s">
        <v>112</v>
      </c>
      <c r="W2222" s="97" t="s">
        <v>112</v>
      </c>
      <c r="X2222" s="97" t="s">
        <v>112</v>
      </c>
      <c r="Y2222" s="97" t="s">
        <v>112</v>
      </c>
      <c r="Z2222" s="97" t="s">
        <v>112</v>
      </c>
      <c r="AA2222" s="97" t="s">
        <v>112</v>
      </c>
      <c r="AB2222" s="97" t="s">
        <v>112</v>
      </c>
      <c r="AC2222" s="97" t="s">
        <v>112</v>
      </c>
      <c r="AD2222" s="97" t="s">
        <v>112</v>
      </c>
      <c r="AE2222" s="97">
        <v>6938.2955427543457</v>
      </c>
      <c r="AF2222" s="97">
        <v>6938.2955427543457</v>
      </c>
      <c r="AG2222" s="97">
        <v>6938.2955427543457</v>
      </c>
      <c r="AH2222" s="97">
        <v>6938.2955427543457</v>
      </c>
      <c r="AI2222" s="97">
        <v>6938.2955427543457</v>
      </c>
      <c r="AJ2222" s="97">
        <v>6938.2955427543457</v>
      </c>
      <c r="AK2222" s="97">
        <v>6938.2955427543457</v>
      </c>
      <c r="AL2222" s="97">
        <v>6938.2955427543457</v>
      </c>
      <c r="AM2222" s="97">
        <v>6938.2955427543457</v>
      </c>
      <c r="AN2222" s="97">
        <v>6938.2955427543457</v>
      </c>
      <c r="AO2222" s="97">
        <v>6938.2955427543457</v>
      </c>
      <c r="AP2222" s="97">
        <v>6938.2955427543457</v>
      </c>
      <c r="AQ2222" s="97">
        <v>6938.2955427543457</v>
      </c>
      <c r="AR2222" s="97">
        <v>6938.2955427543457</v>
      </c>
      <c r="AS2222" s="97">
        <v>6938.2955427543457</v>
      </c>
      <c r="AT2222" s="97">
        <v>6938.2955427543457</v>
      </c>
      <c r="AU2222" s="97">
        <v>6938.2955427543457</v>
      </c>
      <c r="AV2222" s="97">
        <v>6938.2955427543457</v>
      </c>
      <c r="AW2222" s="97">
        <v>6938.2955427543457</v>
      </c>
      <c r="AX2222" s="98">
        <v>6938.2955427543457</v>
      </c>
    </row>
    <row r="2223" spans="1:50" x14ac:dyDescent="0.25">
      <c r="A2223" s="356"/>
      <c r="B2223" s="366"/>
      <c r="C2223" s="361" t="s">
        <v>16</v>
      </c>
      <c r="D2223" s="2" t="s">
        <v>7</v>
      </c>
      <c r="E2223" s="160" t="str">
        <f>A2215&amp;"/"&amp;B2215&amp;"/"&amp;C2223&amp;"/"&amp;D2223</f>
        <v>Refinery gas fired power plants/Steam turbine/CHP with CCS/L</v>
      </c>
      <c r="F2223" s="76" t="str">
        <f>A2215</f>
        <v>Refinery gas fired power plants</v>
      </c>
      <c r="G2223" s="76" t="str">
        <f>B2215</f>
        <v>Steam turbine</v>
      </c>
      <c r="H2223" s="76" t="str">
        <f>C2223</f>
        <v>CHP with CCS</v>
      </c>
      <c r="I2223" s="161" t="str">
        <f t="shared" si="115"/>
        <v>L</v>
      </c>
      <c r="J2223" s="91" t="s">
        <v>112</v>
      </c>
      <c r="K2223" s="91" t="s">
        <v>112</v>
      </c>
      <c r="L2223" s="91" t="s">
        <v>112</v>
      </c>
      <c r="M2223" s="91" t="s">
        <v>112</v>
      </c>
      <c r="N2223" s="91" t="s">
        <v>112</v>
      </c>
      <c r="O2223" s="91" t="s">
        <v>112</v>
      </c>
      <c r="P2223" s="91" t="s">
        <v>112</v>
      </c>
      <c r="Q2223" s="91" t="s">
        <v>112</v>
      </c>
      <c r="R2223" s="91" t="s">
        <v>112</v>
      </c>
      <c r="S2223" s="91" t="s">
        <v>112</v>
      </c>
      <c r="T2223" s="91" t="s">
        <v>112</v>
      </c>
      <c r="U2223" s="91" t="s">
        <v>112</v>
      </c>
      <c r="V2223" s="91" t="s">
        <v>112</v>
      </c>
      <c r="W2223" s="91" t="s">
        <v>112</v>
      </c>
      <c r="X2223" s="91" t="s">
        <v>112</v>
      </c>
      <c r="Y2223" s="91" t="s">
        <v>112</v>
      </c>
      <c r="Z2223" s="91" t="s">
        <v>112</v>
      </c>
      <c r="AA2223" s="91" t="s">
        <v>112</v>
      </c>
      <c r="AB2223" s="91" t="s">
        <v>112</v>
      </c>
      <c r="AC2223" s="91" t="s">
        <v>112</v>
      </c>
      <c r="AD2223" s="91" t="s">
        <v>112</v>
      </c>
      <c r="AE2223" s="91">
        <v>7512.5</v>
      </c>
      <c r="AF2223" s="91">
        <v>7512.5</v>
      </c>
      <c r="AG2223" s="91">
        <v>7512.5</v>
      </c>
      <c r="AH2223" s="91">
        <v>7512.5</v>
      </c>
      <c r="AI2223" s="91">
        <v>7512.5</v>
      </c>
      <c r="AJ2223" s="91">
        <v>7512.5</v>
      </c>
      <c r="AK2223" s="91">
        <v>7512.5</v>
      </c>
      <c r="AL2223" s="91">
        <v>7512.5</v>
      </c>
      <c r="AM2223" s="91">
        <v>7512.5</v>
      </c>
      <c r="AN2223" s="91">
        <v>7512.5</v>
      </c>
      <c r="AO2223" s="91">
        <v>7512.5</v>
      </c>
      <c r="AP2223" s="91">
        <v>7512.5</v>
      </c>
      <c r="AQ2223" s="91">
        <v>7512.5</v>
      </c>
      <c r="AR2223" s="91">
        <v>7512.5</v>
      </c>
      <c r="AS2223" s="91">
        <v>7512.5</v>
      </c>
      <c r="AT2223" s="91">
        <v>7512.5</v>
      </c>
      <c r="AU2223" s="91">
        <v>7512.5</v>
      </c>
      <c r="AV2223" s="91">
        <v>7512.5</v>
      </c>
      <c r="AW2223" s="91">
        <v>7512.5</v>
      </c>
      <c r="AX2223" s="92">
        <v>7512.5</v>
      </c>
    </row>
    <row r="2224" spans="1:50" x14ac:dyDescent="0.25">
      <c r="A2224" s="357"/>
      <c r="B2224" s="367"/>
      <c r="C2224" s="354"/>
      <c r="D2224" s="4" t="s">
        <v>8</v>
      </c>
      <c r="E2224" s="168" t="str">
        <f>A2215&amp;"/"&amp;B2215&amp;"/"&amp;C2223&amp;"/"&amp;D2224</f>
        <v>Refinery gas fired power plants/Steam turbine/CHP with CCS/M</v>
      </c>
      <c r="F2224" s="80" t="str">
        <f>A2215</f>
        <v>Refinery gas fired power plants</v>
      </c>
      <c r="G2224" s="80" t="str">
        <f>B2215</f>
        <v>Steam turbine</v>
      </c>
      <c r="H2224" s="80" t="str">
        <f>C2223</f>
        <v>CHP with CCS</v>
      </c>
      <c r="I2224" s="169" t="str">
        <f t="shared" si="115"/>
        <v>M</v>
      </c>
      <c r="J2224" s="99" t="s">
        <v>112</v>
      </c>
      <c r="K2224" s="99" t="s">
        <v>112</v>
      </c>
      <c r="L2224" s="99" t="s">
        <v>112</v>
      </c>
      <c r="M2224" s="99" t="s">
        <v>112</v>
      </c>
      <c r="N2224" s="99" t="s">
        <v>112</v>
      </c>
      <c r="O2224" s="99" t="s">
        <v>112</v>
      </c>
      <c r="P2224" s="99" t="s">
        <v>112</v>
      </c>
      <c r="Q2224" s="99" t="s">
        <v>112</v>
      </c>
      <c r="R2224" s="99" t="s">
        <v>112</v>
      </c>
      <c r="S2224" s="99" t="s">
        <v>112</v>
      </c>
      <c r="T2224" s="99" t="s">
        <v>112</v>
      </c>
      <c r="U2224" s="99" t="s">
        <v>112</v>
      </c>
      <c r="V2224" s="99" t="s">
        <v>112</v>
      </c>
      <c r="W2224" s="99" t="s">
        <v>112</v>
      </c>
      <c r="X2224" s="99" t="s">
        <v>112</v>
      </c>
      <c r="Y2224" s="99" t="s">
        <v>112</v>
      </c>
      <c r="Z2224" s="99" t="s">
        <v>112</v>
      </c>
      <c r="AA2224" s="99" t="s">
        <v>112</v>
      </c>
      <c r="AB2224" s="99" t="s">
        <v>112</v>
      </c>
      <c r="AC2224" s="99" t="s">
        <v>112</v>
      </c>
      <c r="AD2224" s="99" t="s">
        <v>112</v>
      </c>
      <c r="AE2224" s="99">
        <v>6641.8863722632668</v>
      </c>
      <c r="AF2224" s="99">
        <v>6641.8863722632668</v>
      </c>
      <c r="AG2224" s="99">
        <v>6641.8863722632668</v>
      </c>
      <c r="AH2224" s="99">
        <v>6641.8863722632668</v>
      </c>
      <c r="AI2224" s="99">
        <v>6641.8863722632668</v>
      </c>
      <c r="AJ2224" s="99">
        <v>6641.8863722632668</v>
      </c>
      <c r="AK2224" s="99">
        <v>6641.8863722632668</v>
      </c>
      <c r="AL2224" s="99">
        <v>6641.8863722632668</v>
      </c>
      <c r="AM2224" s="99">
        <v>6641.8863722632668</v>
      </c>
      <c r="AN2224" s="99">
        <v>6641.8863722632668</v>
      </c>
      <c r="AO2224" s="99">
        <v>6641.8863722632668</v>
      </c>
      <c r="AP2224" s="99">
        <v>6641.8863722632668</v>
      </c>
      <c r="AQ2224" s="99">
        <v>6641.8863722632668</v>
      </c>
      <c r="AR2224" s="99">
        <v>6641.8863722632668</v>
      </c>
      <c r="AS2224" s="99">
        <v>6641.8863722632668</v>
      </c>
      <c r="AT2224" s="99">
        <v>6641.8863722632668</v>
      </c>
      <c r="AU2224" s="99">
        <v>6641.8863722632668</v>
      </c>
      <c r="AV2224" s="99">
        <v>6641.8863722632668</v>
      </c>
      <c r="AW2224" s="99">
        <v>6641.8863722632668</v>
      </c>
      <c r="AX2224" s="100">
        <v>6641.8863722632668</v>
      </c>
    </row>
    <row r="2225" spans="1:50" x14ac:dyDescent="0.25">
      <c r="A2225" s="355" t="s">
        <v>28</v>
      </c>
      <c r="B2225" s="358" t="s">
        <v>23</v>
      </c>
      <c r="C2225" s="353" t="s">
        <v>6</v>
      </c>
      <c r="D2225" s="3" t="s">
        <v>7</v>
      </c>
      <c r="E2225" s="162" t="str">
        <f>A2225&amp;"/"&amp;B2225&amp;"/"&amp;C2225&amp;"/"&amp;D2225</f>
        <v>Diesel oil fired power plants/Gas turbine combined cycle/Electricity only/L</v>
      </c>
      <c r="F2225" s="77" t="str">
        <f>A2225</f>
        <v>Diesel oil fired power plants</v>
      </c>
      <c r="G2225" s="77" t="str">
        <f>B2225</f>
        <v>Gas turbine combined cycle</v>
      </c>
      <c r="H2225" s="77" t="str">
        <f>C2225</f>
        <v>Electricity only</v>
      </c>
      <c r="I2225" s="163" t="str">
        <f t="shared" si="115"/>
        <v>L</v>
      </c>
      <c r="J2225" s="93">
        <v>3150</v>
      </c>
      <c r="K2225" s="93">
        <v>3150</v>
      </c>
      <c r="L2225" s="93">
        <v>3150</v>
      </c>
      <c r="M2225" s="93">
        <v>3150</v>
      </c>
      <c r="N2225" s="93">
        <v>3150</v>
      </c>
      <c r="O2225" s="93">
        <v>3150</v>
      </c>
      <c r="P2225" s="93">
        <v>3150</v>
      </c>
      <c r="Q2225" s="93">
        <v>3150</v>
      </c>
      <c r="R2225" s="93">
        <v>3150</v>
      </c>
      <c r="S2225" s="93">
        <v>3150</v>
      </c>
      <c r="T2225" s="93">
        <v>3150</v>
      </c>
      <c r="U2225" s="93">
        <v>3150</v>
      </c>
      <c r="V2225" s="93">
        <v>3150</v>
      </c>
      <c r="W2225" s="93">
        <v>3150</v>
      </c>
      <c r="X2225" s="93">
        <v>3150</v>
      </c>
      <c r="Y2225" s="93">
        <v>3150</v>
      </c>
      <c r="Z2225" s="93">
        <v>3150</v>
      </c>
      <c r="AA2225" s="93">
        <v>3150</v>
      </c>
      <c r="AB2225" s="93">
        <v>3150</v>
      </c>
      <c r="AC2225" s="93">
        <v>3150</v>
      </c>
      <c r="AD2225" s="93">
        <v>3150</v>
      </c>
      <c r="AE2225" s="93">
        <v>3150</v>
      </c>
      <c r="AF2225" s="93">
        <v>3150</v>
      </c>
      <c r="AG2225" s="93">
        <v>3150</v>
      </c>
      <c r="AH2225" s="93">
        <v>3150</v>
      </c>
      <c r="AI2225" s="93">
        <v>3150</v>
      </c>
      <c r="AJ2225" s="93">
        <v>3150</v>
      </c>
      <c r="AK2225" s="93">
        <v>3150</v>
      </c>
      <c r="AL2225" s="93">
        <v>3150</v>
      </c>
      <c r="AM2225" s="93">
        <v>3150</v>
      </c>
      <c r="AN2225" s="93">
        <v>3150</v>
      </c>
      <c r="AO2225" s="93">
        <v>3150</v>
      </c>
      <c r="AP2225" s="93">
        <v>3150</v>
      </c>
      <c r="AQ2225" s="93">
        <v>3150</v>
      </c>
      <c r="AR2225" s="93">
        <v>3150</v>
      </c>
      <c r="AS2225" s="93">
        <v>3150</v>
      </c>
      <c r="AT2225" s="93">
        <v>3150</v>
      </c>
      <c r="AU2225" s="93">
        <v>3150</v>
      </c>
      <c r="AV2225" s="93">
        <v>3150</v>
      </c>
      <c r="AW2225" s="93">
        <v>3150</v>
      </c>
      <c r="AX2225" s="94">
        <v>3150</v>
      </c>
    </row>
    <row r="2226" spans="1:50" x14ac:dyDescent="0.25">
      <c r="A2226" s="356"/>
      <c r="B2226" s="359"/>
      <c r="C2226" s="360"/>
      <c r="D2226" s="2" t="s">
        <v>8</v>
      </c>
      <c r="E2226" s="160" t="str">
        <f>A2225&amp;"/"&amp;B2225&amp;"/"&amp;C2225&amp;"/"&amp;D2226</f>
        <v>Diesel oil fired power plants/Gas turbine combined cycle/Electricity only/M</v>
      </c>
      <c r="F2226" s="76" t="str">
        <f>A2225</f>
        <v>Diesel oil fired power plants</v>
      </c>
      <c r="G2226" s="76" t="str">
        <f>B2225</f>
        <v>Gas turbine combined cycle</v>
      </c>
      <c r="H2226" s="76" t="str">
        <f>C2225</f>
        <v>Electricity only</v>
      </c>
      <c r="I2226" s="161" t="str">
        <f t="shared" si="115"/>
        <v>M</v>
      </c>
      <c r="J2226" s="91">
        <v>1818.5899580731393</v>
      </c>
      <c r="K2226" s="91">
        <v>1818.5899580731393</v>
      </c>
      <c r="L2226" s="91">
        <v>1818.5899580731393</v>
      </c>
      <c r="M2226" s="91">
        <v>1818.5899580731393</v>
      </c>
      <c r="N2226" s="91">
        <v>1818.5899580731393</v>
      </c>
      <c r="O2226" s="91">
        <v>1818.5899580731393</v>
      </c>
      <c r="P2226" s="91">
        <v>1818.5899580731393</v>
      </c>
      <c r="Q2226" s="91">
        <v>1818.5899580731393</v>
      </c>
      <c r="R2226" s="91">
        <v>1818.5899580731393</v>
      </c>
      <c r="S2226" s="91">
        <v>1818.5899580731393</v>
      </c>
      <c r="T2226" s="91">
        <v>1818.5899580731393</v>
      </c>
      <c r="U2226" s="91">
        <v>1818.5899580731393</v>
      </c>
      <c r="V2226" s="91">
        <v>1818.5899580731393</v>
      </c>
      <c r="W2226" s="91">
        <v>1818.5899580731393</v>
      </c>
      <c r="X2226" s="91">
        <v>1818.5899580731393</v>
      </c>
      <c r="Y2226" s="91">
        <v>1818.5899580731393</v>
      </c>
      <c r="Z2226" s="91">
        <v>1818.5899580731393</v>
      </c>
      <c r="AA2226" s="91">
        <v>1818.5899580731393</v>
      </c>
      <c r="AB2226" s="91">
        <v>1818.5899580731393</v>
      </c>
      <c r="AC2226" s="91">
        <v>1818.5899580731393</v>
      </c>
      <c r="AD2226" s="91">
        <v>1818.5899580731393</v>
      </c>
      <c r="AE2226" s="91">
        <v>1818.5899580731393</v>
      </c>
      <c r="AF2226" s="91">
        <v>1818.5899580731393</v>
      </c>
      <c r="AG2226" s="91">
        <v>1818.5899580731393</v>
      </c>
      <c r="AH2226" s="91">
        <v>1818.5899580731393</v>
      </c>
      <c r="AI2226" s="91">
        <v>1818.5899580731393</v>
      </c>
      <c r="AJ2226" s="91">
        <v>1818.5899580731393</v>
      </c>
      <c r="AK2226" s="91">
        <v>1818.5899580731393</v>
      </c>
      <c r="AL2226" s="91">
        <v>1818.5899580731393</v>
      </c>
      <c r="AM2226" s="91">
        <v>1818.5899580731393</v>
      </c>
      <c r="AN2226" s="91">
        <v>1818.5899580731393</v>
      </c>
      <c r="AO2226" s="91">
        <v>1818.5899580731393</v>
      </c>
      <c r="AP2226" s="91">
        <v>1818.5899580731393</v>
      </c>
      <c r="AQ2226" s="91">
        <v>1818.5899580731393</v>
      </c>
      <c r="AR2226" s="91">
        <v>1818.5899580731393</v>
      </c>
      <c r="AS2226" s="91">
        <v>1818.5899580731393</v>
      </c>
      <c r="AT2226" s="91">
        <v>1818.5899580731393</v>
      </c>
      <c r="AU2226" s="91">
        <v>1818.5899580731393</v>
      </c>
      <c r="AV2226" s="91">
        <v>1818.5899580731393</v>
      </c>
      <c r="AW2226" s="91">
        <v>1818.5899580731393</v>
      </c>
      <c r="AX2226" s="92">
        <v>1818.5899580731393</v>
      </c>
    </row>
    <row r="2227" spans="1:50" x14ac:dyDescent="0.25">
      <c r="A2227" s="356"/>
      <c r="B2227" s="359"/>
      <c r="C2227" s="361" t="s">
        <v>14</v>
      </c>
      <c r="D2227" s="58" t="s">
        <v>7</v>
      </c>
      <c r="E2227" s="164" t="str">
        <f>A2225&amp;"/"&amp;B2225&amp;"/"&amp;C2227&amp;"/"&amp;D2227</f>
        <v>Diesel oil fired power plants/Gas turbine combined cycle/CHP/L</v>
      </c>
      <c r="F2227" s="78" t="str">
        <f>A2225</f>
        <v>Diesel oil fired power plants</v>
      </c>
      <c r="G2227" s="78" t="str">
        <f>B2225</f>
        <v>Gas turbine combined cycle</v>
      </c>
      <c r="H2227" s="78" t="str">
        <f>C2227</f>
        <v>CHP</v>
      </c>
      <c r="I2227" s="165" t="str">
        <f t="shared" si="115"/>
        <v>L</v>
      </c>
      <c r="J2227" s="95">
        <v>3015</v>
      </c>
      <c r="K2227" s="95">
        <v>3015</v>
      </c>
      <c r="L2227" s="95">
        <v>3015</v>
      </c>
      <c r="M2227" s="95">
        <v>3015</v>
      </c>
      <c r="N2227" s="95">
        <v>3015</v>
      </c>
      <c r="O2227" s="95">
        <v>3015</v>
      </c>
      <c r="P2227" s="95">
        <v>3015</v>
      </c>
      <c r="Q2227" s="95">
        <v>3015</v>
      </c>
      <c r="R2227" s="95">
        <v>3015</v>
      </c>
      <c r="S2227" s="95">
        <v>3015</v>
      </c>
      <c r="T2227" s="95">
        <v>3015</v>
      </c>
      <c r="U2227" s="95">
        <v>3015</v>
      </c>
      <c r="V2227" s="95">
        <v>3015</v>
      </c>
      <c r="W2227" s="95">
        <v>3015</v>
      </c>
      <c r="X2227" s="95">
        <v>3015</v>
      </c>
      <c r="Y2227" s="95">
        <v>3015</v>
      </c>
      <c r="Z2227" s="95">
        <v>3015</v>
      </c>
      <c r="AA2227" s="95">
        <v>3015</v>
      </c>
      <c r="AB2227" s="95">
        <v>3015</v>
      </c>
      <c r="AC2227" s="95">
        <v>3015</v>
      </c>
      <c r="AD2227" s="95">
        <v>3015</v>
      </c>
      <c r="AE2227" s="95">
        <v>3015</v>
      </c>
      <c r="AF2227" s="95">
        <v>3015</v>
      </c>
      <c r="AG2227" s="95">
        <v>3015</v>
      </c>
      <c r="AH2227" s="95">
        <v>3015</v>
      </c>
      <c r="AI2227" s="95">
        <v>3015</v>
      </c>
      <c r="AJ2227" s="95">
        <v>3015</v>
      </c>
      <c r="AK2227" s="95">
        <v>3015</v>
      </c>
      <c r="AL2227" s="95">
        <v>3015</v>
      </c>
      <c r="AM2227" s="95">
        <v>3015</v>
      </c>
      <c r="AN2227" s="95">
        <v>3015</v>
      </c>
      <c r="AO2227" s="95">
        <v>3015</v>
      </c>
      <c r="AP2227" s="95">
        <v>3015</v>
      </c>
      <c r="AQ2227" s="95">
        <v>3015</v>
      </c>
      <c r="AR2227" s="95">
        <v>3015</v>
      </c>
      <c r="AS2227" s="95">
        <v>3015</v>
      </c>
      <c r="AT2227" s="95">
        <v>3015</v>
      </c>
      <c r="AU2227" s="95">
        <v>3015</v>
      </c>
      <c r="AV2227" s="95">
        <v>3015</v>
      </c>
      <c r="AW2227" s="95">
        <v>3015</v>
      </c>
      <c r="AX2227" s="96">
        <v>3015</v>
      </c>
    </row>
    <row r="2228" spans="1:50" x14ac:dyDescent="0.25">
      <c r="A2228" s="356"/>
      <c r="B2228" s="359"/>
      <c r="C2228" s="360"/>
      <c r="D2228" s="59" t="s">
        <v>8</v>
      </c>
      <c r="E2228" s="166" t="str">
        <f>A2225&amp;"/"&amp;B2225&amp;"/"&amp;C2227&amp;"/"&amp;D2228</f>
        <v>Diesel oil fired power plants/Gas turbine combined cycle/CHP/M</v>
      </c>
      <c r="F2228" s="79" t="str">
        <f>A2225</f>
        <v>Diesel oil fired power plants</v>
      </c>
      <c r="G2228" s="79" t="str">
        <f>B2225</f>
        <v>Gas turbine combined cycle</v>
      </c>
      <c r="H2228" s="79" t="str">
        <f>C2227</f>
        <v>CHP</v>
      </c>
      <c r="I2228" s="167" t="str">
        <f t="shared" si="115"/>
        <v>M</v>
      </c>
      <c r="J2228" s="97">
        <v>2689.6698351081859</v>
      </c>
      <c r="K2228" s="97">
        <v>2689.6698351081859</v>
      </c>
      <c r="L2228" s="97">
        <v>2689.6698351081859</v>
      </c>
      <c r="M2228" s="97">
        <v>2689.6698351081859</v>
      </c>
      <c r="N2228" s="97">
        <v>2689.6698351081859</v>
      </c>
      <c r="O2228" s="97">
        <v>2689.6698351081859</v>
      </c>
      <c r="P2228" s="97">
        <v>2689.6698351081859</v>
      </c>
      <c r="Q2228" s="97">
        <v>2689.6698351081859</v>
      </c>
      <c r="R2228" s="97">
        <v>2689.6698351081859</v>
      </c>
      <c r="S2228" s="97">
        <v>2689.6698351081859</v>
      </c>
      <c r="T2228" s="97">
        <v>2689.6698351081859</v>
      </c>
      <c r="U2228" s="97">
        <v>2689.6698351081859</v>
      </c>
      <c r="V2228" s="97">
        <v>2689.6698351081859</v>
      </c>
      <c r="W2228" s="97">
        <v>2689.6698351081859</v>
      </c>
      <c r="X2228" s="97">
        <v>2689.6698351081859</v>
      </c>
      <c r="Y2228" s="97">
        <v>2689.6698351081859</v>
      </c>
      <c r="Z2228" s="97">
        <v>2689.6698351081859</v>
      </c>
      <c r="AA2228" s="97">
        <v>2689.6698351081859</v>
      </c>
      <c r="AB2228" s="97">
        <v>2689.6698351081859</v>
      </c>
      <c r="AC2228" s="97">
        <v>2689.6698351081859</v>
      </c>
      <c r="AD2228" s="97">
        <v>2689.6698351081859</v>
      </c>
      <c r="AE2228" s="97">
        <v>2689.6698351081859</v>
      </c>
      <c r="AF2228" s="97">
        <v>2689.6698351081859</v>
      </c>
      <c r="AG2228" s="97">
        <v>2689.6698351081859</v>
      </c>
      <c r="AH2228" s="97">
        <v>2689.6698351081859</v>
      </c>
      <c r="AI2228" s="97">
        <v>2689.6698351081859</v>
      </c>
      <c r="AJ2228" s="97">
        <v>2689.6698351081859</v>
      </c>
      <c r="AK2228" s="97">
        <v>2689.6698351081859</v>
      </c>
      <c r="AL2228" s="97">
        <v>2689.6698351081859</v>
      </c>
      <c r="AM2228" s="97">
        <v>2689.6698351081859</v>
      </c>
      <c r="AN2228" s="97">
        <v>2689.6698351081859</v>
      </c>
      <c r="AO2228" s="97">
        <v>2689.6698351081859</v>
      </c>
      <c r="AP2228" s="97">
        <v>2689.6698351081859</v>
      </c>
      <c r="AQ2228" s="97">
        <v>2689.6698351081859</v>
      </c>
      <c r="AR2228" s="97">
        <v>2689.6698351081859</v>
      </c>
      <c r="AS2228" s="97">
        <v>2689.6698351081859</v>
      </c>
      <c r="AT2228" s="97">
        <v>2689.6698351081859</v>
      </c>
      <c r="AU2228" s="97">
        <v>2689.6698351081859</v>
      </c>
      <c r="AV2228" s="97">
        <v>2689.6698351081859</v>
      </c>
      <c r="AW2228" s="97">
        <v>2689.6698351081859</v>
      </c>
      <c r="AX2228" s="98">
        <v>2689.6698351081859</v>
      </c>
    </row>
    <row r="2229" spans="1:50" x14ac:dyDescent="0.25">
      <c r="A2229" s="356"/>
      <c r="B2229" s="359"/>
      <c r="C2229" s="361" t="s">
        <v>15</v>
      </c>
      <c r="D2229" s="58" t="s">
        <v>7</v>
      </c>
      <c r="E2229" s="164" t="str">
        <f>A2225&amp;"/"&amp;B2225&amp;"/"&amp;C2229&amp;"/"&amp;D2229</f>
        <v>Diesel oil fired power plants/Gas turbine combined cycle/Electricity only with CCS/L</v>
      </c>
      <c r="F2229" s="78" t="str">
        <f>A2225</f>
        <v>Diesel oil fired power plants</v>
      </c>
      <c r="G2229" s="78" t="str">
        <f>B2225</f>
        <v>Gas turbine combined cycle</v>
      </c>
      <c r="H2229" s="78" t="str">
        <f>C2229</f>
        <v>Electricity only with CCS</v>
      </c>
      <c r="I2229" s="165" t="str">
        <f t="shared" si="115"/>
        <v>L</v>
      </c>
      <c r="J2229" s="95" t="s">
        <v>112</v>
      </c>
      <c r="K2229" s="95" t="s">
        <v>112</v>
      </c>
      <c r="L2229" s="95" t="s">
        <v>112</v>
      </c>
      <c r="M2229" s="95" t="s">
        <v>112</v>
      </c>
      <c r="N2229" s="95" t="s">
        <v>112</v>
      </c>
      <c r="O2229" s="95" t="s">
        <v>112</v>
      </c>
      <c r="P2229" s="95" t="s">
        <v>112</v>
      </c>
      <c r="Q2229" s="95" t="s">
        <v>112</v>
      </c>
      <c r="R2229" s="95" t="s">
        <v>112</v>
      </c>
      <c r="S2229" s="95" t="s">
        <v>112</v>
      </c>
      <c r="T2229" s="95" t="s">
        <v>112</v>
      </c>
      <c r="U2229" s="95" t="s">
        <v>112</v>
      </c>
      <c r="V2229" s="95" t="s">
        <v>112</v>
      </c>
      <c r="W2229" s="95" t="s">
        <v>112</v>
      </c>
      <c r="X2229" s="95" t="s">
        <v>112</v>
      </c>
      <c r="Y2229" s="95" t="s">
        <v>112</v>
      </c>
      <c r="Z2229" s="95" t="s">
        <v>112</v>
      </c>
      <c r="AA2229" s="95" t="s">
        <v>112</v>
      </c>
      <c r="AB2229" s="95" t="s">
        <v>112</v>
      </c>
      <c r="AC2229" s="95" t="s">
        <v>112</v>
      </c>
      <c r="AD2229" s="95" t="s">
        <v>112</v>
      </c>
      <c r="AE2229" s="95">
        <v>3150</v>
      </c>
      <c r="AF2229" s="95">
        <v>3150</v>
      </c>
      <c r="AG2229" s="95">
        <v>3150</v>
      </c>
      <c r="AH2229" s="95">
        <v>3150</v>
      </c>
      <c r="AI2229" s="95">
        <v>3150</v>
      </c>
      <c r="AJ2229" s="95">
        <v>3150</v>
      </c>
      <c r="AK2229" s="95">
        <v>3150</v>
      </c>
      <c r="AL2229" s="95">
        <v>3150</v>
      </c>
      <c r="AM2229" s="95">
        <v>3150</v>
      </c>
      <c r="AN2229" s="95">
        <v>3150</v>
      </c>
      <c r="AO2229" s="95">
        <v>3150</v>
      </c>
      <c r="AP2229" s="95">
        <v>3150</v>
      </c>
      <c r="AQ2229" s="95">
        <v>3150</v>
      </c>
      <c r="AR2229" s="95">
        <v>3150</v>
      </c>
      <c r="AS2229" s="95">
        <v>3150</v>
      </c>
      <c r="AT2229" s="95">
        <v>3150</v>
      </c>
      <c r="AU2229" s="95">
        <v>3150</v>
      </c>
      <c r="AV2229" s="95">
        <v>3150</v>
      </c>
      <c r="AW2229" s="95">
        <v>3150</v>
      </c>
      <c r="AX2229" s="96">
        <v>3150</v>
      </c>
    </row>
    <row r="2230" spans="1:50" x14ac:dyDescent="0.25">
      <c r="A2230" s="356"/>
      <c r="B2230" s="359"/>
      <c r="C2230" s="360"/>
      <c r="D2230" s="59" t="s">
        <v>8</v>
      </c>
      <c r="E2230" s="166" t="str">
        <f>A2225&amp;"/"&amp;B2225&amp;"/"&amp;C2229&amp;"/"&amp;D2230</f>
        <v>Diesel oil fired power plants/Gas turbine combined cycle/Electricity only with CCS/M</v>
      </c>
      <c r="F2230" s="79" t="str">
        <f>A2225</f>
        <v>Diesel oil fired power plants</v>
      </c>
      <c r="G2230" s="79" t="str">
        <f>B2225</f>
        <v>Gas turbine combined cycle</v>
      </c>
      <c r="H2230" s="79" t="str">
        <f>C2229</f>
        <v>Electricity only with CCS</v>
      </c>
      <c r="I2230" s="167" t="str">
        <f t="shared" si="115"/>
        <v>M</v>
      </c>
      <c r="J2230" s="97" t="s">
        <v>112</v>
      </c>
      <c r="K2230" s="97" t="s">
        <v>112</v>
      </c>
      <c r="L2230" s="97" t="s">
        <v>112</v>
      </c>
      <c r="M2230" s="97" t="s">
        <v>112</v>
      </c>
      <c r="N2230" s="97" t="s">
        <v>112</v>
      </c>
      <c r="O2230" s="97" t="s">
        <v>112</v>
      </c>
      <c r="P2230" s="97" t="s">
        <v>112</v>
      </c>
      <c r="Q2230" s="97" t="s">
        <v>112</v>
      </c>
      <c r="R2230" s="97" t="s">
        <v>112</v>
      </c>
      <c r="S2230" s="97" t="s">
        <v>112</v>
      </c>
      <c r="T2230" s="97" t="s">
        <v>112</v>
      </c>
      <c r="U2230" s="97" t="s">
        <v>112</v>
      </c>
      <c r="V2230" s="97" t="s">
        <v>112</v>
      </c>
      <c r="W2230" s="97" t="s">
        <v>112</v>
      </c>
      <c r="X2230" s="97" t="s">
        <v>112</v>
      </c>
      <c r="Y2230" s="97" t="s">
        <v>112</v>
      </c>
      <c r="Z2230" s="97" t="s">
        <v>112</v>
      </c>
      <c r="AA2230" s="97" t="s">
        <v>112</v>
      </c>
      <c r="AB2230" s="97" t="s">
        <v>112</v>
      </c>
      <c r="AC2230" s="97" t="s">
        <v>112</v>
      </c>
      <c r="AD2230" s="97" t="s">
        <v>112</v>
      </c>
      <c r="AE2230" s="97">
        <v>1818.5899580731393</v>
      </c>
      <c r="AF2230" s="97">
        <v>1818.5899580731393</v>
      </c>
      <c r="AG2230" s="97">
        <v>1818.5899580731393</v>
      </c>
      <c r="AH2230" s="97">
        <v>1818.5899580731393</v>
      </c>
      <c r="AI2230" s="97">
        <v>1818.5899580731393</v>
      </c>
      <c r="AJ2230" s="97">
        <v>1818.5899580731393</v>
      </c>
      <c r="AK2230" s="97">
        <v>1818.5899580731393</v>
      </c>
      <c r="AL2230" s="97">
        <v>1818.5899580731393</v>
      </c>
      <c r="AM2230" s="97">
        <v>1818.5899580731393</v>
      </c>
      <c r="AN2230" s="97">
        <v>1818.5899580731393</v>
      </c>
      <c r="AO2230" s="97">
        <v>1818.5899580731393</v>
      </c>
      <c r="AP2230" s="97">
        <v>1818.5899580731393</v>
      </c>
      <c r="AQ2230" s="97">
        <v>1818.5899580731393</v>
      </c>
      <c r="AR2230" s="97">
        <v>1818.5899580731393</v>
      </c>
      <c r="AS2230" s="97">
        <v>1818.5899580731393</v>
      </c>
      <c r="AT2230" s="97">
        <v>1818.5899580731393</v>
      </c>
      <c r="AU2230" s="97">
        <v>1818.5899580731393</v>
      </c>
      <c r="AV2230" s="97">
        <v>1818.5899580731393</v>
      </c>
      <c r="AW2230" s="97">
        <v>1818.5899580731393</v>
      </c>
      <c r="AX2230" s="98">
        <v>1818.5899580731393</v>
      </c>
    </row>
    <row r="2231" spans="1:50" x14ac:dyDescent="0.25">
      <c r="A2231" s="356"/>
      <c r="B2231" s="359"/>
      <c r="C2231" s="361" t="s">
        <v>16</v>
      </c>
      <c r="D2231" s="2" t="s">
        <v>7</v>
      </c>
      <c r="E2231" s="160" t="str">
        <f>A2225&amp;"/"&amp;B2225&amp;"/"&amp;C2231&amp;"/"&amp;D2231</f>
        <v>Diesel oil fired power plants/Gas turbine combined cycle/CHP with CCS/L</v>
      </c>
      <c r="F2231" s="76" t="str">
        <f>A2225</f>
        <v>Diesel oil fired power plants</v>
      </c>
      <c r="G2231" s="76" t="str">
        <f>B2225</f>
        <v>Gas turbine combined cycle</v>
      </c>
      <c r="H2231" s="76" t="str">
        <f>C2231</f>
        <v>CHP with CCS</v>
      </c>
      <c r="I2231" s="161" t="str">
        <f t="shared" si="115"/>
        <v>L</v>
      </c>
      <c r="J2231" s="91" t="s">
        <v>112</v>
      </c>
      <c r="K2231" s="91" t="s">
        <v>112</v>
      </c>
      <c r="L2231" s="91" t="s">
        <v>112</v>
      </c>
      <c r="M2231" s="91" t="s">
        <v>112</v>
      </c>
      <c r="N2231" s="91" t="s">
        <v>112</v>
      </c>
      <c r="O2231" s="91" t="s">
        <v>112</v>
      </c>
      <c r="P2231" s="91" t="s">
        <v>112</v>
      </c>
      <c r="Q2231" s="91" t="s">
        <v>112</v>
      </c>
      <c r="R2231" s="91" t="s">
        <v>112</v>
      </c>
      <c r="S2231" s="91" t="s">
        <v>112</v>
      </c>
      <c r="T2231" s="91" t="s">
        <v>112</v>
      </c>
      <c r="U2231" s="91" t="s">
        <v>112</v>
      </c>
      <c r="V2231" s="91" t="s">
        <v>112</v>
      </c>
      <c r="W2231" s="91" t="s">
        <v>112</v>
      </c>
      <c r="X2231" s="91" t="s">
        <v>112</v>
      </c>
      <c r="Y2231" s="91" t="s">
        <v>112</v>
      </c>
      <c r="Z2231" s="91" t="s">
        <v>112</v>
      </c>
      <c r="AA2231" s="91" t="s">
        <v>112</v>
      </c>
      <c r="AB2231" s="91" t="s">
        <v>112</v>
      </c>
      <c r="AC2231" s="91" t="s">
        <v>112</v>
      </c>
      <c r="AD2231" s="91" t="s">
        <v>112</v>
      </c>
      <c r="AE2231" s="91">
        <v>3015</v>
      </c>
      <c r="AF2231" s="91">
        <v>3015</v>
      </c>
      <c r="AG2231" s="91">
        <v>3015</v>
      </c>
      <c r="AH2231" s="91">
        <v>3015</v>
      </c>
      <c r="AI2231" s="91">
        <v>3015</v>
      </c>
      <c r="AJ2231" s="91">
        <v>3015</v>
      </c>
      <c r="AK2231" s="91">
        <v>3015</v>
      </c>
      <c r="AL2231" s="91">
        <v>3015</v>
      </c>
      <c r="AM2231" s="91">
        <v>3015</v>
      </c>
      <c r="AN2231" s="91">
        <v>3015</v>
      </c>
      <c r="AO2231" s="91">
        <v>3015</v>
      </c>
      <c r="AP2231" s="91">
        <v>3015</v>
      </c>
      <c r="AQ2231" s="91">
        <v>3015</v>
      </c>
      <c r="AR2231" s="91">
        <v>3015</v>
      </c>
      <c r="AS2231" s="91">
        <v>3015</v>
      </c>
      <c r="AT2231" s="91">
        <v>3015</v>
      </c>
      <c r="AU2231" s="91">
        <v>3015</v>
      </c>
      <c r="AV2231" s="91">
        <v>3015</v>
      </c>
      <c r="AW2231" s="91">
        <v>3015</v>
      </c>
      <c r="AX2231" s="92">
        <v>3015</v>
      </c>
    </row>
    <row r="2232" spans="1:50" x14ac:dyDescent="0.25">
      <c r="A2232" s="356"/>
      <c r="B2232" s="362"/>
      <c r="C2232" s="354"/>
      <c r="D2232" s="4" t="s">
        <v>8</v>
      </c>
      <c r="E2232" s="168" t="str">
        <f>A2225&amp;"/"&amp;B2225&amp;"/"&amp;C2231&amp;"/"&amp;D2232</f>
        <v>Diesel oil fired power plants/Gas turbine combined cycle/CHP with CCS/M</v>
      </c>
      <c r="F2232" s="80" t="str">
        <f>A2225</f>
        <v>Diesel oil fired power plants</v>
      </c>
      <c r="G2232" s="80" t="str">
        <f>B2225</f>
        <v>Gas turbine combined cycle</v>
      </c>
      <c r="H2232" s="80" t="str">
        <f>C2231</f>
        <v>CHP with CCS</v>
      </c>
      <c r="I2232" s="169" t="str">
        <f t="shared" si="115"/>
        <v>M</v>
      </c>
      <c r="J2232" s="99" t="s">
        <v>112</v>
      </c>
      <c r="K2232" s="99" t="s">
        <v>112</v>
      </c>
      <c r="L2232" s="99" t="s">
        <v>112</v>
      </c>
      <c r="M2232" s="99" t="s">
        <v>112</v>
      </c>
      <c r="N2232" s="99" t="s">
        <v>112</v>
      </c>
      <c r="O2232" s="99" t="s">
        <v>112</v>
      </c>
      <c r="P2232" s="99" t="s">
        <v>112</v>
      </c>
      <c r="Q2232" s="99" t="s">
        <v>112</v>
      </c>
      <c r="R2232" s="99" t="s">
        <v>112</v>
      </c>
      <c r="S2232" s="99" t="s">
        <v>112</v>
      </c>
      <c r="T2232" s="99" t="s">
        <v>112</v>
      </c>
      <c r="U2232" s="99" t="s">
        <v>112</v>
      </c>
      <c r="V2232" s="99" t="s">
        <v>112</v>
      </c>
      <c r="W2232" s="99" t="s">
        <v>112</v>
      </c>
      <c r="X2232" s="99" t="s">
        <v>112</v>
      </c>
      <c r="Y2232" s="99" t="s">
        <v>112</v>
      </c>
      <c r="Z2232" s="99" t="s">
        <v>112</v>
      </c>
      <c r="AA2232" s="99" t="s">
        <v>112</v>
      </c>
      <c r="AB2232" s="99" t="s">
        <v>112</v>
      </c>
      <c r="AC2232" s="99" t="s">
        <v>112</v>
      </c>
      <c r="AD2232" s="99" t="s">
        <v>112</v>
      </c>
      <c r="AE2232" s="99">
        <v>2689.6698351081859</v>
      </c>
      <c r="AF2232" s="99">
        <v>2689.6698351081859</v>
      </c>
      <c r="AG2232" s="99">
        <v>2689.6698351081859</v>
      </c>
      <c r="AH2232" s="99">
        <v>2689.6698351081859</v>
      </c>
      <c r="AI2232" s="99">
        <v>2689.6698351081859</v>
      </c>
      <c r="AJ2232" s="99">
        <v>2689.6698351081859</v>
      </c>
      <c r="AK2232" s="99">
        <v>2689.6698351081859</v>
      </c>
      <c r="AL2232" s="99">
        <v>2689.6698351081859</v>
      </c>
      <c r="AM2232" s="99">
        <v>2689.6698351081859</v>
      </c>
      <c r="AN2232" s="99">
        <v>2689.6698351081859</v>
      </c>
      <c r="AO2232" s="99">
        <v>2689.6698351081859</v>
      </c>
      <c r="AP2232" s="99">
        <v>2689.6698351081859</v>
      </c>
      <c r="AQ2232" s="99">
        <v>2689.6698351081859</v>
      </c>
      <c r="AR2232" s="99">
        <v>2689.6698351081859</v>
      </c>
      <c r="AS2232" s="99">
        <v>2689.6698351081859</v>
      </c>
      <c r="AT2232" s="99">
        <v>2689.6698351081859</v>
      </c>
      <c r="AU2232" s="99">
        <v>2689.6698351081859</v>
      </c>
      <c r="AV2232" s="99">
        <v>2689.6698351081859</v>
      </c>
      <c r="AW2232" s="99">
        <v>2689.6698351081859</v>
      </c>
      <c r="AX2232" s="100">
        <v>2689.6698351081859</v>
      </c>
    </row>
    <row r="2233" spans="1:50" x14ac:dyDescent="0.25">
      <c r="A2233" s="356"/>
      <c r="B2233" s="358" t="s">
        <v>24</v>
      </c>
      <c r="C2233" s="353" t="s">
        <v>6</v>
      </c>
      <c r="D2233" s="3" t="s">
        <v>7</v>
      </c>
      <c r="E2233" s="162" t="str">
        <f>A2225&amp;"/"&amp;B2233&amp;"/"&amp;C2233&amp;"/"&amp;D2233</f>
        <v>Diesel oil fired power plants/Gas turbine /Electricity only/L</v>
      </c>
      <c r="F2233" s="77" t="str">
        <f>A2225</f>
        <v>Diesel oil fired power plants</v>
      </c>
      <c r="G2233" s="77" t="str">
        <f>B2233</f>
        <v xml:space="preserve">Gas turbine </v>
      </c>
      <c r="H2233" s="77" t="str">
        <f>C2233</f>
        <v>Electricity only</v>
      </c>
      <c r="I2233" s="163" t="str">
        <f t="shared" si="115"/>
        <v>L</v>
      </c>
      <c r="J2233" s="93">
        <v>2500</v>
      </c>
      <c r="K2233" s="93">
        <v>2500</v>
      </c>
      <c r="L2233" s="93">
        <v>2500</v>
      </c>
      <c r="M2233" s="93">
        <v>2500</v>
      </c>
      <c r="N2233" s="93">
        <v>2500</v>
      </c>
      <c r="O2233" s="93">
        <v>2500</v>
      </c>
      <c r="P2233" s="93">
        <v>2500</v>
      </c>
      <c r="Q2233" s="93">
        <v>2500</v>
      </c>
      <c r="R2233" s="93">
        <v>2500</v>
      </c>
      <c r="S2233" s="93">
        <v>2500</v>
      </c>
      <c r="T2233" s="93">
        <v>2500</v>
      </c>
      <c r="U2233" s="93">
        <v>2500</v>
      </c>
      <c r="V2233" s="93">
        <v>2500</v>
      </c>
      <c r="W2233" s="93">
        <v>2500</v>
      </c>
      <c r="X2233" s="93">
        <v>2500</v>
      </c>
      <c r="Y2233" s="93">
        <v>2500</v>
      </c>
      <c r="Z2233" s="93">
        <v>2500</v>
      </c>
      <c r="AA2233" s="93">
        <v>2500</v>
      </c>
      <c r="AB2233" s="93">
        <v>2500</v>
      </c>
      <c r="AC2233" s="93">
        <v>2500</v>
      </c>
      <c r="AD2233" s="93">
        <v>2500</v>
      </c>
      <c r="AE2233" s="93">
        <v>2500</v>
      </c>
      <c r="AF2233" s="93">
        <v>2500</v>
      </c>
      <c r="AG2233" s="93">
        <v>2500</v>
      </c>
      <c r="AH2233" s="93">
        <v>2500</v>
      </c>
      <c r="AI2233" s="93">
        <v>2500</v>
      </c>
      <c r="AJ2233" s="93">
        <v>2500</v>
      </c>
      <c r="AK2233" s="93">
        <v>2500</v>
      </c>
      <c r="AL2233" s="93">
        <v>2500</v>
      </c>
      <c r="AM2233" s="93">
        <v>2500</v>
      </c>
      <c r="AN2233" s="93">
        <v>2500</v>
      </c>
      <c r="AO2233" s="93">
        <v>2500</v>
      </c>
      <c r="AP2233" s="93">
        <v>2500</v>
      </c>
      <c r="AQ2233" s="93">
        <v>2500</v>
      </c>
      <c r="AR2233" s="93">
        <v>2500</v>
      </c>
      <c r="AS2233" s="93">
        <v>2500</v>
      </c>
      <c r="AT2233" s="93">
        <v>2500</v>
      </c>
      <c r="AU2233" s="93">
        <v>2500</v>
      </c>
      <c r="AV2233" s="93">
        <v>2500</v>
      </c>
      <c r="AW2233" s="93">
        <v>2500</v>
      </c>
      <c r="AX2233" s="94">
        <v>2500</v>
      </c>
    </row>
    <row r="2234" spans="1:50" x14ac:dyDescent="0.25">
      <c r="A2234" s="356"/>
      <c r="B2234" s="359"/>
      <c r="C2234" s="350"/>
      <c r="D2234" s="2" t="s">
        <v>8</v>
      </c>
      <c r="E2234" s="160" t="str">
        <f>A2225&amp;"/"&amp;B2233&amp;"/"&amp;C2233&amp;"/"&amp;D2234</f>
        <v>Diesel oil fired power plants/Gas turbine /Electricity only/M</v>
      </c>
      <c r="F2234" s="76" t="str">
        <f>A2225</f>
        <v>Diesel oil fired power plants</v>
      </c>
      <c r="G2234" s="76" t="str">
        <f>B2233</f>
        <v xml:space="preserve">Gas turbine </v>
      </c>
      <c r="H2234" s="76" t="str">
        <f>C2233</f>
        <v>Electricity only</v>
      </c>
      <c r="I2234" s="161" t="str">
        <f t="shared" si="115"/>
        <v>M</v>
      </c>
      <c r="J2234" s="91">
        <v>1676.2323784522796</v>
      </c>
      <c r="K2234" s="91">
        <v>1676.2323784522796</v>
      </c>
      <c r="L2234" s="91">
        <v>1676.2323784522796</v>
      </c>
      <c r="M2234" s="91">
        <v>1676.2323784522796</v>
      </c>
      <c r="N2234" s="91">
        <v>1676.2323784522796</v>
      </c>
      <c r="O2234" s="91">
        <v>1676.2323784522796</v>
      </c>
      <c r="P2234" s="91">
        <v>1676.2323784522796</v>
      </c>
      <c r="Q2234" s="91">
        <v>1676.2323784522796</v>
      </c>
      <c r="R2234" s="91">
        <v>1676.2323784522796</v>
      </c>
      <c r="S2234" s="91">
        <v>1676.2323784522796</v>
      </c>
      <c r="T2234" s="91">
        <v>1676.2323784522796</v>
      </c>
      <c r="U2234" s="91">
        <v>1676.2323784522796</v>
      </c>
      <c r="V2234" s="91">
        <v>1676.2323784522796</v>
      </c>
      <c r="W2234" s="91">
        <v>1676.2323784522796</v>
      </c>
      <c r="X2234" s="91">
        <v>1676.2323784522796</v>
      </c>
      <c r="Y2234" s="91">
        <v>1676.2323784522796</v>
      </c>
      <c r="Z2234" s="91">
        <v>1676.2323784522796</v>
      </c>
      <c r="AA2234" s="91">
        <v>1676.2323784522796</v>
      </c>
      <c r="AB2234" s="91">
        <v>1676.2323784522796</v>
      </c>
      <c r="AC2234" s="91">
        <v>1676.2323784522796</v>
      </c>
      <c r="AD2234" s="91">
        <v>1676.2323784522796</v>
      </c>
      <c r="AE2234" s="91">
        <v>1676.2323784522796</v>
      </c>
      <c r="AF2234" s="91">
        <v>1676.2323784522796</v>
      </c>
      <c r="AG2234" s="91">
        <v>1676.2323784522796</v>
      </c>
      <c r="AH2234" s="91">
        <v>1676.2323784522796</v>
      </c>
      <c r="AI2234" s="91">
        <v>1676.2323784522796</v>
      </c>
      <c r="AJ2234" s="91">
        <v>1676.2323784522796</v>
      </c>
      <c r="AK2234" s="91">
        <v>1676.2323784522796</v>
      </c>
      <c r="AL2234" s="91">
        <v>1676.2323784522796</v>
      </c>
      <c r="AM2234" s="91">
        <v>1676.2323784522796</v>
      </c>
      <c r="AN2234" s="91">
        <v>1676.2323784522796</v>
      </c>
      <c r="AO2234" s="91">
        <v>1676.2323784522796</v>
      </c>
      <c r="AP2234" s="91">
        <v>1676.2323784522796</v>
      </c>
      <c r="AQ2234" s="91">
        <v>1676.2323784522796</v>
      </c>
      <c r="AR2234" s="91">
        <v>1676.2323784522796</v>
      </c>
      <c r="AS2234" s="91">
        <v>1676.2323784522796</v>
      </c>
      <c r="AT2234" s="91">
        <v>1676.2323784522796</v>
      </c>
      <c r="AU2234" s="91">
        <v>1676.2323784522796</v>
      </c>
      <c r="AV2234" s="91">
        <v>1676.2323784522796</v>
      </c>
      <c r="AW2234" s="91">
        <v>1676.2323784522796</v>
      </c>
      <c r="AX2234" s="92">
        <v>1676.2323784522796</v>
      </c>
    </row>
    <row r="2235" spans="1:50" x14ac:dyDescent="0.25">
      <c r="A2235" s="356"/>
      <c r="B2235" s="359"/>
      <c r="C2235" s="350"/>
      <c r="D2235" s="2" t="s">
        <v>10</v>
      </c>
      <c r="E2235" s="160" t="str">
        <f>A2225&amp;"/"&amp;B2233&amp;"/"&amp;C2233&amp;"/"&amp;D2235</f>
        <v>Diesel oil fired power plants/Gas turbine /Electricity only/S</v>
      </c>
      <c r="F2235" s="76" t="str">
        <f>A2225</f>
        <v>Diesel oil fired power plants</v>
      </c>
      <c r="G2235" s="76" t="str">
        <f>B2233</f>
        <v xml:space="preserve">Gas turbine </v>
      </c>
      <c r="H2235" s="76" t="str">
        <f>C2233</f>
        <v>Electricity only</v>
      </c>
      <c r="I2235" s="161" t="str">
        <f t="shared" si="115"/>
        <v>S</v>
      </c>
      <c r="J2235" s="91">
        <v>1128.9291416275996</v>
      </c>
      <c r="K2235" s="91">
        <v>1128.9291416275996</v>
      </c>
      <c r="L2235" s="91">
        <v>1128.9291416275996</v>
      </c>
      <c r="M2235" s="91">
        <v>1128.9291416275996</v>
      </c>
      <c r="N2235" s="91">
        <v>1128.9291416275996</v>
      </c>
      <c r="O2235" s="91">
        <v>1128.9291416275996</v>
      </c>
      <c r="P2235" s="91">
        <v>1128.9291416275996</v>
      </c>
      <c r="Q2235" s="91">
        <v>1128.9291416275996</v>
      </c>
      <c r="R2235" s="91">
        <v>1128.9291416275996</v>
      </c>
      <c r="S2235" s="91">
        <v>1128.9291416275996</v>
      </c>
      <c r="T2235" s="91">
        <v>1128.9291416275996</v>
      </c>
      <c r="U2235" s="91">
        <v>1128.9291416275996</v>
      </c>
      <c r="V2235" s="91">
        <v>1128.9291416275996</v>
      </c>
      <c r="W2235" s="91">
        <v>1128.9291416275996</v>
      </c>
      <c r="X2235" s="91">
        <v>1128.9291416275996</v>
      </c>
      <c r="Y2235" s="91">
        <v>1128.9291416275996</v>
      </c>
      <c r="Z2235" s="91">
        <v>1128.9291416275996</v>
      </c>
      <c r="AA2235" s="91">
        <v>1128.9291416275996</v>
      </c>
      <c r="AB2235" s="91">
        <v>1128.9291416275996</v>
      </c>
      <c r="AC2235" s="91">
        <v>1128.9291416275996</v>
      </c>
      <c r="AD2235" s="91">
        <v>1128.9291416275996</v>
      </c>
      <c r="AE2235" s="91">
        <v>1128.9291416275996</v>
      </c>
      <c r="AF2235" s="91">
        <v>1128.9291416275996</v>
      </c>
      <c r="AG2235" s="91">
        <v>1128.9291416275996</v>
      </c>
      <c r="AH2235" s="91">
        <v>1128.9291416275996</v>
      </c>
      <c r="AI2235" s="91">
        <v>1128.9291416275996</v>
      </c>
      <c r="AJ2235" s="91">
        <v>1128.9291416275996</v>
      </c>
      <c r="AK2235" s="91">
        <v>1128.9291416275996</v>
      </c>
      <c r="AL2235" s="91">
        <v>1128.9291416275996</v>
      </c>
      <c r="AM2235" s="91">
        <v>1128.9291416275996</v>
      </c>
      <c r="AN2235" s="91">
        <v>1128.9291416275996</v>
      </c>
      <c r="AO2235" s="91">
        <v>1128.9291416275996</v>
      </c>
      <c r="AP2235" s="91">
        <v>1128.9291416275996</v>
      </c>
      <c r="AQ2235" s="91">
        <v>1128.9291416275996</v>
      </c>
      <c r="AR2235" s="91">
        <v>1128.9291416275996</v>
      </c>
      <c r="AS2235" s="91">
        <v>1128.9291416275996</v>
      </c>
      <c r="AT2235" s="91">
        <v>1128.9291416275996</v>
      </c>
      <c r="AU2235" s="91">
        <v>1128.9291416275996</v>
      </c>
      <c r="AV2235" s="91">
        <v>1128.9291416275996</v>
      </c>
      <c r="AW2235" s="91">
        <v>1128.9291416275996</v>
      </c>
      <c r="AX2235" s="92">
        <v>1128.9291416275996</v>
      </c>
    </row>
    <row r="2236" spans="1:50" x14ac:dyDescent="0.25">
      <c r="A2236" s="356"/>
      <c r="B2236" s="359"/>
      <c r="C2236" s="360"/>
      <c r="D2236" s="2" t="s">
        <v>20</v>
      </c>
      <c r="E2236" s="160" t="str">
        <f>A2225&amp;"/"&amp;B2233&amp;"/"&amp;C2233&amp;"/"&amp;D2236</f>
        <v>Diesel oil fired power plants/Gas turbine /Electricity only/XS</v>
      </c>
      <c r="F2236" s="76" t="str">
        <f>A2225</f>
        <v>Diesel oil fired power plants</v>
      </c>
      <c r="G2236" s="76" t="str">
        <f>B2233</f>
        <v xml:space="preserve">Gas turbine </v>
      </c>
      <c r="H2236" s="76" t="str">
        <f>C2233</f>
        <v>Electricity only</v>
      </c>
      <c r="I2236" s="161" t="str">
        <f t="shared" si="115"/>
        <v>XS</v>
      </c>
      <c r="J2236" s="91">
        <v>632.78581493969602</v>
      </c>
      <c r="K2236" s="91">
        <v>632.78581493969602</v>
      </c>
      <c r="L2236" s="91">
        <v>632.78581493969602</v>
      </c>
      <c r="M2236" s="91">
        <v>632.78581493969602</v>
      </c>
      <c r="N2236" s="91">
        <v>632.78581493969602</v>
      </c>
      <c r="O2236" s="91">
        <v>632.78581493969602</v>
      </c>
      <c r="P2236" s="91">
        <v>632.78581493969602</v>
      </c>
      <c r="Q2236" s="91">
        <v>632.78581493969602</v>
      </c>
      <c r="R2236" s="91">
        <v>632.78581493969602</v>
      </c>
      <c r="S2236" s="91">
        <v>632.78581493969602</v>
      </c>
      <c r="T2236" s="91">
        <v>632.78581493969602</v>
      </c>
      <c r="U2236" s="91">
        <v>632.78581493969602</v>
      </c>
      <c r="V2236" s="91">
        <v>632.78581493969602</v>
      </c>
      <c r="W2236" s="91">
        <v>632.78581493969602</v>
      </c>
      <c r="X2236" s="91">
        <v>632.78581493969602</v>
      </c>
      <c r="Y2236" s="91">
        <v>632.78581493969602</v>
      </c>
      <c r="Z2236" s="91">
        <v>632.78581493969602</v>
      </c>
      <c r="AA2236" s="91">
        <v>632.78581493969602</v>
      </c>
      <c r="AB2236" s="91">
        <v>632.78581493969602</v>
      </c>
      <c r="AC2236" s="91">
        <v>632.78581493969602</v>
      </c>
      <c r="AD2236" s="91">
        <v>632.78581493969602</v>
      </c>
      <c r="AE2236" s="91">
        <v>632.78581493969602</v>
      </c>
      <c r="AF2236" s="91">
        <v>632.78581493969602</v>
      </c>
      <c r="AG2236" s="91">
        <v>632.78581493969602</v>
      </c>
      <c r="AH2236" s="91">
        <v>632.78581493969602</v>
      </c>
      <c r="AI2236" s="91">
        <v>632.78581493969602</v>
      </c>
      <c r="AJ2236" s="91">
        <v>632.78581493969602</v>
      </c>
      <c r="AK2236" s="91">
        <v>632.78581493969602</v>
      </c>
      <c r="AL2236" s="91">
        <v>632.78581493969602</v>
      </c>
      <c r="AM2236" s="91">
        <v>632.78581493969602</v>
      </c>
      <c r="AN2236" s="91">
        <v>632.78581493969602</v>
      </c>
      <c r="AO2236" s="91">
        <v>632.78581493969602</v>
      </c>
      <c r="AP2236" s="91">
        <v>632.78581493969602</v>
      </c>
      <c r="AQ2236" s="91">
        <v>632.78581493969602</v>
      </c>
      <c r="AR2236" s="91">
        <v>632.78581493969602</v>
      </c>
      <c r="AS2236" s="91">
        <v>632.78581493969602</v>
      </c>
      <c r="AT2236" s="91">
        <v>632.78581493969602</v>
      </c>
      <c r="AU2236" s="91">
        <v>632.78581493969602</v>
      </c>
      <c r="AV2236" s="91">
        <v>632.78581493969602</v>
      </c>
      <c r="AW2236" s="91">
        <v>632.78581493969602</v>
      </c>
      <c r="AX2236" s="92">
        <v>632.78581493969602</v>
      </c>
    </row>
    <row r="2237" spans="1:50" x14ac:dyDescent="0.25">
      <c r="A2237" s="356"/>
      <c r="B2237" s="359"/>
      <c r="C2237" s="361" t="s">
        <v>14</v>
      </c>
      <c r="D2237" s="58" t="s">
        <v>7</v>
      </c>
      <c r="E2237" s="164" t="str">
        <f>A2225&amp;"/"&amp;B2233&amp;"/"&amp;C2237&amp;"/"&amp;D2237</f>
        <v>Diesel oil fired power plants/Gas turbine /CHP/L</v>
      </c>
      <c r="F2237" s="78" t="str">
        <f>A2225</f>
        <v>Diesel oil fired power plants</v>
      </c>
      <c r="G2237" s="78" t="str">
        <f>B2233</f>
        <v xml:space="preserve">Gas turbine </v>
      </c>
      <c r="H2237" s="78" t="str">
        <f>C2237</f>
        <v>CHP</v>
      </c>
      <c r="I2237" s="165" t="str">
        <f t="shared" si="115"/>
        <v>L</v>
      </c>
      <c r="J2237" s="95">
        <v>2825</v>
      </c>
      <c r="K2237" s="95">
        <v>2825</v>
      </c>
      <c r="L2237" s="95">
        <v>2825</v>
      </c>
      <c r="M2237" s="95">
        <v>2825</v>
      </c>
      <c r="N2237" s="95">
        <v>2825</v>
      </c>
      <c r="O2237" s="95">
        <v>2825</v>
      </c>
      <c r="P2237" s="95">
        <v>2825</v>
      </c>
      <c r="Q2237" s="95">
        <v>2825</v>
      </c>
      <c r="R2237" s="95">
        <v>2825</v>
      </c>
      <c r="S2237" s="95">
        <v>2825</v>
      </c>
      <c r="T2237" s="95">
        <v>2825</v>
      </c>
      <c r="U2237" s="95">
        <v>2825</v>
      </c>
      <c r="V2237" s="95">
        <v>2825</v>
      </c>
      <c r="W2237" s="95">
        <v>2825</v>
      </c>
      <c r="X2237" s="95">
        <v>2825</v>
      </c>
      <c r="Y2237" s="95">
        <v>2825</v>
      </c>
      <c r="Z2237" s="95">
        <v>2825</v>
      </c>
      <c r="AA2237" s="95">
        <v>2825</v>
      </c>
      <c r="AB2237" s="95">
        <v>2825</v>
      </c>
      <c r="AC2237" s="95">
        <v>2825</v>
      </c>
      <c r="AD2237" s="95">
        <v>2825</v>
      </c>
      <c r="AE2237" s="95">
        <v>2825</v>
      </c>
      <c r="AF2237" s="95">
        <v>2825</v>
      </c>
      <c r="AG2237" s="95">
        <v>2825</v>
      </c>
      <c r="AH2237" s="95">
        <v>2825</v>
      </c>
      <c r="AI2237" s="95">
        <v>2825</v>
      </c>
      <c r="AJ2237" s="95">
        <v>2825</v>
      </c>
      <c r="AK2237" s="95">
        <v>2825</v>
      </c>
      <c r="AL2237" s="95">
        <v>2825</v>
      </c>
      <c r="AM2237" s="95">
        <v>2825</v>
      </c>
      <c r="AN2237" s="95">
        <v>2825</v>
      </c>
      <c r="AO2237" s="95">
        <v>2825</v>
      </c>
      <c r="AP2237" s="95">
        <v>2825</v>
      </c>
      <c r="AQ2237" s="95">
        <v>2825</v>
      </c>
      <c r="AR2237" s="95">
        <v>2825</v>
      </c>
      <c r="AS2237" s="95">
        <v>2825</v>
      </c>
      <c r="AT2237" s="95">
        <v>2825</v>
      </c>
      <c r="AU2237" s="95">
        <v>2825</v>
      </c>
      <c r="AV2237" s="95">
        <v>2825</v>
      </c>
      <c r="AW2237" s="95">
        <v>2825</v>
      </c>
      <c r="AX2237" s="96">
        <v>2825</v>
      </c>
    </row>
    <row r="2238" spans="1:50" x14ac:dyDescent="0.25">
      <c r="A2238" s="356"/>
      <c r="B2238" s="359"/>
      <c r="C2238" s="350"/>
      <c r="D2238" s="2" t="s">
        <v>8</v>
      </c>
      <c r="E2238" s="160" t="str">
        <f>A2225&amp;"/"&amp;B2233&amp;"/"&amp;C2237&amp;"/"&amp;D2238</f>
        <v>Diesel oil fired power plants/Gas turbine /CHP/M</v>
      </c>
      <c r="F2238" s="76" t="str">
        <f>A2225</f>
        <v>Diesel oil fired power plants</v>
      </c>
      <c r="G2238" s="76" t="str">
        <f>B2233</f>
        <v xml:space="preserve">Gas turbine </v>
      </c>
      <c r="H2238" s="76" t="str">
        <f>C2237</f>
        <v>CHP</v>
      </c>
      <c r="I2238" s="161" t="str">
        <f t="shared" si="115"/>
        <v>M</v>
      </c>
      <c r="J2238" s="91">
        <v>1896.8886248864983</v>
      </c>
      <c r="K2238" s="91">
        <v>1896.8886248864983</v>
      </c>
      <c r="L2238" s="91">
        <v>1896.8886248864983</v>
      </c>
      <c r="M2238" s="91">
        <v>1896.8886248864983</v>
      </c>
      <c r="N2238" s="91">
        <v>1896.8886248864983</v>
      </c>
      <c r="O2238" s="91">
        <v>1896.8886248864983</v>
      </c>
      <c r="P2238" s="91">
        <v>1896.8886248864983</v>
      </c>
      <c r="Q2238" s="91">
        <v>1896.8886248864983</v>
      </c>
      <c r="R2238" s="91">
        <v>1896.8886248864983</v>
      </c>
      <c r="S2238" s="91">
        <v>1896.8886248864983</v>
      </c>
      <c r="T2238" s="91">
        <v>1896.8886248864983</v>
      </c>
      <c r="U2238" s="91">
        <v>1896.8886248864983</v>
      </c>
      <c r="V2238" s="91">
        <v>1896.8886248864983</v>
      </c>
      <c r="W2238" s="91">
        <v>1896.8886248864983</v>
      </c>
      <c r="X2238" s="91">
        <v>1896.8886248864983</v>
      </c>
      <c r="Y2238" s="91">
        <v>1896.8886248864983</v>
      </c>
      <c r="Z2238" s="91">
        <v>1896.8886248864983</v>
      </c>
      <c r="AA2238" s="91">
        <v>1896.8886248864983</v>
      </c>
      <c r="AB2238" s="91">
        <v>1896.8886248864983</v>
      </c>
      <c r="AC2238" s="91">
        <v>1896.8886248864983</v>
      </c>
      <c r="AD2238" s="91">
        <v>1896.8886248864983</v>
      </c>
      <c r="AE2238" s="91">
        <v>1896.8886248864983</v>
      </c>
      <c r="AF2238" s="91">
        <v>1896.8886248864983</v>
      </c>
      <c r="AG2238" s="91">
        <v>1896.8886248864983</v>
      </c>
      <c r="AH2238" s="91">
        <v>1896.8886248864983</v>
      </c>
      <c r="AI2238" s="91">
        <v>1896.8886248864983</v>
      </c>
      <c r="AJ2238" s="91">
        <v>1896.8886248864983</v>
      </c>
      <c r="AK2238" s="91">
        <v>1896.8886248864983</v>
      </c>
      <c r="AL2238" s="91">
        <v>1896.8886248864983</v>
      </c>
      <c r="AM2238" s="91">
        <v>1896.8886248864983</v>
      </c>
      <c r="AN2238" s="91">
        <v>1896.8886248864983</v>
      </c>
      <c r="AO2238" s="91">
        <v>1896.8886248864983</v>
      </c>
      <c r="AP2238" s="91">
        <v>1896.8886248864983</v>
      </c>
      <c r="AQ2238" s="91">
        <v>1896.8886248864983</v>
      </c>
      <c r="AR2238" s="91">
        <v>1896.8886248864983</v>
      </c>
      <c r="AS2238" s="91">
        <v>1896.8886248864983</v>
      </c>
      <c r="AT2238" s="91">
        <v>1896.8886248864983</v>
      </c>
      <c r="AU2238" s="91">
        <v>1896.8886248864983</v>
      </c>
      <c r="AV2238" s="91">
        <v>1896.8886248864983</v>
      </c>
      <c r="AW2238" s="91">
        <v>1896.8886248864983</v>
      </c>
      <c r="AX2238" s="92">
        <v>1896.8886248864983</v>
      </c>
    </row>
    <row r="2239" spans="1:50" x14ac:dyDescent="0.25">
      <c r="A2239" s="356"/>
      <c r="B2239" s="359"/>
      <c r="C2239" s="350"/>
      <c r="D2239" s="2" t="s">
        <v>10</v>
      </c>
      <c r="E2239" s="160" t="str">
        <f>A2225&amp;"/"&amp;B2233&amp;"/"&amp;C2237&amp;"/"&amp;D2239</f>
        <v>Diesel oil fired power plants/Gas turbine /CHP/S</v>
      </c>
      <c r="F2239" s="76" t="str">
        <f>A2225</f>
        <v>Diesel oil fired power plants</v>
      </c>
      <c r="G2239" s="76" t="str">
        <f>B2233</f>
        <v xml:space="preserve">Gas turbine </v>
      </c>
      <c r="H2239" s="76" t="str">
        <f>C2237</f>
        <v>CHP</v>
      </c>
      <c r="I2239" s="161" t="str">
        <f t="shared" si="115"/>
        <v>S</v>
      </c>
      <c r="J2239" s="91">
        <v>1279.3220557903596</v>
      </c>
      <c r="K2239" s="91">
        <v>1279.3220557903596</v>
      </c>
      <c r="L2239" s="91">
        <v>1279.3220557903596</v>
      </c>
      <c r="M2239" s="91">
        <v>1279.3220557903596</v>
      </c>
      <c r="N2239" s="91">
        <v>1279.3220557903596</v>
      </c>
      <c r="O2239" s="91">
        <v>1279.3220557903596</v>
      </c>
      <c r="P2239" s="91">
        <v>1279.3220557903596</v>
      </c>
      <c r="Q2239" s="91">
        <v>1279.3220557903596</v>
      </c>
      <c r="R2239" s="91">
        <v>1279.3220557903596</v>
      </c>
      <c r="S2239" s="91">
        <v>1279.3220557903596</v>
      </c>
      <c r="T2239" s="91">
        <v>1279.3220557903596</v>
      </c>
      <c r="U2239" s="91">
        <v>1279.3220557903596</v>
      </c>
      <c r="V2239" s="91">
        <v>1279.3220557903596</v>
      </c>
      <c r="W2239" s="91">
        <v>1279.3220557903596</v>
      </c>
      <c r="X2239" s="91">
        <v>1279.3220557903596</v>
      </c>
      <c r="Y2239" s="91">
        <v>1279.3220557903596</v>
      </c>
      <c r="Z2239" s="91">
        <v>1279.3220557903596</v>
      </c>
      <c r="AA2239" s="91">
        <v>1279.3220557903596</v>
      </c>
      <c r="AB2239" s="91">
        <v>1279.3220557903596</v>
      </c>
      <c r="AC2239" s="91">
        <v>1279.3220557903596</v>
      </c>
      <c r="AD2239" s="91">
        <v>1279.3220557903596</v>
      </c>
      <c r="AE2239" s="91">
        <v>1279.3220557903596</v>
      </c>
      <c r="AF2239" s="91">
        <v>1279.3220557903596</v>
      </c>
      <c r="AG2239" s="91">
        <v>1279.3220557903596</v>
      </c>
      <c r="AH2239" s="91">
        <v>1279.3220557903596</v>
      </c>
      <c r="AI2239" s="91">
        <v>1279.3220557903596</v>
      </c>
      <c r="AJ2239" s="91">
        <v>1279.3220557903596</v>
      </c>
      <c r="AK2239" s="91">
        <v>1279.3220557903596</v>
      </c>
      <c r="AL2239" s="91">
        <v>1279.3220557903596</v>
      </c>
      <c r="AM2239" s="91">
        <v>1279.3220557903596</v>
      </c>
      <c r="AN2239" s="91">
        <v>1279.3220557903596</v>
      </c>
      <c r="AO2239" s="91">
        <v>1279.3220557903596</v>
      </c>
      <c r="AP2239" s="91">
        <v>1279.3220557903596</v>
      </c>
      <c r="AQ2239" s="91">
        <v>1279.3220557903596</v>
      </c>
      <c r="AR2239" s="91">
        <v>1279.3220557903596</v>
      </c>
      <c r="AS2239" s="91">
        <v>1279.3220557903596</v>
      </c>
      <c r="AT2239" s="91">
        <v>1279.3220557903596</v>
      </c>
      <c r="AU2239" s="91">
        <v>1279.3220557903596</v>
      </c>
      <c r="AV2239" s="91">
        <v>1279.3220557903596</v>
      </c>
      <c r="AW2239" s="91">
        <v>1279.3220557903596</v>
      </c>
      <c r="AX2239" s="92">
        <v>1279.3220557903596</v>
      </c>
    </row>
    <row r="2240" spans="1:50" x14ac:dyDescent="0.25">
      <c r="A2240" s="356"/>
      <c r="B2240" s="359"/>
      <c r="C2240" s="360"/>
      <c r="D2240" s="59" t="s">
        <v>20</v>
      </c>
      <c r="E2240" s="166" t="str">
        <f>A2225&amp;"/"&amp;B2233&amp;"/"&amp;C2237&amp;"/"&amp;D2240</f>
        <v>Diesel oil fired power plants/Gas turbine /CHP/XS</v>
      </c>
      <c r="F2240" s="79" t="str">
        <f>A2225</f>
        <v>Diesel oil fired power plants</v>
      </c>
      <c r="G2240" s="79" t="str">
        <f>B2233</f>
        <v xml:space="preserve">Gas turbine </v>
      </c>
      <c r="H2240" s="79" t="str">
        <f>C2237</f>
        <v>CHP</v>
      </c>
      <c r="I2240" s="167" t="str">
        <f t="shared" si="115"/>
        <v>XS</v>
      </c>
      <c r="J2240" s="97">
        <v>826.09753756444593</v>
      </c>
      <c r="K2240" s="97">
        <v>826.09753756444593</v>
      </c>
      <c r="L2240" s="97">
        <v>826.09753756444593</v>
      </c>
      <c r="M2240" s="97">
        <v>826.09753756444593</v>
      </c>
      <c r="N2240" s="97">
        <v>826.09753756444593</v>
      </c>
      <c r="O2240" s="97">
        <v>826.09753756444593</v>
      </c>
      <c r="P2240" s="97">
        <v>826.09753756444593</v>
      </c>
      <c r="Q2240" s="97">
        <v>826.09753756444593</v>
      </c>
      <c r="R2240" s="97">
        <v>826.09753756444593</v>
      </c>
      <c r="S2240" s="97">
        <v>826.09753756444593</v>
      </c>
      <c r="T2240" s="97">
        <v>826.09753756444593</v>
      </c>
      <c r="U2240" s="97">
        <v>826.09753756444593</v>
      </c>
      <c r="V2240" s="97">
        <v>826.09753756444593</v>
      </c>
      <c r="W2240" s="97">
        <v>826.09753756444593</v>
      </c>
      <c r="X2240" s="97">
        <v>826.09753756444593</v>
      </c>
      <c r="Y2240" s="97">
        <v>826.09753756444593</v>
      </c>
      <c r="Z2240" s="97">
        <v>826.09753756444593</v>
      </c>
      <c r="AA2240" s="97">
        <v>826.09753756444593</v>
      </c>
      <c r="AB2240" s="97">
        <v>826.09753756444593</v>
      </c>
      <c r="AC2240" s="97">
        <v>826.09753756444593</v>
      </c>
      <c r="AD2240" s="97">
        <v>826.09753756444593</v>
      </c>
      <c r="AE2240" s="97">
        <v>826.09753756444593</v>
      </c>
      <c r="AF2240" s="97">
        <v>826.09753756444593</v>
      </c>
      <c r="AG2240" s="97">
        <v>826.09753756444593</v>
      </c>
      <c r="AH2240" s="97">
        <v>826.09753756444593</v>
      </c>
      <c r="AI2240" s="97">
        <v>826.09753756444593</v>
      </c>
      <c r="AJ2240" s="97">
        <v>826.09753756444593</v>
      </c>
      <c r="AK2240" s="97">
        <v>826.09753756444593</v>
      </c>
      <c r="AL2240" s="97">
        <v>826.09753756444593</v>
      </c>
      <c r="AM2240" s="97">
        <v>826.09753756444593</v>
      </c>
      <c r="AN2240" s="97">
        <v>826.09753756444593</v>
      </c>
      <c r="AO2240" s="97">
        <v>826.09753756444593</v>
      </c>
      <c r="AP2240" s="97">
        <v>826.09753756444593</v>
      </c>
      <c r="AQ2240" s="97">
        <v>826.09753756444593</v>
      </c>
      <c r="AR2240" s="97">
        <v>826.09753756444593</v>
      </c>
      <c r="AS2240" s="97">
        <v>826.09753756444593</v>
      </c>
      <c r="AT2240" s="97">
        <v>826.09753756444593</v>
      </c>
      <c r="AU2240" s="97">
        <v>826.09753756444593</v>
      </c>
      <c r="AV2240" s="97">
        <v>826.09753756444593</v>
      </c>
      <c r="AW2240" s="97">
        <v>826.09753756444593</v>
      </c>
      <c r="AX2240" s="98">
        <v>826.09753756444593</v>
      </c>
    </row>
    <row r="2241" spans="1:50" x14ac:dyDescent="0.25">
      <c r="A2241" s="356"/>
      <c r="B2241" s="359"/>
      <c r="C2241" s="361" t="s">
        <v>15</v>
      </c>
      <c r="D2241" s="58" t="s">
        <v>7</v>
      </c>
      <c r="E2241" s="164" t="str">
        <f>A2225&amp;"/"&amp;B2233&amp;"/"&amp;C2241&amp;"/"&amp;D2241</f>
        <v>Diesel oil fired power plants/Gas turbine /Electricity only with CCS/L</v>
      </c>
      <c r="F2241" s="78" t="str">
        <f>A2225</f>
        <v>Diesel oil fired power plants</v>
      </c>
      <c r="G2241" s="78" t="str">
        <f>B2233</f>
        <v xml:space="preserve">Gas turbine </v>
      </c>
      <c r="H2241" s="78" t="str">
        <f>C2241</f>
        <v>Electricity only with CCS</v>
      </c>
      <c r="I2241" s="165" t="str">
        <f t="shared" si="115"/>
        <v>L</v>
      </c>
      <c r="J2241" s="95" t="s">
        <v>112</v>
      </c>
      <c r="K2241" s="95" t="s">
        <v>112</v>
      </c>
      <c r="L2241" s="95" t="s">
        <v>112</v>
      </c>
      <c r="M2241" s="95" t="s">
        <v>112</v>
      </c>
      <c r="N2241" s="95" t="s">
        <v>112</v>
      </c>
      <c r="O2241" s="95" t="s">
        <v>112</v>
      </c>
      <c r="P2241" s="95" t="s">
        <v>112</v>
      </c>
      <c r="Q2241" s="95" t="s">
        <v>112</v>
      </c>
      <c r="R2241" s="95" t="s">
        <v>112</v>
      </c>
      <c r="S2241" s="95" t="s">
        <v>112</v>
      </c>
      <c r="T2241" s="95" t="s">
        <v>112</v>
      </c>
      <c r="U2241" s="95" t="s">
        <v>112</v>
      </c>
      <c r="V2241" s="95" t="s">
        <v>112</v>
      </c>
      <c r="W2241" s="95" t="s">
        <v>112</v>
      </c>
      <c r="X2241" s="95" t="s">
        <v>112</v>
      </c>
      <c r="Y2241" s="95" t="s">
        <v>112</v>
      </c>
      <c r="Z2241" s="95" t="s">
        <v>112</v>
      </c>
      <c r="AA2241" s="95" t="s">
        <v>112</v>
      </c>
      <c r="AB2241" s="95" t="s">
        <v>112</v>
      </c>
      <c r="AC2241" s="95" t="s">
        <v>112</v>
      </c>
      <c r="AD2241" s="95" t="s">
        <v>112</v>
      </c>
      <c r="AE2241" s="95">
        <v>2500</v>
      </c>
      <c r="AF2241" s="95">
        <v>2500</v>
      </c>
      <c r="AG2241" s="95">
        <v>2500</v>
      </c>
      <c r="AH2241" s="95">
        <v>2500</v>
      </c>
      <c r="AI2241" s="95">
        <v>2500</v>
      </c>
      <c r="AJ2241" s="95">
        <v>2500</v>
      </c>
      <c r="AK2241" s="95">
        <v>2500</v>
      </c>
      <c r="AL2241" s="95">
        <v>2500</v>
      </c>
      <c r="AM2241" s="95">
        <v>2500</v>
      </c>
      <c r="AN2241" s="95">
        <v>2500</v>
      </c>
      <c r="AO2241" s="95">
        <v>2500</v>
      </c>
      <c r="AP2241" s="95">
        <v>2500</v>
      </c>
      <c r="AQ2241" s="95">
        <v>2500</v>
      </c>
      <c r="AR2241" s="95">
        <v>2500</v>
      </c>
      <c r="AS2241" s="95">
        <v>2500</v>
      </c>
      <c r="AT2241" s="95">
        <v>2500</v>
      </c>
      <c r="AU2241" s="95">
        <v>2500</v>
      </c>
      <c r="AV2241" s="95">
        <v>2500</v>
      </c>
      <c r="AW2241" s="95">
        <v>2500</v>
      </c>
      <c r="AX2241" s="96">
        <v>2500</v>
      </c>
    </row>
    <row r="2242" spans="1:50" x14ac:dyDescent="0.25">
      <c r="A2242" s="356"/>
      <c r="B2242" s="359"/>
      <c r="C2242" s="360"/>
      <c r="D2242" s="59" t="s">
        <v>8</v>
      </c>
      <c r="E2242" s="166" t="str">
        <f>A2225&amp;"/"&amp;B2233&amp;"/"&amp;C2241&amp;"/"&amp;D2242</f>
        <v>Diesel oil fired power plants/Gas turbine /Electricity only with CCS/M</v>
      </c>
      <c r="F2242" s="79" t="str">
        <f>A2225</f>
        <v>Diesel oil fired power plants</v>
      </c>
      <c r="G2242" s="79" t="str">
        <f>B2233</f>
        <v xml:space="preserve">Gas turbine </v>
      </c>
      <c r="H2242" s="79" t="str">
        <f>C2241</f>
        <v>Electricity only with CCS</v>
      </c>
      <c r="I2242" s="167" t="str">
        <f t="shared" si="115"/>
        <v>M</v>
      </c>
      <c r="J2242" s="97" t="s">
        <v>112</v>
      </c>
      <c r="K2242" s="97" t="s">
        <v>112</v>
      </c>
      <c r="L2242" s="97" t="s">
        <v>112</v>
      </c>
      <c r="M2242" s="97" t="s">
        <v>112</v>
      </c>
      <c r="N2242" s="97" t="s">
        <v>112</v>
      </c>
      <c r="O2242" s="97" t="s">
        <v>112</v>
      </c>
      <c r="P2242" s="97" t="s">
        <v>112</v>
      </c>
      <c r="Q2242" s="97" t="s">
        <v>112</v>
      </c>
      <c r="R2242" s="97" t="s">
        <v>112</v>
      </c>
      <c r="S2242" s="97" t="s">
        <v>112</v>
      </c>
      <c r="T2242" s="97" t="s">
        <v>112</v>
      </c>
      <c r="U2242" s="97" t="s">
        <v>112</v>
      </c>
      <c r="V2242" s="97" t="s">
        <v>112</v>
      </c>
      <c r="W2242" s="97" t="s">
        <v>112</v>
      </c>
      <c r="X2242" s="97" t="s">
        <v>112</v>
      </c>
      <c r="Y2242" s="97" t="s">
        <v>112</v>
      </c>
      <c r="Z2242" s="97" t="s">
        <v>112</v>
      </c>
      <c r="AA2242" s="97" t="s">
        <v>112</v>
      </c>
      <c r="AB2242" s="97" t="s">
        <v>112</v>
      </c>
      <c r="AC2242" s="97" t="s">
        <v>112</v>
      </c>
      <c r="AD2242" s="97" t="s">
        <v>112</v>
      </c>
      <c r="AE2242" s="97">
        <v>1676.2323784522796</v>
      </c>
      <c r="AF2242" s="97">
        <v>1676.2323784522796</v>
      </c>
      <c r="AG2242" s="97">
        <v>1676.2323784522796</v>
      </c>
      <c r="AH2242" s="97">
        <v>1676.2323784522796</v>
      </c>
      <c r="AI2242" s="97">
        <v>1676.2323784522796</v>
      </c>
      <c r="AJ2242" s="97">
        <v>1676.2323784522796</v>
      </c>
      <c r="AK2242" s="97">
        <v>1676.2323784522796</v>
      </c>
      <c r="AL2242" s="97">
        <v>1676.2323784522796</v>
      </c>
      <c r="AM2242" s="97">
        <v>1676.2323784522796</v>
      </c>
      <c r="AN2242" s="97">
        <v>1676.2323784522796</v>
      </c>
      <c r="AO2242" s="97">
        <v>1676.2323784522796</v>
      </c>
      <c r="AP2242" s="97">
        <v>1676.2323784522796</v>
      </c>
      <c r="AQ2242" s="97">
        <v>1676.2323784522796</v>
      </c>
      <c r="AR2242" s="97">
        <v>1676.2323784522796</v>
      </c>
      <c r="AS2242" s="97">
        <v>1676.2323784522796</v>
      </c>
      <c r="AT2242" s="97">
        <v>1676.2323784522796</v>
      </c>
      <c r="AU2242" s="97">
        <v>1676.2323784522796</v>
      </c>
      <c r="AV2242" s="97">
        <v>1676.2323784522796</v>
      </c>
      <c r="AW2242" s="97">
        <v>1676.2323784522796</v>
      </c>
      <c r="AX2242" s="98">
        <v>1676.2323784522796</v>
      </c>
    </row>
    <row r="2243" spans="1:50" x14ac:dyDescent="0.25">
      <c r="A2243" s="356"/>
      <c r="B2243" s="359"/>
      <c r="C2243" s="361" t="s">
        <v>16</v>
      </c>
      <c r="D2243" s="2" t="s">
        <v>7</v>
      </c>
      <c r="E2243" s="160" t="str">
        <f>A2225&amp;"/"&amp;B2233&amp;"/"&amp;C2243&amp;"/"&amp;D2243</f>
        <v>Diesel oil fired power plants/Gas turbine /CHP with CCS/L</v>
      </c>
      <c r="F2243" s="76" t="str">
        <f>A2225</f>
        <v>Diesel oil fired power plants</v>
      </c>
      <c r="G2243" s="76" t="str">
        <f>B2233</f>
        <v xml:space="preserve">Gas turbine </v>
      </c>
      <c r="H2243" s="76" t="str">
        <f>C2243</f>
        <v>CHP with CCS</v>
      </c>
      <c r="I2243" s="161" t="str">
        <f t="shared" si="115"/>
        <v>L</v>
      </c>
      <c r="J2243" s="91" t="s">
        <v>112</v>
      </c>
      <c r="K2243" s="91" t="s">
        <v>112</v>
      </c>
      <c r="L2243" s="91" t="s">
        <v>112</v>
      </c>
      <c r="M2243" s="91" t="s">
        <v>112</v>
      </c>
      <c r="N2243" s="91" t="s">
        <v>112</v>
      </c>
      <c r="O2243" s="91" t="s">
        <v>112</v>
      </c>
      <c r="P2243" s="91" t="s">
        <v>112</v>
      </c>
      <c r="Q2243" s="91" t="s">
        <v>112</v>
      </c>
      <c r="R2243" s="91" t="s">
        <v>112</v>
      </c>
      <c r="S2243" s="91" t="s">
        <v>112</v>
      </c>
      <c r="T2243" s="91" t="s">
        <v>112</v>
      </c>
      <c r="U2243" s="91" t="s">
        <v>112</v>
      </c>
      <c r="V2243" s="91" t="s">
        <v>112</v>
      </c>
      <c r="W2243" s="91" t="s">
        <v>112</v>
      </c>
      <c r="X2243" s="91" t="s">
        <v>112</v>
      </c>
      <c r="Y2243" s="91" t="s">
        <v>112</v>
      </c>
      <c r="Z2243" s="91" t="s">
        <v>112</v>
      </c>
      <c r="AA2243" s="91" t="s">
        <v>112</v>
      </c>
      <c r="AB2243" s="91" t="s">
        <v>112</v>
      </c>
      <c r="AC2243" s="91" t="s">
        <v>112</v>
      </c>
      <c r="AD2243" s="91" t="s">
        <v>112</v>
      </c>
      <c r="AE2243" s="91">
        <v>2825</v>
      </c>
      <c r="AF2243" s="91">
        <v>2825</v>
      </c>
      <c r="AG2243" s="91">
        <v>2825</v>
      </c>
      <c r="AH2243" s="91">
        <v>2825</v>
      </c>
      <c r="AI2243" s="91">
        <v>2825</v>
      </c>
      <c r="AJ2243" s="91">
        <v>2825</v>
      </c>
      <c r="AK2243" s="91">
        <v>2825</v>
      </c>
      <c r="AL2243" s="91">
        <v>2825</v>
      </c>
      <c r="AM2243" s="91">
        <v>2825</v>
      </c>
      <c r="AN2243" s="91">
        <v>2825</v>
      </c>
      <c r="AO2243" s="91">
        <v>2825</v>
      </c>
      <c r="AP2243" s="91">
        <v>2825</v>
      </c>
      <c r="AQ2243" s="91">
        <v>2825</v>
      </c>
      <c r="AR2243" s="91">
        <v>2825</v>
      </c>
      <c r="AS2243" s="91">
        <v>2825</v>
      </c>
      <c r="AT2243" s="91">
        <v>2825</v>
      </c>
      <c r="AU2243" s="91">
        <v>2825</v>
      </c>
      <c r="AV2243" s="91">
        <v>2825</v>
      </c>
      <c r="AW2243" s="91">
        <v>2825</v>
      </c>
      <c r="AX2243" s="92">
        <v>2825</v>
      </c>
    </row>
    <row r="2244" spans="1:50" x14ac:dyDescent="0.25">
      <c r="A2244" s="356"/>
      <c r="B2244" s="362"/>
      <c r="C2244" s="354"/>
      <c r="D2244" s="4" t="s">
        <v>8</v>
      </c>
      <c r="E2244" s="168" t="str">
        <f>A2225&amp;"/"&amp;B2233&amp;"/"&amp;C2243&amp;"/"&amp;D2244</f>
        <v>Diesel oil fired power plants/Gas turbine /CHP with CCS/M</v>
      </c>
      <c r="F2244" s="80" t="str">
        <f>A2225</f>
        <v>Diesel oil fired power plants</v>
      </c>
      <c r="G2244" s="80" t="str">
        <f>B2233</f>
        <v xml:space="preserve">Gas turbine </v>
      </c>
      <c r="H2244" s="80" t="str">
        <f>C2243</f>
        <v>CHP with CCS</v>
      </c>
      <c r="I2244" s="169" t="str">
        <f t="shared" si="115"/>
        <v>M</v>
      </c>
      <c r="J2244" s="99" t="s">
        <v>112</v>
      </c>
      <c r="K2244" s="99" t="s">
        <v>112</v>
      </c>
      <c r="L2244" s="99" t="s">
        <v>112</v>
      </c>
      <c r="M2244" s="99" t="s">
        <v>112</v>
      </c>
      <c r="N2244" s="99" t="s">
        <v>112</v>
      </c>
      <c r="O2244" s="99" t="s">
        <v>112</v>
      </c>
      <c r="P2244" s="99" t="s">
        <v>112</v>
      </c>
      <c r="Q2244" s="99" t="s">
        <v>112</v>
      </c>
      <c r="R2244" s="99" t="s">
        <v>112</v>
      </c>
      <c r="S2244" s="99" t="s">
        <v>112</v>
      </c>
      <c r="T2244" s="99" t="s">
        <v>112</v>
      </c>
      <c r="U2244" s="99" t="s">
        <v>112</v>
      </c>
      <c r="V2244" s="99" t="s">
        <v>112</v>
      </c>
      <c r="W2244" s="99" t="s">
        <v>112</v>
      </c>
      <c r="X2244" s="99" t="s">
        <v>112</v>
      </c>
      <c r="Y2244" s="99" t="s">
        <v>112</v>
      </c>
      <c r="Z2244" s="99" t="s">
        <v>112</v>
      </c>
      <c r="AA2244" s="99" t="s">
        <v>112</v>
      </c>
      <c r="AB2244" s="99" t="s">
        <v>112</v>
      </c>
      <c r="AC2244" s="99" t="s">
        <v>112</v>
      </c>
      <c r="AD2244" s="99" t="s">
        <v>112</v>
      </c>
      <c r="AE2244" s="99">
        <v>1896.8886248864983</v>
      </c>
      <c r="AF2244" s="99">
        <v>1896.8886248864983</v>
      </c>
      <c r="AG2244" s="99">
        <v>1896.8886248864983</v>
      </c>
      <c r="AH2244" s="99">
        <v>1896.8886248864983</v>
      </c>
      <c r="AI2244" s="99">
        <v>1896.8886248864983</v>
      </c>
      <c r="AJ2244" s="99">
        <v>1896.8886248864983</v>
      </c>
      <c r="AK2244" s="99">
        <v>1896.8886248864983</v>
      </c>
      <c r="AL2244" s="99">
        <v>1896.8886248864983</v>
      </c>
      <c r="AM2244" s="99">
        <v>1896.8886248864983</v>
      </c>
      <c r="AN2244" s="99">
        <v>1896.8886248864983</v>
      </c>
      <c r="AO2244" s="99">
        <v>1896.8886248864983</v>
      </c>
      <c r="AP2244" s="99">
        <v>1896.8886248864983</v>
      </c>
      <c r="AQ2244" s="99">
        <v>1896.8886248864983</v>
      </c>
      <c r="AR2244" s="99">
        <v>1896.8886248864983</v>
      </c>
      <c r="AS2244" s="99">
        <v>1896.8886248864983</v>
      </c>
      <c r="AT2244" s="99">
        <v>1896.8886248864983</v>
      </c>
      <c r="AU2244" s="99">
        <v>1896.8886248864983</v>
      </c>
      <c r="AV2244" s="99">
        <v>1896.8886248864983</v>
      </c>
      <c r="AW2244" s="99">
        <v>1896.8886248864983</v>
      </c>
      <c r="AX2244" s="100">
        <v>1896.8886248864983</v>
      </c>
    </row>
    <row r="2245" spans="1:50" x14ac:dyDescent="0.25">
      <c r="A2245" s="356"/>
      <c r="B2245" s="358" t="s">
        <v>19</v>
      </c>
      <c r="C2245" s="353" t="s">
        <v>6</v>
      </c>
      <c r="D2245" s="3" t="s">
        <v>7</v>
      </c>
      <c r="E2245" s="162" t="str">
        <f>A2225&amp;"/"&amp;B2245&amp;"/"&amp;C2245&amp;"/"&amp;D2245</f>
        <v>Diesel oil fired power plants/Steam turbine/Electricity only/L</v>
      </c>
      <c r="F2245" s="77" t="str">
        <f>A2225</f>
        <v>Diesel oil fired power plants</v>
      </c>
      <c r="G2245" s="77" t="str">
        <f>B2245</f>
        <v>Steam turbine</v>
      </c>
      <c r="H2245" s="77" t="str">
        <f>C2245</f>
        <v>Electricity only</v>
      </c>
      <c r="I2245" s="163" t="str">
        <f t="shared" si="115"/>
        <v>L</v>
      </c>
      <c r="J2245" s="93">
        <v>3250</v>
      </c>
      <c r="K2245" s="93">
        <v>3250</v>
      </c>
      <c r="L2245" s="93">
        <v>3250</v>
      </c>
      <c r="M2245" s="93">
        <v>3250</v>
      </c>
      <c r="N2245" s="93">
        <v>3250</v>
      </c>
      <c r="O2245" s="93">
        <v>3250</v>
      </c>
      <c r="P2245" s="93">
        <v>3250</v>
      </c>
      <c r="Q2245" s="93">
        <v>3250</v>
      </c>
      <c r="R2245" s="93">
        <v>3250</v>
      </c>
      <c r="S2245" s="93">
        <v>3250</v>
      </c>
      <c r="T2245" s="93">
        <v>3250</v>
      </c>
      <c r="U2245" s="93">
        <v>3250</v>
      </c>
      <c r="V2245" s="93">
        <v>3250</v>
      </c>
      <c r="W2245" s="93">
        <v>3250</v>
      </c>
      <c r="X2245" s="93">
        <v>3250</v>
      </c>
      <c r="Y2245" s="93">
        <v>3250</v>
      </c>
      <c r="Z2245" s="93">
        <v>3250</v>
      </c>
      <c r="AA2245" s="93">
        <v>3250</v>
      </c>
      <c r="AB2245" s="93">
        <v>3250</v>
      </c>
      <c r="AC2245" s="93">
        <v>3250</v>
      </c>
      <c r="AD2245" s="93">
        <v>3250</v>
      </c>
      <c r="AE2245" s="93">
        <v>3250</v>
      </c>
      <c r="AF2245" s="93">
        <v>3250</v>
      </c>
      <c r="AG2245" s="93">
        <v>3250</v>
      </c>
      <c r="AH2245" s="93">
        <v>3250</v>
      </c>
      <c r="AI2245" s="93">
        <v>3250</v>
      </c>
      <c r="AJ2245" s="93">
        <v>3250</v>
      </c>
      <c r="AK2245" s="93">
        <v>3250</v>
      </c>
      <c r="AL2245" s="93">
        <v>3250</v>
      </c>
      <c r="AM2245" s="93">
        <v>3250</v>
      </c>
      <c r="AN2245" s="93">
        <v>3250</v>
      </c>
      <c r="AO2245" s="93">
        <v>3250</v>
      </c>
      <c r="AP2245" s="93">
        <v>3250</v>
      </c>
      <c r="AQ2245" s="93">
        <v>3250</v>
      </c>
      <c r="AR2245" s="93">
        <v>3250</v>
      </c>
      <c r="AS2245" s="93">
        <v>3250</v>
      </c>
      <c r="AT2245" s="93">
        <v>3250</v>
      </c>
      <c r="AU2245" s="93">
        <v>3250</v>
      </c>
      <c r="AV2245" s="93">
        <v>3250</v>
      </c>
      <c r="AW2245" s="93">
        <v>3250</v>
      </c>
      <c r="AX2245" s="94">
        <v>3250</v>
      </c>
    </row>
    <row r="2246" spans="1:50" x14ac:dyDescent="0.25">
      <c r="A2246" s="356"/>
      <c r="B2246" s="359"/>
      <c r="C2246" s="350"/>
      <c r="D2246" s="2" t="s">
        <v>8</v>
      </c>
      <c r="E2246" s="160" t="str">
        <f>A2225&amp;"/"&amp;B2245&amp;"/"&amp;C2245&amp;"/"&amp;D2246</f>
        <v>Diesel oil fired power plants/Steam turbine/Electricity only/M</v>
      </c>
      <c r="F2246" s="76" t="str">
        <f>A2225</f>
        <v>Diesel oil fired power plants</v>
      </c>
      <c r="G2246" s="76" t="str">
        <f>B2245</f>
        <v>Steam turbine</v>
      </c>
      <c r="H2246" s="76" t="str">
        <f>C2245</f>
        <v>Electricity only</v>
      </c>
      <c r="I2246" s="161" t="str">
        <f t="shared" si="115"/>
        <v>M</v>
      </c>
      <c r="J2246" s="91">
        <v>2169.9486345365544</v>
      </c>
      <c r="K2246" s="91">
        <v>2169.9486345365544</v>
      </c>
      <c r="L2246" s="91">
        <v>2169.9486345365544</v>
      </c>
      <c r="M2246" s="91">
        <v>2169.9486345365544</v>
      </c>
      <c r="N2246" s="91">
        <v>2169.9486345365544</v>
      </c>
      <c r="O2246" s="91">
        <v>2169.9486345365544</v>
      </c>
      <c r="P2246" s="91">
        <v>2169.9486345365544</v>
      </c>
      <c r="Q2246" s="91">
        <v>2169.9486345365544</v>
      </c>
      <c r="R2246" s="91">
        <v>2169.9486345365544</v>
      </c>
      <c r="S2246" s="91">
        <v>2169.9486345365544</v>
      </c>
      <c r="T2246" s="91">
        <v>2169.9486345365544</v>
      </c>
      <c r="U2246" s="91">
        <v>2169.9486345365544</v>
      </c>
      <c r="V2246" s="91">
        <v>2169.9486345365544</v>
      </c>
      <c r="W2246" s="91">
        <v>2169.9486345365544</v>
      </c>
      <c r="X2246" s="91">
        <v>2169.9486345365544</v>
      </c>
      <c r="Y2246" s="91">
        <v>2169.9486345365544</v>
      </c>
      <c r="Z2246" s="91">
        <v>2169.9486345365544</v>
      </c>
      <c r="AA2246" s="91">
        <v>2169.9486345365544</v>
      </c>
      <c r="AB2246" s="91">
        <v>2169.9486345365544</v>
      </c>
      <c r="AC2246" s="91">
        <v>2169.9486345365544</v>
      </c>
      <c r="AD2246" s="91">
        <v>2169.9486345365544</v>
      </c>
      <c r="AE2246" s="91">
        <v>2169.9486345365544</v>
      </c>
      <c r="AF2246" s="91">
        <v>2169.9486345365544</v>
      </c>
      <c r="AG2246" s="91">
        <v>2169.9486345365544</v>
      </c>
      <c r="AH2246" s="91">
        <v>2169.9486345365544</v>
      </c>
      <c r="AI2246" s="91">
        <v>2169.9486345365544</v>
      </c>
      <c r="AJ2246" s="91">
        <v>2169.9486345365544</v>
      </c>
      <c r="AK2246" s="91">
        <v>2169.9486345365544</v>
      </c>
      <c r="AL2246" s="91">
        <v>2169.9486345365544</v>
      </c>
      <c r="AM2246" s="91">
        <v>2169.9486345365544</v>
      </c>
      <c r="AN2246" s="91">
        <v>2169.9486345365544</v>
      </c>
      <c r="AO2246" s="91">
        <v>2169.9486345365544</v>
      </c>
      <c r="AP2246" s="91">
        <v>2169.9486345365544</v>
      </c>
      <c r="AQ2246" s="91">
        <v>2169.9486345365544</v>
      </c>
      <c r="AR2246" s="91">
        <v>2169.9486345365544</v>
      </c>
      <c r="AS2246" s="91">
        <v>2169.9486345365544</v>
      </c>
      <c r="AT2246" s="91">
        <v>2169.9486345365544</v>
      </c>
      <c r="AU2246" s="91">
        <v>2169.9486345365544</v>
      </c>
      <c r="AV2246" s="91">
        <v>2169.9486345365544</v>
      </c>
      <c r="AW2246" s="91">
        <v>2169.9486345365544</v>
      </c>
      <c r="AX2246" s="92">
        <v>2169.9486345365544</v>
      </c>
    </row>
    <row r="2247" spans="1:50" x14ac:dyDescent="0.25">
      <c r="A2247" s="356"/>
      <c r="B2247" s="359"/>
      <c r="C2247" s="360"/>
      <c r="D2247" s="2" t="s">
        <v>10</v>
      </c>
      <c r="E2247" s="160" t="str">
        <f>A2225&amp;"/"&amp;B2245&amp;"/"&amp;C2245&amp;"/"&amp;D2247</f>
        <v>Diesel oil fired power plants/Steam turbine/Electricity only/S</v>
      </c>
      <c r="F2247" s="76" t="str">
        <f>A2225</f>
        <v>Diesel oil fired power plants</v>
      </c>
      <c r="G2247" s="76" t="str">
        <f>B2245</f>
        <v>Steam turbine</v>
      </c>
      <c r="H2247" s="76" t="str">
        <f>C2245</f>
        <v>Electricity only</v>
      </c>
      <c r="I2247" s="161" t="str">
        <f t="shared" si="115"/>
        <v>S</v>
      </c>
      <c r="J2247" s="91">
        <v>1455.5007982786394</v>
      </c>
      <c r="K2247" s="91">
        <v>1455.5007982786394</v>
      </c>
      <c r="L2247" s="91">
        <v>1455.5007982786394</v>
      </c>
      <c r="M2247" s="91">
        <v>1455.5007982786394</v>
      </c>
      <c r="N2247" s="91">
        <v>1455.5007982786394</v>
      </c>
      <c r="O2247" s="91">
        <v>1455.5007982786394</v>
      </c>
      <c r="P2247" s="91">
        <v>1455.5007982786394</v>
      </c>
      <c r="Q2247" s="91">
        <v>1455.5007982786394</v>
      </c>
      <c r="R2247" s="91">
        <v>1455.5007982786394</v>
      </c>
      <c r="S2247" s="91">
        <v>1455.5007982786394</v>
      </c>
      <c r="T2247" s="91">
        <v>1455.5007982786394</v>
      </c>
      <c r="U2247" s="91">
        <v>1455.5007982786394</v>
      </c>
      <c r="V2247" s="91">
        <v>1455.5007982786394</v>
      </c>
      <c r="W2247" s="91">
        <v>1455.5007982786394</v>
      </c>
      <c r="X2247" s="91">
        <v>1455.5007982786394</v>
      </c>
      <c r="Y2247" s="91">
        <v>1455.5007982786394</v>
      </c>
      <c r="Z2247" s="91">
        <v>1455.5007982786394</v>
      </c>
      <c r="AA2247" s="91">
        <v>1455.5007982786394</v>
      </c>
      <c r="AB2247" s="91">
        <v>1455.5007982786394</v>
      </c>
      <c r="AC2247" s="91">
        <v>1455.5007982786394</v>
      </c>
      <c r="AD2247" s="91">
        <v>1455.5007982786394</v>
      </c>
      <c r="AE2247" s="91">
        <v>1455.5007982786394</v>
      </c>
      <c r="AF2247" s="91">
        <v>1455.5007982786394</v>
      </c>
      <c r="AG2247" s="91">
        <v>1455.5007982786394</v>
      </c>
      <c r="AH2247" s="91">
        <v>1455.5007982786394</v>
      </c>
      <c r="AI2247" s="91">
        <v>1455.5007982786394</v>
      </c>
      <c r="AJ2247" s="91">
        <v>1455.5007982786394</v>
      </c>
      <c r="AK2247" s="91">
        <v>1455.5007982786394</v>
      </c>
      <c r="AL2247" s="91">
        <v>1455.5007982786394</v>
      </c>
      <c r="AM2247" s="91">
        <v>1455.5007982786394</v>
      </c>
      <c r="AN2247" s="91">
        <v>1455.5007982786394</v>
      </c>
      <c r="AO2247" s="91">
        <v>1455.5007982786394</v>
      </c>
      <c r="AP2247" s="91">
        <v>1455.5007982786394</v>
      </c>
      <c r="AQ2247" s="91">
        <v>1455.5007982786394</v>
      </c>
      <c r="AR2247" s="91">
        <v>1455.5007982786394</v>
      </c>
      <c r="AS2247" s="91">
        <v>1455.5007982786394</v>
      </c>
      <c r="AT2247" s="91">
        <v>1455.5007982786394</v>
      </c>
      <c r="AU2247" s="91">
        <v>1455.5007982786394</v>
      </c>
      <c r="AV2247" s="91">
        <v>1455.5007982786394</v>
      </c>
      <c r="AW2247" s="91">
        <v>1455.5007982786394</v>
      </c>
      <c r="AX2247" s="92">
        <v>1455.5007982786394</v>
      </c>
    </row>
    <row r="2248" spans="1:50" x14ac:dyDescent="0.25">
      <c r="A2248" s="356"/>
      <c r="B2248" s="359"/>
      <c r="C2248" s="361" t="s">
        <v>14</v>
      </c>
      <c r="D2248" s="58" t="s">
        <v>7</v>
      </c>
      <c r="E2248" s="164" t="str">
        <f>A2225&amp;"/"&amp;B2245&amp;"/"&amp;C2248&amp;"/"&amp;D2248</f>
        <v>Diesel oil fired power plants/Steam turbine/CHP/L</v>
      </c>
      <c r="F2248" s="78" t="str">
        <f>A2225</f>
        <v>Diesel oil fired power plants</v>
      </c>
      <c r="G2248" s="78" t="str">
        <f>B2245</f>
        <v>Steam turbine</v>
      </c>
      <c r="H2248" s="78" t="str">
        <f>C2248</f>
        <v>CHP</v>
      </c>
      <c r="I2248" s="165" t="str">
        <f t="shared" si="115"/>
        <v>L</v>
      </c>
      <c r="J2248" s="95">
        <v>3110</v>
      </c>
      <c r="K2248" s="95">
        <v>3110</v>
      </c>
      <c r="L2248" s="95">
        <v>3110</v>
      </c>
      <c r="M2248" s="95">
        <v>3110</v>
      </c>
      <c r="N2248" s="95">
        <v>3110</v>
      </c>
      <c r="O2248" s="95">
        <v>3110</v>
      </c>
      <c r="P2248" s="95">
        <v>3110</v>
      </c>
      <c r="Q2248" s="95">
        <v>3110</v>
      </c>
      <c r="R2248" s="95">
        <v>3110</v>
      </c>
      <c r="S2248" s="95">
        <v>3110</v>
      </c>
      <c r="T2248" s="95">
        <v>3110</v>
      </c>
      <c r="U2248" s="95">
        <v>3110</v>
      </c>
      <c r="V2248" s="95">
        <v>3110</v>
      </c>
      <c r="W2248" s="95">
        <v>3110</v>
      </c>
      <c r="X2248" s="95">
        <v>3110</v>
      </c>
      <c r="Y2248" s="95">
        <v>3110</v>
      </c>
      <c r="Z2248" s="95">
        <v>3110</v>
      </c>
      <c r="AA2248" s="95">
        <v>3110</v>
      </c>
      <c r="AB2248" s="95">
        <v>3110</v>
      </c>
      <c r="AC2248" s="95">
        <v>3110</v>
      </c>
      <c r="AD2248" s="95">
        <v>3110</v>
      </c>
      <c r="AE2248" s="95">
        <v>3110</v>
      </c>
      <c r="AF2248" s="95">
        <v>3110</v>
      </c>
      <c r="AG2248" s="95">
        <v>3110</v>
      </c>
      <c r="AH2248" s="95">
        <v>3110</v>
      </c>
      <c r="AI2248" s="95">
        <v>3110</v>
      </c>
      <c r="AJ2248" s="95">
        <v>3110</v>
      </c>
      <c r="AK2248" s="95">
        <v>3110</v>
      </c>
      <c r="AL2248" s="95">
        <v>3110</v>
      </c>
      <c r="AM2248" s="95">
        <v>3110</v>
      </c>
      <c r="AN2248" s="95">
        <v>3110</v>
      </c>
      <c r="AO2248" s="95">
        <v>3110</v>
      </c>
      <c r="AP2248" s="95">
        <v>3110</v>
      </c>
      <c r="AQ2248" s="95">
        <v>3110</v>
      </c>
      <c r="AR2248" s="95">
        <v>3110</v>
      </c>
      <c r="AS2248" s="95">
        <v>3110</v>
      </c>
      <c r="AT2248" s="95">
        <v>3110</v>
      </c>
      <c r="AU2248" s="95">
        <v>3110</v>
      </c>
      <c r="AV2248" s="95">
        <v>3110</v>
      </c>
      <c r="AW2248" s="95">
        <v>3110</v>
      </c>
      <c r="AX2248" s="96">
        <v>3110</v>
      </c>
    </row>
    <row r="2249" spans="1:50" x14ac:dyDescent="0.25">
      <c r="A2249" s="356"/>
      <c r="B2249" s="359"/>
      <c r="C2249" s="350"/>
      <c r="D2249" s="2" t="s">
        <v>8</v>
      </c>
      <c r="E2249" s="160" t="str">
        <f>A2225&amp;"/"&amp;B2245&amp;"/"&amp;C2248&amp;"/"&amp;D2249</f>
        <v>Diesel oil fired power plants/Steam turbine/CHP/M</v>
      </c>
      <c r="F2249" s="76" t="str">
        <f>A2225</f>
        <v>Diesel oil fired power plants</v>
      </c>
      <c r="G2249" s="76" t="str">
        <f>B2245</f>
        <v>Steam turbine</v>
      </c>
      <c r="H2249" s="76" t="str">
        <f>C2248</f>
        <v>CHP</v>
      </c>
      <c r="I2249" s="161" t="str">
        <f t="shared" si="115"/>
        <v>M</v>
      </c>
      <c r="J2249" s="91">
        <v>2760.2249455471401</v>
      </c>
      <c r="K2249" s="91">
        <v>2760.2249455471401</v>
      </c>
      <c r="L2249" s="91">
        <v>2760.2249455471401</v>
      </c>
      <c r="M2249" s="91">
        <v>2760.2249455471401</v>
      </c>
      <c r="N2249" s="91">
        <v>2760.2249455471401</v>
      </c>
      <c r="O2249" s="91">
        <v>2760.2249455471401</v>
      </c>
      <c r="P2249" s="91">
        <v>2760.2249455471401</v>
      </c>
      <c r="Q2249" s="91">
        <v>2760.2249455471401</v>
      </c>
      <c r="R2249" s="91">
        <v>2760.2249455471401</v>
      </c>
      <c r="S2249" s="91">
        <v>2760.2249455471401</v>
      </c>
      <c r="T2249" s="91">
        <v>2760.2249455471401</v>
      </c>
      <c r="U2249" s="91">
        <v>2760.2249455471401</v>
      </c>
      <c r="V2249" s="91">
        <v>2760.2249455471401</v>
      </c>
      <c r="W2249" s="91">
        <v>2760.2249455471401</v>
      </c>
      <c r="X2249" s="91">
        <v>2760.2249455471401</v>
      </c>
      <c r="Y2249" s="91">
        <v>2760.2249455471401</v>
      </c>
      <c r="Z2249" s="91">
        <v>2760.2249455471401</v>
      </c>
      <c r="AA2249" s="91">
        <v>2760.2249455471401</v>
      </c>
      <c r="AB2249" s="91">
        <v>2760.2249455471401</v>
      </c>
      <c r="AC2249" s="91">
        <v>2760.2249455471401</v>
      </c>
      <c r="AD2249" s="91">
        <v>2760.2249455471401</v>
      </c>
      <c r="AE2249" s="91">
        <v>2760.2249455471401</v>
      </c>
      <c r="AF2249" s="91">
        <v>2760.2249455471401</v>
      </c>
      <c r="AG2249" s="91">
        <v>2760.2249455471401</v>
      </c>
      <c r="AH2249" s="91">
        <v>2760.2249455471401</v>
      </c>
      <c r="AI2249" s="91">
        <v>2760.2249455471401</v>
      </c>
      <c r="AJ2249" s="91">
        <v>2760.2249455471401</v>
      </c>
      <c r="AK2249" s="91">
        <v>2760.2249455471401</v>
      </c>
      <c r="AL2249" s="91">
        <v>2760.2249455471401</v>
      </c>
      <c r="AM2249" s="91">
        <v>2760.2249455471401</v>
      </c>
      <c r="AN2249" s="91">
        <v>2760.2249455471401</v>
      </c>
      <c r="AO2249" s="91">
        <v>2760.2249455471401</v>
      </c>
      <c r="AP2249" s="91">
        <v>2760.2249455471401</v>
      </c>
      <c r="AQ2249" s="91">
        <v>2760.2249455471401</v>
      </c>
      <c r="AR2249" s="91">
        <v>2760.2249455471401</v>
      </c>
      <c r="AS2249" s="91">
        <v>2760.2249455471401</v>
      </c>
      <c r="AT2249" s="91">
        <v>2760.2249455471401</v>
      </c>
      <c r="AU2249" s="91">
        <v>2760.2249455471401</v>
      </c>
      <c r="AV2249" s="91">
        <v>2760.2249455471401</v>
      </c>
      <c r="AW2249" s="91">
        <v>2760.2249455471401</v>
      </c>
      <c r="AX2249" s="92">
        <v>2760.2249455471401</v>
      </c>
    </row>
    <row r="2250" spans="1:50" x14ac:dyDescent="0.25">
      <c r="A2250" s="356"/>
      <c r="B2250" s="359"/>
      <c r="C2250" s="360"/>
      <c r="D2250" s="59" t="s">
        <v>10</v>
      </c>
      <c r="E2250" s="166" t="str">
        <f>A2225&amp;"/"&amp;B2245&amp;"/"&amp;C2248&amp;"/"&amp;D2250</f>
        <v>Diesel oil fired power plants/Steam turbine/CHP/S</v>
      </c>
      <c r="F2250" s="79" t="str">
        <f>A2225</f>
        <v>Diesel oil fired power plants</v>
      </c>
      <c r="G2250" s="79" t="str">
        <f>B2245</f>
        <v>Steam turbine</v>
      </c>
      <c r="H2250" s="79" t="str">
        <f>C2248</f>
        <v>CHP</v>
      </c>
      <c r="I2250" s="167" t="str">
        <f t="shared" si="115"/>
        <v>S</v>
      </c>
      <c r="J2250" s="97">
        <v>2413.0016613970379</v>
      </c>
      <c r="K2250" s="97">
        <v>2413.0016613970379</v>
      </c>
      <c r="L2250" s="97">
        <v>2413.0016613970379</v>
      </c>
      <c r="M2250" s="97">
        <v>2413.0016613970379</v>
      </c>
      <c r="N2250" s="97">
        <v>2413.0016613970379</v>
      </c>
      <c r="O2250" s="97">
        <v>2413.0016613970379</v>
      </c>
      <c r="P2250" s="97">
        <v>2413.0016613970379</v>
      </c>
      <c r="Q2250" s="97">
        <v>2413.0016613970379</v>
      </c>
      <c r="R2250" s="97">
        <v>2413.0016613970379</v>
      </c>
      <c r="S2250" s="97">
        <v>2413.0016613970379</v>
      </c>
      <c r="T2250" s="97">
        <v>2413.0016613970379</v>
      </c>
      <c r="U2250" s="97">
        <v>2413.0016613970379</v>
      </c>
      <c r="V2250" s="97">
        <v>2413.0016613970379</v>
      </c>
      <c r="W2250" s="97">
        <v>2413.0016613970379</v>
      </c>
      <c r="X2250" s="97">
        <v>2413.0016613970379</v>
      </c>
      <c r="Y2250" s="97">
        <v>2413.0016613970379</v>
      </c>
      <c r="Z2250" s="97">
        <v>2413.0016613970379</v>
      </c>
      <c r="AA2250" s="97">
        <v>2413.0016613970379</v>
      </c>
      <c r="AB2250" s="97">
        <v>2413.0016613970379</v>
      </c>
      <c r="AC2250" s="97">
        <v>2413.0016613970379</v>
      </c>
      <c r="AD2250" s="97">
        <v>2413.0016613970379</v>
      </c>
      <c r="AE2250" s="97">
        <v>2413.0016613970379</v>
      </c>
      <c r="AF2250" s="97">
        <v>2413.0016613970379</v>
      </c>
      <c r="AG2250" s="97">
        <v>2413.0016613970379</v>
      </c>
      <c r="AH2250" s="97">
        <v>2413.0016613970379</v>
      </c>
      <c r="AI2250" s="97">
        <v>2413.0016613970379</v>
      </c>
      <c r="AJ2250" s="97">
        <v>2413.0016613970379</v>
      </c>
      <c r="AK2250" s="97">
        <v>2413.0016613970379</v>
      </c>
      <c r="AL2250" s="97">
        <v>2413.0016613970379</v>
      </c>
      <c r="AM2250" s="97">
        <v>2413.0016613970379</v>
      </c>
      <c r="AN2250" s="97">
        <v>2413.0016613970379</v>
      </c>
      <c r="AO2250" s="97">
        <v>2413.0016613970379</v>
      </c>
      <c r="AP2250" s="97">
        <v>2413.0016613970379</v>
      </c>
      <c r="AQ2250" s="97">
        <v>2413.0016613970379</v>
      </c>
      <c r="AR2250" s="97">
        <v>2413.0016613970379</v>
      </c>
      <c r="AS2250" s="97">
        <v>2413.0016613970379</v>
      </c>
      <c r="AT2250" s="97">
        <v>2413.0016613970379</v>
      </c>
      <c r="AU2250" s="97">
        <v>2413.0016613970379</v>
      </c>
      <c r="AV2250" s="97">
        <v>2413.0016613970379</v>
      </c>
      <c r="AW2250" s="97">
        <v>2413.0016613970379</v>
      </c>
      <c r="AX2250" s="98">
        <v>2413.0016613970379</v>
      </c>
    </row>
    <row r="2251" spans="1:50" x14ac:dyDescent="0.25">
      <c r="A2251" s="356"/>
      <c r="B2251" s="359"/>
      <c r="C2251" s="361" t="s">
        <v>15</v>
      </c>
      <c r="D2251" s="58" t="s">
        <v>7</v>
      </c>
      <c r="E2251" s="164" t="str">
        <f>A2225&amp;"/"&amp;B2245&amp;"/"&amp;C2251&amp;"/"&amp;D2251</f>
        <v>Diesel oil fired power plants/Steam turbine/Electricity only with CCS/L</v>
      </c>
      <c r="F2251" s="78" t="str">
        <f>A2225</f>
        <v>Diesel oil fired power plants</v>
      </c>
      <c r="G2251" s="78" t="str">
        <f>B2245</f>
        <v>Steam turbine</v>
      </c>
      <c r="H2251" s="78" t="str">
        <f>C2251</f>
        <v>Electricity only with CCS</v>
      </c>
      <c r="I2251" s="165" t="str">
        <f t="shared" si="115"/>
        <v>L</v>
      </c>
      <c r="J2251" s="95" t="s">
        <v>112</v>
      </c>
      <c r="K2251" s="95" t="s">
        <v>112</v>
      </c>
      <c r="L2251" s="95" t="s">
        <v>112</v>
      </c>
      <c r="M2251" s="95" t="s">
        <v>112</v>
      </c>
      <c r="N2251" s="95" t="s">
        <v>112</v>
      </c>
      <c r="O2251" s="95" t="s">
        <v>112</v>
      </c>
      <c r="P2251" s="95" t="s">
        <v>112</v>
      </c>
      <c r="Q2251" s="95" t="s">
        <v>112</v>
      </c>
      <c r="R2251" s="95" t="s">
        <v>112</v>
      </c>
      <c r="S2251" s="95" t="s">
        <v>112</v>
      </c>
      <c r="T2251" s="95" t="s">
        <v>112</v>
      </c>
      <c r="U2251" s="95" t="s">
        <v>112</v>
      </c>
      <c r="V2251" s="95" t="s">
        <v>112</v>
      </c>
      <c r="W2251" s="95" t="s">
        <v>112</v>
      </c>
      <c r="X2251" s="95" t="s">
        <v>112</v>
      </c>
      <c r="Y2251" s="95" t="s">
        <v>112</v>
      </c>
      <c r="Z2251" s="95" t="s">
        <v>112</v>
      </c>
      <c r="AA2251" s="95" t="s">
        <v>112</v>
      </c>
      <c r="AB2251" s="95" t="s">
        <v>112</v>
      </c>
      <c r="AC2251" s="95" t="s">
        <v>112</v>
      </c>
      <c r="AD2251" s="95" t="s">
        <v>112</v>
      </c>
      <c r="AE2251" s="95">
        <v>3250</v>
      </c>
      <c r="AF2251" s="95">
        <v>3250</v>
      </c>
      <c r="AG2251" s="95">
        <v>3250</v>
      </c>
      <c r="AH2251" s="95">
        <v>3250</v>
      </c>
      <c r="AI2251" s="95">
        <v>3250</v>
      </c>
      <c r="AJ2251" s="95">
        <v>3250</v>
      </c>
      <c r="AK2251" s="95">
        <v>3250</v>
      </c>
      <c r="AL2251" s="95">
        <v>3250</v>
      </c>
      <c r="AM2251" s="95">
        <v>3250</v>
      </c>
      <c r="AN2251" s="95">
        <v>3250</v>
      </c>
      <c r="AO2251" s="95">
        <v>3250</v>
      </c>
      <c r="AP2251" s="95">
        <v>3250</v>
      </c>
      <c r="AQ2251" s="95">
        <v>3250</v>
      </c>
      <c r="AR2251" s="95">
        <v>3250</v>
      </c>
      <c r="AS2251" s="95">
        <v>3250</v>
      </c>
      <c r="AT2251" s="95">
        <v>3250</v>
      </c>
      <c r="AU2251" s="95">
        <v>3250</v>
      </c>
      <c r="AV2251" s="95">
        <v>3250</v>
      </c>
      <c r="AW2251" s="95">
        <v>3250</v>
      </c>
      <c r="AX2251" s="96">
        <v>3250</v>
      </c>
    </row>
    <row r="2252" spans="1:50" x14ac:dyDescent="0.25">
      <c r="A2252" s="356"/>
      <c r="B2252" s="359"/>
      <c r="C2252" s="360"/>
      <c r="D2252" s="59" t="s">
        <v>8</v>
      </c>
      <c r="E2252" s="166" t="str">
        <f>A2225&amp;"/"&amp;B2245&amp;"/"&amp;C2251&amp;"/"&amp;D2252</f>
        <v>Diesel oil fired power plants/Steam turbine/Electricity only with CCS/M</v>
      </c>
      <c r="F2252" s="79" t="str">
        <f>A2225</f>
        <v>Diesel oil fired power plants</v>
      </c>
      <c r="G2252" s="79" t="str">
        <f>B2245</f>
        <v>Steam turbine</v>
      </c>
      <c r="H2252" s="79" t="str">
        <f>C2251</f>
        <v>Electricity only with CCS</v>
      </c>
      <c r="I2252" s="167" t="str">
        <f t="shared" si="115"/>
        <v>M</v>
      </c>
      <c r="J2252" s="97" t="s">
        <v>112</v>
      </c>
      <c r="K2252" s="97" t="s">
        <v>112</v>
      </c>
      <c r="L2252" s="97" t="s">
        <v>112</v>
      </c>
      <c r="M2252" s="97" t="s">
        <v>112</v>
      </c>
      <c r="N2252" s="97" t="s">
        <v>112</v>
      </c>
      <c r="O2252" s="97" t="s">
        <v>112</v>
      </c>
      <c r="P2252" s="97" t="s">
        <v>112</v>
      </c>
      <c r="Q2252" s="97" t="s">
        <v>112</v>
      </c>
      <c r="R2252" s="97" t="s">
        <v>112</v>
      </c>
      <c r="S2252" s="97" t="s">
        <v>112</v>
      </c>
      <c r="T2252" s="97" t="s">
        <v>112</v>
      </c>
      <c r="U2252" s="97" t="s">
        <v>112</v>
      </c>
      <c r="V2252" s="97" t="s">
        <v>112</v>
      </c>
      <c r="W2252" s="97" t="s">
        <v>112</v>
      </c>
      <c r="X2252" s="97" t="s">
        <v>112</v>
      </c>
      <c r="Y2252" s="97" t="s">
        <v>112</v>
      </c>
      <c r="Z2252" s="97" t="s">
        <v>112</v>
      </c>
      <c r="AA2252" s="97" t="s">
        <v>112</v>
      </c>
      <c r="AB2252" s="97" t="s">
        <v>112</v>
      </c>
      <c r="AC2252" s="97" t="s">
        <v>112</v>
      </c>
      <c r="AD2252" s="97" t="s">
        <v>112</v>
      </c>
      <c r="AE2252" s="97">
        <v>2169.9486345365544</v>
      </c>
      <c r="AF2252" s="97">
        <v>2169.9486345365544</v>
      </c>
      <c r="AG2252" s="97">
        <v>2169.9486345365544</v>
      </c>
      <c r="AH2252" s="97">
        <v>2169.9486345365544</v>
      </c>
      <c r="AI2252" s="97">
        <v>2169.9486345365544</v>
      </c>
      <c r="AJ2252" s="97">
        <v>2169.9486345365544</v>
      </c>
      <c r="AK2252" s="97">
        <v>2169.9486345365544</v>
      </c>
      <c r="AL2252" s="97">
        <v>2169.9486345365544</v>
      </c>
      <c r="AM2252" s="97">
        <v>2169.9486345365544</v>
      </c>
      <c r="AN2252" s="97">
        <v>2169.9486345365544</v>
      </c>
      <c r="AO2252" s="97">
        <v>2169.9486345365544</v>
      </c>
      <c r="AP2252" s="97">
        <v>2169.9486345365544</v>
      </c>
      <c r="AQ2252" s="97">
        <v>2169.9486345365544</v>
      </c>
      <c r="AR2252" s="97">
        <v>2169.9486345365544</v>
      </c>
      <c r="AS2252" s="97">
        <v>2169.9486345365544</v>
      </c>
      <c r="AT2252" s="97">
        <v>2169.9486345365544</v>
      </c>
      <c r="AU2252" s="97">
        <v>2169.9486345365544</v>
      </c>
      <c r="AV2252" s="97">
        <v>2169.9486345365544</v>
      </c>
      <c r="AW2252" s="97">
        <v>2169.9486345365544</v>
      </c>
      <c r="AX2252" s="98">
        <v>2169.9486345365544</v>
      </c>
    </row>
    <row r="2253" spans="1:50" x14ac:dyDescent="0.25">
      <c r="A2253" s="356"/>
      <c r="B2253" s="359"/>
      <c r="C2253" s="361" t="s">
        <v>16</v>
      </c>
      <c r="D2253" s="2" t="s">
        <v>7</v>
      </c>
      <c r="E2253" s="160" t="str">
        <f>A2225&amp;"/"&amp;B2245&amp;"/"&amp;C2253&amp;"/"&amp;D2253</f>
        <v>Diesel oil fired power plants/Steam turbine/CHP with CCS/L</v>
      </c>
      <c r="F2253" s="76" t="str">
        <f>A2225</f>
        <v>Diesel oil fired power plants</v>
      </c>
      <c r="G2253" s="76" t="str">
        <f>B2245</f>
        <v>Steam turbine</v>
      </c>
      <c r="H2253" s="76" t="str">
        <f>C2253</f>
        <v>CHP with CCS</v>
      </c>
      <c r="I2253" s="161" t="str">
        <f t="shared" si="115"/>
        <v>L</v>
      </c>
      <c r="J2253" s="91" t="s">
        <v>112</v>
      </c>
      <c r="K2253" s="91" t="s">
        <v>112</v>
      </c>
      <c r="L2253" s="91" t="s">
        <v>112</v>
      </c>
      <c r="M2253" s="91" t="s">
        <v>112</v>
      </c>
      <c r="N2253" s="91" t="s">
        <v>112</v>
      </c>
      <c r="O2253" s="91" t="s">
        <v>112</v>
      </c>
      <c r="P2253" s="91" t="s">
        <v>112</v>
      </c>
      <c r="Q2253" s="91" t="s">
        <v>112</v>
      </c>
      <c r="R2253" s="91" t="s">
        <v>112</v>
      </c>
      <c r="S2253" s="91" t="s">
        <v>112</v>
      </c>
      <c r="T2253" s="91" t="s">
        <v>112</v>
      </c>
      <c r="U2253" s="91" t="s">
        <v>112</v>
      </c>
      <c r="V2253" s="91" t="s">
        <v>112</v>
      </c>
      <c r="W2253" s="91" t="s">
        <v>112</v>
      </c>
      <c r="X2253" s="91" t="s">
        <v>112</v>
      </c>
      <c r="Y2253" s="91" t="s">
        <v>112</v>
      </c>
      <c r="Z2253" s="91" t="s">
        <v>112</v>
      </c>
      <c r="AA2253" s="91" t="s">
        <v>112</v>
      </c>
      <c r="AB2253" s="91" t="s">
        <v>112</v>
      </c>
      <c r="AC2253" s="91" t="s">
        <v>112</v>
      </c>
      <c r="AD2253" s="91" t="s">
        <v>112</v>
      </c>
      <c r="AE2253" s="91">
        <v>3110</v>
      </c>
      <c r="AF2253" s="91">
        <v>3110</v>
      </c>
      <c r="AG2253" s="91">
        <v>3110</v>
      </c>
      <c r="AH2253" s="91">
        <v>3110</v>
      </c>
      <c r="AI2253" s="91">
        <v>3110</v>
      </c>
      <c r="AJ2253" s="91">
        <v>3110</v>
      </c>
      <c r="AK2253" s="91">
        <v>3110</v>
      </c>
      <c r="AL2253" s="91">
        <v>3110</v>
      </c>
      <c r="AM2253" s="91">
        <v>3110</v>
      </c>
      <c r="AN2253" s="91">
        <v>3110</v>
      </c>
      <c r="AO2253" s="91">
        <v>3110</v>
      </c>
      <c r="AP2253" s="91">
        <v>3110</v>
      </c>
      <c r="AQ2253" s="91">
        <v>3110</v>
      </c>
      <c r="AR2253" s="91">
        <v>3110</v>
      </c>
      <c r="AS2253" s="91">
        <v>3110</v>
      </c>
      <c r="AT2253" s="91">
        <v>3110</v>
      </c>
      <c r="AU2253" s="91">
        <v>3110</v>
      </c>
      <c r="AV2253" s="91">
        <v>3110</v>
      </c>
      <c r="AW2253" s="91">
        <v>3110</v>
      </c>
      <c r="AX2253" s="92">
        <v>3110</v>
      </c>
    </row>
    <row r="2254" spans="1:50" x14ac:dyDescent="0.25">
      <c r="A2254" s="356"/>
      <c r="B2254" s="362"/>
      <c r="C2254" s="354"/>
      <c r="D2254" s="4" t="s">
        <v>8</v>
      </c>
      <c r="E2254" s="168" t="str">
        <f>A2225&amp;"/"&amp;B2245&amp;"/"&amp;C2253&amp;"/"&amp;D2254</f>
        <v>Diesel oil fired power plants/Steam turbine/CHP with CCS/M</v>
      </c>
      <c r="F2254" s="80" t="str">
        <f>A2225</f>
        <v>Diesel oil fired power plants</v>
      </c>
      <c r="G2254" s="80" t="str">
        <f>B2245</f>
        <v>Steam turbine</v>
      </c>
      <c r="H2254" s="80" t="str">
        <f>C2253</f>
        <v>CHP with CCS</v>
      </c>
      <c r="I2254" s="169" t="str">
        <f t="shared" si="115"/>
        <v>M</v>
      </c>
      <c r="J2254" s="99" t="s">
        <v>112</v>
      </c>
      <c r="K2254" s="99" t="s">
        <v>112</v>
      </c>
      <c r="L2254" s="99" t="s">
        <v>112</v>
      </c>
      <c r="M2254" s="99" t="s">
        <v>112</v>
      </c>
      <c r="N2254" s="99" t="s">
        <v>112</v>
      </c>
      <c r="O2254" s="99" t="s">
        <v>112</v>
      </c>
      <c r="P2254" s="99" t="s">
        <v>112</v>
      </c>
      <c r="Q2254" s="99" t="s">
        <v>112</v>
      </c>
      <c r="R2254" s="99" t="s">
        <v>112</v>
      </c>
      <c r="S2254" s="99" t="s">
        <v>112</v>
      </c>
      <c r="T2254" s="99" t="s">
        <v>112</v>
      </c>
      <c r="U2254" s="99" t="s">
        <v>112</v>
      </c>
      <c r="V2254" s="99" t="s">
        <v>112</v>
      </c>
      <c r="W2254" s="99" t="s">
        <v>112</v>
      </c>
      <c r="X2254" s="99" t="s">
        <v>112</v>
      </c>
      <c r="Y2254" s="99" t="s">
        <v>112</v>
      </c>
      <c r="Z2254" s="99" t="s">
        <v>112</v>
      </c>
      <c r="AA2254" s="99" t="s">
        <v>112</v>
      </c>
      <c r="AB2254" s="99" t="s">
        <v>112</v>
      </c>
      <c r="AC2254" s="99" t="s">
        <v>112</v>
      </c>
      <c r="AD2254" s="99" t="s">
        <v>112</v>
      </c>
      <c r="AE2254" s="99">
        <v>2760.2249455471401</v>
      </c>
      <c r="AF2254" s="99">
        <v>2760.2249455471401</v>
      </c>
      <c r="AG2254" s="99">
        <v>2760.2249455471401</v>
      </c>
      <c r="AH2254" s="99">
        <v>2760.2249455471401</v>
      </c>
      <c r="AI2254" s="99">
        <v>2760.2249455471401</v>
      </c>
      <c r="AJ2254" s="99">
        <v>2760.2249455471401</v>
      </c>
      <c r="AK2254" s="99">
        <v>2760.2249455471401</v>
      </c>
      <c r="AL2254" s="99">
        <v>2760.2249455471401</v>
      </c>
      <c r="AM2254" s="99">
        <v>2760.2249455471401</v>
      </c>
      <c r="AN2254" s="99">
        <v>2760.2249455471401</v>
      </c>
      <c r="AO2254" s="99">
        <v>2760.2249455471401</v>
      </c>
      <c r="AP2254" s="99">
        <v>2760.2249455471401</v>
      </c>
      <c r="AQ2254" s="99">
        <v>2760.2249455471401</v>
      </c>
      <c r="AR2254" s="99">
        <v>2760.2249455471401</v>
      </c>
      <c r="AS2254" s="99">
        <v>2760.2249455471401</v>
      </c>
      <c r="AT2254" s="99">
        <v>2760.2249455471401</v>
      </c>
      <c r="AU2254" s="99">
        <v>2760.2249455471401</v>
      </c>
      <c r="AV2254" s="99">
        <v>2760.2249455471401</v>
      </c>
      <c r="AW2254" s="99">
        <v>2760.2249455471401</v>
      </c>
      <c r="AX2254" s="100">
        <v>2760.2249455471401</v>
      </c>
    </row>
    <row r="2255" spans="1:50" x14ac:dyDescent="0.25">
      <c r="A2255" s="356"/>
      <c r="B2255" s="358" t="s">
        <v>25</v>
      </c>
      <c r="C2255" s="353" t="s">
        <v>6</v>
      </c>
      <c r="D2255" s="3" t="s">
        <v>10</v>
      </c>
      <c r="E2255" s="162" t="str">
        <f>A2225&amp;"/"&amp;B2255&amp;"/"&amp;C2255&amp;"/"&amp;D2255</f>
        <v>Diesel oil fired power plants/Internal combustion engine/Electricity only/S</v>
      </c>
      <c r="F2255" s="77" t="str">
        <f>A2225</f>
        <v>Diesel oil fired power plants</v>
      </c>
      <c r="G2255" s="77" t="str">
        <f>B2255</f>
        <v>Internal combustion engine</v>
      </c>
      <c r="H2255" s="77" t="str">
        <f>C2255</f>
        <v>Electricity only</v>
      </c>
      <c r="I2255" s="163" t="str">
        <f t="shared" si="115"/>
        <v>S</v>
      </c>
      <c r="J2255" s="93">
        <v>600</v>
      </c>
      <c r="K2255" s="93">
        <v>600</v>
      </c>
      <c r="L2255" s="93">
        <v>600</v>
      </c>
      <c r="M2255" s="93">
        <v>600</v>
      </c>
      <c r="N2255" s="93">
        <v>600</v>
      </c>
      <c r="O2255" s="93">
        <v>600</v>
      </c>
      <c r="P2255" s="93">
        <v>600</v>
      </c>
      <c r="Q2255" s="93">
        <v>600</v>
      </c>
      <c r="R2255" s="93">
        <v>600</v>
      </c>
      <c r="S2255" s="93">
        <v>600</v>
      </c>
      <c r="T2255" s="93">
        <v>600</v>
      </c>
      <c r="U2255" s="93">
        <v>600</v>
      </c>
      <c r="V2255" s="93">
        <v>600</v>
      </c>
      <c r="W2255" s="93">
        <v>600</v>
      </c>
      <c r="X2255" s="93">
        <v>600</v>
      </c>
      <c r="Y2255" s="93">
        <v>600</v>
      </c>
      <c r="Z2255" s="93">
        <v>600</v>
      </c>
      <c r="AA2255" s="93">
        <v>600</v>
      </c>
      <c r="AB2255" s="93">
        <v>600</v>
      </c>
      <c r="AC2255" s="93">
        <v>600</v>
      </c>
      <c r="AD2255" s="93">
        <v>600</v>
      </c>
      <c r="AE2255" s="93">
        <v>600</v>
      </c>
      <c r="AF2255" s="93">
        <v>600</v>
      </c>
      <c r="AG2255" s="93">
        <v>600</v>
      </c>
      <c r="AH2255" s="93">
        <v>600</v>
      </c>
      <c r="AI2255" s="93">
        <v>600</v>
      </c>
      <c r="AJ2255" s="93">
        <v>600</v>
      </c>
      <c r="AK2255" s="93">
        <v>600</v>
      </c>
      <c r="AL2255" s="93">
        <v>600</v>
      </c>
      <c r="AM2255" s="93">
        <v>600</v>
      </c>
      <c r="AN2255" s="93">
        <v>600</v>
      </c>
      <c r="AO2255" s="93">
        <v>600</v>
      </c>
      <c r="AP2255" s="93">
        <v>600</v>
      </c>
      <c r="AQ2255" s="93">
        <v>600</v>
      </c>
      <c r="AR2255" s="93">
        <v>600</v>
      </c>
      <c r="AS2255" s="93">
        <v>600</v>
      </c>
      <c r="AT2255" s="93">
        <v>600</v>
      </c>
      <c r="AU2255" s="93">
        <v>600</v>
      </c>
      <c r="AV2255" s="93">
        <v>600</v>
      </c>
      <c r="AW2255" s="93">
        <v>600</v>
      </c>
      <c r="AX2255" s="94">
        <v>600</v>
      </c>
    </row>
    <row r="2256" spans="1:50" x14ac:dyDescent="0.25">
      <c r="A2256" s="356"/>
      <c r="B2256" s="359"/>
      <c r="C2256" s="360"/>
      <c r="D2256" s="59" t="s">
        <v>20</v>
      </c>
      <c r="E2256" s="160" t="str">
        <f>A2225&amp;"/"&amp;B2255&amp;"/"&amp;C2255&amp;"/"&amp;D2256</f>
        <v>Diesel oil fired power plants/Internal combustion engine/Electricity only/XS</v>
      </c>
      <c r="F2256" s="76" t="str">
        <f>A2225</f>
        <v>Diesel oil fired power plants</v>
      </c>
      <c r="G2256" s="76" t="str">
        <f>B2255</f>
        <v>Internal combustion engine</v>
      </c>
      <c r="H2256" s="76" t="str">
        <f>C2255</f>
        <v>Electricity only</v>
      </c>
      <c r="I2256" s="161" t="str">
        <f t="shared" si="115"/>
        <v>XS</v>
      </c>
      <c r="J2256" s="91">
        <v>475</v>
      </c>
      <c r="K2256" s="91">
        <v>475</v>
      </c>
      <c r="L2256" s="91">
        <v>475</v>
      </c>
      <c r="M2256" s="91">
        <v>475</v>
      </c>
      <c r="N2256" s="91">
        <v>475</v>
      </c>
      <c r="O2256" s="91">
        <v>475</v>
      </c>
      <c r="P2256" s="91">
        <v>475</v>
      </c>
      <c r="Q2256" s="91">
        <v>475</v>
      </c>
      <c r="R2256" s="91">
        <v>475</v>
      </c>
      <c r="S2256" s="91">
        <v>475</v>
      </c>
      <c r="T2256" s="91">
        <v>475</v>
      </c>
      <c r="U2256" s="91">
        <v>475</v>
      </c>
      <c r="V2256" s="91">
        <v>475</v>
      </c>
      <c r="W2256" s="91">
        <v>475</v>
      </c>
      <c r="X2256" s="91">
        <v>475</v>
      </c>
      <c r="Y2256" s="91">
        <v>475</v>
      </c>
      <c r="Z2256" s="91">
        <v>475</v>
      </c>
      <c r="AA2256" s="91">
        <v>475</v>
      </c>
      <c r="AB2256" s="91">
        <v>475</v>
      </c>
      <c r="AC2256" s="91">
        <v>475</v>
      </c>
      <c r="AD2256" s="91">
        <v>475</v>
      </c>
      <c r="AE2256" s="91">
        <v>475</v>
      </c>
      <c r="AF2256" s="91">
        <v>475</v>
      </c>
      <c r="AG2256" s="91">
        <v>475</v>
      </c>
      <c r="AH2256" s="91">
        <v>475</v>
      </c>
      <c r="AI2256" s="91">
        <v>475</v>
      </c>
      <c r="AJ2256" s="91">
        <v>475</v>
      </c>
      <c r="AK2256" s="91">
        <v>475</v>
      </c>
      <c r="AL2256" s="91">
        <v>475</v>
      </c>
      <c r="AM2256" s="91">
        <v>475</v>
      </c>
      <c r="AN2256" s="91">
        <v>475</v>
      </c>
      <c r="AO2256" s="91">
        <v>475</v>
      </c>
      <c r="AP2256" s="91">
        <v>475</v>
      </c>
      <c r="AQ2256" s="91">
        <v>475</v>
      </c>
      <c r="AR2256" s="91">
        <v>475</v>
      </c>
      <c r="AS2256" s="91">
        <v>475</v>
      </c>
      <c r="AT2256" s="91">
        <v>475</v>
      </c>
      <c r="AU2256" s="91">
        <v>475</v>
      </c>
      <c r="AV2256" s="91">
        <v>475</v>
      </c>
      <c r="AW2256" s="91">
        <v>475</v>
      </c>
      <c r="AX2256" s="92">
        <v>475</v>
      </c>
    </row>
    <row r="2257" spans="1:50" x14ac:dyDescent="0.25">
      <c r="A2257" s="356"/>
      <c r="B2257" s="359"/>
      <c r="C2257" s="350" t="s">
        <v>14</v>
      </c>
      <c r="D2257" s="2" t="s">
        <v>10</v>
      </c>
      <c r="E2257" s="164" t="str">
        <f>A2225&amp;"/"&amp;B2255&amp;"/"&amp;C2257&amp;"/"&amp;D2257</f>
        <v>Diesel oil fired power plants/Internal combustion engine/CHP/S</v>
      </c>
      <c r="F2257" s="78" t="str">
        <f>A2225</f>
        <v>Diesel oil fired power plants</v>
      </c>
      <c r="G2257" s="78" t="str">
        <f>B2255</f>
        <v>Internal combustion engine</v>
      </c>
      <c r="H2257" s="78" t="str">
        <f>C2257</f>
        <v>CHP</v>
      </c>
      <c r="I2257" s="165" t="str">
        <f t="shared" si="115"/>
        <v>S</v>
      </c>
      <c r="J2257" s="95">
        <v>547.5</v>
      </c>
      <c r="K2257" s="95">
        <v>547.5</v>
      </c>
      <c r="L2257" s="95">
        <v>547.5</v>
      </c>
      <c r="M2257" s="95">
        <v>547.5</v>
      </c>
      <c r="N2257" s="95">
        <v>547.5</v>
      </c>
      <c r="O2257" s="95">
        <v>547.5</v>
      </c>
      <c r="P2257" s="95">
        <v>547.5</v>
      </c>
      <c r="Q2257" s="95">
        <v>547.5</v>
      </c>
      <c r="R2257" s="95">
        <v>547.5</v>
      </c>
      <c r="S2257" s="95">
        <v>547.5</v>
      </c>
      <c r="T2257" s="95">
        <v>547.5</v>
      </c>
      <c r="U2257" s="95">
        <v>547.5</v>
      </c>
      <c r="V2257" s="95">
        <v>547.5</v>
      </c>
      <c r="W2257" s="95">
        <v>547.5</v>
      </c>
      <c r="X2257" s="95">
        <v>547.5</v>
      </c>
      <c r="Y2257" s="95">
        <v>547.5</v>
      </c>
      <c r="Z2257" s="95">
        <v>547.5</v>
      </c>
      <c r="AA2257" s="95">
        <v>547.5</v>
      </c>
      <c r="AB2257" s="95">
        <v>547.5</v>
      </c>
      <c r="AC2257" s="95">
        <v>547.5</v>
      </c>
      <c r="AD2257" s="95">
        <v>547.5</v>
      </c>
      <c r="AE2257" s="95">
        <v>547.5</v>
      </c>
      <c r="AF2257" s="95">
        <v>547.5</v>
      </c>
      <c r="AG2257" s="95">
        <v>547.5</v>
      </c>
      <c r="AH2257" s="95">
        <v>547.5</v>
      </c>
      <c r="AI2257" s="95">
        <v>547.5</v>
      </c>
      <c r="AJ2257" s="95">
        <v>547.5</v>
      </c>
      <c r="AK2257" s="95">
        <v>547.5</v>
      </c>
      <c r="AL2257" s="95">
        <v>547.5</v>
      </c>
      <c r="AM2257" s="95">
        <v>547.5</v>
      </c>
      <c r="AN2257" s="95">
        <v>547.5</v>
      </c>
      <c r="AO2257" s="95">
        <v>547.5</v>
      </c>
      <c r="AP2257" s="95">
        <v>547.5</v>
      </c>
      <c r="AQ2257" s="95">
        <v>547.5</v>
      </c>
      <c r="AR2257" s="95">
        <v>547.5</v>
      </c>
      <c r="AS2257" s="95">
        <v>547.5</v>
      </c>
      <c r="AT2257" s="95">
        <v>547.5</v>
      </c>
      <c r="AU2257" s="95">
        <v>547.5</v>
      </c>
      <c r="AV2257" s="95">
        <v>547.5</v>
      </c>
      <c r="AW2257" s="95">
        <v>547.5</v>
      </c>
      <c r="AX2257" s="96">
        <v>547.5</v>
      </c>
    </row>
    <row r="2258" spans="1:50" x14ac:dyDescent="0.25">
      <c r="A2258" s="357"/>
      <c r="B2258" s="362"/>
      <c r="C2258" s="354"/>
      <c r="D2258" s="4" t="s">
        <v>20</v>
      </c>
      <c r="E2258" s="168" t="str">
        <f>A2225&amp;"/"&amp;B2255&amp;"/"&amp;C2257&amp;"/"&amp;D2258</f>
        <v>Diesel oil fired power plants/Internal combustion engine/CHP/XS</v>
      </c>
      <c r="F2258" s="80" t="str">
        <f>A2225</f>
        <v>Diesel oil fired power plants</v>
      </c>
      <c r="G2258" s="80" t="str">
        <f>B2255</f>
        <v>Internal combustion engine</v>
      </c>
      <c r="H2258" s="80" t="str">
        <f>C2257</f>
        <v>CHP</v>
      </c>
      <c r="I2258" s="169" t="str">
        <f t="shared" si="115"/>
        <v>XS</v>
      </c>
      <c r="J2258" s="99">
        <v>432.5</v>
      </c>
      <c r="K2258" s="99">
        <v>432.5</v>
      </c>
      <c r="L2258" s="99">
        <v>432.5</v>
      </c>
      <c r="M2258" s="99">
        <v>432.5</v>
      </c>
      <c r="N2258" s="99">
        <v>432.5</v>
      </c>
      <c r="O2258" s="99">
        <v>432.5</v>
      </c>
      <c r="P2258" s="99">
        <v>432.5</v>
      </c>
      <c r="Q2258" s="99">
        <v>432.5</v>
      </c>
      <c r="R2258" s="99">
        <v>432.5</v>
      </c>
      <c r="S2258" s="99">
        <v>432.5</v>
      </c>
      <c r="T2258" s="99">
        <v>432.5</v>
      </c>
      <c r="U2258" s="99">
        <v>432.5</v>
      </c>
      <c r="V2258" s="99">
        <v>432.5</v>
      </c>
      <c r="W2258" s="99">
        <v>432.5</v>
      </c>
      <c r="X2258" s="99">
        <v>432.5</v>
      </c>
      <c r="Y2258" s="99">
        <v>432.5</v>
      </c>
      <c r="Z2258" s="99">
        <v>432.5</v>
      </c>
      <c r="AA2258" s="99">
        <v>432.5</v>
      </c>
      <c r="AB2258" s="99">
        <v>432.5</v>
      </c>
      <c r="AC2258" s="99">
        <v>432.5</v>
      </c>
      <c r="AD2258" s="99">
        <v>432.5</v>
      </c>
      <c r="AE2258" s="99">
        <v>432.5</v>
      </c>
      <c r="AF2258" s="99">
        <v>432.5</v>
      </c>
      <c r="AG2258" s="99">
        <v>432.5</v>
      </c>
      <c r="AH2258" s="99">
        <v>432.5</v>
      </c>
      <c r="AI2258" s="99">
        <v>432.5</v>
      </c>
      <c r="AJ2258" s="99">
        <v>432.5</v>
      </c>
      <c r="AK2258" s="99">
        <v>432.5</v>
      </c>
      <c r="AL2258" s="99">
        <v>432.5</v>
      </c>
      <c r="AM2258" s="99">
        <v>432.5</v>
      </c>
      <c r="AN2258" s="99">
        <v>432.5</v>
      </c>
      <c r="AO2258" s="99">
        <v>432.5</v>
      </c>
      <c r="AP2258" s="99">
        <v>432.5</v>
      </c>
      <c r="AQ2258" s="99">
        <v>432.5</v>
      </c>
      <c r="AR2258" s="99">
        <v>432.5</v>
      </c>
      <c r="AS2258" s="99">
        <v>432.5</v>
      </c>
      <c r="AT2258" s="99">
        <v>432.5</v>
      </c>
      <c r="AU2258" s="99">
        <v>432.5</v>
      </c>
      <c r="AV2258" s="99">
        <v>432.5</v>
      </c>
      <c r="AW2258" s="99">
        <v>432.5</v>
      </c>
      <c r="AX2258" s="100">
        <v>432.5</v>
      </c>
    </row>
    <row r="2259" spans="1:50" x14ac:dyDescent="0.25">
      <c r="A2259" s="355" t="s">
        <v>29</v>
      </c>
      <c r="B2259" s="358" t="s">
        <v>13</v>
      </c>
      <c r="C2259" s="353" t="s">
        <v>6</v>
      </c>
      <c r="D2259" s="3" t="s">
        <v>7</v>
      </c>
      <c r="E2259" s="162" t="str">
        <f>A2259&amp;"/"&amp;B2259&amp;"/"&amp;C2259&amp;"/"&amp;D2259</f>
        <v>Fuel oil fired power plants/Integrated gasification combined cycle/Electricity only/L</v>
      </c>
      <c r="F2259" s="77" t="str">
        <f>A2259</f>
        <v>Fuel oil fired power plants</v>
      </c>
      <c r="G2259" s="77" t="str">
        <f>B2259</f>
        <v>Integrated gasification combined cycle</v>
      </c>
      <c r="H2259" s="77" t="str">
        <f>C2259</f>
        <v>Electricity only</v>
      </c>
      <c r="I2259" s="163" t="str">
        <f t="shared" si="115"/>
        <v>L</v>
      </c>
      <c r="J2259" s="93">
        <v>7350</v>
      </c>
      <c r="K2259" s="93">
        <v>7350</v>
      </c>
      <c r="L2259" s="93">
        <v>7350</v>
      </c>
      <c r="M2259" s="93">
        <v>7350</v>
      </c>
      <c r="N2259" s="93">
        <v>7350</v>
      </c>
      <c r="O2259" s="93">
        <v>7350</v>
      </c>
      <c r="P2259" s="93">
        <v>7350</v>
      </c>
      <c r="Q2259" s="93">
        <v>7350</v>
      </c>
      <c r="R2259" s="93">
        <v>7350</v>
      </c>
      <c r="S2259" s="93">
        <v>7350</v>
      </c>
      <c r="T2259" s="93">
        <v>7350</v>
      </c>
      <c r="U2259" s="93">
        <v>7350</v>
      </c>
      <c r="V2259" s="93">
        <v>7350</v>
      </c>
      <c r="W2259" s="93">
        <v>7350</v>
      </c>
      <c r="X2259" s="93">
        <v>7350</v>
      </c>
      <c r="Y2259" s="93">
        <v>7350</v>
      </c>
      <c r="Z2259" s="93">
        <v>7350</v>
      </c>
      <c r="AA2259" s="93">
        <v>7350</v>
      </c>
      <c r="AB2259" s="93">
        <v>7350</v>
      </c>
      <c r="AC2259" s="93">
        <v>7350</v>
      </c>
      <c r="AD2259" s="93">
        <v>7350</v>
      </c>
      <c r="AE2259" s="93">
        <v>7350</v>
      </c>
      <c r="AF2259" s="93">
        <v>7350</v>
      </c>
      <c r="AG2259" s="93">
        <v>7350</v>
      </c>
      <c r="AH2259" s="93">
        <v>7350</v>
      </c>
      <c r="AI2259" s="93">
        <v>7350</v>
      </c>
      <c r="AJ2259" s="93">
        <v>7350</v>
      </c>
      <c r="AK2259" s="93">
        <v>7350</v>
      </c>
      <c r="AL2259" s="93">
        <v>7350</v>
      </c>
      <c r="AM2259" s="93">
        <v>7350</v>
      </c>
      <c r="AN2259" s="93">
        <v>7350</v>
      </c>
      <c r="AO2259" s="93">
        <v>7350</v>
      </c>
      <c r="AP2259" s="93">
        <v>7350</v>
      </c>
      <c r="AQ2259" s="93">
        <v>7350</v>
      </c>
      <c r="AR2259" s="93">
        <v>7350</v>
      </c>
      <c r="AS2259" s="93">
        <v>7350</v>
      </c>
      <c r="AT2259" s="93">
        <v>7350</v>
      </c>
      <c r="AU2259" s="93">
        <v>7350</v>
      </c>
      <c r="AV2259" s="93">
        <v>7350</v>
      </c>
      <c r="AW2259" s="93">
        <v>7350</v>
      </c>
      <c r="AX2259" s="94">
        <v>7350</v>
      </c>
    </row>
    <row r="2260" spans="1:50" x14ac:dyDescent="0.25">
      <c r="A2260" s="356"/>
      <c r="B2260" s="359"/>
      <c r="C2260" s="360"/>
      <c r="D2260" s="2" t="s">
        <v>8</v>
      </c>
      <c r="E2260" s="160" t="str">
        <f>A2259&amp;"/"&amp;B2259&amp;"/"&amp;C2259&amp;"/"&amp;D2260</f>
        <v>Fuel oil fired power plants/Integrated gasification combined cycle/Electricity only/M</v>
      </c>
      <c r="F2260" s="76" t="str">
        <f>A2259</f>
        <v>Fuel oil fired power plants</v>
      </c>
      <c r="G2260" s="76" t="str">
        <f>B2259</f>
        <v>Integrated gasification combined cycle</v>
      </c>
      <c r="H2260" s="76" t="str">
        <f>C2259</f>
        <v>Electricity only</v>
      </c>
      <c r="I2260" s="161" t="str">
        <f t="shared" si="115"/>
        <v>M</v>
      </c>
      <c r="J2260" s="91">
        <v>6334.5705963794462</v>
      </c>
      <c r="K2260" s="91">
        <v>6334.5705963794462</v>
      </c>
      <c r="L2260" s="91">
        <v>6334.5705963794462</v>
      </c>
      <c r="M2260" s="91">
        <v>6334.5705963794462</v>
      </c>
      <c r="N2260" s="91">
        <v>6334.5705963794462</v>
      </c>
      <c r="O2260" s="91">
        <v>6334.5705963794462</v>
      </c>
      <c r="P2260" s="91">
        <v>6334.5705963794462</v>
      </c>
      <c r="Q2260" s="91">
        <v>6334.5705963794462</v>
      </c>
      <c r="R2260" s="91">
        <v>6334.5705963794462</v>
      </c>
      <c r="S2260" s="91">
        <v>6334.5705963794462</v>
      </c>
      <c r="T2260" s="91">
        <v>6334.5705963794462</v>
      </c>
      <c r="U2260" s="91">
        <v>6334.5705963794462</v>
      </c>
      <c r="V2260" s="91">
        <v>6334.5705963794462</v>
      </c>
      <c r="W2260" s="91">
        <v>6334.5705963794462</v>
      </c>
      <c r="X2260" s="91">
        <v>6334.5705963794462</v>
      </c>
      <c r="Y2260" s="91">
        <v>6334.5705963794462</v>
      </c>
      <c r="Z2260" s="91">
        <v>6334.5705963794462</v>
      </c>
      <c r="AA2260" s="91">
        <v>6334.5705963794462</v>
      </c>
      <c r="AB2260" s="91">
        <v>6334.5705963794462</v>
      </c>
      <c r="AC2260" s="91">
        <v>6334.5705963794462</v>
      </c>
      <c r="AD2260" s="91">
        <v>6334.5705963794462</v>
      </c>
      <c r="AE2260" s="91">
        <v>6334.5705963794462</v>
      </c>
      <c r="AF2260" s="91">
        <v>6334.5705963794462</v>
      </c>
      <c r="AG2260" s="91">
        <v>6334.5705963794462</v>
      </c>
      <c r="AH2260" s="91">
        <v>6334.5705963794462</v>
      </c>
      <c r="AI2260" s="91">
        <v>6334.5705963794462</v>
      </c>
      <c r="AJ2260" s="91">
        <v>6334.5705963794462</v>
      </c>
      <c r="AK2260" s="91">
        <v>6334.5705963794462</v>
      </c>
      <c r="AL2260" s="91">
        <v>6334.5705963794462</v>
      </c>
      <c r="AM2260" s="91">
        <v>6334.5705963794462</v>
      </c>
      <c r="AN2260" s="91">
        <v>6334.5705963794462</v>
      </c>
      <c r="AO2260" s="91">
        <v>6334.5705963794462</v>
      </c>
      <c r="AP2260" s="91">
        <v>6334.5705963794462</v>
      </c>
      <c r="AQ2260" s="91">
        <v>6334.5705963794462</v>
      </c>
      <c r="AR2260" s="91">
        <v>6334.5705963794462</v>
      </c>
      <c r="AS2260" s="91">
        <v>6334.5705963794462</v>
      </c>
      <c r="AT2260" s="91">
        <v>6334.5705963794462</v>
      </c>
      <c r="AU2260" s="91">
        <v>6334.5705963794462</v>
      </c>
      <c r="AV2260" s="91">
        <v>6334.5705963794462</v>
      </c>
      <c r="AW2260" s="91">
        <v>6334.5705963794462</v>
      </c>
      <c r="AX2260" s="92">
        <v>6334.5705963794462</v>
      </c>
    </row>
    <row r="2261" spans="1:50" x14ac:dyDescent="0.25">
      <c r="A2261" s="356"/>
      <c r="B2261" s="359"/>
      <c r="C2261" s="361" t="s">
        <v>14</v>
      </c>
      <c r="D2261" s="58" t="s">
        <v>7</v>
      </c>
      <c r="E2261" s="164" t="str">
        <f>A2259&amp;"/"&amp;B2259&amp;"/"&amp;C2261&amp;"/"&amp;D2261</f>
        <v>Fuel oil fired power plants/Integrated gasification combined cycle/CHP/L</v>
      </c>
      <c r="F2261" s="78" t="str">
        <f>A2259</f>
        <v>Fuel oil fired power plants</v>
      </c>
      <c r="G2261" s="78" t="str">
        <f>B2259</f>
        <v>Integrated gasification combined cycle</v>
      </c>
      <c r="H2261" s="78" t="str">
        <f>C2261</f>
        <v>CHP</v>
      </c>
      <c r="I2261" s="165" t="str">
        <f t="shared" si="115"/>
        <v>L</v>
      </c>
      <c r="J2261" s="95">
        <v>6995</v>
      </c>
      <c r="K2261" s="95">
        <v>6995</v>
      </c>
      <c r="L2261" s="95">
        <v>6995</v>
      </c>
      <c r="M2261" s="95">
        <v>6995</v>
      </c>
      <c r="N2261" s="95">
        <v>6995</v>
      </c>
      <c r="O2261" s="95">
        <v>6995</v>
      </c>
      <c r="P2261" s="95">
        <v>6995</v>
      </c>
      <c r="Q2261" s="95">
        <v>6995</v>
      </c>
      <c r="R2261" s="95">
        <v>6995</v>
      </c>
      <c r="S2261" s="95">
        <v>6995</v>
      </c>
      <c r="T2261" s="95">
        <v>6995</v>
      </c>
      <c r="U2261" s="95">
        <v>6995</v>
      </c>
      <c r="V2261" s="95">
        <v>6995</v>
      </c>
      <c r="W2261" s="95">
        <v>6995</v>
      </c>
      <c r="X2261" s="95">
        <v>6995</v>
      </c>
      <c r="Y2261" s="95">
        <v>6995</v>
      </c>
      <c r="Z2261" s="95">
        <v>6995</v>
      </c>
      <c r="AA2261" s="95">
        <v>6995</v>
      </c>
      <c r="AB2261" s="95">
        <v>6995</v>
      </c>
      <c r="AC2261" s="95">
        <v>6995</v>
      </c>
      <c r="AD2261" s="95">
        <v>6995</v>
      </c>
      <c r="AE2261" s="95">
        <v>6995</v>
      </c>
      <c r="AF2261" s="95">
        <v>6995</v>
      </c>
      <c r="AG2261" s="95">
        <v>6995</v>
      </c>
      <c r="AH2261" s="95">
        <v>6995</v>
      </c>
      <c r="AI2261" s="95">
        <v>6995</v>
      </c>
      <c r="AJ2261" s="95">
        <v>6995</v>
      </c>
      <c r="AK2261" s="95">
        <v>6995</v>
      </c>
      <c r="AL2261" s="95">
        <v>6995</v>
      </c>
      <c r="AM2261" s="95">
        <v>6995</v>
      </c>
      <c r="AN2261" s="95">
        <v>6995</v>
      </c>
      <c r="AO2261" s="95">
        <v>6995</v>
      </c>
      <c r="AP2261" s="95">
        <v>6995</v>
      </c>
      <c r="AQ2261" s="95">
        <v>6995</v>
      </c>
      <c r="AR2261" s="95">
        <v>6995</v>
      </c>
      <c r="AS2261" s="95">
        <v>6995</v>
      </c>
      <c r="AT2261" s="95">
        <v>6995</v>
      </c>
      <c r="AU2261" s="95">
        <v>6995</v>
      </c>
      <c r="AV2261" s="95">
        <v>6995</v>
      </c>
      <c r="AW2261" s="95">
        <v>6995</v>
      </c>
      <c r="AX2261" s="96">
        <v>6995</v>
      </c>
    </row>
    <row r="2262" spans="1:50" x14ac:dyDescent="0.25">
      <c r="A2262" s="356"/>
      <c r="B2262" s="359"/>
      <c r="C2262" s="360"/>
      <c r="D2262" s="59" t="s">
        <v>8</v>
      </c>
      <c r="E2262" s="166" t="str">
        <f>A2259&amp;"/"&amp;B2259&amp;"/"&amp;C2261&amp;"/"&amp;D2262</f>
        <v>Fuel oil fired power plants/Integrated gasification combined cycle/CHP/M</v>
      </c>
      <c r="F2262" s="79" t="str">
        <f>A2259</f>
        <v>Fuel oil fired power plants</v>
      </c>
      <c r="G2262" s="79" t="str">
        <f>B2259</f>
        <v>Integrated gasification combined cycle</v>
      </c>
      <c r="H2262" s="79" t="str">
        <f>C2261</f>
        <v>CHP</v>
      </c>
      <c r="I2262" s="167" t="str">
        <f t="shared" si="115"/>
        <v>M</v>
      </c>
      <c r="J2262" s="97">
        <v>5782.5357589032274</v>
      </c>
      <c r="K2262" s="97">
        <v>5782.5357589032274</v>
      </c>
      <c r="L2262" s="97">
        <v>5782.5357589032274</v>
      </c>
      <c r="M2262" s="97">
        <v>5782.5357589032274</v>
      </c>
      <c r="N2262" s="97">
        <v>5782.5357589032274</v>
      </c>
      <c r="O2262" s="97">
        <v>5782.5357589032274</v>
      </c>
      <c r="P2262" s="97">
        <v>5782.5357589032274</v>
      </c>
      <c r="Q2262" s="97">
        <v>5782.5357589032274</v>
      </c>
      <c r="R2262" s="97">
        <v>5782.5357589032274</v>
      </c>
      <c r="S2262" s="97">
        <v>5782.5357589032274</v>
      </c>
      <c r="T2262" s="97">
        <v>5782.5357589032274</v>
      </c>
      <c r="U2262" s="97">
        <v>5782.5357589032274</v>
      </c>
      <c r="V2262" s="97">
        <v>5782.5357589032274</v>
      </c>
      <c r="W2262" s="97">
        <v>5782.5357589032274</v>
      </c>
      <c r="X2262" s="97">
        <v>5782.5357589032274</v>
      </c>
      <c r="Y2262" s="97">
        <v>5782.5357589032274</v>
      </c>
      <c r="Z2262" s="97">
        <v>5782.5357589032274</v>
      </c>
      <c r="AA2262" s="97">
        <v>5782.5357589032274</v>
      </c>
      <c r="AB2262" s="97">
        <v>5782.5357589032274</v>
      </c>
      <c r="AC2262" s="97">
        <v>5782.5357589032274</v>
      </c>
      <c r="AD2262" s="97">
        <v>5782.5357589032274</v>
      </c>
      <c r="AE2262" s="97">
        <v>5782.5357589032274</v>
      </c>
      <c r="AF2262" s="97">
        <v>5782.5357589032274</v>
      </c>
      <c r="AG2262" s="97">
        <v>5782.5357589032274</v>
      </c>
      <c r="AH2262" s="97">
        <v>5782.5357589032274</v>
      </c>
      <c r="AI2262" s="97">
        <v>5782.5357589032274</v>
      </c>
      <c r="AJ2262" s="97">
        <v>5782.5357589032274</v>
      </c>
      <c r="AK2262" s="97">
        <v>5782.5357589032274</v>
      </c>
      <c r="AL2262" s="97">
        <v>5782.5357589032274</v>
      </c>
      <c r="AM2262" s="97">
        <v>5782.5357589032274</v>
      </c>
      <c r="AN2262" s="97">
        <v>5782.5357589032274</v>
      </c>
      <c r="AO2262" s="97">
        <v>5782.5357589032274</v>
      </c>
      <c r="AP2262" s="97">
        <v>5782.5357589032274</v>
      </c>
      <c r="AQ2262" s="97">
        <v>5782.5357589032274</v>
      </c>
      <c r="AR2262" s="97">
        <v>5782.5357589032274</v>
      </c>
      <c r="AS2262" s="97">
        <v>5782.5357589032274</v>
      </c>
      <c r="AT2262" s="97">
        <v>5782.5357589032274</v>
      </c>
      <c r="AU2262" s="97">
        <v>5782.5357589032274</v>
      </c>
      <c r="AV2262" s="97">
        <v>5782.5357589032274</v>
      </c>
      <c r="AW2262" s="97">
        <v>5782.5357589032274</v>
      </c>
      <c r="AX2262" s="98">
        <v>5782.5357589032274</v>
      </c>
    </row>
    <row r="2263" spans="1:50" x14ac:dyDescent="0.25">
      <c r="A2263" s="356"/>
      <c r="B2263" s="359"/>
      <c r="C2263" s="361" t="s">
        <v>15</v>
      </c>
      <c r="D2263" s="58" t="s">
        <v>7</v>
      </c>
      <c r="E2263" s="164" t="str">
        <f>A2259&amp;"/"&amp;B2259&amp;"/"&amp;C2263&amp;"/"&amp;D2263</f>
        <v>Fuel oil fired power plants/Integrated gasification combined cycle/Electricity only with CCS/L</v>
      </c>
      <c r="F2263" s="78" t="str">
        <f>A2259</f>
        <v>Fuel oil fired power plants</v>
      </c>
      <c r="G2263" s="78" t="str">
        <f>B2259</f>
        <v>Integrated gasification combined cycle</v>
      </c>
      <c r="H2263" s="78" t="str">
        <f>C2263</f>
        <v>Electricity only with CCS</v>
      </c>
      <c r="I2263" s="165" t="str">
        <f t="shared" si="115"/>
        <v>L</v>
      </c>
      <c r="J2263" s="95" t="s">
        <v>112</v>
      </c>
      <c r="K2263" s="95" t="s">
        <v>112</v>
      </c>
      <c r="L2263" s="95" t="s">
        <v>112</v>
      </c>
      <c r="M2263" s="95" t="s">
        <v>112</v>
      </c>
      <c r="N2263" s="95" t="s">
        <v>112</v>
      </c>
      <c r="O2263" s="95" t="s">
        <v>112</v>
      </c>
      <c r="P2263" s="95" t="s">
        <v>112</v>
      </c>
      <c r="Q2263" s="95" t="s">
        <v>112</v>
      </c>
      <c r="R2263" s="95" t="s">
        <v>112</v>
      </c>
      <c r="S2263" s="95" t="s">
        <v>112</v>
      </c>
      <c r="T2263" s="95" t="s">
        <v>112</v>
      </c>
      <c r="U2263" s="95" t="s">
        <v>112</v>
      </c>
      <c r="V2263" s="95" t="s">
        <v>112</v>
      </c>
      <c r="W2263" s="95" t="s">
        <v>112</v>
      </c>
      <c r="X2263" s="95" t="s">
        <v>112</v>
      </c>
      <c r="Y2263" s="95" t="s">
        <v>112</v>
      </c>
      <c r="Z2263" s="95" t="s">
        <v>112</v>
      </c>
      <c r="AA2263" s="95" t="s">
        <v>112</v>
      </c>
      <c r="AB2263" s="95" t="s">
        <v>112</v>
      </c>
      <c r="AC2263" s="95" t="s">
        <v>112</v>
      </c>
      <c r="AD2263" s="95" t="s">
        <v>112</v>
      </c>
      <c r="AE2263" s="95">
        <v>7350</v>
      </c>
      <c r="AF2263" s="95">
        <v>7350</v>
      </c>
      <c r="AG2263" s="95">
        <v>7350</v>
      </c>
      <c r="AH2263" s="95">
        <v>7350</v>
      </c>
      <c r="AI2263" s="95">
        <v>7350</v>
      </c>
      <c r="AJ2263" s="95">
        <v>7350</v>
      </c>
      <c r="AK2263" s="95">
        <v>7350</v>
      </c>
      <c r="AL2263" s="95">
        <v>7350</v>
      </c>
      <c r="AM2263" s="95">
        <v>7350</v>
      </c>
      <c r="AN2263" s="95">
        <v>7350</v>
      </c>
      <c r="AO2263" s="95">
        <v>7350</v>
      </c>
      <c r="AP2263" s="95">
        <v>7350</v>
      </c>
      <c r="AQ2263" s="95">
        <v>7350</v>
      </c>
      <c r="AR2263" s="95">
        <v>7350</v>
      </c>
      <c r="AS2263" s="95">
        <v>7350</v>
      </c>
      <c r="AT2263" s="95">
        <v>7350</v>
      </c>
      <c r="AU2263" s="95">
        <v>7350</v>
      </c>
      <c r="AV2263" s="95">
        <v>7350</v>
      </c>
      <c r="AW2263" s="95">
        <v>7350</v>
      </c>
      <c r="AX2263" s="96">
        <v>7350</v>
      </c>
    </row>
    <row r="2264" spans="1:50" x14ac:dyDescent="0.25">
      <c r="A2264" s="356"/>
      <c r="B2264" s="359"/>
      <c r="C2264" s="360"/>
      <c r="D2264" s="59" t="s">
        <v>8</v>
      </c>
      <c r="E2264" s="166" t="str">
        <f>A2259&amp;"/"&amp;B2259&amp;"/"&amp;C2263&amp;"/"&amp;D2264</f>
        <v>Fuel oil fired power plants/Integrated gasification combined cycle/Electricity only with CCS/M</v>
      </c>
      <c r="F2264" s="79" t="str">
        <f>A2259</f>
        <v>Fuel oil fired power plants</v>
      </c>
      <c r="G2264" s="79" t="str">
        <f>B2259</f>
        <v>Integrated gasification combined cycle</v>
      </c>
      <c r="H2264" s="79" t="str">
        <f>C2263</f>
        <v>Electricity only with CCS</v>
      </c>
      <c r="I2264" s="167" t="str">
        <f t="shared" si="115"/>
        <v>M</v>
      </c>
      <c r="J2264" s="97" t="s">
        <v>112</v>
      </c>
      <c r="K2264" s="97" t="s">
        <v>112</v>
      </c>
      <c r="L2264" s="97" t="s">
        <v>112</v>
      </c>
      <c r="M2264" s="97" t="s">
        <v>112</v>
      </c>
      <c r="N2264" s="97" t="s">
        <v>112</v>
      </c>
      <c r="O2264" s="97" t="s">
        <v>112</v>
      </c>
      <c r="P2264" s="97" t="s">
        <v>112</v>
      </c>
      <c r="Q2264" s="97" t="s">
        <v>112</v>
      </c>
      <c r="R2264" s="97" t="s">
        <v>112</v>
      </c>
      <c r="S2264" s="97" t="s">
        <v>112</v>
      </c>
      <c r="T2264" s="97" t="s">
        <v>112</v>
      </c>
      <c r="U2264" s="97" t="s">
        <v>112</v>
      </c>
      <c r="V2264" s="97" t="s">
        <v>112</v>
      </c>
      <c r="W2264" s="97" t="s">
        <v>112</v>
      </c>
      <c r="X2264" s="97" t="s">
        <v>112</v>
      </c>
      <c r="Y2264" s="97" t="s">
        <v>112</v>
      </c>
      <c r="Z2264" s="97" t="s">
        <v>112</v>
      </c>
      <c r="AA2264" s="97" t="s">
        <v>112</v>
      </c>
      <c r="AB2264" s="97" t="s">
        <v>112</v>
      </c>
      <c r="AC2264" s="97" t="s">
        <v>112</v>
      </c>
      <c r="AD2264" s="97" t="s">
        <v>112</v>
      </c>
      <c r="AE2264" s="97">
        <v>6334.5705963794462</v>
      </c>
      <c r="AF2264" s="97">
        <v>6334.5705963794462</v>
      </c>
      <c r="AG2264" s="97">
        <v>6334.5705963794462</v>
      </c>
      <c r="AH2264" s="97">
        <v>6334.5705963794462</v>
      </c>
      <c r="AI2264" s="97">
        <v>6334.5705963794462</v>
      </c>
      <c r="AJ2264" s="97">
        <v>6334.5705963794462</v>
      </c>
      <c r="AK2264" s="97">
        <v>6334.5705963794462</v>
      </c>
      <c r="AL2264" s="97">
        <v>6334.5705963794462</v>
      </c>
      <c r="AM2264" s="97">
        <v>6334.5705963794462</v>
      </c>
      <c r="AN2264" s="97">
        <v>6334.5705963794462</v>
      </c>
      <c r="AO2264" s="97">
        <v>6334.5705963794462</v>
      </c>
      <c r="AP2264" s="97">
        <v>6334.5705963794462</v>
      </c>
      <c r="AQ2264" s="97">
        <v>6334.5705963794462</v>
      </c>
      <c r="AR2264" s="97">
        <v>6334.5705963794462</v>
      </c>
      <c r="AS2264" s="97">
        <v>6334.5705963794462</v>
      </c>
      <c r="AT2264" s="97">
        <v>6334.5705963794462</v>
      </c>
      <c r="AU2264" s="97">
        <v>6334.5705963794462</v>
      </c>
      <c r="AV2264" s="97">
        <v>6334.5705963794462</v>
      </c>
      <c r="AW2264" s="97">
        <v>6334.5705963794462</v>
      </c>
      <c r="AX2264" s="98">
        <v>6334.5705963794462</v>
      </c>
    </row>
    <row r="2265" spans="1:50" x14ac:dyDescent="0.25">
      <c r="A2265" s="356"/>
      <c r="B2265" s="359"/>
      <c r="C2265" s="361" t="s">
        <v>16</v>
      </c>
      <c r="D2265" s="2" t="s">
        <v>7</v>
      </c>
      <c r="E2265" s="160" t="str">
        <f>A2259&amp;"/"&amp;B2259&amp;"/"&amp;C2265&amp;"/"&amp;D2265</f>
        <v>Fuel oil fired power plants/Integrated gasification combined cycle/CHP with CCS/L</v>
      </c>
      <c r="F2265" s="76" t="str">
        <f>A2259</f>
        <v>Fuel oil fired power plants</v>
      </c>
      <c r="G2265" s="76" t="str">
        <f>B2259</f>
        <v>Integrated gasification combined cycle</v>
      </c>
      <c r="H2265" s="76" t="str">
        <f>C2265</f>
        <v>CHP with CCS</v>
      </c>
      <c r="I2265" s="161" t="str">
        <f t="shared" si="115"/>
        <v>L</v>
      </c>
      <c r="J2265" s="91" t="s">
        <v>112</v>
      </c>
      <c r="K2265" s="91" t="s">
        <v>112</v>
      </c>
      <c r="L2265" s="91" t="s">
        <v>112</v>
      </c>
      <c r="M2265" s="91" t="s">
        <v>112</v>
      </c>
      <c r="N2265" s="91" t="s">
        <v>112</v>
      </c>
      <c r="O2265" s="91" t="s">
        <v>112</v>
      </c>
      <c r="P2265" s="91" t="s">
        <v>112</v>
      </c>
      <c r="Q2265" s="91" t="s">
        <v>112</v>
      </c>
      <c r="R2265" s="91" t="s">
        <v>112</v>
      </c>
      <c r="S2265" s="91" t="s">
        <v>112</v>
      </c>
      <c r="T2265" s="91" t="s">
        <v>112</v>
      </c>
      <c r="U2265" s="91" t="s">
        <v>112</v>
      </c>
      <c r="V2265" s="91" t="s">
        <v>112</v>
      </c>
      <c r="W2265" s="91" t="s">
        <v>112</v>
      </c>
      <c r="X2265" s="91" t="s">
        <v>112</v>
      </c>
      <c r="Y2265" s="91" t="s">
        <v>112</v>
      </c>
      <c r="Z2265" s="91" t="s">
        <v>112</v>
      </c>
      <c r="AA2265" s="91" t="s">
        <v>112</v>
      </c>
      <c r="AB2265" s="91" t="s">
        <v>112</v>
      </c>
      <c r="AC2265" s="91" t="s">
        <v>112</v>
      </c>
      <c r="AD2265" s="91" t="s">
        <v>112</v>
      </c>
      <c r="AE2265" s="91">
        <v>6995</v>
      </c>
      <c r="AF2265" s="91">
        <v>6995</v>
      </c>
      <c r="AG2265" s="91">
        <v>6995</v>
      </c>
      <c r="AH2265" s="91">
        <v>6995</v>
      </c>
      <c r="AI2265" s="91">
        <v>6995</v>
      </c>
      <c r="AJ2265" s="91">
        <v>6995</v>
      </c>
      <c r="AK2265" s="91">
        <v>6995</v>
      </c>
      <c r="AL2265" s="91">
        <v>6995</v>
      </c>
      <c r="AM2265" s="91">
        <v>6995</v>
      </c>
      <c r="AN2265" s="91">
        <v>6995</v>
      </c>
      <c r="AO2265" s="91">
        <v>6995</v>
      </c>
      <c r="AP2265" s="91">
        <v>6995</v>
      </c>
      <c r="AQ2265" s="91">
        <v>6995</v>
      </c>
      <c r="AR2265" s="91">
        <v>6995</v>
      </c>
      <c r="AS2265" s="91">
        <v>6995</v>
      </c>
      <c r="AT2265" s="91">
        <v>6995</v>
      </c>
      <c r="AU2265" s="91">
        <v>6995</v>
      </c>
      <c r="AV2265" s="91">
        <v>6995</v>
      </c>
      <c r="AW2265" s="91">
        <v>6995</v>
      </c>
      <c r="AX2265" s="92">
        <v>6995</v>
      </c>
    </row>
    <row r="2266" spans="1:50" x14ac:dyDescent="0.25">
      <c r="A2266" s="356"/>
      <c r="B2266" s="362"/>
      <c r="C2266" s="354"/>
      <c r="D2266" s="4" t="s">
        <v>8</v>
      </c>
      <c r="E2266" s="168" t="str">
        <f>A2259&amp;"/"&amp;B2259&amp;"/"&amp;C2265&amp;"/"&amp;D2266</f>
        <v>Fuel oil fired power plants/Integrated gasification combined cycle/CHP with CCS/M</v>
      </c>
      <c r="F2266" s="80" t="str">
        <f>A2259</f>
        <v>Fuel oil fired power plants</v>
      </c>
      <c r="G2266" s="80" t="str">
        <f>B2259</f>
        <v>Integrated gasification combined cycle</v>
      </c>
      <c r="H2266" s="80" t="str">
        <f>C2265</f>
        <v>CHP with CCS</v>
      </c>
      <c r="I2266" s="169" t="str">
        <f t="shared" si="115"/>
        <v>M</v>
      </c>
      <c r="J2266" s="99" t="s">
        <v>112</v>
      </c>
      <c r="K2266" s="99" t="s">
        <v>112</v>
      </c>
      <c r="L2266" s="99" t="s">
        <v>112</v>
      </c>
      <c r="M2266" s="99" t="s">
        <v>112</v>
      </c>
      <c r="N2266" s="99" t="s">
        <v>112</v>
      </c>
      <c r="O2266" s="99" t="s">
        <v>112</v>
      </c>
      <c r="P2266" s="99" t="s">
        <v>112</v>
      </c>
      <c r="Q2266" s="99" t="s">
        <v>112</v>
      </c>
      <c r="R2266" s="99" t="s">
        <v>112</v>
      </c>
      <c r="S2266" s="99" t="s">
        <v>112</v>
      </c>
      <c r="T2266" s="99" t="s">
        <v>112</v>
      </c>
      <c r="U2266" s="99" t="s">
        <v>112</v>
      </c>
      <c r="V2266" s="99" t="s">
        <v>112</v>
      </c>
      <c r="W2266" s="99" t="s">
        <v>112</v>
      </c>
      <c r="X2266" s="99" t="s">
        <v>112</v>
      </c>
      <c r="Y2266" s="99" t="s">
        <v>112</v>
      </c>
      <c r="Z2266" s="99" t="s">
        <v>112</v>
      </c>
      <c r="AA2266" s="99" t="s">
        <v>112</v>
      </c>
      <c r="AB2266" s="99" t="s">
        <v>112</v>
      </c>
      <c r="AC2266" s="99" t="s">
        <v>112</v>
      </c>
      <c r="AD2266" s="99" t="s">
        <v>112</v>
      </c>
      <c r="AE2266" s="99">
        <v>5782.5357589032274</v>
      </c>
      <c r="AF2266" s="99">
        <v>5782.5357589032274</v>
      </c>
      <c r="AG2266" s="99">
        <v>5782.5357589032274</v>
      </c>
      <c r="AH2266" s="99">
        <v>5782.5357589032274</v>
      </c>
      <c r="AI2266" s="99">
        <v>5782.5357589032274</v>
      </c>
      <c r="AJ2266" s="99">
        <v>5782.5357589032274</v>
      </c>
      <c r="AK2266" s="99">
        <v>5782.5357589032274</v>
      </c>
      <c r="AL2266" s="99">
        <v>5782.5357589032274</v>
      </c>
      <c r="AM2266" s="99">
        <v>5782.5357589032274</v>
      </c>
      <c r="AN2266" s="99">
        <v>5782.5357589032274</v>
      </c>
      <c r="AO2266" s="99">
        <v>5782.5357589032274</v>
      </c>
      <c r="AP2266" s="99">
        <v>5782.5357589032274</v>
      </c>
      <c r="AQ2266" s="99">
        <v>5782.5357589032274</v>
      </c>
      <c r="AR2266" s="99">
        <v>5782.5357589032274</v>
      </c>
      <c r="AS2266" s="99">
        <v>5782.5357589032274</v>
      </c>
      <c r="AT2266" s="99">
        <v>5782.5357589032274</v>
      </c>
      <c r="AU2266" s="99">
        <v>5782.5357589032274</v>
      </c>
      <c r="AV2266" s="99">
        <v>5782.5357589032274</v>
      </c>
      <c r="AW2266" s="99">
        <v>5782.5357589032274</v>
      </c>
      <c r="AX2266" s="100">
        <v>5782.5357589032274</v>
      </c>
    </row>
    <row r="2267" spans="1:50" x14ac:dyDescent="0.25">
      <c r="A2267" s="356"/>
      <c r="B2267" s="358" t="s">
        <v>17</v>
      </c>
      <c r="C2267" s="353" t="s">
        <v>6</v>
      </c>
      <c r="D2267" s="3" t="s">
        <v>7</v>
      </c>
      <c r="E2267" s="162" t="str">
        <f>A2259&amp;"/"&amp;B2267&amp;"/"&amp;C2267&amp;"/"&amp;D2267</f>
        <v>Fuel oil fired power plants/Supercritical steam turbine/Electricity only/L</v>
      </c>
      <c r="F2267" s="77" t="str">
        <f>A2259</f>
        <v>Fuel oil fired power plants</v>
      </c>
      <c r="G2267" s="77" t="str">
        <f>B2267</f>
        <v>Supercritical steam turbine</v>
      </c>
      <c r="H2267" s="77" t="str">
        <f>C2267</f>
        <v>Electricity only</v>
      </c>
      <c r="I2267" s="163" t="str">
        <f t="shared" si="115"/>
        <v>L</v>
      </c>
      <c r="J2267" s="93">
        <v>7425</v>
      </c>
      <c r="K2267" s="93">
        <v>7425</v>
      </c>
      <c r="L2267" s="93">
        <v>7425</v>
      </c>
      <c r="M2267" s="93">
        <v>7425</v>
      </c>
      <c r="N2267" s="93">
        <v>7425</v>
      </c>
      <c r="O2267" s="93">
        <v>7425</v>
      </c>
      <c r="P2267" s="93">
        <v>7425</v>
      </c>
      <c r="Q2267" s="93">
        <v>7425</v>
      </c>
      <c r="R2267" s="93">
        <v>7425</v>
      </c>
      <c r="S2267" s="93">
        <v>7425</v>
      </c>
      <c r="T2267" s="93">
        <v>7425</v>
      </c>
      <c r="U2267" s="93">
        <v>7425</v>
      </c>
      <c r="V2267" s="93">
        <v>7425</v>
      </c>
      <c r="W2267" s="93">
        <v>7425</v>
      </c>
      <c r="X2267" s="93">
        <v>7425</v>
      </c>
      <c r="Y2267" s="93">
        <v>7425</v>
      </c>
      <c r="Z2267" s="93">
        <v>7425</v>
      </c>
      <c r="AA2267" s="93">
        <v>7425</v>
      </c>
      <c r="AB2267" s="93">
        <v>7425</v>
      </c>
      <c r="AC2267" s="93">
        <v>7425</v>
      </c>
      <c r="AD2267" s="93">
        <v>7425</v>
      </c>
      <c r="AE2267" s="93">
        <v>7425</v>
      </c>
      <c r="AF2267" s="93">
        <v>7425</v>
      </c>
      <c r="AG2267" s="93">
        <v>7425</v>
      </c>
      <c r="AH2267" s="93">
        <v>7425</v>
      </c>
      <c r="AI2267" s="93">
        <v>7425</v>
      </c>
      <c r="AJ2267" s="93">
        <v>7425</v>
      </c>
      <c r="AK2267" s="93">
        <v>7425</v>
      </c>
      <c r="AL2267" s="93">
        <v>7425</v>
      </c>
      <c r="AM2267" s="93">
        <v>7425</v>
      </c>
      <c r="AN2267" s="93">
        <v>7425</v>
      </c>
      <c r="AO2267" s="93">
        <v>7425</v>
      </c>
      <c r="AP2267" s="93">
        <v>7425</v>
      </c>
      <c r="AQ2267" s="93">
        <v>7425</v>
      </c>
      <c r="AR2267" s="93">
        <v>7425</v>
      </c>
      <c r="AS2267" s="93">
        <v>7425</v>
      </c>
      <c r="AT2267" s="93">
        <v>7425</v>
      </c>
      <c r="AU2267" s="93">
        <v>7425</v>
      </c>
      <c r="AV2267" s="93">
        <v>7425</v>
      </c>
      <c r="AW2267" s="93">
        <v>7425</v>
      </c>
      <c r="AX2267" s="94">
        <v>7425</v>
      </c>
    </row>
    <row r="2268" spans="1:50" x14ac:dyDescent="0.25">
      <c r="A2268" s="356"/>
      <c r="B2268" s="359"/>
      <c r="C2268" s="360"/>
      <c r="D2268" s="2" t="s">
        <v>8</v>
      </c>
      <c r="E2268" s="160" t="str">
        <f>A2259&amp;"/"&amp;B2267&amp;"/"&amp;C2267&amp;"/"&amp;D2268</f>
        <v>Fuel oil fired power plants/Supercritical steam turbine/Electricity only/M</v>
      </c>
      <c r="F2268" s="76" t="str">
        <f>A2259</f>
        <v>Fuel oil fired power plants</v>
      </c>
      <c r="G2268" s="76" t="str">
        <f>B2267</f>
        <v>Supercritical steam turbine</v>
      </c>
      <c r="H2268" s="76" t="str">
        <f>C2267</f>
        <v>Electricity only</v>
      </c>
      <c r="I2268" s="161" t="str">
        <f t="shared" si="115"/>
        <v>M</v>
      </c>
      <c r="J2268" s="91">
        <v>6540.6380784965077</v>
      </c>
      <c r="K2268" s="91">
        <v>6540.6380784965077</v>
      </c>
      <c r="L2268" s="91">
        <v>6540.6380784965077</v>
      </c>
      <c r="M2268" s="91">
        <v>6540.6380784965077</v>
      </c>
      <c r="N2268" s="91">
        <v>6540.6380784965077</v>
      </c>
      <c r="O2268" s="91">
        <v>6540.6380784965077</v>
      </c>
      <c r="P2268" s="91">
        <v>6540.6380784965077</v>
      </c>
      <c r="Q2268" s="91">
        <v>6540.6380784965077</v>
      </c>
      <c r="R2268" s="91">
        <v>6540.6380784965077</v>
      </c>
      <c r="S2268" s="91">
        <v>6540.6380784965077</v>
      </c>
      <c r="T2268" s="91">
        <v>6540.6380784965077</v>
      </c>
      <c r="U2268" s="91">
        <v>6540.6380784965077</v>
      </c>
      <c r="V2268" s="91">
        <v>6540.6380784965077</v>
      </c>
      <c r="W2268" s="91">
        <v>6540.6380784965077</v>
      </c>
      <c r="X2268" s="91">
        <v>6540.6380784965077</v>
      </c>
      <c r="Y2268" s="91">
        <v>6540.6380784965077</v>
      </c>
      <c r="Z2268" s="91">
        <v>6540.6380784965077</v>
      </c>
      <c r="AA2268" s="91">
        <v>6540.6380784965077</v>
      </c>
      <c r="AB2268" s="91">
        <v>6540.6380784965077</v>
      </c>
      <c r="AC2268" s="91">
        <v>6540.6380784965077</v>
      </c>
      <c r="AD2268" s="91">
        <v>6540.6380784965077</v>
      </c>
      <c r="AE2268" s="91">
        <v>6540.6380784965077</v>
      </c>
      <c r="AF2268" s="91">
        <v>6540.6380784965077</v>
      </c>
      <c r="AG2268" s="91">
        <v>6540.6380784965077</v>
      </c>
      <c r="AH2268" s="91">
        <v>6540.6380784965077</v>
      </c>
      <c r="AI2268" s="91">
        <v>6540.6380784965077</v>
      </c>
      <c r="AJ2268" s="91">
        <v>6540.6380784965077</v>
      </c>
      <c r="AK2268" s="91">
        <v>6540.6380784965077</v>
      </c>
      <c r="AL2268" s="91">
        <v>6540.6380784965077</v>
      </c>
      <c r="AM2268" s="91">
        <v>6540.6380784965077</v>
      </c>
      <c r="AN2268" s="91">
        <v>6540.6380784965077</v>
      </c>
      <c r="AO2268" s="91">
        <v>6540.6380784965077</v>
      </c>
      <c r="AP2268" s="91">
        <v>6540.6380784965077</v>
      </c>
      <c r="AQ2268" s="91">
        <v>6540.6380784965077</v>
      </c>
      <c r="AR2268" s="91">
        <v>6540.6380784965077</v>
      </c>
      <c r="AS2268" s="91">
        <v>6540.6380784965077</v>
      </c>
      <c r="AT2268" s="91">
        <v>6540.6380784965077</v>
      </c>
      <c r="AU2268" s="91">
        <v>6540.6380784965077</v>
      </c>
      <c r="AV2268" s="91">
        <v>6540.6380784965077</v>
      </c>
      <c r="AW2268" s="91">
        <v>6540.6380784965077</v>
      </c>
      <c r="AX2268" s="92">
        <v>6540.6380784965077</v>
      </c>
    </row>
    <row r="2269" spans="1:50" x14ac:dyDescent="0.25">
      <c r="A2269" s="356"/>
      <c r="B2269" s="359"/>
      <c r="C2269" s="361" t="s">
        <v>14</v>
      </c>
      <c r="D2269" s="58" t="s">
        <v>7</v>
      </c>
      <c r="E2269" s="164" t="str">
        <f>A2259&amp;"/"&amp;B2267&amp;"/"&amp;C2269&amp;"/"&amp;D2269</f>
        <v>Fuel oil fired power plants/Supercritical steam turbine/CHP/L</v>
      </c>
      <c r="F2269" s="78" t="str">
        <f>A2259</f>
        <v>Fuel oil fired power plants</v>
      </c>
      <c r="G2269" s="78" t="str">
        <f>B2267</f>
        <v>Supercritical steam turbine</v>
      </c>
      <c r="H2269" s="78" t="str">
        <f>C2269</f>
        <v>CHP</v>
      </c>
      <c r="I2269" s="165" t="str">
        <f t="shared" si="115"/>
        <v>L</v>
      </c>
      <c r="J2269" s="95">
        <v>7067.5</v>
      </c>
      <c r="K2269" s="95">
        <v>7067.5</v>
      </c>
      <c r="L2269" s="95">
        <v>7067.5</v>
      </c>
      <c r="M2269" s="95">
        <v>7067.5</v>
      </c>
      <c r="N2269" s="95">
        <v>7067.5</v>
      </c>
      <c r="O2269" s="95">
        <v>7067.5</v>
      </c>
      <c r="P2269" s="95">
        <v>7067.5</v>
      </c>
      <c r="Q2269" s="95">
        <v>7067.5</v>
      </c>
      <c r="R2269" s="95">
        <v>7067.5</v>
      </c>
      <c r="S2269" s="95">
        <v>7067.5</v>
      </c>
      <c r="T2269" s="95">
        <v>7067.5</v>
      </c>
      <c r="U2269" s="95">
        <v>7067.5</v>
      </c>
      <c r="V2269" s="95">
        <v>7067.5</v>
      </c>
      <c r="W2269" s="95">
        <v>7067.5</v>
      </c>
      <c r="X2269" s="95">
        <v>7067.5</v>
      </c>
      <c r="Y2269" s="95">
        <v>7067.5</v>
      </c>
      <c r="Z2269" s="95">
        <v>7067.5</v>
      </c>
      <c r="AA2269" s="95">
        <v>7067.5</v>
      </c>
      <c r="AB2269" s="95">
        <v>7067.5</v>
      </c>
      <c r="AC2269" s="95">
        <v>7067.5</v>
      </c>
      <c r="AD2269" s="95">
        <v>7067.5</v>
      </c>
      <c r="AE2269" s="95">
        <v>7067.5</v>
      </c>
      <c r="AF2269" s="95">
        <v>7067.5</v>
      </c>
      <c r="AG2269" s="95">
        <v>7067.5</v>
      </c>
      <c r="AH2269" s="95">
        <v>7067.5</v>
      </c>
      <c r="AI2269" s="95">
        <v>7067.5</v>
      </c>
      <c r="AJ2269" s="95">
        <v>7067.5</v>
      </c>
      <c r="AK2269" s="95">
        <v>7067.5</v>
      </c>
      <c r="AL2269" s="95">
        <v>7067.5</v>
      </c>
      <c r="AM2269" s="95">
        <v>7067.5</v>
      </c>
      <c r="AN2269" s="95">
        <v>7067.5</v>
      </c>
      <c r="AO2269" s="95">
        <v>7067.5</v>
      </c>
      <c r="AP2269" s="95">
        <v>7067.5</v>
      </c>
      <c r="AQ2269" s="95">
        <v>7067.5</v>
      </c>
      <c r="AR2269" s="95">
        <v>7067.5</v>
      </c>
      <c r="AS2269" s="95">
        <v>7067.5</v>
      </c>
      <c r="AT2269" s="95">
        <v>7067.5</v>
      </c>
      <c r="AU2269" s="95">
        <v>7067.5</v>
      </c>
      <c r="AV2269" s="95">
        <v>7067.5</v>
      </c>
      <c r="AW2269" s="95">
        <v>7067.5</v>
      </c>
      <c r="AX2269" s="96">
        <v>7067.5</v>
      </c>
    </row>
    <row r="2270" spans="1:50" x14ac:dyDescent="0.25">
      <c r="A2270" s="356"/>
      <c r="B2270" s="359"/>
      <c r="C2270" s="360"/>
      <c r="D2270" s="59" t="s">
        <v>8</v>
      </c>
      <c r="E2270" s="166" t="str">
        <f>A2259&amp;"/"&amp;B2267&amp;"/"&amp;C2269&amp;"/"&amp;D2270</f>
        <v>Fuel oil fired power plants/Supercritical steam turbine/CHP/M</v>
      </c>
      <c r="F2270" s="79" t="str">
        <f>A2259</f>
        <v>Fuel oil fired power plants</v>
      </c>
      <c r="G2270" s="79" t="str">
        <f>B2267</f>
        <v>Supercritical steam turbine</v>
      </c>
      <c r="H2270" s="79" t="str">
        <f>C2269</f>
        <v>CHP</v>
      </c>
      <c r="I2270" s="167" t="str">
        <f t="shared" si="115"/>
        <v>M</v>
      </c>
      <c r="J2270" s="97">
        <v>6263.0785656265452</v>
      </c>
      <c r="K2270" s="97">
        <v>6263.0785656265452</v>
      </c>
      <c r="L2270" s="97">
        <v>6263.0785656265452</v>
      </c>
      <c r="M2270" s="97">
        <v>6263.0785656265452</v>
      </c>
      <c r="N2270" s="97">
        <v>6263.0785656265452</v>
      </c>
      <c r="O2270" s="97">
        <v>6263.0785656265452</v>
      </c>
      <c r="P2270" s="97">
        <v>6263.0785656265452</v>
      </c>
      <c r="Q2270" s="97">
        <v>6263.0785656265452</v>
      </c>
      <c r="R2270" s="97">
        <v>6263.0785656265452</v>
      </c>
      <c r="S2270" s="97">
        <v>6263.0785656265452</v>
      </c>
      <c r="T2270" s="97">
        <v>6263.0785656265452</v>
      </c>
      <c r="U2270" s="97">
        <v>6263.0785656265452</v>
      </c>
      <c r="V2270" s="97">
        <v>6263.0785656265452</v>
      </c>
      <c r="W2270" s="97">
        <v>6263.0785656265452</v>
      </c>
      <c r="X2270" s="97">
        <v>6263.0785656265452</v>
      </c>
      <c r="Y2270" s="97">
        <v>6263.0785656265452</v>
      </c>
      <c r="Z2270" s="97">
        <v>6263.0785656265452</v>
      </c>
      <c r="AA2270" s="97">
        <v>6263.0785656265452</v>
      </c>
      <c r="AB2270" s="97">
        <v>6263.0785656265452</v>
      </c>
      <c r="AC2270" s="97">
        <v>6263.0785656265452</v>
      </c>
      <c r="AD2270" s="97">
        <v>6263.0785656265452</v>
      </c>
      <c r="AE2270" s="97">
        <v>6263.0785656265452</v>
      </c>
      <c r="AF2270" s="97">
        <v>6263.0785656265452</v>
      </c>
      <c r="AG2270" s="97">
        <v>6263.0785656265452</v>
      </c>
      <c r="AH2270" s="97">
        <v>6263.0785656265452</v>
      </c>
      <c r="AI2270" s="97">
        <v>6263.0785656265452</v>
      </c>
      <c r="AJ2270" s="97">
        <v>6263.0785656265452</v>
      </c>
      <c r="AK2270" s="97">
        <v>6263.0785656265452</v>
      </c>
      <c r="AL2270" s="97">
        <v>6263.0785656265452</v>
      </c>
      <c r="AM2270" s="97">
        <v>6263.0785656265452</v>
      </c>
      <c r="AN2270" s="97">
        <v>6263.0785656265452</v>
      </c>
      <c r="AO2270" s="97">
        <v>6263.0785656265452</v>
      </c>
      <c r="AP2270" s="97">
        <v>6263.0785656265452</v>
      </c>
      <c r="AQ2270" s="97">
        <v>6263.0785656265452</v>
      </c>
      <c r="AR2270" s="97">
        <v>6263.0785656265452</v>
      </c>
      <c r="AS2270" s="97">
        <v>6263.0785656265452</v>
      </c>
      <c r="AT2270" s="97">
        <v>6263.0785656265452</v>
      </c>
      <c r="AU2270" s="97">
        <v>6263.0785656265452</v>
      </c>
      <c r="AV2270" s="97">
        <v>6263.0785656265452</v>
      </c>
      <c r="AW2270" s="97">
        <v>6263.0785656265452</v>
      </c>
      <c r="AX2270" s="98">
        <v>6263.0785656265452</v>
      </c>
    </row>
    <row r="2271" spans="1:50" x14ac:dyDescent="0.25">
      <c r="A2271" s="356"/>
      <c r="B2271" s="359"/>
      <c r="C2271" s="361" t="s">
        <v>15</v>
      </c>
      <c r="D2271" s="58" t="s">
        <v>7</v>
      </c>
      <c r="E2271" s="164" t="str">
        <f>A2259&amp;"/"&amp;B2267&amp;"/"&amp;C2271&amp;"/"&amp;D2271</f>
        <v>Fuel oil fired power plants/Supercritical steam turbine/Electricity only with CCS/L</v>
      </c>
      <c r="F2271" s="78" t="str">
        <f>A2259</f>
        <v>Fuel oil fired power plants</v>
      </c>
      <c r="G2271" s="78" t="str">
        <f>B2267</f>
        <v>Supercritical steam turbine</v>
      </c>
      <c r="H2271" s="78" t="str">
        <f>C2271</f>
        <v>Electricity only with CCS</v>
      </c>
      <c r="I2271" s="165" t="str">
        <f t="shared" si="115"/>
        <v>L</v>
      </c>
      <c r="J2271" s="95" t="s">
        <v>112</v>
      </c>
      <c r="K2271" s="95" t="s">
        <v>112</v>
      </c>
      <c r="L2271" s="95" t="s">
        <v>112</v>
      </c>
      <c r="M2271" s="95" t="s">
        <v>112</v>
      </c>
      <c r="N2271" s="95" t="s">
        <v>112</v>
      </c>
      <c r="O2271" s="95" t="s">
        <v>112</v>
      </c>
      <c r="P2271" s="95" t="s">
        <v>112</v>
      </c>
      <c r="Q2271" s="95" t="s">
        <v>112</v>
      </c>
      <c r="R2271" s="95" t="s">
        <v>112</v>
      </c>
      <c r="S2271" s="95" t="s">
        <v>112</v>
      </c>
      <c r="T2271" s="95" t="s">
        <v>112</v>
      </c>
      <c r="U2271" s="95" t="s">
        <v>112</v>
      </c>
      <c r="V2271" s="95" t="s">
        <v>112</v>
      </c>
      <c r="W2271" s="95" t="s">
        <v>112</v>
      </c>
      <c r="X2271" s="95" t="s">
        <v>112</v>
      </c>
      <c r="Y2271" s="95" t="s">
        <v>112</v>
      </c>
      <c r="Z2271" s="95" t="s">
        <v>112</v>
      </c>
      <c r="AA2271" s="95" t="s">
        <v>112</v>
      </c>
      <c r="AB2271" s="95" t="s">
        <v>112</v>
      </c>
      <c r="AC2271" s="95" t="s">
        <v>112</v>
      </c>
      <c r="AD2271" s="95" t="s">
        <v>112</v>
      </c>
      <c r="AE2271" s="95">
        <v>7425</v>
      </c>
      <c r="AF2271" s="95">
        <v>7425</v>
      </c>
      <c r="AG2271" s="95">
        <v>7425</v>
      </c>
      <c r="AH2271" s="95">
        <v>7425</v>
      </c>
      <c r="AI2271" s="95">
        <v>7425</v>
      </c>
      <c r="AJ2271" s="95">
        <v>7425</v>
      </c>
      <c r="AK2271" s="95">
        <v>7425</v>
      </c>
      <c r="AL2271" s="95">
        <v>7425</v>
      </c>
      <c r="AM2271" s="95">
        <v>7425</v>
      </c>
      <c r="AN2271" s="95">
        <v>7425</v>
      </c>
      <c r="AO2271" s="95">
        <v>7425</v>
      </c>
      <c r="AP2271" s="95">
        <v>7425</v>
      </c>
      <c r="AQ2271" s="95">
        <v>7425</v>
      </c>
      <c r="AR2271" s="95">
        <v>7425</v>
      </c>
      <c r="AS2271" s="95">
        <v>7425</v>
      </c>
      <c r="AT2271" s="95">
        <v>7425</v>
      </c>
      <c r="AU2271" s="95">
        <v>7425</v>
      </c>
      <c r="AV2271" s="95">
        <v>7425</v>
      </c>
      <c r="AW2271" s="95">
        <v>7425</v>
      </c>
      <c r="AX2271" s="96">
        <v>7425</v>
      </c>
    </row>
    <row r="2272" spans="1:50" x14ac:dyDescent="0.25">
      <c r="A2272" s="356"/>
      <c r="B2272" s="359"/>
      <c r="C2272" s="360"/>
      <c r="D2272" s="59" t="s">
        <v>8</v>
      </c>
      <c r="E2272" s="166" t="str">
        <f>A2259&amp;"/"&amp;B2267&amp;"/"&amp;C2271&amp;"/"&amp;D2272</f>
        <v>Fuel oil fired power plants/Supercritical steam turbine/Electricity only with CCS/M</v>
      </c>
      <c r="F2272" s="79" t="str">
        <f>A2259</f>
        <v>Fuel oil fired power plants</v>
      </c>
      <c r="G2272" s="79" t="str">
        <f>B2267</f>
        <v>Supercritical steam turbine</v>
      </c>
      <c r="H2272" s="79" t="str">
        <f>C2271</f>
        <v>Electricity only with CCS</v>
      </c>
      <c r="I2272" s="167" t="str">
        <f t="shared" si="115"/>
        <v>M</v>
      </c>
      <c r="J2272" s="97" t="s">
        <v>112</v>
      </c>
      <c r="K2272" s="97" t="s">
        <v>112</v>
      </c>
      <c r="L2272" s="97" t="s">
        <v>112</v>
      </c>
      <c r="M2272" s="97" t="s">
        <v>112</v>
      </c>
      <c r="N2272" s="97" t="s">
        <v>112</v>
      </c>
      <c r="O2272" s="97" t="s">
        <v>112</v>
      </c>
      <c r="P2272" s="97" t="s">
        <v>112</v>
      </c>
      <c r="Q2272" s="97" t="s">
        <v>112</v>
      </c>
      <c r="R2272" s="97" t="s">
        <v>112</v>
      </c>
      <c r="S2272" s="97" t="s">
        <v>112</v>
      </c>
      <c r="T2272" s="97" t="s">
        <v>112</v>
      </c>
      <c r="U2272" s="97" t="s">
        <v>112</v>
      </c>
      <c r="V2272" s="97" t="s">
        <v>112</v>
      </c>
      <c r="W2272" s="97" t="s">
        <v>112</v>
      </c>
      <c r="X2272" s="97" t="s">
        <v>112</v>
      </c>
      <c r="Y2272" s="97" t="s">
        <v>112</v>
      </c>
      <c r="Z2272" s="97" t="s">
        <v>112</v>
      </c>
      <c r="AA2272" s="97" t="s">
        <v>112</v>
      </c>
      <c r="AB2272" s="97" t="s">
        <v>112</v>
      </c>
      <c r="AC2272" s="97" t="s">
        <v>112</v>
      </c>
      <c r="AD2272" s="97" t="s">
        <v>112</v>
      </c>
      <c r="AE2272" s="97">
        <v>6540.6380784965077</v>
      </c>
      <c r="AF2272" s="97">
        <v>6540.6380784965077</v>
      </c>
      <c r="AG2272" s="97">
        <v>6540.6380784965077</v>
      </c>
      <c r="AH2272" s="97">
        <v>6540.6380784965077</v>
      </c>
      <c r="AI2272" s="97">
        <v>6540.6380784965077</v>
      </c>
      <c r="AJ2272" s="97">
        <v>6540.6380784965077</v>
      </c>
      <c r="AK2272" s="97">
        <v>6540.6380784965077</v>
      </c>
      <c r="AL2272" s="97">
        <v>6540.6380784965077</v>
      </c>
      <c r="AM2272" s="97">
        <v>6540.6380784965077</v>
      </c>
      <c r="AN2272" s="97">
        <v>6540.6380784965077</v>
      </c>
      <c r="AO2272" s="97">
        <v>6540.6380784965077</v>
      </c>
      <c r="AP2272" s="97">
        <v>6540.6380784965077</v>
      </c>
      <c r="AQ2272" s="97">
        <v>6540.6380784965077</v>
      </c>
      <c r="AR2272" s="97">
        <v>6540.6380784965077</v>
      </c>
      <c r="AS2272" s="97">
        <v>6540.6380784965077</v>
      </c>
      <c r="AT2272" s="97">
        <v>6540.6380784965077</v>
      </c>
      <c r="AU2272" s="97">
        <v>6540.6380784965077</v>
      </c>
      <c r="AV2272" s="97">
        <v>6540.6380784965077</v>
      </c>
      <c r="AW2272" s="97">
        <v>6540.6380784965077</v>
      </c>
      <c r="AX2272" s="98">
        <v>6540.6380784965077</v>
      </c>
    </row>
    <row r="2273" spans="1:50" x14ac:dyDescent="0.25">
      <c r="A2273" s="356"/>
      <c r="B2273" s="359"/>
      <c r="C2273" s="361" t="s">
        <v>16</v>
      </c>
      <c r="D2273" s="2" t="s">
        <v>7</v>
      </c>
      <c r="E2273" s="160" t="str">
        <f>A2259&amp;"/"&amp;B2267&amp;"/"&amp;C2273&amp;"/"&amp;D2273</f>
        <v>Fuel oil fired power plants/Supercritical steam turbine/CHP with CCS/L</v>
      </c>
      <c r="F2273" s="76" t="str">
        <f>A2259</f>
        <v>Fuel oil fired power plants</v>
      </c>
      <c r="G2273" s="76" t="str">
        <f>B2267</f>
        <v>Supercritical steam turbine</v>
      </c>
      <c r="H2273" s="76" t="str">
        <f>C2273</f>
        <v>CHP with CCS</v>
      </c>
      <c r="I2273" s="161" t="str">
        <f t="shared" si="115"/>
        <v>L</v>
      </c>
      <c r="J2273" s="91" t="s">
        <v>112</v>
      </c>
      <c r="K2273" s="91" t="s">
        <v>112</v>
      </c>
      <c r="L2273" s="91" t="s">
        <v>112</v>
      </c>
      <c r="M2273" s="91" t="s">
        <v>112</v>
      </c>
      <c r="N2273" s="91" t="s">
        <v>112</v>
      </c>
      <c r="O2273" s="91" t="s">
        <v>112</v>
      </c>
      <c r="P2273" s="91" t="s">
        <v>112</v>
      </c>
      <c r="Q2273" s="91" t="s">
        <v>112</v>
      </c>
      <c r="R2273" s="91" t="s">
        <v>112</v>
      </c>
      <c r="S2273" s="91" t="s">
        <v>112</v>
      </c>
      <c r="T2273" s="91" t="s">
        <v>112</v>
      </c>
      <c r="U2273" s="91" t="s">
        <v>112</v>
      </c>
      <c r="V2273" s="91" t="s">
        <v>112</v>
      </c>
      <c r="W2273" s="91" t="s">
        <v>112</v>
      </c>
      <c r="X2273" s="91" t="s">
        <v>112</v>
      </c>
      <c r="Y2273" s="91" t="s">
        <v>112</v>
      </c>
      <c r="Z2273" s="91" t="s">
        <v>112</v>
      </c>
      <c r="AA2273" s="91" t="s">
        <v>112</v>
      </c>
      <c r="AB2273" s="91" t="s">
        <v>112</v>
      </c>
      <c r="AC2273" s="91" t="s">
        <v>112</v>
      </c>
      <c r="AD2273" s="91" t="s">
        <v>112</v>
      </c>
      <c r="AE2273" s="91">
        <v>7067.5</v>
      </c>
      <c r="AF2273" s="91">
        <v>7067.5</v>
      </c>
      <c r="AG2273" s="91">
        <v>7067.5</v>
      </c>
      <c r="AH2273" s="91">
        <v>7067.5</v>
      </c>
      <c r="AI2273" s="91">
        <v>7067.5</v>
      </c>
      <c r="AJ2273" s="91">
        <v>7067.5</v>
      </c>
      <c r="AK2273" s="91">
        <v>7067.5</v>
      </c>
      <c r="AL2273" s="91">
        <v>7067.5</v>
      </c>
      <c r="AM2273" s="91">
        <v>7067.5</v>
      </c>
      <c r="AN2273" s="91">
        <v>7067.5</v>
      </c>
      <c r="AO2273" s="91">
        <v>7067.5</v>
      </c>
      <c r="AP2273" s="91">
        <v>7067.5</v>
      </c>
      <c r="AQ2273" s="91">
        <v>7067.5</v>
      </c>
      <c r="AR2273" s="91">
        <v>7067.5</v>
      </c>
      <c r="AS2273" s="91">
        <v>7067.5</v>
      </c>
      <c r="AT2273" s="91">
        <v>7067.5</v>
      </c>
      <c r="AU2273" s="91">
        <v>7067.5</v>
      </c>
      <c r="AV2273" s="91">
        <v>7067.5</v>
      </c>
      <c r="AW2273" s="91">
        <v>7067.5</v>
      </c>
      <c r="AX2273" s="92">
        <v>7067.5</v>
      </c>
    </row>
    <row r="2274" spans="1:50" x14ac:dyDescent="0.25">
      <c r="A2274" s="356"/>
      <c r="B2274" s="362"/>
      <c r="C2274" s="354"/>
      <c r="D2274" s="4" t="s">
        <v>8</v>
      </c>
      <c r="E2274" s="168" t="str">
        <f>A2259&amp;"/"&amp;B2267&amp;"/"&amp;C2273&amp;"/"&amp;D2274</f>
        <v>Fuel oil fired power plants/Supercritical steam turbine/CHP with CCS/M</v>
      </c>
      <c r="F2274" s="80" t="str">
        <f>A2259</f>
        <v>Fuel oil fired power plants</v>
      </c>
      <c r="G2274" s="80" t="str">
        <f>B2267</f>
        <v>Supercritical steam turbine</v>
      </c>
      <c r="H2274" s="80" t="str">
        <f>C2273</f>
        <v>CHP with CCS</v>
      </c>
      <c r="I2274" s="169" t="str">
        <f t="shared" si="115"/>
        <v>M</v>
      </c>
      <c r="J2274" s="99" t="s">
        <v>112</v>
      </c>
      <c r="K2274" s="99" t="s">
        <v>112</v>
      </c>
      <c r="L2274" s="99" t="s">
        <v>112</v>
      </c>
      <c r="M2274" s="99" t="s">
        <v>112</v>
      </c>
      <c r="N2274" s="99" t="s">
        <v>112</v>
      </c>
      <c r="O2274" s="99" t="s">
        <v>112</v>
      </c>
      <c r="P2274" s="99" t="s">
        <v>112</v>
      </c>
      <c r="Q2274" s="99" t="s">
        <v>112</v>
      </c>
      <c r="R2274" s="99" t="s">
        <v>112</v>
      </c>
      <c r="S2274" s="99" t="s">
        <v>112</v>
      </c>
      <c r="T2274" s="99" t="s">
        <v>112</v>
      </c>
      <c r="U2274" s="99" t="s">
        <v>112</v>
      </c>
      <c r="V2274" s="99" t="s">
        <v>112</v>
      </c>
      <c r="W2274" s="99" t="s">
        <v>112</v>
      </c>
      <c r="X2274" s="99" t="s">
        <v>112</v>
      </c>
      <c r="Y2274" s="99" t="s">
        <v>112</v>
      </c>
      <c r="Z2274" s="99" t="s">
        <v>112</v>
      </c>
      <c r="AA2274" s="99" t="s">
        <v>112</v>
      </c>
      <c r="AB2274" s="99" t="s">
        <v>112</v>
      </c>
      <c r="AC2274" s="99" t="s">
        <v>112</v>
      </c>
      <c r="AD2274" s="99" t="s">
        <v>112</v>
      </c>
      <c r="AE2274" s="99">
        <v>6263.0785656265452</v>
      </c>
      <c r="AF2274" s="99">
        <v>6263.0785656265452</v>
      </c>
      <c r="AG2274" s="99">
        <v>6263.0785656265452</v>
      </c>
      <c r="AH2274" s="99">
        <v>6263.0785656265452</v>
      </c>
      <c r="AI2274" s="99">
        <v>6263.0785656265452</v>
      </c>
      <c r="AJ2274" s="99">
        <v>6263.0785656265452</v>
      </c>
      <c r="AK2274" s="99">
        <v>6263.0785656265452</v>
      </c>
      <c r="AL2274" s="99">
        <v>6263.0785656265452</v>
      </c>
      <c r="AM2274" s="99">
        <v>6263.0785656265452</v>
      </c>
      <c r="AN2274" s="99">
        <v>6263.0785656265452</v>
      </c>
      <c r="AO2274" s="99">
        <v>6263.0785656265452</v>
      </c>
      <c r="AP2274" s="99">
        <v>6263.0785656265452</v>
      </c>
      <c r="AQ2274" s="99">
        <v>6263.0785656265452</v>
      </c>
      <c r="AR2274" s="99">
        <v>6263.0785656265452</v>
      </c>
      <c r="AS2274" s="99">
        <v>6263.0785656265452</v>
      </c>
      <c r="AT2274" s="99">
        <v>6263.0785656265452</v>
      </c>
      <c r="AU2274" s="99">
        <v>6263.0785656265452</v>
      </c>
      <c r="AV2274" s="99">
        <v>6263.0785656265452</v>
      </c>
      <c r="AW2274" s="99">
        <v>6263.0785656265452</v>
      </c>
      <c r="AX2274" s="100">
        <v>6263.0785656265452</v>
      </c>
    </row>
    <row r="2275" spans="1:50" x14ac:dyDescent="0.25">
      <c r="A2275" s="356"/>
      <c r="B2275" s="358" t="s">
        <v>19</v>
      </c>
      <c r="C2275" s="353" t="s">
        <v>6</v>
      </c>
      <c r="D2275" s="3" t="s">
        <v>7</v>
      </c>
      <c r="E2275" s="162" t="str">
        <f>A2259&amp;"/"&amp;B2275&amp;"/"&amp;C2275&amp;"/"&amp;D2275</f>
        <v>Fuel oil fired power plants/Steam turbine/Electricity only/L</v>
      </c>
      <c r="F2275" s="77" t="str">
        <f>A2259</f>
        <v>Fuel oil fired power plants</v>
      </c>
      <c r="G2275" s="77" t="str">
        <f>B2275</f>
        <v>Steam turbine</v>
      </c>
      <c r="H2275" s="77" t="str">
        <f>C2275</f>
        <v>Electricity only</v>
      </c>
      <c r="I2275" s="163" t="str">
        <f t="shared" si="115"/>
        <v>L</v>
      </c>
      <c r="J2275" s="93">
        <v>6950</v>
      </c>
      <c r="K2275" s="93">
        <v>6950</v>
      </c>
      <c r="L2275" s="93">
        <v>6950</v>
      </c>
      <c r="M2275" s="93">
        <v>6950</v>
      </c>
      <c r="N2275" s="93">
        <v>6950</v>
      </c>
      <c r="O2275" s="93">
        <v>6950</v>
      </c>
      <c r="P2275" s="93">
        <v>6950</v>
      </c>
      <c r="Q2275" s="93">
        <v>6950</v>
      </c>
      <c r="R2275" s="93">
        <v>6950</v>
      </c>
      <c r="S2275" s="93">
        <v>6950</v>
      </c>
      <c r="T2275" s="93">
        <v>6950</v>
      </c>
      <c r="U2275" s="93">
        <v>6950</v>
      </c>
      <c r="V2275" s="93">
        <v>6950</v>
      </c>
      <c r="W2275" s="93">
        <v>6950</v>
      </c>
      <c r="X2275" s="93">
        <v>6950</v>
      </c>
      <c r="Y2275" s="93">
        <v>6950</v>
      </c>
      <c r="Z2275" s="93">
        <v>6950</v>
      </c>
      <c r="AA2275" s="93">
        <v>6950</v>
      </c>
      <c r="AB2275" s="93">
        <v>6950</v>
      </c>
      <c r="AC2275" s="93">
        <v>6950</v>
      </c>
      <c r="AD2275" s="93">
        <v>6950</v>
      </c>
      <c r="AE2275" s="93">
        <v>6950</v>
      </c>
      <c r="AF2275" s="93">
        <v>6950</v>
      </c>
      <c r="AG2275" s="93">
        <v>6950</v>
      </c>
      <c r="AH2275" s="93">
        <v>6950</v>
      </c>
      <c r="AI2275" s="93">
        <v>6950</v>
      </c>
      <c r="AJ2275" s="93">
        <v>6950</v>
      </c>
      <c r="AK2275" s="93">
        <v>6950</v>
      </c>
      <c r="AL2275" s="93">
        <v>6950</v>
      </c>
      <c r="AM2275" s="93">
        <v>6950</v>
      </c>
      <c r="AN2275" s="93">
        <v>6950</v>
      </c>
      <c r="AO2275" s="93">
        <v>6950</v>
      </c>
      <c r="AP2275" s="93">
        <v>6950</v>
      </c>
      <c r="AQ2275" s="93">
        <v>6950</v>
      </c>
      <c r="AR2275" s="93">
        <v>6950</v>
      </c>
      <c r="AS2275" s="93">
        <v>6950</v>
      </c>
      <c r="AT2275" s="93">
        <v>6950</v>
      </c>
      <c r="AU2275" s="93">
        <v>6950</v>
      </c>
      <c r="AV2275" s="93">
        <v>6950</v>
      </c>
      <c r="AW2275" s="93">
        <v>6950</v>
      </c>
      <c r="AX2275" s="94">
        <v>6950</v>
      </c>
    </row>
    <row r="2276" spans="1:50" x14ac:dyDescent="0.25">
      <c r="A2276" s="356"/>
      <c r="B2276" s="359"/>
      <c r="C2276" s="350"/>
      <c r="D2276" s="2" t="s">
        <v>8</v>
      </c>
      <c r="E2276" s="160" t="str">
        <f>A2259&amp;"/"&amp;B2275&amp;"/"&amp;C2275&amp;"/"&amp;D2276</f>
        <v>Fuel oil fired power plants/Steam turbine/Electricity only/M</v>
      </c>
      <c r="F2276" s="76" t="str">
        <f>A2259</f>
        <v>Fuel oil fired power plants</v>
      </c>
      <c r="G2276" s="76" t="str">
        <f>B2275</f>
        <v>Steam turbine</v>
      </c>
      <c r="H2276" s="76" t="str">
        <f>C2275</f>
        <v>Electricity only</v>
      </c>
      <c r="I2276" s="161" t="str">
        <f t="shared" si="115"/>
        <v>M</v>
      </c>
      <c r="J2276" s="91">
        <v>6373.079357412118</v>
      </c>
      <c r="K2276" s="91">
        <v>6373.079357412118</v>
      </c>
      <c r="L2276" s="91">
        <v>6373.079357412118</v>
      </c>
      <c r="M2276" s="91">
        <v>6373.079357412118</v>
      </c>
      <c r="N2276" s="91">
        <v>6373.079357412118</v>
      </c>
      <c r="O2276" s="91">
        <v>6373.079357412118</v>
      </c>
      <c r="P2276" s="91">
        <v>6373.079357412118</v>
      </c>
      <c r="Q2276" s="91">
        <v>6373.079357412118</v>
      </c>
      <c r="R2276" s="91">
        <v>6373.079357412118</v>
      </c>
      <c r="S2276" s="91">
        <v>6373.079357412118</v>
      </c>
      <c r="T2276" s="91">
        <v>6373.079357412118</v>
      </c>
      <c r="U2276" s="91">
        <v>6373.079357412118</v>
      </c>
      <c r="V2276" s="91">
        <v>6373.079357412118</v>
      </c>
      <c r="W2276" s="91">
        <v>6373.079357412118</v>
      </c>
      <c r="X2276" s="91">
        <v>6373.079357412118</v>
      </c>
      <c r="Y2276" s="91">
        <v>6373.079357412118</v>
      </c>
      <c r="Z2276" s="91">
        <v>6373.079357412118</v>
      </c>
      <c r="AA2276" s="91">
        <v>6373.079357412118</v>
      </c>
      <c r="AB2276" s="91">
        <v>6373.079357412118</v>
      </c>
      <c r="AC2276" s="91">
        <v>6373.079357412118</v>
      </c>
      <c r="AD2276" s="91">
        <v>6373.079357412118</v>
      </c>
      <c r="AE2276" s="91">
        <v>6373.079357412118</v>
      </c>
      <c r="AF2276" s="91">
        <v>6373.079357412118</v>
      </c>
      <c r="AG2276" s="91">
        <v>6373.079357412118</v>
      </c>
      <c r="AH2276" s="91">
        <v>6373.079357412118</v>
      </c>
      <c r="AI2276" s="91">
        <v>6373.079357412118</v>
      </c>
      <c r="AJ2276" s="91">
        <v>6373.079357412118</v>
      </c>
      <c r="AK2276" s="91">
        <v>6373.079357412118</v>
      </c>
      <c r="AL2276" s="91">
        <v>6373.079357412118</v>
      </c>
      <c r="AM2276" s="91">
        <v>6373.079357412118</v>
      </c>
      <c r="AN2276" s="91">
        <v>6373.079357412118</v>
      </c>
      <c r="AO2276" s="91">
        <v>6373.079357412118</v>
      </c>
      <c r="AP2276" s="91">
        <v>6373.079357412118</v>
      </c>
      <c r="AQ2276" s="91">
        <v>6373.079357412118</v>
      </c>
      <c r="AR2276" s="91">
        <v>6373.079357412118</v>
      </c>
      <c r="AS2276" s="91">
        <v>6373.079357412118</v>
      </c>
      <c r="AT2276" s="91">
        <v>6373.079357412118</v>
      </c>
      <c r="AU2276" s="91">
        <v>6373.079357412118</v>
      </c>
      <c r="AV2276" s="91">
        <v>6373.079357412118</v>
      </c>
      <c r="AW2276" s="91">
        <v>6373.079357412118</v>
      </c>
      <c r="AX2276" s="92">
        <v>6373.079357412118</v>
      </c>
    </row>
    <row r="2277" spans="1:50" x14ac:dyDescent="0.25">
      <c r="A2277" s="356"/>
      <c r="B2277" s="359"/>
      <c r="C2277" s="350"/>
      <c r="D2277" s="2" t="s">
        <v>10</v>
      </c>
      <c r="E2277" s="160" t="str">
        <f>A2259&amp;"/"&amp;B2275&amp;"/"&amp;C2275&amp;"/"&amp;D2277</f>
        <v>Fuel oil fired power plants/Steam turbine/Electricity only/S</v>
      </c>
      <c r="F2277" s="76" t="str">
        <f>A2259</f>
        <v>Fuel oil fired power plants</v>
      </c>
      <c r="G2277" s="76" t="str">
        <f>B2275</f>
        <v>Steam turbine</v>
      </c>
      <c r="H2277" s="76" t="str">
        <f>C2275</f>
        <v>Electricity only</v>
      </c>
      <c r="I2277" s="161" t="str">
        <f t="shared" si="115"/>
        <v>S</v>
      </c>
      <c r="J2277" s="91">
        <v>5716.0430666505054</v>
      </c>
      <c r="K2277" s="91">
        <v>5716.0430666505054</v>
      </c>
      <c r="L2277" s="91">
        <v>5716.0430666505054</v>
      </c>
      <c r="M2277" s="91">
        <v>5716.0430666505054</v>
      </c>
      <c r="N2277" s="91">
        <v>5716.0430666505054</v>
      </c>
      <c r="O2277" s="91">
        <v>5716.0430666505054</v>
      </c>
      <c r="P2277" s="91">
        <v>5716.0430666505054</v>
      </c>
      <c r="Q2277" s="91">
        <v>5716.0430666505054</v>
      </c>
      <c r="R2277" s="91">
        <v>5716.0430666505054</v>
      </c>
      <c r="S2277" s="91">
        <v>5716.0430666505054</v>
      </c>
      <c r="T2277" s="91">
        <v>5716.0430666505054</v>
      </c>
      <c r="U2277" s="91">
        <v>5716.0430666505054</v>
      </c>
      <c r="V2277" s="91">
        <v>5716.0430666505054</v>
      </c>
      <c r="W2277" s="91">
        <v>5716.0430666505054</v>
      </c>
      <c r="X2277" s="91">
        <v>5716.0430666505054</v>
      </c>
      <c r="Y2277" s="91">
        <v>5716.0430666505054</v>
      </c>
      <c r="Z2277" s="91">
        <v>5716.0430666505054</v>
      </c>
      <c r="AA2277" s="91">
        <v>5716.0430666505054</v>
      </c>
      <c r="AB2277" s="91">
        <v>5716.0430666505054</v>
      </c>
      <c r="AC2277" s="91">
        <v>5716.0430666505054</v>
      </c>
      <c r="AD2277" s="91">
        <v>5716.0430666505054</v>
      </c>
      <c r="AE2277" s="91">
        <v>5716.0430666505054</v>
      </c>
      <c r="AF2277" s="91">
        <v>5716.0430666505054</v>
      </c>
      <c r="AG2277" s="91">
        <v>5716.0430666505054</v>
      </c>
      <c r="AH2277" s="91">
        <v>5716.0430666505054</v>
      </c>
      <c r="AI2277" s="91">
        <v>5716.0430666505054</v>
      </c>
      <c r="AJ2277" s="91">
        <v>5716.0430666505054</v>
      </c>
      <c r="AK2277" s="91">
        <v>5716.0430666505054</v>
      </c>
      <c r="AL2277" s="91">
        <v>5716.0430666505054</v>
      </c>
      <c r="AM2277" s="91">
        <v>5716.0430666505054</v>
      </c>
      <c r="AN2277" s="91">
        <v>5716.0430666505054</v>
      </c>
      <c r="AO2277" s="91">
        <v>5716.0430666505054</v>
      </c>
      <c r="AP2277" s="91">
        <v>5716.0430666505054</v>
      </c>
      <c r="AQ2277" s="91">
        <v>5716.0430666505054</v>
      </c>
      <c r="AR2277" s="91">
        <v>5716.0430666505054</v>
      </c>
      <c r="AS2277" s="91">
        <v>5716.0430666505054</v>
      </c>
      <c r="AT2277" s="91">
        <v>5716.0430666505054</v>
      </c>
      <c r="AU2277" s="91">
        <v>5716.0430666505054</v>
      </c>
      <c r="AV2277" s="91">
        <v>5716.0430666505054</v>
      </c>
      <c r="AW2277" s="91">
        <v>5716.0430666505054</v>
      </c>
      <c r="AX2277" s="92">
        <v>5716.0430666505054</v>
      </c>
    </row>
    <row r="2278" spans="1:50" x14ac:dyDescent="0.25">
      <c r="A2278" s="356"/>
      <c r="B2278" s="359"/>
      <c r="C2278" s="360"/>
      <c r="D2278" s="2" t="s">
        <v>20</v>
      </c>
      <c r="E2278" s="160" t="str">
        <f>A2259&amp;"/"&amp;B2275&amp;"/"&amp;C2275&amp;"/"&amp;D2278</f>
        <v>Fuel oil fired power plants/Steam turbine/Electricity only/XS</v>
      </c>
      <c r="F2278" s="76" t="str">
        <f>A2259</f>
        <v>Fuel oil fired power plants</v>
      </c>
      <c r="G2278" s="76" t="str">
        <f>B2275</f>
        <v>Steam turbine</v>
      </c>
      <c r="H2278" s="76" t="str">
        <f>C2275</f>
        <v>Electricity only</v>
      </c>
      <c r="I2278" s="161" t="str">
        <f t="shared" si="115"/>
        <v>XS</v>
      </c>
      <c r="J2278" s="91">
        <v>5383.0116049566923</v>
      </c>
      <c r="K2278" s="91">
        <v>5383.0116049566923</v>
      </c>
      <c r="L2278" s="91">
        <v>5383.0116049566923</v>
      </c>
      <c r="M2278" s="91">
        <v>5383.0116049566923</v>
      </c>
      <c r="N2278" s="91">
        <v>5383.0116049566923</v>
      </c>
      <c r="O2278" s="91">
        <v>5383.0116049566923</v>
      </c>
      <c r="P2278" s="91">
        <v>5383.0116049566923</v>
      </c>
      <c r="Q2278" s="91">
        <v>5383.0116049566923</v>
      </c>
      <c r="R2278" s="91">
        <v>5383.0116049566923</v>
      </c>
      <c r="S2278" s="91">
        <v>5383.0116049566923</v>
      </c>
      <c r="T2278" s="91">
        <v>5383.0116049566923</v>
      </c>
      <c r="U2278" s="91">
        <v>5383.0116049566923</v>
      </c>
      <c r="V2278" s="91">
        <v>5383.0116049566923</v>
      </c>
      <c r="W2278" s="91">
        <v>5383.0116049566923</v>
      </c>
      <c r="X2278" s="91">
        <v>5383.0116049566923</v>
      </c>
      <c r="Y2278" s="91">
        <v>5383.0116049566923</v>
      </c>
      <c r="Z2278" s="91">
        <v>5383.0116049566923</v>
      </c>
      <c r="AA2278" s="91">
        <v>5383.0116049566923</v>
      </c>
      <c r="AB2278" s="91">
        <v>5383.0116049566923</v>
      </c>
      <c r="AC2278" s="91">
        <v>5383.0116049566923</v>
      </c>
      <c r="AD2278" s="91">
        <v>5383.0116049566923</v>
      </c>
      <c r="AE2278" s="91">
        <v>5383.0116049566923</v>
      </c>
      <c r="AF2278" s="91">
        <v>5383.0116049566923</v>
      </c>
      <c r="AG2278" s="91">
        <v>5383.0116049566923</v>
      </c>
      <c r="AH2278" s="91">
        <v>5383.0116049566923</v>
      </c>
      <c r="AI2278" s="91">
        <v>5383.0116049566923</v>
      </c>
      <c r="AJ2278" s="91">
        <v>5383.0116049566923</v>
      </c>
      <c r="AK2278" s="91">
        <v>5383.0116049566923</v>
      </c>
      <c r="AL2278" s="91">
        <v>5383.0116049566923</v>
      </c>
      <c r="AM2278" s="91">
        <v>5383.0116049566923</v>
      </c>
      <c r="AN2278" s="91">
        <v>5383.0116049566923</v>
      </c>
      <c r="AO2278" s="91">
        <v>5383.0116049566923</v>
      </c>
      <c r="AP2278" s="91">
        <v>5383.0116049566923</v>
      </c>
      <c r="AQ2278" s="91">
        <v>5383.0116049566923</v>
      </c>
      <c r="AR2278" s="91">
        <v>5383.0116049566923</v>
      </c>
      <c r="AS2278" s="91">
        <v>5383.0116049566923</v>
      </c>
      <c r="AT2278" s="91">
        <v>5383.0116049566923</v>
      </c>
      <c r="AU2278" s="91">
        <v>5383.0116049566923</v>
      </c>
      <c r="AV2278" s="91">
        <v>5383.0116049566923</v>
      </c>
      <c r="AW2278" s="91">
        <v>5383.0116049566923</v>
      </c>
      <c r="AX2278" s="92">
        <v>5383.0116049566923</v>
      </c>
    </row>
    <row r="2279" spans="1:50" x14ac:dyDescent="0.25">
      <c r="A2279" s="356"/>
      <c r="B2279" s="359"/>
      <c r="C2279" s="361" t="s">
        <v>14</v>
      </c>
      <c r="D2279" s="58" t="s">
        <v>7</v>
      </c>
      <c r="E2279" s="164" t="str">
        <f>A2259&amp;"/"&amp;B2275&amp;"/"&amp;C2279&amp;"/"&amp;D2279</f>
        <v>Fuel oil fired power plants/Steam turbine/CHP/L</v>
      </c>
      <c r="F2279" s="78" t="str">
        <f>A2259</f>
        <v>Fuel oil fired power plants</v>
      </c>
      <c r="G2279" s="78" t="str">
        <f>B2275</f>
        <v>Steam turbine</v>
      </c>
      <c r="H2279" s="78" t="str">
        <f>C2279</f>
        <v>CHP</v>
      </c>
      <c r="I2279" s="165" t="str">
        <f t="shared" ref="I2279:I2342" si="116">D2279</f>
        <v>L</v>
      </c>
      <c r="J2279" s="95">
        <v>6267.5</v>
      </c>
      <c r="K2279" s="95">
        <v>6267.5</v>
      </c>
      <c r="L2279" s="95">
        <v>6267.5</v>
      </c>
      <c r="M2279" s="95">
        <v>6267.5</v>
      </c>
      <c r="N2279" s="95">
        <v>6267.5</v>
      </c>
      <c r="O2279" s="95">
        <v>6267.5</v>
      </c>
      <c r="P2279" s="95">
        <v>6267.5</v>
      </c>
      <c r="Q2279" s="95">
        <v>6267.5</v>
      </c>
      <c r="R2279" s="95">
        <v>6267.5</v>
      </c>
      <c r="S2279" s="95">
        <v>6267.5</v>
      </c>
      <c r="T2279" s="95">
        <v>6267.5</v>
      </c>
      <c r="U2279" s="95">
        <v>6267.5</v>
      </c>
      <c r="V2279" s="95">
        <v>6267.5</v>
      </c>
      <c r="W2279" s="95">
        <v>6267.5</v>
      </c>
      <c r="X2279" s="95">
        <v>6267.5</v>
      </c>
      <c r="Y2279" s="95">
        <v>6267.5</v>
      </c>
      <c r="Z2279" s="95">
        <v>6267.5</v>
      </c>
      <c r="AA2279" s="95">
        <v>6267.5</v>
      </c>
      <c r="AB2279" s="95">
        <v>6267.5</v>
      </c>
      <c r="AC2279" s="95">
        <v>6267.5</v>
      </c>
      <c r="AD2279" s="95">
        <v>6267.5</v>
      </c>
      <c r="AE2279" s="95">
        <v>6267.5</v>
      </c>
      <c r="AF2279" s="95">
        <v>6267.5</v>
      </c>
      <c r="AG2279" s="95">
        <v>6267.5</v>
      </c>
      <c r="AH2279" s="95">
        <v>6267.5</v>
      </c>
      <c r="AI2279" s="95">
        <v>6267.5</v>
      </c>
      <c r="AJ2279" s="95">
        <v>6267.5</v>
      </c>
      <c r="AK2279" s="95">
        <v>6267.5</v>
      </c>
      <c r="AL2279" s="95">
        <v>6267.5</v>
      </c>
      <c r="AM2279" s="95">
        <v>6267.5</v>
      </c>
      <c r="AN2279" s="95">
        <v>6267.5</v>
      </c>
      <c r="AO2279" s="95">
        <v>6267.5</v>
      </c>
      <c r="AP2279" s="95">
        <v>6267.5</v>
      </c>
      <c r="AQ2279" s="95">
        <v>6267.5</v>
      </c>
      <c r="AR2279" s="95">
        <v>6267.5</v>
      </c>
      <c r="AS2279" s="95">
        <v>6267.5</v>
      </c>
      <c r="AT2279" s="95">
        <v>6267.5</v>
      </c>
      <c r="AU2279" s="95">
        <v>6267.5</v>
      </c>
      <c r="AV2279" s="95">
        <v>6267.5</v>
      </c>
      <c r="AW2279" s="95">
        <v>6267.5</v>
      </c>
      <c r="AX2279" s="96">
        <v>6267.5</v>
      </c>
    </row>
    <row r="2280" spans="1:50" x14ac:dyDescent="0.25">
      <c r="A2280" s="356"/>
      <c r="B2280" s="359"/>
      <c r="C2280" s="350"/>
      <c r="D2280" s="2" t="s">
        <v>8</v>
      </c>
      <c r="E2280" s="160" t="str">
        <f>A2259&amp;"/"&amp;B2275&amp;"/"&amp;C2279&amp;"/"&amp;D2280</f>
        <v>Fuel oil fired power plants/Steam turbine/CHP/M</v>
      </c>
      <c r="F2280" s="76" t="str">
        <f>A2259</f>
        <v>Fuel oil fired power plants</v>
      </c>
      <c r="G2280" s="76" t="str">
        <f>B2275</f>
        <v>Steam turbine</v>
      </c>
      <c r="H2280" s="76" t="str">
        <f>C2279</f>
        <v>CHP</v>
      </c>
      <c r="I2280" s="161" t="str">
        <f t="shared" si="116"/>
        <v>M</v>
      </c>
      <c r="J2280" s="91">
        <v>5761.4043537247144</v>
      </c>
      <c r="K2280" s="91">
        <v>5761.4043537247144</v>
      </c>
      <c r="L2280" s="91">
        <v>5761.4043537247144</v>
      </c>
      <c r="M2280" s="91">
        <v>5761.4043537247144</v>
      </c>
      <c r="N2280" s="91">
        <v>5761.4043537247144</v>
      </c>
      <c r="O2280" s="91">
        <v>5761.4043537247144</v>
      </c>
      <c r="P2280" s="91">
        <v>5761.4043537247144</v>
      </c>
      <c r="Q2280" s="91">
        <v>5761.4043537247144</v>
      </c>
      <c r="R2280" s="91">
        <v>5761.4043537247144</v>
      </c>
      <c r="S2280" s="91">
        <v>5761.4043537247144</v>
      </c>
      <c r="T2280" s="91">
        <v>5761.4043537247144</v>
      </c>
      <c r="U2280" s="91">
        <v>5761.4043537247144</v>
      </c>
      <c r="V2280" s="91">
        <v>5761.4043537247144</v>
      </c>
      <c r="W2280" s="91">
        <v>5761.4043537247144</v>
      </c>
      <c r="X2280" s="91">
        <v>5761.4043537247144</v>
      </c>
      <c r="Y2280" s="91">
        <v>5761.4043537247144</v>
      </c>
      <c r="Z2280" s="91">
        <v>5761.4043537247144</v>
      </c>
      <c r="AA2280" s="91">
        <v>5761.4043537247144</v>
      </c>
      <c r="AB2280" s="91">
        <v>5761.4043537247144</v>
      </c>
      <c r="AC2280" s="91">
        <v>5761.4043537247144</v>
      </c>
      <c r="AD2280" s="91">
        <v>5761.4043537247144</v>
      </c>
      <c r="AE2280" s="91">
        <v>5761.4043537247144</v>
      </c>
      <c r="AF2280" s="91">
        <v>5761.4043537247144</v>
      </c>
      <c r="AG2280" s="91">
        <v>5761.4043537247144</v>
      </c>
      <c r="AH2280" s="91">
        <v>5761.4043537247144</v>
      </c>
      <c r="AI2280" s="91">
        <v>5761.4043537247144</v>
      </c>
      <c r="AJ2280" s="91">
        <v>5761.4043537247144</v>
      </c>
      <c r="AK2280" s="91">
        <v>5761.4043537247144</v>
      </c>
      <c r="AL2280" s="91">
        <v>5761.4043537247144</v>
      </c>
      <c r="AM2280" s="91">
        <v>5761.4043537247144</v>
      </c>
      <c r="AN2280" s="91">
        <v>5761.4043537247144</v>
      </c>
      <c r="AO2280" s="91">
        <v>5761.4043537247144</v>
      </c>
      <c r="AP2280" s="91">
        <v>5761.4043537247144</v>
      </c>
      <c r="AQ2280" s="91">
        <v>5761.4043537247144</v>
      </c>
      <c r="AR2280" s="91">
        <v>5761.4043537247144</v>
      </c>
      <c r="AS2280" s="91">
        <v>5761.4043537247144</v>
      </c>
      <c r="AT2280" s="91">
        <v>5761.4043537247144</v>
      </c>
      <c r="AU2280" s="91">
        <v>5761.4043537247144</v>
      </c>
      <c r="AV2280" s="91">
        <v>5761.4043537247144</v>
      </c>
      <c r="AW2280" s="91">
        <v>5761.4043537247144</v>
      </c>
      <c r="AX2280" s="92">
        <v>5761.4043537247144</v>
      </c>
    </row>
    <row r="2281" spans="1:50" x14ac:dyDescent="0.25">
      <c r="A2281" s="356"/>
      <c r="B2281" s="359"/>
      <c r="C2281" s="350"/>
      <c r="D2281" s="2" t="s">
        <v>10</v>
      </c>
      <c r="E2281" s="160" t="str">
        <f>A2259&amp;"/"&amp;B2275&amp;"/"&amp;C2279&amp;"/"&amp;D2281</f>
        <v>Fuel oil fired power plants/Steam turbine/CHP/S</v>
      </c>
      <c r="F2281" s="76" t="str">
        <f>A2259</f>
        <v>Fuel oil fired power plants</v>
      </c>
      <c r="G2281" s="76" t="str">
        <f>B2275</f>
        <v>Steam turbine</v>
      </c>
      <c r="H2281" s="76" t="str">
        <f>C2279</f>
        <v>CHP</v>
      </c>
      <c r="I2281" s="161" t="str">
        <f t="shared" si="116"/>
        <v>S</v>
      </c>
      <c r="J2281" s="91">
        <v>5183.6735691740059</v>
      </c>
      <c r="K2281" s="91">
        <v>5183.6735691740059</v>
      </c>
      <c r="L2281" s="91">
        <v>5183.6735691740059</v>
      </c>
      <c r="M2281" s="91">
        <v>5183.6735691740059</v>
      </c>
      <c r="N2281" s="91">
        <v>5183.6735691740059</v>
      </c>
      <c r="O2281" s="91">
        <v>5183.6735691740059</v>
      </c>
      <c r="P2281" s="91">
        <v>5183.6735691740059</v>
      </c>
      <c r="Q2281" s="91">
        <v>5183.6735691740059</v>
      </c>
      <c r="R2281" s="91">
        <v>5183.6735691740059</v>
      </c>
      <c r="S2281" s="91">
        <v>5183.6735691740059</v>
      </c>
      <c r="T2281" s="91">
        <v>5183.6735691740059</v>
      </c>
      <c r="U2281" s="91">
        <v>5183.6735691740059</v>
      </c>
      <c r="V2281" s="91">
        <v>5183.6735691740059</v>
      </c>
      <c r="W2281" s="91">
        <v>5183.6735691740059</v>
      </c>
      <c r="X2281" s="91">
        <v>5183.6735691740059</v>
      </c>
      <c r="Y2281" s="91">
        <v>5183.6735691740059</v>
      </c>
      <c r="Z2281" s="91">
        <v>5183.6735691740059</v>
      </c>
      <c r="AA2281" s="91">
        <v>5183.6735691740059</v>
      </c>
      <c r="AB2281" s="91">
        <v>5183.6735691740059</v>
      </c>
      <c r="AC2281" s="91">
        <v>5183.6735691740059</v>
      </c>
      <c r="AD2281" s="91">
        <v>5183.6735691740059</v>
      </c>
      <c r="AE2281" s="91">
        <v>5183.6735691740059</v>
      </c>
      <c r="AF2281" s="91">
        <v>5183.6735691740059</v>
      </c>
      <c r="AG2281" s="91">
        <v>5183.6735691740059</v>
      </c>
      <c r="AH2281" s="91">
        <v>5183.6735691740059</v>
      </c>
      <c r="AI2281" s="91">
        <v>5183.6735691740059</v>
      </c>
      <c r="AJ2281" s="91">
        <v>5183.6735691740059</v>
      </c>
      <c r="AK2281" s="91">
        <v>5183.6735691740059</v>
      </c>
      <c r="AL2281" s="91">
        <v>5183.6735691740059</v>
      </c>
      <c r="AM2281" s="91">
        <v>5183.6735691740059</v>
      </c>
      <c r="AN2281" s="91">
        <v>5183.6735691740059</v>
      </c>
      <c r="AO2281" s="91">
        <v>5183.6735691740059</v>
      </c>
      <c r="AP2281" s="91">
        <v>5183.6735691740059</v>
      </c>
      <c r="AQ2281" s="91">
        <v>5183.6735691740059</v>
      </c>
      <c r="AR2281" s="91">
        <v>5183.6735691740059</v>
      </c>
      <c r="AS2281" s="91">
        <v>5183.6735691740059</v>
      </c>
      <c r="AT2281" s="91">
        <v>5183.6735691740059</v>
      </c>
      <c r="AU2281" s="91">
        <v>5183.6735691740059</v>
      </c>
      <c r="AV2281" s="91">
        <v>5183.6735691740059</v>
      </c>
      <c r="AW2281" s="91">
        <v>5183.6735691740059</v>
      </c>
      <c r="AX2281" s="92">
        <v>5183.6735691740059</v>
      </c>
    </row>
    <row r="2282" spans="1:50" x14ac:dyDescent="0.25">
      <c r="A2282" s="356"/>
      <c r="B2282" s="359"/>
      <c r="C2282" s="360"/>
      <c r="D2282" s="59" t="s">
        <v>20</v>
      </c>
      <c r="E2282" s="166" t="str">
        <f>A2259&amp;"/"&amp;B2275&amp;"/"&amp;C2279&amp;"/"&amp;D2282</f>
        <v>Fuel oil fired power plants/Steam turbine/CHP/XS</v>
      </c>
      <c r="F2282" s="79" t="str">
        <f>A2259</f>
        <v>Fuel oil fired power plants</v>
      </c>
      <c r="G2282" s="79" t="str">
        <f>B2275</f>
        <v>Steam turbine</v>
      </c>
      <c r="H2282" s="79" t="str">
        <f>C2279</f>
        <v>CHP</v>
      </c>
      <c r="I2282" s="167" t="str">
        <f t="shared" si="116"/>
        <v>XS</v>
      </c>
      <c r="J2282" s="97">
        <v>4890.2017497537381</v>
      </c>
      <c r="K2282" s="97">
        <v>4890.2017497537381</v>
      </c>
      <c r="L2282" s="97">
        <v>4890.2017497537381</v>
      </c>
      <c r="M2282" s="97">
        <v>4890.2017497537381</v>
      </c>
      <c r="N2282" s="97">
        <v>4890.2017497537381</v>
      </c>
      <c r="O2282" s="97">
        <v>4890.2017497537381</v>
      </c>
      <c r="P2282" s="97">
        <v>4890.2017497537381</v>
      </c>
      <c r="Q2282" s="97">
        <v>4890.2017497537381</v>
      </c>
      <c r="R2282" s="97">
        <v>4890.2017497537381</v>
      </c>
      <c r="S2282" s="97">
        <v>4890.2017497537381</v>
      </c>
      <c r="T2282" s="97">
        <v>4890.2017497537381</v>
      </c>
      <c r="U2282" s="97">
        <v>4890.2017497537381</v>
      </c>
      <c r="V2282" s="97">
        <v>4890.2017497537381</v>
      </c>
      <c r="W2282" s="97">
        <v>4890.2017497537381</v>
      </c>
      <c r="X2282" s="97">
        <v>4890.2017497537381</v>
      </c>
      <c r="Y2282" s="97">
        <v>4890.2017497537381</v>
      </c>
      <c r="Z2282" s="97">
        <v>4890.2017497537381</v>
      </c>
      <c r="AA2282" s="97">
        <v>4890.2017497537381</v>
      </c>
      <c r="AB2282" s="97">
        <v>4890.2017497537381</v>
      </c>
      <c r="AC2282" s="97">
        <v>4890.2017497537381</v>
      </c>
      <c r="AD2282" s="97">
        <v>4890.2017497537381</v>
      </c>
      <c r="AE2282" s="97">
        <v>4890.2017497537381</v>
      </c>
      <c r="AF2282" s="97">
        <v>4890.2017497537381</v>
      </c>
      <c r="AG2282" s="97">
        <v>4890.2017497537381</v>
      </c>
      <c r="AH2282" s="97">
        <v>4890.2017497537381</v>
      </c>
      <c r="AI2282" s="97">
        <v>4890.2017497537381</v>
      </c>
      <c r="AJ2282" s="97">
        <v>4890.2017497537381</v>
      </c>
      <c r="AK2282" s="97">
        <v>4890.2017497537381</v>
      </c>
      <c r="AL2282" s="97">
        <v>4890.2017497537381</v>
      </c>
      <c r="AM2282" s="97">
        <v>4890.2017497537381</v>
      </c>
      <c r="AN2282" s="97">
        <v>4890.2017497537381</v>
      </c>
      <c r="AO2282" s="97">
        <v>4890.2017497537381</v>
      </c>
      <c r="AP2282" s="97">
        <v>4890.2017497537381</v>
      </c>
      <c r="AQ2282" s="97">
        <v>4890.2017497537381</v>
      </c>
      <c r="AR2282" s="97">
        <v>4890.2017497537381</v>
      </c>
      <c r="AS2282" s="97">
        <v>4890.2017497537381</v>
      </c>
      <c r="AT2282" s="97">
        <v>4890.2017497537381</v>
      </c>
      <c r="AU2282" s="97">
        <v>4890.2017497537381</v>
      </c>
      <c r="AV2282" s="97">
        <v>4890.2017497537381</v>
      </c>
      <c r="AW2282" s="97">
        <v>4890.2017497537381</v>
      </c>
      <c r="AX2282" s="98">
        <v>4890.2017497537381</v>
      </c>
    </row>
    <row r="2283" spans="1:50" x14ac:dyDescent="0.25">
      <c r="A2283" s="356"/>
      <c r="B2283" s="359"/>
      <c r="C2283" s="361" t="s">
        <v>15</v>
      </c>
      <c r="D2283" s="58" t="s">
        <v>7</v>
      </c>
      <c r="E2283" s="164" t="str">
        <f>A2259&amp;"/"&amp;B2275&amp;"/"&amp;C2283&amp;"/"&amp;D2283</f>
        <v>Fuel oil fired power plants/Steam turbine/Electricity only with CCS/L</v>
      </c>
      <c r="F2283" s="78" t="str">
        <f>A2259</f>
        <v>Fuel oil fired power plants</v>
      </c>
      <c r="G2283" s="78" t="str">
        <f>B2275</f>
        <v>Steam turbine</v>
      </c>
      <c r="H2283" s="78" t="str">
        <f>C2283</f>
        <v>Electricity only with CCS</v>
      </c>
      <c r="I2283" s="165" t="str">
        <f t="shared" si="116"/>
        <v>L</v>
      </c>
      <c r="J2283" s="95" t="s">
        <v>112</v>
      </c>
      <c r="K2283" s="95" t="s">
        <v>112</v>
      </c>
      <c r="L2283" s="95" t="s">
        <v>112</v>
      </c>
      <c r="M2283" s="95" t="s">
        <v>112</v>
      </c>
      <c r="N2283" s="95" t="s">
        <v>112</v>
      </c>
      <c r="O2283" s="95" t="s">
        <v>112</v>
      </c>
      <c r="P2283" s="95" t="s">
        <v>112</v>
      </c>
      <c r="Q2283" s="95" t="s">
        <v>112</v>
      </c>
      <c r="R2283" s="95" t="s">
        <v>112</v>
      </c>
      <c r="S2283" s="95" t="s">
        <v>112</v>
      </c>
      <c r="T2283" s="95" t="s">
        <v>112</v>
      </c>
      <c r="U2283" s="95" t="s">
        <v>112</v>
      </c>
      <c r="V2283" s="95" t="s">
        <v>112</v>
      </c>
      <c r="W2283" s="95" t="s">
        <v>112</v>
      </c>
      <c r="X2283" s="95" t="s">
        <v>112</v>
      </c>
      <c r="Y2283" s="95" t="s">
        <v>112</v>
      </c>
      <c r="Z2283" s="95" t="s">
        <v>112</v>
      </c>
      <c r="AA2283" s="95" t="s">
        <v>112</v>
      </c>
      <c r="AB2283" s="95" t="s">
        <v>112</v>
      </c>
      <c r="AC2283" s="95" t="s">
        <v>112</v>
      </c>
      <c r="AD2283" s="95" t="s">
        <v>112</v>
      </c>
      <c r="AE2283" s="95">
        <v>6950</v>
      </c>
      <c r="AF2283" s="95">
        <v>6950</v>
      </c>
      <c r="AG2283" s="95">
        <v>6950</v>
      </c>
      <c r="AH2283" s="95">
        <v>6950</v>
      </c>
      <c r="AI2283" s="95">
        <v>6950</v>
      </c>
      <c r="AJ2283" s="95">
        <v>6950</v>
      </c>
      <c r="AK2283" s="95">
        <v>6950</v>
      </c>
      <c r="AL2283" s="95">
        <v>6950</v>
      </c>
      <c r="AM2283" s="95">
        <v>6950</v>
      </c>
      <c r="AN2283" s="95">
        <v>6950</v>
      </c>
      <c r="AO2283" s="95">
        <v>6950</v>
      </c>
      <c r="AP2283" s="95">
        <v>6950</v>
      </c>
      <c r="AQ2283" s="95">
        <v>6950</v>
      </c>
      <c r="AR2283" s="95">
        <v>6950</v>
      </c>
      <c r="AS2283" s="95">
        <v>6950</v>
      </c>
      <c r="AT2283" s="95">
        <v>6950</v>
      </c>
      <c r="AU2283" s="95">
        <v>6950</v>
      </c>
      <c r="AV2283" s="95">
        <v>6950</v>
      </c>
      <c r="AW2283" s="95">
        <v>6950</v>
      </c>
      <c r="AX2283" s="96">
        <v>6950</v>
      </c>
    </row>
    <row r="2284" spans="1:50" x14ac:dyDescent="0.25">
      <c r="A2284" s="356"/>
      <c r="B2284" s="359"/>
      <c r="C2284" s="360"/>
      <c r="D2284" s="59" t="s">
        <v>8</v>
      </c>
      <c r="E2284" s="166" t="str">
        <f>A2259&amp;"/"&amp;B2275&amp;"/"&amp;C2283&amp;"/"&amp;D2284</f>
        <v>Fuel oil fired power plants/Steam turbine/Electricity only with CCS/M</v>
      </c>
      <c r="F2284" s="79" t="str">
        <f>A2259</f>
        <v>Fuel oil fired power plants</v>
      </c>
      <c r="G2284" s="79" t="str">
        <f>B2275</f>
        <v>Steam turbine</v>
      </c>
      <c r="H2284" s="79" t="str">
        <f>C2283</f>
        <v>Electricity only with CCS</v>
      </c>
      <c r="I2284" s="167" t="str">
        <f t="shared" si="116"/>
        <v>M</v>
      </c>
      <c r="J2284" s="97" t="s">
        <v>112</v>
      </c>
      <c r="K2284" s="97" t="s">
        <v>112</v>
      </c>
      <c r="L2284" s="97" t="s">
        <v>112</v>
      </c>
      <c r="M2284" s="97" t="s">
        <v>112</v>
      </c>
      <c r="N2284" s="97" t="s">
        <v>112</v>
      </c>
      <c r="O2284" s="97" t="s">
        <v>112</v>
      </c>
      <c r="P2284" s="97" t="s">
        <v>112</v>
      </c>
      <c r="Q2284" s="97" t="s">
        <v>112</v>
      </c>
      <c r="R2284" s="97" t="s">
        <v>112</v>
      </c>
      <c r="S2284" s="97" t="s">
        <v>112</v>
      </c>
      <c r="T2284" s="97" t="s">
        <v>112</v>
      </c>
      <c r="U2284" s="97" t="s">
        <v>112</v>
      </c>
      <c r="V2284" s="97" t="s">
        <v>112</v>
      </c>
      <c r="W2284" s="97" t="s">
        <v>112</v>
      </c>
      <c r="X2284" s="97" t="s">
        <v>112</v>
      </c>
      <c r="Y2284" s="97" t="s">
        <v>112</v>
      </c>
      <c r="Z2284" s="97" t="s">
        <v>112</v>
      </c>
      <c r="AA2284" s="97" t="s">
        <v>112</v>
      </c>
      <c r="AB2284" s="97" t="s">
        <v>112</v>
      </c>
      <c r="AC2284" s="97" t="s">
        <v>112</v>
      </c>
      <c r="AD2284" s="97" t="s">
        <v>112</v>
      </c>
      <c r="AE2284" s="97">
        <v>6373.079357412118</v>
      </c>
      <c r="AF2284" s="97">
        <v>6373.079357412118</v>
      </c>
      <c r="AG2284" s="97">
        <v>6373.079357412118</v>
      </c>
      <c r="AH2284" s="97">
        <v>6373.079357412118</v>
      </c>
      <c r="AI2284" s="97">
        <v>6373.079357412118</v>
      </c>
      <c r="AJ2284" s="97">
        <v>6373.079357412118</v>
      </c>
      <c r="AK2284" s="97">
        <v>6373.079357412118</v>
      </c>
      <c r="AL2284" s="97">
        <v>6373.079357412118</v>
      </c>
      <c r="AM2284" s="97">
        <v>6373.079357412118</v>
      </c>
      <c r="AN2284" s="97">
        <v>6373.079357412118</v>
      </c>
      <c r="AO2284" s="97">
        <v>6373.079357412118</v>
      </c>
      <c r="AP2284" s="97">
        <v>6373.079357412118</v>
      </c>
      <c r="AQ2284" s="97">
        <v>6373.079357412118</v>
      </c>
      <c r="AR2284" s="97">
        <v>6373.079357412118</v>
      </c>
      <c r="AS2284" s="97">
        <v>6373.079357412118</v>
      </c>
      <c r="AT2284" s="97">
        <v>6373.079357412118</v>
      </c>
      <c r="AU2284" s="97">
        <v>6373.079357412118</v>
      </c>
      <c r="AV2284" s="97">
        <v>6373.079357412118</v>
      </c>
      <c r="AW2284" s="97">
        <v>6373.079357412118</v>
      </c>
      <c r="AX2284" s="98">
        <v>6373.079357412118</v>
      </c>
    </row>
    <row r="2285" spans="1:50" x14ac:dyDescent="0.25">
      <c r="A2285" s="356"/>
      <c r="B2285" s="359"/>
      <c r="C2285" s="361" t="s">
        <v>16</v>
      </c>
      <c r="D2285" s="2" t="s">
        <v>7</v>
      </c>
      <c r="E2285" s="160" t="str">
        <f>A2259&amp;"/"&amp;B2275&amp;"/"&amp;C2285&amp;"/"&amp;D2285</f>
        <v>Fuel oil fired power plants/Steam turbine/CHP with CCS/L</v>
      </c>
      <c r="F2285" s="76" t="str">
        <f>A2259</f>
        <v>Fuel oil fired power plants</v>
      </c>
      <c r="G2285" s="76" t="str">
        <f>B2275</f>
        <v>Steam turbine</v>
      </c>
      <c r="H2285" s="76" t="str">
        <f>C2285</f>
        <v>CHP with CCS</v>
      </c>
      <c r="I2285" s="161" t="str">
        <f t="shared" si="116"/>
        <v>L</v>
      </c>
      <c r="J2285" s="91" t="s">
        <v>112</v>
      </c>
      <c r="K2285" s="91" t="s">
        <v>112</v>
      </c>
      <c r="L2285" s="91" t="s">
        <v>112</v>
      </c>
      <c r="M2285" s="91" t="s">
        <v>112</v>
      </c>
      <c r="N2285" s="91" t="s">
        <v>112</v>
      </c>
      <c r="O2285" s="91" t="s">
        <v>112</v>
      </c>
      <c r="P2285" s="91" t="s">
        <v>112</v>
      </c>
      <c r="Q2285" s="91" t="s">
        <v>112</v>
      </c>
      <c r="R2285" s="91" t="s">
        <v>112</v>
      </c>
      <c r="S2285" s="91" t="s">
        <v>112</v>
      </c>
      <c r="T2285" s="91" t="s">
        <v>112</v>
      </c>
      <c r="U2285" s="91" t="s">
        <v>112</v>
      </c>
      <c r="V2285" s="91" t="s">
        <v>112</v>
      </c>
      <c r="W2285" s="91" t="s">
        <v>112</v>
      </c>
      <c r="X2285" s="91" t="s">
        <v>112</v>
      </c>
      <c r="Y2285" s="91" t="s">
        <v>112</v>
      </c>
      <c r="Z2285" s="91" t="s">
        <v>112</v>
      </c>
      <c r="AA2285" s="91" t="s">
        <v>112</v>
      </c>
      <c r="AB2285" s="91" t="s">
        <v>112</v>
      </c>
      <c r="AC2285" s="91" t="s">
        <v>112</v>
      </c>
      <c r="AD2285" s="91" t="s">
        <v>112</v>
      </c>
      <c r="AE2285" s="91">
        <v>6267.5</v>
      </c>
      <c r="AF2285" s="91">
        <v>6267.5</v>
      </c>
      <c r="AG2285" s="91">
        <v>6267.5</v>
      </c>
      <c r="AH2285" s="91">
        <v>6267.5</v>
      </c>
      <c r="AI2285" s="91">
        <v>6267.5</v>
      </c>
      <c r="AJ2285" s="91">
        <v>6267.5</v>
      </c>
      <c r="AK2285" s="91">
        <v>6267.5</v>
      </c>
      <c r="AL2285" s="91">
        <v>6267.5</v>
      </c>
      <c r="AM2285" s="91">
        <v>6267.5</v>
      </c>
      <c r="AN2285" s="91">
        <v>6267.5</v>
      </c>
      <c r="AO2285" s="91">
        <v>6267.5</v>
      </c>
      <c r="AP2285" s="91">
        <v>6267.5</v>
      </c>
      <c r="AQ2285" s="91">
        <v>6267.5</v>
      </c>
      <c r="AR2285" s="91">
        <v>6267.5</v>
      </c>
      <c r="AS2285" s="91">
        <v>6267.5</v>
      </c>
      <c r="AT2285" s="91">
        <v>6267.5</v>
      </c>
      <c r="AU2285" s="91">
        <v>6267.5</v>
      </c>
      <c r="AV2285" s="91">
        <v>6267.5</v>
      </c>
      <c r="AW2285" s="91">
        <v>6267.5</v>
      </c>
      <c r="AX2285" s="92">
        <v>6267.5</v>
      </c>
    </row>
    <row r="2286" spans="1:50" x14ac:dyDescent="0.25">
      <c r="A2286" s="357"/>
      <c r="B2286" s="362"/>
      <c r="C2286" s="354"/>
      <c r="D2286" s="4" t="s">
        <v>8</v>
      </c>
      <c r="E2286" s="168" t="str">
        <f>A2259&amp;"/"&amp;B2275&amp;"/"&amp;C2285&amp;"/"&amp;D2286</f>
        <v>Fuel oil fired power plants/Steam turbine/CHP with CCS/M</v>
      </c>
      <c r="F2286" s="80" t="str">
        <f>A2259</f>
        <v>Fuel oil fired power plants</v>
      </c>
      <c r="G2286" s="80" t="str">
        <f>B2275</f>
        <v>Steam turbine</v>
      </c>
      <c r="H2286" s="80" t="str">
        <f>C2285</f>
        <v>CHP with CCS</v>
      </c>
      <c r="I2286" s="169" t="str">
        <f t="shared" si="116"/>
        <v>M</v>
      </c>
      <c r="J2286" s="99" t="s">
        <v>112</v>
      </c>
      <c r="K2286" s="99" t="s">
        <v>112</v>
      </c>
      <c r="L2286" s="99" t="s">
        <v>112</v>
      </c>
      <c r="M2286" s="99" t="s">
        <v>112</v>
      </c>
      <c r="N2286" s="99" t="s">
        <v>112</v>
      </c>
      <c r="O2286" s="99" t="s">
        <v>112</v>
      </c>
      <c r="P2286" s="99" t="s">
        <v>112</v>
      </c>
      <c r="Q2286" s="99" t="s">
        <v>112</v>
      </c>
      <c r="R2286" s="99" t="s">
        <v>112</v>
      </c>
      <c r="S2286" s="99" t="s">
        <v>112</v>
      </c>
      <c r="T2286" s="99" t="s">
        <v>112</v>
      </c>
      <c r="U2286" s="99" t="s">
        <v>112</v>
      </c>
      <c r="V2286" s="99" t="s">
        <v>112</v>
      </c>
      <c r="W2286" s="99" t="s">
        <v>112</v>
      </c>
      <c r="X2286" s="99" t="s">
        <v>112</v>
      </c>
      <c r="Y2286" s="99" t="s">
        <v>112</v>
      </c>
      <c r="Z2286" s="99" t="s">
        <v>112</v>
      </c>
      <c r="AA2286" s="99" t="s">
        <v>112</v>
      </c>
      <c r="AB2286" s="99" t="s">
        <v>112</v>
      </c>
      <c r="AC2286" s="99" t="s">
        <v>112</v>
      </c>
      <c r="AD2286" s="99" t="s">
        <v>112</v>
      </c>
      <c r="AE2286" s="99">
        <v>5761.4043537247144</v>
      </c>
      <c r="AF2286" s="99">
        <v>5761.4043537247144</v>
      </c>
      <c r="AG2286" s="99">
        <v>5761.4043537247144</v>
      </c>
      <c r="AH2286" s="99">
        <v>5761.4043537247144</v>
      </c>
      <c r="AI2286" s="99">
        <v>5761.4043537247144</v>
      </c>
      <c r="AJ2286" s="99">
        <v>5761.4043537247144</v>
      </c>
      <c r="AK2286" s="99">
        <v>5761.4043537247144</v>
      </c>
      <c r="AL2286" s="99">
        <v>5761.4043537247144</v>
      </c>
      <c r="AM2286" s="99">
        <v>5761.4043537247144</v>
      </c>
      <c r="AN2286" s="99">
        <v>5761.4043537247144</v>
      </c>
      <c r="AO2286" s="99">
        <v>5761.4043537247144</v>
      </c>
      <c r="AP2286" s="99">
        <v>5761.4043537247144</v>
      </c>
      <c r="AQ2286" s="99">
        <v>5761.4043537247144</v>
      </c>
      <c r="AR2286" s="99">
        <v>5761.4043537247144</v>
      </c>
      <c r="AS2286" s="99">
        <v>5761.4043537247144</v>
      </c>
      <c r="AT2286" s="99">
        <v>5761.4043537247144</v>
      </c>
      <c r="AU2286" s="99">
        <v>5761.4043537247144</v>
      </c>
      <c r="AV2286" s="99">
        <v>5761.4043537247144</v>
      </c>
      <c r="AW2286" s="99">
        <v>5761.4043537247144</v>
      </c>
      <c r="AX2286" s="100">
        <v>5761.4043537247144</v>
      </c>
    </row>
    <row r="2287" spans="1:50" x14ac:dyDescent="0.25">
      <c r="A2287" s="355" t="s">
        <v>30</v>
      </c>
      <c r="B2287" s="358" t="s">
        <v>13</v>
      </c>
      <c r="C2287" s="353" t="s">
        <v>6</v>
      </c>
      <c r="D2287" s="3" t="s">
        <v>7</v>
      </c>
      <c r="E2287" s="162" t="str">
        <f>A2287&amp;"/"&amp;B2287&amp;"/"&amp;C2287&amp;"/"&amp;D2287</f>
        <v>Biomass and waste fired power plants/Integrated gasification combined cycle/Electricity only/L</v>
      </c>
      <c r="F2287" s="77" t="str">
        <f>A2287</f>
        <v>Biomass and waste fired power plants</v>
      </c>
      <c r="G2287" s="77" t="str">
        <f>B2287</f>
        <v>Integrated gasification combined cycle</v>
      </c>
      <c r="H2287" s="77" t="str">
        <f>C2287</f>
        <v>Electricity only</v>
      </c>
      <c r="I2287" s="163" t="str">
        <f t="shared" si="116"/>
        <v>L</v>
      </c>
      <c r="J2287" s="93">
        <v>8425</v>
      </c>
      <c r="K2287" s="93">
        <v>8425</v>
      </c>
      <c r="L2287" s="93">
        <v>8425</v>
      </c>
      <c r="M2287" s="93">
        <v>8425</v>
      </c>
      <c r="N2287" s="93">
        <v>8425</v>
      </c>
      <c r="O2287" s="93">
        <v>8425</v>
      </c>
      <c r="P2287" s="93">
        <v>8425</v>
      </c>
      <c r="Q2287" s="93">
        <v>8425</v>
      </c>
      <c r="R2287" s="93">
        <v>8425</v>
      </c>
      <c r="S2287" s="93">
        <v>8425</v>
      </c>
      <c r="T2287" s="93">
        <v>8425</v>
      </c>
      <c r="U2287" s="93">
        <v>8425</v>
      </c>
      <c r="V2287" s="93">
        <v>8425</v>
      </c>
      <c r="W2287" s="93">
        <v>8425</v>
      </c>
      <c r="X2287" s="93">
        <v>8425</v>
      </c>
      <c r="Y2287" s="93">
        <v>8425</v>
      </c>
      <c r="Z2287" s="93">
        <v>8425</v>
      </c>
      <c r="AA2287" s="93">
        <v>8425</v>
      </c>
      <c r="AB2287" s="93">
        <v>8425</v>
      </c>
      <c r="AC2287" s="93">
        <v>8425</v>
      </c>
      <c r="AD2287" s="93">
        <v>8425</v>
      </c>
      <c r="AE2287" s="93">
        <v>8425</v>
      </c>
      <c r="AF2287" s="93">
        <v>8425</v>
      </c>
      <c r="AG2287" s="93">
        <v>8425</v>
      </c>
      <c r="AH2287" s="93">
        <v>8425</v>
      </c>
      <c r="AI2287" s="93">
        <v>8425</v>
      </c>
      <c r="AJ2287" s="93">
        <v>8425</v>
      </c>
      <c r="AK2287" s="93">
        <v>8425</v>
      </c>
      <c r="AL2287" s="93">
        <v>8425</v>
      </c>
      <c r="AM2287" s="93">
        <v>8425</v>
      </c>
      <c r="AN2287" s="93">
        <v>8425</v>
      </c>
      <c r="AO2287" s="93">
        <v>8425</v>
      </c>
      <c r="AP2287" s="93">
        <v>8425</v>
      </c>
      <c r="AQ2287" s="93">
        <v>8425</v>
      </c>
      <c r="AR2287" s="93">
        <v>8425</v>
      </c>
      <c r="AS2287" s="93">
        <v>8425</v>
      </c>
      <c r="AT2287" s="93">
        <v>8425</v>
      </c>
      <c r="AU2287" s="93">
        <v>8425</v>
      </c>
      <c r="AV2287" s="93">
        <v>8425</v>
      </c>
      <c r="AW2287" s="93">
        <v>8425</v>
      </c>
      <c r="AX2287" s="94">
        <v>8425</v>
      </c>
    </row>
    <row r="2288" spans="1:50" x14ac:dyDescent="0.25">
      <c r="A2288" s="356"/>
      <c r="B2288" s="359"/>
      <c r="C2288" s="360"/>
      <c r="D2288" s="2" t="s">
        <v>8</v>
      </c>
      <c r="E2288" s="160" t="str">
        <f>A2287&amp;"/"&amp;B2287&amp;"/"&amp;C2287&amp;"/"&amp;D2288</f>
        <v>Biomass and waste fired power plants/Integrated gasification combined cycle/Electricity only/M</v>
      </c>
      <c r="F2288" s="76" t="str">
        <f>A2287</f>
        <v>Biomass and waste fired power plants</v>
      </c>
      <c r="G2288" s="76" t="str">
        <f>B2287</f>
        <v>Integrated gasification combined cycle</v>
      </c>
      <c r="H2288" s="76" t="str">
        <f>C2287</f>
        <v>Electricity only</v>
      </c>
      <c r="I2288" s="161" t="str">
        <f t="shared" si="116"/>
        <v>M</v>
      </c>
      <c r="J2288" s="91">
        <v>7256.9815829792778</v>
      </c>
      <c r="K2288" s="91">
        <v>7256.9815829792778</v>
      </c>
      <c r="L2288" s="91">
        <v>7256.9815829792778</v>
      </c>
      <c r="M2288" s="91">
        <v>7256.9815829792778</v>
      </c>
      <c r="N2288" s="91">
        <v>7256.9815829792778</v>
      </c>
      <c r="O2288" s="91">
        <v>7256.9815829792778</v>
      </c>
      <c r="P2288" s="91">
        <v>7256.9815829792778</v>
      </c>
      <c r="Q2288" s="91">
        <v>7256.9815829792778</v>
      </c>
      <c r="R2288" s="91">
        <v>7256.9815829792778</v>
      </c>
      <c r="S2288" s="91">
        <v>7256.9815829792778</v>
      </c>
      <c r="T2288" s="91">
        <v>7256.9815829792778</v>
      </c>
      <c r="U2288" s="91">
        <v>7256.9815829792778</v>
      </c>
      <c r="V2288" s="91">
        <v>7256.9815829792778</v>
      </c>
      <c r="W2288" s="91">
        <v>7256.9815829792778</v>
      </c>
      <c r="X2288" s="91">
        <v>7256.9815829792778</v>
      </c>
      <c r="Y2288" s="91">
        <v>7256.9815829792778</v>
      </c>
      <c r="Z2288" s="91">
        <v>7256.9815829792778</v>
      </c>
      <c r="AA2288" s="91">
        <v>7256.9815829792778</v>
      </c>
      <c r="AB2288" s="91">
        <v>7256.9815829792778</v>
      </c>
      <c r="AC2288" s="91">
        <v>7256.9815829792778</v>
      </c>
      <c r="AD2288" s="91">
        <v>7256.9815829792778</v>
      </c>
      <c r="AE2288" s="91">
        <v>7256.9815829792778</v>
      </c>
      <c r="AF2288" s="91">
        <v>7256.9815829792778</v>
      </c>
      <c r="AG2288" s="91">
        <v>7256.9815829792778</v>
      </c>
      <c r="AH2288" s="91">
        <v>7256.9815829792778</v>
      </c>
      <c r="AI2288" s="91">
        <v>7256.9815829792778</v>
      </c>
      <c r="AJ2288" s="91">
        <v>7256.9815829792778</v>
      </c>
      <c r="AK2288" s="91">
        <v>7256.9815829792778</v>
      </c>
      <c r="AL2288" s="91">
        <v>7256.9815829792778</v>
      </c>
      <c r="AM2288" s="91">
        <v>7256.9815829792778</v>
      </c>
      <c r="AN2288" s="91">
        <v>7256.9815829792778</v>
      </c>
      <c r="AO2288" s="91">
        <v>7256.9815829792778</v>
      </c>
      <c r="AP2288" s="91">
        <v>7256.9815829792778</v>
      </c>
      <c r="AQ2288" s="91">
        <v>7256.9815829792778</v>
      </c>
      <c r="AR2288" s="91">
        <v>7256.9815829792778</v>
      </c>
      <c r="AS2288" s="91">
        <v>7256.9815829792778</v>
      </c>
      <c r="AT2288" s="91">
        <v>7256.9815829792778</v>
      </c>
      <c r="AU2288" s="91">
        <v>7256.9815829792778</v>
      </c>
      <c r="AV2288" s="91">
        <v>7256.9815829792778</v>
      </c>
      <c r="AW2288" s="91">
        <v>7256.9815829792778</v>
      </c>
      <c r="AX2288" s="92">
        <v>7256.9815829792778</v>
      </c>
    </row>
    <row r="2289" spans="1:50" x14ac:dyDescent="0.25">
      <c r="A2289" s="356"/>
      <c r="B2289" s="359"/>
      <c r="C2289" s="361" t="s">
        <v>14</v>
      </c>
      <c r="D2289" s="58" t="s">
        <v>7</v>
      </c>
      <c r="E2289" s="164" t="str">
        <f>A2287&amp;"/"&amp;B2287&amp;"/"&amp;C2289&amp;"/"&amp;D2289</f>
        <v>Biomass and waste fired power plants/Integrated gasification combined cycle/CHP/L</v>
      </c>
      <c r="F2289" s="78" t="str">
        <f>A2287</f>
        <v>Biomass and waste fired power plants</v>
      </c>
      <c r="G2289" s="78" t="str">
        <f>B2287</f>
        <v>Integrated gasification combined cycle</v>
      </c>
      <c r="H2289" s="78" t="str">
        <f>C2289</f>
        <v>CHP</v>
      </c>
      <c r="I2289" s="165" t="str">
        <f t="shared" si="116"/>
        <v>L</v>
      </c>
      <c r="J2289" s="95">
        <v>8015</v>
      </c>
      <c r="K2289" s="95">
        <v>8015</v>
      </c>
      <c r="L2289" s="95">
        <v>8015</v>
      </c>
      <c r="M2289" s="95">
        <v>8015</v>
      </c>
      <c r="N2289" s="95">
        <v>8015</v>
      </c>
      <c r="O2289" s="95">
        <v>8015</v>
      </c>
      <c r="P2289" s="95">
        <v>8015</v>
      </c>
      <c r="Q2289" s="95">
        <v>8015</v>
      </c>
      <c r="R2289" s="95">
        <v>8015</v>
      </c>
      <c r="S2289" s="95">
        <v>8015</v>
      </c>
      <c r="T2289" s="95">
        <v>8015</v>
      </c>
      <c r="U2289" s="95">
        <v>8015</v>
      </c>
      <c r="V2289" s="95">
        <v>8015</v>
      </c>
      <c r="W2289" s="95">
        <v>8015</v>
      </c>
      <c r="X2289" s="95">
        <v>8015</v>
      </c>
      <c r="Y2289" s="95">
        <v>8015</v>
      </c>
      <c r="Z2289" s="95">
        <v>8015</v>
      </c>
      <c r="AA2289" s="95">
        <v>8015</v>
      </c>
      <c r="AB2289" s="95">
        <v>8015</v>
      </c>
      <c r="AC2289" s="95">
        <v>8015</v>
      </c>
      <c r="AD2289" s="95">
        <v>8015</v>
      </c>
      <c r="AE2289" s="95">
        <v>8015</v>
      </c>
      <c r="AF2289" s="95">
        <v>8015</v>
      </c>
      <c r="AG2289" s="95">
        <v>8015</v>
      </c>
      <c r="AH2289" s="95">
        <v>8015</v>
      </c>
      <c r="AI2289" s="95">
        <v>8015</v>
      </c>
      <c r="AJ2289" s="95">
        <v>8015</v>
      </c>
      <c r="AK2289" s="95">
        <v>8015</v>
      </c>
      <c r="AL2289" s="95">
        <v>8015</v>
      </c>
      <c r="AM2289" s="95">
        <v>8015</v>
      </c>
      <c r="AN2289" s="95">
        <v>8015</v>
      </c>
      <c r="AO2289" s="95">
        <v>8015</v>
      </c>
      <c r="AP2289" s="95">
        <v>8015</v>
      </c>
      <c r="AQ2289" s="95">
        <v>8015</v>
      </c>
      <c r="AR2289" s="95">
        <v>8015</v>
      </c>
      <c r="AS2289" s="95">
        <v>8015</v>
      </c>
      <c r="AT2289" s="95">
        <v>8015</v>
      </c>
      <c r="AU2289" s="95">
        <v>8015</v>
      </c>
      <c r="AV2289" s="95">
        <v>8015</v>
      </c>
      <c r="AW2289" s="95">
        <v>8015</v>
      </c>
      <c r="AX2289" s="96">
        <v>8015</v>
      </c>
    </row>
    <row r="2290" spans="1:50" x14ac:dyDescent="0.25">
      <c r="A2290" s="356"/>
      <c r="B2290" s="359"/>
      <c r="C2290" s="360"/>
      <c r="D2290" s="59" t="s">
        <v>8</v>
      </c>
      <c r="E2290" s="166" t="str">
        <f>A2287&amp;"/"&amp;B2287&amp;"/"&amp;C2289&amp;"/"&amp;D2290</f>
        <v>Biomass and waste fired power plants/Integrated gasification combined cycle/CHP/M</v>
      </c>
      <c r="F2290" s="79" t="str">
        <f>A2287</f>
        <v>Biomass and waste fired power plants</v>
      </c>
      <c r="G2290" s="79" t="str">
        <f>B2287</f>
        <v>Integrated gasification combined cycle</v>
      </c>
      <c r="H2290" s="79" t="str">
        <f>C2289</f>
        <v>CHP</v>
      </c>
      <c r="I2290" s="167" t="str">
        <f t="shared" si="116"/>
        <v>M</v>
      </c>
      <c r="J2290" s="97">
        <v>6620.8788477079579</v>
      </c>
      <c r="K2290" s="97">
        <v>6620.8788477079579</v>
      </c>
      <c r="L2290" s="97">
        <v>6620.8788477079579</v>
      </c>
      <c r="M2290" s="97">
        <v>6620.8788477079579</v>
      </c>
      <c r="N2290" s="97">
        <v>6620.8788477079579</v>
      </c>
      <c r="O2290" s="97">
        <v>6620.8788477079579</v>
      </c>
      <c r="P2290" s="97">
        <v>6620.8788477079579</v>
      </c>
      <c r="Q2290" s="97">
        <v>6620.8788477079579</v>
      </c>
      <c r="R2290" s="97">
        <v>6620.8788477079579</v>
      </c>
      <c r="S2290" s="97">
        <v>6620.8788477079579</v>
      </c>
      <c r="T2290" s="97">
        <v>6620.8788477079579</v>
      </c>
      <c r="U2290" s="97">
        <v>6620.8788477079579</v>
      </c>
      <c r="V2290" s="97">
        <v>6620.8788477079579</v>
      </c>
      <c r="W2290" s="97">
        <v>6620.8788477079579</v>
      </c>
      <c r="X2290" s="97">
        <v>6620.8788477079579</v>
      </c>
      <c r="Y2290" s="97">
        <v>6620.8788477079579</v>
      </c>
      <c r="Z2290" s="97">
        <v>6620.8788477079579</v>
      </c>
      <c r="AA2290" s="97">
        <v>6620.8788477079579</v>
      </c>
      <c r="AB2290" s="97">
        <v>6620.8788477079579</v>
      </c>
      <c r="AC2290" s="97">
        <v>6620.8788477079579</v>
      </c>
      <c r="AD2290" s="97">
        <v>6620.8788477079579</v>
      </c>
      <c r="AE2290" s="97">
        <v>6620.8788477079579</v>
      </c>
      <c r="AF2290" s="97">
        <v>6620.8788477079579</v>
      </c>
      <c r="AG2290" s="97">
        <v>6620.8788477079579</v>
      </c>
      <c r="AH2290" s="97">
        <v>6620.8788477079579</v>
      </c>
      <c r="AI2290" s="97">
        <v>6620.8788477079579</v>
      </c>
      <c r="AJ2290" s="97">
        <v>6620.8788477079579</v>
      </c>
      <c r="AK2290" s="97">
        <v>6620.8788477079579</v>
      </c>
      <c r="AL2290" s="97">
        <v>6620.8788477079579</v>
      </c>
      <c r="AM2290" s="97">
        <v>6620.8788477079579</v>
      </c>
      <c r="AN2290" s="97">
        <v>6620.8788477079579</v>
      </c>
      <c r="AO2290" s="97">
        <v>6620.8788477079579</v>
      </c>
      <c r="AP2290" s="97">
        <v>6620.8788477079579</v>
      </c>
      <c r="AQ2290" s="97">
        <v>6620.8788477079579</v>
      </c>
      <c r="AR2290" s="97">
        <v>6620.8788477079579</v>
      </c>
      <c r="AS2290" s="97">
        <v>6620.8788477079579</v>
      </c>
      <c r="AT2290" s="97">
        <v>6620.8788477079579</v>
      </c>
      <c r="AU2290" s="97">
        <v>6620.8788477079579</v>
      </c>
      <c r="AV2290" s="97">
        <v>6620.8788477079579</v>
      </c>
      <c r="AW2290" s="97">
        <v>6620.8788477079579</v>
      </c>
      <c r="AX2290" s="98">
        <v>6620.8788477079579</v>
      </c>
    </row>
    <row r="2291" spans="1:50" x14ac:dyDescent="0.25">
      <c r="A2291" s="356"/>
      <c r="B2291" s="359"/>
      <c r="C2291" s="361" t="s">
        <v>15</v>
      </c>
      <c r="D2291" s="58" t="s">
        <v>7</v>
      </c>
      <c r="E2291" s="164" t="str">
        <f>A2287&amp;"/"&amp;B2287&amp;"/"&amp;C2291&amp;"/"&amp;D2291</f>
        <v>Biomass and waste fired power plants/Integrated gasification combined cycle/Electricity only with CCS/L</v>
      </c>
      <c r="F2291" s="78" t="str">
        <f>A2287</f>
        <v>Biomass and waste fired power plants</v>
      </c>
      <c r="G2291" s="78" t="str">
        <f>B2287</f>
        <v>Integrated gasification combined cycle</v>
      </c>
      <c r="H2291" s="78" t="str">
        <f>C2291</f>
        <v>Electricity only with CCS</v>
      </c>
      <c r="I2291" s="165" t="str">
        <f t="shared" si="116"/>
        <v>L</v>
      </c>
      <c r="J2291" s="95" t="s">
        <v>112</v>
      </c>
      <c r="K2291" s="95" t="s">
        <v>112</v>
      </c>
      <c r="L2291" s="95" t="s">
        <v>112</v>
      </c>
      <c r="M2291" s="95" t="s">
        <v>112</v>
      </c>
      <c r="N2291" s="95" t="s">
        <v>112</v>
      </c>
      <c r="O2291" s="95" t="s">
        <v>112</v>
      </c>
      <c r="P2291" s="95" t="s">
        <v>112</v>
      </c>
      <c r="Q2291" s="95" t="s">
        <v>112</v>
      </c>
      <c r="R2291" s="95" t="s">
        <v>112</v>
      </c>
      <c r="S2291" s="95" t="s">
        <v>112</v>
      </c>
      <c r="T2291" s="95" t="s">
        <v>112</v>
      </c>
      <c r="U2291" s="95" t="s">
        <v>112</v>
      </c>
      <c r="V2291" s="95" t="s">
        <v>112</v>
      </c>
      <c r="W2291" s="95" t="s">
        <v>112</v>
      </c>
      <c r="X2291" s="95" t="s">
        <v>112</v>
      </c>
      <c r="Y2291" s="95" t="s">
        <v>112</v>
      </c>
      <c r="Z2291" s="95" t="s">
        <v>112</v>
      </c>
      <c r="AA2291" s="95" t="s">
        <v>112</v>
      </c>
      <c r="AB2291" s="95" t="s">
        <v>112</v>
      </c>
      <c r="AC2291" s="95" t="s">
        <v>112</v>
      </c>
      <c r="AD2291" s="95" t="s">
        <v>112</v>
      </c>
      <c r="AE2291" s="95">
        <v>8425</v>
      </c>
      <c r="AF2291" s="95">
        <v>8425</v>
      </c>
      <c r="AG2291" s="95">
        <v>8425</v>
      </c>
      <c r="AH2291" s="95">
        <v>8425</v>
      </c>
      <c r="AI2291" s="95">
        <v>8425</v>
      </c>
      <c r="AJ2291" s="95">
        <v>8425</v>
      </c>
      <c r="AK2291" s="95">
        <v>8425</v>
      </c>
      <c r="AL2291" s="95">
        <v>8425</v>
      </c>
      <c r="AM2291" s="95">
        <v>8425</v>
      </c>
      <c r="AN2291" s="95">
        <v>8425</v>
      </c>
      <c r="AO2291" s="95">
        <v>8425</v>
      </c>
      <c r="AP2291" s="95">
        <v>8425</v>
      </c>
      <c r="AQ2291" s="95">
        <v>8425</v>
      </c>
      <c r="AR2291" s="95">
        <v>8425</v>
      </c>
      <c r="AS2291" s="95">
        <v>8425</v>
      </c>
      <c r="AT2291" s="95">
        <v>8425</v>
      </c>
      <c r="AU2291" s="95">
        <v>8425</v>
      </c>
      <c r="AV2291" s="95">
        <v>8425</v>
      </c>
      <c r="AW2291" s="95">
        <v>8425</v>
      </c>
      <c r="AX2291" s="96">
        <v>8425</v>
      </c>
    </row>
    <row r="2292" spans="1:50" x14ac:dyDescent="0.25">
      <c r="A2292" s="356"/>
      <c r="B2292" s="359"/>
      <c r="C2292" s="360"/>
      <c r="D2292" s="59" t="s">
        <v>8</v>
      </c>
      <c r="E2292" s="166" t="str">
        <f>A2287&amp;"/"&amp;B2287&amp;"/"&amp;C2291&amp;"/"&amp;D2292</f>
        <v>Biomass and waste fired power plants/Integrated gasification combined cycle/Electricity only with CCS/M</v>
      </c>
      <c r="F2292" s="79" t="str">
        <f>A2287</f>
        <v>Biomass and waste fired power plants</v>
      </c>
      <c r="G2292" s="79" t="str">
        <f>B2287</f>
        <v>Integrated gasification combined cycle</v>
      </c>
      <c r="H2292" s="79" t="str">
        <f>C2291</f>
        <v>Electricity only with CCS</v>
      </c>
      <c r="I2292" s="167" t="str">
        <f t="shared" si="116"/>
        <v>M</v>
      </c>
      <c r="J2292" s="97" t="s">
        <v>112</v>
      </c>
      <c r="K2292" s="97" t="s">
        <v>112</v>
      </c>
      <c r="L2292" s="97" t="s">
        <v>112</v>
      </c>
      <c r="M2292" s="97" t="s">
        <v>112</v>
      </c>
      <c r="N2292" s="97" t="s">
        <v>112</v>
      </c>
      <c r="O2292" s="97" t="s">
        <v>112</v>
      </c>
      <c r="P2292" s="97" t="s">
        <v>112</v>
      </c>
      <c r="Q2292" s="97" t="s">
        <v>112</v>
      </c>
      <c r="R2292" s="97" t="s">
        <v>112</v>
      </c>
      <c r="S2292" s="97" t="s">
        <v>112</v>
      </c>
      <c r="T2292" s="97" t="s">
        <v>112</v>
      </c>
      <c r="U2292" s="97" t="s">
        <v>112</v>
      </c>
      <c r="V2292" s="97" t="s">
        <v>112</v>
      </c>
      <c r="W2292" s="97" t="s">
        <v>112</v>
      </c>
      <c r="X2292" s="97" t="s">
        <v>112</v>
      </c>
      <c r="Y2292" s="97" t="s">
        <v>112</v>
      </c>
      <c r="Z2292" s="97" t="s">
        <v>112</v>
      </c>
      <c r="AA2292" s="97" t="s">
        <v>112</v>
      </c>
      <c r="AB2292" s="97" t="s">
        <v>112</v>
      </c>
      <c r="AC2292" s="97" t="s">
        <v>112</v>
      </c>
      <c r="AD2292" s="97" t="s">
        <v>112</v>
      </c>
      <c r="AE2292" s="97">
        <v>7256.9815829792778</v>
      </c>
      <c r="AF2292" s="97">
        <v>7256.9815829792778</v>
      </c>
      <c r="AG2292" s="97">
        <v>7256.9815829792778</v>
      </c>
      <c r="AH2292" s="97">
        <v>7256.9815829792778</v>
      </c>
      <c r="AI2292" s="97">
        <v>7256.9815829792778</v>
      </c>
      <c r="AJ2292" s="97">
        <v>7256.9815829792778</v>
      </c>
      <c r="AK2292" s="97">
        <v>7256.9815829792778</v>
      </c>
      <c r="AL2292" s="97">
        <v>7256.9815829792778</v>
      </c>
      <c r="AM2292" s="97">
        <v>7256.9815829792778</v>
      </c>
      <c r="AN2292" s="97">
        <v>7256.9815829792778</v>
      </c>
      <c r="AO2292" s="97">
        <v>7256.9815829792778</v>
      </c>
      <c r="AP2292" s="97">
        <v>7256.9815829792778</v>
      </c>
      <c r="AQ2292" s="97">
        <v>7256.9815829792778</v>
      </c>
      <c r="AR2292" s="97">
        <v>7256.9815829792778</v>
      </c>
      <c r="AS2292" s="97">
        <v>7256.9815829792778</v>
      </c>
      <c r="AT2292" s="97">
        <v>7256.9815829792778</v>
      </c>
      <c r="AU2292" s="97">
        <v>7256.9815829792778</v>
      </c>
      <c r="AV2292" s="97">
        <v>7256.9815829792778</v>
      </c>
      <c r="AW2292" s="97">
        <v>7256.9815829792778</v>
      </c>
      <c r="AX2292" s="98">
        <v>7256.9815829792778</v>
      </c>
    </row>
    <row r="2293" spans="1:50" x14ac:dyDescent="0.25">
      <c r="A2293" s="356"/>
      <c r="B2293" s="359"/>
      <c r="C2293" s="361" t="s">
        <v>16</v>
      </c>
      <c r="D2293" s="2" t="s">
        <v>7</v>
      </c>
      <c r="E2293" s="160" t="str">
        <f>A2287&amp;"/"&amp;B2287&amp;"/"&amp;C2293&amp;"/"&amp;D2293</f>
        <v>Biomass and waste fired power plants/Integrated gasification combined cycle/CHP with CCS/L</v>
      </c>
      <c r="F2293" s="76" t="str">
        <f>A2287</f>
        <v>Biomass and waste fired power plants</v>
      </c>
      <c r="G2293" s="76" t="str">
        <f>B2287</f>
        <v>Integrated gasification combined cycle</v>
      </c>
      <c r="H2293" s="76" t="str">
        <f>C2293</f>
        <v>CHP with CCS</v>
      </c>
      <c r="I2293" s="161" t="str">
        <f t="shared" si="116"/>
        <v>L</v>
      </c>
      <c r="J2293" s="91" t="s">
        <v>112</v>
      </c>
      <c r="K2293" s="91" t="s">
        <v>112</v>
      </c>
      <c r="L2293" s="91" t="s">
        <v>112</v>
      </c>
      <c r="M2293" s="91" t="s">
        <v>112</v>
      </c>
      <c r="N2293" s="91" t="s">
        <v>112</v>
      </c>
      <c r="O2293" s="91" t="s">
        <v>112</v>
      </c>
      <c r="P2293" s="91" t="s">
        <v>112</v>
      </c>
      <c r="Q2293" s="91" t="s">
        <v>112</v>
      </c>
      <c r="R2293" s="91" t="s">
        <v>112</v>
      </c>
      <c r="S2293" s="91" t="s">
        <v>112</v>
      </c>
      <c r="T2293" s="91" t="s">
        <v>112</v>
      </c>
      <c r="U2293" s="91" t="s">
        <v>112</v>
      </c>
      <c r="V2293" s="91" t="s">
        <v>112</v>
      </c>
      <c r="W2293" s="91" t="s">
        <v>112</v>
      </c>
      <c r="X2293" s="91" t="s">
        <v>112</v>
      </c>
      <c r="Y2293" s="91" t="s">
        <v>112</v>
      </c>
      <c r="Z2293" s="91" t="s">
        <v>112</v>
      </c>
      <c r="AA2293" s="91" t="s">
        <v>112</v>
      </c>
      <c r="AB2293" s="91" t="s">
        <v>112</v>
      </c>
      <c r="AC2293" s="91" t="s">
        <v>112</v>
      </c>
      <c r="AD2293" s="91" t="s">
        <v>112</v>
      </c>
      <c r="AE2293" s="91">
        <v>8015</v>
      </c>
      <c r="AF2293" s="91">
        <v>8015</v>
      </c>
      <c r="AG2293" s="91">
        <v>8015</v>
      </c>
      <c r="AH2293" s="91">
        <v>8015</v>
      </c>
      <c r="AI2293" s="91">
        <v>8015</v>
      </c>
      <c r="AJ2293" s="91">
        <v>8015</v>
      </c>
      <c r="AK2293" s="91">
        <v>8015</v>
      </c>
      <c r="AL2293" s="91">
        <v>8015</v>
      </c>
      <c r="AM2293" s="91">
        <v>8015</v>
      </c>
      <c r="AN2293" s="91">
        <v>8015</v>
      </c>
      <c r="AO2293" s="91">
        <v>8015</v>
      </c>
      <c r="AP2293" s="91">
        <v>8015</v>
      </c>
      <c r="AQ2293" s="91">
        <v>8015</v>
      </c>
      <c r="AR2293" s="91">
        <v>8015</v>
      </c>
      <c r="AS2293" s="91">
        <v>8015</v>
      </c>
      <c r="AT2293" s="91">
        <v>8015</v>
      </c>
      <c r="AU2293" s="91">
        <v>8015</v>
      </c>
      <c r="AV2293" s="91">
        <v>8015</v>
      </c>
      <c r="AW2293" s="91">
        <v>8015</v>
      </c>
      <c r="AX2293" s="92">
        <v>8015</v>
      </c>
    </row>
    <row r="2294" spans="1:50" x14ac:dyDescent="0.25">
      <c r="A2294" s="356"/>
      <c r="B2294" s="362"/>
      <c r="C2294" s="354"/>
      <c r="D2294" s="4" t="s">
        <v>8</v>
      </c>
      <c r="E2294" s="168" t="str">
        <f>A2287&amp;"/"&amp;B2287&amp;"/"&amp;C2293&amp;"/"&amp;D2294</f>
        <v>Biomass and waste fired power plants/Integrated gasification combined cycle/CHP with CCS/M</v>
      </c>
      <c r="F2294" s="80" t="str">
        <f>A2287</f>
        <v>Biomass and waste fired power plants</v>
      </c>
      <c r="G2294" s="80" t="str">
        <f>B2287</f>
        <v>Integrated gasification combined cycle</v>
      </c>
      <c r="H2294" s="80" t="str">
        <f>C2293</f>
        <v>CHP with CCS</v>
      </c>
      <c r="I2294" s="169" t="str">
        <f t="shared" si="116"/>
        <v>M</v>
      </c>
      <c r="J2294" s="99" t="s">
        <v>112</v>
      </c>
      <c r="K2294" s="99" t="s">
        <v>112</v>
      </c>
      <c r="L2294" s="99" t="s">
        <v>112</v>
      </c>
      <c r="M2294" s="99" t="s">
        <v>112</v>
      </c>
      <c r="N2294" s="99" t="s">
        <v>112</v>
      </c>
      <c r="O2294" s="99" t="s">
        <v>112</v>
      </c>
      <c r="P2294" s="99" t="s">
        <v>112</v>
      </c>
      <c r="Q2294" s="99" t="s">
        <v>112</v>
      </c>
      <c r="R2294" s="99" t="s">
        <v>112</v>
      </c>
      <c r="S2294" s="99" t="s">
        <v>112</v>
      </c>
      <c r="T2294" s="99" t="s">
        <v>112</v>
      </c>
      <c r="U2294" s="99" t="s">
        <v>112</v>
      </c>
      <c r="V2294" s="99" t="s">
        <v>112</v>
      </c>
      <c r="W2294" s="99" t="s">
        <v>112</v>
      </c>
      <c r="X2294" s="99" t="s">
        <v>112</v>
      </c>
      <c r="Y2294" s="99" t="s">
        <v>112</v>
      </c>
      <c r="Z2294" s="99" t="s">
        <v>112</v>
      </c>
      <c r="AA2294" s="99" t="s">
        <v>112</v>
      </c>
      <c r="AB2294" s="99" t="s">
        <v>112</v>
      </c>
      <c r="AC2294" s="99" t="s">
        <v>112</v>
      </c>
      <c r="AD2294" s="99" t="s">
        <v>112</v>
      </c>
      <c r="AE2294" s="99">
        <v>6620.8788477079579</v>
      </c>
      <c r="AF2294" s="99">
        <v>6620.8788477079579</v>
      </c>
      <c r="AG2294" s="99">
        <v>6620.8788477079579</v>
      </c>
      <c r="AH2294" s="99">
        <v>6620.8788477079579</v>
      </c>
      <c r="AI2294" s="99">
        <v>6620.8788477079579</v>
      </c>
      <c r="AJ2294" s="99">
        <v>6620.8788477079579</v>
      </c>
      <c r="AK2294" s="99">
        <v>6620.8788477079579</v>
      </c>
      <c r="AL2294" s="99">
        <v>6620.8788477079579</v>
      </c>
      <c r="AM2294" s="99">
        <v>6620.8788477079579</v>
      </c>
      <c r="AN2294" s="99">
        <v>6620.8788477079579</v>
      </c>
      <c r="AO2294" s="99">
        <v>6620.8788477079579</v>
      </c>
      <c r="AP2294" s="99">
        <v>6620.8788477079579</v>
      </c>
      <c r="AQ2294" s="99">
        <v>6620.8788477079579</v>
      </c>
      <c r="AR2294" s="99">
        <v>6620.8788477079579</v>
      </c>
      <c r="AS2294" s="99">
        <v>6620.8788477079579</v>
      </c>
      <c r="AT2294" s="99">
        <v>6620.8788477079579</v>
      </c>
      <c r="AU2294" s="99">
        <v>6620.8788477079579</v>
      </c>
      <c r="AV2294" s="99">
        <v>6620.8788477079579</v>
      </c>
      <c r="AW2294" s="99">
        <v>6620.8788477079579</v>
      </c>
      <c r="AX2294" s="100">
        <v>6620.8788477079579</v>
      </c>
    </row>
    <row r="2295" spans="1:50" x14ac:dyDescent="0.25">
      <c r="A2295" s="356"/>
      <c r="B2295" s="358" t="s">
        <v>18</v>
      </c>
      <c r="C2295" s="353" t="s">
        <v>6</v>
      </c>
      <c r="D2295" s="3" t="s">
        <v>7</v>
      </c>
      <c r="E2295" s="162" t="str">
        <f>A2287&amp;"/"&amp;B2295&amp;"/"&amp;C2295&amp;"/"&amp;D2295</f>
        <v>Biomass and waste fired power plants/Fluidized bed combustion/Electricity only/L</v>
      </c>
      <c r="F2295" s="77" t="str">
        <f>A2287</f>
        <v>Biomass and waste fired power plants</v>
      </c>
      <c r="G2295" s="77" t="str">
        <f>B2295</f>
        <v>Fluidized bed combustion</v>
      </c>
      <c r="H2295" s="77" t="str">
        <f>C2295</f>
        <v>Electricity only</v>
      </c>
      <c r="I2295" s="163" t="str">
        <f t="shared" si="116"/>
        <v>L</v>
      </c>
      <c r="J2295" s="93">
        <v>7000</v>
      </c>
      <c r="K2295" s="93">
        <v>7000</v>
      </c>
      <c r="L2295" s="93">
        <v>7000</v>
      </c>
      <c r="M2295" s="93">
        <v>7000</v>
      </c>
      <c r="N2295" s="93">
        <v>7000</v>
      </c>
      <c r="O2295" s="93">
        <v>7000</v>
      </c>
      <c r="P2295" s="93">
        <v>7000</v>
      </c>
      <c r="Q2295" s="93">
        <v>7000</v>
      </c>
      <c r="R2295" s="93">
        <v>7000</v>
      </c>
      <c r="S2295" s="93">
        <v>7000</v>
      </c>
      <c r="T2295" s="93">
        <v>7000</v>
      </c>
      <c r="U2295" s="93">
        <v>7000</v>
      </c>
      <c r="V2295" s="93">
        <v>7000</v>
      </c>
      <c r="W2295" s="93">
        <v>7000</v>
      </c>
      <c r="X2295" s="93">
        <v>7000</v>
      </c>
      <c r="Y2295" s="93">
        <v>7000</v>
      </c>
      <c r="Z2295" s="93">
        <v>7000</v>
      </c>
      <c r="AA2295" s="93">
        <v>7000</v>
      </c>
      <c r="AB2295" s="93">
        <v>7000</v>
      </c>
      <c r="AC2295" s="93">
        <v>7000</v>
      </c>
      <c r="AD2295" s="93">
        <v>7000</v>
      </c>
      <c r="AE2295" s="93">
        <v>7000</v>
      </c>
      <c r="AF2295" s="93">
        <v>7000</v>
      </c>
      <c r="AG2295" s="93">
        <v>7000</v>
      </c>
      <c r="AH2295" s="93">
        <v>7000</v>
      </c>
      <c r="AI2295" s="93">
        <v>7000</v>
      </c>
      <c r="AJ2295" s="93">
        <v>7000</v>
      </c>
      <c r="AK2295" s="93">
        <v>7000</v>
      </c>
      <c r="AL2295" s="93">
        <v>7000</v>
      </c>
      <c r="AM2295" s="93">
        <v>7000</v>
      </c>
      <c r="AN2295" s="93">
        <v>7000</v>
      </c>
      <c r="AO2295" s="93">
        <v>7000</v>
      </c>
      <c r="AP2295" s="93">
        <v>7000</v>
      </c>
      <c r="AQ2295" s="93">
        <v>7000</v>
      </c>
      <c r="AR2295" s="93">
        <v>7000</v>
      </c>
      <c r="AS2295" s="93">
        <v>7000</v>
      </c>
      <c r="AT2295" s="93">
        <v>7000</v>
      </c>
      <c r="AU2295" s="93">
        <v>7000</v>
      </c>
      <c r="AV2295" s="93">
        <v>7000</v>
      </c>
      <c r="AW2295" s="93">
        <v>7000</v>
      </c>
      <c r="AX2295" s="94">
        <v>7000</v>
      </c>
    </row>
    <row r="2296" spans="1:50" x14ac:dyDescent="0.25">
      <c r="A2296" s="356"/>
      <c r="B2296" s="359"/>
      <c r="C2296" s="350"/>
      <c r="D2296" s="2" t="s">
        <v>8</v>
      </c>
      <c r="E2296" s="160" t="str">
        <f>A2287&amp;"/"&amp;B2295&amp;"/"&amp;C2295&amp;"/"&amp;D2296</f>
        <v>Biomass and waste fired power plants/Fluidized bed combustion/Electricity only/M</v>
      </c>
      <c r="F2296" s="76" t="str">
        <f>A2287</f>
        <v>Biomass and waste fired power plants</v>
      </c>
      <c r="G2296" s="76" t="str">
        <f>B2295</f>
        <v>Fluidized bed combustion</v>
      </c>
      <c r="H2296" s="76" t="str">
        <f>C2295</f>
        <v>Electricity only</v>
      </c>
      <c r="I2296" s="161" t="str">
        <f t="shared" si="116"/>
        <v>M</v>
      </c>
      <c r="J2296" s="91">
        <v>6429.0632664651621</v>
      </c>
      <c r="K2296" s="91">
        <v>6429.0632664651621</v>
      </c>
      <c r="L2296" s="91">
        <v>6429.0632664651621</v>
      </c>
      <c r="M2296" s="91">
        <v>6429.0632664651621</v>
      </c>
      <c r="N2296" s="91">
        <v>6429.0632664651621</v>
      </c>
      <c r="O2296" s="91">
        <v>6429.0632664651621</v>
      </c>
      <c r="P2296" s="91">
        <v>6429.0632664651621</v>
      </c>
      <c r="Q2296" s="91">
        <v>6429.0632664651621</v>
      </c>
      <c r="R2296" s="91">
        <v>6429.0632664651621</v>
      </c>
      <c r="S2296" s="91">
        <v>6429.0632664651621</v>
      </c>
      <c r="T2296" s="91">
        <v>6429.0632664651621</v>
      </c>
      <c r="U2296" s="91">
        <v>6429.0632664651621</v>
      </c>
      <c r="V2296" s="91">
        <v>6429.0632664651621</v>
      </c>
      <c r="W2296" s="91">
        <v>6429.0632664651621</v>
      </c>
      <c r="X2296" s="91">
        <v>6429.0632664651621</v>
      </c>
      <c r="Y2296" s="91">
        <v>6429.0632664651621</v>
      </c>
      <c r="Z2296" s="91">
        <v>6429.0632664651621</v>
      </c>
      <c r="AA2296" s="91">
        <v>6429.0632664651621</v>
      </c>
      <c r="AB2296" s="91">
        <v>6429.0632664651621</v>
      </c>
      <c r="AC2296" s="91">
        <v>6429.0632664651621</v>
      </c>
      <c r="AD2296" s="91">
        <v>6429.0632664651621</v>
      </c>
      <c r="AE2296" s="91">
        <v>6429.0632664651621</v>
      </c>
      <c r="AF2296" s="91">
        <v>6429.0632664651621</v>
      </c>
      <c r="AG2296" s="91">
        <v>6429.0632664651621</v>
      </c>
      <c r="AH2296" s="91">
        <v>6429.0632664651621</v>
      </c>
      <c r="AI2296" s="91">
        <v>6429.0632664651621</v>
      </c>
      <c r="AJ2296" s="91">
        <v>6429.0632664651621</v>
      </c>
      <c r="AK2296" s="91">
        <v>6429.0632664651621</v>
      </c>
      <c r="AL2296" s="91">
        <v>6429.0632664651621</v>
      </c>
      <c r="AM2296" s="91">
        <v>6429.0632664651621</v>
      </c>
      <c r="AN2296" s="91">
        <v>6429.0632664651621</v>
      </c>
      <c r="AO2296" s="91">
        <v>6429.0632664651621</v>
      </c>
      <c r="AP2296" s="91">
        <v>6429.0632664651621</v>
      </c>
      <c r="AQ2296" s="91">
        <v>6429.0632664651621</v>
      </c>
      <c r="AR2296" s="91">
        <v>6429.0632664651621</v>
      </c>
      <c r="AS2296" s="91">
        <v>6429.0632664651621</v>
      </c>
      <c r="AT2296" s="91">
        <v>6429.0632664651621</v>
      </c>
      <c r="AU2296" s="91">
        <v>6429.0632664651621</v>
      </c>
      <c r="AV2296" s="91">
        <v>6429.0632664651621</v>
      </c>
      <c r="AW2296" s="91">
        <v>6429.0632664651621</v>
      </c>
      <c r="AX2296" s="92">
        <v>6429.0632664651621</v>
      </c>
    </row>
    <row r="2297" spans="1:50" x14ac:dyDescent="0.25">
      <c r="A2297" s="356"/>
      <c r="B2297" s="359"/>
      <c r="C2297" s="350"/>
      <c r="D2297" s="2" t="s">
        <v>10</v>
      </c>
      <c r="E2297" s="160" t="str">
        <f>A2287&amp;"/"&amp;B2295&amp;"/"&amp;C2295&amp;"/"&amp;D2297</f>
        <v>Biomass and waste fired power plants/Fluidized bed combustion/Electricity only/S</v>
      </c>
      <c r="F2297" s="76" t="str">
        <f>A2287</f>
        <v>Biomass and waste fired power plants</v>
      </c>
      <c r="G2297" s="76" t="str">
        <f>B2295</f>
        <v>Fluidized bed combustion</v>
      </c>
      <c r="H2297" s="76" t="str">
        <f>C2295</f>
        <v>Electricity only</v>
      </c>
      <c r="I2297" s="161" t="str">
        <f t="shared" si="116"/>
        <v>S</v>
      </c>
      <c r="J2297" s="91">
        <v>5777.8729420858372</v>
      </c>
      <c r="K2297" s="91">
        <v>5777.8729420858372</v>
      </c>
      <c r="L2297" s="91">
        <v>5777.8729420858372</v>
      </c>
      <c r="M2297" s="91">
        <v>5777.8729420858372</v>
      </c>
      <c r="N2297" s="91">
        <v>5777.8729420858372</v>
      </c>
      <c r="O2297" s="91">
        <v>5777.8729420858372</v>
      </c>
      <c r="P2297" s="91">
        <v>5777.8729420858372</v>
      </c>
      <c r="Q2297" s="91">
        <v>5777.8729420858372</v>
      </c>
      <c r="R2297" s="91">
        <v>5777.8729420858372</v>
      </c>
      <c r="S2297" s="91">
        <v>5777.8729420858372</v>
      </c>
      <c r="T2297" s="91">
        <v>5777.8729420858372</v>
      </c>
      <c r="U2297" s="91">
        <v>5777.8729420858372</v>
      </c>
      <c r="V2297" s="91">
        <v>5777.8729420858372</v>
      </c>
      <c r="W2297" s="91">
        <v>5777.8729420858372</v>
      </c>
      <c r="X2297" s="91">
        <v>5777.8729420858372</v>
      </c>
      <c r="Y2297" s="91">
        <v>5777.8729420858372</v>
      </c>
      <c r="Z2297" s="91">
        <v>5777.8729420858372</v>
      </c>
      <c r="AA2297" s="91">
        <v>5777.8729420858372</v>
      </c>
      <c r="AB2297" s="91">
        <v>5777.8729420858372</v>
      </c>
      <c r="AC2297" s="91">
        <v>5777.8729420858372</v>
      </c>
      <c r="AD2297" s="91">
        <v>5777.8729420858372</v>
      </c>
      <c r="AE2297" s="91">
        <v>5777.8729420858372</v>
      </c>
      <c r="AF2297" s="91">
        <v>5777.8729420858372</v>
      </c>
      <c r="AG2297" s="91">
        <v>5777.8729420858372</v>
      </c>
      <c r="AH2297" s="91">
        <v>5777.8729420858372</v>
      </c>
      <c r="AI2297" s="91">
        <v>5777.8729420858372</v>
      </c>
      <c r="AJ2297" s="91">
        <v>5777.8729420858372</v>
      </c>
      <c r="AK2297" s="91">
        <v>5777.8729420858372</v>
      </c>
      <c r="AL2297" s="91">
        <v>5777.8729420858372</v>
      </c>
      <c r="AM2297" s="91">
        <v>5777.8729420858372</v>
      </c>
      <c r="AN2297" s="91">
        <v>5777.8729420858372</v>
      </c>
      <c r="AO2297" s="91">
        <v>5777.8729420858372</v>
      </c>
      <c r="AP2297" s="91">
        <v>5777.8729420858372</v>
      </c>
      <c r="AQ2297" s="91">
        <v>5777.8729420858372</v>
      </c>
      <c r="AR2297" s="91">
        <v>5777.8729420858372</v>
      </c>
      <c r="AS2297" s="91">
        <v>5777.8729420858372</v>
      </c>
      <c r="AT2297" s="91">
        <v>5777.8729420858372</v>
      </c>
      <c r="AU2297" s="91">
        <v>5777.8729420858372</v>
      </c>
      <c r="AV2297" s="91">
        <v>5777.8729420858372</v>
      </c>
      <c r="AW2297" s="91">
        <v>5777.8729420858372</v>
      </c>
      <c r="AX2297" s="92">
        <v>5777.8729420858372</v>
      </c>
    </row>
    <row r="2298" spans="1:50" x14ac:dyDescent="0.25">
      <c r="A2298" s="356"/>
      <c r="B2298" s="359"/>
      <c r="C2298" s="360"/>
      <c r="D2298" s="2" t="s">
        <v>20</v>
      </c>
      <c r="E2298" s="160" t="str">
        <f>A2287&amp;"/"&amp;B2295&amp;"/"&amp;C2295&amp;"/"&amp;D2298</f>
        <v>Biomass and waste fired power plants/Fluidized bed combustion/Electricity only/XS</v>
      </c>
      <c r="F2298" s="76" t="str">
        <f>A2287</f>
        <v>Biomass and waste fired power plants</v>
      </c>
      <c r="G2298" s="76" t="str">
        <f>B2295</f>
        <v>Fluidized bed combustion</v>
      </c>
      <c r="H2298" s="76" t="str">
        <f>C2295</f>
        <v>Electricity only</v>
      </c>
      <c r="I2298" s="161" t="str">
        <f t="shared" si="116"/>
        <v>XS</v>
      </c>
      <c r="J2298" s="91">
        <v>5447.348427925418</v>
      </c>
      <c r="K2298" s="91">
        <v>5447.348427925418</v>
      </c>
      <c r="L2298" s="91">
        <v>5447.348427925418</v>
      </c>
      <c r="M2298" s="91">
        <v>5447.348427925418</v>
      </c>
      <c r="N2298" s="91">
        <v>5447.348427925418</v>
      </c>
      <c r="O2298" s="91">
        <v>5447.348427925418</v>
      </c>
      <c r="P2298" s="91">
        <v>5447.348427925418</v>
      </c>
      <c r="Q2298" s="91">
        <v>5447.348427925418</v>
      </c>
      <c r="R2298" s="91">
        <v>5447.348427925418</v>
      </c>
      <c r="S2298" s="91">
        <v>5447.348427925418</v>
      </c>
      <c r="T2298" s="91">
        <v>5447.348427925418</v>
      </c>
      <c r="U2298" s="91">
        <v>5447.348427925418</v>
      </c>
      <c r="V2298" s="91">
        <v>5447.348427925418</v>
      </c>
      <c r="W2298" s="91">
        <v>5447.348427925418</v>
      </c>
      <c r="X2298" s="91">
        <v>5447.348427925418</v>
      </c>
      <c r="Y2298" s="91">
        <v>5447.348427925418</v>
      </c>
      <c r="Z2298" s="91">
        <v>5447.348427925418</v>
      </c>
      <c r="AA2298" s="91">
        <v>5447.348427925418</v>
      </c>
      <c r="AB2298" s="91">
        <v>5447.348427925418</v>
      </c>
      <c r="AC2298" s="91">
        <v>5447.348427925418</v>
      </c>
      <c r="AD2298" s="91">
        <v>5447.348427925418</v>
      </c>
      <c r="AE2298" s="91">
        <v>5447.348427925418</v>
      </c>
      <c r="AF2298" s="91">
        <v>5447.348427925418</v>
      </c>
      <c r="AG2298" s="91">
        <v>5447.348427925418</v>
      </c>
      <c r="AH2298" s="91">
        <v>5447.348427925418</v>
      </c>
      <c r="AI2298" s="91">
        <v>5447.348427925418</v>
      </c>
      <c r="AJ2298" s="91">
        <v>5447.348427925418</v>
      </c>
      <c r="AK2298" s="91">
        <v>5447.348427925418</v>
      </c>
      <c r="AL2298" s="91">
        <v>5447.348427925418</v>
      </c>
      <c r="AM2298" s="91">
        <v>5447.348427925418</v>
      </c>
      <c r="AN2298" s="91">
        <v>5447.348427925418</v>
      </c>
      <c r="AO2298" s="91">
        <v>5447.348427925418</v>
      </c>
      <c r="AP2298" s="91">
        <v>5447.348427925418</v>
      </c>
      <c r="AQ2298" s="91">
        <v>5447.348427925418</v>
      </c>
      <c r="AR2298" s="91">
        <v>5447.348427925418</v>
      </c>
      <c r="AS2298" s="91">
        <v>5447.348427925418</v>
      </c>
      <c r="AT2298" s="91">
        <v>5447.348427925418</v>
      </c>
      <c r="AU2298" s="91">
        <v>5447.348427925418</v>
      </c>
      <c r="AV2298" s="91">
        <v>5447.348427925418</v>
      </c>
      <c r="AW2298" s="91">
        <v>5447.348427925418</v>
      </c>
      <c r="AX2298" s="92">
        <v>5447.348427925418</v>
      </c>
    </row>
    <row r="2299" spans="1:50" x14ac:dyDescent="0.25">
      <c r="A2299" s="356"/>
      <c r="B2299" s="359"/>
      <c r="C2299" s="361" t="s">
        <v>14</v>
      </c>
      <c r="D2299" s="58" t="s">
        <v>7</v>
      </c>
      <c r="E2299" s="164" t="str">
        <f>A2287&amp;"/"&amp;B2295&amp;"/"&amp;C2299&amp;"/"&amp;D2299</f>
        <v>Biomass and waste fired power plants/Fluidized bed combustion/CHP/L</v>
      </c>
      <c r="F2299" s="78" t="str">
        <f>A2287</f>
        <v>Biomass and waste fired power plants</v>
      </c>
      <c r="G2299" s="78" t="str">
        <f>B2295</f>
        <v>Fluidized bed combustion</v>
      </c>
      <c r="H2299" s="78" t="str">
        <f>C2299</f>
        <v>CHP</v>
      </c>
      <c r="I2299" s="165" t="str">
        <f t="shared" si="116"/>
        <v>L</v>
      </c>
      <c r="J2299" s="95">
        <v>6325</v>
      </c>
      <c r="K2299" s="95">
        <v>6325</v>
      </c>
      <c r="L2299" s="95">
        <v>6325</v>
      </c>
      <c r="M2299" s="95">
        <v>6325</v>
      </c>
      <c r="N2299" s="95">
        <v>6325</v>
      </c>
      <c r="O2299" s="95">
        <v>6325</v>
      </c>
      <c r="P2299" s="95">
        <v>6325</v>
      </c>
      <c r="Q2299" s="95">
        <v>6325</v>
      </c>
      <c r="R2299" s="95">
        <v>6325</v>
      </c>
      <c r="S2299" s="95">
        <v>6325</v>
      </c>
      <c r="T2299" s="95">
        <v>6325</v>
      </c>
      <c r="U2299" s="95">
        <v>6325</v>
      </c>
      <c r="V2299" s="95">
        <v>6325</v>
      </c>
      <c r="W2299" s="95">
        <v>6325</v>
      </c>
      <c r="X2299" s="95">
        <v>6325</v>
      </c>
      <c r="Y2299" s="95">
        <v>6325</v>
      </c>
      <c r="Z2299" s="95">
        <v>6325</v>
      </c>
      <c r="AA2299" s="95">
        <v>6325</v>
      </c>
      <c r="AB2299" s="95">
        <v>6325</v>
      </c>
      <c r="AC2299" s="95">
        <v>6325</v>
      </c>
      <c r="AD2299" s="95">
        <v>6325</v>
      </c>
      <c r="AE2299" s="95">
        <v>6325</v>
      </c>
      <c r="AF2299" s="95">
        <v>6325</v>
      </c>
      <c r="AG2299" s="95">
        <v>6325</v>
      </c>
      <c r="AH2299" s="95">
        <v>6325</v>
      </c>
      <c r="AI2299" s="95">
        <v>6325</v>
      </c>
      <c r="AJ2299" s="95">
        <v>6325</v>
      </c>
      <c r="AK2299" s="95">
        <v>6325</v>
      </c>
      <c r="AL2299" s="95">
        <v>6325</v>
      </c>
      <c r="AM2299" s="95">
        <v>6325</v>
      </c>
      <c r="AN2299" s="95">
        <v>6325</v>
      </c>
      <c r="AO2299" s="95">
        <v>6325</v>
      </c>
      <c r="AP2299" s="95">
        <v>6325</v>
      </c>
      <c r="AQ2299" s="95">
        <v>6325</v>
      </c>
      <c r="AR2299" s="95">
        <v>6325</v>
      </c>
      <c r="AS2299" s="95">
        <v>6325</v>
      </c>
      <c r="AT2299" s="95">
        <v>6325</v>
      </c>
      <c r="AU2299" s="95">
        <v>6325</v>
      </c>
      <c r="AV2299" s="95">
        <v>6325</v>
      </c>
      <c r="AW2299" s="95">
        <v>6325</v>
      </c>
      <c r="AX2299" s="96">
        <v>6325</v>
      </c>
    </row>
    <row r="2300" spans="1:50" x14ac:dyDescent="0.25">
      <c r="A2300" s="356"/>
      <c r="B2300" s="359"/>
      <c r="C2300" s="350"/>
      <c r="D2300" s="2" t="s">
        <v>8</v>
      </c>
      <c r="E2300" s="160" t="str">
        <f>A2287&amp;"/"&amp;B2295&amp;"/"&amp;C2299&amp;"/"&amp;D2300</f>
        <v>Biomass and waste fired power plants/Fluidized bed combustion/CHP/M</v>
      </c>
      <c r="F2300" s="76" t="str">
        <f>A2287</f>
        <v>Biomass and waste fired power plants</v>
      </c>
      <c r="G2300" s="76" t="str">
        <f>B2295</f>
        <v>Fluidized bed combustion</v>
      </c>
      <c r="H2300" s="76" t="str">
        <f>C2299</f>
        <v>CHP</v>
      </c>
      <c r="I2300" s="161" t="str">
        <f t="shared" si="116"/>
        <v>M</v>
      </c>
      <c r="J2300" s="91">
        <v>5823.335963916652</v>
      </c>
      <c r="K2300" s="91">
        <v>5823.335963916652</v>
      </c>
      <c r="L2300" s="91">
        <v>5823.335963916652</v>
      </c>
      <c r="M2300" s="91">
        <v>5823.335963916652</v>
      </c>
      <c r="N2300" s="91">
        <v>5823.335963916652</v>
      </c>
      <c r="O2300" s="91">
        <v>5823.335963916652</v>
      </c>
      <c r="P2300" s="91">
        <v>5823.335963916652</v>
      </c>
      <c r="Q2300" s="91">
        <v>5823.335963916652</v>
      </c>
      <c r="R2300" s="91">
        <v>5823.335963916652</v>
      </c>
      <c r="S2300" s="91">
        <v>5823.335963916652</v>
      </c>
      <c r="T2300" s="91">
        <v>5823.335963916652</v>
      </c>
      <c r="U2300" s="91">
        <v>5823.335963916652</v>
      </c>
      <c r="V2300" s="91">
        <v>5823.335963916652</v>
      </c>
      <c r="W2300" s="91">
        <v>5823.335963916652</v>
      </c>
      <c r="X2300" s="91">
        <v>5823.335963916652</v>
      </c>
      <c r="Y2300" s="91">
        <v>5823.335963916652</v>
      </c>
      <c r="Z2300" s="91">
        <v>5823.335963916652</v>
      </c>
      <c r="AA2300" s="91">
        <v>5823.335963916652</v>
      </c>
      <c r="AB2300" s="91">
        <v>5823.335963916652</v>
      </c>
      <c r="AC2300" s="91">
        <v>5823.335963916652</v>
      </c>
      <c r="AD2300" s="91">
        <v>5823.335963916652</v>
      </c>
      <c r="AE2300" s="91">
        <v>5823.335963916652</v>
      </c>
      <c r="AF2300" s="91">
        <v>5823.335963916652</v>
      </c>
      <c r="AG2300" s="91">
        <v>5823.335963916652</v>
      </c>
      <c r="AH2300" s="91">
        <v>5823.335963916652</v>
      </c>
      <c r="AI2300" s="91">
        <v>5823.335963916652</v>
      </c>
      <c r="AJ2300" s="91">
        <v>5823.335963916652</v>
      </c>
      <c r="AK2300" s="91">
        <v>5823.335963916652</v>
      </c>
      <c r="AL2300" s="91">
        <v>5823.335963916652</v>
      </c>
      <c r="AM2300" s="91">
        <v>5823.335963916652</v>
      </c>
      <c r="AN2300" s="91">
        <v>5823.335963916652</v>
      </c>
      <c r="AO2300" s="91">
        <v>5823.335963916652</v>
      </c>
      <c r="AP2300" s="91">
        <v>5823.335963916652</v>
      </c>
      <c r="AQ2300" s="91">
        <v>5823.335963916652</v>
      </c>
      <c r="AR2300" s="91">
        <v>5823.335963916652</v>
      </c>
      <c r="AS2300" s="91">
        <v>5823.335963916652</v>
      </c>
      <c r="AT2300" s="91">
        <v>5823.335963916652</v>
      </c>
      <c r="AU2300" s="91">
        <v>5823.335963916652</v>
      </c>
      <c r="AV2300" s="91">
        <v>5823.335963916652</v>
      </c>
      <c r="AW2300" s="91">
        <v>5823.335963916652</v>
      </c>
      <c r="AX2300" s="92">
        <v>5823.335963916652</v>
      </c>
    </row>
    <row r="2301" spans="1:50" x14ac:dyDescent="0.25">
      <c r="A2301" s="356"/>
      <c r="B2301" s="359"/>
      <c r="C2301" s="350"/>
      <c r="D2301" s="2" t="s">
        <v>10</v>
      </c>
      <c r="E2301" s="160" t="str">
        <f>A2287&amp;"/"&amp;B2295&amp;"/"&amp;C2299&amp;"/"&amp;D2301</f>
        <v>Biomass and waste fired power plants/Fluidized bed combustion/CHP/S</v>
      </c>
      <c r="F2301" s="76" t="str">
        <f>A2287</f>
        <v>Biomass and waste fired power plants</v>
      </c>
      <c r="G2301" s="76" t="str">
        <f>B2295</f>
        <v>Fluidized bed combustion</v>
      </c>
      <c r="H2301" s="76" t="str">
        <f>C2299</f>
        <v>CHP</v>
      </c>
      <c r="I2301" s="161" t="str">
        <f t="shared" si="116"/>
        <v>S</v>
      </c>
      <c r="J2301" s="91">
        <v>5249.7721700657494</v>
      </c>
      <c r="K2301" s="91">
        <v>5249.7721700657494</v>
      </c>
      <c r="L2301" s="91">
        <v>5249.7721700657494</v>
      </c>
      <c r="M2301" s="91">
        <v>5249.7721700657494</v>
      </c>
      <c r="N2301" s="91">
        <v>5249.7721700657494</v>
      </c>
      <c r="O2301" s="91">
        <v>5249.7721700657494</v>
      </c>
      <c r="P2301" s="91">
        <v>5249.7721700657494</v>
      </c>
      <c r="Q2301" s="91">
        <v>5249.7721700657494</v>
      </c>
      <c r="R2301" s="91">
        <v>5249.7721700657494</v>
      </c>
      <c r="S2301" s="91">
        <v>5249.7721700657494</v>
      </c>
      <c r="T2301" s="91">
        <v>5249.7721700657494</v>
      </c>
      <c r="U2301" s="91">
        <v>5249.7721700657494</v>
      </c>
      <c r="V2301" s="91">
        <v>5249.7721700657494</v>
      </c>
      <c r="W2301" s="91">
        <v>5249.7721700657494</v>
      </c>
      <c r="X2301" s="91">
        <v>5249.7721700657494</v>
      </c>
      <c r="Y2301" s="91">
        <v>5249.7721700657494</v>
      </c>
      <c r="Z2301" s="91">
        <v>5249.7721700657494</v>
      </c>
      <c r="AA2301" s="91">
        <v>5249.7721700657494</v>
      </c>
      <c r="AB2301" s="91">
        <v>5249.7721700657494</v>
      </c>
      <c r="AC2301" s="91">
        <v>5249.7721700657494</v>
      </c>
      <c r="AD2301" s="91">
        <v>5249.7721700657494</v>
      </c>
      <c r="AE2301" s="91">
        <v>5249.7721700657494</v>
      </c>
      <c r="AF2301" s="91">
        <v>5249.7721700657494</v>
      </c>
      <c r="AG2301" s="91">
        <v>5249.7721700657494</v>
      </c>
      <c r="AH2301" s="91">
        <v>5249.7721700657494</v>
      </c>
      <c r="AI2301" s="91">
        <v>5249.7721700657494</v>
      </c>
      <c r="AJ2301" s="91">
        <v>5249.7721700657494</v>
      </c>
      <c r="AK2301" s="91">
        <v>5249.7721700657494</v>
      </c>
      <c r="AL2301" s="91">
        <v>5249.7721700657494</v>
      </c>
      <c r="AM2301" s="91">
        <v>5249.7721700657494</v>
      </c>
      <c r="AN2301" s="91">
        <v>5249.7721700657494</v>
      </c>
      <c r="AO2301" s="91">
        <v>5249.7721700657494</v>
      </c>
      <c r="AP2301" s="91">
        <v>5249.7721700657494</v>
      </c>
      <c r="AQ2301" s="91">
        <v>5249.7721700657494</v>
      </c>
      <c r="AR2301" s="91">
        <v>5249.7721700657494</v>
      </c>
      <c r="AS2301" s="91">
        <v>5249.7721700657494</v>
      </c>
      <c r="AT2301" s="91">
        <v>5249.7721700657494</v>
      </c>
      <c r="AU2301" s="91">
        <v>5249.7721700657494</v>
      </c>
      <c r="AV2301" s="91">
        <v>5249.7721700657494</v>
      </c>
      <c r="AW2301" s="91">
        <v>5249.7721700657494</v>
      </c>
      <c r="AX2301" s="92">
        <v>5249.7721700657494</v>
      </c>
    </row>
    <row r="2302" spans="1:50" x14ac:dyDescent="0.25">
      <c r="A2302" s="356"/>
      <c r="B2302" s="359"/>
      <c r="C2302" s="360"/>
      <c r="D2302" s="59" t="s">
        <v>20</v>
      </c>
      <c r="E2302" s="166" t="str">
        <f>A2287&amp;"/"&amp;B2295&amp;"/"&amp;C2299&amp;"/"&amp;D2302</f>
        <v>Biomass and waste fired power plants/Fluidized bed combustion/CHP/XS</v>
      </c>
      <c r="F2302" s="79" t="str">
        <f>A2287</f>
        <v>Biomass and waste fired power plants</v>
      </c>
      <c r="G2302" s="79" t="str">
        <f>B2295</f>
        <v>Fluidized bed combustion</v>
      </c>
      <c r="H2302" s="79" t="str">
        <f>C2299</f>
        <v>CHP</v>
      </c>
      <c r="I2302" s="167" t="str">
        <f t="shared" si="116"/>
        <v>XS</v>
      </c>
      <c r="J2302" s="97">
        <v>4957.9981278413443</v>
      </c>
      <c r="K2302" s="97">
        <v>4957.9981278413443</v>
      </c>
      <c r="L2302" s="97">
        <v>4957.9981278413443</v>
      </c>
      <c r="M2302" s="97">
        <v>4957.9981278413443</v>
      </c>
      <c r="N2302" s="97">
        <v>4957.9981278413443</v>
      </c>
      <c r="O2302" s="97">
        <v>4957.9981278413443</v>
      </c>
      <c r="P2302" s="97">
        <v>4957.9981278413443</v>
      </c>
      <c r="Q2302" s="97">
        <v>4957.9981278413443</v>
      </c>
      <c r="R2302" s="97">
        <v>4957.9981278413443</v>
      </c>
      <c r="S2302" s="97">
        <v>4957.9981278413443</v>
      </c>
      <c r="T2302" s="97">
        <v>4957.9981278413443</v>
      </c>
      <c r="U2302" s="97">
        <v>4957.9981278413443</v>
      </c>
      <c r="V2302" s="97">
        <v>4957.9981278413443</v>
      </c>
      <c r="W2302" s="97">
        <v>4957.9981278413443</v>
      </c>
      <c r="X2302" s="97">
        <v>4957.9981278413443</v>
      </c>
      <c r="Y2302" s="97">
        <v>4957.9981278413443</v>
      </c>
      <c r="Z2302" s="97">
        <v>4957.9981278413443</v>
      </c>
      <c r="AA2302" s="97">
        <v>4957.9981278413443</v>
      </c>
      <c r="AB2302" s="97">
        <v>4957.9981278413443</v>
      </c>
      <c r="AC2302" s="97">
        <v>4957.9981278413443</v>
      </c>
      <c r="AD2302" s="97">
        <v>4957.9981278413443</v>
      </c>
      <c r="AE2302" s="97">
        <v>4957.9981278413443</v>
      </c>
      <c r="AF2302" s="97">
        <v>4957.9981278413443</v>
      </c>
      <c r="AG2302" s="97">
        <v>4957.9981278413443</v>
      </c>
      <c r="AH2302" s="97">
        <v>4957.9981278413443</v>
      </c>
      <c r="AI2302" s="97">
        <v>4957.9981278413443</v>
      </c>
      <c r="AJ2302" s="97">
        <v>4957.9981278413443</v>
      </c>
      <c r="AK2302" s="97">
        <v>4957.9981278413443</v>
      </c>
      <c r="AL2302" s="97">
        <v>4957.9981278413443</v>
      </c>
      <c r="AM2302" s="97">
        <v>4957.9981278413443</v>
      </c>
      <c r="AN2302" s="97">
        <v>4957.9981278413443</v>
      </c>
      <c r="AO2302" s="97">
        <v>4957.9981278413443</v>
      </c>
      <c r="AP2302" s="97">
        <v>4957.9981278413443</v>
      </c>
      <c r="AQ2302" s="97">
        <v>4957.9981278413443</v>
      </c>
      <c r="AR2302" s="97">
        <v>4957.9981278413443</v>
      </c>
      <c r="AS2302" s="97">
        <v>4957.9981278413443</v>
      </c>
      <c r="AT2302" s="97">
        <v>4957.9981278413443</v>
      </c>
      <c r="AU2302" s="97">
        <v>4957.9981278413443</v>
      </c>
      <c r="AV2302" s="97">
        <v>4957.9981278413443</v>
      </c>
      <c r="AW2302" s="97">
        <v>4957.9981278413443</v>
      </c>
      <c r="AX2302" s="98">
        <v>4957.9981278413443</v>
      </c>
    </row>
    <row r="2303" spans="1:50" x14ac:dyDescent="0.25">
      <c r="A2303" s="356"/>
      <c r="B2303" s="359"/>
      <c r="C2303" s="361" t="s">
        <v>15</v>
      </c>
      <c r="D2303" s="58" t="s">
        <v>7</v>
      </c>
      <c r="E2303" s="164" t="str">
        <f>A2287&amp;"/"&amp;B2295&amp;"/"&amp;C2303&amp;"/"&amp;D2303</f>
        <v>Biomass and waste fired power plants/Fluidized bed combustion/Electricity only with CCS/L</v>
      </c>
      <c r="F2303" s="78" t="str">
        <f>A2287</f>
        <v>Biomass and waste fired power plants</v>
      </c>
      <c r="G2303" s="78" t="str">
        <f>B2295</f>
        <v>Fluidized bed combustion</v>
      </c>
      <c r="H2303" s="78" t="str">
        <f>C2303</f>
        <v>Electricity only with CCS</v>
      </c>
      <c r="I2303" s="165" t="str">
        <f t="shared" si="116"/>
        <v>L</v>
      </c>
      <c r="J2303" s="95" t="s">
        <v>112</v>
      </c>
      <c r="K2303" s="95" t="s">
        <v>112</v>
      </c>
      <c r="L2303" s="95" t="s">
        <v>112</v>
      </c>
      <c r="M2303" s="95" t="s">
        <v>112</v>
      </c>
      <c r="N2303" s="95" t="s">
        <v>112</v>
      </c>
      <c r="O2303" s="95" t="s">
        <v>112</v>
      </c>
      <c r="P2303" s="95" t="s">
        <v>112</v>
      </c>
      <c r="Q2303" s="95" t="s">
        <v>112</v>
      </c>
      <c r="R2303" s="95" t="s">
        <v>112</v>
      </c>
      <c r="S2303" s="95" t="s">
        <v>112</v>
      </c>
      <c r="T2303" s="95" t="s">
        <v>112</v>
      </c>
      <c r="U2303" s="95" t="s">
        <v>112</v>
      </c>
      <c r="V2303" s="95" t="s">
        <v>112</v>
      </c>
      <c r="W2303" s="95" t="s">
        <v>112</v>
      </c>
      <c r="X2303" s="95" t="s">
        <v>112</v>
      </c>
      <c r="Y2303" s="95" t="s">
        <v>112</v>
      </c>
      <c r="Z2303" s="95" t="s">
        <v>112</v>
      </c>
      <c r="AA2303" s="95" t="s">
        <v>112</v>
      </c>
      <c r="AB2303" s="95" t="s">
        <v>112</v>
      </c>
      <c r="AC2303" s="95" t="s">
        <v>112</v>
      </c>
      <c r="AD2303" s="95" t="s">
        <v>112</v>
      </c>
      <c r="AE2303" s="95">
        <v>7000</v>
      </c>
      <c r="AF2303" s="95">
        <v>7000</v>
      </c>
      <c r="AG2303" s="95">
        <v>7000</v>
      </c>
      <c r="AH2303" s="95">
        <v>7000</v>
      </c>
      <c r="AI2303" s="95">
        <v>7000</v>
      </c>
      <c r="AJ2303" s="95">
        <v>7000</v>
      </c>
      <c r="AK2303" s="95">
        <v>7000</v>
      </c>
      <c r="AL2303" s="95">
        <v>7000</v>
      </c>
      <c r="AM2303" s="95">
        <v>7000</v>
      </c>
      <c r="AN2303" s="95">
        <v>7000</v>
      </c>
      <c r="AO2303" s="95">
        <v>7000</v>
      </c>
      <c r="AP2303" s="95">
        <v>7000</v>
      </c>
      <c r="AQ2303" s="95">
        <v>7000</v>
      </c>
      <c r="AR2303" s="95">
        <v>7000</v>
      </c>
      <c r="AS2303" s="95">
        <v>7000</v>
      </c>
      <c r="AT2303" s="95">
        <v>7000</v>
      </c>
      <c r="AU2303" s="95">
        <v>7000</v>
      </c>
      <c r="AV2303" s="95">
        <v>7000</v>
      </c>
      <c r="AW2303" s="95">
        <v>7000</v>
      </c>
      <c r="AX2303" s="96">
        <v>7000</v>
      </c>
    </row>
    <row r="2304" spans="1:50" x14ac:dyDescent="0.25">
      <c r="A2304" s="356"/>
      <c r="B2304" s="359"/>
      <c r="C2304" s="360"/>
      <c r="D2304" s="59" t="s">
        <v>8</v>
      </c>
      <c r="E2304" s="166" t="str">
        <f>A2287&amp;"/"&amp;B2295&amp;"/"&amp;C2303&amp;"/"&amp;D2304</f>
        <v>Biomass and waste fired power plants/Fluidized bed combustion/Electricity only with CCS/M</v>
      </c>
      <c r="F2304" s="79" t="str">
        <f>A2287</f>
        <v>Biomass and waste fired power plants</v>
      </c>
      <c r="G2304" s="79" t="str">
        <f>B2295</f>
        <v>Fluidized bed combustion</v>
      </c>
      <c r="H2304" s="79" t="str">
        <f>C2303</f>
        <v>Electricity only with CCS</v>
      </c>
      <c r="I2304" s="167" t="str">
        <f t="shared" si="116"/>
        <v>M</v>
      </c>
      <c r="J2304" s="97" t="s">
        <v>112</v>
      </c>
      <c r="K2304" s="97" t="s">
        <v>112</v>
      </c>
      <c r="L2304" s="97" t="s">
        <v>112</v>
      </c>
      <c r="M2304" s="97" t="s">
        <v>112</v>
      </c>
      <c r="N2304" s="97" t="s">
        <v>112</v>
      </c>
      <c r="O2304" s="97" t="s">
        <v>112</v>
      </c>
      <c r="P2304" s="97" t="s">
        <v>112</v>
      </c>
      <c r="Q2304" s="97" t="s">
        <v>112</v>
      </c>
      <c r="R2304" s="97" t="s">
        <v>112</v>
      </c>
      <c r="S2304" s="97" t="s">
        <v>112</v>
      </c>
      <c r="T2304" s="97" t="s">
        <v>112</v>
      </c>
      <c r="U2304" s="97" t="s">
        <v>112</v>
      </c>
      <c r="V2304" s="97" t="s">
        <v>112</v>
      </c>
      <c r="W2304" s="97" t="s">
        <v>112</v>
      </c>
      <c r="X2304" s="97" t="s">
        <v>112</v>
      </c>
      <c r="Y2304" s="97" t="s">
        <v>112</v>
      </c>
      <c r="Z2304" s="97" t="s">
        <v>112</v>
      </c>
      <c r="AA2304" s="97" t="s">
        <v>112</v>
      </c>
      <c r="AB2304" s="97" t="s">
        <v>112</v>
      </c>
      <c r="AC2304" s="97" t="s">
        <v>112</v>
      </c>
      <c r="AD2304" s="97" t="s">
        <v>112</v>
      </c>
      <c r="AE2304" s="97">
        <v>6429.0632664651621</v>
      </c>
      <c r="AF2304" s="97">
        <v>6429.0632664651621</v>
      </c>
      <c r="AG2304" s="97">
        <v>6429.0632664651621</v>
      </c>
      <c r="AH2304" s="97">
        <v>6429.0632664651621</v>
      </c>
      <c r="AI2304" s="97">
        <v>6429.0632664651621</v>
      </c>
      <c r="AJ2304" s="97">
        <v>6429.0632664651621</v>
      </c>
      <c r="AK2304" s="97">
        <v>6429.0632664651621</v>
      </c>
      <c r="AL2304" s="97">
        <v>6429.0632664651621</v>
      </c>
      <c r="AM2304" s="97">
        <v>6429.0632664651621</v>
      </c>
      <c r="AN2304" s="97">
        <v>6429.0632664651621</v>
      </c>
      <c r="AO2304" s="97">
        <v>6429.0632664651621</v>
      </c>
      <c r="AP2304" s="97">
        <v>6429.0632664651621</v>
      </c>
      <c r="AQ2304" s="97">
        <v>6429.0632664651621</v>
      </c>
      <c r="AR2304" s="97">
        <v>6429.0632664651621</v>
      </c>
      <c r="AS2304" s="97">
        <v>6429.0632664651621</v>
      </c>
      <c r="AT2304" s="97">
        <v>6429.0632664651621</v>
      </c>
      <c r="AU2304" s="97">
        <v>6429.0632664651621</v>
      </c>
      <c r="AV2304" s="97">
        <v>6429.0632664651621</v>
      </c>
      <c r="AW2304" s="97">
        <v>6429.0632664651621</v>
      </c>
      <c r="AX2304" s="98">
        <v>6429.0632664651621</v>
      </c>
    </row>
    <row r="2305" spans="1:50" x14ac:dyDescent="0.25">
      <c r="A2305" s="356"/>
      <c r="B2305" s="359"/>
      <c r="C2305" s="361" t="s">
        <v>16</v>
      </c>
      <c r="D2305" s="2" t="s">
        <v>7</v>
      </c>
      <c r="E2305" s="160" t="str">
        <f>A2287&amp;"/"&amp;B2295&amp;"/"&amp;C2305&amp;"/"&amp;D2305</f>
        <v>Biomass and waste fired power plants/Fluidized bed combustion/CHP with CCS/L</v>
      </c>
      <c r="F2305" s="76" t="str">
        <f>A2287</f>
        <v>Biomass and waste fired power plants</v>
      </c>
      <c r="G2305" s="76" t="str">
        <f>B2295</f>
        <v>Fluidized bed combustion</v>
      </c>
      <c r="H2305" s="76" t="str">
        <f>C2305</f>
        <v>CHP with CCS</v>
      </c>
      <c r="I2305" s="161" t="str">
        <f t="shared" si="116"/>
        <v>L</v>
      </c>
      <c r="J2305" s="91" t="s">
        <v>112</v>
      </c>
      <c r="K2305" s="91" t="s">
        <v>112</v>
      </c>
      <c r="L2305" s="91" t="s">
        <v>112</v>
      </c>
      <c r="M2305" s="91" t="s">
        <v>112</v>
      </c>
      <c r="N2305" s="91" t="s">
        <v>112</v>
      </c>
      <c r="O2305" s="91" t="s">
        <v>112</v>
      </c>
      <c r="P2305" s="91" t="s">
        <v>112</v>
      </c>
      <c r="Q2305" s="91" t="s">
        <v>112</v>
      </c>
      <c r="R2305" s="91" t="s">
        <v>112</v>
      </c>
      <c r="S2305" s="91" t="s">
        <v>112</v>
      </c>
      <c r="T2305" s="91" t="s">
        <v>112</v>
      </c>
      <c r="U2305" s="91" t="s">
        <v>112</v>
      </c>
      <c r="V2305" s="91" t="s">
        <v>112</v>
      </c>
      <c r="W2305" s="91" t="s">
        <v>112</v>
      </c>
      <c r="X2305" s="91" t="s">
        <v>112</v>
      </c>
      <c r="Y2305" s="91" t="s">
        <v>112</v>
      </c>
      <c r="Z2305" s="91" t="s">
        <v>112</v>
      </c>
      <c r="AA2305" s="91" t="s">
        <v>112</v>
      </c>
      <c r="AB2305" s="91" t="s">
        <v>112</v>
      </c>
      <c r="AC2305" s="91" t="s">
        <v>112</v>
      </c>
      <c r="AD2305" s="91" t="s">
        <v>112</v>
      </c>
      <c r="AE2305" s="91">
        <v>6325</v>
      </c>
      <c r="AF2305" s="91">
        <v>6325</v>
      </c>
      <c r="AG2305" s="91">
        <v>6325</v>
      </c>
      <c r="AH2305" s="91">
        <v>6325</v>
      </c>
      <c r="AI2305" s="91">
        <v>6325</v>
      </c>
      <c r="AJ2305" s="91">
        <v>6325</v>
      </c>
      <c r="AK2305" s="91">
        <v>6325</v>
      </c>
      <c r="AL2305" s="91">
        <v>6325</v>
      </c>
      <c r="AM2305" s="91">
        <v>6325</v>
      </c>
      <c r="AN2305" s="91">
        <v>6325</v>
      </c>
      <c r="AO2305" s="91">
        <v>6325</v>
      </c>
      <c r="AP2305" s="91">
        <v>6325</v>
      </c>
      <c r="AQ2305" s="91">
        <v>6325</v>
      </c>
      <c r="AR2305" s="91">
        <v>6325</v>
      </c>
      <c r="AS2305" s="91">
        <v>6325</v>
      </c>
      <c r="AT2305" s="91">
        <v>6325</v>
      </c>
      <c r="AU2305" s="91">
        <v>6325</v>
      </c>
      <c r="AV2305" s="91">
        <v>6325</v>
      </c>
      <c r="AW2305" s="91">
        <v>6325</v>
      </c>
      <c r="AX2305" s="92">
        <v>6325</v>
      </c>
    </row>
    <row r="2306" spans="1:50" x14ac:dyDescent="0.25">
      <c r="A2306" s="356"/>
      <c r="B2306" s="362"/>
      <c r="C2306" s="354"/>
      <c r="D2306" s="4" t="s">
        <v>8</v>
      </c>
      <c r="E2306" s="168" t="str">
        <f>A2287&amp;"/"&amp;B2295&amp;"/"&amp;C2305&amp;"/"&amp;D2306</f>
        <v>Biomass and waste fired power plants/Fluidized bed combustion/CHP with CCS/M</v>
      </c>
      <c r="F2306" s="80" t="str">
        <f>A2287</f>
        <v>Biomass and waste fired power plants</v>
      </c>
      <c r="G2306" s="80" t="str">
        <f>B2295</f>
        <v>Fluidized bed combustion</v>
      </c>
      <c r="H2306" s="80" t="str">
        <f>C2305</f>
        <v>CHP with CCS</v>
      </c>
      <c r="I2306" s="169" t="str">
        <f t="shared" si="116"/>
        <v>M</v>
      </c>
      <c r="J2306" s="99" t="s">
        <v>112</v>
      </c>
      <c r="K2306" s="99" t="s">
        <v>112</v>
      </c>
      <c r="L2306" s="99" t="s">
        <v>112</v>
      </c>
      <c r="M2306" s="99" t="s">
        <v>112</v>
      </c>
      <c r="N2306" s="99" t="s">
        <v>112</v>
      </c>
      <c r="O2306" s="99" t="s">
        <v>112</v>
      </c>
      <c r="P2306" s="99" t="s">
        <v>112</v>
      </c>
      <c r="Q2306" s="99" t="s">
        <v>112</v>
      </c>
      <c r="R2306" s="99" t="s">
        <v>112</v>
      </c>
      <c r="S2306" s="99" t="s">
        <v>112</v>
      </c>
      <c r="T2306" s="99" t="s">
        <v>112</v>
      </c>
      <c r="U2306" s="99" t="s">
        <v>112</v>
      </c>
      <c r="V2306" s="99" t="s">
        <v>112</v>
      </c>
      <c r="W2306" s="99" t="s">
        <v>112</v>
      </c>
      <c r="X2306" s="99" t="s">
        <v>112</v>
      </c>
      <c r="Y2306" s="99" t="s">
        <v>112</v>
      </c>
      <c r="Z2306" s="99" t="s">
        <v>112</v>
      </c>
      <c r="AA2306" s="99" t="s">
        <v>112</v>
      </c>
      <c r="AB2306" s="99" t="s">
        <v>112</v>
      </c>
      <c r="AC2306" s="99" t="s">
        <v>112</v>
      </c>
      <c r="AD2306" s="99" t="s">
        <v>112</v>
      </c>
      <c r="AE2306" s="99">
        <v>5823.335963916652</v>
      </c>
      <c r="AF2306" s="99">
        <v>5823.335963916652</v>
      </c>
      <c r="AG2306" s="99">
        <v>5823.335963916652</v>
      </c>
      <c r="AH2306" s="99">
        <v>5823.335963916652</v>
      </c>
      <c r="AI2306" s="99">
        <v>5823.335963916652</v>
      </c>
      <c r="AJ2306" s="99">
        <v>5823.335963916652</v>
      </c>
      <c r="AK2306" s="99">
        <v>5823.335963916652</v>
      </c>
      <c r="AL2306" s="99">
        <v>5823.335963916652</v>
      </c>
      <c r="AM2306" s="99">
        <v>5823.335963916652</v>
      </c>
      <c r="AN2306" s="99">
        <v>5823.335963916652</v>
      </c>
      <c r="AO2306" s="99">
        <v>5823.335963916652</v>
      </c>
      <c r="AP2306" s="99">
        <v>5823.335963916652</v>
      </c>
      <c r="AQ2306" s="99">
        <v>5823.335963916652</v>
      </c>
      <c r="AR2306" s="99">
        <v>5823.335963916652</v>
      </c>
      <c r="AS2306" s="99">
        <v>5823.335963916652</v>
      </c>
      <c r="AT2306" s="99">
        <v>5823.335963916652</v>
      </c>
      <c r="AU2306" s="99">
        <v>5823.335963916652</v>
      </c>
      <c r="AV2306" s="99">
        <v>5823.335963916652</v>
      </c>
      <c r="AW2306" s="99">
        <v>5823.335963916652</v>
      </c>
      <c r="AX2306" s="100">
        <v>5823.335963916652</v>
      </c>
    </row>
    <row r="2307" spans="1:50" x14ac:dyDescent="0.25">
      <c r="A2307" s="356"/>
      <c r="B2307" s="358" t="s">
        <v>19</v>
      </c>
      <c r="C2307" s="353" t="s">
        <v>6</v>
      </c>
      <c r="D2307" s="3" t="s">
        <v>7</v>
      </c>
      <c r="E2307" s="162" t="str">
        <f>A2287&amp;"/"&amp;B2307&amp;"/"&amp;C2307&amp;"/"&amp;D2307</f>
        <v>Biomass and waste fired power plants/Steam turbine/Electricity only/L</v>
      </c>
      <c r="F2307" s="77" t="str">
        <f>A2287</f>
        <v>Biomass and waste fired power plants</v>
      </c>
      <c r="G2307" s="77" t="str">
        <f>B2307</f>
        <v>Steam turbine</v>
      </c>
      <c r="H2307" s="77" t="str">
        <f>C2307</f>
        <v>Electricity only</v>
      </c>
      <c r="I2307" s="163" t="str">
        <f t="shared" si="116"/>
        <v>L</v>
      </c>
      <c r="J2307" s="93">
        <v>6300</v>
      </c>
      <c r="K2307" s="93">
        <v>6300</v>
      </c>
      <c r="L2307" s="93">
        <v>6300</v>
      </c>
      <c r="M2307" s="93">
        <v>6300</v>
      </c>
      <c r="N2307" s="93">
        <v>6300</v>
      </c>
      <c r="O2307" s="93">
        <v>6300</v>
      </c>
      <c r="P2307" s="93">
        <v>6300</v>
      </c>
      <c r="Q2307" s="93">
        <v>6300</v>
      </c>
      <c r="R2307" s="93">
        <v>6300</v>
      </c>
      <c r="S2307" s="93">
        <v>6300</v>
      </c>
      <c r="T2307" s="93">
        <v>6300</v>
      </c>
      <c r="U2307" s="93">
        <v>6300</v>
      </c>
      <c r="V2307" s="93">
        <v>6300</v>
      </c>
      <c r="W2307" s="93">
        <v>6300</v>
      </c>
      <c r="X2307" s="93">
        <v>6300</v>
      </c>
      <c r="Y2307" s="93">
        <v>6300</v>
      </c>
      <c r="Z2307" s="93">
        <v>6300</v>
      </c>
      <c r="AA2307" s="93">
        <v>6300</v>
      </c>
      <c r="AB2307" s="93">
        <v>6300</v>
      </c>
      <c r="AC2307" s="93">
        <v>6300</v>
      </c>
      <c r="AD2307" s="93">
        <v>6300</v>
      </c>
      <c r="AE2307" s="93">
        <v>6300</v>
      </c>
      <c r="AF2307" s="93">
        <v>6300</v>
      </c>
      <c r="AG2307" s="93">
        <v>6300</v>
      </c>
      <c r="AH2307" s="93">
        <v>6300</v>
      </c>
      <c r="AI2307" s="93">
        <v>6300</v>
      </c>
      <c r="AJ2307" s="93">
        <v>6300</v>
      </c>
      <c r="AK2307" s="93">
        <v>6300</v>
      </c>
      <c r="AL2307" s="93">
        <v>6300</v>
      </c>
      <c r="AM2307" s="93">
        <v>6300</v>
      </c>
      <c r="AN2307" s="93">
        <v>6300</v>
      </c>
      <c r="AO2307" s="93">
        <v>6300</v>
      </c>
      <c r="AP2307" s="93">
        <v>6300</v>
      </c>
      <c r="AQ2307" s="93">
        <v>6300</v>
      </c>
      <c r="AR2307" s="93">
        <v>6300</v>
      </c>
      <c r="AS2307" s="93">
        <v>6300</v>
      </c>
      <c r="AT2307" s="93">
        <v>6300</v>
      </c>
      <c r="AU2307" s="93">
        <v>6300</v>
      </c>
      <c r="AV2307" s="93">
        <v>6300</v>
      </c>
      <c r="AW2307" s="93">
        <v>6300</v>
      </c>
      <c r="AX2307" s="94">
        <v>6300</v>
      </c>
    </row>
    <row r="2308" spans="1:50" x14ac:dyDescent="0.25">
      <c r="A2308" s="356"/>
      <c r="B2308" s="359"/>
      <c r="C2308" s="350"/>
      <c r="D2308" s="2" t="s">
        <v>8</v>
      </c>
      <c r="E2308" s="160" t="str">
        <f>A2287&amp;"/"&amp;B2307&amp;"/"&amp;C2307&amp;"/"&amp;D2308</f>
        <v>Biomass and waste fired power plants/Steam turbine/Electricity only/M</v>
      </c>
      <c r="F2308" s="76" t="str">
        <f>A2287</f>
        <v>Biomass and waste fired power plants</v>
      </c>
      <c r="G2308" s="76" t="str">
        <f>B2307</f>
        <v>Steam turbine</v>
      </c>
      <c r="H2308" s="76" t="str">
        <f>C2307</f>
        <v>Electricity only</v>
      </c>
      <c r="I2308" s="161" t="str">
        <f t="shared" si="116"/>
        <v>M</v>
      </c>
      <c r="J2308" s="91">
        <v>5780.0322267709898</v>
      </c>
      <c r="K2308" s="91">
        <v>5780.0322267709898</v>
      </c>
      <c r="L2308" s="91">
        <v>5780.0322267709898</v>
      </c>
      <c r="M2308" s="91">
        <v>5780.0322267709898</v>
      </c>
      <c r="N2308" s="91">
        <v>5780.0322267709898</v>
      </c>
      <c r="O2308" s="91">
        <v>5780.0322267709898</v>
      </c>
      <c r="P2308" s="91">
        <v>5780.0322267709898</v>
      </c>
      <c r="Q2308" s="91">
        <v>5780.0322267709898</v>
      </c>
      <c r="R2308" s="91">
        <v>5780.0322267709898</v>
      </c>
      <c r="S2308" s="91">
        <v>5780.0322267709898</v>
      </c>
      <c r="T2308" s="91">
        <v>5780.0322267709898</v>
      </c>
      <c r="U2308" s="91">
        <v>5780.0322267709898</v>
      </c>
      <c r="V2308" s="91">
        <v>5780.0322267709898</v>
      </c>
      <c r="W2308" s="91">
        <v>5780.0322267709898</v>
      </c>
      <c r="X2308" s="91">
        <v>5780.0322267709898</v>
      </c>
      <c r="Y2308" s="91">
        <v>5780.0322267709898</v>
      </c>
      <c r="Z2308" s="91">
        <v>5780.0322267709898</v>
      </c>
      <c r="AA2308" s="91">
        <v>5780.0322267709898</v>
      </c>
      <c r="AB2308" s="91">
        <v>5780.0322267709898</v>
      </c>
      <c r="AC2308" s="91">
        <v>5780.0322267709898</v>
      </c>
      <c r="AD2308" s="91">
        <v>5780.0322267709898</v>
      </c>
      <c r="AE2308" s="91">
        <v>5780.0322267709898</v>
      </c>
      <c r="AF2308" s="91">
        <v>5780.0322267709898</v>
      </c>
      <c r="AG2308" s="91">
        <v>5780.0322267709898</v>
      </c>
      <c r="AH2308" s="91">
        <v>5780.0322267709898</v>
      </c>
      <c r="AI2308" s="91">
        <v>5780.0322267709898</v>
      </c>
      <c r="AJ2308" s="91">
        <v>5780.0322267709898</v>
      </c>
      <c r="AK2308" s="91">
        <v>5780.0322267709898</v>
      </c>
      <c r="AL2308" s="91">
        <v>5780.0322267709898</v>
      </c>
      <c r="AM2308" s="91">
        <v>5780.0322267709898</v>
      </c>
      <c r="AN2308" s="91">
        <v>5780.0322267709898</v>
      </c>
      <c r="AO2308" s="91">
        <v>5780.0322267709898</v>
      </c>
      <c r="AP2308" s="91">
        <v>5780.0322267709898</v>
      </c>
      <c r="AQ2308" s="91">
        <v>5780.0322267709898</v>
      </c>
      <c r="AR2308" s="91">
        <v>5780.0322267709898</v>
      </c>
      <c r="AS2308" s="91">
        <v>5780.0322267709898</v>
      </c>
      <c r="AT2308" s="91">
        <v>5780.0322267709898</v>
      </c>
      <c r="AU2308" s="91">
        <v>5780.0322267709898</v>
      </c>
      <c r="AV2308" s="91">
        <v>5780.0322267709898</v>
      </c>
      <c r="AW2308" s="91">
        <v>5780.0322267709898</v>
      </c>
      <c r="AX2308" s="92">
        <v>5780.0322267709898</v>
      </c>
    </row>
    <row r="2309" spans="1:50" x14ac:dyDescent="0.25">
      <c r="A2309" s="356"/>
      <c r="B2309" s="359"/>
      <c r="C2309" s="350"/>
      <c r="D2309" s="2" t="s">
        <v>10</v>
      </c>
      <c r="E2309" s="160" t="str">
        <f>A2287&amp;"/"&amp;B2307&amp;"/"&amp;C2307&amp;"/"&amp;D2309</f>
        <v>Biomass and waste fired power plants/Steam turbine/Electricity only/S</v>
      </c>
      <c r="F2309" s="76" t="str">
        <f>A2287</f>
        <v>Biomass and waste fired power plants</v>
      </c>
      <c r="G2309" s="76" t="str">
        <f>B2307</f>
        <v>Steam turbine</v>
      </c>
      <c r="H2309" s="76" t="str">
        <f>C2307</f>
        <v>Electricity only</v>
      </c>
      <c r="I2309" s="161" t="str">
        <f t="shared" si="116"/>
        <v>S</v>
      </c>
      <c r="J2309" s="91">
        <v>5187.571258230033</v>
      </c>
      <c r="K2309" s="91">
        <v>5187.571258230033</v>
      </c>
      <c r="L2309" s="91">
        <v>5187.571258230033</v>
      </c>
      <c r="M2309" s="91">
        <v>5187.571258230033</v>
      </c>
      <c r="N2309" s="91">
        <v>5187.571258230033</v>
      </c>
      <c r="O2309" s="91">
        <v>5187.571258230033</v>
      </c>
      <c r="P2309" s="91">
        <v>5187.571258230033</v>
      </c>
      <c r="Q2309" s="91">
        <v>5187.571258230033</v>
      </c>
      <c r="R2309" s="91">
        <v>5187.571258230033</v>
      </c>
      <c r="S2309" s="91">
        <v>5187.571258230033</v>
      </c>
      <c r="T2309" s="91">
        <v>5187.571258230033</v>
      </c>
      <c r="U2309" s="91">
        <v>5187.571258230033</v>
      </c>
      <c r="V2309" s="91">
        <v>5187.571258230033</v>
      </c>
      <c r="W2309" s="91">
        <v>5187.571258230033</v>
      </c>
      <c r="X2309" s="91">
        <v>5187.571258230033</v>
      </c>
      <c r="Y2309" s="91">
        <v>5187.571258230033</v>
      </c>
      <c r="Z2309" s="91">
        <v>5187.571258230033</v>
      </c>
      <c r="AA2309" s="91">
        <v>5187.571258230033</v>
      </c>
      <c r="AB2309" s="91">
        <v>5187.571258230033</v>
      </c>
      <c r="AC2309" s="91">
        <v>5187.571258230033</v>
      </c>
      <c r="AD2309" s="91">
        <v>5187.571258230033</v>
      </c>
      <c r="AE2309" s="91">
        <v>5187.571258230033</v>
      </c>
      <c r="AF2309" s="91">
        <v>5187.571258230033</v>
      </c>
      <c r="AG2309" s="91">
        <v>5187.571258230033</v>
      </c>
      <c r="AH2309" s="91">
        <v>5187.571258230033</v>
      </c>
      <c r="AI2309" s="91">
        <v>5187.571258230033</v>
      </c>
      <c r="AJ2309" s="91">
        <v>5187.571258230033</v>
      </c>
      <c r="AK2309" s="91">
        <v>5187.571258230033</v>
      </c>
      <c r="AL2309" s="91">
        <v>5187.571258230033</v>
      </c>
      <c r="AM2309" s="91">
        <v>5187.571258230033</v>
      </c>
      <c r="AN2309" s="91">
        <v>5187.571258230033</v>
      </c>
      <c r="AO2309" s="91">
        <v>5187.571258230033</v>
      </c>
      <c r="AP2309" s="91">
        <v>5187.571258230033</v>
      </c>
      <c r="AQ2309" s="91">
        <v>5187.571258230033</v>
      </c>
      <c r="AR2309" s="91">
        <v>5187.571258230033</v>
      </c>
      <c r="AS2309" s="91">
        <v>5187.571258230033</v>
      </c>
      <c r="AT2309" s="91">
        <v>5187.571258230033</v>
      </c>
      <c r="AU2309" s="91">
        <v>5187.571258230033</v>
      </c>
      <c r="AV2309" s="91">
        <v>5187.571258230033</v>
      </c>
      <c r="AW2309" s="91">
        <v>5187.571258230033</v>
      </c>
      <c r="AX2309" s="92">
        <v>5187.571258230033</v>
      </c>
    </row>
    <row r="2310" spans="1:50" x14ac:dyDescent="0.25">
      <c r="A2310" s="356"/>
      <c r="B2310" s="359"/>
      <c r="C2310" s="360"/>
      <c r="D2310" s="2" t="s">
        <v>20</v>
      </c>
      <c r="E2310" s="160" t="str">
        <f>A2287&amp;"/"&amp;B2307&amp;"/"&amp;C2307&amp;"/"&amp;D2310</f>
        <v>Biomass and waste fired power plants/Steam turbine/Electricity only/XS</v>
      </c>
      <c r="F2310" s="76" t="str">
        <f>A2287</f>
        <v>Biomass and waste fired power plants</v>
      </c>
      <c r="G2310" s="76" t="str">
        <f>B2307</f>
        <v>Steam turbine</v>
      </c>
      <c r="H2310" s="76" t="str">
        <f>C2307</f>
        <v>Electricity only</v>
      </c>
      <c r="I2310" s="161" t="str">
        <f t="shared" si="116"/>
        <v>XS</v>
      </c>
      <c r="J2310" s="91">
        <v>4887.1361643168057</v>
      </c>
      <c r="K2310" s="91">
        <v>4887.1361643168057</v>
      </c>
      <c r="L2310" s="91">
        <v>4887.1361643168057</v>
      </c>
      <c r="M2310" s="91">
        <v>4887.1361643168057</v>
      </c>
      <c r="N2310" s="91">
        <v>4887.1361643168057</v>
      </c>
      <c r="O2310" s="91">
        <v>4887.1361643168057</v>
      </c>
      <c r="P2310" s="91">
        <v>4887.1361643168057</v>
      </c>
      <c r="Q2310" s="91">
        <v>4887.1361643168057</v>
      </c>
      <c r="R2310" s="91">
        <v>4887.1361643168057</v>
      </c>
      <c r="S2310" s="91">
        <v>4887.1361643168057</v>
      </c>
      <c r="T2310" s="91">
        <v>4887.1361643168057</v>
      </c>
      <c r="U2310" s="91">
        <v>4887.1361643168057</v>
      </c>
      <c r="V2310" s="91">
        <v>4887.1361643168057</v>
      </c>
      <c r="W2310" s="91">
        <v>4887.1361643168057</v>
      </c>
      <c r="X2310" s="91">
        <v>4887.1361643168057</v>
      </c>
      <c r="Y2310" s="91">
        <v>4887.1361643168057</v>
      </c>
      <c r="Z2310" s="91">
        <v>4887.1361643168057</v>
      </c>
      <c r="AA2310" s="91">
        <v>4887.1361643168057</v>
      </c>
      <c r="AB2310" s="91">
        <v>4887.1361643168057</v>
      </c>
      <c r="AC2310" s="91">
        <v>4887.1361643168057</v>
      </c>
      <c r="AD2310" s="91">
        <v>4887.1361643168057</v>
      </c>
      <c r="AE2310" s="91">
        <v>4887.1361643168057</v>
      </c>
      <c r="AF2310" s="91">
        <v>4887.1361643168057</v>
      </c>
      <c r="AG2310" s="91">
        <v>4887.1361643168057</v>
      </c>
      <c r="AH2310" s="91">
        <v>4887.1361643168057</v>
      </c>
      <c r="AI2310" s="91">
        <v>4887.1361643168057</v>
      </c>
      <c r="AJ2310" s="91">
        <v>4887.1361643168057</v>
      </c>
      <c r="AK2310" s="91">
        <v>4887.1361643168057</v>
      </c>
      <c r="AL2310" s="91">
        <v>4887.1361643168057</v>
      </c>
      <c r="AM2310" s="91">
        <v>4887.1361643168057</v>
      </c>
      <c r="AN2310" s="91">
        <v>4887.1361643168057</v>
      </c>
      <c r="AO2310" s="91">
        <v>4887.1361643168057</v>
      </c>
      <c r="AP2310" s="91">
        <v>4887.1361643168057</v>
      </c>
      <c r="AQ2310" s="91">
        <v>4887.1361643168057</v>
      </c>
      <c r="AR2310" s="91">
        <v>4887.1361643168057</v>
      </c>
      <c r="AS2310" s="91">
        <v>4887.1361643168057</v>
      </c>
      <c r="AT2310" s="91">
        <v>4887.1361643168057</v>
      </c>
      <c r="AU2310" s="91">
        <v>4887.1361643168057</v>
      </c>
      <c r="AV2310" s="91">
        <v>4887.1361643168057</v>
      </c>
      <c r="AW2310" s="91">
        <v>4887.1361643168057</v>
      </c>
      <c r="AX2310" s="92">
        <v>4887.1361643168057</v>
      </c>
    </row>
    <row r="2311" spans="1:50" x14ac:dyDescent="0.25">
      <c r="A2311" s="356"/>
      <c r="B2311" s="359"/>
      <c r="C2311" s="361" t="s">
        <v>14</v>
      </c>
      <c r="D2311" s="58" t="s">
        <v>7</v>
      </c>
      <c r="E2311" s="164" t="str">
        <f>A2287&amp;"/"&amp;B2307&amp;"/"&amp;C2311&amp;"/"&amp;D2311</f>
        <v>Biomass and waste fired power plants/Steam turbine/CHP/L</v>
      </c>
      <c r="F2311" s="78" t="str">
        <f>A2287</f>
        <v>Biomass and waste fired power plants</v>
      </c>
      <c r="G2311" s="78" t="str">
        <f>B2307</f>
        <v>Steam turbine</v>
      </c>
      <c r="H2311" s="78" t="str">
        <f>C2311</f>
        <v>CHP</v>
      </c>
      <c r="I2311" s="165" t="str">
        <f t="shared" si="116"/>
        <v>L</v>
      </c>
      <c r="J2311" s="95">
        <v>5685</v>
      </c>
      <c r="K2311" s="95">
        <v>5685</v>
      </c>
      <c r="L2311" s="95">
        <v>5685</v>
      </c>
      <c r="M2311" s="95">
        <v>5685</v>
      </c>
      <c r="N2311" s="95">
        <v>5685</v>
      </c>
      <c r="O2311" s="95">
        <v>5685</v>
      </c>
      <c r="P2311" s="95">
        <v>5685</v>
      </c>
      <c r="Q2311" s="95">
        <v>5685</v>
      </c>
      <c r="R2311" s="95">
        <v>5685</v>
      </c>
      <c r="S2311" s="95">
        <v>5685</v>
      </c>
      <c r="T2311" s="95">
        <v>5685</v>
      </c>
      <c r="U2311" s="95">
        <v>5685</v>
      </c>
      <c r="V2311" s="95">
        <v>5685</v>
      </c>
      <c r="W2311" s="95">
        <v>5685</v>
      </c>
      <c r="X2311" s="95">
        <v>5685</v>
      </c>
      <c r="Y2311" s="95">
        <v>5685</v>
      </c>
      <c r="Z2311" s="95">
        <v>5685</v>
      </c>
      <c r="AA2311" s="95">
        <v>5685</v>
      </c>
      <c r="AB2311" s="95">
        <v>5685</v>
      </c>
      <c r="AC2311" s="95">
        <v>5685</v>
      </c>
      <c r="AD2311" s="95">
        <v>5685</v>
      </c>
      <c r="AE2311" s="95">
        <v>5685</v>
      </c>
      <c r="AF2311" s="95">
        <v>5685</v>
      </c>
      <c r="AG2311" s="95">
        <v>5685</v>
      </c>
      <c r="AH2311" s="95">
        <v>5685</v>
      </c>
      <c r="AI2311" s="95">
        <v>5685</v>
      </c>
      <c r="AJ2311" s="95">
        <v>5685</v>
      </c>
      <c r="AK2311" s="95">
        <v>5685</v>
      </c>
      <c r="AL2311" s="95">
        <v>5685</v>
      </c>
      <c r="AM2311" s="95">
        <v>5685</v>
      </c>
      <c r="AN2311" s="95">
        <v>5685</v>
      </c>
      <c r="AO2311" s="95">
        <v>5685</v>
      </c>
      <c r="AP2311" s="95">
        <v>5685</v>
      </c>
      <c r="AQ2311" s="95">
        <v>5685</v>
      </c>
      <c r="AR2311" s="95">
        <v>5685</v>
      </c>
      <c r="AS2311" s="95">
        <v>5685</v>
      </c>
      <c r="AT2311" s="95">
        <v>5685</v>
      </c>
      <c r="AU2311" s="95">
        <v>5685</v>
      </c>
      <c r="AV2311" s="95">
        <v>5685</v>
      </c>
      <c r="AW2311" s="95">
        <v>5685</v>
      </c>
      <c r="AX2311" s="96">
        <v>5685</v>
      </c>
    </row>
    <row r="2312" spans="1:50" x14ac:dyDescent="0.25">
      <c r="A2312" s="356"/>
      <c r="B2312" s="359"/>
      <c r="C2312" s="350"/>
      <c r="D2312" s="2" t="s">
        <v>8</v>
      </c>
      <c r="E2312" s="160" t="str">
        <f>A2287&amp;"/"&amp;B2307&amp;"/"&amp;C2311&amp;"/"&amp;D2312</f>
        <v>Biomass and waste fired power plants/Steam turbine/CHP/M</v>
      </c>
      <c r="F2312" s="76" t="str">
        <f>A2287</f>
        <v>Biomass and waste fired power plants</v>
      </c>
      <c r="G2312" s="76" t="str">
        <f>B2307</f>
        <v>Steam turbine</v>
      </c>
      <c r="H2312" s="76" t="str">
        <f>C2311</f>
        <v>CHP</v>
      </c>
      <c r="I2312" s="161" t="str">
        <f t="shared" si="116"/>
        <v>M</v>
      </c>
      <c r="J2312" s="91">
        <v>5228.6237176860532</v>
      </c>
      <c r="K2312" s="91">
        <v>5228.6237176860532</v>
      </c>
      <c r="L2312" s="91">
        <v>5228.6237176860532</v>
      </c>
      <c r="M2312" s="91">
        <v>5228.6237176860532</v>
      </c>
      <c r="N2312" s="91">
        <v>5228.6237176860532</v>
      </c>
      <c r="O2312" s="91">
        <v>5228.6237176860532</v>
      </c>
      <c r="P2312" s="91">
        <v>5228.6237176860532</v>
      </c>
      <c r="Q2312" s="91">
        <v>5228.6237176860532</v>
      </c>
      <c r="R2312" s="91">
        <v>5228.6237176860532</v>
      </c>
      <c r="S2312" s="91">
        <v>5228.6237176860532</v>
      </c>
      <c r="T2312" s="91">
        <v>5228.6237176860532</v>
      </c>
      <c r="U2312" s="91">
        <v>5228.6237176860532</v>
      </c>
      <c r="V2312" s="91">
        <v>5228.6237176860532</v>
      </c>
      <c r="W2312" s="91">
        <v>5228.6237176860532</v>
      </c>
      <c r="X2312" s="91">
        <v>5228.6237176860532</v>
      </c>
      <c r="Y2312" s="91">
        <v>5228.6237176860532</v>
      </c>
      <c r="Z2312" s="91">
        <v>5228.6237176860532</v>
      </c>
      <c r="AA2312" s="91">
        <v>5228.6237176860532</v>
      </c>
      <c r="AB2312" s="91">
        <v>5228.6237176860532</v>
      </c>
      <c r="AC2312" s="91">
        <v>5228.6237176860532</v>
      </c>
      <c r="AD2312" s="91">
        <v>5228.6237176860532</v>
      </c>
      <c r="AE2312" s="91">
        <v>5228.6237176860532</v>
      </c>
      <c r="AF2312" s="91">
        <v>5228.6237176860532</v>
      </c>
      <c r="AG2312" s="91">
        <v>5228.6237176860532</v>
      </c>
      <c r="AH2312" s="91">
        <v>5228.6237176860532</v>
      </c>
      <c r="AI2312" s="91">
        <v>5228.6237176860532</v>
      </c>
      <c r="AJ2312" s="91">
        <v>5228.6237176860532</v>
      </c>
      <c r="AK2312" s="91">
        <v>5228.6237176860532</v>
      </c>
      <c r="AL2312" s="91">
        <v>5228.6237176860532</v>
      </c>
      <c r="AM2312" s="91">
        <v>5228.6237176860532</v>
      </c>
      <c r="AN2312" s="91">
        <v>5228.6237176860532</v>
      </c>
      <c r="AO2312" s="91">
        <v>5228.6237176860532</v>
      </c>
      <c r="AP2312" s="91">
        <v>5228.6237176860532</v>
      </c>
      <c r="AQ2312" s="91">
        <v>5228.6237176860532</v>
      </c>
      <c r="AR2312" s="91">
        <v>5228.6237176860532</v>
      </c>
      <c r="AS2312" s="91">
        <v>5228.6237176860532</v>
      </c>
      <c r="AT2312" s="91">
        <v>5228.6237176860532</v>
      </c>
      <c r="AU2312" s="91">
        <v>5228.6237176860532</v>
      </c>
      <c r="AV2312" s="91">
        <v>5228.6237176860532</v>
      </c>
      <c r="AW2312" s="91">
        <v>5228.6237176860532</v>
      </c>
      <c r="AX2312" s="92">
        <v>5228.6237176860532</v>
      </c>
    </row>
    <row r="2313" spans="1:50" x14ac:dyDescent="0.25">
      <c r="A2313" s="356"/>
      <c r="B2313" s="359"/>
      <c r="C2313" s="350"/>
      <c r="D2313" s="2" t="s">
        <v>10</v>
      </c>
      <c r="E2313" s="160" t="str">
        <f>A2287&amp;"/"&amp;B2307&amp;"/"&amp;C2311&amp;"/"&amp;D2313</f>
        <v>Biomass and waste fired power plants/Steam turbine/CHP/S</v>
      </c>
      <c r="F2313" s="76" t="str">
        <f>A2287</f>
        <v>Biomass and waste fired power plants</v>
      </c>
      <c r="G2313" s="76" t="str">
        <f>B2307</f>
        <v>Steam turbine</v>
      </c>
      <c r="H2313" s="76" t="str">
        <f>C2311</f>
        <v>CHP</v>
      </c>
      <c r="I2313" s="161" t="str">
        <f t="shared" si="116"/>
        <v>S</v>
      </c>
      <c r="J2313" s="91">
        <v>4707.3861184731813</v>
      </c>
      <c r="K2313" s="91">
        <v>4707.3861184731813</v>
      </c>
      <c r="L2313" s="91">
        <v>4707.3861184731813</v>
      </c>
      <c r="M2313" s="91">
        <v>4707.3861184731813</v>
      </c>
      <c r="N2313" s="91">
        <v>4707.3861184731813</v>
      </c>
      <c r="O2313" s="91">
        <v>4707.3861184731813</v>
      </c>
      <c r="P2313" s="91">
        <v>4707.3861184731813</v>
      </c>
      <c r="Q2313" s="91">
        <v>4707.3861184731813</v>
      </c>
      <c r="R2313" s="91">
        <v>4707.3861184731813</v>
      </c>
      <c r="S2313" s="91">
        <v>4707.3861184731813</v>
      </c>
      <c r="T2313" s="91">
        <v>4707.3861184731813</v>
      </c>
      <c r="U2313" s="91">
        <v>4707.3861184731813</v>
      </c>
      <c r="V2313" s="91">
        <v>4707.3861184731813</v>
      </c>
      <c r="W2313" s="91">
        <v>4707.3861184731813</v>
      </c>
      <c r="X2313" s="91">
        <v>4707.3861184731813</v>
      </c>
      <c r="Y2313" s="91">
        <v>4707.3861184731813</v>
      </c>
      <c r="Z2313" s="91">
        <v>4707.3861184731813</v>
      </c>
      <c r="AA2313" s="91">
        <v>4707.3861184731813</v>
      </c>
      <c r="AB2313" s="91">
        <v>4707.3861184731813</v>
      </c>
      <c r="AC2313" s="91">
        <v>4707.3861184731813</v>
      </c>
      <c r="AD2313" s="91">
        <v>4707.3861184731813</v>
      </c>
      <c r="AE2313" s="91">
        <v>4707.3861184731813</v>
      </c>
      <c r="AF2313" s="91">
        <v>4707.3861184731813</v>
      </c>
      <c r="AG2313" s="91">
        <v>4707.3861184731813</v>
      </c>
      <c r="AH2313" s="91">
        <v>4707.3861184731813</v>
      </c>
      <c r="AI2313" s="91">
        <v>4707.3861184731813</v>
      </c>
      <c r="AJ2313" s="91">
        <v>4707.3861184731813</v>
      </c>
      <c r="AK2313" s="91">
        <v>4707.3861184731813</v>
      </c>
      <c r="AL2313" s="91">
        <v>4707.3861184731813</v>
      </c>
      <c r="AM2313" s="91">
        <v>4707.3861184731813</v>
      </c>
      <c r="AN2313" s="91">
        <v>4707.3861184731813</v>
      </c>
      <c r="AO2313" s="91">
        <v>4707.3861184731813</v>
      </c>
      <c r="AP2313" s="91">
        <v>4707.3861184731813</v>
      </c>
      <c r="AQ2313" s="91">
        <v>4707.3861184731813</v>
      </c>
      <c r="AR2313" s="91">
        <v>4707.3861184731813</v>
      </c>
      <c r="AS2313" s="91">
        <v>4707.3861184731813</v>
      </c>
      <c r="AT2313" s="91">
        <v>4707.3861184731813</v>
      </c>
      <c r="AU2313" s="91">
        <v>4707.3861184731813</v>
      </c>
      <c r="AV2313" s="91">
        <v>4707.3861184731813</v>
      </c>
      <c r="AW2313" s="91">
        <v>4707.3861184731813</v>
      </c>
      <c r="AX2313" s="92">
        <v>4707.3861184731813</v>
      </c>
    </row>
    <row r="2314" spans="1:50" x14ac:dyDescent="0.25">
      <c r="A2314" s="356"/>
      <c r="B2314" s="359"/>
      <c r="C2314" s="360"/>
      <c r="D2314" s="59" t="s">
        <v>20</v>
      </c>
      <c r="E2314" s="166" t="str">
        <f>A2287&amp;"/"&amp;B2307&amp;"/"&amp;C2311&amp;"/"&amp;D2314</f>
        <v>Biomass and waste fired power plants/Steam turbine/CHP/XS</v>
      </c>
      <c r="F2314" s="79" t="str">
        <f>A2287</f>
        <v>Biomass and waste fired power plants</v>
      </c>
      <c r="G2314" s="79" t="str">
        <f>B2307</f>
        <v>Steam turbine</v>
      </c>
      <c r="H2314" s="79" t="str">
        <f>C2311</f>
        <v>CHP</v>
      </c>
      <c r="I2314" s="167" t="str">
        <f t="shared" si="116"/>
        <v>XS</v>
      </c>
      <c r="J2314" s="97">
        <v>4442.4874680814555</v>
      </c>
      <c r="K2314" s="97">
        <v>4442.4874680814555</v>
      </c>
      <c r="L2314" s="97">
        <v>4442.4874680814555</v>
      </c>
      <c r="M2314" s="97">
        <v>4442.4874680814555</v>
      </c>
      <c r="N2314" s="97">
        <v>4442.4874680814555</v>
      </c>
      <c r="O2314" s="97">
        <v>4442.4874680814555</v>
      </c>
      <c r="P2314" s="97">
        <v>4442.4874680814555</v>
      </c>
      <c r="Q2314" s="97">
        <v>4442.4874680814555</v>
      </c>
      <c r="R2314" s="97">
        <v>4442.4874680814555</v>
      </c>
      <c r="S2314" s="97">
        <v>4442.4874680814555</v>
      </c>
      <c r="T2314" s="97">
        <v>4442.4874680814555</v>
      </c>
      <c r="U2314" s="97">
        <v>4442.4874680814555</v>
      </c>
      <c r="V2314" s="97">
        <v>4442.4874680814555</v>
      </c>
      <c r="W2314" s="97">
        <v>4442.4874680814555</v>
      </c>
      <c r="X2314" s="97">
        <v>4442.4874680814555</v>
      </c>
      <c r="Y2314" s="97">
        <v>4442.4874680814555</v>
      </c>
      <c r="Z2314" s="97">
        <v>4442.4874680814555</v>
      </c>
      <c r="AA2314" s="97">
        <v>4442.4874680814555</v>
      </c>
      <c r="AB2314" s="97">
        <v>4442.4874680814555</v>
      </c>
      <c r="AC2314" s="97">
        <v>4442.4874680814555</v>
      </c>
      <c r="AD2314" s="97">
        <v>4442.4874680814555</v>
      </c>
      <c r="AE2314" s="97">
        <v>4442.4874680814555</v>
      </c>
      <c r="AF2314" s="97">
        <v>4442.4874680814555</v>
      </c>
      <c r="AG2314" s="97">
        <v>4442.4874680814555</v>
      </c>
      <c r="AH2314" s="97">
        <v>4442.4874680814555</v>
      </c>
      <c r="AI2314" s="97">
        <v>4442.4874680814555</v>
      </c>
      <c r="AJ2314" s="97">
        <v>4442.4874680814555</v>
      </c>
      <c r="AK2314" s="97">
        <v>4442.4874680814555</v>
      </c>
      <c r="AL2314" s="97">
        <v>4442.4874680814555</v>
      </c>
      <c r="AM2314" s="97">
        <v>4442.4874680814555</v>
      </c>
      <c r="AN2314" s="97">
        <v>4442.4874680814555</v>
      </c>
      <c r="AO2314" s="97">
        <v>4442.4874680814555</v>
      </c>
      <c r="AP2314" s="97">
        <v>4442.4874680814555</v>
      </c>
      <c r="AQ2314" s="97">
        <v>4442.4874680814555</v>
      </c>
      <c r="AR2314" s="97">
        <v>4442.4874680814555</v>
      </c>
      <c r="AS2314" s="97">
        <v>4442.4874680814555</v>
      </c>
      <c r="AT2314" s="97">
        <v>4442.4874680814555</v>
      </c>
      <c r="AU2314" s="97">
        <v>4442.4874680814555</v>
      </c>
      <c r="AV2314" s="97">
        <v>4442.4874680814555</v>
      </c>
      <c r="AW2314" s="97">
        <v>4442.4874680814555</v>
      </c>
      <c r="AX2314" s="98">
        <v>4442.4874680814555</v>
      </c>
    </row>
    <row r="2315" spans="1:50" x14ac:dyDescent="0.25">
      <c r="A2315" s="356"/>
      <c r="B2315" s="359"/>
      <c r="C2315" s="361" t="s">
        <v>15</v>
      </c>
      <c r="D2315" s="58" t="s">
        <v>7</v>
      </c>
      <c r="E2315" s="164" t="str">
        <f>A2287&amp;"/"&amp;B2307&amp;"/"&amp;C2315&amp;"/"&amp;D2315</f>
        <v>Biomass and waste fired power plants/Steam turbine/Electricity only with CCS/L</v>
      </c>
      <c r="F2315" s="78" t="str">
        <f>A2287</f>
        <v>Biomass and waste fired power plants</v>
      </c>
      <c r="G2315" s="78" t="str">
        <f>B2307</f>
        <v>Steam turbine</v>
      </c>
      <c r="H2315" s="78" t="str">
        <f>C2315</f>
        <v>Electricity only with CCS</v>
      </c>
      <c r="I2315" s="165" t="str">
        <f t="shared" si="116"/>
        <v>L</v>
      </c>
      <c r="J2315" s="95" t="s">
        <v>112</v>
      </c>
      <c r="K2315" s="95" t="s">
        <v>112</v>
      </c>
      <c r="L2315" s="95" t="s">
        <v>112</v>
      </c>
      <c r="M2315" s="95" t="s">
        <v>112</v>
      </c>
      <c r="N2315" s="95" t="s">
        <v>112</v>
      </c>
      <c r="O2315" s="95" t="s">
        <v>112</v>
      </c>
      <c r="P2315" s="95" t="s">
        <v>112</v>
      </c>
      <c r="Q2315" s="95" t="s">
        <v>112</v>
      </c>
      <c r="R2315" s="95" t="s">
        <v>112</v>
      </c>
      <c r="S2315" s="95" t="s">
        <v>112</v>
      </c>
      <c r="T2315" s="95" t="s">
        <v>112</v>
      </c>
      <c r="U2315" s="95" t="s">
        <v>112</v>
      </c>
      <c r="V2315" s="95" t="s">
        <v>112</v>
      </c>
      <c r="W2315" s="95" t="s">
        <v>112</v>
      </c>
      <c r="X2315" s="95" t="s">
        <v>112</v>
      </c>
      <c r="Y2315" s="95" t="s">
        <v>112</v>
      </c>
      <c r="Z2315" s="95" t="s">
        <v>112</v>
      </c>
      <c r="AA2315" s="95" t="s">
        <v>112</v>
      </c>
      <c r="AB2315" s="95" t="s">
        <v>112</v>
      </c>
      <c r="AC2315" s="95" t="s">
        <v>112</v>
      </c>
      <c r="AD2315" s="95" t="s">
        <v>112</v>
      </c>
      <c r="AE2315" s="95">
        <v>6300</v>
      </c>
      <c r="AF2315" s="95">
        <v>6300</v>
      </c>
      <c r="AG2315" s="95">
        <v>6300</v>
      </c>
      <c r="AH2315" s="95">
        <v>6300</v>
      </c>
      <c r="AI2315" s="95">
        <v>6300</v>
      </c>
      <c r="AJ2315" s="95">
        <v>6300</v>
      </c>
      <c r="AK2315" s="95">
        <v>6300</v>
      </c>
      <c r="AL2315" s="95">
        <v>6300</v>
      </c>
      <c r="AM2315" s="95">
        <v>6300</v>
      </c>
      <c r="AN2315" s="95">
        <v>6300</v>
      </c>
      <c r="AO2315" s="95">
        <v>6300</v>
      </c>
      <c r="AP2315" s="95">
        <v>6300</v>
      </c>
      <c r="AQ2315" s="95">
        <v>6300</v>
      </c>
      <c r="AR2315" s="95">
        <v>6300</v>
      </c>
      <c r="AS2315" s="95">
        <v>6300</v>
      </c>
      <c r="AT2315" s="95">
        <v>6300</v>
      </c>
      <c r="AU2315" s="95">
        <v>6300</v>
      </c>
      <c r="AV2315" s="95">
        <v>6300</v>
      </c>
      <c r="AW2315" s="95">
        <v>6300</v>
      </c>
      <c r="AX2315" s="96">
        <v>6300</v>
      </c>
    </row>
    <row r="2316" spans="1:50" x14ac:dyDescent="0.25">
      <c r="A2316" s="356"/>
      <c r="B2316" s="359"/>
      <c r="C2316" s="360"/>
      <c r="D2316" s="59" t="s">
        <v>8</v>
      </c>
      <c r="E2316" s="166" t="str">
        <f>A2287&amp;"/"&amp;B2307&amp;"/"&amp;C2315&amp;"/"&amp;D2316</f>
        <v>Biomass and waste fired power plants/Steam turbine/Electricity only with CCS/M</v>
      </c>
      <c r="F2316" s="79" t="str">
        <f>A2287</f>
        <v>Biomass and waste fired power plants</v>
      </c>
      <c r="G2316" s="79" t="str">
        <f>B2307</f>
        <v>Steam turbine</v>
      </c>
      <c r="H2316" s="79" t="str">
        <f>C2315</f>
        <v>Electricity only with CCS</v>
      </c>
      <c r="I2316" s="167" t="str">
        <f t="shared" si="116"/>
        <v>M</v>
      </c>
      <c r="J2316" s="97" t="s">
        <v>112</v>
      </c>
      <c r="K2316" s="97" t="s">
        <v>112</v>
      </c>
      <c r="L2316" s="97" t="s">
        <v>112</v>
      </c>
      <c r="M2316" s="97" t="s">
        <v>112</v>
      </c>
      <c r="N2316" s="97" t="s">
        <v>112</v>
      </c>
      <c r="O2316" s="97" t="s">
        <v>112</v>
      </c>
      <c r="P2316" s="97" t="s">
        <v>112</v>
      </c>
      <c r="Q2316" s="97" t="s">
        <v>112</v>
      </c>
      <c r="R2316" s="97" t="s">
        <v>112</v>
      </c>
      <c r="S2316" s="97" t="s">
        <v>112</v>
      </c>
      <c r="T2316" s="97" t="s">
        <v>112</v>
      </c>
      <c r="U2316" s="97" t="s">
        <v>112</v>
      </c>
      <c r="V2316" s="97" t="s">
        <v>112</v>
      </c>
      <c r="W2316" s="97" t="s">
        <v>112</v>
      </c>
      <c r="X2316" s="97" t="s">
        <v>112</v>
      </c>
      <c r="Y2316" s="97" t="s">
        <v>112</v>
      </c>
      <c r="Z2316" s="97" t="s">
        <v>112</v>
      </c>
      <c r="AA2316" s="97" t="s">
        <v>112</v>
      </c>
      <c r="AB2316" s="97" t="s">
        <v>112</v>
      </c>
      <c r="AC2316" s="97" t="s">
        <v>112</v>
      </c>
      <c r="AD2316" s="97" t="s">
        <v>112</v>
      </c>
      <c r="AE2316" s="97">
        <v>5780.0322267709898</v>
      </c>
      <c r="AF2316" s="97">
        <v>5780.0322267709898</v>
      </c>
      <c r="AG2316" s="97">
        <v>5780.0322267709898</v>
      </c>
      <c r="AH2316" s="97">
        <v>5780.0322267709898</v>
      </c>
      <c r="AI2316" s="97">
        <v>5780.0322267709898</v>
      </c>
      <c r="AJ2316" s="97">
        <v>5780.0322267709898</v>
      </c>
      <c r="AK2316" s="97">
        <v>5780.0322267709898</v>
      </c>
      <c r="AL2316" s="97">
        <v>5780.0322267709898</v>
      </c>
      <c r="AM2316" s="97">
        <v>5780.0322267709898</v>
      </c>
      <c r="AN2316" s="97">
        <v>5780.0322267709898</v>
      </c>
      <c r="AO2316" s="97">
        <v>5780.0322267709898</v>
      </c>
      <c r="AP2316" s="97">
        <v>5780.0322267709898</v>
      </c>
      <c r="AQ2316" s="97">
        <v>5780.0322267709898</v>
      </c>
      <c r="AR2316" s="97">
        <v>5780.0322267709898</v>
      </c>
      <c r="AS2316" s="97">
        <v>5780.0322267709898</v>
      </c>
      <c r="AT2316" s="97">
        <v>5780.0322267709898</v>
      </c>
      <c r="AU2316" s="97">
        <v>5780.0322267709898</v>
      </c>
      <c r="AV2316" s="97">
        <v>5780.0322267709898</v>
      </c>
      <c r="AW2316" s="97">
        <v>5780.0322267709898</v>
      </c>
      <c r="AX2316" s="98">
        <v>5780.0322267709898</v>
      </c>
    </row>
    <row r="2317" spans="1:50" x14ac:dyDescent="0.25">
      <c r="A2317" s="356"/>
      <c r="B2317" s="359"/>
      <c r="C2317" s="361" t="s">
        <v>16</v>
      </c>
      <c r="D2317" s="2" t="s">
        <v>7</v>
      </c>
      <c r="E2317" s="160" t="str">
        <f>A2287&amp;"/"&amp;B2307&amp;"/"&amp;C2317&amp;"/"&amp;D2317</f>
        <v>Biomass and waste fired power plants/Steam turbine/CHP with CCS/L</v>
      </c>
      <c r="F2317" s="76" t="str">
        <f>A2287</f>
        <v>Biomass and waste fired power plants</v>
      </c>
      <c r="G2317" s="76" t="str">
        <f>B2307</f>
        <v>Steam turbine</v>
      </c>
      <c r="H2317" s="76" t="str">
        <f>C2317</f>
        <v>CHP with CCS</v>
      </c>
      <c r="I2317" s="161" t="str">
        <f t="shared" si="116"/>
        <v>L</v>
      </c>
      <c r="J2317" s="91" t="s">
        <v>112</v>
      </c>
      <c r="K2317" s="91" t="s">
        <v>112</v>
      </c>
      <c r="L2317" s="91" t="s">
        <v>112</v>
      </c>
      <c r="M2317" s="91" t="s">
        <v>112</v>
      </c>
      <c r="N2317" s="91" t="s">
        <v>112</v>
      </c>
      <c r="O2317" s="91" t="s">
        <v>112</v>
      </c>
      <c r="P2317" s="91" t="s">
        <v>112</v>
      </c>
      <c r="Q2317" s="91" t="s">
        <v>112</v>
      </c>
      <c r="R2317" s="91" t="s">
        <v>112</v>
      </c>
      <c r="S2317" s="91" t="s">
        <v>112</v>
      </c>
      <c r="T2317" s="91" t="s">
        <v>112</v>
      </c>
      <c r="U2317" s="91" t="s">
        <v>112</v>
      </c>
      <c r="V2317" s="91" t="s">
        <v>112</v>
      </c>
      <c r="W2317" s="91" t="s">
        <v>112</v>
      </c>
      <c r="X2317" s="91" t="s">
        <v>112</v>
      </c>
      <c r="Y2317" s="91" t="s">
        <v>112</v>
      </c>
      <c r="Z2317" s="91" t="s">
        <v>112</v>
      </c>
      <c r="AA2317" s="91" t="s">
        <v>112</v>
      </c>
      <c r="AB2317" s="91" t="s">
        <v>112</v>
      </c>
      <c r="AC2317" s="91" t="s">
        <v>112</v>
      </c>
      <c r="AD2317" s="91" t="s">
        <v>112</v>
      </c>
      <c r="AE2317" s="91">
        <v>5685</v>
      </c>
      <c r="AF2317" s="91">
        <v>5685</v>
      </c>
      <c r="AG2317" s="91">
        <v>5685</v>
      </c>
      <c r="AH2317" s="91">
        <v>5685</v>
      </c>
      <c r="AI2317" s="91">
        <v>5685</v>
      </c>
      <c r="AJ2317" s="91">
        <v>5685</v>
      </c>
      <c r="AK2317" s="91">
        <v>5685</v>
      </c>
      <c r="AL2317" s="91">
        <v>5685</v>
      </c>
      <c r="AM2317" s="91">
        <v>5685</v>
      </c>
      <c r="AN2317" s="91">
        <v>5685</v>
      </c>
      <c r="AO2317" s="91">
        <v>5685</v>
      </c>
      <c r="AP2317" s="91">
        <v>5685</v>
      </c>
      <c r="AQ2317" s="91">
        <v>5685</v>
      </c>
      <c r="AR2317" s="91">
        <v>5685</v>
      </c>
      <c r="AS2317" s="91">
        <v>5685</v>
      </c>
      <c r="AT2317" s="91">
        <v>5685</v>
      </c>
      <c r="AU2317" s="91">
        <v>5685</v>
      </c>
      <c r="AV2317" s="91">
        <v>5685</v>
      </c>
      <c r="AW2317" s="91">
        <v>5685</v>
      </c>
      <c r="AX2317" s="92">
        <v>5685</v>
      </c>
    </row>
    <row r="2318" spans="1:50" x14ac:dyDescent="0.25">
      <c r="A2318" s="357"/>
      <c r="B2318" s="362"/>
      <c r="C2318" s="354"/>
      <c r="D2318" s="4" t="s">
        <v>8</v>
      </c>
      <c r="E2318" s="168" t="str">
        <f>A2287&amp;"/"&amp;B2307&amp;"/"&amp;C2317&amp;"/"&amp;D2318</f>
        <v>Biomass and waste fired power plants/Steam turbine/CHP with CCS/M</v>
      </c>
      <c r="F2318" s="80" t="str">
        <f>A2287</f>
        <v>Biomass and waste fired power plants</v>
      </c>
      <c r="G2318" s="80" t="str">
        <f>B2307</f>
        <v>Steam turbine</v>
      </c>
      <c r="H2318" s="80" t="str">
        <f>C2317</f>
        <v>CHP with CCS</v>
      </c>
      <c r="I2318" s="169" t="str">
        <f t="shared" si="116"/>
        <v>M</v>
      </c>
      <c r="J2318" s="99" t="s">
        <v>112</v>
      </c>
      <c r="K2318" s="99" t="s">
        <v>112</v>
      </c>
      <c r="L2318" s="99" t="s">
        <v>112</v>
      </c>
      <c r="M2318" s="99" t="s">
        <v>112</v>
      </c>
      <c r="N2318" s="99" t="s">
        <v>112</v>
      </c>
      <c r="O2318" s="99" t="s">
        <v>112</v>
      </c>
      <c r="P2318" s="99" t="s">
        <v>112</v>
      </c>
      <c r="Q2318" s="99" t="s">
        <v>112</v>
      </c>
      <c r="R2318" s="99" t="s">
        <v>112</v>
      </c>
      <c r="S2318" s="99" t="s">
        <v>112</v>
      </c>
      <c r="T2318" s="99" t="s">
        <v>112</v>
      </c>
      <c r="U2318" s="99" t="s">
        <v>112</v>
      </c>
      <c r="V2318" s="99" t="s">
        <v>112</v>
      </c>
      <c r="W2318" s="99" t="s">
        <v>112</v>
      </c>
      <c r="X2318" s="99" t="s">
        <v>112</v>
      </c>
      <c r="Y2318" s="99" t="s">
        <v>112</v>
      </c>
      <c r="Z2318" s="99" t="s">
        <v>112</v>
      </c>
      <c r="AA2318" s="99" t="s">
        <v>112</v>
      </c>
      <c r="AB2318" s="99" t="s">
        <v>112</v>
      </c>
      <c r="AC2318" s="99" t="s">
        <v>112</v>
      </c>
      <c r="AD2318" s="99" t="s">
        <v>112</v>
      </c>
      <c r="AE2318" s="99">
        <v>5228.6237176860532</v>
      </c>
      <c r="AF2318" s="99">
        <v>5228.6237176860532</v>
      </c>
      <c r="AG2318" s="99">
        <v>5228.6237176860532</v>
      </c>
      <c r="AH2318" s="99">
        <v>5228.6237176860532</v>
      </c>
      <c r="AI2318" s="99">
        <v>5228.6237176860532</v>
      </c>
      <c r="AJ2318" s="99">
        <v>5228.6237176860532</v>
      </c>
      <c r="AK2318" s="99">
        <v>5228.6237176860532</v>
      </c>
      <c r="AL2318" s="99">
        <v>5228.6237176860532</v>
      </c>
      <c r="AM2318" s="99">
        <v>5228.6237176860532</v>
      </c>
      <c r="AN2318" s="99">
        <v>5228.6237176860532</v>
      </c>
      <c r="AO2318" s="99">
        <v>5228.6237176860532</v>
      </c>
      <c r="AP2318" s="99">
        <v>5228.6237176860532</v>
      </c>
      <c r="AQ2318" s="99">
        <v>5228.6237176860532</v>
      </c>
      <c r="AR2318" s="99">
        <v>5228.6237176860532</v>
      </c>
      <c r="AS2318" s="99">
        <v>5228.6237176860532</v>
      </c>
      <c r="AT2318" s="99">
        <v>5228.6237176860532</v>
      </c>
      <c r="AU2318" s="99">
        <v>5228.6237176860532</v>
      </c>
      <c r="AV2318" s="99">
        <v>5228.6237176860532</v>
      </c>
      <c r="AW2318" s="99">
        <v>5228.6237176860532</v>
      </c>
      <c r="AX2318" s="100">
        <v>5228.6237176860532</v>
      </c>
    </row>
    <row r="2319" spans="1:50" x14ac:dyDescent="0.25">
      <c r="A2319" s="355" t="s">
        <v>31</v>
      </c>
      <c r="B2319" s="358" t="s">
        <v>32</v>
      </c>
      <c r="C2319" s="353" t="s">
        <v>6</v>
      </c>
      <c r="D2319" s="3" t="s">
        <v>8</v>
      </c>
      <c r="E2319" s="162" t="str">
        <f>A2319&amp;"/"&amp;B2319&amp;"/"&amp;C2319&amp;"/"&amp;D2319</f>
        <v>Fuel cells/Natural gas fuel cell power plant/Electricity only/M</v>
      </c>
      <c r="F2319" s="77" t="str">
        <f>A2319</f>
        <v>Fuel cells</v>
      </c>
      <c r="G2319" s="77" t="str">
        <f>B2319</f>
        <v>Natural gas fuel cell power plant</v>
      </c>
      <c r="H2319" s="77" t="str">
        <f>C2319</f>
        <v>Electricity only</v>
      </c>
      <c r="I2319" s="163" t="str">
        <f t="shared" si="116"/>
        <v>M</v>
      </c>
      <c r="J2319" s="93" t="s">
        <v>112</v>
      </c>
      <c r="K2319" s="93" t="s">
        <v>112</v>
      </c>
      <c r="L2319" s="93" t="s">
        <v>112</v>
      </c>
      <c r="M2319" s="93" t="s">
        <v>112</v>
      </c>
      <c r="N2319" s="93" t="s">
        <v>112</v>
      </c>
      <c r="O2319" s="93" t="s">
        <v>112</v>
      </c>
      <c r="P2319" s="93" t="s">
        <v>112</v>
      </c>
      <c r="Q2319" s="93" t="s">
        <v>112</v>
      </c>
      <c r="R2319" s="93" t="s">
        <v>112</v>
      </c>
      <c r="S2319" s="93" t="s">
        <v>112</v>
      </c>
      <c r="T2319" s="93" t="s">
        <v>112</v>
      </c>
      <c r="U2319" s="93" t="s">
        <v>112</v>
      </c>
      <c r="V2319" s="93" t="s">
        <v>112</v>
      </c>
      <c r="W2319" s="93" t="s">
        <v>112</v>
      </c>
      <c r="X2319" s="93" t="s">
        <v>112</v>
      </c>
      <c r="Y2319" s="93" t="s">
        <v>112</v>
      </c>
      <c r="Z2319" s="93" t="s">
        <v>112</v>
      </c>
      <c r="AA2319" s="93" t="s">
        <v>112</v>
      </c>
      <c r="AB2319" s="93" t="s">
        <v>112</v>
      </c>
      <c r="AC2319" s="93" t="s">
        <v>112</v>
      </c>
      <c r="AD2319" s="93" t="s">
        <v>112</v>
      </c>
      <c r="AE2319" s="93">
        <v>4500</v>
      </c>
      <c r="AF2319" s="93">
        <v>4500</v>
      </c>
      <c r="AG2319" s="93">
        <v>4500</v>
      </c>
      <c r="AH2319" s="93">
        <v>4500</v>
      </c>
      <c r="AI2319" s="93">
        <v>4500</v>
      </c>
      <c r="AJ2319" s="93">
        <v>4500</v>
      </c>
      <c r="AK2319" s="93">
        <v>4500</v>
      </c>
      <c r="AL2319" s="93">
        <v>4500</v>
      </c>
      <c r="AM2319" s="93">
        <v>4500</v>
      </c>
      <c r="AN2319" s="93">
        <v>4500</v>
      </c>
      <c r="AO2319" s="93">
        <v>4500</v>
      </c>
      <c r="AP2319" s="93">
        <v>4500</v>
      </c>
      <c r="AQ2319" s="93">
        <v>4500</v>
      </c>
      <c r="AR2319" s="93">
        <v>4500</v>
      </c>
      <c r="AS2319" s="93">
        <v>4500</v>
      </c>
      <c r="AT2319" s="93">
        <v>4500</v>
      </c>
      <c r="AU2319" s="93">
        <v>4500</v>
      </c>
      <c r="AV2319" s="93">
        <v>4500</v>
      </c>
      <c r="AW2319" s="93">
        <v>4500</v>
      </c>
      <c r="AX2319" s="94">
        <v>4500</v>
      </c>
    </row>
    <row r="2320" spans="1:50" x14ac:dyDescent="0.25">
      <c r="A2320" s="356"/>
      <c r="B2320" s="359"/>
      <c r="C2320" s="350"/>
      <c r="D2320" s="2" t="s">
        <v>10</v>
      </c>
      <c r="E2320" s="160" t="str">
        <f>A2319&amp;"/"&amp;B2319&amp;"/"&amp;C2319&amp;"/"&amp;D2320</f>
        <v>Fuel cells/Natural gas fuel cell power plant/Electricity only/S</v>
      </c>
      <c r="F2320" s="76" t="str">
        <f>A2319</f>
        <v>Fuel cells</v>
      </c>
      <c r="G2320" s="76" t="str">
        <f>B2319</f>
        <v>Natural gas fuel cell power plant</v>
      </c>
      <c r="H2320" s="76" t="str">
        <f>C2319</f>
        <v>Electricity only</v>
      </c>
      <c r="I2320" s="161" t="str">
        <f t="shared" si="116"/>
        <v>S</v>
      </c>
      <c r="J2320" s="91" t="s">
        <v>112</v>
      </c>
      <c r="K2320" s="91" t="s">
        <v>112</v>
      </c>
      <c r="L2320" s="91" t="s">
        <v>112</v>
      </c>
      <c r="M2320" s="91" t="s">
        <v>112</v>
      </c>
      <c r="N2320" s="91" t="s">
        <v>112</v>
      </c>
      <c r="O2320" s="91" t="s">
        <v>112</v>
      </c>
      <c r="P2320" s="91" t="s">
        <v>112</v>
      </c>
      <c r="Q2320" s="91" t="s">
        <v>112</v>
      </c>
      <c r="R2320" s="91" t="s">
        <v>112</v>
      </c>
      <c r="S2320" s="91" t="s">
        <v>112</v>
      </c>
      <c r="T2320" s="91" t="s">
        <v>112</v>
      </c>
      <c r="U2320" s="91" t="s">
        <v>112</v>
      </c>
      <c r="V2320" s="91" t="s">
        <v>112</v>
      </c>
      <c r="W2320" s="91" t="s">
        <v>112</v>
      </c>
      <c r="X2320" s="91" t="s">
        <v>112</v>
      </c>
      <c r="Y2320" s="91" t="s">
        <v>112</v>
      </c>
      <c r="Z2320" s="91" t="s">
        <v>112</v>
      </c>
      <c r="AA2320" s="91" t="s">
        <v>112</v>
      </c>
      <c r="AB2320" s="91" t="s">
        <v>112</v>
      </c>
      <c r="AC2320" s="91">
        <v>3697.7513403384401</v>
      </c>
      <c r="AD2320" s="91">
        <v>3697.7513403384401</v>
      </c>
      <c r="AE2320" s="91">
        <v>3697.7513403384401</v>
      </c>
      <c r="AF2320" s="91">
        <v>3697.7513403384401</v>
      </c>
      <c r="AG2320" s="91">
        <v>3697.7513403384401</v>
      </c>
      <c r="AH2320" s="91">
        <v>3697.7513403384401</v>
      </c>
      <c r="AI2320" s="91">
        <v>3697.7513403384401</v>
      </c>
      <c r="AJ2320" s="91">
        <v>3697.7513403384401</v>
      </c>
      <c r="AK2320" s="91">
        <v>3697.7513403384401</v>
      </c>
      <c r="AL2320" s="91">
        <v>3697.7513403384401</v>
      </c>
      <c r="AM2320" s="91">
        <v>3697.7513403384401</v>
      </c>
      <c r="AN2320" s="91">
        <v>3697.7513403384401</v>
      </c>
      <c r="AO2320" s="91">
        <v>3697.7513403384401</v>
      </c>
      <c r="AP2320" s="91">
        <v>3697.7513403384401</v>
      </c>
      <c r="AQ2320" s="91">
        <v>3697.7513403384401</v>
      </c>
      <c r="AR2320" s="91">
        <v>3697.7513403384401</v>
      </c>
      <c r="AS2320" s="91">
        <v>3697.7513403384401</v>
      </c>
      <c r="AT2320" s="91">
        <v>3697.7513403384401</v>
      </c>
      <c r="AU2320" s="91">
        <v>3697.7513403384401</v>
      </c>
      <c r="AV2320" s="91">
        <v>3697.7513403384401</v>
      </c>
      <c r="AW2320" s="91">
        <v>3697.7513403384401</v>
      </c>
      <c r="AX2320" s="92">
        <v>3697.7513403384401</v>
      </c>
    </row>
    <row r="2321" spans="1:50" x14ac:dyDescent="0.25">
      <c r="A2321" s="356"/>
      <c r="B2321" s="368"/>
      <c r="C2321" s="360"/>
      <c r="D2321" s="59" t="s">
        <v>20</v>
      </c>
      <c r="E2321" s="166" t="str">
        <f>A2319&amp;"/"&amp;B2319&amp;"/"&amp;C2319&amp;"/"&amp;D2321</f>
        <v>Fuel cells/Natural gas fuel cell power plant/Electricity only/XS</v>
      </c>
      <c r="F2321" s="79" t="str">
        <f>A2319</f>
        <v>Fuel cells</v>
      </c>
      <c r="G2321" s="79" t="str">
        <f>B2319</f>
        <v>Natural gas fuel cell power plant</v>
      </c>
      <c r="H2321" s="79" t="str">
        <f>C2319</f>
        <v>Electricity only</v>
      </c>
      <c r="I2321" s="167" t="str">
        <f t="shared" si="116"/>
        <v>XS</v>
      </c>
      <c r="J2321" s="97" t="s">
        <v>112</v>
      </c>
      <c r="K2321" s="97" t="s">
        <v>112</v>
      </c>
      <c r="L2321" s="97" t="s">
        <v>112</v>
      </c>
      <c r="M2321" s="97" t="s">
        <v>112</v>
      </c>
      <c r="N2321" s="97" t="s">
        <v>112</v>
      </c>
      <c r="O2321" s="97" t="s">
        <v>112</v>
      </c>
      <c r="P2321" s="97" t="s">
        <v>112</v>
      </c>
      <c r="Q2321" s="97" t="s">
        <v>112</v>
      </c>
      <c r="R2321" s="97" t="s">
        <v>112</v>
      </c>
      <c r="S2321" s="97" t="s">
        <v>112</v>
      </c>
      <c r="T2321" s="97" t="s">
        <v>112</v>
      </c>
      <c r="U2321" s="97" t="s">
        <v>112</v>
      </c>
      <c r="V2321" s="97" t="s">
        <v>112</v>
      </c>
      <c r="W2321" s="97" t="s">
        <v>112</v>
      </c>
      <c r="X2321" s="97" t="s">
        <v>112</v>
      </c>
      <c r="Y2321" s="97" t="s">
        <v>112</v>
      </c>
      <c r="Z2321" s="97">
        <v>3039.9288990381756</v>
      </c>
      <c r="AA2321" s="97">
        <v>3039.9288990381756</v>
      </c>
      <c r="AB2321" s="97">
        <v>3039.9288990381756</v>
      </c>
      <c r="AC2321" s="97">
        <v>3039.9288990381756</v>
      </c>
      <c r="AD2321" s="97">
        <v>3039.9288990381756</v>
      </c>
      <c r="AE2321" s="97">
        <v>3039.9288990381756</v>
      </c>
      <c r="AF2321" s="97">
        <v>3039.9288990381756</v>
      </c>
      <c r="AG2321" s="97">
        <v>3039.9288990381756</v>
      </c>
      <c r="AH2321" s="97">
        <v>3039.9288990381756</v>
      </c>
      <c r="AI2321" s="97">
        <v>3039.9288990381756</v>
      </c>
      <c r="AJ2321" s="97">
        <v>3039.9288990381756</v>
      </c>
      <c r="AK2321" s="97">
        <v>3039.9288990381756</v>
      </c>
      <c r="AL2321" s="97">
        <v>3039.9288990381756</v>
      </c>
      <c r="AM2321" s="97">
        <v>3039.9288990381756</v>
      </c>
      <c r="AN2321" s="97">
        <v>3039.9288990381756</v>
      </c>
      <c r="AO2321" s="97">
        <v>3039.9288990381756</v>
      </c>
      <c r="AP2321" s="97">
        <v>3039.9288990381756</v>
      </c>
      <c r="AQ2321" s="97">
        <v>3039.9288990381756</v>
      </c>
      <c r="AR2321" s="97">
        <v>3039.9288990381756</v>
      </c>
      <c r="AS2321" s="97">
        <v>3039.9288990381756</v>
      </c>
      <c r="AT2321" s="97">
        <v>3039.9288990381756</v>
      </c>
      <c r="AU2321" s="97">
        <v>3039.9288990381756</v>
      </c>
      <c r="AV2321" s="97">
        <v>3039.9288990381756</v>
      </c>
      <c r="AW2321" s="97">
        <v>3039.9288990381756</v>
      </c>
      <c r="AX2321" s="98">
        <v>3039.9288990381756</v>
      </c>
    </row>
    <row r="2322" spans="1:50" x14ac:dyDescent="0.25">
      <c r="A2322" s="356"/>
      <c r="B2322" s="359" t="s">
        <v>33</v>
      </c>
      <c r="C2322" s="350" t="s">
        <v>6</v>
      </c>
      <c r="D2322" s="2" t="s">
        <v>8</v>
      </c>
      <c r="E2322" s="160" t="str">
        <f>A2319&amp;"/"&amp;B2322&amp;"/"&amp;C2322&amp;"/"&amp;D2322</f>
        <v>Fuel cells/Hydrogen fuel cell power plant/Electricity only/M</v>
      </c>
      <c r="F2322" s="76" t="str">
        <f>A2319</f>
        <v>Fuel cells</v>
      </c>
      <c r="G2322" s="76" t="str">
        <f>B2322</f>
        <v>Hydrogen fuel cell power plant</v>
      </c>
      <c r="H2322" s="76" t="str">
        <f>C2322</f>
        <v>Electricity only</v>
      </c>
      <c r="I2322" s="161" t="str">
        <f t="shared" si="116"/>
        <v>M</v>
      </c>
      <c r="J2322" s="91" t="s">
        <v>112</v>
      </c>
      <c r="K2322" s="91" t="s">
        <v>112</v>
      </c>
      <c r="L2322" s="91" t="s">
        <v>112</v>
      </c>
      <c r="M2322" s="91" t="s">
        <v>112</v>
      </c>
      <c r="N2322" s="91" t="s">
        <v>112</v>
      </c>
      <c r="O2322" s="91" t="s">
        <v>112</v>
      </c>
      <c r="P2322" s="91" t="s">
        <v>112</v>
      </c>
      <c r="Q2322" s="91" t="s">
        <v>112</v>
      </c>
      <c r="R2322" s="91" t="s">
        <v>112</v>
      </c>
      <c r="S2322" s="91" t="s">
        <v>112</v>
      </c>
      <c r="T2322" s="91" t="s">
        <v>112</v>
      </c>
      <c r="U2322" s="91" t="s">
        <v>112</v>
      </c>
      <c r="V2322" s="91" t="s">
        <v>112</v>
      </c>
      <c r="W2322" s="91" t="s">
        <v>112</v>
      </c>
      <c r="X2322" s="91" t="s">
        <v>112</v>
      </c>
      <c r="Y2322" s="91" t="s">
        <v>112</v>
      </c>
      <c r="Z2322" s="91" t="s">
        <v>112</v>
      </c>
      <c r="AA2322" s="91" t="s">
        <v>112</v>
      </c>
      <c r="AB2322" s="91" t="s">
        <v>112</v>
      </c>
      <c r="AC2322" s="91" t="s">
        <v>112</v>
      </c>
      <c r="AD2322" s="91" t="s">
        <v>112</v>
      </c>
      <c r="AE2322" s="91" t="s">
        <v>112</v>
      </c>
      <c r="AF2322" s="91" t="s">
        <v>112</v>
      </c>
      <c r="AG2322" s="91">
        <v>4400</v>
      </c>
      <c r="AH2322" s="91">
        <v>4400</v>
      </c>
      <c r="AI2322" s="91">
        <v>4400</v>
      </c>
      <c r="AJ2322" s="91">
        <v>4400</v>
      </c>
      <c r="AK2322" s="91">
        <v>4400</v>
      </c>
      <c r="AL2322" s="91">
        <v>4400</v>
      </c>
      <c r="AM2322" s="91">
        <v>4400</v>
      </c>
      <c r="AN2322" s="91">
        <v>4400</v>
      </c>
      <c r="AO2322" s="91">
        <v>4400</v>
      </c>
      <c r="AP2322" s="91">
        <v>4400</v>
      </c>
      <c r="AQ2322" s="91">
        <v>4400</v>
      </c>
      <c r="AR2322" s="91">
        <v>4400</v>
      </c>
      <c r="AS2322" s="91">
        <v>4400</v>
      </c>
      <c r="AT2322" s="91">
        <v>4400</v>
      </c>
      <c r="AU2322" s="91">
        <v>4400</v>
      </c>
      <c r="AV2322" s="91">
        <v>4400</v>
      </c>
      <c r="AW2322" s="91">
        <v>4400</v>
      </c>
      <c r="AX2322" s="92">
        <v>4400</v>
      </c>
    </row>
    <row r="2323" spans="1:50" x14ac:dyDescent="0.25">
      <c r="A2323" s="356"/>
      <c r="B2323" s="359"/>
      <c r="C2323" s="350"/>
      <c r="D2323" s="2" t="s">
        <v>10</v>
      </c>
      <c r="E2323" s="160" t="str">
        <f>A2319&amp;"/"&amp;B2322&amp;"/"&amp;C2322&amp;"/"&amp;D2323</f>
        <v>Fuel cells/Hydrogen fuel cell power plant/Electricity only/S</v>
      </c>
      <c r="F2323" s="76" t="str">
        <f>A2319</f>
        <v>Fuel cells</v>
      </c>
      <c r="G2323" s="76" t="str">
        <f>B2322</f>
        <v>Hydrogen fuel cell power plant</v>
      </c>
      <c r="H2323" s="76" t="str">
        <f>C2322</f>
        <v>Electricity only</v>
      </c>
      <c r="I2323" s="161" t="str">
        <f t="shared" si="116"/>
        <v>S</v>
      </c>
      <c r="J2323" s="91" t="s">
        <v>112</v>
      </c>
      <c r="K2323" s="91" t="s">
        <v>112</v>
      </c>
      <c r="L2323" s="91" t="s">
        <v>112</v>
      </c>
      <c r="M2323" s="91" t="s">
        <v>112</v>
      </c>
      <c r="N2323" s="91" t="s">
        <v>112</v>
      </c>
      <c r="O2323" s="91" t="s">
        <v>112</v>
      </c>
      <c r="P2323" s="91" t="s">
        <v>112</v>
      </c>
      <c r="Q2323" s="91" t="s">
        <v>112</v>
      </c>
      <c r="R2323" s="91" t="s">
        <v>112</v>
      </c>
      <c r="S2323" s="91" t="s">
        <v>112</v>
      </c>
      <c r="T2323" s="91" t="s">
        <v>112</v>
      </c>
      <c r="U2323" s="91" t="s">
        <v>112</v>
      </c>
      <c r="V2323" s="91" t="s">
        <v>112</v>
      </c>
      <c r="W2323" s="91" t="s">
        <v>112</v>
      </c>
      <c r="X2323" s="91" t="s">
        <v>112</v>
      </c>
      <c r="Y2323" s="91" t="s">
        <v>112</v>
      </c>
      <c r="Z2323" s="91" t="s">
        <v>112</v>
      </c>
      <c r="AA2323" s="91" t="s">
        <v>112</v>
      </c>
      <c r="AB2323" s="91" t="s">
        <v>112</v>
      </c>
      <c r="AC2323" s="91" t="s">
        <v>112</v>
      </c>
      <c r="AD2323" s="91" t="s">
        <v>112</v>
      </c>
      <c r="AE2323" s="91">
        <v>3615.3816499408249</v>
      </c>
      <c r="AF2323" s="91">
        <v>3615.3816499408249</v>
      </c>
      <c r="AG2323" s="91">
        <v>3615.3816499408249</v>
      </c>
      <c r="AH2323" s="91">
        <v>3615.3816499408249</v>
      </c>
      <c r="AI2323" s="91">
        <v>3615.3816499408249</v>
      </c>
      <c r="AJ2323" s="91">
        <v>3615.3816499408249</v>
      </c>
      <c r="AK2323" s="91">
        <v>3615.3816499408249</v>
      </c>
      <c r="AL2323" s="91">
        <v>3615.3816499408249</v>
      </c>
      <c r="AM2323" s="91">
        <v>3615.3816499408249</v>
      </c>
      <c r="AN2323" s="91">
        <v>3615.3816499408249</v>
      </c>
      <c r="AO2323" s="91">
        <v>3615.3816499408249</v>
      </c>
      <c r="AP2323" s="91">
        <v>3615.3816499408249</v>
      </c>
      <c r="AQ2323" s="91">
        <v>3615.3816499408249</v>
      </c>
      <c r="AR2323" s="91">
        <v>3615.3816499408249</v>
      </c>
      <c r="AS2323" s="91">
        <v>3615.3816499408249</v>
      </c>
      <c r="AT2323" s="91">
        <v>3615.3816499408249</v>
      </c>
      <c r="AU2323" s="91">
        <v>3615.3816499408249</v>
      </c>
      <c r="AV2323" s="91">
        <v>3615.3816499408249</v>
      </c>
      <c r="AW2323" s="91">
        <v>3615.3816499408249</v>
      </c>
      <c r="AX2323" s="92">
        <v>3615.3816499408249</v>
      </c>
    </row>
    <row r="2324" spans="1:50" x14ac:dyDescent="0.25">
      <c r="A2324" s="357"/>
      <c r="B2324" s="362"/>
      <c r="C2324" s="354"/>
      <c r="D2324" s="4" t="s">
        <v>20</v>
      </c>
      <c r="E2324" s="160" t="str">
        <f>A2319&amp;"/"&amp;B2322&amp;"/"&amp;C2322&amp;"/"&amp;D2324</f>
        <v>Fuel cells/Hydrogen fuel cell power plant/Electricity only/XS</v>
      </c>
      <c r="F2324" s="76" t="str">
        <f>A2319</f>
        <v>Fuel cells</v>
      </c>
      <c r="G2324" s="76" t="str">
        <f>B2322</f>
        <v>Hydrogen fuel cell power plant</v>
      </c>
      <c r="H2324" s="76" t="str">
        <f>C2322</f>
        <v>Electricity only</v>
      </c>
      <c r="I2324" s="161" t="str">
        <f t="shared" si="116"/>
        <v>XS</v>
      </c>
      <c r="J2324" s="91" t="s">
        <v>112</v>
      </c>
      <c r="K2324" s="91" t="s">
        <v>112</v>
      </c>
      <c r="L2324" s="91" t="s">
        <v>112</v>
      </c>
      <c r="M2324" s="91" t="s">
        <v>112</v>
      </c>
      <c r="N2324" s="91" t="s">
        <v>112</v>
      </c>
      <c r="O2324" s="91" t="s">
        <v>112</v>
      </c>
      <c r="P2324" s="91" t="s">
        <v>112</v>
      </c>
      <c r="Q2324" s="91" t="s">
        <v>112</v>
      </c>
      <c r="R2324" s="91" t="s">
        <v>112</v>
      </c>
      <c r="S2324" s="91" t="s">
        <v>112</v>
      </c>
      <c r="T2324" s="91" t="s">
        <v>112</v>
      </c>
      <c r="U2324" s="91" t="s">
        <v>112</v>
      </c>
      <c r="V2324" s="91" t="s">
        <v>112</v>
      </c>
      <c r="W2324" s="91" t="s">
        <v>112</v>
      </c>
      <c r="X2324" s="91" t="s">
        <v>112</v>
      </c>
      <c r="Y2324" s="91" t="s">
        <v>112</v>
      </c>
      <c r="Z2324" s="91" t="s">
        <v>112</v>
      </c>
      <c r="AA2324" s="91" t="s">
        <v>112</v>
      </c>
      <c r="AB2324" s="91">
        <v>2972.0496647227001</v>
      </c>
      <c r="AC2324" s="91">
        <v>2972.0496647227001</v>
      </c>
      <c r="AD2324" s="91">
        <v>2972.0496647227001</v>
      </c>
      <c r="AE2324" s="91">
        <v>2972.0496647227001</v>
      </c>
      <c r="AF2324" s="91">
        <v>2972.0496647227001</v>
      </c>
      <c r="AG2324" s="91">
        <v>2972.0496647227001</v>
      </c>
      <c r="AH2324" s="91">
        <v>2972.0496647227001</v>
      </c>
      <c r="AI2324" s="91">
        <v>2972.0496647227001</v>
      </c>
      <c r="AJ2324" s="91">
        <v>2972.0496647227001</v>
      </c>
      <c r="AK2324" s="91">
        <v>2972.0496647227001</v>
      </c>
      <c r="AL2324" s="91">
        <v>2972.0496647227001</v>
      </c>
      <c r="AM2324" s="91">
        <v>2972.0496647227001</v>
      </c>
      <c r="AN2324" s="91">
        <v>2972.0496647227001</v>
      </c>
      <c r="AO2324" s="91">
        <v>2972.0496647227001</v>
      </c>
      <c r="AP2324" s="91">
        <v>2972.0496647227001</v>
      </c>
      <c r="AQ2324" s="91">
        <v>2972.0496647227001</v>
      </c>
      <c r="AR2324" s="91">
        <v>2972.0496647227001</v>
      </c>
      <c r="AS2324" s="91">
        <v>2972.0496647227001</v>
      </c>
      <c r="AT2324" s="91">
        <v>2972.0496647227001</v>
      </c>
      <c r="AU2324" s="91">
        <v>2972.0496647227001</v>
      </c>
      <c r="AV2324" s="91">
        <v>2972.0496647227001</v>
      </c>
      <c r="AW2324" s="91">
        <v>2972.0496647227001</v>
      </c>
      <c r="AX2324" s="92">
        <v>2972.0496647227001</v>
      </c>
    </row>
    <row r="2325" spans="1:50" x14ac:dyDescent="0.25">
      <c r="A2325" s="355" t="s">
        <v>34</v>
      </c>
      <c r="B2325" s="358" t="s">
        <v>35</v>
      </c>
      <c r="C2325" s="353" t="s">
        <v>6</v>
      </c>
      <c r="D2325" s="3" t="s">
        <v>7</v>
      </c>
      <c r="E2325" s="162" t="str">
        <f>A2325&amp;"/"&amp;B2325&amp;"/"&amp;C2325&amp;"/"&amp;D2325</f>
        <v>Wind power plants/Onshore/Electricity only/L</v>
      </c>
      <c r="F2325" s="77" t="str">
        <f>A2325</f>
        <v>Wind power plants</v>
      </c>
      <c r="G2325" s="77" t="str">
        <f>B2325</f>
        <v>Onshore</v>
      </c>
      <c r="H2325" s="77" t="str">
        <f>C2325</f>
        <v>Electricity only</v>
      </c>
      <c r="I2325" s="163" t="str">
        <f t="shared" si="116"/>
        <v>L</v>
      </c>
      <c r="J2325" s="93">
        <v>2483.6093957556268</v>
      </c>
      <c r="K2325" s="93">
        <v>2502.9779276148479</v>
      </c>
      <c r="L2325" s="93">
        <v>2523.5649856171785</v>
      </c>
      <c r="M2325" s="93">
        <v>2545.3705697612058</v>
      </c>
      <c r="N2325" s="93">
        <v>2568.3946800469294</v>
      </c>
      <c r="O2325" s="93">
        <v>2592.637316526163</v>
      </c>
      <c r="P2325" s="93">
        <v>2618.098479045444</v>
      </c>
      <c r="Q2325" s="93">
        <v>2644.7781677579528</v>
      </c>
      <c r="R2325" s="93">
        <v>2672.6763826121578</v>
      </c>
      <c r="S2325" s="93">
        <v>2701.7931236083418</v>
      </c>
      <c r="T2325" s="93">
        <v>2732.1283907470702</v>
      </c>
      <c r="U2325" s="93">
        <v>2763.6821840280604</v>
      </c>
      <c r="V2325" s="93">
        <v>2796.4545034507469</v>
      </c>
      <c r="W2325" s="93">
        <v>2830.44534901513</v>
      </c>
      <c r="X2325" s="93">
        <v>2865.6547207226222</v>
      </c>
      <c r="Y2325" s="93">
        <v>2902.0826185718111</v>
      </c>
      <c r="Z2325" s="93">
        <v>2939.7290425626966</v>
      </c>
      <c r="AA2325" s="93">
        <v>2978.5939926955612</v>
      </c>
      <c r="AB2325" s="93">
        <v>3018.6774689712524</v>
      </c>
      <c r="AC2325" s="93">
        <v>3059.9794713892052</v>
      </c>
      <c r="AD2325" s="93">
        <v>3102.5</v>
      </c>
      <c r="AE2325" s="93">
        <v>3137.6378875564396</v>
      </c>
      <c r="AF2325" s="93">
        <v>3172.9191554022291</v>
      </c>
      <c r="AG2325" s="93">
        <v>3208.3438035014469</v>
      </c>
      <c r="AH2325" s="93">
        <v>3243.9118318541846</v>
      </c>
      <c r="AI2325" s="93">
        <v>3279.6232404603506</v>
      </c>
      <c r="AJ2325" s="93">
        <v>3315.4780293198542</v>
      </c>
      <c r="AK2325" s="93">
        <v>3351.4761984328316</v>
      </c>
      <c r="AL2325" s="93">
        <v>3387.6177477992828</v>
      </c>
      <c r="AM2325" s="93">
        <v>3423.9026774192084</v>
      </c>
      <c r="AN2325" s="93">
        <v>3460.330987292426</v>
      </c>
      <c r="AO2325" s="93">
        <v>3496.9026774191175</v>
      </c>
      <c r="AP2325" s="93">
        <v>3533.6177477993283</v>
      </c>
      <c r="AQ2325" s="93">
        <v>3570.476198432968</v>
      </c>
      <c r="AR2325" s="93">
        <v>3607.4780293199447</v>
      </c>
      <c r="AS2325" s="93">
        <v>3644.6232404603502</v>
      </c>
      <c r="AT2325" s="93">
        <v>3681.9118318542751</v>
      </c>
      <c r="AU2325" s="93">
        <v>3719.3438035016743</v>
      </c>
      <c r="AV2325" s="93">
        <v>3756.919155402365</v>
      </c>
      <c r="AW2325" s="93">
        <v>3794.6378875565301</v>
      </c>
      <c r="AX2325" s="94">
        <v>3832.5</v>
      </c>
    </row>
    <row r="2326" spans="1:50" x14ac:dyDescent="0.25">
      <c r="A2326" s="356"/>
      <c r="B2326" s="359"/>
      <c r="C2326" s="350"/>
      <c r="D2326" s="2" t="s">
        <v>8</v>
      </c>
      <c r="E2326" s="160" t="str">
        <f>A2325&amp;"/"&amp;B2325&amp;"/"&amp;C2325&amp;"/"&amp;D2326</f>
        <v>Wind power plants/Onshore/Electricity only/M</v>
      </c>
      <c r="F2326" s="76" t="str">
        <f>A2325</f>
        <v>Wind power plants</v>
      </c>
      <c r="G2326" s="76" t="str">
        <f>B2325</f>
        <v>Onshore</v>
      </c>
      <c r="H2326" s="76" t="str">
        <f>C2325</f>
        <v>Electricity only</v>
      </c>
      <c r="I2326" s="161" t="str">
        <f t="shared" si="116"/>
        <v>M</v>
      </c>
      <c r="J2326" s="91">
        <v>2403.9302806046098</v>
      </c>
      <c r="K2326" s="91">
        <v>2423.3382565081561</v>
      </c>
      <c r="L2326" s="91">
        <v>2444.1350361039904</v>
      </c>
      <c r="M2326" s="91">
        <v>2466.3206193898523</v>
      </c>
      <c r="N2326" s="91">
        <v>2489.8950063680013</v>
      </c>
      <c r="O2326" s="91">
        <v>2514.8581970303785</v>
      </c>
      <c r="P2326" s="91">
        <v>2541.2101913960778</v>
      </c>
      <c r="Q2326" s="91">
        <v>2568.9509894465696</v>
      </c>
      <c r="R2326" s="91">
        <v>2598.0805911882189</v>
      </c>
      <c r="S2326" s="91">
        <v>2628.5989966221564</v>
      </c>
      <c r="T2326" s="91">
        <v>2660.5062057461209</v>
      </c>
      <c r="U2326" s="91">
        <v>2693.8022185629388</v>
      </c>
      <c r="V2326" s="91">
        <v>2728.4870350692186</v>
      </c>
      <c r="W2326" s="91">
        <v>2764.5606552677864</v>
      </c>
      <c r="X2326" s="91">
        <v>2802.0230791563813</v>
      </c>
      <c r="Y2326" s="91">
        <v>2840.8743067372643</v>
      </c>
      <c r="Z2326" s="91">
        <v>2881.1143380081744</v>
      </c>
      <c r="AA2326" s="91">
        <v>2922.7431729702421</v>
      </c>
      <c r="AB2326" s="91">
        <v>2965.7608116245979</v>
      </c>
      <c r="AC2326" s="91">
        <v>3010.1672539689807</v>
      </c>
      <c r="AD2326" s="91">
        <v>3055.9625000000001</v>
      </c>
      <c r="AE2326" s="91">
        <v>3097.4661794462659</v>
      </c>
      <c r="AF2326" s="91">
        <v>3139.6486163996742</v>
      </c>
      <c r="AG2326" s="91">
        <v>3182.509810770307</v>
      </c>
      <c r="AH2326" s="91">
        <v>3226.0497625578018</v>
      </c>
      <c r="AI2326" s="91">
        <v>3270.2684717630659</v>
      </c>
      <c r="AJ2326" s="91">
        <v>3315.1659383850097</v>
      </c>
      <c r="AK2326" s="91">
        <v>3360.7421624247236</v>
      </c>
      <c r="AL2326" s="91">
        <v>3406.9971438816615</v>
      </c>
      <c r="AM2326" s="91">
        <v>3453.9308827556429</v>
      </c>
      <c r="AN2326" s="91">
        <v>3501.5433790470306</v>
      </c>
      <c r="AO2326" s="91">
        <v>3549.8346327558247</v>
      </c>
      <c r="AP2326" s="91">
        <v>3598.804643881298</v>
      </c>
      <c r="AQ2326" s="91">
        <v>3648.4534124245415</v>
      </c>
      <c r="AR2326" s="91">
        <v>3698.7809383850099</v>
      </c>
      <c r="AS2326" s="91">
        <v>3749.7872217625209</v>
      </c>
      <c r="AT2326" s="91">
        <v>3801.4722625574386</v>
      </c>
      <c r="AU2326" s="91">
        <v>3853.836060769399</v>
      </c>
      <c r="AV2326" s="91">
        <v>3906.8786163989475</v>
      </c>
      <c r="AW2326" s="91">
        <v>3960.599929445721</v>
      </c>
      <c r="AX2326" s="92">
        <v>4015</v>
      </c>
    </row>
    <row r="2327" spans="1:50" x14ac:dyDescent="0.25">
      <c r="A2327" s="356"/>
      <c r="B2327" s="359"/>
      <c r="C2327" s="350"/>
      <c r="D2327" s="2" t="s">
        <v>10</v>
      </c>
      <c r="E2327" s="160" t="str">
        <f>A2325&amp;"/"&amp;B2325&amp;"/"&amp;C2325&amp;"/"&amp;D2327</f>
        <v>Wind power plants/Onshore/Electricity only/S</v>
      </c>
      <c r="F2327" s="76" t="str">
        <f>A2325</f>
        <v>Wind power plants</v>
      </c>
      <c r="G2327" s="76" t="str">
        <f>B2325</f>
        <v>Onshore</v>
      </c>
      <c r="H2327" s="76" t="str">
        <f>C2325</f>
        <v>Electricity only</v>
      </c>
      <c r="I2327" s="161" t="str">
        <f t="shared" si="116"/>
        <v>S</v>
      </c>
      <c r="J2327" s="91">
        <v>2197.8269692558006</v>
      </c>
      <c r="K2327" s="91">
        <v>2217.336973754318</v>
      </c>
      <c r="L2327" s="91">
        <v>2238.6762332040294</v>
      </c>
      <c r="M2327" s="91">
        <v>2261.8447476055007</v>
      </c>
      <c r="N2327" s="91">
        <v>2286.842516958166</v>
      </c>
      <c r="O2327" s="91">
        <v>2313.6695412679483</v>
      </c>
      <c r="P2327" s="91">
        <v>2342.3258205165157</v>
      </c>
      <c r="Q2327" s="91">
        <v>2372.8113547233302</v>
      </c>
      <c r="R2327" s="91">
        <v>2405.126143881339</v>
      </c>
      <c r="S2327" s="91">
        <v>2439.2701879911069</v>
      </c>
      <c r="T2327" s="91">
        <v>2475.2434870526349</v>
      </c>
      <c r="U2327" s="91">
        <v>2513.0460410653577</v>
      </c>
      <c r="V2327" s="91">
        <v>2552.6778500292744</v>
      </c>
      <c r="W2327" s="91">
        <v>2594.1389139449511</v>
      </c>
      <c r="X2327" s="91">
        <v>2637.4292328118217</v>
      </c>
      <c r="Y2327" s="91">
        <v>2682.5488066298876</v>
      </c>
      <c r="Z2327" s="91">
        <v>2729.4976353997126</v>
      </c>
      <c r="AA2327" s="91">
        <v>2778.275719120732</v>
      </c>
      <c r="AB2327" s="91">
        <v>2828.8830577935114</v>
      </c>
      <c r="AC2327" s="91">
        <v>2881.3196514174851</v>
      </c>
      <c r="AD2327" s="91">
        <v>2935.5855000000001</v>
      </c>
      <c r="AE2327" s="91">
        <v>2986.9366946185883</v>
      </c>
      <c r="AF2327" s="91">
        <v>3039.5241556632632</v>
      </c>
      <c r="AG2327" s="91">
        <v>3093.3478830559143</v>
      </c>
      <c r="AH2327" s="91">
        <v>3148.4078767954506</v>
      </c>
      <c r="AI2327" s="91">
        <v>3204.704136883327</v>
      </c>
      <c r="AJ2327" s="91">
        <v>3262.2366633188158</v>
      </c>
      <c r="AK2327" s="91">
        <v>3321.0054561011902</v>
      </c>
      <c r="AL2327" s="91">
        <v>3381.0105152322676</v>
      </c>
      <c r="AM2327" s="91">
        <v>3442.2518407109578</v>
      </c>
      <c r="AN2327" s="91">
        <v>3504.7294325365337</v>
      </c>
      <c r="AO2327" s="91">
        <v>3568.4432907104492</v>
      </c>
      <c r="AP2327" s="91">
        <v>3633.3934152319771</v>
      </c>
      <c r="AQ2327" s="91">
        <v>3699.5798061014812</v>
      </c>
      <c r="AR2327" s="91">
        <v>3767.0024633178709</v>
      </c>
      <c r="AS2327" s="91">
        <v>3835.6613868826003</v>
      </c>
      <c r="AT2327" s="91">
        <v>3905.556576794942</v>
      </c>
      <c r="AU2327" s="91">
        <v>3976.6880330541703</v>
      </c>
      <c r="AV2327" s="91">
        <v>4049.0557556621006</v>
      </c>
      <c r="AW2327" s="91">
        <v>4122.6597446176438</v>
      </c>
      <c r="AX2327" s="92">
        <v>4197.5</v>
      </c>
    </row>
    <row r="2328" spans="1:50" x14ac:dyDescent="0.25">
      <c r="A2328" s="356"/>
      <c r="B2328" s="368"/>
      <c r="C2328" s="360"/>
      <c r="D2328" s="59" t="s">
        <v>20</v>
      </c>
      <c r="E2328" s="166" t="str">
        <f>A2325&amp;"/"&amp;B2325&amp;"/"&amp;C2325&amp;"/"&amp;D2328</f>
        <v>Wind power plants/Onshore/Electricity only/XS</v>
      </c>
      <c r="F2328" s="79" t="str">
        <f>A2325</f>
        <v>Wind power plants</v>
      </c>
      <c r="G2328" s="79" t="str">
        <f>B2325</f>
        <v>Onshore</v>
      </c>
      <c r="H2328" s="79" t="str">
        <f>C2325</f>
        <v>Electricity only</v>
      </c>
      <c r="I2328" s="167" t="str">
        <f t="shared" si="116"/>
        <v>XS</v>
      </c>
      <c r="J2328" s="97">
        <v>1712.8980298781221</v>
      </c>
      <c r="K2328" s="97">
        <v>1726.8684279197414</v>
      </c>
      <c r="L2328" s="97">
        <v>1741.8732134006646</v>
      </c>
      <c r="M2328" s="97">
        <v>1757.9123863206089</v>
      </c>
      <c r="N2328" s="97">
        <v>1774.9859466804226</v>
      </c>
      <c r="O2328" s="97">
        <v>1793.0938944826598</v>
      </c>
      <c r="P2328" s="97">
        <v>1812.2362297165485</v>
      </c>
      <c r="Q2328" s="97">
        <v>1832.4129523934262</v>
      </c>
      <c r="R2328" s="97">
        <v>1853.6240625096077</v>
      </c>
      <c r="S2328" s="97">
        <v>1875.8695600656583</v>
      </c>
      <c r="T2328" s="97">
        <v>1899.1494450601651</v>
      </c>
      <c r="U2328" s="97">
        <v>1923.4637174939758</v>
      </c>
      <c r="V2328" s="97">
        <v>1948.8123773668081</v>
      </c>
      <c r="W2328" s="97">
        <v>1975.1954246789442</v>
      </c>
      <c r="X2328" s="97">
        <v>2002.6128594309491</v>
      </c>
      <c r="Y2328" s="97">
        <v>2031.0646816214105</v>
      </c>
      <c r="Z2328" s="97">
        <v>2060.5508912511759</v>
      </c>
      <c r="AA2328" s="97">
        <v>2091.071488320245</v>
      </c>
      <c r="AB2328" s="97">
        <v>2122.6264728286183</v>
      </c>
      <c r="AC2328" s="97">
        <v>2155.2158447760125</v>
      </c>
      <c r="AD2328" s="97">
        <v>2188.839604166667</v>
      </c>
      <c r="AE2328" s="97">
        <v>2220.6015854696366</v>
      </c>
      <c r="AF2328" s="97">
        <v>2253.0359335213434</v>
      </c>
      <c r="AG2328" s="97">
        <v>2286.1426483220421</v>
      </c>
      <c r="AH2328" s="97">
        <v>2319.9217298713684</v>
      </c>
      <c r="AI2328" s="97">
        <v>2354.3731781693232</v>
      </c>
      <c r="AJ2328" s="97">
        <v>2389.4969932162694</v>
      </c>
      <c r="AK2328" s="97">
        <v>2425.293175012207</v>
      </c>
      <c r="AL2328" s="97">
        <v>2461.7617235569546</v>
      </c>
      <c r="AM2328" s="97">
        <v>2498.9026388503303</v>
      </c>
      <c r="AN2328" s="97">
        <v>2536.7159208926973</v>
      </c>
      <c r="AO2328" s="97">
        <v>2575.201569683511</v>
      </c>
      <c r="AP2328" s="97">
        <v>2614.3595852234976</v>
      </c>
      <c r="AQ2328" s="97">
        <v>2654.1899675122945</v>
      </c>
      <c r="AR2328" s="97">
        <v>2694.6927165500824</v>
      </c>
      <c r="AS2328" s="97">
        <v>2735.8678323364984</v>
      </c>
      <c r="AT2328" s="97">
        <v>2777.7153148713614</v>
      </c>
      <c r="AU2328" s="97">
        <v>2820.2351641555788</v>
      </c>
      <c r="AV2328" s="97">
        <v>2863.4273801884242</v>
      </c>
      <c r="AW2328" s="97">
        <v>2907.2919629702615</v>
      </c>
      <c r="AX2328" s="98">
        <v>2951.8289125000001</v>
      </c>
    </row>
    <row r="2329" spans="1:50" x14ac:dyDescent="0.25">
      <c r="A2329" s="356"/>
      <c r="B2329" s="359" t="s">
        <v>36</v>
      </c>
      <c r="C2329" s="361" t="s">
        <v>6</v>
      </c>
      <c r="D2329" s="2" t="s">
        <v>7</v>
      </c>
      <c r="E2329" s="160" t="str">
        <f>A2325&amp;"/"&amp;B2329&amp;"/"&amp;C2329&amp;"/"&amp;D2329</f>
        <v>Wind power plants/Offshore/Electricity only/L</v>
      </c>
      <c r="F2329" s="76" t="str">
        <f>A2325</f>
        <v>Wind power plants</v>
      </c>
      <c r="G2329" s="76" t="str">
        <f>B2329</f>
        <v>Offshore</v>
      </c>
      <c r="H2329" s="76" t="str">
        <f>C2329</f>
        <v>Electricity only</v>
      </c>
      <c r="I2329" s="161" t="str">
        <f t="shared" si="116"/>
        <v>L</v>
      </c>
      <c r="J2329" s="91">
        <v>4119.1717607862684</v>
      </c>
      <c r="K2329" s="91">
        <v>4150.8510421532528</v>
      </c>
      <c r="L2329" s="91">
        <v>4184.4105477950488</v>
      </c>
      <c r="M2329" s="91">
        <v>4219.8502777105259</v>
      </c>
      <c r="N2329" s="91">
        <v>4257.1702318985554</v>
      </c>
      <c r="O2329" s="91">
        <v>4296.3704102433558</v>
      </c>
      <c r="P2329" s="91">
        <v>4337.4508130962231</v>
      </c>
      <c r="Q2329" s="91">
        <v>4380.4114401058623</v>
      </c>
      <c r="R2329" s="91">
        <v>4425.252291388053</v>
      </c>
      <c r="S2329" s="91">
        <v>4471.973366943359</v>
      </c>
      <c r="T2329" s="91">
        <v>4520.5746667740432</v>
      </c>
      <c r="U2329" s="91">
        <v>4571.0561908778436</v>
      </c>
      <c r="V2329" s="91">
        <v>4623.4179392541955</v>
      </c>
      <c r="W2329" s="91">
        <v>4677.6599119042294</v>
      </c>
      <c r="X2329" s="91">
        <v>4733.7821088290748</v>
      </c>
      <c r="Y2329" s="91">
        <v>4791.7845300270365</v>
      </c>
      <c r="Z2329" s="91">
        <v>4851.6671754981144</v>
      </c>
      <c r="AA2329" s="91">
        <v>4913.4300452423095</v>
      </c>
      <c r="AB2329" s="91">
        <v>4977.0731392613161</v>
      </c>
      <c r="AC2329" s="91">
        <v>5042.5964575534399</v>
      </c>
      <c r="AD2329" s="91">
        <v>5110</v>
      </c>
      <c r="AE2329" s="91">
        <v>5147.7884995189852</v>
      </c>
      <c r="AF2329" s="91">
        <v>5183.5203148055307</v>
      </c>
      <c r="AG2329" s="91">
        <v>5217.1954459417429</v>
      </c>
      <c r="AH2329" s="91">
        <v>5248.8138929261704</v>
      </c>
      <c r="AI2329" s="91">
        <v>5278.3756557602655</v>
      </c>
      <c r="AJ2329" s="91">
        <v>5305.8807344411216</v>
      </c>
      <c r="AK2329" s="91">
        <v>5331.3291289716444</v>
      </c>
      <c r="AL2329" s="91">
        <v>5354.7208393496558</v>
      </c>
      <c r="AM2329" s="91">
        <v>5376.0558655766081</v>
      </c>
      <c r="AN2329" s="91">
        <v>5395.3342076525005</v>
      </c>
      <c r="AO2329" s="91">
        <v>5412.5558655780615</v>
      </c>
      <c r="AP2329" s="91">
        <v>5422.6602229891469</v>
      </c>
      <c r="AQ2329" s="91">
        <v>5429.1752332690694</v>
      </c>
      <c r="AR2329" s="91">
        <v>5435.698070954214</v>
      </c>
      <c r="AS2329" s="91">
        <v>5442.2287454487523</v>
      </c>
      <c r="AT2329" s="91">
        <v>5448.7672661681536</v>
      </c>
      <c r="AU2329" s="91">
        <v>5455.3136425392004</v>
      </c>
      <c r="AV2329" s="91">
        <v>5461.8678840000002</v>
      </c>
      <c r="AW2329" s="91">
        <v>5468.43</v>
      </c>
      <c r="AX2329" s="92">
        <v>5475</v>
      </c>
    </row>
    <row r="2330" spans="1:50" x14ac:dyDescent="0.25">
      <c r="A2330" s="356"/>
      <c r="B2330" s="359"/>
      <c r="C2330" s="350"/>
      <c r="D2330" s="2" t="s">
        <v>8</v>
      </c>
      <c r="E2330" s="160" t="str">
        <f>A2325&amp;"/"&amp;B2329&amp;"/"&amp;C2329&amp;"/"&amp;D2330</f>
        <v>Wind power plants/Offshore/Electricity only/M</v>
      </c>
      <c r="F2330" s="76" t="str">
        <f>A2325</f>
        <v>Wind power plants</v>
      </c>
      <c r="G2330" s="76" t="str">
        <f>B2329</f>
        <v>Offshore</v>
      </c>
      <c r="H2330" s="76" t="str">
        <f>C2329</f>
        <v>Electricity only</v>
      </c>
      <c r="I2330" s="161" t="str">
        <f t="shared" si="116"/>
        <v>M</v>
      </c>
      <c r="J2330" s="91">
        <v>3987.0799413163932</v>
      </c>
      <c r="K2330" s="91">
        <v>4018.8308442439329</v>
      </c>
      <c r="L2330" s="91">
        <v>4052.746231382017</v>
      </c>
      <c r="M2330" s="91">
        <v>4088.8261027334711</v>
      </c>
      <c r="N2330" s="91">
        <v>4127.0704582960343</v>
      </c>
      <c r="O2330" s="91">
        <v>4167.4792979360554</v>
      </c>
      <c r="P2330" s="91">
        <v>4210.0526220578795</v>
      </c>
      <c r="Q2330" s="91">
        <v>4254.7904302560319</v>
      </c>
      <c r="R2330" s="91">
        <v>4301.6927226675534</v>
      </c>
      <c r="S2330" s="91">
        <v>4350.7594992901841</v>
      </c>
      <c r="T2330" s="91">
        <v>4401.99076012562</v>
      </c>
      <c r="U2330" s="91">
        <v>4455.386505172165</v>
      </c>
      <c r="V2330" s="91">
        <v>4510.9467344320792</v>
      </c>
      <c r="W2330" s="91">
        <v>4568.6714479025386</v>
      </c>
      <c r="X2330" s="91">
        <v>4628.5606455863672</v>
      </c>
      <c r="Y2330" s="91">
        <v>4690.61432748074</v>
      </c>
      <c r="Z2330" s="91">
        <v>4754.8324935873534</v>
      </c>
      <c r="AA2330" s="91">
        <v>4821.215143907335</v>
      </c>
      <c r="AB2330" s="91">
        <v>4889.7622784378618</v>
      </c>
      <c r="AC2330" s="91">
        <v>4960.4738971817587</v>
      </c>
      <c r="AD2330" s="91">
        <v>5033.3500000000004</v>
      </c>
      <c r="AE2330" s="91">
        <v>5073.5297016768682</v>
      </c>
      <c r="AF2330" s="91">
        <v>5111.5162767915272</v>
      </c>
      <c r="AG2330" s="91">
        <v>5147.3097254224504</v>
      </c>
      <c r="AH2330" s="91">
        <v>5180.910047568912</v>
      </c>
      <c r="AI2330" s="91">
        <v>5212.3172432301835</v>
      </c>
      <c r="AJ2330" s="91">
        <v>5241.5313124091736</v>
      </c>
      <c r="AK2330" s="91">
        <v>5268.552255103702</v>
      </c>
      <c r="AL2330" s="91">
        <v>5293.3800713130404</v>
      </c>
      <c r="AM2330" s="91">
        <v>5316.0147610393706</v>
      </c>
      <c r="AN2330" s="91">
        <v>5336.456324281965</v>
      </c>
      <c r="AO2330" s="91">
        <v>5354.7047610400969</v>
      </c>
      <c r="AP2330" s="91">
        <v>5368.4336207592542</v>
      </c>
      <c r="AQ2330" s="91">
        <v>5374.883480936378</v>
      </c>
      <c r="AR2330" s="91">
        <v>5381.3410902446712</v>
      </c>
      <c r="AS2330" s="91">
        <v>5387.8064579942638</v>
      </c>
      <c r="AT2330" s="91">
        <v>5394.2795935064714</v>
      </c>
      <c r="AU2330" s="91">
        <v>5400.7605061138083</v>
      </c>
      <c r="AV2330" s="91">
        <v>5407.2492051600002</v>
      </c>
      <c r="AW2330" s="91">
        <v>5413.7457000000004</v>
      </c>
      <c r="AX2330" s="92">
        <v>5420.25</v>
      </c>
    </row>
    <row r="2331" spans="1:50" x14ac:dyDescent="0.25">
      <c r="A2331" s="356"/>
      <c r="B2331" s="359"/>
      <c r="C2331" s="350"/>
      <c r="D2331" s="2" t="s">
        <v>10</v>
      </c>
      <c r="E2331" s="160" t="str">
        <f>A2325&amp;"/"&amp;B2329&amp;"/"&amp;C2329&amp;"/"&amp;D2331</f>
        <v>Wind power plants/Offshore/Electricity only/S</v>
      </c>
      <c r="F2331" s="76" t="str">
        <f>A2325</f>
        <v>Wind power plants</v>
      </c>
      <c r="G2331" s="76" t="str">
        <f>B2329</f>
        <v>Offshore</v>
      </c>
      <c r="H2331" s="76" t="str">
        <f>C2329</f>
        <v>Electricity only</v>
      </c>
      <c r="I2331" s="161" t="str">
        <f t="shared" si="116"/>
        <v>S</v>
      </c>
      <c r="J2331" s="91">
        <v>3655.5845828535294</v>
      </c>
      <c r="K2331" s="91">
        <v>3686.2988891019468</v>
      </c>
      <c r="L2331" s="91">
        <v>3719.5056793438948</v>
      </c>
      <c r="M2331" s="91">
        <v>3755.2049535782426</v>
      </c>
      <c r="N2331" s="91">
        <v>3793.396711807251</v>
      </c>
      <c r="O2331" s="91">
        <v>3834.0809541011704</v>
      </c>
      <c r="P2331" s="91">
        <v>3877.2576802452936</v>
      </c>
      <c r="Q2331" s="91">
        <v>3922.9268904554583</v>
      </c>
      <c r="R2331" s="91">
        <v>3971.0885846574574</v>
      </c>
      <c r="S2331" s="91">
        <v>4021.742762854682</v>
      </c>
      <c r="T2331" s="91">
        <v>4074.8894250443072</v>
      </c>
      <c r="U2331" s="91">
        <v>4130.5285712285931</v>
      </c>
      <c r="V2331" s="91">
        <v>4188.6602014064083</v>
      </c>
      <c r="W2331" s="91">
        <v>4249.2843155760593</v>
      </c>
      <c r="X2331" s="91">
        <v>4312.4009137420653</v>
      </c>
      <c r="Y2331" s="91">
        <v>4378.0099958999072</v>
      </c>
      <c r="Z2331" s="91">
        <v>4446.1115620507135</v>
      </c>
      <c r="AA2331" s="91">
        <v>4516.7056121967462</v>
      </c>
      <c r="AB2331" s="91">
        <v>4589.7921463357434</v>
      </c>
      <c r="AC2331" s="91">
        <v>4665.371164467706</v>
      </c>
      <c r="AD2331" s="91">
        <v>4743.4426666666668</v>
      </c>
      <c r="AE2331" s="91">
        <v>4786.3415248783658</v>
      </c>
      <c r="AF2331" s="91">
        <v>4827.0247260473343</v>
      </c>
      <c r="AG2331" s="91">
        <v>4865.4922702164422</v>
      </c>
      <c r="AH2331" s="91">
        <v>4901.7441573842361</v>
      </c>
      <c r="AI2331" s="91">
        <v>4935.7803875528971</v>
      </c>
      <c r="AJ2331" s="91">
        <v>4967.6009607209699</v>
      </c>
      <c r="AK2331" s="91">
        <v>4997.2058768877296</v>
      </c>
      <c r="AL2331" s="91">
        <v>5024.5951360553554</v>
      </c>
      <c r="AM2331" s="91">
        <v>5049.7687382231206</v>
      </c>
      <c r="AN2331" s="91">
        <v>5072.7266833888461</v>
      </c>
      <c r="AO2331" s="91">
        <v>5093.4689715561635</v>
      </c>
      <c r="AP2331" s="91">
        <v>5111.9956027228945</v>
      </c>
      <c r="AQ2331" s="91">
        <v>5128.3065768890374</v>
      </c>
      <c r="AR2331" s="91">
        <v>5142.4018940538672</v>
      </c>
      <c r="AS2331" s="91">
        <v>5149.4368389436077</v>
      </c>
      <c r="AT2331" s="91">
        <v>5155.6235872483057</v>
      </c>
      <c r="AU2331" s="91">
        <v>5161.8177685705905</v>
      </c>
      <c r="AV2331" s="91">
        <v>5168.0193918407995</v>
      </c>
      <c r="AW2331" s="91">
        <v>5174.2284659999996</v>
      </c>
      <c r="AX2331" s="92">
        <v>5180.4449999999997</v>
      </c>
    </row>
    <row r="2332" spans="1:50" x14ac:dyDescent="0.25">
      <c r="A2332" s="357"/>
      <c r="B2332" s="362"/>
      <c r="C2332" s="354"/>
      <c r="D2332" s="4" t="s">
        <v>20</v>
      </c>
      <c r="E2332" s="168" t="str">
        <f>A2325&amp;"/"&amp;B2329&amp;"/"&amp;C2329&amp;"/"&amp;D2332</f>
        <v>Wind power plants/Offshore/Electricity only/XS</v>
      </c>
      <c r="F2332" s="80" t="str">
        <f>A2325</f>
        <v>Wind power plants</v>
      </c>
      <c r="G2332" s="80" t="str">
        <f>B2329</f>
        <v>Offshore</v>
      </c>
      <c r="H2332" s="80" t="str">
        <f>C2329</f>
        <v>Electricity only</v>
      </c>
      <c r="I2332" s="169" t="str">
        <f t="shared" si="116"/>
        <v>XS</v>
      </c>
      <c r="J2332" s="99">
        <v>3277.2539634643563</v>
      </c>
      <c r="K2332" s="99">
        <v>3306.4294984205467</v>
      </c>
      <c r="L2332" s="99">
        <v>3338.3591554154018</v>
      </c>
      <c r="M2332" s="99">
        <v>3373.0429344489212</v>
      </c>
      <c r="N2332" s="99">
        <v>3410.4808355233658</v>
      </c>
      <c r="O2332" s="99">
        <v>3450.6728586910535</v>
      </c>
      <c r="P2332" s="99">
        <v>3493.6190037825982</v>
      </c>
      <c r="Q2332" s="99">
        <v>3539.3192709707764</v>
      </c>
      <c r="R2332" s="99">
        <v>3587.7736601976189</v>
      </c>
      <c r="S2332" s="99">
        <v>3638.9821714653872</v>
      </c>
      <c r="T2332" s="99">
        <v>3692.9448047695591</v>
      </c>
      <c r="U2332" s="99">
        <v>3749.6615601123958</v>
      </c>
      <c r="V2332" s="99">
        <v>3809.1324374927672</v>
      </c>
      <c r="W2332" s="99">
        <v>3871.3574369151938</v>
      </c>
      <c r="X2332" s="99">
        <v>3936.3365583740242</v>
      </c>
      <c r="Y2332" s="99">
        <v>4004.0698018715198</v>
      </c>
      <c r="Z2332" s="99">
        <v>4074.5571674076796</v>
      </c>
      <c r="AA2332" s="99">
        <v>4147.7986549825036</v>
      </c>
      <c r="AB2332" s="99">
        <v>4223.7942645982539</v>
      </c>
      <c r="AC2332" s="99">
        <v>4302.5439962504079</v>
      </c>
      <c r="AD2332" s="99">
        <v>4384.0478500000008</v>
      </c>
      <c r="AE2332" s="99">
        <v>4430.8570932181228</v>
      </c>
      <c r="AF2332" s="99">
        <v>4475.7393667944052</v>
      </c>
      <c r="AG2332" s="99">
        <v>4518.6946708323167</v>
      </c>
      <c r="AH2332" s="99">
        <v>4559.7230053304038</v>
      </c>
      <c r="AI2332" s="99">
        <v>4598.824370292301</v>
      </c>
      <c r="AJ2332" s="99">
        <v>4635.9987657136462</v>
      </c>
      <c r="AK2332" s="99">
        <v>4671.2461915980748</v>
      </c>
      <c r="AL2332" s="99">
        <v>4704.5666479448591</v>
      </c>
      <c r="AM2332" s="99">
        <v>4735.9601347518201</v>
      </c>
      <c r="AN2332" s="99">
        <v>4765.4266520211359</v>
      </c>
      <c r="AO2332" s="99">
        <v>4792.9661997528083</v>
      </c>
      <c r="AP2332" s="99">
        <v>4818.5787779446555</v>
      </c>
      <c r="AQ2332" s="99">
        <v>4842.264386599586</v>
      </c>
      <c r="AR2332" s="99">
        <v>4864.0230257161465</v>
      </c>
      <c r="AS2332" s="99">
        <v>4883.8546952928818</v>
      </c>
      <c r="AT2332" s="99">
        <v>4901.7593953326996</v>
      </c>
      <c r="AU2332" s="99">
        <v>4917.7371258326939</v>
      </c>
      <c r="AV2332" s="99">
        <v>4931.7878867957706</v>
      </c>
      <c r="AW2332" s="99">
        <v>4943.9116782204765</v>
      </c>
      <c r="AX2332" s="100">
        <v>4954.1085000000003</v>
      </c>
    </row>
    <row r="2333" spans="1:50" x14ac:dyDescent="0.25">
      <c r="A2333" s="355" t="s">
        <v>37</v>
      </c>
      <c r="B2333" s="358" t="s">
        <v>37</v>
      </c>
      <c r="C2333" s="353" t="s">
        <v>6</v>
      </c>
      <c r="D2333" s="3" t="s">
        <v>7</v>
      </c>
      <c r="E2333" s="162" t="str">
        <f>A2333&amp;"/"&amp;B2333&amp;"/"&amp;C2333&amp;"/"&amp;D2333</f>
        <v>Solar PV power plants/Solar PV power plants/Electricity only/L</v>
      </c>
      <c r="F2333" s="77" t="str">
        <f>A2333</f>
        <v>Solar PV power plants</v>
      </c>
      <c r="G2333" s="77" t="str">
        <f>B2333</f>
        <v>Solar PV power plants</v>
      </c>
      <c r="H2333" s="77" t="str">
        <f>C2333</f>
        <v>Electricity only</v>
      </c>
      <c r="I2333" s="163" t="str">
        <f t="shared" si="116"/>
        <v>L</v>
      </c>
      <c r="J2333" s="93">
        <v>1246.6787246866579</v>
      </c>
      <c r="K2333" s="93">
        <v>1279.4552265051384</v>
      </c>
      <c r="L2333" s="93">
        <v>1311.8253664235715</v>
      </c>
      <c r="M2333" s="93">
        <v>1343.7891444413926</v>
      </c>
      <c r="N2333" s="93">
        <v>1375.3465605588842</v>
      </c>
      <c r="O2333" s="93">
        <v>1406.4976147846996</v>
      </c>
      <c r="P2333" s="93">
        <v>1437.2423070927373</v>
      </c>
      <c r="Q2333" s="93">
        <v>1467.5806375090988</v>
      </c>
      <c r="R2333" s="93">
        <v>1497.5126060251307</v>
      </c>
      <c r="S2333" s="93">
        <v>1527.0382126408331</v>
      </c>
      <c r="T2333" s="93">
        <v>1556.1574573562057</v>
      </c>
      <c r="U2333" s="93">
        <v>1584.8703401715313</v>
      </c>
      <c r="V2333" s="93">
        <v>1613.176861086245</v>
      </c>
      <c r="W2333" s="93">
        <v>1641.0770201004875</v>
      </c>
      <c r="X2333" s="93">
        <v>1668.5708172144007</v>
      </c>
      <c r="Y2333" s="93">
        <v>1695.6582524281255</v>
      </c>
      <c r="Z2333" s="93">
        <v>1722.3393257413793</v>
      </c>
      <c r="AA2333" s="93">
        <v>1748.6140371543036</v>
      </c>
      <c r="AB2333" s="93">
        <v>1774.4823866671809</v>
      </c>
      <c r="AC2333" s="93">
        <v>1799.9443742793048</v>
      </c>
      <c r="AD2333" s="93">
        <v>1825</v>
      </c>
      <c r="AE2333" s="93">
        <v>1848.488657724108</v>
      </c>
      <c r="AF2333" s="93">
        <v>1871.4258778166998</v>
      </c>
      <c r="AG2333" s="93">
        <v>1893.8116602514358</v>
      </c>
      <c r="AH2333" s="93">
        <v>1915.6460050281344</v>
      </c>
      <c r="AI2333" s="93">
        <v>1936.9289121471586</v>
      </c>
      <c r="AJ2333" s="93">
        <v>1957.6603816077823</v>
      </c>
      <c r="AK2333" s="93">
        <v>1977.8404134107318</v>
      </c>
      <c r="AL2333" s="93">
        <v>1997.469007555462</v>
      </c>
      <c r="AM2333" s="93">
        <v>2016.5461640423366</v>
      </c>
      <c r="AN2333" s="93">
        <v>2035.0718828711738</v>
      </c>
      <c r="AO2333" s="93">
        <v>2053.0461640425183</v>
      </c>
      <c r="AP2333" s="93">
        <v>2070.4690075554622</v>
      </c>
      <c r="AQ2333" s="93">
        <v>2087.3404134103685</v>
      </c>
      <c r="AR2333" s="93">
        <v>2103.6603816074189</v>
      </c>
      <c r="AS2333" s="93">
        <v>2119.4289121466136</v>
      </c>
      <c r="AT2333" s="93">
        <v>2134.6460050279525</v>
      </c>
      <c r="AU2333" s="93">
        <v>2149.3116602510727</v>
      </c>
      <c r="AV2333" s="93">
        <v>2163.4258778163367</v>
      </c>
      <c r="AW2333" s="93">
        <v>2176.9886577235629</v>
      </c>
      <c r="AX2333" s="94">
        <v>2190</v>
      </c>
    </row>
    <row r="2334" spans="1:50" x14ac:dyDescent="0.25">
      <c r="A2334" s="356"/>
      <c r="B2334" s="359"/>
      <c r="C2334" s="350"/>
      <c r="D2334" s="2" t="s">
        <v>8</v>
      </c>
      <c r="E2334" s="160" t="str">
        <f>A2333&amp;"/"&amp;B2333&amp;"/"&amp;C2333&amp;"/"&amp;D2334</f>
        <v>Solar PV power plants/Solar PV power plants/Electricity only/M</v>
      </c>
      <c r="F2334" s="76" t="str">
        <f>A2333</f>
        <v>Solar PV power plants</v>
      </c>
      <c r="G2334" s="76" t="str">
        <f>B2333</f>
        <v>Solar PV power plants</v>
      </c>
      <c r="H2334" s="76" t="str">
        <f>C2333</f>
        <v>Electricity only</v>
      </c>
      <c r="I2334" s="161" t="str">
        <f t="shared" si="116"/>
        <v>M</v>
      </c>
      <c r="J2334" s="91">
        <v>1120.1858523093329</v>
      </c>
      <c r="K2334" s="91">
        <v>1149.9037039458663</v>
      </c>
      <c r="L2334" s="91">
        <v>1179.3288298724137</v>
      </c>
      <c r="M2334" s="91">
        <v>1208.4612300886931</v>
      </c>
      <c r="N2334" s="91">
        <v>1237.3009045944214</v>
      </c>
      <c r="O2334" s="91">
        <v>1265.8478533062296</v>
      </c>
      <c r="P2334" s="91">
        <v>1294.1020764750729</v>
      </c>
      <c r="Q2334" s="91">
        <v>1322.0635738499959</v>
      </c>
      <c r="R2334" s="91">
        <v>1349.7323455146507</v>
      </c>
      <c r="S2334" s="91">
        <v>1377.1083914687545</v>
      </c>
      <c r="T2334" s="91">
        <v>1404.1917117128726</v>
      </c>
      <c r="U2334" s="91">
        <v>1430.9823062464395</v>
      </c>
      <c r="V2334" s="91">
        <v>1457.4801750697384</v>
      </c>
      <c r="W2334" s="91">
        <v>1483.6853181826273</v>
      </c>
      <c r="X2334" s="91">
        <v>1509.5977355853893</v>
      </c>
      <c r="Y2334" s="91">
        <v>1535.2174272777415</v>
      </c>
      <c r="Z2334" s="91">
        <v>1560.5443932598255</v>
      </c>
      <c r="AA2334" s="91">
        <v>1585.5786335313585</v>
      </c>
      <c r="AB2334" s="91">
        <v>1610.320148093047</v>
      </c>
      <c r="AC2334" s="91">
        <v>1634.7689369441844</v>
      </c>
      <c r="AD2334" s="91">
        <v>1658.925</v>
      </c>
      <c r="AE2334" s="91">
        <v>1681.1848204772587</v>
      </c>
      <c r="AF2334" s="91">
        <v>1702.9514757034667</v>
      </c>
      <c r="AG2334" s="91">
        <v>1724.224965609051</v>
      </c>
      <c r="AH2334" s="91">
        <v>1745.0052901938302</v>
      </c>
      <c r="AI2334" s="91">
        <v>1765.2924494578044</v>
      </c>
      <c r="AJ2334" s="91">
        <v>1785.0864434011551</v>
      </c>
      <c r="AK2334" s="91">
        <v>1804.3872720237007</v>
      </c>
      <c r="AL2334" s="91">
        <v>1823.1949353254411</v>
      </c>
      <c r="AM2334" s="91">
        <v>1841.5094333065579</v>
      </c>
      <c r="AN2334" s="91">
        <v>1859.3307659665063</v>
      </c>
      <c r="AO2334" s="91">
        <v>1876.6589333060128</v>
      </c>
      <c r="AP2334" s="91">
        <v>1893.493935324896</v>
      </c>
      <c r="AQ2334" s="91">
        <v>1909.835772022974</v>
      </c>
      <c r="AR2334" s="91">
        <v>1925.6844434004286</v>
      </c>
      <c r="AS2334" s="91">
        <v>1941.0399494570779</v>
      </c>
      <c r="AT2334" s="91">
        <v>1955.902290192922</v>
      </c>
      <c r="AU2334" s="91">
        <v>1970.2714656081428</v>
      </c>
      <c r="AV2334" s="91">
        <v>1984.1474757025583</v>
      </c>
      <c r="AW2334" s="91">
        <v>1997.5303204761688</v>
      </c>
      <c r="AX2334" s="92">
        <v>2010.42</v>
      </c>
    </row>
    <row r="2335" spans="1:50" x14ac:dyDescent="0.25">
      <c r="A2335" s="356"/>
      <c r="B2335" s="359"/>
      <c r="C2335" s="350"/>
      <c r="D2335" s="2" t="s">
        <v>10</v>
      </c>
      <c r="E2335" s="160" t="str">
        <f>A2333&amp;"/"&amp;B2333&amp;"/"&amp;C2333&amp;"/"&amp;D2335</f>
        <v>Solar PV power plants/Solar PV power plants/Electricity only/S</v>
      </c>
      <c r="F2335" s="76" t="str">
        <f>A2333</f>
        <v>Solar PV power plants</v>
      </c>
      <c r="G2335" s="76" t="str">
        <f>B2333</f>
        <v>Solar PV power plants</v>
      </c>
      <c r="H2335" s="76" t="str">
        <f>C2333</f>
        <v>Electricity only</v>
      </c>
      <c r="I2335" s="161" t="str">
        <f t="shared" si="116"/>
        <v>S</v>
      </c>
      <c r="J2335" s="91">
        <v>1006.5247670343188</v>
      </c>
      <c r="K2335" s="91">
        <v>1033.4679335074247</v>
      </c>
      <c r="L2335" s="91">
        <v>1060.2133468410352</v>
      </c>
      <c r="M2335" s="91">
        <v>1086.7610070354322</v>
      </c>
      <c r="N2335" s="91">
        <v>1113.1109140906865</v>
      </c>
      <c r="O2335" s="91">
        <v>1139.2630679756069</v>
      </c>
      <c r="P2335" s="91">
        <v>1165.2174687832021</v>
      </c>
      <c r="Q2335" s="91">
        <v>1190.9741164204634</v>
      </c>
      <c r="R2335" s="91">
        <v>1216.533010918582</v>
      </c>
      <c r="S2335" s="91">
        <v>1241.8941522774167</v>
      </c>
      <c r="T2335" s="91">
        <v>1267.0575404968263</v>
      </c>
      <c r="U2335" s="91">
        <v>1292.0231755769519</v>
      </c>
      <c r="V2335" s="91">
        <v>1316.7910575179349</v>
      </c>
      <c r="W2335" s="91">
        <v>1341.3611863196338</v>
      </c>
      <c r="X2335" s="91">
        <v>1365.7335619819078</v>
      </c>
      <c r="Y2335" s="91">
        <v>1389.9081845048975</v>
      </c>
      <c r="Z2335" s="91">
        <v>1413.8850538887448</v>
      </c>
      <c r="AA2335" s="91">
        <v>1437.6641701333083</v>
      </c>
      <c r="AB2335" s="91">
        <v>1461.2455332385171</v>
      </c>
      <c r="AC2335" s="91">
        <v>1484.6291432043713</v>
      </c>
      <c r="AD2335" s="91">
        <v>1507.8150000000001</v>
      </c>
      <c r="AE2335" s="91">
        <v>1528.8568642547248</v>
      </c>
      <c r="AF2335" s="91">
        <v>1549.4576953869778</v>
      </c>
      <c r="AG2335" s="91">
        <v>1569.617493444897</v>
      </c>
      <c r="AH2335" s="91">
        <v>1589.336258428483</v>
      </c>
      <c r="AI2335" s="91">
        <v>1608.6139903373721</v>
      </c>
      <c r="AJ2335" s="91">
        <v>1627.4506891721092</v>
      </c>
      <c r="AK2335" s="91">
        <v>1645.8463549325129</v>
      </c>
      <c r="AL2335" s="91">
        <v>1663.8009876185829</v>
      </c>
      <c r="AM2335" s="91">
        <v>1681.3145872303194</v>
      </c>
      <c r="AN2335" s="91">
        <v>1698.3871537675404</v>
      </c>
      <c r="AO2335" s="91">
        <v>1715.0186872300651</v>
      </c>
      <c r="AP2335" s="91">
        <v>1731.2091876186191</v>
      </c>
      <c r="AQ2335" s="91">
        <v>1746.9586549328396</v>
      </c>
      <c r="AR2335" s="91">
        <v>1762.2670891725452</v>
      </c>
      <c r="AS2335" s="91">
        <v>1777.134490337917</v>
      </c>
      <c r="AT2335" s="91">
        <v>1791.5608584285919</v>
      </c>
      <c r="AU2335" s="91">
        <v>1805.5461934452967</v>
      </c>
      <c r="AV2335" s="91">
        <v>1819.0904953874863</v>
      </c>
      <c r="AW2335" s="91">
        <v>1832.1937642553423</v>
      </c>
      <c r="AX2335" s="92">
        <v>1844.8560000000002</v>
      </c>
    </row>
    <row r="2336" spans="1:50" x14ac:dyDescent="0.25">
      <c r="A2336" s="357"/>
      <c r="B2336" s="362"/>
      <c r="C2336" s="354"/>
      <c r="D2336" s="4" t="s">
        <v>20</v>
      </c>
      <c r="E2336" s="168" t="str">
        <f>A2333&amp;"/"&amp;B2333&amp;"/"&amp;C2333&amp;"/"&amp;D2336</f>
        <v>Solar PV power plants/Solar PV power plants/Electricity only/XS</v>
      </c>
      <c r="F2336" s="80" t="str">
        <f>A2333</f>
        <v>Solar PV power plants</v>
      </c>
      <c r="G2336" s="80" t="str">
        <f>B2333</f>
        <v>Solar PV power plants</v>
      </c>
      <c r="H2336" s="80" t="str">
        <f>C2333</f>
        <v>Electricity only</v>
      </c>
      <c r="I2336" s="169" t="str">
        <f t="shared" si="116"/>
        <v>XS</v>
      </c>
      <c r="J2336" s="99">
        <v>854.14992688959614</v>
      </c>
      <c r="K2336" s="99">
        <v>877.21915339159091</v>
      </c>
      <c r="L2336" s="99">
        <v>900.17613472518224</v>
      </c>
      <c r="M2336" s="99">
        <v>923.02087089040549</v>
      </c>
      <c r="N2336" s="99">
        <v>945.75336188722554</v>
      </c>
      <c r="O2336" s="99">
        <v>968.37360777926597</v>
      </c>
      <c r="P2336" s="99">
        <v>990.88160837572605</v>
      </c>
      <c r="Q2336" s="99">
        <v>1013.2773638673712</v>
      </c>
      <c r="R2336" s="99">
        <v>1035.5608741906485</v>
      </c>
      <c r="S2336" s="99">
        <v>1057.7321393455222</v>
      </c>
      <c r="T2336" s="99">
        <v>1079.7911593320282</v>
      </c>
      <c r="U2336" s="99">
        <v>1101.7379341501307</v>
      </c>
      <c r="V2336" s="99">
        <v>1123.5724637998298</v>
      </c>
      <c r="W2336" s="99">
        <v>1145.2947482811257</v>
      </c>
      <c r="X2336" s="99">
        <v>1166.9047875940535</v>
      </c>
      <c r="Y2336" s="99">
        <v>1188.4025817386132</v>
      </c>
      <c r="Z2336" s="99">
        <v>1209.7881307147345</v>
      </c>
      <c r="AA2336" s="99">
        <v>1231.0614345224876</v>
      </c>
      <c r="AB2336" s="99">
        <v>1252.2224931618725</v>
      </c>
      <c r="AC2336" s="99">
        <v>1273.2713066328545</v>
      </c>
      <c r="AD2336" s="99">
        <v>1294.2078750000001</v>
      </c>
      <c r="AE2336" s="99">
        <v>1313.6395682700568</v>
      </c>
      <c r="AF2336" s="99">
        <v>1332.7849376610893</v>
      </c>
      <c r="AG2336" s="99">
        <v>1351.6439831531709</v>
      </c>
      <c r="AH2336" s="99">
        <v>1370.2167047461194</v>
      </c>
      <c r="AI2336" s="99">
        <v>1388.5031024403893</v>
      </c>
      <c r="AJ2336" s="99">
        <v>1406.5031762354354</v>
      </c>
      <c r="AK2336" s="99">
        <v>1424.2169261318027</v>
      </c>
      <c r="AL2336" s="99">
        <v>1441.644352129128</v>
      </c>
      <c r="AM2336" s="99">
        <v>1458.7854542274115</v>
      </c>
      <c r="AN2336" s="99">
        <v>1475.6402324269252</v>
      </c>
      <c r="AO2336" s="99">
        <v>1492.2086867275784</v>
      </c>
      <c r="AP2336" s="99">
        <v>1508.4908171290083</v>
      </c>
      <c r="AQ2336" s="99">
        <v>1524.4866236317591</v>
      </c>
      <c r="AR2336" s="99">
        <v>1540.1961062354681</v>
      </c>
      <c r="AS2336" s="99">
        <v>1555.6192649401348</v>
      </c>
      <c r="AT2336" s="99">
        <v>1570.7560997460323</v>
      </c>
      <c r="AU2336" s="99">
        <v>1585.6066106528874</v>
      </c>
      <c r="AV2336" s="99">
        <v>1600.1707976608823</v>
      </c>
      <c r="AW2336" s="99">
        <v>1614.4486607700169</v>
      </c>
      <c r="AX2336" s="100">
        <v>1628.4402000000002</v>
      </c>
    </row>
    <row r="2337" spans="1:50" x14ac:dyDescent="0.25">
      <c r="A2337" s="355" t="s">
        <v>38</v>
      </c>
      <c r="B2337" s="358" t="s">
        <v>38</v>
      </c>
      <c r="C2337" s="353" t="s">
        <v>6</v>
      </c>
      <c r="D2337" s="3" t="s">
        <v>7</v>
      </c>
      <c r="E2337" s="162" t="str">
        <f>A2337&amp;"/"&amp;B2337&amp;"/"&amp;C2337&amp;"/"&amp;D2337</f>
        <v>Solar thermal power plants/Solar thermal power plants/Electricity only/L</v>
      </c>
      <c r="F2337" s="77" t="str">
        <f>A2337</f>
        <v>Solar thermal power plants</v>
      </c>
      <c r="G2337" s="77" t="str">
        <f>B2337</f>
        <v>Solar thermal power plants</v>
      </c>
      <c r="H2337" s="77" t="str">
        <f>C2337</f>
        <v>Electricity only</v>
      </c>
      <c r="I2337" s="163" t="str">
        <f t="shared" si="116"/>
        <v>L</v>
      </c>
      <c r="J2337" s="93">
        <v>1862.0138693164133</v>
      </c>
      <c r="K2337" s="93">
        <v>2119.8627638498942</v>
      </c>
      <c r="L2337" s="93">
        <v>2358.0590689188639</v>
      </c>
      <c r="M2337" s="93">
        <v>2576.6027859191895</v>
      </c>
      <c r="N2337" s="93">
        <v>2775.4939148661297</v>
      </c>
      <c r="O2337" s="93">
        <v>2954.732454336749</v>
      </c>
      <c r="P2337" s="93">
        <v>2983.3674252497358</v>
      </c>
      <c r="Q2337" s="93">
        <v>3011.0570912421094</v>
      </c>
      <c r="R2337" s="93">
        <v>3037.801452298846</v>
      </c>
      <c r="S2337" s="93">
        <v>3063.6005084199455</v>
      </c>
      <c r="T2337" s="93">
        <v>3088.454259605408</v>
      </c>
      <c r="U2337" s="93">
        <v>3112.3627058545071</v>
      </c>
      <c r="V2337" s="93">
        <v>3135.3258471679692</v>
      </c>
      <c r="W2337" s="93">
        <v>3157.3436835454308</v>
      </c>
      <c r="X2337" s="93">
        <v>3178.4162149868926</v>
      </c>
      <c r="Y2337" s="93">
        <v>3198.5434414927167</v>
      </c>
      <c r="Z2337" s="93">
        <v>3217.7253630632677</v>
      </c>
      <c r="AA2337" s="93">
        <v>3235.9619796970919</v>
      </c>
      <c r="AB2337" s="93">
        <v>3253.2532913952787</v>
      </c>
      <c r="AC2337" s="93">
        <v>3269.5992981574655</v>
      </c>
      <c r="AD2337" s="93">
        <v>3285</v>
      </c>
      <c r="AE2337" s="93">
        <v>3299.4553968745645</v>
      </c>
      <c r="AF2337" s="93">
        <v>3312.9654888298401</v>
      </c>
      <c r="AG2337" s="93">
        <v>3325.5302758487524</v>
      </c>
      <c r="AH2337" s="93">
        <v>3329.9088975841078</v>
      </c>
      <c r="AI2337" s="93">
        <v>3333.9095890910171</v>
      </c>
      <c r="AJ2337" s="93">
        <v>3337.9150871956517</v>
      </c>
      <c r="AK2337" s="93">
        <v>3341.9253976728592</v>
      </c>
      <c r="AL2337" s="93">
        <v>3345.9405263044246</v>
      </c>
      <c r="AM2337" s="93">
        <v>3349.9604788790793</v>
      </c>
      <c r="AN2337" s="93">
        <v>3353.9852611925103</v>
      </c>
      <c r="AO2337" s="93">
        <v>3358.0148790473672</v>
      </c>
      <c r="AP2337" s="93">
        <v>3362.0493382532709</v>
      </c>
      <c r="AQ2337" s="93">
        <v>3366.0886446268232</v>
      </c>
      <c r="AR2337" s="93">
        <v>3370.1328039916129</v>
      </c>
      <c r="AS2337" s="93">
        <v>3374.1818221782269</v>
      </c>
      <c r="AT2337" s="93">
        <v>3378.2357050242558</v>
      </c>
      <c r="AU2337" s="93">
        <v>3382.2944583743051</v>
      </c>
      <c r="AV2337" s="93">
        <v>3386.3580880800009</v>
      </c>
      <c r="AW2337" s="93">
        <v>3390.4266000000007</v>
      </c>
      <c r="AX2337" s="94">
        <v>3394.5000000000005</v>
      </c>
    </row>
    <row r="2338" spans="1:50" x14ac:dyDescent="0.25">
      <c r="A2338" s="356"/>
      <c r="B2338" s="359"/>
      <c r="C2338" s="350"/>
      <c r="D2338" s="2" t="s">
        <v>8</v>
      </c>
      <c r="E2338" s="160" t="str">
        <f>A2337&amp;"/"&amp;B2337&amp;"/"&amp;C2337&amp;"/"&amp;D2338</f>
        <v>Solar thermal power plants/Solar thermal power plants/Electricity only/M</v>
      </c>
      <c r="F2338" s="76" t="str">
        <f>A2337</f>
        <v>Solar thermal power plants</v>
      </c>
      <c r="G2338" s="76" t="str">
        <f>B2337</f>
        <v>Solar thermal power plants</v>
      </c>
      <c r="H2338" s="76" t="str">
        <f>C2337</f>
        <v>Electricity only</v>
      </c>
      <c r="I2338" s="161" t="str">
        <f t="shared" si="116"/>
        <v>M</v>
      </c>
      <c r="J2338" s="91">
        <v>1740.9829678108465</v>
      </c>
      <c r="K2338" s="91">
        <v>1982.071683944702</v>
      </c>
      <c r="L2338" s="91">
        <v>2204.7852291819254</v>
      </c>
      <c r="M2338" s="91">
        <v>2409.1236045786536</v>
      </c>
      <c r="N2338" s="91">
        <v>2595.0868101348879</v>
      </c>
      <c r="O2338" s="91">
        <v>2762.6748448048602</v>
      </c>
      <c r="P2338" s="91">
        <v>2789.4485426632114</v>
      </c>
      <c r="Q2338" s="91">
        <v>2815.3383803667348</v>
      </c>
      <c r="R2338" s="91">
        <v>2840.3443579548434</v>
      </c>
      <c r="S2338" s="91">
        <v>2864.4664754275373</v>
      </c>
      <c r="T2338" s="91">
        <v>2887.7047327859068</v>
      </c>
      <c r="U2338" s="91">
        <v>2910.0591300292249</v>
      </c>
      <c r="V2338" s="91">
        <v>2931.5296671574915</v>
      </c>
      <c r="W2338" s="91">
        <v>2952.1163441699805</v>
      </c>
      <c r="X2338" s="91">
        <v>2971.8191610681447</v>
      </c>
      <c r="Y2338" s="91">
        <v>2990.6381178512579</v>
      </c>
      <c r="Z2338" s="91">
        <v>3008.5732145193197</v>
      </c>
      <c r="AA2338" s="91">
        <v>3025.62445107233</v>
      </c>
      <c r="AB2338" s="91">
        <v>3041.7918275095626</v>
      </c>
      <c r="AC2338" s="91">
        <v>3057.0753438328338</v>
      </c>
      <c r="AD2338" s="91">
        <v>3071.4749999999999</v>
      </c>
      <c r="AE2338" s="91">
        <v>3084.9907961334961</v>
      </c>
      <c r="AF2338" s="91">
        <v>3097.6227321116135</v>
      </c>
      <c r="AG2338" s="91">
        <v>3109.3708079735898</v>
      </c>
      <c r="AH2338" s="91">
        <v>3113.4648192411405</v>
      </c>
      <c r="AI2338" s="91">
        <v>3117.2054658001007</v>
      </c>
      <c r="AJ2338" s="91">
        <v>3120.9506065279343</v>
      </c>
      <c r="AK2338" s="91">
        <v>3124.700246824123</v>
      </c>
      <c r="AL2338" s="91">
        <v>3128.4543920946367</v>
      </c>
      <c r="AM2338" s="91">
        <v>3132.213047751939</v>
      </c>
      <c r="AN2338" s="91">
        <v>3135.9762192149969</v>
      </c>
      <c r="AO2338" s="91">
        <v>3139.7439119092878</v>
      </c>
      <c r="AP2338" s="91">
        <v>3143.5161312668079</v>
      </c>
      <c r="AQ2338" s="91">
        <v>3147.2928827260789</v>
      </c>
      <c r="AR2338" s="91">
        <v>3151.0741717321575</v>
      </c>
      <c r="AS2338" s="91">
        <v>3154.8600037366414</v>
      </c>
      <c r="AT2338" s="91">
        <v>3158.6503841976787</v>
      </c>
      <c r="AU2338" s="91">
        <v>3162.4453185799748</v>
      </c>
      <c r="AV2338" s="91">
        <v>3166.2448123548006</v>
      </c>
      <c r="AW2338" s="91">
        <v>3170.0488710000004</v>
      </c>
      <c r="AX2338" s="92">
        <v>3173.8575000000005</v>
      </c>
    </row>
    <row r="2339" spans="1:50" x14ac:dyDescent="0.25">
      <c r="A2339" s="356"/>
      <c r="B2339" s="359"/>
      <c r="C2339" s="350"/>
      <c r="D2339" s="2" t="s">
        <v>10</v>
      </c>
      <c r="E2339" s="160" t="str">
        <f>A2337&amp;"/"&amp;B2337&amp;"/"&amp;C2337&amp;"/"&amp;D2339</f>
        <v>Solar thermal power plants/Solar thermal power plants/Electricity only/S</v>
      </c>
      <c r="F2339" s="76" t="str">
        <f>A2337</f>
        <v>Solar thermal power plants</v>
      </c>
      <c r="G2339" s="76" t="str">
        <f>B2337</f>
        <v>Solar thermal power plants</v>
      </c>
      <c r="H2339" s="76" t="str">
        <f>C2337</f>
        <v>Electricity only</v>
      </c>
      <c r="I2339" s="161" t="str">
        <f t="shared" si="116"/>
        <v>S</v>
      </c>
      <c r="J2339" s="91">
        <v>1653.933819420304</v>
      </c>
      <c r="K2339" s="91">
        <v>1882.9680973561603</v>
      </c>
      <c r="L2339" s="91">
        <v>2094.545965326945</v>
      </c>
      <c r="M2339" s="91">
        <v>2288.6674219614665</v>
      </c>
      <c r="N2339" s="91">
        <v>2465.3324672393796</v>
      </c>
      <c r="O2339" s="91">
        <v>2624.5411025646167</v>
      </c>
      <c r="P2339" s="91">
        <v>2649.9761154981338</v>
      </c>
      <c r="Q2339" s="91">
        <v>2674.5714613164264</v>
      </c>
      <c r="R2339" s="91">
        <v>2698.3271400248209</v>
      </c>
      <c r="S2339" s="91">
        <v>2721.2431516244069</v>
      </c>
      <c r="T2339" s="91">
        <v>2743.3194961144582</v>
      </c>
      <c r="U2339" s="91">
        <v>2764.556173495338</v>
      </c>
      <c r="V2339" s="91">
        <v>2784.9531837677728</v>
      </c>
      <c r="W2339" s="91">
        <v>2804.5105269299461</v>
      </c>
      <c r="X2339" s="91">
        <v>2823.228202982948</v>
      </c>
      <c r="Y2339" s="91">
        <v>2841.1062119267781</v>
      </c>
      <c r="Z2339" s="91">
        <v>2858.1445537610734</v>
      </c>
      <c r="AA2339" s="91">
        <v>2874.3432284861974</v>
      </c>
      <c r="AB2339" s="91">
        <v>2889.7022361021495</v>
      </c>
      <c r="AC2339" s="91">
        <v>2904.2215766089303</v>
      </c>
      <c r="AD2339" s="91">
        <v>2917.9012499999999</v>
      </c>
      <c r="AE2339" s="91">
        <v>2930.7412562942504</v>
      </c>
      <c r="AF2339" s="91">
        <v>2942.7415954731532</v>
      </c>
      <c r="AG2339" s="91">
        <v>2953.9022675432475</v>
      </c>
      <c r="AH2339" s="91">
        <v>2957.7915782790838</v>
      </c>
      <c r="AI2339" s="91">
        <v>2961.3451925100958</v>
      </c>
      <c r="AJ2339" s="91">
        <v>2964.9030762015377</v>
      </c>
      <c r="AK2339" s="91">
        <v>2968.4652344829174</v>
      </c>
      <c r="AL2339" s="91">
        <v>2972.0316724899053</v>
      </c>
      <c r="AM2339" s="91">
        <v>2975.6023953643426</v>
      </c>
      <c r="AN2339" s="91">
        <v>2979.1774082542474</v>
      </c>
      <c r="AO2339" s="91">
        <v>2982.7567163138237</v>
      </c>
      <c r="AP2339" s="91">
        <v>2986.340324703468</v>
      </c>
      <c r="AQ2339" s="91">
        <v>2989.9282385897759</v>
      </c>
      <c r="AR2339" s="91">
        <v>2993.5204631455504</v>
      </c>
      <c r="AS2339" s="91">
        <v>2997.1170035498099</v>
      </c>
      <c r="AT2339" s="91">
        <v>3000.7178649877951</v>
      </c>
      <c r="AU2339" s="91">
        <v>3004.323052650976</v>
      </c>
      <c r="AV2339" s="91">
        <v>3007.9325717370602</v>
      </c>
      <c r="AW2339" s="91">
        <v>3011.54642745</v>
      </c>
      <c r="AX2339" s="92">
        <v>3015.1646249999999</v>
      </c>
    </row>
    <row r="2340" spans="1:50" x14ac:dyDescent="0.25">
      <c r="A2340" s="357"/>
      <c r="B2340" s="362"/>
      <c r="C2340" s="354"/>
      <c r="D2340" s="4" t="s">
        <v>20</v>
      </c>
      <c r="E2340" s="168" t="str">
        <f>A2337&amp;"/"&amp;B2337&amp;"/"&amp;C2337&amp;"/"&amp;D2340</f>
        <v>Solar thermal power plants/Solar thermal power plants/Electricity only/XS</v>
      </c>
      <c r="F2340" s="80" t="str">
        <f>A2337</f>
        <v>Solar thermal power plants</v>
      </c>
      <c r="G2340" s="80" t="str">
        <f>B2337</f>
        <v>Solar thermal power plants</v>
      </c>
      <c r="H2340" s="80" t="str">
        <f>C2337</f>
        <v>Electricity only</v>
      </c>
      <c r="I2340" s="169" t="str">
        <f t="shared" si="116"/>
        <v>XS</v>
      </c>
      <c r="J2340" s="99">
        <v>1571.2371284492888</v>
      </c>
      <c r="K2340" s="99">
        <v>1788.8196923472083</v>
      </c>
      <c r="L2340" s="99">
        <v>1989.8186669311522</v>
      </c>
      <c r="M2340" s="99">
        <v>2174.2340507202143</v>
      </c>
      <c r="N2340" s="99">
        <v>2342.0658437449133</v>
      </c>
      <c r="O2340" s="99">
        <v>2493.3140474363859</v>
      </c>
      <c r="P2340" s="99">
        <v>2517.4773097042266</v>
      </c>
      <c r="Q2340" s="99">
        <v>2540.842888231768</v>
      </c>
      <c r="R2340" s="99">
        <v>2563.4107830046155</v>
      </c>
      <c r="S2340" s="99">
        <v>2585.1809940245857</v>
      </c>
      <c r="T2340" s="99">
        <v>2606.1535212894987</v>
      </c>
      <c r="U2340" s="99">
        <v>2626.328364801534</v>
      </c>
      <c r="V2340" s="99">
        <v>2645.7055245599654</v>
      </c>
      <c r="W2340" s="99">
        <v>2664.2850005637033</v>
      </c>
      <c r="X2340" s="99">
        <v>2682.0667928142002</v>
      </c>
      <c r="Y2340" s="99">
        <v>2699.0509013114565</v>
      </c>
      <c r="Z2340" s="99">
        <v>2715.2373260536556</v>
      </c>
      <c r="AA2340" s="99">
        <v>2730.6260670429774</v>
      </c>
      <c r="AB2340" s="99">
        <v>2745.217124278332</v>
      </c>
      <c r="AC2340" s="99">
        <v>2759.010497759356</v>
      </c>
      <c r="AD2340" s="99">
        <v>2772.0061874999997</v>
      </c>
      <c r="AE2340" s="99">
        <v>2784.2041934602285</v>
      </c>
      <c r="AF2340" s="99">
        <v>2795.6045156804403</v>
      </c>
      <c r="AG2340" s="99">
        <v>2806.2071541466848</v>
      </c>
      <c r="AH2340" s="99">
        <v>2809.9019993651291</v>
      </c>
      <c r="AI2340" s="99">
        <v>2813.2779328845904</v>
      </c>
      <c r="AJ2340" s="99">
        <v>2816.65792239146</v>
      </c>
      <c r="AK2340" s="99">
        <v>2820.0419727587705</v>
      </c>
      <c r="AL2340" s="99">
        <v>2823.4300888654088</v>
      </c>
      <c r="AM2340" s="99">
        <v>2826.8222755961242</v>
      </c>
      <c r="AN2340" s="99">
        <v>2830.2185378415338</v>
      </c>
      <c r="AO2340" s="99">
        <v>2833.6188804981316</v>
      </c>
      <c r="AP2340" s="99">
        <v>2837.0233084682936</v>
      </c>
      <c r="AQ2340" s="99">
        <v>2840.4318266602859</v>
      </c>
      <c r="AR2340" s="99">
        <v>2843.8444399882719</v>
      </c>
      <c r="AS2340" s="99">
        <v>2847.2611533723189</v>
      </c>
      <c r="AT2340" s="99">
        <v>2850.6819717384051</v>
      </c>
      <c r="AU2340" s="99">
        <v>2854.106900018427</v>
      </c>
      <c r="AV2340" s="99">
        <v>2857.535943150207</v>
      </c>
      <c r="AW2340" s="99">
        <v>2860.9691060774999</v>
      </c>
      <c r="AX2340" s="100">
        <v>2864.40639375</v>
      </c>
    </row>
    <row r="2341" spans="1:50" x14ac:dyDescent="0.25">
      <c r="A2341" s="355" t="s">
        <v>39</v>
      </c>
      <c r="B2341" s="358" t="s">
        <v>39</v>
      </c>
      <c r="C2341" s="353" t="s">
        <v>6</v>
      </c>
      <c r="D2341" s="3" t="s">
        <v>7</v>
      </c>
      <c r="E2341" s="162" t="str">
        <f>A2341&amp;"/"&amp;B2341&amp;"/"&amp;C2341&amp;"/"&amp;D2341</f>
        <v>Geothermal power plants/Geothermal power plants/Electricity only/L</v>
      </c>
      <c r="F2341" s="77" t="str">
        <f>A2341</f>
        <v>Geothermal power plants</v>
      </c>
      <c r="G2341" s="77" t="str">
        <f>B2341</f>
        <v>Geothermal power plants</v>
      </c>
      <c r="H2341" s="77" t="str">
        <f>C2341</f>
        <v>Electricity only</v>
      </c>
      <c r="I2341" s="163" t="str">
        <f t="shared" si="116"/>
        <v>L</v>
      </c>
      <c r="J2341" s="93">
        <v>6900</v>
      </c>
      <c r="K2341" s="93">
        <v>6900</v>
      </c>
      <c r="L2341" s="93">
        <v>6900</v>
      </c>
      <c r="M2341" s="93">
        <v>6900</v>
      </c>
      <c r="N2341" s="93">
        <v>6900</v>
      </c>
      <c r="O2341" s="93">
        <v>6900</v>
      </c>
      <c r="P2341" s="93">
        <v>6900</v>
      </c>
      <c r="Q2341" s="93">
        <v>6900</v>
      </c>
      <c r="R2341" s="93">
        <v>6900</v>
      </c>
      <c r="S2341" s="93">
        <v>6900</v>
      </c>
      <c r="T2341" s="93">
        <v>6900</v>
      </c>
      <c r="U2341" s="93">
        <v>6900</v>
      </c>
      <c r="V2341" s="93">
        <v>6900</v>
      </c>
      <c r="W2341" s="93">
        <v>6900</v>
      </c>
      <c r="X2341" s="93">
        <v>6900</v>
      </c>
      <c r="Y2341" s="93">
        <v>6900</v>
      </c>
      <c r="Z2341" s="93">
        <v>6900</v>
      </c>
      <c r="AA2341" s="93">
        <v>6900</v>
      </c>
      <c r="AB2341" s="93">
        <v>6900</v>
      </c>
      <c r="AC2341" s="93">
        <v>6900</v>
      </c>
      <c r="AD2341" s="93">
        <v>6900</v>
      </c>
      <c r="AE2341" s="93">
        <v>6900</v>
      </c>
      <c r="AF2341" s="93">
        <v>6900</v>
      </c>
      <c r="AG2341" s="93">
        <v>6900</v>
      </c>
      <c r="AH2341" s="93">
        <v>6900</v>
      </c>
      <c r="AI2341" s="93">
        <v>6900</v>
      </c>
      <c r="AJ2341" s="93">
        <v>6900</v>
      </c>
      <c r="AK2341" s="93">
        <v>6900</v>
      </c>
      <c r="AL2341" s="93">
        <v>6900</v>
      </c>
      <c r="AM2341" s="93">
        <v>6900</v>
      </c>
      <c r="AN2341" s="93">
        <v>6900</v>
      </c>
      <c r="AO2341" s="93">
        <v>6900</v>
      </c>
      <c r="AP2341" s="93">
        <v>6900</v>
      </c>
      <c r="AQ2341" s="93">
        <v>6900</v>
      </c>
      <c r="AR2341" s="93">
        <v>6900</v>
      </c>
      <c r="AS2341" s="93">
        <v>6900</v>
      </c>
      <c r="AT2341" s="93">
        <v>6900</v>
      </c>
      <c r="AU2341" s="93">
        <v>6900</v>
      </c>
      <c r="AV2341" s="93">
        <v>6900</v>
      </c>
      <c r="AW2341" s="93">
        <v>6900</v>
      </c>
      <c r="AX2341" s="94">
        <v>6900</v>
      </c>
    </row>
    <row r="2342" spans="1:50" x14ac:dyDescent="0.25">
      <c r="A2342" s="356"/>
      <c r="B2342" s="359"/>
      <c r="C2342" s="350"/>
      <c r="D2342" s="2" t="s">
        <v>8</v>
      </c>
      <c r="E2342" s="160" t="str">
        <f>A2341&amp;"/"&amp;B2341&amp;"/"&amp;C2341&amp;"/"&amp;D2342</f>
        <v>Geothermal power plants/Geothermal power plants/Electricity only/M</v>
      </c>
      <c r="F2342" s="76" t="str">
        <f>A2341</f>
        <v>Geothermal power plants</v>
      </c>
      <c r="G2342" s="76" t="str">
        <f>B2341</f>
        <v>Geothermal power plants</v>
      </c>
      <c r="H2342" s="76" t="str">
        <f>C2341</f>
        <v>Electricity only</v>
      </c>
      <c r="I2342" s="161" t="str">
        <f t="shared" si="116"/>
        <v>M</v>
      </c>
      <c r="J2342" s="91">
        <v>6555</v>
      </c>
      <c r="K2342" s="91">
        <v>6555</v>
      </c>
      <c r="L2342" s="91">
        <v>6555</v>
      </c>
      <c r="M2342" s="91">
        <v>6555</v>
      </c>
      <c r="N2342" s="91">
        <v>6555</v>
      </c>
      <c r="O2342" s="91">
        <v>6555</v>
      </c>
      <c r="P2342" s="91">
        <v>6555</v>
      </c>
      <c r="Q2342" s="91">
        <v>6555</v>
      </c>
      <c r="R2342" s="91">
        <v>6555</v>
      </c>
      <c r="S2342" s="91">
        <v>6555</v>
      </c>
      <c r="T2342" s="91">
        <v>6555</v>
      </c>
      <c r="U2342" s="91">
        <v>6555</v>
      </c>
      <c r="V2342" s="91">
        <v>6555</v>
      </c>
      <c r="W2342" s="91">
        <v>6555</v>
      </c>
      <c r="X2342" s="91">
        <v>6555</v>
      </c>
      <c r="Y2342" s="91">
        <v>6555</v>
      </c>
      <c r="Z2342" s="91">
        <v>6555</v>
      </c>
      <c r="AA2342" s="91">
        <v>6555</v>
      </c>
      <c r="AB2342" s="91">
        <v>6555</v>
      </c>
      <c r="AC2342" s="91">
        <v>6555</v>
      </c>
      <c r="AD2342" s="91">
        <v>6555</v>
      </c>
      <c r="AE2342" s="91">
        <v>6555</v>
      </c>
      <c r="AF2342" s="91">
        <v>6555</v>
      </c>
      <c r="AG2342" s="91">
        <v>6555</v>
      </c>
      <c r="AH2342" s="91">
        <v>6555</v>
      </c>
      <c r="AI2342" s="91">
        <v>6555</v>
      </c>
      <c r="AJ2342" s="91">
        <v>6555</v>
      </c>
      <c r="AK2342" s="91">
        <v>6555</v>
      </c>
      <c r="AL2342" s="91">
        <v>6555</v>
      </c>
      <c r="AM2342" s="91">
        <v>6555</v>
      </c>
      <c r="AN2342" s="91">
        <v>6555</v>
      </c>
      <c r="AO2342" s="91">
        <v>6555</v>
      </c>
      <c r="AP2342" s="91">
        <v>6555</v>
      </c>
      <c r="AQ2342" s="91">
        <v>6555</v>
      </c>
      <c r="AR2342" s="91">
        <v>6555</v>
      </c>
      <c r="AS2342" s="91">
        <v>6555</v>
      </c>
      <c r="AT2342" s="91">
        <v>6555</v>
      </c>
      <c r="AU2342" s="91">
        <v>6555</v>
      </c>
      <c r="AV2342" s="91">
        <v>6555</v>
      </c>
      <c r="AW2342" s="91">
        <v>6555</v>
      </c>
      <c r="AX2342" s="92">
        <v>6555</v>
      </c>
    </row>
    <row r="2343" spans="1:50" x14ac:dyDescent="0.25">
      <c r="A2343" s="357"/>
      <c r="B2343" s="362"/>
      <c r="C2343" s="354"/>
      <c r="D2343" s="4" t="s">
        <v>10</v>
      </c>
      <c r="E2343" s="168" t="str">
        <f>A2341&amp;"/"&amp;B2341&amp;"/"&amp;C2341&amp;"/"&amp;D2343</f>
        <v>Geothermal power plants/Geothermal power plants/Electricity only/S</v>
      </c>
      <c r="F2343" s="80" t="str">
        <f>A2341</f>
        <v>Geothermal power plants</v>
      </c>
      <c r="G2343" s="80" t="str">
        <f>B2341</f>
        <v>Geothermal power plants</v>
      </c>
      <c r="H2343" s="80" t="str">
        <f>C2341</f>
        <v>Electricity only</v>
      </c>
      <c r="I2343" s="169" t="str">
        <f t="shared" ref="I2343:I2357" si="117">D2343</f>
        <v>S</v>
      </c>
      <c r="J2343" s="99">
        <v>6227.25</v>
      </c>
      <c r="K2343" s="99">
        <v>6227.25</v>
      </c>
      <c r="L2343" s="99">
        <v>6227.25</v>
      </c>
      <c r="M2343" s="99">
        <v>6227.25</v>
      </c>
      <c r="N2343" s="99">
        <v>6227.25</v>
      </c>
      <c r="O2343" s="99">
        <v>6227.25</v>
      </c>
      <c r="P2343" s="99">
        <v>6227.25</v>
      </c>
      <c r="Q2343" s="99">
        <v>6227.25</v>
      </c>
      <c r="R2343" s="99">
        <v>6227.25</v>
      </c>
      <c r="S2343" s="99">
        <v>6227.25</v>
      </c>
      <c r="T2343" s="99">
        <v>6227.25</v>
      </c>
      <c r="U2343" s="99">
        <v>6227.25</v>
      </c>
      <c r="V2343" s="99">
        <v>6227.25</v>
      </c>
      <c r="W2343" s="99">
        <v>6227.25</v>
      </c>
      <c r="X2343" s="99">
        <v>6227.25</v>
      </c>
      <c r="Y2343" s="99">
        <v>6227.25</v>
      </c>
      <c r="Z2343" s="99">
        <v>6227.25</v>
      </c>
      <c r="AA2343" s="99">
        <v>6227.25</v>
      </c>
      <c r="AB2343" s="99">
        <v>6227.25</v>
      </c>
      <c r="AC2343" s="99">
        <v>6227.25</v>
      </c>
      <c r="AD2343" s="99">
        <v>6227.25</v>
      </c>
      <c r="AE2343" s="99">
        <v>6227.25</v>
      </c>
      <c r="AF2343" s="99">
        <v>6227.25</v>
      </c>
      <c r="AG2343" s="99">
        <v>6227.25</v>
      </c>
      <c r="AH2343" s="99">
        <v>6227.25</v>
      </c>
      <c r="AI2343" s="99">
        <v>6227.25</v>
      </c>
      <c r="AJ2343" s="99">
        <v>6227.25</v>
      </c>
      <c r="AK2343" s="99">
        <v>6227.25</v>
      </c>
      <c r="AL2343" s="99">
        <v>6227.25</v>
      </c>
      <c r="AM2343" s="99">
        <v>6227.25</v>
      </c>
      <c r="AN2343" s="99">
        <v>6227.25</v>
      </c>
      <c r="AO2343" s="99">
        <v>6227.25</v>
      </c>
      <c r="AP2343" s="99">
        <v>6227.25</v>
      </c>
      <c r="AQ2343" s="99">
        <v>6227.25</v>
      </c>
      <c r="AR2343" s="99">
        <v>6227.25</v>
      </c>
      <c r="AS2343" s="99">
        <v>6227.25</v>
      </c>
      <c r="AT2343" s="99">
        <v>6227.25</v>
      </c>
      <c r="AU2343" s="99">
        <v>6227.25</v>
      </c>
      <c r="AV2343" s="99">
        <v>6227.25</v>
      </c>
      <c r="AW2343" s="99">
        <v>6227.25</v>
      </c>
      <c r="AX2343" s="100">
        <v>6227.25</v>
      </c>
    </row>
    <row r="2344" spans="1:50" x14ac:dyDescent="0.25">
      <c r="A2344" s="355" t="s">
        <v>40</v>
      </c>
      <c r="B2344" s="5" t="s">
        <v>41</v>
      </c>
      <c r="C2344" s="6" t="s">
        <v>6</v>
      </c>
      <c r="D2344" s="60" t="s">
        <v>8</v>
      </c>
      <c r="E2344" s="170" t="str">
        <f>A2344&amp;"/"&amp;B2344&amp;"/"&amp;C2344&amp;"/"&amp;D2344</f>
        <v>Tide, wave and ocean power plants/Tidal/Electricity only/M</v>
      </c>
      <c r="F2344" s="81" t="str">
        <f>A2344</f>
        <v>Tide, wave and ocean power plants</v>
      </c>
      <c r="G2344" s="81" t="str">
        <f>B2344</f>
        <v>Tidal</v>
      </c>
      <c r="H2344" s="81" t="str">
        <f>C2344</f>
        <v>Electricity only</v>
      </c>
      <c r="I2344" s="171" t="str">
        <f t="shared" si="117"/>
        <v>M</v>
      </c>
      <c r="J2344" s="101">
        <v>4270</v>
      </c>
      <c r="K2344" s="101">
        <v>4270</v>
      </c>
      <c r="L2344" s="101">
        <v>4270</v>
      </c>
      <c r="M2344" s="101">
        <v>4270</v>
      </c>
      <c r="N2344" s="101">
        <v>4270</v>
      </c>
      <c r="O2344" s="101">
        <v>4270</v>
      </c>
      <c r="P2344" s="101">
        <v>4270</v>
      </c>
      <c r="Q2344" s="101">
        <v>4270</v>
      </c>
      <c r="R2344" s="101">
        <v>4270</v>
      </c>
      <c r="S2344" s="101">
        <v>4270</v>
      </c>
      <c r="T2344" s="101">
        <v>4270</v>
      </c>
      <c r="U2344" s="101">
        <v>4270</v>
      </c>
      <c r="V2344" s="101">
        <v>4270</v>
      </c>
      <c r="W2344" s="101">
        <v>4270</v>
      </c>
      <c r="X2344" s="101">
        <v>4270</v>
      </c>
      <c r="Y2344" s="101">
        <v>4270</v>
      </c>
      <c r="Z2344" s="101">
        <v>4270</v>
      </c>
      <c r="AA2344" s="101">
        <v>4270</v>
      </c>
      <c r="AB2344" s="101">
        <v>4270</v>
      </c>
      <c r="AC2344" s="101">
        <v>4270</v>
      </c>
      <c r="AD2344" s="101">
        <v>4270</v>
      </c>
      <c r="AE2344" s="101">
        <v>4270</v>
      </c>
      <c r="AF2344" s="101">
        <v>4270</v>
      </c>
      <c r="AG2344" s="101">
        <v>4270</v>
      </c>
      <c r="AH2344" s="101">
        <v>4270</v>
      </c>
      <c r="AI2344" s="101">
        <v>4270</v>
      </c>
      <c r="AJ2344" s="101">
        <v>4270</v>
      </c>
      <c r="AK2344" s="101">
        <v>4270</v>
      </c>
      <c r="AL2344" s="101">
        <v>4270</v>
      </c>
      <c r="AM2344" s="101">
        <v>4270</v>
      </c>
      <c r="AN2344" s="101">
        <v>4270</v>
      </c>
      <c r="AO2344" s="101">
        <v>4270</v>
      </c>
      <c r="AP2344" s="101">
        <v>4270</v>
      </c>
      <c r="AQ2344" s="101">
        <v>4270</v>
      </c>
      <c r="AR2344" s="101">
        <v>4270</v>
      </c>
      <c r="AS2344" s="101">
        <v>4270</v>
      </c>
      <c r="AT2344" s="101">
        <v>4270</v>
      </c>
      <c r="AU2344" s="101">
        <v>4270</v>
      </c>
      <c r="AV2344" s="101">
        <v>4270</v>
      </c>
      <c r="AW2344" s="101">
        <v>4270</v>
      </c>
      <c r="AX2344" s="102">
        <v>4270</v>
      </c>
    </row>
    <row r="2345" spans="1:50" x14ac:dyDescent="0.25">
      <c r="A2345" s="357"/>
      <c r="B2345" s="279" t="s">
        <v>42</v>
      </c>
      <c r="C2345" s="7" t="s">
        <v>6</v>
      </c>
      <c r="D2345" s="4" t="s">
        <v>8</v>
      </c>
      <c r="E2345" s="168" t="str">
        <f>A2344&amp;"/"&amp;B2345&amp;"/"&amp;C2345&amp;"/"&amp;D2345</f>
        <v>Tide, wave and ocean power plants/Wave/Electricity only/M</v>
      </c>
      <c r="F2345" s="80" t="str">
        <f>A2344</f>
        <v>Tide, wave and ocean power plants</v>
      </c>
      <c r="G2345" s="80" t="str">
        <f>B2345</f>
        <v>Wave</v>
      </c>
      <c r="H2345" s="80" t="str">
        <f>C2345</f>
        <v>Electricity only</v>
      </c>
      <c r="I2345" s="169" t="str">
        <f t="shared" si="117"/>
        <v>M</v>
      </c>
      <c r="J2345" s="99">
        <v>7150</v>
      </c>
      <c r="K2345" s="99">
        <v>7150</v>
      </c>
      <c r="L2345" s="99">
        <v>7150</v>
      </c>
      <c r="M2345" s="99">
        <v>7150</v>
      </c>
      <c r="N2345" s="99">
        <v>7150</v>
      </c>
      <c r="O2345" s="99">
        <v>7150</v>
      </c>
      <c r="P2345" s="99">
        <v>7150</v>
      </c>
      <c r="Q2345" s="99">
        <v>7150</v>
      </c>
      <c r="R2345" s="99">
        <v>7150</v>
      </c>
      <c r="S2345" s="99">
        <v>7150</v>
      </c>
      <c r="T2345" s="99">
        <v>7150</v>
      </c>
      <c r="U2345" s="99">
        <v>7150</v>
      </c>
      <c r="V2345" s="99">
        <v>7150</v>
      </c>
      <c r="W2345" s="99">
        <v>7150</v>
      </c>
      <c r="X2345" s="99">
        <v>7150</v>
      </c>
      <c r="Y2345" s="99">
        <v>7150</v>
      </c>
      <c r="Z2345" s="99">
        <v>7150</v>
      </c>
      <c r="AA2345" s="99">
        <v>7150</v>
      </c>
      <c r="AB2345" s="99">
        <v>7150</v>
      </c>
      <c r="AC2345" s="99">
        <v>7150</v>
      </c>
      <c r="AD2345" s="99">
        <v>7150</v>
      </c>
      <c r="AE2345" s="99">
        <v>7150</v>
      </c>
      <c r="AF2345" s="99">
        <v>7150</v>
      </c>
      <c r="AG2345" s="99">
        <v>7150</v>
      </c>
      <c r="AH2345" s="99">
        <v>7150</v>
      </c>
      <c r="AI2345" s="99">
        <v>7150</v>
      </c>
      <c r="AJ2345" s="99">
        <v>7150</v>
      </c>
      <c r="AK2345" s="99">
        <v>7150</v>
      </c>
      <c r="AL2345" s="99">
        <v>7150</v>
      </c>
      <c r="AM2345" s="99">
        <v>7150</v>
      </c>
      <c r="AN2345" s="99">
        <v>7150</v>
      </c>
      <c r="AO2345" s="99">
        <v>7150</v>
      </c>
      <c r="AP2345" s="99">
        <v>7150</v>
      </c>
      <c r="AQ2345" s="99">
        <v>7150</v>
      </c>
      <c r="AR2345" s="99">
        <v>7150</v>
      </c>
      <c r="AS2345" s="99">
        <v>7150</v>
      </c>
      <c r="AT2345" s="99">
        <v>7150</v>
      </c>
      <c r="AU2345" s="99">
        <v>7150</v>
      </c>
      <c r="AV2345" s="99">
        <v>7150</v>
      </c>
      <c r="AW2345" s="99">
        <v>7150</v>
      </c>
      <c r="AX2345" s="100">
        <v>7150</v>
      </c>
    </row>
    <row r="2346" spans="1:50" x14ac:dyDescent="0.25">
      <c r="A2346" s="355" t="s">
        <v>43</v>
      </c>
      <c r="B2346" s="358" t="s">
        <v>44</v>
      </c>
      <c r="C2346" s="353" t="s">
        <v>6</v>
      </c>
      <c r="D2346" s="3" t="s">
        <v>7</v>
      </c>
      <c r="E2346" s="162" t="str">
        <f>A2346&amp;"/"&amp;B2346&amp;"/"&amp;C2346&amp;"/"&amp;D2346</f>
        <v>Hydro plants/Run-of-river/Electricity only/L</v>
      </c>
      <c r="F2346" s="77" t="str">
        <f>A2346</f>
        <v>Hydro plants</v>
      </c>
      <c r="G2346" s="77" t="str">
        <f>B2346</f>
        <v>Run-of-river</v>
      </c>
      <c r="H2346" s="77" t="str">
        <f>C2346</f>
        <v>Electricity only</v>
      </c>
      <c r="I2346" s="163" t="str">
        <f t="shared" si="117"/>
        <v>L</v>
      </c>
      <c r="J2346" s="93">
        <v>4320</v>
      </c>
      <c r="K2346" s="93">
        <v>4320</v>
      </c>
      <c r="L2346" s="93">
        <v>4320</v>
      </c>
      <c r="M2346" s="93">
        <v>4320</v>
      </c>
      <c r="N2346" s="93">
        <v>4320</v>
      </c>
      <c r="O2346" s="93">
        <v>4320</v>
      </c>
      <c r="P2346" s="93">
        <v>4320</v>
      </c>
      <c r="Q2346" s="93">
        <v>4320</v>
      </c>
      <c r="R2346" s="93">
        <v>4320</v>
      </c>
      <c r="S2346" s="93">
        <v>4320</v>
      </c>
      <c r="T2346" s="93">
        <v>4320</v>
      </c>
      <c r="U2346" s="93">
        <v>4320</v>
      </c>
      <c r="V2346" s="93">
        <v>4320</v>
      </c>
      <c r="W2346" s="93">
        <v>4320</v>
      </c>
      <c r="X2346" s="93">
        <v>4320</v>
      </c>
      <c r="Y2346" s="93">
        <v>4320</v>
      </c>
      <c r="Z2346" s="93">
        <v>4320</v>
      </c>
      <c r="AA2346" s="93">
        <v>4320</v>
      </c>
      <c r="AB2346" s="93">
        <v>4320</v>
      </c>
      <c r="AC2346" s="93">
        <v>4320</v>
      </c>
      <c r="AD2346" s="93">
        <v>4320</v>
      </c>
      <c r="AE2346" s="93">
        <v>4320</v>
      </c>
      <c r="AF2346" s="93">
        <v>4320</v>
      </c>
      <c r="AG2346" s="93">
        <v>4320</v>
      </c>
      <c r="AH2346" s="93">
        <v>4320</v>
      </c>
      <c r="AI2346" s="93">
        <v>4320</v>
      </c>
      <c r="AJ2346" s="93">
        <v>4320</v>
      </c>
      <c r="AK2346" s="93">
        <v>4320</v>
      </c>
      <c r="AL2346" s="93">
        <v>4320</v>
      </c>
      <c r="AM2346" s="93">
        <v>4320</v>
      </c>
      <c r="AN2346" s="93">
        <v>4320</v>
      </c>
      <c r="AO2346" s="93">
        <v>4320</v>
      </c>
      <c r="AP2346" s="93">
        <v>4320</v>
      </c>
      <c r="AQ2346" s="93">
        <v>4320</v>
      </c>
      <c r="AR2346" s="93">
        <v>4320</v>
      </c>
      <c r="AS2346" s="93">
        <v>4320</v>
      </c>
      <c r="AT2346" s="93">
        <v>4320</v>
      </c>
      <c r="AU2346" s="93">
        <v>4320</v>
      </c>
      <c r="AV2346" s="93">
        <v>4320</v>
      </c>
      <c r="AW2346" s="93">
        <v>4320</v>
      </c>
      <c r="AX2346" s="94">
        <v>4320</v>
      </c>
    </row>
    <row r="2347" spans="1:50" x14ac:dyDescent="0.25">
      <c r="A2347" s="356"/>
      <c r="B2347" s="359"/>
      <c r="C2347" s="350"/>
      <c r="D2347" s="2" t="s">
        <v>8</v>
      </c>
      <c r="E2347" s="160" t="str">
        <f>A2346&amp;"/"&amp;B2346&amp;"/"&amp;C2346&amp;"/"&amp;D2347</f>
        <v>Hydro plants/Run-of-river/Electricity only/M</v>
      </c>
      <c r="F2347" s="76" t="str">
        <f>A2346</f>
        <v>Hydro plants</v>
      </c>
      <c r="G2347" s="76" t="str">
        <f>B2346</f>
        <v>Run-of-river</v>
      </c>
      <c r="H2347" s="76" t="str">
        <f>C2346</f>
        <v>Electricity only</v>
      </c>
      <c r="I2347" s="161" t="str">
        <f t="shared" si="117"/>
        <v>M</v>
      </c>
      <c r="J2347" s="91">
        <v>4104</v>
      </c>
      <c r="K2347" s="91">
        <v>4104</v>
      </c>
      <c r="L2347" s="91">
        <v>4104</v>
      </c>
      <c r="M2347" s="91">
        <v>4104</v>
      </c>
      <c r="N2347" s="91">
        <v>4104</v>
      </c>
      <c r="O2347" s="91">
        <v>4104</v>
      </c>
      <c r="P2347" s="91">
        <v>4104</v>
      </c>
      <c r="Q2347" s="91">
        <v>4104</v>
      </c>
      <c r="R2347" s="91">
        <v>4104</v>
      </c>
      <c r="S2347" s="91">
        <v>4104</v>
      </c>
      <c r="T2347" s="91">
        <v>4104</v>
      </c>
      <c r="U2347" s="91">
        <v>4104</v>
      </c>
      <c r="V2347" s="91">
        <v>4104</v>
      </c>
      <c r="W2347" s="91">
        <v>4104</v>
      </c>
      <c r="X2347" s="91">
        <v>4104</v>
      </c>
      <c r="Y2347" s="91">
        <v>4104</v>
      </c>
      <c r="Z2347" s="91">
        <v>4104</v>
      </c>
      <c r="AA2347" s="91">
        <v>4104</v>
      </c>
      <c r="AB2347" s="91">
        <v>4104</v>
      </c>
      <c r="AC2347" s="91">
        <v>4104</v>
      </c>
      <c r="AD2347" s="91">
        <v>4104</v>
      </c>
      <c r="AE2347" s="91">
        <v>4104</v>
      </c>
      <c r="AF2347" s="91">
        <v>4104</v>
      </c>
      <c r="AG2347" s="91">
        <v>4104</v>
      </c>
      <c r="AH2347" s="91">
        <v>4104</v>
      </c>
      <c r="AI2347" s="91">
        <v>4104</v>
      </c>
      <c r="AJ2347" s="91">
        <v>4104</v>
      </c>
      <c r="AK2347" s="91">
        <v>4104</v>
      </c>
      <c r="AL2347" s="91">
        <v>4104</v>
      </c>
      <c r="AM2347" s="91">
        <v>4104</v>
      </c>
      <c r="AN2347" s="91">
        <v>4104</v>
      </c>
      <c r="AO2347" s="91">
        <v>4104</v>
      </c>
      <c r="AP2347" s="91">
        <v>4104</v>
      </c>
      <c r="AQ2347" s="91">
        <v>4104</v>
      </c>
      <c r="AR2347" s="91">
        <v>4104</v>
      </c>
      <c r="AS2347" s="91">
        <v>4104</v>
      </c>
      <c r="AT2347" s="91">
        <v>4104</v>
      </c>
      <c r="AU2347" s="91">
        <v>4104</v>
      </c>
      <c r="AV2347" s="91">
        <v>4104</v>
      </c>
      <c r="AW2347" s="91">
        <v>4104</v>
      </c>
      <c r="AX2347" s="92">
        <v>4104</v>
      </c>
    </row>
    <row r="2348" spans="1:50" x14ac:dyDescent="0.25">
      <c r="A2348" s="356"/>
      <c r="B2348" s="359"/>
      <c r="C2348" s="350"/>
      <c r="D2348" s="2" t="s">
        <v>10</v>
      </c>
      <c r="E2348" s="160" t="str">
        <f>A2346&amp;"/"&amp;B2346&amp;"/"&amp;C2346&amp;"/"&amp;D2348</f>
        <v>Hydro plants/Run-of-river/Electricity only/S</v>
      </c>
      <c r="F2348" s="76" t="str">
        <f>A2346</f>
        <v>Hydro plants</v>
      </c>
      <c r="G2348" s="76" t="str">
        <f>B2346</f>
        <v>Run-of-river</v>
      </c>
      <c r="H2348" s="76" t="str">
        <f>C2346</f>
        <v>Electricity only</v>
      </c>
      <c r="I2348" s="161" t="str">
        <f t="shared" si="117"/>
        <v>S</v>
      </c>
      <c r="J2348" s="91">
        <v>3796.2000000000003</v>
      </c>
      <c r="K2348" s="91">
        <v>3796.2000000000003</v>
      </c>
      <c r="L2348" s="91">
        <v>3796.2000000000003</v>
      </c>
      <c r="M2348" s="91">
        <v>3796.2000000000003</v>
      </c>
      <c r="N2348" s="91">
        <v>3796.2000000000003</v>
      </c>
      <c r="O2348" s="91">
        <v>3796.2000000000003</v>
      </c>
      <c r="P2348" s="91">
        <v>3796.2000000000003</v>
      </c>
      <c r="Q2348" s="91">
        <v>3796.2000000000003</v>
      </c>
      <c r="R2348" s="91">
        <v>3796.2000000000003</v>
      </c>
      <c r="S2348" s="91">
        <v>3796.2000000000003</v>
      </c>
      <c r="T2348" s="91">
        <v>3796.2000000000003</v>
      </c>
      <c r="U2348" s="91">
        <v>3796.2000000000003</v>
      </c>
      <c r="V2348" s="91">
        <v>3796.2000000000003</v>
      </c>
      <c r="W2348" s="91">
        <v>3796.2000000000003</v>
      </c>
      <c r="X2348" s="91">
        <v>3796.2000000000003</v>
      </c>
      <c r="Y2348" s="91">
        <v>3796.2000000000003</v>
      </c>
      <c r="Z2348" s="91">
        <v>3796.2000000000003</v>
      </c>
      <c r="AA2348" s="91">
        <v>3796.2000000000003</v>
      </c>
      <c r="AB2348" s="91">
        <v>3796.2000000000003</v>
      </c>
      <c r="AC2348" s="91">
        <v>3796.2000000000003</v>
      </c>
      <c r="AD2348" s="91">
        <v>3796.2000000000003</v>
      </c>
      <c r="AE2348" s="91">
        <v>3796.2000000000003</v>
      </c>
      <c r="AF2348" s="91">
        <v>3796.2000000000003</v>
      </c>
      <c r="AG2348" s="91">
        <v>3796.2000000000003</v>
      </c>
      <c r="AH2348" s="91">
        <v>3796.2000000000003</v>
      </c>
      <c r="AI2348" s="91">
        <v>3796.2000000000003</v>
      </c>
      <c r="AJ2348" s="91">
        <v>3796.2000000000003</v>
      </c>
      <c r="AK2348" s="91">
        <v>3796.2000000000003</v>
      </c>
      <c r="AL2348" s="91">
        <v>3796.2000000000003</v>
      </c>
      <c r="AM2348" s="91">
        <v>3796.2000000000003</v>
      </c>
      <c r="AN2348" s="91">
        <v>3796.2000000000003</v>
      </c>
      <c r="AO2348" s="91">
        <v>3796.2000000000003</v>
      </c>
      <c r="AP2348" s="91">
        <v>3796.2000000000003</v>
      </c>
      <c r="AQ2348" s="91">
        <v>3796.2000000000003</v>
      </c>
      <c r="AR2348" s="91">
        <v>3796.2000000000003</v>
      </c>
      <c r="AS2348" s="91">
        <v>3796.2000000000003</v>
      </c>
      <c r="AT2348" s="91">
        <v>3796.2000000000003</v>
      </c>
      <c r="AU2348" s="91">
        <v>3796.2000000000003</v>
      </c>
      <c r="AV2348" s="91">
        <v>3796.2000000000003</v>
      </c>
      <c r="AW2348" s="91">
        <v>3796.2000000000003</v>
      </c>
      <c r="AX2348" s="92">
        <v>3796.2000000000003</v>
      </c>
    </row>
    <row r="2349" spans="1:50" x14ac:dyDescent="0.25">
      <c r="A2349" s="356"/>
      <c r="B2349" s="368"/>
      <c r="C2349" s="360"/>
      <c r="D2349" s="59" t="s">
        <v>20</v>
      </c>
      <c r="E2349" s="166" t="str">
        <f>A2346&amp;"/"&amp;B2346&amp;"/"&amp;C2346&amp;"/"&amp;D2349</f>
        <v>Hydro plants/Run-of-river/Electricity only/XS</v>
      </c>
      <c r="F2349" s="79" t="str">
        <f>A2346</f>
        <v>Hydro plants</v>
      </c>
      <c r="G2349" s="79" t="str">
        <f>B2346</f>
        <v>Run-of-river</v>
      </c>
      <c r="H2349" s="79" t="str">
        <f>C2346</f>
        <v>Electricity only</v>
      </c>
      <c r="I2349" s="167" t="str">
        <f t="shared" si="117"/>
        <v>XS</v>
      </c>
      <c r="J2349" s="97">
        <v>3416.5800000000004</v>
      </c>
      <c r="K2349" s="97">
        <v>3416.5800000000004</v>
      </c>
      <c r="L2349" s="97">
        <v>3416.5800000000004</v>
      </c>
      <c r="M2349" s="97">
        <v>3416.5800000000004</v>
      </c>
      <c r="N2349" s="97">
        <v>3416.5800000000004</v>
      </c>
      <c r="O2349" s="97">
        <v>3416.5800000000004</v>
      </c>
      <c r="P2349" s="97">
        <v>3416.5800000000004</v>
      </c>
      <c r="Q2349" s="97">
        <v>3416.5800000000004</v>
      </c>
      <c r="R2349" s="97">
        <v>3416.5800000000004</v>
      </c>
      <c r="S2349" s="97">
        <v>3416.5800000000004</v>
      </c>
      <c r="T2349" s="97">
        <v>3416.5800000000004</v>
      </c>
      <c r="U2349" s="97">
        <v>3416.5800000000004</v>
      </c>
      <c r="V2349" s="97">
        <v>3416.5800000000004</v>
      </c>
      <c r="W2349" s="97">
        <v>3416.5800000000004</v>
      </c>
      <c r="X2349" s="97">
        <v>3416.5800000000004</v>
      </c>
      <c r="Y2349" s="97">
        <v>3416.5800000000004</v>
      </c>
      <c r="Z2349" s="97">
        <v>3416.5800000000004</v>
      </c>
      <c r="AA2349" s="97">
        <v>3416.5800000000004</v>
      </c>
      <c r="AB2349" s="97">
        <v>3416.5800000000004</v>
      </c>
      <c r="AC2349" s="97">
        <v>3416.5800000000004</v>
      </c>
      <c r="AD2349" s="97">
        <v>3416.5800000000004</v>
      </c>
      <c r="AE2349" s="97">
        <v>3416.5800000000004</v>
      </c>
      <c r="AF2349" s="97">
        <v>3416.5800000000004</v>
      </c>
      <c r="AG2349" s="97">
        <v>3416.5800000000004</v>
      </c>
      <c r="AH2349" s="97">
        <v>3416.5800000000004</v>
      </c>
      <c r="AI2349" s="97">
        <v>3416.5800000000004</v>
      </c>
      <c r="AJ2349" s="97">
        <v>3416.5800000000004</v>
      </c>
      <c r="AK2349" s="97">
        <v>3416.5800000000004</v>
      </c>
      <c r="AL2349" s="97">
        <v>3416.5800000000004</v>
      </c>
      <c r="AM2349" s="97">
        <v>3416.5800000000004</v>
      </c>
      <c r="AN2349" s="97">
        <v>3416.5800000000004</v>
      </c>
      <c r="AO2349" s="97">
        <v>3416.5800000000004</v>
      </c>
      <c r="AP2349" s="97">
        <v>3416.5800000000004</v>
      </c>
      <c r="AQ2349" s="97">
        <v>3416.5800000000004</v>
      </c>
      <c r="AR2349" s="97">
        <v>3416.5800000000004</v>
      </c>
      <c r="AS2349" s="97">
        <v>3416.5800000000004</v>
      </c>
      <c r="AT2349" s="97">
        <v>3416.5800000000004</v>
      </c>
      <c r="AU2349" s="97">
        <v>3416.5800000000004</v>
      </c>
      <c r="AV2349" s="97">
        <v>3416.5800000000004</v>
      </c>
      <c r="AW2349" s="97">
        <v>3416.5800000000004</v>
      </c>
      <c r="AX2349" s="98">
        <v>3416.5800000000004</v>
      </c>
    </row>
    <row r="2350" spans="1:50" x14ac:dyDescent="0.25">
      <c r="A2350" s="356"/>
      <c r="B2350" s="359" t="s">
        <v>45</v>
      </c>
      <c r="C2350" s="350" t="s">
        <v>6</v>
      </c>
      <c r="D2350" s="2" t="s">
        <v>7</v>
      </c>
      <c r="E2350" s="160" t="str">
        <f>A2346&amp;"/"&amp;B2350&amp;"/"&amp;C2350&amp;"/"&amp;D2350</f>
        <v>Hydro plants/Reservoirs (dams)/Electricity only/L</v>
      </c>
      <c r="F2350" s="76" t="str">
        <f>A2346</f>
        <v>Hydro plants</v>
      </c>
      <c r="G2350" s="76" t="str">
        <f>B2350</f>
        <v>Reservoirs (dams)</v>
      </c>
      <c r="H2350" s="76" t="str">
        <f>C2350</f>
        <v>Electricity only</v>
      </c>
      <c r="I2350" s="161" t="str">
        <f t="shared" si="117"/>
        <v>L</v>
      </c>
      <c r="J2350" s="91">
        <v>3630</v>
      </c>
      <c r="K2350" s="91">
        <v>3630</v>
      </c>
      <c r="L2350" s="91">
        <v>3630</v>
      </c>
      <c r="M2350" s="91">
        <v>3630</v>
      </c>
      <c r="N2350" s="91">
        <v>3630</v>
      </c>
      <c r="O2350" s="91">
        <v>3630</v>
      </c>
      <c r="P2350" s="91">
        <v>3630</v>
      </c>
      <c r="Q2350" s="91">
        <v>3630</v>
      </c>
      <c r="R2350" s="91">
        <v>3630</v>
      </c>
      <c r="S2350" s="91">
        <v>3630</v>
      </c>
      <c r="T2350" s="91">
        <v>3630</v>
      </c>
      <c r="U2350" s="91">
        <v>3630</v>
      </c>
      <c r="V2350" s="91">
        <v>3630</v>
      </c>
      <c r="W2350" s="91">
        <v>3630</v>
      </c>
      <c r="X2350" s="91">
        <v>3630</v>
      </c>
      <c r="Y2350" s="91">
        <v>3630</v>
      </c>
      <c r="Z2350" s="91">
        <v>3630</v>
      </c>
      <c r="AA2350" s="91">
        <v>3630</v>
      </c>
      <c r="AB2350" s="91">
        <v>3630</v>
      </c>
      <c r="AC2350" s="91">
        <v>3630</v>
      </c>
      <c r="AD2350" s="91">
        <v>3630</v>
      </c>
      <c r="AE2350" s="91">
        <v>3630</v>
      </c>
      <c r="AF2350" s="91">
        <v>3630</v>
      </c>
      <c r="AG2350" s="91">
        <v>3630</v>
      </c>
      <c r="AH2350" s="91">
        <v>3630</v>
      </c>
      <c r="AI2350" s="91">
        <v>3630</v>
      </c>
      <c r="AJ2350" s="91">
        <v>3630</v>
      </c>
      <c r="AK2350" s="91">
        <v>3630</v>
      </c>
      <c r="AL2350" s="91">
        <v>3630</v>
      </c>
      <c r="AM2350" s="91">
        <v>3630</v>
      </c>
      <c r="AN2350" s="91">
        <v>3630</v>
      </c>
      <c r="AO2350" s="91">
        <v>3630</v>
      </c>
      <c r="AP2350" s="91">
        <v>3630</v>
      </c>
      <c r="AQ2350" s="91">
        <v>3630</v>
      </c>
      <c r="AR2350" s="91">
        <v>3630</v>
      </c>
      <c r="AS2350" s="91">
        <v>3630</v>
      </c>
      <c r="AT2350" s="91">
        <v>3630</v>
      </c>
      <c r="AU2350" s="91">
        <v>3630</v>
      </c>
      <c r="AV2350" s="91">
        <v>3630</v>
      </c>
      <c r="AW2350" s="91">
        <v>3630</v>
      </c>
      <c r="AX2350" s="92">
        <v>3630</v>
      </c>
    </row>
    <row r="2351" spans="1:50" x14ac:dyDescent="0.25">
      <c r="A2351" s="356"/>
      <c r="B2351" s="359"/>
      <c r="C2351" s="350"/>
      <c r="D2351" s="2" t="s">
        <v>8</v>
      </c>
      <c r="E2351" s="160" t="str">
        <f>A2346&amp;"/"&amp;B2350&amp;"/"&amp;C2350&amp;"/"&amp;D2351</f>
        <v>Hydro plants/Reservoirs (dams)/Electricity only/M</v>
      </c>
      <c r="F2351" s="76" t="str">
        <f>A2346</f>
        <v>Hydro plants</v>
      </c>
      <c r="G2351" s="76" t="str">
        <f>B2350</f>
        <v>Reservoirs (dams)</v>
      </c>
      <c r="H2351" s="76" t="str">
        <f>C2350</f>
        <v>Electricity only</v>
      </c>
      <c r="I2351" s="161" t="str">
        <f t="shared" si="117"/>
        <v>M</v>
      </c>
      <c r="J2351" s="91">
        <v>3448.5</v>
      </c>
      <c r="K2351" s="91">
        <v>3448.5</v>
      </c>
      <c r="L2351" s="91">
        <v>3448.5</v>
      </c>
      <c r="M2351" s="91">
        <v>3448.5</v>
      </c>
      <c r="N2351" s="91">
        <v>3448.5</v>
      </c>
      <c r="O2351" s="91">
        <v>3448.5</v>
      </c>
      <c r="P2351" s="91">
        <v>3448.5</v>
      </c>
      <c r="Q2351" s="91">
        <v>3448.5</v>
      </c>
      <c r="R2351" s="91">
        <v>3448.5</v>
      </c>
      <c r="S2351" s="91">
        <v>3448.5</v>
      </c>
      <c r="T2351" s="91">
        <v>3448.5</v>
      </c>
      <c r="U2351" s="91">
        <v>3448.5</v>
      </c>
      <c r="V2351" s="91">
        <v>3448.5</v>
      </c>
      <c r="W2351" s="91">
        <v>3448.5</v>
      </c>
      <c r="X2351" s="91">
        <v>3448.5</v>
      </c>
      <c r="Y2351" s="91">
        <v>3448.5</v>
      </c>
      <c r="Z2351" s="91">
        <v>3448.5</v>
      </c>
      <c r="AA2351" s="91">
        <v>3448.5</v>
      </c>
      <c r="AB2351" s="91">
        <v>3448.5</v>
      </c>
      <c r="AC2351" s="91">
        <v>3448.5</v>
      </c>
      <c r="AD2351" s="91">
        <v>3448.5</v>
      </c>
      <c r="AE2351" s="91">
        <v>3448.5</v>
      </c>
      <c r="AF2351" s="91">
        <v>3448.5</v>
      </c>
      <c r="AG2351" s="91">
        <v>3448.5</v>
      </c>
      <c r="AH2351" s="91">
        <v>3448.5</v>
      </c>
      <c r="AI2351" s="91">
        <v>3448.5</v>
      </c>
      <c r="AJ2351" s="91">
        <v>3448.5</v>
      </c>
      <c r="AK2351" s="91">
        <v>3448.5</v>
      </c>
      <c r="AL2351" s="91">
        <v>3448.5</v>
      </c>
      <c r="AM2351" s="91">
        <v>3448.5</v>
      </c>
      <c r="AN2351" s="91">
        <v>3448.5</v>
      </c>
      <c r="AO2351" s="91">
        <v>3448.5</v>
      </c>
      <c r="AP2351" s="91">
        <v>3448.5</v>
      </c>
      <c r="AQ2351" s="91">
        <v>3448.5</v>
      </c>
      <c r="AR2351" s="91">
        <v>3448.5</v>
      </c>
      <c r="AS2351" s="91">
        <v>3448.5</v>
      </c>
      <c r="AT2351" s="91">
        <v>3448.5</v>
      </c>
      <c r="AU2351" s="91">
        <v>3448.5</v>
      </c>
      <c r="AV2351" s="91">
        <v>3448.5</v>
      </c>
      <c r="AW2351" s="91">
        <v>3448.5</v>
      </c>
      <c r="AX2351" s="92">
        <v>3448.5</v>
      </c>
    </row>
    <row r="2352" spans="1:50" x14ac:dyDescent="0.25">
      <c r="A2352" s="356"/>
      <c r="B2352" s="359"/>
      <c r="C2352" s="350"/>
      <c r="D2352" s="2" t="s">
        <v>10</v>
      </c>
      <c r="E2352" s="160" t="str">
        <f>A2346&amp;"/"&amp;B2350&amp;"/"&amp;C2350&amp;"/"&amp;D2352</f>
        <v>Hydro plants/Reservoirs (dams)/Electricity only/S</v>
      </c>
      <c r="F2352" s="76" t="str">
        <f>A2346</f>
        <v>Hydro plants</v>
      </c>
      <c r="G2352" s="76" t="str">
        <f>B2350</f>
        <v>Reservoirs (dams)</v>
      </c>
      <c r="H2352" s="76" t="str">
        <f>C2350</f>
        <v>Electricity only</v>
      </c>
      <c r="I2352" s="161" t="str">
        <f t="shared" si="117"/>
        <v>S</v>
      </c>
      <c r="J2352" s="91">
        <v>3103.65</v>
      </c>
      <c r="K2352" s="91">
        <v>3103.65</v>
      </c>
      <c r="L2352" s="91">
        <v>3103.65</v>
      </c>
      <c r="M2352" s="91">
        <v>3103.65</v>
      </c>
      <c r="N2352" s="91">
        <v>3103.65</v>
      </c>
      <c r="O2352" s="91">
        <v>3103.65</v>
      </c>
      <c r="P2352" s="91">
        <v>3103.65</v>
      </c>
      <c r="Q2352" s="91">
        <v>3103.65</v>
      </c>
      <c r="R2352" s="91">
        <v>3103.65</v>
      </c>
      <c r="S2352" s="91">
        <v>3103.65</v>
      </c>
      <c r="T2352" s="91">
        <v>3103.65</v>
      </c>
      <c r="U2352" s="91">
        <v>3103.65</v>
      </c>
      <c r="V2352" s="91">
        <v>3103.65</v>
      </c>
      <c r="W2352" s="91">
        <v>3103.65</v>
      </c>
      <c r="X2352" s="91">
        <v>3103.65</v>
      </c>
      <c r="Y2352" s="91">
        <v>3103.65</v>
      </c>
      <c r="Z2352" s="91">
        <v>3103.65</v>
      </c>
      <c r="AA2352" s="91">
        <v>3103.65</v>
      </c>
      <c r="AB2352" s="91">
        <v>3103.65</v>
      </c>
      <c r="AC2352" s="91">
        <v>3103.65</v>
      </c>
      <c r="AD2352" s="91">
        <v>3103.65</v>
      </c>
      <c r="AE2352" s="91">
        <v>3103.65</v>
      </c>
      <c r="AF2352" s="91">
        <v>3103.65</v>
      </c>
      <c r="AG2352" s="91">
        <v>3103.65</v>
      </c>
      <c r="AH2352" s="91">
        <v>3103.65</v>
      </c>
      <c r="AI2352" s="91">
        <v>3103.65</v>
      </c>
      <c r="AJ2352" s="91">
        <v>3103.65</v>
      </c>
      <c r="AK2352" s="91">
        <v>3103.65</v>
      </c>
      <c r="AL2352" s="91">
        <v>3103.65</v>
      </c>
      <c r="AM2352" s="91">
        <v>3103.65</v>
      </c>
      <c r="AN2352" s="91">
        <v>3103.65</v>
      </c>
      <c r="AO2352" s="91">
        <v>3103.65</v>
      </c>
      <c r="AP2352" s="91">
        <v>3103.65</v>
      </c>
      <c r="AQ2352" s="91">
        <v>3103.65</v>
      </c>
      <c r="AR2352" s="91">
        <v>3103.65</v>
      </c>
      <c r="AS2352" s="91">
        <v>3103.65</v>
      </c>
      <c r="AT2352" s="91">
        <v>3103.65</v>
      </c>
      <c r="AU2352" s="91">
        <v>3103.65</v>
      </c>
      <c r="AV2352" s="91">
        <v>3103.65</v>
      </c>
      <c r="AW2352" s="91">
        <v>3103.65</v>
      </c>
      <c r="AX2352" s="92">
        <v>3103.65</v>
      </c>
    </row>
    <row r="2353" spans="1:50" x14ac:dyDescent="0.25">
      <c r="A2353" s="357"/>
      <c r="B2353" s="362"/>
      <c r="C2353" s="354"/>
      <c r="D2353" s="4" t="s">
        <v>20</v>
      </c>
      <c r="E2353" s="168" t="str">
        <f>A2346&amp;"/"&amp;B2350&amp;"/"&amp;C2350&amp;"/"&amp;D2353</f>
        <v>Hydro plants/Reservoirs (dams)/Electricity only/XS</v>
      </c>
      <c r="F2353" s="80" t="str">
        <f>A2346</f>
        <v>Hydro plants</v>
      </c>
      <c r="G2353" s="80" t="str">
        <f>B2350</f>
        <v>Reservoirs (dams)</v>
      </c>
      <c r="H2353" s="80" t="str">
        <f>C2350</f>
        <v>Electricity only</v>
      </c>
      <c r="I2353" s="169" t="str">
        <f t="shared" si="117"/>
        <v>XS</v>
      </c>
      <c r="J2353" s="99">
        <v>2793.2850000000003</v>
      </c>
      <c r="K2353" s="99">
        <v>2793.2850000000003</v>
      </c>
      <c r="L2353" s="99">
        <v>2793.2850000000003</v>
      </c>
      <c r="M2353" s="99">
        <v>2793.2850000000003</v>
      </c>
      <c r="N2353" s="99">
        <v>2793.2850000000003</v>
      </c>
      <c r="O2353" s="99">
        <v>2793.2850000000003</v>
      </c>
      <c r="P2353" s="99">
        <v>2793.2850000000003</v>
      </c>
      <c r="Q2353" s="99">
        <v>2793.2850000000003</v>
      </c>
      <c r="R2353" s="99">
        <v>2793.2850000000003</v>
      </c>
      <c r="S2353" s="99">
        <v>2793.2850000000003</v>
      </c>
      <c r="T2353" s="99">
        <v>2793.2850000000003</v>
      </c>
      <c r="U2353" s="99">
        <v>2793.2850000000003</v>
      </c>
      <c r="V2353" s="99">
        <v>2793.2850000000003</v>
      </c>
      <c r="W2353" s="99">
        <v>2793.2850000000003</v>
      </c>
      <c r="X2353" s="99">
        <v>2793.2850000000003</v>
      </c>
      <c r="Y2353" s="99">
        <v>2793.2850000000003</v>
      </c>
      <c r="Z2353" s="99">
        <v>2793.2850000000003</v>
      </c>
      <c r="AA2353" s="99">
        <v>2793.2850000000003</v>
      </c>
      <c r="AB2353" s="99">
        <v>2793.2850000000003</v>
      </c>
      <c r="AC2353" s="99">
        <v>2793.2850000000003</v>
      </c>
      <c r="AD2353" s="99">
        <v>2793.2850000000003</v>
      </c>
      <c r="AE2353" s="99">
        <v>2793.2850000000003</v>
      </c>
      <c r="AF2353" s="99">
        <v>2793.2850000000003</v>
      </c>
      <c r="AG2353" s="99">
        <v>2793.2850000000003</v>
      </c>
      <c r="AH2353" s="99">
        <v>2793.2850000000003</v>
      </c>
      <c r="AI2353" s="99">
        <v>2793.2850000000003</v>
      </c>
      <c r="AJ2353" s="99">
        <v>2793.2850000000003</v>
      </c>
      <c r="AK2353" s="99">
        <v>2793.2850000000003</v>
      </c>
      <c r="AL2353" s="99">
        <v>2793.2850000000003</v>
      </c>
      <c r="AM2353" s="99">
        <v>2793.2850000000003</v>
      </c>
      <c r="AN2353" s="99">
        <v>2793.2850000000003</v>
      </c>
      <c r="AO2353" s="99">
        <v>2793.2850000000003</v>
      </c>
      <c r="AP2353" s="99">
        <v>2793.2850000000003</v>
      </c>
      <c r="AQ2353" s="99">
        <v>2793.2850000000003</v>
      </c>
      <c r="AR2353" s="99">
        <v>2793.2850000000003</v>
      </c>
      <c r="AS2353" s="99">
        <v>2793.2850000000003</v>
      </c>
      <c r="AT2353" s="99">
        <v>2793.2850000000003</v>
      </c>
      <c r="AU2353" s="99">
        <v>2793.2850000000003</v>
      </c>
      <c r="AV2353" s="99">
        <v>2793.2850000000003</v>
      </c>
      <c r="AW2353" s="99">
        <v>2793.2850000000003</v>
      </c>
      <c r="AX2353" s="100">
        <v>2793.2850000000003</v>
      </c>
    </row>
    <row r="2354" spans="1:50" x14ac:dyDescent="0.25">
      <c r="A2354" s="356" t="s">
        <v>46</v>
      </c>
      <c r="B2354" s="359" t="s">
        <v>46</v>
      </c>
      <c r="C2354" s="353" t="s">
        <v>6</v>
      </c>
      <c r="D2354" s="2" t="s">
        <v>7</v>
      </c>
      <c r="E2354" s="160" t="str">
        <f>A2354&amp;"/"&amp;B2354&amp;"/"&amp;C2354&amp;"/"&amp;D2354</f>
        <v>Pump storage/Pump storage/Electricity only/L</v>
      </c>
      <c r="F2354" s="76" t="str">
        <f>A2354</f>
        <v>Pump storage</v>
      </c>
      <c r="G2354" s="76" t="str">
        <f>B2354</f>
        <v>Pump storage</v>
      </c>
      <c r="H2354" s="76" t="str">
        <f>C2354</f>
        <v>Electricity only</v>
      </c>
      <c r="I2354" s="161" t="str">
        <f t="shared" si="117"/>
        <v>L</v>
      </c>
      <c r="J2354" s="91">
        <v>739.2</v>
      </c>
      <c r="K2354" s="91">
        <v>754.56000000000006</v>
      </c>
      <c r="L2354" s="91">
        <v>769.92000000000007</v>
      </c>
      <c r="M2354" s="91">
        <v>785.28000000000009</v>
      </c>
      <c r="N2354" s="91">
        <v>800.6400000000001</v>
      </c>
      <c r="O2354" s="91">
        <v>816</v>
      </c>
      <c r="P2354" s="91">
        <v>825.6</v>
      </c>
      <c r="Q2354" s="91">
        <v>835.2</v>
      </c>
      <c r="R2354" s="91">
        <v>844.80000000000007</v>
      </c>
      <c r="S2354" s="91">
        <v>854.40000000000009</v>
      </c>
      <c r="T2354" s="91">
        <v>864</v>
      </c>
      <c r="U2354" s="91">
        <v>873.6</v>
      </c>
      <c r="V2354" s="91">
        <v>883.2</v>
      </c>
      <c r="W2354" s="91">
        <v>892.80000000000007</v>
      </c>
      <c r="X2354" s="91">
        <v>902.40000000000009</v>
      </c>
      <c r="Y2354" s="91">
        <v>912</v>
      </c>
      <c r="Z2354" s="91">
        <v>921.6</v>
      </c>
      <c r="AA2354" s="91">
        <v>931.2</v>
      </c>
      <c r="AB2354" s="91">
        <v>940.80000000000007</v>
      </c>
      <c r="AC2354" s="91">
        <v>950.40000000000009</v>
      </c>
      <c r="AD2354" s="91">
        <v>960</v>
      </c>
      <c r="AE2354" s="91">
        <v>960</v>
      </c>
      <c r="AF2354" s="91">
        <v>960</v>
      </c>
      <c r="AG2354" s="91">
        <v>960</v>
      </c>
      <c r="AH2354" s="91">
        <v>960</v>
      </c>
      <c r="AI2354" s="91">
        <v>960</v>
      </c>
      <c r="AJ2354" s="91">
        <v>960</v>
      </c>
      <c r="AK2354" s="91">
        <v>960</v>
      </c>
      <c r="AL2354" s="91">
        <v>960</v>
      </c>
      <c r="AM2354" s="91">
        <v>960</v>
      </c>
      <c r="AN2354" s="91">
        <v>960</v>
      </c>
      <c r="AO2354" s="91">
        <v>960</v>
      </c>
      <c r="AP2354" s="91">
        <v>960</v>
      </c>
      <c r="AQ2354" s="91">
        <v>960</v>
      </c>
      <c r="AR2354" s="91">
        <v>960</v>
      </c>
      <c r="AS2354" s="91">
        <v>960</v>
      </c>
      <c r="AT2354" s="91">
        <v>960</v>
      </c>
      <c r="AU2354" s="91">
        <v>960</v>
      </c>
      <c r="AV2354" s="91">
        <v>960</v>
      </c>
      <c r="AW2354" s="91">
        <v>960</v>
      </c>
      <c r="AX2354" s="92">
        <v>960</v>
      </c>
    </row>
    <row r="2355" spans="1:50" x14ac:dyDescent="0.25">
      <c r="A2355" s="356"/>
      <c r="B2355" s="359"/>
      <c r="C2355" s="350"/>
      <c r="D2355" s="2" t="s">
        <v>8</v>
      </c>
      <c r="E2355" s="160" t="str">
        <f>A2354&amp;"/"&amp;B2354&amp;"/"&amp;C2354&amp;"/"&amp;D2355</f>
        <v>Pump storage/Pump storage/Electricity only/M</v>
      </c>
      <c r="F2355" s="76" t="str">
        <f>A2354</f>
        <v>Pump storage</v>
      </c>
      <c r="G2355" s="76" t="str">
        <f>B2354</f>
        <v>Pump storage</v>
      </c>
      <c r="H2355" s="76" t="str">
        <f>C2354</f>
        <v>Electricity only</v>
      </c>
      <c r="I2355" s="161" t="str">
        <f t="shared" si="117"/>
        <v>M</v>
      </c>
      <c r="J2355" s="91">
        <v>702.24</v>
      </c>
      <c r="K2355" s="91">
        <v>716.83199999999999</v>
      </c>
      <c r="L2355" s="91">
        <v>731.42399999999998</v>
      </c>
      <c r="M2355" s="91">
        <v>746.01599999999996</v>
      </c>
      <c r="N2355" s="91">
        <v>760.60799999999995</v>
      </c>
      <c r="O2355" s="91">
        <v>775.19999999999993</v>
      </c>
      <c r="P2355" s="91">
        <v>784.31999999999994</v>
      </c>
      <c r="Q2355" s="91">
        <v>793.43999999999994</v>
      </c>
      <c r="R2355" s="91">
        <v>802.56</v>
      </c>
      <c r="S2355" s="91">
        <v>811.68</v>
      </c>
      <c r="T2355" s="91">
        <v>820.80000000000007</v>
      </c>
      <c r="U2355" s="91">
        <v>829.92000000000007</v>
      </c>
      <c r="V2355" s="91">
        <v>839.04000000000008</v>
      </c>
      <c r="W2355" s="91">
        <v>848.16000000000008</v>
      </c>
      <c r="X2355" s="91">
        <v>857.28000000000009</v>
      </c>
      <c r="Y2355" s="91">
        <v>866.4</v>
      </c>
      <c r="Z2355" s="91">
        <v>875.52</v>
      </c>
      <c r="AA2355" s="91">
        <v>884.64</v>
      </c>
      <c r="AB2355" s="91">
        <v>893.76</v>
      </c>
      <c r="AC2355" s="91">
        <v>902.88</v>
      </c>
      <c r="AD2355" s="91">
        <v>912</v>
      </c>
      <c r="AE2355" s="91">
        <v>912</v>
      </c>
      <c r="AF2355" s="91">
        <v>912</v>
      </c>
      <c r="AG2355" s="91">
        <v>912</v>
      </c>
      <c r="AH2355" s="91">
        <v>912</v>
      </c>
      <c r="AI2355" s="91">
        <v>912</v>
      </c>
      <c r="AJ2355" s="91">
        <v>912</v>
      </c>
      <c r="AK2355" s="91">
        <v>912</v>
      </c>
      <c r="AL2355" s="91">
        <v>912</v>
      </c>
      <c r="AM2355" s="91">
        <v>912</v>
      </c>
      <c r="AN2355" s="91">
        <v>912</v>
      </c>
      <c r="AO2355" s="91">
        <v>912</v>
      </c>
      <c r="AP2355" s="91">
        <v>912</v>
      </c>
      <c r="AQ2355" s="91">
        <v>912</v>
      </c>
      <c r="AR2355" s="91">
        <v>912</v>
      </c>
      <c r="AS2355" s="91">
        <v>912</v>
      </c>
      <c r="AT2355" s="91">
        <v>912</v>
      </c>
      <c r="AU2355" s="91">
        <v>912</v>
      </c>
      <c r="AV2355" s="91">
        <v>912</v>
      </c>
      <c r="AW2355" s="91">
        <v>912</v>
      </c>
      <c r="AX2355" s="92">
        <v>912</v>
      </c>
    </row>
    <row r="2356" spans="1:50" x14ac:dyDescent="0.25">
      <c r="A2356" s="356"/>
      <c r="B2356" s="359"/>
      <c r="C2356" s="350"/>
      <c r="D2356" s="2" t="s">
        <v>10</v>
      </c>
      <c r="E2356" s="160" t="str">
        <f>A2354&amp;"/"&amp;B2354&amp;"/"&amp;C2354&amp;"/"&amp;D2356</f>
        <v>Pump storage/Pump storage/Electricity only/S</v>
      </c>
      <c r="F2356" s="76" t="str">
        <f>A2354</f>
        <v>Pump storage</v>
      </c>
      <c r="G2356" s="76" t="str">
        <f>B2354</f>
        <v>Pump storage</v>
      </c>
      <c r="H2356" s="76" t="str">
        <f>C2354</f>
        <v>Electricity only</v>
      </c>
      <c r="I2356" s="161" t="str">
        <f t="shared" si="117"/>
        <v>S</v>
      </c>
      <c r="J2356" s="91">
        <v>667.12800000000004</v>
      </c>
      <c r="K2356" s="91">
        <v>680.99040000000002</v>
      </c>
      <c r="L2356" s="91">
        <v>694.8528</v>
      </c>
      <c r="M2356" s="91">
        <v>708.71519999999998</v>
      </c>
      <c r="N2356" s="91">
        <v>722.57759999999996</v>
      </c>
      <c r="O2356" s="91">
        <v>736.43999999999994</v>
      </c>
      <c r="P2356" s="91">
        <v>745.10399999999993</v>
      </c>
      <c r="Q2356" s="91">
        <v>753.76799999999992</v>
      </c>
      <c r="R2356" s="91">
        <v>762.4319999999999</v>
      </c>
      <c r="S2356" s="91">
        <v>771.09599999999989</v>
      </c>
      <c r="T2356" s="91">
        <v>779.76</v>
      </c>
      <c r="U2356" s="91">
        <v>788.42399999999998</v>
      </c>
      <c r="V2356" s="91">
        <v>797.08799999999997</v>
      </c>
      <c r="W2356" s="91">
        <v>805.75199999999995</v>
      </c>
      <c r="X2356" s="91">
        <v>814.41599999999994</v>
      </c>
      <c r="Y2356" s="91">
        <v>823.07999999999993</v>
      </c>
      <c r="Z2356" s="91">
        <v>831.74399999999991</v>
      </c>
      <c r="AA2356" s="91">
        <v>840.4079999999999</v>
      </c>
      <c r="AB2356" s="91">
        <v>849.07199999999989</v>
      </c>
      <c r="AC2356" s="91">
        <v>857.73599999999988</v>
      </c>
      <c r="AD2356" s="91">
        <v>866.4</v>
      </c>
      <c r="AE2356" s="91">
        <v>866.4</v>
      </c>
      <c r="AF2356" s="91">
        <v>866.4</v>
      </c>
      <c r="AG2356" s="91">
        <v>866.4</v>
      </c>
      <c r="AH2356" s="91">
        <v>866.4</v>
      </c>
      <c r="AI2356" s="91">
        <v>866.4</v>
      </c>
      <c r="AJ2356" s="91">
        <v>866.4</v>
      </c>
      <c r="AK2356" s="91">
        <v>866.4</v>
      </c>
      <c r="AL2356" s="91">
        <v>866.4</v>
      </c>
      <c r="AM2356" s="91">
        <v>866.4</v>
      </c>
      <c r="AN2356" s="91">
        <v>866.4</v>
      </c>
      <c r="AO2356" s="91">
        <v>866.4</v>
      </c>
      <c r="AP2356" s="91">
        <v>866.4</v>
      </c>
      <c r="AQ2356" s="91">
        <v>866.4</v>
      </c>
      <c r="AR2356" s="91">
        <v>866.4</v>
      </c>
      <c r="AS2356" s="91">
        <v>866.4</v>
      </c>
      <c r="AT2356" s="91">
        <v>866.4</v>
      </c>
      <c r="AU2356" s="91">
        <v>866.4</v>
      </c>
      <c r="AV2356" s="91">
        <v>866.4</v>
      </c>
      <c r="AW2356" s="91">
        <v>866.4</v>
      </c>
      <c r="AX2356" s="92">
        <v>866.4</v>
      </c>
    </row>
    <row r="2357" spans="1:50" ht="11" thickBot="1" x14ac:dyDescent="0.3">
      <c r="A2357" s="372"/>
      <c r="B2357" s="373"/>
      <c r="C2357" s="374"/>
      <c r="D2357" s="158" t="s">
        <v>20</v>
      </c>
      <c r="E2357" s="172" t="str">
        <f>A2354&amp;"/"&amp;B2354&amp;"/"&amp;C2354&amp;"/"&amp;D2357</f>
        <v>Pump storage/Pump storage/Electricity only/XS</v>
      </c>
      <c r="F2357" s="82" t="str">
        <f>A2354</f>
        <v>Pump storage</v>
      </c>
      <c r="G2357" s="82" t="str">
        <f>B2354</f>
        <v>Pump storage</v>
      </c>
      <c r="H2357" s="82" t="str">
        <f>C2354</f>
        <v>Electricity only</v>
      </c>
      <c r="I2357" s="173" t="str">
        <f t="shared" si="117"/>
        <v>XS</v>
      </c>
      <c r="J2357" s="103">
        <v>633.77159999999992</v>
      </c>
      <c r="K2357" s="103">
        <v>646.94087999999988</v>
      </c>
      <c r="L2357" s="103">
        <v>660.11015999999984</v>
      </c>
      <c r="M2357" s="103">
        <v>673.27943999999979</v>
      </c>
      <c r="N2357" s="103">
        <v>686.44871999999975</v>
      </c>
      <c r="O2357" s="103">
        <v>699.61799999999994</v>
      </c>
      <c r="P2357" s="103">
        <v>707.84879999999998</v>
      </c>
      <c r="Q2357" s="103">
        <v>716.07960000000003</v>
      </c>
      <c r="R2357" s="103">
        <v>724.31040000000007</v>
      </c>
      <c r="S2357" s="103">
        <v>732.54120000000012</v>
      </c>
      <c r="T2357" s="103">
        <v>740.77199999999993</v>
      </c>
      <c r="U2357" s="103">
        <v>749.00279999999998</v>
      </c>
      <c r="V2357" s="103">
        <v>757.23360000000002</v>
      </c>
      <c r="W2357" s="103">
        <v>765.46440000000007</v>
      </c>
      <c r="X2357" s="103">
        <v>773.69520000000011</v>
      </c>
      <c r="Y2357" s="103">
        <v>781.92599999999993</v>
      </c>
      <c r="Z2357" s="103">
        <v>790.15679999999998</v>
      </c>
      <c r="AA2357" s="103">
        <v>798.38760000000002</v>
      </c>
      <c r="AB2357" s="103">
        <v>806.61840000000007</v>
      </c>
      <c r="AC2357" s="103">
        <v>814.84920000000011</v>
      </c>
      <c r="AD2357" s="103">
        <v>823.07999999999993</v>
      </c>
      <c r="AE2357" s="103">
        <v>823.07999999999993</v>
      </c>
      <c r="AF2357" s="103">
        <v>823.07999999999993</v>
      </c>
      <c r="AG2357" s="103">
        <v>823.07999999999993</v>
      </c>
      <c r="AH2357" s="103">
        <v>823.07999999999993</v>
      </c>
      <c r="AI2357" s="103">
        <v>823.07999999999993</v>
      </c>
      <c r="AJ2357" s="103">
        <v>823.07999999999993</v>
      </c>
      <c r="AK2357" s="103">
        <v>823.07999999999993</v>
      </c>
      <c r="AL2357" s="103">
        <v>823.07999999999993</v>
      </c>
      <c r="AM2357" s="103">
        <v>823.07999999999993</v>
      </c>
      <c r="AN2357" s="103">
        <v>823.07999999999993</v>
      </c>
      <c r="AO2357" s="103">
        <v>823.07999999999993</v>
      </c>
      <c r="AP2357" s="103">
        <v>823.07999999999993</v>
      </c>
      <c r="AQ2357" s="103">
        <v>823.07999999999993</v>
      </c>
      <c r="AR2357" s="103">
        <v>823.07999999999993</v>
      </c>
      <c r="AS2357" s="103">
        <v>823.07999999999993</v>
      </c>
      <c r="AT2357" s="103">
        <v>823.07999999999993</v>
      </c>
      <c r="AU2357" s="103">
        <v>823.07999999999993</v>
      </c>
      <c r="AV2357" s="103">
        <v>823.07999999999993</v>
      </c>
      <c r="AW2357" s="103">
        <v>823.07999999999993</v>
      </c>
      <c r="AX2357" s="104">
        <v>823.07999999999993</v>
      </c>
    </row>
    <row r="2363" spans="1:50" ht="11" thickBot="1" x14ac:dyDescent="0.3"/>
    <row r="2364" spans="1:50" x14ac:dyDescent="0.25">
      <c r="A2364" s="343" t="s">
        <v>49</v>
      </c>
      <c r="B2364" s="345" t="s">
        <v>50</v>
      </c>
      <c r="C2364" s="345" t="s">
        <v>51</v>
      </c>
      <c r="D2364" s="345" t="s">
        <v>52</v>
      </c>
      <c r="E2364" s="290"/>
      <c r="F2364" s="290"/>
      <c r="G2364" s="290"/>
      <c r="H2364" s="290"/>
      <c r="I2364" s="290"/>
      <c r="J2364" s="1" t="s">
        <v>72</v>
      </c>
      <c r="K2364" s="289"/>
      <c r="L2364" s="289"/>
      <c r="M2364" s="289"/>
      <c r="N2364" s="289"/>
      <c r="O2364" s="289"/>
      <c r="P2364" s="289"/>
      <c r="Q2364" s="289"/>
      <c r="R2364" s="289"/>
      <c r="S2364" s="289"/>
      <c r="T2364" s="289"/>
      <c r="U2364" s="289"/>
      <c r="V2364" s="289"/>
      <c r="W2364" s="289"/>
      <c r="X2364" s="289"/>
      <c r="Y2364" s="289"/>
      <c r="Z2364" s="289"/>
      <c r="AA2364" s="289"/>
      <c r="AB2364" s="289"/>
      <c r="AC2364" s="289"/>
      <c r="AD2364" s="289"/>
      <c r="AE2364" s="289"/>
      <c r="AF2364" s="289"/>
      <c r="AG2364" s="289"/>
      <c r="AH2364" s="289"/>
      <c r="AI2364" s="289"/>
      <c r="AJ2364" s="289"/>
      <c r="AK2364" s="289"/>
      <c r="AL2364" s="289"/>
      <c r="AM2364" s="289"/>
      <c r="AN2364" s="289"/>
      <c r="AO2364" s="289"/>
      <c r="AP2364" s="289"/>
      <c r="AQ2364" s="289"/>
      <c r="AR2364" s="289"/>
      <c r="AS2364" s="289"/>
      <c r="AT2364" s="289"/>
      <c r="AU2364" s="289"/>
      <c r="AV2364" s="289"/>
      <c r="AW2364" s="289"/>
      <c r="AX2364" s="288"/>
    </row>
    <row r="2365" spans="1:50" ht="11" thickBot="1" x14ac:dyDescent="0.3">
      <c r="A2365" s="344"/>
      <c r="B2365" s="346"/>
      <c r="C2365" s="346"/>
      <c r="D2365" s="346"/>
      <c r="E2365" s="291"/>
      <c r="F2365" s="291"/>
      <c r="G2365" s="291"/>
      <c r="H2365" s="291"/>
      <c r="I2365" s="291"/>
      <c r="J2365" s="68">
        <v>2010</v>
      </c>
      <c r="K2365" s="68">
        <v>2011</v>
      </c>
      <c r="L2365" s="68">
        <v>2012</v>
      </c>
      <c r="M2365" s="68">
        <v>2013</v>
      </c>
      <c r="N2365" s="68">
        <v>2014</v>
      </c>
      <c r="O2365" s="68">
        <v>2015</v>
      </c>
      <c r="P2365" s="68">
        <v>2016</v>
      </c>
      <c r="Q2365" s="68">
        <v>2017</v>
      </c>
      <c r="R2365" s="68">
        <v>2018</v>
      </c>
      <c r="S2365" s="68">
        <v>2019</v>
      </c>
      <c r="T2365" s="68">
        <v>2020</v>
      </c>
      <c r="U2365" s="68">
        <v>2021</v>
      </c>
      <c r="V2365" s="68">
        <v>2022</v>
      </c>
      <c r="W2365" s="68">
        <v>2023</v>
      </c>
      <c r="X2365" s="68">
        <v>2024</v>
      </c>
      <c r="Y2365" s="68">
        <v>2025</v>
      </c>
      <c r="Z2365" s="68">
        <v>2026</v>
      </c>
      <c r="AA2365" s="68">
        <v>2027</v>
      </c>
      <c r="AB2365" s="68">
        <v>2028</v>
      </c>
      <c r="AC2365" s="68">
        <v>2029</v>
      </c>
      <c r="AD2365" s="68">
        <v>2030</v>
      </c>
      <c r="AE2365" s="68">
        <v>2031</v>
      </c>
      <c r="AF2365" s="68">
        <v>2032</v>
      </c>
      <c r="AG2365" s="68">
        <v>2033</v>
      </c>
      <c r="AH2365" s="68">
        <v>2034</v>
      </c>
      <c r="AI2365" s="68">
        <v>2035</v>
      </c>
      <c r="AJ2365" s="68">
        <v>2036</v>
      </c>
      <c r="AK2365" s="68">
        <v>2037</v>
      </c>
      <c r="AL2365" s="68">
        <v>2038</v>
      </c>
      <c r="AM2365" s="68">
        <v>2039</v>
      </c>
      <c r="AN2365" s="68">
        <v>2040</v>
      </c>
      <c r="AO2365" s="68">
        <v>2041</v>
      </c>
      <c r="AP2365" s="68">
        <v>2042</v>
      </c>
      <c r="AQ2365" s="68">
        <v>2043</v>
      </c>
      <c r="AR2365" s="68">
        <v>2044</v>
      </c>
      <c r="AS2365" s="68">
        <v>2045</v>
      </c>
      <c r="AT2365" s="68">
        <v>2046</v>
      </c>
      <c r="AU2365" s="68">
        <v>2047</v>
      </c>
      <c r="AV2365" s="68">
        <v>2048</v>
      </c>
      <c r="AW2365" s="68">
        <v>2049</v>
      </c>
      <c r="AX2365" s="83">
        <v>2050</v>
      </c>
    </row>
    <row r="2366" spans="1:50" x14ac:dyDescent="0.25">
      <c r="A2366" s="347" t="s">
        <v>4</v>
      </c>
      <c r="B2366" s="349" t="s">
        <v>5</v>
      </c>
      <c r="C2366" s="350" t="s">
        <v>6</v>
      </c>
      <c r="D2366" s="2" t="s">
        <v>7</v>
      </c>
      <c r="E2366" s="160" t="str">
        <f>A2366&amp;"/"&amp;B2366&amp;"/"&amp;C2366&amp;"/"&amp;D2366</f>
        <v>Nuclear power plants/Nuclear - current/Electricity only/L</v>
      </c>
      <c r="F2366" s="76" t="str">
        <f>A2366</f>
        <v>Nuclear power plants</v>
      </c>
      <c r="G2366" s="76" t="str">
        <f>B2366</f>
        <v>Nuclear - current</v>
      </c>
      <c r="H2366" s="76" t="str">
        <f>C2366</f>
        <v>Electricity only</v>
      </c>
      <c r="I2366" s="161" t="str">
        <f>D2366</f>
        <v>L</v>
      </c>
      <c r="J2366" s="91">
        <v>8760</v>
      </c>
      <c r="K2366" s="91">
        <v>8760</v>
      </c>
      <c r="L2366" s="91">
        <v>8760</v>
      </c>
      <c r="M2366" s="91">
        <v>8760</v>
      </c>
      <c r="N2366" s="91">
        <v>8760</v>
      </c>
      <c r="O2366" s="91">
        <v>8760</v>
      </c>
      <c r="P2366" s="91">
        <v>8760</v>
      </c>
      <c r="Q2366" s="91">
        <v>8760</v>
      </c>
      <c r="R2366" s="91">
        <v>8760</v>
      </c>
      <c r="S2366" s="91">
        <v>8760</v>
      </c>
      <c r="T2366" s="91">
        <v>8760</v>
      </c>
      <c r="U2366" s="91">
        <v>8760</v>
      </c>
      <c r="V2366" s="91">
        <v>8760</v>
      </c>
      <c r="W2366" s="91">
        <v>8760</v>
      </c>
      <c r="X2366" s="91">
        <v>8760</v>
      </c>
      <c r="Y2366" s="91">
        <v>8760</v>
      </c>
      <c r="Z2366" s="91">
        <v>8760</v>
      </c>
      <c r="AA2366" s="91">
        <v>8760</v>
      </c>
      <c r="AB2366" s="91">
        <v>8760</v>
      </c>
      <c r="AC2366" s="91">
        <v>8760</v>
      </c>
      <c r="AD2366" s="91">
        <v>8760</v>
      </c>
      <c r="AE2366" s="91">
        <v>8760</v>
      </c>
      <c r="AF2366" s="91">
        <v>8760</v>
      </c>
      <c r="AG2366" s="91">
        <v>8760</v>
      </c>
      <c r="AH2366" s="91">
        <v>8760</v>
      </c>
      <c r="AI2366" s="91">
        <v>8760</v>
      </c>
      <c r="AJ2366" s="91">
        <v>8760</v>
      </c>
      <c r="AK2366" s="91">
        <v>8760</v>
      </c>
      <c r="AL2366" s="91">
        <v>8760</v>
      </c>
      <c r="AM2366" s="91">
        <v>8760</v>
      </c>
      <c r="AN2366" s="91">
        <v>8760</v>
      </c>
      <c r="AO2366" s="91">
        <v>8760</v>
      </c>
      <c r="AP2366" s="91">
        <v>8760</v>
      </c>
      <c r="AQ2366" s="91">
        <v>8760</v>
      </c>
      <c r="AR2366" s="91">
        <v>8760</v>
      </c>
      <c r="AS2366" s="91">
        <v>8760</v>
      </c>
      <c r="AT2366" s="91">
        <v>8760</v>
      </c>
      <c r="AU2366" s="91">
        <v>8760</v>
      </c>
      <c r="AV2366" s="91">
        <v>8760</v>
      </c>
      <c r="AW2366" s="91">
        <v>8760</v>
      </c>
      <c r="AX2366" s="92">
        <v>8760</v>
      </c>
    </row>
    <row r="2367" spans="1:50" x14ac:dyDescent="0.25">
      <c r="A2367" s="347"/>
      <c r="B2367" s="349"/>
      <c r="C2367" s="350"/>
      <c r="D2367" s="4" t="s">
        <v>8</v>
      </c>
      <c r="E2367" s="168" t="str">
        <f>A2366&amp;"/"&amp;B2366&amp;"/"&amp;C2366&amp;"/"&amp;D2367</f>
        <v>Nuclear power plants/Nuclear - current/Electricity only/M</v>
      </c>
      <c r="F2367" s="80" t="str">
        <f>A2366</f>
        <v>Nuclear power plants</v>
      </c>
      <c r="G2367" s="80" t="str">
        <f>B2366</f>
        <v>Nuclear - current</v>
      </c>
      <c r="H2367" s="80" t="str">
        <f>C2366</f>
        <v>Electricity only</v>
      </c>
      <c r="I2367" s="169" t="str">
        <f t="shared" ref="I2367:I2430" si="118">D2367</f>
        <v>M</v>
      </c>
      <c r="J2367" s="99">
        <v>8270.2065989433413</v>
      </c>
      <c r="K2367" s="99">
        <v>8270.2065989433413</v>
      </c>
      <c r="L2367" s="99">
        <v>8270.2065989433413</v>
      </c>
      <c r="M2367" s="99">
        <v>8270.2065989433413</v>
      </c>
      <c r="N2367" s="99">
        <v>8270.2065989433413</v>
      </c>
      <c r="O2367" s="99">
        <v>8270.2065989433413</v>
      </c>
      <c r="P2367" s="99">
        <v>8270.2065989433413</v>
      </c>
      <c r="Q2367" s="99">
        <v>8270.2065989433413</v>
      </c>
      <c r="R2367" s="99">
        <v>8270.2065989433413</v>
      </c>
      <c r="S2367" s="99">
        <v>8270.2065989433413</v>
      </c>
      <c r="T2367" s="99">
        <v>8270.2065989433413</v>
      </c>
      <c r="U2367" s="99">
        <v>8270.2065989433413</v>
      </c>
      <c r="V2367" s="99">
        <v>8270.2065989433413</v>
      </c>
      <c r="W2367" s="99">
        <v>8270.2065989433413</v>
      </c>
      <c r="X2367" s="99">
        <v>8270.2065989433413</v>
      </c>
      <c r="Y2367" s="99">
        <v>8270.2065989433413</v>
      </c>
      <c r="Z2367" s="99">
        <v>8270.2065989433413</v>
      </c>
      <c r="AA2367" s="99">
        <v>8270.2065989433413</v>
      </c>
      <c r="AB2367" s="99">
        <v>8270.2065989433413</v>
      </c>
      <c r="AC2367" s="99">
        <v>8270.2065989433413</v>
      </c>
      <c r="AD2367" s="99">
        <v>8270.2065989433413</v>
      </c>
      <c r="AE2367" s="99">
        <v>8270.2065989433413</v>
      </c>
      <c r="AF2367" s="99">
        <v>8270.2065989433413</v>
      </c>
      <c r="AG2367" s="99">
        <v>8270.2065989433413</v>
      </c>
      <c r="AH2367" s="99">
        <v>8270.2065989433413</v>
      </c>
      <c r="AI2367" s="99">
        <v>8270.2065989433413</v>
      </c>
      <c r="AJ2367" s="99">
        <v>8270.2065989433413</v>
      </c>
      <c r="AK2367" s="99">
        <v>8270.2065989433413</v>
      </c>
      <c r="AL2367" s="99">
        <v>8270.2065989433413</v>
      </c>
      <c r="AM2367" s="99">
        <v>8270.2065989433413</v>
      </c>
      <c r="AN2367" s="99">
        <v>8270.2065989433413</v>
      </c>
      <c r="AO2367" s="99">
        <v>8270.2065989433413</v>
      </c>
      <c r="AP2367" s="99">
        <v>8270.2065989433413</v>
      </c>
      <c r="AQ2367" s="99">
        <v>8270.2065989433413</v>
      </c>
      <c r="AR2367" s="99">
        <v>8270.2065989433413</v>
      </c>
      <c r="AS2367" s="99">
        <v>8270.2065989433413</v>
      </c>
      <c r="AT2367" s="99">
        <v>8270.2065989433413</v>
      </c>
      <c r="AU2367" s="99">
        <v>8270.2065989433413</v>
      </c>
      <c r="AV2367" s="99">
        <v>8270.2065989433413</v>
      </c>
      <c r="AW2367" s="99">
        <v>8270.2065989433413</v>
      </c>
      <c r="AX2367" s="100">
        <v>8270.2065989433413</v>
      </c>
    </row>
    <row r="2368" spans="1:50" x14ac:dyDescent="0.25">
      <c r="A2368" s="347"/>
      <c r="B2368" s="351" t="s">
        <v>9</v>
      </c>
      <c r="C2368" s="353" t="s">
        <v>6</v>
      </c>
      <c r="D2368" s="2" t="s">
        <v>7</v>
      </c>
      <c r="E2368" s="160" t="str">
        <f>A2366&amp;"/"&amp;B2368&amp;"/"&amp;C2368&amp;"/"&amp;D2368</f>
        <v>Nuclear power plants/Nuclear III/Electricity only/L</v>
      </c>
      <c r="F2368" s="76" t="str">
        <f>A2366</f>
        <v>Nuclear power plants</v>
      </c>
      <c r="G2368" s="76" t="str">
        <f>B2368</f>
        <v>Nuclear III</v>
      </c>
      <c r="H2368" s="76" t="str">
        <f>C2368</f>
        <v>Electricity only</v>
      </c>
      <c r="I2368" s="161" t="str">
        <f t="shared" si="118"/>
        <v>L</v>
      </c>
      <c r="J2368" s="91">
        <v>8760</v>
      </c>
      <c r="K2368" s="91">
        <v>8760</v>
      </c>
      <c r="L2368" s="91">
        <v>8760</v>
      </c>
      <c r="M2368" s="91">
        <v>8760</v>
      </c>
      <c r="N2368" s="91">
        <v>8760</v>
      </c>
      <c r="O2368" s="91">
        <v>8760</v>
      </c>
      <c r="P2368" s="91">
        <v>8760</v>
      </c>
      <c r="Q2368" s="91">
        <v>8760</v>
      </c>
      <c r="R2368" s="91">
        <v>8760</v>
      </c>
      <c r="S2368" s="91">
        <v>8760</v>
      </c>
      <c r="T2368" s="91">
        <v>8760</v>
      </c>
      <c r="U2368" s="91">
        <v>8760</v>
      </c>
      <c r="V2368" s="91">
        <v>8760</v>
      </c>
      <c r="W2368" s="91">
        <v>8760</v>
      </c>
      <c r="X2368" s="91">
        <v>8760</v>
      </c>
      <c r="Y2368" s="91">
        <v>8760</v>
      </c>
      <c r="Z2368" s="91">
        <v>8760</v>
      </c>
      <c r="AA2368" s="91">
        <v>8760</v>
      </c>
      <c r="AB2368" s="91">
        <v>8760</v>
      </c>
      <c r="AC2368" s="91">
        <v>8760</v>
      </c>
      <c r="AD2368" s="91">
        <v>8760</v>
      </c>
      <c r="AE2368" s="91">
        <v>8760</v>
      </c>
      <c r="AF2368" s="91">
        <v>8760</v>
      </c>
      <c r="AG2368" s="91">
        <v>8760</v>
      </c>
      <c r="AH2368" s="91">
        <v>8760</v>
      </c>
      <c r="AI2368" s="91">
        <v>8760</v>
      </c>
      <c r="AJ2368" s="91">
        <v>8760</v>
      </c>
      <c r="AK2368" s="91">
        <v>8760</v>
      </c>
      <c r="AL2368" s="91">
        <v>8760</v>
      </c>
      <c r="AM2368" s="91">
        <v>8760</v>
      </c>
      <c r="AN2368" s="91">
        <v>8760</v>
      </c>
      <c r="AO2368" s="91">
        <v>8760</v>
      </c>
      <c r="AP2368" s="91">
        <v>8760</v>
      </c>
      <c r="AQ2368" s="91">
        <v>8760</v>
      </c>
      <c r="AR2368" s="91">
        <v>8760</v>
      </c>
      <c r="AS2368" s="91">
        <v>8760</v>
      </c>
      <c r="AT2368" s="91">
        <v>8760</v>
      </c>
      <c r="AU2368" s="91">
        <v>8760</v>
      </c>
      <c r="AV2368" s="91">
        <v>8760</v>
      </c>
      <c r="AW2368" s="91">
        <v>8760</v>
      </c>
      <c r="AX2368" s="92">
        <v>8760</v>
      </c>
    </row>
    <row r="2369" spans="1:50" x14ac:dyDescent="0.25">
      <c r="A2369" s="347"/>
      <c r="B2369" s="349"/>
      <c r="C2369" s="350"/>
      <c r="D2369" s="2" t="s">
        <v>8</v>
      </c>
      <c r="E2369" s="160" t="str">
        <f>A2366&amp;"/"&amp;B2368&amp;"/"&amp;C2368&amp;"/"&amp;D2369</f>
        <v>Nuclear power plants/Nuclear III/Electricity only/M</v>
      </c>
      <c r="F2369" s="76" t="str">
        <f>A2366</f>
        <v>Nuclear power plants</v>
      </c>
      <c r="G2369" s="76" t="str">
        <f>B2368</f>
        <v>Nuclear III</v>
      </c>
      <c r="H2369" s="76" t="str">
        <f>C2368</f>
        <v>Electricity only</v>
      </c>
      <c r="I2369" s="161" t="str">
        <f t="shared" si="118"/>
        <v>M</v>
      </c>
      <c r="J2369" s="91">
        <v>8156.8732562307778</v>
      </c>
      <c r="K2369" s="91">
        <v>8156.8732562307778</v>
      </c>
      <c r="L2369" s="91">
        <v>8156.8732562307778</v>
      </c>
      <c r="M2369" s="91">
        <v>8156.8732562307778</v>
      </c>
      <c r="N2369" s="91">
        <v>8156.8732562307778</v>
      </c>
      <c r="O2369" s="91">
        <v>8156.8732562307778</v>
      </c>
      <c r="P2369" s="91">
        <v>8156.8732562307778</v>
      </c>
      <c r="Q2369" s="91">
        <v>8156.8732562307778</v>
      </c>
      <c r="R2369" s="91">
        <v>8156.8732562307778</v>
      </c>
      <c r="S2369" s="91">
        <v>8156.8732562307778</v>
      </c>
      <c r="T2369" s="91">
        <v>8156.8732562307778</v>
      </c>
      <c r="U2369" s="91">
        <v>8156.8732562307778</v>
      </c>
      <c r="V2369" s="91">
        <v>8156.8732562307778</v>
      </c>
      <c r="W2369" s="91">
        <v>8156.8732562307778</v>
      </c>
      <c r="X2369" s="91">
        <v>8156.8732562307778</v>
      </c>
      <c r="Y2369" s="91">
        <v>8156.8732562307778</v>
      </c>
      <c r="Z2369" s="91">
        <v>8156.8732562307778</v>
      </c>
      <c r="AA2369" s="91">
        <v>8156.8732562307778</v>
      </c>
      <c r="AB2369" s="91">
        <v>8156.8732562307778</v>
      </c>
      <c r="AC2369" s="91">
        <v>8156.8732562307778</v>
      </c>
      <c r="AD2369" s="91">
        <v>8156.8732562307778</v>
      </c>
      <c r="AE2369" s="91">
        <v>8156.8732562307778</v>
      </c>
      <c r="AF2369" s="91">
        <v>8156.8732562307778</v>
      </c>
      <c r="AG2369" s="91">
        <v>8156.8732562307778</v>
      </c>
      <c r="AH2369" s="91">
        <v>8156.8732562307778</v>
      </c>
      <c r="AI2369" s="91">
        <v>8156.8732562307778</v>
      </c>
      <c r="AJ2369" s="91">
        <v>8156.8732562307778</v>
      </c>
      <c r="AK2369" s="91">
        <v>8156.8732562307778</v>
      </c>
      <c r="AL2369" s="91">
        <v>8156.8732562307778</v>
      </c>
      <c r="AM2369" s="91">
        <v>8156.8732562307778</v>
      </c>
      <c r="AN2369" s="91">
        <v>8156.8732562307778</v>
      </c>
      <c r="AO2369" s="91">
        <v>8156.8732562307778</v>
      </c>
      <c r="AP2369" s="91">
        <v>8156.8732562307778</v>
      </c>
      <c r="AQ2369" s="91">
        <v>8156.8732562307778</v>
      </c>
      <c r="AR2369" s="91">
        <v>8156.8732562307778</v>
      </c>
      <c r="AS2369" s="91">
        <v>8156.8732562307778</v>
      </c>
      <c r="AT2369" s="91">
        <v>8156.8732562307778</v>
      </c>
      <c r="AU2369" s="91">
        <v>8156.8732562307778</v>
      </c>
      <c r="AV2369" s="91">
        <v>8156.8732562307778</v>
      </c>
      <c r="AW2369" s="91">
        <v>8156.8732562307778</v>
      </c>
      <c r="AX2369" s="92">
        <v>8156.8732562307778</v>
      </c>
    </row>
    <row r="2370" spans="1:50" x14ac:dyDescent="0.25">
      <c r="A2370" s="347"/>
      <c r="B2370" s="352"/>
      <c r="C2370" s="354"/>
      <c r="D2370" s="4" t="s">
        <v>10</v>
      </c>
      <c r="E2370" s="168" t="str">
        <f>A2366&amp;"/"&amp;B2368&amp;"/"&amp;C2368&amp;"/"&amp;D2370</f>
        <v>Nuclear power plants/Nuclear III/Electricity only/S</v>
      </c>
      <c r="F2370" s="80" t="str">
        <f>A2366</f>
        <v>Nuclear power plants</v>
      </c>
      <c r="G2370" s="80" t="str">
        <f>B2368</f>
        <v>Nuclear III</v>
      </c>
      <c r="H2370" s="80" t="str">
        <f>C2368</f>
        <v>Electricity only</v>
      </c>
      <c r="I2370" s="169" t="str">
        <f t="shared" si="118"/>
        <v>S</v>
      </c>
      <c r="J2370" s="99" t="s">
        <v>112</v>
      </c>
      <c r="K2370" s="99" t="s">
        <v>112</v>
      </c>
      <c r="L2370" s="99" t="s">
        <v>112</v>
      </c>
      <c r="M2370" s="99" t="s">
        <v>112</v>
      </c>
      <c r="N2370" s="99" t="s">
        <v>112</v>
      </c>
      <c r="O2370" s="99" t="s">
        <v>112</v>
      </c>
      <c r="P2370" s="99" t="s">
        <v>112</v>
      </c>
      <c r="Q2370" s="99" t="s">
        <v>112</v>
      </c>
      <c r="R2370" s="99" t="s">
        <v>112</v>
      </c>
      <c r="S2370" s="99" t="s">
        <v>112</v>
      </c>
      <c r="T2370" s="99" t="s">
        <v>112</v>
      </c>
      <c r="U2370" s="99" t="s">
        <v>112</v>
      </c>
      <c r="V2370" s="99" t="s">
        <v>112</v>
      </c>
      <c r="W2370" s="99" t="s">
        <v>112</v>
      </c>
      <c r="X2370" s="99" t="s">
        <v>112</v>
      </c>
      <c r="Y2370" s="99">
        <v>7483.5279580714523</v>
      </c>
      <c r="Z2370" s="99">
        <v>7483.5279580714523</v>
      </c>
      <c r="AA2370" s="99">
        <v>7483.5279580714523</v>
      </c>
      <c r="AB2370" s="99">
        <v>7483.5279580714523</v>
      </c>
      <c r="AC2370" s="99">
        <v>7483.5279580714523</v>
      </c>
      <c r="AD2370" s="99">
        <v>7483.5279580714523</v>
      </c>
      <c r="AE2370" s="99">
        <v>7483.5279580714523</v>
      </c>
      <c r="AF2370" s="99">
        <v>7483.5279580714523</v>
      </c>
      <c r="AG2370" s="99">
        <v>7483.5279580714523</v>
      </c>
      <c r="AH2370" s="99">
        <v>7483.5279580714523</v>
      </c>
      <c r="AI2370" s="99">
        <v>7483.5279580714523</v>
      </c>
      <c r="AJ2370" s="99">
        <v>7483.5279580714523</v>
      </c>
      <c r="AK2370" s="99">
        <v>7483.5279580714523</v>
      </c>
      <c r="AL2370" s="99">
        <v>7483.5279580714523</v>
      </c>
      <c r="AM2370" s="99">
        <v>7483.5279580714523</v>
      </c>
      <c r="AN2370" s="99">
        <v>7483.5279580714523</v>
      </c>
      <c r="AO2370" s="99">
        <v>7483.5279580714523</v>
      </c>
      <c r="AP2370" s="99">
        <v>7483.5279580714523</v>
      </c>
      <c r="AQ2370" s="99">
        <v>7483.5279580714523</v>
      </c>
      <c r="AR2370" s="99">
        <v>7483.5279580714523</v>
      </c>
      <c r="AS2370" s="99">
        <v>7483.5279580714523</v>
      </c>
      <c r="AT2370" s="99">
        <v>7483.5279580714523</v>
      </c>
      <c r="AU2370" s="99">
        <v>7483.5279580714523</v>
      </c>
      <c r="AV2370" s="99">
        <v>7483.5279580714523</v>
      </c>
      <c r="AW2370" s="99">
        <v>7483.5279580714523</v>
      </c>
      <c r="AX2370" s="100">
        <v>7483.5279580714523</v>
      </c>
    </row>
    <row r="2371" spans="1:50" x14ac:dyDescent="0.25">
      <c r="A2371" s="347"/>
      <c r="B2371" s="349" t="s">
        <v>11</v>
      </c>
      <c r="C2371" s="363" t="s">
        <v>6</v>
      </c>
      <c r="D2371" s="2" t="s">
        <v>7</v>
      </c>
      <c r="E2371" s="160" t="str">
        <f>A2366&amp;"/"&amp;B2371&amp;"/"&amp;C2371&amp;"/"&amp;D2371</f>
        <v>Nuclear power plants/Nuclear IV/Electricity only/L</v>
      </c>
      <c r="F2371" s="76" t="str">
        <f>A2366</f>
        <v>Nuclear power plants</v>
      </c>
      <c r="G2371" s="76" t="str">
        <f>B2371</f>
        <v>Nuclear IV</v>
      </c>
      <c r="H2371" s="76" t="str">
        <f>C2371</f>
        <v>Electricity only</v>
      </c>
      <c r="I2371" s="161" t="str">
        <f t="shared" si="118"/>
        <v>L</v>
      </c>
      <c r="J2371" s="91" t="s">
        <v>112</v>
      </c>
      <c r="K2371" s="91" t="s">
        <v>112</v>
      </c>
      <c r="L2371" s="91" t="s">
        <v>112</v>
      </c>
      <c r="M2371" s="91" t="s">
        <v>112</v>
      </c>
      <c r="N2371" s="91" t="s">
        <v>112</v>
      </c>
      <c r="O2371" s="91" t="s">
        <v>112</v>
      </c>
      <c r="P2371" s="91" t="s">
        <v>112</v>
      </c>
      <c r="Q2371" s="91" t="s">
        <v>112</v>
      </c>
      <c r="R2371" s="91" t="s">
        <v>112</v>
      </c>
      <c r="S2371" s="91" t="s">
        <v>112</v>
      </c>
      <c r="T2371" s="91" t="s">
        <v>112</v>
      </c>
      <c r="U2371" s="91" t="s">
        <v>112</v>
      </c>
      <c r="V2371" s="91" t="s">
        <v>112</v>
      </c>
      <c r="W2371" s="91" t="s">
        <v>112</v>
      </c>
      <c r="X2371" s="91" t="s">
        <v>112</v>
      </c>
      <c r="Y2371" s="91" t="s">
        <v>112</v>
      </c>
      <c r="Z2371" s="91" t="s">
        <v>112</v>
      </c>
      <c r="AA2371" s="91" t="s">
        <v>112</v>
      </c>
      <c r="AB2371" s="91" t="s">
        <v>112</v>
      </c>
      <c r="AC2371" s="91" t="s">
        <v>112</v>
      </c>
      <c r="AD2371" s="91" t="s">
        <v>112</v>
      </c>
      <c r="AE2371" s="91" t="s">
        <v>112</v>
      </c>
      <c r="AF2371" s="91" t="s">
        <v>112</v>
      </c>
      <c r="AG2371" s="91" t="s">
        <v>112</v>
      </c>
      <c r="AH2371" s="91" t="s">
        <v>112</v>
      </c>
      <c r="AI2371" s="91">
        <v>8760</v>
      </c>
      <c r="AJ2371" s="91">
        <v>8760</v>
      </c>
      <c r="AK2371" s="91">
        <v>8760</v>
      </c>
      <c r="AL2371" s="91">
        <v>8760</v>
      </c>
      <c r="AM2371" s="91">
        <v>8760</v>
      </c>
      <c r="AN2371" s="91">
        <v>8760</v>
      </c>
      <c r="AO2371" s="91">
        <v>8760</v>
      </c>
      <c r="AP2371" s="91">
        <v>8760</v>
      </c>
      <c r="AQ2371" s="91">
        <v>8760</v>
      </c>
      <c r="AR2371" s="91">
        <v>8760</v>
      </c>
      <c r="AS2371" s="91">
        <v>8760</v>
      </c>
      <c r="AT2371" s="91">
        <v>8760</v>
      </c>
      <c r="AU2371" s="91">
        <v>8760</v>
      </c>
      <c r="AV2371" s="91">
        <v>8760</v>
      </c>
      <c r="AW2371" s="91">
        <v>8760</v>
      </c>
      <c r="AX2371" s="92">
        <v>8760</v>
      </c>
    </row>
    <row r="2372" spans="1:50" x14ac:dyDescent="0.25">
      <c r="A2372" s="348"/>
      <c r="B2372" s="352"/>
      <c r="C2372" s="364"/>
      <c r="D2372" s="4" t="s">
        <v>8</v>
      </c>
      <c r="E2372" s="160" t="str">
        <f>A2366&amp;"/"&amp;B2371&amp;"/"&amp;C2371&amp;"/"&amp;D2372</f>
        <v>Nuclear power plants/Nuclear IV/Electricity only/M</v>
      </c>
      <c r="F2372" s="76" t="str">
        <f>A2366</f>
        <v>Nuclear power plants</v>
      </c>
      <c r="G2372" s="76" t="str">
        <f>B2371</f>
        <v>Nuclear IV</v>
      </c>
      <c r="H2372" s="76" t="str">
        <f>C2371</f>
        <v>Electricity only</v>
      </c>
      <c r="I2372" s="161" t="str">
        <f t="shared" si="118"/>
        <v>M</v>
      </c>
      <c r="J2372" s="91" t="s">
        <v>112</v>
      </c>
      <c r="K2372" s="91" t="s">
        <v>112</v>
      </c>
      <c r="L2372" s="91" t="s">
        <v>112</v>
      </c>
      <c r="M2372" s="91" t="s">
        <v>112</v>
      </c>
      <c r="N2372" s="91" t="s">
        <v>112</v>
      </c>
      <c r="O2372" s="91" t="s">
        <v>112</v>
      </c>
      <c r="P2372" s="91" t="s">
        <v>112</v>
      </c>
      <c r="Q2372" s="91" t="s">
        <v>112</v>
      </c>
      <c r="R2372" s="91" t="s">
        <v>112</v>
      </c>
      <c r="S2372" s="91" t="s">
        <v>112</v>
      </c>
      <c r="T2372" s="91" t="s">
        <v>112</v>
      </c>
      <c r="U2372" s="91" t="s">
        <v>112</v>
      </c>
      <c r="V2372" s="91" t="s">
        <v>112</v>
      </c>
      <c r="W2372" s="91" t="s">
        <v>112</v>
      </c>
      <c r="X2372" s="91" t="s">
        <v>112</v>
      </c>
      <c r="Y2372" s="91" t="s">
        <v>112</v>
      </c>
      <c r="Z2372" s="91" t="s">
        <v>112</v>
      </c>
      <c r="AA2372" s="91" t="s">
        <v>112</v>
      </c>
      <c r="AB2372" s="91" t="s">
        <v>112</v>
      </c>
      <c r="AC2372" s="91" t="s">
        <v>112</v>
      </c>
      <c r="AD2372" s="91" t="s">
        <v>112</v>
      </c>
      <c r="AE2372" s="91" t="s">
        <v>112</v>
      </c>
      <c r="AF2372" s="91" t="s">
        <v>112</v>
      </c>
      <c r="AG2372" s="91" t="s">
        <v>112</v>
      </c>
      <c r="AH2372" s="91" t="s">
        <v>112</v>
      </c>
      <c r="AI2372" s="91">
        <v>8214.321704229118</v>
      </c>
      <c r="AJ2372" s="91">
        <v>8214.321704229118</v>
      </c>
      <c r="AK2372" s="91">
        <v>8214.321704229118</v>
      </c>
      <c r="AL2372" s="91">
        <v>8214.321704229118</v>
      </c>
      <c r="AM2372" s="91">
        <v>8214.321704229118</v>
      </c>
      <c r="AN2372" s="91">
        <v>8214.321704229118</v>
      </c>
      <c r="AO2372" s="91">
        <v>8214.321704229118</v>
      </c>
      <c r="AP2372" s="91">
        <v>8214.321704229118</v>
      </c>
      <c r="AQ2372" s="91">
        <v>8214.321704229118</v>
      </c>
      <c r="AR2372" s="91">
        <v>8214.321704229118</v>
      </c>
      <c r="AS2372" s="91">
        <v>8214.321704229118</v>
      </c>
      <c r="AT2372" s="91">
        <v>8214.321704229118</v>
      </c>
      <c r="AU2372" s="91">
        <v>8214.321704229118</v>
      </c>
      <c r="AV2372" s="91">
        <v>8214.321704229118</v>
      </c>
      <c r="AW2372" s="91">
        <v>8214.321704229118</v>
      </c>
      <c r="AX2372" s="92">
        <v>8214.321704229118</v>
      </c>
    </row>
    <row r="2373" spans="1:50" x14ac:dyDescent="0.25">
      <c r="A2373" s="355" t="s">
        <v>12</v>
      </c>
      <c r="B2373" s="358" t="s">
        <v>13</v>
      </c>
      <c r="C2373" s="353" t="s">
        <v>6</v>
      </c>
      <c r="D2373" s="3" t="s">
        <v>7</v>
      </c>
      <c r="E2373" s="162" t="str">
        <f>A2373&amp;"/"&amp;B2373&amp;"/"&amp;C2373&amp;"/"&amp;D2373</f>
        <v>Coal fired power plants/Integrated gasification combined cycle/Electricity only/L</v>
      </c>
      <c r="F2373" s="77" t="str">
        <f>A2373</f>
        <v>Coal fired power plants</v>
      </c>
      <c r="G2373" s="77" t="str">
        <f>B2373</f>
        <v>Integrated gasification combined cycle</v>
      </c>
      <c r="H2373" s="77" t="str">
        <f>C2373</f>
        <v>Electricity only</v>
      </c>
      <c r="I2373" s="163" t="str">
        <f t="shared" si="118"/>
        <v>L</v>
      </c>
      <c r="J2373" s="93">
        <v>8760</v>
      </c>
      <c r="K2373" s="93">
        <v>8760</v>
      </c>
      <c r="L2373" s="93">
        <v>8760</v>
      </c>
      <c r="M2373" s="93">
        <v>8760</v>
      </c>
      <c r="N2373" s="93">
        <v>8760</v>
      </c>
      <c r="O2373" s="93">
        <v>8760</v>
      </c>
      <c r="P2373" s="93">
        <v>8760</v>
      </c>
      <c r="Q2373" s="93">
        <v>8760</v>
      </c>
      <c r="R2373" s="93">
        <v>8760</v>
      </c>
      <c r="S2373" s="93">
        <v>8760</v>
      </c>
      <c r="T2373" s="93">
        <v>8760</v>
      </c>
      <c r="U2373" s="93">
        <v>8760</v>
      </c>
      <c r="V2373" s="93">
        <v>8760</v>
      </c>
      <c r="W2373" s="93">
        <v>8760</v>
      </c>
      <c r="X2373" s="93">
        <v>8760</v>
      </c>
      <c r="Y2373" s="93">
        <v>8760</v>
      </c>
      <c r="Z2373" s="93">
        <v>8760</v>
      </c>
      <c r="AA2373" s="93">
        <v>8760</v>
      </c>
      <c r="AB2373" s="93">
        <v>8760</v>
      </c>
      <c r="AC2373" s="93">
        <v>8760</v>
      </c>
      <c r="AD2373" s="93">
        <v>8760</v>
      </c>
      <c r="AE2373" s="93">
        <v>8760</v>
      </c>
      <c r="AF2373" s="93">
        <v>8760</v>
      </c>
      <c r="AG2373" s="93">
        <v>8760</v>
      </c>
      <c r="AH2373" s="93">
        <v>8760</v>
      </c>
      <c r="AI2373" s="93">
        <v>8760</v>
      </c>
      <c r="AJ2373" s="93">
        <v>8760</v>
      </c>
      <c r="AK2373" s="93">
        <v>8760</v>
      </c>
      <c r="AL2373" s="93">
        <v>8760</v>
      </c>
      <c r="AM2373" s="93">
        <v>8760</v>
      </c>
      <c r="AN2373" s="93">
        <v>8760</v>
      </c>
      <c r="AO2373" s="93">
        <v>8760</v>
      </c>
      <c r="AP2373" s="93">
        <v>8760</v>
      </c>
      <c r="AQ2373" s="93">
        <v>8760</v>
      </c>
      <c r="AR2373" s="93">
        <v>8760</v>
      </c>
      <c r="AS2373" s="93">
        <v>8760</v>
      </c>
      <c r="AT2373" s="93">
        <v>8760</v>
      </c>
      <c r="AU2373" s="93">
        <v>8760</v>
      </c>
      <c r="AV2373" s="93">
        <v>8760</v>
      </c>
      <c r="AW2373" s="93">
        <v>8760</v>
      </c>
      <c r="AX2373" s="94">
        <v>8760</v>
      </c>
    </row>
    <row r="2374" spans="1:50" x14ac:dyDescent="0.25">
      <c r="A2374" s="356"/>
      <c r="B2374" s="359"/>
      <c r="C2374" s="360"/>
      <c r="D2374" s="2" t="s">
        <v>8</v>
      </c>
      <c r="E2374" s="160" t="str">
        <f>A2373&amp;"/"&amp;B2373&amp;"/"&amp;C2373&amp;"/"&amp;D2374</f>
        <v>Coal fired power plants/Integrated gasification combined cycle/Electricity only/M</v>
      </c>
      <c r="F2374" s="76" t="str">
        <f>A2373</f>
        <v>Coal fired power plants</v>
      </c>
      <c r="G2374" s="76" t="str">
        <f>B2373</f>
        <v>Integrated gasification combined cycle</v>
      </c>
      <c r="H2374" s="76" t="str">
        <f>C2373</f>
        <v>Electricity only</v>
      </c>
      <c r="I2374" s="161" t="str">
        <f t="shared" si="118"/>
        <v>M</v>
      </c>
      <c r="J2374" s="91">
        <v>8109.7205395561359</v>
      </c>
      <c r="K2374" s="91">
        <v>8109.7205395561359</v>
      </c>
      <c r="L2374" s="91">
        <v>8109.7205395561359</v>
      </c>
      <c r="M2374" s="91">
        <v>8109.7205395561359</v>
      </c>
      <c r="N2374" s="91">
        <v>8109.7205395561359</v>
      </c>
      <c r="O2374" s="91">
        <v>8109.7205395561359</v>
      </c>
      <c r="P2374" s="91">
        <v>8109.7205395561359</v>
      </c>
      <c r="Q2374" s="91">
        <v>8109.7205395561359</v>
      </c>
      <c r="R2374" s="91">
        <v>8109.7205395561359</v>
      </c>
      <c r="S2374" s="91">
        <v>8109.7205395561359</v>
      </c>
      <c r="T2374" s="91">
        <v>8109.7205395561359</v>
      </c>
      <c r="U2374" s="91">
        <v>8109.7205395561359</v>
      </c>
      <c r="V2374" s="91">
        <v>8109.7205395561359</v>
      </c>
      <c r="W2374" s="91">
        <v>8109.7205395561359</v>
      </c>
      <c r="X2374" s="91">
        <v>8109.7205395561359</v>
      </c>
      <c r="Y2374" s="91">
        <v>8109.7205395561359</v>
      </c>
      <c r="Z2374" s="91">
        <v>8109.7205395561359</v>
      </c>
      <c r="AA2374" s="91">
        <v>8109.7205395561359</v>
      </c>
      <c r="AB2374" s="91">
        <v>8109.7205395561359</v>
      </c>
      <c r="AC2374" s="91">
        <v>8109.7205395561359</v>
      </c>
      <c r="AD2374" s="91">
        <v>8109.7205395561359</v>
      </c>
      <c r="AE2374" s="91">
        <v>8109.7205395561359</v>
      </c>
      <c r="AF2374" s="91">
        <v>8109.7205395561359</v>
      </c>
      <c r="AG2374" s="91">
        <v>8109.7205395561359</v>
      </c>
      <c r="AH2374" s="91">
        <v>8109.7205395561359</v>
      </c>
      <c r="AI2374" s="91">
        <v>8109.7205395561359</v>
      </c>
      <c r="AJ2374" s="91">
        <v>8109.7205395561359</v>
      </c>
      <c r="AK2374" s="91">
        <v>8109.7205395561359</v>
      </c>
      <c r="AL2374" s="91">
        <v>8109.7205395561359</v>
      </c>
      <c r="AM2374" s="91">
        <v>8109.7205395561359</v>
      </c>
      <c r="AN2374" s="91">
        <v>8109.7205395561359</v>
      </c>
      <c r="AO2374" s="91">
        <v>8109.7205395561359</v>
      </c>
      <c r="AP2374" s="91">
        <v>8109.7205395561359</v>
      </c>
      <c r="AQ2374" s="91">
        <v>8109.7205395561359</v>
      </c>
      <c r="AR2374" s="91">
        <v>8109.7205395561359</v>
      </c>
      <c r="AS2374" s="91">
        <v>8109.7205395561359</v>
      </c>
      <c r="AT2374" s="91">
        <v>8109.7205395561359</v>
      </c>
      <c r="AU2374" s="91">
        <v>8109.7205395561359</v>
      </c>
      <c r="AV2374" s="91">
        <v>8109.7205395561359</v>
      </c>
      <c r="AW2374" s="91">
        <v>8109.7205395561359</v>
      </c>
      <c r="AX2374" s="92">
        <v>8109.7205395561359</v>
      </c>
    </row>
    <row r="2375" spans="1:50" x14ac:dyDescent="0.25">
      <c r="A2375" s="356"/>
      <c r="B2375" s="359"/>
      <c r="C2375" s="361" t="s">
        <v>14</v>
      </c>
      <c r="D2375" s="58" t="s">
        <v>7</v>
      </c>
      <c r="E2375" s="164" t="str">
        <f>A2373&amp;"/"&amp;B2373&amp;"/"&amp;C2375&amp;"/"&amp;D2375</f>
        <v>Coal fired power plants/Integrated gasification combined cycle/CHP/L</v>
      </c>
      <c r="F2375" s="78" t="str">
        <f>A2373</f>
        <v>Coal fired power plants</v>
      </c>
      <c r="G2375" s="78" t="str">
        <f>B2373</f>
        <v>Integrated gasification combined cycle</v>
      </c>
      <c r="H2375" s="78" t="str">
        <f>C2375</f>
        <v>CHP</v>
      </c>
      <c r="I2375" s="165" t="str">
        <f t="shared" si="118"/>
        <v>L</v>
      </c>
      <c r="J2375" s="95">
        <v>8760</v>
      </c>
      <c r="K2375" s="95">
        <v>8760</v>
      </c>
      <c r="L2375" s="95">
        <v>8760</v>
      </c>
      <c r="M2375" s="95">
        <v>8760</v>
      </c>
      <c r="N2375" s="95">
        <v>8760</v>
      </c>
      <c r="O2375" s="95">
        <v>8760</v>
      </c>
      <c r="P2375" s="95">
        <v>8760</v>
      </c>
      <c r="Q2375" s="95">
        <v>8760</v>
      </c>
      <c r="R2375" s="95">
        <v>8760</v>
      </c>
      <c r="S2375" s="95">
        <v>8760</v>
      </c>
      <c r="T2375" s="95">
        <v>8760</v>
      </c>
      <c r="U2375" s="95">
        <v>8760</v>
      </c>
      <c r="V2375" s="95">
        <v>8760</v>
      </c>
      <c r="W2375" s="95">
        <v>8760</v>
      </c>
      <c r="X2375" s="95">
        <v>8760</v>
      </c>
      <c r="Y2375" s="95">
        <v>8760</v>
      </c>
      <c r="Z2375" s="95">
        <v>8760</v>
      </c>
      <c r="AA2375" s="95">
        <v>8760</v>
      </c>
      <c r="AB2375" s="95">
        <v>8760</v>
      </c>
      <c r="AC2375" s="95">
        <v>8760</v>
      </c>
      <c r="AD2375" s="95">
        <v>8760</v>
      </c>
      <c r="AE2375" s="95">
        <v>8760</v>
      </c>
      <c r="AF2375" s="95">
        <v>8760</v>
      </c>
      <c r="AG2375" s="95">
        <v>8760</v>
      </c>
      <c r="AH2375" s="95">
        <v>8760</v>
      </c>
      <c r="AI2375" s="95">
        <v>8760</v>
      </c>
      <c r="AJ2375" s="95">
        <v>8760</v>
      </c>
      <c r="AK2375" s="95">
        <v>8760</v>
      </c>
      <c r="AL2375" s="95">
        <v>8760</v>
      </c>
      <c r="AM2375" s="95">
        <v>8760</v>
      </c>
      <c r="AN2375" s="95">
        <v>8760</v>
      </c>
      <c r="AO2375" s="95">
        <v>8760</v>
      </c>
      <c r="AP2375" s="95">
        <v>8760</v>
      </c>
      <c r="AQ2375" s="95">
        <v>8760</v>
      </c>
      <c r="AR2375" s="95">
        <v>8760</v>
      </c>
      <c r="AS2375" s="95">
        <v>8760</v>
      </c>
      <c r="AT2375" s="95">
        <v>8760</v>
      </c>
      <c r="AU2375" s="95">
        <v>8760</v>
      </c>
      <c r="AV2375" s="95">
        <v>8760</v>
      </c>
      <c r="AW2375" s="95">
        <v>8760</v>
      </c>
      <c r="AX2375" s="96">
        <v>8760</v>
      </c>
    </row>
    <row r="2376" spans="1:50" x14ac:dyDescent="0.25">
      <c r="A2376" s="356"/>
      <c r="B2376" s="359"/>
      <c r="C2376" s="360"/>
      <c r="D2376" s="59" t="s">
        <v>8</v>
      </c>
      <c r="E2376" s="166" t="str">
        <f>A2373&amp;"/"&amp;B2373&amp;"/"&amp;C2375&amp;"/"&amp;D2376</f>
        <v>Coal fired power plants/Integrated gasification combined cycle/CHP/M</v>
      </c>
      <c r="F2376" s="79" t="str">
        <f>A2373</f>
        <v>Coal fired power plants</v>
      </c>
      <c r="G2376" s="79" t="str">
        <f>B2373</f>
        <v>Integrated gasification combined cycle</v>
      </c>
      <c r="H2376" s="79" t="str">
        <f>C2375</f>
        <v>CHP</v>
      </c>
      <c r="I2376" s="167" t="str">
        <f t="shared" si="118"/>
        <v>M</v>
      </c>
      <c r="J2376" s="97">
        <v>7909.2327546795241</v>
      </c>
      <c r="K2376" s="97">
        <v>7909.2327546795241</v>
      </c>
      <c r="L2376" s="97">
        <v>7909.2327546795241</v>
      </c>
      <c r="M2376" s="97">
        <v>7909.2327546795241</v>
      </c>
      <c r="N2376" s="97">
        <v>7909.2327546795241</v>
      </c>
      <c r="O2376" s="97">
        <v>7909.2327546795241</v>
      </c>
      <c r="P2376" s="97">
        <v>7909.2327546795241</v>
      </c>
      <c r="Q2376" s="97">
        <v>7909.2327546795241</v>
      </c>
      <c r="R2376" s="97">
        <v>7909.2327546795241</v>
      </c>
      <c r="S2376" s="97">
        <v>7909.2327546795241</v>
      </c>
      <c r="T2376" s="97">
        <v>7909.2327546795241</v>
      </c>
      <c r="U2376" s="97">
        <v>7909.2327546795241</v>
      </c>
      <c r="V2376" s="97">
        <v>7909.2327546795241</v>
      </c>
      <c r="W2376" s="97">
        <v>7909.2327546795241</v>
      </c>
      <c r="X2376" s="97">
        <v>7909.2327546795241</v>
      </c>
      <c r="Y2376" s="97">
        <v>7909.2327546795241</v>
      </c>
      <c r="Z2376" s="97">
        <v>7909.2327546795241</v>
      </c>
      <c r="AA2376" s="97">
        <v>7909.2327546795241</v>
      </c>
      <c r="AB2376" s="97">
        <v>7909.2327546795241</v>
      </c>
      <c r="AC2376" s="97">
        <v>7909.2327546795241</v>
      </c>
      <c r="AD2376" s="97">
        <v>7909.2327546795241</v>
      </c>
      <c r="AE2376" s="97">
        <v>7909.2327546795241</v>
      </c>
      <c r="AF2376" s="97">
        <v>7909.2327546795241</v>
      </c>
      <c r="AG2376" s="97">
        <v>7909.2327546795241</v>
      </c>
      <c r="AH2376" s="97">
        <v>7909.2327546795241</v>
      </c>
      <c r="AI2376" s="97">
        <v>7909.2327546795241</v>
      </c>
      <c r="AJ2376" s="97">
        <v>7909.2327546795241</v>
      </c>
      <c r="AK2376" s="97">
        <v>7909.2327546795241</v>
      </c>
      <c r="AL2376" s="97">
        <v>7909.2327546795241</v>
      </c>
      <c r="AM2376" s="97">
        <v>7909.2327546795241</v>
      </c>
      <c r="AN2376" s="97">
        <v>7909.2327546795241</v>
      </c>
      <c r="AO2376" s="97">
        <v>7909.2327546795241</v>
      </c>
      <c r="AP2376" s="97">
        <v>7909.2327546795241</v>
      </c>
      <c r="AQ2376" s="97">
        <v>7909.2327546795241</v>
      </c>
      <c r="AR2376" s="97">
        <v>7909.2327546795241</v>
      </c>
      <c r="AS2376" s="97">
        <v>7909.2327546795241</v>
      </c>
      <c r="AT2376" s="97">
        <v>7909.2327546795241</v>
      </c>
      <c r="AU2376" s="97">
        <v>7909.2327546795241</v>
      </c>
      <c r="AV2376" s="97">
        <v>7909.2327546795241</v>
      </c>
      <c r="AW2376" s="97">
        <v>7909.2327546795241</v>
      </c>
      <c r="AX2376" s="98">
        <v>7909.2327546795241</v>
      </c>
    </row>
    <row r="2377" spans="1:50" x14ac:dyDescent="0.25">
      <c r="A2377" s="356"/>
      <c r="B2377" s="359"/>
      <c r="C2377" s="361" t="s">
        <v>15</v>
      </c>
      <c r="D2377" s="58" t="s">
        <v>7</v>
      </c>
      <c r="E2377" s="164" t="str">
        <f>A2373&amp;"/"&amp;B2373&amp;"/"&amp;C2377&amp;"/"&amp;D2377</f>
        <v>Coal fired power plants/Integrated gasification combined cycle/Electricity only with CCS/L</v>
      </c>
      <c r="F2377" s="78" t="str">
        <f>A2373</f>
        <v>Coal fired power plants</v>
      </c>
      <c r="G2377" s="78" t="str">
        <f>B2373</f>
        <v>Integrated gasification combined cycle</v>
      </c>
      <c r="H2377" s="78" t="str">
        <f>C2377</f>
        <v>Electricity only with CCS</v>
      </c>
      <c r="I2377" s="165" t="str">
        <f t="shared" si="118"/>
        <v>L</v>
      </c>
      <c r="J2377" s="95" t="s">
        <v>112</v>
      </c>
      <c r="K2377" s="95" t="s">
        <v>112</v>
      </c>
      <c r="L2377" s="95" t="s">
        <v>112</v>
      </c>
      <c r="M2377" s="95" t="s">
        <v>112</v>
      </c>
      <c r="N2377" s="95" t="s">
        <v>112</v>
      </c>
      <c r="O2377" s="95" t="s">
        <v>112</v>
      </c>
      <c r="P2377" s="95" t="s">
        <v>112</v>
      </c>
      <c r="Q2377" s="95" t="s">
        <v>112</v>
      </c>
      <c r="R2377" s="95" t="s">
        <v>112</v>
      </c>
      <c r="S2377" s="95" t="s">
        <v>112</v>
      </c>
      <c r="T2377" s="95" t="s">
        <v>112</v>
      </c>
      <c r="U2377" s="95" t="s">
        <v>112</v>
      </c>
      <c r="V2377" s="95" t="s">
        <v>112</v>
      </c>
      <c r="W2377" s="95" t="s">
        <v>112</v>
      </c>
      <c r="X2377" s="95" t="s">
        <v>112</v>
      </c>
      <c r="Y2377" s="95" t="s">
        <v>112</v>
      </c>
      <c r="Z2377" s="95" t="s">
        <v>112</v>
      </c>
      <c r="AA2377" s="95" t="s">
        <v>112</v>
      </c>
      <c r="AB2377" s="95" t="s">
        <v>112</v>
      </c>
      <c r="AC2377" s="95" t="s">
        <v>112</v>
      </c>
      <c r="AD2377" s="95" t="s">
        <v>112</v>
      </c>
      <c r="AE2377" s="95">
        <v>8760</v>
      </c>
      <c r="AF2377" s="95">
        <v>8760</v>
      </c>
      <c r="AG2377" s="95">
        <v>8760</v>
      </c>
      <c r="AH2377" s="95">
        <v>8760</v>
      </c>
      <c r="AI2377" s="95">
        <v>8760</v>
      </c>
      <c r="AJ2377" s="95">
        <v>8760</v>
      </c>
      <c r="AK2377" s="95">
        <v>8760</v>
      </c>
      <c r="AL2377" s="95">
        <v>8760</v>
      </c>
      <c r="AM2377" s="95">
        <v>8760</v>
      </c>
      <c r="AN2377" s="95">
        <v>8760</v>
      </c>
      <c r="AO2377" s="95">
        <v>8760</v>
      </c>
      <c r="AP2377" s="95">
        <v>8760</v>
      </c>
      <c r="AQ2377" s="95">
        <v>8760</v>
      </c>
      <c r="AR2377" s="95">
        <v>8760</v>
      </c>
      <c r="AS2377" s="95">
        <v>8760</v>
      </c>
      <c r="AT2377" s="95">
        <v>8760</v>
      </c>
      <c r="AU2377" s="95">
        <v>8760</v>
      </c>
      <c r="AV2377" s="95">
        <v>8760</v>
      </c>
      <c r="AW2377" s="95">
        <v>8760</v>
      </c>
      <c r="AX2377" s="96">
        <v>8760</v>
      </c>
    </row>
    <row r="2378" spans="1:50" x14ac:dyDescent="0.25">
      <c r="A2378" s="356"/>
      <c r="B2378" s="359"/>
      <c r="C2378" s="360"/>
      <c r="D2378" s="59" t="s">
        <v>8</v>
      </c>
      <c r="E2378" s="166" t="str">
        <f>A2373&amp;"/"&amp;B2373&amp;"/"&amp;C2377&amp;"/"&amp;D2378</f>
        <v>Coal fired power plants/Integrated gasification combined cycle/Electricity only with CCS/M</v>
      </c>
      <c r="F2378" s="79" t="str">
        <f>A2373</f>
        <v>Coal fired power plants</v>
      </c>
      <c r="G2378" s="79" t="str">
        <f>B2373</f>
        <v>Integrated gasification combined cycle</v>
      </c>
      <c r="H2378" s="79" t="str">
        <f>C2377</f>
        <v>Electricity only with CCS</v>
      </c>
      <c r="I2378" s="167" t="str">
        <f t="shared" si="118"/>
        <v>M</v>
      </c>
      <c r="J2378" s="97" t="s">
        <v>112</v>
      </c>
      <c r="K2378" s="97" t="s">
        <v>112</v>
      </c>
      <c r="L2378" s="97" t="s">
        <v>112</v>
      </c>
      <c r="M2378" s="97" t="s">
        <v>112</v>
      </c>
      <c r="N2378" s="97" t="s">
        <v>112</v>
      </c>
      <c r="O2378" s="97" t="s">
        <v>112</v>
      </c>
      <c r="P2378" s="97" t="s">
        <v>112</v>
      </c>
      <c r="Q2378" s="97" t="s">
        <v>112</v>
      </c>
      <c r="R2378" s="97" t="s">
        <v>112</v>
      </c>
      <c r="S2378" s="97" t="s">
        <v>112</v>
      </c>
      <c r="T2378" s="97" t="s">
        <v>112</v>
      </c>
      <c r="U2378" s="97" t="s">
        <v>112</v>
      </c>
      <c r="V2378" s="97" t="s">
        <v>112</v>
      </c>
      <c r="W2378" s="97" t="s">
        <v>112</v>
      </c>
      <c r="X2378" s="97" t="s">
        <v>112</v>
      </c>
      <c r="Y2378" s="97" t="s">
        <v>112</v>
      </c>
      <c r="Z2378" s="97" t="s">
        <v>112</v>
      </c>
      <c r="AA2378" s="97" t="s">
        <v>112</v>
      </c>
      <c r="AB2378" s="97" t="s">
        <v>112</v>
      </c>
      <c r="AC2378" s="97" t="s">
        <v>112</v>
      </c>
      <c r="AD2378" s="97" t="s">
        <v>112</v>
      </c>
      <c r="AE2378" s="97">
        <v>8109.7205395561359</v>
      </c>
      <c r="AF2378" s="97">
        <v>8109.7205395561359</v>
      </c>
      <c r="AG2378" s="97">
        <v>8109.7205395561359</v>
      </c>
      <c r="AH2378" s="97">
        <v>8109.7205395561359</v>
      </c>
      <c r="AI2378" s="97">
        <v>8109.7205395561359</v>
      </c>
      <c r="AJ2378" s="97">
        <v>8109.7205395561359</v>
      </c>
      <c r="AK2378" s="97">
        <v>8109.7205395561359</v>
      </c>
      <c r="AL2378" s="97">
        <v>8109.7205395561359</v>
      </c>
      <c r="AM2378" s="97">
        <v>8109.7205395561359</v>
      </c>
      <c r="AN2378" s="97">
        <v>8109.7205395561359</v>
      </c>
      <c r="AO2378" s="97">
        <v>8109.7205395561359</v>
      </c>
      <c r="AP2378" s="97">
        <v>8109.7205395561359</v>
      </c>
      <c r="AQ2378" s="97">
        <v>8109.7205395561359</v>
      </c>
      <c r="AR2378" s="97">
        <v>8109.7205395561359</v>
      </c>
      <c r="AS2378" s="97">
        <v>8109.7205395561359</v>
      </c>
      <c r="AT2378" s="97">
        <v>8109.7205395561359</v>
      </c>
      <c r="AU2378" s="97">
        <v>8109.7205395561359</v>
      </c>
      <c r="AV2378" s="97">
        <v>8109.7205395561359</v>
      </c>
      <c r="AW2378" s="97">
        <v>8109.7205395561359</v>
      </c>
      <c r="AX2378" s="98">
        <v>8109.7205395561359</v>
      </c>
    </row>
    <row r="2379" spans="1:50" x14ac:dyDescent="0.25">
      <c r="A2379" s="356"/>
      <c r="B2379" s="359"/>
      <c r="C2379" s="361" t="s">
        <v>16</v>
      </c>
      <c r="D2379" s="2" t="s">
        <v>7</v>
      </c>
      <c r="E2379" s="160" t="str">
        <f>A2373&amp;"/"&amp;B2373&amp;"/"&amp;C2379&amp;"/"&amp;D2379</f>
        <v>Coal fired power plants/Integrated gasification combined cycle/CHP with CCS/L</v>
      </c>
      <c r="F2379" s="76" t="str">
        <f>A2373</f>
        <v>Coal fired power plants</v>
      </c>
      <c r="G2379" s="76" t="str">
        <f>B2373</f>
        <v>Integrated gasification combined cycle</v>
      </c>
      <c r="H2379" s="76" t="str">
        <f>C2379</f>
        <v>CHP with CCS</v>
      </c>
      <c r="I2379" s="161" t="str">
        <f t="shared" si="118"/>
        <v>L</v>
      </c>
      <c r="J2379" s="91" t="s">
        <v>112</v>
      </c>
      <c r="K2379" s="91" t="s">
        <v>112</v>
      </c>
      <c r="L2379" s="91" t="s">
        <v>112</v>
      </c>
      <c r="M2379" s="91" t="s">
        <v>112</v>
      </c>
      <c r="N2379" s="91" t="s">
        <v>112</v>
      </c>
      <c r="O2379" s="91" t="s">
        <v>112</v>
      </c>
      <c r="P2379" s="91" t="s">
        <v>112</v>
      </c>
      <c r="Q2379" s="91" t="s">
        <v>112</v>
      </c>
      <c r="R2379" s="91" t="s">
        <v>112</v>
      </c>
      <c r="S2379" s="91" t="s">
        <v>112</v>
      </c>
      <c r="T2379" s="91" t="s">
        <v>112</v>
      </c>
      <c r="U2379" s="91" t="s">
        <v>112</v>
      </c>
      <c r="V2379" s="91" t="s">
        <v>112</v>
      </c>
      <c r="W2379" s="91" t="s">
        <v>112</v>
      </c>
      <c r="X2379" s="91" t="s">
        <v>112</v>
      </c>
      <c r="Y2379" s="91" t="s">
        <v>112</v>
      </c>
      <c r="Z2379" s="91" t="s">
        <v>112</v>
      </c>
      <c r="AA2379" s="91" t="s">
        <v>112</v>
      </c>
      <c r="AB2379" s="91" t="s">
        <v>112</v>
      </c>
      <c r="AC2379" s="91" t="s">
        <v>112</v>
      </c>
      <c r="AD2379" s="91" t="s">
        <v>112</v>
      </c>
      <c r="AE2379" s="91">
        <v>8760</v>
      </c>
      <c r="AF2379" s="91">
        <v>8760</v>
      </c>
      <c r="AG2379" s="91">
        <v>8760</v>
      </c>
      <c r="AH2379" s="91">
        <v>8760</v>
      </c>
      <c r="AI2379" s="91">
        <v>8760</v>
      </c>
      <c r="AJ2379" s="91">
        <v>8760</v>
      </c>
      <c r="AK2379" s="91">
        <v>8760</v>
      </c>
      <c r="AL2379" s="91">
        <v>8760</v>
      </c>
      <c r="AM2379" s="91">
        <v>8760</v>
      </c>
      <c r="AN2379" s="91">
        <v>8760</v>
      </c>
      <c r="AO2379" s="91">
        <v>8760</v>
      </c>
      <c r="AP2379" s="91">
        <v>8760</v>
      </c>
      <c r="AQ2379" s="91">
        <v>8760</v>
      </c>
      <c r="AR2379" s="91">
        <v>8760</v>
      </c>
      <c r="AS2379" s="91">
        <v>8760</v>
      </c>
      <c r="AT2379" s="91">
        <v>8760</v>
      </c>
      <c r="AU2379" s="91">
        <v>8760</v>
      </c>
      <c r="AV2379" s="91">
        <v>8760</v>
      </c>
      <c r="AW2379" s="91">
        <v>8760</v>
      </c>
      <c r="AX2379" s="92">
        <v>8760</v>
      </c>
    </row>
    <row r="2380" spans="1:50" x14ac:dyDescent="0.25">
      <c r="A2380" s="356"/>
      <c r="B2380" s="362"/>
      <c r="C2380" s="354"/>
      <c r="D2380" s="4" t="s">
        <v>8</v>
      </c>
      <c r="E2380" s="168" t="str">
        <f>A2373&amp;"/"&amp;B2373&amp;"/"&amp;C2379&amp;"/"&amp;D2380</f>
        <v>Coal fired power plants/Integrated gasification combined cycle/CHP with CCS/M</v>
      </c>
      <c r="F2380" s="80" t="str">
        <f>A2373</f>
        <v>Coal fired power plants</v>
      </c>
      <c r="G2380" s="80" t="str">
        <f>B2373</f>
        <v>Integrated gasification combined cycle</v>
      </c>
      <c r="H2380" s="80" t="str">
        <f>C2379</f>
        <v>CHP with CCS</v>
      </c>
      <c r="I2380" s="169" t="str">
        <f t="shared" si="118"/>
        <v>M</v>
      </c>
      <c r="J2380" s="99" t="s">
        <v>112</v>
      </c>
      <c r="K2380" s="99" t="s">
        <v>112</v>
      </c>
      <c r="L2380" s="99" t="s">
        <v>112</v>
      </c>
      <c r="M2380" s="99" t="s">
        <v>112</v>
      </c>
      <c r="N2380" s="99" t="s">
        <v>112</v>
      </c>
      <c r="O2380" s="99" t="s">
        <v>112</v>
      </c>
      <c r="P2380" s="99" t="s">
        <v>112</v>
      </c>
      <c r="Q2380" s="99" t="s">
        <v>112</v>
      </c>
      <c r="R2380" s="99" t="s">
        <v>112</v>
      </c>
      <c r="S2380" s="99" t="s">
        <v>112</v>
      </c>
      <c r="T2380" s="99" t="s">
        <v>112</v>
      </c>
      <c r="U2380" s="99" t="s">
        <v>112</v>
      </c>
      <c r="V2380" s="99" t="s">
        <v>112</v>
      </c>
      <c r="W2380" s="99" t="s">
        <v>112</v>
      </c>
      <c r="X2380" s="99" t="s">
        <v>112</v>
      </c>
      <c r="Y2380" s="99" t="s">
        <v>112</v>
      </c>
      <c r="Z2380" s="99" t="s">
        <v>112</v>
      </c>
      <c r="AA2380" s="99" t="s">
        <v>112</v>
      </c>
      <c r="AB2380" s="99" t="s">
        <v>112</v>
      </c>
      <c r="AC2380" s="99" t="s">
        <v>112</v>
      </c>
      <c r="AD2380" s="99" t="s">
        <v>112</v>
      </c>
      <c r="AE2380" s="99">
        <v>7909.2327546795241</v>
      </c>
      <c r="AF2380" s="99">
        <v>7909.2327546795241</v>
      </c>
      <c r="AG2380" s="99">
        <v>7909.2327546795241</v>
      </c>
      <c r="AH2380" s="99">
        <v>7909.2327546795241</v>
      </c>
      <c r="AI2380" s="99">
        <v>7909.2327546795241</v>
      </c>
      <c r="AJ2380" s="99">
        <v>7909.2327546795241</v>
      </c>
      <c r="AK2380" s="99">
        <v>7909.2327546795241</v>
      </c>
      <c r="AL2380" s="99">
        <v>7909.2327546795241</v>
      </c>
      <c r="AM2380" s="99">
        <v>7909.2327546795241</v>
      </c>
      <c r="AN2380" s="99">
        <v>7909.2327546795241</v>
      </c>
      <c r="AO2380" s="99">
        <v>7909.2327546795241</v>
      </c>
      <c r="AP2380" s="99">
        <v>7909.2327546795241</v>
      </c>
      <c r="AQ2380" s="99">
        <v>7909.2327546795241</v>
      </c>
      <c r="AR2380" s="99">
        <v>7909.2327546795241</v>
      </c>
      <c r="AS2380" s="99">
        <v>7909.2327546795241</v>
      </c>
      <c r="AT2380" s="99">
        <v>7909.2327546795241</v>
      </c>
      <c r="AU2380" s="99">
        <v>7909.2327546795241</v>
      </c>
      <c r="AV2380" s="99">
        <v>7909.2327546795241</v>
      </c>
      <c r="AW2380" s="99">
        <v>7909.2327546795241</v>
      </c>
      <c r="AX2380" s="100">
        <v>7909.2327546795241</v>
      </c>
    </row>
    <row r="2381" spans="1:50" x14ac:dyDescent="0.25">
      <c r="A2381" s="356"/>
      <c r="B2381" s="358" t="s">
        <v>17</v>
      </c>
      <c r="C2381" s="353" t="s">
        <v>6</v>
      </c>
      <c r="D2381" s="3" t="s">
        <v>7</v>
      </c>
      <c r="E2381" s="162" t="str">
        <f>A2373&amp;"/"&amp;B2381&amp;"/"&amp;C2381&amp;"/"&amp;D2381</f>
        <v>Coal fired power plants/Supercritical steam turbine/Electricity only/L</v>
      </c>
      <c r="F2381" s="77" t="str">
        <f>A2373</f>
        <v>Coal fired power plants</v>
      </c>
      <c r="G2381" s="77" t="str">
        <f>B2381</f>
        <v>Supercritical steam turbine</v>
      </c>
      <c r="H2381" s="77" t="str">
        <f>C2381</f>
        <v>Electricity only</v>
      </c>
      <c r="I2381" s="163" t="str">
        <f t="shared" si="118"/>
        <v>L</v>
      </c>
      <c r="J2381" s="93">
        <v>8760</v>
      </c>
      <c r="K2381" s="93">
        <v>8760</v>
      </c>
      <c r="L2381" s="93">
        <v>8760</v>
      </c>
      <c r="M2381" s="93">
        <v>8760</v>
      </c>
      <c r="N2381" s="93">
        <v>8760</v>
      </c>
      <c r="O2381" s="93">
        <v>8760</v>
      </c>
      <c r="P2381" s="93">
        <v>8760</v>
      </c>
      <c r="Q2381" s="93">
        <v>8760</v>
      </c>
      <c r="R2381" s="93">
        <v>8760</v>
      </c>
      <c r="S2381" s="93">
        <v>8760</v>
      </c>
      <c r="T2381" s="93">
        <v>8760</v>
      </c>
      <c r="U2381" s="93">
        <v>8760</v>
      </c>
      <c r="V2381" s="93">
        <v>8760</v>
      </c>
      <c r="W2381" s="93">
        <v>8760</v>
      </c>
      <c r="X2381" s="93">
        <v>8760</v>
      </c>
      <c r="Y2381" s="93">
        <v>8760</v>
      </c>
      <c r="Z2381" s="93">
        <v>8760</v>
      </c>
      <c r="AA2381" s="93">
        <v>8760</v>
      </c>
      <c r="AB2381" s="93">
        <v>8760</v>
      </c>
      <c r="AC2381" s="93">
        <v>8760</v>
      </c>
      <c r="AD2381" s="93">
        <v>8760</v>
      </c>
      <c r="AE2381" s="93">
        <v>8760</v>
      </c>
      <c r="AF2381" s="93">
        <v>8760</v>
      </c>
      <c r="AG2381" s="93">
        <v>8760</v>
      </c>
      <c r="AH2381" s="93">
        <v>8760</v>
      </c>
      <c r="AI2381" s="93">
        <v>8760</v>
      </c>
      <c r="AJ2381" s="93">
        <v>8760</v>
      </c>
      <c r="AK2381" s="93">
        <v>8760</v>
      </c>
      <c r="AL2381" s="93">
        <v>8760</v>
      </c>
      <c r="AM2381" s="93">
        <v>8760</v>
      </c>
      <c r="AN2381" s="93">
        <v>8760</v>
      </c>
      <c r="AO2381" s="93">
        <v>8760</v>
      </c>
      <c r="AP2381" s="93">
        <v>8760</v>
      </c>
      <c r="AQ2381" s="93">
        <v>8760</v>
      </c>
      <c r="AR2381" s="93">
        <v>8760</v>
      </c>
      <c r="AS2381" s="93">
        <v>8760</v>
      </c>
      <c r="AT2381" s="93">
        <v>8760</v>
      </c>
      <c r="AU2381" s="93">
        <v>8760</v>
      </c>
      <c r="AV2381" s="93">
        <v>8760</v>
      </c>
      <c r="AW2381" s="93">
        <v>8760</v>
      </c>
      <c r="AX2381" s="94">
        <v>8760</v>
      </c>
    </row>
    <row r="2382" spans="1:50" x14ac:dyDescent="0.25">
      <c r="A2382" s="356"/>
      <c r="B2382" s="359"/>
      <c r="C2382" s="360"/>
      <c r="D2382" s="2" t="s">
        <v>8</v>
      </c>
      <c r="E2382" s="160" t="str">
        <f>A2373&amp;"/"&amp;B2381&amp;"/"&amp;C2381&amp;"/"&amp;D2382</f>
        <v>Coal fired power plants/Supercritical steam turbine/Electricity only/M</v>
      </c>
      <c r="F2382" s="76" t="str">
        <f>A2373</f>
        <v>Coal fired power plants</v>
      </c>
      <c r="G2382" s="76" t="str">
        <f>B2381</f>
        <v>Supercritical steam turbine</v>
      </c>
      <c r="H2382" s="76" t="str">
        <f>C2381</f>
        <v>Electricity only</v>
      </c>
      <c r="I2382" s="161" t="str">
        <f t="shared" si="118"/>
        <v>M</v>
      </c>
      <c r="J2382" s="91">
        <v>8202.9602199209512</v>
      </c>
      <c r="K2382" s="91">
        <v>8202.9602199209512</v>
      </c>
      <c r="L2382" s="91">
        <v>8202.9602199209512</v>
      </c>
      <c r="M2382" s="91">
        <v>8202.9602199209512</v>
      </c>
      <c r="N2382" s="91">
        <v>8202.9602199209512</v>
      </c>
      <c r="O2382" s="91">
        <v>8202.9602199209512</v>
      </c>
      <c r="P2382" s="91">
        <v>8202.9602199209512</v>
      </c>
      <c r="Q2382" s="91">
        <v>8202.9602199209512</v>
      </c>
      <c r="R2382" s="91">
        <v>8202.9602199209512</v>
      </c>
      <c r="S2382" s="91">
        <v>8202.9602199209512</v>
      </c>
      <c r="T2382" s="91">
        <v>8202.9602199209512</v>
      </c>
      <c r="U2382" s="91">
        <v>8202.9602199209512</v>
      </c>
      <c r="V2382" s="91">
        <v>8202.9602199209512</v>
      </c>
      <c r="W2382" s="91">
        <v>8202.9602199209512</v>
      </c>
      <c r="X2382" s="91">
        <v>8202.9602199209512</v>
      </c>
      <c r="Y2382" s="91">
        <v>8202.9602199209512</v>
      </c>
      <c r="Z2382" s="91">
        <v>8202.9602199209512</v>
      </c>
      <c r="AA2382" s="91">
        <v>8202.9602199209512</v>
      </c>
      <c r="AB2382" s="91">
        <v>8202.9602199209512</v>
      </c>
      <c r="AC2382" s="91">
        <v>8202.9602199209512</v>
      </c>
      <c r="AD2382" s="91">
        <v>8202.9602199209512</v>
      </c>
      <c r="AE2382" s="91">
        <v>8202.9602199209512</v>
      </c>
      <c r="AF2382" s="91">
        <v>8202.9602199209512</v>
      </c>
      <c r="AG2382" s="91">
        <v>8202.9602199209512</v>
      </c>
      <c r="AH2382" s="91">
        <v>8202.9602199209512</v>
      </c>
      <c r="AI2382" s="91">
        <v>8202.9602199209512</v>
      </c>
      <c r="AJ2382" s="91">
        <v>8202.9602199209512</v>
      </c>
      <c r="AK2382" s="91">
        <v>8202.9602199209512</v>
      </c>
      <c r="AL2382" s="91">
        <v>8202.9602199209512</v>
      </c>
      <c r="AM2382" s="91">
        <v>8202.9602199209512</v>
      </c>
      <c r="AN2382" s="91">
        <v>8202.9602199209512</v>
      </c>
      <c r="AO2382" s="91">
        <v>8202.9602199209512</v>
      </c>
      <c r="AP2382" s="91">
        <v>8202.9602199209512</v>
      </c>
      <c r="AQ2382" s="91">
        <v>8202.9602199209512</v>
      </c>
      <c r="AR2382" s="91">
        <v>8202.9602199209512</v>
      </c>
      <c r="AS2382" s="91">
        <v>8202.9602199209512</v>
      </c>
      <c r="AT2382" s="91">
        <v>8202.9602199209512</v>
      </c>
      <c r="AU2382" s="91">
        <v>8202.9602199209512</v>
      </c>
      <c r="AV2382" s="91">
        <v>8202.9602199209512</v>
      </c>
      <c r="AW2382" s="91">
        <v>8202.9602199209512</v>
      </c>
      <c r="AX2382" s="92">
        <v>8202.9602199209512</v>
      </c>
    </row>
    <row r="2383" spans="1:50" x14ac:dyDescent="0.25">
      <c r="A2383" s="356"/>
      <c r="B2383" s="359"/>
      <c r="C2383" s="361" t="s">
        <v>14</v>
      </c>
      <c r="D2383" s="58" t="s">
        <v>7</v>
      </c>
      <c r="E2383" s="164" t="str">
        <f>A2373&amp;"/"&amp;B2381&amp;"/"&amp;C2383&amp;"/"&amp;D2383</f>
        <v>Coal fired power plants/Supercritical steam turbine/CHP/L</v>
      </c>
      <c r="F2383" s="78" t="str">
        <f>A2373</f>
        <v>Coal fired power plants</v>
      </c>
      <c r="G2383" s="78" t="str">
        <f>B2381</f>
        <v>Supercritical steam turbine</v>
      </c>
      <c r="H2383" s="78" t="str">
        <f>C2383</f>
        <v>CHP</v>
      </c>
      <c r="I2383" s="165" t="str">
        <f t="shared" si="118"/>
        <v>L</v>
      </c>
      <c r="J2383" s="95">
        <v>8760</v>
      </c>
      <c r="K2383" s="95">
        <v>8760</v>
      </c>
      <c r="L2383" s="95">
        <v>8760</v>
      </c>
      <c r="M2383" s="95">
        <v>8760</v>
      </c>
      <c r="N2383" s="95">
        <v>8760</v>
      </c>
      <c r="O2383" s="95">
        <v>8760</v>
      </c>
      <c r="P2383" s="95">
        <v>8760</v>
      </c>
      <c r="Q2383" s="95">
        <v>8760</v>
      </c>
      <c r="R2383" s="95">
        <v>8760</v>
      </c>
      <c r="S2383" s="95">
        <v>8760</v>
      </c>
      <c r="T2383" s="95">
        <v>8760</v>
      </c>
      <c r="U2383" s="95">
        <v>8760</v>
      </c>
      <c r="V2383" s="95">
        <v>8760</v>
      </c>
      <c r="W2383" s="95">
        <v>8760</v>
      </c>
      <c r="X2383" s="95">
        <v>8760</v>
      </c>
      <c r="Y2383" s="95">
        <v>8760</v>
      </c>
      <c r="Z2383" s="95">
        <v>8760</v>
      </c>
      <c r="AA2383" s="95">
        <v>8760</v>
      </c>
      <c r="AB2383" s="95">
        <v>8760</v>
      </c>
      <c r="AC2383" s="95">
        <v>8760</v>
      </c>
      <c r="AD2383" s="95">
        <v>8760</v>
      </c>
      <c r="AE2383" s="95">
        <v>8760</v>
      </c>
      <c r="AF2383" s="95">
        <v>8760</v>
      </c>
      <c r="AG2383" s="95">
        <v>8760</v>
      </c>
      <c r="AH2383" s="95">
        <v>8760</v>
      </c>
      <c r="AI2383" s="95">
        <v>8760</v>
      </c>
      <c r="AJ2383" s="95">
        <v>8760</v>
      </c>
      <c r="AK2383" s="95">
        <v>8760</v>
      </c>
      <c r="AL2383" s="95">
        <v>8760</v>
      </c>
      <c r="AM2383" s="95">
        <v>8760</v>
      </c>
      <c r="AN2383" s="95">
        <v>8760</v>
      </c>
      <c r="AO2383" s="95">
        <v>8760</v>
      </c>
      <c r="AP2383" s="95">
        <v>8760</v>
      </c>
      <c r="AQ2383" s="95">
        <v>8760</v>
      </c>
      <c r="AR2383" s="95">
        <v>8760</v>
      </c>
      <c r="AS2383" s="95">
        <v>8760</v>
      </c>
      <c r="AT2383" s="95">
        <v>8760</v>
      </c>
      <c r="AU2383" s="95">
        <v>8760</v>
      </c>
      <c r="AV2383" s="95">
        <v>8760</v>
      </c>
      <c r="AW2383" s="95">
        <v>8760</v>
      </c>
      <c r="AX2383" s="96">
        <v>8760</v>
      </c>
    </row>
    <row r="2384" spans="1:50" x14ac:dyDescent="0.25">
      <c r="A2384" s="356"/>
      <c r="B2384" s="359"/>
      <c r="C2384" s="360"/>
      <c r="D2384" s="59" t="s">
        <v>8</v>
      </c>
      <c r="E2384" s="166" t="str">
        <f>A2373&amp;"/"&amp;B2381&amp;"/"&amp;C2383&amp;"/"&amp;D2384</f>
        <v>Coal fired power plants/Supercritical steam turbine/CHP/M</v>
      </c>
      <c r="F2384" s="79" t="str">
        <f>A2373</f>
        <v>Coal fired power plants</v>
      </c>
      <c r="G2384" s="79" t="str">
        <f>B2381</f>
        <v>Supercritical steam turbine</v>
      </c>
      <c r="H2384" s="79" t="str">
        <f>C2383</f>
        <v>CHP</v>
      </c>
      <c r="I2384" s="167" t="str">
        <f t="shared" si="118"/>
        <v>M</v>
      </c>
      <c r="J2384" s="97">
        <v>8214.321704229118</v>
      </c>
      <c r="K2384" s="97">
        <v>8214.321704229118</v>
      </c>
      <c r="L2384" s="97">
        <v>8214.321704229118</v>
      </c>
      <c r="M2384" s="97">
        <v>8214.321704229118</v>
      </c>
      <c r="N2384" s="97">
        <v>8214.321704229118</v>
      </c>
      <c r="O2384" s="97">
        <v>8214.321704229118</v>
      </c>
      <c r="P2384" s="97">
        <v>8214.321704229118</v>
      </c>
      <c r="Q2384" s="97">
        <v>8214.321704229118</v>
      </c>
      <c r="R2384" s="97">
        <v>8214.321704229118</v>
      </c>
      <c r="S2384" s="97">
        <v>8214.321704229118</v>
      </c>
      <c r="T2384" s="97">
        <v>8214.321704229118</v>
      </c>
      <c r="U2384" s="97">
        <v>8214.321704229118</v>
      </c>
      <c r="V2384" s="97">
        <v>8214.321704229118</v>
      </c>
      <c r="W2384" s="97">
        <v>8214.321704229118</v>
      </c>
      <c r="X2384" s="97">
        <v>8214.321704229118</v>
      </c>
      <c r="Y2384" s="97">
        <v>8214.321704229118</v>
      </c>
      <c r="Z2384" s="97">
        <v>8214.321704229118</v>
      </c>
      <c r="AA2384" s="97">
        <v>8214.321704229118</v>
      </c>
      <c r="AB2384" s="97">
        <v>8214.321704229118</v>
      </c>
      <c r="AC2384" s="97">
        <v>8214.321704229118</v>
      </c>
      <c r="AD2384" s="97">
        <v>8214.321704229118</v>
      </c>
      <c r="AE2384" s="97">
        <v>8214.321704229118</v>
      </c>
      <c r="AF2384" s="97">
        <v>8214.321704229118</v>
      </c>
      <c r="AG2384" s="97">
        <v>8214.321704229118</v>
      </c>
      <c r="AH2384" s="97">
        <v>8214.321704229118</v>
      </c>
      <c r="AI2384" s="97">
        <v>8214.321704229118</v>
      </c>
      <c r="AJ2384" s="97">
        <v>8214.321704229118</v>
      </c>
      <c r="AK2384" s="97">
        <v>8214.321704229118</v>
      </c>
      <c r="AL2384" s="97">
        <v>8214.321704229118</v>
      </c>
      <c r="AM2384" s="97">
        <v>8214.321704229118</v>
      </c>
      <c r="AN2384" s="97">
        <v>8214.321704229118</v>
      </c>
      <c r="AO2384" s="97">
        <v>8214.321704229118</v>
      </c>
      <c r="AP2384" s="97">
        <v>8214.321704229118</v>
      </c>
      <c r="AQ2384" s="97">
        <v>8214.321704229118</v>
      </c>
      <c r="AR2384" s="97">
        <v>8214.321704229118</v>
      </c>
      <c r="AS2384" s="97">
        <v>8214.321704229118</v>
      </c>
      <c r="AT2384" s="97">
        <v>8214.321704229118</v>
      </c>
      <c r="AU2384" s="97">
        <v>8214.321704229118</v>
      </c>
      <c r="AV2384" s="97">
        <v>8214.321704229118</v>
      </c>
      <c r="AW2384" s="97">
        <v>8214.321704229118</v>
      </c>
      <c r="AX2384" s="98">
        <v>8214.321704229118</v>
      </c>
    </row>
    <row r="2385" spans="1:50" x14ac:dyDescent="0.25">
      <c r="A2385" s="356"/>
      <c r="B2385" s="359"/>
      <c r="C2385" s="361" t="s">
        <v>15</v>
      </c>
      <c r="D2385" s="58" t="s">
        <v>7</v>
      </c>
      <c r="E2385" s="164" t="str">
        <f>A2373&amp;"/"&amp;B2381&amp;"/"&amp;C2385&amp;"/"&amp;D2385</f>
        <v>Coal fired power plants/Supercritical steam turbine/Electricity only with CCS/L</v>
      </c>
      <c r="F2385" s="78" t="str">
        <f>A2373</f>
        <v>Coal fired power plants</v>
      </c>
      <c r="G2385" s="78" t="str">
        <f>B2381</f>
        <v>Supercritical steam turbine</v>
      </c>
      <c r="H2385" s="78" t="str">
        <f>C2385</f>
        <v>Electricity only with CCS</v>
      </c>
      <c r="I2385" s="165" t="str">
        <f t="shared" si="118"/>
        <v>L</v>
      </c>
      <c r="J2385" s="95" t="s">
        <v>112</v>
      </c>
      <c r="K2385" s="95" t="s">
        <v>112</v>
      </c>
      <c r="L2385" s="95" t="s">
        <v>112</v>
      </c>
      <c r="M2385" s="95" t="s">
        <v>112</v>
      </c>
      <c r="N2385" s="95" t="s">
        <v>112</v>
      </c>
      <c r="O2385" s="95" t="s">
        <v>112</v>
      </c>
      <c r="P2385" s="95" t="s">
        <v>112</v>
      </c>
      <c r="Q2385" s="95" t="s">
        <v>112</v>
      </c>
      <c r="R2385" s="95" t="s">
        <v>112</v>
      </c>
      <c r="S2385" s="95" t="s">
        <v>112</v>
      </c>
      <c r="T2385" s="95" t="s">
        <v>112</v>
      </c>
      <c r="U2385" s="95" t="s">
        <v>112</v>
      </c>
      <c r="V2385" s="95" t="s">
        <v>112</v>
      </c>
      <c r="W2385" s="95" t="s">
        <v>112</v>
      </c>
      <c r="X2385" s="95" t="s">
        <v>112</v>
      </c>
      <c r="Y2385" s="95" t="s">
        <v>112</v>
      </c>
      <c r="Z2385" s="95" t="s">
        <v>112</v>
      </c>
      <c r="AA2385" s="95" t="s">
        <v>112</v>
      </c>
      <c r="AB2385" s="95" t="s">
        <v>112</v>
      </c>
      <c r="AC2385" s="95" t="s">
        <v>112</v>
      </c>
      <c r="AD2385" s="95" t="s">
        <v>112</v>
      </c>
      <c r="AE2385" s="95">
        <v>8760</v>
      </c>
      <c r="AF2385" s="95">
        <v>8760</v>
      </c>
      <c r="AG2385" s="95">
        <v>8760</v>
      </c>
      <c r="AH2385" s="95">
        <v>8760</v>
      </c>
      <c r="AI2385" s="95">
        <v>8760</v>
      </c>
      <c r="AJ2385" s="95">
        <v>8760</v>
      </c>
      <c r="AK2385" s="95">
        <v>8760</v>
      </c>
      <c r="AL2385" s="95">
        <v>8760</v>
      </c>
      <c r="AM2385" s="95">
        <v>8760</v>
      </c>
      <c r="AN2385" s="95">
        <v>8760</v>
      </c>
      <c r="AO2385" s="95">
        <v>8760</v>
      </c>
      <c r="AP2385" s="95">
        <v>8760</v>
      </c>
      <c r="AQ2385" s="95">
        <v>8760</v>
      </c>
      <c r="AR2385" s="95">
        <v>8760</v>
      </c>
      <c r="AS2385" s="95">
        <v>8760</v>
      </c>
      <c r="AT2385" s="95">
        <v>8760</v>
      </c>
      <c r="AU2385" s="95">
        <v>8760</v>
      </c>
      <c r="AV2385" s="95">
        <v>8760</v>
      </c>
      <c r="AW2385" s="95">
        <v>8760</v>
      </c>
      <c r="AX2385" s="96">
        <v>8760</v>
      </c>
    </row>
    <row r="2386" spans="1:50" x14ac:dyDescent="0.25">
      <c r="A2386" s="356"/>
      <c r="B2386" s="359"/>
      <c r="C2386" s="360"/>
      <c r="D2386" s="59" t="s">
        <v>8</v>
      </c>
      <c r="E2386" s="166" t="str">
        <f>A2373&amp;"/"&amp;B2381&amp;"/"&amp;C2385&amp;"/"&amp;D2386</f>
        <v>Coal fired power plants/Supercritical steam turbine/Electricity only with CCS/M</v>
      </c>
      <c r="F2386" s="79" t="str">
        <f>A2373</f>
        <v>Coal fired power plants</v>
      </c>
      <c r="G2386" s="79" t="str">
        <f>B2381</f>
        <v>Supercritical steam turbine</v>
      </c>
      <c r="H2386" s="79" t="str">
        <f>C2385</f>
        <v>Electricity only with CCS</v>
      </c>
      <c r="I2386" s="167" t="str">
        <f t="shared" si="118"/>
        <v>M</v>
      </c>
      <c r="J2386" s="97" t="s">
        <v>112</v>
      </c>
      <c r="K2386" s="97" t="s">
        <v>112</v>
      </c>
      <c r="L2386" s="97" t="s">
        <v>112</v>
      </c>
      <c r="M2386" s="97" t="s">
        <v>112</v>
      </c>
      <c r="N2386" s="97" t="s">
        <v>112</v>
      </c>
      <c r="O2386" s="97" t="s">
        <v>112</v>
      </c>
      <c r="P2386" s="97" t="s">
        <v>112</v>
      </c>
      <c r="Q2386" s="97" t="s">
        <v>112</v>
      </c>
      <c r="R2386" s="97" t="s">
        <v>112</v>
      </c>
      <c r="S2386" s="97" t="s">
        <v>112</v>
      </c>
      <c r="T2386" s="97" t="s">
        <v>112</v>
      </c>
      <c r="U2386" s="97" t="s">
        <v>112</v>
      </c>
      <c r="V2386" s="97" t="s">
        <v>112</v>
      </c>
      <c r="W2386" s="97" t="s">
        <v>112</v>
      </c>
      <c r="X2386" s="97" t="s">
        <v>112</v>
      </c>
      <c r="Y2386" s="97" t="s">
        <v>112</v>
      </c>
      <c r="Z2386" s="97" t="s">
        <v>112</v>
      </c>
      <c r="AA2386" s="97" t="s">
        <v>112</v>
      </c>
      <c r="AB2386" s="97" t="s">
        <v>112</v>
      </c>
      <c r="AC2386" s="97" t="s">
        <v>112</v>
      </c>
      <c r="AD2386" s="97" t="s">
        <v>112</v>
      </c>
      <c r="AE2386" s="97">
        <v>8202.9602199209512</v>
      </c>
      <c r="AF2386" s="97">
        <v>8202.9602199209512</v>
      </c>
      <c r="AG2386" s="97">
        <v>8202.9602199209512</v>
      </c>
      <c r="AH2386" s="97">
        <v>8202.9602199209512</v>
      </c>
      <c r="AI2386" s="97">
        <v>8202.9602199209512</v>
      </c>
      <c r="AJ2386" s="97">
        <v>8202.9602199209512</v>
      </c>
      <c r="AK2386" s="97">
        <v>8202.9602199209512</v>
      </c>
      <c r="AL2386" s="97">
        <v>8202.9602199209512</v>
      </c>
      <c r="AM2386" s="97">
        <v>8202.9602199209512</v>
      </c>
      <c r="AN2386" s="97">
        <v>8202.9602199209512</v>
      </c>
      <c r="AO2386" s="97">
        <v>8202.9602199209512</v>
      </c>
      <c r="AP2386" s="97">
        <v>8202.9602199209512</v>
      </c>
      <c r="AQ2386" s="97">
        <v>8202.9602199209512</v>
      </c>
      <c r="AR2386" s="97">
        <v>8202.9602199209512</v>
      </c>
      <c r="AS2386" s="97">
        <v>8202.9602199209512</v>
      </c>
      <c r="AT2386" s="97">
        <v>8202.9602199209512</v>
      </c>
      <c r="AU2386" s="97">
        <v>8202.9602199209512</v>
      </c>
      <c r="AV2386" s="97">
        <v>8202.9602199209512</v>
      </c>
      <c r="AW2386" s="97">
        <v>8202.9602199209512</v>
      </c>
      <c r="AX2386" s="98">
        <v>8202.9602199209512</v>
      </c>
    </row>
    <row r="2387" spans="1:50" x14ac:dyDescent="0.25">
      <c r="A2387" s="356"/>
      <c r="B2387" s="359"/>
      <c r="C2387" s="361" t="s">
        <v>16</v>
      </c>
      <c r="D2387" s="2" t="s">
        <v>7</v>
      </c>
      <c r="E2387" s="160" t="str">
        <f>A2373&amp;"/"&amp;B2381&amp;"/"&amp;C2387&amp;"/"&amp;D2387</f>
        <v>Coal fired power plants/Supercritical steam turbine/CHP with CCS/L</v>
      </c>
      <c r="F2387" s="76" t="str">
        <f>A2373</f>
        <v>Coal fired power plants</v>
      </c>
      <c r="G2387" s="76" t="str">
        <f>B2381</f>
        <v>Supercritical steam turbine</v>
      </c>
      <c r="H2387" s="76" t="str">
        <f>C2387</f>
        <v>CHP with CCS</v>
      </c>
      <c r="I2387" s="161" t="str">
        <f t="shared" si="118"/>
        <v>L</v>
      </c>
      <c r="J2387" s="91" t="s">
        <v>112</v>
      </c>
      <c r="K2387" s="91" t="s">
        <v>112</v>
      </c>
      <c r="L2387" s="91" t="s">
        <v>112</v>
      </c>
      <c r="M2387" s="91" t="s">
        <v>112</v>
      </c>
      <c r="N2387" s="91" t="s">
        <v>112</v>
      </c>
      <c r="O2387" s="91" t="s">
        <v>112</v>
      </c>
      <c r="P2387" s="91" t="s">
        <v>112</v>
      </c>
      <c r="Q2387" s="91" t="s">
        <v>112</v>
      </c>
      <c r="R2387" s="91" t="s">
        <v>112</v>
      </c>
      <c r="S2387" s="91" t="s">
        <v>112</v>
      </c>
      <c r="T2387" s="91" t="s">
        <v>112</v>
      </c>
      <c r="U2387" s="91" t="s">
        <v>112</v>
      </c>
      <c r="V2387" s="91" t="s">
        <v>112</v>
      </c>
      <c r="W2387" s="91" t="s">
        <v>112</v>
      </c>
      <c r="X2387" s="91" t="s">
        <v>112</v>
      </c>
      <c r="Y2387" s="91" t="s">
        <v>112</v>
      </c>
      <c r="Z2387" s="91" t="s">
        <v>112</v>
      </c>
      <c r="AA2387" s="91" t="s">
        <v>112</v>
      </c>
      <c r="AB2387" s="91" t="s">
        <v>112</v>
      </c>
      <c r="AC2387" s="91" t="s">
        <v>112</v>
      </c>
      <c r="AD2387" s="91" t="s">
        <v>112</v>
      </c>
      <c r="AE2387" s="91">
        <v>8760</v>
      </c>
      <c r="AF2387" s="91">
        <v>8760</v>
      </c>
      <c r="AG2387" s="91">
        <v>8760</v>
      </c>
      <c r="AH2387" s="91">
        <v>8760</v>
      </c>
      <c r="AI2387" s="91">
        <v>8760</v>
      </c>
      <c r="AJ2387" s="91">
        <v>8760</v>
      </c>
      <c r="AK2387" s="91">
        <v>8760</v>
      </c>
      <c r="AL2387" s="91">
        <v>8760</v>
      </c>
      <c r="AM2387" s="91">
        <v>8760</v>
      </c>
      <c r="AN2387" s="91">
        <v>8760</v>
      </c>
      <c r="AO2387" s="91">
        <v>8760</v>
      </c>
      <c r="AP2387" s="91">
        <v>8760</v>
      </c>
      <c r="AQ2387" s="91">
        <v>8760</v>
      </c>
      <c r="AR2387" s="91">
        <v>8760</v>
      </c>
      <c r="AS2387" s="91">
        <v>8760</v>
      </c>
      <c r="AT2387" s="91">
        <v>8760</v>
      </c>
      <c r="AU2387" s="91">
        <v>8760</v>
      </c>
      <c r="AV2387" s="91">
        <v>8760</v>
      </c>
      <c r="AW2387" s="91">
        <v>8760</v>
      </c>
      <c r="AX2387" s="92">
        <v>8760</v>
      </c>
    </row>
    <row r="2388" spans="1:50" x14ac:dyDescent="0.25">
      <c r="A2388" s="356"/>
      <c r="B2388" s="362"/>
      <c r="C2388" s="354"/>
      <c r="D2388" s="4" t="s">
        <v>8</v>
      </c>
      <c r="E2388" s="168" t="str">
        <f>A2373&amp;"/"&amp;B2381&amp;"/"&amp;C2387&amp;"/"&amp;D2388</f>
        <v>Coal fired power plants/Supercritical steam turbine/CHP with CCS/M</v>
      </c>
      <c r="F2388" s="80" t="str">
        <f>A2373</f>
        <v>Coal fired power plants</v>
      </c>
      <c r="G2388" s="80" t="str">
        <f>B2381</f>
        <v>Supercritical steam turbine</v>
      </c>
      <c r="H2388" s="80" t="str">
        <f>C2387</f>
        <v>CHP with CCS</v>
      </c>
      <c r="I2388" s="169" t="str">
        <f t="shared" si="118"/>
        <v>M</v>
      </c>
      <c r="J2388" s="99" t="s">
        <v>112</v>
      </c>
      <c r="K2388" s="99" t="s">
        <v>112</v>
      </c>
      <c r="L2388" s="99" t="s">
        <v>112</v>
      </c>
      <c r="M2388" s="99" t="s">
        <v>112</v>
      </c>
      <c r="N2388" s="99" t="s">
        <v>112</v>
      </c>
      <c r="O2388" s="99" t="s">
        <v>112</v>
      </c>
      <c r="P2388" s="99" t="s">
        <v>112</v>
      </c>
      <c r="Q2388" s="99" t="s">
        <v>112</v>
      </c>
      <c r="R2388" s="99" t="s">
        <v>112</v>
      </c>
      <c r="S2388" s="99" t="s">
        <v>112</v>
      </c>
      <c r="T2388" s="99" t="s">
        <v>112</v>
      </c>
      <c r="U2388" s="99" t="s">
        <v>112</v>
      </c>
      <c r="V2388" s="99" t="s">
        <v>112</v>
      </c>
      <c r="W2388" s="99" t="s">
        <v>112</v>
      </c>
      <c r="X2388" s="99" t="s">
        <v>112</v>
      </c>
      <c r="Y2388" s="99" t="s">
        <v>112</v>
      </c>
      <c r="Z2388" s="99" t="s">
        <v>112</v>
      </c>
      <c r="AA2388" s="99" t="s">
        <v>112</v>
      </c>
      <c r="AB2388" s="99" t="s">
        <v>112</v>
      </c>
      <c r="AC2388" s="99" t="s">
        <v>112</v>
      </c>
      <c r="AD2388" s="99" t="s">
        <v>112</v>
      </c>
      <c r="AE2388" s="99">
        <v>8214.321704229118</v>
      </c>
      <c r="AF2388" s="99">
        <v>8214.321704229118</v>
      </c>
      <c r="AG2388" s="99">
        <v>8214.321704229118</v>
      </c>
      <c r="AH2388" s="99">
        <v>8214.321704229118</v>
      </c>
      <c r="AI2388" s="99">
        <v>8214.321704229118</v>
      </c>
      <c r="AJ2388" s="99">
        <v>8214.321704229118</v>
      </c>
      <c r="AK2388" s="99">
        <v>8214.321704229118</v>
      </c>
      <c r="AL2388" s="99">
        <v>8214.321704229118</v>
      </c>
      <c r="AM2388" s="99">
        <v>8214.321704229118</v>
      </c>
      <c r="AN2388" s="99">
        <v>8214.321704229118</v>
      </c>
      <c r="AO2388" s="99">
        <v>8214.321704229118</v>
      </c>
      <c r="AP2388" s="99">
        <v>8214.321704229118</v>
      </c>
      <c r="AQ2388" s="99">
        <v>8214.321704229118</v>
      </c>
      <c r="AR2388" s="99">
        <v>8214.321704229118</v>
      </c>
      <c r="AS2388" s="99">
        <v>8214.321704229118</v>
      </c>
      <c r="AT2388" s="99">
        <v>8214.321704229118</v>
      </c>
      <c r="AU2388" s="99">
        <v>8214.321704229118</v>
      </c>
      <c r="AV2388" s="99">
        <v>8214.321704229118</v>
      </c>
      <c r="AW2388" s="99">
        <v>8214.321704229118</v>
      </c>
      <c r="AX2388" s="100">
        <v>8214.321704229118</v>
      </c>
    </row>
    <row r="2389" spans="1:50" x14ac:dyDescent="0.25">
      <c r="A2389" s="356"/>
      <c r="B2389" s="358" t="s">
        <v>18</v>
      </c>
      <c r="C2389" s="353" t="s">
        <v>6</v>
      </c>
      <c r="D2389" s="3" t="s">
        <v>7</v>
      </c>
      <c r="E2389" s="162" t="str">
        <f>A2373&amp;"/"&amp;B2389&amp;"/"&amp;C2389&amp;"/"&amp;D2389</f>
        <v>Coal fired power plants/Fluidized bed combustion/Electricity only/L</v>
      </c>
      <c r="F2389" s="77" t="str">
        <f>A2373</f>
        <v>Coal fired power plants</v>
      </c>
      <c r="G2389" s="77" t="str">
        <f>B2389</f>
        <v>Fluidized bed combustion</v>
      </c>
      <c r="H2389" s="77" t="str">
        <f>C2389</f>
        <v>Electricity only</v>
      </c>
      <c r="I2389" s="163" t="str">
        <f t="shared" si="118"/>
        <v>L</v>
      </c>
      <c r="J2389" s="93">
        <v>8350</v>
      </c>
      <c r="K2389" s="93">
        <v>8350</v>
      </c>
      <c r="L2389" s="93">
        <v>8350</v>
      </c>
      <c r="M2389" s="93">
        <v>8350</v>
      </c>
      <c r="N2389" s="93">
        <v>8350</v>
      </c>
      <c r="O2389" s="93">
        <v>8350</v>
      </c>
      <c r="P2389" s="93">
        <v>8350</v>
      </c>
      <c r="Q2389" s="93">
        <v>8350</v>
      </c>
      <c r="R2389" s="93">
        <v>8350</v>
      </c>
      <c r="S2389" s="93">
        <v>8350</v>
      </c>
      <c r="T2389" s="93">
        <v>8350</v>
      </c>
      <c r="U2389" s="93">
        <v>8350</v>
      </c>
      <c r="V2389" s="93">
        <v>8350</v>
      </c>
      <c r="W2389" s="93">
        <v>8350</v>
      </c>
      <c r="X2389" s="93">
        <v>8350</v>
      </c>
      <c r="Y2389" s="93">
        <v>8350</v>
      </c>
      <c r="Z2389" s="93">
        <v>8350</v>
      </c>
      <c r="AA2389" s="93">
        <v>8350</v>
      </c>
      <c r="AB2389" s="93">
        <v>8350</v>
      </c>
      <c r="AC2389" s="93">
        <v>8350</v>
      </c>
      <c r="AD2389" s="93">
        <v>8350</v>
      </c>
      <c r="AE2389" s="93">
        <v>8350</v>
      </c>
      <c r="AF2389" s="93">
        <v>8350</v>
      </c>
      <c r="AG2389" s="93">
        <v>8350</v>
      </c>
      <c r="AH2389" s="93">
        <v>8350</v>
      </c>
      <c r="AI2389" s="93">
        <v>8350</v>
      </c>
      <c r="AJ2389" s="93">
        <v>8350</v>
      </c>
      <c r="AK2389" s="93">
        <v>8350</v>
      </c>
      <c r="AL2389" s="93">
        <v>8350</v>
      </c>
      <c r="AM2389" s="93">
        <v>8350</v>
      </c>
      <c r="AN2389" s="93">
        <v>8350</v>
      </c>
      <c r="AO2389" s="93">
        <v>8350</v>
      </c>
      <c r="AP2389" s="93">
        <v>8350</v>
      </c>
      <c r="AQ2389" s="93">
        <v>8350</v>
      </c>
      <c r="AR2389" s="93">
        <v>8350</v>
      </c>
      <c r="AS2389" s="93">
        <v>8350</v>
      </c>
      <c r="AT2389" s="93">
        <v>8350</v>
      </c>
      <c r="AU2389" s="93">
        <v>8350</v>
      </c>
      <c r="AV2389" s="93">
        <v>8350</v>
      </c>
      <c r="AW2389" s="93">
        <v>8350</v>
      </c>
      <c r="AX2389" s="94">
        <v>8350</v>
      </c>
    </row>
    <row r="2390" spans="1:50" x14ac:dyDescent="0.25">
      <c r="A2390" s="356"/>
      <c r="B2390" s="359"/>
      <c r="C2390" s="350"/>
      <c r="D2390" s="2" t="s">
        <v>8</v>
      </c>
      <c r="E2390" s="160" t="str">
        <f>A2373&amp;"/"&amp;B2389&amp;"/"&amp;C2389&amp;"/"&amp;D2390</f>
        <v>Coal fired power plants/Fluidized bed combustion/Electricity only/M</v>
      </c>
      <c r="F2390" s="76" t="str">
        <f>A2373</f>
        <v>Coal fired power plants</v>
      </c>
      <c r="G2390" s="76" t="str">
        <f>B2389</f>
        <v>Fluidized bed combustion</v>
      </c>
      <c r="H2390" s="76" t="str">
        <f>C2389</f>
        <v>Electricity only</v>
      </c>
      <c r="I2390" s="161" t="str">
        <f t="shared" si="118"/>
        <v>M</v>
      </c>
      <c r="J2390" s="91">
        <v>7808.1416578808703</v>
      </c>
      <c r="K2390" s="91">
        <v>7808.1416578808703</v>
      </c>
      <c r="L2390" s="91">
        <v>7808.1416578808703</v>
      </c>
      <c r="M2390" s="91">
        <v>7808.1416578808703</v>
      </c>
      <c r="N2390" s="91">
        <v>7808.1416578808703</v>
      </c>
      <c r="O2390" s="91">
        <v>7808.1416578808703</v>
      </c>
      <c r="P2390" s="91">
        <v>7808.1416578808703</v>
      </c>
      <c r="Q2390" s="91">
        <v>7808.1416578808703</v>
      </c>
      <c r="R2390" s="91">
        <v>7808.1416578808703</v>
      </c>
      <c r="S2390" s="91">
        <v>7808.1416578808703</v>
      </c>
      <c r="T2390" s="91">
        <v>7808.1416578808703</v>
      </c>
      <c r="U2390" s="91">
        <v>7808.1416578808703</v>
      </c>
      <c r="V2390" s="91">
        <v>7808.1416578808703</v>
      </c>
      <c r="W2390" s="91">
        <v>7808.1416578808703</v>
      </c>
      <c r="X2390" s="91">
        <v>7808.1416578808703</v>
      </c>
      <c r="Y2390" s="91">
        <v>7808.1416578808703</v>
      </c>
      <c r="Z2390" s="91">
        <v>7808.1416578808703</v>
      </c>
      <c r="AA2390" s="91">
        <v>7808.1416578808703</v>
      </c>
      <c r="AB2390" s="91">
        <v>7808.1416578808703</v>
      </c>
      <c r="AC2390" s="91">
        <v>7808.1416578808703</v>
      </c>
      <c r="AD2390" s="91">
        <v>7808.1416578808703</v>
      </c>
      <c r="AE2390" s="91">
        <v>7808.1416578808703</v>
      </c>
      <c r="AF2390" s="91">
        <v>7808.1416578808703</v>
      </c>
      <c r="AG2390" s="91">
        <v>7808.1416578808703</v>
      </c>
      <c r="AH2390" s="91">
        <v>7808.1416578808703</v>
      </c>
      <c r="AI2390" s="91">
        <v>7808.1416578808703</v>
      </c>
      <c r="AJ2390" s="91">
        <v>7808.1416578808703</v>
      </c>
      <c r="AK2390" s="91">
        <v>7808.1416578808703</v>
      </c>
      <c r="AL2390" s="91">
        <v>7808.1416578808703</v>
      </c>
      <c r="AM2390" s="91">
        <v>7808.1416578808703</v>
      </c>
      <c r="AN2390" s="91">
        <v>7808.1416578808703</v>
      </c>
      <c r="AO2390" s="91">
        <v>7808.1416578808703</v>
      </c>
      <c r="AP2390" s="91">
        <v>7808.1416578808703</v>
      </c>
      <c r="AQ2390" s="91">
        <v>7808.1416578808703</v>
      </c>
      <c r="AR2390" s="91">
        <v>7808.1416578808703</v>
      </c>
      <c r="AS2390" s="91">
        <v>7808.1416578808703</v>
      </c>
      <c r="AT2390" s="91">
        <v>7808.1416578808703</v>
      </c>
      <c r="AU2390" s="91">
        <v>7808.1416578808703</v>
      </c>
      <c r="AV2390" s="91">
        <v>7808.1416578808703</v>
      </c>
      <c r="AW2390" s="91">
        <v>7808.1416578808703</v>
      </c>
      <c r="AX2390" s="92">
        <v>7808.1416578808703</v>
      </c>
    </row>
    <row r="2391" spans="1:50" x14ac:dyDescent="0.25">
      <c r="A2391" s="356"/>
      <c r="B2391" s="359"/>
      <c r="C2391" s="360"/>
      <c r="D2391" s="2" t="s">
        <v>10</v>
      </c>
      <c r="E2391" s="160" t="str">
        <f>A2373&amp;"/"&amp;B2389&amp;"/"&amp;C2389&amp;"/"&amp;D2391</f>
        <v>Coal fired power plants/Fluidized bed combustion/Electricity only/S</v>
      </c>
      <c r="F2391" s="76" t="str">
        <f>A2373</f>
        <v>Coal fired power plants</v>
      </c>
      <c r="G2391" s="76" t="str">
        <f>B2389</f>
        <v>Fluidized bed combustion</v>
      </c>
      <c r="H2391" s="76" t="str">
        <f>C2389</f>
        <v>Electricity only</v>
      </c>
      <c r="I2391" s="161" t="str">
        <f t="shared" si="118"/>
        <v>S</v>
      </c>
      <c r="J2391" s="91">
        <v>7217.8597394733833</v>
      </c>
      <c r="K2391" s="91">
        <v>7217.8597394733833</v>
      </c>
      <c r="L2391" s="91">
        <v>7217.8597394733833</v>
      </c>
      <c r="M2391" s="91">
        <v>7217.8597394733833</v>
      </c>
      <c r="N2391" s="91">
        <v>7217.8597394733833</v>
      </c>
      <c r="O2391" s="91">
        <v>7217.8597394733833</v>
      </c>
      <c r="P2391" s="91">
        <v>7217.8597394733833</v>
      </c>
      <c r="Q2391" s="91">
        <v>7217.8597394733833</v>
      </c>
      <c r="R2391" s="91">
        <v>7217.8597394733833</v>
      </c>
      <c r="S2391" s="91">
        <v>7217.8597394733833</v>
      </c>
      <c r="T2391" s="91">
        <v>7217.8597394733833</v>
      </c>
      <c r="U2391" s="91">
        <v>7217.8597394733833</v>
      </c>
      <c r="V2391" s="91">
        <v>7217.8597394733833</v>
      </c>
      <c r="W2391" s="91">
        <v>7217.8597394733833</v>
      </c>
      <c r="X2391" s="91">
        <v>7217.8597394733833</v>
      </c>
      <c r="Y2391" s="91">
        <v>7217.8597394733833</v>
      </c>
      <c r="Z2391" s="91">
        <v>7217.8597394733833</v>
      </c>
      <c r="AA2391" s="91">
        <v>7217.8597394733833</v>
      </c>
      <c r="AB2391" s="91">
        <v>7217.8597394733833</v>
      </c>
      <c r="AC2391" s="91">
        <v>7217.8597394733833</v>
      </c>
      <c r="AD2391" s="91">
        <v>7217.8597394733833</v>
      </c>
      <c r="AE2391" s="91">
        <v>7217.8597394733833</v>
      </c>
      <c r="AF2391" s="91">
        <v>7217.8597394733833</v>
      </c>
      <c r="AG2391" s="91">
        <v>7217.8597394733833</v>
      </c>
      <c r="AH2391" s="91">
        <v>7217.8597394733833</v>
      </c>
      <c r="AI2391" s="91">
        <v>7217.8597394733833</v>
      </c>
      <c r="AJ2391" s="91">
        <v>7217.8597394733833</v>
      </c>
      <c r="AK2391" s="91">
        <v>7217.8597394733833</v>
      </c>
      <c r="AL2391" s="91">
        <v>7217.8597394733833</v>
      </c>
      <c r="AM2391" s="91">
        <v>7217.8597394733833</v>
      </c>
      <c r="AN2391" s="91">
        <v>7217.8597394733833</v>
      </c>
      <c r="AO2391" s="91">
        <v>7217.8597394733833</v>
      </c>
      <c r="AP2391" s="91">
        <v>7217.8597394733833</v>
      </c>
      <c r="AQ2391" s="91">
        <v>7217.8597394733833</v>
      </c>
      <c r="AR2391" s="91">
        <v>7217.8597394733833</v>
      </c>
      <c r="AS2391" s="91">
        <v>7217.8597394733833</v>
      </c>
      <c r="AT2391" s="91">
        <v>7217.8597394733833</v>
      </c>
      <c r="AU2391" s="91">
        <v>7217.8597394733833</v>
      </c>
      <c r="AV2391" s="91">
        <v>7217.8597394733833</v>
      </c>
      <c r="AW2391" s="91">
        <v>7217.8597394733833</v>
      </c>
      <c r="AX2391" s="92">
        <v>7217.8597394733833</v>
      </c>
    </row>
    <row r="2392" spans="1:50" x14ac:dyDescent="0.25">
      <c r="A2392" s="356"/>
      <c r="B2392" s="359"/>
      <c r="C2392" s="361" t="s">
        <v>14</v>
      </c>
      <c r="D2392" s="58" t="s">
        <v>7</v>
      </c>
      <c r="E2392" s="164" t="str">
        <f>A2373&amp;"/"&amp;B2389&amp;"/"&amp;C2392&amp;"/"&amp;D2392</f>
        <v>Coal fired power plants/Fluidized bed combustion/CHP/L</v>
      </c>
      <c r="F2392" s="78" t="str">
        <f>A2373</f>
        <v>Coal fired power plants</v>
      </c>
      <c r="G2392" s="78" t="str">
        <f>B2389</f>
        <v>Fluidized bed combustion</v>
      </c>
      <c r="H2392" s="78" t="str">
        <f>C2392</f>
        <v>CHP</v>
      </c>
      <c r="I2392" s="165" t="str">
        <f t="shared" si="118"/>
        <v>L</v>
      </c>
      <c r="J2392" s="95">
        <v>8350</v>
      </c>
      <c r="K2392" s="95">
        <v>8350</v>
      </c>
      <c r="L2392" s="95">
        <v>8350</v>
      </c>
      <c r="M2392" s="95">
        <v>8350</v>
      </c>
      <c r="N2392" s="95">
        <v>8350</v>
      </c>
      <c r="O2392" s="95">
        <v>8350</v>
      </c>
      <c r="P2392" s="95">
        <v>8350</v>
      </c>
      <c r="Q2392" s="95">
        <v>8350</v>
      </c>
      <c r="R2392" s="95">
        <v>8350</v>
      </c>
      <c r="S2392" s="95">
        <v>8350</v>
      </c>
      <c r="T2392" s="95">
        <v>8350</v>
      </c>
      <c r="U2392" s="95">
        <v>8350</v>
      </c>
      <c r="V2392" s="95">
        <v>8350</v>
      </c>
      <c r="W2392" s="95">
        <v>8350</v>
      </c>
      <c r="X2392" s="95">
        <v>8350</v>
      </c>
      <c r="Y2392" s="95">
        <v>8350</v>
      </c>
      <c r="Z2392" s="95">
        <v>8350</v>
      </c>
      <c r="AA2392" s="95">
        <v>8350</v>
      </c>
      <c r="AB2392" s="95">
        <v>8350</v>
      </c>
      <c r="AC2392" s="95">
        <v>8350</v>
      </c>
      <c r="AD2392" s="95">
        <v>8350</v>
      </c>
      <c r="AE2392" s="95">
        <v>8350</v>
      </c>
      <c r="AF2392" s="95">
        <v>8350</v>
      </c>
      <c r="AG2392" s="95">
        <v>8350</v>
      </c>
      <c r="AH2392" s="95">
        <v>8350</v>
      </c>
      <c r="AI2392" s="95">
        <v>8350</v>
      </c>
      <c r="AJ2392" s="95">
        <v>8350</v>
      </c>
      <c r="AK2392" s="95">
        <v>8350</v>
      </c>
      <c r="AL2392" s="95">
        <v>8350</v>
      </c>
      <c r="AM2392" s="95">
        <v>8350</v>
      </c>
      <c r="AN2392" s="95">
        <v>8350</v>
      </c>
      <c r="AO2392" s="95">
        <v>8350</v>
      </c>
      <c r="AP2392" s="95">
        <v>8350</v>
      </c>
      <c r="AQ2392" s="95">
        <v>8350</v>
      </c>
      <c r="AR2392" s="95">
        <v>8350</v>
      </c>
      <c r="AS2392" s="95">
        <v>8350</v>
      </c>
      <c r="AT2392" s="95">
        <v>8350</v>
      </c>
      <c r="AU2392" s="95">
        <v>8350</v>
      </c>
      <c r="AV2392" s="95">
        <v>8350</v>
      </c>
      <c r="AW2392" s="95">
        <v>8350</v>
      </c>
      <c r="AX2392" s="96">
        <v>8350</v>
      </c>
    </row>
    <row r="2393" spans="1:50" x14ac:dyDescent="0.25">
      <c r="A2393" s="356"/>
      <c r="B2393" s="359"/>
      <c r="C2393" s="350"/>
      <c r="D2393" s="2" t="s">
        <v>8</v>
      </c>
      <c r="E2393" s="160" t="str">
        <f>A2373&amp;"/"&amp;B2389&amp;"/"&amp;C2392&amp;"/"&amp;D2393</f>
        <v>Coal fired power plants/Fluidized bed combustion/CHP/M</v>
      </c>
      <c r="F2393" s="76" t="str">
        <f>A2373</f>
        <v>Coal fired power plants</v>
      </c>
      <c r="G2393" s="76" t="str">
        <f>B2389</f>
        <v>Fluidized bed combustion</v>
      </c>
      <c r="H2393" s="76" t="str">
        <f>C2392</f>
        <v>CHP</v>
      </c>
      <c r="I2393" s="161" t="str">
        <f t="shared" si="118"/>
        <v>M</v>
      </c>
      <c r="J2393" s="91">
        <v>7808.1416578808703</v>
      </c>
      <c r="K2393" s="91">
        <v>7808.1416578808703</v>
      </c>
      <c r="L2393" s="91">
        <v>7808.1416578808703</v>
      </c>
      <c r="M2393" s="91">
        <v>7808.1416578808703</v>
      </c>
      <c r="N2393" s="91">
        <v>7808.1416578808703</v>
      </c>
      <c r="O2393" s="91">
        <v>7808.1416578808703</v>
      </c>
      <c r="P2393" s="91">
        <v>7808.1416578808703</v>
      </c>
      <c r="Q2393" s="91">
        <v>7808.1416578808703</v>
      </c>
      <c r="R2393" s="91">
        <v>7808.1416578808703</v>
      </c>
      <c r="S2393" s="91">
        <v>7808.1416578808703</v>
      </c>
      <c r="T2393" s="91">
        <v>7808.1416578808703</v>
      </c>
      <c r="U2393" s="91">
        <v>7808.1416578808703</v>
      </c>
      <c r="V2393" s="91">
        <v>7808.1416578808703</v>
      </c>
      <c r="W2393" s="91">
        <v>7808.1416578808703</v>
      </c>
      <c r="X2393" s="91">
        <v>7808.1416578808703</v>
      </c>
      <c r="Y2393" s="91">
        <v>7808.1416578808703</v>
      </c>
      <c r="Z2393" s="91">
        <v>7808.1416578808703</v>
      </c>
      <c r="AA2393" s="91">
        <v>7808.1416578808703</v>
      </c>
      <c r="AB2393" s="91">
        <v>7808.1416578808703</v>
      </c>
      <c r="AC2393" s="91">
        <v>7808.1416578808703</v>
      </c>
      <c r="AD2393" s="91">
        <v>7808.1416578808703</v>
      </c>
      <c r="AE2393" s="91">
        <v>7808.1416578808703</v>
      </c>
      <c r="AF2393" s="91">
        <v>7808.1416578808703</v>
      </c>
      <c r="AG2393" s="91">
        <v>7808.1416578808703</v>
      </c>
      <c r="AH2393" s="91">
        <v>7808.1416578808703</v>
      </c>
      <c r="AI2393" s="91">
        <v>7808.1416578808703</v>
      </c>
      <c r="AJ2393" s="91">
        <v>7808.1416578808703</v>
      </c>
      <c r="AK2393" s="91">
        <v>7808.1416578808703</v>
      </c>
      <c r="AL2393" s="91">
        <v>7808.1416578808703</v>
      </c>
      <c r="AM2393" s="91">
        <v>7808.1416578808703</v>
      </c>
      <c r="AN2393" s="91">
        <v>7808.1416578808703</v>
      </c>
      <c r="AO2393" s="91">
        <v>7808.1416578808703</v>
      </c>
      <c r="AP2393" s="91">
        <v>7808.1416578808703</v>
      </c>
      <c r="AQ2393" s="91">
        <v>7808.1416578808703</v>
      </c>
      <c r="AR2393" s="91">
        <v>7808.1416578808703</v>
      </c>
      <c r="AS2393" s="91">
        <v>7808.1416578808703</v>
      </c>
      <c r="AT2393" s="91">
        <v>7808.1416578808703</v>
      </c>
      <c r="AU2393" s="91">
        <v>7808.1416578808703</v>
      </c>
      <c r="AV2393" s="91">
        <v>7808.1416578808703</v>
      </c>
      <c r="AW2393" s="91">
        <v>7808.1416578808703</v>
      </c>
      <c r="AX2393" s="92">
        <v>7808.1416578808703</v>
      </c>
    </row>
    <row r="2394" spans="1:50" x14ac:dyDescent="0.25">
      <c r="A2394" s="356"/>
      <c r="B2394" s="359"/>
      <c r="C2394" s="360"/>
      <c r="D2394" s="59" t="s">
        <v>10</v>
      </c>
      <c r="E2394" s="166" t="str">
        <f>A2373&amp;"/"&amp;B2389&amp;"/"&amp;C2392&amp;"/"&amp;D2394</f>
        <v>Coal fired power plants/Fluidized bed combustion/CHP/S</v>
      </c>
      <c r="F2394" s="79" t="str">
        <f>A2373</f>
        <v>Coal fired power plants</v>
      </c>
      <c r="G2394" s="79" t="str">
        <f>B2389</f>
        <v>Fluidized bed combustion</v>
      </c>
      <c r="H2394" s="79" t="str">
        <f>C2392</f>
        <v>CHP</v>
      </c>
      <c r="I2394" s="167" t="str">
        <f t="shared" si="118"/>
        <v>S</v>
      </c>
      <c r="J2394" s="97">
        <v>7217.8597394733833</v>
      </c>
      <c r="K2394" s="97">
        <v>7217.8597394733833</v>
      </c>
      <c r="L2394" s="97">
        <v>7217.8597394733833</v>
      </c>
      <c r="M2394" s="97">
        <v>7217.8597394733833</v>
      </c>
      <c r="N2394" s="97">
        <v>7217.8597394733833</v>
      </c>
      <c r="O2394" s="97">
        <v>7217.8597394733833</v>
      </c>
      <c r="P2394" s="97">
        <v>7217.8597394733833</v>
      </c>
      <c r="Q2394" s="97">
        <v>7217.8597394733833</v>
      </c>
      <c r="R2394" s="97">
        <v>7217.8597394733833</v>
      </c>
      <c r="S2394" s="97">
        <v>7217.8597394733833</v>
      </c>
      <c r="T2394" s="97">
        <v>7217.8597394733833</v>
      </c>
      <c r="U2394" s="97">
        <v>7217.8597394733833</v>
      </c>
      <c r="V2394" s="97">
        <v>7217.8597394733833</v>
      </c>
      <c r="W2394" s="97">
        <v>7217.8597394733833</v>
      </c>
      <c r="X2394" s="97">
        <v>7217.8597394733833</v>
      </c>
      <c r="Y2394" s="97">
        <v>7217.8597394733833</v>
      </c>
      <c r="Z2394" s="97">
        <v>7217.8597394733833</v>
      </c>
      <c r="AA2394" s="97">
        <v>7217.8597394733833</v>
      </c>
      <c r="AB2394" s="97">
        <v>7217.8597394733833</v>
      </c>
      <c r="AC2394" s="97">
        <v>7217.8597394733833</v>
      </c>
      <c r="AD2394" s="97">
        <v>7217.8597394733833</v>
      </c>
      <c r="AE2394" s="97">
        <v>7217.8597394733833</v>
      </c>
      <c r="AF2394" s="97">
        <v>7217.8597394733833</v>
      </c>
      <c r="AG2394" s="97">
        <v>7217.8597394733833</v>
      </c>
      <c r="AH2394" s="97">
        <v>7217.8597394733833</v>
      </c>
      <c r="AI2394" s="97">
        <v>7217.8597394733833</v>
      </c>
      <c r="AJ2394" s="97">
        <v>7217.8597394733833</v>
      </c>
      <c r="AK2394" s="97">
        <v>7217.8597394733833</v>
      </c>
      <c r="AL2394" s="97">
        <v>7217.8597394733833</v>
      </c>
      <c r="AM2394" s="97">
        <v>7217.8597394733833</v>
      </c>
      <c r="AN2394" s="97">
        <v>7217.8597394733833</v>
      </c>
      <c r="AO2394" s="97">
        <v>7217.8597394733833</v>
      </c>
      <c r="AP2394" s="97">
        <v>7217.8597394733833</v>
      </c>
      <c r="AQ2394" s="97">
        <v>7217.8597394733833</v>
      </c>
      <c r="AR2394" s="97">
        <v>7217.8597394733833</v>
      </c>
      <c r="AS2394" s="97">
        <v>7217.8597394733833</v>
      </c>
      <c r="AT2394" s="97">
        <v>7217.8597394733833</v>
      </c>
      <c r="AU2394" s="97">
        <v>7217.8597394733833</v>
      </c>
      <c r="AV2394" s="97">
        <v>7217.8597394733833</v>
      </c>
      <c r="AW2394" s="97">
        <v>7217.8597394733833</v>
      </c>
      <c r="AX2394" s="98">
        <v>7217.8597394733833</v>
      </c>
    </row>
    <row r="2395" spans="1:50" x14ac:dyDescent="0.25">
      <c r="A2395" s="356"/>
      <c r="B2395" s="359"/>
      <c r="C2395" s="361" t="s">
        <v>15</v>
      </c>
      <c r="D2395" s="58" t="s">
        <v>7</v>
      </c>
      <c r="E2395" s="164" t="str">
        <f>A2373&amp;"/"&amp;B2389&amp;"/"&amp;C2395&amp;"/"&amp;D2395</f>
        <v>Coal fired power plants/Fluidized bed combustion/Electricity only with CCS/L</v>
      </c>
      <c r="F2395" s="78" t="str">
        <f>A2373</f>
        <v>Coal fired power plants</v>
      </c>
      <c r="G2395" s="78" t="str">
        <f>B2389</f>
        <v>Fluidized bed combustion</v>
      </c>
      <c r="H2395" s="78" t="str">
        <f>C2395</f>
        <v>Electricity only with CCS</v>
      </c>
      <c r="I2395" s="165" t="str">
        <f t="shared" si="118"/>
        <v>L</v>
      </c>
      <c r="J2395" s="95" t="s">
        <v>112</v>
      </c>
      <c r="K2395" s="95" t="s">
        <v>112</v>
      </c>
      <c r="L2395" s="95" t="s">
        <v>112</v>
      </c>
      <c r="M2395" s="95" t="s">
        <v>112</v>
      </c>
      <c r="N2395" s="95" t="s">
        <v>112</v>
      </c>
      <c r="O2395" s="95" t="s">
        <v>112</v>
      </c>
      <c r="P2395" s="95" t="s">
        <v>112</v>
      </c>
      <c r="Q2395" s="95" t="s">
        <v>112</v>
      </c>
      <c r="R2395" s="95" t="s">
        <v>112</v>
      </c>
      <c r="S2395" s="95" t="s">
        <v>112</v>
      </c>
      <c r="T2395" s="95" t="s">
        <v>112</v>
      </c>
      <c r="U2395" s="95" t="s">
        <v>112</v>
      </c>
      <c r="V2395" s="95" t="s">
        <v>112</v>
      </c>
      <c r="W2395" s="95" t="s">
        <v>112</v>
      </c>
      <c r="X2395" s="95" t="s">
        <v>112</v>
      </c>
      <c r="Y2395" s="95" t="s">
        <v>112</v>
      </c>
      <c r="Z2395" s="95" t="s">
        <v>112</v>
      </c>
      <c r="AA2395" s="95" t="s">
        <v>112</v>
      </c>
      <c r="AB2395" s="95" t="s">
        <v>112</v>
      </c>
      <c r="AC2395" s="95" t="s">
        <v>112</v>
      </c>
      <c r="AD2395" s="95" t="s">
        <v>112</v>
      </c>
      <c r="AE2395" s="95">
        <v>8350</v>
      </c>
      <c r="AF2395" s="95">
        <v>8350</v>
      </c>
      <c r="AG2395" s="95">
        <v>8350</v>
      </c>
      <c r="AH2395" s="95">
        <v>8350</v>
      </c>
      <c r="AI2395" s="95">
        <v>8350</v>
      </c>
      <c r="AJ2395" s="95">
        <v>8350</v>
      </c>
      <c r="AK2395" s="95">
        <v>8350</v>
      </c>
      <c r="AL2395" s="95">
        <v>8350</v>
      </c>
      <c r="AM2395" s="95">
        <v>8350</v>
      </c>
      <c r="AN2395" s="95">
        <v>8350</v>
      </c>
      <c r="AO2395" s="95">
        <v>8350</v>
      </c>
      <c r="AP2395" s="95">
        <v>8350</v>
      </c>
      <c r="AQ2395" s="95">
        <v>8350</v>
      </c>
      <c r="AR2395" s="95">
        <v>8350</v>
      </c>
      <c r="AS2395" s="95">
        <v>8350</v>
      </c>
      <c r="AT2395" s="95">
        <v>8350</v>
      </c>
      <c r="AU2395" s="95">
        <v>8350</v>
      </c>
      <c r="AV2395" s="95">
        <v>8350</v>
      </c>
      <c r="AW2395" s="95">
        <v>8350</v>
      </c>
      <c r="AX2395" s="96">
        <v>8350</v>
      </c>
    </row>
    <row r="2396" spans="1:50" x14ac:dyDescent="0.25">
      <c r="A2396" s="356"/>
      <c r="B2396" s="359"/>
      <c r="C2396" s="360"/>
      <c r="D2396" s="59" t="s">
        <v>8</v>
      </c>
      <c r="E2396" s="166" t="str">
        <f>A2373&amp;"/"&amp;B2389&amp;"/"&amp;C2395&amp;"/"&amp;D2396</f>
        <v>Coal fired power plants/Fluidized bed combustion/Electricity only with CCS/M</v>
      </c>
      <c r="F2396" s="79" t="str">
        <f>A2373</f>
        <v>Coal fired power plants</v>
      </c>
      <c r="G2396" s="79" t="str">
        <f>B2389</f>
        <v>Fluidized bed combustion</v>
      </c>
      <c r="H2396" s="79" t="str">
        <f>C2395</f>
        <v>Electricity only with CCS</v>
      </c>
      <c r="I2396" s="167" t="str">
        <f t="shared" si="118"/>
        <v>M</v>
      </c>
      <c r="J2396" s="97" t="s">
        <v>112</v>
      </c>
      <c r="K2396" s="97" t="s">
        <v>112</v>
      </c>
      <c r="L2396" s="97" t="s">
        <v>112</v>
      </c>
      <c r="M2396" s="97" t="s">
        <v>112</v>
      </c>
      <c r="N2396" s="97" t="s">
        <v>112</v>
      </c>
      <c r="O2396" s="97" t="s">
        <v>112</v>
      </c>
      <c r="P2396" s="97" t="s">
        <v>112</v>
      </c>
      <c r="Q2396" s="97" t="s">
        <v>112</v>
      </c>
      <c r="R2396" s="97" t="s">
        <v>112</v>
      </c>
      <c r="S2396" s="97" t="s">
        <v>112</v>
      </c>
      <c r="T2396" s="97" t="s">
        <v>112</v>
      </c>
      <c r="U2396" s="97" t="s">
        <v>112</v>
      </c>
      <c r="V2396" s="97" t="s">
        <v>112</v>
      </c>
      <c r="W2396" s="97" t="s">
        <v>112</v>
      </c>
      <c r="X2396" s="97" t="s">
        <v>112</v>
      </c>
      <c r="Y2396" s="97" t="s">
        <v>112</v>
      </c>
      <c r="Z2396" s="97" t="s">
        <v>112</v>
      </c>
      <c r="AA2396" s="97" t="s">
        <v>112</v>
      </c>
      <c r="AB2396" s="97" t="s">
        <v>112</v>
      </c>
      <c r="AC2396" s="97" t="s">
        <v>112</v>
      </c>
      <c r="AD2396" s="97" t="s">
        <v>112</v>
      </c>
      <c r="AE2396" s="97">
        <v>7808.1416578808703</v>
      </c>
      <c r="AF2396" s="97">
        <v>7808.1416578808703</v>
      </c>
      <c r="AG2396" s="97">
        <v>7808.1416578808703</v>
      </c>
      <c r="AH2396" s="97">
        <v>7808.1416578808703</v>
      </c>
      <c r="AI2396" s="97">
        <v>7808.1416578808703</v>
      </c>
      <c r="AJ2396" s="97">
        <v>7808.1416578808703</v>
      </c>
      <c r="AK2396" s="97">
        <v>7808.1416578808703</v>
      </c>
      <c r="AL2396" s="97">
        <v>7808.1416578808703</v>
      </c>
      <c r="AM2396" s="97">
        <v>7808.1416578808703</v>
      </c>
      <c r="AN2396" s="97">
        <v>7808.1416578808703</v>
      </c>
      <c r="AO2396" s="97">
        <v>7808.1416578808703</v>
      </c>
      <c r="AP2396" s="97">
        <v>7808.1416578808703</v>
      </c>
      <c r="AQ2396" s="97">
        <v>7808.1416578808703</v>
      </c>
      <c r="AR2396" s="97">
        <v>7808.1416578808703</v>
      </c>
      <c r="AS2396" s="97">
        <v>7808.1416578808703</v>
      </c>
      <c r="AT2396" s="97">
        <v>7808.1416578808703</v>
      </c>
      <c r="AU2396" s="97">
        <v>7808.1416578808703</v>
      </c>
      <c r="AV2396" s="97">
        <v>7808.1416578808703</v>
      </c>
      <c r="AW2396" s="97">
        <v>7808.1416578808703</v>
      </c>
      <c r="AX2396" s="98">
        <v>7808.1416578808703</v>
      </c>
    </row>
    <row r="2397" spans="1:50" x14ac:dyDescent="0.25">
      <c r="A2397" s="356"/>
      <c r="B2397" s="359"/>
      <c r="C2397" s="361" t="s">
        <v>16</v>
      </c>
      <c r="D2397" s="2" t="s">
        <v>7</v>
      </c>
      <c r="E2397" s="160" t="str">
        <f>A2373&amp;"/"&amp;B2389&amp;"/"&amp;C2397&amp;"/"&amp;D2397</f>
        <v>Coal fired power plants/Fluidized bed combustion/CHP with CCS/L</v>
      </c>
      <c r="F2397" s="76" t="str">
        <f>A2373</f>
        <v>Coal fired power plants</v>
      </c>
      <c r="G2397" s="76" t="str">
        <f>B2389</f>
        <v>Fluidized bed combustion</v>
      </c>
      <c r="H2397" s="76" t="str">
        <f>C2397</f>
        <v>CHP with CCS</v>
      </c>
      <c r="I2397" s="161" t="str">
        <f t="shared" si="118"/>
        <v>L</v>
      </c>
      <c r="J2397" s="91" t="s">
        <v>112</v>
      </c>
      <c r="K2397" s="91" t="s">
        <v>112</v>
      </c>
      <c r="L2397" s="91" t="s">
        <v>112</v>
      </c>
      <c r="M2397" s="91" t="s">
        <v>112</v>
      </c>
      <c r="N2397" s="91" t="s">
        <v>112</v>
      </c>
      <c r="O2397" s="91" t="s">
        <v>112</v>
      </c>
      <c r="P2397" s="91" t="s">
        <v>112</v>
      </c>
      <c r="Q2397" s="91" t="s">
        <v>112</v>
      </c>
      <c r="R2397" s="91" t="s">
        <v>112</v>
      </c>
      <c r="S2397" s="91" t="s">
        <v>112</v>
      </c>
      <c r="T2397" s="91" t="s">
        <v>112</v>
      </c>
      <c r="U2397" s="91" t="s">
        <v>112</v>
      </c>
      <c r="V2397" s="91" t="s">
        <v>112</v>
      </c>
      <c r="W2397" s="91" t="s">
        <v>112</v>
      </c>
      <c r="X2397" s="91" t="s">
        <v>112</v>
      </c>
      <c r="Y2397" s="91" t="s">
        <v>112</v>
      </c>
      <c r="Z2397" s="91" t="s">
        <v>112</v>
      </c>
      <c r="AA2397" s="91" t="s">
        <v>112</v>
      </c>
      <c r="AB2397" s="91" t="s">
        <v>112</v>
      </c>
      <c r="AC2397" s="91" t="s">
        <v>112</v>
      </c>
      <c r="AD2397" s="91" t="s">
        <v>112</v>
      </c>
      <c r="AE2397" s="91">
        <v>8350</v>
      </c>
      <c r="AF2397" s="91">
        <v>8350</v>
      </c>
      <c r="AG2397" s="91">
        <v>8350</v>
      </c>
      <c r="AH2397" s="91">
        <v>8350</v>
      </c>
      <c r="AI2397" s="91">
        <v>8350</v>
      </c>
      <c r="AJ2397" s="91">
        <v>8350</v>
      </c>
      <c r="AK2397" s="91">
        <v>8350</v>
      </c>
      <c r="AL2397" s="91">
        <v>8350</v>
      </c>
      <c r="AM2397" s="91">
        <v>8350</v>
      </c>
      <c r="AN2397" s="91">
        <v>8350</v>
      </c>
      <c r="AO2397" s="91">
        <v>8350</v>
      </c>
      <c r="AP2397" s="91">
        <v>8350</v>
      </c>
      <c r="AQ2397" s="91">
        <v>8350</v>
      </c>
      <c r="AR2397" s="91">
        <v>8350</v>
      </c>
      <c r="AS2397" s="91">
        <v>8350</v>
      </c>
      <c r="AT2397" s="91">
        <v>8350</v>
      </c>
      <c r="AU2397" s="91">
        <v>8350</v>
      </c>
      <c r="AV2397" s="91">
        <v>8350</v>
      </c>
      <c r="AW2397" s="91">
        <v>8350</v>
      </c>
      <c r="AX2397" s="92">
        <v>8350</v>
      </c>
    </row>
    <row r="2398" spans="1:50" x14ac:dyDescent="0.25">
      <c r="A2398" s="356"/>
      <c r="B2398" s="362"/>
      <c r="C2398" s="354"/>
      <c r="D2398" s="4" t="s">
        <v>8</v>
      </c>
      <c r="E2398" s="168" t="str">
        <f>A2373&amp;"/"&amp;B2389&amp;"/"&amp;C2397&amp;"/"&amp;D2398</f>
        <v>Coal fired power plants/Fluidized bed combustion/CHP with CCS/M</v>
      </c>
      <c r="F2398" s="80" t="str">
        <f>A2373</f>
        <v>Coal fired power plants</v>
      </c>
      <c r="G2398" s="80" t="str">
        <f>B2389</f>
        <v>Fluidized bed combustion</v>
      </c>
      <c r="H2398" s="80" t="str">
        <f>C2397</f>
        <v>CHP with CCS</v>
      </c>
      <c r="I2398" s="169" t="str">
        <f t="shared" si="118"/>
        <v>M</v>
      </c>
      <c r="J2398" s="99" t="s">
        <v>112</v>
      </c>
      <c r="K2398" s="99" t="s">
        <v>112</v>
      </c>
      <c r="L2398" s="99" t="s">
        <v>112</v>
      </c>
      <c r="M2398" s="99" t="s">
        <v>112</v>
      </c>
      <c r="N2398" s="99" t="s">
        <v>112</v>
      </c>
      <c r="O2398" s="99" t="s">
        <v>112</v>
      </c>
      <c r="P2398" s="99" t="s">
        <v>112</v>
      </c>
      <c r="Q2398" s="99" t="s">
        <v>112</v>
      </c>
      <c r="R2398" s="99" t="s">
        <v>112</v>
      </c>
      <c r="S2398" s="99" t="s">
        <v>112</v>
      </c>
      <c r="T2398" s="99" t="s">
        <v>112</v>
      </c>
      <c r="U2398" s="99" t="s">
        <v>112</v>
      </c>
      <c r="V2398" s="99" t="s">
        <v>112</v>
      </c>
      <c r="W2398" s="99" t="s">
        <v>112</v>
      </c>
      <c r="X2398" s="99" t="s">
        <v>112</v>
      </c>
      <c r="Y2398" s="99" t="s">
        <v>112</v>
      </c>
      <c r="Z2398" s="99" t="s">
        <v>112</v>
      </c>
      <c r="AA2398" s="99" t="s">
        <v>112</v>
      </c>
      <c r="AB2398" s="99" t="s">
        <v>112</v>
      </c>
      <c r="AC2398" s="99" t="s">
        <v>112</v>
      </c>
      <c r="AD2398" s="99" t="s">
        <v>112</v>
      </c>
      <c r="AE2398" s="99">
        <v>7808.1416578808703</v>
      </c>
      <c r="AF2398" s="99">
        <v>7808.1416578808703</v>
      </c>
      <c r="AG2398" s="99">
        <v>7808.1416578808703</v>
      </c>
      <c r="AH2398" s="99">
        <v>7808.1416578808703</v>
      </c>
      <c r="AI2398" s="99">
        <v>7808.1416578808703</v>
      </c>
      <c r="AJ2398" s="99">
        <v>7808.1416578808703</v>
      </c>
      <c r="AK2398" s="99">
        <v>7808.1416578808703</v>
      </c>
      <c r="AL2398" s="99">
        <v>7808.1416578808703</v>
      </c>
      <c r="AM2398" s="99">
        <v>7808.1416578808703</v>
      </c>
      <c r="AN2398" s="99">
        <v>7808.1416578808703</v>
      </c>
      <c r="AO2398" s="99">
        <v>7808.1416578808703</v>
      </c>
      <c r="AP2398" s="99">
        <v>7808.1416578808703</v>
      </c>
      <c r="AQ2398" s="99">
        <v>7808.1416578808703</v>
      </c>
      <c r="AR2398" s="99">
        <v>7808.1416578808703</v>
      </c>
      <c r="AS2398" s="99">
        <v>7808.1416578808703</v>
      </c>
      <c r="AT2398" s="99">
        <v>7808.1416578808703</v>
      </c>
      <c r="AU2398" s="99">
        <v>7808.1416578808703</v>
      </c>
      <c r="AV2398" s="99">
        <v>7808.1416578808703</v>
      </c>
      <c r="AW2398" s="99">
        <v>7808.1416578808703</v>
      </c>
      <c r="AX2398" s="100">
        <v>7808.1416578808703</v>
      </c>
    </row>
    <row r="2399" spans="1:50" x14ac:dyDescent="0.25">
      <c r="A2399" s="356"/>
      <c r="B2399" s="358" t="s">
        <v>19</v>
      </c>
      <c r="C2399" s="353" t="s">
        <v>6</v>
      </c>
      <c r="D2399" s="3" t="s">
        <v>7</v>
      </c>
      <c r="E2399" s="162" t="str">
        <f>A2373&amp;"/"&amp;B2399&amp;"/"&amp;C2399&amp;"/"&amp;D2399</f>
        <v>Coal fired power plants/Steam turbine/Electricity only/L</v>
      </c>
      <c r="F2399" s="77" t="str">
        <f>A2373</f>
        <v>Coal fired power plants</v>
      </c>
      <c r="G2399" s="77" t="str">
        <f>B2399</f>
        <v>Steam turbine</v>
      </c>
      <c r="H2399" s="77" t="str">
        <f>C2399</f>
        <v>Electricity only</v>
      </c>
      <c r="I2399" s="163" t="str">
        <f t="shared" si="118"/>
        <v>L</v>
      </c>
      <c r="J2399" s="93">
        <v>8100</v>
      </c>
      <c r="K2399" s="93">
        <v>8100</v>
      </c>
      <c r="L2399" s="93">
        <v>8100</v>
      </c>
      <c r="M2399" s="93">
        <v>8100</v>
      </c>
      <c r="N2399" s="93">
        <v>8100</v>
      </c>
      <c r="O2399" s="93">
        <v>8100</v>
      </c>
      <c r="P2399" s="93">
        <v>8100</v>
      </c>
      <c r="Q2399" s="93">
        <v>8100</v>
      </c>
      <c r="R2399" s="93">
        <v>8100</v>
      </c>
      <c r="S2399" s="93">
        <v>8100</v>
      </c>
      <c r="T2399" s="93">
        <v>8100</v>
      </c>
      <c r="U2399" s="93">
        <v>8100</v>
      </c>
      <c r="V2399" s="93">
        <v>8100</v>
      </c>
      <c r="W2399" s="93">
        <v>8100</v>
      </c>
      <c r="X2399" s="93">
        <v>8100</v>
      </c>
      <c r="Y2399" s="93">
        <v>8100</v>
      </c>
      <c r="Z2399" s="93">
        <v>8100</v>
      </c>
      <c r="AA2399" s="93">
        <v>8100</v>
      </c>
      <c r="AB2399" s="93">
        <v>8100</v>
      </c>
      <c r="AC2399" s="93">
        <v>8100</v>
      </c>
      <c r="AD2399" s="93">
        <v>8100</v>
      </c>
      <c r="AE2399" s="93">
        <v>8100</v>
      </c>
      <c r="AF2399" s="93">
        <v>8100</v>
      </c>
      <c r="AG2399" s="93">
        <v>8100</v>
      </c>
      <c r="AH2399" s="93">
        <v>8100</v>
      </c>
      <c r="AI2399" s="93">
        <v>8100</v>
      </c>
      <c r="AJ2399" s="93">
        <v>8100</v>
      </c>
      <c r="AK2399" s="93">
        <v>8100</v>
      </c>
      <c r="AL2399" s="93">
        <v>8100</v>
      </c>
      <c r="AM2399" s="93">
        <v>8100</v>
      </c>
      <c r="AN2399" s="93">
        <v>8100</v>
      </c>
      <c r="AO2399" s="93">
        <v>8100</v>
      </c>
      <c r="AP2399" s="93">
        <v>8100</v>
      </c>
      <c r="AQ2399" s="93">
        <v>8100</v>
      </c>
      <c r="AR2399" s="93">
        <v>8100</v>
      </c>
      <c r="AS2399" s="93">
        <v>8100</v>
      </c>
      <c r="AT2399" s="93">
        <v>8100</v>
      </c>
      <c r="AU2399" s="93">
        <v>8100</v>
      </c>
      <c r="AV2399" s="93">
        <v>8100</v>
      </c>
      <c r="AW2399" s="93">
        <v>8100</v>
      </c>
      <c r="AX2399" s="94">
        <v>8100</v>
      </c>
    </row>
    <row r="2400" spans="1:50" x14ac:dyDescent="0.25">
      <c r="A2400" s="356"/>
      <c r="B2400" s="359"/>
      <c r="C2400" s="350"/>
      <c r="D2400" s="2" t="s">
        <v>8</v>
      </c>
      <c r="E2400" s="160" t="str">
        <f>A2373&amp;"/"&amp;B2399&amp;"/"&amp;C2399&amp;"/"&amp;D2400</f>
        <v>Coal fired power plants/Steam turbine/Electricity only/M</v>
      </c>
      <c r="F2400" s="76" t="str">
        <f>A2373</f>
        <v>Coal fired power plants</v>
      </c>
      <c r="G2400" s="76" t="str">
        <f>B2399</f>
        <v>Steam turbine</v>
      </c>
      <c r="H2400" s="76" t="str">
        <f>C2399</f>
        <v>Electricity only</v>
      </c>
      <c r="I2400" s="161" t="str">
        <f t="shared" si="118"/>
        <v>M</v>
      </c>
      <c r="J2400" s="91">
        <v>7746.4552482992995</v>
      </c>
      <c r="K2400" s="91">
        <v>7746.4552482992995</v>
      </c>
      <c r="L2400" s="91">
        <v>7746.4552482992995</v>
      </c>
      <c r="M2400" s="91">
        <v>7746.4552482992995</v>
      </c>
      <c r="N2400" s="91">
        <v>7746.4552482992995</v>
      </c>
      <c r="O2400" s="91">
        <v>7746.4552482992995</v>
      </c>
      <c r="P2400" s="91">
        <v>7746.4552482992995</v>
      </c>
      <c r="Q2400" s="91">
        <v>7746.4552482992995</v>
      </c>
      <c r="R2400" s="91">
        <v>7746.4552482992995</v>
      </c>
      <c r="S2400" s="91">
        <v>7746.4552482992995</v>
      </c>
      <c r="T2400" s="91">
        <v>7746.4552482992995</v>
      </c>
      <c r="U2400" s="91">
        <v>7746.4552482992995</v>
      </c>
      <c r="V2400" s="91">
        <v>7746.4552482992995</v>
      </c>
      <c r="W2400" s="91">
        <v>7746.4552482992995</v>
      </c>
      <c r="X2400" s="91">
        <v>7746.4552482992995</v>
      </c>
      <c r="Y2400" s="91">
        <v>7746.4552482992995</v>
      </c>
      <c r="Z2400" s="91">
        <v>7746.4552482992995</v>
      </c>
      <c r="AA2400" s="91">
        <v>7746.4552482992995</v>
      </c>
      <c r="AB2400" s="91">
        <v>7746.4552482992995</v>
      </c>
      <c r="AC2400" s="91">
        <v>7746.4552482992995</v>
      </c>
      <c r="AD2400" s="91">
        <v>7746.4552482992995</v>
      </c>
      <c r="AE2400" s="91">
        <v>7746.4552482992995</v>
      </c>
      <c r="AF2400" s="91">
        <v>7746.4552482992995</v>
      </c>
      <c r="AG2400" s="91">
        <v>7746.4552482992995</v>
      </c>
      <c r="AH2400" s="91">
        <v>7746.4552482992995</v>
      </c>
      <c r="AI2400" s="91">
        <v>7746.4552482992995</v>
      </c>
      <c r="AJ2400" s="91">
        <v>7746.4552482992995</v>
      </c>
      <c r="AK2400" s="91">
        <v>7746.4552482992995</v>
      </c>
      <c r="AL2400" s="91">
        <v>7746.4552482992995</v>
      </c>
      <c r="AM2400" s="91">
        <v>7746.4552482992995</v>
      </c>
      <c r="AN2400" s="91">
        <v>7746.4552482992995</v>
      </c>
      <c r="AO2400" s="91">
        <v>7746.4552482992995</v>
      </c>
      <c r="AP2400" s="91">
        <v>7746.4552482992995</v>
      </c>
      <c r="AQ2400" s="91">
        <v>7746.4552482992995</v>
      </c>
      <c r="AR2400" s="91">
        <v>7746.4552482992995</v>
      </c>
      <c r="AS2400" s="91">
        <v>7746.4552482992995</v>
      </c>
      <c r="AT2400" s="91">
        <v>7746.4552482992995</v>
      </c>
      <c r="AU2400" s="91">
        <v>7746.4552482992995</v>
      </c>
      <c r="AV2400" s="91">
        <v>7746.4552482992995</v>
      </c>
      <c r="AW2400" s="91">
        <v>7746.4552482992995</v>
      </c>
      <c r="AX2400" s="92">
        <v>7746.4552482992995</v>
      </c>
    </row>
    <row r="2401" spans="1:50" x14ac:dyDescent="0.25">
      <c r="A2401" s="356"/>
      <c r="B2401" s="359"/>
      <c r="C2401" s="350"/>
      <c r="D2401" s="2" t="s">
        <v>10</v>
      </c>
      <c r="E2401" s="160" t="str">
        <f>A2373&amp;"/"&amp;B2399&amp;"/"&amp;C2399&amp;"/"&amp;D2401</f>
        <v>Coal fired power plants/Steam turbine/Electricity only/S</v>
      </c>
      <c r="F2401" s="76" t="str">
        <f>A2373</f>
        <v>Coal fired power plants</v>
      </c>
      <c r="G2401" s="76" t="str">
        <f>B2399</f>
        <v>Steam turbine</v>
      </c>
      <c r="H2401" s="76" t="str">
        <f>C2399</f>
        <v>Electricity only</v>
      </c>
      <c r="I2401" s="161" t="str">
        <f t="shared" si="118"/>
        <v>S</v>
      </c>
      <c r="J2401" s="91">
        <v>7313.3316567242173</v>
      </c>
      <c r="K2401" s="91">
        <v>7313.3316567242173</v>
      </c>
      <c r="L2401" s="91">
        <v>7313.3316567242173</v>
      </c>
      <c r="M2401" s="91">
        <v>7313.3316567242173</v>
      </c>
      <c r="N2401" s="91">
        <v>7313.3316567242173</v>
      </c>
      <c r="O2401" s="91">
        <v>7313.3316567242173</v>
      </c>
      <c r="P2401" s="91">
        <v>7313.3316567242173</v>
      </c>
      <c r="Q2401" s="91">
        <v>7313.3316567242173</v>
      </c>
      <c r="R2401" s="91">
        <v>7313.3316567242173</v>
      </c>
      <c r="S2401" s="91">
        <v>7313.3316567242173</v>
      </c>
      <c r="T2401" s="91">
        <v>7313.3316567242173</v>
      </c>
      <c r="U2401" s="91">
        <v>7313.3316567242173</v>
      </c>
      <c r="V2401" s="91">
        <v>7313.3316567242173</v>
      </c>
      <c r="W2401" s="91">
        <v>7313.3316567242173</v>
      </c>
      <c r="X2401" s="91">
        <v>7313.3316567242173</v>
      </c>
      <c r="Y2401" s="91">
        <v>7313.3316567242173</v>
      </c>
      <c r="Z2401" s="91">
        <v>7313.3316567242173</v>
      </c>
      <c r="AA2401" s="91">
        <v>7313.3316567242173</v>
      </c>
      <c r="AB2401" s="91">
        <v>7313.3316567242173</v>
      </c>
      <c r="AC2401" s="91">
        <v>7313.3316567242173</v>
      </c>
      <c r="AD2401" s="91">
        <v>7313.3316567242173</v>
      </c>
      <c r="AE2401" s="91">
        <v>7313.3316567242173</v>
      </c>
      <c r="AF2401" s="91">
        <v>7313.3316567242173</v>
      </c>
      <c r="AG2401" s="91">
        <v>7313.3316567242173</v>
      </c>
      <c r="AH2401" s="91">
        <v>7313.3316567242173</v>
      </c>
      <c r="AI2401" s="91">
        <v>7313.3316567242173</v>
      </c>
      <c r="AJ2401" s="91">
        <v>7313.3316567242173</v>
      </c>
      <c r="AK2401" s="91">
        <v>7313.3316567242173</v>
      </c>
      <c r="AL2401" s="91">
        <v>7313.3316567242173</v>
      </c>
      <c r="AM2401" s="91">
        <v>7313.3316567242173</v>
      </c>
      <c r="AN2401" s="91">
        <v>7313.3316567242173</v>
      </c>
      <c r="AO2401" s="91">
        <v>7313.3316567242173</v>
      </c>
      <c r="AP2401" s="91">
        <v>7313.3316567242173</v>
      </c>
      <c r="AQ2401" s="91">
        <v>7313.3316567242173</v>
      </c>
      <c r="AR2401" s="91">
        <v>7313.3316567242173</v>
      </c>
      <c r="AS2401" s="91">
        <v>7313.3316567242173</v>
      </c>
      <c r="AT2401" s="91">
        <v>7313.3316567242173</v>
      </c>
      <c r="AU2401" s="91">
        <v>7313.3316567242173</v>
      </c>
      <c r="AV2401" s="91">
        <v>7313.3316567242173</v>
      </c>
      <c r="AW2401" s="91">
        <v>7313.3316567242173</v>
      </c>
      <c r="AX2401" s="92">
        <v>7313.3316567242173</v>
      </c>
    </row>
    <row r="2402" spans="1:50" x14ac:dyDescent="0.25">
      <c r="A2402" s="356"/>
      <c r="B2402" s="359"/>
      <c r="C2402" s="360"/>
      <c r="D2402" s="2" t="s">
        <v>20</v>
      </c>
      <c r="E2402" s="160" t="str">
        <f>A2373&amp;"/"&amp;B2399&amp;"/"&amp;C2399&amp;"/"&amp;D2402</f>
        <v>Coal fired power plants/Steam turbine/Electricity only/XS</v>
      </c>
      <c r="F2402" s="76" t="str">
        <f>A2373</f>
        <v>Coal fired power plants</v>
      </c>
      <c r="G2402" s="76" t="str">
        <f>B2399</f>
        <v>Steam turbine</v>
      </c>
      <c r="H2402" s="76" t="str">
        <f>C2399</f>
        <v>Electricity only</v>
      </c>
      <c r="I2402" s="161" t="str">
        <f t="shared" si="118"/>
        <v>XS</v>
      </c>
      <c r="J2402" s="91">
        <v>7079.4424246623612</v>
      </c>
      <c r="K2402" s="91">
        <v>7079.4424246623612</v>
      </c>
      <c r="L2402" s="91">
        <v>7079.4424246623612</v>
      </c>
      <c r="M2402" s="91">
        <v>7079.4424246623612</v>
      </c>
      <c r="N2402" s="91">
        <v>7079.4424246623612</v>
      </c>
      <c r="O2402" s="91">
        <v>7079.4424246623612</v>
      </c>
      <c r="P2402" s="91">
        <v>7079.4424246623612</v>
      </c>
      <c r="Q2402" s="91">
        <v>7079.4424246623612</v>
      </c>
      <c r="R2402" s="91">
        <v>7079.4424246623612</v>
      </c>
      <c r="S2402" s="91">
        <v>7079.4424246623612</v>
      </c>
      <c r="T2402" s="91">
        <v>7079.4424246623612</v>
      </c>
      <c r="U2402" s="91">
        <v>7079.4424246623612</v>
      </c>
      <c r="V2402" s="91">
        <v>7079.4424246623612</v>
      </c>
      <c r="W2402" s="91">
        <v>7079.4424246623612</v>
      </c>
      <c r="X2402" s="91">
        <v>7079.4424246623612</v>
      </c>
      <c r="Y2402" s="91">
        <v>7079.4424246623612</v>
      </c>
      <c r="Z2402" s="91">
        <v>7079.4424246623612</v>
      </c>
      <c r="AA2402" s="91">
        <v>7079.4424246623612</v>
      </c>
      <c r="AB2402" s="91">
        <v>7079.4424246623612</v>
      </c>
      <c r="AC2402" s="91">
        <v>7079.4424246623612</v>
      </c>
      <c r="AD2402" s="91">
        <v>7079.4424246623612</v>
      </c>
      <c r="AE2402" s="91">
        <v>7079.4424246623612</v>
      </c>
      <c r="AF2402" s="91">
        <v>7079.4424246623612</v>
      </c>
      <c r="AG2402" s="91">
        <v>7079.4424246623612</v>
      </c>
      <c r="AH2402" s="91">
        <v>7079.4424246623612</v>
      </c>
      <c r="AI2402" s="91">
        <v>7079.4424246623612</v>
      </c>
      <c r="AJ2402" s="91">
        <v>7079.4424246623612</v>
      </c>
      <c r="AK2402" s="91">
        <v>7079.4424246623612</v>
      </c>
      <c r="AL2402" s="91">
        <v>7079.4424246623612</v>
      </c>
      <c r="AM2402" s="91">
        <v>7079.4424246623612</v>
      </c>
      <c r="AN2402" s="91">
        <v>7079.4424246623612</v>
      </c>
      <c r="AO2402" s="91">
        <v>7079.4424246623612</v>
      </c>
      <c r="AP2402" s="91">
        <v>7079.4424246623612</v>
      </c>
      <c r="AQ2402" s="91">
        <v>7079.4424246623612</v>
      </c>
      <c r="AR2402" s="91">
        <v>7079.4424246623612</v>
      </c>
      <c r="AS2402" s="91">
        <v>7079.4424246623612</v>
      </c>
      <c r="AT2402" s="91">
        <v>7079.4424246623612</v>
      </c>
      <c r="AU2402" s="91">
        <v>7079.4424246623612</v>
      </c>
      <c r="AV2402" s="91">
        <v>7079.4424246623612</v>
      </c>
      <c r="AW2402" s="91">
        <v>7079.4424246623612</v>
      </c>
      <c r="AX2402" s="92">
        <v>7079.4424246623612</v>
      </c>
    </row>
    <row r="2403" spans="1:50" x14ac:dyDescent="0.25">
      <c r="A2403" s="356"/>
      <c r="B2403" s="359"/>
      <c r="C2403" s="361" t="s">
        <v>14</v>
      </c>
      <c r="D2403" s="58" t="s">
        <v>7</v>
      </c>
      <c r="E2403" s="164" t="str">
        <f>A2373&amp;"/"&amp;B2399&amp;"/"&amp;C2403&amp;"/"&amp;D2403</f>
        <v>Coal fired power plants/Steam turbine/CHP/L</v>
      </c>
      <c r="F2403" s="78" t="str">
        <f>A2373</f>
        <v>Coal fired power plants</v>
      </c>
      <c r="G2403" s="78" t="str">
        <f>B2399</f>
        <v>Steam turbine</v>
      </c>
      <c r="H2403" s="78" t="str">
        <f>C2403</f>
        <v>CHP</v>
      </c>
      <c r="I2403" s="165" t="str">
        <f t="shared" si="118"/>
        <v>L</v>
      </c>
      <c r="J2403" s="95">
        <v>8100</v>
      </c>
      <c r="K2403" s="95">
        <v>8100</v>
      </c>
      <c r="L2403" s="95">
        <v>8100</v>
      </c>
      <c r="M2403" s="95">
        <v>8100</v>
      </c>
      <c r="N2403" s="95">
        <v>8100</v>
      </c>
      <c r="O2403" s="95">
        <v>8100</v>
      </c>
      <c r="P2403" s="95">
        <v>8100</v>
      </c>
      <c r="Q2403" s="95">
        <v>8100</v>
      </c>
      <c r="R2403" s="95">
        <v>8100</v>
      </c>
      <c r="S2403" s="95">
        <v>8100</v>
      </c>
      <c r="T2403" s="95">
        <v>8100</v>
      </c>
      <c r="U2403" s="95">
        <v>8100</v>
      </c>
      <c r="V2403" s="95">
        <v>8100</v>
      </c>
      <c r="W2403" s="95">
        <v>8100</v>
      </c>
      <c r="X2403" s="95">
        <v>8100</v>
      </c>
      <c r="Y2403" s="95">
        <v>8100</v>
      </c>
      <c r="Z2403" s="95">
        <v>8100</v>
      </c>
      <c r="AA2403" s="95">
        <v>8100</v>
      </c>
      <c r="AB2403" s="95">
        <v>8100</v>
      </c>
      <c r="AC2403" s="95">
        <v>8100</v>
      </c>
      <c r="AD2403" s="95">
        <v>8100</v>
      </c>
      <c r="AE2403" s="95">
        <v>8100</v>
      </c>
      <c r="AF2403" s="95">
        <v>8100</v>
      </c>
      <c r="AG2403" s="95">
        <v>8100</v>
      </c>
      <c r="AH2403" s="95">
        <v>8100</v>
      </c>
      <c r="AI2403" s="95">
        <v>8100</v>
      </c>
      <c r="AJ2403" s="95">
        <v>8100</v>
      </c>
      <c r="AK2403" s="95">
        <v>8100</v>
      </c>
      <c r="AL2403" s="95">
        <v>8100</v>
      </c>
      <c r="AM2403" s="95">
        <v>8100</v>
      </c>
      <c r="AN2403" s="95">
        <v>8100</v>
      </c>
      <c r="AO2403" s="95">
        <v>8100</v>
      </c>
      <c r="AP2403" s="95">
        <v>8100</v>
      </c>
      <c r="AQ2403" s="95">
        <v>8100</v>
      </c>
      <c r="AR2403" s="95">
        <v>8100</v>
      </c>
      <c r="AS2403" s="95">
        <v>8100</v>
      </c>
      <c r="AT2403" s="95">
        <v>8100</v>
      </c>
      <c r="AU2403" s="95">
        <v>8100</v>
      </c>
      <c r="AV2403" s="95">
        <v>8100</v>
      </c>
      <c r="AW2403" s="95">
        <v>8100</v>
      </c>
      <c r="AX2403" s="96">
        <v>8100</v>
      </c>
    </row>
    <row r="2404" spans="1:50" x14ac:dyDescent="0.25">
      <c r="A2404" s="356"/>
      <c r="B2404" s="359"/>
      <c r="C2404" s="350"/>
      <c r="D2404" s="2" t="s">
        <v>8</v>
      </c>
      <c r="E2404" s="160" t="str">
        <f>A2373&amp;"/"&amp;B2399&amp;"/"&amp;C2403&amp;"/"&amp;D2404</f>
        <v>Coal fired power plants/Steam turbine/CHP/M</v>
      </c>
      <c r="F2404" s="76" t="str">
        <f>A2373</f>
        <v>Coal fired power plants</v>
      </c>
      <c r="G2404" s="76" t="str">
        <f>B2399</f>
        <v>Steam turbine</v>
      </c>
      <c r="H2404" s="76" t="str">
        <f>C2403</f>
        <v>CHP</v>
      </c>
      <c r="I2404" s="161" t="str">
        <f t="shared" si="118"/>
        <v>M</v>
      </c>
      <c r="J2404" s="91">
        <v>7746.4552482992995</v>
      </c>
      <c r="K2404" s="91">
        <v>7746.4552482992995</v>
      </c>
      <c r="L2404" s="91">
        <v>7746.4552482992995</v>
      </c>
      <c r="M2404" s="91">
        <v>7746.4552482992995</v>
      </c>
      <c r="N2404" s="91">
        <v>7746.4552482992995</v>
      </c>
      <c r="O2404" s="91">
        <v>7746.4552482992995</v>
      </c>
      <c r="P2404" s="91">
        <v>7746.4552482992995</v>
      </c>
      <c r="Q2404" s="91">
        <v>7746.4552482992995</v>
      </c>
      <c r="R2404" s="91">
        <v>7746.4552482992995</v>
      </c>
      <c r="S2404" s="91">
        <v>7746.4552482992995</v>
      </c>
      <c r="T2404" s="91">
        <v>7746.4552482992995</v>
      </c>
      <c r="U2404" s="91">
        <v>7746.4552482992995</v>
      </c>
      <c r="V2404" s="91">
        <v>7746.4552482992995</v>
      </c>
      <c r="W2404" s="91">
        <v>7746.4552482992995</v>
      </c>
      <c r="X2404" s="91">
        <v>7746.4552482992995</v>
      </c>
      <c r="Y2404" s="91">
        <v>7746.4552482992995</v>
      </c>
      <c r="Z2404" s="91">
        <v>7746.4552482992995</v>
      </c>
      <c r="AA2404" s="91">
        <v>7746.4552482992995</v>
      </c>
      <c r="AB2404" s="91">
        <v>7746.4552482992995</v>
      </c>
      <c r="AC2404" s="91">
        <v>7746.4552482992995</v>
      </c>
      <c r="AD2404" s="91">
        <v>7746.4552482992995</v>
      </c>
      <c r="AE2404" s="91">
        <v>7746.4552482992995</v>
      </c>
      <c r="AF2404" s="91">
        <v>7746.4552482992995</v>
      </c>
      <c r="AG2404" s="91">
        <v>7746.4552482992995</v>
      </c>
      <c r="AH2404" s="91">
        <v>7746.4552482992995</v>
      </c>
      <c r="AI2404" s="91">
        <v>7746.4552482992995</v>
      </c>
      <c r="AJ2404" s="91">
        <v>7746.4552482992995</v>
      </c>
      <c r="AK2404" s="91">
        <v>7746.4552482992995</v>
      </c>
      <c r="AL2404" s="91">
        <v>7746.4552482992995</v>
      </c>
      <c r="AM2404" s="91">
        <v>7746.4552482992995</v>
      </c>
      <c r="AN2404" s="91">
        <v>7746.4552482992995</v>
      </c>
      <c r="AO2404" s="91">
        <v>7746.4552482992995</v>
      </c>
      <c r="AP2404" s="91">
        <v>7746.4552482992995</v>
      </c>
      <c r="AQ2404" s="91">
        <v>7746.4552482992995</v>
      </c>
      <c r="AR2404" s="91">
        <v>7746.4552482992995</v>
      </c>
      <c r="AS2404" s="91">
        <v>7746.4552482992995</v>
      </c>
      <c r="AT2404" s="91">
        <v>7746.4552482992995</v>
      </c>
      <c r="AU2404" s="91">
        <v>7746.4552482992995</v>
      </c>
      <c r="AV2404" s="91">
        <v>7746.4552482992995</v>
      </c>
      <c r="AW2404" s="91">
        <v>7746.4552482992995</v>
      </c>
      <c r="AX2404" s="92">
        <v>7746.4552482992995</v>
      </c>
    </row>
    <row r="2405" spans="1:50" x14ac:dyDescent="0.25">
      <c r="A2405" s="356"/>
      <c r="B2405" s="359"/>
      <c r="C2405" s="350"/>
      <c r="D2405" s="2" t="s">
        <v>10</v>
      </c>
      <c r="E2405" s="160" t="str">
        <f>A2373&amp;"/"&amp;B2399&amp;"/"&amp;C2403&amp;"/"&amp;D2405</f>
        <v>Coal fired power plants/Steam turbine/CHP/S</v>
      </c>
      <c r="F2405" s="76" t="str">
        <f>A2373</f>
        <v>Coal fired power plants</v>
      </c>
      <c r="G2405" s="76" t="str">
        <f>B2399</f>
        <v>Steam turbine</v>
      </c>
      <c r="H2405" s="76" t="str">
        <f>C2403</f>
        <v>CHP</v>
      </c>
      <c r="I2405" s="161" t="str">
        <f t="shared" si="118"/>
        <v>S</v>
      </c>
      <c r="J2405" s="91">
        <v>7313.3316567242173</v>
      </c>
      <c r="K2405" s="91">
        <v>7313.3316567242173</v>
      </c>
      <c r="L2405" s="91">
        <v>7313.3316567242173</v>
      </c>
      <c r="M2405" s="91">
        <v>7313.3316567242173</v>
      </c>
      <c r="N2405" s="91">
        <v>7313.3316567242173</v>
      </c>
      <c r="O2405" s="91">
        <v>7313.3316567242173</v>
      </c>
      <c r="P2405" s="91">
        <v>7313.3316567242173</v>
      </c>
      <c r="Q2405" s="91">
        <v>7313.3316567242173</v>
      </c>
      <c r="R2405" s="91">
        <v>7313.3316567242173</v>
      </c>
      <c r="S2405" s="91">
        <v>7313.3316567242173</v>
      </c>
      <c r="T2405" s="91">
        <v>7313.3316567242173</v>
      </c>
      <c r="U2405" s="91">
        <v>7313.3316567242173</v>
      </c>
      <c r="V2405" s="91">
        <v>7313.3316567242173</v>
      </c>
      <c r="W2405" s="91">
        <v>7313.3316567242173</v>
      </c>
      <c r="X2405" s="91">
        <v>7313.3316567242173</v>
      </c>
      <c r="Y2405" s="91">
        <v>7313.3316567242173</v>
      </c>
      <c r="Z2405" s="91">
        <v>7313.3316567242173</v>
      </c>
      <c r="AA2405" s="91">
        <v>7313.3316567242173</v>
      </c>
      <c r="AB2405" s="91">
        <v>7313.3316567242173</v>
      </c>
      <c r="AC2405" s="91">
        <v>7313.3316567242173</v>
      </c>
      <c r="AD2405" s="91">
        <v>7313.3316567242173</v>
      </c>
      <c r="AE2405" s="91">
        <v>7313.3316567242173</v>
      </c>
      <c r="AF2405" s="91">
        <v>7313.3316567242173</v>
      </c>
      <c r="AG2405" s="91">
        <v>7313.3316567242173</v>
      </c>
      <c r="AH2405" s="91">
        <v>7313.3316567242173</v>
      </c>
      <c r="AI2405" s="91">
        <v>7313.3316567242173</v>
      </c>
      <c r="AJ2405" s="91">
        <v>7313.3316567242173</v>
      </c>
      <c r="AK2405" s="91">
        <v>7313.3316567242173</v>
      </c>
      <c r="AL2405" s="91">
        <v>7313.3316567242173</v>
      </c>
      <c r="AM2405" s="91">
        <v>7313.3316567242173</v>
      </c>
      <c r="AN2405" s="91">
        <v>7313.3316567242173</v>
      </c>
      <c r="AO2405" s="91">
        <v>7313.3316567242173</v>
      </c>
      <c r="AP2405" s="91">
        <v>7313.3316567242173</v>
      </c>
      <c r="AQ2405" s="91">
        <v>7313.3316567242173</v>
      </c>
      <c r="AR2405" s="91">
        <v>7313.3316567242173</v>
      </c>
      <c r="AS2405" s="91">
        <v>7313.3316567242173</v>
      </c>
      <c r="AT2405" s="91">
        <v>7313.3316567242173</v>
      </c>
      <c r="AU2405" s="91">
        <v>7313.3316567242173</v>
      </c>
      <c r="AV2405" s="91">
        <v>7313.3316567242173</v>
      </c>
      <c r="AW2405" s="91">
        <v>7313.3316567242173</v>
      </c>
      <c r="AX2405" s="92">
        <v>7313.3316567242173</v>
      </c>
    </row>
    <row r="2406" spans="1:50" x14ac:dyDescent="0.25">
      <c r="A2406" s="356"/>
      <c r="B2406" s="359"/>
      <c r="C2406" s="360"/>
      <c r="D2406" s="59" t="s">
        <v>20</v>
      </c>
      <c r="E2406" s="166" t="str">
        <f>A2373&amp;"/"&amp;B2399&amp;"/"&amp;C2403&amp;"/"&amp;D2406</f>
        <v>Coal fired power plants/Steam turbine/CHP/XS</v>
      </c>
      <c r="F2406" s="79" t="str">
        <f>A2373</f>
        <v>Coal fired power plants</v>
      </c>
      <c r="G2406" s="79" t="str">
        <f>B2399</f>
        <v>Steam turbine</v>
      </c>
      <c r="H2406" s="79" t="str">
        <f>C2403</f>
        <v>CHP</v>
      </c>
      <c r="I2406" s="167" t="str">
        <f t="shared" si="118"/>
        <v>XS</v>
      </c>
      <c r="J2406" s="97">
        <v>7079.4424246623612</v>
      </c>
      <c r="K2406" s="97">
        <v>7079.4424246623612</v>
      </c>
      <c r="L2406" s="97">
        <v>7079.4424246623612</v>
      </c>
      <c r="M2406" s="97">
        <v>7079.4424246623612</v>
      </c>
      <c r="N2406" s="97">
        <v>7079.4424246623612</v>
      </c>
      <c r="O2406" s="97">
        <v>7079.4424246623612</v>
      </c>
      <c r="P2406" s="97">
        <v>7079.4424246623612</v>
      </c>
      <c r="Q2406" s="97">
        <v>7079.4424246623612</v>
      </c>
      <c r="R2406" s="97">
        <v>7079.4424246623612</v>
      </c>
      <c r="S2406" s="97">
        <v>7079.4424246623612</v>
      </c>
      <c r="T2406" s="97">
        <v>7079.4424246623612</v>
      </c>
      <c r="U2406" s="97">
        <v>7079.4424246623612</v>
      </c>
      <c r="V2406" s="97">
        <v>7079.4424246623612</v>
      </c>
      <c r="W2406" s="97">
        <v>7079.4424246623612</v>
      </c>
      <c r="X2406" s="97">
        <v>7079.4424246623612</v>
      </c>
      <c r="Y2406" s="97">
        <v>7079.4424246623612</v>
      </c>
      <c r="Z2406" s="97">
        <v>7079.4424246623612</v>
      </c>
      <c r="AA2406" s="97">
        <v>7079.4424246623612</v>
      </c>
      <c r="AB2406" s="97">
        <v>7079.4424246623612</v>
      </c>
      <c r="AC2406" s="97">
        <v>7079.4424246623612</v>
      </c>
      <c r="AD2406" s="97">
        <v>7079.4424246623612</v>
      </c>
      <c r="AE2406" s="97">
        <v>7079.4424246623612</v>
      </c>
      <c r="AF2406" s="97">
        <v>7079.4424246623612</v>
      </c>
      <c r="AG2406" s="97">
        <v>7079.4424246623612</v>
      </c>
      <c r="AH2406" s="97">
        <v>7079.4424246623612</v>
      </c>
      <c r="AI2406" s="97">
        <v>7079.4424246623612</v>
      </c>
      <c r="AJ2406" s="97">
        <v>7079.4424246623612</v>
      </c>
      <c r="AK2406" s="97">
        <v>7079.4424246623612</v>
      </c>
      <c r="AL2406" s="97">
        <v>7079.4424246623612</v>
      </c>
      <c r="AM2406" s="97">
        <v>7079.4424246623612</v>
      </c>
      <c r="AN2406" s="97">
        <v>7079.4424246623612</v>
      </c>
      <c r="AO2406" s="97">
        <v>7079.4424246623612</v>
      </c>
      <c r="AP2406" s="97">
        <v>7079.4424246623612</v>
      </c>
      <c r="AQ2406" s="97">
        <v>7079.4424246623612</v>
      </c>
      <c r="AR2406" s="97">
        <v>7079.4424246623612</v>
      </c>
      <c r="AS2406" s="97">
        <v>7079.4424246623612</v>
      </c>
      <c r="AT2406" s="97">
        <v>7079.4424246623612</v>
      </c>
      <c r="AU2406" s="97">
        <v>7079.4424246623612</v>
      </c>
      <c r="AV2406" s="97">
        <v>7079.4424246623612</v>
      </c>
      <c r="AW2406" s="97">
        <v>7079.4424246623612</v>
      </c>
      <c r="AX2406" s="98">
        <v>7079.4424246623612</v>
      </c>
    </row>
    <row r="2407" spans="1:50" x14ac:dyDescent="0.25">
      <c r="A2407" s="356"/>
      <c r="B2407" s="359"/>
      <c r="C2407" s="361" t="s">
        <v>15</v>
      </c>
      <c r="D2407" s="58" t="s">
        <v>7</v>
      </c>
      <c r="E2407" s="164" t="str">
        <f>A2373&amp;"/"&amp;B2399&amp;"/"&amp;C2407&amp;"/"&amp;D2407</f>
        <v>Coal fired power plants/Steam turbine/Electricity only with CCS/L</v>
      </c>
      <c r="F2407" s="78" t="str">
        <f>A2373</f>
        <v>Coal fired power plants</v>
      </c>
      <c r="G2407" s="78" t="str">
        <f>B2399</f>
        <v>Steam turbine</v>
      </c>
      <c r="H2407" s="78" t="str">
        <f>C2407</f>
        <v>Electricity only with CCS</v>
      </c>
      <c r="I2407" s="165" t="str">
        <f t="shared" si="118"/>
        <v>L</v>
      </c>
      <c r="J2407" s="95" t="s">
        <v>112</v>
      </c>
      <c r="K2407" s="95" t="s">
        <v>112</v>
      </c>
      <c r="L2407" s="95" t="s">
        <v>112</v>
      </c>
      <c r="M2407" s="95" t="s">
        <v>112</v>
      </c>
      <c r="N2407" s="95" t="s">
        <v>112</v>
      </c>
      <c r="O2407" s="95" t="s">
        <v>112</v>
      </c>
      <c r="P2407" s="95" t="s">
        <v>112</v>
      </c>
      <c r="Q2407" s="95" t="s">
        <v>112</v>
      </c>
      <c r="R2407" s="95" t="s">
        <v>112</v>
      </c>
      <c r="S2407" s="95" t="s">
        <v>112</v>
      </c>
      <c r="T2407" s="95" t="s">
        <v>112</v>
      </c>
      <c r="U2407" s="95" t="s">
        <v>112</v>
      </c>
      <c r="V2407" s="95" t="s">
        <v>112</v>
      </c>
      <c r="W2407" s="95" t="s">
        <v>112</v>
      </c>
      <c r="X2407" s="95" t="s">
        <v>112</v>
      </c>
      <c r="Y2407" s="95" t="s">
        <v>112</v>
      </c>
      <c r="Z2407" s="95" t="s">
        <v>112</v>
      </c>
      <c r="AA2407" s="95" t="s">
        <v>112</v>
      </c>
      <c r="AB2407" s="95" t="s">
        <v>112</v>
      </c>
      <c r="AC2407" s="95" t="s">
        <v>112</v>
      </c>
      <c r="AD2407" s="95" t="s">
        <v>112</v>
      </c>
      <c r="AE2407" s="95">
        <v>8100</v>
      </c>
      <c r="AF2407" s="95">
        <v>8100</v>
      </c>
      <c r="AG2407" s="95">
        <v>8100</v>
      </c>
      <c r="AH2407" s="95">
        <v>8100</v>
      </c>
      <c r="AI2407" s="95">
        <v>8100</v>
      </c>
      <c r="AJ2407" s="95">
        <v>8100</v>
      </c>
      <c r="AK2407" s="95">
        <v>8100</v>
      </c>
      <c r="AL2407" s="95">
        <v>8100</v>
      </c>
      <c r="AM2407" s="95">
        <v>8100</v>
      </c>
      <c r="AN2407" s="95">
        <v>8100</v>
      </c>
      <c r="AO2407" s="95">
        <v>8100</v>
      </c>
      <c r="AP2407" s="95">
        <v>8100</v>
      </c>
      <c r="AQ2407" s="95">
        <v>8100</v>
      </c>
      <c r="AR2407" s="95">
        <v>8100</v>
      </c>
      <c r="AS2407" s="95">
        <v>8100</v>
      </c>
      <c r="AT2407" s="95">
        <v>8100</v>
      </c>
      <c r="AU2407" s="95">
        <v>8100</v>
      </c>
      <c r="AV2407" s="95">
        <v>8100</v>
      </c>
      <c r="AW2407" s="95">
        <v>8100</v>
      </c>
      <c r="AX2407" s="96">
        <v>8100</v>
      </c>
    </row>
    <row r="2408" spans="1:50" x14ac:dyDescent="0.25">
      <c r="A2408" s="356"/>
      <c r="B2408" s="359"/>
      <c r="C2408" s="360"/>
      <c r="D2408" s="59" t="s">
        <v>8</v>
      </c>
      <c r="E2408" s="166" t="str">
        <f>A2373&amp;"/"&amp;B2399&amp;"/"&amp;C2407&amp;"/"&amp;D2408</f>
        <v>Coal fired power plants/Steam turbine/Electricity only with CCS/M</v>
      </c>
      <c r="F2408" s="79" t="str">
        <f>A2373</f>
        <v>Coal fired power plants</v>
      </c>
      <c r="G2408" s="79" t="str">
        <f>B2399</f>
        <v>Steam turbine</v>
      </c>
      <c r="H2408" s="79" t="str">
        <f>C2407</f>
        <v>Electricity only with CCS</v>
      </c>
      <c r="I2408" s="167" t="str">
        <f t="shared" si="118"/>
        <v>M</v>
      </c>
      <c r="J2408" s="97" t="s">
        <v>112</v>
      </c>
      <c r="K2408" s="97" t="s">
        <v>112</v>
      </c>
      <c r="L2408" s="97" t="s">
        <v>112</v>
      </c>
      <c r="M2408" s="97" t="s">
        <v>112</v>
      </c>
      <c r="N2408" s="97" t="s">
        <v>112</v>
      </c>
      <c r="O2408" s="97" t="s">
        <v>112</v>
      </c>
      <c r="P2408" s="97" t="s">
        <v>112</v>
      </c>
      <c r="Q2408" s="97" t="s">
        <v>112</v>
      </c>
      <c r="R2408" s="97" t="s">
        <v>112</v>
      </c>
      <c r="S2408" s="97" t="s">
        <v>112</v>
      </c>
      <c r="T2408" s="97" t="s">
        <v>112</v>
      </c>
      <c r="U2408" s="97" t="s">
        <v>112</v>
      </c>
      <c r="V2408" s="97" t="s">
        <v>112</v>
      </c>
      <c r="W2408" s="97" t="s">
        <v>112</v>
      </c>
      <c r="X2408" s="97" t="s">
        <v>112</v>
      </c>
      <c r="Y2408" s="97" t="s">
        <v>112</v>
      </c>
      <c r="Z2408" s="97" t="s">
        <v>112</v>
      </c>
      <c r="AA2408" s="97" t="s">
        <v>112</v>
      </c>
      <c r="AB2408" s="97" t="s">
        <v>112</v>
      </c>
      <c r="AC2408" s="97" t="s">
        <v>112</v>
      </c>
      <c r="AD2408" s="97" t="s">
        <v>112</v>
      </c>
      <c r="AE2408" s="97">
        <v>7746.4552482992995</v>
      </c>
      <c r="AF2408" s="97">
        <v>7746.4552482992995</v>
      </c>
      <c r="AG2408" s="97">
        <v>7746.4552482992995</v>
      </c>
      <c r="AH2408" s="97">
        <v>7746.4552482992995</v>
      </c>
      <c r="AI2408" s="97">
        <v>7746.4552482992995</v>
      </c>
      <c r="AJ2408" s="97">
        <v>7746.4552482992995</v>
      </c>
      <c r="AK2408" s="97">
        <v>7746.4552482992995</v>
      </c>
      <c r="AL2408" s="97">
        <v>7746.4552482992995</v>
      </c>
      <c r="AM2408" s="97">
        <v>7746.4552482992995</v>
      </c>
      <c r="AN2408" s="97">
        <v>7746.4552482992995</v>
      </c>
      <c r="AO2408" s="97">
        <v>7746.4552482992995</v>
      </c>
      <c r="AP2408" s="97">
        <v>7746.4552482992995</v>
      </c>
      <c r="AQ2408" s="97">
        <v>7746.4552482992995</v>
      </c>
      <c r="AR2408" s="97">
        <v>7746.4552482992995</v>
      </c>
      <c r="AS2408" s="97">
        <v>7746.4552482992995</v>
      </c>
      <c r="AT2408" s="97">
        <v>7746.4552482992995</v>
      </c>
      <c r="AU2408" s="97">
        <v>7746.4552482992995</v>
      </c>
      <c r="AV2408" s="97">
        <v>7746.4552482992995</v>
      </c>
      <c r="AW2408" s="97">
        <v>7746.4552482992995</v>
      </c>
      <c r="AX2408" s="98">
        <v>7746.4552482992995</v>
      </c>
    </row>
    <row r="2409" spans="1:50" x14ac:dyDescent="0.25">
      <c r="A2409" s="356"/>
      <c r="B2409" s="359"/>
      <c r="C2409" s="361" t="s">
        <v>16</v>
      </c>
      <c r="D2409" s="2" t="s">
        <v>7</v>
      </c>
      <c r="E2409" s="160" t="str">
        <f>A2373&amp;"/"&amp;B2399&amp;"/"&amp;C2409&amp;"/"&amp;D2409</f>
        <v>Coal fired power plants/Steam turbine/CHP with CCS/L</v>
      </c>
      <c r="F2409" s="76" t="str">
        <f>A2373</f>
        <v>Coal fired power plants</v>
      </c>
      <c r="G2409" s="76" t="str">
        <f>B2399</f>
        <v>Steam turbine</v>
      </c>
      <c r="H2409" s="76" t="str">
        <f>C2409</f>
        <v>CHP with CCS</v>
      </c>
      <c r="I2409" s="161" t="str">
        <f t="shared" si="118"/>
        <v>L</v>
      </c>
      <c r="J2409" s="91" t="s">
        <v>112</v>
      </c>
      <c r="K2409" s="91" t="s">
        <v>112</v>
      </c>
      <c r="L2409" s="91" t="s">
        <v>112</v>
      </c>
      <c r="M2409" s="91" t="s">
        <v>112</v>
      </c>
      <c r="N2409" s="91" t="s">
        <v>112</v>
      </c>
      <c r="O2409" s="91" t="s">
        <v>112</v>
      </c>
      <c r="P2409" s="91" t="s">
        <v>112</v>
      </c>
      <c r="Q2409" s="91" t="s">
        <v>112</v>
      </c>
      <c r="R2409" s="91" t="s">
        <v>112</v>
      </c>
      <c r="S2409" s="91" t="s">
        <v>112</v>
      </c>
      <c r="T2409" s="91" t="s">
        <v>112</v>
      </c>
      <c r="U2409" s="91" t="s">
        <v>112</v>
      </c>
      <c r="V2409" s="91" t="s">
        <v>112</v>
      </c>
      <c r="W2409" s="91" t="s">
        <v>112</v>
      </c>
      <c r="X2409" s="91" t="s">
        <v>112</v>
      </c>
      <c r="Y2409" s="91" t="s">
        <v>112</v>
      </c>
      <c r="Z2409" s="91" t="s">
        <v>112</v>
      </c>
      <c r="AA2409" s="91" t="s">
        <v>112</v>
      </c>
      <c r="AB2409" s="91" t="s">
        <v>112</v>
      </c>
      <c r="AC2409" s="91" t="s">
        <v>112</v>
      </c>
      <c r="AD2409" s="91" t="s">
        <v>112</v>
      </c>
      <c r="AE2409" s="91">
        <v>8100</v>
      </c>
      <c r="AF2409" s="91">
        <v>8100</v>
      </c>
      <c r="AG2409" s="91">
        <v>8100</v>
      </c>
      <c r="AH2409" s="91">
        <v>8100</v>
      </c>
      <c r="AI2409" s="91">
        <v>8100</v>
      </c>
      <c r="AJ2409" s="91">
        <v>8100</v>
      </c>
      <c r="AK2409" s="91">
        <v>8100</v>
      </c>
      <c r="AL2409" s="91">
        <v>8100</v>
      </c>
      <c r="AM2409" s="91">
        <v>8100</v>
      </c>
      <c r="AN2409" s="91">
        <v>8100</v>
      </c>
      <c r="AO2409" s="91">
        <v>8100</v>
      </c>
      <c r="AP2409" s="91">
        <v>8100</v>
      </c>
      <c r="AQ2409" s="91">
        <v>8100</v>
      </c>
      <c r="AR2409" s="91">
        <v>8100</v>
      </c>
      <c r="AS2409" s="91">
        <v>8100</v>
      </c>
      <c r="AT2409" s="91">
        <v>8100</v>
      </c>
      <c r="AU2409" s="91">
        <v>8100</v>
      </c>
      <c r="AV2409" s="91">
        <v>8100</v>
      </c>
      <c r="AW2409" s="91">
        <v>8100</v>
      </c>
      <c r="AX2409" s="92">
        <v>8100</v>
      </c>
    </row>
    <row r="2410" spans="1:50" x14ac:dyDescent="0.25">
      <c r="A2410" s="357"/>
      <c r="B2410" s="362"/>
      <c r="C2410" s="354"/>
      <c r="D2410" s="4" t="s">
        <v>8</v>
      </c>
      <c r="E2410" s="168" t="str">
        <f>A2373&amp;"/"&amp;B2399&amp;"/"&amp;C2409&amp;"/"&amp;D2410</f>
        <v>Coal fired power plants/Steam turbine/CHP with CCS/M</v>
      </c>
      <c r="F2410" s="80" t="str">
        <f>A2373</f>
        <v>Coal fired power plants</v>
      </c>
      <c r="G2410" s="80" t="str">
        <f>B2399</f>
        <v>Steam turbine</v>
      </c>
      <c r="H2410" s="80" t="str">
        <f>C2409</f>
        <v>CHP with CCS</v>
      </c>
      <c r="I2410" s="169" t="str">
        <f t="shared" si="118"/>
        <v>M</v>
      </c>
      <c r="J2410" s="99" t="s">
        <v>112</v>
      </c>
      <c r="K2410" s="99" t="s">
        <v>112</v>
      </c>
      <c r="L2410" s="99" t="s">
        <v>112</v>
      </c>
      <c r="M2410" s="99" t="s">
        <v>112</v>
      </c>
      <c r="N2410" s="99" t="s">
        <v>112</v>
      </c>
      <c r="O2410" s="99" t="s">
        <v>112</v>
      </c>
      <c r="P2410" s="99" t="s">
        <v>112</v>
      </c>
      <c r="Q2410" s="99" t="s">
        <v>112</v>
      </c>
      <c r="R2410" s="99" t="s">
        <v>112</v>
      </c>
      <c r="S2410" s="99" t="s">
        <v>112</v>
      </c>
      <c r="T2410" s="99" t="s">
        <v>112</v>
      </c>
      <c r="U2410" s="99" t="s">
        <v>112</v>
      </c>
      <c r="V2410" s="99" t="s">
        <v>112</v>
      </c>
      <c r="W2410" s="99" t="s">
        <v>112</v>
      </c>
      <c r="X2410" s="99" t="s">
        <v>112</v>
      </c>
      <c r="Y2410" s="99" t="s">
        <v>112</v>
      </c>
      <c r="Z2410" s="99" t="s">
        <v>112</v>
      </c>
      <c r="AA2410" s="99" t="s">
        <v>112</v>
      </c>
      <c r="AB2410" s="99" t="s">
        <v>112</v>
      </c>
      <c r="AC2410" s="99" t="s">
        <v>112</v>
      </c>
      <c r="AD2410" s="99" t="s">
        <v>112</v>
      </c>
      <c r="AE2410" s="99">
        <v>7746.4552482992995</v>
      </c>
      <c r="AF2410" s="99">
        <v>7746.4552482992995</v>
      </c>
      <c r="AG2410" s="99">
        <v>7746.4552482992995</v>
      </c>
      <c r="AH2410" s="99">
        <v>7746.4552482992995</v>
      </c>
      <c r="AI2410" s="99">
        <v>7746.4552482992995</v>
      </c>
      <c r="AJ2410" s="99">
        <v>7746.4552482992995</v>
      </c>
      <c r="AK2410" s="99">
        <v>7746.4552482992995</v>
      </c>
      <c r="AL2410" s="99">
        <v>7746.4552482992995</v>
      </c>
      <c r="AM2410" s="99">
        <v>7746.4552482992995</v>
      </c>
      <c r="AN2410" s="99">
        <v>7746.4552482992995</v>
      </c>
      <c r="AO2410" s="99">
        <v>7746.4552482992995</v>
      </c>
      <c r="AP2410" s="99">
        <v>7746.4552482992995</v>
      </c>
      <c r="AQ2410" s="99">
        <v>7746.4552482992995</v>
      </c>
      <c r="AR2410" s="99">
        <v>7746.4552482992995</v>
      </c>
      <c r="AS2410" s="99">
        <v>7746.4552482992995</v>
      </c>
      <c r="AT2410" s="99">
        <v>7746.4552482992995</v>
      </c>
      <c r="AU2410" s="99">
        <v>7746.4552482992995</v>
      </c>
      <c r="AV2410" s="99">
        <v>7746.4552482992995</v>
      </c>
      <c r="AW2410" s="99">
        <v>7746.4552482992995</v>
      </c>
      <c r="AX2410" s="100">
        <v>7746.4552482992995</v>
      </c>
    </row>
    <row r="2411" spans="1:50" x14ac:dyDescent="0.25">
      <c r="A2411" s="355" t="s">
        <v>21</v>
      </c>
      <c r="B2411" s="358" t="s">
        <v>13</v>
      </c>
      <c r="C2411" s="353" t="s">
        <v>6</v>
      </c>
      <c r="D2411" s="3" t="s">
        <v>7</v>
      </c>
      <c r="E2411" s="162" t="str">
        <f>A2411&amp;"/"&amp;B2411&amp;"/"&amp;C2411&amp;"/"&amp;D2411</f>
        <v>Lignite fired power plants/Integrated gasification combined cycle/Electricity only/L</v>
      </c>
      <c r="F2411" s="77" t="str">
        <f>A2411</f>
        <v>Lignite fired power plants</v>
      </c>
      <c r="G2411" s="77" t="str">
        <f>B2411</f>
        <v>Integrated gasification combined cycle</v>
      </c>
      <c r="H2411" s="77" t="str">
        <f>C2411</f>
        <v>Electricity only</v>
      </c>
      <c r="I2411" s="163" t="str">
        <f t="shared" si="118"/>
        <v>L</v>
      </c>
      <c r="J2411" s="93">
        <v>8760</v>
      </c>
      <c r="K2411" s="93">
        <v>8760</v>
      </c>
      <c r="L2411" s="93">
        <v>8760</v>
      </c>
      <c r="M2411" s="93">
        <v>8760</v>
      </c>
      <c r="N2411" s="93">
        <v>8760</v>
      </c>
      <c r="O2411" s="93">
        <v>8760</v>
      </c>
      <c r="P2411" s="93">
        <v>8760</v>
      </c>
      <c r="Q2411" s="93">
        <v>8760</v>
      </c>
      <c r="R2411" s="93">
        <v>8760</v>
      </c>
      <c r="S2411" s="93">
        <v>8760</v>
      </c>
      <c r="T2411" s="93">
        <v>8760</v>
      </c>
      <c r="U2411" s="93">
        <v>8760</v>
      </c>
      <c r="V2411" s="93">
        <v>8760</v>
      </c>
      <c r="W2411" s="93">
        <v>8760</v>
      </c>
      <c r="X2411" s="93">
        <v>8760</v>
      </c>
      <c r="Y2411" s="93">
        <v>8760</v>
      </c>
      <c r="Z2411" s="93">
        <v>8760</v>
      </c>
      <c r="AA2411" s="93">
        <v>8760</v>
      </c>
      <c r="AB2411" s="93">
        <v>8760</v>
      </c>
      <c r="AC2411" s="93">
        <v>8760</v>
      </c>
      <c r="AD2411" s="93">
        <v>8760</v>
      </c>
      <c r="AE2411" s="93">
        <v>8760</v>
      </c>
      <c r="AF2411" s="93">
        <v>8760</v>
      </c>
      <c r="AG2411" s="93">
        <v>8760</v>
      </c>
      <c r="AH2411" s="93">
        <v>8760</v>
      </c>
      <c r="AI2411" s="93">
        <v>8760</v>
      </c>
      <c r="AJ2411" s="93">
        <v>8760</v>
      </c>
      <c r="AK2411" s="93">
        <v>8760</v>
      </c>
      <c r="AL2411" s="93">
        <v>8760</v>
      </c>
      <c r="AM2411" s="93">
        <v>8760</v>
      </c>
      <c r="AN2411" s="93">
        <v>8760</v>
      </c>
      <c r="AO2411" s="93">
        <v>8760</v>
      </c>
      <c r="AP2411" s="93">
        <v>8760</v>
      </c>
      <c r="AQ2411" s="93">
        <v>8760</v>
      </c>
      <c r="AR2411" s="93">
        <v>8760</v>
      </c>
      <c r="AS2411" s="93">
        <v>8760</v>
      </c>
      <c r="AT2411" s="93">
        <v>8760</v>
      </c>
      <c r="AU2411" s="93">
        <v>8760</v>
      </c>
      <c r="AV2411" s="93">
        <v>8760</v>
      </c>
      <c r="AW2411" s="93">
        <v>8760</v>
      </c>
      <c r="AX2411" s="94">
        <v>8760</v>
      </c>
    </row>
    <row r="2412" spans="1:50" x14ac:dyDescent="0.25">
      <c r="A2412" s="356"/>
      <c r="B2412" s="359"/>
      <c r="C2412" s="360"/>
      <c r="D2412" s="2" t="s">
        <v>8</v>
      </c>
      <c r="E2412" s="160" t="str">
        <f>A2411&amp;"/"&amp;B2411&amp;"/"&amp;C2411&amp;"/"&amp;D2412</f>
        <v>Lignite fired power plants/Integrated gasification combined cycle/Electricity only/M</v>
      </c>
      <c r="F2412" s="76" t="str">
        <f>A2411</f>
        <v>Lignite fired power plants</v>
      </c>
      <c r="G2412" s="76" t="str">
        <f>B2411</f>
        <v>Integrated gasification combined cycle</v>
      </c>
      <c r="H2412" s="76" t="str">
        <f>C2411</f>
        <v>Electricity only</v>
      </c>
      <c r="I2412" s="161" t="str">
        <f t="shared" si="118"/>
        <v>M</v>
      </c>
      <c r="J2412" s="91">
        <v>8109.7205395561359</v>
      </c>
      <c r="K2412" s="91">
        <v>8109.7205395561359</v>
      </c>
      <c r="L2412" s="91">
        <v>8109.7205395561359</v>
      </c>
      <c r="M2412" s="91">
        <v>8109.7205395561359</v>
      </c>
      <c r="N2412" s="91">
        <v>8109.7205395561359</v>
      </c>
      <c r="O2412" s="91">
        <v>8109.7205395561359</v>
      </c>
      <c r="P2412" s="91">
        <v>8109.7205395561359</v>
      </c>
      <c r="Q2412" s="91">
        <v>8109.7205395561359</v>
      </c>
      <c r="R2412" s="91">
        <v>8109.7205395561359</v>
      </c>
      <c r="S2412" s="91">
        <v>8109.7205395561359</v>
      </c>
      <c r="T2412" s="91">
        <v>8109.7205395561359</v>
      </c>
      <c r="U2412" s="91">
        <v>8109.7205395561359</v>
      </c>
      <c r="V2412" s="91">
        <v>8109.7205395561359</v>
      </c>
      <c r="W2412" s="91">
        <v>8109.7205395561359</v>
      </c>
      <c r="X2412" s="91">
        <v>8109.7205395561359</v>
      </c>
      <c r="Y2412" s="91">
        <v>8109.7205395561359</v>
      </c>
      <c r="Z2412" s="91">
        <v>8109.7205395561359</v>
      </c>
      <c r="AA2412" s="91">
        <v>8109.7205395561359</v>
      </c>
      <c r="AB2412" s="91">
        <v>8109.7205395561359</v>
      </c>
      <c r="AC2412" s="91">
        <v>8109.7205395561359</v>
      </c>
      <c r="AD2412" s="91">
        <v>8109.7205395561359</v>
      </c>
      <c r="AE2412" s="91">
        <v>8109.7205395561359</v>
      </c>
      <c r="AF2412" s="91">
        <v>8109.7205395561359</v>
      </c>
      <c r="AG2412" s="91">
        <v>8109.7205395561359</v>
      </c>
      <c r="AH2412" s="91">
        <v>8109.7205395561359</v>
      </c>
      <c r="AI2412" s="91">
        <v>8109.7205395561359</v>
      </c>
      <c r="AJ2412" s="91">
        <v>8109.7205395561359</v>
      </c>
      <c r="AK2412" s="91">
        <v>8109.7205395561359</v>
      </c>
      <c r="AL2412" s="91">
        <v>8109.7205395561359</v>
      </c>
      <c r="AM2412" s="91">
        <v>8109.7205395561359</v>
      </c>
      <c r="AN2412" s="91">
        <v>8109.7205395561359</v>
      </c>
      <c r="AO2412" s="91">
        <v>8109.7205395561359</v>
      </c>
      <c r="AP2412" s="91">
        <v>8109.7205395561359</v>
      </c>
      <c r="AQ2412" s="91">
        <v>8109.7205395561359</v>
      </c>
      <c r="AR2412" s="91">
        <v>8109.7205395561359</v>
      </c>
      <c r="AS2412" s="91">
        <v>8109.7205395561359</v>
      </c>
      <c r="AT2412" s="91">
        <v>8109.7205395561359</v>
      </c>
      <c r="AU2412" s="91">
        <v>8109.7205395561359</v>
      </c>
      <c r="AV2412" s="91">
        <v>8109.7205395561359</v>
      </c>
      <c r="AW2412" s="91">
        <v>8109.7205395561359</v>
      </c>
      <c r="AX2412" s="92">
        <v>8109.7205395561359</v>
      </c>
    </row>
    <row r="2413" spans="1:50" x14ac:dyDescent="0.25">
      <c r="A2413" s="356"/>
      <c r="B2413" s="359"/>
      <c r="C2413" s="361" t="s">
        <v>14</v>
      </c>
      <c r="D2413" s="58" t="s">
        <v>7</v>
      </c>
      <c r="E2413" s="164" t="str">
        <f>A2411&amp;"/"&amp;B2411&amp;"/"&amp;C2413&amp;"/"&amp;D2413</f>
        <v>Lignite fired power plants/Integrated gasification combined cycle/CHP/L</v>
      </c>
      <c r="F2413" s="78" t="str">
        <f>A2411</f>
        <v>Lignite fired power plants</v>
      </c>
      <c r="G2413" s="78" t="str">
        <f>B2411</f>
        <v>Integrated gasification combined cycle</v>
      </c>
      <c r="H2413" s="78" t="str">
        <f>C2413</f>
        <v>CHP</v>
      </c>
      <c r="I2413" s="165" t="str">
        <f t="shared" si="118"/>
        <v>L</v>
      </c>
      <c r="J2413" s="95" t="s">
        <v>112</v>
      </c>
      <c r="K2413" s="95" t="s">
        <v>112</v>
      </c>
      <c r="L2413" s="95" t="s">
        <v>112</v>
      </c>
      <c r="M2413" s="95" t="s">
        <v>112</v>
      </c>
      <c r="N2413" s="95" t="s">
        <v>112</v>
      </c>
      <c r="O2413" s="95" t="s">
        <v>112</v>
      </c>
      <c r="P2413" s="95" t="s">
        <v>112</v>
      </c>
      <c r="Q2413" s="95" t="s">
        <v>112</v>
      </c>
      <c r="R2413" s="95" t="s">
        <v>112</v>
      </c>
      <c r="S2413" s="95" t="s">
        <v>112</v>
      </c>
      <c r="T2413" s="95">
        <v>8760</v>
      </c>
      <c r="U2413" s="95">
        <v>8760</v>
      </c>
      <c r="V2413" s="95">
        <v>8760</v>
      </c>
      <c r="W2413" s="95">
        <v>8760</v>
      </c>
      <c r="X2413" s="95">
        <v>8760</v>
      </c>
      <c r="Y2413" s="95">
        <v>8760</v>
      </c>
      <c r="Z2413" s="95">
        <v>8760</v>
      </c>
      <c r="AA2413" s="95">
        <v>8760</v>
      </c>
      <c r="AB2413" s="95">
        <v>8760</v>
      </c>
      <c r="AC2413" s="95">
        <v>8760</v>
      </c>
      <c r="AD2413" s="95">
        <v>8760</v>
      </c>
      <c r="AE2413" s="95">
        <v>8760</v>
      </c>
      <c r="AF2413" s="95">
        <v>8760</v>
      </c>
      <c r="AG2413" s="95">
        <v>8760</v>
      </c>
      <c r="AH2413" s="95">
        <v>8760</v>
      </c>
      <c r="AI2413" s="95">
        <v>8760</v>
      </c>
      <c r="AJ2413" s="95">
        <v>8760</v>
      </c>
      <c r="AK2413" s="95">
        <v>8760</v>
      </c>
      <c r="AL2413" s="95">
        <v>8760</v>
      </c>
      <c r="AM2413" s="95">
        <v>8760</v>
      </c>
      <c r="AN2413" s="95">
        <v>8760</v>
      </c>
      <c r="AO2413" s="95">
        <v>8760</v>
      </c>
      <c r="AP2413" s="95">
        <v>8760</v>
      </c>
      <c r="AQ2413" s="95">
        <v>8760</v>
      </c>
      <c r="AR2413" s="95">
        <v>8760</v>
      </c>
      <c r="AS2413" s="95">
        <v>8760</v>
      </c>
      <c r="AT2413" s="95">
        <v>8760</v>
      </c>
      <c r="AU2413" s="95">
        <v>8760</v>
      </c>
      <c r="AV2413" s="95">
        <v>8760</v>
      </c>
      <c r="AW2413" s="95">
        <v>8760</v>
      </c>
      <c r="AX2413" s="96">
        <v>8760</v>
      </c>
    </row>
    <row r="2414" spans="1:50" x14ac:dyDescent="0.25">
      <c r="A2414" s="356"/>
      <c r="B2414" s="359"/>
      <c r="C2414" s="360"/>
      <c r="D2414" s="59" t="s">
        <v>8</v>
      </c>
      <c r="E2414" s="166" t="str">
        <f>A2411&amp;"/"&amp;B2411&amp;"/"&amp;C2413&amp;"/"&amp;D2414</f>
        <v>Lignite fired power plants/Integrated gasification combined cycle/CHP/M</v>
      </c>
      <c r="F2414" s="79" t="str">
        <f>A2411</f>
        <v>Lignite fired power plants</v>
      </c>
      <c r="G2414" s="79" t="str">
        <f>B2411</f>
        <v>Integrated gasification combined cycle</v>
      </c>
      <c r="H2414" s="79" t="str">
        <f>C2413</f>
        <v>CHP</v>
      </c>
      <c r="I2414" s="167" t="str">
        <f t="shared" si="118"/>
        <v>M</v>
      </c>
      <c r="J2414" s="97" t="s">
        <v>112</v>
      </c>
      <c r="K2414" s="97" t="s">
        <v>112</v>
      </c>
      <c r="L2414" s="97" t="s">
        <v>112</v>
      </c>
      <c r="M2414" s="97" t="s">
        <v>112</v>
      </c>
      <c r="N2414" s="97" t="s">
        <v>112</v>
      </c>
      <c r="O2414" s="97" t="s">
        <v>112</v>
      </c>
      <c r="P2414" s="97" t="s">
        <v>112</v>
      </c>
      <c r="Q2414" s="97" t="s">
        <v>112</v>
      </c>
      <c r="R2414" s="97" t="s">
        <v>112</v>
      </c>
      <c r="S2414" s="97" t="s">
        <v>112</v>
      </c>
      <c r="T2414" s="97">
        <v>7909.2327546795241</v>
      </c>
      <c r="U2414" s="97">
        <v>7909.2327546795241</v>
      </c>
      <c r="V2414" s="97">
        <v>7909.2327546795241</v>
      </c>
      <c r="W2414" s="97">
        <v>7909.2327546795241</v>
      </c>
      <c r="X2414" s="97">
        <v>7909.2327546795241</v>
      </c>
      <c r="Y2414" s="97">
        <v>7909.2327546795241</v>
      </c>
      <c r="Z2414" s="97">
        <v>7909.2327546795241</v>
      </c>
      <c r="AA2414" s="97">
        <v>7909.2327546795241</v>
      </c>
      <c r="AB2414" s="97">
        <v>7909.2327546795241</v>
      </c>
      <c r="AC2414" s="97">
        <v>7909.2327546795241</v>
      </c>
      <c r="AD2414" s="97">
        <v>7909.2327546795241</v>
      </c>
      <c r="AE2414" s="97">
        <v>7909.2327546795241</v>
      </c>
      <c r="AF2414" s="97">
        <v>7909.2327546795241</v>
      </c>
      <c r="AG2414" s="97">
        <v>7909.2327546795241</v>
      </c>
      <c r="AH2414" s="97">
        <v>7909.2327546795241</v>
      </c>
      <c r="AI2414" s="97">
        <v>7909.2327546795241</v>
      </c>
      <c r="AJ2414" s="97">
        <v>7909.2327546795241</v>
      </c>
      <c r="AK2414" s="97">
        <v>7909.2327546795241</v>
      </c>
      <c r="AL2414" s="97">
        <v>7909.2327546795241</v>
      </c>
      <c r="AM2414" s="97">
        <v>7909.2327546795241</v>
      </c>
      <c r="AN2414" s="97">
        <v>7909.2327546795241</v>
      </c>
      <c r="AO2414" s="97">
        <v>7909.2327546795241</v>
      </c>
      <c r="AP2414" s="97">
        <v>7909.2327546795241</v>
      </c>
      <c r="AQ2414" s="97">
        <v>7909.2327546795241</v>
      </c>
      <c r="AR2414" s="97">
        <v>7909.2327546795241</v>
      </c>
      <c r="AS2414" s="97">
        <v>7909.2327546795241</v>
      </c>
      <c r="AT2414" s="97">
        <v>7909.2327546795241</v>
      </c>
      <c r="AU2414" s="97">
        <v>7909.2327546795241</v>
      </c>
      <c r="AV2414" s="97">
        <v>7909.2327546795241</v>
      </c>
      <c r="AW2414" s="97">
        <v>7909.2327546795241</v>
      </c>
      <c r="AX2414" s="98">
        <v>7909.2327546795241</v>
      </c>
    </row>
    <row r="2415" spans="1:50" x14ac:dyDescent="0.25">
      <c r="A2415" s="356"/>
      <c r="B2415" s="359"/>
      <c r="C2415" s="361" t="s">
        <v>15</v>
      </c>
      <c r="D2415" s="58" t="s">
        <v>7</v>
      </c>
      <c r="E2415" s="164" t="str">
        <f>A2411&amp;"/"&amp;B2411&amp;"/"&amp;C2415&amp;"/"&amp;D2415</f>
        <v>Lignite fired power plants/Integrated gasification combined cycle/Electricity only with CCS/L</v>
      </c>
      <c r="F2415" s="78" t="str">
        <f>A2411</f>
        <v>Lignite fired power plants</v>
      </c>
      <c r="G2415" s="78" t="str">
        <f>B2411</f>
        <v>Integrated gasification combined cycle</v>
      </c>
      <c r="H2415" s="78" t="str">
        <f>C2415</f>
        <v>Electricity only with CCS</v>
      </c>
      <c r="I2415" s="165" t="str">
        <f t="shared" si="118"/>
        <v>L</v>
      </c>
      <c r="J2415" s="95" t="s">
        <v>112</v>
      </c>
      <c r="K2415" s="95" t="s">
        <v>112</v>
      </c>
      <c r="L2415" s="95" t="s">
        <v>112</v>
      </c>
      <c r="M2415" s="95" t="s">
        <v>112</v>
      </c>
      <c r="N2415" s="95" t="s">
        <v>112</v>
      </c>
      <c r="O2415" s="95" t="s">
        <v>112</v>
      </c>
      <c r="P2415" s="95" t="s">
        <v>112</v>
      </c>
      <c r="Q2415" s="95" t="s">
        <v>112</v>
      </c>
      <c r="R2415" s="95" t="s">
        <v>112</v>
      </c>
      <c r="S2415" s="95" t="s">
        <v>112</v>
      </c>
      <c r="T2415" s="95" t="s">
        <v>112</v>
      </c>
      <c r="U2415" s="95" t="s">
        <v>112</v>
      </c>
      <c r="V2415" s="95" t="s">
        <v>112</v>
      </c>
      <c r="W2415" s="95" t="s">
        <v>112</v>
      </c>
      <c r="X2415" s="95" t="s">
        <v>112</v>
      </c>
      <c r="Y2415" s="95" t="s">
        <v>112</v>
      </c>
      <c r="Z2415" s="95" t="s">
        <v>112</v>
      </c>
      <c r="AA2415" s="95" t="s">
        <v>112</v>
      </c>
      <c r="AB2415" s="95" t="s">
        <v>112</v>
      </c>
      <c r="AC2415" s="95" t="s">
        <v>112</v>
      </c>
      <c r="AD2415" s="95" t="s">
        <v>112</v>
      </c>
      <c r="AE2415" s="95">
        <v>8760</v>
      </c>
      <c r="AF2415" s="95">
        <v>8760</v>
      </c>
      <c r="AG2415" s="95">
        <v>8760</v>
      </c>
      <c r="AH2415" s="95">
        <v>8760</v>
      </c>
      <c r="AI2415" s="95">
        <v>8760</v>
      </c>
      <c r="AJ2415" s="95">
        <v>8760</v>
      </c>
      <c r="AK2415" s="95">
        <v>8760</v>
      </c>
      <c r="AL2415" s="95">
        <v>8760</v>
      </c>
      <c r="AM2415" s="95">
        <v>8760</v>
      </c>
      <c r="AN2415" s="95">
        <v>8760</v>
      </c>
      <c r="AO2415" s="95">
        <v>8760</v>
      </c>
      <c r="AP2415" s="95">
        <v>8760</v>
      </c>
      <c r="AQ2415" s="95">
        <v>8760</v>
      </c>
      <c r="AR2415" s="95">
        <v>8760</v>
      </c>
      <c r="AS2415" s="95">
        <v>8760</v>
      </c>
      <c r="AT2415" s="95">
        <v>8760</v>
      </c>
      <c r="AU2415" s="95">
        <v>8760</v>
      </c>
      <c r="AV2415" s="95">
        <v>8760</v>
      </c>
      <c r="AW2415" s="95">
        <v>8760</v>
      </c>
      <c r="AX2415" s="96">
        <v>8760</v>
      </c>
    </row>
    <row r="2416" spans="1:50" x14ac:dyDescent="0.25">
      <c r="A2416" s="356"/>
      <c r="B2416" s="359"/>
      <c r="C2416" s="360"/>
      <c r="D2416" s="59" t="s">
        <v>8</v>
      </c>
      <c r="E2416" s="166" t="str">
        <f>A2411&amp;"/"&amp;B2411&amp;"/"&amp;C2415&amp;"/"&amp;D2416</f>
        <v>Lignite fired power plants/Integrated gasification combined cycle/Electricity only with CCS/M</v>
      </c>
      <c r="F2416" s="79" t="str">
        <f>A2411</f>
        <v>Lignite fired power plants</v>
      </c>
      <c r="G2416" s="79" t="str">
        <f>B2411</f>
        <v>Integrated gasification combined cycle</v>
      </c>
      <c r="H2416" s="79" t="str">
        <f>C2415</f>
        <v>Electricity only with CCS</v>
      </c>
      <c r="I2416" s="167" t="str">
        <f t="shared" si="118"/>
        <v>M</v>
      </c>
      <c r="J2416" s="97" t="s">
        <v>112</v>
      </c>
      <c r="K2416" s="97" t="s">
        <v>112</v>
      </c>
      <c r="L2416" s="97" t="s">
        <v>112</v>
      </c>
      <c r="M2416" s="97" t="s">
        <v>112</v>
      </c>
      <c r="N2416" s="97" t="s">
        <v>112</v>
      </c>
      <c r="O2416" s="97" t="s">
        <v>112</v>
      </c>
      <c r="P2416" s="97" t="s">
        <v>112</v>
      </c>
      <c r="Q2416" s="97" t="s">
        <v>112</v>
      </c>
      <c r="R2416" s="97" t="s">
        <v>112</v>
      </c>
      <c r="S2416" s="97" t="s">
        <v>112</v>
      </c>
      <c r="T2416" s="97" t="s">
        <v>112</v>
      </c>
      <c r="U2416" s="97" t="s">
        <v>112</v>
      </c>
      <c r="V2416" s="97" t="s">
        <v>112</v>
      </c>
      <c r="W2416" s="97" t="s">
        <v>112</v>
      </c>
      <c r="X2416" s="97" t="s">
        <v>112</v>
      </c>
      <c r="Y2416" s="97" t="s">
        <v>112</v>
      </c>
      <c r="Z2416" s="97" t="s">
        <v>112</v>
      </c>
      <c r="AA2416" s="97" t="s">
        <v>112</v>
      </c>
      <c r="AB2416" s="97" t="s">
        <v>112</v>
      </c>
      <c r="AC2416" s="97" t="s">
        <v>112</v>
      </c>
      <c r="AD2416" s="97" t="s">
        <v>112</v>
      </c>
      <c r="AE2416" s="97">
        <v>8109.7205395561359</v>
      </c>
      <c r="AF2416" s="97">
        <v>8109.7205395561359</v>
      </c>
      <c r="AG2416" s="97">
        <v>8109.7205395561359</v>
      </c>
      <c r="AH2416" s="97">
        <v>8109.7205395561359</v>
      </c>
      <c r="AI2416" s="97">
        <v>8109.7205395561359</v>
      </c>
      <c r="AJ2416" s="97">
        <v>8109.7205395561359</v>
      </c>
      <c r="AK2416" s="97">
        <v>8109.7205395561359</v>
      </c>
      <c r="AL2416" s="97">
        <v>8109.7205395561359</v>
      </c>
      <c r="AM2416" s="97">
        <v>8109.7205395561359</v>
      </c>
      <c r="AN2416" s="97">
        <v>8109.7205395561359</v>
      </c>
      <c r="AO2416" s="97">
        <v>8109.7205395561359</v>
      </c>
      <c r="AP2416" s="97">
        <v>8109.7205395561359</v>
      </c>
      <c r="AQ2416" s="97">
        <v>8109.7205395561359</v>
      </c>
      <c r="AR2416" s="97">
        <v>8109.7205395561359</v>
      </c>
      <c r="AS2416" s="97">
        <v>8109.7205395561359</v>
      </c>
      <c r="AT2416" s="97">
        <v>8109.7205395561359</v>
      </c>
      <c r="AU2416" s="97">
        <v>8109.7205395561359</v>
      </c>
      <c r="AV2416" s="97">
        <v>8109.7205395561359</v>
      </c>
      <c r="AW2416" s="97">
        <v>8109.7205395561359</v>
      </c>
      <c r="AX2416" s="98">
        <v>8109.7205395561359</v>
      </c>
    </row>
    <row r="2417" spans="1:50" x14ac:dyDescent="0.25">
      <c r="A2417" s="356"/>
      <c r="B2417" s="359"/>
      <c r="C2417" s="361" t="s">
        <v>16</v>
      </c>
      <c r="D2417" s="2" t="s">
        <v>7</v>
      </c>
      <c r="E2417" s="160" t="str">
        <f>A2411&amp;"/"&amp;B2411&amp;"/"&amp;C2417&amp;"/"&amp;D2417</f>
        <v>Lignite fired power plants/Integrated gasification combined cycle/CHP with CCS/L</v>
      </c>
      <c r="F2417" s="76" t="str">
        <f>A2411</f>
        <v>Lignite fired power plants</v>
      </c>
      <c r="G2417" s="76" t="str">
        <f>B2411</f>
        <v>Integrated gasification combined cycle</v>
      </c>
      <c r="H2417" s="76" t="str">
        <f>C2417</f>
        <v>CHP with CCS</v>
      </c>
      <c r="I2417" s="161" t="str">
        <f t="shared" si="118"/>
        <v>L</v>
      </c>
      <c r="J2417" s="91" t="s">
        <v>112</v>
      </c>
      <c r="K2417" s="91" t="s">
        <v>112</v>
      </c>
      <c r="L2417" s="91" t="s">
        <v>112</v>
      </c>
      <c r="M2417" s="91" t="s">
        <v>112</v>
      </c>
      <c r="N2417" s="91" t="s">
        <v>112</v>
      </c>
      <c r="O2417" s="91" t="s">
        <v>112</v>
      </c>
      <c r="P2417" s="91" t="s">
        <v>112</v>
      </c>
      <c r="Q2417" s="91" t="s">
        <v>112</v>
      </c>
      <c r="R2417" s="91" t="s">
        <v>112</v>
      </c>
      <c r="S2417" s="91" t="s">
        <v>112</v>
      </c>
      <c r="T2417" s="91" t="s">
        <v>112</v>
      </c>
      <c r="U2417" s="91" t="s">
        <v>112</v>
      </c>
      <c r="V2417" s="91" t="s">
        <v>112</v>
      </c>
      <c r="W2417" s="91" t="s">
        <v>112</v>
      </c>
      <c r="X2417" s="91" t="s">
        <v>112</v>
      </c>
      <c r="Y2417" s="91" t="s">
        <v>112</v>
      </c>
      <c r="Z2417" s="91" t="s">
        <v>112</v>
      </c>
      <c r="AA2417" s="91" t="s">
        <v>112</v>
      </c>
      <c r="AB2417" s="91" t="s">
        <v>112</v>
      </c>
      <c r="AC2417" s="91" t="s">
        <v>112</v>
      </c>
      <c r="AD2417" s="91" t="s">
        <v>112</v>
      </c>
      <c r="AE2417" s="91">
        <v>8760</v>
      </c>
      <c r="AF2417" s="91">
        <v>8760</v>
      </c>
      <c r="AG2417" s="91">
        <v>8760</v>
      </c>
      <c r="AH2417" s="91">
        <v>8760</v>
      </c>
      <c r="AI2417" s="91">
        <v>8760</v>
      </c>
      <c r="AJ2417" s="91">
        <v>8760</v>
      </c>
      <c r="AK2417" s="91">
        <v>8760</v>
      </c>
      <c r="AL2417" s="91">
        <v>8760</v>
      </c>
      <c r="AM2417" s="91">
        <v>8760</v>
      </c>
      <c r="AN2417" s="91">
        <v>8760</v>
      </c>
      <c r="AO2417" s="91">
        <v>8760</v>
      </c>
      <c r="AP2417" s="91">
        <v>8760</v>
      </c>
      <c r="AQ2417" s="91">
        <v>8760</v>
      </c>
      <c r="AR2417" s="91">
        <v>8760</v>
      </c>
      <c r="AS2417" s="91">
        <v>8760</v>
      </c>
      <c r="AT2417" s="91">
        <v>8760</v>
      </c>
      <c r="AU2417" s="91">
        <v>8760</v>
      </c>
      <c r="AV2417" s="91">
        <v>8760</v>
      </c>
      <c r="AW2417" s="91">
        <v>8760</v>
      </c>
      <c r="AX2417" s="92">
        <v>8760</v>
      </c>
    </row>
    <row r="2418" spans="1:50" x14ac:dyDescent="0.25">
      <c r="A2418" s="356"/>
      <c r="B2418" s="359"/>
      <c r="C2418" s="354"/>
      <c r="D2418" s="2" t="s">
        <v>8</v>
      </c>
      <c r="E2418" s="168" t="str">
        <f>A2411&amp;"/"&amp;B2411&amp;"/"&amp;C2417&amp;"/"&amp;D2418</f>
        <v>Lignite fired power plants/Integrated gasification combined cycle/CHP with CCS/M</v>
      </c>
      <c r="F2418" s="80" t="str">
        <f>A2411</f>
        <v>Lignite fired power plants</v>
      </c>
      <c r="G2418" s="80" t="str">
        <f>B2411</f>
        <v>Integrated gasification combined cycle</v>
      </c>
      <c r="H2418" s="80" t="str">
        <f>C2417</f>
        <v>CHP with CCS</v>
      </c>
      <c r="I2418" s="169" t="str">
        <f t="shared" si="118"/>
        <v>M</v>
      </c>
      <c r="J2418" s="99" t="s">
        <v>112</v>
      </c>
      <c r="K2418" s="99" t="s">
        <v>112</v>
      </c>
      <c r="L2418" s="99" t="s">
        <v>112</v>
      </c>
      <c r="M2418" s="99" t="s">
        <v>112</v>
      </c>
      <c r="N2418" s="99" t="s">
        <v>112</v>
      </c>
      <c r="O2418" s="99" t="s">
        <v>112</v>
      </c>
      <c r="P2418" s="99" t="s">
        <v>112</v>
      </c>
      <c r="Q2418" s="99" t="s">
        <v>112</v>
      </c>
      <c r="R2418" s="99" t="s">
        <v>112</v>
      </c>
      <c r="S2418" s="99" t="s">
        <v>112</v>
      </c>
      <c r="T2418" s="99" t="s">
        <v>112</v>
      </c>
      <c r="U2418" s="99" t="s">
        <v>112</v>
      </c>
      <c r="V2418" s="99" t="s">
        <v>112</v>
      </c>
      <c r="W2418" s="99" t="s">
        <v>112</v>
      </c>
      <c r="X2418" s="99" t="s">
        <v>112</v>
      </c>
      <c r="Y2418" s="99" t="s">
        <v>112</v>
      </c>
      <c r="Z2418" s="99" t="s">
        <v>112</v>
      </c>
      <c r="AA2418" s="99" t="s">
        <v>112</v>
      </c>
      <c r="AB2418" s="99" t="s">
        <v>112</v>
      </c>
      <c r="AC2418" s="99" t="s">
        <v>112</v>
      </c>
      <c r="AD2418" s="99" t="s">
        <v>112</v>
      </c>
      <c r="AE2418" s="99">
        <v>7909.2327546795241</v>
      </c>
      <c r="AF2418" s="99">
        <v>7909.2327546795241</v>
      </c>
      <c r="AG2418" s="99">
        <v>7909.2327546795241</v>
      </c>
      <c r="AH2418" s="99">
        <v>7909.2327546795241</v>
      </c>
      <c r="AI2418" s="99">
        <v>7909.2327546795241</v>
      </c>
      <c r="AJ2418" s="99">
        <v>7909.2327546795241</v>
      </c>
      <c r="AK2418" s="99">
        <v>7909.2327546795241</v>
      </c>
      <c r="AL2418" s="99">
        <v>7909.2327546795241</v>
      </c>
      <c r="AM2418" s="99">
        <v>7909.2327546795241</v>
      </c>
      <c r="AN2418" s="99">
        <v>7909.2327546795241</v>
      </c>
      <c r="AO2418" s="99">
        <v>7909.2327546795241</v>
      </c>
      <c r="AP2418" s="99">
        <v>7909.2327546795241</v>
      </c>
      <c r="AQ2418" s="99">
        <v>7909.2327546795241</v>
      </c>
      <c r="AR2418" s="99">
        <v>7909.2327546795241</v>
      </c>
      <c r="AS2418" s="99">
        <v>7909.2327546795241</v>
      </c>
      <c r="AT2418" s="99">
        <v>7909.2327546795241</v>
      </c>
      <c r="AU2418" s="99">
        <v>7909.2327546795241</v>
      </c>
      <c r="AV2418" s="99">
        <v>7909.2327546795241</v>
      </c>
      <c r="AW2418" s="99">
        <v>7909.2327546795241</v>
      </c>
      <c r="AX2418" s="100">
        <v>7909.2327546795241</v>
      </c>
    </row>
    <row r="2419" spans="1:50" x14ac:dyDescent="0.25">
      <c r="A2419" s="356"/>
      <c r="B2419" s="358" t="s">
        <v>17</v>
      </c>
      <c r="C2419" s="353" t="s">
        <v>6</v>
      </c>
      <c r="D2419" s="3" t="s">
        <v>7</v>
      </c>
      <c r="E2419" s="162" t="str">
        <f>A2411&amp;"/"&amp;B2419&amp;"/"&amp;C2419&amp;"/"&amp;D2419</f>
        <v>Lignite fired power plants/Supercritical steam turbine/Electricity only/L</v>
      </c>
      <c r="F2419" s="77" t="str">
        <f>A2411</f>
        <v>Lignite fired power plants</v>
      </c>
      <c r="G2419" s="77" t="str">
        <f>B2419</f>
        <v>Supercritical steam turbine</v>
      </c>
      <c r="H2419" s="77" t="str">
        <f>C2419</f>
        <v>Electricity only</v>
      </c>
      <c r="I2419" s="163" t="str">
        <f t="shared" si="118"/>
        <v>L</v>
      </c>
      <c r="J2419" s="93">
        <v>8760</v>
      </c>
      <c r="K2419" s="93">
        <v>8760</v>
      </c>
      <c r="L2419" s="93">
        <v>8760</v>
      </c>
      <c r="M2419" s="93">
        <v>8760</v>
      </c>
      <c r="N2419" s="93">
        <v>8760</v>
      </c>
      <c r="O2419" s="93">
        <v>8760</v>
      </c>
      <c r="P2419" s="93">
        <v>8760</v>
      </c>
      <c r="Q2419" s="93">
        <v>8760</v>
      </c>
      <c r="R2419" s="93">
        <v>8760</v>
      </c>
      <c r="S2419" s="93">
        <v>8760</v>
      </c>
      <c r="T2419" s="93">
        <v>8760</v>
      </c>
      <c r="U2419" s="93">
        <v>8760</v>
      </c>
      <c r="V2419" s="93">
        <v>8760</v>
      </c>
      <c r="W2419" s="93">
        <v>8760</v>
      </c>
      <c r="X2419" s="93">
        <v>8760</v>
      </c>
      <c r="Y2419" s="93">
        <v>8760</v>
      </c>
      <c r="Z2419" s="93">
        <v>8760</v>
      </c>
      <c r="AA2419" s="93">
        <v>8760</v>
      </c>
      <c r="AB2419" s="93">
        <v>8760</v>
      </c>
      <c r="AC2419" s="93">
        <v>8760</v>
      </c>
      <c r="AD2419" s="93">
        <v>8760</v>
      </c>
      <c r="AE2419" s="93">
        <v>8760</v>
      </c>
      <c r="AF2419" s="93">
        <v>8760</v>
      </c>
      <c r="AG2419" s="93">
        <v>8760</v>
      </c>
      <c r="AH2419" s="93">
        <v>8760</v>
      </c>
      <c r="AI2419" s="93">
        <v>8760</v>
      </c>
      <c r="AJ2419" s="93">
        <v>8760</v>
      </c>
      <c r="AK2419" s="93">
        <v>8760</v>
      </c>
      <c r="AL2419" s="93">
        <v>8760</v>
      </c>
      <c r="AM2419" s="93">
        <v>8760</v>
      </c>
      <c r="AN2419" s="93">
        <v>8760</v>
      </c>
      <c r="AO2419" s="93">
        <v>8760</v>
      </c>
      <c r="AP2419" s="93">
        <v>8760</v>
      </c>
      <c r="AQ2419" s="93">
        <v>8760</v>
      </c>
      <c r="AR2419" s="93">
        <v>8760</v>
      </c>
      <c r="AS2419" s="93">
        <v>8760</v>
      </c>
      <c r="AT2419" s="93">
        <v>8760</v>
      </c>
      <c r="AU2419" s="93">
        <v>8760</v>
      </c>
      <c r="AV2419" s="93">
        <v>8760</v>
      </c>
      <c r="AW2419" s="93">
        <v>8760</v>
      </c>
      <c r="AX2419" s="94">
        <v>8760</v>
      </c>
    </row>
    <row r="2420" spans="1:50" x14ac:dyDescent="0.25">
      <c r="A2420" s="356"/>
      <c r="B2420" s="359"/>
      <c r="C2420" s="360"/>
      <c r="D2420" s="2" t="s">
        <v>8</v>
      </c>
      <c r="E2420" s="160" t="str">
        <f>A2411&amp;"/"&amp;B2419&amp;"/"&amp;C2419&amp;"/"&amp;D2420</f>
        <v>Lignite fired power plants/Supercritical steam turbine/Electricity only/M</v>
      </c>
      <c r="F2420" s="76" t="str">
        <f>A2411</f>
        <v>Lignite fired power plants</v>
      </c>
      <c r="G2420" s="76" t="str">
        <f>B2419</f>
        <v>Supercritical steam turbine</v>
      </c>
      <c r="H2420" s="76" t="str">
        <f>C2419</f>
        <v>Electricity only</v>
      </c>
      <c r="I2420" s="161" t="str">
        <f t="shared" si="118"/>
        <v>M</v>
      </c>
      <c r="J2420" s="91">
        <v>8202.9602199209512</v>
      </c>
      <c r="K2420" s="91">
        <v>8202.9602199209512</v>
      </c>
      <c r="L2420" s="91">
        <v>8202.9602199209512</v>
      </c>
      <c r="M2420" s="91">
        <v>8202.9602199209512</v>
      </c>
      <c r="N2420" s="91">
        <v>8202.9602199209512</v>
      </c>
      <c r="O2420" s="91">
        <v>8202.9602199209512</v>
      </c>
      <c r="P2420" s="91">
        <v>8202.9602199209512</v>
      </c>
      <c r="Q2420" s="91">
        <v>8202.9602199209512</v>
      </c>
      <c r="R2420" s="91">
        <v>8202.9602199209512</v>
      </c>
      <c r="S2420" s="91">
        <v>8202.9602199209512</v>
      </c>
      <c r="T2420" s="91">
        <v>8202.9602199209512</v>
      </c>
      <c r="U2420" s="91">
        <v>8202.9602199209512</v>
      </c>
      <c r="V2420" s="91">
        <v>8202.9602199209512</v>
      </c>
      <c r="W2420" s="91">
        <v>8202.9602199209512</v>
      </c>
      <c r="X2420" s="91">
        <v>8202.9602199209512</v>
      </c>
      <c r="Y2420" s="91">
        <v>8202.9602199209512</v>
      </c>
      <c r="Z2420" s="91">
        <v>8202.9602199209512</v>
      </c>
      <c r="AA2420" s="91">
        <v>8202.9602199209512</v>
      </c>
      <c r="AB2420" s="91">
        <v>8202.9602199209512</v>
      </c>
      <c r="AC2420" s="91">
        <v>8202.9602199209512</v>
      </c>
      <c r="AD2420" s="91">
        <v>8202.9602199209512</v>
      </c>
      <c r="AE2420" s="91">
        <v>8202.9602199209512</v>
      </c>
      <c r="AF2420" s="91">
        <v>8202.9602199209512</v>
      </c>
      <c r="AG2420" s="91">
        <v>8202.9602199209512</v>
      </c>
      <c r="AH2420" s="91">
        <v>8202.9602199209512</v>
      </c>
      <c r="AI2420" s="91">
        <v>8202.9602199209512</v>
      </c>
      <c r="AJ2420" s="91">
        <v>8202.9602199209512</v>
      </c>
      <c r="AK2420" s="91">
        <v>8202.9602199209512</v>
      </c>
      <c r="AL2420" s="91">
        <v>8202.9602199209512</v>
      </c>
      <c r="AM2420" s="91">
        <v>8202.9602199209512</v>
      </c>
      <c r="AN2420" s="91">
        <v>8202.9602199209512</v>
      </c>
      <c r="AO2420" s="91">
        <v>8202.9602199209512</v>
      </c>
      <c r="AP2420" s="91">
        <v>8202.9602199209512</v>
      </c>
      <c r="AQ2420" s="91">
        <v>8202.9602199209512</v>
      </c>
      <c r="AR2420" s="91">
        <v>8202.9602199209512</v>
      </c>
      <c r="AS2420" s="91">
        <v>8202.9602199209512</v>
      </c>
      <c r="AT2420" s="91">
        <v>8202.9602199209512</v>
      </c>
      <c r="AU2420" s="91">
        <v>8202.9602199209512</v>
      </c>
      <c r="AV2420" s="91">
        <v>8202.9602199209512</v>
      </c>
      <c r="AW2420" s="91">
        <v>8202.9602199209512</v>
      </c>
      <c r="AX2420" s="92">
        <v>8202.9602199209512</v>
      </c>
    </row>
    <row r="2421" spans="1:50" x14ac:dyDescent="0.25">
      <c r="A2421" s="356"/>
      <c r="B2421" s="359"/>
      <c r="C2421" s="361" t="s">
        <v>14</v>
      </c>
      <c r="D2421" s="58" t="s">
        <v>7</v>
      </c>
      <c r="E2421" s="164" t="str">
        <f>A2411&amp;"/"&amp;B2419&amp;"/"&amp;C2421&amp;"/"&amp;D2421</f>
        <v>Lignite fired power plants/Supercritical steam turbine/CHP/L</v>
      </c>
      <c r="F2421" s="78" t="str">
        <f>A2411</f>
        <v>Lignite fired power plants</v>
      </c>
      <c r="G2421" s="78" t="str">
        <f>B2419</f>
        <v>Supercritical steam turbine</v>
      </c>
      <c r="H2421" s="78" t="str">
        <f>C2421</f>
        <v>CHP</v>
      </c>
      <c r="I2421" s="165" t="str">
        <f t="shared" si="118"/>
        <v>L</v>
      </c>
      <c r="J2421" s="95">
        <v>8760</v>
      </c>
      <c r="K2421" s="95">
        <v>8760</v>
      </c>
      <c r="L2421" s="95">
        <v>8760</v>
      </c>
      <c r="M2421" s="95">
        <v>8760</v>
      </c>
      <c r="N2421" s="95">
        <v>8760</v>
      </c>
      <c r="O2421" s="95">
        <v>8760</v>
      </c>
      <c r="P2421" s="95">
        <v>8760</v>
      </c>
      <c r="Q2421" s="95">
        <v>8760</v>
      </c>
      <c r="R2421" s="95">
        <v>8760</v>
      </c>
      <c r="S2421" s="95">
        <v>8760</v>
      </c>
      <c r="T2421" s="95">
        <v>8760</v>
      </c>
      <c r="U2421" s="95">
        <v>8760</v>
      </c>
      <c r="V2421" s="95">
        <v>8760</v>
      </c>
      <c r="W2421" s="95">
        <v>8760</v>
      </c>
      <c r="X2421" s="95">
        <v>8760</v>
      </c>
      <c r="Y2421" s="95">
        <v>8760</v>
      </c>
      <c r="Z2421" s="95">
        <v>8760</v>
      </c>
      <c r="AA2421" s="95">
        <v>8760</v>
      </c>
      <c r="AB2421" s="95">
        <v>8760</v>
      </c>
      <c r="AC2421" s="95">
        <v>8760</v>
      </c>
      <c r="AD2421" s="95">
        <v>8760</v>
      </c>
      <c r="AE2421" s="95">
        <v>8760</v>
      </c>
      <c r="AF2421" s="95">
        <v>8760</v>
      </c>
      <c r="AG2421" s="95">
        <v>8760</v>
      </c>
      <c r="AH2421" s="95">
        <v>8760</v>
      </c>
      <c r="AI2421" s="95">
        <v>8760</v>
      </c>
      <c r="AJ2421" s="95">
        <v>8760</v>
      </c>
      <c r="AK2421" s="95">
        <v>8760</v>
      </c>
      <c r="AL2421" s="95">
        <v>8760</v>
      </c>
      <c r="AM2421" s="95">
        <v>8760</v>
      </c>
      <c r="AN2421" s="95">
        <v>8760</v>
      </c>
      <c r="AO2421" s="95">
        <v>8760</v>
      </c>
      <c r="AP2421" s="95">
        <v>8760</v>
      </c>
      <c r="AQ2421" s="95">
        <v>8760</v>
      </c>
      <c r="AR2421" s="95">
        <v>8760</v>
      </c>
      <c r="AS2421" s="95">
        <v>8760</v>
      </c>
      <c r="AT2421" s="95">
        <v>8760</v>
      </c>
      <c r="AU2421" s="95">
        <v>8760</v>
      </c>
      <c r="AV2421" s="95">
        <v>8760</v>
      </c>
      <c r="AW2421" s="95">
        <v>8760</v>
      </c>
      <c r="AX2421" s="96">
        <v>8760</v>
      </c>
    </row>
    <row r="2422" spans="1:50" x14ac:dyDescent="0.25">
      <c r="A2422" s="356"/>
      <c r="B2422" s="359"/>
      <c r="C2422" s="360"/>
      <c r="D2422" s="59" t="s">
        <v>8</v>
      </c>
      <c r="E2422" s="166" t="str">
        <f>A2411&amp;"/"&amp;B2419&amp;"/"&amp;C2421&amp;"/"&amp;D2422</f>
        <v>Lignite fired power plants/Supercritical steam turbine/CHP/M</v>
      </c>
      <c r="F2422" s="79" t="str">
        <f>A2411</f>
        <v>Lignite fired power plants</v>
      </c>
      <c r="G2422" s="79" t="str">
        <f>B2419</f>
        <v>Supercritical steam turbine</v>
      </c>
      <c r="H2422" s="79" t="str">
        <f>C2421</f>
        <v>CHP</v>
      </c>
      <c r="I2422" s="167" t="str">
        <f t="shared" si="118"/>
        <v>M</v>
      </c>
      <c r="J2422" s="97">
        <v>8214.321704229118</v>
      </c>
      <c r="K2422" s="97">
        <v>8214.321704229118</v>
      </c>
      <c r="L2422" s="97">
        <v>8214.321704229118</v>
      </c>
      <c r="M2422" s="97">
        <v>8214.321704229118</v>
      </c>
      <c r="N2422" s="97">
        <v>8214.321704229118</v>
      </c>
      <c r="O2422" s="97">
        <v>8214.321704229118</v>
      </c>
      <c r="P2422" s="97">
        <v>8214.321704229118</v>
      </c>
      <c r="Q2422" s="97">
        <v>8214.321704229118</v>
      </c>
      <c r="R2422" s="97">
        <v>8214.321704229118</v>
      </c>
      <c r="S2422" s="97">
        <v>8214.321704229118</v>
      </c>
      <c r="T2422" s="97">
        <v>8214.321704229118</v>
      </c>
      <c r="U2422" s="97">
        <v>8214.321704229118</v>
      </c>
      <c r="V2422" s="97">
        <v>8214.321704229118</v>
      </c>
      <c r="W2422" s="97">
        <v>8214.321704229118</v>
      </c>
      <c r="X2422" s="97">
        <v>8214.321704229118</v>
      </c>
      <c r="Y2422" s="97">
        <v>8214.321704229118</v>
      </c>
      <c r="Z2422" s="97">
        <v>8214.321704229118</v>
      </c>
      <c r="AA2422" s="97">
        <v>8214.321704229118</v>
      </c>
      <c r="AB2422" s="97">
        <v>8214.321704229118</v>
      </c>
      <c r="AC2422" s="97">
        <v>8214.321704229118</v>
      </c>
      <c r="AD2422" s="97">
        <v>8214.321704229118</v>
      </c>
      <c r="AE2422" s="97">
        <v>8214.321704229118</v>
      </c>
      <c r="AF2422" s="97">
        <v>8214.321704229118</v>
      </c>
      <c r="AG2422" s="97">
        <v>8214.321704229118</v>
      </c>
      <c r="AH2422" s="97">
        <v>8214.321704229118</v>
      </c>
      <c r="AI2422" s="97">
        <v>8214.321704229118</v>
      </c>
      <c r="AJ2422" s="97">
        <v>8214.321704229118</v>
      </c>
      <c r="AK2422" s="97">
        <v>8214.321704229118</v>
      </c>
      <c r="AL2422" s="97">
        <v>8214.321704229118</v>
      </c>
      <c r="AM2422" s="97">
        <v>8214.321704229118</v>
      </c>
      <c r="AN2422" s="97">
        <v>8214.321704229118</v>
      </c>
      <c r="AO2422" s="97">
        <v>8214.321704229118</v>
      </c>
      <c r="AP2422" s="97">
        <v>8214.321704229118</v>
      </c>
      <c r="AQ2422" s="97">
        <v>8214.321704229118</v>
      </c>
      <c r="AR2422" s="97">
        <v>8214.321704229118</v>
      </c>
      <c r="AS2422" s="97">
        <v>8214.321704229118</v>
      </c>
      <c r="AT2422" s="97">
        <v>8214.321704229118</v>
      </c>
      <c r="AU2422" s="97">
        <v>8214.321704229118</v>
      </c>
      <c r="AV2422" s="97">
        <v>8214.321704229118</v>
      </c>
      <c r="AW2422" s="97">
        <v>8214.321704229118</v>
      </c>
      <c r="AX2422" s="98">
        <v>8214.321704229118</v>
      </c>
    </row>
    <row r="2423" spans="1:50" x14ac:dyDescent="0.25">
      <c r="A2423" s="356"/>
      <c r="B2423" s="359"/>
      <c r="C2423" s="361" t="s">
        <v>15</v>
      </c>
      <c r="D2423" s="58" t="s">
        <v>7</v>
      </c>
      <c r="E2423" s="164" t="str">
        <f>A2411&amp;"/"&amp;B2419&amp;"/"&amp;C2423&amp;"/"&amp;D2423</f>
        <v>Lignite fired power plants/Supercritical steam turbine/Electricity only with CCS/L</v>
      </c>
      <c r="F2423" s="78" t="str">
        <f>A2411</f>
        <v>Lignite fired power plants</v>
      </c>
      <c r="G2423" s="78" t="str">
        <f>B2419</f>
        <v>Supercritical steam turbine</v>
      </c>
      <c r="H2423" s="78" t="str">
        <f>C2423</f>
        <v>Electricity only with CCS</v>
      </c>
      <c r="I2423" s="165" t="str">
        <f t="shared" si="118"/>
        <v>L</v>
      </c>
      <c r="J2423" s="95" t="s">
        <v>112</v>
      </c>
      <c r="K2423" s="95" t="s">
        <v>112</v>
      </c>
      <c r="L2423" s="95" t="s">
        <v>112</v>
      </c>
      <c r="M2423" s="95" t="s">
        <v>112</v>
      </c>
      <c r="N2423" s="95" t="s">
        <v>112</v>
      </c>
      <c r="O2423" s="95" t="s">
        <v>112</v>
      </c>
      <c r="P2423" s="95" t="s">
        <v>112</v>
      </c>
      <c r="Q2423" s="95" t="s">
        <v>112</v>
      </c>
      <c r="R2423" s="95" t="s">
        <v>112</v>
      </c>
      <c r="S2423" s="95" t="s">
        <v>112</v>
      </c>
      <c r="T2423" s="95" t="s">
        <v>112</v>
      </c>
      <c r="U2423" s="95" t="s">
        <v>112</v>
      </c>
      <c r="V2423" s="95" t="s">
        <v>112</v>
      </c>
      <c r="W2423" s="95" t="s">
        <v>112</v>
      </c>
      <c r="X2423" s="95" t="s">
        <v>112</v>
      </c>
      <c r="Y2423" s="95" t="s">
        <v>112</v>
      </c>
      <c r="Z2423" s="95" t="s">
        <v>112</v>
      </c>
      <c r="AA2423" s="95" t="s">
        <v>112</v>
      </c>
      <c r="AB2423" s="95" t="s">
        <v>112</v>
      </c>
      <c r="AC2423" s="95" t="s">
        <v>112</v>
      </c>
      <c r="AD2423" s="95" t="s">
        <v>112</v>
      </c>
      <c r="AE2423" s="95">
        <v>8760</v>
      </c>
      <c r="AF2423" s="95">
        <v>8760</v>
      </c>
      <c r="AG2423" s="95">
        <v>8760</v>
      </c>
      <c r="AH2423" s="95">
        <v>8760</v>
      </c>
      <c r="AI2423" s="95">
        <v>8760</v>
      </c>
      <c r="AJ2423" s="95">
        <v>8760</v>
      </c>
      <c r="AK2423" s="95">
        <v>8760</v>
      </c>
      <c r="AL2423" s="95">
        <v>8760</v>
      </c>
      <c r="AM2423" s="95">
        <v>8760</v>
      </c>
      <c r="AN2423" s="95">
        <v>8760</v>
      </c>
      <c r="AO2423" s="95">
        <v>8760</v>
      </c>
      <c r="AP2423" s="95">
        <v>8760</v>
      </c>
      <c r="AQ2423" s="95">
        <v>8760</v>
      </c>
      <c r="AR2423" s="95">
        <v>8760</v>
      </c>
      <c r="AS2423" s="95">
        <v>8760</v>
      </c>
      <c r="AT2423" s="95">
        <v>8760</v>
      </c>
      <c r="AU2423" s="95">
        <v>8760</v>
      </c>
      <c r="AV2423" s="95">
        <v>8760</v>
      </c>
      <c r="AW2423" s="95">
        <v>8760</v>
      </c>
      <c r="AX2423" s="96">
        <v>8760</v>
      </c>
    </row>
    <row r="2424" spans="1:50" x14ac:dyDescent="0.25">
      <c r="A2424" s="356"/>
      <c r="B2424" s="359"/>
      <c r="C2424" s="360"/>
      <c r="D2424" s="59" t="s">
        <v>8</v>
      </c>
      <c r="E2424" s="166" t="str">
        <f>A2411&amp;"/"&amp;B2419&amp;"/"&amp;C2423&amp;"/"&amp;D2424</f>
        <v>Lignite fired power plants/Supercritical steam turbine/Electricity only with CCS/M</v>
      </c>
      <c r="F2424" s="79" t="str">
        <f>A2411</f>
        <v>Lignite fired power plants</v>
      </c>
      <c r="G2424" s="79" t="str">
        <f>B2419</f>
        <v>Supercritical steam turbine</v>
      </c>
      <c r="H2424" s="79" t="str">
        <f>C2423</f>
        <v>Electricity only with CCS</v>
      </c>
      <c r="I2424" s="167" t="str">
        <f t="shared" si="118"/>
        <v>M</v>
      </c>
      <c r="J2424" s="97" t="s">
        <v>112</v>
      </c>
      <c r="K2424" s="97" t="s">
        <v>112</v>
      </c>
      <c r="L2424" s="97" t="s">
        <v>112</v>
      </c>
      <c r="M2424" s="97" t="s">
        <v>112</v>
      </c>
      <c r="N2424" s="97" t="s">
        <v>112</v>
      </c>
      <c r="O2424" s="97" t="s">
        <v>112</v>
      </c>
      <c r="P2424" s="97" t="s">
        <v>112</v>
      </c>
      <c r="Q2424" s="97" t="s">
        <v>112</v>
      </c>
      <c r="R2424" s="97" t="s">
        <v>112</v>
      </c>
      <c r="S2424" s="97" t="s">
        <v>112</v>
      </c>
      <c r="T2424" s="97" t="s">
        <v>112</v>
      </c>
      <c r="U2424" s="97" t="s">
        <v>112</v>
      </c>
      <c r="V2424" s="97" t="s">
        <v>112</v>
      </c>
      <c r="W2424" s="97" t="s">
        <v>112</v>
      </c>
      <c r="X2424" s="97" t="s">
        <v>112</v>
      </c>
      <c r="Y2424" s="97" t="s">
        <v>112</v>
      </c>
      <c r="Z2424" s="97" t="s">
        <v>112</v>
      </c>
      <c r="AA2424" s="97" t="s">
        <v>112</v>
      </c>
      <c r="AB2424" s="97" t="s">
        <v>112</v>
      </c>
      <c r="AC2424" s="97" t="s">
        <v>112</v>
      </c>
      <c r="AD2424" s="97" t="s">
        <v>112</v>
      </c>
      <c r="AE2424" s="97">
        <v>8202.9602199209512</v>
      </c>
      <c r="AF2424" s="97">
        <v>8202.9602199209512</v>
      </c>
      <c r="AG2424" s="97">
        <v>8202.9602199209512</v>
      </c>
      <c r="AH2424" s="97">
        <v>8202.9602199209512</v>
      </c>
      <c r="AI2424" s="97">
        <v>8202.9602199209512</v>
      </c>
      <c r="AJ2424" s="97">
        <v>8202.9602199209512</v>
      </c>
      <c r="AK2424" s="97">
        <v>8202.9602199209512</v>
      </c>
      <c r="AL2424" s="97">
        <v>8202.9602199209512</v>
      </c>
      <c r="AM2424" s="97">
        <v>8202.9602199209512</v>
      </c>
      <c r="AN2424" s="97">
        <v>8202.9602199209512</v>
      </c>
      <c r="AO2424" s="97">
        <v>8202.9602199209512</v>
      </c>
      <c r="AP2424" s="97">
        <v>8202.9602199209512</v>
      </c>
      <c r="AQ2424" s="97">
        <v>8202.9602199209512</v>
      </c>
      <c r="AR2424" s="97">
        <v>8202.9602199209512</v>
      </c>
      <c r="AS2424" s="97">
        <v>8202.9602199209512</v>
      </c>
      <c r="AT2424" s="97">
        <v>8202.9602199209512</v>
      </c>
      <c r="AU2424" s="97">
        <v>8202.9602199209512</v>
      </c>
      <c r="AV2424" s="97">
        <v>8202.9602199209512</v>
      </c>
      <c r="AW2424" s="97">
        <v>8202.9602199209512</v>
      </c>
      <c r="AX2424" s="98">
        <v>8202.9602199209512</v>
      </c>
    </row>
    <row r="2425" spans="1:50" x14ac:dyDescent="0.25">
      <c r="A2425" s="356"/>
      <c r="B2425" s="359"/>
      <c r="C2425" s="361" t="s">
        <v>16</v>
      </c>
      <c r="D2425" s="2" t="s">
        <v>7</v>
      </c>
      <c r="E2425" s="160" t="str">
        <f>A2411&amp;"/"&amp;B2419&amp;"/"&amp;C2425&amp;"/"&amp;D2425</f>
        <v>Lignite fired power plants/Supercritical steam turbine/CHP with CCS/L</v>
      </c>
      <c r="F2425" s="76" t="str">
        <f>A2411</f>
        <v>Lignite fired power plants</v>
      </c>
      <c r="G2425" s="76" t="str">
        <f>B2419</f>
        <v>Supercritical steam turbine</v>
      </c>
      <c r="H2425" s="76" t="str">
        <f>C2425</f>
        <v>CHP with CCS</v>
      </c>
      <c r="I2425" s="161" t="str">
        <f t="shared" si="118"/>
        <v>L</v>
      </c>
      <c r="J2425" s="91" t="s">
        <v>112</v>
      </c>
      <c r="K2425" s="91" t="s">
        <v>112</v>
      </c>
      <c r="L2425" s="91" t="s">
        <v>112</v>
      </c>
      <c r="M2425" s="91" t="s">
        <v>112</v>
      </c>
      <c r="N2425" s="91" t="s">
        <v>112</v>
      </c>
      <c r="O2425" s="91" t="s">
        <v>112</v>
      </c>
      <c r="P2425" s="91" t="s">
        <v>112</v>
      </c>
      <c r="Q2425" s="91" t="s">
        <v>112</v>
      </c>
      <c r="R2425" s="91" t="s">
        <v>112</v>
      </c>
      <c r="S2425" s="91" t="s">
        <v>112</v>
      </c>
      <c r="T2425" s="91" t="s">
        <v>112</v>
      </c>
      <c r="U2425" s="91" t="s">
        <v>112</v>
      </c>
      <c r="V2425" s="91" t="s">
        <v>112</v>
      </c>
      <c r="W2425" s="91" t="s">
        <v>112</v>
      </c>
      <c r="X2425" s="91" t="s">
        <v>112</v>
      </c>
      <c r="Y2425" s="91" t="s">
        <v>112</v>
      </c>
      <c r="Z2425" s="91" t="s">
        <v>112</v>
      </c>
      <c r="AA2425" s="91" t="s">
        <v>112</v>
      </c>
      <c r="AB2425" s="91" t="s">
        <v>112</v>
      </c>
      <c r="AC2425" s="91" t="s">
        <v>112</v>
      </c>
      <c r="AD2425" s="91" t="s">
        <v>112</v>
      </c>
      <c r="AE2425" s="91">
        <v>8760</v>
      </c>
      <c r="AF2425" s="91">
        <v>8760</v>
      </c>
      <c r="AG2425" s="91">
        <v>8760</v>
      </c>
      <c r="AH2425" s="91">
        <v>8760</v>
      </c>
      <c r="AI2425" s="91">
        <v>8760</v>
      </c>
      <c r="AJ2425" s="91">
        <v>8760</v>
      </c>
      <c r="AK2425" s="91">
        <v>8760</v>
      </c>
      <c r="AL2425" s="91">
        <v>8760</v>
      </c>
      <c r="AM2425" s="91">
        <v>8760</v>
      </c>
      <c r="AN2425" s="91">
        <v>8760</v>
      </c>
      <c r="AO2425" s="91">
        <v>8760</v>
      </c>
      <c r="AP2425" s="91">
        <v>8760</v>
      </c>
      <c r="AQ2425" s="91">
        <v>8760</v>
      </c>
      <c r="AR2425" s="91">
        <v>8760</v>
      </c>
      <c r="AS2425" s="91">
        <v>8760</v>
      </c>
      <c r="AT2425" s="91">
        <v>8760</v>
      </c>
      <c r="AU2425" s="91">
        <v>8760</v>
      </c>
      <c r="AV2425" s="91">
        <v>8760</v>
      </c>
      <c r="AW2425" s="91">
        <v>8760</v>
      </c>
      <c r="AX2425" s="92">
        <v>8760</v>
      </c>
    </row>
    <row r="2426" spans="1:50" x14ac:dyDescent="0.25">
      <c r="A2426" s="356"/>
      <c r="B2426" s="362"/>
      <c r="C2426" s="354"/>
      <c r="D2426" s="4" t="s">
        <v>8</v>
      </c>
      <c r="E2426" s="168" t="str">
        <f>A2411&amp;"/"&amp;B2419&amp;"/"&amp;C2425&amp;"/"&amp;D2426</f>
        <v>Lignite fired power plants/Supercritical steam turbine/CHP with CCS/M</v>
      </c>
      <c r="F2426" s="80" t="str">
        <f>A2411</f>
        <v>Lignite fired power plants</v>
      </c>
      <c r="G2426" s="80" t="str">
        <f>B2419</f>
        <v>Supercritical steam turbine</v>
      </c>
      <c r="H2426" s="80" t="str">
        <f>C2425</f>
        <v>CHP with CCS</v>
      </c>
      <c r="I2426" s="169" t="str">
        <f t="shared" si="118"/>
        <v>M</v>
      </c>
      <c r="J2426" s="99" t="s">
        <v>112</v>
      </c>
      <c r="K2426" s="99" t="s">
        <v>112</v>
      </c>
      <c r="L2426" s="99" t="s">
        <v>112</v>
      </c>
      <c r="M2426" s="99" t="s">
        <v>112</v>
      </c>
      <c r="N2426" s="99" t="s">
        <v>112</v>
      </c>
      <c r="O2426" s="99" t="s">
        <v>112</v>
      </c>
      <c r="P2426" s="99" t="s">
        <v>112</v>
      </c>
      <c r="Q2426" s="99" t="s">
        <v>112</v>
      </c>
      <c r="R2426" s="99" t="s">
        <v>112</v>
      </c>
      <c r="S2426" s="99" t="s">
        <v>112</v>
      </c>
      <c r="T2426" s="99" t="s">
        <v>112</v>
      </c>
      <c r="U2426" s="99" t="s">
        <v>112</v>
      </c>
      <c r="V2426" s="99" t="s">
        <v>112</v>
      </c>
      <c r="W2426" s="99" t="s">
        <v>112</v>
      </c>
      <c r="X2426" s="99" t="s">
        <v>112</v>
      </c>
      <c r="Y2426" s="99" t="s">
        <v>112</v>
      </c>
      <c r="Z2426" s="99" t="s">
        <v>112</v>
      </c>
      <c r="AA2426" s="99" t="s">
        <v>112</v>
      </c>
      <c r="AB2426" s="99" t="s">
        <v>112</v>
      </c>
      <c r="AC2426" s="99" t="s">
        <v>112</v>
      </c>
      <c r="AD2426" s="99" t="s">
        <v>112</v>
      </c>
      <c r="AE2426" s="99">
        <v>8214.321704229118</v>
      </c>
      <c r="AF2426" s="99">
        <v>8214.321704229118</v>
      </c>
      <c r="AG2426" s="99">
        <v>8214.321704229118</v>
      </c>
      <c r="AH2426" s="99">
        <v>8214.321704229118</v>
      </c>
      <c r="AI2426" s="99">
        <v>8214.321704229118</v>
      </c>
      <c r="AJ2426" s="99">
        <v>8214.321704229118</v>
      </c>
      <c r="AK2426" s="99">
        <v>8214.321704229118</v>
      </c>
      <c r="AL2426" s="99">
        <v>8214.321704229118</v>
      </c>
      <c r="AM2426" s="99">
        <v>8214.321704229118</v>
      </c>
      <c r="AN2426" s="99">
        <v>8214.321704229118</v>
      </c>
      <c r="AO2426" s="99">
        <v>8214.321704229118</v>
      </c>
      <c r="AP2426" s="99">
        <v>8214.321704229118</v>
      </c>
      <c r="AQ2426" s="99">
        <v>8214.321704229118</v>
      </c>
      <c r="AR2426" s="99">
        <v>8214.321704229118</v>
      </c>
      <c r="AS2426" s="99">
        <v>8214.321704229118</v>
      </c>
      <c r="AT2426" s="99">
        <v>8214.321704229118</v>
      </c>
      <c r="AU2426" s="99">
        <v>8214.321704229118</v>
      </c>
      <c r="AV2426" s="99">
        <v>8214.321704229118</v>
      </c>
      <c r="AW2426" s="99">
        <v>8214.321704229118</v>
      </c>
      <c r="AX2426" s="100">
        <v>8214.321704229118</v>
      </c>
    </row>
    <row r="2427" spans="1:50" x14ac:dyDescent="0.25">
      <c r="A2427" s="356"/>
      <c r="B2427" s="358" t="s">
        <v>18</v>
      </c>
      <c r="C2427" s="353" t="s">
        <v>6</v>
      </c>
      <c r="D2427" s="3" t="s">
        <v>7</v>
      </c>
      <c r="E2427" s="162" t="str">
        <f>A2411&amp;"/"&amp;B2427&amp;"/"&amp;C2427&amp;"/"&amp;D2427</f>
        <v>Lignite fired power plants/Fluidized bed combustion/Electricity only/L</v>
      </c>
      <c r="F2427" s="77" t="str">
        <f>A2411</f>
        <v>Lignite fired power plants</v>
      </c>
      <c r="G2427" s="77" t="str">
        <f>B2427</f>
        <v>Fluidized bed combustion</v>
      </c>
      <c r="H2427" s="77" t="str">
        <f>C2427</f>
        <v>Electricity only</v>
      </c>
      <c r="I2427" s="163" t="str">
        <f t="shared" si="118"/>
        <v>L</v>
      </c>
      <c r="J2427" s="93">
        <v>8500</v>
      </c>
      <c r="K2427" s="93">
        <v>8500</v>
      </c>
      <c r="L2427" s="93">
        <v>8500</v>
      </c>
      <c r="M2427" s="93">
        <v>8500</v>
      </c>
      <c r="N2427" s="93">
        <v>8500</v>
      </c>
      <c r="O2427" s="93">
        <v>8500</v>
      </c>
      <c r="P2427" s="93">
        <v>8500</v>
      </c>
      <c r="Q2427" s="93">
        <v>8500</v>
      </c>
      <c r="R2427" s="93">
        <v>8500</v>
      </c>
      <c r="S2427" s="93">
        <v>8500</v>
      </c>
      <c r="T2427" s="93">
        <v>8500</v>
      </c>
      <c r="U2427" s="93">
        <v>8500</v>
      </c>
      <c r="V2427" s="93">
        <v>8500</v>
      </c>
      <c r="W2427" s="93">
        <v>8500</v>
      </c>
      <c r="X2427" s="93">
        <v>8500</v>
      </c>
      <c r="Y2427" s="93">
        <v>8500</v>
      </c>
      <c r="Z2427" s="93">
        <v>8500</v>
      </c>
      <c r="AA2427" s="93">
        <v>8500</v>
      </c>
      <c r="AB2427" s="93">
        <v>8500</v>
      </c>
      <c r="AC2427" s="93">
        <v>8500</v>
      </c>
      <c r="AD2427" s="93">
        <v>8500</v>
      </c>
      <c r="AE2427" s="93">
        <v>8500</v>
      </c>
      <c r="AF2427" s="93">
        <v>8500</v>
      </c>
      <c r="AG2427" s="93">
        <v>8500</v>
      </c>
      <c r="AH2427" s="93">
        <v>8500</v>
      </c>
      <c r="AI2427" s="93">
        <v>8500</v>
      </c>
      <c r="AJ2427" s="93">
        <v>8500</v>
      </c>
      <c r="AK2427" s="93">
        <v>8500</v>
      </c>
      <c r="AL2427" s="93">
        <v>8500</v>
      </c>
      <c r="AM2427" s="93">
        <v>8500</v>
      </c>
      <c r="AN2427" s="93">
        <v>8500</v>
      </c>
      <c r="AO2427" s="93">
        <v>8500</v>
      </c>
      <c r="AP2427" s="93">
        <v>8500</v>
      </c>
      <c r="AQ2427" s="93">
        <v>8500</v>
      </c>
      <c r="AR2427" s="93">
        <v>8500</v>
      </c>
      <c r="AS2427" s="93">
        <v>8500</v>
      </c>
      <c r="AT2427" s="93">
        <v>8500</v>
      </c>
      <c r="AU2427" s="93">
        <v>8500</v>
      </c>
      <c r="AV2427" s="93">
        <v>8500</v>
      </c>
      <c r="AW2427" s="93">
        <v>8500</v>
      </c>
      <c r="AX2427" s="94">
        <v>8500</v>
      </c>
    </row>
    <row r="2428" spans="1:50" x14ac:dyDescent="0.25">
      <c r="A2428" s="356"/>
      <c r="B2428" s="359"/>
      <c r="C2428" s="350"/>
      <c r="D2428" s="2" t="s">
        <v>8</v>
      </c>
      <c r="E2428" s="160" t="str">
        <f>A2411&amp;"/"&amp;B2427&amp;"/"&amp;C2427&amp;"/"&amp;D2428</f>
        <v>Lignite fired power plants/Fluidized bed combustion/Electricity only/M</v>
      </c>
      <c r="F2428" s="76" t="str">
        <f>A2411</f>
        <v>Lignite fired power plants</v>
      </c>
      <c r="G2428" s="76" t="str">
        <f>B2427</f>
        <v>Fluidized bed combustion</v>
      </c>
      <c r="H2428" s="76" t="str">
        <f>C2427</f>
        <v>Electricity only</v>
      </c>
      <c r="I2428" s="161" t="str">
        <f t="shared" si="118"/>
        <v>M</v>
      </c>
      <c r="J2428" s="91">
        <v>7948.4076756871136</v>
      </c>
      <c r="K2428" s="91">
        <v>7948.4076756871136</v>
      </c>
      <c r="L2428" s="91">
        <v>7948.4076756871136</v>
      </c>
      <c r="M2428" s="91">
        <v>7948.4076756871136</v>
      </c>
      <c r="N2428" s="91">
        <v>7948.4076756871136</v>
      </c>
      <c r="O2428" s="91">
        <v>7948.4076756871136</v>
      </c>
      <c r="P2428" s="91">
        <v>7948.4076756871136</v>
      </c>
      <c r="Q2428" s="91">
        <v>7948.4076756871136</v>
      </c>
      <c r="R2428" s="91">
        <v>7948.4076756871136</v>
      </c>
      <c r="S2428" s="91">
        <v>7948.4076756871136</v>
      </c>
      <c r="T2428" s="91">
        <v>7948.4076756871136</v>
      </c>
      <c r="U2428" s="91">
        <v>7948.4076756871136</v>
      </c>
      <c r="V2428" s="91">
        <v>7948.4076756871136</v>
      </c>
      <c r="W2428" s="91">
        <v>7948.4076756871136</v>
      </c>
      <c r="X2428" s="91">
        <v>7948.4076756871136</v>
      </c>
      <c r="Y2428" s="91">
        <v>7948.4076756871136</v>
      </c>
      <c r="Z2428" s="91">
        <v>7948.4076756871136</v>
      </c>
      <c r="AA2428" s="91">
        <v>7948.4076756871136</v>
      </c>
      <c r="AB2428" s="91">
        <v>7948.4076756871136</v>
      </c>
      <c r="AC2428" s="91">
        <v>7948.4076756871136</v>
      </c>
      <c r="AD2428" s="91">
        <v>7948.4076756871136</v>
      </c>
      <c r="AE2428" s="91">
        <v>7948.4076756871136</v>
      </c>
      <c r="AF2428" s="91">
        <v>7948.4076756871136</v>
      </c>
      <c r="AG2428" s="91">
        <v>7948.4076756871136</v>
      </c>
      <c r="AH2428" s="91">
        <v>7948.4076756871136</v>
      </c>
      <c r="AI2428" s="91">
        <v>7948.4076756871136</v>
      </c>
      <c r="AJ2428" s="91">
        <v>7948.4076756871136</v>
      </c>
      <c r="AK2428" s="91">
        <v>7948.4076756871136</v>
      </c>
      <c r="AL2428" s="91">
        <v>7948.4076756871136</v>
      </c>
      <c r="AM2428" s="91">
        <v>7948.4076756871136</v>
      </c>
      <c r="AN2428" s="91">
        <v>7948.4076756871136</v>
      </c>
      <c r="AO2428" s="91">
        <v>7948.4076756871136</v>
      </c>
      <c r="AP2428" s="91">
        <v>7948.4076756871136</v>
      </c>
      <c r="AQ2428" s="91">
        <v>7948.4076756871136</v>
      </c>
      <c r="AR2428" s="91">
        <v>7948.4076756871136</v>
      </c>
      <c r="AS2428" s="91">
        <v>7948.4076756871136</v>
      </c>
      <c r="AT2428" s="91">
        <v>7948.4076756871136</v>
      </c>
      <c r="AU2428" s="91">
        <v>7948.4076756871136</v>
      </c>
      <c r="AV2428" s="91">
        <v>7948.4076756871136</v>
      </c>
      <c r="AW2428" s="91">
        <v>7948.4076756871136</v>
      </c>
      <c r="AX2428" s="92">
        <v>7948.4076756871136</v>
      </c>
    </row>
    <row r="2429" spans="1:50" x14ac:dyDescent="0.25">
      <c r="A2429" s="356"/>
      <c r="B2429" s="359"/>
      <c r="C2429" s="360"/>
      <c r="D2429" s="2" t="s">
        <v>10</v>
      </c>
      <c r="E2429" s="160" t="str">
        <f>A2411&amp;"/"&amp;B2427&amp;"/"&amp;C2427&amp;"/"&amp;D2429</f>
        <v>Lignite fired power plants/Fluidized bed combustion/Electricity only/S</v>
      </c>
      <c r="F2429" s="76" t="str">
        <f>A2411</f>
        <v>Lignite fired power plants</v>
      </c>
      <c r="G2429" s="76" t="str">
        <f>B2427</f>
        <v>Fluidized bed combustion</v>
      </c>
      <c r="H2429" s="76" t="str">
        <f>C2427</f>
        <v>Electricity only</v>
      </c>
      <c r="I2429" s="161" t="str">
        <f t="shared" si="118"/>
        <v>S</v>
      </c>
      <c r="J2429" s="91">
        <v>7347.5218904818876</v>
      </c>
      <c r="K2429" s="91">
        <v>7347.5218904818876</v>
      </c>
      <c r="L2429" s="91">
        <v>7347.5218904818876</v>
      </c>
      <c r="M2429" s="91">
        <v>7347.5218904818876</v>
      </c>
      <c r="N2429" s="91">
        <v>7347.5218904818876</v>
      </c>
      <c r="O2429" s="91">
        <v>7347.5218904818876</v>
      </c>
      <c r="P2429" s="91">
        <v>7347.5218904818876</v>
      </c>
      <c r="Q2429" s="91">
        <v>7347.5218904818876</v>
      </c>
      <c r="R2429" s="91">
        <v>7347.5218904818876</v>
      </c>
      <c r="S2429" s="91">
        <v>7347.5218904818876</v>
      </c>
      <c r="T2429" s="91">
        <v>7347.5218904818876</v>
      </c>
      <c r="U2429" s="91">
        <v>7347.5218904818876</v>
      </c>
      <c r="V2429" s="91">
        <v>7347.5218904818876</v>
      </c>
      <c r="W2429" s="91">
        <v>7347.5218904818876</v>
      </c>
      <c r="X2429" s="91">
        <v>7347.5218904818876</v>
      </c>
      <c r="Y2429" s="91">
        <v>7347.5218904818876</v>
      </c>
      <c r="Z2429" s="91">
        <v>7347.5218904818876</v>
      </c>
      <c r="AA2429" s="91">
        <v>7347.5218904818876</v>
      </c>
      <c r="AB2429" s="91">
        <v>7347.5218904818876</v>
      </c>
      <c r="AC2429" s="91">
        <v>7347.5218904818876</v>
      </c>
      <c r="AD2429" s="91">
        <v>7347.5218904818876</v>
      </c>
      <c r="AE2429" s="91">
        <v>7347.5218904818876</v>
      </c>
      <c r="AF2429" s="91">
        <v>7347.5218904818876</v>
      </c>
      <c r="AG2429" s="91">
        <v>7347.5218904818876</v>
      </c>
      <c r="AH2429" s="91">
        <v>7347.5218904818876</v>
      </c>
      <c r="AI2429" s="91">
        <v>7347.5218904818876</v>
      </c>
      <c r="AJ2429" s="91">
        <v>7347.5218904818876</v>
      </c>
      <c r="AK2429" s="91">
        <v>7347.5218904818876</v>
      </c>
      <c r="AL2429" s="91">
        <v>7347.5218904818876</v>
      </c>
      <c r="AM2429" s="91">
        <v>7347.5218904818876</v>
      </c>
      <c r="AN2429" s="91">
        <v>7347.5218904818876</v>
      </c>
      <c r="AO2429" s="91">
        <v>7347.5218904818876</v>
      </c>
      <c r="AP2429" s="91">
        <v>7347.5218904818876</v>
      </c>
      <c r="AQ2429" s="91">
        <v>7347.5218904818876</v>
      </c>
      <c r="AR2429" s="91">
        <v>7347.5218904818876</v>
      </c>
      <c r="AS2429" s="91">
        <v>7347.5218904818876</v>
      </c>
      <c r="AT2429" s="91">
        <v>7347.5218904818876</v>
      </c>
      <c r="AU2429" s="91">
        <v>7347.5218904818876</v>
      </c>
      <c r="AV2429" s="91">
        <v>7347.5218904818876</v>
      </c>
      <c r="AW2429" s="91">
        <v>7347.5218904818876</v>
      </c>
      <c r="AX2429" s="92">
        <v>7347.5218904818876</v>
      </c>
    </row>
    <row r="2430" spans="1:50" x14ac:dyDescent="0.25">
      <c r="A2430" s="356"/>
      <c r="B2430" s="359"/>
      <c r="C2430" s="361" t="s">
        <v>14</v>
      </c>
      <c r="D2430" s="58" t="s">
        <v>7</v>
      </c>
      <c r="E2430" s="164" t="str">
        <f>A2411&amp;"/"&amp;B2427&amp;"/"&amp;C2430&amp;"/"&amp;D2430</f>
        <v>Lignite fired power plants/Fluidized bed combustion/CHP/L</v>
      </c>
      <c r="F2430" s="78" t="str">
        <f>A2411</f>
        <v>Lignite fired power plants</v>
      </c>
      <c r="G2430" s="78" t="str">
        <f>B2427</f>
        <v>Fluidized bed combustion</v>
      </c>
      <c r="H2430" s="78" t="str">
        <f>C2430</f>
        <v>CHP</v>
      </c>
      <c r="I2430" s="165" t="str">
        <f t="shared" si="118"/>
        <v>L</v>
      </c>
      <c r="J2430" s="95">
        <v>8500</v>
      </c>
      <c r="K2430" s="95">
        <v>8500</v>
      </c>
      <c r="L2430" s="95">
        <v>8500</v>
      </c>
      <c r="M2430" s="95">
        <v>8500</v>
      </c>
      <c r="N2430" s="95">
        <v>8500</v>
      </c>
      <c r="O2430" s="95">
        <v>8500</v>
      </c>
      <c r="P2430" s="95">
        <v>8500</v>
      </c>
      <c r="Q2430" s="95">
        <v>8500</v>
      </c>
      <c r="R2430" s="95">
        <v>8500</v>
      </c>
      <c r="S2430" s="95">
        <v>8500</v>
      </c>
      <c r="T2430" s="95">
        <v>8500</v>
      </c>
      <c r="U2430" s="95">
        <v>8500</v>
      </c>
      <c r="V2430" s="95">
        <v>8500</v>
      </c>
      <c r="W2430" s="95">
        <v>8500</v>
      </c>
      <c r="X2430" s="95">
        <v>8500</v>
      </c>
      <c r="Y2430" s="95">
        <v>8500</v>
      </c>
      <c r="Z2430" s="95">
        <v>8500</v>
      </c>
      <c r="AA2430" s="95">
        <v>8500</v>
      </c>
      <c r="AB2430" s="95">
        <v>8500</v>
      </c>
      <c r="AC2430" s="95">
        <v>8500</v>
      </c>
      <c r="AD2430" s="95">
        <v>8500</v>
      </c>
      <c r="AE2430" s="95">
        <v>8500</v>
      </c>
      <c r="AF2430" s="95">
        <v>8500</v>
      </c>
      <c r="AG2430" s="95">
        <v>8500</v>
      </c>
      <c r="AH2430" s="95">
        <v>8500</v>
      </c>
      <c r="AI2430" s="95">
        <v>8500</v>
      </c>
      <c r="AJ2430" s="95">
        <v>8500</v>
      </c>
      <c r="AK2430" s="95">
        <v>8500</v>
      </c>
      <c r="AL2430" s="95">
        <v>8500</v>
      </c>
      <c r="AM2430" s="95">
        <v>8500</v>
      </c>
      <c r="AN2430" s="95">
        <v>8500</v>
      </c>
      <c r="AO2430" s="95">
        <v>8500</v>
      </c>
      <c r="AP2430" s="95">
        <v>8500</v>
      </c>
      <c r="AQ2430" s="95">
        <v>8500</v>
      </c>
      <c r="AR2430" s="95">
        <v>8500</v>
      </c>
      <c r="AS2430" s="95">
        <v>8500</v>
      </c>
      <c r="AT2430" s="95">
        <v>8500</v>
      </c>
      <c r="AU2430" s="95">
        <v>8500</v>
      </c>
      <c r="AV2430" s="95">
        <v>8500</v>
      </c>
      <c r="AW2430" s="95">
        <v>8500</v>
      </c>
      <c r="AX2430" s="96">
        <v>8500</v>
      </c>
    </row>
    <row r="2431" spans="1:50" x14ac:dyDescent="0.25">
      <c r="A2431" s="356"/>
      <c r="B2431" s="359"/>
      <c r="C2431" s="350"/>
      <c r="D2431" s="2" t="s">
        <v>8</v>
      </c>
      <c r="E2431" s="160" t="str">
        <f>A2411&amp;"/"&amp;B2427&amp;"/"&amp;C2430&amp;"/"&amp;D2431</f>
        <v>Lignite fired power plants/Fluidized bed combustion/CHP/M</v>
      </c>
      <c r="F2431" s="76" t="str">
        <f>A2411</f>
        <v>Lignite fired power plants</v>
      </c>
      <c r="G2431" s="76" t="str">
        <f>B2427</f>
        <v>Fluidized bed combustion</v>
      </c>
      <c r="H2431" s="76" t="str">
        <f>C2430</f>
        <v>CHP</v>
      </c>
      <c r="I2431" s="161" t="str">
        <f t="shared" ref="I2431:I2494" si="119">D2431</f>
        <v>M</v>
      </c>
      <c r="J2431" s="91">
        <v>7948.4076756871136</v>
      </c>
      <c r="K2431" s="91">
        <v>7948.4076756871136</v>
      </c>
      <c r="L2431" s="91">
        <v>7948.4076756871136</v>
      </c>
      <c r="M2431" s="91">
        <v>7948.4076756871136</v>
      </c>
      <c r="N2431" s="91">
        <v>7948.4076756871136</v>
      </c>
      <c r="O2431" s="91">
        <v>7948.4076756871136</v>
      </c>
      <c r="P2431" s="91">
        <v>7948.4076756871136</v>
      </c>
      <c r="Q2431" s="91">
        <v>7948.4076756871136</v>
      </c>
      <c r="R2431" s="91">
        <v>7948.4076756871136</v>
      </c>
      <c r="S2431" s="91">
        <v>7948.4076756871136</v>
      </c>
      <c r="T2431" s="91">
        <v>7948.4076756871136</v>
      </c>
      <c r="U2431" s="91">
        <v>7948.4076756871136</v>
      </c>
      <c r="V2431" s="91">
        <v>7948.4076756871136</v>
      </c>
      <c r="W2431" s="91">
        <v>7948.4076756871136</v>
      </c>
      <c r="X2431" s="91">
        <v>7948.4076756871136</v>
      </c>
      <c r="Y2431" s="91">
        <v>7948.4076756871136</v>
      </c>
      <c r="Z2431" s="91">
        <v>7948.4076756871136</v>
      </c>
      <c r="AA2431" s="91">
        <v>7948.4076756871136</v>
      </c>
      <c r="AB2431" s="91">
        <v>7948.4076756871136</v>
      </c>
      <c r="AC2431" s="91">
        <v>7948.4076756871136</v>
      </c>
      <c r="AD2431" s="91">
        <v>7948.4076756871136</v>
      </c>
      <c r="AE2431" s="91">
        <v>7948.4076756871136</v>
      </c>
      <c r="AF2431" s="91">
        <v>7948.4076756871136</v>
      </c>
      <c r="AG2431" s="91">
        <v>7948.4076756871136</v>
      </c>
      <c r="AH2431" s="91">
        <v>7948.4076756871136</v>
      </c>
      <c r="AI2431" s="91">
        <v>7948.4076756871136</v>
      </c>
      <c r="AJ2431" s="91">
        <v>7948.4076756871136</v>
      </c>
      <c r="AK2431" s="91">
        <v>7948.4076756871136</v>
      </c>
      <c r="AL2431" s="91">
        <v>7948.4076756871136</v>
      </c>
      <c r="AM2431" s="91">
        <v>7948.4076756871136</v>
      </c>
      <c r="AN2431" s="91">
        <v>7948.4076756871136</v>
      </c>
      <c r="AO2431" s="91">
        <v>7948.4076756871136</v>
      </c>
      <c r="AP2431" s="91">
        <v>7948.4076756871136</v>
      </c>
      <c r="AQ2431" s="91">
        <v>7948.4076756871136</v>
      </c>
      <c r="AR2431" s="91">
        <v>7948.4076756871136</v>
      </c>
      <c r="AS2431" s="91">
        <v>7948.4076756871136</v>
      </c>
      <c r="AT2431" s="91">
        <v>7948.4076756871136</v>
      </c>
      <c r="AU2431" s="91">
        <v>7948.4076756871136</v>
      </c>
      <c r="AV2431" s="91">
        <v>7948.4076756871136</v>
      </c>
      <c r="AW2431" s="91">
        <v>7948.4076756871136</v>
      </c>
      <c r="AX2431" s="92">
        <v>7948.4076756871136</v>
      </c>
    </row>
    <row r="2432" spans="1:50" x14ac:dyDescent="0.25">
      <c r="A2432" s="356"/>
      <c r="B2432" s="359"/>
      <c r="C2432" s="360"/>
      <c r="D2432" s="59" t="s">
        <v>10</v>
      </c>
      <c r="E2432" s="166" t="str">
        <f>A2411&amp;"/"&amp;B2427&amp;"/"&amp;C2430&amp;"/"&amp;D2432</f>
        <v>Lignite fired power plants/Fluidized bed combustion/CHP/S</v>
      </c>
      <c r="F2432" s="79" t="str">
        <f>A2411</f>
        <v>Lignite fired power plants</v>
      </c>
      <c r="G2432" s="79" t="str">
        <f>B2427</f>
        <v>Fluidized bed combustion</v>
      </c>
      <c r="H2432" s="79" t="str">
        <f>C2430</f>
        <v>CHP</v>
      </c>
      <c r="I2432" s="167" t="str">
        <f t="shared" si="119"/>
        <v>S</v>
      </c>
      <c r="J2432" s="97">
        <v>7347.5218904818876</v>
      </c>
      <c r="K2432" s="97">
        <v>7347.5218904818876</v>
      </c>
      <c r="L2432" s="97">
        <v>7347.5218904818876</v>
      </c>
      <c r="M2432" s="97">
        <v>7347.5218904818876</v>
      </c>
      <c r="N2432" s="97">
        <v>7347.5218904818876</v>
      </c>
      <c r="O2432" s="97">
        <v>7347.5218904818876</v>
      </c>
      <c r="P2432" s="97">
        <v>7347.5218904818876</v>
      </c>
      <c r="Q2432" s="97">
        <v>7347.5218904818876</v>
      </c>
      <c r="R2432" s="97">
        <v>7347.5218904818876</v>
      </c>
      <c r="S2432" s="97">
        <v>7347.5218904818876</v>
      </c>
      <c r="T2432" s="97">
        <v>7347.5218904818876</v>
      </c>
      <c r="U2432" s="97">
        <v>7347.5218904818876</v>
      </c>
      <c r="V2432" s="97">
        <v>7347.5218904818876</v>
      </c>
      <c r="W2432" s="97">
        <v>7347.5218904818876</v>
      </c>
      <c r="X2432" s="97">
        <v>7347.5218904818876</v>
      </c>
      <c r="Y2432" s="97">
        <v>7347.5218904818876</v>
      </c>
      <c r="Z2432" s="97">
        <v>7347.5218904818876</v>
      </c>
      <c r="AA2432" s="97">
        <v>7347.5218904818876</v>
      </c>
      <c r="AB2432" s="97">
        <v>7347.5218904818876</v>
      </c>
      <c r="AC2432" s="97">
        <v>7347.5218904818876</v>
      </c>
      <c r="AD2432" s="97">
        <v>7347.5218904818876</v>
      </c>
      <c r="AE2432" s="97">
        <v>7347.5218904818876</v>
      </c>
      <c r="AF2432" s="97">
        <v>7347.5218904818876</v>
      </c>
      <c r="AG2432" s="97">
        <v>7347.5218904818876</v>
      </c>
      <c r="AH2432" s="97">
        <v>7347.5218904818876</v>
      </c>
      <c r="AI2432" s="97">
        <v>7347.5218904818876</v>
      </c>
      <c r="AJ2432" s="97">
        <v>7347.5218904818876</v>
      </c>
      <c r="AK2432" s="97">
        <v>7347.5218904818876</v>
      </c>
      <c r="AL2432" s="97">
        <v>7347.5218904818876</v>
      </c>
      <c r="AM2432" s="97">
        <v>7347.5218904818876</v>
      </c>
      <c r="AN2432" s="97">
        <v>7347.5218904818876</v>
      </c>
      <c r="AO2432" s="97">
        <v>7347.5218904818876</v>
      </c>
      <c r="AP2432" s="97">
        <v>7347.5218904818876</v>
      </c>
      <c r="AQ2432" s="97">
        <v>7347.5218904818876</v>
      </c>
      <c r="AR2432" s="97">
        <v>7347.5218904818876</v>
      </c>
      <c r="AS2432" s="97">
        <v>7347.5218904818876</v>
      </c>
      <c r="AT2432" s="97">
        <v>7347.5218904818876</v>
      </c>
      <c r="AU2432" s="97">
        <v>7347.5218904818876</v>
      </c>
      <c r="AV2432" s="97">
        <v>7347.5218904818876</v>
      </c>
      <c r="AW2432" s="97">
        <v>7347.5218904818876</v>
      </c>
      <c r="AX2432" s="98">
        <v>7347.5218904818876</v>
      </c>
    </row>
    <row r="2433" spans="1:50" x14ac:dyDescent="0.25">
      <c r="A2433" s="356"/>
      <c r="B2433" s="359"/>
      <c r="C2433" s="361" t="s">
        <v>15</v>
      </c>
      <c r="D2433" s="58" t="s">
        <v>7</v>
      </c>
      <c r="E2433" s="164" t="str">
        <f>A2411&amp;"/"&amp;B2427&amp;"/"&amp;C2433&amp;"/"&amp;D2433</f>
        <v>Lignite fired power plants/Fluidized bed combustion/Electricity only with CCS/L</v>
      </c>
      <c r="F2433" s="78" t="str">
        <f>A2411</f>
        <v>Lignite fired power plants</v>
      </c>
      <c r="G2433" s="78" t="str">
        <f>B2427</f>
        <v>Fluidized bed combustion</v>
      </c>
      <c r="H2433" s="78" t="str">
        <f>C2433</f>
        <v>Electricity only with CCS</v>
      </c>
      <c r="I2433" s="165" t="str">
        <f t="shared" si="119"/>
        <v>L</v>
      </c>
      <c r="J2433" s="95" t="s">
        <v>112</v>
      </c>
      <c r="K2433" s="95" t="s">
        <v>112</v>
      </c>
      <c r="L2433" s="95" t="s">
        <v>112</v>
      </c>
      <c r="M2433" s="95" t="s">
        <v>112</v>
      </c>
      <c r="N2433" s="95" t="s">
        <v>112</v>
      </c>
      <c r="O2433" s="95" t="s">
        <v>112</v>
      </c>
      <c r="P2433" s="95" t="s">
        <v>112</v>
      </c>
      <c r="Q2433" s="95" t="s">
        <v>112</v>
      </c>
      <c r="R2433" s="95" t="s">
        <v>112</v>
      </c>
      <c r="S2433" s="95" t="s">
        <v>112</v>
      </c>
      <c r="T2433" s="95" t="s">
        <v>112</v>
      </c>
      <c r="U2433" s="95" t="s">
        <v>112</v>
      </c>
      <c r="V2433" s="95" t="s">
        <v>112</v>
      </c>
      <c r="W2433" s="95" t="s">
        <v>112</v>
      </c>
      <c r="X2433" s="95" t="s">
        <v>112</v>
      </c>
      <c r="Y2433" s="95" t="s">
        <v>112</v>
      </c>
      <c r="Z2433" s="95" t="s">
        <v>112</v>
      </c>
      <c r="AA2433" s="95" t="s">
        <v>112</v>
      </c>
      <c r="AB2433" s="95" t="s">
        <v>112</v>
      </c>
      <c r="AC2433" s="95" t="s">
        <v>112</v>
      </c>
      <c r="AD2433" s="95" t="s">
        <v>112</v>
      </c>
      <c r="AE2433" s="95">
        <v>8500</v>
      </c>
      <c r="AF2433" s="95">
        <v>8500</v>
      </c>
      <c r="AG2433" s="95">
        <v>8500</v>
      </c>
      <c r="AH2433" s="95">
        <v>8500</v>
      </c>
      <c r="AI2433" s="95">
        <v>8500</v>
      </c>
      <c r="AJ2433" s="95">
        <v>8500</v>
      </c>
      <c r="AK2433" s="95">
        <v>8500</v>
      </c>
      <c r="AL2433" s="95">
        <v>8500</v>
      </c>
      <c r="AM2433" s="95">
        <v>8500</v>
      </c>
      <c r="AN2433" s="95">
        <v>8500</v>
      </c>
      <c r="AO2433" s="95">
        <v>8500</v>
      </c>
      <c r="AP2433" s="95">
        <v>8500</v>
      </c>
      <c r="AQ2433" s="95">
        <v>8500</v>
      </c>
      <c r="AR2433" s="95">
        <v>8500</v>
      </c>
      <c r="AS2433" s="95">
        <v>8500</v>
      </c>
      <c r="AT2433" s="95">
        <v>8500</v>
      </c>
      <c r="AU2433" s="95">
        <v>8500</v>
      </c>
      <c r="AV2433" s="95">
        <v>8500</v>
      </c>
      <c r="AW2433" s="95">
        <v>8500</v>
      </c>
      <c r="AX2433" s="96">
        <v>8500</v>
      </c>
    </row>
    <row r="2434" spans="1:50" x14ac:dyDescent="0.25">
      <c r="A2434" s="356"/>
      <c r="B2434" s="359"/>
      <c r="C2434" s="360"/>
      <c r="D2434" s="59" t="s">
        <v>8</v>
      </c>
      <c r="E2434" s="166" t="str">
        <f>A2411&amp;"/"&amp;B2427&amp;"/"&amp;C2433&amp;"/"&amp;D2434</f>
        <v>Lignite fired power plants/Fluidized bed combustion/Electricity only with CCS/M</v>
      </c>
      <c r="F2434" s="79" t="str">
        <f>A2411</f>
        <v>Lignite fired power plants</v>
      </c>
      <c r="G2434" s="79" t="str">
        <f>B2427</f>
        <v>Fluidized bed combustion</v>
      </c>
      <c r="H2434" s="79" t="str">
        <f>C2433</f>
        <v>Electricity only with CCS</v>
      </c>
      <c r="I2434" s="167" t="str">
        <f t="shared" si="119"/>
        <v>M</v>
      </c>
      <c r="J2434" s="97" t="s">
        <v>112</v>
      </c>
      <c r="K2434" s="97" t="s">
        <v>112</v>
      </c>
      <c r="L2434" s="97" t="s">
        <v>112</v>
      </c>
      <c r="M2434" s="97" t="s">
        <v>112</v>
      </c>
      <c r="N2434" s="97" t="s">
        <v>112</v>
      </c>
      <c r="O2434" s="97" t="s">
        <v>112</v>
      </c>
      <c r="P2434" s="97" t="s">
        <v>112</v>
      </c>
      <c r="Q2434" s="97" t="s">
        <v>112</v>
      </c>
      <c r="R2434" s="97" t="s">
        <v>112</v>
      </c>
      <c r="S2434" s="97" t="s">
        <v>112</v>
      </c>
      <c r="T2434" s="97" t="s">
        <v>112</v>
      </c>
      <c r="U2434" s="97" t="s">
        <v>112</v>
      </c>
      <c r="V2434" s="97" t="s">
        <v>112</v>
      </c>
      <c r="W2434" s="97" t="s">
        <v>112</v>
      </c>
      <c r="X2434" s="97" t="s">
        <v>112</v>
      </c>
      <c r="Y2434" s="97" t="s">
        <v>112</v>
      </c>
      <c r="Z2434" s="97" t="s">
        <v>112</v>
      </c>
      <c r="AA2434" s="97" t="s">
        <v>112</v>
      </c>
      <c r="AB2434" s="97" t="s">
        <v>112</v>
      </c>
      <c r="AC2434" s="97" t="s">
        <v>112</v>
      </c>
      <c r="AD2434" s="97" t="s">
        <v>112</v>
      </c>
      <c r="AE2434" s="97">
        <v>7948.4076756871136</v>
      </c>
      <c r="AF2434" s="97">
        <v>7948.4076756871136</v>
      </c>
      <c r="AG2434" s="97">
        <v>7948.4076756871136</v>
      </c>
      <c r="AH2434" s="97">
        <v>7948.4076756871136</v>
      </c>
      <c r="AI2434" s="97">
        <v>7948.4076756871136</v>
      </c>
      <c r="AJ2434" s="97">
        <v>7948.4076756871136</v>
      </c>
      <c r="AK2434" s="97">
        <v>7948.4076756871136</v>
      </c>
      <c r="AL2434" s="97">
        <v>7948.4076756871136</v>
      </c>
      <c r="AM2434" s="97">
        <v>7948.4076756871136</v>
      </c>
      <c r="AN2434" s="97">
        <v>7948.4076756871136</v>
      </c>
      <c r="AO2434" s="97">
        <v>7948.4076756871136</v>
      </c>
      <c r="AP2434" s="97">
        <v>7948.4076756871136</v>
      </c>
      <c r="AQ2434" s="97">
        <v>7948.4076756871136</v>
      </c>
      <c r="AR2434" s="97">
        <v>7948.4076756871136</v>
      </c>
      <c r="AS2434" s="97">
        <v>7948.4076756871136</v>
      </c>
      <c r="AT2434" s="97">
        <v>7948.4076756871136</v>
      </c>
      <c r="AU2434" s="97">
        <v>7948.4076756871136</v>
      </c>
      <c r="AV2434" s="97">
        <v>7948.4076756871136</v>
      </c>
      <c r="AW2434" s="97">
        <v>7948.4076756871136</v>
      </c>
      <c r="AX2434" s="98">
        <v>7948.4076756871136</v>
      </c>
    </row>
    <row r="2435" spans="1:50" x14ac:dyDescent="0.25">
      <c r="A2435" s="356"/>
      <c r="B2435" s="359"/>
      <c r="C2435" s="361" t="s">
        <v>16</v>
      </c>
      <c r="D2435" s="2" t="s">
        <v>7</v>
      </c>
      <c r="E2435" s="160" t="str">
        <f>A2411&amp;"/"&amp;B2427&amp;"/"&amp;C2435&amp;"/"&amp;D2435</f>
        <v>Lignite fired power plants/Fluidized bed combustion/CHP with CCS/L</v>
      </c>
      <c r="F2435" s="76" t="str">
        <f>A2411</f>
        <v>Lignite fired power plants</v>
      </c>
      <c r="G2435" s="76" t="str">
        <f>B2427</f>
        <v>Fluidized bed combustion</v>
      </c>
      <c r="H2435" s="76" t="str">
        <f>C2435</f>
        <v>CHP with CCS</v>
      </c>
      <c r="I2435" s="161" t="str">
        <f t="shared" si="119"/>
        <v>L</v>
      </c>
      <c r="J2435" s="91" t="s">
        <v>112</v>
      </c>
      <c r="K2435" s="91" t="s">
        <v>112</v>
      </c>
      <c r="L2435" s="91" t="s">
        <v>112</v>
      </c>
      <c r="M2435" s="91" t="s">
        <v>112</v>
      </c>
      <c r="N2435" s="91" t="s">
        <v>112</v>
      </c>
      <c r="O2435" s="91" t="s">
        <v>112</v>
      </c>
      <c r="P2435" s="91" t="s">
        <v>112</v>
      </c>
      <c r="Q2435" s="91" t="s">
        <v>112</v>
      </c>
      <c r="R2435" s="91" t="s">
        <v>112</v>
      </c>
      <c r="S2435" s="91" t="s">
        <v>112</v>
      </c>
      <c r="T2435" s="91" t="s">
        <v>112</v>
      </c>
      <c r="U2435" s="91" t="s">
        <v>112</v>
      </c>
      <c r="V2435" s="91" t="s">
        <v>112</v>
      </c>
      <c r="W2435" s="91" t="s">
        <v>112</v>
      </c>
      <c r="X2435" s="91" t="s">
        <v>112</v>
      </c>
      <c r="Y2435" s="91" t="s">
        <v>112</v>
      </c>
      <c r="Z2435" s="91" t="s">
        <v>112</v>
      </c>
      <c r="AA2435" s="91" t="s">
        <v>112</v>
      </c>
      <c r="AB2435" s="91" t="s">
        <v>112</v>
      </c>
      <c r="AC2435" s="91" t="s">
        <v>112</v>
      </c>
      <c r="AD2435" s="91" t="s">
        <v>112</v>
      </c>
      <c r="AE2435" s="91">
        <v>8500</v>
      </c>
      <c r="AF2435" s="91">
        <v>8500</v>
      </c>
      <c r="AG2435" s="91">
        <v>8500</v>
      </c>
      <c r="AH2435" s="91">
        <v>8500</v>
      </c>
      <c r="AI2435" s="91">
        <v>8500</v>
      </c>
      <c r="AJ2435" s="91">
        <v>8500</v>
      </c>
      <c r="AK2435" s="91">
        <v>8500</v>
      </c>
      <c r="AL2435" s="91">
        <v>8500</v>
      </c>
      <c r="AM2435" s="91">
        <v>8500</v>
      </c>
      <c r="AN2435" s="91">
        <v>8500</v>
      </c>
      <c r="AO2435" s="91">
        <v>8500</v>
      </c>
      <c r="AP2435" s="91">
        <v>8500</v>
      </c>
      <c r="AQ2435" s="91">
        <v>8500</v>
      </c>
      <c r="AR2435" s="91">
        <v>8500</v>
      </c>
      <c r="AS2435" s="91">
        <v>8500</v>
      </c>
      <c r="AT2435" s="91">
        <v>8500</v>
      </c>
      <c r="AU2435" s="91">
        <v>8500</v>
      </c>
      <c r="AV2435" s="91">
        <v>8500</v>
      </c>
      <c r="AW2435" s="91">
        <v>8500</v>
      </c>
      <c r="AX2435" s="92">
        <v>8500</v>
      </c>
    </row>
    <row r="2436" spans="1:50" x14ac:dyDescent="0.25">
      <c r="A2436" s="356"/>
      <c r="B2436" s="362"/>
      <c r="C2436" s="354"/>
      <c r="D2436" s="4" t="s">
        <v>8</v>
      </c>
      <c r="E2436" s="168" t="str">
        <f>A2411&amp;"/"&amp;B2427&amp;"/"&amp;C2435&amp;"/"&amp;D2436</f>
        <v>Lignite fired power plants/Fluidized bed combustion/CHP with CCS/M</v>
      </c>
      <c r="F2436" s="80" t="str">
        <f>A2411</f>
        <v>Lignite fired power plants</v>
      </c>
      <c r="G2436" s="80" t="str">
        <f>B2427</f>
        <v>Fluidized bed combustion</v>
      </c>
      <c r="H2436" s="80" t="str">
        <f>C2435</f>
        <v>CHP with CCS</v>
      </c>
      <c r="I2436" s="169" t="str">
        <f t="shared" si="119"/>
        <v>M</v>
      </c>
      <c r="J2436" s="99" t="s">
        <v>112</v>
      </c>
      <c r="K2436" s="99" t="s">
        <v>112</v>
      </c>
      <c r="L2436" s="99" t="s">
        <v>112</v>
      </c>
      <c r="M2436" s="99" t="s">
        <v>112</v>
      </c>
      <c r="N2436" s="99" t="s">
        <v>112</v>
      </c>
      <c r="O2436" s="99" t="s">
        <v>112</v>
      </c>
      <c r="P2436" s="99" t="s">
        <v>112</v>
      </c>
      <c r="Q2436" s="99" t="s">
        <v>112</v>
      </c>
      <c r="R2436" s="99" t="s">
        <v>112</v>
      </c>
      <c r="S2436" s="99" t="s">
        <v>112</v>
      </c>
      <c r="T2436" s="99" t="s">
        <v>112</v>
      </c>
      <c r="U2436" s="99" t="s">
        <v>112</v>
      </c>
      <c r="V2436" s="99" t="s">
        <v>112</v>
      </c>
      <c r="W2436" s="99" t="s">
        <v>112</v>
      </c>
      <c r="X2436" s="99" t="s">
        <v>112</v>
      </c>
      <c r="Y2436" s="99" t="s">
        <v>112</v>
      </c>
      <c r="Z2436" s="99" t="s">
        <v>112</v>
      </c>
      <c r="AA2436" s="99" t="s">
        <v>112</v>
      </c>
      <c r="AB2436" s="99" t="s">
        <v>112</v>
      </c>
      <c r="AC2436" s="99" t="s">
        <v>112</v>
      </c>
      <c r="AD2436" s="99" t="s">
        <v>112</v>
      </c>
      <c r="AE2436" s="99">
        <v>7948.4076756871136</v>
      </c>
      <c r="AF2436" s="99">
        <v>7948.4076756871136</v>
      </c>
      <c r="AG2436" s="99">
        <v>7948.4076756871136</v>
      </c>
      <c r="AH2436" s="99">
        <v>7948.4076756871136</v>
      </c>
      <c r="AI2436" s="99">
        <v>7948.4076756871136</v>
      </c>
      <c r="AJ2436" s="99">
        <v>7948.4076756871136</v>
      </c>
      <c r="AK2436" s="99">
        <v>7948.4076756871136</v>
      </c>
      <c r="AL2436" s="99">
        <v>7948.4076756871136</v>
      </c>
      <c r="AM2436" s="99">
        <v>7948.4076756871136</v>
      </c>
      <c r="AN2436" s="99">
        <v>7948.4076756871136</v>
      </c>
      <c r="AO2436" s="99">
        <v>7948.4076756871136</v>
      </c>
      <c r="AP2436" s="99">
        <v>7948.4076756871136</v>
      </c>
      <c r="AQ2436" s="99">
        <v>7948.4076756871136</v>
      </c>
      <c r="AR2436" s="99">
        <v>7948.4076756871136</v>
      </c>
      <c r="AS2436" s="99">
        <v>7948.4076756871136</v>
      </c>
      <c r="AT2436" s="99">
        <v>7948.4076756871136</v>
      </c>
      <c r="AU2436" s="99">
        <v>7948.4076756871136</v>
      </c>
      <c r="AV2436" s="99">
        <v>7948.4076756871136</v>
      </c>
      <c r="AW2436" s="99">
        <v>7948.4076756871136</v>
      </c>
      <c r="AX2436" s="100">
        <v>7948.4076756871136</v>
      </c>
    </row>
    <row r="2437" spans="1:50" x14ac:dyDescent="0.25">
      <c r="A2437" s="356"/>
      <c r="B2437" s="358" t="s">
        <v>19</v>
      </c>
      <c r="C2437" s="353" t="s">
        <v>6</v>
      </c>
      <c r="D2437" s="3" t="s">
        <v>7</v>
      </c>
      <c r="E2437" s="162" t="str">
        <f>A2411&amp;"/"&amp;B2437&amp;"/"&amp;C2437&amp;"/"&amp;D2437</f>
        <v>Lignite fired power plants/Steam turbine/Electricity only/L</v>
      </c>
      <c r="F2437" s="77" t="str">
        <f>A2411</f>
        <v>Lignite fired power plants</v>
      </c>
      <c r="G2437" s="77" t="str">
        <f>B2437</f>
        <v>Steam turbine</v>
      </c>
      <c r="H2437" s="77" t="str">
        <f>C2437</f>
        <v>Electricity only</v>
      </c>
      <c r="I2437" s="163" t="str">
        <f t="shared" si="119"/>
        <v>L</v>
      </c>
      <c r="J2437" s="93">
        <v>8400</v>
      </c>
      <c r="K2437" s="93">
        <v>8400</v>
      </c>
      <c r="L2437" s="93">
        <v>8400</v>
      </c>
      <c r="M2437" s="93">
        <v>8400</v>
      </c>
      <c r="N2437" s="93">
        <v>8400</v>
      </c>
      <c r="O2437" s="93">
        <v>8400</v>
      </c>
      <c r="P2437" s="93">
        <v>8400</v>
      </c>
      <c r="Q2437" s="93">
        <v>8400</v>
      </c>
      <c r="R2437" s="93">
        <v>8400</v>
      </c>
      <c r="S2437" s="93">
        <v>8400</v>
      </c>
      <c r="T2437" s="93">
        <v>8400</v>
      </c>
      <c r="U2437" s="93">
        <v>8400</v>
      </c>
      <c r="V2437" s="93">
        <v>8400</v>
      </c>
      <c r="W2437" s="93">
        <v>8400</v>
      </c>
      <c r="X2437" s="93">
        <v>8400</v>
      </c>
      <c r="Y2437" s="93">
        <v>8400</v>
      </c>
      <c r="Z2437" s="93">
        <v>8400</v>
      </c>
      <c r="AA2437" s="93">
        <v>8400</v>
      </c>
      <c r="AB2437" s="93">
        <v>8400</v>
      </c>
      <c r="AC2437" s="93">
        <v>8400</v>
      </c>
      <c r="AD2437" s="93">
        <v>8400</v>
      </c>
      <c r="AE2437" s="93">
        <v>8400</v>
      </c>
      <c r="AF2437" s="93">
        <v>8400</v>
      </c>
      <c r="AG2437" s="93">
        <v>8400</v>
      </c>
      <c r="AH2437" s="93">
        <v>8400</v>
      </c>
      <c r="AI2437" s="93">
        <v>8400</v>
      </c>
      <c r="AJ2437" s="93">
        <v>8400</v>
      </c>
      <c r="AK2437" s="93">
        <v>8400</v>
      </c>
      <c r="AL2437" s="93">
        <v>8400</v>
      </c>
      <c r="AM2437" s="93">
        <v>8400</v>
      </c>
      <c r="AN2437" s="93">
        <v>8400</v>
      </c>
      <c r="AO2437" s="93">
        <v>8400</v>
      </c>
      <c r="AP2437" s="93">
        <v>8400</v>
      </c>
      <c r="AQ2437" s="93">
        <v>8400</v>
      </c>
      <c r="AR2437" s="93">
        <v>8400</v>
      </c>
      <c r="AS2437" s="93">
        <v>8400</v>
      </c>
      <c r="AT2437" s="93">
        <v>8400</v>
      </c>
      <c r="AU2437" s="93">
        <v>8400</v>
      </c>
      <c r="AV2437" s="93">
        <v>8400</v>
      </c>
      <c r="AW2437" s="93">
        <v>8400</v>
      </c>
      <c r="AX2437" s="94">
        <v>8400</v>
      </c>
    </row>
    <row r="2438" spans="1:50" x14ac:dyDescent="0.25">
      <c r="A2438" s="356"/>
      <c r="B2438" s="359"/>
      <c r="C2438" s="350"/>
      <c r="D2438" s="2" t="s">
        <v>8</v>
      </c>
      <c r="E2438" s="160" t="str">
        <f>A2411&amp;"/"&amp;B2437&amp;"/"&amp;C2437&amp;"/"&amp;D2438</f>
        <v>Lignite fired power plants/Steam turbine/Electricity only/M</v>
      </c>
      <c r="F2438" s="76" t="str">
        <f>A2411</f>
        <v>Lignite fired power plants</v>
      </c>
      <c r="G2438" s="76" t="str">
        <f>B2437</f>
        <v>Steam turbine</v>
      </c>
      <c r="H2438" s="76" t="str">
        <f>C2437</f>
        <v>Electricity only</v>
      </c>
      <c r="I2438" s="161" t="str">
        <f t="shared" si="119"/>
        <v>M</v>
      </c>
      <c r="J2438" s="91">
        <v>8033.3609982363105</v>
      </c>
      <c r="K2438" s="91">
        <v>8033.3609982363105</v>
      </c>
      <c r="L2438" s="91">
        <v>8033.3609982363105</v>
      </c>
      <c r="M2438" s="91">
        <v>8033.3609982363105</v>
      </c>
      <c r="N2438" s="91">
        <v>8033.3609982363105</v>
      </c>
      <c r="O2438" s="91">
        <v>8033.3609982363105</v>
      </c>
      <c r="P2438" s="91">
        <v>8033.3609982363105</v>
      </c>
      <c r="Q2438" s="91">
        <v>8033.3609982363105</v>
      </c>
      <c r="R2438" s="91">
        <v>8033.3609982363105</v>
      </c>
      <c r="S2438" s="91">
        <v>8033.3609982363105</v>
      </c>
      <c r="T2438" s="91">
        <v>8033.3609982363105</v>
      </c>
      <c r="U2438" s="91">
        <v>8033.3609982363105</v>
      </c>
      <c r="V2438" s="91">
        <v>8033.3609982363105</v>
      </c>
      <c r="W2438" s="91">
        <v>8033.3609982363105</v>
      </c>
      <c r="X2438" s="91">
        <v>8033.3609982363105</v>
      </c>
      <c r="Y2438" s="91">
        <v>8033.3609982363105</v>
      </c>
      <c r="Z2438" s="91">
        <v>8033.3609982363105</v>
      </c>
      <c r="AA2438" s="91">
        <v>8033.3609982363105</v>
      </c>
      <c r="AB2438" s="91">
        <v>8033.3609982363105</v>
      </c>
      <c r="AC2438" s="91">
        <v>8033.3609982363105</v>
      </c>
      <c r="AD2438" s="91">
        <v>8033.3609982363105</v>
      </c>
      <c r="AE2438" s="91">
        <v>8033.3609982363105</v>
      </c>
      <c r="AF2438" s="91">
        <v>8033.3609982363105</v>
      </c>
      <c r="AG2438" s="91">
        <v>8033.3609982363105</v>
      </c>
      <c r="AH2438" s="91">
        <v>8033.3609982363105</v>
      </c>
      <c r="AI2438" s="91">
        <v>8033.3609982363105</v>
      </c>
      <c r="AJ2438" s="91">
        <v>8033.3609982363105</v>
      </c>
      <c r="AK2438" s="91">
        <v>8033.3609982363105</v>
      </c>
      <c r="AL2438" s="91">
        <v>8033.3609982363105</v>
      </c>
      <c r="AM2438" s="91">
        <v>8033.3609982363105</v>
      </c>
      <c r="AN2438" s="91">
        <v>8033.3609982363105</v>
      </c>
      <c r="AO2438" s="91">
        <v>8033.3609982363105</v>
      </c>
      <c r="AP2438" s="91">
        <v>8033.3609982363105</v>
      </c>
      <c r="AQ2438" s="91">
        <v>8033.3609982363105</v>
      </c>
      <c r="AR2438" s="91">
        <v>8033.3609982363105</v>
      </c>
      <c r="AS2438" s="91">
        <v>8033.3609982363105</v>
      </c>
      <c r="AT2438" s="91">
        <v>8033.3609982363105</v>
      </c>
      <c r="AU2438" s="91">
        <v>8033.3609982363105</v>
      </c>
      <c r="AV2438" s="91">
        <v>8033.3609982363105</v>
      </c>
      <c r="AW2438" s="91">
        <v>8033.3609982363105</v>
      </c>
      <c r="AX2438" s="92">
        <v>8033.3609982363105</v>
      </c>
    </row>
    <row r="2439" spans="1:50" x14ac:dyDescent="0.25">
      <c r="A2439" s="356"/>
      <c r="B2439" s="359"/>
      <c r="C2439" s="350"/>
      <c r="D2439" s="2" t="s">
        <v>10</v>
      </c>
      <c r="E2439" s="160" t="str">
        <f>A2411&amp;"/"&amp;B2437&amp;"/"&amp;C2437&amp;"/"&amp;D2439</f>
        <v>Lignite fired power plants/Steam turbine/Electricity only/S</v>
      </c>
      <c r="F2439" s="76" t="str">
        <f>A2411</f>
        <v>Lignite fired power plants</v>
      </c>
      <c r="G2439" s="76" t="str">
        <f>B2437</f>
        <v>Steam turbine</v>
      </c>
      <c r="H2439" s="76" t="str">
        <f>C2437</f>
        <v>Electricity only</v>
      </c>
      <c r="I2439" s="161" t="str">
        <f t="shared" si="119"/>
        <v>S</v>
      </c>
      <c r="J2439" s="91">
        <v>7584.1957921584481</v>
      </c>
      <c r="K2439" s="91">
        <v>7584.1957921584481</v>
      </c>
      <c r="L2439" s="91">
        <v>7584.1957921584481</v>
      </c>
      <c r="M2439" s="91">
        <v>7584.1957921584481</v>
      </c>
      <c r="N2439" s="91">
        <v>7584.1957921584481</v>
      </c>
      <c r="O2439" s="91">
        <v>7584.1957921584481</v>
      </c>
      <c r="P2439" s="91">
        <v>7584.1957921584481</v>
      </c>
      <c r="Q2439" s="91">
        <v>7584.1957921584481</v>
      </c>
      <c r="R2439" s="91">
        <v>7584.1957921584481</v>
      </c>
      <c r="S2439" s="91">
        <v>7584.1957921584481</v>
      </c>
      <c r="T2439" s="91">
        <v>7584.1957921584481</v>
      </c>
      <c r="U2439" s="91">
        <v>7584.1957921584481</v>
      </c>
      <c r="V2439" s="91">
        <v>7584.1957921584481</v>
      </c>
      <c r="W2439" s="91">
        <v>7584.1957921584481</v>
      </c>
      <c r="X2439" s="91">
        <v>7584.1957921584481</v>
      </c>
      <c r="Y2439" s="91">
        <v>7584.1957921584481</v>
      </c>
      <c r="Z2439" s="91">
        <v>7584.1957921584481</v>
      </c>
      <c r="AA2439" s="91">
        <v>7584.1957921584481</v>
      </c>
      <c r="AB2439" s="91">
        <v>7584.1957921584481</v>
      </c>
      <c r="AC2439" s="91">
        <v>7584.1957921584481</v>
      </c>
      <c r="AD2439" s="91">
        <v>7584.1957921584481</v>
      </c>
      <c r="AE2439" s="91">
        <v>7584.1957921584481</v>
      </c>
      <c r="AF2439" s="91">
        <v>7584.1957921584481</v>
      </c>
      <c r="AG2439" s="91">
        <v>7584.1957921584481</v>
      </c>
      <c r="AH2439" s="91">
        <v>7584.1957921584481</v>
      </c>
      <c r="AI2439" s="91">
        <v>7584.1957921584481</v>
      </c>
      <c r="AJ2439" s="91">
        <v>7584.1957921584481</v>
      </c>
      <c r="AK2439" s="91">
        <v>7584.1957921584481</v>
      </c>
      <c r="AL2439" s="91">
        <v>7584.1957921584481</v>
      </c>
      <c r="AM2439" s="91">
        <v>7584.1957921584481</v>
      </c>
      <c r="AN2439" s="91">
        <v>7584.1957921584481</v>
      </c>
      <c r="AO2439" s="91">
        <v>7584.1957921584481</v>
      </c>
      <c r="AP2439" s="91">
        <v>7584.1957921584481</v>
      </c>
      <c r="AQ2439" s="91">
        <v>7584.1957921584481</v>
      </c>
      <c r="AR2439" s="91">
        <v>7584.1957921584481</v>
      </c>
      <c r="AS2439" s="91">
        <v>7584.1957921584481</v>
      </c>
      <c r="AT2439" s="91">
        <v>7584.1957921584481</v>
      </c>
      <c r="AU2439" s="91">
        <v>7584.1957921584481</v>
      </c>
      <c r="AV2439" s="91">
        <v>7584.1957921584481</v>
      </c>
      <c r="AW2439" s="91">
        <v>7584.1957921584481</v>
      </c>
      <c r="AX2439" s="92">
        <v>7584.1957921584481</v>
      </c>
    </row>
    <row r="2440" spans="1:50" x14ac:dyDescent="0.25">
      <c r="A2440" s="356"/>
      <c r="B2440" s="359"/>
      <c r="C2440" s="360"/>
      <c r="D2440" s="2" t="s">
        <v>20</v>
      </c>
      <c r="E2440" s="160" t="str">
        <f>A2411&amp;"/"&amp;B2437&amp;"/"&amp;C2437&amp;"/"&amp;D2440</f>
        <v>Lignite fired power plants/Steam turbine/Electricity only/XS</v>
      </c>
      <c r="F2440" s="76" t="str">
        <f>A2411</f>
        <v>Lignite fired power plants</v>
      </c>
      <c r="G2440" s="76" t="str">
        <f>B2437</f>
        <v>Steam turbine</v>
      </c>
      <c r="H2440" s="76" t="str">
        <f>C2437</f>
        <v>Electricity only</v>
      </c>
      <c r="I2440" s="161" t="str">
        <f t="shared" si="119"/>
        <v>XS</v>
      </c>
      <c r="J2440" s="91">
        <v>7341.6439959461532</v>
      </c>
      <c r="K2440" s="91">
        <v>7341.6439959461532</v>
      </c>
      <c r="L2440" s="91">
        <v>7341.6439959461532</v>
      </c>
      <c r="M2440" s="91">
        <v>7341.6439959461532</v>
      </c>
      <c r="N2440" s="91">
        <v>7341.6439959461532</v>
      </c>
      <c r="O2440" s="91">
        <v>7341.6439959461532</v>
      </c>
      <c r="P2440" s="91">
        <v>7341.6439959461532</v>
      </c>
      <c r="Q2440" s="91">
        <v>7341.6439959461532</v>
      </c>
      <c r="R2440" s="91">
        <v>7341.6439959461532</v>
      </c>
      <c r="S2440" s="91">
        <v>7341.6439959461532</v>
      </c>
      <c r="T2440" s="91">
        <v>7341.6439959461532</v>
      </c>
      <c r="U2440" s="91">
        <v>7341.6439959461532</v>
      </c>
      <c r="V2440" s="91">
        <v>7341.6439959461532</v>
      </c>
      <c r="W2440" s="91">
        <v>7341.6439959461532</v>
      </c>
      <c r="X2440" s="91">
        <v>7341.6439959461532</v>
      </c>
      <c r="Y2440" s="91">
        <v>7341.6439959461532</v>
      </c>
      <c r="Z2440" s="91">
        <v>7341.6439959461532</v>
      </c>
      <c r="AA2440" s="91">
        <v>7341.6439959461532</v>
      </c>
      <c r="AB2440" s="91">
        <v>7341.6439959461532</v>
      </c>
      <c r="AC2440" s="91">
        <v>7341.6439959461532</v>
      </c>
      <c r="AD2440" s="91">
        <v>7341.6439959461532</v>
      </c>
      <c r="AE2440" s="91">
        <v>7341.6439959461532</v>
      </c>
      <c r="AF2440" s="91">
        <v>7341.6439959461532</v>
      </c>
      <c r="AG2440" s="91">
        <v>7341.6439959461532</v>
      </c>
      <c r="AH2440" s="91">
        <v>7341.6439959461532</v>
      </c>
      <c r="AI2440" s="91">
        <v>7341.6439959461532</v>
      </c>
      <c r="AJ2440" s="91">
        <v>7341.6439959461532</v>
      </c>
      <c r="AK2440" s="91">
        <v>7341.6439959461532</v>
      </c>
      <c r="AL2440" s="91">
        <v>7341.6439959461532</v>
      </c>
      <c r="AM2440" s="91">
        <v>7341.6439959461532</v>
      </c>
      <c r="AN2440" s="91">
        <v>7341.6439959461532</v>
      </c>
      <c r="AO2440" s="91">
        <v>7341.6439959461532</v>
      </c>
      <c r="AP2440" s="91">
        <v>7341.6439959461532</v>
      </c>
      <c r="AQ2440" s="91">
        <v>7341.6439959461532</v>
      </c>
      <c r="AR2440" s="91">
        <v>7341.6439959461532</v>
      </c>
      <c r="AS2440" s="91">
        <v>7341.6439959461532</v>
      </c>
      <c r="AT2440" s="91">
        <v>7341.6439959461532</v>
      </c>
      <c r="AU2440" s="91">
        <v>7341.6439959461532</v>
      </c>
      <c r="AV2440" s="91">
        <v>7341.6439959461532</v>
      </c>
      <c r="AW2440" s="91">
        <v>7341.6439959461532</v>
      </c>
      <c r="AX2440" s="92">
        <v>7341.6439959461532</v>
      </c>
    </row>
    <row r="2441" spans="1:50" x14ac:dyDescent="0.25">
      <c r="A2441" s="356"/>
      <c r="B2441" s="359"/>
      <c r="C2441" s="361" t="s">
        <v>14</v>
      </c>
      <c r="D2441" s="58" t="s">
        <v>7</v>
      </c>
      <c r="E2441" s="164" t="str">
        <f>A2411&amp;"/"&amp;B2437&amp;"/"&amp;C2441&amp;"/"&amp;D2441</f>
        <v>Lignite fired power plants/Steam turbine/CHP/L</v>
      </c>
      <c r="F2441" s="78" t="str">
        <f>A2411</f>
        <v>Lignite fired power plants</v>
      </c>
      <c r="G2441" s="78" t="str">
        <f>B2437</f>
        <v>Steam turbine</v>
      </c>
      <c r="H2441" s="78" t="str">
        <f>C2441</f>
        <v>CHP</v>
      </c>
      <c r="I2441" s="165" t="str">
        <f t="shared" si="119"/>
        <v>L</v>
      </c>
      <c r="J2441" s="95">
        <v>8400</v>
      </c>
      <c r="K2441" s="95">
        <v>8400</v>
      </c>
      <c r="L2441" s="95">
        <v>8400</v>
      </c>
      <c r="M2441" s="95">
        <v>8400</v>
      </c>
      <c r="N2441" s="95">
        <v>8400</v>
      </c>
      <c r="O2441" s="95">
        <v>8400</v>
      </c>
      <c r="P2441" s="95">
        <v>8400</v>
      </c>
      <c r="Q2441" s="95">
        <v>8400</v>
      </c>
      <c r="R2441" s="95">
        <v>8400</v>
      </c>
      <c r="S2441" s="95">
        <v>8400</v>
      </c>
      <c r="T2441" s="95">
        <v>8400</v>
      </c>
      <c r="U2441" s="95">
        <v>8400</v>
      </c>
      <c r="V2441" s="95">
        <v>8400</v>
      </c>
      <c r="W2441" s="95">
        <v>8400</v>
      </c>
      <c r="X2441" s="95">
        <v>8400</v>
      </c>
      <c r="Y2441" s="95">
        <v>8400</v>
      </c>
      <c r="Z2441" s="95">
        <v>8400</v>
      </c>
      <c r="AA2441" s="95">
        <v>8400</v>
      </c>
      <c r="AB2441" s="95">
        <v>8400</v>
      </c>
      <c r="AC2441" s="95">
        <v>8400</v>
      </c>
      <c r="AD2441" s="95">
        <v>8400</v>
      </c>
      <c r="AE2441" s="95">
        <v>8400</v>
      </c>
      <c r="AF2441" s="95">
        <v>8400</v>
      </c>
      <c r="AG2441" s="95">
        <v>8400</v>
      </c>
      <c r="AH2441" s="95">
        <v>8400</v>
      </c>
      <c r="AI2441" s="95">
        <v>8400</v>
      </c>
      <c r="AJ2441" s="95">
        <v>8400</v>
      </c>
      <c r="AK2441" s="95">
        <v>8400</v>
      </c>
      <c r="AL2441" s="95">
        <v>8400</v>
      </c>
      <c r="AM2441" s="95">
        <v>8400</v>
      </c>
      <c r="AN2441" s="95">
        <v>8400</v>
      </c>
      <c r="AO2441" s="95">
        <v>8400</v>
      </c>
      <c r="AP2441" s="95">
        <v>8400</v>
      </c>
      <c r="AQ2441" s="95">
        <v>8400</v>
      </c>
      <c r="AR2441" s="95">
        <v>8400</v>
      </c>
      <c r="AS2441" s="95">
        <v>8400</v>
      </c>
      <c r="AT2441" s="95">
        <v>8400</v>
      </c>
      <c r="AU2441" s="95">
        <v>8400</v>
      </c>
      <c r="AV2441" s="95">
        <v>8400</v>
      </c>
      <c r="AW2441" s="95">
        <v>8400</v>
      </c>
      <c r="AX2441" s="96">
        <v>8400</v>
      </c>
    </row>
    <row r="2442" spans="1:50" x14ac:dyDescent="0.25">
      <c r="A2442" s="356"/>
      <c r="B2442" s="359"/>
      <c r="C2442" s="350"/>
      <c r="D2442" s="2" t="s">
        <v>8</v>
      </c>
      <c r="E2442" s="160" t="str">
        <f>A2411&amp;"/"&amp;B2437&amp;"/"&amp;C2441&amp;"/"&amp;D2442</f>
        <v>Lignite fired power plants/Steam turbine/CHP/M</v>
      </c>
      <c r="F2442" s="76" t="str">
        <f>A2411</f>
        <v>Lignite fired power plants</v>
      </c>
      <c r="G2442" s="76" t="str">
        <f>B2437</f>
        <v>Steam turbine</v>
      </c>
      <c r="H2442" s="76" t="str">
        <f>C2441</f>
        <v>CHP</v>
      </c>
      <c r="I2442" s="161" t="str">
        <f t="shared" si="119"/>
        <v>M</v>
      </c>
      <c r="J2442" s="91">
        <v>8033.3609982363105</v>
      </c>
      <c r="K2442" s="91">
        <v>8033.3609982363105</v>
      </c>
      <c r="L2442" s="91">
        <v>8033.3609982363105</v>
      </c>
      <c r="M2442" s="91">
        <v>8033.3609982363105</v>
      </c>
      <c r="N2442" s="91">
        <v>8033.3609982363105</v>
      </c>
      <c r="O2442" s="91">
        <v>8033.3609982363105</v>
      </c>
      <c r="P2442" s="91">
        <v>8033.3609982363105</v>
      </c>
      <c r="Q2442" s="91">
        <v>8033.3609982363105</v>
      </c>
      <c r="R2442" s="91">
        <v>8033.3609982363105</v>
      </c>
      <c r="S2442" s="91">
        <v>8033.3609982363105</v>
      </c>
      <c r="T2442" s="91">
        <v>8033.3609982363105</v>
      </c>
      <c r="U2442" s="91">
        <v>8033.3609982363105</v>
      </c>
      <c r="V2442" s="91">
        <v>8033.3609982363105</v>
      </c>
      <c r="W2442" s="91">
        <v>8033.3609982363105</v>
      </c>
      <c r="X2442" s="91">
        <v>8033.3609982363105</v>
      </c>
      <c r="Y2442" s="91">
        <v>8033.3609982363105</v>
      </c>
      <c r="Z2442" s="91">
        <v>8033.3609982363105</v>
      </c>
      <c r="AA2442" s="91">
        <v>8033.3609982363105</v>
      </c>
      <c r="AB2442" s="91">
        <v>8033.3609982363105</v>
      </c>
      <c r="AC2442" s="91">
        <v>8033.3609982363105</v>
      </c>
      <c r="AD2442" s="91">
        <v>8033.3609982363105</v>
      </c>
      <c r="AE2442" s="91">
        <v>8033.3609982363105</v>
      </c>
      <c r="AF2442" s="91">
        <v>8033.3609982363105</v>
      </c>
      <c r="AG2442" s="91">
        <v>8033.3609982363105</v>
      </c>
      <c r="AH2442" s="91">
        <v>8033.3609982363105</v>
      </c>
      <c r="AI2442" s="91">
        <v>8033.3609982363105</v>
      </c>
      <c r="AJ2442" s="91">
        <v>8033.3609982363105</v>
      </c>
      <c r="AK2442" s="91">
        <v>8033.3609982363105</v>
      </c>
      <c r="AL2442" s="91">
        <v>8033.3609982363105</v>
      </c>
      <c r="AM2442" s="91">
        <v>8033.3609982363105</v>
      </c>
      <c r="AN2442" s="91">
        <v>8033.3609982363105</v>
      </c>
      <c r="AO2442" s="91">
        <v>8033.3609982363105</v>
      </c>
      <c r="AP2442" s="91">
        <v>8033.3609982363105</v>
      </c>
      <c r="AQ2442" s="91">
        <v>8033.3609982363105</v>
      </c>
      <c r="AR2442" s="91">
        <v>8033.3609982363105</v>
      </c>
      <c r="AS2442" s="91">
        <v>8033.3609982363105</v>
      </c>
      <c r="AT2442" s="91">
        <v>8033.3609982363105</v>
      </c>
      <c r="AU2442" s="91">
        <v>8033.3609982363105</v>
      </c>
      <c r="AV2442" s="91">
        <v>8033.3609982363105</v>
      </c>
      <c r="AW2442" s="91">
        <v>8033.3609982363105</v>
      </c>
      <c r="AX2442" s="92">
        <v>8033.3609982363105</v>
      </c>
    </row>
    <row r="2443" spans="1:50" x14ac:dyDescent="0.25">
      <c r="A2443" s="356"/>
      <c r="B2443" s="359"/>
      <c r="C2443" s="350"/>
      <c r="D2443" s="2" t="s">
        <v>10</v>
      </c>
      <c r="E2443" s="160" t="str">
        <f>A2411&amp;"/"&amp;B2437&amp;"/"&amp;C2441&amp;"/"&amp;D2443</f>
        <v>Lignite fired power plants/Steam turbine/CHP/S</v>
      </c>
      <c r="F2443" s="76" t="str">
        <f>A2411</f>
        <v>Lignite fired power plants</v>
      </c>
      <c r="G2443" s="76" t="str">
        <f>B2437</f>
        <v>Steam turbine</v>
      </c>
      <c r="H2443" s="76" t="str">
        <f>C2441</f>
        <v>CHP</v>
      </c>
      <c r="I2443" s="161" t="str">
        <f t="shared" si="119"/>
        <v>S</v>
      </c>
      <c r="J2443" s="91">
        <v>7584.1957921584481</v>
      </c>
      <c r="K2443" s="91">
        <v>7584.1957921584481</v>
      </c>
      <c r="L2443" s="91">
        <v>7584.1957921584481</v>
      </c>
      <c r="M2443" s="91">
        <v>7584.1957921584481</v>
      </c>
      <c r="N2443" s="91">
        <v>7584.1957921584481</v>
      </c>
      <c r="O2443" s="91">
        <v>7584.1957921584481</v>
      </c>
      <c r="P2443" s="91">
        <v>7584.1957921584481</v>
      </c>
      <c r="Q2443" s="91">
        <v>7584.1957921584481</v>
      </c>
      <c r="R2443" s="91">
        <v>7584.1957921584481</v>
      </c>
      <c r="S2443" s="91">
        <v>7584.1957921584481</v>
      </c>
      <c r="T2443" s="91">
        <v>7584.1957921584481</v>
      </c>
      <c r="U2443" s="91">
        <v>7584.1957921584481</v>
      </c>
      <c r="V2443" s="91">
        <v>7584.1957921584481</v>
      </c>
      <c r="W2443" s="91">
        <v>7584.1957921584481</v>
      </c>
      <c r="X2443" s="91">
        <v>7584.1957921584481</v>
      </c>
      <c r="Y2443" s="91">
        <v>7584.1957921584481</v>
      </c>
      <c r="Z2443" s="91">
        <v>7584.1957921584481</v>
      </c>
      <c r="AA2443" s="91">
        <v>7584.1957921584481</v>
      </c>
      <c r="AB2443" s="91">
        <v>7584.1957921584481</v>
      </c>
      <c r="AC2443" s="91">
        <v>7584.1957921584481</v>
      </c>
      <c r="AD2443" s="91">
        <v>7584.1957921584481</v>
      </c>
      <c r="AE2443" s="91">
        <v>7584.1957921584481</v>
      </c>
      <c r="AF2443" s="91">
        <v>7584.1957921584481</v>
      </c>
      <c r="AG2443" s="91">
        <v>7584.1957921584481</v>
      </c>
      <c r="AH2443" s="91">
        <v>7584.1957921584481</v>
      </c>
      <c r="AI2443" s="91">
        <v>7584.1957921584481</v>
      </c>
      <c r="AJ2443" s="91">
        <v>7584.1957921584481</v>
      </c>
      <c r="AK2443" s="91">
        <v>7584.1957921584481</v>
      </c>
      <c r="AL2443" s="91">
        <v>7584.1957921584481</v>
      </c>
      <c r="AM2443" s="91">
        <v>7584.1957921584481</v>
      </c>
      <c r="AN2443" s="91">
        <v>7584.1957921584481</v>
      </c>
      <c r="AO2443" s="91">
        <v>7584.1957921584481</v>
      </c>
      <c r="AP2443" s="91">
        <v>7584.1957921584481</v>
      </c>
      <c r="AQ2443" s="91">
        <v>7584.1957921584481</v>
      </c>
      <c r="AR2443" s="91">
        <v>7584.1957921584481</v>
      </c>
      <c r="AS2443" s="91">
        <v>7584.1957921584481</v>
      </c>
      <c r="AT2443" s="91">
        <v>7584.1957921584481</v>
      </c>
      <c r="AU2443" s="91">
        <v>7584.1957921584481</v>
      </c>
      <c r="AV2443" s="91">
        <v>7584.1957921584481</v>
      </c>
      <c r="AW2443" s="91">
        <v>7584.1957921584481</v>
      </c>
      <c r="AX2443" s="92">
        <v>7584.1957921584481</v>
      </c>
    </row>
    <row r="2444" spans="1:50" x14ac:dyDescent="0.25">
      <c r="A2444" s="356"/>
      <c r="B2444" s="359"/>
      <c r="C2444" s="360"/>
      <c r="D2444" s="59" t="s">
        <v>20</v>
      </c>
      <c r="E2444" s="166" t="str">
        <f>A2411&amp;"/"&amp;B2437&amp;"/"&amp;C2441&amp;"/"&amp;D2444</f>
        <v>Lignite fired power plants/Steam turbine/CHP/XS</v>
      </c>
      <c r="F2444" s="79" t="str">
        <f>A2411</f>
        <v>Lignite fired power plants</v>
      </c>
      <c r="G2444" s="79" t="str">
        <f>B2437</f>
        <v>Steam turbine</v>
      </c>
      <c r="H2444" s="79" t="str">
        <f>C2441</f>
        <v>CHP</v>
      </c>
      <c r="I2444" s="167" t="str">
        <f t="shared" si="119"/>
        <v>XS</v>
      </c>
      <c r="J2444" s="97">
        <v>7341.6439959461532</v>
      </c>
      <c r="K2444" s="97">
        <v>7341.6439959461532</v>
      </c>
      <c r="L2444" s="97">
        <v>7341.6439959461532</v>
      </c>
      <c r="M2444" s="97">
        <v>7341.6439959461532</v>
      </c>
      <c r="N2444" s="97">
        <v>7341.6439959461532</v>
      </c>
      <c r="O2444" s="97">
        <v>7341.6439959461532</v>
      </c>
      <c r="P2444" s="97">
        <v>7341.6439959461532</v>
      </c>
      <c r="Q2444" s="97">
        <v>7341.6439959461532</v>
      </c>
      <c r="R2444" s="97">
        <v>7341.6439959461532</v>
      </c>
      <c r="S2444" s="97">
        <v>7341.6439959461532</v>
      </c>
      <c r="T2444" s="97">
        <v>7341.6439959461532</v>
      </c>
      <c r="U2444" s="97">
        <v>7341.6439959461532</v>
      </c>
      <c r="V2444" s="97">
        <v>7341.6439959461532</v>
      </c>
      <c r="W2444" s="97">
        <v>7341.6439959461532</v>
      </c>
      <c r="X2444" s="97">
        <v>7341.6439959461532</v>
      </c>
      <c r="Y2444" s="97">
        <v>7341.6439959461532</v>
      </c>
      <c r="Z2444" s="97">
        <v>7341.6439959461532</v>
      </c>
      <c r="AA2444" s="97">
        <v>7341.6439959461532</v>
      </c>
      <c r="AB2444" s="97">
        <v>7341.6439959461532</v>
      </c>
      <c r="AC2444" s="97">
        <v>7341.6439959461532</v>
      </c>
      <c r="AD2444" s="97">
        <v>7341.6439959461532</v>
      </c>
      <c r="AE2444" s="97">
        <v>7341.6439959461532</v>
      </c>
      <c r="AF2444" s="97">
        <v>7341.6439959461532</v>
      </c>
      <c r="AG2444" s="97">
        <v>7341.6439959461532</v>
      </c>
      <c r="AH2444" s="97">
        <v>7341.6439959461532</v>
      </c>
      <c r="AI2444" s="97">
        <v>7341.6439959461532</v>
      </c>
      <c r="AJ2444" s="97">
        <v>7341.6439959461532</v>
      </c>
      <c r="AK2444" s="97">
        <v>7341.6439959461532</v>
      </c>
      <c r="AL2444" s="97">
        <v>7341.6439959461532</v>
      </c>
      <c r="AM2444" s="97">
        <v>7341.6439959461532</v>
      </c>
      <c r="AN2444" s="97">
        <v>7341.6439959461532</v>
      </c>
      <c r="AO2444" s="97">
        <v>7341.6439959461532</v>
      </c>
      <c r="AP2444" s="97">
        <v>7341.6439959461532</v>
      </c>
      <c r="AQ2444" s="97">
        <v>7341.6439959461532</v>
      </c>
      <c r="AR2444" s="97">
        <v>7341.6439959461532</v>
      </c>
      <c r="AS2444" s="97">
        <v>7341.6439959461532</v>
      </c>
      <c r="AT2444" s="97">
        <v>7341.6439959461532</v>
      </c>
      <c r="AU2444" s="97">
        <v>7341.6439959461532</v>
      </c>
      <c r="AV2444" s="97">
        <v>7341.6439959461532</v>
      </c>
      <c r="AW2444" s="97">
        <v>7341.6439959461532</v>
      </c>
      <c r="AX2444" s="98">
        <v>7341.6439959461532</v>
      </c>
    </row>
    <row r="2445" spans="1:50" x14ac:dyDescent="0.25">
      <c r="A2445" s="356"/>
      <c r="B2445" s="359"/>
      <c r="C2445" s="361" t="s">
        <v>15</v>
      </c>
      <c r="D2445" s="58" t="s">
        <v>7</v>
      </c>
      <c r="E2445" s="164" t="str">
        <f>A2411&amp;"/"&amp;B2437&amp;"/"&amp;C2445&amp;"/"&amp;D2445</f>
        <v>Lignite fired power plants/Steam turbine/Electricity only with CCS/L</v>
      </c>
      <c r="F2445" s="78" t="str">
        <f>A2411</f>
        <v>Lignite fired power plants</v>
      </c>
      <c r="G2445" s="78" t="str">
        <f>B2437</f>
        <v>Steam turbine</v>
      </c>
      <c r="H2445" s="78" t="str">
        <f>C2445</f>
        <v>Electricity only with CCS</v>
      </c>
      <c r="I2445" s="165" t="str">
        <f t="shared" si="119"/>
        <v>L</v>
      </c>
      <c r="J2445" s="95" t="s">
        <v>112</v>
      </c>
      <c r="K2445" s="95" t="s">
        <v>112</v>
      </c>
      <c r="L2445" s="95" t="s">
        <v>112</v>
      </c>
      <c r="M2445" s="95" t="s">
        <v>112</v>
      </c>
      <c r="N2445" s="95" t="s">
        <v>112</v>
      </c>
      <c r="O2445" s="95" t="s">
        <v>112</v>
      </c>
      <c r="P2445" s="95" t="s">
        <v>112</v>
      </c>
      <c r="Q2445" s="95" t="s">
        <v>112</v>
      </c>
      <c r="R2445" s="95" t="s">
        <v>112</v>
      </c>
      <c r="S2445" s="95" t="s">
        <v>112</v>
      </c>
      <c r="T2445" s="95" t="s">
        <v>112</v>
      </c>
      <c r="U2445" s="95" t="s">
        <v>112</v>
      </c>
      <c r="V2445" s="95" t="s">
        <v>112</v>
      </c>
      <c r="W2445" s="95" t="s">
        <v>112</v>
      </c>
      <c r="X2445" s="95" t="s">
        <v>112</v>
      </c>
      <c r="Y2445" s="95" t="s">
        <v>112</v>
      </c>
      <c r="Z2445" s="95" t="s">
        <v>112</v>
      </c>
      <c r="AA2445" s="95" t="s">
        <v>112</v>
      </c>
      <c r="AB2445" s="95" t="s">
        <v>112</v>
      </c>
      <c r="AC2445" s="95" t="s">
        <v>112</v>
      </c>
      <c r="AD2445" s="95" t="s">
        <v>112</v>
      </c>
      <c r="AE2445" s="95">
        <v>8400</v>
      </c>
      <c r="AF2445" s="95">
        <v>8400</v>
      </c>
      <c r="AG2445" s="95">
        <v>8400</v>
      </c>
      <c r="AH2445" s="95">
        <v>8400</v>
      </c>
      <c r="AI2445" s="95">
        <v>8400</v>
      </c>
      <c r="AJ2445" s="95">
        <v>8400</v>
      </c>
      <c r="AK2445" s="95">
        <v>8400</v>
      </c>
      <c r="AL2445" s="95">
        <v>8400</v>
      </c>
      <c r="AM2445" s="95">
        <v>8400</v>
      </c>
      <c r="AN2445" s="95">
        <v>8400</v>
      </c>
      <c r="AO2445" s="95">
        <v>8400</v>
      </c>
      <c r="AP2445" s="95">
        <v>8400</v>
      </c>
      <c r="AQ2445" s="95">
        <v>8400</v>
      </c>
      <c r="AR2445" s="95">
        <v>8400</v>
      </c>
      <c r="AS2445" s="95">
        <v>8400</v>
      </c>
      <c r="AT2445" s="95">
        <v>8400</v>
      </c>
      <c r="AU2445" s="95">
        <v>8400</v>
      </c>
      <c r="AV2445" s="95">
        <v>8400</v>
      </c>
      <c r="AW2445" s="95">
        <v>8400</v>
      </c>
      <c r="AX2445" s="96">
        <v>8400</v>
      </c>
    </row>
    <row r="2446" spans="1:50" x14ac:dyDescent="0.25">
      <c r="A2446" s="356"/>
      <c r="B2446" s="359"/>
      <c r="C2446" s="360"/>
      <c r="D2446" s="59" t="s">
        <v>8</v>
      </c>
      <c r="E2446" s="166" t="str">
        <f>A2411&amp;"/"&amp;B2437&amp;"/"&amp;C2445&amp;"/"&amp;D2446</f>
        <v>Lignite fired power plants/Steam turbine/Electricity only with CCS/M</v>
      </c>
      <c r="F2446" s="79" t="str">
        <f>A2411</f>
        <v>Lignite fired power plants</v>
      </c>
      <c r="G2446" s="79" t="str">
        <f>B2437</f>
        <v>Steam turbine</v>
      </c>
      <c r="H2446" s="79" t="str">
        <f>C2445</f>
        <v>Electricity only with CCS</v>
      </c>
      <c r="I2446" s="167" t="str">
        <f t="shared" si="119"/>
        <v>M</v>
      </c>
      <c r="J2446" s="97" t="s">
        <v>112</v>
      </c>
      <c r="K2446" s="97" t="s">
        <v>112</v>
      </c>
      <c r="L2446" s="97" t="s">
        <v>112</v>
      </c>
      <c r="M2446" s="97" t="s">
        <v>112</v>
      </c>
      <c r="N2446" s="97" t="s">
        <v>112</v>
      </c>
      <c r="O2446" s="97" t="s">
        <v>112</v>
      </c>
      <c r="P2446" s="97" t="s">
        <v>112</v>
      </c>
      <c r="Q2446" s="97" t="s">
        <v>112</v>
      </c>
      <c r="R2446" s="97" t="s">
        <v>112</v>
      </c>
      <c r="S2446" s="97" t="s">
        <v>112</v>
      </c>
      <c r="T2446" s="97" t="s">
        <v>112</v>
      </c>
      <c r="U2446" s="97" t="s">
        <v>112</v>
      </c>
      <c r="V2446" s="97" t="s">
        <v>112</v>
      </c>
      <c r="W2446" s="97" t="s">
        <v>112</v>
      </c>
      <c r="X2446" s="97" t="s">
        <v>112</v>
      </c>
      <c r="Y2446" s="97" t="s">
        <v>112</v>
      </c>
      <c r="Z2446" s="97" t="s">
        <v>112</v>
      </c>
      <c r="AA2446" s="97" t="s">
        <v>112</v>
      </c>
      <c r="AB2446" s="97" t="s">
        <v>112</v>
      </c>
      <c r="AC2446" s="97" t="s">
        <v>112</v>
      </c>
      <c r="AD2446" s="97" t="s">
        <v>112</v>
      </c>
      <c r="AE2446" s="97">
        <v>8033.3609982363105</v>
      </c>
      <c r="AF2446" s="97">
        <v>8033.3609982363105</v>
      </c>
      <c r="AG2446" s="97">
        <v>8033.3609982363105</v>
      </c>
      <c r="AH2446" s="97">
        <v>8033.3609982363105</v>
      </c>
      <c r="AI2446" s="97">
        <v>8033.3609982363105</v>
      </c>
      <c r="AJ2446" s="97">
        <v>8033.3609982363105</v>
      </c>
      <c r="AK2446" s="97">
        <v>8033.3609982363105</v>
      </c>
      <c r="AL2446" s="97">
        <v>8033.3609982363105</v>
      </c>
      <c r="AM2446" s="97">
        <v>8033.3609982363105</v>
      </c>
      <c r="AN2446" s="97">
        <v>8033.3609982363105</v>
      </c>
      <c r="AO2446" s="97">
        <v>8033.3609982363105</v>
      </c>
      <c r="AP2446" s="97">
        <v>8033.3609982363105</v>
      </c>
      <c r="AQ2446" s="97">
        <v>8033.3609982363105</v>
      </c>
      <c r="AR2446" s="97">
        <v>8033.3609982363105</v>
      </c>
      <c r="AS2446" s="97">
        <v>8033.3609982363105</v>
      </c>
      <c r="AT2446" s="97">
        <v>8033.3609982363105</v>
      </c>
      <c r="AU2446" s="97">
        <v>8033.3609982363105</v>
      </c>
      <c r="AV2446" s="97">
        <v>8033.3609982363105</v>
      </c>
      <c r="AW2446" s="97">
        <v>8033.3609982363105</v>
      </c>
      <c r="AX2446" s="98">
        <v>8033.3609982363105</v>
      </c>
    </row>
    <row r="2447" spans="1:50" x14ac:dyDescent="0.25">
      <c r="A2447" s="356"/>
      <c r="B2447" s="359"/>
      <c r="C2447" s="361" t="s">
        <v>16</v>
      </c>
      <c r="D2447" s="2" t="s">
        <v>7</v>
      </c>
      <c r="E2447" s="160" t="str">
        <f>A2411&amp;"/"&amp;B2437&amp;"/"&amp;C2447&amp;"/"&amp;D2447</f>
        <v>Lignite fired power plants/Steam turbine/CHP with CCS/L</v>
      </c>
      <c r="F2447" s="76" t="str">
        <f>A2411</f>
        <v>Lignite fired power plants</v>
      </c>
      <c r="G2447" s="76" t="str">
        <f>B2437</f>
        <v>Steam turbine</v>
      </c>
      <c r="H2447" s="76" t="str">
        <f>C2447</f>
        <v>CHP with CCS</v>
      </c>
      <c r="I2447" s="161" t="str">
        <f t="shared" si="119"/>
        <v>L</v>
      </c>
      <c r="J2447" s="91" t="s">
        <v>112</v>
      </c>
      <c r="K2447" s="91" t="s">
        <v>112</v>
      </c>
      <c r="L2447" s="91" t="s">
        <v>112</v>
      </c>
      <c r="M2447" s="91" t="s">
        <v>112</v>
      </c>
      <c r="N2447" s="91" t="s">
        <v>112</v>
      </c>
      <c r="O2447" s="91" t="s">
        <v>112</v>
      </c>
      <c r="P2447" s="91" t="s">
        <v>112</v>
      </c>
      <c r="Q2447" s="91" t="s">
        <v>112</v>
      </c>
      <c r="R2447" s="91" t="s">
        <v>112</v>
      </c>
      <c r="S2447" s="91" t="s">
        <v>112</v>
      </c>
      <c r="T2447" s="91" t="s">
        <v>112</v>
      </c>
      <c r="U2447" s="91" t="s">
        <v>112</v>
      </c>
      <c r="V2447" s="91" t="s">
        <v>112</v>
      </c>
      <c r="W2447" s="91" t="s">
        <v>112</v>
      </c>
      <c r="X2447" s="91" t="s">
        <v>112</v>
      </c>
      <c r="Y2447" s="91" t="s">
        <v>112</v>
      </c>
      <c r="Z2447" s="91" t="s">
        <v>112</v>
      </c>
      <c r="AA2447" s="91" t="s">
        <v>112</v>
      </c>
      <c r="AB2447" s="91" t="s">
        <v>112</v>
      </c>
      <c r="AC2447" s="91" t="s">
        <v>112</v>
      </c>
      <c r="AD2447" s="91" t="s">
        <v>112</v>
      </c>
      <c r="AE2447" s="91">
        <v>8400</v>
      </c>
      <c r="AF2447" s="91">
        <v>8400</v>
      </c>
      <c r="AG2447" s="91">
        <v>8400</v>
      </c>
      <c r="AH2447" s="91">
        <v>8400</v>
      </c>
      <c r="AI2447" s="91">
        <v>8400</v>
      </c>
      <c r="AJ2447" s="91">
        <v>8400</v>
      </c>
      <c r="AK2447" s="91">
        <v>8400</v>
      </c>
      <c r="AL2447" s="91">
        <v>8400</v>
      </c>
      <c r="AM2447" s="91">
        <v>8400</v>
      </c>
      <c r="AN2447" s="91">
        <v>8400</v>
      </c>
      <c r="AO2447" s="91">
        <v>8400</v>
      </c>
      <c r="AP2447" s="91">
        <v>8400</v>
      </c>
      <c r="AQ2447" s="91">
        <v>8400</v>
      </c>
      <c r="AR2447" s="91">
        <v>8400</v>
      </c>
      <c r="AS2447" s="91">
        <v>8400</v>
      </c>
      <c r="AT2447" s="91">
        <v>8400</v>
      </c>
      <c r="AU2447" s="91">
        <v>8400</v>
      </c>
      <c r="AV2447" s="91">
        <v>8400</v>
      </c>
      <c r="AW2447" s="91">
        <v>8400</v>
      </c>
      <c r="AX2447" s="92">
        <v>8400</v>
      </c>
    </row>
    <row r="2448" spans="1:50" x14ac:dyDescent="0.25">
      <c r="A2448" s="357"/>
      <c r="B2448" s="362"/>
      <c r="C2448" s="354"/>
      <c r="D2448" s="4" t="s">
        <v>8</v>
      </c>
      <c r="E2448" s="168" t="str">
        <f>A2411&amp;"/"&amp;B2437&amp;"/"&amp;C2447&amp;"/"&amp;D2448</f>
        <v>Lignite fired power plants/Steam turbine/CHP with CCS/M</v>
      </c>
      <c r="F2448" s="80" t="str">
        <f>A2411</f>
        <v>Lignite fired power plants</v>
      </c>
      <c r="G2448" s="80" t="str">
        <f>B2437</f>
        <v>Steam turbine</v>
      </c>
      <c r="H2448" s="80" t="str">
        <f>C2447</f>
        <v>CHP with CCS</v>
      </c>
      <c r="I2448" s="169" t="str">
        <f t="shared" si="119"/>
        <v>M</v>
      </c>
      <c r="J2448" s="99" t="s">
        <v>112</v>
      </c>
      <c r="K2448" s="99" t="s">
        <v>112</v>
      </c>
      <c r="L2448" s="99" t="s">
        <v>112</v>
      </c>
      <c r="M2448" s="99" t="s">
        <v>112</v>
      </c>
      <c r="N2448" s="99" t="s">
        <v>112</v>
      </c>
      <c r="O2448" s="99" t="s">
        <v>112</v>
      </c>
      <c r="P2448" s="99" t="s">
        <v>112</v>
      </c>
      <c r="Q2448" s="99" t="s">
        <v>112</v>
      </c>
      <c r="R2448" s="99" t="s">
        <v>112</v>
      </c>
      <c r="S2448" s="99" t="s">
        <v>112</v>
      </c>
      <c r="T2448" s="99" t="s">
        <v>112</v>
      </c>
      <c r="U2448" s="99" t="s">
        <v>112</v>
      </c>
      <c r="V2448" s="99" t="s">
        <v>112</v>
      </c>
      <c r="W2448" s="99" t="s">
        <v>112</v>
      </c>
      <c r="X2448" s="99" t="s">
        <v>112</v>
      </c>
      <c r="Y2448" s="99" t="s">
        <v>112</v>
      </c>
      <c r="Z2448" s="99" t="s">
        <v>112</v>
      </c>
      <c r="AA2448" s="99" t="s">
        <v>112</v>
      </c>
      <c r="AB2448" s="99" t="s">
        <v>112</v>
      </c>
      <c r="AC2448" s="99" t="s">
        <v>112</v>
      </c>
      <c r="AD2448" s="99" t="s">
        <v>112</v>
      </c>
      <c r="AE2448" s="99">
        <v>8033.3609982363105</v>
      </c>
      <c r="AF2448" s="99">
        <v>8033.3609982363105</v>
      </c>
      <c r="AG2448" s="99">
        <v>8033.3609982363105</v>
      </c>
      <c r="AH2448" s="99">
        <v>8033.3609982363105</v>
      </c>
      <c r="AI2448" s="99">
        <v>8033.3609982363105</v>
      </c>
      <c r="AJ2448" s="99">
        <v>8033.3609982363105</v>
      </c>
      <c r="AK2448" s="99">
        <v>8033.3609982363105</v>
      </c>
      <c r="AL2448" s="99">
        <v>8033.3609982363105</v>
      </c>
      <c r="AM2448" s="99">
        <v>8033.3609982363105</v>
      </c>
      <c r="AN2448" s="99">
        <v>8033.3609982363105</v>
      </c>
      <c r="AO2448" s="99">
        <v>8033.3609982363105</v>
      </c>
      <c r="AP2448" s="99">
        <v>8033.3609982363105</v>
      </c>
      <c r="AQ2448" s="99">
        <v>8033.3609982363105</v>
      </c>
      <c r="AR2448" s="99">
        <v>8033.3609982363105</v>
      </c>
      <c r="AS2448" s="99">
        <v>8033.3609982363105</v>
      </c>
      <c r="AT2448" s="99">
        <v>8033.3609982363105</v>
      </c>
      <c r="AU2448" s="99">
        <v>8033.3609982363105</v>
      </c>
      <c r="AV2448" s="99">
        <v>8033.3609982363105</v>
      </c>
      <c r="AW2448" s="99">
        <v>8033.3609982363105</v>
      </c>
      <c r="AX2448" s="100">
        <v>8033.3609982363105</v>
      </c>
    </row>
    <row r="2449" spans="1:50" x14ac:dyDescent="0.25">
      <c r="A2449" s="356" t="s">
        <v>22</v>
      </c>
      <c r="B2449" s="358" t="s">
        <v>23</v>
      </c>
      <c r="C2449" s="353" t="s">
        <v>6</v>
      </c>
      <c r="D2449" s="3" t="s">
        <v>7</v>
      </c>
      <c r="E2449" s="162" t="str">
        <f>A2449&amp;"/"&amp;B2449&amp;"/"&amp;C2449&amp;"/"&amp;D2449</f>
        <v>Gas fired power plants (Natural gas, biogas)/Gas turbine combined cycle/Electricity only/L</v>
      </c>
      <c r="F2449" s="77" t="str">
        <f>A2449</f>
        <v>Gas fired power plants (Natural gas, biogas)</v>
      </c>
      <c r="G2449" s="77" t="str">
        <f>B2449</f>
        <v>Gas turbine combined cycle</v>
      </c>
      <c r="H2449" s="77" t="str">
        <f>C2449</f>
        <v>Electricity only</v>
      </c>
      <c r="I2449" s="163" t="str">
        <f t="shared" si="119"/>
        <v>L</v>
      </c>
      <c r="J2449" s="93">
        <v>7000</v>
      </c>
      <c r="K2449" s="93">
        <v>7000</v>
      </c>
      <c r="L2449" s="93">
        <v>7000</v>
      </c>
      <c r="M2449" s="93">
        <v>7000</v>
      </c>
      <c r="N2449" s="93">
        <v>7000</v>
      </c>
      <c r="O2449" s="93">
        <v>7000</v>
      </c>
      <c r="P2449" s="93">
        <v>7000</v>
      </c>
      <c r="Q2449" s="93">
        <v>7000</v>
      </c>
      <c r="R2449" s="93">
        <v>7000</v>
      </c>
      <c r="S2449" s="93">
        <v>7000</v>
      </c>
      <c r="T2449" s="93">
        <v>7000</v>
      </c>
      <c r="U2449" s="93">
        <v>7000</v>
      </c>
      <c r="V2449" s="93">
        <v>7000</v>
      </c>
      <c r="W2449" s="93">
        <v>7000</v>
      </c>
      <c r="X2449" s="93">
        <v>7000</v>
      </c>
      <c r="Y2449" s="93">
        <v>7000</v>
      </c>
      <c r="Z2449" s="93">
        <v>7000</v>
      </c>
      <c r="AA2449" s="93">
        <v>7000</v>
      </c>
      <c r="AB2449" s="93">
        <v>7000</v>
      </c>
      <c r="AC2449" s="93">
        <v>7000</v>
      </c>
      <c r="AD2449" s="93">
        <v>7000</v>
      </c>
      <c r="AE2449" s="93">
        <v>7000</v>
      </c>
      <c r="AF2449" s="93">
        <v>7000</v>
      </c>
      <c r="AG2449" s="93">
        <v>7000</v>
      </c>
      <c r="AH2449" s="93">
        <v>7000</v>
      </c>
      <c r="AI2449" s="93">
        <v>7000</v>
      </c>
      <c r="AJ2449" s="93">
        <v>7000</v>
      </c>
      <c r="AK2449" s="93">
        <v>7000</v>
      </c>
      <c r="AL2449" s="93">
        <v>7000</v>
      </c>
      <c r="AM2449" s="93">
        <v>7000</v>
      </c>
      <c r="AN2449" s="93">
        <v>7000</v>
      </c>
      <c r="AO2449" s="93">
        <v>7000</v>
      </c>
      <c r="AP2449" s="93">
        <v>7000</v>
      </c>
      <c r="AQ2449" s="93">
        <v>7000</v>
      </c>
      <c r="AR2449" s="93">
        <v>7000</v>
      </c>
      <c r="AS2449" s="93">
        <v>7000</v>
      </c>
      <c r="AT2449" s="93">
        <v>7000</v>
      </c>
      <c r="AU2449" s="93">
        <v>7000</v>
      </c>
      <c r="AV2449" s="93">
        <v>7000</v>
      </c>
      <c r="AW2449" s="93">
        <v>7000</v>
      </c>
      <c r="AX2449" s="94">
        <v>7000</v>
      </c>
    </row>
    <row r="2450" spans="1:50" x14ac:dyDescent="0.25">
      <c r="A2450" s="356"/>
      <c r="B2450" s="359"/>
      <c r="C2450" s="350"/>
      <c r="D2450" s="2" t="s">
        <v>8</v>
      </c>
      <c r="E2450" s="160" t="str">
        <f>A2449&amp;"/"&amp;B2449&amp;"/"&amp;C2449&amp;"/"&amp;D2450</f>
        <v>Gas fired power plants (Natural gas, biogas)/Gas turbine combined cycle/Electricity only/M</v>
      </c>
      <c r="F2450" s="76" t="str">
        <f>A2449</f>
        <v>Gas fired power plants (Natural gas, biogas)</v>
      </c>
      <c r="G2450" s="76" t="str">
        <f>B2449</f>
        <v>Gas turbine combined cycle</v>
      </c>
      <c r="H2450" s="76" t="str">
        <f>C2449</f>
        <v>Electricity only</v>
      </c>
      <c r="I2450" s="161" t="str">
        <f t="shared" si="119"/>
        <v>M</v>
      </c>
      <c r="J2450" s="91">
        <v>6694.467498530259</v>
      </c>
      <c r="K2450" s="91">
        <v>6694.467498530259</v>
      </c>
      <c r="L2450" s="91">
        <v>6694.467498530259</v>
      </c>
      <c r="M2450" s="91">
        <v>6694.467498530259</v>
      </c>
      <c r="N2450" s="91">
        <v>6694.467498530259</v>
      </c>
      <c r="O2450" s="91">
        <v>6694.467498530259</v>
      </c>
      <c r="P2450" s="91">
        <v>6694.467498530259</v>
      </c>
      <c r="Q2450" s="91">
        <v>6694.467498530259</v>
      </c>
      <c r="R2450" s="91">
        <v>6694.467498530259</v>
      </c>
      <c r="S2450" s="91">
        <v>6694.467498530259</v>
      </c>
      <c r="T2450" s="91">
        <v>6694.467498530259</v>
      </c>
      <c r="U2450" s="91">
        <v>6694.467498530259</v>
      </c>
      <c r="V2450" s="91">
        <v>6694.467498530259</v>
      </c>
      <c r="W2450" s="91">
        <v>6694.467498530259</v>
      </c>
      <c r="X2450" s="91">
        <v>6694.467498530259</v>
      </c>
      <c r="Y2450" s="91">
        <v>6694.467498530259</v>
      </c>
      <c r="Z2450" s="91">
        <v>6694.467498530259</v>
      </c>
      <c r="AA2450" s="91">
        <v>6694.467498530259</v>
      </c>
      <c r="AB2450" s="91">
        <v>6694.467498530259</v>
      </c>
      <c r="AC2450" s="91">
        <v>6694.467498530259</v>
      </c>
      <c r="AD2450" s="91">
        <v>6694.467498530259</v>
      </c>
      <c r="AE2450" s="91">
        <v>6694.467498530259</v>
      </c>
      <c r="AF2450" s="91">
        <v>6694.467498530259</v>
      </c>
      <c r="AG2450" s="91">
        <v>6694.467498530259</v>
      </c>
      <c r="AH2450" s="91">
        <v>6694.467498530259</v>
      </c>
      <c r="AI2450" s="91">
        <v>6694.467498530259</v>
      </c>
      <c r="AJ2450" s="91">
        <v>6694.467498530259</v>
      </c>
      <c r="AK2450" s="91">
        <v>6694.467498530259</v>
      </c>
      <c r="AL2450" s="91">
        <v>6694.467498530259</v>
      </c>
      <c r="AM2450" s="91">
        <v>6694.467498530259</v>
      </c>
      <c r="AN2450" s="91">
        <v>6694.467498530259</v>
      </c>
      <c r="AO2450" s="91">
        <v>6694.467498530259</v>
      </c>
      <c r="AP2450" s="91">
        <v>6694.467498530259</v>
      </c>
      <c r="AQ2450" s="91">
        <v>6694.467498530259</v>
      </c>
      <c r="AR2450" s="91">
        <v>6694.467498530259</v>
      </c>
      <c r="AS2450" s="91">
        <v>6694.467498530259</v>
      </c>
      <c r="AT2450" s="91">
        <v>6694.467498530259</v>
      </c>
      <c r="AU2450" s="91">
        <v>6694.467498530259</v>
      </c>
      <c r="AV2450" s="91">
        <v>6694.467498530259</v>
      </c>
      <c r="AW2450" s="91">
        <v>6694.467498530259</v>
      </c>
      <c r="AX2450" s="92">
        <v>6694.467498530259</v>
      </c>
    </row>
    <row r="2451" spans="1:50" x14ac:dyDescent="0.25">
      <c r="A2451" s="356"/>
      <c r="B2451" s="359"/>
      <c r="C2451" s="350"/>
      <c r="D2451" s="2" t="s">
        <v>10</v>
      </c>
      <c r="E2451" s="160" t="str">
        <f>A2449&amp;"/"&amp;B2449&amp;"/"&amp;C2449&amp;"/"&amp;D2451</f>
        <v>Gas fired power plants (Natural gas, biogas)/Gas turbine combined cycle/Electricity only/S</v>
      </c>
      <c r="F2451" s="76" t="str">
        <f>A2449</f>
        <v>Gas fired power plants (Natural gas, biogas)</v>
      </c>
      <c r="G2451" s="76" t="str">
        <f>B2449</f>
        <v>Gas turbine combined cycle</v>
      </c>
      <c r="H2451" s="76" t="str">
        <f>C2449</f>
        <v>Electricity only</v>
      </c>
      <c r="I2451" s="161" t="str">
        <f t="shared" si="119"/>
        <v>S</v>
      </c>
      <c r="J2451" s="91">
        <v>6320.1631601320405</v>
      </c>
      <c r="K2451" s="91">
        <v>6320.1631601320405</v>
      </c>
      <c r="L2451" s="91">
        <v>6320.1631601320405</v>
      </c>
      <c r="M2451" s="91">
        <v>6320.1631601320405</v>
      </c>
      <c r="N2451" s="91">
        <v>6320.1631601320405</v>
      </c>
      <c r="O2451" s="91">
        <v>6320.1631601320405</v>
      </c>
      <c r="P2451" s="91">
        <v>6320.1631601320405</v>
      </c>
      <c r="Q2451" s="91">
        <v>6320.1631601320405</v>
      </c>
      <c r="R2451" s="91">
        <v>6320.1631601320405</v>
      </c>
      <c r="S2451" s="91">
        <v>6320.1631601320405</v>
      </c>
      <c r="T2451" s="91">
        <v>6320.1631601320405</v>
      </c>
      <c r="U2451" s="91">
        <v>6320.1631601320405</v>
      </c>
      <c r="V2451" s="91">
        <v>6320.1631601320405</v>
      </c>
      <c r="W2451" s="91">
        <v>6320.1631601320405</v>
      </c>
      <c r="X2451" s="91">
        <v>6320.1631601320405</v>
      </c>
      <c r="Y2451" s="91">
        <v>6320.1631601320405</v>
      </c>
      <c r="Z2451" s="91">
        <v>6320.1631601320405</v>
      </c>
      <c r="AA2451" s="91">
        <v>6320.1631601320405</v>
      </c>
      <c r="AB2451" s="91">
        <v>6320.1631601320405</v>
      </c>
      <c r="AC2451" s="91">
        <v>6320.1631601320405</v>
      </c>
      <c r="AD2451" s="91">
        <v>6320.1631601320405</v>
      </c>
      <c r="AE2451" s="91">
        <v>6320.1631601320405</v>
      </c>
      <c r="AF2451" s="91">
        <v>6320.1631601320405</v>
      </c>
      <c r="AG2451" s="91">
        <v>6320.1631601320405</v>
      </c>
      <c r="AH2451" s="91">
        <v>6320.1631601320405</v>
      </c>
      <c r="AI2451" s="91">
        <v>6320.1631601320405</v>
      </c>
      <c r="AJ2451" s="91">
        <v>6320.1631601320405</v>
      </c>
      <c r="AK2451" s="91">
        <v>6320.1631601320405</v>
      </c>
      <c r="AL2451" s="91">
        <v>6320.1631601320405</v>
      </c>
      <c r="AM2451" s="91">
        <v>6320.1631601320405</v>
      </c>
      <c r="AN2451" s="91">
        <v>6320.1631601320405</v>
      </c>
      <c r="AO2451" s="91">
        <v>6320.1631601320405</v>
      </c>
      <c r="AP2451" s="91">
        <v>6320.1631601320405</v>
      </c>
      <c r="AQ2451" s="91">
        <v>6320.1631601320405</v>
      </c>
      <c r="AR2451" s="91">
        <v>6320.1631601320405</v>
      </c>
      <c r="AS2451" s="91">
        <v>6320.1631601320405</v>
      </c>
      <c r="AT2451" s="91">
        <v>6320.1631601320405</v>
      </c>
      <c r="AU2451" s="91">
        <v>6320.1631601320405</v>
      </c>
      <c r="AV2451" s="91">
        <v>6320.1631601320405</v>
      </c>
      <c r="AW2451" s="91">
        <v>6320.1631601320405</v>
      </c>
      <c r="AX2451" s="92">
        <v>6320.1631601320405</v>
      </c>
    </row>
    <row r="2452" spans="1:50" x14ac:dyDescent="0.25">
      <c r="A2452" s="356"/>
      <c r="B2452" s="359"/>
      <c r="C2452" s="360"/>
      <c r="D2452" s="2" t="s">
        <v>20</v>
      </c>
      <c r="E2452" s="160" t="str">
        <f>A2449&amp;"/"&amp;B2449&amp;"/"&amp;C2449&amp;"/"&amp;D2452</f>
        <v>Gas fired power plants (Natural gas, biogas)/Gas turbine combined cycle/Electricity only/XS</v>
      </c>
      <c r="F2452" s="76" t="str">
        <f>A2449</f>
        <v>Gas fired power plants (Natural gas, biogas)</v>
      </c>
      <c r="G2452" s="76" t="str">
        <f>B2449</f>
        <v>Gas turbine combined cycle</v>
      </c>
      <c r="H2452" s="76" t="str">
        <f>C2449</f>
        <v>Electricity only</v>
      </c>
      <c r="I2452" s="161" t="str">
        <f t="shared" si="119"/>
        <v>XS</v>
      </c>
      <c r="J2452" s="91">
        <v>6118.0366632884616</v>
      </c>
      <c r="K2452" s="91">
        <v>6118.0366632884616</v>
      </c>
      <c r="L2452" s="91">
        <v>6118.0366632884616</v>
      </c>
      <c r="M2452" s="91">
        <v>6118.0366632884616</v>
      </c>
      <c r="N2452" s="91">
        <v>6118.0366632884616</v>
      </c>
      <c r="O2452" s="91">
        <v>6118.0366632884616</v>
      </c>
      <c r="P2452" s="91">
        <v>6118.0366632884616</v>
      </c>
      <c r="Q2452" s="91">
        <v>6118.0366632884616</v>
      </c>
      <c r="R2452" s="91">
        <v>6118.0366632884616</v>
      </c>
      <c r="S2452" s="91">
        <v>6118.0366632884616</v>
      </c>
      <c r="T2452" s="91">
        <v>6118.0366632884616</v>
      </c>
      <c r="U2452" s="91">
        <v>6118.0366632884616</v>
      </c>
      <c r="V2452" s="91">
        <v>6118.0366632884616</v>
      </c>
      <c r="W2452" s="91">
        <v>6118.0366632884616</v>
      </c>
      <c r="X2452" s="91">
        <v>6118.0366632884616</v>
      </c>
      <c r="Y2452" s="91">
        <v>6118.0366632884616</v>
      </c>
      <c r="Z2452" s="91">
        <v>6118.0366632884616</v>
      </c>
      <c r="AA2452" s="91">
        <v>6118.0366632884616</v>
      </c>
      <c r="AB2452" s="91">
        <v>6118.0366632884616</v>
      </c>
      <c r="AC2452" s="91">
        <v>6118.0366632884616</v>
      </c>
      <c r="AD2452" s="91">
        <v>6118.0366632884616</v>
      </c>
      <c r="AE2452" s="91">
        <v>6118.0366632884616</v>
      </c>
      <c r="AF2452" s="91">
        <v>6118.0366632884616</v>
      </c>
      <c r="AG2452" s="91">
        <v>6118.0366632884616</v>
      </c>
      <c r="AH2452" s="91">
        <v>6118.0366632884616</v>
      </c>
      <c r="AI2452" s="91">
        <v>6118.0366632884616</v>
      </c>
      <c r="AJ2452" s="91">
        <v>6118.0366632884616</v>
      </c>
      <c r="AK2452" s="91">
        <v>6118.0366632884616</v>
      </c>
      <c r="AL2452" s="91">
        <v>6118.0366632884616</v>
      </c>
      <c r="AM2452" s="91">
        <v>6118.0366632884616</v>
      </c>
      <c r="AN2452" s="91">
        <v>6118.0366632884616</v>
      </c>
      <c r="AO2452" s="91">
        <v>6118.0366632884616</v>
      </c>
      <c r="AP2452" s="91">
        <v>6118.0366632884616</v>
      </c>
      <c r="AQ2452" s="91">
        <v>6118.0366632884616</v>
      </c>
      <c r="AR2452" s="91">
        <v>6118.0366632884616</v>
      </c>
      <c r="AS2452" s="91">
        <v>6118.0366632884616</v>
      </c>
      <c r="AT2452" s="91">
        <v>6118.0366632884616</v>
      </c>
      <c r="AU2452" s="91">
        <v>6118.0366632884616</v>
      </c>
      <c r="AV2452" s="91">
        <v>6118.0366632884616</v>
      </c>
      <c r="AW2452" s="91">
        <v>6118.0366632884616</v>
      </c>
      <c r="AX2452" s="92">
        <v>6118.0366632884616</v>
      </c>
    </row>
    <row r="2453" spans="1:50" x14ac:dyDescent="0.25">
      <c r="A2453" s="356"/>
      <c r="B2453" s="359"/>
      <c r="C2453" s="361" t="s">
        <v>14</v>
      </c>
      <c r="D2453" s="58" t="s">
        <v>7</v>
      </c>
      <c r="E2453" s="164" t="str">
        <f>A2449&amp;"/"&amp;B2449&amp;"/"&amp;C2453&amp;"/"&amp;D2453</f>
        <v>Gas fired power plants (Natural gas, biogas)/Gas turbine combined cycle/CHP/L</v>
      </c>
      <c r="F2453" s="78" t="str">
        <f>A2449</f>
        <v>Gas fired power plants (Natural gas, biogas)</v>
      </c>
      <c r="G2453" s="78" t="str">
        <f>B2449</f>
        <v>Gas turbine combined cycle</v>
      </c>
      <c r="H2453" s="78" t="str">
        <f>C2453</f>
        <v>CHP</v>
      </c>
      <c r="I2453" s="165" t="str">
        <f t="shared" si="119"/>
        <v>L</v>
      </c>
      <c r="J2453" s="95">
        <v>6650</v>
      </c>
      <c r="K2453" s="95">
        <v>6650</v>
      </c>
      <c r="L2453" s="95">
        <v>6650</v>
      </c>
      <c r="M2453" s="95">
        <v>6650</v>
      </c>
      <c r="N2453" s="95">
        <v>6650</v>
      </c>
      <c r="O2453" s="95">
        <v>6650</v>
      </c>
      <c r="P2453" s="95">
        <v>6650</v>
      </c>
      <c r="Q2453" s="95">
        <v>6650</v>
      </c>
      <c r="R2453" s="95">
        <v>6650</v>
      </c>
      <c r="S2453" s="95">
        <v>6650</v>
      </c>
      <c r="T2453" s="95">
        <v>6650</v>
      </c>
      <c r="U2453" s="95">
        <v>6650</v>
      </c>
      <c r="V2453" s="95">
        <v>6650</v>
      </c>
      <c r="W2453" s="95">
        <v>6650</v>
      </c>
      <c r="X2453" s="95">
        <v>6650</v>
      </c>
      <c r="Y2453" s="95">
        <v>6650</v>
      </c>
      <c r="Z2453" s="95">
        <v>6650</v>
      </c>
      <c r="AA2453" s="95">
        <v>6650</v>
      </c>
      <c r="AB2453" s="95">
        <v>6650</v>
      </c>
      <c r="AC2453" s="95">
        <v>6650</v>
      </c>
      <c r="AD2453" s="95">
        <v>6650</v>
      </c>
      <c r="AE2453" s="95">
        <v>6650</v>
      </c>
      <c r="AF2453" s="95">
        <v>6650</v>
      </c>
      <c r="AG2453" s="95">
        <v>6650</v>
      </c>
      <c r="AH2453" s="95">
        <v>6650</v>
      </c>
      <c r="AI2453" s="95">
        <v>6650</v>
      </c>
      <c r="AJ2453" s="95">
        <v>6650</v>
      </c>
      <c r="AK2453" s="95">
        <v>6650</v>
      </c>
      <c r="AL2453" s="95">
        <v>6650</v>
      </c>
      <c r="AM2453" s="95">
        <v>6650</v>
      </c>
      <c r="AN2453" s="95">
        <v>6650</v>
      </c>
      <c r="AO2453" s="95">
        <v>6650</v>
      </c>
      <c r="AP2453" s="95">
        <v>6650</v>
      </c>
      <c r="AQ2453" s="95">
        <v>6650</v>
      </c>
      <c r="AR2453" s="95">
        <v>6650</v>
      </c>
      <c r="AS2453" s="95">
        <v>6650</v>
      </c>
      <c r="AT2453" s="95">
        <v>6650</v>
      </c>
      <c r="AU2453" s="95">
        <v>6650</v>
      </c>
      <c r="AV2453" s="95">
        <v>6650</v>
      </c>
      <c r="AW2453" s="95">
        <v>6650</v>
      </c>
      <c r="AX2453" s="96">
        <v>6650</v>
      </c>
    </row>
    <row r="2454" spans="1:50" x14ac:dyDescent="0.25">
      <c r="A2454" s="356"/>
      <c r="B2454" s="359"/>
      <c r="C2454" s="350"/>
      <c r="D2454" s="2" t="s">
        <v>8</v>
      </c>
      <c r="E2454" s="160" t="str">
        <f>A2449&amp;"/"&amp;B2449&amp;"/"&amp;C2453&amp;"/"&amp;D2454</f>
        <v>Gas fired power plants (Natural gas, biogas)/Gas turbine combined cycle/CHP/M</v>
      </c>
      <c r="F2454" s="76" t="str">
        <f>A2449</f>
        <v>Gas fired power plants (Natural gas, biogas)</v>
      </c>
      <c r="G2454" s="76" t="str">
        <f>B2449</f>
        <v>Gas turbine combined cycle</v>
      </c>
      <c r="H2454" s="76" t="str">
        <f>C2453</f>
        <v>CHP</v>
      </c>
      <c r="I2454" s="161" t="str">
        <f t="shared" si="119"/>
        <v>M</v>
      </c>
      <c r="J2454" s="91">
        <v>6359.7441236037457</v>
      </c>
      <c r="K2454" s="91">
        <v>6359.7441236037457</v>
      </c>
      <c r="L2454" s="91">
        <v>6359.7441236037457</v>
      </c>
      <c r="M2454" s="91">
        <v>6359.7441236037457</v>
      </c>
      <c r="N2454" s="91">
        <v>6359.7441236037457</v>
      </c>
      <c r="O2454" s="91">
        <v>6359.7441236037457</v>
      </c>
      <c r="P2454" s="91">
        <v>6359.7441236037457</v>
      </c>
      <c r="Q2454" s="91">
        <v>6359.7441236037457</v>
      </c>
      <c r="R2454" s="91">
        <v>6359.7441236037457</v>
      </c>
      <c r="S2454" s="91">
        <v>6359.7441236037457</v>
      </c>
      <c r="T2454" s="91">
        <v>6359.7441236037457</v>
      </c>
      <c r="U2454" s="91">
        <v>6359.7441236037457</v>
      </c>
      <c r="V2454" s="91">
        <v>6359.7441236037457</v>
      </c>
      <c r="W2454" s="91">
        <v>6359.7441236037457</v>
      </c>
      <c r="X2454" s="91">
        <v>6359.7441236037457</v>
      </c>
      <c r="Y2454" s="91">
        <v>6359.7441236037457</v>
      </c>
      <c r="Z2454" s="91">
        <v>6359.7441236037457</v>
      </c>
      <c r="AA2454" s="91">
        <v>6359.7441236037457</v>
      </c>
      <c r="AB2454" s="91">
        <v>6359.7441236037457</v>
      </c>
      <c r="AC2454" s="91">
        <v>6359.7441236037457</v>
      </c>
      <c r="AD2454" s="91">
        <v>6359.7441236037457</v>
      </c>
      <c r="AE2454" s="91">
        <v>6359.7441236037457</v>
      </c>
      <c r="AF2454" s="91">
        <v>6359.7441236037457</v>
      </c>
      <c r="AG2454" s="91">
        <v>6359.7441236037457</v>
      </c>
      <c r="AH2454" s="91">
        <v>6359.7441236037457</v>
      </c>
      <c r="AI2454" s="91">
        <v>6359.7441236037457</v>
      </c>
      <c r="AJ2454" s="91">
        <v>6359.7441236037457</v>
      </c>
      <c r="AK2454" s="91">
        <v>6359.7441236037457</v>
      </c>
      <c r="AL2454" s="91">
        <v>6359.7441236037457</v>
      </c>
      <c r="AM2454" s="91">
        <v>6359.7441236037457</v>
      </c>
      <c r="AN2454" s="91">
        <v>6359.7441236037457</v>
      </c>
      <c r="AO2454" s="91">
        <v>6359.7441236037457</v>
      </c>
      <c r="AP2454" s="91">
        <v>6359.7441236037457</v>
      </c>
      <c r="AQ2454" s="91">
        <v>6359.7441236037457</v>
      </c>
      <c r="AR2454" s="91">
        <v>6359.7441236037457</v>
      </c>
      <c r="AS2454" s="91">
        <v>6359.7441236037457</v>
      </c>
      <c r="AT2454" s="91">
        <v>6359.7441236037457</v>
      </c>
      <c r="AU2454" s="91">
        <v>6359.7441236037457</v>
      </c>
      <c r="AV2454" s="91">
        <v>6359.7441236037457</v>
      </c>
      <c r="AW2454" s="91">
        <v>6359.7441236037457</v>
      </c>
      <c r="AX2454" s="92">
        <v>6359.7441236037457</v>
      </c>
    </row>
    <row r="2455" spans="1:50" x14ac:dyDescent="0.25">
      <c r="A2455" s="356"/>
      <c r="B2455" s="359"/>
      <c r="C2455" s="350"/>
      <c r="D2455" s="2" t="s">
        <v>10</v>
      </c>
      <c r="E2455" s="160" t="str">
        <f>A2449&amp;"/"&amp;B2449&amp;"/"&amp;C2453&amp;"/"&amp;D2455</f>
        <v>Gas fired power plants (Natural gas, biogas)/Gas turbine combined cycle/CHP/S</v>
      </c>
      <c r="F2455" s="76" t="str">
        <f>A2449</f>
        <v>Gas fired power plants (Natural gas, biogas)</v>
      </c>
      <c r="G2455" s="76" t="str">
        <f>B2449</f>
        <v>Gas turbine combined cycle</v>
      </c>
      <c r="H2455" s="76" t="str">
        <f>C2453</f>
        <v>CHP</v>
      </c>
      <c r="I2455" s="161" t="str">
        <f t="shared" si="119"/>
        <v>S</v>
      </c>
      <c r="J2455" s="91">
        <v>6004.1550021254379</v>
      </c>
      <c r="K2455" s="91">
        <v>6004.1550021254379</v>
      </c>
      <c r="L2455" s="91">
        <v>6004.1550021254379</v>
      </c>
      <c r="M2455" s="91">
        <v>6004.1550021254379</v>
      </c>
      <c r="N2455" s="91">
        <v>6004.1550021254379</v>
      </c>
      <c r="O2455" s="91">
        <v>6004.1550021254379</v>
      </c>
      <c r="P2455" s="91">
        <v>6004.1550021254379</v>
      </c>
      <c r="Q2455" s="91">
        <v>6004.1550021254379</v>
      </c>
      <c r="R2455" s="91">
        <v>6004.1550021254379</v>
      </c>
      <c r="S2455" s="91">
        <v>6004.1550021254379</v>
      </c>
      <c r="T2455" s="91">
        <v>6004.1550021254379</v>
      </c>
      <c r="U2455" s="91">
        <v>6004.1550021254379</v>
      </c>
      <c r="V2455" s="91">
        <v>6004.1550021254379</v>
      </c>
      <c r="W2455" s="91">
        <v>6004.1550021254379</v>
      </c>
      <c r="X2455" s="91">
        <v>6004.1550021254379</v>
      </c>
      <c r="Y2455" s="91">
        <v>6004.1550021254379</v>
      </c>
      <c r="Z2455" s="91">
        <v>6004.1550021254379</v>
      </c>
      <c r="AA2455" s="91">
        <v>6004.1550021254379</v>
      </c>
      <c r="AB2455" s="91">
        <v>6004.1550021254379</v>
      </c>
      <c r="AC2455" s="91">
        <v>6004.1550021254379</v>
      </c>
      <c r="AD2455" s="91">
        <v>6004.1550021254379</v>
      </c>
      <c r="AE2455" s="91">
        <v>6004.1550021254379</v>
      </c>
      <c r="AF2455" s="91">
        <v>6004.1550021254379</v>
      </c>
      <c r="AG2455" s="91">
        <v>6004.1550021254379</v>
      </c>
      <c r="AH2455" s="91">
        <v>6004.1550021254379</v>
      </c>
      <c r="AI2455" s="91">
        <v>6004.1550021254379</v>
      </c>
      <c r="AJ2455" s="91">
        <v>6004.1550021254379</v>
      </c>
      <c r="AK2455" s="91">
        <v>6004.1550021254379</v>
      </c>
      <c r="AL2455" s="91">
        <v>6004.1550021254379</v>
      </c>
      <c r="AM2455" s="91">
        <v>6004.1550021254379</v>
      </c>
      <c r="AN2455" s="91">
        <v>6004.1550021254379</v>
      </c>
      <c r="AO2455" s="91">
        <v>6004.1550021254379</v>
      </c>
      <c r="AP2455" s="91">
        <v>6004.1550021254379</v>
      </c>
      <c r="AQ2455" s="91">
        <v>6004.1550021254379</v>
      </c>
      <c r="AR2455" s="91">
        <v>6004.1550021254379</v>
      </c>
      <c r="AS2455" s="91">
        <v>6004.1550021254379</v>
      </c>
      <c r="AT2455" s="91">
        <v>6004.1550021254379</v>
      </c>
      <c r="AU2455" s="91">
        <v>6004.1550021254379</v>
      </c>
      <c r="AV2455" s="91">
        <v>6004.1550021254379</v>
      </c>
      <c r="AW2455" s="91">
        <v>6004.1550021254379</v>
      </c>
      <c r="AX2455" s="92">
        <v>6004.1550021254379</v>
      </c>
    </row>
    <row r="2456" spans="1:50" x14ac:dyDescent="0.25">
      <c r="A2456" s="356"/>
      <c r="B2456" s="359"/>
      <c r="C2456" s="360"/>
      <c r="D2456" s="59" t="s">
        <v>20</v>
      </c>
      <c r="E2456" s="166" t="str">
        <f>A2449&amp;"/"&amp;B2449&amp;"/"&amp;C2453&amp;"/"&amp;D2456</f>
        <v>Gas fired power plants (Natural gas, biogas)/Gas turbine combined cycle/CHP/XS</v>
      </c>
      <c r="F2456" s="79" t="str">
        <f>A2449</f>
        <v>Gas fired power plants (Natural gas, biogas)</v>
      </c>
      <c r="G2456" s="79" t="str">
        <f>B2449</f>
        <v>Gas turbine combined cycle</v>
      </c>
      <c r="H2456" s="79" t="str">
        <f>C2453</f>
        <v>CHP</v>
      </c>
      <c r="I2456" s="167" t="str">
        <f t="shared" si="119"/>
        <v>XS</v>
      </c>
      <c r="J2456" s="97">
        <v>5812.1348301240378</v>
      </c>
      <c r="K2456" s="97">
        <v>5812.1348301240378</v>
      </c>
      <c r="L2456" s="97">
        <v>5812.1348301240378</v>
      </c>
      <c r="M2456" s="97">
        <v>5812.1348301240378</v>
      </c>
      <c r="N2456" s="97">
        <v>5812.1348301240378</v>
      </c>
      <c r="O2456" s="97">
        <v>5812.1348301240378</v>
      </c>
      <c r="P2456" s="97">
        <v>5812.1348301240378</v>
      </c>
      <c r="Q2456" s="97">
        <v>5812.1348301240378</v>
      </c>
      <c r="R2456" s="97">
        <v>5812.1348301240378</v>
      </c>
      <c r="S2456" s="97">
        <v>5812.1348301240378</v>
      </c>
      <c r="T2456" s="97">
        <v>5812.1348301240378</v>
      </c>
      <c r="U2456" s="97">
        <v>5812.1348301240378</v>
      </c>
      <c r="V2456" s="97">
        <v>5812.1348301240378</v>
      </c>
      <c r="W2456" s="97">
        <v>5812.1348301240378</v>
      </c>
      <c r="X2456" s="97">
        <v>5812.1348301240378</v>
      </c>
      <c r="Y2456" s="97">
        <v>5812.1348301240378</v>
      </c>
      <c r="Z2456" s="97">
        <v>5812.1348301240378</v>
      </c>
      <c r="AA2456" s="97">
        <v>5812.1348301240378</v>
      </c>
      <c r="AB2456" s="97">
        <v>5812.1348301240378</v>
      </c>
      <c r="AC2456" s="97">
        <v>5812.1348301240378</v>
      </c>
      <c r="AD2456" s="97">
        <v>5812.1348301240378</v>
      </c>
      <c r="AE2456" s="97">
        <v>5812.1348301240378</v>
      </c>
      <c r="AF2456" s="97">
        <v>5812.1348301240378</v>
      </c>
      <c r="AG2456" s="97">
        <v>5812.1348301240378</v>
      </c>
      <c r="AH2456" s="97">
        <v>5812.1348301240378</v>
      </c>
      <c r="AI2456" s="97">
        <v>5812.1348301240378</v>
      </c>
      <c r="AJ2456" s="97">
        <v>5812.1348301240378</v>
      </c>
      <c r="AK2456" s="97">
        <v>5812.1348301240378</v>
      </c>
      <c r="AL2456" s="97">
        <v>5812.1348301240378</v>
      </c>
      <c r="AM2456" s="97">
        <v>5812.1348301240378</v>
      </c>
      <c r="AN2456" s="97">
        <v>5812.1348301240378</v>
      </c>
      <c r="AO2456" s="97">
        <v>5812.1348301240378</v>
      </c>
      <c r="AP2456" s="97">
        <v>5812.1348301240378</v>
      </c>
      <c r="AQ2456" s="97">
        <v>5812.1348301240378</v>
      </c>
      <c r="AR2456" s="97">
        <v>5812.1348301240378</v>
      </c>
      <c r="AS2456" s="97">
        <v>5812.1348301240378</v>
      </c>
      <c r="AT2456" s="97">
        <v>5812.1348301240378</v>
      </c>
      <c r="AU2456" s="97">
        <v>5812.1348301240378</v>
      </c>
      <c r="AV2456" s="97">
        <v>5812.1348301240378</v>
      </c>
      <c r="AW2456" s="97">
        <v>5812.1348301240378</v>
      </c>
      <c r="AX2456" s="98">
        <v>5812.1348301240378</v>
      </c>
    </row>
    <row r="2457" spans="1:50" x14ac:dyDescent="0.25">
      <c r="A2457" s="356"/>
      <c r="B2457" s="359"/>
      <c r="C2457" s="361" t="s">
        <v>15</v>
      </c>
      <c r="D2457" s="58" t="s">
        <v>7</v>
      </c>
      <c r="E2457" s="164" t="str">
        <f>A2449&amp;"/"&amp;B2449&amp;"/"&amp;C2457&amp;"/"&amp;D2457</f>
        <v>Gas fired power plants (Natural gas, biogas)/Gas turbine combined cycle/Electricity only with CCS/L</v>
      </c>
      <c r="F2457" s="78" t="str">
        <f>A2449</f>
        <v>Gas fired power plants (Natural gas, biogas)</v>
      </c>
      <c r="G2457" s="78" t="str">
        <f>B2449</f>
        <v>Gas turbine combined cycle</v>
      </c>
      <c r="H2457" s="78" t="str">
        <f>C2457</f>
        <v>Electricity only with CCS</v>
      </c>
      <c r="I2457" s="165" t="str">
        <f t="shared" si="119"/>
        <v>L</v>
      </c>
      <c r="J2457" s="95" t="s">
        <v>112</v>
      </c>
      <c r="K2457" s="95" t="s">
        <v>112</v>
      </c>
      <c r="L2457" s="95" t="s">
        <v>112</v>
      </c>
      <c r="M2457" s="95" t="s">
        <v>112</v>
      </c>
      <c r="N2457" s="95" t="s">
        <v>112</v>
      </c>
      <c r="O2457" s="95" t="s">
        <v>112</v>
      </c>
      <c r="P2457" s="95" t="s">
        <v>112</v>
      </c>
      <c r="Q2457" s="95" t="s">
        <v>112</v>
      </c>
      <c r="R2457" s="95" t="s">
        <v>112</v>
      </c>
      <c r="S2457" s="95" t="s">
        <v>112</v>
      </c>
      <c r="T2457" s="95" t="s">
        <v>112</v>
      </c>
      <c r="U2457" s="95" t="s">
        <v>112</v>
      </c>
      <c r="V2457" s="95" t="s">
        <v>112</v>
      </c>
      <c r="W2457" s="95" t="s">
        <v>112</v>
      </c>
      <c r="X2457" s="95" t="s">
        <v>112</v>
      </c>
      <c r="Y2457" s="95" t="s">
        <v>112</v>
      </c>
      <c r="Z2457" s="95" t="s">
        <v>112</v>
      </c>
      <c r="AA2457" s="95" t="s">
        <v>112</v>
      </c>
      <c r="AB2457" s="95" t="s">
        <v>112</v>
      </c>
      <c r="AC2457" s="95" t="s">
        <v>112</v>
      </c>
      <c r="AD2457" s="95" t="s">
        <v>112</v>
      </c>
      <c r="AE2457" s="95">
        <v>7000</v>
      </c>
      <c r="AF2457" s="95">
        <v>7000</v>
      </c>
      <c r="AG2457" s="95">
        <v>7000</v>
      </c>
      <c r="AH2457" s="95">
        <v>7000</v>
      </c>
      <c r="AI2457" s="95">
        <v>7000</v>
      </c>
      <c r="AJ2457" s="95">
        <v>7000</v>
      </c>
      <c r="AK2457" s="95">
        <v>7000</v>
      </c>
      <c r="AL2457" s="95">
        <v>7000</v>
      </c>
      <c r="AM2457" s="95">
        <v>7000</v>
      </c>
      <c r="AN2457" s="95">
        <v>7000</v>
      </c>
      <c r="AO2457" s="95">
        <v>7000</v>
      </c>
      <c r="AP2457" s="95">
        <v>7000</v>
      </c>
      <c r="AQ2457" s="95">
        <v>7000</v>
      </c>
      <c r="AR2457" s="95">
        <v>7000</v>
      </c>
      <c r="AS2457" s="95">
        <v>7000</v>
      </c>
      <c r="AT2457" s="95">
        <v>7000</v>
      </c>
      <c r="AU2457" s="95">
        <v>7000</v>
      </c>
      <c r="AV2457" s="95">
        <v>7000</v>
      </c>
      <c r="AW2457" s="95">
        <v>7000</v>
      </c>
      <c r="AX2457" s="96">
        <v>7000</v>
      </c>
    </row>
    <row r="2458" spans="1:50" x14ac:dyDescent="0.25">
      <c r="A2458" s="356"/>
      <c r="B2458" s="359"/>
      <c r="C2458" s="360"/>
      <c r="D2458" s="59" t="s">
        <v>8</v>
      </c>
      <c r="E2458" s="166" t="str">
        <f>A2449&amp;"/"&amp;B2449&amp;"/"&amp;C2457&amp;"/"&amp;D2458</f>
        <v>Gas fired power plants (Natural gas, biogas)/Gas turbine combined cycle/Electricity only with CCS/M</v>
      </c>
      <c r="F2458" s="79" t="str">
        <f>A2449</f>
        <v>Gas fired power plants (Natural gas, biogas)</v>
      </c>
      <c r="G2458" s="79" t="str">
        <f>B2449</f>
        <v>Gas turbine combined cycle</v>
      </c>
      <c r="H2458" s="79" t="str">
        <f>C2457</f>
        <v>Electricity only with CCS</v>
      </c>
      <c r="I2458" s="167" t="str">
        <f t="shared" si="119"/>
        <v>M</v>
      </c>
      <c r="J2458" s="97" t="s">
        <v>112</v>
      </c>
      <c r="K2458" s="97" t="s">
        <v>112</v>
      </c>
      <c r="L2458" s="97" t="s">
        <v>112</v>
      </c>
      <c r="M2458" s="97" t="s">
        <v>112</v>
      </c>
      <c r="N2458" s="97" t="s">
        <v>112</v>
      </c>
      <c r="O2458" s="97" t="s">
        <v>112</v>
      </c>
      <c r="P2458" s="97" t="s">
        <v>112</v>
      </c>
      <c r="Q2458" s="97" t="s">
        <v>112</v>
      </c>
      <c r="R2458" s="97" t="s">
        <v>112</v>
      </c>
      <c r="S2458" s="97" t="s">
        <v>112</v>
      </c>
      <c r="T2458" s="97" t="s">
        <v>112</v>
      </c>
      <c r="U2458" s="97" t="s">
        <v>112</v>
      </c>
      <c r="V2458" s="97" t="s">
        <v>112</v>
      </c>
      <c r="W2458" s="97" t="s">
        <v>112</v>
      </c>
      <c r="X2458" s="97" t="s">
        <v>112</v>
      </c>
      <c r="Y2458" s="97" t="s">
        <v>112</v>
      </c>
      <c r="Z2458" s="97" t="s">
        <v>112</v>
      </c>
      <c r="AA2458" s="97" t="s">
        <v>112</v>
      </c>
      <c r="AB2458" s="97" t="s">
        <v>112</v>
      </c>
      <c r="AC2458" s="97" t="s">
        <v>112</v>
      </c>
      <c r="AD2458" s="97" t="s">
        <v>112</v>
      </c>
      <c r="AE2458" s="97">
        <v>6694.467498530259</v>
      </c>
      <c r="AF2458" s="97">
        <v>6694.467498530259</v>
      </c>
      <c r="AG2458" s="97">
        <v>6694.467498530259</v>
      </c>
      <c r="AH2458" s="97">
        <v>6694.467498530259</v>
      </c>
      <c r="AI2458" s="97">
        <v>6694.467498530259</v>
      </c>
      <c r="AJ2458" s="97">
        <v>6694.467498530259</v>
      </c>
      <c r="AK2458" s="97">
        <v>6694.467498530259</v>
      </c>
      <c r="AL2458" s="97">
        <v>6694.467498530259</v>
      </c>
      <c r="AM2458" s="97">
        <v>6694.467498530259</v>
      </c>
      <c r="AN2458" s="97">
        <v>6694.467498530259</v>
      </c>
      <c r="AO2458" s="97">
        <v>6694.467498530259</v>
      </c>
      <c r="AP2458" s="97">
        <v>6694.467498530259</v>
      </c>
      <c r="AQ2458" s="97">
        <v>6694.467498530259</v>
      </c>
      <c r="AR2458" s="97">
        <v>6694.467498530259</v>
      </c>
      <c r="AS2458" s="97">
        <v>6694.467498530259</v>
      </c>
      <c r="AT2458" s="97">
        <v>6694.467498530259</v>
      </c>
      <c r="AU2458" s="97">
        <v>6694.467498530259</v>
      </c>
      <c r="AV2458" s="97">
        <v>6694.467498530259</v>
      </c>
      <c r="AW2458" s="97">
        <v>6694.467498530259</v>
      </c>
      <c r="AX2458" s="98">
        <v>6694.467498530259</v>
      </c>
    </row>
    <row r="2459" spans="1:50" x14ac:dyDescent="0.25">
      <c r="A2459" s="356"/>
      <c r="B2459" s="359"/>
      <c r="C2459" s="361" t="s">
        <v>16</v>
      </c>
      <c r="D2459" s="2" t="s">
        <v>7</v>
      </c>
      <c r="E2459" s="160" t="str">
        <f>A2449&amp;"/"&amp;B2449&amp;"/"&amp;C2459&amp;"/"&amp;D2459</f>
        <v>Gas fired power plants (Natural gas, biogas)/Gas turbine combined cycle/CHP with CCS/L</v>
      </c>
      <c r="F2459" s="76" t="str">
        <f>A2449</f>
        <v>Gas fired power plants (Natural gas, biogas)</v>
      </c>
      <c r="G2459" s="76" t="str">
        <f>B2449</f>
        <v>Gas turbine combined cycle</v>
      </c>
      <c r="H2459" s="76" t="str">
        <f>C2459</f>
        <v>CHP with CCS</v>
      </c>
      <c r="I2459" s="161" t="str">
        <f t="shared" si="119"/>
        <v>L</v>
      </c>
      <c r="J2459" s="91" t="s">
        <v>112</v>
      </c>
      <c r="K2459" s="91" t="s">
        <v>112</v>
      </c>
      <c r="L2459" s="91" t="s">
        <v>112</v>
      </c>
      <c r="M2459" s="91" t="s">
        <v>112</v>
      </c>
      <c r="N2459" s="91" t="s">
        <v>112</v>
      </c>
      <c r="O2459" s="91" t="s">
        <v>112</v>
      </c>
      <c r="P2459" s="91" t="s">
        <v>112</v>
      </c>
      <c r="Q2459" s="91" t="s">
        <v>112</v>
      </c>
      <c r="R2459" s="91" t="s">
        <v>112</v>
      </c>
      <c r="S2459" s="91" t="s">
        <v>112</v>
      </c>
      <c r="T2459" s="91" t="s">
        <v>112</v>
      </c>
      <c r="U2459" s="91" t="s">
        <v>112</v>
      </c>
      <c r="V2459" s="91" t="s">
        <v>112</v>
      </c>
      <c r="W2459" s="91" t="s">
        <v>112</v>
      </c>
      <c r="X2459" s="91" t="s">
        <v>112</v>
      </c>
      <c r="Y2459" s="91" t="s">
        <v>112</v>
      </c>
      <c r="Z2459" s="91" t="s">
        <v>112</v>
      </c>
      <c r="AA2459" s="91" t="s">
        <v>112</v>
      </c>
      <c r="AB2459" s="91" t="s">
        <v>112</v>
      </c>
      <c r="AC2459" s="91" t="s">
        <v>112</v>
      </c>
      <c r="AD2459" s="91" t="s">
        <v>112</v>
      </c>
      <c r="AE2459" s="91">
        <v>6650</v>
      </c>
      <c r="AF2459" s="91">
        <v>6650</v>
      </c>
      <c r="AG2459" s="91">
        <v>6650</v>
      </c>
      <c r="AH2459" s="91">
        <v>6650</v>
      </c>
      <c r="AI2459" s="91">
        <v>6650</v>
      </c>
      <c r="AJ2459" s="91">
        <v>6650</v>
      </c>
      <c r="AK2459" s="91">
        <v>6650</v>
      </c>
      <c r="AL2459" s="91">
        <v>6650</v>
      </c>
      <c r="AM2459" s="91">
        <v>6650</v>
      </c>
      <c r="AN2459" s="91">
        <v>6650</v>
      </c>
      <c r="AO2459" s="91">
        <v>6650</v>
      </c>
      <c r="AP2459" s="91">
        <v>6650</v>
      </c>
      <c r="AQ2459" s="91">
        <v>6650</v>
      </c>
      <c r="AR2459" s="91">
        <v>6650</v>
      </c>
      <c r="AS2459" s="91">
        <v>6650</v>
      </c>
      <c r="AT2459" s="91">
        <v>6650</v>
      </c>
      <c r="AU2459" s="91">
        <v>6650</v>
      </c>
      <c r="AV2459" s="91">
        <v>6650</v>
      </c>
      <c r="AW2459" s="91">
        <v>6650</v>
      </c>
      <c r="AX2459" s="92">
        <v>6650</v>
      </c>
    </row>
    <row r="2460" spans="1:50" x14ac:dyDescent="0.25">
      <c r="A2460" s="356"/>
      <c r="B2460" s="362"/>
      <c r="C2460" s="354"/>
      <c r="D2460" s="4" t="s">
        <v>8</v>
      </c>
      <c r="E2460" s="168" t="str">
        <f>A2449&amp;"/"&amp;B2449&amp;"/"&amp;C2459&amp;"/"&amp;D2460</f>
        <v>Gas fired power plants (Natural gas, biogas)/Gas turbine combined cycle/CHP with CCS/M</v>
      </c>
      <c r="F2460" s="80" t="str">
        <f>A2449</f>
        <v>Gas fired power plants (Natural gas, biogas)</v>
      </c>
      <c r="G2460" s="80" t="str">
        <f>B2449</f>
        <v>Gas turbine combined cycle</v>
      </c>
      <c r="H2460" s="80" t="str">
        <f>C2459</f>
        <v>CHP with CCS</v>
      </c>
      <c r="I2460" s="169" t="str">
        <f t="shared" si="119"/>
        <v>M</v>
      </c>
      <c r="J2460" s="99" t="s">
        <v>112</v>
      </c>
      <c r="K2460" s="99" t="s">
        <v>112</v>
      </c>
      <c r="L2460" s="99" t="s">
        <v>112</v>
      </c>
      <c r="M2460" s="99" t="s">
        <v>112</v>
      </c>
      <c r="N2460" s="99" t="s">
        <v>112</v>
      </c>
      <c r="O2460" s="99" t="s">
        <v>112</v>
      </c>
      <c r="P2460" s="99" t="s">
        <v>112</v>
      </c>
      <c r="Q2460" s="99" t="s">
        <v>112</v>
      </c>
      <c r="R2460" s="99" t="s">
        <v>112</v>
      </c>
      <c r="S2460" s="99" t="s">
        <v>112</v>
      </c>
      <c r="T2460" s="99" t="s">
        <v>112</v>
      </c>
      <c r="U2460" s="99" t="s">
        <v>112</v>
      </c>
      <c r="V2460" s="99" t="s">
        <v>112</v>
      </c>
      <c r="W2460" s="99" t="s">
        <v>112</v>
      </c>
      <c r="X2460" s="99" t="s">
        <v>112</v>
      </c>
      <c r="Y2460" s="99" t="s">
        <v>112</v>
      </c>
      <c r="Z2460" s="99" t="s">
        <v>112</v>
      </c>
      <c r="AA2460" s="99" t="s">
        <v>112</v>
      </c>
      <c r="AB2460" s="99" t="s">
        <v>112</v>
      </c>
      <c r="AC2460" s="99" t="s">
        <v>112</v>
      </c>
      <c r="AD2460" s="99" t="s">
        <v>112</v>
      </c>
      <c r="AE2460" s="99">
        <v>6359.7441236037457</v>
      </c>
      <c r="AF2460" s="99">
        <v>6359.7441236037457</v>
      </c>
      <c r="AG2460" s="99">
        <v>6359.7441236037457</v>
      </c>
      <c r="AH2460" s="99">
        <v>6359.7441236037457</v>
      </c>
      <c r="AI2460" s="99">
        <v>6359.7441236037457</v>
      </c>
      <c r="AJ2460" s="99">
        <v>6359.7441236037457</v>
      </c>
      <c r="AK2460" s="99">
        <v>6359.7441236037457</v>
      </c>
      <c r="AL2460" s="99">
        <v>6359.7441236037457</v>
      </c>
      <c r="AM2460" s="99">
        <v>6359.7441236037457</v>
      </c>
      <c r="AN2460" s="99">
        <v>6359.7441236037457</v>
      </c>
      <c r="AO2460" s="99">
        <v>6359.7441236037457</v>
      </c>
      <c r="AP2460" s="99">
        <v>6359.7441236037457</v>
      </c>
      <c r="AQ2460" s="99">
        <v>6359.7441236037457</v>
      </c>
      <c r="AR2460" s="99">
        <v>6359.7441236037457</v>
      </c>
      <c r="AS2460" s="99">
        <v>6359.7441236037457</v>
      </c>
      <c r="AT2460" s="99">
        <v>6359.7441236037457</v>
      </c>
      <c r="AU2460" s="99">
        <v>6359.7441236037457</v>
      </c>
      <c r="AV2460" s="99">
        <v>6359.7441236037457</v>
      </c>
      <c r="AW2460" s="99">
        <v>6359.7441236037457</v>
      </c>
      <c r="AX2460" s="100">
        <v>6359.7441236037457</v>
      </c>
    </row>
    <row r="2461" spans="1:50" x14ac:dyDescent="0.25">
      <c r="A2461" s="356"/>
      <c r="B2461" s="358" t="s">
        <v>24</v>
      </c>
      <c r="C2461" s="353" t="s">
        <v>6</v>
      </c>
      <c r="D2461" s="3" t="s">
        <v>8</v>
      </c>
      <c r="E2461" s="162" t="str">
        <f>A2449&amp;"/"&amp;B2461&amp;"/"&amp;C2461&amp;"/"&amp;D2461</f>
        <v>Gas fired power plants (Natural gas, biogas)/Gas turbine /Electricity only/M</v>
      </c>
      <c r="F2461" s="77" t="str">
        <f>A2449</f>
        <v>Gas fired power plants (Natural gas, biogas)</v>
      </c>
      <c r="G2461" s="77" t="str">
        <f>B2461</f>
        <v xml:space="preserve">Gas turbine </v>
      </c>
      <c r="H2461" s="77" t="str">
        <f>C2461</f>
        <v>Electricity only</v>
      </c>
      <c r="I2461" s="163" t="str">
        <f t="shared" si="119"/>
        <v>M</v>
      </c>
      <c r="J2461" s="93">
        <v>4000</v>
      </c>
      <c r="K2461" s="93">
        <v>4000</v>
      </c>
      <c r="L2461" s="93">
        <v>4000</v>
      </c>
      <c r="M2461" s="93">
        <v>4000</v>
      </c>
      <c r="N2461" s="93">
        <v>4000</v>
      </c>
      <c r="O2461" s="93">
        <v>4000</v>
      </c>
      <c r="P2461" s="93">
        <v>4000</v>
      </c>
      <c r="Q2461" s="93">
        <v>4000</v>
      </c>
      <c r="R2461" s="93">
        <v>4000</v>
      </c>
      <c r="S2461" s="93">
        <v>4000</v>
      </c>
      <c r="T2461" s="93">
        <v>4000</v>
      </c>
      <c r="U2461" s="93">
        <v>4000</v>
      </c>
      <c r="V2461" s="93">
        <v>4000</v>
      </c>
      <c r="W2461" s="93">
        <v>4000</v>
      </c>
      <c r="X2461" s="93">
        <v>4000</v>
      </c>
      <c r="Y2461" s="93">
        <v>4000</v>
      </c>
      <c r="Z2461" s="93">
        <v>4000</v>
      </c>
      <c r="AA2461" s="93">
        <v>4000</v>
      </c>
      <c r="AB2461" s="93">
        <v>4000</v>
      </c>
      <c r="AC2461" s="93">
        <v>4000</v>
      </c>
      <c r="AD2461" s="93">
        <v>4000</v>
      </c>
      <c r="AE2461" s="93">
        <v>4000</v>
      </c>
      <c r="AF2461" s="93">
        <v>4000</v>
      </c>
      <c r="AG2461" s="93">
        <v>4000</v>
      </c>
      <c r="AH2461" s="93">
        <v>4000</v>
      </c>
      <c r="AI2461" s="93">
        <v>4000</v>
      </c>
      <c r="AJ2461" s="93">
        <v>4000</v>
      </c>
      <c r="AK2461" s="93">
        <v>4000</v>
      </c>
      <c r="AL2461" s="93">
        <v>4000</v>
      </c>
      <c r="AM2461" s="93">
        <v>4000</v>
      </c>
      <c r="AN2461" s="93">
        <v>4000</v>
      </c>
      <c r="AO2461" s="93">
        <v>4000</v>
      </c>
      <c r="AP2461" s="93">
        <v>4000</v>
      </c>
      <c r="AQ2461" s="93">
        <v>4000</v>
      </c>
      <c r="AR2461" s="93">
        <v>4000</v>
      </c>
      <c r="AS2461" s="93">
        <v>4000</v>
      </c>
      <c r="AT2461" s="93">
        <v>4000</v>
      </c>
      <c r="AU2461" s="93">
        <v>4000</v>
      </c>
      <c r="AV2461" s="93">
        <v>4000</v>
      </c>
      <c r="AW2461" s="93">
        <v>4000</v>
      </c>
      <c r="AX2461" s="94">
        <v>4000</v>
      </c>
    </row>
    <row r="2462" spans="1:50" x14ac:dyDescent="0.25">
      <c r="A2462" s="356"/>
      <c r="B2462" s="359"/>
      <c r="C2462" s="350"/>
      <c r="D2462" s="2" t="s">
        <v>10</v>
      </c>
      <c r="E2462" s="160" t="str">
        <f>A2449&amp;"/"&amp;B2461&amp;"/"&amp;C2461&amp;"/"&amp;D2462</f>
        <v>Gas fired power plants (Natural gas, biogas)/Gas turbine /Electricity only/S</v>
      </c>
      <c r="F2462" s="76" t="str">
        <f>A2449</f>
        <v>Gas fired power plants (Natural gas, biogas)</v>
      </c>
      <c r="G2462" s="76" t="str">
        <f>B2461</f>
        <v xml:space="preserve">Gas turbine </v>
      </c>
      <c r="H2462" s="76" t="str">
        <f>C2461</f>
        <v>Electricity only</v>
      </c>
      <c r="I2462" s="161" t="str">
        <f t="shared" si="119"/>
        <v>S</v>
      </c>
      <c r="J2462" s="91">
        <v>2828.4271247461902</v>
      </c>
      <c r="K2462" s="91">
        <v>2828.4271247461902</v>
      </c>
      <c r="L2462" s="91">
        <v>2828.4271247461902</v>
      </c>
      <c r="M2462" s="91">
        <v>2828.4271247461902</v>
      </c>
      <c r="N2462" s="91">
        <v>2828.4271247461902</v>
      </c>
      <c r="O2462" s="91">
        <v>2828.4271247461902</v>
      </c>
      <c r="P2462" s="91">
        <v>2828.4271247461902</v>
      </c>
      <c r="Q2462" s="91">
        <v>2828.4271247461902</v>
      </c>
      <c r="R2462" s="91">
        <v>2828.4271247461902</v>
      </c>
      <c r="S2462" s="91">
        <v>2828.4271247461902</v>
      </c>
      <c r="T2462" s="91">
        <v>2828.4271247461902</v>
      </c>
      <c r="U2462" s="91">
        <v>2828.4271247461902</v>
      </c>
      <c r="V2462" s="91">
        <v>2828.4271247461902</v>
      </c>
      <c r="W2462" s="91">
        <v>2828.4271247461902</v>
      </c>
      <c r="X2462" s="91">
        <v>2828.4271247461902</v>
      </c>
      <c r="Y2462" s="91">
        <v>2828.4271247461902</v>
      </c>
      <c r="Z2462" s="91">
        <v>2828.4271247461902</v>
      </c>
      <c r="AA2462" s="91">
        <v>2828.4271247461902</v>
      </c>
      <c r="AB2462" s="91">
        <v>2828.4271247461902</v>
      </c>
      <c r="AC2462" s="91">
        <v>2828.4271247461902</v>
      </c>
      <c r="AD2462" s="91">
        <v>2828.4271247461902</v>
      </c>
      <c r="AE2462" s="91">
        <v>2828.4271247461902</v>
      </c>
      <c r="AF2462" s="91">
        <v>2828.4271247461902</v>
      </c>
      <c r="AG2462" s="91">
        <v>2828.4271247461902</v>
      </c>
      <c r="AH2462" s="91">
        <v>2828.4271247461902</v>
      </c>
      <c r="AI2462" s="91">
        <v>2828.4271247461902</v>
      </c>
      <c r="AJ2462" s="91">
        <v>2828.4271247461902</v>
      </c>
      <c r="AK2462" s="91">
        <v>2828.4271247461902</v>
      </c>
      <c r="AL2462" s="91">
        <v>2828.4271247461902</v>
      </c>
      <c r="AM2462" s="91">
        <v>2828.4271247461902</v>
      </c>
      <c r="AN2462" s="91">
        <v>2828.4271247461902</v>
      </c>
      <c r="AO2462" s="91">
        <v>2828.4271247461902</v>
      </c>
      <c r="AP2462" s="91">
        <v>2828.4271247461902</v>
      </c>
      <c r="AQ2462" s="91">
        <v>2828.4271247461902</v>
      </c>
      <c r="AR2462" s="91">
        <v>2828.4271247461902</v>
      </c>
      <c r="AS2462" s="91">
        <v>2828.4271247461902</v>
      </c>
      <c r="AT2462" s="91">
        <v>2828.4271247461902</v>
      </c>
      <c r="AU2462" s="91">
        <v>2828.4271247461902</v>
      </c>
      <c r="AV2462" s="91">
        <v>2828.4271247461902</v>
      </c>
      <c r="AW2462" s="91">
        <v>2828.4271247461902</v>
      </c>
      <c r="AX2462" s="92">
        <v>2828.4271247461902</v>
      </c>
    </row>
    <row r="2463" spans="1:50" x14ac:dyDescent="0.25">
      <c r="A2463" s="356"/>
      <c r="B2463" s="359"/>
      <c r="C2463" s="360"/>
      <c r="D2463" s="59" t="s">
        <v>20</v>
      </c>
      <c r="E2463" s="160" t="str">
        <f>A2449&amp;"/"&amp;B2461&amp;"/"&amp;C2461&amp;"/"&amp;D2463</f>
        <v>Gas fired power plants (Natural gas, biogas)/Gas turbine /Electricity only/XS</v>
      </c>
      <c r="F2463" s="76" t="str">
        <f>A2449</f>
        <v>Gas fired power plants (Natural gas, biogas)</v>
      </c>
      <c r="G2463" s="76" t="str">
        <f>B2461</f>
        <v xml:space="preserve">Gas turbine </v>
      </c>
      <c r="H2463" s="76" t="str">
        <f>C2461</f>
        <v>Electricity only</v>
      </c>
      <c r="I2463" s="161" t="str">
        <f t="shared" si="119"/>
        <v>XS</v>
      </c>
      <c r="J2463" s="91">
        <v>1151.4259016263247</v>
      </c>
      <c r="K2463" s="91">
        <v>1151.4259016263247</v>
      </c>
      <c r="L2463" s="91">
        <v>1151.4259016263247</v>
      </c>
      <c r="M2463" s="91">
        <v>1151.4259016263247</v>
      </c>
      <c r="N2463" s="91">
        <v>1151.4259016263247</v>
      </c>
      <c r="O2463" s="91">
        <v>1151.4259016263247</v>
      </c>
      <c r="P2463" s="91">
        <v>1151.4259016263247</v>
      </c>
      <c r="Q2463" s="91">
        <v>1151.4259016263247</v>
      </c>
      <c r="R2463" s="91">
        <v>1151.4259016263247</v>
      </c>
      <c r="S2463" s="91">
        <v>1151.4259016263247</v>
      </c>
      <c r="T2463" s="91">
        <v>1151.4259016263247</v>
      </c>
      <c r="U2463" s="91">
        <v>1151.4259016263247</v>
      </c>
      <c r="V2463" s="91">
        <v>1151.4259016263247</v>
      </c>
      <c r="W2463" s="91">
        <v>1151.4259016263247</v>
      </c>
      <c r="X2463" s="91">
        <v>1151.4259016263247</v>
      </c>
      <c r="Y2463" s="91">
        <v>1151.4259016263247</v>
      </c>
      <c r="Z2463" s="91">
        <v>1151.4259016263247</v>
      </c>
      <c r="AA2463" s="91">
        <v>1151.4259016263247</v>
      </c>
      <c r="AB2463" s="91">
        <v>1151.4259016263247</v>
      </c>
      <c r="AC2463" s="91">
        <v>1151.4259016263247</v>
      </c>
      <c r="AD2463" s="91">
        <v>1151.4259016263247</v>
      </c>
      <c r="AE2463" s="91">
        <v>1151.4259016263247</v>
      </c>
      <c r="AF2463" s="91">
        <v>1151.4259016263247</v>
      </c>
      <c r="AG2463" s="91">
        <v>1151.4259016263247</v>
      </c>
      <c r="AH2463" s="91">
        <v>1151.4259016263247</v>
      </c>
      <c r="AI2463" s="91">
        <v>1151.4259016263247</v>
      </c>
      <c r="AJ2463" s="91">
        <v>1151.4259016263247</v>
      </c>
      <c r="AK2463" s="91">
        <v>1151.4259016263247</v>
      </c>
      <c r="AL2463" s="91">
        <v>1151.4259016263247</v>
      </c>
      <c r="AM2463" s="91">
        <v>1151.4259016263247</v>
      </c>
      <c r="AN2463" s="91">
        <v>1151.4259016263247</v>
      </c>
      <c r="AO2463" s="91">
        <v>1151.4259016263247</v>
      </c>
      <c r="AP2463" s="91">
        <v>1151.4259016263247</v>
      </c>
      <c r="AQ2463" s="91">
        <v>1151.4259016263247</v>
      </c>
      <c r="AR2463" s="91">
        <v>1151.4259016263247</v>
      </c>
      <c r="AS2463" s="91">
        <v>1151.4259016263247</v>
      </c>
      <c r="AT2463" s="91">
        <v>1151.4259016263247</v>
      </c>
      <c r="AU2463" s="91">
        <v>1151.4259016263247</v>
      </c>
      <c r="AV2463" s="91">
        <v>1151.4259016263247</v>
      </c>
      <c r="AW2463" s="91">
        <v>1151.4259016263247</v>
      </c>
      <c r="AX2463" s="92">
        <v>1151.4259016263247</v>
      </c>
    </row>
    <row r="2464" spans="1:50" x14ac:dyDescent="0.25">
      <c r="A2464" s="356"/>
      <c r="B2464" s="359"/>
      <c r="C2464" s="361" t="s">
        <v>14</v>
      </c>
      <c r="D2464" s="2" t="s">
        <v>8</v>
      </c>
      <c r="E2464" s="164" t="str">
        <f>A2449&amp;"/"&amp;B2461&amp;"/"&amp;C2464&amp;"/"&amp;D2464</f>
        <v>Gas fired power plants (Natural gas, biogas)/Gas turbine /CHP/M</v>
      </c>
      <c r="F2464" s="78" t="str">
        <f>A2449</f>
        <v>Gas fired power plants (Natural gas, biogas)</v>
      </c>
      <c r="G2464" s="78" t="str">
        <f>B2461</f>
        <v xml:space="preserve">Gas turbine </v>
      </c>
      <c r="H2464" s="78" t="str">
        <f>C2464</f>
        <v>CHP</v>
      </c>
      <c r="I2464" s="165" t="str">
        <f t="shared" si="119"/>
        <v>M</v>
      </c>
      <c r="J2464" s="95">
        <v>4800</v>
      </c>
      <c r="K2464" s="95">
        <v>4800</v>
      </c>
      <c r="L2464" s="95">
        <v>4800</v>
      </c>
      <c r="M2464" s="95">
        <v>4800</v>
      </c>
      <c r="N2464" s="95">
        <v>4800</v>
      </c>
      <c r="O2464" s="95">
        <v>4800</v>
      </c>
      <c r="P2464" s="95">
        <v>4800</v>
      </c>
      <c r="Q2464" s="95">
        <v>4800</v>
      </c>
      <c r="R2464" s="95">
        <v>4800</v>
      </c>
      <c r="S2464" s="95">
        <v>4800</v>
      </c>
      <c r="T2464" s="95">
        <v>4800</v>
      </c>
      <c r="U2464" s="95">
        <v>4800</v>
      </c>
      <c r="V2464" s="95">
        <v>4800</v>
      </c>
      <c r="W2464" s="95">
        <v>4800</v>
      </c>
      <c r="X2464" s="95">
        <v>4800</v>
      </c>
      <c r="Y2464" s="95">
        <v>4800</v>
      </c>
      <c r="Z2464" s="95">
        <v>4800</v>
      </c>
      <c r="AA2464" s="95">
        <v>4800</v>
      </c>
      <c r="AB2464" s="95">
        <v>4800</v>
      </c>
      <c r="AC2464" s="95">
        <v>4800</v>
      </c>
      <c r="AD2464" s="95">
        <v>4800</v>
      </c>
      <c r="AE2464" s="95">
        <v>4800</v>
      </c>
      <c r="AF2464" s="95">
        <v>4800</v>
      </c>
      <c r="AG2464" s="95">
        <v>4800</v>
      </c>
      <c r="AH2464" s="95">
        <v>4800</v>
      </c>
      <c r="AI2464" s="95">
        <v>4800</v>
      </c>
      <c r="AJ2464" s="95">
        <v>4800</v>
      </c>
      <c r="AK2464" s="95">
        <v>4800</v>
      </c>
      <c r="AL2464" s="95">
        <v>4800</v>
      </c>
      <c r="AM2464" s="95">
        <v>4800</v>
      </c>
      <c r="AN2464" s="95">
        <v>4800</v>
      </c>
      <c r="AO2464" s="95">
        <v>4800</v>
      </c>
      <c r="AP2464" s="95">
        <v>4800</v>
      </c>
      <c r="AQ2464" s="95">
        <v>4800</v>
      </c>
      <c r="AR2464" s="95">
        <v>4800</v>
      </c>
      <c r="AS2464" s="95">
        <v>4800</v>
      </c>
      <c r="AT2464" s="95">
        <v>4800</v>
      </c>
      <c r="AU2464" s="95">
        <v>4800</v>
      </c>
      <c r="AV2464" s="95">
        <v>4800</v>
      </c>
      <c r="AW2464" s="95">
        <v>4800</v>
      </c>
      <c r="AX2464" s="96">
        <v>4800</v>
      </c>
    </row>
    <row r="2465" spans="1:50" x14ac:dyDescent="0.25">
      <c r="A2465" s="356"/>
      <c r="B2465" s="359"/>
      <c r="C2465" s="350"/>
      <c r="D2465" s="2" t="s">
        <v>10</v>
      </c>
      <c r="E2465" s="160" t="str">
        <f>A2449&amp;"/"&amp;B2461&amp;"/"&amp;C2464&amp;"/"&amp;D2465</f>
        <v>Gas fired power plants (Natural gas, biogas)/Gas turbine /CHP/S</v>
      </c>
      <c r="F2465" s="76" t="str">
        <f>A2449</f>
        <v>Gas fired power plants (Natural gas, biogas)</v>
      </c>
      <c r="G2465" s="76" t="str">
        <f>B2461</f>
        <v xml:space="preserve">Gas turbine </v>
      </c>
      <c r="H2465" s="76" t="str">
        <f>C2464</f>
        <v>CHP</v>
      </c>
      <c r="I2465" s="161" t="str">
        <f t="shared" si="119"/>
        <v>S</v>
      </c>
      <c r="J2465" s="91">
        <v>4293.2505167995969</v>
      </c>
      <c r="K2465" s="91">
        <v>4293.2505167995969</v>
      </c>
      <c r="L2465" s="91">
        <v>4293.2505167995969</v>
      </c>
      <c r="M2465" s="91">
        <v>4293.2505167995969</v>
      </c>
      <c r="N2465" s="91">
        <v>4293.2505167995969</v>
      </c>
      <c r="O2465" s="91">
        <v>4293.2505167995969</v>
      </c>
      <c r="P2465" s="91">
        <v>4293.2505167995969</v>
      </c>
      <c r="Q2465" s="91">
        <v>4293.2505167995969</v>
      </c>
      <c r="R2465" s="91">
        <v>4293.2505167995969</v>
      </c>
      <c r="S2465" s="91">
        <v>4293.2505167995969</v>
      </c>
      <c r="T2465" s="91">
        <v>4293.2505167995969</v>
      </c>
      <c r="U2465" s="91">
        <v>4293.2505167995969</v>
      </c>
      <c r="V2465" s="91">
        <v>4293.2505167995969</v>
      </c>
      <c r="W2465" s="91">
        <v>4293.2505167995969</v>
      </c>
      <c r="X2465" s="91">
        <v>4293.2505167995969</v>
      </c>
      <c r="Y2465" s="91">
        <v>4293.2505167995969</v>
      </c>
      <c r="Z2465" s="91">
        <v>4293.2505167995969</v>
      </c>
      <c r="AA2465" s="91">
        <v>4293.2505167995969</v>
      </c>
      <c r="AB2465" s="91">
        <v>4293.2505167995969</v>
      </c>
      <c r="AC2465" s="91">
        <v>4293.2505167995969</v>
      </c>
      <c r="AD2465" s="91">
        <v>4293.2505167995969</v>
      </c>
      <c r="AE2465" s="91">
        <v>4293.2505167995969</v>
      </c>
      <c r="AF2465" s="91">
        <v>4293.2505167995969</v>
      </c>
      <c r="AG2465" s="91">
        <v>4293.2505167995969</v>
      </c>
      <c r="AH2465" s="91">
        <v>4293.2505167995969</v>
      </c>
      <c r="AI2465" s="91">
        <v>4293.2505167995969</v>
      </c>
      <c r="AJ2465" s="91">
        <v>4293.2505167995969</v>
      </c>
      <c r="AK2465" s="91">
        <v>4293.2505167995969</v>
      </c>
      <c r="AL2465" s="91">
        <v>4293.2505167995969</v>
      </c>
      <c r="AM2465" s="91">
        <v>4293.2505167995969</v>
      </c>
      <c r="AN2465" s="91">
        <v>4293.2505167995969</v>
      </c>
      <c r="AO2465" s="91">
        <v>4293.2505167995969</v>
      </c>
      <c r="AP2465" s="91">
        <v>4293.2505167995969</v>
      </c>
      <c r="AQ2465" s="91">
        <v>4293.2505167995969</v>
      </c>
      <c r="AR2465" s="91">
        <v>4293.2505167995969</v>
      </c>
      <c r="AS2465" s="91">
        <v>4293.2505167995969</v>
      </c>
      <c r="AT2465" s="91">
        <v>4293.2505167995969</v>
      </c>
      <c r="AU2465" s="91">
        <v>4293.2505167995969</v>
      </c>
      <c r="AV2465" s="91">
        <v>4293.2505167995969</v>
      </c>
      <c r="AW2465" s="91">
        <v>4293.2505167995969</v>
      </c>
      <c r="AX2465" s="92">
        <v>4293.2505167995969</v>
      </c>
    </row>
    <row r="2466" spans="1:50" x14ac:dyDescent="0.25">
      <c r="A2466" s="356"/>
      <c r="B2466" s="362"/>
      <c r="C2466" s="354"/>
      <c r="D2466" s="4" t="s">
        <v>20</v>
      </c>
      <c r="E2466" s="168" t="str">
        <f>A2449&amp;"/"&amp;B2461&amp;"/"&amp;C2464&amp;"/"&amp;D2466</f>
        <v>Gas fired power plants (Natural gas, biogas)/Gas turbine /CHP/XS</v>
      </c>
      <c r="F2466" s="80" t="str">
        <f>A2449</f>
        <v>Gas fired power plants (Natural gas, biogas)</v>
      </c>
      <c r="G2466" s="80" t="str">
        <f>B2461</f>
        <v xml:space="preserve">Gas turbine </v>
      </c>
      <c r="H2466" s="80" t="str">
        <f>C2464</f>
        <v>CHP</v>
      </c>
      <c r="I2466" s="169" t="str">
        <f t="shared" si="119"/>
        <v>XS</v>
      </c>
      <c r="J2466" s="99">
        <v>1295.3115337666209</v>
      </c>
      <c r="K2466" s="99">
        <v>1295.3115337666209</v>
      </c>
      <c r="L2466" s="99">
        <v>1295.3115337666209</v>
      </c>
      <c r="M2466" s="99">
        <v>1295.3115337666209</v>
      </c>
      <c r="N2466" s="99">
        <v>1295.3115337666209</v>
      </c>
      <c r="O2466" s="99">
        <v>1295.3115337666209</v>
      </c>
      <c r="P2466" s="99">
        <v>1295.3115337666209</v>
      </c>
      <c r="Q2466" s="99">
        <v>1295.3115337666209</v>
      </c>
      <c r="R2466" s="99">
        <v>1295.3115337666209</v>
      </c>
      <c r="S2466" s="99">
        <v>1295.3115337666209</v>
      </c>
      <c r="T2466" s="99">
        <v>1295.3115337666209</v>
      </c>
      <c r="U2466" s="99">
        <v>1295.3115337666209</v>
      </c>
      <c r="V2466" s="99">
        <v>1295.3115337666209</v>
      </c>
      <c r="W2466" s="99">
        <v>1295.3115337666209</v>
      </c>
      <c r="X2466" s="99">
        <v>1295.3115337666209</v>
      </c>
      <c r="Y2466" s="99">
        <v>1295.3115337666209</v>
      </c>
      <c r="Z2466" s="99">
        <v>1295.3115337666209</v>
      </c>
      <c r="AA2466" s="99">
        <v>1295.3115337666209</v>
      </c>
      <c r="AB2466" s="99">
        <v>1295.3115337666209</v>
      </c>
      <c r="AC2466" s="99">
        <v>1295.3115337666209</v>
      </c>
      <c r="AD2466" s="99">
        <v>1295.3115337666209</v>
      </c>
      <c r="AE2466" s="99">
        <v>1295.3115337666209</v>
      </c>
      <c r="AF2466" s="99">
        <v>1295.3115337666209</v>
      </c>
      <c r="AG2466" s="99">
        <v>1295.3115337666209</v>
      </c>
      <c r="AH2466" s="99">
        <v>1295.3115337666209</v>
      </c>
      <c r="AI2466" s="99">
        <v>1295.3115337666209</v>
      </c>
      <c r="AJ2466" s="99">
        <v>1295.3115337666209</v>
      </c>
      <c r="AK2466" s="99">
        <v>1295.3115337666209</v>
      </c>
      <c r="AL2466" s="99">
        <v>1295.3115337666209</v>
      </c>
      <c r="AM2466" s="99">
        <v>1295.3115337666209</v>
      </c>
      <c r="AN2466" s="99">
        <v>1295.3115337666209</v>
      </c>
      <c r="AO2466" s="99">
        <v>1295.3115337666209</v>
      </c>
      <c r="AP2466" s="99">
        <v>1295.3115337666209</v>
      </c>
      <c r="AQ2466" s="99">
        <v>1295.3115337666209</v>
      </c>
      <c r="AR2466" s="99">
        <v>1295.3115337666209</v>
      </c>
      <c r="AS2466" s="99">
        <v>1295.3115337666209</v>
      </c>
      <c r="AT2466" s="99">
        <v>1295.3115337666209</v>
      </c>
      <c r="AU2466" s="99">
        <v>1295.3115337666209</v>
      </c>
      <c r="AV2466" s="99">
        <v>1295.3115337666209</v>
      </c>
      <c r="AW2466" s="99">
        <v>1295.3115337666209</v>
      </c>
      <c r="AX2466" s="100">
        <v>1295.3115337666209</v>
      </c>
    </row>
    <row r="2467" spans="1:50" x14ac:dyDescent="0.25">
      <c r="A2467" s="356"/>
      <c r="B2467" s="358" t="s">
        <v>19</v>
      </c>
      <c r="C2467" s="353" t="s">
        <v>6</v>
      </c>
      <c r="D2467" s="3" t="s">
        <v>7</v>
      </c>
      <c r="E2467" s="162" t="str">
        <f>A2449&amp;"/"&amp;B2467&amp;"/"&amp;C2467&amp;"/"&amp;D2467</f>
        <v>Gas fired power plants (Natural gas, biogas)/Steam turbine/Electricity only/L</v>
      </c>
      <c r="F2467" s="77" t="str">
        <f>A2449</f>
        <v>Gas fired power plants (Natural gas, biogas)</v>
      </c>
      <c r="G2467" s="77" t="str">
        <f>B2467</f>
        <v>Steam turbine</v>
      </c>
      <c r="H2467" s="77" t="str">
        <f>C2467</f>
        <v>Electricity only</v>
      </c>
      <c r="I2467" s="163" t="str">
        <f t="shared" si="119"/>
        <v>L</v>
      </c>
      <c r="J2467" s="93">
        <v>7250</v>
      </c>
      <c r="K2467" s="93">
        <v>7250</v>
      </c>
      <c r="L2467" s="93">
        <v>7250</v>
      </c>
      <c r="M2467" s="93">
        <v>7250</v>
      </c>
      <c r="N2467" s="93">
        <v>7250</v>
      </c>
      <c r="O2467" s="93">
        <v>7250</v>
      </c>
      <c r="P2467" s="93">
        <v>7250</v>
      </c>
      <c r="Q2467" s="93">
        <v>7250</v>
      </c>
      <c r="R2467" s="93">
        <v>7250</v>
      </c>
      <c r="S2467" s="93">
        <v>7250</v>
      </c>
      <c r="T2467" s="93">
        <v>7250</v>
      </c>
      <c r="U2467" s="93">
        <v>7250</v>
      </c>
      <c r="V2467" s="93">
        <v>7250</v>
      </c>
      <c r="W2467" s="93">
        <v>7250</v>
      </c>
      <c r="X2467" s="93">
        <v>7250</v>
      </c>
      <c r="Y2467" s="93">
        <v>7250</v>
      </c>
      <c r="Z2467" s="93">
        <v>7250</v>
      </c>
      <c r="AA2467" s="93">
        <v>7250</v>
      </c>
      <c r="AB2467" s="93">
        <v>7250</v>
      </c>
      <c r="AC2467" s="93">
        <v>7250</v>
      </c>
      <c r="AD2467" s="93">
        <v>7250</v>
      </c>
      <c r="AE2467" s="93">
        <v>7250</v>
      </c>
      <c r="AF2467" s="93">
        <v>7250</v>
      </c>
      <c r="AG2467" s="93">
        <v>7250</v>
      </c>
      <c r="AH2467" s="93">
        <v>7250</v>
      </c>
      <c r="AI2467" s="93">
        <v>7250</v>
      </c>
      <c r="AJ2467" s="93">
        <v>7250</v>
      </c>
      <c r="AK2467" s="93">
        <v>7250</v>
      </c>
      <c r="AL2467" s="93">
        <v>7250</v>
      </c>
      <c r="AM2467" s="93">
        <v>7250</v>
      </c>
      <c r="AN2467" s="93">
        <v>7250</v>
      </c>
      <c r="AO2467" s="93">
        <v>7250</v>
      </c>
      <c r="AP2467" s="93">
        <v>7250</v>
      </c>
      <c r="AQ2467" s="93">
        <v>7250</v>
      </c>
      <c r="AR2467" s="93">
        <v>7250</v>
      </c>
      <c r="AS2467" s="93">
        <v>7250</v>
      </c>
      <c r="AT2467" s="93">
        <v>7250</v>
      </c>
      <c r="AU2467" s="93">
        <v>7250</v>
      </c>
      <c r="AV2467" s="93">
        <v>7250</v>
      </c>
      <c r="AW2467" s="93">
        <v>7250</v>
      </c>
      <c r="AX2467" s="94">
        <v>7250</v>
      </c>
    </row>
    <row r="2468" spans="1:50" x14ac:dyDescent="0.25">
      <c r="A2468" s="356"/>
      <c r="B2468" s="359"/>
      <c r="C2468" s="350"/>
      <c r="D2468" s="2" t="s">
        <v>8</v>
      </c>
      <c r="E2468" s="160" t="str">
        <f>A2449&amp;"/"&amp;B2467&amp;"/"&amp;C2467&amp;"/"&amp;D2468</f>
        <v>Gas fired power plants (Natural gas, biogas)/Steam turbine/Electricity only/M</v>
      </c>
      <c r="F2468" s="76" t="str">
        <f>A2449</f>
        <v>Gas fired power plants (Natural gas, biogas)</v>
      </c>
      <c r="G2468" s="76" t="str">
        <f>B2467</f>
        <v>Steam turbine</v>
      </c>
      <c r="H2468" s="76" t="str">
        <f>C2467</f>
        <v>Electricity only</v>
      </c>
      <c r="I2468" s="161" t="str">
        <f t="shared" si="119"/>
        <v>M</v>
      </c>
      <c r="J2468" s="91">
        <v>6933.5556234777687</v>
      </c>
      <c r="K2468" s="91">
        <v>6933.5556234777687</v>
      </c>
      <c r="L2468" s="91">
        <v>6933.5556234777687</v>
      </c>
      <c r="M2468" s="91">
        <v>6933.5556234777687</v>
      </c>
      <c r="N2468" s="91">
        <v>6933.5556234777687</v>
      </c>
      <c r="O2468" s="91">
        <v>6933.5556234777687</v>
      </c>
      <c r="P2468" s="91">
        <v>6933.5556234777687</v>
      </c>
      <c r="Q2468" s="91">
        <v>6933.5556234777687</v>
      </c>
      <c r="R2468" s="91">
        <v>6933.5556234777687</v>
      </c>
      <c r="S2468" s="91">
        <v>6933.5556234777687</v>
      </c>
      <c r="T2468" s="91">
        <v>6933.5556234777687</v>
      </c>
      <c r="U2468" s="91">
        <v>6933.5556234777687</v>
      </c>
      <c r="V2468" s="91">
        <v>6933.5556234777687</v>
      </c>
      <c r="W2468" s="91">
        <v>6933.5556234777687</v>
      </c>
      <c r="X2468" s="91">
        <v>6933.5556234777687</v>
      </c>
      <c r="Y2468" s="91">
        <v>6933.5556234777687</v>
      </c>
      <c r="Z2468" s="91">
        <v>6933.5556234777687</v>
      </c>
      <c r="AA2468" s="91">
        <v>6933.5556234777687</v>
      </c>
      <c r="AB2468" s="91">
        <v>6933.5556234777687</v>
      </c>
      <c r="AC2468" s="91">
        <v>6933.5556234777687</v>
      </c>
      <c r="AD2468" s="91">
        <v>6933.5556234777687</v>
      </c>
      <c r="AE2468" s="91">
        <v>6933.5556234777687</v>
      </c>
      <c r="AF2468" s="91">
        <v>6933.5556234777687</v>
      </c>
      <c r="AG2468" s="91">
        <v>6933.5556234777687</v>
      </c>
      <c r="AH2468" s="91">
        <v>6933.5556234777687</v>
      </c>
      <c r="AI2468" s="91">
        <v>6933.5556234777687</v>
      </c>
      <c r="AJ2468" s="91">
        <v>6933.5556234777687</v>
      </c>
      <c r="AK2468" s="91">
        <v>6933.5556234777687</v>
      </c>
      <c r="AL2468" s="91">
        <v>6933.5556234777687</v>
      </c>
      <c r="AM2468" s="91">
        <v>6933.5556234777687</v>
      </c>
      <c r="AN2468" s="91">
        <v>6933.5556234777687</v>
      </c>
      <c r="AO2468" s="91">
        <v>6933.5556234777687</v>
      </c>
      <c r="AP2468" s="91">
        <v>6933.5556234777687</v>
      </c>
      <c r="AQ2468" s="91">
        <v>6933.5556234777687</v>
      </c>
      <c r="AR2468" s="91">
        <v>6933.5556234777687</v>
      </c>
      <c r="AS2468" s="91">
        <v>6933.5556234777687</v>
      </c>
      <c r="AT2468" s="91">
        <v>6933.5556234777687</v>
      </c>
      <c r="AU2468" s="91">
        <v>6933.5556234777687</v>
      </c>
      <c r="AV2468" s="91">
        <v>6933.5556234777687</v>
      </c>
      <c r="AW2468" s="91">
        <v>6933.5556234777687</v>
      </c>
      <c r="AX2468" s="92">
        <v>6933.5556234777687</v>
      </c>
    </row>
    <row r="2469" spans="1:50" x14ac:dyDescent="0.25">
      <c r="A2469" s="356"/>
      <c r="B2469" s="359"/>
      <c r="C2469" s="350"/>
      <c r="D2469" s="2" t="s">
        <v>10</v>
      </c>
      <c r="E2469" s="160" t="str">
        <f>A2449&amp;"/"&amp;B2467&amp;"/"&amp;C2467&amp;"/"&amp;D2469</f>
        <v>Gas fired power plants (Natural gas, biogas)/Steam turbine/Electricity only/S</v>
      </c>
      <c r="F2469" s="76" t="str">
        <f>A2449</f>
        <v>Gas fired power plants (Natural gas, biogas)</v>
      </c>
      <c r="G2469" s="76" t="str">
        <f>B2467</f>
        <v>Steam turbine</v>
      </c>
      <c r="H2469" s="76" t="str">
        <f>C2467</f>
        <v>Electricity only</v>
      </c>
      <c r="I2469" s="161" t="str">
        <f t="shared" si="119"/>
        <v>S</v>
      </c>
      <c r="J2469" s="91">
        <v>6545.8832729938995</v>
      </c>
      <c r="K2469" s="91">
        <v>6545.8832729938995</v>
      </c>
      <c r="L2469" s="91">
        <v>6545.8832729938995</v>
      </c>
      <c r="M2469" s="91">
        <v>6545.8832729938995</v>
      </c>
      <c r="N2469" s="91">
        <v>6545.8832729938995</v>
      </c>
      <c r="O2469" s="91">
        <v>6545.8832729938995</v>
      </c>
      <c r="P2469" s="91">
        <v>6545.8832729938995</v>
      </c>
      <c r="Q2469" s="91">
        <v>6545.8832729938995</v>
      </c>
      <c r="R2469" s="91">
        <v>6545.8832729938995</v>
      </c>
      <c r="S2469" s="91">
        <v>6545.8832729938995</v>
      </c>
      <c r="T2469" s="91">
        <v>6545.8832729938995</v>
      </c>
      <c r="U2469" s="91">
        <v>6545.8832729938995</v>
      </c>
      <c r="V2469" s="91">
        <v>6545.8832729938995</v>
      </c>
      <c r="W2469" s="91">
        <v>6545.8832729938995</v>
      </c>
      <c r="X2469" s="91">
        <v>6545.8832729938995</v>
      </c>
      <c r="Y2469" s="91">
        <v>6545.8832729938995</v>
      </c>
      <c r="Z2469" s="91">
        <v>6545.8832729938995</v>
      </c>
      <c r="AA2469" s="91">
        <v>6545.8832729938995</v>
      </c>
      <c r="AB2469" s="91">
        <v>6545.8832729938995</v>
      </c>
      <c r="AC2469" s="91">
        <v>6545.8832729938995</v>
      </c>
      <c r="AD2469" s="91">
        <v>6545.8832729938995</v>
      </c>
      <c r="AE2469" s="91">
        <v>6545.8832729938995</v>
      </c>
      <c r="AF2469" s="91">
        <v>6545.8832729938995</v>
      </c>
      <c r="AG2469" s="91">
        <v>6545.8832729938995</v>
      </c>
      <c r="AH2469" s="91">
        <v>6545.8832729938995</v>
      </c>
      <c r="AI2469" s="91">
        <v>6545.8832729938995</v>
      </c>
      <c r="AJ2469" s="91">
        <v>6545.8832729938995</v>
      </c>
      <c r="AK2469" s="91">
        <v>6545.8832729938995</v>
      </c>
      <c r="AL2469" s="91">
        <v>6545.8832729938995</v>
      </c>
      <c r="AM2469" s="91">
        <v>6545.8832729938995</v>
      </c>
      <c r="AN2469" s="91">
        <v>6545.8832729938995</v>
      </c>
      <c r="AO2469" s="91">
        <v>6545.8832729938995</v>
      </c>
      <c r="AP2469" s="91">
        <v>6545.8832729938995</v>
      </c>
      <c r="AQ2469" s="91">
        <v>6545.8832729938995</v>
      </c>
      <c r="AR2469" s="91">
        <v>6545.8832729938995</v>
      </c>
      <c r="AS2469" s="91">
        <v>6545.8832729938995</v>
      </c>
      <c r="AT2469" s="91">
        <v>6545.8832729938995</v>
      </c>
      <c r="AU2469" s="91">
        <v>6545.8832729938995</v>
      </c>
      <c r="AV2469" s="91">
        <v>6545.8832729938995</v>
      </c>
      <c r="AW2469" s="91">
        <v>6545.8832729938995</v>
      </c>
      <c r="AX2469" s="92">
        <v>6545.8832729938995</v>
      </c>
    </row>
    <row r="2470" spans="1:50" x14ac:dyDescent="0.25">
      <c r="A2470" s="356"/>
      <c r="B2470" s="359"/>
      <c r="C2470" s="360"/>
      <c r="D2470" s="2" t="s">
        <v>20</v>
      </c>
      <c r="E2470" s="160" t="str">
        <f>A2449&amp;"/"&amp;B2467&amp;"/"&amp;C2467&amp;"/"&amp;D2470</f>
        <v>Gas fired power plants (Natural gas, biogas)/Steam turbine/Electricity only/XS</v>
      </c>
      <c r="F2470" s="76" t="str">
        <f>A2449</f>
        <v>Gas fired power plants (Natural gas, biogas)</v>
      </c>
      <c r="G2470" s="76" t="str">
        <f>B2467</f>
        <v>Steam turbine</v>
      </c>
      <c r="H2470" s="76" t="str">
        <f>C2467</f>
        <v>Electricity only</v>
      </c>
      <c r="I2470" s="161" t="str">
        <f t="shared" si="119"/>
        <v>XS</v>
      </c>
      <c r="J2470" s="91">
        <v>6336.5379726916208</v>
      </c>
      <c r="K2470" s="91">
        <v>6336.5379726916208</v>
      </c>
      <c r="L2470" s="91">
        <v>6336.5379726916208</v>
      </c>
      <c r="M2470" s="91">
        <v>6336.5379726916208</v>
      </c>
      <c r="N2470" s="91">
        <v>6336.5379726916208</v>
      </c>
      <c r="O2470" s="91">
        <v>6336.5379726916208</v>
      </c>
      <c r="P2470" s="91">
        <v>6336.5379726916208</v>
      </c>
      <c r="Q2470" s="91">
        <v>6336.5379726916208</v>
      </c>
      <c r="R2470" s="91">
        <v>6336.5379726916208</v>
      </c>
      <c r="S2470" s="91">
        <v>6336.5379726916208</v>
      </c>
      <c r="T2470" s="91">
        <v>6336.5379726916208</v>
      </c>
      <c r="U2470" s="91">
        <v>6336.5379726916208</v>
      </c>
      <c r="V2470" s="91">
        <v>6336.5379726916208</v>
      </c>
      <c r="W2470" s="91">
        <v>6336.5379726916208</v>
      </c>
      <c r="X2470" s="91">
        <v>6336.5379726916208</v>
      </c>
      <c r="Y2470" s="91">
        <v>6336.5379726916208</v>
      </c>
      <c r="Z2470" s="91">
        <v>6336.5379726916208</v>
      </c>
      <c r="AA2470" s="91">
        <v>6336.5379726916208</v>
      </c>
      <c r="AB2470" s="91">
        <v>6336.5379726916208</v>
      </c>
      <c r="AC2470" s="91">
        <v>6336.5379726916208</v>
      </c>
      <c r="AD2470" s="91">
        <v>6336.5379726916208</v>
      </c>
      <c r="AE2470" s="91">
        <v>6336.5379726916208</v>
      </c>
      <c r="AF2470" s="91">
        <v>6336.5379726916208</v>
      </c>
      <c r="AG2470" s="91">
        <v>6336.5379726916208</v>
      </c>
      <c r="AH2470" s="91">
        <v>6336.5379726916208</v>
      </c>
      <c r="AI2470" s="91">
        <v>6336.5379726916208</v>
      </c>
      <c r="AJ2470" s="91">
        <v>6336.5379726916208</v>
      </c>
      <c r="AK2470" s="91">
        <v>6336.5379726916208</v>
      </c>
      <c r="AL2470" s="91">
        <v>6336.5379726916208</v>
      </c>
      <c r="AM2470" s="91">
        <v>6336.5379726916208</v>
      </c>
      <c r="AN2470" s="91">
        <v>6336.5379726916208</v>
      </c>
      <c r="AO2470" s="91">
        <v>6336.5379726916208</v>
      </c>
      <c r="AP2470" s="91">
        <v>6336.5379726916208</v>
      </c>
      <c r="AQ2470" s="91">
        <v>6336.5379726916208</v>
      </c>
      <c r="AR2470" s="91">
        <v>6336.5379726916208</v>
      </c>
      <c r="AS2470" s="91">
        <v>6336.5379726916208</v>
      </c>
      <c r="AT2470" s="91">
        <v>6336.5379726916208</v>
      </c>
      <c r="AU2470" s="91">
        <v>6336.5379726916208</v>
      </c>
      <c r="AV2470" s="91">
        <v>6336.5379726916208</v>
      </c>
      <c r="AW2470" s="91">
        <v>6336.5379726916208</v>
      </c>
      <c r="AX2470" s="92">
        <v>6336.5379726916208</v>
      </c>
    </row>
    <row r="2471" spans="1:50" x14ac:dyDescent="0.25">
      <c r="A2471" s="356"/>
      <c r="B2471" s="359"/>
      <c r="C2471" s="361" t="s">
        <v>14</v>
      </c>
      <c r="D2471" s="58" t="s">
        <v>7</v>
      </c>
      <c r="E2471" s="164" t="str">
        <f>A2449&amp;"/"&amp;B2467&amp;"/"&amp;C2471&amp;"/"&amp;D2471</f>
        <v>Gas fired power plants (Natural gas, biogas)/Steam turbine/CHP/L</v>
      </c>
      <c r="F2471" s="78" t="str">
        <f>A2449</f>
        <v>Gas fired power plants (Natural gas, biogas)</v>
      </c>
      <c r="G2471" s="78" t="str">
        <f>B2467</f>
        <v>Steam turbine</v>
      </c>
      <c r="H2471" s="78" t="str">
        <f>C2471</f>
        <v>CHP</v>
      </c>
      <c r="I2471" s="165" t="str">
        <f t="shared" si="119"/>
        <v>L</v>
      </c>
      <c r="J2471" s="95">
        <v>6887.5</v>
      </c>
      <c r="K2471" s="95">
        <v>6887.5</v>
      </c>
      <c r="L2471" s="95">
        <v>6887.5</v>
      </c>
      <c r="M2471" s="95">
        <v>6887.5</v>
      </c>
      <c r="N2471" s="95">
        <v>6887.5</v>
      </c>
      <c r="O2471" s="95">
        <v>6887.5</v>
      </c>
      <c r="P2471" s="95">
        <v>6887.5</v>
      </c>
      <c r="Q2471" s="95">
        <v>6887.5</v>
      </c>
      <c r="R2471" s="95">
        <v>6887.5</v>
      </c>
      <c r="S2471" s="95">
        <v>6887.5</v>
      </c>
      <c r="T2471" s="95">
        <v>6887.5</v>
      </c>
      <c r="U2471" s="95">
        <v>6887.5</v>
      </c>
      <c r="V2471" s="95">
        <v>6887.5</v>
      </c>
      <c r="W2471" s="95">
        <v>6887.5</v>
      </c>
      <c r="X2471" s="95">
        <v>6887.5</v>
      </c>
      <c r="Y2471" s="95">
        <v>6887.5</v>
      </c>
      <c r="Z2471" s="95">
        <v>6887.5</v>
      </c>
      <c r="AA2471" s="95">
        <v>6887.5</v>
      </c>
      <c r="AB2471" s="95">
        <v>6887.5</v>
      </c>
      <c r="AC2471" s="95">
        <v>6887.5</v>
      </c>
      <c r="AD2471" s="95">
        <v>6887.5</v>
      </c>
      <c r="AE2471" s="95">
        <v>6887.5</v>
      </c>
      <c r="AF2471" s="95">
        <v>6887.5</v>
      </c>
      <c r="AG2471" s="95">
        <v>6887.5</v>
      </c>
      <c r="AH2471" s="95">
        <v>6887.5</v>
      </c>
      <c r="AI2471" s="95">
        <v>6887.5</v>
      </c>
      <c r="AJ2471" s="95">
        <v>6887.5</v>
      </c>
      <c r="AK2471" s="95">
        <v>6887.5</v>
      </c>
      <c r="AL2471" s="95">
        <v>6887.5</v>
      </c>
      <c r="AM2471" s="95">
        <v>6887.5</v>
      </c>
      <c r="AN2471" s="95">
        <v>6887.5</v>
      </c>
      <c r="AO2471" s="95">
        <v>6887.5</v>
      </c>
      <c r="AP2471" s="95">
        <v>6887.5</v>
      </c>
      <c r="AQ2471" s="95">
        <v>6887.5</v>
      </c>
      <c r="AR2471" s="95">
        <v>6887.5</v>
      </c>
      <c r="AS2471" s="95">
        <v>6887.5</v>
      </c>
      <c r="AT2471" s="95">
        <v>6887.5</v>
      </c>
      <c r="AU2471" s="95">
        <v>6887.5</v>
      </c>
      <c r="AV2471" s="95">
        <v>6887.5</v>
      </c>
      <c r="AW2471" s="95">
        <v>6887.5</v>
      </c>
      <c r="AX2471" s="96">
        <v>6887.5</v>
      </c>
    </row>
    <row r="2472" spans="1:50" x14ac:dyDescent="0.25">
      <c r="A2472" s="356"/>
      <c r="B2472" s="359"/>
      <c r="C2472" s="350"/>
      <c r="D2472" s="2" t="s">
        <v>8</v>
      </c>
      <c r="E2472" s="160" t="str">
        <f>A2449&amp;"/"&amp;B2467&amp;"/"&amp;C2471&amp;"/"&amp;D2472</f>
        <v>Gas fired power plants (Natural gas, biogas)/Steam turbine/CHP/M</v>
      </c>
      <c r="F2472" s="76" t="str">
        <f>A2449</f>
        <v>Gas fired power plants (Natural gas, biogas)</v>
      </c>
      <c r="G2472" s="76" t="str">
        <f>B2467</f>
        <v>Steam turbine</v>
      </c>
      <c r="H2472" s="76" t="str">
        <f>C2471</f>
        <v>CHP</v>
      </c>
      <c r="I2472" s="161" t="str">
        <f t="shared" si="119"/>
        <v>M</v>
      </c>
      <c r="J2472" s="91">
        <v>6586.8778423038802</v>
      </c>
      <c r="K2472" s="91">
        <v>6586.8778423038802</v>
      </c>
      <c r="L2472" s="91">
        <v>6586.8778423038802</v>
      </c>
      <c r="M2472" s="91">
        <v>6586.8778423038802</v>
      </c>
      <c r="N2472" s="91">
        <v>6586.8778423038802</v>
      </c>
      <c r="O2472" s="91">
        <v>6586.8778423038802</v>
      </c>
      <c r="P2472" s="91">
        <v>6586.8778423038802</v>
      </c>
      <c r="Q2472" s="91">
        <v>6586.8778423038802</v>
      </c>
      <c r="R2472" s="91">
        <v>6586.8778423038802</v>
      </c>
      <c r="S2472" s="91">
        <v>6586.8778423038802</v>
      </c>
      <c r="T2472" s="91">
        <v>6586.8778423038802</v>
      </c>
      <c r="U2472" s="91">
        <v>6586.8778423038802</v>
      </c>
      <c r="V2472" s="91">
        <v>6586.8778423038802</v>
      </c>
      <c r="W2472" s="91">
        <v>6586.8778423038802</v>
      </c>
      <c r="X2472" s="91">
        <v>6586.8778423038802</v>
      </c>
      <c r="Y2472" s="91">
        <v>6586.8778423038802</v>
      </c>
      <c r="Z2472" s="91">
        <v>6586.8778423038802</v>
      </c>
      <c r="AA2472" s="91">
        <v>6586.8778423038802</v>
      </c>
      <c r="AB2472" s="91">
        <v>6586.8778423038802</v>
      </c>
      <c r="AC2472" s="91">
        <v>6586.8778423038802</v>
      </c>
      <c r="AD2472" s="91">
        <v>6586.8778423038802</v>
      </c>
      <c r="AE2472" s="91">
        <v>6586.8778423038802</v>
      </c>
      <c r="AF2472" s="91">
        <v>6586.8778423038802</v>
      </c>
      <c r="AG2472" s="91">
        <v>6586.8778423038802</v>
      </c>
      <c r="AH2472" s="91">
        <v>6586.8778423038802</v>
      </c>
      <c r="AI2472" s="91">
        <v>6586.8778423038802</v>
      </c>
      <c r="AJ2472" s="91">
        <v>6586.8778423038802</v>
      </c>
      <c r="AK2472" s="91">
        <v>6586.8778423038802</v>
      </c>
      <c r="AL2472" s="91">
        <v>6586.8778423038802</v>
      </c>
      <c r="AM2472" s="91">
        <v>6586.8778423038802</v>
      </c>
      <c r="AN2472" s="91">
        <v>6586.8778423038802</v>
      </c>
      <c r="AO2472" s="91">
        <v>6586.8778423038802</v>
      </c>
      <c r="AP2472" s="91">
        <v>6586.8778423038802</v>
      </c>
      <c r="AQ2472" s="91">
        <v>6586.8778423038802</v>
      </c>
      <c r="AR2472" s="91">
        <v>6586.8778423038802</v>
      </c>
      <c r="AS2472" s="91">
        <v>6586.8778423038802</v>
      </c>
      <c r="AT2472" s="91">
        <v>6586.8778423038802</v>
      </c>
      <c r="AU2472" s="91">
        <v>6586.8778423038802</v>
      </c>
      <c r="AV2472" s="91">
        <v>6586.8778423038802</v>
      </c>
      <c r="AW2472" s="91">
        <v>6586.8778423038802</v>
      </c>
      <c r="AX2472" s="92">
        <v>6586.8778423038802</v>
      </c>
    </row>
    <row r="2473" spans="1:50" x14ac:dyDescent="0.25">
      <c r="A2473" s="356"/>
      <c r="B2473" s="359"/>
      <c r="C2473" s="350"/>
      <c r="D2473" s="2" t="s">
        <v>10</v>
      </c>
      <c r="E2473" s="160" t="str">
        <f>A2449&amp;"/"&amp;B2467&amp;"/"&amp;C2471&amp;"/"&amp;D2473</f>
        <v>Gas fired power plants (Natural gas, biogas)/Steam turbine/CHP/S</v>
      </c>
      <c r="F2473" s="76" t="str">
        <f>A2449</f>
        <v>Gas fired power plants (Natural gas, biogas)</v>
      </c>
      <c r="G2473" s="76" t="str">
        <f>B2467</f>
        <v>Steam turbine</v>
      </c>
      <c r="H2473" s="76" t="str">
        <f>C2471</f>
        <v>CHP</v>
      </c>
      <c r="I2473" s="161" t="str">
        <f t="shared" si="119"/>
        <v>S</v>
      </c>
      <c r="J2473" s="91">
        <v>6218.5891093442042</v>
      </c>
      <c r="K2473" s="91">
        <v>6218.5891093442042</v>
      </c>
      <c r="L2473" s="91">
        <v>6218.5891093442042</v>
      </c>
      <c r="M2473" s="91">
        <v>6218.5891093442042</v>
      </c>
      <c r="N2473" s="91">
        <v>6218.5891093442042</v>
      </c>
      <c r="O2473" s="91">
        <v>6218.5891093442042</v>
      </c>
      <c r="P2473" s="91">
        <v>6218.5891093442042</v>
      </c>
      <c r="Q2473" s="91">
        <v>6218.5891093442042</v>
      </c>
      <c r="R2473" s="91">
        <v>6218.5891093442042</v>
      </c>
      <c r="S2473" s="91">
        <v>6218.5891093442042</v>
      </c>
      <c r="T2473" s="91">
        <v>6218.5891093442042</v>
      </c>
      <c r="U2473" s="91">
        <v>6218.5891093442042</v>
      </c>
      <c r="V2473" s="91">
        <v>6218.5891093442042</v>
      </c>
      <c r="W2473" s="91">
        <v>6218.5891093442042</v>
      </c>
      <c r="X2473" s="91">
        <v>6218.5891093442042</v>
      </c>
      <c r="Y2473" s="91">
        <v>6218.5891093442042</v>
      </c>
      <c r="Z2473" s="91">
        <v>6218.5891093442042</v>
      </c>
      <c r="AA2473" s="91">
        <v>6218.5891093442042</v>
      </c>
      <c r="AB2473" s="91">
        <v>6218.5891093442042</v>
      </c>
      <c r="AC2473" s="91">
        <v>6218.5891093442042</v>
      </c>
      <c r="AD2473" s="91">
        <v>6218.5891093442042</v>
      </c>
      <c r="AE2473" s="91">
        <v>6218.5891093442042</v>
      </c>
      <c r="AF2473" s="91">
        <v>6218.5891093442042</v>
      </c>
      <c r="AG2473" s="91">
        <v>6218.5891093442042</v>
      </c>
      <c r="AH2473" s="91">
        <v>6218.5891093442042</v>
      </c>
      <c r="AI2473" s="91">
        <v>6218.5891093442042</v>
      </c>
      <c r="AJ2473" s="91">
        <v>6218.5891093442042</v>
      </c>
      <c r="AK2473" s="91">
        <v>6218.5891093442042</v>
      </c>
      <c r="AL2473" s="91">
        <v>6218.5891093442042</v>
      </c>
      <c r="AM2473" s="91">
        <v>6218.5891093442042</v>
      </c>
      <c r="AN2473" s="91">
        <v>6218.5891093442042</v>
      </c>
      <c r="AO2473" s="91">
        <v>6218.5891093442042</v>
      </c>
      <c r="AP2473" s="91">
        <v>6218.5891093442042</v>
      </c>
      <c r="AQ2473" s="91">
        <v>6218.5891093442042</v>
      </c>
      <c r="AR2473" s="91">
        <v>6218.5891093442042</v>
      </c>
      <c r="AS2473" s="91">
        <v>6218.5891093442042</v>
      </c>
      <c r="AT2473" s="91">
        <v>6218.5891093442042</v>
      </c>
      <c r="AU2473" s="91">
        <v>6218.5891093442042</v>
      </c>
      <c r="AV2473" s="91">
        <v>6218.5891093442042</v>
      </c>
      <c r="AW2473" s="91">
        <v>6218.5891093442042</v>
      </c>
      <c r="AX2473" s="92">
        <v>6218.5891093442042</v>
      </c>
    </row>
    <row r="2474" spans="1:50" x14ac:dyDescent="0.25">
      <c r="A2474" s="356"/>
      <c r="B2474" s="359"/>
      <c r="C2474" s="360"/>
      <c r="D2474" s="59" t="s">
        <v>20</v>
      </c>
      <c r="E2474" s="166" t="str">
        <f>A2449&amp;"/"&amp;B2467&amp;"/"&amp;C2471&amp;"/"&amp;D2474</f>
        <v>Gas fired power plants (Natural gas, biogas)/Steam turbine/CHP/XS</v>
      </c>
      <c r="F2474" s="79" t="str">
        <f>A2449</f>
        <v>Gas fired power plants (Natural gas, biogas)</v>
      </c>
      <c r="G2474" s="79" t="str">
        <f>B2467</f>
        <v>Steam turbine</v>
      </c>
      <c r="H2474" s="79" t="str">
        <f>C2471</f>
        <v>CHP</v>
      </c>
      <c r="I2474" s="167" t="str">
        <f t="shared" si="119"/>
        <v>XS</v>
      </c>
      <c r="J2474" s="97">
        <v>6019.7110740570397</v>
      </c>
      <c r="K2474" s="97">
        <v>6019.7110740570397</v>
      </c>
      <c r="L2474" s="97">
        <v>6019.7110740570397</v>
      </c>
      <c r="M2474" s="97">
        <v>6019.7110740570397</v>
      </c>
      <c r="N2474" s="97">
        <v>6019.7110740570397</v>
      </c>
      <c r="O2474" s="97">
        <v>6019.7110740570397</v>
      </c>
      <c r="P2474" s="97">
        <v>6019.7110740570397</v>
      </c>
      <c r="Q2474" s="97">
        <v>6019.7110740570397</v>
      </c>
      <c r="R2474" s="97">
        <v>6019.7110740570397</v>
      </c>
      <c r="S2474" s="97">
        <v>6019.7110740570397</v>
      </c>
      <c r="T2474" s="97">
        <v>6019.7110740570397</v>
      </c>
      <c r="U2474" s="97">
        <v>6019.7110740570397</v>
      </c>
      <c r="V2474" s="97">
        <v>6019.7110740570397</v>
      </c>
      <c r="W2474" s="97">
        <v>6019.7110740570397</v>
      </c>
      <c r="X2474" s="97">
        <v>6019.7110740570397</v>
      </c>
      <c r="Y2474" s="97">
        <v>6019.7110740570397</v>
      </c>
      <c r="Z2474" s="97">
        <v>6019.7110740570397</v>
      </c>
      <c r="AA2474" s="97">
        <v>6019.7110740570397</v>
      </c>
      <c r="AB2474" s="97">
        <v>6019.7110740570397</v>
      </c>
      <c r="AC2474" s="97">
        <v>6019.7110740570397</v>
      </c>
      <c r="AD2474" s="97">
        <v>6019.7110740570397</v>
      </c>
      <c r="AE2474" s="97">
        <v>6019.7110740570397</v>
      </c>
      <c r="AF2474" s="97">
        <v>6019.7110740570397</v>
      </c>
      <c r="AG2474" s="97">
        <v>6019.7110740570397</v>
      </c>
      <c r="AH2474" s="97">
        <v>6019.7110740570397</v>
      </c>
      <c r="AI2474" s="97">
        <v>6019.7110740570397</v>
      </c>
      <c r="AJ2474" s="97">
        <v>6019.7110740570397</v>
      </c>
      <c r="AK2474" s="97">
        <v>6019.7110740570397</v>
      </c>
      <c r="AL2474" s="97">
        <v>6019.7110740570397</v>
      </c>
      <c r="AM2474" s="97">
        <v>6019.7110740570397</v>
      </c>
      <c r="AN2474" s="97">
        <v>6019.7110740570397</v>
      </c>
      <c r="AO2474" s="97">
        <v>6019.7110740570397</v>
      </c>
      <c r="AP2474" s="97">
        <v>6019.7110740570397</v>
      </c>
      <c r="AQ2474" s="97">
        <v>6019.7110740570397</v>
      </c>
      <c r="AR2474" s="97">
        <v>6019.7110740570397</v>
      </c>
      <c r="AS2474" s="97">
        <v>6019.7110740570397</v>
      </c>
      <c r="AT2474" s="97">
        <v>6019.7110740570397</v>
      </c>
      <c r="AU2474" s="97">
        <v>6019.7110740570397</v>
      </c>
      <c r="AV2474" s="97">
        <v>6019.7110740570397</v>
      </c>
      <c r="AW2474" s="97">
        <v>6019.7110740570397</v>
      </c>
      <c r="AX2474" s="98">
        <v>6019.7110740570397</v>
      </c>
    </row>
    <row r="2475" spans="1:50" x14ac:dyDescent="0.25">
      <c r="A2475" s="356"/>
      <c r="B2475" s="359"/>
      <c r="C2475" s="361" t="s">
        <v>15</v>
      </c>
      <c r="D2475" s="58" t="s">
        <v>7</v>
      </c>
      <c r="E2475" s="164" t="str">
        <f>A2449&amp;"/"&amp;B2467&amp;"/"&amp;C2475&amp;"/"&amp;D2475</f>
        <v>Gas fired power plants (Natural gas, biogas)/Steam turbine/Electricity only with CCS/L</v>
      </c>
      <c r="F2475" s="78" t="str">
        <f>A2449</f>
        <v>Gas fired power plants (Natural gas, biogas)</v>
      </c>
      <c r="G2475" s="78" t="str">
        <f>B2467</f>
        <v>Steam turbine</v>
      </c>
      <c r="H2475" s="78" t="str">
        <f>C2475</f>
        <v>Electricity only with CCS</v>
      </c>
      <c r="I2475" s="165" t="str">
        <f t="shared" si="119"/>
        <v>L</v>
      </c>
      <c r="J2475" s="95" t="s">
        <v>112</v>
      </c>
      <c r="K2475" s="95" t="s">
        <v>112</v>
      </c>
      <c r="L2475" s="95" t="s">
        <v>112</v>
      </c>
      <c r="M2475" s="95" t="s">
        <v>112</v>
      </c>
      <c r="N2475" s="95" t="s">
        <v>112</v>
      </c>
      <c r="O2475" s="95" t="s">
        <v>112</v>
      </c>
      <c r="P2475" s="95" t="s">
        <v>112</v>
      </c>
      <c r="Q2475" s="95" t="s">
        <v>112</v>
      </c>
      <c r="R2475" s="95" t="s">
        <v>112</v>
      </c>
      <c r="S2475" s="95" t="s">
        <v>112</v>
      </c>
      <c r="T2475" s="95" t="s">
        <v>112</v>
      </c>
      <c r="U2475" s="95" t="s">
        <v>112</v>
      </c>
      <c r="V2475" s="95" t="s">
        <v>112</v>
      </c>
      <c r="W2475" s="95" t="s">
        <v>112</v>
      </c>
      <c r="X2475" s="95" t="s">
        <v>112</v>
      </c>
      <c r="Y2475" s="95" t="s">
        <v>112</v>
      </c>
      <c r="Z2475" s="95" t="s">
        <v>112</v>
      </c>
      <c r="AA2475" s="95" t="s">
        <v>112</v>
      </c>
      <c r="AB2475" s="95" t="s">
        <v>112</v>
      </c>
      <c r="AC2475" s="95" t="s">
        <v>112</v>
      </c>
      <c r="AD2475" s="95" t="s">
        <v>112</v>
      </c>
      <c r="AE2475" s="95">
        <v>7250</v>
      </c>
      <c r="AF2475" s="95">
        <v>7250</v>
      </c>
      <c r="AG2475" s="95">
        <v>7250</v>
      </c>
      <c r="AH2475" s="95">
        <v>7250</v>
      </c>
      <c r="AI2475" s="95">
        <v>7250</v>
      </c>
      <c r="AJ2475" s="95">
        <v>7250</v>
      </c>
      <c r="AK2475" s="95">
        <v>7250</v>
      </c>
      <c r="AL2475" s="95">
        <v>7250</v>
      </c>
      <c r="AM2475" s="95">
        <v>7250</v>
      </c>
      <c r="AN2475" s="95">
        <v>7250</v>
      </c>
      <c r="AO2475" s="95">
        <v>7250</v>
      </c>
      <c r="AP2475" s="95">
        <v>7250</v>
      </c>
      <c r="AQ2475" s="95">
        <v>7250</v>
      </c>
      <c r="AR2475" s="95">
        <v>7250</v>
      </c>
      <c r="AS2475" s="95">
        <v>7250</v>
      </c>
      <c r="AT2475" s="95">
        <v>7250</v>
      </c>
      <c r="AU2475" s="95">
        <v>7250</v>
      </c>
      <c r="AV2475" s="95">
        <v>7250</v>
      </c>
      <c r="AW2475" s="95">
        <v>7250</v>
      </c>
      <c r="AX2475" s="96">
        <v>7250</v>
      </c>
    </row>
    <row r="2476" spans="1:50" x14ac:dyDescent="0.25">
      <c r="A2476" s="356"/>
      <c r="B2476" s="359"/>
      <c r="C2476" s="360"/>
      <c r="D2476" s="59" t="s">
        <v>8</v>
      </c>
      <c r="E2476" s="166" t="str">
        <f>A2449&amp;"/"&amp;B2467&amp;"/"&amp;C2475&amp;"/"&amp;D2476</f>
        <v>Gas fired power plants (Natural gas, biogas)/Steam turbine/Electricity only with CCS/M</v>
      </c>
      <c r="F2476" s="79" t="str">
        <f>A2449</f>
        <v>Gas fired power plants (Natural gas, biogas)</v>
      </c>
      <c r="G2476" s="79" t="str">
        <f>B2467</f>
        <v>Steam turbine</v>
      </c>
      <c r="H2476" s="79" t="str">
        <f>C2475</f>
        <v>Electricity only with CCS</v>
      </c>
      <c r="I2476" s="167" t="str">
        <f t="shared" si="119"/>
        <v>M</v>
      </c>
      <c r="J2476" s="97" t="s">
        <v>112</v>
      </c>
      <c r="K2476" s="97" t="s">
        <v>112</v>
      </c>
      <c r="L2476" s="97" t="s">
        <v>112</v>
      </c>
      <c r="M2476" s="97" t="s">
        <v>112</v>
      </c>
      <c r="N2476" s="97" t="s">
        <v>112</v>
      </c>
      <c r="O2476" s="97" t="s">
        <v>112</v>
      </c>
      <c r="P2476" s="97" t="s">
        <v>112</v>
      </c>
      <c r="Q2476" s="97" t="s">
        <v>112</v>
      </c>
      <c r="R2476" s="97" t="s">
        <v>112</v>
      </c>
      <c r="S2476" s="97" t="s">
        <v>112</v>
      </c>
      <c r="T2476" s="97" t="s">
        <v>112</v>
      </c>
      <c r="U2476" s="97" t="s">
        <v>112</v>
      </c>
      <c r="V2476" s="97" t="s">
        <v>112</v>
      </c>
      <c r="W2476" s="97" t="s">
        <v>112</v>
      </c>
      <c r="X2476" s="97" t="s">
        <v>112</v>
      </c>
      <c r="Y2476" s="97" t="s">
        <v>112</v>
      </c>
      <c r="Z2476" s="97" t="s">
        <v>112</v>
      </c>
      <c r="AA2476" s="97" t="s">
        <v>112</v>
      </c>
      <c r="AB2476" s="97" t="s">
        <v>112</v>
      </c>
      <c r="AC2476" s="97" t="s">
        <v>112</v>
      </c>
      <c r="AD2476" s="97" t="s">
        <v>112</v>
      </c>
      <c r="AE2476" s="97">
        <v>6933.5556234777687</v>
      </c>
      <c r="AF2476" s="97">
        <v>6933.5556234777687</v>
      </c>
      <c r="AG2476" s="97">
        <v>6933.5556234777687</v>
      </c>
      <c r="AH2476" s="97">
        <v>6933.5556234777687</v>
      </c>
      <c r="AI2476" s="97">
        <v>6933.5556234777687</v>
      </c>
      <c r="AJ2476" s="97">
        <v>6933.5556234777687</v>
      </c>
      <c r="AK2476" s="97">
        <v>6933.5556234777687</v>
      </c>
      <c r="AL2476" s="97">
        <v>6933.5556234777687</v>
      </c>
      <c r="AM2476" s="97">
        <v>6933.5556234777687</v>
      </c>
      <c r="AN2476" s="97">
        <v>6933.5556234777687</v>
      </c>
      <c r="AO2476" s="97">
        <v>6933.5556234777687</v>
      </c>
      <c r="AP2476" s="97">
        <v>6933.5556234777687</v>
      </c>
      <c r="AQ2476" s="97">
        <v>6933.5556234777687</v>
      </c>
      <c r="AR2476" s="97">
        <v>6933.5556234777687</v>
      </c>
      <c r="AS2476" s="97">
        <v>6933.5556234777687</v>
      </c>
      <c r="AT2476" s="97">
        <v>6933.5556234777687</v>
      </c>
      <c r="AU2476" s="97">
        <v>6933.5556234777687</v>
      </c>
      <c r="AV2476" s="97">
        <v>6933.5556234777687</v>
      </c>
      <c r="AW2476" s="97">
        <v>6933.5556234777687</v>
      </c>
      <c r="AX2476" s="98">
        <v>6933.5556234777687</v>
      </c>
    </row>
    <row r="2477" spans="1:50" x14ac:dyDescent="0.25">
      <c r="A2477" s="356"/>
      <c r="B2477" s="359"/>
      <c r="C2477" s="361" t="s">
        <v>16</v>
      </c>
      <c r="D2477" s="2" t="s">
        <v>7</v>
      </c>
      <c r="E2477" s="160" t="str">
        <f>A2449&amp;"/"&amp;B2467&amp;"/"&amp;C2477&amp;"/"&amp;D2477</f>
        <v>Gas fired power plants (Natural gas, biogas)/Steam turbine/CHP with CCS/L</v>
      </c>
      <c r="F2477" s="76" t="str">
        <f>A2449</f>
        <v>Gas fired power plants (Natural gas, biogas)</v>
      </c>
      <c r="G2477" s="76" t="str">
        <f>B2467</f>
        <v>Steam turbine</v>
      </c>
      <c r="H2477" s="76" t="str">
        <f>C2477</f>
        <v>CHP with CCS</v>
      </c>
      <c r="I2477" s="161" t="str">
        <f t="shared" si="119"/>
        <v>L</v>
      </c>
      <c r="J2477" s="91" t="s">
        <v>112</v>
      </c>
      <c r="K2477" s="91" t="s">
        <v>112</v>
      </c>
      <c r="L2477" s="91" t="s">
        <v>112</v>
      </c>
      <c r="M2477" s="91" t="s">
        <v>112</v>
      </c>
      <c r="N2477" s="91" t="s">
        <v>112</v>
      </c>
      <c r="O2477" s="91" t="s">
        <v>112</v>
      </c>
      <c r="P2477" s="91" t="s">
        <v>112</v>
      </c>
      <c r="Q2477" s="91" t="s">
        <v>112</v>
      </c>
      <c r="R2477" s="91" t="s">
        <v>112</v>
      </c>
      <c r="S2477" s="91" t="s">
        <v>112</v>
      </c>
      <c r="T2477" s="91" t="s">
        <v>112</v>
      </c>
      <c r="U2477" s="91" t="s">
        <v>112</v>
      </c>
      <c r="V2477" s="91" t="s">
        <v>112</v>
      </c>
      <c r="W2477" s="91" t="s">
        <v>112</v>
      </c>
      <c r="X2477" s="91" t="s">
        <v>112</v>
      </c>
      <c r="Y2477" s="91" t="s">
        <v>112</v>
      </c>
      <c r="Z2477" s="91" t="s">
        <v>112</v>
      </c>
      <c r="AA2477" s="91" t="s">
        <v>112</v>
      </c>
      <c r="AB2477" s="91" t="s">
        <v>112</v>
      </c>
      <c r="AC2477" s="91" t="s">
        <v>112</v>
      </c>
      <c r="AD2477" s="91" t="s">
        <v>112</v>
      </c>
      <c r="AE2477" s="91">
        <v>6887.5</v>
      </c>
      <c r="AF2477" s="91">
        <v>6887.5</v>
      </c>
      <c r="AG2477" s="91">
        <v>6887.5</v>
      </c>
      <c r="AH2477" s="91">
        <v>6887.5</v>
      </c>
      <c r="AI2477" s="91">
        <v>6887.5</v>
      </c>
      <c r="AJ2477" s="91">
        <v>6887.5</v>
      </c>
      <c r="AK2477" s="91">
        <v>6887.5</v>
      </c>
      <c r="AL2477" s="91">
        <v>6887.5</v>
      </c>
      <c r="AM2477" s="91">
        <v>6887.5</v>
      </c>
      <c r="AN2477" s="91">
        <v>6887.5</v>
      </c>
      <c r="AO2477" s="91">
        <v>6887.5</v>
      </c>
      <c r="AP2477" s="91">
        <v>6887.5</v>
      </c>
      <c r="AQ2477" s="91">
        <v>6887.5</v>
      </c>
      <c r="AR2477" s="91">
        <v>6887.5</v>
      </c>
      <c r="AS2477" s="91">
        <v>6887.5</v>
      </c>
      <c r="AT2477" s="91">
        <v>6887.5</v>
      </c>
      <c r="AU2477" s="91">
        <v>6887.5</v>
      </c>
      <c r="AV2477" s="91">
        <v>6887.5</v>
      </c>
      <c r="AW2477" s="91">
        <v>6887.5</v>
      </c>
      <c r="AX2477" s="92">
        <v>6887.5</v>
      </c>
    </row>
    <row r="2478" spans="1:50" x14ac:dyDescent="0.25">
      <c r="A2478" s="356"/>
      <c r="B2478" s="362"/>
      <c r="C2478" s="354"/>
      <c r="D2478" s="4" t="s">
        <v>8</v>
      </c>
      <c r="E2478" s="168" t="str">
        <f>A2449&amp;"/"&amp;B2467&amp;"/"&amp;C2477&amp;"/"&amp;D2478</f>
        <v>Gas fired power plants (Natural gas, biogas)/Steam turbine/CHP with CCS/M</v>
      </c>
      <c r="F2478" s="80" t="str">
        <f>A2449</f>
        <v>Gas fired power plants (Natural gas, biogas)</v>
      </c>
      <c r="G2478" s="80" t="str">
        <f>B2467</f>
        <v>Steam turbine</v>
      </c>
      <c r="H2478" s="80" t="str">
        <f>C2477</f>
        <v>CHP with CCS</v>
      </c>
      <c r="I2478" s="169" t="str">
        <f t="shared" si="119"/>
        <v>M</v>
      </c>
      <c r="J2478" s="99" t="s">
        <v>112</v>
      </c>
      <c r="K2478" s="99" t="s">
        <v>112</v>
      </c>
      <c r="L2478" s="99" t="s">
        <v>112</v>
      </c>
      <c r="M2478" s="99" t="s">
        <v>112</v>
      </c>
      <c r="N2478" s="99" t="s">
        <v>112</v>
      </c>
      <c r="O2478" s="99" t="s">
        <v>112</v>
      </c>
      <c r="P2478" s="99" t="s">
        <v>112</v>
      </c>
      <c r="Q2478" s="99" t="s">
        <v>112</v>
      </c>
      <c r="R2478" s="99" t="s">
        <v>112</v>
      </c>
      <c r="S2478" s="99" t="s">
        <v>112</v>
      </c>
      <c r="T2478" s="99" t="s">
        <v>112</v>
      </c>
      <c r="U2478" s="99" t="s">
        <v>112</v>
      </c>
      <c r="V2478" s="99" t="s">
        <v>112</v>
      </c>
      <c r="W2478" s="99" t="s">
        <v>112</v>
      </c>
      <c r="X2478" s="99" t="s">
        <v>112</v>
      </c>
      <c r="Y2478" s="99" t="s">
        <v>112</v>
      </c>
      <c r="Z2478" s="99" t="s">
        <v>112</v>
      </c>
      <c r="AA2478" s="99" t="s">
        <v>112</v>
      </c>
      <c r="AB2478" s="99" t="s">
        <v>112</v>
      </c>
      <c r="AC2478" s="99" t="s">
        <v>112</v>
      </c>
      <c r="AD2478" s="99" t="s">
        <v>112</v>
      </c>
      <c r="AE2478" s="99">
        <v>6586.8778423038802</v>
      </c>
      <c r="AF2478" s="99">
        <v>6586.8778423038802</v>
      </c>
      <c r="AG2478" s="99">
        <v>6586.8778423038802</v>
      </c>
      <c r="AH2478" s="99">
        <v>6586.8778423038802</v>
      </c>
      <c r="AI2478" s="99">
        <v>6586.8778423038802</v>
      </c>
      <c r="AJ2478" s="99">
        <v>6586.8778423038802</v>
      </c>
      <c r="AK2478" s="99">
        <v>6586.8778423038802</v>
      </c>
      <c r="AL2478" s="99">
        <v>6586.8778423038802</v>
      </c>
      <c r="AM2478" s="99">
        <v>6586.8778423038802</v>
      </c>
      <c r="AN2478" s="99">
        <v>6586.8778423038802</v>
      </c>
      <c r="AO2478" s="99">
        <v>6586.8778423038802</v>
      </c>
      <c r="AP2478" s="99">
        <v>6586.8778423038802</v>
      </c>
      <c r="AQ2478" s="99">
        <v>6586.8778423038802</v>
      </c>
      <c r="AR2478" s="99">
        <v>6586.8778423038802</v>
      </c>
      <c r="AS2478" s="99">
        <v>6586.8778423038802</v>
      </c>
      <c r="AT2478" s="99">
        <v>6586.8778423038802</v>
      </c>
      <c r="AU2478" s="99">
        <v>6586.8778423038802</v>
      </c>
      <c r="AV2478" s="99">
        <v>6586.8778423038802</v>
      </c>
      <c r="AW2478" s="99">
        <v>6586.8778423038802</v>
      </c>
      <c r="AX2478" s="100">
        <v>6586.8778423038802</v>
      </c>
    </row>
    <row r="2479" spans="1:50" x14ac:dyDescent="0.25">
      <c r="A2479" s="356"/>
      <c r="B2479" s="358" t="s">
        <v>25</v>
      </c>
      <c r="C2479" s="353" t="s">
        <v>6</v>
      </c>
      <c r="D2479" s="3" t="s">
        <v>10</v>
      </c>
      <c r="E2479" s="162" t="str">
        <f>A2449&amp;"/"&amp;B2479&amp;"/"&amp;C2479&amp;"/"&amp;D2479</f>
        <v>Gas fired power plants (Natural gas, biogas)/Internal combustion engine/Electricity only/S</v>
      </c>
      <c r="F2479" s="77" t="str">
        <f>A2449</f>
        <v>Gas fired power plants (Natural gas, biogas)</v>
      </c>
      <c r="G2479" s="77" t="str">
        <f>B2479</f>
        <v>Internal combustion engine</v>
      </c>
      <c r="H2479" s="77" t="str">
        <f>C2479</f>
        <v>Electricity only</v>
      </c>
      <c r="I2479" s="163" t="str">
        <f t="shared" si="119"/>
        <v>S</v>
      </c>
      <c r="J2479" s="93">
        <v>1200</v>
      </c>
      <c r="K2479" s="93">
        <v>1200</v>
      </c>
      <c r="L2479" s="93">
        <v>1200</v>
      </c>
      <c r="M2479" s="93">
        <v>1200</v>
      </c>
      <c r="N2479" s="93">
        <v>1200</v>
      </c>
      <c r="O2479" s="93">
        <v>1200</v>
      </c>
      <c r="P2479" s="93">
        <v>1200</v>
      </c>
      <c r="Q2479" s="93">
        <v>1200</v>
      </c>
      <c r="R2479" s="93">
        <v>1200</v>
      </c>
      <c r="S2479" s="93">
        <v>1200</v>
      </c>
      <c r="T2479" s="93">
        <v>1200</v>
      </c>
      <c r="U2479" s="93">
        <v>1200</v>
      </c>
      <c r="V2479" s="93">
        <v>1200</v>
      </c>
      <c r="W2479" s="93">
        <v>1200</v>
      </c>
      <c r="X2479" s="93">
        <v>1200</v>
      </c>
      <c r="Y2479" s="93">
        <v>1200</v>
      </c>
      <c r="Z2479" s="93">
        <v>1200</v>
      </c>
      <c r="AA2479" s="93">
        <v>1200</v>
      </c>
      <c r="AB2479" s="93">
        <v>1200</v>
      </c>
      <c r="AC2479" s="93">
        <v>1200</v>
      </c>
      <c r="AD2479" s="93">
        <v>1200</v>
      </c>
      <c r="AE2479" s="93">
        <v>1200</v>
      </c>
      <c r="AF2479" s="93">
        <v>1200</v>
      </c>
      <c r="AG2479" s="93">
        <v>1200</v>
      </c>
      <c r="AH2479" s="93">
        <v>1200</v>
      </c>
      <c r="AI2479" s="93">
        <v>1200</v>
      </c>
      <c r="AJ2479" s="93">
        <v>1200</v>
      </c>
      <c r="AK2479" s="93">
        <v>1200</v>
      </c>
      <c r="AL2479" s="93">
        <v>1200</v>
      </c>
      <c r="AM2479" s="93">
        <v>1200</v>
      </c>
      <c r="AN2479" s="93">
        <v>1200</v>
      </c>
      <c r="AO2479" s="93">
        <v>1200</v>
      </c>
      <c r="AP2479" s="93">
        <v>1200</v>
      </c>
      <c r="AQ2479" s="93">
        <v>1200</v>
      </c>
      <c r="AR2479" s="93">
        <v>1200</v>
      </c>
      <c r="AS2479" s="93">
        <v>1200</v>
      </c>
      <c r="AT2479" s="93">
        <v>1200</v>
      </c>
      <c r="AU2479" s="93">
        <v>1200</v>
      </c>
      <c r="AV2479" s="93">
        <v>1200</v>
      </c>
      <c r="AW2479" s="93">
        <v>1200</v>
      </c>
      <c r="AX2479" s="94">
        <v>1200</v>
      </c>
    </row>
    <row r="2480" spans="1:50" x14ac:dyDescent="0.25">
      <c r="A2480" s="356"/>
      <c r="B2480" s="359"/>
      <c r="C2480" s="360"/>
      <c r="D2480" s="59" t="s">
        <v>20</v>
      </c>
      <c r="E2480" s="160" t="str">
        <f>A2449&amp;"/"&amp;B2479&amp;"/"&amp;C2479&amp;"/"&amp;D2480</f>
        <v>Gas fired power plants (Natural gas, biogas)/Internal combustion engine/Electricity only/XS</v>
      </c>
      <c r="F2480" s="76" t="str">
        <f>A2449</f>
        <v>Gas fired power plants (Natural gas, biogas)</v>
      </c>
      <c r="G2480" s="76" t="str">
        <f>B2479</f>
        <v>Internal combustion engine</v>
      </c>
      <c r="H2480" s="76" t="str">
        <f>C2479</f>
        <v>Electricity only</v>
      </c>
      <c r="I2480" s="161" t="str">
        <f t="shared" si="119"/>
        <v>XS</v>
      </c>
      <c r="J2480" s="91">
        <v>700</v>
      </c>
      <c r="K2480" s="91">
        <v>700</v>
      </c>
      <c r="L2480" s="91">
        <v>700</v>
      </c>
      <c r="M2480" s="91">
        <v>700</v>
      </c>
      <c r="N2480" s="91">
        <v>700</v>
      </c>
      <c r="O2480" s="91">
        <v>700</v>
      </c>
      <c r="P2480" s="91">
        <v>700</v>
      </c>
      <c r="Q2480" s="91">
        <v>700</v>
      </c>
      <c r="R2480" s="91">
        <v>700</v>
      </c>
      <c r="S2480" s="91">
        <v>700</v>
      </c>
      <c r="T2480" s="91">
        <v>700</v>
      </c>
      <c r="U2480" s="91">
        <v>700</v>
      </c>
      <c r="V2480" s="91">
        <v>700</v>
      </c>
      <c r="W2480" s="91">
        <v>700</v>
      </c>
      <c r="X2480" s="91">
        <v>700</v>
      </c>
      <c r="Y2480" s="91">
        <v>700</v>
      </c>
      <c r="Z2480" s="91">
        <v>700</v>
      </c>
      <c r="AA2480" s="91">
        <v>700</v>
      </c>
      <c r="AB2480" s="91">
        <v>700</v>
      </c>
      <c r="AC2480" s="91">
        <v>700</v>
      </c>
      <c r="AD2480" s="91">
        <v>700</v>
      </c>
      <c r="AE2480" s="91">
        <v>700</v>
      </c>
      <c r="AF2480" s="91">
        <v>700</v>
      </c>
      <c r="AG2480" s="91">
        <v>700</v>
      </c>
      <c r="AH2480" s="91">
        <v>700</v>
      </c>
      <c r="AI2480" s="91">
        <v>700</v>
      </c>
      <c r="AJ2480" s="91">
        <v>700</v>
      </c>
      <c r="AK2480" s="91">
        <v>700</v>
      </c>
      <c r="AL2480" s="91">
        <v>700</v>
      </c>
      <c r="AM2480" s="91">
        <v>700</v>
      </c>
      <c r="AN2480" s="91">
        <v>700</v>
      </c>
      <c r="AO2480" s="91">
        <v>700</v>
      </c>
      <c r="AP2480" s="91">
        <v>700</v>
      </c>
      <c r="AQ2480" s="91">
        <v>700</v>
      </c>
      <c r="AR2480" s="91">
        <v>700</v>
      </c>
      <c r="AS2480" s="91">
        <v>700</v>
      </c>
      <c r="AT2480" s="91">
        <v>700</v>
      </c>
      <c r="AU2480" s="91">
        <v>700</v>
      </c>
      <c r="AV2480" s="91">
        <v>700</v>
      </c>
      <c r="AW2480" s="91">
        <v>700</v>
      </c>
      <c r="AX2480" s="92">
        <v>700</v>
      </c>
    </row>
    <row r="2481" spans="1:50" x14ac:dyDescent="0.25">
      <c r="A2481" s="356"/>
      <c r="B2481" s="359"/>
      <c r="C2481" s="361" t="s">
        <v>14</v>
      </c>
      <c r="D2481" s="2" t="s">
        <v>10</v>
      </c>
      <c r="E2481" s="164" t="str">
        <f>A2449&amp;"/"&amp;B2479&amp;"/"&amp;C2481&amp;"/"&amp;D2481</f>
        <v>Gas fired power plants (Natural gas, biogas)/Internal combustion engine/CHP/S</v>
      </c>
      <c r="F2481" s="78" t="str">
        <f>A2449</f>
        <v>Gas fired power plants (Natural gas, biogas)</v>
      </c>
      <c r="G2481" s="78" t="str">
        <f>B2479</f>
        <v>Internal combustion engine</v>
      </c>
      <c r="H2481" s="78" t="str">
        <f>C2481</f>
        <v>CHP</v>
      </c>
      <c r="I2481" s="165" t="str">
        <f t="shared" si="119"/>
        <v>S</v>
      </c>
      <c r="J2481" s="95">
        <v>1080</v>
      </c>
      <c r="K2481" s="95">
        <v>1080</v>
      </c>
      <c r="L2481" s="95">
        <v>1080</v>
      </c>
      <c r="M2481" s="95">
        <v>1080</v>
      </c>
      <c r="N2481" s="95">
        <v>1080</v>
      </c>
      <c r="O2481" s="95">
        <v>1080</v>
      </c>
      <c r="P2481" s="95">
        <v>1080</v>
      </c>
      <c r="Q2481" s="95">
        <v>1080</v>
      </c>
      <c r="R2481" s="95">
        <v>1080</v>
      </c>
      <c r="S2481" s="95">
        <v>1080</v>
      </c>
      <c r="T2481" s="95">
        <v>1080</v>
      </c>
      <c r="U2481" s="95">
        <v>1080</v>
      </c>
      <c r="V2481" s="95">
        <v>1080</v>
      </c>
      <c r="W2481" s="95">
        <v>1080</v>
      </c>
      <c r="X2481" s="95">
        <v>1080</v>
      </c>
      <c r="Y2481" s="95">
        <v>1080</v>
      </c>
      <c r="Z2481" s="95">
        <v>1080</v>
      </c>
      <c r="AA2481" s="95">
        <v>1080</v>
      </c>
      <c r="AB2481" s="95">
        <v>1080</v>
      </c>
      <c r="AC2481" s="95">
        <v>1080</v>
      </c>
      <c r="AD2481" s="95">
        <v>1080</v>
      </c>
      <c r="AE2481" s="95">
        <v>1080</v>
      </c>
      <c r="AF2481" s="95">
        <v>1080</v>
      </c>
      <c r="AG2481" s="95">
        <v>1080</v>
      </c>
      <c r="AH2481" s="95">
        <v>1080</v>
      </c>
      <c r="AI2481" s="95">
        <v>1080</v>
      </c>
      <c r="AJ2481" s="95">
        <v>1080</v>
      </c>
      <c r="AK2481" s="95">
        <v>1080</v>
      </c>
      <c r="AL2481" s="95">
        <v>1080</v>
      </c>
      <c r="AM2481" s="95">
        <v>1080</v>
      </c>
      <c r="AN2481" s="95">
        <v>1080</v>
      </c>
      <c r="AO2481" s="95">
        <v>1080</v>
      </c>
      <c r="AP2481" s="95">
        <v>1080</v>
      </c>
      <c r="AQ2481" s="95">
        <v>1080</v>
      </c>
      <c r="AR2481" s="95">
        <v>1080</v>
      </c>
      <c r="AS2481" s="95">
        <v>1080</v>
      </c>
      <c r="AT2481" s="95">
        <v>1080</v>
      </c>
      <c r="AU2481" s="95">
        <v>1080</v>
      </c>
      <c r="AV2481" s="95">
        <v>1080</v>
      </c>
      <c r="AW2481" s="95">
        <v>1080</v>
      </c>
      <c r="AX2481" s="96">
        <v>1080</v>
      </c>
    </row>
    <row r="2482" spans="1:50" x14ac:dyDescent="0.25">
      <c r="A2482" s="356"/>
      <c r="B2482" s="362"/>
      <c r="C2482" s="354"/>
      <c r="D2482" s="4" t="s">
        <v>20</v>
      </c>
      <c r="E2482" s="168" t="str">
        <f>A2449&amp;"/"&amp;B2479&amp;"/"&amp;C2481&amp;"/"&amp;D2482</f>
        <v>Gas fired power plants (Natural gas, biogas)/Internal combustion engine/CHP/XS</v>
      </c>
      <c r="F2482" s="80" t="str">
        <f>A2449</f>
        <v>Gas fired power plants (Natural gas, biogas)</v>
      </c>
      <c r="G2482" s="80" t="str">
        <f>B2479</f>
        <v>Internal combustion engine</v>
      </c>
      <c r="H2482" s="80" t="str">
        <f>C2481</f>
        <v>CHP</v>
      </c>
      <c r="I2482" s="169" t="str">
        <f t="shared" si="119"/>
        <v>XS</v>
      </c>
      <c r="J2482" s="99">
        <v>630</v>
      </c>
      <c r="K2482" s="99">
        <v>630</v>
      </c>
      <c r="L2482" s="99">
        <v>630</v>
      </c>
      <c r="M2482" s="99">
        <v>630</v>
      </c>
      <c r="N2482" s="99">
        <v>630</v>
      </c>
      <c r="O2482" s="99">
        <v>630</v>
      </c>
      <c r="P2482" s="99">
        <v>630</v>
      </c>
      <c r="Q2482" s="99">
        <v>630</v>
      </c>
      <c r="R2482" s="99">
        <v>630</v>
      </c>
      <c r="S2482" s="99">
        <v>630</v>
      </c>
      <c r="T2482" s="99">
        <v>630</v>
      </c>
      <c r="U2482" s="99">
        <v>630</v>
      </c>
      <c r="V2482" s="99">
        <v>630</v>
      </c>
      <c r="W2482" s="99">
        <v>630</v>
      </c>
      <c r="X2482" s="99">
        <v>630</v>
      </c>
      <c r="Y2482" s="99">
        <v>630</v>
      </c>
      <c r="Z2482" s="99">
        <v>630</v>
      </c>
      <c r="AA2482" s="99">
        <v>630</v>
      </c>
      <c r="AB2482" s="99">
        <v>630</v>
      </c>
      <c r="AC2482" s="99">
        <v>630</v>
      </c>
      <c r="AD2482" s="99">
        <v>630</v>
      </c>
      <c r="AE2482" s="99">
        <v>630</v>
      </c>
      <c r="AF2482" s="99">
        <v>630</v>
      </c>
      <c r="AG2482" s="99">
        <v>630</v>
      </c>
      <c r="AH2482" s="99">
        <v>630</v>
      </c>
      <c r="AI2482" s="99">
        <v>630</v>
      </c>
      <c r="AJ2482" s="99">
        <v>630</v>
      </c>
      <c r="AK2482" s="99">
        <v>630</v>
      </c>
      <c r="AL2482" s="99">
        <v>630</v>
      </c>
      <c r="AM2482" s="99">
        <v>630</v>
      </c>
      <c r="AN2482" s="99">
        <v>630</v>
      </c>
      <c r="AO2482" s="99">
        <v>630</v>
      </c>
      <c r="AP2482" s="99">
        <v>630</v>
      </c>
      <c r="AQ2482" s="99">
        <v>630</v>
      </c>
      <c r="AR2482" s="99">
        <v>630</v>
      </c>
      <c r="AS2482" s="99">
        <v>630</v>
      </c>
      <c r="AT2482" s="99">
        <v>630</v>
      </c>
      <c r="AU2482" s="99">
        <v>630</v>
      </c>
      <c r="AV2482" s="99">
        <v>630</v>
      </c>
      <c r="AW2482" s="99">
        <v>630</v>
      </c>
      <c r="AX2482" s="100">
        <v>630</v>
      </c>
    </row>
    <row r="2483" spans="1:50" x14ac:dyDescent="0.25">
      <c r="A2483" s="355" t="s">
        <v>26</v>
      </c>
      <c r="B2483" s="358" t="s">
        <v>19</v>
      </c>
      <c r="C2483" s="353" t="s">
        <v>6</v>
      </c>
      <c r="D2483" s="3" t="s">
        <v>7</v>
      </c>
      <c r="E2483" s="162" t="str">
        <f>A2483&amp;"/"&amp;B2483&amp;"/"&amp;C2483&amp;"/"&amp;D2483</f>
        <v>Derived gas fired power plants/Steam turbine/Electricity only/L</v>
      </c>
      <c r="F2483" s="77" t="str">
        <f>A2483</f>
        <v>Derived gas fired power plants</v>
      </c>
      <c r="G2483" s="77" t="str">
        <f>B2483</f>
        <v>Steam turbine</v>
      </c>
      <c r="H2483" s="77" t="str">
        <f>C2483</f>
        <v>Electricity only</v>
      </c>
      <c r="I2483" s="163" t="str">
        <f t="shared" si="119"/>
        <v>L</v>
      </c>
      <c r="J2483" s="93">
        <v>8200</v>
      </c>
      <c r="K2483" s="93">
        <v>8200</v>
      </c>
      <c r="L2483" s="93">
        <v>8200</v>
      </c>
      <c r="M2483" s="93">
        <v>8200</v>
      </c>
      <c r="N2483" s="93">
        <v>8200</v>
      </c>
      <c r="O2483" s="93">
        <v>8200</v>
      </c>
      <c r="P2483" s="93">
        <v>8200</v>
      </c>
      <c r="Q2483" s="93">
        <v>8200</v>
      </c>
      <c r="R2483" s="93">
        <v>8200</v>
      </c>
      <c r="S2483" s="93">
        <v>8200</v>
      </c>
      <c r="T2483" s="93">
        <v>8200</v>
      </c>
      <c r="U2483" s="93">
        <v>8200</v>
      </c>
      <c r="V2483" s="93">
        <v>8200</v>
      </c>
      <c r="W2483" s="93">
        <v>8200</v>
      </c>
      <c r="X2483" s="93">
        <v>8200</v>
      </c>
      <c r="Y2483" s="93">
        <v>8200</v>
      </c>
      <c r="Z2483" s="93">
        <v>8200</v>
      </c>
      <c r="AA2483" s="93">
        <v>8200</v>
      </c>
      <c r="AB2483" s="93">
        <v>8200</v>
      </c>
      <c r="AC2483" s="93">
        <v>8200</v>
      </c>
      <c r="AD2483" s="93">
        <v>8200</v>
      </c>
      <c r="AE2483" s="93">
        <v>8200</v>
      </c>
      <c r="AF2483" s="93">
        <v>8200</v>
      </c>
      <c r="AG2483" s="93">
        <v>8200</v>
      </c>
      <c r="AH2483" s="93">
        <v>8200</v>
      </c>
      <c r="AI2483" s="93">
        <v>8200</v>
      </c>
      <c r="AJ2483" s="93">
        <v>8200</v>
      </c>
      <c r="AK2483" s="93">
        <v>8200</v>
      </c>
      <c r="AL2483" s="93">
        <v>8200</v>
      </c>
      <c r="AM2483" s="93">
        <v>8200</v>
      </c>
      <c r="AN2483" s="93">
        <v>8200</v>
      </c>
      <c r="AO2483" s="93">
        <v>8200</v>
      </c>
      <c r="AP2483" s="93">
        <v>8200</v>
      </c>
      <c r="AQ2483" s="93">
        <v>8200</v>
      </c>
      <c r="AR2483" s="93">
        <v>8200</v>
      </c>
      <c r="AS2483" s="93">
        <v>8200</v>
      </c>
      <c r="AT2483" s="93">
        <v>8200</v>
      </c>
      <c r="AU2483" s="93">
        <v>8200</v>
      </c>
      <c r="AV2483" s="93">
        <v>8200</v>
      </c>
      <c r="AW2483" s="93">
        <v>8200</v>
      </c>
      <c r="AX2483" s="94">
        <v>8200</v>
      </c>
    </row>
    <row r="2484" spans="1:50" x14ac:dyDescent="0.25">
      <c r="A2484" s="356"/>
      <c r="B2484" s="359"/>
      <c r="C2484" s="350"/>
      <c r="D2484" s="2" t="s">
        <v>8</v>
      </c>
      <c r="E2484" s="160" t="str">
        <f>A2483&amp;"/"&amp;B2483&amp;"/"&amp;C2483&amp;"/"&amp;D2484</f>
        <v>Derived gas fired power plants/Steam turbine/Electricity only/M</v>
      </c>
      <c r="F2484" s="76" t="str">
        <f>A2483</f>
        <v>Derived gas fired power plants</v>
      </c>
      <c r="G2484" s="76" t="str">
        <f>B2483</f>
        <v>Steam turbine</v>
      </c>
      <c r="H2484" s="76" t="str">
        <f>C2483</f>
        <v>Electricity only</v>
      </c>
      <c r="I2484" s="161" t="str">
        <f t="shared" si="119"/>
        <v>M</v>
      </c>
      <c r="J2484" s="91">
        <v>7842.0904982783031</v>
      </c>
      <c r="K2484" s="91">
        <v>7842.0904982783031</v>
      </c>
      <c r="L2484" s="91">
        <v>7842.0904982783031</v>
      </c>
      <c r="M2484" s="91">
        <v>7842.0904982783031</v>
      </c>
      <c r="N2484" s="91">
        <v>7842.0904982783031</v>
      </c>
      <c r="O2484" s="91">
        <v>7842.0904982783031</v>
      </c>
      <c r="P2484" s="91">
        <v>7842.0904982783031</v>
      </c>
      <c r="Q2484" s="91">
        <v>7842.0904982783031</v>
      </c>
      <c r="R2484" s="91">
        <v>7842.0904982783031</v>
      </c>
      <c r="S2484" s="91">
        <v>7842.0904982783031</v>
      </c>
      <c r="T2484" s="91">
        <v>7842.0904982783031</v>
      </c>
      <c r="U2484" s="91">
        <v>7842.0904982783031</v>
      </c>
      <c r="V2484" s="91">
        <v>7842.0904982783031</v>
      </c>
      <c r="W2484" s="91">
        <v>7842.0904982783031</v>
      </c>
      <c r="X2484" s="91">
        <v>7842.0904982783031</v>
      </c>
      <c r="Y2484" s="91">
        <v>7842.0904982783031</v>
      </c>
      <c r="Z2484" s="91">
        <v>7842.0904982783031</v>
      </c>
      <c r="AA2484" s="91">
        <v>7842.0904982783031</v>
      </c>
      <c r="AB2484" s="91">
        <v>7842.0904982783031</v>
      </c>
      <c r="AC2484" s="91">
        <v>7842.0904982783031</v>
      </c>
      <c r="AD2484" s="91">
        <v>7842.0904982783031</v>
      </c>
      <c r="AE2484" s="91">
        <v>7842.0904982783031</v>
      </c>
      <c r="AF2484" s="91">
        <v>7842.0904982783031</v>
      </c>
      <c r="AG2484" s="91">
        <v>7842.0904982783031</v>
      </c>
      <c r="AH2484" s="91">
        <v>7842.0904982783031</v>
      </c>
      <c r="AI2484" s="91">
        <v>7842.0904982783031</v>
      </c>
      <c r="AJ2484" s="91">
        <v>7842.0904982783031</v>
      </c>
      <c r="AK2484" s="91">
        <v>7842.0904982783031</v>
      </c>
      <c r="AL2484" s="91">
        <v>7842.0904982783031</v>
      </c>
      <c r="AM2484" s="91">
        <v>7842.0904982783031</v>
      </c>
      <c r="AN2484" s="91">
        <v>7842.0904982783031</v>
      </c>
      <c r="AO2484" s="91">
        <v>7842.0904982783031</v>
      </c>
      <c r="AP2484" s="91">
        <v>7842.0904982783031</v>
      </c>
      <c r="AQ2484" s="91">
        <v>7842.0904982783031</v>
      </c>
      <c r="AR2484" s="91">
        <v>7842.0904982783031</v>
      </c>
      <c r="AS2484" s="91">
        <v>7842.0904982783031</v>
      </c>
      <c r="AT2484" s="91">
        <v>7842.0904982783031</v>
      </c>
      <c r="AU2484" s="91">
        <v>7842.0904982783031</v>
      </c>
      <c r="AV2484" s="91">
        <v>7842.0904982783031</v>
      </c>
      <c r="AW2484" s="91">
        <v>7842.0904982783031</v>
      </c>
      <c r="AX2484" s="92">
        <v>7842.0904982783031</v>
      </c>
    </row>
    <row r="2485" spans="1:50" x14ac:dyDescent="0.25">
      <c r="A2485" s="356"/>
      <c r="B2485" s="359"/>
      <c r="C2485" s="350"/>
      <c r="D2485" s="2" t="s">
        <v>10</v>
      </c>
      <c r="E2485" s="160" t="str">
        <f>A2483&amp;"/"&amp;B2483&amp;"/"&amp;C2483&amp;"/"&amp;D2485</f>
        <v>Derived gas fired power plants/Steam turbine/Electricity only/S</v>
      </c>
      <c r="F2485" s="76" t="str">
        <f>A2483</f>
        <v>Derived gas fired power plants</v>
      </c>
      <c r="G2485" s="76" t="str">
        <f>B2483</f>
        <v>Steam turbine</v>
      </c>
      <c r="H2485" s="76" t="str">
        <f>C2483</f>
        <v>Electricity only</v>
      </c>
      <c r="I2485" s="161" t="str">
        <f t="shared" si="119"/>
        <v>S</v>
      </c>
      <c r="J2485" s="91">
        <v>7403.6197018689609</v>
      </c>
      <c r="K2485" s="91">
        <v>7403.6197018689609</v>
      </c>
      <c r="L2485" s="91">
        <v>7403.6197018689609</v>
      </c>
      <c r="M2485" s="91">
        <v>7403.6197018689609</v>
      </c>
      <c r="N2485" s="91">
        <v>7403.6197018689609</v>
      </c>
      <c r="O2485" s="91">
        <v>7403.6197018689609</v>
      </c>
      <c r="P2485" s="91">
        <v>7403.6197018689609</v>
      </c>
      <c r="Q2485" s="91">
        <v>7403.6197018689609</v>
      </c>
      <c r="R2485" s="91">
        <v>7403.6197018689609</v>
      </c>
      <c r="S2485" s="91">
        <v>7403.6197018689609</v>
      </c>
      <c r="T2485" s="91">
        <v>7403.6197018689609</v>
      </c>
      <c r="U2485" s="91">
        <v>7403.6197018689609</v>
      </c>
      <c r="V2485" s="91">
        <v>7403.6197018689609</v>
      </c>
      <c r="W2485" s="91">
        <v>7403.6197018689609</v>
      </c>
      <c r="X2485" s="91">
        <v>7403.6197018689609</v>
      </c>
      <c r="Y2485" s="91">
        <v>7403.6197018689609</v>
      </c>
      <c r="Z2485" s="91">
        <v>7403.6197018689609</v>
      </c>
      <c r="AA2485" s="91">
        <v>7403.6197018689609</v>
      </c>
      <c r="AB2485" s="91">
        <v>7403.6197018689609</v>
      </c>
      <c r="AC2485" s="91">
        <v>7403.6197018689609</v>
      </c>
      <c r="AD2485" s="91">
        <v>7403.6197018689609</v>
      </c>
      <c r="AE2485" s="91">
        <v>7403.6197018689609</v>
      </c>
      <c r="AF2485" s="91">
        <v>7403.6197018689609</v>
      </c>
      <c r="AG2485" s="91">
        <v>7403.6197018689609</v>
      </c>
      <c r="AH2485" s="91">
        <v>7403.6197018689609</v>
      </c>
      <c r="AI2485" s="91">
        <v>7403.6197018689609</v>
      </c>
      <c r="AJ2485" s="91">
        <v>7403.6197018689609</v>
      </c>
      <c r="AK2485" s="91">
        <v>7403.6197018689609</v>
      </c>
      <c r="AL2485" s="91">
        <v>7403.6197018689609</v>
      </c>
      <c r="AM2485" s="91">
        <v>7403.6197018689609</v>
      </c>
      <c r="AN2485" s="91">
        <v>7403.6197018689609</v>
      </c>
      <c r="AO2485" s="91">
        <v>7403.6197018689609</v>
      </c>
      <c r="AP2485" s="91">
        <v>7403.6197018689609</v>
      </c>
      <c r="AQ2485" s="91">
        <v>7403.6197018689609</v>
      </c>
      <c r="AR2485" s="91">
        <v>7403.6197018689609</v>
      </c>
      <c r="AS2485" s="91">
        <v>7403.6197018689609</v>
      </c>
      <c r="AT2485" s="91">
        <v>7403.6197018689609</v>
      </c>
      <c r="AU2485" s="91">
        <v>7403.6197018689609</v>
      </c>
      <c r="AV2485" s="91">
        <v>7403.6197018689609</v>
      </c>
      <c r="AW2485" s="91">
        <v>7403.6197018689609</v>
      </c>
      <c r="AX2485" s="92">
        <v>7403.6197018689609</v>
      </c>
    </row>
    <row r="2486" spans="1:50" x14ac:dyDescent="0.25">
      <c r="A2486" s="356"/>
      <c r="B2486" s="359"/>
      <c r="C2486" s="360"/>
      <c r="D2486" s="2" t="s">
        <v>20</v>
      </c>
      <c r="E2486" s="160" t="str">
        <f>A2483&amp;"/"&amp;B2483&amp;"/"&amp;C2483&amp;"/"&amp;D2486</f>
        <v>Derived gas fired power plants/Steam turbine/Electricity only/XS</v>
      </c>
      <c r="F2486" s="76" t="str">
        <f>A2483</f>
        <v>Derived gas fired power plants</v>
      </c>
      <c r="G2486" s="76" t="str">
        <f>B2483</f>
        <v>Steam turbine</v>
      </c>
      <c r="H2486" s="76" t="str">
        <f>C2483</f>
        <v>Electricity only</v>
      </c>
      <c r="I2486" s="161" t="str">
        <f t="shared" si="119"/>
        <v>XS</v>
      </c>
      <c r="J2486" s="91">
        <v>7166.8429484236249</v>
      </c>
      <c r="K2486" s="91">
        <v>7166.8429484236249</v>
      </c>
      <c r="L2486" s="91">
        <v>7166.8429484236249</v>
      </c>
      <c r="M2486" s="91">
        <v>7166.8429484236249</v>
      </c>
      <c r="N2486" s="91">
        <v>7166.8429484236249</v>
      </c>
      <c r="O2486" s="91">
        <v>7166.8429484236249</v>
      </c>
      <c r="P2486" s="91">
        <v>7166.8429484236249</v>
      </c>
      <c r="Q2486" s="91">
        <v>7166.8429484236249</v>
      </c>
      <c r="R2486" s="91">
        <v>7166.8429484236249</v>
      </c>
      <c r="S2486" s="91">
        <v>7166.8429484236249</v>
      </c>
      <c r="T2486" s="91">
        <v>7166.8429484236249</v>
      </c>
      <c r="U2486" s="91">
        <v>7166.8429484236249</v>
      </c>
      <c r="V2486" s="91">
        <v>7166.8429484236249</v>
      </c>
      <c r="W2486" s="91">
        <v>7166.8429484236249</v>
      </c>
      <c r="X2486" s="91">
        <v>7166.8429484236249</v>
      </c>
      <c r="Y2486" s="91">
        <v>7166.8429484236249</v>
      </c>
      <c r="Z2486" s="91">
        <v>7166.8429484236249</v>
      </c>
      <c r="AA2486" s="91">
        <v>7166.8429484236249</v>
      </c>
      <c r="AB2486" s="91">
        <v>7166.8429484236249</v>
      </c>
      <c r="AC2486" s="91">
        <v>7166.8429484236249</v>
      </c>
      <c r="AD2486" s="91">
        <v>7166.8429484236249</v>
      </c>
      <c r="AE2486" s="91">
        <v>7166.8429484236249</v>
      </c>
      <c r="AF2486" s="91">
        <v>7166.8429484236249</v>
      </c>
      <c r="AG2486" s="91">
        <v>7166.8429484236249</v>
      </c>
      <c r="AH2486" s="91">
        <v>7166.8429484236249</v>
      </c>
      <c r="AI2486" s="91">
        <v>7166.8429484236249</v>
      </c>
      <c r="AJ2486" s="91">
        <v>7166.8429484236249</v>
      </c>
      <c r="AK2486" s="91">
        <v>7166.8429484236249</v>
      </c>
      <c r="AL2486" s="91">
        <v>7166.8429484236249</v>
      </c>
      <c r="AM2486" s="91">
        <v>7166.8429484236249</v>
      </c>
      <c r="AN2486" s="91">
        <v>7166.8429484236249</v>
      </c>
      <c r="AO2486" s="91">
        <v>7166.8429484236249</v>
      </c>
      <c r="AP2486" s="91">
        <v>7166.8429484236249</v>
      </c>
      <c r="AQ2486" s="91">
        <v>7166.8429484236249</v>
      </c>
      <c r="AR2486" s="91">
        <v>7166.8429484236249</v>
      </c>
      <c r="AS2486" s="91">
        <v>7166.8429484236249</v>
      </c>
      <c r="AT2486" s="91">
        <v>7166.8429484236249</v>
      </c>
      <c r="AU2486" s="91">
        <v>7166.8429484236249</v>
      </c>
      <c r="AV2486" s="91">
        <v>7166.8429484236249</v>
      </c>
      <c r="AW2486" s="91">
        <v>7166.8429484236249</v>
      </c>
      <c r="AX2486" s="92">
        <v>7166.8429484236249</v>
      </c>
    </row>
    <row r="2487" spans="1:50" x14ac:dyDescent="0.25">
      <c r="A2487" s="356"/>
      <c r="B2487" s="359"/>
      <c r="C2487" s="361" t="s">
        <v>14</v>
      </c>
      <c r="D2487" s="58" t="s">
        <v>7</v>
      </c>
      <c r="E2487" s="164" t="str">
        <f>A2483&amp;"/"&amp;B2483&amp;"/"&amp;C2487&amp;"/"&amp;D2487</f>
        <v>Derived gas fired power plants/Steam turbine/CHP/L</v>
      </c>
      <c r="F2487" s="78" t="str">
        <f>A2483</f>
        <v>Derived gas fired power plants</v>
      </c>
      <c r="G2487" s="78" t="str">
        <f>B2483</f>
        <v>Steam turbine</v>
      </c>
      <c r="H2487" s="78" t="str">
        <f>C2487</f>
        <v>CHP</v>
      </c>
      <c r="I2487" s="165" t="str">
        <f t="shared" si="119"/>
        <v>L</v>
      </c>
      <c r="J2487" s="95">
        <v>7790</v>
      </c>
      <c r="K2487" s="95">
        <v>7790</v>
      </c>
      <c r="L2487" s="95">
        <v>7790</v>
      </c>
      <c r="M2487" s="95">
        <v>7790</v>
      </c>
      <c r="N2487" s="95">
        <v>7790</v>
      </c>
      <c r="O2487" s="95">
        <v>7790</v>
      </c>
      <c r="P2487" s="95">
        <v>7790</v>
      </c>
      <c r="Q2487" s="95">
        <v>7790</v>
      </c>
      <c r="R2487" s="95">
        <v>7790</v>
      </c>
      <c r="S2487" s="95">
        <v>7790</v>
      </c>
      <c r="T2487" s="95">
        <v>7790</v>
      </c>
      <c r="U2487" s="95">
        <v>7790</v>
      </c>
      <c r="V2487" s="95">
        <v>7790</v>
      </c>
      <c r="W2487" s="95">
        <v>7790</v>
      </c>
      <c r="X2487" s="95">
        <v>7790</v>
      </c>
      <c r="Y2487" s="95">
        <v>7790</v>
      </c>
      <c r="Z2487" s="95">
        <v>7790</v>
      </c>
      <c r="AA2487" s="95">
        <v>7790</v>
      </c>
      <c r="AB2487" s="95">
        <v>7790</v>
      </c>
      <c r="AC2487" s="95">
        <v>7790</v>
      </c>
      <c r="AD2487" s="95">
        <v>7790</v>
      </c>
      <c r="AE2487" s="95">
        <v>7790</v>
      </c>
      <c r="AF2487" s="95">
        <v>7790</v>
      </c>
      <c r="AG2487" s="95">
        <v>7790</v>
      </c>
      <c r="AH2487" s="95">
        <v>7790</v>
      </c>
      <c r="AI2487" s="95">
        <v>7790</v>
      </c>
      <c r="AJ2487" s="95">
        <v>7790</v>
      </c>
      <c r="AK2487" s="95">
        <v>7790</v>
      </c>
      <c r="AL2487" s="95">
        <v>7790</v>
      </c>
      <c r="AM2487" s="95">
        <v>7790</v>
      </c>
      <c r="AN2487" s="95">
        <v>7790</v>
      </c>
      <c r="AO2487" s="95">
        <v>7790</v>
      </c>
      <c r="AP2487" s="95">
        <v>7790</v>
      </c>
      <c r="AQ2487" s="95">
        <v>7790</v>
      </c>
      <c r="AR2487" s="95">
        <v>7790</v>
      </c>
      <c r="AS2487" s="95">
        <v>7790</v>
      </c>
      <c r="AT2487" s="95">
        <v>7790</v>
      </c>
      <c r="AU2487" s="95">
        <v>7790</v>
      </c>
      <c r="AV2487" s="95">
        <v>7790</v>
      </c>
      <c r="AW2487" s="95">
        <v>7790</v>
      </c>
      <c r="AX2487" s="96">
        <v>7790</v>
      </c>
    </row>
    <row r="2488" spans="1:50" x14ac:dyDescent="0.25">
      <c r="A2488" s="356"/>
      <c r="B2488" s="359"/>
      <c r="C2488" s="350"/>
      <c r="D2488" s="2" t="s">
        <v>8</v>
      </c>
      <c r="E2488" s="160" t="str">
        <f>A2483&amp;"/"&amp;B2483&amp;"/"&amp;C2487&amp;"/"&amp;D2488</f>
        <v>Derived gas fired power plants/Steam turbine/CHP/M</v>
      </c>
      <c r="F2488" s="76" t="str">
        <f>A2483</f>
        <v>Derived gas fired power plants</v>
      </c>
      <c r="G2488" s="76" t="str">
        <f>B2483</f>
        <v>Steam turbine</v>
      </c>
      <c r="H2488" s="76" t="str">
        <f>C2487</f>
        <v>CHP</v>
      </c>
      <c r="I2488" s="161" t="str">
        <f t="shared" si="119"/>
        <v>M</v>
      </c>
      <c r="J2488" s="91">
        <v>7449.985973364388</v>
      </c>
      <c r="K2488" s="91">
        <v>7449.985973364388</v>
      </c>
      <c r="L2488" s="91">
        <v>7449.985973364388</v>
      </c>
      <c r="M2488" s="91">
        <v>7449.985973364388</v>
      </c>
      <c r="N2488" s="91">
        <v>7449.985973364388</v>
      </c>
      <c r="O2488" s="91">
        <v>7449.985973364388</v>
      </c>
      <c r="P2488" s="91">
        <v>7449.985973364388</v>
      </c>
      <c r="Q2488" s="91">
        <v>7449.985973364388</v>
      </c>
      <c r="R2488" s="91">
        <v>7449.985973364388</v>
      </c>
      <c r="S2488" s="91">
        <v>7449.985973364388</v>
      </c>
      <c r="T2488" s="91">
        <v>7449.985973364388</v>
      </c>
      <c r="U2488" s="91">
        <v>7449.985973364388</v>
      </c>
      <c r="V2488" s="91">
        <v>7449.985973364388</v>
      </c>
      <c r="W2488" s="91">
        <v>7449.985973364388</v>
      </c>
      <c r="X2488" s="91">
        <v>7449.985973364388</v>
      </c>
      <c r="Y2488" s="91">
        <v>7449.985973364388</v>
      </c>
      <c r="Z2488" s="91">
        <v>7449.985973364388</v>
      </c>
      <c r="AA2488" s="91">
        <v>7449.985973364388</v>
      </c>
      <c r="AB2488" s="91">
        <v>7449.985973364388</v>
      </c>
      <c r="AC2488" s="91">
        <v>7449.985973364388</v>
      </c>
      <c r="AD2488" s="91">
        <v>7449.985973364388</v>
      </c>
      <c r="AE2488" s="91">
        <v>7449.985973364388</v>
      </c>
      <c r="AF2488" s="91">
        <v>7449.985973364388</v>
      </c>
      <c r="AG2488" s="91">
        <v>7449.985973364388</v>
      </c>
      <c r="AH2488" s="91">
        <v>7449.985973364388</v>
      </c>
      <c r="AI2488" s="91">
        <v>7449.985973364388</v>
      </c>
      <c r="AJ2488" s="91">
        <v>7449.985973364388</v>
      </c>
      <c r="AK2488" s="91">
        <v>7449.985973364388</v>
      </c>
      <c r="AL2488" s="91">
        <v>7449.985973364388</v>
      </c>
      <c r="AM2488" s="91">
        <v>7449.985973364388</v>
      </c>
      <c r="AN2488" s="91">
        <v>7449.985973364388</v>
      </c>
      <c r="AO2488" s="91">
        <v>7449.985973364388</v>
      </c>
      <c r="AP2488" s="91">
        <v>7449.985973364388</v>
      </c>
      <c r="AQ2488" s="91">
        <v>7449.985973364388</v>
      </c>
      <c r="AR2488" s="91">
        <v>7449.985973364388</v>
      </c>
      <c r="AS2488" s="91">
        <v>7449.985973364388</v>
      </c>
      <c r="AT2488" s="91">
        <v>7449.985973364388</v>
      </c>
      <c r="AU2488" s="91">
        <v>7449.985973364388</v>
      </c>
      <c r="AV2488" s="91">
        <v>7449.985973364388</v>
      </c>
      <c r="AW2488" s="91">
        <v>7449.985973364388</v>
      </c>
      <c r="AX2488" s="92">
        <v>7449.985973364388</v>
      </c>
    </row>
    <row r="2489" spans="1:50" x14ac:dyDescent="0.25">
      <c r="A2489" s="356"/>
      <c r="B2489" s="359"/>
      <c r="C2489" s="350"/>
      <c r="D2489" s="2" t="s">
        <v>10</v>
      </c>
      <c r="E2489" s="160" t="str">
        <f>A2483&amp;"/"&amp;B2483&amp;"/"&amp;C2487&amp;"/"&amp;D2489</f>
        <v>Derived gas fired power plants/Steam turbine/CHP/S</v>
      </c>
      <c r="F2489" s="76" t="str">
        <f>A2483</f>
        <v>Derived gas fired power plants</v>
      </c>
      <c r="G2489" s="76" t="str">
        <f>B2483</f>
        <v>Steam turbine</v>
      </c>
      <c r="H2489" s="76" t="str">
        <f>C2487</f>
        <v>CHP</v>
      </c>
      <c r="I2489" s="161" t="str">
        <f t="shared" si="119"/>
        <v>S</v>
      </c>
      <c r="J2489" s="91">
        <v>7033.4387167755131</v>
      </c>
      <c r="K2489" s="91">
        <v>7033.4387167755131</v>
      </c>
      <c r="L2489" s="91">
        <v>7033.4387167755131</v>
      </c>
      <c r="M2489" s="91">
        <v>7033.4387167755131</v>
      </c>
      <c r="N2489" s="91">
        <v>7033.4387167755131</v>
      </c>
      <c r="O2489" s="91">
        <v>7033.4387167755131</v>
      </c>
      <c r="P2489" s="91">
        <v>7033.4387167755131</v>
      </c>
      <c r="Q2489" s="91">
        <v>7033.4387167755131</v>
      </c>
      <c r="R2489" s="91">
        <v>7033.4387167755131</v>
      </c>
      <c r="S2489" s="91">
        <v>7033.4387167755131</v>
      </c>
      <c r="T2489" s="91">
        <v>7033.4387167755131</v>
      </c>
      <c r="U2489" s="91">
        <v>7033.4387167755131</v>
      </c>
      <c r="V2489" s="91">
        <v>7033.4387167755131</v>
      </c>
      <c r="W2489" s="91">
        <v>7033.4387167755131</v>
      </c>
      <c r="X2489" s="91">
        <v>7033.4387167755131</v>
      </c>
      <c r="Y2489" s="91">
        <v>7033.4387167755131</v>
      </c>
      <c r="Z2489" s="91">
        <v>7033.4387167755131</v>
      </c>
      <c r="AA2489" s="91">
        <v>7033.4387167755131</v>
      </c>
      <c r="AB2489" s="91">
        <v>7033.4387167755131</v>
      </c>
      <c r="AC2489" s="91">
        <v>7033.4387167755131</v>
      </c>
      <c r="AD2489" s="91">
        <v>7033.4387167755131</v>
      </c>
      <c r="AE2489" s="91">
        <v>7033.4387167755131</v>
      </c>
      <c r="AF2489" s="91">
        <v>7033.4387167755131</v>
      </c>
      <c r="AG2489" s="91">
        <v>7033.4387167755131</v>
      </c>
      <c r="AH2489" s="91">
        <v>7033.4387167755131</v>
      </c>
      <c r="AI2489" s="91">
        <v>7033.4387167755131</v>
      </c>
      <c r="AJ2489" s="91">
        <v>7033.4387167755131</v>
      </c>
      <c r="AK2489" s="91">
        <v>7033.4387167755131</v>
      </c>
      <c r="AL2489" s="91">
        <v>7033.4387167755131</v>
      </c>
      <c r="AM2489" s="91">
        <v>7033.4387167755131</v>
      </c>
      <c r="AN2489" s="91">
        <v>7033.4387167755131</v>
      </c>
      <c r="AO2489" s="91">
        <v>7033.4387167755131</v>
      </c>
      <c r="AP2489" s="91">
        <v>7033.4387167755131</v>
      </c>
      <c r="AQ2489" s="91">
        <v>7033.4387167755131</v>
      </c>
      <c r="AR2489" s="91">
        <v>7033.4387167755131</v>
      </c>
      <c r="AS2489" s="91">
        <v>7033.4387167755131</v>
      </c>
      <c r="AT2489" s="91">
        <v>7033.4387167755131</v>
      </c>
      <c r="AU2489" s="91">
        <v>7033.4387167755131</v>
      </c>
      <c r="AV2489" s="91">
        <v>7033.4387167755131</v>
      </c>
      <c r="AW2489" s="91">
        <v>7033.4387167755131</v>
      </c>
      <c r="AX2489" s="92">
        <v>7033.4387167755131</v>
      </c>
    </row>
    <row r="2490" spans="1:50" x14ac:dyDescent="0.25">
      <c r="A2490" s="356"/>
      <c r="B2490" s="359"/>
      <c r="C2490" s="360"/>
      <c r="D2490" s="59" t="s">
        <v>20</v>
      </c>
      <c r="E2490" s="166" t="str">
        <f>A2483&amp;"/"&amp;B2483&amp;"/"&amp;C2487&amp;"/"&amp;D2490</f>
        <v>Derived gas fired power plants/Steam turbine/CHP/XS</v>
      </c>
      <c r="F2490" s="79" t="str">
        <f>A2483</f>
        <v>Derived gas fired power plants</v>
      </c>
      <c r="G2490" s="79" t="str">
        <f>B2483</f>
        <v>Steam turbine</v>
      </c>
      <c r="H2490" s="79" t="str">
        <f>C2487</f>
        <v>CHP</v>
      </c>
      <c r="I2490" s="167" t="str">
        <f t="shared" si="119"/>
        <v>XS</v>
      </c>
      <c r="J2490" s="97">
        <v>6808.5008010024439</v>
      </c>
      <c r="K2490" s="97">
        <v>6808.5008010024439</v>
      </c>
      <c r="L2490" s="97">
        <v>6808.5008010024439</v>
      </c>
      <c r="M2490" s="97">
        <v>6808.5008010024439</v>
      </c>
      <c r="N2490" s="97">
        <v>6808.5008010024439</v>
      </c>
      <c r="O2490" s="97">
        <v>6808.5008010024439</v>
      </c>
      <c r="P2490" s="97">
        <v>6808.5008010024439</v>
      </c>
      <c r="Q2490" s="97">
        <v>6808.5008010024439</v>
      </c>
      <c r="R2490" s="97">
        <v>6808.5008010024439</v>
      </c>
      <c r="S2490" s="97">
        <v>6808.5008010024439</v>
      </c>
      <c r="T2490" s="97">
        <v>6808.5008010024439</v>
      </c>
      <c r="U2490" s="97">
        <v>6808.5008010024439</v>
      </c>
      <c r="V2490" s="97">
        <v>6808.5008010024439</v>
      </c>
      <c r="W2490" s="97">
        <v>6808.5008010024439</v>
      </c>
      <c r="X2490" s="97">
        <v>6808.5008010024439</v>
      </c>
      <c r="Y2490" s="97">
        <v>6808.5008010024439</v>
      </c>
      <c r="Z2490" s="97">
        <v>6808.5008010024439</v>
      </c>
      <c r="AA2490" s="97">
        <v>6808.5008010024439</v>
      </c>
      <c r="AB2490" s="97">
        <v>6808.5008010024439</v>
      </c>
      <c r="AC2490" s="97">
        <v>6808.5008010024439</v>
      </c>
      <c r="AD2490" s="97">
        <v>6808.5008010024439</v>
      </c>
      <c r="AE2490" s="97">
        <v>6808.5008010024439</v>
      </c>
      <c r="AF2490" s="97">
        <v>6808.5008010024439</v>
      </c>
      <c r="AG2490" s="97">
        <v>6808.5008010024439</v>
      </c>
      <c r="AH2490" s="97">
        <v>6808.5008010024439</v>
      </c>
      <c r="AI2490" s="97">
        <v>6808.5008010024439</v>
      </c>
      <c r="AJ2490" s="97">
        <v>6808.5008010024439</v>
      </c>
      <c r="AK2490" s="97">
        <v>6808.5008010024439</v>
      </c>
      <c r="AL2490" s="97">
        <v>6808.5008010024439</v>
      </c>
      <c r="AM2490" s="97">
        <v>6808.5008010024439</v>
      </c>
      <c r="AN2490" s="97">
        <v>6808.5008010024439</v>
      </c>
      <c r="AO2490" s="97">
        <v>6808.5008010024439</v>
      </c>
      <c r="AP2490" s="97">
        <v>6808.5008010024439</v>
      </c>
      <c r="AQ2490" s="97">
        <v>6808.5008010024439</v>
      </c>
      <c r="AR2490" s="97">
        <v>6808.5008010024439</v>
      </c>
      <c r="AS2490" s="97">
        <v>6808.5008010024439</v>
      </c>
      <c r="AT2490" s="97">
        <v>6808.5008010024439</v>
      </c>
      <c r="AU2490" s="97">
        <v>6808.5008010024439</v>
      </c>
      <c r="AV2490" s="97">
        <v>6808.5008010024439</v>
      </c>
      <c r="AW2490" s="97">
        <v>6808.5008010024439</v>
      </c>
      <c r="AX2490" s="98">
        <v>6808.5008010024439</v>
      </c>
    </row>
    <row r="2491" spans="1:50" x14ac:dyDescent="0.25">
      <c r="A2491" s="356"/>
      <c r="B2491" s="359"/>
      <c r="C2491" s="361" t="s">
        <v>15</v>
      </c>
      <c r="D2491" s="58" t="s">
        <v>7</v>
      </c>
      <c r="E2491" s="164" t="str">
        <f>A2483&amp;"/"&amp;B2483&amp;"/"&amp;C2491&amp;"/"&amp;D2491</f>
        <v>Derived gas fired power plants/Steam turbine/Electricity only with CCS/L</v>
      </c>
      <c r="F2491" s="78" t="str">
        <f>A2483</f>
        <v>Derived gas fired power plants</v>
      </c>
      <c r="G2491" s="78" t="str">
        <f>B2483</f>
        <v>Steam turbine</v>
      </c>
      <c r="H2491" s="78" t="str">
        <f>C2491</f>
        <v>Electricity only with CCS</v>
      </c>
      <c r="I2491" s="165" t="str">
        <f t="shared" si="119"/>
        <v>L</v>
      </c>
      <c r="J2491" s="95" t="s">
        <v>112</v>
      </c>
      <c r="K2491" s="95" t="s">
        <v>112</v>
      </c>
      <c r="L2491" s="95" t="s">
        <v>112</v>
      </c>
      <c r="M2491" s="95" t="s">
        <v>112</v>
      </c>
      <c r="N2491" s="95" t="s">
        <v>112</v>
      </c>
      <c r="O2491" s="95" t="s">
        <v>112</v>
      </c>
      <c r="P2491" s="95" t="s">
        <v>112</v>
      </c>
      <c r="Q2491" s="95" t="s">
        <v>112</v>
      </c>
      <c r="R2491" s="95" t="s">
        <v>112</v>
      </c>
      <c r="S2491" s="95" t="s">
        <v>112</v>
      </c>
      <c r="T2491" s="95" t="s">
        <v>112</v>
      </c>
      <c r="U2491" s="95" t="s">
        <v>112</v>
      </c>
      <c r="V2491" s="95" t="s">
        <v>112</v>
      </c>
      <c r="W2491" s="95" t="s">
        <v>112</v>
      </c>
      <c r="X2491" s="95" t="s">
        <v>112</v>
      </c>
      <c r="Y2491" s="95" t="s">
        <v>112</v>
      </c>
      <c r="Z2491" s="95" t="s">
        <v>112</v>
      </c>
      <c r="AA2491" s="95" t="s">
        <v>112</v>
      </c>
      <c r="AB2491" s="95" t="s">
        <v>112</v>
      </c>
      <c r="AC2491" s="95" t="s">
        <v>112</v>
      </c>
      <c r="AD2491" s="95" t="s">
        <v>112</v>
      </c>
      <c r="AE2491" s="95">
        <v>8200</v>
      </c>
      <c r="AF2491" s="95">
        <v>8200</v>
      </c>
      <c r="AG2491" s="95">
        <v>8200</v>
      </c>
      <c r="AH2491" s="95">
        <v>8200</v>
      </c>
      <c r="AI2491" s="95">
        <v>8200</v>
      </c>
      <c r="AJ2491" s="95">
        <v>8200</v>
      </c>
      <c r="AK2491" s="95">
        <v>8200</v>
      </c>
      <c r="AL2491" s="95">
        <v>8200</v>
      </c>
      <c r="AM2491" s="95">
        <v>8200</v>
      </c>
      <c r="AN2491" s="95">
        <v>8200</v>
      </c>
      <c r="AO2491" s="95">
        <v>8200</v>
      </c>
      <c r="AP2491" s="95">
        <v>8200</v>
      </c>
      <c r="AQ2491" s="95">
        <v>8200</v>
      </c>
      <c r="AR2491" s="95">
        <v>8200</v>
      </c>
      <c r="AS2491" s="95">
        <v>8200</v>
      </c>
      <c r="AT2491" s="95">
        <v>8200</v>
      </c>
      <c r="AU2491" s="95">
        <v>8200</v>
      </c>
      <c r="AV2491" s="95">
        <v>8200</v>
      </c>
      <c r="AW2491" s="95">
        <v>8200</v>
      </c>
      <c r="AX2491" s="96">
        <v>8200</v>
      </c>
    </row>
    <row r="2492" spans="1:50" x14ac:dyDescent="0.25">
      <c r="A2492" s="356"/>
      <c r="B2492" s="359"/>
      <c r="C2492" s="360"/>
      <c r="D2492" s="59" t="s">
        <v>8</v>
      </c>
      <c r="E2492" s="166" t="str">
        <f>A2483&amp;"/"&amp;B2483&amp;"/"&amp;C2491&amp;"/"&amp;D2492</f>
        <v>Derived gas fired power plants/Steam turbine/Electricity only with CCS/M</v>
      </c>
      <c r="F2492" s="79" t="str">
        <f>A2483</f>
        <v>Derived gas fired power plants</v>
      </c>
      <c r="G2492" s="79" t="str">
        <f>B2483</f>
        <v>Steam turbine</v>
      </c>
      <c r="H2492" s="79" t="str">
        <f>C2491</f>
        <v>Electricity only with CCS</v>
      </c>
      <c r="I2492" s="167" t="str">
        <f t="shared" si="119"/>
        <v>M</v>
      </c>
      <c r="J2492" s="97" t="s">
        <v>112</v>
      </c>
      <c r="K2492" s="97" t="s">
        <v>112</v>
      </c>
      <c r="L2492" s="97" t="s">
        <v>112</v>
      </c>
      <c r="M2492" s="97" t="s">
        <v>112</v>
      </c>
      <c r="N2492" s="97" t="s">
        <v>112</v>
      </c>
      <c r="O2492" s="97" t="s">
        <v>112</v>
      </c>
      <c r="P2492" s="97" t="s">
        <v>112</v>
      </c>
      <c r="Q2492" s="97" t="s">
        <v>112</v>
      </c>
      <c r="R2492" s="97" t="s">
        <v>112</v>
      </c>
      <c r="S2492" s="97" t="s">
        <v>112</v>
      </c>
      <c r="T2492" s="97" t="s">
        <v>112</v>
      </c>
      <c r="U2492" s="97" t="s">
        <v>112</v>
      </c>
      <c r="V2492" s="97" t="s">
        <v>112</v>
      </c>
      <c r="W2492" s="97" t="s">
        <v>112</v>
      </c>
      <c r="X2492" s="97" t="s">
        <v>112</v>
      </c>
      <c r="Y2492" s="97" t="s">
        <v>112</v>
      </c>
      <c r="Z2492" s="97" t="s">
        <v>112</v>
      </c>
      <c r="AA2492" s="97" t="s">
        <v>112</v>
      </c>
      <c r="AB2492" s="97" t="s">
        <v>112</v>
      </c>
      <c r="AC2492" s="97" t="s">
        <v>112</v>
      </c>
      <c r="AD2492" s="97" t="s">
        <v>112</v>
      </c>
      <c r="AE2492" s="97">
        <v>7842.0904982783031</v>
      </c>
      <c r="AF2492" s="97">
        <v>7842.0904982783031</v>
      </c>
      <c r="AG2492" s="97">
        <v>7842.0904982783031</v>
      </c>
      <c r="AH2492" s="97">
        <v>7842.0904982783031</v>
      </c>
      <c r="AI2492" s="97">
        <v>7842.0904982783031</v>
      </c>
      <c r="AJ2492" s="97">
        <v>7842.0904982783031</v>
      </c>
      <c r="AK2492" s="97">
        <v>7842.0904982783031</v>
      </c>
      <c r="AL2492" s="97">
        <v>7842.0904982783031</v>
      </c>
      <c r="AM2492" s="97">
        <v>7842.0904982783031</v>
      </c>
      <c r="AN2492" s="97">
        <v>7842.0904982783031</v>
      </c>
      <c r="AO2492" s="97">
        <v>7842.0904982783031</v>
      </c>
      <c r="AP2492" s="97">
        <v>7842.0904982783031</v>
      </c>
      <c r="AQ2492" s="97">
        <v>7842.0904982783031</v>
      </c>
      <c r="AR2492" s="97">
        <v>7842.0904982783031</v>
      </c>
      <c r="AS2492" s="97">
        <v>7842.0904982783031</v>
      </c>
      <c r="AT2492" s="97">
        <v>7842.0904982783031</v>
      </c>
      <c r="AU2492" s="97">
        <v>7842.0904982783031</v>
      </c>
      <c r="AV2492" s="97">
        <v>7842.0904982783031</v>
      </c>
      <c r="AW2492" s="97">
        <v>7842.0904982783031</v>
      </c>
      <c r="AX2492" s="98">
        <v>7842.0904982783031</v>
      </c>
    </row>
    <row r="2493" spans="1:50" x14ac:dyDescent="0.25">
      <c r="A2493" s="356"/>
      <c r="B2493" s="359"/>
      <c r="C2493" s="361" t="s">
        <v>16</v>
      </c>
      <c r="D2493" s="2" t="s">
        <v>7</v>
      </c>
      <c r="E2493" s="160" t="str">
        <f>A2483&amp;"/"&amp;B2483&amp;"/"&amp;C2493&amp;"/"&amp;D2493</f>
        <v>Derived gas fired power plants/Steam turbine/CHP with CCS/L</v>
      </c>
      <c r="F2493" s="76" t="str">
        <f>A2483</f>
        <v>Derived gas fired power plants</v>
      </c>
      <c r="G2493" s="76" t="str">
        <f>B2483</f>
        <v>Steam turbine</v>
      </c>
      <c r="H2493" s="76" t="str">
        <f>C2493</f>
        <v>CHP with CCS</v>
      </c>
      <c r="I2493" s="161" t="str">
        <f t="shared" si="119"/>
        <v>L</v>
      </c>
      <c r="J2493" s="91" t="s">
        <v>112</v>
      </c>
      <c r="K2493" s="91" t="s">
        <v>112</v>
      </c>
      <c r="L2493" s="91" t="s">
        <v>112</v>
      </c>
      <c r="M2493" s="91" t="s">
        <v>112</v>
      </c>
      <c r="N2493" s="91" t="s">
        <v>112</v>
      </c>
      <c r="O2493" s="91" t="s">
        <v>112</v>
      </c>
      <c r="P2493" s="91" t="s">
        <v>112</v>
      </c>
      <c r="Q2493" s="91" t="s">
        <v>112</v>
      </c>
      <c r="R2493" s="91" t="s">
        <v>112</v>
      </c>
      <c r="S2493" s="91" t="s">
        <v>112</v>
      </c>
      <c r="T2493" s="91" t="s">
        <v>112</v>
      </c>
      <c r="U2493" s="91" t="s">
        <v>112</v>
      </c>
      <c r="V2493" s="91" t="s">
        <v>112</v>
      </c>
      <c r="W2493" s="91" t="s">
        <v>112</v>
      </c>
      <c r="X2493" s="91" t="s">
        <v>112</v>
      </c>
      <c r="Y2493" s="91" t="s">
        <v>112</v>
      </c>
      <c r="Z2493" s="91" t="s">
        <v>112</v>
      </c>
      <c r="AA2493" s="91" t="s">
        <v>112</v>
      </c>
      <c r="AB2493" s="91" t="s">
        <v>112</v>
      </c>
      <c r="AC2493" s="91" t="s">
        <v>112</v>
      </c>
      <c r="AD2493" s="91" t="s">
        <v>112</v>
      </c>
      <c r="AE2493" s="91">
        <v>7790</v>
      </c>
      <c r="AF2493" s="91">
        <v>7790</v>
      </c>
      <c r="AG2493" s="91">
        <v>7790</v>
      </c>
      <c r="AH2493" s="91">
        <v>7790</v>
      </c>
      <c r="AI2493" s="91">
        <v>7790</v>
      </c>
      <c r="AJ2493" s="91">
        <v>7790</v>
      </c>
      <c r="AK2493" s="91">
        <v>7790</v>
      </c>
      <c r="AL2493" s="91">
        <v>7790</v>
      </c>
      <c r="AM2493" s="91">
        <v>7790</v>
      </c>
      <c r="AN2493" s="91">
        <v>7790</v>
      </c>
      <c r="AO2493" s="91">
        <v>7790</v>
      </c>
      <c r="AP2493" s="91">
        <v>7790</v>
      </c>
      <c r="AQ2493" s="91">
        <v>7790</v>
      </c>
      <c r="AR2493" s="91">
        <v>7790</v>
      </c>
      <c r="AS2493" s="91">
        <v>7790</v>
      </c>
      <c r="AT2493" s="91">
        <v>7790</v>
      </c>
      <c r="AU2493" s="91">
        <v>7790</v>
      </c>
      <c r="AV2493" s="91">
        <v>7790</v>
      </c>
      <c r="AW2493" s="91">
        <v>7790</v>
      </c>
      <c r="AX2493" s="92">
        <v>7790</v>
      </c>
    </row>
    <row r="2494" spans="1:50" x14ac:dyDescent="0.25">
      <c r="A2494" s="357"/>
      <c r="B2494" s="362"/>
      <c r="C2494" s="354"/>
      <c r="D2494" s="4" t="s">
        <v>8</v>
      </c>
      <c r="E2494" s="168" t="str">
        <f>A2483&amp;"/"&amp;B2483&amp;"/"&amp;C2493&amp;"/"&amp;D2494</f>
        <v>Derived gas fired power plants/Steam turbine/CHP with CCS/M</v>
      </c>
      <c r="F2494" s="80" t="str">
        <f>A2483</f>
        <v>Derived gas fired power plants</v>
      </c>
      <c r="G2494" s="80" t="str">
        <f>B2483</f>
        <v>Steam turbine</v>
      </c>
      <c r="H2494" s="80" t="str">
        <f>C2493</f>
        <v>CHP with CCS</v>
      </c>
      <c r="I2494" s="169" t="str">
        <f t="shared" si="119"/>
        <v>M</v>
      </c>
      <c r="J2494" s="99" t="s">
        <v>112</v>
      </c>
      <c r="K2494" s="99" t="s">
        <v>112</v>
      </c>
      <c r="L2494" s="99" t="s">
        <v>112</v>
      </c>
      <c r="M2494" s="99" t="s">
        <v>112</v>
      </c>
      <c r="N2494" s="99" t="s">
        <v>112</v>
      </c>
      <c r="O2494" s="99" t="s">
        <v>112</v>
      </c>
      <c r="P2494" s="99" t="s">
        <v>112</v>
      </c>
      <c r="Q2494" s="99" t="s">
        <v>112</v>
      </c>
      <c r="R2494" s="99" t="s">
        <v>112</v>
      </c>
      <c r="S2494" s="99" t="s">
        <v>112</v>
      </c>
      <c r="T2494" s="99" t="s">
        <v>112</v>
      </c>
      <c r="U2494" s="99" t="s">
        <v>112</v>
      </c>
      <c r="V2494" s="99" t="s">
        <v>112</v>
      </c>
      <c r="W2494" s="99" t="s">
        <v>112</v>
      </c>
      <c r="X2494" s="99" t="s">
        <v>112</v>
      </c>
      <c r="Y2494" s="99" t="s">
        <v>112</v>
      </c>
      <c r="Z2494" s="99" t="s">
        <v>112</v>
      </c>
      <c r="AA2494" s="99" t="s">
        <v>112</v>
      </c>
      <c r="AB2494" s="99" t="s">
        <v>112</v>
      </c>
      <c r="AC2494" s="99" t="s">
        <v>112</v>
      </c>
      <c r="AD2494" s="99" t="s">
        <v>112</v>
      </c>
      <c r="AE2494" s="99">
        <v>7449.985973364388</v>
      </c>
      <c r="AF2494" s="99">
        <v>7449.985973364388</v>
      </c>
      <c r="AG2494" s="99">
        <v>7449.985973364388</v>
      </c>
      <c r="AH2494" s="99">
        <v>7449.985973364388</v>
      </c>
      <c r="AI2494" s="99">
        <v>7449.985973364388</v>
      </c>
      <c r="AJ2494" s="99">
        <v>7449.985973364388</v>
      </c>
      <c r="AK2494" s="99">
        <v>7449.985973364388</v>
      </c>
      <c r="AL2494" s="99">
        <v>7449.985973364388</v>
      </c>
      <c r="AM2494" s="99">
        <v>7449.985973364388</v>
      </c>
      <c r="AN2494" s="99">
        <v>7449.985973364388</v>
      </c>
      <c r="AO2494" s="99">
        <v>7449.985973364388</v>
      </c>
      <c r="AP2494" s="99">
        <v>7449.985973364388</v>
      </c>
      <c r="AQ2494" s="99">
        <v>7449.985973364388</v>
      </c>
      <c r="AR2494" s="99">
        <v>7449.985973364388</v>
      </c>
      <c r="AS2494" s="99">
        <v>7449.985973364388</v>
      </c>
      <c r="AT2494" s="99">
        <v>7449.985973364388</v>
      </c>
      <c r="AU2494" s="99">
        <v>7449.985973364388</v>
      </c>
      <c r="AV2494" s="99">
        <v>7449.985973364388</v>
      </c>
      <c r="AW2494" s="99">
        <v>7449.985973364388</v>
      </c>
      <c r="AX2494" s="100">
        <v>7449.985973364388</v>
      </c>
    </row>
    <row r="2495" spans="1:50" x14ac:dyDescent="0.25">
      <c r="A2495" s="356" t="s">
        <v>27</v>
      </c>
      <c r="B2495" s="365" t="s">
        <v>19</v>
      </c>
      <c r="C2495" s="353" t="s">
        <v>6</v>
      </c>
      <c r="D2495" s="2" t="s">
        <v>7</v>
      </c>
      <c r="E2495" s="162" t="str">
        <f>A2495&amp;"/"&amp;B2495&amp;"/"&amp;C2495&amp;"/"&amp;D2495</f>
        <v>Refinery gas fired power plants/Steam turbine/Electricity only/L</v>
      </c>
      <c r="F2495" s="77" t="str">
        <f>A2495</f>
        <v>Refinery gas fired power plants</v>
      </c>
      <c r="G2495" s="77" t="str">
        <f>B2495</f>
        <v>Steam turbine</v>
      </c>
      <c r="H2495" s="77" t="str">
        <f>C2495</f>
        <v>Electricity only</v>
      </c>
      <c r="I2495" s="163" t="str">
        <f t="shared" ref="I2495:I2558" si="120">D2495</f>
        <v>L</v>
      </c>
      <c r="J2495" s="93">
        <v>8500</v>
      </c>
      <c r="K2495" s="93">
        <v>8500</v>
      </c>
      <c r="L2495" s="93">
        <v>8500</v>
      </c>
      <c r="M2495" s="93">
        <v>8500</v>
      </c>
      <c r="N2495" s="93">
        <v>8500</v>
      </c>
      <c r="O2495" s="93">
        <v>8500</v>
      </c>
      <c r="P2495" s="93">
        <v>8500</v>
      </c>
      <c r="Q2495" s="93">
        <v>8500</v>
      </c>
      <c r="R2495" s="93">
        <v>8500</v>
      </c>
      <c r="S2495" s="93">
        <v>8500</v>
      </c>
      <c r="T2495" s="93">
        <v>8500</v>
      </c>
      <c r="U2495" s="93">
        <v>8500</v>
      </c>
      <c r="V2495" s="93">
        <v>8500</v>
      </c>
      <c r="W2495" s="93">
        <v>8500</v>
      </c>
      <c r="X2495" s="93">
        <v>8500</v>
      </c>
      <c r="Y2495" s="93">
        <v>8500</v>
      </c>
      <c r="Z2495" s="93">
        <v>8500</v>
      </c>
      <c r="AA2495" s="93">
        <v>8500</v>
      </c>
      <c r="AB2495" s="93">
        <v>8500</v>
      </c>
      <c r="AC2495" s="93">
        <v>8500</v>
      </c>
      <c r="AD2495" s="93">
        <v>8500</v>
      </c>
      <c r="AE2495" s="93">
        <v>8500</v>
      </c>
      <c r="AF2495" s="93">
        <v>8500</v>
      </c>
      <c r="AG2495" s="93">
        <v>8500</v>
      </c>
      <c r="AH2495" s="93">
        <v>8500</v>
      </c>
      <c r="AI2495" s="93">
        <v>8500</v>
      </c>
      <c r="AJ2495" s="93">
        <v>8500</v>
      </c>
      <c r="AK2495" s="93">
        <v>8500</v>
      </c>
      <c r="AL2495" s="93">
        <v>8500</v>
      </c>
      <c r="AM2495" s="93">
        <v>8500</v>
      </c>
      <c r="AN2495" s="93">
        <v>8500</v>
      </c>
      <c r="AO2495" s="93">
        <v>8500</v>
      </c>
      <c r="AP2495" s="93">
        <v>8500</v>
      </c>
      <c r="AQ2495" s="93">
        <v>8500</v>
      </c>
      <c r="AR2495" s="93">
        <v>8500</v>
      </c>
      <c r="AS2495" s="93">
        <v>8500</v>
      </c>
      <c r="AT2495" s="93">
        <v>8500</v>
      </c>
      <c r="AU2495" s="93">
        <v>8500</v>
      </c>
      <c r="AV2495" s="93">
        <v>8500</v>
      </c>
      <c r="AW2495" s="93">
        <v>8500</v>
      </c>
      <c r="AX2495" s="94">
        <v>8500</v>
      </c>
    </row>
    <row r="2496" spans="1:50" x14ac:dyDescent="0.25">
      <c r="A2496" s="356"/>
      <c r="B2496" s="366"/>
      <c r="C2496" s="350"/>
      <c r="D2496" s="2" t="s">
        <v>8</v>
      </c>
      <c r="E2496" s="160" t="str">
        <f>A2495&amp;"/"&amp;B2495&amp;"/"&amp;C2495&amp;"/"&amp;D2496</f>
        <v>Refinery gas fired power plants/Steam turbine/Electricity only/M</v>
      </c>
      <c r="F2496" s="76" t="str">
        <f>A2495</f>
        <v>Refinery gas fired power plants</v>
      </c>
      <c r="G2496" s="76" t="str">
        <f>B2495</f>
        <v>Steam turbine</v>
      </c>
      <c r="H2496" s="76" t="str">
        <f>C2495</f>
        <v>Electricity only</v>
      </c>
      <c r="I2496" s="161" t="str">
        <f t="shared" si="120"/>
        <v>M</v>
      </c>
      <c r="J2496" s="91">
        <v>7948.4076756871136</v>
      </c>
      <c r="K2496" s="91">
        <v>7948.4076756871136</v>
      </c>
      <c r="L2496" s="91">
        <v>7948.4076756871136</v>
      </c>
      <c r="M2496" s="91">
        <v>7948.4076756871136</v>
      </c>
      <c r="N2496" s="91">
        <v>7948.4076756871136</v>
      </c>
      <c r="O2496" s="91">
        <v>7948.4076756871136</v>
      </c>
      <c r="P2496" s="91">
        <v>7948.4076756871136</v>
      </c>
      <c r="Q2496" s="91">
        <v>7948.4076756871136</v>
      </c>
      <c r="R2496" s="91">
        <v>7948.4076756871136</v>
      </c>
      <c r="S2496" s="91">
        <v>7948.4076756871136</v>
      </c>
      <c r="T2496" s="91">
        <v>7948.4076756871136</v>
      </c>
      <c r="U2496" s="91">
        <v>7948.4076756871136</v>
      </c>
      <c r="V2496" s="91">
        <v>7948.4076756871136</v>
      </c>
      <c r="W2496" s="91">
        <v>7948.4076756871136</v>
      </c>
      <c r="X2496" s="91">
        <v>7948.4076756871136</v>
      </c>
      <c r="Y2496" s="91">
        <v>7948.4076756871136</v>
      </c>
      <c r="Z2496" s="91">
        <v>7948.4076756871136</v>
      </c>
      <c r="AA2496" s="91">
        <v>7948.4076756871136</v>
      </c>
      <c r="AB2496" s="91">
        <v>7948.4076756871136</v>
      </c>
      <c r="AC2496" s="91">
        <v>7948.4076756871136</v>
      </c>
      <c r="AD2496" s="91">
        <v>7948.4076756871136</v>
      </c>
      <c r="AE2496" s="91">
        <v>7948.4076756871136</v>
      </c>
      <c r="AF2496" s="91">
        <v>7948.4076756871136</v>
      </c>
      <c r="AG2496" s="91">
        <v>7948.4076756871136</v>
      </c>
      <c r="AH2496" s="91">
        <v>7948.4076756871136</v>
      </c>
      <c r="AI2496" s="91">
        <v>7948.4076756871136</v>
      </c>
      <c r="AJ2496" s="91">
        <v>7948.4076756871136</v>
      </c>
      <c r="AK2496" s="91">
        <v>7948.4076756871136</v>
      </c>
      <c r="AL2496" s="91">
        <v>7948.4076756871136</v>
      </c>
      <c r="AM2496" s="91">
        <v>7948.4076756871136</v>
      </c>
      <c r="AN2496" s="91">
        <v>7948.4076756871136</v>
      </c>
      <c r="AO2496" s="91">
        <v>7948.4076756871136</v>
      </c>
      <c r="AP2496" s="91">
        <v>7948.4076756871136</v>
      </c>
      <c r="AQ2496" s="91">
        <v>7948.4076756871136</v>
      </c>
      <c r="AR2496" s="91">
        <v>7948.4076756871136</v>
      </c>
      <c r="AS2496" s="91">
        <v>7948.4076756871136</v>
      </c>
      <c r="AT2496" s="91">
        <v>7948.4076756871136</v>
      </c>
      <c r="AU2496" s="91">
        <v>7948.4076756871136</v>
      </c>
      <c r="AV2496" s="91">
        <v>7948.4076756871136</v>
      </c>
      <c r="AW2496" s="91">
        <v>7948.4076756871136</v>
      </c>
      <c r="AX2496" s="92">
        <v>7948.4076756871136</v>
      </c>
    </row>
    <row r="2497" spans="1:50" x14ac:dyDescent="0.25">
      <c r="A2497" s="356"/>
      <c r="B2497" s="366"/>
      <c r="C2497" s="360"/>
      <c r="D2497" s="2" t="s">
        <v>10</v>
      </c>
      <c r="E2497" s="160" t="str">
        <f>A2495&amp;"/"&amp;B2495&amp;"/"&amp;C2495&amp;"/"&amp;D2497</f>
        <v>Refinery gas fired power plants/Steam turbine/Electricity only/S</v>
      </c>
      <c r="F2497" s="76" t="str">
        <f>A2495</f>
        <v>Refinery gas fired power plants</v>
      </c>
      <c r="G2497" s="76" t="str">
        <f>B2495</f>
        <v>Steam turbine</v>
      </c>
      <c r="H2497" s="76" t="str">
        <f>C2495</f>
        <v>Electricity only</v>
      </c>
      <c r="I2497" s="161" t="str">
        <f t="shared" si="120"/>
        <v>S</v>
      </c>
      <c r="J2497" s="91">
        <v>7347.5218904818876</v>
      </c>
      <c r="K2497" s="91">
        <v>7347.5218904818876</v>
      </c>
      <c r="L2497" s="91">
        <v>7347.5218904818876</v>
      </c>
      <c r="M2497" s="91">
        <v>7347.5218904818876</v>
      </c>
      <c r="N2497" s="91">
        <v>7347.5218904818876</v>
      </c>
      <c r="O2497" s="91">
        <v>7347.5218904818876</v>
      </c>
      <c r="P2497" s="91">
        <v>7347.5218904818876</v>
      </c>
      <c r="Q2497" s="91">
        <v>7347.5218904818876</v>
      </c>
      <c r="R2497" s="91">
        <v>7347.5218904818876</v>
      </c>
      <c r="S2497" s="91">
        <v>7347.5218904818876</v>
      </c>
      <c r="T2497" s="91">
        <v>7347.5218904818876</v>
      </c>
      <c r="U2497" s="91">
        <v>7347.5218904818876</v>
      </c>
      <c r="V2497" s="91">
        <v>7347.5218904818876</v>
      </c>
      <c r="W2497" s="91">
        <v>7347.5218904818876</v>
      </c>
      <c r="X2497" s="91">
        <v>7347.5218904818876</v>
      </c>
      <c r="Y2497" s="91">
        <v>7347.5218904818876</v>
      </c>
      <c r="Z2497" s="91">
        <v>7347.5218904818876</v>
      </c>
      <c r="AA2497" s="91">
        <v>7347.5218904818876</v>
      </c>
      <c r="AB2497" s="91">
        <v>7347.5218904818876</v>
      </c>
      <c r="AC2497" s="91">
        <v>7347.5218904818876</v>
      </c>
      <c r="AD2497" s="91">
        <v>7347.5218904818876</v>
      </c>
      <c r="AE2497" s="91">
        <v>7347.5218904818876</v>
      </c>
      <c r="AF2497" s="91">
        <v>7347.5218904818876</v>
      </c>
      <c r="AG2497" s="91">
        <v>7347.5218904818876</v>
      </c>
      <c r="AH2497" s="91">
        <v>7347.5218904818876</v>
      </c>
      <c r="AI2497" s="91">
        <v>7347.5218904818876</v>
      </c>
      <c r="AJ2497" s="91">
        <v>7347.5218904818876</v>
      </c>
      <c r="AK2497" s="91">
        <v>7347.5218904818876</v>
      </c>
      <c r="AL2497" s="91">
        <v>7347.5218904818876</v>
      </c>
      <c r="AM2497" s="91">
        <v>7347.5218904818876</v>
      </c>
      <c r="AN2497" s="91">
        <v>7347.5218904818876</v>
      </c>
      <c r="AO2497" s="91">
        <v>7347.5218904818876</v>
      </c>
      <c r="AP2497" s="91">
        <v>7347.5218904818876</v>
      </c>
      <c r="AQ2497" s="91">
        <v>7347.5218904818876</v>
      </c>
      <c r="AR2497" s="91">
        <v>7347.5218904818876</v>
      </c>
      <c r="AS2497" s="91">
        <v>7347.5218904818876</v>
      </c>
      <c r="AT2497" s="91">
        <v>7347.5218904818876</v>
      </c>
      <c r="AU2497" s="91">
        <v>7347.5218904818876</v>
      </c>
      <c r="AV2497" s="91">
        <v>7347.5218904818876</v>
      </c>
      <c r="AW2497" s="91">
        <v>7347.5218904818876</v>
      </c>
      <c r="AX2497" s="92">
        <v>7347.5218904818876</v>
      </c>
    </row>
    <row r="2498" spans="1:50" x14ac:dyDescent="0.25">
      <c r="A2498" s="356"/>
      <c r="B2498" s="366"/>
      <c r="C2498" s="361" t="s">
        <v>14</v>
      </c>
      <c r="D2498" s="58" t="s">
        <v>7</v>
      </c>
      <c r="E2498" s="164" t="str">
        <f>A2495&amp;"/"&amp;B2495&amp;"/"&amp;C2498&amp;"/"&amp;D2498</f>
        <v>Refinery gas fired power plants/Steam turbine/CHP/L</v>
      </c>
      <c r="F2498" s="78" t="str">
        <f>A2495</f>
        <v>Refinery gas fired power plants</v>
      </c>
      <c r="G2498" s="78" t="str">
        <f>B2495</f>
        <v>Steam turbine</v>
      </c>
      <c r="H2498" s="78" t="str">
        <f>C2498</f>
        <v>CHP</v>
      </c>
      <c r="I2498" s="165" t="str">
        <f t="shared" si="120"/>
        <v>L</v>
      </c>
      <c r="J2498" s="95">
        <v>8500</v>
      </c>
      <c r="K2498" s="95">
        <v>8500</v>
      </c>
      <c r="L2498" s="95">
        <v>8500</v>
      </c>
      <c r="M2498" s="95">
        <v>8500</v>
      </c>
      <c r="N2498" s="95">
        <v>8500</v>
      </c>
      <c r="O2498" s="95">
        <v>8500</v>
      </c>
      <c r="P2498" s="95">
        <v>8500</v>
      </c>
      <c r="Q2498" s="95">
        <v>8500</v>
      </c>
      <c r="R2498" s="95">
        <v>8500</v>
      </c>
      <c r="S2498" s="95">
        <v>8500</v>
      </c>
      <c r="T2498" s="95">
        <v>8500</v>
      </c>
      <c r="U2498" s="95">
        <v>8500</v>
      </c>
      <c r="V2498" s="95">
        <v>8500</v>
      </c>
      <c r="W2498" s="95">
        <v>8500</v>
      </c>
      <c r="X2498" s="95">
        <v>8500</v>
      </c>
      <c r="Y2498" s="95">
        <v>8500</v>
      </c>
      <c r="Z2498" s="95">
        <v>8500</v>
      </c>
      <c r="AA2498" s="95">
        <v>8500</v>
      </c>
      <c r="AB2498" s="95">
        <v>8500</v>
      </c>
      <c r="AC2498" s="95">
        <v>8500</v>
      </c>
      <c r="AD2498" s="95">
        <v>8500</v>
      </c>
      <c r="AE2498" s="95">
        <v>8500</v>
      </c>
      <c r="AF2498" s="95">
        <v>8500</v>
      </c>
      <c r="AG2498" s="95">
        <v>8500</v>
      </c>
      <c r="AH2498" s="95">
        <v>8500</v>
      </c>
      <c r="AI2498" s="95">
        <v>8500</v>
      </c>
      <c r="AJ2498" s="95">
        <v>8500</v>
      </c>
      <c r="AK2498" s="95">
        <v>8500</v>
      </c>
      <c r="AL2498" s="95">
        <v>8500</v>
      </c>
      <c r="AM2498" s="95">
        <v>8500</v>
      </c>
      <c r="AN2498" s="95">
        <v>8500</v>
      </c>
      <c r="AO2498" s="95">
        <v>8500</v>
      </c>
      <c r="AP2498" s="95">
        <v>8500</v>
      </c>
      <c r="AQ2498" s="95">
        <v>8500</v>
      </c>
      <c r="AR2498" s="95">
        <v>8500</v>
      </c>
      <c r="AS2498" s="95">
        <v>8500</v>
      </c>
      <c r="AT2498" s="95">
        <v>8500</v>
      </c>
      <c r="AU2498" s="95">
        <v>8500</v>
      </c>
      <c r="AV2498" s="95">
        <v>8500</v>
      </c>
      <c r="AW2498" s="95">
        <v>8500</v>
      </c>
      <c r="AX2498" s="96">
        <v>8500</v>
      </c>
    </row>
    <row r="2499" spans="1:50" x14ac:dyDescent="0.25">
      <c r="A2499" s="356"/>
      <c r="B2499" s="366"/>
      <c r="C2499" s="350"/>
      <c r="D2499" s="2" t="s">
        <v>8</v>
      </c>
      <c r="E2499" s="160" t="str">
        <f>A2495&amp;"/"&amp;B2495&amp;"/"&amp;C2498&amp;"/"&amp;D2499</f>
        <v>Refinery gas fired power plants/Steam turbine/CHP/M</v>
      </c>
      <c r="F2499" s="76" t="str">
        <f>A2495</f>
        <v>Refinery gas fired power plants</v>
      </c>
      <c r="G2499" s="76" t="str">
        <f>B2495</f>
        <v>Steam turbine</v>
      </c>
      <c r="H2499" s="76" t="str">
        <f>C2498</f>
        <v>CHP</v>
      </c>
      <c r="I2499" s="161" t="str">
        <f t="shared" si="120"/>
        <v>M</v>
      </c>
      <c r="J2499" s="91">
        <v>7948.4076756871136</v>
      </c>
      <c r="K2499" s="91">
        <v>7948.4076756871136</v>
      </c>
      <c r="L2499" s="91">
        <v>7948.4076756871136</v>
      </c>
      <c r="M2499" s="91">
        <v>7948.4076756871136</v>
      </c>
      <c r="N2499" s="91">
        <v>7948.4076756871136</v>
      </c>
      <c r="O2499" s="91">
        <v>7948.4076756871136</v>
      </c>
      <c r="P2499" s="91">
        <v>7948.4076756871136</v>
      </c>
      <c r="Q2499" s="91">
        <v>7948.4076756871136</v>
      </c>
      <c r="R2499" s="91">
        <v>7948.4076756871136</v>
      </c>
      <c r="S2499" s="91">
        <v>7948.4076756871136</v>
      </c>
      <c r="T2499" s="91">
        <v>7948.4076756871136</v>
      </c>
      <c r="U2499" s="91">
        <v>7948.4076756871136</v>
      </c>
      <c r="V2499" s="91">
        <v>7948.4076756871136</v>
      </c>
      <c r="W2499" s="91">
        <v>7948.4076756871136</v>
      </c>
      <c r="X2499" s="91">
        <v>7948.4076756871136</v>
      </c>
      <c r="Y2499" s="91">
        <v>7948.4076756871136</v>
      </c>
      <c r="Z2499" s="91">
        <v>7948.4076756871136</v>
      </c>
      <c r="AA2499" s="91">
        <v>7948.4076756871136</v>
      </c>
      <c r="AB2499" s="91">
        <v>7948.4076756871136</v>
      </c>
      <c r="AC2499" s="91">
        <v>7948.4076756871136</v>
      </c>
      <c r="AD2499" s="91">
        <v>7948.4076756871136</v>
      </c>
      <c r="AE2499" s="91">
        <v>7948.4076756871136</v>
      </c>
      <c r="AF2499" s="91">
        <v>7948.4076756871136</v>
      </c>
      <c r="AG2499" s="91">
        <v>7948.4076756871136</v>
      </c>
      <c r="AH2499" s="91">
        <v>7948.4076756871136</v>
      </c>
      <c r="AI2499" s="91">
        <v>7948.4076756871136</v>
      </c>
      <c r="AJ2499" s="91">
        <v>7948.4076756871136</v>
      </c>
      <c r="AK2499" s="91">
        <v>7948.4076756871136</v>
      </c>
      <c r="AL2499" s="91">
        <v>7948.4076756871136</v>
      </c>
      <c r="AM2499" s="91">
        <v>7948.4076756871136</v>
      </c>
      <c r="AN2499" s="91">
        <v>7948.4076756871136</v>
      </c>
      <c r="AO2499" s="91">
        <v>7948.4076756871136</v>
      </c>
      <c r="AP2499" s="91">
        <v>7948.4076756871136</v>
      </c>
      <c r="AQ2499" s="91">
        <v>7948.4076756871136</v>
      </c>
      <c r="AR2499" s="91">
        <v>7948.4076756871136</v>
      </c>
      <c r="AS2499" s="91">
        <v>7948.4076756871136</v>
      </c>
      <c r="AT2499" s="91">
        <v>7948.4076756871136</v>
      </c>
      <c r="AU2499" s="91">
        <v>7948.4076756871136</v>
      </c>
      <c r="AV2499" s="91">
        <v>7948.4076756871136</v>
      </c>
      <c r="AW2499" s="91">
        <v>7948.4076756871136</v>
      </c>
      <c r="AX2499" s="92">
        <v>7948.4076756871136</v>
      </c>
    </row>
    <row r="2500" spans="1:50" x14ac:dyDescent="0.25">
      <c r="A2500" s="356"/>
      <c r="B2500" s="366"/>
      <c r="C2500" s="360"/>
      <c r="D2500" s="59" t="s">
        <v>10</v>
      </c>
      <c r="E2500" s="166" t="str">
        <f>A2495&amp;"/"&amp;B2495&amp;"/"&amp;C2498&amp;"/"&amp;D2500</f>
        <v>Refinery gas fired power plants/Steam turbine/CHP/S</v>
      </c>
      <c r="F2500" s="79" t="str">
        <f>A2495</f>
        <v>Refinery gas fired power plants</v>
      </c>
      <c r="G2500" s="79" t="str">
        <f>B2495</f>
        <v>Steam turbine</v>
      </c>
      <c r="H2500" s="79" t="str">
        <f>C2498</f>
        <v>CHP</v>
      </c>
      <c r="I2500" s="167" t="str">
        <f t="shared" si="120"/>
        <v>S</v>
      </c>
      <c r="J2500" s="97">
        <v>7347.5218904818876</v>
      </c>
      <c r="K2500" s="97">
        <v>7347.5218904818876</v>
      </c>
      <c r="L2500" s="97">
        <v>7347.5218904818876</v>
      </c>
      <c r="M2500" s="97">
        <v>7347.5218904818876</v>
      </c>
      <c r="N2500" s="97">
        <v>7347.5218904818876</v>
      </c>
      <c r="O2500" s="97">
        <v>7347.5218904818876</v>
      </c>
      <c r="P2500" s="97">
        <v>7347.5218904818876</v>
      </c>
      <c r="Q2500" s="97">
        <v>7347.5218904818876</v>
      </c>
      <c r="R2500" s="97">
        <v>7347.5218904818876</v>
      </c>
      <c r="S2500" s="97">
        <v>7347.5218904818876</v>
      </c>
      <c r="T2500" s="97">
        <v>7347.5218904818876</v>
      </c>
      <c r="U2500" s="97">
        <v>7347.5218904818876</v>
      </c>
      <c r="V2500" s="97">
        <v>7347.5218904818876</v>
      </c>
      <c r="W2500" s="97">
        <v>7347.5218904818876</v>
      </c>
      <c r="X2500" s="97">
        <v>7347.5218904818876</v>
      </c>
      <c r="Y2500" s="97">
        <v>7347.5218904818876</v>
      </c>
      <c r="Z2500" s="97">
        <v>7347.5218904818876</v>
      </c>
      <c r="AA2500" s="97">
        <v>7347.5218904818876</v>
      </c>
      <c r="AB2500" s="97">
        <v>7347.5218904818876</v>
      </c>
      <c r="AC2500" s="97">
        <v>7347.5218904818876</v>
      </c>
      <c r="AD2500" s="97">
        <v>7347.5218904818876</v>
      </c>
      <c r="AE2500" s="97">
        <v>7347.5218904818876</v>
      </c>
      <c r="AF2500" s="97">
        <v>7347.5218904818876</v>
      </c>
      <c r="AG2500" s="97">
        <v>7347.5218904818876</v>
      </c>
      <c r="AH2500" s="97">
        <v>7347.5218904818876</v>
      </c>
      <c r="AI2500" s="97">
        <v>7347.5218904818876</v>
      </c>
      <c r="AJ2500" s="97">
        <v>7347.5218904818876</v>
      </c>
      <c r="AK2500" s="97">
        <v>7347.5218904818876</v>
      </c>
      <c r="AL2500" s="97">
        <v>7347.5218904818876</v>
      </c>
      <c r="AM2500" s="97">
        <v>7347.5218904818876</v>
      </c>
      <c r="AN2500" s="97">
        <v>7347.5218904818876</v>
      </c>
      <c r="AO2500" s="97">
        <v>7347.5218904818876</v>
      </c>
      <c r="AP2500" s="97">
        <v>7347.5218904818876</v>
      </c>
      <c r="AQ2500" s="97">
        <v>7347.5218904818876</v>
      </c>
      <c r="AR2500" s="97">
        <v>7347.5218904818876</v>
      </c>
      <c r="AS2500" s="97">
        <v>7347.5218904818876</v>
      </c>
      <c r="AT2500" s="97">
        <v>7347.5218904818876</v>
      </c>
      <c r="AU2500" s="97">
        <v>7347.5218904818876</v>
      </c>
      <c r="AV2500" s="97">
        <v>7347.5218904818876</v>
      </c>
      <c r="AW2500" s="97">
        <v>7347.5218904818876</v>
      </c>
      <c r="AX2500" s="98">
        <v>7347.5218904818876</v>
      </c>
    </row>
    <row r="2501" spans="1:50" x14ac:dyDescent="0.25">
      <c r="A2501" s="356"/>
      <c r="B2501" s="366"/>
      <c r="C2501" s="361" t="s">
        <v>15</v>
      </c>
      <c r="D2501" s="58" t="s">
        <v>7</v>
      </c>
      <c r="E2501" s="164" t="str">
        <f>A2495&amp;"/"&amp;B2495&amp;"/"&amp;C2501&amp;"/"&amp;D2501</f>
        <v>Refinery gas fired power plants/Steam turbine/Electricity only with CCS/L</v>
      </c>
      <c r="F2501" s="78" t="str">
        <f>A2495</f>
        <v>Refinery gas fired power plants</v>
      </c>
      <c r="G2501" s="78" t="str">
        <f>B2495</f>
        <v>Steam turbine</v>
      </c>
      <c r="H2501" s="78" t="str">
        <f>C2501</f>
        <v>Electricity only with CCS</v>
      </c>
      <c r="I2501" s="165" t="str">
        <f t="shared" si="120"/>
        <v>L</v>
      </c>
      <c r="J2501" s="95" t="s">
        <v>112</v>
      </c>
      <c r="K2501" s="95" t="s">
        <v>112</v>
      </c>
      <c r="L2501" s="95" t="s">
        <v>112</v>
      </c>
      <c r="M2501" s="95" t="s">
        <v>112</v>
      </c>
      <c r="N2501" s="95" t="s">
        <v>112</v>
      </c>
      <c r="O2501" s="95" t="s">
        <v>112</v>
      </c>
      <c r="P2501" s="95" t="s">
        <v>112</v>
      </c>
      <c r="Q2501" s="95" t="s">
        <v>112</v>
      </c>
      <c r="R2501" s="95" t="s">
        <v>112</v>
      </c>
      <c r="S2501" s="95" t="s">
        <v>112</v>
      </c>
      <c r="T2501" s="95" t="s">
        <v>112</v>
      </c>
      <c r="U2501" s="95" t="s">
        <v>112</v>
      </c>
      <c r="V2501" s="95" t="s">
        <v>112</v>
      </c>
      <c r="W2501" s="95" t="s">
        <v>112</v>
      </c>
      <c r="X2501" s="95" t="s">
        <v>112</v>
      </c>
      <c r="Y2501" s="95" t="s">
        <v>112</v>
      </c>
      <c r="Z2501" s="95" t="s">
        <v>112</v>
      </c>
      <c r="AA2501" s="95" t="s">
        <v>112</v>
      </c>
      <c r="AB2501" s="95" t="s">
        <v>112</v>
      </c>
      <c r="AC2501" s="95" t="s">
        <v>112</v>
      </c>
      <c r="AD2501" s="95" t="s">
        <v>112</v>
      </c>
      <c r="AE2501" s="95">
        <v>8500</v>
      </c>
      <c r="AF2501" s="95">
        <v>8500</v>
      </c>
      <c r="AG2501" s="95">
        <v>8500</v>
      </c>
      <c r="AH2501" s="95">
        <v>8500</v>
      </c>
      <c r="AI2501" s="95">
        <v>8500</v>
      </c>
      <c r="AJ2501" s="95">
        <v>8500</v>
      </c>
      <c r="AK2501" s="95">
        <v>8500</v>
      </c>
      <c r="AL2501" s="95">
        <v>8500</v>
      </c>
      <c r="AM2501" s="95">
        <v>8500</v>
      </c>
      <c r="AN2501" s="95">
        <v>8500</v>
      </c>
      <c r="AO2501" s="95">
        <v>8500</v>
      </c>
      <c r="AP2501" s="95">
        <v>8500</v>
      </c>
      <c r="AQ2501" s="95">
        <v>8500</v>
      </c>
      <c r="AR2501" s="95">
        <v>8500</v>
      </c>
      <c r="AS2501" s="95">
        <v>8500</v>
      </c>
      <c r="AT2501" s="95">
        <v>8500</v>
      </c>
      <c r="AU2501" s="95">
        <v>8500</v>
      </c>
      <c r="AV2501" s="95">
        <v>8500</v>
      </c>
      <c r="AW2501" s="95">
        <v>8500</v>
      </c>
      <c r="AX2501" s="96">
        <v>8500</v>
      </c>
    </row>
    <row r="2502" spans="1:50" x14ac:dyDescent="0.25">
      <c r="A2502" s="356"/>
      <c r="B2502" s="366"/>
      <c r="C2502" s="360"/>
      <c r="D2502" s="59" t="s">
        <v>8</v>
      </c>
      <c r="E2502" s="166" t="str">
        <f>A2495&amp;"/"&amp;B2495&amp;"/"&amp;C2501&amp;"/"&amp;D2502</f>
        <v>Refinery gas fired power plants/Steam turbine/Electricity only with CCS/M</v>
      </c>
      <c r="F2502" s="79" t="str">
        <f>A2495</f>
        <v>Refinery gas fired power plants</v>
      </c>
      <c r="G2502" s="79" t="str">
        <f>B2495</f>
        <v>Steam turbine</v>
      </c>
      <c r="H2502" s="79" t="str">
        <f>C2501</f>
        <v>Electricity only with CCS</v>
      </c>
      <c r="I2502" s="167" t="str">
        <f t="shared" si="120"/>
        <v>M</v>
      </c>
      <c r="J2502" s="97" t="s">
        <v>112</v>
      </c>
      <c r="K2502" s="97" t="s">
        <v>112</v>
      </c>
      <c r="L2502" s="97" t="s">
        <v>112</v>
      </c>
      <c r="M2502" s="97" t="s">
        <v>112</v>
      </c>
      <c r="N2502" s="97" t="s">
        <v>112</v>
      </c>
      <c r="O2502" s="97" t="s">
        <v>112</v>
      </c>
      <c r="P2502" s="97" t="s">
        <v>112</v>
      </c>
      <c r="Q2502" s="97" t="s">
        <v>112</v>
      </c>
      <c r="R2502" s="97" t="s">
        <v>112</v>
      </c>
      <c r="S2502" s="97" t="s">
        <v>112</v>
      </c>
      <c r="T2502" s="97" t="s">
        <v>112</v>
      </c>
      <c r="U2502" s="97" t="s">
        <v>112</v>
      </c>
      <c r="V2502" s="97" t="s">
        <v>112</v>
      </c>
      <c r="W2502" s="97" t="s">
        <v>112</v>
      </c>
      <c r="X2502" s="97" t="s">
        <v>112</v>
      </c>
      <c r="Y2502" s="97" t="s">
        <v>112</v>
      </c>
      <c r="Z2502" s="97" t="s">
        <v>112</v>
      </c>
      <c r="AA2502" s="97" t="s">
        <v>112</v>
      </c>
      <c r="AB2502" s="97" t="s">
        <v>112</v>
      </c>
      <c r="AC2502" s="97" t="s">
        <v>112</v>
      </c>
      <c r="AD2502" s="97" t="s">
        <v>112</v>
      </c>
      <c r="AE2502" s="97">
        <v>7948.4076756871136</v>
      </c>
      <c r="AF2502" s="97">
        <v>7948.4076756871136</v>
      </c>
      <c r="AG2502" s="97">
        <v>7948.4076756871136</v>
      </c>
      <c r="AH2502" s="97">
        <v>7948.4076756871136</v>
      </c>
      <c r="AI2502" s="97">
        <v>7948.4076756871136</v>
      </c>
      <c r="AJ2502" s="97">
        <v>7948.4076756871136</v>
      </c>
      <c r="AK2502" s="97">
        <v>7948.4076756871136</v>
      </c>
      <c r="AL2502" s="97">
        <v>7948.4076756871136</v>
      </c>
      <c r="AM2502" s="97">
        <v>7948.4076756871136</v>
      </c>
      <c r="AN2502" s="97">
        <v>7948.4076756871136</v>
      </c>
      <c r="AO2502" s="97">
        <v>7948.4076756871136</v>
      </c>
      <c r="AP2502" s="97">
        <v>7948.4076756871136</v>
      </c>
      <c r="AQ2502" s="97">
        <v>7948.4076756871136</v>
      </c>
      <c r="AR2502" s="97">
        <v>7948.4076756871136</v>
      </c>
      <c r="AS2502" s="97">
        <v>7948.4076756871136</v>
      </c>
      <c r="AT2502" s="97">
        <v>7948.4076756871136</v>
      </c>
      <c r="AU2502" s="97">
        <v>7948.4076756871136</v>
      </c>
      <c r="AV2502" s="97">
        <v>7948.4076756871136</v>
      </c>
      <c r="AW2502" s="97">
        <v>7948.4076756871136</v>
      </c>
      <c r="AX2502" s="98">
        <v>7948.4076756871136</v>
      </c>
    </row>
    <row r="2503" spans="1:50" x14ac:dyDescent="0.25">
      <c r="A2503" s="356"/>
      <c r="B2503" s="366"/>
      <c r="C2503" s="361" t="s">
        <v>16</v>
      </c>
      <c r="D2503" s="2" t="s">
        <v>7</v>
      </c>
      <c r="E2503" s="160" t="str">
        <f>A2495&amp;"/"&amp;B2495&amp;"/"&amp;C2503&amp;"/"&amp;D2503</f>
        <v>Refinery gas fired power plants/Steam turbine/CHP with CCS/L</v>
      </c>
      <c r="F2503" s="76" t="str">
        <f>A2495</f>
        <v>Refinery gas fired power plants</v>
      </c>
      <c r="G2503" s="76" t="str">
        <f>B2495</f>
        <v>Steam turbine</v>
      </c>
      <c r="H2503" s="76" t="str">
        <f>C2503</f>
        <v>CHP with CCS</v>
      </c>
      <c r="I2503" s="161" t="str">
        <f t="shared" si="120"/>
        <v>L</v>
      </c>
      <c r="J2503" s="91" t="s">
        <v>112</v>
      </c>
      <c r="K2503" s="91" t="s">
        <v>112</v>
      </c>
      <c r="L2503" s="91" t="s">
        <v>112</v>
      </c>
      <c r="M2503" s="91" t="s">
        <v>112</v>
      </c>
      <c r="N2503" s="91" t="s">
        <v>112</v>
      </c>
      <c r="O2503" s="91" t="s">
        <v>112</v>
      </c>
      <c r="P2503" s="91" t="s">
        <v>112</v>
      </c>
      <c r="Q2503" s="91" t="s">
        <v>112</v>
      </c>
      <c r="R2503" s="91" t="s">
        <v>112</v>
      </c>
      <c r="S2503" s="91" t="s">
        <v>112</v>
      </c>
      <c r="T2503" s="91" t="s">
        <v>112</v>
      </c>
      <c r="U2503" s="91" t="s">
        <v>112</v>
      </c>
      <c r="V2503" s="91" t="s">
        <v>112</v>
      </c>
      <c r="W2503" s="91" t="s">
        <v>112</v>
      </c>
      <c r="X2503" s="91" t="s">
        <v>112</v>
      </c>
      <c r="Y2503" s="91" t="s">
        <v>112</v>
      </c>
      <c r="Z2503" s="91" t="s">
        <v>112</v>
      </c>
      <c r="AA2503" s="91" t="s">
        <v>112</v>
      </c>
      <c r="AB2503" s="91" t="s">
        <v>112</v>
      </c>
      <c r="AC2503" s="91" t="s">
        <v>112</v>
      </c>
      <c r="AD2503" s="91" t="s">
        <v>112</v>
      </c>
      <c r="AE2503" s="91">
        <v>8500</v>
      </c>
      <c r="AF2503" s="91">
        <v>8500</v>
      </c>
      <c r="AG2503" s="91">
        <v>8500</v>
      </c>
      <c r="AH2503" s="91">
        <v>8500</v>
      </c>
      <c r="AI2503" s="91">
        <v>8500</v>
      </c>
      <c r="AJ2503" s="91">
        <v>8500</v>
      </c>
      <c r="AK2503" s="91">
        <v>8500</v>
      </c>
      <c r="AL2503" s="91">
        <v>8500</v>
      </c>
      <c r="AM2503" s="91">
        <v>8500</v>
      </c>
      <c r="AN2503" s="91">
        <v>8500</v>
      </c>
      <c r="AO2503" s="91">
        <v>8500</v>
      </c>
      <c r="AP2503" s="91">
        <v>8500</v>
      </c>
      <c r="AQ2503" s="91">
        <v>8500</v>
      </c>
      <c r="AR2503" s="91">
        <v>8500</v>
      </c>
      <c r="AS2503" s="91">
        <v>8500</v>
      </c>
      <c r="AT2503" s="91">
        <v>8500</v>
      </c>
      <c r="AU2503" s="91">
        <v>8500</v>
      </c>
      <c r="AV2503" s="91">
        <v>8500</v>
      </c>
      <c r="AW2503" s="91">
        <v>8500</v>
      </c>
      <c r="AX2503" s="92">
        <v>8500</v>
      </c>
    </row>
    <row r="2504" spans="1:50" x14ac:dyDescent="0.25">
      <c r="A2504" s="357"/>
      <c r="B2504" s="367"/>
      <c r="C2504" s="354"/>
      <c r="D2504" s="4" t="s">
        <v>8</v>
      </c>
      <c r="E2504" s="168" t="str">
        <f>A2495&amp;"/"&amp;B2495&amp;"/"&amp;C2503&amp;"/"&amp;D2504</f>
        <v>Refinery gas fired power plants/Steam turbine/CHP with CCS/M</v>
      </c>
      <c r="F2504" s="80" t="str">
        <f>A2495</f>
        <v>Refinery gas fired power plants</v>
      </c>
      <c r="G2504" s="80" t="str">
        <f>B2495</f>
        <v>Steam turbine</v>
      </c>
      <c r="H2504" s="80" t="str">
        <f>C2503</f>
        <v>CHP with CCS</v>
      </c>
      <c r="I2504" s="169" t="str">
        <f t="shared" si="120"/>
        <v>M</v>
      </c>
      <c r="J2504" s="99" t="s">
        <v>112</v>
      </c>
      <c r="K2504" s="99" t="s">
        <v>112</v>
      </c>
      <c r="L2504" s="99" t="s">
        <v>112</v>
      </c>
      <c r="M2504" s="99" t="s">
        <v>112</v>
      </c>
      <c r="N2504" s="99" t="s">
        <v>112</v>
      </c>
      <c r="O2504" s="99" t="s">
        <v>112</v>
      </c>
      <c r="P2504" s="99" t="s">
        <v>112</v>
      </c>
      <c r="Q2504" s="99" t="s">
        <v>112</v>
      </c>
      <c r="R2504" s="99" t="s">
        <v>112</v>
      </c>
      <c r="S2504" s="99" t="s">
        <v>112</v>
      </c>
      <c r="T2504" s="99" t="s">
        <v>112</v>
      </c>
      <c r="U2504" s="99" t="s">
        <v>112</v>
      </c>
      <c r="V2504" s="99" t="s">
        <v>112</v>
      </c>
      <c r="W2504" s="99" t="s">
        <v>112</v>
      </c>
      <c r="X2504" s="99" t="s">
        <v>112</v>
      </c>
      <c r="Y2504" s="99" t="s">
        <v>112</v>
      </c>
      <c r="Z2504" s="99" t="s">
        <v>112</v>
      </c>
      <c r="AA2504" s="99" t="s">
        <v>112</v>
      </c>
      <c r="AB2504" s="99" t="s">
        <v>112</v>
      </c>
      <c r="AC2504" s="99" t="s">
        <v>112</v>
      </c>
      <c r="AD2504" s="99" t="s">
        <v>112</v>
      </c>
      <c r="AE2504" s="99">
        <v>7948.4076756871136</v>
      </c>
      <c r="AF2504" s="99">
        <v>7948.4076756871136</v>
      </c>
      <c r="AG2504" s="99">
        <v>7948.4076756871136</v>
      </c>
      <c r="AH2504" s="99">
        <v>7948.4076756871136</v>
      </c>
      <c r="AI2504" s="99">
        <v>7948.4076756871136</v>
      </c>
      <c r="AJ2504" s="99">
        <v>7948.4076756871136</v>
      </c>
      <c r="AK2504" s="99">
        <v>7948.4076756871136</v>
      </c>
      <c r="AL2504" s="99">
        <v>7948.4076756871136</v>
      </c>
      <c r="AM2504" s="99">
        <v>7948.4076756871136</v>
      </c>
      <c r="AN2504" s="99">
        <v>7948.4076756871136</v>
      </c>
      <c r="AO2504" s="99">
        <v>7948.4076756871136</v>
      </c>
      <c r="AP2504" s="99">
        <v>7948.4076756871136</v>
      </c>
      <c r="AQ2504" s="99">
        <v>7948.4076756871136</v>
      </c>
      <c r="AR2504" s="99">
        <v>7948.4076756871136</v>
      </c>
      <c r="AS2504" s="99">
        <v>7948.4076756871136</v>
      </c>
      <c r="AT2504" s="99">
        <v>7948.4076756871136</v>
      </c>
      <c r="AU2504" s="99">
        <v>7948.4076756871136</v>
      </c>
      <c r="AV2504" s="99">
        <v>7948.4076756871136</v>
      </c>
      <c r="AW2504" s="99">
        <v>7948.4076756871136</v>
      </c>
      <c r="AX2504" s="100">
        <v>7948.4076756871136</v>
      </c>
    </row>
    <row r="2505" spans="1:50" x14ac:dyDescent="0.25">
      <c r="A2505" s="355" t="s">
        <v>28</v>
      </c>
      <c r="B2505" s="358" t="s">
        <v>23</v>
      </c>
      <c r="C2505" s="353" t="s">
        <v>6</v>
      </c>
      <c r="D2505" s="3" t="s">
        <v>7</v>
      </c>
      <c r="E2505" s="162" t="str">
        <f>A2505&amp;"/"&amp;B2505&amp;"/"&amp;C2505&amp;"/"&amp;D2505</f>
        <v>Diesel oil fired power plants/Gas turbine combined cycle/Electricity only/L</v>
      </c>
      <c r="F2505" s="77" t="str">
        <f>A2505</f>
        <v>Diesel oil fired power plants</v>
      </c>
      <c r="G2505" s="77" t="str">
        <f>B2505</f>
        <v>Gas turbine combined cycle</v>
      </c>
      <c r="H2505" s="77" t="str">
        <f>C2505</f>
        <v>Electricity only</v>
      </c>
      <c r="I2505" s="163" t="str">
        <f t="shared" si="120"/>
        <v>L</v>
      </c>
      <c r="J2505" s="93">
        <v>3600</v>
      </c>
      <c r="K2505" s="93">
        <v>3600</v>
      </c>
      <c r="L2505" s="93">
        <v>3600</v>
      </c>
      <c r="M2505" s="93">
        <v>3600</v>
      </c>
      <c r="N2505" s="93">
        <v>3600</v>
      </c>
      <c r="O2505" s="93">
        <v>3600</v>
      </c>
      <c r="P2505" s="93">
        <v>3600</v>
      </c>
      <c r="Q2505" s="93">
        <v>3600</v>
      </c>
      <c r="R2505" s="93">
        <v>3600</v>
      </c>
      <c r="S2505" s="93">
        <v>3600</v>
      </c>
      <c r="T2505" s="93">
        <v>3600</v>
      </c>
      <c r="U2505" s="93">
        <v>3600</v>
      </c>
      <c r="V2505" s="93">
        <v>3600</v>
      </c>
      <c r="W2505" s="93">
        <v>3600</v>
      </c>
      <c r="X2505" s="93">
        <v>3600</v>
      </c>
      <c r="Y2505" s="93">
        <v>3600</v>
      </c>
      <c r="Z2505" s="93">
        <v>3600</v>
      </c>
      <c r="AA2505" s="93">
        <v>3600</v>
      </c>
      <c r="AB2505" s="93">
        <v>3600</v>
      </c>
      <c r="AC2505" s="93">
        <v>3600</v>
      </c>
      <c r="AD2505" s="93">
        <v>3600</v>
      </c>
      <c r="AE2505" s="93">
        <v>3600</v>
      </c>
      <c r="AF2505" s="93">
        <v>3600</v>
      </c>
      <c r="AG2505" s="93">
        <v>3600</v>
      </c>
      <c r="AH2505" s="93">
        <v>3600</v>
      </c>
      <c r="AI2505" s="93">
        <v>3600</v>
      </c>
      <c r="AJ2505" s="93">
        <v>3600</v>
      </c>
      <c r="AK2505" s="93">
        <v>3600</v>
      </c>
      <c r="AL2505" s="93">
        <v>3600</v>
      </c>
      <c r="AM2505" s="93">
        <v>3600</v>
      </c>
      <c r="AN2505" s="93">
        <v>3600</v>
      </c>
      <c r="AO2505" s="93">
        <v>3600</v>
      </c>
      <c r="AP2505" s="93">
        <v>3600</v>
      </c>
      <c r="AQ2505" s="93">
        <v>3600</v>
      </c>
      <c r="AR2505" s="93">
        <v>3600</v>
      </c>
      <c r="AS2505" s="93">
        <v>3600</v>
      </c>
      <c r="AT2505" s="93">
        <v>3600</v>
      </c>
      <c r="AU2505" s="93">
        <v>3600</v>
      </c>
      <c r="AV2505" s="93">
        <v>3600</v>
      </c>
      <c r="AW2505" s="93">
        <v>3600</v>
      </c>
      <c r="AX2505" s="94">
        <v>3600</v>
      </c>
    </row>
    <row r="2506" spans="1:50" x14ac:dyDescent="0.25">
      <c r="A2506" s="356"/>
      <c r="B2506" s="359"/>
      <c r="C2506" s="360"/>
      <c r="D2506" s="2" t="s">
        <v>8</v>
      </c>
      <c r="E2506" s="160" t="str">
        <f>A2505&amp;"/"&amp;B2505&amp;"/"&amp;C2505&amp;"/"&amp;D2506</f>
        <v>Diesel oil fired power plants/Gas turbine combined cycle/Electricity only/M</v>
      </c>
      <c r="F2506" s="76" t="str">
        <f>A2505</f>
        <v>Diesel oil fired power plants</v>
      </c>
      <c r="G2506" s="76" t="str">
        <f>B2505</f>
        <v>Gas turbine combined cycle</v>
      </c>
      <c r="H2506" s="76" t="str">
        <f>C2505</f>
        <v>Electricity only</v>
      </c>
      <c r="I2506" s="161" t="str">
        <f t="shared" si="120"/>
        <v>M</v>
      </c>
      <c r="J2506" s="91">
        <v>2609.206789239704</v>
      </c>
      <c r="K2506" s="91">
        <v>2609.206789239704</v>
      </c>
      <c r="L2506" s="91">
        <v>2609.206789239704</v>
      </c>
      <c r="M2506" s="91">
        <v>2609.206789239704</v>
      </c>
      <c r="N2506" s="91">
        <v>2609.206789239704</v>
      </c>
      <c r="O2506" s="91">
        <v>2609.206789239704</v>
      </c>
      <c r="P2506" s="91">
        <v>2609.206789239704</v>
      </c>
      <c r="Q2506" s="91">
        <v>2609.206789239704</v>
      </c>
      <c r="R2506" s="91">
        <v>2609.206789239704</v>
      </c>
      <c r="S2506" s="91">
        <v>2609.206789239704</v>
      </c>
      <c r="T2506" s="91">
        <v>2609.206789239704</v>
      </c>
      <c r="U2506" s="91">
        <v>2609.206789239704</v>
      </c>
      <c r="V2506" s="91">
        <v>2609.206789239704</v>
      </c>
      <c r="W2506" s="91">
        <v>2609.206789239704</v>
      </c>
      <c r="X2506" s="91">
        <v>2609.206789239704</v>
      </c>
      <c r="Y2506" s="91">
        <v>2609.206789239704</v>
      </c>
      <c r="Z2506" s="91">
        <v>2609.206789239704</v>
      </c>
      <c r="AA2506" s="91">
        <v>2609.206789239704</v>
      </c>
      <c r="AB2506" s="91">
        <v>2609.206789239704</v>
      </c>
      <c r="AC2506" s="91">
        <v>2609.206789239704</v>
      </c>
      <c r="AD2506" s="91">
        <v>2609.206789239704</v>
      </c>
      <c r="AE2506" s="91">
        <v>2609.206789239704</v>
      </c>
      <c r="AF2506" s="91">
        <v>2609.206789239704</v>
      </c>
      <c r="AG2506" s="91">
        <v>2609.206789239704</v>
      </c>
      <c r="AH2506" s="91">
        <v>2609.206789239704</v>
      </c>
      <c r="AI2506" s="91">
        <v>2609.206789239704</v>
      </c>
      <c r="AJ2506" s="91">
        <v>2609.206789239704</v>
      </c>
      <c r="AK2506" s="91">
        <v>2609.206789239704</v>
      </c>
      <c r="AL2506" s="91">
        <v>2609.206789239704</v>
      </c>
      <c r="AM2506" s="91">
        <v>2609.206789239704</v>
      </c>
      <c r="AN2506" s="91">
        <v>2609.206789239704</v>
      </c>
      <c r="AO2506" s="91">
        <v>2609.206789239704</v>
      </c>
      <c r="AP2506" s="91">
        <v>2609.206789239704</v>
      </c>
      <c r="AQ2506" s="91">
        <v>2609.206789239704</v>
      </c>
      <c r="AR2506" s="91">
        <v>2609.206789239704</v>
      </c>
      <c r="AS2506" s="91">
        <v>2609.206789239704</v>
      </c>
      <c r="AT2506" s="91">
        <v>2609.206789239704</v>
      </c>
      <c r="AU2506" s="91">
        <v>2609.206789239704</v>
      </c>
      <c r="AV2506" s="91">
        <v>2609.206789239704</v>
      </c>
      <c r="AW2506" s="91">
        <v>2609.206789239704</v>
      </c>
      <c r="AX2506" s="92">
        <v>2609.206789239704</v>
      </c>
    </row>
    <row r="2507" spans="1:50" x14ac:dyDescent="0.25">
      <c r="A2507" s="356"/>
      <c r="B2507" s="359"/>
      <c r="C2507" s="361" t="s">
        <v>14</v>
      </c>
      <c r="D2507" s="58" t="s">
        <v>7</v>
      </c>
      <c r="E2507" s="164" t="str">
        <f>A2505&amp;"/"&amp;B2505&amp;"/"&amp;C2507&amp;"/"&amp;D2507</f>
        <v>Diesel oil fired power plants/Gas turbine combined cycle/CHP/L</v>
      </c>
      <c r="F2507" s="78" t="str">
        <f>A2505</f>
        <v>Diesel oil fired power plants</v>
      </c>
      <c r="G2507" s="78" t="str">
        <f>B2505</f>
        <v>Gas turbine combined cycle</v>
      </c>
      <c r="H2507" s="78" t="str">
        <f>C2507</f>
        <v>CHP</v>
      </c>
      <c r="I2507" s="165" t="str">
        <f t="shared" si="120"/>
        <v>L</v>
      </c>
      <c r="J2507" s="95">
        <v>3600</v>
      </c>
      <c r="K2507" s="95">
        <v>3600</v>
      </c>
      <c r="L2507" s="95">
        <v>3600</v>
      </c>
      <c r="M2507" s="95">
        <v>3600</v>
      </c>
      <c r="N2507" s="95">
        <v>3600</v>
      </c>
      <c r="O2507" s="95">
        <v>3600</v>
      </c>
      <c r="P2507" s="95">
        <v>3600</v>
      </c>
      <c r="Q2507" s="95">
        <v>3600</v>
      </c>
      <c r="R2507" s="95">
        <v>3600</v>
      </c>
      <c r="S2507" s="95">
        <v>3600</v>
      </c>
      <c r="T2507" s="95">
        <v>3600</v>
      </c>
      <c r="U2507" s="95">
        <v>3600</v>
      </c>
      <c r="V2507" s="95">
        <v>3600</v>
      </c>
      <c r="W2507" s="95">
        <v>3600</v>
      </c>
      <c r="X2507" s="95">
        <v>3600</v>
      </c>
      <c r="Y2507" s="95">
        <v>3600</v>
      </c>
      <c r="Z2507" s="95">
        <v>3600</v>
      </c>
      <c r="AA2507" s="95">
        <v>3600</v>
      </c>
      <c r="AB2507" s="95">
        <v>3600</v>
      </c>
      <c r="AC2507" s="95">
        <v>3600</v>
      </c>
      <c r="AD2507" s="95">
        <v>3600</v>
      </c>
      <c r="AE2507" s="95">
        <v>3600</v>
      </c>
      <c r="AF2507" s="95">
        <v>3600</v>
      </c>
      <c r="AG2507" s="95">
        <v>3600</v>
      </c>
      <c r="AH2507" s="95">
        <v>3600</v>
      </c>
      <c r="AI2507" s="95">
        <v>3600</v>
      </c>
      <c r="AJ2507" s="95">
        <v>3600</v>
      </c>
      <c r="AK2507" s="95">
        <v>3600</v>
      </c>
      <c r="AL2507" s="95">
        <v>3600</v>
      </c>
      <c r="AM2507" s="95">
        <v>3600</v>
      </c>
      <c r="AN2507" s="95">
        <v>3600</v>
      </c>
      <c r="AO2507" s="95">
        <v>3600</v>
      </c>
      <c r="AP2507" s="95">
        <v>3600</v>
      </c>
      <c r="AQ2507" s="95">
        <v>3600</v>
      </c>
      <c r="AR2507" s="95">
        <v>3600</v>
      </c>
      <c r="AS2507" s="95">
        <v>3600</v>
      </c>
      <c r="AT2507" s="95">
        <v>3600</v>
      </c>
      <c r="AU2507" s="95">
        <v>3600</v>
      </c>
      <c r="AV2507" s="95">
        <v>3600</v>
      </c>
      <c r="AW2507" s="95">
        <v>3600</v>
      </c>
      <c r="AX2507" s="96">
        <v>3600</v>
      </c>
    </row>
    <row r="2508" spans="1:50" x14ac:dyDescent="0.25">
      <c r="A2508" s="356"/>
      <c r="B2508" s="359"/>
      <c r="C2508" s="360"/>
      <c r="D2508" s="59" t="s">
        <v>8</v>
      </c>
      <c r="E2508" s="166" t="str">
        <f>A2505&amp;"/"&amp;B2505&amp;"/"&amp;C2507&amp;"/"&amp;D2508</f>
        <v>Diesel oil fired power plants/Gas turbine combined cycle/CHP/M</v>
      </c>
      <c r="F2508" s="79" t="str">
        <f>A2505</f>
        <v>Diesel oil fired power plants</v>
      </c>
      <c r="G2508" s="79" t="str">
        <f>B2505</f>
        <v>Gas turbine combined cycle</v>
      </c>
      <c r="H2508" s="79" t="str">
        <f>C2507</f>
        <v>CHP</v>
      </c>
      <c r="I2508" s="167" t="str">
        <f t="shared" si="120"/>
        <v>M</v>
      </c>
      <c r="J2508" s="97">
        <v>3375.7486455736102</v>
      </c>
      <c r="K2508" s="97">
        <v>3375.7486455736102</v>
      </c>
      <c r="L2508" s="97">
        <v>3375.7486455736102</v>
      </c>
      <c r="M2508" s="97">
        <v>3375.7486455736102</v>
      </c>
      <c r="N2508" s="97">
        <v>3375.7486455736102</v>
      </c>
      <c r="O2508" s="97">
        <v>3375.7486455736102</v>
      </c>
      <c r="P2508" s="97">
        <v>3375.7486455736102</v>
      </c>
      <c r="Q2508" s="97">
        <v>3375.7486455736102</v>
      </c>
      <c r="R2508" s="97">
        <v>3375.7486455736102</v>
      </c>
      <c r="S2508" s="97">
        <v>3375.7486455736102</v>
      </c>
      <c r="T2508" s="97">
        <v>3375.7486455736102</v>
      </c>
      <c r="U2508" s="97">
        <v>3375.7486455736102</v>
      </c>
      <c r="V2508" s="97">
        <v>3375.7486455736102</v>
      </c>
      <c r="W2508" s="97">
        <v>3375.7486455736102</v>
      </c>
      <c r="X2508" s="97">
        <v>3375.7486455736102</v>
      </c>
      <c r="Y2508" s="97">
        <v>3375.7486455736102</v>
      </c>
      <c r="Z2508" s="97">
        <v>3375.7486455736102</v>
      </c>
      <c r="AA2508" s="97">
        <v>3375.7486455736102</v>
      </c>
      <c r="AB2508" s="97">
        <v>3375.7486455736102</v>
      </c>
      <c r="AC2508" s="97">
        <v>3375.7486455736102</v>
      </c>
      <c r="AD2508" s="97">
        <v>3375.7486455736102</v>
      </c>
      <c r="AE2508" s="97">
        <v>3375.7486455736102</v>
      </c>
      <c r="AF2508" s="97">
        <v>3375.7486455736102</v>
      </c>
      <c r="AG2508" s="97">
        <v>3375.7486455736102</v>
      </c>
      <c r="AH2508" s="97">
        <v>3375.7486455736102</v>
      </c>
      <c r="AI2508" s="97">
        <v>3375.7486455736102</v>
      </c>
      <c r="AJ2508" s="97">
        <v>3375.7486455736102</v>
      </c>
      <c r="AK2508" s="97">
        <v>3375.7486455736102</v>
      </c>
      <c r="AL2508" s="97">
        <v>3375.7486455736102</v>
      </c>
      <c r="AM2508" s="97">
        <v>3375.7486455736102</v>
      </c>
      <c r="AN2508" s="97">
        <v>3375.7486455736102</v>
      </c>
      <c r="AO2508" s="97">
        <v>3375.7486455736102</v>
      </c>
      <c r="AP2508" s="97">
        <v>3375.7486455736102</v>
      </c>
      <c r="AQ2508" s="97">
        <v>3375.7486455736102</v>
      </c>
      <c r="AR2508" s="97">
        <v>3375.7486455736102</v>
      </c>
      <c r="AS2508" s="97">
        <v>3375.7486455736102</v>
      </c>
      <c r="AT2508" s="97">
        <v>3375.7486455736102</v>
      </c>
      <c r="AU2508" s="97">
        <v>3375.7486455736102</v>
      </c>
      <c r="AV2508" s="97">
        <v>3375.7486455736102</v>
      </c>
      <c r="AW2508" s="97">
        <v>3375.7486455736102</v>
      </c>
      <c r="AX2508" s="98">
        <v>3375.7486455736102</v>
      </c>
    </row>
    <row r="2509" spans="1:50" x14ac:dyDescent="0.25">
      <c r="A2509" s="356"/>
      <c r="B2509" s="359"/>
      <c r="C2509" s="361" t="s">
        <v>15</v>
      </c>
      <c r="D2509" s="58" t="s">
        <v>7</v>
      </c>
      <c r="E2509" s="164" t="str">
        <f>A2505&amp;"/"&amp;B2505&amp;"/"&amp;C2509&amp;"/"&amp;D2509</f>
        <v>Diesel oil fired power plants/Gas turbine combined cycle/Electricity only with CCS/L</v>
      </c>
      <c r="F2509" s="78" t="str">
        <f>A2505</f>
        <v>Diesel oil fired power plants</v>
      </c>
      <c r="G2509" s="78" t="str">
        <f>B2505</f>
        <v>Gas turbine combined cycle</v>
      </c>
      <c r="H2509" s="78" t="str">
        <f>C2509</f>
        <v>Electricity only with CCS</v>
      </c>
      <c r="I2509" s="165" t="str">
        <f t="shared" si="120"/>
        <v>L</v>
      </c>
      <c r="J2509" s="95" t="s">
        <v>112</v>
      </c>
      <c r="K2509" s="95" t="s">
        <v>112</v>
      </c>
      <c r="L2509" s="95" t="s">
        <v>112</v>
      </c>
      <c r="M2509" s="95" t="s">
        <v>112</v>
      </c>
      <c r="N2509" s="95" t="s">
        <v>112</v>
      </c>
      <c r="O2509" s="95" t="s">
        <v>112</v>
      </c>
      <c r="P2509" s="95" t="s">
        <v>112</v>
      </c>
      <c r="Q2509" s="95" t="s">
        <v>112</v>
      </c>
      <c r="R2509" s="95" t="s">
        <v>112</v>
      </c>
      <c r="S2509" s="95" t="s">
        <v>112</v>
      </c>
      <c r="T2509" s="95" t="s">
        <v>112</v>
      </c>
      <c r="U2509" s="95" t="s">
        <v>112</v>
      </c>
      <c r="V2509" s="95" t="s">
        <v>112</v>
      </c>
      <c r="W2509" s="95" t="s">
        <v>112</v>
      </c>
      <c r="X2509" s="95" t="s">
        <v>112</v>
      </c>
      <c r="Y2509" s="95" t="s">
        <v>112</v>
      </c>
      <c r="Z2509" s="95" t="s">
        <v>112</v>
      </c>
      <c r="AA2509" s="95" t="s">
        <v>112</v>
      </c>
      <c r="AB2509" s="95" t="s">
        <v>112</v>
      </c>
      <c r="AC2509" s="95" t="s">
        <v>112</v>
      </c>
      <c r="AD2509" s="95" t="s">
        <v>112</v>
      </c>
      <c r="AE2509" s="95">
        <v>3600</v>
      </c>
      <c r="AF2509" s="95">
        <v>3600</v>
      </c>
      <c r="AG2509" s="95">
        <v>3600</v>
      </c>
      <c r="AH2509" s="95">
        <v>3600</v>
      </c>
      <c r="AI2509" s="95">
        <v>3600</v>
      </c>
      <c r="AJ2509" s="95">
        <v>3600</v>
      </c>
      <c r="AK2509" s="95">
        <v>3600</v>
      </c>
      <c r="AL2509" s="95">
        <v>3600</v>
      </c>
      <c r="AM2509" s="95">
        <v>3600</v>
      </c>
      <c r="AN2509" s="95">
        <v>3600</v>
      </c>
      <c r="AO2509" s="95">
        <v>3600</v>
      </c>
      <c r="AP2509" s="95">
        <v>3600</v>
      </c>
      <c r="AQ2509" s="95">
        <v>3600</v>
      </c>
      <c r="AR2509" s="95">
        <v>3600</v>
      </c>
      <c r="AS2509" s="95">
        <v>3600</v>
      </c>
      <c r="AT2509" s="95">
        <v>3600</v>
      </c>
      <c r="AU2509" s="95">
        <v>3600</v>
      </c>
      <c r="AV2509" s="95">
        <v>3600</v>
      </c>
      <c r="AW2509" s="95">
        <v>3600</v>
      </c>
      <c r="AX2509" s="96">
        <v>3600</v>
      </c>
    </row>
    <row r="2510" spans="1:50" x14ac:dyDescent="0.25">
      <c r="A2510" s="356"/>
      <c r="B2510" s="359"/>
      <c r="C2510" s="360"/>
      <c r="D2510" s="59" t="s">
        <v>8</v>
      </c>
      <c r="E2510" s="166" t="str">
        <f>A2505&amp;"/"&amp;B2505&amp;"/"&amp;C2509&amp;"/"&amp;D2510</f>
        <v>Diesel oil fired power plants/Gas turbine combined cycle/Electricity only with CCS/M</v>
      </c>
      <c r="F2510" s="79" t="str">
        <f>A2505</f>
        <v>Diesel oil fired power plants</v>
      </c>
      <c r="G2510" s="79" t="str">
        <f>B2505</f>
        <v>Gas turbine combined cycle</v>
      </c>
      <c r="H2510" s="79" t="str">
        <f>C2509</f>
        <v>Electricity only with CCS</v>
      </c>
      <c r="I2510" s="167" t="str">
        <f t="shared" si="120"/>
        <v>M</v>
      </c>
      <c r="J2510" s="97" t="s">
        <v>112</v>
      </c>
      <c r="K2510" s="97" t="s">
        <v>112</v>
      </c>
      <c r="L2510" s="97" t="s">
        <v>112</v>
      </c>
      <c r="M2510" s="97" t="s">
        <v>112</v>
      </c>
      <c r="N2510" s="97" t="s">
        <v>112</v>
      </c>
      <c r="O2510" s="97" t="s">
        <v>112</v>
      </c>
      <c r="P2510" s="97" t="s">
        <v>112</v>
      </c>
      <c r="Q2510" s="97" t="s">
        <v>112</v>
      </c>
      <c r="R2510" s="97" t="s">
        <v>112</v>
      </c>
      <c r="S2510" s="97" t="s">
        <v>112</v>
      </c>
      <c r="T2510" s="97" t="s">
        <v>112</v>
      </c>
      <c r="U2510" s="97" t="s">
        <v>112</v>
      </c>
      <c r="V2510" s="97" t="s">
        <v>112</v>
      </c>
      <c r="W2510" s="97" t="s">
        <v>112</v>
      </c>
      <c r="X2510" s="97" t="s">
        <v>112</v>
      </c>
      <c r="Y2510" s="97" t="s">
        <v>112</v>
      </c>
      <c r="Z2510" s="97" t="s">
        <v>112</v>
      </c>
      <c r="AA2510" s="97" t="s">
        <v>112</v>
      </c>
      <c r="AB2510" s="97" t="s">
        <v>112</v>
      </c>
      <c r="AC2510" s="97" t="s">
        <v>112</v>
      </c>
      <c r="AD2510" s="97" t="s">
        <v>112</v>
      </c>
      <c r="AE2510" s="97">
        <v>2609.206789239704</v>
      </c>
      <c r="AF2510" s="97">
        <v>2609.206789239704</v>
      </c>
      <c r="AG2510" s="97">
        <v>2609.206789239704</v>
      </c>
      <c r="AH2510" s="97">
        <v>2609.206789239704</v>
      </c>
      <c r="AI2510" s="97">
        <v>2609.206789239704</v>
      </c>
      <c r="AJ2510" s="97">
        <v>2609.206789239704</v>
      </c>
      <c r="AK2510" s="97">
        <v>2609.206789239704</v>
      </c>
      <c r="AL2510" s="97">
        <v>2609.206789239704</v>
      </c>
      <c r="AM2510" s="97">
        <v>2609.206789239704</v>
      </c>
      <c r="AN2510" s="97">
        <v>2609.206789239704</v>
      </c>
      <c r="AO2510" s="97">
        <v>2609.206789239704</v>
      </c>
      <c r="AP2510" s="97">
        <v>2609.206789239704</v>
      </c>
      <c r="AQ2510" s="97">
        <v>2609.206789239704</v>
      </c>
      <c r="AR2510" s="97">
        <v>2609.206789239704</v>
      </c>
      <c r="AS2510" s="97">
        <v>2609.206789239704</v>
      </c>
      <c r="AT2510" s="97">
        <v>2609.206789239704</v>
      </c>
      <c r="AU2510" s="97">
        <v>2609.206789239704</v>
      </c>
      <c r="AV2510" s="97">
        <v>2609.206789239704</v>
      </c>
      <c r="AW2510" s="97">
        <v>2609.206789239704</v>
      </c>
      <c r="AX2510" s="98">
        <v>2609.206789239704</v>
      </c>
    </row>
    <row r="2511" spans="1:50" x14ac:dyDescent="0.25">
      <c r="A2511" s="356"/>
      <c r="B2511" s="359"/>
      <c r="C2511" s="361" t="s">
        <v>16</v>
      </c>
      <c r="D2511" s="2" t="s">
        <v>7</v>
      </c>
      <c r="E2511" s="160" t="str">
        <f>A2505&amp;"/"&amp;B2505&amp;"/"&amp;C2511&amp;"/"&amp;D2511</f>
        <v>Diesel oil fired power plants/Gas turbine combined cycle/CHP with CCS/L</v>
      </c>
      <c r="F2511" s="76" t="str">
        <f>A2505</f>
        <v>Diesel oil fired power plants</v>
      </c>
      <c r="G2511" s="76" t="str">
        <f>B2505</f>
        <v>Gas turbine combined cycle</v>
      </c>
      <c r="H2511" s="76" t="str">
        <f>C2511</f>
        <v>CHP with CCS</v>
      </c>
      <c r="I2511" s="161" t="str">
        <f t="shared" si="120"/>
        <v>L</v>
      </c>
      <c r="J2511" s="91" t="s">
        <v>112</v>
      </c>
      <c r="K2511" s="91" t="s">
        <v>112</v>
      </c>
      <c r="L2511" s="91" t="s">
        <v>112</v>
      </c>
      <c r="M2511" s="91" t="s">
        <v>112</v>
      </c>
      <c r="N2511" s="91" t="s">
        <v>112</v>
      </c>
      <c r="O2511" s="91" t="s">
        <v>112</v>
      </c>
      <c r="P2511" s="91" t="s">
        <v>112</v>
      </c>
      <c r="Q2511" s="91" t="s">
        <v>112</v>
      </c>
      <c r="R2511" s="91" t="s">
        <v>112</v>
      </c>
      <c r="S2511" s="91" t="s">
        <v>112</v>
      </c>
      <c r="T2511" s="91" t="s">
        <v>112</v>
      </c>
      <c r="U2511" s="91" t="s">
        <v>112</v>
      </c>
      <c r="V2511" s="91" t="s">
        <v>112</v>
      </c>
      <c r="W2511" s="91" t="s">
        <v>112</v>
      </c>
      <c r="X2511" s="91" t="s">
        <v>112</v>
      </c>
      <c r="Y2511" s="91" t="s">
        <v>112</v>
      </c>
      <c r="Z2511" s="91" t="s">
        <v>112</v>
      </c>
      <c r="AA2511" s="91" t="s">
        <v>112</v>
      </c>
      <c r="AB2511" s="91" t="s">
        <v>112</v>
      </c>
      <c r="AC2511" s="91" t="s">
        <v>112</v>
      </c>
      <c r="AD2511" s="91" t="s">
        <v>112</v>
      </c>
      <c r="AE2511" s="91">
        <v>3600</v>
      </c>
      <c r="AF2511" s="91">
        <v>3600</v>
      </c>
      <c r="AG2511" s="91">
        <v>3600</v>
      </c>
      <c r="AH2511" s="91">
        <v>3600</v>
      </c>
      <c r="AI2511" s="91">
        <v>3600</v>
      </c>
      <c r="AJ2511" s="91">
        <v>3600</v>
      </c>
      <c r="AK2511" s="91">
        <v>3600</v>
      </c>
      <c r="AL2511" s="91">
        <v>3600</v>
      </c>
      <c r="AM2511" s="91">
        <v>3600</v>
      </c>
      <c r="AN2511" s="91">
        <v>3600</v>
      </c>
      <c r="AO2511" s="91">
        <v>3600</v>
      </c>
      <c r="AP2511" s="91">
        <v>3600</v>
      </c>
      <c r="AQ2511" s="91">
        <v>3600</v>
      </c>
      <c r="AR2511" s="91">
        <v>3600</v>
      </c>
      <c r="AS2511" s="91">
        <v>3600</v>
      </c>
      <c r="AT2511" s="91">
        <v>3600</v>
      </c>
      <c r="AU2511" s="91">
        <v>3600</v>
      </c>
      <c r="AV2511" s="91">
        <v>3600</v>
      </c>
      <c r="AW2511" s="91">
        <v>3600</v>
      </c>
      <c r="AX2511" s="92">
        <v>3600</v>
      </c>
    </row>
    <row r="2512" spans="1:50" x14ac:dyDescent="0.25">
      <c r="A2512" s="356"/>
      <c r="B2512" s="362"/>
      <c r="C2512" s="354"/>
      <c r="D2512" s="4" t="s">
        <v>8</v>
      </c>
      <c r="E2512" s="168" t="str">
        <f>A2505&amp;"/"&amp;B2505&amp;"/"&amp;C2511&amp;"/"&amp;D2512</f>
        <v>Diesel oil fired power plants/Gas turbine combined cycle/CHP with CCS/M</v>
      </c>
      <c r="F2512" s="80" t="str">
        <f>A2505</f>
        <v>Diesel oil fired power plants</v>
      </c>
      <c r="G2512" s="80" t="str">
        <f>B2505</f>
        <v>Gas turbine combined cycle</v>
      </c>
      <c r="H2512" s="80" t="str">
        <f>C2511</f>
        <v>CHP with CCS</v>
      </c>
      <c r="I2512" s="169" t="str">
        <f t="shared" si="120"/>
        <v>M</v>
      </c>
      <c r="J2512" s="99" t="s">
        <v>112</v>
      </c>
      <c r="K2512" s="99" t="s">
        <v>112</v>
      </c>
      <c r="L2512" s="99" t="s">
        <v>112</v>
      </c>
      <c r="M2512" s="99" t="s">
        <v>112</v>
      </c>
      <c r="N2512" s="99" t="s">
        <v>112</v>
      </c>
      <c r="O2512" s="99" t="s">
        <v>112</v>
      </c>
      <c r="P2512" s="99" t="s">
        <v>112</v>
      </c>
      <c r="Q2512" s="99" t="s">
        <v>112</v>
      </c>
      <c r="R2512" s="99" t="s">
        <v>112</v>
      </c>
      <c r="S2512" s="99" t="s">
        <v>112</v>
      </c>
      <c r="T2512" s="99" t="s">
        <v>112</v>
      </c>
      <c r="U2512" s="99" t="s">
        <v>112</v>
      </c>
      <c r="V2512" s="99" t="s">
        <v>112</v>
      </c>
      <c r="W2512" s="99" t="s">
        <v>112</v>
      </c>
      <c r="X2512" s="99" t="s">
        <v>112</v>
      </c>
      <c r="Y2512" s="99" t="s">
        <v>112</v>
      </c>
      <c r="Z2512" s="99" t="s">
        <v>112</v>
      </c>
      <c r="AA2512" s="99" t="s">
        <v>112</v>
      </c>
      <c r="AB2512" s="99" t="s">
        <v>112</v>
      </c>
      <c r="AC2512" s="99" t="s">
        <v>112</v>
      </c>
      <c r="AD2512" s="99" t="s">
        <v>112</v>
      </c>
      <c r="AE2512" s="99">
        <v>3375.7486455736102</v>
      </c>
      <c r="AF2512" s="99">
        <v>3375.7486455736102</v>
      </c>
      <c r="AG2512" s="99">
        <v>3375.7486455736102</v>
      </c>
      <c r="AH2512" s="99">
        <v>3375.7486455736102</v>
      </c>
      <c r="AI2512" s="99">
        <v>3375.7486455736102</v>
      </c>
      <c r="AJ2512" s="99">
        <v>3375.7486455736102</v>
      </c>
      <c r="AK2512" s="99">
        <v>3375.7486455736102</v>
      </c>
      <c r="AL2512" s="99">
        <v>3375.7486455736102</v>
      </c>
      <c r="AM2512" s="99">
        <v>3375.7486455736102</v>
      </c>
      <c r="AN2512" s="99">
        <v>3375.7486455736102</v>
      </c>
      <c r="AO2512" s="99">
        <v>3375.7486455736102</v>
      </c>
      <c r="AP2512" s="99">
        <v>3375.7486455736102</v>
      </c>
      <c r="AQ2512" s="99">
        <v>3375.7486455736102</v>
      </c>
      <c r="AR2512" s="99">
        <v>3375.7486455736102</v>
      </c>
      <c r="AS2512" s="99">
        <v>3375.7486455736102</v>
      </c>
      <c r="AT2512" s="99">
        <v>3375.7486455736102</v>
      </c>
      <c r="AU2512" s="99">
        <v>3375.7486455736102</v>
      </c>
      <c r="AV2512" s="99">
        <v>3375.7486455736102</v>
      </c>
      <c r="AW2512" s="99">
        <v>3375.7486455736102</v>
      </c>
      <c r="AX2512" s="100">
        <v>3375.7486455736102</v>
      </c>
    </row>
    <row r="2513" spans="1:50" x14ac:dyDescent="0.25">
      <c r="A2513" s="356"/>
      <c r="B2513" s="358" t="s">
        <v>24</v>
      </c>
      <c r="C2513" s="353" t="s">
        <v>6</v>
      </c>
      <c r="D2513" s="3" t="s">
        <v>7</v>
      </c>
      <c r="E2513" s="162" t="str">
        <f>A2505&amp;"/"&amp;B2513&amp;"/"&amp;C2513&amp;"/"&amp;D2513</f>
        <v>Diesel oil fired power plants/Gas turbine /Electricity only/L</v>
      </c>
      <c r="F2513" s="77" t="str">
        <f>A2505</f>
        <v>Diesel oil fired power plants</v>
      </c>
      <c r="G2513" s="77" t="str">
        <f>B2513</f>
        <v xml:space="preserve">Gas turbine </v>
      </c>
      <c r="H2513" s="77" t="str">
        <f>C2513</f>
        <v>Electricity only</v>
      </c>
      <c r="I2513" s="163" t="str">
        <f t="shared" si="120"/>
        <v>L</v>
      </c>
      <c r="J2513" s="93">
        <v>3000</v>
      </c>
      <c r="K2513" s="93">
        <v>3000</v>
      </c>
      <c r="L2513" s="93">
        <v>3000</v>
      </c>
      <c r="M2513" s="93">
        <v>3000</v>
      </c>
      <c r="N2513" s="93">
        <v>3000</v>
      </c>
      <c r="O2513" s="93">
        <v>3000</v>
      </c>
      <c r="P2513" s="93">
        <v>3000</v>
      </c>
      <c r="Q2513" s="93">
        <v>3000</v>
      </c>
      <c r="R2513" s="93">
        <v>3000</v>
      </c>
      <c r="S2513" s="93">
        <v>3000</v>
      </c>
      <c r="T2513" s="93">
        <v>3000</v>
      </c>
      <c r="U2513" s="93">
        <v>3000</v>
      </c>
      <c r="V2513" s="93">
        <v>3000</v>
      </c>
      <c r="W2513" s="93">
        <v>3000</v>
      </c>
      <c r="X2513" s="93">
        <v>3000</v>
      </c>
      <c r="Y2513" s="93">
        <v>3000</v>
      </c>
      <c r="Z2513" s="93">
        <v>3000</v>
      </c>
      <c r="AA2513" s="93">
        <v>3000</v>
      </c>
      <c r="AB2513" s="93">
        <v>3000</v>
      </c>
      <c r="AC2513" s="93">
        <v>3000</v>
      </c>
      <c r="AD2513" s="93">
        <v>3000</v>
      </c>
      <c r="AE2513" s="93">
        <v>3000</v>
      </c>
      <c r="AF2513" s="93">
        <v>3000</v>
      </c>
      <c r="AG2513" s="93">
        <v>3000</v>
      </c>
      <c r="AH2513" s="93">
        <v>3000</v>
      </c>
      <c r="AI2513" s="93">
        <v>3000</v>
      </c>
      <c r="AJ2513" s="93">
        <v>3000</v>
      </c>
      <c r="AK2513" s="93">
        <v>3000</v>
      </c>
      <c r="AL2513" s="93">
        <v>3000</v>
      </c>
      <c r="AM2513" s="93">
        <v>3000</v>
      </c>
      <c r="AN2513" s="93">
        <v>3000</v>
      </c>
      <c r="AO2513" s="93">
        <v>3000</v>
      </c>
      <c r="AP2513" s="93">
        <v>3000</v>
      </c>
      <c r="AQ2513" s="93">
        <v>3000</v>
      </c>
      <c r="AR2513" s="93">
        <v>3000</v>
      </c>
      <c r="AS2513" s="93">
        <v>3000</v>
      </c>
      <c r="AT2513" s="93">
        <v>3000</v>
      </c>
      <c r="AU2513" s="93">
        <v>3000</v>
      </c>
      <c r="AV2513" s="93">
        <v>3000</v>
      </c>
      <c r="AW2513" s="93">
        <v>3000</v>
      </c>
      <c r="AX2513" s="94">
        <v>3000</v>
      </c>
    </row>
    <row r="2514" spans="1:50" x14ac:dyDescent="0.25">
      <c r="A2514" s="356"/>
      <c r="B2514" s="359"/>
      <c r="C2514" s="350"/>
      <c r="D2514" s="2" t="s">
        <v>8</v>
      </c>
      <c r="E2514" s="160" t="str">
        <f>A2505&amp;"/"&amp;B2513&amp;"/"&amp;C2513&amp;"/"&amp;D2514</f>
        <v>Diesel oil fired power plants/Gas turbine /Electricity only/M</v>
      </c>
      <c r="F2514" s="76" t="str">
        <f>A2505</f>
        <v>Diesel oil fired power plants</v>
      </c>
      <c r="G2514" s="76" t="str">
        <f>B2513</f>
        <v xml:space="preserve">Gas turbine </v>
      </c>
      <c r="H2514" s="76" t="str">
        <f>C2513</f>
        <v>Electricity only</v>
      </c>
      <c r="I2514" s="161" t="str">
        <f t="shared" si="120"/>
        <v>M</v>
      </c>
      <c r="J2514" s="91">
        <v>2121.3203435596429</v>
      </c>
      <c r="K2514" s="91">
        <v>2121.3203435596429</v>
      </c>
      <c r="L2514" s="91">
        <v>2121.3203435596429</v>
      </c>
      <c r="M2514" s="91">
        <v>2121.3203435596429</v>
      </c>
      <c r="N2514" s="91">
        <v>2121.3203435596429</v>
      </c>
      <c r="O2514" s="91">
        <v>2121.3203435596429</v>
      </c>
      <c r="P2514" s="91">
        <v>2121.3203435596429</v>
      </c>
      <c r="Q2514" s="91">
        <v>2121.3203435596429</v>
      </c>
      <c r="R2514" s="91">
        <v>2121.3203435596429</v>
      </c>
      <c r="S2514" s="91">
        <v>2121.3203435596429</v>
      </c>
      <c r="T2514" s="91">
        <v>2121.3203435596429</v>
      </c>
      <c r="U2514" s="91">
        <v>2121.3203435596429</v>
      </c>
      <c r="V2514" s="91">
        <v>2121.3203435596429</v>
      </c>
      <c r="W2514" s="91">
        <v>2121.3203435596429</v>
      </c>
      <c r="X2514" s="91">
        <v>2121.3203435596429</v>
      </c>
      <c r="Y2514" s="91">
        <v>2121.3203435596429</v>
      </c>
      <c r="Z2514" s="91">
        <v>2121.3203435596429</v>
      </c>
      <c r="AA2514" s="91">
        <v>2121.3203435596429</v>
      </c>
      <c r="AB2514" s="91">
        <v>2121.3203435596429</v>
      </c>
      <c r="AC2514" s="91">
        <v>2121.3203435596429</v>
      </c>
      <c r="AD2514" s="91">
        <v>2121.3203435596429</v>
      </c>
      <c r="AE2514" s="91">
        <v>2121.3203435596429</v>
      </c>
      <c r="AF2514" s="91">
        <v>2121.3203435596429</v>
      </c>
      <c r="AG2514" s="91">
        <v>2121.3203435596429</v>
      </c>
      <c r="AH2514" s="91">
        <v>2121.3203435596429</v>
      </c>
      <c r="AI2514" s="91">
        <v>2121.3203435596429</v>
      </c>
      <c r="AJ2514" s="91">
        <v>2121.3203435596429</v>
      </c>
      <c r="AK2514" s="91">
        <v>2121.3203435596429</v>
      </c>
      <c r="AL2514" s="91">
        <v>2121.3203435596429</v>
      </c>
      <c r="AM2514" s="91">
        <v>2121.3203435596429</v>
      </c>
      <c r="AN2514" s="91">
        <v>2121.3203435596429</v>
      </c>
      <c r="AO2514" s="91">
        <v>2121.3203435596429</v>
      </c>
      <c r="AP2514" s="91">
        <v>2121.3203435596429</v>
      </c>
      <c r="AQ2514" s="91">
        <v>2121.3203435596429</v>
      </c>
      <c r="AR2514" s="91">
        <v>2121.3203435596429</v>
      </c>
      <c r="AS2514" s="91">
        <v>2121.3203435596429</v>
      </c>
      <c r="AT2514" s="91">
        <v>2121.3203435596429</v>
      </c>
      <c r="AU2514" s="91">
        <v>2121.3203435596429</v>
      </c>
      <c r="AV2514" s="91">
        <v>2121.3203435596429</v>
      </c>
      <c r="AW2514" s="91">
        <v>2121.3203435596429</v>
      </c>
      <c r="AX2514" s="92">
        <v>2121.3203435596429</v>
      </c>
    </row>
    <row r="2515" spans="1:50" x14ac:dyDescent="0.25">
      <c r="A2515" s="356"/>
      <c r="B2515" s="359"/>
      <c r="C2515" s="350"/>
      <c r="D2515" s="2" t="s">
        <v>10</v>
      </c>
      <c r="E2515" s="160" t="str">
        <f>A2505&amp;"/"&amp;B2513&amp;"/"&amp;C2513&amp;"/"&amp;D2515</f>
        <v>Diesel oil fired power plants/Gas turbine /Electricity only/S</v>
      </c>
      <c r="F2515" s="76" t="str">
        <f>A2505</f>
        <v>Diesel oil fired power plants</v>
      </c>
      <c r="G2515" s="76" t="str">
        <f>B2513</f>
        <v xml:space="preserve">Gas turbine </v>
      </c>
      <c r="H2515" s="76" t="str">
        <f>C2513</f>
        <v>Electricity only</v>
      </c>
      <c r="I2515" s="161" t="str">
        <f t="shared" si="120"/>
        <v>S</v>
      </c>
      <c r="J2515" s="91">
        <v>1500.0000000000002</v>
      </c>
      <c r="K2515" s="91">
        <v>1500.0000000000002</v>
      </c>
      <c r="L2515" s="91">
        <v>1500.0000000000002</v>
      </c>
      <c r="M2515" s="91">
        <v>1500.0000000000002</v>
      </c>
      <c r="N2515" s="91">
        <v>1500.0000000000002</v>
      </c>
      <c r="O2515" s="91">
        <v>1500.0000000000002</v>
      </c>
      <c r="P2515" s="91">
        <v>1500.0000000000002</v>
      </c>
      <c r="Q2515" s="91">
        <v>1500.0000000000002</v>
      </c>
      <c r="R2515" s="91">
        <v>1500.0000000000002</v>
      </c>
      <c r="S2515" s="91">
        <v>1500.0000000000002</v>
      </c>
      <c r="T2515" s="91">
        <v>1500.0000000000002</v>
      </c>
      <c r="U2515" s="91">
        <v>1500.0000000000002</v>
      </c>
      <c r="V2515" s="91">
        <v>1500.0000000000002</v>
      </c>
      <c r="W2515" s="91">
        <v>1500.0000000000002</v>
      </c>
      <c r="X2515" s="91">
        <v>1500.0000000000002</v>
      </c>
      <c r="Y2515" s="91">
        <v>1500.0000000000002</v>
      </c>
      <c r="Z2515" s="91">
        <v>1500.0000000000002</v>
      </c>
      <c r="AA2515" s="91">
        <v>1500.0000000000002</v>
      </c>
      <c r="AB2515" s="91">
        <v>1500.0000000000002</v>
      </c>
      <c r="AC2515" s="91">
        <v>1500.0000000000002</v>
      </c>
      <c r="AD2515" s="91">
        <v>1500.0000000000002</v>
      </c>
      <c r="AE2515" s="91">
        <v>1500.0000000000002</v>
      </c>
      <c r="AF2515" s="91">
        <v>1500.0000000000002</v>
      </c>
      <c r="AG2515" s="91">
        <v>1500.0000000000002</v>
      </c>
      <c r="AH2515" s="91">
        <v>1500.0000000000002</v>
      </c>
      <c r="AI2515" s="91">
        <v>1500.0000000000002</v>
      </c>
      <c r="AJ2515" s="91">
        <v>1500.0000000000002</v>
      </c>
      <c r="AK2515" s="91">
        <v>1500.0000000000002</v>
      </c>
      <c r="AL2515" s="91">
        <v>1500.0000000000002</v>
      </c>
      <c r="AM2515" s="91">
        <v>1500.0000000000002</v>
      </c>
      <c r="AN2515" s="91">
        <v>1500.0000000000002</v>
      </c>
      <c r="AO2515" s="91">
        <v>1500.0000000000002</v>
      </c>
      <c r="AP2515" s="91">
        <v>1500.0000000000002</v>
      </c>
      <c r="AQ2515" s="91">
        <v>1500.0000000000002</v>
      </c>
      <c r="AR2515" s="91">
        <v>1500.0000000000002</v>
      </c>
      <c r="AS2515" s="91">
        <v>1500.0000000000002</v>
      </c>
      <c r="AT2515" s="91">
        <v>1500.0000000000002</v>
      </c>
      <c r="AU2515" s="91">
        <v>1500.0000000000002</v>
      </c>
      <c r="AV2515" s="91">
        <v>1500.0000000000002</v>
      </c>
      <c r="AW2515" s="91">
        <v>1500.0000000000002</v>
      </c>
      <c r="AX2515" s="92">
        <v>1500.0000000000002</v>
      </c>
    </row>
    <row r="2516" spans="1:50" x14ac:dyDescent="0.25">
      <c r="A2516" s="356"/>
      <c r="B2516" s="359"/>
      <c r="C2516" s="360"/>
      <c r="D2516" s="2" t="s">
        <v>20</v>
      </c>
      <c r="E2516" s="160" t="str">
        <f>A2505&amp;"/"&amp;B2513&amp;"/"&amp;C2513&amp;"/"&amp;D2516</f>
        <v>Diesel oil fired power plants/Gas turbine /Electricity only/XS</v>
      </c>
      <c r="F2516" s="76" t="str">
        <f>A2505</f>
        <v>Diesel oil fired power plants</v>
      </c>
      <c r="G2516" s="76" t="str">
        <f>B2513</f>
        <v xml:space="preserve">Gas turbine </v>
      </c>
      <c r="H2516" s="76" t="str">
        <f>C2513</f>
        <v>Electricity only</v>
      </c>
      <c r="I2516" s="161" t="str">
        <f t="shared" si="120"/>
        <v>XS</v>
      </c>
      <c r="J2516" s="91">
        <v>957.05469851938722</v>
      </c>
      <c r="K2516" s="91">
        <v>957.05469851938722</v>
      </c>
      <c r="L2516" s="91">
        <v>957.05469851938722</v>
      </c>
      <c r="M2516" s="91">
        <v>957.05469851938722</v>
      </c>
      <c r="N2516" s="91">
        <v>957.05469851938722</v>
      </c>
      <c r="O2516" s="91">
        <v>957.05469851938722</v>
      </c>
      <c r="P2516" s="91">
        <v>957.05469851938722</v>
      </c>
      <c r="Q2516" s="91">
        <v>957.05469851938722</v>
      </c>
      <c r="R2516" s="91">
        <v>957.05469851938722</v>
      </c>
      <c r="S2516" s="91">
        <v>957.05469851938722</v>
      </c>
      <c r="T2516" s="91">
        <v>957.05469851938722</v>
      </c>
      <c r="U2516" s="91">
        <v>957.05469851938722</v>
      </c>
      <c r="V2516" s="91">
        <v>957.05469851938722</v>
      </c>
      <c r="W2516" s="91">
        <v>957.05469851938722</v>
      </c>
      <c r="X2516" s="91">
        <v>957.05469851938722</v>
      </c>
      <c r="Y2516" s="91">
        <v>957.05469851938722</v>
      </c>
      <c r="Z2516" s="91">
        <v>957.05469851938722</v>
      </c>
      <c r="AA2516" s="91">
        <v>957.05469851938722</v>
      </c>
      <c r="AB2516" s="91">
        <v>957.05469851938722</v>
      </c>
      <c r="AC2516" s="91">
        <v>957.05469851938722</v>
      </c>
      <c r="AD2516" s="91">
        <v>957.05469851938722</v>
      </c>
      <c r="AE2516" s="91">
        <v>957.05469851938722</v>
      </c>
      <c r="AF2516" s="91">
        <v>957.05469851938722</v>
      </c>
      <c r="AG2516" s="91">
        <v>957.05469851938722</v>
      </c>
      <c r="AH2516" s="91">
        <v>957.05469851938722</v>
      </c>
      <c r="AI2516" s="91">
        <v>957.05469851938722</v>
      </c>
      <c r="AJ2516" s="91">
        <v>957.05469851938722</v>
      </c>
      <c r="AK2516" s="91">
        <v>957.05469851938722</v>
      </c>
      <c r="AL2516" s="91">
        <v>957.05469851938722</v>
      </c>
      <c r="AM2516" s="91">
        <v>957.05469851938722</v>
      </c>
      <c r="AN2516" s="91">
        <v>957.05469851938722</v>
      </c>
      <c r="AO2516" s="91">
        <v>957.05469851938722</v>
      </c>
      <c r="AP2516" s="91">
        <v>957.05469851938722</v>
      </c>
      <c r="AQ2516" s="91">
        <v>957.05469851938722</v>
      </c>
      <c r="AR2516" s="91">
        <v>957.05469851938722</v>
      </c>
      <c r="AS2516" s="91">
        <v>957.05469851938722</v>
      </c>
      <c r="AT2516" s="91">
        <v>957.05469851938722</v>
      </c>
      <c r="AU2516" s="91">
        <v>957.05469851938722</v>
      </c>
      <c r="AV2516" s="91">
        <v>957.05469851938722</v>
      </c>
      <c r="AW2516" s="91">
        <v>957.05469851938722</v>
      </c>
      <c r="AX2516" s="92">
        <v>957.05469851938722</v>
      </c>
    </row>
    <row r="2517" spans="1:50" x14ac:dyDescent="0.25">
      <c r="A2517" s="356"/>
      <c r="B2517" s="359"/>
      <c r="C2517" s="361" t="s">
        <v>14</v>
      </c>
      <c r="D2517" s="58" t="s">
        <v>7</v>
      </c>
      <c r="E2517" s="164" t="str">
        <f>A2505&amp;"/"&amp;B2513&amp;"/"&amp;C2517&amp;"/"&amp;D2517</f>
        <v>Diesel oil fired power plants/Gas turbine /CHP/L</v>
      </c>
      <c r="F2517" s="78" t="str">
        <f>A2505</f>
        <v>Diesel oil fired power plants</v>
      </c>
      <c r="G2517" s="78" t="str">
        <f>B2513</f>
        <v xml:space="preserve">Gas turbine </v>
      </c>
      <c r="H2517" s="78" t="str">
        <f>C2517</f>
        <v>CHP</v>
      </c>
      <c r="I2517" s="165" t="str">
        <f t="shared" si="120"/>
        <v>L</v>
      </c>
      <c r="J2517" s="95">
        <v>3449.9999999999995</v>
      </c>
      <c r="K2517" s="95">
        <v>3449.9999999999995</v>
      </c>
      <c r="L2517" s="95">
        <v>3449.9999999999995</v>
      </c>
      <c r="M2517" s="95">
        <v>3449.9999999999995</v>
      </c>
      <c r="N2517" s="95">
        <v>3449.9999999999995</v>
      </c>
      <c r="O2517" s="95">
        <v>3449.9999999999995</v>
      </c>
      <c r="P2517" s="95">
        <v>3449.9999999999995</v>
      </c>
      <c r="Q2517" s="95">
        <v>3449.9999999999995</v>
      </c>
      <c r="R2517" s="95">
        <v>3449.9999999999995</v>
      </c>
      <c r="S2517" s="95">
        <v>3449.9999999999995</v>
      </c>
      <c r="T2517" s="95">
        <v>3449.9999999999995</v>
      </c>
      <c r="U2517" s="95">
        <v>3449.9999999999995</v>
      </c>
      <c r="V2517" s="95">
        <v>3449.9999999999995</v>
      </c>
      <c r="W2517" s="95">
        <v>3449.9999999999995</v>
      </c>
      <c r="X2517" s="95">
        <v>3449.9999999999995</v>
      </c>
      <c r="Y2517" s="95">
        <v>3449.9999999999995</v>
      </c>
      <c r="Z2517" s="95">
        <v>3449.9999999999995</v>
      </c>
      <c r="AA2517" s="95">
        <v>3449.9999999999995</v>
      </c>
      <c r="AB2517" s="95">
        <v>3449.9999999999995</v>
      </c>
      <c r="AC2517" s="95">
        <v>3449.9999999999995</v>
      </c>
      <c r="AD2517" s="95">
        <v>3449.9999999999995</v>
      </c>
      <c r="AE2517" s="95">
        <v>3449.9999999999995</v>
      </c>
      <c r="AF2517" s="95">
        <v>3449.9999999999995</v>
      </c>
      <c r="AG2517" s="95">
        <v>3449.9999999999995</v>
      </c>
      <c r="AH2517" s="95">
        <v>3449.9999999999995</v>
      </c>
      <c r="AI2517" s="95">
        <v>3449.9999999999995</v>
      </c>
      <c r="AJ2517" s="95">
        <v>3449.9999999999995</v>
      </c>
      <c r="AK2517" s="95">
        <v>3449.9999999999995</v>
      </c>
      <c r="AL2517" s="95">
        <v>3449.9999999999995</v>
      </c>
      <c r="AM2517" s="95">
        <v>3449.9999999999995</v>
      </c>
      <c r="AN2517" s="95">
        <v>3449.9999999999995</v>
      </c>
      <c r="AO2517" s="95">
        <v>3449.9999999999995</v>
      </c>
      <c r="AP2517" s="95">
        <v>3449.9999999999995</v>
      </c>
      <c r="AQ2517" s="95">
        <v>3449.9999999999995</v>
      </c>
      <c r="AR2517" s="95">
        <v>3449.9999999999995</v>
      </c>
      <c r="AS2517" s="95">
        <v>3449.9999999999995</v>
      </c>
      <c r="AT2517" s="95">
        <v>3449.9999999999995</v>
      </c>
      <c r="AU2517" s="95">
        <v>3449.9999999999995</v>
      </c>
      <c r="AV2517" s="95">
        <v>3449.9999999999995</v>
      </c>
      <c r="AW2517" s="95">
        <v>3449.9999999999995</v>
      </c>
      <c r="AX2517" s="96">
        <v>3449.9999999999995</v>
      </c>
    </row>
    <row r="2518" spans="1:50" x14ac:dyDescent="0.25">
      <c r="A2518" s="356"/>
      <c r="B2518" s="359"/>
      <c r="C2518" s="350"/>
      <c r="D2518" s="2" t="s">
        <v>8</v>
      </c>
      <c r="E2518" s="160" t="str">
        <f>A2505&amp;"/"&amp;B2513&amp;"/"&amp;C2517&amp;"/"&amp;D2518</f>
        <v>Diesel oil fired power plants/Gas turbine /CHP/M</v>
      </c>
      <c r="F2518" s="76" t="str">
        <f>A2505</f>
        <v>Diesel oil fired power plants</v>
      </c>
      <c r="G2518" s="76" t="str">
        <f>B2513</f>
        <v xml:space="preserve">Gas turbine </v>
      </c>
      <c r="H2518" s="76" t="str">
        <f>C2517</f>
        <v>CHP</v>
      </c>
      <c r="I2518" s="161" t="str">
        <f t="shared" si="120"/>
        <v>M</v>
      </c>
      <c r="J2518" s="91">
        <v>2439.5183950935889</v>
      </c>
      <c r="K2518" s="91">
        <v>2439.5183950935889</v>
      </c>
      <c r="L2518" s="91">
        <v>2439.5183950935889</v>
      </c>
      <c r="M2518" s="91">
        <v>2439.5183950935889</v>
      </c>
      <c r="N2518" s="91">
        <v>2439.5183950935889</v>
      </c>
      <c r="O2518" s="91">
        <v>2439.5183950935889</v>
      </c>
      <c r="P2518" s="91">
        <v>2439.5183950935889</v>
      </c>
      <c r="Q2518" s="91">
        <v>2439.5183950935889</v>
      </c>
      <c r="R2518" s="91">
        <v>2439.5183950935889</v>
      </c>
      <c r="S2518" s="91">
        <v>2439.5183950935889</v>
      </c>
      <c r="T2518" s="91">
        <v>2439.5183950935889</v>
      </c>
      <c r="U2518" s="91">
        <v>2439.5183950935889</v>
      </c>
      <c r="V2518" s="91">
        <v>2439.5183950935889</v>
      </c>
      <c r="W2518" s="91">
        <v>2439.5183950935889</v>
      </c>
      <c r="X2518" s="91">
        <v>2439.5183950935889</v>
      </c>
      <c r="Y2518" s="91">
        <v>2439.5183950935889</v>
      </c>
      <c r="Z2518" s="91">
        <v>2439.5183950935889</v>
      </c>
      <c r="AA2518" s="91">
        <v>2439.5183950935889</v>
      </c>
      <c r="AB2518" s="91">
        <v>2439.5183950935889</v>
      </c>
      <c r="AC2518" s="91">
        <v>2439.5183950935889</v>
      </c>
      <c r="AD2518" s="91">
        <v>2439.5183950935889</v>
      </c>
      <c r="AE2518" s="91">
        <v>2439.5183950935889</v>
      </c>
      <c r="AF2518" s="91">
        <v>2439.5183950935889</v>
      </c>
      <c r="AG2518" s="91">
        <v>2439.5183950935889</v>
      </c>
      <c r="AH2518" s="91">
        <v>2439.5183950935889</v>
      </c>
      <c r="AI2518" s="91">
        <v>2439.5183950935889</v>
      </c>
      <c r="AJ2518" s="91">
        <v>2439.5183950935889</v>
      </c>
      <c r="AK2518" s="91">
        <v>2439.5183950935889</v>
      </c>
      <c r="AL2518" s="91">
        <v>2439.5183950935889</v>
      </c>
      <c r="AM2518" s="91">
        <v>2439.5183950935889</v>
      </c>
      <c r="AN2518" s="91">
        <v>2439.5183950935889</v>
      </c>
      <c r="AO2518" s="91">
        <v>2439.5183950935889</v>
      </c>
      <c r="AP2518" s="91">
        <v>2439.5183950935889</v>
      </c>
      <c r="AQ2518" s="91">
        <v>2439.5183950935889</v>
      </c>
      <c r="AR2518" s="91">
        <v>2439.5183950935889</v>
      </c>
      <c r="AS2518" s="91">
        <v>2439.5183950935889</v>
      </c>
      <c r="AT2518" s="91">
        <v>2439.5183950935889</v>
      </c>
      <c r="AU2518" s="91">
        <v>2439.5183950935889</v>
      </c>
      <c r="AV2518" s="91">
        <v>2439.5183950935889</v>
      </c>
      <c r="AW2518" s="91">
        <v>2439.5183950935889</v>
      </c>
      <c r="AX2518" s="92">
        <v>2439.5183950935889</v>
      </c>
    </row>
    <row r="2519" spans="1:50" x14ac:dyDescent="0.25">
      <c r="A2519" s="356"/>
      <c r="B2519" s="359"/>
      <c r="C2519" s="350"/>
      <c r="D2519" s="2" t="s">
        <v>10</v>
      </c>
      <c r="E2519" s="160" t="str">
        <f>A2505&amp;"/"&amp;B2513&amp;"/"&amp;C2517&amp;"/"&amp;D2519</f>
        <v>Diesel oil fired power plants/Gas turbine /CHP/S</v>
      </c>
      <c r="F2519" s="76" t="str">
        <f>A2505</f>
        <v>Diesel oil fired power plants</v>
      </c>
      <c r="G2519" s="76" t="str">
        <f>B2513</f>
        <v xml:space="preserve">Gas turbine </v>
      </c>
      <c r="H2519" s="76" t="str">
        <f>C2517</f>
        <v>CHP</v>
      </c>
      <c r="I2519" s="161" t="str">
        <f t="shared" si="120"/>
        <v>S</v>
      </c>
      <c r="J2519" s="91">
        <v>1725</v>
      </c>
      <c r="K2519" s="91">
        <v>1725</v>
      </c>
      <c r="L2519" s="91">
        <v>1725</v>
      </c>
      <c r="M2519" s="91">
        <v>1725</v>
      </c>
      <c r="N2519" s="91">
        <v>1725</v>
      </c>
      <c r="O2519" s="91">
        <v>1725</v>
      </c>
      <c r="P2519" s="91">
        <v>1725</v>
      </c>
      <c r="Q2519" s="91">
        <v>1725</v>
      </c>
      <c r="R2519" s="91">
        <v>1725</v>
      </c>
      <c r="S2519" s="91">
        <v>1725</v>
      </c>
      <c r="T2519" s="91">
        <v>1725</v>
      </c>
      <c r="U2519" s="91">
        <v>1725</v>
      </c>
      <c r="V2519" s="91">
        <v>1725</v>
      </c>
      <c r="W2519" s="91">
        <v>1725</v>
      </c>
      <c r="X2519" s="91">
        <v>1725</v>
      </c>
      <c r="Y2519" s="91">
        <v>1725</v>
      </c>
      <c r="Z2519" s="91">
        <v>1725</v>
      </c>
      <c r="AA2519" s="91">
        <v>1725</v>
      </c>
      <c r="AB2519" s="91">
        <v>1725</v>
      </c>
      <c r="AC2519" s="91">
        <v>1725</v>
      </c>
      <c r="AD2519" s="91">
        <v>1725</v>
      </c>
      <c r="AE2519" s="91">
        <v>1725</v>
      </c>
      <c r="AF2519" s="91">
        <v>1725</v>
      </c>
      <c r="AG2519" s="91">
        <v>1725</v>
      </c>
      <c r="AH2519" s="91">
        <v>1725</v>
      </c>
      <c r="AI2519" s="91">
        <v>1725</v>
      </c>
      <c r="AJ2519" s="91">
        <v>1725</v>
      </c>
      <c r="AK2519" s="91">
        <v>1725</v>
      </c>
      <c r="AL2519" s="91">
        <v>1725</v>
      </c>
      <c r="AM2519" s="91">
        <v>1725</v>
      </c>
      <c r="AN2519" s="91">
        <v>1725</v>
      </c>
      <c r="AO2519" s="91">
        <v>1725</v>
      </c>
      <c r="AP2519" s="91">
        <v>1725</v>
      </c>
      <c r="AQ2519" s="91">
        <v>1725</v>
      </c>
      <c r="AR2519" s="91">
        <v>1725</v>
      </c>
      <c r="AS2519" s="91">
        <v>1725</v>
      </c>
      <c r="AT2519" s="91">
        <v>1725</v>
      </c>
      <c r="AU2519" s="91">
        <v>1725</v>
      </c>
      <c r="AV2519" s="91">
        <v>1725</v>
      </c>
      <c r="AW2519" s="91">
        <v>1725</v>
      </c>
      <c r="AX2519" s="92">
        <v>1725</v>
      </c>
    </row>
    <row r="2520" spans="1:50" x14ac:dyDescent="0.25">
      <c r="A2520" s="356"/>
      <c r="B2520" s="359"/>
      <c r="C2520" s="360"/>
      <c r="D2520" s="59" t="s">
        <v>20</v>
      </c>
      <c r="E2520" s="166" t="str">
        <f>A2505&amp;"/"&amp;B2513&amp;"/"&amp;C2517&amp;"/"&amp;D2520</f>
        <v>Diesel oil fired power plants/Gas turbine /CHP/XS</v>
      </c>
      <c r="F2520" s="79" t="str">
        <f>A2505</f>
        <v>Diesel oil fired power plants</v>
      </c>
      <c r="G2520" s="79" t="str">
        <f>B2513</f>
        <v xml:space="preserve">Gas turbine </v>
      </c>
      <c r="H2520" s="79" t="str">
        <f>C2517</f>
        <v>CHP</v>
      </c>
      <c r="I2520" s="167" t="str">
        <f t="shared" si="120"/>
        <v>XS</v>
      </c>
      <c r="J2520" s="97">
        <v>1180.3406148846395</v>
      </c>
      <c r="K2520" s="97">
        <v>1180.3406148846395</v>
      </c>
      <c r="L2520" s="97">
        <v>1180.3406148846395</v>
      </c>
      <c r="M2520" s="97">
        <v>1180.3406148846395</v>
      </c>
      <c r="N2520" s="97">
        <v>1180.3406148846395</v>
      </c>
      <c r="O2520" s="97">
        <v>1180.3406148846395</v>
      </c>
      <c r="P2520" s="97">
        <v>1180.3406148846395</v>
      </c>
      <c r="Q2520" s="97">
        <v>1180.3406148846395</v>
      </c>
      <c r="R2520" s="97">
        <v>1180.3406148846395</v>
      </c>
      <c r="S2520" s="97">
        <v>1180.3406148846395</v>
      </c>
      <c r="T2520" s="97">
        <v>1180.3406148846395</v>
      </c>
      <c r="U2520" s="97">
        <v>1180.3406148846395</v>
      </c>
      <c r="V2520" s="97">
        <v>1180.3406148846395</v>
      </c>
      <c r="W2520" s="97">
        <v>1180.3406148846395</v>
      </c>
      <c r="X2520" s="97">
        <v>1180.3406148846395</v>
      </c>
      <c r="Y2520" s="97">
        <v>1180.3406148846395</v>
      </c>
      <c r="Z2520" s="97">
        <v>1180.3406148846395</v>
      </c>
      <c r="AA2520" s="97">
        <v>1180.3406148846395</v>
      </c>
      <c r="AB2520" s="97">
        <v>1180.3406148846395</v>
      </c>
      <c r="AC2520" s="97">
        <v>1180.3406148846395</v>
      </c>
      <c r="AD2520" s="97">
        <v>1180.3406148846395</v>
      </c>
      <c r="AE2520" s="97">
        <v>1180.3406148846395</v>
      </c>
      <c r="AF2520" s="97">
        <v>1180.3406148846395</v>
      </c>
      <c r="AG2520" s="97">
        <v>1180.3406148846395</v>
      </c>
      <c r="AH2520" s="97">
        <v>1180.3406148846395</v>
      </c>
      <c r="AI2520" s="97">
        <v>1180.3406148846395</v>
      </c>
      <c r="AJ2520" s="97">
        <v>1180.3406148846395</v>
      </c>
      <c r="AK2520" s="97">
        <v>1180.3406148846395</v>
      </c>
      <c r="AL2520" s="97">
        <v>1180.3406148846395</v>
      </c>
      <c r="AM2520" s="97">
        <v>1180.3406148846395</v>
      </c>
      <c r="AN2520" s="97">
        <v>1180.3406148846395</v>
      </c>
      <c r="AO2520" s="97">
        <v>1180.3406148846395</v>
      </c>
      <c r="AP2520" s="97">
        <v>1180.3406148846395</v>
      </c>
      <c r="AQ2520" s="97">
        <v>1180.3406148846395</v>
      </c>
      <c r="AR2520" s="97">
        <v>1180.3406148846395</v>
      </c>
      <c r="AS2520" s="97">
        <v>1180.3406148846395</v>
      </c>
      <c r="AT2520" s="97">
        <v>1180.3406148846395</v>
      </c>
      <c r="AU2520" s="97">
        <v>1180.3406148846395</v>
      </c>
      <c r="AV2520" s="97">
        <v>1180.3406148846395</v>
      </c>
      <c r="AW2520" s="97">
        <v>1180.3406148846395</v>
      </c>
      <c r="AX2520" s="98">
        <v>1180.3406148846395</v>
      </c>
    </row>
    <row r="2521" spans="1:50" x14ac:dyDescent="0.25">
      <c r="A2521" s="356"/>
      <c r="B2521" s="359"/>
      <c r="C2521" s="361" t="s">
        <v>15</v>
      </c>
      <c r="D2521" s="58" t="s">
        <v>7</v>
      </c>
      <c r="E2521" s="164" t="str">
        <f>A2505&amp;"/"&amp;B2513&amp;"/"&amp;C2521&amp;"/"&amp;D2521</f>
        <v>Diesel oil fired power plants/Gas turbine /Electricity only with CCS/L</v>
      </c>
      <c r="F2521" s="78" t="str">
        <f>A2505</f>
        <v>Diesel oil fired power plants</v>
      </c>
      <c r="G2521" s="78" t="str">
        <f>B2513</f>
        <v xml:space="preserve">Gas turbine </v>
      </c>
      <c r="H2521" s="78" t="str">
        <f>C2521</f>
        <v>Electricity only with CCS</v>
      </c>
      <c r="I2521" s="165" t="str">
        <f t="shared" si="120"/>
        <v>L</v>
      </c>
      <c r="J2521" s="95" t="s">
        <v>112</v>
      </c>
      <c r="K2521" s="95" t="s">
        <v>112</v>
      </c>
      <c r="L2521" s="95" t="s">
        <v>112</v>
      </c>
      <c r="M2521" s="95" t="s">
        <v>112</v>
      </c>
      <c r="N2521" s="95" t="s">
        <v>112</v>
      </c>
      <c r="O2521" s="95" t="s">
        <v>112</v>
      </c>
      <c r="P2521" s="95" t="s">
        <v>112</v>
      </c>
      <c r="Q2521" s="95" t="s">
        <v>112</v>
      </c>
      <c r="R2521" s="95" t="s">
        <v>112</v>
      </c>
      <c r="S2521" s="95" t="s">
        <v>112</v>
      </c>
      <c r="T2521" s="95" t="s">
        <v>112</v>
      </c>
      <c r="U2521" s="95" t="s">
        <v>112</v>
      </c>
      <c r="V2521" s="95" t="s">
        <v>112</v>
      </c>
      <c r="W2521" s="95" t="s">
        <v>112</v>
      </c>
      <c r="X2521" s="95" t="s">
        <v>112</v>
      </c>
      <c r="Y2521" s="95" t="s">
        <v>112</v>
      </c>
      <c r="Z2521" s="95" t="s">
        <v>112</v>
      </c>
      <c r="AA2521" s="95" t="s">
        <v>112</v>
      </c>
      <c r="AB2521" s="95" t="s">
        <v>112</v>
      </c>
      <c r="AC2521" s="95" t="s">
        <v>112</v>
      </c>
      <c r="AD2521" s="95" t="s">
        <v>112</v>
      </c>
      <c r="AE2521" s="95">
        <v>3000</v>
      </c>
      <c r="AF2521" s="95">
        <v>3000</v>
      </c>
      <c r="AG2521" s="95">
        <v>3000</v>
      </c>
      <c r="AH2521" s="95">
        <v>3000</v>
      </c>
      <c r="AI2521" s="95">
        <v>3000</v>
      </c>
      <c r="AJ2521" s="95">
        <v>3000</v>
      </c>
      <c r="AK2521" s="95">
        <v>3000</v>
      </c>
      <c r="AL2521" s="95">
        <v>3000</v>
      </c>
      <c r="AM2521" s="95">
        <v>3000</v>
      </c>
      <c r="AN2521" s="95">
        <v>3000</v>
      </c>
      <c r="AO2521" s="95">
        <v>3000</v>
      </c>
      <c r="AP2521" s="95">
        <v>3000</v>
      </c>
      <c r="AQ2521" s="95">
        <v>3000</v>
      </c>
      <c r="AR2521" s="95">
        <v>3000</v>
      </c>
      <c r="AS2521" s="95">
        <v>3000</v>
      </c>
      <c r="AT2521" s="95">
        <v>3000</v>
      </c>
      <c r="AU2521" s="95">
        <v>3000</v>
      </c>
      <c r="AV2521" s="95">
        <v>3000</v>
      </c>
      <c r="AW2521" s="95">
        <v>3000</v>
      </c>
      <c r="AX2521" s="96">
        <v>3000</v>
      </c>
    </row>
    <row r="2522" spans="1:50" x14ac:dyDescent="0.25">
      <c r="A2522" s="356"/>
      <c r="B2522" s="359"/>
      <c r="C2522" s="360"/>
      <c r="D2522" s="59" t="s">
        <v>8</v>
      </c>
      <c r="E2522" s="166" t="str">
        <f>A2505&amp;"/"&amp;B2513&amp;"/"&amp;C2521&amp;"/"&amp;D2522</f>
        <v>Diesel oil fired power plants/Gas turbine /Electricity only with CCS/M</v>
      </c>
      <c r="F2522" s="79" t="str">
        <f>A2505</f>
        <v>Diesel oil fired power plants</v>
      </c>
      <c r="G2522" s="79" t="str">
        <f>B2513</f>
        <v xml:space="preserve">Gas turbine </v>
      </c>
      <c r="H2522" s="79" t="str">
        <f>C2521</f>
        <v>Electricity only with CCS</v>
      </c>
      <c r="I2522" s="167" t="str">
        <f t="shared" si="120"/>
        <v>M</v>
      </c>
      <c r="J2522" s="97" t="s">
        <v>112</v>
      </c>
      <c r="K2522" s="97" t="s">
        <v>112</v>
      </c>
      <c r="L2522" s="97" t="s">
        <v>112</v>
      </c>
      <c r="M2522" s="97" t="s">
        <v>112</v>
      </c>
      <c r="N2522" s="97" t="s">
        <v>112</v>
      </c>
      <c r="O2522" s="97" t="s">
        <v>112</v>
      </c>
      <c r="P2522" s="97" t="s">
        <v>112</v>
      </c>
      <c r="Q2522" s="97" t="s">
        <v>112</v>
      </c>
      <c r="R2522" s="97" t="s">
        <v>112</v>
      </c>
      <c r="S2522" s="97" t="s">
        <v>112</v>
      </c>
      <c r="T2522" s="97" t="s">
        <v>112</v>
      </c>
      <c r="U2522" s="97" t="s">
        <v>112</v>
      </c>
      <c r="V2522" s="97" t="s">
        <v>112</v>
      </c>
      <c r="W2522" s="97" t="s">
        <v>112</v>
      </c>
      <c r="X2522" s="97" t="s">
        <v>112</v>
      </c>
      <c r="Y2522" s="97" t="s">
        <v>112</v>
      </c>
      <c r="Z2522" s="97" t="s">
        <v>112</v>
      </c>
      <c r="AA2522" s="97" t="s">
        <v>112</v>
      </c>
      <c r="AB2522" s="97" t="s">
        <v>112</v>
      </c>
      <c r="AC2522" s="97" t="s">
        <v>112</v>
      </c>
      <c r="AD2522" s="97" t="s">
        <v>112</v>
      </c>
      <c r="AE2522" s="97">
        <v>2121.3203435596429</v>
      </c>
      <c r="AF2522" s="97">
        <v>2121.3203435596429</v>
      </c>
      <c r="AG2522" s="97">
        <v>2121.3203435596429</v>
      </c>
      <c r="AH2522" s="97">
        <v>2121.3203435596429</v>
      </c>
      <c r="AI2522" s="97">
        <v>2121.3203435596429</v>
      </c>
      <c r="AJ2522" s="97">
        <v>2121.3203435596429</v>
      </c>
      <c r="AK2522" s="97">
        <v>2121.3203435596429</v>
      </c>
      <c r="AL2522" s="97">
        <v>2121.3203435596429</v>
      </c>
      <c r="AM2522" s="97">
        <v>2121.3203435596429</v>
      </c>
      <c r="AN2522" s="97">
        <v>2121.3203435596429</v>
      </c>
      <c r="AO2522" s="97">
        <v>2121.3203435596429</v>
      </c>
      <c r="AP2522" s="97">
        <v>2121.3203435596429</v>
      </c>
      <c r="AQ2522" s="97">
        <v>2121.3203435596429</v>
      </c>
      <c r="AR2522" s="97">
        <v>2121.3203435596429</v>
      </c>
      <c r="AS2522" s="97">
        <v>2121.3203435596429</v>
      </c>
      <c r="AT2522" s="97">
        <v>2121.3203435596429</v>
      </c>
      <c r="AU2522" s="97">
        <v>2121.3203435596429</v>
      </c>
      <c r="AV2522" s="97">
        <v>2121.3203435596429</v>
      </c>
      <c r="AW2522" s="97">
        <v>2121.3203435596429</v>
      </c>
      <c r="AX2522" s="98">
        <v>2121.3203435596429</v>
      </c>
    </row>
    <row r="2523" spans="1:50" x14ac:dyDescent="0.25">
      <c r="A2523" s="356"/>
      <c r="B2523" s="359"/>
      <c r="C2523" s="361" t="s">
        <v>16</v>
      </c>
      <c r="D2523" s="2" t="s">
        <v>7</v>
      </c>
      <c r="E2523" s="160" t="str">
        <f>A2505&amp;"/"&amp;B2513&amp;"/"&amp;C2523&amp;"/"&amp;D2523</f>
        <v>Diesel oil fired power plants/Gas turbine /CHP with CCS/L</v>
      </c>
      <c r="F2523" s="76" t="str">
        <f>A2505</f>
        <v>Diesel oil fired power plants</v>
      </c>
      <c r="G2523" s="76" t="str">
        <f>B2513</f>
        <v xml:space="preserve">Gas turbine </v>
      </c>
      <c r="H2523" s="76" t="str">
        <f>C2523</f>
        <v>CHP with CCS</v>
      </c>
      <c r="I2523" s="161" t="str">
        <f t="shared" si="120"/>
        <v>L</v>
      </c>
      <c r="J2523" s="91" t="s">
        <v>112</v>
      </c>
      <c r="K2523" s="91" t="s">
        <v>112</v>
      </c>
      <c r="L2523" s="91" t="s">
        <v>112</v>
      </c>
      <c r="M2523" s="91" t="s">
        <v>112</v>
      </c>
      <c r="N2523" s="91" t="s">
        <v>112</v>
      </c>
      <c r="O2523" s="91" t="s">
        <v>112</v>
      </c>
      <c r="P2523" s="91" t="s">
        <v>112</v>
      </c>
      <c r="Q2523" s="91" t="s">
        <v>112</v>
      </c>
      <c r="R2523" s="91" t="s">
        <v>112</v>
      </c>
      <c r="S2523" s="91" t="s">
        <v>112</v>
      </c>
      <c r="T2523" s="91" t="s">
        <v>112</v>
      </c>
      <c r="U2523" s="91" t="s">
        <v>112</v>
      </c>
      <c r="V2523" s="91" t="s">
        <v>112</v>
      </c>
      <c r="W2523" s="91" t="s">
        <v>112</v>
      </c>
      <c r="X2523" s="91" t="s">
        <v>112</v>
      </c>
      <c r="Y2523" s="91" t="s">
        <v>112</v>
      </c>
      <c r="Z2523" s="91" t="s">
        <v>112</v>
      </c>
      <c r="AA2523" s="91" t="s">
        <v>112</v>
      </c>
      <c r="AB2523" s="91" t="s">
        <v>112</v>
      </c>
      <c r="AC2523" s="91" t="s">
        <v>112</v>
      </c>
      <c r="AD2523" s="91" t="s">
        <v>112</v>
      </c>
      <c r="AE2523" s="91">
        <v>3449.9999999999995</v>
      </c>
      <c r="AF2523" s="91">
        <v>3449.9999999999995</v>
      </c>
      <c r="AG2523" s="91">
        <v>3449.9999999999995</v>
      </c>
      <c r="AH2523" s="91">
        <v>3449.9999999999995</v>
      </c>
      <c r="AI2523" s="91">
        <v>3449.9999999999995</v>
      </c>
      <c r="AJ2523" s="91">
        <v>3449.9999999999995</v>
      </c>
      <c r="AK2523" s="91">
        <v>3449.9999999999995</v>
      </c>
      <c r="AL2523" s="91">
        <v>3449.9999999999995</v>
      </c>
      <c r="AM2523" s="91">
        <v>3449.9999999999995</v>
      </c>
      <c r="AN2523" s="91">
        <v>3449.9999999999995</v>
      </c>
      <c r="AO2523" s="91">
        <v>3449.9999999999995</v>
      </c>
      <c r="AP2523" s="91">
        <v>3449.9999999999995</v>
      </c>
      <c r="AQ2523" s="91">
        <v>3449.9999999999995</v>
      </c>
      <c r="AR2523" s="91">
        <v>3449.9999999999995</v>
      </c>
      <c r="AS2523" s="91">
        <v>3449.9999999999995</v>
      </c>
      <c r="AT2523" s="91">
        <v>3449.9999999999995</v>
      </c>
      <c r="AU2523" s="91">
        <v>3449.9999999999995</v>
      </c>
      <c r="AV2523" s="91">
        <v>3449.9999999999995</v>
      </c>
      <c r="AW2523" s="91">
        <v>3449.9999999999995</v>
      </c>
      <c r="AX2523" s="92">
        <v>3449.9999999999995</v>
      </c>
    </row>
    <row r="2524" spans="1:50" x14ac:dyDescent="0.25">
      <c r="A2524" s="356"/>
      <c r="B2524" s="362"/>
      <c r="C2524" s="354"/>
      <c r="D2524" s="4" t="s">
        <v>8</v>
      </c>
      <c r="E2524" s="168" t="str">
        <f>A2505&amp;"/"&amp;B2513&amp;"/"&amp;C2523&amp;"/"&amp;D2524</f>
        <v>Diesel oil fired power plants/Gas turbine /CHP with CCS/M</v>
      </c>
      <c r="F2524" s="80" t="str">
        <f>A2505</f>
        <v>Diesel oil fired power plants</v>
      </c>
      <c r="G2524" s="80" t="str">
        <f>B2513</f>
        <v xml:space="preserve">Gas turbine </v>
      </c>
      <c r="H2524" s="80" t="str">
        <f>C2523</f>
        <v>CHP with CCS</v>
      </c>
      <c r="I2524" s="169" t="str">
        <f t="shared" si="120"/>
        <v>M</v>
      </c>
      <c r="J2524" s="99" t="s">
        <v>112</v>
      </c>
      <c r="K2524" s="99" t="s">
        <v>112</v>
      </c>
      <c r="L2524" s="99" t="s">
        <v>112</v>
      </c>
      <c r="M2524" s="99" t="s">
        <v>112</v>
      </c>
      <c r="N2524" s="99" t="s">
        <v>112</v>
      </c>
      <c r="O2524" s="99" t="s">
        <v>112</v>
      </c>
      <c r="P2524" s="99" t="s">
        <v>112</v>
      </c>
      <c r="Q2524" s="99" t="s">
        <v>112</v>
      </c>
      <c r="R2524" s="99" t="s">
        <v>112</v>
      </c>
      <c r="S2524" s="99" t="s">
        <v>112</v>
      </c>
      <c r="T2524" s="99" t="s">
        <v>112</v>
      </c>
      <c r="U2524" s="99" t="s">
        <v>112</v>
      </c>
      <c r="V2524" s="99" t="s">
        <v>112</v>
      </c>
      <c r="W2524" s="99" t="s">
        <v>112</v>
      </c>
      <c r="X2524" s="99" t="s">
        <v>112</v>
      </c>
      <c r="Y2524" s="99" t="s">
        <v>112</v>
      </c>
      <c r="Z2524" s="99" t="s">
        <v>112</v>
      </c>
      <c r="AA2524" s="99" t="s">
        <v>112</v>
      </c>
      <c r="AB2524" s="99" t="s">
        <v>112</v>
      </c>
      <c r="AC2524" s="99" t="s">
        <v>112</v>
      </c>
      <c r="AD2524" s="99" t="s">
        <v>112</v>
      </c>
      <c r="AE2524" s="99">
        <v>2439.5183950935889</v>
      </c>
      <c r="AF2524" s="99">
        <v>2439.5183950935889</v>
      </c>
      <c r="AG2524" s="99">
        <v>2439.5183950935889</v>
      </c>
      <c r="AH2524" s="99">
        <v>2439.5183950935889</v>
      </c>
      <c r="AI2524" s="99">
        <v>2439.5183950935889</v>
      </c>
      <c r="AJ2524" s="99">
        <v>2439.5183950935889</v>
      </c>
      <c r="AK2524" s="99">
        <v>2439.5183950935889</v>
      </c>
      <c r="AL2524" s="99">
        <v>2439.5183950935889</v>
      </c>
      <c r="AM2524" s="99">
        <v>2439.5183950935889</v>
      </c>
      <c r="AN2524" s="99">
        <v>2439.5183950935889</v>
      </c>
      <c r="AO2524" s="99">
        <v>2439.5183950935889</v>
      </c>
      <c r="AP2524" s="99">
        <v>2439.5183950935889</v>
      </c>
      <c r="AQ2524" s="99">
        <v>2439.5183950935889</v>
      </c>
      <c r="AR2524" s="99">
        <v>2439.5183950935889</v>
      </c>
      <c r="AS2524" s="99">
        <v>2439.5183950935889</v>
      </c>
      <c r="AT2524" s="99">
        <v>2439.5183950935889</v>
      </c>
      <c r="AU2524" s="99">
        <v>2439.5183950935889</v>
      </c>
      <c r="AV2524" s="99">
        <v>2439.5183950935889</v>
      </c>
      <c r="AW2524" s="99">
        <v>2439.5183950935889</v>
      </c>
      <c r="AX2524" s="100">
        <v>2439.5183950935889</v>
      </c>
    </row>
    <row r="2525" spans="1:50" x14ac:dyDescent="0.25">
      <c r="A2525" s="356"/>
      <c r="B2525" s="358" t="s">
        <v>19</v>
      </c>
      <c r="C2525" s="353" t="s">
        <v>6</v>
      </c>
      <c r="D2525" s="3" t="s">
        <v>7</v>
      </c>
      <c r="E2525" s="162" t="str">
        <f>A2505&amp;"/"&amp;B2525&amp;"/"&amp;C2525&amp;"/"&amp;D2525</f>
        <v>Diesel oil fired power plants/Steam turbine/Electricity only/L</v>
      </c>
      <c r="F2525" s="77" t="str">
        <f>A2505</f>
        <v>Diesel oil fired power plants</v>
      </c>
      <c r="G2525" s="77" t="str">
        <f>B2525</f>
        <v>Steam turbine</v>
      </c>
      <c r="H2525" s="77" t="str">
        <f>C2525</f>
        <v>Electricity only</v>
      </c>
      <c r="I2525" s="163" t="str">
        <f t="shared" si="120"/>
        <v>L</v>
      </c>
      <c r="J2525" s="93">
        <v>3700</v>
      </c>
      <c r="K2525" s="93">
        <v>3700</v>
      </c>
      <c r="L2525" s="93">
        <v>3700</v>
      </c>
      <c r="M2525" s="93">
        <v>3700</v>
      </c>
      <c r="N2525" s="93">
        <v>3700</v>
      </c>
      <c r="O2525" s="93">
        <v>3700</v>
      </c>
      <c r="P2525" s="93">
        <v>3700</v>
      </c>
      <c r="Q2525" s="93">
        <v>3700</v>
      </c>
      <c r="R2525" s="93">
        <v>3700</v>
      </c>
      <c r="S2525" s="93">
        <v>3700</v>
      </c>
      <c r="T2525" s="93">
        <v>3700</v>
      </c>
      <c r="U2525" s="93">
        <v>3700</v>
      </c>
      <c r="V2525" s="93">
        <v>3700</v>
      </c>
      <c r="W2525" s="93">
        <v>3700</v>
      </c>
      <c r="X2525" s="93">
        <v>3700</v>
      </c>
      <c r="Y2525" s="93">
        <v>3700</v>
      </c>
      <c r="Z2525" s="93">
        <v>3700</v>
      </c>
      <c r="AA2525" s="93">
        <v>3700</v>
      </c>
      <c r="AB2525" s="93">
        <v>3700</v>
      </c>
      <c r="AC2525" s="93">
        <v>3700</v>
      </c>
      <c r="AD2525" s="93">
        <v>3700</v>
      </c>
      <c r="AE2525" s="93">
        <v>3700</v>
      </c>
      <c r="AF2525" s="93">
        <v>3700</v>
      </c>
      <c r="AG2525" s="93">
        <v>3700</v>
      </c>
      <c r="AH2525" s="93">
        <v>3700</v>
      </c>
      <c r="AI2525" s="93">
        <v>3700</v>
      </c>
      <c r="AJ2525" s="93">
        <v>3700</v>
      </c>
      <c r="AK2525" s="93">
        <v>3700</v>
      </c>
      <c r="AL2525" s="93">
        <v>3700</v>
      </c>
      <c r="AM2525" s="93">
        <v>3700</v>
      </c>
      <c r="AN2525" s="93">
        <v>3700</v>
      </c>
      <c r="AO2525" s="93">
        <v>3700</v>
      </c>
      <c r="AP2525" s="93">
        <v>3700</v>
      </c>
      <c r="AQ2525" s="93">
        <v>3700</v>
      </c>
      <c r="AR2525" s="93">
        <v>3700</v>
      </c>
      <c r="AS2525" s="93">
        <v>3700</v>
      </c>
      <c r="AT2525" s="93">
        <v>3700</v>
      </c>
      <c r="AU2525" s="93">
        <v>3700</v>
      </c>
      <c r="AV2525" s="93">
        <v>3700</v>
      </c>
      <c r="AW2525" s="93">
        <v>3700</v>
      </c>
      <c r="AX2525" s="94">
        <v>3700</v>
      </c>
    </row>
    <row r="2526" spans="1:50" x14ac:dyDescent="0.25">
      <c r="A2526" s="356"/>
      <c r="B2526" s="359"/>
      <c r="C2526" s="350"/>
      <c r="D2526" s="2" t="s">
        <v>8</v>
      </c>
      <c r="E2526" s="160" t="str">
        <f>A2505&amp;"/"&amp;B2525&amp;"/"&amp;C2525&amp;"/"&amp;D2526</f>
        <v>Diesel oil fired power plants/Steam turbine/Electricity only/M</v>
      </c>
      <c r="F2526" s="76" t="str">
        <f>A2505</f>
        <v>Diesel oil fired power plants</v>
      </c>
      <c r="G2526" s="76" t="str">
        <f>B2525</f>
        <v>Steam turbine</v>
      </c>
      <c r="H2526" s="76" t="str">
        <f>C2525</f>
        <v>Electricity only</v>
      </c>
      <c r="I2526" s="161" t="str">
        <f t="shared" si="120"/>
        <v>M</v>
      </c>
      <c r="J2526" s="91">
        <v>2616.2950903902261</v>
      </c>
      <c r="K2526" s="91">
        <v>2616.2950903902261</v>
      </c>
      <c r="L2526" s="91">
        <v>2616.2950903902261</v>
      </c>
      <c r="M2526" s="91">
        <v>2616.2950903902261</v>
      </c>
      <c r="N2526" s="91">
        <v>2616.2950903902261</v>
      </c>
      <c r="O2526" s="91">
        <v>2616.2950903902261</v>
      </c>
      <c r="P2526" s="91">
        <v>2616.2950903902261</v>
      </c>
      <c r="Q2526" s="91">
        <v>2616.2950903902261</v>
      </c>
      <c r="R2526" s="91">
        <v>2616.2950903902261</v>
      </c>
      <c r="S2526" s="91">
        <v>2616.2950903902261</v>
      </c>
      <c r="T2526" s="91">
        <v>2616.2950903902261</v>
      </c>
      <c r="U2526" s="91">
        <v>2616.2950903902261</v>
      </c>
      <c r="V2526" s="91">
        <v>2616.2950903902261</v>
      </c>
      <c r="W2526" s="91">
        <v>2616.2950903902261</v>
      </c>
      <c r="X2526" s="91">
        <v>2616.2950903902261</v>
      </c>
      <c r="Y2526" s="91">
        <v>2616.2950903902261</v>
      </c>
      <c r="Z2526" s="91">
        <v>2616.2950903902261</v>
      </c>
      <c r="AA2526" s="91">
        <v>2616.2950903902261</v>
      </c>
      <c r="AB2526" s="91">
        <v>2616.2950903902261</v>
      </c>
      <c r="AC2526" s="91">
        <v>2616.2950903902261</v>
      </c>
      <c r="AD2526" s="91">
        <v>2616.2950903902261</v>
      </c>
      <c r="AE2526" s="91">
        <v>2616.2950903902261</v>
      </c>
      <c r="AF2526" s="91">
        <v>2616.2950903902261</v>
      </c>
      <c r="AG2526" s="91">
        <v>2616.2950903902261</v>
      </c>
      <c r="AH2526" s="91">
        <v>2616.2950903902261</v>
      </c>
      <c r="AI2526" s="91">
        <v>2616.2950903902261</v>
      </c>
      <c r="AJ2526" s="91">
        <v>2616.2950903902261</v>
      </c>
      <c r="AK2526" s="91">
        <v>2616.2950903902261</v>
      </c>
      <c r="AL2526" s="91">
        <v>2616.2950903902261</v>
      </c>
      <c r="AM2526" s="91">
        <v>2616.2950903902261</v>
      </c>
      <c r="AN2526" s="91">
        <v>2616.2950903902261</v>
      </c>
      <c r="AO2526" s="91">
        <v>2616.2950903902261</v>
      </c>
      <c r="AP2526" s="91">
        <v>2616.2950903902261</v>
      </c>
      <c r="AQ2526" s="91">
        <v>2616.2950903902261</v>
      </c>
      <c r="AR2526" s="91">
        <v>2616.2950903902261</v>
      </c>
      <c r="AS2526" s="91">
        <v>2616.2950903902261</v>
      </c>
      <c r="AT2526" s="91">
        <v>2616.2950903902261</v>
      </c>
      <c r="AU2526" s="91">
        <v>2616.2950903902261</v>
      </c>
      <c r="AV2526" s="91">
        <v>2616.2950903902261</v>
      </c>
      <c r="AW2526" s="91">
        <v>2616.2950903902261</v>
      </c>
      <c r="AX2526" s="92">
        <v>2616.2950903902261</v>
      </c>
    </row>
    <row r="2527" spans="1:50" x14ac:dyDescent="0.25">
      <c r="A2527" s="356"/>
      <c r="B2527" s="359"/>
      <c r="C2527" s="360"/>
      <c r="D2527" s="2" t="s">
        <v>10</v>
      </c>
      <c r="E2527" s="160" t="str">
        <f>A2505&amp;"/"&amp;B2525&amp;"/"&amp;C2525&amp;"/"&amp;D2527</f>
        <v>Diesel oil fired power plants/Steam turbine/Electricity only/S</v>
      </c>
      <c r="F2527" s="76" t="str">
        <f>A2505</f>
        <v>Diesel oil fired power plants</v>
      </c>
      <c r="G2527" s="76" t="str">
        <f>B2525</f>
        <v>Steam turbine</v>
      </c>
      <c r="H2527" s="76" t="str">
        <f>C2525</f>
        <v>Electricity only</v>
      </c>
      <c r="I2527" s="161" t="str">
        <f t="shared" si="120"/>
        <v>S</v>
      </c>
      <c r="J2527" s="91">
        <v>1850.0000000000002</v>
      </c>
      <c r="K2527" s="91">
        <v>1850.0000000000002</v>
      </c>
      <c r="L2527" s="91">
        <v>1850.0000000000002</v>
      </c>
      <c r="M2527" s="91">
        <v>1850.0000000000002</v>
      </c>
      <c r="N2527" s="91">
        <v>1850.0000000000002</v>
      </c>
      <c r="O2527" s="91">
        <v>1850.0000000000002</v>
      </c>
      <c r="P2527" s="91">
        <v>1850.0000000000002</v>
      </c>
      <c r="Q2527" s="91">
        <v>1850.0000000000002</v>
      </c>
      <c r="R2527" s="91">
        <v>1850.0000000000002</v>
      </c>
      <c r="S2527" s="91">
        <v>1850.0000000000002</v>
      </c>
      <c r="T2527" s="91">
        <v>1850.0000000000002</v>
      </c>
      <c r="U2527" s="91">
        <v>1850.0000000000002</v>
      </c>
      <c r="V2527" s="91">
        <v>1850.0000000000002</v>
      </c>
      <c r="W2527" s="91">
        <v>1850.0000000000002</v>
      </c>
      <c r="X2527" s="91">
        <v>1850.0000000000002</v>
      </c>
      <c r="Y2527" s="91">
        <v>1850.0000000000002</v>
      </c>
      <c r="Z2527" s="91">
        <v>1850.0000000000002</v>
      </c>
      <c r="AA2527" s="91">
        <v>1850.0000000000002</v>
      </c>
      <c r="AB2527" s="91">
        <v>1850.0000000000002</v>
      </c>
      <c r="AC2527" s="91">
        <v>1850.0000000000002</v>
      </c>
      <c r="AD2527" s="91">
        <v>1850.0000000000002</v>
      </c>
      <c r="AE2527" s="91">
        <v>1850.0000000000002</v>
      </c>
      <c r="AF2527" s="91">
        <v>1850.0000000000002</v>
      </c>
      <c r="AG2527" s="91">
        <v>1850.0000000000002</v>
      </c>
      <c r="AH2527" s="91">
        <v>1850.0000000000002</v>
      </c>
      <c r="AI2527" s="91">
        <v>1850.0000000000002</v>
      </c>
      <c r="AJ2527" s="91">
        <v>1850.0000000000002</v>
      </c>
      <c r="AK2527" s="91">
        <v>1850.0000000000002</v>
      </c>
      <c r="AL2527" s="91">
        <v>1850.0000000000002</v>
      </c>
      <c r="AM2527" s="91">
        <v>1850.0000000000002</v>
      </c>
      <c r="AN2527" s="91">
        <v>1850.0000000000002</v>
      </c>
      <c r="AO2527" s="91">
        <v>1850.0000000000002</v>
      </c>
      <c r="AP2527" s="91">
        <v>1850.0000000000002</v>
      </c>
      <c r="AQ2527" s="91">
        <v>1850.0000000000002</v>
      </c>
      <c r="AR2527" s="91">
        <v>1850.0000000000002</v>
      </c>
      <c r="AS2527" s="91">
        <v>1850.0000000000002</v>
      </c>
      <c r="AT2527" s="91">
        <v>1850.0000000000002</v>
      </c>
      <c r="AU2527" s="91">
        <v>1850.0000000000002</v>
      </c>
      <c r="AV2527" s="91">
        <v>1850.0000000000002</v>
      </c>
      <c r="AW2527" s="91">
        <v>1850.0000000000002</v>
      </c>
      <c r="AX2527" s="92">
        <v>1850.0000000000002</v>
      </c>
    </row>
    <row r="2528" spans="1:50" x14ac:dyDescent="0.25">
      <c r="A2528" s="356"/>
      <c r="B2528" s="359"/>
      <c r="C2528" s="361" t="s">
        <v>14</v>
      </c>
      <c r="D2528" s="58" t="s">
        <v>7</v>
      </c>
      <c r="E2528" s="164" t="str">
        <f>A2505&amp;"/"&amp;B2525&amp;"/"&amp;C2528&amp;"/"&amp;D2528</f>
        <v>Diesel oil fired power plants/Steam turbine/CHP/L</v>
      </c>
      <c r="F2528" s="78" t="str">
        <f>A2505</f>
        <v>Diesel oil fired power plants</v>
      </c>
      <c r="G2528" s="78" t="str">
        <f>B2525</f>
        <v>Steam turbine</v>
      </c>
      <c r="H2528" s="78" t="str">
        <f>C2528</f>
        <v>CHP</v>
      </c>
      <c r="I2528" s="165" t="str">
        <f t="shared" si="120"/>
        <v>L</v>
      </c>
      <c r="J2528" s="95">
        <v>3700</v>
      </c>
      <c r="K2528" s="95">
        <v>3700</v>
      </c>
      <c r="L2528" s="95">
        <v>3700</v>
      </c>
      <c r="M2528" s="95">
        <v>3700</v>
      </c>
      <c r="N2528" s="95">
        <v>3700</v>
      </c>
      <c r="O2528" s="95">
        <v>3700</v>
      </c>
      <c r="P2528" s="95">
        <v>3700</v>
      </c>
      <c r="Q2528" s="95">
        <v>3700</v>
      </c>
      <c r="R2528" s="95">
        <v>3700</v>
      </c>
      <c r="S2528" s="95">
        <v>3700</v>
      </c>
      <c r="T2528" s="95">
        <v>3700</v>
      </c>
      <c r="U2528" s="95">
        <v>3700</v>
      </c>
      <c r="V2528" s="95">
        <v>3700</v>
      </c>
      <c r="W2528" s="95">
        <v>3700</v>
      </c>
      <c r="X2528" s="95">
        <v>3700</v>
      </c>
      <c r="Y2528" s="95">
        <v>3700</v>
      </c>
      <c r="Z2528" s="95">
        <v>3700</v>
      </c>
      <c r="AA2528" s="95">
        <v>3700</v>
      </c>
      <c r="AB2528" s="95">
        <v>3700</v>
      </c>
      <c r="AC2528" s="95">
        <v>3700</v>
      </c>
      <c r="AD2528" s="95">
        <v>3700</v>
      </c>
      <c r="AE2528" s="95">
        <v>3700</v>
      </c>
      <c r="AF2528" s="95">
        <v>3700</v>
      </c>
      <c r="AG2528" s="95">
        <v>3700</v>
      </c>
      <c r="AH2528" s="95">
        <v>3700</v>
      </c>
      <c r="AI2528" s="95">
        <v>3700</v>
      </c>
      <c r="AJ2528" s="95">
        <v>3700</v>
      </c>
      <c r="AK2528" s="95">
        <v>3700</v>
      </c>
      <c r="AL2528" s="95">
        <v>3700</v>
      </c>
      <c r="AM2528" s="95">
        <v>3700</v>
      </c>
      <c r="AN2528" s="95">
        <v>3700</v>
      </c>
      <c r="AO2528" s="95">
        <v>3700</v>
      </c>
      <c r="AP2528" s="95">
        <v>3700</v>
      </c>
      <c r="AQ2528" s="95">
        <v>3700</v>
      </c>
      <c r="AR2528" s="95">
        <v>3700</v>
      </c>
      <c r="AS2528" s="95">
        <v>3700</v>
      </c>
      <c r="AT2528" s="95">
        <v>3700</v>
      </c>
      <c r="AU2528" s="95">
        <v>3700</v>
      </c>
      <c r="AV2528" s="95">
        <v>3700</v>
      </c>
      <c r="AW2528" s="95">
        <v>3700</v>
      </c>
      <c r="AX2528" s="96">
        <v>3700</v>
      </c>
    </row>
    <row r="2529" spans="1:50" x14ac:dyDescent="0.25">
      <c r="A2529" s="356"/>
      <c r="B2529" s="359"/>
      <c r="C2529" s="350"/>
      <c r="D2529" s="2" t="s">
        <v>8</v>
      </c>
      <c r="E2529" s="160" t="str">
        <f>A2505&amp;"/"&amp;B2525&amp;"/"&amp;C2528&amp;"/"&amp;D2529</f>
        <v>Diesel oil fired power plants/Steam turbine/CHP/M</v>
      </c>
      <c r="F2529" s="76" t="str">
        <f>A2505</f>
        <v>Diesel oil fired power plants</v>
      </c>
      <c r="G2529" s="76" t="str">
        <f>B2525</f>
        <v>Steam turbine</v>
      </c>
      <c r="H2529" s="76" t="str">
        <f>C2528</f>
        <v>CHP</v>
      </c>
      <c r="I2529" s="161" t="str">
        <f t="shared" si="120"/>
        <v>M</v>
      </c>
      <c r="J2529" s="91">
        <v>3459.8951058873317</v>
      </c>
      <c r="K2529" s="91">
        <v>3459.8951058873317</v>
      </c>
      <c r="L2529" s="91">
        <v>3459.8951058873317</v>
      </c>
      <c r="M2529" s="91">
        <v>3459.8951058873317</v>
      </c>
      <c r="N2529" s="91">
        <v>3459.8951058873317</v>
      </c>
      <c r="O2529" s="91">
        <v>3459.8951058873317</v>
      </c>
      <c r="P2529" s="91">
        <v>3459.8951058873317</v>
      </c>
      <c r="Q2529" s="91">
        <v>3459.8951058873317</v>
      </c>
      <c r="R2529" s="91">
        <v>3459.8951058873317</v>
      </c>
      <c r="S2529" s="91">
        <v>3459.8951058873317</v>
      </c>
      <c r="T2529" s="91">
        <v>3459.8951058873317</v>
      </c>
      <c r="U2529" s="91">
        <v>3459.8951058873317</v>
      </c>
      <c r="V2529" s="91">
        <v>3459.8951058873317</v>
      </c>
      <c r="W2529" s="91">
        <v>3459.8951058873317</v>
      </c>
      <c r="X2529" s="91">
        <v>3459.8951058873317</v>
      </c>
      <c r="Y2529" s="91">
        <v>3459.8951058873317</v>
      </c>
      <c r="Z2529" s="91">
        <v>3459.8951058873317</v>
      </c>
      <c r="AA2529" s="91">
        <v>3459.8951058873317</v>
      </c>
      <c r="AB2529" s="91">
        <v>3459.8951058873317</v>
      </c>
      <c r="AC2529" s="91">
        <v>3459.8951058873317</v>
      </c>
      <c r="AD2529" s="91">
        <v>3459.8951058873317</v>
      </c>
      <c r="AE2529" s="91">
        <v>3459.8951058873317</v>
      </c>
      <c r="AF2529" s="91">
        <v>3459.8951058873317</v>
      </c>
      <c r="AG2529" s="91">
        <v>3459.8951058873317</v>
      </c>
      <c r="AH2529" s="91">
        <v>3459.8951058873317</v>
      </c>
      <c r="AI2529" s="91">
        <v>3459.8951058873317</v>
      </c>
      <c r="AJ2529" s="91">
        <v>3459.8951058873317</v>
      </c>
      <c r="AK2529" s="91">
        <v>3459.8951058873317</v>
      </c>
      <c r="AL2529" s="91">
        <v>3459.8951058873317</v>
      </c>
      <c r="AM2529" s="91">
        <v>3459.8951058873317</v>
      </c>
      <c r="AN2529" s="91">
        <v>3459.8951058873317</v>
      </c>
      <c r="AO2529" s="91">
        <v>3459.8951058873317</v>
      </c>
      <c r="AP2529" s="91">
        <v>3459.8951058873317</v>
      </c>
      <c r="AQ2529" s="91">
        <v>3459.8951058873317</v>
      </c>
      <c r="AR2529" s="91">
        <v>3459.8951058873317</v>
      </c>
      <c r="AS2529" s="91">
        <v>3459.8951058873317</v>
      </c>
      <c r="AT2529" s="91">
        <v>3459.8951058873317</v>
      </c>
      <c r="AU2529" s="91">
        <v>3459.8951058873317</v>
      </c>
      <c r="AV2529" s="91">
        <v>3459.8951058873317</v>
      </c>
      <c r="AW2529" s="91">
        <v>3459.8951058873317</v>
      </c>
      <c r="AX2529" s="92">
        <v>3459.8951058873317</v>
      </c>
    </row>
    <row r="2530" spans="1:50" x14ac:dyDescent="0.25">
      <c r="A2530" s="356"/>
      <c r="B2530" s="359"/>
      <c r="C2530" s="360"/>
      <c r="D2530" s="59" t="s">
        <v>10</v>
      </c>
      <c r="E2530" s="166" t="str">
        <f>A2505&amp;"/"&amp;B2525&amp;"/"&amp;C2528&amp;"/"&amp;D2530</f>
        <v>Diesel oil fired power plants/Steam turbine/CHP/S</v>
      </c>
      <c r="F2530" s="79" t="str">
        <f>A2505</f>
        <v>Diesel oil fired power plants</v>
      </c>
      <c r="G2530" s="79" t="str">
        <f>B2525</f>
        <v>Steam turbine</v>
      </c>
      <c r="H2530" s="79" t="str">
        <f>C2528</f>
        <v>CHP</v>
      </c>
      <c r="I2530" s="167" t="str">
        <f t="shared" si="120"/>
        <v>S</v>
      </c>
      <c r="J2530" s="97">
        <v>3198.3330582097628</v>
      </c>
      <c r="K2530" s="97">
        <v>3198.3330582097628</v>
      </c>
      <c r="L2530" s="97">
        <v>3198.3330582097628</v>
      </c>
      <c r="M2530" s="97">
        <v>3198.3330582097628</v>
      </c>
      <c r="N2530" s="97">
        <v>3198.3330582097628</v>
      </c>
      <c r="O2530" s="97">
        <v>3198.3330582097628</v>
      </c>
      <c r="P2530" s="97">
        <v>3198.3330582097628</v>
      </c>
      <c r="Q2530" s="97">
        <v>3198.3330582097628</v>
      </c>
      <c r="R2530" s="97">
        <v>3198.3330582097628</v>
      </c>
      <c r="S2530" s="97">
        <v>3198.3330582097628</v>
      </c>
      <c r="T2530" s="97">
        <v>3198.3330582097628</v>
      </c>
      <c r="U2530" s="97">
        <v>3198.3330582097628</v>
      </c>
      <c r="V2530" s="97">
        <v>3198.3330582097628</v>
      </c>
      <c r="W2530" s="97">
        <v>3198.3330582097628</v>
      </c>
      <c r="X2530" s="97">
        <v>3198.3330582097628</v>
      </c>
      <c r="Y2530" s="97">
        <v>3198.3330582097628</v>
      </c>
      <c r="Z2530" s="97">
        <v>3198.3330582097628</v>
      </c>
      <c r="AA2530" s="97">
        <v>3198.3330582097628</v>
      </c>
      <c r="AB2530" s="97">
        <v>3198.3330582097628</v>
      </c>
      <c r="AC2530" s="97">
        <v>3198.3330582097628</v>
      </c>
      <c r="AD2530" s="97">
        <v>3198.3330582097628</v>
      </c>
      <c r="AE2530" s="97">
        <v>3198.3330582097628</v>
      </c>
      <c r="AF2530" s="97">
        <v>3198.3330582097628</v>
      </c>
      <c r="AG2530" s="97">
        <v>3198.3330582097628</v>
      </c>
      <c r="AH2530" s="97">
        <v>3198.3330582097628</v>
      </c>
      <c r="AI2530" s="97">
        <v>3198.3330582097628</v>
      </c>
      <c r="AJ2530" s="97">
        <v>3198.3330582097628</v>
      </c>
      <c r="AK2530" s="97">
        <v>3198.3330582097628</v>
      </c>
      <c r="AL2530" s="97">
        <v>3198.3330582097628</v>
      </c>
      <c r="AM2530" s="97">
        <v>3198.3330582097628</v>
      </c>
      <c r="AN2530" s="97">
        <v>3198.3330582097628</v>
      </c>
      <c r="AO2530" s="97">
        <v>3198.3330582097628</v>
      </c>
      <c r="AP2530" s="97">
        <v>3198.3330582097628</v>
      </c>
      <c r="AQ2530" s="97">
        <v>3198.3330582097628</v>
      </c>
      <c r="AR2530" s="97">
        <v>3198.3330582097628</v>
      </c>
      <c r="AS2530" s="97">
        <v>3198.3330582097628</v>
      </c>
      <c r="AT2530" s="97">
        <v>3198.3330582097628</v>
      </c>
      <c r="AU2530" s="97">
        <v>3198.3330582097628</v>
      </c>
      <c r="AV2530" s="97">
        <v>3198.3330582097628</v>
      </c>
      <c r="AW2530" s="97">
        <v>3198.3330582097628</v>
      </c>
      <c r="AX2530" s="98">
        <v>3198.3330582097628</v>
      </c>
    </row>
    <row r="2531" spans="1:50" x14ac:dyDescent="0.25">
      <c r="A2531" s="356"/>
      <c r="B2531" s="359"/>
      <c r="C2531" s="361" t="s">
        <v>15</v>
      </c>
      <c r="D2531" s="58" t="s">
        <v>7</v>
      </c>
      <c r="E2531" s="164" t="str">
        <f>A2505&amp;"/"&amp;B2525&amp;"/"&amp;C2531&amp;"/"&amp;D2531</f>
        <v>Diesel oil fired power plants/Steam turbine/Electricity only with CCS/L</v>
      </c>
      <c r="F2531" s="78" t="str">
        <f>A2505</f>
        <v>Diesel oil fired power plants</v>
      </c>
      <c r="G2531" s="78" t="str">
        <f>B2525</f>
        <v>Steam turbine</v>
      </c>
      <c r="H2531" s="78" t="str">
        <f>C2531</f>
        <v>Electricity only with CCS</v>
      </c>
      <c r="I2531" s="165" t="str">
        <f t="shared" si="120"/>
        <v>L</v>
      </c>
      <c r="J2531" s="95" t="s">
        <v>112</v>
      </c>
      <c r="K2531" s="95" t="s">
        <v>112</v>
      </c>
      <c r="L2531" s="95" t="s">
        <v>112</v>
      </c>
      <c r="M2531" s="95" t="s">
        <v>112</v>
      </c>
      <c r="N2531" s="95" t="s">
        <v>112</v>
      </c>
      <c r="O2531" s="95" t="s">
        <v>112</v>
      </c>
      <c r="P2531" s="95" t="s">
        <v>112</v>
      </c>
      <c r="Q2531" s="95" t="s">
        <v>112</v>
      </c>
      <c r="R2531" s="95" t="s">
        <v>112</v>
      </c>
      <c r="S2531" s="95" t="s">
        <v>112</v>
      </c>
      <c r="T2531" s="95" t="s">
        <v>112</v>
      </c>
      <c r="U2531" s="95" t="s">
        <v>112</v>
      </c>
      <c r="V2531" s="95" t="s">
        <v>112</v>
      </c>
      <c r="W2531" s="95" t="s">
        <v>112</v>
      </c>
      <c r="X2531" s="95" t="s">
        <v>112</v>
      </c>
      <c r="Y2531" s="95" t="s">
        <v>112</v>
      </c>
      <c r="Z2531" s="95" t="s">
        <v>112</v>
      </c>
      <c r="AA2531" s="95" t="s">
        <v>112</v>
      </c>
      <c r="AB2531" s="95" t="s">
        <v>112</v>
      </c>
      <c r="AC2531" s="95" t="s">
        <v>112</v>
      </c>
      <c r="AD2531" s="95" t="s">
        <v>112</v>
      </c>
      <c r="AE2531" s="95">
        <v>3700</v>
      </c>
      <c r="AF2531" s="95">
        <v>3700</v>
      </c>
      <c r="AG2531" s="95">
        <v>3700</v>
      </c>
      <c r="AH2531" s="95">
        <v>3700</v>
      </c>
      <c r="AI2531" s="95">
        <v>3700</v>
      </c>
      <c r="AJ2531" s="95">
        <v>3700</v>
      </c>
      <c r="AK2531" s="95">
        <v>3700</v>
      </c>
      <c r="AL2531" s="95">
        <v>3700</v>
      </c>
      <c r="AM2531" s="95">
        <v>3700</v>
      </c>
      <c r="AN2531" s="95">
        <v>3700</v>
      </c>
      <c r="AO2531" s="95">
        <v>3700</v>
      </c>
      <c r="AP2531" s="95">
        <v>3700</v>
      </c>
      <c r="AQ2531" s="95">
        <v>3700</v>
      </c>
      <c r="AR2531" s="95">
        <v>3700</v>
      </c>
      <c r="AS2531" s="95">
        <v>3700</v>
      </c>
      <c r="AT2531" s="95">
        <v>3700</v>
      </c>
      <c r="AU2531" s="95">
        <v>3700</v>
      </c>
      <c r="AV2531" s="95">
        <v>3700</v>
      </c>
      <c r="AW2531" s="95">
        <v>3700</v>
      </c>
      <c r="AX2531" s="96">
        <v>3700</v>
      </c>
    </row>
    <row r="2532" spans="1:50" x14ac:dyDescent="0.25">
      <c r="A2532" s="356"/>
      <c r="B2532" s="359"/>
      <c r="C2532" s="360"/>
      <c r="D2532" s="59" t="s">
        <v>8</v>
      </c>
      <c r="E2532" s="166" t="str">
        <f>A2505&amp;"/"&amp;B2525&amp;"/"&amp;C2531&amp;"/"&amp;D2532</f>
        <v>Diesel oil fired power plants/Steam turbine/Electricity only with CCS/M</v>
      </c>
      <c r="F2532" s="79" t="str">
        <f>A2505</f>
        <v>Diesel oil fired power plants</v>
      </c>
      <c r="G2532" s="79" t="str">
        <f>B2525</f>
        <v>Steam turbine</v>
      </c>
      <c r="H2532" s="79" t="str">
        <f>C2531</f>
        <v>Electricity only with CCS</v>
      </c>
      <c r="I2532" s="167" t="str">
        <f t="shared" si="120"/>
        <v>M</v>
      </c>
      <c r="J2532" s="97" t="s">
        <v>112</v>
      </c>
      <c r="K2532" s="97" t="s">
        <v>112</v>
      </c>
      <c r="L2532" s="97" t="s">
        <v>112</v>
      </c>
      <c r="M2532" s="97" t="s">
        <v>112</v>
      </c>
      <c r="N2532" s="97" t="s">
        <v>112</v>
      </c>
      <c r="O2532" s="97" t="s">
        <v>112</v>
      </c>
      <c r="P2532" s="97" t="s">
        <v>112</v>
      </c>
      <c r="Q2532" s="97" t="s">
        <v>112</v>
      </c>
      <c r="R2532" s="97" t="s">
        <v>112</v>
      </c>
      <c r="S2532" s="97" t="s">
        <v>112</v>
      </c>
      <c r="T2532" s="97" t="s">
        <v>112</v>
      </c>
      <c r="U2532" s="97" t="s">
        <v>112</v>
      </c>
      <c r="V2532" s="97" t="s">
        <v>112</v>
      </c>
      <c r="W2532" s="97" t="s">
        <v>112</v>
      </c>
      <c r="X2532" s="97" t="s">
        <v>112</v>
      </c>
      <c r="Y2532" s="97" t="s">
        <v>112</v>
      </c>
      <c r="Z2532" s="97" t="s">
        <v>112</v>
      </c>
      <c r="AA2532" s="97" t="s">
        <v>112</v>
      </c>
      <c r="AB2532" s="97" t="s">
        <v>112</v>
      </c>
      <c r="AC2532" s="97" t="s">
        <v>112</v>
      </c>
      <c r="AD2532" s="97" t="s">
        <v>112</v>
      </c>
      <c r="AE2532" s="97">
        <v>2616.2950903902261</v>
      </c>
      <c r="AF2532" s="97">
        <v>2616.2950903902261</v>
      </c>
      <c r="AG2532" s="97">
        <v>2616.2950903902261</v>
      </c>
      <c r="AH2532" s="97">
        <v>2616.2950903902261</v>
      </c>
      <c r="AI2532" s="97">
        <v>2616.2950903902261</v>
      </c>
      <c r="AJ2532" s="97">
        <v>2616.2950903902261</v>
      </c>
      <c r="AK2532" s="97">
        <v>2616.2950903902261</v>
      </c>
      <c r="AL2532" s="97">
        <v>2616.2950903902261</v>
      </c>
      <c r="AM2532" s="97">
        <v>2616.2950903902261</v>
      </c>
      <c r="AN2532" s="97">
        <v>2616.2950903902261</v>
      </c>
      <c r="AO2532" s="97">
        <v>2616.2950903902261</v>
      </c>
      <c r="AP2532" s="97">
        <v>2616.2950903902261</v>
      </c>
      <c r="AQ2532" s="97">
        <v>2616.2950903902261</v>
      </c>
      <c r="AR2532" s="97">
        <v>2616.2950903902261</v>
      </c>
      <c r="AS2532" s="97">
        <v>2616.2950903902261</v>
      </c>
      <c r="AT2532" s="97">
        <v>2616.2950903902261</v>
      </c>
      <c r="AU2532" s="97">
        <v>2616.2950903902261</v>
      </c>
      <c r="AV2532" s="97">
        <v>2616.2950903902261</v>
      </c>
      <c r="AW2532" s="97">
        <v>2616.2950903902261</v>
      </c>
      <c r="AX2532" s="98">
        <v>2616.2950903902261</v>
      </c>
    </row>
    <row r="2533" spans="1:50" x14ac:dyDescent="0.25">
      <c r="A2533" s="356"/>
      <c r="B2533" s="359"/>
      <c r="C2533" s="361" t="s">
        <v>16</v>
      </c>
      <c r="D2533" s="2" t="s">
        <v>7</v>
      </c>
      <c r="E2533" s="160" t="str">
        <f>A2505&amp;"/"&amp;B2525&amp;"/"&amp;C2533&amp;"/"&amp;D2533</f>
        <v>Diesel oil fired power plants/Steam turbine/CHP with CCS/L</v>
      </c>
      <c r="F2533" s="76" t="str">
        <f>A2505</f>
        <v>Diesel oil fired power plants</v>
      </c>
      <c r="G2533" s="76" t="str">
        <f>B2525</f>
        <v>Steam turbine</v>
      </c>
      <c r="H2533" s="76" t="str">
        <f>C2533</f>
        <v>CHP with CCS</v>
      </c>
      <c r="I2533" s="161" t="str">
        <f t="shared" si="120"/>
        <v>L</v>
      </c>
      <c r="J2533" s="91" t="s">
        <v>112</v>
      </c>
      <c r="K2533" s="91" t="s">
        <v>112</v>
      </c>
      <c r="L2533" s="91" t="s">
        <v>112</v>
      </c>
      <c r="M2533" s="91" t="s">
        <v>112</v>
      </c>
      <c r="N2533" s="91" t="s">
        <v>112</v>
      </c>
      <c r="O2533" s="91" t="s">
        <v>112</v>
      </c>
      <c r="P2533" s="91" t="s">
        <v>112</v>
      </c>
      <c r="Q2533" s="91" t="s">
        <v>112</v>
      </c>
      <c r="R2533" s="91" t="s">
        <v>112</v>
      </c>
      <c r="S2533" s="91" t="s">
        <v>112</v>
      </c>
      <c r="T2533" s="91" t="s">
        <v>112</v>
      </c>
      <c r="U2533" s="91" t="s">
        <v>112</v>
      </c>
      <c r="V2533" s="91" t="s">
        <v>112</v>
      </c>
      <c r="W2533" s="91" t="s">
        <v>112</v>
      </c>
      <c r="X2533" s="91" t="s">
        <v>112</v>
      </c>
      <c r="Y2533" s="91" t="s">
        <v>112</v>
      </c>
      <c r="Z2533" s="91" t="s">
        <v>112</v>
      </c>
      <c r="AA2533" s="91" t="s">
        <v>112</v>
      </c>
      <c r="AB2533" s="91" t="s">
        <v>112</v>
      </c>
      <c r="AC2533" s="91" t="s">
        <v>112</v>
      </c>
      <c r="AD2533" s="91" t="s">
        <v>112</v>
      </c>
      <c r="AE2533" s="91">
        <v>3700</v>
      </c>
      <c r="AF2533" s="91">
        <v>3700</v>
      </c>
      <c r="AG2533" s="91">
        <v>3700</v>
      </c>
      <c r="AH2533" s="91">
        <v>3700</v>
      </c>
      <c r="AI2533" s="91">
        <v>3700</v>
      </c>
      <c r="AJ2533" s="91">
        <v>3700</v>
      </c>
      <c r="AK2533" s="91">
        <v>3700</v>
      </c>
      <c r="AL2533" s="91">
        <v>3700</v>
      </c>
      <c r="AM2533" s="91">
        <v>3700</v>
      </c>
      <c r="AN2533" s="91">
        <v>3700</v>
      </c>
      <c r="AO2533" s="91">
        <v>3700</v>
      </c>
      <c r="AP2533" s="91">
        <v>3700</v>
      </c>
      <c r="AQ2533" s="91">
        <v>3700</v>
      </c>
      <c r="AR2533" s="91">
        <v>3700</v>
      </c>
      <c r="AS2533" s="91">
        <v>3700</v>
      </c>
      <c r="AT2533" s="91">
        <v>3700</v>
      </c>
      <c r="AU2533" s="91">
        <v>3700</v>
      </c>
      <c r="AV2533" s="91">
        <v>3700</v>
      </c>
      <c r="AW2533" s="91">
        <v>3700</v>
      </c>
      <c r="AX2533" s="92">
        <v>3700</v>
      </c>
    </row>
    <row r="2534" spans="1:50" x14ac:dyDescent="0.25">
      <c r="A2534" s="356"/>
      <c r="B2534" s="362"/>
      <c r="C2534" s="354"/>
      <c r="D2534" s="4" t="s">
        <v>8</v>
      </c>
      <c r="E2534" s="168" t="str">
        <f>A2505&amp;"/"&amp;B2525&amp;"/"&amp;C2533&amp;"/"&amp;D2534</f>
        <v>Diesel oil fired power plants/Steam turbine/CHP with CCS/M</v>
      </c>
      <c r="F2534" s="80" t="str">
        <f>A2505</f>
        <v>Diesel oil fired power plants</v>
      </c>
      <c r="G2534" s="80" t="str">
        <f>B2525</f>
        <v>Steam turbine</v>
      </c>
      <c r="H2534" s="80" t="str">
        <f>C2533</f>
        <v>CHP with CCS</v>
      </c>
      <c r="I2534" s="169" t="str">
        <f t="shared" si="120"/>
        <v>M</v>
      </c>
      <c r="J2534" s="99" t="s">
        <v>112</v>
      </c>
      <c r="K2534" s="99" t="s">
        <v>112</v>
      </c>
      <c r="L2534" s="99" t="s">
        <v>112</v>
      </c>
      <c r="M2534" s="99" t="s">
        <v>112</v>
      </c>
      <c r="N2534" s="99" t="s">
        <v>112</v>
      </c>
      <c r="O2534" s="99" t="s">
        <v>112</v>
      </c>
      <c r="P2534" s="99" t="s">
        <v>112</v>
      </c>
      <c r="Q2534" s="99" t="s">
        <v>112</v>
      </c>
      <c r="R2534" s="99" t="s">
        <v>112</v>
      </c>
      <c r="S2534" s="99" t="s">
        <v>112</v>
      </c>
      <c r="T2534" s="99" t="s">
        <v>112</v>
      </c>
      <c r="U2534" s="99" t="s">
        <v>112</v>
      </c>
      <c r="V2534" s="99" t="s">
        <v>112</v>
      </c>
      <c r="W2534" s="99" t="s">
        <v>112</v>
      </c>
      <c r="X2534" s="99" t="s">
        <v>112</v>
      </c>
      <c r="Y2534" s="99" t="s">
        <v>112</v>
      </c>
      <c r="Z2534" s="99" t="s">
        <v>112</v>
      </c>
      <c r="AA2534" s="99" t="s">
        <v>112</v>
      </c>
      <c r="AB2534" s="99" t="s">
        <v>112</v>
      </c>
      <c r="AC2534" s="99" t="s">
        <v>112</v>
      </c>
      <c r="AD2534" s="99" t="s">
        <v>112</v>
      </c>
      <c r="AE2534" s="99">
        <v>3459.8951058873317</v>
      </c>
      <c r="AF2534" s="99">
        <v>3459.8951058873317</v>
      </c>
      <c r="AG2534" s="99">
        <v>3459.8951058873317</v>
      </c>
      <c r="AH2534" s="99">
        <v>3459.8951058873317</v>
      </c>
      <c r="AI2534" s="99">
        <v>3459.8951058873317</v>
      </c>
      <c r="AJ2534" s="99">
        <v>3459.8951058873317</v>
      </c>
      <c r="AK2534" s="99">
        <v>3459.8951058873317</v>
      </c>
      <c r="AL2534" s="99">
        <v>3459.8951058873317</v>
      </c>
      <c r="AM2534" s="99">
        <v>3459.8951058873317</v>
      </c>
      <c r="AN2534" s="99">
        <v>3459.8951058873317</v>
      </c>
      <c r="AO2534" s="99">
        <v>3459.8951058873317</v>
      </c>
      <c r="AP2534" s="99">
        <v>3459.8951058873317</v>
      </c>
      <c r="AQ2534" s="99">
        <v>3459.8951058873317</v>
      </c>
      <c r="AR2534" s="99">
        <v>3459.8951058873317</v>
      </c>
      <c r="AS2534" s="99">
        <v>3459.8951058873317</v>
      </c>
      <c r="AT2534" s="99">
        <v>3459.8951058873317</v>
      </c>
      <c r="AU2534" s="99">
        <v>3459.8951058873317</v>
      </c>
      <c r="AV2534" s="99">
        <v>3459.8951058873317</v>
      </c>
      <c r="AW2534" s="99">
        <v>3459.8951058873317</v>
      </c>
      <c r="AX2534" s="100">
        <v>3459.8951058873317</v>
      </c>
    </row>
    <row r="2535" spans="1:50" x14ac:dyDescent="0.25">
      <c r="A2535" s="356"/>
      <c r="B2535" s="358" t="s">
        <v>25</v>
      </c>
      <c r="C2535" s="353" t="s">
        <v>6</v>
      </c>
      <c r="D2535" s="3" t="s">
        <v>10</v>
      </c>
      <c r="E2535" s="162" t="str">
        <f>A2505&amp;"/"&amp;B2535&amp;"/"&amp;C2535&amp;"/"&amp;D2535</f>
        <v>Diesel oil fired power plants/Internal combustion engine/Electricity only/S</v>
      </c>
      <c r="F2535" s="77" t="str">
        <f>A2505</f>
        <v>Diesel oil fired power plants</v>
      </c>
      <c r="G2535" s="77" t="str">
        <f>B2535</f>
        <v>Internal combustion engine</v>
      </c>
      <c r="H2535" s="77" t="str">
        <f>C2535</f>
        <v>Electricity only</v>
      </c>
      <c r="I2535" s="163" t="str">
        <f t="shared" si="120"/>
        <v>S</v>
      </c>
      <c r="J2535" s="93">
        <v>750</v>
      </c>
      <c r="K2535" s="93">
        <v>750</v>
      </c>
      <c r="L2535" s="93">
        <v>750</v>
      </c>
      <c r="M2535" s="93">
        <v>750</v>
      </c>
      <c r="N2535" s="93">
        <v>750</v>
      </c>
      <c r="O2535" s="93">
        <v>750</v>
      </c>
      <c r="P2535" s="93">
        <v>750</v>
      </c>
      <c r="Q2535" s="93">
        <v>750</v>
      </c>
      <c r="R2535" s="93">
        <v>750</v>
      </c>
      <c r="S2535" s="93">
        <v>750</v>
      </c>
      <c r="T2535" s="93">
        <v>750</v>
      </c>
      <c r="U2535" s="93">
        <v>750</v>
      </c>
      <c r="V2535" s="93">
        <v>750</v>
      </c>
      <c r="W2535" s="93">
        <v>750</v>
      </c>
      <c r="X2535" s="93">
        <v>750</v>
      </c>
      <c r="Y2535" s="93">
        <v>750</v>
      </c>
      <c r="Z2535" s="93">
        <v>750</v>
      </c>
      <c r="AA2535" s="93">
        <v>750</v>
      </c>
      <c r="AB2535" s="93">
        <v>750</v>
      </c>
      <c r="AC2535" s="93">
        <v>750</v>
      </c>
      <c r="AD2535" s="93">
        <v>750</v>
      </c>
      <c r="AE2535" s="93">
        <v>750</v>
      </c>
      <c r="AF2535" s="93">
        <v>750</v>
      </c>
      <c r="AG2535" s="93">
        <v>750</v>
      </c>
      <c r="AH2535" s="93">
        <v>750</v>
      </c>
      <c r="AI2535" s="93">
        <v>750</v>
      </c>
      <c r="AJ2535" s="93">
        <v>750</v>
      </c>
      <c r="AK2535" s="93">
        <v>750</v>
      </c>
      <c r="AL2535" s="93">
        <v>750</v>
      </c>
      <c r="AM2535" s="93">
        <v>750</v>
      </c>
      <c r="AN2535" s="93">
        <v>750</v>
      </c>
      <c r="AO2535" s="93">
        <v>750</v>
      </c>
      <c r="AP2535" s="93">
        <v>750</v>
      </c>
      <c r="AQ2535" s="93">
        <v>750</v>
      </c>
      <c r="AR2535" s="93">
        <v>750</v>
      </c>
      <c r="AS2535" s="93">
        <v>750</v>
      </c>
      <c r="AT2535" s="93">
        <v>750</v>
      </c>
      <c r="AU2535" s="93">
        <v>750</v>
      </c>
      <c r="AV2535" s="93">
        <v>750</v>
      </c>
      <c r="AW2535" s="93">
        <v>750</v>
      </c>
      <c r="AX2535" s="94">
        <v>750</v>
      </c>
    </row>
    <row r="2536" spans="1:50" x14ac:dyDescent="0.25">
      <c r="A2536" s="356"/>
      <c r="B2536" s="359"/>
      <c r="C2536" s="360"/>
      <c r="D2536" s="59" t="s">
        <v>20</v>
      </c>
      <c r="E2536" s="160" t="str">
        <f>A2505&amp;"/"&amp;B2535&amp;"/"&amp;C2535&amp;"/"&amp;D2536</f>
        <v>Diesel oil fired power plants/Internal combustion engine/Electricity only/XS</v>
      </c>
      <c r="F2536" s="76" t="str">
        <f>A2505</f>
        <v>Diesel oil fired power plants</v>
      </c>
      <c r="G2536" s="76" t="str">
        <f>B2535</f>
        <v>Internal combustion engine</v>
      </c>
      <c r="H2536" s="76" t="str">
        <f>C2535</f>
        <v>Electricity only</v>
      </c>
      <c r="I2536" s="161" t="str">
        <f t="shared" si="120"/>
        <v>XS</v>
      </c>
      <c r="J2536" s="91">
        <v>600</v>
      </c>
      <c r="K2536" s="91">
        <v>600</v>
      </c>
      <c r="L2536" s="91">
        <v>600</v>
      </c>
      <c r="M2536" s="91">
        <v>600</v>
      </c>
      <c r="N2536" s="91">
        <v>600</v>
      </c>
      <c r="O2536" s="91">
        <v>600</v>
      </c>
      <c r="P2536" s="91">
        <v>600</v>
      </c>
      <c r="Q2536" s="91">
        <v>600</v>
      </c>
      <c r="R2536" s="91">
        <v>600</v>
      </c>
      <c r="S2536" s="91">
        <v>600</v>
      </c>
      <c r="T2536" s="91">
        <v>600</v>
      </c>
      <c r="U2536" s="91">
        <v>600</v>
      </c>
      <c r="V2536" s="91">
        <v>600</v>
      </c>
      <c r="W2536" s="91">
        <v>600</v>
      </c>
      <c r="X2536" s="91">
        <v>600</v>
      </c>
      <c r="Y2536" s="91">
        <v>600</v>
      </c>
      <c r="Z2536" s="91">
        <v>600</v>
      </c>
      <c r="AA2536" s="91">
        <v>600</v>
      </c>
      <c r="AB2536" s="91">
        <v>600</v>
      </c>
      <c r="AC2536" s="91">
        <v>600</v>
      </c>
      <c r="AD2536" s="91">
        <v>600</v>
      </c>
      <c r="AE2536" s="91">
        <v>600</v>
      </c>
      <c r="AF2536" s="91">
        <v>600</v>
      </c>
      <c r="AG2536" s="91">
        <v>600</v>
      </c>
      <c r="AH2536" s="91">
        <v>600</v>
      </c>
      <c r="AI2536" s="91">
        <v>600</v>
      </c>
      <c r="AJ2536" s="91">
        <v>600</v>
      </c>
      <c r="AK2536" s="91">
        <v>600</v>
      </c>
      <c r="AL2536" s="91">
        <v>600</v>
      </c>
      <c r="AM2536" s="91">
        <v>600</v>
      </c>
      <c r="AN2536" s="91">
        <v>600</v>
      </c>
      <c r="AO2536" s="91">
        <v>600</v>
      </c>
      <c r="AP2536" s="91">
        <v>600</v>
      </c>
      <c r="AQ2536" s="91">
        <v>600</v>
      </c>
      <c r="AR2536" s="91">
        <v>600</v>
      </c>
      <c r="AS2536" s="91">
        <v>600</v>
      </c>
      <c r="AT2536" s="91">
        <v>600</v>
      </c>
      <c r="AU2536" s="91">
        <v>600</v>
      </c>
      <c r="AV2536" s="91">
        <v>600</v>
      </c>
      <c r="AW2536" s="91">
        <v>600</v>
      </c>
      <c r="AX2536" s="92">
        <v>600</v>
      </c>
    </row>
    <row r="2537" spans="1:50" x14ac:dyDescent="0.25">
      <c r="A2537" s="356"/>
      <c r="B2537" s="359"/>
      <c r="C2537" s="350" t="s">
        <v>14</v>
      </c>
      <c r="D2537" s="2" t="s">
        <v>10</v>
      </c>
      <c r="E2537" s="164" t="str">
        <f>A2505&amp;"/"&amp;B2535&amp;"/"&amp;C2537&amp;"/"&amp;D2537</f>
        <v>Diesel oil fired power plants/Internal combustion engine/CHP/S</v>
      </c>
      <c r="F2537" s="78" t="str">
        <f>A2505</f>
        <v>Diesel oil fired power plants</v>
      </c>
      <c r="G2537" s="78" t="str">
        <f>B2535</f>
        <v>Internal combustion engine</v>
      </c>
      <c r="H2537" s="78" t="str">
        <f>C2537</f>
        <v>CHP</v>
      </c>
      <c r="I2537" s="165" t="str">
        <f t="shared" si="120"/>
        <v>S</v>
      </c>
      <c r="J2537" s="95">
        <v>600</v>
      </c>
      <c r="K2537" s="95">
        <v>600</v>
      </c>
      <c r="L2537" s="95">
        <v>600</v>
      </c>
      <c r="M2537" s="95">
        <v>600</v>
      </c>
      <c r="N2537" s="95">
        <v>600</v>
      </c>
      <c r="O2537" s="95">
        <v>600</v>
      </c>
      <c r="P2537" s="95">
        <v>600</v>
      </c>
      <c r="Q2537" s="95">
        <v>600</v>
      </c>
      <c r="R2537" s="95">
        <v>600</v>
      </c>
      <c r="S2537" s="95">
        <v>600</v>
      </c>
      <c r="T2537" s="95">
        <v>600</v>
      </c>
      <c r="U2537" s="95">
        <v>600</v>
      </c>
      <c r="V2537" s="95">
        <v>600</v>
      </c>
      <c r="W2537" s="95">
        <v>600</v>
      </c>
      <c r="X2537" s="95">
        <v>600</v>
      </c>
      <c r="Y2537" s="95">
        <v>600</v>
      </c>
      <c r="Z2537" s="95">
        <v>600</v>
      </c>
      <c r="AA2537" s="95">
        <v>600</v>
      </c>
      <c r="AB2537" s="95">
        <v>600</v>
      </c>
      <c r="AC2537" s="95">
        <v>600</v>
      </c>
      <c r="AD2537" s="95">
        <v>600</v>
      </c>
      <c r="AE2537" s="95">
        <v>600</v>
      </c>
      <c r="AF2537" s="95">
        <v>600</v>
      </c>
      <c r="AG2537" s="95">
        <v>600</v>
      </c>
      <c r="AH2537" s="95">
        <v>600</v>
      </c>
      <c r="AI2537" s="95">
        <v>600</v>
      </c>
      <c r="AJ2537" s="95">
        <v>600</v>
      </c>
      <c r="AK2537" s="95">
        <v>600</v>
      </c>
      <c r="AL2537" s="95">
        <v>600</v>
      </c>
      <c r="AM2537" s="95">
        <v>600</v>
      </c>
      <c r="AN2537" s="95">
        <v>600</v>
      </c>
      <c r="AO2537" s="95">
        <v>600</v>
      </c>
      <c r="AP2537" s="95">
        <v>600</v>
      </c>
      <c r="AQ2537" s="95">
        <v>600</v>
      </c>
      <c r="AR2537" s="95">
        <v>600</v>
      </c>
      <c r="AS2537" s="95">
        <v>600</v>
      </c>
      <c r="AT2537" s="95">
        <v>600</v>
      </c>
      <c r="AU2537" s="95">
        <v>600</v>
      </c>
      <c r="AV2537" s="95">
        <v>600</v>
      </c>
      <c r="AW2537" s="95">
        <v>600</v>
      </c>
      <c r="AX2537" s="96">
        <v>600</v>
      </c>
    </row>
    <row r="2538" spans="1:50" x14ac:dyDescent="0.25">
      <c r="A2538" s="357"/>
      <c r="B2538" s="362"/>
      <c r="C2538" s="354"/>
      <c r="D2538" s="4" t="s">
        <v>20</v>
      </c>
      <c r="E2538" s="168" t="str">
        <f>A2505&amp;"/"&amp;B2535&amp;"/"&amp;C2537&amp;"/"&amp;D2538</f>
        <v>Diesel oil fired power plants/Internal combustion engine/CHP/XS</v>
      </c>
      <c r="F2538" s="80" t="str">
        <f>A2505</f>
        <v>Diesel oil fired power plants</v>
      </c>
      <c r="G2538" s="80" t="str">
        <f>B2535</f>
        <v>Internal combustion engine</v>
      </c>
      <c r="H2538" s="80" t="str">
        <f>C2537</f>
        <v>CHP</v>
      </c>
      <c r="I2538" s="169" t="str">
        <f t="shared" si="120"/>
        <v>XS</v>
      </c>
      <c r="J2538" s="99">
        <v>480</v>
      </c>
      <c r="K2538" s="99">
        <v>480</v>
      </c>
      <c r="L2538" s="99">
        <v>480</v>
      </c>
      <c r="M2538" s="99">
        <v>480</v>
      </c>
      <c r="N2538" s="99">
        <v>480</v>
      </c>
      <c r="O2538" s="99">
        <v>480</v>
      </c>
      <c r="P2538" s="99">
        <v>480</v>
      </c>
      <c r="Q2538" s="99">
        <v>480</v>
      </c>
      <c r="R2538" s="99">
        <v>480</v>
      </c>
      <c r="S2538" s="99">
        <v>480</v>
      </c>
      <c r="T2538" s="99">
        <v>480</v>
      </c>
      <c r="U2538" s="99">
        <v>480</v>
      </c>
      <c r="V2538" s="99">
        <v>480</v>
      </c>
      <c r="W2538" s="99">
        <v>480</v>
      </c>
      <c r="X2538" s="99">
        <v>480</v>
      </c>
      <c r="Y2538" s="99">
        <v>480</v>
      </c>
      <c r="Z2538" s="99">
        <v>480</v>
      </c>
      <c r="AA2538" s="99">
        <v>480</v>
      </c>
      <c r="AB2538" s="99">
        <v>480</v>
      </c>
      <c r="AC2538" s="99">
        <v>480</v>
      </c>
      <c r="AD2538" s="99">
        <v>480</v>
      </c>
      <c r="AE2538" s="99">
        <v>480</v>
      </c>
      <c r="AF2538" s="99">
        <v>480</v>
      </c>
      <c r="AG2538" s="99">
        <v>480</v>
      </c>
      <c r="AH2538" s="99">
        <v>480</v>
      </c>
      <c r="AI2538" s="99">
        <v>480</v>
      </c>
      <c r="AJ2538" s="99">
        <v>480</v>
      </c>
      <c r="AK2538" s="99">
        <v>480</v>
      </c>
      <c r="AL2538" s="99">
        <v>480</v>
      </c>
      <c r="AM2538" s="99">
        <v>480</v>
      </c>
      <c r="AN2538" s="99">
        <v>480</v>
      </c>
      <c r="AO2538" s="99">
        <v>480</v>
      </c>
      <c r="AP2538" s="99">
        <v>480</v>
      </c>
      <c r="AQ2538" s="99">
        <v>480</v>
      </c>
      <c r="AR2538" s="99">
        <v>480</v>
      </c>
      <c r="AS2538" s="99">
        <v>480</v>
      </c>
      <c r="AT2538" s="99">
        <v>480</v>
      </c>
      <c r="AU2538" s="99">
        <v>480</v>
      </c>
      <c r="AV2538" s="99">
        <v>480</v>
      </c>
      <c r="AW2538" s="99">
        <v>480</v>
      </c>
      <c r="AX2538" s="100">
        <v>480</v>
      </c>
    </row>
    <row r="2539" spans="1:50" x14ac:dyDescent="0.25">
      <c r="A2539" s="355" t="s">
        <v>29</v>
      </c>
      <c r="B2539" s="358" t="s">
        <v>13</v>
      </c>
      <c r="C2539" s="353" t="s">
        <v>6</v>
      </c>
      <c r="D2539" s="3" t="s">
        <v>7</v>
      </c>
      <c r="E2539" s="162" t="str">
        <f>A2539&amp;"/"&amp;B2539&amp;"/"&amp;C2539&amp;"/"&amp;D2539</f>
        <v>Fuel oil fired power plants/Integrated gasification combined cycle/Electricity only/L</v>
      </c>
      <c r="F2539" s="77" t="str">
        <f>A2539</f>
        <v>Fuel oil fired power plants</v>
      </c>
      <c r="G2539" s="77" t="str">
        <f>B2539</f>
        <v>Integrated gasification combined cycle</v>
      </c>
      <c r="H2539" s="77" t="str">
        <f>C2539</f>
        <v>Electricity only</v>
      </c>
      <c r="I2539" s="163" t="str">
        <f t="shared" si="120"/>
        <v>L</v>
      </c>
      <c r="J2539" s="93">
        <v>7600</v>
      </c>
      <c r="K2539" s="93">
        <v>7600</v>
      </c>
      <c r="L2539" s="93">
        <v>7600</v>
      </c>
      <c r="M2539" s="93">
        <v>7600</v>
      </c>
      <c r="N2539" s="93">
        <v>7600</v>
      </c>
      <c r="O2539" s="93">
        <v>7600</v>
      </c>
      <c r="P2539" s="93">
        <v>7600</v>
      </c>
      <c r="Q2539" s="93">
        <v>7600</v>
      </c>
      <c r="R2539" s="93">
        <v>7600</v>
      </c>
      <c r="S2539" s="93">
        <v>7600</v>
      </c>
      <c r="T2539" s="93">
        <v>7600</v>
      </c>
      <c r="U2539" s="93">
        <v>7600</v>
      </c>
      <c r="V2539" s="93">
        <v>7600</v>
      </c>
      <c r="W2539" s="93">
        <v>7600</v>
      </c>
      <c r="X2539" s="93">
        <v>7600</v>
      </c>
      <c r="Y2539" s="93">
        <v>7600</v>
      </c>
      <c r="Z2539" s="93">
        <v>7600</v>
      </c>
      <c r="AA2539" s="93">
        <v>7600</v>
      </c>
      <c r="AB2539" s="93">
        <v>7600</v>
      </c>
      <c r="AC2539" s="93">
        <v>7600</v>
      </c>
      <c r="AD2539" s="93">
        <v>7600</v>
      </c>
      <c r="AE2539" s="93">
        <v>7600</v>
      </c>
      <c r="AF2539" s="93">
        <v>7600</v>
      </c>
      <c r="AG2539" s="93">
        <v>7600</v>
      </c>
      <c r="AH2539" s="93">
        <v>7600</v>
      </c>
      <c r="AI2539" s="93">
        <v>7600</v>
      </c>
      <c r="AJ2539" s="93">
        <v>7600</v>
      </c>
      <c r="AK2539" s="93">
        <v>7600</v>
      </c>
      <c r="AL2539" s="93">
        <v>7600</v>
      </c>
      <c r="AM2539" s="93">
        <v>7600</v>
      </c>
      <c r="AN2539" s="93">
        <v>7600</v>
      </c>
      <c r="AO2539" s="93">
        <v>7600</v>
      </c>
      <c r="AP2539" s="93">
        <v>7600</v>
      </c>
      <c r="AQ2539" s="93">
        <v>7600</v>
      </c>
      <c r="AR2539" s="93">
        <v>7600</v>
      </c>
      <c r="AS2539" s="93">
        <v>7600</v>
      </c>
      <c r="AT2539" s="93">
        <v>7600</v>
      </c>
      <c r="AU2539" s="93">
        <v>7600</v>
      </c>
      <c r="AV2539" s="93">
        <v>7600</v>
      </c>
      <c r="AW2539" s="93">
        <v>7600</v>
      </c>
      <c r="AX2539" s="94">
        <v>7600</v>
      </c>
    </row>
    <row r="2540" spans="1:50" x14ac:dyDescent="0.25">
      <c r="A2540" s="356"/>
      <c r="B2540" s="359"/>
      <c r="C2540" s="360"/>
      <c r="D2540" s="2" t="s">
        <v>8</v>
      </c>
      <c r="E2540" s="160" t="str">
        <f>A2539&amp;"/"&amp;B2539&amp;"/"&amp;C2539&amp;"/"&amp;D2540</f>
        <v>Fuel oil fired power plants/Integrated gasification combined cycle/Electricity only/M</v>
      </c>
      <c r="F2540" s="76" t="str">
        <f>A2539</f>
        <v>Fuel oil fired power plants</v>
      </c>
      <c r="G2540" s="76" t="str">
        <f>B2539</f>
        <v>Integrated gasification combined cycle</v>
      </c>
      <c r="H2540" s="76" t="str">
        <f>C2539</f>
        <v>Electricity only</v>
      </c>
      <c r="I2540" s="161" t="str">
        <f t="shared" si="120"/>
        <v>M</v>
      </c>
      <c r="J2540" s="91">
        <v>7035.8306050943647</v>
      </c>
      <c r="K2540" s="91">
        <v>7035.8306050943647</v>
      </c>
      <c r="L2540" s="91">
        <v>7035.8306050943647</v>
      </c>
      <c r="M2540" s="91">
        <v>7035.8306050943647</v>
      </c>
      <c r="N2540" s="91">
        <v>7035.8306050943647</v>
      </c>
      <c r="O2540" s="91">
        <v>7035.8306050943647</v>
      </c>
      <c r="P2540" s="91">
        <v>7035.8306050943647</v>
      </c>
      <c r="Q2540" s="91">
        <v>7035.8306050943647</v>
      </c>
      <c r="R2540" s="91">
        <v>7035.8306050943647</v>
      </c>
      <c r="S2540" s="91">
        <v>7035.8306050943647</v>
      </c>
      <c r="T2540" s="91">
        <v>7035.8306050943647</v>
      </c>
      <c r="U2540" s="91">
        <v>7035.8306050943647</v>
      </c>
      <c r="V2540" s="91">
        <v>7035.8306050943647</v>
      </c>
      <c r="W2540" s="91">
        <v>7035.8306050943647</v>
      </c>
      <c r="X2540" s="91">
        <v>7035.8306050943647</v>
      </c>
      <c r="Y2540" s="91">
        <v>7035.8306050943647</v>
      </c>
      <c r="Z2540" s="91">
        <v>7035.8306050943647</v>
      </c>
      <c r="AA2540" s="91">
        <v>7035.8306050943647</v>
      </c>
      <c r="AB2540" s="91">
        <v>7035.8306050943647</v>
      </c>
      <c r="AC2540" s="91">
        <v>7035.8306050943647</v>
      </c>
      <c r="AD2540" s="91">
        <v>7035.8306050943647</v>
      </c>
      <c r="AE2540" s="91">
        <v>7035.8306050943647</v>
      </c>
      <c r="AF2540" s="91">
        <v>7035.8306050943647</v>
      </c>
      <c r="AG2540" s="91">
        <v>7035.8306050943647</v>
      </c>
      <c r="AH2540" s="91">
        <v>7035.8306050943647</v>
      </c>
      <c r="AI2540" s="91">
        <v>7035.8306050943647</v>
      </c>
      <c r="AJ2540" s="91">
        <v>7035.8306050943647</v>
      </c>
      <c r="AK2540" s="91">
        <v>7035.8306050943647</v>
      </c>
      <c r="AL2540" s="91">
        <v>7035.8306050943647</v>
      </c>
      <c r="AM2540" s="91">
        <v>7035.8306050943647</v>
      </c>
      <c r="AN2540" s="91">
        <v>7035.8306050943647</v>
      </c>
      <c r="AO2540" s="91">
        <v>7035.8306050943647</v>
      </c>
      <c r="AP2540" s="91">
        <v>7035.8306050943647</v>
      </c>
      <c r="AQ2540" s="91">
        <v>7035.8306050943647</v>
      </c>
      <c r="AR2540" s="91">
        <v>7035.8306050943647</v>
      </c>
      <c r="AS2540" s="91">
        <v>7035.8306050943647</v>
      </c>
      <c r="AT2540" s="91">
        <v>7035.8306050943647</v>
      </c>
      <c r="AU2540" s="91">
        <v>7035.8306050943647</v>
      </c>
      <c r="AV2540" s="91">
        <v>7035.8306050943647</v>
      </c>
      <c r="AW2540" s="91">
        <v>7035.8306050943647</v>
      </c>
      <c r="AX2540" s="92">
        <v>7035.8306050943647</v>
      </c>
    </row>
    <row r="2541" spans="1:50" x14ac:dyDescent="0.25">
      <c r="A2541" s="356"/>
      <c r="B2541" s="359"/>
      <c r="C2541" s="361" t="s">
        <v>14</v>
      </c>
      <c r="D2541" s="58" t="s">
        <v>7</v>
      </c>
      <c r="E2541" s="164" t="str">
        <f>A2539&amp;"/"&amp;B2539&amp;"/"&amp;C2541&amp;"/"&amp;D2541</f>
        <v>Fuel oil fired power plants/Integrated gasification combined cycle/CHP/L</v>
      </c>
      <c r="F2541" s="78" t="str">
        <f>A2539</f>
        <v>Fuel oil fired power plants</v>
      </c>
      <c r="G2541" s="78" t="str">
        <f>B2539</f>
        <v>Integrated gasification combined cycle</v>
      </c>
      <c r="H2541" s="78" t="str">
        <f>C2541</f>
        <v>CHP</v>
      </c>
      <c r="I2541" s="165" t="str">
        <f t="shared" si="120"/>
        <v>L</v>
      </c>
      <c r="J2541" s="95">
        <v>7600</v>
      </c>
      <c r="K2541" s="95">
        <v>7600</v>
      </c>
      <c r="L2541" s="95">
        <v>7600</v>
      </c>
      <c r="M2541" s="95">
        <v>7600</v>
      </c>
      <c r="N2541" s="95">
        <v>7600</v>
      </c>
      <c r="O2541" s="95">
        <v>7600</v>
      </c>
      <c r="P2541" s="95">
        <v>7600</v>
      </c>
      <c r="Q2541" s="95">
        <v>7600</v>
      </c>
      <c r="R2541" s="95">
        <v>7600</v>
      </c>
      <c r="S2541" s="95">
        <v>7600</v>
      </c>
      <c r="T2541" s="95">
        <v>7600</v>
      </c>
      <c r="U2541" s="95">
        <v>7600</v>
      </c>
      <c r="V2541" s="95">
        <v>7600</v>
      </c>
      <c r="W2541" s="95">
        <v>7600</v>
      </c>
      <c r="X2541" s="95">
        <v>7600</v>
      </c>
      <c r="Y2541" s="95">
        <v>7600</v>
      </c>
      <c r="Z2541" s="95">
        <v>7600</v>
      </c>
      <c r="AA2541" s="95">
        <v>7600</v>
      </c>
      <c r="AB2541" s="95">
        <v>7600</v>
      </c>
      <c r="AC2541" s="95">
        <v>7600</v>
      </c>
      <c r="AD2541" s="95">
        <v>7600</v>
      </c>
      <c r="AE2541" s="95">
        <v>7600</v>
      </c>
      <c r="AF2541" s="95">
        <v>7600</v>
      </c>
      <c r="AG2541" s="95">
        <v>7600</v>
      </c>
      <c r="AH2541" s="95">
        <v>7600</v>
      </c>
      <c r="AI2541" s="95">
        <v>7600</v>
      </c>
      <c r="AJ2541" s="95">
        <v>7600</v>
      </c>
      <c r="AK2541" s="95">
        <v>7600</v>
      </c>
      <c r="AL2541" s="95">
        <v>7600</v>
      </c>
      <c r="AM2541" s="95">
        <v>7600</v>
      </c>
      <c r="AN2541" s="95">
        <v>7600</v>
      </c>
      <c r="AO2541" s="95">
        <v>7600</v>
      </c>
      <c r="AP2541" s="95">
        <v>7600</v>
      </c>
      <c r="AQ2541" s="95">
        <v>7600</v>
      </c>
      <c r="AR2541" s="95">
        <v>7600</v>
      </c>
      <c r="AS2541" s="95">
        <v>7600</v>
      </c>
      <c r="AT2541" s="95">
        <v>7600</v>
      </c>
      <c r="AU2541" s="95">
        <v>7600</v>
      </c>
      <c r="AV2541" s="95">
        <v>7600</v>
      </c>
      <c r="AW2541" s="95">
        <v>7600</v>
      </c>
      <c r="AX2541" s="96">
        <v>7600</v>
      </c>
    </row>
    <row r="2542" spans="1:50" x14ac:dyDescent="0.25">
      <c r="A2542" s="356"/>
      <c r="B2542" s="359"/>
      <c r="C2542" s="360"/>
      <c r="D2542" s="59" t="s">
        <v>8</v>
      </c>
      <c r="E2542" s="166" t="str">
        <f>A2539&amp;"/"&amp;B2539&amp;"/"&amp;C2541&amp;"/"&amp;D2542</f>
        <v>Fuel oil fired power plants/Integrated gasification combined cycle/CHP/M</v>
      </c>
      <c r="F2542" s="79" t="str">
        <f>A2539</f>
        <v>Fuel oil fired power plants</v>
      </c>
      <c r="G2542" s="79" t="str">
        <f>B2539</f>
        <v>Integrated gasification combined cycle</v>
      </c>
      <c r="H2542" s="79" t="str">
        <f>C2541</f>
        <v>CHP</v>
      </c>
      <c r="I2542" s="167" t="str">
        <f t="shared" si="120"/>
        <v>M</v>
      </c>
      <c r="J2542" s="97">
        <v>6861.8914310005002</v>
      </c>
      <c r="K2542" s="97">
        <v>6861.8914310005002</v>
      </c>
      <c r="L2542" s="97">
        <v>6861.8914310005002</v>
      </c>
      <c r="M2542" s="97">
        <v>6861.8914310005002</v>
      </c>
      <c r="N2542" s="97">
        <v>6861.8914310005002</v>
      </c>
      <c r="O2542" s="97">
        <v>6861.8914310005002</v>
      </c>
      <c r="P2542" s="97">
        <v>6861.8914310005002</v>
      </c>
      <c r="Q2542" s="97">
        <v>6861.8914310005002</v>
      </c>
      <c r="R2542" s="97">
        <v>6861.8914310005002</v>
      </c>
      <c r="S2542" s="97">
        <v>6861.8914310005002</v>
      </c>
      <c r="T2542" s="97">
        <v>6861.8914310005002</v>
      </c>
      <c r="U2542" s="97">
        <v>6861.8914310005002</v>
      </c>
      <c r="V2542" s="97">
        <v>6861.8914310005002</v>
      </c>
      <c r="W2542" s="97">
        <v>6861.8914310005002</v>
      </c>
      <c r="X2542" s="97">
        <v>6861.8914310005002</v>
      </c>
      <c r="Y2542" s="97">
        <v>6861.8914310005002</v>
      </c>
      <c r="Z2542" s="97">
        <v>6861.8914310005002</v>
      </c>
      <c r="AA2542" s="97">
        <v>6861.8914310005002</v>
      </c>
      <c r="AB2542" s="97">
        <v>6861.8914310005002</v>
      </c>
      <c r="AC2542" s="97">
        <v>6861.8914310005002</v>
      </c>
      <c r="AD2542" s="97">
        <v>6861.8914310005002</v>
      </c>
      <c r="AE2542" s="97">
        <v>6861.8914310005002</v>
      </c>
      <c r="AF2542" s="97">
        <v>6861.8914310005002</v>
      </c>
      <c r="AG2542" s="97">
        <v>6861.8914310005002</v>
      </c>
      <c r="AH2542" s="97">
        <v>6861.8914310005002</v>
      </c>
      <c r="AI2542" s="97">
        <v>6861.8914310005002</v>
      </c>
      <c r="AJ2542" s="97">
        <v>6861.8914310005002</v>
      </c>
      <c r="AK2542" s="97">
        <v>6861.8914310005002</v>
      </c>
      <c r="AL2542" s="97">
        <v>6861.8914310005002</v>
      </c>
      <c r="AM2542" s="97">
        <v>6861.8914310005002</v>
      </c>
      <c r="AN2542" s="97">
        <v>6861.8914310005002</v>
      </c>
      <c r="AO2542" s="97">
        <v>6861.8914310005002</v>
      </c>
      <c r="AP2542" s="97">
        <v>6861.8914310005002</v>
      </c>
      <c r="AQ2542" s="97">
        <v>6861.8914310005002</v>
      </c>
      <c r="AR2542" s="97">
        <v>6861.8914310005002</v>
      </c>
      <c r="AS2542" s="97">
        <v>6861.8914310005002</v>
      </c>
      <c r="AT2542" s="97">
        <v>6861.8914310005002</v>
      </c>
      <c r="AU2542" s="97">
        <v>6861.8914310005002</v>
      </c>
      <c r="AV2542" s="97">
        <v>6861.8914310005002</v>
      </c>
      <c r="AW2542" s="97">
        <v>6861.8914310005002</v>
      </c>
      <c r="AX2542" s="98">
        <v>6861.8914310005002</v>
      </c>
    </row>
    <row r="2543" spans="1:50" x14ac:dyDescent="0.25">
      <c r="A2543" s="356"/>
      <c r="B2543" s="359"/>
      <c r="C2543" s="361" t="s">
        <v>15</v>
      </c>
      <c r="D2543" s="58" t="s">
        <v>7</v>
      </c>
      <c r="E2543" s="164" t="str">
        <f>A2539&amp;"/"&amp;B2539&amp;"/"&amp;C2543&amp;"/"&amp;D2543</f>
        <v>Fuel oil fired power plants/Integrated gasification combined cycle/Electricity only with CCS/L</v>
      </c>
      <c r="F2543" s="78" t="str">
        <f>A2539</f>
        <v>Fuel oil fired power plants</v>
      </c>
      <c r="G2543" s="78" t="str">
        <f>B2539</f>
        <v>Integrated gasification combined cycle</v>
      </c>
      <c r="H2543" s="78" t="str">
        <f>C2543</f>
        <v>Electricity only with CCS</v>
      </c>
      <c r="I2543" s="165" t="str">
        <f t="shared" si="120"/>
        <v>L</v>
      </c>
      <c r="J2543" s="95" t="s">
        <v>112</v>
      </c>
      <c r="K2543" s="95" t="s">
        <v>112</v>
      </c>
      <c r="L2543" s="95" t="s">
        <v>112</v>
      </c>
      <c r="M2543" s="95" t="s">
        <v>112</v>
      </c>
      <c r="N2543" s="95" t="s">
        <v>112</v>
      </c>
      <c r="O2543" s="95" t="s">
        <v>112</v>
      </c>
      <c r="P2543" s="95" t="s">
        <v>112</v>
      </c>
      <c r="Q2543" s="95" t="s">
        <v>112</v>
      </c>
      <c r="R2543" s="95" t="s">
        <v>112</v>
      </c>
      <c r="S2543" s="95" t="s">
        <v>112</v>
      </c>
      <c r="T2543" s="95" t="s">
        <v>112</v>
      </c>
      <c r="U2543" s="95" t="s">
        <v>112</v>
      </c>
      <c r="V2543" s="95" t="s">
        <v>112</v>
      </c>
      <c r="W2543" s="95" t="s">
        <v>112</v>
      </c>
      <c r="X2543" s="95" t="s">
        <v>112</v>
      </c>
      <c r="Y2543" s="95" t="s">
        <v>112</v>
      </c>
      <c r="Z2543" s="95" t="s">
        <v>112</v>
      </c>
      <c r="AA2543" s="95" t="s">
        <v>112</v>
      </c>
      <c r="AB2543" s="95" t="s">
        <v>112</v>
      </c>
      <c r="AC2543" s="95" t="s">
        <v>112</v>
      </c>
      <c r="AD2543" s="95" t="s">
        <v>112</v>
      </c>
      <c r="AE2543" s="95">
        <v>7600</v>
      </c>
      <c r="AF2543" s="95">
        <v>7600</v>
      </c>
      <c r="AG2543" s="95">
        <v>7600</v>
      </c>
      <c r="AH2543" s="95">
        <v>7600</v>
      </c>
      <c r="AI2543" s="95">
        <v>7600</v>
      </c>
      <c r="AJ2543" s="95">
        <v>7600</v>
      </c>
      <c r="AK2543" s="95">
        <v>7600</v>
      </c>
      <c r="AL2543" s="95">
        <v>7600</v>
      </c>
      <c r="AM2543" s="95">
        <v>7600</v>
      </c>
      <c r="AN2543" s="95">
        <v>7600</v>
      </c>
      <c r="AO2543" s="95">
        <v>7600</v>
      </c>
      <c r="AP2543" s="95">
        <v>7600</v>
      </c>
      <c r="AQ2543" s="95">
        <v>7600</v>
      </c>
      <c r="AR2543" s="95">
        <v>7600</v>
      </c>
      <c r="AS2543" s="95">
        <v>7600</v>
      </c>
      <c r="AT2543" s="95">
        <v>7600</v>
      </c>
      <c r="AU2543" s="95">
        <v>7600</v>
      </c>
      <c r="AV2543" s="95">
        <v>7600</v>
      </c>
      <c r="AW2543" s="95">
        <v>7600</v>
      </c>
      <c r="AX2543" s="96">
        <v>7600</v>
      </c>
    </row>
    <row r="2544" spans="1:50" x14ac:dyDescent="0.25">
      <c r="A2544" s="356"/>
      <c r="B2544" s="359"/>
      <c r="C2544" s="360"/>
      <c r="D2544" s="59" t="s">
        <v>8</v>
      </c>
      <c r="E2544" s="166" t="str">
        <f>A2539&amp;"/"&amp;B2539&amp;"/"&amp;C2543&amp;"/"&amp;D2544</f>
        <v>Fuel oil fired power plants/Integrated gasification combined cycle/Electricity only with CCS/M</v>
      </c>
      <c r="F2544" s="79" t="str">
        <f>A2539</f>
        <v>Fuel oil fired power plants</v>
      </c>
      <c r="G2544" s="79" t="str">
        <f>B2539</f>
        <v>Integrated gasification combined cycle</v>
      </c>
      <c r="H2544" s="79" t="str">
        <f>C2543</f>
        <v>Electricity only with CCS</v>
      </c>
      <c r="I2544" s="167" t="str">
        <f t="shared" si="120"/>
        <v>M</v>
      </c>
      <c r="J2544" s="97" t="s">
        <v>112</v>
      </c>
      <c r="K2544" s="97" t="s">
        <v>112</v>
      </c>
      <c r="L2544" s="97" t="s">
        <v>112</v>
      </c>
      <c r="M2544" s="97" t="s">
        <v>112</v>
      </c>
      <c r="N2544" s="97" t="s">
        <v>112</v>
      </c>
      <c r="O2544" s="97" t="s">
        <v>112</v>
      </c>
      <c r="P2544" s="97" t="s">
        <v>112</v>
      </c>
      <c r="Q2544" s="97" t="s">
        <v>112</v>
      </c>
      <c r="R2544" s="97" t="s">
        <v>112</v>
      </c>
      <c r="S2544" s="97" t="s">
        <v>112</v>
      </c>
      <c r="T2544" s="97" t="s">
        <v>112</v>
      </c>
      <c r="U2544" s="97" t="s">
        <v>112</v>
      </c>
      <c r="V2544" s="97" t="s">
        <v>112</v>
      </c>
      <c r="W2544" s="97" t="s">
        <v>112</v>
      </c>
      <c r="X2544" s="97" t="s">
        <v>112</v>
      </c>
      <c r="Y2544" s="97" t="s">
        <v>112</v>
      </c>
      <c r="Z2544" s="97" t="s">
        <v>112</v>
      </c>
      <c r="AA2544" s="97" t="s">
        <v>112</v>
      </c>
      <c r="AB2544" s="97" t="s">
        <v>112</v>
      </c>
      <c r="AC2544" s="97" t="s">
        <v>112</v>
      </c>
      <c r="AD2544" s="97" t="s">
        <v>112</v>
      </c>
      <c r="AE2544" s="97">
        <v>7035.8306050943647</v>
      </c>
      <c r="AF2544" s="97">
        <v>7035.8306050943647</v>
      </c>
      <c r="AG2544" s="97">
        <v>7035.8306050943647</v>
      </c>
      <c r="AH2544" s="97">
        <v>7035.8306050943647</v>
      </c>
      <c r="AI2544" s="97">
        <v>7035.8306050943647</v>
      </c>
      <c r="AJ2544" s="97">
        <v>7035.8306050943647</v>
      </c>
      <c r="AK2544" s="97">
        <v>7035.8306050943647</v>
      </c>
      <c r="AL2544" s="97">
        <v>7035.8306050943647</v>
      </c>
      <c r="AM2544" s="97">
        <v>7035.8306050943647</v>
      </c>
      <c r="AN2544" s="97">
        <v>7035.8306050943647</v>
      </c>
      <c r="AO2544" s="97">
        <v>7035.8306050943647</v>
      </c>
      <c r="AP2544" s="97">
        <v>7035.8306050943647</v>
      </c>
      <c r="AQ2544" s="97">
        <v>7035.8306050943647</v>
      </c>
      <c r="AR2544" s="97">
        <v>7035.8306050943647</v>
      </c>
      <c r="AS2544" s="97">
        <v>7035.8306050943647</v>
      </c>
      <c r="AT2544" s="97">
        <v>7035.8306050943647</v>
      </c>
      <c r="AU2544" s="97">
        <v>7035.8306050943647</v>
      </c>
      <c r="AV2544" s="97">
        <v>7035.8306050943647</v>
      </c>
      <c r="AW2544" s="97">
        <v>7035.8306050943647</v>
      </c>
      <c r="AX2544" s="98">
        <v>7035.8306050943647</v>
      </c>
    </row>
    <row r="2545" spans="1:50" x14ac:dyDescent="0.25">
      <c r="A2545" s="356"/>
      <c r="B2545" s="359"/>
      <c r="C2545" s="361" t="s">
        <v>16</v>
      </c>
      <c r="D2545" s="2" t="s">
        <v>7</v>
      </c>
      <c r="E2545" s="160" t="str">
        <f>A2539&amp;"/"&amp;B2539&amp;"/"&amp;C2545&amp;"/"&amp;D2545</f>
        <v>Fuel oil fired power plants/Integrated gasification combined cycle/CHP with CCS/L</v>
      </c>
      <c r="F2545" s="76" t="str">
        <f>A2539</f>
        <v>Fuel oil fired power plants</v>
      </c>
      <c r="G2545" s="76" t="str">
        <f>B2539</f>
        <v>Integrated gasification combined cycle</v>
      </c>
      <c r="H2545" s="76" t="str">
        <f>C2545</f>
        <v>CHP with CCS</v>
      </c>
      <c r="I2545" s="161" t="str">
        <f t="shared" si="120"/>
        <v>L</v>
      </c>
      <c r="J2545" s="91" t="s">
        <v>112</v>
      </c>
      <c r="K2545" s="91" t="s">
        <v>112</v>
      </c>
      <c r="L2545" s="91" t="s">
        <v>112</v>
      </c>
      <c r="M2545" s="91" t="s">
        <v>112</v>
      </c>
      <c r="N2545" s="91" t="s">
        <v>112</v>
      </c>
      <c r="O2545" s="91" t="s">
        <v>112</v>
      </c>
      <c r="P2545" s="91" t="s">
        <v>112</v>
      </c>
      <c r="Q2545" s="91" t="s">
        <v>112</v>
      </c>
      <c r="R2545" s="91" t="s">
        <v>112</v>
      </c>
      <c r="S2545" s="91" t="s">
        <v>112</v>
      </c>
      <c r="T2545" s="91" t="s">
        <v>112</v>
      </c>
      <c r="U2545" s="91" t="s">
        <v>112</v>
      </c>
      <c r="V2545" s="91" t="s">
        <v>112</v>
      </c>
      <c r="W2545" s="91" t="s">
        <v>112</v>
      </c>
      <c r="X2545" s="91" t="s">
        <v>112</v>
      </c>
      <c r="Y2545" s="91" t="s">
        <v>112</v>
      </c>
      <c r="Z2545" s="91" t="s">
        <v>112</v>
      </c>
      <c r="AA2545" s="91" t="s">
        <v>112</v>
      </c>
      <c r="AB2545" s="91" t="s">
        <v>112</v>
      </c>
      <c r="AC2545" s="91" t="s">
        <v>112</v>
      </c>
      <c r="AD2545" s="91" t="s">
        <v>112</v>
      </c>
      <c r="AE2545" s="91">
        <v>7600</v>
      </c>
      <c r="AF2545" s="91">
        <v>7600</v>
      </c>
      <c r="AG2545" s="91">
        <v>7600</v>
      </c>
      <c r="AH2545" s="91">
        <v>7600</v>
      </c>
      <c r="AI2545" s="91">
        <v>7600</v>
      </c>
      <c r="AJ2545" s="91">
        <v>7600</v>
      </c>
      <c r="AK2545" s="91">
        <v>7600</v>
      </c>
      <c r="AL2545" s="91">
        <v>7600</v>
      </c>
      <c r="AM2545" s="91">
        <v>7600</v>
      </c>
      <c r="AN2545" s="91">
        <v>7600</v>
      </c>
      <c r="AO2545" s="91">
        <v>7600</v>
      </c>
      <c r="AP2545" s="91">
        <v>7600</v>
      </c>
      <c r="AQ2545" s="91">
        <v>7600</v>
      </c>
      <c r="AR2545" s="91">
        <v>7600</v>
      </c>
      <c r="AS2545" s="91">
        <v>7600</v>
      </c>
      <c r="AT2545" s="91">
        <v>7600</v>
      </c>
      <c r="AU2545" s="91">
        <v>7600</v>
      </c>
      <c r="AV2545" s="91">
        <v>7600</v>
      </c>
      <c r="AW2545" s="91">
        <v>7600</v>
      </c>
      <c r="AX2545" s="92">
        <v>7600</v>
      </c>
    </row>
    <row r="2546" spans="1:50" x14ac:dyDescent="0.25">
      <c r="A2546" s="356"/>
      <c r="B2546" s="362"/>
      <c r="C2546" s="354"/>
      <c r="D2546" s="4" t="s">
        <v>8</v>
      </c>
      <c r="E2546" s="168" t="str">
        <f>A2539&amp;"/"&amp;B2539&amp;"/"&amp;C2545&amp;"/"&amp;D2546</f>
        <v>Fuel oil fired power plants/Integrated gasification combined cycle/CHP with CCS/M</v>
      </c>
      <c r="F2546" s="80" t="str">
        <f>A2539</f>
        <v>Fuel oil fired power plants</v>
      </c>
      <c r="G2546" s="80" t="str">
        <f>B2539</f>
        <v>Integrated gasification combined cycle</v>
      </c>
      <c r="H2546" s="80" t="str">
        <f>C2545</f>
        <v>CHP with CCS</v>
      </c>
      <c r="I2546" s="169" t="str">
        <f t="shared" si="120"/>
        <v>M</v>
      </c>
      <c r="J2546" s="99" t="s">
        <v>112</v>
      </c>
      <c r="K2546" s="99" t="s">
        <v>112</v>
      </c>
      <c r="L2546" s="99" t="s">
        <v>112</v>
      </c>
      <c r="M2546" s="99" t="s">
        <v>112</v>
      </c>
      <c r="N2546" s="99" t="s">
        <v>112</v>
      </c>
      <c r="O2546" s="99" t="s">
        <v>112</v>
      </c>
      <c r="P2546" s="99" t="s">
        <v>112</v>
      </c>
      <c r="Q2546" s="99" t="s">
        <v>112</v>
      </c>
      <c r="R2546" s="99" t="s">
        <v>112</v>
      </c>
      <c r="S2546" s="99" t="s">
        <v>112</v>
      </c>
      <c r="T2546" s="99" t="s">
        <v>112</v>
      </c>
      <c r="U2546" s="99" t="s">
        <v>112</v>
      </c>
      <c r="V2546" s="99" t="s">
        <v>112</v>
      </c>
      <c r="W2546" s="99" t="s">
        <v>112</v>
      </c>
      <c r="X2546" s="99" t="s">
        <v>112</v>
      </c>
      <c r="Y2546" s="99" t="s">
        <v>112</v>
      </c>
      <c r="Z2546" s="99" t="s">
        <v>112</v>
      </c>
      <c r="AA2546" s="99" t="s">
        <v>112</v>
      </c>
      <c r="AB2546" s="99" t="s">
        <v>112</v>
      </c>
      <c r="AC2546" s="99" t="s">
        <v>112</v>
      </c>
      <c r="AD2546" s="99" t="s">
        <v>112</v>
      </c>
      <c r="AE2546" s="99">
        <v>6861.8914310005002</v>
      </c>
      <c r="AF2546" s="99">
        <v>6861.8914310005002</v>
      </c>
      <c r="AG2546" s="99">
        <v>6861.8914310005002</v>
      </c>
      <c r="AH2546" s="99">
        <v>6861.8914310005002</v>
      </c>
      <c r="AI2546" s="99">
        <v>6861.8914310005002</v>
      </c>
      <c r="AJ2546" s="99">
        <v>6861.8914310005002</v>
      </c>
      <c r="AK2546" s="99">
        <v>6861.8914310005002</v>
      </c>
      <c r="AL2546" s="99">
        <v>6861.8914310005002</v>
      </c>
      <c r="AM2546" s="99">
        <v>6861.8914310005002</v>
      </c>
      <c r="AN2546" s="99">
        <v>6861.8914310005002</v>
      </c>
      <c r="AO2546" s="99">
        <v>6861.8914310005002</v>
      </c>
      <c r="AP2546" s="99">
        <v>6861.8914310005002</v>
      </c>
      <c r="AQ2546" s="99">
        <v>6861.8914310005002</v>
      </c>
      <c r="AR2546" s="99">
        <v>6861.8914310005002</v>
      </c>
      <c r="AS2546" s="99">
        <v>6861.8914310005002</v>
      </c>
      <c r="AT2546" s="99">
        <v>6861.8914310005002</v>
      </c>
      <c r="AU2546" s="99">
        <v>6861.8914310005002</v>
      </c>
      <c r="AV2546" s="99">
        <v>6861.8914310005002</v>
      </c>
      <c r="AW2546" s="99">
        <v>6861.8914310005002</v>
      </c>
      <c r="AX2546" s="100">
        <v>6861.8914310005002</v>
      </c>
    </row>
    <row r="2547" spans="1:50" x14ac:dyDescent="0.25">
      <c r="A2547" s="356"/>
      <c r="B2547" s="358" t="s">
        <v>17</v>
      </c>
      <c r="C2547" s="353" t="s">
        <v>6</v>
      </c>
      <c r="D2547" s="3" t="s">
        <v>7</v>
      </c>
      <c r="E2547" s="162" t="str">
        <f>A2539&amp;"/"&amp;B2547&amp;"/"&amp;C2547&amp;"/"&amp;D2547</f>
        <v>Fuel oil fired power plants/Supercritical steam turbine/Electricity only/L</v>
      </c>
      <c r="F2547" s="77" t="str">
        <f>A2539</f>
        <v>Fuel oil fired power plants</v>
      </c>
      <c r="G2547" s="77" t="str">
        <f>B2547</f>
        <v>Supercritical steam turbine</v>
      </c>
      <c r="H2547" s="77" t="str">
        <f>C2547</f>
        <v>Electricity only</v>
      </c>
      <c r="I2547" s="163" t="str">
        <f t="shared" si="120"/>
        <v>L</v>
      </c>
      <c r="J2547" s="93">
        <v>7700</v>
      </c>
      <c r="K2547" s="93">
        <v>7700</v>
      </c>
      <c r="L2547" s="93">
        <v>7700</v>
      </c>
      <c r="M2547" s="93">
        <v>7700</v>
      </c>
      <c r="N2547" s="93">
        <v>7700</v>
      </c>
      <c r="O2547" s="93">
        <v>7700</v>
      </c>
      <c r="P2547" s="93">
        <v>7700</v>
      </c>
      <c r="Q2547" s="93">
        <v>7700</v>
      </c>
      <c r="R2547" s="93">
        <v>7700</v>
      </c>
      <c r="S2547" s="93">
        <v>7700</v>
      </c>
      <c r="T2547" s="93">
        <v>7700</v>
      </c>
      <c r="U2547" s="93">
        <v>7700</v>
      </c>
      <c r="V2547" s="93">
        <v>7700</v>
      </c>
      <c r="W2547" s="93">
        <v>7700</v>
      </c>
      <c r="X2547" s="93">
        <v>7700</v>
      </c>
      <c r="Y2547" s="93">
        <v>7700</v>
      </c>
      <c r="Z2547" s="93">
        <v>7700</v>
      </c>
      <c r="AA2547" s="93">
        <v>7700</v>
      </c>
      <c r="AB2547" s="93">
        <v>7700</v>
      </c>
      <c r="AC2547" s="93">
        <v>7700</v>
      </c>
      <c r="AD2547" s="93">
        <v>7700</v>
      </c>
      <c r="AE2547" s="93">
        <v>7700</v>
      </c>
      <c r="AF2547" s="93">
        <v>7700</v>
      </c>
      <c r="AG2547" s="93">
        <v>7700</v>
      </c>
      <c r="AH2547" s="93">
        <v>7700</v>
      </c>
      <c r="AI2547" s="93">
        <v>7700</v>
      </c>
      <c r="AJ2547" s="93">
        <v>7700</v>
      </c>
      <c r="AK2547" s="93">
        <v>7700</v>
      </c>
      <c r="AL2547" s="93">
        <v>7700</v>
      </c>
      <c r="AM2547" s="93">
        <v>7700</v>
      </c>
      <c r="AN2547" s="93">
        <v>7700</v>
      </c>
      <c r="AO2547" s="93">
        <v>7700</v>
      </c>
      <c r="AP2547" s="93">
        <v>7700</v>
      </c>
      <c r="AQ2547" s="93">
        <v>7700</v>
      </c>
      <c r="AR2547" s="93">
        <v>7700</v>
      </c>
      <c r="AS2547" s="93">
        <v>7700</v>
      </c>
      <c r="AT2547" s="93">
        <v>7700</v>
      </c>
      <c r="AU2547" s="93">
        <v>7700</v>
      </c>
      <c r="AV2547" s="93">
        <v>7700</v>
      </c>
      <c r="AW2547" s="93">
        <v>7700</v>
      </c>
      <c r="AX2547" s="94">
        <v>7700</v>
      </c>
    </row>
    <row r="2548" spans="1:50" x14ac:dyDescent="0.25">
      <c r="A2548" s="356"/>
      <c r="B2548" s="359"/>
      <c r="C2548" s="360"/>
      <c r="D2548" s="2" t="s">
        <v>8</v>
      </c>
      <c r="E2548" s="160" t="str">
        <f>A2539&amp;"/"&amp;B2547&amp;"/"&amp;C2547&amp;"/"&amp;D2548</f>
        <v>Fuel oil fired power plants/Supercritical steam turbine/Electricity only/M</v>
      </c>
      <c r="F2548" s="76" t="str">
        <f>A2539</f>
        <v>Fuel oil fired power plants</v>
      </c>
      <c r="G2548" s="76" t="str">
        <f>B2547</f>
        <v>Supercritical steam turbine</v>
      </c>
      <c r="H2548" s="76" t="str">
        <f>C2547</f>
        <v>Electricity only</v>
      </c>
      <c r="I2548" s="161" t="str">
        <f t="shared" si="120"/>
        <v>M</v>
      </c>
      <c r="J2548" s="91">
        <v>7210.3645768711558</v>
      </c>
      <c r="K2548" s="91">
        <v>7210.3645768711558</v>
      </c>
      <c r="L2548" s="91">
        <v>7210.3645768711558</v>
      </c>
      <c r="M2548" s="91">
        <v>7210.3645768711558</v>
      </c>
      <c r="N2548" s="91">
        <v>7210.3645768711558</v>
      </c>
      <c r="O2548" s="91">
        <v>7210.3645768711558</v>
      </c>
      <c r="P2548" s="91">
        <v>7210.3645768711558</v>
      </c>
      <c r="Q2548" s="91">
        <v>7210.3645768711558</v>
      </c>
      <c r="R2548" s="91">
        <v>7210.3645768711558</v>
      </c>
      <c r="S2548" s="91">
        <v>7210.3645768711558</v>
      </c>
      <c r="T2548" s="91">
        <v>7210.3645768711558</v>
      </c>
      <c r="U2548" s="91">
        <v>7210.3645768711558</v>
      </c>
      <c r="V2548" s="91">
        <v>7210.3645768711558</v>
      </c>
      <c r="W2548" s="91">
        <v>7210.3645768711558</v>
      </c>
      <c r="X2548" s="91">
        <v>7210.3645768711558</v>
      </c>
      <c r="Y2548" s="91">
        <v>7210.3645768711558</v>
      </c>
      <c r="Z2548" s="91">
        <v>7210.3645768711558</v>
      </c>
      <c r="AA2548" s="91">
        <v>7210.3645768711558</v>
      </c>
      <c r="AB2548" s="91">
        <v>7210.3645768711558</v>
      </c>
      <c r="AC2548" s="91">
        <v>7210.3645768711558</v>
      </c>
      <c r="AD2548" s="91">
        <v>7210.3645768711558</v>
      </c>
      <c r="AE2548" s="91">
        <v>7210.3645768711558</v>
      </c>
      <c r="AF2548" s="91">
        <v>7210.3645768711558</v>
      </c>
      <c r="AG2548" s="91">
        <v>7210.3645768711558</v>
      </c>
      <c r="AH2548" s="91">
        <v>7210.3645768711558</v>
      </c>
      <c r="AI2548" s="91">
        <v>7210.3645768711558</v>
      </c>
      <c r="AJ2548" s="91">
        <v>7210.3645768711558</v>
      </c>
      <c r="AK2548" s="91">
        <v>7210.3645768711558</v>
      </c>
      <c r="AL2548" s="91">
        <v>7210.3645768711558</v>
      </c>
      <c r="AM2548" s="91">
        <v>7210.3645768711558</v>
      </c>
      <c r="AN2548" s="91">
        <v>7210.3645768711558</v>
      </c>
      <c r="AO2548" s="91">
        <v>7210.3645768711558</v>
      </c>
      <c r="AP2548" s="91">
        <v>7210.3645768711558</v>
      </c>
      <c r="AQ2548" s="91">
        <v>7210.3645768711558</v>
      </c>
      <c r="AR2548" s="91">
        <v>7210.3645768711558</v>
      </c>
      <c r="AS2548" s="91">
        <v>7210.3645768711558</v>
      </c>
      <c r="AT2548" s="91">
        <v>7210.3645768711558</v>
      </c>
      <c r="AU2548" s="91">
        <v>7210.3645768711558</v>
      </c>
      <c r="AV2548" s="91">
        <v>7210.3645768711558</v>
      </c>
      <c r="AW2548" s="91">
        <v>7210.3645768711558</v>
      </c>
      <c r="AX2548" s="92">
        <v>7210.3645768711558</v>
      </c>
    </row>
    <row r="2549" spans="1:50" x14ac:dyDescent="0.25">
      <c r="A2549" s="356"/>
      <c r="B2549" s="359"/>
      <c r="C2549" s="361" t="s">
        <v>14</v>
      </c>
      <c r="D2549" s="58" t="s">
        <v>7</v>
      </c>
      <c r="E2549" s="164" t="str">
        <f>A2539&amp;"/"&amp;B2547&amp;"/"&amp;C2549&amp;"/"&amp;D2549</f>
        <v>Fuel oil fired power plants/Supercritical steam turbine/CHP/L</v>
      </c>
      <c r="F2549" s="78" t="str">
        <f>A2539</f>
        <v>Fuel oil fired power plants</v>
      </c>
      <c r="G2549" s="78" t="str">
        <f>B2547</f>
        <v>Supercritical steam turbine</v>
      </c>
      <c r="H2549" s="78" t="str">
        <f>C2549</f>
        <v>CHP</v>
      </c>
      <c r="I2549" s="165" t="str">
        <f t="shared" si="120"/>
        <v>L</v>
      </c>
      <c r="J2549" s="95">
        <v>7700</v>
      </c>
      <c r="K2549" s="95">
        <v>7700</v>
      </c>
      <c r="L2549" s="95">
        <v>7700</v>
      </c>
      <c r="M2549" s="95">
        <v>7700</v>
      </c>
      <c r="N2549" s="95">
        <v>7700</v>
      </c>
      <c r="O2549" s="95">
        <v>7700</v>
      </c>
      <c r="P2549" s="95">
        <v>7700</v>
      </c>
      <c r="Q2549" s="95">
        <v>7700</v>
      </c>
      <c r="R2549" s="95">
        <v>7700</v>
      </c>
      <c r="S2549" s="95">
        <v>7700</v>
      </c>
      <c r="T2549" s="95">
        <v>7700</v>
      </c>
      <c r="U2549" s="95">
        <v>7700</v>
      </c>
      <c r="V2549" s="95">
        <v>7700</v>
      </c>
      <c r="W2549" s="95">
        <v>7700</v>
      </c>
      <c r="X2549" s="95">
        <v>7700</v>
      </c>
      <c r="Y2549" s="95">
        <v>7700</v>
      </c>
      <c r="Z2549" s="95">
        <v>7700</v>
      </c>
      <c r="AA2549" s="95">
        <v>7700</v>
      </c>
      <c r="AB2549" s="95">
        <v>7700</v>
      </c>
      <c r="AC2549" s="95">
        <v>7700</v>
      </c>
      <c r="AD2549" s="95">
        <v>7700</v>
      </c>
      <c r="AE2549" s="95">
        <v>7700</v>
      </c>
      <c r="AF2549" s="95">
        <v>7700</v>
      </c>
      <c r="AG2549" s="95">
        <v>7700</v>
      </c>
      <c r="AH2549" s="95">
        <v>7700</v>
      </c>
      <c r="AI2549" s="95">
        <v>7700</v>
      </c>
      <c r="AJ2549" s="95">
        <v>7700</v>
      </c>
      <c r="AK2549" s="95">
        <v>7700</v>
      </c>
      <c r="AL2549" s="95">
        <v>7700</v>
      </c>
      <c r="AM2549" s="95">
        <v>7700</v>
      </c>
      <c r="AN2549" s="95">
        <v>7700</v>
      </c>
      <c r="AO2549" s="95">
        <v>7700</v>
      </c>
      <c r="AP2549" s="95">
        <v>7700</v>
      </c>
      <c r="AQ2549" s="95">
        <v>7700</v>
      </c>
      <c r="AR2549" s="95">
        <v>7700</v>
      </c>
      <c r="AS2549" s="95">
        <v>7700</v>
      </c>
      <c r="AT2549" s="95">
        <v>7700</v>
      </c>
      <c r="AU2549" s="95">
        <v>7700</v>
      </c>
      <c r="AV2549" s="95">
        <v>7700</v>
      </c>
      <c r="AW2549" s="95">
        <v>7700</v>
      </c>
      <c r="AX2549" s="96">
        <v>7700</v>
      </c>
    </row>
    <row r="2550" spans="1:50" x14ac:dyDescent="0.25">
      <c r="A2550" s="356"/>
      <c r="B2550" s="359"/>
      <c r="C2550" s="360"/>
      <c r="D2550" s="59" t="s">
        <v>8</v>
      </c>
      <c r="E2550" s="166" t="str">
        <f>A2539&amp;"/"&amp;B2547&amp;"/"&amp;C2549&amp;"/"&amp;D2550</f>
        <v>Fuel oil fired power plants/Supercritical steam turbine/CHP/M</v>
      </c>
      <c r="F2550" s="79" t="str">
        <f>A2539</f>
        <v>Fuel oil fired power plants</v>
      </c>
      <c r="G2550" s="79" t="str">
        <f>B2547</f>
        <v>Supercritical steam turbine</v>
      </c>
      <c r="H2550" s="79" t="str">
        <f>C2549</f>
        <v>CHP</v>
      </c>
      <c r="I2550" s="167" t="str">
        <f t="shared" si="120"/>
        <v>M</v>
      </c>
      <c r="J2550" s="97">
        <v>7220.3512696991111</v>
      </c>
      <c r="K2550" s="97">
        <v>7220.3512696991111</v>
      </c>
      <c r="L2550" s="97">
        <v>7220.3512696991111</v>
      </c>
      <c r="M2550" s="97">
        <v>7220.3512696991111</v>
      </c>
      <c r="N2550" s="97">
        <v>7220.3512696991111</v>
      </c>
      <c r="O2550" s="97">
        <v>7220.3512696991111</v>
      </c>
      <c r="P2550" s="97">
        <v>7220.3512696991111</v>
      </c>
      <c r="Q2550" s="97">
        <v>7220.3512696991111</v>
      </c>
      <c r="R2550" s="97">
        <v>7220.3512696991111</v>
      </c>
      <c r="S2550" s="97">
        <v>7220.3512696991111</v>
      </c>
      <c r="T2550" s="97">
        <v>7220.3512696991111</v>
      </c>
      <c r="U2550" s="97">
        <v>7220.3512696991111</v>
      </c>
      <c r="V2550" s="97">
        <v>7220.3512696991111</v>
      </c>
      <c r="W2550" s="97">
        <v>7220.3512696991111</v>
      </c>
      <c r="X2550" s="97">
        <v>7220.3512696991111</v>
      </c>
      <c r="Y2550" s="97">
        <v>7220.3512696991111</v>
      </c>
      <c r="Z2550" s="97">
        <v>7220.3512696991111</v>
      </c>
      <c r="AA2550" s="97">
        <v>7220.3512696991111</v>
      </c>
      <c r="AB2550" s="97">
        <v>7220.3512696991111</v>
      </c>
      <c r="AC2550" s="97">
        <v>7220.3512696991111</v>
      </c>
      <c r="AD2550" s="97">
        <v>7220.3512696991111</v>
      </c>
      <c r="AE2550" s="97">
        <v>7220.3512696991111</v>
      </c>
      <c r="AF2550" s="97">
        <v>7220.3512696991111</v>
      </c>
      <c r="AG2550" s="97">
        <v>7220.3512696991111</v>
      </c>
      <c r="AH2550" s="97">
        <v>7220.3512696991111</v>
      </c>
      <c r="AI2550" s="97">
        <v>7220.3512696991111</v>
      </c>
      <c r="AJ2550" s="97">
        <v>7220.3512696991111</v>
      </c>
      <c r="AK2550" s="97">
        <v>7220.3512696991111</v>
      </c>
      <c r="AL2550" s="97">
        <v>7220.3512696991111</v>
      </c>
      <c r="AM2550" s="97">
        <v>7220.3512696991111</v>
      </c>
      <c r="AN2550" s="97">
        <v>7220.3512696991111</v>
      </c>
      <c r="AO2550" s="97">
        <v>7220.3512696991111</v>
      </c>
      <c r="AP2550" s="97">
        <v>7220.3512696991111</v>
      </c>
      <c r="AQ2550" s="97">
        <v>7220.3512696991111</v>
      </c>
      <c r="AR2550" s="97">
        <v>7220.3512696991111</v>
      </c>
      <c r="AS2550" s="97">
        <v>7220.3512696991111</v>
      </c>
      <c r="AT2550" s="97">
        <v>7220.3512696991111</v>
      </c>
      <c r="AU2550" s="97">
        <v>7220.3512696991111</v>
      </c>
      <c r="AV2550" s="97">
        <v>7220.3512696991111</v>
      </c>
      <c r="AW2550" s="97">
        <v>7220.3512696991111</v>
      </c>
      <c r="AX2550" s="98">
        <v>7220.3512696991111</v>
      </c>
    </row>
    <row r="2551" spans="1:50" x14ac:dyDescent="0.25">
      <c r="A2551" s="356"/>
      <c r="B2551" s="359"/>
      <c r="C2551" s="361" t="s">
        <v>15</v>
      </c>
      <c r="D2551" s="58" t="s">
        <v>7</v>
      </c>
      <c r="E2551" s="164" t="str">
        <f>A2539&amp;"/"&amp;B2547&amp;"/"&amp;C2551&amp;"/"&amp;D2551</f>
        <v>Fuel oil fired power plants/Supercritical steam turbine/Electricity only with CCS/L</v>
      </c>
      <c r="F2551" s="78" t="str">
        <f>A2539</f>
        <v>Fuel oil fired power plants</v>
      </c>
      <c r="G2551" s="78" t="str">
        <f>B2547</f>
        <v>Supercritical steam turbine</v>
      </c>
      <c r="H2551" s="78" t="str">
        <f>C2551</f>
        <v>Electricity only with CCS</v>
      </c>
      <c r="I2551" s="165" t="str">
        <f t="shared" si="120"/>
        <v>L</v>
      </c>
      <c r="J2551" s="95" t="s">
        <v>112</v>
      </c>
      <c r="K2551" s="95" t="s">
        <v>112</v>
      </c>
      <c r="L2551" s="95" t="s">
        <v>112</v>
      </c>
      <c r="M2551" s="95" t="s">
        <v>112</v>
      </c>
      <c r="N2551" s="95" t="s">
        <v>112</v>
      </c>
      <c r="O2551" s="95" t="s">
        <v>112</v>
      </c>
      <c r="P2551" s="95" t="s">
        <v>112</v>
      </c>
      <c r="Q2551" s="95" t="s">
        <v>112</v>
      </c>
      <c r="R2551" s="95" t="s">
        <v>112</v>
      </c>
      <c r="S2551" s="95" t="s">
        <v>112</v>
      </c>
      <c r="T2551" s="95" t="s">
        <v>112</v>
      </c>
      <c r="U2551" s="95" t="s">
        <v>112</v>
      </c>
      <c r="V2551" s="95" t="s">
        <v>112</v>
      </c>
      <c r="W2551" s="95" t="s">
        <v>112</v>
      </c>
      <c r="X2551" s="95" t="s">
        <v>112</v>
      </c>
      <c r="Y2551" s="95" t="s">
        <v>112</v>
      </c>
      <c r="Z2551" s="95" t="s">
        <v>112</v>
      </c>
      <c r="AA2551" s="95" t="s">
        <v>112</v>
      </c>
      <c r="AB2551" s="95" t="s">
        <v>112</v>
      </c>
      <c r="AC2551" s="95" t="s">
        <v>112</v>
      </c>
      <c r="AD2551" s="95" t="s">
        <v>112</v>
      </c>
      <c r="AE2551" s="95">
        <v>7700</v>
      </c>
      <c r="AF2551" s="95">
        <v>7700</v>
      </c>
      <c r="AG2551" s="95">
        <v>7700</v>
      </c>
      <c r="AH2551" s="95">
        <v>7700</v>
      </c>
      <c r="AI2551" s="95">
        <v>7700</v>
      </c>
      <c r="AJ2551" s="95">
        <v>7700</v>
      </c>
      <c r="AK2551" s="95">
        <v>7700</v>
      </c>
      <c r="AL2551" s="95">
        <v>7700</v>
      </c>
      <c r="AM2551" s="95">
        <v>7700</v>
      </c>
      <c r="AN2551" s="95">
        <v>7700</v>
      </c>
      <c r="AO2551" s="95">
        <v>7700</v>
      </c>
      <c r="AP2551" s="95">
        <v>7700</v>
      </c>
      <c r="AQ2551" s="95">
        <v>7700</v>
      </c>
      <c r="AR2551" s="95">
        <v>7700</v>
      </c>
      <c r="AS2551" s="95">
        <v>7700</v>
      </c>
      <c r="AT2551" s="95">
        <v>7700</v>
      </c>
      <c r="AU2551" s="95">
        <v>7700</v>
      </c>
      <c r="AV2551" s="95">
        <v>7700</v>
      </c>
      <c r="AW2551" s="95">
        <v>7700</v>
      </c>
      <c r="AX2551" s="96">
        <v>7700</v>
      </c>
    </row>
    <row r="2552" spans="1:50" x14ac:dyDescent="0.25">
      <c r="A2552" s="356"/>
      <c r="B2552" s="359"/>
      <c r="C2552" s="360"/>
      <c r="D2552" s="59" t="s">
        <v>8</v>
      </c>
      <c r="E2552" s="166" t="str">
        <f>A2539&amp;"/"&amp;B2547&amp;"/"&amp;C2551&amp;"/"&amp;D2552</f>
        <v>Fuel oil fired power plants/Supercritical steam turbine/Electricity only with CCS/M</v>
      </c>
      <c r="F2552" s="79" t="str">
        <f>A2539</f>
        <v>Fuel oil fired power plants</v>
      </c>
      <c r="G2552" s="79" t="str">
        <f>B2547</f>
        <v>Supercritical steam turbine</v>
      </c>
      <c r="H2552" s="79" t="str">
        <f>C2551</f>
        <v>Electricity only with CCS</v>
      </c>
      <c r="I2552" s="167" t="str">
        <f t="shared" si="120"/>
        <v>M</v>
      </c>
      <c r="J2552" s="97" t="s">
        <v>112</v>
      </c>
      <c r="K2552" s="97" t="s">
        <v>112</v>
      </c>
      <c r="L2552" s="97" t="s">
        <v>112</v>
      </c>
      <c r="M2552" s="97" t="s">
        <v>112</v>
      </c>
      <c r="N2552" s="97" t="s">
        <v>112</v>
      </c>
      <c r="O2552" s="97" t="s">
        <v>112</v>
      </c>
      <c r="P2552" s="97" t="s">
        <v>112</v>
      </c>
      <c r="Q2552" s="97" t="s">
        <v>112</v>
      </c>
      <c r="R2552" s="97" t="s">
        <v>112</v>
      </c>
      <c r="S2552" s="97" t="s">
        <v>112</v>
      </c>
      <c r="T2552" s="97" t="s">
        <v>112</v>
      </c>
      <c r="U2552" s="97" t="s">
        <v>112</v>
      </c>
      <c r="V2552" s="97" t="s">
        <v>112</v>
      </c>
      <c r="W2552" s="97" t="s">
        <v>112</v>
      </c>
      <c r="X2552" s="97" t="s">
        <v>112</v>
      </c>
      <c r="Y2552" s="97" t="s">
        <v>112</v>
      </c>
      <c r="Z2552" s="97" t="s">
        <v>112</v>
      </c>
      <c r="AA2552" s="97" t="s">
        <v>112</v>
      </c>
      <c r="AB2552" s="97" t="s">
        <v>112</v>
      </c>
      <c r="AC2552" s="97" t="s">
        <v>112</v>
      </c>
      <c r="AD2552" s="97" t="s">
        <v>112</v>
      </c>
      <c r="AE2552" s="97">
        <v>7210.3645768711558</v>
      </c>
      <c r="AF2552" s="97">
        <v>7210.3645768711558</v>
      </c>
      <c r="AG2552" s="97">
        <v>7210.3645768711558</v>
      </c>
      <c r="AH2552" s="97">
        <v>7210.3645768711558</v>
      </c>
      <c r="AI2552" s="97">
        <v>7210.3645768711558</v>
      </c>
      <c r="AJ2552" s="97">
        <v>7210.3645768711558</v>
      </c>
      <c r="AK2552" s="97">
        <v>7210.3645768711558</v>
      </c>
      <c r="AL2552" s="97">
        <v>7210.3645768711558</v>
      </c>
      <c r="AM2552" s="97">
        <v>7210.3645768711558</v>
      </c>
      <c r="AN2552" s="97">
        <v>7210.3645768711558</v>
      </c>
      <c r="AO2552" s="97">
        <v>7210.3645768711558</v>
      </c>
      <c r="AP2552" s="97">
        <v>7210.3645768711558</v>
      </c>
      <c r="AQ2552" s="97">
        <v>7210.3645768711558</v>
      </c>
      <c r="AR2552" s="97">
        <v>7210.3645768711558</v>
      </c>
      <c r="AS2552" s="97">
        <v>7210.3645768711558</v>
      </c>
      <c r="AT2552" s="97">
        <v>7210.3645768711558</v>
      </c>
      <c r="AU2552" s="97">
        <v>7210.3645768711558</v>
      </c>
      <c r="AV2552" s="97">
        <v>7210.3645768711558</v>
      </c>
      <c r="AW2552" s="97">
        <v>7210.3645768711558</v>
      </c>
      <c r="AX2552" s="98">
        <v>7210.3645768711558</v>
      </c>
    </row>
    <row r="2553" spans="1:50" x14ac:dyDescent="0.25">
      <c r="A2553" s="356"/>
      <c r="B2553" s="359"/>
      <c r="C2553" s="361" t="s">
        <v>16</v>
      </c>
      <c r="D2553" s="2" t="s">
        <v>7</v>
      </c>
      <c r="E2553" s="160" t="str">
        <f>A2539&amp;"/"&amp;B2547&amp;"/"&amp;C2553&amp;"/"&amp;D2553</f>
        <v>Fuel oil fired power plants/Supercritical steam turbine/CHP with CCS/L</v>
      </c>
      <c r="F2553" s="76" t="str">
        <f>A2539</f>
        <v>Fuel oil fired power plants</v>
      </c>
      <c r="G2553" s="76" t="str">
        <f>B2547</f>
        <v>Supercritical steam turbine</v>
      </c>
      <c r="H2553" s="76" t="str">
        <f>C2553</f>
        <v>CHP with CCS</v>
      </c>
      <c r="I2553" s="161" t="str">
        <f t="shared" si="120"/>
        <v>L</v>
      </c>
      <c r="J2553" s="91" t="s">
        <v>112</v>
      </c>
      <c r="K2553" s="91" t="s">
        <v>112</v>
      </c>
      <c r="L2553" s="91" t="s">
        <v>112</v>
      </c>
      <c r="M2553" s="91" t="s">
        <v>112</v>
      </c>
      <c r="N2553" s="91" t="s">
        <v>112</v>
      </c>
      <c r="O2553" s="91" t="s">
        <v>112</v>
      </c>
      <c r="P2553" s="91" t="s">
        <v>112</v>
      </c>
      <c r="Q2553" s="91" t="s">
        <v>112</v>
      </c>
      <c r="R2553" s="91" t="s">
        <v>112</v>
      </c>
      <c r="S2553" s="91" t="s">
        <v>112</v>
      </c>
      <c r="T2553" s="91" t="s">
        <v>112</v>
      </c>
      <c r="U2553" s="91" t="s">
        <v>112</v>
      </c>
      <c r="V2553" s="91" t="s">
        <v>112</v>
      </c>
      <c r="W2553" s="91" t="s">
        <v>112</v>
      </c>
      <c r="X2553" s="91" t="s">
        <v>112</v>
      </c>
      <c r="Y2553" s="91" t="s">
        <v>112</v>
      </c>
      <c r="Z2553" s="91" t="s">
        <v>112</v>
      </c>
      <c r="AA2553" s="91" t="s">
        <v>112</v>
      </c>
      <c r="AB2553" s="91" t="s">
        <v>112</v>
      </c>
      <c r="AC2553" s="91" t="s">
        <v>112</v>
      </c>
      <c r="AD2553" s="91" t="s">
        <v>112</v>
      </c>
      <c r="AE2553" s="91">
        <v>7700</v>
      </c>
      <c r="AF2553" s="91">
        <v>7700</v>
      </c>
      <c r="AG2553" s="91">
        <v>7700</v>
      </c>
      <c r="AH2553" s="91">
        <v>7700</v>
      </c>
      <c r="AI2553" s="91">
        <v>7700</v>
      </c>
      <c r="AJ2553" s="91">
        <v>7700</v>
      </c>
      <c r="AK2553" s="91">
        <v>7700</v>
      </c>
      <c r="AL2553" s="91">
        <v>7700</v>
      </c>
      <c r="AM2553" s="91">
        <v>7700</v>
      </c>
      <c r="AN2553" s="91">
        <v>7700</v>
      </c>
      <c r="AO2553" s="91">
        <v>7700</v>
      </c>
      <c r="AP2553" s="91">
        <v>7700</v>
      </c>
      <c r="AQ2553" s="91">
        <v>7700</v>
      </c>
      <c r="AR2553" s="91">
        <v>7700</v>
      </c>
      <c r="AS2553" s="91">
        <v>7700</v>
      </c>
      <c r="AT2553" s="91">
        <v>7700</v>
      </c>
      <c r="AU2553" s="91">
        <v>7700</v>
      </c>
      <c r="AV2553" s="91">
        <v>7700</v>
      </c>
      <c r="AW2553" s="91">
        <v>7700</v>
      </c>
      <c r="AX2553" s="92">
        <v>7700</v>
      </c>
    </row>
    <row r="2554" spans="1:50" x14ac:dyDescent="0.25">
      <c r="A2554" s="356"/>
      <c r="B2554" s="362"/>
      <c r="C2554" s="354"/>
      <c r="D2554" s="4" t="s">
        <v>8</v>
      </c>
      <c r="E2554" s="168" t="str">
        <f>A2539&amp;"/"&amp;B2547&amp;"/"&amp;C2553&amp;"/"&amp;D2554</f>
        <v>Fuel oil fired power plants/Supercritical steam turbine/CHP with CCS/M</v>
      </c>
      <c r="F2554" s="80" t="str">
        <f>A2539</f>
        <v>Fuel oil fired power plants</v>
      </c>
      <c r="G2554" s="80" t="str">
        <f>B2547</f>
        <v>Supercritical steam turbine</v>
      </c>
      <c r="H2554" s="80" t="str">
        <f>C2553</f>
        <v>CHP with CCS</v>
      </c>
      <c r="I2554" s="169" t="str">
        <f t="shared" si="120"/>
        <v>M</v>
      </c>
      <c r="J2554" s="99" t="s">
        <v>112</v>
      </c>
      <c r="K2554" s="99" t="s">
        <v>112</v>
      </c>
      <c r="L2554" s="99" t="s">
        <v>112</v>
      </c>
      <c r="M2554" s="99" t="s">
        <v>112</v>
      </c>
      <c r="N2554" s="99" t="s">
        <v>112</v>
      </c>
      <c r="O2554" s="99" t="s">
        <v>112</v>
      </c>
      <c r="P2554" s="99" t="s">
        <v>112</v>
      </c>
      <c r="Q2554" s="99" t="s">
        <v>112</v>
      </c>
      <c r="R2554" s="99" t="s">
        <v>112</v>
      </c>
      <c r="S2554" s="99" t="s">
        <v>112</v>
      </c>
      <c r="T2554" s="99" t="s">
        <v>112</v>
      </c>
      <c r="U2554" s="99" t="s">
        <v>112</v>
      </c>
      <c r="V2554" s="99" t="s">
        <v>112</v>
      </c>
      <c r="W2554" s="99" t="s">
        <v>112</v>
      </c>
      <c r="X2554" s="99" t="s">
        <v>112</v>
      </c>
      <c r="Y2554" s="99" t="s">
        <v>112</v>
      </c>
      <c r="Z2554" s="99" t="s">
        <v>112</v>
      </c>
      <c r="AA2554" s="99" t="s">
        <v>112</v>
      </c>
      <c r="AB2554" s="99" t="s">
        <v>112</v>
      </c>
      <c r="AC2554" s="99" t="s">
        <v>112</v>
      </c>
      <c r="AD2554" s="99" t="s">
        <v>112</v>
      </c>
      <c r="AE2554" s="99">
        <v>7220.3512696991111</v>
      </c>
      <c r="AF2554" s="99">
        <v>7220.3512696991111</v>
      </c>
      <c r="AG2554" s="99">
        <v>7220.3512696991111</v>
      </c>
      <c r="AH2554" s="99">
        <v>7220.3512696991111</v>
      </c>
      <c r="AI2554" s="99">
        <v>7220.3512696991111</v>
      </c>
      <c r="AJ2554" s="99">
        <v>7220.3512696991111</v>
      </c>
      <c r="AK2554" s="99">
        <v>7220.3512696991111</v>
      </c>
      <c r="AL2554" s="99">
        <v>7220.3512696991111</v>
      </c>
      <c r="AM2554" s="99">
        <v>7220.3512696991111</v>
      </c>
      <c r="AN2554" s="99">
        <v>7220.3512696991111</v>
      </c>
      <c r="AO2554" s="99">
        <v>7220.3512696991111</v>
      </c>
      <c r="AP2554" s="99">
        <v>7220.3512696991111</v>
      </c>
      <c r="AQ2554" s="99">
        <v>7220.3512696991111</v>
      </c>
      <c r="AR2554" s="99">
        <v>7220.3512696991111</v>
      </c>
      <c r="AS2554" s="99">
        <v>7220.3512696991111</v>
      </c>
      <c r="AT2554" s="99">
        <v>7220.3512696991111</v>
      </c>
      <c r="AU2554" s="99">
        <v>7220.3512696991111</v>
      </c>
      <c r="AV2554" s="99">
        <v>7220.3512696991111</v>
      </c>
      <c r="AW2554" s="99">
        <v>7220.3512696991111</v>
      </c>
      <c r="AX2554" s="100">
        <v>7220.3512696991111</v>
      </c>
    </row>
    <row r="2555" spans="1:50" x14ac:dyDescent="0.25">
      <c r="A2555" s="356"/>
      <c r="B2555" s="358" t="s">
        <v>19</v>
      </c>
      <c r="C2555" s="353" t="s">
        <v>6</v>
      </c>
      <c r="D2555" s="3" t="s">
        <v>7</v>
      </c>
      <c r="E2555" s="162" t="str">
        <f>A2539&amp;"/"&amp;B2555&amp;"/"&amp;C2555&amp;"/"&amp;D2555</f>
        <v>Fuel oil fired power plants/Steam turbine/Electricity only/L</v>
      </c>
      <c r="F2555" s="77" t="str">
        <f>A2539</f>
        <v>Fuel oil fired power plants</v>
      </c>
      <c r="G2555" s="77" t="str">
        <f>B2555</f>
        <v>Steam turbine</v>
      </c>
      <c r="H2555" s="77" t="str">
        <f>C2555</f>
        <v>Electricity only</v>
      </c>
      <c r="I2555" s="163" t="str">
        <f t="shared" si="120"/>
        <v>L</v>
      </c>
      <c r="J2555" s="93">
        <v>7200</v>
      </c>
      <c r="K2555" s="93">
        <v>7200</v>
      </c>
      <c r="L2555" s="93">
        <v>7200</v>
      </c>
      <c r="M2555" s="93">
        <v>7200</v>
      </c>
      <c r="N2555" s="93">
        <v>7200</v>
      </c>
      <c r="O2555" s="93">
        <v>7200</v>
      </c>
      <c r="P2555" s="93">
        <v>7200</v>
      </c>
      <c r="Q2555" s="93">
        <v>7200</v>
      </c>
      <c r="R2555" s="93">
        <v>7200</v>
      </c>
      <c r="S2555" s="93">
        <v>7200</v>
      </c>
      <c r="T2555" s="93">
        <v>7200</v>
      </c>
      <c r="U2555" s="93">
        <v>7200</v>
      </c>
      <c r="V2555" s="93">
        <v>7200</v>
      </c>
      <c r="W2555" s="93">
        <v>7200</v>
      </c>
      <c r="X2555" s="93">
        <v>7200</v>
      </c>
      <c r="Y2555" s="93">
        <v>7200</v>
      </c>
      <c r="Z2555" s="93">
        <v>7200</v>
      </c>
      <c r="AA2555" s="93">
        <v>7200</v>
      </c>
      <c r="AB2555" s="93">
        <v>7200</v>
      </c>
      <c r="AC2555" s="93">
        <v>7200</v>
      </c>
      <c r="AD2555" s="93">
        <v>7200</v>
      </c>
      <c r="AE2555" s="93">
        <v>7200</v>
      </c>
      <c r="AF2555" s="93">
        <v>7200</v>
      </c>
      <c r="AG2555" s="93">
        <v>7200</v>
      </c>
      <c r="AH2555" s="93">
        <v>7200</v>
      </c>
      <c r="AI2555" s="93">
        <v>7200</v>
      </c>
      <c r="AJ2555" s="93">
        <v>7200</v>
      </c>
      <c r="AK2555" s="93">
        <v>7200</v>
      </c>
      <c r="AL2555" s="93">
        <v>7200</v>
      </c>
      <c r="AM2555" s="93">
        <v>7200</v>
      </c>
      <c r="AN2555" s="93">
        <v>7200</v>
      </c>
      <c r="AO2555" s="93">
        <v>7200</v>
      </c>
      <c r="AP2555" s="93">
        <v>7200</v>
      </c>
      <c r="AQ2555" s="93">
        <v>7200</v>
      </c>
      <c r="AR2555" s="93">
        <v>7200</v>
      </c>
      <c r="AS2555" s="93">
        <v>7200</v>
      </c>
      <c r="AT2555" s="93">
        <v>7200</v>
      </c>
      <c r="AU2555" s="93">
        <v>7200</v>
      </c>
      <c r="AV2555" s="93">
        <v>7200</v>
      </c>
      <c r="AW2555" s="93">
        <v>7200</v>
      </c>
      <c r="AX2555" s="94">
        <v>7200</v>
      </c>
    </row>
    <row r="2556" spans="1:50" x14ac:dyDescent="0.25">
      <c r="A2556" s="356"/>
      <c r="B2556" s="359"/>
      <c r="C2556" s="350"/>
      <c r="D2556" s="2" t="s">
        <v>8</v>
      </c>
      <c r="E2556" s="160" t="str">
        <f>A2539&amp;"/"&amp;B2555&amp;"/"&amp;C2555&amp;"/"&amp;D2556</f>
        <v>Fuel oil fired power plants/Steam turbine/Electricity only/M</v>
      </c>
      <c r="F2556" s="76" t="str">
        <f>A2539</f>
        <v>Fuel oil fired power plants</v>
      </c>
      <c r="G2556" s="76" t="str">
        <f>B2555</f>
        <v>Steam turbine</v>
      </c>
      <c r="H2556" s="76" t="str">
        <f>C2555</f>
        <v>Electricity only</v>
      </c>
      <c r="I2556" s="161" t="str">
        <f t="shared" si="120"/>
        <v>M</v>
      </c>
      <c r="J2556" s="91">
        <v>6885.7379984882664</v>
      </c>
      <c r="K2556" s="91">
        <v>6885.7379984882664</v>
      </c>
      <c r="L2556" s="91">
        <v>6885.7379984882664</v>
      </c>
      <c r="M2556" s="91">
        <v>6885.7379984882664</v>
      </c>
      <c r="N2556" s="91">
        <v>6885.7379984882664</v>
      </c>
      <c r="O2556" s="91">
        <v>6885.7379984882664</v>
      </c>
      <c r="P2556" s="91">
        <v>6885.7379984882664</v>
      </c>
      <c r="Q2556" s="91">
        <v>6885.7379984882664</v>
      </c>
      <c r="R2556" s="91">
        <v>6885.7379984882664</v>
      </c>
      <c r="S2556" s="91">
        <v>6885.7379984882664</v>
      </c>
      <c r="T2556" s="91">
        <v>6885.7379984882664</v>
      </c>
      <c r="U2556" s="91">
        <v>6885.7379984882664</v>
      </c>
      <c r="V2556" s="91">
        <v>6885.7379984882664</v>
      </c>
      <c r="W2556" s="91">
        <v>6885.7379984882664</v>
      </c>
      <c r="X2556" s="91">
        <v>6885.7379984882664</v>
      </c>
      <c r="Y2556" s="91">
        <v>6885.7379984882664</v>
      </c>
      <c r="Z2556" s="91">
        <v>6885.7379984882664</v>
      </c>
      <c r="AA2556" s="91">
        <v>6885.7379984882664</v>
      </c>
      <c r="AB2556" s="91">
        <v>6885.7379984882664</v>
      </c>
      <c r="AC2556" s="91">
        <v>6885.7379984882664</v>
      </c>
      <c r="AD2556" s="91">
        <v>6885.7379984882664</v>
      </c>
      <c r="AE2556" s="91">
        <v>6885.7379984882664</v>
      </c>
      <c r="AF2556" s="91">
        <v>6885.7379984882664</v>
      </c>
      <c r="AG2556" s="91">
        <v>6885.7379984882664</v>
      </c>
      <c r="AH2556" s="91">
        <v>6885.7379984882664</v>
      </c>
      <c r="AI2556" s="91">
        <v>6885.7379984882664</v>
      </c>
      <c r="AJ2556" s="91">
        <v>6885.7379984882664</v>
      </c>
      <c r="AK2556" s="91">
        <v>6885.7379984882664</v>
      </c>
      <c r="AL2556" s="91">
        <v>6885.7379984882664</v>
      </c>
      <c r="AM2556" s="91">
        <v>6885.7379984882664</v>
      </c>
      <c r="AN2556" s="91">
        <v>6885.7379984882664</v>
      </c>
      <c r="AO2556" s="91">
        <v>6885.7379984882664</v>
      </c>
      <c r="AP2556" s="91">
        <v>6885.7379984882664</v>
      </c>
      <c r="AQ2556" s="91">
        <v>6885.7379984882664</v>
      </c>
      <c r="AR2556" s="91">
        <v>6885.7379984882664</v>
      </c>
      <c r="AS2556" s="91">
        <v>6885.7379984882664</v>
      </c>
      <c r="AT2556" s="91">
        <v>6885.7379984882664</v>
      </c>
      <c r="AU2556" s="91">
        <v>6885.7379984882664</v>
      </c>
      <c r="AV2556" s="91">
        <v>6885.7379984882664</v>
      </c>
      <c r="AW2556" s="91">
        <v>6885.7379984882664</v>
      </c>
      <c r="AX2556" s="92">
        <v>6885.7379984882664</v>
      </c>
    </row>
    <row r="2557" spans="1:50" x14ac:dyDescent="0.25">
      <c r="A2557" s="356"/>
      <c r="B2557" s="359"/>
      <c r="C2557" s="350"/>
      <c r="D2557" s="2" t="s">
        <v>10</v>
      </c>
      <c r="E2557" s="160" t="str">
        <f>A2539&amp;"/"&amp;B2555&amp;"/"&amp;C2555&amp;"/"&amp;D2557</f>
        <v>Fuel oil fired power plants/Steam turbine/Electricity only/S</v>
      </c>
      <c r="F2557" s="76" t="str">
        <f>A2539</f>
        <v>Fuel oil fired power plants</v>
      </c>
      <c r="G2557" s="76" t="str">
        <f>B2555</f>
        <v>Steam turbine</v>
      </c>
      <c r="H2557" s="76" t="str">
        <f>C2555</f>
        <v>Electricity only</v>
      </c>
      <c r="I2557" s="161" t="str">
        <f t="shared" si="120"/>
        <v>S</v>
      </c>
      <c r="J2557" s="91">
        <v>6500.7392504215268</v>
      </c>
      <c r="K2557" s="91">
        <v>6500.7392504215268</v>
      </c>
      <c r="L2557" s="91">
        <v>6500.7392504215268</v>
      </c>
      <c r="M2557" s="91">
        <v>6500.7392504215268</v>
      </c>
      <c r="N2557" s="91">
        <v>6500.7392504215268</v>
      </c>
      <c r="O2557" s="91">
        <v>6500.7392504215268</v>
      </c>
      <c r="P2557" s="91">
        <v>6500.7392504215268</v>
      </c>
      <c r="Q2557" s="91">
        <v>6500.7392504215268</v>
      </c>
      <c r="R2557" s="91">
        <v>6500.7392504215268</v>
      </c>
      <c r="S2557" s="91">
        <v>6500.7392504215268</v>
      </c>
      <c r="T2557" s="91">
        <v>6500.7392504215268</v>
      </c>
      <c r="U2557" s="91">
        <v>6500.7392504215268</v>
      </c>
      <c r="V2557" s="91">
        <v>6500.7392504215268</v>
      </c>
      <c r="W2557" s="91">
        <v>6500.7392504215268</v>
      </c>
      <c r="X2557" s="91">
        <v>6500.7392504215268</v>
      </c>
      <c r="Y2557" s="91">
        <v>6500.7392504215268</v>
      </c>
      <c r="Z2557" s="91">
        <v>6500.7392504215268</v>
      </c>
      <c r="AA2557" s="91">
        <v>6500.7392504215268</v>
      </c>
      <c r="AB2557" s="91">
        <v>6500.7392504215268</v>
      </c>
      <c r="AC2557" s="91">
        <v>6500.7392504215268</v>
      </c>
      <c r="AD2557" s="91">
        <v>6500.7392504215268</v>
      </c>
      <c r="AE2557" s="91">
        <v>6500.7392504215268</v>
      </c>
      <c r="AF2557" s="91">
        <v>6500.7392504215268</v>
      </c>
      <c r="AG2557" s="91">
        <v>6500.7392504215268</v>
      </c>
      <c r="AH2557" s="91">
        <v>6500.7392504215268</v>
      </c>
      <c r="AI2557" s="91">
        <v>6500.7392504215268</v>
      </c>
      <c r="AJ2557" s="91">
        <v>6500.7392504215268</v>
      </c>
      <c r="AK2557" s="91">
        <v>6500.7392504215268</v>
      </c>
      <c r="AL2557" s="91">
        <v>6500.7392504215268</v>
      </c>
      <c r="AM2557" s="91">
        <v>6500.7392504215268</v>
      </c>
      <c r="AN2557" s="91">
        <v>6500.7392504215268</v>
      </c>
      <c r="AO2557" s="91">
        <v>6500.7392504215268</v>
      </c>
      <c r="AP2557" s="91">
        <v>6500.7392504215268</v>
      </c>
      <c r="AQ2557" s="91">
        <v>6500.7392504215268</v>
      </c>
      <c r="AR2557" s="91">
        <v>6500.7392504215268</v>
      </c>
      <c r="AS2557" s="91">
        <v>6500.7392504215268</v>
      </c>
      <c r="AT2557" s="91">
        <v>6500.7392504215268</v>
      </c>
      <c r="AU2557" s="91">
        <v>6500.7392504215268</v>
      </c>
      <c r="AV2557" s="91">
        <v>6500.7392504215268</v>
      </c>
      <c r="AW2557" s="91">
        <v>6500.7392504215268</v>
      </c>
      <c r="AX2557" s="92">
        <v>6500.7392504215268</v>
      </c>
    </row>
    <row r="2558" spans="1:50" x14ac:dyDescent="0.25">
      <c r="A2558" s="356"/>
      <c r="B2558" s="359"/>
      <c r="C2558" s="360"/>
      <c r="D2558" s="2" t="s">
        <v>20</v>
      </c>
      <c r="E2558" s="160" t="str">
        <f>A2539&amp;"/"&amp;B2555&amp;"/"&amp;C2555&amp;"/"&amp;D2558</f>
        <v>Fuel oil fired power plants/Steam turbine/Electricity only/XS</v>
      </c>
      <c r="F2558" s="76" t="str">
        <f>A2539</f>
        <v>Fuel oil fired power plants</v>
      </c>
      <c r="G2558" s="76" t="str">
        <f>B2555</f>
        <v>Steam turbine</v>
      </c>
      <c r="H2558" s="76" t="str">
        <f>C2555</f>
        <v>Electricity only</v>
      </c>
      <c r="I2558" s="161" t="str">
        <f t="shared" si="120"/>
        <v>XS</v>
      </c>
      <c r="J2558" s="91">
        <v>6292.837710810988</v>
      </c>
      <c r="K2558" s="91">
        <v>6292.837710810988</v>
      </c>
      <c r="L2558" s="91">
        <v>6292.837710810988</v>
      </c>
      <c r="M2558" s="91">
        <v>6292.837710810988</v>
      </c>
      <c r="N2558" s="91">
        <v>6292.837710810988</v>
      </c>
      <c r="O2558" s="91">
        <v>6292.837710810988</v>
      </c>
      <c r="P2558" s="91">
        <v>6292.837710810988</v>
      </c>
      <c r="Q2558" s="91">
        <v>6292.837710810988</v>
      </c>
      <c r="R2558" s="91">
        <v>6292.837710810988</v>
      </c>
      <c r="S2558" s="91">
        <v>6292.837710810988</v>
      </c>
      <c r="T2558" s="91">
        <v>6292.837710810988</v>
      </c>
      <c r="U2558" s="91">
        <v>6292.837710810988</v>
      </c>
      <c r="V2558" s="91">
        <v>6292.837710810988</v>
      </c>
      <c r="W2558" s="91">
        <v>6292.837710810988</v>
      </c>
      <c r="X2558" s="91">
        <v>6292.837710810988</v>
      </c>
      <c r="Y2558" s="91">
        <v>6292.837710810988</v>
      </c>
      <c r="Z2558" s="91">
        <v>6292.837710810988</v>
      </c>
      <c r="AA2558" s="91">
        <v>6292.837710810988</v>
      </c>
      <c r="AB2558" s="91">
        <v>6292.837710810988</v>
      </c>
      <c r="AC2558" s="91">
        <v>6292.837710810988</v>
      </c>
      <c r="AD2558" s="91">
        <v>6292.837710810988</v>
      </c>
      <c r="AE2558" s="91">
        <v>6292.837710810988</v>
      </c>
      <c r="AF2558" s="91">
        <v>6292.837710810988</v>
      </c>
      <c r="AG2558" s="91">
        <v>6292.837710810988</v>
      </c>
      <c r="AH2558" s="91">
        <v>6292.837710810988</v>
      </c>
      <c r="AI2558" s="91">
        <v>6292.837710810988</v>
      </c>
      <c r="AJ2558" s="91">
        <v>6292.837710810988</v>
      </c>
      <c r="AK2558" s="91">
        <v>6292.837710810988</v>
      </c>
      <c r="AL2558" s="91">
        <v>6292.837710810988</v>
      </c>
      <c r="AM2558" s="91">
        <v>6292.837710810988</v>
      </c>
      <c r="AN2558" s="91">
        <v>6292.837710810988</v>
      </c>
      <c r="AO2558" s="91">
        <v>6292.837710810988</v>
      </c>
      <c r="AP2558" s="91">
        <v>6292.837710810988</v>
      </c>
      <c r="AQ2558" s="91">
        <v>6292.837710810988</v>
      </c>
      <c r="AR2558" s="91">
        <v>6292.837710810988</v>
      </c>
      <c r="AS2558" s="91">
        <v>6292.837710810988</v>
      </c>
      <c r="AT2558" s="91">
        <v>6292.837710810988</v>
      </c>
      <c r="AU2558" s="91">
        <v>6292.837710810988</v>
      </c>
      <c r="AV2558" s="91">
        <v>6292.837710810988</v>
      </c>
      <c r="AW2558" s="91">
        <v>6292.837710810988</v>
      </c>
      <c r="AX2558" s="92">
        <v>6292.837710810988</v>
      </c>
    </row>
    <row r="2559" spans="1:50" x14ac:dyDescent="0.25">
      <c r="A2559" s="356"/>
      <c r="B2559" s="359"/>
      <c r="C2559" s="361" t="s">
        <v>14</v>
      </c>
      <c r="D2559" s="58" t="s">
        <v>7</v>
      </c>
      <c r="E2559" s="164" t="str">
        <f>A2539&amp;"/"&amp;B2555&amp;"/"&amp;C2559&amp;"/"&amp;D2559</f>
        <v>Fuel oil fired power plants/Steam turbine/CHP/L</v>
      </c>
      <c r="F2559" s="78" t="str">
        <f>A2539</f>
        <v>Fuel oil fired power plants</v>
      </c>
      <c r="G2559" s="78" t="str">
        <f>B2555</f>
        <v>Steam turbine</v>
      </c>
      <c r="H2559" s="78" t="str">
        <f>C2559</f>
        <v>CHP</v>
      </c>
      <c r="I2559" s="165" t="str">
        <f t="shared" ref="I2559:I2622" si="121">D2559</f>
        <v>L</v>
      </c>
      <c r="J2559" s="95">
        <v>6840</v>
      </c>
      <c r="K2559" s="95">
        <v>6840</v>
      </c>
      <c r="L2559" s="95">
        <v>6840</v>
      </c>
      <c r="M2559" s="95">
        <v>6840</v>
      </c>
      <c r="N2559" s="95">
        <v>6840</v>
      </c>
      <c r="O2559" s="95">
        <v>6840</v>
      </c>
      <c r="P2559" s="95">
        <v>6840</v>
      </c>
      <c r="Q2559" s="95">
        <v>6840</v>
      </c>
      <c r="R2559" s="95">
        <v>6840</v>
      </c>
      <c r="S2559" s="95">
        <v>6840</v>
      </c>
      <c r="T2559" s="95">
        <v>6840</v>
      </c>
      <c r="U2559" s="95">
        <v>6840</v>
      </c>
      <c r="V2559" s="95">
        <v>6840</v>
      </c>
      <c r="W2559" s="95">
        <v>6840</v>
      </c>
      <c r="X2559" s="95">
        <v>6840</v>
      </c>
      <c r="Y2559" s="95">
        <v>6840</v>
      </c>
      <c r="Z2559" s="95">
        <v>6840</v>
      </c>
      <c r="AA2559" s="95">
        <v>6840</v>
      </c>
      <c r="AB2559" s="95">
        <v>6840</v>
      </c>
      <c r="AC2559" s="95">
        <v>6840</v>
      </c>
      <c r="AD2559" s="95">
        <v>6840</v>
      </c>
      <c r="AE2559" s="95">
        <v>6840</v>
      </c>
      <c r="AF2559" s="95">
        <v>6840</v>
      </c>
      <c r="AG2559" s="95">
        <v>6840</v>
      </c>
      <c r="AH2559" s="95">
        <v>6840</v>
      </c>
      <c r="AI2559" s="95">
        <v>6840</v>
      </c>
      <c r="AJ2559" s="95">
        <v>6840</v>
      </c>
      <c r="AK2559" s="95">
        <v>6840</v>
      </c>
      <c r="AL2559" s="95">
        <v>6840</v>
      </c>
      <c r="AM2559" s="95">
        <v>6840</v>
      </c>
      <c r="AN2559" s="95">
        <v>6840</v>
      </c>
      <c r="AO2559" s="95">
        <v>6840</v>
      </c>
      <c r="AP2559" s="95">
        <v>6840</v>
      </c>
      <c r="AQ2559" s="95">
        <v>6840</v>
      </c>
      <c r="AR2559" s="95">
        <v>6840</v>
      </c>
      <c r="AS2559" s="95">
        <v>6840</v>
      </c>
      <c r="AT2559" s="95">
        <v>6840</v>
      </c>
      <c r="AU2559" s="95">
        <v>6840</v>
      </c>
      <c r="AV2559" s="95">
        <v>6840</v>
      </c>
      <c r="AW2559" s="95">
        <v>6840</v>
      </c>
      <c r="AX2559" s="96">
        <v>6840</v>
      </c>
    </row>
    <row r="2560" spans="1:50" x14ac:dyDescent="0.25">
      <c r="A2560" s="356"/>
      <c r="B2560" s="359"/>
      <c r="C2560" s="350"/>
      <c r="D2560" s="2" t="s">
        <v>8</v>
      </c>
      <c r="E2560" s="160" t="str">
        <f>A2539&amp;"/"&amp;B2555&amp;"/"&amp;C2559&amp;"/"&amp;D2560</f>
        <v>Fuel oil fired power plants/Steam turbine/CHP/M</v>
      </c>
      <c r="F2560" s="76" t="str">
        <f>A2539</f>
        <v>Fuel oil fired power plants</v>
      </c>
      <c r="G2560" s="76" t="str">
        <f>B2555</f>
        <v>Steam turbine</v>
      </c>
      <c r="H2560" s="76" t="str">
        <f>C2559</f>
        <v>CHP</v>
      </c>
      <c r="I2560" s="161" t="str">
        <f t="shared" si="121"/>
        <v>M</v>
      </c>
      <c r="J2560" s="91">
        <v>6541.4510985638535</v>
      </c>
      <c r="K2560" s="91">
        <v>6541.4510985638535</v>
      </c>
      <c r="L2560" s="91">
        <v>6541.4510985638535</v>
      </c>
      <c r="M2560" s="91">
        <v>6541.4510985638535</v>
      </c>
      <c r="N2560" s="91">
        <v>6541.4510985638535</v>
      </c>
      <c r="O2560" s="91">
        <v>6541.4510985638535</v>
      </c>
      <c r="P2560" s="91">
        <v>6541.4510985638535</v>
      </c>
      <c r="Q2560" s="91">
        <v>6541.4510985638535</v>
      </c>
      <c r="R2560" s="91">
        <v>6541.4510985638535</v>
      </c>
      <c r="S2560" s="91">
        <v>6541.4510985638535</v>
      </c>
      <c r="T2560" s="91">
        <v>6541.4510985638535</v>
      </c>
      <c r="U2560" s="91">
        <v>6541.4510985638535</v>
      </c>
      <c r="V2560" s="91">
        <v>6541.4510985638535</v>
      </c>
      <c r="W2560" s="91">
        <v>6541.4510985638535</v>
      </c>
      <c r="X2560" s="91">
        <v>6541.4510985638535</v>
      </c>
      <c r="Y2560" s="91">
        <v>6541.4510985638535</v>
      </c>
      <c r="Z2560" s="91">
        <v>6541.4510985638535</v>
      </c>
      <c r="AA2560" s="91">
        <v>6541.4510985638535</v>
      </c>
      <c r="AB2560" s="91">
        <v>6541.4510985638535</v>
      </c>
      <c r="AC2560" s="91">
        <v>6541.4510985638535</v>
      </c>
      <c r="AD2560" s="91">
        <v>6541.4510985638535</v>
      </c>
      <c r="AE2560" s="91">
        <v>6541.4510985638535</v>
      </c>
      <c r="AF2560" s="91">
        <v>6541.4510985638535</v>
      </c>
      <c r="AG2560" s="91">
        <v>6541.4510985638535</v>
      </c>
      <c r="AH2560" s="91">
        <v>6541.4510985638535</v>
      </c>
      <c r="AI2560" s="91">
        <v>6541.4510985638535</v>
      </c>
      <c r="AJ2560" s="91">
        <v>6541.4510985638535</v>
      </c>
      <c r="AK2560" s="91">
        <v>6541.4510985638535</v>
      </c>
      <c r="AL2560" s="91">
        <v>6541.4510985638535</v>
      </c>
      <c r="AM2560" s="91">
        <v>6541.4510985638535</v>
      </c>
      <c r="AN2560" s="91">
        <v>6541.4510985638535</v>
      </c>
      <c r="AO2560" s="91">
        <v>6541.4510985638535</v>
      </c>
      <c r="AP2560" s="91">
        <v>6541.4510985638535</v>
      </c>
      <c r="AQ2560" s="91">
        <v>6541.4510985638535</v>
      </c>
      <c r="AR2560" s="91">
        <v>6541.4510985638535</v>
      </c>
      <c r="AS2560" s="91">
        <v>6541.4510985638535</v>
      </c>
      <c r="AT2560" s="91">
        <v>6541.4510985638535</v>
      </c>
      <c r="AU2560" s="91">
        <v>6541.4510985638535</v>
      </c>
      <c r="AV2560" s="91">
        <v>6541.4510985638535</v>
      </c>
      <c r="AW2560" s="91">
        <v>6541.4510985638535</v>
      </c>
      <c r="AX2560" s="92">
        <v>6541.4510985638535</v>
      </c>
    </row>
    <row r="2561" spans="1:50" x14ac:dyDescent="0.25">
      <c r="A2561" s="356"/>
      <c r="B2561" s="359"/>
      <c r="C2561" s="350"/>
      <c r="D2561" s="2" t="s">
        <v>10</v>
      </c>
      <c r="E2561" s="160" t="str">
        <f>A2539&amp;"/"&amp;B2555&amp;"/"&amp;C2559&amp;"/"&amp;D2561</f>
        <v>Fuel oil fired power plants/Steam turbine/CHP/S</v>
      </c>
      <c r="F2561" s="76" t="str">
        <f>A2539</f>
        <v>Fuel oil fired power plants</v>
      </c>
      <c r="G2561" s="76" t="str">
        <f>B2555</f>
        <v>Steam turbine</v>
      </c>
      <c r="H2561" s="76" t="str">
        <f>C2559</f>
        <v>CHP</v>
      </c>
      <c r="I2561" s="161" t="str">
        <f t="shared" si="121"/>
        <v>S</v>
      </c>
      <c r="J2561" s="91">
        <v>6175.7022879004508</v>
      </c>
      <c r="K2561" s="91">
        <v>6175.7022879004508</v>
      </c>
      <c r="L2561" s="91">
        <v>6175.7022879004508</v>
      </c>
      <c r="M2561" s="91">
        <v>6175.7022879004508</v>
      </c>
      <c r="N2561" s="91">
        <v>6175.7022879004508</v>
      </c>
      <c r="O2561" s="91">
        <v>6175.7022879004508</v>
      </c>
      <c r="P2561" s="91">
        <v>6175.7022879004508</v>
      </c>
      <c r="Q2561" s="91">
        <v>6175.7022879004508</v>
      </c>
      <c r="R2561" s="91">
        <v>6175.7022879004508</v>
      </c>
      <c r="S2561" s="91">
        <v>6175.7022879004508</v>
      </c>
      <c r="T2561" s="91">
        <v>6175.7022879004508</v>
      </c>
      <c r="U2561" s="91">
        <v>6175.7022879004508</v>
      </c>
      <c r="V2561" s="91">
        <v>6175.7022879004508</v>
      </c>
      <c r="W2561" s="91">
        <v>6175.7022879004508</v>
      </c>
      <c r="X2561" s="91">
        <v>6175.7022879004508</v>
      </c>
      <c r="Y2561" s="91">
        <v>6175.7022879004508</v>
      </c>
      <c r="Z2561" s="91">
        <v>6175.7022879004508</v>
      </c>
      <c r="AA2561" s="91">
        <v>6175.7022879004508</v>
      </c>
      <c r="AB2561" s="91">
        <v>6175.7022879004508</v>
      </c>
      <c r="AC2561" s="91">
        <v>6175.7022879004508</v>
      </c>
      <c r="AD2561" s="91">
        <v>6175.7022879004508</v>
      </c>
      <c r="AE2561" s="91">
        <v>6175.7022879004508</v>
      </c>
      <c r="AF2561" s="91">
        <v>6175.7022879004508</v>
      </c>
      <c r="AG2561" s="91">
        <v>6175.7022879004508</v>
      </c>
      <c r="AH2561" s="91">
        <v>6175.7022879004508</v>
      </c>
      <c r="AI2561" s="91">
        <v>6175.7022879004508</v>
      </c>
      <c r="AJ2561" s="91">
        <v>6175.7022879004508</v>
      </c>
      <c r="AK2561" s="91">
        <v>6175.7022879004508</v>
      </c>
      <c r="AL2561" s="91">
        <v>6175.7022879004508</v>
      </c>
      <c r="AM2561" s="91">
        <v>6175.7022879004508</v>
      </c>
      <c r="AN2561" s="91">
        <v>6175.7022879004508</v>
      </c>
      <c r="AO2561" s="91">
        <v>6175.7022879004508</v>
      </c>
      <c r="AP2561" s="91">
        <v>6175.7022879004508</v>
      </c>
      <c r="AQ2561" s="91">
        <v>6175.7022879004508</v>
      </c>
      <c r="AR2561" s="91">
        <v>6175.7022879004508</v>
      </c>
      <c r="AS2561" s="91">
        <v>6175.7022879004508</v>
      </c>
      <c r="AT2561" s="91">
        <v>6175.7022879004508</v>
      </c>
      <c r="AU2561" s="91">
        <v>6175.7022879004508</v>
      </c>
      <c r="AV2561" s="91">
        <v>6175.7022879004508</v>
      </c>
      <c r="AW2561" s="91">
        <v>6175.7022879004508</v>
      </c>
      <c r="AX2561" s="92">
        <v>6175.7022879004508</v>
      </c>
    </row>
    <row r="2562" spans="1:50" x14ac:dyDescent="0.25">
      <c r="A2562" s="356"/>
      <c r="B2562" s="359"/>
      <c r="C2562" s="360"/>
      <c r="D2562" s="59" t="s">
        <v>20</v>
      </c>
      <c r="E2562" s="166" t="str">
        <f>A2539&amp;"/"&amp;B2555&amp;"/"&amp;C2559&amp;"/"&amp;D2562</f>
        <v>Fuel oil fired power plants/Steam turbine/CHP/XS</v>
      </c>
      <c r="F2562" s="79" t="str">
        <f>A2539</f>
        <v>Fuel oil fired power plants</v>
      </c>
      <c r="G2562" s="79" t="str">
        <f>B2555</f>
        <v>Steam turbine</v>
      </c>
      <c r="H2562" s="79" t="str">
        <f>C2559</f>
        <v>CHP</v>
      </c>
      <c r="I2562" s="167" t="str">
        <f t="shared" si="121"/>
        <v>XS</v>
      </c>
      <c r="J2562" s="97">
        <v>5978.1958252704389</v>
      </c>
      <c r="K2562" s="97">
        <v>5978.1958252704389</v>
      </c>
      <c r="L2562" s="97">
        <v>5978.1958252704389</v>
      </c>
      <c r="M2562" s="97">
        <v>5978.1958252704389</v>
      </c>
      <c r="N2562" s="97">
        <v>5978.1958252704389</v>
      </c>
      <c r="O2562" s="97">
        <v>5978.1958252704389</v>
      </c>
      <c r="P2562" s="97">
        <v>5978.1958252704389</v>
      </c>
      <c r="Q2562" s="97">
        <v>5978.1958252704389</v>
      </c>
      <c r="R2562" s="97">
        <v>5978.1958252704389</v>
      </c>
      <c r="S2562" s="97">
        <v>5978.1958252704389</v>
      </c>
      <c r="T2562" s="97">
        <v>5978.1958252704389</v>
      </c>
      <c r="U2562" s="97">
        <v>5978.1958252704389</v>
      </c>
      <c r="V2562" s="97">
        <v>5978.1958252704389</v>
      </c>
      <c r="W2562" s="97">
        <v>5978.1958252704389</v>
      </c>
      <c r="X2562" s="97">
        <v>5978.1958252704389</v>
      </c>
      <c r="Y2562" s="97">
        <v>5978.1958252704389</v>
      </c>
      <c r="Z2562" s="97">
        <v>5978.1958252704389</v>
      </c>
      <c r="AA2562" s="97">
        <v>5978.1958252704389</v>
      </c>
      <c r="AB2562" s="97">
        <v>5978.1958252704389</v>
      </c>
      <c r="AC2562" s="97">
        <v>5978.1958252704389</v>
      </c>
      <c r="AD2562" s="97">
        <v>5978.1958252704389</v>
      </c>
      <c r="AE2562" s="97">
        <v>5978.1958252704389</v>
      </c>
      <c r="AF2562" s="97">
        <v>5978.1958252704389</v>
      </c>
      <c r="AG2562" s="97">
        <v>5978.1958252704389</v>
      </c>
      <c r="AH2562" s="97">
        <v>5978.1958252704389</v>
      </c>
      <c r="AI2562" s="97">
        <v>5978.1958252704389</v>
      </c>
      <c r="AJ2562" s="97">
        <v>5978.1958252704389</v>
      </c>
      <c r="AK2562" s="97">
        <v>5978.1958252704389</v>
      </c>
      <c r="AL2562" s="97">
        <v>5978.1958252704389</v>
      </c>
      <c r="AM2562" s="97">
        <v>5978.1958252704389</v>
      </c>
      <c r="AN2562" s="97">
        <v>5978.1958252704389</v>
      </c>
      <c r="AO2562" s="97">
        <v>5978.1958252704389</v>
      </c>
      <c r="AP2562" s="97">
        <v>5978.1958252704389</v>
      </c>
      <c r="AQ2562" s="97">
        <v>5978.1958252704389</v>
      </c>
      <c r="AR2562" s="97">
        <v>5978.1958252704389</v>
      </c>
      <c r="AS2562" s="97">
        <v>5978.1958252704389</v>
      </c>
      <c r="AT2562" s="97">
        <v>5978.1958252704389</v>
      </c>
      <c r="AU2562" s="97">
        <v>5978.1958252704389</v>
      </c>
      <c r="AV2562" s="97">
        <v>5978.1958252704389</v>
      </c>
      <c r="AW2562" s="97">
        <v>5978.1958252704389</v>
      </c>
      <c r="AX2562" s="98">
        <v>5978.1958252704389</v>
      </c>
    </row>
    <row r="2563" spans="1:50" x14ac:dyDescent="0.25">
      <c r="A2563" s="356"/>
      <c r="B2563" s="359"/>
      <c r="C2563" s="361" t="s">
        <v>15</v>
      </c>
      <c r="D2563" s="58" t="s">
        <v>7</v>
      </c>
      <c r="E2563" s="164" t="str">
        <f>A2539&amp;"/"&amp;B2555&amp;"/"&amp;C2563&amp;"/"&amp;D2563</f>
        <v>Fuel oil fired power plants/Steam turbine/Electricity only with CCS/L</v>
      </c>
      <c r="F2563" s="78" t="str">
        <f>A2539</f>
        <v>Fuel oil fired power plants</v>
      </c>
      <c r="G2563" s="78" t="str">
        <f>B2555</f>
        <v>Steam turbine</v>
      </c>
      <c r="H2563" s="78" t="str">
        <f>C2563</f>
        <v>Electricity only with CCS</v>
      </c>
      <c r="I2563" s="165" t="str">
        <f t="shared" si="121"/>
        <v>L</v>
      </c>
      <c r="J2563" s="95" t="s">
        <v>112</v>
      </c>
      <c r="K2563" s="95" t="s">
        <v>112</v>
      </c>
      <c r="L2563" s="95" t="s">
        <v>112</v>
      </c>
      <c r="M2563" s="95" t="s">
        <v>112</v>
      </c>
      <c r="N2563" s="95" t="s">
        <v>112</v>
      </c>
      <c r="O2563" s="95" t="s">
        <v>112</v>
      </c>
      <c r="P2563" s="95" t="s">
        <v>112</v>
      </c>
      <c r="Q2563" s="95" t="s">
        <v>112</v>
      </c>
      <c r="R2563" s="95" t="s">
        <v>112</v>
      </c>
      <c r="S2563" s="95" t="s">
        <v>112</v>
      </c>
      <c r="T2563" s="95" t="s">
        <v>112</v>
      </c>
      <c r="U2563" s="95" t="s">
        <v>112</v>
      </c>
      <c r="V2563" s="95" t="s">
        <v>112</v>
      </c>
      <c r="W2563" s="95" t="s">
        <v>112</v>
      </c>
      <c r="X2563" s="95" t="s">
        <v>112</v>
      </c>
      <c r="Y2563" s="95" t="s">
        <v>112</v>
      </c>
      <c r="Z2563" s="95" t="s">
        <v>112</v>
      </c>
      <c r="AA2563" s="95" t="s">
        <v>112</v>
      </c>
      <c r="AB2563" s="95" t="s">
        <v>112</v>
      </c>
      <c r="AC2563" s="95" t="s">
        <v>112</v>
      </c>
      <c r="AD2563" s="95" t="s">
        <v>112</v>
      </c>
      <c r="AE2563" s="95">
        <v>7200</v>
      </c>
      <c r="AF2563" s="95">
        <v>7200</v>
      </c>
      <c r="AG2563" s="95">
        <v>7200</v>
      </c>
      <c r="AH2563" s="95">
        <v>7200</v>
      </c>
      <c r="AI2563" s="95">
        <v>7200</v>
      </c>
      <c r="AJ2563" s="95">
        <v>7200</v>
      </c>
      <c r="AK2563" s="95">
        <v>7200</v>
      </c>
      <c r="AL2563" s="95">
        <v>7200</v>
      </c>
      <c r="AM2563" s="95">
        <v>7200</v>
      </c>
      <c r="AN2563" s="95">
        <v>7200</v>
      </c>
      <c r="AO2563" s="95">
        <v>7200</v>
      </c>
      <c r="AP2563" s="95">
        <v>7200</v>
      </c>
      <c r="AQ2563" s="95">
        <v>7200</v>
      </c>
      <c r="AR2563" s="95">
        <v>7200</v>
      </c>
      <c r="AS2563" s="95">
        <v>7200</v>
      </c>
      <c r="AT2563" s="95">
        <v>7200</v>
      </c>
      <c r="AU2563" s="95">
        <v>7200</v>
      </c>
      <c r="AV2563" s="95">
        <v>7200</v>
      </c>
      <c r="AW2563" s="95">
        <v>7200</v>
      </c>
      <c r="AX2563" s="96">
        <v>7200</v>
      </c>
    </row>
    <row r="2564" spans="1:50" x14ac:dyDescent="0.25">
      <c r="A2564" s="356"/>
      <c r="B2564" s="359"/>
      <c r="C2564" s="360"/>
      <c r="D2564" s="59" t="s">
        <v>8</v>
      </c>
      <c r="E2564" s="166" t="str">
        <f>A2539&amp;"/"&amp;B2555&amp;"/"&amp;C2563&amp;"/"&amp;D2564</f>
        <v>Fuel oil fired power plants/Steam turbine/Electricity only with CCS/M</v>
      </c>
      <c r="F2564" s="79" t="str">
        <f>A2539</f>
        <v>Fuel oil fired power plants</v>
      </c>
      <c r="G2564" s="79" t="str">
        <f>B2555</f>
        <v>Steam turbine</v>
      </c>
      <c r="H2564" s="79" t="str">
        <f>C2563</f>
        <v>Electricity only with CCS</v>
      </c>
      <c r="I2564" s="167" t="str">
        <f t="shared" si="121"/>
        <v>M</v>
      </c>
      <c r="J2564" s="97" t="s">
        <v>112</v>
      </c>
      <c r="K2564" s="97" t="s">
        <v>112</v>
      </c>
      <c r="L2564" s="97" t="s">
        <v>112</v>
      </c>
      <c r="M2564" s="97" t="s">
        <v>112</v>
      </c>
      <c r="N2564" s="97" t="s">
        <v>112</v>
      </c>
      <c r="O2564" s="97" t="s">
        <v>112</v>
      </c>
      <c r="P2564" s="97" t="s">
        <v>112</v>
      </c>
      <c r="Q2564" s="97" t="s">
        <v>112</v>
      </c>
      <c r="R2564" s="97" t="s">
        <v>112</v>
      </c>
      <c r="S2564" s="97" t="s">
        <v>112</v>
      </c>
      <c r="T2564" s="97" t="s">
        <v>112</v>
      </c>
      <c r="U2564" s="97" t="s">
        <v>112</v>
      </c>
      <c r="V2564" s="97" t="s">
        <v>112</v>
      </c>
      <c r="W2564" s="97" t="s">
        <v>112</v>
      </c>
      <c r="X2564" s="97" t="s">
        <v>112</v>
      </c>
      <c r="Y2564" s="97" t="s">
        <v>112</v>
      </c>
      <c r="Z2564" s="97" t="s">
        <v>112</v>
      </c>
      <c r="AA2564" s="97" t="s">
        <v>112</v>
      </c>
      <c r="AB2564" s="97" t="s">
        <v>112</v>
      </c>
      <c r="AC2564" s="97" t="s">
        <v>112</v>
      </c>
      <c r="AD2564" s="97" t="s">
        <v>112</v>
      </c>
      <c r="AE2564" s="97">
        <v>6885.7379984882664</v>
      </c>
      <c r="AF2564" s="97">
        <v>6885.7379984882664</v>
      </c>
      <c r="AG2564" s="97">
        <v>6885.7379984882664</v>
      </c>
      <c r="AH2564" s="97">
        <v>6885.7379984882664</v>
      </c>
      <c r="AI2564" s="97">
        <v>6885.7379984882664</v>
      </c>
      <c r="AJ2564" s="97">
        <v>6885.7379984882664</v>
      </c>
      <c r="AK2564" s="97">
        <v>6885.7379984882664</v>
      </c>
      <c r="AL2564" s="97">
        <v>6885.7379984882664</v>
      </c>
      <c r="AM2564" s="97">
        <v>6885.7379984882664</v>
      </c>
      <c r="AN2564" s="97">
        <v>6885.7379984882664</v>
      </c>
      <c r="AO2564" s="97">
        <v>6885.7379984882664</v>
      </c>
      <c r="AP2564" s="97">
        <v>6885.7379984882664</v>
      </c>
      <c r="AQ2564" s="97">
        <v>6885.7379984882664</v>
      </c>
      <c r="AR2564" s="97">
        <v>6885.7379984882664</v>
      </c>
      <c r="AS2564" s="97">
        <v>6885.7379984882664</v>
      </c>
      <c r="AT2564" s="97">
        <v>6885.7379984882664</v>
      </c>
      <c r="AU2564" s="97">
        <v>6885.7379984882664</v>
      </c>
      <c r="AV2564" s="97">
        <v>6885.7379984882664</v>
      </c>
      <c r="AW2564" s="97">
        <v>6885.7379984882664</v>
      </c>
      <c r="AX2564" s="98">
        <v>6885.7379984882664</v>
      </c>
    </row>
    <row r="2565" spans="1:50" x14ac:dyDescent="0.25">
      <c r="A2565" s="356"/>
      <c r="B2565" s="359"/>
      <c r="C2565" s="361" t="s">
        <v>16</v>
      </c>
      <c r="D2565" s="2" t="s">
        <v>7</v>
      </c>
      <c r="E2565" s="160" t="str">
        <f>A2539&amp;"/"&amp;B2555&amp;"/"&amp;C2565&amp;"/"&amp;D2565</f>
        <v>Fuel oil fired power plants/Steam turbine/CHP with CCS/L</v>
      </c>
      <c r="F2565" s="76" t="str">
        <f>A2539</f>
        <v>Fuel oil fired power plants</v>
      </c>
      <c r="G2565" s="76" t="str">
        <f>B2555</f>
        <v>Steam turbine</v>
      </c>
      <c r="H2565" s="76" t="str">
        <f>C2565</f>
        <v>CHP with CCS</v>
      </c>
      <c r="I2565" s="161" t="str">
        <f t="shared" si="121"/>
        <v>L</v>
      </c>
      <c r="J2565" s="91" t="s">
        <v>112</v>
      </c>
      <c r="K2565" s="91" t="s">
        <v>112</v>
      </c>
      <c r="L2565" s="91" t="s">
        <v>112</v>
      </c>
      <c r="M2565" s="91" t="s">
        <v>112</v>
      </c>
      <c r="N2565" s="91" t="s">
        <v>112</v>
      </c>
      <c r="O2565" s="91" t="s">
        <v>112</v>
      </c>
      <c r="P2565" s="91" t="s">
        <v>112</v>
      </c>
      <c r="Q2565" s="91" t="s">
        <v>112</v>
      </c>
      <c r="R2565" s="91" t="s">
        <v>112</v>
      </c>
      <c r="S2565" s="91" t="s">
        <v>112</v>
      </c>
      <c r="T2565" s="91" t="s">
        <v>112</v>
      </c>
      <c r="U2565" s="91" t="s">
        <v>112</v>
      </c>
      <c r="V2565" s="91" t="s">
        <v>112</v>
      </c>
      <c r="W2565" s="91" t="s">
        <v>112</v>
      </c>
      <c r="X2565" s="91" t="s">
        <v>112</v>
      </c>
      <c r="Y2565" s="91" t="s">
        <v>112</v>
      </c>
      <c r="Z2565" s="91" t="s">
        <v>112</v>
      </c>
      <c r="AA2565" s="91" t="s">
        <v>112</v>
      </c>
      <c r="AB2565" s="91" t="s">
        <v>112</v>
      </c>
      <c r="AC2565" s="91" t="s">
        <v>112</v>
      </c>
      <c r="AD2565" s="91" t="s">
        <v>112</v>
      </c>
      <c r="AE2565" s="91">
        <v>6840</v>
      </c>
      <c r="AF2565" s="91">
        <v>6840</v>
      </c>
      <c r="AG2565" s="91">
        <v>6840</v>
      </c>
      <c r="AH2565" s="91">
        <v>6840</v>
      </c>
      <c r="AI2565" s="91">
        <v>6840</v>
      </c>
      <c r="AJ2565" s="91">
        <v>6840</v>
      </c>
      <c r="AK2565" s="91">
        <v>6840</v>
      </c>
      <c r="AL2565" s="91">
        <v>6840</v>
      </c>
      <c r="AM2565" s="91">
        <v>6840</v>
      </c>
      <c r="AN2565" s="91">
        <v>6840</v>
      </c>
      <c r="AO2565" s="91">
        <v>6840</v>
      </c>
      <c r="AP2565" s="91">
        <v>6840</v>
      </c>
      <c r="AQ2565" s="91">
        <v>6840</v>
      </c>
      <c r="AR2565" s="91">
        <v>6840</v>
      </c>
      <c r="AS2565" s="91">
        <v>6840</v>
      </c>
      <c r="AT2565" s="91">
        <v>6840</v>
      </c>
      <c r="AU2565" s="91">
        <v>6840</v>
      </c>
      <c r="AV2565" s="91">
        <v>6840</v>
      </c>
      <c r="AW2565" s="91">
        <v>6840</v>
      </c>
      <c r="AX2565" s="92">
        <v>6840</v>
      </c>
    </row>
    <row r="2566" spans="1:50" x14ac:dyDescent="0.25">
      <c r="A2566" s="357"/>
      <c r="B2566" s="362"/>
      <c r="C2566" s="354"/>
      <c r="D2566" s="4" t="s">
        <v>8</v>
      </c>
      <c r="E2566" s="168" t="str">
        <f>A2539&amp;"/"&amp;B2555&amp;"/"&amp;C2565&amp;"/"&amp;D2566</f>
        <v>Fuel oil fired power plants/Steam turbine/CHP with CCS/M</v>
      </c>
      <c r="F2566" s="80" t="str">
        <f>A2539</f>
        <v>Fuel oil fired power plants</v>
      </c>
      <c r="G2566" s="80" t="str">
        <f>B2555</f>
        <v>Steam turbine</v>
      </c>
      <c r="H2566" s="80" t="str">
        <f>C2565</f>
        <v>CHP with CCS</v>
      </c>
      <c r="I2566" s="169" t="str">
        <f t="shared" si="121"/>
        <v>M</v>
      </c>
      <c r="J2566" s="99" t="s">
        <v>112</v>
      </c>
      <c r="K2566" s="99" t="s">
        <v>112</v>
      </c>
      <c r="L2566" s="99" t="s">
        <v>112</v>
      </c>
      <c r="M2566" s="99" t="s">
        <v>112</v>
      </c>
      <c r="N2566" s="99" t="s">
        <v>112</v>
      </c>
      <c r="O2566" s="99" t="s">
        <v>112</v>
      </c>
      <c r="P2566" s="99" t="s">
        <v>112</v>
      </c>
      <c r="Q2566" s="99" t="s">
        <v>112</v>
      </c>
      <c r="R2566" s="99" t="s">
        <v>112</v>
      </c>
      <c r="S2566" s="99" t="s">
        <v>112</v>
      </c>
      <c r="T2566" s="99" t="s">
        <v>112</v>
      </c>
      <c r="U2566" s="99" t="s">
        <v>112</v>
      </c>
      <c r="V2566" s="99" t="s">
        <v>112</v>
      </c>
      <c r="W2566" s="99" t="s">
        <v>112</v>
      </c>
      <c r="X2566" s="99" t="s">
        <v>112</v>
      </c>
      <c r="Y2566" s="99" t="s">
        <v>112</v>
      </c>
      <c r="Z2566" s="99" t="s">
        <v>112</v>
      </c>
      <c r="AA2566" s="99" t="s">
        <v>112</v>
      </c>
      <c r="AB2566" s="99" t="s">
        <v>112</v>
      </c>
      <c r="AC2566" s="99" t="s">
        <v>112</v>
      </c>
      <c r="AD2566" s="99" t="s">
        <v>112</v>
      </c>
      <c r="AE2566" s="99">
        <v>6541.4510985638535</v>
      </c>
      <c r="AF2566" s="99">
        <v>6541.4510985638535</v>
      </c>
      <c r="AG2566" s="99">
        <v>6541.4510985638535</v>
      </c>
      <c r="AH2566" s="99">
        <v>6541.4510985638535</v>
      </c>
      <c r="AI2566" s="99">
        <v>6541.4510985638535</v>
      </c>
      <c r="AJ2566" s="99">
        <v>6541.4510985638535</v>
      </c>
      <c r="AK2566" s="99">
        <v>6541.4510985638535</v>
      </c>
      <c r="AL2566" s="99">
        <v>6541.4510985638535</v>
      </c>
      <c r="AM2566" s="99">
        <v>6541.4510985638535</v>
      </c>
      <c r="AN2566" s="99">
        <v>6541.4510985638535</v>
      </c>
      <c r="AO2566" s="99">
        <v>6541.4510985638535</v>
      </c>
      <c r="AP2566" s="99">
        <v>6541.4510985638535</v>
      </c>
      <c r="AQ2566" s="99">
        <v>6541.4510985638535</v>
      </c>
      <c r="AR2566" s="99">
        <v>6541.4510985638535</v>
      </c>
      <c r="AS2566" s="99">
        <v>6541.4510985638535</v>
      </c>
      <c r="AT2566" s="99">
        <v>6541.4510985638535</v>
      </c>
      <c r="AU2566" s="99">
        <v>6541.4510985638535</v>
      </c>
      <c r="AV2566" s="99">
        <v>6541.4510985638535</v>
      </c>
      <c r="AW2566" s="99">
        <v>6541.4510985638535</v>
      </c>
      <c r="AX2566" s="100">
        <v>6541.4510985638535</v>
      </c>
    </row>
    <row r="2567" spans="1:50" x14ac:dyDescent="0.25">
      <c r="A2567" s="355" t="s">
        <v>30</v>
      </c>
      <c r="B2567" s="358" t="s">
        <v>13</v>
      </c>
      <c r="C2567" s="353" t="s">
        <v>6</v>
      </c>
      <c r="D2567" s="3" t="s">
        <v>7</v>
      </c>
      <c r="E2567" s="162" t="str">
        <f>A2567&amp;"/"&amp;B2567&amp;"/"&amp;C2567&amp;"/"&amp;D2567</f>
        <v>Biomass and waste fired power plants/Integrated gasification combined cycle/Electricity only/L</v>
      </c>
      <c r="F2567" s="77" t="str">
        <f>A2567</f>
        <v>Biomass and waste fired power plants</v>
      </c>
      <c r="G2567" s="77" t="str">
        <f>B2567</f>
        <v>Integrated gasification combined cycle</v>
      </c>
      <c r="H2567" s="77" t="str">
        <f>C2567</f>
        <v>Electricity only</v>
      </c>
      <c r="I2567" s="163" t="str">
        <f t="shared" si="121"/>
        <v>L</v>
      </c>
      <c r="J2567" s="93">
        <v>8650</v>
      </c>
      <c r="K2567" s="93">
        <v>8650</v>
      </c>
      <c r="L2567" s="93">
        <v>8650</v>
      </c>
      <c r="M2567" s="93">
        <v>8650</v>
      </c>
      <c r="N2567" s="93">
        <v>8650</v>
      </c>
      <c r="O2567" s="93">
        <v>8650</v>
      </c>
      <c r="P2567" s="93">
        <v>8650</v>
      </c>
      <c r="Q2567" s="93">
        <v>8650</v>
      </c>
      <c r="R2567" s="93">
        <v>8650</v>
      </c>
      <c r="S2567" s="93">
        <v>8650</v>
      </c>
      <c r="T2567" s="93">
        <v>8650</v>
      </c>
      <c r="U2567" s="93">
        <v>8650</v>
      </c>
      <c r="V2567" s="93">
        <v>8650</v>
      </c>
      <c r="W2567" s="93">
        <v>8650</v>
      </c>
      <c r="X2567" s="93">
        <v>8650</v>
      </c>
      <c r="Y2567" s="93">
        <v>8650</v>
      </c>
      <c r="Z2567" s="93">
        <v>8650</v>
      </c>
      <c r="AA2567" s="93">
        <v>8650</v>
      </c>
      <c r="AB2567" s="93">
        <v>8650</v>
      </c>
      <c r="AC2567" s="93">
        <v>8650</v>
      </c>
      <c r="AD2567" s="93">
        <v>8650</v>
      </c>
      <c r="AE2567" s="93">
        <v>8650</v>
      </c>
      <c r="AF2567" s="93">
        <v>8650</v>
      </c>
      <c r="AG2567" s="93">
        <v>8650</v>
      </c>
      <c r="AH2567" s="93">
        <v>8650</v>
      </c>
      <c r="AI2567" s="93">
        <v>8650</v>
      </c>
      <c r="AJ2567" s="93">
        <v>8650</v>
      </c>
      <c r="AK2567" s="93">
        <v>8650</v>
      </c>
      <c r="AL2567" s="93">
        <v>8650</v>
      </c>
      <c r="AM2567" s="93">
        <v>8650</v>
      </c>
      <c r="AN2567" s="93">
        <v>8650</v>
      </c>
      <c r="AO2567" s="93">
        <v>8650</v>
      </c>
      <c r="AP2567" s="93">
        <v>8650</v>
      </c>
      <c r="AQ2567" s="93">
        <v>8650</v>
      </c>
      <c r="AR2567" s="93">
        <v>8650</v>
      </c>
      <c r="AS2567" s="93">
        <v>8650</v>
      </c>
      <c r="AT2567" s="93">
        <v>8650</v>
      </c>
      <c r="AU2567" s="93">
        <v>8650</v>
      </c>
      <c r="AV2567" s="93">
        <v>8650</v>
      </c>
      <c r="AW2567" s="93">
        <v>8650</v>
      </c>
      <c r="AX2567" s="94">
        <v>8650</v>
      </c>
    </row>
    <row r="2568" spans="1:50" x14ac:dyDescent="0.25">
      <c r="A2568" s="356"/>
      <c r="B2568" s="359"/>
      <c r="C2568" s="360"/>
      <c r="D2568" s="2" t="s">
        <v>8</v>
      </c>
      <c r="E2568" s="160" t="str">
        <f>A2567&amp;"/"&amp;B2567&amp;"/"&amp;C2567&amp;"/"&amp;D2568</f>
        <v>Biomass and waste fired power plants/Integrated gasification combined cycle/Electricity only/M</v>
      </c>
      <c r="F2568" s="76" t="str">
        <f>A2567</f>
        <v>Biomass and waste fired power plants</v>
      </c>
      <c r="G2568" s="76" t="str">
        <f>B2567</f>
        <v>Integrated gasification combined cycle</v>
      </c>
      <c r="H2568" s="76" t="str">
        <f>C2567</f>
        <v>Electricity only</v>
      </c>
      <c r="I2568" s="161" t="str">
        <f t="shared" si="121"/>
        <v>M</v>
      </c>
      <c r="J2568" s="91">
        <v>8007.8861492192436</v>
      </c>
      <c r="K2568" s="91">
        <v>8007.8861492192436</v>
      </c>
      <c r="L2568" s="91">
        <v>8007.8861492192436</v>
      </c>
      <c r="M2568" s="91">
        <v>8007.8861492192436</v>
      </c>
      <c r="N2568" s="91">
        <v>8007.8861492192436</v>
      </c>
      <c r="O2568" s="91">
        <v>8007.8861492192436</v>
      </c>
      <c r="P2568" s="91">
        <v>8007.8861492192436</v>
      </c>
      <c r="Q2568" s="91">
        <v>8007.8861492192436</v>
      </c>
      <c r="R2568" s="91">
        <v>8007.8861492192436</v>
      </c>
      <c r="S2568" s="91">
        <v>8007.8861492192436</v>
      </c>
      <c r="T2568" s="91">
        <v>8007.8861492192436</v>
      </c>
      <c r="U2568" s="91">
        <v>8007.8861492192436</v>
      </c>
      <c r="V2568" s="91">
        <v>8007.8861492192436</v>
      </c>
      <c r="W2568" s="91">
        <v>8007.8861492192436</v>
      </c>
      <c r="X2568" s="91">
        <v>8007.8861492192436</v>
      </c>
      <c r="Y2568" s="91">
        <v>8007.8861492192436</v>
      </c>
      <c r="Z2568" s="91">
        <v>8007.8861492192436</v>
      </c>
      <c r="AA2568" s="91">
        <v>8007.8861492192436</v>
      </c>
      <c r="AB2568" s="91">
        <v>8007.8861492192436</v>
      </c>
      <c r="AC2568" s="91">
        <v>8007.8861492192436</v>
      </c>
      <c r="AD2568" s="91">
        <v>8007.8861492192436</v>
      </c>
      <c r="AE2568" s="91">
        <v>8007.8861492192436</v>
      </c>
      <c r="AF2568" s="91">
        <v>8007.8861492192436</v>
      </c>
      <c r="AG2568" s="91">
        <v>8007.8861492192436</v>
      </c>
      <c r="AH2568" s="91">
        <v>8007.8861492192436</v>
      </c>
      <c r="AI2568" s="91">
        <v>8007.8861492192436</v>
      </c>
      <c r="AJ2568" s="91">
        <v>8007.8861492192436</v>
      </c>
      <c r="AK2568" s="91">
        <v>8007.8861492192436</v>
      </c>
      <c r="AL2568" s="91">
        <v>8007.8861492192436</v>
      </c>
      <c r="AM2568" s="91">
        <v>8007.8861492192436</v>
      </c>
      <c r="AN2568" s="91">
        <v>8007.8861492192436</v>
      </c>
      <c r="AO2568" s="91">
        <v>8007.8861492192436</v>
      </c>
      <c r="AP2568" s="91">
        <v>8007.8861492192436</v>
      </c>
      <c r="AQ2568" s="91">
        <v>8007.8861492192436</v>
      </c>
      <c r="AR2568" s="91">
        <v>8007.8861492192436</v>
      </c>
      <c r="AS2568" s="91">
        <v>8007.8861492192436</v>
      </c>
      <c r="AT2568" s="91">
        <v>8007.8861492192436</v>
      </c>
      <c r="AU2568" s="91">
        <v>8007.8861492192436</v>
      </c>
      <c r="AV2568" s="91">
        <v>8007.8861492192436</v>
      </c>
      <c r="AW2568" s="91">
        <v>8007.8861492192436</v>
      </c>
      <c r="AX2568" s="92">
        <v>8007.8861492192436</v>
      </c>
    </row>
    <row r="2569" spans="1:50" x14ac:dyDescent="0.25">
      <c r="A2569" s="356"/>
      <c r="B2569" s="359"/>
      <c r="C2569" s="361" t="s">
        <v>14</v>
      </c>
      <c r="D2569" s="58" t="s">
        <v>7</v>
      </c>
      <c r="E2569" s="164" t="str">
        <f>A2567&amp;"/"&amp;B2567&amp;"/"&amp;C2569&amp;"/"&amp;D2569</f>
        <v>Biomass and waste fired power plants/Integrated gasification combined cycle/CHP/L</v>
      </c>
      <c r="F2569" s="78" t="str">
        <f>A2567</f>
        <v>Biomass and waste fired power plants</v>
      </c>
      <c r="G2569" s="78" t="str">
        <f>B2567</f>
        <v>Integrated gasification combined cycle</v>
      </c>
      <c r="H2569" s="78" t="str">
        <f>C2569</f>
        <v>CHP</v>
      </c>
      <c r="I2569" s="165" t="str">
        <f t="shared" si="121"/>
        <v>L</v>
      </c>
      <c r="J2569" s="95">
        <v>8650</v>
      </c>
      <c r="K2569" s="95">
        <v>8650</v>
      </c>
      <c r="L2569" s="95">
        <v>8650</v>
      </c>
      <c r="M2569" s="95">
        <v>8650</v>
      </c>
      <c r="N2569" s="95">
        <v>8650</v>
      </c>
      <c r="O2569" s="95">
        <v>8650</v>
      </c>
      <c r="P2569" s="95">
        <v>8650</v>
      </c>
      <c r="Q2569" s="95">
        <v>8650</v>
      </c>
      <c r="R2569" s="95">
        <v>8650</v>
      </c>
      <c r="S2569" s="95">
        <v>8650</v>
      </c>
      <c r="T2569" s="95">
        <v>8650</v>
      </c>
      <c r="U2569" s="95">
        <v>8650</v>
      </c>
      <c r="V2569" s="95">
        <v>8650</v>
      </c>
      <c r="W2569" s="95">
        <v>8650</v>
      </c>
      <c r="X2569" s="95">
        <v>8650</v>
      </c>
      <c r="Y2569" s="95">
        <v>8650</v>
      </c>
      <c r="Z2569" s="95">
        <v>8650</v>
      </c>
      <c r="AA2569" s="95">
        <v>8650</v>
      </c>
      <c r="AB2569" s="95">
        <v>8650</v>
      </c>
      <c r="AC2569" s="95">
        <v>8650</v>
      </c>
      <c r="AD2569" s="95">
        <v>8650</v>
      </c>
      <c r="AE2569" s="95">
        <v>8650</v>
      </c>
      <c r="AF2569" s="95">
        <v>8650</v>
      </c>
      <c r="AG2569" s="95">
        <v>8650</v>
      </c>
      <c r="AH2569" s="95">
        <v>8650</v>
      </c>
      <c r="AI2569" s="95">
        <v>8650</v>
      </c>
      <c r="AJ2569" s="95">
        <v>8650</v>
      </c>
      <c r="AK2569" s="95">
        <v>8650</v>
      </c>
      <c r="AL2569" s="95">
        <v>8650</v>
      </c>
      <c r="AM2569" s="95">
        <v>8650</v>
      </c>
      <c r="AN2569" s="95">
        <v>8650</v>
      </c>
      <c r="AO2569" s="95">
        <v>8650</v>
      </c>
      <c r="AP2569" s="95">
        <v>8650</v>
      </c>
      <c r="AQ2569" s="95">
        <v>8650</v>
      </c>
      <c r="AR2569" s="95">
        <v>8650</v>
      </c>
      <c r="AS2569" s="95">
        <v>8650</v>
      </c>
      <c r="AT2569" s="95">
        <v>8650</v>
      </c>
      <c r="AU2569" s="95">
        <v>8650</v>
      </c>
      <c r="AV2569" s="95">
        <v>8650</v>
      </c>
      <c r="AW2569" s="95">
        <v>8650</v>
      </c>
      <c r="AX2569" s="96">
        <v>8650</v>
      </c>
    </row>
    <row r="2570" spans="1:50" x14ac:dyDescent="0.25">
      <c r="A2570" s="356"/>
      <c r="B2570" s="359"/>
      <c r="C2570" s="360"/>
      <c r="D2570" s="59" t="s">
        <v>8</v>
      </c>
      <c r="E2570" s="166" t="str">
        <f>A2567&amp;"/"&amp;B2567&amp;"/"&amp;C2569&amp;"/"&amp;D2570</f>
        <v>Biomass and waste fired power plants/Integrated gasification combined cycle/CHP/M</v>
      </c>
      <c r="F2570" s="79" t="str">
        <f>A2567</f>
        <v>Biomass and waste fired power plants</v>
      </c>
      <c r="G2570" s="79" t="str">
        <f>B2567</f>
        <v>Integrated gasification combined cycle</v>
      </c>
      <c r="H2570" s="79" t="str">
        <f>C2569</f>
        <v>CHP</v>
      </c>
      <c r="I2570" s="167" t="str">
        <f t="shared" si="121"/>
        <v>M</v>
      </c>
      <c r="J2570" s="97">
        <v>7809.9159050203061</v>
      </c>
      <c r="K2570" s="97">
        <v>7809.9159050203061</v>
      </c>
      <c r="L2570" s="97">
        <v>7809.9159050203061</v>
      </c>
      <c r="M2570" s="97">
        <v>7809.9159050203061</v>
      </c>
      <c r="N2570" s="97">
        <v>7809.9159050203061</v>
      </c>
      <c r="O2570" s="97">
        <v>7809.9159050203061</v>
      </c>
      <c r="P2570" s="97">
        <v>7809.9159050203061</v>
      </c>
      <c r="Q2570" s="97">
        <v>7809.9159050203061</v>
      </c>
      <c r="R2570" s="97">
        <v>7809.9159050203061</v>
      </c>
      <c r="S2570" s="97">
        <v>7809.9159050203061</v>
      </c>
      <c r="T2570" s="97">
        <v>7809.9159050203061</v>
      </c>
      <c r="U2570" s="97">
        <v>7809.9159050203061</v>
      </c>
      <c r="V2570" s="97">
        <v>7809.9159050203061</v>
      </c>
      <c r="W2570" s="97">
        <v>7809.9159050203061</v>
      </c>
      <c r="X2570" s="97">
        <v>7809.9159050203061</v>
      </c>
      <c r="Y2570" s="97">
        <v>7809.9159050203061</v>
      </c>
      <c r="Z2570" s="97">
        <v>7809.9159050203061</v>
      </c>
      <c r="AA2570" s="97">
        <v>7809.9159050203061</v>
      </c>
      <c r="AB2570" s="97">
        <v>7809.9159050203061</v>
      </c>
      <c r="AC2570" s="97">
        <v>7809.9159050203061</v>
      </c>
      <c r="AD2570" s="97">
        <v>7809.9159050203061</v>
      </c>
      <c r="AE2570" s="97">
        <v>7809.9159050203061</v>
      </c>
      <c r="AF2570" s="97">
        <v>7809.9159050203061</v>
      </c>
      <c r="AG2570" s="97">
        <v>7809.9159050203061</v>
      </c>
      <c r="AH2570" s="97">
        <v>7809.9159050203061</v>
      </c>
      <c r="AI2570" s="97">
        <v>7809.9159050203061</v>
      </c>
      <c r="AJ2570" s="97">
        <v>7809.9159050203061</v>
      </c>
      <c r="AK2570" s="97">
        <v>7809.9159050203061</v>
      </c>
      <c r="AL2570" s="97">
        <v>7809.9159050203061</v>
      </c>
      <c r="AM2570" s="97">
        <v>7809.9159050203061</v>
      </c>
      <c r="AN2570" s="97">
        <v>7809.9159050203061</v>
      </c>
      <c r="AO2570" s="97">
        <v>7809.9159050203061</v>
      </c>
      <c r="AP2570" s="97">
        <v>7809.9159050203061</v>
      </c>
      <c r="AQ2570" s="97">
        <v>7809.9159050203061</v>
      </c>
      <c r="AR2570" s="97">
        <v>7809.9159050203061</v>
      </c>
      <c r="AS2570" s="97">
        <v>7809.9159050203061</v>
      </c>
      <c r="AT2570" s="97">
        <v>7809.9159050203061</v>
      </c>
      <c r="AU2570" s="97">
        <v>7809.9159050203061</v>
      </c>
      <c r="AV2570" s="97">
        <v>7809.9159050203061</v>
      </c>
      <c r="AW2570" s="97">
        <v>7809.9159050203061</v>
      </c>
      <c r="AX2570" s="98">
        <v>7809.9159050203061</v>
      </c>
    </row>
    <row r="2571" spans="1:50" x14ac:dyDescent="0.25">
      <c r="A2571" s="356"/>
      <c r="B2571" s="359"/>
      <c r="C2571" s="361" t="s">
        <v>15</v>
      </c>
      <c r="D2571" s="58" t="s">
        <v>7</v>
      </c>
      <c r="E2571" s="164" t="str">
        <f>A2567&amp;"/"&amp;B2567&amp;"/"&amp;C2571&amp;"/"&amp;D2571</f>
        <v>Biomass and waste fired power plants/Integrated gasification combined cycle/Electricity only with CCS/L</v>
      </c>
      <c r="F2571" s="78" t="str">
        <f>A2567</f>
        <v>Biomass and waste fired power plants</v>
      </c>
      <c r="G2571" s="78" t="str">
        <f>B2567</f>
        <v>Integrated gasification combined cycle</v>
      </c>
      <c r="H2571" s="78" t="str">
        <f>C2571</f>
        <v>Electricity only with CCS</v>
      </c>
      <c r="I2571" s="165" t="str">
        <f t="shared" si="121"/>
        <v>L</v>
      </c>
      <c r="J2571" s="95" t="s">
        <v>112</v>
      </c>
      <c r="K2571" s="95" t="s">
        <v>112</v>
      </c>
      <c r="L2571" s="95" t="s">
        <v>112</v>
      </c>
      <c r="M2571" s="95" t="s">
        <v>112</v>
      </c>
      <c r="N2571" s="95" t="s">
        <v>112</v>
      </c>
      <c r="O2571" s="95" t="s">
        <v>112</v>
      </c>
      <c r="P2571" s="95" t="s">
        <v>112</v>
      </c>
      <c r="Q2571" s="95" t="s">
        <v>112</v>
      </c>
      <c r="R2571" s="95" t="s">
        <v>112</v>
      </c>
      <c r="S2571" s="95" t="s">
        <v>112</v>
      </c>
      <c r="T2571" s="95" t="s">
        <v>112</v>
      </c>
      <c r="U2571" s="95" t="s">
        <v>112</v>
      </c>
      <c r="V2571" s="95" t="s">
        <v>112</v>
      </c>
      <c r="W2571" s="95" t="s">
        <v>112</v>
      </c>
      <c r="X2571" s="95" t="s">
        <v>112</v>
      </c>
      <c r="Y2571" s="95" t="s">
        <v>112</v>
      </c>
      <c r="Z2571" s="95" t="s">
        <v>112</v>
      </c>
      <c r="AA2571" s="95" t="s">
        <v>112</v>
      </c>
      <c r="AB2571" s="95" t="s">
        <v>112</v>
      </c>
      <c r="AC2571" s="95" t="s">
        <v>112</v>
      </c>
      <c r="AD2571" s="95" t="s">
        <v>112</v>
      </c>
      <c r="AE2571" s="95">
        <v>8650</v>
      </c>
      <c r="AF2571" s="95">
        <v>8650</v>
      </c>
      <c r="AG2571" s="95">
        <v>8650</v>
      </c>
      <c r="AH2571" s="95">
        <v>8650</v>
      </c>
      <c r="AI2571" s="95">
        <v>8650</v>
      </c>
      <c r="AJ2571" s="95">
        <v>8650</v>
      </c>
      <c r="AK2571" s="95">
        <v>8650</v>
      </c>
      <c r="AL2571" s="95">
        <v>8650</v>
      </c>
      <c r="AM2571" s="95">
        <v>8650</v>
      </c>
      <c r="AN2571" s="95">
        <v>8650</v>
      </c>
      <c r="AO2571" s="95">
        <v>8650</v>
      </c>
      <c r="AP2571" s="95">
        <v>8650</v>
      </c>
      <c r="AQ2571" s="95">
        <v>8650</v>
      </c>
      <c r="AR2571" s="95">
        <v>8650</v>
      </c>
      <c r="AS2571" s="95">
        <v>8650</v>
      </c>
      <c r="AT2571" s="95">
        <v>8650</v>
      </c>
      <c r="AU2571" s="95">
        <v>8650</v>
      </c>
      <c r="AV2571" s="95">
        <v>8650</v>
      </c>
      <c r="AW2571" s="95">
        <v>8650</v>
      </c>
      <c r="AX2571" s="96">
        <v>8650</v>
      </c>
    </row>
    <row r="2572" spans="1:50" x14ac:dyDescent="0.25">
      <c r="A2572" s="356"/>
      <c r="B2572" s="359"/>
      <c r="C2572" s="360"/>
      <c r="D2572" s="59" t="s">
        <v>8</v>
      </c>
      <c r="E2572" s="166" t="str">
        <f>A2567&amp;"/"&amp;B2567&amp;"/"&amp;C2571&amp;"/"&amp;D2572</f>
        <v>Biomass and waste fired power plants/Integrated gasification combined cycle/Electricity only with CCS/M</v>
      </c>
      <c r="F2572" s="79" t="str">
        <f>A2567</f>
        <v>Biomass and waste fired power plants</v>
      </c>
      <c r="G2572" s="79" t="str">
        <f>B2567</f>
        <v>Integrated gasification combined cycle</v>
      </c>
      <c r="H2572" s="79" t="str">
        <f>C2571</f>
        <v>Electricity only with CCS</v>
      </c>
      <c r="I2572" s="167" t="str">
        <f t="shared" si="121"/>
        <v>M</v>
      </c>
      <c r="J2572" s="97" t="s">
        <v>112</v>
      </c>
      <c r="K2572" s="97" t="s">
        <v>112</v>
      </c>
      <c r="L2572" s="97" t="s">
        <v>112</v>
      </c>
      <c r="M2572" s="97" t="s">
        <v>112</v>
      </c>
      <c r="N2572" s="97" t="s">
        <v>112</v>
      </c>
      <c r="O2572" s="97" t="s">
        <v>112</v>
      </c>
      <c r="P2572" s="97" t="s">
        <v>112</v>
      </c>
      <c r="Q2572" s="97" t="s">
        <v>112</v>
      </c>
      <c r="R2572" s="97" t="s">
        <v>112</v>
      </c>
      <c r="S2572" s="97" t="s">
        <v>112</v>
      </c>
      <c r="T2572" s="97" t="s">
        <v>112</v>
      </c>
      <c r="U2572" s="97" t="s">
        <v>112</v>
      </c>
      <c r="V2572" s="97" t="s">
        <v>112</v>
      </c>
      <c r="W2572" s="97" t="s">
        <v>112</v>
      </c>
      <c r="X2572" s="97" t="s">
        <v>112</v>
      </c>
      <c r="Y2572" s="97" t="s">
        <v>112</v>
      </c>
      <c r="Z2572" s="97" t="s">
        <v>112</v>
      </c>
      <c r="AA2572" s="97" t="s">
        <v>112</v>
      </c>
      <c r="AB2572" s="97" t="s">
        <v>112</v>
      </c>
      <c r="AC2572" s="97" t="s">
        <v>112</v>
      </c>
      <c r="AD2572" s="97" t="s">
        <v>112</v>
      </c>
      <c r="AE2572" s="97">
        <v>8007.8861492192436</v>
      </c>
      <c r="AF2572" s="97">
        <v>8007.8861492192436</v>
      </c>
      <c r="AG2572" s="97">
        <v>8007.8861492192436</v>
      </c>
      <c r="AH2572" s="97">
        <v>8007.8861492192436</v>
      </c>
      <c r="AI2572" s="97">
        <v>8007.8861492192436</v>
      </c>
      <c r="AJ2572" s="97">
        <v>8007.8861492192436</v>
      </c>
      <c r="AK2572" s="97">
        <v>8007.8861492192436</v>
      </c>
      <c r="AL2572" s="97">
        <v>8007.8861492192436</v>
      </c>
      <c r="AM2572" s="97">
        <v>8007.8861492192436</v>
      </c>
      <c r="AN2572" s="97">
        <v>8007.8861492192436</v>
      </c>
      <c r="AO2572" s="97">
        <v>8007.8861492192436</v>
      </c>
      <c r="AP2572" s="97">
        <v>8007.8861492192436</v>
      </c>
      <c r="AQ2572" s="97">
        <v>8007.8861492192436</v>
      </c>
      <c r="AR2572" s="97">
        <v>8007.8861492192436</v>
      </c>
      <c r="AS2572" s="97">
        <v>8007.8861492192436</v>
      </c>
      <c r="AT2572" s="97">
        <v>8007.8861492192436</v>
      </c>
      <c r="AU2572" s="97">
        <v>8007.8861492192436</v>
      </c>
      <c r="AV2572" s="97">
        <v>8007.8861492192436</v>
      </c>
      <c r="AW2572" s="97">
        <v>8007.8861492192436</v>
      </c>
      <c r="AX2572" s="98">
        <v>8007.8861492192436</v>
      </c>
    </row>
    <row r="2573" spans="1:50" x14ac:dyDescent="0.25">
      <c r="A2573" s="356"/>
      <c r="B2573" s="359"/>
      <c r="C2573" s="361" t="s">
        <v>16</v>
      </c>
      <c r="D2573" s="2" t="s">
        <v>7</v>
      </c>
      <c r="E2573" s="160" t="str">
        <f>A2567&amp;"/"&amp;B2567&amp;"/"&amp;C2573&amp;"/"&amp;D2573</f>
        <v>Biomass and waste fired power plants/Integrated gasification combined cycle/CHP with CCS/L</v>
      </c>
      <c r="F2573" s="76" t="str">
        <f>A2567</f>
        <v>Biomass and waste fired power plants</v>
      </c>
      <c r="G2573" s="76" t="str">
        <f>B2567</f>
        <v>Integrated gasification combined cycle</v>
      </c>
      <c r="H2573" s="76" t="str">
        <f>C2573</f>
        <v>CHP with CCS</v>
      </c>
      <c r="I2573" s="161" t="str">
        <f t="shared" si="121"/>
        <v>L</v>
      </c>
      <c r="J2573" s="91" t="s">
        <v>112</v>
      </c>
      <c r="K2573" s="91" t="s">
        <v>112</v>
      </c>
      <c r="L2573" s="91" t="s">
        <v>112</v>
      </c>
      <c r="M2573" s="91" t="s">
        <v>112</v>
      </c>
      <c r="N2573" s="91" t="s">
        <v>112</v>
      </c>
      <c r="O2573" s="91" t="s">
        <v>112</v>
      </c>
      <c r="P2573" s="91" t="s">
        <v>112</v>
      </c>
      <c r="Q2573" s="91" t="s">
        <v>112</v>
      </c>
      <c r="R2573" s="91" t="s">
        <v>112</v>
      </c>
      <c r="S2573" s="91" t="s">
        <v>112</v>
      </c>
      <c r="T2573" s="91" t="s">
        <v>112</v>
      </c>
      <c r="U2573" s="91" t="s">
        <v>112</v>
      </c>
      <c r="V2573" s="91" t="s">
        <v>112</v>
      </c>
      <c r="W2573" s="91" t="s">
        <v>112</v>
      </c>
      <c r="X2573" s="91" t="s">
        <v>112</v>
      </c>
      <c r="Y2573" s="91" t="s">
        <v>112</v>
      </c>
      <c r="Z2573" s="91" t="s">
        <v>112</v>
      </c>
      <c r="AA2573" s="91" t="s">
        <v>112</v>
      </c>
      <c r="AB2573" s="91" t="s">
        <v>112</v>
      </c>
      <c r="AC2573" s="91" t="s">
        <v>112</v>
      </c>
      <c r="AD2573" s="91" t="s">
        <v>112</v>
      </c>
      <c r="AE2573" s="91">
        <v>8650</v>
      </c>
      <c r="AF2573" s="91">
        <v>8650</v>
      </c>
      <c r="AG2573" s="91">
        <v>8650</v>
      </c>
      <c r="AH2573" s="91">
        <v>8650</v>
      </c>
      <c r="AI2573" s="91">
        <v>8650</v>
      </c>
      <c r="AJ2573" s="91">
        <v>8650</v>
      </c>
      <c r="AK2573" s="91">
        <v>8650</v>
      </c>
      <c r="AL2573" s="91">
        <v>8650</v>
      </c>
      <c r="AM2573" s="91">
        <v>8650</v>
      </c>
      <c r="AN2573" s="91">
        <v>8650</v>
      </c>
      <c r="AO2573" s="91">
        <v>8650</v>
      </c>
      <c r="AP2573" s="91">
        <v>8650</v>
      </c>
      <c r="AQ2573" s="91">
        <v>8650</v>
      </c>
      <c r="AR2573" s="91">
        <v>8650</v>
      </c>
      <c r="AS2573" s="91">
        <v>8650</v>
      </c>
      <c r="AT2573" s="91">
        <v>8650</v>
      </c>
      <c r="AU2573" s="91">
        <v>8650</v>
      </c>
      <c r="AV2573" s="91">
        <v>8650</v>
      </c>
      <c r="AW2573" s="91">
        <v>8650</v>
      </c>
      <c r="AX2573" s="92">
        <v>8650</v>
      </c>
    </row>
    <row r="2574" spans="1:50" x14ac:dyDescent="0.25">
      <c r="A2574" s="356"/>
      <c r="B2574" s="362"/>
      <c r="C2574" s="354"/>
      <c r="D2574" s="4" t="s">
        <v>8</v>
      </c>
      <c r="E2574" s="168" t="str">
        <f>A2567&amp;"/"&amp;B2567&amp;"/"&amp;C2573&amp;"/"&amp;D2574</f>
        <v>Biomass and waste fired power plants/Integrated gasification combined cycle/CHP with CCS/M</v>
      </c>
      <c r="F2574" s="80" t="str">
        <f>A2567</f>
        <v>Biomass and waste fired power plants</v>
      </c>
      <c r="G2574" s="80" t="str">
        <f>B2567</f>
        <v>Integrated gasification combined cycle</v>
      </c>
      <c r="H2574" s="80" t="str">
        <f>C2573</f>
        <v>CHP with CCS</v>
      </c>
      <c r="I2574" s="169" t="str">
        <f t="shared" si="121"/>
        <v>M</v>
      </c>
      <c r="J2574" s="99" t="s">
        <v>112</v>
      </c>
      <c r="K2574" s="99" t="s">
        <v>112</v>
      </c>
      <c r="L2574" s="99" t="s">
        <v>112</v>
      </c>
      <c r="M2574" s="99" t="s">
        <v>112</v>
      </c>
      <c r="N2574" s="99" t="s">
        <v>112</v>
      </c>
      <c r="O2574" s="99" t="s">
        <v>112</v>
      </c>
      <c r="P2574" s="99" t="s">
        <v>112</v>
      </c>
      <c r="Q2574" s="99" t="s">
        <v>112</v>
      </c>
      <c r="R2574" s="99" t="s">
        <v>112</v>
      </c>
      <c r="S2574" s="99" t="s">
        <v>112</v>
      </c>
      <c r="T2574" s="99" t="s">
        <v>112</v>
      </c>
      <c r="U2574" s="99" t="s">
        <v>112</v>
      </c>
      <c r="V2574" s="99" t="s">
        <v>112</v>
      </c>
      <c r="W2574" s="99" t="s">
        <v>112</v>
      </c>
      <c r="X2574" s="99" t="s">
        <v>112</v>
      </c>
      <c r="Y2574" s="99" t="s">
        <v>112</v>
      </c>
      <c r="Z2574" s="99" t="s">
        <v>112</v>
      </c>
      <c r="AA2574" s="99" t="s">
        <v>112</v>
      </c>
      <c r="AB2574" s="99" t="s">
        <v>112</v>
      </c>
      <c r="AC2574" s="99" t="s">
        <v>112</v>
      </c>
      <c r="AD2574" s="99" t="s">
        <v>112</v>
      </c>
      <c r="AE2574" s="99">
        <v>7809.9159050203061</v>
      </c>
      <c r="AF2574" s="99">
        <v>7809.9159050203061</v>
      </c>
      <c r="AG2574" s="99">
        <v>7809.9159050203061</v>
      </c>
      <c r="AH2574" s="99">
        <v>7809.9159050203061</v>
      </c>
      <c r="AI2574" s="99">
        <v>7809.9159050203061</v>
      </c>
      <c r="AJ2574" s="99">
        <v>7809.9159050203061</v>
      </c>
      <c r="AK2574" s="99">
        <v>7809.9159050203061</v>
      </c>
      <c r="AL2574" s="99">
        <v>7809.9159050203061</v>
      </c>
      <c r="AM2574" s="99">
        <v>7809.9159050203061</v>
      </c>
      <c r="AN2574" s="99">
        <v>7809.9159050203061</v>
      </c>
      <c r="AO2574" s="99">
        <v>7809.9159050203061</v>
      </c>
      <c r="AP2574" s="99">
        <v>7809.9159050203061</v>
      </c>
      <c r="AQ2574" s="99">
        <v>7809.9159050203061</v>
      </c>
      <c r="AR2574" s="99">
        <v>7809.9159050203061</v>
      </c>
      <c r="AS2574" s="99">
        <v>7809.9159050203061</v>
      </c>
      <c r="AT2574" s="99">
        <v>7809.9159050203061</v>
      </c>
      <c r="AU2574" s="99">
        <v>7809.9159050203061</v>
      </c>
      <c r="AV2574" s="99">
        <v>7809.9159050203061</v>
      </c>
      <c r="AW2574" s="99">
        <v>7809.9159050203061</v>
      </c>
      <c r="AX2574" s="100">
        <v>7809.9159050203061</v>
      </c>
    </row>
    <row r="2575" spans="1:50" x14ac:dyDescent="0.25">
      <c r="A2575" s="356"/>
      <c r="B2575" s="358" t="s">
        <v>18</v>
      </c>
      <c r="C2575" s="353" t="s">
        <v>6</v>
      </c>
      <c r="D2575" s="3" t="s">
        <v>7</v>
      </c>
      <c r="E2575" s="162" t="str">
        <f>A2567&amp;"/"&amp;B2575&amp;"/"&amp;C2575&amp;"/"&amp;D2575</f>
        <v>Biomass and waste fired power plants/Fluidized bed combustion/Electricity only/L</v>
      </c>
      <c r="F2575" s="77" t="str">
        <f>A2567</f>
        <v>Biomass and waste fired power plants</v>
      </c>
      <c r="G2575" s="77" t="str">
        <f>B2575</f>
        <v>Fluidized bed combustion</v>
      </c>
      <c r="H2575" s="77" t="str">
        <f>C2575</f>
        <v>Electricity only</v>
      </c>
      <c r="I2575" s="163" t="str">
        <f t="shared" si="121"/>
        <v>L</v>
      </c>
      <c r="J2575" s="93">
        <v>7500</v>
      </c>
      <c r="K2575" s="93">
        <v>7500</v>
      </c>
      <c r="L2575" s="93">
        <v>7500</v>
      </c>
      <c r="M2575" s="93">
        <v>7500</v>
      </c>
      <c r="N2575" s="93">
        <v>7500</v>
      </c>
      <c r="O2575" s="93">
        <v>7500</v>
      </c>
      <c r="P2575" s="93">
        <v>7500</v>
      </c>
      <c r="Q2575" s="93">
        <v>7500</v>
      </c>
      <c r="R2575" s="93">
        <v>7500</v>
      </c>
      <c r="S2575" s="93">
        <v>7500</v>
      </c>
      <c r="T2575" s="93">
        <v>7500</v>
      </c>
      <c r="U2575" s="93">
        <v>7500</v>
      </c>
      <c r="V2575" s="93">
        <v>7500</v>
      </c>
      <c r="W2575" s="93">
        <v>7500</v>
      </c>
      <c r="X2575" s="93">
        <v>7500</v>
      </c>
      <c r="Y2575" s="93">
        <v>7500</v>
      </c>
      <c r="Z2575" s="93">
        <v>7500</v>
      </c>
      <c r="AA2575" s="93">
        <v>7500</v>
      </c>
      <c r="AB2575" s="93">
        <v>7500</v>
      </c>
      <c r="AC2575" s="93">
        <v>7500</v>
      </c>
      <c r="AD2575" s="93">
        <v>7500</v>
      </c>
      <c r="AE2575" s="93">
        <v>7500</v>
      </c>
      <c r="AF2575" s="93">
        <v>7500</v>
      </c>
      <c r="AG2575" s="93">
        <v>7500</v>
      </c>
      <c r="AH2575" s="93">
        <v>7500</v>
      </c>
      <c r="AI2575" s="93">
        <v>7500</v>
      </c>
      <c r="AJ2575" s="93">
        <v>7500</v>
      </c>
      <c r="AK2575" s="93">
        <v>7500</v>
      </c>
      <c r="AL2575" s="93">
        <v>7500</v>
      </c>
      <c r="AM2575" s="93">
        <v>7500</v>
      </c>
      <c r="AN2575" s="93">
        <v>7500</v>
      </c>
      <c r="AO2575" s="93">
        <v>7500</v>
      </c>
      <c r="AP2575" s="93">
        <v>7500</v>
      </c>
      <c r="AQ2575" s="93">
        <v>7500</v>
      </c>
      <c r="AR2575" s="93">
        <v>7500</v>
      </c>
      <c r="AS2575" s="93">
        <v>7500</v>
      </c>
      <c r="AT2575" s="93">
        <v>7500</v>
      </c>
      <c r="AU2575" s="93">
        <v>7500</v>
      </c>
      <c r="AV2575" s="93">
        <v>7500</v>
      </c>
      <c r="AW2575" s="93">
        <v>7500</v>
      </c>
      <c r="AX2575" s="94">
        <v>7500</v>
      </c>
    </row>
    <row r="2576" spans="1:50" x14ac:dyDescent="0.25">
      <c r="A2576" s="356"/>
      <c r="B2576" s="359"/>
      <c r="C2576" s="350"/>
      <c r="D2576" s="2" t="s">
        <v>8</v>
      </c>
      <c r="E2576" s="160" t="str">
        <f>A2567&amp;"/"&amp;B2575&amp;"/"&amp;C2575&amp;"/"&amp;D2576</f>
        <v>Biomass and waste fired power plants/Fluidized bed combustion/Electricity only/M</v>
      </c>
      <c r="F2576" s="76" t="str">
        <f>A2567</f>
        <v>Biomass and waste fired power plants</v>
      </c>
      <c r="G2576" s="76" t="str">
        <f>B2575</f>
        <v>Fluidized bed combustion</v>
      </c>
      <c r="H2576" s="76" t="str">
        <f>C2575</f>
        <v>Electricity only</v>
      </c>
      <c r="I2576" s="161" t="str">
        <f t="shared" si="121"/>
        <v>M</v>
      </c>
      <c r="J2576" s="91">
        <v>7172.6437484252774</v>
      </c>
      <c r="K2576" s="91">
        <v>7172.6437484252774</v>
      </c>
      <c r="L2576" s="91">
        <v>7172.6437484252774</v>
      </c>
      <c r="M2576" s="91">
        <v>7172.6437484252774</v>
      </c>
      <c r="N2576" s="91">
        <v>7172.6437484252774</v>
      </c>
      <c r="O2576" s="91">
        <v>7172.6437484252774</v>
      </c>
      <c r="P2576" s="91">
        <v>7172.6437484252774</v>
      </c>
      <c r="Q2576" s="91">
        <v>7172.6437484252774</v>
      </c>
      <c r="R2576" s="91">
        <v>7172.6437484252774</v>
      </c>
      <c r="S2576" s="91">
        <v>7172.6437484252774</v>
      </c>
      <c r="T2576" s="91">
        <v>7172.6437484252774</v>
      </c>
      <c r="U2576" s="91">
        <v>7172.6437484252774</v>
      </c>
      <c r="V2576" s="91">
        <v>7172.6437484252774</v>
      </c>
      <c r="W2576" s="91">
        <v>7172.6437484252774</v>
      </c>
      <c r="X2576" s="91">
        <v>7172.6437484252774</v>
      </c>
      <c r="Y2576" s="91">
        <v>7172.6437484252774</v>
      </c>
      <c r="Z2576" s="91">
        <v>7172.6437484252774</v>
      </c>
      <c r="AA2576" s="91">
        <v>7172.6437484252774</v>
      </c>
      <c r="AB2576" s="91">
        <v>7172.6437484252774</v>
      </c>
      <c r="AC2576" s="91">
        <v>7172.6437484252774</v>
      </c>
      <c r="AD2576" s="91">
        <v>7172.6437484252774</v>
      </c>
      <c r="AE2576" s="91">
        <v>7172.6437484252774</v>
      </c>
      <c r="AF2576" s="91">
        <v>7172.6437484252774</v>
      </c>
      <c r="AG2576" s="91">
        <v>7172.6437484252774</v>
      </c>
      <c r="AH2576" s="91">
        <v>7172.6437484252774</v>
      </c>
      <c r="AI2576" s="91">
        <v>7172.6437484252774</v>
      </c>
      <c r="AJ2576" s="91">
        <v>7172.6437484252774</v>
      </c>
      <c r="AK2576" s="91">
        <v>7172.6437484252774</v>
      </c>
      <c r="AL2576" s="91">
        <v>7172.6437484252774</v>
      </c>
      <c r="AM2576" s="91">
        <v>7172.6437484252774</v>
      </c>
      <c r="AN2576" s="91">
        <v>7172.6437484252774</v>
      </c>
      <c r="AO2576" s="91">
        <v>7172.6437484252774</v>
      </c>
      <c r="AP2576" s="91">
        <v>7172.6437484252774</v>
      </c>
      <c r="AQ2576" s="91">
        <v>7172.6437484252774</v>
      </c>
      <c r="AR2576" s="91">
        <v>7172.6437484252774</v>
      </c>
      <c r="AS2576" s="91">
        <v>7172.6437484252774</v>
      </c>
      <c r="AT2576" s="91">
        <v>7172.6437484252774</v>
      </c>
      <c r="AU2576" s="91">
        <v>7172.6437484252774</v>
      </c>
      <c r="AV2576" s="91">
        <v>7172.6437484252774</v>
      </c>
      <c r="AW2576" s="91">
        <v>7172.6437484252774</v>
      </c>
      <c r="AX2576" s="92">
        <v>7172.6437484252774</v>
      </c>
    </row>
    <row r="2577" spans="1:50" x14ac:dyDescent="0.25">
      <c r="A2577" s="356"/>
      <c r="B2577" s="359"/>
      <c r="C2577" s="350"/>
      <c r="D2577" s="2" t="s">
        <v>10</v>
      </c>
      <c r="E2577" s="160" t="str">
        <f>A2567&amp;"/"&amp;B2575&amp;"/"&amp;C2575&amp;"/"&amp;D2577</f>
        <v>Biomass and waste fired power plants/Fluidized bed combustion/Electricity only/S</v>
      </c>
      <c r="F2577" s="76" t="str">
        <f>A2567</f>
        <v>Biomass and waste fired power plants</v>
      </c>
      <c r="G2577" s="76" t="str">
        <f>B2575</f>
        <v>Fluidized bed combustion</v>
      </c>
      <c r="H2577" s="76" t="str">
        <f>C2575</f>
        <v>Electricity only</v>
      </c>
      <c r="I2577" s="161" t="str">
        <f t="shared" si="121"/>
        <v>S</v>
      </c>
      <c r="J2577" s="91">
        <v>6771.6033858557576</v>
      </c>
      <c r="K2577" s="91">
        <v>6771.6033858557576</v>
      </c>
      <c r="L2577" s="91">
        <v>6771.6033858557576</v>
      </c>
      <c r="M2577" s="91">
        <v>6771.6033858557576</v>
      </c>
      <c r="N2577" s="91">
        <v>6771.6033858557576</v>
      </c>
      <c r="O2577" s="91">
        <v>6771.6033858557576</v>
      </c>
      <c r="P2577" s="91">
        <v>6771.6033858557576</v>
      </c>
      <c r="Q2577" s="91">
        <v>6771.6033858557576</v>
      </c>
      <c r="R2577" s="91">
        <v>6771.6033858557576</v>
      </c>
      <c r="S2577" s="91">
        <v>6771.6033858557576</v>
      </c>
      <c r="T2577" s="91">
        <v>6771.6033858557576</v>
      </c>
      <c r="U2577" s="91">
        <v>6771.6033858557576</v>
      </c>
      <c r="V2577" s="91">
        <v>6771.6033858557576</v>
      </c>
      <c r="W2577" s="91">
        <v>6771.6033858557576</v>
      </c>
      <c r="X2577" s="91">
        <v>6771.6033858557576</v>
      </c>
      <c r="Y2577" s="91">
        <v>6771.6033858557576</v>
      </c>
      <c r="Z2577" s="91">
        <v>6771.6033858557576</v>
      </c>
      <c r="AA2577" s="91">
        <v>6771.6033858557576</v>
      </c>
      <c r="AB2577" s="91">
        <v>6771.6033858557576</v>
      </c>
      <c r="AC2577" s="91">
        <v>6771.6033858557576</v>
      </c>
      <c r="AD2577" s="91">
        <v>6771.6033858557576</v>
      </c>
      <c r="AE2577" s="91">
        <v>6771.6033858557576</v>
      </c>
      <c r="AF2577" s="91">
        <v>6771.6033858557576</v>
      </c>
      <c r="AG2577" s="91">
        <v>6771.6033858557576</v>
      </c>
      <c r="AH2577" s="91">
        <v>6771.6033858557576</v>
      </c>
      <c r="AI2577" s="91">
        <v>6771.6033858557576</v>
      </c>
      <c r="AJ2577" s="91">
        <v>6771.6033858557576</v>
      </c>
      <c r="AK2577" s="91">
        <v>6771.6033858557576</v>
      </c>
      <c r="AL2577" s="91">
        <v>6771.6033858557576</v>
      </c>
      <c r="AM2577" s="91">
        <v>6771.6033858557576</v>
      </c>
      <c r="AN2577" s="91">
        <v>6771.6033858557576</v>
      </c>
      <c r="AO2577" s="91">
        <v>6771.6033858557576</v>
      </c>
      <c r="AP2577" s="91">
        <v>6771.6033858557576</v>
      </c>
      <c r="AQ2577" s="91">
        <v>6771.6033858557576</v>
      </c>
      <c r="AR2577" s="91">
        <v>6771.6033858557576</v>
      </c>
      <c r="AS2577" s="91">
        <v>6771.6033858557576</v>
      </c>
      <c r="AT2577" s="91">
        <v>6771.6033858557576</v>
      </c>
      <c r="AU2577" s="91">
        <v>6771.6033858557576</v>
      </c>
      <c r="AV2577" s="91">
        <v>6771.6033858557576</v>
      </c>
      <c r="AW2577" s="91">
        <v>6771.6033858557576</v>
      </c>
      <c r="AX2577" s="92">
        <v>6771.6033858557576</v>
      </c>
    </row>
    <row r="2578" spans="1:50" x14ac:dyDescent="0.25">
      <c r="A2578" s="356"/>
      <c r="B2578" s="359"/>
      <c r="C2578" s="360"/>
      <c r="D2578" s="2" t="s">
        <v>20</v>
      </c>
      <c r="E2578" s="160" t="str">
        <f>A2567&amp;"/"&amp;B2575&amp;"/"&amp;C2575&amp;"/"&amp;D2578</f>
        <v>Biomass and waste fired power plants/Fluidized bed combustion/Electricity only/XS</v>
      </c>
      <c r="F2578" s="76" t="str">
        <f>A2567</f>
        <v>Biomass and waste fired power plants</v>
      </c>
      <c r="G2578" s="76" t="str">
        <f>B2575</f>
        <v>Fluidized bed combustion</v>
      </c>
      <c r="H2578" s="76" t="str">
        <f>C2575</f>
        <v>Electricity only</v>
      </c>
      <c r="I2578" s="161" t="str">
        <f t="shared" si="121"/>
        <v>XS</v>
      </c>
      <c r="J2578" s="91">
        <v>6555.03928209478</v>
      </c>
      <c r="K2578" s="91">
        <v>6555.03928209478</v>
      </c>
      <c r="L2578" s="91">
        <v>6555.03928209478</v>
      </c>
      <c r="M2578" s="91">
        <v>6555.03928209478</v>
      </c>
      <c r="N2578" s="91">
        <v>6555.03928209478</v>
      </c>
      <c r="O2578" s="91">
        <v>6555.03928209478</v>
      </c>
      <c r="P2578" s="91">
        <v>6555.03928209478</v>
      </c>
      <c r="Q2578" s="91">
        <v>6555.03928209478</v>
      </c>
      <c r="R2578" s="91">
        <v>6555.03928209478</v>
      </c>
      <c r="S2578" s="91">
        <v>6555.03928209478</v>
      </c>
      <c r="T2578" s="91">
        <v>6555.03928209478</v>
      </c>
      <c r="U2578" s="91">
        <v>6555.03928209478</v>
      </c>
      <c r="V2578" s="91">
        <v>6555.03928209478</v>
      </c>
      <c r="W2578" s="91">
        <v>6555.03928209478</v>
      </c>
      <c r="X2578" s="91">
        <v>6555.03928209478</v>
      </c>
      <c r="Y2578" s="91">
        <v>6555.03928209478</v>
      </c>
      <c r="Z2578" s="91">
        <v>6555.03928209478</v>
      </c>
      <c r="AA2578" s="91">
        <v>6555.03928209478</v>
      </c>
      <c r="AB2578" s="91">
        <v>6555.03928209478</v>
      </c>
      <c r="AC2578" s="91">
        <v>6555.03928209478</v>
      </c>
      <c r="AD2578" s="91">
        <v>6555.03928209478</v>
      </c>
      <c r="AE2578" s="91">
        <v>6555.03928209478</v>
      </c>
      <c r="AF2578" s="91">
        <v>6555.03928209478</v>
      </c>
      <c r="AG2578" s="91">
        <v>6555.03928209478</v>
      </c>
      <c r="AH2578" s="91">
        <v>6555.03928209478</v>
      </c>
      <c r="AI2578" s="91">
        <v>6555.03928209478</v>
      </c>
      <c r="AJ2578" s="91">
        <v>6555.03928209478</v>
      </c>
      <c r="AK2578" s="91">
        <v>6555.03928209478</v>
      </c>
      <c r="AL2578" s="91">
        <v>6555.03928209478</v>
      </c>
      <c r="AM2578" s="91">
        <v>6555.03928209478</v>
      </c>
      <c r="AN2578" s="91">
        <v>6555.03928209478</v>
      </c>
      <c r="AO2578" s="91">
        <v>6555.03928209478</v>
      </c>
      <c r="AP2578" s="91">
        <v>6555.03928209478</v>
      </c>
      <c r="AQ2578" s="91">
        <v>6555.03928209478</v>
      </c>
      <c r="AR2578" s="91">
        <v>6555.03928209478</v>
      </c>
      <c r="AS2578" s="91">
        <v>6555.03928209478</v>
      </c>
      <c r="AT2578" s="91">
        <v>6555.03928209478</v>
      </c>
      <c r="AU2578" s="91">
        <v>6555.03928209478</v>
      </c>
      <c r="AV2578" s="91">
        <v>6555.03928209478</v>
      </c>
      <c r="AW2578" s="91">
        <v>6555.03928209478</v>
      </c>
      <c r="AX2578" s="92">
        <v>6555.03928209478</v>
      </c>
    </row>
    <row r="2579" spans="1:50" x14ac:dyDescent="0.25">
      <c r="A2579" s="356"/>
      <c r="B2579" s="359"/>
      <c r="C2579" s="361" t="s">
        <v>14</v>
      </c>
      <c r="D2579" s="58" t="s">
        <v>7</v>
      </c>
      <c r="E2579" s="164" t="str">
        <f>A2567&amp;"/"&amp;B2575&amp;"/"&amp;C2579&amp;"/"&amp;D2579</f>
        <v>Biomass and waste fired power plants/Fluidized bed combustion/CHP/L</v>
      </c>
      <c r="F2579" s="78" t="str">
        <f>A2567</f>
        <v>Biomass and waste fired power plants</v>
      </c>
      <c r="G2579" s="78" t="str">
        <f>B2575</f>
        <v>Fluidized bed combustion</v>
      </c>
      <c r="H2579" s="78" t="str">
        <f>C2579</f>
        <v>CHP</v>
      </c>
      <c r="I2579" s="165" t="str">
        <f t="shared" si="121"/>
        <v>L</v>
      </c>
      <c r="J2579" s="95">
        <v>7125</v>
      </c>
      <c r="K2579" s="95">
        <v>7125</v>
      </c>
      <c r="L2579" s="95">
        <v>7125</v>
      </c>
      <c r="M2579" s="95">
        <v>7125</v>
      </c>
      <c r="N2579" s="95">
        <v>7125</v>
      </c>
      <c r="O2579" s="95">
        <v>7125</v>
      </c>
      <c r="P2579" s="95">
        <v>7125</v>
      </c>
      <c r="Q2579" s="95">
        <v>7125</v>
      </c>
      <c r="R2579" s="95">
        <v>7125</v>
      </c>
      <c r="S2579" s="95">
        <v>7125</v>
      </c>
      <c r="T2579" s="95">
        <v>7125</v>
      </c>
      <c r="U2579" s="95">
        <v>7125</v>
      </c>
      <c r="V2579" s="95">
        <v>7125</v>
      </c>
      <c r="W2579" s="95">
        <v>7125</v>
      </c>
      <c r="X2579" s="95">
        <v>7125</v>
      </c>
      <c r="Y2579" s="95">
        <v>7125</v>
      </c>
      <c r="Z2579" s="95">
        <v>7125</v>
      </c>
      <c r="AA2579" s="95">
        <v>7125</v>
      </c>
      <c r="AB2579" s="95">
        <v>7125</v>
      </c>
      <c r="AC2579" s="95">
        <v>7125</v>
      </c>
      <c r="AD2579" s="95">
        <v>7125</v>
      </c>
      <c r="AE2579" s="95">
        <v>7125</v>
      </c>
      <c r="AF2579" s="95">
        <v>7125</v>
      </c>
      <c r="AG2579" s="95">
        <v>7125</v>
      </c>
      <c r="AH2579" s="95">
        <v>7125</v>
      </c>
      <c r="AI2579" s="95">
        <v>7125</v>
      </c>
      <c r="AJ2579" s="95">
        <v>7125</v>
      </c>
      <c r="AK2579" s="95">
        <v>7125</v>
      </c>
      <c r="AL2579" s="95">
        <v>7125</v>
      </c>
      <c r="AM2579" s="95">
        <v>7125</v>
      </c>
      <c r="AN2579" s="95">
        <v>7125</v>
      </c>
      <c r="AO2579" s="95">
        <v>7125</v>
      </c>
      <c r="AP2579" s="95">
        <v>7125</v>
      </c>
      <c r="AQ2579" s="95">
        <v>7125</v>
      </c>
      <c r="AR2579" s="95">
        <v>7125</v>
      </c>
      <c r="AS2579" s="95">
        <v>7125</v>
      </c>
      <c r="AT2579" s="95">
        <v>7125</v>
      </c>
      <c r="AU2579" s="95">
        <v>7125</v>
      </c>
      <c r="AV2579" s="95">
        <v>7125</v>
      </c>
      <c r="AW2579" s="95">
        <v>7125</v>
      </c>
      <c r="AX2579" s="96">
        <v>7125</v>
      </c>
    </row>
    <row r="2580" spans="1:50" x14ac:dyDescent="0.25">
      <c r="A2580" s="356"/>
      <c r="B2580" s="359"/>
      <c r="C2580" s="350"/>
      <c r="D2580" s="2" t="s">
        <v>8</v>
      </c>
      <c r="E2580" s="160" t="str">
        <f>A2567&amp;"/"&amp;B2575&amp;"/"&amp;C2579&amp;"/"&amp;D2580</f>
        <v>Biomass and waste fired power plants/Fluidized bed combustion/CHP/M</v>
      </c>
      <c r="F2580" s="76" t="str">
        <f>A2567</f>
        <v>Biomass and waste fired power plants</v>
      </c>
      <c r="G2580" s="76" t="str">
        <f>B2575</f>
        <v>Fluidized bed combustion</v>
      </c>
      <c r="H2580" s="76" t="str">
        <f>C2579</f>
        <v>CHP</v>
      </c>
      <c r="I2580" s="161" t="str">
        <f t="shared" si="121"/>
        <v>M</v>
      </c>
      <c r="J2580" s="91">
        <v>6814.0115610040139</v>
      </c>
      <c r="K2580" s="91">
        <v>6814.0115610040139</v>
      </c>
      <c r="L2580" s="91">
        <v>6814.0115610040139</v>
      </c>
      <c r="M2580" s="91">
        <v>6814.0115610040139</v>
      </c>
      <c r="N2580" s="91">
        <v>6814.0115610040139</v>
      </c>
      <c r="O2580" s="91">
        <v>6814.0115610040139</v>
      </c>
      <c r="P2580" s="91">
        <v>6814.0115610040139</v>
      </c>
      <c r="Q2580" s="91">
        <v>6814.0115610040139</v>
      </c>
      <c r="R2580" s="91">
        <v>6814.0115610040139</v>
      </c>
      <c r="S2580" s="91">
        <v>6814.0115610040139</v>
      </c>
      <c r="T2580" s="91">
        <v>6814.0115610040139</v>
      </c>
      <c r="U2580" s="91">
        <v>6814.0115610040139</v>
      </c>
      <c r="V2580" s="91">
        <v>6814.0115610040139</v>
      </c>
      <c r="W2580" s="91">
        <v>6814.0115610040139</v>
      </c>
      <c r="X2580" s="91">
        <v>6814.0115610040139</v>
      </c>
      <c r="Y2580" s="91">
        <v>6814.0115610040139</v>
      </c>
      <c r="Z2580" s="91">
        <v>6814.0115610040139</v>
      </c>
      <c r="AA2580" s="91">
        <v>6814.0115610040139</v>
      </c>
      <c r="AB2580" s="91">
        <v>6814.0115610040139</v>
      </c>
      <c r="AC2580" s="91">
        <v>6814.0115610040139</v>
      </c>
      <c r="AD2580" s="91">
        <v>6814.0115610040139</v>
      </c>
      <c r="AE2580" s="91">
        <v>6814.0115610040139</v>
      </c>
      <c r="AF2580" s="91">
        <v>6814.0115610040139</v>
      </c>
      <c r="AG2580" s="91">
        <v>6814.0115610040139</v>
      </c>
      <c r="AH2580" s="91">
        <v>6814.0115610040139</v>
      </c>
      <c r="AI2580" s="91">
        <v>6814.0115610040139</v>
      </c>
      <c r="AJ2580" s="91">
        <v>6814.0115610040139</v>
      </c>
      <c r="AK2580" s="91">
        <v>6814.0115610040139</v>
      </c>
      <c r="AL2580" s="91">
        <v>6814.0115610040139</v>
      </c>
      <c r="AM2580" s="91">
        <v>6814.0115610040139</v>
      </c>
      <c r="AN2580" s="91">
        <v>6814.0115610040139</v>
      </c>
      <c r="AO2580" s="91">
        <v>6814.0115610040139</v>
      </c>
      <c r="AP2580" s="91">
        <v>6814.0115610040139</v>
      </c>
      <c r="AQ2580" s="91">
        <v>6814.0115610040139</v>
      </c>
      <c r="AR2580" s="91">
        <v>6814.0115610040139</v>
      </c>
      <c r="AS2580" s="91">
        <v>6814.0115610040139</v>
      </c>
      <c r="AT2580" s="91">
        <v>6814.0115610040139</v>
      </c>
      <c r="AU2580" s="91">
        <v>6814.0115610040139</v>
      </c>
      <c r="AV2580" s="91">
        <v>6814.0115610040139</v>
      </c>
      <c r="AW2580" s="91">
        <v>6814.0115610040139</v>
      </c>
      <c r="AX2580" s="92">
        <v>6814.0115610040139</v>
      </c>
    </row>
    <row r="2581" spans="1:50" x14ac:dyDescent="0.25">
      <c r="A2581" s="356"/>
      <c r="B2581" s="359"/>
      <c r="C2581" s="350"/>
      <c r="D2581" s="2" t="s">
        <v>10</v>
      </c>
      <c r="E2581" s="160" t="str">
        <f>A2567&amp;"/"&amp;B2575&amp;"/"&amp;C2579&amp;"/"&amp;D2581</f>
        <v>Biomass and waste fired power plants/Fluidized bed combustion/CHP/S</v>
      </c>
      <c r="F2581" s="76" t="str">
        <f>A2567</f>
        <v>Biomass and waste fired power plants</v>
      </c>
      <c r="G2581" s="76" t="str">
        <f>B2575</f>
        <v>Fluidized bed combustion</v>
      </c>
      <c r="H2581" s="76" t="str">
        <f>C2579</f>
        <v>CHP</v>
      </c>
      <c r="I2581" s="161" t="str">
        <f t="shared" si="121"/>
        <v>S</v>
      </c>
      <c r="J2581" s="91">
        <v>6433.0232165629695</v>
      </c>
      <c r="K2581" s="91">
        <v>6433.0232165629695</v>
      </c>
      <c r="L2581" s="91">
        <v>6433.0232165629695</v>
      </c>
      <c r="M2581" s="91">
        <v>6433.0232165629695</v>
      </c>
      <c r="N2581" s="91">
        <v>6433.0232165629695</v>
      </c>
      <c r="O2581" s="91">
        <v>6433.0232165629695</v>
      </c>
      <c r="P2581" s="91">
        <v>6433.0232165629695</v>
      </c>
      <c r="Q2581" s="91">
        <v>6433.0232165629695</v>
      </c>
      <c r="R2581" s="91">
        <v>6433.0232165629695</v>
      </c>
      <c r="S2581" s="91">
        <v>6433.0232165629695</v>
      </c>
      <c r="T2581" s="91">
        <v>6433.0232165629695</v>
      </c>
      <c r="U2581" s="91">
        <v>6433.0232165629695</v>
      </c>
      <c r="V2581" s="91">
        <v>6433.0232165629695</v>
      </c>
      <c r="W2581" s="91">
        <v>6433.0232165629695</v>
      </c>
      <c r="X2581" s="91">
        <v>6433.0232165629695</v>
      </c>
      <c r="Y2581" s="91">
        <v>6433.0232165629695</v>
      </c>
      <c r="Z2581" s="91">
        <v>6433.0232165629695</v>
      </c>
      <c r="AA2581" s="91">
        <v>6433.0232165629695</v>
      </c>
      <c r="AB2581" s="91">
        <v>6433.0232165629695</v>
      </c>
      <c r="AC2581" s="91">
        <v>6433.0232165629695</v>
      </c>
      <c r="AD2581" s="91">
        <v>6433.0232165629695</v>
      </c>
      <c r="AE2581" s="91">
        <v>6433.0232165629695</v>
      </c>
      <c r="AF2581" s="91">
        <v>6433.0232165629695</v>
      </c>
      <c r="AG2581" s="91">
        <v>6433.0232165629695</v>
      </c>
      <c r="AH2581" s="91">
        <v>6433.0232165629695</v>
      </c>
      <c r="AI2581" s="91">
        <v>6433.0232165629695</v>
      </c>
      <c r="AJ2581" s="91">
        <v>6433.0232165629695</v>
      </c>
      <c r="AK2581" s="91">
        <v>6433.0232165629695</v>
      </c>
      <c r="AL2581" s="91">
        <v>6433.0232165629695</v>
      </c>
      <c r="AM2581" s="91">
        <v>6433.0232165629695</v>
      </c>
      <c r="AN2581" s="91">
        <v>6433.0232165629695</v>
      </c>
      <c r="AO2581" s="91">
        <v>6433.0232165629695</v>
      </c>
      <c r="AP2581" s="91">
        <v>6433.0232165629695</v>
      </c>
      <c r="AQ2581" s="91">
        <v>6433.0232165629695</v>
      </c>
      <c r="AR2581" s="91">
        <v>6433.0232165629695</v>
      </c>
      <c r="AS2581" s="91">
        <v>6433.0232165629695</v>
      </c>
      <c r="AT2581" s="91">
        <v>6433.0232165629695</v>
      </c>
      <c r="AU2581" s="91">
        <v>6433.0232165629695</v>
      </c>
      <c r="AV2581" s="91">
        <v>6433.0232165629695</v>
      </c>
      <c r="AW2581" s="91">
        <v>6433.0232165629695</v>
      </c>
      <c r="AX2581" s="92">
        <v>6433.0232165629695</v>
      </c>
    </row>
    <row r="2582" spans="1:50" x14ac:dyDescent="0.25">
      <c r="A2582" s="356"/>
      <c r="B2582" s="359"/>
      <c r="C2582" s="360"/>
      <c r="D2582" s="59" t="s">
        <v>20</v>
      </c>
      <c r="E2582" s="166" t="str">
        <f>A2567&amp;"/"&amp;B2575&amp;"/"&amp;C2579&amp;"/"&amp;D2582</f>
        <v>Biomass and waste fired power plants/Fluidized bed combustion/CHP/XS</v>
      </c>
      <c r="F2582" s="79" t="str">
        <f>A2567</f>
        <v>Biomass and waste fired power plants</v>
      </c>
      <c r="G2582" s="79" t="str">
        <f>B2575</f>
        <v>Fluidized bed combustion</v>
      </c>
      <c r="H2582" s="79" t="str">
        <f>C2579</f>
        <v>CHP</v>
      </c>
      <c r="I2582" s="167" t="str">
        <f t="shared" si="121"/>
        <v>XS</v>
      </c>
      <c r="J2582" s="97">
        <v>6227.2873179900407</v>
      </c>
      <c r="K2582" s="97">
        <v>6227.2873179900407</v>
      </c>
      <c r="L2582" s="97">
        <v>6227.2873179900407</v>
      </c>
      <c r="M2582" s="97">
        <v>6227.2873179900407</v>
      </c>
      <c r="N2582" s="97">
        <v>6227.2873179900407</v>
      </c>
      <c r="O2582" s="97">
        <v>6227.2873179900407</v>
      </c>
      <c r="P2582" s="97">
        <v>6227.2873179900407</v>
      </c>
      <c r="Q2582" s="97">
        <v>6227.2873179900407</v>
      </c>
      <c r="R2582" s="97">
        <v>6227.2873179900407</v>
      </c>
      <c r="S2582" s="97">
        <v>6227.2873179900407</v>
      </c>
      <c r="T2582" s="97">
        <v>6227.2873179900407</v>
      </c>
      <c r="U2582" s="97">
        <v>6227.2873179900407</v>
      </c>
      <c r="V2582" s="97">
        <v>6227.2873179900407</v>
      </c>
      <c r="W2582" s="97">
        <v>6227.2873179900407</v>
      </c>
      <c r="X2582" s="97">
        <v>6227.2873179900407</v>
      </c>
      <c r="Y2582" s="97">
        <v>6227.2873179900407</v>
      </c>
      <c r="Z2582" s="97">
        <v>6227.2873179900407</v>
      </c>
      <c r="AA2582" s="97">
        <v>6227.2873179900407</v>
      </c>
      <c r="AB2582" s="97">
        <v>6227.2873179900407</v>
      </c>
      <c r="AC2582" s="97">
        <v>6227.2873179900407</v>
      </c>
      <c r="AD2582" s="97">
        <v>6227.2873179900407</v>
      </c>
      <c r="AE2582" s="97">
        <v>6227.2873179900407</v>
      </c>
      <c r="AF2582" s="97">
        <v>6227.2873179900407</v>
      </c>
      <c r="AG2582" s="97">
        <v>6227.2873179900407</v>
      </c>
      <c r="AH2582" s="97">
        <v>6227.2873179900407</v>
      </c>
      <c r="AI2582" s="97">
        <v>6227.2873179900407</v>
      </c>
      <c r="AJ2582" s="97">
        <v>6227.2873179900407</v>
      </c>
      <c r="AK2582" s="97">
        <v>6227.2873179900407</v>
      </c>
      <c r="AL2582" s="97">
        <v>6227.2873179900407</v>
      </c>
      <c r="AM2582" s="97">
        <v>6227.2873179900407</v>
      </c>
      <c r="AN2582" s="97">
        <v>6227.2873179900407</v>
      </c>
      <c r="AO2582" s="97">
        <v>6227.2873179900407</v>
      </c>
      <c r="AP2582" s="97">
        <v>6227.2873179900407</v>
      </c>
      <c r="AQ2582" s="97">
        <v>6227.2873179900407</v>
      </c>
      <c r="AR2582" s="97">
        <v>6227.2873179900407</v>
      </c>
      <c r="AS2582" s="97">
        <v>6227.2873179900407</v>
      </c>
      <c r="AT2582" s="97">
        <v>6227.2873179900407</v>
      </c>
      <c r="AU2582" s="97">
        <v>6227.2873179900407</v>
      </c>
      <c r="AV2582" s="97">
        <v>6227.2873179900407</v>
      </c>
      <c r="AW2582" s="97">
        <v>6227.2873179900407</v>
      </c>
      <c r="AX2582" s="98">
        <v>6227.2873179900407</v>
      </c>
    </row>
    <row r="2583" spans="1:50" x14ac:dyDescent="0.25">
      <c r="A2583" s="356"/>
      <c r="B2583" s="359"/>
      <c r="C2583" s="361" t="s">
        <v>15</v>
      </c>
      <c r="D2583" s="58" t="s">
        <v>7</v>
      </c>
      <c r="E2583" s="164" t="str">
        <f>A2567&amp;"/"&amp;B2575&amp;"/"&amp;C2583&amp;"/"&amp;D2583</f>
        <v>Biomass and waste fired power plants/Fluidized bed combustion/Electricity only with CCS/L</v>
      </c>
      <c r="F2583" s="78" t="str">
        <f>A2567</f>
        <v>Biomass and waste fired power plants</v>
      </c>
      <c r="G2583" s="78" t="str">
        <f>B2575</f>
        <v>Fluidized bed combustion</v>
      </c>
      <c r="H2583" s="78" t="str">
        <f>C2583</f>
        <v>Electricity only with CCS</v>
      </c>
      <c r="I2583" s="165" t="str">
        <f t="shared" si="121"/>
        <v>L</v>
      </c>
      <c r="J2583" s="95" t="s">
        <v>112</v>
      </c>
      <c r="K2583" s="95" t="s">
        <v>112</v>
      </c>
      <c r="L2583" s="95" t="s">
        <v>112</v>
      </c>
      <c r="M2583" s="95" t="s">
        <v>112</v>
      </c>
      <c r="N2583" s="95" t="s">
        <v>112</v>
      </c>
      <c r="O2583" s="95" t="s">
        <v>112</v>
      </c>
      <c r="P2583" s="95" t="s">
        <v>112</v>
      </c>
      <c r="Q2583" s="95" t="s">
        <v>112</v>
      </c>
      <c r="R2583" s="95" t="s">
        <v>112</v>
      </c>
      <c r="S2583" s="95" t="s">
        <v>112</v>
      </c>
      <c r="T2583" s="95" t="s">
        <v>112</v>
      </c>
      <c r="U2583" s="95" t="s">
        <v>112</v>
      </c>
      <c r="V2583" s="95" t="s">
        <v>112</v>
      </c>
      <c r="W2583" s="95" t="s">
        <v>112</v>
      </c>
      <c r="X2583" s="95" t="s">
        <v>112</v>
      </c>
      <c r="Y2583" s="95" t="s">
        <v>112</v>
      </c>
      <c r="Z2583" s="95" t="s">
        <v>112</v>
      </c>
      <c r="AA2583" s="95" t="s">
        <v>112</v>
      </c>
      <c r="AB2583" s="95" t="s">
        <v>112</v>
      </c>
      <c r="AC2583" s="95" t="s">
        <v>112</v>
      </c>
      <c r="AD2583" s="95" t="s">
        <v>112</v>
      </c>
      <c r="AE2583" s="95">
        <v>7500</v>
      </c>
      <c r="AF2583" s="95">
        <v>7500</v>
      </c>
      <c r="AG2583" s="95">
        <v>7500</v>
      </c>
      <c r="AH2583" s="95">
        <v>7500</v>
      </c>
      <c r="AI2583" s="95">
        <v>7500</v>
      </c>
      <c r="AJ2583" s="95">
        <v>7500</v>
      </c>
      <c r="AK2583" s="95">
        <v>7500</v>
      </c>
      <c r="AL2583" s="95">
        <v>7500</v>
      </c>
      <c r="AM2583" s="95">
        <v>7500</v>
      </c>
      <c r="AN2583" s="95">
        <v>7500</v>
      </c>
      <c r="AO2583" s="95">
        <v>7500</v>
      </c>
      <c r="AP2583" s="95">
        <v>7500</v>
      </c>
      <c r="AQ2583" s="95">
        <v>7500</v>
      </c>
      <c r="AR2583" s="95">
        <v>7500</v>
      </c>
      <c r="AS2583" s="95">
        <v>7500</v>
      </c>
      <c r="AT2583" s="95">
        <v>7500</v>
      </c>
      <c r="AU2583" s="95">
        <v>7500</v>
      </c>
      <c r="AV2583" s="95">
        <v>7500</v>
      </c>
      <c r="AW2583" s="95">
        <v>7500</v>
      </c>
      <c r="AX2583" s="96">
        <v>7500</v>
      </c>
    </row>
    <row r="2584" spans="1:50" x14ac:dyDescent="0.25">
      <c r="A2584" s="356"/>
      <c r="B2584" s="359"/>
      <c r="C2584" s="360"/>
      <c r="D2584" s="59" t="s">
        <v>8</v>
      </c>
      <c r="E2584" s="166" t="str">
        <f>A2567&amp;"/"&amp;B2575&amp;"/"&amp;C2583&amp;"/"&amp;D2584</f>
        <v>Biomass and waste fired power plants/Fluidized bed combustion/Electricity only with CCS/M</v>
      </c>
      <c r="F2584" s="79" t="str">
        <f>A2567</f>
        <v>Biomass and waste fired power plants</v>
      </c>
      <c r="G2584" s="79" t="str">
        <f>B2575</f>
        <v>Fluidized bed combustion</v>
      </c>
      <c r="H2584" s="79" t="str">
        <f>C2583</f>
        <v>Electricity only with CCS</v>
      </c>
      <c r="I2584" s="167" t="str">
        <f t="shared" si="121"/>
        <v>M</v>
      </c>
      <c r="J2584" s="97" t="s">
        <v>112</v>
      </c>
      <c r="K2584" s="97" t="s">
        <v>112</v>
      </c>
      <c r="L2584" s="97" t="s">
        <v>112</v>
      </c>
      <c r="M2584" s="97" t="s">
        <v>112</v>
      </c>
      <c r="N2584" s="97" t="s">
        <v>112</v>
      </c>
      <c r="O2584" s="97" t="s">
        <v>112</v>
      </c>
      <c r="P2584" s="97" t="s">
        <v>112</v>
      </c>
      <c r="Q2584" s="97" t="s">
        <v>112</v>
      </c>
      <c r="R2584" s="97" t="s">
        <v>112</v>
      </c>
      <c r="S2584" s="97" t="s">
        <v>112</v>
      </c>
      <c r="T2584" s="97" t="s">
        <v>112</v>
      </c>
      <c r="U2584" s="97" t="s">
        <v>112</v>
      </c>
      <c r="V2584" s="97" t="s">
        <v>112</v>
      </c>
      <c r="W2584" s="97" t="s">
        <v>112</v>
      </c>
      <c r="X2584" s="97" t="s">
        <v>112</v>
      </c>
      <c r="Y2584" s="97" t="s">
        <v>112</v>
      </c>
      <c r="Z2584" s="97" t="s">
        <v>112</v>
      </c>
      <c r="AA2584" s="97" t="s">
        <v>112</v>
      </c>
      <c r="AB2584" s="97" t="s">
        <v>112</v>
      </c>
      <c r="AC2584" s="97" t="s">
        <v>112</v>
      </c>
      <c r="AD2584" s="97" t="s">
        <v>112</v>
      </c>
      <c r="AE2584" s="97">
        <v>7172.6437484252774</v>
      </c>
      <c r="AF2584" s="97">
        <v>7172.6437484252774</v>
      </c>
      <c r="AG2584" s="97">
        <v>7172.6437484252774</v>
      </c>
      <c r="AH2584" s="97">
        <v>7172.6437484252774</v>
      </c>
      <c r="AI2584" s="97">
        <v>7172.6437484252774</v>
      </c>
      <c r="AJ2584" s="97">
        <v>7172.6437484252774</v>
      </c>
      <c r="AK2584" s="97">
        <v>7172.6437484252774</v>
      </c>
      <c r="AL2584" s="97">
        <v>7172.6437484252774</v>
      </c>
      <c r="AM2584" s="97">
        <v>7172.6437484252774</v>
      </c>
      <c r="AN2584" s="97">
        <v>7172.6437484252774</v>
      </c>
      <c r="AO2584" s="97">
        <v>7172.6437484252774</v>
      </c>
      <c r="AP2584" s="97">
        <v>7172.6437484252774</v>
      </c>
      <c r="AQ2584" s="97">
        <v>7172.6437484252774</v>
      </c>
      <c r="AR2584" s="97">
        <v>7172.6437484252774</v>
      </c>
      <c r="AS2584" s="97">
        <v>7172.6437484252774</v>
      </c>
      <c r="AT2584" s="97">
        <v>7172.6437484252774</v>
      </c>
      <c r="AU2584" s="97">
        <v>7172.6437484252774</v>
      </c>
      <c r="AV2584" s="97">
        <v>7172.6437484252774</v>
      </c>
      <c r="AW2584" s="97">
        <v>7172.6437484252774</v>
      </c>
      <c r="AX2584" s="98">
        <v>7172.6437484252774</v>
      </c>
    </row>
    <row r="2585" spans="1:50" x14ac:dyDescent="0.25">
      <c r="A2585" s="356"/>
      <c r="B2585" s="359"/>
      <c r="C2585" s="361" t="s">
        <v>16</v>
      </c>
      <c r="D2585" s="2" t="s">
        <v>7</v>
      </c>
      <c r="E2585" s="160" t="str">
        <f>A2567&amp;"/"&amp;B2575&amp;"/"&amp;C2585&amp;"/"&amp;D2585</f>
        <v>Biomass and waste fired power plants/Fluidized bed combustion/CHP with CCS/L</v>
      </c>
      <c r="F2585" s="76" t="str">
        <f>A2567</f>
        <v>Biomass and waste fired power plants</v>
      </c>
      <c r="G2585" s="76" t="str">
        <f>B2575</f>
        <v>Fluidized bed combustion</v>
      </c>
      <c r="H2585" s="76" t="str">
        <f>C2585</f>
        <v>CHP with CCS</v>
      </c>
      <c r="I2585" s="161" t="str">
        <f t="shared" si="121"/>
        <v>L</v>
      </c>
      <c r="J2585" s="91" t="s">
        <v>112</v>
      </c>
      <c r="K2585" s="91" t="s">
        <v>112</v>
      </c>
      <c r="L2585" s="91" t="s">
        <v>112</v>
      </c>
      <c r="M2585" s="91" t="s">
        <v>112</v>
      </c>
      <c r="N2585" s="91" t="s">
        <v>112</v>
      </c>
      <c r="O2585" s="91" t="s">
        <v>112</v>
      </c>
      <c r="P2585" s="91" t="s">
        <v>112</v>
      </c>
      <c r="Q2585" s="91" t="s">
        <v>112</v>
      </c>
      <c r="R2585" s="91" t="s">
        <v>112</v>
      </c>
      <c r="S2585" s="91" t="s">
        <v>112</v>
      </c>
      <c r="T2585" s="91" t="s">
        <v>112</v>
      </c>
      <c r="U2585" s="91" t="s">
        <v>112</v>
      </c>
      <c r="V2585" s="91" t="s">
        <v>112</v>
      </c>
      <c r="W2585" s="91" t="s">
        <v>112</v>
      </c>
      <c r="X2585" s="91" t="s">
        <v>112</v>
      </c>
      <c r="Y2585" s="91" t="s">
        <v>112</v>
      </c>
      <c r="Z2585" s="91" t="s">
        <v>112</v>
      </c>
      <c r="AA2585" s="91" t="s">
        <v>112</v>
      </c>
      <c r="AB2585" s="91" t="s">
        <v>112</v>
      </c>
      <c r="AC2585" s="91" t="s">
        <v>112</v>
      </c>
      <c r="AD2585" s="91" t="s">
        <v>112</v>
      </c>
      <c r="AE2585" s="91">
        <v>7125</v>
      </c>
      <c r="AF2585" s="91">
        <v>7125</v>
      </c>
      <c r="AG2585" s="91">
        <v>7125</v>
      </c>
      <c r="AH2585" s="91">
        <v>7125</v>
      </c>
      <c r="AI2585" s="91">
        <v>7125</v>
      </c>
      <c r="AJ2585" s="91">
        <v>7125</v>
      </c>
      <c r="AK2585" s="91">
        <v>7125</v>
      </c>
      <c r="AL2585" s="91">
        <v>7125</v>
      </c>
      <c r="AM2585" s="91">
        <v>7125</v>
      </c>
      <c r="AN2585" s="91">
        <v>7125</v>
      </c>
      <c r="AO2585" s="91">
        <v>7125</v>
      </c>
      <c r="AP2585" s="91">
        <v>7125</v>
      </c>
      <c r="AQ2585" s="91">
        <v>7125</v>
      </c>
      <c r="AR2585" s="91">
        <v>7125</v>
      </c>
      <c r="AS2585" s="91">
        <v>7125</v>
      </c>
      <c r="AT2585" s="91">
        <v>7125</v>
      </c>
      <c r="AU2585" s="91">
        <v>7125</v>
      </c>
      <c r="AV2585" s="91">
        <v>7125</v>
      </c>
      <c r="AW2585" s="91">
        <v>7125</v>
      </c>
      <c r="AX2585" s="92">
        <v>7125</v>
      </c>
    </row>
    <row r="2586" spans="1:50" x14ac:dyDescent="0.25">
      <c r="A2586" s="356"/>
      <c r="B2586" s="362"/>
      <c r="C2586" s="354"/>
      <c r="D2586" s="4" t="s">
        <v>8</v>
      </c>
      <c r="E2586" s="168" t="str">
        <f>A2567&amp;"/"&amp;B2575&amp;"/"&amp;C2585&amp;"/"&amp;D2586</f>
        <v>Biomass and waste fired power plants/Fluidized bed combustion/CHP with CCS/M</v>
      </c>
      <c r="F2586" s="80" t="str">
        <f>A2567</f>
        <v>Biomass and waste fired power plants</v>
      </c>
      <c r="G2586" s="80" t="str">
        <f>B2575</f>
        <v>Fluidized bed combustion</v>
      </c>
      <c r="H2586" s="80" t="str">
        <f>C2585</f>
        <v>CHP with CCS</v>
      </c>
      <c r="I2586" s="169" t="str">
        <f t="shared" si="121"/>
        <v>M</v>
      </c>
      <c r="J2586" s="99" t="s">
        <v>112</v>
      </c>
      <c r="K2586" s="99" t="s">
        <v>112</v>
      </c>
      <c r="L2586" s="99" t="s">
        <v>112</v>
      </c>
      <c r="M2586" s="99" t="s">
        <v>112</v>
      </c>
      <c r="N2586" s="99" t="s">
        <v>112</v>
      </c>
      <c r="O2586" s="99" t="s">
        <v>112</v>
      </c>
      <c r="P2586" s="99" t="s">
        <v>112</v>
      </c>
      <c r="Q2586" s="99" t="s">
        <v>112</v>
      </c>
      <c r="R2586" s="99" t="s">
        <v>112</v>
      </c>
      <c r="S2586" s="99" t="s">
        <v>112</v>
      </c>
      <c r="T2586" s="99" t="s">
        <v>112</v>
      </c>
      <c r="U2586" s="99" t="s">
        <v>112</v>
      </c>
      <c r="V2586" s="99" t="s">
        <v>112</v>
      </c>
      <c r="W2586" s="99" t="s">
        <v>112</v>
      </c>
      <c r="X2586" s="99" t="s">
        <v>112</v>
      </c>
      <c r="Y2586" s="99" t="s">
        <v>112</v>
      </c>
      <c r="Z2586" s="99" t="s">
        <v>112</v>
      </c>
      <c r="AA2586" s="99" t="s">
        <v>112</v>
      </c>
      <c r="AB2586" s="99" t="s">
        <v>112</v>
      </c>
      <c r="AC2586" s="99" t="s">
        <v>112</v>
      </c>
      <c r="AD2586" s="99" t="s">
        <v>112</v>
      </c>
      <c r="AE2586" s="99">
        <v>6814.0115610040139</v>
      </c>
      <c r="AF2586" s="99">
        <v>6814.0115610040139</v>
      </c>
      <c r="AG2586" s="99">
        <v>6814.0115610040139</v>
      </c>
      <c r="AH2586" s="99">
        <v>6814.0115610040139</v>
      </c>
      <c r="AI2586" s="99">
        <v>6814.0115610040139</v>
      </c>
      <c r="AJ2586" s="99">
        <v>6814.0115610040139</v>
      </c>
      <c r="AK2586" s="99">
        <v>6814.0115610040139</v>
      </c>
      <c r="AL2586" s="99">
        <v>6814.0115610040139</v>
      </c>
      <c r="AM2586" s="99">
        <v>6814.0115610040139</v>
      </c>
      <c r="AN2586" s="99">
        <v>6814.0115610040139</v>
      </c>
      <c r="AO2586" s="99">
        <v>6814.0115610040139</v>
      </c>
      <c r="AP2586" s="99">
        <v>6814.0115610040139</v>
      </c>
      <c r="AQ2586" s="99">
        <v>6814.0115610040139</v>
      </c>
      <c r="AR2586" s="99">
        <v>6814.0115610040139</v>
      </c>
      <c r="AS2586" s="99">
        <v>6814.0115610040139</v>
      </c>
      <c r="AT2586" s="99">
        <v>6814.0115610040139</v>
      </c>
      <c r="AU2586" s="99">
        <v>6814.0115610040139</v>
      </c>
      <c r="AV2586" s="99">
        <v>6814.0115610040139</v>
      </c>
      <c r="AW2586" s="99">
        <v>6814.0115610040139</v>
      </c>
      <c r="AX2586" s="100">
        <v>6814.0115610040139</v>
      </c>
    </row>
    <row r="2587" spans="1:50" x14ac:dyDescent="0.25">
      <c r="A2587" s="356"/>
      <c r="B2587" s="358" t="s">
        <v>19</v>
      </c>
      <c r="C2587" s="353" t="s">
        <v>6</v>
      </c>
      <c r="D2587" s="3" t="s">
        <v>7</v>
      </c>
      <c r="E2587" s="162" t="str">
        <f>A2567&amp;"/"&amp;B2587&amp;"/"&amp;C2587&amp;"/"&amp;D2587</f>
        <v>Biomass and waste fired power plants/Steam turbine/Electricity only/L</v>
      </c>
      <c r="F2587" s="77" t="str">
        <f>A2567</f>
        <v>Biomass and waste fired power plants</v>
      </c>
      <c r="G2587" s="77" t="str">
        <f>B2587</f>
        <v>Steam turbine</v>
      </c>
      <c r="H2587" s="77" t="str">
        <f>C2587</f>
        <v>Electricity only</v>
      </c>
      <c r="I2587" s="163" t="str">
        <f t="shared" si="121"/>
        <v>L</v>
      </c>
      <c r="J2587" s="93">
        <v>6600</v>
      </c>
      <c r="K2587" s="93">
        <v>6600</v>
      </c>
      <c r="L2587" s="93">
        <v>6600</v>
      </c>
      <c r="M2587" s="93">
        <v>6600</v>
      </c>
      <c r="N2587" s="93">
        <v>6600</v>
      </c>
      <c r="O2587" s="93">
        <v>6600</v>
      </c>
      <c r="P2587" s="93">
        <v>6600</v>
      </c>
      <c r="Q2587" s="93">
        <v>6600</v>
      </c>
      <c r="R2587" s="93">
        <v>6600</v>
      </c>
      <c r="S2587" s="93">
        <v>6600</v>
      </c>
      <c r="T2587" s="93">
        <v>6600</v>
      </c>
      <c r="U2587" s="93">
        <v>6600</v>
      </c>
      <c r="V2587" s="93">
        <v>6600</v>
      </c>
      <c r="W2587" s="93">
        <v>6600</v>
      </c>
      <c r="X2587" s="93">
        <v>6600</v>
      </c>
      <c r="Y2587" s="93">
        <v>6600</v>
      </c>
      <c r="Z2587" s="93">
        <v>6600</v>
      </c>
      <c r="AA2587" s="93">
        <v>6600</v>
      </c>
      <c r="AB2587" s="93">
        <v>6600</v>
      </c>
      <c r="AC2587" s="93">
        <v>6600</v>
      </c>
      <c r="AD2587" s="93">
        <v>6600</v>
      </c>
      <c r="AE2587" s="93">
        <v>6600</v>
      </c>
      <c r="AF2587" s="93">
        <v>6600</v>
      </c>
      <c r="AG2587" s="93">
        <v>6600</v>
      </c>
      <c r="AH2587" s="93">
        <v>6600</v>
      </c>
      <c r="AI2587" s="93">
        <v>6600</v>
      </c>
      <c r="AJ2587" s="93">
        <v>6600</v>
      </c>
      <c r="AK2587" s="93">
        <v>6600</v>
      </c>
      <c r="AL2587" s="93">
        <v>6600</v>
      </c>
      <c r="AM2587" s="93">
        <v>6600</v>
      </c>
      <c r="AN2587" s="93">
        <v>6600</v>
      </c>
      <c r="AO2587" s="93">
        <v>6600</v>
      </c>
      <c r="AP2587" s="93">
        <v>6600</v>
      </c>
      <c r="AQ2587" s="93">
        <v>6600</v>
      </c>
      <c r="AR2587" s="93">
        <v>6600</v>
      </c>
      <c r="AS2587" s="93">
        <v>6600</v>
      </c>
      <c r="AT2587" s="93">
        <v>6600</v>
      </c>
      <c r="AU2587" s="93">
        <v>6600</v>
      </c>
      <c r="AV2587" s="93">
        <v>6600</v>
      </c>
      <c r="AW2587" s="93">
        <v>6600</v>
      </c>
      <c r="AX2587" s="94">
        <v>6600</v>
      </c>
    </row>
    <row r="2588" spans="1:50" x14ac:dyDescent="0.25">
      <c r="A2588" s="356"/>
      <c r="B2588" s="359"/>
      <c r="C2588" s="350"/>
      <c r="D2588" s="2" t="s">
        <v>8</v>
      </c>
      <c r="E2588" s="160" t="str">
        <f>A2567&amp;"/"&amp;B2587&amp;"/"&amp;C2587&amp;"/"&amp;D2588</f>
        <v>Biomass and waste fired power plants/Steam turbine/Electricity only/M</v>
      </c>
      <c r="F2588" s="76" t="str">
        <f>A2567</f>
        <v>Biomass and waste fired power plants</v>
      </c>
      <c r="G2588" s="76" t="str">
        <f>B2587</f>
        <v>Steam turbine</v>
      </c>
      <c r="H2588" s="76" t="str">
        <f>C2587</f>
        <v>Electricity only</v>
      </c>
      <c r="I2588" s="161" t="str">
        <f t="shared" si="121"/>
        <v>M</v>
      </c>
      <c r="J2588" s="91">
        <v>6311.9264986142443</v>
      </c>
      <c r="K2588" s="91">
        <v>6311.9264986142443</v>
      </c>
      <c r="L2588" s="91">
        <v>6311.9264986142443</v>
      </c>
      <c r="M2588" s="91">
        <v>6311.9264986142443</v>
      </c>
      <c r="N2588" s="91">
        <v>6311.9264986142443</v>
      </c>
      <c r="O2588" s="91">
        <v>6311.9264986142443</v>
      </c>
      <c r="P2588" s="91">
        <v>6311.9264986142443</v>
      </c>
      <c r="Q2588" s="91">
        <v>6311.9264986142443</v>
      </c>
      <c r="R2588" s="91">
        <v>6311.9264986142443</v>
      </c>
      <c r="S2588" s="91">
        <v>6311.9264986142443</v>
      </c>
      <c r="T2588" s="91">
        <v>6311.9264986142443</v>
      </c>
      <c r="U2588" s="91">
        <v>6311.9264986142443</v>
      </c>
      <c r="V2588" s="91">
        <v>6311.9264986142443</v>
      </c>
      <c r="W2588" s="91">
        <v>6311.9264986142443</v>
      </c>
      <c r="X2588" s="91">
        <v>6311.9264986142443</v>
      </c>
      <c r="Y2588" s="91">
        <v>6311.9264986142443</v>
      </c>
      <c r="Z2588" s="91">
        <v>6311.9264986142443</v>
      </c>
      <c r="AA2588" s="91">
        <v>6311.9264986142443</v>
      </c>
      <c r="AB2588" s="91">
        <v>6311.9264986142443</v>
      </c>
      <c r="AC2588" s="91">
        <v>6311.9264986142443</v>
      </c>
      <c r="AD2588" s="91">
        <v>6311.9264986142443</v>
      </c>
      <c r="AE2588" s="91">
        <v>6311.9264986142443</v>
      </c>
      <c r="AF2588" s="91">
        <v>6311.9264986142443</v>
      </c>
      <c r="AG2588" s="91">
        <v>6311.9264986142443</v>
      </c>
      <c r="AH2588" s="91">
        <v>6311.9264986142443</v>
      </c>
      <c r="AI2588" s="91">
        <v>6311.9264986142443</v>
      </c>
      <c r="AJ2588" s="91">
        <v>6311.9264986142443</v>
      </c>
      <c r="AK2588" s="91">
        <v>6311.9264986142443</v>
      </c>
      <c r="AL2588" s="91">
        <v>6311.9264986142443</v>
      </c>
      <c r="AM2588" s="91">
        <v>6311.9264986142443</v>
      </c>
      <c r="AN2588" s="91">
        <v>6311.9264986142443</v>
      </c>
      <c r="AO2588" s="91">
        <v>6311.9264986142443</v>
      </c>
      <c r="AP2588" s="91">
        <v>6311.9264986142443</v>
      </c>
      <c r="AQ2588" s="91">
        <v>6311.9264986142443</v>
      </c>
      <c r="AR2588" s="91">
        <v>6311.9264986142443</v>
      </c>
      <c r="AS2588" s="91">
        <v>6311.9264986142443</v>
      </c>
      <c r="AT2588" s="91">
        <v>6311.9264986142443</v>
      </c>
      <c r="AU2588" s="91">
        <v>6311.9264986142443</v>
      </c>
      <c r="AV2588" s="91">
        <v>6311.9264986142443</v>
      </c>
      <c r="AW2588" s="91">
        <v>6311.9264986142443</v>
      </c>
      <c r="AX2588" s="92">
        <v>6311.9264986142443</v>
      </c>
    </row>
    <row r="2589" spans="1:50" x14ac:dyDescent="0.25">
      <c r="A2589" s="356"/>
      <c r="B2589" s="359"/>
      <c r="C2589" s="350"/>
      <c r="D2589" s="2" t="s">
        <v>10</v>
      </c>
      <c r="E2589" s="160" t="str">
        <f>A2567&amp;"/"&amp;B2587&amp;"/"&amp;C2587&amp;"/"&amp;D2589</f>
        <v>Biomass and waste fired power plants/Steam turbine/Electricity only/S</v>
      </c>
      <c r="F2589" s="76" t="str">
        <f>A2567</f>
        <v>Biomass and waste fired power plants</v>
      </c>
      <c r="G2589" s="76" t="str">
        <f>B2587</f>
        <v>Steam turbine</v>
      </c>
      <c r="H2589" s="76" t="str">
        <f>C2587</f>
        <v>Electricity only</v>
      </c>
      <c r="I2589" s="161" t="str">
        <f t="shared" si="121"/>
        <v>S</v>
      </c>
      <c r="J2589" s="91">
        <v>5959.0109795530661</v>
      </c>
      <c r="K2589" s="91">
        <v>5959.0109795530661</v>
      </c>
      <c r="L2589" s="91">
        <v>5959.0109795530661</v>
      </c>
      <c r="M2589" s="91">
        <v>5959.0109795530661</v>
      </c>
      <c r="N2589" s="91">
        <v>5959.0109795530661</v>
      </c>
      <c r="O2589" s="91">
        <v>5959.0109795530661</v>
      </c>
      <c r="P2589" s="91">
        <v>5959.0109795530661</v>
      </c>
      <c r="Q2589" s="91">
        <v>5959.0109795530661</v>
      </c>
      <c r="R2589" s="91">
        <v>5959.0109795530661</v>
      </c>
      <c r="S2589" s="91">
        <v>5959.0109795530661</v>
      </c>
      <c r="T2589" s="91">
        <v>5959.0109795530661</v>
      </c>
      <c r="U2589" s="91">
        <v>5959.0109795530661</v>
      </c>
      <c r="V2589" s="91">
        <v>5959.0109795530661</v>
      </c>
      <c r="W2589" s="91">
        <v>5959.0109795530661</v>
      </c>
      <c r="X2589" s="91">
        <v>5959.0109795530661</v>
      </c>
      <c r="Y2589" s="91">
        <v>5959.0109795530661</v>
      </c>
      <c r="Z2589" s="91">
        <v>5959.0109795530661</v>
      </c>
      <c r="AA2589" s="91">
        <v>5959.0109795530661</v>
      </c>
      <c r="AB2589" s="91">
        <v>5959.0109795530661</v>
      </c>
      <c r="AC2589" s="91">
        <v>5959.0109795530661</v>
      </c>
      <c r="AD2589" s="91">
        <v>5959.0109795530661</v>
      </c>
      <c r="AE2589" s="91">
        <v>5959.0109795530661</v>
      </c>
      <c r="AF2589" s="91">
        <v>5959.0109795530661</v>
      </c>
      <c r="AG2589" s="91">
        <v>5959.0109795530661</v>
      </c>
      <c r="AH2589" s="91">
        <v>5959.0109795530661</v>
      </c>
      <c r="AI2589" s="91">
        <v>5959.0109795530661</v>
      </c>
      <c r="AJ2589" s="91">
        <v>5959.0109795530661</v>
      </c>
      <c r="AK2589" s="91">
        <v>5959.0109795530661</v>
      </c>
      <c r="AL2589" s="91">
        <v>5959.0109795530661</v>
      </c>
      <c r="AM2589" s="91">
        <v>5959.0109795530661</v>
      </c>
      <c r="AN2589" s="91">
        <v>5959.0109795530661</v>
      </c>
      <c r="AO2589" s="91">
        <v>5959.0109795530661</v>
      </c>
      <c r="AP2589" s="91">
        <v>5959.0109795530661</v>
      </c>
      <c r="AQ2589" s="91">
        <v>5959.0109795530661</v>
      </c>
      <c r="AR2589" s="91">
        <v>5959.0109795530661</v>
      </c>
      <c r="AS2589" s="91">
        <v>5959.0109795530661</v>
      </c>
      <c r="AT2589" s="91">
        <v>5959.0109795530661</v>
      </c>
      <c r="AU2589" s="91">
        <v>5959.0109795530661</v>
      </c>
      <c r="AV2589" s="91">
        <v>5959.0109795530661</v>
      </c>
      <c r="AW2589" s="91">
        <v>5959.0109795530661</v>
      </c>
      <c r="AX2589" s="92">
        <v>5959.0109795530661</v>
      </c>
    </row>
    <row r="2590" spans="1:50" x14ac:dyDescent="0.25">
      <c r="A2590" s="356"/>
      <c r="B2590" s="359"/>
      <c r="C2590" s="360"/>
      <c r="D2590" s="2" t="s">
        <v>20</v>
      </c>
      <c r="E2590" s="160" t="str">
        <f>A2567&amp;"/"&amp;B2587&amp;"/"&amp;C2587&amp;"/"&amp;D2590</f>
        <v>Biomass and waste fired power plants/Steam turbine/Electricity only/XS</v>
      </c>
      <c r="F2590" s="76" t="str">
        <f>A2567</f>
        <v>Biomass and waste fired power plants</v>
      </c>
      <c r="G2590" s="76" t="str">
        <f>B2587</f>
        <v>Steam turbine</v>
      </c>
      <c r="H2590" s="76" t="str">
        <f>C2587</f>
        <v>Electricity only</v>
      </c>
      <c r="I2590" s="161" t="str">
        <f t="shared" si="121"/>
        <v>XS</v>
      </c>
      <c r="J2590" s="91">
        <v>5768.4345682434059</v>
      </c>
      <c r="K2590" s="91">
        <v>5768.4345682434059</v>
      </c>
      <c r="L2590" s="91">
        <v>5768.4345682434059</v>
      </c>
      <c r="M2590" s="91">
        <v>5768.4345682434059</v>
      </c>
      <c r="N2590" s="91">
        <v>5768.4345682434059</v>
      </c>
      <c r="O2590" s="91">
        <v>5768.4345682434059</v>
      </c>
      <c r="P2590" s="91">
        <v>5768.4345682434059</v>
      </c>
      <c r="Q2590" s="91">
        <v>5768.4345682434059</v>
      </c>
      <c r="R2590" s="91">
        <v>5768.4345682434059</v>
      </c>
      <c r="S2590" s="91">
        <v>5768.4345682434059</v>
      </c>
      <c r="T2590" s="91">
        <v>5768.4345682434059</v>
      </c>
      <c r="U2590" s="91">
        <v>5768.4345682434059</v>
      </c>
      <c r="V2590" s="91">
        <v>5768.4345682434059</v>
      </c>
      <c r="W2590" s="91">
        <v>5768.4345682434059</v>
      </c>
      <c r="X2590" s="91">
        <v>5768.4345682434059</v>
      </c>
      <c r="Y2590" s="91">
        <v>5768.4345682434059</v>
      </c>
      <c r="Z2590" s="91">
        <v>5768.4345682434059</v>
      </c>
      <c r="AA2590" s="91">
        <v>5768.4345682434059</v>
      </c>
      <c r="AB2590" s="91">
        <v>5768.4345682434059</v>
      </c>
      <c r="AC2590" s="91">
        <v>5768.4345682434059</v>
      </c>
      <c r="AD2590" s="91">
        <v>5768.4345682434059</v>
      </c>
      <c r="AE2590" s="91">
        <v>5768.4345682434059</v>
      </c>
      <c r="AF2590" s="91">
        <v>5768.4345682434059</v>
      </c>
      <c r="AG2590" s="91">
        <v>5768.4345682434059</v>
      </c>
      <c r="AH2590" s="91">
        <v>5768.4345682434059</v>
      </c>
      <c r="AI2590" s="91">
        <v>5768.4345682434059</v>
      </c>
      <c r="AJ2590" s="91">
        <v>5768.4345682434059</v>
      </c>
      <c r="AK2590" s="91">
        <v>5768.4345682434059</v>
      </c>
      <c r="AL2590" s="91">
        <v>5768.4345682434059</v>
      </c>
      <c r="AM2590" s="91">
        <v>5768.4345682434059</v>
      </c>
      <c r="AN2590" s="91">
        <v>5768.4345682434059</v>
      </c>
      <c r="AO2590" s="91">
        <v>5768.4345682434059</v>
      </c>
      <c r="AP2590" s="91">
        <v>5768.4345682434059</v>
      </c>
      <c r="AQ2590" s="91">
        <v>5768.4345682434059</v>
      </c>
      <c r="AR2590" s="91">
        <v>5768.4345682434059</v>
      </c>
      <c r="AS2590" s="91">
        <v>5768.4345682434059</v>
      </c>
      <c r="AT2590" s="91">
        <v>5768.4345682434059</v>
      </c>
      <c r="AU2590" s="91">
        <v>5768.4345682434059</v>
      </c>
      <c r="AV2590" s="91">
        <v>5768.4345682434059</v>
      </c>
      <c r="AW2590" s="91">
        <v>5768.4345682434059</v>
      </c>
      <c r="AX2590" s="92">
        <v>5768.4345682434059</v>
      </c>
    </row>
    <row r="2591" spans="1:50" x14ac:dyDescent="0.25">
      <c r="A2591" s="356"/>
      <c r="B2591" s="359"/>
      <c r="C2591" s="361" t="s">
        <v>14</v>
      </c>
      <c r="D2591" s="58" t="s">
        <v>7</v>
      </c>
      <c r="E2591" s="164" t="str">
        <f>A2567&amp;"/"&amp;B2587&amp;"/"&amp;C2591&amp;"/"&amp;D2591</f>
        <v>Biomass and waste fired power plants/Steam turbine/CHP/L</v>
      </c>
      <c r="F2591" s="78" t="str">
        <f>A2567</f>
        <v>Biomass and waste fired power plants</v>
      </c>
      <c r="G2591" s="78" t="str">
        <f>B2587</f>
        <v>Steam turbine</v>
      </c>
      <c r="H2591" s="78" t="str">
        <f>C2591</f>
        <v>CHP</v>
      </c>
      <c r="I2591" s="165" t="str">
        <f t="shared" si="121"/>
        <v>L</v>
      </c>
      <c r="J2591" s="95">
        <v>6270</v>
      </c>
      <c r="K2591" s="95">
        <v>6270</v>
      </c>
      <c r="L2591" s="95">
        <v>6270</v>
      </c>
      <c r="M2591" s="95">
        <v>6270</v>
      </c>
      <c r="N2591" s="95">
        <v>6270</v>
      </c>
      <c r="O2591" s="95">
        <v>6270</v>
      </c>
      <c r="P2591" s="95">
        <v>6270</v>
      </c>
      <c r="Q2591" s="95">
        <v>6270</v>
      </c>
      <c r="R2591" s="95">
        <v>6270</v>
      </c>
      <c r="S2591" s="95">
        <v>6270</v>
      </c>
      <c r="T2591" s="95">
        <v>6270</v>
      </c>
      <c r="U2591" s="95">
        <v>6270</v>
      </c>
      <c r="V2591" s="95">
        <v>6270</v>
      </c>
      <c r="W2591" s="95">
        <v>6270</v>
      </c>
      <c r="X2591" s="95">
        <v>6270</v>
      </c>
      <c r="Y2591" s="95">
        <v>6270</v>
      </c>
      <c r="Z2591" s="95">
        <v>6270</v>
      </c>
      <c r="AA2591" s="95">
        <v>6270</v>
      </c>
      <c r="AB2591" s="95">
        <v>6270</v>
      </c>
      <c r="AC2591" s="95">
        <v>6270</v>
      </c>
      <c r="AD2591" s="95">
        <v>6270</v>
      </c>
      <c r="AE2591" s="95">
        <v>6270</v>
      </c>
      <c r="AF2591" s="95">
        <v>6270</v>
      </c>
      <c r="AG2591" s="95">
        <v>6270</v>
      </c>
      <c r="AH2591" s="95">
        <v>6270</v>
      </c>
      <c r="AI2591" s="95">
        <v>6270</v>
      </c>
      <c r="AJ2591" s="95">
        <v>6270</v>
      </c>
      <c r="AK2591" s="95">
        <v>6270</v>
      </c>
      <c r="AL2591" s="95">
        <v>6270</v>
      </c>
      <c r="AM2591" s="95">
        <v>6270</v>
      </c>
      <c r="AN2591" s="95">
        <v>6270</v>
      </c>
      <c r="AO2591" s="95">
        <v>6270</v>
      </c>
      <c r="AP2591" s="95">
        <v>6270</v>
      </c>
      <c r="AQ2591" s="95">
        <v>6270</v>
      </c>
      <c r="AR2591" s="95">
        <v>6270</v>
      </c>
      <c r="AS2591" s="95">
        <v>6270</v>
      </c>
      <c r="AT2591" s="95">
        <v>6270</v>
      </c>
      <c r="AU2591" s="95">
        <v>6270</v>
      </c>
      <c r="AV2591" s="95">
        <v>6270</v>
      </c>
      <c r="AW2591" s="95">
        <v>6270</v>
      </c>
      <c r="AX2591" s="96">
        <v>6270</v>
      </c>
    </row>
    <row r="2592" spans="1:50" x14ac:dyDescent="0.25">
      <c r="A2592" s="356"/>
      <c r="B2592" s="359"/>
      <c r="C2592" s="350"/>
      <c r="D2592" s="2" t="s">
        <v>8</v>
      </c>
      <c r="E2592" s="160" t="str">
        <f>A2567&amp;"/"&amp;B2587&amp;"/"&amp;C2591&amp;"/"&amp;D2592</f>
        <v>Biomass and waste fired power plants/Steam turbine/CHP/M</v>
      </c>
      <c r="F2592" s="76" t="str">
        <f>A2567</f>
        <v>Biomass and waste fired power plants</v>
      </c>
      <c r="G2592" s="76" t="str">
        <f>B2587</f>
        <v>Steam turbine</v>
      </c>
      <c r="H2592" s="76" t="str">
        <f>C2591</f>
        <v>CHP</v>
      </c>
      <c r="I2592" s="161" t="str">
        <f t="shared" si="121"/>
        <v>M</v>
      </c>
      <c r="J2592" s="91">
        <v>5996.3301736835319</v>
      </c>
      <c r="K2592" s="91">
        <v>5996.3301736835319</v>
      </c>
      <c r="L2592" s="91">
        <v>5996.3301736835319</v>
      </c>
      <c r="M2592" s="91">
        <v>5996.3301736835319</v>
      </c>
      <c r="N2592" s="91">
        <v>5996.3301736835319</v>
      </c>
      <c r="O2592" s="91">
        <v>5996.3301736835319</v>
      </c>
      <c r="P2592" s="91">
        <v>5996.3301736835319</v>
      </c>
      <c r="Q2592" s="91">
        <v>5996.3301736835319</v>
      </c>
      <c r="R2592" s="91">
        <v>5996.3301736835319</v>
      </c>
      <c r="S2592" s="91">
        <v>5996.3301736835319</v>
      </c>
      <c r="T2592" s="91">
        <v>5996.3301736835319</v>
      </c>
      <c r="U2592" s="91">
        <v>5996.3301736835319</v>
      </c>
      <c r="V2592" s="91">
        <v>5996.3301736835319</v>
      </c>
      <c r="W2592" s="91">
        <v>5996.3301736835319</v>
      </c>
      <c r="X2592" s="91">
        <v>5996.3301736835319</v>
      </c>
      <c r="Y2592" s="91">
        <v>5996.3301736835319</v>
      </c>
      <c r="Z2592" s="91">
        <v>5996.3301736835319</v>
      </c>
      <c r="AA2592" s="91">
        <v>5996.3301736835319</v>
      </c>
      <c r="AB2592" s="91">
        <v>5996.3301736835319</v>
      </c>
      <c r="AC2592" s="91">
        <v>5996.3301736835319</v>
      </c>
      <c r="AD2592" s="91">
        <v>5996.3301736835319</v>
      </c>
      <c r="AE2592" s="91">
        <v>5996.3301736835319</v>
      </c>
      <c r="AF2592" s="91">
        <v>5996.3301736835319</v>
      </c>
      <c r="AG2592" s="91">
        <v>5996.3301736835319</v>
      </c>
      <c r="AH2592" s="91">
        <v>5996.3301736835319</v>
      </c>
      <c r="AI2592" s="91">
        <v>5996.3301736835319</v>
      </c>
      <c r="AJ2592" s="91">
        <v>5996.3301736835319</v>
      </c>
      <c r="AK2592" s="91">
        <v>5996.3301736835319</v>
      </c>
      <c r="AL2592" s="91">
        <v>5996.3301736835319</v>
      </c>
      <c r="AM2592" s="91">
        <v>5996.3301736835319</v>
      </c>
      <c r="AN2592" s="91">
        <v>5996.3301736835319</v>
      </c>
      <c r="AO2592" s="91">
        <v>5996.3301736835319</v>
      </c>
      <c r="AP2592" s="91">
        <v>5996.3301736835319</v>
      </c>
      <c r="AQ2592" s="91">
        <v>5996.3301736835319</v>
      </c>
      <c r="AR2592" s="91">
        <v>5996.3301736835319</v>
      </c>
      <c r="AS2592" s="91">
        <v>5996.3301736835319</v>
      </c>
      <c r="AT2592" s="91">
        <v>5996.3301736835319</v>
      </c>
      <c r="AU2592" s="91">
        <v>5996.3301736835319</v>
      </c>
      <c r="AV2592" s="91">
        <v>5996.3301736835319</v>
      </c>
      <c r="AW2592" s="91">
        <v>5996.3301736835319</v>
      </c>
      <c r="AX2592" s="92">
        <v>5996.3301736835319</v>
      </c>
    </row>
    <row r="2593" spans="1:50" x14ac:dyDescent="0.25">
      <c r="A2593" s="356"/>
      <c r="B2593" s="359"/>
      <c r="C2593" s="350"/>
      <c r="D2593" s="2" t="s">
        <v>10</v>
      </c>
      <c r="E2593" s="160" t="str">
        <f>A2567&amp;"/"&amp;B2587&amp;"/"&amp;C2591&amp;"/"&amp;D2593</f>
        <v>Biomass and waste fired power plants/Steam turbine/CHP/S</v>
      </c>
      <c r="F2593" s="76" t="str">
        <f>A2567</f>
        <v>Biomass and waste fired power plants</v>
      </c>
      <c r="G2593" s="76" t="str">
        <f>B2587</f>
        <v>Steam turbine</v>
      </c>
      <c r="H2593" s="76" t="str">
        <f>C2591</f>
        <v>CHP</v>
      </c>
      <c r="I2593" s="161" t="str">
        <f t="shared" si="121"/>
        <v>S</v>
      </c>
      <c r="J2593" s="91">
        <v>5661.0604305754132</v>
      </c>
      <c r="K2593" s="91">
        <v>5661.0604305754132</v>
      </c>
      <c r="L2593" s="91">
        <v>5661.0604305754132</v>
      </c>
      <c r="M2593" s="91">
        <v>5661.0604305754132</v>
      </c>
      <c r="N2593" s="91">
        <v>5661.0604305754132</v>
      </c>
      <c r="O2593" s="91">
        <v>5661.0604305754132</v>
      </c>
      <c r="P2593" s="91">
        <v>5661.0604305754132</v>
      </c>
      <c r="Q2593" s="91">
        <v>5661.0604305754132</v>
      </c>
      <c r="R2593" s="91">
        <v>5661.0604305754132</v>
      </c>
      <c r="S2593" s="91">
        <v>5661.0604305754132</v>
      </c>
      <c r="T2593" s="91">
        <v>5661.0604305754132</v>
      </c>
      <c r="U2593" s="91">
        <v>5661.0604305754132</v>
      </c>
      <c r="V2593" s="91">
        <v>5661.0604305754132</v>
      </c>
      <c r="W2593" s="91">
        <v>5661.0604305754132</v>
      </c>
      <c r="X2593" s="91">
        <v>5661.0604305754132</v>
      </c>
      <c r="Y2593" s="91">
        <v>5661.0604305754132</v>
      </c>
      <c r="Z2593" s="91">
        <v>5661.0604305754132</v>
      </c>
      <c r="AA2593" s="91">
        <v>5661.0604305754132</v>
      </c>
      <c r="AB2593" s="91">
        <v>5661.0604305754132</v>
      </c>
      <c r="AC2593" s="91">
        <v>5661.0604305754132</v>
      </c>
      <c r="AD2593" s="91">
        <v>5661.0604305754132</v>
      </c>
      <c r="AE2593" s="91">
        <v>5661.0604305754132</v>
      </c>
      <c r="AF2593" s="91">
        <v>5661.0604305754132</v>
      </c>
      <c r="AG2593" s="91">
        <v>5661.0604305754132</v>
      </c>
      <c r="AH2593" s="91">
        <v>5661.0604305754132</v>
      </c>
      <c r="AI2593" s="91">
        <v>5661.0604305754132</v>
      </c>
      <c r="AJ2593" s="91">
        <v>5661.0604305754132</v>
      </c>
      <c r="AK2593" s="91">
        <v>5661.0604305754132</v>
      </c>
      <c r="AL2593" s="91">
        <v>5661.0604305754132</v>
      </c>
      <c r="AM2593" s="91">
        <v>5661.0604305754132</v>
      </c>
      <c r="AN2593" s="91">
        <v>5661.0604305754132</v>
      </c>
      <c r="AO2593" s="91">
        <v>5661.0604305754132</v>
      </c>
      <c r="AP2593" s="91">
        <v>5661.0604305754132</v>
      </c>
      <c r="AQ2593" s="91">
        <v>5661.0604305754132</v>
      </c>
      <c r="AR2593" s="91">
        <v>5661.0604305754132</v>
      </c>
      <c r="AS2593" s="91">
        <v>5661.0604305754132</v>
      </c>
      <c r="AT2593" s="91">
        <v>5661.0604305754132</v>
      </c>
      <c r="AU2593" s="91">
        <v>5661.0604305754132</v>
      </c>
      <c r="AV2593" s="91">
        <v>5661.0604305754132</v>
      </c>
      <c r="AW2593" s="91">
        <v>5661.0604305754132</v>
      </c>
      <c r="AX2593" s="92">
        <v>5661.0604305754132</v>
      </c>
    </row>
    <row r="2594" spans="1:50" x14ac:dyDescent="0.25">
      <c r="A2594" s="356"/>
      <c r="B2594" s="359"/>
      <c r="C2594" s="360"/>
      <c r="D2594" s="59" t="s">
        <v>20</v>
      </c>
      <c r="E2594" s="166" t="str">
        <f>A2567&amp;"/"&amp;B2587&amp;"/"&amp;C2591&amp;"/"&amp;D2594</f>
        <v>Biomass and waste fired power plants/Steam turbine/CHP/XS</v>
      </c>
      <c r="F2594" s="79" t="str">
        <f>A2567</f>
        <v>Biomass and waste fired power plants</v>
      </c>
      <c r="G2594" s="79" t="str">
        <f>B2587</f>
        <v>Steam turbine</v>
      </c>
      <c r="H2594" s="79" t="str">
        <f>C2591</f>
        <v>CHP</v>
      </c>
      <c r="I2594" s="167" t="str">
        <f t="shared" si="121"/>
        <v>XS</v>
      </c>
      <c r="J2594" s="97">
        <v>5480.0128398312354</v>
      </c>
      <c r="K2594" s="97">
        <v>5480.0128398312354</v>
      </c>
      <c r="L2594" s="97">
        <v>5480.0128398312354</v>
      </c>
      <c r="M2594" s="97">
        <v>5480.0128398312354</v>
      </c>
      <c r="N2594" s="97">
        <v>5480.0128398312354</v>
      </c>
      <c r="O2594" s="97">
        <v>5480.0128398312354</v>
      </c>
      <c r="P2594" s="97">
        <v>5480.0128398312354</v>
      </c>
      <c r="Q2594" s="97">
        <v>5480.0128398312354</v>
      </c>
      <c r="R2594" s="97">
        <v>5480.0128398312354</v>
      </c>
      <c r="S2594" s="97">
        <v>5480.0128398312354</v>
      </c>
      <c r="T2594" s="97">
        <v>5480.0128398312354</v>
      </c>
      <c r="U2594" s="97">
        <v>5480.0128398312354</v>
      </c>
      <c r="V2594" s="97">
        <v>5480.0128398312354</v>
      </c>
      <c r="W2594" s="97">
        <v>5480.0128398312354</v>
      </c>
      <c r="X2594" s="97">
        <v>5480.0128398312354</v>
      </c>
      <c r="Y2594" s="97">
        <v>5480.0128398312354</v>
      </c>
      <c r="Z2594" s="97">
        <v>5480.0128398312354</v>
      </c>
      <c r="AA2594" s="97">
        <v>5480.0128398312354</v>
      </c>
      <c r="AB2594" s="97">
        <v>5480.0128398312354</v>
      </c>
      <c r="AC2594" s="97">
        <v>5480.0128398312354</v>
      </c>
      <c r="AD2594" s="97">
        <v>5480.0128398312354</v>
      </c>
      <c r="AE2594" s="97">
        <v>5480.0128398312354</v>
      </c>
      <c r="AF2594" s="97">
        <v>5480.0128398312354</v>
      </c>
      <c r="AG2594" s="97">
        <v>5480.0128398312354</v>
      </c>
      <c r="AH2594" s="97">
        <v>5480.0128398312354</v>
      </c>
      <c r="AI2594" s="97">
        <v>5480.0128398312354</v>
      </c>
      <c r="AJ2594" s="97">
        <v>5480.0128398312354</v>
      </c>
      <c r="AK2594" s="97">
        <v>5480.0128398312354</v>
      </c>
      <c r="AL2594" s="97">
        <v>5480.0128398312354</v>
      </c>
      <c r="AM2594" s="97">
        <v>5480.0128398312354</v>
      </c>
      <c r="AN2594" s="97">
        <v>5480.0128398312354</v>
      </c>
      <c r="AO2594" s="97">
        <v>5480.0128398312354</v>
      </c>
      <c r="AP2594" s="97">
        <v>5480.0128398312354</v>
      </c>
      <c r="AQ2594" s="97">
        <v>5480.0128398312354</v>
      </c>
      <c r="AR2594" s="97">
        <v>5480.0128398312354</v>
      </c>
      <c r="AS2594" s="97">
        <v>5480.0128398312354</v>
      </c>
      <c r="AT2594" s="97">
        <v>5480.0128398312354</v>
      </c>
      <c r="AU2594" s="97">
        <v>5480.0128398312354</v>
      </c>
      <c r="AV2594" s="97">
        <v>5480.0128398312354</v>
      </c>
      <c r="AW2594" s="97">
        <v>5480.0128398312354</v>
      </c>
      <c r="AX2594" s="98">
        <v>5480.0128398312354</v>
      </c>
    </row>
    <row r="2595" spans="1:50" x14ac:dyDescent="0.25">
      <c r="A2595" s="356"/>
      <c r="B2595" s="359"/>
      <c r="C2595" s="361" t="s">
        <v>15</v>
      </c>
      <c r="D2595" s="58" t="s">
        <v>7</v>
      </c>
      <c r="E2595" s="164" t="str">
        <f>A2567&amp;"/"&amp;B2587&amp;"/"&amp;C2595&amp;"/"&amp;D2595</f>
        <v>Biomass and waste fired power plants/Steam turbine/Electricity only with CCS/L</v>
      </c>
      <c r="F2595" s="78" t="str">
        <f>A2567</f>
        <v>Biomass and waste fired power plants</v>
      </c>
      <c r="G2595" s="78" t="str">
        <f>B2587</f>
        <v>Steam turbine</v>
      </c>
      <c r="H2595" s="78" t="str">
        <f>C2595</f>
        <v>Electricity only with CCS</v>
      </c>
      <c r="I2595" s="165" t="str">
        <f t="shared" si="121"/>
        <v>L</v>
      </c>
      <c r="J2595" s="95" t="s">
        <v>112</v>
      </c>
      <c r="K2595" s="95" t="s">
        <v>112</v>
      </c>
      <c r="L2595" s="95" t="s">
        <v>112</v>
      </c>
      <c r="M2595" s="95" t="s">
        <v>112</v>
      </c>
      <c r="N2595" s="95" t="s">
        <v>112</v>
      </c>
      <c r="O2595" s="95" t="s">
        <v>112</v>
      </c>
      <c r="P2595" s="95" t="s">
        <v>112</v>
      </c>
      <c r="Q2595" s="95" t="s">
        <v>112</v>
      </c>
      <c r="R2595" s="95" t="s">
        <v>112</v>
      </c>
      <c r="S2595" s="95" t="s">
        <v>112</v>
      </c>
      <c r="T2595" s="95" t="s">
        <v>112</v>
      </c>
      <c r="U2595" s="95" t="s">
        <v>112</v>
      </c>
      <c r="V2595" s="95" t="s">
        <v>112</v>
      </c>
      <c r="W2595" s="95" t="s">
        <v>112</v>
      </c>
      <c r="X2595" s="95" t="s">
        <v>112</v>
      </c>
      <c r="Y2595" s="95" t="s">
        <v>112</v>
      </c>
      <c r="Z2595" s="95" t="s">
        <v>112</v>
      </c>
      <c r="AA2595" s="95" t="s">
        <v>112</v>
      </c>
      <c r="AB2595" s="95" t="s">
        <v>112</v>
      </c>
      <c r="AC2595" s="95" t="s">
        <v>112</v>
      </c>
      <c r="AD2595" s="95" t="s">
        <v>112</v>
      </c>
      <c r="AE2595" s="95">
        <v>6600</v>
      </c>
      <c r="AF2595" s="95">
        <v>6600</v>
      </c>
      <c r="AG2595" s="95">
        <v>6600</v>
      </c>
      <c r="AH2595" s="95">
        <v>6600</v>
      </c>
      <c r="AI2595" s="95">
        <v>6600</v>
      </c>
      <c r="AJ2595" s="95">
        <v>6600</v>
      </c>
      <c r="AK2595" s="95">
        <v>6600</v>
      </c>
      <c r="AL2595" s="95">
        <v>6600</v>
      </c>
      <c r="AM2595" s="95">
        <v>6600</v>
      </c>
      <c r="AN2595" s="95">
        <v>6600</v>
      </c>
      <c r="AO2595" s="95">
        <v>6600</v>
      </c>
      <c r="AP2595" s="95">
        <v>6600</v>
      </c>
      <c r="AQ2595" s="95">
        <v>6600</v>
      </c>
      <c r="AR2595" s="95">
        <v>6600</v>
      </c>
      <c r="AS2595" s="95">
        <v>6600</v>
      </c>
      <c r="AT2595" s="95">
        <v>6600</v>
      </c>
      <c r="AU2595" s="95">
        <v>6600</v>
      </c>
      <c r="AV2595" s="95">
        <v>6600</v>
      </c>
      <c r="AW2595" s="95">
        <v>6600</v>
      </c>
      <c r="AX2595" s="96">
        <v>6600</v>
      </c>
    </row>
    <row r="2596" spans="1:50" x14ac:dyDescent="0.25">
      <c r="A2596" s="356"/>
      <c r="B2596" s="359"/>
      <c r="C2596" s="360"/>
      <c r="D2596" s="59" t="s">
        <v>8</v>
      </c>
      <c r="E2596" s="166" t="str">
        <f>A2567&amp;"/"&amp;B2587&amp;"/"&amp;C2595&amp;"/"&amp;D2596</f>
        <v>Biomass and waste fired power plants/Steam turbine/Electricity only with CCS/M</v>
      </c>
      <c r="F2596" s="79" t="str">
        <f>A2567</f>
        <v>Biomass and waste fired power plants</v>
      </c>
      <c r="G2596" s="79" t="str">
        <f>B2587</f>
        <v>Steam turbine</v>
      </c>
      <c r="H2596" s="79" t="str">
        <f>C2595</f>
        <v>Electricity only with CCS</v>
      </c>
      <c r="I2596" s="167" t="str">
        <f t="shared" si="121"/>
        <v>M</v>
      </c>
      <c r="J2596" s="97" t="s">
        <v>112</v>
      </c>
      <c r="K2596" s="97" t="s">
        <v>112</v>
      </c>
      <c r="L2596" s="97" t="s">
        <v>112</v>
      </c>
      <c r="M2596" s="97" t="s">
        <v>112</v>
      </c>
      <c r="N2596" s="97" t="s">
        <v>112</v>
      </c>
      <c r="O2596" s="97" t="s">
        <v>112</v>
      </c>
      <c r="P2596" s="97" t="s">
        <v>112</v>
      </c>
      <c r="Q2596" s="97" t="s">
        <v>112</v>
      </c>
      <c r="R2596" s="97" t="s">
        <v>112</v>
      </c>
      <c r="S2596" s="97" t="s">
        <v>112</v>
      </c>
      <c r="T2596" s="97" t="s">
        <v>112</v>
      </c>
      <c r="U2596" s="97" t="s">
        <v>112</v>
      </c>
      <c r="V2596" s="97" t="s">
        <v>112</v>
      </c>
      <c r="W2596" s="97" t="s">
        <v>112</v>
      </c>
      <c r="X2596" s="97" t="s">
        <v>112</v>
      </c>
      <c r="Y2596" s="97" t="s">
        <v>112</v>
      </c>
      <c r="Z2596" s="97" t="s">
        <v>112</v>
      </c>
      <c r="AA2596" s="97" t="s">
        <v>112</v>
      </c>
      <c r="AB2596" s="97" t="s">
        <v>112</v>
      </c>
      <c r="AC2596" s="97" t="s">
        <v>112</v>
      </c>
      <c r="AD2596" s="97" t="s">
        <v>112</v>
      </c>
      <c r="AE2596" s="97">
        <v>6311.9264986142443</v>
      </c>
      <c r="AF2596" s="97">
        <v>6311.9264986142443</v>
      </c>
      <c r="AG2596" s="97">
        <v>6311.9264986142443</v>
      </c>
      <c r="AH2596" s="97">
        <v>6311.9264986142443</v>
      </c>
      <c r="AI2596" s="97">
        <v>6311.9264986142443</v>
      </c>
      <c r="AJ2596" s="97">
        <v>6311.9264986142443</v>
      </c>
      <c r="AK2596" s="97">
        <v>6311.9264986142443</v>
      </c>
      <c r="AL2596" s="97">
        <v>6311.9264986142443</v>
      </c>
      <c r="AM2596" s="97">
        <v>6311.9264986142443</v>
      </c>
      <c r="AN2596" s="97">
        <v>6311.9264986142443</v>
      </c>
      <c r="AO2596" s="97">
        <v>6311.9264986142443</v>
      </c>
      <c r="AP2596" s="97">
        <v>6311.9264986142443</v>
      </c>
      <c r="AQ2596" s="97">
        <v>6311.9264986142443</v>
      </c>
      <c r="AR2596" s="97">
        <v>6311.9264986142443</v>
      </c>
      <c r="AS2596" s="97">
        <v>6311.9264986142443</v>
      </c>
      <c r="AT2596" s="97">
        <v>6311.9264986142443</v>
      </c>
      <c r="AU2596" s="97">
        <v>6311.9264986142443</v>
      </c>
      <c r="AV2596" s="97">
        <v>6311.9264986142443</v>
      </c>
      <c r="AW2596" s="97">
        <v>6311.9264986142443</v>
      </c>
      <c r="AX2596" s="98">
        <v>6311.9264986142443</v>
      </c>
    </row>
    <row r="2597" spans="1:50" x14ac:dyDescent="0.25">
      <c r="A2597" s="356"/>
      <c r="B2597" s="359"/>
      <c r="C2597" s="361" t="s">
        <v>16</v>
      </c>
      <c r="D2597" s="2" t="s">
        <v>7</v>
      </c>
      <c r="E2597" s="160" t="str">
        <f>A2567&amp;"/"&amp;B2587&amp;"/"&amp;C2597&amp;"/"&amp;D2597</f>
        <v>Biomass and waste fired power plants/Steam turbine/CHP with CCS/L</v>
      </c>
      <c r="F2597" s="76" t="str">
        <f>A2567</f>
        <v>Biomass and waste fired power plants</v>
      </c>
      <c r="G2597" s="76" t="str">
        <f>B2587</f>
        <v>Steam turbine</v>
      </c>
      <c r="H2597" s="76" t="str">
        <f>C2597</f>
        <v>CHP with CCS</v>
      </c>
      <c r="I2597" s="161" t="str">
        <f t="shared" si="121"/>
        <v>L</v>
      </c>
      <c r="J2597" s="91" t="s">
        <v>112</v>
      </c>
      <c r="K2597" s="91" t="s">
        <v>112</v>
      </c>
      <c r="L2597" s="91" t="s">
        <v>112</v>
      </c>
      <c r="M2597" s="91" t="s">
        <v>112</v>
      </c>
      <c r="N2597" s="91" t="s">
        <v>112</v>
      </c>
      <c r="O2597" s="91" t="s">
        <v>112</v>
      </c>
      <c r="P2597" s="91" t="s">
        <v>112</v>
      </c>
      <c r="Q2597" s="91" t="s">
        <v>112</v>
      </c>
      <c r="R2597" s="91" t="s">
        <v>112</v>
      </c>
      <c r="S2597" s="91" t="s">
        <v>112</v>
      </c>
      <c r="T2597" s="91" t="s">
        <v>112</v>
      </c>
      <c r="U2597" s="91" t="s">
        <v>112</v>
      </c>
      <c r="V2597" s="91" t="s">
        <v>112</v>
      </c>
      <c r="W2597" s="91" t="s">
        <v>112</v>
      </c>
      <c r="X2597" s="91" t="s">
        <v>112</v>
      </c>
      <c r="Y2597" s="91" t="s">
        <v>112</v>
      </c>
      <c r="Z2597" s="91" t="s">
        <v>112</v>
      </c>
      <c r="AA2597" s="91" t="s">
        <v>112</v>
      </c>
      <c r="AB2597" s="91" t="s">
        <v>112</v>
      </c>
      <c r="AC2597" s="91" t="s">
        <v>112</v>
      </c>
      <c r="AD2597" s="91" t="s">
        <v>112</v>
      </c>
      <c r="AE2597" s="91">
        <v>6270</v>
      </c>
      <c r="AF2597" s="91">
        <v>6270</v>
      </c>
      <c r="AG2597" s="91">
        <v>6270</v>
      </c>
      <c r="AH2597" s="91">
        <v>6270</v>
      </c>
      <c r="AI2597" s="91">
        <v>6270</v>
      </c>
      <c r="AJ2597" s="91">
        <v>6270</v>
      </c>
      <c r="AK2597" s="91">
        <v>6270</v>
      </c>
      <c r="AL2597" s="91">
        <v>6270</v>
      </c>
      <c r="AM2597" s="91">
        <v>6270</v>
      </c>
      <c r="AN2597" s="91">
        <v>6270</v>
      </c>
      <c r="AO2597" s="91">
        <v>6270</v>
      </c>
      <c r="AP2597" s="91">
        <v>6270</v>
      </c>
      <c r="AQ2597" s="91">
        <v>6270</v>
      </c>
      <c r="AR2597" s="91">
        <v>6270</v>
      </c>
      <c r="AS2597" s="91">
        <v>6270</v>
      </c>
      <c r="AT2597" s="91">
        <v>6270</v>
      </c>
      <c r="AU2597" s="91">
        <v>6270</v>
      </c>
      <c r="AV2597" s="91">
        <v>6270</v>
      </c>
      <c r="AW2597" s="91">
        <v>6270</v>
      </c>
      <c r="AX2597" s="92">
        <v>6270</v>
      </c>
    </row>
    <row r="2598" spans="1:50" x14ac:dyDescent="0.25">
      <c r="A2598" s="357"/>
      <c r="B2598" s="362"/>
      <c r="C2598" s="354"/>
      <c r="D2598" s="4" t="s">
        <v>8</v>
      </c>
      <c r="E2598" s="168" t="str">
        <f>A2567&amp;"/"&amp;B2587&amp;"/"&amp;C2597&amp;"/"&amp;D2598</f>
        <v>Biomass and waste fired power plants/Steam turbine/CHP with CCS/M</v>
      </c>
      <c r="F2598" s="80" t="str">
        <f>A2567</f>
        <v>Biomass and waste fired power plants</v>
      </c>
      <c r="G2598" s="80" t="str">
        <f>B2587</f>
        <v>Steam turbine</v>
      </c>
      <c r="H2598" s="80" t="str">
        <f>C2597</f>
        <v>CHP with CCS</v>
      </c>
      <c r="I2598" s="169" t="str">
        <f t="shared" si="121"/>
        <v>M</v>
      </c>
      <c r="J2598" s="99" t="s">
        <v>112</v>
      </c>
      <c r="K2598" s="99" t="s">
        <v>112</v>
      </c>
      <c r="L2598" s="99" t="s">
        <v>112</v>
      </c>
      <c r="M2598" s="99" t="s">
        <v>112</v>
      </c>
      <c r="N2598" s="99" t="s">
        <v>112</v>
      </c>
      <c r="O2598" s="99" t="s">
        <v>112</v>
      </c>
      <c r="P2598" s="99" t="s">
        <v>112</v>
      </c>
      <c r="Q2598" s="99" t="s">
        <v>112</v>
      </c>
      <c r="R2598" s="99" t="s">
        <v>112</v>
      </c>
      <c r="S2598" s="99" t="s">
        <v>112</v>
      </c>
      <c r="T2598" s="99" t="s">
        <v>112</v>
      </c>
      <c r="U2598" s="99" t="s">
        <v>112</v>
      </c>
      <c r="V2598" s="99" t="s">
        <v>112</v>
      </c>
      <c r="W2598" s="99" t="s">
        <v>112</v>
      </c>
      <c r="X2598" s="99" t="s">
        <v>112</v>
      </c>
      <c r="Y2598" s="99" t="s">
        <v>112</v>
      </c>
      <c r="Z2598" s="99" t="s">
        <v>112</v>
      </c>
      <c r="AA2598" s="99" t="s">
        <v>112</v>
      </c>
      <c r="AB2598" s="99" t="s">
        <v>112</v>
      </c>
      <c r="AC2598" s="99" t="s">
        <v>112</v>
      </c>
      <c r="AD2598" s="99" t="s">
        <v>112</v>
      </c>
      <c r="AE2598" s="99">
        <v>5996.3301736835319</v>
      </c>
      <c r="AF2598" s="99">
        <v>5996.3301736835319</v>
      </c>
      <c r="AG2598" s="99">
        <v>5996.3301736835319</v>
      </c>
      <c r="AH2598" s="99">
        <v>5996.3301736835319</v>
      </c>
      <c r="AI2598" s="99">
        <v>5996.3301736835319</v>
      </c>
      <c r="AJ2598" s="99">
        <v>5996.3301736835319</v>
      </c>
      <c r="AK2598" s="99">
        <v>5996.3301736835319</v>
      </c>
      <c r="AL2598" s="99">
        <v>5996.3301736835319</v>
      </c>
      <c r="AM2598" s="99">
        <v>5996.3301736835319</v>
      </c>
      <c r="AN2598" s="99">
        <v>5996.3301736835319</v>
      </c>
      <c r="AO2598" s="99">
        <v>5996.3301736835319</v>
      </c>
      <c r="AP2598" s="99">
        <v>5996.3301736835319</v>
      </c>
      <c r="AQ2598" s="99">
        <v>5996.3301736835319</v>
      </c>
      <c r="AR2598" s="99">
        <v>5996.3301736835319</v>
      </c>
      <c r="AS2598" s="99">
        <v>5996.3301736835319</v>
      </c>
      <c r="AT2598" s="99">
        <v>5996.3301736835319</v>
      </c>
      <c r="AU2598" s="99">
        <v>5996.3301736835319</v>
      </c>
      <c r="AV2598" s="99">
        <v>5996.3301736835319</v>
      </c>
      <c r="AW2598" s="99">
        <v>5996.3301736835319</v>
      </c>
      <c r="AX2598" s="100">
        <v>5996.3301736835319</v>
      </c>
    </row>
    <row r="2599" spans="1:50" x14ac:dyDescent="0.25">
      <c r="A2599" s="355" t="s">
        <v>31</v>
      </c>
      <c r="B2599" s="358" t="s">
        <v>32</v>
      </c>
      <c r="C2599" s="353" t="s">
        <v>6</v>
      </c>
      <c r="D2599" s="3" t="s">
        <v>8</v>
      </c>
      <c r="E2599" s="162" t="str">
        <f>A2599&amp;"/"&amp;B2599&amp;"/"&amp;C2599&amp;"/"&amp;D2599</f>
        <v>Fuel cells/Natural gas fuel cell power plant/Electricity only/M</v>
      </c>
      <c r="F2599" s="77" t="str">
        <f>A2599</f>
        <v>Fuel cells</v>
      </c>
      <c r="G2599" s="77" t="str">
        <f>B2599</f>
        <v>Natural gas fuel cell power plant</v>
      </c>
      <c r="H2599" s="77" t="str">
        <f>C2599</f>
        <v>Electricity only</v>
      </c>
      <c r="I2599" s="163" t="str">
        <f t="shared" si="121"/>
        <v>M</v>
      </c>
      <c r="J2599" s="93" t="s">
        <v>112</v>
      </c>
      <c r="K2599" s="93" t="s">
        <v>112</v>
      </c>
      <c r="L2599" s="93" t="s">
        <v>112</v>
      </c>
      <c r="M2599" s="93" t="s">
        <v>112</v>
      </c>
      <c r="N2599" s="93" t="s">
        <v>112</v>
      </c>
      <c r="O2599" s="93" t="s">
        <v>112</v>
      </c>
      <c r="P2599" s="93" t="s">
        <v>112</v>
      </c>
      <c r="Q2599" s="93" t="s">
        <v>112</v>
      </c>
      <c r="R2599" s="93" t="s">
        <v>112</v>
      </c>
      <c r="S2599" s="93" t="s">
        <v>112</v>
      </c>
      <c r="T2599" s="93" t="s">
        <v>112</v>
      </c>
      <c r="U2599" s="93" t="s">
        <v>112</v>
      </c>
      <c r="V2599" s="93" t="s">
        <v>112</v>
      </c>
      <c r="W2599" s="93" t="s">
        <v>112</v>
      </c>
      <c r="X2599" s="93" t="s">
        <v>112</v>
      </c>
      <c r="Y2599" s="93" t="s">
        <v>112</v>
      </c>
      <c r="Z2599" s="93" t="s">
        <v>112</v>
      </c>
      <c r="AA2599" s="93" t="s">
        <v>112</v>
      </c>
      <c r="AB2599" s="93" t="s">
        <v>112</v>
      </c>
      <c r="AC2599" s="93" t="s">
        <v>112</v>
      </c>
      <c r="AD2599" s="93" t="s">
        <v>112</v>
      </c>
      <c r="AE2599" s="93">
        <v>5000</v>
      </c>
      <c r="AF2599" s="93">
        <v>5000</v>
      </c>
      <c r="AG2599" s="93">
        <v>5000</v>
      </c>
      <c r="AH2599" s="93">
        <v>5000</v>
      </c>
      <c r="AI2599" s="93">
        <v>5000</v>
      </c>
      <c r="AJ2599" s="93">
        <v>5000</v>
      </c>
      <c r="AK2599" s="93">
        <v>5000</v>
      </c>
      <c r="AL2599" s="93">
        <v>5000</v>
      </c>
      <c r="AM2599" s="93">
        <v>5000</v>
      </c>
      <c r="AN2599" s="93">
        <v>5000</v>
      </c>
      <c r="AO2599" s="93">
        <v>5000</v>
      </c>
      <c r="AP2599" s="93">
        <v>5000</v>
      </c>
      <c r="AQ2599" s="93">
        <v>5000</v>
      </c>
      <c r="AR2599" s="93">
        <v>5000</v>
      </c>
      <c r="AS2599" s="93">
        <v>5000</v>
      </c>
      <c r="AT2599" s="93">
        <v>5000</v>
      </c>
      <c r="AU2599" s="93">
        <v>5000</v>
      </c>
      <c r="AV2599" s="93">
        <v>5000</v>
      </c>
      <c r="AW2599" s="93">
        <v>5000</v>
      </c>
      <c r="AX2599" s="94">
        <v>5000</v>
      </c>
    </row>
    <row r="2600" spans="1:50" x14ac:dyDescent="0.25">
      <c r="A2600" s="356"/>
      <c r="B2600" s="359"/>
      <c r="C2600" s="350"/>
      <c r="D2600" s="2" t="s">
        <v>10</v>
      </c>
      <c r="E2600" s="160" t="str">
        <f>A2599&amp;"/"&amp;B2599&amp;"/"&amp;C2599&amp;"/"&amp;D2600</f>
        <v>Fuel cells/Natural gas fuel cell power plant/Electricity only/S</v>
      </c>
      <c r="F2600" s="76" t="str">
        <f>A2599</f>
        <v>Fuel cells</v>
      </c>
      <c r="G2600" s="76" t="str">
        <f>B2599</f>
        <v>Natural gas fuel cell power plant</v>
      </c>
      <c r="H2600" s="76" t="str">
        <f>C2599</f>
        <v>Electricity only</v>
      </c>
      <c r="I2600" s="161" t="str">
        <f t="shared" si="121"/>
        <v>S</v>
      </c>
      <c r="J2600" s="91" t="s">
        <v>112</v>
      </c>
      <c r="K2600" s="91" t="s">
        <v>112</v>
      </c>
      <c r="L2600" s="91" t="s">
        <v>112</v>
      </c>
      <c r="M2600" s="91" t="s">
        <v>112</v>
      </c>
      <c r="N2600" s="91" t="s">
        <v>112</v>
      </c>
      <c r="O2600" s="91" t="s">
        <v>112</v>
      </c>
      <c r="P2600" s="91" t="s">
        <v>112</v>
      </c>
      <c r="Q2600" s="91" t="s">
        <v>112</v>
      </c>
      <c r="R2600" s="91" t="s">
        <v>112</v>
      </c>
      <c r="S2600" s="91" t="s">
        <v>112</v>
      </c>
      <c r="T2600" s="91" t="s">
        <v>112</v>
      </c>
      <c r="U2600" s="91" t="s">
        <v>112</v>
      </c>
      <c r="V2600" s="91" t="s">
        <v>112</v>
      </c>
      <c r="W2600" s="91" t="s">
        <v>112</v>
      </c>
      <c r="X2600" s="91" t="s">
        <v>112</v>
      </c>
      <c r="Y2600" s="91" t="s">
        <v>112</v>
      </c>
      <c r="Z2600" s="91" t="s">
        <v>112</v>
      </c>
      <c r="AA2600" s="91" t="s">
        <v>112</v>
      </c>
      <c r="AB2600" s="91" t="s">
        <v>112</v>
      </c>
      <c r="AC2600" s="91">
        <v>4029.637244338282</v>
      </c>
      <c r="AD2600" s="91">
        <v>4029.637244338282</v>
      </c>
      <c r="AE2600" s="91">
        <v>4029.637244338282</v>
      </c>
      <c r="AF2600" s="91">
        <v>4029.637244338282</v>
      </c>
      <c r="AG2600" s="91">
        <v>4029.637244338282</v>
      </c>
      <c r="AH2600" s="91">
        <v>4029.637244338282</v>
      </c>
      <c r="AI2600" s="91">
        <v>4029.637244338282</v>
      </c>
      <c r="AJ2600" s="91">
        <v>4029.637244338282</v>
      </c>
      <c r="AK2600" s="91">
        <v>4029.637244338282</v>
      </c>
      <c r="AL2600" s="91">
        <v>4029.637244338282</v>
      </c>
      <c r="AM2600" s="91">
        <v>4029.637244338282</v>
      </c>
      <c r="AN2600" s="91">
        <v>4029.637244338282</v>
      </c>
      <c r="AO2600" s="91">
        <v>4029.637244338282</v>
      </c>
      <c r="AP2600" s="91">
        <v>4029.637244338282</v>
      </c>
      <c r="AQ2600" s="91">
        <v>4029.637244338282</v>
      </c>
      <c r="AR2600" s="91">
        <v>4029.637244338282</v>
      </c>
      <c r="AS2600" s="91">
        <v>4029.637244338282</v>
      </c>
      <c r="AT2600" s="91">
        <v>4029.637244338282</v>
      </c>
      <c r="AU2600" s="91">
        <v>4029.637244338282</v>
      </c>
      <c r="AV2600" s="91">
        <v>4029.637244338282</v>
      </c>
      <c r="AW2600" s="91">
        <v>4029.637244338282</v>
      </c>
      <c r="AX2600" s="92">
        <v>4029.637244338282</v>
      </c>
    </row>
    <row r="2601" spans="1:50" x14ac:dyDescent="0.25">
      <c r="A2601" s="356"/>
      <c r="B2601" s="368"/>
      <c r="C2601" s="360"/>
      <c r="D2601" s="59" t="s">
        <v>20</v>
      </c>
      <c r="E2601" s="166" t="str">
        <f>A2599&amp;"/"&amp;B2599&amp;"/"&amp;C2599&amp;"/"&amp;D2601</f>
        <v>Fuel cells/Natural gas fuel cell power plant/Electricity only/XS</v>
      </c>
      <c r="F2601" s="79" t="str">
        <f>A2599</f>
        <v>Fuel cells</v>
      </c>
      <c r="G2601" s="79" t="str">
        <f>B2599</f>
        <v>Natural gas fuel cell power plant</v>
      </c>
      <c r="H2601" s="79" t="str">
        <f>C2599</f>
        <v>Electricity only</v>
      </c>
      <c r="I2601" s="167" t="str">
        <f t="shared" si="121"/>
        <v>XS</v>
      </c>
      <c r="J2601" s="97" t="s">
        <v>112</v>
      </c>
      <c r="K2601" s="97" t="s">
        <v>112</v>
      </c>
      <c r="L2601" s="97" t="s">
        <v>112</v>
      </c>
      <c r="M2601" s="97" t="s">
        <v>112</v>
      </c>
      <c r="N2601" s="97" t="s">
        <v>112</v>
      </c>
      <c r="O2601" s="97" t="s">
        <v>112</v>
      </c>
      <c r="P2601" s="97" t="s">
        <v>112</v>
      </c>
      <c r="Q2601" s="97" t="s">
        <v>112</v>
      </c>
      <c r="R2601" s="97" t="s">
        <v>112</v>
      </c>
      <c r="S2601" s="97" t="s">
        <v>112</v>
      </c>
      <c r="T2601" s="97" t="s">
        <v>112</v>
      </c>
      <c r="U2601" s="97" t="s">
        <v>112</v>
      </c>
      <c r="V2601" s="97" t="s">
        <v>112</v>
      </c>
      <c r="W2601" s="97" t="s">
        <v>112</v>
      </c>
      <c r="X2601" s="97" t="s">
        <v>112</v>
      </c>
      <c r="Y2601" s="97" t="s">
        <v>112</v>
      </c>
      <c r="Z2601" s="97">
        <v>3247.5952641916447</v>
      </c>
      <c r="AA2601" s="97">
        <v>3247.5952641916447</v>
      </c>
      <c r="AB2601" s="97">
        <v>3247.5952641916447</v>
      </c>
      <c r="AC2601" s="97">
        <v>3247.5952641916447</v>
      </c>
      <c r="AD2601" s="97">
        <v>3247.5952641916447</v>
      </c>
      <c r="AE2601" s="97">
        <v>3247.5952641916447</v>
      </c>
      <c r="AF2601" s="97">
        <v>3247.5952641916447</v>
      </c>
      <c r="AG2601" s="97">
        <v>3247.5952641916447</v>
      </c>
      <c r="AH2601" s="97">
        <v>3247.5952641916447</v>
      </c>
      <c r="AI2601" s="97">
        <v>3247.5952641916447</v>
      </c>
      <c r="AJ2601" s="97">
        <v>3247.5952641916447</v>
      </c>
      <c r="AK2601" s="97">
        <v>3247.5952641916447</v>
      </c>
      <c r="AL2601" s="97">
        <v>3247.5952641916447</v>
      </c>
      <c r="AM2601" s="97">
        <v>3247.5952641916447</v>
      </c>
      <c r="AN2601" s="97">
        <v>3247.5952641916447</v>
      </c>
      <c r="AO2601" s="97">
        <v>3247.5952641916447</v>
      </c>
      <c r="AP2601" s="97">
        <v>3247.5952641916447</v>
      </c>
      <c r="AQ2601" s="97">
        <v>3247.5952641916447</v>
      </c>
      <c r="AR2601" s="97">
        <v>3247.5952641916447</v>
      </c>
      <c r="AS2601" s="97">
        <v>3247.5952641916447</v>
      </c>
      <c r="AT2601" s="97">
        <v>3247.5952641916447</v>
      </c>
      <c r="AU2601" s="97">
        <v>3247.5952641916447</v>
      </c>
      <c r="AV2601" s="97">
        <v>3247.5952641916447</v>
      </c>
      <c r="AW2601" s="97">
        <v>3247.5952641916447</v>
      </c>
      <c r="AX2601" s="98">
        <v>3247.5952641916447</v>
      </c>
    </row>
    <row r="2602" spans="1:50" x14ac:dyDescent="0.25">
      <c r="A2602" s="356"/>
      <c r="B2602" s="359" t="s">
        <v>33</v>
      </c>
      <c r="C2602" s="350" t="s">
        <v>6</v>
      </c>
      <c r="D2602" s="2" t="s">
        <v>8</v>
      </c>
      <c r="E2602" s="160" t="str">
        <f>A2599&amp;"/"&amp;B2602&amp;"/"&amp;C2602&amp;"/"&amp;D2602</f>
        <v>Fuel cells/Hydrogen fuel cell power plant/Electricity only/M</v>
      </c>
      <c r="F2602" s="76" t="str">
        <f>A2599</f>
        <v>Fuel cells</v>
      </c>
      <c r="G2602" s="76" t="str">
        <f>B2602</f>
        <v>Hydrogen fuel cell power plant</v>
      </c>
      <c r="H2602" s="76" t="str">
        <f>C2602</f>
        <v>Electricity only</v>
      </c>
      <c r="I2602" s="161" t="str">
        <f t="shared" si="121"/>
        <v>M</v>
      </c>
      <c r="J2602" s="91" t="s">
        <v>112</v>
      </c>
      <c r="K2602" s="91" t="s">
        <v>112</v>
      </c>
      <c r="L2602" s="91" t="s">
        <v>112</v>
      </c>
      <c r="M2602" s="91" t="s">
        <v>112</v>
      </c>
      <c r="N2602" s="91" t="s">
        <v>112</v>
      </c>
      <c r="O2602" s="91" t="s">
        <v>112</v>
      </c>
      <c r="P2602" s="91" t="s">
        <v>112</v>
      </c>
      <c r="Q2602" s="91" t="s">
        <v>112</v>
      </c>
      <c r="R2602" s="91" t="s">
        <v>112</v>
      </c>
      <c r="S2602" s="91" t="s">
        <v>112</v>
      </c>
      <c r="T2602" s="91" t="s">
        <v>112</v>
      </c>
      <c r="U2602" s="91" t="s">
        <v>112</v>
      </c>
      <c r="V2602" s="91" t="s">
        <v>112</v>
      </c>
      <c r="W2602" s="91" t="s">
        <v>112</v>
      </c>
      <c r="X2602" s="91" t="s">
        <v>112</v>
      </c>
      <c r="Y2602" s="91" t="s">
        <v>112</v>
      </c>
      <c r="Z2602" s="91" t="s">
        <v>112</v>
      </c>
      <c r="AA2602" s="91" t="s">
        <v>112</v>
      </c>
      <c r="AB2602" s="91" t="s">
        <v>112</v>
      </c>
      <c r="AC2602" s="91" t="s">
        <v>112</v>
      </c>
      <c r="AD2602" s="91" t="s">
        <v>112</v>
      </c>
      <c r="AE2602" s="91" t="s">
        <v>112</v>
      </c>
      <c r="AF2602" s="91" t="s">
        <v>112</v>
      </c>
      <c r="AG2602" s="91">
        <v>4900</v>
      </c>
      <c r="AH2602" s="91">
        <v>4900</v>
      </c>
      <c r="AI2602" s="91">
        <v>4900</v>
      </c>
      <c r="AJ2602" s="91">
        <v>4900</v>
      </c>
      <c r="AK2602" s="91">
        <v>4900</v>
      </c>
      <c r="AL2602" s="91">
        <v>4900</v>
      </c>
      <c r="AM2602" s="91">
        <v>4900</v>
      </c>
      <c r="AN2602" s="91">
        <v>4900</v>
      </c>
      <c r="AO2602" s="91">
        <v>4900</v>
      </c>
      <c r="AP2602" s="91">
        <v>4900</v>
      </c>
      <c r="AQ2602" s="91">
        <v>4900</v>
      </c>
      <c r="AR2602" s="91">
        <v>4900</v>
      </c>
      <c r="AS2602" s="91">
        <v>4900</v>
      </c>
      <c r="AT2602" s="91">
        <v>4900</v>
      </c>
      <c r="AU2602" s="91">
        <v>4900</v>
      </c>
      <c r="AV2602" s="91">
        <v>4900</v>
      </c>
      <c r="AW2602" s="91">
        <v>4900</v>
      </c>
      <c r="AX2602" s="92">
        <v>4900</v>
      </c>
    </row>
    <row r="2603" spans="1:50" x14ac:dyDescent="0.25">
      <c r="A2603" s="356"/>
      <c r="B2603" s="359"/>
      <c r="C2603" s="350"/>
      <c r="D2603" s="2" t="s">
        <v>10</v>
      </c>
      <c r="E2603" s="160" t="str">
        <f>A2599&amp;"/"&amp;B2602&amp;"/"&amp;C2602&amp;"/"&amp;D2603</f>
        <v>Fuel cells/Hydrogen fuel cell power plant/Electricity only/S</v>
      </c>
      <c r="F2603" s="76" t="str">
        <f>A2599</f>
        <v>Fuel cells</v>
      </c>
      <c r="G2603" s="76" t="str">
        <f>B2602</f>
        <v>Hydrogen fuel cell power plant</v>
      </c>
      <c r="H2603" s="76" t="str">
        <f>C2602</f>
        <v>Electricity only</v>
      </c>
      <c r="I2603" s="161" t="str">
        <f t="shared" si="121"/>
        <v>S</v>
      </c>
      <c r="J2603" s="91" t="s">
        <v>112</v>
      </c>
      <c r="K2603" s="91" t="s">
        <v>112</v>
      </c>
      <c r="L2603" s="91" t="s">
        <v>112</v>
      </c>
      <c r="M2603" s="91" t="s">
        <v>112</v>
      </c>
      <c r="N2603" s="91" t="s">
        <v>112</v>
      </c>
      <c r="O2603" s="91" t="s">
        <v>112</v>
      </c>
      <c r="P2603" s="91" t="s">
        <v>112</v>
      </c>
      <c r="Q2603" s="91" t="s">
        <v>112</v>
      </c>
      <c r="R2603" s="91" t="s">
        <v>112</v>
      </c>
      <c r="S2603" s="91" t="s">
        <v>112</v>
      </c>
      <c r="T2603" s="91" t="s">
        <v>112</v>
      </c>
      <c r="U2603" s="91" t="s">
        <v>112</v>
      </c>
      <c r="V2603" s="91" t="s">
        <v>112</v>
      </c>
      <c r="W2603" s="91" t="s">
        <v>112</v>
      </c>
      <c r="X2603" s="91" t="s">
        <v>112</v>
      </c>
      <c r="Y2603" s="91" t="s">
        <v>112</v>
      </c>
      <c r="Z2603" s="91" t="s">
        <v>112</v>
      </c>
      <c r="AA2603" s="91" t="s">
        <v>112</v>
      </c>
      <c r="AB2603" s="91" t="s">
        <v>112</v>
      </c>
      <c r="AC2603" s="91" t="s">
        <v>112</v>
      </c>
      <c r="AD2603" s="91" t="s">
        <v>112</v>
      </c>
      <c r="AE2603" s="91">
        <v>3949.0444994515165</v>
      </c>
      <c r="AF2603" s="91">
        <v>3949.0444994515165</v>
      </c>
      <c r="AG2603" s="91">
        <v>3949.0444994515165</v>
      </c>
      <c r="AH2603" s="91">
        <v>3949.0444994515165</v>
      </c>
      <c r="AI2603" s="91">
        <v>3949.0444994515165</v>
      </c>
      <c r="AJ2603" s="91">
        <v>3949.0444994515165</v>
      </c>
      <c r="AK2603" s="91">
        <v>3949.0444994515165</v>
      </c>
      <c r="AL2603" s="91">
        <v>3949.0444994515165</v>
      </c>
      <c r="AM2603" s="91">
        <v>3949.0444994515165</v>
      </c>
      <c r="AN2603" s="91">
        <v>3949.0444994515165</v>
      </c>
      <c r="AO2603" s="91">
        <v>3949.0444994515165</v>
      </c>
      <c r="AP2603" s="91">
        <v>3949.0444994515165</v>
      </c>
      <c r="AQ2603" s="91">
        <v>3949.0444994515165</v>
      </c>
      <c r="AR2603" s="91">
        <v>3949.0444994515165</v>
      </c>
      <c r="AS2603" s="91">
        <v>3949.0444994515165</v>
      </c>
      <c r="AT2603" s="91">
        <v>3949.0444994515165</v>
      </c>
      <c r="AU2603" s="91">
        <v>3949.0444994515165</v>
      </c>
      <c r="AV2603" s="91">
        <v>3949.0444994515165</v>
      </c>
      <c r="AW2603" s="91">
        <v>3949.0444994515165</v>
      </c>
      <c r="AX2603" s="92">
        <v>3949.0444994515165</v>
      </c>
    </row>
    <row r="2604" spans="1:50" x14ac:dyDescent="0.25">
      <c r="A2604" s="357"/>
      <c r="B2604" s="362"/>
      <c r="C2604" s="354"/>
      <c r="D2604" s="4" t="s">
        <v>20</v>
      </c>
      <c r="E2604" s="160" t="str">
        <f>A2599&amp;"/"&amp;B2602&amp;"/"&amp;C2602&amp;"/"&amp;D2604</f>
        <v>Fuel cells/Hydrogen fuel cell power plant/Electricity only/XS</v>
      </c>
      <c r="F2604" s="76" t="str">
        <f>A2599</f>
        <v>Fuel cells</v>
      </c>
      <c r="G2604" s="76" t="str">
        <f>B2602</f>
        <v>Hydrogen fuel cell power plant</v>
      </c>
      <c r="H2604" s="76" t="str">
        <f>C2602</f>
        <v>Electricity only</v>
      </c>
      <c r="I2604" s="161" t="str">
        <f t="shared" si="121"/>
        <v>XS</v>
      </c>
      <c r="J2604" s="91" t="s">
        <v>112</v>
      </c>
      <c r="K2604" s="91" t="s">
        <v>112</v>
      </c>
      <c r="L2604" s="91" t="s">
        <v>112</v>
      </c>
      <c r="M2604" s="91" t="s">
        <v>112</v>
      </c>
      <c r="N2604" s="91" t="s">
        <v>112</v>
      </c>
      <c r="O2604" s="91" t="s">
        <v>112</v>
      </c>
      <c r="P2604" s="91" t="s">
        <v>112</v>
      </c>
      <c r="Q2604" s="91" t="s">
        <v>112</v>
      </c>
      <c r="R2604" s="91" t="s">
        <v>112</v>
      </c>
      <c r="S2604" s="91" t="s">
        <v>112</v>
      </c>
      <c r="T2604" s="91" t="s">
        <v>112</v>
      </c>
      <c r="U2604" s="91" t="s">
        <v>112</v>
      </c>
      <c r="V2604" s="91" t="s">
        <v>112</v>
      </c>
      <c r="W2604" s="91" t="s">
        <v>112</v>
      </c>
      <c r="X2604" s="91" t="s">
        <v>112</v>
      </c>
      <c r="Y2604" s="91" t="s">
        <v>112</v>
      </c>
      <c r="Z2604" s="91" t="s">
        <v>112</v>
      </c>
      <c r="AA2604" s="91" t="s">
        <v>112</v>
      </c>
      <c r="AB2604" s="91">
        <v>3182.6433589078119</v>
      </c>
      <c r="AC2604" s="91">
        <v>3182.6433589078119</v>
      </c>
      <c r="AD2604" s="91">
        <v>3182.6433589078119</v>
      </c>
      <c r="AE2604" s="91">
        <v>3182.6433589078119</v>
      </c>
      <c r="AF2604" s="91">
        <v>3182.6433589078119</v>
      </c>
      <c r="AG2604" s="91">
        <v>3182.6433589078119</v>
      </c>
      <c r="AH2604" s="91">
        <v>3182.6433589078119</v>
      </c>
      <c r="AI2604" s="91">
        <v>3182.6433589078119</v>
      </c>
      <c r="AJ2604" s="91">
        <v>3182.6433589078119</v>
      </c>
      <c r="AK2604" s="91">
        <v>3182.6433589078119</v>
      </c>
      <c r="AL2604" s="91">
        <v>3182.6433589078119</v>
      </c>
      <c r="AM2604" s="91">
        <v>3182.6433589078119</v>
      </c>
      <c r="AN2604" s="91">
        <v>3182.6433589078119</v>
      </c>
      <c r="AO2604" s="91">
        <v>3182.6433589078119</v>
      </c>
      <c r="AP2604" s="91">
        <v>3182.6433589078119</v>
      </c>
      <c r="AQ2604" s="91">
        <v>3182.6433589078119</v>
      </c>
      <c r="AR2604" s="91">
        <v>3182.6433589078119</v>
      </c>
      <c r="AS2604" s="91">
        <v>3182.6433589078119</v>
      </c>
      <c r="AT2604" s="91">
        <v>3182.6433589078119</v>
      </c>
      <c r="AU2604" s="91">
        <v>3182.6433589078119</v>
      </c>
      <c r="AV2604" s="91">
        <v>3182.6433589078119</v>
      </c>
      <c r="AW2604" s="91">
        <v>3182.6433589078119</v>
      </c>
      <c r="AX2604" s="92">
        <v>3182.6433589078119</v>
      </c>
    </row>
    <row r="2605" spans="1:50" x14ac:dyDescent="0.25">
      <c r="A2605" s="355" t="s">
        <v>34</v>
      </c>
      <c r="B2605" s="358" t="s">
        <v>35</v>
      </c>
      <c r="C2605" s="353" t="s">
        <v>6</v>
      </c>
      <c r="D2605" s="3" t="s">
        <v>7</v>
      </c>
      <c r="E2605" s="162" t="str">
        <f>A2605&amp;"/"&amp;B2605&amp;"/"&amp;C2605&amp;"/"&amp;D2605</f>
        <v>Wind power plants/Onshore/Electricity only/L</v>
      </c>
      <c r="F2605" s="77" t="str">
        <f>A2605</f>
        <v>Wind power plants</v>
      </c>
      <c r="G2605" s="77" t="str">
        <f>B2605</f>
        <v>Onshore</v>
      </c>
      <c r="H2605" s="77" t="str">
        <f>C2605</f>
        <v>Electricity only</v>
      </c>
      <c r="I2605" s="163" t="str">
        <f t="shared" si="121"/>
        <v>L</v>
      </c>
      <c r="J2605" s="93">
        <v>3750</v>
      </c>
      <c r="K2605" s="93">
        <v>3750</v>
      </c>
      <c r="L2605" s="93">
        <v>3750</v>
      </c>
      <c r="M2605" s="93">
        <v>3750</v>
      </c>
      <c r="N2605" s="93">
        <v>3750</v>
      </c>
      <c r="O2605" s="93">
        <v>3750</v>
      </c>
      <c r="P2605" s="93">
        <v>3750</v>
      </c>
      <c r="Q2605" s="93">
        <v>3750</v>
      </c>
      <c r="R2605" s="93">
        <v>3750</v>
      </c>
      <c r="S2605" s="93">
        <v>3750</v>
      </c>
      <c r="T2605" s="93">
        <v>3750</v>
      </c>
      <c r="U2605" s="93">
        <v>3750</v>
      </c>
      <c r="V2605" s="93">
        <v>3750</v>
      </c>
      <c r="W2605" s="93">
        <v>3750</v>
      </c>
      <c r="X2605" s="93">
        <v>3750</v>
      </c>
      <c r="Y2605" s="93">
        <v>3750</v>
      </c>
      <c r="Z2605" s="93">
        <v>3750</v>
      </c>
      <c r="AA2605" s="93">
        <v>3750</v>
      </c>
      <c r="AB2605" s="93">
        <v>3750</v>
      </c>
      <c r="AC2605" s="93">
        <v>3750</v>
      </c>
      <c r="AD2605" s="93">
        <v>3750</v>
      </c>
      <c r="AE2605" s="93">
        <v>3750</v>
      </c>
      <c r="AF2605" s="93">
        <v>3750</v>
      </c>
      <c r="AG2605" s="93">
        <v>3750</v>
      </c>
      <c r="AH2605" s="93">
        <v>3750</v>
      </c>
      <c r="AI2605" s="93">
        <v>3750</v>
      </c>
      <c r="AJ2605" s="93">
        <v>3750</v>
      </c>
      <c r="AK2605" s="93">
        <v>3750</v>
      </c>
      <c r="AL2605" s="93">
        <v>3750</v>
      </c>
      <c r="AM2605" s="93">
        <v>3750</v>
      </c>
      <c r="AN2605" s="93">
        <v>3750</v>
      </c>
      <c r="AO2605" s="93">
        <v>3750</v>
      </c>
      <c r="AP2605" s="93">
        <v>3750</v>
      </c>
      <c r="AQ2605" s="93">
        <v>3750</v>
      </c>
      <c r="AR2605" s="93">
        <v>3750</v>
      </c>
      <c r="AS2605" s="93">
        <v>3750</v>
      </c>
      <c r="AT2605" s="93">
        <v>3750</v>
      </c>
      <c r="AU2605" s="93">
        <v>3750</v>
      </c>
      <c r="AV2605" s="93">
        <v>3750</v>
      </c>
      <c r="AW2605" s="93">
        <v>3750</v>
      </c>
      <c r="AX2605" s="94">
        <v>3750</v>
      </c>
    </row>
    <row r="2606" spans="1:50" x14ac:dyDescent="0.25">
      <c r="A2606" s="356"/>
      <c r="B2606" s="359"/>
      <c r="C2606" s="350"/>
      <c r="D2606" s="2" t="s">
        <v>8</v>
      </c>
      <c r="E2606" s="160" t="str">
        <f>A2605&amp;"/"&amp;B2605&amp;"/"&amp;C2605&amp;"/"&amp;D2606</f>
        <v>Wind power plants/Onshore/Electricity only/M</v>
      </c>
      <c r="F2606" s="76" t="str">
        <f>A2605</f>
        <v>Wind power plants</v>
      </c>
      <c r="G2606" s="76" t="str">
        <f>B2605</f>
        <v>Onshore</v>
      </c>
      <c r="H2606" s="76" t="str">
        <f>C2605</f>
        <v>Electricity only</v>
      </c>
      <c r="I2606" s="161" t="str">
        <f t="shared" si="121"/>
        <v>M</v>
      </c>
      <c r="J2606" s="91">
        <v>3375</v>
      </c>
      <c r="K2606" s="91">
        <v>3375</v>
      </c>
      <c r="L2606" s="91">
        <v>3375</v>
      </c>
      <c r="M2606" s="91">
        <v>3375</v>
      </c>
      <c r="N2606" s="91">
        <v>3375</v>
      </c>
      <c r="O2606" s="91">
        <v>3375</v>
      </c>
      <c r="P2606" s="91">
        <v>3375</v>
      </c>
      <c r="Q2606" s="91">
        <v>3375</v>
      </c>
      <c r="R2606" s="91">
        <v>3375</v>
      </c>
      <c r="S2606" s="91">
        <v>3375</v>
      </c>
      <c r="T2606" s="91">
        <v>3375</v>
      </c>
      <c r="U2606" s="91">
        <v>3375</v>
      </c>
      <c r="V2606" s="91">
        <v>3375</v>
      </c>
      <c r="W2606" s="91">
        <v>3375</v>
      </c>
      <c r="X2606" s="91">
        <v>3375</v>
      </c>
      <c r="Y2606" s="91">
        <v>3375</v>
      </c>
      <c r="Z2606" s="91">
        <v>3375</v>
      </c>
      <c r="AA2606" s="91">
        <v>3375</v>
      </c>
      <c r="AB2606" s="91">
        <v>3375</v>
      </c>
      <c r="AC2606" s="91">
        <v>3375</v>
      </c>
      <c r="AD2606" s="91">
        <v>3375</v>
      </c>
      <c r="AE2606" s="91">
        <v>3375</v>
      </c>
      <c r="AF2606" s="91">
        <v>3375</v>
      </c>
      <c r="AG2606" s="91">
        <v>3375</v>
      </c>
      <c r="AH2606" s="91">
        <v>3375</v>
      </c>
      <c r="AI2606" s="91">
        <v>3375</v>
      </c>
      <c r="AJ2606" s="91">
        <v>3375</v>
      </c>
      <c r="AK2606" s="91">
        <v>3375</v>
      </c>
      <c r="AL2606" s="91">
        <v>3375</v>
      </c>
      <c r="AM2606" s="91">
        <v>3375</v>
      </c>
      <c r="AN2606" s="91">
        <v>3375</v>
      </c>
      <c r="AO2606" s="91">
        <v>3375</v>
      </c>
      <c r="AP2606" s="91">
        <v>3375</v>
      </c>
      <c r="AQ2606" s="91">
        <v>3375</v>
      </c>
      <c r="AR2606" s="91">
        <v>3375</v>
      </c>
      <c r="AS2606" s="91">
        <v>3375</v>
      </c>
      <c r="AT2606" s="91">
        <v>3375</v>
      </c>
      <c r="AU2606" s="91">
        <v>3375</v>
      </c>
      <c r="AV2606" s="91">
        <v>3375</v>
      </c>
      <c r="AW2606" s="91">
        <v>3375</v>
      </c>
      <c r="AX2606" s="92">
        <v>3375</v>
      </c>
    </row>
    <row r="2607" spans="1:50" x14ac:dyDescent="0.25">
      <c r="A2607" s="356"/>
      <c r="B2607" s="359"/>
      <c r="C2607" s="350"/>
      <c r="D2607" s="2" t="s">
        <v>10</v>
      </c>
      <c r="E2607" s="160" t="str">
        <f>A2605&amp;"/"&amp;B2605&amp;"/"&amp;C2605&amp;"/"&amp;D2607</f>
        <v>Wind power plants/Onshore/Electricity only/S</v>
      </c>
      <c r="F2607" s="76" t="str">
        <f>A2605</f>
        <v>Wind power plants</v>
      </c>
      <c r="G2607" s="76" t="str">
        <f>B2605</f>
        <v>Onshore</v>
      </c>
      <c r="H2607" s="76" t="str">
        <f>C2605</f>
        <v>Electricity only</v>
      </c>
      <c r="I2607" s="161" t="str">
        <f t="shared" si="121"/>
        <v>S</v>
      </c>
      <c r="J2607" s="91">
        <v>3037.5</v>
      </c>
      <c r="K2607" s="91">
        <v>3037.5</v>
      </c>
      <c r="L2607" s="91">
        <v>3037.5</v>
      </c>
      <c r="M2607" s="91">
        <v>3037.5</v>
      </c>
      <c r="N2607" s="91">
        <v>3037.5</v>
      </c>
      <c r="O2607" s="91">
        <v>3037.5</v>
      </c>
      <c r="P2607" s="91">
        <v>3037.5</v>
      </c>
      <c r="Q2607" s="91">
        <v>3037.5</v>
      </c>
      <c r="R2607" s="91">
        <v>3037.5</v>
      </c>
      <c r="S2607" s="91">
        <v>3037.5</v>
      </c>
      <c r="T2607" s="91">
        <v>3037.5</v>
      </c>
      <c r="U2607" s="91">
        <v>3037.5</v>
      </c>
      <c r="V2607" s="91">
        <v>3037.5</v>
      </c>
      <c r="W2607" s="91">
        <v>3037.5</v>
      </c>
      <c r="X2607" s="91">
        <v>3037.5</v>
      </c>
      <c r="Y2607" s="91">
        <v>3037.5</v>
      </c>
      <c r="Z2607" s="91">
        <v>3037.5</v>
      </c>
      <c r="AA2607" s="91">
        <v>3037.5</v>
      </c>
      <c r="AB2607" s="91">
        <v>3037.5</v>
      </c>
      <c r="AC2607" s="91">
        <v>3037.5</v>
      </c>
      <c r="AD2607" s="91">
        <v>3037.5</v>
      </c>
      <c r="AE2607" s="91">
        <v>3037.5</v>
      </c>
      <c r="AF2607" s="91">
        <v>3037.5</v>
      </c>
      <c r="AG2607" s="91">
        <v>3037.5</v>
      </c>
      <c r="AH2607" s="91">
        <v>3037.5</v>
      </c>
      <c r="AI2607" s="91">
        <v>3037.5</v>
      </c>
      <c r="AJ2607" s="91">
        <v>3037.5</v>
      </c>
      <c r="AK2607" s="91">
        <v>3037.5</v>
      </c>
      <c r="AL2607" s="91">
        <v>3037.5</v>
      </c>
      <c r="AM2607" s="91">
        <v>3037.5</v>
      </c>
      <c r="AN2607" s="91">
        <v>3037.5</v>
      </c>
      <c r="AO2607" s="91">
        <v>3037.5</v>
      </c>
      <c r="AP2607" s="91">
        <v>3037.5</v>
      </c>
      <c r="AQ2607" s="91">
        <v>3037.5</v>
      </c>
      <c r="AR2607" s="91">
        <v>3037.5</v>
      </c>
      <c r="AS2607" s="91">
        <v>3037.5</v>
      </c>
      <c r="AT2607" s="91">
        <v>3037.5</v>
      </c>
      <c r="AU2607" s="91">
        <v>3037.5</v>
      </c>
      <c r="AV2607" s="91">
        <v>3037.5</v>
      </c>
      <c r="AW2607" s="91">
        <v>3037.5</v>
      </c>
      <c r="AX2607" s="92">
        <v>3037.5</v>
      </c>
    </row>
    <row r="2608" spans="1:50" x14ac:dyDescent="0.25">
      <c r="A2608" s="356"/>
      <c r="B2608" s="368"/>
      <c r="C2608" s="360"/>
      <c r="D2608" s="59" t="s">
        <v>20</v>
      </c>
      <c r="E2608" s="166" t="str">
        <f>A2605&amp;"/"&amp;B2605&amp;"/"&amp;C2605&amp;"/"&amp;D2608</f>
        <v>Wind power plants/Onshore/Electricity only/XS</v>
      </c>
      <c r="F2608" s="79" t="str">
        <f>A2605</f>
        <v>Wind power plants</v>
      </c>
      <c r="G2608" s="79" t="str">
        <f>B2605</f>
        <v>Onshore</v>
      </c>
      <c r="H2608" s="79" t="str">
        <f>C2605</f>
        <v>Electricity only</v>
      </c>
      <c r="I2608" s="167" t="str">
        <f t="shared" si="121"/>
        <v>XS</v>
      </c>
      <c r="J2608" s="97">
        <v>2733.75</v>
      </c>
      <c r="K2608" s="97">
        <v>2733.75</v>
      </c>
      <c r="L2608" s="97">
        <v>2733.75</v>
      </c>
      <c r="M2608" s="97">
        <v>2733.75</v>
      </c>
      <c r="N2608" s="97">
        <v>2733.75</v>
      </c>
      <c r="O2608" s="97">
        <v>2733.75</v>
      </c>
      <c r="P2608" s="97">
        <v>2733.75</v>
      </c>
      <c r="Q2608" s="97">
        <v>2733.75</v>
      </c>
      <c r="R2608" s="97">
        <v>2733.75</v>
      </c>
      <c r="S2608" s="97">
        <v>2733.75</v>
      </c>
      <c r="T2608" s="97">
        <v>2733.75</v>
      </c>
      <c r="U2608" s="97">
        <v>2733.75</v>
      </c>
      <c r="V2608" s="97">
        <v>2733.75</v>
      </c>
      <c r="W2608" s="97">
        <v>2733.75</v>
      </c>
      <c r="X2608" s="97">
        <v>2733.75</v>
      </c>
      <c r="Y2608" s="97">
        <v>2733.75</v>
      </c>
      <c r="Z2608" s="97">
        <v>2733.75</v>
      </c>
      <c r="AA2608" s="97">
        <v>2733.75</v>
      </c>
      <c r="AB2608" s="97">
        <v>2733.75</v>
      </c>
      <c r="AC2608" s="97">
        <v>2733.75</v>
      </c>
      <c r="AD2608" s="97">
        <v>2733.75</v>
      </c>
      <c r="AE2608" s="97">
        <v>2733.75</v>
      </c>
      <c r="AF2608" s="97">
        <v>2733.75</v>
      </c>
      <c r="AG2608" s="97">
        <v>2733.75</v>
      </c>
      <c r="AH2608" s="97">
        <v>2733.75</v>
      </c>
      <c r="AI2608" s="97">
        <v>2733.75</v>
      </c>
      <c r="AJ2608" s="97">
        <v>2733.75</v>
      </c>
      <c r="AK2608" s="97">
        <v>2733.75</v>
      </c>
      <c r="AL2608" s="97">
        <v>2733.75</v>
      </c>
      <c r="AM2608" s="97">
        <v>2733.75</v>
      </c>
      <c r="AN2608" s="97">
        <v>2733.75</v>
      </c>
      <c r="AO2608" s="97">
        <v>2733.75</v>
      </c>
      <c r="AP2608" s="97">
        <v>2733.75</v>
      </c>
      <c r="AQ2608" s="97">
        <v>2733.75</v>
      </c>
      <c r="AR2608" s="97">
        <v>2733.75</v>
      </c>
      <c r="AS2608" s="97">
        <v>2733.75</v>
      </c>
      <c r="AT2608" s="97">
        <v>2733.75</v>
      </c>
      <c r="AU2608" s="97">
        <v>2733.75</v>
      </c>
      <c r="AV2608" s="97">
        <v>2733.75</v>
      </c>
      <c r="AW2608" s="97">
        <v>2733.75</v>
      </c>
      <c r="AX2608" s="98">
        <v>2733.75</v>
      </c>
    </row>
    <row r="2609" spans="1:50" x14ac:dyDescent="0.25">
      <c r="A2609" s="356"/>
      <c r="B2609" s="359" t="s">
        <v>36</v>
      </c>
      <c r="C2609" s="361" t="s">
        <v>6</v>
      </c>
      <c r="D2609" s="2" t="s">
        <v>7</v>
      </c>
      <c r="E2609" s="160" t="str">
        <f>A2605&amp;"/"&amp;B2609&amp;"/"&amp;C2609&amp;"/"&amp;D2609</f>
        <v>Wind power plants/Offshore/Electricity only/L</v>
      </c>
      <c r="F2609" s="76" t="str">
        <f>A2605</f>
        <v>Wind power plants</v>
      </c>
      <c r="G2609" s="76" t="str">
        <f>B2609</f>
        <v>Offshore</v>
      </c>
      <c r="H2609" s="76" t="str">
        <f>C2609</f>
        <v>Electricity only</v>
      </c>
      <c r="I2609" s="161" t="str">
        <f t="shared" si="121"/>
        <v>L</v>
      </c>
      <c r="J2609" s="91">
        <v>5500</v>
      </c>
      <c r="K2609" s="91">
        <v>5500</v>
      </c>
      <c r="L2609" s="91">
        <v>5500</v>
      </c>
      <c r="M2609" s="91">
        <v>5500</v>
      </c>
      <c r="N2609" s="91">
        <v>5500</v>
      </c>
      <c r="O2609" s="91">
        <v>5500</v>
      </c>
      <c r="P2609" s="91">
        <v>5500</v>
      </c>
      <c r="Q2609" s="91">
        <v>5500</v>
      </c>
      <c r="R2609" s="91">
        <v>5500</v>
      </c>
      <c r="S2609" s="91">
        <v>5500</v>
      </c>
      <c r="T2609" s="91">
        <v>5500</v>
      </c>
      <c r="U2609" s="91">
        <v>5500</v>
      </c>
      <c r="V2609" s="91">
        <v>5500</v>
      </c>
      <c r="W2609" s="91">
        <v>5500</v>
      </c>
      <c r="X2609" s="91">
        <v>5500</v>
      </c>
      <c r="Y2609" s="91">
        <v>5500</v>
      </c>
      <c r="Z2609" s="91">
        <v>5500</v>
      </c>
      <c r="AA2609" s="91">
        <v>5500</v>
      </c>
      <c r="AB2609" s="91">
        <v>5500</v>
      </c>
      <c r="AC2609" s="91">
        <v>5500</v>
      </c>
      <c r="AD2609" s="91">
        <v>5500</v>
      </c>
      <c r="AE2609" s="91">
        <v>5500</v>
      </c>
      <c r="AF2609" s="91">
        <v>5500</v>
      </c>
      <c r="AG2609" s="91">
        <v>5500</v>
      </c>
      <c r="AH2609" s="91">
        <v>5500</v>
      </c>
      <c r="AI2609" s="91">
        <v>5500</v>
      </c>
      <c r="AJ2609" s="91">
        <v>5500</v>
      </c>
      <c r="AK2609" s="91">
        <v>5500</v>
      </c>
      <c r="AL2609" s="91">
        <v>5500</v>
      </c>
      <c r="AM2609" s="91">
        <v>5500</v>
      </c>
      <c r="AN2609" s="91">
        <v>5500</v>
      </c>
      <c r="AO2609" s="91">
        <v>5500</v>
      </c>
      <c r="AP2609" s="91">
        <v>5500</v>
      </c>
      <c r="AQ2609" s="91">
        <v>5500</v>
      </c>
      <c r="AR2609" s="91">
        <v>5500</v>
      </c>
      <c r="AS2609" s="91">
        <v>5500</v>
      </c>
      <c r="AT2609" s="91">
        <v>5500</v>
      </c>
      <c r="AU2609" s="91">
        <v>5500</v>
      </c>
      <c r="AV2609" s="91">
        <v>5500</v>
      </c>
      <c r="AW2609" s="91">
        <v>5500</v>
      </c>
      <c r="AX2609" s="92">
        <v>5500</v>
      </c>
    </row>
    <row r="2610" spans="1:50" x14ac:dyDescent="0.25">
      <c r="A2610" s="356"/>
      <c r="B2610" s="359"/>
      <c r="C2610" s="350"/>
      <c r="D2610" s="2" t="s">
        <v>8</v>
      </c>
      <c r="E2610" s="160" t="str">
        <f>A2605&amp;"/"&amp;B2609&amp;"/"&amp;C2609&amp;"/"&amp;D2610</f>
        <v>Wind power plants/Offshore/Electricity only/M</v>
      </c>
      <c r="F2610" s="76" t="str">
        <f>A2605</f>
        <v>Wind power plants</v>
      </c>
      <c r="G2610" s="76" t="str">
        <f>B2609</f>
        <v>Offshore</v>
      </c>
      <c r="H2610" s="76" t="str">
        <f>C2609</f>
        <v>Electricity only</v>
      </c>
      <c r="I2610" s="161" t="str">
        <f t="shared" si="121"/>
        <v>M</v>
      </c>
      <c r="J2610" s="91">
        <v>5225</v>
      </c>
      <c r="K2610" s="91">
        <v>5225</v>
      </c>
      <c r="L2610" s="91">
        <v>5225</v>
      </c>
      <c r="M2610" s="91">
        <v>5225</v>
      </c>
      <c r="N2610" s="91">
        <v>5225</v>
      </c>
      <c r="O2610" s="91">
        <v>5225</v>
      </c>
      <c r="P2610" s="91">
        <v>5225</v>
      </c>
      <c r="Q2610" s="91">
        <v>5225</v>
      </c>
      <c r="R2610" s="91">
        <v>5225</v>
      </c>
      <c r="S2610" s="91">
        <v>5225</v>
      </c>
      <c r="T2610" s="91">
        <v>5225</v>
      </c>
      <c r="U2610" s="91">
        <v>5225</v>
      </c>
      <c r="V2610" s="91">
        <v>5225</v>
      </c>
      <c r="W2610" s="91">
        <v>5225</v>
      </c>
      <c r="X2610" s="91">
        <v>5225</v>
      </c>
      <c r="Y2610" s="91">
        <v>5225</v>
      </c>
      <c r="Z2610" s="91">
        <v>5225</v>
      </c>
      <c r="AA2610" s="91">
        <v>5225</v>
      </c>
      <c r="AB2610" s="91">
        <v>5225</v>
      </c>
      <c r="AC2610" s="91">
        <v>5225</v>
      </c>
      <c r="AD2610" s="91">
        <v>5225</v>
      </c>
      <c r="AE2610" s="91">
        <v>5225</v>
      </c>
      <c r="AF2610" s="91">
        <v>5225</v>
      </c>
      <c r="AG2610" s="91">
        <v>5225</v>
      </c>
      <c r="AH2610" s="91">
        <v>5225</v>
      </c>
      <c r="AI2610" s="91">
        <v>5225</v>
      </c>
      <c r="AJ2610" s="91">
        <v>5225</v>
      </c>
      <c r="AK2610" s="91">
        <v>5225</v>
      </c>
      <c r="AL2610" s="91">
        <v>5225</v>
      </c>
      <c r="AM2610" s="91">
        <v>5225</v>
      </c>
      <c r="AN2610" s="91">
        <v>5225</v>
      </c>
      <c r="AO2610" s="91">
        <v>5225</v>
      </c>
      <c r="AP2610" s="91">
        <v>5225</v>
      </c>
      <c r="AQ2610" s="91">
        <v>5225</v>
      </c>
      <c r="AR2610" s="91">
        <v>5225</v>
      </c>
      <c r="AS2610" s="91">
        <v>5225</v>
      </c>
      <c r="AT2610" s="91">
        <v>5225</v>
      </c>
      <c r="AU2610" s="91">
        <v>5225</v>
      </c>
      <c r="AV2610" s="91">
        <v>5225</v>
      </c>
      <c r="AW2610" s="91">
        <v>5225</v>
      </c>
      <c r="AX2610" s="92">
        <v>5225</v>
      </c>
    </row>
    <row r="2611" spans="1:50" x14ac:dyDescent="0.25">
      <c r="A2611" s="356"/>
      <c r="B2611" s="359"/>
      <c r="C2611" s="350"/>
      <c r="D2611" s="2" t="s">
        <v>10</v>
      </c>
      <c r="E2611" s="160" t="str">
        <f>A2605&amp;"/"&amp;B2609&amp;"/"&amp;C2609&amp;"/"&amp;D2611</f>
        <v>Wind power plants/Offshore/Electricity only/S</v>
      </c>
      <c r="F2611" s="76" t="str">
        <f>A2605</f>
        <v>Wind power plants</v>
      </c>
      <c r="G2611" s="76" t="str">
        <f>B2609</f>
        <v>Offshore</v>
      </c>
      <c r="H2611" s="76" t="str">
        <f>C2609</f>
        <v>Electricity only</v>
      </c>
      <c r="I2611" s="161" t="str">
        <f t="shared" si="121"/>
        <v>S</v>
      </c>
      <c r="J2611" s="91">
        <v>4702.5</v>
      </c>
      <c r="K2611" s="91">
        <v>4702.5</v>
      </c>
      <c r="L2611" s="91">
        <v>4702.5</v>
      </c>
      <c r="M2611" s="91">
        <v>4702.5</v>
      </c>
      <c r="N2611" s="91">
        <v>4702.5</v>
      </c>
      <c r="O2611" s="91">
        <v>4702.5</v>
      </c>
      <c r="P2611" s="91">
        <v>4702.5</v>
      </c>
      <c r="Q2611" s="91">
        <v>4702.5</v>
      </c>
      <c r="R2611" s="91">
        <v>4702.5</v>
      </c>
      <c r="S2611" s="91">
        <v>4702.5</v>
      </c>
      <c r="T2611" s="91">
        <v>4702.5</v>
      </c>
      <c r="U2611" s="91">
        <v>4702.5</v>
      </c>
      <c r="V2611" s="91">
        <v>4702.5</v>
      </c>
      <c r="W2611" s="91">
        <v>4702.5</v>
      </c>
      <c r="X2611" s="91">
        <v>4702.5</v>
      </c>
      <c r="Y2611" s="91">
        <v>4702.5</v>
      </c>
      <c r="Z2611" s="91">
        <v>4702.5</v>
      </c>
      <c r="AA2611" s="91">
        <v>4702.5</v>
      </c>
      <c r="AB2611" s="91">
        <v>4702.5</v>
      </c>
      <c r="AC2611" s="91">
        <v>4702.5</v>
      </c>
      <c r="AD2611" s="91">
        <v>4702.5</v>
      </c>
      <c r="AE2611" s="91">
        <v>4702.5</v>
      </c>
      <c r="AF2611" s="91">
        <v>4702.5</v>
      </c>
      <c r="AG2611" s="91">
        <v>4702.5</v>
      </c>
      <c r="AH2611" s="91">
        <v>4702.5</v>
      </c>
      <c r="AI2611" s="91">
        <v>4702.5</v>
      </c>
      <c r="AJ2611" s="91">
        <v>4702.5</v>
      </c>
      <c r="AK2611" s="91">
        <v>4702.5</v>
      </c>
      <c r="AL2611" s="91">
        <v>4702.5</v>
      </c>
      <c r="AM2611" s="91">
        <v>4702.5</v>
      </c>
      <c r="AN2611" s="91">
        <v>4702.5</v>
      </c>
      <c r="AO2611" s="91">
        <v>4702.5</v>
      </c>
      <c r="AP2611" s="91">
        <v>4702.5</v>
      </c>
      <c r="AQ2611" s="91">
        <v>4702.5</v>
      </c>
      <c r="AR2611" s="91">
        <v>4702.5</v>
      </c>
      <c r="AS2611" s="91">
        <v>4702.5</v>
      </c>
      <c r="AT2611" s="91">
        <v>4702.5</v>
      </c>
      <c r="AU2611" s="91">
        <v>4702.5</v>
      </c>
      <c r="AV2611" s="91">
        <v>4702.5</v>
      </c>
      <c r="AW2611" s="91">
        <v>4702.5</v>
      </c>
      <c r="AX2611" s="92">
        <v>4702.5</v>
      </c>
    </row>
    <row r="2612" spans="1:50" x14ac:dyDescent="0.25">
      <c r="A2612" s="357"/>
      <c r="B2612" s="362"/>
      <c r="C2612" s="354"/>
      <c r="D2612" s="4" t="s">
        <v>20</v>
      </c>
      <c r="E2612" s="168" t="str">
        <f>A2605&amp;"/"&amp;B2609&amp;"/"&amp;C2609&amp;"/"&amp;D2612</f>
        <v>Wind power plants/Offshore/Electricity only/XS</v>
      </c>
      <c r="F2612" s="80" t="str">
        <f>A2605</f>
        <v>Wind power plants</v>
      </c>
      <c r="G2612" s="80" t="str">
        <f>B2609</f>
        <v>Offshore</v>
      </c>
      <c r="H2612" s="80" t="str">
        <f>C2609</f>
        <v>Electricity only</v>
      </c>
      <c r="I2612" s="169" t="str">
        <f t="shared" si="121"/>
        <v>XS</v>
      </c>
      <c r="J2612" s="99">
        <v>3762</v>
      </c>
      <c r="K2612" s="99">
        <v>3762</v>
      </c>
      <c r="L2612" s="99">
        <v>3762</v>
      </c>
      <c r="M2612" s="99">
        <v>3762</v>
      </c>
      <c r="N2612" s="99">
        <v>3762</v>
      </c>
      <c r="O2612" s="99">
        <v>3762</v>
      </c>
      <c r="P2612" s="99">
        <v>3762</v>
      </c>
      <c r="Q2612" s="99">
        <v>3762</v>
      </c>
      <c r="R2612" s="99">
        <v>3762</v>
      </c>
      <c r="S2612" s="99">
        <v>3762</v>
      </c>
      <c r="T2612" s="99">
        <v>3762</v>
      </c>
      <c r="U2612" s="99">
        <v>3762</v>
      </c>
      <c r="V2612" s="99">
        <v>3762</v>
      </c>
      <c r="W2612" s="99">
        <v>3762</v>
      </c>
      <c r="X2612" s="99">
        <v>3762</v>
      </c>
      <c r="Y2612" s="99">
        <v>3762</v>
      </c>
      <c r="Z2612" s="99">
        <v>3762</v>
      </c>
      <c r="AA2612" s="99">
        <v>3762</v>
      </c>
      <c r="AB2612" s="99">
        <v>3762</v>
      </c>
      <c r="AC2612" s="99">
        <v>3762</v>
      </c>
      <c r="AD2612" s="99">
        <v>3762</v>
      </c>
      <c r="AE2612" s="99">
        <v>3762</v>
      </c>
      <c r="AF2612" s="99">
        <v>3762</v>
      </c>
      <c r="AG2612" s="99">
        <v>3762</v>
      </c>
      <c r="AH2612" s="99">
        <v>3762</v>
      </c>
      <c r="AI2612" s="99">
        <v>3762</v>
      </c>
      <c r="AJ2612" s="99">
        <v>3762</v>
      </c>
      <c r="AK2612" s="99">
        <v>3762</v>
      </c>
      <c r="AL2612" s="99">
        <v>3762</v>
      </c>
      <c r="AM2612" s="99">
        <v>3762</v>
      </c>
      <c r="AN2612" s="99">
        <v>3762</v>
      </c>
      <c r="AO2612" s="99">
        <v>3762</v>
      </c>
      <c r="AP2612" s="99">
        <v>3762</v>
      </c>
      <c r="AQ2612" s="99">
        <v>3762</v>
      </c>
      <c r="AR2612" s="99">
        <v>3762</v>
      </c>
      <c r="AS2612" s="99">
        <v>3762</v>
      </c>
      <c r="AT2612" s="99">
        <v>3762</v>
      </c>
      <c r="AU2612" s="99">
        <v>3762</v>
      </c>
      <c r="AV2612" s="99">
        <v>3762</v>
      </c>
      <c r="AW2612" s="99">
        <v>3762</v>
      </c>
      <c r="AX2612" s="100">
        <v>3762</v>
      </c>
    </row>
    <row r="2613" spans="1:50" x14ac:dyDescent="0.25">
      <c r="A2613" s="355" t="s">
        <v>37</v>
      </c>
      <c r="B2613" s="358" t="s">
        <v>37</v>
      </c>
      <c r="C2613" s="353" t="s">
        <v>6</v>
      </c>
      <c r="D2613" s="3" t="s">
        <v>7</v>
      </c>
      <c r="E2613" s="162" t="str">
        <f>A2613&amp;"/"&amp;B2613&amp;"/"&amp;C2613&amp;"/"&amp;D2613</f>
        <v>Solar PV power plants/Solar PV power plants/Electricity only/L</v>
      </c>
      <c r="F2613" s="77" t="str">
        <f>A2613</f>
        <v>Solar PV power plants</v>
      </c>
      <c r="G2613" s="77" t="str">
        <f>B2613</f>
        <v>Solar PV power plants</v>
      </c>
      <c r="H2613" s="77" t="str">
        <f>C2613</f>
        <v>Electricity only</v>
      </c>
      <c r="I2613" s="163" t="str">
        <f t="shared" si="121"/>
        <v>L</v>
      </c>
      <c r="J2613" s="93">
        <v>2400</v>
      </c>
      <c r="K2613" s="93">
        <v>2400</v>
      </c>
      <c r="L2613" s="93">
        <v>2400</v>
      </c>
      <c r="M2613" s="93">
        <v>2400</v>
      </c>
      <c r="N2613" s="93">
        <v>2400</v>
      </c>
      <c r="O2613" s="93">
        <v>2400</v>
      </c>
      <c r="P2613" s="93">
        <v>2400</v>
      </c>
      <c r="Q2613" s="93">
        <v>2400</v>
      </c>
      <c r="R2613" s="93">
        <v>2400</v>
      </c>
      <c r="S2613" s="93">
        <v>2400</v>
      </c>
      <c r="T2613" s="93">
        <v>2400</v>
      </c>
      <c r="U2613" s="93">
        <v>2400</v>
      </c>
      <c r="V2613" s="93">
        <v>2400</v>
      </c>
      <c r="W2613" s="93">
        <v>2400</v>
      </c>
      <c r="X2613" s="93">
        <v>2400</v>
      </c>
      <c r="Y2613" s="93">
        <v>2400</v>
      </c>
      <c r="Z2613" s="93">
        <v>2400</v>
      </c>
      <c r="AA2613" s="93">
        <v>2400</v>
      </c>
      <c r="AB2613" s="93">
        <v>2400</v>
      </c>
      <c r="AC2613" s="93">
        <v>2400</v>
      </c>
      <c r="AD2613" s="93">
        <v>2400</v>
      </c>
      <c r="AE2613" s="93">
        <v>2400</v>
      </c>
      <c r="AF2613" s="93">
        <v>2400</v>
      </c>
      <c r="AG2613" s="93">
        <v>2400</v>
      </c>
      <c r="AH2613" s="93">
        <v>2400</v>
      </c>
      <c r="AI2613" s="93">
        <v>2400</v>
      </c>
      <c r="AJ2613" s="93">
        <v>2400</v>
      </c>
      <c r="AK2613" s="93">
        <v>2400</v>
      </c>
      <c r="AL2613" s="93">
        <v>2400</v>
      </c>
      <c r="AM2613" s="93">
        <v>2400</v>
      </c>
      <c r="AN2613" s="93">
        <v>2400</v>
      </c>
      <c r="AO2613" s="93">
        <v>2400</v>
      </c>
      <c r="AP2613" s="93">
        <v>2400</v>
      </c>
      <c r="AQ2613" s="93">
        <v>2400</v>
      </c>
      <c r="AR2613" s="93">
        <v>2400</v>
      </c>
      <c r="AS2613" s="93">
        <v>2400</v>
      </c>
      <c r="AT2613" s="93">
        <v>2400</v>
      </c>
      <c r="AU2613" s="93">
        <v>2400</v>
      </c>
      <c r="AV2613" s="93">
        <v>2400</v>
      </c>
      <c r="AW2613" s="93">
        <v>2400</v>
      </c>
      <c r="AX2613" s="94">
        <v>2400</v>
      </c>
    </row>
    <row r="2614" spans="1:50" x14ac:dyDescent="0.25">
      <c r="A2614" s="356"/>
      <c r="B2614" s="359"/>
      <c r="C2614" s="350"/>
      <c r="D2614" s="2" t="s">
        <v>8</v>
      </c>
      <c r="E2614" s="160" t="str">
        <f>A2613&amp;"/"&amp;B2613&amp;"/"&amp;C2613&amp;"/"&amp;D2614</f>
        <v>Solar PV power plants/Solar PV power plants/Electricity only/M</v>
      </c>
      <c r="F2614" s="76" t="str">
        <f>A2613</f>
        <v>Solar PV power plants</v>
      </c>
      <c r="G2614" s="76" t="str">
        <f>B2613</f>
        <v>Solar PV power plants</v>
      </c>
      <c r="H2614" s="76" t="str">
        <f>C2613</f>
        <v>Electricity only</v>
      </c>
      <c r="I2614" s="161" t="str">
        <f t="shared" si="121"/>
        <v>M</v>
      </c>
      <c r="J2614" s="91">
        <v>2160</v>
      </c>
      <c r="K2614" s="91">
        <v>2160</v>
      </c>
      <c r="L2614" s="91">
        <v>2160</v>
      </c>
      <c r="M2614" s="91">
        <v>2160</v>
      </c>
      <c r="N2614" s="91">
        <v>2160</v>
      </c>
      <c r="O2614" s="91">
        <v>2160</v>
      </c>
      <c r="P2614" s="91">
        <v>2160</v>
      </c>
      <c r="Q2614" s="91">
        <v>2160</v>
      </c>
      <c r="R2614" s="91">
        <v>2160</v>
      </c>
      <c r="S2614" s="91">
        <v>2160</v>
      </c>
      <c r="T2614" s="91">
        <v>2160</v>
      </c>
      <c r="U2614" s="91">
        <v>2160</v>
      </c>
      <c r="V2614" s="91">
        <v>2160</v>
      </c>
      <c r="W2614" s="91">
        <v>2160</v>
      </c>
      <c r="X2614" s="91">
        <v>2160</v>
      </c>
      <c r="Y2614" s="91">
        <v>2160</v>
      </c>
      <c r="Z2614" s="91">
        <v>2160</v>
      </c>
      <c r="AA2614" s="91">
        <v>2160</v>
      </c>
      <c r="AB2614" s="91">
        <v>2160</v>
      </c>
      <c r="AC2614" s="91">
        <v>2160</v>
      </c>
      <c r="AD2614" s="91">
        <v>2160</v>
      </c>
      <c r="AE2614" s="91">
        <v>2160</v>
      </c>
      <c r="AF2614" s="91">
        <v>2160</v>
      </c>
      <c r="AG2614" s="91">
        <v>2160</v>
      </c>
      <c r="AH2614" s="91">
        <v>2160</v>
      </c>
      <c r="AI2614" s="91">
        <v>2160</v>
      </c>
      <c r="AJ2614" s="91">
        <v>2160</v>
      </c>
      <c r="AK2614" s="91">
        <v>2160</v>
      </c>
      <c r="AL2614" s="91">
        <v>2160</v>
      </c>
      <c r="AM2614" s="91">
        <v>2160</v>
      </c>
      <c r="AN2614" s="91">
        <v>2160</v>
      </c>
      <c r="AO2614" s="91">
        <v>2160</v>
      </c>
      <c r="AP2614" s="91">
        <v>2160</v>
      </c>
      <c r="AQ2614" s="91">
        <v>2160</v>
      </c>
      <c r="AR2614" s="91">
        <v>2160</v>
      </c>
      <c r="AS2614" s="91">
        <v>2160</v>
      </c>
      <c r="AT2614" s="91">
        <v>2160</v>
      </c>
      <c r="AU2614" s="91">
        <v>2160</v>
      </c>
      <c r="AV2614" s="91">
        <v>2160</v>
      </c>
      <c r="AW2614" s="91">
        <v>2160</v>
      </c>
      <c r="AX2614" s="92">
        <v>2160</v>
      </c>
    </row>
    <row r="2615" spans="1:50" x14ac:dyDescent="0.25">
      <c r="A2615" s="356"/>
      <c r="B2615" s="359"/>
      <c r="C2615" s="350"/>
      <c r="D2615" s="2" t="s">
        <v>10</v>
      </c>
      <c r="E2615" s="160" t="str">
        <f>A2613&amp;"/"&amp;B2613&amp;"/"&amp;C2613&amp;"/"&amp;D2615</f>
        <v>Solar PV power plants/Solar PV power plants/Electricity only/S</v>
      </c>
      <c r="F2615" s="76" t="str">
        <f>A2613</f>
        <v>Solar PV power plants</v>
      </c>
      <c r="G2615" s="76" t="str">
        <f>B2613</f>
        <v>Solar PV power plants</v>
      </c>
      <c r="H2615" s="76" t="str">
        <f>C2613</f>
        <v>Electricity only</v>
      </c>
      <c r="I2615" s="161" t="str">
        <f t="shared" si="121"/>
        <v>S</v>
      </c>
      <c r="J2615" s="91">
        <v>1944</v>
      </c>
      <c r="K2615" s="91">
        <v>1944</v>
      </c>
      <c r="L2615" s="91">
        <v>1944</v>
      </c>
      <c r="M2615" s="91">
        <v>1944</v>
      </c>
      <c r="N2615" s="91">
        <v>1944</v>
      </c>
      <c r="O2615" s="91">
        <v>1944</v>
      </c>
      <c r="P2615" s="91">
        <v>1944</v>
      </c>
      <c r="Q2615" s="91">
        <v>1944</v>
      </c>
      <c r="R2615" s="91">
        <v>1944</v>
      </c>
      <c r="S2615" s="91">
        <v>1944</v>
      </c>
      <c r="T2615" s="91">
        <v>1944</v>
      </c>
      <c r="U2615" s="91">
        <v>1944</v>
      </c>
      <c r="V2615" s="91">
        <v>1944</v>
      </c>
      <c r="W2615" s="91">
        <v>1944</v>
      </c>
      <c r="X2615" s="91">
        <v>1944</v>
      </c>
      <c r="Y2615" s="91">
        <v>1944</v>
      </c>
      <c r="Z2615" s="91">
        <v>1944</v>
      </c>
      <c r="AA2615" s="91">
        <v>1944</v>
      </c>
      <c r="AB2615" s="91">
        <v>1944</v>
      </c>
      <c r="AC2615" s="91">
        <v>1944</v>
      </c>
      <c r="AD2615" s="91">
        <v>1944</v>
      </c>
      <c r="AE2615" s="91">
        <v>1944</v>
      </c>
      <c r="AF2615" s="91">
        <v>1944</v>
      </c>
      <c r="AG2615" s="91">
        <v>1944</v>
      </c>
      <c r="AH2615" s="91">
        <v>1944</v>
      </c>
      <c r="AI2615" s="91">
        <v>1944</v>
      </c>
      <c r="AJ2615" s="91">
        <v>1944</v>
      </c>
      <c r="AK2615" s="91">
        <v>1944</v>
      </c>
      <c r="AL2615" s="91">
        <v>1944</v>
      </c>
      <c r="AM2615" s="91">
        <v>1944</v>
      </c>
      <c r="AN2615" s="91">
        <v>1944</v>
      </c>
      <c r="AO2615" s="91">
        <v>1944</v>
      </c>
      <c r="AP2615" s="91">
        <v>1944</v>
      </c>
      <c r="AQ2615" s="91">
        <v>1944</v>
      </c>
      <c r="AR2615" s="91">
        <v>1944</v>
      </c>
      <c r="AS2615" s="91">
        <v>1944</v>
      </c>
      <c r="AT2615" s="91">
        <v>1944</v>
      </c>
      <c r="AU2615" s="91">
        <v>1944</v>
      </c>
      <c r="AV2615" s="91">
        <v>1944</v>
      </c>
      <c r="AW2615" s="91">
        <v>1944</v>
      </c>
      <c r="AX2615" s="92">
        <v>1944</v>
      </c>
    </row>
    <row r="2616" spans="1:50" x14ac:dyDescent="0.25">
      <c r="A2616" s="357"/>
      <c r="B2616" s="362"/>
      <c r="C2616" s="354"/>
      <c r="D2616" s="4" t="s">
        <v>20</v>
      </c>
      <c r="E2616" s="168" t="str">
        <f>A2613&amp;"/"&amp;B2613&amp;"/"&amp;C2613&amp;"/"&amp;D2616</f>
        <v>Solar PV power plants/Solar PV power plants/Electricity only/XS</v>
      </c>
      <c r="F2616" s="80" t="str">
        <f>A2613</f>
        <v>Solar PV power plants</v>
      </c>
      <c r="G2616" s="80" t="str">
        <f>B2613</f>
        <v>Solar PV power plants</v>
      </c>
      <c r="H2616" s="80" t="str">
        <f>C2613</f>
        <v>Electricity only</v>
      </c>
      <c r="I2616" s="169" t="str">
        <f t="shared" si="121"/>
        <v>XS</v>
      </c>
      <c r="J2616" s="99">
        <v>1749.6000000000001</v>
      </c>
      <c r="K2616" s="99">
        <v>1749.6000000000001</v>
      </c>
      <c r="L2616" s="99">
        <v>1749.6000000000001</v>
      </c>
      <c r="M2616" s="99">
        <v>1749.6000000000001</v>
      </c>
      <c r="N2616" s="99">
        <v>1749.6000000000001</v>
      </c>
      <c r="O2616" s="99">
        <v>1749.6000000000001</v>
      </c>
      <c r="P2616" s="99">
        <v>1749.6000000000001</v>
      </c>
      <c r="Q2616" s="99">
        <v>1749.6000000000001</v>
      </c>
      <c r="R2616" s="99">
        <v>1749.6000000000001</v>
      </c>
      <c r="S2616" s="99">
        <v>1749.6000000000001</v>
      </c>
      <c r="T2616" s="99">
        <v>1749.6000000000001</v>
      </c>
      <c r="U2616" s="99">
        <v>1749.6000000000001</v>
      </c>
      <c r="V2616" s="99">
        <v>1749.6000000000001</v>
      </c>
      <c r="W2616" s="99">
        <v>1749.6000000000001</v>
      </c>
      <c r="X2616" s="99">
        <v>1749.6000000000001</v>
      </c>
      <c r="Y2616" s="99">
        <v>1749.6000000000001</v>
      </c>
      <c r="Z2616" s="99">
        <v>1749.6000000000001</v>
      </c>
      <c r="AA2616" s="99">
        <v>1749.6000000000001</v>
      </c>
      <c r="AB2616" s="99">
        <v>1749.6000000000001</v>
      </c>
      <c r="AC2616" s="99">
        <v>1749.6000000000001</v>
      </c>
      <c r="AD2616" s="99">
        <v>1749.6000000000001</v>
      </c>
      <c r="AE2616" s="99">
        <v>1749.6000000000001</v>
      </c>
      <c r="AF2616" s="99">
        <v>1749.6000000000001</v>
      </c>
      <c r="AG2616" s="99">
        <v>1749.6000000000001</v>
      </c>
      <c r="AH2616" s="99">
        <v>1749.6000000000001</v>
      </c>
      <c r="AI2616" s="99">
        <v>1749.6000000000001</v>
      </c>
      <c r="AJ2616" s="99">
        <v>1749.6000000000001</v>
      </c>
      <c r="AK2616" s="99">
        <v>1749.6000000000001</v>
      </c>
      <c r="AL2616" s="99">
        <v>1749.6000000000001</v>
      </c>
      <c r="AM2616" s="99">
        <v>1749.6000000000001</v>
      </c>
      <c r="AN2616" s="99">
        <v>1749.6000000000001</v>
      </c>
      <c r="AO2616" s="99">
        <v>1749.6000000000001</v>
      </c>
      <c r="AP2616" s="99">
        <v>1749.6000000000001</v>
      </c>
      <c r="AQ2616" s="99">
        <v>1749.6000000000001</v>
      </c>
      <c r="AR2616" s="99">
        <v>1749.6000000000001</v>
      </c>
      <c r="AS2616" s="99">
        <v>1749.6000000000001</v>
      </c>
      <c r="AT2616" s="99">
        <v>1749.6000000000001</v>
      </c>
      <c r="AU2616" s="99">
        <v>1749.6000000000001</v>
      </c>
      <c r="AV2616" s="99">
        <v>1749.6000000000001</v>
      </c>
      <c r="AW2616" s="99">
        <v>1749.6000000000001</v>
      </c>
      <c r="AX2616" s="100">
        <v>1749.6000000000001</v>
      </c>
    </row>
    <row r="2617" spans="1:50" x14ac:dyDescent="0.25">
      <c r="A2617" s="355" t="s">
        <v>38</v>
      </c>
      <c r="B2617" s="358" t="s">
        <v>38</v>
      </c>
      <c r="C2617" s="353" t="s">
        <v>6</v>
      </c>
      <c r="D2617" s="3" t="s">
        <v>7</v>
      </c>
      <c r="E2617" s="162" t="str">
        <f>A2617&amp;"/"&amp;B2617&amp;"/"&amp;C2617&amp;"/"&amp;D2617</f>
        <v>Solar thermal power plants/Solar thermal power plants/Electricity only/L</v>
      </c>
      <c r="F2617" s="77" t="str">
        <f>A2617</f>
        <v>Solar thermal power plants</v>
      </c>
      <c r="G2617" s="77" t="str">
        <f>B2617</f>
        <v>Solar thermal power plants</v>
      </c>
      <c r="H2617" s="77" t="str">
        <f>C2617</f>
        <v>Electricity only</v>
      </c>
      <c r="I2617" s="163" t="str">
        <f t="shared" si="121"/>
        <v>L</v>
      </c>
      <c r="J2617" s="93">
        <v>2700</v>
      </c>
      <c r="K2617" s="93">
        <v>2700</v>
      </c>
      <c r="L2617" s="93">
        <v>2700</v>
      </c>
      <c r="M2617" s="93">
        <v>2700</v>
      </c>
      <c r="N2617" s="93">
        <v>2700</v>
      </c>
      <c r="O2617" s="93">
        <v>2700</v>
      </c>
      <c r="P2617" s="93">
        <v>2700</v>
      </c>
      <c r="Q2617" s="93">
        <v>2700</v>
      </c>
      <c r="R2617" s="93">
        <v>2700</v>
      </c>
      <c r="S2617" s="93">
        <v>2700</v>
      </c>
      <c r="T2617" s="93">
        <v>2700</v>
      </c>
      <c r="U2617" s="93">
        <v>2700</v>
      </c>
      <c r="V2617" s="93">
        <v>2700</v>
      </c>
      <c r="W2617" s="93">
        <v>2700</v>
      </c>
      <c r="X2617" s="93">
        <v>2700</v>
      </c>
      <c r="Y2617" s="93">
        <v>2700</v>
      </c>
      <c r="Z2617" s="93">
        <v>2700</v>
      </c>
      <c r="AA2617" s="93">
        <v>2700</v>
      </c>
      <c r="AB2617" s="93">
        <v>2700</v>
      </c>
      <c r="AC2617" s="93">
        <v>2700</v>
      </c>
      <c r="AD2617" s="93">
        <v>2700</v>
      </c>
      <c r="AE2617" s="93">
        <v>2700</v>
      </c>
      <c r="AF2617" s="93">
        <v>2700</v>
      </c>
      <c r="AG2617" s="93">
        <v>2700</v>
      </c>
      <c r="AH2617" s="93">
        <v>2700</v>
      </c>
      <c r="AI2617" s="93">
        <v>2700</v>
      </c>
      <c r="AJ2617" s="93">
        <v>2700</v>
      </c>
      <c r="AK2617" s="93">
        <v>2700</v>
      </c>
      <c r="AL2617" s="93">
        <v>2700</v>
      </c>
      <c r="AM2617" s="93">
        <v>2700</v>
      </c>
      <c r="AN2617" s="93">
        <v>2700</v>
      </c>
      <c r="AO2617" s="93">
        <v>2700</v>
      </c>
      <c r="AP2617" s="93">
        <v>2700</v>
      </c>
      <c r="AQ2617" s="93">
        <v>2700</v>
      </c>
      <c r="AR2617" s="93">
        <v>2700</v>
      </c>
      <c r="AS2617" s="93">
        <v>2700</v>
      </c>
      <c r="AT2617" s="93">
        <v>2700</v>
      </c>
      <c r="AU2617" s="93">
        <v>2700</v>
      </c>
      <c r="AV2617" s="93">
        <v>2700</v>
      </c>
      <c r="AW2617" s="93">
        <v>2700</v>
      </c>
      <c r="AX2617" s="94">
        <v>2700</v>
      </c>
    </row>
    <row r="2618" spans="1:50" x14ac:dyDescent="0.25">
      <c r="A2618" s="356"/>
      <c r="B2618" s="359"/>
      <c r="C2618" s="350"/>
      <c r="D2618" s="2" t="s">
        <v>8</v>
      </c>
      <c r="E2618" s="160" t="str">
        <f>A2617&amp;"/"&amp;B2617&amp;"/"&amp;C2617&amp;"/"&amp;D2618</f>
        <v>Solar thermal power plants/Solar thermal power plants/Electricity only/M</v>
      </c>
      <c r="F2618" s="76" t="str">
        <f>A2617</f>
        <v>Solar thermal power plants</v>
      </c>
      <c r="G2618" s="76" t="str">
        <f>B2617</f>
        <v>Solar thermal power plants</v>
      </c>
      <c r="H2618" s="76" t="str">
        <f>C2617</f>
        <v>Electricity only</v>
      </c>
      <c r="I2618" s="161" t="str">
        <f t="shared" si="121"/>
        <v>M</v>
      </c>
      <c r="J2618" s="91">
        <v>2430</v>
      </c>
      <c r="K2618" s="91">
        <v>2430</v>
      </c>
      <c r="L2618" s="91">
        <v>2430</v>
      </c>
      <c r="M2618" s="91">
        <v>2430</v>
      </c>
      <c r="N2618" s="91">
        <v>2430</v>
      </c>
      <c r="O2618" s="91">
        <v>2430</v>
      </c>
      <c r="P2618" s="91">
        <v>2430</v>
      </c>
      <c r="Q2618" s="91">
        <v>2430</v>
      </c>
      <c r="R2618" s="91">
        <v>2430</v>
      </c>
      <c r="S2618" s="91">
        <v>2430</v>
      </c>
      <c r="T2618" s="91">
        <v>2430</v>
      </c>
      <c r="U2618" s="91">
        <v>2430</v>
      </c>
      <c r="V2618" s="91">
        <v>2430</v>
      </c>
      <c r="W2618" s="91">
        <v>2430</v>
      </c>
      <c r="X2618" s="91">
        <v>2430</v>
      </c>
      <c r="Y2618" s="91">
        <v>2430</v>
      </c>
      <c r="Z2618" s="91">
        <v>2430</v>
      </c>
      <c r="AA2618" s="91">
        <v>2430</v>
      </c>
      <c r="AB2618" s="91">
        <v>2430</v>
      </c>
      <c r="AC2618" s="91">
        <v>2430</v>
      </c>
      <c r="AD2618" s="91">
        <v>2430</v>
      </c>
      <c r="AE2618" s="91">
        <v>2430</v>
      </c>
      <c r="AF2618" s="91">
        <v>2430</v>
      </c>
      <c r="AG2618" s="91">
        <v>2430</v>
      </c>
      <c r="AH2618" s="91">
        <v>2430</v>
      </c>
      <c r="AI2618" s="91">
        <v>2430</v>
      </c>
      <c r="AJ2618" s="91">
        <v>2430</v>
      </c>
      <c r="AK2618" s="91">
        <v>2430</v>
      </c>
      <c r="AL2618" s="91">
        <v>2430</v>
      </c>
      <c r="AM2618" s="91">
        <v>2430</v>
      </c>
      <c r="AN2618" s="91">
        <v>2430</v>
      </c>
      <c r="AO2618" s="91">
        <v>2430</v>
      </c>
      <c r="AP2618" s="91">
        <v>2430</v>
      </c>
      <c r="AQ2618" s="91">
        <v>2430</v>
      </c>
      <c r="AR2618" s="91">
        <v>2430</v>
      </c>
      <c r="AS2618" s="91">
        <v>2430</v>
      </c>
      <c r="AT2618" s="91">
        <v>2430</v>
      </c>
      <c r="AU2618" s="91">
        <v>2430</v>
      </c>
      <c r="AV2618" s="91">
        <v>2430</v>
      </c>
      <c r="AW2618" s="91">
        <v>2430</v>
      </c>
      <c r="AX2618" s="92">
        <v>2430</v>
      </c>
    </row>
    <row r="2619" spans="1:50" x14ac:dyDescent="0.25">
      <c r="A2619" s="356"/>
      <c r="B2619" s="359"/>
      <c r="C2619" s="350"/>
      <c r="D2619" s="2" t="s">
        <v>10</v>
      </c>
      <c r="E2619" s="160" t="str">
        <f>A2617&amp;"/"&amp;B2617&amp;"/"&amp;C2617&amp;"/"&amp;D2619</f>
        <v>Solar thermal power plants/Solar thermal power plants/Electricity only/S</v>
      </c>
      <c r="F2619" s="76" t="str">
        <f>A2617</f>
        <v>Solar thermal power plants</v>
      </c>
      <c r="G2619" s="76" t="str">
        <f>B2617</f>
        <v>Solar thermal power plants</v>
      </c>
      <c r="H2619" s="76" t="str">
        <f>C2617</f>
        <v>Electricity only</v>
      </c>
      <c r="I2619" s="161" t="str">
        <f t="shared" si="121"/>
        <v>S</v>
      </c>
      <c r="J2619" s="91">
        <v>2187</v>
      </c>
      <c r="K2619" s="91">
        <v>2187</v>
      </c>
      <c r="L2619" s="91">
        <v>2187</v>
      </c>
      <c r="M2619" s="91">
        <v>2187</v>
      </c>
      <c r="N2619" s="91">
        <v>2187</v>
      </c>
      <c r="O2619" s="91">
        <v>2187</v>
      </c>
      <c r="P2619" s="91">
        <v>2187</v>
      </c>
      <c r="Q2619" s="91">
        <v>2187</v>
      </c>
      <c r="R2619" s="91">
        <v>2187</v>
      </c>
      <c r="S2619" s="91">
        <v>2187</v>
      </c>
      <c r="T2619" s="91">
        <v>2187</v>
      </c>
      <c r="U2619" s="91">
        <v>2187</v>
      </c>
      <c r="V2619" s="91">
        <v>2187</v>
      </c>
      <c r="W2619" s="91">
        <v>2187</v>
      </c>
      <c r="X2619" s="91">
        <v>2187</v>
      </c>
      <c r="Y2619" s="91">
        <v>2187</v>
      </c>
      <c r="Z2619" s="91">
        <v>2187</v>
      </c>
      <c r="AA2619" s="91">
        <v>2187</v>
      </c>
      <c r="AB2619" s="91">
        <v>2187</v>
      </c>
      <c r="AC2619" s="91">
        <v>2187</v>
      </c>
      <c r="AD2619" s="91">
        <v>2187</v>
      </c>
      <c r="AE2619" s="91">
        <v>2187</v>
      </c>
      <c r="AF2619" s="91">
        <v>2187</v>
      </c>
      <c r="AG2619" s="91">
        <v>2187</v>
      </c>
      <c r="AH2619" s="91">
        <v>2187</v>
      </c>
      <c r="AI2619" s="91">
        <v>2187</v>
      </c>
      <c r="AJ2619" s="91">
        <v>2187</v>
      </c>
      <c r="AK2619" s="91">
        <v>2187</v>
      </c>
      <c r="AL2619" s="91">
        <v>2187</v>
      </c>
      <c r="AM2619" s="91">
        <v>2187</v>
      </c>
      <c r="AN2619" s="91">
        <v>2187</v>
      </c>
      <c r="AO2619" s="91">
        <v>2187</v>
      </c>
      <c r="AP2619" s="91">
        <v>2187</v>
      </c>
      <c r="AQ2619" s="91">
        <v>2187</v>
      </c>
      <c r="AR2619" s="91">
        <v>2187</v>
      </c>
      <c r="AS2619" s="91">
        <v>2187</v>
      </c>
      <c r="AT2619" s="91">
        <v>2187</v>
      </c>
      <c r="AU2619" s="91">
        <v>2187</v>
      </c>
      <c r="AV2619" s="91">
        <v>2187</v>
      </c>
      <c r="AW2619" s="91">
        <v>2187</v>
      </c>
      <c r="AX2619" s="92">
        <v>2187</v>
      </c>
    </row>
    <row r="2620" spans="1:50" x14ac:dyDescent="0.25">
      <c r="A2620" s="357"/>
      <c r="B2620" s="362"/>
      <c r="C2620" s="354"/>
      <c r="D2620" s="4" t="s">
        <v>20</v>
      </c>
      <c r="E2620" s="168" t="str">
        <f>A2617&amp;"/"&amp;B2617&amp;"/"&amp;C2617&amp;"/"&amp;D2620</f>
        <v>Solar thermal power plants/Solar thermal power plants/Electricity only/XS</v>
      </c>
      <c r="F2620" s="80" t="str">
        <f>A2617</f>
        <v>Solar thermal power plants</v>
      </c>
      <c r="G2620" s="80" t="str">
        <f>B2617</f>
        <v>Solar thermal power plants</v>
      </c>
      <c r="H2620" s="80" t="str">
        <f>C2617</f>
        <v>Electricity only</v>
      </c>
      <c r="I2620" s="169" t="str">
        <f t="shared" si="121"/>
        <v>XS</v>
      </c>
      <c r="J2620" s="99">
        <v>1968.3</v>
      </c>
      <c r="K2620" s="99">
        <v>1968.3</v>
      </c>
      <c r="L2620" s="99">
        <v>1968.3</v>
      </c>
      <c r="M2620" s="99">
        <v>1968.3</v>
      </c>
      <c r="N2620" s="99">
        <v>1968.3</v>
      </c>
      <c r="O2620" s="99">
        <v>1968.3</v>
      </c>
      <c r="P2620" s="99">
        <v>1968.3</v>
      </c>
      <c r="Q2620" s="99">
        <v>1968.3</v>
      </c>
      <c r="R2620" s="99">
        <v>1968.3</v>
      </c>
      <c r="S2620" s="99">
        <v>1968.3</v>
      </c>
      <c r="T2620" s="99">
        <v>1968.3</v>
      </c>
      <c r="U2620" s="99">
        <v>1968.3</v>
      </c>
      <c r="V2620" s="99">
        <v>1968.3</v>
      </c>
      <c r="W2620" s="99">
        <v>1968.3</v>
      </c>
      <c r="X2620" s="99">
        <v>1968.3</v>
      </c>
      <c r="Y2620" s="99">
        <v>1968.3</v>
      </c>
      <c r="Z2620" s="99">
        <v>1968.3</v>
      </c>
      <c r="AA2620" s="99">
        <v>1968.3</v>
      </c>
      <c r="AB2620" s="99">
        <v>1968.3</v>
      </c>
      <c r="AC2620" s="99">
        <v>1968.3</v>
      </c>
      <c r="AD2620" s="99">
        <v>1968.3</v>
      </c>
      <c r="AE2620" s="99">
        <v>1968.3</v>
      </c>
      <c r="AF2620" s="99">
        <v>1968.3</v>
      </c>
      <c r="AG2620" s="99">
        <v>1968.3</v>
      </c>
      <c r="AH2620" s="99">
        <v>1968.3</v>
      </c>
      <c r="AI2620" s="99">
        <v>1968.3</v>
      </c>
      <c r="AJ2620" s="99">
        <v>1968.3</v>
      </c>
      <c r="AK2620" s="99">
        <v>1968.3</v>
      </c>
      <c r="AL2620" s="99">
        <v>1968.3</v>
      </c>
      <c r="AM2620" s="99">
        <v>1968.3</v>
      </c>
      <c r="AN2620" s="99">
        <v>1968.3</v>
      </c>
      <c r="AO2620" s="99">
        <v>1968.3</v>
      </c>
      <c r="AP2620" s="99">
        <v>1968.3</v>
      </c>
      <c r="AQ2620" s="99">
        <v>1968.3</v>
      </c>
      <c r="AR2620" s="99">
        <v>1968.3</v>
      </c>
      <c r="AS2620" s="99">
        <v>1968.3</v>
      </c>
      <c r="AT2620" s="99">
        <v>1968.3</v>
      </c>
      <c r="AU2620" s="99">
        <v>1968.3</v>
      </c>
      <c r="AV2620" s="99">
        <v>1968.3</v>
      </c>
      <c r="AW2620" s="99">
        <v>1968.3</v>
      </c>
      <c r="AX2620" s="100">
        <v>1968.3</v>
      </c>
    </row>
    <row r="2621" spans="1:50" x14ac:dyDescent="0.25">
      <c r="A2621" s="355" t="s">
        <v>39</v>
      </c>
      <c r="B2621" s="358" t="s">
        <v>39</v>
      </c>
      <c r="C2621" s="353" t="s">
        <v>6</v>
      </c>
      <c r="D2621" s="3" t="s">
        <v>7</v>
      </c>
      <c r="E2621" s="162" t="str">
        <f>A2621&amp;"/"&amp;B2621&amp;"/"&amp;C2621&amp;"/"&amp;D2621</f>
        <v>Geothermal power plants/Geothermal power plants/Electricity only/L</v>
      </c>
      <c r="F2621" s="77" t="str">
        <f>A2621</f>
        <v>Geothermal power plants</v>
      </c>
      <c r="G2621" s="77" t="str">
        <f>B2621</f>
        <v>Geothermal power plants</v>
      </c>
      <c r="H2621" s="77" t="str">
        <f>C2621</f>
        <v>Electricity only</v>
      </c>
      <c r="I2621" s="163" t="str">
        <f t="shared" si="121"/>
        <v>L</v>
      </c>
      <c r="J2621" s="93">
        <v>8500</v>
      </c>
      <c r="K2621" s="93">
        <v>8500</v>
      </c>
      <c r="L2621" s="93">
        <v>8500</v>
      </c>
      <c r="M2621" s="93">
        <v>8500</v>
      </c>
      <c r="N2621" s="93">
        <v>8500</v>
      </c>
      <c r="O2621" s="93">
        <v>8500</v>
      </c>
      <c r="P2621" s="93">
        <v>8500</v>
      </c>
      <c r="Q2621" s="93">
        <v>8500</v>
      </c>
      <c r="R2621" s="93">
        <v>8500</v>
      </c>
      <c r="S2621" s="93">
        <v>8500</v>
      </c>
      <c r="T2621" s="93">
        <v>8500</v>
      </c>
      <c r="U2621" s="93">
        <v>8500</v>
      </c>
      <c r="V2621" s="93">
        <v>8500</v>
      </c>
      <c r="W2621" s="93">
        <v>8500</v>
      </c>
      <c r="X2621" s="93">
        <v>8500</v>
      </c>
      <c r="Y2621" s="93">
        <v>8500</v>
      </c>
      <c r="Z2621" s="93">
        <v>8500</v>
      </c>
      <c r="AA2621" s="93">
        <v>8500</v>
      </c>
      <c r="AB2621" s="93">
        <v>8500</v>
      </c>
      <c r="AC2621" s="93">
        <v>8500</v>
      </c>
      <c r="AD2621" s="93">
        <v>8500</v>
      </c>
      <c r="AE2621" s="93">
        <v>8500</v>
      </c>
      <c r="AF2621" s="93">
        <v>8500</v>
      </c>
      <c r="AG2621" s="93">
        <v>8500</v>
      </c>
      <c r="AH2621" s="93">
        <v>8500</v>
      </c>
      <c r="AI2621" s="93">
        <v>8500</v>
      </c>
      <c r="AJ2621" s="93">
        <v>8500</v>
      </c>
      <c r="AK2621" s="93">
        <v>8500</v>
      </c>
      <c r="AL2621" s="93">
        <v>8500</v>
      </c>
      <c r="AM2621" s="93">
        <v>8500</v>
      </c>
      <c r="AN2621" s="93">
        <v>8500</v>
      </c>
      <c r="AO2621" s="93">
        <v>8500</v>
      </c>
      <c r="AP2621" s="93">
        <v>8500</v>
      </c>
      <c r="AQ2621" s="93">
        <v>8500</v>
      </c>
      <c r="AR2621" s="93">
        <v>8500</v>
      </c>
      <c r="AS2621" s="93">
        <v>8500</v>
      </c>
      <c r="AT2621" s="93">
        <v>8500</v>
      </c>
      <c r="AU2621" s="93">
        <v>8500</v>
      </c>
      <c r="AV2621" s="93">
        <v>8500</v>
      </c>
      <c r="AW2621" s="93">
        <v>8500</v>
      </c>
      <c r="AX2621" s="94">
        <v>8500</v>
      </c>
    </row>
    <row r="2622" spans="1:50" x14ac:dyDescent="0.25">
      <c r="A2622" s="356"/>
      <c r="B2622" s="359"/>
      <c r="C2622" s="350"/>
      <c r="D2622" s="2" t="s">
        <v>8</v>
      </c>
      <c r="E2622" s="160" t="str">
        <f>A2621&amp;"/"&amp;B2621&amp;"/"&amp;C2621&amp;"/"&amp;D2622</f>
        <v>Geothermal power plants/Geothermal power plants/Electricity only/M</v>
      </c>
      <c r="F2622" s="76" t="str">
        <f>A2621</f>
        <v>Geothermal power plants</v>
      </c>
      <c r="G2622" s="76" t="str">
        <f>B2621</f>
        <v>Geothermal power plants</v>
      </c>
      <c r="H2622" s="76" t="str">
        <f>C2621</f>
        <v>Electricity only</v>
      </c>
      <c r="I2622" s="161" t="str">
        <f t="shared" si="121"/>
        <v>M</v>
      </c>
      <c r="J2622" s="91">
        <v>6850.3833153750793</v>
      </c>
      <c r="K2622" s="91">
        <v>6850.3833153750793</v>
      </c>
      <c r="L2622" s="91">
        <v>6850.3833153750793</v>
      </c>
      <c r="M2622" s="91">
        <v>6850.3833153750793</v>
      </c>
      <c r="N2622" s="91">
        <v>6850.3833153750793</v>
      </c>
      <c r="O2622" s="91">
        <v>6850.3833153750793</v>
      </c>
      <c r="P2622" s="91">
        <v>6850.3833153750793</v>
      </c>
      <c r="Q2622" s="91">
        <v>6850.3833153750793</v>
      </c>
      <c r="R2622" s="91">
        <v>6850.3833153750793</v>
      </c>
      <c r="S2622" s="91">
        <v>6850.3833153750793</v>
      </c>
      <c r="T2622" s="91">
        <v>6850.3833153750793</v>
      </c>
      <c r="U2622" s="91">
        <v>6850.3833153750793</v>
      </c>
      <c r="V2622" s="91">
        <v>6850.3833153750793</v>
      </c>
      <c r="W2622" s="91">
        <v>6850.3833153750793</v>
      </c>
      <c r="X2622" s="91">
        <v>6850.3833153750793</v>
      </c>
      <c r="Y2622" s="91">
        <v>6850.3833153750793</v>
      </c>
      <c r="Z2622" s="91">
        <v>6850.3833153750793</v>
      </c>
      <c r="AA2622" s="91">
        <v>6850.3833153750793</v>
      </c>
      <c r="AB2622" s="91">
        <v>6850.3833153750793</v>
      </c>
      <c r="AC2622" s="91">
        <v>6850.3833153750793</v>
      </c>
      <c r="AD2622" s="91">
        <v>6850.3833153750793</v>
      </c>
      <c r="AE2622" s="91">
        <v>6850.3833153750793</v>
      </c>
      <c r="AF2622" s="91">
        <v>6850.3833153750793</v>
      </c>
      <c r="AG2622" s="91">
        <v>6850.3833153750793</v>
      </c>
      <c r="AH2622" s="91">
        <v>6850.3833153750793</v>
      </c>
      <c r="AI2622" s="91">
        <v>6850.3833153750793</v>
      </c>
      <c r="AJ2622" s="91">
        <v>6850.3833153750793</v>
      </c>
      <c r="AK2622" s="91">
        <v>6850.3833153750793</v>
      </c>
      <c r="AL2622" s="91">
        <v>6850.3833153750793</v>
      </c>
      <c r="AM2622" s="91">
        <v>6850.3833153750793</v>
      </c>
      <c r="AN2622" s="91">
        <v>6850.3833153750793</v>
      </c>
      <c r="AO2622" s="91">
        <v>6850.3833153750793</v>
      </c>
      <c r="AP2622" s="91">
        <v>6850.3833153750793</v>
      </c>
      <c r="AQ2622" s="91">
        <v>6850.3833153750793</v>
      </c>
      <c r="AR2622" s="91">
        <v>6850.3833153750793</v>
      </c>
      <c r="AS2622" s="91">
        <v>6850.3833153750793</v>
      </c>
      <c r="AT2622" s="91">
        <v>6850.3833153750793</v>
      </c>
      <c r="AU2622" s="91">
        <v>6850.3833153750793</v>
      </c>
      <c r="AV2622" s="91">
        <v>6850.3833153750793</v>
      </c>
      <c r="AW2622" s="91">
        <v>6850.3833153750793</v>
      </c>
      <c r="AX2622" s="92">
        <v>6850.3833153750793</v>
      </c>
    </row>
    <row r="2623" spans="1:50" x14ac:dyDescent="0.25">
      <c r="A2623" s="357"/>
      <c r="B2623" s="362"/>
      <c r="C2623" s="354"/>
      <c r="D2623" s="4" t="s">
        <v>10</v>
      </c>
      <c r="E2623" s="168" t="str">
        <f>A2621&amp;"/"&amp;B2621&amp;"/"&amp;C2621&amp;"/"&amp;D2623</f>
        <v>Geothermal power plants/Geothermal power plants/Electricity only/S</v>
      </c>
      <c r="F2623" s="80" t="str">
        <f>A2621</f>
        <v>Geothermal power plants</v>
      </c>
      <c r="G2623" s="80" t="str">
        <f>B2621</f>
        <v>Geothermal power plants</v>
      </c>
      <c r="H2623" s="80" t="str">
        <f>C2621</f>
        <v>Electricity only</v>
      </c>
      <c r="I2623" s="169" t="str">
        <f t="shared" ref="I2623:I2637" si="122">D2623</f>
        <v>S</v>
      </c>
      <c r="J2623" s="99">
        <v>5520.9119491257961</v>
      </c>
      <c r="K2623" s="99">
        <v>5520.9119491257961</v>
      </c>
      <c r="L2623" s="99">
        <v>5520.9119491257961</v>
      </c>
      <c r="M2623" s="99">
        <v>5520.9119491257961</v>
      </c>
      <c r="N2623" s="99">
        <v>5520.9119491257961</v>
      </c>
      <c r="O2623" s="99">
        <v>5520.9119491257961</v>
      </c>
      <c r="P2623" s="99">
        <v>5520.9119491257961</v>
      </c>
      <c r="Q2623" s="99">
        <v>5520.9119491257961</v>
      </c>
      <c r="R2623" s="99">
        <v>5520.9119491257961</v>
      </c>
      <c r="S2623" s="99">
        <v>5520.9119491257961</v>
      </c>
      <c r="T2623" s="99">
        <v>5520.9119491257961</v>
      </c>
      <c r="U2623" s="99">
        <v>5520.9119491257961</v>
      </c>
      <c r="V2623" s="99">
        <v>5520.9119491257961</v>
      </c>
      <c r="W2623" s="99">
        <v>5520.9119491257961</v>
      </c>
      <c r="X2623" s="99">
        <v>5520.9119491257961</v>
      </c>
      <c r="Y2623" s="99">
        <v>5520.9119491257961</v>
      </c>
      <c r="Z2623" s="99">
        <v>5520.9119491257961</v>
      </c>
      <c r="AA2623" s="99">
        <v>5520.9119491257961</v>
      </c>
      <c r="AB2623" s="99">
        <v>5520.9119491257961</v>
      </c>
      <c r="AC2623" s="99">
        <v>5520.9119491257961</v>
      </c>
      <c r="AD2623" s="99">
        <v>5520.9119491257961</v>
      </c>
      <c r="AE2623" s="99">
        <v>5520.9119491257961</v>
      </c>
      <c r="AF2623" s="99">
        <v>5520.9119491257961</v>
      </c>
      <c r="AG2623" s="99">
        <v>5520.9119491257961</v>
      </c>
      <c r="AH2623" s="99">
        <v>5520.9119491257961</v>
      </c>
      <c r="AI2623" s="99">
        <v>5520.9119491257961</v>
      </c>
      <c r="AJ2623" s="99">
        <v>5520.9119491257961</v>
      </c>
      <c r="AK2623" s="99">
        <v>5520.9119491257961</v>
      </c>
      <c r="AL2623" s="99">
        <v>5520.9119491257961</v>
      </c>
      <c r="AM2623" s="99">
        <v>5520.9119491257961</v>
      </c>
      <c r="AN2623" s="99">
        <v>5520.9119491257961</v>
      </c>
      <c r="AO2623" s="99">
        <v>5520.9119491257961</v>
      </c>
      <c r="AP2623" s="99">
        <v>5520.9119491257961</v>
      </c>
      <c r="AQ2623" s="99">
        <v>5520.9119491257961</v>
      </c>
      <c r="AR2623" s="99">
        <v>5520.9119491257961</v>
      </c>
      <c r="AS2623" s="99">
        <v>5520.9119491257961</v>
      </c>
      <c r="AT2623" s="99">
        <v>5520.9119491257961</v>
      </c>
      <c r="AU2623" s="99">
        <v>5520.9119491257961</v>
      </c>
      <c r="AV2623" s="99">
        <v>5520.9119491257961</v>
      </c>
      <c r="AW2623" s="99">
        <v>5520.9119491257961</v>
      </c>
      <c r="AX2623" s="100">
        <v>5520.9119491257961</v>
      </c>
    </row>
    <row r="2624" spans="1:50" x14ac:dyDescent="0.25">
      <c r="A2624" s="355" t="s">
        <v>40</v>
      </c>
      <c r="B2624" s="5" t="s">
        <v>41</v>
      </c>
      <c r="C2624" s="6" t="s">
        <v>6</v>
      </c>
      <c r="D2624" s="60" t="s">
        <v>8</v>
      </c>
      <c r="E2624" s="170" t="str">
        <f>A2624&amp;"/"&amp;B2624&amp;"/"&amp;C2624&amp;"/"&amp;D2624</f>
        <v>Tide, wave and ocean power plants/Tidal/Electricity only/M</v>
      </c>
      <c r="F2624" s="81" t="str">
        <f>A2624</f>
        <v>Tide, wave and ocean power plants</v>
      </c>
      <c r="G2624" s="81" t="str">
        <f>B2624</f>
        <v>Tidal</v>
      </c>
      <c r="H2624" s="81" t="str">
        <f>C2624</f>
        <v>Electricity only</v>
      </c>
      <c r="I2624" s="171" t="str">
        <f t="shared" si="122"/>
        <v>M</v>
      </c>
      <c r="J2624" s="101">
        <v>7500</v>
      </c>
      <c r="K2624" s="101">
        <v>7500</v>
      </c>
      <c r="L2624" s="101">
        <v>7500</v>
      </c>
      <c r="M2624" s="101">
        <v>7500</v>
      </c>
      <c r="N2624" s="101">
        <v>7500</v>
      </c>
      <c r="O2624" s="101">
        <v>7500</v>
      </c>
      <c r="P2624" s="101">
        <v>7500</v>
      </c>
      <c r="Q2624" s="101">
        <v>7500</v>
      </c>
      <c r="R2624" s="101">
        <v>7500</v>
      </c>
      <c r="S2624" s="101">
        <v>7500</v>
      </c>
      <c r="T2624" s="101">
        <v>7500</v>
      </c>
      <c r="U2624" s="101">
        <v>7500</v>
      </c>
      <c r="V2624" s="101">
        <v>7500</v>
      </c>
      <c r="W2624" s="101">
        <v>7500</v>
      </c>
      <c r="X2624" s="101">
        <v>7500</v>
      </c>
      <c r="Y2624" s="101">
        <v>7500</v>
      </c>
      <c r="Z2624" s="101">
        <v>7500</v>
      </c>
      <c r="AA2624" s="101">
        <v>7500</v>
      </c>
      <c r="AB2624" s="101">
        <v>7500</v>
      </c>
      <c r="AC2624" s="101">
        <v>7500</v>
      </c>
      <c r="AD2624" s="101">
        <v>7500</v>
      </c>
      <c r="AE2624" s="101">
        <v>7500</v>
      </c>
      <c r="AF2624" s="101">
        <v>7500</v>
      </c>
      <c r="AG2624" s="101">
        <v>7500</v>
      </c>
      <c r="AH2624" s="101">
        <v>7500</v>
      </c>
      <c r="AI2624" s="101">
        <v>7500</v>
      </c>
      <c r="AJ2624" s="101">
        <v>7500</v>
      </c>
      <c r="AK2624" s="101">
        <v>7500</v>
      </c>
      <c r="AL2624" s="101">
        <v>7500</v>
      </c>
      <c r="AM2624" s="101">
        <v>7500</v>
      </c>
      <c r="AN2624" s="101">
        <v>7500</v>
      </c>
      <c r="AO2624" s="101">
        <v>7500</v>
      </c>
      <c r="AP2624" s="101">
        <v>7500</v>
      </c>
      <c r="AQ2624" s="101">
        <v>7500</v>
      </c>
      <c r="AR2624" s="101">
        <v>7500</v>
      </c>
      <c r="AS2624" s="101">
        <v>7500</v>
      </c>
      <c r="AT2624" s="101">
        <v>7500</v>
      </c>
      <c r="AU2624" s="101">
        <v>7500</v>
      </c>
      <c r="AV2624" s="101">
        <v>7500</v>
      </c>
      <c r="AW2624" s="101">
        <v>7500</v>
      </c>
      <c r="AX2624" s="102">
        <v>7500</v>
      </c>
    </row>
    <row r="2625" spans="1:50" x14ac:dyDescent="0.25">
      <c r="A2625" s="357"/>
      <c r="B2625" s="279" t="s">
        <v>42</v>
      </c>
      <c r="C2625" s="7" t="s">
        <v>6</v>
      </c>
      <c r="D2625" s="4" t="s">
        <v>8</v>
      </c>
      <c r="E2625" s="168" t="str">
        <f>A2624&amp;"/"&amp;B2625&amp;"/"&amp;C2625&amp;"/"&amp;D2625</f>
        <v>Tide, wave and ocean power plants/Wave/Electricity only/M</v>
      </c>
      <c r="F2625" s="80" t="str">
        <f>A2624</f>
        <v>Tide, wave and ocean power plants</v>
      </c>
      <c r="G2625" s="80" t="str">
        <f>B2625</f>
        <v>Wave</v>
      </c>
      <c r="H2625" s="80" t="str">
        <f>C2625</f>
        <v>Electricity only</v>
      </c>
      <c r="I2625" s="169" t="str">
        <f t="shared" si="122"/>
        <v>M</v>
      </c>
      <c r="J2625" s="99">
        <v>7500</v>
      </c>
      <c r="K2625" s="99">
        <v>7500</v>
      </c>
      <c r="L2625" s="99">
        <v>7500</v>
      </c>
      <c r="M2625" s="99">
        <v>7500</v>
      </c>
      <c r="N2625" s="99">
        <v>7500</v>
      </c>
      <c r="O2625" s="99">
        <v>7500</v>
      </c>
      <c r="P2625" s="99">
        <v>7500</v>
      </c>
      <c r="Q2625" s="99">
        <v>7500</v>
      </c>
      <c r="R2625" s="99">
        <v>7500</v>
      </c>
      <c r="S2625" s="99">
        <v>7500</v>
      </c>
      <c r="T2625" s="99">
        <v>7500</v>
      </c>
      <c r="U2625" s="99">
        <v>7500</v>
      </c>
      <c r="V2625" s="99">
        <v>7500</v>
      </c>
      <c r="W2625" s="99">
        <v>7500</v>
      </c>
      <c r="X2625" s="99">
        <v>7500</v>
      </c>
      <c r="Y2625" s="99">
        <v>7500</v>
      </c>
      <c r="Z2625" s="99">
        <v>7500</v>
      </c>
      <c r="AA2625" s="99">
        <v>7500</v>
      </c>
      <c r="AB2625" s="99">
        <v>7500</v>
      </c>
      <c r="AC2625" s="99">
        <v>7500</v>
      </c>
      <c r="AD2625" s="99">
        <v>7500</v>
      </c>
      <c r="AE2625" s="99">
        <v>7500</v>
      </c>
      <c r="AF2625" s="99">
        <v>7500</v>
      </c>
      <c r="AG2625" s="99">
        <v>7500</v>
      </c>
      <c r="AH2625" s="99">
        <v>7500</v>
      </c>
      <c r="AI2625" s="99">
        <v>7500</v>
      </c>
      <c r="AJ2625" s="99">
        <v>7500</v>
      </c>
      <c r="AK2625" s="99">
        <v>7500</v>
      </c>
      <c r="AL2625" s="99">
        <v>7500</v>
      </c>
      <c r="AM2625" s="99">
        <v>7500</v>
      </c>
      <c r="AN2625" s="99">
        <v>7500</v>
      </c>
      <c r="AO2625" s="99">
        <v>7500</v>
      </c>
      <c r="AP2625" s="99">
        <v>7500</v>
      </c>
      <c r="AQ2625" s="99">
        <v>7500</v>
      </c>
      <c r="AR2625" s="99">
        <v>7500</v>
      </c>
      <c r="AS2625" s="99">
        <v>7500</v>
      </c>
      <c r="AT2625" s="99">
        <v>7500</v>
      </c>
      <c r="AU2625" s="99">
        <v>7500</v>
      </c>
      <c r="AV2625" s="99">
        <v>7500</v>
      </c>
      <c r="AW2625" s="99">
        <v>7500</v>
      </c>
      <c r="AX2625" s="100">
        <v>7500</v>
      </c>
    </row>
    <row r="2626" spans="1:50" x14ac:dyDescent="0.25">
      <c r="A2626" s="355" t="s">
        <v>43</v>
      </c>
      <c r="B2626" s="358" t="s">
        <v>44</v>
      </c>
      <c r="C2626" s="353" t="s">
        <v>6</v>
      </c>
      <c r="D2626" s="3" t="s">
        <v>7</v>
      </c>
      <c r="E2626" s="162" t="str">
        <f>A2626&amp;"/"&amp;B2626&amp;"/"&amp;C2626&amp;"/"&amp;D2626</f>
        <v>Hydro plants/Run-of-river/Electricity only/L</v>
      </c>
      <c r="F2626" s="77" t="str">
        <f>A2626</f>
        <v>Hydro plants</v>
      </c>
      <c r="G2626" s="77" t="str">
        <f>B2626</f>
        <v>Run-of-river</v>
      </c>
      <c r="H2626" s="77" t="str">
        <f>C2626</f>
        <v>Electricity only</v>
      </c>
      <c r="I2626" s="163" t="str">
        <f t="shared" si="122"/>
        <v>L</v>
      </c>
      <c r="J2626" s="93">
        <v>8500</v>
      </c>
      <c r="K2626" s="93">
        <v>8500</v>
      </c>
      <c r="L2626" s="93">
        <v>8500</v>
      </c>
      <c r="M2626" s="93">
        <v>8500</v>
      </c>
      <c r="N2626" s="93">
        <v>8500</v>
      </c>
      <c r="O2626" s="93">
        <v>8500</v>
      </c>
      <c r="P2626" s="93">
        <v>8500</v>
      </c>
      <c r="Q2626" s="93">
        <v>8500</v>
      </c>
      <c r="R2626" s="93">
        <v>8500</v>
      </c>
      <c r="S2626" s="93">
        <v>8500</v>
      </c>
      <c r="T2626" s="93">
        <v>8500</v>
      </c>
      <c r="U2626" s="93">
        <v>8500</v>
      </c>
      <c r="V2626" s="93">
        <v>8500</v>
      </c>
      <c r="W2626" s="93">
        <v>8500</v>
      </c>
      <c r="X2626" s="93">
        <v>8500</v>
      </c>
      <c r="Y2626" s="93">
        <v>8500</v>
      </c>
      <c r="Z2626" s="93">
        <v>8500</v>
      </c>
      <c r="AA2626" s="93">
        <v>8500</v>
      </c>
      <c r="AB2626" s="93">
        <v>8500</v>
      </c>
      <c r="AC2626" s="93">
        <v>8500</v>
      </c>
      <c r="AD2626" s="93">
        <v>8500</v>
      </c>
      <c r="AE2626" s="93">
        <v>8500</v>
      </c>
      <c r="AF2626" s="93">
        <v>8500</v>
      </c>
      <c r="AG2626" s="93">
        <v>8500</v>
      </c>
      <c r="AH2626" s="93">
        <v>8500</v>
      </c>
      <c r="AI2626" s="93">
        <v>8500</v>
      </c>
      <c r="AJ2626" s="93">
        <v>8500</v>
      </c>
      <c r="AK2626" s="93">
        <v>8500</v>
      </c>
      <c r="AL2626" s="93">
        <v>8500</v>
      </c>
      <c r="AM2626" s="93">
        <v>8500</v>
      </c>
      <c r="AN2626" s="93">
        <v>8500</v>
      </c>
      <c r="AO2626" s="93">
        <v>8500</v>
      </c>
      <c r="AP2626" s="93">
        <v>8500</v>
      </c>
      <c r="AQ2626" s="93">
        <v>8500</v>
      </c>
      <c r="AR2626" s="93">
        <v>8500</v>
      </c>
      <c r="AS2626" s="93">
        <v>8500</v>
      </c>
      <c r="AT2626" s="93">
        <v>8500</v>
      </c>
      <c r="AU2626" s="93">
        <v>8500</v>
      </c>
      <c r="AV2626" s="93">
        <v>8500</v>
      </c>
      <c r="AW2626" s="93">
        <v>8500</v>
      </c>
      <c r="AX2626" s="94">
        <v>8500</v>
      </c>
    </row>
    <row r="2627" spans="1:50" x14ac:dyDescent="0.25">
      <c r="A2627" s="356"/>
      <c r="B2627" s="359"/>
      <c r="C2627" s="350"/>
      <c r="D2627" s="2" t="s">
        <v>8</v>
      </c>
      <c r="E2627" s="160" t="str">
        <f>A2626&amp;"/"&amp;B2626&amp;"/"&amp;C2626&amp;"/"&amp;D2627</f>
        <v>Hydro plants/Run-of-river/Electricity only/M</v>
      </c>
      <c r="F2627" s="76" t="str">
        <f>A2626</f>
        <v>Hydro plants</v>
      </c>
      <c r="G2627" s="76" t="str">
        <f>B2626</f>
        <v>Run-of-river</v>
      </c>
      <c r="H2627" s="76" t="str">
        <f>C2626</f>
        <v>Electricity only</v>
      </c>
      <c r="I2627" s="161" t="str">
        <f t="shared" si="122"/>
        <v>M</v>
      </c>
      <c r="J2627" s="91">
        <v>7125</v>
      </c>
      <c r="K2627" s="91">
        <v>7125</v>
      </c>
      <c r="L2627" s="91">
        <v>7125</v>
      </c>
      <c r="M2627" s="91">
        <v>7125</v>
      </c>
      <c r="N2627" s="91">
        <v>7125</v>
      </c>
      <c r="O2627" s="91">
        <v>7125</v>
      </c>
      <c r="P2627" s="91">
        <v>7125</v>
      </c>
      <c r="Q2627" s="91">
        <v>7125</v>
      </c>
      <c r="R2627" s="91">
        <v>7125</v>
      </c>
      <c r="S2627" s="91">
        <v>7125</v>
      </c>
      <c r="T2627" s="91">
        <v>7125</v>
      </c>
      <c r="U2627" s="91">
        <v>7125</v>
      </c>
      <c r="V2627" s="91">
        <v>7125</v>
      </c>
      <c r="W2627" s="91">
        <v>7125</v>
      </c>
      <c r="X2627" s="91">
        <v>7125</v>
      </c>
      <c r="Y2627" s="91">
        <v>7125</v>
      </c>
      <c r="Z2627" s="91">
        <v>7125</v>
      </c>
      <c r="AA2627" s="91">
        <v>7125</v>
      </c>
      <c r="AB2627" s="91">
        <v>7125</v>
      </c>
      <c r="AC2627" s="91">
        <v>7125</v>
      </c>
      <c r="AD2627" s="91">
        <v>7125</v>
      </c>
      <c r="AE2627" s="91">
        <v>7125</v>
      </c>
      <c r="AF2627" s="91">
        <v>7125</v>
      </c>
      <c r="AG2627" s="91">
        <v>7125</v>
      </c>
      <c r="AH2627" s="91">
        <v>7125</v>
      </c>
      <c r="AI2627" s="91">
        <v>7125</v>
      </c>
      <c r="AJ2627" s="91">
        <v>7125</v>
      </c>
      <c r="AK2627" s="91">
        <v>7125</v>
      </c>
      <c r="AL2627" s="91">
        <v>7125</v>
      </c>
      <c r="AM2627" s="91">
        <v>7125</v>
      </c>
      <c r="AN2627" s="91">
        <v>7125</v>
      </c>
      <c r="AO2627" s="91">
        <v>7125</v>
      </c>
      <c r="AP2627" s="91">
        <v>7125</v>
      </c>
      <c r="AQ2627" s="91">
        <v>7125</v>
      </c>
      <c r="AR2627" s="91">
        <v>7125</v>
      </c>
      <c r="AS2627" s="91">
        <v>7125</v>
      </c>
      <c r="AT2627" s="91">
        <v>7125</v>
      </c>
      <c r="AU2627" s="91">
        <v>7125</v>
      </c>
      <c r="AV2627" s="91">
        <v>7125</v>
      </c>
      <c r="AW2627" s="91">
        <v>7125</v>
      </c>
      <c r="AX2627" s="92">
        <v>7125</v>
      </c>
    </row>
    <row r="2628" spans="1:50" x14ac:dyDescent="0.25">
      <c r="A2628" s="356"/>
      <c r="B2628" s="359"/>
      <c r="C2628" s="350"/>
      <c r="D2628" s="2" t="s">
        <v>10</v>
      </c>
      <c r="E2628" s="160" t="str">
        <f>A2626&amp;"/"&amp;B2626&amp;"/"&amp;C2626&amp;"/"&amp;D2628</f>
        <v>Hydro plants/Run-of-river/Electricity only/S</v>
      </c>
      <c r="F2628" s="76" t="str">
        <f>A2626</f>
        <v>Hydro plants</v>
      </c>
      <c r="G2628" s="76" t="str">
        <f>B2626</f>
        <v>Run-of-river</v>
      </c>
      <c r="H2628" s="76" t="str">
        <f>C2626</f>
        <v>Electricity only</v>
      </c>
      <c r="I2628" s="161" t="str">
        <f t="shared" si="122"/>
        <v>S</v>
      </c>
      <c r="J2628" s="91">
        <v>7650</v>
      </c>
      <c r="K2628" s="91">
        <v>7650</v>
      </c>
      <c r="L2628" s="91">
        <v>7650</v>
      </c>
      <c r="M2628" s="91">
        <v>7650</v>
      </c>
      <c r="N2628" s="91">
        <v>7650</v>
      </c>
      <c r="O2628" s="91">
        <v>7650</v>
      </c>
      <c r="P2628" s="91">
        <v>7650</v>
      </c>
      <c r="Q2628" s="91">
        <v>7650</v>
      </c>
      <c r="R2628" s="91">
        <v>7650</v>
      </c>
      <c r="S2628" s="91">
        <v>7650</v>
      </c>
      <c r="T2628" s="91">
        <v>7650</v>
      </c>
      <c r="U2628" s="91">
        <v>7650</v>
      </c>
      <c r="V2628" s="91">
        <v>7650</v>
      </c>
      <c r="W2628" s="91">
        <v>7650</v>
      </c>
      <c r="X2628" s="91">
        <v>7650</v>
      </c>
      <c r="Y2628" s="91">
        <v>7650</v>
      </c>
      <c r="Z2628" s="91">
        <v>7650</v>
      </c>
      <c r="AA2628" s="91">
        <v>7650</v>
      </c>
      <c r="AB2628" s="91">
        <v>7650</v>
      </c>
      <c r="AC2628" s="91">
        <v>7650</v>
      </c>
      <c r="AD2628" s="91">
        <v>7650</v>
      </c>
      <c r="AE2628" s="91">
        <v>7650</v>
      </c>
      <c r="AF2628" s="91">
        <v>7650</v>
      </c>
      <c r="AG2628" s="91">
        <v>7650</v>
      </c>
      <c r="AH2628" s="91">
        <v>7650</v>
      </c>
      <c r="AI2628" s="91">
        <v>7650</v>
      </c>
      <c r="AJ2628" s="91">
        <v>7650</v>
      </c>
      <c r="AK2628" s="91">
        <v>7650</v>
      </c>
      <c r="AL2628" s="91">
        <v>7650</v>
      </c>
      <c r="AM2628" s="91">
        <v>7650</v>
      </c>
      <c r="AN2628" s="91">
        <v>7650</v>
      </c>
      <c r="AO2628" s="91">
        <v>7650</v>
      </c>
      <c r="AP2628" s="91">
        <v>7650</v>
      </c>
      <c r="AQ2628" s="91">
        <v>7650</v>
      </c>
      <c r="AR2628" s="91">
        <v>7650</v>
      </c>
      <c r="AS2628" s="91">
        <v>7650</v>
      </c>
      <c r="AT2628" s="91">
        <v>7650</v>
      </c>
      <c r="AU2628" s="91">
        <v>7650</v>
      </c>
      <c r="AV2628" s="91">
        <v>7650</v>
      </c>
      <c r="AW2628" s="91">
        <v>7650</v>
      </c>
      <c r="AX2628" s="92">
        <v>7650</v>
      </c>
    </row>
    <row r="2629" spans="1:50" x14ac:dyDescent="0.25">
      <c r="A2629" s="356"/>
      <c r="B2629" s="368"/>
      <c r="C2629" s="360"/>
      <c r="D2629" s="59" t="s">
        <v>20</v>
      </c>
      <c r="E2629" s="166" t="str">
        <f>A2626&amp;"/"&amp;B2626&amp;"/"&amp;C2626&amp;"/"&amp;D2629</f>
        <v>Hydro plants/Run-of-river/Electricity only/XS</v>
      </c>
      <c r="F2629" s="79" t="str">
        <f>A2626</f>
        <v>Hydro plants</v>
      </c>
      <c r="G2629" s="79" t="str">
        <f>B2626</f>
        <v>Run-of-river</v>
      </c>
      <c r="H2629" s="79" t="str">
        <f>C2626</f>
        <v>Electricity only</v>
      </c>
      <c r="I2629" s="167" t="str">
        <f t="shared" si="122"/>
        <v>XS</v>
      </c>
      <c r="J2629" s="97">
        <v>7225</v>
      </c>
      <c r="K2629" s="97">
        <v>7225</v>
      </c>
      <c r="L2629" s="97">
        <v>7225</v>
      </c>
      <c r="M2629" s="97">
        <v>7225</v>
      </c>
      <c r="N2629" s="97">
        <v>7225</v>
      </c>
      <c r="O2629" s="97">
        <v>7225</v>
      </c>
      <c r="P2629" s="97">
        <v>7225</v>
      </c>
      <c r="Q2629" s="97">
        <v>7225</v>
      </c>
      <c r="R2629" s="97">
        <v>7225</v>
      </c>
      <c r="S2629" s="97">
        <v>7225</v>
      </c>
      <c r="T2629" s="97">
        <v>7225</v>
      </c>
      <c r="U2629" s="97">
        <v>7225</v>
      </c>
      <c r="V2629" s="97">
        <v>7225</v>
      </c>
      <c r="W2629" s="97">
        <v>7225</v>
      </c>
      <c r="X2629" s="97">
        <v>7225</v>
      </c>
      <c r="Y2629" s="97">
        <v>7225</v>
      </c>
      <c r="Z2629" s="97">
        <v>7225</v>
      </c>
      <c r="AA2629" s="97">
        <v>7225</v>
      </c>
      <c r="AB2629" s="97">
        <v>7225</v>
      </c>
      <c r="AC2629" s="97">
        <v>7225</v>
      </c>
      <c r="AD2629" s="97">
        <v>7225</v>
      </c>
      <c r="AE2629" s="97">
        <v>7225</v>
      </c>
      <c r="AF2629" s="97">
        <v>7225</v>
      </c>
      <c r="AG2629" s="97">
        <v>7225</v>
      </c>
      <c r="AH2629" s="97">
        <v>7225</v>
      </c>
      <c r="AI2629" s="97">
        <v>7225</v>
      </c>
      <c r="AJ2629" s="97">
        <v>7225</v>
      </c>
      <c r="AK2629" s="97">
        <v>7225</v>
      </c>
      <c r="AL2629" s="97">
        <v>7225</v>
      </c>
      <c r="AM2629" s="97">
        <v>7225</v>
      </c>
      <c r="AN2629" s="97">
        <v>7225</v>
      </c>
      <c r="AO2629" s="97">
        <v>7225</v>
      </c>
      <c r="AP2629" s="97">
        <v>7225</v>
      </c>
      <c r="AQ2629" s="97">
        <v>7225</v>
      </c>
      <c r="AR2629" s="97">
        <v>7225</v>
      </c>
      <c r="AS2629" s="97">
        <v>7225</v>
      </c>
      <c r="AT2629" s="97">
        <v>7225</v>
      </c>
      <c r="AU2629" s="97">
        <v>7225</v>
      </c>
      <c r="AV2629" s="97">
        <v>7225</v>
      </c>
      <c r="AW2629" s="97">
        <v>7225</v>
      </c>
      <c r="AX2629" s="98">
        <v>7225</v>
      </c>
    </row>
    <row r="2630" spans="1:50" x14ac:dyDescent="0.25">
      <c r="A2630" s="356"/>
      <c r="B2630" s="359" t="s">
        <v>45</v>
      </c>
      <c r="C2630" s="350" t="s">
        <v>6</v>
      </c>
      <c r="D2630" s="2" t="s">
        <v>7</v>
      </c>
      <c r="E2630" s="160" t="str">
        <f>A2626&amp;"/"&amp;B2630&amp;"/"&amp;C2630&amp;"/"&amp;D2630</f>
        <v>Hydro plants/Reservoirs (dams)/Electricity only/L</v>
      </c>
      <c r="F2630" s="76" t="str">
        <f>A2626</f>
        <v>Hydro plants</v>
      </c>
      <c r="G2630" s="76" t="str">
        <f>B2630</f>
        <v>Reservoirs (dams)</v>
      </c>
      <c r="H2630" s="76" t="str">
        <f>C2630</f>
        <v>Electricity only</v>
      </c>
      <c r="I2630" s="161" t="str">
        <f t="shared" si="122"/>
        <v>L</v>
      </c>
      <c r="J2630" s="91">
        <v>6500</v>
      </c>
      <c r="K2630" s="91">
        <v>6500</v>
      </c>
      <c r="L2630" s="91">
        <v>6500</v>
      </c>
      <c r="M2630" s="91">
        <v>6500</v>
      </c>
      <c r="N2630" s="91">
        <v>6500</v>
      </c>
      <c r="O2630" s="91">
        <v>6500</v>
      </c>
      <c r="P2630" s="91">
        <v>6500</v>
      </c>
      <c r="Q2630" s="91">
        <v>6500</v>
      </c>
      <c r="R2630" s="91">
        <v>6500</v>
      </c>
      <c r="S2630" s="91">
        <v>6500</v>
      </c>
      <c r="T2630" s="91">
        <v>6500</v>
      </c>
      <c r="U2630" s="91">
        <v>6500</v>
      </c>
      <c r="V2630" s="91">
        <v>6500</v>
      </c>
      <c r="W2630" s="91">
        <v>6500</v>
      </c>
      <c r="X2630" s="91">
        <v>6500</v>
      </c>
      <c r="Y2630" s="91">
        <v>6500</v>
      </c>
      <c r="Z2630" s="91">
        <v>6500</v>
      </c>
      <c r="AA2630" s="91">
        <v>6500</v>
      </c>
      <c r="AB2630" s="91">
        <v>6500</v>
      </c>
      <c r="AC2630" s="91">
        <v>6500</v>
      </c>
      <c r="AD2630" s="91">
        <v>6500</v>
      </c>
      <c r="AE2630" s="91">
        <v>6500</v>
      </c>
      <c r="AF2630" s="91">
        <v>6500</v>
      </c>
      <c r="AG2630" s="91">
        <v>6500</v>
      </c>
      <c r="AH2630" s="91">
        <v>6500</v>
      </c>
      <c r="AI2630" s="91">
        <v>6500</v>
      </c>
      <c r="AJ2630" s="91">
        <v>6500</v>
      </c>
      <c r="AK2630" s="91">
        <v>6500</v>
      </c>
      <c r="AL2630" s="91">
        <v>6500</v>
      </c>
      <c r="AM2630" s="91">
        <v>6500</v>
      </c>
      <c r="AN2630" s="91">
        <v>6500</v>
      </c>
      <c r="AO2630" s="91">
        <v>6500</v>
      </c>
      <c r="AP2630" s="91">
        <v>6500</v>
      </c>
      <c r="AQ2630" s="91">
        <v>6500</v>
      </c>
      <c r="AR2630" s="91">
        <v>6500</v>
      </c>
      <c r="AS2630" s="91">
        <v>6500</v>
      </c>
      <c r="AT2630" s="91">
        <v>6500</v>
      </c>
      <c r="AU2630" s="91">
        <v>6500</v>
      </c>
      <c r="AV2630" s="91">
        <v>6500</v>
      </c>
      <c r="AW2630" s="91">
        <v>6500</v>
      </c>
      <c r="AX2630" s="92">
        <v>6500</v>
      </c>
    </row>
    <row r="2631" spans="1:50" x14ac:dyDescent="0.25">
      <c r="A2631" s="356"/>
      <c r="B2631" s="359"/>
      <c r="C2631" s="350"/>
      <c r="D2631" s="2" t="s">
        <v>8</v>
      </c>
      <c r="E2631" s="160" t="str">
        <f>A2626&amp;"/"&amp;B2630&amp;"/"&amp;C2630&amp;"/"&amp;D2631</f>
        <v>Hydro plants/Reservoirs (dams)/Electricity only/M</v>
      </c>
      <c r="F2631" s="76" t="str">
        <f>A2626</f>
        <v>Hydro plants</v>
      </c>
      <c r="G2631" s="76" t="str">
        <f>B2630</f>
        <v>Reservoirs (dams)</v>
      </c>
      <c r="H2631" s="76" t="str">
        <f>C2630</f>
        <v>Electricity only</v>
      </c>
      <c r="I2631" s="161" t="str">
        <f t="shared" si="122"/>
        <v>M</v>
      </c>
      <c r="J2631" s="91">
        <v>5850</v>
      </c>
      <c r="K2631" s="91">
        <v>5850</v>
      </c>
      <c r="L2631" s="91">
        <v>5850</v>
      </c>
      <c r="M2631" s="91">
        <v>5850</v>
      </c>
      <c r="N2631" s="91">
        <v>5850</v>
      </c>
      <c r="O2631" s="91">
        <v>5850</v>
      </c>
      <c r="P2631" s="91">
        <v>5850</v>
      </c>
      <c r="Q2631" s="91">
        <v>5850</v>
      </c>
      <c r="R2631" s="91">
        <v>5850</v>
      </c>
      <c r="S2631" s="91">
        <v>5850</v>
      </c>
      <c r="T2631" s="91">
        <v>5850</v>
      </c>
      <c r="U2631" s="91">
        <v>5850</v>
      </c>
      <c r="V2631" s="91">
        <v>5850</v>
      </c>
      <c r="W2631" s="91">
        <v>5850</v>
      </c>
      <c r="X2631" s="91">
        <v>5850</v>
      </c>
      <c r="Y2631" s="91">
        <v>5850</v>
      </c>
      <c r="Z2631" s="91">
        <v>5850</v>
      </c>
      <c r="AA2631" s="91">
        <v>5850</v>
      </c>
      <c r="AB2631" s="91">
        <v>5850</v>
      </c>
      <c r="AC2631" s="91">
        <v>5850</v>
      </c>
      <c r="AD2631" s="91">
        <v>5850</v>
      </c>
      <c r="AE2631" s="91">
        <v>5850</v>
      </c>
      <c r="AF2631" s="91">
        <v>5850</v>
      </c>
      <c r="AG2631" s="91">
        <v>5850</v>
      </c>
      <c r="AH2631" s="91">
        <v>5850</v>
      </c>
      <c r="AI2631" s="91">
        <v>5850</v>
      </c>
      <c r="AJ2631" s="91">
        <v>5850</v>
      </c>
      <c r="AK2631" s="91">
        <v>5850</v>
      </c>
      <c r="AL2631" s="91">
        <v>5850</v>
      </c>
      <c r="AM2631" s="91">
        <v>5850</v>
      </c>
      <c r="AN2631" s="91">
        <v>5850</v>
      </c>
      <c r="AO2631" s="91">
        <v>5850</v>
      </c>
      <c r="AP2631" s="91">
        <v>5850</v>
      </c>
      <c r="AQ2631" s="91">
        <v>5850</v>
      </c>
      <c r="AR2631" s="91">
        <v>5850</v>
      </c>
      <c r="AS2631" s="91">
        <v>5850</v>
      </c>
      <c r="AT2631" s="91">
        <v>5850</v>
      </c>
      <c r="AU2631" s="91">
        <v>5850</v>
      </c>
      <c r="AV2631" s="91">
        <v>5850</v>
      </c>
      <c r="AW2631" s="91">
        <v>5850</v>
      </c>
      <c r="AX2631" s="92">
        <v>5850</v>
      </c>
    </row>
    <row r="2632" spans="1:50" x14ac:dyDescent="0.25">
      <c r="A2632" s="356"/>
      <c r="B2632" s="359"/>
      <c r="C2632" s="350"/>
      <c r="D2632" s="2" t="s">
        <v>10</v>
      </c>
      <c r="E2632" s="160" t="str">
        <f>A2626&amp;"/"&amp;B2630&amp;"/"&amp;C2630&amp;"/"&amp;D2632</f>
        <v>Hydro plants/Reservoirs (dams)/Electricity only/S</v>
      </c>
      <c r="F2632" s="76" t="str">
        <f>A2626</f>
        <v>Hydro plants</v>
      </c>
      <c r="G2632" s="76" t="str">
        <f>B2630</f>
        <v>Reservoirs (dams)</v>
      </c>
      <c r="H2632" s="76" t="str">
        <f>C2630</f>
        <v>Electricity only</v>
      </c>
      <c r="I2632" s="161" t="str">
        <f t="shared" si="122"/>
        <v>S</v>
      </c>
      <c r="J2632" s="91">
        <v>5265</v>
      </c>
      <c r="K2632" s="91">
        <v>5265</v>
      </c>
      <c r="L2632" s="91">
        <v>5265</v>
      </c>
      <c r="M2632" s="91">
        <v>5265</v>
      </c>
      <c r="N2632" s="91">
        <v>5265</v>
      </c>
      <c r="O2632" s="91">
        <v>5265</v>
      </c>
      <c r="P2632" s="91">
        <v>5265</v>
      </c>
      <c r="Q2632" s="91">
        <v>5265</v>
      </c>
      <c r="R2632" s="91">
        <v>5265</v>
      </c>
      <c r="S2632" s="91">
        <v>5265</v>
      </c>
      <c r="T2632" s="91">
        <v>5265</v>
      </c>
      <c r="U2632" s="91">
        <v>5265</v>
      </c>
      <c r="V2632" s="91">
        <v>5265</v>
      </c>
      <c r="W2632" s="91">
        <v>5265</v>
      </c>
      <c r="X2632" s="91">
        <v>5265</v>
      </c>
      <c r="Y2632" s="91">
        <v>5265</v>
      </c>
      <c r="Z2632" s="91">
        <v>5265</v>
      </c>
      <c r="AA2632" s="91">
        <v>5265</v>
      </c>
      <c r="AB2632" s="91">
        <v>5265</v>
      </c>
      <c r="AC2632" s="91">
        <v>5265</v>
      </c>
      <c r="AD2632" s="91">
        <v>5265</v>
      </c>
      <c r="AE2632" s="91">
        <v>5265</v>
      </c>
      <c r="AF2632" s="91">
        <v>5265</v>
      </c>
      <c r="AG2632" s="91">
        <v>5265</v>
      </c>
      <c r="AH2632" s="91">
        <v>5265</v>
      </c>
      <c r="AI2632" s="91">
        <v>5265</v>
      </c>
      <c r="AJ2632" s="91">
        <v>5265</v>
      </c>
      <c r="AK2632" s="91">
        <v>5265</v>
      </c>
      <c r="AL2632" s="91">
        <v>5265</v>
      </c>
      <c r="AM2632" s="91">
        <v>5265</v>
      </c>
      <c r="AN2632" s="91">
        <v>5265</v>
      </c>
      <c r="AO2632" s="91">
        <v>5265</v>
      </c>
      <c r="AP2632" s="91">
        <v>5265</v>
      </c>
      <c r="AQ2632" s="91">
        <v>5265</v>
      </c>
      <c r="AR2632" s="91">
        <v>5265</v>
      </c>
      <c r="AS2632" s="91">
        <v>5265</v>
      </c>
      <c r="AT2632" s="91">
        <v>5265</v>
      </c>
      <c r="AU2632" s="91">
        <v>5265</v>
      </c>
      <c r="AV2632" s="91">
        <v>5265</v>
      </c>
      <c r="AW2632" s="91">
        <v>5265</v>
      </c>
      <c r="AX2632" s="92">
        <v>5265</v>
      </c>
    </row>
    <row r="2633" spans="1:50" x14ac:dyDescent="0.25">
      <c r="A2633" s="357"/>
      <c r="B2633" s="362"/>
      <c r="C2633" s="354"/>
      <c r="D2633" s="4" t="s">
        <v>20</v>
      </c>
      <c r="E2633" s="168" t="str">
        <f>A2626&amp;"/"&amp;B2630&amp;"/"&amp;C2630&amp;"/"&amp;D2633</f>
        <v>Hydro plants/Reservoirs (dams)/Electricity only/XS</v>
      </c>
      <c r="F2633" s="80" t="str">
        <f>A2626</f>
        <v>Hydro plants</v>
      </c>
      <c r="G2633" s="80" t="str">
        <f>B2630</f>
        <v>Reservoirs (dams)</v>
      </c>
      <c r="H2633" s="80" t="str">
        <f>C2630</f>
        <v>Electricity only</v>
      </c>
      <c r="I2633" s="169" t="str">
        <f t="shared" si="122"/>
        <v>XS</v>
      </c>
      <c r="J2633" s="99">
        <v>4738.5</v>
      </c>
      <c r="K2633" s="99">
        <v>4738.5</v>
      </c>
      <c r="L2633" s="99">
        <v>4738.5</v>
      </c>
      <c r="M2633" s="99">
        <v>4738.5</v>
      </c>
      <c r="N2633" s="99">
        <v>4738.5</v>
      </c>
      <c r="O2633" s="99">
        <v>4738.5</v>
      </c>
      <c r="P2633" s="99">
        <v>4738.5</v>
      </c>
      <c r="Q2633" s="99">
        <v>4738.5</v>
      </c>
      <c r="R2633" s="99">
        <v>4738.5</v>
      </c>
      <c r="S2633" s="99">
        <v>4738.5</v>
      </c>
      <c r="T2633" s="99">
        <v>4738.5</v>
      </c>
      <c r="U2633" s="99">
        <v>4738.5</v>
      </c>
      <c r="V2633" s="99">
        <v>4738.5</v>
      </c>
      <c r="W2633" s="99">
        <v>4738.5</v>
      </c>
      <c r="X2633" s="99">
        <v>4738.5</v>
      </c>
      <c r="Y2633" s="99">
        <v>4738.5</v>
      </c>
      <c r="Z2633" s="99">
        <v>4738.5</v>
      </c>
      <c r="AA2633" s="99">
        <v>4738.5</v>
      </c>
      <c r="AB2633" s="99">
        <v>4738.5</v>
      </c>
      <c r="AC2633" s="99">
        <v>4738.5</v>
      </c>
      <c r="AD2633" s="99">
        <v>4738.5</v>
      </c>
      <c r="AE2633" s="99">
        <v>4738.5</v>
      </c>
      <c r="AF2633" s="99">
        <v>4738.5</v>
      </c>
      <c r="AG2633" s="99">
        <v>4738.5</v>
      </c>
      <c r="AH2633" s="99">
        <v>4738.5</v>
      </c>
      <c r="AI2633" s="99">
        <v>4738.5</v>
      </c>
      <c r="AJ2633" s="99">
        <v>4738.5</v>
      </c>
      <c r="AK2633" s="99">
        <v>4738.5</v>
      </c>
      <c r="AL2633" s="99">
        <v>4738.5</v>
      </c>
      <c r="AM2633" s="99">
        <v>4738.5</v>
      </c>
      <c r="AN2633" s="99">
        <v>4738.5</v>
      </c>
      <c r="AO2633" s="99">
        <v>4738.5</v>
      </c>
      <c r="AP2633" s="99">
        <v>4738.5</v>
      </c>
      <c r="AQ2633" s="99">
        <v>4738.5</v>
      </c>
      <c r="AR2633" s="99">
        <v>4738.5</v>
      </c>
      <c r="AS2633" s="99">
        <v>4738.5</v>
      </c>
      <c r="AT2633" s="99">
        <v>4738.5</v>
      </c>
      <c r="AU2633" s="99">
        <v>4738.5</v>
      </c>
      <c r="AV2633" s="99">
        <v>4738.5</v>
      </c>
      <c r="AW2633" s="99">
        <v>4738.5</v>
      </c>
      <c r="AX2633" s="100">
        <v>4738.5</v>
      </c>
    </row>
    <row r="2634" spans="1:50" x14ac:dyDescent="0.25">
      <c r="A2634" s="356" t="s">
        <v>46</v>
      </c>
      <c r="B2634" s="359" t="s">
        <v>46</v>
      </c>
      <c r="C2634" s="353" t="s">
        <v>6</v>
      </c>
      <c r="D2634" s="2" t="s">
        <v>7</v>
      </c>
      <c r="E2634" s="160" t="str">
        <f>A2634&amp;"/"&amp;B2634&amp;"/"&amp;C2634&amp;"/"&amp;D2634</f>
        <v>Pump storage/Pump storage/Electricity only/L</v>
      </c>
      <c r="F2634" s="76" t="str">
        <f>A2634</f>
        <v>Pump storage</v>
      </c>
      <c r="G2634" s="76" t="str">
        <f>B2634</f>
        <v>Pump storage</v>
      </c>
      <c r="H2634" s="76" t="str">
        <f>C2634</f>
        <v>Electricity only</v>
      </c>
      <c r="I2634" s="161" t="str">
        <f t="shared" si="122"/>
        <v>L</v>
      </c>
      <c r="J2634" s="91">
        <v>5000</v>
      </c>
      <c r="K2634" s="91">
        <v>5000</v>
      </c>
      <c r="L2634" s="91">
        <v>5000</v>
      </c>
      <c r="M2634" s="91">
        <v>5000</v>
      </c>
      <c r="N2634" s="91">
        <v>5000</v>
      </c>
      <c r="O2634" s="91">
        <v>5000</v>
      </c>
      <c r="P2634" s="91">
        <v>5000</v>
      </c>
      <c r="Q2634" s="91">
        <v>5000</v>
      </c>
      <c r="R2634" s="91">
        <v>5000</v>
      </c>
      <c r="S2634" s="91">
        <v>5000</v>
      </c>
      <c r="T2634" s="91">
        <v>5000</v>
      </c>
      <c r="U2634" s="91">
        <v>5000</v>
      </c>
      <c r="V2634" s="91">
        <v>5000</v>
      </c>
      <c r="W2634" s="91">
        <v>5000</v>
      </c>
      <c r="X2634" s="91">
        <v>5000</v>
      </c>
      <c r="Y2634" s="91">
        <v>5000</v>
      </c>
      <c r="Z2634" s="91">
        <v>5000</v>
      </c>
      <c r="AA2634" s="91">
        <v>5000</v>
      </c>
      <c r="AB2634" s="91">
        <v>5000</v>
      </c>
      <c r="AC2634" s="91">
        <v>5000</v>
      </c>
      <c r="AD2634" s="91">
        <v>5000</v>
      </c>
      <c r="AE2634" s="91">
        <v>5000</v>
      </c>
      <c r="AF2634" s="91">
        <v>5000</v>
      </c>
      <c r="AG2634" s="91">
        <v>5000</v>
      </c>
      <c r="AH2634" s="91">
        <v>5000</v>
      </c>
      <c r="AI2634" s="91">
        <v>5000</v>
      </c>
      <c r="AJ2634" s="91">
        <v>5000</v>
      </c>
      <c r="AK2634" s="91">
        <v>5000</v>
      </c>
      <c r="AL2634" s="91">
        <v>5000</v>
      </c>
      <c r="AM2634" s="91">
        <v>5000</v>
      </c>
      <c r="AN2634" s="91">
        <v>5000</v>
      </c>
      <c r="AO2634" s="91">
        <v>5000</v>
      </c>
      <c r="AP2634" s="91">
        <v>5000</v>
      </c>
      <c r="AQ2634" s="91">
        <v>5000</v>
      </c>
      <c r="AR2634" s="91">
        <v>5000</v>
      </c>
      <c r="AS2634" s="91">
        <v>5000</v>
      </c>
      <c r="AT2634" s="91">
        <v>5000</v>
      </c>
      <c r="AU2634" s="91">
        <v>5000</v>
      </c>
      <c r="AV2634" s="91">
        <v>5000</v>
      </c>
      <c r="AW2634" s="91">
        <v>5000</v>
      </c>
      <c r="AX2634" s="92">
        <v>5000</v>
      </c>
    </row>
    <row r="2635" spans="1:50" x14ac:dyDescent="0.25">
      <c r="A2635" s="356"/>
      <c r="B2635" s="359"/>
      <c r="C2635" s="350"/>
      <c r="D2635" s="2" t="s">
        <v>8</v>
      </c>
      <c r="E2635" s="160" t="str">
        <f>A2634&amp;"/"&amp;B2634&amp;"/"&amp;C2634&amp;"/"&amp;D2635</f>
        <v>Pump storage/Pump storage/Electricity only/M</v>
      </c>
      <c r="F2635" s="76" t="str">
        <f>A2634</f>
        <v>Pump storage</v>
      </c>
      <c r="G2635" s="76" t="str">
        <f>B2634</f>
        <v>Pump storage</v>
      </c>
      <c r="H2635" s="76" t="str">
        <f>C2634</f>
        <v>Electricity only</v>
      </c>
      <c r="I2635" s="161" t="str">
        <f t="shared" si="122"/>
        <v>M</v>
      </c>
      <c r="J2635" s="91">
        <v>4750</v>
      </c>
      <c r="K2635" s="91">
        <v>4750</v>
      </c>
      <c r="L2635" s="91">
        <v>4750</v>
      </c>
      <c r="M2635" s="91">
        <v>4750</v>
      </c>
      <c r="N2635" s="91">
        <v>4750</v>
      </c>
      <c r="O2635" s="91">
        <v>4750</v>
      </c>
      <c r="P2635" s="91">
        <v>4750</v>
      </c>
      <c r="Q2635" s="91">
        <v>4750</v>
      </c>
      <c r="R2635" s="91">
        <v>4750</v>
      </c>
      <c r="S2635" s="91">
        <v>4750</v>
      </c>
      <c r="T2635" s="91">
        <v>4750</v>
      </c>
      <c r="U2635" s="91">
        <v>4750</v>
      </c>
      <c r="V2635" s="91">
        <v>4750</v>
      </c>
      <c r="W2635" s="91">
        <v>4750</v>
      </c>
      <c r="X2635" s="91">
        <v>4750</v>
      </c>
      <c r="Y2635" s="91">
        <v>4750</v>
      </c>
      <c r="Z2635" s="91">
        <v>4750</v>
      </c>
      <c r="AA2635" s="91">
        <v>4750</v>
      </c>
      <c r="AB2635" s="91">
        <v>4750</v>
      </c>
      <c r="AC2635" s="91">
        <v>4750</v>
      </c>
      <c r="AD2635" s="91">
        <v>4750</v>
      </c>
      <c r="AE2635" s="91">
        <v>4750</v>
      </c>
      <c r="AF2635" s="91">
        <v>4750</v>
      </c>
      <c r="AG2635" s="91">
        <v>4750</v>
      </c>
      <c r="AH2635" s="91">
        <v>4750</v>
      </c>
      <c r="AI2635" s="91">
        <v>4750</v>
      </c>
      <c r="AJ2635" s="91">
        <v>4750</v>
      </c>
      <c r="AK2635" s="91">
        <v>4750</v>
      </c>
      <c r="AL2635" s="91">
        <v>4750</v>
      </c>
      <c r="AM2635" s="91">
        <v>4750</v>
      </c>
      <c r="AN2635" s="91">
        <v>4750</v>
      </c>
      <c r="AO2635" s="91">
        <v>4750</v>
      </c>
      <c r="AP2635" s="91">
        <v>4750</v>
      </c>
      <c r="AQ2635" s="91">
        <v>4750</v>
      </c>
      <c r="AR2635" s="91">
        <v>4750</v>
      </c>
      <c r="AS2635" s="91">
        <v>4750</v>
      </c>
      <c r="AT2635" s="91">
        <v>4750</v>
      </c>
      <c r="AU2635" s="91">
        <v>4750</v>
      </c>
      <c r="AV2635" s="91">
        <v>4750</v>
      </c>
      <c r="AW2635" s="91">
        <v>4750</v>
      </c>
      <c r="AX2635" s="92">
        <v>4750</v>
      </c>
    </row>
    <row r="2636" spans="1:50" x14ac:dyDescent="0.25">
      <c r="A2636" s="356"/>
      <c r="B2636" s="359"/>
      <c r="C2636" s="350"/>
      <c r="D2636" s="2" t="s">
        <v>10</v>
      </c>
      <c r="E2636" s="160" t="str">
        <f>A2634&amp;"/"&amp;B2634&amp;"/"&amp;C2634&amp;"/"&amp;D2636</f>
        <v>Pump storage/Pump storage/Electricity only/S</v>
      </c>
      <c r="F2636" s="76" t="str">
        <f>A2634</f>
        <v>Pump storage</v>
      </c>
      <c r="G2636" s="76" t="str">
        <f>B2634</f>
        <v>Pump storage</v>
      </c>
      <c r="H2636" s="76" t="str">
        <f>C2634</f>
        <v>Electricity only</v>
      </c>
      <c r="I2636" s="161" t="str">
        <f t="shared" si="122"/>
        <v>S</v>
      </c>
      <c r="J2636" s="91">
        <v>4275</v>
      </c>
      <c r="K2636" s="91">
        <v>4275</v>
      </c>
      <c r="L2636" s="91">
        <v>4275</v>
      </c>
      <c r="M2636" s="91">
        <v>4275</v>
      </c>
      <c r="N2636" s="91">
        <v>4275</v>
      </c>
      <c r="O2636" s="91">
        <v>4275</v>
      </c>
      <c r="P2636" s="91">
        <v>4275</v>
      </c>
      <c r="Q2636" s="91">
        <v>4275</v>
      </c>
      <c r="R2636" s="91">
        <v>4275</v>
      </c>
      <c r="S2636" s="91">
        <v>4275</v>
      </c>
      <c r="T2636" s="91">
        <v>4275</v>
      </c>
      <c r="U2636" s="91">
        <v>4275</v>
      </c>
      <c r="V2636" s="91">
        <v>4275</v>
      </c>
      <c r="W2636" s="91">
        <v>4275</v>
      </c>
      <c r="X2636" s="91">
        <v>4275</v>
      </c>
      <c r="Y2636" s="91">
        <v>4275</v>
      </c>
      <c r="Z2636" s="91">
        <v>4275</v>
      </c>
      <c r="AA2636" s="91">
        <v>4275</v>
      </c>
      <c r="AB2636" s="91">
        <v>4275</v>
      </c>
      <c r="AC2636" s="91">
        <v>4275</v>
      </c>
      <c r="AD2636" s="91">
        <v>4275</v>
      </c>
      <c r="AE2636" s="91">
        <v>4275</v>
      </c>
      <c r="AF2636" s="91">
        <v>4275</v>
      </c>
      <c r="AG2636" s="91">
        <v>4275</v>
      </c>
      <c r="AH2636" s="91">
        <v>4275</v>
      </c>
      <c r="AI2636" s="91">
        <v>4275</v>
      </c>
      <c r="AJ2636" s="91">
        <v>4275</v>
      </c>
      <c r="AK2636" s="91">
        <v>4275</v>
      </c>
      <c r="AL2636" s="91">
        <v>4275</v>
      </c>
      <c r="AM2636" s="91">
        <v>4275</v>
      </c>
      <c r="AN2636" s="91">
        <v>4275</v>
      </c>
      <c r="AO2636" s="91">
        <v>4275</v>
      </c>
      <c r="AP2636" s="91">
        <v>4275</v>
      </c>
      <c r="AQ2636" s="91">
        <v>4275</v>
      </c>
      <c r="AR2636" s="91">
        <v>4275</v>
      </c>
      <c r="AS2636" s="91">
        <v>4275</v>
      </c>
      <c r="AT2636" s="91">
        <v>4275</v>
      </c>
      <c r="AU2636" s="91">
        <v>4275</v>
      </c>
      <c r="AV2636" s="91">
        <v>4275</v>
      </c>
      <c r="AW2636" s="91">
        <v>4275</v>
      </c>
      <c r="AX2636" s="92">
        <v>4275</v>
      </c>
    </row>
    <row r="2637" spans="1:50" ht="11" thickBot="1" x14ac:dyDescent="0.3">
      <c r="A2637" s="372"/>
      <c r="B2637" s="373"/>
      <c r="C2637" s="374"/>
      <c r="D2637" s="158" t="s">
        <v>20</v>
      </c>
      <c r="E2637" s="172" t="str">
        <f>A2634&amp;"/"&amp;B2634&amp;"/"&amp;C2634&amp;"/"&amp;D2637</f>
        <v>Pump storage/Pump storage/Electricity only/XS</v>
      </c>
      <c r="F2637" s="82" t="str">
        <f>A2634</f>
        <v>Pump storage</v>
      </c>
      <c r="G2637" s="82" t="str">
        <f>B2634</f>
        <v>Pump storage</v>
      </c>
      <c r="H2637" s="82" t="str">
        <f>C2634</f>
        <v>Electricity only</v>
      </c>
      <c r="I2637" s="173" t="str">
        <f t="shared" si="122"/>
        <v>XS</v>
      </c>
      <c r="J2637" s="103">
        <v>3420</v>
      </c>
      <c r="K2637" s="103">
        <v>3420</v>
      </c>
      <c r="L2637" s="103">
        <v>3420</v>
      </c>
      <c r="M2637" s="103">
        <v>3420</v>
      </c>
      <c r="N2637" s="103">
        <v>3420</v>
      </c>
      <c r="O2637" s="103">
        <v>3420</v>
      </c>
      <c r="P2637" s="103">
        <v>3420</v>
      </c>
      <c r="Q2637" s="103">
        <v>3420</v>
      </c>
      <c r="R2637" s="103">
        <v>3420</v>
      </c>
      <c r="S2637" s="103">
        <v>3420</v>
      </c>
      <c r="T2637" s="103">
        <v>3420</v>
      </c>
      <c r="U2637" s="103">
        <v>3420</v>
      </c>
      <c r="V2637" s="103">
        <v>3420</v>
      </c>
      <c r="W2637" s="103">
        <v>3420</v>
      </c>
      <c r="X2637" s="103">
        <v>3420</v>
      </c>
      <c r="Y2637" s="103">
        <v>3420</v>
      </c>
      <c r="Z2637" s="103">
        <v>3420</v>
      </c>
      <c r="AA2637" s="103">
        <v>3420</v>
      </c>
      <c r="AB2637" s="103">
        <v>3420</v>
      </c>
      <c r="AC2637" s="103">
        <v>3420</v>
      </c>
      <c r="AD2637" s="103">
        <v>3420</v>
      </c>
      <c r="AE2637" s="103">
        <v>3420</v>
      </c>
      <c r="AF2637" s="103">
        <v>3420</v>
      </c>
      <c r="AG2637" s="103">
        <v>3420</v>
      </c>
      <c r="AH2637" s="103">
        <v>3420</v>
      </c>
      <c r="AI2637" s="103">
        <v>3420</v>
      </c>
      <c r="AJ2637" s="103">
        <v>3420</v>
      </c>
      <c r="AK2637" s="103">
        <v>3420</v>
      </c>
      <c r="AL2637" s="103">
        <v>3420</v>
      </c>
      <c r="AM2637" s="103">
        <v>3420</v>
      </c>
      <c r="AN2637" s="103">
        <v>3420</v>
      </c>
      <c r="AO2637" s="103">
        <v>3420</v>
      </c>
      <c r="AP2637" s="103">
        <v>3420</v>
      </c>
      <c r="AQ2637" s="103">
        <v>3420</v>
      </c>
      <c r="AR2637" s="103">
        <v>3420</v>
      </c>
      <c r="AS2637" s="103">
        <v>3420</v>
      </c>
      <c r="AT2637" s="103">
        <v>3420</v>
      </c>
      <c r="AU2637" s="103">
        <v>3420</v>
      </c>
      <c r="AV2637" s="103">
        <v>3420</v>
      </c>
      <c r="AW2637" s="103">
        <v>3420</v>
      </c>
      <c r="AX2637" s="104">
        <v>3420</v>
      </c>
    </row>
  </sheetData>
  <mergeCells count="1449">
    <mergeCell ref="A944:A945"/>
    <mergeCell ref="A946:A953"/>
    <mergeCell ref="B946:B949"/>
    <mergeCell ref="C946:C949"/>
    <mergeCell ref="B950:B953"/>
    <mergeCell ref="C950:C953"/>
    <mergeCell ref="A954:A957"/>
    <mergeCell ref="B954:B957"/>
    <mergeCell ref="C954:C957"/>
    <mergeCell ref="A919:A924"/>
    <mergeCell ref="B919:B921"/>
    <mergeCell ref="C919:C921"/>
    <mergeCell ref="B922:B924"/>
    <mergeCell ref="C922:C924"/>
    <mergeCell ref="A925:A932"/>
    <mergeCell ref="B925:B928"/>
    <mergeCell ref="C925:C928"/>
    <mergeCell ref="B929:B932"/>
    <mergeCell ref="C929:C932"/>
    <mergeCell ref="A933:A936"/>
    <mergeCell ref="B933:B936"/>
    <mergeCell ref="C933:C936"/>
    <mergeCell ref="A937:A940"/>
    <mergeCell ref="B937:B940"/>
    <mergeCell ref="C937:C940"/>
    <mergeCell ref="A941:A943"/>
    <mergeCell ref="B941:B943"/>
    <mergeCell ref="C941:C943"/>
    <mergeCell ref="A859:A886"/>
    <mergeCell ref="B859:B866"/>
    <mergeCell ref="C859:C860"/>
    <mergeCell ref="C861:C862"/>
    <mergeCell ref="C863:C864"/>
    <mergeCell ref="C865:C866"/>
    <mergeCell ref="B867:B874"/>
    <mergeCell ref="C867:C868"/>
    <mergeCell ref="C869:C870"/>
    <mergeCell ref="C871:C872"/>
    <mergeCell ref="C873:C874"/>
    <mergeCell ref="B875:B886"/>
    <mergeCell ref="C875:C878"/>
    <mergeCell ref="C879:C882"/>
    <mergeCell ref="C883:C884"/>
    <mergeCell ref="C885:C886"/>
    <mergeCell ref="A887:A918"/>
    <mergeCell ref="B887:B894"/>
    <mergeCell ref="C887:C888"/>
    <mergeCell ref="C889:C890"/>
    <mergeCell ref="C891:C892"/>
    <mergeCell ref="C893:C894"/>
    <mergeCell ref="B895:B906"/>
    <mergeCell ref="C895:C898"/>
    <mergeCell ref="C899:C902"/>
    <mergeCell ref="C903:C904"/>
    <mergeCell ref="C905:C906"/>
    <mergeCell ref="B907:B918"/>
    <mergeCell ref="C907:C910"/>
    <mergeCell ref="C911:C914"/>
    <mergeCell ref="C915:C916"/>
    <mergeCell ref="C917:C918"/>
    <mergeCell ref="A803:A814"/>
    <mergeCell ref="B803:B814"/>
    <mergeCell ref="C803:C806"/>
    <mergeCell ref="C807:C810"/>
    <mergeCell ref="C811:C812"/>
    <mergeCell ref="C813:C814"/>
    <mergeCell ref="A815:A824"/>
    <mergeCell ref="B815:B824"/>
    <mergeCell ref="C815:C817"/>
    <mergeCell ref="C818:C820"/>
    <mergeCell ref="C821:C822"/>
    <mergeCell ref="C823:C824"/>
    <mergeCell ref="A825:A858"/>
    <mergeCell ref="B825:B832"/>
    <mergeCell ref="C825:C826"/>
    <mergeCell ref="C827:C828"/>
    <mergeCell ref="C829:C830"/>
    <mergeCell ref="C831:C832"/>
    <mergeCell ref="B833:B844"/>
    <mergeCell ref="C833:C836"/>
    <mergeCell ref="C837:C840"/>
    <mergeCell ref="C841:C842"/>
    <mergeCell ref="C843:C844"/>
    <mergeCell ref="B845:B854"/>
    <mergeCell ref="C845:C847"/>
    <mergeCell ref="C848:C850"/>
    <mergeCell ref="C851:C852"/>
    <mergeCell ref="C853:C854"/>
    <mergeCell ref="B855:B858"/>
    <mergeCell ref="C855:C856"/>
    <mergeCell ref="C857:C858"/>
    <mergeCell ref="A769:A802"/>
    <mergeCell ref="B769:B780"/>
    <mergeCell ref="C769:C772"/>
    <mergeCell ref="C773:C776"/>
    <mergeCell ref="C777:C778"/>
    <mergeCell ref="C779:C780"/>
    <mergeCell ref="B781:B786"/>
    <mergeCell ref="C781:C783"/>
    <mergeCell ref="C784:C786"/>
    <mergeCell ref="B787:B798"/>
    <mergeCell ref="C787:C790"/>
    <mergeCell ref="C791:C794"/>
    <mergeCell ref="C795:C796"/>
    <mergeCell ref="C797:C798"/>
    <mergeCell ref="B799:B802"/>
    <mergeCell ref="C799:C800"/>
    <mergeCell ref="C801:C802"/>
    <mergeCell ref="A731:A768"/>
    <mergeCell ref="B731:B738"/>
    <mergeCell ref="C731:C732"/>
    <mergeCell ref="C733:C734"/>
    <mergeCell ref="C735:C736"/>
    <mergeCell ref="C737:C738"/>
    <mergeCell ref="B739:B746"/>
    <mergeCell ref="C739:C740"/>
    <mergeCell ref="C741:C742"/>
    <mergeCell ref="C743:C744"/>
    <mergeCell ref="C745:C746"/>
    <mergeCell ref="B747:B756"/>
    <mergeCell ref="C747:C749"/>
    <mergeCell ref="C750:C752"/>
    <mergeCell ref="C753:C754"/>
    <mergeCell ref="C755:C756"/>
    <mergeCell ref="B757:B768"/>
    <mergeCell ref="C757:C760"/>
    <mergeCell ref="C761:C764"/>
    <mergeCell ref="C765:C766"/>
    <mergeCell ref="C767:C768"/>
    <mergeCell ref="A684:A685"/>
    <mergeCell ref="B684:B685"/>
    <mergeCell ref="C684:C685"/>
    <mergeCell ref="D684:D685"/>
    <mergeCell ref="A686:A692"/>
    <mergeCell ref="B686:B687"/>
    <mergeCell ref="C686:C687"/>
    <mergeCell ref="B688:B690"/>
    <mergeCell ref="C688:C690"/>
    <mergeCell ref="B691:B692"/>
    <mergeCell ref="C691:C692"/>
    <mergeCell ref="A693:A730"/>
    <mergeCell ref="B693:B700"/>
    <mergeCell ref="C693:C694"/>
    <mergeCell ref="C695:C696"/>
    <mergeCell ref="C697:C698"/>
    <mergeCell ref="C699:C700"/>
    <mergeCell ref="B701:B708"/>
    <mergeCell ref="C701:C702"/>
    <mergeCell ref="C703:C704"/>
    <mergeCell ref="C705:C706"/>
    <mergeCell ref="C707:C708"/>
    <mergeCell ref="B709:B718"/>
    <mergeCell ref="C709:C711"/>
    <mergeCell ref="C712:C714"/>
    <mergeCell ref="C715:C716"/>
    <mergeCell ref="C717:C718"/>
    <mergeCell ref="B719:B730"/>
    <mergeCell ref="C719:C722"/>
    <mergeCell ref="C723:C726"/>
    <mergeCell ref="C727:C728"/>
    <mergeCell ref="C729:C730"/>
    <mergeCell ref="A664:A665"/>
    <mergeCell ref="A666:A673"/>
    <mergeCell ref="B666:B669"/>
    <mergeCell ref="C666:C669"/>
    <mergeCell ref="B670:B673"/>
    <mergeCell ref="C670:C673"/>
    <mergeCell ref="A674:A677"/>
    <mergeCell ref="B674:B677"/>
    <mergeCell ref="C674:C677"/>
    <mergeCell ref="A639:A644"/>
    <mergeCell ref="B639:B641"/>
    <mergeCell ref="C639:C641"/>
    <mergeCell ref="B642:B644"/>
    <mergeCell ref="C642:C644"/>
    <mergeCell ref="A645:A652"/>
    <mergeCell ref="B645:B648"/>
    <mergeCell ref="C645:C648"/>
    <mergeCell ref="B649:B652"/>
    <mergeCell ref="C649:C652"/>
    <mergeCell ref="A653:A656"/>
    <mergeCell ref="B653:B656"/>
    <mergeCell ref="C653:C656"/>
    <mergeCell ref="A657:A660"/>
    <mergeCell ref="B657:B660"/>
    <mergeCell ref="C657:C660"/>
    <mergeCell ref="A661:A663"/>
    <mergeCell ref="B661:B663"/>
    <mergeCell ref="C661:C663"/>
    <mergeCell ref="A579:A606"/>
    <mergeCell ref="B579:B586"/>
    <mergeCell ref="C579:C580"/>
    <mergeCell ref="C581:C582"/>
    <mergeCell ref="C583:C584"/>
    <mergeCell ref="C585:C586"/>
    <mergeCell ref="B587:B594"/>
    <mergeCell ref="C587:C588"/>
    <mergeCell ref="C589:C590"/>
    <mergeCell ref="C591:C592"/>
    <mergeCell ref="C593:C594"/>
    <mergeCell ref="B595:B606"/>
    <mergeCell ref="C595:C598"/>
    <mergeCell ref="C599:C602"/>
    <mergeCell ref="C603:C604"/>
    <mergeCell ref="C605:C606"/>
    <mergeCell ref="A607:A638"/>
    <mergeCell ref="B607:B614"/>
    <mergeCell ref="C607:C608"/>
    <mergeCell ref="C609:C610"/>
    <mergeCell ref="C611:C612"/>
    <mergeCell ref="C613:C614"/>
    <mergeCell ref="B615:B626"/>
    <mergeCell ref="C615:C618"/>
    <mergeCell ref="C619:C622"/>
    <mergeCell ref="C623:C624"/>
    <mergeCell ref="C625:C626"/>
    <mergeCell ref="B627:B638"/>
    <mergeCell ref="C627:C630"/>
    <mergeCell ref="C631:C634"/>
    <mergeCell ref="C635:C636"/>
    <mergeCell ref="C637:C638"/>
    <mergeCell ref="A523:A534"/>
    <mergeCell ref="B523:B534"/>
    <mergeCell ref="C523:C526"/>
    <mergeCell ref="C527:C530"/>
    <mergeCell ref="C531:C532"/>
    <mergeCell ref="C533:C534"/>
    <mergeCell ref="A535:A544"/>
    <mergeCell ref="B535:B544"/>
    <mergeCell ref="C535:C537"/>
    <mergeCell ref="C538:C540"/>
    <mergeCell ref="C541:C542"/>
    <mergeCell ref="C543:C544"/>
    <mergeCell ref="A545:A578"/>
    <mergeCell ref="B545:B552"/>
    <mergeCell ref="C545:C546"/>
    <mergeCell ref="C547:C548"/>
    <mergeCell ref="C549:C550"/>
    <mergeCell ref="C551:C552"/>
    <mergeCell ref="B553:B564"/>
    <mergeCell ref="C553:C556"/>
    <mergeCell ref="C557:C560"/>
    <mergeCell ref="C561:C562"/>
    <mergeCell ref="C563:C564"/>
    <mergeCell ref="B565:B574"/>
    <mergeCell ref="C565:C567"/>
    <mergeCell ref="C568:C570"/>
    <mergeCell ref="C571:C572"/>
    <mergeCell ref="C573:C574"/>
    <mergeCell ref="B575:B578"/>
    <mergeCell ref="C575:C576"/>
    <mergeCell ref="C577:C578"/>
    <mergeCell ref="A489:A522"/>
    <mergeCell ref="B489:B500"/>
    <mergeCell ref="C489:C492"/>
    <mergeCell ref="C493:C496"/>
    <mergeCell ref="C497:C498"/>
    <mergeCell ref="C499:C500"/>
    <mergeCell ref="B501:B506"/>
    <mergeCell ref="C501:C503"/>
    <mergeCell ref="C504:C506"/>
    <mergeCell ref="B507:B518"/>
    <mergeCell ref="C507:C510"/>
    <mergeCell ref="C511:C514"/>
    <mergeCell ref="C515:C516"/>
    <mergeCell ref="C517:C518"/>
    <mergeCell ref="B519:B522"/>
    <mergeCell ref="C519:C520"/>
    <mergeCell ref="C521:C522"/>
    <mergeCell ref="A451:A488"/>
    <mergeCell ref="B451:B458"/>
    <mergeCell ref="C451:C452"/>
    <mergeCell ref="C453:C454"/>
    <mergeCell ref="C455:C456"/>
    <mergeCell ref="C457:C458"/>
    <mergeCell ref="B459:B466"/>
    <mergeCell ref="C459:C460"/>
    <mergeCell ref="C461:C462"/>
    <mergeCell ref="C463:C464"/>
    <mergeCell ref="C465:C466"/>
    <mergeCell ref="B467:B476"/>
    <mergeCell ref="C467:C469"/>
    <mergeCell ref="C470:C472"/>
    <mergeCell ref="C473:C474"/>
    <mergeCell ref="C475:C476"/>
    <mergeCell ref="B477:B488"/>
    <mergeCell ref="C477:C480"/>
    <mergeCell ref="C481:C484"/>
    <mergeCell ref="C485:C486"/>
    <mergeCell ref="C487:C488"/>
    <mergeCell ref="B411:B412"/>
    <mergeCell ref="C411:C412"/>
    <mergeCell ref="A413:A450"/>
    <mergeCell ref="B413:B420"/>
    <mergeCell ref="C413:C414"/>
    <mergeCell ref="C415:C416"/>
    <mergeCell ref="C417:C418"/>
    <mergeCell ref="C419:C420"/>
    <mergeCell ref="B421:B428"/>
    <mergeCell ref="C421:C422"/>
    <mergeCell ref="C423:C424"/>
    <mergeCell ref="C425:C426"/>
    <mergeCell ref="C427:C428"/>
    <mergeCell ref="B429:B438"/>
    <mergeCell ref="C429:C431"/>
    <mergeCell ref="C432:C434"/>
    <mergeCell ref="C435:C436"/>
    <mergeCell ref="C437:C438"/>
    <mergeCell ref="B439:B450"/>
    <mergeCell ref="C439:C442"/>
    <mergeCell ref="C443:C446"/>
    <mergeCell ref="C447:C448"/>
    <mergeCell ref="C449:C450"/>
    <mergeCell ref="A2634:A2637"/>
    <mergeCell ref="B2634:B2637"/>
    <mergeCell ref="C2634:C2637"/>
    <mergeCell ref="A2621:A2623"/>
    <mergeCell ref="B2621:B2623"/>
    <mergeCell ref="C2621:C2623"/>
    <mergeCell ref="A2624:A2625"/>
    <mergeCell ref="A2626:A2633"/>
    <mergeCell ref="B2626:B2629"/>
    <mergeCell ref="C2626:C2629"/>
    <mergeCell ref="B2630:B2633"/>
    <mergeCell ref="C2630:C2633"/>
    <mergeCell ref="A2613:A2616"/>
    <mergeCell ref="B2613:B2616"/>
    <mergeCell ref="C2613:C2616"/>
    <mergeCell ref="A2617:A2620"/>
    <mergeCell ref="B2617:B2620"/>
    <mergeCell ref="C2617:C2620"/>
    <mergeCell ref="A2599:A2604"/>
    <mergeCell ref="B2599:B2601"/>
    <mergeCell ref="C2599:C2601"/>
    <mergeCell ref="B2602:B2604"/>
    <mergeCell ref="C2602:C2604"/>
    <mergeCell ref="A2605:A2612"/>
    <mergeCell ref="B2605:B2608"/>
    <mergeCell ref="C2605:C2608"/>
    <mergeCell ref="B2609:B2612"/>
    <mergeCell ref="C2609:C2612"/>
    <mergeCell ref="C2585:C2586"/>
    <mergeCell ref="B2587:B2598"/>
    <mergeCell ref="C2587:C2590"/>
    <mergeCell ref="C2591:C2594"/>
    <mergeCell ref="C2595:C2596"/>
    <mergeCell ref="C2597:C2598"/>
    <mergeCell ref="A2567:A2598"/>
    <mergeCell ref="B2567:B2574"/>
    <mergeCell ref="C2567:C2568"/>
    <mergeCell ref="C2569:C2570"/>
    <mergeCell ref="C2571:C2572"/>
    <mergeCell ref="C2573:C2574"/>
    <mergeCell ref="B2575:B2586"/>
    <mergeCell ref="C2575:C2578"/>
    <mergeCell ref="C2579:C2582"/>
    <mergeCell ref="C2583:C2584"/>
    <mergeCell ref="C2547:C2548"/>
    <mergeCell ref="C2549:C2550"/>
    <mergeCell ref="C2551:C2552"/>
    <mergeCell ref="C2553:C2554"/>
    <mergeCell ref="B2555:B2566"/>
    <mergeCell ref="C2555:C2558"/>
    <mergeCell ref="C2559:C2562"/>
    <mergeCell ref="C2563:C2564"/>
    <mergeCell ref="C2565:C2566"/>
    <mergeCell ref="B2535:B2538"/>
    <mergeCell ref="C2535:C2536"/>
    <mergeCell ref="C2537:C2538"/>
    <mergeCell ref="A2539:A2566"/>
    <mergeCell ref="B2539:B2546"/>
    <mergeCell ref="C2539:C2540"/>
    <mergeCell ref="C2541:C2542"/>
    <mergeCell ref="C2543:C2544"/>
    <mergeCell ref="C2545:C2546"/>
    <mergeCell ref="B2547:B2554"/>
    <mergeCell ref="B2467:B2478"/>
    <mergeCell ref="C2523:C2524"/>
    <mergeCell ref="B2525:B2534"/>
    <mergeCell ref="C2525:C2527"/>
    <mergeCell ref="C2528:C2530"/>
    <mergeCell ref="C2531:C2532"/>
    <mergeCell ref="C2533:C2534"/>
    <mergeCell ref="A2505:A2538"/>
    <mergeCell ref="B2505:B2512"/>
    <mergeCell ref="C2505:C2506"/>
    <mergeCell ref="C2507:C2508"/>
    <mergeCell ref="C2509:C2510"/>
    <mergeCell ref="C2511:C2512"/>
    <mergeCell ref="B2513:B2524"/>
    <mergeCell ref="C2513:C2516"/>
    <mergeCell ref="C2517:C2520"/>
    <mergeCell ref="C2521:C2522"/>
    <mergeCell ref="A2495:A2504"/>
    <mergeCell ref="B2495:B2504"/>
    <mergeCell ref="C2495:C2497"/>
    <mergeCell ref="C2498:C2500"/>
    <mergeCell ref="C2501:C2502"/>
    <mergeCell ref="C2503:C2504"/>
    <mergeCell ref="B2419:B2426"/>
    <mergeCell ref="C2419:C2420"/>
    <mergeCell ref="C2421:C2422"/>
    <mergeCell ref="C2423:C2424"/>
    <mergeCell ref="C2425:C2426"/>
    <mergeCell ref="B2399:B2410"/>
    <mergeCell ref="C2399:C2402"/>
    <mergeCell ref="C2403:C2406"/>
    <mergeCell ref="C2407:C2408"/>
    <mergeCell ref="C2409:C2410"/>
    <mergeCell ref="A2483:A2494"/>
    <mergeCell ref="B2483:B2494"/>
    <mergeCell ref="C2483:C2486"/>
    <mergeCell ref="C2487:C2490"/>
    <mergeCell ref="C2491:C2492"/>
    <mergeCell ref="C2493:C2494"/>
    <mergeCell ref="C2467:C2470"/>
    <mergeCell ref="C2471:C2474"/>
    <mergeCell ref="C2475:C2476"/>
    <mergeCell ref="C2477:C2478"/>
    <mergeCell ref="B2479:B2482"/>
    <mergeCell ref="C2479:C2480"/>
    <mergeCell ref="C2481:C2482"/>
    <mergeCell ref="A2449:A2482"/>
    <mergeCell ref="B2449:B2460"/>
    <mergeCell ref="C2449:C2452"/>
    <mergeCell ref="C2453:C2456"/>
    <mergeCell ref="C2457:C2458"/>
    <mergeCell ref="C2459:C2460"/>
    <mergeCell ref="B2461:B2466"/>
    <mergeCell ref="C2461:C2463"/>
    <mergeCell ref="C2464:C2466"/>
    <mergeCell ref="A2411:A2448"/>
    <mergeCell ref="B2411:B2418"/>
    <mergeCell ref="C2411:C2412"/>
    <mergeCell ref="C2413:C2414"/>
    <mergeCell ref="C2415:C2416"/>
    <mergeCell ref="C2387:C2388"/>
    <mergeCell ref="B2389:B2398"/>
    <mergeCell ref="C2389:C2391"/>
    <mergeCell ref="C2392:C2394"/>
    <mergeCell ref="C2395:C2396"/>
    <mergeCell ref="C2397:C2398"/>
    <mergeCell ref="A2373:A2410"/>
    <mergeCell ref="B2373:B2380"/>
    <mergeCell ref="C2373:C2374"/>
    <mergeCell ref="C2375:C2376"/>
    <mergeCell ref="C2377:C2378"/>
    <mergeCell ref="C2379:C2380"/>
    <mergeCell ref="B2381:B2388"/>
    <mergeCell ref="C2381:C2382"/>
    <mergeCell ref="C2383:C2384"/>
    <mergeCell ref="C2385:C2386"/>
    <mergeCell ref="B2427:B2436"/>
    <mergeCell ref="C2427:C2429"/>
    <mergeCell ref="C2430:C2432"/>
    <mergeCell ref="C2433:C2434"/>
    <mergeCell ref="C2435:C2436"/>
    <mergeCell ref="B2437:B2448"/>
    <mergeCell ref="C2437:C2440"/>
    <mergeCell ref="C2441:C2444"/>
    <mergeCell ref="C2445:C2446"/>
    <mergeCell ref="C2447:C2448"/>
    <mergeCell ref="C2417:C2418"/>
    <mergeCell ref="D2364:D2365"/>
    <mergeCell ref="A2366:A2372"/>
    <mergeCell ref="B2366:B2367"/>
    <mergeCell ref="C2366:C2367"/>
    <mergeCell ref="B2368:B2370"/>
    <mergeCell ref="C2368:C2370"/>
    <mergeCell ref="B2371:B2372"/>
    <mergeCell ref="C2371:C2372"/>
    <mergeCell ref="A2354:A2357"/>
    <mergeCell ref="B2354:B2357"/>
    <mergeCell ref="C2354:C2357"/>
    <mergeCell ref="A2364:A2365"/>
    <mergeCell ref="B2364:B2365"/>
    <mergeCell ref="C2364:C2365"/>
    <mergeCell ref="A2341:A2343"/>
    <mergeCell ref="B2341:B2343"/>
    <mergeCell ref="C2341:C2343"/>
    <mergeCell ref="A2344:A2345"/>
    <mergeCell ref="A2346:A2353"/>
    <mergeCell ref="B2346:B2349"/>
    <mergeCell ref="C2346:C2349"/>
    <mergeCell ref="B2350:B2353"/>
    <mergeCell ref="C2350:C2353"/>
    <mergeCell ref="A2333:A2336"/>
    <mergeCell ref="B2333:B2336"/>
    <mergeCell ref="C2333:C2336"/>
    <mergeCell ref="A2337:A2340"/>
    <mergeCell ref="B2337:B2340"/>
    <mergeCell ref="C2337:C2340"/>
    <mergeCell ref="A2319:A2324"/>
    <mergeCell ref="B2319:B2321"/>
    <mergeCell ref="C2319:C2321"/>
    <mergeCell ref="B2322:B2324"/>
    <mergeCell ref="C2322:C2324"/>
    <mergeCell ref="A2325:A2332"/>
    <mergeCell ref="B2325:B2328"/>
    <mergeCell ref="C2325:C2328"/>
    <mergeCell ref="B2329:B2332"/>
    <mergeCell ref="C2329:C2332"/>
    <mergeCell ref="C2305:C2306"/>
    <mergeCell ref="B2307:B2318"/>
    <mergeCell ref="C2307:C2310"/>
    <mergeCell ref="C2311:C2314"/>
    <mergeCell ref="C2315:C2316"/>
    <mergeCell ref="C2317:C2318"/>
    <mergeCell ref="A2287:A2318"/>
    <mergeCell ref="B2287:B2294"/>
    <mergeCell ref="C2287:C2288"/>
    <mergeCell ref="C2289:C2290"/>
    <mergeCell ref="C2291:C2292"/>
    <mergeCell ref="C2293:C2294"/>
    <mergeCell ref="B2295:B2306"/>
    <mergeCell ref="C2295:C2298"/>
    <mergeCell ref="C2299:C2302"/>
    <mergeCell ref="C2303:C2304"/>
    <mergeCell ref="C2267:C2268"/>
    <mergeCell ref="C2269:C2270"/>
    <mergeCell ref="C2271:C2272"/>
    <mergeCell ref="C2273:C2274"/>
    <mergeCell ref="B2275:B2286"/>
    <mergeCell ref="C2275:C2278"/>
    <mergeCell ref="C2279:C2282"/>
    <mergeCell ref="C2283:C2284"/>
    <mergeCell ref="C2285:C2286"/>
    <mergeCell ref="B2255:B2258"/>
    <mergeCell ref="C2255:C2256"/>
    <mergeCell ref="C2257:C2258"/>
    <mergeCell ref="A2259:A2286"/>
    <mergeCell ref="B2259:B2266"/>
    <mergeCell ref="C2259:C2260"/>
    <mergeCell ref="C2261:C2262"/>
    <mergeCell ref="C2263:C2264"/>
    <mergeCell ref="C2265:C2266"/>
    <mergeCell ref="B2267:B2274"/>
    <mergeCell ref="B2187:B2198"/>
    <mergeCell ref="C2243:C2244"/>
    <mergeCell ref="B2245:B2254"/>
    <mergeCell ref="C2245:C2247"/>
    <mergeCell ref="C2248:C2250"/>
    <mergeCell ref="C2251:C2252"/>
    <mergeCell ref="C2253:C2254"/>
    <mergeCell ref="A2225:A2258"/>
    <mergeCell ref="B2225:B2232"/>
    <mergeCell ref="C2225:C2226"/>
    <mergeCell ref="C2227:C2228"/>
    <mergeCell ref="C2229:C2230"/>
    <mergeCell ref="C2231:C2232"/>
    <mergeCell ref="B2233:B2244"/>
    <mergeCell ref="C2233:C2236"/>
    <mergeCell ref="C2237:C2240"/>
    <mergeCell ref="C2241:C2242"/>
    <mergeCell ref="A2215:A2224"/>
    <mergeCell ref="B2215:B2224"/>
    <mergeCell ref="C2215:C2217"/>
    <mergeCell ref="C2218:C2220"/>
    <mergeCell ref="C2221:C2222"/>
    <mergeCell ref="C2223:C2224"/>
    <mergeCell ref="B2139:B2146"/>
    <mergeCell ref="C2139:C2140"/>
    <mergeCell ref="C2141:C2142"/>
    <mergeCell ref="C2143:C2144"/>
    <mergeCell ref="C2145:C2146"/>
    <mergeCell ref="B2119:B2130"/>
    <mergeCell ref="C2119:C2122"/>
    <mergeCell ref="C2123:C2126"/>
    <mergeCell ref="C2127:C2128"/>
    <mergeCell ref="C2129:C2130"/>
    <mergeCell ref="A2203:A2214"/>
    <mergeCell ref="B2203:B2214"/>
    <mergeCell ref="C2203:C2206"/>
    <mergeCell ref="C2207:C2210"/>
    <mergeCell ref="C2211:C2212"/>
    <mergeCell ref="C2213:C2214"/>
    <mergeCell ref="C2187:C2190"/>
    <mergeCell ref="C2191:C2194"/>
    <mergeCell ref="C2195:C2196"/>
    <mergeCell ref="C2197:C2198"/>
    <mergeCell ref="B2199:B2202"/>
    <mergeCell ref="C2199:C2200"/>
    <mergeCell ref="C2201:C2202"/>
    <mergeCell ref="A2169:A2202"/>
    <mergeCell ref="B2169:B2180"/>
    <mergeCell ref="C2169:C2172"/>
    <mergeCell ref="C2173:C2176"/>
    <mergeCell ref="C2177:C2178"/>
    <mergeCell ref="C2179:C2180"/>
    <mergeCell ref="B2181:B2186"/>
    <mergeCell ref="C2181:C2183"/>
    <mergeCell ref="C2184:C2186"/>
    <mergeCell ref="A2131:A2168"/>
    <mergeCell ref="B2131:B2138"/>
    <mergeCell ref="C2131:C2132"/>
    <mergeCell ref="C2133:C2134"/>
    <mergeCell ref="C2135:C2136"/>
    <mergeCell ref="C2107:C2108"/>
    <mergeCell ref="B2109:B2118"/>
    <mergeCell ref="C2109:C2111"/>
    <mergeCell ref="C2112:C2114"/>
    <mergeCell ref="C2115:C2116"/>
    <mergeCell ref="C2117:C2118"/>
    <mergeCell ref="A2093:A2130"/>
    <mergeCell ref="B2093:B2100"/>
    <mergeCell ref="C2093:C2094"/>
    <mergeCell ref="C2095:C2096"/>
    <mergeCell ref="C2097:C2098"/>
    <mergeCell ref="C2099:C2100"/>
    <mergeCell ref="B2101:B2108"/>
    <mergeCell ref="C2101:C2102"/>
    <mergeCell ref="C2103:C2104"/>
    <mergeCell ref="C2105:C2106"/>
    <mergeCell ref="B2147:B2156"/>
    <mergeCell ref="C2147:C2149"/>
    <mergeCell ref="C2150:C2152"/>
    <mergeCell ref="C2153:C2154"/>
    <mergeCell ref="C2155:C2156"/>
    <mergeCell ref="B2157:B2168"/>
    <mergeCell ref="C2157:C2160"/>
    <mergeCell ref="C2161:C2164"/>
    <mergeCell ref="C2165:C2166"/>
    <mergeCell ref="C2167:C2168"/>
    <mergeCell ref="C2137:C2138"/>
    <mergeCell ref="D2084:D2085"/>
    <mergeCell ref="A2086:A2092"/>
    <mergeCell ref="B2086:B2087"/>
    <mergeCell ref="C2086:C2087"/>
    <mergeCell ref="B2088:B2090"/>
    <mergeCell ref="C2088:C2090"/>
    <mergeCell ref="B2091:B2092"/>
    <mergeCell ref="C2091:C2092"/>
    <mergeCell ref="A2074:A2077"/>
    <mergeCell ref="B2074:B2077"/>
    <mergeCell ref="C2074:C2077"/>
    <mergeCell ref="A2084:A2085"/>
    <mergeCell ref="B2084:B2085"/>
    <mergeCell ref="C2084:C2085"/>
    <mergeCell ref="A2061:A2063"/>
    <mergeCell ref="B2061:B2063"/>
    <mergeCell ref="C2061:C2063"/>
    <mergeCell ref="A2064:A2065"/>
    <mergeCell ref="A2066:A2073"/>
    <mergeCell ref="B2066:B2069"/>
    <mergeCell ref="C2066:C2069"/>
    <mergeCell ref="B2070:B2073"/>
    <mergeCell ref="C2070:C2073"/>
    <mergeCell ref="A2053:A2056"/>
    <mergeCell ref="B2053:B2056"/>
    <mergeCell ref="C2053:C2056"/>
    <mergeCell ref="A2057:A2060"/>
    <mergeCell ref="B2057:B2060"/>
    <mergeCell ref="C2057:C2060"/>
    <mergeCell ref="A2039:A2044"/>
    <mergeCell ref="B2039:B2041"/>
    <mergeCell ref="C2039:C2041"/>
    <mergeCell ref="B2042:B2044"/>
    <mergeCell ref="C2042:C2044"/>
    <mergeCell ref="A2045:A2052"/>
    <mergeCell ref="B2045:B2048"/>
    <mergeCell ref="C2045:C2048"/>
    <mergeCell ref="B2049:B2052"/>
    <mergeCell ref="C2049:C2052"/>
    <mergeCell ref="C2025:C2026"/>
    <mergeCell ref="B2027:B2038"/>
    <mergeCell ref="C2027:C2030"/>
    <mergeCell ref="C2031:C2034"/>
    <mergeCell ref="C2035:C2036"/>
    <mergeCell ref="C2037:C2038"/>
    <mergeCell ref="A2007:A2038"/>
    <mergeCell ref="B2007:B2014"/>
    <mergeCell ref="C2007:C2008"/>
    <mergeCell ref="C2009:C2010"/>
    <mergeCell ref="C2011:C2012"/>
    <mergeCell ref="C2013:C2014"/>
    <mergeCell ref="B2015:B2026"/>
    <mergeCell ref="C2015:C2018"/>
    <mergeCell ref="C2019:C2022"/>
    <mergeCell ref="C2023:C2024"/>
    <mergeCell ref="C1987:C1988"/>
    <mergeCell ref="C1989:C1990"/>
    <mergeCell ref="C1991:C1992"/>
    <mergeCell ref="C1993:C1994"/>
    <mergeCell ref="B1995:B2006"/>
    <mergeCell ref="C1995:C1998"/>
    <mergeCell ref="C1999:C2002"/>
    <mergeCell ref="C2003:C2004"/>
    <mergeCell ref="C2005:C2006"/>
    <mergeCell ref="B1975:B1978"/>
    <mergeCell ref="C1975:C1976"/>
    <mergeCell ref="C1977:C1978"/>
    <mergeCell ref="A1979:A2006"/>
    <mergeCell ref="B1979:B1986"/>
    <mergeCell ref="C1979:C1980"/>
    <mergeCell ref="C1981:C1982"/>
    <mergeCell ref="C1983:C1984"/>
    <mergeCell ref="C1985:C1986"/>
    <mergeCell ref="B1987:B1994"/>
    <mergeCell ref="B1907:B1918"/>
    <mergeCell ref="C1963:C1964"/>
    <mergeCell ref="B1965:B1974"/>
    <mergeCell ref="C1965:C1967"/>
    <mergeCell ref="C1968:C1970"/>
    <mergeCell ref="C1971:C1972"/>
    <mergeCell ref="C1973:C1974"/>
    <mergeCell ref="A1945:A1978"/>
    <mergeCell ref="B1945:B1952"/>
    <mergeCell ref="C1945:C1946"/>
    <mergeCell ref="C1947:C1948"/>
    <mergeCell ref="C1949:C1950"/>
    <mergeCell ref="C1951:C1952"/>
    <mergeCell ref="B1953:B1964"/>
    <mergeCell ref="C1953:C1956"/>
    <mergeCell ref="C1957:C1960"/>
    <mergeCell ref="C1961:C1962"/>
    <mergeCell ref="A1935:A1944"/>
    <mergeCell ref="B1935:B1944"/>
    <mergeCell ref="C1935:C1937"/>
    <mergeCell ref="C1938:C1940"/>
    <mergeCell ref="C1941:C1942"/>
    <mergeCell ref="C1943:C1944"/>
    <mergeCell ref="B1859:B1866"/>
    <mergeCell ref="C1859:C1860"/>
    <mergeCell ref="C1861:C1862"/>
    <mergeCell ref="C1863:C1864"/>
    <mergeCell ref="C1865:C1866"/>
    <mergeCell ref="B1839:B1850"/>
    <mergeCell ref="C1839:C1842"/>
    <mergeCell ref="C1843:C1846"/>
    <mergeCell ref="C1847:C1848"/>
    <mergeCell ref="C1849:C1850"/>
    <mergeCell ref="A1923:A1934"/>
    <mergeCell ref="B1923:B1934"/>
    <mergeCell ref="C1923:C1926"/>
    <mergeCell ref="C1927:C1930"/>
    <mergeCell ref="C1931:C1932"/>
    <mergeCell ref="C1933:C1934"/>
    <mergeCell ref="C1907:C1910"/>
    <mergeCell ref="C1911:C1914"/>
    <mergeCell ref="C1915:C1916"/>
    <mergeCell ref="C1917:C1918"/>
    <mergeCell ref="B1919:B1922"/>
    <mergeCell ref="C1919:C1920"/>
    <mergeCell ref="C1921:C1922"/>
    <mergeCell ref="A1889:A1922"/>
    <mergeCell ref="B1889:B1900"/>
    <mergeCell ref="C1889:C1892"/>
    <mergeCell ref="C1893:C1896"/>
    <mergeCell ref="C1897:C1898"/>
    <mergeCell ref="C1899:C1900"/>
    <mergeCell ref="B1901:B1906"/>
    <mergeCell ref="C1901:C1903"/>
    <mergeCell ref="C1904:C1906"/>
    <mergeCell ref="A1851:A1888"/>
    <mergeCell ref="B1851:B1858"/>
    <mergeCell ref="C1851:C1852"/>
    <mergeCell ref="C1853:C1854"/>
    <mergeCell ref="C1855:C1856"/>
    <mergeCell ref="C1827:C1828"/>
    <mergeCell ref="B1829:B1838"/>
    <mergeCell ref="C1829:C1831"/>
    <mergeCell ref="C1832:C1834"/>
    <mergeCell ref="C1835:C1836"/>
    <mergeCell ref="C1837:C1838"/>
    <mergeCell ref="A1813:A1850"/>
    <mergeCell ref="B1813:B1820"/>
    <mergeCell ref="C1813:C1814"/>
    <mergeCell ref="C1815:C1816"/>
    <mergeCell ref="C1817:C1818"/>
    <mergeCell ref="C1819:C1820"/>
    <mergeCell ref="B1821:B1828"/>
    <mergeCell ref="C1821:C1822"/>
    <mergeCell ref="C1823:C1824"/>
    <mergeCell ref="C1825:C1826"/>
    <mergeCell ref="B1867:B1876"/>
    <mergeCell ref="C1867:C1869"/>
    <mergeCell ref="C1870:C1872"/>
    <mergeCell ref="C1873:C1874"/>
    <mergeCell ref="C1875:C1876"/>
    <mergeCell ref="B1877:B1888"/>
    <mergeCell ref="C1877:C1880"/>
    <mergeCell ref="C1881:C1884"/>
    <mergeCell ref="C1885:C1886"/>
    <mergeCell ref="C1887:C1888"/>
    <mergeCell ref="C1857:C1858"/>
    <mergeCell ref="D1804:D1805"/>
    <mergeCell ref="A1806:A1812"/>
    <mergeCell ref="B1806:B1807"/>
    <mergeCell ref="C1806:C1807"/>
    <mergeCell ref="B1808:B1810"/>
    <mergeCell ref="C1808:C1810"/>
    <mergeCell ref="B1811:B1812"/>
    <mergeCell ref="C1811:C1812"/>
    <mergeCell ref="A1794:A1797"/>
    <mergeCell ref="B1794:B1797"/>
    <mergeCell ref="C1794:C1797"/>
    <mergeCell ref="A1804:A1805"/>
    <mergeCell ref="B1804:B1805"/>
    <mergeCell ref="C1804:C1805"/>
    <mergeCell ref="A1781:A1783"/>
    <mergeCell ref="B1781:B1783"/>
    <mergeCell ref="C1781:C1783"/>
    <mergeCell ref="A1784:A1785"/>
    <mergeCell ref="A1786:A1793"/>
    <mergeCell ref="B1786:B1789"/>
    <mergeCell ref="C1786:C1789"/>
    <mergeCell ref="B1790:B1793"/>
    <mergeCell ref="C1790:C1793"/>
    <mergeCell ref="A1773:A1776"/>
    <mergeCell ref="B1773:B1776"/>
    <mergeCell ref="C1773:C1776"/>
    <mergeCell ref="A1777:A1780"/>
    <mergeCell ref="B1777:B1780"/>
    <mergeCell ref="C1777:C1780"/>
    <mergeCell ref="A1759:A1764"/>
    <mergeCell ref="B1759:B1761"/>
    <mergeCell ref="C1759:C1761"/>
    <mergeCell ref="B1762:B1764"/>
    <mergeCell ref="C1762:C1764"/>
    <mergeCell ref="A1765:A1772"/>
    <mergeCell ref="B1765:B1768"/>
    <mergeCell ref="C1765:C1768"/>
    <mergeCell ref="B1769:B1772"/>
    <mergeCell ref="C1769:C1772"/>
    <mergeCell ref="C1745:C1746"/>
    <mergeCell ref="B1747:B1758"/>
    <mergeCell ref="C1747:C1750"/>
    <mergeCell ref="C1751:C1754"/>
    <mergeCell ref="C1755:C1756"/>
    <mergeCell ref="C1757:C1758"/>
    <mergeCell ref="A1727:A1758"/>
    <mergeCell ref="B1727:B1734"/>
    <mergeCell ref="C1727:C1728"/>
    <mergeCell ref="C1729:C1730"/>
    <mergeCell ref="C1731:C1732"/>
    <mergeCell ref="C1733:C1734"/>
    <mergeCell ref="B1735:B1746"/>
    <mergeCell ref="C1735:C1738"/>
    <mergeCell ref="C1739:C1742"/>
    <mergeCell ref="C1743:C1744"/>
    <mergeCell ref="C1707:C1708"/>
    <mergeCell ref="C1709:C1710"/>
    <mergeCell ref="C1711:C1712"/>
    <mergeCell ref="C1713:C1714"/>
    <mergeCell ref="B1715:B1726"/>
    <mergeCell ref="C1715:C1718"/>
    <mergeCell ref="C1719:C1722"/>
    <mergeCell ref="C1723:C1724"/>
    <mergeCell ref="C1725:C1726"/>
    <mergeCell ref="B1695:B1698"/>
    <mergeCell ref="C1695:C1696"/>
    <mergeCell ref="C1697:C1698"/>
    <mergeCell ref="A1699:A1726"/>
    <mergeCell ref="B1699:B1706"/>
    <mergeCell ref="C1699:C1700"/>
    <mergeCell ref="C1701:C1702"/>
    <mergeCell ref="C1703:C1704"/>
    <mergeCell ref="C1705:C1706"/>
    <mergeCell ref="B1707:B1714"/>
    <mergeCell ref="B1627:B1638"/>
    <mergeCell ref="C1683:C1684"/>
    <mergeCell ref="B1685:B1694"/>
    <mergeCell ref="C1685:C1687"/>
    <mergeCell ref="C1688:C1690"/>
    <mergeCell ref="C1691:C1692"/>
    <mergeCell ref="C1693:C1694"/>
    <mergeCell ref="A1665:A1698"/>
    <mergeCell ref="B1665:B1672"/>
    <mergeCell ref="C1665:C1666"/>
    <mergeCell ref="C1667:C1668"/>
    <mergeCell ref="C1669:C1670"/>
    <mergeCell ref="C1671:C1672"/>
    <mergeCell ref="B1673:B1684"/>
    <mergeCell ref="C1673:C1676"/>
    <mergeCell ref="C1677:C1680"/>
    <mergeCell ref="C1681:C1682"/>
    <mergeCell ref="A1655:A1664"/>
    <mergeCell ref="B1655:B1664"/>
    <mergeCell ref="C1655:C1657"/>
    <mergeCell ref="C1658:C1660"/>
    <mergeCell ref="C1661:C1662"/>
    <mergeCell ref="C1663:C1664"/>
    <mergeCell ref="B1579:B1586"/>
    <mergeCell ref="C1579:C1580"/>
    <mergeCell ref="C1581:C1582"/>
    <mergeCell ref="C1583:C1584"/>
    <mergeCell ref="C1585:C1586"/>
    <mergeCell ref="B1559:B1570"/>
    <mergeCell ref="C1559:C1562"/>
    <mergeCell ref="C1563:C1566"/>
    <mergeCell ref="C1567:C1568"/>
    <mergeCell ref="C1569:C1570"/>
    <mergeCell ref="A1643:A1654"/>
    <mergeCell ref="B1643:B1654"/>
    <mergeCell ref="C1643:C1646"/>
    <mergeCell ref="C1647:C1650"/>
    <mergeCell ref="C1651:C1652"/>
    <mergeCell ref="C1653:C1654"/>
    <mergeCell ref="C1627:C1630"/>
    <mergeCell ref="C1631:C1634"/>
    <mergeCell ref="C1635:C1636"/>
    <mergeCell ref="C1637:C1638"/>
    <mergeCell ref="B1639:B1642"/>
    <mergeCell ref="C1639:C1640"/>
    <mergeCell ref="C1641:C1642"/>
    <mergeCell ref="A1609:A1642"/>
    <mergeCell ref="B1609:B1620"/>
    <mergeCell ref="C1609:C1612"/>
    <mergeCell ref="C1613:C1616"/>
    <mergeCell ref="C1617:C1618"/>
    <mergeCell ref="C1619:C1620"/>
    <mergeCell ref="B1621:B1626"/>
    <mergeCell ref="C1621:C1623"/>
    <mergeCell ref="C1624:C1626"/>
    <mergeCell ref="A1571:A1608"/>
    <mergeCell ref="B1571:B1578"/>
    <mergeCell ref="C1571:C1572"/>
    <mergeCell ref="C1573:C1574"/>
    <mergeCell ref="C1575:C1576"/>
    <mergeCell ref="C1547:C1548"/>
    <mergeCell ref="B1549:B1558"/>
    <mergeCell ref="C1549:C1551"/>
    <mergeCell ref="C1552:C1554"/>
    <mergeCell ref="C1555:C1556"/>
    <mergeCell ref="C1557:C1558"/>
    <mergeCell ref="A1533:A1570"/>
    <mergeCell ref="B1533:B1540"/>
    <mergeCell ref="C1533:C1534"/>
    <mergeCell ref="C1535:C1536"/>
    <mergeCell ref="C1537:C1538"/>
    <mergeCell ref="C1539:C1540"/>
    <mergeCell ref="B1541:B1548"/>
    <mergeCell ref="C1541:C1542"/>
    <mergeCell ref="C1543:C1544"/>
    <mergeCell ref="C1545:C1546"/>
    <mergeCell ref="B1587:B1596"/>
    <mergeCell ref="C1587:C1589"/>
    <mergeCell ref="C1590:C1592"/>
    <mergeCell ref="C1593:C1594"/>
    <mergeCell ref="C1595:C1596"/>
    <mergeCell ref="B1597:B1608"/>
    <mergeCell ref="C1597:C1600"/>
    <mergeCell ref="C1601:C1604"/>
    <mergeCell ref="C1605:C1606"/>
    <mergeCell ref="C1607:C1608"/>
    <mergeCell ref="C1577:C1578"/>
    <mergeCell ref="D1524:D1525"/>
    <mergeCell ref="A1526:A1532"/>
    <mergeCell ref="B1526:B1527"/>
    <mergeCell ref="C1526:C1527"/>
    <mergeCell ref="B1528:B1530"/>
    <mergeCell ref="C1528:C1530"/>
    <mergeCell ref="B1531:B1532"/>
    <mergeCell ref="C1531:C1532"/>
    <mergeCell ref="A1514:A1517"/>
    <mergeCell ref="B1514:B1517"/>
    <mergeCell ref="C1514:C1517"/>
    <mergeCell ref="A1524:A1525"/>
    <mergeCell ref="B1524:B1525"/>
    <mergeCell ref="C1524:C1525"/>
    <mergeCell ref="A1501:A1503"/>
    <mergeCell ref="B1501:B1503"/>
    <mergeCell ref="C1501:C1503"/>
    <mergeCell ref="A1504:A1505"/>
    <mergeCell ref="A1506:A1513"/>
    <mergeCell ref="B1506:B1509"/>
    <mergeCell ref="C1506:C1509"/>
    <mergeCell ref="B1510:B1513"/>
    <mergeCell ref="C1510:C1513"/>
    <mergeCell ref="A1493:A1496"/>
    <mergeCell ref="B1493:B1496"/>
    <mergeCell ref="C1493:C1496"/>
    <mergeCell ref="A1497:A1500"/>
    <mergeCell ref="B1497:B1500"/>
    <mergeCell ref="C1497:C1500"/>
    <mergeCell ref="A1479:A1484"/>
    <mergeCell ref="B1479:B1481"/>
    <mergeCell ref="C1479:C1481"/>
    <mergeCell ref="B1482:B1484"/>
    <mergeCell ref="C1482:C1484"/>
    <mergeCell ref="A1485:A1492"/>
    <mergeCell ref="B1485:B1488"/>
    <mergeCell ref="C1485:C1488"/>
    <mergeCell ref="B1489:B1492"/>
    <mergeCell ref="C1489:C1492"/>
    <mergeCell ref="C1465:C1466"/>
    <mergeCell ref="B1467:B1478"/>
    <mergeCell ref="C1467:C1470"/>
    <mergeCell ref="C1471:C1474"/>
    <mergeCell ref="C1475:C1476"/>
    <mergeCell ref="C1477:C1478"/>
    <mergeCell ref="A1447:A1478"/>
    <mergeCell ref="B1447:B1454"/>
    <mergeCell ref="C1447:C1448"/>
    <mergeCell ref="C1449:C1450"/>
    <mergeCell ref="C1451:C1452"/>
    <mergeCell ref="C1453:C1454"/>
    <mergeCell ref="B1455:B1466"/>
    <mergeCell ref="C1455:C1458"/>
    <mergeCell ref="C1459:C1462"/>
    <mergeCell ref="C1463:C1464"/>
    <mergeCell ref="C1427:C1428"/>
    <mergeCell ref="C1429:C1430"/>
    <mergeCell ref="C1431:C1432"/>
    <mergeCell ref="C1433:C1434"/>
    <mergeCell ref="B1435:B1446"/>
    <mergeCell ref="C1435:C1438"/>
    <mergeCell ref="C1439:C1442"/>
    <mergeCell ref="C1443:C1444"/>
    <mergeCell ref="C1445:C1446"/>
    <mergeCell ref="B1415:B1418"/>
    <mergeCell ref="C1415:C1416"/>
    <mergeCell ref="C1417:C1418"/>
    <mergeCell ref="A1419:A1446"/>
    <mergeCell ref="B1419:B1426"/>
    <mergeCell ref="C1419:C1420"/>
    <mergeCell ref="C1421:C1422"/>
    <mergeCell ref="C1423:C1424"/>
    <mergeCell ref="C1425:C1426"/>
    <mergeCell ref="B1427:B1434"/>
    <mergeCell ref="B1347:B1358"/>
    <mergeCell ref="C1403:C1404"/>
    <mergeCell ref="B1405:B1414"/>
    <mergeCell ref="C1405:C1407"/>
    <mergeCell ref="C1408:C1410"/>
    <mergeCell ref="C1411:C1412"/>
    <mergeCell ref="C1413:C1414"/>
    <mergeCell ref="A1385:A1418"/>
    <mergeCell ref="B1385:B1392"/>
    <mergeCell ref="C1385:C1386"/>
    <mergeCell ref="C1387:C1388"/>
    <mergeCell ref="C1389:C1390"/>
    <mergeCell ref="C1391:C1392"/>
    <mergeCell ref="B1393:B1404"/>
    <mergeCell ref="C1393:C1396"/>
    <mergeCell ref="C1397:C1400"/>
    <mergeCell ref="C1401:C1402"/>
    <mergeCell ref="A1375:A1384"/>
    <mergeCell ref="B1375:B1384"/>
    <mergeCell ref="C1375:C1377"/>
    <mergeCell ref="C1378:C1380"/>
    <mergeCell ref="C1381:C1382"/>
    <mergeCell ref="C1383:C1384"/>
    <mergeCell ref="B1299:B1306"/>
    <mergeCell ref="C1299:C1300"/>
    <mergeCell ref="C1301:C1302"/>
    <mergeCell ref="C1303:C1304"/>
    <mergeCell ref="C1305:C1306"/>
    <mergeCell ref="B1279:B1290"/>
    <mergeCell ref="C1279:C1282"/>
    <mergeCell ref="C1283:C1286"/>
    <mergeCell ref="C1287:C1288"/>
    <mergeCell ref="C1289:C1290"/>
    <mergeCell ref="A1363:A1374"/>
    <mergeCell ref="B1363:B1374"/>
    <mergeCell ref="C1363:C1366"/>
    <mergeCell ref="C1367:C1370"/>
    <mergeCell ref="C1371:C1372"/>
    <mergeCell ref="C1373:C1374"/>
    <mergeCell ref="C1347:C1350"/>
    <mergeCell ref="C1351:C1354"/>
    <mergeCell ref="C1355:C1356"/>
    <mergeCell ref="C1357:C1358"/>
    <mergeCell ref="B1359:B1362"/>
    <mergeCell ref="C1359:C1360"/>
    <mergeCell ref="C1361:C1362"/>
    <mergeCell ref="A1329:A1362"/>
    <mergeCell ref="B1329:B1340"/>
    <mergeCell ref="C1329:C1332"/>
    <mergeCell ref="C1333:C1336"/>
    <mergeCell ref="C1337:C1338"/>
    <mergeCell ref="C1339:C1340"/>
    <mergeCell ref="B1341:B1346"/>
    <mergeCell ref="C1341:C1343"/>
    <mergeCell ref="C1344:C1346"/>
    <mergeCell ref="A1291:A1328"/>
    <mergeCell ref="B1291:B1298"/>
    <mergeCell ref="C1291:C1292"/>
    <mergeCell ref="C1293:C1294"/>
    <mergeCell ref="C1295:C1296"/>
    <mergeCell ref="C1267:C1268"/>
    <mergeCell ref="B1269:B1278"/>
    <mergeCell ref="C1269:C1271"/>
    <mergeCell ref="C1272:C1274"/>
    <mergeCell ref="C1275:C1276"/>
    <mergeCell ref="C1277:C1278"/>
    <mergeCell ref="A1253:A1290"/>
    <mergeCell ref="B1253:B1260"/>
    <mergeCell ref="C1253:C1254"/>
    <mergeCell ref="C1255:C1256"/>
    <mergeCell ref="C1257:C1258"/>
    <mergeCell ref="C1259:C1260"/>
    <mergeCell ref="B1261:B1268"/>
    <mergeCell ref="C1261:C1262"/>
    <mergeCell ref="C1263:C1264"/>
    <mergeCell ref="C1265:C1266"/>
    <mergeCell ref="B1307:B1316"/>
    <mergeCell ref="C1307:C1309"/>
    <mergeCell ref="C1310:C1312"/>
    <mergeCell ref="C1313:C1314"/>
    <mergeCell ref="C1315:C1316"/>
    <mergeCell ref="B1317:B1328"/>
    <mergeCell ref="C1317:C1320"/>
    <mergeCell ref="C1321:C1324"/>
    <mergeCell ref="C1325:C1326"/>
    <mergeCell ref="C1327:C1328"/>
    <mergeCell ref="C1297:C1298"/>
    <mergeCell ref="D1244:D1245"/>
    <mergeCell ref="A1246:A1252"/>
    <mergeCell ref="B1246:B1247"/>
    <mergeCell ref="C1246:C1247"/>
    <mergeCell ref="B1248:B1250"/>
    <mergeCell ref="C1248:C1250"/>
    <mergeCell ref="B1251:B1252"/>
    <mergeCell ref="C1251:C1252"/>
    <mergeCell ref="A1234:A1237"/>
    <mergeCell ref="B1234:B1237"/>
    <mergeCell ref="C1234:C1237"/>
    <mergeCell ref="A1244:A1245"/>
    <mergeCell ref="B1244:B1245"/>
    <mergeCell ref="C1244:C1245"/>
    <mergeCell ref="A1221:A1223"/>
    <mergeCell ref="B1221:B1223"/>
    <mergeCell ref="C1221:C1223"/>
    <mergeCell ref="A1224:A1225"/>
    <mergeCell ref="A1226:A1233"/>
    <mergeCell ref="B1226:B1229"/>
    <mergeCell ref="C1226:C1229"/>
    <mergeCell ref="B1230:B1233"/>
    <mergeCell ref="C1230:C1233"/>
    <mergeCell ref="A1213:A1216"/>
    <mergeCell ref="B1213:B1216"/>
    <mergeCell ref="C1213:C1216"/>
    <mergeCell ref="A1217:A1220"/>
    <mergeCell ref="B1217:B1220"/>
    <mergeCell ref="C1217:C1220"/>
    <mergeCell ref="A1199:A1204"/>
    <mergeCell ref="B1199:B1201"/>
    <mergeCell ref="C1199:C1201"/>
    <mergeCell ref="B1202:B1204"/>
    <mergeCell ref="C1202:C1204"/>
    <mergeCell ref="A1205:A1212"/>
    <mergeCell ref="B1205:B1208"/>
    <mergeCell ref="C1205:C1208"/>
    <mergeCell ref="B1209:B1212"/>
    <mergeCell ref="C1209:C1212"/>
    <mergeCell ref="C1185:C1186"/>
    <mergeCell ref="B1187:B1198"/>
    <mergeCell ref="C1187:C1190"/>
    <mergeCell ref="C1191:C1194"/>
    <mergeCell ref="C1195:C1196"/>
    <mergeCell ref="C1197:C1198"/>
    <mergeCell ref="A1167:A1198"/>
    <mergeCell ref="B1167:B1174"/>
    <mergeCell ref="C1167:C1168"/>
    <mergeCell ref="C1169:C1170"/>
    <mergeCell ref="C1171:C1172"/>
    <mergeCell ref="C1173:C1174"/>
    <mergeCell ref="B1175:B1186"/>
    <mergeCell ref="C1175:C1178"/>
    <mergeCell ref="C1179:C1182"/>
    <mergeCell ref="C1183:C1184"/>
    <mergeCell ref="C1147:C1148"/>
    <mergeCell ref="C1149:C1150"/>
    <mergeCell ref="C1151:C1152"/>
    <mergeCell ref="C1153:C1154"/>
    <mergeCell ref="B1155:B1166"/>
    <mergeCell ref="C1155:C1158"/>
    <mergeCell ref="C1159:C1162"/>
    <mergeCell ref="C1163:C1164"/>
    <mergeCell ref="C1165:C1166"/>
    <mergeCell ref="B1135:B1138"/>
    <mergeCell ref="C1135:C1136"/>
    <mergeCell ref="C1137:C1138"/>
    <mergeCell ref="A1139:A1166"/>
    <mergeCell ref="B1139:B1146"/>
    <mergeCell ref="C1139:C1140"/>
    <mergeCell ref="C1141:C1142"/>
    <mergeCell ref="C1143:C1144"/>
    <mergeCell ref="C1145:C1146"/>
    <mergeCell ref="B1147:B1154"/>
    <mergeCell ref="B1067:B1078"/>
    <mergeCell ref="C1123:C1124"/>
    <mergeCell ref="B1125:B1134"/>
    <mergeCell ref="C1125:C1127"/>
    <mergeCell ref="C1128:C1130"/>
    <mergeCell ref="C1131:C1132"/>
    <mergeCell ref="C1133:C1134"/>
    <mergeCell ref="A1105:A1138"/>
    <mergeCell ref="B1105:B1112"/>
    <mergeCell ref="C1105:C1106"/>
    <mergeCell ref="C1107:C1108"/>
    <mergeCell ref="C1109:C1110"/>
    <mergeCell ref="C1111:C1112"/>
    <mergeCell ref="B1113:B1124"/>
    <mergeCell ref="C1113:C1116"/>
    <mergeCell ref="C1117:C1120"/>
    <mergeCell ref="C1121:C1122"/>
    <mergeCell ref="A1095:A1104"/>
    <mergeCell ref="B1095:B1104"/>
    <mergeCell ref="C1095:C1097"/>
    <mergeCell ref="C1098:C1100"/>
    <mergeCell ref="C1101:C1102"/>
    <mergeCell ref="C1103:C1104"/>
    <mergeCell ref="B1019:B1026"/>
    <mergeCell ref="C1019:C1020"/>
    <mergeCell ref="C1021:C1022"/>
    <mergeCell ref="C1023:C1024"/>
    <mergeCell ref="C1025:C1026"/>
    <mergeCell ref="B999:B1010"/>
    <mergeCell ref="C999:C1002"/>
    <mergeCell ref="C1003:C1006"/>
    <mergeCell ref="C1007:C1008"/>
    <mergeCell ref="C1009:C1010"/>
    <mergeCell ref="A1083:A1094"/>
    <mergeCell ref="B1083:B1094"/>
    <mergeCell ref="C1083:C1086"/>
    <mergeCell ref="C1087:C1090"/>
    <mergeCell ref="C1091:C1092"/>
    <mergeCell ref="C1093:C1094"/>
    <mergeCell ref="C1067:C1070"/>
    <mergeCell ref="C1071:C1074"/>
    <mergeCell ref="C1075:C1076"/>
    <mergeCell ref="C1077:C1078"/>
    <mergeCell ref="B1079:B1082"/>
    <mergeCell ref="C1079:C1080"/>
    <mergeCell ref="C1081:C1082"/>
    <mergeCell ref="A1049:A1082"/>
    <mergeCell ref="B1049:B1060"/>
    <mergeCell ref="C1049:C1052"/>
    <mergeCell ref="C1053:C1056"/>
    <mergeCell ref="C1057:C1058"/>
    <mergeCell ref="C1059:C1060"/>
    <mergeCell ref="B1061:B1066"/>
    <mergeCell ref="C1061:C1063"/>
    <mergeCell ref="C1064:C1066"/>
    <mergeCell ref="A1011:A1048"/>
    <mergeCell ref="B1011:B1018"/>
    <mergeCell ref="C1011:C1012"/>
    <mergeCell ref="C1013:C1014"/>
    <mergeCell ref="C1015:C1016"/>
    <mergeCell ref="C987:C988"/>
    <mergeCell ref="B989:B998"/>
    <mergeCell ref="C989:C991"/>
    <mergeCell ref="C992:C994"/>
    <mergeCell ref="C995:C996"/>
    <mergeCell ref="C997:C998"/>
    <mergeCell ref="A973:A1010"/>
    <mergeCell ref="B973:B980"/>
    <mergeCell ref="C973:C974"/>
    <mergeCell ref="C975:C976"/>
    <mergeCell ref="C977:C978"/>
    <mergeCell ref="C979:C980"/>
    <mergeCell ref="B981:B988"/>
    <mergeCell ref="C981:C982"/>
    <mergeCell ref="C983:C984"/>
    <mergeCell ref="C985:C986"/>
    <mergeCell ref="B1027:B1036"/>
    <mergeCell ref="C1027:C1029"/>
    <mergeCell ref="C1030:C1032"/>
    <mergeCell ref="C1033:C1034"/>
    <mergeCell ref="C1035:C1036"/>
    <mergeCell ref="B1037:B1048"/>
    <mergeCell ref="C1037:C1040"/>
    <mergeCell ref="C1041:C1044"/>
    <mergeCell ref="C1045:C1046"/>
    <mergeCell ref="C1047:C1048"/>
    <mergeCell ref="C1017:C1018"/>
    <mergeCell ref="D964:D965"/>
    <mergeCell ref="A966:A972"/>
    <mergeCell ref="B966:B967"/>
    <mergeCell ref="C966:C967"/>
    <mergeCell ref="B968:B970"/>
    <mergeCell ref="C968:C970"/>
    <mergeCell ref="B971:B972"/>
    <mergeCell ref="C971:C972"/>
    <mergeCell ref="A394:A397"/>
    <mergeCell ref="B394:B397"/>
    <mergeCell ref="C394:C397"/>
    <mergeCell ref="A964:A965"/>
    <mergeCell ref="B964:B965"/>
    <mergeCell ref="C964:C965"/>
    <mergeCell ref="A381:A383"/>
    <mergeCell ref="B381:B383"/>
    <mergeCell ref="C381:C383"/>
    <mergeCell ref="A384:A385"/>
    <mergeCell ref="A386:A393"/>
    <mergeCell ref="B386:B389"/>
    <mergeCell ref="C386:C389"/>
    <mergeCell ref="B390:B393"/>
    <mergeCell ref="C390:C393"/>
    <mergeCell ref="A404:A405"/>
    <mergeCell ref="B404:B405"/>
    <mergeCell ref="C404:C405"/>
    <mergeCell ref="D404:D405"/>
    <mergeCell ref="A406:A412"/>
    <mergeCell ref="B406:B407"/>
    <mergeCell ref="C406:C407"/>
    <mergeCell ref="B408:B410"/>
    <mergeCell ref="C408:C410"/>
    <mergeCell ref="A373:A376"/>
    <mergeCell ref="B373:B376"/>
    <mergeCell ref="C373:C376"/>
    <mergeCell ref="A377:A380"/>
    <mergeCell ref="B377:B380"/>
    <mergeCell ref="C377:C380"/>
    <mergeCell ref="A359:A364"/>
    <mergeCell ref="B359:B361"/>
    <mergeCell ref="C359:C361"/>
    <mergeCell ref="B362:B364"/>
    <mergeCell ref="C362:C364"/>
    <mergeCell ref="A365:A372"/>
    <mergeCell ref="B365:B368"/>
    <mergeCell ref="C365:C368"/>
    <mergeCell ref="B369:B372"/>
    <mergeCell ref="C369:C372"/>
    <mergeCell ref="C345:C346"/>
    <mergeCell ref="B347:B358"/>
    <mergeCell ref="C347:C350"/>
    <mergeCell ref="C351:C354"/>
    <mergeCell ref="C355:C356"/>
    <mergeCell ref="C357:C358"/>
    <mergeCell ref="A327:A358"/>
    <mergeCell ref="B327:B334"/>
    <mergeCell ref="C327:C328"/>
    <mergeCell ref="C329:C330"/>
    <mergeCell ref="C331:C332"/>
    <mergeCell ref="C333:C334"/>
    <mergeCell ref="B335:B346"/>
    <mergeCell ref="C335:C338"/>
    <mergeCell ref="C339:C342"/>
    <mergeCell ref="C343:C344"/>
    <mergeCell ref="C307:C308"/>
    <mergeCell ref="C309:C310"/>
    <mergeCell ref="C311:C312"/>
    <mergeCell ref="C313:C314"/>
    <mergeCell ref="B315:B326"/>
    <mergeCell ref="C315:C318"/>
    <mergeCell ref="C319:C322"/>
    <mergeCell ref="C323:C324"/>
    <mergeCell ref="C325:C326"/>
    <mergeCell ref="B295:B298"/>
    <mergeCell ref="C295:C296"/>
    <mergeCell ref="C297:C298"/>
    <mergeCell ref="A299:A326"/>
    <mergeCell ref="B299:B306"/>
    <mergeCell ref="C299:C300"/>
    <mergeCell ref="C301:C302"/>
    <mergeCell ref="C303:C304"/>
    <mergeCell ref="C305:C306"/>
    <mergeCell ref="B307:B314"/>
    <mergeCell ref="C283:C284"/>
    <mergeCell ref="B285:B294"/>
    <mergeCell ref="C285:C287"/>
    <mergeCell ref="C288:C290"/>
    <mergeCell ref="C291:C292"/>
    <mergeCell ref="C293:C294"/>
    <mergeCell ref="A265:A298"/>
    <mergeCell ref="B265:B272"/>
    <mergeCell ref="C265:C266"/>
    <mergeCell ref="C267:C268"/>
    <mergeCell ref="C269:C270"/>
    <mergeCell ref="C271:C272"/>
    <mergeCell ref="B273:B284"/>
    <mergeCell ref="C273:C276"/>
    <mergeCell ref="C277:C280"/>
    <mergeCell ref="C281:C282"/>
    <mergeCell ref="A255:A264"/>
    <mergeCell ref="B255:B264"/>
    <mergeCell ref="C255:C257"/>
    <mergeCell ref="C258:C260"/>
    <mergeCell ref="C261:C262"/>
    <mergeCell ref="C263:C264"/>
    <mergeCell ref="A243:A254"/>
    <mergeCell ref="B243:B254"/>
    <mergeCell ref="C243:C246"/>
    <mergeCell ref="C247:C250"/>
    <mergeCell ref="C251:C252"/>
    <mergeCell ref="C253:C254"/>
    <mergeCell ref="C227:C230"/>
    <mergeCell ref="C231:C234"/>
    <mergeCell ref="C235:C236"/>
    <mergeCell ref="C237:C238"/>
    <mergeCell ref="B239:B242"/>
    <mergeCell ref="C239:C240"/>
    <mergeCell ref="C241:C242"/>
    <mergeCell ref="A209:A242"/>
    <mergeCell ref="B209:B220"/>
    <mergeCell ref="C209:C212"/>
    <mergeCell ref="C213:C216"/>
    <mergeCell ref="C217:C218"/>
    <mergeCell ref="C219:C220"/>
    <mergeCell ref="B221:B226"/>
    <mergeCell ref="C221:C223"/>
    <mergeCell ref="C224:C226"/>
    <mergeCell ref="B227:B238"/>
    <mergeCell ref="B187:B196"/>
    <mergeCell ref="C187:C189"/>
    <mergeCell ref="C190:C192"/>
    <mergeCell ref="C193:C194"/>
    <mergeCell ref="C195:C196"/>
    <mergeCell ref="B197:B208"/>
    <mergeCell ref="C197:C200"/>
    <mergeCell ref="C201:C204"/>
    <mergeCell ref="C205:C206"/>
    <mergeCell ref="C207:C208"/>
    <mergeCell ref="C177:C178"/>
    <mergeCell ref="B179:B186"/>
    <mergeCell ref="C179:C180"/>
    <mergeCell ref="C181:C182"/>
    <mergeCell ref="C183:C184"/>
    <mergeCell ref="C185:C186"/>
    <mergeCell ref="B159:B170"/>
    <mergeCell ref="C159:C162"/>
    <mergeCell ref="C163:C166"/>
    <mergeCell ref="C167:C168"/>
    <mergeCell ref="C169:C170"/>
    <mergeCell ref="A124:A125"/>
    <mergeCell ref="B124:B125"/>
    <mergeCell ref="C124:C125"/>
    <mergeCell ref="D124:D125"/>
    <mergeCell ref="A126:A132"/>
    <mergeCell ref="B126:B127"/>
    <mergeCell ref="C126:C127"/>
    <mergeCell ref="B128:B130"/>
    <mergeCell ref="C128:C130"/>
    <mergeCell ref="B131:B132"/>
    <mergeCell ref="A171:A208"/>
    <mergeCell ref="B171:B178"/>
    <mergeCell ref="C171:C172"/>
    <mergeCell ref="C173:C174"/>
    <mergeCell ref="C175:C176"/>
    <mergeCell ref="C145:C146"/>
    <mergeCell ref="C147:C148"/>
    <mergeCell ref="B149:B158"/>
    <mergeCell ref="C149:C151"/>
    <mergeCell ref="C152:C154"/>
    <mergeCell ref="C155:C156"/>
    <mergeCell ref="C157:C158"/>
    <mergeCell ref="C131:C132"/>
    <mergeCell ref="A133:A170"/>
    <mergeCell ref="B133:B140"/>
    <mergeCell ref="C133:C134"/>
    <mergeCell ref="C135:C136"/>
    <mergeCell ref="C137:C138"/>
    <mergeCell ref="C139:C140"/>
    <mergeCell ref="B141:B148"/>
    <mergeCell ref="C141:C142"/>
    <mergeCell ref="C143:C144"/>
  </mergeCells>
  <conditionalFormatting sqref="J7:AX10">
    <cfRule type="containsErrors" dxfId="3" priority="2">
      <formula>ISERROR(J7)</formula>
    </cfRule>
  </conditionalFormatting>
  <conditionalFormatting sqref="J126:AX397">
    <cfRule type="containsErrors" dxfId="2" priority="1">
      <formula>ISERROR(J126)</formula>
    </cfRule>
  </conditionalFormatting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121" r:id="rId3" name="Drop Down 1">
              <controlPr defaultSize="0" autoLine="0" autoPict="0">
                <anchor moveWithCells="1">
                  <from>
                    <xdr:col>0</xdr:col>
                    <xdr:colOff>6350</xdr:colOff>
                    <xdr:row>1</xdr:row>
                    <xdr:rowOff>6350</xdr:rowOff>
                  </from>
                  <to>
                    <xdr:col>0</xdr:col>
                    <xdr:colOff>2470150</xdr:colOff>
                    <xdr:row>3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2" r:id="rId4" name="Drop Down 2">
              <controlPr defaultSize="0" autoLine="0" autoPict="0">
                <anchor moveWithCells="1">
                  <from>
                    <xdr:col>1</xdr:col>
                    <xdr:colOff>31750</xdr:colOff>
                    <xdr:row>1</xdr:row>
                    <xdr:rowOff>19050</xdr:rowOff>
                  </from>
                  <to>
                    <xdr:col>1</xdr:col>
                    <xdr:colOff>2127250</xdr:colOff>
                    <xdr:row>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3" r:id="rId5" name="Drop Down 3">
              <controlPr defaultSize="0" autoLine="0" autoPict="0">
                <anchor moveWithCells="1">
                  <from>
                    <xdr:col>2</xdr:col>
                    <xdr:colOff>31750</xdr:colOff>
                    <xdr:row>1</xdr:row>
                    <xdr:rowOff>19050</xdr:rowOff>
                  </from>
                  <to>
                    <xdr:col>2</xdr:col>
                    <xdr:colOff>1530350</xdr:colOff>
                    <xdr:row>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4" r:id="rId6" name="Drop Down 4">
              <controlPr defaultSize="0" autoLine="0" autoPict="0">
                <anchor moveWithCells="1">
                  <from>
                    <xdr:col>3</xdr:col>
                    <xdr:colOff>19050</xdr:colOff>
                    <xdr:row>1</xdr:row>
                    <xdr:rowOff>19050</xdr:rowOff>
                  </from>
                  <to>
                    <xdr:col>3</xdr:col>
                    <xdr:colOff>527050</xdr:colOff>
                    <xdr:row>3</xdr:row>
                    <xdr:rowOff>19050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/>
  <dimension ref="A1:AZ2297"/>
  <sheetViews>
    <sheetView showGridLines="0" zoomScaleNormal="100" workbookViewId="0">
      <pane ySplit="8" topLeftCell="A1575" activePane="bottomLeft" state="frozen"/>
      <selection pane="bottomLeft" activeCell="B519" sqref="B519:B526"/>
    </sheetView>
  </sheetViews>
  <sheetFormatPr defaultColWidth="9.08984375" defaultRowHeight="10.5" x14ac:dyDescent="0.25"/>
  <cols>
    <col min="1" max="1" width="37.453125" style="133" customWidth="1"/>
    <col min="2" max="2" width="32.453125" style="133" customWidth="1"/>
    <col min="3" max="3" width="23.54296875" style="133" customWidth="1"/>
    <col min="4" max="4" width="8.26953125" style="133" customWidth="1"/>
    <col min="5" max="9" width="8.984375E-2" style="133" customWidth="1"/>
    <col min="10" max="10" width="8.7265625" style="133" customWidth="1"/>
    <col min="11" max="14" width="8.984375E-2" style="133" customWidth="1"/>
    <col min="15" max="15" width="8.7265625" style="133" customWidth="1"/>
    <col min="16" max="19" width="8.984375E-2" style="133" customWidth="1"/>
    <col min="20" max="20" width="8.7265625" style="133" customWidth="1"/>
    <col min="21" max="24" width="8.984375E-2" style="133" customWidth="1"/>
    <col min="25" max="25" width="8.7265625" style="133" customWidth="1"/>
    <col min="26" max="29" width="8.984375E-2" style="133" customWidth="1"/>
    <col min="30" max="30" width="8.7265625" style="133" customWidth="1"/>
    <col min="31" max="34" width="8.984375E-2" style="133" customWidth="1"/>
    <col min="35" max="35" width="8.7265625" style="133" customWidth="1"/>
    <col min="36" max="39" width="8.984375E-2" style="133" customWidth="1"/>
    <col min="40" max="40" width="8.7265625" style="133" customWidth="1"/>
    <col min="41" max="44" width="8.984375E-2" style="133" customWidth="1"/>
    <col min="45" max="45" width="8.7265625" style="133" customWidth="1"/>
    <col min="46" max="49" width="8.984375E-2" style="133" customWidth="1"/>
    <col min="50" max="16384" width="9.08984375" style="133"/>
  </cols>
  <sheetData>
    <row r="1" spans="1:51" x14ac:dyDescent="0.25">
      <c r="A1" s="267" t="s">
        <v>83</v>
      </c>
      <c r="B1" s="267" t="s">
        <v>58</v>
      </c>
      <c r="C1" s="267" t="s">
        <v>59</v>
      </c>
      <c r="D1" s="267" t="s">
        <v>60</v>
      </c>
      <c r="P1" s="157"/>
      <c r="Q1" s="157"/>
      <c r="R1" s="157"/>
      <c r="S1" s="157"/>
      <c r="T1" s="386" t="s">
        <v>93</v>
      </c>
      <c r="U1" s="386"/>
      <c r="V1" s="386"/>
      <c r="W1" s="386"/>
      <c r="X1" s="386"/>
      <c r="Y1" s="386"/>
      <c r="Z1" s="386"/>
      <c r="AA1" s="386"/>
      <c r="AB1" s="386"/>
      <c r="AC1" s="386"/>
      <c r="AD1" s="386"/>
      <c r="AE1" s="386"/>
      <c r="AF1" s="386"/>
      <c r="AG1" s="386"/>
      <c r="AH1" s="386"/>
      <c r="AI1" s="386"/>
      <c r="AJ1" s="386"/>
      <c r="AK1" s="386"/>
      <c r="AL1" s="386"/>
      <c r="AM1" s="386"/>
      <c r="AN1" s="386"/>
      <c r="AO1" s="386"/>
      <c r="AP1" s="386"/>
      <c r="AQ1" s="386"/>
      <c r="AR1" s="386"/>
      <c r="AS1" s="386"/>
      <c r="AT1" s="157"/>
      <c r="AU1" s="157"/>
      <c r="AV1" s="157"/>
      <c r="AW1" s="157"/>
    </row>
    <row r="2" spans="1:51" x14ac:dyDescent="0.25">
      <c r="P2" s="157"/>
      <c r="Q2" s="157"/>
      <c r="R2" s="157"/>
      <c r="S2" s="157"/>
      <c r="T2" s="157"/>
      <c r="U2" s="157"/>
      <c r="V2" s="157"/>
      <c r="W2" s="157"/>
      <c r="X2" s="157"/>
      <c r="Y2" s="157"/>
      <c r="Z2" s="157"/>
      <c r="AA2" s="157"/>
      <c r="AB2" s="157"/>
      <c r="AC2" s="157"/>
      <c r="AD2" s="157"/>
      <c r="AE2" s="157"/>
      <c r="AF2" s="157"/>
      <c r="AG2" s="157"/>
      <c r="AH2" s="157"/>
      <c r="AI2" s="157"/>
      <c r="AJ2" s="157"/>
      <c r="AK2" s="157"/>
      <c r="AL2" s="157"/>
      <c r="AM2" s="157"/>
      <c r="AN2" s="157"/>
      <c r="AO2" s="157"/>
      <c r="AP2" s="157"/>
      <c r="AQ2" s="157"/>
      <c r="AR2" s="157"/>
      <c r="AS2" s="157"/>
      <c r="AT2" s="157"/>
      <c r="AU2" s="157"/>
      <c r="AV2" s="157"/>
      <c r="AW2" s="157"/>
    </row>
    <row r="3" spans="1:51" x14ac:dyDescent="0.25">
      <c r="P3" s="157"/>
      <c r="Q3" s="157"/>
      <c r="R3" s="157"/>
      <c r="S3" s="157"/>
      <c r="T3" s="278" t="s">
        <v>90</v>
      </c>
      <c r="U3" s="157"/>
      <c r="V3" s="157"/>
      <c r="W3" s="157"/>
      <c r="X3" s="157"/>
      <c r="Y3" s="157"/>
      <c r="Z3" s="157"/>
      <c r="AA3" s="157"/>
      <c r="AB3" s="157"/>
      <c r="AC3" s="157"/>
      <c r="AD3" s="278" t="s">
        <v>68</v>
      </c>
      <c r="AE3" s="157"/>
      <c r="AF3" s="157"/>
      <c r="AG3" s="157"/>
      <c r="AH3" s="157"/>
      <c r="AI3" s="157"/>
      <c r="AJ3" s="157"/>
      <c r="AK3" s="157"/>
      <c r="AL3" s="157"/>
      <c r="AM3" s="157"/>
      <c r="AN3" s="278" t="s">
        <v>70</v>
      </c>
      <c r="AO3" s="157"/>
      <c r="AP3" s="157"/>
      <c r="AQ3" s="157"/>
      <c r="AR3" s="157"/>
      <c r="AS3" s="157"/>
      <c r="AT3" s="157"/>
      <c r="AU3" s="157"/>
      <c r="AV3" s="157"/>
      <c r="AW3" s="157"/>
    </row>
    <row r="4" spans="1:51" x14ac:dyDescent="0.25">
      <c r="P4" s="157"/>
      <c r="Q4" s="157"/>
      <c r="R4" s="157"/>
      <c r="S4" s="157"/>
      <c r="T4" s="157"/>
      <c r="U4" s="157"/>
      <c r="V4" s="157"/>
      <c r="W4" s="157"/>
      <c r="X4" s="157"/>
      <c r="Y4" s="157"/>
      <c r="Z4" s="157"/>
      <c r="AA4" s="157"/>
      <c r="AB4" s="157"/>
      <c r="AC4" s="157"/>
      <c r="AD4" s="157"/>
      <c r="AE4" s="157"/>
      <c r="AF4" s="157"/>
      <c r="AG4" s="157"/>
      <c r="AH4" s="157"/>
      <c r="AI4" s="157"/>
      <c r="AJ4" s="157"/>
      <c r="AK4" s="157"/>
      <c r="AL4" s="157"/>
      <c r="AM4" s="157"/>
      <c r="AN4" s="157"/>
      <c r="AO4" s="157"/>
      <c r="AP4" s="157"/>
      <c r="AQ4" s="157"/>
      <c r="AR4" s="157"/>
      <c r="AS4" s="157"/>
      <c r="AT4" s="157"/>
      <c r="AU4" s="157"/>
      <c r="AV4" s="157"/>
      <c r="AW4" s="157"/>
    </row>
    <row r="5" spans="1:51" x14ac:dyDescent="0.25">
      <c r="A5" s="268" t="s">
        <v>84</v>
      </c>
      <c r="B5" s="268" t="s">
        <v>58</v>
      </c>
      <c r="C5" s="268" t="s">
        <v>59</v>
      </c>
      <c r="D5" s="268" t="s">
        <v>60</v>
      </c>
      <c r="P5" s="157"/>
      <c r="Q5" s="157"/>
      <c r="R5" s="157"/>
      <c r="S5" s="157"/>
      <c r="T5" s="157"/>
      <c r="U5" s="157"/>
      <c r="V5" s="157"/>
      <c r="W5" s="157"/>
      <c r="X5" s="157"/>
      <c r="Y5" s="157"/>
      <c r="Z5" s="157"/>
      <c r="AA5" s="157"/>
      <c r="AB5" s="157"/>
      <c r="AC5" s="157"/>
      <c r="AD5" s="157"/>
      <c r="AE5" s="157"/>
      <c r="AF5" s="157"/>
      <c r="AG5" s="157"/>
      <c r="AH5" s="157"/>
      <c r="AI5" s="157"/>
      <c r="AJ5" s="157"/>
      <c r="AK5" s="157"/>
      <c r="AL5" s="157"/>
      <c r="AM5" s="157"/>
      <c r="AN5" s="157"/>
      <c r="AO5" s="157"/>
      <c r="AP5" s="157"/>
      <c r="AQ5" s="157"/>
      <c r="AR5" s="157"/>
      <c r="AS5" s="157"/>
      <c r="AT5" s="157"/>
      <c r="AU5" s="157"/>
      <c r="AV5" s="157"/>
      <c r="AW5" s="157"/>
    </row>
    <row r="6" spans="1:51" x14ac:dyDescent="0.25">
      <c r="P6" s="157"/>
      <c r="Q6" s="157"/>
      <c r="R6" s="157"/>
      <c r="S6" s="157"/>
      <c r="T6" s="278" t="s">
        <v>91</v>
      </c>
      <c r="U6" s="157"/>
      <c r="V6" s="157"/>
      <c r="W6" s="157"/>
      <c r="X6" s="157"/>
      <c r="Y6" s="157"/>
      <c r="Z6" s="157"/>
      <c r="AA6" s="157"/>
      <c r="AB6" s="157"/>
      <c r="AC6" s="157"/>
      <c r="AD6" s="157"/>
      <c r="AE6" s="157"/>
      <c r="AF6" s="157"/>
      <c r="AG6" s="157"/>
      <c r="AH6" s="157"/>
      <c r="AI6" s="157"/>
      <c r="AJ6" s="157"/>
      <c r="AK6" s="157"/>
      <c r="AL6" s="157"/>
      <c r="AM6" s="157"/>
      <c r="AN6" s="278" t="s">
        <v>92</v>
      </c>
      <c r="AO6" s="157"/>
      <c r="AP6" s="157"/>
      <c r="AQ6" s="157"/>
      <c r="AR6" s="157"/>
      <c r="AS6" s="157"/>
      <c r="AT6" s="157"/>
      <c r="AU6" s="157"/>
      <c r="AV6" s="157"/>
      <c r="AW6" s="157"/>
      <c r="AY6" s="269"/>
    </row>
    <row r="7" spans="1:51" x14ac:dyDescent="0.25">
      <c r="P7" s="157"/>
      <c r="Q7" s="157"/>
      <c r="R7" s="157"/>
      <c r="S7" s="157"/>
      <c r="T7" s="276">
        <v>7.1999999999999995E-2</v>
      </c>
      <c r="U7" s="157"/>
      <c r="V7" s="157"/>
      <c r="W7" s="157"/>
      <c r="X7" s="157"/>
      <c r="Y7" s="157"/>
      <c r="Z7" s="157"/>
      <c r="AA7" s="157"/>
      <c r="AB7" s="157"/>
      <c r="AC7" s="157"/>
      <c r="AD7" s="157"/>
      <c r="AE7" s="157"/>
      <c r="AF7" s="157"/>
      <c r="AG7" s="157"/>
      <c r="AH7" s="157"/>
      <c r="AI7" s="157"/>
      <c r="AJ7" s="157"/>
      <c r="AK7" s="157"/>
      <c r="AL7" s="157"/>
      <c r="AM7" s="157"/>
      <c r="AN7" s="277">
        <v>88</v>
      </c>
      <c r="AO7" s="157"/>
      <c r="AP7" s="157"/>
      <c r="AQ7" s="157"/>
      <c r="AR7" s="157"/>
      <c r="AS7" s="157"/>
      <c r="AT7" s="157"/>
      <c r="AU7" s="157"/>
      <c r="AV7" s="157"/>
      <c r="AW7" s="157"/>
    </row>
    <row r="8" spans="1:51" x14ac:dyDescent="0.25">
      <c r="P8" s="157"/>
      <c r="Q8" s="157"/>
      <c r="R8" s="157"/>
      <c r="S8" s="157"/>
      <c r="T8" s="157"/>
      <c r="U8" s="157"/>
      <c r="V8" s="157"/>
      <c r="W8" s="157"/>
      <c r="X8" s="157"/>
      <c r="Y8" s="157"/>
      <c r="Z8" s="157"/>
      <c r="AA8" s="157"/>
      <c r="AB8" s="157"/>
      <c r="AC8" s="157"/>
      <c r="AD8" s="157"/>
      <c r="AE8" s="157"/>
      <c r="AF8" s="157"/>
      <c r="AG8" s="157"/>
      <c r="AH8" s="157"/>
      <c r="AI8" s="157"/>
      <c r="AJ8" s="157"/>
      <c r="AK8" s="157"/>
      <c r="AL8" s="157"/>
      <c r="AM8" s="157"/>
      <c r="AN8" s="157"/>
      <c r="AO8" s="157"/>
      <c r="AP8" s="157"/>
      <c r="AQ8" s="157"/>
      <c r="AR8" s="157"/>
      <c r="AS8" s="157"/>
      <c r="AT8" s="157"/>
      <c r="AU8" s="157"/>
      <c r="AV8" s="157"/>
      <c r="AW8" s="157"/>
    </row>
    <row r="10" spans="1:51" x14ac:dyDescent="0.25">
      <c r="A10" s="196" t="str">
        <f>I11</f>
        <v>Wind power plants / Onshore / Electricity only / L</v>
      </c>
      <c r="B10" s="197"/>
      <c r="C10" s="197"/>
      <c r="D10" s="197"/>
      <c r="E10" s="197"/>
      <c r="F10" s="197"/>
      <c r="G10" s="197"/>
      <c r="H10" s="197"/>
      <c r="I10" s="197"/>
      <c r="J10" s="197">
        <f t="shared" ref="J10:O10" si="0">J$625</f>
        <v>2010</v>
      </c>
      <c r="K10" s="197">
        <f t="shared" si="0"/>
        <v>2011</v>
      </c>
      <c r="L10" s="197">
        <f t="shared" si="0"/>
        <v>2012</v>
      </c>
      <c r="M10" s="197">
        <f t="shared" si="0"/>
        <v>2013</v>
      </c>
      <c r="N10" s="197">
        <f t="shared" si="0"/>
        <v>2014</v>
      </c>
      <c r="O10" s="197">
        <f t="shared" si="0"/>
        <v>2015</v>
      </c>
      <c r="P10" s="197">
        <f t="shared" ref="P10:AX10" si="1">P$625</f>
        <v>2016</v>
      </c>
      <c r="Q10" s="197">
        <f t="shared" si="1"/>
        <v>2017</v>
      </c>
      <c r="R10" s="197">
        <f t="shared" si="1"/>
        <v>2018</v>
      </c>
      <c r="S10" s="197">
        <f t="shared" si="1"/>
        <v>2019</v>
      </c>
      <c r="T10" s="197">
        <f t="shared" si="1"/>
        <v>2020</v>
      </c>
      <c r="U10" s="197">
        <f t="shared" si="1"/>
        <v>2021</v>
      </c>
      <c r="V10" s="197">
        <f t="shared" si="1"/>
        <v>2022</v>
      </c>
      <c r="W10" s="197">
        <f t="shared" si="1"/>
        <v>2023</v>
      </c>
      <c r="X10" s="197">
        <f t="shared" si="1"/>
        <v>2024</v>
      </c>
      <c r="Y10" s="197">
        <f t="shared" si="1"/>
        <v>2025</v>
      </c>
      <c r="Z10" s="197">
        <f t="shared" si="1"/>
        <v>2026</v>
      </c>
      <c r="AA10" s="197">
        <f t="shared" si="1"/>
        <v>2027</v>
      </c>
      <c r="AB10" s="197">
        <f t="shared" si="1"/>
        <v>2028</v>
      </c>
      <c r="AC10" s="197">
        <f t="shared" si="1"/>
        <v>2029</v>
      </c>
      <c r="AD10" s="197">
        <f t="shared" si="1"/>
        <v>2030</v>
      </c>
      <c r="AE10" s="197">
        <f t="shared" si="1"/>
        <v>2031</v>
      </c>
      <c r="AF10" s="197">
        <f t="shared" si="1"/>
        <v>2032</v>
      </c>
      <c r="AG10" s="197">
        <f t="shared" si="1"/>
        <v>2033</v>
      </c>
      <c r="AH10" s="197">
        <f t="shared" si="1"/>
        <v>2034</v>
      </c>
      <c r="AI10" s="197">
        <f t="shared" si="1"/>
        <v>2035</v>
      </c>
      <c r="AJ10" s="197">
        <f t="shared" si="1"/>
        <v>2036</v>
      </c>
      <c r="AK10" s="197">
        <f t="shared" si="1"/>
        <v>2037</v>
      </c>
      <c r="AL10" s="197">
        <f t="shared" si="1"/>
        <v>2038</v>
      </c>
      <c r="AM10" s="197">
        <f t="shared" si="1"/>
        <v>2039</v>
      </c>
      <c r="AN10" s="197">
        <f t="shared" si="1"/>
        <v>2040</v>
      </c>
      <c r="AO10" s="197">
        <f t="shared" si="1"/>
        <v>2041</v>
      </c>
      <c r="AP10" s="197">
        <f t="shared" si="1"/>
        <v>2042</v>
      </c>
      <c r="AQ10" s="197">
        <f t="shared" si="1"/>
        <v>2043</v>
      </c>
      <c r="AR10" s="197">
        <f t="shared" si="1"/>
        <v>2044</v>
      </c>
      <c r="AS10" s="197">
        <f t="shared" si="1"/>
        <v>2045</v>
      </c>
      <c r="AT10" s="197">
        <f t="shared" si="1"/>
        <v>2046</v>
      </c>
      <c r="AU10" s="197">
        <f t="shared" si="1"/>
        <v>2047</v>
      </c>
      <c r="AV10" s="197">
        <f t="shared" si="1"/>
        <v>2048</v>
      </c>
      <c r="AW10" s="197">
        <f t="shared" si="1"/>
        <v>2049</v>
      </c>
      <c r="AX10" s="198">
        <f t="shared" si="1"/>
        <v>2050</v>
      </c>
    </row>
    <row r="11" spans="1:51" x14ac:dyDescent="0.25">
      <c r="A11" s="242" t="str">
        <f>$J$344</f>
        <v>Levelized costs (€2010 / MWh net)</v>
      </c>
      <c r="B11" s="199"/>
      <c r="C11" s="199"/>
      <c r="D11" s="199"/>
      <c r="E11" s="199"/>
      <c r="F11" s="199"/>
      <c r="G11" s="199"/>
      <c r="H11" s="199" t="str">
        <f>A11&amp;CHAR(13)&amp;I11</f>
        <v>Levelized costs (€2010 / MWh net)_x000D_Wind power plants / Onshore / Electricity only / L</v>
      </c>
      <c r="I11" s="199" t="str">
        <f>INDEX(F$346:F$617,$D$119)&amp;" / "&amp;INDEX(G$346:G$617,$D$119)&amp;" / "&amp;INDEX(H$346:H$617,$D$119)&amp;" / "&amp;INDEX(I$346:I$617,$D$119)</f>
        <v>Wind power plants / Onshore / Electricity only / L</v>
      </c>
      <c r="J11" s="202">
        <f t="shared" ref="J11:O11" si="2">IF(LEN(INDEX(J$346:J$617,$D$119))&lt;=0,NA(),INDEX(J$346:J$617,$D$119))</f>
        <v>36.793907559603021</v>
      </c>
      <c r="K11" s="202">
        <f t="shared" si="2"/>
        <v>35.005996199669717</v>
      </c>
      <c r="L11" s="202">
        <f t="shared" si="2"/>
        <v>33.832679369713496</v>
      </c>
      <c r="M11" s="202">
        <f t="shared" si="2"/>
        <v>33.078404264741629</v>
      </c>
      <c r="N11" s="202">
        <f t="shared" si="2"/>
        <v>32.647370451367465</v>
      </c>
      <c r="O11" s="202">
        <f t="shared" si="2"/>
        <v>32.324129159769761</v>
      </c>
      <c r="P11" s="202">
        <f t="shared" ref="P11:AX11" si="3">IF(LEN(INDEX(P$346:P$617,$D$119))&lt;=0,NA(),INDEX(P$346:P$617,$D$119))</f>
        <v>31.803541195923092</v>
      </c>
      <c r="Q11" s="202">
        <f t="shared" si="3"/>
        <v>31.461905344648713</v>
      </c>
      <c r="R11" s="202">
        <f t="shared" si="3"/>
        <v>31.242282297400898</v>
      </c>
      <c r="S11" s="202">
        <f t="shared" si="3"/>
        <v>31.077565011965039</v>
      </c>
      <c r="T11" s="202">
        <f t="shared" si="3"/>
        <v>31.02265925015308</v>
      </c>
      <c r="U11" s="202">
        <f t="shared" si="3"/>
        <v>30.75002936145702</v>
      </c>
      <c r="V11" s="202">
        <f t="shared" si="3"/>
        <v>30.472321038493874</v>
      </c>
      <c r="W11" s="202">
        <f t="shared" si="3"/>
        <v>30.189810974613245</v>
      </c>
      <c r="X11" s="202">
        <f t="shared" si="3"/>
        <v>29.90280531156117</v>
      </c>
      <c r="Y11" s="202">
        <f t="shared" si="3"/>
        <v>29.611639527519088</v>
      </c>
      <c r="Z11" s="202">
        <f t="shared" si="3"/>
        <v>29.316678056552021</v>
      </c>
      <c r="AA11" s="202">
        <f t="shared" si="3"/>
        <v>29.018313621394547</v>
      </c>
      <c r="AB11" s="202">
        <f t="shared" si="3"/>
        <v>28.716966264397129</v>
      </c>
      <c r="AC11" s="202">
        <f t="shared" si="3"/>
        <v>28.413082064981278</v>
      </c>
      <c r="AD11" s="202">
        <f t="shared" si="3"/>
        <v>28.107131536096425</v>
      </c>
      <c r="AE11" s="202">
        <f t="shared" si="3"/>
        <v>27.799607696898732</v>
      </c>
      <c r="AF11" s="202">
        <f t="shared" si="3"/>
        <v>27.491023824126064</v>
      </c>
      <c r="AG11" s="202">
        <f t="shared" si="3"/>
        <v>27.181910890339406</v>
      </c>
      <c r="AH11" s="202">
        <f t="shared" si="3"/>
        <v>26.872814703236713</v>
      </c>
      <c r="AI11" s="202">
        <f t="shared" si="3"/>
        <v>26.564292766488695</v>
      </c>
      <c r="AJ11" s="202">
        <f t="shared" si="3"/>
        <v>26.256910888849063</v>
      </c>
      <c r="AK11" s="202">
        <f t="shared" si="3"/>
        <v>25.951239574486834</v>
      </c>
      <c r="AL11" s="202">
        <f t="shared" si="3"/>
        <v>25.647850233394443</v>
      </c>
      <c r="AM11" s="202">
        <f t="shared" si="3"/>
        <v>25.347311256155667</v>
      </c>
      <c r="AN11" s="202">
        <f t="shared" si="3"/>
        <v>25.050184002123878</v>
      </c>
      <c r="AO11" s="202">
        <f t="shared" si="3"/>
        <v>24.757018753982589</v>
      </c>
      <c r="AP11" s="202">
        <f t="shared" si="3"/>
        <v>24.4683506945712</v>
      </c>
      <c r="AQ11" s="202">
        <f t="shared" si="3"/>
        <v>24.184695963615976</v>
      </c>
      <c r="AR11" s="202">
        <f t="shared" si="3"/>
        <v>23.906547852497262</v>
      </c>
      <c r="AS11" s="202">
        <f t="shared" si="3"/>
        <v>23.634373194332813</v>
      </c>
      <c r="AT11" s="202">
        <f t="shared" si="3"/>
        <v>23.368609004431775</v>
      </c>
      <c r="AU11" s="202">
        <f t="shared" si="3"/>
        <v>23.109659422586279</v>
      </c>
      <c r="AV11" s="202">
        <f t="shared" si="3"/>
        <v>22.857893003780152</v>
      </c>
      <c r="AW11" s="202">
        <f t="shared" si="3"/>
        <v>22.613640397815036</v>
      </c>
      <c r="AX11" s="203">
        <f t="shared" si="3"/>
        <v>22.377192451235903</v>
      </c>
    </row>
    <row r="12" spans="1:51" x14ac:dyDescent="0.25">
      <c r="A12" s="242" t="str">
        <f>$J$624</f>
        <v>Fixed annual levelized costs</v>
      </c>
      <c r="B12" s="199"/>
      <c r="C12" s="199"/>
      <c r="D12" s="199"/>
      <c r="E12" s="199"/>
      <c r="F12" s="199"/>
      <c r="G12" s="199"/>
      <c r="H12" s="199"/>
      <c r="I12" s="199" t="str">
        <f>INDEX(F$626:F$897,$D$119)&amp;" / "&amp;INDEX(G$626:G$897,$D$119)&amp;" / "&amp;INDEX(H$626:H$897,$D$119)&amp;" / "&amp;INDEX(I$626:I$897,$D$119)</f>
        <v>Wind power plants / Onshore / Electricity only / L</v>
      </c>
      <c r="J12" s="202">
        <f t="shared" ref="J12:O12" si="4">IF(LEN(INDEX(J$626:J$897,$D$119))&lt;=0,NA(),INDEX(J$626:J$897,$D$119))</f>
        <v>36.224153749520958</v>
      </c>
      <c r="K12" s="202">
        <f t="shared" si="4"/>
        <v>34.46392820435905</v>
      </c>
      <c r="L12" s="202">
        <f t="shared" si="4"/>
        <v>33.308780190346553</v>
      </c>
      <c r="M12" s="202">
        <f t="shared" si="4"/>
        <v>32.566185038481372</v>
      </c>
      <c r="N12" s="202">
        <f t="shared" si="4"/>
        <v>32.141825785482354</v>
      </c>
      <c r="O12" s="202">
        <f t="shared" si="4"/>
        <v>31.823589886616187</v>
      </c>
      <c r="P12" s="202">
        <f t="shared" ref="P12:AX12" si="5">IF(LEN(INDEX(P$626:P$897,$D$119))&lt;=0,NA(),INDEX(P$626:P$897,$D$119))</f>
        <v>31.311063229533524</v>
      </c>
      <c r="Q12" s="202">
        <f t="shared" si="5"/>
        <v>30.974717610823024</v>
      </c>
      <c r="R12" s="202">
        <f t="shared" si="5"/>
        <v>30.758495427366277</v>
      </c>
      <c r="S12" s="202">
        <f t="shared" si="5"/>
        <v>30.596328789773715</v>
      </c>
      <c r="T12" s="202">
        <f t="shared" si="5"/>
        <v>30.542273243909523</v>
      </c>
      <c r="U12" s="202">
        <f t="shared" si="5"/>
        <v>30.273865030162643</v>
      </c>
      <c r="V12" s="202">
        <f t="shared" si="5"/>
        <v>30.000457021724216</v>
      </c>
      <c r="W12" s="202">
        <f t="shared" si="5"/>
        <v>29.72232162734619</v>
      </c>
      <c r="X12" s="202">
        <f t="shared" si="5"/>
        <v>29.439760248168401</v>
      </c>
      <c r="Y12" s="202">
        <f t="shared" si="5"/>
        <v>29.153103167491263</v>
      </c>
      <c r="Z12" s="202">
        <f t="shared" si="5"/>
        <v>28.862709176116809</v>
      </c>
      <c r="AA12" s="202">
        <f t="shared" si="5"/>
        <v>28.568964915466445</v>
      </c>
      <c r="AB12" s="202">
        <f t="shared" si="5"/>
        <v>28.272283923533116</v>
      </c>
      <c r="AC12" s="202">
        <f t="shared" si="5"/>
        <v>27.973105372196652</v>
      </c>
      <c r="AD12" s="202">
        <f t="shared" si="5"/>
        <v>27.671892488511521</v>
      </c>
      <c r="AE12" s="202">
        <f t="shared" si="5"/>
        <v>27.369130657230222</v>
      </c>
      <c r="AF12" s="202">
        <f t="shared" si="5"/>
        <v>27.065325206998224</v>
      </c>
      <c r="AG12" s="202">
        <f t="shared" si="5"/>
        <v>26.760998888264215</v>
      </c>
      <c r="AH12" s="202">
        <f t="shared" si="5"/>
        <v>26.456689056891701</v>
      </c>
      <c r="AI12" s="202">
        <f t="shared" si="5"/>
        <v>26.152944583604757</v>
      </c>
      <c r="AJ12" s="202">
        <f t="shared" si="5"/>
        <v>25.850322515606209</v>
      </c>
      <c r="AK12" s="202">
        <f t="shared" si="5"/>
        <v>25.549384522805667</v>
      </c>
      <c r="AL12" s="202">
        <f t="shared" si="5"/>
        <v>25.250693166909485</v>
      </c>
      <c r="AM12" s="202">
        <f t="shared" si="5"/>
        <v>24.954808036970906</v>
      </c>
      <c r="AN12" s="202">
        <f t="shared" si="5"/>
        <v>24.662281799691407</v>
      </c>
      <c r="AO12" s="202">
        <f t="shared" si="5"/>
        <v>24.373656216624873</v>
      </c>
      <c r="AP12" s="202">
        <f t="shared" si="5"/>
        <v>24.089458183302238</v>
      </c>
      <c r="AQ12" s="202">
        <f t="shared" si="5"/>
        <v>23.81019584702398</v>
      </c>
      <c r="AR12" s="202">
        <f t="shared" si="5"/>
        <v>23.536354860551384</v>
      </c>
      <c r="AS12" s="202">
        <f t="shared" si="5"/>
        <v>23.268394828089459</v>
      </c>
      <c r="AT12" s="202">
        <f t="shared" si="5"/>
        <v>23.006745997763488</v>
      </c>
      <c r="AU12" s="202">
        <f t="shared" si="5"/>
        <v>22.751806251259254</v>
      </c>
      <c r="AV12" s="202">
        <f t="shared" si="5"/>
        <v>22.503938436485143</v>
      </c>
      <c r="AW12" s="202">
        <f t="shared" si="5"/>
        <v>22.263468083129258</v>
      </c>
      <c r="AX12" s="203">
        <f t="shared" si="5"/>
        <v>22.030681533976622</v>
      </c>
    </row>
    <row r="13" spans="1:51" x14ac:dyDescent="0.25">
      <c r="A13" s="242" t="str">
        <f>$J$904</f>
        <v>Fuel and variable costs</v>
      </c>
      <c r="B13" s="199"/>
      <c r="C13" s="199"/>
      <c r="D13" s="199"/>
      <c r="E13" s="199"/>
      <c r="F13" s="199"/>
      <c r="G13" s="199"/>
      <c r="H13" s="199"/>
      <c r="I13" s="199" t="str">
        <f>INDEX(F$906:F$1177,$D$119)&amp;" / "&amp;INDEX(G$906:G$1177,$D$119)&amp;" / "&amp;INDEX(H$906:H$1177,$D$119)&amp;" / "&amp;INDEX(I$906:I$1177,$D$119)</f>
        <v>Wind power plants / Onshore / Electricity only / L</v>
      </c>
      <c r="J13" s="202">
        <f t="shared" ref="J13:O13" si="6">IF(LEN(INDEX(J$906:J$1177,$D$119))&lt;=0,NA(),INDEX(J$906:J$1177,$D$119))</f>
        <v>0.56975381008206327</v>
      </c>
      <c r="K13" s="202">
        <f t="shared" si="6"/>
        <v>0.54206799531066818</v>
      </c>
      <c r="L13" s="202">
        <f t="shared" si="6"/>
        <v>0.52389917936694019</v>
      </c>
      <c r="M13" s="202">
        <f t="shared" si="6"/>
        <v>0.51221922626025795</v>
      </c>
      <c r="N13" s="202">
        <f t="shared" si="6"/>
        <v>0.50554466588511138</v>
      </c>
      <c r="O13" s="202">
        <f t="shared" si="6"/>
        <v>0.5005392731535756</v>
      </c>
      <c r="P13" s="202">
        <f t="shared" ref="P13:AX13" si="7">IF(LEN(INDEX(P$906:P$1177,$D$119))&lt;=0,NA(),INDEX(P$906:P$1177,$D$119))</f>
        <v>0.49247796638956781</v>
      </c>
      <c r="Q13" s="202">
        <f t="shared" si="7"/>
        <v>0.4871877338256877</v>
      </c>
      <c r="R13" s="202">
        <f t="shared" si="7"/>
        <v>0.4837868700346219</v>
      </c>
      <c r="S13" s="202">
        <f t="shared" si="7"/>
        <v>0.48123622219132262</v>
      </c>
      <c r="T13" s="202">
        <f t="shared" si="7"/>
        <v>0.48038600624355615</v>
      </c>
      <c r="U13" s="202">
        <f t="shared" si="7"/>
        <v>0.47616433129437591</v>
      </c>
      <c r="V13" s="202">
        <f t="shared" si="7"/>
        <v>0.47186401676965617</v>
      </c>
      <c r="W13" s="202">
        <f t="shared" si="7"/>
        <v>0.46748934726705527</v>
      </c>
      <c r="X13" s="202">
        <f t="shared" si="7"/>
        <v>0.46304506339277107</v>
      </c>
      <c r="Y13" s="202">
        <f t="shared" si="7"/>
        <v>0.45853636002782461</v>
      </c>
      <c r="Z13" s="202">
        <f t="shared" si="7"/>
        <v>0.45396888043521377</v>
      </c>
      <c r="AA13" s="202">
        <f t="shared" si="7"/>
        <v>0.44934870592810067</v>
      </c>
      <c r="AB13" s="202">
        <f t="shared" si="7"/>
        <v>0.44468234086401204</v>
      </c>
      <c r="AC13" s="202">
        <f t="shared" si="7"/>
        <v>0.43997669278462703</v>
      </c>
      <c r="AD13" s="202">
        <f t="shared" si="7"/>
        <v>0.43523904758490495</v>
      </c>
      <c r="AE13" s="202">
        <f t="shared" si="7"/>
        <v>0.43047703966850964</v>
      </c>
      <c r="AF13" s="202">
        <f t="shared" si="7"/>
        <v>0.42569861712784046</v>
      </c>
      <c r="AG13" s="202">
        <f t="shared" si="7"/>
        <v>0.42091200207519081</v>
      </c>
      <c r="AH13" s="202">
        <f t="shared" si="7"/>
        <v>0.41612564634501142</v>
      </c>
      <c r="AI13" s="202">
        <f t="shared" si="7"/>
        <v>0.41134818288393898</v>
      </c>
      <c r="AJ13" s="202">
        <f t="shared" si="7"/>
        <v>0.40658837324285474</v>
      </c>
      <c r="AK13" s="202">
        <f t="shared" si="7"/>
        <v>0.40185505168116548</v>
      </c>
      <c r="AL13" s="202">
        <f t="shared" si="7"/>
        <v>0.39715706648495708</v>
      </c>
      <c r="AM13" s="202">
        <f t="shared" si="7"/>
        <v>0.39250321918475989</v>
      </c>
      <c r="AN13" s="202">
        <f t="shared" si="7"/>
        <v>0.38790220243247298</v>
      </c>
      <c r="AO13" s="202">
        <f t="shared" si="7"/>
        <v>0.38336253735771636</v>
      </c>
      <c r="AP13" s="202">
        <f t="shared" si="7"/>
        <v>0.37889251126896217</v>
      </c>
      <c r="AQ13" s="202">
        <f t="shared" si="7"/>
        <v>0.37450011659199728</v>
      </c>
      <c r="AR13" s="202">
        <f t="shared" si="7"/>
        <v>0.37019299194587751</v>
      </c>
      <c r="AS13" s="202">
        <f t="shared" si="7"/>
        <v>0.365978366243354</v>
      </c>
      <c r="AT13" s="202">
        <f t="shared" si="7"/>
        <v>0.36186300666828852</v>
      </c>
      <c r="AU13" s="202">
        <f t="shared" si="7"/>
        <v>0.35785317132702626</v>
      </c>
      <c r="AV13" s="202">
        <f t="shared" si="7"/>
        <v>0.35395456729500985</v>
      </c>
      <c r="AW13" s="202">
        <f t="shared" si="7"/>
        <v>0.35017231468577931</v>
      </c>
      <c r="AX13" s="203">
        <f t="shared" si="7"/>
        <v>0.34651091725928107</v>
      </c>
    </row>
    <row r="14" spans="1:51" x14ac:dyDescent="0.25">
      <c r="A14" s="242" t="str">
        <f>$J$1184</f>
        <v>CO2 emission related costs</v>
      </c>
      <c r="B14" s="199"/>
      <c r="C14" s="199"/>
      <c r="D14" s="199"/>
      <c r="E14" s="199"/>
      <c r="F14" s="199"/>
      <c r="G14" s="199"/>
      <c r="H14" s="199"/>
      <c r="I14" s="199" t="str">
        <f>INDEX(F$1186:F$1457,$D$119)&amp;" / "&amp;INDEX(G$1186:G$1457,$D$119)&amp;" / "&amp;INDEX(H$1186:H$1457,$D$119)&amp;" / "&amp;INDEX(I$1186:I$1457,$D$119)</f>
        <v>Wind power plants / Onshore / Electricity only / L</v>
      </c>
      <c r="J14" s="202">
        <f t="shared" ref="J14:O14" si="8">IF(LEN(INDEX(J$1186:J$1457,$D$119))&lt;=0,NA(),INDEX(J$1186:J$1457,$D$119))</f>
        <v>0</v>
      </c>
      <c r="K14" s="202">
        <f t="shared" si="8"/>
        <v>0</v>
      </c>
      <c r="L14" s="202">
        <f t="shared" si="8"/>
        <v>0</v>
      </c>
      <c r="M14" s="202">
        <f t="shared" si="8"/>
        <v>0</v>
      </c>
      <c r="N14" s="202">
        <f t="shared" si="8"/>
        <v>0</v>
      </c>
      <c r="O14" s="202">
        <f t="shared" si="8"/>
        <v>0</v>
      </c>
      <c r="P14" s="202">
        <f t="shared" ref="P14:AX14" si="9">IF(LEN(INDEX(P$1186:P$1457,$D$119))&lt;=0,NA(),INDEX(P$1186:P$1457,$D$119))</f>
        <v>0</v>
      </c>
      <c r="Q14" s="202">
        <f t="shared" si="9"/>
        <v>0</v>
      </c>
      <c r="R14" s="202">
        <f t="shared" si="9"/>
        <v>0</v>
      </c>
      <c r="S14" s="202">
        <f t="shared" si="9"/>
        <v>0</v>
      </c>
      <c r="T14" s="202">
        <f t="shared" si="9"/>
        <v>0</v>
      </c>
      <c r="U14" s="202">
        <f t="shared" si="9"/>
        <v>0</v>
      </c>
      <c r="V14" s="202">
        <f t="shared" si="9"/>
        <v>0</v>
      </c>
      <c r="W14" s="202">
        <f t="shared" si="9"/>
        <v>0</v>
      </c>
      <c r="X14" s="202">
        <f t="shared" si="9"/>
        <v>0</v>
      </c>
      <c r="Y14" s="202">
        <f t="shared" si="9"/>
        <v>0</v>
      </c>
      <c r="Z14" s="202">
        <f t="shared" si="9"/>
        <v>0</v>
      </c>
      <c r="AA14" s="202">
        <f t="shared" si="9"/>
        <v>0</v>
      </c>
      <c r="AB14" s="202">
        <f t="shared" si="9"/>
        <v>0</v>
      </c>
      <c r="AC14" s="202">
        <f t="shared" si="9"/>
        <v>0</v>
      </c>
      <c r="AD14" s="202">
        <f t="shared" si="9"/>
        <v>0</v>
      </c>
      <c r="AE14" s="202">
        <f t="shared" si="9"/>
        <v>0</v>
      </c>
      <c r="AF14" s="202">
        <f t="shared" si="9"/>
        <v>0</v>
      </c>
      <c r="AG14" s="202">
        <f t="shared" si="9"/>
        <v>0</v>
      </c>
      <c r="AH14" s="202">
        <f t="shared" si="9"/>
        <v>0</v>
      </c>
      <c r="AI14" s="202">
        <f t="shared" si="9"/>
        <v>0</v>
      </c>
      <c r="AJ14" s="202">
        <f t="shared" si="9"/>
        <v>0</v>
      </c>
      <c r="AK14" s="202">
        <f t="shared" si="9"/>
        <v>0</v>
      </c>
      <c r="AL14" s="202">
        <f t="shared" si="9"/>
        <v>0</v>
      </c>
      <c r="AM14" s="202">
        <f t="shared" si="9"/>
        <v>0</v>
      </c>
      <c r="AN14" s="202">
        <f t="shared" si="9"/>
        <v>0</v>
      </c>
      <c r="AO14" s="202">
        <f t="shared" si="9"/>
        <v>0</v>
      </c>
      <c r="AP14" s="202">
        <f t="shared" si="9"/>
        <v>0</v>
      </c>
      <c r="AQ14" s="202">
        <f t="shared" si="9"/>
        <v>0</v>
      </c>
      <c r="AR14" s="202">
        <f t="shared" si="9"/>
        <v>0</v>
      </c>
      <c r="AS14" s="202">
        <f t="shared" si="9"/>
        <v>0</v>
      </c>
      <c r="AT14" s="202">
        <f t="shared" si="9"/>
        <v>0</v>
      </c>
      <c r="AU14" s="202">
        <f t="shared" si="9"/>
        <v>0</v>
      </c>
      <c r="AV14" s="202">
        <f t="shared" si="9"/>
        <v>0</v>
      </c>
      <c r="AW14" s="202">
        <f t="shared" si="9"/>
        <v>0</v>
      </c>
      <c r="AX14" s="203">
        <f t="shared" si="9"/>
        <v>0</v>
      </c>
    </row>
    <row r="15" spans="1:51" x14ac:dyDescent="0.25">
      <c r="A15" s="242" t="s">
        <v>80</v>
      </c>
      <c r="B15" s="199"/>
      <c r="C15" s="199"/>
      <c r="D15" s="199"/>
      <c r="E15" s="199"/>
      <c r="F15" s="200"/>
      <c r="G15" s="200"/>
      <c r="H15" s="199" t="str">
        <f>"Operating hours"&amp;CHAR(13)&amp;I15</f>
        <v>Operating hours_x000D_Wind power plants / Onshore / Electricity only / L</v>
      </c>
      <c r="I15" s="200" t="str">
        <f>INDEX(tech_proj!F$1806:F$2077,$D$119)&amp;" / "&amp;INDEX(tech_proj!G$1806:G$2077,$D$119)&amp;" / "&amp;INDEX(tech_proj!H$1806:H$2077,$D$119)&amp;" / "&amp;INDEX(tech_proj!I$1806:I$2077,$D$119)</f>
        <v>Wind power plants / Onshore / Electricity only / L</v>
      </c>
      <c r="J15" s="200">
        <f>IF(LEN(INDEX(tech_proj!J$1806:J$2077,$D$119))&lt;=0,NA(),INDEX(tech_proj!J$1806:J$2077,$D$119))</f>
        <v>1400</v>
      </c>
      <c r="K15" s="200">
        <f>IF(LEN(INDEX(tech_proj!K$1806:K$2077,$D$119))&lt;=0,NA(),INDEX(tech_proj!K$1806:K$2077,$D$119))</f>
        <v>1400</v>
      </c>
      <c r="L15" s="200">
        <f>IF(LEN(INDEX(tech_proj!L$1806:L$2077,$D$119))&lt;=0,NA(),INDEX(tech_proj!L$1806:L$2077,$D$119))</f>
        <v>1400</v>
      </c>
      <c r="M15" s="200">
        <f>IF(LEN(INDEX(tech_proj!M$1806:M$2077,$D$119))&lt;=0,NA(),INDEX(tech_proj!M$1806:M$2077,$D$119))</f>
        <v>1400</v>
      </c>
      <c r="N15" s="200">
        <f>IF(LEN(INDEX(tech_proj!N$1806:N$2077,$D$119))&lt;=0,NA(),INDEX(tech_proj!N$1806:N$2077,$D$119))</f>
        <v>1400</v>
      </c>
      <c r="O15" s="200">
        <f>IF(LEN(INDEX(tech_proj!O$1806:O$2077,$D$119))&lt;=0,NA(),INDEX(tech_proj!O$1806:O$2077,$D$119))</f>
        <v>1400</v>
      </c>
      <c r="P15" s="200">
        <f>IF(LEN(INDEX(tech_proj!P$1806:P$2077,$D$119))&lt;=0,NA(),INDEX(tech_proj!P$1806:P$2077,$D$119))</f>
        <v>1400</v>
      </c>
      <c r="Q15" s="200">
        <f>IF(LEN(INDEX(tech_proj!Q$1806:Q$2077,$D$119))&lt;=0,NA(),INDEX(tech_proj!Q$1806:Q$2077,$D$119))</f>
        <v>1400</v>
      </c>
      <c r="R15" s="200">
        <f>IF(LEN(INDEX(tech_proj!R$1806:R$2077,$D$119))&lt;=0,NA(),INDEX(tech_proj!R$1806:R$2077,$D$119))</f>
        <v>1400</v>
      </c>
      <c r="S15" s="200">
        <f>IF(LEN(INDEX(tech_proj!S$1806:S$2077,$D$119))&lt;=0,NA(),INDEX(tech_proj!S$1806:S$2077,$D$119))</f>
        <v>1400</v>
      </c>
      <c r="T15" s="200">
        <f>IF(LEN(INDEX(tech_proj!T$1806:T$2077,$D$119))&lt;=0,NA(),INDEX(tech_proj!T$1806:T$2077,$D$119))</f>
        <v>1400</v>
      </c>
      <c r="U15" s="200">
        <f>IF(LEN(INDEX(tech_proj!U$1806:U$2077,$D$119))&lt;=0,NA(),INDEX(tech_proj!U$1806:U$2077,$D$119))</f>
        <v>1400</v>
      </c>
      <c r="V15" s="200">
        <f>IF(LEN(INDEX(tech_proj!V$1806:V$2077,$D$119))&lt;=0,NA(),INDEX(tech_proj!V$1806:V$2077,$D$119))</f>
        <v>1400</v>
      </c>
      <c r="W15" s="200">
        <f>IF(LEN(INDEX(tech_proj!W$1806:W$2077,$D$119))&lt;=0,NA(),INDEX(tech_proj!W$1806:W$2077,$D$119))</f>
        <v>1400</v>
      </c>
      <c r="X15" s="200">
        <f>IF(LEN(INDEX(tech_proj!X$1806:X$2077,$D$119))&lt;=0,NA(),INDEX(tech_proj!X$1806:X$2077,$D$119))</f>
        <v>1400</v>
      </c>
      <c r="Y15" s="200">
        <f>IF(LEN(INDEX(tech_proj!Y$1806:Y$2077,$D$119))&lt;=0,NA(),INDEX(tech_proj!Y$1806:Y$2077,$D$119))</f>
        <v>1400</v>
      </c>
      <c r="Z15" s="200">
        <f>IF(LEN(INDEX(tech_proj!Z$1806:Z$2077,$D$119))&lt;=0,NA(),INDEX(tech_proj!Z$1806:Z$2077,$D$119))</f>
        <v>1400</v>
      </c>
      <c r="AA15" s="200">
        <f>IF(LEN(INDEX(tech_proj!AA$1806:AA$2077,$D$119))&lt;=0,NA(),INDEX(tech_proj!AA$1806:AA$2077,$D$119))</f>
        <v>1400</v>
      </c>
      <c r="AB15" s="200">
        <f>IF(LEN(INDEX(tech_proj!AB$1806:AB$2077,$D$119))&lt;=0,NA(),INDEX(tech_proj!AB$1806:AB$2077,$D$119))</f>
        <v>1400</v>
      </c>
      <c r="AC15" s="200">
        <f>IF(LEN(INDEX(tech_proj!AC$1806:AC$2077,$D$119))&lt;=0,NA(),INDEX(tech_proj!AC$1806:AC$2077,$D$119))</f>
        <v>1400</v>
      </c>
      <c r="AD15" s="200">
        <f>IF(LEN(INDEX(tech_proj!AD$1806:AD$2077,$D$119))&lt;=0,NA(),INDEX(tech_proj!AD$1806:AD$2077,$D$119))</f>
        <v>1400</v>
      </c>
      <c r="AE15" s="200">
        <f>IF(LEN(INDEX(tech_proj!AE$1806:AE$2077,$D$119))&lt;=0,NA(),INDEX(tech_proj!AE$1806:AE$2077,$D$119))</f>
        <v>1400</v>
      </c>
      <c r="AF15" s="200">
        <f>IF(LEN(INDEX(tech_proj!AF$1806:AF$2077,$D$119))&lt;=0,NA(),INDEX(tech_proj!AF$1806:AF$2077,$D$119))</f>
        <v>1400</v>
      </c>
      <c r="AG15" s="200">
        <f>IF(LEN(INDEX(tech_proj!AG$1806:AG$2077,$D$119))&lt;=0,NA(),INDEX(tech_proj!AG$1806:AG$2077,$D$119))</f>
        <v>1400</v>
      </c>
      <c r="AH15" s="200">
        <f>IF(LEN(INDEX(tech_proj!AH$1806:AH$2077,$D$119))&lt;=0,NA(),INDEX(tech_proj!AH$1806:AH$2077,$D$119))</f>
        <v>1400</v>
      </c>
      <c r="AI15" s="200">
        <f>IF(LEN(INDEX(tech_proj!AI$1806:AI$2077,$D$119))&lt;=0,NA(),INDEX(tech_proj!AI$1806:AI$2077,$D$119))</f>
        <v>1400</v>
      </c>
      <c r="AJ15" s="200">
        <f>IF(LEN(INDEX(tech_proj!AJ$1806:AJ$2077,$D$119))&lt;=0,NA(),INDEX(tech_proj!AJ$1806:AJ$2077,$D$119))</f>
        <v>1400</v>
      </c>
      <c r="AK15" s="200">
        <f>IF(LEN(INDEX(tech_proj!AK$1806:AK$2077,$D$119))&lt;=0,NA(),INDEX(tech_proj!AK$1806:AK$2077,$D$119))</f>
        <v>1400</v>
      </c>
      <c r="AL15" s="200">
        <f>IF(LEN(INDEX(tech_proj!AL$1806:AL$2077,$D$119))&lt;=0,NA(),INDEX(tech_proj!AL$1806:AL$2077,$D$119))</f>
        <v>1400</v>
      </c>
      <c r="AM15" s="200">
        <f>IF(LEN(INDEX(tech_proj!AM$1806:AM$2077,$D$119))&lt;=0,NA(),INDEX(tech_proj!AM$1806:AM$2077,$D$119))</f>
        <v>1400</v>
      </c>
      <c r="AN15" s="200">
        <f>IF(LEN(INDEX(tech_proj!AN$1806:AN$2077,$D$119))&lt;=0,NA(),INDEX(tech_proj!AN$1806:AN$2077,$D$119))</f>
        <v>1400</v>
      </c>
      <c r="AO15" s="200">
        <f>IF(LEN(INDEX(tech_proj!AO$1806:AO$2077,$D$119))&lt;=0,NA(),INDEX(tech_proj!AO$1806:AO$2077,$D$119))</f>
        <v>1400</v>
      </c>
      <c r="AP15" s="200">
        <f>IF(LEN(INDEX(tech_proj!AP$1806:AP$2077,$D$119))&lt;=0,NA(),INDEX(tech_proj!AP$1806:AP$2077,$D$119))</f>
        <v>1400</v>
      </c>
      <c r="AQ15" s="200">
        <f>IF(LEN(INDEX(tech_proj!AQ$1806:AQ$2077,$D$119))&lt;=0,NA(),INDEX(tech_proj!AQ$1806:AQ$2077,$D$119))</f>
        <v>1400</v>
      </c>
      <c r="AR15" s="200">
        <f>IF(LEN(INDEX(tech_proj!AR$1806:AR$2077,$D$119))&lt;=0,NA(),INDEX(tech_proj!AR$1806:AR$2077,$D$119))</f>
        <v>1400</v>
      </c>
      <c r="AS15" s="200">
        <f>IF(LEN(INDEX(tech_proj!AS$1806:AS$2077,$D$119))&lt;=0,NA(),INDEX(tech_proj!AS$1806:AS$2077,$D$119))</f>
        <v>1400</v>
      </c>
      <c r="AT15" s="200">
        <f>IF(LEN(INDEX(tech_proj!AT$1806:AT$2077,$D$119))&lt;=0,NA(),INDEX(tech_proj!AT$1806:AT$2077,$D$119))</f>
        <v>1400</v>
      </c>
      <c r="AU15" s="200">
        <f>IF(LEN(INDEX(tech_proj!AU$1806:AU$2077,$D$119))&lt;=0,NA(),INDEX(tech_proj!AU$1806:AU$2077,$D$119))</f>
        <v>1400</v>
      </c>
      <c r="AV15" s="200">
        <f>IF(LEN(INDEX(tech_proj!AV$1806:AV$2077,$D$119))&lt;=0,NA(),INDEX(tech_proj!AV$1806:AV$2077,$D$119))</f>
        <v>1400</v>
      </c>
      <c r="AW15" s="200">
        <f>IF(LEN(INDEX(tech_proj!AW$1806:AW$2077,$D$119))&lt;=0,NA(),INDEX(tech_proj!AW$1806:AW$2077,$D$119))</f>
        <v>1400</v>
      </c>
      <c r="AX15" s="201">
        <f>IF(LEN(INDEX(tech_proj!AX$1806:AX$2077,$D$119))&lt;=0,NA(),INDEX(tech_proj!AX$1806:AX$2077,$D$119))</f>
        <v>1400</v>
      </c>
    </row>
    <row r="16" spans="1:51" x14ac:dyDescent="0.25">
      <c r="A16" s="243" t="s">
        <v>81</v>
      </c>
      <c r="B16" s="204"/>
      <c r="C16" s="204"/>
      <c r="D16" s="204"/>
      <c r="E16" s="204"/>
      <c r="F16" s="204"/>
      <c r="G16" s="204"/>
      <c r="H16" s="204"/>
      <c r="I16" s="204" t="str">
        <f>INDEX(tech_proj!F$2366:F$2637,$D$119)&amp;" / "&amp;INDEX(tech_proj!G$2366:G$2637,$D$119)&amp;" / "&amp;INDEX(tech_proj!H$2366:H$2637,$D$119)&amp;" / "&amp;INDEX(tech_proj!I$2366:I$2637,$D$119)</f>
        <v>Wind power plants / Onshore / Electricity only / L</v>
      </c>
      <c r="J16" s="244">
        <f>IF(LEN(INDEX(tech_proj!J$2366:J$2637,$D$119))&lt;=0,NA(),INDEX(tech_proj!J$2366:J$2637,$D$119))</f>
        <v>3750</v>
      </c>
      <c r="K16" s="244">
        <f>IF(LEN(INDEX(tech_proj!K$2366:K$2637,$D$119))&lt;=0,NA(),INDEX(tech_proj!K$2366:K$2637,$D$119))</f>
        <v>3750</v>
      </c>
      <c r="L16" s="244">
        <f>IF(LEN(INDEX(tech_proj!L$2366:L$2637,$D$119))&lt;=0,NA(),INDEX(tech_proj!L$2366:L$2637,$D$119))</f>
        <v>3750</v>
      </c>
      <c r="M16" s="244">
        <f>IF(LEN(INDEX(tech_proj!M$2366:M$2637,$D$119))&lt;=0,NA(),INDEX(tech_proj!M$2366:M$2637,$D$119))</f>
        <v>3750</v>
      </c>
      <c r="N16" s="244">
        <f>IF(LEN(INDEX(tech_proj!N$2366:N$2637,$D$119))&lt;=0,NA(),INDEX(tech_proj!N$2366:N$2637,$D$119))</f>
        <v>3750</v>
      </c>
      <c r="O16" s="244">
        <f>IF(LEN(INDEX(tech_proj!O$2366:O$2637,$D$119))&lt;=0,NA(),INDEX(tech_proj!O$2366:O$2637,$D$119))</f>
        <v>3750</v>
      </c>
      <c r="P16" s="244">
        <f>IF(LEN(INDEX(tech_proj!P$2366:P$2637,$D$119))&lt;=0,NA(),INDEX(tech_proj!P$2366:P$2637,$D$119))</f>
        <v>3750</v>
      </c>
      <c r="Q16" s="244">
        <f>IF(LEN(INDEX(tech_proj!Q$2366:Q$2637,$D$119))&lt;=0,NA(),INDEX(tech_proj!Q$2366:Q$2637,$D$119))</f>
        <v>3750</v>
      </c>
      <c r="R16" s="244">
        <f>IF(LEN(INDEX(tech_proj!R$2366:R$2637,$D$119))&lt;=0,NA(),INDEX(tech_proj!R$2366:R$2637,$D$119))</f>
        <v>3750</v>
      </c>
      <c r="S16" s="244">
        <f>IF(LEN(INDEX(tech_proj!S$2366:S$2637,$D$119))&lt;=0,NA(),INDEX(tech_proj!S$2366:S$2637,$D$119))</f>
        <v>3750</v>
      </c>
      <c r="T16" s="244">
        <f>IF(LEN(INDEX(tech_proj!T$2366:T$2637,$D$119))&lt;=0,NA(),INDEX(tech_proj!T$2366:T$2637,$D$119))</f>
        <v>3750</v>
      </c>
      <c r="U16" s="244">
        <f>IF(LEN(INDEX(tech_proj!U$2366:U$2637,$D$119))&lt;=0,NA(),INDEX(tech_proj!U$2366:U$2637,$D$119))</f>
        <v>3750</v>
      </c>
      <c r="V16" s="244">
        <f>IF(LEN(INDEX(tech_proj!V$2366:V$2637,$D$119))&lt;=0,NA(),INDEX(tech_proj!V$2366:V$2637,$D$119))</f>
        <v>3750</v>
      </c>
      <c r="W16" s="244">
        <f>IF(LEN(INDEX(tech_proj!W$2366:W$2637,$D$119))&lt;=0,NA(),INDEX(tech_proj!W$2366:W$2637,$D$119))</f>
        <v>3750</v>
      </c>
      <c r="X16" s="244">
        <f>IF(LEN(INDEX(tech_proj!X$2366:X$2637,$D$119))&lt;=0,NA(),INDEX(tech_proj!X$2366:X$2637,$D$119))</f>
        <v>3750</v>
      </c>
      <c r="Y16" s="244">
        <f>IF(LEN(INDEX(tech_proj!Y$2366:Y$2637,$D$119))&lt;=0,NA(),INDEX(tech_proj!Y$2366:Y$2637,$D$119))</f>
        <v>3750</v>
      </c>
      <c r="Z16" s="244">
        <f>IF(LEN(INDEX(tech_proj!Z$2366:Z$2637,$D$119))&lt;=0,NA(),INDEX(tech_proj!Z$2366:Z$2637,$D$119))</f>
        <v>3750</v>
      </c>
      <c r="AA16" s="244">
        <f>IF(LEN(INDEX(tech_proj!AA$2366:AA$2637,$D$119))&lt;=0,NA(),INDEX(tech_proj!AA$2366:AA$2637,$D$119))</f>
        <v>3750</v>
      </c>
      <c r="AB16" s="244">
        <f>IF(LEN(INDEX(tech_proj!AB$2366:AB$2637,$D$119))&lt;=0,NA(),INDEX(tech_proj!AB$2366:AB$2637,$D$119))</f>
        <v>3750</v>
      </c>
      <c r="AC16" s="244">
        <f>IF(LEN(INDEX(tech_proj!AC$2366:AC$2637,$D$119))&lt;=0,NA(),INDEX(tech_proj!AC$2366:AC$2637,$D$119))</f>
        <v>3750</v>
      </c>
      <c r="AD16" s="244">
        <f>IF(LEN(INDEX(tech_proj!AD$2366:AD$2637,$D$119))&lt;=0,NA(),INDEX(tech_proj!AD$2366:AD$2637,$D$119))</f>
        <v>3750</v>
      </c>
      <c r="AE16" s="244">
        <f>IF(LEN(INDEX(tech_proj!AE$2366:AE$2637,$D$119))&lt;=0,NA(),INDEX(tech_proj!AE$2366:AE$2637,$D$119))</f>
        <v>3750</v>
      </c>
      <c r="AF16" s="244">
        <f>IF(LEN(INDEX(tech_proj!AF$2366:AF$2637,$D$119))&lt;=0,NA(),INDEX(tech_proj!AF$2366:AF$2637,$D$119))</f>
        <v>3750</v>
      </c>
      <c r="AG16" s="244">
        <f>IF(LEN(INDEX(tech_proj!AG$2366:AG$2637,$D$119))&lt;=0,NA(),INDEX(tech_proj!AG$2366:AG$2637,$D$119))</f>
        <v>3750</v>
      </c>
      <c r="AH16" s="244">
        <f>IF(LEN(INDEX(tech_proj!AH$2366:AH$2637,$D$119))&lt;=0,NA(),INDEX(tech_proj!AH$2366:AH$2637,$D$119))</f>
        <v>3750</v>
      </c>
      <c r="AI16" s="244">
        <f>IF(LEN(INDEX(tech_proj!AI$2366:AI$2637,$D$119))&lt;=0,NA(),INDEX(tech_proj!AI$2366:AI$2637,$D$119))</f>
        <v>3750</v>
      </c>
      <c r="AJ16" s="244">
        <f>IF(LEN(INDEX(tech_proj!AJ$2366:AJ$2637,$D$119))&lt;=0,NA(),INDEX(tech_proj!AJ$2366:AJ$2637,$D$119))</f>
        <v>3750</v>
      </c>
      <c r="AK16" s="244">
        <f>IF(LEN(INDEX(tech_proj!AK$2366:AK$2637,$D$119))&lt;=0,NA(),INDEX(tech_proj!AK$2366:AK$2637,$D$119))</f>
        <v>3750</v>
      </c>
      <c r="AL16" s="244">
        <f>IF(LEN(INDEX(tech_proj!AL$2366:AL$2637,$D$119))&lt;=0,NA(),INDEX(tech_proj!AL$2366:AL$2637,$D$119))</f>
        <v>3750</v>
      </c>
      <c r="AM16" s="244">
        <f>IF(LEN(INDEX(tech_proj!AM$2366:AM$2637,$D$119))&lt;=0,NA(),INDEX(tech_proj!AM$2366:AM$2637,$D$119))</f>
        <v>3750</v>
      </c>
      <c r="AN16" s="244">
        <f>IF(LEN(INDEX(tech_proj!AN$2366:AN$2637,$D$119))&lt;=0,NA(),INDEX(tech_proj!AN$2366:AN$2637,$D$119))</f>
        <v>3750</v>
      </c>
      <c r="AO16" s="244">
        <f>IF(LEN(INDEX(tech_proj!AO$2366:AO$2637,$D$119))&lt;=0,NA(),INDEX(tech_proj!AO$2366:AO$2637,$D$119))</f>
        <v>3750</v>
      </c>
      <c r="AP16" s="244">
        <f>IF(LEN(INDEX(tech_proj!AP$2366:AP$2637,$D$119))&lt;=0,NA(),INDEX(tech_proj!AP$2366:AP$2637,$D$119))</f>
        <v>3750</v>
      </c>
      <c r="AQ16" s="244">
        <f>IF(LEN(INDEX(tech_proj!AQ$2366:AQ$2637,$D$119))&lt;=0,NA(),INDEX(tech_proj!AQ$2366:AQ$2637,$D$119))</f>
        <v>3750</v>
      </c>
      <c r="AR16" s="244">
        <f>IF(LEN(INDEX(tech_proj!AR$2366:AR$2637,$D$119))&lt;=0,NA(),INDEX(tech_proj!AR$2366:AR$2637,$D$119))</f>
        <v>3750</v>
      </c>
      <c r="AS16" s="244">
        <f>IF(LEN(INDEX(tech_proj!AS$2366:AS$2637,$D$119))&lt;=0,NA(),INDEX(tech_proj!AS$2366:AS$2637,$D$119))</f>
        <v>3750</v>
      </c>
      <c r="AT16" s="244">
        <f>IF(LEN(INDEX(tech_proj!AT$2366:AT$2637,$D$119))&lt;=0,NA(),INDEX(tech_proj!AT$2366:AT$2637,$D$119))</f>
        <v>3750</v>
      </c>
      <c r="AU16" s="244">
        <f>IF(LEN(INDEX(tech_proj!AU$2366:AU$2637,$D$119))&lt;=0,NA(),INDEX(tech_proj!AU$2366:AU$2637,$D$119))</f>
        <v>3750</v>
      </c>
      <c r="AV16" s="244">
        <f>IF(LEN(INDEX(tech_proj!AV$2366:AV$2637,$D$119))&lt;=0,NA(),INDEX(tech_proj!AV$2366:AV$2637,$D$119))</f>
        <v>3750</v>
      </c>
      <c r="AW16" s="244">
        <f>IF(LEN(INDEX(tech_proj!AW$2366:AW$2637,$D$119))&lt;=0,NA(),INDEX(tech_proj!AW$2366:AW$2637,$D$119))</f>
        <v>3750</v>
      </c>
      <c r="AX16" s="245">
        <f>IF(LEN(INDEX(tech_proj!AX$2366:AX$2637,$D$119))&lt;=0,NA(),INDEX(tech_proj!AX$2366:AX$2637,$D$119))</f>
        <v>3750</v>
      </c>
    </row>
    <row r="18" spans="1:50" x14ac:dyDescent="0.25">
      <c r="A18" s="196" t="str">
        <f>I19</f>
        <v>Wind power plants / Onshore / Electricity only / M</v>
      </c>
      <c r="B18" s="197"/>
      <c r="C18" s="197"/>
      <c r="D18" s="197"/>
      <c r="E18" s="197"/>
      <c r="F18" s="197"/>
      <c r="G18" s="197"/>
      <c r="H18" s="197"/>
      <c r="I18" s="197"/>
      <c r="J18" s="197">
        <f t="shared" ref="J18:O18" si="10">J$625</f>
        <v>2010</v>
      </c>
      <c r="K18" s="197">
        <f t="shared" si="10"/>
        <v>2011</v>
      </c>
      <c r="L18" s="197">
        <f t="shared" si="10"/>
        <v>2012</v>
      </c>
      <c r="M18" s="197">
        <f t="shared" si="10"/>
        <v>2013</v>
      </c>
      <c r="N18" s="197">
        <f t="shared" si="10"/>
        <v>2014</v>
      </c>
      <c r="O18" s="197">
        <f t="shared" si="10"/>
        <v>2015</v>
      </c>
      <c r="P18" s="197">
        <f t="shared" ref="P18:AX18" si="11">P$625</f>
        <v>2016</v>
      </c>
      <c r="Q18" s="197">
        <f t="shared" si="11"/>
        <v>2017</v>
      </c>
      <c r="R18" s="197">
        <f t="shared" si="11"/>
        <v>2018</v>
      </c>
      <c r="S18" s="197">
        <f t="shared" si="11"/>
        <v>2019</v>
      </c>
      <c r="T18" s="197">
        <f t="shared" si="11"/>
        <v>2020</v>
      </c>
      <c r="U18" s="197">
        <f t="shared" si="11"/>
        <v>2021</v>
      </c>
      <c r="V18" s="197">
        <f t="shared" si="11"/>
        <v>2022</v>
      </c>
      <c r="W18" s="197">
        <f t="shared" si="11"/>
        <v>2023</v>
      </c>
      <c r="X18" s="197">
        <f t="shared" si="11"/>
        <v>2024</v>
      </c>
      <c r="Y18" s="197">
        <f t="shared" si="11"/>
        <v>2025</v>
      </c>
      <c r="Z18" s="197">
        <f t="shared" si="11"/>
        <v>2026</v>
      </c>
      <c r="AA18" s="197">
        <f t="shared" si="11"/>
        <v>2027</v>
      </c>
      <c r="AB18" s="197">
        <f t="shared" si="11"/>
        <v>2028</v>
      </c>
      <c r="AC18" s="197">
        <f t="shared" si="11"/>
        <v>2029</v>
      </c>
      <c r="AD18" s="197">
        <f t="shared" si="11"/>
        <v>2030</v>
      </c>
      <c r="AE18" s="197">
        <f t="shared" si="11"/>
        <v>2031</v>
      </c>
      <c r="AF18" s="197">
        <f t="shared" si="11"/>
        <v>2032</v>
      </c>
      <c r="AG18" s="197">
        <f t="shared" si="11"/>
        <v>2033</v>
      </c>
      <c r="AH18" s="197">
        <f t="shared" si="11"/>
        <v>2034</v>
      </c>
      <c r="AI18" s="197">
        <f t="shared" si="11"/>
        <v>2035</v>
      </c>
      <c r="AJ18" s="197">
        <f t="shared" si="11"/>
        <v>2036</v>
      </c>
      <c r="AK18" s="197">
        <f t="shared" si="11"/>
        <v>2037</v>
      </c>
      <c r="AL18" s="197">
        <f t="shared" si="11"/>
        <v>2038</v>
      </c>
      <c r="AM18" s="197">
        <f t="shared" si="11"/>
        <v>2039</v>
      </c>
      <c r="AN18" s="197">
        <f t="shared" si="11"/>
        <v>2040</v>
      </c>
      <c r="AO18" s="197">
        <f t="shared" si="11"/>
        <v>2041</v>
      </c>
      <c r="AP18" s="197">
        <f t="shared" si="11"/>
        <v>2042</v>
      </c>
      <c r="AQ18" s="197">
        <f t="shared" si="11"/>
        <v>2043</v>
      </c>
      <c r="AR18" s="197">
        <f t="shared" si="11"/>
        <v>2044</v>
      </c>
      <c r="AS18" s="197">
        <f t="shared" si="11"/>
        <v>2045</v>
      </c>
      <c r="AT18" s="197">
        <f t="shared" si="11"/>
        <v>2046</v>
      </c>
      <c r="AU18" s="197">
        <f t="shared" si="11"/>
        <v>2047</v>
      </c>
      <c r="AV18" s="197">
        <f t="shared" si="11"/>
        <v>2048</v>
      </c>
      <c r="AW18" s="197">
        <f t="shared" si="11"/>
        <v>2049</v>
      </c>
      <c r="AX18" s="198">
        <f t="shared" si="11"/>
        <v>2050</v>
      </c>
    </row>
    <row r="19" spans="1:50" x14ac:dyDescent="0.25">
      <c r="A19" s="242" t="str">
        <f>$J$344</f>
        <v>Levelized costs (€2010 / MWh net)</v>
      </c>
      <c r="B19" s="199"/>
      <c r="C19" s="199"/>
      <c r="D19" s="199"/>
      <c r="E19" s="199"/>
      <c r="F19" s="199"/>
      <c r="G19" s="199"/>
      <c r="H19" s="199" t="str">
        <f>A19&amp;CHAR(13)&amp;I19</f>
        <v>Levelized costs (€2010 / MWh net)_x000D_Wind power plants / Onshore / Electricity only / M</v>
      </c>
      <c r="I19" s="199" t="str">
        <f>INDEX(F$346:F$617,$D$139)&amp;" / "&amp;INDEX(G$346:G$617,$D$139)&amp;" / "&amp;INDEX(H$346:H$617,$D$139)&amp;" / "&amp;INDEX(I$346:I$617,$D$139)</f>
        <v>Wind power plants / Onshore / Electricity only / M</v>
      </c>
      <c r="J19" s="202">
        <f t="shared" ref="J19:O19" si="12">IF(LEN(INDEX(J$346:J$617,$D$139))&lt;=0,NA(),INDEX(J$346:J$617,$D$139))</f>
        <v>39.949820589308871</v>
      </c>
      <c r="K19" s="202">
        <f t="shared" si="12"/>
        <v>38.967660303123829</v>
      </c>
      <c r="L19" s="202">
        <f t="shared" si="12"/>
        <v>38.280140006902649</v>
      </c>
      <c r="M19" s="202">
        <f t="shared" si="12"/>
        <v>37.779056985989151</v>
      </c>
      <c r="N19" s="202">
        <f t="shared" si="12"/>
        <v>37.264124290656703</v>
      </c>
      <c r="O19" s="202">
        <f t="shared" si="12"/>
        <v>36.529873826739255</v>
      </c>
      <c r="P19" s="202">
        <f t="shared" ref="P19:AX19" si="13">IF(LEN(INDEX(P$346:P$617,$D$139))&lt;=0,NA(),INDEX(P$346:P$617,$D$139))</f>
        <v>35.85616961888919</v>
      </c>
      <c r="Q19" s="202">
        <f t="shared" si="13"/>
        <v>35.423876085518721</v>
      </c>
      <c r="R19" s="202">
        <f t="shared" si="13"/>
        <v>34.973305415897194</v>
      </c>
      <c r="S19" s="202">
        <f t="shared" si="13"/>
        <v>34.627035065244741</v>
      </c>
      <c r="T19" s="202">
        <f t="shared" si="13"/>
        <v>34.284193133905681</v>
      </c>
      <c r="U19" s="202">
        <f t="shared" si="13"/>
        <v>34.019535841106226</v>
      </c>
      <c r="V19" s="202">
        <f t="shared" si="13"/>
        <v>33.747826962949013</v>
      </c>
      <c r="W19" s="202">
        <f t="shared" si="13"/>
        <v>33.469361356237805</v>
      </c>
      <c r="X19" s="202">
        <f t="shared" si="13"/>
        <v>33.184484883788443</v>
      </c>
      <c r="Y19" s="202">
        <f t="shared" si="13"/>
        <v>32.893595408720657</v>
      </c>
      <c r="Z19" s="202">
        <f t="shared" si="13"/>
        <v>32.597143231781828</v>
      </c>
      <c r="AA19" s="202">
        <f t="shared" si="13"/>
        <v>32.295630902985387</v>
      </c>
      <c r="AB19" s="202">
        <f t="shared" si="13"/>
        <v>31.989612344573032</v>
      </c>
      <c r="AC19" s="202">
        <f t="shared" si="13"/>
        <v>31.679691230698321</v>
      </c>
      <c r="AD19" s="202">
        <f t="shared" si="13"/>
        <v>31.366518580393144</v>
      </c>
      <c r="AE19" s="202">
        <f t="shared" si="13"/>
        <v>31.050789534321396</v>
      </c>
      <c r="AF19" s="202">
        <f t="shared" si="13"/>
        <v>30.733239302428405</v>
      </c>
      <c r="AG19" s="202">
        <f t="shared" si="13"/>
        <v>30.414638288599807</v>
      </c>
      <c r="AH19" s="202">
        <f t="shared" si="13"/>
        <v>30.095786419440419</v>
      </c>
      <c r="AI19" s="202">
        <f t="shared" si="13"/>
        <v>29.777506726709305</v>
      </c>
      <c r="AJ19" s="202">
        <f t="shared" si="13"/>
        <v>29.460638256095041</v>
      </c>
      <c r="AK19" s="202">
        <f t="shared" si="13"/>
        <v>29.146028398051222</v>
      </c>
      <c r="AL19" s="202">
        <f t="shared" si="13"/>
        <v>28.834524758407177</v>
      </c>
      <c r="AM19" s="202">
        <f t="shared" si="13"/>
        <v>28.526966706434784</v>
      </c>
      <c r="AN19" s="202">
        <f t="shared" si="13"/>
        <v>28.224176754998378</v>
      </c>
      <c r="AO19" s="202">
        <f t="shared" si="13"/>
        <v>27.92695194039694</v>
      </c>
      <c r="AP19" s="202">
        <f t="shared" si="13"/>
        <v>27.636055377695843</v>
      </c>
      <c r="AQ19" s="202">
        <f t="shared" si="13"/>
        <v>27.352208170077226</v>
      </c>
      <c r="AR19" s="202">
        <f t="shared" si="13"/>
        <v>27.076081847575519</v>
      </c>
      <c r="AS19" s="202">
        <f t="shared" si="13"/>
        <v>26.808291501335489</v>
      </c>
      <c r="AT19" s="202">
        <f t="shared" si="13"/>
        <v>26.549389764357656</v>
      </c>
      <c r="AU19" s="202">
        <f t="shared" si="13"/>
        <v>26.29986176900476</v>
      </c>
      <c r="AV19" s="202">
        <f t="shared" si="13"/>
        <v>26.060121186053404</v>
      </c>
      <c r="AW19" s="202">
        <f t="shared" si="13"/>
        <v>25.830507420765304</v>
      </c>
      <c r="AX19" s="203">
        <f t="shared" si="13"/>
        <v>25.611284009514375</v>
      </c>
    </row>
    <row r="20" spans="1:50" x14ac:dyDescent="0.25">
      <c r="A20" s="242" t="str">
        <f>$J$624</f>
        <v>Fixed annual levelized costs</v>
      </c>
      <c r="B20" s="199"/>
      <c r="C20" s="199"/>
      <c r="D20" s="199"/>
      <c r="E20" s="199"/>
      <c r="F20" s="199"/>
      <c r="G20" s="199"/>
      <c r="H20" s="199"/>
      <c r="I20" s="199" t="str">
        <f>INDEX(F$626:F$897,$D$139)&amp;" / "&amp;INDEX(G$626:G$897,$D$139)&amp;" / "&amp;INDEX(H$626:H$897,$D$139)&amp;" / "&amp;INDEX(I$626:I$897,$D$139)</f>
        <v>Wind power plants / Onshore / Electricity only / M</v>
      </c>
      <c r="J20" s="202">
        <f t="shared" ref="J20:O20" si="14">IF(LEN(INDEX(J$626:J$897,$D$139))&lt;=0,NA(),INDEX(J$626:J$897,$D$139))</f>
        <v>39.354636172319061</v>
      </c>
      <c r="K20" s="202">
        <f t="shared" si="14"/>
        <v>38.387108404846259</v>
      </c>
      <c r="L20" s="202">
        <f t="shared" si="14"/>
        <v>37.709830992338667</v>
      </c>
      <c r="M20" s="202">
        <f t="shared" si="14"/>
        <v>37.216213256657156</v>
      </c>
      <c r="N20" s="202">
        <f t="shared" si="14"/>
        <v>36.708952183162793</v>
      </c>
      <c r="O20" s="202">
        <f t="shared" si="14"/>
        <v>35.985640803022058</v>
      </c>
      <c r="P20" s="202">
        <f t="shared" ref="P20:AX20" si="15">IF(LEN(INDEX(P$626:P$897,$D$139))&lt;=0,NA(),INDEX(P$626:P$897,$D$139))</f>
        <v>35.321973642654505</v>
      </c>
      <c r="Q20" s="202">
        <f t="shared" si="15"/>
        <v>34.896120548085321</v>
      </c>
      <c r="R20" s="202">
        <f t="shared" si="15"/>
        <v>34.452262615526323</v>
      </c>
      <c r="S20" s="202">
        <f t="shared" si="15"/>
        <v>34.1111511044815</v>
      </c>
      <c r="T20" s="202">
        <f t="shared" si="15"/>
        <v>33.7734169351302</v>
      </c>
      <c r="U20" s="202">
        <f t="shared" si="15"/>
        <v>33.512702586108546</v>
      </c>
      <c r="V20" s="202">
        <f t="shared" si="15"/>
        <v>33.245041708364134</v>
      </c>
      <c r="W20" s="202">
        <f t="shared" si="15"/>
        <v>32.970724765835577</v>
      </c>
      <c r="X20" s="202">
        <f t="shared" si="15"/>
        <v>32.690092468570676</v>
      </c>
      <c r="Y20" s="202">
        <f t="shared" si="15"/>
        <v>32.403536752205007</v>
      </c>
      <c r="Z20" s="202">
        <f t="shared" si="15"/>
        <v>32.111501208770257</v>
      </c>
      <c r="AA20" s="202">
        <f t="shared" si="15"/>
        <v>31.814480901138932</v>
      </c>
      <c r="AB20" s="202">
        <f t="shared" si="15"/>
        <v>31.51302149905294</v>
      </c>
      <c r="AC20" s="202">
        <f t="shared" si="15"/>
        <v>31.207717682947113</v>
      </c>
      <c r="AD20" s="202">
        <f t="shared" si="15"/>
        <v>30.899210772776421</v>
      </c>
      <c r="AE20" s="202">
        <f t="shared" si="15"/>
        <v>30.588185552790524</v>
      </c>
      <c r="AF20" s="202">
        <f t="shared" si="15"/>
        <v>30.275366279556323</v>
      </c>
      <c r="AG20" s="202">
        <f t="shared" si="15"/>
        <v>29.961511879251159</v>
      </c>
      <c r="AH20" s="202">
        <f t="shared" si="15"/>
        <v>29.647410360933208</v>
      </c>
      <c r="AI20" s="202">
        <f t="shared" si="15"/>
        <v>29.333872494587382</v>
      </c>
      <c r="AJ20" s="202">
        <f t="shared" si="15"/>
        <v>29.021724825547768</v>
      </c>
      <c r="AK20" s="202">
        <f t="shared" si="15"/>
        <v>28.711802119590665</v>
      </c>
      <c r="AL20" s="202">
        <f t="shared" si="15"/>
        <v>28.404939354659369</v>
      </c>
      <c r="AM20" s="202">
        <f t="shared" si="15"/>
        <v>28.101963394850429</v>
      </c>
      <c r="AN20" s="202">
        <f t="shared" si="15"/>
        <v>27.80368449898468</v>
      </c>
      <c r="AO20" s="202">
        <f t="shared" si="15"/>
        <v>27.510887828875102</v>
      </c>
      <c r="AP20" s="202">
        <f t="shared" si="15"/>
        <v>27.224325130469804</v>
      </c>
      <c r="AQ20" s="202">
        <f t="shared" si="15"/>
        <v>26.944706763739298</v>
      </c>
      <c r="AR20" s="202">
        <f t="shared" si="15"/>
        <v>26.672694254062012</v>
      </c>
      <c r="AS20" s="202">
        <f t="shared" si="15"/>
        <v>26.408893528770246</v>
      </c>
      <c r="AT20" s="202">
        <f t="shared" si="15"/>
        <v>26.153848987572211</v>
      </c>
      <c r="AU20" s="202">
        <f t="shared" si="15"/>
        <v>25.908038535183113</v>
      </c>
      <c r="AV20" s="202">
        <f t="shared" si="15"/>
        <v>25.67186967938817</v>
      </c>
      <c r="AW20" s="202">
        <f t="shared" si="15"/>
        <v>25.445676768887648</v>
      </c>
      <c r="AX20" s="203">
        <f t="shared" si="15"/>
        <v>25.22971941381147</v>
      </c>
    </row>
    <row r="21" spans="1:50" x14ac:dyDescent="0.25">
      <c r="A21" s="242" t="str">
        <f>$J$904</f>
        <v>Fuel and variable costs</v>
      </c>
      <c r="B21" s="199"/>
      <c r="C21" s="199"/>
      <c r="D21" s="199"/>
      <c r="E21" s="199"/>
      <c r="F21" s="199"/>
      <c r="G21" s="199"/>
      <c r="H21" s="199"/>
      <c r="I21" s="199" t="str">
        <f>INDEX(F$906:F$1177,$D$139)&amp;" / "&amp;INDEX(G$906:G$1177,$D$139)&amp;" / "&amp;INDEX(H$906:H$1177,$D$139)&amp;" / "&amp;INDEX(I$906:I$1177,$D$139)</f>
        <v>Wind power plants / Onshore / Electricity only / M</v>
      </c>
      <c r="J21" s="202">
        <f t="shared" ref="J21:O21" si="16">IF(LEN(INDEX(J$906:J$1177,$D$139))&lt;=0,NA(),INDEX(J$906:J$1177,$D$139))</f>
        <v>0.59518441698980962</v>
      </c>
      <c r="K21" s="202">
        <f t="shared" si="16"/>
        <v>0.58055189827757236</v>
      </c>
      <c r="L21" s="202">
        <f t="shared" si="16"/>
        <v>0.57030901456398231</v>
      </c>
      <c r="M21" s="202">
        <f t="shared" si="16"/>
        <v>0.56284372933199567</v>
      </c>
      <c r="N21" s="202">
        <f t="shared" si="16"/>
        <v>0.55517210749391288</v>
      </c>
      <c r="O21" s="202">
        <f t="shared" si="16"/>
        <v>0.54423302371719728</v>
      </c>
      <c r="P21" s="202">
        <f t="shared" ref="P21:AX21" si="17">IF(LEN(INDEX(P$906:P$1177,$D$139))&lt;=0,NA(),INDEX(P$906:P$1177,$D$139))</f>
        <v>0.53419597623468285</v>
      </c>
      <c r="Q21" s="202">
        <f t="shared" si="17"/>
        <v>0.52775553743340275</v>
      </c>
      <c r="R21" s="202">
        <f t="shared" si="17"/>
        <v>0.5210428003708697</v>
      </c>
      <c r="S21" s="202">
        <f t="shared" si="17"/>
        <v>0.51588396076323728</v>
      </c>
      <c r="T21" s="202">
        <f t="shared" si="17"/>
        <v>0.51077619877548242</v>
      </c>
      <c r="U21" s="202">
        <f t="shared" si="17"/>
        <v>0.50683325499767995</v>
      </c>
      <c r="V21" s="202">
        <f t="shared" si="17"/>
        <v>0.502785254584876</v>
      </c>
      <c r="W21" s="202">
        <f t="shared" si="17"/>
        <v>0.49863659040222702</v>
      </c>
      <c r="X21" s="202">
        <f t="shared" si="17"/>
        <v>0.49439241521776411</v>
      </c>
      <c r="Y21" s="202">
        <f t="shared" si="17"/>
        <v>0.49005865651565328</v>
      </c>
      <c r="Z21" s="202">
        <f t="shared" si="17"/>
        <v>0.48564202301157394</v>
      </c>
      <c r="AA21" s="202">
        <f t="shared" si="17"/>
        <v>0.48115000184645323</v>
      </c>
      <c r="AB21" s="202">
        <f t="shared" si="17"/>
        <v>0.47659084552009257</v>
      </c>
      <c r="AC21" s="202">
        <f t="shared" si="17"/>
        <v>0.47197354775120809</v>
      </c>
      <c r="AD21" s="202">
        <f t="shared" si="17"/>
        <v>0.46730780761672236</v>
      </c>
      <c r="AE21" s="202">
        <f t="shared" si="17"/>
        <v>0.46260398153087384</v>
      </c>
      <c r="AF21" s="202">
        <f t="shared" si="17"/>
        <v>0.45787302287208109</v>
      </c>
      <c r="AG21" s="202">
        <f t="shared" si="17"/>
        <v>0.45312640934864801</v>
      </c>
      <c r="AH21" s="202">
        <f t="shared" si="17"/>
        <v>0.44837605850720946</v>
      </c>
      <c r="AI21" s="202">
        <f t="shared" si="17"/>
        <v>0.4436342321219226</v>
      </c>
      <c r="AJ21" s="202">
        <f t="shared" si="17"/>
        <v>0.43891343054727228</v>
      </c>
      <c r="AK21" s="202">
        <f t="shared" si="17"/>
        <v>0.43422627846055767</v>
      </c>
      <c r="AL21" s="202">
        <f t="shared" si="17"/>
        <v>0.42958540374780962</v>
      </c>
      <c r="AM21" s="202">
        <f t="shared" si="17"/>
        <v>0.4250033115843545</v>
      </c>
      <c r="AN21" s="202">
        <f t="shared" si="17"/>
        <v>0.42049225601369994</v>
      </c>
      <c r="AO21" s="202">
        <f t="shared" si="17"/>
        <v>0.41606411152183703</v>
      </c>
      <c r="AP21" s="202">
        <f t="shared" si="17"/>
        <v>0.41173024722603774</v>
      </c>
      <c r="AQ21" s="202">
        <f t="shared" si="17"/>
        <v>0.4075014063379292</v>
      </c>
      <c r="AR21" s="202">
        <f t="shared" si="17"/>
        <v>0.40338759351350562</v>
      </c>
      <c r="AS21" s="202">
        <f t="shared" si="17"/>
        <v>0.39939797256524473</v>
      </c>
      <c r="AT21" s="202">
        <f t="shared" si="17"/>
        <v>0.39554077678544591</v>
      </c>
      <c r="AU21" s="202">
        <f t="shared" si="17"/>
        <v>0.39182323382164869</v>
      </c>
      <c r="AV21" s="202">
        <f t="shared" si="17"/>
        <v>0.38825150666523467</v>
      </c>
      <c r="AW21" s="202">
        <f t="shared" si="17"/>
        <v>0.38483065187765636</v>
      </c>
      <c r="AX21" s="203">
        <f t="shared" si="17"/>
        <v>0.38156459570290552</v>
      </c>
    </row>
    <row r="22" spans="1:50" x14ac:dyDescent="0.25">
      <c r="A22" s="242" t="str">
        <f>$J$1184</f>
        <v>CO2 emission related costs</v>
      </c>
      <c r="B22" s="199"/>
      <c r="C22" s="199"/>
      <c r="D22" s="199"/>
      <c r="E22" s="199"/>
      <c r="F22" s="199"/>
      <c r="G22" s="199"/>
      <c r="H22" s="199"/>
      <c r="I22" s="199" t="str">
        <f>INDEX(F$1186:F$1457,$D$139)&amp;" / "&amp;INDEX(G$1186:G$1457,$D$139)&amp;" / "&amp;INDEX(H$1186:H$1457,$D$139)&amp;" / "&amp;INDEX(I$1186:I$1457,$D$139)</f>
        <v>Wind power plants / Onshore / Electricity only / M</v>
      </c>
      <c r="J22" s="202">
        <f t="shared" ref="J22:O22" si="18">IF(LEN(INDEX(J$1186:J$1457,$D$139))&lt;=0,NA(),INDEX(J$1186:J$1457,$D$139))</f>
        <v>0</v>
      </c>
      <c r="K22" s="202">
        <f t="shared" si="18"/>
        <v>0</v>
      </c>
      <c r="L22" s="202">
        <f t="shared" si="18"/>
        <v>0</v>
      </c>
      <c r="M22" s="202">
        <f t="shared" si="18"/>
        <v>0</v>
      </c>
      <c r="N22" s="202">
        <f t="shared" si="18"/>
        <v>0</v>
      </c>
      <c r="O22" s="202">
        <f t="shared" si="18"/>
        <v>0</v>
      </c>
      <c r="P22" s="202">
        <f t="shared" ref="P22:AX22" si="19">IF(LEN(INDEX(P$1186:P$1457,$D$139))&lt;=0,NA(),INDEX(P$1186:P$1457,$D$139))</f>
        <v>0</v>
      </c>
      <c r="Q22" s="202">
        <f t="shared" si="19"/>
        <v>0</v>
      </c>
      <c r="R22" s="202">
        <f t="shared" si="19"/>
        <v>0</v>
      </c>
      <c r="S22" s="202">
        <f t="shared" si="19"/>
        <v>0</v>
      </c>
      <c r="T22" s="202">
        <f t="shared" si="19"/>
        <v>0</v>
      </c>
      <c r="U22" s="202">
        <f t="shared" si="19"/>
        <v>0</v>
      </c>
      <c r="V22" s="202">
        <f t="shared" si="19"/>
        <v>0</v>
      </c>
      <c r="W22" s="202">
        <f t="shared" si="19"/>
        <v>0</v>
      </c>
      <c r="X22" s="202">
        <f t="shared" si="19"/>
        <v>0</v>
      </c>
      <c r="Y22" s="202">
        <f t="shared" si="19"/>
        <v>0</v>
      </c>
      <c r="Z22" s="202">
        <f t="shared" si="19"/>
        <v>0</v>
      </c>
      <c r="AA22" s="202">
        <f t="shared" si="19"/>
        <v>0</v>
      </c>
      <c r="AB22" s="202">
        <f t="shared" si="19"/>
        <v>0</v>
      </c>
      <c r="AC22" s="202">
        <f t="shared" si="19"/>
        <v>0</v>
      </c>
      <c r="AD22" s="202">
        <f t="shared" si="19"/>
        <v>0</v>
      </c>
      <c r="AE22" s="202">
        <f t="shared" si="19"/>
        <v>0</v>
      </c>
      <c r="AF22" s="202">
        <f t="shared" si="19"/>
        <v>0</v>
      </c>
      <c r="AG22" s="202">
        <f t="shared" si="19"/>
        <v>0</v>
      </c>
      <c r="AH22" s="202">
        <f t="shared" si="19"/>
        <v>0</v>
      </c>
      <c r="AI22" s="202">
        <f t="shared" si="19"/>
        <v>0</v>
      </c>
      <c r="AJ22" s="202">
        <f t="shared" si="19"/>
        <v>0</v>
      </c>
      <c r="AK22" s="202">
        <f t="shared" si="19"/>
        <v>0</v>
      </c>
      <c r="AL22" s="202">
        <f t="shared" si="19"/>
        <v>0</v>
      </c>
      <c r="AM22" s="202">
        <f t="shared" si="19"/>
        <v>0</v>
      </c>
      <c r="AN22" s="202">
        <f t="shared" si="19"/>
        <v>0</v>
      </c>
      <c r="AO22" s="202">
        <f t="shared" si="19"/>
        <v>0</v>
      </c>
      <c r="AP22" s="202">
        <f t="shared" si="19"/>
        <v>0</v>
      </c>
      <c r="AQ22" s="202">
        <f t="shared" si="19"/>
        <v>0</v>
      </c>
      <c r="AR22" s="202">
        <f t="shared" si="19"/>
        <v>0</v>
      </c>
      <c r="AS22" s="202">
        <f t="shared" si="19"/>
        <v>0</v>
      </c>
      <c r="AT22" s="202">
        <f t="shared" si="19"/>
        <v>0</v>
      </c>
      <c r="AU22" s="202">
        <f t="shared" si="19"/>
        <v>0</v>
      </c>
      <c r="AV22" s="202">
        <f t="shared" si="19"/>
        <v>0</v>
      </c>
      <c r="AW22" s="202">
        <f t="shared" si="19"/>
        <v>0</v>
      </c>
      <c r="AX22" s="203">
        <f t="shared" si="19"/>
        <v>0</v>
      </c>
    </row>
    <row r="23" spans="1:50" x14ac:dyDescent="0.25">
      <c r="A23" s="242" t="s">
        <v>80</v>
      </c>
      <c r="B23" s="199"/>
      <c r="C23" s="199"/>
      <c r="D23" s="199"/>
      <c r="E23" s="199"/>
      <c r="F23" s="200"/>
      <c r="G23" s="200"/>
      <c r="H23" s="199" t="str">
        <f>"Operating hours"&amp;CHAR(13)&amp;I23</f>
        <v>Operating hours_x000D_Wind power plants / Onshore / Electricity only / M</v>
      </c>
      <c r="I23" s="200" t="str">
        <f>INDEX(tech_proj!F$1806:F$2077,$D$139)&amp;" / "&amp;INDEX(tech_proj!G$1806:G$2077,$D$139)&amp;" / "&amp;INDEX(tech_proj!H$1806:H$2077,$D$139)&amp;" / "&amp;INDEX(tech_proj!I$1806:I$2077,$D$139)</f>
        <v>Wind power plants / Onshore / Electricity only / M</v>
      </c>
      <c r="J23" s="200">
        <f>IF(LEN(INDEX(tech_proj!J$1806:J$2077,$D$139))&lt;=0,NA(),INDEX(tech_proj!J$1806:J$2077,$D$139))</f>
        <v>1400</v>
      </c>
      <c r="K23" s="200">
        <f>IF(LEN(INDEX(tech_proj!K$1806:K$2077,$D$139))&lt;=0,NA(),INDEX(tech_proj!K$1806:K$2077,$D$139))</f>
        <v>1400</v>
      </c>
      <c r="L23" s="200">
        <f>IF(LEN(INDEX(tech_proj!L$1806:L$2077,$D$139))&lt;=0,NA(),INDEX(tech_proj!L$1806:L$2077,$D$139))</f>
        <v>1400</v>
      </c>
      <c r="M23" s="200">
        <f>IF(LEN(INDEX(tech_proj!M$1806:M$2077,$D$139))&lt;=0,NA(),INDEX(tech_proj!M$1806:M$2077,$D$139))</f>
        <v>1400</v>
      </c>
      <c r="N23" s="200">
        <f>IF(LEN(INDEX(tech_proj!N$1806:N$2077,$D$139))&lt;=0,NA(),INDEX(tech_proj!N$1806:N$2077,$D$139))</f>
        <v>1400</v>
      </c>
      <c r="O23" s="200">
        <f>IF(LEN(INDEX(tech_proj!O$1806:O$2077,$D$139))&lt;=0,NA(),INDEX(tech_proj!O$1806:O$2077,$D$139))</f>
        <v>1400</v>
      </c>
      <c r="P23" s="200">
        <f>IF(LEN(INDEX(tech_proj!P$1806:P$2077,$D$139))&lt;=0,NA(),INDEX(tech_proj!P$1806:P$2077,$D$139))</f>
        <v>1400</v>
      </c>
      <c r="Q23" s="200">
        <f>IF(LEN(INDEX(tech_proj!Q$1806:Q$2077,$D$139))&lt;=0,NA(),INDEX(tech_proj!Q$1806:Q$2077,$D$139))</f>
        <v>1400</v>
      </c>
      <c r="R23" s="200">
        <f>IF(LEN(INDEX(tech_proj!R$1806:R$2077,$D$139))&lt;=0,NA(),INDEX(tech_proj!R$1806:R$2077,$D$139))</f>
        <v>1400</v>
      </c>
      <c r="S23" s="200">
        <f>IF(LEN(INDEX(tech_proj!S$1806:S$2077,$D$139))&lt;=0,NA(),INDEX(tech_proj!S$1806:S$2077,$D$139))</f>
        <v>1400</v>
      </c>
      <c r="T23" s="200">
        <f>IF(LEN(INDEX(tech_proj!T$1806:T$2077,$D$139))&lt;=0,NA(),INDEX(tech_proj!T$1806:T$2077,$D$139))</f>
        <v>1400</v>
      </c>
      <c r="U23" s="200">
        <f>IF(LEN(INDEX(tech_proj!U$1806:U$2077,$D$139))&lt;=0,NA(),INDEX(tech_proj!U$1806:U$2077,$D$139))</f>
        <v>1400</v>
      </c>
      <c r="V23" s="200">
        <f>IF(LEN(INDEX(tech_proj!V$1806:V$2077,$D$139))&lt;=0,NA(),INDEX(tech_proj!V$1806:V$2077,$D$139))</f>
        <v>1400</v>
      </c>
      <c r="W23" s="200">
        <f>IF(LEN(INDEX(tech_proj!W$1806:W$2077,$D$139))&lt;=0,NA(),INDEX(tech_proj!W$1806:W$2077,$D$139))</f>
        <v>1400</v>
      </c>
      <c r="X23" s="200">
        <f>IF(LEN(INDEX(tech_proj!X$1806:X$2077,$D$139))&lt;=0,NA(),INDEX(tech_proj!X$1806:X$2077,$D$139))</f>
        <v>1400</v>
      </c>
      <c r="Y23" s="200">
        <f>IF(LEN(INDEX(tech_proj!Y$1806:Y$2077,$D$139))&lt;=0,NA(),INDEX(tech_proj!Y$1806:Y$2077,$D$139))</f>
        <v>1400</v>
      </c>
      <c r="Z23" s="200">
        <f>IF(LEN(INDEX(tech_proj!Z$1806:Z$2077,$D$139))&lt;=0,NA(),INDEX(tech_proj!Z$1806:Z$2077,$D$139))</f>
        <v>1400</v>
      </c>
      <c r="AA23" s="200">
        <f>IF(LEN(INDEX(tech_proj!AA$1806:AA$2077,$D$139))&lt;=0,NA(),INDEX(tech_proj!AA$1806:AA$2077,$D$139))</f>
        <v>1400</v>
      </c>
      <c r="AB23" s="200">
        <f>IF(LEN(INDEX(tech_proj!AB$1806:AB$2077,$D$139))&lt;=0,NA(),INDEX(tech_proj!AB$1806:AB$2077,$D$139))</f>
        <v>1400</v>
      </c>
      <c r="AC23" s="200">
        <f>IF(LEN(INDEX(tech_proj!AC$1806:AC$2077,$D$139))&lt;=0,NA(),INDEX(tech_proj!AC$1806:AC$2077,$D$139))</f>
        <v>1400</v>
      </c>
      <c r="AD23" s="200">
        <f>IF(LEN(INDEX(tech_proj!AD$1806:AD$2077,$D$139))&lt;=0,NA(),INDEX(tech_proj!AD$1806:AD$2077,$D$139))</f>
        <v>1400</v>
      </c>
      <c r="AE23" s="200">
        <f>IF(LEN(INDEX(tech_proj!AE$1806:AE$2077,$D$139))&lt;=0,NA(),INDEX(tech_proj!AE$1806:AE$2077,$D$139))</f>
        <v>1400</v>
      </c>
      <c r="AF23" s="200">
        <f>IF(LEN(INDEX(tech_proj!AF$1806:AF$2077,$D$139))&lt;=0,NA(),INDEX(tech_proj!AF$1806:AF$2077,$D$139))</f>
        <v>1400</v>
      </c>
      <c r="AG23" s="200">
        <f>IF(LEN(INDEX(tech_proj!AG$1806:AG$2077,$D$139))&lt;=0,NA(),INDEX(tech_proj!AG$1806:AG$2077,$D$139))</f>
        <v>1400</v>
      </c>
      <c r="AH23" s="200">
        <f>IF(LEN(INDEX(tech_proj!AH$1806:AH$2077,$D$139))&lt;=0,NA(),INDEX(tech_proj!AH$1806:AH$2077,$D$139))</f>
        <v>1400</v>
      </c>
      <c r="AI23" s="200">
        <f>IF(LEN(INDEX(tech_proj!AI$1806:AI$2077,$D$139))&lt;=0,NA(),INDEX(tech_proj!AI$1806:AI$2077,$D$139))</f>
        <v>1400</v>
      </c>
      <c r="AJ23" s="200">
        <f>IF(LEN(INDEX(tech_proj!AJ$1806:AJ$2077,$D$139))&lt;=0,NA(),INDEX(tech_proj!AJ$1806:AJ$2077,$D$139))</f>
        <v>1400</v>
      </c>
      <c r="AK23" s="200">
        <f>IF(LEN(INDEX(tech_proj!AK$1806:AK$2077,$D$139))&lt;=0,NA(),INDEX(tech_proj!AK$1806:AK$2077,$D$139))</f>
        <v>1400</v>
      </c>
      <c r="AL23" s="200">
        <f>IF(LEN(INDEX(tech_proj!AL$1806:AL$2077,$D$139))&lt;=0,NA(),INDEX(tech_proj!AL$1806:AL$2077,$D$139))</f>
        <v>1400</v>
      </c>
      <c r="AM23" s="200">
        <f>IF(LEN(INDEX(tech_proj!AM$1806:AM$2077,$D$139))&lt;=0,NA(),INDEX(tech_proj!AM$1806:AM$2077,$D$139))</f>
        <v>1400</v>
      </c>
      <c r="AN23" s="200">
        <f>IF(LEN(INDEX(tech_proj!AN$1806:AN$2077,$D$139))&lt;=0,NA(),INDEX(tech_proj!AN$1806:AN$2077,$D$139))</f>
        <v>1400</v>
      </c>
      <c r="AO23" s="200">
        <f>IF(LEN(INDEX(tech_proj!AO$1806:AO$2077,$D$139))&lt;=0,NA(),INDEX(tech_proj!AO$1806:AO$2077,$D$139))</f>
        <v>1400</v>
      </c>
      <c r="AP23" s="200">
        <f>IF(LEN(INDEX(tech_proj!AP$1806:AP$2077,$D$139))&lt;=0,NA(),INDEX(tech_proj!AP$1806:AP$2077,$D$139))</f>
        <v>1400</v>
      </c>
      <c r="AQ23" s="200">
        <f>IF(LEN(INDEX(tech_proj!AQ$1806:AQ$2077,$D$139))&lt;=0,NA(),INDEX(tech_proj!AQ$1806:AQ$2077,$D$139))</f>
        <v>1400</v>
      </c>
      <c r="AR23" s="200">
        <f>IF(LEN(INDEX(tech_proj!AR$1806:AR$2077,$D$139))&lt;=0,NA(),INDEX(tech_proj!AR$1806:AR$2077,$D$139))</f>
        <v>1400</v>
      </c>
      <c r="AS23" s="200">
        <f>IF(LEN(INDEX(tech_proj!AS$1806:AS$2077,$D$139))&lt;=0,NA(),INDEX(tech_proj!AS$1806:AS$2077,$D$139))</f>
        <v>1400</v>
      </c>
      <c r="AT23" s="200">
        <f>IF(LEN(INDEX(tech_proj!AT$1806:AT$2077,$D$139))&lt;=0,NA(),INDEX(tech_proj!AT$1806:AT$2077,$D$139))</f>
        <v>1400</v>
      </c>
      <c r="AU23" s="200">
        <f>IF(LEN(INDEX(tech_proj!AU$1806:AU$2077,$D$139))&lt;=0,NA(),INDEX(tech_proj!AU$1806:AU$2077,$D$139))</f>
        <v>1400</v>
      </c>
      <c r="AV23" s="200">
        <f>IF(LEN(INDEX(tech_proj!AV$1806:AV$2077,$D$139))&lt;=0,NA(),INDEX(tech_proj!AV$1806:AV$2077,$D$139))</f>
        <v>1400</v>
      </c>
      <c r="AW23" s="200">
        <f>IF(LEN(INDEX(tech_proj!AW$1806:AW$2077,$D$139))&lt;=0,NA(),INDEX(tech_proj!AW$1806:AW$2077,$D$139))</f>
        <v>1400</v>
      </c>
      <c r="AX23" s="201">
        <f>IF(LEN(INDEX(tech_proj!AX$1806:AX$2077,$D$139))&lt;=0,NA(),INDEX(tech_proj!AX$1806:AX$2077,$D$139))</f>
        <v>1400</v>
      </c>
    </row>
    <row r="24" spans="1:50" x14ac:dyDescent="0.25">
      <c r="A24" s="243" t="s">
        <v>81</v>
      </c>
      <c r="B24" s="204"/>
      <c r="C24" s="204"/>
      <c r="D24" s="204"/>
      <c r="E24" s="204"/>
      <c r="F24" s="204"/>
      <c r="G24" s="204"/>
      <c r="H24" s="204"/>
      <c r="I24" s="204" t="str">
        <f>INDEX(tech_proj!F$2366:F$2637,$D$139)&amp;" / "&amp;INDEX(tech_proj!G$2366:G$2637,$D$139)&amp;" / "&amp;INDEX(tech_proj!H$2366:H$2637,$D$139)&amp;" / "&amp;INDEX(tech_proj!I$2366:I$2637,$D$139)</f>
        <v>Wind power plants / Onshore / Electricity only / M</v>
      </c>
      <c r="J24" s="244">
        <f>IF(LEN(INDEX(tech_proj!J$2366:J$2637,$D$139))&lt;=0,NA(),INDEX(tech_proj!J$2366:J$2637,$D$139))</f>
        <v>3375</v>
      </c>
      <c r="K24" s="244">
        <f>IF(LEN(INDEX(tech_proj!K$2366:K$2637,$D$139))&lt;=0,NA(),INDEX(tech_proj!K$2366:K$2637,$D$139))</f>
        <v>3375</v>
      </c>
      <c r="L24" s="244">
        <f>IF(LEN(INDEX(tech_proj!L$2366:L$2637,$D$139))&lt;=0,NA(),INDEX(tech_proj!L$2366:L$2637,$D$139))</f>
        <v>3375</v>
      </c>
      <c r="M24" s="244">
        <f>IF(LEN(INDEX(tech_proj!M$2366:M$2637,$D$139))&lt;=0,NA(),INDEX(tech_proj!M$2366:M$2637,$D$139))</f>
        <v>3375</v>
      </c>
      <c r="N24" s="244">
        <f>IF(LEN(INDEX(tech_proj!N$2366:N$2637,$D$139))&lt;=0,NA(),INDEX(tech_proj!N$2366:N$2637,$D$139))</f>
        <v>3375</v>
      </c>
      <c r="O24" s="244">
        <f>IF(LEN(INDEX(tech_proj!O$2366:O$2637,$D$139))&lt;=0,NA(),INDEX(tech_proj!O$2366:O$2637,$D$139))</f>
        <v>3375</v>
      </c>
      <c r="P24" s="244">
        <f>IF(LEN(INDEX(tech_proj!P$2366:P$2637,$D$139))&lt;=0,NA(),INDEX(tech_proj!P$2366:P$2637,$D$139))</f>
        <v>3375</v>
      </c>
      <c r="Q24" s="244">
        <f>IF(LEN(INDEX(tech_proj!Q$2366:Q$2637,$D$139))&lt;=0,NA(),INDEX(tech_proj!Q$2366:Q$2637,$D$139))</f>
        <v>3375</v>
      </c>
      <c r="R24" s="244">
        <f>IF(LEN(INDEX(tech_proj!R$2366:R$2637,$D$139))&lt;=0,NA(),INDEX(tech_proj!R$2366:R$2637,$D$139))</f>
        <v>3375</v>
      </c>
      <c r="S24" s="244">
        <f>IF(LEN(INDEX(tech_proj!S$2366:S$2637,$D$139))&lt;=0,NA(),INDEX(tech_proj!S$2366:S$2637,$D$139))</f>
        <v>3375</v>
      </c>
      <c r="T24" s="244">
        <f>IF(LEN(INDEX(tech_proj!T$2366:T$2637,$D$139))&lt;=0,NA(),INDEX(tech_proj!T$2366:T$2637,$D$139))</f>
        <v>3375</v>
      </c>
      <c r="U24" s="244">
        <f>IF(LEN(INDEX(tech_proj!U$2366:U$2637,$D$139))&lt;=0,NA(),INDEX(tech_proj!U$2366:U$2637,$D$139))</f>
        <v>3375</v>
      </c>
      <c r="V24" s="244">
        <f>IF(LEN(INDEX(tech_proj!V$2366:V$2637,$D$139))&lt;=0,NA(),INDEX(tech_proj!V$2366:V$2637,$D$139))</f>
        <v>3375</v>
      </c>
      <c r="W24" s="244">
        <f>IF(LEN(INDEX(tech_proj!W$2366:W$2637,$D$139))&lt;=0,NA(),INDEX(tech_proj!W$2366:W$2637,$D$139))</f>
        <v>3375</v>
      </c>
      <c r="X24" s="244">
        <f>IF(LEN(INDEX(tech_proj!X$2366:X$2637,$D$139))&lt;=0,NA(),INDEX(tech_proj!X$2366:X$2637,$D$139))</f>
        <v>3375</v>
      </c>
      <c r="Y24" s="244">
        <f>IF(LEN(INDEX(tech_proj!Y$2366:Y$2637,$D$139))&lt;=0,NA(),INDEX(tech_proj!Y$2366:Y$2637,$D$139))</f>
        <v>3375</v>
      </c>
      <c r="Z24" s="244">
        <f>IF(LEN(INDEX(tech_proj!Z$2366:Z$2637,$D$139))&lt;=0,NA(),INDEX(tech_proj!Z$2366:Z$2637,$D$139))</f>
        <v>3375</v>
      </c>
      <c r="AA24" s="244">
        <f>IF(LEN(INDEX(tech_proj!AA$2366:AA$2637,$D$139))&lt;=0,NA(),INDEX(tech_proj!AA$2366:AA$2637,$D$139))</f>
        <v>3375</v>
      </c>
      <c r="AB24" s="244">
        <f>IF(LEN(INDEX(tech_proj!AB$2366:AB$2637,$D$139))&lt;=0,NA(),INDEX(tech_proj!AB$2366:AB$2637,$D$139))</f>
        <v>3375</v>
      </c>
      <c r="AC24" s="244">
        <f>IF(LEN(INDEX(tech_proj!AC$2366:AC$2637,$D$139))&lt;=0,NA(),INDEX(tech_proj!AC$2366:AC$2637,$D$139))</f>
        <v>3375</v>
      </c>
      <c r="AD24" s="244">
        <f>IF(LEN(INDEX(tech_proj!AD$2366:AD$2637,$D$139))&lt;=0,NA(),INDEX(tech_proj!AD$2366:AD$2637,$D$139))</f>
        <v>3375</v>
      </c>
      <c r="AE24" s="244">
        <f>IF(LEN(INDEX(tech_proj!AE$2366:AE$2637,$D$139))&lt;=0,NA(),INDEX(tech_proj!AE$2366:AE$2637,$D$139))</f>
        <v>3375</v>
      </c>
      <c r="AF24" s="244">
        <f>IF(LEN(INDEX(tech_proj!AF$2366:AF$2637,$D$139))&lt;=0,NA(),INDEX(tech_proj!AF$2366:AF$2637,$D$139))</f>
        <v>3375</v>
      </c>
      <c r="AG24" s="244">
        <f>IF(LEN(INDEX(tech_proj!AG$2366:AG$2637,$D$139))&lt;=0,NA(),INDEX(tech_proj!AG$2366:AG$2637,$D$139))</f>
        <v>3375</v>
      </c>
      <c r="AH24" s="244">
        <f>IF(LEN(INDEX(tech_proj!AH$2366:AH$2637,$D$139))&lt;=0,NA(),INDEX(tech_proj!AH$2366:AH$2637,$D$139))</f>
        <v>3375</v>
      </c>
      <c r="AI24" s="244">
        <f>IF(LEN(INDEX(tech_proj!AI$2366:AI$2637,$D$139))&lt;=0,NA(),INDEX(tech_proj!AI$2366:AI$2637,$D$139))</f>
        <v>3375</v>
      </c>
      <c r="AJ24" s="244">
        <f>IF(LEN(INDEX(tech_proj!AJ$2366:AJ$2637,$D$139))&lt;=0,NA(),INDEX(tech_proj!AJ$2366:AJ$2637,$D$139))</f>
        <v>3375</v>
      </c>
      <c r="AK24" s="244">
        <f>IF(LEN(INDEX(tech_proj!AK$2366:AK$2637,$D$139))&lt;=0,NA(),INDEX(tech_proj!AK$2366:AK$2637,$D$139))</f>
        <v>3375</v>
      </c>
      <c r="AL24" s="244">
        <f>IF(LEN(INDEX(tech_proj!AL$2366:AL$2637,$D$139))&lt;=0,NA(),INDEX(tech_proj!AL$2366:AL$2637,$D$139))</f>
        <v>3375</v>
      </c>
      <c r="AM24" s="244">
        <f>IF(LEN(INDEX(tech_proj!AM$2366:AM$2637,$D$139))&lt;=0,NA(),INDEX(tech_proj!AM$2366:AM$2637,$D$139))</f>
        <v>3375</v>
      </c>
      <c r="AN24" s="244">
        <f>IF(LEN(INDEX(tech_proj!AN$2366:AN$2637,$D$139))&lt;=0,NA(),INDEX(tech_proj!AN$2366:AN$2637,$D$139))</f>
        <v>3375</v>
      </c>
      <c r="AO24" s="244">
        <f>IF(LEN(INDEX(tech_proj!AO$2366:AO$2637,$D$139))&lt;=0,NA(),INDEX(tech_proj!AO$2366:AO$2637,$D$139))</f>
        <v>3375</v>
      </c>
      <c r="AP24" s="244">
        <f>IF(LEN(INDEX(tech_proj!AP$2366:AP$2637,$D$139))&lt;=0,NA(),INDEX(tech_proj!AP$2366:AP$2637,$D$139))</f>
        <v>3375</v>
      </c>
      <c r="AQ24" s="244">
        <f>IF(LEN(INDEX(tech_proj!AQ$2366:AQ$2637,$D$139))&lt;=0,NA(),INDEX(tech_proj!AQ$2366:AQ$2637,$D$139))</f>
        <v>3375</v>
      </c>
      <c r="AR24" s="244">
        <f>IF(LEN(INDEX(tech_proj!AR$2366:AR$2637,$D$139))&lt;=0,NA(),INDEX(tech_proj!AR$2366:AR$2637,$D$139))</f>
        <v>3375</v>
      </c>
      <c r="AS24" s="244">
        <f>IF(LEN(INDEX(tech_proj!AS$2366:AS$2637,$D$139))&lt;=0,NA(),INDEX(tech_proj!AS$2366:AS$2637,$D$139))</f>
        <v>3375</v>
      </c>
      <c r="AT24" s="244">
        <f>IF(LEN(INDEX(tech_proj!AT$2366:AT$2637,$D$139))&lt;=0,NA(),INDEX(tech_proj!AT$2366:AT$2637,$D$139))</f>
        <v>3375</v>
      </c>
      <c r="AU24" s="244">
        <f>IF(LEN(INDEX(tech_proj!AU$2366:AU$2637,$D$139))&lt;=0,NA(),INDEX(tech_proj!AU$2366:AU$2637,$D$139))</f>
        <v>3375</v>
      </c>
      <c r="AV24" s="244">
        <f>IF(LEN(INDEX(tech_proj!AV$2366:AV$2637,$D$139))&lt;=0,NA(),INDEX(tech_proj!AV$2366:AV$2637,$D$139))</f>
        <v>3375</v>
      </c>
      <c r="AW24" s="244">
        <f>IF(LEN(INDEX(tech_proj!AW$2366:AW$2637,$D$139))&lt;=0,NA(),INDEX(tech_proj!AW$2366:AW$2637,$D$139))</f>
        <v>3375</v>
      </c>
      <c r="AX24" s="245">
        <f>IF(LEN(INDEX(tech_proj!AX$2366:AX$2637,$D$139))&lt;=0,NA(),INDEX(tech_proj!AX$2366:AX$2637,$D$139))</f>
        <v>3375</v>
      </c>
    </row>
    <row r="26" spans="1:50" ht="0.15" customHeight="1" x14ac:dyDescent="0.25">
      <c r="A26" s="134" t="str">
        <f>"LEFT "&amp;$J$344</f>
        <v>LEFT Levelized costs (€2010 / MWh net)</v>
      </c>
      <c r="B26" s="135"/>
      <c r="C26" s="135"/>
      <c r="D26" s="135"/>
      <c r="E26" s="135"/>
      <c r="F26" s="135"/>
      <c r="G26" s="135"/>
      <c r="H26" s="135"/>
      <c r="I26" s="135"/>
      <c r="J26" s="175">
        <f t="shared" ref="J26:AX26" si="20">J$345</f>
        <v>2010</v>
      </c>
      <c r="K26" s="175">
        <f t="shared" si="20"/>
        <v>2011</v>
      </c>
      <c r="L26" s="175">
        <f t="shared" si="20"/>
        <v>2012</v>
      </c>
      <c r="M26" s="175">
        <f t="shared" si="20"/>
        <v>2013</v>
      </c>
      <c r="N26" s="175">
        <f t="shared" si="20"/>
        <v>2014</v>
      </c>
      <c r="O26" s="175">
        <f t="shared" si="20"/>
        <v>2015</v>
      </c>
      <c r="P26" s="175">
        <f t="shared" si="20"/>
        <v>2016</v>
      </c>
      <c r="Q26" s="175">
        <f t="shared" si="20"/>
        <v>2017</v>
      </c>
      <c r="R26" s="175">
        <f t="shared" si="20"/>
        <v>2018</v>
      </c>
      <c r="S26" s="175">
        <f t="shared" si="20"/>
        <v>2019</v>
      </c>
      <c r="T26" s="175">
        <f t="shared" si="20"/>
        <v>2020</v>
      </c>
      <c r="U26" s="175">
        <f t="shared" si="20"/>
        <v>2021</v>
      </c>
      <c r="V26" s="175">
        <f t="shared" si="20"/>
        <v>2022</v>
      </c>
      <c r="W26" s="175">
        <f t="shared" si="20"/>
        <v>2023</v>
      </c>
      <c r="X26" s="175">
        <f t="shared" si="20"/>
        <v>2024</v>
      </c>
      <c r="Y26" s="175">
        <f t="shared" si="20"/>
        <v>2025</v>
      </c>
      <c r="Z26" s="175">
        <f t="shared" si="20"/>
        <v>2026</v>
      </c>
      <c r="AA26" s="175">
        <f t="shared" si="20"/>
        <v>2027</v>
      </c>
      <c r="AB26" s="175">
        <f t="shared" si="20"/>
        <v>2028</v>
      </c>
      <c r="AC26" s="175">
        <f t="shared" si="20"/>
        <v>2029</v>
      </c>
      <c r="AD26" s="175">
        <f t="shared" si="20"/>
        <v>2030</v>
      </c>
      <c r="AE26" s="175">
        <f t="shared" si="20"/>
        <v>2031</v>
      </c>
      <c r="AF26" s="175">
        <f t="shared" si="20"/>
        <v>2032</v>
      </c>
      <c r="AG26" s="175">
        <f t="shared" si="20"/>
        <v>2033</v>
      </c>
      <c r="AH26" s="175">
        <f t="shared" si="20"/>
        <v>2034</v>
      </c>
      <c r="AI26" s="175">
        <f t="shared" si="20"/>
        <v>2035</v>
      </c>
      <c r="AJ26" s="175">
        <f t="shared" si="20"/>
        <v>2036</v>
      </c>
      <c r="AK26" s="175">
        <f t="shared" si="20"/>
        <v>2037</v>
      </c>
      <c r="AL26" s="175">
        <f t="shared" si="20"/>
        <v>2038</v>
      </c>
      <c r="AM26" s="175">
        <f t="shared" si="20"/>
        <v>2039</v>
      </c>
      <c r="AN26" s="175">
        <f t="shared" si="20"/>
        <v>2040</v>
      </c>
      <c r="AO26" s="175">
        <f t="shared" si="20"/>
        <v>2041</v>
      </c>
      <c r="AP26" s="175">
        <f t="shared" si="20"/>
        <v>2042</v>
      </c>
      <c r="AQ26" s="175">
        <f t="shared" si="20"/>
        <v>2043</v>
      </c>
      <c r="AR26" s="175">
        <f t="shared" si="20"/>
        <v>2044</v>
      </c>
      <c r="AS26" s="175">
        <f t="shared" si="20"/>
        <v>2045</v>
      </c>
      <c r="AT26" s="175">
        <f t="shared" si="20"/>
        <v>2046</v>
      </c>
      <c r="AU26" s="175">
        <f t="shared" si="20"/>
        <v>2047</v>
      </c>
      <c r="AV26" s="175">
        <f t="shared" si="20"/>
        <v>2048</v>
      </c>
      <c r="AW26" s="175">
        <f t="shared" si="20"/>
        <v>2049</v>
      </c>
      <c r="AX26" s="176">
        <f t="shared" si="20"/>
        <v>2050</v>
      </c>
    </row>
    <row r="27" spans="1:50" ht="0.15" customHeight="1" x14ac:dyDescent="0.25">
      <c r="A27" s="247" t="str">
        <f>INDEX(F$346:F$617,$D$120)</f>
        <v>Wind power plants</v>
      </c>
      <c r="B27" s="133" t="str">
        <f>INDEX(G$346:G$617,$D$120)</f>
        <v>Onshore</v>
      </c>
      <c r="C27" s="133" t="str">
        <f>INDEX(H$346:H$617,$D$120)</f>
        <v>Electricity only</v>
      </c>
      <c r="D27" s="133" t="str">
        <f>INDEX(I$346:I$617,$D$120)</f>
        <v>L</v>
      </c>
      <c r="I27" s="133" t="str">
        <f>A27&amp;" / "&amp;B27&amp;" / "&amp;C27&amp;" / "&amp;D27</f>
        <v>Wind power plants / Onshore / Electricity only / L</v>
      </c>
      <c r="J27" s="182">
        <f t="shared" ref="J27:AX27" si="21">INDEX(J$346:J$617,$D$120)</f>
        <v>36.793907559603021</v>
      </c>
      <c r="K27" s="182">
        <f t="shared" si="21"/>
        <v>35.005996199669717</v>
      </c>
      <c r="L27" s="182">
        <f t="shared" si="21"/>
        <v>33.832679369713496</v>
      </c>
      <c r="M27" s="182">
        <f t="shared" si="21"/>
        <v>33.078404264741629</v>
      </c>
      <c r="N27" s="182">
        <f t="shared" si="21"/>
        <v>32.647370451367465</v>
      </c>
      <c r="O27" s="182">
        <f t="shared" si="21"/>
        <v>32.324129159769761</v>
      </c>
      <c r="P27" s="182">
        <f t="shared" si="21"/>
        <v>31.803541195923092</v>
      </c>
      <c r="Q27" s="182">
        <f t="shared" si="21"/>
        <v>31.461905344648713</v>
      </c>
      <c r="R27" s="182">
        <f t="shared" si="21"/>
        <v>31.242282297400898</v>
      </c>
      <c r="S27" s="182">
        <f t="shared" si="21"/>
        <v>31.077565011965039</v>
      </c>
      <c r="T27" s="182">
        <f t="shared" si="21"/>
        <v>31.02265925015308</v>
      </c>
      <c r="U27" s="182">
        <f t="shared" si="21"/>
        <v>30.75002936145702</v>
      </c>
      <c r="V27" s="182">
        <f t="shared" si="21"/>
        <v>30.472321038493874</v>
      </c>
      <c r="W27" s="182">
        <f t="shared" si="21"/>
        <v>30.189810974613245</v>
      </c>
      <c r="X27" s="182">
        <f t="shared" si="21"/>
        <v>29.90280531156117</v>
      </c>
      <c r="Y27" s="182">
        <f t="shared" si="21"/>
        <v>29.611639527519088</v>
      </c>
      <c r="Z27" s="182">
        <f t="shared" si="21"/>
        <v>29.316678056552021</v>
      </c>
      <c r="AA27" s="182">
        <f t="shared" si="21"/>
        <v>29.018313621394547</v>
      </c>
      <c r="AB27" s="182">
        <f t="shared" si="21"/>
        <v>28.716966264397129</v>
      </c>
      <c r="AC27" s="182">
        <f t="shared" si="21"/>
        <v>28.413082064981278</v>
      </c>
      <c r="AD27" s="182">
        <f t="shared" si="21"/>
        <v>28.107131536096425</v>
      </c>
      <c r="AE27" s="182">
        <f t="shared" si="21"/>
        <v>27.799607696898732</v>
      </c>
      <c r="AF27" s="182">
        <f t="shared" si="21"/>
        <v>27.491023824126064</v>
      </c>
      <c r="AG27" s="182">
        <f t="shared" si="21"/>
        <v>27.181910890339406</v>
      </c>
      <c r="AH27" s="182">
        <f t="shared" si="21"/>
        <v>26.872814703236713</v>
      </c>
      <c r="AI27" s="182">
        <f t="shared" si="21"/>
        <v>26.564292766488695</v>
      </c>
      <c r="AJ27" s="182">
        <f t="shared" si="21"/>
        <v>26.256910888849063</v>
      </c>
      <c r="AK27" s="182">
        <f t="shared" si="21"/>
        <v>25.951239574486834</v>
      </c>
      <c r="AL27" s="182">
        <f t="shared" si="21"/>
        <v>25.647850233394443</v>
      </c>
      <c r="AM27" s="182">
        <f t="shared" si="21"/>
        <v>25.347311256155667</v>
      </c>
      <c r="AN27" s="182">
        <f t="shared" si="21"/>
        <v>25.050184002123878</v>
      </c>
      <c r="AO27" s="182">
        <f t="shared" si="21"/>
        <v>24.757018753982589</v>
      </c>
      <c r="AP27" s="182">
        <f t="shared" si="21"/>
        <v>24.4683506945712</v>
      </c>
      <c r="AQ27" s="182">
        <f t="shared" si="21"/>
        <v>24.184695963615976</v>
      </c>
      <c r="AR27" s="182">
        <f t="shared" si="21"/>
        <v>23.906547852497262</v>
      </c>
      <c r="AS27" s="182">
        <f t="shared" si="21"/>
        <v>23.634373194332813</v>
      </c>
      <c r="AT27" s="182">
        <f t="shared" si="21"/>
        <v>23.368609004431775</v>
      </c>
      <c r="AU27" s="182">
        <f t="shared" si="21"/>
        <v>23.109659422586279</v>
      </c>
      <c r="AV27" s="182">
        <f t="shared" si="21"/>
        <v>22.857893003780152</v>
      </c>
      <c r="AW27" s="182">
        <f t="shared" si="21"/>
        <v>22.613640397815036</v>
      </c>
      <c r="AX27" s="183">
        <f t="shared" si="21"/>
        <v>22.377192451235903</v>
      </c>
    </row>
    <row r="28" spans="1:50" ht="0.15" customHeight="1" x14ac:dyDescent="0.25">
      <c r="A28" s="247" t="str">
        <f>INDEX(F$346:F$617,$D$121)</f>
        <v>Wind power plants</v>
      </c>
      <c r="B28" s="133" t="str">
        <f>INDEX(G$346:G$617,$D$121)</f>
        <v>Onshore</v>
      </c>
      <c r="C28" s="133" t="str">
        <f>INDEX(H$346:H$617,$D$121)</f>
        <v>Electricity only</v>
      </c>
      <c r="D28" s="133" t="str">
        <f>INDEX(I$346:I$617,$D$121)</f>
        <v>M</v>
      </c>
      <c r="I28" s="133" t="str">
        <f t="shared" ref="I28:I30" si="22">A28&amp;" / "&amp;B28&amp;" / "&amp;C28&amp;" / "&amp;D28</f>
        <v>Wind power plants / Onshore / Electricity only / M</v>
      </c>
      <c r="J28" s="182">
        <f t="shared" ref="J28:AX28" si="23">INDEX(J$346:J$617,$D$121)</f>
        <v>39.949820589308871</v>
      </c>
      <c r="K28" s="182">
        <f t="shared" si="23"/>
        <v>38.967660303123829</v>
      </c>
      <c r="L28" s="182">
        <f t="shared" si="23"/>
        <v>38.280140006902649</v>
      </c>
      <c r="M28" s="182">
        <f t="shared" si="23"/>
        <v>37.779056985989151</v>
      </c>
      <c r="N28" s="182">
        <f t="shared" si="23"/>
        <v>37.264124290656703</v>
      </c>
      <c r="O28" s="182">
        <f t="shared" si="23"/>
        <v>36.529873826739255</v>
      </c>
      <c r="P28" s="182">
        <f t="shared" si="23"/>
        <v>35.85616961888919</v>
      </c>
      <c r="Q28" s="182">
        <f t="shared" si="23"/>
        <v>35.423876085518721</v>
      </c>
      <c r="R28" s="182">
        <f t="shared" si="23"/>
        <v>34.973305415897194</v>
      </c>
      <c r="S28" s="182">
        <f t="shared" si="23"/>
        <v>34.627035065244741</v>
      </c>
      <c r="T28" s="182">
        <f t="shared" si="23"/>
        <v>34.284193133905681</v>
      </c>
      <c r="U28" s="182">
        <f t="shared" si="23"/>
        <v>34.019535841106226</v>
      </c>
      <c r="V28" s="182">
        <f t="shared" si="23"/>
        <v>33.747826962949013</v>
      </c>
      <c r="W28" s="182">
        <f t="shared" si="23"/>
        <v>33.469361356237805</v>
      </c>
      <c r="X28" s="182">
        <f t="shared" si="23"/>
        <v>33.184484883788443</v>
      </c>
      <c r="Y28" s="182">
        <f t="shared" si="23"/>
        <v>32.893595408720657</v>
      </c>
      <c r="Z28" s="182">
        <f t="shared" si="23"/>
        <v>32.597143231781828</v>
      </c>
      <c r="AA28" s="182">
        <f t="shared" si="23"/>
        <v>32.295630902985387</v>
      </c>
      <c r="AB28" s="182">
        <f t="shared" si="23"/>
        <v>31.989612344573032</v>
      </c>
      <c r="AC28" s="182">
        <f t="shared" si="23"/>
        <v>31.679691230698321</v>
      </c>
      <c r="AD28" s="182">
        <f t="shared" si="23"/>
        <v>31.366518580393144</v>
      </c>
      <c r="AE28" s="182">
        <f t="shared" si="23"/>
        <v>31.050789534321396</v>
      </c>
      <c r="AF28" s="182">
        <f t="shared" si="23"/>
        <v>30.733239302428405</v>
      </c>
      <c r="AG28" s="182">
        <f t="shared" si="23"/>
        <v>30.414638288599807</v>
      </c>
      <c r="AH28" s="182">
        <f t="shared" si="23"/>
        <v>30.095786419440419</v>
      </c>
      <c r="AI28" s="182">
        <f t="shared" si="23"/>
        <v>29.777506726709305</v>
      </c>
      <c r="AJ28" s="182">
        <f t="shared" si="23"/>
        <v>29.460638256095041</v>
      </c>
      <c r="AK28" s="182">
        <f t="shared" si="23"/>
        <v>29.146028398051222</v>
      </c>
      <c r="AL28" s="182">
        <f t="shared" si="23"/>
        <v>28.834524758407177</v>
      </c>
      <c r="AM28" s="182">
        <f t="shared" si="23"/>
        <v>28.526966706434784</v>
      </c>
      <c r="AN28" s="182">
        <f t="shared" si="23"/>
        <v>28.224176754998378</v>
      </c>
      <c r="AO28" s="182">
        <f t="shared" si="23"/>
        <v>27.92695194039694</v>
      </c>
      <c r="AP28" s="182">
        <f t="shared" si="23"/>
        <v>27.636055377695843</v>
      </c>
      <c r="AQ28" s="182">
        <f t="shared" si="23"/>
        <v>27.352208170077226</v>
      </c>
      <c r="AR28" s="182">
        <f t="shared" si="23"/>
        <v>27.076081847575519</v>
      </c>
      <c r="AS28" s="182">
        <f t="shared" si="23"/>
        <v>26.808291501335489</v>
      </c>
      <c r="AT28" s="182">
        <f t="shared" si="23"/>
        <v>26.549389764357656</v>
      </c>
      <c r="AU28" s="182">
        <f t="shared" si="23"/>
        <v>26.29986176900476</v>
      </c>
      <c r="AV28" s="182">
        <f t="shared" si="23"/>
        <v>26.060121186053404</v>
      </c>
      <c r="AW28" s="182">
        <f t="shared" si="23"/>
        <v>25.830507420765304</v>
      </c>
      <c r="AX28" s="183">
        <f t="shared" si="23"/>
        <v>25.611284009514375</v>
      </c>
    </row>
    <row r="29" spans="1:50" ht="0.15" customHeight="1" x14ac:dyDescent="0.25">
      <c r="A29" s="247" t="str">
        <f>INDEX(F$346:F$617,$D$122)</f>
        <v>Wind power plants</v>
      </c>
      <c r="B29" s="133" t="str">
        <f>INDEX(G$346:G$617,$D$122)</f>
        <v>Onshore</v>
      </c>
      <c r="C29" s="133" t="str">
        <f>INDEX(H$346:H$617,$D$122)</f>
        <v>Electricity only</v>
      </c>
      <c r="D29" s="133" t="str">
        <f>INDEX(I$346:I$617,$D$122)</f>
        <v>S</v>
      </c>
      <c r="I29" s="133" t="str">
        <f t="shared" si="22"/>
        <v>Wind power plants / Onshore / Electricity only / S</v>
      </c>
      <c r="J29" s="182">
        <f t="shared" ref="J29:AX29" si="24">INDEX(J$346:J$617,$D$122)</f>
        <v>43.082819648119624</v>
      </c>
      <c r="K29" s="182">
        <f t="shared" si="24"/>
        <v>42.409645465925067</v>
      </c>
      <c r="L29" s="182">
        <f t="shared" si="24"/>
        <v>41.989747986064415</v>
      </c>
      <c r="M29" s="182">
        <f t="shared" si="24"/>
        <v>41.574007906994474</v>
      </c>
      <c r="N29" s="182">
        <f t="shared" si="24"/>
        <v>41.162384066331164</v>
      </c>
      <c r="O29" s="182">
        <f t="shared" si="24"/>
        <v>40.754835709238776</v>
      </c>
      <c r="P29" s="182">
        <f t="shared" si="24"/>
        <v>40.097093317203743</v>
      </c>
      <c r="Q29" s="182">
        <f t="shared" si="24"/>
        <v>39.472238044770471</v>
      </c>
      <c r="R29" s="182">
        <f t="shared" si="24"/>
        <v>38.88903979049941</v>
      </c>
      <c r="S29" s="182">
        <f t="shared" si="24"/>
        <v>38.39438483318375</v>
      </c>
      <c r="T29" s="182">
        <f t="shared" si="24"/>
        <v>38.014242409092816</v>
      </c>
      <c r="U29" s="182">
        <f t="shared" si="24"/>
        <v>37.733920192326529</v>
      </c>
      <c r="V29" s="182">
        <f t="shared" si="24"/>
        <v>37.443590293378222</v>
      </c>
      <c r="W29" s="182">
        <f t="shared" si="24"/>
        <v>37.143540741017553</v>
      </c>
      <c r="X29" s="182">
        <f t="shared" si="24"/>
        <v>36.834144851413591</v>
      </c>
      <c r="Y29" s="182">
        <f t="shared" si="24"/>
        <v>36.515865263527445</v>
      </c>
      <c r="Z29" s="182">
        <f t="shared" si="24"/>
        <v>36.189256962465279</v>
      </c>
      <c r="AA29" s="182">
        <f t="shared" si="24"/>
        <v>35.854969082195474</v>
      </c>
      <c r="AB29" s="182">
        <f t="shared" si="24"/>
        <v>35.513745283797192</v>
      </c>
      <c r="AC29" s="182">
        <f t="shared" si="24"/>
        <v>35.166422519054017</v>
      </c>
      <c r="AD29" s="182">
        <f t="shared" si="24"/>
        <v>34.813928012795813</v>
      </c>
      <c r="AE29" s="182">
        <f t="shared" si="24"/>
        <v>34.457274331616077</v>
      </c>
      <c r="AF29" s="182">
        <f t="shared" si="24"/>
        <v>34.097552451630889</v>
      </c>
      <c r="AG29" s="182">
        <f t="shared" si="24"/>
        <v>33.735922793347598</v>
      </c>
      <c r="AH29" s="182">
        <f t="shared" si="24"/>
        <v>33.373604256287955</v>
      </c>
      <c r="AI29" s="182">
        <f t="shared" si="24"/>
        <v>33.01186135778083</v>
      </c>
      <c r="AJ29" s="182">
        <f t="shared" si="24"/>
        <v>32.651989656525657</v>
      </c>
      <c r="AK29" s="182">
        <f t="shared" si="24"/>
        <v>32.295299718629806</v>
      </c>
      <c r="AL29" s="182">
        <f t="shared" si="24"/>
        <v>31.943099957759397</v>
      </c>
      <c r="AM29" s="182">
        <f t="shared" si="24"/>
        <v>31.596678747389436</v>
      </c>
      <c r="AN29" s="182">
        <f t="shared" si="24"/>
        <v>31.257286257415934</v>
      </c>
      <c r="AO29" s="182">
        <f t="shared" si="24"/>
        <v>30.926116505418761</v>
      </c>
      <c r="AP29" s="182">
        <f t="shared" si="24"/>
        <v>30.604290131125424</v>
      </c>
      <c r="AQ29" s="182">
        <f t="shared" si="24"/>
        <v>30.292838398624703</v>
      </c>
      <c r="AR29" s="182">
        <f t="shared" si="24"/>
        <v>29.992688903435205</v>
      </c>
      <c r="AS29" s="182">
        <f t="shared" si="24"/>
        <v>29.7046534109835</v>
      </c>
      <c r="AT29" s="182">
        <f t="shared" si="24"/>
        <v>29.429418181321271</v>
      </c>
      <c r="AU29" s="182">
        <f t="shared" si="24"/>
        <v>29.167537045467157</v>
      </c>
      <c r="AV29" s="182">
        <f t="shared" si="24"/>
        <v>28.919427396364949</v>
      </c>
      <c r="AW29" s="182">
        <f t="shared" si="24"/>
        <v>28.685369147835633</v>
      </c>
      <c r="AX29" s="183">
        <f t="shared" si="24"/>
        <v>28.465506604314811</v>
      </c>
    </row>
    <row r="30" spans="1:50" ht="0.15" customHeight="1" x14ac:dyDescent="0.25">
      <c r="A30" s="247" t="str">
        <f>INDEX(F$346:F$617,$D$123)</f>
        <v>Wind power plants</v>
      </c>
      <c r="B30" s="133" t="str">
        <f>INDEX(G$346:G$617,$D$123)</f>
        <v>Onshore</v>
      </c>
      <c r="C30" s="133" t="str">
        <f>INDEX(H$346:H$617,$D$123)</f>
        <v>Electricity only</v>
      </c>
      <c r="D30" s="133" t="str">
        <f>INDEX(I$346:I$617,$D$123)</f>
        <v>XS</v>
      </c>
      <c r="I30" s="133" t="str">
        <f t="shared" si="22"/>
        <v>Wind power plants / Onshore / Electricity only / XS</v>
      </c>
      <c r="J30" s="182">
        <f t="shared" ref="J30:AX30" si="25">INDEX(J$346:J$617,$D$123)</f>
        <v>51.610007018234953</v>
      </c>
      <c r="K30" s="182">
        <f t="shared" si="25"/>
        <v>51.132754640140519</v>
      </c>
      <c r="L30" s="182">
        <f t="shared" si="25"/>
        <v>50.726939127123529</v>
      </c>
      <c r="M30" s="182">
        <f t="shared" si="25"/>
        <v>50.324344372146349</v>
      </c>
      <c r="N30" s="182">
        <f t="shared" si="25"/>
        <v>49.924944813637254</v>
      </c>
      <c r="O30" s="182">
        <f t="shared" si="25"/>
        <v>49.528715092894096</v>
      </c>
      <c r="P30" s="182">
        <f t="shared" si="25"/>
        <v>49.145396665746588</v>
      </c>
      <c r="Q30" s="182">
        <f t="shared" si="25"/>
        <v>48.658808579947099</v>
      </c>
      <c r="R30" s="182">
        <f t="shared" si="25"/>
        <v>48.177038197967434</v>
      </c>
      <c r="S30" s="182">
        <f t="shared" si="25"/>
        <v>47.700037819769733</v>
      </c>
      <c r="T30" s="182">
        <f t="shared" si="25"/>
        <v>47.227760217593804</v>
      </c>
      <c r="U30" s="182">
        <f t="shared" si="25"/>
        <v>46.986810266067252</v>
      </c>
      <c r="V30" s="182">
        <f t="shared" si="25"/>
        <v>46.73725824737506</v>
      </c>
      <c r="W30" s="182">
        <f t="shared" si="25"/>
        <v>46.47935173560851</v>
      </c>
      <c r="X30" s="182">
        <f t="shared" si="25"/>
        <v>46.213411613335808</v>
      </c>
      <c r="Y30" s="182">
        <f t="shared" si="25"/>
        <v>45.939835540209245</v>
      </c>
      <c r="Z30" s="182">
        <f t="shared" si="25"/>
        <v>45.65910055167744</v>
      </c>
      <c r="AA30" s="182">
        <f t="shared" si="25"/>
        <v>45.371764608504336</v>
      </c>
      <c r="AB30" s="182">
        <f t="shared" si="25"/>
        <v>45.078466921891405</v>
      </c>
      <c r="AC30" s="182">
        <f t="shared" si="25"/>
        <v>44.779926890728959</v>
      </c>
      <c r="AD30" s="182">
        <f t="shared" si="25"/>
        <v>44.476941507779102</v>
      </c>
      <c r="AE30" s="182">
        <f t="shared" si="25"/>
        <v>44.170381121009385</v>
      </c>
      <c r="AF30" s="182">
        <f t="shared" si="25"/>
        <v>43.861183475010016</v>
      </c>
      <c r="AG30" s="182">
        <f t="shared" si="25"/>
        <v>43.550346005047494</v>
      </c>
      <c r="AH30" s="182">
        <f t="shared" si="25"/>
        <v>43.238916411814536</v>
      </c>
      <c r="AI30" s="182">
        <f t="shared" si="25"/>
        <v>42.927981606625593</v>
      </c>
      <c r="AJ30" s="182">
        <f t="shared" si="25"/>
        <v>42.618655182293345</v>
      </c>
      <c r="AK30" s="182">
        <f t="shared" si="25"/>
        <v>42.312063631193915</v>
      </c>
      <c r="AL30" s="182">
        <f t="shared" si="25"/>
        <v>42.009331595580292</v>
      </c>
      <c r="AM30" s="182">
        <f t="shared" si="25"/>
        <v>41.711566492231391</v>
      </c>
      <c r="AN30" s="182">
        <f t="shared" si="25"/>
        <v>41.41984290017745</v>
      </c>
      <c r="AO30" s="182">
        <f t="shared" si="25"/>
        <v>41.135187132927641</v>
      </c>
      <c r="AP30" s="182">
        <f t="shared" si="25"/>
        <v>40.858562432322515</v>
      </c>
      <c r="AQ30" s="182">
        <f t="shared" si="25"/>
        <v>40.590855217694326</v>
      </c>
      <c r="AR30" s="182">
        <f t="shared" si="25"/>
        <v>40.332862800429304</v>
      </c>
      <c r="AS30" s="182">
        <f t="shared" si="25"/>
        <v>40.085282930575381</v>
      </c>
      <c r="AT30" s="182">
        <f t="shared" si="25"/>
        <v>39.848705480487652</v>
      </c>
      <c r="AU30" s="182">
        <f t="shared" si="25"/>
        <v>39.623606493622937</v>
      </c>
      <c r="AV30" s="182">
        <f t="shared" si="25"/>
        <v>39.410344738582367</v>
      </c>
      <c r="AW30" s="182">
        <f t="shared" si="25"/>
        <v>39.209160814282342</v>
      </c>
      <c r="AX30" s="183">
        <f t="shared" si="25"/>
        <v>39.020178757080615</v>
      </c>
    </row>
    <row r="31" spans="1:50" ht="0.15" customHeight="1" x14ac:dyDescent="0.25">
      <c r="A31" s="137"/>
      <c r="I31" s="174" t="s">
        <v>54</v>
      </c>
      <c r="J31" s="190">
        <f t="shared" ref="J31:O31" si="26">MIN(J27:J30)</f>
        <v>36.793907559603021</v>
      </c>
      <c r="K31" s="190">
        <f t="shared" si="26"/>
        <v>35.005996199669717</v>
      </c>
      <c r="L31" s="190">
        <f t="shared" si="26"/>
        <v>33.832679369713496</v>
      </c>
      <c r="M31" s="190">
        <f t="shared" si="26"/>
        <v>33.078404264741629</v>
      </c>
      <c r="N31" s="190">
        <f t="shared" si="26"/>
        <v>32.647370451367465</v>
      </c>
      <c r="O31" s="190">
        <f t="shared" si="26"/>
        <v>32.324129159769761</v>
      </c>
      <c r="P31" s="190">
        <f t="shared" ref="P31" si="27">MIN(P27:P30)</f>
        <v>31.803541195923092</v>
      </c>
      <c r="Q31" s="190">
        <f t="shared" ref="Q31" si="28">MIN(Q27:Q30)</f>
        <v>31.461905344648713</v>
      </c>
      <c r="R31" s="190">
        <f t="shared" ref="R31" si="29">MIN(R27:R30)</f>
        <v>31.242282297400898</v>
      </c>
      <c r="S31" s="190">
        <f t="shared" ref="S31" si="30">MIN(S27:S30)</f>
        <v>31.077565011965039</v>
      </c>
      <c r="T31" s="190">
        <f t="shared" ref="T31" si="31">MIN(T27:T30)</f>
        <v>31.02265925015308</v>
      </c>
      <c r="U31" s="190">
        <f t="shared" ref="U31" si="32">MIN(U27:U30)</f>
        <v>30.75002936145702</v>
      </c>
      <c r="V31" s="190">
        <f t="shared" ref="V31" si="33">MIN(V27:V30)</f>
        <v>30.472321038493874</v>
      </c>
      <c r="W31" s="190">
        <f t="shared" ref="W31" si="34">MIN(W27:W30)</f>
        <v>30.189810974613245</v>
      </c>
      <c r="X31" s="190">
        <f t="shared" ref="X31" si="35">MIN(X27:X30)</f>
        <v>29.90280531156117</v>
      </c>
      <c r="Y31" s="190">
        <f t="shared" ref="Y31" si="36">MIN(Y27:Y30)</f>
        <v>29.611639527519088</v>
      </c>
      <c r="Z31" s="190">
        <f t="shared" ref="Z31" si="37">MIN(Z27:Z30)</f>
        <v>29.316678056552021</v>
      </c>
      <c r="AA31" s="190">
        <f t="shared" ref="AA31" si="38">MIN(AA27:AA30)</f>
        <v>29.018313621394547</v>
      </c>
      <c r="AB31" s="190">
        <f t="shared" ref="AB31" si="39">MIN(AB27:AB30)</f>
        <v>28.716966264397129</v>
      </c>
      <c r="AC31" s="190">
        <f t="shared" ref="AC31" si="40">MIN(AC27:AC30)</f>
        <v>28.413082064981278</v>
      </c>
      <c r="AD31" s="190">
        <f t="shared" ref="AD31" si="41">MIN(AD27:AD30)</f>
        <v>28.107131536096425</v>
      </c>
      <c r="AE31" s="190">
        <f t="shared" ref="AE31" si="42">MIN(AE27:AE30)</f>
        <v>27.799607696898732</v>
      </c>
      <c r="AF31" s="190">
        <f t="shared" ref="AF31" si="43">MIN(AF27:AF30)</f>
        <v>27.491023824126064</v>
      </c>
      <c r="AG31" s="190">
        <f t="shared" ref="AG31" si="44">MIN(AG27:AG30)</f>
        <v>27.181910890339406</v>
      </c>
      <c r="AH31" s="190">
        <f t="shared" ref="AH31" si="45">MIN(AH27:AH30)</f>
        <v>26.872814703236713</v>
      </c>
      <c r="AI31" s="190">
        <f t="shared" ref="AI31" si="46">MIN(AI27:AI30)</f>
        <v>26.564292766488695</v>
      </c>
      <c r="AJ31" s="190">
        <f t="shared" ref="AJ31" si="47">MIN(AJ27:AJ30)</f>
        <v>26.256910888849063</v>
      </c>
      <c r="AK31" s="190">
        <f t="shared" ref="AK31" si="48">MIN(AK27:AK30)</f>
        <v>25.951239574486834</v>
      </c>
      <c r="AL31" s="190">
        <f t="shared" ref="AL31" si="49">MIN(AL27:AL30)</f>
        <v>25.647850233394443</v>
      </c>
      <c r="AM31" s="190">
        <f t="shared" ref="AM31" si="50">MIN(AM27:AM30)</f>
        <v>25.347311256155667</v>
      </c>
      <c r="AN31" s="190">
        <f t="shared" ref="AN31" si="51">MIN(AN27:AN30)</f>
        <v>25.050184002123878</v>
      </c>
      <c r="AO31" s="190">
        <f t="shared" ref="AO31" si="52">MIN(AO27:AO30)</f>
        <v>24.757018753982589</v>
      </c>
      <c r="AP31" s="190">
        <f t="shared" ref="AP31" si="53">MIN(AP27:AP30)</f>
        <v>24.4683506945712</v>
      </c>
      <c r="AQ31" s="190">
        <f t="shared" ref="AQ31" si="54">MIN(AQ27:AQ30)</f>
        <v>24.184695963615976</v>
      </c>
      <c r="AR31" s="190">
        <f t="shared" ref="AR31" si="55">MIN(AR27:AR30)</f>
        <v>23.906547852497262</v>
      </c>
      <c r="AS31" s="190">
        <f t="shared" ref="AS31" si="56">MIN(AS27:AS30)</f>
        <v>23.634373194332813</v>
      </c>
      <c r="AT31" s="190">
        <f t="shared" ref="AT31" si="57">MIN(AT27:AT30)</f>
        <v>23.368609004431775</v>
      </c>
      <c r="AU31" s="190">
        <f t="shared" ref="AU31" si="58">MIN(AU27:AU30)</f>
        <v>23.109659422586279</v>
      </c>
      <c r="AV31" s="190">
        <f t="shared" ref="AV31" si="59">MIN(AV27:AV30)</f>
        <v>22.857893003780152</v>
      </c>
      <c r="AW31" s="190">
        <f t="shared" ref="AW31" si="60">MIN(AW27:AW30)</f>
        <v>22.613640397815036</v>
      </c>
      <c r="AX31" s="191">
        <f t="shared" ref="AX31" si="61">MIN(AX27:AX30)</f>
        <v>22.377192451235903</v>
      </c>
    </row>
    <row r="32" spans="1:50" ht="0.15" customHeight="1" x14ac:dyDescent="0.25">
      <c r="A32" s="137"/>
      <c r="I32" s="174" t="s">
        <v>55</v>
      </c>
      <c r="J32" s="190">
        <f t="shared" ref="J32:O32" si="62">MAX(J27:J30)</f>
        <v>51.610007018234953</v>
      </c>
      <c r="K32" s="190">
        <f t="shared" si="62"/>
        <v>51.132754640140519</v>
      </c>
      <c r="L32" s="190">
        <f t="shared" si="62"/>
        <v>50.726939127123529</v>
      </c>
      <c r="M32" s="190">
        <f t="shared" si="62"/>
        <v>50.324344372146349</v>
      </c>
      <c r="N32" s="190">
        <f t="shared" si="62"/>
        <v>49.924944813637254</v>
      </c>
      <c r="O32" s="190">
        <f t="shared" si="62"/>
        <v>49.528715092894096</v>
      </c>
      <c r="P32" s="190">
        <f t="shared" ref="P32:AX32" si="63">MAX(P27:P30)</f>
        <v>49.145396665746588</v>
      </c>
      <c r="Q32" s="190">
        <f t="shared" si="63"/>
        <v>48.658808579947099</v>
      </c>
      <c r="R32" s="190">
        <f t="shared" si="63"/>
        <v>48.177038197967434</v>
      </c>
      <c r="S32" s="190">
        <f t="shared" si="63"/>
        <v>47.700037819769733</v>
      </c>
      <c r="T32" s="190">
        <f t="shared" si="63"/>
        <v>47.227760217593804</v>
      </c>
      <c r="U32" s="190">
        <f t="shared" si="63"/>
        <v>46.986810266067252</v>
      </c>
      <c r="V32" s="190">
        <f t="shared" si="63"/>
        <v>46.73725824737506</v>
      </c>
      <c r="W32" s="190">
        <f t="shared" si="63"/>
        <v>46.47935173560851</v>
      </c>
      <c r="X32" s="190">
        <f t="shared" si="63"/>
        <v>46.213411613335808</v>
      </c>
      <c r="Y32" s="190">
        <f t="shared" si="63"/>
        <v>45.939835540209245</v>
      </c>
      <c r="Z32" s="190">
        <f t="shared" si="63"/>
        <v>45.65910055167744</v>
      </c>
      <c r="AA32" s="190">
        <f t="shared" si="63"/>
        <v>45.371764608504336</v>
      </c>
      <c r="AB32" s="190">
        <f t="shared" si="63"/>
        <v>45.078466921891405</v>
      </c>
      <c r="AC32" s="190">
        <f t="shared" si="63"/>
        <v>44.779926890728959</v>
      </c>
      <c r="AD32" s="190">
        <f t="shared" si="63"/>
        <v>44.476941507779102</v>
      </c>
      <c r="AE32" s="190">
        <f t="shared" si="63"/>
        <v>44.170381121009385</v>
      </c>
      <c r="AF32" s="190">
        <f t="shared" si="63"/>
        <v>43.861183475010016</v>
      </c>
      <c r="AG32" s="190">
        <f t="shared" si="63"/>
        <v>43.550346005047494</v>
      </c>
      <c r="AH32" s="190">
        <f t="shared" si="63"/>
        <v>43.238916411814536</v>
      </c>
      <c r="AI32" s="190">
        <f t="shared" si="63"/>
        <v>42.927981606625593</v>
      </c>
      <c r="AJ32" s="190">
        <f t="shared" si="63"/>
        <v>42.618655182293345</v>
      </c>
      <c r="AK32" s="190">
        <f t="shared" si="63"/>
        <v>42.312063631193915</v>
      </c>
      <c r="AL32" s="190">
        <f t="shared" si="63"/>
        <v>42.009331595580292</v>
      </c>
      <c r="AM32" s="190">
        <f t="shared" si="63"/>
        <v>41.711566492231391</v>
      </c>
      <c r="AN32" s="190">
        <f t="shared" si="63"/>
        <v>41.41984290017745</v>
      </c>
      <c r="AO32" s="190">
        <f t="shared" si="63"/>
        <v>41.135187132927641</v>
      </c>
      <c r="AP32" s="190">
        <f t="shared" si="63"/>
        <v>40.858562432322515</v>
      </c>
      <c r="AQ32" s="190">
        <f t="shared" si="63"/>
        <v>40.590855217694326</v>
      </c>
      <c r="AR32" s="190">
        <f t="shared" si="63"/>
        <v>40.332862800429304</v>
      </c>
      <c r="AS32" s="190">
        <f t="shared" si="63"/>
        <v>40.085282930575381</v>
      </c>
      <c r="AT32" s="190">
        <f t="shared" si="63"/>
        <v>39.848705480487652</v>
      </c>
      <c r="AU32" s="190">
        <f t="shared" si="63"/>
        <v>39.623606493622937</v>
      </c>
      <c r="AV32" s="190">
        <f t="shared" si="63"/>
        <v>39.410344738582367</v>
      </c>
      <c r="AW32" s="190">
        <f t="shared" si="63"/>
        <v>39.209160814282342</v>
      </c>
      <c r="AX32" s="191">
        <f t="shared" si="63"/>
        <v>39.020178757080615</v>
      </c>
    </row>
    <row r="33" spans="1:50" ht="0.15" customHeight="1" x14ac:dyDescent="0.25">
      <c r="A33" s="248"/>
      <c r="B33" s="249"/>
      <c r="C33" s="249"/>
      <c r="D33" s="249"/>
      <c r="E33" s="249"/>
      <c r="F33" s="249"/>
      <c r="G33" s="249"/>
      <c r="H33" s="250"/>
      <c r="I33" s="250" t="s">
        <v>61</v>
      </c>
      <c r="J33" s="251">
        <f t="shared" ref="J33:O33" si="64">J32-J31</f>
        <v>14.816099458631932</v>
      </c>
      <c r="K33" s="251">
        <f t="shared" si="64"/>
        <v>16.126758440470802</v>
      </c>
      <c r="L33" s="251">
        <f t="shared" si="64"/>
        <v>16.894259757410033</v>
      </c>
      <c r="M33" s="251">
        <f t="shared" si="64"/>
        <v>17.245940107404721</v>
      </c>
      <c r="N33" s="251">
        <f t="shared" si="64"/>
        <v>17.277574362269789</v>
      </c>
      <c r="O33" s="251">
        <f t="shared" si="64"/>
        <v>17.204585933124335</v>
      </c>
      <c r="P33" s="251">
        <f t="shared" ref="P33" si="65">P32-P31</f>
        <v>17.341855469823496</v>
      </c>
      <c r="Q33" s="251">
        <f t="shared" ref="Q33" si="66">Q32-Q31</f>
        <v>17.196903235298386</v>
      </c>
      <c r="R33" s="251">
        <f t="shared" ref="R33" si="67">R32-R31</f>
        <v>16.934755900566536</v>
      </c>
      <c r="S33" s="251">
        <f t="shared" ref="S33" si="68">S32-S31</f>
        <v>16.622472807804694</v>
      </c>
      <c r="T33" s="251">
        <f t="shared" ref="T33" si="69">T32-T31</f>
        <v>16.205100967440725</v>
      </c>
      <c r="U33" s="251">
        <f t="shared" ref="U33" si="70">U32-U31</f>
        <v>16.236780904610232</v>
      </c>
      <c r="V33" s="251">
        <f t="shared" ref="V33" si="71">V32-V31</f>
        <v>16.264937208881186</v>
      </c>
      <c r="W33" s="251">
        <f t="shared" ref="W33" si="72">W32-W31</f>
        <v>16.289540760995266</v>
      </c>
      <c r="X33" s="251">
        <f t="shared" ref="X33" si="73">X32-X31</f>
        <v>16.310606301774637</v>
      </c>
      <c r="Y33" s="251">
        <f t="shared" ref="Y33" si="74">Y32-Y31</f>
        <v>16.328196012690157</v>
      </c>
      <c r="Z33" s="251">
        <f t="shared" ref="Z33" si="75">Z32-Z31</f>
        <v>16.342422495125419</v>
      </c>
      <c r="AA33" s="251">
        <f t="shared" ref="AA33" si="76">AA32-AA31</f>
        <v>16.353450987109788</v>
      </c>
      <c r="AB33" s="251">
        <f t="shared" ref="AB33" si="77">AB32-AB31</f>
        <v>16.361500657494275</v>
      </c>
      <c r="AC33" s="251">
        <f t="shared" ref="AC33" si="78">AC32-AC31</f>
        <v>16.36684482574768</v>
      </c>
      <c r="AD33" s="251">
        <f t="shared" ref="AD33" si="79">AD32-AD31</f>
        <v>16.369809971682677</v>
      </c>
      <c r="AE33" s="251">
        <f t="shared" ref="AE33" si="80">AE32-AE31</f>
        <v>16.370773424110652</v>
      </c>
      <c r="AF33" s="251">
        <f t="shared" ref="AF33" si="81">AF32-AF31</f>
        <v>16.370159650883952</v>
      </c>
      <c r="AG33" s="251">
        <f t="shared" ref="AG33" si="82">AG32-AG31</f>
        <v>16.368435114708088</v>
      </c>
      <c r="AH33" s="251">
        <f t="shared" ref="AH33" si="83">AH32-AH31</f>
        <v>16.366101708577823</v>
      </c>
      <c r="AI33" s="251">
        <f t="shared" ref="AI33" si="84">AI32-AI31</f>
        <v>16.363688840136899</v>
      </c>
      <c r="AJ33" s="251">
        <f t="shared" ref="AJ33" si="85">AJ32-AJ31</f>
        <v>16.361744293444282</v>
      </c>
      <c r="AK33" s="251">
        <f t="shared" ref="AK33" si="86">AK32-AK31</f>
        <v>16.360824056707081</v>
      </c>
      <c r="AL33" s="251">
        <f t="shared" ref="AL33" si="87">AL32-AL31</f>
        <v>16.361481362185849</v>
      </c>
      <c r="AM33" s="251">
        <f t="shared" ref="AM33" si="88">AM32-AM31</f>
        <v>16.364255236075724</v>
      </c>
      <c r="AN33" s="251">
        <f t="shared" ref="AN33" si="89">AN32-AN31</f>
        <v>16.369658898053572</v>
      </c>
      <c r="AO33" s="251">
        <f t="shared" ref="AO33" si="90">AO32-AO31</f>
        <v>16.378168378945052</v>
      </c>
      <c r="AP33" s="251">
        <f t="shared" ref="AP33" si="91">AP32-AP31</f>
        <v>16.390211737751315</v>
      </c>
      <c r="AQ33" s="251">
        <f t="shared" ref="AQ33" si="92">AQ32-AQ31</f>
        <v>16.40615925407835</v>
      </c>
      <c r="AR33" s="251">
        <f t="shared" ref="AR33" si="93">AR32-AR31</f>
        <v>16.426314947932042</v>
      </c>
      <c r="AS33" s="251">
        <f t="shared" ref="AS33" si="94">AS32-AS31</f>
        <v>16.450909736242568</v>
      </c>
      <c r="AT33" s="251">
        <f t="shared" ref="AT33" si="95">AT32-AT31</f>
        <v>16.480096476055877</v>
      </c>
      <c r="AU33" s="251">
        <f t="shared" ref="AU33" si="96">AU32-AU31</f>
        <v>16.513947071036657</v>
      </c>
      <c r="AV33" s="251">
        <f t="shared" ref="AV33" si="97">AV32-AV31</f>
        <v>16.552451734802215</v>
      </c>
      <c r="AW33" s="251">
        <f t="shared" ref="AW33" si="98">AW32-AW31</f>
        <v>16.595520416467306</v>
      </c>
      <c r="AX33" s="252">
        <f t="shared" ref="AX33" si="99">AX32-AX31</f>
        <v>16.642986305844712</v>
      </c>
    </row>
    <row r="34" spans="1:50" ht="0.15" customHeight="1" x14ac:dyDescent="0.25">
      <c r="A34" s="253" t="str">
        <f>"LEFT "&amp;$J$624</f>
        <v>LEFT Fixed annual levelized costs</v>
      </c>
      <c r="B34" s="254"/>
      <c r="C34" s="254"/>
      <c r="D34" s="254"/>
      <c r="E34" s="254"/>
      <c r="F34" s="254"/>
      <c r="G34" s="254"/>
      <c r="H34" s="254"/>
      <c r="I34" s="254"/>
      <c r="J34" s="255">
        <f t="shared" ref="J34:O34" si="100">J$625</f>
        <v>2010</v>
      </c>
      <c r="K34" s="255">
        <f t="shared" si="100"/>
        <v>2011</v>
      </c>
      <c r="L34" s="255">
        <f t="shared" si="100"/>
        <v>2012</v>
      </c>
      <c r="M34" s="255">
        <f t="shared" si="100"/>
        <v>2013</v>
      </c>
      <c r="N34" s="255">
        <f t="shared" si="100"/>
        <v>2014</v>
      </c>
      <c r="O34" s="255">
        <f t="shared" si="100"/>
        <v>2015</v>
      </c>
      <c r="P34" s="255">
        <f t="shared" ref="P34:AX34" si="101">P$625</f>
        <v>2016</v>
      </c>
      <c r="Q34" s="255">
        <f t="shared" si="101"/>
        <v>2017</v>
      </c>
      <c r="R34" s="255">
        <f t="shared" si="101"/>
        <v>2018</v>
      </c>
      <c r="S34" s="255">
        <f t="shared" si="101"/>
        <v>2019</v>
      </c>
      <c r="T34" s="255">
        <f t="shared" si="101"/>
        <v>2020</v>
      </c>
      <c r="U34" s="255">
        <f t="shared" si="101"/>
        <v>2021</v>
      </c>
      <c r="V34" s="255">
        <f t="shared" si="101"/>
        <v>2022</v>
      </c>
      <c r="W34" s="255">
        <f t="shared" si="101"/>
        <v>2023</v>
      </c>
      <c r="X34" s="255">
        <f t="shared" si="101"/>
        <v>2024</v>
      </c>
      <c r="Y34" s="255">
        <f t="shared" si="101"/>
        <v>2025</v>
      </c>
      <c r="Z34" s="255">
        <f t="shared" si="101"/>
        <v>2026</v>
      </c>
      <c r="AA34" s="255">
        <f t="shared" si="101"/>
        <v>2027</v>
      </c>
      <c r="AB34" s="255">
        <f t="shared" si="101"/>
        <v>2028</v>
      </c>
      <c r="AC34" s="255">
        <f t="shared" si="101"/>
        <v>2029</v>
      </c>
      <c r="AD34" s="255">
        <f t="shared" si="101"/>
        <v>2030</v>
      </c>
      <c r="AE34" s="255">
        <f t="shared" si="101"/>
        <v>2031</v>
      </c>
      <c r="AF34" s="255">
        <f t="shared" si="101"/>
        <v>2032</v>
      </c>
      <c r="AG34" s="255">
        <f t="shared" si="101"/>
        <v>2033</v>
      </c>
      <c r="AH34" s="255">
        <f t="shared" si="101"/>
        <v>2034</v>
      </c>
      <c r="AI34" s="255">
        <f t="shared" si="101"/>
        <v>2035</v>
      </c>
      <c r="AJ34" s="255">
        <f t="shared" si="101"/>
        <v>2036</v>
      </c>
      <c r="AK34" s="255">
        <f t="shared" si="101"/>
        <v>2037</v>
      </c>
      <c r="AL34" s="255">
        <f t="shared" si="101"/>
        <v>2038</v>
      </c>
      <c r="AM34" s="255">
        <f t="shared" si="101"/>
        <v>2039</v>
      </c>
      <c r="AN34" s="255">
        <f t="shared" si="101"/>
        <v>2040</v>
      </c>
      <c r="AO34" s="255">
        <f t="shared" si="101"/>
        <v>2041</v>
      </c>
      <c r="AP34" s="255">
        <f t="shared" si="101"/>
        <v>2042</v>
      </c>
      <c r="AQ34" s="255">
        <f t="shared" si="101"/>
        <v>2043</v>
      </c>
      <c r="AR34" s="255">
        <f t="shared" si="101"/>
        <v>2044</v>
      </c>
      <c r="AS34" s="255">
        <f t="shared" si="101"/>
        <v>2045</v>
      </c>
      <c r="AT34" s="255">
        <f t="shared" si="101"/>
        <v>2046</v>
      </c>
      <c r="AU34" s="255">
        <f t="shared" si="101"/>
        <v>2047</v>
      </c>
      <c r="AV34" s="255">
        <f t="shared" si="101"/>
        <v>2048</v>
      </c>
      <c r="AW34" s="255">
        <f t="shared" si="101"/>
        <v>2049</v>
      </c>
      <c r="AX34" s="256">
        <f t="shared" si="101"/>
        <v>2050</v>
      </c>
    </row>
    <row r="35" spans="1:50" ht="0.15" customHeight="1" x14ac:dyDescent="0.25">
      <c r="A35" s="247" t="str">
        <f>INDEX(F$626:F$897,$D$120)</f>
        <v>Wind power plants</v>
      </c>
      <c r="B35" s="133" t="str">
        <f>INDEX(G$626:G$897,$D$120)</f>
        <v>Onshore</v>
      </c>
      <c r="C35" s="133" t="str">
        <f>INDEX(H$626:H$897,$D$120)</f>
        <v>Electricity only</v>
      </c>
      <c r="D35" s="133" t="str">
        <f>INDEX(I$626:I$897,$D$120)</f>
        <v>L</v>
      </c>
      <c r="I35" s="133" t="str">
        <f>A35&amp;" / "&amp;B35&amp;" / "&amp;C35&amp;" / "&amp;D35</f>
        <v>Wind power plants / Onshore / Electricity only / L</v>
      </c>
      <c r="J35" s="182">
        <f t="shared" ref="J35:AX35" si="102">INDEX(J$626:J$897,$D$120)</f>
        <v>36.224153749520958</v>
      </c>
      <c r="K35" s="182">
        <f t="shared" si="102"/>
        <v>34.46392820435905</v>
      </c>
      <c r="L35" s="182">
        <f t="shared" si="102"/>
        <v>33.308780190346553</v>
      </c>
      <c r="M35" s="182">
        <f t="shared" si="102"/>
        <v>32.566185038481372</v>
      </c>
      <c r="N35" s="182">
        <f t="shared" si="102"/>
        <v>32.141825785482354</v>
      </c>
      <c r="O35" s="182">
        <f t="shared" si="102"/>
        <v>31.823589886616187</v>
      </c>
      <c r="P35" s="182">
        <f t="shared" si="102"/>
        <v>31.311063229533524</v>
      </c>
      <c r="Q35" s="182">
        <f t="shared" si="102"/>
        <v>30.974717610823024</v>
      </c>
      <c r="R35" s="182">
        <f t="shared" si="102"/>
        <v>30.758495427366277</v>
      </c>
      <c r="S35" s="182">
        <f t="shared" si="102"/>
        <v>30.596328789773715</v>
      </c>
      <c r="T35" s="182">
        <f t="shared" si="102"/>
        <v>30.542273243909523</v>
      </c>
      <c r="U35" s="182">
        <f t="shared" si="102"/>
        <v>30.273865030162643</v>
      </c>
      <c r="V35" s="182">
        <f t="shared" si="102"/>
        <v>30.000457021724216</v>
      </c>
      <c r="W35" s="182">
        <f t="shared" si="102"/>
        <v>29.72232162734619</v>
      </c>
      <c r="X35" s="182">
        <f t="shared" si="102"/>
        <v>29.439760248168401</v>
      </c>
      <c r="Y35" s="182">
        <f t="shared" si="102"/>
        <v>29.153103167491263</v>
      </c>
      <c r="Z35" s="182">
        <f t="shared" si="102"/>
        <v>28.862709176116809</v>
      </c>
      <c r="AA35" s="182">
        <f t="shared" si="102"/>
        <v>28.568964915466445</v>
      </c>
      <c r="AB35" s="182">
        <f t="shared" si="102"/>
        <v>28.272283923533116</v>
      </c>
      <c r="AC35" s="182">
        <f t="shared" si="102"/>
        <v>27.973105372196652</v>
      </c>
      <c r="AD35" s="182">
        <f t="shared" si="102"/>
        <v>27.671892488511521</v>
      </c>
      <c r="AE35" s="182">
        <f t="shared" si="102"/>
        <v>27.369130657230222</v>
      </c>
      <c r="AF35" s="182">
        <f t="shared" si="102"/>
        <v>27.065325206998224</v>
      </c>
      <c r="AG35" s="182">
        <f t="shared" si="102"/>
        <v>26.760998888264215</v>
      </c>
      <c r="AH35" s="182">
        <f t="shared" si="102"/>
        <v>26.456689056891701</v>
      </c>
      <c r="AI35" s="182">
        <f t="shared" si="102"/>
        <v>26.152944583604757</v>
      </c>
      <c r="AJ35" s="182">
        <f t="shared" si="102"/>
        <v>25.850322515606209</v>
      </c>
      <c r="AK35" s="182">
        <f t="shared" si="102"/>
        <v>25.549384522805667</v>
      </c>
      <c r="AL35" s="182">
        <f t="shared" si="102"/>
        <v>25.250693166909485</v>
      </c>
      <c r="AM35" s="182">
        <f t="shared" si="102"/>
        <v>24.954808036970906</v>
      </c>
      <c r="AN35" s="182">
        <f t="shared" si="102"/>
        <v>24.662281799691407</v>
      </c>
      <c r="AO35" s="182">
        <f t="shared" si="102"/>
        <v>24.373656216624873</v>
      </c>
      <c r="AP35" s="182">
        <f t="shared" si="102"/>
        <v>24.089458183302238</v>
      </c>
      <c r="AQ35" s="182">
        <f t="shared" si="102"/>
        <v>23.81019584702398</v>
      </c>
      <c r="AR35" s="182">
        <f t="shared" si="102"/>
        <v>23.536354860551384</v>
      </c>
      <c r="AS35" s="182">
        <f t="shared" si="102"/>
        <v>23.268394828089459</v>
      </c>
      <c r="AT35" s="182">
        <f t="shared" si="102"/>
        <v>23.006745997763488</v>
      </c>
      <c r="AU35" s="182">
        <f t="shared" si="102"/>
        <v>22.751806251259254</v>
      </c>
      <c r="AV35" s="182">
        <f t="shared" si="102"/>
        <v>22.503938436485143</v>
      </c>
      <c r="AW35" s="182">
        <f t="shared" si="102"/>
        <v>22.263468083129258</v>
      </c>
      <c r="AX35" s="183">
        <f t="shared" si="102"/>
        <v>22.030681533976622</v>
      </c>
    </row>
    <row r="36" spans="1:50" ht="0.15" customHeight="1" x14ac:dyDescent="0.25">
      <c r="A36" s="247" t="str">
        <f>INDEX(F$626:F$897,$D$121)</f>
        <v>Wind power plants</v>
      </c>
      <c r="B36" s="133" t="str">
        <f>INDEX(G$626:G$897,$D$121)</f>
        <v>Onshore</v>
      </c>
      <c r="C36" s="133" t="str">
        <f>INDEX(H$626:H$897,$D$121)</f>
        <v>Electricity only</v>
      </c>
      <c r="D36" s="133" t="str">
        <f>INDEX(I$626:I$897,$D$121)</f>
        <v>M</v>
      </c>
      <c r="I36" s="133" t="str">
        <f t="shared" ref="I36:I38" si="103">A36&amp;" / "&amp;B36&amp;" / "&amp;C36&amp;" / "&amp;D36</f>
        <v>Wind power plants / Onshore / Electricity only / M</v>
      </c>
      <c r="J36" s="182">
        <f t="shared" ref="J36:AX36" si="104">INDEX(J$626:J$897,$D$121)</f>
        <v>39.354636172319061</v>
      </c>
      <c r="K36" s="182">
        <f t="shared" si="104"/>
        <v>38.387108404846259</v>
      </c>
      <c r="L36" s="182">
        <f t="shared" si="104"/>
        <v>37.709830992338667</v>
      </c>
      <c r="M36" s="182">
        <f t="shared" si="104"/>
        <v>37.216213256657156</v>
      </c>
      <c r="N36" s="182">
        <f t="shared" si="104"/>
        <v>36.708952183162793</v>
      </c>
      <c r="O36" s="182">
        <f t="shared" si="104"/>
        <v>35.985640803022058</v>
      </c>
      <c r="P36" s="182">
        <f t="shared" si="104"/>
        <v>35.321973642654505</v>
      </c>
      <c r="Q36" s="182">
        <f t="shared" si="104"/>
        <v>34.896120548085321</v>
      </c>
      <c r="R36" s="182">
        <f t="shared" si="104"/>
        <v>34.452262615526323</v>
      </c>
      <c r="S36" s="182">
        <f t="shared" si="104"/>
        <v>34.1111511044815</v>
      </c>
      <c r="T36" s="182">
        <f t="shared" si="104"/>
        <v>33.7734169351302</v>
      </c>
      <c r="U36" s="182">
        <f t="shared" si="104"/>
        <v>33.512702586108546</v>
      </c>
      <c r="V36" s="182">
        <f t="shared" si="104"/>
        <v>33.245041708364134</v>
      </c>
      <c r="W36" s="182">
        <f t="shared" si="104"/>
        <v>32.970724765835577</v>
      </c>
      <c r="X36" s="182">
        <f t="shared" si="104"/>
        <v>32.690092468570676</v>
      </c>
      <c r="Y36" s="182">
        <f t="shared" si="104"/>
        <v>32.403536752205007</v>
      </c>
      <c r="Z36" s="182">
        <f t="shared" si="104"/>
        <v>32.111501208770257</v>
      </c>
      <c r="AA36" s="182">
        <f t="shared" si="104"/>
        <v>31.814480901138932</v>
      </c>
      <c r="AB36" s="182">
        <f t="shared" si="104"/>
        <v>31.51302149905294</v>
      </c>
      <c r="AC36" s="182">
        <f t="shared" si="104"/>
        <v>31.207717682947113</v>
      </c>
      <c r="AD36" s="182">
        <f t="shared" si="104"/>
        <v>30.899210772776421</v>
      </c>
      <c r="AE36" s="182">
        <f t="shared" si="104"/>
        <v>30.588185552790524</v>
      </c>
      <c r="AF36" s="182">
        <f t="shared" si="104"/>
        <v>30.275366279556323</v>
      </c>
      <c r="AG36" s="182">
        <f t="shared" si="104"/>
        <v>29.961511879251159</v>
      </c>
      <c r="AH36" s="182">
        <f t="shared" si="104"/>
        <v>29.647410360933208</v>
      </c>
      <c r="AI36" s="182">
        <f t="shared" si="104"/>
        <v>29.333872494587382</v>
      </c>
      <c r="AJ36" s="182">
        <f t="shared" si="104"/>
        <v>29.021724825547768</v>
      </c>
      <c r="AK36" s="182">
        <f t="shared" si="104"/>
        <v>28.711802119590665</v>
      </c>
      <c r="AL36" s="182">
        <f t="shared" si="104"/>
        <v>28.404939354659369</v>
      </c>
      <c r="AM36" s="182">
        <f t="shared" si="104"/>
        <v>28.101963394850429</v>
      </c>
      <c r="AN36" s="182">
        <f t="shared" si="104"/>
        <v>27.80368449898468</v>
      </c>
      <c r="AO36" s="182">
        <f t="shared" si="104"/>
        <v>27.510887828875102</v>
      </c>
      <c r="AP36" s="182">
        <f t="shared" si="104"/>
        <v>27.224325130469804</v>
      </c>
      <c r="AQ36" s="182">
        <f t="shared" si="104"/>
        <v>26.944706763739298</v>
      </c>
      <c r="AR36" s="182">
        <f t="shared" si="104"/>
        <v>26.672694254062012</v>
      </c>
      <c r="AS36" s="182">
        <f t="shared" si="104"/>
        <v>26.408893528770246</v>
      </c>
      <c r="AT36" s="182">
        <f t="shared" si="104"/>
        <v>26.153848987572211</v>
      </c>
      <c r="AU36" s="182">
        <f t="shared" si="104"/>
        <v>25.908038535183113</v>
      </c>
      <c r="AV36" s="182">
        <f t="shared" si="104"/>
        <v>25.67186967938817</v>
      </c>
      <c r="AW36" s="182">
        <f t="shared" si="104"/>
        <v>25.445676768887648</v>
      </c>
      <c r="AX36" s="183">
        <f t="shared" si="104"/>
        <v>25.22971941381147</v>
      </c>
    </row>
    <row r="37" spans="1:50" ht="0.15" customHeight="1" x14ac:dyDescent="0.25">
      <c r="A37" s="247" t="str">
        <f>INDEX(F$626:F$897,$D$122)</f>
        <v>Wind power plants</v>
      </c>
      <c r="B37" s="133" t="str">
        <f>INDEX(G$626:G$897,$D$122)</f>
        <v>Onshore</v>
      </c>
      <c r="C37" s="133" t="str">
        <f>INDEX(H$626:H$897,$D$122)</f>
        <v>Electricity only</v>
      </c>
      <c r="D37" s="133" t="str">
        <f>INDEX(I$626:I$897,$D$122)</f>
        <v>S</v>
      </c>
      <c r="I37" s="133" t="str">
        <f t="shared" si="103"/>
        <v>Wind power plants / Onshore / Electricity only / S</v>
      </c>
      <c r="J37" s="182">
        <f t="shared" ref="J37:AX37" si="105">INDEX(J$626:J$897,$D$122)</f>
        <v>42.485118595117171</v>
      </c>
      <c r="K37" s="182">
        <f t="shared" si="105"/>
        <v>41.821283562979133</v>
      </c>
      <c r="L37" s="182">
        <f t="shared" si="105"/>
        <v>41.407211448494188</v>
      </c>
      <c r="M37" s="182">
        <f t="shared" si="105"/>
        <v>40.997239057915039</v>
      </c>
      <c r="N37" s="182">
        <f t="shared" si="105"/>
        <v>40.591325799915879</v>
      </c>
      <c r="O37" s="182">
        <f t="shared" si="105"/>
        <v>40.189431485065228</v>
      </c>
      <c r="P37" s="182">
        <f t="shared" si="105"/>
        <v>39.540814153170984</v>
      </c>
      <c r="Q37" s="182">
        <f t="shared" si="105"/>
        <v>38.924627687871457</v>
      </c>
      <c r="R37" s="182">
        <f t="shared" si="105"/>
        <v>38.349520320258556</v>
      </c>
      <c r="S37" s="182">
        <f t="shared" si="105"/>
        <v>37.861727861527605</v>
      </c>
      <c r="T37" s="182">
        <f t="shared" si="105"/>
        <v>37.486859268839204</v>
      </c>
      <c r="U37" s="182">
        <f t="shared" si="105"/>
        <v>37.210426047396567</v>
      </c>
      <c r="V37" s="182">
        <f t="shared" si="105"/>
        <v>36.924123983388888</v>
      </c>
      <c r="W37" s="182">
        <f t="shared" si="105"/>
        <v>36.628237109675155</v>
      </c>
      <c r="X37" s="182">
        <f t="shared" si="105"/>
        <v>36.323133563295741</v>
      </c>
      <c r="Y37" s="182">
        <f t="shared" si="105"/>
        <v>36.00926956488081</v>
      </c>
      <c r="Z37" s="182">
        <f t="shared" si="105"/>
        <v>35.687192400059466</v>
      </c>
      <c r="AA37" s="182">
        <f t="shared" si="105"/>
        <v>35.357542197167213</v>
      </c>
      <c r="AB37" s="182">
        <f t="shared" si="105"/>
        <v>35.021052300247014</v>
      </c>
      <c r="AC37" s="182">
        <f t="shared" si="105"/>
        <v>34.678548049795943</v>
      </c>
      <c r="AD37" s="182">
        <f t="shared" si="105"/>
        <v>34.330943806971952</v>
      </c>
      <c r="AE37" s="182">
        <f t="shared" si="105"/>
        <v>33.979238090724401</v>
      </c>
      <c r="AF37" s="182">
        <f t="shared" si="105"/>
        <v>33.624506741726066</v>
      </c>
      <c r="AG37" s="182">
        <f t="shared" si="105"/>
        <v>33.267894081617875</v>
      </c>
      <c r="AH37" s="182">
        <f t="shared" si="105"/>
        <v>32.910602099758002</v>
      </c>
      <c r="AI37" s="182">
        <f t="shared" si="105"/>
        <v>32.553877770442028</v>
      </c>
      <c r="AJ37" s="182">
        <f t="shared" si="105"/>
        <v>32.198998678689733</v>
      </c>
      <c r="AK37" s="182">
        <f t="shared" si="105"/>
        <v>31.847257208726507</v>
      </c>
      <c r="AL37" s="182">
        <f t="shared" si="105"/>
        <v>31.49994362219795</v>
      </c>
      <c r="AM37" s="182">
        <f t="shared" si="105"/>
        <v>31.158328418582229</v>
      </c>
      <c r="AN37" s="182">
        <f t="shared" si="105"/>
        <v>30.823644423788362</v>
      </c>
      <c r="AO37" s="182">
        <f t="shared" si="105"/>
        <v>30.497069090427388</v>
      </c>
      <c r="AP37" s="182">
        <f t="shared" si="105"/>
        <v>30.179707511251227</v>
      </c>
      <c r="AQ37" s="182">
        <f t="shared" si="105"/>
        <v>29.872576643308477</v>
      </c>
      <c r="AR37" s="182">
        <f t="shared" si="105"/>
        <v>29.576591213303157</v>
      </c>
      <c r="AS37" s="182">
        <f t="shared" si="105"/>
        <v>29.292551724793316</v>
      </c>
      <c r="AT37" s="182">
        <f t="shared" si="105"/>
        <v>29.021134917136333</v>
      </c>
      <c r="AU37" s="182">
        <f t="shared" si="105"/>
        <v>28.76288693788478</v>
      </c>
      <c r="AV37" s="182">
        <f t="shared" si="105"/>
        <v>28.51821938936326</v>
      </c>
      <c r="AW37" s="182">
        <f t="shared" si="105"/>
        <v>28.287408302063234</v>
      </c>
      <c r="AX37" s="183">
        <f t="shared" si="105"/>
        <v>28.070595978441006</v>
      </c>
    </row>
    <row r="38" spans="1:50" ht="0.15" customHeight="1" x14ac:dyDescent="0.25">
      <c r="A38" s="247" t="str">
        <f>INDEX(F$626:F$897,$D$123)</f>
        <v>Wind power plants</v>
      </c>
      <c r="B38" s="133" t="str">
        <f>INDEX(G$626:G$897,$D$123)</f>
        <v>Onshore</v>
      </c>
      <c r="C38" s="133" t="str">
        <f>INDEX(H$626:H$897,$D$123)</f>
        <v>Electricity only</v>
      </c>
      <c r="D38" s="133" t="str">
        <f>INDEX(I$626:I$897,$D$123)</f>
        <v>XS</v>
      </c>
      <c r="I38" s="133" t="str">
        <f t="shared" si="103"/>
        <v>Wind power plants / Onshore / Electricity only / XS</v>
      </c>
      <c r="J38" s="182">
        <f t="shared" ref="J38:AX38" si="106">INDEX(J$626:J$897,$D$123)</f>
        <v>51.011956432452969</v>
      </c>
      <c r="K38" s="182">
        <f t="shared" si="106"/>
        <v>50.540234397808874</v>
      </c>
      <c r="L38" s="182">
        <f t="shared" si="106"/>
        <v>50.139121426397686</v>
      </c>
      <c r="M38" s="182">
        <f t="shared" si="106"/>
        <v>49.74119189126754</v>
      </c>
      <c r="N38" s="182">
        <f t="shared" si="106"/>
        <v>49.34642052705113</v>
      </c>
      <c r="O38" s="182">
        <f t="shared" si="106"/>
        <v>48.954782268899926</v>
      </c>
      <c r="P38" s="182">
        <f t="shared" si="106"/>
        <v>48.575905689819123</v>
      </c>
      <c r="Q38" s="182">
        <f t="shared" si="106"/>
        <v>48.094956128533774</v>
      </c>
      <c r="R38" s="182">
        <f t="shared" si="106"/>
        <v>47.618768444092851</v>
      </c>
      <c r="S38" s="182">
        <f t="shared" si="106"/>
        <v>47.147295489200836</v>
      </c>
      <c r="T38" s="182">
        <f t="shared" si="106"/>
        <v>46.680490583367174</v>
      </c>
      <c r="U38" s="182">
        <f t="shared" si="106"/>
        <v>46.442332731047351</v>
      </c>
      <c r="V38" s="182">
        <f t="shared" si="106"/>
        <v>46.195672491286892</v>
      </c>
      <c r="W38" s="182">
        <f t="shared" si="106"/>
        <v>45.940754569318138</v>
      </c>
      <c r="X38" s="182">
        <f t="shared" si="106"/>
        <v>45.677896129360491</v>
      </c>
      <c r="Y38" s="182">
        <f t="shared" si="106"/>
        <v>45.407490223033783</v>
      </c>
      <c r="Z38" s="182">
        <f t="shared" si="106"/>
        <v>45.130008357956925</v>
      </c>
      <c r="AA38" s="182">
        <f t="shared" si="106"/>
        <v>44.846002029311293</v>
      </c>
      <c r="AB38" s="182">
        <f t="shared" si="106"/>
        <v>44.556103041195442</v>
      </c>
      <c r="AC38" s="182">
        <f t="shared" si="106"/>
        <v>44.261022456191434</v>
      </c>
      <c r="AD38" s="182">
        <f t="shared" si="106"/>
        <v>43.9615480316046</v>
      </c>
      <c r="AE38" s="182">
        <f t="shared" si="106"/>
        <v>43.658540029914398</v>
      </c>
      <c r="AF38" s="182">
        <f t="shared" si="106"/>
        <v>43.352925329238928</v>
      </c>
      <c r="AG38" s="182">
        <f t="shared" si="106"/>
        <v>43.045689806684173</v>
      </c>
      <c r="AH38" s="182">
        <f t="shared" si="106"/>
        <v>42.737869022312587</v>
      </c>
      <c r="AI38" s="182">
        <f t="shared" si="106"/>
        <v>42.430537292440363</v>
      </c>
      <c r="AJ38" s="182">
        <f t="shared" si="106"/>
        <v>42.124795305699926</v>
      </c>
      <c r="AK38" s="182">
        <f t="shared" si="106"/>
        <v>41.821756500808533</v>
      </c>
      <c r="AL38" s="182">
        <f t="shared" si="106"/>
        <v>41.522532487799317</v>
      </c>
      <c r="AM38" s="182">
        <f t="shared" si="106"/>
        <v>41.228217850838078</v>
      </c>
      <c r="AN38" s="182">
        <f t="shared" si="106"/>
        <v>40.939874716861823</v>
      </c>
      <c r="AO38" s="182">
        <f t="shared" si="106"/>
        <v>40.658517506581596</v>
      </c>
      <c r="AP38" s="182">
        <f t="shared" si="106"/>
        <v>40.385098299906744</v>
      </c>
      <c r="AQ38" s="182">
        <f t="shared" si="106"/>
        <v>40.120493244448383</v>
      </c>
      <c r="AR38" s="182">
        <f t="shared" si="106"/>
        <v>39.865490412443798</v>
      </c>
      <c r="AS38" s="182">
        <f t="shared" si="106"/>
        <v>39.620779468496856</v>
      </c>
      <c r="AT38" s="182">
        <f t="shared" si="106"/>
        <v>39.38694344959238</v>
      </c>
      <c r="AU38" s="182">
        <f t="shared" si="106"/>
        <v>39.164452882852579</v>
      </c>
      <c r="AV38" s="182">
        <f t="shared" si="106"/>
        <v>38.953662379510966</v>
      </c>
      <c r="AW38" s="182">
        <f t="shared" si="106"/>
        <v>38.75480975045248</v>
      </c>
      <c r="AX38" s="183">
        <f t="shared" si="106"/>
        <v>38.568017594716409</v>
      </c>
    </row>
    <row r="39" spans="1:50" ht="0.15" customHeight="1" x14ac:dyDescent="0.25">
      <c r="A39" s="137"/>
      <c r="I39" s="174" t="s">
        <v>54</v>
      </c>
      <c r="J39" s="190">
        <f t="shared" ref="J39:O39" si="107">MIN(J35:J38)</f>
        <v>36.224153749520958</v>
      </c>
      <c r="K39" s="190">
        <f t="shared" si="107"/>
        <v>34.46392820435905</v>
      </c>
      <c r="L39" s="190">
        <f t="shared" si="107"/>
        <v>33.308780190346553</v>
      </c>
      <c r="M39" s="190">
        <f t="shared" si="107"/>
        <v>32.566185038481372</v>
      </c>
      <c r="N39" s="190">
        <f t="shared" si="107"/>
        <v>32.141825785482354</v>
      </c>
      <c r="O39" s="190">
        <f t="shared" si="107"/>
        <v>31.823589886616187</v>
      </c>
      <c r="P39" s="190">
        <f t="shared" ref="P39:AX39" si="108">MIN(P35:P38)</f>
        <v>31.311063229533524</v>
      </c>
      <c r="Q39" s="190">
        <f t="shared" si="108"/>
        <v>30.974717610823024</v>
      </c>
      <c r="R39" s="190">
        <f t="shared" si="108"/>
        <v>30.758495427366277</v>
      </c>
      <c r="S39" s="190">
        <f t="shared" si="108"/>
        <v>30.596328789773715</v>
      </c>
      <c r="T39" s="190">
        <f t="shared" si="108"/>
        <v>30.542273243909523</v>
      </c>
      <c r="U39" s="190">
        <f t="shared" si="108"/>
        <v>30.273865030162643</v>
      </c>
      <c r="V39" s="190">
        <f t="shared" si="108"/>
        <v>30.000457021724216</v>
      </c>
      <c r="W39" s="190">
        <f t="shared" si="108"/>
        <v>29.72232162734619</v>
      </c>
      <c r="X39" s="190">
        <f t="shared" si="108"/>
        <v>29.439760248168401</v>
      </c>
      <c r="Y39" s="190">
        <f t="shared" si="108"/>
        <v>29.153103167491263</v>
      </c>
      <c r="Z39" s="190">
        <f t="shared" si="108"/>
        <v>28.862709176116809</v>
      </c>
      <c r="AA39" s="190">
        <f t="shared" si="108"/>
        <v>28.568964915466445</v>
      </c>
      <c r="AB39" s="190">
        <f t="shared" si="108"/>
        <v>28.272283923533116</v>
      </c>
      <c r="AC39" s="190">
        <f t="shared" si="108"/>
        <v>27.973105372196652</v>
      </c>
      <c r="AD39" s="190">
        <f t="shared" si="108"/>
        <v>27.671892488511521</v>
      </c>
      <c r="AE39" s="190">
        <f t="shared" si="108"/>
        <v>27.369130657230222</v>
      </c>
      <c r="AF39" s="190">
        <f t="shared" si="108"/>
        <v>27.065325206998224</v>
      </c>
      <c r="AG39" s="190">
        <f t="shared" si="108"/>
        <v>26.760998888264215</v>
      </c>
      <c r="AH39" s="190">
        <f t="shared" si="108"/>
        <v>26.456689056891701</v>
      </c>
      <c r="AI39" s="190">
        <f t="shared" si="108"/>
        <v>26.152944583604757</v>
      </c>
      <c r="AJ39" s="190">
        <f t="shared" si="108"/>
        <v>25.850322515606209</v>
      </c>
      <c r="AK39" s="190">
        <f t="shared" si="108"/>
        <v>25.549384522805667</v>
      </c>
      <c r="AL39" s="190">
        <f t="shared" si="108"/>
        <v>25.250693166909485</v>
      </c>
      <c r="AM39" s="190">
        <f t="shared" si="108"/>
        <v>24.954808036970906</v>
      </c>
      <c r="AN39" s="190">
        <f t="shared" si="108"/>
        <v>24.662281799691407</v>
      </c>
      <c r="AO39" s="190">
        <f t="shared" si="108"/>
        <v>24.373656216624873</v>
      </c>
      <c r="AP39" s="190">
        <f t="shared" si="108"/>
        <v>24.089458183302238</v>
      </c>
      <c r="AQ39" s="190">
        <f t="shared" si="108"/>
        <v>23.81019584702398</v>
      </c>
      <c r="AR39" s="190">
        <f t="shared" si="108"/>
        <v>23.536354860551384</v>
      </c>
      <c r="AS39" s="190">
        <f t="shared" si="108"/>
        <v>23.268394828089459</v>
      </c>
      <c r="AT39" s="190">
        <f t="shared" si="108"/>
        <v>23.006745997763488</v>
      </c>
      <c r="AU39" s="190">
        <f t="shared" si="108"/>
        <v>22.751806251259254</v>
      </c>
      <c r="AV39" s="190">
        <f t="shared" si="108"/>
        <v>22.503938436485143</v>
      </c>
      <c r="AW39" s="190">
        <f t="shared" si="108"/>
        <v>22.263468083129258</v>
      </c>
      <c r="AX39" s="191">
        <f t="shared" si="108"/>
        <v>22.030681533976622</v>
      </c>
    </row>
    <row r="40" spans="1:50" ht="0.15" customHeight="1" x14ac:dyDescent="0.25">
      <c r="A40" s="137"/>
      <c r="I40" s="174" t="s">
        <v>55</v>
      </c>
      <c r="J40" s="190">
        <f t="shared" ref="J40:O40" si="109">MAX(J35:J38)</f>
        <v>51.011956432452969</v>
      </c>
      <c r="K40" s="190">
        <f t="shared" si="109"/>
        <v>50.540234397808874</v>
      </c>
      <c r="L40" s="190">
        <f t="shared" si="109"/>
        <v>50.139121426397686</v>
      </c>
      <c r="M40" s="190">
        <f t="shared" si="109"/>
        <v>49.74119189126754</v>
      </c>
      <c r="N40" s="190">
        <f t="shared" si="109"/>
        <v>49.34642052705113</v>
      </c>
      <c r="O40" s="190">
        <f t="shared" si="109"/>
        <v>48.954782268899926</v>
      </c>
      <c r="P40" s="190">
        <f t="shared" ref="P40:AX40" si="110">MAX(P35:P38)</f>
        <v>48.575905689819123</v>
      </c>
      <c r="Q40" s="190">
        <f t="shared" si="110"/>
        <v>48.094956128533774</v>
      </c>
      <c r="R40" s="190">
        <f t="shared" si="110"/>
        <v>47.618768444092851</v>
      </c>
      <c r="S40" s="190">
        <f t="shared" si="110"/>
        <v>47.147295489200836</v>
      </c>
      <c r="T40" s="190">
        <f t="shared" si="110"/>
        <v>46.680490583367174</v>
      </c>
      <c r="U40" s="190">
        <f t="shared" si="110"/>
        <v>46.442332731047351</v>
      </c>
      <c r="V40" s="190">
        <f t="shared" si="110"/>
        <v>46.195672491286892</v>
      </c>
      <c r="W40" s="190">
        <f t="shared" si="110"/>
        <v>45.940754569318138</v>
      </c>
      <c r="X40" s="190">
        <f t="shared" si="110"/>
        <v>45.677896129360491</v>
      </c>
      <c r="Y40" s="190">
        <f t="shared" si="110"/>
        <v>45.407490223033783</v>
      </c>
      <c r="Z40" s="190">
        <f t="shared" si="110"/>
        <v>45.130008357956925</v>
      </c>
      <c r="AA40" s="190">
        <f t="shared" si="110"/>
        <v>44.846002029311293</v>
      </c>
      <c r="AB40" s="190">
        <f t="shared" si="110"/>
        <v>44.556103041195442</v>
      </c>
      <c r="AC40" s="190">
        <f t="shared" si="110"/>
        <v>44.261022456191434</v>
      </c>
      <c r="AD40" s="190">
        <f t="shared" si="110"/>
        <v>43.9615480316046</v>
      </c>
      <c r="AE40" s="190">
        <f t="shared" si="110"/>
        <v>43.658540029914398</v>
      </c>
      <c r="AF40" s="190">
        <f t="shared" si="110"/>
        <v>43.352925329238928</v>
      </c>
      <c r="AG40" s="190">
        <f t="shared" si="110"/>
        <v>43.045689806684173</v>
      </c>
      <c r="AH40" s="190">
        <f t="shared" si="110"/>
        <v>42.737869022312587</v>
      </c>
      <c r="AI40" s="190">
        <f t="shared" si="110"/>
        <v>42.430537292440363</v>
      </c>
      <c r="AJ40" s="190">
        <f t="shared" si="110"/>
        <v>42.124795305699926</v>
      </c>
      <c r="AK40" s="190">
        <f t="shared" si="110"/>
        <v>41.821756500808533</v>
      </c>
      <c r="AL40" s="190">
        <f t="shared" si="110"/>
        <v>41.522532487799317</v>
      </c>
      <c r="AM40" s="190">
        <f t="shared" si="110"/>
        <v>41.228217850838078</v>
      </c>
      <c r="AN40" s="190">
        <f t="shared" si="110"/>
        <v>40.939874716861823</v>
      </c>
      <c r="AO40" s="190">
        <f t="shared" si="110"/>
        <v>40.658517506581596</v>
      </c>
      <c r="AP40" s="190">
        <f t="shared" si="110"/>
        <v>40.385098299906744</v>
      </c>
      <c r="AQ40" s="190">
        <f t="shared" si="110"/>
        <v>40.120493244448383</v>
      </c>
      <c r="AR40" s="190">
        <f t="shared" si="110"/>
        <v>39.865490412443798</v>
      </c>
      <c r="AS40" s="190">
        <f t="shared" si="110"/>
        <v>39.620779468496856</v>
      </c>
      <c r="AT40" s="190">
        <f t="shared" si="110"/>
        <v>39.38694344959238</v>
      </c>
      <c r="AU40" s="190">
        <f t="shared" si="110"/>
        <v>39.164452882852579</v>
      </c>
      <c r="AV40" s="190">
        <f t="shared" si="110"/>
        <v>38.953662379510966</v>
      </c>
      <c r="AW40" s="190">
        <f t="shared" si="110"/>
        <v>38.75480975045248</v>
      </c>
      <c r="AX40" s="191">
        <f t="shared" si="110"/>
        <v>38.568017594716409</v>
      </c>
    </row>
    <row r="41" spans="1:50" ht="0.15" customHeight="1" x14ac:dyDescent="0.25">
      <c r="A41" s="248"/>
      <c r="B41" s="249"/>
      <c r="C41" s="249"/>
      <c r="D41" s="249"/>
      <c r="E41" s="249"/>
      <c r="F41" s="249"/>
      <c r="G41" s="249"/>
      <c r="H41" s="250"/>
      <c r="I41" s="250" t="s">
        <v>61</v>
      </c>
      <c r="J41" s="251">
        <f t="shared" ref="J41:O41" si="111">J40-J39</f>
        <v>14.787802682932011</v>
      </c>
      <c r="K41" s="251">
        <f t="shared" si="111"/>
        <v>16.076306193449824</v>
      </c>
      <c r="L41" s="251">
        <f t="shared" si="111"/>
        <v>16.830341236051133</v>
      </c>
      <c r="M41" s="251">
        <f t="shared" si="111"/>
        <v>17.175006852786169</v>
      </c>
      <c r="N41" s="251">
        <f t="shared" si="111"/>
        <v>17.204594741568776</v>
      </c>
      <c r="O41" s="251">
        <f t="shared" si="111"/>
        <v>17.131192382283739</v>
      </c>
      <c r="P41" s="251">
        <f t="shared" ref="P41:AX41" si="112">P40-P39</f>
        <v>17.2648424602856</v>
      </c>
      <c r="Q41" s="251">
        <f t="shared" si="112"/>
        <v>17.120238517710749</v>
      </c>
      <c r="R41" s="251">
        <f t="shared" si="112"/>
        <v>16.860273016726573</v>
      </c>
      <c r="S41" s="251">
        <f t="shared" si="112"/>
        <v>16.550966699427121</v>
      </c>
      <c r="T41" s="251">
        <f t="shared" si="112"/>
        <v>16.13821733945765</v>
      </c>
      <c r="U41" s="251">
        <f t="shared" si="112"/>
        <v>16.168467700884708</v>
      </c>
      <c r="V41" s="251">
        <f t="shared" si="112"/>
        <v>16.195215469562676</v>
      </c>
      <c r="W41" s="251">
        <f t="shared" si="112"/>
        <v>16.218432941971948</v>
      </c>
      <c r="X41" s="251">
        <f t="shared" si="112"/>
        <v>16.23813588119209</v>
      </c>
      <c r="Y41" s="251">
        <f t="shared" si="112"/>
        <v>16.254387055542519</v>
      </c>
      <c r="Z41" s="251">
        <f t="shared" si="112"/>
        <v>16.267299181840116</v>
      </c>
      <c r="AA41" s="251">
        <f t="shared" si="112"/>
        <v>16.277037113844848</v>
      </c>
      <c r="AB41" s="251">
        <f t="shared" si="112"/>
        <v>16.283819117662325</v>
      </c>
      <c r="AC41" s="251">
        <f t="shared" si="112"/>
        <v>16.287917083994781</v>
      </c>
      <c r="AD41" s="251">
        <f t="shared" si="112"/>
        <v>16.28965554309308</v>
      </c>
      <c r="AE41" s="251">
        <f t="shared" si="112"/>
        <v>16.289409372684176</v>
      </c>
      <c r="AF41" s="251">
        <f t="shared" si="112"/>
        <v>16.287600122240704</v>
      </c>
      <c r="AG41" s="251">
        <f t="shared" si="112"/>
        <v>16.284690918419958</v>
      </c>
      <c r="AH41" s="251">
        <f t="shared" si="112"/>
        <v>16.281179965420886</v>
      </c>
      <c r="AI41" s="251">
        <f t="shared" si="112"/>
        <v>16.277592708835606</v>
      </c>
      <c r="AJ41" s="251">
        <f t="shared" si="112"/>
        <v>16.274472790093718</v>
      </c>
      <c r="AK41" s="251">
        <f t="shared" si="112"/>
        <v>16.272371978002866</v>
      </c>
      <c r="AL41" s="251">
        <f t="shared" si="112"/>
        <v>16.271839320889832</v>
      </c>
      <c r="AM41" s="251">
        <f t="shared" si="112"/>
        <v>16.273409813867172</v>
      </c>
      <c r="AN41" s="251">
        <f t="shared" si="112"/>
        <v>16.277592917170416</v>
      </c>
      <c r="AO41" s="251">
        <f t="shared" si="112"/>
        <v>16.284861289956723</v>
      </c>
      <c r="AP41" s="251">
        <f t="shared" si="112"/>
        <v>16.295640116604506</v>
      </c>
      <c r="AQ41" s="251">
        <f t="shared" si="112"/>
        <v>16.310297397424403</v>
      </c>
      <c r="AR41" s="251">
        <f t="shared" si="112"/>
        <v>16.329135551892414</v>
      </c>
      <c r="AS41" s="251">
        <f t="shared" si="112"/>
        <v>16.352384640407397</v>
      </c>
      <c r="AT41" s="251">
        <f t="shared" si="112"/>
        <v>16.380197451828892</v>
      </c>
      <c r="AU41" s="251">
        <f t="shared" si="112"/>
        <v>16.412646631593326</v>
      </c>
      <c r="AV41" s="251">
        <f t="shared" si="112"/>
        <v>16.449723943025823</v>
      </c>
      <c r="AW41" s="251">
        <f t="shared" si="112"/>
        <v>16.491341667323223</v>
      </c>
      <c r="AX41" s="252">
        <f t="shared" si="112"/>
        <v>16.537336060739786</v>
      </c>
    </row>
    <row r="42" spans="1:50" ht="0.15" customHeight="1" x14ac:dyDescent="0.25">
      <c r="A42" s="253" t="str">
        <f>"LEFT "&amp;$J$904</f>
        <v>LEFT Fuel and variable costs</v>
      </c>
      <c r="B42" s="254"/>
      <c r="C42" s="254"/>
      <c r="D42" s="254"/>
      <c r="E42" s="254"/>
      <c r="F42" s="254"/>
      <c r="G42" s="254"/>
      <c r="H42" s="254"/>
      <c r="I42" s="254"/>
      <c r="J42" s="255">
        <f t="shared" ref="J42:O42" si="113">J$905</f>
        <v>2010</v>
      </c>
      <c r="K42" s="255">
        <f t="shared" si="113"/>
        <v>2011</v>
      </c>
      <c r="L42" s="255">
        <f t="shared" si="113"/>
        <v>2012</v>
      </c>
      <c r="M42" s="255">
        <f t="shared" si="113"/>
        <v>2013</v>
      </c>
      <c r="N42" s="255">
        <f t="shared" si="113"/>
        <v>2014</v>
      </c>
      <c r="O42" s="255">
        <f t="shared" si="113"/>
        <v>2015</v>
      </c>
      <c r="P42" s="255">
        <f t="shared" ref="P42:AX42" si="114">P$905</f>
        <v>2016</v>
      </c>
      <c r="Q42" s="255">
        <f t="shared" si="114"/>
        <v>2017</v>
      </c>
      <c r="R42" s="255">
        <f t="shared" si="114"/>
        <v>2018</v>
      </c>
      <c r="S42" s="255">
        <f t="shared" si="114"/>
        <v>2019</v>
      </c>
      <c r="T42" s="255">
        <f t="shared" si="114"/>
        <v>2020</v>
      </c>
      <c r="U42" s="255">
        <f t="shared" si="114"/>
        <v>2021</v>
      </c>
      <c r="V42" s="255">
        <f t="shared" si="114"/>
        <v>2022</v>
      </c>
      <c r="W42" s="255">
        <f t="shared" si="114"/>
        <v>2023</v>
      </c>
      <c r="X42" s="255">
        <f t="shared" si="114"/>
        <v>2024</v>
      </c>
      <c r="Y42" s="255">
        <f t="shared" si="114"/>
        <v>2025</v>
      </c>
      <c r="Z42" s="255">
        <f t="shared" si="114"/>
        <v>2026</v>
      </c>
      <c r="AA42" s="255">
        <f t="shared" si="114"/>
        <v>2027</v>
      </c>
      <c r="AB42" s="255">
        <f t="shared" si="114"/>
        <v>2028</v>
      </c>
      <c r="AC42" s="255">
        <f t="shared" si="114"/>
        <v>2029</v>
      </c>
      <c r="AD42" s="255">
        <f t="shared" si="114"/>
        <v>2030</v>
      </c>
      <c r="AE42" s="255">
        <f t="shared" si="114"/>
        <v>2031</v>
      </c>
      <c r="AF42" s="255">
        <f t="shared" si="114"/>
        <v>2032</v>
      </c>
      <c r="AG42" s="255">
        <f t="shared" si="114"/>
        <v>2033</v>
      </c>
      <c r="AH42" s="255">
        <f t="shared" si="114"/>
        <v>2034</v>
      </c>
      <c r="AI42" s="255">
        <f t="shared" si="114"/>
        <v>2035</v>
      </c>
      <c r="AJ42" s="255">
        <f t="shared" si="114"/>
        <v>2036</v>
      </c>
      <c r="AK42" s="255">
        <f t="shared" si="114"/>
        <v>2037</v>
      </c>
      <c r="AL42" s="255">
        <f t="shared" si="114"/>
        <v>2038</v>
      </c>
      <c r="AM42" s="255">
        <f t="shared" si="114"/>
        <v>2039</v>
      </c>
      <c r="AN42" s="255">
        <f t="shared" si="114"/>
        <v>2040</v>
      </c>
      <c r="AO42" s="255">
        <f t="shared" si="114"/>
        <v>2041</v>
      </c>
      <c r="AP42" s="255">
        <f t="shared" si="114"/>
        <v>2042</v>
      </c>
      <c r="AQ42" s="255">
        <f t="shared" si="114"/>
        <v>2043</v>
      </c>
      <c r="AR42" s="255">
        <f t="shared" si="114"/>
        <v>2044</v>
      </c>
      <c r="AS42" s="255">
        <f t="shared" si="114"/>
        <v>2045</v>
      </c>
      <c r="AT42" s="255">
        <f t="shared" si="114"/>
        <v>2046</v>
      </c>
      <c r="AU42" s="255">
        <f t="shared" si="114"/>
        <v>2047</v>
      </c>
      <c r="AV42" s="255">
        <f t="shared" si="114"/>
        <v>2048</v>
      </c>
      <c r="AW42" s="255">
        <f t="shared" si="114"/>
        <v>2049</v>
      </c>
      <c r="AX42" s="256">
        <f t="shared" si="114"/>
        <v>2050</v>
      </c>
    </row>
    <row r="43" spans="1:50" ht="0.15" customHeight="1" x14ac:dyDescent="0.25">
      <c r="A43" s="247" t="str">
        <f>INDEX(F$906:F$1177,$D$120)</f>
        <v>Wind power plants</v>
      </c>
      <c r="B43" s="133" t="str">
        <f>INDEX(G$906:G$1177,$D$120)</f>
        <v>Onshore</v>
      </c>
      <c r="C43" s="133" t="str">
        <f>INDEX(H$906:H$1177,$D$120)</f>
        <v>Electricity only</v>
      </c>
      <c r="D43" s="133" t="str">
        <f>INDEX(I$906:I$1177,$D$120)</f>
        <v>L</v>
      </c>
      <c r="I43" s="133" t="str">
        <f>A43&amp;" / "&amp;B43&amp;" / "&amp;C43&amp;" / "&amp;D43</f>
        <v>Wind power plants / Onshore / Electricity only / L</v>
      </c>
      <c r="J43" s="177">
        <f t="shared" ref="J43:AX43" si="115">INDEX(J$906:J$1177,$D$120)</f>
        <v>0.56975381008206327</v>
      </c>
      <c r="K43" s="177">
        <f t="shared" si="115"/>
        <v>0.54206799531066818</v>
      </c>
      <c r="L43" s="177">
        <f t="shared" si="115"/>
        <v>0.52389917936694019</v>
      </c>
      <c r="M43" s="177">
        <f t="shared" si="115"/>
        <v>0.51221922626025795</v>
      </c>
      <c r="N43" s="177">
        <f t="shared" si="115"/>
        <v>0.50554466588511138</v>
      </c>
      <c r="O43" s="177">
        <f t="shared" si="115"/>
        <v>0.5005392731535756</v>
      </c>
      <c r="P43" s="177">
        <f t="shared" si="115"/>
        <v>0.49247796638956781</v>
      </c>
      <c r="Q43" s="177">
        <f t="shared" si="115"/>
        <v>0.4871877338256877</v>
      </c>
      <c r="R43" s="177">
        <f t="shared" si="115"/>
        <v>0.4837868700346219</v>
      </c>
      <c r="S43" s="177">
        <f t="shared" si="115"/>
        <v>0.48123622219132262</v>
      </c>
      <c r="T43" s="177">
        <f t="shared" si="115"/>
        <v>0.48038600624355615</v>
      </c>
      <c r="U43" s="177">
        <f t="shared" si="115"/>
        <v>0.47616433129437591</v>
      </c>
      <c r="V43" s="177">
        <f t="shared" si="115"/>
        <v>0.47186401676965617</v>
      </c>
      <c r="W43" s="177">
        <f t="shared" si="115"/>
        <v>0.46748934726705527</v>
      </c>
      <c r="X43" s="177">
        <f t="shared" si="115"/>
        <v>0.46304506339277107</v>
      </c>
      <c r="Y43" s="177">
        <f t="shared" si="115"/>
        <v>0.45853636002782461</v>
      </c>
      <c r="Z43" s="177">
        <f t="shared" si="115"/>
        <v>0.45396888043521377</v>
      </c>
      <c r="AA43" s="177">
        <f t="shared" si="115"/>
        <v>0.44934870592810067</v>
      </c>
      <c r="AB43" s="177">
        <f t="shared" si="115"/>
        <v>0.44468234086401204</v>
      </c>
      <c r="AC43" s="177">
        <f t="shared" si="115"/>
        <v>0.43997669278462703</v>
      </c>
      <c r="AD43" s="177">
        <f t="shared" si="115"/>
        <v>0.43523904758490495</v>
      </c>
      <c r="AE43" s="177">
        <f t="shared" si="115"/>
        <v>0.43047703966850964</v>
      </c>
      <c r="AF43" s="177">
        <f t="shared" si="115"/>
        <v>0.42569861712784046</v>
      </c>
      <c r="AG43" s="177">
        <f t="shared" si="115"/>
        <v>0.42091200207519081</v>
      </c>
      <c r="AH43" s="177">
        <f t="shared" si="115"/>
        <v>0.41612564634501142</v>
      </c>
      <c r="AI43" s="177">
        <f t="shared" si="115"/>
        <v>0.41134818288393898</v>
      </c>
      <c r="AJ43" s="177">
        <f t="shared" si="115"/>
        <v>0.40658837324285474</v>
      </c>
      <c r="AK43" s="177">
        <f t="shared" si="115"/>
        <v>0.40185505168116548</v>
      </c>
      <c r="AL43" s="177">
        <f t="shared" si="115"/>
        <v>0.39715706648495708</v>
      </c>
      <c r="AM43" s="177">
        <f t="shared" si="115"/>
        <v>0.39250321918475989</v>
      </c>
      <c r="AN43" s="177">
        <f t="shared" si="115"/>
        <v>0.38790220243247298</v>
      </c>
      <c r="AO43" s="177">
        <f t="shared" si="115"/>
        <v>0.38336253735771636</v>
      </c>
      <c r="AP43" s="177">
        <f t="shared" si="115"/>
        <v>0.37889251126896217</v>
      </c>
      <c r="AQ43" s="177">
        <f t="shared" si="115"/>
        <v>0.37450011659199728</v>
      </c>
      <c r="AR43" s="177">
        <f t="shared" si="115"/>
        <v>0.37019299194587751</v>
      </c>
      <c r="AS43" s="177">
        <f t="shared" si="115"/>
        <v>0.365978366243354</v>
      </c>
      <c r="AT43" s="177">
        <f t="shared" si="115"/>
        <v>0.36186300666828852</v>
      </c>
      <c r="AU43" s="177">
        <f t="shared" si="115"/>
        <v>0.35785317132702626</v>
      </c>
      <c r="AV43" s="177">
        <f t="shared" si="115"/>
        <v>0.35395456729500985</v>
      </c>
      <c r="AW43" s="177">
        <f t="shared" si="115"/>
        <v>0.35017231468577931</v>
      </c>
      <c r="AX43" s="178">
        <f t="shared" si="115"/>
        <v>0.34651091725928107</v>
      </c>
    </row>
    <row r="44" spans="1:50" ht="0.15" customHeight="1" x14ac:dyDescent="0.25">
      <c r="A44" s="247" t="str">
        <f>INDEX(F$906:F$1177,$D$121)</f>
        <v>Wind power plants</v>
      </c>
      <c r="B44" s="133" t="str">
        <f>INDEX(G$906:G$1177,$D$121)</f>
        <v>Onshore</v>
      </c>
      <c r="C44" s="133" t="str">
        <f>INDEX(H$906:H$1177,$D$121)</f>
        <v>Electricity only</v>
      </c>
      <c r="D44" s="133" t="str">
        <f>INDEX(I$906:I$1177,$D$121)</f>
        <v>M</v>
      </c>
      <c r="I44" s="133" t="str">
        <f t="shared" ref="I44:I46" si="116">A44&amp;" / "&amp;B44&amp;" / "&amp;C44&amp;" / "&amp;D44</f>
        <v>Wind power plants / Onshore / Electricity only / M</v>
      </c>
      <c r="J44" s="177">
        <f t="shared" ref="J44:AX44" si="117">INDEX(J$906:J$1177,$D$121)</f>
        <v>0.59518441698980962</v>
      </c>
      <c r="K44" s="177">
        <f t="shared" si="117"/>
        <v>0.58055189827757236</v>
      </c>
      <c r="L44" s="177">
        <f t="shared" si="117"/>
        <v>0.57030901456398231</v>
      </c>
      <c r="M44" s="177">
        <f t="shared" si="117"/>
        <v>0.56284372933199567</v>
      </c>
      <c r="N44" s="177">
        <f t="shared" si="117"/>
        <v>0.55517210749391288</v>
      </c>
      <c r="O44" s="177">
        <f t="shared" si="117"/>
        <v>0.54423302371719728</v>
      </c>
      <c r="P44" s="177">
        <f t="shared" si="117"/>
        <v>0.53419597623468285</v>
      </c>
      <c r="Q44" s="177">
        <f t="shared" si="117"/>
        <v>0.52775553743340275</v>
      </c>
      <c r="R44" s="177">
        <f t="shared" si="117"/>
        <v>0.5210428003708697</v>
      </c>
      <c r="S44" s="177">
        <f t="shared" si="117"/>
        <v>0.51588396076323728</v>
      </c>
      <c r="T44" s="177">
        <f t="shared" si="117"/>
        <v>0.51077619877548242</v>
      </c>
      <c r="U44" s="177">
        <f t="shared" si="117"/>
        <v>0.50683325499767995</v>
      </c>
      <c r="V44" s="177">
        <f t="shared" si="117"/>
        <v>0.502785254584876</v>
      </c>
      <c r="W44" s="177">
        <f t="shared" si="117"/>
        <v>0.49863659040222702</v>
      </c>
      <c r="X44" s="177">
        <f t="shared" si="117"/>
        <v>0.49439241521776411</v>
      </c>
      <c r="Y44" s="177">
        <f t="shared" si="117"/>
        <v>0.49005865651565328</v>
      </c>
      <c r="Z44" s="177">
        <f t="shared" si="117"/>
        <v>0.48564202301157394</v>
      </c>
      <c r="AA44" s="177">
        <f t="shared" si="117"/>
        <v>0.48115000184645323</v>
      </c>
      <c r="AB44" s="177">
        <f t="shared" si="117"/>
        <v>0.47659084552009257</v>
      </c>
      <c r="AC44" s="177">
        <f t="shared" si="117"/>
        <v>0.47197354775120809</v>
      </c>
      <c r="AD44" s="177">
        <f t="shared" si="117"/>
        <v>0.46730780761672236</v>
      </c>
      <c r="AE44" s="177">
        <f t="shared" si="117"/>
        <v>0.46260398153087384</v>
      </c>
      <c r="AF44" s="177">
        <f t="shared" si="117"/>
        <v>0.45787302287208109</v>
      </c>
      <c r="AG44" s="177">
        <f t="shared" si="117"/>
        <v>0.45312640934864801</v>
      </c>
      <c r="AH44" s="177">
        <f t="shared" si="117"/>
        <v>0.44837605850720946</v>
      </c>
      <c r="AI44" s="177">
        <f t="shared" si="117"/>
        <v>0.4436342321219226</v>
      </c>
      <c r="AJ44" s="177">
        <f t="shared" si="117"/>
        <v>0.43891343054727228</v>
      </c>
      <c r="AK44" s="177">
        <f t="shared" si="117"/>
        <v>0.43422627846055767</v>
      </c>
      <c r="AL44" s="177">
        <f t="shared" si="117"/>
        <v>0.42958540374780962</v>
      </c>
      <c r="AM44" s="177">
        <f t="shared" si="117"/>
        <v>0.4250033115843545</v>
      </c>
      <c r="AN44" s="177">
        <f t="shared" si="117"/>
        <v>0.42049225601369994</v>
      </c>
      <c r="AO44" s="177">
        <f t="shared" si="117"/>
        <v>0.41606411152183703</v>
      </c>
      <c r="AP44" s="177">
        <f t="shared" si="117"/>
        <v>0.41173024722603774</v>
      </c>
      <c r="AQ44" s="177">
        <f t="shared" si="117"/>
        <v>0.4075014063379292</v>
      </c>
      <c r="AR44" s="177">
        <f t="shared" si="117"/>
        <v>0.40338759351350562</v>
      </c>
      <c r="AS44" s="177">
        <f t="shared" si="117"/>
        <v>0.39939797256524473</v>
      </c>
      <c r="AT44" s="177">
        <f t="shared" si="117"/>
        <v>0.39554077678544591</v>
      </c>
      <c r="AU44" s="177">
        <f t="shared" si="117"/>
        <v>0.39182323382164869</v>
      </c>
      <c r="AV44" s="177">
        <f t="shared" si="117"/>
        <v>0.38825150666523467</v>
      </c>
      <c r="AW44" s="177">
        <f t="shared" si="117"/>
        <v>0.38483065187765636</v>
      </c>
      <c r="AX44" s="178">
        <f t="shared" si="117"/>
        <v>0.38156459570290552</v>
      </c>
    </row>
    <row r="45" spans="1:50" ht="0.15" customHeight="1" x14ac:dyDescent="0.25">
      <c r="A45" s="247" t="str">
        <f>INDEX(F$906:F$1177,$D$122)</f>
        <v>Wind power plants</v>
      </c>
      <c r="B45" s="133" t="str">
        <f>INDEX(G$906:G$1177,$D$122)</f>
        <v>Onshore</v>
      </c>
      <c r="C45" s="133" t="str">
        <f>INDEX(H$906:H$1177,$D$122)</f>
        <v>Electricity only</v>
      </c>
      <c r="D45" s="133" t="str">
        <f>INDEX(I$906:I$1177,$D$122)</f>
        <v>S</v>
      </c>
      <c r="I45" s="133" t="str">
        <f t="shared" si="116"/>
        <v>Wind power plants / Onshore / Electricity only / S</v>
      </c>
      <c r="J45" s="177">
        <f t="shared" ref="J45:AX45" si="118">INDEX(J$906:J$1177,$D$122)</f>
        <v>0.59770105300245158</v>
      </c>
      <c r="K45" s="177">
        <f t="shared" si="118"/>
        <v>0.58836190294593227</v>
      </c>
      <c r="L45" s="177">
        <f t="shared" si="118"/>
        <v>0.58253653757022983</v>
      </c>
      <c r="M45" s="177">
        <f t="shared" si="118"/>
        <v>0.57676884907943549</v>
      </c>
      <c r="N45" s="177">
        <f t="shared" si="118"/>
        <v>0.57105826641528268</v>
      </c>
      <c r="O45" s="177">
        <f t="shared" si="118"/>
        <v>0.56540422417354719</v>
      </c>
      <c r="P45" s="177">
        <f t="shared" si="118"/>
        <v>0.55627916403276223</v>
      </c>
      <c r="Q45" s="177">
        <f t="shared" si="118"/>
        <v>0.54761035689901638</v>
      </c>
      <c r="R45" s="177">
        <f t="shared" si="118"/>
        <v>0.53951947024085367</v>
      </c>
      <c r="S45" s="177">
        <f t="shared" si="118"/>
        <v>0.53265697165614556</v>
      </c>
      <c r="T45" s="177">
        <f t="shared" si="118"/>
        <v>0.52738314025360933</v>
      </c>
      <c r="U45" s="177">
        <f t="shared" si="118"/>
        <v>0.52349414492995927</v>
      </c>
      <c r="V45" s="177">
        <f t="shared" si="118"/>
        <v>0.51946630998933085</v>
      </c>
      <c r="W45" s="177">
        <f t="shared" si="118"/>
        <v>0.51530363134239798</v>
      </c>
      <c r="X45" s="177">
        <f t="shared" si="118"/>
        <v>0.51101128811785257</v>
      </c>
      <c r="Y45" s="177">
        <f t="shared" si="118"/>
        <v>0.5065956986466319</v>
      </c>
      <c r="Z45" s="177">
        <f t="shared" si="118"/>
        <v>0.50206456240581443</v>
      </c>
      <c r="AA45" s="177">
        <f t="shared" si="118"/>
        <v>0.49742688502826282</v>
      </c>
      <c r="AB45" s="177">
        <f t="shared" si="118"/>
        <v>0.49269298355018148</v>
      </c>
      <c r="AC45" s="177">
        <f t="shared" si="118"/>
        <v>0.48787446925807476</v>
      </c>
      <c r="AD45" s="177">
        <f t="shared" si="118"/>
        <v>0.48298420582385898</v>
      </c>
      <c r="AE45" s="177">
        <f t="shared" si="118"/>
        <v>0.47803624089167907</v>
      </c>
      <c r="AF45" s="177">
        <f t="shared" si="118"/>
        <v>0.47304570990482075</v>
      </c>
      <c r="AG45" s="177">
        <f t="shared" si="118"/>
        <v>0.46802871172971927</v>
      </c>
      <c r="AH45" s="177">
        <f t="shared" si="118"/>
        <v>0.46300215652995297</v>
      </c>
      <c r="AI45" s="177">
        <f t="shared" si="118"/>
        <v>0.45798358733880423</v>
      </c>
      <c r="AJ45" s="177">
        <f t="shared" si="118"/>
        <v>0.45299097783592579</v>
      </c>
      <c r="AK45" s="177">
        <f t="shared" si="118"/>
        <v>0.44804250990330213</v>
      </c>
      <c r="AL45" s="177">
        <f t="shared" si="118"/>
        <v>0.44315633556144596</v>
      </c>
      <c r="AM45" s="177">
        <f t="shared" si="118"/>
        <v>0.43835032880720737</v>
      </c>
      <c r="AN45" s="177">
        <f t="shared" si="118"/>
        <v>0.43364183362757164</v>
      </c>
      <c r="AO45" s="177">
        <f t="shared" si="118"/>
        <v>0.42904741499137372</v>
      </c>
      <c r="AP45" s="177">
        <f t="shared" si="118"/>
        <v>0.42458261987419799</v>
      </c>
      <c r="AQ45" s="177">
        <f t="shared" si="118"/>
        <v>0.42026175531622467</v>
      </c>
      <c r="AR45" s="177">
        <f t="shared" si="118"/>
        <v>0.4160976901320475</v>
      </c>
      <c r="AS45" s="177">
        <f t="shared" si="118"/>
        <v>0.41210168619018445</v>
      </c>
      <c r="AT45" s="177">
        <f t="shared" si="118"/>
        <v>0.40828326418493699</v>
      </c>
      <c r="AU45" s="177">
        <f t="shared" si="118"/>
        <v>0.40465010758237663</v>
      </c>
      <c r="AV45" s="177">
        <f t="shared" si="118"/>
        <v>0.40120800700168896</v>
      </c>
      <c r="AW45" s="177">
        <f t="shared" si="118"/>
        <v>0.39796084577239854</v>
      </c>
      <c r="AX45" s="178">
        <f t="shared" si="118"/>
        <v>0.39491062587380549</v>
      </c>
    </row>
    <row r="46" spans="1:50" ht="0.15" customHeight="1" x14ac:dyDescent="0.25">
      <c r="A46" s="247" t="str">
        <f>INDEX(F$906:F$1177,$D$123)</f>
        <v>Wind power plants</v>
      </c>
      <c r="B46" s="133" t="str">
        <f>INDEX(G$906:G$1177,$D$123)</f>
        <v>Onshore</v>
      </c>
      <c r="C46" s="133" t="str">
        <f>INDEX(H$906:H$1177,$D$123)</f>
        <v>Electricity only</v>
      </c>
      <c r="D46" s="133" t="str">
        <f>INDEX(I$906:I$1177,$D$123)</f>
        <v>XS</v>
      </c>
      <c r="I46" s="133" t="str">
        <f t="shared" si="116"/>
        <v>Wind power plants / Onshore / Electricity only / XS</v>
      </c>
      <c r="J46" s="177">
        <f t="shared" ref="J46:AX46" si="119">INDEX(J$906:J$1177,$D$123)</f>
        <v>0.59805058578198511</v>
      </c>
      <c r="K46" s="177">
        <f t="shared" si="119"/>
        <v>0.59252024233164657</v>
      </c>
      <c r="L46" s="177">
        <f t="shared" si="119"/>
        <v>0.58781770072583983</v>
      </c>
      <c r="M46" s="177">
        <f t="shared" si="119"/>
        <v>0.58315248087880933</v>
      </c>
      <c r="N46" s="177">
        <f t="shared" si="119"/>
        <v>0.57852428658612021</v>
      </c>
      <c r="O46" s="177">
        <f t="shared" si="119"/>
        <v>0.5739328239941669</v>
      </c>
      <c r="P46" s="177">
        <f t="shared" si="119"/>
        <v>0.56949097592746156</v>
      </c>
      <c r="Q46" s="177">
        <f t="shared" si="119"/>
        <v>0.56385245141332818</v>
      </c>
      <c r="R46" s="177">
        <f t="shared" si="119"/>
        <v>0.55826975387458233</v>
      </c>
      <c r="S46" s="177">
        <f t="shared" si="119"/>
        <v>0.55274233056889355</v>
      </c>
      <c r="T46" s="177">
        <f t="shared" si="119"/>
        <v>0.54726963422662722</v>
      </c>
      <c r="U46" s="177">
        <f t="shared" si="119"/>
        <v>0.54447753501990404</v>
      </c>
      <c r="V46" s="177">
        <f t="shared" si="119"/>
        <v>0.54158575608817072</v>
      </c>
      <c r="W46" s="177">
        <f t="shared" si="119"/>
        <v>0.53859716629037291</v>
      </c>
      <c r="X46" s="177">
        <f t="shared" si="119"/>
        <v>0.53551548397531468</v>
      </c>
      <c r="Y46" s="177">
        <f t="shared" si="119"/>
        <v>0.53234531717546374</v>
      </c>
      <c r="Z46" s="177">
        <f t="shared" si="119"/>
        <v>0.52909219372051797</v>
      </c>
      <c r="AA46" s="177">
        <f t="shared" si="119"/>
        <v>0.52576257919304492</v>
      </c>
      <c r="AB46" s="177">
        <f t="shared" si="119"/>
        <v>0.52236388069596085</v>
      </c>
      <c r="AC46" s="177">
        <f t="shared" si="119"/>
        <v>0.51890443453752533</v>
      </c>
      <c r="AD46" s="177">
        <f t="shared" si="119"/>
        <v>0.5153934761744986</v>
      </c>
      <c r="AE46" s="177">
        <f t="shared" si="119"/>
        <v>0.51184109109498477</v>
      </c>
      <c r="AF46" s="177">
        <f t="shared" si="119"/>
        <v>0.50825814577108663</v>
      </c>
      <c r="AG46" s="177">
        <f t="shared" si="119"/>
        <v>0.50465619836332143</v>
      </c>
      <c r="AH46" s="177">
        <f t="shared" si="119"/>
        <v>0.50104738950195082</v>
      </c>
      <c r="AI46" s="177">
        <f t="shared" si="119"/>
        <v>0.49744431418522861</v>
      </c>
      <c r="AJ46" s="177">
        <f t="shared" si="119"/>
        <v>0.49385987659341835</v>
      </c>
      <c r="AK46" s="177">
        <f t="shared" si="119"/>
        <v>0.49030713038538093</v>
      </c>
      <c r="AL46" s="177">
        <f t="shared" si="119"/>
        <v>0.48679910778097135</v>
      </c>
      <c r="AM46" s="177">
        <f t="shared" si="119"/>
        <v>0.48334864139331291</v>
      </c>
      <c r="AN46" s="177">
        <f t="shared" si="119"/>
        <v>0.47996818331562563</v>
      </c>
      <c r="AO46" s="177">
        <f t="shared" si="119"/>
        <v>0.4766696263460477</v>
      </c>
      <c r="AP46" s="177">
        <f t="shared" si="119"/>
        <v>0.47346413241576768</v>
      </c>
      <c r="AQ46" s="177">
        <f t="shared" si="119"/>
        <v>0.4703619732459407</v>
      </c>
      <c r="AR46" s="177">
        <f t="shared" si="119"/>
        <v>0.46737238798550579</v>
      </c>
      <c r="AS46" s="177">
        <f t="shared" si="119"/>
        <v>0.46450346207852716</v>
      </c>
      <c r="AT46" s="177">
        <f t="shared" si="119"/>
        <v>0.46176203089527257</v>
      </c>
      <c r="AU46" s="177">
        <f t="shared" si="119"/>
        <v>0.45915361077035749</v>
      </c>
      <c r="AV46" s="177">
        <f t="shared" si="119"/>
        <v>0.4566823590714022</v>
      </c>
      <c r="AW46" s="177">
        <f t="shared" si="119"/>
        <v>0.45435106382986035</v>
      </c>
      <c r="AX46" s="178">
        <f t="shared" si="119"/>
        <v>0.45216116236420378</v>
      </c>
    </row>
    <row r="47" spans="1:50" ht="0.15" customHeight="1" x14ac:dyDescent="0.25">
      <c r="A47" s="137"/>
      <c r="I47" s="174" t="s">
        <v>54</v>
      </c>
      <c r="J47" s="192">
        <f t="shared" ref="J47:O47" si="120">MIN(J43:J46)</f>
        <v>0.56975381008206327</v>
      </c>
      <c r="K47" s="192">
        <f t="shared" si="120"/>
        <v>0.54206799531066818</v>
      </c>
      <c r="L47" s="192">
        <f t="shared" si="120"/>
        <v>0.52389917936694019</v>
      </c>
      <c r="M47" s="192">
        <f t="shared" si="120"/>
        <v>0.51221922626025795</v>
      </c>
      <c r="N47" s="192">
        <f t="shared" si="120"/>
        <v>0.50554466588511138</v>
      </c>
      <c r="O47" s="192">
        <f t="shared" si="120"/>
        <v>0.5005392731535756</v>
      </c>
      <c r="P47" s="192">
        <f t="shared" ref="P47" si="121">MIN(P43:P46)</f>
        <v>0.49247796638956781</v>
      </c>
      <c r="Q47" s="192">
        <f t="shared" ref="Q47" si="122">MIN(Q43:Q46)</f>
        <v>0.4871877338256877</v>
      </c>
      <c r="R47" s="192">
        <f t="shared" ref="R47" si="123">MIN(R43:R46)</f>
        <v>0.4837868700346219</v>
      </c>
      <c r="S47" s="192">
        <f t="shared" ref="S47" si="124">MIN(S43:S46)</f>
        <v>0.48123622219132262</v>
      </c>
      <c r="T47" s="192">
        <f t="shared" ref="T47" si="125">MIN(T43:T46)</f>
        <v>0.48038600624355615</v>
      </c>
      <c r="U47" s="192">
        <f t="shared" ref="U47" si="126">MIN(U43:U46)</f>
        <v>0.47616433129437591</v>
      </c>
      <c r="V47" s="192">
        <f t="shared" ref="V47" si="127">MIN(V43:V46)</f>
        <v>0.47186401676965617</v>
      </c>
      <c r="W47" s="192">
        <f t="shared" ref="W47" si="128">MIN(W43:W46)</f>
        <v>0.46748934726705527</v>
      </c>
      <c r="X47" s="192">
        <f t="shared" ref="X47" si="129">MIN(X43:X46)</f>
        <v>0.46304506339277107</v>
      </c>
      <c r="Y47" s="192">
        <f t="shared" ref="Y47" si="130">MIN(Y43:Y46)</f>
        <v>0.45853636002782461</v>
      </c>
      <c r="Z47" s="192">
        <f t="shared" ref="Z47" si="131">MIN(Z43:Z46)</f>
        <v>0.45396888043521377</v>
      </c>
      <c r="AA47" s="192">
        <f t="shared" ref="AA47" si="132">MIN(AA43:AA46)</f>
        <v>0.44934870592810067</v>
      </c>
      <c r="AB47" s="192">
        <f t="shared" ref="AB47" si="133">MIN(AB43:AB46)</f>
        <v>0.44468234086401204</v>
      </c>
      <c r="AC47" s="192">
        <f t="shared" ref="AC47" si="134">MIN(AC43:AC46)</f>
        <v>0.43997669278462703</v>
      </c>
      <c r="AD47" s="192">
        <f t="shared" ref="AD47" si="135">MIN(AD43:AD46)</f>
        <v>0.43523904758490495</v>
      </c>
      <c r="AE47" s="192">
        <f t="shared" ref="AE47" si="136">MIN(AE43:AE46)</f>
        <v>0.43047703966850964</v>
      </c>
      <c r="AF47" s="192">
        <f t="shared" ref="AF47" si="137">MIN(AF43:AF46)</f>
        <v>0.42569861712784046</v>
      </c>
      <c r="AG47" s="192">
        <f t="shared" ref="AG47" si="138">MIN(AG43:AG46)</f>
        <v>0.42091200207519081</v>
      </c>
      <c r="AH47" s="192">
        <f t="shared" ref="AH47" si="139">MIN(AH43:AH46)</f>
        <v>0.41612564634501142</v>
      </c>
      <c r="AI47" s="192">
        <f t="shared" ref="AI47" si="140">MIN(AI43:AI46)</f>
        <v>0.41134818288393898</v>
      </c>
      <c r="AJ47" s="192">
        <f t="shared" ref="AJ47" si="141">MIN(AJ43:AJ46)</f>
        <v>0.40658837324285474</v>
      </c>
      <c r="AK47" s="192">
        <f t="shared" ref="AK47" si="142">MIN(AK43:AK46)</f>
        <v>0.40185505168116548</v>
      </c>
      <c r="AL47" s="192">
        <f t="shared" ref="AL47" si="143">MIN(AL43:AL46)</f>
        <v>0.39715706648495708</v>
      </c>
      <c r="AM47" s="192">
        <f t="shared" ref="AM47" si="144">MIN(AM43:AM46)</f>
        <v>0.39250321918475989</v>
      </c>
      <c r="AN47" s="192">
        <f t="shared" ref="AN47" si="145">MIN(AN43:AN46)</f>
        <v>0.38790220243247298</v>
      </c>
      <c r="AO47" s="192">
        <f t="shared" ref="AO47" si="146">MIN(AO43:AO46)</f>
        <v>0.38336253735771636</v>
      </c>
      <c r="AP47" s="192">
        <f t="shared" ref="AP47" si="147">MIN(AP43:AP46)</f>
        <v>0.37889251126896217</v>
      </c>
      <c r="AQ47" s="192">
        <f t="shared" ref="AQ47" si="148">MIN(AQ43:AQ46)</f>
        <v>0.37450011659199728</v>
      </c>
      <c r="AR47" s="192">
        <f t="shared" ref="AR47" si="149">MIN(AR43:AR46)</f>
        <v>0.37019299194587751</v>
      </c>
      <c r="AS47" s="192">
        <f t="shared" ref="AS47" si="150">MIN(AS43:AS46)</f>
        <v>0.365978366243354</v>
      </c>
      <c r="AT47" s="192">
        <f t="shared" ref="AT47" si="151">MIN(AT43:AT46)</f>
        <v>0.36186300666828852</v>
      </c>
      <c r="AU47" s="192">
        <f t="shared" ref="AU47" si="152">MIN(AU43:AU46)</f>
        <v>0.35785317132702626</v>
      </c>
      <c r="AV47" s="192">
        <f t="shared" ref="AV47" si="153">MIN(AV43:AV46)</f>
        <v>0.35395456729500985</v>
      </c>
      <c r="AW47" s="192">
        <f t="shared" ref="AW47" si="154">MIN(AW43:AW46)</f>
        <v>0.35017231468577931</v>
      </c>
      <c r="AX47" s="193">
        <f t="shared" ref="AX47" si="155">MIN(AX43:AX46)</f>
        <v>0.34651091725928107</v>
      </c>
    </row>
    <row r="48" spans="1:50" ht="0.15" customHeight="1" x14ac:dyDescent="0.25">
      <c r="A48" s="137"/>
      <c r="I48" s="174" t="s">
        <v>55</v>
      </c>
      <c r="J48" s="192">
        <f t="shared" ref="J48:O48" si="156">MAX(J43:J46)</f>
        <v>0.59805058578198511</v>
      </c>
      <c r="K48" s="192">
        <f t="shared" si="156"/>
        <v>0.59252024233164657</v>
      </c>
      <c r="L48" s="192">
        <f t="shared" si="156"/>
        <v>0.58781770072583983</v>
      </c>
      <c r="M48" s="192">
        <f t="shared" si="156"/>
        <v>0.58315248087880933</v>
      </c>
      <c r="N48" s="192">
        <f t="shared" si="156"/>
        <v>0.57852428658612021</v>
      </c>
      <c r="O48" s="192">
        <f t="shared" si="156"/>
        <v>0.5739328239941669</v>
      </c>
      <c r="P48" s="192">
        <f t="shared" ref="P48:AX48" si="157">MAX(P43:P46)</f>
        <v>0.56949097592746156</v>
      </c>
      <c r="Q48" s="192">
        <f t="shared" si="157"/>
        <v>0.56385245141332818</v>
      </c>
      <c r="R48" s="192">
        <f t="shared" si="157"/>
        <v>0.55826975387458233</v>
      </c>
      <c r="S48" s="192">
        <f t="shared" si="157"/>
        <v>0.55274233056889355</v>
      </c>
      <c r="T48" s="192">
        <f t="shared" si="157"/>
        <v>0.54726963422662722</v>
      </c>
      <c r="U48" s="192">
        <f t="shared" si="157"/>
        <v>0.54447753501990404</v>
      </c>
      <c r="V48" s="192">
        <f t="shared" si="157"/>
        <v>0.54158575608817072</v>
      </c>
      <c r="W48" s="192">
        <f t="shared" si="157"/>
        <v>0.53859716629037291</v>
      </c>
      <c r="X48" s="192">
        <f t="shared" si="157"/>
        <v>0.53551548397531468</v>
      </c>
      <c r="Y48" s="192">
        <f t="shared" si="157"/>
        <v>0.53234531717546374</v>
      </c>
      <c r="Z48" s="192">
        <f t="shared" si="157"/>
        <v>0.52909219372051797</v>
      </c>
      <c r="AA48" s="192">
        <f t="shared" si="157"/>
        <v>0.52576257919304492</v>
      </c>
      <c r="AB48" s="192">
        <f t="shared" si="157"/>
        <v>0.52236388069596085</v>
      </c>
      <c r="AC48" s="192">
        <f t="shared" si="157"/>
        <v>0.51890443453752533</v>
      </c>
      <c r="AD48" s="192">
        <f t="shared" si="157"/>
        <v>0.5153934761744986</v>
      </c>
      <c r="AE48" s="192">
        <f t="shared" si="157"/>
        <v>0.51184109109498477</v>
      </c>
      <c r="AF48" s="192">
        <f t="shared" si="157"/>
        <v>0.50825814577108663</v>
      </c>
      <c r="AG48" s="192">
        <f t="shared" si="157"/>
        <v>0.50465619836332143</v>
      </c>
      <c r="AH48" s="192">
        <f t="shared" si="157"/>
        <v>0.50104738950195082</v>
      </c>
      <c r="AI48" s="192">
        <f t="shared" si="157"/>
        <v>0.49744431418522861</v>
      </c>
      <c r="AJ48" s="192">
        <f t="shared" si="157"/>
        <v>0.49385987659341835</v>
      </c>
      <c r="AK48" s="192">
        <f t="shared" si="157"/>
        <v>0.49030713038538093</v>
      </c>
      <c r="AL48" s="192">
        <f t="shared" si="157"/>
        <v>0.48679910778097135</v>
      </c>
      <c r="AM48" s="192">
        <f t="shared" si="157"/>
        <v>0.48334864139331291</v>
      </c>
      <c r="AN48" s="192">
        <f t="shared" si="157"/>
        <v>0.47996818331562563</v>
      </c>
      <c r="AO48" s="192">
        <f t="shared" si="157"/>
        <v>0.4766696263460477</v>
      </c>
      <c r="AP48" s="192">
        <f t="shared" si="157"/>
        <v>0.47346413241576768</v>
      </c>
      <c r="AQ48" s="192">
        <f t="shared" si="157"/>
        <v>0.4703619732459407</v>
      </c>
      <c r="AR48" s="192">
        <f t="shared" si="157"/>
        <v>0.46737238798550579</v>
      </c>
      <c r="AS48" s="192">
        <f t="shared" si="157"/>
        <v>0.46450346207852716</v>
      </c>
      <c r="AT48" s="192">
        <f t="shared" si="157"/>
        <v>0.46176203089527257</v>
      </c>
      <c r="AU48" s="192">
        <f t="shared" si="157"/>
        <v>0.45915361077035749</v>
      </c>
      <c r="AV48" s="192">
        <f t="shared" si="157"/>
        <v>0.4566823590714022</v>
      </c>
      <c r="AW48" s="192">
        <f t="shared" si="157"/>
        <v>0.45435106382986035</v>
      </c>
      <c r="AX48" s="193">
        <f t="shared" si="157"/>
        <v>0.45216116236420378</v>
      </c>
    </row>
    <row r="49" spans="1:50" ht="0.15" customHeight="1" x14ac:dyDescent="0.25">
      <c r="A49" s="248"/>
      <c r="B49" s="249"/>
      <c r="C49" s="249"/>
      <c r="D49" s="249"/>
      <c r="E49" s="249"/>
      <c r="F49" s="249"/>
      <c r="G49" s="249"/>
      <c r="H49" s="249"/>
      <c r="I49" s="250" t="s">
        <v>61</v>
      </c>
      <c r="J49" s="257">
        <f t="shared" ref="J49:O49" si="158">J48-J47</f>
        <v>2.8296775699921839E-2</v>
      </c>
      <c r="K49" s="257">
        <f t="shared" si="158"/>
        <v>5.0452247020978391E-2</v>
      </c>
      <c r="L49" s="257">
        <f t="shared" si="158"/>
        <v>6.3918521358899638E-2</v>
      </c>
      <c r="M49" s="257">
        <f t="shared" si="158"/>
        <v>7.0933254618551378E-2</v>
      </c>
      <c r="N49" s="257">
        <f t="shared" si="158"/>
        <v>7.2979620701008829E-2</v>
      </c>
      <c r="O49" s="257">
        <f t="shared" si="158"/>
        <v>7.3393550840591293E-2</v>
      </c>
      <c r="P49" s="257">
        <f t="shared" ref="P49" si="159">P48-P47</f>
        <v>7.7013009537893751E-2</v>
      </c>
      <c r="Q49" s="257">
        <f t="shared" ref="Q49" si="160">Q48-Q47</f>
        <v>7.6664717587640485E-2</v>
      </c>
      <c r="R49" s="257">
        <f t="shared" ref="R49" si="161">R48-R47</f>
        <v>7.4482883839960434E-2</v>
      </c>
      <c r="S49" s="257">
        <f t="shared" ref="S49" si="162">S48-S47</f>
        <v>7.1506108377570932E-2</v>
      </c>
      <c r="T49" s="257">
        <f t="shared" ref="T49" si="163">T48-T47</f>
        <v>6.688362798307107E-2</v>
      </c>
      <c r="U49" s="257">
        <f t="shared" ref="U49" si="164">U48-U47</f>
        <v>6.8313203725528127E-2</v>
      </c>
      <c r="V49" s="257">
        <f t="shared" ref="V49" si="165">V48-V47</f>
        <v>6.9721739318514553E-2</v>
      </c>
      <c r="W49" s="257">
        <f t="shared" ref="W49" si="166">W48-W47</f>
        <v>7.1107819023317642E-2</v>
      </c>
      <c r="X49" s="257">
        <f t="shared" ref="X49" si="167">X48-X47</f>
        <v>7.2470420582543604E-2</v>
      </c>
      <c r="Y49" s="257">
        <f t="shared" ref="Y49" si="168">Y48-Y47</f>
        <v>7.3808957147639132E-2</v>
      </c>
      <c r="Z49" s="257">
        <f t="shared" ref="Z49" si="169">Z48-Z47</f>
        <v>7.5123313285304194E-2</v>
      </c>
      <c r="AA49" s="257">
        <f t="shared" ref="AA49" si="170">AA48-AA47</f>
        <v>7.6413873264944254E-2</v>
      </c>
      <c r="AB49" s="257">
        <f t="shared" ref="AB49" si="171">AB48-AB47</f>
        <v>7.7681539831948809E-2</v>
      </c>
      <c r="AC49" s="257">
        <f t="shared" ref="AC49" si="172">AC48-AC47</f>
        <v>7.8927741752898295E-2</v>
      </c>
      <c r="AD49" s="257">
        <f t="shared" ref="AD49" si="173">AD48-AD47</f>
        <v>8.0154428589593651E-2</v>
      </c>
      <c r="AE49" s="257">
        <f t="shared" ref="AE49" si="174">AE48-AE47</f>
        <v>8.1364051426475126E-2</v>
      </c>
      <c r="AF49" s="257">
        <f t="shared" ref="AF49" si="175">AF48-AF47</f>
        <v>8.2559528643246172E-2</v>
      </c>
      <c r="AG49" s="257">
        <f t="shared" ref="AG49" si="176">AG48-AG47</f>
        <v>8.3744196288130623E-2</v>
      </c>
      <c r="AH49" s="257">
        <f t="shared" ref="AH49" si="177">AH48-AH47</f>
        <v>8.49217431569394E-2</v>
      </c>
      <c r="AI49" s="257">
        <f t="shared" ref="AI49" si="178">AI48-AI47</f>
        <v>8.6096131301289625E-2</v>
      </c>
      <c r="AJ49" s="257">
        <f t="shared" ref="AJ49" si="179">AJ48-AJ47</f>
        <v>8.7271503350563606E-2</v>
      </c>
      <c r="AK49" s="257">
        <f t="shared" ref="AK49" si="180">AK48-AK47</f>
        <v>8.8452078704215453E-2</v>
      </c>
      <c r="AL49" s="257">
        <f t="shared" ref="AL49" si="181">AL48-AL47</f>
        <v>8.9642041296014274E-2</v>
      </c>
      <c r="AM49" s="257">
        <f t="shared" ref="AM49" si="182">AM48-AM47</f>
        <v>9.0845422208553017E-2</v>
      </c>
      <c r="AN49" s="257">
        <f t="shared" ref="AN49" si="183">AN48-AN47</f>
        <v>9.2065980883152654E-2</v>
      </c>
      <c r="AO49" s="257">
        <f t="shared" ref="AO49" si="184">AO48-AO47</f>
        <v>9.3307088988331344E-2</v>
      </c>
      <c r="AP49" s="257">
        <f t="shared" ref="AP49" si="185">AP48-AP47</f>
        <v>9.4571621146805507E-2</v>
      </c>
      <c r="AQ49" s="257">
        <f t="shared" ref="AQ49" si="186">AQ48-AQ47</f>
        <v>9.5861856653943422E-2</v>
      </c>
      <c r="AR49" s="257">
        <f t="shared" ref="AR49" si="187">AR48-AR47</f>
        <v>9.7179396039628274E-2</v>
      </c>
      <c r="AS49" s="257">
        <f t="shared" ref="AS49" si="188">AS48-AS47</f>
        <v>9.852509583517316E-2</v>
      </c>
      <c r="AT49" s="257">
        <f t="shared" ref="AT49" si="189">AT48-AT47</f>
        <v>9.9899024226984046E-2</v>
      </c>
      <c r="AU49" s="257">
        <f t="shared" ref="AU49" si="190">AU48-AU47</f>
        <v>0.10130043944333122</v>
      </c>
      <c r="AV49" s="257">
        <f t="shared" ref="AV49" si="191">AV48-AV47</f>
        <v>0.10272779177639235</v>
      </c>
      <c r="AW49" s="257">
        <f t="shared" ref="AW49" si="192">AW48-AW47</f>
        <v>0.10417874914408104</v>
      </c>
      <c r="AX49" s="258">
        <f t="shared" ref="AX49" si="193">AX48-AX47</f>
        <v>0.10565024510492271</v>
      </c>
    </row>
    <row r="50" spans="1:50" ht="0.15" customHeight="1" x14ac:dyDescent="0.25">
      <c r="A50" s="253" t="str">
        <f>"LEFT "&amp;$J$1184</f>
        <v>LEFT CO2 emission related costs</v>
      </c>
      <c r="B50" s="254"/>
      <c r="C50" s="254"/>
      <c r="D50" s="254"/>
      <c r="E50" s="254"/>
      <c r="F50" s="254"/>
      <c r="G50" s="254"/>
      <c r="H50" s="254"/>
      <c r="I50" s="254"/>
      <c r="J50" s="255">
        <f t="shared" ref="J50:O50" si="194">J$1185</f>
        <v>2010</v>
      </c>
      <c r="K50" s="255">
        <f t="shared" si="194"/>
        <v>2011</v>
      </c>
      <c r="L50" s="255">
        <f t="shared" si="194"/>
        <v>2012</v>
      </c>
      <c r="M50" s="255">
        <f t="shared" si="194"/>
        <v>2013</v>
      </c>
      <c r="N50" s="255">
        <f t="shared" si="194"/>
        <v>2014</v>
      </c>
      <c r="O50" s="255">
        <f t="shared" si="194"/>
        <v>2015</v>
      </c>
      <c r="P50" s="255">
        <f t="shared" ref="P50:AX50" si="195">P$1185</f>
        <v>2016</v>
      </c>
      <c r="Q50" s="255">
        <f t="shared" si="195"/>
        <v>2017</v>
      </c>
      <c r="R50" s="255">
        <f t="shared" si="195"/>
        <v>2018</v>
      </c>
      <c r="S50" s="255">
        <f t="shared" si="195"/>
        <v>2019</v>
      </c>
      <c r="T50" s="255">
        <f t="shared" si="195"/>
        <v>2020</v>
      </c>
      <c r="U50" s="255">
        <f t="shared" si="195"/>
        <v>2021</v>
      </c>
      <c r="V50" s="255">
        <f t="shared" si="195"/>
        <v>2022</v>
      </c>
      <c r="W50" s="255">
        <f t="shared" si="195"/>
        <v>2023</v>
      </c>
      <c r="X50" s="255">
        <f t="shared" si="195"/>
        <v>2024</v>
      </c>
      <c r="Y50" s="255">
        <f t="shared" si="195"/>
        <v>2025</v>
      </c>
      <c r="Z50" s="255">
        <f t="shared" si="195"/>
        <v>2026</v>
      </c>
      <c r="AA50" s="255">
        <f t="shared" si="195"/>
        <v>2027</v>
      </c>
      <c r="AB50" s="255">
        <f t="shared" si="195"/>
        <v>2028</v>
      </c>
      <c r="AC50" s="255">
        <f t="shared" si="195"/>
        <v>2029</v>
      </c>
      <c r="AD50" s="255">
        <f t="shared" si="195"/>
        <v>2030</v>
      </c>
      <c r="AE50" s="255">
        <f t="shared" si="195"/>
        <v>2031</v>
      </c>
      <c r="AF50" s="255">
        <f t="shared" si="195"/>
        <v>2032</v>
      </c>
      <c r="AG50" s="255">
        <f t="shared" si="195"/>
        <v>2033</v>
      </c>
      <c r="AH50" s="255">
        <f t="shared" si="195"/>
        <v>2034</v>
      </c>
      <c r="AI50" s="255">
        <f t="shared" si="195"/>
        <v>2035</v>
      </c>
      <c r="AJ50" s="255">
        <f t="shared" si="195"/>
        <v>2036</v>
      </c>
      <c r="AK50" s="255">
        <f t="shared" si="195"/>
        <v>2037</v>
      </c>
      <c r="AL50" s="255">
        <f t="shared" si="195"/>
        <v>2038</v>
      </c>
      <c r="AM50" s="255">
        <f t="shared" si="195"/>
        <v>2039</v>
      </c>
      <c r="AN50" s="255">
        <f t="shared" si="195"/>
        <v>2040</v>
      </c>
      <c r="AO50" s="255">
        <f t="shared" si="195"/>
        <v>2041</v>
      </c>
      <c r="AP50" s="255">
        <f t="shared" si="195"/>
        <v>2042</v>
      </c>
      <c r="AQ50" s="255">
        <f t="shared" si="195"/>
        <v>2043</v>
      </c>
      <c r="AR50" s="255">
        <f t="shared" si="195"/>
        <v>2044</v>
      </c>
      <c r="AS50" s="255">
        <f t="shared" si="195"/>
        <v>2045</v>
      </c>
      <c r="AT50" s="255">
        <f t="shared" si="195"/>
        <v>2046</v>
      </c>
      <c r="AU50" s="255">
        <f t="shared" si="195"/>
        <v>2047</v>
      </c>
      <c r="AV50" s="255">
        <f t="shared" si="195"/>
        <v>2048</v>
      </c>
      <c r="AW50" s="255">
        <f t="shared" si="195"/>
        <v>2049</v>
      </c>
      <c r="AX50" s="256">
        <f t="shared" si="195"/>
        <v>2050</v>
      </c>
    </row>
    <row r="51" spans="1:50" ht="0.15" customHeight="1" x14ac:dyDescent="0.25">
      <c r="A51" s="247" t="str">
        <f>INDEX(F$1186:F$1457,$D$120)</f>
        <v>Wind power plants</v>
      </c>
      <c r="B51" s="133" t="str">
        <f>INDEX(G$1186:G$1457,$D$120)</f>
        <v>Onshore</v>
      </c>
      <c r="C51" s="133" t="str">
        <f>INDEX(H$1186:H$1457,$D$120)</f>
        <v>Electricity only</v>
      </c>
      <c r="D51" s="133" t="str">
        <f>INDEX(I$1186:I$1457,$D$120)</f>
        <v>L</v>
      </c>
      <c r="I51" s="133" t="str">
        <f>A51&amp;" / "&amp;B51&amp;" / "&amp;C51&amp;" / "&amp;D51</f>
        <v>Wind power plants / Onshore / Electricity only / L</v>
      </c>
      <c r="J51" s="186">
        <f t="shared" ref="J51:AX51" si="196">INDEX(J$1186:J$1457,$D$120)</f>
        <v>0</v>
      </c>
      <c r="K51" s="186">
        <f t="shared" si="196"/>
        <v>0</v>
      </c>
      <c r="L51" s="186">
        <f t="shared" si="196"/>
        <v>0</v>
      </c>
      <c r="M51" s="186">
        <f t="shared" si="196"/>
        <v>0</v>
      </c>
      <c r="N51" s="186">
        <f t="shared" si="196"/>
        <v>0</v>
      </c>
      <c r="O51" s="186">
        <f t="shared" si="196"/>
        <v>0</v>
      </c>
      <c r="P51" s="186">
        <f t="shared" si="196"/>
        <v>0</v>
      </c>
      <c r="Q51" s="186">
        <f t="shared" si="196"/>
        <v>0</v>
      </c>
      <c r="R51" s="186">
        <f t="shared" si="196"/>
        <v>0</v>
      </c>
      <c r="S51" s="186">
        <f t="shared" si="196"/>
        <v>0</v>
      </c>
      <c r="T51" s="186">
        <f t="shared" si="196"/>
        <v>0</v>
      </c>
      <c r="U51" s="186">
        <f t="shared" si="196"/>
        <v>0</v>
      </c>
      <c r="V51" s="186">
        <f t="shared" si="196"/>
        <v>0</v>
      </c>
      <c r="W51" s="186">
        <f t="shared" si="196"/>
        <v>0</v>
      </c>
      <c r="X51" s="186">
        <f t="shared" si="196"/>
        <v>0</v>
      </c>
      <c r="Y51" s="186">
        <f t="shared" si="196"/>
        <v>0</v>
      </c>
      <c r="Z51" s="186">
        <f t="shared" si="196"/>
        <v>0</v>
      </c>
      <c r="AA51" s="186">
        <f t="shared" si="196"/>
        <v>0</v>
      </c>
      <c r="AB51" s="186">
        <f t="shared" si="196"/>
        <v>0</v>
      </c>
      <c r="AC51" s="186">
        <f t="shared" si="196"/>
        <v>0</v>
      </c>
      <c r="AD51" s="186">
        <f t="shared" si="196"/>
        <v>0</v>
      </c>
      <c r="AE51" s="186">
        <f t="shared" si="196"/>
        <v>0</v>
      </c>
      <c r="AF51" s="186">
        <f t="shared" si="196"/>
        <v>0</v>
      </c>
      <c r="AG51" s="186">
        <f t="shared" si="196"/>
        <v>0</v>
      </c>
      <c r="AH51" s="186">
        <f t="shared" si="196"/>
        <v>0</v>
      </c>
      <c r="AI51" s="186">
        <f t="shared" si="196"/>
        <v>0</v>
      </c>
      <c r="AJ51" s="186">
        <f t="shared" si="196"/>
        <v>0</v>
      </c>
      <c r="AK51" s="186">
        <f t="shared" si="196"/>
        <v>0</v>
      </c>
      <c r="AL51" s="186">
        <f t="shared" si="196"/>
        <v>0</v>
      </c>
      <c r="AM51" s="186">
        <f t="shared" si="196"/>
        <v>0</v>
      </c>
      <c r="AN51" s="186">
        <f t="shared" si="196"/>
        <v>0</v>
      </c>
      <c r="AO51" s="186">
        <f t="shared" si="196"/>
        <v>0</v>
      </c>
      <c r="AP51" s="186">
        <f t="shared" si="196"/>
        <v>0</v>
      </c>
      <c r="AQ51" s="186">
        <f t="shared" si="196"/>
        <v>0</v>
      </c>
      <c r="AR51" s="186">
        <f t="shared" si="196"/>
        <v>0</v>
      </c>
      <c r="AS51" s="186">
        <f t="shared" si="196"/>
        <v>0</v>
      </c>
      <c r="AT51" s="186">
        <f t="shared" si="196"/>
        <v>0</v>
      </c>
      <c r="AU51" s="186">
        <f t="shared" si="196"/>
        <v>0</v>
      </c>
      <c r="AV51" s="186">
        <f t="shared" si="196"/>
        <v>0</v>
      </c>
      <c r="AW51" s="186">
        <f t="shared" si="196"/>
        <v>0</v>
      </c>
      <c r="AX51" s="187">
        <f t="shared" si="196"/>
        <v>0</v>
      </c>
    </row>
    <row r="52" spans="1:50" ht="0.15" customHeight="1" x14ac:dyDescent="0.25">
      <c r="A52" s="247" t="str">
        <f>INDEX(F$1186:F$1457,$D$121)</f>
        <v>Wind power plants</v>
      </c>
      <c r="B52" s="133" t="str">
        <f>INDEX(G$1186:G$1457,$D$121)</f>
        <v>Onshore</v>
      </c>
      <c r="C52" s="133" t="str">
        <f>INDEX(H$1186:H$1457,$D$121)</f>
        <v>Electricity only</v>
      </c>
      <c r="D52" s="133" t="str">
        <f>INDEX(I$1186:I$1457,$D$121)</f>
        <v>M</v>
      </c>
      <c r="I52" s="133" t="str">
        <f t="shared" ref="I52:I54" si="197">A52&amp;" / "&amp;B52&amp;" / "&amp;C52&amp;" / "&amp;D52</f>
        <v>Wind power plants / Onshore / Electricity only / M</v>
      </c>
      <c r="J52" s="186">
        <f t="shared" ref="J52:AX52" si="198">INDEX(J$1186:J$1457,$D$121)</f>
        <v>0</v>
      </c>
      <c r="K52" s="186">
        <f t="shared" si="198"/>
        <v>0</v>
      </c>
      <c r="L52" s="186">
        <f t="shared" si="198"/>
        <v>0</v>
      </c>
      <c r="M52" s="186">
        <f t="shared" si="198"/>
        <v>0</v>
      </c>
      <c r="N52" s="186">
        <f t="shared" si="198"/>
        <v>0</v>
      </c>
      <c r="O52" s="186">
        <f t="shared" si="198"/>
        <v>0</v>
      </c>
      <c r="P52" s="186">
        <f t="shared" si="198"/>
        <v>0</v>
      </c>
      <c r="Q52" s="186">
        <f t="shared" si="198"/>
        <v>0</v>
      </c>
      <c r="R52" s="186">
        <f t="shared" si="198"/>
        <v>0</v>
      </c>
      <c r="S52" s="186">
        <f t="shared" si="198"/>
        <v>0</v>
      </c>
      <c r="T52" s="186">
        <f t="shared" si="198"/>
        <v>0</v>
      </c>
      <c r="U52" s="186">
        <f t="shared" si="198"/>
        <v>0</v>
      </c>
      <c r="V52" s="186">
        <f t="shared" si="198"/>
        <v>0</v>
      </c>
      <c r="W52" s="186">
        <f t="shared" si="198"/>
        <v>0</v>
      </c>
      <c r="X52" s="186">
        <f t="shared" si="198"/>
        <v>0</v>
      </c>
      <c r="Y52" s="186">
        <f t="shared" si="198"/>
        <v>0</v>
      </c>
      <c r="Z52" s="186">
        <f t="shared" si="198"/>
        <v>0</v>
      </c>
      <c r="AA52" s="186">
        <f t="shared" si="198"/>
        <v>0</v>
      </c>
      <c r="AB52" s="186">
        <f t="shared" si="198"/>
        <v>0</v>
      </c>
      <c r="AC52" s="186">
        <f t="shared" si="198"/>
        <v>0</v>
      </c>
      <c r="AD52" s="186">
        <f t="shared" si="198"/>
        <v>0</v>
      </c>
      <c r="AE52" s="186">
        <f t="shared" si="198"/>
        <v>0</v>
      </c>
      <c r="AF52" s="186">
        <f t="shared" si="198"/>
        <v>0</v>
      </c>
      <c r="AG52" s="186">
        <f t="shared" si="198"/>
        <v>0</v>
      </c>
      <c r="AH52" s="186">
        <f t="shared" si="198"/>
        <v>0</v>
      </c>
      <c r="AI52" s="186">
        <f t="shared" si="198"/>
        <v>0</v>
      </c>
      <c r="AJ52" s="186">
        <f t="shared" si="198"/>
        <v>0</v>
      </c>
      <c r="AK52" s="186">
        <f t="shared" si="198"/>
        <v>0</v>
      </c>
      <c r="AL52" s="186">
        <f t="shared" si="198"/>
        <v>0</v>
      </c>
      <c r="AM52" s="186">
        <f t="shared" si="198"/>
        <v>0</v>
      </c>
      <c r="AN52" s="186">
        <f t="shared" si="198"/>
        <v>0</v>
      </c>
      <c r="AO52" s="186">
        <f t="shared" si="198"/>
        <v>0</v>
      </c>
      <c r="AP52" s="186">
        <f t="shared" si="198"/>
        <v>0</v>
      </c>
      <c r="AQ52" s="186">
        <f t="shared" si="198"/>
        <v>0</v>
      </c>
      <c r="AR52" s="186">
        <f t="shared" si="198"/>
        <v>0</v>
      </c>
      <c r="AS52" s="186">
        <f t="shared" si="198"/>
        <v>0</v>
      </c>
      <c r="AT52" s="186">
        <f t="shared" si="198"/>
        <v>0</v>
      </c>
      <c r="AU52" s="186">
        <f t="shared" si="198"/>
        <v>0</v>
      </c>
      <c r="AV52" s="186">
        <f t="shared" si="198"/>
        <v>0</v>
      </c>
      <c r="AW52" s="186">
        <f t="shared" si="198"/>
        <v>0</v>
      </c>
      <c r="AX52" s="187">
        <f t="shared" si="198"/>
        <v>0</v>
      </c>
    </row>
    <row r="53" spans="1:50" ht="0.15" customHeight="1" x14ac:dyDescent="0.25">
      <c r="A53" s="247" t="str">
        <f>INDEX(F$1186:F$1457,$D$122)</f>
        <v>Wind power plants</v>
      </c>
      <c r="B53" s="133" t="str">
        <f>INDEX(G$1186:G$1457,$D$122)</f>
        <v>Onshore</v>
      </c>
      <c r="C53" s="133" t="str">
        <f>INDEX(H$1186:H$1457,$D$122)</f>
        <v>Electricity only</v>
      </c>
      <c r="D53" s="133" t="str">
        <f>INDEX(I$1186:I$1457,$D$122)</f>
        <v>S</v>
      </c>
      <c r="I53" s="133" t="str">
        <f t="shared" si="197"/>
        <v>Wind power plants / Onshore / Electricity only / S</v>
      </c>
      <c r="J53" s="186">
        <f t="shared" ref="J53:AX53" si="199">INDEX(J$1186:J$1457,$D$122)</f>
        <v>0</v>
      </c>
      <c r="K53" s="186">
        <f t="shared" si="199"/>
        <v>0</v>
      </c>
      <c r="L53" s="186">
        <f t="shared" si="199"/>
        <v>0</v>
      </c>
      <c r="M53" s="186">
        <f t="shared" si="199"/>
        <v>0</v>
      </c>
      <c r="N53" s="186">
        <f t="shared" si="199"/>
        <v>0</v>
      </c>
      <c r="O53" s="186">
        <f t="shared" si="199"/>
        <v>0</v>
      </c>
      <c r="P53" s="186">
        <f t="shared" si="199"/>
        <v>0</v>
      </c>
      <c r="Q53" s="186">
        <f t="shared" si="199"/>
        <v>0</v>
      </c>
      <c r="R53" s="186">
        <f t="shared" si="199"/>
        <v>0</v>
      </c>
      <c r="S53" s="186">
        <f t="shared" si="199"/>
        <v>0</v>
      </c>
      <c r="T53" s="186">
        <f t="shared" si="199"/>
        <v>0</v>
      </c>
      <c r="U53" s="186">
        <f t="shared" si="199"/>
        <v>0</v>
      </c>
      <c r="V53" s="186">
        <f t="shared" si="199"/>
        <v>0</v>
      </c>
      <c r="W53" s="186">
        <f t="shared" si="199"/>
        <v>0</v>
      </c>
      <c r="X53" s="186">
        <f t="shared" si="199"/>
        <v>0</v>
      </c>
      <c r="Y53" s="186">
        <f t="shared" si="199"/>
        <v>0</v>
      </c>
      <c r="Z53" s="186">
        <f t="shared" si="199"/>
        <v>0</v>
      </c>
      <c r="AA53" s="186">
        <f t="shared" si="199"/>
        <v>0</v>
      </c>
      <c r="AB53" s="186">
        <f t="shared" si="199"/>
        <v>0</v>
      </c>
      <c r="AC53" s="186">
        <f t="shared" si="199"/>
        <v>0</v>
      </c>
      <c r="AD53" s="186">
        <f t="shared" si="199"/>
        <v>0</v>
      </c>
      <c r="AE53" s="186">
        <f t="shared" si="199"/>
        <v>0</v>
      </c>
      <c r="AF53" s="186">
        <f t="shared" si="199"/>
        <v>0</v>
      </c>
      <c r="AG53" s="186">
        <f t="shared" si="199"/>
        <v>0</v>
      </c>
      <c r="AH53" s="186">
        <f t="shared" si="199"/>
        <v>0</v>
      </c>
      <c r="AI53" s="186">
        <f t="shared" si="199"/>
        <v>0</v>
      </c>
      <c r="AJ53" s="186">
        <f t="shared" si="199"/>
        <v>0</v>
      </c>
      <c r="AK53" s="186">
        <f t="shared" si="199"/>
        <v>0</v>
      </c>
      <c r="AL53" s="186">
        <f t="shared" si="199"/>
        <v>0</v>
      </c>
      <c r="AM53" s="186">
        <f t="shared" si="199"/>
        <v>0</v>
      </c>
      <c r="AN53" s="186">
        <f t="shared" si="199"/>
        <v>0</v>
      </c>
      <c r="AO53" s="186">
        <f t="shared" si="199"/>
        <v>0</v>
      </c>
      <c r="AP53" s="186">
        <f t="shared" si="199"/>
        <v>0</v>
      </c>
      <c r="AQ53" s="186">
        <f t="shared" si="199"/>
        <v>0</v>
      </c>
      <c r="AR53" s="186">
        <f t="shared" si="199"/>
        <v>0</v>
      </c>
      <c r="AS53" s="186">
        <f t="shared" si="199"/>
        <v>0</v>
      </c>
      <c r="AT53" s="186">
        <f t="shared" si="199"/>
        <v>0</v>
      </c>
      <c r="AU53" s="186">
        <f t="shared" si="199"/>
        <v>0</v>
      </c>
      <c r="AV53" s="186">
        <f t="shared" si="199"/>
        <v>0</v>
      </c>
      <c r="AW53" s="186">
        <f t="shared" si="199"/>
        <v>0</v>
      </c>
      <c r="AX53" s="187">
        <f t="shared" si="199"/>
        <v>0</v>
      </c>
    </row>
    <row r="54" spans="1:50" ht="0.15" customHeight="1" x14ac:dyDescent="0.25">
      <c r="A54" s="247" t="str">
        <f>INDEX(F$1186:F$1457,$D$123)</f>
        <v>Wind power plants</v>
      </c>
      <c r="B54" s="133" t="str">
        <f>INDEX(G$1186:G$1457,$D$123)</f>
        <v>Onshore</v>
      </c>
      <c r="C54" s="133" t="str">
        <f>INDEX(H$1186:H$1457,$D$123)</f>
        <v>Electricity only</v>
      </c>
      <c r="D54" s="133" t="str">
        <f>INDEX(I$1186:I$1457,$D$123)</f>
        <v>XS</v>
      </c>
      <c r="I54" s="133" t="str">
        <f t="shared" si="197"/>
        <v>Wind power plants / Onshore / Electricity only / XS</v>
      </c>
      <c r="J54" s="186">
        <f t="shared" ref="J54:AX54" si="200">INDEX(J$1186:J$1457,$D$123)</f>
        <v>0</v>
      </c>
      <c r="K54" s="186">
        <f t="shared" si="200"/>
        <v>0</v>
      </c>
      <c r="L54" s="186">
        <f t="shared" si="200"/>
        <v>0</v>
      </c>
      <c r="M54" s="186">
        <f t="shared" si="200"/>
        <v>0</v>
      </c>
      <c r="N54" s="186">
        <f t="shared" si="200"/>
        <v>0</v>
      </c>
      <c r="O54" s="186">
        <f t="shared" si="200"/>
        <v>0</v>
      </c>
      <c r="P54" s="186">
        <f t="shared" si="200"/>
        <v>0</v>
      </c>
      <c r="Q54" s="186">
        <f t="shared" si="200"/>
        <v>0</v>
      </c>
      <c r="R54" s="186">
        <f t="shared" si="200"/>
        <v>0</v>
      </c>
      <c r="S54" s="186">
        <f t="shared" si="200"/>
        <v>0</v>
      </c>
      <c r="T54" s="186">
        <f t="shared" si="200"/>
        <v>0</v>
      </c>
      <c r="U54" s="186">
        <f t="shared" si="200"/>
        <v>0</v>
      </c>
      <c r="V54" s="186">
        <f t="shared" si="200"/>
        <v>0</v>
      </c>
      <c r="W54" s="186">
        <f t="shared" si="200"/>
        <v>0</v>
      </c>
      <c r="X54" s="186">
        <f t="shared" si="200"/>
        <v>0</v>
      </c>
      <c r="Y54" s="186">
        <f t="shared" si="200"/>
        <v>0</v>
      </c>
      <c r="Z54" s="186">
        <f t="shared" si="200"/>
        <v>0</v>
      </c>
      <c r="AA54" s="186">
        <f t="shared" si="200"/>
        <v>0</v>
      </c>
      <c r="AB54" s="186">
        <f t="shared" si="200"/>
        <v>0</v>
      </c>
      <c r="AC54" s="186">
        <f t="shared" si="200"/>
        <v>0</v>
      </c>
      <c r="AD54" s="186">
        <f t="shared" si="200"/>
        <v>0</v>
      </c>
      <c r="AE54" s="186">
        <f t="shared" si="200"/>
        <v>0</v>
      </c>
      <c r="AF54" s="186">
        <f t="shared" si="200"/>
        <v>0</v>
      </c>
      <c r="AG54" s="186">
        <f t="shared" si="200"/>
        <v>0</v>
      </c>
      <c r="AH54" s="186">
        <f t="shared" si="200"/>
        <v>0</v>
      </c>
      <c r="AI54" s="186">
        <f t="shared" si="200"/>
        <v>0</v>
      </c>
      <c r="AJ54" s="186">
        <f t="shared" si="200"/>
        <v>0</v>
      </c>
      <c r="AK54" s="186">
        <f t="shared" si="200"/>
        <v>0</v>
      </c>
      <c r="AL54" s="186">
        <f t="shared" si="200"/>
        <v>0</v>
      </c>
      <c r="AM54" s="186">
        <f t="shared" si="200"/>
        <v>0</v>
      </c>
      <c r="AN54" s="186">
        <f t="shared" si="200"/>
        <v>0</v>
      </c>
      <c r="AO54" s="186">
        <f t="shared" si="200"/>
        <v>0</v>
      </c>
      <c r="AP54" s="186">
        <f t="shared" si="200"/>
        <v>0</v>
      </c>
      <c r="AQ54" s="186">
        <f t="shared" si="200"/>
        <v>0</v>
      </c>
      <c r="AR54" s="186">
        <f t="shared" si="200"/>
        <v>0</v>
      </c>
      <c r="AS54" s="186">
        <f t="shared" si="200"/>
        <v>0</v>
      </c>
      <c r="AT54" s="186">
        <f t="shared" si="200"/>
        <v>0</v>
      </c>
      <c r="AU54" s="186">
        <f t="shared" si="200"/>
        <v>0</v>
      </c>
      <c r="AV54" s="186">
        <f t="shared" si="200"/>
        <v>0</v>
      </c>
      <c r="AW54" s="186">
        <f t="shared" si="200"/>
        <v>0</v>
      </c>
      <c r="AX54" s="187">
        <f t="shared" si="200"/>
        <v>0</v>
      </c>
    </row>
    <row r="55" spans="1:50" ht="0.15" customHeight="1" x14ac:dyDescent="0.25">
      <c r="A55" s="137"/>
      <c r="I55" s="174" t="s">
        <v>54</v>
      </c>
      <c r="J55" s="194">
        <f t="shared" ref="J55:O55" si="201">MIN(J51:J54)</f>
        <v>0</v>
      </c>
      <c r="K55" s="194">
        <f t="shared" si="201"/>
        <v>0</v>
      </c>
      <c r="L55" s="194">
        <f t="shared" si="201"/>
        <v>0</v>
      </c>
      <c r="M55" s="194">
        <f t="shared" si="201"/>
        <v>0</v>
      </c>
      <c r="N55" s="194">
        <f t="shared" si="201"/>
        <v>0</v>
      </c>
      <c r="O55" s="194">
        <f t="shared" si="201"/>
        <v>0</v>
      </c>
      <c r="P55" s="194">
        <f t="shared" ref="P55" si="202">MIN(P51:P54)</f>
        <v>0</v>
      </c>
      <c r="Q55" s="194">
        <f t="shared" ref="Q55" si="203">MIN(Q51:Q54)</f>
        <v>0</v>
      </c>
      <c r="R55" s="194">
        <f t="shared" ref="R55" si="204">MIN(R51:R54)</f>
        <v>0</v>
      </c>
      <c r="S55" s="194">
        <f t="shared" ref="S55" si="205">MIN(S51:S54)</f>
        <v>0</v>
      </c>
      <c r="T55" s="194">
        <f t="shared" ref="T55" si="206">MIN(T51:T54)</f>
        <v>0</v>
      </c>
      <c r="U55" s="194">
        <f t="shared" ref="U55" si="207">MIN(U51:U54)</f>
        <v>0</v>
      </c>
      <c r="V55" s="194">
        <f t="shared" ref="V55" si="208">MIN(V51:V54)</f>
        <v>0</v>
      </c>
      <c r="W55" s="194">
        <f t="shared" ref="W55" si="209">MIN(W51:W54)</f>
        <v>0</v>
      </c>
      <c r="X55" s="194">
        <f t="shared" ref="X55" si="210">MIN(X51:X54)</f>
        <v>0</v>
      </c>
      <c r="Y55" s="194">
        <f t="shared" ref="Y55" si="211">MIN(Y51:Y54)</f>
        <v>0</v>
      </c>
      <c r="Z55" s="194">
        <f t="shared" ref="Z55" si="212">MIN(Z51:Z54)</f>
        <v>0</v>
      </c>
      <c r="AA55" s="194">
        <f t="shared" ref="AA55" si="213">MIN(AA51:AA54)</f>
        <v>0</v>
      </c>
      <c r="AB55" s="194">
        <f t="shared" ref="AB55" si="214">MIN(AB51:AB54)</f>
        <v>0</v>
      </c>
      <c r="AC55" s="194">
        <f t="shared" ref="AC55" si="215">MIN(AC51:AC54)</f>
        <v>0</v>
      </c>
      <c r="AD55" s="194">
        <f t="shared" ref="AD55" si="216">MIN(AD51:AD54)</f>
        <v>0</v>
      </c>
      <c r="AE55" s="194">
        <f t="shared" ref="AE55" si="217">MIN(AE51:AE54)</f>
        <v>0</v>
      </c>
      <c r="AF55" s="194">
        <f t="shared" ref="AF55" si="218">MIN(AF51:AF54)</f>
        <v>0</v>
      </c>
      <c r="AG55" s="194">
        <f t="shared" ref="AG55" si="219">MIN(AG51:AG54)</f>
        <v>0</v>
      </c>
      <c r="AH55" s="194">
        <f t="shared" ref="AH55" si="220">MIN(AH51:AH54)</f>
        <v>0</v>
      </c>
      <c r="AI55" s="194">
        <f t="shared" ref="AI55" si="221">MIN(AI51:AI54)</f>
        <v>0</v>
      </c>
      <c r="AJ55" s="194">
        <f t="shared" ref="AJ55" si="222">MIN(AJ51:AJ54)</f>
        <v>0</v>
      </c>
      <c r="AK55" s="194">
        <f t="shared" ref="AK55" si="223">MIN(AK51:AK54)</f>
        <v>0</v>
      </c>
      <c r="AL55" s="194">
        <f t="shared" ref="AL55" si="224">MIN(AL51:AL54)</f>
        <v>0</v>
      </c>
      <c r="AM55" s="194">
        <f t="shared" ref="AM55" si="225">MIN(AM51:AM54)</f>
        <v>0</v>
      </c>
      <c r="AN55" s="194">
        <f t="shared" ref="AN55" si="226">MIN(AN51:AN54)</f>
        <v>0</v>
      </c>
      <c r="AO55" s="194">
        <f t="shared" ref="AO55" si="227">MIN(AO51:AO54)</f>
        <v>0</v>
      </c>
      <c r="AP55" s="194">
        <f t="shared" ref="AP55" si="228">MIN(AP51:AP54)</f>
        <v>0</v>
      </c>
      <c r="AQ55" s="194">
        <f t="shared" ref="AQ55" si="229">MIN(AQ51:AQ54)</f>
        <v>0</v>
      </c>
      <c r="AR55" s="194">
        <f t="shared" ref="AR55" si="230">MIN(AR51:AR54)</f>
        <v>0</v>
      </c>
      <c r="AS55" s="194">
        <f t="shared" ref="AS55" si="231">MIN(AS51:AS54)</f>
        <v>0</v>
      </c>
      <c r="AT55" s="194">
        <f t="shared" ref="AT55" si="232">MIN(AT51:AT54)</f>
        <v>0</v>
      </c>
      <c r="AU55" s="194">
        <f t="shared" ref="AU55" si="233">MIN(AU51:AU54)</f>
        <v>0</v>
      </c>
      <c r="AV55" s="194">
        <f t="shared" ref="AV55" si="234">MIN(AV51:AV54)</f>
        <v>0</v>
      </c>
      <c r="AW55" s="194">
        <f t="shared" ref="AW55" si="235">MIN(AW51:AW54)</f>
        <v>0</v>
      </c>
      <c r="AX55" s="195">
        <f t="shared" ref="AX55" si="236">MIN(AX51:AX54)</f>
        <v>0</v>
      </c>
    </row>
    <row r="56" spans="1:50" ht="0.15" customHeight="1" x14ac:dyDescent="0.25">
      <c r="A56" s="137"/>
      <c r="I56" s="174" t="s">
        <v>55</v>
      </c>
      <c r="J56" s="194">
        <f t="shared" ref="J56:O56" si="237">MAX(J51:J54)</f>
        <v>0</v>
      </c>
      <c r="K56" s="194">
        <f t="shared" si="237"/>
        <v>0</v>
      </c>
      <c r="L56" s="194">
        <f t="shared" si="237"/>
        <v>0</v>
      </c>
      <c r="M56" s="194">
        <f t="shared" si="237"/>
        <v>0</v>
      </c>
      <c r="N56" s="194">
        <f t="shared" si="237"/>
        <v>0</v>
      </c>
      <c r="O56" s="194">
        <f t="shared" si="237"/>
        <v>0</v>
      </c>
      <c r="P56" s="194">
        <f t="shared" ref="P56:AX56" si="238">MAX(P51:P54)</f>
        <v>0</v>
      </c>
      <c r="Q56" s="194">
        <f t="shared" si="238"/>
        <v>0</v>
      </c>
      <c r="R56" s="194">
        <f t="shared" si="238"/>
        <v>0</v>
      </c>
      <c r="S56" s="194">
        <f t="shared" si="238"/>
        <v>0</v>
      </c>
      <c r="T56" s="194">
        <f t="shared" si="238"/>
        <v>0</v>
      </c>
      <c r="U56" s="194">
        <f t="shared" si="238"/>
        <v>0</v>
      </c>
      <c r="V56" s="194">
        <f t="shared" si="238"/>
        <v>0</v>
      </c>
      <c r="W56" s="194">
        <f t="shared" si="238"/>
        <v>0</v>
      </c>
      <c r="X56" s="194">
        <f t="shared" si="238"/>
        <v>0</v>
      </c>
      <c r="Y56" s="194">
        <f t="shared" si="238"/>
        <v>0</v>
      </c>
      <c r="Z56" s="194">
        <f t="shared" si="238"/>
        <v>0</v>
      </c>
      <c r="AA56" s="194">
        <f t="shared" si="238"/>
        <v>0</v>
      </c>
      <c r="AB56" s="194">
        <f t="shared" si="238"/>
        <v>0</v>
      </c>
      <c r="AC56" s="194">
        <f t="shared" si="238"/>
        <v>0</v>
      </c>
      <c r="AD56" s="194">
        <f t="shared" si="238"/>
        <v>0</v>
      </c>
      <c r="AE56" s="194">
        <f t="shared" si="238"/>
        <v>0</v>
      </c>
      <c r="AF56" s="194">
        <f t="shared" si="238"/>
        <v>0</v>
      </c>
      <c r="AG56" s="194">
        <f t="shared" si="238"/>
        <v>0</v>
      </c>
      <c r="AH56" s="194">
        <f t="shared" si="238"/>
        <v>0</v>
      </c>
      <c r="AI56" s="194">
        <f t="shared" si="238"/>
        <v>0</v>
      </c>
      <c r="AJ56" s="194">
        <f t="shared" si="238"/>
        <v>0</v>
      </c>
      <c r="AK56" s="194">
        <f t="shared" si="238"/>
        <v>0</v>
      </c>
      <c r="AL56" s="194">
        <f t="shared" si="238"/>
        <v>0</v>
      </c>
      <c r="AM56" s="194">
        <f t="shared" si="238"/>
        <v>0</v>
      </c>
      <c r="AN56" s="194">
        <f t="shared" si="238"/>
        <v>0</v>
      </c>
      <c r="AO56" s="194">
        <f t="shared" si="238"/>
        <v>0</v>
      </c>
      <c r="AP56" s="194">
        <f t="shared" si="238"/>
        <v>0</v>
      </c>
      <c r="AQ56" s="194">
        <f t="shared" si="238"/>
        <v>0</v>
      </c>
      <c r="AR56" s="194">
        <f t="shared" si="238"/>
        <v>0</v>
      </c>
      <c r="AS56" s="194">
        <f t="shared" si="238"/>
        <v>0</v>
      </c>
      <c r="AT56" s="194">
        <f t="shared" si="238"/>
        <v>0</v>
      </c>
      <c r="AU56" s="194">
        <f t="shared" si="238"/>
        <v>0</v>
      </c>
      <c r="AV56" s="194">
        <f t="shared" si="238"/>
        <v>0</v>
      </c>
      <c r="AW56" s="194">
        <f t="shared" si="238"/>
        <v>0</v>
      </c>
      <c r="AX56" s="195">
        <f t="shared" si="238"/>
        <v>0</v>
      </c>
    </row>
    <row r="57" spans="1:50" ht="0.15" customHeight="1" x14ac:dyDescent="0.25">
      <c r="A57" s="248"/>
      <c r="B57" s="249"/>
      <c r="C57" s="249"/>
      <c r="D57" s="249"/>
      <c r="E57" s="249"/>
      <c r="F57" s="249"/>
      <c r="G57" s="249"/>
      <c r="H57" s="249"/>
      <c r="I57" s="250" t="s">
        <v>61</v>
      </c>
      <c r="J57" s="259">
        <f t="shared" ref="J57:O57" si="239">J56-J55</f>
        <v>0</v>
      </c>
      <c r="K57" s="259">
        <f t="shared" si="239"/>
        <v>0</v>
      </c>
      <c r="L57" s="259">
        <f t="shared" si="239"/>
        <v>0</v>
      </c>
      <c r="M57" s="259">
        <f t="shared" si="239"/>
        <v>0</v>
      </c>
      <c r="N57" s="259">
        <f t="shared" si="239"/>
        <v>0</v>
      </c>
      <c r="O57" s="259">
        <f t="shared" si="239"/>
        <v>0</v>
      </c>
      <c r="P57" s="259">
        <f t="shared" ref="P57" si="240">P56-P55</f>
        <v>0</v>
      </c>
      <c r="Q57" s="259">
        <f t="shared" ref="Q57" si="241">Q56-Q55</f>
        <v>0</v>
      </c>
      <c r="R57" s="259">
        <f t="shared" ref="R57" si="242">R56-R55</f>
        <v>0</v>
      </c>
      <c r="S57" s="259">
        <f t="shared" ref="S57" si="243">S56-S55</f>
        <v>0</v>
      </c>
      <c r="T57" s="259">
        <f t="shared" ref="T57" si="244">T56-T55</f>
        <v>0</v>
      </c>
      <c r="U57" s="259">
        <f t="shared" ref="U57" si="245">U56-U55</f>
        <v>0</v>
      </c>
      <c r="V57" s="259">
        <f t="shared" ref="V57" si="246">V56-V55</f>
        <v>0</v>
      </c>
      <c r="W57" s="259">
        <f t="shared" ref="W57" si="247">W56-W55</f>
        <v>0</v>
      </c>
      <c r="X57" s="259">
        <f t="shared" ref="X57" si="248">X56-X55</f>
        <v>0</v>
      </c>
      <c r="Y57" s="259">
        <f t="shared" ref="Y57" si="249">Y56-Y55</f>
        <v>0</v>
      </c>
      <c r="Z57" s="259">
        <f t="shared" ref="Z57" si="250">Z56-Z55</f>
        <v>0</v>
      </c>
      <c r="AA57" s="259">
        <f t="shared" ref="AA57" si="251">AA56-AA55</f>
        <v>0</v>
      </c>
      <c r="AB57" s="259">
        <f t="shared" ref="AB57" si="252">AB56-AB55</f>
        <v>0</v>
      </c>
      <c r="AC57" s="259">
        <f t="shared" ref="AC57" si="253">AC56-AC55</f>
        <v>0</v>
      </c>
      <c r="AD57" s="259">
        <f t="shared" ref="AD57" si="254">AD56-AD55</f>
        <v>0</v>
      </c>
      <c r="AE57" s="259">
        <f t="shared" ref="AE57" si="255">AE56-AE55</f>
        <v>0</v>
      </c>
      <c r="AF57" s="259">
        <f t="shared" ref="AF57" si="256">AF56-AF55</f>
        <v>0</v>
      </c>
      <c r="AG57" s="259">
        <f t="shared" ref="AG57" si="257">AG56-AG55</f>
        <v>0</v>
      </c>
      <c r="AH57" s="259">
        <f t="shared" ref="AH57" si="258">AH56-AH55</f>
        <v>0</v>
      </c>
      <c r="AI57" s="259">
        <f t="shared" ref="AI57" si="259">AI56-AI55</f>
        <v>0</v>
      </c>
      <c r="AJ57" s="259">
        <f t="shared" ref="AJ57" si="260">AJ56-AJ55</f>
        <v>0</v>
      </c>
      <c r="AK57" s="259">
        <f t="shared" ref="AK57" si="261">AK56-AK55</f>
        <v>0</v>
      </c>
      <c r="AL57" s="259">
        <f t="shared" ref="AL57" si="262">AL56-AL55</f>
        <v>0</v>
      </c>
      <c r="AM57" s="259">
        <f t="shared" ref="AM57" si="263">AM56-AM55</f>
        <v>0</v>
      </c>
      <c r="AN57" s="259">
        <f t="shared" ref="AN57" si="264">AN56-AN55</f>
        <v>0</v>
      </c>
      <c r="AO57" s="259">
        <f t="shared" ref="AO57" si="265">AO56-AO55</f>
        <v>0</v>
      </c>
      <c r="AP57" s="259">
        <f t="shared" ref="AP57" si="266">AP56-AP55</f>
        <v>0</v>
      </c>
      <c r="AQ57" s="259">
        <f t="shared" ref="AQ57" si="267">AQ56-AQ55</f>
        <v>0</v>
      </c>
      <c r="AR57" s="259">
        <f t="shared" ref="AR57" si="268">AR56-AR55</f>
        <v>0</v>
      </c>
      <c r="AS57" s="259">
        <f t="shared" ref="AS57" si="269">AS56-AS55</f>
        <v>0</v>
      </c>
      <c r="AT57" s="259">
        <f t="shared" ref="AT57" si="270">AT56-AT55</f>
        <v>0</v>
      </c>
      <c r="AU57" s="259">
        <f t="shared" ref="AU57" si="271">AU56-AU55</f>
        <v>0</v>
      </c>
      <c r="AV57" s="259">
        <f t="shared" ref="AV57" si="272">AV56-AV55</f>
        <v>0</v>
      </c>
      <c r="AW57" s="259">
        <f t="shared" ref="AW57" si="273">AW56-AW55</f>
        <v>0</v>
      </c>
      <c r="AX57" s="260">
        <f t="shared" ref="AX57" si="274">AX56-AX55</f>
        <v>0</v>
      </c>
    </row>
    <row r="58" spans="1:50" ht="0.15" customHeight="1" x14ac:dyDescent="0.25">
      <c r="A58" s="246" t="s">
        <v>85</v>
      </c>
      <c r="B58" s="140"/>
      <c r="C58" s="140"/>
      <c r="D58" s="140"/>
      <c r="E58" s="140"/>
      <c r="F58" s="140"/>
      <c r="G58" s="140"/>
      <c r="H58" s="140"/>
      <c r="I58" s="140"/>
      <c r="J58" s="140">
        <f t="shared" ref="J58:O58" si="275">J16-J15</f>
        <v>2350</v>
      </c>
      <c r="K58" s="140">
        <f t="shared" si="275"/>
        <v>2350</v>
      </c>
      <c r="L58" s="140">
        <f t="shared" si="275"/>
        <v>2350</v>
      </c>
      <c r="M58" s="140">
        <f t="shared" si="275"/>
        <v>2350</v>
      </c>
      <c r="N58" s="140">
        <f t="shared" si="275"/>
        <v>2350</v>
      </c>
      <c r="O58" s="140">
        <f t="shared" si="275"/>
        <v>2350</v>
      </c>
      <c r="P58" s="140">
        <f t="shared" ref="P58:AX58" si="276">P16-P15</f>
        <v>2350</v>
      </c>
      <c r="Q58" s="140">
        <f t="shared" si="276"/>
        <v>2350</v>
      </c>
      <c r="R58" s="140">
        <f t="shared" si="276"/>
        <v>2350</v>
      </c>
      <c r="S58" s="140">
        <f t="shared" si="276"/>
        <v>2350</v>
      </c>
      <c r="T58" s="140">
        <f t="shared" si="276"/>
        <v>2350</v>
      </c>
      <c r="U58" s="140">
        <f t="shared" si="276"/>
        <v>2350</v>
      </c>
      <c r="V58" s="140">
        <f t="shared" si="276"/>
        <v>2350</v>
      </c>
      <c r="W58" s="140">
        <f t="shared" si="276"/>
        <v>2350</v>
      </c>
      <c r="X58" s="140">
        <f t="shared" si="276"/>
        <v>2350</v>
      </c>
      <c r="Y58" s="140">
        <f t="shared" si="276"/>
        <v>2350</v>
      </c>
      <c r="Z58" s="140">
        <f t="shared" si="276"/>
        <v>2350</v>
      </c>
      <c r="AA58" s="140">
        <f t="shared" si="276"/>
        <v>2350</v>
      </c>
      <c r="AB58" s="140">
        <f t="shared" si="276"/>
        <v>2350</v>
      </c>
      <c r="AC58" s="140">
        <f t="shared" si="276"/>
        <v>2350</v>
      </c>
      <c r="AD58" s="140">
        <f t="shared" si="276"/>
        <v>2350</v>
      </c>
      <c r="AE58" s="140">
        <f t="shared" si="276"/>
        <v>2350</v>
      </c>
      <c r="AF58" s="140">
        <f t="shared" si="276"/>
        <v>2350</v>
      </c>
      <c r="AG58" s="140">
        <f t="shared" si="276"/>
        <v>2350</v>
      </c>
      <c r="AH58" s="140">
        <f t="shared" si="276"/>
        <v>2350</v>
      </c>
      <c r="AI58" s="140">
        <f t="shared" si="276"/>
        <v>2350</v>
      </c>
      <c r="AJ58" s="140">
        <f t="shared" si="276"/>
        <v>2350</v>
      </c>
      <c r="AK58" s="140">
        <f t="shared" si="276"/>
        <v>2350</v>
      </c>
      <c r="AL58" s="140">
        <f t="shared" si="276"/>
        <v>2350</v>
      </c>
      <c r="AM58" s="140">
        <f t="shared" si="276"/>
        <v>2350</v>
      </c>
      <c r="AN58" s="140">
        <f t="shared" si="276"/>
        <v>2350</v>
      </c>
      <c r="AO58" s="140">
        <f t="shared" si="276"/>
        <v>2350</v>
      </c>
      <c r="AP58" s="140">
        <f t="shared" si="276"/>
        <v>2350</v>
      </c>
      <c r="AQ58" s="140">
        <f t="shared" si="276"/>
        <v>2350</v>
      </c>
      <c r="AR58" s="140">
        <f t="shared" si="276"/>
        <v>2350</v>
      </c>
      <c r="AS58" s="140">
        <f t="shared" si="276"/>
        <v>2350</v>
      </c>
      <c r="AT58" s="140">
        <f t="shared" si="276"/>
        <v>2350</v>
      </c>
      <c r="AU58" s="140">
        <f t="shared" si="276"/>
        <v>2350</v>
      </c>
      <c r="AV58" s="140">
        <f t="shared" si="276"/>
        <v>2350</v>
      </c>
      <c r="AW58" s="140">
        <f t="shared" si="276"/>
        <v>2350</v>
      </c>
      <c r="AX58" s="141">
        <f t="shared" si="276"/>
        <v>2350</v>
      </c>
    </row>
    <row r="59" spans="1:50" ht="0.15" customHeight="1" x14ac:dyDescent="0.25">
      <c r="A59" s="134" t="str">
        <f>"RIGHT "&amp;$J$344</f>
        <v>RIGHT Levelized costs (€2010 / MWh net)</v>
      </c>
      <c r="B59" s="135"/>
      <c r="C59" s="135"/>
      <c r="D59" s="135"/>
      <c r="E59" s="135"/>
      <c r="F59" s="135"/>
      <c r="G59" s="135"/>
      <c r="H59" s="135"/>
      <c r="I59" s="135"/>
      <c r="J59" s="175">
        <f t="shared" ref="J59:AX59" si="277">J$345</f>
        <v>2010</v>
      </c>
      <c r="K59" s="175">
        <f t="shared" si="277"/>
        <v>2011</v>
      </c>
      <c r="L59" s="175">
        <f t="shared" si="277"/>
        <v>2012</v>
      </c>
      <c r="M59" s="175">
        <f t="shared" si="277"/>
        <v>2013</v>
      </c>
      <c r="N59" s="175">
        <f t="shared" si="277"/>
        <v>2014</v>
      </c>
      <c r="O59" s="175">
        <f t="shared" si="277"/>
        <v>2015</v>
      </c>
      <c r="P59" s="175">
        <f t="shared" si="277"/>
        <v>2016</v>
      </c>
      <c r="Q59" s="175">
        <f t="shared" si="277"/>
        <v>2017</v>
      </c>
      <c r="R59" s="175">
        <f t="shared" si="277"/>
        <v>2018</v>
      </c>
      <c r="S59" s="175">
        <f t="shared" si="277"/>
        <v>2019</v>
      </c>
      <c r="T59" s="175">
        <f t="shared" si="277"/>
        <v>2020</v>
      </c>
      <c r="U59" s="175">
        <f t="shared" si="277"/>
        <v>2021</v>
      </c>
      <c r="V59" s="175">
        <f t="shared" si="277"/>
        <v>2022</v>
      </c>
      <c r="W59" s="175">
        <f t="shared" si="277"/>
        <v>2023</v>
      </c>
      <c r="X59" s="175">
        <f t="shared" si="277"/>
        <v>2024</v>
      </c>
      <c r="Y59" s="175">
        <f t="shared" si="277"/>
        <v>2025</v>
      </c>
      <c r="Z59" s="175">
        <f t="shared" si="277"/>
        <v>2026</v>
      </c>
      <c r="AA59" s="175">
        <f t="shared" si="277"/>
        <v>2027</v>
      </c>
      <c r="AB59" s="175">
        <f t="shared" si="277"/>
        <v>2028</v>
      </c>
      <c r="AC59" s="175">
        <f t="shared" si="277"/>
        <v>2029</v>
      </c>
      <c r="AD59" s="175">
        <f t="shared" si="277"/>
        <v>2030</v>
      </c>
      <c r="AE59" s="175">
        <f t="shared" si="277"/>
        <v>2031</v>
      </c>
      <c r="AF59" s="175">
        <f t="shared" si="277"/>
        <v>2032</v>
      </c>
      <c r="AG59" s="175">
        <f t="shared" si="277"/>
        <v>2033</v>
      </c>
      <c r="AH59" s="175">
        <f t="shared" si="277"/>
        <v>2034</v>
      </c>
      <c r="AI59" s="175">
        <f t="shared" si="277"/>
        <v>2035</v>
      </c>
      <c r="AJ59" s="175">
        <f t="shared" si="277"/>
        <v>2036</v>
      </c>
      <c r="AK59" s="175">
        <f t="shared" si="277"/>
        <v>2037</v>
      </c>
      <c r="AL59" s="175">
        <f t="shared" si="277"/>
        <v>2038</v>
      </c>
      <c r="AM59" s="175">
        <f t="shared" si="277"/>
        <v>2039</v>
      </c>
      <c r="AN59" s="175">
        <f t="shared" si="277"/>
        <v>2040</v>
      </c>
      <c r="AO59" s="175">
        <f t="shared" si="277"/>
        <v>2041</v>
      </c>
      <c r="AP59" s="175">
        <f t="shared" si="277"/>
        <v>2042</v>
      </c>
      <c r="AQ59" s="175">
        <f t="shared" si="277"/>
        <v>2043</v>
      </c>
      <c r="AR59" s="175">
        <f t="shared" si="277"/>
        <v>2044</v>
      </c>
      <c r="AS59" s="175">
        <f t="shared" si="277"/>
        <v>2045</v>
      </c>
      <c r="AT59" s="175">
        <f t="shared" si="277"/>
        <v>2046</v>
      </c>
      <c r="AU59" s="175">
        <f t="shared" si="277"/>
        <v>2047</v>
      </c>
      <c r="AV59" s="175">
        <f t="shared" si="277"/>
        <v>2048</v>
      </c>
      <c r="AW59" s="175">
        <f t="shared" si="277"/>
        <v>2049</v>
      </c>
      <c r="AX59" s="176">
        <f t="shared" si="277"/>
        <v>2050</v>
      </c>
    </row>
    <row r="60" spans="1:50" ht="0.15" customHeight="1" x14ac:dyDescent="0.25">
      <c r="A60" s="247" t="str">
        <f>INDEX(F$346:F$617,$D$140)</f>
        <v>Wind power plants</v>
      </c>
      <c r="B60" s="133" t="str">
        <f>INDEX(G$346:G$617,$D$140)</f>
        <v>Onshore</v>
      </c>
      <c r="C60" s="133" t="str">
        <f>INDEX(H$346:H$617,$D$140)</f>
        <v>Electricity only</v>
      </c>
      <c r="D60" s="133" t="str">
        <f>INDEX(I$346:I$617,$D$140)</f>
        <v>L</v>
      </c>
      <c r="I60" s="133" t="str">
        <f>A60&amp;" / "&amp;B60&amp;" / "&amp;C60&amp;" / "&amp;D60</f>
        <v>Wind power plants / Onshore / Electricity only / L</v>
      </c>
      <c r="J60" s="182">
        <f t="shared" ref="J60:AX60" si="278">INDEX(J$346:J$617,$D$140)</f>
        <v>36.793907559603021</v>
      </c>
      <c r="K60" s="182">
        <f t="shared" si="278"/>
        <v>35.005996199669717</v>
      </c>
      <c r="L60" s="182">
        <f t="shared" si="278"/>
        <v>33.832679369713496</v>
      </c>
      <c r="M60" s="182">
        <f t="shared" si="278"/>
        <v>33.078404264741629</v>
      </c>
      <c r="N60" s="182">
        <f t="shared" si="278"/>
        <v>32.647370451367465</v>
      </c>
      <c r="O60" s="182">
        <f t="shared" si="278"/>
        <v>32.324129159769761</v>
      </c>
      <c r="P60" s="182">
        <f t="shared" si="278"/>
        <v>31.803541195923092</v>
      </c>
      <c r="Q60" s="182">
        <f t="shared" si="278"/>
        <v>31.461905344648713</v>
      </c>
      <c r="R60" s="182">
        <f t="shared" si="278"/>
        <v>31.242282297400898</v>
      </c>
      <c r="S60" s="182">
        <f t="shared" si="278"/>
        <v>31.077565011965039</v>
      </c>
      <c r="T60" s="182">
        <f t="shared" si="278"/>
        <v>31.02265925015308</v>
      </c>
      <c r="U60" s="182">
        <f t="shared" si="278"/>
        <v>30.75002936145702</v>
      </c>
      <c r="V60" s="182">
        <f t="shared" si="278"/>
        <v>30.472321038493874</v>
      </c>
      <c r="W60" s="182">
        <f t="shared" si="278"/>
        <v>30.189810974613245</v>
      </c>
      <c r="X60" s="182">
        <f t="shared" si="278"/>
        <v>29.90280531156117</v>
      </c>
      <c r="Y60" s="182">
        <f t="shared" si="278"/>
        <v>29.611639527519088</v>
      </c>
      <c r="Z60" s="182">
        <f t="shared" si="278"/>
        <v>29.316678056552021</v>
      </c>
      <c r="AA60" s="182">
        <f t="shared" si="278"/>
        <v>29.018313621394547</v>
      </c>
      <c r="AB60" s="182">
        <f t="shared" si="278"/>
        <v>28.716966264397129</v>
      </c>
      <c r="AC60" s="182">
        <f t="shared" si="278"/>
        <v>28.413082064981278</v>
      </c>
      <c r="AD60" s="182">
        <f t="shared" si="278"/>
        <v>28.107131536096425</v>
      </c>
      <c r="AE60" s="182">
        <f t="shared" si="278"/>
        <v>27.799607696898732</v>
      </c>
      <c r="AF60" s="182">
        <f t="shared" si="278"/>
        <v>27.491023824126064</v>
      </c>
      <c r="AG60" s="182">
        <f t="shared" si="278"/>
        <v>27.181910890339406</v>
      </c>
      <c r="AH60" s="182">
        <f t="shared" si="278"/>
        <v>26.872814703236713</v>
      </c>
      <c r="AI60" s="182">
        <f t="shared" si="278"/>
        <v>26.564292766488695</v>
      </c>
      <c r="AJ60" s="182">
        <f t="shared" si="278"/>
        <v>26.256910888849063</v>
      </c>
      <c r="AK60" s="182">
        <f t="shared" si="278"/>
        <v>25.951239574486834</v>
      </c>
      <c r="AL60" s="182">
        <f t="shared" si="278"/>
        <v>25.647850233394443</v>
      </c>
      <c r="AM60" s="182">
        <f t="shared" si="278"/>
        <v>25.347311256155667</v>
      </c>
      <c r="AN60" s="182">
        <f t="shared" si="278"/>
        <v>25.050184002123878</v>
      </c>
      <c r="AO60" s="182">
        <f t="shared" si="278"/>
        <v>24.757018753982589</v>
      </c>
      <c r="AP60" s="182">
        <f t="shared" si="278"/>
        <v>24.4683506945712</v>
      </c>
      <c r="AQ60" s="182">
        <f t="shared" si="278"/>
        <v>24.184695963615976</v>
      </c>
      <c r="AR60" s="182">
        <f t="shared" si="278"/>
        <v>23.906547852497262</v>
      </c>
      <c r="AS60" s="182">
        <f t="shared" si="278"/>
        <v>23.634373194332813</v>
      </c>
      <c r="AT60" s="182">
        <f t="shared" si="278"/>
        <v>23.368609004431775</v>
      </c>
      <c r="AU60" s="182">
        <f t="shared" si="278"/>
        <v>23.109659422586279</v>
      </c>
      <c r="AV60" s="182">
        <f t="shared" si="278"/>
        <v>22.857893003780152</v>
      </c>
      <c r="AW60" s="182">
        <f t="shared" si="278"/>
        <v>22.613640397815036</v>
      </c>
      <c r="AX60" s="183">
        <f t="shared" si="278"/>
        <v>22.377192451235903</v>
      </c>
    </row>
    <row r="61" spans="1:50" ht="0.15" customHeight="1" x14ac:dyDescent="0.25">
      <c r="A61" s="247" t="str">
        <f>INDEX(F$346:F$617,$D$141)</f>
        <v>Wind power plants</v>
      </c>
      <c r="B61" s="133" t="str">
        <f>INDEX(G$346:G$617,$D$141)</f>
        <v>Onshore</v>
      </c>
      <c r="C61" s="133" t="str">
        <f>INDEX(H$346:H$617,$D$141)</f>
        <v>Electricity only</v>
      </c>
      <c r="D61" s="133" t="str">
        <f>INDEX(I$346:I$617,$D$141)</f>
        <v>M</v>
      </c>
      <c r="I61" s="133" t="str">
        <f t="shared" ref="I61:I63" si="279">A61&amp;" / "&amp;B61&amp;" / "&amp;C61&amp;" / "&amp;D61</f>
        <v>Wind power plants / Onshore / Electricity only / M</v>
      </c>
      <c r="J61" s="182">
        <f t="shared" ref="J61:AX61" si="280">INDEX(J$346:J$617,$D$141)</f>
        <v>39.949820589308871</v>
      </c>
      <c r="K61" s="182">
        <f t="shared" si="280"/>
        <v>38.967660303123829</v>
      </c>
      <c r="L61" s="182">
        <f t="shared" si="280"/>
        <v>38.280140006902649</v>
      </c>
      <c r="M61" s="182">
        <f t="shared" si="280"/>
        <v>37.779056985989151</v>
      </c>
      <c r="N61" s="182">
        <f t="shared" si="280"/>
        <v>37.264124290656703</v>
      </c>
      <c r="O61" s="182">
        <f t="shared" si="280"/>
        <v>36.529873826739255</v>
      </c>
      <c r="P61" s="182">
        <f t="shared" si="280"/>
        <v>35.85616961888919</v>
      </c>
      <c r="Q61" s="182">
        <f t="shared" si="280"/>
        <v>35.423876085518721</v>
      </c>
      <c r="R61" s="182">
        <f t="shared" si="280"/>
        <v>34.973305415897194</v>
      </c>
      <c r="S61" s="182">
        <f t="shared" si="280"/>
        <v>34.627035065244741</v>
      </c>
      <c r="T61" s="182">
        <f t="shared" si="280"/>
        <v>34.284193133905681</v>
      </c>
      <c r="U61" s="182">
        <f t="shared" si="280"/>
        <v>34.019535841106226</v>
      </c>
      <c r="V61" s="182">
        <f t="shared" si="280"/>
        <v>33.747826962949013</v>
      </c>
      <c r="W61" s="182">
        <f t="shared" si="280"/>
        <v>33.469361356237805</v>
      </c>
      <c r="X61" s="182">
        <f t="shared" si="280"/>
        <v>33.184484883788443</v>
      </c>
      <c r="Y61" s="182">
        <f t="shared" si="280"/>
        <v>32.893595408720657</v>
      </c>
      <c r="Z61" s="182">
        <f t="shared" si="280"/>
        <v>32.597143231781828</v>
      </c>
      <c r="AA61" s="182">
        <f t="shared" si="280"/>
        <v>32.295630902985387</v>
      </c>
      <c r="AB61" s="182">
        <f t="shared" si="280"/>
        <v>31.989612344573032</v>
      </c>
      <c r="AC61" s="182">
        <f t="shared" si="280"/>
        <v>31.679691230698321</v>
      </c>
      <c r="AD61" s="182">
        <f t="shared" si="280"/>
        <v>31.366518580393144</v>
      </c>
      <c r="AE61" s="182">
        <f t="shared" si="280"/>
        <v>31.050789534321396</v>
      </c>
      <c r="AF61" s="182">
        <f t="shared" si="280"/>
        <v>30.733239302428405</v>
      </c>
      <c r="AG61" s="182">
        <f t="shared" si="280"/>
        <v>30.414638288599807</v>
      </c>
      <c r="AH61" s="182">
        <f t="shared" si="280"/>
        <v>30.095786419440419</v>
      </c>
      <c r="AI61" s="182">
        <f t="shared" si="280"/>
        <v>29.777506726709305</v>
      </c>
      <c r="AJ61" s="182">
        <f t="shared" si="280"/>
        <v>29.460638256095041</v>
      </c>
      <c r="AK61" s="182">
        <f t="shared" si="280"/>
        <v>29.146028398051222</v>
      </c>
      <c r="AL61" s="182">
        <f t="shared" si="280"/>
        <v>28.834524758407177</v>
      </c>
      <c r="AM61" s="182">
        <f t="shared" si="280"/>
        <v>28.526966706434784</v>
      </c>
      <c r="AN61" s="182">
        <f t="shared" si="280"/>
        <v>28.224176754998378</v>
      </c>
      <c r="AO61" s="182">
        <f t="shared" si="280"/>
        <v>27.92695194039694</v>
      </c>
      <c r="AP61" s="182">
        <f t="shared" si="280"/>
        <v>27.636055377695843</v>
      </c>
      <c r="AQ61" s="182">
        <f t="shared" si="280"/>
        <v>27.352208170077226</v>
      </c>
      <c r="AR61" s="182">
        <f t="shared" si="280"/>
        <v>27.076081847575519</v>
      </c>
      <c r="AS61" s="182">
        <f t="shared" si="280"/>
        <v>26.808291501335489</v>
      </c>
      <c r="AT61" s="182">
        <f t="shared" si="280"/>
        <v>26.549389764357656</v>
      </c>
      <c r="AU61" s="182">
        <f t="shared" si="280"/>
        <v>26.29986176900476</v>
      </c>
      <c r="AV61" s="182">
        <f t="shared" si="280"/>
        <v>26.060121186053404</v>
      </c>
      <c r="AW61" s="182">
        <f t="shared" si="280"/>
        <v>25.830507420765304</v>
      </c>
      <c r="AX61" s="183">
        <f t="shared" si="280"/>
        <v>25.611284009514375</v>
      </c>
    </row>
    <row r="62" spans="1:50" ht="0.15" customHeight="1" x14ac:dyDescent="0.25">
      <c r="A62" s="247" t="str">
        <f>INDEX(F$346:F$617,$D$142)</f>
        <v>Wind power plants</v>
      </c>
      <c r="B62" s="133" t="str">
        <f>INDEX(G$346:G$617,$D$142)</f>
        <v>Onshore</v>
      </c>
      <c r="C62" s="133" t="str">
        <f>INDEX(H$346:H$617,$D$142)</f>
        <v>Electricity only</v>
      </c>
      <c r="D62" s="133" t="str">
        <f>INDEX(I$346:I$617,$D$142)</f>
        <v>S</v>
      </c>
      <c r="I62" s="133" t="str">
        <f t="shared" si="279"/>
        <v>Wind power plants / Onshore / Electricity only / S</v>
      </c>
      <c r="J62" s="182">
        <f t="shared" ref="J62:AX62" si="281">INDEX(J$346:J$617,$D$142)</f>
        <v>43.082819648119624</v>
      </c>
      <c r="K62" s="182">
        <f t="shared" si="281"/>
        <v>42.409645465925067</v>
      </c>
      <c r="L62" s="182">
        <f t="shared" si="281"/>
        <v>41.989747986064415</v>
      </c>
      <c r="M62" s="182">
        <f t="shared" si="281"/>
        <v>41.574007906994474</v>
      </c>
      <c r="N62" s="182">
        <f t="shared" si="281"/>
        <v>41.162384066331164</v>
      </c>
      <c r="O62" s="182">
        <f t="shared" si="281"/>
        <v>40.754835709238776</v>
      </c>
      <c r="P62" s="182">
        <f t="shared" si="281"/>
        <v>40.097093317203743</v>
      </c>
      <c r="Q62" s="182">
        <f t="shared" si="281"/>
        <v>39.472238044770471</v>
      </c>
      <c r="R62" s="182">
        <f t="shared" si="281"/>
        <v>38.88903979049941</v>
      </c>
      <c r="S62" s="182">
        <f t="shared" si="281"/>
        <v>38.39438483318375</v>
      </c>
      <c r="T62" s="182">
        <f t="shared" si="281"/>
        <v>38.014242409092816</v>
      </c>
      <c r="U62" s="182">
        <f t="shared" si="281"/>
        <v>37.733920192326529</v>
      </c>
      <c r="V62" s="182">
        <f t="shared" si="281"/>
        <v>37.443590293378222</v>
      </c>
      <c r="W62" s="182">
        <f t="shared" si="281"/>
        <v>37.143540741017553</v>
      </c>
      <c r="X62" s="182">
        <f t="shared" si="281"/>
        <v>36.834144851413591</v>
      </c>
      <c r="Y62" s="182">
        <f t="shared" si="281"/>
        <v>36.515865263527445</v>
      </c>
      <c r="Z62" s="182">
        <f t="shared" si="281"/>
        <v>36.189256962465279</v>
      </c>
      <c r="AA62" s="182">
        <f t="shared" si="281"/>
        <v>35.854969082195474</v>
      </c>
      <c r="AB62" s="182">
        <f t="shared" si="281"/>
        <v>35.513745283797192</v>
      </c>
      <c r="AC62" s="182">
        <f t="shared" si="281"/>
        <v>35.166422519054017</v>
      </c>
      <c r="AD62" s="182">
        <f t="shared" si="281"/>
        <v>34.813928012795813</v>
      </c>
      <c r="AE62" s="182">
        <f t="shared" si="281"/>
        <v>34.457274331616077</v>
      </c>
      <c r="AF62" s="182">
        <f t="shared" si="281"/>
        <v>34.097552451630889</v>
      </c>
      <c r="AG62" s="182">
        <f t="shared" si="281"/>
        <v>33.735922793347598</v>
      </c>
      <c r="AH62" s="182">
        <f t="shared" si="281"/>
        <v>33.373604256287955</v>
      </c>
      <c r="AI62" s="182">
        <f t="shared" si="281"/>
        <v>33.01186135778083</v>
      </c>
      <c r="AJ62" s="182">
        <f t="shared" si="281"/>
        <v>32.651989656525657</v>
      </c>
      <c r="AK62" s="182">
        <f t="shared" si="281"/>
        <v>32.295299718629806</v>
      </c>
      <c r="AL62" s="182">
        <f t="shared" si="281"/>
        <v>31.943099957759397</v>
      </c>
      <c r="AM62" s="182">
        <f t="shared" si="281"/>
        <v>31.596678747389436</v>
      </c>
      <c r="AN62" s="182">
        <f t="shared" si="281"/>
        <v>31.257286257415934</v>
      </c>
      <c r="AO62" s="182">
        <f t="shared" si="281"/>
        <v>30.926116505418761</v>
      </c>
      <c r="AP62" s="182">
        <f t="shared" si="281"/>
        <v>30.604290131125424</v>
      </c>
      <c r="AQ62" s="182">
        <f t="shared" si="281"/>
        <v>30.292838398624703</v>
      </c>
      <c r="AR62" s="182">
        <f t="shared" si="281"/>
        <v>29.992688903435205</v>
      </c>
      <c r="AS62" s="182">
        <f t="shared" si="281"/>
        <v>29.7046534109835</v>
      </c>
      <c r="AT62" s="182">
        <f t="shared" si="281"/>
        <v>29.429418181321271</v>
      </c>
      <c r="AU62" s="182">
        <f t="shared" si="281"/>
        <v>29.167537045467157</v>
      </c>
      <c r="AV62" s="182">
        <f t="shared" si="281"/>
        <v>28.919427396364949</v>
      </c>
      <c r="AW62" s="182">
        <f t="shared" si="281"/>
        <v>28.685369147835633</v>
      </c>
      <c r="AX62" s="183">
        <f t="shared" si="281"/>
        <v>28.465506604314811</v>
      </c>
    </row>
    <row r="63" spans="1:50" ht="0.15" customHeight="1" x14ac:dyDescent="0.25">
      <c r="A63" s="247" t="str">
        <f>INDEX(F$346:F$617,$D$143)</f>
        <v>Wind power plants</v>
      </c>
      <c r="B63" s="133" t="str">
        <f>INDEX(G$346:G$617,$D$143)</f>
        <v>Onshore</v>
      </c>
      <c r="C63" s="133" t="str">
        <f>INDEX(H$346:H$617,$D$143)</f>
        <v>Electricity only</v>
      </c>
      <c r="D63" s="133" t="str">
        <f>INDEX(I$346:I$617,$D$143)</f>
        <v>XS</v>
      </c>
      <c r="I63" s="133" t="str">
        <f t="shared" si="279"/>
        <v>Wind power plants / Onshore / Electricity only / XS</v>
      </c>
      <c r="J63" s="182">
        <f t="shared" ref="J63:AX63" si="282">INDEX(J$346:J$617,$D$143)</f>
        <v>51.610007018234953</v>
      </c>
      <c r="K63" s="182">
        <f t="shared" si="282"/>
        <v>51.132754640140519</v>
      </c>
      <c r="L63" s="182">
        <f t="shared" si="282"/>
        <v>50.726939127123529</v>
      </c>
      <c r="M63" s="182">
        <f t="shared" si="282"/>
        <v>50.324344372146349</v>
      </c>
      <c r="N63" s="182">
        <f t="shared" si="282"/>
        <v>49.924944813637254</v>
      </c>
      <c r="O63" s="182">
        <f t="shared" si="282"/>
        <v>49.528715092894096</v>
      </c>
      <c r="P63" s="182">
        <f t="shared" si="282"/>
        <v>49.145396665746588</v>
      </c>
      <c r="Q63" s="182">
        <f t="shared" si="282"/>
        <v>48.658808579947099</v>
      </c>
      <c r="R63" s="182">
        <f t="shared" si="282"/>
        <v>48.177038197967434</v>
      </c>
      <c r="S63" s="182">
        <f t="shared" si="282"/>
        <v>47.700037819769733</v>
      </c>
      <c r="T63" s="182">
        <f t="shared" si="282"/>
        <v>47.227760217593804</v>
      </c>
      <c r="U63" s="182">
        <f t="shared" si="282"/>
        <v>46.986810266067252</v>
      </c>
      <c r="V63" s="182">
        <f t="shared" si="282"/>
        <v>46.73725824737506</v>
      </c>
      <c r="W63" s="182">
        <f t="shared" si="282"/>
        <v>46.47935173560851</v>
      </c>
      <c r="X63" s="182">
        <f t="shared" si="282"/>
        <v>46.213411613335808</v>
      </c>
      <c r="Y63" s="182">
        <f t="shared" si="282"/>
        <v>45.939835540209245</v>
      </c>
      <c r="Z63" s="182">
        <f t="shared" si="282"/>
        <v>45.65910055167744</v>
      </c>
      <c r="AA63" s="182">
        <f t="shared" si="282"/>
        <v>45.371764608504336</v>
      </c>
      <c r="AB63" s="182">
        <f t="shared" si="282"/>
        <v>45.078466921891405</v>
      </c>
      <c r="AC63" s="182">
        <f t="shared" si="282"/>
        <v>44.779926890728959</v>
      </c>
      <c r="AD63" s="182">
        <f t="shared" si="282"/>
        <v>44.476941507779102</v>
      </c>
      <c r="AE63" s="182">
        <f t="shared" si="282"/>
        <v>44.170381121009385</v>
      </c>
      <c r="AF63" s="182">
        <f t="shared" si="282"/>
        <v>43.861183475010016</v>
      </c>
      <c r="AG63" s="182">
        <f t="shared" si="282"/>
        <v>43.550346005047494</v>
      </c>
      <c r="AH63" s="182">
        <f t="shared" si="282"/>
        <v>43.238916411814536</v>
      </c>
      <c r="AI63" s="182">
        <f t="shared" si="282"/>
        <v>42.927981606625593</v>
      </c>
      <c r="AJ63" s="182">
        <f t="shared" si="282"/>
        <v>42.618655182293345</v>
      </c>
      <c r="AK63" s="182">
        <f t="shared" si="282"/>
        <v>42.312063631193915</v>
      </c>
      <c r="AL63" s="182">
        <f t="shared" si="282"/>
        <v>42.009331595580292</v>
      </c>
      <c r="AM63" s="182">
        <f t="shared" si="282"/>
        <v>41.711566492231391</v>
      </c>
      <c r="AN63" s="182">
        <f t="shared" si="282"/>
        <v>41.41984290017745</v>
      </c>
      <c r="AO63" s="182">
        <f t="shared" si="282"/>
        <v>41.135187132927641</v>
      </c>
      <c r="AP63" s="182">
        <f t="shared" si="282"/>
        <v>40.858562432322515</v>
      </c>
      <c r="AQ63" s="182">
        <f t="shared" si="282"/>
        <v>40.590855217694326</v>
      </c>
      <c r="AR63" s="182">
        <f t="shared" si="282"/>
        <v>40.332862800429304</v>
      </c>
      <c r="AS63" s="182">
        <f t="shared" si="282"/>
        <v>40.085282930575381</v>
      </c>
      <c r="AT63" s="182">
        <f t="shared" si="282"/>
        <v>39.848705480487652</v>
      </c>
      <c r="AU63" s="182">
        <f t="shared" si="282"/>
        <v>39.623606493622937</v>
      </c>
      <c r="AV63" s="182">
        <f t="shared" si="282"/>
        <v>39.410344738582367</v>
      </c>
      <c r="AW63" s="182">
        <f t="shared" si="282"/>
        <v>39.209160814282342</v>
      </c>
      <c r="AX63" s="183">
        <f t="shared" si="282"/>
        <v>39.020178757080615</v>
      </c>
    </row>
    <row r="64" spans="1:50" ht="0.15" customHeight="1" x14ac:dyDescent="0.25">
      <c r="A64" s="137"/>
      <c r="I64" s="174" t="s">
        <v>54</v>
      </c>
      <c r="J64" s="190">
        <f t="shared" ref="J64:O64" si="283">MIN(J60:J63)</f>
        <v>36.793907559603021</v>
      </c>
      <c r="K64" s="190">
        <f t="shared" si="283"/>
        <v>35.005996199669717</v>
      </c>
      <c r="L64" s="190">
        <f t="shared" si="283"/>
        <v>33.832679369713496</v>
      </c>
      <c r="M64" s="190">
        <f t="shared" si="283"/>
        <v>33.078404264741629</v>
      </c>
      <c r="N64" s="190">
        <f t="shared" si="283"/>
        <v>32.647370451367465</v>
      </c>
      <c r="O64" s="190">
        <f t="shared" si="283"/>
        <v>32.324129159769761</v>
      </c>
      <c r="P64" s="190">
        <f t="shared" ref="P64:AX64" si="284">MIN(P60:P63)</f>
        <v>31.803541195923092</v>
      </c>
      <c r="Q64" s="190">
        <f t="shared" si="284"/>
        <v>31.461905344648713</v>
      </c>
      <c r="R64" s="190">
        <f t="shared" si="284"/>
        <v>31.242282297400898</v>
      </c>
      <c r="S64" s="190">
        <f t="shared" si="284"/>
        <v>31.077565011965039</v>
      </c>
      <c r="T64" s="190">
        <f t="shared" si="284"/>
        <v>31.02265925015308</v>
      </c>
      <c r="U64" s="190">
        <f t="shared" si="284"/>
        <v>30.75002936145702</v>
      </c>
      <c r="V64" s="190">
        <f t="shared" si="284"/>
        <v>30.472321038493874</v>
      </c>
      <c r="W64" s="190">
        <f t="shared" si="284"/>
        <v>30.189810974613245</v>
      </c>
      <c r="X64" s="190">
        <f t="shared" si="284"/>
        <v>29.90280531156117</v>
      </c>
      <c r="Y64" s="190">
        <f t="shared" si="284"/>
        <v>29.611639527519088</v>
      </c>
      <c r="Z64" s="190">
        <f t="shared" si="284"/>
        <v>29.316678056552021</v>
      </c>
      <c r="AA64" s="190">
        <f t="shared" si="284"/>
        <v>29.018313621394547</v>
      </c>
      <c r="AB64" s="190">
        <f t="shared" si="284"/>
        <v>28.716966264397129</v>
      </c>
      <c r="AC64" s="190">
        <f t="shared" si="284"/>
        <v>28.413082064981278</v>
      </c>
      <c r="AD64" s="190">
        <f t="shared" si="284"/>
        <v>28.107131536096425</v>
      </c>
      <c r="AE64" s="190">
        <f t="shared" si="284"/>
        <v>27.799607696898732</v>
      </c>
      <c r="AF64" s="190">
        <f t="shared" si="284"/>
        <v>27.491023824126064</v>
      </c>
      <c r="AG64" s="190">
        <f t="shared" si="284"/>
        <v>27.181910890339406</v>
      </c>
      <c r="AH64" s="190">
        <f t="shared" si="284"/>
        <v>26.872814703236713</v>
      </c>
      <c r="AI64" s="190">
        <f t="shared" si="284"/>
        <v>26.564292766488695</v>
      </c>
      <c r="AJ64" s="190">
        <f t="shared" si="284"/>
        <v>26.256910888849063</v>
      </c>
      <c r="AK64" s="190">
        <f t="shared" si="284"/>
        <v>25.951239574486834</v>
      </c>
      <c r="AL64" s="190">
        <f t="shared" si="284"/>
        <v>25.647850233394443</v>
      </c>
      <c r="AM64" s="190">
        <f t="shared" si="284"/>
        <v>25.347311256155667</v>
      </c>
      <c r="AN64" s="190">
        <f t="shared" si="284"/>
        <v>25.050184002123878</v>
      </c>
      <c r="AO64" s="190">
        <f t="shared" si="284"/>
        <v>24.757018753982589</v>
      </c>
      <c r="AP64" s="190">
        <f t="shared" si="284"/>
        <v>24.4683506945712</v>
      </c>
      <c r="AQ64" s="190">
        <f t="shared" si="284"/>
        <v>24.184695963615976</v>
      </c>
      <c r="AR64" s="190">
        <f t="shared" si="284"/>
        <v>23.906547852497262</v>
      </c>
      <c r="AS64" s="190">
        <f t="shared" si="284"/>
        <v>23.634373194332813</v>
      </c>
      <c r="AT64" s="190">
        <f t="shared" si="284"/>
        <v>23.368609004431775</v>
      </c>
      <c r="AU64" s="190">
        <f t="shared" si="284"/>
        <v>23.109659422586279</v>
      </c>
      <c r="AV64" s="190">
        <f t="shared" si="284"/>
        <v>22.857893003780152</v>
      </c>
      <c r="AW64" s="190">
        <f t="shared" si="284"/>
        <v>22.613640397815036</v>
      </c>
      <c r="AX64" s="191">
        <f t="shared" si="284"/>
        <v>22.377192451235903</v>
      </c>
    </row>
    <row r="65" spans="1:50" ht="0.15" customHeight="1" x14ac:dyDescent="0.25">
      <c r="A65" s="137"/>
      <c r="I65" s="174" t="s">
        <v>55</v>
      </c>
      <c r="J65" s="190">
        <f t="shared" ref="J65:O65" si="285">MAX(J60:J63)</f>
        <v>51.610007018234953</v>
      </c>
      <c r="K65" s="190">
        <f t="shared" si="285"/>
        <v>51.132754640140519</v>
      </c>
      <c r="L65" s="190">
        <f t="shared" si="285"/>
        <v>50.726939127123529</v>
      </c>
      <c r="M65" s="190">
        <f t="shared" si="285"/>
        <v>50.324344372146349</v>
      </c>
      <c r="N65" s="190">
        <f t="shared" si="285"/>
        <v>49.924944813637254</v>
      </c>
      <c r="O65" s="190">
        <f t="shared" si="285"/>
        <v>49.528715092894096</v>
      </c>
      <c r="P65" s="190">
        <f t="shared" ref="P65:AX65" si="286">MAX(P60:P63)</f>
        <v>49.145396665746588</v>
      </c>
      <c r="Q65" s="190">
        <f t="shared" si="286"/>
        <v>48.658808579947099</v>
      </c>
      <c r="R65" s="190">
        <f t="shared" si="286"/>
        <v>48.177038197967434</v>
      </c>
      <c r="S65" s="190">
        <f t="shared" si="286"/>
        <v>47.700037819769733</v>
      </c>
      <c r="T65" s="190">
        <f t="shared" si="286"/>
        <v>47.227760217593804</v>
      </c>
      <c r="U65" s="190">
        <f t="shared" si="286"/>
        <v>46.986810266067252</v>
      </c>
      <c r="V65" s="190">
        <f t="shared" si="286"/>
        <v>46.73725824737506</v>
      </c>
      <c r="W65" s="190">
        <f t="shared" si="286"/>
        <v>46.47935173560851</v>
      </c>
      <c r="X65" s="190">
        <f t="shared" si="286"/>
        <v>46.213411613335808</v>
      </c>
      <c r="Y65" s="190">
        <f t="shared" si="286"/>
        <v>45.939835540209245</v>
      </c>
      <c r="Z65" s="190">
        <f t="shared" si="286"/>
        <v>45.65910055167744</v>
      </c>
      <c r="AA65" s="190">
        <f t="shared" si="286"/>
        <v>45.371764608504336</v>
      </c>
      <c r="AB65" s="190">
        <f t="shared" si="286"/>
        <v>45.078466921891405</v>
      </c>
      <c r="AC65" s="190">
        <f t="shared" si="286"/>
        <v>44.779926890728959</v>
      </c>
      <c r="AD65" s="190">
        <f t="shared" si="286"/>
        <v>44.476941507779102</v>
      </c>
      <c r="AE65" s="190">
        <f t="shared" si="286"/>
        <v>44.170381121009385</v>
      </c>
      <c r="AF65" s="190">
        <f t="shared" si="286"/>
        <v>43.861183475010016</v>
      </c>
      <c r="AG65" s="190">
        <f t="shared" si="286"/>
        <v>43.550346005047494</v>
      </c>
      <c r="AH65" s="190">
        <f t="shared" si="286"/>
        <v>43.238916411814536</v>
      </c>
      <c r="AI65" s="190">
        <f t="shared" si="286"/>
        <v>42.927981606625593</v>
      </c>
      <c r="AJ65" s="190">
        <f t="shared" si="286"/>
        <v>42.618655182293345</v>
      </c>
      <c r="AK65" s="190">
        <f t="shared" si="286"/>
        <v>42.312063631193915</v>
      </c>
      <c r="AL65" s="190">
        <f t="shared" si="286"/>
        <v>42.009331595580292</v>
      </c>
      <c r="AM65" s="190">
        <f t="shared" si="286"/>
        <v>41.711566492231391</v>
      </c>
      <c r="AN65" s="190">
        <f t="shared" si="286"/>
        <v>41.41984290017745</v>
      </c>
      <c r="AO65" s="190">
        <f t="shared" si="286"/>
        <v>41.135187132927641</v>
      </c>
      <c r="AP65" s="190">
        <f t="shared" si="286"/>
        <v>40.858562432322515</v>
      </c>
      <c r="AQ65" s="190">
        <f t="shared" si="286"/>
        <v>40.590855217694326</v>
      </c>
      <c r="AR65" s="190">
        <f t="shared" si="286"/>
        <v>40.332862800429304</v>
      </c>
      <c r="AS65" s="190">
        <f t="shared" si="286"/>
        <v>40.085282930575381</v>
      </c>
      <c r="AT65" s="190">
        <f t="shared" si="286"/>
        <v>39.848705480487652</v>
      </c>
      <c r="AU65" s="190">
        <f t="shared" si="286"/>
        <v>39.623606493622937</v>
      </c>
      <c r="AV65" s="190">
        <f t="shared" si="286"/>
        <v>39.410344738582367</v>
      </c>
      <c r="AW65" s="190">
        <f t="shared" si="286"/>
        <v>39.209160814282342</v>
      </c>
      <c r="AX65" s="191">
        <f t="shared" si="286"/>
        <v>39.020178757080615</v>
      </c>
    </row>
    <row r="66" spans="1:50" ht="0.15" customHeight="1" x14ac:dyDescent="0.25">
      <c r="A66" s="139"/>
      <c r="B66" s="140"/>
      <c r="C66" s="140"/>
      <c r="D66" s="140"/>
      <c r="E66" s="140"/>
      <c r="F66" s="140"/>
      <c r="G66" s="140"/>
      <c r="H66" s="179"/>
      <c r="I66" s="179" t="s">
        <v>61</v>
      </c>
      <c r="J66" s="184">
        <f t="shared" ref="J66:O66" si="287">J65-J64</f>
        <v>14.816099458631932</v>
      </c>
      <c r="K66" s="184">
        <f t="shared" si="287"/>
        <v>16.126758440470802</v>
      </c>
      <c r="L66" s="184">
        <f t="shared" si="287"/>
        <v>16.894259757410033</v>
      </c>
      <c r="M66" s="184">
        <f t="shared" si="287"/>
        <v>17.245940107404721</v>
      </c>
      <c r="N66" s="184">
        <f t="shared" si="287"/>
        <v>17.277574362269789</v>
      </c>
      <c r="O66" s="184">
        <f t="shared" si="287"/>
        <v>17.204585933124335</v>
      </c>
      <c r="P66" s="184">
        <f t="shared" ref="P66:AX66" si="288">P65-P64</f>
        <v>17.341855469823496</v>
      </c>
      <c r="Q66" s="184">
        <f t="shared" si="288"/>
        <v>17.196903235298386</v>
      </c>
      <c r="R66" s="184">
        <f t="shared" si="288"/>
        <v>16.934755900566536</v>
      </c>
      <c r="S66" s="184">
        <f t="shared" si="288"/>
        <v>16.622472807804694</v>
      </c>
      <c r="T66" s="184">
        <f t="shared" si="288"/>
        <v>16.205100967440725</v>
      </c>
      <c r="U66" s="184">
        <f t="shared" si="288"/>
        <v>16.236780904610232</v>
      </c>
      <c r="V66" s="184">
        <f t="shared" si="288"/>
        <v>16.264937208881186</v>
      </c>
      <c r="W66" s="184">
        <f t="shared" si="288"/>
        <v>16.289540760995266</v>
      </c>
      <c r="X66" s="184">
        <f t="shared" si="288"/>
        <v>16.310606301774637</v>
      </c>
      <c r="Y66" s="184">
        <f t="shared" si="288"/>
        <v>16.328196012690157</v>
      </c>
      <c r="Z66" s="184">
        <f t="shared" si="288"/>
        <v>16.342422495125419</v>
      </c>
      <c r="AA66" s="184">
        <f t="shared" si="288"/>
        <v>16.353450987109788</v>
      </c>
      <c r="AB66" s="184">
        <f t="shared" si="288"/>
        <v>16.361500657494275</v>
      </c>
      <c r="AC66" s="184">
        <f t="shared" si="288"/>
        <v>16.36684482574768</v>
      </c>
      <c r="AD66" s="184">
        <f t="shared" si="288"/>
        <v>16.369809971682677</v>
      </c>
      <c r="AE66" s="184">
        <f t="shared" si="288"/>
        <v>16.370773424110652</v>
      </c>
      <c r="AF66" s="184">
        <f t="shared" si="288"/>
        <v>16.370159650883952</v>
      </c>
      <c r="AG66" s="184">
        <f t="shared" si="288"/>
        <v>16.368435114708088</v>
      </c>
      <c r="AH66" s="184">
        <f t="shared" si="288"/>
        <v>16.366101708577823</v>
      </c>
      <c r="AI66" s="184">
        <f t="shared" si="288"/>
        <v>16.363688840136899</v>
      </c>
      <c r="AJ66" s="184">
        <f t="shared" si="288"/>
        <v>16.361744293444282</v>
      </c>
      <c r="AK66" s="184">
        <f t="shared" si="288"/>
        <v>16.360824056707081</v>
      </c>
      <c r="AL66" s="184">
        <f t="shared" si="288"/>
        <v>16.361481362185849</v>
      </c>
      <c r="AM66" s="184">
        <f t="shared" si="288"/>
        <v>16.364255236075724</v>
      </c>
      <c r="AN66" s="184">
        <f t="shared" si="288"/>
        <v>16.369658898053572</v>
      </c>
      <c r="AO66" s="184">
        <f t="shared" si="288"/>
        <v>16.378168378945052</v>
      </c>
      <c r="AP66" s="184">
        <f t="shared" si="288"/>
        <v>16.390211737751315</v>
      </c>
      <c r="AQ66" s="184">
        <f t="shared" si="288"/>
        <v>16.40615925407835</v>
      </c>
      <c r="AR66" s="184">
        <f t="shared" si="288"/>
        <v>16.426314947932042</v>
      </c>
      <c r="AS66" s="184">
        <f t="shared" si="288"/>
        <v>16.450909736242568</v>
      </c>
      <c r="AT66" s="184">
        <f t="shared" si="288"/>
        <v>16.480096476055877</v>
      </c>
      <c r="AU66" s="184">
        <f t="shared" si="288"/>
        <v>16.513947071036657</v>
      </c>
      <c r="AV66" s="184">
        <f t="shared" si="288"/>
        <v>16.552451734802215</v>
      </c>
      <c r="AW66" s="184">
        <f t="shared" si="288"/>
        <v>16.595520416467306</v>
      </c>
      <c r="AX66" s="185">
        <f t="shared" si="288"/>
        <v>16.642986305844712</v>
      </c>
    </row>
    <row r="67" spans="1:50" ht="0.15" customHeight="1" x14ac:dyDescent="0.25">
      <c r="A67" s="134" t="str">
        <f>"RIGHT "&amp;$J$624</f>
        <v>RIGHT Fixed annual levelized costs</v>
      </c>
      <c r="B67" s="135"/>
      <c r="C67" s="135"/>
      <c r="D67" s="135"/>
      <c r="E67" s="135"/>
      <c r="F67" s="135"/>
      <c r="G67" s="135"/>
      <c r="H67" s="135"/>
      <c r="I67" s="135"/>
      <c r="J67" s="175">
        <f t="shared" ref="J67:O67" si="289">J$625</f>
        <v>2010</v>
      </c>
      <c r="K67" s="175">
        <f t="shared" si="289"/>
        <v>2011</v>
      </c>
      <c r="L67" s="175">
        <f t="shared" si="289"/>
        <v>2012</v>
      </c>
      <c r="M67" s="175">
        <f t="shared" si="289"/>
        <v>2013</v>
      </c>
      <c r="N67" s="175">
        <f t="shared" si="289"/>
        <v>2014</v>
      </c>
      <c r="O67" s="175">
        <f t="shared" si="289"/>
        <v>2015</v>
      </c>
      <c r="P67" s="175">
        <f t="shared" ref="P67:AX67" si="290">P$625</f>
        <v>2016</v>
      </c>
      <c r="Q67" s="175">
        <f t="shared" si="290"/>
        <v>2017</v>
      </c>
      <c r="R67" s="175">
        <f t="shared" si="290"/>
        <v>2018</v>
      </c>
      <c r="S67" s="175">
        <f t="shared" si="290"/>
        <v>2019</v>
      </c>
      <c r="T67" s="175">
        <f t="shared" si="290"/>
        <v>2020</v>
      </c>
      <c r="U67" s="175">
        <f t="shared" si="290"/>
        <v>2021</v>
      </c>
      <c r="V67" s="175">
        <f t="shared" si="290"/>
        <v>2022</v>
      </c>
      <c r="W67" s="175">
        <f t="shared" si="290"/>
        <v>2023</v>
      </c>
      <c r="X67" s="175">
        <f t="shared" si="290"/>
        <v>2024</v>
      </c>
      <c r="Y67" s="175">
        <f t="shared" si="290"/>
        <v>2025</v>
      </c>
      <c r="Z67" s="175">
        <f t="shared" si="290"/>
        <v>2026</v>
      </c>
      <c r="AA67" s="175">
        <f t="shared" si="290"/>
        <v>2027</v>
      </c>
      <c r="AB67" s="175">
        <f t="shared" si="290"/>
        <v>2028</v>
      </c>
      <c r="AC67" s="175">
        <f t="shared" si="290"/>
        <v>2029</v>
      </c>
      <c r="AD67" s="175">
        <f t="shared" si="290"/>
        <v>2030</v>
      </c>
      <c r="AE67" s="175">
        <f t="shared" si="290"/>
        <v>2031</v>
      </c>
      <c r="AF67" s="175">
        <f t="shared" si="290"/>
        <v>2032</v>
      </c>
      <c r="AG67" s="175">
        <f t="shared" si="290"/>
        <v>2033</v>
      </c>
      <c r="AH67" s="175">
        <f t="shared" si="290"/>
        <v>2034</v>
      </c>
      <c r="AI67" s="175">
        <f t="shared" si="290"/>
        <v>2035</v>
      </c>
      <c r="AJ67" s="175">
        <f t="shared" si="290"/>
        <v>2036</v>
      </c>
      <c r="AK67" s="175">
        <f t="shared" si="290"/>
        <v>2037</v>
      </c>
      <c r="AL67" s="175">
        <f t="shared" si="290"/>
        <v>2038</v>
      </c>
      <c r="AM67" s="175">
        <f t="shared" si="290"/>
        <v>2039</v>
      </c>
      <c r="AN67" s="175">
        <f t="shared" si="290"/>
        <v>2040</v>
      </c>
      <c r="AO67" s="175">
        <f t="shared" si="290"/>
        <v>2041</v>
      </c>
      <c r="AP67" s="175">
        <f t="shared" si="290"/>
        <v>2042</v>
      </c>
      <c r="AQ67" s="175">
        <f t="shared" si="290"/>
        <v>2043</v>
      </c>
      <c r="AR67" s="175">
        <f t="shared" si="290"/>
        <v>2044</v>
      </c>
      <c r="AS67" s="175">
        <f t="shared" si="290"/>
        <v>2045</v>
      </c>
      <c r="AT67" s="175">
        <f t="shared" si="290"/>
        <v>2046</v>
      </c>
      <c r="AU67" s="175">
        <f t="shared" si="290"/>
        <v>2047</v>
      </c>
      <c r="AV67" s="175">
        <f t="shared" si="290"/>
        <v>2048</v>
      </c>
      <c r="AW67" s="175">
        <f t="shared" si="290"/>
        <v>2049</v>
      </c>
      <c r="AX67" s="176">
        <f t="shared" si="290"/>
        <v>2050</v>
      </c>
    </row>
    <row r="68" spans="1:50" ht="0.15" customHeight="1" x14ac:dyDescent="0.25">
      <c r="A68" s="247" t="str">
        <f>INDEX(F$626:F$897,$D$140)</f>
        <v>Wind power plants</v>
      </c>
      <c r="B68" s="133" t="str">
        <f>INDEX(G$626:G$897,$D$140)</f>
        <v>Onshore</v>
      </c>
      <c r="C68" s="133" t="str">
        <f>INDEX(H$626:H$897,$D$140)</f>
        <v>Electricity only</v>
      </c>
      <c r="D68" s="133" t="str">
        <f>INDEX(I$626:I$897,$D$140)</f>
        <v>L</v>
      </c>
      <c r="I68" s="133" t="str">
        <f>A68&amp;" / "&amp;B68&amp;" / "&amp;C68&amp;" / "&amp;D68</f>
        <v>Wind power plants / Onshore / Electricity only / L</v>
      </c>
      <c r="J68" s="182">
        <f t="shared" ref="J68:AX68" si="291">INDEX(J$626:J$897,$D$140)</f>
        <v>36.224153749520958</v>
      </c>
      <c r="K68" s="182">
        <f t="shared" si="291"/>
        <v>34.46392820435905</v>
      </c>
      <c r="L68" s="182">
        <f t="shared" si="291"/>
        <v>33.308780190346553</v>
      </c>
      <c r="M68" s="182">
        <f t="shared" si="291"/>
        <v>32.566185038481372</v>
      </c>
      <c r="N68" s="182">
        <f t="shared" si="291"/>
        <v>32.141825785482354</v>
      </c>
      <c r="O68" s="182">
        <f t="shared" si="291"/>
        <v>31.823589886616187</v>
      </c>
      <c r="P68" s="182">
        <f t="shared" si="291"/>
        <v>31.311063229533524</v>
      </c>
      <c r="Q68" s="182">
        <f t="shared" si="291"/>
        <v>30.974717610823024</v>
      </c>
      <c r="R68" s="182">
        <f t="shared" si="291"/>
        <v>30.758495427366277</v>
      </c>
      <c r="S68" s="182">
        <f t="shared" si="291"/>
        <v>30.596328789773715</v>
      </c>
      <c r="T68" s="182">
        <f t="shared" si="291"/>
        <v>30.542273243909523</v>
      </c>
      <c r="U68" s="182">
        <f t="shared" si="291"/>
        <v>30.273865030162643</v>
      </c>
      <c r="V68" s="182">
        <f t="shared" si="291"/>
        <v>30.000457021724216</v>
      </c>
      <c r="W68" s="182">
        <f t="shared" si="291"/>
        <v>29.72232162734619</v>
      </c>
      <c r="X68" s="182">
        <f t="shared" si="291"/>
        <v>29.439760248168401</v>
      </c>
      <c r="Y68" s="182">
        <f t="shared" si="291"/>
        <v>29.153103167491263</v>
      </c>
      <c r="Z68" s="182">
        <f t="shared" si="291"/>
        <v>28.862709176116809</v>
      </c>
      <c r="AA68" s="182">
        <f t="shared" si="291"/>
        <v>28.568964915466445</v>
      </c>
      <c r="AB68" s="182">
        <f t="shared" si="291"/>
        <v>28.272283923533116</v>
      </c>
      <c r="AC68" s="182">
        <f t="shared" si="291"/>
        <v>27.973105372196652</v>
      </c>
      <c r="AD68" s="182">
        <f t="shared" si="291"/>
        <v>27.671892488511521</v>
      </c>
      <c r="AE68" s="182">
        <f t="shared" si="291"/>
        <v>27.369130657230222</v>
      </c>
      <c r="AF68" s="182">
        <f t="shared" si="291"/>
        <v>27.065325206998224</v>
      </c>
      <c r="AG68" s="182">
        <f t="shared" si="291"/>
        <v>26.760998888264215</v>
      </c>
      <c r="AH68" s="182">
        <f t="shared" si="291"/>
        <v>26.456689056891701</v>
      </c>
      <c r="AI68" s="182">
        <f t="shared" si="291"/>
        <v>26.152944583604757</v>
      </c>
      <c r="AJ68" s="182">
        <f t="shared" si="291"/>
        <v>25.850322515606209</v>
      </c>
      <c r="AK68" s="182">
        <f t="shared" si="291"/>
        <v>25.549384522805667</v>
      </c>
      <c r="AL68" s="182">
        <f t="shared" si="291"/>
        <v>25.250693166909485</v>
      </c>
      <c r="AM68" s="182">
        <f t="shared" si="291"/>
        <v>24.954808036970906</v>
      </c>
      <c r="AN68" s="182">
        <f t="shared" si="291"/>
        <v>24.662281799691407</v>
      </c>
      <c r="AO68" s="182">
        <f t="shared" si="291"/>
        <v>24.373656216624873</v>
      </c>
      <c r="AP68" s="182">
        <f t="shared" si="291"/>
        <v>24.089458183302238</v>
      </c>
      <c r="AQ68" s="182">
        <f t="shared" si="291"/>
        <v>23.81019584702398</v>
      </c>
      <c r="AR68" s="182">
        <f t="shared" si="291"/>
        <v>23.536354860551384</v>
      </c>
      <c r="AS68" s="182">
        <f t="shared" si="291"/>
        <v>23.268394828089459</v>
      </c>
      <c r="AT68" s="182">
        <f t="shared" si="291"/>
        <v>23.006745997763488</v>
      </c>
      <c r="AU68" s="182">
        <f t="shared" si="291"/>
        <v>22.751806251259254</v>
      </c>
      <c r="AV68" s="182">
        <f t="shared" si="291"/>
        <v>22.503938436485143</v>
      </c>
      <c r="AW68" s="182">
        <f t="shared" si="291"/>
        <v>22.263468083129258</v>
      </c>
      <c r="AX68" s="183">
        <f t="shared" si="291"/>
        <v>22.030681533976622</v>
      </c>
    </row>
    <row r="69" spans="1:50" ht="0.15" customHeight="1" x14ac:dyDescent="0.25">
      <c r="A69" s="247" t="str">
        <f>INDEX(F$626:F$897,$D$141)</f>
        <v>Wind power plants</v>
      </c>
      <c r="B69" s="133" t="str">
        <f>INDEX(G$626:G$897,$D$141)</f>
        <v>Onshore</v>
      </c>
      <c r="C69" s="133" t="str">
        <f>INDEX(H$626:H$897,$D$141)</f>
        <v>Electricity only</v>
      </c>
      <c r="D69" s="133" t="str">
        <f>INDEX(I$626:I$897,$D$141)</f>
        <v>M</v>
      </c>
      <c r="I69" s="133" t="str">
        <f t="shared" ref="I69:I71" si="292">A69&amp;" / "&amp;B69&amp;" / "&amp;C69&amp;" / "&amp;D69</f>
        <v>Wind power plants / Onshore / Electricity only / M</v>
      </c>
      <c r="J69" s="182">
        <f t="shared" ref="J69:AX69" si="293">INDEX(J$626:J$897,$D$141)</f>
        <v>39.354636172319061</v>
      </c>
      <c r="K69" s="182">
        <f t="shared" si="293"/>
        <v>38.387108404846259</v>
      </c>
      <c r="L69" s="182">
        <f t="shared" si="293"/>
        <v>37.709830992338667</v>
      </c>
      <c r="M69" s="182">
        <f t="shared" si="293"/>
        <v>37.216213256657156</v>
      </c>
      <c r="N69" s="182">
        <f t="shared" si="293"/>
        <v>36.708952183162793</v>
      </c>
      <c r="O69" s="182">
        <f t="shared" si="293"/>
        <v>35.985640803022058</v>
      </c>
      <c r="P69" s="182">
        <f t="shared" si="293"/>
        <v>35.321973642654505</v>
      </c>
      <c r="Q69" s="182">
        <f t="shared" si="293"/>
        <v>34.896120548085321</v>
      </c>
      <c r="R69" s="182">
        <f t="shared" si="293"/>
        <v>34.452262615526323</v>
      </c>
      <c r="S69" s="182">
        <f t="shared" si="293"/>
        <v>34.1111511044815</v>
      </c>
      <c r="T69" s="182">
        <f t="shared" si="293"/>
        <v>33.7734169351302</v>
      </c>
      <c r="U69" s="182">
        <f t="shared" si="293"/>
        <v>33.512702586108546</v>
      </c>
      <c r="V69" s="182">
        <f t="shared" si="293"/>
        <v>33.245041708364134</v>
      </c>
      <c r="W69" s="182">
        <f t="shared" si="293"/>
        <v>32.970724765835577</v>
      </c>
      <c r="X69" s="182">
        <f t="shared" si="293"/>
        <v>32.690092468570676</v>
      </c>
      <c r="Y69" s="182">
        <f t="shared" si="293"/>
        <v>32.403536752205007</v>
      </c>
      <c r="Z69" s="182">
        <f t="shared" si="293"/>
        <v>32.111501208770257</v>
      </c>
      <c r="AA69" s="182">
        <f t="shared" si="293"/>
        <v>31.814480901138932</v>
      </c>
      <c r="AB69" s="182">
        <f t="shared" si="293"/>
        <v>31.51302149905294</v>
      </c>
      <c r="AC69" s="182">
        <f t="shared" si="293"/>
        <v>31.207717682947113</v>
      </c>
      <c r="AD69" s="182">
        <f t="shared" si="293"/>
        <v>30.899210772776421</v>
      </c>
      <c r="AE69" s="182">
        <f t="shared" si="293"/>
        <v>30.588185552790524</v>
      </c>
      <c r="AF69" s="182">
        <f t="shared" si="293"/>
        <v>30.275366279556323</v>
      </c>
      <c r="AG69" s="182">
        <f t="shared" si="293"/>
        <v>29.961511879251159</v>
      </c>
      <c r="AH69" s="182">
        <f t="shared" si="293"/>
        <v>29.647410360933208</v>
      </c>
      <c r="AI69" s="182">
        <f t="shared" si="293"/>
        <v>29.333872494587382</v>
      </c>
      <c r="AJ69" s="182">
        <f t="shared" si="293"/>
        <v>29.021724825547768</v>
      </c>
      <c r="AK69" s="182">
        <f t="shared" si="293"/>
        <v>28.711802119590665</v>
      </c>
      <c r="AL69" s="182">
        <f t="shared" si="293"/>
        <v>28.404939354659369</v>
      </c>
      <c r="AM69" s="182">
        <f t="shared" si="293"/>
        <v>28.101963394850429</v>
      </c>
      <c r="AN69" s="182">
        <f t="shared" si="293"/>
        <v>27.80368449898468</v>
      </c>
      <c r="AO69" s="182">
        <f t="shared" si="293"/>
        <v>27.510887828875102</v>
      </c>
      <c r="AP69" s="182">
        <f t="shared" si="293"/>
        <v>27.224325130469804</v>
      </c>
      <c r="AQ69" s="182">
        <f t="shared" si="293"/>
        <v>26.944706763739298</v>
      </c>
      <c r="AR69" s="182">
        <f t="shared" si="293"/>
        <v>26.672694254062012</v>
      </c>
      <c r="AS69" s="182">
        <f t="shared" si="293"/>
        <v>26.408893528770246</v>
      </c>
      <c r="AT69" s="182">
        <f t="shared" si="293"/>
        <v>26.153848987572211</v>
      </c>
      <c r="AU69" s="182">
        <f t="shared" si="293"/>
        <v>25.908038535183113</v>
      </c>
      <c r="AV69" s="182">
        <f t="shared" si="293"/>
        <v>25.67186967938817</v>
      </c>
      <c r="AW69" s="182">
        <f t="shared" si="293"/>
        <v>25.445676768887648</v>
      </c>
      <c r="AX69" s="183">
        <f t="shared" si="293"/>
        <v>25.22971941381147</v>
      </c>
    </row>
    <row r="70" spans="1:50" ht="0.15" customHeight="1" x14ac:dyDescent="0.25">
      <c r="A70" s="247" t="str">
        <f>INDEX(F$626:F$897,$D$142)</f>
        <v>Wind power plants</v>
      </c>
      <c r="B70" s="133" t="str">
        <f>INDEX(G$626:G$897,$D$142)</f>
        <v>Onshore</v>
      </c>
      <c r="C70" s="133" t="str">
        <f>INDEX(H$626:H$897,$D$142)</f>
        <v>Electricity only</v>
      </c>
      <c r="D70" s="133" t="str">
        <f>INDEX(I$626:I$897,$D$142)</f>
        <v>S</v>
      </c>
      <c r="I70" s="133" t="str">
        <f t="shared" si="292"/>
        <v>Wind power plants / Onshore / Electricity only / S</v>
      </c>
      <c r="J70" s="182">
        <f t="shared" ref="J70:AX70" si="294">INDEX(J$626:J$897,$D$142)</f>
        <v>42.485118595117171</v>
      </c>
      <c r="K70" s="182">
        <f t="shared" si="294"/>
        <v>41.821283562979133</v>
      </c>
      <c r="L70" s="182">
        <f t="shared" si="294"/>
        <v>41.407211448494188</v>
      </c>
      <c r="M70" s="182">
        <f t="shared" si="294"/>
        <v>40.997239057915039</v>
      </c>
      <c r="N70" s="182">
        <f t="shared" si="294"/>
        <v>40.591325799915879</v>
      </c>
      <c r="O70" s="182">
        <f t="shared" si="294"/>
        <v>40.189431485065228</v>
      </c>
      <c r="P70" s="182">
        <f t="shared" si="294"/>
        <v>39.540814153170984</v>
      </c>
      <c r="Q70" s="182">
        <f t="shared" si="294"/>
        <v>38.924627687871457</v>
      </c>
      <c r="R70" s="182">
        <f t="shared" si="294"/>
        <v>38.349520320258556</v>
      </c>
      <c r="S70" s="182">
        <f t="shared" si="294"/>
        <v>37.861727861527605</v>
      </c>
      <c r="T70" s="182">
        <f t="shared" si="294"/>
        <v>37.486859268839204</v>
      </c>
      <c r="U70" s="182">
        <f t="shared" si="294"/>
        <v>37.210426047396567</v>
      </c>
      <c r="V70" s="182">
        <f t="shared" si="294"/>
        <v>36.924123983388888</v>
      </c>
      <c r="W70" s="182">
        <f t="shared" si="294"/>
        <v>36.628237109675155</v>
      </c>
      <c r="X70" s="182">
        <f t="shared" si="294"/>
        <v>36.323133563295741</v>
      </c>
      <c r="Y70" s="182">
        <f t="shared" si="294"/>
        <v>36.00926956488081</v>
      </c>
      <c r="Z70" s="182">
        <f t="shared" si="294"/>
        <v>35.687192400059466</v>
      </c>
      <c r="AA70" s="182">
        <f t="shared" si="294"/>
        <v>35.357542197167213</v>
      </c>
      <c r="AB70" s="182">
        <f t="shared" si="294"/>
        <v>35.021052300247014</v>
      </c>
      <c r="AC70" s="182">
        <f t="shared" si="294"/>
        <v>34.678548049795943</v>
      </c>
      <c r="AD70" s="182">
        <f t="shared" si="294"/>
        <v>34.330943806971952</v>
      </c>
      <c r="AE70" s="182">
        <f t="shared" si="294"/>
        <v>33.979238090724401</v>
      </c>
      <c r="AF70" s="182">
        <f t="shared" si="294"/>
        <v>33.624506741726066</v>
      </c>
      <c r="AG70" s="182">
        <f t="shared" si="294"/>
        <v>33.267894081617875</v>
      </c>
      <c r="AH70" s="182">
        <f t="shared" si="294"/>
        <v>32.910602099758002</v>
      </c>
      <c r="AI70" s="182">
        <f t="shared" si="294"/>
        <v>32.553877770442028</v>
      </c>
      <c r="AJ70" s="182">
        <f t="shared" si="294"/>
        <v>32.198998678689733</v>
      </c>
      <c r="AK70" s="182">
        <f t="shared" si="294"/>
        <v>31.847257208726507</v>
      </c>
      <c r="AL70" s="182">
        <f t="shared" si="294"/>
        <v>31.49994362219795</v>
      </c>
      <c r="AM70" s="182">
        <f t="shared" si="294"/>
        <v>31.158328418582229</v>
      </c>
      <c r="AN70" s="182">
        <f t="shared" si="294"/>
        <v>30.823644423788362</v>
      </c>
      <c r="AO70" s="182">
        <f t="shared" si="294"/>
        <v>30.497069090427388</v>
      </c>
      <c r="AP70" s="182">
        <f t="shared" si="294"/>
        <v>30.179707511251227</v>
      </c>
      <c r="AQ70" s="182">
        <f t="shared" si="294"/>
        <v>29.872576643308477</v>
      </c>
      <c r="AR70" s="182">
        <f t="shared" si="294"/>
        <v>29.576591213303157</v>
      </c>
      <c r="AS70" s="182">
        <f t="shared" si="294"/>
        <v>29.292551724793316</v>
      </c>
      <c r="AT70" s="182">
        <f t="shared" si="294"/>
        <v>29.021134917136333</v>
      </c>
      <c r="AU70" s="182">
        <f t="shared" si="294"/>
        <v>28.76288693788478</v>
      </c>
      <c r="AV70" s="182">
        <f t="shared" si="294"/>
        <v>28.51821938936326</v>
      </c>
      <c r="AW70" s="182">
        <f t="shared" si="294"/>
        <v>28.287408302063234</v>
      </c>
      <c r="AX70" s="183">
        <f t="shared" si="294"/>
        <v>28.070595978441006</v>
      </c>
    </row>
    <row r="71" spans="1:50" ht="0.15" customHeight="1" x14ac:dyDescent="0.25">
      <c r="A71" s="247" t="str">
        <f>INDEX(F$626:F$897,$D$143)</f>
        <v>Wind power plants</v>
      </c>
      <c r="B71" s="133" t="str">
        <f>INDEX(G$626:G$897,$D$143)</f>
        <v>Onshore</v>
      </c>
      <c r="C71" s="133" t="str">
        <f>INDEX(H$626:H$897,$D$143)</f>
        <v>Electricity only</v>
      </c>
      <c r="D71" s="133" t="str">
        <f>INDEX(I$626:I$897,$D$143)</f>
        <v>XS</v>
      </c>
      <c r="I71" s="133" t="str">
        <f t="shared" si="292"/>
        <v>Wind power plants / Onshore / Electricity only / XS</v>
      </c>
      <c r="J71" s="182">
        <f t="shared" ref="J71:AX71" si="295">INDEX(J$626:J$897,$D$143)</f>
        <v>51.011956432452969</v>
      </c>
      <c r="K71" s="182">
        <f t="shared" si="295"/>
        <v>50.540234397808874</v>
      </c>
      <c r="L71" s="182">
        <f t="shared" si="295"/>
        <v>50.139121426397686</v>
      </c>
      <c r="M71" s="182">
        <f t="shared" si="295"/>
        <v>49.74119189126754</v>
      </c>
      <c r="N71" s="182">
        <f t="shared" si="295"/>
        <v>49.34642052705113</v>
      </c>
      <c r="O71" s="182">
        <f t="shared" si="295"/>
        <v>48.954782268899926</v>
      </c>
      <c r="P71" s="182">
        <f t="shared" si="295"/>
        <v>48.575905689819123</v>
      </c>
      <c r="Q71" s="182">
        <f t="shared" si="295"/>
        <v>48.094956128533774</v>
      </c>
      <c r="R71" s="182">
        <f t="shared" si="295"/>
        <v>47.618768444092851</v>
      </c>
      <c r="S71" s="182">
        <f t="shared" si="295"/>
        <v>47.147295489200836</v>
      </c>
      <c r="T71" s="182">
        <f t="shared" si="295"/>
        <v>46.680490583367174</v>
      </c>
      <c r="U71" s="182">
        <f t="shared" si="295"/>
        <v>46.442332731047351</v>
      </c>
      <c r="V71" s="182">
        <f t="shared" si="295"/>
        <v>46.195672491286892</v>
      </c>
      <c r="W71" s="182">
        <f t="shared" si="295"/>
        <v>45.940754569318138</v>
      </c>
      <c r="X71" s="182">
        <f t="shared" si="295"/>
        <v>45.677896129360491</v>
      </c>
      <c r="Y71" s="182">
        <f t="shared" si="295"/>
        <v>45.407490223033783</v>
      </c>
      <c r="Z71" s="182">
        <f t="shared" si="295"/>
        <v>45.130008357956925</v>
      </c>
      <c r="AA71" s="182">
        <f t="shared" si="295"/>
        <v>44.846002029311293</v>
      </c>
      <c r="AB71" s="182">
        <f t="shared" si="295"/>
        <v>44.556103041195442</v>
      </c>
      <c r="AC71" s="182">
        <f t="shared" si="295"/>
        <v>44.261022456191434</v>
      </c>
      <c r="AD71" s="182">
        <f t="shared" si="295"/>
        <v>43.9615480316046</v>
      </c>
      <c r="AE71" s="182">
        <f t="shared" si="295"/>
        <v>43.658540029914398</v>
      </c>
      <c r="AF71" s="182">
        <f t="shared" si="295"/>
        <v>43.352925329238928</v>
      </c>
      <c r="AG71" s="182">
        <f t="shared" si="295"/>
        <v>43.045689806684173</v>
      </c>
      <c r="AH71" s="182">
        <f t="shared" si="295"/>
        <v>42.737869022312587</v>
      </c>
      <c r="AI71" s="182">
        <f t="shared" si="295"/>
        <v>42.430537292440363</v>
      </c>
      <c r="AJ71" s="182">
        <f t="shared" si="295"/>
        <v>42.124795305699926</v>
      </c>
      <c r="AK71" s="182">
        <f t="shared" si="295"/>
        <v>41.821756500808533</v>
      </c>
      <c r="AL71" s="182">
        <f t="shared" si="295"/>
        <v>41.522532487799317</v>
      </c>
      <c r="AM71" s="182">
        <f t="shared" si="295"/>
        <v>41.228217850838078</v>
      </c>
      <c r="AN71" s="182">
        <f t="shared" si="295"/>
        <v>40.939874716861823</v>
      </c>
      <c r="AO71" s="182">
        <f t="shared" si="295"/>
        <v>40.658517506581596</v>
      </c>
      <c r="AP71" s="182">
        <f t="shared" si="295"/>
        <v>40.385098299906744</v>
      </c>
      <c r="AQ71" s="182">
        <f t="shared" si="295"/>
        <v>40.120493244448383</v>
      </c>
      <c r="AR71" s="182">
        <f t="shared" si="295"/>
        <v>39.865490412443798</v>
      </c>
      <c r="AS71" s="182">
        <f t="shared" si="295"/>
        <v>39.620779468496856</v>
      </c>
      <c r="AT71" s="182">
        <f t="shared" si="295"/>
        <v>39.38694344959238</v>
      </c>
      <c r="AU71" s="182">
        <f t="shared" si="295"/>
        <v>39.164452882852579</v>
      </c>
      <c r="AV71" s="182">
        <f t="shared" si="295"/>
        <v>38.953662379510966</v>
      </c>
      <c r="AW71" s="182">
        <f t="shared" si="295"/>
        <v>38.75480975045248</v>
      </c>
      <c r="AX71" s="183">
        <f t="shared" si="295"/>
        <v>38.568017594716409</v>
      </c>
    </row>
    <row r="72" spans="1:50" ht="0.15" customHeight="1" x14ac:dyDescent="0.25">
      <c r="A72" s="137"/>
      <c r="I72" s="174" t="s">
        <v>54</v>
      </c>
      <c r="J72" s="190">
        <f t="shared" ref="J72:O72" si="296">MIN(J68:J71)</f>
        <v>36.224153749520958</v>
      </c>
      <c r="K72" s="190">
        <f t="shared" si="296"/>
        <v>34.46392820435905</v>
      </c>
      <c r="L72" s="190">
        <f t="shared" si="296"/>
        <v>33.308780190346553</v>
      </c>
      <c r="M72" s="190">
        <f t="shared" si="296"/>
        <v>32.566185038481372</v>
      </c>
      <c r="N72" s="190">
        <f t="shared" si="296"/>
        <v>32.141825785482354</v>
      </c>
      <c r="O72" s="190">
        <f t="shared" si="296"/>
        <v>31.823589886616187</v>
      </c>
      <c r="P72" s="190">
        <f t="shared" ref="P72:AX72" si="297">MIN(P68:P71)</f>
        <v>31.311063229533524</v>
      </c>
      <c r="Q72" s="190">
        <f t="shared" si="297"/>
        <v>30.974717610823024</v>
      </c>
      <c r="R72" s="190">
        <f t="shared" si="297"/>
        <v>30.758495427366277</v>
      </c>
      <c r="S72" s="190">
        <f t="shared" si="297"/>
        <v>30.596328789773715</v>
      </c>
      <c r="T72" s="190">
        <f t="shared" si="297"/>
        <v>30.542273243909523</v>
      </c>
      <c r="U72" s="190">
        <f t="shared" si="297"/>
        <v>30.273865030162643</v>
      </c>
      <c r="V72" s="190">
        <f t="shared" si="297"/>
        <v>30.000457021724216</v>
      </c>
      <c r="W72" s="190">
        <f t="shared" si="297"/>
        <v>29.72232162734619</v>
      </c>
      <c r="X72" s="190">
        <f t="shared" si="297"/>
        <v>29.439760248168401</v>
      </c>
      <c r="Y72" s="190">
        <f t="shared" si="297"/>
        <v>29.153103167491263</v>
      </c>
      <c r="Z72" s="190">
        <f t="shared" si="297"/>
        <v>28.862709176116809</v>
      </c>
      <c r="AA72" s="190">
        <f t="shared" si="297"/>
        <v>28.568964915466445</v>
      </c>
      <c r="AB72" s="190">
        <f t="shared" si="297"/>
        <v>28.272283923533116</v>
      </c>
      <c r="AC72" s="190">
        <f t="shared" si="297"/>
        <v>27.973105372196652</v>
      </c>
      <c r="AD72" s="190">
        <f t="shared" si="297"/>
        <v>27.671892488511521</v>
      </c>
      <c r="AE72" s="190">
        <f t="shared" si="297"/>
        <v>27.369130657230222</v>
      </c>
      <c r="AF72" s="190">
        <f t="shared" si="297"/>
        <v>27.065325206998224</v>
      </c>
      <c r="AG72" s="190">
        <f t="shared" si="297"/>
        <v>26.760998888264215</v>
      </c>
      <c r="AH72" s="190">
        <f t="shared" si="297"/>
        <v>26.456689056891701</v>
      </c>
      <c r="AI72" s="190">
        <f t="shared" si="297"/>
        <v>26.152944583604757</v>
      </c>
      <c r="AJ72" s="190">
        <f t="shared" si="297"/>
        <v>25.850322515606209</v>
      </c>
      <c r="AK72" s="190">
        <f t="shared" si="297"/>
        <v>25.549384522805667</v>
      </c>
      <c r="AL72" s="190">
        <f t="shared" si="297"/>
        <v>25.250693166909485</v>
      </c>
      <c r="AM72" s="190">
        <f t="shared" si="297"/>
        <v>24.954808036970906</v>
      </c>
      <c r="AN72" s="190">
        <f t="shared" si="297"/>
        <v>24.662281799691407</v>
      </c>
      <c r="AO72" s="190">
        <f t="shared" si="297"/>
        <v>24.373656216624873</v>
      </c>
      <c r="AP72" s="190">
        <f t="shared" si="297"/>
        <v>24.089458183302238</v>
      </c>
      <c r="AQ72" s="190">
        <f t="shared" si="297"/>
        <v>23.81019584702398</v>
      </c>
      <c r="AR72" s="190">
        <f t="shared" si="297"/>
        <v>23.536354860551384</v>
      </c>
      <c r="AS72" s="190">
        <f t="shared" si="297"/>
        <v>23.268394828089459</v>
      </c>
      <c r="AT72" s="190">
        <f t="shared" si="297"/>
        <v>23.006745997763488</v>
      </c>
      <c r="AU72" s="190">
        <f t="shared" si="297"/>
        <v>22.751806251259254</v>
      </c>
      <c r="AV72" s="190">
        <f t="shared" si="297"/>
        <v>22.503938436485143</v>
      </c>
      <c r="AW72" s="190">
        <f t="shared" si="297"/>
        <v>22.263468083129258</v>
      </c>
      <c r="AX72" s="191">
        <f t="shared" si="297"/>
        <v>22.030681533976622</v>
      </c>
    </row>
    <row r="73" spans="1:50" ht="0.15" customHeight="1" x14ac:dyDescent="0.25">
      <c r="A73" s="137"/>
      <c r="I73" s="174" t="s">
        <v>55</v>
      </c>
      <c r="J73" s="190">
        <f t="shared" ref="J73:O73" si="298">MAX(J68:J71)</f>
        <v>51.011956432452969</v>
      </c>
      <c r="K73" s="190">
        <f t="shared" si="298"/>
        <v>50.540234397808874</v>
      </c>
      <c r="L73" s="190">
        <f t="shared" si="298"/>
        <v>50.139121426397686</v>
      </c>
      <c r="M73" s="190">
        <f t="shared" si="298"/>
        <v>49.74119189126754</v>
      </c>
      <c r="N73" s="190">
        <f t="shared" si="298"/>
        <v>49.34642052705113</v>
      </c>
      <c r="O73" s="190">
        <f t="shared" si="298"/>
        <v>48.954782268899926</v>
      </c>
      <c r="P73" s="190">
        <f t="shared" ref="P73:AX73" si="299">MAX(P68:P71)</f>
        <v>48.575905689819123</v>
      </c>
      <c r="Q73" s="190">
        <f t="shared" si="299"/>
        <v>48.094956128533774</v>
      </c>
      <c r="R73" s="190">
        <f t="shared" si="299"/>
        <v>47.618768444092851</v>
      </c>
      <c r="S73" s="190">
        <f t="shared" si="299"/>
        <v>47.147295489200836</v>
      </c>
      <c r="T73" s="190">
        <f t="shared" si="299"/>
        <v>46.680490583367174</v>
      </c>
      <c r="U73" s="190">
        <f t="shared" si="299"/>
        <v>46.442332731047351</v>
      </c>
      <c r="V73" s="190">
        <f t="shared" si="299"/>
        <v>46.195672491286892</v>
      </c>
      <c r="W73" s="190">
        <f t="shared" si="299"/>
        <v>45.940754569318138</v>
      </c>
      <c r="X73" s="190">
        <f t="shared" si="299"/>
        <v>45.677896129360491</v>
      </c>
      <c r="Y73" s="190">
        <f t="shared" si="299"/>
        <v>45.407490223033783</v>
      </c>
      <c r="Z73" s="190">
        <f t="shared" si="299"/>
        <v>45.130008357956925</v>
      </c>
      <c r="AA73" s="190">
        <f t="shared" si="299"/>
        <v>44.846002029311293</v>
      </c>
      <c r="AB73" s="190">
        <f t="shared" si="299"/>
        <v>44.556103041195442</v>
      </c>
      <c r="AC73" s="190">
        <f t="shared" si="299"/>
        <v>44.261022456191434</v>
      </c>
      <c r="AD73" s="190">
        <f t="shared" si="299"/>
        <v>43.9615480316046</v>
      </c>
      <c r="AE73" s="190">
        <f t="shared" si="299"/>
        <v>43.658540029914398</v>
      </c>
      <c r="AF73" s="190">
        <f t="shared" si="299"/>
        <v>43.352925329238928</v>
      </c>
      <c r="AG73" s="190">
        <f t="shared" si="299"/>
        <v>43.045689806684173</v>
      </c>
      <c r="AH73" s="190">
        <f t="shared" si="299"/>
        <v>42.737869022312587</v>
      </c>
      <c r="AI73" s="190">
        <f t="shared" si="299"/>
        <v>42.430537292440363</v>
      </c>
      <c r="AJ73" s="190">
        <f t="shared" si="299"/>
        <v>42.124795305699926</v>
      </c>
      <c r="AK73" s="190">
        <f t="shared" si="299"/>
        <v>41.821756500808533</v>
      </c>
      <c r="AL73" s="190">
        <f t="shared" si="299"/>
        <v>41.522532487799317</v>
      </c>
      <c r="AM73" s="190">
        <f t="shared" si="299"/>
        <v>41.228217850838078</v>
      </c>
      <c r="AN73" s="190">
        <f t="shared" si="299"/>
        <v>40.939874716861823</v>
      </c>
      <c r="AO73" s="190">
        <f t="shared" si="299"/>
        <v>40.658517506581596</v>
      </c>
      <c r="AP73" s="190">
        <f t="shared" si="299"/>
        <v>40.385098299906744</v>
      </c>
      <c r="AQ73" s="190">
        <f t="shared" si="299"/>
        <v>40.120493244448383</v>
      </c>
      <c r="AR73" s="190">
        <f t="shared" si="299"/>
        <v>39.865490412443798</v>
      </c>
      <c r="AS73" s="190">
        <f t="shared" si="299"/>
        <v>39.620779468496856</v>
      </c>
      <c r="AT73" s="190">
        <f t="shared" si="299"/>
        <v>39.38694344959238</v>
      </c>
      <c r="AU73" s="190">
        <f t="shared" si="299"/>
        <v>39.164452882852579</v>
      </c>
      <c r="AV73" s="190">
        <f t="shared" si="299"/>
        <v>38.953662379510966</v>
      </c>
      <c r="AW73" s="190">
        <f t="shared" si="299"/>
        <v>38.75480975045248</v>
      </c>
      <c r="AX73" s="191">
        <f t="shared" si="299"/>
        <v>38.568017594716409</v>
      </c>
    </row>
    <row r="74" spans="1:50" ht="0.15" customHeight="1" x14ac:dyDescent="0.25">
      <c r="A74" s="248"/>
      <c r="B74" s="249"/>
      <c r="C74" s="249"/>
      <c r="D74" s="249"/>
      <c r="E74" s="249"/>
      <c r="F74" s="249"/>
      <c r="G74" s="249"/>
      <c r="H74" s="250"/>
      <c r="I74" s="250" t="s">
        <v>61</v>
      </c>
      <c r="J74" s="251">
        <f t="shared" ref="J74:O74" si="300">J73-J72</f>
        <v>14.787802682932011</v>
      </c>
      <c r="K74" s="251">
        <f t="shared" si="300"/>
        <v>16.076306193449824</v>
      </c>
      <c r="L74" s="251">
        <f t="shared" si="300"/>
        <v>16.830341236051133</v>
      </c>
      <c r="M74" s="251">
        <f t="shared" si="300"/>
        <v>17.175006852786169</v>
      </c>
      <c r="N74" s="251">
        <f t="shared" si="300"/>
        <v>17.204594741568776</v>
      </c>
      <c r="O74" s="251">
        <f t="shared" si="300"/>
        <v>17.131192382283739</v>
      </c>
      <c r="P74" s="251">
        <f t="shared" ref="P74:AX74" si="301">P73-P72</f>
        <v>17.2648424602856</v>
      </c>
      <c r="Q74" s="251">
        <f t="shared" si="301"/>
        <v>17.120238517710749</v>
      </c>
      <c r="R74" s="251">
        <f t="shared" si="301"/>
        <v>16.860273016726573</v>
      </c>
      <c r="S74" s="251">
        <f t="shared" si="301"/>
        <v>16.550966699427121</v>
      </c>
      <c r="T74" s="251">
        <f t="shared" si="301"/>
        <v>16.13821733945765</v>
      </c>
      <c r="U74" s="251">
        <f t="shared" si="301"/>
        <v>16.168467700884708</v>
      </c>
      <c r="V74" s="251">
        <f t="shared" si="301"/>
        <v>16.195215469562676</v>
      </c>
      <c r="W74" s="251">
        <f t="shared" si="301"/>
        <v>16.218432941971948</v>
      </c>
      <c r="X74" s="251">
        <f t="shared" si="301"/>
        <v>16.23813588119209</v>
      </c>
      <c r="Y74" s="251">
        <f t="shared" si="301"/>
        <v>16.254387055542519</v>
      </c>
      <c r="Z74" s="251">
        <f t="shared" si="301"/>
        <v>16.267299181840116</v>
      </c>
      <c r="AA74" s="251">
        <f t="shared" si="301"/>
        <v>16.277037113844848</v>
      </c>
      <c r="AB74" s="251">
        <f t="shared" si="301"/>
        <v>16.283819117662325</v>
      </c>
      <c r="AC74" s="251">
        <f t="shared" si="301"/>
        <v>16.287917083994781</v>
      </c>
      <c r="AD74" s="251">
        <f t="shared" si="301"/>
        <v>16.28965554309308</v>
      </c>
      <c r="AE74" s="251">
        <f t="shared" si="301"/>
        <v>16.289409372684176</v>
      </c>
      <c r="AF74" s="251">
        <f t="shared" si="301"/>
        <v>16.287600122240704</v>
      </c>
      <c r="AG74" s="251">
        <f t="shared" si="301"/>
        <v>16.284690918419958</v>
      </c>
      <c r="AH74" s="251">
        <f t="shared" si="301"/>
        <v>16.281179965420886</v>
      </c>
      <c r="AI74" s="251">
        <f t="shared" si="301"/>
        <v>16.277592708835606</v>
      </c>
      <c r="AJ74" s="251">
        <f t="shared" si="301"/>
        <v>16.274472790093718</v>
      </c>
      <c r="AK74" s="251">
        <f t="shared" si="301"/>
        <v>16.272371978002866</v>
      </c>
      <c r="AL74" s="251">
        <f t="shared" si="301"/>
        <v>16.271839320889832</v>
      </c>
      <c r="AM74" s="251">
        <f t="shared" si="301"/>
        <v>16.273409813867172</v>
      </c>
      <c r="AN74" s="251">
        <f t="shared" si="301"/>
        <v>16.277592917170416</v>
      </c>
      <c r="AO74" s="251">
        <f t="shared" si="301"/>
        <v>16.284861289956723</v>
      </c>
      <c r="AP74" s="251">
        <f t="shared" si="301"/>
        <v>16.295640116604506</v>
      </c>
      <c r="AQ74" s="251">
        <f t="shared" si="301"/>
        <v>16.310297397424403</v>
      </c>
      <c r="AR74" s="251">
        <f t="shared" si="301"/>
        <v>16.329135551892414</v>
      </c>
      <c r="AS74" s="251">
        <f t="shared" si="301"/>
        <v>16.352384640407397</v>
      </c>
      <c r="AT74" s="251">
        <f t="shared" si="301"/>
        <v>16.380197451828892</v>
      </c>
      <c r="AU74" s="251">
        <f t="shared" si="301"/>
        <v>16.412646631593326</v>
      </c>
      <c r="AV74" s="251">
        <f t="shared" si="301"/>
        <v>16.449723943025823</v>
      </c>
      <c r="AW74" s="251">
        <f t="shared" si="301"/>
        <v>16.491341667323223</v>
      </c>
      <c r="AX74" s="252">
        <f t="shared" si="301"/>
        <v>16.537336060739786</v>
      </c>
    </row>
    <row r="75" spans="1:50" ht="0.15" customHeight="1" x14ac:dyDescent="0.25">
      <c r="A75" s="253" t="str">
        <f>"RIGHT "&amp;$J$904</f>
        <v>RIGHT Fuel and variable costs</v>
      </c>
      <c r="B75" s="254"/>
      <c r="C75" s="254"/>
      <c r="D75" s="254"/>
      <c r="E75" s="254"/>
      <c r="F75" s="254"/>
      <c r="G75" s="254"/>
      <c r="H75" s="254"/>
      <c r="I75" s="254"/>
      <c r="J75" s="255">
        <f t="shared" ref="J75:O75" si="302">J$905</f>
        <v>2010</v>
      </c>
      <c r="K75" s="255">
        <f t="shared" si="302"/>
        <v>2011</v>
      </c>
      <c r="L75" s="255">
        <f t="shared" si="302"/>
        <v>2012</v>
      </c>
      <c r="M75" s="255">
        <f t="shared" si="302"/>
        <v>2013</v>
      </c>
      <c r="N75" s="255">
        <f t="shared" si="302"/>
        <v>2014</v>
      </c>
      <c r="O75" s="255">
        <f t="shared" si="302"/>
        <v>2015</v>
      </c>
      <c r="P75" s="255">
        <f t="shared" ref="P75:AX75" si="303">P$905</f>
        <v>2016</v>
      </c>
      <c r="Q75" s="255">
        <f t="shared" si="303"/>
        <v>2017</v>
      </c>
      <c r="R75" s="255">
        <f t="shared" si="303"/>
        <v>2018</v>
      </c>
      <c r="S75" s="255">
        <f t="shared" si="303"/>
        <v>2019</v>
      </c>
      <c r="T75" s="255">
        <f t="shared" si="303"/>
        <v>2020</v>
      </c>
      <c r="U75" s="255">
        <f t="shared" si="303"/>
        <v>2021</v>
      </c>
      <c r="V75" s="255">
        <f t="shared" si="303"/>
        <v>2022</v>
      </c>
      <c r="W75" s="255">
        <f t="shared" si="303"/>
        <v>2023</v>
      </c>
      <c r="X75" s="255">
        <f t="shared" si="303"/>
        <v>2024</v>
      </c>
      <c r="Y75" s="255">
        <f t="shared" si="303"/>
        <v>2025</v>
      </c>
      <c r="Z75" s="255">
        <f t="shared" si="303"/>
        <v>2026</v>
      </c>
      <c r="AA75" s="255">
        <f t="shared" si="303"/>
        <v>2027</v>
      </c>
      <c r="AB75" s="255">
        <f t="shared" si="303"/>
        <v>2028</v>
      </c>
      <c r="AC75" s="255">
        <f t="shared" si="303"/>
        <v>2029</v>
      </c>
      <c r="AD75" s="255">
        <f t="shared" si="303"/>
        <v>2030</v>
      </c>
      <c r="AE75" s="255">
        <f t="shared" si="303"/>
        <v>2031</v>
      </c>
      <c r="AF75" s="255">
        <f t="shared" si="303"/>
        <v>2032</v>
      </c>
      <c r="AG75" s="255">
        <f t="shared" si="303"/>
        <v>2033</v>
      </c>
      <c r="AH75" s="255">
        <f t="shared" si="303"/>
        <v>2034</v>
      </c>
      <c r="AI75" s="255">
        <f t="shared" si="303"/>
        <v>2035</v>
      </c>
      <c r="AJ75" s="255">
        <f t="shared" si="303"/>
        <v>2036</v>
      </c>
      <c r="AK75" s="255">
        <f t="shared" si="303"/>
        <v>2037</v>
      </c>
      <c r="AL75" s="255">
        <f t="shared" si="303"/>
        <v>2038</v>
      </c>
      <c r="AM75" s="255">
        <f t="shared" si="303"/>
        <v>2039</v>
      </c>
      <c r="AN75" s="255">
        <f t="shared" si="303"/>
        <v>2040</v>
      </c>
      <c r="AO75" s="255">
        <f t="shared" si="303"/>
        <v>2041</v>
      </c>
      <c r="AP75" s="255">
        <f t="shared" si="303"/>
        <v>2042</v>
      </c>
      <c r="AQ75" s="255">
        <f t="shared" si="303"/>
        <v>2043</v>
      </c>
      <c r="AR75" s="255">
        <f t="shared" si="303"/>
        <v>2044</v>
      </c>
      <c r="AS75" s="255">
        <f t="shared" si="303"/>
        <v>2045</v>
      </c>
      <c r="AT75" s="255">
        <f t="shared" si="303"/>
        <v>2046</v>
      </c>
      <c r="AU75" s="255">
        <f t="shared" si="303"/>
        <v>2047</v>
      </c>
      <c r="AV75" s="255">
        <f t="shared" si="303"/>
        <v>2048</v>
      </c>
      <c r="AW75" s="255">
        <f t="shared" si="303"/>
        <v>2049</v>
      </c>
      <c r="AX75" s="256">
        <f t="shared" si="303"/>
        <v>2050</v>
      </c>
    </row>
    <row r="76" spans="1:50" ht="0.15" customHeight="1" x14ac:dyDescent="0.25">
      <c r="A76" s="247" t="str">
        <f>INDEX(F$906:F$1177,$D$140)</f>
        <v>Wind power plants</v>
      </c>
      <c r="B76" s="133" t="str">
        <f>INDEX(G$906:G$1177,$D$140)</f>
        <v>Onshore</v>
      </c>
      <c r="C76" s="133" t="str">
        <f>INDEX(H$906:H$1177,$D$140)</f>
        <v>Electricity only</v>
      </c>
      <c r="D76" s="133" t="str">
        <f>INDEX(I$906:I$1177,$D$140)</f>
        <v>L</v>
      </c>
      <c r="I76" s="133" t="str">
        <f>A76&amp;" / "&amp;B76&amp;" / "&amp;C76&amp;" / "&amp;D76</f>
        <v>Wind power plants / Onshore / Electricity only / L</v>
      </c>
      <c r="J76" s="182">
        <f t="shared" ref="J76:AX76" si="304">INDEX(J$906:J$1177,$D$140)</f>
        <v>0.56975381008206327</v>
      </c>
      <c r="K76" s="182">
        <f t="shared" si="304"/>
        <v>0.54206799531066818</v>
      </c>
      <c r="L76" s="182">
        <f t="shared" si="304"/>
        <v>0.52389917936694019</v>
      </c>
      <c r="M76" s="182">
        <f t="shared" si="304"/>
        <v>0.51221922626025795</v>
      </c>
      <c r="N76" s="182">
        <f t="shared" si="304"/>
        <v>0.50554466588511138</v>
      </c>
      <c r="O76" s="182">
        <f t="shared" si="304"/>
        <v>0.5005392731535756</v>
      </c>
      <c r="P76" s="182">
        <f t="shared" si="304"/>
        <v>0.49247796638956781</v>
      </c>
      <c r="Q76" s="182">
        <f t="shared" si="304"/>
        <v>0.4871877338256877</v>
      </c>
      <c r="R76" s="182">
        <f t="shared" si="304"/>
        <v>0.4837868700346219</v>
      </c>
      <c r="S76" s="182">
        <f t="shared" si="304"/>
        <v>0.48123622219132262</v>
      </c>
      <c r="T76" s="182">
        <f t="shared" si="304"/>
        <v>0.48038600624355615</v>
      </c>
      <c r="U76" s="182">
        <f t="shared" si="304"/>
        <v>0.47616433129437591</v>
      </c>
      <c r="V76" s="182">
        <f t="shared" si="304"/>
        <v>0.47186401676965617</v>
      </c>
      <c r="W76" s="182">
        <f t="shared" si="304"/>
        <v>0.46748934726705527</v>
      </c>
      <c r="X76" s="182">
        <f t="shared" si="304"/>
        <v>0.46304506339277107</v>
      </c>
      <c r="Y76" s="182">
        <f t="shared" si="304"/>
        <v>0.45853636002782461</v>
      </c>
      <c r="Z76" s="182">
        <f t="shared" si="304"/>
        <v>0.45396888043521377</v>
      </c>
      <c r="AA76" s="182">
        <f t="shared" si="304"/>
        <v>0.44934870592810067</v>
      </c>
      <c r="AB76" s="182">
        <f t="shared" si="304"/>
        <v>0.44468234086401204</v>
      </c>
      <c r="AC76" s="182">
        <f t="shared" si="304"/>
        <v>0.43997669278462703</v>
      </c>
      <c r="AD76" s="182">
        <f t="shared" si="304"/>
        <v>0.43523904758490495</v>
      </c>
      <c r="AE76" s="182">
        <f t="shared" si="304"/>
        <v>0.43047703966850964</v>
      </c>
      <c r="AF76" s="182">
        <f t="shared" si="304"/>
        <v>0.42569861712784046</v>
      </c>
      <c r="AG76" s="182">
        <f t="shared" si="304"/>
        <v>0.42091200207519081</v>
      </c>
      <c r="AH76" s="182">
        <f t="shared" si="304"/>
        <v>0.41612564634501142</v>
      </c>
      <c r="AI76" s="182">
        <f t="shared" si="304"/>
        <v>0.41134818288393898</v>
      </c>
      <c r="AJ76" s="182">
        <f t="shared" si="304"/>
        <v>0.40658837324285474</v>
      </c>
      <c r="AK76" s="182">
        <f t="shared" si="304"/>
        <v>0.40185505168116548</v>
      </c>
      <c r="AL76" s="182">
        <f t="shared" si="304"/>
        <v>0.39715706648495708</v>
      </c>
      <c r="AM76" s="182">
        <f t="shared" si="304"/>
        <v>0.39250321918475989</v>
      </c>
      <c r="AN76" s="182">
        <f t="shared" si="304"/>
        <v>0.38790220243247298</v>
      </c>
      <c r="AO76" s="182">
        <f t="shared" si="304"/>
        <v>0.38336253735771636</v>
      </c>
      <c r="AP76" s="182">
        <f t="shared" si="304"/>
        <v>0.37889251126896217</v>
      </c>
      <c r="AQ76" s="182">
        <f t="shared" si="304"/>
        <v>0.37450011659199728</v>
      </c>
      <c r="AR76" s="182">
        <f t="shared" si="304"/>
        <v>0.37019299194587751</v>
      </c>
      <c r="AS76" s="182">
        <f t="shared" si="304"/>
        <v>0.365978366243354</v>
      </c>
      <c r="AT76" s="182">
        <f t="shared" si="304"/>
        <v>0.36186300666828852</v>
      </c>
      <c r="AU76" s="182">
        <f t="shared" si="304"/>
        <v>0.35785317132702626</v>
      </c>
      <c r="AV76" s="182">
        <f t="shared" si="304"/>
        <v>0.35395456729500985</v>
      </c>
      <c r="AW76" s="182">
        <f t="shared" si="304"/>
        <v>0.35017231468577931</v>
      </c>
      <c r="AX76" s="183">
        <f t="shared" si="304"/>
        <v>0.34651091725928107</v>
      </c>
    </row>
    <row r="77" spans="1:50" ht="0.15" customHeight="1" x14ac:dyDescent="0.25">
      <c r="A77" s="247" t="str">
        <f>INDEX(F$906:F$1177,$D$141)</f>
        <v>Wind power plants</v>
      </c>
      <c r="B77" s="133" t="str">
        <f>INDEX(G$906:G$1177,$D$141)</f>
        <v>Onshore</v>
      </c>
      <c r="C77" s="133" t="str">
        <f>INDEX(H$906:H$1177,$D$141)</f>
        <v>Electricity only</v>
      </c>
      <c r="D77" s="133" t="str">
        <f>INDEX(I$906:I$1177,$D$141)</f>
        <v>M</v>
      </c>
      <c r="I77" s="133" t="str">
        <f t="shared" ref="I77:I79" si="305">A77&amp;" / "&amp;B77&amp;" / "&amp;C77&amp;" / "&amp;D77</f>
        <v>Wind power plants / Onshore / Electricity only / M</v>
      </c>
      <c r="J77" s="182">
        <f t="shared" ref="J77:AX77" si="306">INDEX(J$906:J$1177,$D$141)</f>
        <v>0.59518441698980962</v>
      </c>
      <c r="K77" s="182">
        <f t="shared" si="306"/>
        <v>0.58055189827757236</v>
      </c>
      <c r="L77" s="182">
        <f t="shared" si="306"/>
        <v>0.57030901456398231</v>
      </c>
      <c r="M77" s="182">
        <f t="shared" si="306"/>
        <v>0.56284372933199567</v>
      </c>
      <c r="N77" s="182">
        <f t="shared" si="306"/>
        <v>0.55517210749391288</v>
      </c>
      <c r="O77" s="182">
        <f t="shared" si="306"/>
        <v>0.54423302371719728</v>
      </c>
      <c r="P77" s="182">
        <f t="shared" si="306"/>
        <v>0.53419597623468285</v>
      </c>
      <c r="Q77" s="182">
        <f t="shared" si="306"/>
        <v>0.52775553743340275</v>
      </c>
      <c r="R77" s="182">
        <f t="shared" si="306"/>
        <v>0.5210428003708697</v>
      </c>
      <c r="S77" s="182">
        <f t="shared" si="306"/>
        <v>0.51588396076323728</v>
      </c>
      <c r="T77" s="182">
        <f t="shared" si="306"/>
        <v>0.51077619877548242</v>
      </c>
      <c r="U77" s="182">
        <f t="shared" si="306"/>
        <v>0.50683325499767995</v>
      </c>
      <c r="V77" s="182">
        <f t="shared" si="306"/>
        <v>0.502785254584876</v>
      </c>
      <c r="W77" s="182">
        <f t="shared" si="306"/>
        <v>0.49863659040222702</v>
      </c>
      <c r="X77" s="182">
        <f t="shared" si="306"/>
        <v>0.49439241521776411</v>
      </c>
      <c r="Y77" s="182">
        <f t="shared" si="306"/>
        <v>0.49005865651565328</v>
      </c>
      <c r="Z77" s="182">
        <f t="shared" si="306"/>
        <v>0.48564202301157394</v>
      </c>
      <c r="AA77" s="182">
        <f t="shared" si="306"/>
        <v>0.48115000184645323</v>
      </c>
      <c r="AB77" s="182">
        <f t="shared" si="306"/>
        <v>0.47659084552009257</v>
      </c>
      <c r="AC77" s="182">
        <f t="shared" si="306"/>
        <v>0.47197354775120809</v>
      </c>
      <c r="AD77" s="182">
        <f t="shared" si="306"/>
        <v>0.46730780761672236</v>
      </c>
      <c r="AE77" s="182">
        <f t="shared" si="306"/>
        <v>0.46260398153087384</v>
      </c>
      <c r="AF77" s="182">
        <f t="shared" si="306"/>
        <v>0.45787302287208109</v>
      </c>
      <c r="AG77" s="182">
        <f t="shared" si="306"/>
        <v>0.45312640934864801</v>
      </c>
      <c r="AH77" s="182">
        <f t="shared" si="306"/>
        <v>0.44837605850720946</v>
      </c>
      <c r="AI77" s="182">
        <f t="shared" si="306"/>
        <v>0.4436342321219226</v>
      </c>
      <c r="AJ77" s="182">
        <f t="shared" si="306"/>
        <v>0.43891343054727228</v>
      </c>
      <c r="AK77" s="182">
        <f t="shared" si="306"/>
        <v>0.43422627846055767</v>
      </c>
      <c r="AL77" s="182">
        <f t="shared" si="306"/>
        <v>0.42958540374780962</v>
      </c>
      <c r="AM77" s="182">
        <f t="shared" si="306"/>
        <v>0.4250033115843545</v>
      </c>
      <c r="AN77" s="182">
        <f t="shared" si="306"/>
        <v>0.42049225601369994</v>
      </c>
      <c r="AO77" s="182">
        <f t="shared" si="306"/>
        <v>0.41606411152183703</v>
      </c>
      <c r="AP77" s="182">
        <f t="shared" si="306"/>
        <v>0.41173024722603774</v>
      </c>
      <c r="AQ77" s="182">
        <f t="shared" si="306"/>
        <v>0.4075014063379292</v>
      </c>
      <c r="AR77" s="182">
        <f t="shared" si="306"/>
        <v>0.40338759351350562</v>
      </c>
      <c r="AS77" s="182">
        <f t="shared" si="306"/>
        <v>0.39939797256524473</v>
      </c>
      <c r="AT77" s="182">
        <f t="shared" si="306"/>
        <v>0.39554077678544591</v>
      </c>
      <c r="AU77" s="182">
        <f t="shared" si="306"/>
        <v>0.39182323382164869</v>
      </c>
      <c r="AV77" s="182">
        <f t="shared" si="306"/>
        <v>0.38825150666523467</v>
      </c>
      <c r="AW77" s="182">
        <f t="shared" si="306"/>
        <v>0.38483065187765636</v>
      </c>
      <c r="AX77" s="183">
        <f t="shared" si="306"/>
        <v>0.38156459570290552</v>
      </c>
    </row>
    <row r="78" spans="1:50" ht="0.15" customHeight="1" x14ac:dyDescent="0.25">
      <c r="A78" s="247" t="str">
        <f>INDEX(F$906:F$1177,$D$142)</f>
        <v>Wind power plants</v>
      </c>
      <c r="B78" s="133" t="str">
        <f>INDEX(G$906:G$1177,$D$142)</f>
        <v>Onshore</v>
      </c>
      <c r="C78" s="133" t="str">
        <f>INDEX(H$906:H$1177,$D$142)</f>
        <v>Electricity only</v>
      </c>
      <c r="D78" s="133" t="str">
        <f>INDEX(I$906:I$1177,$D$142)</f>
        <v>S</v>
      </c>
      <c r="I78" s="133" t="str">
        <f t="shared" si="305"/>
        <v>Wind power plants / Onshore / Electricity only / S</v>
      </c>
      <c r="J78" s="182">
        <f t="shared" ref="J78:AX78" si="307">INDEX(J$906:J$1177,$D$142)</f>
        <v>0.59770105300245158</v>
      </c>
      <c r="K78" s="182">
        <f t="shared" si="307"/>
        <v>0.58836190294593227</v>
      </c>
      <c r="L78" s="182">
        <f t="shared" si="307"/>
        <v>0.58253653757022983</v>
      </c>
      <c r="M78" s="182">
        <f t="shared" si="307"/>
        <v>0.57676884907943549</v>
      </c>
      <c r="N78" s="182">
        <f t="shared" si="307"/>
        <v>0.57105826641528268</v>
      </c>
      <c r="O78" s="182">
        <f t="shared" si="307"/>
        <v>0.56540422417354719</v>
      </c>
      <c r="P78" s="182">
        <f t="shared" si="307"/>
        <v>0.55627916403276223</v>
      </c>
      <c r="Q78" s="182">
        <f t="shared" si="307"/>
        <v>0.54761035689901638</v>
      </c>
      <c r="R78" s="182">
        <f t="shared" si="307"/>
        <v>0.53951947024085367</v>
      </c>
      <c r="S78" s="182">
        <f t="shared" si="307"/>
        <v>0.53265697165614556</v>
      </c>
      <c r="T78" s="182">
        <f t="shared" si="307"/>
        <v>0.52738314025360933</v>
      </c>
      <c r="U78" s="182">
        <f t="shared" si="307"/>
        <v>0.52349414492995927</v>
      </c>
      <c r="V78" s="182">
        <f t="shared" si="307"/>
        <v>0.51946630998933085</v>
      </c>
      <c r="W78" s="182">
        <f t="shared" si="307"/>
        <v>0.51530363134239798</v>
      </c>
      <c r="X78" s="182">
        <f t="shared" si="307"/>
        <v>0.51101128811785257</v>
      </c>
      <c r="Y78" s="182">
        <f t="shared" si="307"/>
        <v>0.5065956986466319</v>
      </c>
      <c r="Z78" s="182">
        <f t="shared" si="307"/>
        <v>0.50206456240581443</v>
      </c>
      <c r="AA78" s="182">
        <f t="shared" si="307"/>
        <v>0.49742688502826282</v>
      </c>
      <c r="AB78" s="182">
        <f t="shared" si="307"/>
        <v>0.49269298355018148</v>
      </c>
      <c r="AC78" s="182">
        <f t="shared" si="307"/>
        <v>0.48787446925807476</v>
      </c>
      <c r="AD78" s="182">
        <f t="shared" si="307"/>
        <v>0.48298420582385898</v>
      </c>
      <c r="AE78" s="182">
        <f t="shared" si="307"/>
        <v>0.47803624089167907</v>
      </c>
      <c r="AF78" s="182">
        <f t="shared" si="307"/>
        <v>0.47304570990482075</v>
      </c>
      <c r="AG78" s="182">
        <f t="shared" si="307"/>
        <v>0.46802871172971927</v>
      </c>
      <c r="AH78" s="182">
        <f t="shared" si="307"/>
        <v>0.46300215652995297</v>
      </c>
      <c r="AI78" s="182">
        <f t="shared" si="307"/>
        <v>0.45798358733880423</v>
      </c>
      <c r="AJ78" s="182">
        <f t="shared" si="307"/>
        <v>0.45299097783592579</v>
      </c>
      <c r="AK78" s="182">
        <f t="shared" si="307"/>
        <v>0.44804250990330213</v>
      </c>
      <c r="AL78" s="182">
        <f t="shared" si="307"/>
        <v>0.44315633556144596</v>
      </c>
      <c r="AM78" s="182">
        <f t="shared" si="307"/>
        <v>0.43835032880720737</v>
      </c>
      <c r="AN78" s="182">
        <f t="shared" si="307"/>
        <v>0.43364183362757164</v>
      </c>
      <c r="AO78" s="182">
        <f t="shared" si="307"/>
        <v>0.42904741499137372</v>
      </c>
      <c r="AP78" s="182">
        <f t="shared" si="307"/>
        <v>0.42458261987419799</v>
      </c>
      <c r="AQ78" s="182">
        <f t="shared" si="307"/>
        <v>0.42026175531622467</v>
      </c>
      <c r="AR78" s="182">
        <f t="shared" si="307"/>
        <v>0.4160976901320475</v>
      </c>
      <c r="AS78" s="182">
        <f t="shared" si="307"/>
        <v>0.41210168619018445</v>
      </c>
      <c r="AT78" s="182">
        <f t="shared" si="307"/>
        <v>0.40828326418493699</v>
      </c>
      <c r="AU78" s="182">
        <f t="shared" si="307"/>
        <v>0.40465010758237663</v>
      </c>
      <c r="AV78" s="182">
        <f t="shared" si="307"/>
        <v>0.40120800700168896</v>
      </c>
      <c r="AW78" s="182">
        <f t="shared" si="307"/>
        <v>0.39796084577239854</v>
      </c>
      <c r="AX78" s="183">
        <f t="shared" si="307"/>
        <v>0.39491062587380549</v>
      </c>
    </row>
    <row r="79" spans="1:50" ht="0.15" customHeight="1" x14ac:dyDescent="0.25">
      <c r="A79" s="247" t="str">
        <f>INDEX(F$906:F$1177,$D$143)</f>
        <v>Wind power plants</v>
      </c>
      <c r="B79" s="133" t="str">
        <f>INDEX(G$906:G$1177,$D$143)</f>
        <v>Onshore</v>
      </c>
      <c r="C79" s="133" t="str">
        <f>INDEX(H$906:H$1177,$D$143)</f>
        <v>Electricity only</v>
      </c>
      <c r="D79" s="133" t="str">
        <f>INDEX(I$906:I$1177,$D$143)</f>
        <v>XS</v>
      </c>
      <c r="I79" s="133" t="str">
        <f t="shared" si="305"/>
        <v>Wind power plants / Onshore / Electricity only / XS</v>
      </c>
      <c r="J79" s="182">
        <f t="shared" ref="J79:AX79" si="308">INDEX(J$906:J$1177,$D$143)</f>
        <v>0.59805058578198511</v>
      </c>
      <c r="K79" s="182">
        <f t="shared" si="308"/>
        <v>0.59252024233164657</v>
      </c>
      <c r="L79" s="182">
        <f t="shared" si="308"/>
        <v>0.58781770072583983</v>
      </c>
      <c r="M79" s="182">
        <f t="shared" si="308"/>
        <v>0.58315248087880933</v>
      </c>
      <c r="N79" s="182">
        <f t="shared" si="308"/>
        <v>0.57852428658612021</v>
      </c>
      <c r="O79" s="182">
        <f t="shared" si="308"/>
        <v>0.5739328239941669</v>
      </c>
      <c r="P79" s="182">
        <f t="shared" si="308"/>
        <v>0.56949097592746156</v>
      </c>
      <c r="Q79" s="182">
        <f t="shared" si="308"/>
        <v>0.56385245141332818</v>
      </c>
      <c r="R79" s="182">
        <f t="shared" si="308"/>
        <v>0.55826975387458233</v>
      </c>
      <c r="S79" s="182">
        <f t="shared" si="308"/>
        <v>0.55274233056889355</v>
      </c>
      <c r="T79" s="182">
        <f t="shared" si="308"/>
        <v>0.54726963422662722</v>
      </c>
      <c r="U79" s="182">
        <f t="shared" si="308"/>
        <v>0.54447753501990404</v>
      </c>
      <c r="V79" s="182">
        <f t="shared" si="308"/>
        <v>0.54158575608817072</v>
      </c>
      <c r="W79" s="182">
        <f t="shared" si="308"/>
        <v>0.53859716629037291</v>
      </c>
      <c r="X79" s="182">
        <f t="shared" si="308"/>
        <v>0.53551548397531468</v>
      </c>
      <c r="Y79" s="182">
        <f t="shared" si="308"/>
        <v>0.53234531717546374</v>
      </c>
      <c r="Z79" s="182">
        <f t="shared" si="308"/>
        <v>0.52909219372051797</v>
      </c>
      <c r="AA79" s="182">
        <f t="shared" si="308"/>
        <v>0.52576257919304492</v>
      </c>
      <c r="AB79" s="182">
        <f t="shared" si="308"/>
        <v>0.52236388069596085</v>
      </c>
      <c r="AC79" s="182">
        <f t="shared" si="308"/>
        <v>0.51890443453752533</v>
      </c>
      <c r="AD79" s="182">
        <f t="shared" si="308"/>
        <v>0.5153934761744986</v>
      </c>
      <c r="AE79" s="182">
        <f t="shared" si="308"/>
        <v>0.51184109109498477</v>
      </c>
      <c r="AF79" s="182">
        <f t="shared" si="308"/>
        <v>0.50825814577108663</v>
      </c>
      <c r="AG79" s="182">
        <f t="shared" si="308"/>
        <v>0.50465619836332143</v>
      </c>
      <c r="AH79" s="182">
        <f t="shared" si="308"/>
        <v>0.50104738950195082</v>
      </c>
      <c r="AI79" s="182">
        <f t="shared" si="308"/>
        <v>0.49744431418522861</v>
      </c>
      <c r="AJ79" s="182">
        <f t="shared" si="308"/>
        <v>0.49385987659341835</v>
      </c>
      <c r="AK79" s="182">
        <f t="shared" si="308"/>
        <v>0.49030713038538093</v>
      </c>
      <c r="AL79" s="182">
        <f t="shared" si="308"/>
        <v>0.48679910778097135</v>
      </c>
      <c r="AM79" s="182">
        <f t="shared" si="308"/>
        <v>0.48334864139331291</v>
      </c>
      <c r="AN79" s="182">
        <f t="shared" si="308"/>
        <v>0.47996818331562563</v>
      </c>
      <c r="AO79" s="182">
        <f t="shared" si="308"/>
        <v>0.4766696263460477</v>
      </c>
      <c r="AP79" s="182">
        <f t="shared" si="308"/>
        <v>0.47346413241576768</v>
      </c>
      <c r="AQ79" s="182">
        <f t="shared" si="308"/>
        <v>0.4703619732459407</v>
      </c>
      <c r="AR79" s="182">
        <f t="shared" si="308"/>
        <v>0.46737238798550579</v>
      </c>
      <c r="AS79" s="182">
        <f t="shared" si="308"/>
        <v>0.46450346207852716</v>
      </c>
      <c r="AT79" s="182">
        <f t="shared" si="308"/>
        <v>0.46176203089527257</v>
      </c>
      <c r="AU79" s="182">
        <f t="shared" si="308"/>
        <v>0.45915361077035749</v>
      </c>
      <c r="AV79" s="182">
        <f t="shared" si="308"/>
        <v>0.4566823590714022</v>
      </c>
      <c r="AW79" s="182">
        <f t="shared" si="308"/>
        <v>0.45435106382986035</v>
      </c>
      <c r="AX79" s="183">
        <f t="shared" si="308"/>
        <v>0.45216116236420378</v>
      </c>
    </row>
    <row r="80" spans="1:50" ht="0.15" customHeight="1" x14ac:dyDescent="0.25">
      <c r="A80" s="137"/>
      <c r="I80" s="174" t="s">
        <v>54</v>
      </c>
      <c r="J80" s="190">
        <f t="shared" ref="J80:O80" si="309">MIN(J76:J79)</f>
        <v>0.56975381008206327</v>
      </c>
      <c r="K80" s="190">
        <f t="shared" si="309"/>
        <v>0.54206799531066818</v>
      </c>
      <c r="L80" s="190">
        <f t="shared" si="309"/>
        <v>0.52389917936694019</v>
      </c>
      <c r="M80" s="190">
        <f t="shared" si="309"/>
        <v>0.51221922626025795</v>
      </c>
      <c r="N80" s="190">
        <f t="shared" si="309"/>
        <v>0.50554466588511138</v>
      </c>
      <c r="O80" s="190">
        <f t="shared" si="309"/>
        <v>0.5005392731535756</v>
      </c>
      <c r="P80" s="190">
        <f t="shared" ref="P80:AX80" si="310">MIN(P76:P79)</f>
        <v>0.49247796638956781</v>
      </c>
      <c r="Q80" s="190">
        <f t="shared" si="310"/>
        <v>0.4871877338256877</v>
      </c>
      <c r="R80" s="190">
        <f t="shared" si="310"/>
        <v>0.4837868700346219</v>
      </c>
      <c r="S80" s="190">
        <f t="shared" si="310"/>
        <v>0.48123622219132262</v>
      </c>
      <c r="T80" s="190">
        <f t="shared" si="310"/>
        <v>0.48038600624355615</v>
      </c>
      <c r="U80" s="190">
        <f t="shared" si="310"/>
        <v>0.47616433129437591</v>
      </c>
      <c r="V80" s="190">
        <f t="shared" si="310"/>
        <v>0.47186401676965617</v>
      </c>
      <c r="W80" s="190">
        <f t="shared" si="310"/>
        <v>0.46748934726705527</v>
      </c>
      <c r="X80" s="190">
        <f t="shared" si="310"/>
        <v>0.46304506339277107</v>
      </c>
      <c r="Y80" s="190">
        <f t="shared" si="310"/>
        <v>0.45853636002782461</v>
      </c>
      <c r="Z80" s="190">
        <f t="shared" si="310"/>
        <v>0.45396888043521377</v>
      </c>
      <c r="AA80" s="190">
        <f t="shared" si="310"/>
        <v>0.44934870592810067</v>
      </c>
      <c r="AB80" s="190">
        <f t="shared" si="310"/>
        <v>0.44468234086401204</v>
      </c>
      <c r="AC80" s="190">
        <f t="shared" si="310"/>
        <v>0.43997669278462703</v>
      </c>
      <c r="AD80" s="190">
        <f t="shared" si="310"/>
        <v>0.43523904758490495</v>
      </c>
      <c r="AE80" s="190">
        <f t="shared" si="310"/>
        <v>0.43047703966850964</v>
      </c>
      <c r="AF80" s="190">
        <f t="shared" si="310"/>
        <v>0.42569861712784046</v>
      </c>
      <c r="AG80" s="190">
        <f t="shared" si="310"/>
        <v>0.42091200207519081</v>
      </c>
      <c r="AH80" s="190">
        <f t="shared" si="310"/>
        <v>0.41612564634501142</v>
      </c>
      <c r="AI80" s="190">
        <f t="shared" si="310"/>
        <v>0.41134818288393898</v>
      </c>
      <c r="AJ80" s="190">
        <f t="shared" si="310"/>
        <v>0.40658837324285474</v>
      </c>
      <c r="AK80" s="190">
        <f t="shared" si="310"/>
        <v>0.40185505168116548</v>
      </c>
      <c r="AL80" s="190">
        <f t="shared" si="310"/>
        <v>0.39715706648495708</v>
      </c>
      <c r="AM80" s="190">
        <f t="shared" si="310"/>
        <v>0.39250321918475989</v>
      </c>
      <c r="AN80" s="190">
        <f t="shared" si="310"/>
        <v>0.38790220243247298</v>
      </c>
      <c r="AO80" s="190">
        <f t="shared" si="310"/>
        <v>0.38336253735771636</v>
      </c>
      <c r="AP80" s="190">
        <f t="shared" si="310"/>
        <v>0.37889251126896217</v>
      </c>
      <c r="AQ80" s="190">
        <f t="shared" si="310"/>
        <v>0.37450011659199728</v>
      </c>
      <c r="AR80" s="190">
        <f t="shared" si="310"/>
        <v>0.37019299194587751</v>
      </c>
      <c r="AS80" s="190">
        <f t="shared" si="310"/>
        <v>0.365978366243354</v>
      </c>
      <c r="AT80" s="190">
        <f t="shared" si="310"/>
        <v>0.36186300666828852</v>
      </c>
      <c r="AU80" s="190">
        <f t="shared" si="310"/>
        <v>0.35785317132702626</v>
      </c>
      <c r="AV80" s="190">
        <f t="shared" si="310"/>
        <v>0.35395456729500985</v>
      </c>
      <c r="AW80" s="190">
        <f t="shared" si="310"/>
        <v>0.35017231468577931</v>
      </c>
      <c r="AX80" s="191">
        <f t="shared" si="310"/>
        <v>0.34651091725928107</v>
      </c>
    </row>
    <row r="81" spans="1:50" ht="0.15" customHeight="1" x14ac:dyDescent="0.25">
      <c r="A81" s="137"/>
      <c r="I81" s="174" t="s">
        <v>55</v>
      </c>
      <c r="J81" s="190">
        <f t="shared" ref="J81:O81" si="311">MAX(J76:J79)</f>
        <v>0.59805058578198511</v>
      </c>
      <c r="K81" s="190">
        <f t="shared" si="311"/>
        <v>0.59252024233164657</v>
      </c>
      <c r="L81" s="190">
        <f t="shared" si="311"/>
        <v>0.58781770072583983</v>
      </c>
      <c r="M81" s="190">
        <f t="shared" si="311"/>
        <v>0.58315248087880933</v>
      </c>
      <c r="N81" s="190">
        <f t="shared" si="311"/>
        <v>0.57852428658612021</v>
      </c>
      <c r="O81" s="190">
        <f t="shared" si="311"/>
        <v>0.5739328239941669</v>
      </c>
      <c r="P81" s="190">
        <f t="shared" ref="P81:AX81" si="312">MAX(P76:P79)</f>
        <v>0.56949097592746156</v>
      </c>
      <c r="Q81" s="190">
        <f t="shared" si="312"/>
        <v>0.56385245141332818</v>
      </c>
      <c r="R81" s="190">
        <f t="shared" si="312"/>
        <v>0.55826975387458233</v>
      </c>
      <c r="S81" s="190">
        <f t="shared" si="312"/>
        <v>0.55274233056889355</v>
      </c>
      <c r="T81" s="190">
        <f t="shared" si="312"/>
        <v>0.54726963422662722</v>
      </c>
      <c r="U81" s="190">
        <f t="shared" si="312"/>
        <v>0.54447753501990404</v>
      </c>
      <c r="V81" s="190">
        <f t="shared" si="312"/>
        <v>0.54158575608817072</v>
      </c>
      <c r="W81" s="190">
        <f t="shared" si="312"/>
        <v>0.53859716629037291</v>
      </c>
      <c r="X81" s="190">
        <f t="shared" si="312"/>
        <v>0.53551548397531468</v>
      </c>
      <c r="Y81" s="190">
        <f t="shared" si="312"/>
        <v>0.53234531717546374</v>
      </c>
      <c r="Z81" s="190">
        <f t="shared" si="312"/>
        <v>0.52909219372051797</v>
      </c>
      <c r="AA81" s="190">
        <f t="shared" si="312"/>
        <v>0.52576257919304492</v>
      </c>
      <c r="AB81" s="190">
        <f t="shared" si="312"/>
        <v>0.52236388069596085</v>
      </c>
      <c r="AC81" s="190">
        <f t="shared" si="312"/>
        <v>0.51890443453752533</v>
      </c>
      <c r="AD81" s="190">
        <f t="shared" si="312"/>
        <v>0.5153934761744986</v>
      </c>
      <c r="AE81" s="190">
        <f t="shared" si="312"/>
        <v>0.51184109109498477</v>
      </c>
      <c r="AF81" s="190">
        <f t="shared" si="312"/>
        <v>0.50825814577108663</v>
      </c>
      <c r="AG81" s="190">
        <f t="shared" si="312"/>
        <v>0.50465619836332143</v>
      </c>
      <c r="AH81" s="190">
        <f t="shared" si="312"/>
        <v>0.50104738950195082</v>
      </c>
      <c r="AI81" s="190">
        <f t="shared" si="312"/>
        <v>0.49744431418522861</v>
      </c>
      <c r="AJ81" s="190">
        <f t="shared" si="312"/>
        <v>0.49385987659341835</v>
      </c>
      <c r="AK81" s="190">
        <f t="shared" si="312"/>
        <v>0.49030713038538093</v>
      </c>
      <c r="AL81" s="190">
        <f t="shared" si="312"/>
        <v>0.48679910778097135</v>
      </c>
      <c r="AM81" s="190">
        <f t="shared" si="312"/>
        <v>0.48334864139331291</v>
      </c>
      <c r="AN81" s="190">
        <f t="shared" si="312"/>
        <v>0.47996818331562563</v>
      </c>
      <c r="AO81" s="190">
        <f t="shared" si="312"/>
        <v>0.4766696263460477</v>
      </c>
      <c r="AP81" s="190">
        <f t="shared" si="312"/>
        <v>0.47346413241576768</v>
      </c>
      <c r="AQ81" s="190">
        <f t="shared" si="312"/>
        <v>0.4703619732459407</v>
      </c>
      <c r="AR81" s="190">
        <f t="shared" si="312"/>
        <v>0.46737238798550579</v>
      </c>
      <c r="AS81" s="190">
        <f t="shared" si="312"/>
        <v>0.46450346207852716</v>
      </c>
      <c r="AT81" s="190">
        <f t="shared" si="312"/>
        <v>0.46176203089527257</v>
      </c>
      <c r="AU81" s="190">
        <f t="shared" si="312"/>
        <v>0.45915361077035749</v>
      </c>
      <c r="AV81" s="190">
        <f t="shared" si="312"/>
        <v>0.4566823590714022</v>
      </c>
      <c r="AW81" s="190">
        <f t="shared" si="312"/>
        <v>0.45435106382986035</v>
      </c>
      <c r="AX81" s="191">
        <f t="shared" si="312"/>
        <v>0.45216116236420378</v>
      </c>
    </row>
    <row r="82" spans="1:50" ht="0.15" customHeight="1" x14ac:dyDescent="0.25">
      <c r="A82" s="248"/>
      <c r="B82" s="249"/>
      <c r="C82" s="249"/>
      <c r="D82" s="249"/>
      <c r="E82" s="249"/>
      <c r="F82" s="249"/>
      <c r="G82" s="249"/>
      <c r="H82" s="250"/>
      <c r="I82" s="250" t="s">
        <v>61</v>
      </c>
      <c r="J82" s="251">
        <f t="shared" ref="J82:O82" si="313">J81-J80</f>
        <v>2.8296775699921839E-2</v>
      </c>
      <c r="K82" s="251">
        <f t="shared" si="313"/>
        <v>5.0452247020978391E-2</v>
      </c>
      <c r="L82" s="251">
        <f t="shared" si="313"/>
        <v>6.3918521358899638E-2</v>
      </c>
      <c r="M82" s="251">
        <f t="shared" si="313"/>
        <v>7.0933254618551378E-2</v>
      </c>
      <c r="N82" s="251">
        <f t="shared" si="313"/>
        <v>7.2979620701008829E-2</v>
      </c>
      <c r="O82" s="251">
        <f t="shared" si="313"/>
        <v>7.3393550840591293E-2</v>
      </c>
      <c r="P82" s="251">
        <f t="shared" ref="P82:AX82" si="314">P81-P80</f>
        <v>7.7013009537893751E-2</v>
      </c>
      <c r="Q82" s="251">
        <f t="shared" si="314"/>
        <v>7.6664717587640485E-2</v>
      </c>
      <c r="R82" s="251">
        <f t="shared" si="314"/>
        <v>7.4482883839960434E-2</v>
      </c>
      <c r="S82" s="251">
        <f t="shared" si="314"/>
        <v>7.1506108377570932E-2</v>
      </c>
      <c r="T82" s="251">
        <f t="shared" si="314"/>
        <v>6.688362798307107E-2</v>
      </c>
      <c r="U82" s="251">
        <f t="shared" si="314"/>
        <v>6.8313203725528127E-2</v>
      </c>
      <c r="V82" s="251">
        <f t="shared" si="314"/>
        <v>6.9721739318514553E-2</v>
      </c>
      <c r="W82" s="251">
        <f t="shared" si="314"/>
        <v>7.1107819023317642E-2</v>
      </c>
      <c r="X82" s="251">
        <f t="shared" si="314"/>
        <v>7.2470420582543604E-2</v>
      </c>
      <c r="Y82" s="251">
        <f t="shared" si="314"/>
        <v>7.3808957147639132E-2</v>
      </c>
      <c r="Z82" s="251">
        <f t="shared" si="314"/>
        <v>7.5123313285304194E-2</v>
      </c>
      <c r="AA82" s="251">
        <f t="shared" si="314"/>
        <v>7.6413873264944254E-2</v>
      </c>
      <c r="AB82" s="251">
        <f t="shared" si="314"/>
        <v>7.7681539831948809E-2</v>
      </c>
      <c r="AC82" s="251">
        <f t="shared" si="314"/>
        <v>7.8927741752898295E-2</v>
      </c>
      <c r="AD82" s="251">
        <f t="shared" si="314"/>
        <v>8.0154428589593651E-2</v>
      </c>
      <c r="AE82" s="251">
        <f t="shared" si="314"/>
        <v>8.1364051426475126E-2</v>
      </c>
      <c r="AF82" s="251">
        <f t="shared" si="314"/>
        <v>8.2559528643246172E-2</v>
      </c>
      <c r="AG82" s="251">
        <f t="shared" si="314"/>
        <v>8.3744196288130623E-2</v>
      </c>
      <c r="AH82" s="251">
        <f t="shared" si="314"/>
        <v>8.49217431569394E-2</v>
      </c>
      <c r="AI82" s="251">
        <f t="shared" si="314"/>
        <v>8.6096131301289625E-2</v>
      </c>
      <c r="AJ82" s="251">
        <f t="shared" si="314"/>
        <v>8.7271503350563606E-2</v>
      </c>
      <c r="AK82" s="251">
        <f t="shared" si="314"/>
        <v>8.8452078704215453E-2</v>
      </c>
      <c r="AL82" s="251">
        <f t="shared" si="314"/>
        <v>8.9642041296014274E-2</v>
      </c>
      <c r="AM82" s="251">
        <f t="shared" si="314"/>
        <v>9.0845422208553017E-2</v>
      </c>
      <c r="AN82" s="251">
        <f t="shared" si="314"/>
        <v>9.2065980883152654E-2</v>
      </c>
      <c r="AO82" s="251">
        <f t="shared" si="314"/>
        <v>9.3307088988331344E-2</v>
      </c>
      <c r="AP82" s="251">
        <f t="shared" si="314"/>
        <v>9.4571621146805507E-2</v>
      </c>
      <c r="AQ82" s="251">
        <f t="shared" si="314"/>
        <v>9.5861856653943422E-2</v>
      </c>
      <c r="AR82" s="251">
        <f t="shared" si="314"/>
        <v>9.7179396039628274E-2</v>
      </c>
      <c r="AS82" s="251">
        <f t="shared" si="314"/>
        <v>9.852509583517316E-2</v>
      </c>
      <c r="AT82" s="251">
        <f t="shared" si="314"/>
        <v>9.9899024226984046E-2</v>
      </c>
      <c r="AU82" s="251">
        <f t="shared" si="314"/>
        <v>0.10130043944333122</v>
      </c>
      <c r="AV82" s="251">
        <f t="shared" si="314"/>
        <v>0.10272779177639235</v>
      </c>
      <c r="AW82" s="251">
        <f t="shared" si="314"/>
        <v>0.10417874914408104</v>
      </c>
      <c r="AX82" s="252">
        <f t="shared" si="314"/>
        <v>0.10565024510492271</v>
      </c>
    </row>
    <row r="83" spans="1:50" ht="0.15" customHeight="1" x14ac:dyDescent="0.25">
      <c r="A83" s="253" t="str">
        <f>"RIGHT "&amp;$J$1184</f>
        <v>RIGHT CO2 emission related costs</v>
      </c>
      <c r="B83" s="254"/>
      <c r="C83" s="254"/>
      <c r="D83" s="254"/>
      <c r="E83" s="254"/>
      <c r="F83" s="254"/>
      <c r="G83" s="254"/>
      <c r="H83" s="254"/>
      <c r="I83" s="254"/>
      <c r="J83" s="255">
        <f t="shared" ref="J83:O83" si="315">J$1185</f>
        <v>2010</v>
      </c>
      <c r="K83" s="255">
        <f t="shared" si="315"/>
        <v>2011</v>
      </c>
      <c r="L83" s="255">
        <f t="shared" si="315"/>
        <v>2012</v>
      </c>
      <c r="M83" s="255">
        <f t="shared" si="315"/>
        <v>2013</v>
      </c>
      <c r="N83" s="255">
        <f t="shared" si="315"/>
        <v>2014</v>
      </c>
      <c r="O83" s="255">
        <f t="shared" si="315"/>
        <v>2015</v>
      </c>
      <c r="P83" s="255">
        <f t="shared" ref="P83:AX83" si="316">P$1185</f>
        <v>2016</v>
      </c>
      <c r="Q83" s="255">
        <f t="shared" si="316"/>
        <v>2017</v>
      </c>
      <c r="R83" s="255">
        <f t="shared" si="316"/>
        <v>2018</v>
      </c>
      <c r="S83" s="255">
        <f t="shared" si="316"/>
        <v>2019</v>
      </c>
      <c r="T83" s="255">
        <f t="shared" si="316"/>
        <v>2020</v>
      </c>
      <c r="U83" s="255">
        <f t="shared" si="316"/>
        <v>2021</v>
      </c>
      <c r="V83" s="255">
        <f t="shared" si="316"/>
        <v>2022</v>
      </c>
      <c r="W83" s="255">
        <f t="shared" si="316"/>
        <v>2023</v>
      </c>
      <c r="X83" s="255">
        <f t="shared" si="316"/>
        <v>2024</v>
      </c>
      <c r="Y83" s="255">
        <f t="shared" si="316"/>
        <v>2025</v>
      </c>
      <c r="Z83" s="255">
        <f t="shared" si="316"/>
        <v>2026</v>
      </c>
      <c r="AA83" s="255">
        <f t="shared" si="316"/>
        <v>2027</v>
      </c>
      <c r="AB83" s="255">
        <f t="shared" si="316"/>
        <v>2028</v>
      </c>
      <c r="AC83" s="255">
        <f t="shared" si="316"/>
        <v>2029</v>
      </c>
      <c r="AD83" s="255">
        <f t="shared" si="316"/>
        <v>2030</v>
      </c>
      <c r="AE83" s="255">
        <f t="shared" si="316"/>
        <v>2031</v>
      </c>
      <c r="AF83" s="255">
        <f t="shared" si="316"/>
        <v>2032</v>
      </c>
      <c r="AG83" s="255">
        <f t="shared" si="316"/>
        <v>2033</v>
      </c>
      <c r="AH83" s="255">
        <f t="shared" si="316"/>
        <v>2034</v>
      </c>
      <c r="AI83" s="255">
        <f t="shared" si="316"/>
        <v>2035</v>
      </c>
      <c r="AJ83" s="255">
        <f t="shared" si="316"/>
        <v>2036</v>
      </c>
      <c r="AK83" s="255">
        <f t="shared" si="316"/>
        <v>2037</v>
      </c>
      <c r="AL83" s="255">
        <f t="shared" si="316"/>
        <v>2038</v>
      </c>
      <c r="AM83" s="255">
        <f t="shared" si="316"/>
        <v>2039</v>
      </c>
      <c r="AN83" s="255">
        <f t="shared" si="316"/>
        <v>2040</v>
      </c>
      <c r="AO83" s="255">
        <f t="shared" si="316"/>
        <v>2041</v>
      </c>
      <c r="AP83" s="255">
        <f t="shared" si="316"/>
        <v>2042</v>
      </c>
      <c r="AQ83" s="255">
        <f t="shared" si="316"/>
        <v>2043</v>
      </c>
      <c r="AR83" s="255">
        <f t="shared" si="316"/>
        <v>2044</v>
      </c>
      <c r="AS83" s="255">
        <f t="shared" si="316"/>
        <v>2045</v>
      </c>
      <c r="AT83" s="255">
        <f t="shared" si="316"/>
        <v>2046</v>
      </c>
      <c r="AU83" s="255">
        <f t="shared" si="316"/>
        <v>2047</v>
      </c>
      <c r="AV83" s="255">
        <f t="shared" si="316"/>
        <v>2048</v>
      </c>
      <c r="AW83" s="255">
        <f t="shared" si="316"/>
        <v>2049</v>
      </c>
      <c r="AX83" s="256">
        <f t="shared" si="316"/>
        <v>2050</v>
      </c>
    </row>
    <row r="84" spans="1:50" ht="0.15" customHeight="1" x14ac:dyDescent="0.25">
      <c r="A84" s="247" t="str">
        <f>INDEX(F$1186:F$1457,$D$140)</f>
        <v>Wind power plants</v>
      </c>
      <c r="B84" s="133" t="str">
        <f>INDEX(G$1186:G$1457,$D$140)</f>
        <v>Onshore</v>
      </c>
      <c r="C84" s="133" t="str">
        <f>INDEX(H$1186:H$1457,$D$140)</f>
        <v>Electricity only</v>
      </c>
      <c r="D84" s="133" t="str">
        <f>INDEX(I$1186:I$1457,$D$140)</f>
        <v>L</v>
      </c>
      <c r="I84" s="133" t="str">
        <f>A84&amp;" / "&amp;B84&amp;" / "&amp;C84&amp;" / "&amp;D84</f>
        <v>Wind power plants / Onshore / Electricity only / L</v>
      </c>
      <c r="J84" s="177">
        <f t="shared" ref="J84:AX84" si="317">INDEX(J$1186:J$1457,$D$140)</f>
        <v>0</v>
      </c>
      <c r="K84" s="177">
        <f t="shared" si="317"/>
        <v>0</v>
      </c>
      <c r="L84" s="177">
        <f t="shared" si="317"/>
        <v>0</v>
      </c>
      <c r="M84" s="177">
        <f t="shared" si="317"/>
        <v>0</v>
      </c>
      <c r="N84" s="177">
        <f t="shared" si="317"/>
        <v>0</v>
      </c>
      <c r="O84" s="177">
        <f t="shared" si="317"/>
        <v>0</v>
      </c>
      <c r="P84" s="177">
        <f t="shared" si="317"/>
        <v>0</v>
      </c>
      <c r="Q84" s="177">
        <f t="shared" si="317"/>
        <v>0</v>
      </c>
      <c r="R84" s="177">
        <f t="shared" si="317"/>
        <v>0</v>
      </c>
      <c r="S84" s="177">
        <f t="shared" si="317"/>
        <v>0</v>
      </c>
      <c r="T84" s="177">
        <f t="shared" si="317"/>
        <v>0</v>
      </c>
      <c r="U84" s="177">
        <f t="shared" si="317"/>
        <v>0</v>
      </c>
      <c r="V84" s="177">
        <f t="shared" si="317"/>
        <v>0</v>
      </c>
      <c r="W84" s="177">
        <f t="shared" si="317"/>
        <v>0</v>
      </c>
      <c r="X84" s="177">
        <f t="shared" si="317"/>
        <v>0</v>
      </c>
      <c r="Y84" s="177">
        <f t="shared" si="317"/>
        <v>0</v>
      </c>
      <c r="Z84" s="177">
        <f t="shared" si="317"/>
        <v>0</v>
      </c>
      <c r="AA84" s="177">
        <f t="shared" si="317"/>
        <v>0</v>
      </c>
      <c r="AB84" s="177">
        <f t="shared" si="317"/>
        <v>0</v>
      </c>
      <c r="AC84" s="177">
        <f t="shared" si="317"/>
        <v>0</v>
      </c>
      <c r="AD84" s="177">
        <f t="shared" si="317"/>
        <v>0</v>
      </c>
      <c r="AE84" s="177">
        <f t="shared" si="317"/>
        <v>0</v>
      </c>
      <c r="AF84" s="177">
        <f t="shared" si="317"/>
        <v>0</v>
      </c>
      <c r="AG84" s="177">
        <f t="shared" si="317"/>
        <v>0</v>
      </c>
      <c r="AH84" s="177">
        <f t="shared" si="317"/>
        <v>0</v>
      </c>
      <c r="AI84" s="177">
        <f t="shared" si="317"/>
        <v>0</v>
      </c>
      <c r="AJ84" s="177">
        <f t="shared" si="317"/>
        <v>0</v>
      </c>
      <c r="AK84" s="177">
        <f t="shared" si="317"/>
        <v>0</v>
      </c>
      <c r="AL84" s="177">
        <f t="shared" si="317"/>
        <v>0</v>
      </c>
      <c r="AM84" s="177">
        <f t="shared" si="317"/>
        <v>0</v>
      </c>
      <c r="AN84" s="177">
        <f t="shared" si="317"/>
        <v>0</v>
      </c>
      <c r="AO84" s="177">
        <f t="shared" si="317"/>
        <v>0</v>
      </c>
      <c r="AP84" s="177">
        <f t="shared" si="317"/>
        <v>0</v>
      </c>
      <c r="AQ84" s="177">
        <f t="shared" si="317"/>
        <v>0</v>
      </c>
      <c r="AR84" s="177">
        <f t="shared" si="317"/>
        <v>0</v>
      </c>
      <c r="AS84" s="177">
        <f t="shared" si="317"/>
        <v>0</v>
      </c>
      <c r="AT84" s="177">
        <f t="shared" si="317"/>
        <v>0</v>
      </c>
      <c r="AU84" s="177">
        <f t="shared" si="317"/>
        <v>0</v>
      </c>
      <c r="AV84" s="177">
        <f t="shared" si="317"/>
        <v>0</v>
      </c>
      <c r="AW84" s="177">
        <f t="shared" si="317"/>
        <v>0</v>
      </c>
      <c r="AX84" s="178">
        <f t="shared" si="317"/>
        <v>0</v>
      </c>
    </row>
    <row r="85" spans="1:50" ht="0.15" customHeight="1" x14ac:dyDescent="0.25">
      <c r="A85" s="247" t="str">
        <f>INDEX(F$1186:F$1457,$D$141)</f>
        <v>Wind power plants</v>
      </c>
      <c r="B85" s="133" t="str">
        <f>INDEX(G$1186:G$1457,$D$141)</f>
        <v>Onshore</v>
      </c>
      <c r="C85" s="133" t="str">
        <f>INDEX(H$1186:H$1457,$D$141)</f>
        <v>Electricity only</v>
      </c>
      <c r="D85" s="133" t="str">
        <f>INDEX(I$1186:I$1457,$D$141)</f>
        <v>M</v>
      </c>
      <c r="I85" s="133" t="str">
        <f t="shared" ref="I85:I87" si="318">A85&amp;" / "&amp;B85&amp;" / "&amp;C85&amp;" / "&amp;D85</f>
        <v>Wind power plants / Onshore / Electricity only / M</v>
      </c>
      <c r="J85" s="177">
        <f t="shared" ref="J85:AX85" si="319">INDEX(J$1186:J$1457,$D$141)</f>
        <v>0</v>
      </c>
      <c r="K85" s="177">
        <f t="shared" si="319"/>
        <v>0</v>
      </c>
      <c r="L85" s="177">
        <f t="shared" si="319"/>
        <v>0</v>
      </c>
      <c r="M85" s="177">
        <f t="shared" si="319"/>
        <v>0</v>
      </c>
      <c r="N85" s="177">
        <f t="shared" si="319"/>
        <v>0</v>
      </c>
      <c r="O85" s="177">
        <f t="shared" si="319"/>
        <v>0</v>
      </c>
      <c r="P85" s="177">
        <f t="shared" si="319"/>
        <v>0</v>
      </c>
      <c r="Q85" s="177">
        <f t="shared" si="319"/>
        <v>0</v>
      </c>
      <c r="R85" s="177">
        <f t="shared" si="319"/>
        <v>0</v>
      </c>
      <c r="S85" s="177">
        <f t="shared" si="319"/>
        <v>0</v>
      </c>
      <c r="T85" s="177">
        <f t="shared" si="319"/>
        <v>0</v>
      </c>
      <c r="U85" s="177">
        <f t="shared" si="319"/>
        <v>0</v>
      </c>
      <c r="V85" s="177">
        <f t="shared" si="319"/>
        <v>0</v>
      </c>
      <c r="W85" s="177">
        <f t="shared" si="319"/>
        <v>0</v>
      </c>
      <c r="X85" s="177">
        <f t="shared" si="319"/>
        <v>0</v>
      </c>
      <c r="Y85" s="177">
        <f t="shared" si="319"/>
        <v>0</v>
      </c>
      <c r="Z85" s="177">
        <f t="shared" si="319"/>
        <v>0</v>
      </c>
      <c r="AA85" s="177">
        <f t="shared" si="319"/>
        <v>0</v>
      </c>
      <c r="AB85" s="177">
        <f t="shared" si="319"/>
        <v>0</v>
      </c>
      <c r="AC85" s="177">
        <f t="shared" si="319"/>
        <v>0</v>
      </c>
      <c r="AD85" s="177">
        <f t="shared" si="319"/>
        <v>0</v>
      </c>
      <c r="AE85" s="177">
        <f t="shared" si="319"/>
        <v>0</v>
      </c>
      <c r="AF85" s="177">
        <f t="shared" si="319"/>
        <v>0</v>
      </c>
      <c r="AG85" s="177">
        <f t="shared" si="319"/>
        <v>0</v>
      </c>
      <c r="AH85" s="177">
        <f t="shared" si="319"/>
        <v>0</v>
      </c>
      <c r="AI85" s="177">
        <f t="shared" si="319"/>
        <v>0</v>
      </c>
      <c r="AJ85" s="177">
        <f t="shared" si="319"/>
        <v>0</v>
      </c>
      <c r="AK85" s="177">
        <f t="shared" si="319"/>
        <v>0</v>
      </c>
      <c r="AL85" s="177">
        <f t="shared" si="319"/>
        <v>0</v>
      </c>
      <c r="AM85" s="177">
        <f t="shared" si="319"/>
        <v>0</v>
      </c>
      <c r="AN85" s="177">
        <f t="shared" si="319"/>
        <v>0</v>
      </c>
      <c r="AO85" s="177">
        <f t="shared" si="319"/>
        <v>0</v>
      </c>
      <c r="AP85" s="177">
        <f t="shared" si="319"/>
        <v>0</v>
      </c>
      <c r="AQ85" s="177">
        <f t="shared" si="319"/>
        <v>0</v>
      </c>
      <c r="AR85" s="177">
        <f t="shared" si="319"/>
        <v>0</v>
      </c>
      <c r="AS85" s="177">
        <f t="shared" si="319"/>
        <v>0</v>
      </c>
      <c r="AT85" s="177">
        <f t="shared" si="319"/>
        <v>0</v>
      </c>
      <c r="AU85" s="177">
        <f t="shared" si="319"/>
        <v>0</v>
      </c>
      <c r="AV85" s="177">
        <f t="shared" si="319"/>
        <v>0</v>
      </c>
      <c r="AW85" s="177">
        <f t="shared" si="319"/>
        <v>0</v>
      </c>
      <c r="AX85" s="178">
        <f t="shared" si="319"/>
        <v>0</v>
      </c>
    </row>
    <row r="86" spans="1:50" ht="0.15" customHeight="1" x14ac:dyDescent="0.25">
      <c r="A86" s="247" t="str">
        <f>INDEX(F$1186:F$1457,$D$142)</f>
        <v>Wind power plants</v>
      </c>
      <c r="B86" s="133" t="str">
        <f>INDEX(G$1186:G$1457,$D$142)</f>
        <v>Onshore</v>
      </c>
      <c r="C86" s="133" t="str">
        <f>INDEX(H$1186:H$1457,$D$142)</f>
        <v>Electricity only</v>
      </c>
      <c r="D86" s="133" t="str">
        <f>INDEX(I$1186:I$1457,$D$142)</f>
        <v>S</v>
      </c>
      <c r="I86" s="133" t="str">
        <f t="shared" si="318"/>
        <v>Wind power plants / Onshore / Electricity only / S</v>
      </c>
      <c r="J86" s="177">
        <f t="shared" ref="J86:AX86" si="320">INDEX(J$1186:J$1457,$D$142)</f>
        <v>0</v>
      </c>
      <c r="K86" s="177">
        <f t="shared" si="320"/>
        <v>0</v>
      </c>
      <c r="L86" s="177">
        <f t="shared" si="320"/>
        <v>0</v>
      </c>
      <c r="M86" s="177">
        <f t="shared" si="320"/>
        <v>0</v>
      </c>
      <c r="N86" s="177">
        <f t="shared" si="320"/>
        <v>0</v>
      </c>
      <c r="O86" s="177">
        <f t="shared" si="320"/>
        <v>0</v>
      </c>
      <c r="P86" s="177">
        <f t="shared" si="320"/>
        <v>0</v>
      </c>
      <c r="Q86" s="177">
        <f t="shared" si="320"/>
        <v>0</v>
      </c>
      <c r="R86" s="177">
        <f t="shared" si="320"/>
        <v>0</v>
      </c>
      <c r="S86" s="177">
        <f t="shared" si="320"/>
        <v>0</v>
      </c>
      <c r="T86" s="177">
        <f t="shared" si="320"/>
        <v>0</v>
      </c>
      <c r="U86" s="177">
        <f t="shared" si="320"/>
        <v>0</v>
      </c>
      <c r="V86" s="177">
        <f t="shared" si="320"/>
        <v>0</v>
      </c>
      <c r="W86" s="177">
        <f t="shared" si="320"/>
        <v>0</v>
      </c>
      <c r="X86" s="177">
        <f t="shared" si="320"/>
        <v>0</v>
      </c>
      <c r="Y86" s="177">
        <f t="shared" si="320"/>
        <v>0</v>
      </c>
      <c r="Z86" s="177">
        <f t="shared" si="320"/>
        <v>0</v>
      </c>
      <c r="AA86" s="177">
        <f t="shared" si="320"/>
        <v>0</v>
      </c>
      <c r="AB86" s="177">
        <f t="shared" si="320"/>
        <v>0</v>
      </c>
      <c r="AC86" s="177">
        <f t="shared" si="320"/>
        <v>0</v>
      </c>
      <c r="AD86" s="177">
        <f t="shared" si="320"/>
        <v>0</v>
      </c>
      <c r="AE86" s="177">
        <f t="shared" si="320"/>
        <v>0</v>
      </c>
      <c r="AF86" s="177">
        <f t="shared" si="320"/>
        <v>0</v>
      </c>
      <c r="AG86" s="177">
        <f t="shared" si="320"/>
        <v>0</v>
      </c>
      <c r="AH86" s="177">
        <f t="shared" si="320"/>
        <v>0</v>
      </c>
      <c r="AI86" s="177">
        <f t="shared" si="320"/>
        <v>0</v>
      </c>
      <c r="AJ86" s="177">
        <f t="shared" si="320"/>
        <v>0</v>
      </c>
      <c r="AK86" s="177">
        <f t="shared" si="320"/>
        <v>0</v>
      </c>
      <c r="AL86" s="177">
        <f t="shared" si="320"/>
        <v>0</v>
      </c>
      <c r="AM86" s="177">
        <f t="shared" si="320"/>
        <v>0</v>
      </c>
      <c r="AN86" s="177">
        <f t="shared" si="320"/>
        <v>0</v>
      </c>
      <c r="AO86" s="177">
        <f t="shared" si="320"/>
        <v>0</v>
      </c>
      <c r="AP86" s="177">
        <f t="shared" si="320"/>
        <v>0</v>
      </c>
      <c r="AQ86" s="177">
        <f t="shared" si="320"/>
        <v>0</v>
      </c>
      <c r="AR86" s="177">
        <f t="shared" si="320"/>
        <v>0</v>
      </c>
      <c r="AS86" s="177">
        <f t="shared" si="320"/>
        <v>0</v>
      </c>
      <c r="AT86" s="177">
        <f t="shared" si="320"/>
        <v>0</v>
      </c>
      <c r="AU86" s="177">
        <f t="shared" si="320"/>
        <v>0</v>
      </c>
      <c r="AV86" s="177">
        <f t="shared" si="320"/>
        <v>0</v>
      </c>
      <c r="AW86" s="177">
        <f t="shared" si="320"/>
        <v>0</v>
      </c>
      <c r="AX86" s="178">
        <f t="shared" si="320"/>
        <v>0</v>
      </c>
    </row>
    <row r="87" spans="1:50" ht="0.15" customHeight="1" x14ac:dyDescent="0.25">
      <c r="A87" s="247" t="str">
        <f>INDEX(F$1186:F$1457,$D$143)</f>
        <v>Wind power plants</v>
      </c>
      <c r="B87" s="133" t="str">
        <f>INDEX(G$1186:G$1457,$D$143)</f>
        <v>Onshore</v>
      </c>
      <c r="C87" s="133" t="str">
        <f>INDEX(H$1186:H$1457,$D$143)</f>
        <v>Electricity only</v>
      </c>
      <c r="D87" s="133" t="str">
        <f>INDEX(I$1186:I$1457,$D$143)</f>
        <v>XS</v>
      </c>
      <c r="I87" s="133" t="str">
        <f t="shared" si="318"/>
        <v>Wind power plants / Onshore / Electricity only / XS</v>
      </c>
      <c r="J87" s="177">
        <f t="shared" ref="J87:AX87" si="321">INDEX(J$1186:J$1457,$D$143)</f>
        <v>0</v>
      </c>
      <c r="K87" s="177">
        <f t="shared" si="321"/>
        <v>0</v>
      </c>
      <c r="L87" s="177">
        <f t="shared" si="321"/>
        <v>0</v>
      </c>
      <c r="M87" s="177">
        <f t="shared" si="321"/>
        <v>0</v>
      </c>
      <c r="N87" s="177">
        <f t="shared" si="321"/>
        <v>0</v>
      </c>
      <c r="O87" s="177">
        <f t="shared" si="321"/>
        <v>0</v>
      </c>
      <c r="P87" s="177">
        <f t="shared" si="321"/>
        <v>0</v>
      </c>
      <c r="Q87" s="177">
        <f t="shared" si="321"/>
        <v>0</v>
      </c>
      <c r="R87" s="177">
        <f t="shared" si="321"/>
        <v>0</v>
      </c>
      <c r="S87" s="177">
        <f t="shared" si="321"/>
        <v>0</v>
      </c>
      <c r="T87" s="177">
        <f t="shared" si="321"/>
        <v>0</v>
      </c>
      <c r="U87" s="177">
        <f t="shared" si="321"/>
        <v>0</v>
      </c>
      <c r="V87" s="177">
        <f t="shared" si="321"/>
        <v>0</v>
      </c>
      <c r="W87" s="177">
        <f t="shared" si="321"/>
        <v>0</v>
      </c>
      <c r="X87" s="177">
        <f t="shared" si="321"/>
        <v>0</v>
      </c>
      <c r="Y87" s="177">
        <f t="shared" si="321"/>
        <v>0</v>
      </c>
      <c r="Z87" s="177">
        <f t="shared" si="321"/>
        <v>0</v>
      </c>
      <c r="AA87" s="177">
        <f t="shared" si="321"/>
        <v>0</v>
      </c>
      <c r="AB87" s="177">
        <f t="shared" si="321"/>
        <v>0</v>
      </c>
      <c r="AC87" s="177">
        <f t="shared" si="321"/>
        <v>0</v>
      </c>
      <c r="AD87" s="177">
        <f t="shared" si="321"/>
        <v>0</v>
      </c>
      <c r="AE87" s="177">
        <f t="shared" si="321"/>
        <v>0</v>
      </c>
      <c r="AF87" s="177">
        <f t="shared" si="321"/>
        <v>0</v>
      </c>
      <c r="AG87" s="177">
        <f t="shared" si="321"/>
        <v>0</v>
      </c>
      <c r="AH87" s="177">
        <f t="shared" si="321"/>
        <v>0</v>
      </c>
      <c r="AI87" s="177">
        <f t="shared" si="321"/>
        <v>0</v>
      </c>
      <c r="AJ87" s="177">
        <f t="shared" si="321"/>
        <v>0</v>
      </c>
      <c r="AK87" s="177">
        <f t="shared" si="321"/>
        <v>0</v>
      </c>
      <c r="AL87" s="177">
        <f t="shared" si="321"/>
        <v>0</v>
      </c>
      <c r="AM87" s="177">
        <f t="shared" si="321"/>
        <v>0</v>
      </c>
      <c r="AN87" s="177">
        <f t="shared" si="321"/>
        <v>0</v>
      </c>
      <c r="AO87" s="177">
        <f t="shared" si="321"/>
        <v>0</v>
      </c>
      <c r="AP87" s="177">
        <f t="shared" si="321"/>
        <v>0</v>
      </c>
      <c r="AQ87" s="177">
        <f t="shared" si="321"/>
        <v>0</v>
      </c>
      <c r="AR87" s="177">
        <f t="shared" si="321"/>
        <v>0</v>
      </c>
      <c r="AS87" s="177">
        <f t="shared" si="321"/>
        <v>0</v>
      </c>
      <c r="AT87" s="177">
        <f t="shared" si="321"/>
        <v>0</v>
      </c>
      <c r="AU87" s="177">
        <f t="shared" si="321"/>
        <v>0</v>
      </c>
      <c r="AV87" s="177">
        <f t="shared" si="321"/>
        <v>0</v>
      </c>
      <c r="AW87" s="177">
        <f t="shared" si="321"/>
        <v>0</v>
      </c>
      <c r="AX87" s="178">
        <f t="shared" si="321"/>
        <v>0</v>
      </c>
    </row>
    <row r="88" spans="1:50" ht="0.15" customHeight="1" x14ac:dyDescent="0.25">
      <c r="A88" s="137"/>
      <c r="I88" s="174" t="s">
        <v>54</v>
      </c>
      <c r="J88" s="192">
        <f t="shared" ref="J88:O88" si="322">MIN(J84:J87)</f>
        <v>0</v>
      </c>
      <c r="K88" s="192">
        <f t="shared" si="322"/>
        <v>0</v>
      </c>
      <c r="L88" s="192">
        <f t="shared" si="322"/>
        <v>0</v>
      </c>
      <c r="M88" s="192">
        <f t="shared" si="322"/>
        <v>0</v>
      </c>
      <c r="N88" s="192">
        <f t="shared" si="322"/>
        <v>0</v>
      </c>
      <c r="O88" s="192">
        <f t="shared" si="322"/>
        <v>0</v>
      </c>
      <c r="P88" s="192">
        <f t="shared" ref="P88:AX88" si="323">MIN(P84:P87)</f>
        <v>0</v>
      </c>
      <c r="Q88" s="192">
        <f t="shared" si="323"/>
        <v>0</v>
      </c>
      <c r="R88" s="192">
        <f t="shared" si="323"/>
        <v>0</v>
      </c>
      <c r="S88" s="192">
        <f t="shared" si="323"/>
        <v>0</v>
      </c>
      <c r="T88" s="192">
        <f t="shared" si="323"/>
        <v>0</v>
      </c>
      <c r="U88" s="192">
        <f t="shared" si="323"/>
        <v>0</v>
      </c>
      <c r="V88" s="192">
        <f t="shared" si="323"/>
        <v>0</v>
      </c>
      <c r="W88" s="192">
        <f t="shared" si="323"/>
        <v>0</v>
      </c>
      <c r="X88" s="192">
        <f t="shared" si="323"/>
        <v>0</v>
      </c>
      <c r="Y88" s="192">
        <f t="shared" si="323"/>
        <v>0</v>
      </c>
      <c r="Z88" s="192">
        <f t="shared" si="323"/>
        <v>0</v>
      </c>
      <c r="AA88" s="192">
        <f t="shared" si="323"/>
        <v>0</v>
      </c>
      <c r="AB88" s="192">
        <f t="shared" si="323"/>
        <v>0</v>
      </c>
      <c r="AC88" s="192">
        <f t="shared" si="323"/>
        <v>0</v>
      </c>
      <c r="AD88" s="192">
        <f t="shared" si="323"/>
        <v>0</v>
      </c>
      <c r="AE88" s="192">
        <f t="shared" si="323"/>
        <v>0</v>
      </c>
      <c r="AF88" s="192">
        <f t="shared" si="323"/>
        <v>0</v>
      </c>
      <c r="AG88" s="192">
        <f t="shared" si="323"/>
        <v>0</v>
      </c>
      <c r="AH88" s="192">
        <f t="shared" si="323"/>
        <v>0</v>
      </c>
      <c r="AI88" s="192">
        <f t="shared" si="323"/>
        <v>0</v>
      </c>
      <c r="AJ88" s="192">
        <f t="shared" si="323"/>
        <v>0</v>
      </c>
      <c r="AK88" s="192">
        <f t="shared" si="323"/>
        <v>0</v>
      </c>
      <c r="AL88" s="192">
        <f t="shared" si="323"/>
        <v>0</v>
      </c>
      <c r="AM88" s="192">
        <f t="shared" si="323"/>
        <v>0</v>
      </c>
      <c r="AN88" s="192">
        <f t="shared" si="323"/>
        <v>0</v>
      </c>
      <c r="AO88" s="192">
        <f t="shared" si="323"/>
        <v>0</v>
      </c>
      <c r="AP88" s="192">
        <f t="shared" si="323"/>
        <v>0</v>
      </c>
      <c r="AQ88" s="192">
        <f t="shared" si="323"/>
        <v>0</v>
      </c>
      <c r="AR88" s="192">
        <f t="shared" si="323"/>
        <v>0</v>
      </c>
      <c r="AS88" s="192">
        <f t="shared" si="323"/>
        <v>0</v>
      </c>
      <c r="AT88" s="192">
        <f t="shared" si="323"/>
        <v>0</v>
      </c>
      <c r="AU88" s="192">
        <f t="shared" si="323"/>
        <v>0</v>
      </c>
      <c r="AV88" s="192">
        <f t="shared" si="323"/>
        <v>0</v>
      </c>
      <c r="AW88" s="192">
        <f t="shared" si="323"/>
        <v>0</v>
      </c>
      <c r="AX88" s="193">
        <f t="shared" si="323"/>
        <v>0</v>
      </c>
    </row>
    <row r="89" spans="1:50" ht="0.15" customHeight="1" x14ac:dyDescent="0.25">
      <c r="A89" s="137"/>
      <c r="I89" s="174" t="s">
        <v>55</v>
      </c>
      <c r="J89" s="192">
        <f t="shared" ref="J89:O89" si="324">MAX(J84:J87)</f>
        <v>0</v>
      </c>
      <c r="K89" s="192">
        <f t="shared" si="324"/>
        <v>0</v>
      </c>
      <c r="L89" s="192">
        <f t="shared" si="324"/>
        <v>0</v>
      </c>
      <c r="M89" s="192">
        <f t="shared" si="324"/>
        <v>0</v>
      </c>
      <c r="N89" s="192">
        <f t="shared" si="324"/>
        <v>0</v>
      </c>
      <c r="O89" s="192">
        <f t="shared" si="324"/>
        <v>0</v>
      </c>
      <c r="P89" s="192">
        <f t="shared" ref="P89:AX89" si="325">MAX(P84:P87)</f>
        <v>0</v>
      </c>
      <c r="Q89" s="192">
        <f t="shared" si="325"/>
        <v>0</v>
      </c>
      <c r="R89" s="192">
        <f t="shared" si="325"/>
        <v>0</v>
      </c>
      <c r="S89" s="192">
        <f t="shared" si="325"/>
        <v>0</v>
      </c>
      <c r="T89" s="192">
        <f t="shared" si="325"/>
        <v>0</v>
      </c>
      <c r="U89" s="192">
        <f t="shared" si="325"/>
        <v>0</v>
      </c>
      <c r="V89" s="192">
        <f t="shared" si="325"/>
        <v>0</v>
      </c>
      <c r="W89" s="192">
        <f t="shared" si="325"/>
        <v>0</v>
      </c>
      <c r="X89" s="192">
        <f t="shared" si="325"/>
        <v>0</v>
      </c>
      <c r="Y89" s="192">
        <f t="shared" si="325"/>
        <v>0</v>
      </c>
      <c r="Z89" s="192">
        <f t="shared" si="325"/>
        <v>0</v>
      </c>
      <c r="AA89" s="192">
        <f t="shared" si="325"/>
        <v>0</v>
      </c>
      <c r="AB89" s="192">
        <f t="shared" si="325"/>
        <v>0</v>
      </c>
      <c r="AC89" s="192">
        <f t="shared" si="325"/>
        <v>0</v>
      </c>
      <c r="AD89" s="192">
        <f t="shared" si="325"/>
        <v>0</v>
      </c>
      <c r="AE89" s="192">
        <f t="shared" si="325"/>
        <v>0</v>
      </c>
      <c r="AF89" s="192">
        <f t="shared" si="325"/>
        <v>0</v>
      </c>
      <c r="AG89" s="192">
        <f t="shared" si="325"/>
        <v>0</v>
      </c>
      <c r="AH89" s="192">
        <f t="shared" si="325"/>
        <v>0</v>
      </c>
      <c r="AI89" s="192">
        <f t="shared" si="325"/>
        <v>0</v>
      </c>
      <c r="AJ89" s="192">
        <f t="shared" si="325"/>
        <v>0</v>
      </c>
      <c r="AK89" s="192">
        <f t="shared" si="325"/>
        <v>0</v>
      </c>
      <c r="AL89" s="192">
        <f t="shared" si="325"/>
        <v>0</v>
      </c>
      <c r="AM89" s="192">
        <f t="shared" si="325"/>
        <v>0</v>
      </c>
      <c r="AN89" s="192">
        <f t="shared" si="325"/>
        <v>0</v>
      </c>
      <c r="AO89" s="192">
        <f t="shared" si="325"/>
        <v>0</v>
      </c>
      <c r="AP89" s="192">
        <f t="shared" si="325"/>
        <v>0</v>
      </c>
      <c r="AQ89" s="192">
        <f t="shared" si="325"/>
        <v>0</v>
      </c>
      <c r="AR89" s="192">
        <f t="shared" si="325"/>
        <v>0</v>
      </c>
      <c r="AS89" s="192">
        <f t="shared" si="325"/>
        <v>0</v>
      </c>
      <c r="AT89" s="192">
        <f t="shared" si="325"/>
        <v>0</v>
      </c>
      <c r="AU89" s="192">
        <f t="shared" si="325"/>
        <v>0</v>
      </c>
      <c r="AV89" s="192">
        <f t="shared" si="325"/>
        <v>0</v>
      </c>
      <c r="AW89" s="192">
        <f t="shared" si="325"/>
        <v>0</v>
      </c>
      <c r="AX89" s="193">
        <f t="shared" si="325"/>
        <v>0</v>
      </c>
    </row>
    <row r="90" spans="1:50" ht="0.15" customHeight="1" x14ac:dyDescent="0.25">
      <c r="A90" s="248"/>
      <c r="B90" s="249"/>
      <c r="C90" s="249"/>
      <c r="D90" s="249"/>
      <c r="E90" s="249"/>
      <c r="F90" s="249"/>
      <c r="G90" s="249"/>
      <c r="H90" s="249"/>
      <c r="I90" s="250" t="s">
        <v>61</v>
      </c>
      <c r="J90" s="257">
        <f t="shared" ref="J90:O90" si="326">J89-J88</f>
        <v>0</v>
      </c>
      <c r="K90" s="257">
        <f t="shared" si="326"/>
        <v>0</v>
      </c>
      <c r="L90" s="257">
        <f t="shared" si="326"/>
        <v>0</v>
      </c>
      <c r="M90" s="257">
        <f t="shared" si="326"/>
        <v>0</v>
      </c>
      <c r="N90" s="257">
        <f t="shared" si="326"/>
        <v>0</v>
      </c>
      <c r="O90" s="257">
        <f t="shared" si="326"/>
        <v>0</v>
      </c>
      <c r="P90" s="257">
        <f t="shared" ref="P90:AX90" si="327">P89-P88</f>
        <v>0</v>
      </c>
      <c r="Q90" s="257">
        <f t="shared" si="327"/>
        <v>0</v>
      </c>
      <c r="R90" s="257">
        <f t="shared" si="327"/>
        <v>0</v>
      </c>
      <c r="S90" s="257">
        <f t="shared" si="327"/>
        <v>0</v>
      </c>
      <c r="T90" s="257">
        <f t="shared" si="327"/>
        <v>0</v>
      </c>
      <c r="U90" s="257">
        <f t="shared" si="327"/>
        <v>0</v>
      </c>
      <c r="V90" s="257">
        <f t="shared" si="327"/>
        <v>0</v>
      </c>
      <c r="W90" s="257">
        <f t="shared" si="327"/>
        <v>0</v>
      </c>
      <c r="X90" s="257">
        <f t="shared" si="327"/>
        <v>0</v>
      </c>
      <c r="Y90" s="257">
        <f t="shared" si="327"/>
        <v>0</v>
      </c>
      <c r="Z90" s="257">
        <f t="shared" si="327"/>
        <v>0</v>
      </c>
      <c r="AA90" s="257">
        <f t="shared" si="327"/>
        <v>0</v>
      </c>
      <c r="AB90" s="257">
        <f t="shared" si="327"/>
        <v>0</v>
      </c>
      <c r="AC90" s="257">
        <f t="shared" si="327"/>
        <v>0</v>
      </c>
      <c r="AD90" s="257">
        <f t="shared" si="327"/>
        <v>0</v>
      </c>
      <c r="AE90" s="257">
        <f t="shared" si="327"/>
        <v>0</v>
      </c>
      <c r="AF90" s="257">
        <f t="shared" si="327"/>
        <v>0</v>
      </c>
      <c r="AG90" s="257">
        <f t="shared" si="327"/>
        <v>0</v>
      </c>
      <c r="AH90" s="257">
        <f t="shared" si="327"/>
        <v>0</v>
      </c>
      <c r="AI90" s="257">
        <f t="shared" si="327"/>
        <v>0</v>
      </c>
      <c r="AJ90" s="257">
        <f t="shared" si="327"/>
        <v>0</v>
      </c>
      <c r="AK90" s="257">
        <f t="shared" si="327"/>
        <v>0</v>
      </c>
      <c r="AL90" s="257">
        <f t="shared" si="327"/>
        <v>0</v>
      </c>
      <c r="AM90" s="257">
        <f t="shared" si="327"/>
        <v>0</v>
      </c>
      <c r="AN90" s="257">
        <f t="shared" si="327"/>
        <v>0</v>
      </c>
      <c r="AO90" s="257">
        <f t="shared" si="327"/>
        <v>0</v>
      </c>
      <c r="AP90" s="257">
        <f t="shared" si="327"/>
        <v>0</v>
      </c>
      <c r="AQ90" s="257">
        <f t="shared" si="327"/>
        <v>0</v>
      </c>
      <c r="AR90" s="257">
        <f t="shared" si="327"/>
        <v>0</v>
      </c>
      <c r="AS90" s="257">
        <f t="shared" si="327"/>
        <v>0</v>
      </c>
      <c r="AT90" s="257">
        <f t="shared" si="327"/>
        <v>0</v>
      </c>
      <c r="AU90" s="257">
        <f t="shared" si="327"/>
        <v>0</v>
      </c>
      <c r="AV90" s="257">
        <f t="shared" si="327"/>
        <v>0</v>
      </c>
      <c r="AW90" s="257">
        <f t="shared" si="327"/>
        <v>0</v>
      </c>
      <c r="AX90" s="258">
        <f t="shared" si="327"/>
        <v>0</v>
      </c>
    </row>
    <row r="91" spans="1:50" ht="0.15" customHeight="1" x14ac:dyDescent="0.25">
      <c r="A91" s="253" t="s">
        <v>86</v>
      </c>
      <c r="B91" s="254"/>
      <c r="C91" s="254"/>
      <c r="D91" s="254"/>
      <c r="E91" s="254"/>
      <c r="F91" s="254"/>
      <c r="G91" s="254"/>
      <c r="H91" s="254"/>
      <c r="I91" s="254"/>
      <c r="J91" s="255">
        <f t="shared" ref="J91:O91" si="328">SUM(J24)-SUM(J23)</f>
        <v>1975</v>
      </c>
      <c r="K91" s="255">
        <f t="shared" si="328"/>
        <v>1975</v>
      </c>
      <c r="L91" s="255">
        <f t="shared" si="328"/>
        <v>1975</v>
      </c>
      <c r="M91" s="255">
        <f t="shared" si="328"/>
        <v>1975</v>
      </c>
      <c r="N91" s="255">
        <f t="shared" si="328"/>
        <v>1975</v>
      </c>
      <c r="O91" s="255">
        <f t="shared" si="328"/>
        <v>1975</v>
      </c>
      <c r="P91" s="255">
        <f t="shared" ref="P91:AX91" si="329">SUM(P24)-SUM(P23)</f>
        <v>1975</v>
      </c>
      <c r="Q91" s="255">
        <f t="shared" si="329"/>
        <v>1975</v>
      </c>
      <c r="R91" s="255">
        <f t="shared" si="329"/>
        <v>1975</v>
      </c>
      <c r="S91" s="255">
        <f t="shared" si="329"/>
        <v>1975</v>
      </c>
      <c r="T91" s="255">
        <f t="shared" si="329"/>
        <v>1975</v>
      </c>
      <c r="U91" s="255">
        <f t="shared" si="329"/>
        <v>1975</v>
      </c>
      <c r="V91" s="255">
        <f t="shared" si="329"/>
        <v>1975</v>
      </c>
      <c r="W91" s="255">
        <f t="shared" si="329"/>
        <v>1975</v>
      </c>
      <c r="X91" s="255">
        <f t="shared" si="329"/>
        <v>1975</v>
      </c>
      <c r="Y91" s="255">
        <f t="shared" si="329"/>
        <v>1975</v>
      </c>
      <c r="Z91" s="255">
        <f t="shared" si="329"/>
        <v>1975</v>
      </c>
      <c r="AA91" s="255">
        <f t="shared" si="329"/>
        <v>1975</v>
      </c>
      <c r="AB91" s="255">
        <f t="shared" si="329"/>
        <v>1975</v>
      </c>
      <c r="AC91" s="255">
        <f t="shared" si="329"/>
        <v>1975</v>
      </c>
      <c r="AD91" s="255">
        <f t="shared" si="329"/>
        <v>1975</v>
      </c>
      <c r="AE91" s="255">
        <f t="shared" si="329"/>
        <v>1975</v>
      </c>
      <c r="AF91" s="255">
        <f t="shared" si="329"/>
        <v>1975</v>
      </c>
      <c r="AG91" s="255">
        <f t="shared" si="329"/>
        <v>1975</v>
      </c>
      <c r="AH91" s="255">
        <f t="shared" si="329"/>
        <v>1975</v>
      </c>
      <c r="AI91" s="255">
        <f t="shared" si="329"/>
        <v>1975</v>
      </c>
      <c r="AJ91" s="255">
        <f t="shared" si="329"/>
        <v>1975</v>
      </c>
      <c r="AK91" s="255">
        <f t="shared" si="329"/>
        <v>1975</v>
      </c>
      <c r="AL91" s="255">
        <f t="shared" si="329"/>
        <v>1975</v>
      </c>
      <c r="AM91" s="255">
        <f t="shared" si="329"/>
        <v>1975</v>
      </c>
      <c r="AN91" s="255">
        <f t="shared" si="329"/>
        <v>1975</v>
      </c>
      <c r="AO91" s="255">
        <f t="shared" si="329"/>
        <v>1975</v>
      </c>
      <c r="AP91" s="255">
        <f t="shared" si="329"/>
        <v>1975</v>
      </c>
      <c r="AQ91" s="255">
        <f t="shared" si="329"/>
        <v>1975</v>
      </c>
      <c r="AR91" s="255">
        <f t="shared" si="329"/>
        <v>1975</v>
      </c>
      <c r="AS91" s="255">
        <f t="shared" si="329"/>
        <v>1975</v>
      </c>
      <c r="AT91" s="255">
        <f t="shared" si="329"/>
        <v>1975</v>
      </c>
      <c r="AU91" s="255">
        <f t="shared" si="329"/>
        <v>1975</v>
      </c>
      <c r="AV91" s="255">
        <f t="shared" si="329"/>
        <v>1975</v>
      </c>
      <c r="AW91" s="255">
        <f t="shared" si="329"/>
        <v>1975</v>
      </c>
      <c r="AX91" s="256">
        <f t="shared" si="329"/>
        <v>1975</v>
      </c>
    </row>
    <row r="92" spans="1:50" ht="0.15" customHeight="1" x14ac:dyDescent="0.25">
      <c r="A92" s="261" t="s">
        <v>82</v>
      </c>
      <c r="B92" s="218"/>
      <c r="C92" s="218"/>
      <c r="D92" s="218"/>
      <c r="E92" s="218"/>
      <c r="F92" s="218"/>
      <c r="G92" s="218"/>
      <c r="H92" s="218"/>
      <c r="I92" s="218"/>
      <c r="J92" s="262">
        <f t="shared" ref="J92:AX92" si="330">$L$110</f>
        <v>4000</v>
      </c>
      <c r="K92" s="262">
        <f t="shared" si="330"/>
        <v>4000</v>
      </c>
      <c r="L92" s="262">
        <f t="shared" si="330"/>
        <v>4000</v>
      </c>
      <c r="M92" s="262">
        <f t="shared" si="330"/>
        <v>4000</v>
      </c>
      <c r="N92" s="262">
        <f t="shared" si="330"/>
        <v>4000</v>
      </c>
      <c r="O92" s="262">
        <f t="shared" si="330"/>
        <v>4000</v>
      </c>
      <c r="P92" s="262">
        <f t="shared" si="330"/>
        <v>4000</v>
      </c>
      <c r="Q92" s="262">
        <f t="shared" si="330"/>
        <v>4000</v>
      </c>
      <c r="R92" s="262">
        <f t="shared" si="330"/>
        <v>4000</v>
      </c>
      <c r="S92" s="262">
        <f t="shared" si="330"/>
        <v>4000</v>
      </c>
      <c r="T92" s="262">
        <f t="shared" si="330"/>
        <v>4000</v>
      </c>
      <c r="U92" s="262">
        <f t="shared" si="330"/>
        <v>4000</v>
      </c>
      <c r="V92" s="262">
        <f t="shared" si="330"/>
        <v>4000</v>
      </c>
      <c r="W92" s="262">
        <f t="shared" si="330"/>
        <v>4000</v>
      </c>
      <c r="X92" s="262">
        <f t="shared" si="330"/>
        <v>4000</v>
      </c>
      <c r="Y92" s="262">
        <f t="shared" si="330"/>
        <v>4000</v>
      </c>
      <c r="Z92" s="262">
        <f t="shared" si="330"/>
        <v>4000</v>
      </c>
      <c r="AA92" s="262">
        <f t="shared" si="330"/>
        <v>4000</v>
      </c>
      <c r="AB92" s="262">
        <f t="shared" si="330"/>
        <v>4000</v>
      </c>
      <c r="AC92" s="262">
        <f t="shared" si="330"/>
        <v>4000</v>
      </c>
      <c r="AD92" s="262">
        <f t="shared" si="330"/>
        <v>4000</v>
      </c>
      <c r="AE92" s="262">
        <f t="shared" si="330"/>
        <v>4000</v>
      </c>
      <c r="AF92" s="262">
        <f t="shared" si="330"/>
        <v>4000</v>
      </c>
      <c r="AG92" s="262">
        <f t="shared" si="330"/>
        <v>4000</v>
      </c>
      <c r="AH92" s="262">
        <f t="shared" si="330"/>
        <v>4000</v>
      </c>
      <c r="AI92" s="262">
        <f t="shared" si="330"/>
        <v>4000</v>
      </c>
      <c r="AJ92" s="262">
        <f t="shared" si="330"/>
        <v>4000</v>
      </c>
      <c r="AK92" s="262">
        <f t="shared" si="330"/>
        <v>4000</v>
      </c>
      <c r="AL92" s="262">
        <f t="shared" si="330"/>
        <v>4000</v>
      </c>
      <c r="AM92" s="262">
        <f t="shared" si="330"/>
        <v>4000</v>
      </c>
      <c r="AN92" s="262">
        <f t="shared" si="330"/>
        <v>4000</v>
      </c>
      <c r="AO92" s="262">
        <f t="shared" si="330"/>
        <v>4000</v>
      </c>
      <c r="AP92" s="262">
        <f t="shared" si="330"/>
        <v>4000</v>
      </c>
      <c r="AQ92" s="262">
        <f t="shared" si="330"/>
        <v>4000</v>
      </c>
      <c r="AR92" s="262">
        <f t="shared" si="330"/>
        <v>4000</v>
      </c>
      <c r="AS92" s="262">
        <f t="shared" si="330"/>
        <v>4000</v>
      </c>
      <c r="AT92" s="262">
        <f t="shared" si="330"/>
        <v>4000</v>
      </c>
      <c r="AU92" s="262">
        <f t="shared" si="330"/>
        <v>4000</v>
      </c>
      <c r="AV92" s="262">
        <f t="shared" si="330"/>
        <v>4000</v>
      </c>
      <c r="AW92" s="262">
        <f t="shared" si="330"/>
        <v>4000</v>
      </c>
      <c r="AX92" s="263">
        <f t="shared" si="330"/>
        <v>4000</v>
      </c>
    </row>
    <row r="93" spans="1:50" ht="0.15" customHeight="1" x14ac:dyDescent="0.25">
      <c r="A93" s="266" t="str">
        <f>"COMBINED "&amp;$J$344</f>
        <v>COMBINED Levelized costs (€2010 / MWh net)</v>
      </c>
      <c r="B93" s="135"/>
      <c r="C93" s="135"/>
      <c r="D93" s="135"/>
      <c r="E93" s="135"/>
      <c r="F93" s="135"/>
      <c r="G93" s="135"/>
      <c r="H93" s="135"/>
      <c r="I93" s="135" t="s">
        <v>54</v>
      </c>
      <c r="J93" s="264">
        <f t="shared" ref="J93:O93" si="331">IF(J31=0,J64,IF(J64=0,J31,MIN(J31,J64)))</f>
        <v>36.793907559603021</v>
      </c>
      <c r="K93" s="264">
        <f t="shared" si="331"/>
        <v>35.005996199669717</v>
      </c>
      <c r="L93" s="264">
        <f t="shared" si="331"/>
        <v>33.832679369713496</v>
      </c>
      <c r="M93" s="264">
        <f t="shared" si="331"/>
        <v>33.078404264741629</v>
      </c>
      <c r="N93" s="264">
        <f t="shared" si="331"/>
        <v>32.647370451367465</v>
      </c>
      <c r="O93" s="264">
        <f t="shared" si="331"/>
        <v>32.324129159769761</v>
      </c>
      <c r="P93" s="264">
        <f t="shared" ref="P93:AX93" si="332">IF(P31=0,P64,IF(P64=0,P31,MIN(P31,P64)))</f>
        <v>31.803541195923092</v>
      </c>
      <c r="Q93" s="264">
        <f t="shared" si="332"/>
        <v>31.461905344648713</v>
      </c>
      <c r="R93" s="264">
        <f t="shared" si="332"/>
        <v>31.242282297400898</v>
      </c>
      <c r="S93" s="264">
        <f t="shared" si="332"/>
        <v>31.077565011965039</v>
      </c>
      <c r="T93" s="264">
        <f t="shared" si="332"/>
        <v>31.02265925015308</v>
      </c>
      <c r="U93" s="264">
        <f t="shared" si="332"/>
        <v>30.75002936145702</v>
      </c>
      <c r="V93" s="264">
        <f t="shared" si="332"/>
        <v>30.472321038493874</v>
      </c>
      <c r="W93" s="264">
        <f t="shared" si="332"/>
        <v>30.189810974613245</v>
      </c>
      <c r="X93" s="264">
        <f t="shared" si="332"/>
        <v>29.90280531156117</v>
      </c>
      <c r="Y93" s="264">
        <f t="shared" si="332"/>
        <v>29.611639527519088</v>
      </c>
      <c r="Z93" s="264">
        <f t="shared" si="332"/>
        <v>29.316678056552021</v>
      </c>
      <c r="AA93" s="264">
        <f t="shared" si="332"/>
        <v>29.018313621394547</v>
      </c>
      <c r="AB93" s="264">
        <f t="shared" si="332"/>
        <v>28.716966264397129</v>
      </c>
      <c r="AC93" s="264">
        <f t="shared" si="332"/>
        <v>28.413082064981278</v>
      </c>
      <c r="AD93" s="264">
        <f t="shared" si="332"/>
        <v>28.107131536096425</v>
      </c>
      <c r="AE93" s="264">
        <f t="shared" si="332"/>
        <v>27.799607696898732</v>
      </c>
      <c r="AF93" s="264">
        <f t="shared" si="332"/>
        <v>27.491023824126064</v>
      </c>
      <c r="AG93" s="264">
        <f t="shared" si="332"/>
        <v>27.181910890339406</v>
      </c>
      <c r="AH93" s="264">
        <f t="shared" si="332"/>
        <v>26.872814703236713</v>
      </c>
      <c r="AI93" s="264">
        <f t="shared" si="332"/>
        <v>26.564292766488695</v>
      </c>
      <c r="AJ93" s="264">
        <f t="shared" si="332"/>
        <v>26.256910888849063</v>
      </c>
      <c r="AK93" s="264">
        <f t="shared" si="332"/>
        <v>25.951239574486834</v>
      </c>
      <c r="AL93" s="264">
        <f t="shared" si="332"/>
        <v>25.647850233394443</v>
      </c>
      <c r="AM93" s="264">
        <f t="shared" si="332"/>
        <v>25.347311256155667</v>
      </c>
      <c r="AN93" s="264">
        <f t="shared" si="332"/>
        <v>25.050184002123878</v>
      </c>
      <c r="AO93" s="264">
        <f t="shared" si="332"/>
        <v>24.757018753982589</v>
      </c>
      <c r="AP93" s="264">
        <f t="shared" si="332"/>
        <v>24.4683506945712</v>
      </c>
      <c r="AQ93" s="264">
        <f t="shared" si="332"/>
        <v>24.184695963615976</v>
      </c>
      <c r="AR93" s="264">
        <f t="shared" si="332"/>
        <v>23.906547852497262</v>
      </c>
      <c r="AS93" s="264">
        <f t="shared" si="332"/>
        <v>23.634373194332813</v>
      </c>
      <c r="AT93" s="264">
        <f t="shared" si="332"/>
        <v>23.368609004431775</v>
      </c>
      <c r="AU93" s="264">
        <f t="shared" si="332"/>
        <v>23.109659422586279</v>
      </c>
      <c r="AV93" s="264">
        <f t="shared" si="332"/>
        <v>22.857893003780152</v>
      </c>
      <c r="AW93" s="264">
        <f t="shared" si="332"/>
        <v>22.613640397815036</v>
      </c>
      <c r="AX93" s="265">
        <f t="shared" si="332"/>
        <v>22.377192451235903</v>
      </c>
    </row>
    <row r="94" spans="1:50" ht="0.15" customHeight="1" x14ac:dyDescent="0.25">
      <c r="A94" s="247"/>
      <c r="I94" s="133" t="s">
        <v>87</v>
      </c>
      <c r="J94" s="194">
        <f t="shared" ref="J94:O94" si="333">IF(J31=0,J65,IF(J64=0,J32,MIN(MAX(J31,J64),MIN(J32,J65))))</f>
        <v>36.793907559603021</v>
      </c>
      <c r="K94" s="194">
        <f t="shared" si="333"/>
        <v>35.005996199669717</v>
      </c>
      <c r="L94" s="194">
        <f t="shared" si="333"/>
        <v>33.832679369713496</v>
      </c>
      <c r="M94" s="194">
        <f t="shared" si="333"/>
        <v>33.078404264741629</v>
      </c>
      <c r="N94" s="194">
        <f t="shared" si="333"/>
        <v>32.647370451367465</v>
      </c>
      <c r="O94" s="194">
        <f t="shared" si="333"/>
        <v>32.324129159769761</v>
      </c>
      <c r="P94" s="194">
        <f t="shared" ref="P94:AX94" si="334">IF(P31=0,P65,IF(P64=0,P32,MIN(MAX(P31,P64),MIN(P32,P65))))</f>
        <v>31.803541195923092</v>
      </c>
      <c r="Q94" s="194">
        <f t="shared" si="334"/>
        <v>31.461905344648713</v>
      </c>
      <c r="R94" s="194">
        <f t="shared" si="334"/>
        <v>31.242282297400898</v>
      </c>
      <c r="S94" s="194">
        <f t="shared" si="334"/>
        <v>31.077565011965039</v>
      </c>
      <c r="T94" s="194">
        <f t="shared" si="334"/>
        <v>31.02265925015308</v>
      </c>
      <c r="U94" s="194">
        <f t="shared" si="334"/>
        <v>30.75002936145702</v>
      </c>
      <c r="V94" s="194">
        <f t="shared" si="334"/>
        <v>30.472321038493874</v>
      </c>
      <c r="W94" s="194">
        <f t="shared" si="334"/>
        <v>30.189810974613245</v>
      </c>
      <c r="X94" s="194">
        <f t="shared" si="334"/>
        <v>29.90280531156117</v>
      </c>
      <c r="Y94" s="194">
        <f t="shared" si="334"/>
        <v>29.611639527519088</v>
      </c>
      <c r="Z94" s="194">
        <f t="shared" si="334"/>
        <v>29.316678056552021</v>
      </c>
      <c r="AA94" s="194">
        <f t="shared" si="334"/>
        <v>29.018313621394547</v>
      </c>
      <c r="AB94" s="194">
        <f t="shared" si="334"/>
        <v>28.716966264397129</v>
      </c>
      <c r="AC94" s="194">
        <f t="shared" si="334"/>
        <v>28.413082064981278</v>
      </c>
      <c r="AD94" s="194">
        <f t="shared" si="334"/>
        <v>28.107131536096425</v>
      </c>
      <c r="AE94" s="194">
        <f t="shared" si="334"/>
        <v>27.799607696898732</v>
      </c>
      <c r="AF94" s="194">
        <f t="shared" si="334"/>
        <v>27.491023824126064</v>
      </c>
      <c r="AG94" s="194">
        <f t="shared" si="334"/>
        <v>27.181910890339406</v>
      </c>
      <c r="AH94" s="194">
        <f t="shared" si="334"/>
        <v>26.872814703236713</v>
      </c>
      <c r="AI94" s="194">
        <f t="shared" si="334"/>
        <v>26.564292766488695</v>
      </c>
      <c r="AJ94" s="194">
        <f t="shared" si="334"/>
        <v>26.256910888849063</v>
      </c>
      <c r="AK94" s="194">
        <f t="shared" si="334"/>
        <v>25.951239574486834</v>
      </c>
      <c r="AL94" s="194">
        <f t="shared" si="334"/>
        <v>25.647850233394443</v>
      </c>
      <c r="AM94" s="194">
        <f t="shared" si="334"/>
        <v>25.347311256155667</v>
      </c>
      <c r="AN94" s="194">
        <f t="shared" si="334"/>
        <v>25.050184002123878</v>
      </c>
      <c r="AO94" s="194">
        <f t="shared" si="334"/>
        <v>24.757018753982589</v>
      </c>
      <c r="AP94" s="194">
        <f t="shared" si="334"/>
        <v>24.4683506945712</v>
      </c>
      <c r="AQ94" s="194">
        <f t="shared" si="334"/>
        <v>24.184695963615976</v>
      </c>
      <c r="AR94" s="194">
        <f t="shared" si="334"/>
        <v>23.906547852497262</v>
      </c>
      <c r="AS94" s="194">
        <f t="shared" si="334"/>
        <v>23.634373194332813</v>
      </c>
      <c r="AT94" s="194">
        <f t="shared" si="334"/>
        <v>23.368609004431775</v>
      </c>
      <c r="AU94" s="194">
        <f t="shared" si="334"/>
        <v>23.109659422586279</v>
      </c>
      <c r="AV94" s="194">
        <f t="shared" si="334"/>
        <v>22.857893003780152</v>
      </c>
      <c r="AW94" s="194">
        <f t="shared" si="334"/>
        <v>22.613640397815036</v>
      </c>
      <c r="AX94" s="195">
        <f t="shared" si="334"/>
        <v>22.377192451235903</v>
      </c>
    </row>
    <row r="95" spans="1:50" ht="0.15" customHeight="1" x14ac:dyDescent="0.25">
      <c r="A95" s="247"/>
      <c r="I95" s="133" t="s">
        <v>88</v>
      </c>
      <c r="J95" s="194">
        <f t="shared" ref="J95:O95" si="335">IF(MAX(J31,J64)&gt;J94,MAX(J31,J64),J94)</f>
        <v>36.793907559603021</v>
      </c>
      <c r="K95" s="194">
        <f t="shared" si="335"/>
        <v>35.005996199669717</v>
      </c>
      <c r="L95" s="194">
        <f t="shared" si="335"/>
        <v>33.832679369713496</v>
      </c>
      <c r="M95" s="194">
        <f t="shared" si="335"/>
        <v>33.078404264741629</v>
      </c>
      <c r="N95" s="194">
        <f t="shared" si="335"/>
        <v>32.647370451367465</v>
      </c>
      <c r="O95" s="194">
        <f t="shared" si="335"/>
        <v>32.324129159769761</v>
      </c>
      <c r="P95" s="194">
        <f t="shared" ref="P95:AX95" si="336">IF(MAX(P31,P64)&gt;P94,MAX(P31,P64),P94)</f>
        <v>31.803541195923092</v>
      </c>
      <c r="Q95" s="194">
        <f t="shared" si="336"/>
        <v>31.461905344648713</v>
      </c>
      <c r="R95" s="194">
        <f t="shared" si="336"/>
        <v>31.242282297400898</v>
      </c>
      <c r="S95" s="194">
        <f t="shared" si="336"/>
        <v>31.077565011965039</v>
      </c>
      <c r="T95" s="194">
        <f t="shared" si="336"/>
        <v>31.02265925015308</v>
      </c>
      <c r="U95" s="194">
        <f t="shared" si="336"/>
        <v>30.75002936145702</v>
      </c>
      <c r="V95" s="194">
        <f t="shared" si="336"/>
        <v>30.472321038493874</v>
      </c>
      <c r="W95" s="194">
        <f t="shared" si="336"/>
        <v>30.189810974613245</v>
      </c>
      <c r="X95" s="194">
        <f t="shared" si="336"/>
        <v>29.90280531156117</v>
      </c>
      <c r="Y95" s="194">
        <f t="shared" si="336"/>
        <v>29.611639527519088</v>
      </c>
      <c r="Z95" s="194">
        <f t="shared" si="336"/>
        <v>29.316678056552021</v>
      </c>
      <c r="AA95" s="194">
        <f t="shared" si="336"/>
        <v>29.018313621394547</v>
      </c>
      <c r="AB95" s="194">
        <f t="shared" si="336"/>
        <v>28.716966264397129</v>
      </c>
      <c r="AC95" s="194">
        <f t="shared" si="336"/>
        <v>28.413082064981278</v>
      </c>
      <c r="AD95" s="194">
        <f t="shared" si="336"/>
        <v>28.107131536096425</v>
      </c>
      <c r="AE95" s="194">
        <f t="shared" si="336"/>
        <v>27.799607696898732</v>
      </c>
      <c r="AF95" s="194">
        <f t="shared" si="336"/>
        <v>27.491023824126064</v>
      </c>
      <c r="AG95" s="194">
        <f t="shared" si="336"/>
        <v>27.181910890339406</v>
      </c>
      <c r="AH95" s="194">
        <f t="shared" si="336"/>
        <v>26.872814703236713</v>
      </c>
      <c r="AI95" s="194">
        <f t="shared" si="336"/>
        <v>26.564292766488695</v>
      </c>
      <c r="AJ95" s="194">
        <f t="shared" si="336"/>
        <v>26.256910888849063</v>
      </c>
      <c r="AK95" s="194">
        <f t="shared" si="336"/>
        <v>25.951239574486834</v>
      </c>
      <c r="AL95" s="194">
        <f t="shared" si="336"/>
        <v>25.647850233394443</v>
      </c>
      <c r="AM95" s="194">
        <f t="shared" si="336"/>
        <v>25.347311256155667</v>
      </c>
      <c r="AN95" s="194">
        <f t="shared" si="336"/>
        <v>25.050184002123878</v>
      </c>
      <c r="AO95" s="194">
        <f t="shared" si="336"/>
        <v>24.757018753982589</v>
      </c>
      <c r="AP95" s="194">
        <f t="shared" si="336"/>
        <v>24.4683506945712</v>
      </c>
      <c r="AQ95" s="194">
        <f t="shared" si="336"/>
        <v>24.184695963615976</v>
      </c>
      <c r="AR95" s="194">
        <f t="shared" si="336"/>
        <v>23.906547852497262</v>
      </c>
      <c r="AS95" s="194">
        <f t="shared" si="336"/>
        <v>23.634373194332813</v>
      </c>
      <c r="AT95" s="194">
        <f t="shared" si="336"/>
        <v>23.368609004431775</v>
      </c>
      <c r="AU95" s="194">
        <f t="shared" si="336"/>
        <v>23.109659422586279</v>
      </c>
      <c r="AV95" s="194">
        <f t="shared" si="336"/>
        <v>22.857893003780152</v>
      </c>
      <c r="AW95" s="194">
        <f t="shared" si="336"/>
        <v>22.613640397815036</v>
      </c>
      <c r="AX95" s="195">
        <f t="shared" si="336"/>
        <v>22.377192451235903</v>
      </c>
    </row>
    <row r="96" spans="1:50" ht="0.15" customHeight="1" x14ac:dyDescent="0.25">
      <c r="A96" s="137"/>
      <c r="I96" s="133" t="s">
        <v>89</v>
      </c>
      <c r="J96" s="194">
        <f t="shared" ref="J96:O96" si="337">MAX(J95,MIN(J32,J65))</f>
        <v>51.610007018234953</v>
      </c>
      <c r="K96" s="194">
        <f t="shared" si="337"/>
        <v>51.132754640140519</v>
      </c>
      <c r="L96" s="194">
        <f t="shared" si="337"/>
        <v>50.726939127123529</v>
      </c>
      <c r="M96" s="194">
        <f t="shared" si="337"/>
        <v>50.324344372146349</v>
      </c>
      <c r="N96" s="194">
        <f t="shared" si="337"/>
        <v>49.924944813637254</v>
      </c>
      <c r="O96" s="194">
        <f t="shared" si="337"/>
        <v>49.528715092894096</v>
      </c>
      <c r="P96" s="194">
        <f t="shared" ref="P96:AX96" si="338">MAX(P95,MIN(P32,P65))</f>
        <v>49.145396665746588</v>
      </c>
      <c r="Q96" s="194">
        <f t="shared" si="338"/>
        <v>48.658808579947099</v>
      </c>
      <c r="R96" s="194">
        <f t="shared" si="338"/>
        <v>48.177038197967434</v>
      </c>
      <c r="S96" s="194">
        <f t="shared" si="338"/>
        <v>47.700037819769733</v>
      </c>
      <c r="T96" s="194">
        <f t="shared" si="338"/>
        <v>47.227760217593804</v>
      </c>
      <c r="U96" s="194">
        <f t="shared" si="338"/>
        <v>46.986810266067252</v>
      </c>
      <c r="V96" s="194">
        <f t="shared" si="338"/>
        <v>46.73725824737506</v>
      </c>
      <c r="W96" s="194">
        <f t="shared" si="338"/>
        <v>46.47935173560851</v>
      </c>
      <c r="X96" s="194">
        <f t="shared" si="338"/>
        <v>46.213411613335808</v>
      </c>
      <c r="Y96" s="194">
        <f t="shared" si="338"/>
        <v>45.939835540209245</v>
      </c>
      <c r="Z96" s="194">
        <f t="shared" si="338"/>
        <v>45.65910055167744</v>
      </c>
      <c r="AA96" s="194">
        <f t="shared" si="338"/>
        <v>45.371764608504336</v>
      </c>
      <c r="AB96" s="194">
        <f t="shared" si="338"/>
        <v>45.078466921891405</v>
      </c>
      <c r="AC96" s="194">
        <f t="shared" si="338"/>
        <v>44.779926890728959</v>
      </c>
      <c r="AD96" s="194">
        <f t="shared" si="338"/>
        <v>44.476941507779102</v>
      </c>
      <c r="AE96" s="194">
        <f t="shared" si="338"/>
        <v>44.170381121009385</v>
      </c>
      <c r="AF96" s="194">
        <f t="shared" si="338"/>
        <v>43.861183475010016</v>
      </c>
      <c r="AG96" s="194">
        <f t="shared" si="338"/>
        <v>43.550346005047494</v>
      </c>
      <c r="AH96" s="194">
        <f t="shared" si="338"/>
        <v>43.238916411814536</v>
      </c>
      <c r="AI96" s="194">
        <f t="shared" si="338"/>
        <v>42.927981606625593</v>
      </c>
      <c r="AJ96" s="194">
        <f t="shared" si="338"/>
        <v>42.618655182293345</v>
      </c>
      <c r="AK96" s="194">
        <f t="shared" si="338"/>
        <v>42.312063631193915</v>
      </c>
      <c r="AL96" s="194">
        <f t="shared" si="338"/>
        <v>42.009331595580292</v>
      </c>
      <c r="AM96" s="194">
        <f t="shared" si="338"/>
        <v>41.711566492231391</v>
      </c>
      <c r="AN96" s="194">
        <f t="shared" si="338"/>
        <v>41.41984290017745</v>
      </c>
      <c r="AO96" s="194">
        <f t="shared" si="338"/>
        <v>41.135187132927641</v>
      </c>
      <c r="AP96" s="194">
        <f t="shared" si="338"/>
        <v>40.858562432322515</v>
      </c>
      <c r="AQ96" s="194">
        <f t="shared" si="338"/>
        <v>40.590855217694326</v>
      </c>
      <c r="AR96" s="194">
        <f t="shared" si="338"/>
        <v>40.332862800429304</v>
      </c>
      <c r="AS96" s="194">
        <f t="shared" si="338"/>
        <v>40.085282930575381</v>
      </c>
      <c r="AT96" s="194">
        <f t="shared" si="338"/>
        <v>39.848705480487652</v>
      </c>
      <c r="AU96" s="194">
        <f t="shared" si="338"/>
        <v>39.623606493622937</v>
      </c>
      <c r="AV96" s="194">
        <f t="shared" si="338"/>
        <v>39.410344738582367</v>
      </c>
      <c r="AW96" s="194">
        <f t="shared" si="338"/>
        <v>39.209160814282342</v>
      </c>
      <c r="AX96" s="195">
        <f t="shared" si="338"/>
        <v>39.020178757080615</v>
      </c>
    </row>
    <row r="97" spans="1:50" ht="0.15" customHeight="1" x14ac:dyDescent="0.25">
      <c r="A97" s="137"/>
      <c r="I97" s="133" t="s">
        <v>87</v>
      </c>
      <c r="J97" s="194">
        <f t="shared" ref="J97:O97" si="339">MAX(J32,J65)</f>
        <v>51.610007018234953</v>
      </c>
      <c r="K97" s="194">
        <f t="shared" si="339"/>
        <v>51.132754640140519</v>
      </c>
      <c r="L97" s="194">
        <f t="shared" si="339"/>
        <v>50.726939127123529</v>
      </c>
      <c r="M97" s="194">
        <f t="shared" si="339"/>
        <v>50.324344372146349</v>
      </c>
      <c r="N97" s="194">
        <f t="shared" si="339"/>
        <v>49.924944813637254</v>
      </c>
      <c r="O97" s="194">
        <f t="shared" si="339"/>
        <v>49.528715092894096</v>
      </c>
      <c r="P97" s="194">
        <f t="shared" ref="P97:AX97" si="340">MAX(P32,P65)</f>
        <v>49.145396665746588</v>
      </c>
      <c r="Q97" s="194">
        <f t="shared" si="340"/>
        <v>48.658808579947099</v>
      </c>
      <c r="R97" s="194">
        <f t="shared" si="340"/>
        <v>48.177038197967434</v>
      </c>
      <c r="S97" s="194">
        <f t="shared" si="340"/>
        <v>47.700037819769733</v>
      </c>
      <c r="T97" s="194">
        <f t="shared" si="340"/>
        <v>47.227760217593804</v>
      </c>
      <c r="U97" s="194">
        <f t="shared" si="340"/>
        <v>46.986810266067252</v>
      </c>
      <c r="V97" s="194">
        <f t="shared" si="340"/>
        <v>46.73725824737506</v>
      </c>
      <c r="W97" s="194">
        <f t="shared" si="340"/>
        <v>46.47935173560851</v>
      </c>
      <c r="X97" s="194">
        <f t="shared" si="340"/>
        <v>46.213411613335808</v>
      </c>
      <c r="Y97" s="194">
        <f t="shared" si="340"/>
        <v>45.939835540209245</v>
      </c>
      <c r="Z97" s="194">
        <f t="shared" si="340"/>
        <v>45.65910055167744</v>
      </c>
      <c r="AA97" s="194">
        <f t="shared" si="340"/>
        <v>45.371764608504336</v>
      </c>
      <c r="AB97" s="194">
        <f t="shared" si="340"/>
        <v>45.078466921891405</v>
      </c>
      <c r="AC97" s="194">
        <f t="shared" si="340"/>
        <v>44.779926890728959</v>
      </c>
      <c r="AD97" s="194">
        <f t="shared" si="340"/>
        <v>44.476941507779102</v>
      </c>
      <c r="AE97" s="194">
        <f t="shared" si="340"/>
        <v>44.170381121009385</v>
      </c>
      <c r="AF97" s="194">
        <f t="shared" si="340"/>
        <v>43.861183475010016</v>
      </c>
      <c r="AG97" s="194">
        <f t="shared" si="340"/>
        <v>43.550346005047494</v>
      </c>
      <c r="AH97" s="194">
        <f t="shared" si="340"/>
        <v>43.238916411814536</v>
      </c>
      <c r="AI97" s="194">
        <f t="shared" si="340"/>
        <v>42.927981606625593</v>
      </c>
      <c r="AJ97" s="194">
        <f t="shared" si="340"/>
        <v>42.618655182293345</v>
      </c>
      <c r="AK97" s="194">
        <f t="shared" si="340"/>
        <v>42.312063631193915</v>
      </c>
      <c r="AL97" s="194">
        <f t="shared" si="340"/>
        <v>42.009331595580292</v>
      </c>
      <c r="AM97" s="194">
        <f t="shared" si="340"/>
        <v>41.711566492231391</v>
      </c>
      <c r="AN97" s="194">
        <f t="shared" si="340"/>
        <v>41.41984290017745</v>
      </c>
      <c r="AO97" s="194">
        <f t="shared" si="340"/>
        <v>41.135187132927641</v>
      </c>
      <c r="AP97" s="194">
        <f t="shared" si="340"/>
        <v>40.858562432322515</v>
      </c>
      <c r="AQ97" s="194">
        <f t="shared" si="340"/>
        <v>40.590855217694326</v>
      </c>
      <c r="AR97" s="194">
        <f t="shared" si="340"/>
        <v>40.332862800429304</v>
      </c>
      <c r="AS97" s="194">
        <f t="shared" si="340"/>
        <v>40.085282930575381</v>
      </c>
      <c r="AT97" s="194">
        <f t="shared" si="340"/>
        <v>39.848705480487652</v>
      </c>
      <c r="AU97" s="194">
        <f t="shared" si="340"/>
        <v>39.623606493622937</v>
      </c>
      <c r="AV97" s="194">
        <f t="shared" si="340"/>
        <v>39.410344738582367</v>
      </c>
      <c r="AW97" s="194">
        <f t="shared" si="340"/>
        <v>39.209160814282342</v>
      </c>
      <c r="AX97" s="195">
        <f t="shared" si="340"/>
        <v>39.020178757080615</v>
      </c>
    </row>
    <row r="98" spans="1:50" ht="0.15" customHeight="1" x14ac:dyDescent="0.25">
      <c r="A98" s="137"/>
      <c r="I98" s="133" t="s">
        <v>54</v>
      </c>
      <c r="J98" s="194">
        <f t="shared" ref="J98:O98" si="341">J93</f>
        <v>36.793907559603021</v>
      </c>
      <c r="K98" s="194">
        <f t="shared" si="341"/>
        <v>35.005996199669717</v>
      </c>
      <c r="L98" s="194">
        <f t="shared" si="341"/>
        <v>33.832679369713496</v>
      </c>
      <c r="M98" s="194">
        <f t="shared" si="341"/>
        <v>33.078404264741629</v>
      </c>
      <c r="N98" s="194">
        <f t="shared" si="341"/>
        <v>32.647370451367465</v>
      </c>
      <c r="O98" s="194">
        <f t="shared" si="341"/>
        <v>32.324129159769761</v>
      </c>
      <c r="P98" s="194">
        <f t="shared" ref="P98:AX98" si="342">P93</f>
        <v>31.803541195923092</v>
      </c>
      <c r="Q98" s="194">
        <f t="shared" si="342"/>
        <v>31.461905344648713</v>
      </c>
      <c r="R98" s="194">
        <f t="shared" si="342"/>
        <v>31.242282297400898</v>
      </c>
      <c r="S98" s="194">
        <f t="shared" si="342"/>
        <v>31.077565011965039</v>
      </c>
      <c r="T98" s="194">
        <f t="shared" si="342"/>
        <v>31.02265925015308</v>
      </c>
      <c r="U98" s="194">
        <f t="shared" si="342"/>
        <v>30.75002936145702</v>
      </c>
      <c r="V98" s="194">
        <f t="shared" si="342"/>
        <v>30.472321038493874</v>
      </c>
      <c r="W98" s="194">
        <f t="shared" si="342"/>
        <v>30.189810974613245</v>
      </c>
      <c r="X98" s="194">
        <f t="shared" si="342"/>
        <v>29.90280531156117</v>
      </c>
      <c r="Y98" s="194">
        <f t="shared" si="342"/>
        <v>29.611639527519088</v>
      </c>
      <c r="Z98" s="194">
        <f t="shared" si="342"/>
        <v>29.316678056552021</v>
      </c>
      <c r="AA98" s="194">
        <f t="shared" si="342"/>
        <v>29.018313621394547</v>
      </c>
      <c r="AB98" s="194">
        <f t="shared" si="342"/>
        <v>28.716966264397129</v>
      </c>
      <c r="AC98" s="194">
        <f t="shared" si="342"/>
        <v>28.413082064981278</v>
      </c>
      <c r="AD98" s="194">
        <f t="shared" si="342"/>
        <v>28.107131536096425</v>
      </c>
      <c r="AE98" s="194">
        <f t="shared" si="342"/>
        <v>27.799607696898732</v>
      </c>
      <c r="AF98" s="194">
        <f t="shared" si="342"/>
        <v>27.491023824126064</v>
      </c>
      <c r="AG98" s="194">
        <f t="shared" si="342"/>
        <v>27.181910890339406</v>
      </c>
      <c r="AH98" s="194">
        <f t="shared" si="342"/>
        <v>26.872814703236713</v>
      </c>
      <c r="AI98" s="194">
        <f t="shared" si="342"/>
        <v>26.564292766488695</v>
      </c>
      <c r="AJ98" s="194">
        <f t="shared" si="342"/>
        <v>26.256910888849063</v>
      </c>
      <c r="AK98" s="194">
        <f t="shared" si="342"/>
        <v>25.951239574486834</v>
      </c>
      <c r="AL98" s="194">
        <f t="shared" si="342"/>
        <v>25.647850233394443</v>
      </c>
      <c r="AM98" s="194">
        <f t="shared" si="342"/>
        <v>25.347311256155667</v>
      </c>
      <c r="AN98" s="194">
        <f t="shared" si="342"/>
        <v>25.050184002123878</v>
      </c>
      <c r="AO98" s="194">
        <f t="shared" si="342"/>
        <v>24.757018753982589</v>
      </c>
      <c r="AP98" s="194">
        <f t="shared" si="342"/>
        <v>24.4683506945712</v>
      </c>
      <c r="AQ98" s="194">
        <f t="shared" si="342"/>
        <v>24.184695963615976</v>
      </c>
      <c r="AR98" s="194">
        <f t="shared" si="342"/>
        <v>23.906547852497262</v>
      </c>
      <c r="AS98" s="194">
        <f t="shared" si="342"/>
        <v>23.634373194332813</v>
      </c>
      <c r="AT98" s="194">
        <f t="shared" si="342"/>
        <v>23.368609004431775</v>
      </c>
      <c r="AU98" s="194">
        <f t="shared" si="342"/>
        <v>23.109659422586279</v>
      </c>
      <c r="AV98" s="194">
        <f t="shared" si="342"/>
        <v>22.857893003780152</v>
      </c>
      <c r="AW98" s="194">
        <f t="shared" si="342"/>
        <v>22.613640397815036</v>
      </c>
      <c r="AX98" s="195">
        <f t="shared" si="342"/>
        <v>22.377192451235903</v>
      </c>
    </row>
    <row r="99" spans="1:50" ht="0.15" customHeight="1" x14ac:dyDescent="0.25">
      <c r="A99" s="137"/>
      <c r="I99" s="133" t="s">
        <v>87</v>
      </c>
      <c r="J99" s="194">
        <f t="shared" ref="J99:O99" si="343">J94-J93</f>
        <v>0</v>
      </c>
      <c r="K99" s="194">
        <f t="shared" si="343"/>
        <v>0</v>
      </c>
      <c r="L99" s="194">
        <f t="shared" si="343"/>
        <v>0</v>
      </c>
      <c r="M99" s="194">
        <f t="shared" si="343"/>
        <v>0</v>
      </c>
      <c r="N99" s="194">
        <f t="shared" si="343"/>
        <v>0</v>
      </c>
      <c r="O99" s="194">
        <f t="shared" si="343"/>
        <v>0</v>
      </c>
      <c r="P99" s="194">
        <f t="shared" ref="P99:AX102" si="344">P94-P93</f>
        <v>0</v>
      </c>
      <c r="Q99" s="194">
        <f t="shared" si="344"/>
        <v>0</v>
      </c>
      <c r="R99" s="194">
        <f t="shared" si="344"/>
        <v>0</v>
      </c>
      <c r="S99" s="194">
        <f t="shared" si="344"/>
        <v>0</v>
      </c>
      <c r="T99" s="194">
        <f t="shared" si="344"/>
        <v>0</v>
      </c>
      <c r="U99" s="194">
        <f t="shared" si="344"/>
        <v>0</v>
      </c>
      <c r="V99" s="194">
        <f t="shared" si="344"/>
        <v>0</v>
      </c>
      <c r="W99" s="194">
        <f t="shared" si="344"/>
        <v>0</v>
      </c>
      <c r="X99" s="194">
        <f t="shared" si="344"/>
        <v>0</v>
      </c>
      <c r="Y99" s="194">
        <f t="shared" si="344"/>
        <v>0</v>
      </c>
      <c r="Z99" s="194">
        <f t="shared" si="344"/>
        <v>0</v>
      </c>
      <c r="AA99" s="194">
        <f t="shared" si="344"/>
        <v>0</v>
      </c>
      <c r="AB99" s="194">
        <f t="shared" si="344"/>
        <v>0</v>
      </c>
      <c r="AC99" s="194">
        <f t="shared" si="344"/>
        <v>0</v>
      </c>
      <c r="AD99" s="194">
        <f t="shared" si="344"/>
        <v>0</v>
      </c>
      <c r="AE99" s="194">
        <f t="shared" si="344"/>
        <v>0</v>
      </c>
      <c r="AF99" s="194">
        <f t="shared" si="344"/>
        <v>0</v>
      </c>
      <c r="AG99" s="194">
        <f t="shared" si="344"/>
        <v>0</v>
      </c>
      <c r="AH99" s="194">
        <f t="shared" si="344"/>
        <v>0</v>
      </c>
      <c r="AI99" s="194">
        <f t="shared" si="344"/>
        <v>0</v>
      </c>
      <c r="AJ99" s="194">
        <f t="shared" si="344"/>
        <v>0</v>
      </c>
      <c r="AK99" s="194">
        <f t="shared" si="344"/>
        <v>0</v>
      </c>
      <c r="AL99" s="194">
        <f t="shared" si="344"/>
        <v>0</v>
      </c>
      <c r="AM99" s="194">
        <f t="shared" si="344"/>
        <v>0</v>
      </c>
      <c r="AN99" s="194">
        <f t="shared" si="344"/>
        <v>0</v>
      </c>
      <c r="AO99" s="194">
        <f t="shared" si="344"/>
        <v>0</v>
      </c>
      <c r="AP99" s="194">
        <f t="shared" si="344"/>
        <v>0</v>
      </c>
      <c r="AQ99" s="194">
        <f t="shared" si="344"/>
        <v>0</v>
      </c>
      <c r="AR99" s="194">
        <f t="shared" si="344"/>
        <v>0</v>
      </c>
      <c r="AS99" s="194">
        <f t="shared" si="344"/>
        <v>0</v>
      </c>
      <c r="AT99" s="194">
        <f t="shared" si="344"/>
        <v>0</v>
      </c>
      <c r="AU99" s="194">
        <f t="shared" si="344"/>
        <v>0</v>
      </c>
      <c r="AV99" s="194">
        <f t="shared" si="344"/>
        <v>0</v>
      </c>
      <c r="AW99" s="194">
        <f t="shared" si="344"/>
        <v>0</v>
      </c>
      <c r="AX99" s="195">
        <f t="shared" si="344"/>
        <v>0</v>
      </c>
    </row>
    <row r="100" spans="1:50" ht="0.15" customHeight="1" x14ac:dyDescent="0.25">
      <c r="A100" s="137"/>
      <c r="I100" s="133" t="s">
        <v>88</v>
      </c>
      <c r="J100" s="194">
        <f t="shared" ref="J100:O100" si="345">J95-J94</f>
        <v>0</v>
      </c>
      <c r="K100" s="194">
        <f t="shared" si="345"/>
        <v>0</v>
      </c>
      <c r="L100" s="194">
        <f t="shared" si="345"/>
        <v>0</v>
      </c>
      <c r="M100" s="194">
        <f t="shared" si="345"/>
        <v>0</v>
      </c>
      <c r="N100" s="194">
        <f t="shared" si="345"/>
        <v>0</v>
      </c>
      <c r="O100" s="194">
        <f t="shared" si="345"/>
        <v>0</v>
      </c>
      <c r="P100" s="194">
        <f t="shared" ref="P100:AD100" si="346">P95-P94</f>
        <v>0</v>
      </c>
      <c r="Q100" s="194">
        <f t="shared" si="346"/>
        <v>0</v>
      </c>
      <c r="R100" s="194">
        <f t="shared" si="346"/>
        <v>0</v>
      </c>
      <c r="S100" s="194">
        <f t="shared" si="346"/>
        <v>0</v>
      </c>
      <c r="T100" s="194">
        <f t="shared" si="346"/>
        <v>0</v>
      </c>
      <c r="U100" s="194">
        <f t="shared" si="346"/>
        <v>0</v>
      </c>
      <c r="V100" s="194">
        <f t="shared" si="346"/>
        <v>0</v>
      </c>
      <c r="W100" s="194">
        <f t="shared" si="346"/>
        <v>0</v>
      </c>
      <c r="X100" s="194">
        <f t="shared" si="346"/>
        <v>0</v>
      </c>
      <c r="Y100" s="194">
        <f t="shared" si="346"/>
        <v>0</v>
      </c>
      <c r="Z100" s="194">
        <f t="shared" si="346"/>
        <v>0</v>
      </c>
      <c r="AA100" s="194">
        <f t="shared" si="346"/>
        <v>0</v>
      </c>
      <c r="AB100" s="194">
        <f t="shared" si="346"/>
        <v>0</v>
      </c>
      <c r="AC100" s="194">
        <f t="shared" si="346"/>
        <v>0</v>
      </c>
      <c r="AD100" s="194">
        <f t="shared" si="346"/>
        <v>0</v>
      </c>
      <c r="AE100" s="194">
        <f t="shared" si="344"/>
        <v>0</v>
      </c>
      <c r="AF100" s="194">
        <f t="shared" si="344"/>
        <v>0</v>
      </c>
      <c r="AG100" s="194">
        <f t="shared" si="344"/>
        <v>0</v>
      </c>
      <c r="AH100" s="194">
        <f t="shared" si="344"/>
        <v>0</v>
      </c>
      <c r="AI100" s="194">
        <f t="shared" si="344"/>
        <v>0</v>
      </c>
      <c r="AJ100" s="194">
        <f t="shared" si="344"/>
        <v>0</v>
      </c>
      <c r="AK100" s="194">
        <f t="shared" si="344"/>
        <v>0</v>
      </c>
      <c r="AL100" s="194">
        <f t="shared" si="344"/>
        <v>0</v>
      </c>
      <c r="AM100" s="194">
        <f t="shared" si="344"/>
        <v>0</v>
      </c>
      <c r="AN100" s="194">
        <f t="shared" si="344"/>
        <v>0</v>
      </c>
      <c r="AO100" s="194">
        <f t="shared" si="344"/>
        <v>0</v>
      </c>
      <c r="AP100" s="194">
        <f t="shared" si="344"/>
        <v>0</v>
      </c>
      <c r="AQ100" s="194">
        <f t="shared" si="344"/>
        <v>0</v>
      </c>
      <c r="AR100" s="194">
        <f t="shared" si="344"/>
        <v>0</v>
      </c>
      <c r="AS100" s="194">
        <f t="shared" si="344"/>
        <v>0</v>
      </c>
      <c r="AT100" s="194">
        <f t="shared" si="344"/>
        <v>0</v>
      </c>
      <c r="AU100" s="194">
        <f t="shared" si="344"/>
        <v>0</v>
      </c>
      <c r="AV100" s="194">
        <f t="shared" si="344"/>
        <v>0</v>
      </c>
      <c r="AW100" s="194">
        <f t="shared" si="344"/>
        <v>0</v>
      </c>
      <c r="AX100" s="195">
        <f t="shared" si="344"/>
        <v>0</v>
      </c>
    </row>
    <row r="101" spans="1:50" ht="0.15" customHeight="1" x14ac:dyDescent="0.25">
      <c r="A101" s="137"/>
      <c r="I101" s="133" t="s">
        <v>89</v>
      </c>
      <c r="J101" s="194">
        <f t="shared" ref="J101:O101" si="347">J96-J95</f>
        <v>14.816099458631932</v>
      </c>
      <c r="K101" s="194">
        <f t="shared" si="347"/>
        <v>16.126758440470802</v>
      </c>
      <c r="L101" s="194">
        <f t="shared" si="347"/>
        <v>16.894259757410033</v>
      </c>
      <c r="M101" s="194">
        <f t="shared" si="347"/>
        <v>17.245940107404721</v>
      </c>
      <c r="N101" s="194">
        <f t="shared" si="347"/>
        <v>17.277574362269789</v>
      </c>
      <c r="O101" s="194">
        <f t="shared" si="347"/>
        <v>17.204585933124335</v>
      </c>
      <c r="P101" s="194">
        <f t="shared" si="344"/>
        <v>17.341855469823496</v>
      </c>
      <c r="Q101" s="194">
        <f t="shared" si="344"/>
        <v>17.196903235298386</v>
      </c>
      <c r="R101" s="194">
        <f t="shared" si="344"/>
        <v>16.934755900566536</v>
      </c>
      <c r="S101" s="194">
        <f t="shared" si="344"/>
        <v>16.622472807804694</v>
      </c>
      <c r="T101" s="194">
        <f t="shared" si="344"/>
        <v>16.205100967440725</v>
      </c>
      <c r="U101" s="194">
        <f t="shared" si="344"/>
        <v>16.236780904610232</v>
      </c>
      <c r="V101" s="194">
        <f t="shared" si="344"/>
        <v>16.264937208881186</v>
      </c>
      <c r="W101" s="194">
        <f t="shared" si="344"/>
        <v>16.289540760995266</v>
      </c>
      <c r="X101" s="194">
        <f t="shared" si="344"/>
        <v>16.310606301774637</v>
      </c>
      <c r="Y101" s="194">
        <f t="shared" si="344"/>
        <v>16.328196012690157</v>
      </c>
      <c r="Z101" s="194">
        <f t="shared" si="344"/>
        <v>16.342422495125419</v>
      </c>
      <c r="AA101" s="194">
        <f t="shared" si="344"/>
        <v>16.353450987109788</v>
      </c>
      <c r="AB101" s="194">
        <f t="shared" si="344"/>
        <v>16.361500657494275</v>
      </c>
      <c r="AC101" s="194">
        <f t="shared" si="344"/>
        <v>16.36684482574768</v>
      </c>
      <c r="AD101" s="194">
        <f t="shared" si="344"/>
        <v>16.369809971682677</v>
      </c>
      <c r="AE101" s="194">
        <f t="shared" si="344"/>
        <v>16.370773424110652</v>
      </c>
      <c r="AF101" s="194">
        <f t="shared" si="344"/>
        <v>16.370159650883952</v>
      </c>
      <c r="AG101" s="194">
        <f t="shared" si="344"/>
        <v>16.368435114708088</v>
      </c>
      <c r="AH101" s="194">
        <f t="shared" si="344"/>
        <v>16.366101708577823</v>
      </c>
      <c r="AI101" s="194">
        <f t="shared" si="344"/>
        <v>16.363688840136899</v>
      </c>
      <c r="AJ101" s="194">
        <f t="shared" si="344"/>
        <v>16.361744293444282</v>
      </c>
      <c r="AK101" s="194">
        <f t="shared" si="344"/>
        <v>16.360824056707081</v>
      </c>
      <c r="AL101" s="194">
        <f t="shared" si="344"/>
        <v>16.361481362185849</v>
      </c>
      <c r="AM101" s="194">
        <f t="shared" si="344"/>
        <v>16.364255236075724</v>
      </c>
      <c r="AN101" s="194">
        <f t="shared" si="344"/>
        <v>16.369658898053572</v>
      </c>
      <c r="AO101" s="194">
        <f t="shared" si="344"/>
        <v>16.378168378945052</v>
      </c>
      <c r="AP101" s="194">
        <f t="shared" si="344"/>
        <v>16.390211737751315</v>
      </c>
      <c r="AQ101" s="194">
        <f t="shared" si="344"/>
        <v>16.40615925407835</v>
      </c>
      <c r="AR101" s="194">
        <f t="shared" si="344"/>
        <v>16.426314947932042</v>
      </c>
      <c r="AS101" s="194">
        <f t="shared" si="344"/>
        <v>16.450909736242568</v>
      </c>
      <c r="AT101" s="194">
        <f t="shared" si="344"/>
        <v>16.480096476055877</v>
      </c>
      <c r="AU101" s="194">
        <f t="shared" si="344"/>
        <v>16.513947071036657</v>
      </c>
      <c r="AV101" s="194">
        <f t="shared" si="344"/>
        <v>16.552451734802215</v>
      </c>
      <c r="AW101" s="194">
        <f t="shared" si="344"/>
        <v>16.595520416467306</v>
      </c>
      <c r="AX101" s="195">
        <f t="shared" si="344"/>
        <v>16.642986305844712</v>
      </c>
    </row>
    <row r="102" spans="1:50" ht="0.15" customHeight="1" x14ac:dyDescent="0.25">
      <c r="A102" s="139"/>
      <c r="B102" s="140"/>
      <c r="C102" s="140"/>
      <c r="D102" s="140"/>
      <c r="E102" s="140"/>
      <c r="F102" s="140"/>
      <c r="G102" s="140"/>
      <c r="H102" s="140"/>
      <c r="I102" s="140" t="s">
        <v>87</v>
      </c>
      <c r="J102" s="188">
        <f t="shared" ref="J102:O102" si="348">J97-J96</f>
        <v>0</v>
      </c>
      <c r="K102" s="188">
        <f t="shared" si="348"/>
        <v>0</v>
      </c>
      <c r="L102" s="188">
        <f t="shared" si="348"/>
        <v>0</v>
      </c>
      <c r="M102" s="188">
        <f t="shared" si="348"/>
        <v>0</v>
      </c>
      <c r="N102" s="188">
        <f t="shared" si="348"/>
        <v>0</v>
      </c>
      <c r="O102" s="188">
        <f t="shared" si="348"/>
        <v>0</v>
      </c>
      <c r="P102" s="188">
        <f t="shared" si="344"/>
        <v>0</v>
      </c>
      <c r="Q102" s="188">
        <f t="shared" si="344"/>
        <v>0</v>
      </c>
      <c r="R102" s="188">
        <f t="shared" si="344"/>
        <v>0</v>
      </c>
      <c r="S102" s="188">
        <f t="shared" si="344"/>
        <v>0</v>
      </c>
      <c r="T102" s="188">
        <f t="shared" si="344"/>
        <v>0</v>
      </c>
      <c r="U102" s="188">
        <f t="shared" si="344"/>
        <v>0</v>
      </c>
      <c r="V102" s="188">
        <f t="shared" si="344"/>
        <v>0</v>
      </c>
      <c r="W102" s="188">
        <f t="shared" si="344"/>
        <v>0</v>
      </c>
      <c r="X102" s="188">
        <f t="shared" si="344"/>
        <v>0</v>
      </c>
      <c r="Y102" s="188">
        <f t="shared" si="344"/>
        <v>0</v>
      </c>
      <c r="Z102" s="188">
        <f t="shared" si="344"/>
        <v>0</v>
      </c>
      <c r="AA102" s="188">
        <f t="shared" si="344"/>
        <v>0</v>
      </c>
      <c r="AB102" s="188">
        <f t="shared" si="344"/>
        <v>0</v>
      </c>
      <c r="AC102" s="188">
        <f t="shared" si="344"/>
        <v>0</v>
      </c>
      <c r="AD102" s="188">
        <f t="shared" si="344"/>
        <v>0</v>
      </c>
      <c r="AE102" s="188">
        <f t="shared" si="344"/>
        <v>0</v>
      </c>
      <c r="AF102" s="188">
        <f t="shared" si="344"/>
        <v>0</v>
      </c>
      <c r="AG102" s="188">
        <f t="shared" si="344"/>
        <v>0</v>
      </c>
      <c r="AH102" s="188">
        <f t="shared" si="344"/>
        <v>0</v>
      </c>
      <c r="AI102" s="188">
        <f t="shared" si="344"/>
        <v>0</v>
      </c>
      <c r="AJ102" s="188">
        <f t="shared" si="344"/>
        <v>0</v>
      </c>
      <c r="AK102" s="188">
        <f t="shared" si="344"/>
        <v>0</v>
      </c>
      <c r="AL102" s="188">
        <f t="shared" si="344"/>
        <v>0</v>
      </c>
      <c r="AM102" s="188">
        <f t="shared" si="344"/>
        <v>0</v>
      </c>
      <c r="AN102" s="188">
        <f t="shared" si="344"/>
        <v>0</v>
      </c>
      <c r="AO102" s="188">
        <f t="shared" si="344"/>
        <v>0</v>
      </c>
      <c r="AP102" s="188">
        <f t="shared" si="344"/>
        <v>0</v>
      </c>
      <c r="AQ102" s="188">
        <f t="shared" si="344"/>
        <v>0</v>
      </c>
      <c r="AR102" s="188">
        <f t="shared" si="344"/>
        <v>0</v>
      </c>
      <c r="AS102" s="188">
        <f t="shared" si="344"/>
        <v>0</v>
      </c>
      <c r="AT102" s="188">
        <f t="shared" si="344"/>
        <v>0</v>
      </c>
      <c r="AU102" s="188">
        <f t="shared" si="344"/>
        <v>0</v>
      </c>
      <c r="AV102" s="188">
        <f t="shared" si="344"/>
        <v>0</v>
      </c>
      <c r="AW102" s="188">
        <f t="shared" si="344"/>
        <v>0</v>
      </c>
      <c r="AX102" s="189">
        <f t="shared" si="344"/>
        <v>0</v>
      </c>
    </row>
    <row r="103" spans="1:50" ht="0.15" customHeight="1" x14ac:dyDescent="0.25">
      <c r="A103" s="134" t="s">
        <v>95</v>
      </c>
      <c r="B103" s="135"/>
      <c r="C103" s="135"/>
      <c r="D103" s="135"/>
      <c r="E103" s="135"/>
      <c r="F103" s="135"/>
      <c r="G103" s="135"/>
      <c r="H103" s="135"/>
      <c r="I103" s="135"/>
      <c r="J103" s="135">
        <f t="shared" ref="J103:O103" si="349">J$625</f>
        <v>2010</v>
      </c>
      <c r="K103" s="135">
        <f t="shared" si="349"/>
        <v>2011</v>
      </c>
      <c r="L103" s="135">
        <f t="shared" si="349"/>
        <v>2012</v>
      </c>
      <c r="M103" s="135">
        <f t="shared" si="349"/>
        <v>2013</v>
      </c>
      <c r="N103" s="135">
        <f t="shared" si="349"/>
        <v>2014</v>
      </c>
      <c r="O103" s="135">
        <f t="shared" si="349"/>
        <v>2015</v>
      </c>
      <c r="P103" s="135">
        <f t="shared" ref="P103:AX103" si="350">P$625</f>
        <v>2016</v>
      </c>
      <c r="Q103" s="135">
        <f t="shared" si="350"/>
        <v>2017</v>
      </c>
      <c r="R103" s="135">
        <f t="shared" si="350"/>
        <v>2018</v>
      </c>
      <c r="S103" s="135">
        <f t="shared" si="350"/>
        <v>2019</v>
      </c>
      <c r="T103" s="135">
        <f t="shared" si="350"/>
        <v>2020</v>
      </c>
      <c r="U103" s="135">
        <f t="shared" si="350"/>
        <v>2021</v>
      </c>
      <c r="V103" s="135">
        <f t="shared" si="350"/>
        <v>2022</v>
      </c>
      <c r="W103" s="135">
        <f t="shared" si="350"/>
        <v>2023</v>
      </c>
      <c r="X103" s="135">
        <f t="shared" si="350"/>
        <v>2024</v>
      </c>
      <c r="Y103" s="135">
        <f t="shared" si="350"/>
        <v>2025</v>
      </c>
      <c r="Z103" s="135">
        <f t="shared" si="350"/>
        <v>2026</v>
      </c>
      <c r="AA103" s="135">
        <f t="shared" si="350"/>
        <v>2027</v>
      </c>
      <c r="AB103" s="135">
        <f t="shared" si="350"/>
        <v>2028</v>
      </c>
      <c r="AC103" s="135">
        <f t="shared" si="350"/>
        <v>2029</v>
      </c>
      <c r="AD103" s="135">
        <f t="shared" si="350"/>
        <v>2030</v>
      </c>
      <c r="AE103" s="135">
        <f t="shared" si="350"/>
        <v>2031</v>
      </c>
      <c r="AF103" s="135">
        <f t="shared" si="350"/>
        <v>2032</v>
      </c>
      <c r="AG103" s="135">
        <f t="shared" si="350"/>
        <v>2033</v>
      </c>
      <c r="AH103" s="135">
        <f t="shared" si="350"/>
        <v>2034</v>
      </c>
      <c r="AI103" s="135">
        <f t="shared" si="350"/>
        <v>2035</v>
      </c>
      <c r="AJ103" s="135">
        <f t="shared" si="350"/>
        <v>2036</v>
      </c>
      <c r="AK103" s="135">
        <f t="shared" si="350"/>
        <v>2037</v>
      </c>
      <c r="AL103" s="135">
        <f t="shared" si="350"/>
        <v>2038</v>
      </c>
      <c r="AM103" s="135">
        <f t="shared" si="350"/>
        <v>2039</v>
      </c>
      <c r="AN103" s="135">
        <f t="shared" si="350"/>
        <v>2040</v>
      </c>
      <c r="AO103" s="135">
        <f t="shared" si="350"/>
        <v>2041</v>
      </c>
      <c r="AP103" s="135">
        <f t="shared" si="350"/>
        <v>2042</v>
      </c>
      <c r="AQ103" s="135">
        <f t="shared" si="350"/>
        <v>2043</v>
      </c>
      <c r="AR103" s="135">
        <f t="shared" si="350"/>
        <v>2044</v>
      </c>
      <c r="AS103" s="135">
        <f t="shared" si="350"/>
        <v>2045</v>
      </c>
      <c r="AT103" s="135">
        <f t="shared" si="350"/>
        <v>2046</v>
      </c>
      <c r="AU103" s="135">
        <f t="shared" si="350"/>
        <v>2047</v>
      </c>
      <c r="AV103" s="135">
        <f t="shared" si="350"/>
        <v>2048</v>
      </c>
      <c r="AW103" s="135">
        <f t="shared" si="350"/>
        <v>2049</v>
      </c>
      <c r="AX103" s="136">
        <f t="shared" si="350"/>
        <v>2050</v>
      </c>
    </row>
    <row r="104" spans="1:50" ht="0.15" customHeight="1" x14ac:dyDescent="0.25">
      <c r="A104" s="247" t="str">
        <f>"Difference in "&amp;A11</f>
        <v>Difference in Levelized costs (€2010 / MWh net)</v>
      </c>
      <c r="H104" s="133" t="str">
        <f>A104&amp;CHAR(13)&amp;I104</f>
        <v>Difference in Levelized costs (€2010 / MWh net)_x000D_Wind power plants / Onshore / Electricity only / M</v>
      </c>
      <c r="I104" s="133" t="str">
        <f>INDEX(F$346:F$617,$D$139)&amp;" / "&amp;INDEX(G$346:G$617,$D$139)&amp;" / "&amp;INDEX(H$346:H$617,$D$139)&amp;" / "&amp;INDEX(I$346:I$617,$D$139)</f>
        <v>Wind power plants / Onshore / Electricity only / M</v>
      </c>
      <c r="J104" s="186">
        <f t="shared" ref="J104:O104" si="351">J11-J19</f>
        <v>-3.1559130297058502</v>
      </c>
      <c r="K104" s="186">
        <f t="shared" si="351"/>
        <v>-3.9616641034541118</v>
      </c>
      <c r="L104" s="186">
        <f t="shared" si="351"/>
        <v>-4.4474606371891525</v>
      </c>
      <c r="M104" s="186">
        <f t="shared" si="351"/>
        <v>-4.700652721247522</v>
      </c>
      <c r="N104" s="186">
        <f t="shared" si="351"/>
        <v>-4.6167538392892382</v>
      </c>
      <c r="O104" s="186">
        <f t="shared" si="351"/>
        <v>-4.205744666969494</v>
      </c>
      <c r="P104" s="186">
        <f t="shared" ref="P104:AX107" si="352">P11-P19</f>
        <v>-4.052628422966098</v>
      </c>
      <c r="Q104" s="186">
        <f t="shared" si="352"/>
        <v>-3.961970740870008</v>
      </c>
      <c r="R104" s="186">
        <f t="shared" si="352"/>
        <v>-3.7310231184962959</v>
      </c>
      <c r="S104" s="186">
        <f t="shared" si="352"/>
        <v>-3.5494700532797019</v>
      </c>
      <c r="T104" s="186">
        <f t="shared" si="352"/>
        <v>-3.2615338837526018</v>
      </c>
      <c r="U104" s="186">
        <f t="shared" si="352"/>
        <v>-3.2695064796492055</v>
      </c>
      <c r="V104" s="186">
        <f t="shared" si="352"/>
        <v>-3.275505924455139</v>
      </c>
      <c r="W104" s="186">
        <f t="shared" si="352"/>
        <v>-3.2795503816245599</v>
      </c>
      <c r="X104" s="186">
        <f t="shared" si="352"/>
        <v>-3.2816795722272722</v>
      </c>
      <c r="Y104" s="186">
        <f t="shared" si="352"/>
        <v>-3.2819558812015686</v>
      </c>
      <c r="Z104" s="186">
        <f t="shared" si="352"/>
        <v>-3.2804651752298071</v>
      </c>
      <c r="AA104" s="186">
        <f t="shared" si="352"/>
        <v>-3.2773172815908396</v>
      </c>
      <c r="AB104" s="186">
        <f t="shared" si="352"/>
        <v>-3.2726460801759032</v>
      </c>
      <c r="AC104" s="186">
        <f t="shared" si="352"/>
        <v>-3.2666091657170426</v>
      </c>
      <c r="AD104" s="186">
        <f t="shared" si="352"/>
        <v>-3.2593870442967194</v>
      </c>
      <c r="AE104" s="186">
        <f t="shared" si="352"/>
        <v>-3.2511818374226635</v>
      </c>
      <c r="AF104" s="186">
        <f t="shared" si="352"/>
        <v>-3.2422154783023416</v>
      </c>
      <c r="AG104" s="186">
        <f t="shared" si="352"/>
        <v>-3.2327273982604012</v>
      </c>
      <c r="AH104" s="186">
        <f t="shared" si="352"/>
        <v>-3.2229717162037055</v>
      </c>
      <c r="AI104" s="186">
        <f t="shared" si="352"/>
        <v>-3.2132139602206102</v>
      </c>
      <c r="AJ104" s="186">
        <f t="shared" si="352"/>
        <v>-3.2037273672459783</v>
      </c>
      <c r="AK104" s="186">
        <f t="shared" si="352"/>
        <v>-3.1947888235643873</v>
      </c>
      <c r="AL104" s="186">
        <f t="shared" si="352"/>
        <v>-3.1866745250127337</v>
      </c>
      <c r="AM104" s="186">
        <f t="shared" si="352"/>
        <v>-3.1796554502791174</v>
      </c>
      <c r="AN104" s="186">
        <f t="shared" si="352"/>
        <v>-3.1739927528745007</v>
      </c>
      <c r="AO104" s="186">
        <f t="shared" si="352"/>
        <v>-3.169933186414351</v>
      </c>
      <c r="AP104" s="186">
        <f t="shared" si="352"/>
        <v>-3.1677046831246436</v>
      </c>
      <c r="AQ104" s="186">
        <f t="shared" si="352"/>
        <v>-3.1675122064612502</v>
      </c>
      <c r="AR104" s="186">
        <f t="shared" si="352"/>
        <v>-3.1695339950782575</v>
      </c>
      <c r="AS104" s="186">
        <f t="shared" si="352"/>
        <v>-3.1739183070026762</v>
      </c>
      <c r="AT104" s="186">
        <f t="shared" si="352"/>
        <v>-3.1807807599258808</v>
      </c>
      <c r="AU104" s="186">
        <f t="shared" si="352"/>
        <v>-3.1902023464184808</v>
      </c>
      <c r="AV104" s="186">
        <f t="shared" si="352"/>
        <v>-3.2022281822732523</v>
      </c>
      <c r="AW104" s="186">
        <f t="shared" si="352"/>
        <v>-3.2168670229502681</v>
      </c>
      <c r="AX104" s="187">
        <f t="shared" si="352"/>
        <v>-3.2340915582784717</v>
      </c>
    </row>
    <row r="105" spans="1:50" ht="0.15" customHeight="1" x14ac:dyDescent="0.25">
      <c r="A105" s="247" t="str">
        <f>"Difference in "&amp;A12&amp;" (€2010 / MWh net)"</f>
        <v>Difference in Fixed annual levelized costs (€2010 / MWh net)</v>
      </c>
      <c r="H105" s="133" t="str">
        <f>A105&amp;CHAR(13)&amp;I105</f>
        <v>Difference in Fixed annual levelized costs (€2010 / MWh net)_x000D_Wind power plants / Onshore / Electricity only / M</v>
      </c>
      <c r="I105" s="133" t="str">
        <f>INDEX(F$346:F$617,$D$139)&amp;" / "&amp;INDEX(G$346:G$617,$D$139)&amp;" / "&amp;INDEX(H$346:H$617,$D$139)&amp;" / "&amp;INDEX(I$346:I$617,$D$139)</f>
        <v>Wind power plants / Onshore / Electricity only / M</v>
      </c>
      <c r="J105" s="186">
        <f t="shared" ref="J105:O105" si="353">J12-J20</f>
        <v>-3.130482422798103</v>
      </c>
      <c r="K105" s="186">
        <f t="shared" si="353"/>
        <v>-3.9231802004872094</v>
      </c>
      <c r="L105" s="186">
        <f t="shared" si="353"/>
        <v>-4.4010508019921133</v>
      </c>
      <c r="M105" s="186">
        <f t="shared" si="353"/>
        <v>-4.6500282181757839</v>
      </c>
      <c r="N105" s="186">
        <f t="shared" si="353"/>
        <v>-4.5671263976804397</v>
      </c>
      <c r="O105" s="186">
        <f t="shared" si="353"/>
        <v>-4.162050916405871</v>
      </c>
      <c r="P105" s="186">
        <f t="shared" si="352"/>
        <v>-4.0109104131209818</v>
      </c>
      <c r="Q105" s="186">
        <f t="shared" si="352"/>
        <v>-3.9214029372622967</v>
      </c>
      <c r="R105" s="186">
        <f t="shared" si="352"/>
        <v>-3.6937671881600451</v>
      </c>
      <c r="S105" s="186">
        <f t="shared" si="352"/>
        <v>-3.5148223147077857</v>
      </c>
      <c r="T105" s="186">
        <f t="shared" si="352"/>
        <v>-3.2311436912206766</v>
      </c>
      <c r="U105" s="186">
        <f t="shared" si="352"/>
        <v>-3.2388375559459028</v>
      </c>
      <c r="V105" s="186">
        <f t="shared" si="352"/>
        <v>-3.2445846866399179</v>
      </c>
      <c r="W105" s="186">
        <f t="shared" si="352"/>
        <v>-3.2484031384893868</v>
      </c>
      <c r="X105" s="186">
        <f t="shared" si="352"/>
        <v>-3.2503322204022744</v>
      </c>
      <c r="Y105" s="186">
        <f t="shared" si="352"/>
        <v>-3.2504335847137433</v>
      </c>
      <c r="Z105" s="186">
        <f t="shared" si="352"/>
        <v>-3.2487920326534478</v>
      </c>
      <c r="AA105" s="186">
        <f t="shared" si="352"/>
        <v>-3.2455159856724869</v>
      </c>
      <c r="AB105" s="186">
        <f t="shared" si="352"/>
        <v>-3.2407375755198231</v>
      </c>
      <c r="AC105" s="186">
        <f t="shared" si="352"/>
        <v>-3.2346123107504603</v>
      </c>
      <c r="AD105" s="186">
        <f t="shared" si="352"/>
        <v>-3.2273182842649</v>
      </c>
      <c r="AE105" s="186">
        <f t="shared" si="352"/>
        <v>-3.2190548955603013</v>
      </c>
      <c r="AF105" s="186">
        <f t="shared" si="352"/>
        <v>-3.2100410725580986</v>
      </c>
      <c r="AG105" s="186">
        <f t="shared" si="352"/>
        <v>-3.2005129909869439</v>
      </c>
      <c r="AH105" s="186">
        <f t="shared" si="352"/>
        <v>-3.1907213040415066</v>
      </c>
      <c r="AI105" s="186">
        <f t="shared" si="352"/>
        <v>-3.180927910982625</v>
      </c>
      <c r="AJ105" s="186">
        <f t="shared" si="352"/>
        <v>-3.1714023099415591</v>
      </c>
      <c r="AK105" s="186">
        <f t="shared" si="352"/>
        <v>-3.1624175967849979</v>
      </c>
      <c r="AL105" s="186">
        <f t="shared" si="352"/>
        <v>-3.1542461877498837</v>
      </c>
      <c r="AM105" s="186">
        <f t="shared" si="352"/>
        <v>-3.1471553578795231</v>
      </c>
      <c r="AN105" s="186">
        <f t="shared" si="352"/>
        <v>-3.1414026992932733</v>
      </c>
      <c r="AO105" s="186">
        <f t="shared" si="352"/>
        <v>-3.1372316122502291</v>
      </c>
      <c r="AP105" s="186">
        <f t="shared" si="352"/>
        <v>-3.1348669471675663</v>
      </c>
      <c r="AQ105" s="186">
        <f t="shared" si="352"/>
        <v>-3.1345109167153176</v>
      </c>
      <c r="AR105" s="186">
        <f t="shared" si="352"/>
        <v>-3.1363393935106281</v>
      </c>
      <c r="AS105" s="186">
        <f t="shared" si="352"/>
        <v>-3.1404987006807872</v>
      </c>
      <c r="AT105" s="186">
        <f t="shared" si="352"/>
        <v>-3.1471029898087224</v>
      </c>
      <c r="AU105" s="186">
        <f t="shared" si="352"/>
        <v>-3.1562322839238597</v>
      </c>
      <c r="AV105" s="186">
        <f t="shared" si="352"/>
        <v>-3.1679312429030269</v>
      </c>
      <c r="AW105" s="186">
        <f t="shared" si="352"/>
        <v>-3.1822086857583898</v>
      </c>
      <c r="AX105" s="187">
        <f t="shared" si="352"/>
        <v>-3.1990378798348473</v>
      </c>
    </row>
    <row r="106" spans="1:50" ht="0.15" customHeight="1" x14ac:dyDescent="0.25">
      <c r="A106" s="247" t="str">
        <f t="shared" ref="A106:A107" si="354">"Difference in "&amp;A13&amp;" (€2010 / MWh net)"</f>
        <v>Difference in Fuel and variable costs (€2010 / MWh net)</v>
      </c>
      <c r="H106" s="133" t="str">
        <f>A106&amp;CHAR(13)&amp;I106</f>
        <v>Difference in Fuel and variable costs (€2010 / MWh net)_x000D_Wind power plants / Onshore / Electricity only / M</v>
      </c>
      <c r="I106" s="133" t="str">
        <f>INDEX(F$346:F$617,$D$139)&amp;" / "&amp;INDEX(G$346:G$617,$D$139)&amp;" / "&amp;INDEX(H$346:H$617,$D$139)&amp;" / "&amp;INDEX(I$346:I$617,$D$139)</f>
        <v>Wind power plants / Onshore / Electricity only / M</v>
      </c>
      <c r="J106" s="186">
        <f t="shared" ref="J106:O106" si="355">J13-J21</f>
        <v>-2.5430606907746345E-2</v>
      </c>
      <c r="K106" s="186">
        <f t="shared" si="355"/>
        <v>-3.8483902966904182E-2</v>
      </c>
      <c r="L106" s="186">
        <f t="shared" si="355"/>
        <v>-4.6409835197042115E-2</v>
      </c>
      <c r="M106" s="186">
        <f t="shared" si="355"/>
        <v>-5.0624503071737714E-2</v>
      </c>
      <c r="N106" s="186">
        <f t="shared" si="355"/>
        <v>-4.9627441608801504E-2</v>
      </c>
      <c r="O106" s="186">
        <f t="shared" si="355"/>
        <v>-4.3693750563621681E-2</v>
      </c>
      <c r="P106" s="186">
        <f t="shared" si="352"/>
        <v>-4.1718009845115034E-2</v>
      </c>
      <c r="Q106" s="186">
        <f t="shared" si="352"/>
        <v>-4.0567803607715058E-2</v>
      </c>
      <c r="R106" s="186">
        <f t="shared" si="352"/>
        <v>-3.72559303362478E-2</v>
      </c>
      <c r="S106" s="186">
        <f t="shared" si="352"/>
        <v>-3.4647738571914666E-2</v>
      </c>
      <c r="T106" s="186">
        <f t="shared" si="352"/>
        <v>-3.0390192531926263E-2</v>
      </c>
      <c r="U106" s="186">
        <f t="shared" si="352"/>
        <v>-3.0668923703304041E-2</v>
      </c>
      <c r="V106" s="186">
        <f t="shared" si="352"/>
        <v>-3.0921237815219826E-2</v>
      </c>
      <c r="W106" s="186">
        <f t="shared" si="352"/>
        <v>-3.1147243135171754E-2</v>
      </c>
      <c r="X106" s="186">
        <f t="shared" si="352"/>
        <v>-3.1347351824993042E-2</v>
      </c>
      <c r="Y106" s="186">
        <f t="shared" si="352"/>
        <v>-3.1522296487828672E-2</v>
      </c>
      <c r="Z106" s="186">
        <f t="shared" si="352"/>
        <v>-3.1673142576360169E-2</v>
      </c>
      <c r="AA106" s="186">
        <f t="shared" si="352"/>
        <v>-3.1801295918352568E-2</v>
      </c>
      <c r="AB106" s="186">
        <f t="shared" si="352"/>
        <v>-3.1908504656080527E-2</v>
      </c>
      <c r="AC106" s="186">
        <f t="shared" si="352"/>
        <v>-3.1996854966581056E-2</v>
      </c>
      <c r="AD106" s="186">
        <f t="shared" si="352"/>
        <v>-3.2068760031817412E-2</v>
      </c>
      <c r="AE106" s="186">
        <f t="shared" si="352"/>
        <v>-3.21269418623642E-2</v>
      </c>
      <c r="AF106" s="186">
        <f t="shared" si="352"/>
        <v>-3.2174405744240631E-2</v>
      </c>
      <c r="AG106" s="186">
        <f t="shared" si="352"/>
        <v>-3.2214407273457202E-2</v>
      </c>
      <c r="AH106" s="186">
        <f t="shared" si="352"/>
        <v>-3.2250412162198039E-2</v>
      </c>
      <c r="AI106" s="186">
        <f t="shared" si="352"/>
        <v>-3.2286049237983616E-2</v>
      </c>
      <c r="AJ106" s="186">
        <f t="shared" si="352"/>
        <v>-3.2325057304417537E-2</v>
      </c>
      <c r="AK106" s="186">
        <f t="shared" si="352"/>
        <v>-3.2371226779392193E-2</v>
      </c>
      <c r="AL106" s="186">
        <f t="shared" si="352"/>
        <v>-3.2428337262852547E-2</v>
      </c>
      <c r="AM106" s="186">
        <f t="shared" si="352"/>
        <v>-3.2500092399594616E-2</v>
      </c>
      <c r="AN106" s="186">
        <f t="shared" si="352"/>
        <v>-3.2590053581226963E-2</v>
      </c>
      <c r="AO106" s="186">
        <f t="shared" si="352"/>
        <v>-3.2701574164120673E-2</v>
      </c>
      <c r="AP106" s="186">
        <f t="shared" si="352"/>
        <v>-3.2837735957075564E-2</v>
      </c>
      <c r="AQ106" s="186">
        <f t="shared" si="352"/>
        <v>-3.3001289745931917E-2</v>
      </c>
      <c r="AR106" s="186">
        <f t="shared" si="352"/>
        <v>-3.3194601567628101E-2</v>
      </c>
      <c r="AS106" s="186">
        <f t="shared" si="352"/>
        <v>-3.3419606321890727E-2</v>
      </c>
      <c r="AT106" s="186">
        <f t="shared" si="352"/>
        <v>-3.3677770117157391E-2</v>
      </c>
      <c r="AU106" s="186">
        <f t="shared" si="352"/>
        <v>-3.3970062494622422E-2</v>
      </c>
      <c r="AV106" s="186">
        <f t="shared" si="352"/>
        <v>-3.4296939370224822E-2</v>
      </c>
      <c r="AW106" s="186">
        <f t="shared" si="352"/>
        <v>-3.4658337191877053E-2</v>
      </c>
      <c r="AX106" s="187">
        <f t="shared" si="352"/>
        <v>-3.5053678443624448E-2</v>
      </c>
    </row>
    <row r="107" spans="1:50" ht="0.15" customHeight="1" x14ac:dyDescent="0.25">
      <c r="A107" s="247" t="str">
        <f t="shared" si="354"/>
        <v>Difference in CO2 emission related costs (€2010 / MWh net)</v>
      </c>
      <c r="H107" s="133" t="str">
        <f>A107&amp;CHAR(13)&amp;I107</f>
        <v>Difference in CO2 emission related costs (€2010 / MWh net)_x000D_Wind power plants / Onshore / Electricity only / M</v>
      </c>
      <c r="I107" s="133" t="str">
        <f>INDEX(F$346:F$617,$D$139)&amp;" / "&amp;INDEX(G$346:G$617,$D$139)&amp;" / "&amp;INDEX(H$346:H$617,$D$139)&amp;" / "&amp;INDEX(I$346:I$617,$D$139)</f>
        <v>Wind power plants / Onshore / Electricity only / M</v>
      </c>
      <c r="J107" s="186">
        <f t="shared" ref="J107:O107" si="356">J14-J22</f>
        <v>0</v>
      </c>
      <c r="K107" s="186">
        <f t="shared" si="356"/>
        <v>0</v>
      </c>
      <c r="L107" s="186">
        <f t="shared" si="356"/>
        <v>0</v>
      </c>
      <c r="M107" s="186">
        <f t="shared" si="356"/>
        <v>0</v>
      </c>
      <c r="N107" s="186">
        <f t="shared" si="356"/>
        <v>0</v>
      </c>
      <c r="O107" s="186">
        <f t="shared" si="356"/>
        <v>0</v>
      </c>
      <c r="P107" s="186">
        <f t="shared" si="352"/>
        <v>0</v>
      </c>
      <c r="Q107" s="186">
        <f t="shared" si="352"/>
        <v>0</v>
      </c>
      <c r="R107" s="186">
        <f t="shared" si="352"/>
        <v>0</v>
      </c>
      <c r="S107" s="186">
        <f t="shared" si="352"/>
        <v>0</v>
      </c>
      <c r="T107" s="186">
        <f t="shared" si="352"/>
        <v>0</v>
      </c>
      <c r="U107" s="186">
        <f t="shared" si="352"/>
        <v>0</v>
      </c>
      <c r="V107" s="186">
        <f t="shared" si="352"/>
        <v>0</v>
      </c>
      <c r="W107" s="186">
        <f t="shared" si="352"/>
        <v>0</v>
      </c>
      <c r="X107" s="186">
        <f t="shared" si="352"/>
        <v>0</v>
      </c>
      <c r="Y107" s="186">
        <f t="shared" si="352"/>
        <v>0</v>
      </c>
      <c r="Z107" s="186">
        <f t="shared" si="352"/>
        <v>0</v>
      </c>
      <c r="AA107" s="186">
        <f t="shared" si="352"/>
        <v>0</v>
      </c>
      <c r="AB107" s="186">
        <f t="shared" si="352"/>
        <v>0</v>
      </c>
      <c r="AC107" s="186">
        <f t="shared" si="352"/>
        <v>0</v>
      </c>
      <c r="AD107" s="186">
        <f t="shared" si="352"/>
        <v>0</v>
      </c>
      <c r="AE107" s="186">
        <f t="shared" si="352"/>
        <v>0</v>
      </c>
      <c r="AF107" s="186">
        <f t="shared" si="352"/>
        <v>0</v>
      </c>
      <c r="AG107" s="186">
        <f t="shared" si="352"/>
        <v>0</v>
      </c>
      <c r="AH107" s="186">
        <f t="shared" si="352"/>
        <v>0</v>
      </c>
      <c r="AI107" s="186">
        <f t="shared" si="352"/>
        <v>0</v>
      </c>
      <c r="AJ107" s="186">
        <f t="shared" si="352"/>
        <v>0</v>
      </c>
      <c r="AK107" s="186">
        <f t="shared" si="352"/>
        <v>0</v>
      </c>
      <c r="AL107" s="186">
        <f t="shared" si="352"/>
        <v>0</v>
      </c>
      <c r="AM107" s="186">
        <f t="shared" si="352"/>
        <v>0</v>
      </c>
      <c r="AN107" s="186">
        <f t="shared" si="352"/>
        <v>0</v>
      </c>
      <c r="AO107" s="186">
        <f t="shared" si="352"/>
        <v>0</v>
      </c>
      <c r="AP107" s="186">
        <f t="shared" si="352"/>
        <v>0</v>
      </c>
      <c r="AQ107" s="186">
        <f t="shared" si="352"/>
        <v>0</v>
      </c>
      <c r="AR107" s="186">
        <f t="shared" si="352"/>
        <v>0</v>
      </c>
      <c r="AS107" s="186">
        <f t="shared" si="352"/>
        <v>0</v>
      </c>
      <c r="AT107" s="186">
        <f t="shared" si="352"/>
        <v>0</v>
      </c>
      <c r="AU107" s="186">
        <f t="shared" si="352"/>
        <v>0</v>
      </c>
      <c r="AV107" s="186">
        <f t="shared" si="352"/>
        <v>0</v>
      </c>
      <c r="AW107" s="186">
        <f t="shared" si="352"/>
        <v>0</v>
      </c>
      <c r="AX107" s="187">
        <f t="shared" si="352"/>
        <v>0</v>
      </c>
    </row>
    <row r="108" spans="1:50" ht="0.15" customHeight="1" x14ac:dyDescent="0.25">
      <c r="A108" s="135"/>
      <c r="B108" s="135"/>
      <c r="C108" s="135"/>
      <c r="D108" s="135"/>
      <c r="E108" s="135"/>
      <c r="F108" s="135"/>
      <c r="G108" s="135"/>
      <c r="H108" s="135"/>
      <c r="I108" s="135"/>
      <c r="J108" s="264"/>
      <c r="K108" s="264"/>
      <c r="L108" s="264"/>
      <c r="M108" s="264"/>
      <c r="N108" s="264"/>
      <c r="O108" s="264"/>
      <c r="P108" s="264"/>
      <c r="Q108" s="264"/>
      <c r="R108" s="264"/>
      <c r="S108" s="264"/>
      <c r="T108" s="264"/>
      <c r="U108" s="264"/>
      <c r="V108" s="264"/>
      <c r="W108" s="264"/>
      <c r="X108" s="264"/>
      <c r="Y108" s="264"/>
      <c r="Z108" s="264"/>
      <c r="AA108" s="264"/>
      <c r="AB108" s="264"/>
      <c r="AC108" s="264"/>
      <c r="AD108" s="264"/>
      <c r="AE108" s="264"/>
      <c r="AF108" s="264"/>
      <c r="AG108" s="264"/>
      <c r="AH108" s="264"/>
      <c r="AI108" s="264"/>
      <c r="AJ108" s="264"/>
      <c r="AK108" s="264"/>
      <c r="AL108" s="264"/>
      <c r="AM108" s="264"/>
      <c r="AN108" s="264"/>
      <c r="AO108" s="264"/>
      <c r="AP108" s="264"/>
      <c r="AQ108" s="264"/>
      <c r="AR108" s="264"/>
      <c r="AS108" s="264"/>
      <c r="AT108" s="264"/>
      <c r="AU108" s="264"/>
      <c r="AV108" s="264"/>
      <c r="AW108" s="264"/>
      <c r="AX108" s="264"/>
    </row>
    <row r="109" spans="1:50" ht="0.15" customHeight="1" x14ac:dyDescent="0.25">
      <c r="A109" s="282" t="s">
        <v>54</v>
      </c>
      <c r="J109" s="194"/>
      <c r="K109" s="194"/>
      <c r="L109" s="194"/>
      <c r="M109" s="194"/>
      <c r="N109" s="194"/>
      <c r="O109" s="194"/>
      <c r="P109" s="194"/>
      <c r="Q109" s="194"/>
      <c r="R109" s="194"/>
      <c r="S109" s="194"/>
      <c r="T109" s="194"/>
      <c r="U109" s="194"/>
      <c r="V109" s="194"/>
      <c r="W109" s="194"/>
      <c r="X109" s="194"/>
      <c r="Y109" s="194"/>
      <c r="Z109" s="194"/>
      <c r="AA109" s="194"/>
      <c r="AB109" s="194"/>
      <c r="AC109" s="194"/>
      <c r="AD109" s="194"/>
      <c r="AE109" s="194"/>
      <c r="AF109" s="194"/>
      <c r="AG109" s="194"/>
      <c r="AH109" s="194"/>
      <c r="AI109" s="194"/>
      <c r="AJ109" s="194"/>
      <c r="AK109" s="194"/>
      <c r="AL109" s="194"/>
      <c r="AM109" s="194"/>
      <c r="AN109" s="194"/>
      <c r="AO109" s="194"/>
      <c r="AP109" s="194"/>
      <c r="AQ109" s="194"/>
      <c r="AR109" s="194"/>
      <c r="AS109" s="194"/>
      <c r="AT109" s="194"/>
      <c r="AU109" s="194"/>
      <c r="AV109" s="194"/>
      <c r="AW109" s="194"/>
      <c r="AX109" s="194"/>
    </row>
    <row r="110" spans="1:50" ht="0.15" customHeight="1" x14ac:dyDescent="0.25">
      <c r="A110" s="283" t="s">
        <v>62</v>
      </c>
      <c r="B110" s="281"/>
      <c r="J110" s="270">
        <f>IF(J111=1,$T$7,INDEX($J$112:$J$130,J111))</f>
        <v>0.08</v>
      </c>
      <c r="L110" s="157">
        <f>INDEX($L$112:$L$129,L111)</f>
        <v>4000</v>
      </c>
      <c r="N110" s="157">
        <f>IF(N111=1,$AN$7,INDEX($N$112:$N$127,N111))</f>
        <v>0</v>
      </c>
    </row>
    <row r="111" spans="1:50" ht="0.15" customHeight="1" x14ac:dyDescent="0.25">
      <c r="A111" s="205">
        <v>11</v>
      </c>
      <c r="B111" s="206">
        <v>1</v>
      </c>
      <c r="C111" s="206">
        <v>1</v>
      </c>
      <c r="D111" s="207">
        <v>1</v>
      </c>
      <c r="J111" s="156">
        <v>7</v>
      </c>
      <c r="L111" s="156">
        <v>9</v>
      </c>
      <c r="N111" s="156">
        <v>2</v>
      </c>
    </row>
    <row r="112" spans="1:50" ht="0.15" customHeight="1" x14ac:dyDescent="0.25">
      <c r="B112" s="271">
        <f>IF(LEN(B115)=0,1,IF(LEN(B116)=0,MIN(2,B111),IF(LEN(B117)=0,MIN(3,B111),MIN(4,B111))))</f>
        <v>1</v>
      </c>
      <c r="C112" s="271">
        <f>IF(LEN(C115)=0,1,IF(LEN(C116)=0,MIN(2,C111),IF(LEN(C117)=0,MIN(3,C111),MIN(4,C111))))</f>
        <v>1</v>
      </c>
      <c r="D112" s="272">
        <f>IF(LEN(D115)=0,1,IF(LEN(D116)=0,MIN(2,D111),IF(LEN(D117)=0,MIN(3,D111),MIN(4,D111))))</f>
        <v>1</v>
      </c>
      <c r="J112" s="157" t="str">
        <f>(T7*100)&amp;"% (manual)"</f>
        <v>7,2% (manual)</v>
      </c>
      <c r="L112" s="157">
        <v>100</v>
      </c>
      <c r="N112" s="157" t="str">
        <f>AN7&amp;" (manual)"</f>
        <v>88 (manual)</v>
      </c>
    </row>
    <row r="113" spans="1:14" ht="0.15" customHeight="1" x14ac:dyDescent="0.25">
      <c r="A113" s="137"/>
      <c r="B113" s="157">
        <f>INDEX(visuD!$H$1:$H$17,$A$111)</f>
        <v>29</v>
      </c>
      <c r="C113" s="157">
        <f>INDEX(visuD!$H$18:$H$56,$B$113+$B$112)</f>
        <v>95</v>
      </c>
      <c r="D113" s="208">
        <f>INDEX(visuD!$H$57:$H$161,$C$113+$C$112)</f>
        <v>239</v>
      </c>
      <c r="J113" s="274">
        <v>0.02</v>
      </c>
      <c r="L113" s="157">
        <v>500</v>
      </c>
      <c r="N113" s="157">
        <v>0</v>
      </c>
    </row>
    <row r="114" spans="1:14" ht="0.15" customHeight="1" x14ac:dyDescent="0.25">
      <c r="A114" s="209" t="str">
        <f>visuD!A1</f>
        <v>Nuclear power plants</v>
      </c>
      <c r="B114" s="210" t="str">
        <f>TRIM(INDEX(visuD!$D$1:$G$17,$A$111,1))</f>
        <v>Onshore</v>
      </c>
      <c r="C114" s="210" t="str">
        <f>TRIM(INDEX(visuD!$D$18:$G$56,$B$113+$B$112,1))</f>
        <v>Electricity only</v>
      </c>
      <c r="D114" s="211" t="str">
        <f>TRIM(INDEX(visuD!$D$57:$G$161,$C$113+$C$112,1))</f>
        <v>L</v>
      </c>
      <c r="J114" s="275">
        <v>0.04</v>
      </c>
      <c r="L114" s="157">
        <v>1000</v>
      </c>
      <c r="N114" s="157">
        <v>5</v>
      </c>
    </row>
    <row r="115" spans="1:14" ht="0.15" customHeight="1" x14ac:dyDescent="0.25">
      <c r="A115" s="209" t="str">
        <f>visuD!A2</f>
        <v>Coal fired power plants</v>
      </c>
      <c r="B115" s="210" t="str">
        <f>TRIM(INDEX(visuD!$D$1:$G$17,$A$111,2))</f>
        <v>Offshore</v>
      </c>
      <c r="C115" s="210" t="str">
        <f>TRIM(INDEX(visuD!$D$18:$G$56,$B$113+$B$112,2))</f>
        <v/>
      </c>
      <c r="D115" s="211" t="str">
        <f>TRIM(INDEX(visuD!$D$57:$G$161,$C$113+$C$112,2))</f>
        <v>M</v>
      </c>
      <c r="J115" s="275">
        <v>0.06</v>
      </c>
      <c r="L115" s="157">
        <v>1500</v>
      </c>
      <c r="N115" s="157">
        <v>10</v>
      </c>
    </row>
    <row r="116" spans="1:14" ht="0.15" customHeight="1" x14ac:dyDescent="0.25">
      <c r="A116" s="209" t="str">
        <f>visuD!A3</f>
        <v>Lignite fired power plants</v>
      </c>
      <c r="B116" s="210" t="str">
        <f>TRIM(INDEX(visuD!$D$1:$G$17,$A$111,3))</f>
        <v/>
      </c>
      <c r="C116" s="210" t="str">
        <f>TRIM(INDEX(visuD!$D$18:$G$56,$B$113+$B$112,3))</f>
        <v/>
      </c>
      <c r="D116" s="211" t="str">
        <f>TRIM(INDEX(visuD!$D$57:$G$161,$C$113+$C$112,3))</f>
        <v>S</v>
      </c>
      <c r="J116" s="275">
        <v>7.0000000000000007E-2</v>
      </c>
      <c r="L116" s="157">
        <v>2000</v>
      </c>
      <c r="N116" s="157">
        <v>20</v>
      </c>
    </row>
    <row r="117" spans="1:14" ht="0.15" customHeight="1" x14ac:dyDescent="0.25">
      <c r="A117" s="209" t="str">
        <f>visuD!A4</f>
        <v>Gas fired power plants (Natural gas, biogas)</v>
      </c>
      <c r="B117" s="210" t="str">
        <f>TRIM(INDEX(visuD!$D$1:$G$17,$A$111,4))</f>
        <v/>
      </c>
      <c r="C117" s="210" t="str">
        <f>TRIM(INDEX(visuD!$D$18:$G$56,$B$113+$B$112,4))</f>
        <v/>
      </c>
      <c r="D117" s="211" t="str">
        <f>TRIM(INDEX(visuD!$D$57:$G$161,$C$113+$C$112,4))</f>
        <v>XS</v>
      </c>
      <c r="J117" s="275">
        <v>7.4999999999999997E-2</v>
      </c>
      <c r="L117" s="157">
        <v>2500</v>
      </c>
      <c r="N117" s="157">
        <v>30</v>
      </c>
    </row>
    <row r="118" spans="1:14" ht="0.15" customHeight="1" x14ac:dyDescent="0.25">
      <c r="A118" s="209" t="str">
        <f>visuD!A5</f>
        <v>Derived gas fired power plants</v>
      </c>
      <c r="D118" s="138"/>
      <c r="J118" s="275">
        <v>0.08</v>
      </c>
      <c r="L118" s="157">
        <v>3000</v>
      </c>
      <c r="N118" s="157">
        <v>40</v>
      </c>
    </row>
    <row r="119" spans="1:14" ht="0.15" customHeight="1" x14ac:dyDescent="0.25">
      <c r="A119" s="209" t="str">
        <f>visuD!A6</f>
        <v>Refinery gas fired power plants</v>
      </c>
      <c r="D119" s="213">
        <f>D113+D112</f>
        <v>240</v>
      </c>
      <c r="J119" s="275">
        <v>8.5000000000000006E-2</v>
      </c>
      <c r="L119" s="157">
        <v>3500</v>
      </c>
      <c r="N119" s="157">
        <v>50</v>
      </c>
    </row>
    <row r="120" spans="1:14" ht="0.15" customHeight="1" x14ac:dyDescent="0.25">
      <c r="A120" s="209" t="str">
        <f>visuD!A7</f>
        <v>Diesel oil fired power plants</v>
      </c>
      <c r="D120" s="214">
        <f>D113+1</f>
        <v>240</v>
      </c>
      <c r="J120" s="275">
        <v>0.09</v>
      </c>
      <c r="L120" s="157">
        <v>4000</v>
      </c>
      <c r="N120" s="157">
        <v>60</v>
      </c>
    </row>
    <row r="121" spans="1:14" ht="0.15" customHeight="1" x14ac:dyDescent="0.25">
      <c r="A121" s="209" t="str">
        <f>visuD!A8</f>
        <v>Fuel oil fired power plants</v>
      </c>
      <c r="D121" s="215">
        <f>IF(LEN(D115)&gt;0,D120+1,D120)</f>
        <v>241</v>
      </c>
      <c r="J121" s="275">
        <v>0.1</v>
      </c>
      <c r="L121" s="157">
        <v>4500</v>
      </c>
      <c r="N121" s="157">
        <v>70</v>
      </c>
    </row>
    <row r="122" spans="1:14" ht="0.15" customHeight="1" x14ac:dyDescent="0.25">
      <c r="A122" s="209" t="str">
        <f>visuD!A9</f>
        <v>Biomass and waste fired power plants</v>
      </c>
      <c r="D122" s="215">
        <f>IF(LEN(D116)&gt;0,D121+1,D121)</f>
        <v>242</v>
      </c>
      <c r="J122" s="275">
        <v>0.11</v>
      </c>
      <c r="L122" s="157">
        <v>5000</v>
      </c>
      <c r="N122" s="157">
        <v>80</v>
      </c>
    </row>
    <row r="123" spans="1:14" ht="0.15" customHeight="1" x14ac:dyDescent="0.25">
      <c r="A123" s="209" t="str">
        <f>visuD!A10</f>
        <v>Fuel cells</v>
      </c>
      <c r="D123" s="216">
        <f>IF(LEN(D117)&gt;0,D122+1,D122)</f>
        <v>243</v>
      </c>
      <c r="J123" s="275">
        <v>0.12</v>
      </c>
      <c r="L123" s="157">
        <v>5500</v>
      </c>
      <c r="N123" s="157">
        <v>90</v>
      </c>
    </row>
    <row r="124" spans="1:14" ht="0.15" customHeight="1" x14ac:dyDescent="0.25">
      <c r="A124" s="209" t="str">
        <f>visuD!A11</f>
        <v>Wind power plants</v>
      </c>
      <c r="D124" s="138"/>
      <c r="J124" s="275">
        <v>0.14000000000000001</v>
      </c>
      <c r="L124" s="157">
        <v>6000</v>
      </c>
      <c r="N124" s="157">
        <v>100</v>
      </c>
    </row>
    <row r="125" spans="1:14" ht="0.15" customHeight="1" x14ac:dyDescent="0.25">
      <c r="A125" s="209" t="str">
        <f>visuD!A12</f>
        <v>Solar PV power plants</v>
      </c>
      <c r="D125" s="138"/>
      <c r="J125" s="270"/>
      <c r="L125" s="157">
        <v>6500</v>
      </c>
      <c r="N125" s="157">
        <v>150</v>
      </c>
    </row>
    <row r="126" spans="1:14" ht="0.15" customHeight="1" x14ac:dyDescent="0.25">
      <c r="A126" s="209" t="str">
        <f>visuD!A13</f>
        <v>Solar thermal power plants</v>
      </c>
      <c r="D126" s="138"/>
      <c r="J126" s="270"/>
      <c r="L126" s="157">
        <v>7000</v>
      </c>
      <c r="N126" s="157">
        <v>200</v>
      </c>
    </row>
    <row r="127" spans="1:14" ht="0.15" customHeight="1" x14ac:dyDescent="0.25">
      <c r="A127" s="209" t="str">
        <f>visuD!A14</f>
        <v>Geothermal power plants</v>
      </c>
      <c r="D127" s="138"/>
      <c r="J127" s="270"/>
      <c r="L127" s="157">
        <v>7500</v>
      </c>
      <c r="N127" s="157">
        <v>300</v>
      </c>
    </row>
    <row r="128" spans="1:14" ht="0.15" customHeight="1" x14ac:dyDescent="0.25">
      <c r="A128" s="209" t="str">
        <f>visuD!A15</f>
        <v>Tide, wave and ocean power plants</v>
      </c>
      <c r="D128" s="138"/>
      <c r="J128" s="270"/>
      <c r="L128" s="157">
        <v>8000</v>
      </c>
    </row>
    <row r="129" spans="1:12" ht="0.15" customHeight="1" x14ac:dyDescent="0.25">
      <c r="A129" s="209" t="str">
        <f>visuD!A16</f>
        <v>Hydro plants</v>
      </c>
      <c r="D129" s="138"/>
      <c r="J129" s="270"/>
      <c r="L129" s="157">
        <v>8500</v>
      </c>
    </row>
    <row r="130" spans="1:12" ht="0.15" customHeight="1" x14ac:dyDescent="0.25">
      <c r="A130" s="212" t="str">
        <f>visuD!A17</f>
        <v>Pump storage</v>
      </c>
      <c r="B130" s="140"/>
      <c r="C130" s="140"/>
      <c r="D130" s="141"/>
      <c r="J130" s="270"/>
    </row>
    <row r="131" spans="1:12" ht="0.15" customHeight="1" x14ac:dyDescent="0.25">
      <c r="A131" s="273">
        <v>11</v>
      </c>
      <c r="B131" s="206">
        <v>1</v>
      </c>
      <c r="C131" s="206">
        <v>1</v>
      </c>
      <c r="D131" s="207">
        <v>2</v>
      </c>
    </row>
    <row r="132" spans="1:12" ht="0.15" customHeight="1" x14ac:dyDescent="0.25">
      <c r="B132" s="271">
        <f>IF(LEN(B135)=0,1,IF(LEN(B136)=0,MIN(2,B131),IF(LEN(B137)=0,MIN(3,B131),MIN(4,B131))))</f>
        <v>1</v>
      </c>
      <c r="C132" s="271">
        <f>IF(LEN(C135)=0,1,IF(LEN(C136)=0,MIN(2,C131),IF(LEN(C137)=0,MIN(3,C131),MIN(4,C131))))</f>
        <v>1</v>
      </c>
      <c r="D132" s="272">
        <f>IF(LEN(D135)=0,1,IF(LEN(D136)=0,MIN(2,D131),IF(LEN(D137)=0,MIN(3,D131),MIN(4,D131))))</f>
        <v>2</v>
      </c>
      <c r="J132" s="157">
        <v>11.5</v>
      </c>
    </row>
    <row r="133" spans="1:12" ht="0.15" customHeight="1" x14ac:dyDescent="0.25">
      <c r="A133" s="137"/>
      <c r="B133" s="157">
        <f>INDEX(visuD!$H$1:$H$17,$A$131)</f>
        <v>29</v>
      </c>
      <c r="C133" s="157">
        <f>INDEX(visuD!$H$18:$H$56,$B$133+$B$132)</f>
        <v>95</v>
      </c>
      <c r="D133" s="208">
        <f>INDEX(visuD!$H$57:$H$161,$C$133+$C$132)</f>
        <v>239</v>
      </c>
    </row>
    <row r="134" spans="1:12" ht="0.15" customHeight="1" x14ac:dyDescent="0.25">
      <c r="A134" s="209" t="str">
        <f>visuD!A1</f>
        <v>Nuclear power plants</v>
      </c>
      <c r="B134" s="210" t="str">
        <f>TRIM(INDEX(visuD!$D$1:$G$17,$A$131,1))</f>
        <v>Onshore</v>
      </c>
      <c r="C134" s="210" t="str">
        <f>TRIM(INDEX(visuD!$D$18:$G$56,$B$133+$B$132,1))</f>
        <v>Electricity only</v>
      </c>
      <c r="D134" s="211" t="str">
        <f>TRIM(INDEX(visuD!$D$57:$G$161,$C$133+$C$132,1))</f>
        <v>L</v>
      </c>
    </row>
    <row r="135" spans="1:12" ht="0.15" customHeight="1" x14ac:dyDescent="0.25">
      <c r="A135" s="209" t="str">
        <f>visuD!A2</f>
        <v>Coal fired power plants</v>
      </c>
      <c r="B135" s="210" t="str">
        <f>TRIM(INDEX(visuD!$D$1:$G$17,$A$131,2))</f>
        <v>Offshore</v>
      </c>
      <c r="C135" s="210" t="str">
        <f>TRIM(INDEX(visuD!$D$18:$G$56,$B$133+$B$132,2))</f>
        <v/>
      </c>
      <c r="D135" s="211" t="str">
        <f>TRIM(INDEX(visuD!$D$57:$G$161,$C$133+$C$132,2))</f>
        <v>M</v>
      </c>
    </row>
    <row r="136" spans="1:12" ht="0.15" customHeight="1" x14ac:dyDescent="0.25">
      <c r="A136" s="209" t="str">
        <f>visuD!A3</f>
        <v>Lignite fired power plants</v>
      </c>
      <c r="B136" s="210" t="str">
        <f>TRIM(INDEX(visuD!$D$1:$G$17,$A$131,3))</f>
        <v/>
      </c>
      <c r="C136" s="210" t="str">
        <f>TRIM(INDEX(visuD!$D$18:$G$56,$B$133+$B$132,3))</f>
        <v/>
      </c>
      <c r="D136" s="211" t="str">
        <f>TRIM(INDEX(visuD!$D$57:$G$161,$C$133+$C$132,3))</f>
        <v>S</v>
      </c>
    </row>
    <row r="137" spans="1:12" ht="0.15" customHeight="1" x14ac:dyDescent="0.25">
      <c r="A137" s="209" t="str">
        <f>visuD!A4</f>
        <v>Gas fired power plants (Natural gas, biogas)</v>
      </c>
      <c r="B137" s="210" t="str">
        <f>TRIM(INDEX(visuD!$D$1:$G$17,$A$131,4))</f>
        <v/>
      </c>
      <c r="C137" s="210" t="str">
        <f>TRIM(INDEX(visuD!$D$18:$G$56,$B$133+$B$132,4))</f>
        <v/>
      </c>
      <c r="D137" s="211" t="str">
        <f>TRIM(INDEX(visuD!$D$57:$G$161,$C$133+$C$132,4))</f>
        <v>XS</v>
      </c>
    </row>
    <row r="138" spans="1:12" ht="0.15" customHeight="1" x14ac:dyDescent="0.25">
      <c r="A138" s="209" t="str">
        <f>visuD!A5</f>
        <v>Derived gas fired power plants</v>
      </c>
      <c r="D138" s="138"/>
    </row>
    <row r="139" spans="1:12" ht="0.15" customHeight="1" x14ac:dyDescent="0.25">
      <c r="A139" s="209" t="str">
        <f>visuD!A6</f>
        <v>Refinery gas fired power plants</v>
      </c>
      <c r="D139" s="213">
        <f>D133+D132</f>
        <v>241</v>
      </c>
    </row>
    <row r="140" spans="1:12" ht="0.15" customHeight="1" x14ac:dyDescent="0.25">
      <c r="A140" s="209" t="str">
        <f>visuD!A7</f>
        <v>Diesel oil fired power plants</v>
      </c>
      <c r="D140" s="214">
        <f>D133+1</f>
        <v>240</v>
      </c>
    </row>
    <row r="141" spans="1:12" ht="0.15" customHeight="1" x14ac:dyDescent="0.25">
      <c r="A141" s="209" t="str">
        <f>visuD!A8</f>
        <v>Fuel oil fired power plants</v>
      </c>
      <c r="D141" s="215">
        <f>IF(LEN(D135)&gt;0,D140+1,D140)</f>
        <v>241</v>
      </c>
    </row>
    <row r="142" spans="1:12" ht="0.15" customHeight="1" x14ac:dyDescent="0.25">
      <c r="A142" s="209" t="str">
        <f>visuD!A9</f>
        <v>Biomass and waste fired power plants</v>
      </c>
      <c r="D142" s="215">
        <f>IF(LEN(D136)&gt;0,D141+1,D141)</f>
        <v>242</v>
      </c>
    </row>
    <row r="143" spans="1:12" ht="0.15" customHeight="1" x14ac:dyDescent="0.25">
      <c r="A143" s="209" t="str">
        <f>visuD!A10</f>
        <v>Fuel cells</v>
      </c>
      <c r="D143" s="216">
        <f>IF(LEN(D137)&gt;0,D142+1,D142)</f>
        <v>243</v>
      </c>
    </row>
    <row r="144" spans="1:12" ht="0.15" customHeight="1" x14ac:dyDescent="0.25">
      <c r="A144" s="209" t="str">
        <f>visuD!A11</f>
        <v>Wind power plants</v>
      </c>
      <c r="D144" s="138"/>
    </row>
    <row r="145" spans="1:4" ht="0.15" customHeight="1" x14ac:dyDescent="0.25">
      <c r="A145" s="209" t="str">
        <f>visuD!A12</f>
        <v>Solar PV power plants</v>
      </c>
      <c r="D145" s="138"/>
    </row>
    <row r="146" spans="1:4" ht="0.15" customHeight="1" x14ac:dyDescent="0.25">
      <c r="A146" s="209" t="str">
        <f>visuD!A13</f>
        <v>Solar thermal power plants</v>
      </c>
      <c r="D146" s="138"/>
    </row>
    <row r="147" spans="1:4" ht="0.15" customHeight="1" x14ac:dyDescent="0.25">
      <c r="A147" s="209" t="str">
        <f>visuD!A14</f>
        <v>Geothermal power plants</v>
      </c>
      <c r="D147" s="138"/>
    </row>
    <row r="148" spans="1:4" ht="0.15" customHeight="1" x14ac:dyDescent="0.25">
      <c r="A148" s="209" t="str">
        <f>visuD!A15</f>
        <v>Tide, wave and ocean power plants</v>
      </c>
      <c r="D148" s="138"/>
    </row>
    <row r="149" spans="1:4" ht="0.15" customHeight="1" x14ac:dyDescent="0.25">
      <c r="A149" s="209" t="str">
        <f>visuD!A16</f>
        <v>Hydro plants</v>
      </c>
      <c r="D149" s="138"/>
    </row>
    <row r="150" spans="1:4" ht="0.15" customHeight="1" x14ac:dyDescent="0.25">
      <c r="A150" s="212" t="str">
        <f>visuD!A17</f>
        <v>Pump storage</v>
      </c>
      <c r="B150" s="140"/>
      <c r="C150" s="140"/>
      <c r="D150" s="141"/>
    </row>
    <row r="208" spans="10:15" x14ac:dyDescent="0.25">
      <c r="J208" s="151"/>
      <c r="K208" s="151"/>
      <c r="L208" s="151"/>
      <c r="M208" s="151"/>
      <c r="N208" s="151"/>
      <c r="O208" s="151"/>
    </row>
    <row r="343" spans="1:50" ht="11" thickBot="1" x14ac:dyDescent="0.3"/>
    <row r="344" spans="1:50" x14ac:dyDescent="0.25">
      <c r="A344" s="343" t="s">
        <v>49</v>
      </c>
      <c r="B344" s="345" t="s">
        <v>50</v>
      </c>
      <c r="C344" s="345" t="s">
        <v>51</v>
      </c>
      <c r="D344" s="345" t="s">
        <v>52</v>
      </c>
      <c r="E344" s="290"/>
      <c r="F344" s="290"/>
      <c r="G344" s="290"/>
      <c r="H344" s="290"/>
      <c r="I344" s="290"/>
      <c r="J344" s="1" t="s">
        <v>69</v>
      </c>
      <c r="K344" s="1"/>
      <c r="L344" s="1"/>
      <c r="M344" s="1"/>
      <c r="N344" s="1"/>
      <c r="O344" s="1"/>
      <c r="P344" s="289"/>
      <c r="Q344" s="289"/>
      <c r="R344" s="289"/>
      <c r="S344" s="289"/>
      <c r="T344" s="289"/>
      <c r="U344" s="289"/>
      <c r="V344" s="289"/>
      <c r="W344" s="289"/>
      <c r="X344" s="289"/>
      <c r="Y344" s="289"/>
      <c r="Z344" s="289"/>
      <c r="AA344" s="289"/>
      <c r="AB344" s="289"/>
      <c r="AC344" s="289"/>
      <c r="AD344" s="289"/>
      <c r="AE344" s="289"/>
      <c r="AF344" s="289"/>
      <c r="AG344" s="289"/>
      <c r="AH344" s="289"/>
      <c r="AI344" s="289"/>
      <c r="AJ344" s="289"/>
      <c r="AK344" s="289"/>
      <c r="AL344" s="289"/>
      <c r="AM344" s="289"/>
      <c r="AN344" s="289"/>
      <c r="AO344" s="289"/>
      <c r="AP344" s="289"/>
      <c r="AQ344" s="289"/>
      <c r="AR344" s="289"/>
      <c r="AS344" s="289"/>
      <c r="AT344" s="289"/>
      <c r="AU344" s="289"/>
      <c r="AV344" s="289"/>
      <c r="AW344" s="289"/>
      <c r="AX344" s="288"/>
    </row>
    <row r="345" spans="1:50" ht="11" thickBot="1" x14ac:dyDescent="0.3">
      <c r="A345" s="344"/>
      <c r="B345" s="346"/>
      <c r="C345" s="346"/>
      <c r="D345" s="346"/>
      <c r="E345" s="291"/>
      <c r="F345" s="291"/>
      <c r="G345" s="291"/>
      <c r="H345" s="291"/>
      <c r="I345" s="291"/>
      <c r="J345" s="68">
        <v>2010</v>
      </c>
      <c r="K345" s="68">
        <v>2011</v>
      </c>
      <c r="L345" s="68">
        <v>2012</v>
      </c>
      <c r="M345" s="68">
        <v>2013</v>
      </c>
      <c r="N345" s="68">
        <v>2014</v>
      </c>
      <c r="O345" s="68">
        <v>2015</v>
      </c>
      <c r="P345" s="68">
        <v>2016</v>
      </c>
      <c r="Q345" s="68">
        <v>2017</v>
      </c>
      <c r="R345" s="68">
        <v>2018</v>
      </c>
      <c r="S345" s="68">
        <v>2019</v>
      </c>
      <c r="T345" s="68">
        <v>2020</v>
      </c>
      <c r="U345" s="68">
        <v>2021</v>
      </c>
      <c r="V345" s="68">
        <v>2022</v>
      </c>
      <c r="W345" s="68">
        <v>2023</v>
      </c>
      <c r="X345" s="68">
        <v>2024</v>
      </c>
      <c r="Y345" s="68">
        <v>2025</v>
      </c>
      <c r="Z345" s="68">
        <v>2026</v>
      </c>
      <c r="AA345" s="68">
        <v>2027</v>
      </c>
      <c r="AB345" s="68">
        <v>2028</v>
      </c>
      <c r="AC345" s="68">
        <v>2029</v>
      </c>
      <c r="AD345" s="68">
        <v>2030</v>
      </c>
      <c r="AE345" s="68">
        <v>2031</v>
      </c>
      <c r="AF345" s="68">
        <v>2032</v>
      </c>
      <c r="AG345" s="68">
        <v>2033</v>
      </c>
      <c r="AH345" s="68">
        <v>2034</v>
      </c>
      <c r="AI345" s="68">
        <v>2035</v>
      </c>
      <c r="AJ345" s="68">
        <v>2036</v>
      </c>
      <c r="AK345" s="68">
        <v>2037</v>
      </c>
      <c r="AL345" s="68">
        <v>2038</v>
      </c>
      <c r="AM345" s="68">
        <v>2039</v>
      </c>
      <c r="AN345" s="68">
        <v>2040</v>
      </c>
      <c r="AO345" s="68">
        <v>2041</v>
      </c>
      <c r="AP345" s="68">
        <v>2042</v>
      </c>
      <c r="AQ345" s="68">
        <v>2043</v>
      </c>
      <c r="AR345" s="68">
        <v>2044</v>
      </c>
      <c r="AS345" s="68">
        <v>2045</v>
      </c>
      <c r="AT345" s="68">
        <v>2046</v>
      </c>
      <c r="AU345" s="68">
        <v>2047</v>
      </c>
      <c r="AV345" s="68">
        <v>2048</v>
      </c>
      <c r="AW345" s="68">
        <v>2049</v>
      </c>
      <c r="AX345" s="83">
        <v>2050</v>
      </c>
    </row>
    <row r="346" spans="1:50" x14ac:dyDescent="0.25">
      <c r="A346" s="347" t="s">
        <v>4</v>
      </c>
      <c r="B346" s="349" t="s">
        <v>5</v>
      </c>
      <c r="C346" s="350" t="s">
        <v>6</v>
      </c>
      <c r="D346" s="284" t="s">
        <v>7</v>
      </c>
      <c r="E346" s="285" t="str">
        <f>A346&amp;"/"&amp;B346&amp;"/"&amp;C346&amp;"/"&amp;D346</f>
        <v>Nuclear power plants/Nuclear - current/Electricity only/L</v>
      </c>
      <c r="F346" s="285" t="str">
        <f>A346</f>
        <v>Nuclear power plants</v>
      </c>
      <c r="G346" s="285" t="str">
        <f>B346</f>
        <v>Nuclear - current</v>
      </c>
      <c r="H346" s="285" t="str">
        <f>C346</f>
        <v>Electricity only</v>
      </c>
      <c r="I346" s="285" t="str">
        <f>D346</f>
        <v>L</v>
      </c>
      <c r="J346" s="233">
        <f>IF(tech_base!$T2&gt;J$345,"",J626+J906+J1186)</f>
        <v>159.14762701818776</v>
      </c>
      <c r="K346" s="233">
        <f>IF(tech_base!$T2&gt;K$345,"",K626+K906+K1186)</f>
        <v>159.14762701818776</v>
      </c>
      <c r="L346" s="233">
        <f>IF(tech_base!$T2&gt;L$345,"",L626+L906+L1186)</f>
        <v>159.14762701818776</v>
      </c>
      <c r="M346" s="233">
        <f>IF(tech_base!$T2&gt;M$345,"",M626+M906+M1186)</f>
        <v>159.14762701818776</v>
      </c>
      <c r="N346" s="233">
        <f>IF(tech_base!$T2&gt;N$345,"",N626+N906+N1186)</f>
        <v>159.14762701818776</v>
      </c>
      <c r="O346" s="233">
        <f>IF(tech_base!$T2&gt;O$345,"",O626+O906+O1186)</f>
        <v>159.14762701818776</v>
      </c>
      <c r="P346" s="233">
        <f>IF(tech_base!$T2&gt;P$345,"",P626+P906+P1186)</f>
        <v>159.14762701818776</v>
      </c>
      <c r="Q346" s="233">
        <f>IF(tech_base!$T2&gt;Q$345,"",Q626+Q906+Q1186)</f>
        <v>159.14762701818776</v>
      </c>
      <c r="R346" s="233">
        <f>IF(tech_base!$T2&gt;R$345,"",R626+R906+R1186)</f>
        <v>159.14762701818776</v>
      </c>
      <c r="S346" s="233">
        <f>IF(tech_base!$T2&gt;S$345,"",S626+S906+S1186)</f>
        <v>159.14762701818776</v>
      </c>
      <c r="T346" s="233">
        <f>IF(tech_base!$T2&gt;T$345,"",T626+T906+T1186)</f>
        <v>159.14762701818776</v>
      </c>
      <c r="U346" s="233">
        <f>IF(tech_base!$T2&gt;U$345,"",U626+U906+U1186)</f>
        <v>159.14762701818776</v>
      </c>
      <c r="V346" s="233">
        <f>IF(tech_base!$T2&gt;V$345,"",V626+V906+V1186)</f>
        <v>159.14762701818776</v>
      </c>
      <c r="W346" s="233">
        <f>IF(tech_base!$T2&gt;W$345,"",W626+W906+W1186)</f>
        <v>159.14762701818776</v>
      </c>
      <c r="X346" s="233">
        <f>IF(tech_base!$T2&gt;X$345,"",X626+X906+X1186)</f>
        <v>159.14762701818776</v>
      </c>
      <c r="Y346" s="233">
        <f>IF(tech_base!$T2&gt;Y$345,"",Y626+Y906+Y1186)</f>
        <v>159.14762701818776</v>
      </c>
      <c r="Z346" s="233">
        <f>IF(tech_base!$T2&gt;Z$345,"",Z626+Z906+Z1186)</f>
        <v>159.14762701818776</v>
      </c>
      <c r="AA346" s="233">
        <f>IF(tech_base!$T2&gt;AA$345,"",AA626+AA906+AA1186)</f>
        <v>159.14762701818776</v>
      </c>
      <c r="AB346" s="233">
        <f>IF(tech_base!$T2&gt;AB$345,"",AB626+AB906+AB1186)</f>
        <v>159.14762701818776</v>
      </c>
      <c r="AC346" s="233">
        <f>IF(tech_base!$T2&gt;AC$345,"",AC626+AC906+AC1186)</f>
        <v>159.14762701818776</v>
      </c>
      <c r="AD346" s="233">
        <f>IF(tech_base!$T2&gt;AD$345,"",AD626+AD906+AD1186)</f>
        <v>159.14762701818776</v>
      </c>
      <c r="AE346" s="233">
        <f>IF(tech_base!$T2&gt;AE$345,"",AE626+AE906+AE1186)</f>
        <v>159.14762701818776</v>
      </c>
      <c r="AF346" s="233">
        <f>IF(tech_base!$T2&gt;AF$345,"",AF626+AF906+AF1186)</f>
        <v>159.14762701818776</v>
      </c>
      <c r="AG346" s="233">
        <f>IF(tech_base!$T2&gt;AG$345,"",AG626+AG906+AG1186)</f>
        <v>159.14762701818776</v>
      </c>
      <c r="AH346" s="233">
        <f>IF(tech_base!$T2&gt;AH$345,"",AH626+AH906+AH1186)</f>
        <v>159.14762701818776</v>
      </c>
      <c r="AI346" s="233">
        <f>IF(tech_base!$T2&gt;AI$345,"",AI626+AI906+AI1186)</f>
        <v>159.14762701818776</v>
      </c>
      <c r="AJ346" s="233">
        <f>IF(tech_base!$T2&gt;AJ$345,"",AJ626+AJ906+AJ1186)</f>
        <v>159.14762701818776</v>
      </c>
      <c r="AK346" s="233">
        <f>IF(tech_base!$T2&gt;AK$345,"",AK626+AK906+AK1186)</f>
        <v>159.14762701818776</v>
      </c>
      <c r="AL346" s="233">
        <f>IF(tech_base!$T2&gt;AL$345,"",AL626+AL906+AL1186)</f>
        <v>159.14762701818776</v>
      </c>
      <c r="AM346" s="233">
        <f>IF(tech_base!$T2&gt;AM$345,"",AM626+AM906+AM1186)</f>
        <v>159.14762701818776</v>
      </c>
      <c r="AN346" s="233">
        <f>IF(tech_base!$T2&gt;AN$345,"",AN626+AN906+AN1186)</f>
        <v>159.14762701818776</v>
      </c>
      <c r="AO346" s="233">
        <f>IF(tech_base!$T2&gt;AO$345,"",AO626+AO906+AO1186)</f>
        <v>159.14762701818776</v>
      </c>
      <c r="AP346" s="233">
        <f>IF(tech_base!$T2&gt;AP$345,"",AP626+AP906+AP1186)</f>
        <v>159.14762701818776</v>
      </c>
      <c r="AQ346" s="233">
        <f>IF(tech_base!$T2&gt;AQ$345,"",AQ626+AQ906+AQ1186)</f>
        <v>159.14762701818776</v>
      </c>
      <c r="AR346" s="233">
        <f>IF(tech_base!$T2&gt;AR$345,"",AR626+AR906+AR1186)</f>
        <v>159.14762701818776</v>
      </c>
      <c r="AS346" s="233">
        <f>IF(tech_base!$T2&gt;AS$345,"",AS626+AS906+AS1186)</f>
        <v>159.14762701818776</v>
      </c>
      <c r="AT346" s="233">
        <f>IF(tech_base!$T2&gt;AT$345,"",AT626+AT906+AT1186)</f>
        <v>159.14762701818776</v>
      </c>
      <c r="AU346" s="233">
        <f>IF(tech_base!$T2&gt;AU$345,"",AU626+AU906+AU1186)</f>
        <v>159.14762701818776</v>
      </c>
      <c r="AV346" s="233">
        <f>IF(tech_base!$T2&gt;AV$345,"",AV626+AV906+AV1186)</f>
        <v>159.14762701818776</v>
      </c>
      <c r="AW346" s="233">
        <f>IF(tech_base!$T2&gt;AW$345,"",AW626+AW906+AW1186)</f>
        <v>159.14762701818776</v>
      </c>
      <c r="AX346" s="234">
        <f>IF(tech_base!$T2&gt;AX$345,"",AX626+AX906+AX1186)</f>
        <v>159.14762701818776</v>
      </c>
    </row>
    <row r="347" spans="1:50" x14ac:dyDescent="0.25">
      <c r="A347" s="347"/>
      <c r="B347" s="349"/>
      <c r="C347" s="350"/>
      <c r="D347" s="4" t="s">
        <v>8</v>
      </c>
      <c r="E347" s="80" t="str">
        <f>A346&amp;"/"&amp;B346&amp;"/"&amp;C346&amp;"/"&amp;D347</f>
        <v>Nuclear power plants/Nuclear - current/Electricity only/M</v>
      </c>
      <c r="F347" s="80" t="str">
        <f>A346</f>
        <v>Nuclear power plants</v>
      </c>
      <c r="G347" s="80" t="str">
        <f>B346</f>
        <v>Nuclear - current</v>
      </c>
      <c r="H347" s="80" t="str">
        <f>C346</f>
        <v>Electricity only</v>
      </c>
      <c r="I347" s="80" t="str">
        <f t="shared" ref="I347:I410" si="357">D347</f>
        <v>M</v>
      </c>
      <c r="J347" s="127">
        <f>IF(tech_base!$T3&gt;J$345,"",J627+J907+J1187)</f>
        <v>170.57910385530715</v>
      </c>
      <c r="K347" s="127">
        <f>IF(tech_base!$T3&gt;K$345,"",K627+K907+K1187)</f>
        <v>170.57910385530715</v>
      </c>
      <c r="L347" s="127">
        <f>IF(tech_base!$T3&gt;L$345,"",L627+L907+L1187)</f>
        <v>170.57910385530715</v>
      </c>
      <c r="M347" s="127">
        <f>IF(tech_base!$T3&gt;M$345,"",M627+M907+M1187)</f>
        <v>170.57910385530715</v>
      </c>
      <c r="N347" s="127">
        <f>IF(tech_base!$T3&gt;N$345,"",N627+N907+N1187)</f>
        <v>170.57910385530715</v>
      </c>
      <c r="O347" s="127">
        <f>IF(tech_base!$T3&gt;O$345,"",O627+O907+O1187)</f>
        <v>170.57910385530715</v>
      </c>
      <c r="P347" s="127">
        <f>IF(tech_base!$T3&gt;P$345,"",P627+P907+P1187)</f>
        <v>170.57910385530715</v>
      </c>
      <c r="Q347" s="127">
        <f>IF(tech_base!$T3&gt;Q$345,"",Q627+Q907+Q1187)</f>
        <v>170.57910385530715</v>
      </c>
      <c r="R347" s="127">
        <f>IF(tech_base!$T3&gt;R$345,"",R627+R907+R1187)</f>
        <v>170.57910385530715</v>
      </c>
      <c r="S347" s="127">
        <f>IF(tech_base!$T3&gt;S$345,"",S627+S907+S1187)</f>
        <v>170.57910385530715</v>
      </c>
      <c r="T347" s="127">
        <f>IF(tech_base!$T3&gt;T$345,"",T627+T907+T1187)</f>
        <v>170.57910385530715</v>
      </c>
      <c r="U347" s="127">
        <f>IF(tech_base!$T3&gt;U$345,"",U627+U907+U1187)</f>
        <v>170.57910385530715</v>
      </c>
      <c r="V347" s="127">
        <f>IF(tech_base!$T3&gt;V$345,"",V627+V907+V1187)</f>
        <v>170.57910385530715</v>
      </c>
      <c r="W347" s="127">
        <f>IF(tech_base!$T3&gt;W$345,"",W627+W907+W1187)</f>
        <v>170.57910385530715</v>
      </c>
      <c r="X347" s="127">
        <f>IF(tech_base!$T3&gt;X$345,"",X627+X907+X1187)</f>
        <v>170.57910385530715</v>
      </c>
      <c r="Y347" s="127">
        <f>IF(tech_base!$T3&gt;Y$345,"",Y627+Y907+Y1187)</f>
        <v>170.57910385530715</v>
      </c>
      <c r="Z347" s="127">
        <f>IF(tech_base!$T3&gt;Z$345,"",Z627+Z907+Z1187)</f>
        <v>170.57910385530715</v>
      </c>
      <c r="AA347" s="127">
        <f>IF(tech_base!$T3&gt;AA$345,"",AA627+AA907+AA1187)</f>
        <v>170.57910385530715</v>
      </c>
      <c r="AB347" s="127">
        <f>IF(tech_base!$T3&gt;AB$345,"",AB627+AB907+AB1187)</f>
        <v>170.57910385530715</v>
      </c>
      <c r="AC347" s="127">
        <f>IF(tech_base!$T3&gt;AC$345,"",AC627+AC907+AC1187)</f>
        <v>170.57910385530715</v>
      </c>
      <c r="AD347" s="127">
        <f>IF(tech_base!$T3&gt;AD$345,"",AD627+AD907+AD1187)</f>
        <v>170.57910385530715</v>
      </c>
      <c r="AE347" s="127">
        <f>IF(tech_base!$T3&gt;AE$345,"",AE627+AE907+AE1187)</f>
        <v>170.57910385530715</v>
      </c>
      <c r="AF347" s="127">
        <f>IF(tech_base!$T3&gt;AF$345,"",AF627+AF907+AF1187)</f>
        <v>170.57910385530715</v>
      </c>
      <c r="AG347" s="127">
        <f>IF(tech_base!$T3&gt;AG$345,"",AG627+AG907+AG1187)</f>
        <v>170.57910385530715</v>
      </c>
      <c r="AH347" s="127">
        <f>IF(tech_base!$T3&gt;AH$345,"",AH627+AH907+AH1187)</f>
        <v>170.57910385530715</v>
      </c>
      <c r="AI347" s="127">
        <f>IF(tech_base!$T3&gt;AI$345,"",AI627+AI907+AI1187)</f>
        <v>170.57910385530715</v>
      </c>
      <c r="AJ347" s="127">
        <f>IF(tech_base!$T3&gt;AJ$345,"",AJ627+AJ907+AJ1187)</f>
        <v>170.57910385530715</v>
      </c>
      <c r="AK347" s="127">
        <f>IF(tech_base!$T3&gt;AK$345,"",AK627+AK907+AK1187)</f>
        <v>170.57910385530715</v>
      </c>
      <c r="AL347" s="127">
        <f>IF(tech_base!$T3&gt;AL$345,"",AL627+AL907+AL1187)</f>
        <v>170.57910385530715</v>
      </c>
      <c r="AM347" s="127">
        <f>IF(tech_base!$T3&gt;AM$345,"",AM627+AM907+AM1187)</f>
        <v>170.57910385530715</v>
      </c>
      <c r="AN347" s="127">
        <f>IF(tech_base!$T3&gt;AN$345,"",AN627+AN907+AN1187)</f>
        <v>170.57910385530715</v>
      </c>
      <c r="AO347" s="127">
        <f>IF(tech_base!$T3&gt;AO$345,"",AO627+AO907+AO1187)</f>
        <v>170.57910385530715</v>
      </c>
      <c r="AP347" s="127">
        <f>IF(tech_base!$T3&gt;AP$345,"",AP627+AP907+AP1187)</f>
        <v>170.57910385530715</v>
      </c>
      <c r="AQ347" s="127">
        <f>IF(tech_base!$T3&gt;AQ$345,"",AQ627+AQ907+AQ1187)</f>
        <v>170.57910385530715</v>
      </c>
      <c r="AR347" s="127">
        <f>IF(tech_base!$T3&gt;AR$345,"",AR627+AR907+AR1187)</f>
        <v>170.57910385530715</v>
      </c>
      <c r="AS347" s="127">
        <f>IF(tech_base!$T3&gt;AS$345,"",AS627+AS907+AS1187)</f>
        <v>170.57910385530715</v>
      </c>
      <c r="AT347" s="127">
        <f>IF(tech_base!$T3&gt;AT$345,"",AT627+AT907+AT1187)</f>
        <v>170.57910385530715</v>
      </c>
      <c r="AU347" s="127">
        <f>IF(tech_base!$T3&gt;AU$345,"",AU627+AU907+AU1187)</f>
        <v>170.57910385530715</v>
      </c>
      <c r="AV347" s="127">
        <f>IF(tech_base!$T3&gt;AV$345,"",AV627+AV907+AV1187)</f>
        <v>170.57910385530715</v>
      </c>
      <c r="AW347" s="127">
        <f>IF(tech_base!$T3&gt;AW$345,"",AW627+AW907+AW1187)</f>
        <v>170.57910385530715</v>
      </c>
      <c r="AX347" s="128">
        <f>IF(tech_base!$T3&gt;AX$345,"",AX627+AX907+AX1187)</f>
        <v>170.57910385530715</v>
      </c>
    </row>
    <row r="348" spans="1:50" x14ac:dyDescent="0.25">
      <c r="A348" s="347"/>
      <c r="B348" s="351" t="s">
        <v>9</v>
      </c>
      <c r="C348" s="353" t="s">
        <v>6</v>
      </c>
      <c r="D348" s="2" t="s">
        <v>7</v>
      </c>
      <c r="E348" s="76" t="str">
        <f>A346&amp;"/"&amp;B348&amp;"/"&amp;C348&amp;"/"&amp;D348</f>
        <v>Nuclear power plants/Nuclear III/Electricity only/L</v>
      </c>
      <c r="F348" s="76" t="str">
        <f>A346</f>
        <v>Nuclear power plants</v>
      </c>
      <c r="G348" s="76" t="str">
        <f>B348</f>
        <v>Nuclear III</v>
      </c>
      <c r="H348" s="76" t="str">
        <f>C348</f>
        <v>Electricity only</v>
      </c>
      <c r="I348" s="76" t="str">
        <f t="shared" si="357"/>
        <v>L</v>
      </c>
      <c r="J348" s="119">
        <f>IF(tech_base!$T4&gt;J$345,"",J628+J908+J1188)</f>
        <v>203.40348026293853</v>
      </c>
      <c r="K348" s="119">
        <f>IF(tech_base!$T4&gt;K$345,"",K628+K908+K1188)</f>
        <v>203.32334510926773</v>
      </c>
      <c r="L348" s="119">
        <f>IF(tech_base!$T4&gt;L$345,"",L628+L908+L1188)</f>
        <v>203.22576886734726</v>
      </c>
      <c r="M348" s="119">
        <f>IF(tech_base!$T4&gt;M$345,"",M628+M908+M1188)</f>
        <v>203.10703592918387</v>
      </c>
      <c r="N348" s="119">
        <f>IF(tech_base!$T4&gt;N$345,"",N628+N908+N1188)</f>
        <v>202.9626780405309</v>
      </c>
      <c r="O348" s="119">
        <f>IF(tech_base!$T4&gt;O$345,"",O628+O908+O1188)</f>
        <v>202.7873406798318</v>
      </c>
      <c r="P348" s="119">
        <f>IF(tech_base!$T4&gt;P$345,"",P628+P908+P1188)</f>
        <v>202.57463497154856</v>
      </c>
      <c r="Q348" s="119">
        <f>IF(tech_base!$T4&gt;Q$345,"",Q628+Q908+Q1188)</f>
        <v>202.31697849287193</v>
      </c>
      <c r="R348" s="119">
        <f>IF(tech_base!$T4&gt;R$345,"",R628+R908+R1188)</f>
        <v>202.00543164005722</v>
      </c>
      <c r="S348" s="119">
        <f>IF(tech_base!$T4&gt;S$345,"",S628+S908+S1188)</f>
        <v>201.62954103800229</v>
      </c>
      <c r="T348" s="119">
        <f>IF(tech_base!$T4&gt;T$345,"",T628+T908+T1188)</f>
        <v>201.1772081937732</v>
      </c>
      <c r="U348" s="119">
        <f>IF(tech_base!$T4&gt;U$345,"",U628+U908+U1188)</f>
        <v>200.63461051965839</v>
      </c>
      <c r="V348" s="119">
        <f>IF(tech_base!$T4&gt;V$345,"",V628+V908+V1188)</f>
        <v>199.98621302366638</v>
      </c>
      <c r="W348" s="119">
        <f>IF(tech_base!$T4&gt;W$345,"",W628+W908+W1188)</f>
        <v>199.21492184030168</v>
      </c>
      <c r="X348" s="119">
        <f>IF(tech_base!$T4&gt;X$345,"",X628+X908+X1188)</f>
        <v>198.30244374953423</v>
      </c>
      <c r="Y348" s="119">
        <f>IF(tech_base!$T4&gt;Y$345,"",Y628+Y908+Y1188)</f>
        <v>197.22992563976823</v>
      </c>
      <c r="Z348" s="119">
        <f>IF(tech_base!$T4&gt;Z$345,"",Z628+Z908+Z1188)</f>
        <v>195.97894897969218</v>
      </c>
      <c r="AA348" s="119">
        <f>IF(tech_base!$T4&gt;AA$345,"",AA628+AA908+AA1188)</f>
        <v>194.53293874549888</v>
      </c>
      <c r="AB348" s="119">
        <f>IF(tech_base!$T4&gt;AB$345,"",AB628+AB908+AB1188)</f>
        <v>192.87900416704525</v>
      </c>
      <c r="AC348" s="119">
        <f>IF(tech_base!$T4&gt;AC$345,"",AC628+AC908+AC1188)</f>
        <v>191.01015136866093</v>
      </c>
      <c r="AD348" s="119">
        <f>IF(tech_base!$T4&gt;AD$345,"",AD628+AD908+AD1188)</f>
        <v>188.92769310322689</v>
      </c>
      <c r="AE348" s="119">
        <f>IF(tech_base!$T4&gt;AE$345,"",AE628+AE908+AE1188)</f>
        <v>186.64353995018675</v>
      </c>
      <c r="AF348" s="119">
        <f>IF(tech_base!$T4&gt;AF$345,"",AF628+AF908+AF1188)</f>
        <v>184.1819234497132</v>
      </c>
      <c r="AG348" s="119">
        <f>IF(tech_base!$T4&gt;AG$345,"",AG628+AG908+AG1188)</f>
        <v>181.58002965569636</v>
      </c>
      <c r="AH348" s="119">
        <f>IF(tech_base!$T4&gt;AH$345,"",AH628+AH908+AH1188)</f>
        <v>178.887075707175</v>
      </c>
      <c r="AI348" s="119">
        <f>IF(tech_base!$T4&gt;AI$345,"",AI628+AI908+AI1188)</f>
        <v>176.16158591340186</v>
      </c>
      <c r="AJ348" s="119">
        <f>IF(tech_base!$T4&gt;AJ$345,"",AJ628+AJ908+AJ1188)</f>
        <v>173.46700303549372</v>
      </c>
      <c r="AK348" s="119">
        <f>IF(tech_base!$T4&gt;AK$345,"",AK628+AK908+AK1188)</f>
        <v>170.86621030751297</v>
      </c>
      <c r="AL348" s="119">
        <f>IF(tech_base!$T4&gt;AL$345,"",AL628+AL908+AL1188)</f>
        <v>168.41588550906116</v>
      </c>
      <c r="AM348" s="119">
        <f>IF(tech_base!$T4&gt;AM$345,"",AM628+AM908+AM1188)</f>
        <v>166.16171202686513</v>
      </c>
      <c r="AN348" s="119">
        <f>IF(tech_base!$T4&gt;AN$345,"",AN628+AN908+AN1188)</f>
        <v>164.1352730763258</v>
      </c>
      <c r="AO348" s="119">
        <f>IF(tech_base!$T4&gt;AO$345,"",AO628+AO908+AO1188)</f>
        <v>162.3530225731248</v>
      </c>
      <c r="AP348" s="119">
        <f>IF(tech_base!$T4&gt;AP$345,"",AP628+AP908+AP1188)</f>
        <v>160.81722445697258</v>
      </c>
      <c r="AQ348" s="119">
        <f>IF(tech_base!$T4&gt;AQ$345,"",AQ628+AQ908+AQ1188)</f>
        <v>159.51835706305627</v>
      </c>
      <c r="AR348" s="119">
        <f>IF(tech_base!$T4&gt;AR$345,"",AR628+AR908+AR1188)</f>
        <v>158.43829466197909</v>
      </c>
      <c r="AS348" s="119">
        <f>IF(tech_base!$T4&gt;AS$345,"",AS628+AS908+AS1188)</f>
        <v>157.55360763070976</v>
      </c>
      <c r="AT348" s="119">
        <f>IF(tech_base!$T4&gt;AT$345,"",AT628+AT908+AT1188)</f>
        <v>156.83849441512143</v>
      </c>
      <c r="AU348" s="119">
        <f>IF(tech_base!$T4&gt;AU$345,"",AU628+AU908+AU1188)</f>
        <v>156.26707865146798</v>
      </c>
      <c r="AV348" s="119">
        <f>IF(tech_base!$T4&gt;AV$345,"",AV628+AV908+AV1188)</f>
        <v>155.8149999114996</v>
      </c>
      <c r="AW348" s="119">
        <f>IF(tech_base!$T4&gt;AW$345,"",AW628+AW908+AW1188)</f>
        <v>155.46036010948163</v>
      </c>
      <c r="AX348" s="120">
        <f>IF(tech_base!$T4&gt;AX$345,"",AX628+AX908+AX1188)</f>
        <v>155.1841557397569</v>
      </c>
    </row>
    <row r="349" spans="1:50" x14ac:dyDescent="0.25">
      <c r="A349" s="347"/>
      <c r="B349" s="349"/>
      <c r="C349" s="350"/>
      <c r="D349" s="2" t="s">
        <v>8</v>
      </c>
      <c r="E349" s="76" t="str">
        <f>A346&amp;"/"&amp;B348&amp;"/"&amp;C348&amp;"/"&amp;D349</f>
        <v>Nuclear power plants/Nuclear III/Electricity only/M</v>
      </c>
      <c r="F349" s="76" t="str">
        <f>A346</f>
        <v>Nuclear power plants</v>
      </c>
      <c r="G349" s="76" t="str">
        <f>B348</f>
        <v>Nuclear III</v>
      </c>
      <c r="H349" s="76" t="str">
        <f>C348</f>
        <v>Electricity only</v>
      </c>
      <c r="I349" s="76" t="str">
        <f t="shared" si="357"/>
        <v>M</v>
      </c>
      <c r="J349" s="119">
        <f>IF(tech_base!$T5&gt;J$345,"",J629+J909+J1189)</f>
        <v>217.47206224855356</v>
      </c>
      <c r="K349" s="119">
        <f>IF(tech_base!$T5&gt;K$345,"",K629+K909+K1189)</f>
        <v>217.3493257556519</v>
      </c>
      <c r="L349" s="119">
        <f>IF(tech_base!$T5&gt;L$345,"",L629+L909+L1189)</f>
        <v>217.20726494978524</v>
      </c>
      <c r="M349" s="119">
        <f>IF(tech_base!$T5&gt;M$345,"",M629+M909+M1189)</f>
        <v>217.04293666086733</v>
      </c>
      <c r="N349" s="119">
        <f>IF(tech_base!$T5&gt;N$345,"",N629+N909+N1189)</f>
        <v>216.85298346448931</v>
      </c>
      <c r="O349" s="119">
        <f>IF(tech_base!$T5&gt;O$345,"",O629+O909+O1189)</f>
        <v>216.63358704271849</v>
      </c>
      <c r="P349" s="119">
        <f>IF(tech_base!$T5&gt;P$345,"",P629+P909+P1189)</f>
        <v>216.38042042712178</v>
      </c>
      <c r="Q349" s="119">
        <f>IF(tech_base!$T5&gt;Q$345,"",Q629+Q909+Q1189)</f>
        <v>216.08860081868184</v>
      </c>
      <c r="R349" s="119">
        <f>IF(tech_base!$T5&gt;R$345,"",R629+R909+R1189)</f>
        <v>215.75264541876419</v>
      </c>
      <c r="S349" s="119">
        <f>IF(tech_base!$T5&gt;S$345,"",S629+S909+S1189)</f>
        <v>215.36643363502321</v>
      </c>
      <c r="T349" s="119">
        <f>IF(tech_base!$T5&gt;T$345,"",T629+T909+T1189)</f>
        <v>214.92318016100018</v>
      </c>
      <c r="U349" s="119">
        <f>IF(tech_base!$T5&gt;U$345,"",U629+U909+U1189)</f>
        <v>214.41542476512416</v>
      </c>
      <c r="V349" s="119">
        <f>IF(tech_base!$T5&gt;V$345,"",V629+V909+V1189)</f>
        <v>213.83504612961664</v>
      </c>
      <c r="W349" s="119">
        <f>IF(tech_base!$T5&gt;W$345,"",W629+W909+W1189)</f>
        <v>213.17330866918238</v>
      </c>
      <c r="X349" s="119">
        <f>IF(tech_base!$T5&gt;X$345,"",X629+X909+X1189)</f>
        <v>212.42095277898858</v>
      </c>
      <c r="Y349" s="119">
        <f>IF(tech_base!$T5&gt;Y$345,"",Y629+Y909+Y1189)</f>
        <v>211.56834016150566</v>
      </c>
      <c r="Z349" s="119">
        <f>IF(tech_base!$T5&gt;Z$345,"",Z629+Z909+Z1189)</f>
        <v>210.60566639516679</v>
      </c>
      <c r="AA349" s="119">
        <f>IF(tech_base!$T5&gt;AA$345,"",AA629+AA909+AA1189)</f>
        <v>209.52325223957743</v>
      </c>
      <c r="AB349" s="119">
        <f>IF(tech_base!$T5&gt;AB$345,"",AB629+AB909+AB1189)</f>
        <v>208.31192271430325</v>
      </c>
      <c r="AC349" s="119">
        <f>IF(tech_base!$T5&gt;AC$345,"",AC629+AC909+AC1189)</f>
        <v>206.96347807911215</v>
      </c>
      <c r="AD349" s="119">
        <f>IF(tech_base!$T5&gt;AD$345,"",AD629+AD909+AD1189)</f>
        <v>205.47125288995255</v>
      </c>
      <c r="AE349" s="119">
        <f>IF(tech_base!$T5&gt;AE$345,"",AE629+AE909+AE1189)</f>
        <v>203.83074798455567</v>
      </c>
      <c r="AF349" s="119">
        <f>IF(tech_base!$T5&gt;AF$345,"",AF629+AF909+AF1189)</f>
        <v>202.04030578794658</v>
      </c>
      <c r="AG349" s="119">
        <f>IF(tech_base!$T5&gt;AG$345,"",AG629+AG909+AG1189)</f>
        <v>200.10178279857595</v>
      </c>
      <c r="AH349" s="119">
        <f>IF(tech_base!$T5&gt;AH$345,"",AH629+AH909+AH1189)</f>
        <v>198.02115669815686</v>
      </c>
      <c r="AI349" s="119">
        <f>IF(tech_base!$T5&gt;AI$345,"",AI629+AI909+AI1189)</f>
        <v>195.80899254230025</v>
      </c>
      <c r="AJ349" s="119">
        <f>IF(tech_base!$T5&gt;AJ$345,"",AJ629+AJ909+AJ1189)</f>
        <v>193.48068706448294</v>
      </c>
      <c r="AK349" s="119">
        <f>IF(tech_base!$T5&gt;AK$345,"",AK629+AK909+AK1189)</f>
        <v>191.05641638217622</v>
      </c>
      <c r="AL349" s="119">
        <f>IF(tech_base!$T5&gt;AL$345,"",AL629+AL909+AL1189)</f>
        <v>188.56073317039488</v>
      </c>
      <c r="AM349" s="119">
        <f>IF(tech_base!$T5&gt;AM$345,"",AM629+AM909+AM1189)</f>
        <v>186.02179478951311</v>
      </c>
      <c r="AN349" s="119">
        <f>IF(tech_base!$T5&gt;AN$345,"",AN629+AN909+AN1189)</f>
        <v>183.47025026415079</v>
      </c>
      <c r="AO349" s="119">
        <f>IF(tech_base!$T5&gt;AO$345,"",AO629+AO909+AO1189)</f>
        <v>180.93786388901012</v>
      </c>
      <c r="AP349" s="119">
        <f>IF(tech_base!$T5&gt;AP$345,"",AP629+AP909+AP1189)</f>
        <v>178.45599651659148</v>
      </c>
      <c r="AQ349" s="119">
        <f>IF(tech_base!$T5&gt;AQ$345,"",AQ629+AQ909+AQ1189)</f>
        <v>176.05409222215158</v>
      </c>
      <c r="AR349" s="119">
        <f>IF(tech_base!$T5&gt;AR$345,"",AR629+AR909+AR1189)</f>
        <v>173.75832110893219</v>
      </c>
      <c r="AS349" s="119">
        <f>IF(tech_base!$T5&gt;AS$345,"",AS629+AS909+AS1189)</f>
        <v>171.59050706806042</v>
      </c>
      <c r="AT349" s="119">
        <f>IF(tech_base!$T5&gt;AT$345,"",AT629+AT909+AT1189)</f>
        <v>169.56742704690322</v>
      </c>
      <c r="AU349" s="119">
        <f>IF(tech_base!$T5&gt;AU$345,"",AU629+AU909+AU1189)</f>
        <v>167.70051524290014</v>
      </c>
      <c r="AV349" s="119">
        <f>IF(tech_base!$T5&gt;AV$345,"",AV629+AV909+AV1189)</f>
        <v>165.9959528694398</v>
      </c>
      <c r="AW349" s="119">
        <f>IF(tech_base!$T5&gt;AW$345,"",AW629+AW909+AW1189)</f>
        <v>164.45508154008229</v>
      </c>
      <c r="AX349" s="120">
        <f>IF(tech_base!$T5&gt;AX$345,"",AX629+AX909+AX1189)</f>
        <v>163.07505189325437</v>
      </c>
    </row>
    <row r="350" spans="1:50" x14ac:dyDescent="0.25">
      <c r="A350" s="347"/>
      <c r="B350" s="352"/>
      <c r="C350" s="381"/>
      <c r="D350" s="4" t="s">
        <v>10</v>
      </c>
      <c r="E350" s="80" t="str">
        <f>A346&amp;"/"&amp;B348&amp;"/"&amp;C348&amp;"/"&amp;D350</f>
        <v>Nuclear power plants/Nuclear III/Electricity only/S</v>
      </c>
      <c r="F350" s="80" t="str">
        <f>A346</f>
        <v>Nuclear power plants</v>
      </c>
      <c r="G350" s="80" t="str">
        <f>B348</f>
        <v>Nuclear III</v>
      </c>
      <c r="H350" s="80" t="str">
        <f>C348</f>
        <v>Electricity only</v>
      </c>
      <c r="I350" s="80" t="str">
        <f t="shared" si="357"/>
        <v>S</v>
      </c>
      <c r="J350" s="127" t="str">
        <f>IF(tech_base!$T6&gt;J$345,"",J630+J910+J1190)</f>
        <v/>
      </c>
      <c r="K350" s="127" t="str">
        <f>IF(tech_base!$T6&gt;K$345,"",K630+K910+K1190)</f>
        <v/>
      </c>
      <c r="L350" s="127" t="str">
        <f>IF(tech_base!$T6&gt;L$345,"",L630+L910+L1190)</f>
        <v/>
      </c>
      <c r="M350" s="127" t="str">
        <f>IF(tech_base!$T6&gt;M$345,"",M630+M910+M1190)</f>
        <v/>
      </c>
      <c r="N350" s="127" t="str">
        <f>IF(tech_base!$T6&gt;N$345,"",N630+N910+N1190)</f>
        <v/>
      </c>
      <c r="O350" s="127" t="str">
        <f>IF(tech_base!$T6&gt;O$345,"",O630+O910+O1190)</f>
        <v/>
      </c>
      <c r="P350" s="127" t="str">
        <f>IF(tech_base!$T6&gt;P$345,"",P630+P910+P1190)</f>
        <v/>
      </c>
      <c r="Q350" s="127" t="str">
        <f>IF(tech_base!$T6&gt;Q$345,"",Q630+Q910+Q1190)</f>
        <v/>
      </c>
      <c r="R350" s="127" t="str">
        <f>IF(tech_base!$T6&gt;R$345,"",R630+R910+R1190)</f>
        <v/>
      </c>
      <c r="S350" s="127" t="str">
        <f>IF(tech_base!$T6&gt;S$345,"",S630+S910+S1190)</f>
        <v/>
      </c>
      <c r="T350" s="127" t="str">
        <f>IF(tech_base!$T6&gt;T$345,"",T630+T910+T1190)</f>
        <v/>
      </c>
      <c r="U350" s="127" t="str">
        <f>IF(tech_base!$T6&gt;U$345,"",U630+U910+U1190)</f>
        <v/>
      </c>
      <c r="V350" s="127" t="str">
        <f>IF(tech_base!$T6&gt;V$345,"",V630+V910+V1190)</f>
        <v/>
      </c>
      <c r="W350" s="127" t="str">
        <f>IF(tech_base!$T6&gt;W$345,"",W630+W910+W1190)</f>
        <v/>
      </c>
      <c r="X350" s="127" t="str">
        <f>IF(tech_base!$T6&gt;X$345,"",X630+X910+X1190)</f>
        <v/>
      </c>
      <c r="Y350" s="127">
        <f>IF(tech_base!$T6&gt;Y$345,"",Y630+Y910+Y1190)</f>
        <v>230.47781517915377</v>
      </c>
      <c r="Z350" s="127">
        <f>IF(tech_base!$T6&gt;Z$345,"",Z630+Z910+Z1190)</f>
        <v>229.47680001276001</v>
      </c>
      <c r="AA350" s="127">
        <f>IF(tech_base!$T6&gt;AA$345,"",AA630+AA910+AA1190)</f>
        <v>228.39898524241593</v>
      </c>
      <c r="AB350" s="127">
        <f>IF(tech_base!$T6&gt;AB$345,"",AB630+AB910+AB1190)</f>
        <v>227.24125432604711</v>
      </c>
      <c r="AC350" s="127">
        <f>IF(tech_base!$T6&gt;AC$345,"",AC630+AC910+AC1190)</f>
        <v>226.00088616445095</v>
      </c>
      <c r="AD350" s="127">
        <f>IF(tech_base!$T6&gt;AD$345,"",AD630+AD910+AD1190)</f>
        <v>224.67566289793578</v>
      </c>
      <c r="AE350" s="127">
        <f>IF(tech_base!$T6&gt;AE$345,"",AE630+AE910+AE1190)</f>
        <v>223.26398428693022</v>
      </c>
      <c r="AF350" s="127">
        <f>IF(tech_base!$T6&gt;AF$345,"",AF630+AF910+AF1190)</f>
        <v>221.76498579919556</v>
      </c>
      <c r="AG350" s="127">
        <f>IF(tech_base!$T6&gt;AG$345,"",AG630+AG910+AG1190)</f>
        <v>220.17865664314559</v>
      </c>
      <c r="AH350" s="127">
        <f>IF(tech_base!$T6&gt;AH$345,"",AH630+AH910+AH1190)</f>
        <v>218.50595311525032</v>
      </c>
      <c r="AI350" s="127">
        <f>IF(tech_base!$T6&gt;AI$345,"",AI630+AI910+AI1190)</f>
        <v>216.74890184662326</v>
      </c>
      <c r="AJ350" s="127">
        <f>IF(tech_base!$T6&gt;AJ$345,"",AJ630+AJ910+AJ1190)</f>
        <v>214.91068693225762</v>
      </c>
      <c r="AK350" s="127">
        <f>IF(tech_base!$T6&gt;AK$345,"",AK630+AK910+AK1190)</f>
        <v>212.99571460770198</v>
      </c>
      <c r="AL350" s="127">
        <f>IF(tech_base!$T6&gt;AL$345,"",AL630+AL910+AL1190)</f>
        <v>211.00964920285571</v>
      </c>
      <c r="AM350" s="127">
        <f>IF(tech_base!$T6&gt;AM$345,"",AM630+AM910+AM1190)</f>
        <v>208.95941463692139</v>
      </c>
      <c r="AN350" s="127">
        <f>IF(tech_base!$T6&gt;AN$345,"",AN630+AN910+AN1190)</f>
        <v>206.85315677778451</v>
      </c>
      <c r="AO350" s="127">
        <f>IF(tech_base!$T6&gt;AO$345,"",AO630+AO910+AO1190)</f>
        <v>204.70016358240994</v>
      </c>
      <c r="AP350" s="127">
        <f>IF(tech_base!$T6&gt;AP$345,"",AP630+AP910+AP1190)</f>
        <v>202.51074201250103</v>
      </c>
      <c r="AQ350" s="127">
        <f>IF(tech_base!$T6&gt;AQ$345,"",AQ630+AQ910+AQ1190)</f>
        <v>200.29605316649037</v>
      </c>
      <c r="AR350" s="127">
        <f>IF(tech_base!$T6&gt;AR$345,"",AR630+AR910+AR1190)</f>
        <v>198.0679097070215</v>
      </c>
      <c r="AS350" s="127">
        <f>IF(tech_base!$T6&gt;AS$345,"",AS630+AS910+AS1190)</f>
        <v>195.83854226529672</v>
      </c>
      <c r="AT350" s="127">
        <f>IF(tech_base!$T6&gt;AT$345,"",AT630+AT910+AT1190)</f>
        <v>193.62034381765972</v>
      </c>
      <c r="AU350" s="127">
        <f>IF(tech_base!$T6&gt;AU$345,"",AU630+AU910+AU1190)</f>
        <v>191.42560280980067</v>
      </c>
      <c r="AV350" s="127">
        <f>IF(tech_base!$T6&gt;AV$345,"",AV630+AV910+AV1190)</f>
        <v>189.26623684565186</v>
      </c>
      <c r="AW350" s="127">
        <f>IF(tech_base!$T6&gt;AW$345,"",AW630+AW910+AW1190)</f>
        <v>187.15353892985425</v>
      </c>
      <c r="AX350" s="128">
        <f>IF(tech_base!$T6&gt;AX$345,"",AX630+AX910+AX1190)</f>
        <v>185.09794751794558</v>
      </c>
    </row>
    <row r="351" spans="1:50" x14ac:dyDescent="0.25">
      <c r="A351" s="347"/>
      <c r="B351" s="349" t="s">
        <v>11</v>
      </c>
      <c r="C351" s="363" t="s">
        <v>6</v>
      </c>
      <c r="D351" s="2" t="s">
        <v>7</v>
      </c>
      <c r="E351" s="76" t="str">
        <f>A346&amp;"/"&amp;B351&amp;"/"&amp;C351&amp;"/"&amp;D351</f>
        <v>Nuclear power plants/Nuclear IV/Electricity only/L</v>
      </c>
      <c r="F351" s="76" t="str">
        <f>A346</f>
        <v>Nuclear power plants</v>
      </c>
      <c r="G351" s="76" t="str">
        <f>B351</f>
        <v>Nuclear IV</v>
      </c>
      <c r="H351" s="76" t="str">
        <f>C351</f>
        <v>Electricity only</v>
      </c>
      <c r="I351" s="76" t="str">
        <f t="shared" si="357"/>
        <v>L</v>
      </c>
      <c r="J351" s="119" t="str">
        <f>IF(tech_base!$T7&gt;J$345,"",J631+J911+J1191)</f>
        <v/>
      </c>
      <c r="K351" s="119" t="str">
        <f>IF(tech_base!$T7&gt;K$345,"",K631+K911+K1191)</f>
        <v/>
      </c>
      <c r="L351" s="119" t="str">
        <f>IF(tech_base!$T7&gt;L$345,"",L631+L911+L1191)</f>
        <v/>
      </c>
      <c r="M351" s="119" t="str">
        <f>IF(tech_base!$T7&gt;M$345,"",M631+M911+M1191)</f>
        <v/>
      </c>
      <c r="N351" s="119" t="str">
        <f>IF(tech_base!$T7&gt;N$345,"",N631+N911+N1191)</f>
        <v/>
      </c>
      <c r="O351" s="119" t="str">
        <f>IF(tech_base!$T7&gt;O$345,"",O631+O911+O1191)</f>
        <v/>
      </c>
      <c r="P351" s="119" t="str">
        <f>IF(tech_base!$T7&gt;P$345,"",P631+P911+P1191)</f>
        <v/>
      </c>
      <c r="Q351" s="119" t="str">
        <f>IF(tech_base!$T7&gt;Q$345,"",Q631+Q911+Q1191)</f>
        <v/>
      </c>
      <c r="R351" s="119" t="str">
        <f>IF(tech_base!$T7&gt;R$345,"",R631+R911+R1191)</f>
        <v/>
      </c>
      <c r="S351" s="119" t="str">
        <f>IF(tech_base!$T7&gt;S$345,"",S631+S911+S1191)</f>
        <v/>
      </c>
      <c r="T351" s="119" t="str">
        <f>IF(tech_base!$T7&gt;T$345,"",T631+T911+T1191)</f>
        <v/>
      </c>
      <c r="U351" s="119" t="str">
        <f>IF(tech_base!$T7&gt;U$345,"",U631+U911+U1191)</f>
        <v/>
      </c>
      <c r="V351" s="119" t="str">
        <f>IF(tech_base!$T7&gt;V$345,"",V631+V911+V1191)</f>
        <v/>
      </c>
      <c r="W351" s="119" t="str">
        <f>IF(tech_base!$T7&gt;W$345,"",W631+W911+W1191)</f>
        <v/>
      </c>
      <c r="X351" s="119" t="str">
        <f>IF(tech_base!$T7&gt;X$345,"",X631+X911+X1191)</f>
        <v/>
      </c>
      <c r="Y351" s="119" t="str">
        <f>IF(tech_base!$T7&gt;Y$345,"",Y631+Y911+Y1191)</f>
        <v/>
      </c>
      <c r="Z351" s="119" t="str">
        <f>IF(tech_base!$T7&gt;Z$345,"",Z631+Z911+Z1191)</f>
        <v/>
      </c>
      <c r="AA351" s="119" t="str">
        <f>IF(tech_base!$T7&gt;AA$345,"",AA631+AA911+AA1191)</f>
        <v/>
      </c>
      <c r="AB351" s="119" t="str">
        <f>IF(tech_base!$T7&gt;AB$345,"",AB631+AB911+AB1191)</f>
        <v/>
      </c>
      <c r="AC351" s="119" t="str">
        <f>IF(tech_base!$T7&gt;AC$345,"",AC631+AC911+AC1191)</f>
        <v/>
      </c>
      <c r="AD351" s="119" t="str">
        <f>IF(tech_base!$T7&gt;AD$345,"",AD631+AD911+AD1191)</f>
        <v/>
      </c>
      <c r="AE351" s="119" t="str">
        <f>IF(tech_base!$T7&gt;AE$345,"",AE631+AE911+AE1191)</f>
        <v/>
      </c>
      <c r="AF351" s="119" t="str">
        <f>IF(tech_base!$T7&gt;AF$345,"",AF631+AF911+AF1191)</f>
        <v/>
      </c>
      <c r="AG351" s="119" t="str">
        <f>IF(tech_base!$T7&gt;AG$345,"",AG631+AG911+AG1191)</f>
        <v/>
      </c>
      <c r="AH351" s="119" t="str">
        <f>IF(tech_base!$T7&gt;AH$345,"",AH631+AH911+AH1191)</f>
        <v/>
      </c>
      <c r="AI351" s="119">
        <f>IF(tech_base!$T7&gt;AI$345,"",AI631+AI911+AI1191)</f>
        <v>260.78773240965745</v>
      </c>
      <c r="AJ351" s="119">
        <f>IF(tech_base!$T7&gt;AJ$345,"",AJ631+AJ911+AJ1191)</f>
        <v>259.77152472984335</v>
      </c>
      <c r="AK351" s="119">
        <f>IF(tech_base!$T7&gt;AK$345,"",AK631+AK911+AK1191)</f>
        <v>258.55301556265096</v>
      </c>
      <c r="AL351" s="119">
        <f>IF(tech_base!$T7&gt;AL$345,"",AL631+AL911+AL1191)</f>
        <v>257.09769429130819</v>
      </c>
      <c r="AM351" s="119">
        <f>IF(tech_base!$T7&gt;AM$345,"",AM631+AM911+AM1191)</f>
        <v>255.36779833930436</v>
      </c>
      <c r="AN351" s="119">
        <f>IF(tech_base!$T7&gt;AN$345,"",AN631+AN911+AN1191)</f>
        <v>253.32326676378807</v>
      </c>
      <c r="AO351" s="119">
        <f>IF(tech_base!$T7&gt;AO$345,"",AO631+AO911+AO1191)</f>
        <v>250.92339804536675</v>
      </c>
      <c r="AP351" s="119">
        <f>IF(tech_base!$T7&gt;AP$345,"",AP631+AP911+AP1191)</f>
        <v>248.12940967634691</v>
      </c>
      <c r="AQ351" s="119">
        <f>IF(tech_base!$T7&gt;AQ$345,"",AQ631+AQ911+AQ1191)</f>
        <v>244.90806326903663</v>
      </c>
      <c r="AR351" s="119">
        <f>IF(tech_base!$T7&gt;AR$345,"",AR631+AR911+AR1191)</f>
        <v>241.23641463634303</v>
      </c>
      <c r="AS351" s="119">
        <f>IF(tech_base!$T7&gt;AS$345,"",AS631+AS911+AS1191)</f>
        <v>237.1075437670851</v>
      </c>
      <c r="AT351" s="119">
        <f>IF(tech_base!$T7&gt;AT$345,"",AT631+AT911+AT1191)</f>
        <v>232.53679749652659</v>
      </c>
      <c r="AU351" s="119">
        <f>IF(tech_base!$T7&gt;AU$345,"",AU631+AU911+AU1191)</f>
        <v>227.56765686084407</v>
      </c>
      <c r="AV351" s="119">
        <f>IF(tech_base!$T7&gt;AV$345,"",AV631+AV911+AV1191)</f>
        <v>222.27590580851705</v>
      </c>
      <c r="AW351" s="119">
        <f>IF(tech_base!$T7&gt;AW$345,"",AW631+AW911+AW1191)</f>
        <v>216.77049596083265</v>
      </c>
      <c r="AX351" s="120">
        <f>IF(tech_base!$T7&gt;AX$345,"",AX631+AX911+AX1191)</f>
        <v>211.18960412392906</v>
      </c>
    </row>
    <row r="352" spans="1:50" x14ac:dyDescent="0.25">
      <c r="A352" s="348"/>
      <c r="B352" s="352"/>
      <c r="C352" s="364"/>
      <c r="D352" s="4" t="s">
        <v>8</v>
      </c>
      <c r="E352" s="76" t="str">
        <f>A346&amp;"/"&amp;B351&amp;"/"&amp;C351&amp;"/"&amp;D352</f>
        <v>Nuclear power plants/Nuclear IV/Electricity only/M</v>
      </c>
      <c r="F352" s="76" t="str">
        <f>A346</f>
        <v>Nuclear power plants</v>
      </c>
      <c r="G352" s="76" t="str">
        <f>B351</f>
        <v>Nuclear IV</v>
      </c>
      <c r="H352" s="76" t="str">
        <f>C351</f>
        <v>Electricity only</v>
      </c>
      <c r="I352" s="76" t="str">
        <f t="shared" si="357"/>
        <v>M</v>
      </c>
      <c r="J352" s="119" t="str">
        <f>IF(tech_base!$T8&gt;J$345,"",J632+J912+J1192)</f>
        <v/>
      </c>
      <c r="K352" s="119" t="str">
        <f>IF(tech_base!$T8&gt;K$345,"",K632+K912+K1192)</f>
        <v/>
      </c>
      <c r="L352" s="119" t="str">
        <f>IF(tech_base!$T8&gt;L$345,"",L632+L912+L1192)</f>
        <v/>
      </c>
      <c r="M352" s="119" t="str">
        <f>IF(tech_base!$T8&gt;M$345,"",M632+M912+M1192)</f>
        <v/>
      </c>
      <c r="N352" s="119" t="str">
        <f>IF(tech_base!$T8&gt;N$345,"",N632+N912+N1192)</f>
        <v/>
      </c>
      <c r="O352" s="119" t="str">
        <f>IF(tech_base!$T8&gt;O$345,"",O632+O912+O1192)</f>
        <v/>
      </c>
      <c r="P352" s="119" t="str">
        <f>IF(tech_base!$T8&gt;P$345,"",P632+P912+P1192)</f>
        <v/>
      </c>
      <c r="Q352" s="119" t="str">
        <f>IF(tech_base!$T8&gt;Q$345,"",Q632+Q912+Q1192)</f>
        <v/>
      </c>
      <c r="R352" s="119" t="str">
        <f>IF(tech_base!$T8&gt;R$345,"",R632+R912+R1192)</f>
        <v/>
      </c>
      <c r="S352" s="119" t="str">
        <f>IF(tech_base!$T8&gt;S$345,"",S632+S912+S1192)</f>
        <v/>
      </c>
      <c r="T352" s="119" t="str">
        <f>IF(tech_base!$T8&gt;T$345,"",T632+T912+T1192)</f>
        <v/>
      </c>
      <c r="U352" s="119" t="str">
        <f>IF(tech_base!$T8&gt;U$345,"",U632+U912+U1192)</f>
        <v/>
      </c>
      <c r="V352" s="119" t="str">
        <f>IF(tech_base!$T8&gt;V$345,"",V632+V912+V1192)</f>
        <v/>
      </c>
      <c r="W352" s="119" t="str">
        <f>IF(tech_base!$T8&gt;W$345,"",W632+W912+W1192)</f>
        <v/>
      </c>
      <c r="X352" s="119" t="str">
        <f>IF(tech_base!$T8&gt;X$345,"",X632+X912+X1192)</f>
        <v/>
      </c>
      <c r="Y352" s="119" t="str">
        <f>IF(tech_base!$T8&gt;Y$345,"",Y632+Y912+Y1192)</f>
        <v/>
      </c>
      <c r="Z352" s="119" t="str">
        <f>IF(tech_base!$T8&gt;Z$345,"",Z632+Z912+Z1192)</f>
        <v/>
      </c>
      <c r="AA352" s="119" t="str">
        <f>IF(tech_base!$T8&gt;AA$345,"",AA632+AA912+AA1192)</f>
        <v/>
      </c>
      <c r="AB352" s="119" t="str">
        <f>IF(tech_base!$T8&gt;AB$345,"",AB632+AB912+AB1192)</f>
        <v/>
      </c>
      <c r="AC352" s="119" t="str">
        <f>IF(tech_base!$T8&gt;AC$345,"",AC632+AC912+AC1192)</f>
        <v/>
      </c>
      <c r="AD352" s="119" t="str">
        <f>IF(tech_base!$T8&gt;AD$345,"",AD632+AD912+AD1192)</f>
        <v/>
      </c>
      <c r="AE352" s="119" t="str">
        <f>IF(tech_base!$T8&gt;AE$345,"",AE632+AE912+AE1192)</f>
        <v/>
      </c>
      <c r="AF352" s="119" t="str">
        <f>IF(tech_base!$T8&gt;AF$345,"",AF632+AF912+AF1192)</f>
        <v/>
      </c>
      <c r="AG352" s="119" t="str">
        <f>IF(tech_base!$T8&gt;AG$345,"",AG632+AG912+AG1192)</f>
        <v/>
      </c>
      <c r="AH352" s="119" t="str">
        <f>IF(tech_base!$T8&gt;AH$345,"",AH632+AH912+AH1192)</f>
        <v/>
      </c>
      <c r="AI352" s="119">
        <f>IF(tech_base!$T8&gt;AI$345,"",AI632+AI912+AI1192)</f>
        <v>282.49889016331292</v>
      </c>
      <c r="AJ352" s="119">
        <f>IF(tech_base!$T8&gt;AJ$345,"",AJ632+AJ912+AJ1192)</f>
        <v>282.12980763704763</v>
      </c>
      <c r="AK352" s="119">
        <f>IF(tech_base!$T8&gt;AK$345,"",AK632+AK912+AK1192)</f>
        <v>281.65891477328</v>
      </c>
      <c r="AL352" s="119">
        <f>IF(tech_base!$T8&gt;AL$345,"",AL632+AL912+AL1192)</f>
        <v>281.05920546909414</v>
      </c>
      <c r="AM352" s="119">
        <f>IF(tech_base!$T8&gt;AM$345,"",AM632+AM912+AM1192)</f>
        <v>280.29719093497607</v>
      </c>
      <c r="AN352" s="119">
        <f>IF(tech_base!$T8&gt;AN$345,"",AN632+AN912+AN1192)</f>
        <v>279.33177345357683</v>
      </c>
      <c r="AO352" s="119">
        <f>IF(tech_base!$T8&gt;AO$345,"",AO632+AO912+AO1192)</f>
        <v>278.11320585040119</v>
      </c>
      <c r="AP352" s="119">
        <f>IF(tech_base!$T8&gt;AP$345,"",AP632+AP912+AP1192)</f>
        <v>276.5823651213384</v>
      </c>
      <c r="AQ352" s="119">
        <f>IF(tech_base!$T8&gt;AQ$345,"",AQ632+AQ912+AQ1192)</f>
        <v>274.67070950097622</v>
      </c>
      <c r="AR352" s="119">
        <f>IF(tech_base!$T8&gt;AR$345,"",AR632+AR912+AR1192)</f>
        <v>272.30146952261191</v>
      </c>
      <c r="AS352" s="119">
        <f>IF(tech_base!$T8&gt;AS$345,"",AS632+AS912+AS1192)</f>
        <v>269.39282243623182</v>
      </c>
      <c r="AT352" s="119">
        <f>IF(tech_base!$T8&gt;AT$345,"",AT632+AT912+AT1192)</f>
        <v>265.86395040308804</v>
      </c>
      <c r="AU352" s="119">
        <f>IF(tech_base!$T8&gt;AU$345,"",AU632+AU912+AU1192)</f>
        <v>261.64485362010709</v>
      </c>
      <c r="AV352" s="119">
        <f>IF(tech_base!$T8&gt;AV$345,"",AV632+AV912+AV1192)</f>
        <v>256.69036783260827</v>
      </c>
      <c r="AW352" s="119">
        <f>IF(tech_base!$T8&gt;AW$345,"",AW632+AW912+AW1192)</f>
        <v>250.99776865169341</v>
      </c>
      <c r="AX352" s="120">
        <f>IF(tech_base!$T8&gt;AX$345,"",AX632+AX912+AX1192)</f>
        <v>244.62548648221261</v>
      </c>
    </row>
    <row r="353" spans="1:50" x14ac:dyDescent="0.25">
      <c r="A353" s="355" t="s">
        <v>12</v>
      </c>
      <c r="B353" s="358" t="s">
        <v>13</v>
      </c>
      <c r="C353" s="353" t="s">
        <v>6</v>
      </c>
      <c r="D353" s="3" t="s">
        <v>7</v>
      </c>
      <c r="E353" s="77" t="str">
        <f>A353&amp;"/"&amp;B353&amp;"/"&amp;C353&amp;"/"&amp;D353</f>
        <v>Coal fired power plants/Integrated gasification combined cycle/Electricity only/L</v>
      </c>
      <c r="F353" s="77" t="str">
        <f>A353</f>
        <v>Coal fired power plants</v>
      </c>
      <c r="G353" s="77" t="str">
        <f>B353</f>
        <v>Integrated gasification combined cycle</v>
      </c>
      <c r="H353" s="77" t="str">
        <f>C353</f>
        <v>Electricity only</v>
      </c>
      <c r="I353" s="77" t="str">
        <f t="shared" si="357"/>
        <v>L</v>
      </c>
      <c r="J353" s="121">
        <f>IF(tech_base!$T9&gt;J$345,"",J633+J913+J1193)</f>
        <v>110.07106170638647</v>
      </c>
      <c r="K353" s="121">
        <f>IF(tech_base!$T9&gt;K$345,"",K633+K913+K1193)</f>
        <v>116.32175093968161</v>
      </c>
      <c r="L353" s="121">
        <f>IF(tech_base!$T9&gt;L$345,"",L633+L913+L1193)</f>
        <v>111.63532230380403</v>
      </c>
      <c r="M353" s="121">
        <f>IF(tech_base!$T9&gt;M$345,"",M633+M913+M1193)</f>
        <v>109.03376010465145</v>
      </c>
      <c r="N353" s="121">
        <f>IF(tech_base!$T9&gt;N$345,"",N633+N913+N1193)</f>
        <v>108.06835173011255</v>
      </c>
      <c r="O353" s="121">
        <f>IF(tech_base!$T9&gt;O$345,"",O633+O913+O1193)</f>
        <v>106.67156919667055</v>
      </c>
      <c r="P353" s="121">
        <f>IF(tech_base!$T9&gt;P$345,"",P633+P913+P1193)</f>
        <v>107.89855326604044</v>
      </c>
      <c r="Q353" s="121">
        <f>IF(tech_base!$T9&gt;Q$345,"",Q633+Q913+Q1193)</f>
        <v>114.13558079904377</v>
      </c>
      <c r="R353" s="121">
        <f>IF(tech_base!$T9&gt;R$345,"",R633+R913+R1193)</f>
        <v>114.29907144195136</v>
      </c>
      <c r="S353" s="121">
        <f>IF(tech_base!$T9&gt;S$345,"",S633+S913+S1193)</f>
        <v>114.45971361950789</v>
      </c>
      <c r="T353" s="121">
        <f>IF(tech_base!$T9&gt;T$345,"",T633+T913+T1193)</f>
        <v>114.61719304535491</v>
      </c>
      <c r="U353" s="121">
        <f>IF(tech_base!$T9&gt;U$345,"",U633+U913+U1193)</f>
        <v>115.28279821088626</v>
      </c>
      <c r="V353" s="121">
        <f>IF(tech_base!$T9&gt;V$345,"",V633+V913+V1193)</f>
        <v>115.29389448033288</v>
      </c>
      <c r="W353" s="121">
        <f>IF(tech_base!$T9&gt;W$345,"",W633+W913+W1193)</f>
        <v>115.26042315914026</v>
      </c>
      <c r="X353" s="121">
        <f>IF(tech_base!$T9&gt;X$345,"",X633+X913+X1193)</f>
        <v>115.42012015013033</v>
      </c>
      <c r="Y353" s="121">
        <f>IF(tech_base!$T9&gt;Y$345,"",Y633+Y913+Y1193)</f>
        <v>115.60565145960203</v>
      </c>
      <c r="Z353" s="121">
        <f>IF(tech_base!$T9&gt;Z$345,"",Z633+Z913+Z1193)</f>
        <v>116.55044984409336</v>
      </c>
      <c r="AA353" s="121">
        <f>IF(tech_base!$T9&gt;AA$345,"",AA633+AA913+AA1193)</f>
        <v>117.48461488112997</v>
      </c>
      <c r="AB353" s="121">
        <f>IF(tech_base!$T9&gt;AB$345,"",AB633+AB913+AB1193)</f>
        <v>118.44067189759619</v>
      </c>
      <c r="AC353" s="121">
        <f>IF(tech_base!$T9&gt;AC$345,"",AC633+AC913+AC1193)</f>
        <v>119.39090226710547</v>
      </c>
      <c r="AD353" s="121">
        <f>IF(tech_base!$T9&gt;AD$345,"",AD633+AD913+AD1193)</f>
        <v>120.41910073539232</v>
      </c>
      <c r="AE353" s="121">
        <f>IF(tech_base!$T9&gt;AE$345,"",AE633+AE913+AE1193)</f>
        <v>120.6278818157638</v>
      </c>
      <c r="AF353" s="121">
        <f>IF(tech_base!$T9&gt;AF$345,"",AF633+AF913+AF1193)</f>
        <v>120.91969818815744</v>
      </c>
      <c r="AG353" s="121">
        <f>IF(tech_base!$T9&gt;AG$345,"",AG633+AG913+AG1193)</f>
        <v>121.19128731099525</v>
      </c>
      <c r="AH353" s="121">
        <f>IF(tech_base!$T9&gt;AH$345,"",AH633+AH913+AH1193)</f>
        <v>121.38139020749369</v>
      </c>
      <c r="AI353" s="121">
        <f>IF(tech_base!$T9&gt;AI$345,"",AI633+AI913+AI1193)</f>
        <v>121.46930735883521</v>
      </c>
      <c r="AJ353" s="121">
        <f>IF(tech_base!$T9&gt;AJ$345,"",AJ633+AJ913+AJ1193)</f>
        <v>121.36861329547916</v>
      </c>
      <c r="AK353" s="121">
        <f>IF(tech_base!$T9&gt;AK$345,"",AK633+AK913+AK1193)</f>
        <v>121.22263116157389</v>
      </c>
      <c r="AL353" s="121">
        <f>IF(tech_base!$T9&gt;AL$345,"",AL633+AL913+AL1193)</f>
        <v>120.99757328562903</v>
      </c>
      <c r="AM353" s="121">
        <f>IF(tech_base!$T9&gt;AM$345,"",AM633+AM913+AM1193)</f>
        <v>120.66477851191651</v>
      </c>
      <c r="AN353" s="121">
        <f>IF(tech_base!$T9&gt;AN$345,"",AN633+AN913+AN1193)</f>
        <v>120.08328152330118</v>
      </c>
      <c r="AO353" s="121">
        <f>IF(tech_base!$T9&gt;AO$345,"",AO633+AO913+AO1193)</f>
        <v>119.3136483770854</v>
      </c>
      <c r="AP353" s="121">
        <f>IF(tech_base!$T9&gt;AP$345,"",AP633+AP913+AP1193)</f>
        <v>118.3375630789071</v>
      </c>
      <c r="AQ353" s="121">
        <f>IF(tech_base!$T9&gt;AQ$345,"",AQ633+AQ913+AQ1193)</f>
        <v>117.14863300645155</v>
      </c>
      <c r="AR353" s="121">
        <f>IF(tech_base!$T9&gt;AR$345,"",AR633+AR913+AR1193)</f>
        <v>115.77820129533731</v>
      </c>
      <c r="AS353" s="121">
        <f>IF(tech_base!$T9&gt;AS$345,"",AS633+AS913+AS1193)</f>
        <v>114.22427746434076</v>
      </c>
      <c r="AT353" s="121">
        <f>IF(tech_base!$T9&gt;AT$345,"",AT633+AT913+AT1193)</f>
        <v>112.41027553016865</v>
      </c>
      <c r="AU353" s="121">
        <f>IF(tech_base!$T9&gt;AU$345,"",AU633+AU913+AU1193)</f>
        <v>110.59896847313995</v>
      </c>
      <c r="AV353" s="121">
        <f>IF(tech_base!$T9&gt;AV$345,"",AV633+AV913+AV1193)</f>
        <v>108.72365700067073</v>
      </c>
      <c r="AW353" s="121">
        <f>IF(tech_base!$T9&gt;AW$345,"",AW633+AW913+AW1193)</f>
        <v>106.89135554188721</v>
      </c>
      <c r="AX353" s="122">
        <f>IF(tech_base!$T9&gt;AX$345,"",AX633+AX913+AX1193)</f>
        <v>105.27257721238455</v>
      </c>
    </row>
    <row r="354" spans="1:50" x14ac:dyDescent="0.25">
      <c r="A354" s="356"/>
      <c r="B354" s="359"/>
      <c r="C354" s="360"/>
      <c r="D354" s="2" t="s">
        <v>8</v>
      </c>
      <c r="E354" s="76" t="str">
        <f>A353&amp;"/"&amp;B353&amp;"/"&amp;C353&amp;"/"&amp;D354</f>
        <v>Coal fired power plants/Integrated gasification combined cycle/Electricity only/M</v>
      </c>
      <c r="F354" s="76" t="str">
        <f>A353</f>
        <v>Coal fired power plants</v>
      </c>
      <c r="G354" s="76" t="str">
        <f>B353</f>
        <v>Integrated gasification combined cycle</v>
      </c>
      <c r="H354" s="76" t="str">
        <f>C353</f>
        <v>Electricity only</v>
      </c>
      <c r="I354" s="76" t="str">
        <f t="shared" si="357"/>
        <v>M</v>
      </c>
      <c r="J354" s="119">
        <f>IF(tech_base!$T10&gt;J$345,"",J634+J914+J1194)</f>
        <v>118.07482799540085</v>
      </c>
      <c r="K354" s="119">
        <f>IF(tech_base!$T10&gt;K$345,"",K634+K914+K1194)</f>
        <v>124.65558114033703</v>
      </c>
      <c r="L354" s="119">
        <f>IF(tech_base!$T10&gt;L$345,"",L634+L914+L1194)</f>
        <v>119.71498366449673</v>
      </c>
      <c r="M354" s="119">
        <f>IF(tech_base!$T10&gt;M$345,"",M634+M914+M1194)</f>
        <v>116.96970476078147</v>
      </c>
      <c r="N354" s="119">
        <f>IF(tech_base!$T10&gt;N$345,"",N634+N914+N1194)</f>
        <v>115.94686835615892</v>
      </c>
      <c r="O354" s="119">
        <f>IF(tech_base!$T10&gt;O$345,"",O634+O914+O1194)</f>
        <v>114.46850348853815</v>
      </c>
      <c r="P354" s="119">
        <f>IF(tech_base!$T10&gt;P$345,"",P634+P914+P1194)</f>
        <v>115.75225820340862</v>
      </c>
      <c r="Q354" s="119">
        <f>IF(tech_base!$T10&gt;Q$345,"",Q634+Q914+Q1194)</f>
        <v>122.3108926426043</v>
      </c>
      <c r="R354" s="119">
        <f>IF(tech_base!$T10&gt;R$345,"",R634+R914+R1194)</f>
        <v>122.47044384892041</v>
      </c>
      <c r="S354" s="119">
        <f>IF(tech_base!$T10&gt;S$345,"",S634+S914+S1194)</f>
        <v>122.62448528306592</v>
      </c>
      <c r="T354" s="119">
        <f>IF(tech_base!$T10&gt;T$345,"",T634+T914+T1194)</f>
        <v>122.77221848670214</v>
      </c>
      <c r="U354" s="119">
        <f>IF(tech_base!$T10&gt;U$345,"",U634+U914+U1194)</f>
        <v>123.45149137247103</v>
      </c>
      <c r="V354" s="119">
        <f>IF(tech_base!$T10&gt;V$345,"",V634+V914+V1194)</f>
        <v>123.43737703903412</v>
      </c>
      <c r="W354" s="119">
        <f>IF(tech_base!$T10&gt;W$345,"",W634+W914+W1194)</f>
        <v>123.37148147168342</v>
      </c>
      <c r="X354" s="119">
        <f>IF(tech_base!$T10&gt;X$345,"",X634+X914+X1194)</f>
        <v>123.50326914056174</v>
      </c>
      <c r="Y354" s="119">
        <f>IF(tech_base!$T10&gt;Y$345,"",Y634+Y914+Y1194)</f>
        <v>123.65560653976701</v>
      </c>
      <c r="Z354" s="119">
        <f>IF(tech_base!$T10&gt;Z$345,"",Z634+Z914+Z1194)</f>
        <v>124.59933294170315</v>
      </c>
      <c r="AA354" s="119">
        <f>IF(tech_base!$T10&gt;AA$345,"",AA634+AA914+AA1194)</f>
        <v>125.5227637556695</v>
      </c>
      <c r="AB354" s="119">
        <f>IF(tech_base!$T10&gt;AB$345,"",AB634+AB914+AB1194)</f>
        <v>126.45883696769421</v>
      </c>
      <c r="AC354" s="119">
        <f>IF(tech_base!$T10&gt;AC$345,"",AC634+AC914+AC1194)</f>
        <v>127.37704140039529</v>
      </c>
      <c r="AD354" s="119">
        <f>IF(tech_base!$T10&gt;AD$345,"",AD634+AD914+AD1194)</f>
        <v>128.36415195298866</v>
      </c>
      <c r="AE354" s="119">
        <f>IF(tech_base!$T10&gt;AE$345,"",AE634+AE914+AE1194)</f>
        <v>128.47553447373508</v>
      </c>
      <c r="AF354" s="119">
        <f>IF(tech_base!$T10&gt;AF$345,"",AF634+AF914+AF1194)</f>
        <v>128.6593666554383</v>
      </c>
      <c r="AG354" s="119">
        <f>IF(tech_base!$T10&gt;AG$345,"",AG634+AG914+AG1194)</f>
        <v>128.8065560587749</v>
      </c>
      <c r="AH354" s="119">
        <f>IF(tech_base!$T10&gt;AH$345,"",AH634+AH914+AH1194)</f>
        <v>128.85292154739039</v>
      </c>
      <c r="AI354" s="119">
        <f>IF(tech_base!$T10&gt;AI$345,"",AI634+AI914+AI1194)</f>
        <v>128.77791205901096</v>
      </c>
      <c r="AJ354" s="119">
        <f>IF(tech_base!$T10&gt;AJ$345,"",AJ634+AJ914+AJ1194)</f>
        <v>128.49338552976462</v>
      </c>
      <c r="AK354" s="119">
        <f>IF(tech_base!$T10&gt;AK$345,"",AK634+AK914+AK1194)</f>
        <v>128.1539090073525</v>
      </c>
      <c r="AL354" s="119">
        <f>IF(tech_base!$T10&gt;AL$345,"",AL634+AL914+AL1194)</f>
        <v>127.73014502136486</v>
      </c>
      <c r="AM354" s="119">
        <f>IF(tech_base!$T10&gt;AM$345,"",AM634+AM914+AM1194)</f>
        <v>127.2003492283321</v>
      </c>
      <c r="AN354" s="119">
        <f>IF(tech_base!$T10&gt;AN$345,"",AN634+AN914+AN1194)</f>
        <v>126.42730235727126</v>
      </c>
      <c r="AO354" s="119">
        <f>IF(tech_base!$T10&gt;AO$345,"",AO634+AO914+AO1194)</f>
        <v>125.48622479101846</v>
      </c>
      <c r="AP354" s="119">
        <f>IF(tech_base!$T10&gt;AP$345,"",AP634+AP914+AP1194)</f>
        <v>124.36962763437887</v>
      </c>
      <c r="AQ354" s="119">
        <f>IF(tech_base!$T10&gt;AQ$345,"",AQ634+AQ914+AQ1194)</f>
        <v>123.08016388673296</v>
      </c>
      <c r="AR354" s="119">
        <f>IF(tech_base!$T10&gt;AR$345,"",AR634+AR914+AR1194)</f>
        <v>121.65464903195618</v>
      </c>
      <c r="AS354" s="119">
        <f>IF(tech_base!$T10&gt;AS$345,"",AS634+AS914+AS1194)</f>
        <v>120.08663303846438</v>
      </c>
      <c r="AT354" s="119">
        <f>IF(tech_base!$T10&gt;AT$345,"",AT634+AT914+AT1194)</f>
        <v>118.28095588661748</v>
      </c>
      <c r="AU354" s="119">
        <f>IF(tech_base!$T10&gt;AU$345,"",AU634+AU914+AU1194)</f>
        <v>116.48690793281202</v>
      </c>
      <c r="AV354" s="119">
        <f>IF(tech_base!$T10&gt;AV$345,"",AV634+AV914+AV1194)</f>
        <v>114.60159912383766</v>
      </c>
      <c r="AW354" s="119">
        <f>IF(tech_base!$T10&gt;AW$345,"",AW634+AW914+AW1194)</f>
        <v>112.70282984596508</v>
      </c>
      <c r="AX354" s="120">
        <f>IF(tech_base!$T10&gt;AX$345,"",AX634+AX914+AX1194)</f>
        <v>110.9417347742139</v>
      </c>
    </row>
    <row r="355" spans="1:50" x14ac:dyDescent="0.25">
      <c r="A355" s="356"/>
      <c r="B355" s="359"/>
      <c r="C355" s="361" t="s">
        <v>14</v>
      </c>
      <c r="D355" s="58" t="s">
        <v>7</v>
      </c>
      <c r="E355" s="78" t="str">
        <f>A353&amp;"/"&amp;B353&amp;"/"&amp;C355&amp;"/"&amp;D355</f>
        <v>Coal fired power plants/Integrated gasification combined cycle/CHP/L</v>
      </c>
      <c r="F355" s="78" t="str">
        <f>A353</f>
        <v>Coal fired power plants</v>
      </c>
      <c r="G355" s="78" t="str">
        <f>B353</f>
        <v>Integrated gasification combined cycle</v>
      </c>
      <c r="H355" s="78" t="str">
        <f>C355</f>
        <v>CHP</v>
      </c>
      <c r="I355" s="78" t="str">
        <f t="shared" si="357"/>
        <v>L</v>
      </c>
      <c r="J355" s="123">
        <f>IF(tech_base!$T11&gt;J$345,"",J635+J915+J1195)</f>
        <v>126.15550888954184</v>
      </c>
      <c r="K355" s="123">
        <f>IF(tech_base!$T11&gt;K$345,"",K635+K915+K1195)</f>
        <v>133.07546061162509</v>
      </c>
      <c r="L355" s="123">
        <f>IF(tech_base!$T11&gt;L$345,"",L635+L915+L1195)</f>
        <v>127.88730168379058</v>
      </c>
      <c r="M355" s="123">
        <f>IF(tech_base!$T11&gt;M$345,"",M635+M915+M1195)</f>
        <v>125.00723568366539</v>
      </c>
      <c r="N355" s="123">
        <f>IF(tech_base!$T11&gt;N$345,"",N635+N915+N1195)</f>
        <v>123.93851113316906</v>
      </c>
      <c r="O355" s="123">
        <f>IF(tech_base!$T11&gt;O$345,"",O635+O915+O1195)</f>
        <v>122.39223866928839</v>
      </c>
      <c r="P355" s="123">
        <f>IF(tech_base!$T11&gt;P$345,"",P635+P915+P1195)</f>
        <v>123.7506712436944</v>
      </c>
      <c r="Q355" s="123">
        <f>IF(tech_base!$T11&gt;Q$345,"",Q635+Q915+Q1195)</f>
        <v>130.65559333193542</v>
      </c>
      <c r="R355" s="123">
        <f>IF(tech_base!$T11&gt;R$345,"",R635+R915+R1195)</f>
        <v>130.83672369386935</v>
      </c>
      <c r="S355" s="123">
        <f>IF(tech_base!$T11&gt;S$345,"",S635+S915+S1195)</f>
        <v>131.01473925998533</v>
      </c>
      <c r="T355" s="123">
        <f>IF(tech_base!$T11&gt;T$345,"",T635+T915+T1195)</f>
        <v>131.1893030977109</v>
      </c>
      <c r="U355" s="123">
        <f>IF(tech_base!$T11&gt;U$345,"",U635+U915+U1195)</f>
        <v>131.9264643423096</v>
      </c>
      <c r="V355" s="123">
        <f>IF(tech_base!$T11&gt;V$345,"",V635+V915+V1195)</f>
        <v>131.93911774224486</v>
      </c>
      <c r="W355" s="123">
        <f>IF(tech_base!$T11&gt;W$345,"",W635+W915+W1195)</f>
        <v>131.90253579439451</v>
      </c>
      <c r="X355" s="123">
        <f>IF(tech_base!$T11&gt;X$345,"",X635+X915+X1195)</f>
        <v>132.07994167502721</v>
      </c>
      <c r="Y355" s="123">
        <f>IF(tech_base!$T11&gt;Y$345,"",Y635+Y915+Y1195)</f>
        <v>132.2861222936524</v>
      </c>
      <c r="Z355" s="123">
        <f>IF(tech_base!$T11&gt;Z$345,"",Z635+Z915+Z1195)</f>
        <v>133.33311083715142</v>
      </c>
      <c r="AA355" s="123">
        <f>IF(tech_base!$T11&gt;AA$345,"",AA635+AA915+AA1195)</f>
        <v>134.36862827505939</v>
      </c>
      <c r="AB355" s="123">
        <f>IF(tech_base!$T11&gt;AB$345,"",AB635+AB915+AB1195)</f>
        <v>135.42877063613693</v>
      </c>
      <c r="AC355" s="123">
        <f>IF(tech_base!$T11&gt;AC$345,"",AC635+AC915+AC1195)</f>
        <v>136.48296204069229</v>
      </c>
      <c r="AD355" s="123">
        <f>IF(tech_base!$T11&gt;AD$345,"",AD635+AD915+AD1195)</f>
        <v>137.62411915968809</v>
      </c>
      <c r="AE355" s="123">
        <f>IF(tech_base!$T11&gt;AE$345,"",AE635+AE915+AE1195)</f>
        <v>137.85885923681852</v>
      </c>
      <c r="AF355" s="123">
        <f>IF(tech_base!$T11&gt;AF$345,"",AF635+AF915+AF1195)</f>
        <v>138.1865460512671</v>
      </c>
      <c r="AG355" s="123">
        <f>IF(tech_base!$T11&gt;AG$345,"",AG635+AG915+AG1195)</f>
        <v>138.49312567617224</v>
      </c>
      <c r="AH355" s="123">
        <f>IF(tech_base!$T11&gt;AH$345,"",AH635+AH915+AH1195)</f>
        <v>138.7111080205278</v>
      </c>
      <c r="AI355" s="123">
        <f>IF(tech_base!$T11&gt;AI$345,"",AI635+AI915+AI1195)</f>
        <v>138.8179836602109</v>
      </c>
      <c r="AJ355" s="123">
        <f>IF(tech_base!$T11&gt;AJ$345,"",AJ635+AJ915+AJ1195)</f>
        <v>138.71853670001099</v>
      </c>
      <c r="AK355" s="123">
        <f>IF(tech_base!$T11&gt;AK$345,"",AK635+AK915+AK1195)</f>
        <v>138.57207656060598</v>
      </c>
      <c r="AL355" s="123">
        <f>IF(tech_base!$T11&gt;AL$345,"",AL635+AL915+AL1195)</f>
        <v>138.34189117905598</v>
      </c>
      <c r="AM355" s="123">
        <f>IF(tech_base!$T11&gt;AM$345,"",AM635+AM915+AM1195)</f>
        <v>137.99703221173979</v>
      </c>
      <c r="AN355" s="123">
        <f>IF(tech_base!$T11&gt;AN$345,"",AN635+AN915+AN1195)</f>
        <v>137.38216210470378</v>
      </c>
      <c r="AO355" s="123">
        <f>IF(tech_base!$T11&gt;AO$345,"",AO635+AO915+AO1195)</f>
        <v>136.5651926994135</v>
      </c>
      <c r="AP355" s="123">
        <f>IF(tech_base!$T11&gt;AP$345,"",AP635+AP915+AP1195)</f>
        <v>135.5265513223481</v>
      </c>
      <c r="AQ355" s="123">
        <f>IF(tech_base!$T11&gt;AQ$345,"",AQ635+AQ915+AQ1195)</f>
        <v>134.25963882348628</v>
      </c>
      <c r="AR355" s="123">
        <f>IF(tech_base!$T11&gt;AR$345,"",AR635+AR915+AR1195)</f>
        <v>132.79930488205989</v>
      </c>
      <c r="AS355" s="123">
        <f>IF(tech_base!$T11&gt;AS$345,"",AS635+AS915+AS1195)</f>
        <v>131.14284268906863</v>
      </c>
      <c r="AT355" s="123">
        <f>IF(tech_base!$T11&gt;AT$345,"",AT635+AT915+AT1195)</f>
        <v>129.20388816356288</v>
      </c>
      <c r="AU355" s="123">
        <f>IF(tech_base!$T11&gt;AU$345,"",AU635+AU915+AU1195)</f>
        <v>127.27209810760729</v>
      </c>
      <c r="AV355" s="123">
        <f>IF(tech_base!$T11&gt;AV$345,"",AV635+AV915+AV1195)</f>
        <v>125.2705916316566</v>
      </c>
      <c r="AW355" s="123">
        <f>IF(tech_base!$T11&gt;AW$345,"",AW635+AW915+AW1195)</f>
        <v>123.31502079377785</v>
      </c>
      <c r="AX355" s="124">
        <f>IF(tech_base!$T11&gt;AX$345,"",AX635+AX915+AX1195)</f>
        <v>121.59189641254778</v>
      </c>
    </row>
    <row r="356" spans="1:50" x14ac:dyDescent="0.25">
      <c r="A356" s="356"/>
      <c r="B356" s="359"/>
      <c r="C356" s="379"/>
      <c r="D356" s="59" t="s">
        <v>8</v>
      </c>
      <c r="E356" s="79" t="str">
        <f>A353&amp;"/"&amp;B353&amp;"/"&amp;C355&amp;"/"&amp;D356</f>
        <v>Coal fired power plants/Integrated gasification combined cycle/CHP/M</v>
      </c>
      <c r="F356" s="79" t="str">
        <f>A353</f>
        <v>Coal fired power plants</v>
      </c>
      <c r="G356" s="79" t="str">
        <f>B353</f>
        <v>Integrated gasification combined cycle</v>
      </c>
      <c r="H356" s="79" t="str">
        <f>C355</f>
        <v>CHP</v>
      </c>
      <c r="I356" s="79" t="str">
        <f t="shared" si="357"/>
        <v>M</v>
      </c>
      <c r="J356" s="125">
        <f>IF(tech_base!$T12&gt;J$345,"",J636+J916+J1196)</f>
        <v>134.37853494921342</v>
      </c>
      <c r="K356" s="125">
        <f>IF(tech_base!$T12&gt;K$345,"",K636+K916+K1196)</f>
        <v>141.66649100189164</v>
      </c>
      <c r="L356" s="125">
        <f>IF(tech_base!$T12&gt;L$345,"",L636+L916+L1196)</f>
        <v>136.19519265307724</v>
      </c>
      <c r="M356" s="125">
        <f>IF(tech_base!$T12&gt;M$345,"",M636+M916+M1196)</f>
        <v>133.15512018804546</v>
      </c>
      <c r="N356" s="125">
        <f>IF(tech_base!$T12&gt;N$345,"",N636+N916+N1196)</f>
        <v>132.02260007978725</v>
      </c>
      <c r="O356" s="125">
        <f>IF(tech_base!$T12&gt;O$345,"",O636+O916+O1196)</f>
        <v>130.38564906827312</v>
      </c>
      <c r="P356" s="125">
        <f>IF(tech_base!$T12&gt;P$345,"",P636+P916+P1196)</f>
        <v>131.8076722280548</v>
      </c>
      <c r="Q356" s="125">
        <f>IF(tech_base!$T12&gt;Q$345,"",Q636+Q916+Q1196)</f>
        <v>139.07147645141416</v>
      </c>
      <c r="R356" s="125">
        <f>IF(tech_base!$T12&gt;R$345,"",R636+R916+R1196)</f>
        <v>139.24868049177365</v>
      </c>
      <c r="S356" s="125">
        <f>IF(tech_base!$T12&gt;S$345,"",S636+S916+S1196)</f>
        <v>139.41989590796445</v>
      </c>
      <c r="T356" s="125">
        <f>IF(tech_base!$T12&gt;T$345,"",T636+T916+T1196)</f>
        <v>139.58426339070627</v>
      </c>
      <c r="U356" s="125">
        <f>IF(tech_base!$T12&gt;U$345,"",U636+U916+U1196)</f>
        <v>140.33746645827003</v>
      </c>
      <c r="V356" s="125">
        <f>IF(tech_base!$T12&gt;V$345,"",V636+V916+V1196)</f>
        <v>140.32296899236133</v>
      </c>
      <c r="W356" s="125">
        <f>IF(tech_base!$T12&gt;W$345,"",W636+W916+W1196)</f>
        <v>140.25137331680051</v>
      </c>
      <c r="X356" s="125">
        <f>IF(tech_base!$T12&gt;X$345,"",X636+X916+X1196)</f>
        <v>140.39901434505299</v>
      </c>
      <c r="Y356" s="125">
        <f>IF(tech_base!$T12&gt;Y$345,"",Y636+Y916+Y1196)</f>
        <v>140.56978732207321</v>
      </c>
      <c r="Z356" s="125">
        <f>IF(tech_base!$T12&gt;Z$345,"",Z636+Z916+Z1196)</f>
        <v>141.61750241013632</v>
      </c>
      <c r="AA356" s="125">
        <f>IF(tech_base!$T12&gt;AA$345,"",AA636+AA916+AA1196)</f>
        <v>142.64332263371162</v>
      </c>
      <c r="AB356" s="125">
        <f>IF(tech_base!$T12&gt;AB$345,"",AB636+AB916+AB1196)</f>
        <v>143.68385665123006</v>
      </c>
      <c r="AC356" s="125">
        <f>IF(tech_base!$T12&gt;AC$345,"",AC636+AC916+AC1196)</f>
        <v>144.70546709110701</v>
      </c>
      <c r="AD356" s="125">
        <f>IF(tech_base!$T12&gt;AD$345,"",AD636+AD916+AD1196)</f>
        <v>145.80445559748722</v>
      </c>
      <c r="AE356" s="125">
        <f>IF(tech_base!$T12&gt;AE$345,"",AE636+AE916+AE1196)</f>
        <v>145.93470486413781</v>
      </c>
      <c r="AF356" s="125">
        <f>IF(tech_base!$T12&gt;AF$345,"",AF636+AF916+AF1196)</f>
        <v>146.14667861874744</v>
      </c>
      <c r="AG356" s="125">
        <f>IF(tech_base!$T12&gt;AG$345,"",AG636+AG916+AG1196)</f>
        <v>146.31983480102636</v>
      </c>
      <c r="AH356" s="125">
        <f>IF(tech_base!$T12&gt;AH$345,"",AH636+AH916+AH1196)</f>
        <v>146.38341168632863</v>
      </c>
      <c r="AI356" s="125">
        <f>IF(tech_base!$T12&gt;AI$345,"",AI636+AI916+AI1196)</f>
        <v>146.31501880501159</v>
      </c>
      <c r="AJ356" s="125">
        <f>IF(tech_base!$T12&gt;AJ$345,"",AJ636+AJ916+AJ1196)</f>
        <v>146.01741099500452</v>
      </c>
      <c r="AK356" s="125">
        <f>IF(tech_base!$T12&gt;AK$345,"",AK636+AK916+AK1196)</f>
        <v>145.66231235506805</v>
      </c>
      <c r="AL356" s="125">
        <f>IF(tech_base!$T12&gt;AL$345,"",AL636+AL916+AL1196)</f>
        <v>145.21773520191479</v>
      </c>
      <c r="AM356" s="125">
        <f>IF(tech_base!$T12&gt;AM$345,"",AM636+AM916+AM1196)</f>
        <v>144.66011900466347</v>
      </c>
      <c r="AN356" s="125">
        <f>IF(tech_base!$T12&gt;AN$345,"",AN636+AN916+AN1196)</f>
        <v>143.83785233169471</v>
      </c>
      <c r="AO356" s="125">
        <f>IF(tech_base!$T12&gt;AO$345,"",AO636+AO916+AO1196)</f>
        <v>142.83474452078838</v>
      </c>
      <c r="AP356" s="125">
        <f>IF(tech_base!$T12&gt;AP$345,"",AP636+AP916+AP1196)</f>
        <v>141.64281919016713</v>
      </c>
      <c r="AQ356" s="125">
        <f>IF(tech_base!$T12&gt;AQ$345,"",AQ636+AQ916+AQ1196)</f>
        <v>140.26516804742843</v>
      </c>
      <c r="AR356" s="125">
        <f>IF(tech_base!$T12&gt;AR$345,"",AR636+AR916+AR1196)</f>
        <v>138.74255151979858</v>
      </c>
      <c r="AS356" s="125">
        <f>IF(tech_base!$T12&gt;AS$345,"",AS636+AS916+AS1196)</f>
        <v>137.06740592670388</v>
      </c>
      <c r="AT356" s="125">
        <f>IF(tech_base!$T12&gt;AT$345,"",AT636+AT916+AT1196)</f>
        <v>135.13318875879332</v>
      </c>
      <c r="AU356" s="125">
        <f>IF(tech_base!$T12&gt;AU$345,"",AU636+AU916+AU1196)</f>
        <v>133.21557051209552</v>
      </c>
      <c r="AV356" s="125">
        <f>IF(tech_base!$T12&gt;AV$345,"",AV636+AV916+AV1196)</f>
        <v>131.19864513324598</v>
      </c>
      <c r="AW356" s="125">
        <f>IF(tech_base!$T12&gt;AW$345,"",AW636+AW916+AW1196)</f>
        <v>129.16695753755852</v>
      </c>
      <c r="AX356" s="126">
        <f>IF(tech_base!$T12&gt;AX$345,"",AX636+AX916+AX1196)</f>
        <v>127.28664279850628</v>
      </c>
    </row>
    <row r="357" spans="1:50" x14ac:dyDescent="0.25">
      <c r="A357" s="356"/>
      <c r="B357" s="359"/>
      <c r="C357" s="361" t="s">
        <v>15</v>
      </c>
      <c r="D357" s="58" t="s">
        <v>7</v>
      </c>
      <c r="E357" s="78" t="str">
        <f>A353&amp;"/"&amp;B353&amp;"/"&amp;C357&amp;"/"&amp;D357</f>
        <v>Coal fired power plants/Integrated gasification combined cycle/Electricity only with CCS/L</v>
      </c>
      <c r="F357" s="78" t="str">
        <f>A353</f>
        <v>Coal fired power plants</v>
      </c>
      <c r="G357" s="78" t="str">
        <f>B353</f>
        <v>Integrated gasification combined cycle</v>
      </c>
      <c r="H357" s="78" t="str">
        <f>C357</f>
        <v>Electricity only with CCS</v>
      </c>
      <c r="I357" s="78" t="str">
        <f t="shared" si="357"/>
        <v>L</v>
      </c>
      <c r="J357" s="123" t="str">
        <f>IF(tech_base!$T13&gt;J$345,"",J637+J917+J1197)</f>
        <v/>
      </c>
      <c r="K357" s="123" t="str">
        <f>IF(tech_base!$T13&gt;K$345,"",K637+K917+K1197)</f>
        <v/>
      </c>
      <c r="L357" s="123" t="str">
        <f>IF(tech_base!$T13&gt;L$345,"",L637+L917+L1197)</f>
        <v/>
      </c>
      <c r="M357" s="123" t="str">
        <f>IF(tech_base!$T13&gt;M$345,"",M637+M917+M1197)</f>
        <v/>
      </c>
      <c r="N357" s="123" t="str">
        <f>IF(tech_base!$T13&gt;N$345,"",N637+N917+N1197)</f>
        <v/>
      </c>
      <c r="O357" s="123" t="str">
        <f>IF(tech_base!$T13&gt;O$345,"",O637+O917+O1197)</f>
        <v/>
      </c>
      <c r="P357" s="123" t="str">
        <f>IF(tech_base!$T13&gt;P$345,"",P637+P917+P1197)</f>
        <v/>
      </c>
      <c r="Q357" s="123" t="str">
        <f>IF(tech_base!$T13&gt;Q$345,"",Q637+Q917+Q1197)</f>
        <v/>
      </c>
      <c r="R357" s="123" t="str">
        <f>IF(tech_base!$T13&gt;R$345,"",R637+R917+R1197)</f>
        <v/>
      </c>
      <c r="S357" s="123" t="str">
        <f>IF(tech_base!$T13&gt;S$345,"",S637+S917+S1197)</f>
        <v/>
      </c>
      <c r="T357" s="123" t="str">
        <f>IF(tech_base!$T13&gt;T$345,"",T637+T917+T1197)</f>
        <v/>
      </c>
      <c r="U357" s="123" t="str">
        <f>IF(tech_base!$T13&gt;U$345,"",U637+U917+U1197)</f>
        <v/>
      </c>
      <c r="V357" s="123" t="str">
        <f>IF(tech_base!$T13&gt;V$345,"",V637+V917+V1197)</f>
        <v/>
      </c>
      <c r="W357" s="123" t="str">
        <f>IF(tech_base!$T13&gt;W$345,"",W637+W917+W1197)</f>
        <v/>
      </c>
      <c r="X357" s="123" t="str">
        <f>IF(tech_base!$T13&gt;X$345,"",X637+X917+X1197)</f>
        <v/>
      </c>
      <c r="Y357" s="123" t="str">
        <f>IF(tech_base!$T13&gt;Y$345,"",Y637+Y917+Y1197)</f>
        <v/>
      </c>
      <c r="Z357" s="123" t="str">
        <f>IF(tech_base!$T13&gt;Z$345,"",Z637+Z917+Z1197)</f>
        <v/>
      </c>
      <c r="AA357" s="123" t="str">
        <f>IF(tech_base!$T13&gt;AA$345,"",AA637+AA917+AA1197)</f>
        <v/>
      </c>
      <c r="AB357" s="123" t="str">
        <f>IF(tech_base!$T13&gt;AB$345,"",AB637+AB917+AB1197)</f>
        <v/>
      </c>
      <c r="AC357" s="123" t="str">
        <f>IF(tech_base!$T13&gt;AC$345,"",AC637+AC917+AC1197)</f>
        <v/>
      </c>
      <c r="AD357" s="123" t="str">
        <f>IF(tech_base!$T13&gt;AD$345,"",AD637+AD917+AD1197)</f>
        <v/>
      </c>
      <c r="AE357" s="123">
        <f>IF(tech_base!$T13&gt;AE$345,"",AE637+AE917+AE1197)</f>
        <v>200.97612976949262</v>
      </c>
      <c r="AF357" s="123">
        <f>IF(tech_base!$T13&gt;AF$345,"",AF637+AF917+AF1197)</f>
        <v>201.49304106216559</v>
      </c>
      <c r="AG357" s="123">
        <f>IF(tech_base!$T13&gt;AG$345,"",AG637+AG917+AG1197)</f>
        <v>202.02445202646294</v>
      </c>
      <c r="AH357" s="123">
        <f>IF(tech_base!$T13&gt;AH$345,"",AH637+AH917+AH1197)</f>
        <v>202.50313400988233</v>
      </c>
      <c r="AI357" s="123">
        <f>IF(tech_base!$T13&gt;AI$345,"",AI637+AI917+AI1197)</f>
        <v>202.91426526824105</v>
      </c>
      <c r="AJ357" s="123">
        <f>IF(tech_base!$T13&gt;AJ$345,"",AJ637+AJ917+AJ1197)</f>
        <v>203.16212296446116</v>
      </c>
      <c r="AK357" s="123">
        <f>IF(tech_base!$T13&gt;AK$345,"",AK637+AK917+AK1197)</f>
        <v>203.44064971398933</v>
      </c>
      <c r="AL357" s="123">
        <f>IF(tech_base!$T13&gt;AL$345,"",AL637+AL917+AL1197)</f>
        <v>203.72249089716462</v>
      </c>
      <c r="AM357" s="123">
        <f>IF(tech_base!$T13&gt;AM$345,"",AM637+AM917+AM1197)</f>
        <v>203.9859783689499</v>
      </c>
      <c r="AN357" s="123">
        <f>IF(tech_base!$T13&gt;AN$345,"",AN637+AN917+AN1197)</f>
        <v>204.06433987814154</v>
      </c>
      <c r="AO357" s="123">
        <f>IF(tech_base!$T13&gt;AO$345,"",AO637+AO917+AO1197)</f>
        <v>204.03787385423908</v>
      </c>
      <c r="AP357" s="123">
        <f>IF(tech_base!$T13&gt;AP$345,"",AP637+AP917+AP1197)</f>
        <v>203.87550150969093</v>
      </c>
      <c r="AQ357" s="123">
        <f>IF(tech_base!$T13&gt;AQ$345,"",AQ637+AQ917+AQ1197)</f>
        <v>203.54257410572754</v>
      </c>
      <c r="AR357" s="123">
        <f>IF(tech_base!$T13&gt;AR$345,"",AR637+AR917+AR1197)</f>
        <v>203.02666894361835</v>
      </c>
      <c r="AS357" s="123">
        <f>IF(tech_base!$T13&gt;AS$345,"",AS637+AS917+AS1197)</f>
        <v>202.24032714692328</v>
      </c>
      <c r="AT357" s="123">
        <f>IF(tech_base!$T13&gt;AT$345,"",AT637+AT917+AT1197)</f>
        <v>200.9633968404321</v>
      </c>
      <c r="AU357" s="123">
        <f>IF(tech_base!$T13&gt;AU$345,"",AU637+AU917+AU1197)</f>
        <v>199.38148367078597</v>
      </c>
      <c r="AV357" s="123">
        <f>IF(tech_base!$T13&gt;AV$345,"",AV637+AV917+AV1197)</f>
        <v>197.23727841924671</v>
      </c>
      <c r="AW357" s="123">
        <f>IF(tech_base!$T13&gt;AW$345,"",AW637+AW917+AW1197)</f>
        <v>194.50498238024224</v>
      </c>
      <c r="AX357" s="124">
        <f>IF(tech_base!$T13&gt;AX$345,"",AX637+AX917+AX1197)</f>
        <v>191.28340809289023</v>
      </c>
    </row>
    <row r="358" spans="1:50" x14ac:dyDescent="0.25">
      <c r="A358" s="356"/>
      <c r="B358" s="359"/>
      <c r="C358" s="379"/>
      <c r="D358" s="59" t="s">
        <v>8</v>
      </c>
      <c r="E358" s="79" t="str">
        <f>A353&amp;"/"&amp;B353&amp;"/"&amp;C357&amp;"/"&amp;D358</f>
        <v>Coal fired power plants/Integrated gasification combined cycle/Electricity only with CCS/M</v>
      </c>
      <c r="F358" s="79" t="str">
        <f>A353</f>
        <v>Coal fired power plants</v>
      </c>
      <c r="G358" s="79" t="str">
        <f>B353</f>
        <v>Integrated gasification combined cycle</v>
      </c>
      <c r="H358" s="79" t="str">
        <f>C357</f>
        <v>Electricity only with CCS</v>
      </c>
      <c r="I358" s="79" t="str">
        <f t="shared" si="357"/>
        <v>M</v>
      </c>
      <c r="J358" s="125" t="str">
        <f>IF(tech_base!$T14&gt;J$345,"",J638+J918+J1198)</f>
        <v/>
      </c>
      <c r="K358" s="125" t="str">
        <f>IF(tech_base!$T14&gt;K$345,"",K638+K918+K1198)</f>
        <v/>
      </c>
      <c r="L358" s="125" t="str">
        <f>IF(tech_base!$T14&gt;L$345,"",L638+L918+L1198)</f>
        <v/>
      </c>
      <c r="M358" s="125" t="str">
        <f>IF(tech_base!$T14&gt;M$345,"",M638+M918+M1198)</f>
        <v/>
      </c>
      <c r="N358" s="125" t="str">
        <f>IF(tech_base!$T14&gt;N$345,"",N638+N918+N1198)</f>
        <v/>
      </c>
      <c r="O358" s="125" t="str">
        <f>IF(tech_base!$T14&gt;O$345,"",O638+O918+O1198)</f>
        <v/>
      </c>
      <c r="P358" s="125" t="str">
        <f>IF(tech_base!$T14&gt;P$345,"",P638+P918+P1198)</f>
        <v/>
      </c>
      <c r="Q358" s="125" t="str">
        <f>IF(tech_base!$T14&gt;Q$345,"",Q638+Q918+Q1198)</f>
        <v/>
      </c>
      <c r="R358" s="125" t="str">
        <f>IF(tech_base!$T14&gt;R$345,"",R638+R918+R1198)</f>
        <v/>
      </c>
      <c r="S358" s="125" t="str">
        <f>IF(tech_base!$T14&gt;S$345,"",S638+S918+S1198)</f>
        <v/>
      </c>
      <c r="T358" s="125" t="str">
        <f>IF(tech_base!$T14&gt;T$345,"",T638+T918+T1198)</f>
        <v/>
      </c>
      <c r="U358" s="125" t="str">
        <f>IF(tech_base!$T14&gt;U$345,"",U638+U918+U1198)</f>
        <v/>
      </c>
      <c r="V358" s="125" t="str">
        <f>IF(tech_base!$T14&gt;V$345,"",V638+V918+V1198)</f>
        <v/>
      </c>
      <c r="W358" s="125" t="str">
        <f>IF(tech_base!$T14&gt;W$345,"",W638+W918+W1198)</f>
        <v/>
      </c>
      <c r="X358" s="125" t="str">
        <f>IF(tech_base!$T14&gt;X$345,"",X638+X918+X1198)</f>
        <v/>
      </c>
      <c r="Y358" s="125" t="str">
        <f>IF(tech_base!$T14&gt;Y$345,"",Y638+Y918+Y1198)</f>
        <v/>
      </c>
      <c r="Z358" s="125" t="str">
        <f>IF(tech_base!$T14&gt;Z$345,"",Z638+Z918+Z1198)</f>
        <v/>
      </c>
      <c r="AA358" s="125" t="str">
        <f>IF(tech_base!$T14&gt;AA$345,"",AA638+AA918+AA1198)</f>
        <v/>
      </c>
      <c r="AB358" s="125" t="str">
        <f>IF(tech_base!$T14&gt;AB$345,"",AB638+AB918+AB1198)</f>
        <v/>
      </c>
      <c r="AC358" s="125" t="str">
        <f>IF(tech_base!$T14&gt;AC$345,"",AC638+AC918+AC1198)</f>
        <v/>
      </c>
      <c r="AD358" s="125" t="str">
        <f>IF(tech_base!$T14&gt;AD$345,"",AD638+AD918+AD1198)</f>
        <v/>
      </c>
      <c r="AE358" s="125">
        <f>IF(tech_base!$T14&gt;AE$345,"",AE638+AE918+AE1198)</f>
        <v>216.4699651909913</v>
      </c>
      <c r="AF358" s="125">
        <f>IF(tech_base!$T14&gt;AF$345,"",AF638+AF918+AF1198)</f>
        <v>217.0342965930019</v>
      </c>
      <c r="AG358" s="125">
        <f>IF(tech_base!$T14&gt;AG$345,"",AG638+AG918+AG1198)</f>
        <v>217.61803914499131</v>
      </c>
      <c r="AH358" s="125">
        <f>IF(tech_base!$T14&gt;AH$345,"",AH638+AH918+AH1198)</f>
        <v>218.15059755622332</v>
      </c>
      <c r="AI358" s="125">
        <f>IF(tech_base!$T14&gt;AI$345,"",AI638+AI918+AI1198)</f>
        <v>218.61728964424086</v>
      </c>
      <c r="AJ358" s="125">
        <f>IF(tech_base!$T14&gt;AJ$345,"",AJ638+AJ918+AJ1198)</f>
        <v>218.91742213874875</v>
      </c>
      <c r="AK358" s="125">
        <f>IF(tech_base!$T14&gt;AK$345,"",AK638+AK918+AK1198)</f>
        <v>219.25865702441789</v>
      </c>
      <c r="AL358" s="125">
        <f>IF(tech_base!$T14&gt;AL$345,"",AL638+AL918+AL1198)</f>
        <v>219.61298673430181</v>
      </c>
      <c r="AM358" s="125">
        <f>IF(tech_base!$T14&gt;AM$345,"",AM638+AM918+AM1198)</f>
        <v>219.95803181983143</v>
      </c>
      <c r="AN358" s="125">
        <f>IF(tech_base!$T14&gt;AN$345,"",AN638+AN918+AN1198)</f>
        <v>220.1159759952136</v>
      </c>
      <c r="AO358" s="125">
        <f>IF(tech_base!$T14&gt;AO$345,"",AO638+AO918+AO1198)</f>
        <v>220.17036378475436</v>
      </c>
      <c r="AP358" s="125">
        <f>IF(tech_base!$T14&gt;AP$345,"",AP638+AP918+AP1198)</f>
        <v>220.08327292752807</v>
      </c>
      <c r="AQ358" s="125">
        <f>IF(tech_base!$T14&gt;AQ$345,"",AQ638+AQ918+AQ1198)</f>
        <v>219.80838412687271</v>
      </c>
      <c r="AR358" s="125">
        <f>IF(tech_base!$T14&gt;AR$345,"",AR638+AR918+AR1198)</f>
        <v>219.31619392528569</v>
      </c>
      <c r="AS358" s="125">
        <f>IF(tech_base!$T14&gt;AS$345,"",AS638+AS918+AS1198)</f>
        <v>218.48769005129611</v>
      </c>
      <c r="AT358" s="125">
        <f>IF(tech_base!$T14&gt;AT$345,"",AT638+AT918+AT1198)</f>
        <v>217.05041471438128</v>
      </c>
      <c r="AU358" s="125">
        <f>IF(tech_base!$T14&gt;AU$345,"",AU638+AU918+AU1198)</f>
        <v>215.15144184355009</v>
      </c>
      <c r="AV358" s="125">
        <f>IF(tech_base!$T14&gt;AV$345,"",AV638+AV918+AV1198)</f>
        <v>212.45652707987023</v>
      </c>
      <c r="AW358" s="125">
        <f>IF(tech_base!$T14&gt;AW$345,"",AW638+AW918+AW1198)</f>
        <v>208.87995420990353</v>
      </c>
      <c r="AX358" s="126">
        <f>IF(tech_base!$T14&gt;AX$345,"",AX638+AX918+AX1198)</f>
        <v>204.49147514989585</v>
      </c>
    </row>
    <row r="359" spans="1:50" x14ac:dyDescent="0.25">
      <c r="A359" s="356"/>
      <c r="B359" s="359"/>
      <c r="C359" s="361" t="s">
        <v>16</v>
      </c>
      <c r="D359" s="2" t="s">
        <v>7</v>
      </c>
      <c r="E359" s="76" t="str">
        <f>A353&amp;"/"&amp;B353&amp;"/"&amp;C359&amp;"/"&amp;D359</f>
        <v>Coal fired power plants/Integrated gasification combined cycle/CHP with CCS/L</v>
      </c>
      <c r="F359" s="76" t="str">
        <f>A353</f>
        <v>Coal fired power plants</v>
      </c>
      <c r="G359" s="76" t="str">
        <f>B353</f>
        <v>Integrated gasification combined cycle</v>
      </c>
      <c r="H359" s="76" t="str">
        <f>C359</f>
        <v>CHP with CCS</v>
      </c>
      <c r="I359" s="76" t="str">
        <f t="shared" si="357"/>
        <v>L</v>
      </c>
      <c r="J359" s="119" t="str">
        <f>IF(tech_base!$T15&gt;J$345,"",J639+J919+J1199)</f>
        <v/>
      </c>
      <c r="K359" s="119" t="str">
        <f>IF(tech_base!$T15&gt;K$345,"",K639+K919+K1199)</f>
        <v/>
      </c>
      <c r="L359" s="119" t="str">
        <f>IF(tech_base!$T15&gt;L$345,"",L639+L919+L1199)</f>
        <v/>
      </c>
      <c r="M359" s="119" t="str">
        <f>IF(tech_base!$T15&gt;M$345,"",M639+M919+M1199)</f>
        <v/>
      </c>
      <c r="N359" s="119" t="str">
        <f>IF(tech_base!$T15&gt;N$345,"",N639+N919+N1199)</f>
        <v/>
      </c>
      <c r="O359" s="119" t="str">
        <f>IF(tech_base!$T15&gt;O$345,"",O639+O919+O1199)</f>
        <v/>
      </c>
      <c r="P359" s="119" t="str">
        <f>IF(tech_base!$T15&gt;P$345,"",P639+P919+P1199)</f>
        <v/>
      </c>
      <c r="Q359" s="119" t="str">
        <f>IF(tech_base!$T15&gt;Q$345,"",Q639+Q919+Q1199)</f>
        <v/>
      </c>
      <c r="R359" s="119" t="str">
        <f>IF(tech_base!$T15&gt;R$345,"",R639+R919+R1199)</f>
        <v/>
      </c>
      <c r="S359" s="119" t="str">
        <f>IF(tech_base!$T15&gt;S$345,"",S639+S919+S1199)</f>
        <v/>
      </c>
      <c r="T359" s="119" t="str">
        <f>IF(tech_base!$T15&gt;T$345,"",T639+T919+T1199)</f>
        <v/>
      </c>
      <c r="U359" s="119" t="str">
        <f>IF(tech_base!$T15&gt;U$345,"",U639+U919+U1199)</f>
        <v/>
      </c>
      <c r="V359" s="119" t="str">
        <f>IF(tech_base!$T15&gt;V$345,"",V639+V919+V1199)</f>
        <v/>
      </c>
      <c r="W359" s="119" t="str">
        <f>IF(tech_base!$T15&gt;W$345,"",W639+W919+W1199)</f>
        <v/>
      </c>
      <c r="X359" s="119" t="str">
        <f>IF(tech_base!$T15&gt;X$345,"",X639+X919+X1199)</f>
        <v/>
      </c>
      <c r="Y359" s="119" t="str">
        <f>IF(tech_base!$T15&gt;Y$345,"",Y639+Y919+Y1199)</f>
        <v/>
      </c>
      <c r="Z359" s="119" t="str">
        <f>IF(tech_base!$T15&gt;Z$345,"",Z639+Z919+Z1199)</f>
        <v/>
      </c>
      <c r="AA359" s="119" t="str">
        <f>IF(tech_base!$T15&gt;AA$345,"",AA639+AA919+AA1199)</f>
        <v/>
      </c>
      <c r="AB359" s="119" t="str">
        <f>IF(tech_base!$T15&gt;AB$345,"",AB639+AB919+AB1199)</f>
        <v/>
      </c>
      <c r="AC359" s="119" t="str">
        <f>IF(tech_base!$T15&gt;AC$345,"",AC639+AC919+AC1199)</f>
        <v/>
      </c>
      <c r="AD359" s="119" t="str">
        <f>IF(tech_base!$T15&gt;AD$345,"",AD639+AD919+AD1199)</f>
        <v/>
      </c>
      <c r="AE359" s="119">
        <f>IF(tech_base!$T15&gt;AE$345,"",AE639+AE919+AE1199)</f>
        <v>227.24595585194609</v>
      </c>
      <c r="AF359" s="119">
        <f>IF(tech_base!$T15&gt;AF$345,"",AF639+AF919+AF1199)</f>
        <v>227.83181126781147</v>
      </c>
      <c r="AG359" s="119">
        <f>IF(tech_base!$T15&gt;AG$345,"",AG639+AG919+AG1199)</f>
        <v>228.43465617710768</v>
      </c>
      <c r="AH359" s="119">
        <f>IF(tech_base!$T15&gt;AH$345,"",AH639+AH919+AH1199)</f>
        <v>228.97872890503561</v>
      </c>
      <c r="AI359" s="119">
        <f>IF(tech_base!$T15&gt;AI$345,"",AI639+AI919+AI1199)</f>
        <v>229.44756197899318</v>
      </c>
      <c r="AJ359" s="119">
        <f>IF(tech_base!$T15&gt;AJ$345,"",AJ639+AJ919+AJ1199)</f>
        <v>229.73335896146446</v>
      </c>
      <c r="AK359" s="119">
        <f>IF(tech_base!$T15&gt;AK$345,"",AK639+AK919+AK1199)</f>
        <v>230.05579509409588</v>
      </c>
      <c r="AL359" s="119">
        <f>IF(tech_base!$T15&gt;AL$345,"",AL639+AL919+AL1199)</f>
        <v>230.38463576982298</v>
      </c>
      <c r="AM359" s="119">
        <f>IF(tech_base!$T15&gt;AM$345,"",AM639+AM919+AM1199)</f>
        <v>230.69629531561944</v>
      </c>
      <c r="AN359" s="119">
        <f>IF(tech_base!$T15&gt;AN$345,"",AN639+AN919+AN1199)</f>
        <v>230.80348443245535</v>
      </c>
      <c r="AO359" s="119">
        <f>IF(tech_base!$T15&gt;AO$345,"",AO639+AO919+AO1199)</f>
        <v>230.79850149679851</v>
      </c>
      <c r="AP359" s="119">
        <f>IF(tech_base!$T15&gt;AP$345,"",AP639+AP919+AP1199)</f>
        <v>230.64823320927661</v>
      </c>
      <c r="AQ359" s="119">
        <f>IF(tech_base!$T15&gt;AQ$345,"",AQ639+AQ919+AQ1199)</f>
        <v>230.31608519253862</v>
      </c>
      <c r="AR359" s="119">
        <f>IF(tech_base!$T15&gt;AR$345,"",AR639+AR919+AR1199)</f>
        <v>229.7912295326382</v>
      </c>
      <c r="AS359" s="119">
        <f>IF(tech_base!$T15&gt;AS$345,"",AS639+AS919+AS1199)</f>
        <v>228.97870207777427</v>
      </c>
      <c r="AT359" s="119">
        <f>IF(tech_base!$T15&gt;AT$345,"",AT639+AT919+AT1199)</f>
        <v>227.63410040140184</v>
      </c>
      <c r="AU359" s="119">
        <f>IF(tech_base!$T15&gt;AU$345,"",AU639+AU919+AU1199)</f>
        <v>225.97220950404639</v>
      </c>
      <c r="AV359" s="119">
        <f>IF(tech_base!$T15&gt;AV$345,"",AV639+AV919+AV1199)</f>
        <v>223.7068735937095</v>
      </c>
      <c r="AW359" s="119">
        <f>IF(tech_base!$T15&gt;AW$345,"",AW639+AW919+AW1199)</f>
        <v>220.81274250539968</v>
      </c>
      <c r="AX359" s="120">
        <f>IF(tech_base!$T15&gt;AX$345,"",AX639+AX919+AX1199)</f>
        <v>217.40338219010377</v>
      </c>
    </row>
    <row r="360" spans="1:50" x14ac:dyDescent="0.25">
      <c r="A360" s="356"/>
      <c r="B360" s="362"/>
      <c r="C360" s="381"/>
      <c r="D360" s="4" t="s">
        <v>8</v>
      </c>
      <c r="E360" s="80" t="str">
        <f>A353&amp;"/"&amp;B353&amp;"/"&amp;C359&amp;"/"&amp;D360</f>
        <v>Coal fired power plants/Integrated gasification combined cycle/CHP with CCS/M</v>
      </c>
      <c r="F360" s="80" t="str">
        <f>A353</f>
        <v>Coal fired power plants</v>
      </c>
      <c r="G360" s="80" t="str">
        <f>B353</f>
        <v>Integrated gasification combined cycle</v>
      </c>
      <c r="H360" s="80" t="str">
        <f>C359</f>
        <v>CHP with CCS</v>
      </c>
      <c r="I360" s="80" t="str">
        <f t="shared" si="357"/>
        <v>M</v>
      </c>
      <c r="J360" s="127" t="str">
        <f>IF(tech_base!$T16&gt;J$345,"",J640+J920+J1200)</f>
        <v/>
      </c>
      <c r="K360" s="127" t="str">
        <f>IF(tech_base!$T16&gt;K$345,"",K640+K920+K1200)</f>
        <v/>
      </c>
      <c r="L360" s="127" t="str">
        <f>IF(tech_base!$T16&gt;L$345,"",L640+L920+L1200)</f>
        <v/>
      </c>
      <c r="M360" s="127" t="str">
        <f>IF(tech_base!$T16&gt;M$345,"",M640+M920+M1200)</f>
        <v/>
      </c>
      <c r="N360" s="127" t="str">
        <f>IF(tech_base!$T16&gt;N$345,"",N640+N920+N1200)</f>
        <v/>
      </c>
      <c r="O360" s="127" t="str">
        <f>IF(tech_base!$T16&gt;O$345,"",O640+O920+O1200)</f>
        <v/>
      </c>
      <c r="P360" s="127" t="str">
        <f>IF(tech_base!$T16&gt;P$345,"",P640+P920+P1200)</f>
        <v/>
      </c>
      <c r="Q360" s="127" t="str">
        <f>IF(tech_base!$T16&gt;Q$345,"",Q640+Q920+Q1200)</f>
        <v/>
      </c>
      <c r="R360" s="127" t="str">
        <f>IF(tech_base!$T16&gt;R$345,"",R640+R920+R1200)</f>
        <v/>
      </c>
      <c r="S360" s="127" t="str">
        <f>IF(tech_base!$T16&gt;S$345,"",S640+S920+S1200)</f>
        <v/>
      </c>
      <c r="T360" s="127" t="str">
        <f>IF(tech_base!$T16&gt;T$345,"",T640+T920+T1200)</f>
        <v/>
      </c>
      <c r="U360" s="127" t="str">
        <f>IF(tech_base!$T16&gt;U$345,"",U640+U920+U1200)</f>
        <v/>
      </c>
      <c r="V360" s="127" t="str">
        <f>IF(tech_base!$T16&gt;V$345,"",V640+V920+V1200)</f>
        <v/>
      </c>
      <c r="W360" s="127" t="str">
        <f>IF(tech_base!$T16&gt;W$345,"",W640+W920+W1200)</f>
        <v/>
      </c>
      <c r="X360" s="127" t="str">
        <f>IF(tech_base!$T16&gt;X$345,"",X640+X920+X1200)</f>
        <v/>
      </c>
      <c r="Y360" s="127" t="str">
        <f>IF(tech_base!$T16&gt;Y$345,"",Y640+Y920+Y1200)</f>
        <v/>
      </c>
      <c r="Z360" s="127" t="str">
        <f>IF(tech_base!$T16&gt;Z$345,"",Z640+Z920+Z1200)</f>
        <v/>
      </c>
      <c r="AA360" s="127" t="str">
        <f>IF(tech_base!$T16&gt;AA$345,"",AA640+AA920+AA1200)</f>
        <v/>
      </c>
      <c r="AB360" s="127" t="str">
        <f>IF(tech_base!$T16&gt;AB$345,"",AB640+AB920+AB1200)</f>
        <v/>
      </c>
      <c r="AC360" s="127" t="str">
        <f>IF(tech_base!$T16&gt;AC$345,"",AC640+AC920+AC1200)</f>
        <v/>
      </c>
      <c r="AD360" s="127" t="str">
        <f>IF(tech_base!$T16&gt;AD$345,"",AD640+AD920+AD1200)</f>
        <v/>
      </c>
      <c r="AE360" s="127">
        <f>IF(tech_base!$T16&gt;AE$345,"",AE640+AE920+AE1200)</f>
        <v>244.07423698666952</v>
      </c>
      <c r="AF360" s="127">
        <f>IF(tech_base!$T16&gt;AF$345,"",AF640+AF920+AF1200)</f>
        <v>244.71424229015156</v>
      </c>
      <c r="AG360" s="127">
        <f>IF(tech_base!$T16&gt;AG$345,"",AG640+AG920+AG1200)</f>
        <v>245.37671269315732</v>
      </c>
      <c r="AH360" s="127">
        <f>IF(tech_base!$T16&gt;AH$345,"",AH640+AH920+AH1200)</f>
        <v>245.98193787713092</v>
      </c>
      <c r="AI360" s="127">
        <f>IF(tech_base!$T16&gt;AI$345,"",AI640+AI920+AI1200)</f>
        <v>246.51358791995281</v>
      </c>
      <c r="AJ360" s="127">
        <f>IF(tech_base!$T16&gt;AJ$345,"",AJ640+AJ920+AJ1200)</f>
        <v>246.85808445695048</v>
      </c>
      <c r="AK360" s="127">
        <f>IF(tech_base!$T16&gt;AK$345,"",AK640+AK920+AK1200)</f>
        <v>247.25109047146634</v>
      </c>
      <c r="AL360" s="127">
        <f>IF(tech_base!$T16&gt;AL$345,"",AL640+AL920+AL1200)</f>
        <v>247.66172146756494</v>
      </c>
      <c r="AM360" s="127">
        <f>IF(tech_base!$T16&gt;AM$345,"",AM640+AM920+AM1200)</f>
        <v>248.06579742287255</v>
      </c>
      <c r="AN360" s="127">
        <f>IF(tech_base!$T16&gt;AN$345,"",AN640+AN920+AN1200)</f>
        <v>248.26362612604245</v>
      </c>
      <c r="AO360" s="127">
        <f>IF(tech_base!$T16&gt;AO$345,"",AO640+AO920+AO1200)</f>
        <v>248.35202641908731</v>
      </c>
      <c r="AP360" s="127">
        <f>IF(tech_base!$T16&gt;AP$345,"",AP640+AP920+AP1200)</f>
        <v>248.29115409657339</v>
      </c>
      <c r="AQ360" s="127">
        <f>IF(tech_base!$T16&gt;AQ$345,"",AQ640+AQ920+AQ1200)</f>
        <v>248.03277153741914</v>
      </c>
      <c r="AR360" s="127">
        <f>IF(tech_base!$T16&gt;AR$345,"",AR640+AR920+AR1200)</f>
        <v>247.54909864879386</v>
      </c>
      <c r="AS360" s="127">
        <f>IF(tech_base!$T16&gt;AS$345,"",AS640+AS920+AS1200)</f>
        <v>246.71269193556128</v>
      </c>
      <c r="AT360" s="127">
        <f>IF(tech_base!$T16&gt;AT$345,"",AT640+AT920+AT1200)</f>
        <v>245.22408841763394</v>
      </c>
      <c r="AU360" s="127">
        <f>IF(tech_base!$T16&gt;AU$345,"",AU640+AU920+AU1200)</f>
        <v>243.26060996074753</v>
      </c>
      <c r="AV360" s="127">
        <f>IF(tech_base!$T16&gt;AV$345,"",AV640+AV920+AV1200)</f>
        <v>240.45499746229427</v>
      </c>
      <c r="AW360" s="127">
        <f>IF(tech_base!$T16&gt;AW$345,"",AW640+AW920+AW1200)</f>
        <v>236.72009969250729</v>
      </c>
      <c r="AX360" s="128">
        <f>IF(tech_base!$T16&gt;AX$345,"",AX640+AX920+AX1200)</f>
        <v>232.1404048425623</v>
      </c>
    </row>
    <row r="361" spans="1:50" x14ac:dyDescent="0.25">
      <c r="A361" s="356"/>
      <c r="B361" s="358" t="s">
        <v>17</v>
      </c>
      <c r="C361" s="353" t="s">
        <v>6</v>
      </c>
      <c r="D361" s="3" t="s">
        <v>7</v>
      </c>
      <c r="E361" s="77" t="str">
        <f>A353&amp;"/"&amp;B361&amp;"/"&amp;C361&amp;"/"&amp;D361</f>
        <v>Coal fired power plants/Supercritical steam turbine/Electricity only/L</v>
      </c>
      <c r="F361" s="77" t="str">
        <f>A353</f>
        <v>Coal fired power plants</v>
      </c>
      <c r="G361" s="77" t="str">
        <f>B361</f>
        <v>Supercritical steam turbine</v>
      </c>
      <c r="H361" s="77" t="str">
        <f>C361</f>
        <v>Electricity only</v>
      </c>
      <c r="I361" s="77" t="str">
        <f t="shared" si="357"/>
        <v>L</v>
      </c>
      <c r="J361" s="121">
        <f>IF(tech_base!$T17&gt;J$345,"",J641+J921+J1201)</f>
        <v>82.918582510909047</v>
      </c>
      <c r="K361" s="121">
        <f>IF(tech_base!$T17&gt;K$345,"",K641+K921+K1201)</f>
        <v>89.250644286326008</v>
      </c>
      <c r="L361" s="121">
        <f>IF(tech_base!$T17&gt;L$345,"",L641+L921+L1201)</f>
        <v>84.496155268651577</v>
      </c>
      <c r="M361" s="121">
        <f>IF(tech_base!$T17&gt;M$345,"",M641+M921+M1201)</f>
        <v>81.854075466527775</v>
      </c>
      <c r="N361" s="121">
        <f>IF(tech_base!$T17&gt;N$345,"",N641+N921+N1201)</f>
        <v>80.869340118426521</v>
      </c>
      <c r="O361" s="121">
        <f>IF(tech_base!$T17&gt;O$345,"",O641+O921+O1201)</f>
        <v>79.446195108821712</v>
      </c>
      <c r="P361" s="121">
        <f>IF(tech_base!$T17&gt;P$345,"",P641+P921+P1201)</f>
        <v>80.680714494760139</v>
      </c>
      <c r="Q361" s="121">
        <f>IF(tech_base!$T17&gt;Q$345,"",Q641+Q921+Q1201)</f>
        <v>86.990558784234565</v>
      </c>
      <c r="R361" s="121">
        <f>IF(tech_base!$T17&gt;R$345,"",R641+R921+R1201)</f>
        <v>87.142915181369403</v>
      </c>
      <c r="S361" s="121">
        <f>IF(tech_base!$T17&gt;S$345,"",S641+S921+S1201)</f>
        <v>87.28975414831406</v>
      </c>
      <c r="T361" s="121">
        <f>IF(tech_base!$T17&gt;T$345,"",T641+T921+T1201)</f>
        <v>87.43028236163255</v>
      </c>
      <c r="U361" s="121">
        <f>IF(tech_base!$T17&gt;U$345,"",U641+U921+U1201)</f>
        <v>88.081950388661681</v>
      </c>
      <c r="V361" s="121">
        <f>IF(tech_base!$T17&gt;V$345,"",V641+V921+V1201)</f>
        <v>88.066219470030376</v>
      </c>
      <c r="W361" s="121">
        <f>IF(tech_base!$T17&gt;W$345,"",W641+W921+W1201)</f>
        <v>88.000426758120483</v>
      </c>
      <c r="X361" s="121">
        <f>IF(tech_base!$T17&gt;X$345,"",X641+X921+X1201)</f>
        <v>88.124615263306652</v>
      </c>
      <c r="Y361" s="121">
        <f>IF(tech_base!$T17&gt;Y$345,"",Y641+Y921+Y1201)</f>
        <v>88.268477926394098</v>
      </c>
      <c r="Z361" s="121">
        <f>IF(tech_base!$T17&gt;Z$345,"",Z641+Z921+Z1201)</f>
        <v>89.173657653752684</v>
      </c>
      <c r="AA361" s="121">
        <f>IF(tech_base!$T17&gt;AA$345,"",AA641+AA921+AA1201)</f>
        <v>90.05966194134686</v>
      </c>
      <c r="AB361" s="121">
        <f>IF(tech_base!$T17&gt;AB$345,"",AB641+AB921+AB1201)</f>
        <v>90.958728524183869</v>
      </c>
      <c r="AC361" s="121">
        <f>IF(tech_base!$T17&gt;AC$345,"",AC641+AC921+AC1201)</f>
        <v>91.842406036879225</v>
      </c>
      <c r="AD361" s="121">
        <f>IF(tech_base!$T17&gt;AD$345,"",AD641+AD921+AD1201)</f>
        <v>92.795513640296008</v>
      </c>
      <c r="AE361" s="121">
        <f>IF(tech_base!$T17&gt;AE$345,"",AE641+AE921+AE1201)</f>
        <v>92.911994806498981</v>
      </c>
      <c r="AF361" s="121">
        <f>IF(tech_base!$T17&gt;AF$345,"",AF641+AF921+AF1201)</f>
        <v>93.106661678998989</v>
      </c>
      <c r="AG361" s="121">
        <f>IF(tech_base!$T17&gt;AG$345,"",AG641+AG921+AG1201)</f>
        <v>93.279061666237197</v>
      </c>
      <c r="AH361" s="121">
        <f>IF(tech_base!$T17&gt;AH$345,"",AH641+AH921+AH1201)</f>
        <v>93.37372298332059</v>
      </c>
      <c r="AI361" s="121">
        <f>IF(tech_base!$T17&gt;AI$345,"",AI641+AI921+AI1201)</f>
        <v>93.379382247628826</v>
      </c>
      <c r="AJ361" s="121">
        <f>IF(tech_base!$T17&gt;AJ$345,"",AJ641+AJ921+AJ1201)</f>
        <v>93.222579322828977</v>
      </c>
      <c r="AK361" s="121">
        <f>IF(tech_base!$T17&gt;AK$345,"",AK641+AK921+AK1201)</f>
        <v>93.066259375070359</v>
      </c>
      <c r="AL361" s="121">
        <f>IF(tech_base!$T17&gt;AL$345,"",AL641+AL921+AL1201)</f>
        <v>92.900062569204579</v>
      </c>
      <c r="AM361" s="121">
        <f>IF(tech_base!$T17&gt;AM$345,"",AM641+AM921+AM1201)</f>
        <v>92.724189643063653</v>
      </c>
      <c r="AN361" s="121">
        <f>IF(tech_base!$T17&gt;AN$345,"",AN641+AN921+AN1201)</f>
        <v>92.430136135666899</v>
      </c>
      <c r="AO361" s="121">
        <f>IF(tech_base!$T17&gt;AO$345,"",AO641+AO921+AO1201)</f>
        <v>92.114569310582482</v>
      </c>
      <c r="AP361" s="121">
        <f>IF(tech_base!$T17&gt;AP$345,"",AP641+AP921+AP1201)</f>
        <v>91.793076257511615</v>
      </c>
      <c r="AQ361" s="121">
        <f>IF(tech_base!$T17&gt;AQ$345,"",AQ641+AQ921+AQ1201)</f>
        <v>91.486295349156322</v>
      </c>
      <c r="AR361" s="121">
        <f>IF(tech_base!$T17&gt;AR$345,"",AR641+AR921+AR1201)</f>
        <v>91.239754100191519</v>
      </c>
      <c r="AS361" s="121">
        <f>IF(tech_base!$T17&gt;AS$345,"",AS641+AS921+AS1201)</f>
        <v>91.04549773282902</v>
      </c>
      <c r="AT361" s="121">
        <f>IF(tech_base!$T17&gt;AT$345,"",AT641+AT921+AT1201)</f>
        <v>90.794137343234496</v>
      </c>
      <c r="AU361" s="121">
        <f>IF(tech_base!$T17&gt;AU$345,"",AU641+AU921+AU1201)</f>
        <v>90.698503841995546</v>
      </c>
      <c r="AV361" s="121">
        <f>IF(tech_base!$T17&gt;AV$345,"",AV641+AV921+AV1201)</f>
        <v>90.613365729755685</v>
      </c>
      <c r="AW361" s="121">
        <f>IF(tech_base!$T17&gt;AW$345,"",AW641+AW921+AW1201)</f>
        <v>90.560810960616209</v>
      </c>
      <c r="AX361" s="122">
        <f>IF(tech_base!$T17&gt;AX$345,"",AX641+AX921+AX1201)</f>
        <v>90.633135130822154</v>
      </c>
    </row>
    <row r="362" spans="1:50" x14ac:dyDescent="0.25">
      <c r="A362" s="356"/>
      <c r="B362" s="376"/>
      <c r="C362" s="379"/>
      <c r="D362" s="2" t="s">
        <v>8</v>
      </c>
      <c r="E362" s="76" t="str">
        <f>A353&amp;"/"&amp;B361&amp;"/"&amp;C361&amp;"/"&amp;D362</f>
        <v>Coal fired power plants/Supercritical steam turbine/Electricity only/M</v>
      </c>
      <c r="F362" s="76" t="str">
        <f>A353</f>
        <v>Coal fired power plants</v>
      </c>
      <c r="G362" s="76" t="str">
        <f>B361</f>
        <v>Supercritical steam turbine</v>
      </c>
      <c r="H362" s="76" t="str">
        <f>C361</f>
        <v>Electricity only</v>
      </c>
      <c r="I362" s="76" t="str">
        <f t="shared" si="357"/>
        <v>M</v>
      </c>
      <c r="J362" s="119">
        <f>IF(tech_base!$T18&gt;J$345,"",J642+J922+J1202)</f>
        <v>89.597921139643745</v>
      </c>
      <c r="K362" s="119">
        <f>IF(tech_base!$T18&gt;K$345,"",K642+K922+K1202)</f>
        <v>96.260301005900729</v>
      </c>
      <c r="L362" s="119">
        <f>IF(tech_base!$T18&gt;L$345,"",L642+L922+L1202)</f>
        <v>91.250642075721487</v>
      </c>
      <c r="M362" s="119">
        <f>IF(tech_base!$T18&gt;M$345,"",M642+M922+M1202)</f>
        <v>88.464273030272892</v>
      </c>
      <c r="N362" s="119">
        <f>IF(tech_base!$T18&gt;N$345,"",N642+N922+N1202)</f>
        <v>87.421967067849465</v>
      </c>
      <c r="O362" s="119">
        <f>IF(tech_base!$T18&gt;O$345,"",O642+O922+O1202)</f>
        <v>85.91738210708111</v>
      </c>
      <c r="P362" s="119">
        <f>IF(tech_base!$T18&gt;P$345,"",P642+P922+P1202)</f>
        <v>87.209556960950209</v>
      </c>
      <c r="Q362" s="119">
        <f>IF(tech_base!$T18&gt;Q$345,"",Q642+Q922+Q1202)</f>
        <v>93.843049386369131</v>
      </c>
      <c r="R362" s="119">
        <f>IF(tech_base!$T18&gt;R$345,"",R642+R922+R1202)</f>
        <v>93.9936916837149</v>
      </c>
      <c r="S362" s="119">
        <f>IF(tech_base!$T18&gt;S$345,"",S642+S922+S1202)</f>
        <v>94.137265674586786</v>
      </c>
      <c r="T362" s="119">
        <f>IF(tech_base!$T18&gt;T$345,"",T642+T922+T1202)</f>
        <v>94.27283348915509</v>
      </c>
      <c r="U362" s="119">
        <f>IF(tech_base!$T18&gt;U$345,"",U642+U922+U1202)</f>
        <v>94.944898997948926</v>
      </c>
      <c r="V362" s="119">
        <f>IF(tech_base!$T18&gt;V$345,"",V642+V922+V1202)</f>
        <v>94.913002728740111</v>
      </c>
      <c r="W362" s="119">
        <f>IF(tech_base!$T18&gt;W$345,"",W642+W922+W1202)</f>
        <v>94.826858973389307</v>
      </c>
      <c r="X362" s="119">
        <f>IF(tech_base!$T18&gt;X$345,"",X642+X922+X1202)</f>
        <v>94.939065088526945</v>
      </c>
      <c r="Y362" s="119">
        <f>IF(tech_base!$T18&gt;Y$345,"",Y642+Y922+Y1202)</f>
        <v>95.070428655689341</v>
      </c>
      <c r="Z362" s="119">
        <f>IF(tech_base!$T18&gt;Z$345,"",Z642+Z922+Z1202)</f>
        <v>96.001379247187998</v>
      </c>
      <c r="AA362" s="119">
        <f>IF(tech_base!$T18&gt;AA$345,"",AA642+AA922+AA1202)</f>
        <v>96.910802136732855</v>
      </c>
      <c r="AB362" s="119">
        <f>IF(tech_base!$T18&gt;AB$345,"",AB642+AB922+AB1202)</f>
        <v>97.832898763463305</v>
      </c>
      <c r="AC362" s="119">
        <f>IF(tech_base!$T18&gt;AC$345,"",AC642+AC922+AC1202)</f>
        <v>98.738124036209129</v>
      </c>
      <c r="AD362" s="119">
        <f>IF(tech_base!$T18&gt;AD$345,"",AD642+AD922+AD1202)</f>
        <v>99.716184570205826</v>
      </c>
      <c r="AE362" s="119">
        <f>IF(tech_base!$T18&gt;AE$345,"",AE642+AE922+AE1202)</f>
        <v>99.814631311317314</v>
      </c>
      <c r="AF362" s="119">
        <f>IF(tech_base!$T18&gt;AF$345,"",AF642+AF922+AF1202)</f>
        <v>99.996327959189585</v>
      </c>
      <c r="AG362" s="119">
        <f>IF(tech_base!$T18&gt;AG$345,"",AG642+AG922+AG1202)</f>
        <v>100.15607904640081</v>
      </c>
      <c r="AH362" s="119">
        <f>IF(tech_base!$T18&gt;AH$345,"",AH642+AH922+AH1202)</f>
        <v>100.23576989258484</v>
      </c>
      <c r="AI362" s="119">
        <f>IF(tech_base!$T18&gt;AI$345,"",AI642+AI922+AI1202)</f>
        <v>100.2233333279825</v>
      </c>
      <c r="AJ362" s="119">
        <f>IF(tech_base!$T18&gt;AJ$345,"",AJ642+AJ922+AJ1202)</f>
        <v>100.04059393719928</v>
      </c>
      <c r="AK362" s="119">
        <f>IF(tech_base!$T18&gt;AK$345,"",AK642+AK922+AK1202)</f>
        <v>99.857023303597884</v>
      </c>
      <c r="AL362" s="119">
        <f>IF(tech_base!$T18&gt;AL$345,"",AL642+AL922+AL1202)</f>
        <v>99.658657841933831</v>
      </c>
      <c r="AM362" s="119">
        <f>IF(tech_base!$T18&gt;AM$345,"",AM642+AM922+AM1202)</f>
        <v>99.441366172465933</v>
      </c>
      <c r="AN362" s="119">
        <f>IF(tech_base!$T18&gt;AN$345,"",AN642+AN922+AN1202)</f>
        <v>99.085574321989881</v>
      </c>
      <c r="AO362" s="119">
        <f>IF(tech_base!$T18&gt;AO$345,"",AO642+AO922+AO1202)</f>
        <v>98.686750684274003</v>
      </c>
      <c r="AP362" s="119">
        <f>IF(tech_base!$T18&gt;AP$345,"",AP642+AP922+AP1202)</f>
        <v>98.25514841214914</v>
      </c>
      <c r="AQ362" s="119">
        <f>IF(tech_base!$T18&gt;AQ$345,"",AQ642+AQ922+AQ1202)</f>
        <v>97.80737659657828</v>
      </c>
      <c r="AR362" s="119">
        <f>IF(tech_base!$T18&gt;AR$345,"",AR642+AR922+AR1202)</f>
        <v>97.388276546980734</v>
      </c>
      <c r="AS362" s="119">
        <f>IF(tech_base!$T18&gt;AS$345,"",AS642+AS922+AS1202)</f>
        <v>96.989452585160478</v>
      </c>
      <c r="AT362" s="119">
        <f>IF(tech_base!$T18&gt;AT$345,"",AT642+AT922+AT1202)</f>
        <v>96.499580576613539</v>
      </c>
      <c r="AU362" s="119">
        <f>IF(tech_base!$T18&gt;AU$345,"",AU642+AU922+AU1202)</f>
        <v>96.148414933270715</v>
      </c>
      <c r="AV362" s="119">
        <f>IF(tech_base!$T18&gt;AV$345,"",AV642+AV922+AV1202)</f>
        <v>95.79259160972012</v>
      </c>
      <c r="AW362" s="119">
        <f>IF(tech_base!$T18&gt;AW$345,"",AW642+AW922+AW1202)</f>
        <v>95.465372972179523</v>
      </c>
      <c r="AX362" s="120">
        <f>IF(tech_base!$T18&gt;AX$345,"",AX642+AX922+AX1202)</f>
        <v>95.2730598408547</v>
      </c>
    </row>
    <row r="363" spans="1:50" x14ac:dyDescent="0.25">
      <c r="A363" s="356"/>
      <c r="B363" s="376"/>
      <c r="C363" s="361" t="s">
        <v>14</v>
      </c>
      <c r="D363" s="58" t="s">
        <v>7</v>
      </c>
      <c r="E363" s="78" t="str">
        <f>A353&amp;"/"&amp;B361&amp;"/"&amp;C363&amp;"/"&amp;D363</f>
        <v>Coal fired power plants/Supercritical steam turbine/CHP/L</v>
      </c>
      <c r="F363" s="78" t="str">
        <f>A353</f>
        <v>Coal fired power plants</v>
      </c>
      <c r="G363" s="78" t="str">
        <f>B361</f>
        <v>Supercritical steam turbine</v>
      </c>
      <c r="H363" s="78" t="str">
        <f>C363</f>
        <v>CHP</v>
      </c>
      <c r="I363" s="78" t="str">
        <f t="shared" si="357"/>
        <v>L</v>
      </c>
      <c r="J363" s="123">
        <f>IF(tech_base!$T19&gt;J$345,"",J643+J923+J1203)</f>
        <v>99.299793219507308</v>
      </c>
      <c r="K363" s="123">
        <f>IF(tech_base!$T19&gt;K$345,"",K643+K923+K1203)</f>
        <v>106.30212211873521</v>
      </c>
      <c r="L363" s="123">
        <f>IF(tech_base!$T19&gt;L$345,"",L643+L923+L1203)</f>
        <v>101.04473956975747</v>
      </c>
      <c r="M363" s="123">
        <f>IF(tech_base!$T19&gt;M$345,"",M643+M923+M1203)</f>
        <v>98.123341617011306</v>
      </c>
      <c r="N363" s="123">
        <f>IF(tech_base!$T19&gt;N$345,"",N643+N923+N1203)</f>
        <v>97.034731619679377</v>
      </c>
      <c r="O363" s="123">
        <f>IF(tech_base!$T19&gt;O$345,"",O643+O923+O1203)</f>
        <v>95.461375579042922</v>
      </c>
      <c r="P363" s="123">
        <f>IF(tech_base!$T19&gt;P$345,"",P643+P923+P1203)</f>
        <v>96.827059658089951</v>
      </c>
      <c r="Q363" s="123">
        <f>IF(tech_base!$T19&gt;Q$345,"",Q643+Q923+Q1203)</f>
        <v>103.80544440494378</v>
      </c>
      <c r="R363" s="123">
        <f>IF(tech_base!$T19&gt;R$345,"",R643+R923+R1203)</f>
        <v>103.97474243006289</v>
      </c>
      <c r="S363" s="123">
        <f>IF(tech_base!$T19&gt;S$345,"",S643+S923+S1203)</f>
        <v>104.13812009502067</v>
      </c>
      <c r="T363" s="123">
        <f>IF(tech_base!$T19&gt;T$345,"",T643+T923+T1203)</f>
        <v>104.29473917922584</v>
      </c>
      <c r="U363" s="123">
        <f>IF(tech_base!$T19&gt;U$345,"",U643+U923+U1203)</f>
        <v>105.01690074204309</v>
      </c>
      <c r="V363" s="123">
        <f>IF(tech_base!$T19&gt;V$345,"",V643+V923+V1203)</f>
        <v>105.00131181799495</v>
      </c>
      <c r="W363" s="123">
        <f>IF(tech_base!$T19&gt;W$345,"",W643+W923+W1203)</f>
        <v>104.93074434234723</v>
      </c>
      <c r="X363" s="123">
        <f>IF(tech_base!$T19&gt;X$345,"",X643+X923+X1203)</f>
        <v>105.07075914839774</v>
      </c>
      <c r="Y363" s="123">
        <f>IF(tech_base!$T19&gt;Y$345,"",Y643+Y923+Y1203)</f>
        <v>105.23310790540233</v>
      </c>
      <c r="Z363" s="123">
        <f>IF(tech_base!$T19&gt;Z$345,"",Z643+Z923+Z1203)</f>
        <v>106.23822502616255</v>
      </c>
      <c r="AA363" s="123">
        <f>IF(tech_base!$T19&gt;AA$345,"",AA643+AA923+AA1203)</f>
        <v>107.22304692581649</v>
      </c>
      <c r="AB363" s="123">
        <f>IF(tech_base!$T19&gt;AB$345,"",AB643+AB923+AB1203)</f>
        <v>108.22341635079417</v>
      </c>
      <c r="AC363" s="123">
        <f>IF(tech_base!$T19&gt;AC$345,"",AC643+AC923+AC1203)</f>
        <v>109.20807520035513</v>
      </c>
      <c r="AD363" s="123">
        <f>IF(tech_base!$T19&gt;AD$345,"",AD643+AD923+AD1203)</f>
        <v>110.27110722667378</v>
      </c>
      <c r="AE363" s="123">
        <f>IF(tech_base!$T19&gt;AE$345,"",AE643+AE923+AE1203)</f>
        <v>110.41025237488739</v>
      </c>
      <c r="AF363" s="123">
        <f>IF(tech_base!$T19&gt;AF$345,"",AF643+AF923+AF1203)</f>
        <v>110.63783799498808</v>
      </c>
      <c r="AG363" s="123">
        <f>IF(tech_base!$T19&gt;AG$345,"",AG643+AG923+AG1203)</f>
        <v>110.84298005339105</v>
      </c>
      <c r="AH363" s="123">
        <f>IF(tech_base!$T19&gt;AH$345,"",AH643+AH923+AH1203)</f>
        <v>110.96451705777261</v>
      </c>
      <c r="AI363" s="123">
        <f>IF(tech_base!$T19&gt;AI$345,"",AI643+AI923+AI1203)</f>
        <v>110.99015524605812</v>
      </c>
      <c r="AJ363" s="123">
        <f>IF(tech_base!$T19&gt;AJ$345,"",AJ643+AJ923+AJ1203)</f>
        <v>110.83863615988984</v>
      </c>
      <c r="AK363" s="123">
        <f>IF(tech_base!$T19&gt;AK$345,"",AK643+AK923+AK1203)</f>
        <v>110.69038876370254</v>
      </c>
      <c r="AL363" s="123">
        <f>IF(tech_base!$T19&gt;AL$345,"",AL643+AL923+AL1203)</f>
        <v>110.53384963185317</v>
      </c>
      <c r="AM363" s="123">
        <f>IF(tech_base!$T19&gt;AM$345,"",AM643+AM923+AM1203)</f>
        <v>110.36897921854415</v>
      </c>
      <c r="AN363" s="123">
        <f>IF(tech_base!$T19&gt;AN$345,"",AN643+AN923+AN1203)</f>
        <v>110.07501267287412</v>
      </c>
      <c r="AO363" s="123">
        <f>IF(tech_base!$T19&gt;AO$345,"",AO643+AO923+AO1203)</f>
        <v>109.7583911550346</v>
      </c>
      <c r="AP363" s="123">
        <f>IF(tech_base!$T19&gt;AP$345,"",AP643+AP923+AP1203)</f>
        <v>109.43556498954872</v>
      </c>
      <c r="AQ363" s="123">
        <f>IF(tech_base!$T19&gt;AQ$345,"",AQ643+AQ923+AQ1203)</f>
        <v>109.12850580549951</v>
      </c>
      <c r="AR363" s="123">
        <f>IF(tech_base!$T19&gt;AR$345,"",AR643+AR923+AR1203)</f>
        <v>108.88683058810727</v>
      </c>
      <c r="AS363" s="123">
        <f>IF(tech_base!$T19&gt;AS$345,"",AS643+AS923+AS1203)</f>
        <v>108.70089911087261</v>
      </c>
      <c r="AT363" s="123">
        <f>IF(tech_base!$T19&gt;AT$345,"",AT643+AT923+AT1203)</f>
        <v>108.44853770881581</v>
      </c>
      <c r="AU363" s="123">
        <f>IF(tech_base!$T19&gt;AU$345,"",AU643+AU923+AU1203)</f>
        <v>108.3657513848695</v>
      </c>
      <c r="AV363" s="123">
        <f>IF(tech_base!$T19&gt;AV$345,"",AV643+AV923+AV1203)</f>
        <v>108.29104923314327</v>
      </c>
      <c r="AW363" s="123">
        <f>IF(tech_base!$T19&gt;AW$345,"",AW643+AW923+AW1203)</f>
        <v>108.24904690120476</v>
      </c>
      <c r="AX363" s="124">
        <f>IF(tech_base!$T19&gt;AX$345,"",AX643+AX923+AX1203)</f>
        <v>108.34262946160933</v>
      </c>
    </row>
    <row r="364" spans="1:50" x14ac:dyDescent="0.25">
      <c r="A364" s="356"/>
      <c r="B364" s="376"/>
      <c r="C364" s="379"/>
      <c r="D364" s="59" t="s">
        <v>8</v>
      </c>
      <c r="E364" s="79" t="str">
        <f>A353&amp;"/"&amp;B361&amp;"/"&amp;C363&amp;"/"&amp;D364</f>
        <v>Coal fired power plants/Supercritical steam turbine/CHP/M</v>
      </c>
      <c r="F364" s="79" t="str">
        <f>A353</f>
        <v>Coal fired power plants</v>
      </c>
      <c r="G364" s="79" t="str">
        <f>B361</f>
        <v>Supercritical steam turbine</v>
      </c>
      <c r="H364" s="79" t="str">
        <f>C363</f>
        <v>CHP</v>
      </c>
      <c r="I364" s="79" t="str">
        <f t="shared" si="357"/>
        <v>M</v>
      </c>
      <c r="J364" s="125">
        <f>IF(tech_base!$T20&gt;J$345,"",J644+J924+J1204)</f>
        <v>106.16850803619255</v>
      </c>
      <c r="K364" s="125">
        <f>IF(tech_base!$T20&gt;K$345,"",K644+K924+K1204)</f>
        <v>113.53814054704803</v>
      </c>
      <c r="L364" s="125">
        <f>IF(tech_base!$T20&gt;L$345,"",L644+L924+L1204)</f>
        <v>107.99699129735102</v>
      </c>
      <c r="M364" s="125">
        <f>IF(tech_base!$T20&gt;M$345,"",M644+M924+M1204)</f>
        <v>104.91510800196002</v>
      </c>
      <c r="N364" s="125">
        <f>IF(tech_base!$T20&gt;N$345,"",N644+N924+N1204)</f>
        <v>103.76242724427118</v>
      </c>
      <c r="O364" s="125">
        <f>IF(tech_base!$T20&gt;O$345,"",O644+O924+O1204)</f>
        <v>102.09843116675309</v>
      </c>
      <c r="P364" s="125">
        <f>IF(tech_base!$T20&gt;P$345,"",P644+P924+P1204)</f>
        <v>103.52813593500431</v>
      </c>
      <c r="Q364" s="125">
        <f>IF(tech_base!$T20&gt;Q$345,"",Q644+Q924+Q1204)</f>
        <v>110.86633892830596</v>
      </c>
      <c r="R364" s="125">
        <f>IF(tech_base!$T20&gt;R$345,"",R644+R924+R1204)</f>
        <v>111.03356222096269</v>
      </c>
      <c r="S364" s="125">
        <f>IF(tech_base!$T20&gt;S$345,"",S644+S924+S1204)</f>
        <v>111.19308117843676</v>
      </c>
      <c r="T364" s="125">
        <f>IF(tech_base!$T20&gt;T$345,"",T644+T924+T1204)</f>
        <v>111.34387967892511</v>
      </c>
      <c r="U364" s="125">
        <f>IF(tech_base!$T20&gt;U$345,"",U644+U924+U1204)</f>
        <v>112.08832896040144</v>
      </c>
      <c r="V364" s="125">
        <f>IF(tech_base!$T20&gt;V$345,"",V644+V924+V1204)</f>
        <v>112.05423482111325</v>
      </c>
      <c r="W364" s="125">
        <f>IF(tech_base!$T20&gt;W$345,"",W644+W924+W1204)</f>
        <v>111.96034827823698</v>
      </c>
      <c r="X364" s="125">
        <f>IF(tech_base!$T20&gt;X$345,"",X644+X924+X1204)</f>
        <v>112.08615454175639</v>
      </c>
      <c r="Y364" s="125">
        <f>IF(tech_base!$T20&gt;Y$345,"",Y644+Y924+Y1204)</f>
        <v>112.23347203483307</v>
      </c>
      <c r="Z364" s="125">
        <f>IF(tech_base!$T20&gt;Z$345,"",Z644+Z924+Z1204)</f>
        <v>113.26581817437128</v>
      </c>
      <c r="AA364" s="125">
        <f>IF(tech_base!$T20&gt;AA$345,"",AA644+AA924+AA1204)</f>
        <v>114.27486730824293</v>
      </c>
      <c r="AB364" s="125">
        <f>IF(tech_base!$T20&gt;AB$345,"",AB644+AB924+AB1204)</f>
        <v>115.29855682775444</v>
      </c>
      <c r="AC364" s="125">
        <f>IF(tech_base!$T20&gt;AC$345,"",AC644+AC924+AC1204)</f>
        <v>116.30430772511562</v>
      </c>
      <c r="AD364" s="125">
        <f>IF(tech_base!$T20&gt;AD$345,"",AD644+AD924+AD1204)</f>
        <v>117.39151877244805</v>
      </c>
      <c r="AE364" s="125">
        <f>IF(tech_base!$T20&gt;AE$345,"",AE644+AE924+AE1204)</f>
        <v>117.50623435730003</v>
      </c>
      <c r="AF364" s="125">
        <f>IF(tech_base!$T20&gt;AF$345,"",AF644+AF924+AF1204)</f>
        <v>117.71408133644172</v>
      </c>
      <c r="AG364" s="125">
        <f>IF(tech_base!$T20&gt;AG$345,"",AG644+AG924+AG1204)</f>
        <v>117.89877739474304</v>
      </c>
      <c r="AH364" s="125">
        <f>IF(tech_base!$T20&gt;AH$345,"",AH644+AH924+AH1204)</f>
        <v>117.99611855167127</v>
      </c>
      <c r="AI364" s="125">
        <f>IF(tech_base!$T20&gt;AI$345,"",AI644+AI924+AI1204)</f>
        <v>117.99284896799799</v>
      </c>
      <c r="AJ364" s="125">
        <f>IF(tech_base!$T20&gt;AJ$345,"",AJ644+AJ924+AJ1204)</f>
        <v>117.80247139814469</v>
      </c>
      <c r="AK364" s="125">
        <f>IF(tech_base!$T20&gt;AK$345,"",AK644+AK924+AK1204)</f>
        <v>117.6127131387407</v>
      </c>
      <c r="AL364" s="125">
        <f>IF(tech_base!$T20&gt;AL$345,"",AL644+AL924+AL1204)</f>
        <v>117.40817062320423</v>
      </c>
      <c r="AM364" s="125">
        <f>IF(tech_base!$T20&gt;AM$345,"",AM644+AM924+AM1204)</f>
        <v>117.18427567365852</v>
      </c>
      <c r="AN364" s="125">
        <f>IF(tech_base!$T20&gt;AN$345,"",AN644+AN924+AN1204)</f>
        <v>116.80842193580429</v>
      </c>
      <c r="AO364" s="125">
        <f>IF(tech_base!$T20&gt;AO$345,"",AO644+AO924+AO1204)</f>
        <v>116.38621995961495</v>
      </c>
      <c r="AP364" s="125">
        <f>IF(tech_base!$T20&gt;AP$345,"",AP644+AP924+AP1204)</f>
        <v>115.92878735051158</v>
      </c>
      <c r="AQ364" s="125">
        <f>IF(tech_base!$T20&gt;AQ$345,"",AQ644+AQ924+AQ1204)</f>
        <v>115.45421614235245</v>
      </c>
      <c r="AR364" s="125">
        <f>IF(tech_base!$T20&gt;AR$345,"",AR644+AR924+AR1204)</f>
        <v>115.01187329910033</v>
      </c>
      <c r="AS364" s="125">
        <f>IF(tech_base!$T20&gt;AS$345,"",AS644+AS924+AS1204)</f>
        <v>114.59202445939221</v>
      </c>
      <c r="AT364" s="125">
        <f>IF(tech_base!$T20&gt;AT$345,"",AT644+AT924+AT1204)</f>
        <v>114.07058666863557</v>
      </c>
      <c r="AU364" s="125">
        <f>IF(tech_base!$T20&gt;AU$345,"",AU644+AU924+AU1204)</f>
        <v>113.70222613168735</v>
      </c>
      <c r="AV364" s="125">
        <f>IF(tech_base!$T20&gt;AV$345,"",AV644+AV924+AV1204)</f>
        <v>113.32734999587781</v>
      </c>
      <c r="AW364" s="125">
        <f>IF(tech_base!$T20&gt;AW$345,"",AW644+AW924+AW1204)</f>
        <v>112.98257532814556</v>
      </c>
      <c r="AX364" s="126">
        <f>IF(tech_base!$T20&gt;AX$345,"",AX644+AX924+AX1204)</f>
        <v>112.7858541292442</v>
      </c>
    </row>
    <row r="365" spans="1:50" x14ac:dyDescent="0.25">
      <c r="A365" s="356"/>
      <c r="B365" s="376"/>
      <c r="C365" s="361" t="s">
        <v>15</v>
      </c>
      <c r="D365" s="58" t="s">
        <v>7</v>
      </c>
      <c r="E365" s="78" t="str">
        <f>A353&amp;"/"&amp;B361&amp;"/"&amp;C365&amp;"/"&amp;D365</f>
        <v>Coal fired power plants/Supercritical steam turbine/Electricity only with CCS/L</v>
      </c>
      <c r="F365" s="78" t="str">
        <f>A353</f>
        <v>Coal fired power plants</v>
      </c>
      <c r="G365" s="78" t="str">
        <f>B361</f>
        <v>Supercritical steam turbine</v>
      </c>
      <c r="H365" s="78" t="str">
        <f>C365</f>
        <v>Electricity only with CCS</v>
      </c>
      <c r="I365" s="78" t="str">
        <f t="shared" si="357"/>
        <v>L</v>
      </c>
      <c r="J365" s="123" t="str">
        <f>IF(tech_base!$T21&gt;J$345,"",J645+J925+J1205)</f>
        <v/>
      </c>
      <c r="K365" s="123" t="str">
        <f>IF(tech_base!$T21&gt;K$345,"",K645+K925+K1205)</f>
        <v/>
      </c>
      <c r="L365" s="123" t="str">
        <f>IF(tech_base!$T21&gt;L$345,"",L645+L925+L1205)</f>
        <v/>
      </c>
      <c r="M365" s="123" t="str">
        <f>IF(tech_base!$T21&gt;M$345,"",M645+M925+M1205)</f>
        <v/>
      </c>
      <c r="N365" s="123" t="str">
        <f>IF(tech_base!$T21&gt;N$345,"",N645+N925+N1205)</f>
        <v/>
      </c>
      <c r="O365" s="123" t="str">
        <f>IF(tech_base!$T21&gt;O$345,"",O645+O925+O1205)</f>
        <v/>
      </c>
      <c r="P365" s="123" t="str">
        <f>IF(tech_base!$T21&gt;P$345,"",P645+P925+P1205)</f>
        <v/>
      </c>
      <c r="Q365" s="123" t="str">
        <f>IF(tech_base!$T21&gt;Q$345,"",Q645+Q925+Q1205)</f>
        <v/>
      </c>
      <c r="R365" s="123" t="str">
        <f>IF(tech_base!$T21&gt;R$345,"",R645+R925+R1205)</f>
        <v/>
      </c>
      <c r="S365" s="123" t="str">
        <f>IF(tech_base!$T21&gt;S$345,"",S645+S925+S1205)</f>
        <v/>
      </c>
      <c r="T365" s="123" t="str">
        <f>IF(tech_base!$T21&gt;T$345,"",T645+T925+T1205)</f>
        <v/>
      </c>
      <c r="U365" s="123" t="str">
        <f>IF(tech_base!$T21&gt;U$345,"",U645+U925+U1205)</f>
        <v/>
      </c>
      <c r="V365" s="123" t="str">
        <f>IF(tech_base!$T21&gt;V$345,"",V645+V925+V1205)</f>
        <v/>
      </c>
      <c r="W365" s="123" t="str">
        <f>IF(tech_base!$T21&gt;W$345,"",W645+W925+W1205)</f>
        <v/>
      </c>
      <c r="X365" s="123" t="str">
        <f>IF(tech_base!$T21&gt;X$345,"",X645+X925+X1205)</f>
        <v/>
      </c>
      <c r="Y365" s="123" t="str">
        <f>IF(tech_base!$T21&gt;Y$345,"",Y645+Y925+Y1205)</f>
        <v/>
      </c>
      <c r="Z365" s="123" t="str">
        <f>IF(tech_base!$T21&gt;Z$345,"",Z645+Z925+Z1205)</f>
        <v/>
      </c>
      <c r="AA365" s="123" t="str">
        <f>IF(tech_base!$T21&gt;AA$345,"",AA645+AA925+AA1205)</f>
        <v/>
      </c>
      <c r="AB365" s="123" t="str">
        <f>IF(tech_base!$T21&gt;AB$345,"",AB645+AB925+AB1205)</f>
        <v/>
      </c>
      <c r="AC365" s="123" t="str">
        <f>IF(tech_base!$T21&gt;AC$345,"",AC645+AC925+AC1205)</f>
        <v/>
      </c>
      <c r="AD365" s="123" t="str">
        <f>IF(tech_base!$T21&gt;AD$345,"",AD645+AD925+AD1205)</f>
        <v/>
      </c>
      <c r="AE365" s="123">
        <f>IF(tech_base!$T21&gt;AE$345,"",AE645+AE925+AE1205)</f>
        <v>182.80534992282134</v>
      </c>
      <c r="AF365" s="123">
        <f>IF(tech_base!$T21&gt;AF$345,"",AF645+AF925+AF1205)</f>
        <v>183.2976895554261</v>
      </c>
      <c r="AG365" s="123">
        <f>IF(tech_base!$T21&gt;AG$345,"",AG645+AG925+AG1205)</f>
        <v>183.80004943061712</v>
      </c>
      <c r="AH365" s="123">
        <f>IF(tech_base!$T21&gt;AH$345,"",AH645+AH925+AH1205)</f>
        <v>184.24363491923265</v>
      </c>
      <c r="AI365" s="123">
        <f>IF(tech_base!$T21&gt;AI$345,"",AI645+AI925+AI1205)</f>
        <v>184.61401741932619</v>
      </c>
      <c r="AJ365" s="123">
        <f>IF(tech_base!$T21&gt;AJ$345,"",AJ645+AJ925+AJ1205)</f>
        <v>184.81450413820363</v>
      </c>
      <c r="AK365" s="123">
        <f>IF(tech_base!$T21&gt;AK$345,"",AK645+AK925+AK1205)</f>
        <v>185.04702404244563</v>
      </c>
      <c r="AL365" s="123">
        <f>IF(tech_base!$T21&gt;AL$345,"",AL645+AL925+AL1205)</f>
        <v>185.28794431578586</v>
      </c>
      <c r="AM365" s="123">
        <f>IF(tech_base!$T21&gt;AM$345,"",AM645+AM925+AM1205)</f>
        <v>185.52188234359735</v>
      </c>
      <c r="AN365" s="123">
        <f>IF(tech_base!$T21&gt;AN$345,"",AN645+AN925+AN1205)</f>
        <v>185.587826081977</v>
      </c>
      <c r="AO365" s="123">
        <f>IF(tech_base!$T21&gt;AO$345,"",AO645+AO925+AO1205)</f>
        <v>185.5828570043536</v>
      </c>
      <c r="AP365" s="123">
        <f>IF(tech_base!$T21&gt;AP$345,"",AP645+AP925+AP1205)</f>
        <v>185.49553366823028</v>
      </c>
      <c r="AQ365" s="123">
        <f>IF(tech_base!$T21&gt;AQ$345,"",AQ645+AQ925+AQ1205)</f>
        <v>185.31806294985773</v>
      </c>
      <c r="AR365" s="123">
        <f>IF(tech_base!$T21&gt;AR$345,"",AR645+AR925+AR1205)</f>
        <v>185.0742108570831</v>
      </c>
      <c r="AS365" s="123">
        <f>IF(tech_base!$T21&gt;AS$345,"",AS645+AS925+AS1205)</f>
        <v>184.72025338733582</v>
      </c>
      <c r="AT365" s="123">
        <f>IF(tech_base!$T21&gt;AT$345,"",AT645+AT925+AT1205)</f>
        <v>184.08482375405742</v>
      </c>
      <c r="AU365" s="123">
        <f>IF(tech_base!$T21&gt;AU$345,"",AU645+AU925+AU1205)</f>
        <v>183.42006583556301</v>
      </c>
      <c r="AV365" s="123">
        <f>IF(tech_base!$T21&gt;AV$345,"",AV645+AV925+AV1205)</f>
        <v>182.52112879098024</v>
      </c>
      <c r="AW365" s="123">
        <f>IF(tech_base!$T21&gt;AW$345,"",AW645+AW925+AW1205)</f>
        <v>181.4080260497982</v>
      </c>
      <c r="AX365" s="124">
        <f>IF(tech_base!$T21&gt;AX$345,"",AX645+AX925+AX1205)</f>
        <v>180.19975789277098</v>
      </c>
    </row>
    <row r="366" spans="1:50" x14ac:dyDescent="0.25">
      <c r="A366" s="356"/>
      <c r="B366" s="376"/>
      <c r="C366" s="379"/>
      <c r="D366" s="59" t="s">
        <v>8</v>
      </c>
      <c r="E366" s="79" t="str">
        <f>A353&amp;"/"&amp;B361&amp;"/"&amp;C365&amp;"/"&amp;D366</f>
        <v>Coal fired power plants/Supercritical steam turbine/Electricity only with CCS/M</v>
      </c>
      <c r="F366" s="79" t="str">
        <f>A353</f>
        <v>Coal fired power plants</v>
      </c>
      <c r="G366" s="79" t="str">
        <f>B361</f>
        <v>Supercritical steam turbine</v>
      </c>
      <c r="H366" s="79" t="str">
        <f>C365</f>
        <v>Electricity only with CCS</v>
      </c>
      <c r="I366" s="79" t="str">
        <f t="shared" si="357"/>
        <v>M</v>
      </c>
      <c r="J366" s="125" t="str">
        <f>IF(tech_base!$T22&gt;J$345,"",J646+J926+J1206)</f>
        <v/>
      </c>
      <c r="K366" s="125" t="str">
        <f>IF(tech_base!$T22&gt;K$345,"",K646+K926+K1206)</f>
        <v/>
      </c>
      <c r="L366" s="125" t="str">
        <f>IF(tech_base!$T22&gt;L$345,"",L646+L926+L1206)</f>
        <v/>
      </c>
      <c r="M366" s="125" t="str">
        <f>IF(tech_base!$T22&gt;M$345,"",M646+M926+M1206)</f>
        <v/>
      </c>
      <c r="N366" s="125" t="str">
        <f>IF(tech_base!$T22&gt;N$345,"",N646+N926+N1206)</f>
        <v/>
      </c>
      <c r="O366" s="125" t="str">
        <f>IF(tech_base!$T22&gt;O$345,"",O646+O926+O1206)</f>
        <v/>
      </c>
      <c r="P366" s="125" t="str">
        <f>IF(tech_base!$T22&gt;P$345,"",P646+P926+P1206)</f>
        <v/>
      </c>
      <c r="Q366" s="125" t="str">
        <f>IF(tech_base!$T22&gt;Q$345,"",Q646+Q926+Q1206)</f>
        <v/>
      </c>
      <c r="R366" s="125" t="str">
        <f>IF(tech_base!$T22&gt;R$345,"",R646+R926+R1206)</f>
        <v/>
      </c>
      <c r="S366" s="125" t="str">
        <f>IF(tech_base!$T22&gt;S$345,"",S646+S926+S1206)</f>
        <v/>
      </c>
      <c r="T366" s="125" t="str">
        <f>IF(tech_base!$T22&gt;T$345,"",T646+T926+T1206)</f>
        <v/>
      </c>
      <c r="U366" s="125" t="str">
        <f>IF(tech_base!$T22&gt;U$345,"",U646+U926+U1206)</f>
        <v/>
      </c>
      <c r="V366" s="125" t="str">
        <f>IF(tech_base!$T22&gt;V$345,"",V646+V926+V1206)</f>
        <v/>
      </c>
      <c r="W366" s="125" t="str">
        <f>IF(tech_base!$T22&gt;W$345,"",W646+W926+W1206)</f>
        <v/>
      </c>
      <c r="X366" s="125" t="str">
        <f>IF(tech_base!$T22&gt;X$345,"",X646+X926+X1206)</f>
        <v/>
      </c>
      <c r="Y366" s="125" t="str">
        <f>IF(tech_base!$T22&gt;Y$345,"",Y646+Y926+Y1206)</f>
        <v/>
      </c>
      <c r="Z366" s="125" t="str">
        <f>IF(tech_base!$T22&gt;Z$345,"",Z646+Z926+Z1206)</f>
        <v/>
      </c>
      <c r="AA366" s="125" t="str">
        <f>IF(tech_base!$T22&gt;AA$345,"",AA646+AA926+AA1206)</f>
        <v/>
      </c>
      <c r="AB366" s="125" t="str">
        <f>IF(tech_base!$T22&gt;AB$345,"",AB646+AB926+AB1206)</f>
        <v/>
      </c>
      <c r="AC366" s="125" t="str">
        <f>IF(tech_base!$T22&gt;AC$345,"",AC646+AC926+AC1206)</f>
        <v/>
      </c>
      <c r="AD366" s="125" t="str">
        <f>IF(tech_base!$T22&gt;AD$345,"",AD646+AD926+AD1206)</f>
        <v/>
      </c>
      <c r="AE366" s="125">
        <f>IF(tech_base!$T22&gt;AE$345,"",AE646+AE926+AE1206)</f>
        <v>197.60956231964923</v>
      </c>
      <c r="AF366" s="125">
        <f>IF(tech_base!$T22&gt;AF$345,"",AF646+AF926+AF1206)</f>
        <v>198.16539089199401</v>
      </c>
      <c r="AG366" s="125">
        <f>IF(tech_base!$T22&gt;AG$345,"",AG646+AG926+AG1206)</f>
        <v>198.73633932129235</v>
      </c>
      <c r="AH366" s="125">
        <f>IF(tech_base!$T22&gt;AH$345,"",AH646+AH926+AH1206)</f>
        <v>199.24937373992825</v>
      </c>
      <c r="AI366" s="125">
        <f>IF(tech_base!$T22&gt;AI$345,"",AI646+AI926+AI1206)</f>
        <v>199.68916294686292</v>
      </c>
      <c r="AJ366" s="125">
        <f>IF(tech_base!$T22&gt;AJ$345,"",AJ646+AJ926+AJ1206)</f>
        <v>199.95247702311798</v>
      </c>
      <c r="AK366" s="125">
        <f>IF(tech_base!$T22&gt;AK$345,"",AK646+AK926+AK1206)</f>
        <v>200.25371456174395</v>
      </c>
      <c r="AL366" s="125">
        <f>IF(tech_base!$T22&gt;AL$345,"",AL646+AL926+AL1206)</f>
        <v>200.5664757622275</v>
      </c>
      <c r="AM366" s="125">
        <f>IF(tech_base!$T22&gt;AM$345,"",AM646+AM926+AM1206)</f>
        <v>200.87231045547338</v>
      </c>
      <c r="AN366" s="125">
        <f>IF(tech_base!$T22&gt;AN$345,"",AN646+AN926+AN1206)</f>
        <v>200.99646354423967</v>
      </c>
      <c r="AO366" s="125">
        <f>IF(tech_base!$T22&gt;AO$345,"",AO646+AO926+AO1206)</f>
        <v>201.03763779651911</v>
      </c>
      <c r="AP366" s="125">
        <f>IF(tech_base!$T22&gt;AP$345,"",AP646+AP926+AP1206)</f>
        <v>200.97701075801879</v>
      </c>
      <c r="AQ366" s="125">
        <f>IF(tech_base!$T22&gt;AQ$345,"",AQ646+AQ926+AQ1206)</f>
        <v>200.79728581430382</v>
      </c>
      <c r="AR366" s="125">
        <f>IF(tech_base!$T22&gt;AR$345,"",AR646+AR926+AR1206)</f>
        <v>200.51203113904782</v>
      </c>
      <c r="AS366" s="125">
        <f>IF(tech_base!$T22&gt;AS$345,"",AS646+AS926+AS1206)</f>
        <v>200.05986242246138</v>
      </c>
      <c r="AT366" s="125">
        <f>IF(tech_base!$T22&gt;AT$345,"",AT646+AT926+AT1206)</f>
        <v>199.24046364654956</v>
      </c>
      <c r="AU366" s="125">
        <f>IF(tech_base!$T22&gt;AU$345,"",AU646+AU926+AU1206)</f>
        <v>198.30248089183129</v>
      </c>
      <c r="AV366" s="125">
        <f>IF(tech_base!$T22&gt;AV$345,"",AV646+AV926+AV1206)</f>
        <v>197.00691776711071</v>
      </c>
      <c r="AW366" s="125">
        <f>IF(tech_base!$T22&gt;AW$345,"",AW646+AW926+AW1206)</f>
        <v>195.35630863923362</v>
      </c>
      <c r="AX366" s="126">
        <f>IF(tech_base!$T22&gt;AX$345,"",AX646+AX926+AX1206)</f>
        <v>193.46414731187917</v>
      </c>
    </row>
    <row r="367" spans="1:50" x14ac:dyDescent="0.25">
      <c r="A367" s="356"/>
      <c r="B367" s="376"/>
      <c r="C367" s="361" t="s">
        <v>16</v>
      </c>
      <c r="D367" s="2" t="s">
        <v>7</v>
      </c>
      <c r="E367" s="76" t="str">
        <f>A353&amp;"/"&amp;B361&amp;"/"&amp;C367&amp;"/"&amp;D367</f>
        <v>Coal fired power plants/Supercritical steam turbine/CHP with CCS/L</v>
      </c>
      <c r="F367" s="76" t="str">
        <f>A353</f>
        <v>Coal fired power plants</v>
      </c>
      <c r="G367" s="76" t="str">
        <f>B361</f>
        <v>Supercritical steam turbine</v>
      </c>
      <c r="H367" s="76" t="str">
        <f>C367</f>
        <v>CHP with CCS</v>
      </c>
      <c r="I367" s="76" t="str">
        <f t="shared" si="357"/>
        <v>L</v>
      </c>
      <c r="J367" s="119" t="str">
        <f>IF(tech_base!$T23&gt;J$345,"",J647+J927+J1207)</f>
        <v/>
      </c>
      <c r="K367" s="119" t="str">
        <f>IF(tech_base!$T23&gt;K$345,"",K647+K927+K1207)</f>
        <v/>
      </c>
      <c r="L367" s="119" t="str">
        <f>IF(tech_base!$T23&gt;L$345,"",L647+L927+L1207)</f>
        <v/>
      </c>
      <c r="M367" s="119" t="str">
        <f>IF(tech_base!$T23&gt;M$345,"",M647+M927+M1207)</f>
        <v/>
      </c>
      <c r="N367" s="119" t="str">
        <f>IF(tech_base!$T23&gt;N$345,"",N647+N927+N1207)</f>
        <v/>
      </c>
      <c r="O367" s="119" t="str">
        <f>IF(tech_base!$T23&gt;O$345,"",O647+O927+O1207)</f>
        <v/>
      </c>
      <c r="P367" s="119" t="str">
        <f>IF(tech_base!$T23&gt;P$345,"",P647+P927+P1207)</f>
        <v/>
      </c>
      <c r="Q367" s="119" t="str">
        <f>IF(tech_base!$T23&gt;Q$345,"",Q647+Q927+Q1207)</f>
        <v/>
      </c>
      <c r="R367" s="119" t="str">
        <f>IF(tech_base!$T23&gt;R$345,"",R647+R927+R1207)</f>
        <v/>
      </c>
      <c r="S367" s="119" t="str">
        <f>IF(tech_base!$T23&gt;S$345,"",S647+S927+S1207)</f>
        <v/>
      </c>
      <c r="T367" s="119" t="str">
        <f>IF(tech_base!$T23&gt;T$345,"",T647+T927+T1207)</f>
        <v/>
      </c>
      <c r="U367" s="119" t="str">
        <f>IF(tech_base!$T23&gt;U$345,"",U647+U927+U1207)</f>
        <v/>
      </c>
      <c r="V367" s="119" t="str">
        <f>IF(tech_base!$T23&gt;V$345,"",V647+V927+V1207)</f>
        <v/>
      </c>
      <c r="W367" s="119" t="str">
        <f>IF(tech_base!$T23&gt;W$345,"",W647+W927+W1207)</f>
        <v/>
      </c>
      <c r="X367" s="119" t="str">
        <f>IF(tech_base!$T23&gt;X$345,"",X647+X927+X1207)</f>
        <v/>
      </c>
      <c r="Y367" s="119" t="str">
        <f>IF(tech_base!$T23&gt;Y$345,"",Y647+Y927+Y1207)</f>
        <v/>
      </c>
      <c r="Z367" s="119" t="str">
        <f>IF(tech_base!$T23&gt;Z$345,"",Z647+Z927+Z1207)</f>
        <v/>
      </c>
      <c r="AA367" s="119" t="str">
        <f>IF(tech_base!$T23&gt;AA$345,"",AA647+AA927+AA1207)</f>
        <v/>
      </c>
      <c r="AB367" s="119" t="str">
        <f>IF(tech_base!$T23&gt;AB$345,"",AB647+AB927+AB1207)</f>
        <v/>
      </c>
      <c r="AC367" s="119" t="str">
        <f>IF(tech_base!$T23&gt;AC$345,"",AC647+AC927+AC1207)</f>
        <v/>
      </c>
      <c r="AD367" s="119" t="str">
        <f>IF(tech_base!$T23&gt;AD$345,"",AD647+AD927+AD1207)</f>
        <v/>
      </c>
      <c r="AE367" s="119">
        <f>IF(tech_base!$T23&gt;AE$345,"",AE647+AE927+AE1207)</f>
        <v>209.92138600687281</v>
      </c>
      <c r="AF367" s="119">
        <f>IF(tech_base!$T23&gt;AF$345,"",AF647+AF927+AF1207)</f>
        <v>210.48927962066892</v>
      </c>
      <c r="AG367" s="119">
        <f>IF(tech_base!$T23&gt;AG$345,"",AG647+AG927+AG1207)</f>
        <v>211.0709809940231</v>
      </c>
      <c r="AH367" s="119">
        <f>IF(tech_base!$T23&gt;AH$345,"",AH647+AH927+AH1207)</f>
        <v>211.58923935427154</v>
      </c>
      <c r="AI367" s="119">
        <f>IF(tech_base!$T23&gt;AI$345,"",AI647+AI927+AI1207)</f>
        <v>212.02837661893847</v>
      </c>
      <c r="AJ367" s="119">
        <f>IF(tech_base!$T23&gt;AJ$345,"",AJ647+AJ927+AJ1207)</f>
        <v>212.27981672027667</v>
      </c>
      <c r="AK367" s="119">
        <f>IF(tech_base!$T23&gt;AK$345,"",AK647+AK927+AK1207)</f>
        <v>212.57280181685826</v>
      </c>
      <c r="AL367" s="119">
        <f>IF(tech_base!$T23&gt;AL$345,"",AL647+AL927+AL1207)</f>
        <v>212.88170699476868</v>
      </c>
      <c r="AM367" s="119">
        <f>IF(tech_base!$T23&gt;AM$345,"",AM647+AM927+AM1207)</f>
        <v>213.19043566411383</v>
      </c>
      <c r="AN367" s="119">
        <f>IF(tech_base!$T23&gt;AN$345,"",AN647+AN927+AN1207)</f>
        <v>213.3183934390382</v>
      </c>
      <c r="AO367" s="119">
        <f>IF(tech_base!$T23&gt;AO$345,"",AO647+AO927+AO1207)</f>
        <v>213.37712119571256</v>
      </c>
      <c r="AP367" s="119">
        <f>IF(tech_base!$T23&gt;AP$345,"",AP647+AP927+AP1207)</f>
        <v>213.35568679436156</v>
      </c>
      <c r="AQ367" s="119">
        <f>IF(tech_base!$T23&gt;AQ$345,"",AQ647+AQ927+AQ1207)</f>
        <v>213.24754632646369</v>
      </c>
      <c r="AR367" s="119">
        <f>IF(tech_base!$T23&gt;AR$345,"",AR647+AR927+AR1207)</f>
        <v>213.08212228260248</v>
      </c>
      <c r="AS367" s="119">
        <f>IF(tech_base!$T23&gt;AS$345,"",AS647+AS927+AS1207)</f>
        <v>212.81267441893951</v>
      </c>
      <c r="AT367" s="119">
        <f>IF(tech_base!$T23&gt;AT$345,"",AT647+AT927+AT1207)</f>
        <v>212.24801357777463</v>
      </c>
      <c r="AU367" s="119">
        <f>IF(tech_base!$T23&gt;AU$345,"",AU647+AU927+AU1207)</f>
        <v>211.67643855505986</v>
      </c>
      <c r="AV367" s="119">
        <f>IF(tech_base!$T23&gt;AV$345,"",AV647+AV927+AV1207)</f>
        <v>210.868586366003</v>
      </c>
      <c r="AW367" s="119">
        <f>IF(tech_base!$T23&gt;AW$345,"",AW647+AW927+AW1207)</f>
        <v>209.84921228398397</v>
      </c>
      <c r="AX367" s="120">
        <f>IF(tech_base!$T23&gt;AX$345,"",AX647+AX927+AX1207)</f>
        <v>208.75460427421461</v>
      </c>
    </row>
    <row r="368" spans="1:50" x14ac:dyDescent="0.25">
      <c r="A368" s="356"/>
      <c r="B368" s="380"/>
      <c r="C368" s="381"/>
      <c r="D368" s="4" t="s">
        <v>8</v>
      </c>
      <c r="E368" s="80" t="str">
        <f>A353&amp;"/"&amp;B361&amp;"/"&amp;C367&amp;"/"&amp;D368</f>
        <v>Coal fired power plants/Supercritical steam turbine/CHP with CCS/M</v>
      </c>
      <c r="F368" s="80" t="str">
        <f>A353</f>
        <v>Coal fired power plants</v>
      </c>
      <c r="G368" s="80" t="str">
        <f>B361</f>
        <v>Supercritical steam turbine</v>
      </c>
      <c r="H368" s="80" t="str">
        <f>C367</f>
        <v>CHP with CCS</v>
      </c>
      <c r="I368" s="80" t="str">
        <f t="shared" si="357"/>
        <v>M</v>
      </c>
      <c r="J368" s="127" t="str">
        <f>IF(tech_base!$T24&gt;J$345,"",J648+J928+J1208)</f>
        <v/>
      </c>
      <c r="K368" s="127" t="str">
        <f>IF(tech_base!$T24&gt;K$345,"",K648+K928+K1208)</f>
        <v/>
      </c>
      <c r="L368" s="127" t="str">
        <f>IF(tech_base!$T24&gt;L$345,"",L648+L928+L1208)</f>
        <v/>
      </c>
      <c r="M368" s="127" t="str">
        <f>IF(tech_base!$T24&gt;M$345,"",M648+M928+M1208)</f>
        <v/>
      </c>
      <c r="N368" s="127" t="str">
        <f>IF(tech_base!$T24&gt;N$345,"",N648+N928+N1208)</f>
        <v/>
      </c>
      <c r="O368" s="127" t="str">
        <f>IF(tech_base!$T24&gt;O$345,"",O648+O928+O1208)</f>
        <v/>
      </c>
      <c r="P368" s="127" t="str">
        <f>IF(tech_base!$T24&gt;P$345,"",P648+P928+P1208)</f>
        <v/>
      </c>
      <c r="Q368" s="127" t="str">
        <f>IF(tech_base!$T24&gt;Q$345,"",Q648+Q928+Q1208)</f>
        <v/>
      </c>
      <c r="R368" s="127" t="str">
        <f>IF(tech_base!$T24&gt;R$345,"",R648+R928+R1208)</f>
        <v/>
      </c>
      <c r="S368" s="127" t="str">
        <f>IF(tech_base!$T24&gt;S$345,"",S648+S928+S1208)</f>
        <v/>
      </c>
      <c r="T368" s="127" t="str">
        <f>IF(tech_base!$T24&gt;T$345,"",T648+T928+T1208)</f>
        <v/>
      </c>
      <c r="U368" s="127" t="str">
        <f>IF(tech_base!$T24&gt;U$345,"",U648+U928+U1208)</f>
        <v/>
      </c>
      <c r="V368" s="127" t="str">
        <f>IF(tech_base!$T24&gt;V$345,"",V648+V928+V1208)</f>
        <v/>
      </c>
      <c r="W368" s="127" t="str">
        <f>IF(tech_base!$T24&gt;W$345,"",W648+W928+W1208)</f>
        <v/>
      </c>
      <c r="X368" s="127" t="str">
        <f>IF(tech_base!$T24&gt;X$345,"",X648+X928+X1208)</f>
        <v/>
      </c>
      <c r="Y368" s="127" t="str">
        <f>IF(tech_base!$T24&gt;Y$345,"",Y648+Y928+Y1208)</f>
        <v/>
      </c>
      <c r="Z368" s="127" t="str">
        <f>IF(tech_base!$T24&gt;Z$345,"",Z648+Z928+Z1208)</f>
        <v/>
      </c>
      <c r="AA368" s="127" t="str">
        <f>IF(tech_base!$T24&gt;AA$345,"",AA648+AA928+AA1208)</f>
        <v/>
      </c>
      <c r="AB368" s="127" t="str">
        <f>IF(tech_base!$T24&gt;AB$345,"",AB648+AB928+AB1208)</f>
        <v/>
      </c>
      <c r="AC368" s="127" t="str">
        <f>IF(tech_base!$T24&gt;AC$345,"",AC648+AC928+AC1208)</f>
        <v/>
      </c>
      <c r="AD368" s="127" t="str">
        <f>IF(tech_base!$T24&gt;AD$345,"",AD648+AD928+AD1208)</f>
        <v/>
      </c>
      <c r="AE368" s="127">
        <f>IF(tech_base!$T24&gt;AE$345,"",AE648+AE928+AE1208)</f>
        <v>226.0371388268421</v>
      </c>
      <c r="AF368" s="127">
        <f>IF(tech_base!$T24&gt;AF$345,"",AF648+AF928+AF1208)</f>
        <v>226.67296970480325</v>
      </c>
      <c r="AG368" s="127">
        <f>IF(tech_base!$T24&gt;AG$345,"",AG648+AG928+AG1208)</f>
        <v>227.32772270739596</v>
      </c>
      <c r="AH368" s="127">
        <f>IF(tech_base!$T24&gt;AH$345,"",AH648+AH928+AH1208)</f>
        <v>227.91918534616696</v>
      </c>
      <c r="AI368" s="127">
        <f>IF(tech_base!$T24&gt;AI$345,"",AI648+AI928+AI1208)</f>
        <v>228.43063431559551</v>
      </c>
      <c r="AJ368" s="127">
        <f>IF(tech_base!$T24&gt;AJ$345,"",AJ648+AJ928+AJ1208)</f>
        <v>228.74595903471115</v>
      </c>
      <c r="AK368" s="127">
        <f>IF(tech_base!$T24&gt;AK$345,"",AK648+AK928+AK1208)</f>
        <v>229.10902947198679</v>
      </c>
      <c r="AL368" s="127">
        <f>IF(tech_base!$T24&gt;AL$345,"",AL648+AL928+AL1208)</f>
        <v>229.49125808624035</v>
      </c>
      <c r="AM368" s="127">
        <f>IF(tech_base!$T24&gt;AM$345,"",AM648+AM928+AM1208)</f>
        <v>229.87339963632058</v>
      </c>
      <c r="AN368" s="127">
        <f>IF(tech_base!$T24&gt;AN$345,"",AN648+AN928+AN1208)</f>
        <v>230.05954461240506</v>
      </c>
      <c r="AO368" s="127">
        <f>IF(tech_base!$T24&gt;AO$345,"",AO648+AO928+AO1208)</f>
        <v>230.16404204409045</v>
      </c>
      <c r="AP368" s="127">
        <f>IF(tech_base!$T24&gt;AP$345,"",AP648+AP928+AP1208)</f>
        <v>230.16868701961971</v>
      </c>
      <c r="AQ368" s="127">
        <f>IF(tech_base!$T24&gt;AQ$345,"",AQ648+AQ928+AQ1208)</f>
        <v>230.05765414571511</v>
      </c>
      <c r="AR368" s="127">
        <f>IF(tech_base!$T24&gt;AR$345,"",AR648+AR928+AR1208)</f>
        <v>229.85080936153582</v>
      </c>
      <c r="AS368" s="127">
        <f>IF(tech_base!$T24&gt;AS$345,"",AS648+AS928+AS1208)</f>
        <v>229.48378492953253</v>
      </c>
      <c r="AT368" s="127">
        <f>IF(tech_base!$T24&gt;AT$345,"",AT648+AT928+AT1208)</f>
        <v>228.73523749128978</v>
      </c>
      <c r="AU368" s="127">
        <f>IF(tech_base!$T24&gt;AU$345,"",AU648+AU928+AU1208)</f>
        <v>227.89328129333646</v>
      </c>
      <c r="AV368" s="127">
        <f>IF(tech_base!$T24&gt;AV$345,"",AV648+AV928+AV1208)</f>
        <v>226.69297557525434</v>
      </c>
      <c r="AW368" s="127">
        <f>IF(tech_base!$T24&gt;AW$345,"",AW648+AW928+AW1208)</f>
        <v>225.14248402416706</v>
      </c>
      <c r="AX368" s="128">
        <f>IF(tech_base!$T24&gt;AX$345,"",AX648+AX928+AX1208)</f>
        <v>223.37437448156976</v>
      </c>
    </row>
    <row r="369" spans="1:50" x14ac:dyDescent="0.25">
      <c r="A369" s="356"/>
      <c r="B369" s="358" t="s">
        <v>18</v>
      </c>
      <c r="C369" s="353" t="s">
        <v>6</v>
      </c>
      <c r="D369" s="3" t="s">
        <v>7</v>
      </c>
      <c r="E369" s="77" t="str">
        <f>A353&amp;"/"&amp;B369&amp;"/"&amp;C369&amp;"/"&amp;D369</f>
        <v>Coal fired power plants/Fluidized bed combustion/Electricity only/L</v>
      </c>
      <c r="F369" s="77" t="str">
        <f>A353</f>
        <v>Coal fired power plants</v>
      </c>
      <c r="G369" s="77" t="str">
        <f>B369</f>
        <v>Fluidized bed combustion</v>
      </c>
      <c r="H369" s="77" t="str">
        <f>C369</f>
        <v>Electricity only</v>
      </c>
      <c r="I369" s="77" t="str">
        <f t="shared" si="357"/>
        <v>L</v>
      </c>
      <c r="J369" s="121">
        <f>IF(tech_base!$T25&gt;J$345,"",J649+J929+J1209)</f>
        <v>88.047788664983742</v>
      </c>
      <c r="K369" s="121">
        <f>IF(tech_base!$T25&gt;K$345,"",K649+K929+K1209)</f>
        <v>95.113190673501947</v>
      </c>
      <c r="L369" s="121">
        <f>IF(tech_base!$T25&gt;L$345,"",L649+L929+L1209)</f>
        <v>89.811628278725934</v>
      </c>
      <c r="M369" s="121">
        <f>IF(tech_base!$T25&gt;M$345,"",M649+M929+M1209)</f>
        <v>86.866974757247647</v>
      </c>
      <c r="N369" s="121">
        <f>IF(tech_base!$T25&gt;N$345,"",N649+N929+N1209)</f>
        <v>85.771717592935673</v>
      </c>
      <c r="O369" s="121">
        <f>IF(tech_base!$T25&gt;O$345,"",O649+O929+O1209)</f>
        <v>84.188084174345562</v>
      </c>
      <c r="P369" s="121">
        <f>IF(tech_base!$T25&gt;P$345,"",P649+P929+P1209)</f>
        <v>85.570085015215994</v>
      </c>
      <c r="Q369" s="121">
        <f>IF(tech_base!$T25&gt;Q$345,"",Q649+Q929+Q1209)</f>
        <v>92.61509239147523</v>
      </c>
      <c r="R369" s="121">
        <f>IF(tech_base!$T25&gt;R$345,"",R649+R929+R1209)</f>
        <v>92.792298119319469</v>
      </c>
      <c r="S369" s="121">
        <f>IF(tech_base!$T25&gt;S$345,"",S649+S929+S1209)</f>
        <v>92.964905716549893</v>
      </c>
      <c r="T369" s="121">
        <f>IF(tech_base!$T25&gt;T$345,"",T649+T929+T1209)</f>
        <v>93.132350316093493</v>
      </c>
      <c r="U369" s="121">
        <f>IF(tech_base!$T25&gt;U$345,"",U649+U929+U1209)</f>
        <v>93.872313486464066</v>
      </c>
      <c r="V369" s="121">
        <f>IF(tech_base!$T25&gt;V$345,"",V649+V929+V1209)</f>
        <v>93.870397044825523</v>
      </c>
      <c r="W369" s="121">
        <f>IF(tech_base!$T25&gt;W$345,"",W649+W929+W1209)</f>
        <v>93.815838254192471</v>
      </c>
      <c r="X369" s="121">
        <f>IF(tech_base!$T25&gt;X$345,"",X649+X929+X1209)</f>
        <v>93.977061735692246</v>
      </c>
      <c r="Y369" s="121">
        <f>IF(tech_base!$T25&gt;Y$345,"",Y649+Y929+Y1209)</f>
        <v>94.164734185762597</v>
      </c>
      <c r="Z369" s="121">
        <f>IF(tech_base!$T25&gt;Z$345,"",Z649+Z929+Z1209)</f>
        <v>95.207216074375538</v>
      </c>
      <c r="AA369" s="121">
        <f>IF(tech_base!$T25&gt;AA$345,"",AA649+AA929+AA1209)</f>
        <v>96.234464104931192</v>
      </c>
      <c r="AB369" s="121">
        <f>IF(tech_base!$T25&gt;AB$345,"",AB649+AB929+AB1209)</f>
        <v>97.283299914525173</v>
      </c>
      <c r="AC369" s="121">
        <f>IF(tech_base!$T25&gt;AC$345,"",AC649+AC929+AC1209)</f>
        <v>98.32277611509582</v>
      </c>
      <c r="AD369" s="121">
        <f>IF(tech_base!$T25&gt;AD$345,"",AD649+AD929+AD1209)</f>
        <v>99.448238891786559</v>
      </c>
      <c r="AE369" s="121">
        <f>IF(tech_base!$T25&gt;AE$345,"",AE649+AE929+AE1209)</f>
        <v>99.648555856617662</v>
      </c>
      <c r="AF369" s="121">
        <f>IF(tech_base!$T25&gt;AF$345,"",AF649+AF929+AF1209)</f>
        <v>99.944736195698312</v>
      </c>
      <c r="AG369" s="121">
        <f>IF(tech_base!$T25&gt;AG$345,"",AG649+AG929+AG1209)</f>
        <v>100.22377543821594</v>
      </c>
      <c r="AH369" s="121">
        <f>IF(tech_base!$T25&gt;AH$345,"",AH649+AH929+AH1209)</f>
        <v>100.42178166794938</v>
      </c>
      <c r="AI369" s="121">
        <f>IF(tech_base!$T25&gt;AI$345,"",AI649+AI929+AI1209)</f>
        <v>100.52277132071515</v>
      </c>
      <c r="AJ369" s="121">
        <f>IF(tech_base!$T25&gt;AJ$345,"",AJ649+AJ929+AJ1209)</f>
        <v>100.4394809334442</v>
      </c>
      <c r="AK369" s="121">
        <f>IF(tech_base!$T25&gt;AK$345,"",AK649+AK929+AK1209)</f>
        <v>100.3465878332261</v>
      </c>
      <c r="AL369" s="121">
        <f>IF(tech_base!$T25&gt;AL$345,"",AL649+AL929+AL1209)</f>
        <v>100.22299335363351</v>
      </c>
      <c r="AM369" s="121">
        <f>IF(tech_base!$T25&gt;AM$345,"",AM649+AM929+AM1209)</f>
        <v>100.05739694366977</v>
      </c>
      <c r="AN369" s="121">
        <f>IF(tech_base!$T25&gt;AN$345,"",AN649+AN929+AN1209)</f>
        <v>99.715967723082883</v>
      </c>
      <c r="AO369" s="121">
        <f>IF(tech_base!$T25&gt;AO$345,"",AO649+AO929+AO1209)</f>
        <v>99.294038087211462</v>
      </c>
      <c r="AP369" s="121">
        <f>IF(tech_base!$T25&gt;AP$345,"",AP649+AP929+AP1209)</f>
        <v>98.798374037141357</v>
      </c>
      <c r="AQ369" s="121">
        <f>IF(tech_base!$T25&gt;AQ$345,"",AQ649+AQ929+AQ1209)</f>
        <v>98.245502527883389</v>
      </c>
      <c r="AR369" s="121">
        <f>IF(tech_base!$T25&gt;AR$345,"",AR649+AR929+AR1209)</f>
        <v>97.685703182180703</v>
      </c>
      <c r="AS369" s="121">
        <f>IF(tech_base!$T25&gt;AS$345,"",AS649+AS929+AS1209)</f>
        <v>97.117195308032208</v>
      </c>
      <c r="AT369" s="121">
        <f>IF(tech_base!$T25&gt;AT$345,"",AT649+AT929+AT1209)</f>
        <v>96.433754002166665</v>
      </c>
      <c r="AU369" s="121">
        <f>IF(tech_base!$T25&gt;AU$345,"",AU649+AU929+AU1209)</f>
        <v>95.891533731163832</v>
      </c>
      <c r="AV369" s="121">
        <f>IF(tech_base!$T25&gt;AV$345,"",AV649+AV929+AV1209)</f>
        <v>95.353885723997394</v>
      </c>
      <c r="AW369" s="121">
        <f>IF(tech_base!$T25&gt;AW$345,"",AW649+AW929+AW1209)</f>
        <v>94.868804880750716</v>
      </c>
      <c r="AX369" s="122">
        <f>IF(tech_base!$T25&gt;AX$345,"",AX649+AX929+AX1209)</f>
        <v>94.557106661236759</v>
      </c>
    </row>
    <row r="370" spans="1:50" x14ac:dyDescent="0.25">
      <c r="A370" s="356"/>
      <c r="B370" s="376"/>
      <c r="C370" s="378"/>
      <c r="D370" s="2" t="s">
        <v>8</v>
      </c>
      <c r="E370" s="76" t="str">
        <f>A353&amp;"/"&amp;B369&amp;"/"&amp;C369&amp;"/"&amp;D370</f>
        <v>Coal fired power plants/Fluidized bed combustion/Electricity only/M</v>
      </c>
      <c r="F370" s="76" t="str">
        <f>A353</f>
        <v>Coal fired power plants</v>
      </c>
      <c r="G370" s="76" t="str">
        <f>B369</f>
        <v>Fluidized bed combustion</v>
      </c>
      <c r="H370" s="76" t="str">
        <f>C369</f>
        <v>Electricity only</v>
      </c>
      <c r="I370" s="76" t="str">
        <f t="shared" si="357"/>
        <v>M</v>
      </c>
      <c r="J370" s="119">
        <f>IF(tech_base!$T26&gt;J$345,"",J650+J930+J1210)</f>
        <v>94.770800871087346</v>
      </c>
      <c r="K370" s="119">
        <f>IF(tech_base!$T26&gt;K$345,"",K650+K930+K1210)</f>
        <v>102.20439778408172</v>
      </c>
      <c r="L370" s="119">
        <f>IF(tech_base!$T26&gt;L$345,"",L650+L930+L1210)</f>
        <v>96.620190537485641</v>
      </c>
      <c r="M370" s="119">
        <f>IF(tech_base!$T26&gt;M$345,"",M650+M930+M1210)</f>
        <v>93.516306081706432</v>
      </c>
      <c r="N370" s="119">
        <f>IF(tech_base!$T26&gt;N$345,"",N650+N930+N1210)</f>
        <v>92.358376922890315</v>
      </c>
      <c r="O370" s="119">
        <f>IF(tech_base!$T26&gt;O$345,"",O650+O930+O1210)</f>
        <v>90.685685721494679</v>
      </c>
      <c r="P370" s="119">
        <f>IF(tech_base!$T26&gt;P$345,"",P650+P930+P1210)</f>
        <v>92.133427880026971</v>
      </c>
      <c r="Q370" s="119">
        <f>IF(tech_base!$T26&gt;Q$345,"",Q650+Q930+Q1210)</f>
        <v>99.54003489254319</v>
      </c>
      <c r="R370" s="119">
        <f>IF(tech_base!$T26&gt;R$345,"",R650+R930+R1210)</f>
        <v>99.717261309306878</v>
      </c>
      <c r="S370" s="119">
        <f>IF(tech_base!$T26&gt;S$345,"",S650+S930+S1210)</f>
        <v>99.888293090259751</v>
      </c>
      <c r="T370" s="119">
        <f>IF(tech_base!$T26&gt;T$345,"",T650+T930+T1210)</f>
        <v>100.05237665864294</v>
      </c>
      <c r="U370" s="119">
        <f>IF(tech_base!$T26&gt;U$345,"",U650+U930+U1210)</f>
        <v>100.81721535954841</v>
      </c>
      <c r="V370" s="119">
        <f>IF(tech_base!$T26&gt;V$345,"",V650+V930+V1210)</f>
        <v>100.79953007001841</v>
      </c>
      <c r="W370" s="119">
        <f>IF(tech_base!$T26&gt;W$345,"",W650+W930+W1210)</f>
        <v>100.72446005125261</v>
      </c>
      <c r="X370" s="119">
        <f>IF(tech_base!$T26&gt;X$345,"",X650+X930+X1210)</f>
        <v>100.87426204954301</v>
      </c>
      <c r="Y370" s="119">
        <f>IF(tech_base!$T26&gt;Y$345,"",Y650+Y930+Y1210)</f>
        <v>101.04958344333104</v>
      </c>
      <c r="Z370" s="119">
        <f>IF(tech_base!$T26&gt;Z$345,"",Z650+Z930+Z1210)</f>
        <v>102.1216488927473</v>
      </c>
      <c r="AA370" s="119">
        <f>IF(tech_base!$T26&gt;AA$345,"",AA650+AA930+AA1210)</f>
        <v>103.17508216559898</v>
      </c>
      <c r="AB370" s="119">
        <f>IF(tech_base!$T26&gt;AB$345,"",AB650+AB930+AB1210)</f>
        <v>104.24864489645783</v>
      </c>
      <c r="AC370" s="119">
        <f>IF(tech_base!$T26&gt;AC$345,"",AC650+AC930+AC1210)</f>
        <v>105.309941605425</v>
      </c>
      <c r="AD370" s="119">
        <f>IF(tech_base!$T26&gt;AD$345,"",AD650+AD930+AD1210)</f>
        <v>106.45953819750136</v>
      </c>
      <c r="AE370" s="119">
        <f>IF(tech_base!$T26&gt;AE$345,"",AE650+AE930+AE1210)</f>
        <v>106.6349407616712</v>
      </c>
      <c r="AF370" s="119">
        <f>IF(tech_base!$T26&gt;AF$345,"",AF650+AF930+AF1210)</f>
        <v>106.9105113734764</v>
      </c>
      <c r="AG370" s="119">
        <f>IF(tech_base!$T26&gt;AG$345,"",AG650+AG930+AG1210)</f>
        <v>107.16850301276779</v>
      </c>
      <c r="AH370" s="119">
        <f>IF(tech_base!$T26&gt;AH$345,"",AH650+AH930+AH1210)</f>
        <v>107.34314827949987</v>
      </c>
      <c r="AI370" s="119">
        <f>IF(tech_base!$T26&gt;AI$345,"",AI650+AI930+AI1210)</f>
        <v>107.41935867601796</v>
      </c>
      <c r="AJ370" s="119">
        <f>IF(tech_base!$T26&gt;AJ$345,"",AJ650+AJ930+AJ1210)</f>
        <v>107.30740905361995</v>
      </c>
      <c r="AK370" s="119">
        <f>IF(tech_base!$T26&gt;AK$345,"",AK650+AK930+AK1210)</f>
        <v>107.19295618719198</v>
      </c>
      <c r="AL370" s="119">
        <f>IF(tech_base!$T26&gt;AL$345,"",AL650+AL930+AL1210)</f>
        <v>107.05586636952441</v>
      </c>
      <c r="AM370" s="119">
        <f>IF(tech_base!$T26&gt;AM$345,"",AM650+AM930+AM1210)</f>
        <v>106.88594406128054</v>
      </c>
      <c r="AN370" s="119">
        <f>IF(tech_base!$T26&gt;AN$345,"",AN650+AN930+AN1210)</f>
        <v>106.54343855212201</v>
      </c>
      <c r="AO370" s="119">
        <f>IF(tech_base!$T26&gt;AO$345,"",AO650+AO930+AO1210)</f>
        <v>106.12812130811747</v>
      </c>
      <c r="AP370" s="119">
        <f>IF(tech_base!$T26&gt;AP$345,"",AP650+AP930+AP1210)</f>
        <v>105.64493393517495</v>
      </c>
      <c r="AQ370" s="119">
        <f>IF(tech_base!$T26&gt;AQ$345,"",AQ650+AQ930+AQ1210)</f>
        <v>105.10695835510347</v>
      </c>
      <c r="AR370" s="119">
        <f>IF(tech_base!$T26&gt;AR$345,"",AR650+AR930+AR1210)</f>
        <v>104.56060760096702</v>
      </c>
      <c r="AS370" s="119">
        <f>IF(tech_base!$T26&gt;AS$345,"",AS650+AS930+AS1210)</f>
        <v>103.99576570500952</v>
      </c>
      <c r="AT370" s="119">
        <f>IF(tech_base!$T26&gt;AT$345,"",AT650+AT930+AT1210)</f>
        <v>103.29152580521415</v>
      </c>
      <c r="AU370" s="119">
        <f>IF(tech_base!$T26&gt;AU$345,"",AU650+AU930+AU1210)</f>
        <v>102.70893513384658</v>
      </c>
      <c r="AV370" s="119">
        <f>IF(tech_base!$T26&gt;AV$345,"",AV650+AV930+AV1210)</f>
        <v>102.09787872070424</v>
      </c>
      <c r="AW370" s="119">
        <f>IF(tech_base!$T26&gt;AW$345,"",AW650+AW930+AW1210)</f>
        <v>101.50620936995543</v>
      </c>
      <c r="AX370" s="120">
        <f>IF(tech_base!$T26&gt;AX$345,"",AX650+AX930+AX1210)</f>
        <v>101.06274569352671</v>
      </c>
    </row>
    <row r="371" spans="1:50" x14ac:dyDescent="0.25">
      <c r="A371" s="356"/>
      <c r="B371" s="376"/>
      <c r="C371" s="379"/>
      <c r="D371" s="2" t="s">
        <v>10</v>
      </c>
      <c r="E371" s="76" t="str">
        <f>A353&amp;"/"&amp;B369&amp;"/"&amp;C369&amp;"/"&amp;D371</f>
        <v>Coal fired power plants/Fluidized bed combustion/Electricity only/S</v>
      </c>
      <c r="F371" s="76" t="str">
        <f>A353</f>
        <v>Coal fired power plants</v>
      </c>
      <c r="G371" s="76" t="str">
        <f>B369</f>
        <v>Fluidized bed combustion</v>
      </c>
      <c r="H371" s="76" t="str">
        <f>C369</f>
        <v>Electricity only</v>
      </c>
      <c r="I371" s="76" t="str">
        <f t="shared" si="357"/>
        <v>S</v>
      </c>
      <c r="J371" s="119">
        <f>IF(tech_base!$T27&gt;J$345,"",J651+J931+J1211)</f>
        <v>105.29529276059972</v>
      </c>
      <c r="K371" s="119">
        <f>IF(tech_base!$T27&gt;K$345,"",K651+K931+K1211)</f>
        <v>113.11123852489023</v>
      </c>
      <c r="L371" s="119">
        <f>IF(tech_base!$T27&gt;L$345,"",L651+L931+L1211)</f>
        <v>107.22198805239829</v>
      </c>
      <c r="M371" s="119">
        <f>IF(tech_base!$T27&gt;M$345,"",M651+M931+M1211)</f>
        <v>103.94254877364452</v>
      </c>
      <c r="N371" s="119">
        <f>IF(tech_base!$T27&gt;N$345,"",N651+N931+N1211)</f>
        <v>102.71000445984819</v>
      </c>
      <c r="O371" s="119">
        <f>IF(tech_base!$T27&gt;O$345,"",O651+O931+O1211)</f>
        <v>100.93395231258384</v>
      </c>
      <c r="P371" s="119">
        <f>IF(tech_base!$T27&gt;P$345,"",P651+P931+P1211)</f>
        <v>102.44015099538197</v>
      </c>
      <c r="Q371" s="119">
        <f>IF(tech_base!$T27&gt;Q$345,"",Q651+Q931+Q1211)</f>
        <v>110.21484002590111</v>
      </c>
      <c r="R371" s="119">
        <f>IF(tech_base!$T27&gt;R$345,"",R651+R931+R1211)</f>
        <v>110.37833293280778</v>
      </c>
      <c r="S371" s="119">
        <f>IF(tech_base!$T27&gt;S$345,"",S651+S931+S1211)</f>
        <v>110.53237743868667</v>
      </c>
      <c r="T371" s="119">
        <f>IF(tech_base!$T27&gt;T$345,"",T651+T931+T1211)</f>
        <v>110.67587894241558</v>
      </c>
      <c r="U371" s="119">
        <f>IF(tech_base!$T27&gt;U$345,"",U651+U931+U1211)</f>
        <v>111.44782556922459</v>
      </c>
      <c r="V371" s="119">
        <f>IF(tech_base!$T27&gt;V$345,"",V651+V931+V1211)</f>
        <v>111.39263707199173</v>
      </c>
      <c r="W371" s="119">
        <f>IF(tech_base!$T27&gt;W$345,"",W651+W931+W1211)</f>
        <v>111.27294441640453</v>
      </c>
      <c r="X371" s="119">
        <f>IF(tech_base!$T27&gt;X$345,"",X651+X931+X1211)</f>
        <v>111.3852867840244</v>
      </c>
      <c r="Y371" s="119">
        <f>IF(tech_base!$T27&gt;Y$345,"",Y651+Y931+Y1211)</f>
        <v>111.51967477469771</v>
      </c>
      <c r="Z371" s="119">
        <f>IF(tech_base!$T27&gt;Z$345,"",Z651+Z931+Z1211)</f>
        <v>112.59171605809314</v>
      </c>
      <c r="AA371" s="119">
        <f>IF(tech_base!$T27&gt;AA$345,"",AA651+AA931+AA1211)</f>
        <v>113.63861171892603</v>
      </c>
      <c r="AB371" s="119">
        <f>IF(tech_base!$T27&gt;AB$345,"",AB651+AB931+AB1211)</f>
        <v>114.7009865728597</v>
      </c>
      <c r="AC371" s="119">
        <f>IF(tech_base!$T27&gt;AC$345,"",AC651+AC931+AC1211)</f>
        <v>115.74480605764158</v>
      </c>
      <c r="AD371" s="119">
        <f>IF(tech_base!$T27&gt;AD$345,"",AD651+AD931+AD1211)</f>
        <v>116.87589475803884</v>
      </c>
      <c r="AE371" s="119">
        <f>IF(tech_base!$T27&gt;AE$345,"",AE651+AE931+AE1211)</f>
        <v>116.97885571800552</v>
      </c>
      <c r="AF371" s="119">
        <f>IF(tech_base!$T27&gt;AF$345,"",AF651+AF931+AF1211)</f>
        <v>117.1830266999403</v>
      </c>
      <c r="AG371" s="119">
        <f>IF(tech_base!$T27&gt;AG$345,"",AG651+AG931+AG1211)</f>
        <v>117.36572643885094</v>
      </c>
      <c r="AH371" s="119">
        <f>IF(tech_base!$T27&gt;AH$345,"",AH651+AH931+AH1211)</f>
        <v>117.45926315831642</v>
      </c>
      <c r="AI371" s="119">
        <f>IF(tech_base!$T27&gt;AI$345,"",AI651+AI931+AI1211)</f>
        <v>117.44951202739077</v>
      </c>
      <c r="AJ371" s="119">
        <f>IF(tech_base!$T27&gt;AJ$345,"",AJ651+AJ931+AJ1211)</f>
        <v>117.24438704065687</v>
      </c>
      <c r="AK371" s="119">
        <f>IF(tech_base!$T27&gt;AK$345,"",AK651+AK931+AK1211)</f>
        <v>117.04089533183617</v>
      </c>
      <c r="AL371" s="119">
        <f>IF(tech_base!$T27&gt;AL$345,"",AL651+AL931+AL1211)</f>
        <v>116.82024475208789</v>
      </c>
      <c r="AM371" s="119">
        <f>IF(tech_base!$T27&gt;AM$345,"",AM651+AM931+AM1211)</f>
        <v>116.57401855434401</v>
      </c>
      <c r="AN371" s="119">
        <f>IF(tech_base!$T27&gt;AN$345,"",AN651+AN931+AN1211)</f>
        <v>116.1576810006283</v>
      </c>
      <c r="AO371" s="119">
        <f>IF(tech_base!$T27&gt;AO$345,"",AO651+AO931+AO1211)</f>
        <v>115.67718400638472</v>
      </c>
      <c r="AP371" s="119">
        <f>IF(tech_base!$T27&gt;AP$345,"",AP651+AP931+AP1211)</f>
        <v>115.13809949022006</v>
      </c>
      <c r="AQ371" s="119">
        <f>IF(tech_base!$T27&gt;AQ$345,"",AQ651+AQ931+AQ1211)</f>
        <v>114.55329573836977</v>
      </c>
      <c r="AR371" s="119">
        <f>IF(tech_base!$T27&gt;AR$345,"",AR651+AR931+AR1211)</f>
        <v>113.96917701816236</v>
      </c>
      <c r="AS371" s="119">
        <f>IF(tech_base!$T27&gt;AS$345,"",AS651+AS931+AS1211)</f>
        <v>113.37146311058055</v>
      </c>
      <c r="AT371" s="119">
        <f>IF(tech_base!$T27&gt;AT$345,"",AT651+AT931+AT1211)</f>
        <v>112.62844462045845</v>
      </c>
      <c r="AU371" s="119">
        <f>IF(tech_base!$T27&gt;AU$345,"",AU651+AU931+AU1211)</f>
        <v>112.00840083527743</v>
      </c>
      <c r="AV371" s="119">
        <f>IF(tech_base!$T27&gt;AV$345,"",AV651+AV931+AV1211)</f>
        <v>111.34832538851421</v>
      </c>
      <c r="AW371" s="119">
        <f>IF(tech_base!$T27&gt;AW$345,"",AW651+AW931+AW1211)</f>
        <v>110.69372744874804</v>
      </c>
      <c r="AX371" s="120">
        <f>IF(tech_base!$T27&gt;AX$345,"",AX651+AX931+AX1211)</f>
        <v>110.176689186228</v>
      </c>
    </row>
    <row r="372" spans="1:50" x14ac:dyDescent="0.25">
      <c r="A372" s="356"/>
      <c r="B372" s="376"/>
      <c r="C372" s="361" t="s">
        <v>14</v>
      </c>
      <c r="D372" s="58" t="s">
        <v>7</v>
      </c>
      <c r="E372" s="78" t="str">
        <f>A353&amp;"/"&amp;B369&amp;"/"&amp;C372&amp;"/"&amp;D372</f>
        <v>Coal fired power plants/Fluidized bed combustion/CHP/L</v>
      </c>
      <c r="F372" s="78" t="str">
        <f>A353</f>
        <v>Coal fired power plants</v>
      </c>
      <c r="G372" s="78" t="str">
        <f>B369</f>
        <v>Fluidized bed combustion</v>
      </c>
      <c r="H372" s="78" t="str">
        <f>C372</f>
        <v>CHP</v>
      </c>
      <c r="I372" s="78" t="str">
        <f t="shared" si="357"/>
        <v>L</v>
      </c>
      <c r="J372" s="123">
        <f>IF(tech_base!$T28&gt;J$345,"",J652+J932+J1212)</f>
        <v>102.46460184685562</v>
      </c>
      <c r="K372" s="123">
        <f>IF(tech_base!$T28&gt;K$345,"",K652+K932+K1212)</f>
        <v>110.27730822611858</v>
      </c>
      <c r="L372" s="123">
        <f>IF(tech_base!$T28&gt;L$345,"",L652+L932+L1212)</f>
        <v>104.4193099231876</v>
      </c>
      <c r="M372" s="123">
        <f>IF(tech_base!$T28&gt;M$345,"",M652+M932+M1212)</f>
        <v>101.16729597959858</v>
      </c>
      <c r="N372" s="123">
        <f>IF(tech_base!$T28&gt;N$345,"",N652+N932+N1212)</f>
        <v>99.960416630711435</v>
      </c>
      <c r="O372" s="123">
        <f>IF(tech_base!$T28&gt;O$345,"",O652+O932+O1212)</f>
        <v>98.214442532892861</v>
      </c>
      <c r="P372" s="123">
        <f>IF(tech_base!$T28&gt;P$345,"",P652+P932+P1212)</f>
        <v>99.748108950571577</v>
      </c>
      <c r="Q372" s="123">
        <f>IF(tech_base!$T28&gt;Q$345,"",Q652+Q932+Q1212)</f>
        <v>107.54409263813452</v>
      </c>
      <c r="R372" s="123">
        <f>IF(tech_base!$T28&gt;R$345,"",R652+R932+R1212)</f>
        <v>107.74896494460123</v>
      </c>
      <c r="S372" s="123">
        <f>IF(tech_base!$T28&gt;S$345,"",S652+S932+S1212)</f>
        <v>107.9507327094091</v>
      </c>
      <c r="T372" s="123">
        <f>IF(tech_base!$T28&gt;T$345,"",T652+T932+T1212)</f>
        <v>108.14920133936388</v>
      </c>
      <c r="U372" s="123">
        <f>IF(tech_base!$T28&gt;U$345,"",U652+U932+U1212)</f>
        <v>108.98369694254211</v>
      </c>
      <c r="V372" s="123">
        <f>IF(tech_base!$T28&gt;V$345,"",V652+V932+V1212)</f>
        <v>109.00141291425069</v>
      </c>
      <c r="W372" s="123">
        <f>IF(tech_base!$T28&gt;W$345,"",W652+W932+W1212)</f>
        <v>108.96520375063886</v>
      </c>
      <c r="X372" s="123">
        <f>IF(tech_base!$T28&gt;X$345,"",X652+X932+X1212)</f>
        <v>109.17286865284441</v>
      </c>
      <c r="Y372" s="123">
        <f>IF(tech_base!$T28&gt;Y$345,"",Y652+Y932+Y1212)</f>
        <v>109.41613238990408</v>
      </c>
      <c r="Z372" s="123">
        <f>IF(tech_base!$T28&gt;Z$345,"",Z652+Z932+Z1212)</f>
        <v>110.61288851099278</v>
      </c>
      <c r="AA372" s="123">
        <f>IF(tech_base!$T28&gt;AA$345,"",AA652+AA932+AA1212)</f>
        <v>111.80239721838822</v>
      </c>
      <c r="AB372" s="123">
        <f>IF(tech_base!$T28&gt;AB$345,"",AB652+AB932+AB1212)</f>
        <v>113.02736457864017</v>
      </c>
      <c r="AC372" s="123">
        <f>IF(tech_base!$T28&gt;AC$345,"",AC652+AC932+AC1212)</f>
        <v>114.25583619852762</v>
      </c>
      <c r="AD372" s="123">
        <f>IF(tech_base!$T28&gt;AD$345,"",AD652+AD932+AD1212)</f>
        <v>115.59608398586252</v>
      </c>
      <c r="AE372" s="123">
        <f>IF(tech_base!$T28&gt;AE$345,"",AE652+AE932+AE1212)</f>
        <v>115.93069267440011</v>
      </c>
      <c r="AF372" s="123">
        <f>IF(tech_base!$T28&gt;AF$345,"",AF652+AF932+AF1212)</f>
        <v>116.39359383557843</v>
      </c>
      <c r="AG372" s="123">
        <f>IF(tech_base!$T28&gt;AG$345,"",AG652+AG932+AG1212)</f>
        <v>116.86305329859397</v>
      </c>
      <c r="AH372" s="123">
        <f>IF(tech_base!$T28&gt;AH$345,"",AH652+AH932+AH1212)</f>
        <v>117.27171555489778</v>
      </c>
      <c r="AI372" s="123">
        <f>IF(tech_base!$T28&gt;AI$345,"",AI652+AI932+AI1212)</f>
        <v>117.60515279665451</v>
      </c>
      <c r="AJ372" s="123">
        <f>IF(tech_base!$T28&gt;AJ$345,"",AJ652+AJ932+AJ1212)</f>
        <v>117.76911718274926</v>
      </c>
      <c r="AK372" s="123">
        <f>IF(tech_base!$T28&gt;AK$345,"",AK652+AK932+AK1212)</f>
        <v>117.95971381744303</v>
      </c>
      <c r="AL372" s="123">
        <f>IF(tech_base!$T28&gt;AL$345,"",AL652+AL932+AL1212)</f>
        <v>118.15407409731833</v>
      </c>
      <c r="AM372" s="123">
        <f>IF(tech_base!$T28&gt;AM$345,"",AM652+AM932+AM1212)</f>
        <v>118.33786057173516</v>
      </c>
      <c r="AN372" s="123">
        <f>IF(tech_base!$T28&gt;AN$345,"",AN652+AN932+AN1212)</f>
        <v>118.35635586959654</v>
      </c>
      <c r="AO372" s="123">
        <f>IF(tech_base!$T28&gt;AO$345,"",AO652+AO932+AO1212)</f>
        <v>118.30648880750053</v>
      </c>
      <c r="AP372" s="123">
        <f>IF(tech_base!$T28&gt;AP$345,"",AP652+AP932+AP1212)</f>
        <v>118.18155600629947</v>
      </c>
      <c r="AQ372" s="123">
        <f>IF(tech_base!$T28&gt;AQ$345,"",AQ652+AQ932+AQ1212)</f>
        <v>117.98070862624662</v>
      </c>
      <c r="AR372" s="123">
        <f>IF(tech_base!$T28&gt;AR$345,"",AR652+AR932+AR1212)</f>
        <v>117.73659252524429</v>
      </c>
      <c r="AS372" s="123">
        <f>IF(tech_base!$T28&gt;AS$345,"",AS652+AS932+AS1212)</f>
        <v>117.42034740668892</v>
      </c>
      <c r="AT372" s="123">
        <f>IF(tech_base!$T28&gt;AT$345,"",AT652+AT932+AT1212)</f>
        <v>116.88466658694057</v>
      </c>
      <c r="AU372" s="123">
        <f>IF(tech_base!$T28&gt;AU$345,"",AU652+AU932+AU1212)</f>
        <v>116.39514909726512</v>
      </c>
      <c r="AV372" s="123">
        <f>IF(tech_base!$T28&gt;AV$345,"",AV652+AV932+AV1212)</f>
        <v>115.78133987046485</v>
      </c>
      <c r="AW372" s="123">
        <f>IF(tech_base!$T28&gt;AW$345,"",AW652+AW932+AW1212)</f>
        <v>115.09264609800988</v>
      </c>
      <c r="AX372" s="124">
        <f>IF(tech_base!$T28&gt;AX$345,"",AX652+AX932+AX1212)</f>
        <v>114.47405562031233</v>
      </c>
    </row>
    <row r="373" spans="1:50" x14ac:dyDescent="0.25">
      <c r="A373" s="356"/>
      <c r="B373" s="376"/>
      <c r="C373" s="378"/>
      <c r="D373" s="2" t="s">
        <v>8</v>
      </c>
      <c r="E373" s="76" t="str">
        <f>A353&amp;"/"&amp;B369&amp;"/"&amp;C372&amp;"/"&amp;D373</f>
        <v>Coal fired power plants/Fluidized bed combustion/CHP/M</v>
      </c>
      <c r="F373" s="76" t="str">
        <f>A353</f>
        <v>Coal fired power plants</v>
      </c>
      <c r="G373" s="76" t="str">
        <f>B369</f>
        <v>Fluidized bed combustion</v>
      </c>
      <c r="H373" s="76" t="str">
        <f>C372</f>
        <v>CHP</v>
      </c>
      <c r="I373" s="76" t="str">
        <f t="shared" si="357"/>
        <v>M</v>
      </c>
      <c r="J373" s="119">
        <f>IF(tech_base!$T29&gt;J$345,"",J653+J933+J1213)</f>
        <v>109.38701812301629</v>
      </c>
      <c r="K373" s="119">
        <f>IF(tech_base!$T29&gt;K$345,"",K653+K933+K1213)</f>
        <v>117.61110158241857</v>
      </c>
      <c r="L373" s="119">
        <f>IF(tech_base!$T29&gt;L$345,"",L653+L933+L1213)</f>
        <v>111.44150260335742</v>
      </c>
      <c r="M373" s="119">
        <f>IF(tech_base!$T29&gt;M$345,"",M653+M933+M1213)</f>
        <v>108.01537944837193</v>
      </c>
      <c r="N373" s="119">
        <f>IF(tech_base!$T29&gt;N$345,"",N653+N933+N1213)</f>
        <v>106.74214558355567</v>
      </c>
      <c r="O373" s="119">
        <f>IF(tech_base!$T29&gt;O$345,"",O653+O933+O1213)</f>
        <v>104.90093978849988</v>
      </c>
      <c r="P373" s="119">
        <f>IF(tech_base!$T29&gt;P$345,"",P653+P933+P1213)</f>
        <v>106.51215056655721</v>
      </c>
      <c r="Q373" s="119">
        <f>IF(tech_base!$T29&gt;Q$345,"",Q653+Q933+Q1213)</f>
        <v>114.71573755175092</v>
      </c>
      <c r="R373" s="119">
        <f>IF(tech_base!$T29&gt;R$345,"",R653+R933+R1213)</f>
        <v>114.92661093244274</v>
      </c>
      <c r="S373" s="119">
        <f>IF(tech_base!$T29&gt;S$345,"",S653+S933+S1213)</f>
        <v>115.13345051002753</v>
      </c>
      <c r="T373" s="119">
        <f>IF(tech_base!$T29&gt;T$345,"",T653+T933+T1213)</f>
        <v>115.33594210517722</v>
      </c>
      <c r="U373" s="119">
        <f>IF(tech_base!$T29&gt;U$345,"",U653+U933+U1213)</f>
        <v>116.20699311097718</v>
      </c>
      <c r="V373" s="119">
        <f>IF(tech_base!$T29&gt;V$345,"",V653+V933+V1213)</f>
        <v>116.21706236970061</v>
      </c>
      <c r="W373" s="119">
        <f>IF(tech_base!$T29&gt;W$345,"",W653+W933+W1213)</f>
        <v>116.16909904146476</v>
      </c>
      <c r="X373" s="119">
        <f>IF(tech_base!$T29&gt;X$345,"",X653+X933+X1213)</f>
        <v>116.37642028948039</v>
      </c>
      <c r="Y373" s="119">
        <f>IF(tech_base!$T29&gt;Y$345,"",Y653+Y933+Y1213)</f>
        <v>116.6196043406963</v>
      </c>
      <c r="Z373" s="119">
        <f>IF(tech_base!$T29&gt;Z$345,"",Z653+Z933+Z1213)</f>
        <v>117.86456772910987</v>
      </c>
      <c r="AA373" s="119">
        <f>IF(tech_base!$T29&gt;AA$345,"",AA653+AA933+AA1213)</f>
        <v>119.09982640124163</v>
      </c>
      <c r="AB373" s="119">
        <f>IF(tech_base!$T29&gt;AB$345,"",AB653+AB933+AB1213)</f>
        <v>120.37012837116816</v>
      </c>
      <c r="AC373" s="119">
        <f>IF(tech_base!$T29&gt;AC$345,"",AC653+AC933+AC1213)</f>
        <v>121.64165373423522</v>
      </c>
      <c r="AD373" s="119">
        <f>IF(tech_base!$T29&gt;AD$345,"",AD653+AD933+AD1213)</f>
        <v>123.02816733953935</v>
      </c>
      <c r="AE373" s="119">
        <f>IF(tech_base!$T29&gt;AE$345,"",AE653+AE933+AE1213)</f>
        <v>123.353826901985</v>
      </c>
      <c r="AF373" s="119">
        <f>IF(tech_base!$T29&gt;AF$345,"",AF653+AF933+AF1213)</f>
        <v>123.81182658022018</v>
      </c>
      <c r="AG373" s="119">
        <f>IF(tech_base!$T29&gt;AG$345,"",AG653+AG933+AG1213)</f>
        <v>124.27412838226238</v>
      </c>
      <c r="AH373" s="119">
        <f>IF(tech_base!$T29&gt;AH$345,"",AH653+AH933+AH1213)</f>
        <v>124.67006941778057</v>
      </c>
      <c r="AI373" s="119">
        <f>IF(tech_base!$T29&gt;AI$345,"",AI653+AI933+AI1213)</f>
        <v>124.98485307026401</v>
      </c>
      <c r="AJ373" s="119">
        <f>IF(tech_base!$T29&gt;AJ$345,"",AJ653+AJ933+AJ1213)</f>
        <v>125.11996752244646</v>
      </c>
      <c r="AK373" s="119">
        <f>IF(tech_base!$T29&gt;AK$345,"",AK653+AK933+AK1213)</f>
        <v>125.28250840086271</v>
      </c>
      <c r="AL373" s="119">
        <f>IF(tech_base!$T29&gt;AL$345,"",AL653+AL933+AL1213)</f>
        <v>125.44955799051168</v>
      </c>
      <c r="AM373" s="119">
        <f>IF(tech_base!$T29&gt;AM$345,"",AM653+AM933+AM1213)</f>
        <v>125.60750656262513</v>
      </c>
      <c r="AN373" s="119">
        <f>IF(tech_base!$T29&gt;AN$345,"",AN653+AN933+AN1213)</f>
        <v>125.59551732537248</v>
      </c>
      <c r="AO373" s="119">
        <f>IF(tech_base!$T29&gt;AO$345,"",AO653+AO933+AO1213)</f>
        <v>125.51757922459819</v>
      </c>
      <c r="AP373" s="119">
        <f>IF(tech_base!$T29&gt;AP$345,"",AP653+AP933+AP1213)</f>
        <v>125.36887673537893</v>
      </c>
      <c r="AQ373" s="119">
        <f>IF(tech_base!$T29&gt;AQ$345,"",AQ653+AQ933+AQ1213)</f>
        <v>125.15067827552346</v>
      </c>
      <c r="AR373" s="119">
        <f>IF(tech_base!$T29&gt;AR$345,"",AR653+AR933+AR1213)</f>
        <v>124.89905749180004</v>
      </c>
      <c r="AS373" s="119">
        <f>IF(tech_base!$T29&gt;AS$345,"",AS653+AS933+AS1213)</f>
        <v>124.58460275504997</v>
      </c>
      <c r="AT373" s="119">
        <f>IF(tech_base!$T29&gt;AT$345,"",AT653+AT933+AT1213)</f>
        <v>124.05200228722838</v>
      </c>
      <c r="AU373" s="119">
        <f>IF(tech_base!$T29&gt;AU$345,"",AU653+AU933+AU1213)</f>
        <v>123.57813695562717</v>
      </c>
      <c r="AV373" s="119">
        <f>IF(tech_base!$T29&gt;AV$345,"",AV653+AV933+AV1213)</f>
        <v>122.97920702146547</v>
      </c>
      <c r="AW373" s="119">
        <f>IF(tech_base!$T29&gt;AW$345,"",AW653+AW933+AW1213)</f>
        <v>122.30024149275452</v>
      </c>
      <c r="AX373" s="120">
        <f>IF(tech_base!$T29&gt;AX$345,"",AX653+AX933+AX1213)</f>
        <v>121.68499313182201</v>
      </c>
    </row>
    <row r="374" spans="1:50" x14ac:dyDescent="0.25">
      <c r="A374" s="356"/>
      <c r="B374" s="376"/>
      <c r="C374" s="379"/>
      <c r="D374" s="59" t="s">
        <v>10</v>
      </c>
      <c r="E374" s="79" t="str">
        <f>A353&amp;"/"&amp;B369&amp;"/"&amp;C372&amp;"/"&amp;D374</f>
        <v>Coal fired power plants/Fluidized bed combustion/CHP/S</v>
      </c>
      <c r="F374" s="79" t="str">
        <f>A353</f>
        <v>Coal fired power plants</v>
      </c>
      <c r="G374" s="79" t="str">
        <f>B369</f>
        <v>Fluidized bed combustion</v>
      </c>
      <c r="H374" s="79" t="str">
        <f>C372</f>
        <v>CHP</v>
      </c>
      <c r="I374" s="79" t="str">
        <f t="shared" si="357"/>
        <v>S</v>
      </c>
      <c r="J374" s="125">
        <f>IF(tech_base!$T30&gt;J$345,"",J654+J934+J1214)</f>
        <v>121.6924439849254</v>
      </c>
      <c r="K374" s="125">
        <f>IF(tech_base!$T30&gt;K$345,"",K654+K934+K1214)</f>
        <v>130.34725494377162</v>
      </c>
      <c r="L374" s="125">
        <f>IF(tech_base!$T30&gt;L$345,"",L654+L934+L1214)</f>
        <v>123.84464594452572</v>
      </c>
      <c r="M374" s="125">
        <f>IF(tech_base!$T30&gt;M$345,"",M654+M934+M1214)</f>
        <v>120.230214141261</v>
      </c>
      <c r="N374" s="125">
        <f>IF(tech_base!$T30&gt;N$345,"",N654+N934+N1214)</f>
        <v>118.88184483979144</v>
      </c>
      <c r="O374" s="125">
        <f>IF(tech_base!$T30&gt;O$345,"",O654+O934+O1214)</f>
        <v>116.9344296352038</v>
      </c>
      <c r="P374" s="125">
        <f>IF(tech_base!$T30&gt;P$345,"",P654+P934+P1214)</f>
        <v>118.62089500000424</v>
      </c>
      <c r="Q374" s="125">
        <f>IF(tech_base!$T30&gt;Q$345,"",Q654+Q934+Q1214)</f>
        <v>127.24664109418586</v>
      </c>
      <c r="R374" s="125">
        <f>IF(tech_base!$T30&gt;R$345,"",R654+R934+R1214)</f>
        <v>127.45536582968603</v>
      </c>
      <c r="S374" s="125">
        <f>IF(tech_base!$T30&gt;S$345,"",S654+S934+S1214)</f>
        <v>127.65801871609614</v>
      </c>
      <c r="T374" s="125">
        <f>IF(tech_base!$T30&gt;T$345,"",T654+T934+T1214)</f>
        <v>127.85404361493588</v>
      </c>
      <c r="U374" s="125">
        <f>IF(tech_base!$T30&gt;U$345,"",U654+U934+U1214)</f>
        <v>128.75153204688064</v>
      </c>
      <c r="V374" s="125">
        <f>IF(tech_base!$T30&gt;V$345,"",V654+V934+V1214)</f>
        <v>128.74010541078439</v>
      </c>
      <c r="W374" s="125">
        <f>IF(tech_base!$T30&gt;W$345,"",W654+W934+W1214)</f>
        <v>128.66476137996239</v>
      </c>
      <c r="X374" s="125">
        <f>IF(tech_base!$T30&gt;X$345,"",X654+X934+X1214)</f>
        <v>128.85495129368746</v>
      </c>
      <c r="Y374" s="125">
        <f>IF(tech_base!$T30&gt;Y$345,"",Y654+Y934+Y1214)</f>
        <v>129.07937372840428</v>
      </c>
      <c r="Z374" s="125">
        <f>IF(tech_base!$T30&gt;Z$345,"",Z654+Z934+Z1214)</f>
        <v>130.3540440095706</v>
      </c>
      <c r="AA374" s="125">
        <f>IF(tech_base!$T30&gt;AA$345,"",AA654+AA934+AA1214)</f>
        <v>131.61405600950405</v>
      </c>
      <c r="AB374" s="125">
        <f>IF(tech_base!$T30&gt;AB$345,"",AB654+AB934+AB1214)</f>
        <v>132.90609338889021</v>
      </c>
      <c r="AC374" s="125">
        <f>IF(tech_base!$T30&gt;AC$345,"",AC654+AC934+AC1214)</f>
        <v>134.19418109592803</v>
      </c>
      <c r="AD374" s="125">
        <f>IF(tech_base!$T30&gt;AD$345,"",AD654+AD934+AD1214)</f>
        <v>135.59760038218334</v>
      </c>
      <c r="AE374" s="125">
        <f>IF(tech_base!$T30&gt;AE$345,"",AE654+AE934+AE1214)</f>
        <v>135.87953758222017</v>
      </c>
      <c r="AF374" s="125">
        <f>IF(tech_base!$T30&gt;AF$345,"",AF654+AF934+AF1214)</f>
        <v>136.29478220453518</v>
      </c>
      <c r="AG374" s="125">
        <f>IF(tech_base!$T30&gt;AG$345,"",AG654+AG934+AG1214)</f>
        <v>136.70856088165237</v>
      </c>
      <c r="AH374" s="125">
        <f>IF(tech_base!$T30&gt;AH$345,"",AH654+AH934+AH1214)</f>
        <v>137.04663347408754</v>
      </c>
      <c r="AI374" s="125">
        <f>IF(tech_base!$T30&gt;AI$345,"",AI654+AI934+AI1214)</f>
        <v>137.29370255630238</v>
      </c>
      <c r="AJ374" s="125">
        <f>IF(tech_base!$T30&gt;AJ$345,"",AJ654+AJ934+AJ1214)</f>
        <v>137.34677316848064</v>
      </c>
      <c r="AK374" s="125">
        <f>IF(tech_base!$T30&gt;AK$345,"",AK654+AK934+AK1214)</f>
        <v>137.42418287707682</v>
      </c>
      <c r="AL374" s="125">
        <f>IF(tech_base!$T30&gt;AL$345,"",AL654+AL934+AL1214)</f>
        <v>137.50287094448365</v>
      </c>
      <c r="AM374" s="125">
        <f>IF(tech_base!$T30&gt;AM$345,"",AM654+AM934+AM1214)</f>
        <v>137.56991296037705</v>
      </c>
      <c r="AN374" s="125">
        <f>IF(tech_base!$T30&gt;AN$345,"",AN654+AN934+AN1214)</f>
        <v>137.45823407225379</v>
      </c>
      <c r="AO374" s="125">
        <f>IF(tech_base!$T30&gt;AO$345,"",AO654+AO934+AO1214)</f>
        <v>137.2791180986884</v>
      </c>
      <c r="AP374" s="125">
        <f>IF(tech_base!$T30&gt;AP$345,"",AP654+AP934+AP1214)</f>
        <v>137.02986694437342</v>
      </c>
      <c r="AQ374" s="125">
        <f>IF(tech_base!$T30&gt;AQ$345,"",AQ654+AQ934+AQ1214)</f>
        <v>136.71429738203148</v>
      </c>
      <c r="AR374" s="125">
        <f>IF(tech_base!$T30&gt;AR$345,"",AR654+AR934+AR1214)</f>
        <v>136.37266303406466</v>
      </c>
      <c r="AS374" s="125">
        <f>IF(tech_base!$T30&gt;AS$345,"",AS654+AS934+AS1214)</f>
        <v>135.97619658138777</v>
      </c>
      <c r="AT374" s="125">
        <f>IF(tech_base!$T30&gt;AT$345,"",AT654+AT934+AT1214)</f>
        <v>135.36345556066055</v>
      </c>
      <c r="AU374" s="125">
        <f>IF(tech_base!$T30&gt;AU$345,"",AU654+AU934+AU1214)</f>
        <v>134.82526019906203</v>
      </c>
      <c r="AV374" s="125">
        <f>IF(tech_base!$T30&gt;AV$345,"",AV654+AV934+AV1214)</f>
        <v>134.1679897865871</v>
      </c>
      <c r="AW374" s="125">
        <f>IF(tech_base!$T30&gt;AW$345,"",AW654+AW934+AW1214)</f>
        <v>133.43651147854658</v>
      </c>
      <c r="AX374" s="126">
        <f>IF(tech_base!$T30&gt;AX$345,"",AX654+AX934+AX1214)</f>
        <v>132.77779076007744</v>
      </c>
    </row>
    <row r="375" spans="1:50" x14ac:dyDescent="0.25">
      <c r="A375" s="356"/>
      <c r="B375" s="376"/>
      <c r="C375" s="361" t="s">
        <v>15</v>
      </c>
      <c r="D375" s="58" t="s">
        <v>7</v>
      </c>
      <c r="E375" s="78" t="str">
        <f>A353&amp;"/"&amp;B369&amp;"/"&amp;C375&amp;"/"&amp;D375</f>
        <v>Coal fired power plants/Fluidized bed combustion/Electricity only with CCS/L</v>
      </c>
      <c r="F375" s="78" t="str">
        <f>A353</f>
        <v>Coal fired power plants</v>
      </c>
      <c r="G375" s="78" t="str">
        <f>B369</f>
        <v>Fluidized bed combustion</v>
      </c>
      <c r="H375" s="78" t="str">
        <f>C375</f>
        <v>Electricity only with CCS</v>
      </c>
      <c r="I375" s="78" t="str">
        <f t="shared" si="357"/>
        <v>L</v>
      </c>
      <c r="J375" s="123" t="str">
        <f>IF(tech_base!$T31&gt;J$345,"",J655+J935+J1215)</f>
        <v/>
      </c>
      <c r="K375" s="123" t="str">
        <f>IF(tech_base!$T31&gt;K$345,"",K655+K935+K1215)</f>
        <v/>
      </c>
      <c r="L375" s="123" t="str">
        <f>IF(tech_base!$T31&gt;L$345,"",L655+L935+L1215)</f>
        <v/>
      </c>
      <c r="M375" s="123" t="str">
        <f>IF(tech_base!$T31&gt;M$345,"",M655+M935+M1215)</f>
        <v/>
      </c>
      <c r="N375" s="123" t="str">
        <f>IF(tech_base!$T31&gt;N$345,"",N655+N935+N1215)</f>
        <v/>
      </c>
      <c r="O375" s="123" t="str">
        <f>IF(tech_base!$T31&gt;O$345,"",O655+O935+O1215)</f>
        <v/>
      </c>
      <c r="P375" s="123" t="str">
        <f>IF(tech_base!$T31&gt;P$345,"",P655+P935+P1215)</f>
        <v/>
      </c>
      <c r="Q375" s="123" t="str">
        <f>IF(tech_base!$T31&gt;Q$345,"",Q655+Q935+Q1215)</f>
        <v/>
      </c>
      <c r="R375" s="123" t="str">
        <f>IF(tech_base!$T31&gt;R$345,"",R655+R935+R1215)</f>
        <v/>
      </c>
      <c r="S375" s="123" t="str">
        <f>IF(tech_base!$T31&gt;S$345,"",S655+S935+S1215)</f>
        <v/>
      </c>
      <c r="T375" s="123" t="str">
        <f>IF(tech_base!$T31&gt;T$345,"",T655+T935+T1215)</f>
        <v/>
      </c>
      <c r="U375" s="123" t="str">
        <f>IF(tech_base!$T31&gt;U$345,"",U655+U935+U1215)</f>
        <v/>
      </c>
      <c r="V375" s="123" t="str">
        <f>IF(tech_base!$T31&gt;V$345,"",V655+V935+V1215)</f>
        <v/>
      </c>
      <c r="W375" s="123" t="str">
        <f>IF(tech_base!$T31&gt;W$345,"",W655+W935+W1215)</f>
        <v/>
      </c>
      <c r="X375" s="123" t="str">
        <f>IF(tech_base!$T31&gt;X$345,"",X655+X935+X1215)</f>
        <v/>
      </c>
      <c r="Y375" s="123" t="str">
        <f>IF(tech_base!$T31&gt;Y$345,"",Y655+Y935+Y1215)</f>
        <v/>
      </c>
      <c r="Z375" s="123" t="str">
        <f>IF(tech_base!$T31&gt;Z$345,"",Z655+Z935+Z1215)</f>
        <v/>
      </c>
      <c r="AA375" s="123" t="str">
        <f>IF(tech_base!$T31&gt;AA$345,"",AA655+AA935+AA1215)</f>
        <v/>
      </c>
      <c r="AB375" s="123" t="str">
        <f>IF(tech_base!$T31&gt;AB$345,"",AB655+AB935+AB1215)</f>
        <v/>
      </c>
      <c r="AC375" s="123" t="str">
        <f>IF(tech_base!$T31&gt;AC$345,"",AC655+AC935+AC1215)</f>
        <v/>
      </c>
      <c r="AD375" s="123" t="str">
        <f>IF(tech_base!$T31&gt;AD$345,"",AD655+AD935+AD1215)</f>
        <v/>
      </c>
      <c r="AE375" s="123">
        <f>IF(tech_base!$T31&gt;AE$345,"",AE655+AE935+AE1215)</f>
        <v>217.99610120036641</v>
      </c>
      <c r="AF375" s="123">
        <f>IF(tech_base!$T31&gt;AF$345,"",AF655+AF935+AF1215)</f>
        <v>218.58242322692706</v>
      </c>
      <c r="AG375" s="123">
        <f>IF(tech_base!$T31&gt;AG$345,"",AG655+AG935+AG1215)</f>
        <v>219.18310820360011</v>
      </c>
      <c r="AH375" s="123">
        <f>IF(tech_base!$T31&gt;AH$345,"",AH655+AH935+AH1215)</f>
        <v>219.71982110244261</v>
      </c>
      <c r="AI375" s="123">
        <f>IF(tech_base!$T31&gt;AI$345,"",AI655+AI935+AI1215)</f>
        <v>220.17559668342059</v>
      </c>
      <c r="AJ375" s="123">
        <f>IF(tech_base!$T31&gt;AJ$345,"",AJ655+AJ935+AJ1215)</f>
        <v>220.43962987188212</v>
      </c>
      <c r="AK375" s="123">
        <f>IF(tech_base!$T31&gt;AK$345,"",AK655+AK935+AK1215)</f>
        <v>220.73940176680361</v>
      </c>
      <c r="AL375" s="123">
        <f>IF(tech_base!$T31&gt;AL$345,"",AL655+AL935+AL1215)</f>
        <v>221.04548603191193</v>
      </c>
      <c r="AM375" s="123">
        <f>IF(tech_base!$T31&gt;AM$345,"",AM655+AM935+AM1215)</f>
        <v>221.33659462523846</v>
      </c>
      <c r="AN375" s="123">
        <f>IF(tech_base!$T31&gt;AN$345,"",AN655+AN935+AN1215)</f>
        <v>221.42452330471599</v>
      </c>
      <c r="AO375" s="123">
        <f>IF(tech_base!$T31&gt;AO$345,"",AO655+AO935+AO1215)</f>
        <v>221.41194799265983</v>
      </c>
      <c r="AP375" s="123">
        <f>IF(tech_base!$T31&gt;AP$345,"",AP655+AP935+AP1215)</f>
        <v>221.27575389789357</v>
      </c>
      <c r="AQ375" s="123">
        <f>IF(tech_base!$T31&gt;AQ$345,"",AQ655+AQ935+AQ1215)</f>
        <v>220.99380802473698</v>
      </c>
      <c r="AR375" s="123">
        <f>IF(tech_base!$T31&gt;AR$345,"",AR655+AR935+AR1215)</f>
        <v>220.57612076404553</v>
      </c>
      <c r="AS375" s="123">
        <f>IF(tech_base!$T31&gt;AS$345,"",AS655+AS935+AS1215)</f>
        <v>219.95219840074853</v>
      </c>
      <c r="AT375" s="123">
        <f>IF(tech_base!$T31&gt;AT$345,"",AT655+AT935+AT1215)</f>
        <v>218.90327143157353</v>
      </c>
      <c r="AU375" s="123">
        <f>IF(tech_base!$T31&gt;AU$345,"",AU655+AU935+AU1215)</f>
        <v>217.68764948655726</v>
      </c>
      <c r="AV375" s="123">
        <f>IF(tech_base!$T31&gt;AV$345,"",AV655+AV935+AV1215)</f>
        <v>216.04517535641307</v>
      </c>
      <c r="AW375" s="123">
        <f>IF(tech_base!$T31&gt;AW$345,"",AW655+AW935+AW1215)</f>
        <v>213.97331088565744</v>
      </c>
      <c r="AX375" s="124">
        <f>IF(tech_base!$T31&gt;AX$345,"",AX655+AX935+AX1215)</f>
        <v>211.58868675997155</v>
      </c>
    </row>
    <row r="376" spans="1:50" x14ac:dyDescent="0.25">
      <c r="A376" s="356"/>
      <c r="B376" s="376"/>
      <c r="C376" s="379"/>
      <c r="D376" s="59" t="s">
        <v>8</v>
      </c>
      <c r="E376" s="79" t="str">
        <f>A353&amp;"/"&amp;B369&amp;"/"&amp;C375&amp;"/"&amp;D376</f>
        <v>Coal fired power plants/Fluidized bed combustion/Electricity only with CCS/M</v>
      </c>
      <c r="F376" s="79" t="str">
        <f>A353</f>
        <v>Coal fired power plants</v>
      </c>
      <c r="G376" s="79" t="str">
        <f>B369</f>
        <v>Fluidized bed combustion</v>
      </c>
      <c r="H376" s="79" t="str">
        <f>C375</f>
        <v>Electricity only with CCS</v>
      </c>
      <c r="I376" s="79" t="str">
        <f t="shared" si="357"/>
        <v>M</v>
      </c>
      <c r="J376" s="125" t="str">
        <f>IF(tech_base!$T32&gt;J$345,"",J656+J936+J1216)</f>
        <v/>
      </c>
      <c r="K376" s="125" t="str">
        <f>IF(tech_base!$T32&gt;K$345,"",K656+K936+K1216)</f>
        <v/>
      </c>
      <c r="L376" s="125" t="str">
        <f>IF(tech_base!$T32&gt;L$345,"",L656+L936+L1216)</f>
        <v/>
      </c>
      <c r="M376" s="125" t="str">
        <f>IF(tech_base!$T32&gt;M$345,"",M656+M936+M1216)</f>
        <v/>
      </c>
      <c r="N376" s="125" t="str">
        <f>IF(tech_base!$T32&gt;N$345,"",N656+N936+N1216)</f>
        <v/>
      </c>
      <c r="O376" s="125" t="str">
        <f>IF(tech_base!$T32&gt;O$345,"",O656+O936+O1216)</f>
        <v/>
      </c>
      <c r="P376" s="125" t="str">
        <f>IF(tech_base!$T32&gt;P$345,"",P656+P936+P1216)</f>
        <v/>
      </c>
      <c r="Q376" s="125" t="str">
        <f>IF(tech_base!$T32&gt;Q$345,"",Q656+Q936+Q1216)</f>
        <v/>
      </c>
      <c r="R376" s="125" t="str">
        <f>IF(tech_base!$T32&gt;R$345,"",R656+R936+R1216)</f>
        <v/>
      </c>
      <c r="S376" s="125" t="str">
        <f>IF(tech_base!$T32&gt;S$345,"",S656+S936+S1216)</f>
        <v/>
      </c>
      <c r="T376" s="125" t="str">
        <f>IF(tech_base!$T32&gt;T$345,"",T656+T936+T1216)</f>
        <v/>
      </c>
      <c r="U376" s="125" t="str">
        <f>IF(tech_base!$T32&gt;U$345,"",U656+U936+U1216)</f>
        <v/>
      </c>
      <c r="V376" s="125" t="str">
        <f>IF(tech_base!$T32&gt;V$345,"",V656+V936+V1216)</f>
        <v/>
      </c>
      <c r="W376" s="125" t="str">
        <f>IF(tech_base!$T32&gt;W$345,"",W656+W936+W1216)</f>
        <v/>
      </c>
      <c r="X376" s="125" t="str">
        <f>IF(tech_base!$T32&gt;X$345,"",X656+X936+X1216)</f>
        <v/>
      </c>
      <c r="Y376" s="125" t="str">
        <f>IF(tech_base!$T32&gt;Y$345,"",Y656+Y936+Y1216)</f>
        <v/>
      </c>
      <c r="Z376" s="125" t="str">
        <f>IF(tech_base!$T32&gt;Z$345,"",Z656+Z936+Z1216)</f>
        <v/>
      </c>
      <c r="AA376" s="125" t="str">
        <f>IF(tech_base!$T32&gt;AA$345,"",AA656+AA936+AA1216)</f>
        <v/>
      </c>
      <c r="AB376" s="125" t="str">
        <f>IF(tech_base!$T32&gt;AB$345,"",AB656+AB936+AB1216)</f>
        <v/>
      </c>
      <c r="AC376" s="125" t="str">
        <f>IF(tech_base!$T32&gt;AC$345,"",AC656+AC936+AC1216)</f>
        <v/>
      </c>
      <c r="AD376" s="125" t="str">
        <f>IF(tech_base!$T32&gt;AD$345,"",AD656+AD936+AD1216)</f>
        <v/>
      </c>
      <c r="AE376" s="125">
        <f>IF(tech_base!$T32&gt;AE$345,"",AE656+AE936+AE1216)</f>
        <v>242.89804291499829</v>
      </c>
      <c r="AF376" s="125">
        <f>IF(tech_base!$T32&gt;AF$345,"",AF656+AF936+AF1216)</f>
        <v>243.51586991552762</v>
      </c>
      <c r="AG376" s="125">
        <f>IF(tech_base!$T32&gt;AG$345,"",AG656+AG936+AG1216)</f>
        <v>244.14707743962299</v>
      </c>
      <c r="AH376" s="125">
        <f>IF(tech_base!$T32&gt;AH$345,"",AH656+AH936+AH1216)</f>
        <v>244.7076791353831</v>
      </c>
      <c r="AI376" s="125">
        <f>IF(tech_base!$T32&gt;AI$345,"",AI656+AI936+AI1216)</f>
        <v>245.17891854480871</v>
      </c>
      <c r="AJ376" s="125">
        <f>IF(tech_base!$T32&gt;AJ$345,"",AJ656+AJ936+AJ1216)</f>
        <v>245.44189354824974</v>
      </c>
      <c r="AK376" s="125">
        <f>IF(tech_base!$T32&gt;AK$345,"",AK656+AK936+AK1216)</f>
        <v>245.73782535308803</v>
      </c>
      <c r="AL376" s="125">
        <f>IF(tech_base!$T32&gt;AL$345,"",AL656+AL936+AL1216)</f>
        <v>246.0339713010145</v>
      </c>
      <c r="AM376" s="125">
        <f>IF(tech_base!$T32&gt;AM$345,"",AM656+AM936+AM1216)</f>
        <v>246.30589984699162</v>
      </c>
      <c r="AN376" s="125">
        <f>IF(tech_base!$T32&gt;AN$345,"",AN656+AN936+AN1216)</f>
        <v>246.35096044049564</v>
      </c>
      <c r="AO376" s="125">
        <f>IF(tech_base!$T32&gt;AO$345,"",AO656+AO936+AO1216)</f>
        <v>246.2758186730957</v>
      </c>
      <c r="AP376" s="125">
        <f>IF(tech_base!$T32&gt;AP$345,"",AP656+AP936+AP1216)</f>
        <v>246.05254416777402</v>
      </c>
      <c r="AQ376" s="125">
        <f>IF(tech_base!$T32&gt;AQ$345,"",AQ656+AQ936+AQ1216)</f>
        <v>245.65356680067484</v>
      </c>
      <c r="AR376" s="125">
        <f>IF(tech_base!$T32&gt;AR$345,"",AR656+AR936+AR1216)</f>
        <v>245.08480245443516</v>
      </c>
      <c r="AS376" s="125">
        <f>IF(tech_base!$T32&gt;AS$345,"",AS656+AS936+AS1216)</f>
        <v>244.26570468823968</v>
      </c>
      <c r="AT376" s="125">
        <f>IF(tech_base!$T32&gt;AT$345,"",AT656+AT936+AT1216)</f>
        <v>242.95728727807594</v>
      </c>
      <c r="AU376" s="125">
        <f>IF(tech_base!$T32&gt;AU$345,"",AU656+AU936+AU1216)</f>
        <v>241.42805805371347</v>
      </c>
      <c r="AV376" s="125">
        <f>IF(tech_base!$T32&gt;AV$345,"",AV656+AV936+AV1216)</f>
        <v>239.39473867266773</v>
      </c>
      <c r="AW376" s="125">
        <f>IF(tech_base!$T32&gt;AW$345,"",AW656+AW936+AW1216)</f>
        <v>236.84914597308997</v>
      </c>
      <c r="AX376" s="126">
        <f>IF(tech_base!$T32&gt;AX$345,"",AX656+AX936+AX1216)</f>
        <v>233.91163209428476</v>
      </c>
    </row>
    <row r="377" spans="1:50" x14ac:dyDescent="0.25">
      <c r="A377" s="356"/>
      <c r="B377" s="376"/>
      <c r="C377" s="361" t="s">
        <v>16</v>
      </c>
      <c r="D377" s="2" t="s">
        <v>7</v>
      </c>
      <c r="E377" s="76" t="str">
        <f>A353&amp;"/"&amp;B369&amp;"/"&amp;C377&amp;"/"&amp;D377</f>
        <v>Coal fired power plants/Fluidized bed combustion/CHP with CCS/L</v>
      </c>
      <c r="F377" s="76" t="str">
        <f>A353</f>
        <v>Coal fired power plants</v>
      </c>
      <c r="G377" s="76" t="str">
        <f>B369</f>
        <v>Fluidized bed combustion</v>
      </c>
      <c r="H377" s="76" t="str">
        <f>C377</f>
        <v>CHP with CCS</v>
      </c>
      <c r="I377" s="76" t="str">
        <f t="shared" si="357"/>
        <v>L</v>
      </c>
      <c r="J377" s="119" t="str">
        <f>IF(tech_base!$T33&gt;J$345,"",J657+J937+J1217)</f>
        <v/>
      </c>
      <c r="K377" s="119" t="str">
        <f>IF(tech_base!$T33&gt;K$345,"",K657+K937+K1217)</f>
        <v/>
      </c>
      <c r="L377" s="119" t="str">
        <f>IF(tech_base!$T33&gt;L$345,"",L657+L937+L1217)</f>
        <v/>
      </c>
      <c r="M377" s="119" t="str">
        <f>IF(tech_base!$T33&gt;M$345,"",M657+M937+M1217)</f>
        <v/>
      </c>
      <c r="N377" s="119" t="str">
        <f>IF(tech_base!$T33&gt;N$345,"",N657+N937+N1217)</f>
        <v/>
      </c>
      <c r="O377" s="119" t="str">
        <f>IF(tech_base!$T33&gt;O$345,"",O657+O937+O1217)</f>
        <v/>
      </c>
      <c r="P377" s="119" t="str">
        <f>IF(tech_base!$T33&gt;P$345,"",P657+P937+P1217)</f>
        <v/>
      </c>
      <c r="Q377" s="119" t="str">
        <f>IF(tech_base!$T33&gt;Q$345,"",Q657+Q937+Q1217)</f>
        <v/>
      </c>
      <c r="R377" s="119" t="str">
        <f>IF(tech_base!$T33&gt;R$345,"",R657+R937+R1217)</f>
        <v/>
      </c>
      <c r="S377" s="119" t="str">
        <f>IF(tech_base!$T33&gt;S$345,"",S657+S937+S1217)</f>
        <v/>
      </c>
      <c r="T377" s="119" t="str">
        <f>IF(tech_base!$T33&gt;T$345,"",T657+T937+T1217)</f>
        <v/>
      </c>
      <c r="U377" s="119" t="str">
        <f>IF(tech_base!$T33&gt;U$345,"",U657+U937+U1217)</f>
        <v/>
      </c>
      <c r="V377" s="119" t="str">
        <f>IF(tech_base!$T33&gt;V$345,"",V657+V937+V1217)</f>
        <v/>
      </c>
      <c r="W377" s="119" t="str">
        <f>IF(tech_base!$T33&gt;W$345,"",W657+W937+W1217)</f>
        <v/>
      </c>
      <c r="X377" s="119" t="str">
        <f>IF(tech_base!$T33&gt;X$345,"",X657+X937+X1217)</f>
        <v/>
      </c>
      <c r="Y377" s="119" t="str">
        <f>IF(tech_base!$T33&gt;Y$345,"",Y657+Y937+Y1217)</f>
        <v/>
      </c>
      <c r="Z377" s="119" t="str">
        <f>IF(tech_base!$T33&gt;Z$345,"",Z657+Z937+Z1217)</f>
        <v/>
      </c>
      <c r="AA377" s="119" t="str">
        <f>IF(tech_base!$T33&gt;AA$345,"",AA657+AA937+AA1217)</f>
        <v/>
      </c>
      <c r="AB377" s="119" t="str">
        <f>IF(tech_base!$T33&gt;AB$345,"",AB657+AB937+AB1217)</f>
        <v/>
      </c>
      <c r="AC377" s="119" t="str">
        <f>IF(tech_base!$T33&gt;AC$345,"",AC657+AC937+AC1217)</f>
        <v/>
      </c>
      <c r="AD377" s="119" t="str">
        <f>IF(tech_base!$T33&gt;AD$345,"",AD657+AD937+AD1217)</f>
        <v/>
      </c>
      <c r="AE377" s="119">
        <f>IF(tech_base!$T33&gt;AE$345,"",AE657+AE937+AE1217)</f>
        <v>244.56384866617603</v>
      </c>
      <c r="AF377" s="119">
        <f>IF(tech_base!$T33&gt;AF$345,"",AF657+AF937+AF1217)</f>
        <v>245.2361876792753</v>
      </c>
      <c r="AG377" s="119">
        <f>IF(tech_base!$T33&gt;AG$345,"",AG657+AG937+AG1217)</f>
        <v>245.92714744089002</v>
      </c>
      <c r="AH377" s="119">
        <f>IF(tech_base!$T33&gt;AH$345,"",AH657+AH937+AH1217)</f>
        <v>246.5486644728181</v>
      </c>
      <c r="AI377" s="119">
        <f>IF(tech_base!$T33&gt;AI$345,"",AI657+AI937+AI1217)</f>
        <v>247.08236206246227</v>
      </c>
      <c r="AJ377" s="119">
        <f>IF(tech_base!$T33&gt;AJ$345,"",AJ657+AJ937+AJ1217)</f>
        <v>247.403795405393</v>
      </c>
      <c r="AK377" s="119">
        <f>IF(tech_base!$T33&gt;AK$345,"",AK657+AK937+AK1217)</f>
        <v>247.77198215179149</v>
      </c>
      <c r="AL377" s="119">
        <f>IF(tech_base!$T33&gt;AL$345,"",AL657+AL937+AL1217)</f>
        <v>248.15531101268442</v>
      </c>
      <c r="AM377" s="119">
        <f>IF(tech_base!$T33&gt;AM$345,"",AM657+AM937+AM1217)</f>
        <v>248.53183140744736</v>
      </c>
      <c r="AN377" s="119">
        <f>IF(tech_base!$T33&gt;AN$345,"",AN657+AN937+AN1217)</f>
        <v>248.69101809007972</v>
      </c>
      <c r="AO377" s="119">
        <f>IF(tech_base!$T33&gt;AO$345,"",AO657+AO937+AO1217)</f>
        <v>248.75251330642851</v>
      </c>
      <c r="AP377" s="119">
        <f>IF(tech_base!$T33&gt;AP$345,"",AP657+AP937+AP1217)</f>
        <v>248.6942107371483</v>
      </c>
      <c r="AQ377" s="119">
        <f>IF(tech_base!$T33&gt;AQ$345,"",AQ657+AQ937+AQ1217)</f>
        <v>248.49596819011322</v>
      </c>
      <c r="AR377" s="119">
        <f>IF(tech_base!$T33&gt;AR$345,"",AR657+AR937+AR1217)</f>
        <v>248.17500937335305</v>
      </c>
      <c r="AS377" s="119">
        <f>IF(tech_base!$T33&gt;AS$345,"",AS657+AS937+AS1217)</f>
        <v>247.658237083107</v>
      </c>
      <c r="AT377" s="119">
        <f>IF(tech_base!$T33&gt;AT$345,"",AT657+AT937+AT1217)</f>
        <v>246.7051123844351</v>
      </c>
      <c r="AU377" s="119">
        <f>IF(tech_base!$T33&gt;AU$345,"",AU657+AU937+AU1217)</f>
        <v>245.61669711100024</v>
      </c>
      <c r="AV377" s="119">
        <f>IF(tech_base!$T33&gt;AV$345,"",AV657+AV937+AV1217)</f>
        <v>244.10585361655993</v>
      </c>
      <c r="AW377" s="119">
        <f>IF(tech_base!$T33&gt;AW$345,"",AW657+AW937+AW1217)</f>
        <v>242.17663136832181</v>
      </c>
      <c r="AX377" s="120">
        <f>IF(tech_base!$T33&gt;AX$345,"",AX657+AX937+AX1217)</f>
        <v>239.96638344662085</v>
      </c>
    </row>
    <row r="378" spans="1:50" x14ac:dyDescent="0.25">
      <c r="A378" s="356"/>
      <c r="B378" s="380"/>
      <c r="C378" s="381"/>
      <c r="D378" s="4" t="s">
        <v>8</v>
      </c>
      <c r="E378" s="80" t="str">
        <f>A353&amp;"/"&amp;B369&amp;"/"&amp;C377&amp;"/"&amp;D378</f>
        <v>Coal fired power plants/Fluidized bed combustion/CHP with CCS/M</v>
      </c>
      <c r="F378" s="80" t="str">
        <f>A353</f>
        <v>Coal fired power plants</v>
      </c>
      <c r="G378" s="80" t="str">
        <f>B369</f>
        <v>Fluidized bed combustion</v>
      </c>
      <c r="H378" s="80" t="str">
        <f>C377</f>
        <v>CHP with CCS</v>
      </c>
      <c r="I378" s="80" t="str">
        <f t="shared" si="357"/>
        <v>M</v>
      </c>
      <c r="J378" s="127" t="str">
        <f>IF(tech_base!$T34&gt;J$345,"",J658+J938+J1218)</f>
        <v/>
      </c>
      <c r="K378" s="127" t="str">
        <f>IF(tech_base!$T34&gt;K$345,"",K658+K938+K1218)</f>
        <v/>
      </c>
      <c r="L378" s="127" t="str">
        <f>IF(tech_base!$T34&gt;L$345,"",L658+L938+L1218)</f>
        <v/>
      </c>
      <c r="M378" s="127" t="str">
        <f>IF(tech_base!$T34&gt;M$345,"",M658+M938+M1218)</f>
        <v/>
      </c>
      <c r="N378" s="127" t="str">
        <f>IF(tech_base!$T34&gt;N$345,"",N658+N938+N1218)</f>
        <v/>
      </c>
      <c r="O378" s="127" t="str">
        <f>IF(tech_base!$T34&gt;O$345,"",O658+O938+O1218)</f>
        <v/>
      </c>
      <c r="P378" s="127" t="str">
        <f>IF(tech_base!$T34&gt;P$345,"",P658+P938+P1218)</f>
        <v/>
      </c>
      <c r="Q378" s="127" t="str">
        <f>IF(tech_base!$T34&gt;Q$345,"",Q658+Q938+Q1218)</f>
        <v/>
      </c>
      <c r="R378" s="127" t="str">
        <f>IF(tech_base!$T34&gt;R$345,"",R658+R938+R1218)</f>
        <v/>
      </c>
      <c r="S378" s="127" t="str">
        <f>IF(tech_base!$T34&gt;S$345,"",S658+S938+S1218)</f>
        <v/>
      </c>
      <c r="T378" s="127" t="str">
        <f>IF(tech_base!$T34&gt;T$345,"",T658+T938+T1218)</f>
        <v/>
      </c>
      <c r="U378" s="127" t="str">
        <f>IF(tech_base!$T34&gt;U$345,"",U658+U938+U1218)</f>
        <v/>
      </c>
      <c r="V378" s="127" t="str">
        <f>IF(tech_base!$T34&gt;V$345,"",V658+V938+V1218)</f>
        <v/>
      </c>
      <c r="W378" s="127" t="str">
        <f>IF(tech_base!$T34&gt;W$345,"",W658+W938+W1218)</f>
        <v/>
      </c>
      <c r="X378" s="127" t="str">
        <f>IF(tech_base!$T34&gt;X$345,"",X658+X938+X1218)</f>
        <v/>
      </c>
      <c r="Y378" s="127" t="str">
        <f>IF(tech_base!$T34&gt;Y$345,"",Y658+Y938+Y1218)</f>
        <v/>
      </c>
      <c r="Z378" s="127" t="str">
        <f>IF(tech_base!$T34&gt;Z$345,"",Z658+Z938+Z1218)</f>
        <v/>
      </c>
      <c r="AA378" s="127" t="str">
        <f>IF(tech_base!$T34&gt;AA$345,"",AA658+AA938+AA1218)</f>
        <v/>
      </c>
      <c r="AB378" s="127" t="str">
        <f>IF(tech_base!$T34&gt;AB$345,"",AB658+AB938+AB1218)</f>
        <v/>
      </c>
      <c r="AC378" s="127" t="str">
        <f>IF(tech_base!$T34&gt;AC$345,"",AC658+AC938+AC1218)</f>
        <v/>
      </c>
      <c r="AD378" s="127" t="str">
        <f>IF(tech_base!$T34&gt;AD$345,"",AD658+AD938+AD1218)</f>
        <v/>
      </c>
      <c r="AE378" s="127">
        <f>IF(tech_base!$T34&gt;AE$345,"",AE658+AE938+AE1218)</f>
        <v>271.20199208363789</v>
      </c>
      <c r="AF378" s="127">
        <f>IF(tech_base!$T34&gt;AF$345,"",AF658+AF938+AF1218)</f>
        <v>271.91294717059282</v>
      </c>
      <c r="AG378" s="127">
        <f>IF(tech_base!$T34&gt;AG$345,"",AG658+AG938+AG1218)</f>
        <v>272.64188626665958</v>
      </c>
      <c r="AH378" s="127">
        <f>IF(tech_base!$T34&gt;AH$345,"",AH658+AH938+AH1218)</f>
        <v>273.29428590852706</v>
      </c>
      <c r="AI378" s="127">
        <f>IF(tech_base!$T34&gt;AI$345,"",AI658+AI938+AI1218)</f>
        <v>273.84985852919539</v>
      </c>
      <c r="AJ378" s="127">
        <f>IF(tech_base!$T34&gt;AJ$345,"",AJ658+AJ938+AJ1218)</f>
        <v>274.17492909104294</v>
      </c>
      <c r="AK378" s="127">
        <f>IF(tech_base!$T34&gt;AK$345,"",AK658+AK938+AK1218)</f>
        <v>274.54486389018825</v>
      </c>
      <c r="AL378" s="127">
        <f>IF(tech_base!$T34&gt;AL$345,"",AL658+AL938+AL1218)</f>
        <v>274.92454778865118</v>
      </c>
      <c r="AM378" s="127">
        <f>IF(tech_base!$T34&gt;AM$345,"",AM658+AM938+AM1218)</f>
        <v>275.28882347190063</v>
      </c>
      <c r="AN378" s="127">
        <f>IF(tech_base!$T34&gt;AN$345,"",AN658+AN938+AN1218)</f>
        <v>275.41086328504514</v>
      </c>
      <c r="AO378" s="127">
        <f>IF(tech_base!$T34&gt;AO$345,"",AO658+AO938+AO1218)</f>
        <v>275.41569177526009</v>
      </c>
      <c r="AP378" s="127">
        <f>IF(tech_base!$T34&gt;AP$345,"",AP658+AP938+AP1218)</f>
        <v>275.27645589448332</v>
      </c>
      <c r="AQ378" s="127">
        <f>IF(tech_base!$T34&gt;AQ$345,"",AQ658+AQ938+AQ1218)</f>
        <v>274.96772290412565</v>
      </c>
      <c r="AR378" s="127">
        <f>IF(tech_base!$T34&gt;AR$345,"",AR658+AR938+AR1218)</f>
        <v>274.50319420860865</v>
      </c>
      <c r="AS378" s="127">
        <f>IF(tech_base!$T34&gt;AS$345,"",AS658+AS938+AS1218)</f>
        <v>273.79947855846876</v>
      </c>
      <c r="AT378" s="127">
        <f>IF(tech_base!$T34&gt;AT$345,"",AT658+AT938+AT1218)</f>
        <v>272.59400920407273</v>
      </c>
      <c r="AU378" s="127">
        <f>IF(tech_base!$T34&gt;AU$345,"",AU658+AU938+AU1218)</f>
        <v>271.20152189060337</v>
      </c>
      <c r="AV378" s="127">
        <f>IF(tech_base!$T34&gt;AV$345,"",AV658+AV938+AV1218)</f>
        <v>269.30952154768801</v>
      </c>
      <c r="AW378" s="127">
        <f>IF(tech_base!$T34&gt;AW$345,"",AW658+AW938+AW1218)</f>
        <v>266.9169334781987</v>
      </c>
      <c r="AX378" s="128">
        <f>IF(tech_base!$T34&gt;AX$345,"",AX658+AX938+AX1218)</f>
        <v>264.16649462461555</v>
      </c>
    </row>
    <row r="379" spans="1:50" x14ac:dyDescent="0.25">
      <c r="A379" s="356"/>
      <c r="B379" s="358" t="s">
        <v>19</v>
      </c>
      <c r="C379" s="353" t="s">
        <v>6</v>
      </c>
      <c r="D379" s="3" t="s">
        <v>7</v>
      </c>
      <c r="E379" s="77" t="str">
        <f>A353&amp;"/"&amp;B379&amp;"/"&amp;C379&amp;"/"&amp;D379</f>
        <v>Coal fired power plants/Steam turbine/Electricity only/L</v>
      </c>
      <c r="F379" s="77" t="str">
        <f>A353</f>
        <v>Coal fired power plants</v>
      </c>
      <c r="G379" s="77" t="str">
        <f>B379</f>
        <v>Steam turbine</v>
      </c>
      <c r="H379" s="77" t="str">
        <f>C379</f>
        <v>Electricity only</v>
      </c>
      <c r="I379" s="77" t="str">
        <f t="shared" si="357"/>
        <v>L</v>
      </c>
      <c r="J379" s="121">
        <f>IF(tech_base!$T35&gt;J$345,"",J659+J939+J1219)</f>
        <v>72.724804630285846</v>
      </c>
      <c r="K379" s="121">
        <f>IF(tech_base!$T35&gt;K$345,"",K659+K939+K1219)</f>
        <v>79.639730814713943</v>
      </c>
      <c r="L379" s="121">
        <f>IF(tech_base!$T35&gt;L$345,"",L659+L939+L1219)</f>
        <v>74.579906872422185</v>
      </c>
      <c r="M379" s="121">
        <f>IF(tech_base!$T35&gt;M$345,"",M659+M939+M1219)</f>
        <v>71.805011136009881</v>
      </c>
      <c r="N379" s="121">
        <f>IF(tech_base!$T35&gt;N$345,"",N659+N939+N1219)</f>
        <v>70.821924937001725</v>
      </c>
      <c r="O379" s="121">
        <f>IF(tech_base!$T35&gt;O$345,"",O659+O939+O1219)</f>
        <v>69.368379763588564</v>
      </c>
      <c r="P379" s="121">
        <f>IF(tech_base!$T35&gt;P$345,"",P659+P939+P1219)</f>
        <v>70.784043814095156</v>
      </c>
      <c r="Q379" s="121">
        <f>IF(tech_base!$T35&gt;Q$345,"",Q659+Q939+Q1219)</f>
        <v>77.673299553136104</v>
      </c>
      <c r="R379" s="121">
        <f>IF(tech_base!$T35&gt;R$345,"",R659+R939+R1219)</f>
        <v>77.925313086003698</v>
      </c>
      <c r="S379" s="121">
        <f>IF(tech_base!$T35&gt;S$345,"",S659+S939+S1219)</f>
        <v>78.175261750061438</v>
      </c>
      <c r="T379" s="121">
        <f>IF(tech_base!$T35&gt;T$345,"",T659+T939+T1219)</f>
        <v>78.423155725587918</v>
      </c>
      <c r="U379" s="121">
        <f>IF(tech_base!$T35&gt;U$345,"",U659+U939+U1219)</f>
        <v>79.227350695781809</v>
      </c>
      <c r="V379" s="121">
        <f>IF(tech_base!$T35&gt;V$345,"",V659+V939+V1219)</f>
        <v>79.319713965774156</v>
      </c>
      <c r="W379" s="121">
        <f>IF(tech_base!$T35&gt;W$345,"",W659+W939+W1219)</f>
        <v>79.366808732752588</v>
      </c>
      <c r="X379" s="121">
        <f>IF(tech_base!$T35&gt;X$345,"",X659+X939+X1219)</f>
        <v>79.628853212300626</v>
      </c>
      <c r="Y379" s="121">
        <f>IF(tech_base!$T35&gt;Y$345,"",Y659+Y939+Y1219)</f>
        <v>79.924586893010428</v>
      </c>
      <c r="Z379" s="121">
        <f>IF(tech_base!$T35&gt;Z$345,"",Z659+Z939+Z1219)</f>
        <v>81.05486002501948</v>
      </c>
      <c r="AA379" s="121">
        <f>IF(tech_base!$T35&gt;AA$345,"",AA659+AA939+AA1219)</f>
        <v>82.182539321053042</v>
      </c>
      <c r="AB379" s="121">
        <f>IF(tech_base!$T35&gt;AB$345,"",AB659+AB939+AB1219)</f>
        <v>83.345889028903684</v>
      </c>
      <c r="AC379" s="121">
        <f>IF(tech_base!$T35&gt;AC$345,"",AC659+AC939+AC1219)</f>
        <v>84.518323711015427</v>
      </c>
      <c r="AD379" s="121">
        <f>IF(tech_base!$T35&gt;AD$345,"",AD659+AD939+AD1219)</f>
        <v>85.795712566837011</v>
      </c>
      <c r="AE379" s="121">
        <f>IF(tech_base!$T35&gt;AE$345,"",AE659+AE939+AE1219)</f>
        <v>86.206502900877354</v>
      </c>
      <c r="AF379" s="121">
        <f>IF(tech_base!$T35&gt;AF$345,"",AF659+AF939+AF1219)</f>
        <v>86.740785343345976</v>
      </c>
      <c r="AG379" s="121">
        <f>IF(tech_base!$T35&gt;AG$345,"",AG659+AG939+AG1219)</f>
        <v>87.29506658585909</v>
      </c>
      <c r="AH379" s="121">
        <f>IF(tech_base!$T35&gt;AH$345,"",AH659+AH939+AH1219)</f>
        <v>87.81370244252588</v>
      </c>
      <c r="AI379" s="121">
        <f>IF(tech_base!$T35&gt;AI$345,"",AI659+AI939+AI1219)</f>
        <v>88.287660456920946</v>
      </c>
      <c r="AJ379" s="121">
        <f>IF(tech_base!$T35&gt;AJ$345,"",AJ659+AJ939+AJ1219)</f>
        <v>88.638870020789426</v>
      </c>
      <c r="AK379" s="121">
        <f>IF(tech_base!$T35&gt;AK$345,"",AK659+AK939+AK1219)</f>
        <v>89.042894202484234</v>
      </c>
      <c r="AL379" s="121">
        <f>IF(tech_base!$T35&gt;AL$345,"",AL659+AL939+AL1219)</f>
        <v>89.485121577439585</v>
      </c>
      <c r="AM379" s="121">
        <f>IF(tech_base!$T35&gt;AM$345,"",AM659+AM939+AM1219)</f>
        <v>89.958924823220229</v>
      </c>
      <c r="AN379" s="121">
        <f>IF(tech_base!$T35&gt;AN$345,"",AN659+AN939+AN1219)</f>
        <v>90.335388654658004</v>
      </c>
      <c r="AO379" s="121">
        <f>IF(tech_base!$T35&gt;AO$345,"",AO659+AO939+AO1219)</f>
        <v>90.705408841259668</v>
      </c>
      <c r="AP379" s="121">
        <f>IF(tech_base!$T35&gt;AP$345,"",AP659+AP939+AP1219)</f>
        <v>91.069223251537409</v>
      </c>
      <c r="AQ379" s="121">
        <f>IF(tech_base!$T35&gt;AQ$345,"",AQ659+AQ939+AQ1219)</f>
        <v>91.431433273082092</v>
      </c>
      <c r="AR379" s="121">
        <f>IF(tech_base!$T35&gt;AR$345,"",AR659+AR939+AR1219)</f>
        <v>91.824640661843574</v>
      </c>
      <c r="AS379" s="121">
        <f>IF(tech_base!$T35&gt;AS$345,"",AS659+AS939+AS1219)</f>
        <v>92.225139527655045</v>
      </c>
      <c r="AT379" s="121">
        <f>IF(tech_base!$T35&gt;AT$345,"",AT659+AT939+AT1219)</f>
        <v>92.500952256385034</v>
      </c>
      <c r="AU379" s="121">
        <f>IF(tech_base!$T35&gt;AU$345,"",AU659+AU939+AU1219)</f>
        <v>92.880352134704424</v>
      </c>
      <c r="AV379" s="121">
        <f>IF(tech_base!$T35&gt;AV$345,"",AV659+AV939+AV1219)</f>
        <v>93.201432137565206</v>
      </c>
      <c r="AW379" s="121">
        <f>IF(tech_base!$T35&gt;AW$345,"",AW659+AW939+AW1219)</f>
        <v>93.491187146634303</v>
      </c>
      <c r="AX379" s="122">
        <f>IF(tech_base!$T35&gt;AX$345,"",AX659+AX939+AX1219)</f>
        <v>93.857791869583366</v>
      </c>
    </row>
    <row r="380" spans="1:50" x14ac:dyDescent="0.25">
      <c r="A380" s="356"/>
      <c r="B380" s="376"/>
      <c r="C380" s="378"/>
      <c r="D380" s="2" t="s">
        <v>8</v>
      </c>
      <c r="E380" s="76" t="str">
        <f>A353&amp;"/"&amp;B379&amp;"/"&amp;C379&amp;"/"&amp;D380</f>
        <v>Coal fired power plants/Steam turbine/Electricity only/M</v>
      </c>
      <c r="F380" s="76" t="str">
        <f>A353</f>
        <v>Coal fired power plants</v>
      </c>
      <c r="G380" s="76" t="str">
        <f>B379</f>
        <v>Steam turbine</v>
      </c>
      <c r="H380" s="76" t="str">
        <f>C379</f>
        <v>Electricity only</v>
      </c>
      <c r="I380" s="76" t="str">
        <f t="shared" si="357"/>
        <v>M</v>
      </c>
      <c r="J380" s="119">
        <f>IF(tech_base!$T36&gt;J$345,"",J660+J940+J1220)</f>
        <v>77.956894888055075</v>
      </c>
      <c r="K380" s="119">
        <f>IF(tech_base!$T36&gt;K$345,"",K660+K940+K1220)</f>
        <v>85.227566374002308</v>
      </c>
      <c r="L380" s="119">
        <f>IF(tech_base!$T36&gt;L$345,"",L660+L940+L1220)</f>
        <v>79.885139344626126</v>
      </c>
      <c r="M380" s="119">
        <f>IF(tech_base!$T36&gt;M$345,"",M660+M940+M1220)</f>
        <v>76.949033604444409</v>
      </c>
      <c r="N380" s="119">
        <f>IF(tech_base!$T36&gt;N$345,"",N660+N940+N1220)</f>
        <v>75.90024725692264</v>
      </c>
      <c r="O380" s="119">
        <f>IF(tech_base!$T36&gt;O$345,"",O660+O940+O1220)</f>
        <v>74.355628144264244</v>
      </c>
      <c r="P380" s="119">
        <f>IF(tech_base!$T36&gt;P$345,"",P660+P940+P1220)</f>
        <v>75.834047343931644</v>
      </c>
      <c r="Q380" s="119">
        <f>IF(tech_base!$T36&gt;Q$345,"",Q660+Q940+Q1220)</f>
        <v>83.080538382591897</v>
      </c>
      <c r="R380" s="119">
        <f>IF(tech_base!$T36&gt;R$345,"",R660+R940+R1220)</f>
        <v>83.333498695039836</v>
      </c>
      <c r="S380" s="119">
        <f>IF(tech_base!$T36&gt;S$345,"",S660+S940+S1220)</f>
        <v>83.584338115987265</v>
      </c>
      <c r="T380" s="119">
        <f>IF(tech_base!$T36&gt;T$345,"",T660+T940+T1220)</f>
        <v>83.833072958051815</v>
      </c>
      <c r="U380" s="119">
        <f>IF(tech_base!$T36&gt;U$345,"",U660+U940+U1220)</f>
        <v>84.668242808081928</v>
      </c>
      <c r="V380" s="119">
        <f>IF(tech_base!$T36&gt;V$345,"",V660+V940+V1220)</f>
        <v>84.753208163897597</v>
      </c>
      <c r="W380" s="119">
        <f>IF(tech_base!$T36&gt;W$345,"",W660+W940+W1220)</f>
        <v>84.790507917819554</v>
      </c>
      <c r="X380" s="119">
        <f>IF(tech_base!$T36&gt;X$345,"",X660+X940+X1220)</f>
        <v>85.054475892603023</v>
      </c>
      <c r="Y380" s="119">
        <f>IF(tech_base!$T36&gt;Y$345,"",Y660+Y940+Y1220)</f>
        <v>85.354054249829574</v>
      </c>
      <c r="Z380" s="119">
        <f>IF(tech_base!$T36&gt;Z$345,"",Z660+Z940+Z1220)</f>
        <v>86.533668938919732</v>
      </c>
      <c r="AA380" s="119">
        <f>IF(tech_base!$T36&gt;AA$345,"",AA660+AA940+AA1220)</f>
        <v>87.710767211715051</v>
      </c>
      <c r="AB380" s="119">
        <f>IF(tech_base!$T36&gt;AB$345,"",AB660+AB940+AB1220)</f>
        <v>88.925702486455137</v>
      </c>
      <c r="AC380" s="119">
        <f>IF(tech_base!$T36&gt;AC$345,"",AC660+AC940+AC1220)</f>
        <v>90.150447761352609</v>
      </c>
      <c r="AD380" s="119">
        <f>IF(tech_base!$T36&gt;AD$345,"",AD660+AD940+AD1220)</f>
        <v>91.486117058405597</v>
      </c>
      <c r="AE380" s="119">
        <f>IF(tech_base!$T36&gt;AE$345,"",AE660+AE940+AE1220)</f>
        <v>91.908009121895162</v>
      </c>
      <c r="AF380" s="119">
        <f>IF(tech_base!$T36&gt;AF$345,"",AF660+AF940+AF1220)</f>
        <v>92.460298957810465</v>
      </c>
      <c r="AG380" s="119">
        <f>IF(tech_base!$T36&gt;AG$345,"",AG660+AG940+AG1220)</f>
        <v>93.033843049065311</v>
      </c>
      <c r="AH380" s="119">
        <f>IF(tech_base!$T36&gt;AH$345,"",AH660+AH940+AH1220)</f>
        <v>93.569948114273217</v>
      </c>
      <c r="AI380" s="119">
        <f>IF(tech_base!$T36&gt;AI$345,"",AI660+AI940+AI1220)</f>
        <v>94.059081258936004</v>
      </c>
      <c r="AJ380" s="119">
        <f>IF(tech_base!$T36&gt;AJ$345,"",AJ660+AJ940+AJ1220)</f>
        <v>94.418869312373957</v>
      </c>
      <c r="AK380" s="119">
        <f>IF(tech_base!$T36&gt;AK$345,"",AK660+AK940+AK1220)</f>
        <v>94.834529380168021</v>
      </c>
      <c r="AL380" s="119">
        <f>IF(tech_base!$T36&gt;AL$345,"",AL660+AL940+AL1220)</f>
        <v>95.290656089260381</v>
      </c>
      <c r="AM380" s="119">
        <f>IF(tech_base!$T36&gt;AM$345,"",AM660+AM940+AM1220)</f>
        <v>95.780265152055904</v>
      </c>
      <c r="AN380" s="119">
        <f>IF(tech_base!$T36&gt;AN$345,"",AN660+AN940+AN1220)</f>
        <v>96.16732288349192</v>
      </c>
      <c r="AO380" s="119">
        <f>IF(tech_base!$T36&gt;AO$345,"",AO660+AO940+AO1220)</f>
        <v>96.547739681655088</v>
      </c>
      <c r="AP380" s="119">
        <f>IF(tech_base!$T36&gt;AP$345,"",AP660+AP940+AP1220)</f>
        <v>96.921767278664404</v>
      </c>
      <c r="AQ380" s="119">
        <f>IF(tech_base!$T36&gt;AQ$345,"",AQ660+AQ940+AQ1220)</f>
        <v>97.294262739110422</v>
      </c>
      <c r="AR380" s="119">
        <f>IF(tech_base!$T36&gt;AR$345,"",AR660+AR940+AR1220)</f>
        <v>97.699638244913672</v>
      </c>
      <c r="AS380" s="119">
        <f>IF(tech_base!$T36&gt;AS$345,"",AS660+AS940+AS1220)</f>
        <v>98.112877211137302</v>
      </c>
      <c r="AT380" s="119">
        <f>IF(tech_base!$T36&gt;AT$345,"",AT660+AT940+AT1220)</f>
        <v>98.394665963768645</v>
      </c>
      <c r="AU380" s="119">
        <f>IF(tech_base!$T36&gt;AU$345,"",AU660+AU940+AU1220)</f>
        <v>98.785963400739632</v>
      </c>
      <c r="AV380" s="119">
        <f>IF(tech_base!$T36&gt;AV$345,"",AV660+AV940+AV1220)</f>
        <v>99.115860327551133</v>
      </c>
      <c r="AW380" s="119">
        <f>IF(tech_base!$T36&gt;AW$345,"",AW660+AW940+AW1220)</f>
        <v>99.41284845730172</v>
      </c>
      <c r="AX380" s="120">
        <f>IF(tech_base!$T36&gt;AX$345,"",AX660+AX940+AX1220)</f>
        <v>99.791134634041811</v>
      </c>
    </row>
    <row r="381" spans="1:50" x14ac:dyDescent="0.25">
      <c r="A381" s="356"/>
      <c r="B381" s="376"/>
      <c r="C381" s="378"/>
      <c r="D381" s="2" t="s">
        <v>10</v>
      </c>
      <c r="E381" s="76" t="str">
        <f>A353&amp;"/"&amp;B379&amp;"/"&amp;C379&amp;"/"&amp;D381</f>
        <v>Coal fired power plants/Steam turbine/Electricity only/S</v>
      </c>
      <c r="F381" s="76" t="str">
        <f>A353</f>
        <v>Coal fired power plants</v>
      </c>
      <c r="G381" s="76" t="str">
        <f>B379</f>
        <v>Steam turbine</v>
      </c>
      <c r="H381" s="76" t="str">
        <f>C379</f>
        <v>Electricity only</v>
      </c>
      <c r="I381" s="76" t="str">
        <f t="shared" si="357"/>
        <v>S</v>
      </c>
      <c r="J381" s="119">
        <f>IF(tech_base!$T37&gt;J$345,"",J661+J941+J1221)</f>
        <v>84.822657999117169</v>
      </c>
      <c r="K381" s="119">
        <f>IF(tech_base!$T37&gt;K$345,"",K661+K941+K1221)</f>
        <v>92.468947204474247</v>
      </c>
      <c r="L381" s="119">
        <f>IF(tech_base!$T37&gt;L$345,"",L661+L941+L1221)</f>
        <v>86.827577664858282</v>
      </c>
      <c r="M381" s="119">
        <f>IF(tech_base!$T37&gt;M$345,"",M661+M941+M1221)</f>
        <v>83.72078980881922</v>
      </c>
      <c r="N381" s="119">
        <f>IF(tech_base!$T37&gt;N$345,"",N661+N941+N1221)</f>
        <v>82.602250507967483</v>
      </c>
      <c r="O381" s="119">
        <f>IF(tech_base!$T37&gt;O$345,"",O661+O941+O1221)</f>
        <v>80.961050796178512</v>
      </c>
      <c r="P381" s="119">
        <f>IF(tech_base!$T37&gt;P$345,"",P661+P941+P1221)</f>
        <v>82.505492654187591</v>
      </c>
      <c r="Q381" s="119">
        <f>IF(tech_base!$T37&gt;Q$345,"",Q661+Q941+Q1221)</f>
        <v>90.12933824434927</v>
      </c>
      <c r="R381" s="119">
        <f>IF(tech_base!$T37&gt;R$345,"",R661+R941+R1221)</f>
        <v>90.38302184130751</v>
      </c>
      <c r="S381" s="119">
        <f>IF(tech_base!$T37&gt;S$345,"",S661+S941+S1221)</f>
        <v>90.634529179616209</v>
      </c>
      <c r="T381" s="119">
        <f>IF(tech_base!$T37&gt;T$345,"",T661+T941+T1221)</f>
        <v>90.883883154917456</v>
      </c>
      <c r="U381" s="119">
        <f>IF(tech_base!$T37&gt;U$345,"",U661+U941+U1221)</f>
        <v>91.751542604839813</v>
      </c>
      <c r="V381" s="119">
        <f>IF(tech_base!$T37&gt;V$345,"",V661+V941+V1221)</f>
        <v>91.828424600356271</v>
      </c>
      <c r="W381" s="119">
        <f>IF(tech_base!$T37&gt;W$345,"",W661+W941+W1221)</f>
        <v>91.8551086826876</v>
      </c>
      <c r="X381" s="119">
        <f>IF(tech_base!$T37&gt;X$345,"",X661+X941+X1221)</f>
        <v>92.120858593284837</v>
      </c>
      <c r="Y381" s="119">
        <f>IF(tech_base!$T37&gt;Y$345,"",Y661+Y941+Y1221)</f>
        <v>92.424255682755103</v>
      </c>
      <c r="Z381" s="119">
        <f>IF(tech_base!$T37&gt;Z$345,"",Z661+Z941+Z1221)</f>
        <v>93.655824311021149</v>
      </c>
      <c r="AA381" s="119">
        <f>IF(tech_base!$T37&gt;AA$345,"",AA661+AA941+AA1221)</f>
        <v>94.884970576011085</v>
      </c>
      <c r="AB381" s="119">
        <f>IF(tech_base!$T37&gt;AB$345,"",AB661+AB941+AB1221)</f>
        <v>96.154258384018533</v>
      </c>
      <c r="AC381" s="119">
        <f>IF(tech_base!$T37&gt;AC$345,"",AC661+AC941+AC1221)</f>
        <v>97.434135930626383</v>
      </c>
      <c r="AD381" s="119">
        <f>IF(tech_base!$T37&gt;AD$345,"",AD661+AD941+AD1221)</f>
        <v>98.831267468051664</v>
      </c>
      <c r="AE381" s="119">
        <f>IF(tech_base!$T37&gt;AE$345,"",AE661+AE941+AE1221)</f>
        <v>99.264707395463702</v>
      </c>
      <c r="AF381" s="119">
        <f>IF(tech_base!$T37&gt;AF$345,"",AF661+AF941+AF1221)</f>
        <v>99.835859936641157</v>
      </c>
      <c r="AG381" s="119">
        <f>IF(tech_base!$T37&gt;AG$345,"",AG661+AG941+AG1221)</f>
        <v>100.42960282630325</v>
      </c>
      <c r="AH381" s="119">
        <f>IF(tech_base!$T37&gt;AH$345,"",AH661+AH941+AH1221)</f>
        <v>100.98401555650531</v>
      </c>
      <c r="AI381" s="119">
        <f>IF(tech_base!$T37&gt;AI$345,"",AI661+AI941+AI1221)</f>
        <v>101.48903502196893</v>
      </c>
      <c r="AJ381" s="119">
        <f>IF(tech_base!$T37&gt;AJ$345,"",AJ661+AJ941+AJ1221)</f>
        <v>101.85773251421654</v>
      </c>
      <c r="AK381" s="119">
        <f>IF(tech_base!$T37&gt;AK$345,"",AK661+AK941+AK1221)</f>
        <v>102.28554468163658</v>
      </c>
      <c r="AL381" s="119">
        <f>IF(tech_base!$T37&gt;AL$345,"",AL661+AL941+AL1221)</f>
        <v>102.75622615653857</v>
      </c>
      <c r="AM381" s="119">
        <f>IF(tech_base!$T37&gt;AM$345,"",AM661+AM941+AM1221)</f>
        <v>103.26241511889708</v>
      </c>
      <c r="AN381" s="119">
        <f>IF(tech_base!$T37&gt;AN$345,"",AN661+AN941+AN1221)</f>
        <v>103.66054009708955</v>
      </c>
      <c r="AO381" s="119">
        <f>IF(tech_base!$T37&gt;AO$345,"",AO661+AO941+AO1221)</f>
        <v>104.05182094239444</v>
      </c>
      <c r="AP381" s="119">
        <f>IF(tech_base!$T37&gt;AP$345,"",AP661+AP941+AP1221)</f>
        <v>104.43652395142279</v>
      </c>
      <c r="AQ381" s="119">
        <f>IF(tech_base!$T37&gt;AQ$345,"",AQ661+AQ941+AQ1221)</f>
        <v>104.81977687923504</v>
      </c>
      <c r="AR381" s="119">
        <f>IF(tech_base!$T37&gt;AR$345,"",AR661+AR941+AR1221)</f>
        <v>105.23790955410436</v>
      </c>
      <c r="AS381" s="119">
        <f>IF(tech_base!$T37&gt;AS$345,"",AS661+AS941+AS1221)</f>
        <v>105.66451724765919</v>
      </c>
      <c r="AT381" s="119">
        <f>IF(tech_base!$T37&gt;AT$345,"",AT661+AT941+AT1221)</f>
        <v>105.95251445898084</v>
      </c>
      <c r="AU381" s="119">
        <f>IF(tech_base!$T37&gt;AU$345,"",AU661+AU941+AU1221)</f>
        <v>106.35629864190369</v>
      </c>
      <c r="AV381" s="119">
        <f>IF(tech_base!$T37&gt;AV$345,"",AV661+AV941+AV1221)</f>
        <v>106.69542355332072</v>
      </c>
      <c r="AW381" s="119">
        <f>IF(tech_base!$T37&gt;AW$345,"",AW661+AW941+AW1221)</f>
        <v>106.99996622872962</v>
      </c>
      <c r="AX381" s="120">
        <f>IF(tech_base!$T37&gt;AX$345,"",AX661+AX941+AX1221)</f>
        <v>107.39052523330574</v>
      </c>
    </row>
    <row r="382" spans="1:50" x14ac:dyDescent="0.25">
      <c r="A382" s="356"/>
      <c r="B382" s="376"/>
      <c r="C382" s="379"/>
      <c r="D382" s="2" t="s">
        <v>20</v>
      </c>
      <c r="E382" s="76" t="str">
        <f>A353&amp;"/"&amp;B379&amp;"/"&amp;C379&amp;"/"&amp;D382</f>
        <v>Coal fired power plants/Steam turbine/Electricity only/XS</v>
      </c>
      <c r="F382" s="76" t="str">
        <f>A353</f>
        <v>Coal fired power plants</v>
      </c>
      <c r="G382" s="76" t="str">
        <f>B379</f>
        <v>Steam turbine</v>
      </c>
      <c r="H382" s="76" t="str">
        <f>C379</f>
        <v>Electricity only</v>
      </c>
      <c r="I382" s="76" t="str">
        <f t="shared" si="357"/>
        <v>XS</v>
      </c>
      <c r="J382" s="119">
        <f>IF(tech_base!$T38&gt;J$345,"",J662+J942+J1222)</f>
        <v>97.53872232749012</v>
      </c>
      <c r="K382" s="119">
        <f>IF(tech_base!$T38&gt;K$345,"",K662+K942+K1222)</f>
        <v>105.59307023596216</v>
      </c>
      <c r="L382" s="119">
        <f>IF(tech_base!$T38&gt;L$345,"",L662+L942+L1222)</f>
        <v>99.646882611655343</v>
      </c>
      <c r="M382" s="119">
        <f>IF(tech_base!$T38&gt;M$345,"",M662+M942+M1222)</f>
        <v>96.370741417491956</v>
      </c>
      <c r="N382" s="119">
        <f>IF(tech_base!$T38&gt;N$345,"",N662+N942+N1222)</f>
        <v>95.189245886861414</v>
      </c>
      <c r="O382" s="119">
        <f>IF(tech_base!$T38&gt;O$345,"",O662+O942+O1222)</f>
        <v>93.456648530806859</v>
      </c>
      <c r="P382" s="119">
        <f>IF(tech_base!$T38&gt;P$345,"",P662+P942+P1222)</f>
        <v>95.08084655485591</v>
      </c>
      <c r="Q382" s="119">
        <f>IF(tech_base!$T38&gt;Q$345,"",Q662+Q942+Q1222)</f>
        <v>103.11193915927747</v>
      </c>
      <c r="R382" s="119">
        <f>IF(tech_base!$T38&gt;R$345,"",R662+R942+R1222)</f>
        <v>103.37586490944631</v>
      </c>
      <c r="S382" s="119">
        <f>IF(tech_base!$T38&gt;S$345,"",S662+S942+S1222)</f>
        <v>103.63731459971038</v>
      </c>
      <c r="T382" s="119">
        <f>IF(tech_base!$T38&gt;T$345,"",T662+T942+T1222)</f>
        <v>103.89631852755568</v>
      </c>
      <c r="U382" s="119">
        <f>IF(tech_base!$T38&gt;U$345,"",U662+U942+U1222)</f>
        <v>104.80688384773089</v>
      </c>
      <c r="V382" s="119">
        <f>IF(tech_base!$T38&gt;V$345,"",V662+V942+V1222)</f>
        <v>104.88377982718187</v>
      </c>
      <c r="W382" s="119">
        <f>IF(tech_base!$T38&gt;W$345,"",W662+W942+W1222)</f>
        <v>104.90758850208542</v>
      </c>
      <c r="X382" s="119">
        <f>IF(tech_base!$T38&gt;X$345,"",X662+X942+X1222)</f>
        <v>105.1832508407023</v>
      </c>
      <c r="Y382" s="119">
        <f>IF(tech_base!$T38&gt;Y$345,"",Y662+Y942+Y1222)</f>
        <v>105.4984629797448</v>
      </c>
      <c r="Z382" s="119">
        <f>IF(tech_base!$T38&gt;Z$345,"",Z662+Z942+Z1222)</f>
        <v>106.79210806046788</v>
      </c>
      <c r="AA382" s="119">
        <f>IF(tech_base!$T38&gt;AA$345,"",AA662+AA942+AA1222)</f>
        <v>108.08316506046199</v>
      </c>
      <c r="AB382" s="119">
        <f>IF(tech_base!$T38&gt;AB$345,"",AB662+AB942+AB1222)</f>
        <v>109.41652049755277</v>
      </c>
      <c r="AC382" s="119">
        <f>IF(tech_base!$T38&gt;AC$345,"",AC662+AC942+AC1222)</f>
        <v>110.76102782143289</v>
      </c>
      <c r="AD382" s="119">
        <f>IF(tech_base!$T38&gt;AD$345,"",AD662+AD942+AD1222)</f>
        <v>112.22917156432462</v>
      </c>
      <c r="AE382" s="119">
        <f>IF(tech_base!$T38&gt;AE$345,"",AE662+AE942+AE1222)</f>
        <v>112.68109236412747</v>
      </c>
      <c r="AF382" s="119">
        <f>IF(tech_base!$T38&gt;AF$345,"",AF662+AF942+AF1222)</f>
        <v>113.27817117137405</v>
      </c>
      <c r="AG382" s="119">
        <f>IF(tech_base!$T38&gt;AG$345,"",AG662+AG942+AG1222)</f>
        <v>113.89902485452242</v>
      </c>
      <c r="AH382" s="119">
        <f>IF(tech_base!$T38&gt;AH$345,"",AH662+AH942+AH1222)</f>
        <v>114.47835851825052</v>
      </c>
      <c r="AI382" s="119">
        <f>IF(tech_base!$T38&gt;AI$345,"",AI662+AI942+AI1222)</f>
        <v>115.0055601709004</v>
      </c>
      <c r="AJ382" s="119">
        <f>IF(tech_base!$T38&gt;AJ$345,"",AJ662+AJ942+AJ1222)</f>
        <v>115.38894096681224</v>
      </c>
      <c r="AK382" s="119">
        <f>IF(tech_base!$T38&gt;AK$345,"",AK662+AK942+AK1222)</f>
        <v>115.83463688579658</v>
      </c>
      <c r="AL382" s="119">
        <f>IF(tech_base!$T38&gt;AL$345,"",AL662+AL942+AL1222)</f>
        <v>116.32552669829492</v>
      </c>
      <c r="AM382" s="119">
        <f>IF(tech_base!$T38&gt;AM$345,"",AM662+AM942+AM1222)</f>
        <v>116.85385720307161</v>
      </c>
      <c r="AN382" s="119">
        <f>IF(tech_base!$T38&gt;AN$345,"",AN662+AN942+AN1222)</f>
        <v>117.26817949072297</v>
      </c>
      <c r="AO382" s="119">
        <f>IF(tech_base!$T38&gt;AO$345,"",AO662+AO942+AO1222)</f>
        <v>117.67527135435203</v>
      </c>
      <c r="AP382" s="119">
        <f>IF(tech_base!$T38&gt;AP$345,"",AP662+AP942+AP1222)</f>
        <v>118.07541910549963</v>
      </c>
      <c r="AQ382" s="119">
        <f>IF(tech_base!$T38&gt;AQ$345,"",AQ662+AQ942+AQ1222)</f>
        <v>118.47403818747233</v>
      </c>
      <c r="AR382" s="119">
        <f>IF(tech_base!$T38&gt;AR$345,"",AR662+AR942+AR1222)</f>
        <v>118.90946707791127</v>
      </c>
      <c r="AS382" s="119">
        <f>IF(tech_base!$T38&gt;AS$345,"",AS662+AS942+AS1222)</f>
        <v>119.35385457649882</v>
      </c>
      <c r="AT382" s="119">
        <f>IF(tech_base!$T38&gt;AT$345,"",AT662+AT942+AT1222)</f>
        <v>119.65199961326977</v>
      </c>
      <c r="AU382" s="119">
        <f>IF(tech_base!$T38&gt;AU$345,"",AU662+AU942+AU1222)</f>
        <v>120.07234583403699</v>
      </c>
      <c r="AV382" s="119">
        <f>IF(tech_base!$T38&gt;AV$345,"",AV662+AV942+AV1222)</f>
        <v>120.42448714474733</v>
      </c>
      <c r="AW382" s="119">
        <f>IF(tech_base!$T38&gt;AW$345,"",AW662+AW942+AW1222)</f>
        <v>120.74016186374394</v>
      </c>
      <c r="AX382" s="120">
        <f>IF(tech_base!$T38&gt;AX$345,"",AX662+AX942+AX1222)</f>
        <v>121.14664941738337</v>
      </c>
    </row>
    <row r="383" spans="1:50" x14ac:dyDescent="0.25">
      <c r="A383" s="356"/>
      <c r="B383" s="376"/>
      <c r="C383" s="361" t="s">
        <v>14</v>
      </c>
      <c r="D383" s="58" t="s">
        <v>7</v>
      </c>
      <c r="E383" s="78" t="str">
        <f>A353&amp;"/"&amp;B379&amp;"/"&amp;C383&amp;"/"&amp;D383</f>
        <v>Coal fired power plants/Steam turbine/CHP/L</v>
      </c>
      <c r="F383" s="78" t="str">
        <f>A353</f>
        <v>Coal fired power plants</v>
      </c>
      <c r="G383" s="78" t="str">
        <f>B379</f>
        <v>Steam turbine</v>
      </c>
      <c r="H383" s="78" t="str">
        <f>C383</f>
        <v>CHP</v>
      </c>
      <c r="I383" s="78" t="str">
        <f t="shared" si="357"/>
        <v>L</v>
      </c>
      <c r="J383" s="123">
        <f>IF(tech_base!$T39&gt;J$345,"",J663+J943+J1223)</f>
        <v>87.682993974893122</v>
      </c>
      <c r="K383" s="123">
        <f>IF(tech_base!$T39&gt;K$345,"",K663+K943+K1223)</f>
        <v>95.315921550869618</v>
      </c>
      <c r="L383" s="123">
        <f>IF(tech_base!$T39&gt;L$345,"",L663+L943+L1223)</f>
        <v>89.693351351325504</v>
      </c>
      <c r="M383" s="123">
        <f>IF(tech_base!$T39&gt;M$345,"",M663+M943+M1223)</f>
        <v>86.599152406742377</v>
      </c>
      <c r="N383" s="123">
        <f>IF(tech_base!$T39&gt;N$345,"",N663+N943+N1223)</f>
        <v>85.488288903359603</v>
      </c>
      <c r="O383" s="123">
        <f>IF(tech_base!$T39&gt;O$345,"",O663+O943+O1223)</f>
        <v>83.855993249476285</v>
      </c>
      <c r="P383" s="123">
        <f>IF(tech_base!$T39&gt;P$345,"",P663+P943+P1223)</f>
        <v>85.401459808613296</v>
      </c>
      <c r="Q383" s="123">
        <f>IF(tech_base!$T39&gt;Q$345,"",Q663+Q943+Q1223)</f>
        <v>93.011267458246124</v>
      </c>
      <c r="R383" s="123">
        <f>IF(tech_base!$T39&gt;R$345,"",R663+R943+R1223)</f>
        <v>93.269027552309282</v>
      </c>
      <c r="S383" s="123">
        <f>IF(tech_base!$T39&gt;S$345,"",S663+S943+S1223)</f>
        <v>93.524598892078899</v>
      </c>
      <c r="T383" s="123">
        <f>IF(tech_base!$T39&gt;T$345,"",T663+T943+T1223)</f>
        <v>93.778017047685054</v>
      </c>
      <c r="U383" s="123">
        <f>IF(tech_base!$T39&gt;U$345,"",U663+U943+U1223)</f>
        <v>94.648208108170593</v>
      </c>
      <c r="V383" s="123">
        <f>IF(tech_base!$T39&gt;V$345,"",V663+V943+V1223)</f>
        <v>94.729607844948163</v>
      </c>
      <c r="W383" s="123">
        <f>IF(tech_base!$T39&gt;W$345,"",W663+W943+W1223)</f>
        <v>94.760968385819695</v>
      </c>
      <c r="X383" s="123">
        <f>IF(tech_base!$T39&gt;X$345,"",X663+X943+X1223)</f>
        <v>95.03084026526497</v>
      </c>
      <c r="Y383" s="123">
        <f>IF(tech_base!$T39&gt;Y$345,"",Y663+Y943+Y1223)</f>
        <v>95.33831789797074</v>
      </c>
      <c r="Z383" s="123">
        <f>IF(tech_base!$T39&gt;Z$345,"",Z663+Z943+Z1223)</f>
        <v>96.571689559541198</v>
      </c>
      <c r="AA383" s="123">
        <f>IF(tech_base!$T39&gt;AA$345,"",AA663+AA943+AA1223)</f>
        <v>97.802704926676796</v>
      </c>
      <c r="AB383" s="123">
        <f>IF(tech_base!$T39&gt;AB$345,"",AB663+AB943+AB1223)</f>
        <v>99.073828435339095</v>
      </c>
      <c r="AC383" s="123">
        <f>IF(tech_base!$T39&gt;AC$345,"",AC663+AC943+AC1223)</f>
        <v>100.35559033092478</v>
      </c>
      <c r="AD383" s="123">
        <f>IF(tech_base!$T39&gt;AD$345,"",AD663+AD943+AD1223)</f>
        <v>101.75438933744962</v>
      </c>
      <c r="AE383" s="123">
        <f>IF(tech_base!$T39&gt;AE$345,"",AE663+AE943+AE1223)</f>
        <v>102.19205319575701</v>
      </c>
      <c r="AF383" s="123">
        <f>IF(tech_base!$T39&gt;AF$345,"",AF663+AF943+AF1223)</f>
        <v>102.76718653625559</v>
      </c>
      <c r="AG383" s="123">
        <f>IF(tech_base!$T39&gt;AG$345,"",AG663+AG943+AG1223)</f>
        <v>103.36496682064498</v>
      </c>
      <c r="AH383" s="123">
        <f>IF(tech_base!$T39&gt;AH$345,"",AH663+AH943+AH1223)</f>
        <v>103.92363925016227</v>
      </c>
      <c r="AI383" s="123">
        <f>IF(tech_base!$T39&gt;AI$345,"",AI663+AI943+AI1223)</f>
        <v>104.43317354853527</v>
      </c>
      <c r="AJ383" s="123">
        <f>IF(tech_base!$T39&gt;AJ$345,"",AJ663+AJ943+AJ1223)</f>
        <v>104.80687510977813</v>
      </c>
      <c r="AK383" s="123">
        <f>IF(tech_base!$T39&gt;AK$345,"",AK663+AK943+AK1223)</f>
        <v>105.23967613555222</v>
      </c>
      <c r="AL383" s="123">
        <f>IF(tech_base!$T39&gt;AL$345,"",AL663+AL943+AL1223)</f>
        <v>105.71537585057091</v>
      </c>
      <c r="AM383" s="123">
        <f>IF(tech_base!$T39&gt;AM$345,"",AM663+AM943+AM1223)</f>
        <v>106.22663355385572</v>
      </c>
      <c r="AN383" s="123">
        <f>IF(tech_base!$T39&gt;AN$345,"",AN663+AN943+AN1223)</f>
        <v>106.63026276910557</v>
      </c>
      <c r="AO383" s="123">
        <f>IF(tech_base!$T39&gt;AO$345,"",AO663+AO943+AO1223)</f>
        <v>107.0272184558571</v>
      </c>
      <c r="AP383" s="123">
        <f>IF(tech_base!$T39&gt;AP$345,"",AP663+AP943+AP1223)</f>
        <v>107.41776843852975</v>
      </c>
      <c r="AQ383" s="123">
        <f>IF(tech_base!$T39&gt;AQ$345,"",AQ663+AQ943+AQ1223)</f>
        <v>107.80702827366504</v>
      </c>
      <c r="AR383" s="123">
        <f>IF(tech_base!$T39&gt;AR$345,"",AR663+AR943+AR1223)</f>
        <v>108.23122920832735</v>
      </c>
      <c r="AS383" s="123">
        <f>IF(tech_base!$T39&gt;AS$345,"",AS663+AS943+AS1223)</f>
        <v>108.66403789897777</v>
      </c>
      <c r="AT383" s="123">
        <f>IF(tech_base!$T39&gt;AT$345,"",AT663+AT943+AT1223)</f>
        <v>108.95877729389736</v>
      </c>
      <c r="AU383" s="123">
        <f>IF(tech_base!$T39&gt;AU$345,"",AU663+AU943+AU1223)</f>
        <v>109.3691402209102</v>
      </c>
      <c r="AV383" s="123">
        <f>IF(tech_base!$T39&gt;AV$345,"",AV663+AV943+AV1223)</f>
        <v>109.7151817473777</v>
      </c>
      <c r="AW383" s="123">
        <f>IF(tech_base!$T39&gt;AW$345,"",AW663+AW943+AW1223)</f>
        <v>110.02689633811829</v>
      </c>
      <c r="AX383" s="124">
        <f>IF(tech_base!$T39&gt;AX$345,"",AX663+AX943+AX1223)</f>
        <v>110.42453746913958</v>
      </c>
    </row>
    <row r="384" spans="1:50" x14ac:dyDescent="0.25">
      <c r="A384" s="356"/>
      <c r="B384" s="376"/>
      <c r="C384" s="378"/>
      <c r="D384" s="2" t="s">
        <v>8</v>
      </c>
      <c r="E384" s="76" t="str">
        <f>A353&amp;"/"&amp;B379&amp;"/"&amp;C383&amp;"/"&amp;D384</f>
        <v>Coal fired power plants/Steam turbine/CHP/M</v>
      </c>
      <c r="F384" s="76" t="str">
        <f>A353</f>
        <v>Coal fired power plants</v>
      </c>
      <c r="G384" s="76" t="str">
        <f>B379</f>
        <v>Steam turbine</v>
      </c>
      <c r="H384" s="76" t="str">
        <f>C383</f>
        <v>CHP</v>
      </c>
      <c r="I384" s="76" t="str">
        <f t="shared" si="357"/>
        <v>M</v>
      </c>
      <c r="J384" s="119">
        <f>IF(tech_base!$T40&gt;J$345,"",J664+J944+J1224)</f>
        <v>93.136521035284375</v>
      </c>
      <c r="K384" s="119">
        <f>IF(tech_base!$T40&gt;K$345,"",K664+K944+K1224)</f>
        <v>101.16014226757704</v>
      </c>
      <c r="L384" s="119">
        <f>IF(tech_base!$T40&gt;L$345,"",L664+L944+L1224)</f>
        <v>95.216959768024964</v>
      </c>
      <c r="M384" s="119">
        <f>IF(tech_base!$T40&gt;M$345,"",M664+M944+M1224)</f>
        <v>91.937282205622637</v>
      </c>
      <c r="N384" s="119">
        <f>IF(tech_base!$T40&gt;N$345,"",N664+N944+N1224)</f>
        <v>90.747283255721868</v>
      </c>
      <c r="O384" s="119">
        <f>IF(tech_base!$T40&gt;O$345,"",O664+O944+O1224)</f>
        <v>89.007468515988236</v>
      </c>
      <c r="P384" s="119">
        <f>IF(tech_base!$T40&gt;P$345,"",P664+P944+P1224)</f>
        <v>90.616855115961471</v>
      </c>
      <c r="Q384" s="119">
        <f>IF(tech_base!$T40&gt;Q$345,"",Q664+Q944+Q1224)</f>
        <v>98.618996701036949</v>
      </c>
      <c r="R384" s="119">
        <f>IF(tech_base!$T40&gt;R$345,"",R664+R944+R1224)</f>
        <v>98.871707419407599</v>
      </c>
      <c r="S384" s="119">
        <f>IF(tech_base!$T40&gt;S$345,"",S664+S944+S1224)</f>
        <v>99.122102572377457</v>
      </c>
      <c r="T384" s="119">
        <f>IF(tech_base!$T40&gt;T$345,"",T664+T944+T1224)</f>
        <v>99.370224777712409</v>
      </c>
      <c r="U384" s="119">
        <f>IF(tech_base!$T40&gt;U$345,"",U664+U944+U1224)</f>
        <v>100.26869484070116</v>
      </c>
      <c r="V384" s="119">
        <f>IF(tech_base!$T40&gt;V$345,"",V664+V944+V1224)</f>
        <v>100.33547994196417</v>
      </c>
      <c r="W384" s="119">
        <f>IF(tech_base!$T40&gt;W$345,"",W664+W944+W1224)</f>
        <v>100.3494816798281</v>
      </c>
      <c r="X384" s="119">
        <f>IF(tech_base!$T40&gt;X$345,"",X664+X944+X1224)</f>
        <v>100.61501734266332</v>
      </c>
      <c r="Y384" s="119">
        <f>IF(tech_base!$T40&gt;Y$345,"",Y664+Y944+Y1224)</f>
        <v>100.92024422491542</v>
      </c>
      <c r="Z384" s="119">
        <f>IF(tech_base!$T40&gt;Z$345,"",Z664+Z944+Z1224)</f>
        <v>102.20215530714164</v>
      </c>
      <c r="AA384" s="119">
        <f>IF(tech_base!$T40&gt;AA$345,"",AA664+AA944+AA1224)</f>
        <v>103.48176470714623</v>
      </c>
      <c r="AB384" s="119">
        <f>IF(tech_base!$T40&gt;AB$345,"",AB664+AB944+AB1224)</f>
        <v>104.80387510314544</v>
      </c>
      <c r="AC384" s="119">
        <f>IF(tech_base!$T40&gt;AC$345,"",AC664+AC944+AC1224)</f>
        <v>106.13740832036987</v>
      </c>
      <c r="AD384" s="119">
        <f>IF(tech_base!$T40&gt;AD$345,"",AD664+AD944+AD1224)</f>
        <v>107.59463419459196</v>
      </c>
      <c r="AE384" s="119">
        <f>IF(tech_base!$T40&gt;AE$345,"",AE664+AE944+AE1224)</f>
        <v>108.03790496698448</v>
      </c>
      <c r="AF384" s="119">
        <f>IF(tech_base!$T40&gt;AF$345,"",AF664+AF944+AF1224)</f>
        <v>108.62632954749458</v>
      </c>
      <c r="AG384" s="119">
        <f>IF(tech_base!$T40&gt;AG$345,"",AG664+AG944+AG1224)</f>
        <v>109.23876636389271</v>
      </c>
      <c r="AH384" s="119">
        <f>IF(tech_base!$T40&gt;AH$345,"",AH664+AH944+AH1224)</f>
        <v>109.81004791571183</v>
      </c>
      <c r="AI384" s="119">
        <f>IF(tech_base!$T40&gt;AI$345,"",AI664+AI944+AI1224)</f>
        <v>110.32958296234452</v>
      </c>
      <c r="AJ384" s="119">
        <f>IF(tech_base!$T40&gt;AJ$345,"",AJ664+AJ944+AJ1224)</f>
        <v>110.70585328544965</v>
      </c>
      <c r="AK384" s="119">
        <f>IF(tech_base!$T40&gt;AK$345,"",AK664+AK944+AK1224)</f>
        <v>111.14461058107558</v>
      </c>
      <c r="AL384" s="119">
        <f>IF(tech_base!$T40&gt;AL$345,"",AL664+AL944+AL1224)</f>
        <v>111.62876863605811</v>
      </c>
      <c r="AM384" s="119">
        <f>IF(tech_base!$T40&gt;AM$345,"",AM664+AM944+AM1224)</f>
        <v>112.15059059888969</v>
      </c>
      <c r="AN384" s="119">
        <f>IF(tech_base!$T40&gt;AN$345,"",AN664+AN944+AN1224)</f>
        <v>112.55890411296383</v>
      </c>
      <c r="AO384" s="119">
        <f>IF(tech_base!$T40&gt;AO$345,"",AO664+AO944+AO1224)</f>
        <v>112.96029054961949</v>
      </c>
      <c r="AP384" s="119">
        <f>IF(tech_base!$T40&gt;AP$345,"",AP664+AP944+AP1224)</f>
        <v>113.35503499257126</v>
      </c>
      <c r="AQ384" s="119">
        <f>IF(tech_base!$T40&gt;AQ$345,"",AQ664+AQ944+AQ1224)</f>
        <v>113.74854203167337</v>
      </c>
      <c r="AR384" s="119">
        <f>IF(tech_base!$T40&gt;AR$345,"",AR664+AR944+AR1224)</f>
        <v>114.17908003233416</v>
      </c>
      <c r="AS384" s="119">
        <f>IF(tech_base!$T40&gt;AS$345,"",AS664+AS944+AS1224)</f>
        <v>114.61884621729425</v>
      </c>
      <c r="AT384" s="119">
        <f>IF(tech_base!$T40&gt;AT$345,"",AT664+AT944+AT1224)</f>
        <v>114.91291405490865</v>
      </c>
      <c r="AU384" s="119">
        <f>IF(tech_base!$T40&gt;AU$345,"",AU664+AU944+AU1224)</f>
        <v>115.3292452917452</v>
      </c>
      <c r="AV384" s="119">
        <f>IF(tech_base!$T40&gt;AV$345,"",AV664+AV944+AV1224)</f>
        <v>115.67777049338014</v>
      </c>
      <c r="AW384" s="119">
        <f>IF(tech_base!$T40&gt;AW$345,"",AW664+AW944+AW1224)</f>
        <v>115.99016800126826</v>
      </c>
      <c r="AX384" s="120">
        <f>IF(tech_base!$T40&gt;AX$345,"",AX664+AX944+AX1224)</f>
        <v>116.39348741585715</v>
      </c>
    </row>
    <row r="385" spans="1:50" x14ac:dyDescent="0.25">
      <c r="A385" s="356"/>
      <c r="B385" s="376"/>
      <c r="C385" s="378"/>
      <c r="D385" s="2" t="s">
        <v>10</v>
      </c>
      <c r="E385" s="76" t="str">
        <f>A353&amp;"/"&amp;B379&amp;"/"&amp;C383&amp;"/"&amp;D385</f>
        <v>Coal fired power plants/Steam turbine/CHP/S</v>
      </c>
      <c r="F385" s="76" t="str">
        <f>A353</f>
        <v>Coal fired power plants</v>
      </c>
      <c r="G385" s="76" t="str">
        <f>B379</f>
        <v>Steam turbine</v>
      </c>
      <c r="H385" s="76" t="str">
        <f>C383</f>
        <v>CHP</v>
      </c>
      <c r="I385" s="76" t="str">
        <f t="shared" si="357"/>
        <v>S</v>
      </c>
      <c r="J385" s="119">
        <f>IF(tech_base!$T41&gt;J$345,"",J665+J945+J1225)</f>
        <v>111.59390354404695</v>
      </c>
      <c r="K385" s="119">
        <f>IF(tech_base!$T41&gt;K$345,"",K665+K945+K1225)</f>
        <v>120.03896545798335</v>
      </c>
      <c r="L385" s="119">
        <f>IF(tech_base!$T41&gt;L$345,"",L665+L945+L1225)</f>
        <v>113.76527027999259</v>
      </c>
      <c r="M385" s="119">
        <f>IF(tech_base!$T41&gt;M$345,"",M665+M945+M1225)</f>
        <v>110.29804781713145</v>
      </c>
      <c r="N385" s="119">
        <f>IF(tech_base!$T41&gt;N$345,"",N665+N945+N1225)</f>
        <v>109.03296085270571</v>
      </c>
      <c r="O385" s="119">
        <f>IF(tech_base!$T41&gt;O$345,"",O665+O945+O1225)</f>
        <v>107.18813664753634</v>
      </c>
      <c r="P385" s="119">
        <f>IF(tech_base!$T41&gt;P$345,"",P665+P945+P1225)</f>
        <v>108.87362079893251</v>
      </c>
      <c r="Q385" s="119">
        <f>IF(tech_base!$T41&gt;Q$345,"",Q665+Q945+Q1225)</f>
        <v>117.29856518088505</v>
      </c>
      <c r="R385" s="119">
        <f>IF(tech_base!$T41&gt;R$345,"",R665+R945+R1225)</f>
        <v>117.55446388552559</v>
      </c>
      <c r="S385" s="119">
        <f>IF(tech_base!$T41&gt;S$345,"",S665+S945+S1225)</f>
        <v>117.80792653746718</v>
      </c>
      <c r="T385" s="119">
        <f>IF(tech_base!$T41&gt;T$345,"",T665+T945+T1225)</f>
        <v>118.05900109623261</v>
      </c>
      <c r="U385" s="119">
        <f>IF(tech_base!$T41&gt;U$345,"",U665+U945+U1225)</f>
        <v>118.99584565421162</v>
      </c>
      <c r="V385" s="119">
        <f>IF(tech_base!$T41&gt;V$345,"",V665+V945+V1225)</f>
        <v>119.05576406481978</v>
      </c>
      <c r="W385" s="119">
        <f>IF(tech_base!$T41&gt;W$345,"",W665+W945+W1225)</f>
        <v>119.06001549582233</v>
      </c>
      <c r="X385" s="119">
        <f>IF(tech_base!$T41&gt;X$345,"",X665+X945+X1225)</f>
        <v>119.32953507385095</v>
      </c>
      <c r="Y385" s="119">
        <f>IF(tech_base!$T41&gt;Y$345,"",Y665+Y945+Y1225)</f>
        <v>119.64094318507297</v>
      </c>
      <c r="Z385" s="119">
        <f>IF(tech_base!$T41&gt;Z$345,"",Z665+Z945+Z1225)</f>
        <v>120.98253763092353</v>
      </c>
      <c r="AA385" s="119">
        <f>IF(tech_base!$T41&gt;AA$345,"",AA665+AA945+AA1225)</f>
        <v>122.32185579545664</v>
      </c>
      <c r="AB385" s="119">
        <f>IF(tech_base!$T41&gt;AB$345,"",AB665+AB945+AB1225)</f>
        <v>123.70616001660474</v>
      </c>
      <c r="AC385" s="119">
        <f>IF(tech_base!$T41&gt;AC$345,"",AC665+AC945+AC1225)</f>
        <v>125.10267479741694</v>
      </c>
      <c r="AD385" s="119">
        <f>IF(tech_base!$T41&gt;AD$345,"",AD665+AD945+AD1225)</f>
        <v>126.6298459401509</v>
      </c>
      <c r="AE385" s="119">
        <f>IF(tech_base!$T41&gt;AE$345,"",AE665+AE945+AE1225)</f>
        <v>127.0874411112078</v>
      </c>
      <c r="AF385" s="119">
        <f>IF(tech_base!$T41&gt;AF$345,"",AF665+AF945+AF1225)</f>
        <v>127.69825255013217</v>
      </c>
      <c r="AG385" s="119">
        <f>IF(tech_base!$T41&gt;AG$345,"",AG665+AG945+AG1225)</f>
        <v>128.33448531366656</v>
      </c>
      <c r="AH385" s="119">
        <f>IF(tech_base!$T41&gt;AH$345,"",AH665+AH945+AH1225)</f>
        <v>128.92738084764107</v>
      </c>
      <c r="AI385" s="119">
        <f>IF(tech_base!$T41&gt;AI$345,"",AI665+AI945+AI1225)</f>
        <v>129.46575794757203</v>
      </c>
      <c r="AJ385" s="119">
        <f>IF(tech_base!$T41&gt;AJ$345,"",AJ665+AJ945+AJ1225)</f>
        <v>129.85302980219831</v>
      </c>
      <c r="AK385" s="119">
        <f>IF(tech_base!$T41&gt;AK$345,"",AK665+AK945+AK1225)</f>
        <v>130.30631858800035</v>
      </c>
      <c r="AL385" s="119">
        <f>IF(tech_base!$T41&gt;AL$345,"",AL665+AL945+AL1225)</f>
        <v>130.80760355255697</v>
      </c>
      <c r="AM385" s="119">
        <f>IF(tech_base!$T41&gt;AM$345,"",AM665+AM945+AM1225)</f>
        <v>131.34872804867342</v>
      </c>
      <c r="AN385" s="119">
        <f>IF(tech_base!$T41&gt;AN$345,"",AN665+AN945+AN1225)</f>
        <v>131.77013306442797</v>
      </c>
      <c r="AO385" s="119">
        <f>IF(tech_base!$T41&gt;AO$345,"",AO665+AO945+AO1225)</f>
        <v>132.18430775648116</v>
      </c>
      <c r="AP385" s="119">
        <f>IF(tech_base!$T41&gt;AP$345,"",AP665+AP945+AP1225)</f>
        <v>132.59155381157132</v>
      </c>
      <c r="AQ385" s="119">
        <f>IF(tech_base!$T41&gt;AQ$345,"",AQ665+AQ945+AQ1225)</f>
        <v>132.99757752348427</v>
      </c>
      <c r="AR385" s="119">
        <f>IF(tech_base!$T41&gt;AR$345,"",AR665+AR945+AR1225)</f>
        <v>133.44278189285646</v>
      </c>
      <c r="AS385" s="119">
        <f>IF(tech_base!$T41&gt;AS$345,"",AS665+AS945+AS1225)</f>
        <v>133.89782031578252</v>
      </c>
      <c r="AT385" s="119">
        <f>IF(tech_base!$T41&gt;AT$345,"",AT665+AT945+AT1225)</f>
        <v>134.19911746210701</v>
      </c>
      <c r="AU385" s="119">
        <f>IF(tech_base!$T41&gt;AU$345,"",AU665+AU945+AU1225)</f>
        <v>134.62959197002147</v>
      </c>
      <c r="AV385" s="119">
        <f>IF(tech_base!$T41&gt;AV$345,"",AV665+AV945+AV1225)</f>
        <v>134.98856094215321</v>
      </c>
      <c r="AW385" s="119">
        <f>IF(tech_base!$T41&gt;AW$345,"",AW665+AW945+AW1225)</f>
        <v>135.30946770173304</v>
      </c>
      <c r="AX385" s="120">
        <f>IF(tech_base!$T41&gt;AX$345,"",AX665+AX945+AX1225)</f>
        <v>135.72647821888648</v>
      </c>
    </row>
    <row r="386" spans="1:50" x14ac:dyDescent="0.25">
      <c r="A386" s="356"/>
      <c r="B386" s="376"/>
      <c r="C386" s="379"/>
      <c r="D386" s="59" t="s">
        <v>20</v>
      </c>
      <c r="E386" s="79" t="str">
        <f>A353&amp;"/"&amp;B379&amp;"/"&amp;C383&amp;"/"&amp;D386</f>
        <v>Coal fired power plants/Steam turbine/CHP/XS</v>
      </c>
      <c r="F386" s="79" t="str">
        <f>A353</f>
        <v>Coal fired power plants</v>
      </c>
      <c r="G386" s="79" t="str">
        <f>B379</f>
        <v>Steam turbine</v>
      </c>
      <c r="H386" s="79" t="str">
        <f>C383</f>
        <v>CHP</v>
      </c>
      <c r="I386" s="79" t="str">
        <f t="shared" si="357"/>
        <v>XS</v>
      </c>
      <c r="J386" s="125">
        <f>IF(tech_base!$T42&gt;J$345,"",J666+J946+J1226)</f>
        <v>114.77708289363623</v>
      </c>
      <c r="K386" s="125">
        <f>IF(tech_base!$T42&gt;K$345,"",K666+K946+K1226)</f>
        <v>123.66942427037691</v>
      </c>
      <c r="L386" s="125">
        <f>IF(tech_base!$T42&gt;L$345,"",L666+L946+L1226)</f>
        <v>117.04809079430669</v>
      </c>
      <c r="M386" s="125">
        <f>IF(tech_base!$T42&gt;M$345,"",M666+M946+M1226)</f>
        <v>113.38464091081494</v>
      </c>
      <c r="N386" s="125">
        <f>IF(tech_base!$T42&gt;N$345,"",N666+N946+N1226)</f>
        <v>112.04224664893523</v>
      </c>
      <c r="O386" s="125">
        <f>IF(tech_base!$T42&gt;O$345,"",O666+O946+O1226)</f>
        <v>110.08869082538293</v>
      </c>
      <c r="P386" s="125">
        <f>IF(tech_base!$T42&gt;P$345,"",P666+P946+P1226)</f>
        <v>111.85642026871477</v>
      </c>
      <c r="Q386" s="125">
        <f>IF(tech_base!$T42&gt;Q$345,"",Q666+Q946+Q1226)</f>
        <v>120.72857677719887</v>
      </c>
      <c r="R386" s="125">
        <f>IF(tech_base!$T42&gt;R$345,"",R666+R946+R1226)</f>
        <v>120.98959115373641</v>
      </c>
      <c r="S386" s="125">
        <f>IF(tech_base!$T42&gt;S$345,"",S666+S946+S1226)</f>
        <v>121.24805506605811</v>
      </c>
      <c r="T386" s="125">
        <f>IF(tech_base!$T42&gt;T$345,"",T666+T946+T1226)</f>
        <v>121.50402166913526</v>
      </c>
      <c r="U386" s="125">
        <f>IF(tech_base!$T42&gt;U$345,"",U666+U946+U1226)</f>
        <v>122.48297131102817</v>
      </c>
      <c r="V386" s="125">
        <f>IF(tech_base!$T42&gt;V$345,"",V666+V946+V1226)</f>
        <v>122.53747437814509</v>
      </c>
      <c r="W386" s="125">
        <f>IF(tech_base!$T42&gt;W$345,"",W666+W946+W1226)</f>
        <v>122.53330870161588</v>
      </c>
      <c r="X386" s="125">
        <f>IF(tech_base!$T42&gt;X$345,"",X666+X946+X1226)</f>
        <v>122.80883426838403</v>
      </c>
      <c r="Y386" s="125">
        <f>IF(tech_base!$T42&gt;Y$345,"",Y666+Y946+Y1226)</f>
        <v>123.12855757852932</v>
      </c>
      <c r="Z386" s="125">
        <f>IF(tech_base!$T42&gt;Z$345,"",Z666+Z946+Z1226)</f>
        <v>124.53448714072277</v>
      </c>
      <c r="AA386" s="125">
        <f>IF(tech_base!$T42&gt;AA$345,"",AA666+AA946+AA1226)</f>
        <v>125.93810210219682</v>
      </c>
      <c r="AB386" s="125">
        <f>IF(tech_base!$T42&gt;AB$345,"",AB666+AB946+AB1226)</f>
        <v>127.38923704536381</v>
      </c>
      <c r="AC386" s="125">
        <f>IF(tech_base!$T42&gt;AC$345,"",AC666+AC946+AC1226)</f>
        <v>128.85333812584423</v>
      </c>
      <c r="AD386" s="125">
        <f>IF(tech_base!$T42&gt;AD$345,"",AD666+AD946+AD1226)</f>
        <v>130.45530058851239</v>
      </c>
      <c r="AE386" s="125">
        <f>IF(tech_base!$T42&gt;AE$345,"",AE666+AE946+AE1226)</f>
        <v>130.92954966372258</v>
      </c>
      <c r="AF386" s="125">
        <f>IF(tech_base!$T42&gt;AF$345,"",AF666+AF946+AF1226)</f>
        <v>131.56541763138426</v>
      </c>
      <c r="AG386" s="125">
        <f>IF(tech_base!$T42&gt;AG$345,"",AG666+AG946+AG1226)</f>
        <v>132.22815729574589</v>
      </c>
      <c r="AH386" s="125">
        <f>IF(tech_base!$T42&gt;AH$345,"",AH666+AH946+AH1226)</f>
        <v>132.8452651391209</v>
      </c>
      <c r="AI386" s="125">
        <f>IF(tech_base!$T42&gt;AI$345,"",AI666+AI946+AI1226)</f>
        <v>133.4049490805906</v>
      </c>
      <c r="AJ386" s="125">
        <f>IF(tech_base!$T42&gt;AJ$345,"",AJ666+AJ946+AJ1226)</f>
        <v>133.80535105760555</v>
      </c>
      <c r="AK386" s="125">
        <f>IF(tech_base!$T42&gt;AK$345,"",AK666+AK946+AK1226)</f>
        <v>134.27543516835351</v>
      </c>
      <c r="AL386" s="125">
        <f>IF(tech_base!$T42&gt;AL$345,"",AL666+AL946+AL1226)</f>
        <v>134.79620238701574</v>
      </c>
      <c r="AM386" s="125">
        <f>IF(tech_base!$T42&gt;AM$345,"",AM666+AM946+AM1226)</f>
        <v>135.35905494737665</v>
      </c>
      <c r="AN386" s="125">
        <f>IF(tech_base!$T42&gt;AN$345,"",AN666+AN946+AN1226)</f>
        <v>135.79571950633644</v>
      </c>
      <c r="AO386" s="125">
        <f>IF(tech_base!$T42&gt;AO$345,"",AO666+AO946+AO1226)</f>
        <v>136.22482771107829</v>
      </c>
      <c r="AP386" s="125">
        <f>IF(tech_base!$T42&gt;AP$345,"",AP666+AP946+AP1226)</f>
        <v>136.64669852890472</v>
      </c>
      <c r="AQ386" s="125">
        <f>IF(tech_base!$T42&gt;AQ$345,"",AQ666+AQ946+AQ1226)</f>
        <v>137.06735112650708</v>
      </c>
      <c r="AR386" s="125">
        <f>IF(tech_base!$T42&gt;AR$345,"",AR666+AR946+AR1226)</f>
        <v>137.5294003495662</v>
      </c>
      <c r="AS386" s="125">
        <f>IF(tech_base!$T42&gt;AS$345,"",AS666+AS946+AS1226)</f>
        <v>138.00189654426379</v>
      </c>
      <c r="AT386" s="125">
        <f>IF(tech_base!$T42&gt;AT$345,"",AT666+AT946+AT1226)</f>
        <v>138.31230875539254</v>
      </c>
      <c r="AU386" s="125">
        <f>IF(tech_base!$T42&gt;AU$345,"",AU666+AU946+AU1226)</f>
        <v>138.75904526094283</v>
      </c>
      <c r="AV386" s="125">
        <f>IF(tech_base!$T42&gt;AV$345,"",AV666+AV946+AV1226)</f>
        <v>139.13043464742944</v>
      </c>
      <c r="AW386" s="125">
        <f>IF(tech_base!$T42&gt;AW$345,"",AW666+AW946+AW1226)</f>
        <v>139.46175015160381</v>
      </c>
      <c r="AX386" s="126">
        <f>IF(tech_base!$T42&gt;AX$345,"",AX666+AX946+AX1226)</f>
        <v>139.89451336220043</v>
      </c>
    </row>
    <row r="387" spans="1:50" x14ac:dyDescent="0.25">
      <c r="A387" s="356"/>
      <c r="B387" s="376"/>
      <c r="C387" s="361" t="s">
        <v>15</v>
      </c>
      <c r="D387" s="58" t="s">
        <v>7</v>
      </c>
      <c r="E387" s="78" t="str">
        <f>A353&amp;"/"&amp;B379&amp;"/"&amp;C387&amp;"/"&amp;D387</f>
        <v>Coal fired power plants/Steam turbine/Electricity only with CCS/L</v>
      </c>
      <c r="F387" s="78" t="str">
        <f>A353</f>
        <v>Coal fired power plants</v>
      </c>
      <c r="G387" s="78" t="str">
        <f>B379</f>
        <v>Steam turbine</v>
      </c>
      <c r="H387" s="78" t="str">
        <f>C387</f>
        <v>Electricity only with CCS</v>
      </c>
      <c r="I387" s="78" t="str">
        <f t="shared" si="357"/>
        <v>L</v>
      </c>
      <c r="J387" s="123" t="str">
        <f>IF(tech_base!$T43&gt;J$345,"",J667+J947+J1227)</f>
        <v/>
      </c>
      <c r="K387" s="123" t="str">
        <f>IF(tech_base!$T43&gt;K$345,"",K667+K947+K1227)</f>
        <v/>
      </c>
      <c r="L387" s="123" t="str">
        <f>IF(tech_base!$T43&gt;L$345,"",L667+L947+L1227)</f>
        <v/>
      </c>
      <c r="M387" s="123" t="str">
        <f>IF(tech_base!$T43&gt;M$345,"",M667+M947+M1227)</f>
        <v/>
      </c>
      <c r="N387" s="123" t="str">
        <f>IF(tech_base!$T43&gt;N$345,"",N667+N947+N1227)</f>
        <v/>
      </c>
      <c r="O387" s="123" t="str">
        <f>IF(tech_base!$T43&gt;O$345,"",O667+O947+O1227)</f>
        <v/>
      </c>
      <c r="P387" s="123" t="str">
        <f>IF(tech_base!$T43&gt;P$345,"",P667+P947+P1227)</f>
        <v/>
      </c>
      <c r="Q387" s="123" t="str">
        <f>IF(tech_base!$T43&gt;Q$345,"",Q667+Q947+Q1227)</f>
        <v/>
      </c>
      <c r="R387" s="123" t="str">
        <f>IF(tech_base!$T43&gt;R$345,"",R667+R947+R1227)</f>
        <v/>
      </c>
      <c r="S387" s="123" t="str">
        <f>IF(tech_base!$T43&gt;S$345,"",S667+S947+S1227)</f>
        <v/>
      </c>
      <c r="T387" s="123" t="str">
        <f>IF(tech_base!$T43&gt;T$345,"",T667+T947+T1227)</f>
        <v/>
      </c>
      <c r="U387" s="123" t="str">
        <f>IF(tech_base!$T43&gt;U$345,"",U667+U947+U1227)</f>
        <v/>
      </c>
      <c r="V387" s="123" t="str">
        <f>IF(tech_base!$T43&gt;V$345,"",V667+V947+V1227)</f>
        <v/>
      </c>
      <c r="W387" s="123" t="str">
        <f>IF(tech_base!$T43&gt;W$345,"",W667+W947+W1227)</f>
        <v/>
      </c>
      <c r="X387" s="123" t="str">
        <f>IF(tech_base!$T43&gt;X$345,"",X667+X947+X1227)</f>
        <v/>
      </c>
      <c r="Y387" s="123" t="str">
        <f>IF(tech_base!$T43&gt;Y$345,"",Y667+Y947+Y1227)</f>
        <v/>
      </c>
      <c r="Z387" s="123" t="str">
        <f>IF(tech_base!$T43&gt;Z$345,"",Z667+Z947+Z1227)</f>
        <v/>
      </c>
      <c r="AA387" s="123" t="str">
        <f>IF(tech_base!$T43&gt;AA$345,"",AA667+AA947+AA1227)</f>
        <v/>
      </c>
      <c r="AB387" s="123" t="str">
        <f>IF(tech_base!$T43&gt;AB$345,"",AB667+AB947+AB1227)</f>
        <v/>
      </c>
      <c r="AC387" s="123" t="str">
        <f>IF(tech_base!$T43&gt;AC$345,"",AC667+AC947+AC1227)</f>
        <v/>
      </c>
      <c r="AD387" s="123" t="str">
        <f>IF(tech_base!$T43&gt;AD$345,"",AD667+AD947+AD1227)</f>
        <v/>
      </c>
      <c r="AE387" s="123">
        <f>IF(tech_base!$T43&gt;AE$345,"",AE667+AE947+AE1227)</f>
        <v>182.45756782962917</v>
      </c>
      <c r="AF387" s="123">
        <f>IF(tech_base!$T43&gt;AF$345,"",AF667+AF947+AF1227)</f>
        <v>183.06937368507451</v>
      </c>
      <c r="AG387" s="123">
        <f>IF(tech_base!$T43&gt;AG$345,"",AG667+AG947+AG1227)</f>
        <v>183.70813628079279</v>
      </c>
      <c r="AH387" s="123">
        <f>IF(tech_base!$T43&gt;AH$345,"",AH667+AH947+AH1227)</f>
        <v>184.3019279424168</v>
      </c>
      <c r="AI387" s="123">
        <f>IF(tech_base!$T43&gt;AI$345,"",AI667+AI947+AI1227)</f>
        <v>184.83904012887186</v>
      </c>
      <c r="AJ387" s="123">
        <f>IF(tech_base!$T43&gt;AJ$345,"",AJ667+AJ947+AJ1227)</f>
        <v>185.21839872778614</v>
      </c>
      <c r="AK387" s="123">
        <f>IF(tech_base!$T43&gt;AK$345,"",AK667+AK947+AK1227)</f>
        <v>185.66716675333706</v>
      </c>
      <c r="AL387" s="123">
        <f>IF(tech_base!$T43&gt;AL$345,"",AL667+AL947+AL1227)</f>
        <v>186.16650050023929</v>
      </c>
      <c r="AM387" s="123">
        <f>IF(tech_base!$T43&gt;AM$345,"",AM667+AM947+AM1227)</f>
        <v>186.70787380431923</v>
      </c>
      <c r="AN387" s="123">
        <f>IF(tech_base!$T43&gt;AN$345,"",AN667+AN947+AN1227)</f>
        <v>187.12429674981226</v>
      </c>
      <c r="AO387" s="123">
        <f>IF(tech_base!$T43&gt;AO$345,"",AO667+AO947+AO1227)</f>
        <v>187.5334844906254</v>
      </c>
      <c r="AP387" s="123">
        <f>IF(tech_base!$T43&gt;AP$345,"",AP667+AP947+AP1227)</f>
        <v>187.9357506303335</v>
      </c>
      <c r="AQ387" s="123">
        <f>IF(tech_base!$T43&gt;AQ$345,"",AQ667+AQ947+AQ1227)</f>
        <v>188.33706649572778</v>
      </c>
      <c r="AR387" s="123">
        <f>IF(tech_base!$T43&gt;AR$345,"",AR667+AR947+AR1227)</f>
        <v>188.77972897517523</v>
      </c>
      <c r="AS387" s="123">
        <f>IF(tech_base!$T43&gt;AS$345,"",AS667+AS947+AS1227)</f>
        <v>189.23302006393536</v>
      </c>
      <c r="AT387" s="123">
        <f>IF(tech_base!$T43&gt;AT$345,"",AT667+AT947+AT1227)</f>
        <v>189.52567098408164</v>
      </c>
      <c r="AU387" s="123">
        <f>IF(tech_base!$T43&gt;AU$345,"",AU667+AU947+AU1227)</f>
        <v>189.95389512202465</v>
      </c>
      <c r="AV387" s="123">
        <f>IF(tech_base!$T43&gt;AV$345,"",AV667+AV947+AV1227)</f>
        <v>190.30756775602148</v>
      </c>
      <c r="AW387" s="123">
        <f>IF(tech_base!$T43&gt;AW$345,"",AW667+AW947+AW1227)</f>
        <v>190.62169653860954</v>
      </c>
      <c r="AX387" s="124">
        <f>IF(tech_base!$T43&gt;AX$345,"",AX667+AX947+AX1227)</f>
        <v>191.03678463966341</v>
      </c>
    </row>
    <row r="388" spans="1:50" x14ac:dyDescent="0.25">
      <c r="A388" s="356"/>
      <c r="B388" s="376"/>
      <c r="C388" s="379"/>
      <c r="D388" s="59" t="s">
        <v>8</v>
      </c>
      <c r="E388" s="79" t="str">
        <f>A353&amp;"/"&amp;B379&amp;"/"&amp;C387&amp;"/"&amp;D388</f>
        <v>Coal fired power plants/Steam turbine/Electricity only with CCS/M</v>
      </c>
      <c r="F388" s="79" t="str">
        <f>A353</f>
        <v>Coal fired power plants</v>
      </c>
      <c r="G388" s="79" t="str">
        <f>B379</f>
        <v>Steam turbine</v>
      </c>
      <c r="H388" s="79" t="str">
        <f>C387</f>
        <v>Electricity only with CCS</v>
      </c>
      <c r="I388" s="79" t="str">
        <f t="shared" si="357"/>
        <v>M</v>
      </c>
      <c r="J388" s="125" t="str">
        <f>IF(tech_base!$T44&gt;J$345,"",J668+J948+J1228)</f>
        <v/>
      </c>
      <c r="K388" s="125" t="str">
        <f>IF(tech_base!$T44&gt;K$345,"",K668+K948+K1228)</f>
        <v/>
      </c>
      <c r="L388" s="125" t="str">
        <f>IF(tech_base!$T44&gt;L$345,"",L668+L948+L1228)</f>
        <v/>
      </c>
      <c r="M388" s="125" t="str">
        <f>IF(tech_base!$T44&gt;M$345,"",M668+M948+M1228)</f>
        <v/>
      </c>
      <c r="N388" s="125" t="str">
        <f>IF(tech_base!$T44&gt;N$345,"",N668+N948+N1228)</f>
        <v/>
      </c>
      <c r="O388" s="125" t="str">
        <f>IF(tech_base!$T44&gt;O$345,"",O668+O948+O1228)</f>
        <v/>
      </c>
      <c r="P388" s="125" t="str">
        <f>IF(tech_base!$T44&gt;P$345,"",P668+P948+P1228)</f>
        <v/>
      </c>
      <c r="Q388" s="125" t="str">
        <f>IF(tech_base!$T44&gt;Q$345,"",Q668+Q948+Q1228)</f>
        <v/>
      </c>
      <c r="R388" s="125" t="str">
        <f>IF(tech_base!$T44&gt;R$345,"",R668+R948+R1228)</f>
        <v/>
      </c>
      <c r="S388" s="125" t="str">
        <f>IF(tech_base!$T44&gt;S$345,"",S668+S948+S1228)</f>
        <v/>
      </c>
      <c r="T388" s="125" t="str">
        <f>IF(tech_base!$T44&gt;T$345,"",T668+T948+T1228)</f>
        <v/>
      </c>
      <c r="U388" s="125" t="str">
        <f>IF(tech_base!$T44&gt;U$345,"",U668+U948+U1228)</f>
        <v/>
      </c>
      <c r="V388" s="125" t="str">
        <f>IF(tech_base!$T44&gt;V$345,"",V668+V948+V1228)</f>
        <v/>
      </c>
      <c r="W388" s="125" t="str">
        <f>IF(tech_base!$T44&gt;W$345,"",W668+W948+W1228)</f>
        <v/>
      </c>
      <c r="X388" s="125" t="str">
        <f>IF(tech_base!$T44&gt;X$345,"",X668+X948+X1228)</f>
        <v/>
      </c>
      <c r="Y388" s="125" t="str">
        <f>IF(tech_base!$T44&gt;Y$345,"",Y668+Y948+Y1228)</f>
        <v/>
      </c>
      <c r="Z388" s="125" t="str">
        <f>IF(tech_base!$T44&gt;Z$345,"",Z668+Z948+Z1228)</f>
        <v/>
      </c>
      <c r="AA388" s="125" t="str">
        <f>IF(tech_base!$T44&gt;AA$345,"",AA668+AA948+AA1228)</f>
        <v/>
      </c>
      <c r="AB388" s="125" t="str">
        <f>IF(tech_base!$T44&gt;AB$345,"",AB668+AB948+AB1228)</f>
        <v/>
      </c>
      <c r="AC388" s="125" t="str">
        <f>IF(tech_base!$T44&gt;AC$345,"",AC668+AC948+AC1228)</f>
        <v/>
      </c>
      <c r="AD388" s="125" t="str">
        <f>IF(tech_base!$T44&gt;AD$345,"",AD668+AD948+AD1228)</f>
        <v/>
      </c>
      <c r="AE388" s="125">
        <f>IF(tech_base!$T44&gt;AE$345,"",AE668+AE948+AE1228)</f>
        <v>206.59514676493163</v>
      </c>
      <c r="AF388" s="125">
        <f>IF(tech_base!$T44&gt;AF$345,"",AF668+AF948+AF1228)</f>
        <v>207.24723242045766</v>
      </c>
      <c r="AG388" s="125">
        <f>IF(tech_base!$T44&gt;AG$345,"",AG668+AG948+AG1228)</f>
        <v>207.92804958205747</v>
      </c>
      <c r="AH388" s="125">
        <f>IF(tech_base!$T44&gt;AH$345,"",AH668+AH948+AH1228)</f>
        <v>208.5609350333321</v>
      </c>
      <c r="AI388" s="125">
        <f>IF(tech_base!$T44&gt;AI$345,"",AI668+AI948+AI1228)</f>
        <v>209.13340937152</v>
      </c>
      <c r="AJ388" s="125">
        <f>IF(tech_base!$T44&gt;AJ$345,"",AJ668+AJ948+AJ1228)</f>
        <v>209.53774401207747</v>
      </c>
      <c r="AK388" s="125">
        <f>IF(tech_base!$T44&gt;AK$345,"",AK668+AK948+AK1228)</f>
        <v>210.01605782603647</v>
      </c>
      <c r="AL388" s="125">
        <f>IF(tech_base!$T44&gt;AL$345,"",AL668+AL948+AL1228)</f>
        <v>210.54826648467699</v>
      </c>
      <c r="AM388" s="125">
        <f>IF(tech_base!$T44&gt;AM$345,"",AM668+AM948+AM1228)</f>
        <v>211.12528248204481</v>
      </c>
      <c r="AN388" s="125">
        <f>IF(tech_base!$T44&gt;AN$345,"",AN668+AN948+AN1228)</f>
        <v>211.56912169504193</v>
      </c>
      <c r="AO388" s="125">
        <f>IF(tech_base!$T44&gt;AO$345,"",AO668+AO948+AO1228)</f>
        <v>212.00524935519175</v>
      </c>
      <c r="AP388" s="125">
        <f>IF(tech_base!$T44&gt;AP$345,"",AP668+AP948+AP1228)</f>
        <v>212.43399971296094</v>
      </c>
      <c r="AQ388" s="125">
        <f>IF(tech_base!$T44&gt;AQ$345,"",AQ668+AQ948+AQ1228)</f>
        <v>212.86173723268138</v>
      </c>
      <c r="AR388" s="125">
        <f>IF(tech_base!$T44&gt;AR$345,"",AR668+AR948+AR1228)</f>
        <v>213.33354352632517</v>
      </c>
      <c r="AS388" s="125">
        <f>IF(tech_base!$T44&gt;AS$345,"",AS668+AS948+AS1228)</f>
        <v>213.81667819090453</v>
      </c>
      <c r="AT388" s="125">
        <f>IF(tech_base!$T44&gt;AT$345,"",AT668+AT948+AT1228)</f>
        <v>214.12859653134763</v>
      </c>
      <c r="AU388" s="125">
        <f>IF(tech_base!$T44&gt;AU$345,"",AU668+AU948+AU1228)</f>
        <v>214.58501389842132</v>
      </c>
      <c r="AV388" s="125">
        <f>IF(tech_base!$T44&gt;AV$345,"",AV668+AV948+AV1228)</f>
        <v>214.96197147299958</v>
      </c>
      <c r="AW388" s="125">
        <f>IF(tech_base!$T44&gt;AW$345,"",AW668+AW948+AW1228)</f>
        <v>215.29678172577886</v>
      </c>
      <c r="AX388" s="126">
        <f>IF(tech_base!$T44&gt;AX$345,"",AX668+AX948+AX1228)</f>
        <v>215.73919821144608</v>
      </c>
    </row>
    <row r="389" spans="1:50" x14ac:dyDescent="0.25">
      <c r="A389" s="356"/>
      <c r="B389" s="376"/>
      <c r="C389" s="361" t="s">
        <v>16</v>
      </c>
      <c r="D389" s="2" t="s">
        <v>7</v>
      </c>
      <c r="E389" s="76" t="str">
        <f>A353&amp;"/"&amp;B379&amp;"/"&amp;C389&amp;"/"&amp;D389</f>
        <v>Coal fired power plants/Steam turbine/CHP with CCS/L</v>
      </c>
      <c r="F389" s="76" t="str">
        <f>A353</f>
        <v>Coal fired power plants</v>
      </c>
      <c r="G389" s="76" t="str">
        <f>B379</f>
        <v>Steam turbine</v>
      </c>
      <c r="H389" s="76" t="str">
        <f>C389</f>
        <v>CHP with CCS</v>
      </c>
      <c r="I389" s="76" t="str">
        <f t="shared" si="357"/>
        <v>L</v>
      </c>
      <c r="J389" s="119" t="str">
        <f>IF(tech_base!$T45&gt;J$345,"",J669+J949+J1229)</f>
        <v/>
      </c>
      <c r="K389" s="119" t="str">
        <f>IF(tech_base!$T45&gt;K$345,"",K669+K949+K1229)</f>
        <v/>
      </c>
      <c r="L389" s="119" t="str">
        <f>IF(tech_base!$T45&gt;L$345,"",L669+L949+L1229)</f>
        <v/>
      </c>
      <c r="M389" s="119" t="str">
        <f>IF(tech_base!$T45&gt;M$345,"",M669+M949+M1229)</f>
        <v/>
      </c>
      <c r="N389" s="119" t="str">
        <f>IF(tech_base!$T45&gt;N$345,"",N669+N949+N1229)</f>
        <v/>
      </c>
      <c r="O389" s="119" t="str">
        <f>IF(tech_base!$T45&gt;O$345,"",O669+O949+O1229)</f>
        <v/>
      </c>
      <c r="P389" s="119" t="str">
        <f>IF(tech_base!$T45&gt;P$345,"",P669+P949+P1229)</f>
        <v/>
      </c>
      <c r="Q389" s="119" t="str">
        <f>IF(tech_base!$T45&gt;Q$345,"",Q669+Q949+Q1229)</f>
        <v/>
      </c>
      <c r="R389" s="119" t="str">
        <f>IF(tech_base!$T45&gt;R$345,"",R669+R949+R1229)</f>
        <v/>
      </c>
      <c r="S389" s="119" t="str">
        <f>IF(tech_base!$T45&gt;S$345,"",S669+S949+S1229)</f>
        <v/>
      </c>
      <c r="T389" s="119" t="str">
        <f>IF(tech_base!$T45&gt;T$345,"",T669+T949+T1229)</f>
        <v/>
      </c>
      <c r="U389" s="119" t="str">
        <f>IF(tech_base!$T45&gt;U$345,"",U669+U949+U1229)</f>
        <v/>
      </c>
      <c r="V389" s="119" t="str">
        <f>IF(tech_base!$T45&gt;V$345,"",V669+V949+V1229)</f>
        <v/>
      </c>
      <c r="W389" s="119" t="str">
        <f>IF(tech_base!$T45&gt;W$345,"",W669+W949+W1229)</f>
        <v/>
      </c>
      <c r="X389" s="119" t="str">
        <f>IF(tech_base!$T45&gt;X$345,"",X669+X949+X1229)</f>
        <v/>
      </c>
      <c r="Y389" s="119" t="str">
        <f>IF(tech_base!$T45&gt;Y$345,"",Y669+Y949+Y1229)</f>
        <v/>
      </c>
      <c r="Z389" s="119" t="str">
        <f>IF(tech_base!$T45&gt;Z$345,"",Z669+Z949+Z1229)</f>
        <v/>
      </c>
      <c r="AA389" s="119" t="str">
        <f>IF(tech_base!$T45&gt;AA$345,"",AA669+AA949+AA1229)</f>
        <v/>
      </c>
      <c r="AB389" s="119" t="str">
        <f>IF(tech_base!$T45&gt;AB$345,"",AB669+AB949+AB1229)</f>
        <v/>
      </c>
      <c r="AC389" s="119" t="str">
        <f>IF(tech_base!$T45&gt;AC$345,"",AC669+AC949+AC1229)</f>
        <v/>
      </c>
      <c r="AD389" s="119" t="str">
        <f>IF(tech_base!$T45&gt;AD$345,"",AD669+AD949+AD1229)</f>
        <v/>
      </c>
      <c r="AE389" s="119">
        <f>IF(tech_base!$T45&gt;AE$345,"",AE669+AE949+AE1229)</f>
        <v>208.86507550514506</v>
      </c>
      <c r="AF389" s="119">
        <f>IF(tech_base!$T45&gt;AF$345,"",AF669+AF949+AF1229)</f>
        <v>209.5586746807478</v>
      </c>
      <c r="AG389" s="119">
        <f>IF(tech_base!$T45&gt;AG$345,"",AG669+AG949+AG1229)</f>
        <v>210.28283448708629</v>
      </c>
      <c r="AH389" s="119">
        <f>IF(tech_base!$T45&gt;AH$345,"",AH669+AH949+AH1229)</f>
        <v>210.95601112198858</v>
      </c>
      <c r="AI389" s="119">
        <f>IF(tech_base!$T45&gt;AI$345,"",AI669+AI949+AI1229)</f>
        <v>211.5649307104751</v>
      </c>
      <c r="AJ389" s="119">
        <f>IF(tech_base!$T45&gt;AJ$345,"",AJ669+AJ949+AJ1229)</f>
        <v>211.99500637765422</v>
      </c>
      <c r="AK389" s="119">
        <f>IF(tech_base!$T45&gt;AK$345,"",AK669+AK949+AK1229)</f>
        <v>212.50377093063881</v>
      </c>
      <c r="AL389" s="119">
        <f>IF(tech_base!$T45&gt;AL$345,"",AL669+AL949+AL1229)</f>
        <v>213.06986141852718</v>
      </c>
      <c r="AM389" s="119">
        <f>IF(tech_base!$T45&gt;AM$345,"",AM669+AM949+AM1229)</f>
        <v>213.68361180038625</v>
      </c>
      <c r="AN389" s="119">
        <f>IF(tech_base!$T45&gt;AN$345,"",AN669+AN949+AN1229)</f>
        <v>214.15570700693794</v>
      </c>
      <c r="AO389" s="119">
        <f>IF(tech_base!$T45&gt;AO$345,"",AO669+AO949+AO1229)</f>
        <v>214.61959972252524</v>
      </c>
      <c r="AP389" s="119">
        <f>IF(tech_base!$T45&gt;AP$345,"",AP669+AP949+AP1229)</f>
        <v>215.07564547689503</v>
      </c>
      <c r="AQ389" s="119">
        <f>IF(tech_base!$T45&gt;AQ$345,"",AQ669+AQ949+AQ1229)</f>
        <v>215.53061391323203</v>
      </c>
      <c r="AR389" s="119">
        <f>IF(tech_base!$T45&gt;AR$345,"",AR669+AR949+AR1229)</f>
        <v>216.03245665972145</v>
      </c>
      <c r="AS389" s="119">
        <f>IF(tech_base!$T45&gt;AS$345,"",AS669+AS949+AS1229)</f>
        <v>216.54634897159423</v>
      </c>
      <c r="AT389" s="119">
        <f>IF(tech_base!$T45&gt;AT$345,"",AT669+AT949+AT1229)</f>
        <v>216.87812486936673</v>
      </c>
      <c r="AU389" s="119">
        <f>IF(tech_base!$T45&gt;AU$345,"",AU669+AU949+AU1229)</f>
        <v>217.36359898898635</v>
      </c>
      <c r="AV389" s="119">
        <f>IF(tech_base!$T45&gt;AV$345,"",AV669+AV949+AV1229)</f>
        <v>217.76455469280992</v>
      </c>
      <c r="AW389" s="119">
        <f>IF(tech_base!$T45&gt;AW$345,"",AW669+AW949+AW1229)</f>
        <v>218.12067986339622</v>
      </c>
      <c r="AX389" s="120">
        <f>IF(tech_base!$T45&gt;AX$345,"",AX669+AX949+AX1229)</f>
        <v>218.59126176798404</v>
      </c>
    </row>
    <row r="390" spans="1:50" x14ac:dyDescent="0.25">
      <c r="A390" s="357"/>
      <c r="B390" s="380"/>
      <c r="C390" s="381"/>
      <c r="D390" s="4" t="s">
        <v>8</v>
      </c>
      <c r="E390" s="80" t="str">
        <f>A353&amp;"/"&amp;B379&amp;"/"&amp;C389&amp;"/"&amp;D390</f>
        <v>Coal fired power plants/Steam turbine/CHP with CCS/M</v>
      </c>
      <c r="F390" s="80" t="str">
        <f>A353</f>
        <v>Coal fired power plants</v>
      </c>
      <c r="G390" s="80" t="str">
        <f>B379</f>
        <v>Steam turbine</v>
      </c>
      <c r="H390" s="80" t="str">
        <f>C389</f>
        <v>CHP with CCS</v>
      </c>
      <c r="I390" s="80" t="str">
        <f t="shared" si="357"/>
        <v>M</v>
      </c>
      <c r="J390" s="127" t="str">
        <f>IF(tech_base!$T46&gt;J$345,"",J670+J950+J1230)</f>
        <v/>
      </c>
      <c r="K390" s="127" t="str">
        <f>IF(tech_base!$T46&gt;K$345,"",K670+K950+K1230)</f>
        <v/>
      </c>
      <c r="L390" s="127" t="str">
        <f>IF(tech_base!$T46&gt;L$345,"",L670+L950+L1230)</f>
        <v/>
      </c>
      <c r="M390" s="127" t="str">
        <f>IF(tech_base!$T46&gt;M$345,"",M670+M950+M1230)</f>
        <v/>
      </c>
      <c r="N390" s="127" t="str">
        <f>IF(tech_base!$T46&gt;N$345,"",N670+N950+N1230)</f>
        <v/>
      </c>
      <c r="O390" s="127" t="str">
        <f>IF(tech_base!$T46&gt;O$345,"",O670+O950+O1230)</f>
        <v/>
      </c>
      <c r="P390" s="127" t="str">
        <f>IF(tech_base!$T46&gt;P$345,"",P670+P950+P1230)</f>
        <v/>
      </c>
      <c r="Q390" s="127" t="str">
        <f>IF(tech_base!$T46&gt;Q$345,"",Q670+Q950+Q1230)</f>
        <v/>
      </c>
      <c r="R390" s="127" t="str">
        <f>IF(tech_base!$T46&gt;R$345,"",R670+R950+R1230)</f>
        <v/>
      </c>
      <c r="S390" s="127" t="str">
        <f>IF(tech_base!$T46&gt;S$345,"",S670+S950+S1230)</f>
        <v/>
      </c>
      <c r="T390" s="127" t="str">
        <f>IF(tech_base!$T46&gt;T$345,"",T670+T950+T1230)</f>
        <v/>
      </c>
      <c r="U390" s="127" t="str">
        <f>IF(tech_base!$T46&gt;U$345,"",U670+U950+U1230)</f>
        <v/>
      </c>
      <c r="V390" s="127" t="str">
        <f>IF(tech_base!$T46&gt;V$345,"",V670+V950+V1230)</f>
        <v/>
      </c>
      <c r="W390" s="127" t="str">
        <f>IF(tech_base!$T46&gt;W$345,"",W670+W950+W1230)</f>
        <v/>
      </c>
      <c r="X390" s="127" t="str">
        <f>IF(tech_base!$T46&gt;X$345,"",X670+X950+X1230)</f>
        <v/>
      </c>
      <c r="Y390" s="127" t="str">
        <f>IF(tech_base!$T46&gt;Y$345,"",Y670+Y950+Y1230)</f>
        <v/>
      </c>
      <c r="Z390" s="127" t="str">
        <f>IF(tech_base!$T46&gt;Z$345,"",Z670+Z950+Z1230)</f>
        <v/>
      </c>
      <c r="AA390" s="127" t="str">
        <f>IF(tech_base!$T46&gt;AA$345,"",AA670+AA950+AA1230)</f>
        <v/>
      </c>
      <c r="AB390" s="127" t="str">
        <f>IF(tech_base!$T46&gt;AB$345,"",AB670+AB950+AB1230)</f>
        <v/>
      </c>
      <c r="AC390" s="127" t="str">
        <f>IF(tech_base!$T46&gt;AC$345,"",AC670+AC950+AC1230)</f>
        <v/>
      </c>
      <c r="AD390" s="127" t="str">
        <f>IF(tech_base!$T46&gt;AD$345,"",AD670+AD950+AD1230)</f>
        <v/>
      </c>
      <c r="AE390" s="127">
        <f>IF(tech_base!$T46&gt;AE$345,"",AE670+AE950+AE1230)</f>
        <v>234.71819821147875</v>
      </c>
      <c r="AF390" s="127">
        <f>IF(tech_base!$T46&gt;AF$345,"",AF670+AF950+AF1230)</f>
        <v>235.45895601360547</v>
      </c>
      <c r="AG390" s="127">
        <f>IF(tech_base!$T46&gt;AG$345,"",AG670+AG950+AG1230)</f>
        <v>236.23235229981879</v>
      </c>
      <c r="AH390" s="127">
        <f>IF(tech_base!$T46&gt;AH$345,"",AH670+AH950+AH1230)</f>
        <v>236.95129900860044</v>
      </c>
      <c r="AI390" s="127">
        <f>IF(tech_base!$T46&gt;AI$345,"",AI670+AI950+AI1230)</f>
        <v>237.60161975854533</v>
      </c>
      <c r="AJ390" s="127">
        <f>IF(tech_base!$T46&gt;AJ$345,"",AJ670+AJ950+AJ1230)</f>
        <v>238.06093677790449</v>
      </c>
      <c r="AK390" s="127">
        <f>IF(tech_base!$T46&gt;AK$345,"",AK670+AK950+AK1230)</f>
        <v>238.60429283328233</v>
      </c>
      <c r="AL390" s="127">
        <f>IF(tech_base!$T46&gt;AL$345,"",AL670+AL950+AL1230)</f>
        <v>239.20887248153321</v>
      </c>
      <c r="AM390" s="127">
        <f>IF(tech_base!$T46&gt;AM$345,"",AM670+AM950+AM1230)</f>
        <v>239.86435247619329</v>
      </c>
      <c r="AN390" s="127">
        <f>IF(tech_base!$T46&gt;AN$345,"",AN670+AN950+AN1230)</f>
        <v>240.36854599299772</v>
      </c>
      <c r="AO390" s="127">
        <f>IF(tech_base!$T46&gt;AO$345,"",AO670+AO950+AO1230)</f>
        <v>240.86397932179659</v>
      </c>
      <c r="AP390" s="127">
        <f>IF(tech_base!$T46&gt;AP$345,"",AP670+AP950+AP1230)</f>
        <v>241.35103216522396</v>
      </c>
      <c r="AQ390" s="127">
        <f>IF(tech_base!$T46&gt;AQ$345,"",AQ670+AQ950+AQ1230)</f>
        <v>241.83693444249403</v>
      </c>
      <c r="AR390" s="127">
        <f>IF(tech_base!$T46&gt;AR$345,"",AR670+AR950+AR1230)</f>
        <v>242.3728980695841</v>
      </c>
      <c r="AS390" s="127">
        <f>IF(tech_base!$T46&gt;AS$345,"",AS670+AS950+AS1230)</f>
        <v>242.92173052622863</v>
      </c>
      <c r="AT390" s="127">
        <f>IF(tech_base!$T46&gt;AT$345,"",AT670+AT950+AT1230)</f>
        <v>243.27606425884733</v>
      </c>
      <c r="AU390" s="127">
        <f>IF(tech_base!$T46&gt;AU$345,"",AU670+AU950+AU1230)</f>
        <v>243.79454633680876</v>
      </c>
      <c r="AV390" s="127">
        <f>IF(tech_base!$T46&gt;AV$345,"",AV670+AV950+AV1230)</f>
        <v>244.22276349213683</v>
      </c>
      <c r="AW390" s="127">
        <f>IF(tech_base!$T46&gt;AW$345,"",AW670+AW950+AW1230)</f>
        <v>244.60310203336451</v>
      </c>
      <c r="AX390" s="128">
        <f>IF(tech_base!$T46&gt;AX$345,"",AX670+AX950+AX1230)</f>
        <v>245.10567935701857</v>
      </c>
    </row>
    <row r="391" spans="1:50" x14ac:dyDescent="0.25">
      <c r="A391" s="355" t="s">
        <v>21</v>
      </c>
      <c r="B391" s="358" t="s">
        <v>13</v>
      </c>
      <c r="C391" s="353" t="s">
        <v>6</v>
      </c>
      <c r="D391" s="3" t="s">
        <v>7</v>
      </c>
      <c r="E391" s="77" t="str">
        <f>A391&amp;"/"&amp;B391&amp;"/"&amp;C391&amp;"/"&amp;D391</f>
        <v>Lignite fired power plants/Integrated gasification combined cycle/Electricity only/L</v>
      </c>
      <c r="F391" s="77" t="str">
        <f>A391</f>
        <v>Lignite fired power plants</v>
      </c>
      <c r="G391" s="77" t="str">
        <f>B391</f>
        <v>Integrated gasification combined cycle</v>
      </c>
      <c r="H391" s="77" t="str">
        <f>C391</f>
        <v>Electricity only</v>
      </c>
      <c r="I391" s="77" t="str">
        <f t="shared" si="357"/>
        <v>L</v>
      </c>
      <c r="J391" s="121">
        <f>IF(tech_base!$T47&gt;J$345,"",J671+J951+J1231)</f>
        <v>121.37860336621559</v>
      </c>
      <c r="K391" s="121">
        <f>IF(tech_base!$T47&gt;K$345,"",K671+K951+K1231)</f>
        <v>121.39051319775906</v>
      </c>
      <c r="L391" s="121">
        <f>IF(tech_base!$T47&gt;L$345,"",L671+L951+L1231)</f>
        <v>121.40219304763606</v>
      </c>
      <c r="M391" s="121">
        <f>IF(tech_base!$T47&gt;M$345,"",M671+M951+M1231)</f>
        <v>121.41357762122203</v>
      </c>
      <c r="N391" s="121">
        <f>IF(tech_base!$T47&gt;N$345,"",N671+N951+N1231)</f>
        <v>121.42458309797823</v>
      </c>
      <c r="O391" s="121">
        <f>IF(tech_base!$T47&gt;O$345,"",O671+O951+O1231)</f>
        <v>121.43510188293516</v>
      </c>
      <c r="P391" s="121">
        <f>IF(tech_base!$T47&gt;P$345,"",P671+P951+P1231)</f>
        <v>121.50192228111253</v>
      </c>
      <c r="Q391" s="121">
        <f>IF(tech_base!$T47&gt;Q$345,"",Q671+Q951+Q1231)</f>
        <v>121.56793988739274</v>
      </c>
      <c r="R391" s="121">
        <f>IF(tech_base!$T47&gt;R$345,"",R671+R951+R1231)</f>
        <v>121.63292695688554</v>
      </c>
      <c r="S391" s="121">
        <f>IF(tech_base!$T47&gt;S$345,"",S671+S951+S1231)</f>
        <v>121.6965912819696</v>
      </c>
      <c r="T391" s="121">
        <f>IF(tech_base!$T47&gt;T$345,"",T671+T951+T1231)</f>
        <v>121.75855804118902</v>
      </c>
      <c r="U391" s="121">
        <f>IF(tech_base!$T47&gt;U$345,"",U671+U951+U1231)</f>
        <v>121.81973943143005</v>
      </c>
      <c r="V391" s="121">
        <f>IF(tech_base!$T47&gt;V$345,"",V671+V951+V1231)</f>
        <v>121.87812649018304</v>
      </c>
      <c r="W391" s="121">
        <f>IF(tech_base!$T47&gt;W$345,"",W671+W951+W1231)</f>
        <v>121.93292996091583</v>
      </c>
      <c r="X391" s="121">
        <f>IF(tech_base!$T47&gt;X$345,"",X671+X951+X1231)</f>
        <v>121.98313943689959</v>
      </c>
      <c r="Y391" s="121">
        <f>IF(tech_base!$T47&gt;Y$345,"",Y671+Y951+Y1231)</f>
        <v>122.02746254261618</v>
      </c>
      <c r="Z391" s="121">
        <f>IF(tech_base!$T47&gt;Z$345,"",Z671+Z951+Z1231)</f>
        <v>122.06566852977687</v>
      </c>
      <c r="AA391" s="121">
        <f>IF(tech_base!$T47&gt;AA$345,"",AA671+AA951+AA1231)</f>
        <v>122.09423035607456</v>
      </c>
      <c r="AB391" s="121">
        <f>IF(tech_base!$T47&gt;AB$345,"",AB671+AB951+AB1231)</f>
        <v>122.11046579256904</v>
      </c>
      <c r="AC391" s="121">
        <f>IF(tech_base!$T47&gt;AC$345,"",AC671+AC951+AC1231)</f>
        <v>122.11096782436815</v>
      </c>
      <c r="AD391" s="121">
        <f>IF(tech_base!$T47&gt;AD$345,"",AD671+AD951+AD1231)</f>
        <v>122.09142240267306</v>
      </c>
      <c r="AE391" s="121">
        <f>IF(tech_base!$T47&gt;AE$345,"",AE671+AE951+AE1231)</f>
        <v>122.0478369261196</v>
      </c>
      <c r="AF391" s="121">
        <f>IF(tech_base!$T47&gt;AF$345,"",AF671+AF951+AF1231)</f>
        <v>121.971938096223</v>
      </c>
      <c r="AG391" s="121">
        <f>IF(tech_base!$T47&gt;AG$345,"",AG671+AG951+AG1231)</f>
        <v>121.85522267535951</v>
      </c>
      <c r="AH391" s="121">
        <f>IF(tech_base!$T47&gt;AH$345,"",AH671+AH951+AH1231)</f>
        <v>121.68719056566941</v>
      </c>
      <c r="AI391" s="121">
        <f>IF(tech_base!$T47&gt;AI$345,"",AI671+AI951+AI1231)</f>
        <v>121.45502664676488</v>
      </c>
      <c r="AJ391" s="121">
        <f>IF(tech_base!$T47&gt;AJ$345,"",AJ671+AJ951+AJ1231)</f>
        <v>121.14480333502402</v>
      </c>
      <c r="AK391" s="121">
        <f>IF(tech_base!$T47&gt;AK$345,"",AK671+AK951+AK1231)</f>
        <v>120.73691445537253</v>
      </c>
      <c r="AL391" s="121">
        <f>IF(tech_base!$T47&gt;AL$345,"",AL671+AL951+AL1231)</f>
        <v>120.21060496673246</v>
      </c>
      <c r="AM391" s="121">
        <f>IF(tech_base!$T47&gt;AM$345,"",AM671+AM951+AM1231)</f>
        <v>119.54302518109054</v>
      </c>
      <c r="AN391" s="121">
        <f>IF(tech_base!$T47&gt;AN$345,"",AN671+AN951+AN1231)</f>
        <v>118.71040582524965</v>
      </c>
      <c r="AO391" s="121">
        <f>IF(tech_base!$T47&gt;AO$345,"",AO671+AO951+AO1231)</f>
        <v>117.69161117854827</v>
      </c>
      <c r="AP391" s="121">
        <f>IF(tech_base!$T47&gt;AP$345,"",AP671+AP951+AP1231)</f>
        <v>116.46678958526383</v>
      </c>
      <c r="AQ391" s="121">
        <f>IF(tech_base!$T47&gt;AQ$345,"",AQ671+AQ951+AQ1231)</f>
        <v>115.02606263395873</v>
      </c>
      <c r="AR391" s="121">
        <f>IF(tech_base!$T47&gt;AR$345,"",AR671+AR951+AR1231)</f>
        <v>113.37291975083362</v>
      </c>
      <c r="AS391" s="121">
        <f>IF(tech_base!$T47&gt;AS$345,"",AS671+AS951+AS1231)</f>
        <v>111.5288825296843</v>
      </c>
      <c r="AT391" s="121">
        <f>IF(tech_base!$T47&gt;AT$345,"",AT671+AT951+AT1231)</f>
        <v>109.53796263656719</v>
      </c>
      <c r="AU391" s="121">
        <f>IF(tech_base!$T47&gt;AU$345,"",AU671+AU951+AU1231)</f>
        <v>107.46171147190475</v>
      </c>
      <c r="AV391" s="121">
        <f>IF(tech_base!$T47&gt;AV$345,"",AV671+AV951+AV1231)</f>
        <v>105.37863759000683</v>
      </c>
      <c r="AW391" s="121">
        <f>IF(tech_base!$T47&gt;AW$345,"",AW671+AW951+AW1231)</f>
        <v>103.37308988056037</v>
      </c>
      <c r="AX391" s="122">
        <f>IF(tech_base!$T47&gt;AX$345,"",AX671+AX951+AX1231)</f>
        <v>101.523112029622</v>
      </c>
    </row>
    <row r="392" spans="1:50" x14ac:dyDescent="0.25">
      <c r="A392" s="356"/>
      <c r="B392" s="376"/>
      <c r="C392" s="379"/>
      <c r="D392" s="2" t="s">
        <v>8</v>
      </c>
      <c r="E392" s="76" t="str">
        <f>A391&amp;"/"&amp;B391&amp;"/"&amp;C391&amp;"/"&amp;D392</f>
        <v>Lignite fired power plants/Integrated gasification combined cycle/Electricity only/M</v>
      </c>
      <c r="F392" s="76" t="str">
        <f>A391</f>
        <v>Lignite fired power plants</v>
      </c>
      <c r="G392" s="76" t="str">
        <f>B391</f>
        <v>Integrated gasification combined cycle</v>
      </c>
      <c r="H392" s="76" t="str">
        <f>C391</f>
        <v>Electricity only</v>
      </c>
      <c r="I392" s="76" t="str">
        <f t="shared" si="357"/>
        <v>M</v>
      </c>
      <c r="J392" s="119">
        <f>IF(tech_base!$T48&gt;J$345,"",J672+J952+J1232)</f>
        <v>130.61619108284557</v>
      </c>
      <c r="K392" s="119">
        <f>IF(tech_base!$T48&gt;K$345,"",K672+K952+K1232)</f>
        <v>130.62498784053275</v>
      </c>
      <c r="L392" s="119">
        <f>IF(tech_base!$T48&gt;L$345,"",L672+L952+L1232)</f>
        <v>130.63276332018637</v>
      </c>
      <c r="M392" s="119">
        <f>IF(tech_base!$T48&gt;M$345,"",M672+M952+M1232)</f>
        <v>130.63929197010776</v>
      </c>
      <c r="N392" s="119">
        <f>IF(tech_base!$T48&gt;N$345,"",N672+N952+N1232)</f>
        <v>130.64429858462429</v>
      </c>
      <c r="O392" s="119">
        <f>IF(tech_base!$T48&gt;O$345,"",O672+O952+O1232)</f>
        <v>130.64744745148278</v>
      </c>
      <c r="P392" s="119">
        <f>IF(tech_base!$T48&gt;P$345,"",P672+P952+P1232)</f>
        <v>130.70835901046408</v>
      </c>
      <c r="Q392" s="119">
        <f>IF(tech_base!$T48&gt;Q$345,"",Q672+Q952+Q1232)</f>
        <v>130.76650114928722</v>
      </c>
      <c r="R392" s="119">
        <f>IF(tech_base!$T48&gt;R$345,"",R672+R952+R1232)</f>
        <v>130.82126463358912</v>
      </c>
      <c r="S392" s="119">
        <f>IF(tech_base!$T48&gt;S$345,"",S672+S952+S1232)</f>
        <v>130.87190737961839</v>
      </c>
      <c r="T392" s="119">
        <f>IF(tech_base!$T48&gt;T$345,"",T672+T952+T1232)</f>
        <v>130.91752606096463</v>
      </c>
      <c r="U392" s="119">
        <f>IF(tech_base!$T48&gt;U$345,"",U672+U952+U1232)</f>
        <v>130.958490481848</v>
      </c>
      <c r="V392" s="119">
        <f>IF(tech_base!$T48&gt;V$345,"",V672+V952+V1232)</f>
        <v>130.99199670964501</v>
      </c>
      <c r="W392" s="119">
        <f>IF(tech_base!$T48&gt;W$345,"",W672+W952+W1232)</f>
        <v>131.01642410215345</v>
      </c>
      <c r="X392" s="119">
        <f>IF(tech_base!$T48&gt;X$345,"",X672+X952+X1232)</f>
        <v>131.02980840037753</v>
      </c>
      <c r="Y392" s="119">
        <f>IF(tech_base!$T48&gt;Y$345,"",Y672+Y952+Y1232)</f>
        <v>131.02977304441396</v>
      </c>
      <c r="Z392" s="119">
        <f>IF(tech_base!$T48&gt;Z$345,"",Z672+Z952+Z1232)</f>
        <v>131.01494590729197</v>
      </c>
      <c r="AA392" s="119">
        <f>IF(tech_base!$T48&gt;AA$345,"",AA672+AA952+AA1232)</f>
        <v>130.9803744417375</v>
      </c>
      <c r="AB392" s="119">
        <f>IF(tech_base!$T48&gt;AB$345,"",AB672+AB952+AB1232)</f>
        <v>130.92191188953791</v>
      </c>
      <c r="AC392" s="119">
        <f>IF(tech_base!$T48&gt;AC$345,"",AC672+AC952+AC1232)</f>
        <v>130.83460114630867</v>
      </c>
      <c r="AD392" s="119">
        <f>IF(tech_base!$T48&gt;AD$345,"",AD672+AD952+AD1232)</f>
        <v>130.7125456259439</v>
      </c>
      <c r="AE392" s="119">
        <f>IF(tech_base!$T48&gt;AE$345,"",AE672+AE952+AE1232)</f>
        <v>130.5502988036562</v>
      </c>
      <c r="AF392" s="119">
        <f>IF(tech_base!$T48&gt;AF$345,"",AF672+AF952+AF1232)</f>
        <v>130.33815486626224</v>
      </c>
      <c r="AG392" s="119">
        <f>IF(tech_base!$T48&gt;AG$345,"",AG672+AG952+AG1232)</f>
        <v>130.06660707621415</v>
      </c>
      <c r="AH392" s="119">
        <f>IF(tech_base!$T48&gt;AH$345,"",AH672+AH952+AH1232)</f>
        <v>129.72473778876358</v>
      </c>
      <c r="AI392" s="119">
        <f>IF(tech_base!$T48&gt;AI$345,"",AI672+AI952+AI1232)</f>
        <v>129.30019768499955</v>
      </c>
      <c r="AJ392" s="119">
        <f>IF(tech_base!$T48&gt;AJ$345,"",AJ672+AJ952+AJ1232)</f>
        <v>128.78083694031318</v>
      </c>
      <c r="AK392" s="119">
        <f>IF(tech_base!$T48&gt;AK$345,"",AK672+AK952+AK1232)</f>
        <v>128.15028817555975</v>
      </c>
      <c r="AL392" s="119">
        <f>IF(tech_base!$T48&gt;AL$345,"",AL672+AL952+AL1232)</f>
        <v>127.39307087226931</v>
      </c>
      <c r="AM392" s="119">
        <f>IF(tech_base!$T48&gt;AM$345,"",AM672+AM952+AM1232)</f>
        <v>126.49376904964944</v>
      </c>
      <c r="AN392" s="119">
        <f>IF(tech_base!$T48&gt;AN$345,"",AN672+AN952+AN1232)</f>
        <v>125.43810216139822</v>
      </c>
      <c r="AO392" s="119">
        <f>IF(tech_base!$T48&gt;AO$345,"",AO672+AO952+AO1232)</f>
        <v>124.21593764721968</v>
      </c>
      <c r="AP392" s="119">
        <f>IF(tech_base!$T48&gt;AP$345,"",AP672+AP952+AP1232)</f>
        <v>122.81838578132599</v>
      </c>
      <c r="AQ392" s="119">
        <f>IF(tech_base!$T48&gt;AQ$345,"",AQ672+AQ952+AQ1232)</f>
        <v>121.24456463645797</v>
      </c>
      <c r="AR392" s="119">
        <f>IF(tech_base!$T48&gt;AR$345,"",AR672+AR952+AR1232)</f>
        <v>119.50209899493241</v>
      </c>
      <c r="AS392" s="119">
        <f>IF(tech_base!$T48&gt;AS$345,"",AS672+AS952+AS1232)</f>
        <v>117.6088567435305</v>
      </c>
      <c r="AT392" s="119">
        <f>IF(tech_base!$T48&gt;AT$345,"",AT672+AT952+AT1232)</f>
        <v>115.59546261707163</v>
      </c>
      <c r="AU392" s="119">
        <f>IF(tech_base!$T48&gt;AU$345,"",AU672+AU952+AU1232)</f>
        <v>113.5002581498256</v>
      </c>
      <c r="AV392" s="119">
        <f>IF(tech_base!$T48&gt;AV$345,"",AV672+AV952+AV1232)</f>
        <v>111.37213220120597</v>
      </c>
      <c r="AW392" s="119">
        <f>IF(tech_base!$T48&gt;AW$345,"",AW672+AW952+AW1232)</f>
        <v>109.2654098172591</v>
      </c>
      <c r="AX392" s="120">
        <f>IF(tech_base!$T48&gt;AX$345,"",AX672+AX952+AX1232)</f>
        <v>107.23508168358381</v>
      </c>
    </row>
    <row r="393" spans="1:50" x14ac:dyDescent="0.25">
      <c r="A393" s="356"/>
      <c r="B393" s="376"/>
      <c r="C393" s="361" t="s">
        <v>14</v>
      </c>
      <c r="D393" s="58" t="s">
        <v>7</v>
      </c>
      <c r="E393" s="78" t="str">
        <f>A391&amp;"/"&amp;B391&amp;"/"&amp;C393&amp;"/"&amp;D393</f>
        <v>Lignite fired power plants/Integrated gasification combined cycle/CHP/L</v>
      </c>
      <c r="F393" s="78" t="str">
        <f>A391</f>
        <v>Lignite fired power plants</v>
      </c>
      <c r="G393" s="78" t="str">
        <f>B391</f>
        <v>Integrated gasification combined cycle</v>
      </c>
      <c r="H393" s="78" t="str">
        <f>C393</f>
        <v>CHP</v>
      </c>
      <c r="I393" s="78" t="str">
        <f t="shared" si="357"/>
        <v>L</v>
      </c>
      <c r="J393" s="123" t="str">
        <f>IF(tech_base!$T49&gt;J$345,"",J673+J953+J1233)</f>
        <v/>
      </c>
      <c r="K393" s="123" t="str">
        <f>IF(tech_base!$T49&gt;K$345,"",K673+K953+K1233)</f>
        <v/>
      </c>
      <c r="L393" s="123" t="str">
        <f>IF(tech_base!$T49&gt;L$345,"",L673+L953+L1233)</f>
        <v/>
      </c>
      <c r="M393" s="123" t="str">
        <f>IF(tech_base!$T49&gt;M$345,"",M673+M953+M1233)</f>
        <v/>
      </c>
      <c r="N393" s="123" t="str">
        <f>IF(tech_base!$T49&gt;N$345,"",N673+N953+N1233)</f>
        <v/>
      </c>
      <c r="O393" s="123" t="str">
        <f>IF(tech_base!$T49&gt;O$345,"",O673+O953+O1233)</f>
        <v/>
      </c>
      <c r="P393" s="123" t="str">
        <f>IF(tech_base!$T49&gt;P$345,"",P673+P953+P1233)</f>
        <v/>
      </c>
      <c r="Q393" s="123" t="str">
        <f>IF(tech_base!$T49&gt;Q$345,"",Q673+Q953+Q1233)</f>
        <v/>
      </c>
      <c r="R393" s="123" t="str">
        <f>IF(tech_base!$T49&gt;R$345,"",R673+R953+R1233)</f>
        <v/>
      </c>
      <c r="S393" s="123" t="str">
        <f>IF(tech_base!$T49&gt;S$345,"",S673+S953+S1233)</f>
        <v/>
      </c>
      <c r="T393" s="123">
        <f>IF(tech_base!$T49&gt;T$345,"",T673+T953+T1233)</f>
        <v>137.05549027669537</v>
      </c>
      <c r="U393" s="123">
        <f>IF(tech_base!$T49&gt;U$345,"",U673+U953+U1233)</f>
        <v>137.12399621359461</v>
      </c>
      <c r="V393" s="123">
        <f>IF(tech_base!$T49&gt;V$345,"",V673+V953+V1233)</f>
        <v>137.18957607326433</v>
      </c>
      <c r="W393" s="123">
        <f>IF(tech_base!$T49&gt;W$345,"",W673+W953+W1233)</f>
        <v>137.25140339778841</v>
      </c>
      <c r="X393" s="123">
        <f>IF(tech_base!$T49&gt;X$345,"",X673+X953+X1233)</f>
        <v>137.30842015886412</v>
      </c>
      <c r="Y393" s="123">
        <f>IF(tech_base!$T49&gt;Y$345,"",Y673+Y953+Y1233)</f>
        <v>137.35927307511835</v>
      </c>
      <c r="Z393" s="123">
        <f>IF(tech_base!$T49&gt;Z$345,"",Z673+Z953+Z1233)</f>
        <v>137.40380936939545</v>
      </c>
      <c r="AA393" s="123">
        <f>IF(tech_base!$T49&gt;AA$345,"",AA673+AA953+AA1233)</f>
        <v>137.43824696680616</v>
      </c>
      <c r="AB393" s="123">
        <f>IF(tech_base!$T49&gt;AB$345,"",AB673+AB953+AB1233)</f>
        <v>137.45977727741604</v>
      </c>
      <c r="AC393" s="123">
        <f>IF(tech_base!$T49&gt;AC$345,"",AC673+AC953+AC1233)</f>
        <v>137.46483280551729</v>
      </c>
      <c r="AD393" s="123">
        <f>IF(tech_base!$T49&gt;AD$345,"",AD673+AD953+AD1233)</f>
        <v>137.44889633591183</v>
      </c>
      <c r="AE393" s="123">
        <f>IF(tech_base!$T49&gt;AE$345,"",AE673+AE953+AE1233)</f>
        <v>137.40787797852795</v>
      </c>
      <c r="AF393" s="123">
        <f>IF(tech_base!$T49&gt;AF$345,"",AF673+AF953+AF1233)</f>
        <v>137.33302431230319</v>
      </c>
      <c r="AG393" s="123">
        <f>IF(tech_base!$T49&gt;AG$345,"",AG673+AG953+AG1233)</f>
        <v>137.21543200695686</v>
      </c>
      <c r="AH393" s="123">
        <f>IF(tech_base!$T49&gt;AH$345,"",AH673+AH953+AH1233)</f>
        <v>137.04410714647847</v>
      </c>
      <c r="AI393" s="123">
        <f>IF(tech_base!$T49&gt;AI$345,"",AI673+AI953+AI1233)</f>
        <v>136.80563228118677</v>
      </c>
      <c r="AJ393" s="123">
        <f>IF(tech_base!$T49&gt;AJ$345,"",AJ673+AJ953+AJ1233)</f>
        <v>136.48551847759376</v>
      </c>
      <c r="AK393" s="123">
        <f>IF(tech_base!$T49&gt;AK$345,"",AK673+AK953+AK1233)</f>
        <v>136.06314698543852</v>
      </c>
      <c r="AL393" s="123">
        <f>IF(tech_base!$T49&gt;AL$345,"",AL673+AL953+AL1233)</f>
        <v>135.51679051614261</v>
      </c>
      <c r="AM393" s="123">
        <f>IF(tech_base!$T49&gt;AM$345,"",AM673+AM953+AM1233)</f>
        <v>134.82253127292489</v>
      </c>
      <c r="AN393" s="123">
        <f>IF(tech_base!$T49&gt;AN$345,"",AN673+AN953+AN1233)</f>
        <v>133.9554924483034</v>
      </c>
      <c r="AO393" s="123">
        <f>IF(tech_base!$T49&gt;AO$345,"",AO673+AO953+AO1233)</f>
        <v>132.89365452378928</v>
      </c>
      <c r="AP393" s="123">
        <f>IF(tech_base!$T49&gt;AP$345,"",AP673+AP953+AP1233)</f>
        <v>131.61615959538369</v>
      </c>
      <c r="AQ393" s="123">
        <f>IF(tech_base!$T49&gt;AQ$345,"",AQ673+AQ953+AQ1233)</f>
        <v>130.11269366295014</v>
      </c>
      <c r="AR393" s="123">
        <f>IF(tech_base!$T49&gt;AR$345,"",AR673+AR953+AR1233)</f>
        <v>128.3869453129152</v>
      </c>
      <c r="AS393" s="123">
        <f>IF(tech_base!$T49&gt;AS$345,"",AS673+AS953+AS1233)</f>
        <v>126.46148584351474</v>
      </c>
      <c r="AT393" s="123">
        <f>IF(tech_base!$T49&gt;AT$345,"",AT673+AT953+AT1233)</f>
        <v>124.38252712923132</v>
      </c>
      <c r="AU393" s="123">
        <f>IF(tech_base!$T49&gt;AU$345,"",AU673+AU953+AU1233)</f>
        <v>122.21443751209901</v>
      </c>
      <c r="AV393" s="123">
        <f>IF(tech_base!$T49&gt;AV$345,"",AV673+AV953+AV1233)</f>
        <v>120.03941261225219</v>
      </c>
      <c r="AW393" s="123">
        <f>IF(tech_base!$T49&gt;AW$345,"",AW673+AW953+AW1233)</f>
        <v>117.94573253877914</v>
      </c>
      <c r="AX393" s="124">
        <f>IF(tech_base!$T49&gt;AX$345,"",AX673+AX953+AX1233)</f>
        <v>116.01504699699191</v>
      </c>
    </row>
    <row r="394" spans="1:50" x14ac:dyDescent="0.25">
      <c r="A394" s="356"/>
      <c r="B394" s="376"/>
      <c r="C394" s="379"/>
      <c r="D394" s="59" t="s">
        <v>8</v>
      </c>
      <c r="E394" s="79" t="str">
        <f>A391&amp;"/"&amp;B391&amp;"/"&amp;C393&amp;"/"&amp;D394</f>
        <v>Lignite fired power plants/Integrated gasification combined cycle/CHP/M</v>
      </c>
      <c r="F394" s="79" t="str">
        <f>A391</f>
        <v>Lignite fired power plants</v>
      </c>
      <c r="G394" s="79" t="str">
        <f>B391</f>
        <v>Integrated gasification combined cycle</v>
      </c>
      <c r="H394" s="79" t="str">
        <f>C393</f>
        <v>CHP</v>
      </c>
      <c r="I394" s="79" t="str">
        <f t="shared" si="357"/>
        <v>M</v>
      </c>
      <c r="J394" s="125" t="str">
        <f>IF(tech_base!$T50&gt;J$345,"",J674+J954+J1234)</f>
        <v/>
      </c>
      <c r="K394" s="125" t="str">
        <f>IF(tech_base!$T50&gt;K$345,"",K674+K954+K1234)</f>
        <v/>
      </c>
      <c r="L394" s="125" t="str">
        <f>IF(tech_base!$T50&gt;L$345,"",L674+L954+L1234)</f>
        <v/>
      </c>
      <c r="M394" s="125" t="str">
        <f>IF(tech_base!$T50&gt;M$345,"",M674+M954+M1234)</f>
        <v/>
      </c>
      <c r="N394" s="125" t="str">
        <f>IF(tech_base!$T50&gt;N$345,"",N674+N954+N1234)</f>
        <v/>
      </c>
      <c r="O394" s="125" t="str">
        <f>IF(tech_base!$T50&gt;O$345,"",O674+O954+O1234)</f>
        <v/>
      </c>
      <c r="P394" s="125" t="str">
        <f>IF(tech_base!$T50&gt;P$345,"",P674+P954+P1234)</f>
        <v/>
      </c>
      <c r="Q394" s="125" t="str">
        <f>IF(tech_base!$T50&gt;Q$345,"",Q674+Q954+Q1234)</f>
        <v/>
      </c>
      <c r="R394" s="125" t="str">
        <f>IF(tech_base!$T50&gt;R$345,"",R674+R954+R1234)</f>
        <v/>
      </c>
      <c r="S394" s="125" t="str">
        <f>IF(tech_base!$T50&gt;S$345,"",S674+S954+S1234)</f>
        <v/>
      </c>
      <c r="T394" s="125">
        <f>IF(tech_base!$T50&gt;T$345,"",T674+T954+T1234)</f>
        <v>146.44684792387216</v>
      </c>
      <c r="U394" s="125">
        <f>IF(tech_base!$T50&gt;U$345,"",U674+U954+U1234)</f>
        <v>146.49430915835407</v>
      </c>
      <c r="V394" s="125">
        <f>IF(tech_base!$T50&gt;V$345,"",V674+V954+V1234)</f>
        <v>146.53392618765099</v>
      </c>
      <c r="W394" s="125">
        <f>IF(tech_base!$T50&gt;W$345,"",W674+W954+W1234)</f>
        <v>146.56399451373687</v>
      </c>
      <c r="X394" s="125">
        <f>IF(tech_base!$T50&gt;X$345,"",X674+X954+X1234)</f>
        <v>146.58244825101892</v>
      </c>
      <c r="Y394" s="125">
        <f>IF(tech_base!$T50&gt;Y$345,"",Y674+Y954+Y1234)</f>
        <v>146.58678789386633</v>
      </c>
      <c r="Z394" s="125">
        <f>IF(tech_base!$T50&gt;Z$345,"",Z674+Z954+Z1234)</f>
        <v>146.57565793645742</v>
      </c>
      <c r="AA394" s="125">
        <f>IF(tech_base!$T50&gt;AA$345,"",AA674+AA954+AA1234)</f>
        <v>146.54376208821972</v>
      </c>
      <c r="AB394" s="125">
        <f>IF(tech_base!$T50&gt;AB$345,"",AB674+AB954+AB1234)</f>
        <v>146.48673916319905</v>
      </c>
      <c r="AC394" s="125">
        <f>IF(tech_base!$T50&gt;AC$345,"",AC674+AC954+AC1234)</f>
        <v>146.39937578013163</v>
      </c>
      <c r="AD394" s="125">
        <f>IF(tech_base!$T50&gt;AD$345,"",AD674+AD954+AD1234)</f>
        <v>146.27547058376001</v>
      </c>
      <c r="AE394" s="125">
        <f>IF(tech_base!$T50&gt;AE$345,"",AE674+AE954+AE1234)</f>
        <v>146.10938508639691</v>
      </c>
      <c r="AF394" s="125">
        <f>IF(tech_base!$T50&gt;AF$345,"",AF674+AF954+AF1234)</f>
        <v>145.89082270461489</v>
      </c>
      <c r="AG394" s="125">
        <f>IF(tech_base!$T50&gt;AG$345,"",AG674+AG954+AG1234)</f>
        <v>145.60978593040534</v>
      </c>
      <c r="AH394" s="125">
        <f>IF(tech_base!$T50&gt;AH$345,"",AH674+AH954+AH1234)</f>
        <v>145.25479386372962</v>
      </c>
      <c r="AI394" s="125">
        <f>IF(tech_base!$T50&gt;AI$345,"",AI674+AI954+AI1234)</f>
        <v>144.8128605793267</v>
      </c>
      <c r="AJ394" s="125">
        <f>IF(tech_base!$T50&gt;AJ$345,"",AJ674+AJ954+AJ1234)</f>
        <v>144.27130216119133</v>
      </c>
      <c r="AK394" s="125">
        <f>IF(tech_base!$T50&gt;AK$345,"",AK674+AK954+AK1234)</f>
        <v>143.61281792889682</v>
      </c>
      <c r="AL394" s="125">
        <f>IF(tech_base!$T50&gt;AL$345,"",AL674+AL954+AL1234)</f>
        <v>142.82113289981592</v>
      </c>
      <c r="AM394" s="125">
        <f>IF(tech_base!$T50&gt;AM$345,"",AM674+AM954+AM1234)</f>
        <v>141.88004225219578</v>
      </c>
      <c r="AN394" s="125">
        <f>IF(tech_base!$T50&gt;AN$345,"",AN674+AN954+AN1234)</f>
        <v>140.77453814278675</v>
      </c>
      <c r="AO394" s="125">
        <f>IF(tech_base!$T50&gt;AO$345,"",AO674+AO954+AO1234)</f>
        <v>139.49407174287307</v>
      </c>
      <c r="AP394" s="125">
        <f>IF(tech_base!$T50&gt;AP$345,"",AP674+AP954+AP1234)</f>
        <v>138.02921853962158</v>
      </c>
      <c r="AQ394" s="125">
        <f>IF(tech_base!$T50&gt;AQ$345,"",AQ674+AQ954+AQ1234)</f>
        <v>136.37907239773509</v>
      </c>
      <c r="AR394" s="125">
        <f>IF(tech_base!$T50&gt;AR$345,"",AR674+AR954+AR1234)</f>
        <v>134.55167616611928</v>
      </c>
      <c r="AS394" s="125">
        <f>IF(tech_base!$T50&gt;AS$345,"",AS674+AS954+AS1234)</f>
        <v>132.5658458769089</v>
      </c>
      <c r="AT394" s="125">
        <f>IF(tech_base!$T50&gt;AT$345,"",AT674+AT954+AT1234)</f>
        <v>130.45390683726322</v>
      </c>
      <c r="AU394" s="125">
        <f>IF(tech_base!$T50&gt;AU$345,"",AU674+AU954+AU1234)</f>
        <v>128.25610254499074</v>
      </c>
      <c r="AV394" s="125">
        <f>IF(tech_base!$T50&gt;AV$345,"",AV674+AV954+AV1234)</f>
        <v>126.02385314744561</v>
      </c>
      <c r="AW394" s="125">
        <f>IF(tech_base!$T50&gt;AW$345,"",AW674+AW954+AW1234)</f>
        <v>123.81428094505432</v>
      </c>
      <c r="AX394" s="126">
        <f>IF(tech_base!$T50&gt;AX$345,"",AX674+AX954+AX1234)</f>
        <v>121.68519148175379</v>
      </c>
    </row>
    <row r="395" spans="1:50" x14ac:dyDescent="0.25">
      <c r="A395" s="356"/>
      <c r="B395" s="376"/>
      <c r="C395" s="361" t="s">
        <v>15</v>
      </c>
      <c r="D395" s="58" t="s">
        <v>7</v>
      </c>
      <c r="E395" s="78" t="str">
        <f>A391&amp;"/"&amp;B391&amp;"/"&amp;C395&amp;"/"&amp;D395</f>
        <v>Lignite fired power plants/Integrated gasification combined cycle/Electricity only with CCS/L</v>
      </c>
      <c r="F395" s="78" t="str">
        <f>A391</f>
        <v>Lignite fired power plants</v>
      </c>
      <c r="G395" s="78" t="str">
        <f>B391</f>
        <v>Integrated gasification combined cycle</v>
      </c>
      <c r="H395" s="78" t="str">
        <f>C395</f>
        <v>Electricity only with CCS</v>
      </c>
      <c r="I395" s="78" t="str">
        <f t="shared" si="357"/>
        <v>L</v>
      </c>
      <c r="J395" s="123" t="str">
        <f>IF(tech_base!$T51&gt;J$345,"",J675+J955+J1235)</f>
        <v/>
      </c>
      <c r="K395" s="123" t="str">
        <f>IF(tech_base!$T51&gt;K$345,"",K675+K955+K1235)</f>
        <v/>
      </c>
      <c r="L395" s="123" t="str">
        <f>IF(tech_base!$T51&gt;L$345,"",L675+L955+L1235)</f>
        <v/>
      </c>
      <c r="M395" s="123" t="str">
        <f>IF(tech_base!$T51&gt;M$345,"",M675+M955+M1235)</f>
        <v/>
      </c>
      <c r="N395" s="123" t="str">
        <f>IF(tech_base!$T51&gt;N$345,"",N675+N955+N1235)</f>
        <v/>
      </c>
      <c r="O395" s="123" t="str">
        <f>IF(tech_base!$T51&gt;O$345,"",O675+O955+O1235)</f>
        <v/>
      </c>
      <c r="P395" s="123" t="str">
        <f>IF(tech_base!$T51&gt;P$345,"",P675+P955+P1235)</f>
        <v/>
      </c>
      <c r="Q395" s="123" t="str">
        <f>IF(tech_base!$T51&gt;Q$345,"",Q675+Q955+Q1235)</f>
        <v/>
      </c>
      <c r="R395" s="123" t="str">
        <f>IF(tech_base!$T51&gt;R$345,"",R675+R955+R1235)</f>
        <v/>
      </c>
      <c r="S395" s="123" t="str">
        <f>IF(tech_base!$T51&gt;S$345,"",S675+S955+S1235)</f>
        <v/>
      </c>
      <c r="T395" s="123" t="str">
        <f>IF(tech_base!$T51&gt;T$345,"",T675+T955+T1235)</f>
        <v/>
      </c>
      <c r="U395" s="123" t="str">
        <f>IF(tech_base!$T51&gt;U$345,"",U675+U955+U1235)</f>
        <v/>
      </c>
      <c r="V395" s="123" t="str">
        <f>IF(tech_base!$T51&gt;V$345,"",V675+V955+V1235)</f>
        <v/>
      </c>
      <c r="W395" s="123" t="str">
        <f>IF(tech_base!$T51&gt;W$345,"",W675+W955+W1235)</f>
        <v/>
      </c>
      <c r="X395" s="123" t="str">
        <f>IF(tech_base!$T51&gt;X$345,"",X675+X955+X1235)</f>
        <v/>
      </c>
      <c r="Y395" s="123" t="str">
        <f>IF(tech_base!$T51&gt;Y$345,"",Y675+Y955+Y1235)</f>
        <v/>
      </c>
      <c r="Z395" s="123" t="str">
        <f>IF(tech_base!$T51&gt;Z$345,"",Z675+Z955+Z1235)</f>
        <v/>
      </c>
      <c r="AA395" s="123" t="str">
        <f>IF(tech_base!$T51&gt;AA$345,"",AA675+AA955+AA1235)</f>
        <v/>
      </c>
      <c r="AB395" s="123" t="str">
        <f>IF(tech_base!$T51&gt;AB$345,"",AB675+AB955+AB1235)</f>
        <v/>
      </c>
      <c r="AC395" s="123" t="str">
        <f>IF(tech_base!$T51&gt;AC$345,"",AC675+AC955+AC1235)</f>
        <v/>
      </c>
      <c r="AD395" s="123" t="str">
        <f>IF(tech_base!$T51&gt;AD$345,"",AD675+AD955+AD1235)</f>
        <v/>
      </c>
      <c r="AE395" s="123">
        <f>IF(tech_base!$T51&gt;AE$345,"",AE675+AE955+AE1235)</f>
        <v>228.77863906098091</v>
      </c>
      <c r="AF395" s="123">
        <f>IF(tech_base!$T51&gt;AF$345,"",AF675+AF955+AF1235)</f>
        <v>228.8438504490465</v>
      </c>
      <c r="AG395" s="123">
        <f>IF(tech_base!$T51&gt;AG$345,"",AG675+AG955+AG1235)</f>
        <v>228.89815698493706</v>
      </c>
      <c r="AH395" s="123">
        <f>IF(tech_base!$T51&gt;AH$345,"",AH675+AH955+AH1235)</f>
        <v>228.93777461317163</v>
      </c>
      <c r="AI395" s="123">
        <f>IF(tech_base!$T51&gt;AI$345,"",AI675+AI955+AI1235)</f>
        <v>228.95762147677704</v>
      </c>
      <c r="AJ395" s="123">
        <f>IF(tech_base!$T51&gt;AJ$345,"",AJ675+AJ955+AJ1235)</f>
        <v>228.95281419348458</v>
      </c>
      <c r="AK395" s="123">
        <f>IF(tech_base!$T51&gt;AK$345,"",AK675+AK955+AK1235)</f>
        <v>228.91231409627201</v>
      </c>
      <c r="AL395" s="123">
        <f>IF(tech_base!$T51&gt;AL$345,"",AL675+AL955+AL1235)</f>
        <v>228.82398103981268</v>
      </c>
      <c r="AM395" s="123">
        <f>IF(tech_base!$T51&gt;AM$345,"",AM675+AM955+AM1235)</f>
        <v>228.67170950218718</v>
      </c>
      <c r="AN395" s="123">
        <f>IF(tech_base!$T51&gt;AN$345,"",AN675+AN955+AN1235)</f>
        <v>228.43426548479687</v>
      </c>
      <c r="AO395" s="123">
        <f>IF(tech_base!$T51&gt;AO$345,"",AO675+AO955+AO1235)</f>
        <v>228.08585403274435</v>
      </c>
      <c r="AP395" s="123">
        <f>IF(tech_base!$T51&gt;AP$345,"",AP675+AP955+AP1235)</f>
        <v>227.58863495934037</v>
      </c>
      <c r="AQ395" s="123">
        <f>IF(tech_base!$T51&gt;AQ$345,"",AQ675+AQ955+AQ1235)</f>
        <v>226.89698343680075</v>
      </c>
      <c r="AR395" s="123">
        <f>IF(tech_base!$T51&gt;AR$345,"",AR675+AR955+AR1235)</f>
        <v>225.95414717071688</v>
      </c>
      <c r="AS395" s="123">
        <f>IF(tech_base!$T51&gt;AS$345,"",AS675+AS955+AS1235)</f>
        <v>224.69171080405863</v>
      </c>
      <c r="AT395" s="123">
        <f>IF(tech_base!$T51&gt;AT$345,"",AT675+AT955+AT1235)</f>
        <v>223.03284923724436</v>
      </c>
      <c r="AU395" s="123">
        <f>IF(tech_base!$T51&gt;AU$345,"",AU675+AU955+AU1235)</f>
        <v>220.89077384979777</v>
      </c>
      <c r="AV395" s="123">
        <f>IF(tech_base!$T51&gt;AV$345,"",AV675+AV955+AV1235)</f>
        <v>218.18397476112554</v>
      </c>
      <c r="AW395" s="123">
        <f>IF(tech_base!$T51&gt;AW$345,"",AW675+AW955+AW1235)</f>
        <v>214.84960738178927</v>
      </c>
      <c r="AX395" s="124">
        <f>IF(tech_base!$T51&gt;AX$345,"",AX675+AX955+AX1235)</f>
        <v>210.86479766415431</v>
      </c>
    </row>
    <row r="396" spans="1:50" x14ac:dyDescent="0.25">
      <c r="A396" s="356"/>
      <c r="B396" s="376"/>
      <c r="C396" s="379"/>
      <c r="D396" s="59" t="s">
        <v>8</v>
      </c>
      <c r="E396" s="79" t="str">
        <f>A391&amp;"/"&amp;B391&amp;"/"&amp;C395&amp;"/"&amp;D396</f>
        <v>Lignite fired power plants/Integrated gasification combined cycle/Electricity only with CCS/M</v>
      </c>
      <c r="F396" s="79" t="str">
        <f>A391</f>
        <v>Lignite fired power plants</v>
      </c>
      <c r="G396" s="79" t="str">
        <f>B391</f>
        <v>Integrated gasification combined cycle</v>
      </c>
      <c r="H396" s="79" t="str">
        <f>C395</f>
        <v>Electricity only with CCS</v>
      </c>
      <c r="I396" s="79" t="str">
        <f t="shared" si="357"/>
        <v>M</v>
      </c>
      <c r="J396" s="125" t="str">
        <f>IF(tech_base!$T52&gt;J$345,"",J676+J956+J1236)</f>
        <v/>
      </c>
      <c r="K396" s="125" t="str">
        <f>IF(tech_base!$T52&gt;K$345,"",K676+K956+K1236)</f>
        <v/>
      </c>
      <c r="L396" s="125" t="str">
        <f>IF(tech_base!$T52&gt;L$345,"",L676+L956+L1236)</f>
        <v/>
      </c>
      <c r="M396" s="125" t="str">
        <f>IF(tech_base!$T52&gt;M$345,"",M676+M956+M1236)</f>
        <v/>
      </c>
      <c r="N396" s="125" t="str">
        <f>IF(tech_base!$T52&gt;N$345,"",N676+N956+N1236)</f>
        <v/>
      </c>
      <c r="O396" s="125" t="str">
        <f>IF(tech_base!$T52&gt;O$345,"",O676+O956+O1236)</f>
        <v/>
      </c>
      <c r="P396" s="125" t="str">
        <f>IF(tech_base!$T52&gt;P$345,"",P676+P956+P1236)</f>
        <v/>
      </c>
      <c r="Q396" s="125" t="str">
        <f>IF(tech_base!$T52&gt;Q$345,"",Q676+Q956+Q1236)</f>
        <v/>
      </c>
      <c r="R396" s="125" t="str">
        <f>IF(tech_base!$T52&gt;R$345,"",R676+R956+R1236)</f>
        <v/>
      </c>
      <c r="S396" s="125" t="str">
        <f>IF(tech_base!$T52&gt;S$345,"",S676+S956+S1236)</f>
        <v/>
      </c>
      <c r="T396" s="125" t="str">
        <f>IF(tech_base!$T52&gt;T$345,"",T676+T956+T1236)</f>
        <v/>
      </c>
      <c r="U396" s="125" t="str">
        <f>IF(tech_base!$T52&gt;U$345,"",U676+U956+U1236)</f>
        <v/>
      </c>
      <c r="V396" s="125" t="str">
        <f>IF(tech_base!$T52&gt;V$345,"",V676+V956+V1236)</f>
        <v/>
      </c>
      <c r="W396" s="125" t="str">
        <f>IF(tech_base!$T52&gt;W$345,"",W676+W956+W1236)</f>
        <v/>
      </c>
      <c r="X396" s="125" t="str">
        <f>IF(tech_base!$T52&gt;X$345,"",X676+X956+X1236)</f>
        <v/>
      </c>
      <c r="Y396" s="125" t="str">
        <f>IF(tech_base!$T52&gt;Y$345,"",Y676+Y956+Y1236)</f>
        <v/>
      </c>
      <c r="Z396" s="125" t="str">
        <f>IF(tech_base!$T52&gt;Z$345,"",Z676+Z956+Z1236)</f>
        <v/>
      </c>
      <c r="AA396" s="125" t="str">
        <f>IF(tech_base!$T52&gt;AA$345,"",AA676+AA956+AA1236)</f>
        <v/>
      </c>
      <c r="AB396" s="125" t="str">
        <f>IF(tech_base!$T52&gt;AB$345,"",AB676+AB956+AB1236)</f>
        <v/>
      </c>
      <c r="AC396" s="125" t="str">
        <f>IF(tech_base!$T52&gt;AC$345,"",AC676+AC956+AC1236)</f>
        <v/>
      </c>
      <c r="AD396" s="125" t="str">
        <f>IF(tech_base!$T52&gt;AD$345,"",AD676+AD956+AD1236)</f>
        <v/>
      </c>
      <c r="AE396" s="125">
        <f>IF(tech_base!$T52&gt;AE$345,"",AE676+AE956+AE1236)</f>
        <v>247.84499188879292</v>
      </c>
      <c r="AF396" s="125">
        <f>IF(tech_base!$T52&gt;AF$345,"",AF676+AF956+AF1236)</f>
        <v>247.93141168553117</v>
      </c>
      <c r="AG396" s="125">
        <f>IF(tech_base!$T52&gt;AG$345,"",AG676+AG956+AG1236)</f>
        <v>248.01084212497435</v>
      </c>
      <c r="AH396" s="125">
        <f>IF(tech_base!$T52&gt;AH$345,"",AH676+AH956+AH1236)</f>
        <v>248.08036401840829</v>
      </c>
      <c r="AI396" s="125">
        <f>IF(tech_base!$T52&gt;AI$345,"",AI676+AI956+AI1236)</f>
        <v>248.13584533091327</v>
      </c>
      <c r="AJ396" s="125">
        <f>IF(tech_base!$T52&gt;AJ$345,"",AJ676+AJ956+AJ1236)</f>
        <v>248.17350566064923</v>
      </c>
      <c r="AK396" s="125">
        <f>IF(tech_base!$T52&gt;AK$345,"",AK676+AK956+AK1236)</f>
        <v>248.1830351345879</v>
      </c>
      <c r="AL396" s="125">
        <f>IF(tech_base!$T52&gt;AL$345,"",AL676+AL956+AL1236)</f>
        <v>248.15281642319735</v>
      </c>
      <c r="AM396" s="125">
        <f>IF(tech_base!$T52&gt;AM$345,"",AM676+AM956+AM1236)</f>
        <v>248.06653783509839</v>
      </c>
      <c r="AN396" s="125">
        <f>IF(tech_base!$T52&gt;AN$345,"",AN676+AN956+AN1236)</f>
        <v>247.90139983379919</v>
      </c>
      <c r="AO396" s="125">
        <f>IF(tech_base!$T52&gt;AO$345,"",AO676+AO956+AO1236)</f>
        <v>247.62784089999093</v>
      </c>
      <c r="AP396" s="125">
        <f>IF(tech_base!$T52&gt;AP$345,"",AP676+AP956+AP1236)</f>
        <v>247.20019172108042</v>
      </c>
      <c r="AQ396" s="125">
        <f>IF(tech_base!$T52&gt;AQ$345,"",AQ676+AQ956+AQ1236)</f>
        <v>246.55929843996418</v>
      </c>
      <c r="AR396" s="125">
        <f>IF(tech_base!$T52&gt;AR$345,"",AR676+AR956+AR1236)</f>
        <v>245.62637587750999</v>
      </c>
      <c r="AS396" s="125">
        <f>IF(tech_base!$T52&gt;AS$345,"",AS676+AS956+AS1236)</f>
        <v>244.29940901421938</v>
      </c>
      <c r="AT396" s="125">
        <f>IF(tech_base!$T52&gt;AT$345,"",AT676+AT956+AT1236)</f>
        <v>242.45387173888585</v>
      </c>
      <c r="AU396" s="125">
        <f>IF(tech_base!$T52&gt;AU$345,"",AU676+AU956+AU1236)</f>
        <v>239.94023257220667</v>
      </c>
      <c r="AV396" s="125">
        <f>IF(tech_base!$T52&gt;AV$345,"",AV676+AV956+AV1236)</f>
        <v>236.60431144374095</v>
      </c>
      <c r="AW396" s="125">
        <f>IF(tech_base!$T52&gt;AW$345,"",AW676+AW956+AW1236)</f>
        <v>232.3144139133332</v>
      </c>
      <c r="AX396" s="126">
        <f>IF(tech_base!$T52&gt;AX$345,"",AX676+AX956+AX1236)</f>
        <v>227.00833390141315</v>
      </c>
    </row>
    <row r="397" spans="1:50" x14ac:dyDescent="0.25">
      <c r="A397" s="356"/>
      <c r="B397" s="376"/>
      <c r="C397" s="361" t="s">
        <v>16</v>
      </c>
      <c r="D397" s="2" t="s">
        <v>7</v>
      </c>
      <c r="E397" s="76" t="str">
        <f>A391&amp;"/"&amp;B391&amp;"/"&amp;C397&amp;"/"&amp;D397</f>
        <v>Lignite fired power plants/Integrated gasification combined cycle/CHP with CCS/L</v>
      </c>
      <c r="F397" s="76" t="str">
        <f>A391</f>
        <v>Lignite fired power plants</v>
      </c>
      <c r="G397" s="76" t="str">
        <f>B391</f>
        <v>Integrated gasification combined cycle</v>
      </c>
      <c r="H397" s="76" t="str">
        <f>C397</f>
        <v>CHP with CCS</v>
      </c>
      <c r="I397" s="76" t="str">
        <f t="shared" si="357"/>
        <v>L</v>
      </c>
      <c r="J397" s="119" t="str">
        <f>IF(tech_base!$T53&gt;J$345,"",J677+J957+J1237)</f>
        <v/>
      </c>
      <c r="K397" s="119" t="str">
        <f>IF(tech_base!$T53&gt;K$345,"",K677+K957+K1237)</f>
        <v/>
      </c>
      <c r="L397" s="119" t="str">
        <f>IF(tech_base!$T53&gt;L$345,"",L677+L957+L1237)</f>
        <v/>
      </c>
      <c r="M397" s="119" t="str">
        <f>IF(tech_base!$T53&gt;M$345,"",M677+M957+M1237)</f>
        <v/>
      </c>
      <c r="N397" s="119" t="str">
        <f>IF(tech_base!$T53&gt;N$345,"",N677+N957+N1237)</f>
        <v/>
      </c>
      <c r="O397" s="119" t="str">
        <f>IF(tech_base!$T53&gt;O$345,"",O677+O957+O1237)</f>
        <v/>
      </c>
      <c r="P397" s="119" t="str">
        <f>IF(tech_base!$T53&gt;P$345,"",P677+P957+P1237)</f>
        <v/>
      </c>
      <c r="Q397" s="119" t="str">
        <f>IF(tech_base!$T53&gt;Q$345,"",Q677+Q957+Q1237)</f>
        <v/>
      </c>
      <c r="R397" s="119" t="str">
        <f>IF(tech_base!$T53&gt;R$345,"",R677+R957+R1237)</f>
        <v/>
      </c>
      <c r="S397" s="119" t="str">
        <f>IF(tech_base!$T53&gt;S$345,"",S677+S957+S1237)</f>
        <v/>
      </c>
      <c r="T397" s="119" t="str">
        <f>IF(tech_base!$T53&gt;T$345,"",T677+T957+T1237)</f>
        <v/>
      </c>
      <c r="U397" s="119" t="str">
        <f>IF(tech_base!$T53&gt;U$345,"",U677+U957+U1237)</f>
        <v/>
      </c>
      <c r="V397" s="119" t="str">
        <f>IF(tech_base!$T53&gt;V$345,"",V677+V957+V1237)</f>
        <v/>
      </c>
      <c r="W397" s="119" t="str">
        <f>IF(tech_base!$T53&gt;W$345,"",W677+W957+W1237)</f>
        <v/>
      </c>
      <c r="X397" s="119" t="str">
        <f>IF(tech_base!$T53&gt;X$345,"",X677+X957+X1237)</f>
        <v/>
      </c>
      <c r="Y397" s="119" t="str">
        <f>IF(tech_base!$T53&gt;Y$345,"",Y677+Y957+Y1237)</f>
        <v/>
      </c>
      <c r="Z397" s="119" t="str">
        <f>IF(tech_base!$T53&gt;Z$345,"",Z677+Z957+Z1237)</f>
        <v/>
      </c>
      <c r="AA397" s="119" t="str">
        <f>IF(tech_base!$T53&gt;AA$345,"",AA677+AA957+AA1237)</f>
        <v/>
      </c>
      <c r="AB397" s="119" t="str">
        <f>IF(tech_base!$T53&gt;AB$345,"",AB677+AB957+AB1237)</f>
        <v/>
      </c>
      <c r="AC397" s="119" t="str">
        <f>IF(tech_base!$T53&gt;AC$345,"",AC677+AC957+AC1237)</f>
        <v/>
      </c>
      <c r="AD397" s="119" t="str">
        <f>IF(tech_base!$T53&gt;AD$345,"",AD677+AD957+AD1237)</f>
        <v/>
      </c>
      <c r="AE397" s="119">
        <f>IF(tech_base!$T53&gt;AE$345,"",AE677+AE957+AE1237)</f>
        <v>256.06037246850138</v>
      </c>
      <c r="AF397" s="119">
        <f>IF(tech_base!$T53&gt;AF$345,"",AF677+AF957+AF1237)</f>
        <v>256.13757695278684</v>
      </c>
      <c r="AG397" s="119">
        <f>IF(tech_base!$T53&gt;AG$345,"",AG677+AG957+AG1237)</f>
        <v>256.20334649874889</v>
      </c>
      <c r="AH397" s="119">
        <f>IF(tech_base!$T53&gt;AH$345,"",AH677+AH957+AH1237)</f>
        <v>256.25371308358797</v>
      </c>
      <c r="AI397" s="119">
        <f>IF(tech_base!$T53&gt;AI$345,"",AI677+AI957+AI1237)</f>
        <v>256.2833477838364</v>
      </c>
      <c r="AJ397" s="119">
        <f>IF(tech_base!$T53&gt;AJ$345,"",AJ677+AJ957+AJ1237)</f>
        <v>256.28730622421864</v>
      </c>
      <c r="AK397" s="119">
        <f>IF(tech_base!$T53&gt;AK$345,"",AK677+AK957+AK1237)</f>
        <v>256.25383662425571</v>
      </c>
      <c r="AL397" s="119">
        <f>IF(tech_base!$T53&gt;AL$345,"",AL677+AL957+AL1237)</f>
        <v>256.17020861797056</v>
      </c>
      <c r="AM397" s="119">
        <f>IF(tech_base!$T53&gt;AM$345,"",AM677+AM957+AM1237)</f>
        <v>256.01953371021943</v>
      </c>
      <c r="AN397" s="119">
        <f>IF(tech_base!$T53&gt;AN$345,"",AN677+AN957+AN1237)</f>
        <v>255.77954568487456</v>
      </c>
      <c r="AO397" s="119">
        <f>IF(tech_base!$T53&gt;AO$345,"",AO677+AO957+AO1237)</f>
        <v>255.42337572626892</v>
      </c>
      <c r="AP397" s="119">
        <f>IF(tech_base!$T53&gt;AP$345,"",AP677+AP957+AP1237)</f>
        <v>254.91116475542918</v>
      </c>
      <c r="AQ397" s="119">
        <f>IF(tech_base!$T53&gt;AQ$345,"",AQ677+AQ957+AQ1237)</f>
        <v>254.1950713361029</v>
      </c>
      <c r="AR397" s="119">
        <f>IF(tech_base!$T53&gt;AR$345,"",AR677+AR957+AR1237)</f>
        <v>253.21558712337477</v>
      </c>
      <c r="AS397" s="119">
        <f>IF(tech_base!$T53&gt;AS$345,"",AS677+AS957+AS1237)</f>
        <v>251.90097646114347</v>
      </c>
      <c r="AT397" s="119">
        <f>IF(tech_base!$T53&gt;AT$345,"",AT677+AT957+AT1237)</f>
        <v>250.17087310543107</v>
      </c>
      <c r="AU397" s="119">
        <f>IF(tech_base!$T53&gt;AU$345,"",AU677+AU957+AU1237)</f>
        <v>247.93410389252475</v>
      </c>
      <c r="AV397" s="119">
        <f>IF(tech_base!$T53&gt;AV$345,"",AV677+AV957+AV1237)</f>
        <v>245.10522598946693</v>
      </c>
      <c r="AW397" s="119">
        <f>IF(tech_base!$T53&gt;AW$345,"",AW677+AW957+AW1237)</f>
        <v>241.61838499776837</v>
      </c>
      <c r="AX397" s="120">
        <f>IF(tech_base!$T53&gt;AX$345,"",AX677+AX957+AX1237)</f>
        <v>237.4496583981809</v>
      </c>
    </row>
    <row r="398" spans="1:50" x14ac:dyDescent="0.25">
      <c r="A398" s="356"/>
      <c r="B398" s="376"/>
      <c r="C398" s="381"/>
      <c r="D398" s="2" t="s">
        <v>8</v>
      </c>
      <c r="E398" s="80" t="str">
        <f>A391&amp;"/"&amp;B391&amp;"/"&amp;C397&amp;"/"&amp;D398</f>
        <v>Lignite fired power plants/Integrated gasification combined cycle/CHP with CCS/M</v>
      </c>
      <c r="F398" s="80" t="str">
        <f>A391</f>
        <v>Lignite fired power plants</v>
      </c>
      <c r="G398" s="80" t="str">
        <f>B391</f>
        <v>Integrated gasification combined cycle</v>
      </c>
      <c r="H398" s="80" t="str">
        <f>C397</f>
        <v>CHP with CCS</v>
      </c>
      <c r="I398" s="80" t="str">
        <f t="shared" si="357"/>
        <v>M</v>
      </c>
      <c r="J398" s="127" t="str">
        <f>IF(tech_base!$T54&gt;J$345,"",J678+J958+J1238)</f>
        <v/>
      </c>
      <c r="K398" s="127" t="str">
        <f>IF(tech_base!$T54&gt;K$345,"",K678+K958+K1238)</f>
        <v/>
      </c>
      <c r="L398" s="127" t="str">
        <f>IF(tech_base!$T54&gt;L$345,"",L678+L958+L1238)</f>
        <v/>
      </c>
      <c r="M398" s="127" t="str">
        <f>IF(tech_base!$T54&gt;M$345,"",M678+M958+M1238)</f>
        <v/>
      </c>
      <c r="N398" s="127" t="str">
        <f>IF(tech_base!$T54&gt;N$345,"",N678+N958+N1238)</f>
        <v/>
      </c>
      <c r="O398" s="127" t="str">
        <f>IF(tech_base!$T54&gt;O$345,"",O678+O958+O1238)</f>
        <v/>
      </c>
      <c r="P398" s="127" t="str">
        <f>IF(tech_base!$T54&gt;P$345,"",P678+P958+P1238)</f>
        <v/>
      </c>
      <c r="Q398" s="127" t="str">
        <f>IF(tech_base!$T54&gt;Q$345,"",Q678+Q958+Q1238)</f>
        <v/>
      </c>
      <c r="R398" s="127" t="str">
        <f>IF(tech_base!$T54&gt;R$345,"",R678+R958+R1238)</f>
        <v/>
      </c>
      <c r="S398" s="127" t="str">
        <f>IF(tech_base!$T54&gt;S$345,"",S678+S958+S1238)</f>
        <v/>
      </c>
      <c r="T398" s="127" t="str">
        <f>IF(tech_base!$T54&gt;T$345,"",T678+T958+T1238)</f>
        <v/>
      </c>
      <c r="U398" s="127" t="str">
        <f>IF(tech_base!$T54&gt;U$345,"",U678+U958+U1238)</f>
        <v/>
      </c>
      <c r="V398" s="127" t="str">
        <f>IF(tech_base!$T54&gt;V$345,"",V678+V958+V1238)</f>
        <v/>
      </c>
      <c r="W398" s="127" t="str">
        <f>IF(tech_base!$T54&gt;W$345,"",W678+W958+W1238)</f>
        <v/>
      </c>
      <c r="X398" s="127" t="str">
        <f>IF(tech_base!$T54&gt;X$345,"",X678+X958+X1238)</f>
        <v/>
      </c>
      <c r="Y398" s="127" t="str">
        <f>IF(tech_base!$T54&gt;Y$345,"",Y678+Y958+Y1238)</f>
        <v/>
      </c>
      <c r="Z398" s="127" t="str">
        <f>IF(tech_base!$T54&gt;Z$345,"",Z678+Z958+Z1238)</f>
        <v/>
      </c>
      <c r="AA398" s="127" t="str">
        <f>IF(tech_base!$T54&gt;AA$345,"",AA678+AA958+AA1238)</f>
        <v/>
      </c>
      <c r="AB398" s="127" t="str">
        <f>IF(tech_base!$T54&gt;AB$345,"",AB678+AB958+AB1238)</f>
        <v/>
      </c>
      <c r="AC398" s="127" t="str">
        <f>IF(tech_base!$T54&gt;AC$345,"",AC678+AC958+AC1238)</f>
        <v/>
      </c>
      <c r="AD398" s="127" t="str">
        <f>IF(tech_base!$T54&gt;AD$345,"",AD678+AD958+AD1238)</f>
        <v/>
      </c>
      <c r="AE398" s="127">
        <f>IF(tech_base!$T54&gt;AE$345,"",AE678+AE958+AE1238)</f>
        <v>276.93365137057918</v>
      </c>
      <c r="AF398" s="127">
        <f>IF(tech_base!$T54&gt;AF$345,"",AF678+AF958+AF1238)</f>
        <v>277.03397164661402</v>
      </c>
      <c r="AG398" s="127">
        <f>IF(tech_base!$T54&gt;AG$345,"",AG678+AG958+AG1238)</f>
        <v>277.12695216536781</v>
      </c>
      <c r="AH398" s="127">
        <f>IF(tech_base!$T54&gt;AH$345,"",AH678+AH958+AH1238)</f>
        <v>277.20952736566642</v>
      </c>
      <c r="AI398" s="127">
        <f>IF(tech_base!$T54&gt;AI$345,"",AI678+AI958+AI1238)</f>
        <v>277.2773580175645</v>
      </c>
      <c r="AJ398" s="127">
        <f>IF(tech_base!$T54&gt;AJ$345,"",AJ678+AJ958+AJ1238)</f>
        <v>277.32666546881023</v>
      </c>
      <c r="AK398" s="127">
        <f>IF(tech_base!$T54&gt;AK$345,"",AK678+AK958+AK1238)</f>
        <v>277.3464315106533</v>
      </c>
      <c r="AL398" s="127">
        <f>IF(tech_base!$T54&gt;AL$345,"",AL678+AL958+AL1238)</f>
        <v>277.3244562199086</v>
      </c>
      <c r="AM398" s="127">
        <f>IF(tech_base!$T54&gt;AM$345,"",AM678+AM958+AM1238)</f>
        <v>277.24360988694838</v>
      </c>
      <c r="AN398" s="127">
        <f>IF(tech_base!$T54&gt;AN$345,"",AN678+AN958+AN1238)</f>
        <v>277.07994960609403</v>
      </c>
      <c r="AO398" s="127">
        <f>IF(tech_base!$T54&gt;AO$345,"",AO678+AO958+AO1238)</f>
        <v>276.80262652180306</v>
      </c>
      <c r="AP398" s="127">
        <f>IF(tech_base!$T54&gt;AP$345,"",AP678+AP958+AP1238)</f>
        <v>276.36348616421168</v>
      </c>
      <c r="AQ398" s="127">
        <f>IF(tech_base!$T54&gt;AQ$345,"",AQ678+AQ958+AQ1238)</f>
        <v>275.70040887974636</v>
      </c>
      <c r="AR398" s="127">
        <f>IF(tech_base!$T54&gt;AR$345,"",AR678+AR958+AR1238)</f>
        <v>274.73066033444354</v>
      </c>
      <c r="AS398" s="127">
        <f>IF(tech_base!$T54&gt;AS$345,"",AS678+AS958+AS1238)</f>
        <v>273.3471138584303</v>
      </c>
      <c r="AT398" s="127">
        <f>IF(tech_base!$T54&gt;AT$345,"",AT678+AT958+AT1238)</f>
        <v>271.41920644407003</v>
      </c>
      <c r="AU398" s="127">
        <f>IF(tech_base!$T54&gt;AU$345,"",AU678+AU958+AU1238)</f>
        <v>268.78972752159274</v>
      </c>
      <c r="AV398" s="127">
        <f>IF(tech_base!$T54&gt;AV$345,"",AV678+AV958+AV1238)</f>
        <v>265.29680011316202</v>
      </c>
      <c r="AW398" s="127">
        <f>IF(tech_base!$T54&gt;AW$345,"",AW678+AW958+AW1238)</f>
        <v>260.80218627197081</v>
      </c>
      <c r="AX398" s="128">
        <f>IF(tech_base!$T54&gt;AX$345,"",AX678+AX958+AX1238)</f>
        <v>255.24065530380713</v>
      </c>
    </row>
    <row r="399" spans="1:50" x14ac:dyDescent="0.25">
      <c r="A399" s="356"/>
      <c r="B399" s="358" t="s">
        <v>17</v>
      </c>
      <c r="C399" s="353" t="s">
        <v>6</v>
      </c>
      <c r="D399" s="3" t="s">
        <v>7</v>
      </c>
      <c r="E399" s="77" t="str">
        <f>A391&amp;"/"&amp;B399&amp;"/"&amp;C399&amp;"/"&amp;D399</f>
        <v>Lignite fired power plants/Supercritical steam turbine/Electricity only/L</v>
      </c>
      <c r="F399" s="77" t="str">
        <f>A391</f>
        <v>Lignite fired power plants</v>
      </c>
      <c r="G399" s="77" t="str">
        <f>B399</f>
        <v>Supercritical steam turbine</v>
      </c>
      <c r="H399" s="77" t="str">
        <f>C399</f>
        <v>Electricity only</v>
      </c>
      <c r="I399" s="77" t="str">
        <f t="shared" si="357"/>
        <v>L</v>
      </c>
      <c r="J399" s="121">
        <f>IF(tech_base!$T55&gt;J$345,"",J679+J959+J1239)</f>
        <v>80.39321197509247</v>
      </c>
      <c r="K399" s="121">
        <f>IF(tech_base!$T55&gt;K$345,"",K679+K959+K1239)</f>
        <v>80.402213266703143</v>
      </c>
      <c r="L399" s="121">
        <f>IF(tech_base!$T55&gt;L$345,"",L679+L959+L1239)</f>
        <v>80.410362190742859</v>
      </c>
      <c r="M399" s="121">
        <f>IF(tech_base!$T55&gt;M$345,"",M679+M959+M1239)</f>
        <v>80.417471744769841</v>
      </c>
      <c r="N399" s="121">
        <f>IF(tech_base!$T55&gt;N$345,"",N679+N959+N1239)</f>
        <v>80.423314370075047</v>
      </c>
      <c r="O399" s="121">
        <f>IF(tech_base!$T55&gt;O$345,"",O679+O959+O1239)</f>
        <v>80.427613386687625</v>
      </c>
      <c r="P399" s="121">
        <f>IF(tech_base!$T55&gt;P$345,"",P679+P959+P1239)</f>
        <v>80.487610517139814</v>
      </c>
      <c r="Q399" s="121">
        <f>IF(tech_base!$T55&gt;Q$345,"",Q679+Q959+Q1239)</f>
        <v>80.545316938594965</v>
      </c>
      <c r="R399" s="121">
        <f>IF(tech_base!$T55&gt;R$345,"",R679+R959+R1239)</f>
        <v>80.600237749707503</v>
      </c>
      <c r="S399" s="121">
        <f>IF(tech_base!$T55&gt;S$345,"",S679+S959+S1239)</f>
        <v>80.651774541340643</v>
      </c>
      <c r="T399" s="121">
        <f>IF(tech_base!$T55&gt;T$345,"",T679+T959+T1239)</f>
        <v>80.699205413373377</v>
      </c>
      <c r="U399" s="121">
        <f>IF(tech_base!$T55&gt;U$345,"",U679+U959+U1239)</f>
        <v>80.743070490541285</v>
      </c>
      <c r="V399" s="121">
        <f>IF(tech_base!$T55&gt;V$345,"",V679+V959+V1239)</f>
        <v>80.780919996300696</v>
      </c>
      <c r="W399" s="121">
        <f>IF(tech_base!$T55&gt;W$345,"",W679+W959+W1239)</f>
        <v>80.811511283271145</v>
      </c>
      <c r="X399" s="121">
        <f>IF(tech_base!$T55&gt;X$345,"",X679+X959+X1239)</f>
        <v>80.833368982257994</v>
      </c>
      <c r="Y399" s="121">
        <f>IF(tech_base!$T55&gt;Y$345,"",Y679+Y959+Y1239)</f>
        <v>80.844752961239408</v>
      </c>
      <c r="Z399" s="121">
        <f>IF(tech_base!$T55&gt;Z$345,"",Z679+Z959+Z1239)</f>
        <v>80.845063517773639</v>
      </c>
      <c r="AA399" s="121">
        <f>IF(tech_base!$T55&gt;AA$345,"",AA679+AA959+AA1239)</f>
        <v>80.830507576915608</v>
      </c>
      <c r="AB399" s="121">
        <f>IF(tech_base!$T55&gt;AB$345,"",AB679+AB959+AB1239)</f>
        <v>80.798392034242312</v>
      </c>
      <c r="AC399" s="121">
        <f>IF(tech_base!$T55&gt;AC$345,"",AC679+AC959+AC1239)</f>
        <v>80.74569047158738</v>
      </c>
      <c r="AD399" s="121">
        <f>IF(tech_base!$T55&gt;AD$345,"",AD679+AD959+AD1239)</f>
        <v>80.669074899795092</v>
      </c>
      <c r="AE399" s="121">
        <f>IF(tech_base!$T55&gt;AE$345,"",AE679+AE959+AE1239)</f>
        <v>80.566452006241406</v>
      </c>
      <c r="AF399" s="121">
        <f>IF(tech_base!$T55&gt;AF$345,"",AF679+AF959+AF1239)</f>
        <v>80.432706315049046</v>
      </c>
      <c r="AG399" s="121">
        <f>IF(tech_base!$T55&gt;AG$345,"",AG679+AG959+AG1239)</f>
        <v>80.264295966947643</v>
      </c>
      <c r="AH399" s="121">
        <f>IF(tech_base!$T55&gt;AH$345,"",AH679+AH959+AH1239)</f>
        <v>80.058083721349533</v>
      </c>
      <c r="AI399" s="121">
        <f>IF(tech_base!$T55&gt;AI$345,"",AI679+AI959+AI1239)</f>
        <v>79.811725578324655</v>
      </c>
      <c r="AJ399" s="121">
        <f>IF(tech_base!$T55&gt;AJ$345,"",AJ679+AJ959+AJ1239)</f>
        <v>79.525629916121829</v>
      </c>
      <c r="AK399" s="121">
        <f>IF(tech_base!$T55&gt;AK$345,"",AK679+AK959+AK1239)</f>
        <v>79.199015248112474</v>
      </c>
      <c r="AL399" s="121">
        <f>IF(tech_base!$T55&gt;AL$345,"",AL679+AL959+AL1239)</f>
        <v>78.834876098529094</v>
      </c>
      <c r="AM399" s="121">
        <f>IF(tech_base!$T55&gt;AM$345,"",AM679+AM959+AM1239)</f>
        <v>78.438871943924795</v>
      </c>
      <c r="AN399" s="121">
        <f>IF(tech_base!$T55&gt;AN$345,"",AN679+AN959+AN1239)</f>
        <v>78.019458002952447</v>
      </c>
      <c r="AO399" s="121">
        <f>IF(tech_base!$T55&gt;AO$345,"",AO679+AO959+AO1239)</f>
        <v>77.589158232613869</v>
      </c>
      <c r="AP399" s="121">
        <f>IF(tech_base!$T55&gt;AP$345,"",AP679+AP959+AP1239)</f>
        <v>77.159367604797254</v>
      </c>
      <c r="AQ399" s="121">
        <f>IF(tech_base!$T55&gt;AQ$345,"",AQ679+AQ959+AQ1239)</f>
        <v>76.743803792653921</v>
      </c>
      <c r="AR399" s="121">
        <f>IF(tech_base!$T55&gt;AR$345,"",AR679+AR959+AR1239)</f>
        <v>76.355649222131703</v>
      </c>
      <c r="AS399" s="121">
        <f>IF(tech_base!$T55&gt;AS$345,"",AS679+AS959+AS1239)</f>
        <v>76.006183017353891</v>
      </c>
      <c r="AT399" s="121">
        <f>IF(tech_base!$T55&gt;AT$345,"",AT679+AT959+AT1239)</f>
        <v>75.705201460773367</v>
      </c>
      <c r="AU399" s="121">
        <f>IF(tech_base!$T55&gt;AU$345,"",AU679+AU959+AU1239)</f>
        <v>75.455803574097644</v>
      </c>
      <c r="AV399" s="121">
        <f>IF(tech_base!$T55&gt;AV$345,"",AV679+AV959+AV1239)</f>
        <v>75.258943723285398</v>
      </c>
      <c r="AW399" s="121">
        <f>IF(tech_base!$T55&gt;AW$345,"",AW679+AW959+AW1239)</f>
        <v>75.112381210119665</v>
      </c>
      <c r="AX399" s="122">
        <f>IF(tech_base!$T55&gt;AX$345,"",AX679+AX959+AX1239)</f>
        <v>75.011509217491891</v>
      </c>
    </row>
    <row r="400" spans="1:50" x14ac:dyDescent="0.25">
      <c r="A400" s="356"/>
      <c r="B400" s="376"/>
      <c r="C400" s="379"/>
      <c r="D400" s="2" t="s">
        <v>8</v>
      </c>
      <c r="E400" s="76" t="str">
        <f>A391&amp;"/"&amp;B399&amp;"/"&amp;C399&amp;"/"&amp;D400</f>
        <v>Lignite fired power plants/Supercritical steam turbine/Electricity only/M</v>
      </c>
      <c r="F400" s="76" t="str">
        <f>A391</f>
        <v>Lignite fired power plants</v>
      </c>
      <c r="G400" s="76" t="str">
        <f>B399</f>
        <v>Supercritical steam turbine</v>
      </c>
      <c r="H400" s="76" t="str">
        <f>C399</f>
        <v>Electricity only</v>
      </c>
      <c r="I400" s="76" t="str">
        <f t="shared" si="357"/>
        <v>M</v>
      </c>
      <c r="J400" s="119">
        <f>IF(tech_base!$T56&gt;J$345,"",J680+J960+J1240)</f>
        <v>87.209952224945454</v>
      </c>
      <c r="K400" s="119">
        <f>IF(tech_base!$T56&gt;K$345,"",K680+K960+K1240)</f>
        <v>87.215803268798282</v>
      </c>
      <c r="L400" s="119">
        <f>IF(tech_base!$T56&gt;L$345,"",L680+L960+L1240)</f>
        <v>87.220190372394029</v>
      </c>
      <c r="M400" s="119">
        <f>IF(tech_base!$T56&gt;M$345,"",M680+M960+M1240)</f>
        <v>87.222837509633123</v>
      </c>
      <c r="N400" s="119">
        <f>IF(tech_base!$T56&gt;N$345,"",N680+N960+N1240)</f>
        <v>87.223417516338174</v>
      </c>
      <c r="O400" s="119">
        <f>IF(tech_base!$T56&gt;O$345,"",O680+O960+O1240)</f>
        <v>87.221542994268304</v>
      </c>
      <c r="P400" s="119">
        <f>IF(tech_base!$T56&gt;P$345,"",P680+P960+P1240)</f>
        <v>87.277405566069291</v>
      </c>
      <c r="Q400" s="119">
        <f>IF(tech_base!$T56&gt;Q$345,"",Q680+Q960+Q1240)</f>
        <v>87.329808712289463</v>
      </c>
      <c r="R400" s="119">
        <f>IF(tech_base!$T56&gt;R$345,"",R680+R960+R1240)</f>
        <v>87.378112778105262</v>
      </c>
      <c r="S400" s="119">
        <f>IF(tech_base!$T56&gt;S$345,"",S680+S960+S1240)</f>
        <v>87.42156493024919</v>
      </c>
      <c r="T400" s="119">
        <f>IF(tech_base!$T56&gt;T$345,"",T680+T960+T1240)</f>
        <v>87.459281243658765</v>
      </c>
      <c r="U400" s="119">
        <f>IF(tech_base!$T56&gt;U$345,"",U680+U960+U1240)</f>
        <v>87.491710370769653</v>
      </c>
      <c r="V400" s="119">
        <f>IF(tech_base!$T56&gt;V$345,"",V680+V960+V1240)</f>
        <v>87.516161018466889</v>
      </c>
      <c r="W400" s="119">
        <f>IF(tech_base!$T56&gt;W$345,"",W680+W960+W1240)</f>
        <v>87.531230134156516</v>
      </c>
      <c r="X400" s="119">
        <f>IF(tech_base!$T56&gt;X$345,"",X680+X960+X1240)</f>
        <v>87.535295595695786</v>
      </c>
      <c r="Y400" s="119">
        <f>IF(tech_base!$T56&gt;Y$345,"",Y680+Y960+Y1240)</f>
        <v>87.52649332569132</v>
      </c>
      <c r="Z400" s="119">
        <f>IF(tech_base!$T56&gt;Z$345,"",Z680+Z960+Z1240)</f>
        <v>87.504208937182028</v>
      </c>
      <c r="AA400" s="119">
        <f>IF(tech_base!$T56&gt;AA$345,"",AA680+AA960+AA1240)</f>
        <v>87.464525692651819</v>
      </c>
      <c r="AB400" s="119">
        <f>IF(tech_base!$T56&gt;AB$345,"",AB680+AB960+AB1240)</f>
        <v>87.404755562085498</v>
      </c>
      <c r="AC400" s="119">
        <f>IF(tech_base!$T56&gt;AC$345,"",AC680+AC960+AC1240)</f>
        <v>87.321934068516214</v>
      </c>
      <c r="AD400" s="119">
        <f>IF(tech_base!$T56&gt;AD$345,"",AD680+AD960+AD1240)</f>
        <v>87.212847801326518</v>
      </c>
      <c r="AE400" s="119">
        <f>IF(tech_base!$T56&gt;AE$345,"",AE680+AE960+AE1240)</f>
        <v>87.075629155827514</v>
      </c>
      <c r="AF400" s="119">
        <f>IF(tech_base!$T56&gt;AF$345,"",AF680+AF960+AF1240)</f>
        <v>86.905227221536805</v>
      </c>
      <c r="AG400" s="119">
        <f>IF(tech_base!$T56&gt;AG$345,"",AG680+AG960+AG1240)</f>
        <v>86.698165879753319</v>
      </c>
      <c r="AH400" s="119">
        <f>IF(tech_base!$T56&gt;AH$345,"",AH680+AH960+AH1240)</f>
        <v>86.451192045876837</v>
      </c>
      <c r="AI400" s="119">
        <f>IF(tech_base!$T56&gt;AI$345,"",AI680+AI960+AI1240)</f>
        <v>86.161522096152552</v>
      </c>
      <c r="AJ400" s="119">
        <f>IF(tech_base!$T56&gt;AJ$345,"",AJ680+AJ960+AJ1240)</f>
        <v>85.828708669871872</v>
      </c>
      <c r="AK400" s="119">
        <f>IF(tech_base!$T56&gt;AK$345,"",AK680+AK960+AK1240)</f>
        <v>85.450288961560076</v>
      </c>
      <c r="AL400" s="119">
        <f>IF(tech_base!$T56&gt;AL$345,"",AL680+AL960+AL1240)</f>
        <v>85.026850351376623</v>
      </c>
      <c r="AM400" s="119">
        <f>IF(tech_base!$T56&gt;AM$345,"",AM680+AM960+AM1240)</f>
        <v>84.560807475717667</v>
      </c>
      <c r="AN400" s="119">
        <f>IF(tech_base!$T56&gt;AN$345,"",AN680+AN960+AN1240)</f>
        <v>84.056671428337808</v>
      </c>
      <c r="AO400" s="119">
        <f>IF(tech_base!$T56&gt;AO$345,"",AO680+AO960+AO1240)</f>
        <v>83.522766531575854</v>
      </c>
      <c r="AP400" s="119">
        <f>IF(tech_base!$T56&gt;AP$345,"",AP680+AP960+AP1240)</f>
        <v>82.966395722765483</v>
      </c>
      <c r="AQ400" s="119">
        <f>IF(tech_base!$T56&gt;AQ$345,"",AQ680+AQ960+AQ1240)</f>
        <v>82.398295362240518</v>
      </c>
      <c r="AR400" s="119">
        <f>IF(tech_base!$T56&gt;AR$345,"",AR680+AR960+AR1240)</f>
        <v>81.830478991531422</v>
      </c>
      <c r="AS400" s="119">
        <f>IF(tech_base!$T56&gt;AS$345,"",AS680+AS960+AS1240)</f>
        <v>81.275460659635371</v>
      </c>
      <c r="AT400" s="119">
        <f>IF(tech_base!$T56&gt;AT$345,"",AT680+AT960+AT1240)</f>
        <v>80.746962834056049</v>
      </c>
      <c r="AU400" s="119">
        <f>IF(tech_base!$T56&gt;AU$345,"",AU680+AU960+AU1240)</f>
        <v>80.254197304125228</v>
      </c>
      <c r="AV400" s="119">
        <f>IF(tech_base!$T56&gt;AV$345,"",AV680+AV960+AV1240)</f>
        <v>79.805935053774135</v>
      </c>
      <c r="AW400" s="119">
        <f>IF(tech_base!$T56&gt;AW$345,"",AW680+AW960+AW1240)</f>
        <v>79.40838303842969</v>
      </c>
      <c r="AX400" s="120">
        <f>IF(tech_base!$T56&gt;AX$345,"",AX680+AX960+AX1240)</f>
        <v>79.064978713183905</v>
      </c>
    </row>
    <row r="401" spans="1:50" x14ac:dyDescent="0.25">
      <c r="A401" s="356"/>
      <c r="B401" s="376"/>
      <c r="C401" s="361" t="s">
        <v>14</v>
      </c>
      <c r="D401" s="58" t="s">
        <v>7</v>
      </c>
      <c r="E401" s="78" t="str">
        <f>A391&amp;"/"&amp;B399&amp;"/"&amp;C401&amp;"/"&amp;D401</f>
        <v>Lignite fired power plants/Supercritical steam turbine/CHP/L</v>
      </c>
      <c r="F401" s="78" t="str">
        <f>A391</f>
        <v>Lignite fired power plants</v>
      </c>
      <c r="G401" s="78" t="str">
        <f>B399</f>
        <v>Supercritical steam turbine</v>
      </c>
      <c r="H401" s="78" t="str">
        <f>C401</f>
        <v>CHP</v>
      </c>
      <c r="I401" s="78" t="str">
        <f t="shared" si="357"/>
        <v>L</v>
      </c>
      <c r="J401" s="123">
        <f>IF(tech_base!$T57&gt;J$345,"",J681+J961+J1241)</f>
        <v>95.68611677563149</v>
      </c>
      <c r="K401" s="123">
        <f>IF(tech_base!$T57&gt;K$345,"",K681+K961+K1241)</f>
        <v>95.696407873861574</v>
      </c>
      <c r="L401" s="123">
        <f>IF(tech_base!$T57&gt;L$345,"",L681+L961+L1241)</f>
        <v>95.705826924701071</v>
      </c>
      <c r="M401" s="123">
        <f>IF(tech_base!$T57&gt;M$345,"",M681+M961+M1241)</f>
        <v>95.714182611982437</v>
      </c>
      <c r="N401" s="123">
        <f>IF(tech_base!$T57&gt;N$345,"",N681+N961+N1241)</f>
        <v>95.721242128914596</v>
      </c>
      <c r="O401" s="123">
        <f>IF(tech_base!$T57&gt;O$345,"",O681+O961+O1241)</f>
        <v>95.72672241619108</v>
      </c>
      <c r="P401" s="123">
        <f>IF(tech_base!$T57&gt;P$345,"",P681+P961+P1241)</f>
        <v>95.794030271408658</v>
      </c>
      <c r="Q401" s="123">
        <f>IF(tech_base!$T57&gt;Q$345,"",Q681+Q961+Q1241)</f>
        <v>95.858994868863661</v>
      </c>
      <c r="R401" s="123">
        <f>IF(tech_base!$T57&gt;R$345,"",R681+R961+R1241)</f>
        <v>95.921110002779699</v>
      </c>
      <c r="S401" s="123">
        <f>IF(tech_base!$T57&gt;S$345,"",S681+S961+S1241)</f>
        <v>95.979763608716183</v>
      </c>
      <c r="T401" s="123">
        <f>IF(tech_base!$T57&gt;T$345,"",T681+T961+T1241)</f>
        <v>96.034217330909399</v>
      </c>
      <c r="U401" s="123">
        <f>IF(tech_base!$T57&gt;U$345,"",U681+U961+U1241)</f>
        <v>96.085142583072951</v>
      </c>
      <c r="V401" s="123">
        <f>IF(tech_base!$T57&gt;V$345,"",V681+V961+V1241)</f>
        <v>96.1299148709561</v>
      </c>
      <c r="W401" s="123">
        <f>IF(tech_base!$T57&gt;W$345,"",W681+W961+W1241)</f>
        <v>96.167263340138902</v>
      </c>
      <c r="X401" s="123">
        <f>IF(tech_base!$T57&gt;X$345,"",X681+X961+X1241)</f>
        <v>96.195679189558547</v>
      </c>
      <c r="Y401" s="123">
        <f>IF(tech_base!$T57&gt;Y$345,"",Y681+Y961+Y1241)</f>
        <v>96.213382934750712</v>
      </c>
      <c r="Z401" s="123">
        <f>IF(tech_base!$T57&gt;Z$345,"",Z681+Z961+Z1241)</f>
        <v>96.219883084933514</v>
      </c>
      <c r="AA401" s="123">
        <f>IF(tech_base!$T57&gt;AA$345,"",AA681+AA961+AA1241)</f>
        <v>96.211179447079516</v>
      </c>
      <c r="AB401" s="123">
        <f>IF(tech_base!$T57&gt;AB$345,"",AB681+AB961+AB1241)</f>
        <v>96.184518552034149</v>
      </c>
      <c r="AC401" s="123">
        <f>IF(tech_base!$T57&gt;AC$345,"",AC681+AC961+AC1241)</f>
        <v>96.136806437676583</v>
      </c>
      <c r="AD401" s="123">
        <f>IF(tech_base!$T57&gt;AD$345,"",AD681+AD961+AD1241)</f>
        <v>96.064641247775981</v>
      </c>
      <c r="AE401" s="123">
        <f>IF(tech_base!$T57&gt;AE$345,"",AE681+AE961+AE1241)</f>
        <v>95.966008679139549</v>
      </c>
      <c r="AF401" s="123">
        <f>IF(tech_base!$T57&gt;AF$345,"",AF681+AF961+AF1241)</f>
        <v>95.835556327578402</v>
      </c>
      <c r="AG401" s="123">
        <f>IF(tech_base!$T57&gt;AG$345,"",AG681+AG961+AG1241)</f>
        <v>95.669666250495467</v>
      </c>
      <c r="AH401" s="123">
        <f>IF(tech_base!$T57&gt;AH$345,"",AH681+AH961+AH1241)</f>
        <v>95.465135512785707</v>
      </c>
      <c r="AI401" s="123">
        <f>IF(tech_base!$T57&gt;AI$345,"",AI681+AI961+AI1241)</f>
        <v>95.219573680968836</v>
      </c>
      <c r="AJ401" s="123">
        <f>IF(tech_base!$T57&gt;AJ$345,"",AJ681+AJ961+AJ1241)</f>
        <v>94.93353339110881</v>
      </c>
      <c r="AK401" s="123">
        <f>IF(tech_base!$T57&gt;AK$345,"",AK681+AK961+AK1241)</f>
        <v>94.606097205660092</v>
      </c>
      <c r="AL401" s="123">
        <f>IF(tech_base!$T57&gt;AL$345,"",AL681+AL961+AL1241)</f>
        <v>94.240336231550756</v>
      </c>
      <c r="AM401" s="123">
        <f>IF(tech_base!$T57&gt;AM$345,"",AM681+AM961+AM1241)</f>
        <v>93.84204580061774</v>
      </c>
      <c r="AN401" s="123">
        <f>IF(tech_base!$T57&gt;AN$345,"",AN681+AN961+AN1241)</f>
        <v>93.419877754069972</v>
      </c>
      <c r="AO401" s="123">
        <f>IF(tech_base!$T57&gt;AO$345,"",AO681+AO961+AO1241)</f>
        <v>92.986771217284684</v>
      </c>
      <c r="AP401" s="123">
        <f>IF(tech_base!$T57&gt;AP$345,"",AP681+AP961+AP1241)</f>
        <v>92.554244820867723</v>
      </c>
      <c r="AQ401" s="123">
        <f>IF(tech_base!$T57&gt;AQ$345,"",AQ681+AQ961+AQ1241)</f>
        <v>92.136316870098426</v>
      </c>
      <c r="AR401" s="123">
        <f>IF(tech_base!$T57&gt;AR$345,"",AR681+AR961+AR1241)</f>
        <v>91.746453203188452</v>
      </c>
      <c r="AS401" s="123">
        <f>IF(tech_base!$T57&gt;AS$345,"",AS681+AS961+AS1241)</f>
        <v>91.396169977316276</v>
      </c>
      <c r="AT401" s="123">
        <f>IF(tech_base!$T57&gt;AT$345,"",AT681+AT961+AT1241)</f>
        <v>91.095600192721975</v>
      </c>
      <c r="AU401" s="123">
        <f>IF(tech_base!$T57&gt;AU$345,"",AU681+AU961+AU1241)</f>
        <v>90.847762265795026</v>
      </c>
      <c r="AV401" s="123">
        <f>IF(tech_base!$T57&gt;AV$345,"",AV681+AV961+AV1241)</f>
        <v>90.653619095893589</v>
      </c>
      <c r="AW401" s="123">
        <f>IF(tech_base!$T57&gt;AW$345,"",AW681+AW961+AW1241)</f>
        <v>90.510871253845593</v>
      </c>
      <c r="AX401" s="124">
        <f>IF(tech_base!$T57&gt;AX$345,"",AX681+AX961+AX1241)</f>
        <v>90.414804623549813</v>
      </c>
    </row>
    <row r="402" spans="1:50" x14ac:dyDescent="0.25">
      <c r="A402" s="356"/>
      <c r="B402" s="376"/>
      <c r="C402" s="379"/>
      <c r="D402" s="59" t="s">
        <v>8</v>
      </c>
      <c r="E402" s="79" t="str">
        <f>A391&amp;"/"&amp;B399&amp;"/"&amp;C401&amp;"/"&amp;D402</f>
        <v>Lignite fired power plants/Supercritical steam turbine/CHP/M</v>
      </c>
      <c r="F402" s="79" t="str">
        <f>A391</f>
        <v>Lignite fired power plants</v>
      </c>
      <c r="G402" s="79" t="str">
        <f>B399</f>
        <v>Supercritical steam turbine</v>
      </c>
      <c r="H402" s="79" t="str">
        <f>C401</f>
        <v>CHP</v>
      </c>
      <c r="I402" s="79" t="str">
        <f t="shared" si="357"/>
        <v>M</v>
      </c>
      <c r="J402" s="125">
        <f>IF(tech_base!$T58&gt;J$345,"",J682+J962+J1242)</f>
        <v>103.35895356112917</v>
      </c>
      <c r="K402" s="125">
        <f>IF(tech_base!$T58&gt;K$345,"",K682+K962+K1242)</f>
        <v>103.36573396126414</v>
      </c>
      <c r="L402" s="125">
        <f>IF(tech_base!$T58&gt;L$345,"",L682+L962+L1242)</f>
        <v>103.37094997931534</v>
      </c>
      <c r="M402" s="125">
        <f>IF(tech_base!$T58&gt;M$345,"",M682+M962+M1242)</f>
        <v>103.37430665798171</v>
      </c>
      <c r="N402" s="125">
        <f>IF(tech_base!$T58&gt;N$345,"",N682+N962+N1242)</f>
        <v>103.37545439662104</v>
      </c>
      <c r="O402" s="125">
        <f>IF(tech_base!$T58&gt;O$345,"",O682+O962+O1242)</f>
        <v>103.37397923245607</v>
      </c>
      <c r="P402" s="125">
        <f>IF(tech_base!$T58&gt;P$345,"",P682+P962+P1242)</f>
        <v>103.43656721800728</v>
      </c>
      <c r="Q402" s="125">
        <f>IF(tech_base!$T58&gt;Q$345,"",Q682+Q962+Q1242)</f>
        <v>103.49545897641879</v>
      </c>
      <c r="R402" s="125">
        <f>IF(tech_base!$T58&gt;R$345,"",R682+R962+R1242)</f>
        <v>103.5499711400068</v>
      </c>
      <c r="S402" s="125">
        <f>IF(tech_base!$T58&gt;S$345,"",S682+S962+S1242)</f>
        <v>103.59929944631781</v>
      </c>
      <c r="T402" s="125">
        <f>IF(tech_base!$T58&gt;T$345,"",T682+T962+T1242)</f>
        <v>103.64249960889495</v>
      </c>
      <c r="U402" s="125">
        <f>IF(tech_base!$T58&gt;U$345,"",U682+U962+U1242)</f>
        <v>103.68010932728981</v>
      </c>
      <c r="V402" s="125">
        <f>IF(tech_base!$T58&gt;V$345,"",V682+V962+V1242)</f>
        <v>103.70919524697032</v>
      </c>
      <c r="W402" s="125">
        <f>IF(tech_base!$T58&gt;W$345,"",W682+W962+W1242)</f>
        <v>103.72825864840777</v>
      </c>
      <c r="X402" s="125">
        <f>IF(tech_base!$T58&gt;X$345,"",X682+X962+X1242)</f>
        <v>103.73556687314804</v>
      </c>
      <c r="Y402" s="125">
        <f>IF(tech_base!$T58&gt;Y$345,"",Y682+Y962+Y1242)</f>
        <v>103.72912890961882</v>
      </c>
      <c r="Z402" s="125">
        <f>IF(tech_base!$T58&gt;Z$345,"",Z682+Z962+Z1242)</f>
        <v>103.70834859096912</v>
      </c>
      <c r="AA402" s="125">
        <f>IF(tech_base!$T58&gt;AA$345,"",AA682+AA962+AA1242)</f>
        <v>103.66898288853329</v>
      </c>
      <c r="AB402" s="125">
        <f>IF(tech_base!$T58&gt;AB$345,"",AB682+AB962+AB1242)</f>
        <v>103.60816128794795</v>
      </c>
      <c r="AC402" s="125">
        <f>IF(tech_base!$T58&gt;AC$345,"",AC682+AC962+AC1242)</f>
        <v>103.52271834671274</v>
      </c>
      <c r="AD402" s="125">
        <f>IF(tech_base!$T58&gt;AD$345,"",AD682+AD962+AD1242)</f>
        <v>103.40922319763628</v>
      </c>
      <c r="AE402" s="125">
        <f>IF(tech_base!$T58&gt;AE$345,"",AE682+AE962+AE1242)</f>
        <v>103.265744385019</v>
      </c>
      <c r="AF402" s="125">
        <f>IF(tech_base!$T58&gt;AF$345,"",AF682+AF962+AF1242)</f>
        <v>103.0868285561351</v>
      </c>
      <c r="AG402" s="125">
        <f>IF(tech_base!$T58&gt;AG$345,"",AG682+AG962+AG1242)</f>
        <v>102.86876657414408</v>
      </c>
      <c r="AH402" s="125">
        <f>IF(tech_base!$T58&gt;AH$345,"",AH682+AH962+AH1242)</f>
        <v>102.60808862870928</v>
      </c>
      <c r="AI402" s="125">
        <f>IF(tech_base!$T58&gt;AI$345,"",AI682+AI962+AI1242)</f>
        <v>102.30182757451348</v>
      </c>
      <c r="AJ402" s="125">
        <f>IF(tech_base!$T58&gt;AJ$345,"",AJ682+AJ962+AJ1242)</f>
        <v>101.94957597646257</v>
      </c>
      <c r="AK402" s="125">
        <f>IF(tech_base!$T58&gt;AK$345,"",AK682+AK962+AK1242)</f>
        <v>101.54864905786454</v>
      </c>
      <c r="AL402" s="125">
        <f>IF(tech_base!$T58&gt;AL$345,"",AL682+AL962+AL1242)</f>
        <v>101.09968370245784</v>
      </c>
      <c r="AM402" s="125">
        <f>IF(tech_base!$T58&gt;AM$345,"",AM682+AM962+AM1242)</f>
        <v>100.60526887806995</v>
      </c>
      <c r="AN402" s="125">
        <f>IF(tech_base!$T58&gt;AN$345,"",AN682+AN962+AN1242)</f>
        <v>100.07023235243966</v>
      </c>
      <c r="AO402" s="125">
        <f>IF(tech_base!$T58&gt;AO$345,"",AO682+AO962+AO1242)</f>
        <v>99.503538480349178</v>
      </c>
      <c r="AP402" s="125">
        <f>IF(tech_base!$T58&gt;AP$345,"",AP682+AP962+AP1242)</f>
        <v>98.912928000133505</v>
      </c>
      <c r="AQ402" s="125">
        <f>IF(tech_base!$T58&gt;AQ$345,"",AQ682+AQ962+AQ1242)</f>
        <v>98.309869732062865</v>
      </c>
      <c r="AR402" s="125">
        <f>IF(tech_base!$T58&gt;AR$345,"",AR682+AR962+AR1242)</f>
        <v>97.707191785124905</v>
      </c>
      <c r="AS402" s="125">
        <f>IF(tech_base!$T58&gt;AS$345,"",AS682+AS962+AS1242)</f>
        <v>97.118251623187575</v>
      </c>
      <c r="AT402" s="125">
        <f>IF(tech_base!$T58&gt;AT$345,"",AT682+AT962+AT1242)</f>
        <v>96.557760154672081</v>
      </c>
      <c r="AU402" s="125">
        <f>IF(tech_base!$T58&gt;AU$345,"",AU682+AU962+AU1242)</f>
        <v>96.035471919961992</v>
      </c>
      <c r="AV402" s="125">
        <f>IF(tech_base!$T58&gt;AV$345,"",AV682+AV962+AV1242)</f>
        <v>95.560735773353571</v>
      </c>
      <c r="AW402" s="125">
        <f>IF(tech_base!$T58&gt;AW$345,"",AW682+AW962+AW1242)</f>
        <v>95.140161934183809</v>
      </c>
      <c r="AX402" s="126">
        <f>IF(tech_base!$T58&gt;AX$345,"",AX682+AX962+AX1242)</f>
        <v>94.777404424485042</v>
      </c>
    </row>
    <row r="403" spans="1:50" x14ac:dyDescent="0.25">
      <c r="A403" s="356"/>
      <c r="B403" s="376"/>
      <c r="C403" s="361" t="s">
        <v>15</v>
      </c>
      <c r="D403" s="58" t="s">
        <v>7</v>
      </c>
      <c r="E403" s="78" t="str">
        <f>A391&amp;"/"&amp;B399&amp;"/"&amp;C403&amp;"/"&amp;D403</f>
        <v>Lignite fired power plants/Supercritical steam turbine/Electricity only with CCS/L</v>
      </c>
      <c r="F403" s="78" t="str">
        <f>A391</f>
        <v>Lignite fired power plants</v>
      </c>
      <c r="G403" s="78" t="str">
        <f>B399</f>
        <v>Supercritical steam turbine</v>
      </c>
      <c r="H403" s="78" t="str">
        <f>C403</f>
        <v>Electricity only with CCS</v>
      </c>
      <c r="I403" s="78" t="str">
        <f t="shared" si="357"/>
        <v>L</v>
      </c>
      <c r="J403" s="123" t="str">
        <f>IF(tech_base!$T59&gt;J$345,"",J683+J963+J1243)</f>
        <v/>
      </c>
      <c r="K403" s="123" t="str">
        <f>IF(tech_base!$T59&gt;K$345,"",K683+K963+K1243)</f>
        <v/>
      </c>
      <c r="L403" s="123" t="str">
        <f>IF(tech_base!$T59&gt;L$345,"",L683+L963+L1243)</f>
        <v/>
      </c>
      <c r="M403" s="123" t="str">
        <f>IF(tech_base!$T59&gt;M$345,"",M683+M963+M1243)</f>
        <v/>
      </c>
      <c r="N403" s="123" t="str">
        <f>IF(tech_base!$T59&gt;N$345,"",N683+N963+N1243)</f>
        <v/>
      </c>
      <c r="O403" s="123" t="str">
        <f>IF(tech_base!$T59&gt;O$345,"",O683+O963+O1243)</f>
        <v/>
      </c>
      <c r="P403" s="123" t="str">
        <f>IF(tech_base!$T59&gt;P$345,"",P683+P963+P1243)</f>
        <v/>
      </c>
      <c r="Q403" s="123" t="str">
        <f>IF(tech_base!$T59&gt;Q$345,"",Q683+Q963+Q1243)</f>
        <v/>
      </c>
      <c r="R403" s="123" t="str">
        <f>IF(tech_base!$T59&gt;R$345,"",R683+R963+R1243)</f>
        <v/>
      </c>
      <c r="S403" s="123" t="str">
        <f>IF(tech_base!$T59&gt;S$345,"",S683+S963+S1243)</f>
        <v/>
      </c>
      <c r="T403" s="123" t="str">
        <f>IF(tech_base!$T59&gt;T$345,"",T683+T963+T1243)</f>
        <v/>
      </c>
      <c r="U403" s="123" t="str">
        <f>IF(tech_base!$T59&gt;U$345,"",U683+U963+U1243)</f>
        <v/>
      </c>
      <c r="V403" s="123" t="str">
        <f>IF(tech_base!$T59&gt;V$345,"",V683+V963+V1243)</f>
        <v/>
      </c>
      <c r="W403" s="123" t="str">
        <f>IF(tech_base!$T59&gt;W$345,"",W683+W963+W1243)</f>
        <v/>
      </c>
      <c r="X403" s="123" t="str">
        <f>IF(tech_base!$T59&gt;X$345,"",X683+X963+X1243)</f>
        <v/>
      </c>
      <c r="Y403" s="123" t="str">
        <f>IF(tech_base!$T59&gt;Y$345,"",Y683+Y963+Y1243)</f>
        <v/>
      </c>
      <c r="Z403" s="123" t="str">
        <f>IF(tech_base!$T59&gt;Z$345,"",Z683+Z963+Z1243)</f>
        <v/>
      </c>
      <c r="AA403" s="123" t="str">
        <f>IF(tech_base!$T59&gt;AA$345,"",AA683+AA963+AA1243)</f>
        <v/>
      </c>
      <c r="AB403" s="123" t="str">
        <f>IF(tech_base!$T59&gt;AB$345,"",AB683+AB963+AB1243)</f>
        <v/>
      </c>
      <c r="AC403" s="123" t="str">
        <f>IF(tech_base!$T59&gt;AC$345,"",AC683+AC963+AC1243)</f>
        <v/>
      </c>
      <c r="AD403" s="123" t="str">
        <f>IF(tech_base!$T59&gt;AD$345,"",AD683+AD963+AD1243)</f>
        <v/>
      </c>
      <c r="AE403" s="123">
        <f>IF(tech_base!$T59&gt;AE$345,"",AE683+AE963+AE1243)</f>
        <v>193.5194739655951</v>
      </c>
      <c r="AF403" s="123">
        <f>IF(tech_base!$T59&gt;AF$345,"",AF683+AF963+AF1243)</f>
        <v>193.55250915309503</v>
      </c>
      <c r="AG403" s="123">
        <f>IF(tech_base!$T59&gt;AG$345,"",AG683+AG963+AG1243)</f>
        <v>193.57061151527535</v>
      </c>
      <c r="AH403" s="123">
        <f>IF(tech_base!$T59&gt;AH$345,"",AH683+AH963+AH1243)</f>
        <v>193.57059701541453</v>
      </c>
      <c r="AI403" s="123">
        <f>IF(tech_base!$T59&gt;AI$345,"",AI683+AI963+AI1243)</f>
        <v>193.54863572642057</v>
      </c>
      <c r="AJ403" s="123">
        <f>IF(tech_base!$T59&gt;AJ$345,"",AJ683+AJ963+AJ1243)</f>
        <v>193.50216720687041</v>
      </c>
      <c r="AK403" s="123">
        <f>IF(tech_base!$T59&gt;AK$345,"",AK683+AK963+AK1243)</f>
        <v>193.42368086992914</v>
      </c>
      <c r="AL403" s="123">
        <f>IF(tech_base!$T59&gt;AL$345,"",AL683+AL963+AL1243)</f>
        <v>193.30667082847333</v>
      </c>
      <c r="AM403" s="123">
        <f>IF(tech_base!$T59&gt;AM$345,"",AM683+AM963+AM1243)</f>
        <v>193.1434630639159</v>
      </c>
      <c r="AN403" s="123">
        <f>IF(tech_base!$T59&gt;AN$345,"",AN683+AN963+AN1243)</f>
        <v>192.92507883422024</v>
      </c>
      <c r="AO403" s="123">
        <f>IF(tech_base!$T59&gt;AO$345,"",AO683+AO963+AO1243)</f>
        <v>192.64318704522611</v>
      </c>
      <c r="AP403" s="123">
        <f>IF(tech_base!$T59&gt;AP$345,"",AP683+AP963+AP1243)</f>
        <v>192.28382482490491</v>
      </c>
      <c r="AQ403" s="123">
        <f>IF(tech_base!$T59&gt;AQ$345,"",AQ683+AQ963+AQ1243)</f>
        <v>191.83360887170554</v>
      </c>
      <c r="AR403" s="123">
        <f>IF(tech_base!$T59&gt;AR$345,"",AR683+AR963+AR1243)</f>
        <v>191.27778781903478</v>
      </c>
      <c r="AS403" s="123">
        <f>IF(tech_base!$T59&gt;AS$345,"",AS683+AS963+AS1243)</f>
        <v>190.60053743535315</v>
      </c>
      <c r="AT403" s="123">
        <f>IF(tech_base!$T59&gt;AT$345,"",AT683+AT963+AT1243)</f>
        <v>189.78759444230843</v>
      </c>
      <c r="AU403" s="123">
        <f>IF(tech_base!$T59&gt;AU$345,"",AU683+AU963+AU1243)</f>
        <v>188.82077342632655</v>
      </c>
      <c r="AV403" s="123">
        <f>IF(tech_base!$T59&gt;AV$345,"",AV683+AV963+AV1243)</f>
        <v>187.68546363838132</v>
      </c>
      <c r="AW403" s="123">
        <f>IF(tech_base!$T59&gt;AW$345,"",AW683+AW963+AW1243)</f>
        <v>186.3700690053044</v>
      </c>
      <c r="AX403" s="124">
        <f>IF(tech_base!$T59&gt;AX$345,"",AX683+AX963+AX1243)</f>
        <v>184.86787252192281</v>
      </c>
    </row>
    <row r="404" spans="1:50" x14ac:dyDescent="0.25">
      <c r="A404" s="356"/>
      <c r="B404" s="376"/>
      <c r="C404" s="379"/>
      <c r="D404" s="59" t="s">
        <v>8</v>
      </c>
      <c r="E404" s="79" t="str">
        <f>A391&amp;"/"&amp;B399&amp;"/"&amp;C403&amp;"/"&amp;D404</f>
        <v>Lignite fired power plants/Supercritical steam turbine/Electricity only with CCS/M</v>
      </c>
      <c r="F404" s="79" t="str">
        <f>A391</f>
        <v>Lignite fired power plants</v>
      </c>
      <c r="G404" s="79" t="str">
        <f>B399</f>
        <v>Supercritical steam turbine</v>
      </c>
      <c r="H404" s="79" t="str">
        <f>C403</f>
        <v>Electricity only with CCS</v>
      </c>
      <c r="I404" s="79" t="str">
        <f t="shared" si="357"/>
        <v>M</v>
      </c>
      <c r="J404" s="125" t="str">
        <f>IF(tech_base!$T60&gt;J$345,"",J684+J964+J1244)</f>
        <v/>
      </c>
      <c r="K404" s="125" t="str">
        <f>IF(tech_base!$T60&gt;K$345,"",K684+K964+K1244)</f>
        <v/>
      </c>
      <c r="L404" s="125" t="str">
        <f>IF(tech_base!$T60&gt;L$345,"",L684+L964+L1244)</f>
        <v/>
      </c>
      <c r="M404" s="125" t="str">
        <f>IF(tech_base!$T60&gt;M$345,"",M684+M964+M1244)</f>
        <v/>
      </c>
      <c r="N404" s="125" t="str">
        <f>IF(tech_base!$T60&gt;N$345,"",N684+N964+N1244)</f>
        <v/>
      </c>
      <c r="O404" s="125" t="str">
        <f>IF(tech_base!$T60&gt;O$345,"",O684+O964+O1244)</f>
        <v/>
      </c>
      <c r="P404" s="125" t="str">
        <f>IF(tech_base!$T60&gt;P$345,"",P684+P964+P1244)</f>
        <v/>
      </c>
      <c r="Q404" s="125" t="str">
        <f>IF(tech_base!$T60&gt;Q$345,"",Q684+Q964+Q1244)</f>
        <v/>
      </c>
      <c r="R404" s="125" t="str">
        <f>IF(tech_base!$T60&gt;R$345,"",R684+R964+R1244)</f>
        <v/>
      </c>
      <c r="S404" s="125" t="str">
        <f>IF(tech_base!$T60&gt;S$345,"",S684+S964+S1244)</f>
        <v/>
      </c>
      <c r="T404" s="125" t="str">
        <f>IF(tech_base!$T60&gt;T$345,"",T684+T964+T1244)</f>
        <v/>
      </c>
      <c r="U404" s="125" t="str">
        <f>IF(tech_base!$T60&gt;U$345,"",U684+U964+U1244)</f>
        <v/>
      </c>
      <c r="V404" s="125" t="str">
        <f>IF(tech_base!$T60&gt;V$345,"",V684+V964+V1244)</f>
        <v/>
      </c>
      <c r="W404" s="125" t="str">
        <f>IF(tech_base!$T60&gt;W$345,"",W684+W964+W1244)</f>
        <v/>
      </c>
      <c r="X404" s="125" t="str">
        <f>IF(tech_base!$T60&gt;X$345,"",X684+X964+X1244)</f>
        <v/>
      </c>
      <c r="Y404" s="125" t="str">
        <f>IF(tech_base!$T60&gt;Y$345,"",Y684+Y964+Y1244)</f>
        <v/>
      </c>
      <c r="Z404" s="125" t="str">
        <f>IF(tech_base!$T60&gt;Z$345,"",Z684+Z964+Z1244)</f>
        <v/>
      </c>
      <c r="AA404" s="125" t="str">
        <f>IF(tech_base!$T60&gt;AA$345,"",AA684+AA964+AA1244)</f>
        <v/>
      </c>
      <c r="AB404" s="125" t="str">
        <f>IF(tech_base!$T60&gt;AB$345,"",AB684+AB964+AB1244)</f>
        <v/>
      </c>
      <c r="AC404" s="125" t="str">
        <f>IF(tech_base!$T60&gt;AC$345,"",AC684+AC964+AC1244)</f>
        <v/>
      </c>
      <c r="AD404" s="125" t="str">
        <f>IF(tech_base!$T60&gt;AD$345,"",AD684+AD964+AD1244)</f>
        <v/>
      </c>
      <c r="AE404" s="125">
        <f>IF(tech_base!$T60&gt;AE$345,"",AE684+AE964+AE1244)</f>
        <v>210.65208850159283</v>
      </c>
      <c r="AF404" s="125">
        <f>IF(tech_base!$T60&gt;AF$345,"",AF684+AF964+AF1244)</f>
        <v>210.71925019437055</v>
      </c>
      <c r="AG404" s="125">
        <f>IF(tech_base!$T60&gt;AG$345,"",AG684+AG964+AG1244)</f>
        <v>210.77468191499983</v>
      </c>
      <c r="AH404" s="125">
        <f>IF(tech_base!$T60&gt;AH$345,"",AH684+AH964+AH1244)</f>
        <v>210.8151044536753</v>
      </c>
      <c r="AI404" s="125">
        <f>IF(tech_base!$T60&gt;AI$345,"",AI684+AI964+AI1244)</f>
        <v>210.83634134439342</v>
      </c>
      <c r="AJ404" s="125">
        <f>IF(tech_base!$T60&gt;AJ$345,"",AJ684+AJ964+AJ1244)</f>
        <v>210.83525967693154</v>
      </c>
      <c r="AK404" s="125">
        <f>IF(tech_base!$T60&gt;AK$345,"",AK684+AK964+AK1244)</f>
        <v>210.80296274729915</v>
      </c>
      <c r="AL404" s="125">
        <f>IF(tech_base!$T60&gt;AL$345,"",AL684+AL964+AL1244)</f>
        <v>210.73096798172097</v>
      </c>
      <c r="AM404" s="125">
        <f>IF(tech_base!$T60&gt;AM$345,"",AM684+AM964+AM1244)</f>
        <v>210.60862612419783</v>
      </c>
      <c r="AN404" s="125">
        <f>IF(tech_base!$T60&gt;AN$345,"",AN684+AN964+AN1244)</f>
        <v>210.42265543540353</v>
      </c>
      <c r="AO404" s="125">
        <f>IF(tech_base!$T60&gt;AO$345,"",AO684+AO964+AO1244)</f>
        <v>210.15884695889778</v>
      </c>
      <c r="AP404" s="125">
        <f>IF(tech_base!$T60&gt;AP$345,"",AP684+AP964+AP1244)</f>
        <v>209.79490018055975</v>
      </c>
      <c r="AQ404" s="125">
        <f>IF(tech_base!$T60&gt;AQ$345,"",AQ684+AQ964+AQ1244)</f>
        <v>209.30661339517425</v>
      </c>
      <c r="AR404" s="125">
        <f>IF(tech_base!$T60&gt;AR$345,"",AR684+AR964+AR1244)</f>
        <v>208.66538654181795</v>
      </c>
      <c r="AS404" s="125">
        <f>IF(tech_base!$T60&gt;AS$345,"",AS684+AS964+AS1244)</f>
        <v>207.83829738922282</v>
      </c>
      <c r="AT404" s="125">
        <f>IF(tech_base!$T60&gt;AT$345,"",AT684+AT964+AT1244)</f>
        <v>206.79104394726144</v>
      </c>
      <c r="AU404" s="125">
        <f>IF(tech_base!$T60&gt;AU$345,"",AU684+AU964+AU1244)</f>
        <v>205.48281998489608</v>
      </c>
      <c r="AV404" s="125">
        <f>IF(tech_base!$T60&gt;AV$345,"",AV684+AV964+AV1244)</f>
        <v>203.87602189586019</v>
      </c>
      <c r="AW404" s="125">
        <f>IF(tech_base!$T60&gt;AW$345,"",AW684+AW964+AW1244)</f>
        <v>201.9385319745702</v>
      </c>
      <c r="AX404" s="126">
        <f>IF(tech_base!$T60&gt;AX$345,"",AX684+AX964+AX1244)</f>
        <v>199.64988140235513</v>
      </c>
    </row>
    <row r="405" spans="1:50" x14ac:dyDescent="0.25">
      <c r="A405" s="356"/>
      <c r="B405" s="376"/>
      <c r="C405" s="361" t="s">
        <v>16</v>
      </c>
      <c r="D405" s="2" t="s">
        <v>7</v>
      </c>
      <c r="E405" s="76" t="str">
        <f>A391&amp;"/"&amp;B399&amp;"/"&amp;C405&amp;"/"&amp;D405</f>
        <v>Lignite fired power plants/Supercritical steam turbine/CHP with CCS/L</v>
      </c>
      <c r="F405" s="76" t="str">
        <f>A391</f>
        <v>Lignite fired power plants</v>
      </c>
      <c r="G405" s="76" t="str">
        <f>B399</f>
        <v>Supercritical steam turbine</v>
      </c>
      <c r="H405" s="76" t="str">
        <f>C405</f>
        <v>CHP with CCS</v>
      </c>
      <c r="I405" s="76" t="str">
        <f t="shared" si="357"/>
        <v>L</v>
      </c>
      <c r="J405" s="119" t="str">
        <f>IF(tech_base!$T61&gt;J$345,"",J685+J965+J1245)</f>
        <v/>
      </c>
      <c r="K405" s="119" t="str">
        <f>IF(tech_base!$T61&gt;K$345,"",K685+K965+K1245)</f>
        <v/>
      </c>
      <c r="L405" s="119" t="str">
        <f>IF(tech_base!$T61&gt;L$345,"",L685+L965+L1245)</f>
        <v/>
      </c>
      <c r="M405" s="119" t="str">
        <f>IF(tech_base!$T61&gt;M$345,"",M685+M965+M1245)</f>
        <v/>
      </c>
      <c r="N405" s="119" t="str">
        <f>IF(tech_base!$T61&gt;N$345,"",N685+N965+N1245)</f>
        <v/>
      </c>
      <c r="O405" s="119" t="str">
        <f>IF(tech_base!$T61&gt;O$345,"",O685+O965+O1245)</f>
        <v/>
      </c>
      <c r="P405" s="119" t="str">
        <f>IF(tech_base!$T61&gt;P$345,"",P685+P965+P1245)</f>
        <v/>
      </c>
      <c r="Q405" s="119" t="str">
        <f>IF(tech_base!$T61&gt;Q$345,"",Q685+Q965+Q1245)</f>
        <v/>
      </c>
      <c r="R405" s="119" t="str">
        <f>IF(tech_base!$T61&gt;R$345,"",R685+R965+R1245)</f>
        <v/>
      </c>
      <c r="S405" s="119" t="str">
        <f>IF(tech_base!$T61&gt;S$345,"",S685+S965+S1245)</f>
        <v/>
      </c>
      <c r="T405" s="119" t="str">
        <f>IF(tech_base!$T61&gt;T$345,"",T685+T965+T1245)</f>
        <v/>
      </c>
      <c r="U405" s="119" t="str">
        <f>IF(tech_base!$T61&gt;U$345,"",U685+U965+U1245)</f>
        <v/>
      </c>
      <c r="V405" s="119" t="str">
        <f>IF(tech_base!$T61&gt;V$345,"",V685+V965+V1245)</f>
        <v/>
      </c>
      <c r="W405" s="119" t="str">
        <f>IF(tech_base!$T61&gt;W$345,"",W685+W965+W1245)</f>
        <v/>
      </c>
      <c r="X405" s="119" t="str">
        <f>IF(tech_base!$T61&gt;X$345,"",X685+X965+X1245)</f>
        <v/>
      </c>
      <c r="Y405" s="119" t="str">
        <f>IF(tech_base!$T61&gt;Y$345,"",Y685+Y965+Y1245)</f>
        <v/>
      </c>
      <c r="Z405" s="119" t="str">
        <f>IF(tech_base!$T61&gt;Z$345,"",Z685+Z965+Z1245)</f>
        <v/>
      </c>
      <c r="AA405" s="119" t="str">
        <f>IF(tech_base!$T61&gt;AA$345,"",AA685+AA965+AA1245)</f>
        <v/>
      </c>
      <c r="AB405" s="119" t="str">
        <f>IF(tech_base!$T61&gt;AB$345,"",AB685+AB965+AB1245)</f>
        <v/>
      </c>
      <c r="AC405" s="119" t="str">
        <f>IF(tech_base!$T61&gt;AC$345,"",AC685+AC965+AC1245)</f>
        <v/>
      </c>
      <c r="AD405" s="119" t="str">
        <f>IF(tech_base!$T61&gt;AD$345,"",AD685+AD965+AD1245)</f>
        <v/>
      </c>
      <c r="AE405" s="119">
        <f>IF(tech_base!$T61&gt;AE$345,"",AE685+AE965+AE1245)</f>
        <v>221.93068678048675</v>
      </c>
      <c r="AF405" s="119">
        <f>IF(tech_base!$T61&gt;AF$345,"",AF685+AF965+AF1245)</f>
        <v>221.98129741922438</v>
      </c>
      <c r="AG405" s="119">
        <f>IF(tech_base!$T61&gt;AG$345,"",AG685+AG965+AG1245)</f>
        <v>222.01763331494874</v>
      </c>
      <c r="AH405" s="119">
        <f>IF(tech_base!$T61&gt;AH$345,"",AH685+AH965+AH1245)</f>
        <v>222.03665085098541</v>
      </c>
      <c r="AI405" s="119">
        <f>IF(tech_base!$T61&gt;AI$345,"",AI685+AI965+AI1245)</f>
        <v>222.0346890532424</v>
      </c>
      <c r="AJ405" s="119">
        <f>IF(tech_base!$T61&gt;AJ$345,"",AJ685+AJ965+AJ1245)</f>
        <v>222.00968124462904</v>
      </c>
      <c r="AK405" s="119">
        <f>IF(tech_base!$T61&gt;AK$345,"",AK685+AK965+AK1245)</f>
        <v>221.95406761102626</v>
      </c>
      <c r="AL405" s="119">
        <f>IF(tech_base!$T61&gt;AL$345,"",AL685+AL965+AL1245)</f>
        <v>221.86162964799448</v>
      </c>
      <c r="AM405" s="119">
        <f>IF(tech_base!$T61&gt;AM$345,"",AM685+AM965+AM1245)</f>
        <v>221.7250325477502</v>
      </c>
      <c r="AN405" s="119">
        <f>IF(tech_base!$T61&gt;AN$345,"",AN685+AN965+AN1245)</f>
        <v>221.53569478653679</v>
      </c>
      <c r="AO405" s="119">
        <f>IF(tech_base!$T61&gt;AO$345,"",AO685+AO965+AO1245)</f>
        <v>221.28604295667722</v>
      </c>
      <c r="AP405" s="119">
        <f>IF(tech_base!$T61&gt;AP$345,"",AP685+AP965+AP1245)</f>
        <v>220.96234455942439</v>
      </c>
      <c r="AQ405" s="119">
        <f>IF(tech_base!$T61&gt;AQ$345,"",AQ685+AQ965+AQ1245)</f>
        <v>220.55181085220789</v>
      </c>
      <c r="AR405" s="119">
        <f>IF(tech_base!$T61&gt;AR$345,"",AR685+AR965+AR1245)</f>
        <v>220.04034731590923</v>
      </c>
      <c r="AS405" s="119">
        <f>IF(tech_base!$T61&gt;AS$345,"",AS685+AS965+AS1245)</f>
        <v>219.41283652585798</v>
      </c>
      <c r="AT405" s="119">
        <f>IF(tech_base!$T61&gt;AT$345,"",AT685+AT965+AT1245)</f>
        <v>218.65605279487701</v>
      </c>
      <c r="AU405" s="119">
        <f>IF(tech_base!$T61&gt;AU$345,"",AU685+AU965+AU1245)</f>
        <v>217.75223338816471</v>
      </c>
      <c r="AV405" s="119">
        <f>IF(tech_base!$T61&gt;AV$345,"",AV685+AV965+AV1245)</f>
        <v>216.68743400025099</v>
      </c>
      <c r="AW405" s="119">
        <f>IF(tech_base!$T61&gt;AW$345,"",AW685+AW965+AW1245)</f>
        <v>215.45059799799688</v>
      </c>
      <c r="AX405" s="120">
        <f>IF(tech_base!$T61&gt;AX$345,"",AX685+AX965+AX1245)</f>
        <v>214.03533870830481</v>
      </c>
    </row>
    <row r="406" spans="1:50" x14ac:dyDescent="0.25">
      <c r="A406" s="356"/>
      <c r="B406" s="380"/>
      <c r="C406" s="381"/>
      <c r="D406" s="4" t="s">
        <v>8</v>
      </c>
      <c r="E406" s="80" t="str">
        <f>A391&amp;"/"&amp;B399&amp;"/"&amp;C405&amp;"/"&amp;D406</f>
        <v>Lignite fired power plants/Supercritical steam turbine/CHP with CCS/M</v>
      </c>
      <c r="F406" s="80" t="str">
        <f>A391</f>
        <v>Lignite fired power plants</v>
      </c>
      <c r="G406" s="80" t="str">
        <f>B399</f>
        <v>Supercritical steam turbine</v>
      </c>
      <c r="H406" s="80" t="str">
        <f>C405</f>
        <v>CHP with CCS</v>
      </c>
      <c r="I406" s="80" t="str">
        <f t="shared" si="357"/>
        <v>M</v>
      </c>
      <c r="J406" s="127" t="str">
        <f>IF(tech_base!$T62&gt;J$345,"",J686+J966+J1246)</f>
        <v/>
      </c>
      <c r="K406" s="127" t="str">
        <f>IF(tech_base!$T62&gt;K$345,"",K686+K966+K1246)</f>
        <v/>
      </c>
      <c r="L406" s="127" t="str">
        <f>IF(tech_base!$T62&gt;L$345,"",L686+L966+L1246)</f>
        <v/>
      </c>
      <c r="M406" s="127" t="str">
        <f>IF(tech_base!$T62&gt;M$345,"",M686+M966+M1246)</f>
        <v/>
      </c>
      <c r="N406" s="127" t="str">
        <f>IF(tech_base!$T62&gt;N$345,"",N686+N966+N1246)</f>
        <v/>
      </c>
      <c r="O406" s="127" t="str">
        <f>IF(tech_base!$T62&gt;O$345,"",O686+O966+O1246)</f>
        <v/>
      </c>
      <c r="P406" s="127" t="str">
        <f>IF(tech_base!$T62&gt;P$345,"",P686+P966+P1246)</f>
        <v/>
      </c>
      <c r="Q406" s="127" t="str">
        <f>IF(tech_base!$T62&gt;Q$345,"",Q686+Q966+Q1246)</f>
        <v/>
      </c>
      <c r="R406" s="127" t="str">
        <f>IF(tech_base!$T62&gt;R$345,"",R686+R966+R1246)</f>
        <v/>
      </c>
      <c r="S406" s="127" t="str">
        <f>IF(tech_base!$T62&gt;S$345,"",S686+S966+S1246)</f>
        <v/>
      </c>
      <c r="T406" s="127" t="str">
        <f>IF(tech_base!$T62&gt;T$345,"",T686+T966+T1246)</f>
        <v/>
      </c>
      <c r="U406" s="127" t="str">
        <f>IF(tech_base!$T62&gt;U$345,"",U686+U966+U1246)</f>
        <v/>
      </c>
      <c r="V406" s="127" t="str">
        <f>IF(tech_base!$T62&gt;V$345,"",V686+V966+V1246)</f>
        <v/>
      </c>
      <c r="W406" s="127" t="str">
        <f>IF(tech_base!$T62&gt;W$345,"",W686+W966+W1246)</f>
        <v/>
      </c>
      <c r="X406" s="127" t="str">
        <f>IF(tech_base!$T62&gt;X$345,"",X686+X966+X1246)</f>
        <v/>
      </c>
      <c r="Y406" s="127" t="str">
        <f>IF(tech_base!$T62&gt;Y$345,"",Y686+Y966+Y1246)</f>
        <v/>
      </c>
      <c r="Z406" s="127" t="str">
        <f>IF(tech_base!$T62&gt;Z$345,"",Z686+Z966+Z1246)</f>
        <v/>
      </c>
      <c r="AA406" s="127" t="str">
        <f>IF(tech_base!$T62&gt;AA$345,"",AA686+AA966+AA1246)</f>
        <v/>
      </c>
      <c r="AB406" s="127" t="str">
        <f>IF(tech_base!$T62&gt;AB$345,"",AB686+AB966+AB1246)</f>
        <v/>
      </c>
      <c r="AC406" s="127" t="str">
        <f>IF(tech_base!$T62&gt;AC$345,"",AC686+AC966+AC1246)</f>
        <v/>
      </c>
      <c r="AD406" s="127" t="str">
        <f>IF(tech_base!$T62&gt;AD$345,"",AD686+AD966+AD1246)</f>
        <v/>
      </c>
      <c r="AE406" s="127">
        <f>IF(tech_base!$T62&gt;AE$345,"",AE686+AE966+AE1246)</f>
        <v>241.83258929125435</v>
      </c>
      <c r="AF406" s="127">
        <f>IF(tech_base!$T62&gt;AF$345,"",AF686+AF966+AF1246)</f>
        <v>241.91746855041589</v>
      </c>
      <c r="AG406" s="127">
        <f>IF(tech_base!$T62&gt;AG$345,"",AG686+AG966+AG1246)</f>
        <v>241.99112461375461</v>
      </c>
      <c r="AH406" s="127">
        <f>IF(tech_base!$T62&gt;AH$345,"",AH686+AH966+AH1246)</f>
        <v>242.05041999148034</v>
      </c>
      <c r="AI406" s="127">
        <f>IF(tech_base!$T62&gt;AI$345,"",AI686+AI966+AI1246)</f>
        <v>242.09135874455066</v>
      </c>
      <c r="AJ406" s="127">
        <f>IF(tech_base!$T62&gt;AJ$345,"",AJ686+AJ966+AJ1246)</f>
        <v>242.11135586756794</v>
      </c>
      <c r="AK406" s="127">
        <f>IF(tech_base!$T62&gt;AK$345,"",AK686+AK966+AK1246)</f>
        <v>242.10148691964469</v>
      </c>
      <c r="AL406" s="127">
        <f>IF(tech_base!$T62&gt;AL$345,"",AL686+AL966+AL1246)</f>
        <v>242.05363629250272</v>
      </c>
      <c r="AM406" s="127">
        <f>IF(tech_base!$T62&gt;AM$345,"",AM686+AM966+AM1246)</f>
        <v>241.95761564089872</v>
      </c>
      <c r="AN406" s="127">
        <f>IF(tech_base!$T62&gt;AN$345,"",AN686+AN966+AN1246)</f>
        <v>241.80071841879231</v>
      </c>
      <c r="AO406" s="127">
        <f>IF(tech_base!$T62&gt;AO$345,"",AO686+AO966+AO1246)</f>
        <v>241.56977245370422</v>
      </c>
      <c r="AP406" s="127">
        <f>IF(tech_base!$T62&gt;AP$345,"",AP686+AP966+AP1246)</f>
        <v>241.24302373221073</v>
      </c>
      <c r="AQ406" s="127">
        <f>IF(tech_base!$T62&gt;AQ$345,"",AQ686+AQ966+AQ1246)</f>
        <v>240.79732205308352</v>
      </c>
      <c r="AR406" s="127">
        <f>IF(tech_base!$T62&gt;AR$345,"",AR686+AR966+AR1246)</f>
        <v>240.20531231528798</v>
      </c>
      <c r="AS406" s="127">
        <f>IF(tech_base!$T62&gt;AS$345,"",AS686+AS966+AS1246)</f>
        <v>239.43550915349243</v>
      </c>
      <c r="AT406" s="127">
        <f>IF(tech_base!$T62&gt;AT$345,"",AT686+AT966+AT1246)</f>
        <v>238.45554371470567</v>
      </c>
      <c r="AU406" s="127">
        <f>IF(tech_base!$T62&gt;AU$345,"",AU686+AU966+AU1246)</f>
        <v>237.22597642097756</v>
      </c>
      <c r="AV406" s="127">
        <f>IF(tech_base!$T62&gt;AV$345,"",AV686+AV966+AV1246)</f>
        <v>235.7108752486688</v>
      </c>
      <c r="AW406" s="127">
        <f>IF(tech_base!$T62&gt;AW$345,"",AW686+AW966+AW1246)</f>
        <v>233.8795746712228</v>
      </c>
      <c r="AX406" s="128">
        <f>IF(tech_base!$T62&gt;AX$345,"",AX686+AX966+AX1246)</f>
        <v>231.71257420670807</v>
      </c>
    </row>
    <row r="407" spans="1:50" x14ac:dyDescent="0.25">
      <c r="A407" s="356"/>
      <c r="B407" s="358" t="s">
        <v>18</v>
      </c>
      <c r="C407" s="353" t="s">
        <v>6</v>
      </c>
      <c r="D407" s="3" t="s">
        <v>7</v>
      </c>
      <c r="E407" s="77" t="str">
        <f>A391&amp;"/"&amp;B407&amp;"/"&amp;C407&amp;"/"&amp;D407</f>
        <v>Lignite fired power plants/Fluidized bed combustion/Electricity only/L</v>
      </c>
      <c r="F407" s="77" t="str">
        <f>A391</f>
        <v>Lignite fired power plants</v>
      </c>
      <c r="G407" s="77" t="str">
        <f>B407</f>
        <v>Fluidized bed combustion</v>
      </c>
      <c r="H407" s="77" t="str">
        <f>C407</f>
        <v>Electricity only</v>
      </c>
      <c r="I407" s="77" t="str">
        <f t="shared" si="357"/>
        <v>L</v>
      </c>
      <c r="J407" s="121">
        <f>IF(tech_base!$T63&gt;J$345,"",J687+J967+J1247)</f>
        <v>84.055251913358973</v>
      </c>
      <c r="K407" s="121">
        <f>IF(tech_base!$T63&gt;K$345,"",K687+K967+K1247)</f>
        <v>84.066547902665832</v>
      </c>
      <c r="L407" s="121">
        <f>IF(tech_base!$T63&gt;L$345,"",L687+L967+L1247)</f>
        <v>84.077233217003453</v>
      </c>
      <c r="M407" s="121">
        <f>IF(tech_base!$T63&gt;M$345,"",M687+M967+M1247)</f>
        <v>84.087173192864384</v>
      </c>
      <c r="N407" s="121">
        <f>IF(tech_base!$T63&gt;N$345,"",N687+N967+N1247)</f>
        <v>84.096203625852354</v>
      </c>
      <c r="O407" s="121">
        <f>IF(tech_base!$T63&gt;O$345,"",O687+O967+O1247)</f>
        <v>84.104124366269275</v>
      </c>
      <c r="P407" s="121">
        <f>IF(tech_base!$T63&gt;P$345,"",P687+P967+P1247)</f>
        <v>84.173605387065379</v>
      </c>
      <c r="Q407" s="121">
        <f>IF(tech_base!$T63&gt;Q$345,"",Q687+Q967+Q1247)</f>
        <v>84.241432592187834</v>
      </c>
      <c r="R407" s="121">
        <f>IF(tech_base!$T63&gt;R$345,"",R687+R967+R1247)</f>
        <v>84.307243576737903</v>
      </c>
      <c r="S407" s="121">
        <f>IF(tech_base!$T63&gt;S$345,"",S687+S967+S1247)</f>
        <v>84.37059765529871</v>
      </c>
      <c r="T407" s="121">
        <f>IF(tech_base!$T63&gt;T$345,"",T687+T967+T1247)</f>
        <v>84.430959509271858</v>
      </c>
      <c r="U407" s="121">
        <f>IF(tech_base!$T63&gt;U$345,"",U687+U967+U1247)</f>
        <v>84.489218794499266</v>
      </c>
      <c r="V407" s="121">
        <f>IF(tech_base!$T63&gt;V$345,"",V687+V967+V1247)</f>
        <v>84.543049509671633</v>
      </c>
      <c r="W407" s="121">
        <f>IF(tech_base!$T63&gt;W$345,"",W687+W967+W1247)</f>
        <v>84.591500498223141</v>
      </c>
      <c r="X407" s="121">
        <f>IF(tech_base!$T63&gt;X$345,"",X687+X967+X1247)</f>
        <v>84.633424519632683</v>
      </c>
      <c r="Y407" s="121">
        <f>IF(tech_base!$T63&gt;Y$345,"",Y687+Y967+Y1247)</f>
        <v>84.667441825836292</v>
      </c>
      <c r="Z407" s="121">
        <f>IF(tech_base!$T63&gt;Z$345,"",Z687+Z967+Z1247)</f>
        <v>84.693467967848605</v>
      </c>
      <c r="AA407" s="121">
        <f>IF(tech_base!$T63&gt;AA$345,"",AA687+AA967+AA1247)</f>
        <v>84.707960559752976</v>
      </c>
      <c r="AB407" s="121">
        <f>IF(tech_base!$T63&gt;AB$345,"",AB687+AB967+AB1247)</f>
        <v>84.708578502862309</v>
      </c>
      <c r="AC407" s="121">
        <f>IF(tech_base!$T63&gt;AC$345,"",AC687+AC967+AC1247)</f>
        <v>84.692562624224465</v>
      </c>
      <c r="AD407" s="121">
        <f>IF(tech_base!$T63&gt;AD$345,"",AD687+AD967+AD1247)</f>
        <v>84.656688527092115</v>
      </c>
      <c r="AE407" s="121">
        <f>IF(tech_base!$T63&gt;AE$345,"",AE687+AE967+AE1247)</f>
        <v>84.59882629925481</v>
      </c>
      <c r="AF407" s="121">
        <f>IF(tech_base!$T63&gt;AF$345,"",AF687+AF967+AF1247)</f>
        <v>84.513124168028639</v>
      </c>
      <c r="AG407" s="121">
        <f>IF(tech_base!$T63&gt;AG$345,"",AG687+AG967+AG1247)</f>
        <v>84.394815604039565</v>
      </c>
      <c r="AH407" s="121">
        <f>IF(tech_base!$T63&gt;AH$345,"",AH687+AH967+AH1247)</f>
        <v>84.238678423775681</v>
      </c>
      <c r="AI407" s="121">
        <f>IF(tech_base!$T63&gt;AI$345,"",AI687+AI967+AI1247)</f>
        <v>84.039163619029438</v>
      </c>
      <c r="AJ407" s="121">
        <f>IF(tech_base!$T63&gt;AJ$345,"",AJ687+AJ967+AJ1247)</f>
        <v>83.792245085443938</v>
      </c>
      <c r="AK407" s="121">
        <f>IF(tech_base!$T63&gt;AK$345,"",AK687+AK967+AK1247)</f>
        <v>83.490893046260666</v>
      </c>
      <c r="AL407" s="121">
        <f>IF(tech_base!$T63&gt;AL$345,"",AL687+AL967+AL1247)</f>
        <v>83.130450298526398</v>
      </c>
      <c r="AM407" s="121">
        <f>IF(tech_base!$T63&gt;AM$345,"",AM687+AM967+AM1247)</f>
        <v>82.707658607746424</v>
      </c>
      <c r="AN407" s="121">
        <f>IF(tech_base!$T63&gt;AN$345,"",AN687+AN967+AN1247)</f>
        <v>82.221449952337579</v>
      </c>
      <c r="AO407" s="121">
        <f>IF(tech_base!$T63&gt;AO$345,"",AO687+AO967+AO1247)</f>
        <v>81.675456568603565</v>
      </c>
      <c r="AP407" s="121">
        <f>IF(tech_base!$T63&gt;AP$345,"",AP687+AP967+AP1247)</f>
        <v>81.073891571361159</v>
      </c>
      <c r="AQ407" s="121">
        <f>IF(tech_base!$T63&gt;AQ$345,"",AQ687+AQ967+AQ1247)</f>
        <v>80.427085510289274</v>
      </c>
      <c r="AR407" s="121">
        <f>IF(tech_base!$T63&gt;AR$345,"",AR687+AR967+AR1247)</f>
        <v>79.749976711018547</v>
      </c>
      <c r="AS407" s="121">
        <f>IF(tech_base!$T63&gt;AS$345,"",AS687+AS967+AS1247)</f>
        <v>79.061589629839375</v>
      </c>
      <c r="AT407" s="121">
        <f>IF(tech_base!$T63&gt;AT$345,"",AT687+AT967+AT1247)</f>
        <v>78.385390514886765</v>
      </c>
      <c r="AU407" s="121">
        <f>IF(tech_base!$T63&gt;AU$345,"",AU687+AU967+AU1247)</f>
        <v>77.742287922175649</v>
      </c>
      <c r="AV407" s="121">
        <f>IF(tech_base!$T63&gt;AV$345,"",AV687+AV967+AV1247)</f>
        <v>77.153173700334207</v>
      </c>
      <c r="AW407" s="121">
        <f>IF(tech_base!$T63&gt;AW$345,"",AW687+AW967+AW1247)</f>
        <v>76.634864288511309</v>
      </c>
      <c r="AX407" s="122">
        <f>IF(tech_base!$T63&gt;AX$345,"",AX687+AX967+AX1247)</f>
        <v>76.198302371851952</v>
      </c>
    </row>
    <row r="408" spans="1:50" x14ac:dyDescent="0.25">
      <c r="A408" s="356"/>
      <c r="B408" s="376"/>
      <c r="C408" s="350"/>
      <c r="D408" s="2" t="s">
        <v>8</v>
      </c>
      <c r="E408" s="76" t="str">
        <f>A391&amp;"/"&amp;B407&amp;"/"&amp;C407&amp;"/"&amp;D408</f>
        <v>Lignite fired power plants/Fluidized bed combustion/Electricity only/M</v>
      </c>
      <c r="F408" s="76" t="str">
        <f>A391</f>
        <v>Lignite fired power plants</v>
      </c>
      <c r="G408" s="76" t="str">
        <f>B407</f>
        <v>Fluidized bed combustion</v>
      </c>
      <c r="H408" s="76" t="str">
        <f>C407</f>
        <v>Electricity only</v>
      </c>
      <c r="I408" s="76" t="str">
        <f t="shared" si="357"/>
        <v>M</v>
      </c>
      <c r="J408" s="119">
        <f>IF(tech_base!$T64&gt;J$345,"",J688+J968+J1248)</f>
        <v>90.777824631680957</v>
      </c>
      <c r="K408" s="119">
        <f>IF(tech_base!$T64&gt;K$345,"",K688+K968+K1248)</f>
        <v>90.786634242684443</v>
      </c>
      <c r="L408" s="119">
        <f>IF(tech_base!$T64&gt;L$345,"",L688+L968+L1248)</f>
        <v>90.794301866872118</v>
      </c>
      <c r="M408" s="119">
        <f>IF(tech_base!$T64&gt;M$345,"",M688+M968+M1248)</f>
        <v>90.800610940256689</v>
      </c>
      <c r="N408" s="119">
        <f>IF(tech_base!$T64&gt;N$345,"",N688+N968+N1248)</f>
        <v>90.805304259936818</v>
      </c>
      <c r="O408" s="119">
        <f>IF(tech_base!$T64&gt;O$345,"",O688+O968+O1248)</f>
        <v>90.808076537783592</v>
      </c>
      <c r="P408" s="119">
        <f>IF(tech_base!$T64&gt;P$345,"",P688+P968+P1248)</f>
        <v>90.874802117380838</v>
      </c>
      <c r="Q408" s="119">
        <f>IF(tech_base!$T64&gt;Q$345,"",Q688+Q968+Q1248)</f>
        <v>90.938809354951161</v>
      </c>
      <c r="R408" s="119">
        <f>IF(tech_base!$T64&gt;R$345,"",R688+R968+R1248)</f>
        <v>90.999588451732222</v>
      </c>
      <c r="S408" s="119">
        <f>IF(tech_base!$T64&gt;S$345,"",S688+S968+S1248)</f>
        <v>91.056536444052199</v>
      </c>
      <c r="T408" s="119">
        <f>IF(tech_base!$T64&gt;T$345,"",T688+T968+T1248)</f>
        <v>91.108941196122487</v>
      </c>
      <c r="U408" s="119">
        <f>IF(tech_base!$T64&gt;U$345,"",U688+U968+U1248)</f>
        <v>91.157583252134458</v>
      </c>
      <c r="V408" s="119">
        <f>IF(tech_base!$T64&gt;V$345,"",V688+V968+V1248)</f>
        <v>91.199854141379305</v>
      </c>
      <c r="W408" s="119">
        <f>IF(tech_base!$T64&gt;W$345,"",W688+W968+W1248)</f>
        <v>91.234594185536267</v>
      </c>
      <c r="X408" s="119">
        <f>IF(tech_base!$T64&gt;X$345,"",X688+X968+X1248)</f>
        <v>91.260446235474774</v>
      </c>
      <c r="Y408" s="119">
        <f>IF(tech_base!$T64&gt;Y$345,"",Y688+Y968+Y1248)</f>
        <v>91.275827682402678</v>
      </c>
      <c r="Z408" s="119">
        <f>IF(tech_base!$T64&gt;Z$345,"",Z688+Z968+Z1248)</f>
        <v>91.28055219203614</v>
      </c>
      <c r="AA408" s="119">
        <f>IF(tech_base!$T64&gt;AA$345,"",AA688+AA968+AA1248)</f>
        <v>91.270844949162921</v>
      </c>
      <c r="AB408" s="119">
        <f>IF(tech_base!$T64&gt;AB$345,"",AB688+AB968+AB1248)</f>
        <v>91.244269152928098</v>
      </c>
      <c r="AC408" s="119">
        <f>IF(tech_base!$T64&gt;AC$345,"",AC688+AC968+AC1248)</f>
        <v>91.198049069864936</v>
      </c>
      <c r="AD408" s="119">
        <f>IF(tech_base!$T64&gt;AD$345,"",AD688+AD968+AD1248)</f>
        <v>91.129052580739923</v>
      </c>
      <c r="AE408" s="119">
        <f>IF(tech_base!$T64&gt;AE$345,"",AE688+AE968+AE1248)</f>
        <v>91.035467717779781</v>
      </c>
      <c r="AF408" s="119">
        <f>IF(tech_base!$T64&gt;AF$345,"",AF688+AF968+AF1248)</f>
        <v>90.911771706374026</v>
      </c>
      <c r="AG408" s="119">
        <f>IF(tech_base!$T64&gt;AG$345,"",AG688+AG968+AG1248)</f>
        <v>90.753821241141225</v>
      </c>
      <c r="AH408" s="119">
        <f>IF(tech_base!$T64&gt;AH$345,"",AH688+AH968+AH1248)</f>
        <v>90.557251593331159</v>
      </c>
      <c r="AI408" s="119">
        <f>IF(tech_base!$T64&gt;AI$345,"",AI688+AI968+AI1248)</f>
        <v>90.317609333928502</v>
      </c>
      <c r="AJ408" s="119">
        <f>IF(tech_base!$T64&gt;AJ$345,"",AJ688+AJ968+AJ1248)</f>
        <v>90.032256435689646</v>
      </c>
      <c r="AK408" s="119">
        <f>IF(tech_base!$T64&gt;AK$345,"",AK688+AK968+AK1248)</f>
        <v>89.695511471325759</v>
      </c>
      <c r="AL408" s="119">
        <f>IF(tech_base!$T64&gt;AL$345,"",AL688+AL968+AL1248)</f>
        <v>89.304131215664881</v>
      </c>
      <c r="AM408" s="119">
        <f>IF(tech_base!$T64&gt;AM$345,"",AM688+AM968+AM1248)</f>
        <v>88.856025844555248</v>
      </c>
      <c r="AN408" s="119">
        <f>IF(tech_base!$T64&gt;AN$345,"",AN688+AN968+AN1248)</f>
        <v>88.350744973192107</v>
      </c>
      <c r="AO408" s="119">
        <f>IF(tech_base!$T64&gt;AO$345,"",AO688+AO968+AO1248)</f>
        <v>87.791715029098953</v>
      </c>
      <c r="AP408" s="119">
        <f>IF(tech_base!$T64&gt;AP$345,"",AP688+AP968+AP1248)</f>
        <v>87.181513567919609</v>
      </c>
      <c r="AQ408" s="119">
        <f>IF(tech_base!$T64&gt;AQ$345,"",AQ688+AQ968+AQ1248)</f>
        <v>86.52741760919703</v>
      </c>
      <c r="AR408" s="119">
        <f>IF(tech_base!$T64&gt;AR$345,"",AR688+AR968+AR1248)</f>
        <v>85.839796015041571</v>
      </c>
      <c r="AS408" s="119">
        <f>IF(tech_base!$T64&gt;AS$345,"",AS688+AS968+AS1248)</f>
        <v>85.131923934642117</v>
      </c>
      <c r="AT408" s="119">
        <f>IF(tech_base!$T64&gt;AT$345,"",AT688+AT968+AT1248)</f>
        <v>84.421164170230739</v>
      </c>
      <c r="AU408" s="119">
        <f>IF(tech_base!$T64&gt;AU$345,"",AU688+AU968+AU1248)</f>
        <v>83.722780230328851</v>
      </c>
      <c r="AV408" s="119">
        <f>IF(tech_base!$T64&gt;AV$345,"",AV688+AV968+AV1248)</f>
        <v>83.053933626199452</v>
      </c>
      <c r="AW408" s="119">
        <f>IF(tech_base!$T64&gt;AW$345,"",AW688+AW968+AW1248)</f>
        <v>82.430529885996677</v>
      </c>
      <c r="AX408" s="120">
        <f>IF(tech_base!$T64&gt;AX$345,"",AX688+AX968+AX1248)</f>
        <v>81.865885094560809</v>
      </c>
    </row>
    <row r="409" spans="1:50" x14ac:dyDescent="0.25">
      <c r="A409" s="356"/>
      <c r="B409" s="376"/>
      <c r="C409" s="360"/>
      <c r="D409" s="2" t="s">
        <v>10</v>
      </c>
      <c r="E409" s="76" t="str">
        <f>A391&amp;"/"&amp;B407&amp;"/"&amp;C407&amp;"/"&amp;D409</f>
        <v>Lignite fired power plants/Fluidized bed combustion/Electricity only/S</v>
      </c>
      <c r="F409" s="76" t="str">
        <f>A391</f>
        <v>Lignite fired power plants</v>
      </c>
      <c r="G409" s="76" t="str">
        <f>B407</f>
        <v>Fluidized bed combustion</v>
      </c>
      <c r="H409" s="76" t="str">
        <f>C407</f>
        <v>Electricity only</v>
      </c>
      <c r="I409" s="76" t="str">
        <f t="shared" si="357"/>
        <v>S</v>
      </c>
      <c r="J409" s="119">
        <f>IF(tech_base!$T65&gt;J$345,"",J689+J969+J1249)</f>
        <v>101.61025554092787</v>
      </c>
      <c r="K409" s="119">
        <f>IF(tech_base!$T65&gt;K$345,"",K689+K969+K1249)</f>
        <v>101.61069812844393</v>
      </c>
      <c r="L409" s="119">
        <f>IF(tech_base!$T65&gt;L$345,"",L689+L969+L1249)</f>
        <v>101.60871092663639</v>
      </c>
      <c r="M409" s="119">
        <f>IF(tech_base!$T65&gt;M$345,"",M689+M969+M1249)</f>
        <v>101.60390835490692</v>
      </c>
      <c r="N409" s="119">
        <f>IF(tech_base!$T65&gt;N$345,"",N689+N969+N1249)</f>
        <v>101.5958450960087</v>
      </c>
      <c r="O409" s="119">
        <f>IF(tech_base!$T65&gt;O$345,"",O689+O969+O1249)</f>
        <v>101.58400734661622</v>
      </c>
      <c r="P409" s="119">
        <f>IF(tech_base!$T65&gt;P$345,"",P689+P969+P1249)</f>
        <v>101.63754107739399</v>
      </c>
      <c r="Q409" s="119">
        <f>IF(tech_base!$T65&gt;Q$345,"",Q689+Q969+Q1249)</f>
        <v>101.68601449845676</v>
      </c>
      <c r="R409" s="119">
        <f>IF(tech_base!$T65&gt;R$345,"",R689+R969+R1249)</f>
        <v>101.72864156661367</v>
      </c>
      <c r="S409" s="119">
        <f>IF(tech_base!$T65&gt;S$345,"",S689+S969+S1249)</f>
        <v>101.76452049166946</v>
      </c>
      <c r="T409" s="119">
        <f>IF(tech_base!$T65&gt;T$345,"",T689+T969+T1249)</f>
        <v>101.7926188969947</v>
      </c>
      <c r="U409" s="119">
        <f>IF(tech_base!$T65&gt;U$345,"",U689+U969+U1249)</f>
        <v>101.81346324172513</v>
      </c>
      <c r="V409" s="119">
        <f>IF(tech_base!$T65&gt;V$345,"",V689+V969+V1249)</f>
        <v>101.82400520051239</v>
      </c>
      <c r="W409" s="119">
        <f>IF(tech_base!$T65&gt;W$345,"",W689+W969+W1249)</f>
        <v>101.82272151649892</v>
      </c>
      <c r="X409" s="119">
        <f>IF(tech_base!$T65&gt;X$345,"",X689+X969+X1249)</f>
        <v>101.80789078379738</v>
      </c>
      <c r="Y409" s="119">
        <f>IF(tech_base!$T65&gt;Y$345,"",Y689+Y969+Y1249)</f>
        <v>101.77757700307691</v>
      </c>
      <c r="Z409" s="119">
        <f>IF(tech_base!$T65&gt;Z$345,"",Z689+Z969+Z1249)</f>
        <v>101.73135256304226</v>
      </c>
      <c r="AA409" s="119">
        <f>IF(tech_base!$T65&gt;AA$345,"",AA689+AA969+AA1249)</f>
        <v>101.66507424484581</v>
      </c>
      <c r="AB409" s="119">
        <f>IF(tech_base!$T65&gt;AB$345,"",AB689+AB969+AB1249)</f>
        <v>101.57609269689817</v>
      </c>
      <c r="AC409" s="119">
        <f>IF(tech_base!$T65&gt;AC$345,"",AC689+AC969+AC1249)</f>
        <v>101.46151775747011</v>
      </c>
      <c r="AD409" s="119">
        <f>IF(tech_base!$T65&gt;AD$345,"",AD689+AD969+AD1249)</f>
        <v>101.31823414367695</v>
      </c>
      <c r="AE409" s="119">
        <f>IF(tech_base!$T65&gt;AE$345,"",AE689+AE969+AE1249)</f>
        <v>101.14470095205185</v>
      </c>
      <c r="AF409" s="119">
        <f>IF(tech_base!$T65&gt;AF$345,"",AF689+AF969+AF1249)</f>
        <v>100.93569856062786</v>
      </c>
      <c r="AG409" s="119">
        <f>IF(tech_base!$T65&gt;AG$345,"",AG689+AG969+AG1249)</f>
        <v>100.68771506661125</v>
      </c>
      <c r="AH409" s="119">
        <f>IF(tech_base!$T65&gt;AH$345,"",AH689+AH969+AH1249)</f>
        <v>100.39728649246882</v>
      </c>
      <c r="AI409" s="119">
        <f>IF(tech_base!$T65&gt;AI$345,"",AI689+AI969+AI1249)</f>
        <v>100.06114293943665</v>
      </c>
      <c r="AJ409" s="119">
        <f>IF(tech_base!$T65&gt;AJ$345,"",AJ689+AJ969+AJ1249)</f>
        <v>99.678188813909884</v>
      </c>
      <c r="AK409" s="119">
        <f>IF(tech_base!$T65&gt;AK$345,"",AK689+AK969+AK1249)</f>
        <v>99.244339579719082</v>
      </c>
      <c r="AL409" s="119">
        <f>IF(tech_base!$T65&gt;AL$345,"",AL689+AL969+AL1249)</f>
        <v>98.758175812859704</v>
      </c>
      <c r="AM409" s="119">
        <f>IF(tech_base!$T65&gt;AM$345,"",AM689+AM969+AM1249)</f>
        <v>98.219432016083701</v>
      </c>
      <c r="AN409" s="119">
        <f>IF(tech_base!$T65&gt;AN$345,"",AN689+AN969+AN1249)</f>
        <v>97.629292265474959</v>
      </c>
      <c r="AO409" s="119">
        <f>IF(tech_base!$T65&gt;AO$345,"",AO689+AO969+AO1249)</f>
        <v>96.992483707895374</v>
      </c>
      <c r="AP409" s="119">
        <f>IF(tech_base!$T65&gt;AP$345,"",AP689+AP969+AP1249)</f>
        <v>96.312044647644342</v>
      </c>
      <c r="AQ409" s="119">
        <f>IF(tech_base!$T65&gt;AQ$345,"",AQ689+AQ969+AQ1249)</f>
        <v>95.594916414078142</v>
      </c>
      <c r="AR409" s="119">
        <f>IF(tech_base!$T65&gt;AR$345,"",AR689+AR969+AR1249)</f>
        <v>94.850113316666182</v>
      </c>
      <c r="AS409" s="119">
        <f>IF(tech_base!$T65&gt;AS$345,"",AS689+AS969+AS1249)</f>
        <v>94.088542360843803</v>
      </c>
      <c r="AT409" s="119">
        <f>IF(tech_base!$T65&gt;AT$345,"",AT689+AT969+AT1249)</f>
        <v>93.324461955075847</v>
      </c>
      <c r="AU409" s="119">
        <f>IF(tech_base!$T65&gt;AU$345,"",AU689+AU969+AU1249)</f>
        <v>92.569411895668992</v>
      </c>
      <c r="AV409" s="119">
        <f>IF(tech_base!$T65&gt;AV$345,"",AV689+AV969+AV1249)</f>
        <v>91.837009201863395</v>
      </c>
      <c r="AW409" s="119">
        <f>IF(tech_base!$T65&gt;AW$345,"",AW689+AW969+AW1249)</f>
        <v>91.140298503066674</v>
      </c>
      <c r="AX409" s="120">
        <f>IF(tech_base!$T65&gt;AX$345,"",AX689+AX969+AX1249)</f>
        <v>90.490943493279303</v>
      </c>
    </row>
    <row r="410" spans="1:50" x14ac:dyDescent="0.25">
      <c r="A410" s="356"/>
      <c r="B410" s="376"/>
      <c r="C410" s="361" t="s">
        <v>14</v>
      </c>
      <c r="D410" s="58" t="s">
        <v>7</v>
      </c>
      <c r="E410" s="78" t="str">
        <f>A391&amp;"/"&amp;B407&amp;"/"&amp;C410&amp;"/"&amp;D410</f>
        <v>Lignite fired power plants/Fluidized bed combustion/CHP/L</v>
      </c>
      <c r="F410" s="78" t="str">
        <f>A391</f>
        <v>Lignite fired power plants</v>
      </c>
      <c r="G410" s="78" t="str">
        <f>B407</f>
        <v>Fluidized bed combustion</v>
      </c>
      <c r="H410" s="78" t="str">
        <f>C410</f>
        <v>CHP</v>
      </c>
      <c r="I410" s="78" t="str">
        <f t="shared" si="357"/>
        <v>L</v>
      </c>
      <c r="J410" s="123">
        <f>IF(tech_base!$T66&gt;J$345,"",J690+J970+J1250)</f>
        <v>97.190540979310441</v>
      </c>
      <c r="K410" s="123">
        <f>IF(tech_base!$T66&gt;K$345,"",K690+K970+K1250)</f>
        <v>97.205035483523915</v>
      </c>
      <c r="L410" s="123">
        <f>IF(tech_base!$T66&gt;L$345,"",L690+L970+L1250)</f>
        <v>97.219296492939051</v>
      </c>
      <c r="M410" s="123">
        <f>IF(tech_base!$T66&gt;M$345,"",M690+M970+M1250)</f>
        <v>97.23327238067597</v>
      </c>
      <c r="N410" s="123">
        <f>IF(tech_base!$T66&gt;N$345,"",N690+N970+N1250)</f>
        <v>97.246900126668848</v>
      </c>
      <c r="O410" s="123">
        <f>IF(tech_base!$T66&gt;O$345,"",O690+O970+O1250)</f>
        <v>97.260102814087716</v>
      </c>
      <c r="P410" s="123">
        <f>IF(tech_base!$T66&gt;P$345,"",P690+P970+P1250)</f>
        <v>97.342377425396592</v>
      </c>
      <c r="Q410" s="123">
        <f>IF(tech_base!$T66&gt;Q$345,"",Q690+Q970+Q1250)</f>
        <v>97.424017385651808</v>
      </c>
      <c r="R410" s="123">
        <f>IF(tech_base!$T66&gt;R$345,"",R690+R970+R1250)</f>
        <v>97.504882611854981</v>
      </c>
      <c r="S410" s="123">
        <f>IF(tech_base!$T66&gt;S$345,"",S690+S970+S1250)</f>
        <v>97.584802261945839</v>
      </c>
      <c r="T410" s="123">
        <f>IF(tech_base!$T66&gt;T$345,"",T690+T970+T1250)</f>
        <v>97.663568059763151</v>
      </c>
      <c r="U410" s="123">
        <f>IF(tech_base!$T66&gt;U$345,"",U690+U970+U1250)</f>
        <v>97.742628892510211</v>
      </c>
      <c r="V410" s="123">
        <f>IF(tech_base!$T66&gt;V$345,"",V690+V970+V1250)</f>
        <v>97.81997291075588</v>
      </c>
      <c r="W410" s="123">
        <f>IF(tech_base!$T66&gt;W$345,"",W690+W970+W1250)</f>
        <v>97.89522392455396</v>
      </c>
      <c r="X410" s="123">
        <f>IF(tech_base!$T66&gt;X$345,"",X690+X970+X1250)</f>
        <v>97.967924491332525</v>
      </c>
      <c r="Y410" s="123">
        <f>IF(tech_base!$T66&gt;Y$345,"",Y690+Y970+Y1250)</f>
        <v>98.037518944127186</v>
      </c>
      <c r="Z410" s="123">
        <f>IF(tech_base!$T66&gt;Z$345,"",Z690+Z970+Z1250)</f>
        <v>98.105069577657332</v>
      </c>
      <c r="AA410" s="123">
        <f>IF(tech_base!$T66&gt;AA$345,"",AA690+AA970+AA1250)</f>
        <v>98.168023195839027</v>
      </c>
      <c r="AB410" s="123">
        <f>IF(tech_base!$T66&gt;AB$345,"",AB690+AB970+AB1250)</f>
        <v>98.225392536658205</v>
      </c>
      <c r="AC410" s="123">
        <f>IF(tech_base!$T66&gt;AC$345,"",AC690+AC970+AC1250)</f>
        <v>98.275986834857832</v>
      </c>
      <c r="AD410" s="123">
        <f>IF(tech_base!$T66&gt;AD$345,"",AD690+AD970+AD1250)</f>
        <v>98.318374029587787</v>
      </c>
      <c r="AE410" s="123">
        <f>IF(tech_base!$T66&gt;AE$345,"",AE690+AE970+AE1250)</f>
        <v>98.352608287228151</v>
      </c>
      <c r="AF410" s="123">
        <f>IF(tech_base!$T66&gt;AF$345,"",AF690+AF970+AF1250)</f>
        <v>98.374871281693345</v>
      </c>
      <c r="AG410" s="123">
        <f>IF(tech_base!$T66&gt;AG$345,"",AG690+AG970+AG1250)</f>
        <v>98.382733389242247</v>
      </c>
      <c r="AH410" s="123">
        <f>IF(tech_base!$T66&gt;AH$345,"",AH690+AH970+AH1250)</f>
        <v>98.37333123024203</v>
      </c>
      <c r="AI410" s="123">
        <f>IF(tech_base!$T66&gt;AI$345,"",AI690+AI970+AI1250)</f>
        <v>98.343318811079669</v>
      </c>
      <c r="AJ410" s="123">
        <f>IF(tech_base!$T66&gt;AJ$345,"",AJ690+AJ970+AJ1250)</f>
        <v>98.29063116891848</v>
      </c>
      <c r="AK410" s="123">
        <f>IF(tech_base!$T66&gt;AK$345,"",AK690+AK970+AK1250)</f>
        <v>98.209051548080595</v>
      </c>
      <c r="AL410" s="123">
        <f>IF(tech_base!$T66&gt;AL$345,"",AL690+AL970+AL1250)</f>
        <v>98.093634934632689</v>
      </c>
      <c r="AM410" s="123">
        <f>IF(tech_base!$T66&gt;AM$345,"",AM690+AM970+AM1250)</f>
        <v>97.938964336874307</v>
      </c>
      <c r="AN410" s="123">
        <f>IF(tech_base!$T66&gt;AN$345,"",AN690+AN970+AN1250)</f>
        <v>97.739284800079588</v>
      </c>
      <c r="AO410" s="123">
        <f>IF(tech_base!$T66&gt;AO$345,"",AO690+AO970+AO1250)</f>
        <v>97.490571410301129</v>
      </c>
      <c r="AP410" s="123">
        <f>IF(tech_base!$T66&gt;AP$345,"",AP690+AP970+AP1250)</f>
        <v>97.185388166337219</v>
      </c>
      <c r="AQ410" s="123">
        <f>IF(tech_base!$T66&gt;AQ$345,"",AQ690+AQ970+AQ1250)</f>
        <v>96.818911495326006</v>
      </c>
      <c r="AR410" s="123">
        <f>IF(tech_base!$T66&gt;AR$345,"",AR690+AR970+AR1250)</f>
        <v>96.387772114113403</v>
      </c>
      <c r="AS410" s="123">
        <f>IF(tech_base!$T66&gt;AS$345,"",AS690+AS970+AS1250)</f>
        <v>95.890875977390678</v>
      </c>
      <c r="AT410" s="123">
        <f>IF(tech_base!$T66&gt;AT$345,"",AT690+AT970+AT1250)</f>
        <v>95.332159883255542</v>
      </c>
      <c r="AU410" s="123">
        <f>IF(tech_base!$T66&gt;AU$345,"",AU690+AU970+AU1250)</f>
        <v>94.715860760869987</v>
      </c>
      <c r="AV410" s="123">
        <f>IF(tech_base!$T66&gt;AV$345,"",AV690+AV970+AV1250)</f>
        <v>94.052712926522119</v>
      </c>
      <c r="AW410" s="123">
        <f>IF(tech_base!$T66&gt;AW$345,"",AW690+AW970+AW1250)</f>
        <v>93.358227055969579</v>
      </c>
      <c r="AX410" s="124">
        <f>IF(tech_base!$T66&gt;AX$345,"",AX690+AX970+AX1250)</f>
        <v>92.652145598810051</v>
      </c>
    </row>
    <row r="411" spans="1:50" x14ac:dyDescent="0.25">
      <c r="A411" s="356"/>
      <c r="B411" s="376"/>
      <c r="C411" s="378"/>
      <c r="D411" s="2" t="s">
        <v>8</v>
      </c>
      <c r="E411" s="76" t="str">
        <f>A391&amp;"/"&amp;B407&amp;"/"&amp;C410&amp;"/"&amp;D411</f>
        <v>Lignite fired power plants/Fluidized bed combustion/CHP/M</v>
      </c>
      <c r="F411" s="76" t="str">
        <f>A391</f>
        <v>Lignite fired power plants</v>
      </c>
      <c r="G411" s="76" t="str">
        <f>B407</f>
        <v>Fluidized bed combustion</v>
      </c>
      <c r="H411" s="76" t="str">
        <f>C410</f>
        <v>CHP</v>
      </c>
      <c r="I411" s="76" t="str">
        <f t="shared" ref="I411:I474" si="358">D411</f>
        <v>M</v>
      </c>
      <c r="J411" s="119">
        <f>IF(tech_base!$T67&gt;J$345,"",J691+J971+J1251)</f>
        <v>104.06640972663673</v>
      </c>
      <c r="K411" s="119">
        <f>IF(tech_base!$T67&gt;K$345,"",K691+K971+K1251)</f>
        <v>104.08018776909414</v>
      </c>
      <c r="L411" s="119">
        <f>IF(tech_base!$T67&gt;L$345,"",L691+L971+L1251)</f>
        <v>104.09346945004025</v>
      </c>
      <c r="M411" s="119">
        <f>IF(tech_base!$T67&gt;M$345,"",M691+M971+M1251)</f>
        <v>104.10616016272039</v>
      </c>
      <c r="N411" s="119">
        <f>IF(tech_base!$T67&gt;N$345,"",N691+N971+N1251)</f>
        <v>104.11814734635243</v>
      </c>
      <c r="O411" s="119">
        <f>IF(tech_base!$T67&gt;O$345,"",O691+O971+O1251)</f>
        <v>104.12929711158104</v>
      </c>
      <c r="P411" s="119">
        <f>IF(tech_base!$T67&gt;P$345,"",P691+P971+P1251)</f>
        <v>104.21274069747756</v>
      </c>
      <c r="Q411" s="119">
        <f>IF(tech_base!$T67&gt;Q$345,"",Q691+Q971+Q1251)</f>
        <v>104.29499587146907</v>
      </c>
      <c r="R411" s="119">
        <f>IF(tech_base!$T67&gt;R$345,"",R691+R971+R1251)</f>
        <v>104.37583702768035</v>
      </c>
      <c r="S411" s="119">
        <f>IF(tech_base!$T67&gt;S$345,"",S691+S971+S1251)</f>
        <v>104.4549961789635</v>
      </c>
      <c r="T411" s="119">
        <f>IF(tech_base!$T67&gt;T$345,"",T691+T971+T1251)</f>
        <v>104.532155182449</v>
      </c>
      <c r="U411" s="119">
        <f>IF(tech_base!$T67&gt;U$345,"",U691+U971+U1251)</f>
        <v>104.60872971432079</v>
      </c>
      <c r="V411" s="119">
        <f>IF(tech_base!$T67&gt;V$345,"",V691+V971+V1251)</f>
        <v>104.68247916216077</v>
      </c>
      <c r="W411" s="119">
        <f>IF(tech_base!$T67&gt;W$345,"",W691+W971+W1251)</f>
        <v>104.75287373498682</v>
      </c>
      <c r="X411" s="119">
        <f>IF(tech_base!$T67&gt;X$345,"",X691+X971+X1251)</f>
        <v>104.81928683044141</v>
      </c>
      <c r="Y411" s="119">
        <f>IF(tech_base!$T67&gt;Y$345,"",Y691+Y971+Y1251)</f>
        <v>104.88097840332802</v>
      </c>
      <c r="Z411" s="119">
        <f>IF(tech_base!$T67&gt;Z$345,"",Z691+Z971+Z1251)</f>
        <v>104.93890433505004</v>
      </c>
      <c r="AA411" s="119">
        <f>IF(tech_base!$T67&gt;AA$345,"",AA691+AA971+AA1251)</f>
        <v>104.99020923080504</v>
      </c>
      <c r="AB411" s="119">
        <f>IF(tech_base!$T67&gt;AB$345,"",AB691+AB971+AB1251)</f>
        <v>105.03368802338841</v>
      </c>
      <c r="AC411" s="119">
        <f>IF(tech_base!$T67&gt;AC$345,"",AC691+AC971+AC1251)</f>
        <v>105.06793047535351</v>
      </c>
      <c r="AD411" s="119">
        <f>IF(tech_base!$T67&gt;AD$345,"",AD691+AD971+AD1251)</f>
        <v>105.09129210987045</v>
      </c>
      <c r="AE411" s="119">
        <f>IF(tech_base!$T67&gt;AE$345,"",AE691+AE971+AE1251)</f>
        <v>105.10372718669879</v>
      </c>
      <c r="AF411" s="119">
        <f>IF(tech_base!$T67&gt;AF$345,"",AF691+AF971+AF1251)</f>
        <v>105.10116565559427</v>
      </c>
      <c r="AG411" s="119">
        <f>IF(tech_base!$T67&gt;AG$345,"",AG691+AG971+AG1251)</f>
        <v>105.08107571603118</v>
      </c>
      <c r="AH411" s="119">
        <f>IF(tech_base!$T67&gt;AH$345,"",AH691+AH971+AH1251)</f>
        <v>105.04057355814687</v>
      </c>
      <c r="AI411" s="119">
        <f>IF(tech_base!$T67&gt;AI$345,"",AI691+AI971+AI1251)</f>
        <v>104.97640529683412</v>
      </c>
      <c r="AJ411" s="119">
        <f>IF(tech_base!$T67&gt;AJ$345,"",AJ691+AJ971+AJ1251)</f>
        <v>104.88683999780092</v>
      </c>
      <c r="AK411" s="119">
        <f>IF(tech_base!$T67&gt;AK$345,"",AK691+AK971+AK1251)</f>
        <v>104.76598963858538</v>
      </c>
      <c r="AL411" s="119">
        <f>IF(tech_base!$T67&gt;AL$345,"",AL691+AL971+AL1251)</f>
        <v>104.60955100833422</v>
      </c>
      <c r="AM411" s="119">
        <f>IF(tech_base!$T67&gt;AM$345,"",AM691+AM971+AM1251)</f>
        <v>104.41299158587103</v>
      </c>
      <c r="AN411" s="119">
        <f>IF(tech_base!$T67&gt;AN$345,"",AN691+AN971+AN1251)</f>
        <v>104.17168764728241</v>
      </c>
      <c r="AO411" s="119">
        <f>IF(tech_base!$T67&gt;AO$345,"",AO691+AO971+AO1251)</f>
        <v>103.88305706317034</v>
      </c>
      <c r="AP411" s="119">
        <f>IF(tech_base!$T67&gt;AP$345,"",AP691+AP971+AP1251)</f>
        <v>103.54104869549138</v>
      </c>
      <c r="AQ411" s="119">
        <f>IF(tech_base!$T67&gt;AQ$345,"",AQ691+AQ971+AQ1251)</f>
        <v>103.14230038484841</v>
      </c>
      <c r="AR411" s="119">
        <f>IF(tech_base!$T67&gt;AR$345,"",AR691+AR971+AR1251)</f>
        <v>102.68464996892314</v>
      </c>
      <c r="AS411" s="119">
        <f>IF(tech_base!$T67&gt;AS$345,"",AS691+AS971+AS1251)</f>
        <v>102.16764012865785</v>
      </c>
      <c r="AT411" s="119">
        <f>IF(tech_base!$T67&gt;AT$345,"",AT691+AT971+AT1251)</f>
        <v>101.59500025075221</v>
      </c>
      <c r="AU411" s="119">
        <f>IF(tech_base!$T67&gt;AU$345,"",AU691+AU971+AU1251)</f>
        <v>100.96926282211457</v>
      </c>
      <c r="AV411" s="119">
        <f>IF(tech_base!$T67&gt;AV$345,"",AV691+AV971+AV1251)</f>
        <v>100.29799953324319</v>
      </c>
      <c r="AW411" s="119">
        <f>IF(tech_base!$T67&gt;AW$345,"",AW691+AW971+AW1251)</f>
        <v>99.591991856736399</v>
      </c>
      <c r="AX411" s="120">
        <f>IF(tech_base!$T67&gt;AX$345,"",AX691+AX971+AX1251)</f>
        <v>98.865036452904093</v>
      </c>
    </row>
    <row r="412" spans="1:50" x14ac:dyDescent="0.25">
      <c r="A412" s="356"/>
      <c r="B412" s="376"/>
      <c r="C412" s="379"/>
      <c r="D412" s="59" t="s">
        <v>10</v>
      </c>
      <c r="E412" s="79" t="str">
        <f>A391&amp;"/"&amp;B407&amp;"/"&amp;C410&amp;"/"&amp;D412</f>
        <v>Lignite fired power plants/Fluidized bed combustion/CHP/S</v>
      </c>
      <c r="F412" s="79" t="str">
        <f>A391</f>
        <v>Lignite fired power plants</v>
      </c>
      <c r="G412" s="79" t="str">
        <f>B407</f>
        <v>Fluidized bed combustion</v>
      </c>
      <c r="H412" s="79" t="str">
        <f>C410</f>
        <v>CHP</v>
      </c>
      <c r="I412" s="79" t="str">
        <f t="shared" si="358"/>
        <v>S</v>
      </c>
      <c r="J412" s="125">
        <f>IF(tech_base!$T68&gt;J$345,"",J692+J972+J1252)</f>
        <v>116.77673527478237</v>
      </c>
      <c r="K412" s="125">
        <f>IF(tech_base!$T68&gt;K$345,"",K692+K972+K1252)</f>
        <v>116.78644484881764</v>
      </c>
      <c r="L412" s="125">
        <f>IF(tech_base!$T68&gt;L$345,"",L692+L972+L1252)</f>
        <v>116.79493871800588</v>
      </c>
      <c r="M412" s="125">
        <f>IF(tech_base!$T68&gt;M$345,"",M692+M972+M1252)</f>
        <v>116.80202192333452</v>
      </c>
      <c r="N412" s="125">
        <f>IF(tech_base!$T68&gt;N$345,"",N692+N972+N1252)</f>
        <v>116.80746858485509</v>
      </c>
      <c r="O412" s="125">
        <f>IF(tech_base!$T68&gt;O$345,"",O692+O972+O1252)</f>
        <v>116.8110171176827</v>
      </c>
      <c r="P412" s="125">
        <f>IF(tech_base!$T68&gt;P$345,"",P692+P972+P1252)</f>
        <v>116.88956019212142</v>
      </c>
      <c r="Q412" s="125">
        <f>IF(tech_base!$T68&gt;Q$345,"",Q692+Q972+Q1252)</f>
        <v>116.96554632071546</v>
      </c>
      <c r="R412" s="125">
        <f>IF(tech_base!$T68&gt;R$345,"",R692+R972+R1252)</f>
        <v>117.03856928010279</v>
      </c>
      <c r="S412" s="125">
        <f>IF(tech_base!$T68&gt;S$345,"",S692+S972+S1252)</f>
        <v>117.10815983629007</v>
      </c>
      <c r="T412" s="125">
        <f>IF(tech_base!$T68&gt;T$345,"",T692+T972+T1252)</f>
        <v>117.17377650280628</v>
      </c>
      <c r="U412" s="125">
        <f>IF(tech_base!$T68&gt;U$345,"",U692+U972+U1252)</f>
        <v>117.23668351269251</v>
      </c>
      <c r="V412" s="125">
        <f>IF(tech_base!$T68&gt;V$345,"",V692+V972+V1252)</f>
        <v>117.29427371451663</v>
      </c>
      <c r="W412" s="125">
        <f>IF(tech_base!$T68&gt;W$345,"",W692+W972+W1252)</f>
        <v>117.34572128156722</v>
      </c>
      <c r="X412" s="125">
        <f>IF(tech_base!$T68&gt;X$345,"",X692+X972+X1252)</f>
        <v>117.39007879694623</v>
      </c>
      <c r="Y412" s="125">
        <f>IF(tech_base!$T68&gt;Y$345,"",Y692+Y972+Y1252)</f>
        <v>117.42626166949731</v>
      </c>
      <c r="Z412" s="125">
        <f>IF(tech_base!$T68&gt;Z$345,"",Z692+Z972+Z1252)</f>
        <v>117.45495648175626</v>
      </c>
      <c r="AA412" s="125">
        <f>IF(tech_base!$T68&gt;AA$345,"",AA692+AA972+AA1252)</f>
        <v>117.47282733834112</v>
      </c>
      <c r="AB412" s="125">
        <f>IF(tech_base!$T68&gt;AB$345,"",AB692+AB972+AB1252)</f>
        <v>117.47827405454092</v>
      </c>
      <c r="AC412" s="125">
        <f>IF(tech_base!$T68&gt;AC$345,"",AC692+AC972+AC1252)</f>
        <v>117.46948834389693</v>
      </c>
      <c r="AD412" s="125">
        <f>IF(tech_base!$T68&gt;AD$345,"",AD692+AD972+AD1252)</f>
        <v>117.44443656643166</v>
      </c>
      <c r="AE412" s="125">
        <f>IF(tech_base!$T68&gt;AE$345,"",AE692+AE972+AE1252)</f>
        <v>117.40280608430075</v>
      </c>
      <c r="AF412" s="125">
        <f>IF(tech_base!$T68&gt;AF$345,"",AF692+AF972+AF1252)</f>
        <v>117.34010852855606</v>
      </c>
      <c r="AG412" s="125">
        <f>IF(tech_base!$T68&gt;AG$345,"",AG692+AG972+AG1252)</f>
        <v>117.25356133999493</v>
      </c>
      <c r="AH412" s="125">
        <f>IF(tech_base!$T68&gt;AH$345,"",AH692+AH972+AH1252)</f>
        <v>117.14012924800133</v>
      </c>
      <c r="AI412" s="125">
        <f>IF(tech_base!$T68&gt;AI$345,"",AI692+AI972+AI1252)</f>
        <v>116.99654082839903</v>
      </c>
      <c r="AJ412" s="125">
        <f>IF(tech_base!$T68&gt;AJ$345,"",AJ692+AJ972+AJ1252)</f>
        <v>116.82131815232206</v>
      </c>
      <c r="AK412" s="125">
        <f>IF(tech_base!$T68&gt;AK$345,"",AK692+AK972+AK1252)</f>
        <v>116.60884104104011</v>
      </c>
      <c r="AL412" s="125">
        <f>IF(tech_base!$T68&gt;AL$345,"",AL692+AL972+AL1252)</f>
        <v>116.35542305426438</v>
      </c>
      <c r="AM412" s="125">
        <f>IF(tech_base!$T68&gt;AM$345,"",AM692+AM972+AM1252)</f>
        <v>116.05742888142234</v>
      </c>
      <c r="AN412" s="125">
        <f>IF(tech_base!$T68&gt;AN$345,"",AN692+AN972+AN1252)</f>
        <v>115.71142800082715</v>
      </c>
      <c r="AO412" s="125">
        <f>IF(tech_base!$T68&gt;AO$345,"",AO692+AO972+AO1252)</f>
        <v>115.31641722481001</v>
      </c>
      <c r="AP412" s="125">
        <f>IF(tech_base!$T68&gt;AP$345,"",AP692+AP972+AP1252)</f>
        <v>114.86797028146998</v>
      </c>
      <c r="AQ412" s="125">
        <f>IF(tech_base!$T68&gt;AQ$345,"",AQ692+AQ972+AQ1252)</f>
        <v>114.36460376716953</v>
      </c>
      <c r="AR412" s="125">
        <f>IF(tech_base!$T68&gt;AR$345,"",AR692+AR972+AR1252)</f>
        <v>113.80604743349292</v>
      </c>
      <c r="AS412" s="125">
        <f>IF(tech_base!$T68&gt;AS$345,"",AS692+AS972+AS1252)</f>
        <v>113.19355449177978</v>
      </c>
      <c r="AT412" s="125">
        <f>IF(tech_base!$T68&gt;AT$345,"",AT692+AT972+AT1252)</f>
        <v>112.53224588043336</v>
      </c>
      <c r="AU412" s="125">
        <f>IF(tech_base!$T68&gt;AU$345,"",AU692+AU972+AU1252)</f>
        <v>111.8251771763384</v>
      </c>
      <c r="AV412" s="125">
        <f>IF(tech_base!$T68&gt;AV$345,"",AV692+AV972+AV1252)</f>
        <v>111.07964804899227</v>
      </c>
      <c r="AW412" s="125">
        <f>IF(tech_base!$T68&gt;AW$345,"",AW692+AW972+AW1252)</f>
        <v>110.30513346667391</v>
      </c>
      <c r="AX412" s="126">
        <f>IF(tech_base!$T68&gt;AX$345,"",AX692+AX972+AX1252)</f>
        <v>109.5130932320337</v>
      </c>
    </row>
    <row r="413" spans="1:50" x14ac:dyDescent="0.25">
      <c r="A413" s="356"/>
      <c r="B413" s="376"/>
      <c r="C413" s="361" t="s">
        <v>15</v>
      </c>
      <c r="D413" s="58" t="s">
        <v>7</v>
      </c>
      <c r="E413" s="78" t="str">
        <f>A391&amp;"/"&amp;B407&amp;"/"&amp;C413&amp;"/"&amp;D413</f>
        <v>Lignite fired power plants/Fluidized bed combustion/Electricity only with CCS/L</v>
      </c>
      <c r="F413" s="78" t="str">
        <f>A391</f>
        <v>Lignite fired power plants</v>
      </c>
      <c r="G413" s="78" t="str">
        <f>B407</f>
        <v>Fluidized bed combustion</v>
      </c>
      <c r="H413" s="78" t="str">
        <f>C413</f>
        <v>Electricity only with CCS</v>
      </c>
      <c r="I413" s="78" t="str">
        <f t="shared" si="358"/>
        <v>L</v>
      </c>
      <c r="J413" s="123" t="str">
        <f>IF(tech_base!$T69&gt;J$345,"",J693+J973+J1253)</f>
        <v/>
      </c>
      <c r="K413" s="123" t="str">
        <f>IF(tech_base!$T69&gt;K$345,"",K693+K973+K1253)</f>
        <v/>
      </c>
      <c r="L413" s="123" t="str">
        <f>IF(tech_base!$T69&gt;L$345,"",L693+L973+L1253)</f>
        <v/>
      </c>
      <c r="M413" s="123" t="str">
        <f>IF(tech_base!$T69&gt;M$345,"",M693+M973+M1253)</f>
        <v/>
      </c>
      <c r="N413" s="123" t="str">
        <f>IF(tech_base!$T69&gt;N$345,"",N693+N973+N1253)</f>
        <v/>
      </c>
      <c r="O413" s="123" t="str">
        <f>IF(tech_base!$T69&gt;O$345,"",O693+O973+O1253)</f>
        <v/>
      </c>
      <c r="P413" s="123" t="str">
        <f>IF(tech_base!$T69&gt;P$345,"",P693+P973+P1253)</f>
        <v/>
      </c>
      <c r="Q413" s="123" t="str">
        <f>IF(tech_base!$T69&gt;Q$345,"",Q693+Q973+Q1253)</f>
        <v/>
      </c>
      <c r="R413" s="123" t="str">
        <f>IF(tech_base!$T69&gt;R$345,"",R693+R973+R1253)</f>
        <v/>
      </c>
      <c r="S413" s="123" t="str">
        <f>IF(tech_base!$T69&gt;S$345,"",S693+S973+S1253)</f>
        <v/>
      </c>
      <c r="T413" s="123" t="str">
        <f>IF(tech_base!$T69&gt;T$345,"",T693+T973+T1253)</f>
        <v/>
      </c>
      <c r="U413" s="123" t="str">
        <f>IF(tech_base!$T69&gt;U$345,"",U693+U973+U1253)</f>
        <v/>
      </c>
      <c r="V413" s="123" t="str">
        <f>IF(tech_base!$T69&gt;V$345,"",V693+V973+V1253)</f>
        <v/>
      </c>
      <c r="W413" s="123" t="str">
        <f>IF(tech_base!$T69&gt;W$345,"",W693+W973+W1253)</f>
        <v/>
      </c>
      <c r="X413" s="123" t="str">
        <f>IF(tech_base!$T69&gt;X$345,"",X693+X973+X1253)</f>
        <v/>
      </c>
      <c r="Y413" s="123" t="str">
        <f>IF(tech_base!$T69&gt;Y$345,"",Y693+Y973+Y1253)</f>
        <v/>
      </c>
      <c r="Z413" s="123" t="str">
        <f>IF(tech_base!$T69&gt;Z$345,"",Z693+Z973+Z1253)</f>
        <v/>
      </c>
      <c r="AA413" s="123" t="str">
        <f>IF(tech_base!$T69&gt;AA$345,"",AA693+AA973+AA1253)</f>
        <v/>
      </c>
      <c r="AB413" s="123" t="str">
        <f>IF(tech_base!$T69&gt;AB$345,"",AB693+AB973+AB1253)</f>
        <v/>
      </c>
      <c r="AC413" s="123" t="str">
        <f>IF(tech_base!$T69&gt;AC$345,"",AC693+AC973+AC1253)</f>
        <v/>
      </c>
      <c r="AD413" s="123" t="str">
        <f>IF(tech_base!$T69&gt;AD$345,"",AD693+AD973+AD1253)</f>
        <v/>
      </c>
      <c r="AE413" s="123">
        <f>IF(tech_base!$T69&gt;AE$345,"",AE693+AE973+AE1253)</f>
        <v>221.57975870960266</v>
      </c>
      <c r="AF413" s="123">
        <f>IF(tech_base!$T69&gt;AF$345,"",AF693+AF973+AF1253)</f>
        <v>221.64493921881598</v>
      </c>
      <c r="AG413" s="123">
        <f>IF(tech_base!$T69&gt;AG$345,"",AG693+AG973+AG1253)</f>
        <v>221.69637664432264</v>
      </c>
      <c r="AH413" s="123">
        <f>IF(tech_base!$T69&gt;AH$345,"",AH693+AH973+AH1253)</f>
        <v>221.73022836658686</v>
      </c>
      <c r="AI413" s="123">
        <f>IF(tech_base!$T69&gt;AI$345,"",AI693+AI973+AI1253)</f>
        <v>221.74160012724047</v>
      </c>
      <c r="AJ413" s="123">
        <f>IF(tech_base!$T69&gt;AJ$345,"",AJ693+AJ973+AJ1253)</f>
        <v>221.72654909499298</v>
      </c>
      <c r="AK413" s="123">
        <f>IF(tech_base!$T69&gt;AK$345,"",AK693+AK973+AK1253)</f>
        <v>221.67491965372875</v>
      </c>
      <c r="AL413" s="123">
        <f>IF(tech_base!$T69&gt;AL$345,"",AL693+AL973+AL1253)</f>
        <v>221.57676956822581</v>
      </c>
      <c r="AM413" s="123">
        <f>IF(tech_base!$T69&gt;AM$345,"",AM693+AM973+AM1253)</f>
        <v>221.41961612272067</v>
      </c>
      <c r="AN413" s="123">
        <f>IF(tech_base!$T69&gt;AN$345,"",AN693+AN973+AN1253)</f>
        <v>221.18788946290744</v>
      </c>
      <c r="AO413" s="123">
        <f>IF(tech_base!$T69&gt;AO$345,"",AO693+AO973+AO1253)</f>
        <v>220.86465229360687</v>
      </c>
      <c r="AP413" s="123">
        <f>IF(tech_base!$T69&gt;AP$345,"",AP693+AP973+AP1253)</f>
        <v>220.42403410625693</v>
      </c>
      <c r="AQ413" s="123">
        <f>IF(tech_base!$T69&gt;AQ$345,"",AQ693+AQ973+AQ1253)</f>
        <v>219.83765159274722</v>
      </c>
      <c r="AR413" s="123">
        <f>IF(tech_base!$T69&gt;AR$345,"",AR693+AR973+AR1253)</f>
        <v>219.07195556060574</v>
      </c>
      <c r="AS413" s="123">
        <f>IF(tech_base!$T69&gt;AS$345,"",AS693+AS973+AS1253)</f>
        <v>218.08831511301548</v>
      </c>
      <c r="AT413" s="123">
        <f>IF(tech_base!$T69&gt;AT$345,"",AT693+AT973+AT1253)</f>
        <v>216.84617331620228</v>
      </c>
      <c r="AU413" s="123">
        <f>IF(tech_base!$T69&gt;AU$345,"",AU693+AU973+AU1253)</f>
        <v>215.29788930583254</v>
      </c>
      <c r="AV413" s="123">
        <f>IF(tech_base!$T69&gt;AV$345,"",AV693+AV973+AV1253)</f>
        <v>213.39925100832045</v>
      </c>
      <c r="AW413" s="123">
        <f>IF(tech_base!$T69&gt;AW$345,"",AW693+AW973+AW1253)</f>
        <v>211.11242838341477</v>
      </c>
      <c r="AX413" s="124">
        <f>IF(tech_base!$T69&gt;AX$345,"",AX693+AX973+AX1253)</f>
        <v>208.41319457796584</v>
      </c>
    </row>
    <row r="414" spans="1:50" x14ac:dyDescent="0.25">
      <c r="A414" s="356"/>
      <c r="B414" s="376"/>
      <c r="C414" s="379"/>
      <c r="D414" s="59" t="s">
        <v>8</v>
      </c>
      <c r="E414" s="79" t="str">
        <f>A391&amp;"/"&amp;B407&amp;"/"&amp;C413&amp;"/"&amp;D414</f>
        <v>Lignite fired power plants/Fluidized bed combustion/Electricity only with CCS/M</v>
      </c>
      <c r="F414" s="79" t="str">
        <f>A391</f>
        <v>Lignite fired power plants</v>
      </c>
      <c r="G414" s="79" t="str">
        <f>B407</f>
        <v>Fluidized bed combustion</v>
      </c>
      <c r="H414" s="79" t="str">
        <f>C413</f>
        <v>Electricity only with CCS</v>
      </c>
      <c r="I414" s="79" t="str">
        <f t="shared" si="358"/>
        <v>M</v>
      </c>
      <c r="J414" s="125" t="str">
        <f>IF(tech_base!$T70&gt;J$345,"",J694+J974+J1254)</f>
        <v/>
      </c>
      <c r="K414" s="125" t="str">
        <f>IF(tech_base!$T70&gt;K$345,"",K694+K974+K1254)</f>
        <v/>
      </c>
      <c r="L414" s="125" t="str">
        <f>IF(tech_base!$T70&gt;L$345,"",L694+L974+L1254)</f>
        <v/>
      </c>
      <c r="M414" s="125" t="str">
        <f>IF(tech_base!$T70&gt;M$345,"",M694+M974+M1254)</f>
        <v/>
      </c>
      <c r="N414" s="125" t="str">
        <f>IF(tech_base!$T70&gt;N$345,"",N694+N974+N1254)</f>
        <v/>
      </c>
      <c r="O414" s="125" t="str">
        <f>IF(tech_base!$T70&gt;O$345,"",O694+O974+O1254)</f>
        <v/>
      </c>
      <c r="P414" s="125" t="str">
        <f>IF(tech_base!$T70&gt;P$345,"",P694+P974+P1254)</f>
        <v/>
      </c>
      <c r="Q414" s="125" t="str">
        <f>IF(tech_base!$T70&gt;Q$345,"",Q694+Q974+Q1254)</f>
        <v/>
      </c>
      <c r="R414" s="125" t="str">
        <f>IF(tech_base!$T70&gt;R$345,"",R694+R974+R1254)</f>
        <v/>
      </c>
      <c r="S414" s="125" t="str">
        <f>IF(tech_base!$T70&gt;S$345,"",S694+S974+S1254)</f>
        <v/>
      </c>
      <c r="T414" s="125" t="str">
        <f>IF(tech_base!$T70&gt;T$345,"",T694+T974+T1254)</f>
        <v/>
      </c>
      <c r="U414" s="125" t="str">
        <f>IF(tech_base!$T70&gt;U$345,"",U694+U974+U1254)</f>
        <v/>
      </c>
      <c r="V414" s="125" t="str">
        <f>IF(tech_base!$T70&gt;V$345,"",V694+V974+V1254)</f>
        <v/>
      </c>
      <c r="W414" s="125" t="str">
        <f>IF(tech_base!$T70&gt;W$345,"",W694+W974+W1254)</f>
        <v/>
      </c>
      <c r="X414" s="125" t="str">
        <f>IF(tech_base!$T70&gt;X$345,"",X694+X974+X1254)</f>
        <v/>
      </c>
      <c r="Y414" s="125" t="str">
        <f>IF(tech_base!$T70&gt;Y$345,"",Y694+Y974+Y1254)</f>
        <v/>
      </c>
      <c r="Z414" s="125" t="str">
        <f>IF(tech_base!$T70&gt;Z$345,"",Z694+Z974+Z1254)</f>
        <v/>
      </c>
      <c r="AA414" s="125" t="str">
        <f>IF(tech_base!$T70&gt;AA$345,"",AA694+AA974+AA1254)</f>
        <v/>
      </c>
      <c r="AB414" s="125" t="str">
        <f>IF(tech_base!$T70&gt;AB$345,"",AB694+AB974+AB1254)</f>
        <v/>
      </c>
      <c r="AC414" s="125" t="str">
        <f>IF(tech_base!$T70&gt;AC$345,"",AC694+AC974+AC1254)</f>
        <v/>
      </c>
      <c r="AD414" s="125" t="str">
        <f>IF(tech_base!$T70&gt;AD$345,"",AD694+AD974+AD1254)</f>
        <v/>
      </c>
      <c r="AE414" s="125">
        <f>IF(tech_base!$T70&gt;AE$345,"",AE694+AE974+AE1254)</f>
        <v>248.0749079651923</v>
      </c>
      <c r="AF414" s="125">
        <f>IF(tech_base!$T70&gt;AF$345,"",AF694+AF974+AF1254)</f>
        <v>248.13864977415409</v>
      </c>
      <c r="AG414" s="125">
        <f>IF(tech_base!$T70&gt;AG$345,"",AG694+AG974+AG1254)</f>
        <v>248.18594660009245</v>
      </c>
      <c r="AH414" s="125">
        <f>IF(tech_base!$T70&gt;AH$345,"",AH694+AH974+AH1254)</f>
        <v>248.21220048795655</v>
      </c>
      <c r="AI414" s="125">
        <f>IF(tech_base!$T70&gt;AI$345,"",AI694+AI974+AI1254)</f>
        <v>248.21155516024788</v>
      </c>
      <c r="AJ414" s="125">
        <f>IF(tech_base!$T70&gt;AJ$345,"",AJ694+AJ974+AJ1254)</f>
        <v>248.17900796874261</v>
      </c>
      <c r="AK414" s="125">
        <f>IF(tech_base!$T70&gt;AK$345,"",AK694+AK974+AK1254)</f>
        <v>248.10269211576522</v>
      </c>
      <c r="AL414" s="125">
        <f>IF(tech_base!$T70&gt;AL$345,"",AL694+AL974+AL1254)</f>
        <v>247.97071134034698</v>
      </c>
      <c r="AM414" s="125">
        <f>IF(tech_base!$T70&gt;AM$345,"",AM694+AM974+AM1254)</f>
        <v>247.76812968563459</v>
      </c>
      <c r="AN414" s="125">
        <f>IF(tech_base!$T70&gt;AN$345,"",AN694+AN974+AN1254)</f>
        <v>247.47631744026714</v>
      </c>
      <c r="AO414" s="125">
        <f>IF(tech_base!$T70&gt;AO$345,"",AO694+AO974+AO1254)</f>
        <v>247.07471858281698</v>
      </c>
      <c r="AP414" s="125">
        <f>IF(tech_base!$T70&gt;AP$345,"",AP694+AP974+AP1254)</f>
        <v>246.5326691162231</v>
      </c>
      <c r="AQ414" s="125">
        <f>IF(tech_base!$T70&gt;AQ$345,"",AQ694+AQ974+AQ1254)</f>
        <v>245.81620825640428</v>
      </c>
      <c r="AR414" s="125">
        <f>IF(tech_base!$T70&gt;AR$345,"",AR694+AR974+AR1254)</f>
        <v>244.88519433217672</v>
      </c>
      <c r="AS414" s="125">
        <f>IF(tech_base!$T70&gt;AS$345,"",AS694+AS974+AS1254)</f>
        <v>243.69340545595617</v>
      </c>
      <c r="AT414" s="125">
        <f>IF(tech_base!$T70&gt;AT$345,"",AT694+AT974+AT1254)</f>
        <v>242.19201981712001</v>
      </c>
      <c r="AU414" s="125">
        <f>IF(tech_base!$T70&gt;AU$345,"",AU694+AU974+AU1254)</f>
        <v>240.32433033922828</v>
      </c>
      <c r="AV414" s="125">
        <f>IF(tech_base!$T70&gt;AV$345,"",AV694+AV974+AV1254)</f>
        <v>238.0374357590926</v>
      </c>
      <c r="AW414" s="125">
        <f>IF(tech_base!$T70&gt;AW$345,"",AW694+AW974+AW1254)</f>
        <v>235.28606884978799</v>
      </c>
      <c r="AX414" s="126">
        <f>IF(tech_base!$T70&gt;AX$345,"",AX694+AX974+AX1254)</f>
        <v>232.04123514025798</v>
      </c>
    </row>
    <row r="415" spans="1:50" x14ac:dyDescent="0.25">
      <c r="A415" s="356"/>
      <c r="B415" s="376"/>
      <c r="C415" s="361" t="s">
        <v>16</v>
      </c>
      <c r="D415" s="2" t="s">
        <v>7</v>
      </c>
      <c r="E415" s="76" t="str">
        <f>A391&amp;"/"&amp;B407&amp;"/"&amp;C415&amp;"/"&amp;D415</f>
        <v>Lignite fired power plants/Fluidized bed combustion/CHP with CCS/L</v>
      </c>
      <c r="F415" s="76" t="str">
        <f>A391</f>
        <v>Lignite fired power plants</v>
      </c>
      <c r="G415" s="76" t="str">
        <f>B407</f>
        <v>Fluidized bed combustion</v>
      </c>
      <c r="H415" s="76" t="str">
        <f>C415</f>
        <v>CHP with CCS</v>
      </c>
      <c r="I415" s="76" t="str">
        <f t="shared" si="358"/>
        <v>L</v>
      </c>
      <c r="J415" s="119" t="str">
        <f>IF(tech_base!$T71&gt;J$345,"",J695+J975+J1255)</f>
        <v/>
      </c>
      <c r="K415" s="119" t="str">
        <f>IF(tech_base!$T71&gt;K$345,"",K695+K975+K1255)</f>
        <v/>
      </c>
      <c r="L415" s="119" t="str">
        <f>IF(tech_base!$T71&gt;L$345,"",L695+L975+L1255)</f>
        <v/>
      </c>
      <c r="M415" s="119" t="str">
        <f>IF(tech_base!$T71&gt;M$345,"",M695+M975+M1255)</f>
        <v/>
      </c>
      <c r="N415" s="119" t="str">
        <f>IF(tech_base!$T71&gt;N$345,"",N695+N975+N1255)</f>
        <v/>
      </c>
      <c r="O415" s="119" t="str">
        <f>IF(tech_base!$T71&gt;O$345,"",O695+O975+O1255)</f>
        <v/>
      </c>
      <c r="P415" s="119" t="str">
        <f>IF(tech_base!$T71&gt;P$345,"",P695+P975+P1255)</f>
        <v/>
      </c>
      <c r="Q415" s="119" t="str">
        <f>IF(tech_base!$T71&gt;Q$345,"",Q695+Q975+Q1255)</f>
        <v/>
      </c>
      <c r="R415" s="119" t="str">
        <f>IF(tech_base!$T71&gt;R$345,"",R695+R975+R1255)</f>
        <v/>
      </c>
      <c r="S415" s="119" t="str">
        <f>IF(tech_base!$T71&gt;S$345,"",S695+S975+S1255)</f>
        <v/>
      </c>
      <c r="T415" s="119" t="str">
        <f>IF(tech_base!$T71&gt;T$345,"",T695+T975+T1255)</f>
        <v/>
      </c>
      <c r="U415" s="119" t="str">
        <f>IF(tech_base!$T71&gt;U$345,"",U695+U975+U1255)</f>
        <v/>
      </c>
      <c r="V415" s="119" t="str">
        <f>IF(tech_base!$T71&gt;V$345,"",V695+V975+V1255)</f>
        <v/>
      </c>
      <c r="W415" s="119" t="str">
        <f>IF(tech_base!$T71&gt;W$345,"",W695+W975+W1255)</f>
        <v/>
      </c>
      <c r="X415" s="119" t="str">
        <f>IF(tech_base!$T71&gt;X$345,"",X695+X975+X1255)</f>
        <v/>
      </c>
      <c r="Y415" s="119" t="str">
        <f>IF(tech_base!$T71&gt;Y$345,"",Y695+Y975+Y1255)</f>
        <v/>
      </c>
      <c r="Z415" s="119" t="str">
        <f>IF(tech_base!$T71&gt;Z$345,"",Z695+Z975+Z1255)</f>
        <v/>
      </c>
      <c r="AA415" s="119" t="str">
        <f>IF(tech_base!$T71&gt;AA$345,"",AA695+AA975+AA1255)</f>
        <v/>
      </c>
      <c r="AB415" s="119" t="str">
        <f>IF(tech_base!$T71&gt;AB$345,"",AB695+AB975+AB1255)</f>
        <v/>
      </c>
      <c r="AC415" s="119" t="str">
        <f>IF(tech_base!$T71&gt;AC$345,"",AC695+AC975+AC1255)</f>
        <v/>
      </c>
      <c r="AD415" s="119" t="str">
        <f>IF(tech_base!$T71&gt;AD$345,"",AD695+AD975+AD1255)</f>
        <v/>
      </c>
      <c r="AE415" s="119">
        <f>IF(tech_base!$T71&gt;AE$345,"",AE695+AE975+AE1255)</f>
        <v>249.27156453760404</v>
      </c>
      <c r="AF415" s="119">
        <f>IF(tech_base!$T71&gt;AF$345,"",AF695+AF975+AF1255)</f>
        <v>249.35739300393089</v>
      </c>
      <c r="AG415" s="119">
        <f>IF(tech_base!$T71&gt;AG$345,"",AG695+AG975+AG1255)</f>
        <v>249.43061613913116</v>
      </c>
      <c r="AH415" s="119">
        <f>IF(tech_base!$T71&gt;AH$345,"",AH695+AH975+AH1255)</f>
        <v>249.48770946599586</v>
      </c>
      <c r="AI415" s="119">
        <f>IF(tech_base!$T71&gt;AI$345,"",AI695+AI975+AI1255)</f>
        <v>249.52418396739614</v>
      </c>
      <c r="AJ415" s="119">
        <f>IF(tech_base!$T71&gt;AJ$345,"",AJ695+AJ975+AJ1255)</f>
        <v>249.53694420649487</v>
      </c>
      <c r="AK415" s="119">
        <f>IF(tech_base!$T71&gt;AK$345,"",AK695+AK975+AK1255)</f>
        <v>249.51615471802535</v>
      </c>
      <c r="AL415" s="119">
        <f>IF(tech_base!$T71&gt;AL$345,"",AL695+AL975+AL1255)</f>
        <v>249.45269684313377</v>
      </c>
      <c r="AM415" s="119">
        <f>IF(tech_base!$T71&gt;AM$345,"",AM695+AM975+AM1255)</f>
        <v>249.33512216426783</v>
      </c>
      <c r="AN415" s="119">
        <f>IF(tech_base!$T71&gt;AN$345,"",AN695+AN975+AN1255)</f>
        <v>249.14915138768725</v>
      </c>
      <c r="AO415" s="119">
        <f>IF(tech_base!$T71&gt;AO$345,"",AO695+AO975+AO1255)</f>
        <v>248.87978333057885</v>
      </c>
      <c r="AP415" s="119">
        <f>IF(tech_base!$T71&gt;AP$345,"",AP695+AP975+AP1255)</f>
        <v>248.50276259615083</v>
      </c>
      <c r="AQ415" s="119">
        <f>IF(tech_base!$T71&gt;AQ$345,"",AQ695+AQ975+AQ1255)</f>
        <v>247.99206328534504</v>
      </c>
      <c r="AR415" s="119">
        <f>IF(tech_base!$T71&gt;AR$345,"",AR695+AR975+AR1255)</f>
        <v>247.31692607079771</v>
      </c>
      <c r="AS415" s="119">
        <f>IF(tech_base!$T71&gt;AS$345,"",AS695+AS975+AS1255)</f>
        <v>246.44193797771129</v>
      </c>
      <c r="AT415" s="119">
        <f>IF(tech_base!$T71&gt;AT$345,"",AT695+AT975+AT1255)</f>
        <v>245.33047202100332</v>
      </c>
      <c r="AU415" s="119">
        <f>IF(tech_base!$T71&gt;AU$345,"",AU695+AU975+AU1255)</f>
        <v>243.93833606557993</v>
      </c>
      <c r="AV415" s="119">
        <f>IF(tech_base!$T71&gt;AV$345,"",AV695+AV975+AV1255)</f>
        <v>242.22504593349345</v>
      </c>
      <c r="AW415" s="119">
        <f>IF(tech_base!$T71&gt;AW$345,"",AW695+AW975+AW1255)</f>
        <v>240.15599804197478</v>
      </c>
      <c r="AX415" s="120">
        <f>IF(tech_base!$T71&gt;AX$345,"",AX695+AX975+AX1255)</f>
        <v>237.70909634199791</v>
      </c>
    </row>
    <row r="416" spans="1:50" x14ac:dyDescent="0.25">
      <c r="A416" s="356"/>
      <c r="B416" s="380"/>
      <c r="C416" s="381"/>
      <c r="D416" s="4" t="s">
        <v>8</v>
      </c>
      <c r="E416" s="80" t="str">
        <f>A391&amp;"/"&amp;B407&amp;"/"&amp;C415&amp;"/"&amp;D416</f>
        <v>Lignite fired power plants/Fluidized bed combustion/CHP with CCS/M</v>
      </c>
      <c r="F416" s="80" t="str">
        <f>A391</f>
        <v>Lignite fired power plants</v>
      </c>
      <c r="G416" s="80" t="str">
        <f>B407</f>
        <v>Fluidized bed combustion</v>
      </c>
      <c r="H416" s="80" t="str">
        <f>C415</f>
        <v>CHP with CCS</v>
      </c>
      <c r="I416" s="80" t="str">
        <f t="shared" si="358"/>
        <v>M</v>
      </c>
      <c r="J416" s="127" t="str">
        <f>IF(tech_base!$T72&gt;J$345,"",J696+J976+J1256)</f>
        <v/>
      </c>
      <c r="K416" s="127" t="str">
        <f>IF(tech_base!$T72&gt;K$345,"",K696+K976+K1256)</f>
        <v/>
      </c>
      <c r="L416" s="127" t="str">
        <f>IF(tech_base!$T72&gt;L$345,"",L696+L976+L1256)</f>
        <v/>
      </c>
      <c r="M416" s="127" t="str">
        <f>IF(tech_base!$T72&gt;M$345,"",M696+M976+M1256)</f>
        <v/>
      </c>
      <c r="N416" s="127" t="str">
        <f>IF(tech_base!$T72&gt;N$345,"",N696+N976+N1256)</f>
        <v/>
      </c>
      <c r="O416" s="127" t="str">
        <f>IF(tech_base!$T72&gt;O$345,"",O696+O976+O1256)</f>
        <v/>
      </c>
      <c r="P416" s="127" t="str">
        <f>IF(tech_base!$T72&gt;P$345,"",P696+P976+P1256)</f>
        <v/>
      </c>
      <c r="Q416" s="127" t="str">
        <f>IF(tech_base!$T72&gt;Q$345,"",Q696+Q976+Q1256)</f>
        <v/>
      </c>
      <c r="R416" s="127" t="str">
        <f>IF(tech_base!$T72&gt;R$345,"",R696+R976+R1256)</f>
        <v/>
      </c>
      <c r="S416" s="127" t="str">
        <f>IF(tech_base!$T72&gt;S$345,"",S696+S976+S1256)</f>
        <v/>
      </c>
      <c r="T416" s="127" t="str">
        <f>IF(tech_base!$T72&gt;T$345,"",T696+T976+T1256)</f>
        <v/>
      </c>
      <c r="U416" s="127" t="str">
        <f>IF(tech_base!$T72&gt;U$345,"",U696+U976+U1256)</f>
        <v/>
      </c>
      <c r="V416" s="127" t="str">
        <f>IF(tech_base!$T72&gt;V$345,"",V696+V976+V1256)</f>
        <v/>
      </c>
      <c r="W416" s="127" t="str">
        <f>IF(tech_base!$T72&gt;W$345,"",W696+W976+W1256)</f>
        <v/>
      </c>
      <c r="X416" s="127" t="str">
        <f>IF(tech_base!$T72&gt;X$345,"",X696+X976+X1256)</f>
        <v/>
      </c>
      <c r="Y416" s="127" t="str">
        <f>IF(tech_base!$T72&gt;Y$345,"",Y696+Y976+Y1256)</f>
        <v/>
      </c>
      <c r="Z416" s="127" t="str">
        <f>IF(tech_base!$T72&gt;Z$345,"",Z696+Z976+Z1256)</f>
        <v/>
      </c>
      <c r="AA416" s="127" t="str">
        <f>IF(tech_base!$T72&gt;AA$345,"",AA696+AA976+AA1256)</f>
        <v/>
      </c>
      <c r="AB416" s="127" t="str">
        <f>IF(tech_base!$T72&gt;AB$345,"",AB696+AB976+AB1256)</f>
        <v/>
      </c>
      <c r="AC416" s="127" t="str">
        <f>IF(tech_base!$T72&gt;AC$345,"",AC696+AC976+AC1256)</f>
        <v/>
      </c>
      <c r="AD416" s="127" t="str">
        <f>IF(tech_base!$T72&gt;AD$345,"",AD696+AD976+AD1256)</f>
        <v/>
      </c>
      <c r="AE416" s="127">
        <f>IF(tech_base!$T72&gt;AE$345,"",AE696+AE976+AE1256)</f>
        <v>278.13213241720433</v>
      </c>
      <c r="AF416" s="127">
        <f>IF(tech_base!$T72&gt;AF$345,"",AF696+AF976+AF1256)</f>
        <v>278.2166159630583</v>
      </c>
      <c r="AG416" s="127">
        <f>IF(tech_base!$T72&gt;AG$345,"",AG696+AG976+AG1256)</f>
        <v>278.28536557787339</v>
      </c>
      <c r="AH416" s="127">
        <f>IF(tech_base!$T72&gt;AH$345,"",AH696+AH976+AH1256)</f>
        <v>278.33398210421706</v>
      </c>
      <c r="AI416" s="127">
        <f>IF(tech_base!$T72&gt;AI$345,"",AI696+AI976+AI1256)</f>
        <v>278.35686248609608</v>
      </c>
      <c r="AJ416" s="127">
        <f>IF(tech_base!$T72&gt;AJ$345,"",AJ696+AJ976+AJ1256)</f>
        <v>278.3496903266896</v>
      </c>
      <c r="AK416" s="127">
        <f>IF(tech_base!$T72&gt;AK$345,"",AK696+AK976+AK1256)</f>
        <v>278.30064213381684</v>
      </c>
      <c r="AL416" s="127">
        <f>IF(tech_base!$T72&gt;AL$345,"",AL696+AL976+AL1256)</f>
        <v>278.19833630526233</v>
      </c>
      <c r="AM416" s="127">
        <f>IF(tech_base!$T72&gt;AM$345,"",AM696+AM976+AM1256)</f>
        <v>278.02848327483701</v>
      </c>
      <c r="AN416" s="127">
        <f>IF(tech_base!$T72&gt;AN$345,"",AN696+AN976+AN1256)</f>
        <v>277.77325997052441</v>
      </c>
      <c r="AO416" s="127">
        <f>IF(tech_base!$T72&gt;AO$345,"",AO696+AO976+AO1256)</f>
        <v>277.41348041615561</v>
      </c>
      <c r="AP416" s="127">
        <f>IF(tech_base!$T72&gt;AP$345,"",AP696+AP976+AP1256)</f>
        <v>276.91933082632562</v>
      </c>
      <c r="AQ416" s="127">
        <f>IF(tech_base!$T72&gt;AQ$345,"",AQ696+AQ976+AQ1256)</f>
        <v>276.2583250002981</v>
      </c>
      <c r="AR416" s="127">
        <f>IF(tech_base!$T72&gt;AR$345,"",AR696+AR976+AR1256)</f>
        <v>275.39206724372582</v>
      </c>
      <c r="AS416" s="127">
        <f>IF(tech_base!$T72&gt;AS$345,"",AS696+AS976+AS1256)</f>
        <v>274.27635101678311</v>
      </c>
      <c r="AT416" s="127">
        <f>IF(tech_base!$T72&gt;AT$345,"",AT696+AT976+AT1256)</f>
        <v>272.86498048800217</v>
      </c>
      <c r="AU416" s="127">
        <f>IF(tech_base!$T72&gt;AU$345,"",AU696+AU976+AU1256)</f>
        <v>271.1032526489746</v>
      </c>
      <c r="AV416" s="127">
        <f>IF(tech_base!$T72&gt;AV$345,"",AV696+AV976+AV1256)</f>
        <v>268.94061398319025</v>
      </c>
      <c r="AW416" s="127">
        <f>IF(tech_base!$T72&gt;AW$345,"",AW696+AW976+AW1256)</f>
        <v>266.33384020121485</v>
      </c>
      <c r="AX416" s="128">
        <f>IF(tech_base!$T72&gt;AX$345,"",AX696+AX976+AX1256)</f>
        <v>263.25530556241512</v>
      </c>
    </row>
    <row r="417" spans="1:50" x14ac:dyDescent="0.25">
      <c r="A417" s="356"/>
      <c r="B417" s="358" t="s">
        <v>19</v>
      </c>
      <c r="C417" s="353" t="s">
        <v>6</v>
      </c>
      <c r="D417" s="3" t="s">
        <v>7</v>
      </c>
      <c r="E417" s="77" t="str">
        <f>A391&amp;"/"&amp;B417&amp;"/"&amp;C417&amp;"/"&amp;D417</f>
        <v>Lignite fired power plants/Steam turbine/Electricity only/L</v>
      </c>
      <c r="F417" s="77" t="str">
        <f>A391</f>
        <v>Lignite fired power plants</v>
      </c>
      <c r="G417" s="77" t="str">
        <f>B417</f>
        <v>Steam turbine</v>
      </c>
      <c r="H417" s="77" t="str">
        <f>C417</f>
        <v>Electricity only</v>
      </c>
      <c r="I417" s="77" t="str">
        <f t="shared" si="358"/>
        <v>L</v>
      </c>
      <c r="J417" s="121">
        <f>IF(tech_base!$T73&gt;J$345,"",J697+J977+J1257)</f>
        <v>72.39632296857053</v>
      </c>
      <c r="K417" s="121">
        <f>IF(tech_base!$T73&gt;K$345,"",K697+K977+K1257)</f>
        <v>72.483005475711053</v>
      </c>
      <c r="L417" s="121">
        <f>IF(tech_base!$T73&gt;L$345,"",L697+L977+L1257)</f>
        <v>72.569730426360451</v>
      </c>
      <c r="M417" s="121">
        <f>IF(tech_base!$T73&gt;M$345,"",M697+M977+M1257)</f>
        <v>72.656460524455227</v>
      </c>
      <c r="N417" s="121">
        <f>IF(tech_base!$T73&gt;N$345,"",N697+N977+N1257)</f>
        <v>72.743158618963903</v>
      </c>
      <c r="O417" s="121">
        <f>IF(tech_base!$T73&gt;O$345,"",O697+O977+O1257)</f>
        <v>72.829787776616413</v>
      </c>
      <c r="P417" s="121">
        <f>IF(tech_base!$T73&gt;P$345,"",P697+P977+P1257)</f>
        <v>72.980563682279993</v>
      </c>
      <c r="Q417" s="121">
        <f>IF(tech_base!$T73&gt;Q$345,"",Q697+Q977+Q1257)</f>
        <v>73.131179687775301</v>
      </c>
      <c r="R417" s="121">
        <f>IF(tech_base!$T73&gt;R$345,"",R697+R977+R1257)</f>
        <v>73.28160004329294</v>
      </c>
      <c r="S417" s="121">
        <f>IF(tech_base!$T73&gt;S$345,"",S697+S977+S1257)</f>
        <v>73.431789508851892</v>
      </c>
      <c r="T417" s="121">
        <f>IF(tech_base!$T73&gt;T$345,"",T697+T977+T1257)</f>
        <v>73.581713417316607</v>
      </c>
      <c r="U417" s="121">
        <f>IF(tech_base!$T73&gt;U$345,"",U697+U977+U1257)</f>
        <v>73.73290881230281</v>
      </c>
      <c r="V417" s="121">
        <f>IF(tech_base!$T73&gt;V$345,"",V697+V977+V1257)</f>
        <v>73.883770842937395</v>
      </c>
      <c r="W417" s="121">
        <f>IF(tech_base!$T73&gt;W$345,"",W697+W977+W1257)</f>
        <v>74.034266915901668</v>
      </c>
      <c r="X417" s="121">
        <f>IF(tech_base!$T73&gt;X$345,"",X697+X977+X1257)</f>
        <v>74.184365235291068</v>
      </c>
      <c r="Y417" s="121">
        <f>IF(tech_base!$T73&gt;Y$345,"",Y697+Y977+Y1257)</f>
        <v>74.334034850854209</v>
      </c>
      <c r="Z417" s="121">
        <f>IF(tech_base!$T73&gt;Z$345,"",Z697+Z977+Z1257)</f>
        <v>74.484847119386188</v>
      </c>
      <c r="AA417" s="121">
        <f>IF(tech_base!$T73&gt;AA$345,"",AA697+AA977+AA1257)</f>
        <v>74.635171073384299</v>
      </c>
      <c r="AB417" s="121">
        <f>IF(tech_base!$T73&gt;AB$345,"",AB697+AB977+AB1257)</f>
        <v>74.784978560252569</v>
      </c>
      <c r="AC417" s="121">
        <f>IF(tech_base!$T73&gt;AC$345,"",AC697+AC977+AC1257)</f>
        <v>74.934242431659158</v>
      </c>
      <c r="AD417" s="121">
        <f>IF(tech_base!$T73&gt;AD$345,"",AD697+AD977+AD1257)</f>
        <v>75.082936574114683</v>
      </c>
      <c r="AE417" s="121">
        <f>IF(tech_base!$T73&gt;AE$345,"",AE697+AE977+AE1257)</f>
        <v>75.232668321350204</v>
      </c>
      <c r="AF417" s="121">
        <f>IF(tech_base!$T73&gt;AF$345,"",AF697+AF977+AF1257)</f>
        <v>75.381780909941398</v>
      </c>
      <c r="AG417" s="121">
        <f>IF(tech_base!$T73&gt;AG$345,"",AG697+AG977+AG1257)</f>
        <v>75.530251484650336</v>
      </c>
      <c r="AH417" s="121">
        <f>IF(tech_base!$T73&gt;AH$345,"",AH697+AH977+AH1257)</f>
        <v>75.678058311295132</v>
      </c>
      <c r="AI417" s="121">
        <f>IF(tech_base!$T73&gt;AI$345,"",AI697+AI977+AI1257)</f>
        <v>75.825180789303147</v>
      </c>
      <c r="AJ417" s="121">
        <f>IF(tech_base!$T73&gt;AJ$345,"",AJ697+AJ977+AJ1257)</f>
        <v>75.973263468468772</v>
      </c>
      <c r="AK417" s="121">
        <f>IF(tech_base!$T73&gt;AK$345,"",AK697+AK977+AK1257)</f>
        <v>76.120623636109386</v>
      </c>
      <c r="AL417" s="121">
        <f>IF(tech_base!$T73&gt;AL$345,"",AL697+AL977+AL1257)</f>
        <v>76.267244141417706</v>
      </c>
      <c r="AM417" s="121">
        <f>IF(tech_base!$T73&gt;AM$345,"",AM697+AM977+AM1257)</f>
        <v>76.41310898405618</v>
      </c>
      <c r="AN417" s="121">
        <f>IF(tech_base!$T73&gt;AN$345,"",AN697+AN977+AN1257)</f>
        <v>76.558203310461067</v>
      </c>
      <c r="AO417" s="121">
        <f>IF(tech_base!$T73&gt;AO$345,"",AO697+AO977+AO1257)</f>
        <v>76.704209712509382</v>
      </c>
      <c r="AP417" s="121">
        <f>IF(tech_base!$T73&gt;AP$345,"",AP697+AP977+AP1257)</f>
        <v>76.84941892557309</v>
      </c>
      <c r="AQ417" s="121">
        <f>IF(tech_base!$T73&gt;AQ$345,"",AQ697+AQ977+AQ1257)</f>
        <v>76.993819494338993</v>
      </c>
      <c r="AR417" s="121">
        <f>IF(tech_base!$T73&gt;AR$345,"",AR697+AR977+AR1257)</f>
        <v>77.137401068103699</v>
      </c>
      <c r="AS417" s="121">
        <f>IF(tech_base!$T73&gt;AS$345,"",AS697+AS977+AS1257)</f>
        <v>77.280154384065028</v>
      </c>
      <c r="AT417" s="121">
        <f>IF(tech_base!$T73&gt;AT$345,"",AT697+AT977+AT1257)</f>
        <v>77.423800547354432</v>
      </c>
      <c r="AU417" s="121">
        <f>IF(tech_base!$T73&gt;AU$345,"",AU697+AU977+AU1257)</f>
        <v>77.56660275787452</v>
      </c>
      <c r="AV417" s="121">
        <f>IF(tech_base!$T73&gt;AV$345,"",AV697+AV977+AV1257)</f>
        <v>77.7085549044603</v>
      </c>
      <c r="AW417" s="121">
        <f>IF(tech_base!$T73&gt;AW$345,"",AW697+AW977+AW1257)</f>
        <v>77.849651877295059</v>
      </c>
      <c r="AX417" s="122">
        <f>IF(tech_base!$T73&gt;AX$345,"",AX697+AX977+AX1257)</f>
        <v>77.989889542118647</v>
      </c>
    </row>
    <row r="418" spans="1:50" x14ac:dyDescent="0.25">
      <c r="A418" s="356"/>
      <c r="B418" s="376"/>
      <c r="C418" s="378"/>
      <c r="D418" s="2" t="s">
        <v>8</v>
      </c>
      <c r="E418" s="76" t="str">
        <f>A391&amp;"/"&amp;B417&amp;"/"&amp;C417&amp;"/"&amp;D418</f>
        <v>Lignite fired power plants/Steam turbine/Electricity only/M</v>
      </c>
      <c r="F418" s="76" t="str">
        <f>A391</f>
        <v>Lignite fired power plants</v>
      </c>
      <c r="G418" s="76" t="str">
        <f>B417</f>
        <v>Steam turbine</v>
      </c>
      <c r="H418" s="76" t="str">
        <f>C417</f>
        <v>Electricity only</v>
      </c>
      <c r="I418" s="76" t="str">
        <f t="shared" si="358"/>
        <v>M</v>
      </c>
      <c r="J418" s="119">
        <f>IF(tech_base!$T74&gt;J$345,"",J698+J978+J1258)</f>
        <v>77.93898406199385</v>
      </c>
      <c r="K418" s="119">
        <f>IF(tech_base!$T74&gt;K$345,"",K698+K978+K1258)</f>
        <v>78.013029534720118</v>
      </c>
      <c r="L418" s="119">
        <f>IF(tech_base!$T74&gt;L$345,"",L698+L978+L1258)</f>
        <v>78.087108706587657</v>
      </c>
      <c r="M418" s="119">
        <f>IF(tech_base!$T74&gt;M$345,"",M698+M978+M1258)</f>
        <v>78.161191205868988</v>
      </c>
      <c r="N418" s="119">
        <f>IF(tech_base!$T74&gt;N$345,"",N698+N978+N1258)</f>
        <v>78.23524678081067</v>
      </c>
      <c r="O418" s="119">
        <f>IF(tech_base!$T74&gt;O$345,"",O698+O978+O1258)</f>
        <v>78.309245358832442</v>
      </c>
      <c r="P418" s="119">
        <f>IF(tech_base!$T74&gt;P$345,"",P698+P978+P1258)</f>
        <v>78.450931004653782</v>
      </c>
      <c r="Q418" s="119">
        <f>IF(tech_base!$T74&gt;Q$345,"",Q698+Q978+Q1258)</f>
        <v>78.592485977206934</v>
      </c>
      <c r="R418" s="119">
        <f>IF(tech_base!$T74&gt;R$345,"",R698+R978+R1258)</f>
        <v>78.733881162449137</v>
      </c>
      <c r="S418" s="119">
        <f>IF(tech_base!$T74&gt;S$345,"",S698+S978+S1258)</f>
        <v>78.875087862957216</v>
      </c>
      <c r="T418" s="119">
        <f>IF(tech_base!$T74&gt;T$345,"",T698+T978+T1258)</f>
        <v>79.016077849218277</v>
      </c>
      <c r="U418" s="119">
        <f>IF(tech_base!$T74&gt;U$345,"",U698+U978+U1258)</f>
        <v>79.158480880270815</v>
      </c>
      <c r="V418" s="119">
        <f>IF(tech_base!$T74&gt;V$345,"",V698+V978+V1258)</f>
        <v>79.300611994247518</v>
      </c>
      <c r="W418" s="119">
        <f>IF(tech_base!$T74&gt;W$345,"",W698+W978+W1258)</f>
        <v>79.442444654196393</v>
      </c>
      <c r="X418" s="119">
        <f>IF(tech_base!$T74&gt;X$345,"",X698+X978+X1258)</f>
        <v>79.583952973786609</v>
      </c>
      <c r="Y418" s="119">
        <f>IF(tech_base!$T74&gt;Y$345,"",Y698+Y978+Y1258)</f>
        <v>79.725111756539548</v>
      </c>
      <c r="Z418" s="119">
        <f>IF(tech_base!$T74&gt;Z$345,"",Z698+Z978+Z1258)</f>
        <v>79.867586292598418</v>
      </c>
      <c r="AA418" s="119">
        <f>IF(tech_base!$T74&gt;AA$345,"",AA698+AA978+AA1258)</f>
        <v>80.009662774725101</v>
      </c>
      <c r="AB418" s="119">
        <f>IF(tech_base!$T74&gt;AB$345,"",AB698+AB978+AB1258)</f>
        <v>80.151318287664253</v>
      </c>
      <c r="AC418" s="119">
        <f>IF(tech_base!$T74&gt;AC$345,"",AC698+AC978+AC1258)</f>
        <v>80.292530734934388</v>
      </c>
      <c r="AD418" s="119">
        <f>IF(tech_base!$T74&gt;AD$345,"",AD698+AD978+AD1258)</f>
        <v>80.433278863662167</v>
      </c>
      <c r="AE418" s="119">
        <f>IF(tech_base!$T74&gt;AE$345,"",AE698+AE978+AE1258)</f>
        <v>80.575264998181723</v>
      </c>
      <c r="AF418" s="119">
        <f>IF(tech_base!$T74&gt;AF$345,"",AF698+AF978+AF1258)</f>
        <v>80.716746595783604</v>
      </c>
      <c r="AG418" s="119">
        <f>IF(tech_base!$T74&gt;AG$345,"",AG698+AG978+AG1258)</f>
        <v>80.85770505891071</v>
      </c>
      <c r="AH418" s="119">
        <f>IF(tech_base!$T74&gt;AH$345,"",AH698+AH978+AH1258)</f>
        <v>80.998122703545874</v>
      </c>
      <c r="AI418" s="119">
        <f>IF(tech_base!$T74&gt;AI$345,"",AI698+AI978+AI1258)</f>
        <v>81.137982769364072</v>
      </c>
      <c r="AJ418" s="119">
        <f>IF(tech_base!$T74&gt;AJ$345,"",AJ698+AJ978+AJ1258)</f>
        <v>81.279025774903488</v>
      </c>
      <c r="AK418" s="119">
        <f>IF(tech_base!$T74&gt;AK$345,"",AK698+AK978+AK1258)</f>
        <v>81.419480162750858</v>
      </c>
      <c r="AL418" s="119">
        <f>IF(tech_base!$T74&gt;AL$345,"",AL698+AL978+AL1258)</f>
        <v>81.559331982824929</v>
      </c>
      <c r="AM418" s="119">
        <f>IF(tech_base!$T74&gt;AM$345,"",AM698+AM978+AM1258)</f>
        <v>81.698568222197878</v>
      </c>
      <c r="AN418" s="119">
        <f>IF(tech_base!$T74&gt;AN$345,"",AN698+AN978+AN1258)</f>
        <v>81.837176802020593</v>
      </c>
      <c r="AO418" s="119">
        <f>IF(tech_base!$T74&gt;AO$345,"",AO698+AO978+AO1258)</f>
        <v>81.976937261744709</v>
      </c>
      <c r="AP418" s="119">
        <f>IF(tech_base!$T74&gt;AP$345,"",AP698+AP978+AP1258)</f>
        <v>82.116048381104562</v>
      </c>
      <c r="AQ418" s="119">
        <f>IF(tech_base!$T74&gt;AQ$345,"",AQ698+AQ978+AQ1258)</f>
        <v>82.254500848607094</v>
      </c>
      <c r="AR418" s="119">
        <f>IF(tech_base!$T74&gt;AR$345,"",AR698+AR978+AR1258)</f>
        <v>82.392286252270551</v>
      </c>
      <c r="AS418" s="119">
        <f>IF(tech_base!$T74&gt;AS$345,"",AS698+AS978+AS1258)</f>
        <v>82.529397065964872</v>
      </c>
      <c r="AT418" s="119">
        <f>IF(tech_base!$T74&gt;AT$345,"",AT698+AT978+AT1258)</f>
        <v>82.667652391220784</v>
      </c>
      <c r="AU418" s="119">
        <f>IF(tech_base!$T74&gt;AU$345,"",AU698+AU978+AU1258)</f>
        <v>82.805220383704039</v>
      </c>
      <c r="AV418" s="119">
        <f>IF(tech_base!$T74&gt;AV$345,"",AV698+AV978+AV1258)</f>
        <v>82.942096083058374</v>
      </c>
      <c r="AW418" s="119">
        <f>IF(tech_base!$T74&gt;AW$345,"",AW698+AW978+AW1258)</f>
        <v>83.078275344119078</v>
      </c>
      <c r="AX418" s="120">
        <f>IF(tech_base!$T74&gt;AX$345,"",AX698+AX978+AX1258)</f>
        <v>83.213754815871582</v>
      </c>
    </row>
    <row r="419" spans="1:50" x14ac:dyDescent="0.25">
      <c r="A419" s="356"/>
      <c r="B419" s="376"/>
      <c r="C419" s="378"/>
      <c r="D419" s="2" t="s">
        <v>10</v>
      </c>
      <c r="E419" s="76" t="str">
        <f>A391&amp;"/"&amp;B417&amp;"/"&amp;C417&amp;"/"&amp;D419</f>
        <v>Lignite fired power plants/Steam turbine/Electricity only/S</v>
      </c>
      <c r="F419" s="76" t="str">
        <f>A391</f>
        <v>Lignite fired power plants</v>
      </c>
      <c r="G419" s="76" t="str">
        <f>B417</f>
        <v>Steam turbine</v>
      </c>
      <c r="H419" s="76" t="str">
        <f>C417</f>
        <v>Electricity only</v>
      </c>
      <c r="I419" s="76" t="str">
        <f t="shared" si="358"/>
        <v>S</v>
      </c>
      <c r="J419" s="119">
        <f>IF(tech_base!$T75&gt;J$345,"",J699+J979+J1259)</f>
        <v>85.377377131889887</v>
      </c>
      <c r="K419" s="119">
        <f>IF(tech_base!$T75&gt;K$345,"",K699+K979+K1259)</f>
        <v>85.447942324893262</v>
      </c>
      <c r="L419" s="119">
        <f>IF(tech_base!$T75&gt;L$345,"",L699+L979+L1259)</f>
        <v>85.518538402261015</v>
      </c>
      <c r="M419" s="119">
        <f>IF(tech_base!$T75&gt;M$345,"",M699+M979+M1259)</f>
        <v>85.589137216157127</v>
      </c>
      <c r="N419" s="119">
        <f>IF(tech_base!$T75&gt;N$345,"",N699+N979+N1259)</f>
        <v>85.659710730805074</v>
      </c>
      <c r="O419" s="119">
        <f>IF(tech_base!$T75&gt;O$345,"",O699+O979+O1259)</f>
        <v>85.730231077341173</v>
      </c>
      <c r="P419" s="119">
        <f>IF(tech_base!$T75&gt;P$345,"",P699+P979+P1259)</f>
        <v>85.872168577586862</v>
      </c>
      <c r="Q419" s="119">
        <f>IF(tech_base!$T75&gt;Q$345,"",Q699+Q979+Q1259)</f>
        <v>86.013985301002663</v>
      </c>
      <c r="R419" s="119">
        <f>IF(tech_base!$T75&gt;R$345,"",R699+R979+R1259)</f>
        <v>86.155654262312396</v>
      </c>
      <c r="S419" s="119">
        <f>IF(tech_base!$T75&gt;S$345,"",S699+S979+S1259)</f>
        <v>86.297148862555119</v>
      </c>
      <c r="T419" s="119">
        <f>IF(tech_base!$T75&gt;T$345,"",T699+T979+T1259)</f>
        <v>86.438442936619523</v>
      </c>
      <c r="U419" s="119">
        <f>IF(tech_base!$T75&gt;U$345,"",U699+U979+U1259)</f>
        <v>86.581259497118879</v>
      </c>
      <c r="V419" s="119">
        <f>IF(tech_base!$T75&gt;V$345,"",V699+V979+V1259)</f>
        <v>86.723824381683599</v>
      </c>
      <c r="W419" s="119">
        <f>IF(tech_base!$T75&gt;W$345,"",W699+W979+W1259)</f>
        <v>86.866112994185158</v>
      </c>
      <c r="X419" s="119">
        <f>IF(tech_base!$T75&gt;X$345,"",X699+X979+X1259)</f>
        <v>87.008101341646125</v>
      </c>
      <c r="Y419" s="119">
        <f>IF(tech_base!$T75&gt;Y$345,"",Y699+Y979+Y1259)</f>
        <v>87.149766070590715</v>
      </c>
      <c r="Z419" s="119">
        <f>IF(tech_base!$T75&gt;Z$345,"",Z699+Z979+Z1259)</f>
        <v>87.29286741466079</v>
      </c>
      <c r="AA419" s="119">
        <f>IF(tech_base!$T75&gt;AA$345,"",AA699+AA979+AA1259)</f>
        <v>87.435600187370056</v>
      </c>
      <c r="AB419" s="119">
        <f>IF(tech_base!$T75&gt;AB$345,"",AB699+AB979+AB1259)</f>
        <v>87.577943149588179</v>
      </c>
      <c r="AC419" s="119">
        <f>IF(tech_base!$T75&gt;AC$345,"",AC699+AC979+AC1259)</f>
        <v>87.719875821117483</v>
      </c>
      <c r="AD419" s="119">
        <f>IF(tech_base!$T75&gt;AD$345,"",AD699+AD979+AD1259)</f>
        <v>87.861378503697082</v>
      </c>
      <c r="AE419" s="119">
        <f>IF(tech_base!$T75&gt;AE$345,"",AE699+AE979+AE1259)</f>
        <v>88.004250129067316</v>
      </c>
      <c r="AF419" s="119">
        <f>IF(tech_base!$T75&gt;AF$345,"",AF699+AF979+AF1259)</f>
        <v>88.146654503598654</v>
      </c>
      <c r="AG419" s="119">
        <f>IF(tech_base!$T75&gt;AG$345,"",AG699+AG979+AG1259)</f>
        <v>88.288574389838686</v>
      </c>
      <c r="AH419" s="119">
        <f>IF(tech_base!$T75&gt;AH$345,"",AH699+AH979+AH1259)</f>
        <v>88.429993397025697</v>
      </c>
      <c r="AI419" s="119">
        <f>IF(tech_base!$T75&gt;AI$345,"",AI699+AI979+AI1259)</f>
        <v>88.570895990485184</v>
      </c>
      <c r="AJ419" s="119">
        <f>IF(tech_base!$T75&gt;AJ$345,"",AJ699+AJ979+AJ1259)</f>
        <v>88.71312096049077</v>
      </c>
      <c r="AK419" s="119">
        <f>IF(tech_base!$T75&gt;AK$345,"",AK699+AK979+AK1259)</f>
        <v>88.8548007612508</v>
      </c>
      <c r="AL419" s="119">
        <f>IF(tech_base!$T75&gt;AL$345,"",AL699+AL979+AL1259)</f>
        <v>88.99592246225258</v>
      </c>
      <c r="AM419" s="119">
        <f>IF(tech_base!$T75&gt;AM$345,"",AM699+AM979+AM1259)</f>
        <v>89.136474001494719</v>
      </c>
      <c r="AN419" s="119">
        <f>IF(tech_base!$T75&gt;AN$345,"",AN699+AN979+AN1259)</f>
        <v>89.276444182627188</v>
      </c>
      <c r="AO419" s="119">
        <f>IF(tech_base!$T75&gt;AO$345,"",AO699+AO979+AO1259)</f>
        <v>89.417712507496333</v>
      </c>
      <c r="AP419" s="119">
        <f>IF(tech_base!$T75&gt;AP$345,"",AP699+AP979+AP1259)</f>
        <v>89.558379389838151</v>
      </c>
      <c r="AQ419" s="119">
        <f>IF(tech_base!$T75&gt;AQ$345,"",AQ699+AQ979+AQ1259)</f>
        <v>89.698436197534292</v>
      </c>
      <c r="AR419" s="119">
        <f>IF(tech_base!$T75&gt;AR$345,"",AR699+AR979+AR1259)</f>
        <v>89.837875132044189</v>
      </c>
      <c r="AS419" s="119">
        <f>IF(tech_base!$T75&gt;AS$345,"",AS699+AS979+AS1259)</f>
        <v>89.976689215738901</v>
      </c>
      <c r="AT419" s="119">
        <f>IF(tech_base!$T75&gt;AT$345,"",AT699+AT979+AT1259)</f>
        <v>90.116799252108748</v>
      </c>
      <c r="AU419" s="119">
        <f>IF(tech_base!$T75&gt;AU$345,"",AU699+AU979+AU1259)</f>
        <v>90.256272634514957</v>
      </c>
      <c r="AV419" s="119">
        <f>IF(tech_base!$T75&gt;AV$345,"",AV699+AV979+AV1259)</f>
        <v>90.395104762625678</v>
      </c>
      <c r="AW419" s="119">
        <f>IF(tech_base!$T75&gt;AW$345,"",AW699+AW979+AW1259)</f>
        <v>90.533291791515637</v>
      </c>
      <c r="AX419" s="120">
        <f>IF(tech_base!$T75&gt;AX$345,"",AX699+AX979+AX1259)</f>
        <v>90.670830612162433</v>
      </c>
    </row>
    <row r="420" spans="1:50" x14ac:dyDescent="0.25">
      <c r="A420" s="356"/>
      <c r="B420" s="376"/>
      <c r="C420" s="379"/>
      <c r="D420" s="2" t="s">
        <v>20</v>
      </c>
      <c r="E420" s="76" t="str">
        <f>A391&amp;"/"&amp;B417&amp;"/"&amp;C417&amp;"/"&amp;D420</f>
        <v>Lignite fired power plants/Steam turbine/Electricity only/XS</v>
      </c>
      <c r="F420" s="76" t="str">
        <f>A391</f>
        <v>Lignite fired power plants</v>
      </c>
      <c r="G420" s="76" t="str">
        <f>B417</f>
        <v>Steam turbine</v>
      </c>
      <c r="H420" s="76" t="str">
        <f>C417</f>
        <v>Electricity only</v>
      </c>
      <c r="I420" s="76" t="str">
        <f t="shared" si="358"/>
        <v>XS</v>
      </c>
      <c r="J420" s="119">
        <f>IF(tech_base!$T76&gt;J$345,"",J700+J980+J1260)</f>
        <v>99.664891551096645</v>
      </c>
      <c r="K420" s="119">
        <f>IF(tech_base!$T76&gt;K$345,"",K700+K980+K1260)</f>
        <v>99.725572918309126</v>
      </c>
      <c r="L420" s="119">
        <f>IF(tech_base!$T76&gt;L$345,"",L700+L980+L1260)</f>
        <v>99.786081835917756</v>
      </c>
      <c r="M420" s="119">
        <f>IF(tech_base!$T76&gt;M$345,"",M700+M980+M1260)</f>
        <v>99.846398181962996</v>
      </c>
      <c r="N420" s="119">
        <f>IF(tech_base!$T76&gt;N$345,"",N700+N980+N1260)</f>
        <v>99.906502255018324</v>
      </c>
      <c r="O420" s="119">
        <f>IF(tech_base!$T76&gt;O$345,"",O700+O980+O1260)</f>
        <v>99.966374805672856</v>
      </c>
      <c r="P420" s="119">
        <f>IF(tech_base!$T76&gt;P$345,"",P700+P980+P1260)</f>
        <v>100.10144859475926</v>
      </c>
      <c r="Q420" s="119">
        <f>IF(tech_base!$T76&gt;Q$345,"",Q700+Q980+Q1260)</f>
        <v>100.23624524447882</v>
      </c>
      <c r="R420" s="119">
        <f>IF(tech_base!$T76&gt;R$345,"",R700+R980+R1260)</f>
        <v>100.37074712619746</v>
      </c>
      <c r="S420" s="119">
        <f>IF(tech_base!$T76&gt;S$345,"",S700+S980+S1260)</f>
        <v>100.50493717696263</v>
      </c>
      <c r="T420" s="119">
        <f>IF(tech_base!$T76&gt;T$345,"",T700+T980+T1260)</f>
        <v>100.6387989208917</v>
      </c>
      <c r="U420" s="119">
        <f>IF(tech_base!$T76&gt;U$345,"",U700+U980+U1260)</f>
        <v>100.77416217166289</v>
      </c>
      <c r="V420" s="119">
        <f>IF(tech_base!$T76&gt;V$345,"",V700+V980+V1260)</f>
        <v>100.90916579834234</v>
      </c>
      <c r="W420" s="119">
        <f>IF(tech_base!$T76&gt;W$345,"",W700+W980+W1260)</f>
        <v>101.04379519634827</v>
      </c>
      <c r="X420" s="119">
        <f>IF(tech_base!$T76&gt;X$345,"",X700+X980+X1260)</f>
        <v>101.17803641269427</v>
      </c>
      <c r="Y420" s="119">
        <f>IF(tech_base!$T76&gt;Y$345,"",Y700+Y980+Y1260)</f>
        <v>101.3118761567862</v>
      </c>
      <c r="Z420" s="119">
        <f>IF(tech_base!$T76&gt;Z$345,"",Z700+Z980+Z1260)</f>
        <v>101.44718390175409</v>
      </c>
      <c r="AA420" s="119">
        <f>IF(tech_base!$T76&gt;AA$345,"",AA700+AA980+AA1260)</f>
        <v>101.58206541795228</v>
      </c>
      <c r="AB420" s="119">
        <f>IF(tech_base!$T76&gt;AB$345,"",AB700+AB980+AB1260)</f>
        <v>101.71650944950426</v>
      </c>
      <c r="AC420" s="119">
        <f>IF(tech_base!$T76&gt;AC$345,"",AC700+AC980+AC1260)</f>
        <v>101.85050542579101</v>
      </c>
      <c r="AD420" s="119">
        <f>IF(tech_base!$T76&gt;AD$345,"",AD700+AD980+AD1260)</f>
        <v>101.98404346226535</v>
      </c>
      <c r="AE420" s="119">
        <f>IF(tech_base!$T76&gt;AE$345,"",AE700+AE980+AE1260)</f>
        <v>102.11903360761752</v>
      </c>
      <c r="AF420" s="119">
        <f>IF(tech_base!$T76&gt;AF$345,"",AF700+AF980+AF1260)</f>
        <v>102.25354790925419</v>
      </c>
      <c r="AG420" s="119">
        <f>IF(tech_base!$T76&gt;AG$345,"",AG700+AG980+AG1260)</f>
        <v>102.3875785316237</v>
      </c>
      <c r="AH420" s="119">
        <f>IF(tech_base!$T76&gt;AH$345,"",AH700+AH980+AH1260)</f>
        <v>102.52111831105729</v>
      </c>
      <c r="AI420" s="119">
        <f>IF(tech_base!$T76&gt;AI$345,"",AI700+AI980+AI1260)</f>
        <v>102.65416074821499</v>
      </c>
      <c r="AJ420" s="119">
        <f>IF(tech_base!$T76&gt;AJ$345,"",AJ700+AJ980+AJ1260)</f>
        <v>102.78865716787205</v>
      </c>
      <c r="AK420" s="119">
        <f>IF(tech_base!$T76&gt;AK$345,"",AK700+AK980+AK1260)</f>
        <v>102.92264502455011</v>
      </c>
      <c r="AL420" s="119">
        <f>IF(tech_base!$T76&gt;AL$345,"",AL700+AL980+AL1260)</f>
        <v>103.05611975689442</v>
      </c>
      <c r="AM420" s="119">
        <f>IF(tech_base!$T76&gt;AM$345,"",AM700+AM980+AM1260)</f>
        <v>103.18907742441546</v>
      </c>
      <c r="AN420" s="119">
        <f>IF(tech_base!$T76&gt;AN$345,"",AN700+AN980+AN1260)</f>
        <v>103.32151469375221</v>
      </c>
      <c r="AO420" s="119">
        <f>IF(tech_base!$T76&gt;AO$345,"",AO700+AO980+AO1260)</f>
        <v>103.45542469668899</v>
      </c>
      <c r="AP420" s="119">
        <f>IF(tech_base!$T76&gt;AP$345,"",AP700+AP980+AP1260)</f>
        <v>103.58880922913205</v>
      </c>
      <c r="AQ420" s="119">
        <f>IF(tech_base!$T76&gt;AQ$345,"",AQ700+AQ980+AQ1260)</f>
        <v>103.72166669186558</v>
      </c>
      <c r="AR420" s="119">
        <f>IF(tech_base!$T76&gt;AR$345,"",AR700+AR980+AR1260)</f>
        <v>103.85399602926728</v>
      </c>
      <c r="AS420" s="119">
        <f>IF(tech_base!$T76&gt;AS$345,"",AS700+AS980+AS1260)</f>
        <v>103.98579671172644</v>
      </c>
      <c r="AT420" s="119">
        <f>IF(tech_base!$T76&gt;AT$345,"",AT700+AT980+AT1260)</f>
        <v>104.11910409537526</v>
      </c>
      <c r="AU420" s="119">
        <f>IF(tech_base!$T76&gt;AU$345,"",AU700+AU980+AU1260)</f>
        <v>104.25188311386015</v>
      </c>
      <c r="AV420" s="119">
        <f>IF(tech_base!$T76&gt;AV$345,"",AV700+AV980+AV1260)</f>
        <v>104.38413470984553</v>
      </c>
      <c r="AW420" s="119">
        <f>IF(tech_base!$T76&gt;AW$345,"",AW700+AW980+AW1260)</f>
        <v>104.51586027749619</v>
      </c>
      <c r="AX420" s="120">
        <f>IF(tech_base!$T76&gt;AX$345,"",AX700+AX980+AX1260)</f>
        <v>104.64706164320438</v>
      </c>
    </row>
    <row r="421" spans="1:50" x14ac:dyDescent="0.25">
      <c r="A421" s="356"/>
      <c r="B421" s="376"/>
      <c r="C421" s="361" t="s">
        <v>14</v>
      </c>
      <c r="D421" s="58" t="s">
        <v>7</v>
      </c>
      <c r="E421" s="78" t="str">
        <f>A391&amp;"/"&amp;B417&amp;"/"&amp;C421&amp;"/"&amp;D421</f>
        <v>Lignite fired power plants/Steam turbine/CHP/L</v>
      </c>
      <c r="F421" s="78" t="str">
        <f>A391</f>
        <v>Lignite fired power plants</v>
      </c>
      <c r="G421" s="78" t="str">
        <f>B417</f>
        <v>Steam turbine</v>
      </c>
      <c r="H421" s="78" t="str">
        <f>C421</f>
        <v>CHP</v>
      </c>
      <c r="I421" s="78" t="str">
        <f t="shared" si="358"/>
        <v>L</v>
      </c>
      <c r="J421" s="123">
        <f>IF(tech_base!$T77&gt;J$345,"",J701+J981+J1261)</f>
        <v>87.343409704594706</v>
      </c>
      <c r="K421" s="123">
        <f>IF(tech_base!$T77&gt;K$345,"",K701+K981+K1261)</f>
        <v>87.415411378764134</v>
      </c>
      <c r="L421" s="123">
        <f>IF(tech_base!$T77&gt;L$345,"",L701+L981+L1261)</f>
        <v>87.487331697783389</v>
      </c>
      <c r="M421" s="123">
        <f>IF(tech_base!$T77&gt;M$345,"",M701+M981+M1261)</f>
        <v>87.559157986040574</v>
      </c>
      <c r="N421" s="123">
        <f>IF(tech_base!$T77&gt;N$345,"",N701+N981+N1261)</f>
        <v>87.630877693552108</v>
      </c>
      <c r="O421" s="123">
        <f>IF(tech_base!$T77&gt;O$345,"",O701+O981+O1261)</f>
        <v>87.702478406043809</v>
      </c>
      <c r="P421" s="123">
        <f>IF(tech_base!$T77&gt;P$345,"",P701+P981+P1261)</f>
        <v>87.845268425163141</v>
      </c>
      <c r="Q421" s="123">
        <f>IF(tech_base!$T77&gt;Q$345,"",Q701+Q981+Q1261)</f>
        <v>87.987902680968347</v>
      </c>
      <c r="R421" s="123">
        <f>IF(tech_base!$T77&gt;R$345,"",R701+R981+R1261)</f>
        <v>88.130369293267066</v>
      </c>
      <c r="S421" s="123">
        <f>IF(tech_base!$T77&gt;S$345,"",S701+S981+S1261)</f>
        <v>88.272656559882222</v>
      </c>
      <c r="T421" s="123">
        <f>IF(tech_base!$T77&gt;T$345,"",T701+T981+T1261)</f>
        <v>88.414752965030388</v>
      </c>
      <c r="U421" s="123">
        <f>IF(tech_base!$T77&gt;U$345,"",U701+U981+U1261)</f>
        <v>88.558391557111293</v>
      </c>
      <c r="V421" s="123">
        <f>IF(tech_base!$T77&gt;V$345,"",V701+V981+V1261)</f>
        <v>88.701816550272284</v>
      </c>
      <c r="W421" s="123">
        <f>IF(tech_base!$T77&gt;W$345,"",W701+W981+W1261)</f>
        <v>88.845017036733879</v>
      </c>
      <c r="X421" s="123">
        <f>IF(tech_base!$T77&gt;X$345,"",X701+X981+X1261)</f>
        <v>88.987982325107168</v>
      </c>
      <c r="Y421" s="123">
        <f>IF(tech_base!$T77&gt;Y$345,"",Y701+Y981+Y1261)</f>
        <v>89.130701946920169</v>
      </c>
      <c r="Z421" s="123">
        <f>IF(tech_base!$T77&gt;Z$345,"",Z701+Z981+Z1261)</f>
        <v>89.274944170633376</v>
      </c>
      <c r="AA421" s="123">
        <f>IF(tech_base!$T77&gt;AA$345,"",AA701+AA981+AA1261)</f>
        <v>89.418920188842847</v>
      </c>
      <c r="AB421" s="123">
        <f>IF(tech_base!$T77&gt;AB$345,"",AB701+AB981+AB1261)</f>
        <v>89.562620239671375</v>
      </c>
      <c r="AC421" s="123">
        <f>IF(tech_base!$T77&gt;AC$345,"",AC701+AC981+AC1261)</f>
        <v>89.706034806452465</v>
      </c>
      <c r="AD421" s="123">
        <f>IF(tech_base!$T77&gt;AD$345,"",AD701+AD981+AD1261)</f>
        <v>89.849154622287799</v>
      </c>
      <c r="AE421" s="123">
        <f>IF(tech_base!$T77&gt;AE$345,"",AE701+AE981+AE1261)</f>
        <v>89.993784009238183</v>
      </c>
      <c r="AF421" s="123">
        <f>IF(tech_base!$T77&gt;AF$345,"",AF701+AF981+AF1261)</f>
        <v>90.138100585449848</v>
      </c>
      <c r="AG421" s="123">
        <f>IF(tech_base!$T77&gt;AG$345,"",AG701+AG981+AG1261)</f>
        <v>90.282095859703361</v>
      </c>
      <c r="AH421" s="123">
        <f>IF(tech_base!$T77&gt;AH$345,"",AH701+AH981+AH1261)</f>
        <v>90.425761604917099</v>
      </c>
      <c r="AI421" s="123">
        <f>IF(tech_base!$T77&gt;AI$345,"",AI701+AI981+AI1261)</f>
        <v>90.569089860740831</v>
      </c>
      <c r="AJ421" s="123">
        <f>IF(tech_base!$T77&gt;AJ$345,"",AJ701+AJ981+AJ1261)</f>
        <v>90.713921804389358</v>
      </c>
      <c r="AK421" s="123">
        <f>IF(tech_base!$T77&gt;AK$345,"",AK701+AK981+AK1261)</f>
        <v>90.858400859780687</v>
      </c>
      <c r="AL421" s="123">
        <f>IF(tech_base!$T77&gt;AL$345,"",AL701+AL981+AL1261)</f>
        <v>91.00251988186784</v>
      </c>
      <c r="AM421" s="123">
        <f>IF(tech_base!$T77&gt;AM$345,"",AM701+AM981+AM1261)</f>
        <v>91.146271999017031</v>
      </c>
      <c r="AN421" s="123">
        <f>IF(tech_base!$T77&gt;AN$345,"",AN701+AN981+AN1261)</f>
        <v>91.289650613747355</v>
      </c>
      <c r="AO421" s="123">
        <f>IF(tech_base!$T77&gt;AO$345,"",AO701+AO981+AO1261)</f>
        <v>91.43453452921564</v>
      </c>
      <c r="AP421" s="123">
        <f>IF(tech_base!$T77&gt;AP$345,"",AP701+AP981+AP1261)</f>
        <v>91.579032290101836</v>
      </c>
      <c r="AQ421" s="123">
        <f>IF(tech_base!$T77&gt;AQ$345,"",AQ701+AQ981+AQ1261)</f>
        <v>91.723138126020444</v>
      </c>
      <c r="AR421" s="123">
        <f>IF(tech_base!$T77&gt;AR$345,"",AR701+AR981+AR1261)</f>
        <v>91.866846540348988</v>
      </c>
      <c r="AS421" s="123">
        <f>IF(tech_base!$T77&gt;AS$345,"",AS701+AS981+AS1261)</f>
        <v>92.010152309307728</v>
      </c>
      <c r="AT421" s="123">
        <f>IF(tech_base!$T77&gt;AT$345,"",AT701+AT981+AT1261)</f>
        <v>92.154972605622959</v>
      </c>
      <c r="AU421" s="123">
        <f>IF(tech_base!$T77&gt;AU$345,"",AU701+AU981+AU1261)</f>
        <v>92.299380348501202</v>
      </c>
      <c r="AV421" s="123">
        <f>IF(tech_base!$T77&gt;AV$345,"",AV701+AV981+AV1261)</f>
        <v>92.443371128094782</v>
      </c>
      <c r="AW421" s="123">
        <f>IF(tech_base!$T77&gt;AW$345,"",AW701+AW981+AW1261)</f>
        <v>92.586940800836743</v>
      </c>
      <c r="AX421" s="124">
        <f>IF(tech_base!$T77&gt;AX$345,"",AX701+AX981+AX1261)</f>
        <v>92.730085487111481</v>
      </c>
    </row>
    <row r="422" spans="1:50" x14ac:dyDescent="0.25">
      <c r="A422" s="356"/>
      <c r="B422" s="376"/>
      <c r="C422" s="378"/>
      <c r="D422" s="2" t="s">
        <v>8</v>
      </c>
      <c r="E422" s="76" t="str">
        <f>A391&amp;"/"&amp;B417&amp;"/"&amp;C421&amp;"/"&amp;D422</f>
        <v>Lignite fired power plants/Steam turbine/CHP/M</v>
      </c>
      <c r="F422" s="76" t="str">
        <f>A391</f>
        <v>Lignite fired power plants</v>
      </c>
      <c r="G422" s="76" t="str">
        <f>B417</f>
        <v>Steam turbine</v>
      </c>
      <c r="H422" s="76" t="str">
        <f>C421</f>
        <v>CHP</v>
      </c>
      <c r="I422" s="76" t="str">
        <f t="shared" si="358"/>
        <v>M</v>
      </c>
      <c r="J422" s="119">
        <f>IF(tech_base!$T78&gt;J$345,"",J702+J982+J1262)</f>
        <v>93.110055747573796</v>
      </c>
      <c r="K422" s="119">
        <f>IF(tech_base!$T78&gt;K$345,"",K702+K982+K1262)</f>
        <v>93.16469747038721</v>
      </c>
      <c r="L422" s="119">
        <f>IF(tech_base!$T78&gt;L$345,"",L702+L982+L1262)</f>
        <v>93.219189839389088</v>
      </c>
      <c r="M422" s="119">
        <f>IF(tech_base!$T78&gt;M$345,"",M702+M982+M1262)</f>
        <v>93.273525556747543</v>
      </c>
      <c r="N422" s="119">
        <f>IF(tech_base!$T78&gt;N$345,"",N702+N982+N1262)</f>
        <v>93.32769747023363</v>
      </c>
      <c r="O422" s="119">
        <f>IF(tech_base!$T78&gt;O$345,"",O702+O982+O1262)</f>
        <v>93.381698577501098</v>
      </c>
      <c r="P422" s="119">
        <f>IF(tech_base!$T78&gt;P$345,"",P702+P982+P1262)</f>
        <v>93.510786451439827</v>
      </c>
      <c r="Q422" s="119">
        <f>IF(tech_base!$T78&gt;Q$345,"",Q702+Q982+Q1262)</f>
        <v>93.639681842376973</v>
      </c>
      <c r="R422" s="119">
        <f>IF(tech_base!$T78&gt;R$345,"",R702+R982+R1262)</f>
        <v>93.768378290863723</v>
      </c>
      <c r="S422" s="119">
        <f>IF(tech_base!$T78&gt;S$345,"",S702+S982+S1262)</f>
        <v>93.896869504549514</v>
      </c>
      <c r="T422" s="119">
        <f>IF(tech_base!$T78&gt;T$345,"",T702+T982+T1262)</f>
        <v>94.025149361078149</v>
      </c>
      <c r="U422" s="119">
        <f>IF(tech_base!$T78&gt;U$345,"",U702+U982+U1262)</f>
        <v>94.155053041161437</v>
      </c>
      <c r="V422" s="119">
        <f>IF(tech_base!$T78&gt;V$345,"",V702+V982+V1262)</f>
        <v>94.28473344655572</v>
      </c>
      <c r="W422" s="119">
        <f>IF(tech_base!$T78&gt;W$345,"",W702+W982+W1262)</f>
        <v>94.414184981604706</v>
      </c>
      <c r="X422" s="119">
        <f>IF(tech_base!$T78&gt;X$345,"",X702+X982+X1262)</f>
        <v>94.543402229689292</v>
      </c>
      <c r="Y422" s="119">
        <f>IF(tech_base!$T78&gt;Y$345,"",Y702+Y982+Y1262)</f>
        <v>94.672379954831385</v>
      </c>
      <c r="Z422" s="119">
        <f>IF(tech_base!$T78&gt;Z$345,"",Z702+Z982+Z1262)</f>
        <v>94.802990570481199</v>
      </c>
      <c r="AA422" s="119">
        <f>IF(tech_base!$T78&gt;AA$345,"",AA702+AA982+AA1262)</f>
        <v>94.933351548255857</v>
      </c>
      <c r="AB422" s="119">
        <f>IF(tech_base!$T78&gt;AB$345,"",AB702+AB982+AB1262)</f>
        <v>95.063458203410036</v>
      </c>
      <c r="AC422" s="119">
        <f>IF(tech_base!$T78&gt;AC$345,"",AC702+AC982+AC1262)</f>
        <v>95.193306035828002</v>
      </c>
      <c r="AD422" s="119">
        <f>IF(tech_base!$T78&gt;AD$345,"",AD702+AD982+AD1262)</f>
        <v>95.322890730409171</v>
      </c>
      <c r="AE422" s="119">
        <f>IF(tech_base!$T78&gt;AE$345,"",AE702+AE982+AE1262)</f>
        <v>95.45412269686274</v>
      </c>
      <c r="AF422" s="119">
        <f>IF(tech_base!$T78&gt;AF$345,"",AF702+AF982+AF1262)</f>
        <v>95.585083264487167</v>
      </c>
      <c r="AG422" s="119">
        <f>IF(tech_base!$T78&gt;AG$345,"",AG702+AG982+AG1262)</f>
        <v>95.715768675656136</v>
      </c>
      <c r="AH422" s="119">
        <f>IF(tech_base!$T78&gt;AH$345,"",AH702+AH982+AH1262)</f>
        <v>95.846175357100492</v>
      </c>
      <c r="AI422" s="119">
        <f>IF(tech_base!$T78&gt;AI$345,"",AI702+AI982+AI1262)</f>
        <v>95.976299919202958</v>
      </c>
      <c r="AJ422" s="119">
        <f>IF(tech_base!$T78&gt;AJ$345,"",AJ702+AJ982+AJ1262)</f>
        <v>96.10809151880288</v>
      </c>
      <c r="AK422" s="119">
        <f>IF(tech_base!$T78&gt;AK$345,"",AK702+AK982+AK1262)</f>
        <v>96.239594585280145</v>
      </c>
      <c r="AL422" s="119">
        <f>IF(tech_base!$T78&gt;AL$345,"",AL702+AL982+AL1262)</f>
        <v>96.370806276340303</v>
      </c>
      <c r="AM422" s="119">
        <f>IF(tech_base!$T78&gt;AM$345,"",AM702+AM982+AM1262)</f>
        <v>96.501723928629147</v>
      </c>
      <c r="AN422" s="119">
        <f>IF(tech_base!$T78&gt;AN$345,"",AN702+AN982+AN1262)</f>
        <v>96.632345056102068</v>
      </c>
      <c r="AO422" s="119">
        <f>IF(tech_base!$T78&gt;AO$345,"",AO702+AO982+AO1262)</f>
        <v>96.76465830462989</v>
      </c>
      <c r="AP422" s="119">
        <f>IF(tech_base!$T78&gt;AP$345,"",AP702+AP982+AP1262)</f>
        <v>96.896670404322919</v>
      </c>
      <c r="AQ422" s="119">
        <f>IF(tech_base!$T78&gt;AQ$345,"",AQ702+AQ982+AQ1262)</f>
        <v>97.02837939238222</v>
      </c>
      <c r="AR422" s="119">
        <f>IF(tech_base!$T78&gt;AR$345,"",AR702+AR982+AR1262)</f>
        <v>97.159783475263822</v>
      </c>
      <c r="AS422" s="119">
        <f>IF(tech_base!$T78&gt;AS$345,"",AS702+AS982+AS1262)</f>
        <v>97.290881026309506</v>
      </c>
      <c r="AT422" s="119">
        <f>IF(tech_base!$T78&gt;AT$345,"",AT702+AT982+AT1262)</f>
        <v>97.423700917806713</v>
      </c>
      <c r="AU422" s="119">
        <f>IF(tech_base!$T78&gt;AU$345,"",AU702+AU982+AU1262)</f>
        <v>97.556211343873954</v>
      </c>
      <c r="AV422" s="119">
        <f>IF(tech_base!$T78&gt;AV$345,"",AV702+AV982+AV1262)</f>
        <v>97.688411165885327</v>
      </c>
      <c r="AW422" s="119">
        <f>IF(tech_base!$T78&gt;AW$345,"",AW702+AW982+AW1262)</f>
        <v>97.820299401467963</v>
      </c>
      <c r="AX422" s="120">
        <f>IF(tech_base!$T78&gt;AX$345,"",AX702+AX982+AX1262)</f>
        <v>97.951875221587031</v>
      </c>
    </row>
    <row r="423" spans="1:50" x14ac:dyDescent="0.25">
      <c r="A423" s="356"/>
      <c r="B423" s="376"/>
      <c r="C423" s="378"/>
      <c r="D423" s="2" t="s">
        <v>10</v>
      </c>
      <c r="E423" s="76" t="str">
        <f>A391&amp;"/"&amp;B417&amp;"/"&amp;C421&amp;"/"&amp;D423</f>
        <v>Lignite fired power plants/Steam turbine/CHP/S</v>
      </c>
      <c r="F423" s="76" t="str">
        <f>A391</f>
        <v>Lignite fired power plants</v>
      </c>
      <c r="G423" s="76" t="str">
        <f>B417</f>
        <v>Steam turbine</v>
      </c>
      <c r="H423" s="76" t="str">
        <f>C421</f>
        <v>CHP</v>
      </c>
      <c r="I423" s="76" t="str">
        <f t="shared" si="358"/>
        <v>S</v>
      </c>
      <c r="J423" s="119">
        <f>IF(tech_base!$T79&gt;J$345,"",J703+J983+J1263)</f>
        <v>114.11287934274307</v>
      </c>
      <c r="K423" s="119">
        <f>IF(tech_base!$T79&gt;K$345,"",K703+K983+K1263)</f>
        <v>114.16367118036482</v>
      </c>
      <c r="L423" s="119">
        <f>IF(tech_base!$T79&gt;L$345,"",L703+L983+L1263)</f>
        <v>114.2142464028628</v>
      </c>
      <c r="M423" s="119">
        <f>IF(tech_base!$T79&gt;M$345,"",M703+M983+M1263)</f>
        <v>114.26460029966371</v>
      </c>
      <c r="N423" s="119">
        <f>IF(tech_base!$T79&gt;N$345,"",N703+N983+N1263)</f>
        <v>114.31472832429696</v>
      </c>
      <c r="O423" s="119">
        <f>IF(tech_base!$T79&gt;O$345,"",O703+O983+O1263)</f>
        <v>114.36462609536879</v>
      </c>
      <c r="P423" s="119">
        <f>IF(tech_base!$T79&gt;P$345,"",P703+P983+P1263)</f>
        <v>114.49372993482299</v>
      </c>
      <c r="Q423" s="119">
        <f>IF(tech_base!$T79&gt;Q$345,"",Q703+Q983+Q1263)</f>
        <v>114.62258951652527</v>
      </c>
      <c r="R423" s="119">
        <f>IF(tech_base!$T79&gt;R$345,"",R703+R983+R1263)</f>
        <v>114.75120102702948</v>
      </c>
      <c r="S423" s="119">
        <f>IF(tech_base!$T79&gt;S$345,"",S703+S983+S1263)</f>
        <v>114.87956082098553</v>
      </c>
      <c r="T423" s="119">
        <f>IF(tech_base!$T79&gt;T$345,"",T703+T983+T1263)</f>
        <v>115.0076654209989</v>
      </c>
      <c r="U423" s="119">
        <f>IF(tech_base!$T79&gt;U$345,"",U703+U983+U1263)</f>
        <v>115.13745497838161</v>
      </c>
      <c r="V423" s="119">
        <f>IF(tech_base!$T79&gt;V$345,"",V703+V983+V1263)</f>
        <v>115.2669827547145</v>
      </c>
      <c r="W423" s="119">
        <f>IF(tech_base!$T79&gt;W$345,"",W703+W983+W1263)</f>
        <v>115.39624577551578</v>
      </c>
      <c r="X423" s="119">
        <f>IF(tech_base!$T79&gt;X$345,"",X703+X983+X1263)</f>
        <v>115.52524123184523</v>
      </c>
      <c r="Y423" s="119">
        <f>IF(tech_base!$T79&gt;Y$345,"",Y703+Y983+Y1263)</f>
        <v>115.65396647925319</v>
      </c>
      <c r="Z423" s="119">
        <f>IF(tech_base!$T79&gt;Z$345,"",Z703+Z983+Z1263)</f>
        <v>115.78440102962563</v>
      </c>
      <c r="AA423" s="119">
        <f>IF(tech_base!$T79&gt;AA$345,"",AA703+AA983+AA1263)</f>
        <v>115.91456043947561</v>
      </c>
      <c r="AB423" s="119">
        <f>IF(tech_base!$T79&gt;AB$345,"",AB703+AB983+AB1263)</f>
        <v>116.04444255181826</v>
      </c>
      <c r="AC423" s="119">
        <f>IF(tech_base!$T79&gt;AC$345,"",AC703+AC983+AC1263)</f>
        <v>116.17404536839933</v>
      </c>
      <c r="AD423" s="119">
        <f>IF(tech_base!$T79&gt;AD$345,"",AD703+AD983+AD1263)</f>
        <v>116.30336704788954</v>
      </c>
      <c r="AE423" s="119">
        <f>IF(tech_base!$T79&gt;AE$345,"",AE703+AE983+AE1263)</f>
        <v>116.4344272089298</v>
      </c>
      <c r="AF423" s="119">
        <f>IF(tech_base!$T79&gt;AF$345,"",AF703+AF983+AF1263)</f>
        <v>116.56520288589422</v>
      </c>
      <c r="AG423" s="119">
        <f>IF(tech_base!$T79&gt;AG$345,"",AG703+AG983+AG1263)</f>
        <v>116.69569269811632</v>
      </c>
      <c r="AH423" s="119">
        <f>IF(tech_base!$T79&gt;AH$345,"",AH703+AH983+AH1263)</f>
        <v>116.82589541340525</v>
      </c>
      <c r="AI423" s="119">
        <f>IF(tech_base!$T79&gt;AI$345,"",AI703+AI983+AI1263)</f>
        <v>116.95580994565466</v>
      </c>
      <c r="AJ423" s="119">
        <f>IF(tech_base!$T79&gt;AJ$345,"",AJ703+AJ983+AJ1263)</f>
        <v>117.08749676579134</v>
      </c>
      <c r="AK423" s="119">
        <f>IF(tech_base!$T79&gt;AK$345,"",AK703+AK983+AK1263)</f>
        <v>117.21889353593113</v>
      </c>
      <c r="AL423" s="119">
        <f>IF(tech_base!$T79&gt;AL$345,"",AL703+AL983+AL1263)</f>
        <v>117.34999959500652</v>
      </c>
      <c r="AM423" s="119">
        <f>IF(tech_base!$T79&gt;AM$345,"",AM703+AM983+AM1263)</f>
        <v>117.48081441757957</v>
      </c>
      <c r="AN423" s="119">
        <f>IF(tech_base!$T79&gt;AN$345,"",AN703+AN983+AN1263)</f>
        <v>117.61133761103591</v>
      </c>
      <c r="AO423" s="119">
        <f>IF(tech_base!$T79&gt;AO$345,"",AO703+AO983+AO1263)</f>
        <v>117.74367124787868</v>
      </c>
      <c r="AP423" s="119">
        <f>IF(tech_base!$T79&gt;AP$345,"",AP703+AP983+AP1263)</f>
        <v>117.87571273890438</v>
      </c>
      <c r="AQ423" s="119">
        <f>IF(tech_base!$T79&gt;AQ$345,"",AQ703+AQ983+AQ1263)</f>
        <v>118.00746207463706</v>
      </c>
      <c r="AR423" s="119">
        <f>IF(tech_base!$T79&gt;AR$345,"",AR703+AR983+AR1263)</f>
        <v>118.13891936662951</v>
      </c>
      <c r="AS423" s="119">
        <f>IF(tech_base!$T79&gt;AS$345,"",AS703+AS983+AS1263)</f>
        <v>118.27008484440297</v>
      </c>
      <c r="AT423" s="119">
        <f>IF(tech_base!$T79&gt;AT$345,"",AT703+AT983+AT1263)</f>
        <v>118.40310293942068</v>
      </c>
      <c r="AU423" s="119">
        <f>IF(tech_base!$T79&gt;AU$345,"",AU703+AU983+AU1263)</f>
        <v>118.53582990712164</v>
      </c>
      <c r="AV423" s="119">
        <f>IF(tech_base!$T79&gt;AV$345,"",AV703+AV983+AV1263)</f>
        <v>118.66826631439652</v>
      </c>
      <c r="AW423" s="119">
        <f>IF(tech_base!$T79&gt;AW$345,"",AW703+AW983+AW1263)</f>
        <v>118.80041283358219</v>
      </c>
      <c r="AX423" s="120">
        <f>IF(tech_base!$T79&gt;AX$345,"",AX703+AX983+AX1263)</f>
        <v>118.93227023929076</v>
      </c>
    </row>
    <row r="424" spans="1:50" x14ac:dyDescent="0.25">
      <c r="A424" s="356"/>
      <c r="B424" s="376"/>
      <c r="C424" s="379"/>
      <c r="D424" s="59" t="s">
        <v>20</v>
      </c>
      <c r="E424" s="79" t="str">
        <f>A391&amp;"/"&amp;B417&amp;"/"&amp;C421&amp;"/"&amp;D424</f>
        <v>Lignite fired power plants/Steam turbine/CHP/XS</v>
      </c>
      <c r="F424" s="79" t="str">
        <f>A391</f>
        <v>Lignite fired power plants</v>
      </c>
      <c r="G424" s="79" t="str">
        <f>B417</f>
        <v>Steam turbine</v>
      </c>
      <c r="H424" s="79" t="str">
        <f>C421</f>
        <v>CHP</v>
      </c>
      <c r="I424" s="79" t="str">
        <f t="shared" si="358"/>
        <v>XS</v>
      </c>
      <c r="J424" s="125">
        <f>IF(tech_base!$T80&gt;J$345,"",J704+J984+J1264)</f>
        <v>117.02984324808685</v>
      </c>
      <c r="K424" s="125">
        <f>IF(tech_base!$T80&gt;K$345,"",K704+K984+K1264)</f>
        <v>117.06923739213477</v>
      </c>
      <c r="L424" s="125">
        <f>IF(tech_base!$T80&gt;L$345,"",L704+L984+L1264)</f>
        <v>117.10843824535841</v>
      </c>
      <c r="M424" s="125">
        <f>IF(tech_base!$T80&gt;M$345,"",M704+M984+M1264)</f>
        <v>117.14744437159197</v>
      </c>
      <c r="N424" s="125">
        <f>IF(tech_base!$T80&gt;N$345,"",N704+N984+N1264)</f>
        <v>117.18625444333402</v>
      </c>
      <c r="O424" s="125">
        <f>IF(tech_base!$T80&gt;O$345,"",O704+O984+O1264)</f>
        <v>117.22486724048882</v>
      </c>
      <c r="P424" s="125">
        <f>IF(tech_base!$T80&gt;P$345,"",P704+P984+P1264)</f>
        <v>117.34715200340003</v>
      </c>
      <c r="Q424" s="125">
        <f>IF(tech_base!$T80&gt;Q$345,"",Q704+Q984+Q1264)</f>
        <v>117.46923369909665</v>
      </c>
      <c r="R424" s="125">
        <f>IF(tech_base!$T80&gt;R$345,"",R704+R984+R1264)</f>
        <v>117.59111147901294</v>
      </c>
      <c r="S424" s="125">
        <f>IF(tech_base!$T80&gt;S$345,"",S704+S984+S1264)</f>
        <v>117.71278459637698</v>
      </c>
      <c r="T424" s="125">
        <f>IF(tech_base!$T80&gt;T$345,"",T704+T984+T1264)</f>
        <v>117.83425240451405</v>
      </c>
      <c r="U424" s="125">
        <f>IF(tech_base!$T80&gt;U$345,"",U704+U984+U1264)</f>
        <v>117.9575663336804</v>
      </c>
      <c r="V424" s="125">
        <f>IF(tech_base!$T80&gt;V$345,"",V704+V984+V1264)</f>
        <v>118.0806738684166</v>
      </c>
      <c r="W424" s="125">
        <f>IF(tech_base!$T80&gt;W$345,"",W704+W984+W1264)</f>
        <v>118.20357465297704</v>
      </c>
      <c r="X424" s="125">
        <f>IF(tech_base!$T80&gt;X$345,"",X704+X984+X1264)</f>
        <v>118.32626842434023</v>
      </c>
      <c r="Y424" s="125">
        <f>IF(tech_base!$T80&gt;Y$345,"",Y704+Y984+Y1264)</f>
        <v>118.4487550102393</v>
      </c>
      <c r="Z424" s="125">
        <f>IF(tech_base!$T80&gt;Z$345,"",Z704+Z984+Z1264)</f>
        <v>118.57312713331021</v>
      </c>
      <c r="AA424" s="125">
        <f>IF(tech_base!$T80&gt;AA$345,"",AA704+AA984+AA1264)</f>
        <v>118.69729190868468</v>
      </c>
      <c r="AB424" s="125">
        <f>IF(tech_base!$T80&gt;AB$345,"",AB704+AB984+AB1264)</f>
        <v>118.82124942561367</v>
      </c>
      <c r="AC424" s="125">
        <f>IF(tech_base!$T80&gt;AC$345,"",AC704+AC984+AC1264)</f>
        <v>118.94499985585622</v>
      </c>
      <c r="AD424" s="125">
        <f>IF(tech_base!$T80&gt;AD$345,"",AD704+AD984+AD1264)</f>
        <v>119.06854345154611</v>
      </c>
      <c r="AE424" s="125">
        <f>IF(tech_base!$T80&gt;AE$345,"",AE704+AE984+AE1264)</f>
        <v>119.19401500146387</v>
      </c>
      <c r="AF424" s="125">
        <f>IF(tech_base!$T80&gt;AF$345,"",AF704+AF984+AF1264)</f>
        <v>119.31928037500928</v>
      </c>
      <c r="AG424" s="125">
        <f>IF(tech_base!$T80&gt;AG$345,"",AG704+AG984+AG1264)</f>
        <v>119.44434005392873</v>
      </c>
      <c r="AH424" s="125">
        <f>IF(tech_base!$T80&gt;AH$345,"",AH704+AH984+AH1264)</f>
        <v>119.56919459163724</v>
      </c>
      <c r="AI424" s="125">
        <f>IF(tech_base!$T80&gt;AI$345,"",AI704+AI984+AI1264)</f>
        <v>119.69384461101853</v>
      </c>
      <c r="AJ424" s="125">
        <f>IF(tech_base!$T80&gt;AJ$345,"",AJ704+AJ984+AJ1264)</f>
        <v>119.82046775442888</v>
      </c>
      <c r="AK424" s="125">
        <f>IF(tech_base!$T80&gt;AK$345,"",AK704+AK984+AK1264)</f>
        <v>119.94688774969916</v>
      </c>
      <c r="AL424" s="125">
        <f>IF(tech_base!$T80&gt;AL$345,"",AL704+AL984+AL1264)</f>
        <v>120.07310541638367</v>
      </c>
      <c r="AM424" s="125">
        <f>IF(tech_base!$T80&gt;AM$345,"",AM704+AM984+AM1264)</f>
        <v>120.19912163469996</v>
      </c>
      <c r="AN424" s="125">
        <f>IF(tech_base!$T80&gt;AN$345,"",AN704+AN984+AN1264)</f>
        <v>120.32493734334507</v>
      </c>
      <c r="AO424" s="125">
        <f>IF(tech_base!$T80&gt;AO$345,"",AO704+AO984+AO1264)</f>
        <v>120.45277384186818</v>
      </c>
      <c r="AP424" s="125">
        <f>IF(tech_base!$T80&gt;AP$345,"",AP704+AP984+AP1264)</f>
        <v>120.5804118031661</v>
      </c>
      <c r="AQ424" s="125">
        <f>IF(tech_base!$T80&gt;AQ$345,"",AQ704+AQ984+AQ1264)</f>
        <v>120.70785232986614</v>
      </c>
      <c r="AR424" s="125">
        <f>IF(tech_base!$T80&gt;AR$345,"",AR704+AR984+AR1264)</f>
        <v>120.83509657446889</v>
      </c>
      <c r="AS424" s="125">
        <f>IF(tech_base!$T80&gt;AS$345,"",AS704+AS984+AS1264)</f>
        <v>120.96214573724639</v>
      </c>
      <c r="AT424" s="125">
        <f>IF(tech_base!$T80&gt;AT$345,"",AT704+AT984+AT1264)</f>
        <v>121.09126559689294</v>
      </c>
      <c r="AU424" s="125">
        <f>IF(tech_base!$T80&gt;AU$345,"",AU704+AU984+AU1264)</f>
        <v>121.22019284206127</v>
      </c>
      <c r="AV424" s="125">
        <f>IF(tech_base!$T80&gt;AV$345,"",AV704+AV984+AV1264)</f>
        <v>121.34892880541335</v>
      </c>
      <c r="AW424" s="125">
        <f>IF(tech_base!$T80&gt;AW$345,"",AW704+AW984+AW1264)</f>
        <v>121.4774748592092</v>
      </c>
      <c r="AX424" s="126">
        <f>IF(tech_base!$T80&gt;AX$345,"",AX704+AX984+AX1264)</f>
        <v>121.60583241333725</v>
      </c>
    </row>
    <row r="425" spans="1:50" x14ac:dyDescent="0.25">
      <c r="A425" s="356"/>
      <c r="B425" s="376"/>
      <c r="C425" s="361" t="s">
        <v>15</v>
      </c>
      <c r="D425" s="58" t="s">
        <v>7</v>
      </c>
      <c r="E425" s="78" t="str">
        <f>A391&amp;"/"&amp;B417&amp;"/"&amp;C425&amp;"/"&amp;D425</f>
        <v>Lignite fired power plants/Steam turbine/Electricity only with CCS/L</v>
      </c>
      <c r="F425" s="78" t="str">
        <f>A391</f>
        <v>Lignite fired power plants</v>
      </c>
      <c r="G425" s="78" t="str">
        <f>B417</f>
        <v>Steam turbine</v>
      </c>
      <c r="H425" s="78" t="str">
        <f>C425</f>
        <v>Electricity only with CCS</v>
      </c>
      <c r="I425" s="78" t="str">
        <f t="shared" si="358"/>
        <v>L</v>
      </c>
      <c r="J425" s="123" t="str">
        <f>IF(tech_base!$T81&gt;J$345,"",J705+J985+J1265)</f>
        <v/>
      </c>
      <c r="K425" s="123" t="str">
        <f>IF(tech_base!$T81&gt;K$345,"",K705+K985+K1265)</f>
        <v/>
      </c>
      <c r="L425" s="123" t="str">
        <f>IF(tech_base!$T81&gt;L$345,"",L705+L985+L1265)</f>
        <v/>
      </c>
      <c r="M425" s="123" t="str">
        <f>IF(tech_base!$T81&gt;M$345,"",M705+M985+M1265)</f>
        <v/>
      </c>
      <c r="N425" s="123" t="str">
        <f>IF(tech_base!$T81&gt;N$345,"",N705+N985+N1265)</f>
        <v/>
      </c>
      <c r="O425" s="123" t="str">
        <f>IF(tech_base!$T81&gt;O$345,"",O705+O985+O1265)</f>
        <v/>
      </c>
      <c r="P425" s="123" t="str">
        <f>IF(tech_base!$T81&gt;P$345,"",P705+P985+P1265)</f>
        <v/>
      </c>
      <c r="Q425" s="123" t="str">
        <f>IF(tech_base!$T81&gt;Q$345,"",Q705+Q985+Q1265)</f>
        <v/>
      </c>
      <c r="R425" s="123" t="str">
        <f>IF(tech_base!$T81&gt;R$345,"",R705+R985+R1265)</f>
        <v/>
      </c>
      <c r="S425" s="123" t="str">
        <f>IF(tech_base!$T81&gt;S$345,"",S705+S985+S1265)</f>
        <v/>
      </c>
      <c r="T425" s="123" t="str">
        <f>IF(tech_base!$T81&gt;T$345,"",T705+T985+T1265)</f>
        <v/>
      </c>
      <c r="U425" s="123" t="str">
        <f>IF(tech_base!$T81&gt;U$345,"",U705+U985+U1265)</f>
        <v/>
      </c>
      <c r="V425" s="123" t="str">
        <f>IF(tech_base!$T81&gt;V$345,"",V705+V985+V1265)</f>
        <v/>
      </c>
      <c r="W425" s="123" t="str">
        <f>IF(tech_base!$T81&gt;W$345,"",W705+W985+W1265)</f>
        <v/>
      </c>
      <c r="X425" s="123" t="str">
        <f>IF(tech_base!$T81&gt;X$345,"",X705+X985+X1265)</f>
        <v/>
      </c>
      <c r="Y425" s="123" t="str">
        <f>IF(tech_base!$T81&gt;Y$345,"",Y705+Y985+Y1265)</f>
        <v/>
      </c>
      <c r="Z425" s="123" t="str">
        <f>IF(tech_base!$T81&gt;Z$345,"",Z705+Z985+Z1265)</f>
        <v/>
      </c>
      <c r="AA425" s="123" t="str">
        <f>IF(tech_base!$T81&gt;AA$345,"",AA705+AA985+AA1265)</f>
        <v/>
      </c>
      <c r="AB425" s="123" t="str">
        <f>IF(tech_base!$T81&gt;AB$345,"",AB705+AB985+AB1265)</f>
        <v/>
      </c>
      <c r="AC425" s="123" t="str">
        <f>IF(tech_base!$T81&gt;AC$345,"",AC705+AC985+AC1265)</f>
        <v/>
      </c>
      <c r="AD425" s="123" t="str">
        <f>IF(tech_base!$T81&gt;AD$345,"",AD705+AD985+AD1265)</f>
        <v/>
      </c>
      <c r="AE425" s="123">
        <f>IF(tech_base!$T81&gt;AE$345,"",AE705+AE985+AE1265)</f>
        <v>205.35739626139309</v>
      </c>
      <c r="AF425" s="123">
        <f>IF(tech_base!$T81&gt;AF$345,"",AF705+AF985+AF1265)</f>
        <v>205.47261372401195</v>
      </c>
      <c r="AG425" s="123">
        <f>IF(tech_base!$T81&gt;AG$345,"",AG705+AG985+AG1265)</f>
        <v>205.58783118663081</v>
      </c>
      <c r="AH425" s="123">
        <f>IF(tech_base!$T81&gt;AH$345,"",AH705+AH985+AH1265)</f>
        <v>205.70304864924969</v>
      </c>
      <c r="AI425" s="123">
        <f>IF(tech_base!$T81&gt;AI$345,"",AI705+AI985+AI1265)</f>
        <v>205.81826611186855</v>
      </c>
      <c r="AJ425" s="123">
        <f>IF(tech_base!$T81&gt;AJ$345,"",AJ705+AJ985+AJ1265)</f>
        <v>205.93578792373978</v>
      </c>
      <c r="AK425" s="123">
        <f>IF(tech_base!$T81&gt;AK$345,"",AK705+AK985+AK1265)</f>
        <v>206.05330973561104</v>
      </c>
      <c r="AL425" s="123">
        <f>IF(tech_base!$T81&gt;AL$345,"",AL705+AL985+AL1265)</f>
        <v>206.17083154748229</v>
      </c>
      <c r="AM425" s="123">
        <f>IF(tech_base!$T81&gt;AM$345,"",AM705+AM985+AM1265)</f>
        <v>206.28835335935355</v>
      </c>
      <c r="AN425" s="123">
        <f>IF(tech_base!$T81&gt;AN$345,"",AN705+AN985+AN1265)</f>
        <v>206.40587517122478</v>
      </c>
      <c r="AO425" s="123">
        <f>IF(tech_base!$T81&gt;AO$345,"",AO705+AO985+AO1265)</f>
        <v>206.52574741933344</v>
      </c>
      <c r="AP425" s="123">
        <f>IF(tech_base!$T81&gt;AP$345,"",AP705+AP985+AP1265)</f>
        <v>206.64561966744213</v>
      </c>
      <c r="AQ425" s="123">
        <f>IF(tech_base!$T81&gt;AQ$345,"",AQ705+AQ985+AQ1265)</f>
        <v>206.7654919155508</v>
      </c>
      <c r="AR425" s="123">
        <f>IF(tech_base!$T81&gt;AR$345,"",AR705+AR985+AR1265)</f>
        <v>206.88536416365946</v>
      </c>
      <c r="AS425" s="123">
        <f>IF(tech_base!$T81&gt;AS$345,"",AS705+AS985+AS1265)</f>
        <v>207.00523641176812</v>
      </c>
      <c r="AT425" s="123">
        <f>IF(tech_base!$T81&gt;AT$345,"",AT705+AT985+AT1265)</f>
        <v>207.12750610483897</v>
      </c>
      <c r="AU425" s="123">
        <f>IF(tech_base!$T81&gt;AU$345,"",AU705+AU985+AU1265)</f>
        <v>207.24977579790982</v>
      </c>
      <c r="AV425" s="123">
        <f>IF(tech_base!$T81&gt;AV$345,"",AV705+AV985+AV1265)</f>
        <v>207.37204549098067</v>
      </c>
      <c r="AW425" s="123">
        <f>IF(tech_base!$T81&gt;AW$345,"",AW705+AW985+AW1265)</f>
        <v>207.49431518405149</v>
      </c>
      <c r="AX425" s="124">
        <f>IF(tech_base!$T81&gt;AX$345,"",AX705+AX985+AX1265)</f>
        <v>207.61658487712234</v>
      </c>
    </row>
    <row r="426" spans="1:50" x14ac:dyDescent="0.25">
      <c r="A426" s="356"/>
      <c r="B426" s="376"/>
      <c r="C426" s="379"/>
      <c r="D426" s="59" t="s">
        <v>8</v>
      </c>
      <c r="E426" s="79" t="str">
        <f>A391&amp;"/"&amp;B417&amp;"/"&amp;C425&amp;"/"&amp;D426</f>
        <v>Lignite fired power plants/Steam turbine/Electricity only with CCS/M</v>
      </c>
      <c r="F426" s="79" t="str">
        <f>A391</f>
        <v>Lignite fired power plants</v>
      </c>
      <c r="G426" s="79" t="str">
        <f>B417</f>
        <v>Steam turbine</v>
      </c>
      <c r="H426" s="79" t="str">
        <f>C425</f>
        <v>Electricity only with CCS</v>
      </c>
      <c r="I426" s="79" t="str">
        <f t="shared" si="358"/>
        <v>M</v>
      </c>
      <c r="J426" s="125" t="str">
        <f>IF(tech_base!$T82&gt;J$345,"",J706+J986+J1266)</f>
        <v/>
      </c>
      <c r="K426" s="125" t="str">
        <f>IF(tech_base!$T82&gt;K$345,"",K706+K986+K1266)</f>
        <v/>
      </c>
      <c r="L426" s="125" t="str">
        <f>IF(tech_base!$T82&gt;L$345,"",L706+L986+L1266)</f>
        <v/>
      </c>
      <c r="M426" s="125" t="str">
        <f>IF(tech_base!$T82&gt;M$345,"",M706+M986+M1266)</f>
        <v/>
      </c>
      <c r="N426" s="125" t="str">
        <f>IF(tech_base!$T82&gt;N$345,"",N706+N986+N1266)</f>
        <v/>
      </c>
      <c r="O426" s="125" t="str">
        <f>IF(tech_base!$T82&gt;O$345,"",O706+O986+O1266)</f>
        <v/>
      </c>
      <c r="P426" s="125" t="str">
        <f>IF(tech_base!$T82&gt;P$345,"",P706+P986+P1266)</f>
        <v/>
      </c>
      <c r="Q426" s="125" t="str">
        <f>IF(tech_base!$T82&gt;Q$345,"",Q706+Q986+Q1266)</f>
        <v/>
      </c>
      <c r="R426" s="125" t="str">
        <f>IF(tech_base!$T82&gt;R$345,"",R706+R986+R1266)</f>
        <v/>
      </c>
      <c r="S426" s="125" t="str">
        <f>IF(tech_base!$T82&gt;S$345,"",S706+S986+S1266)</f>
        <v/>
      </c>
      <c r="T426" s="125" t="str">
        <f>IF(tech_base!$T82&gt;T$345,"",T706+T986+T1266)</f>
        <v/>
      </c>
      <c r="U426" s="125" t="str">
        <f>IF(tech_base!$T82&gt;U$345,"",U706+U986+U1266)</f>
        <v/>
      </c>
      <c r="V426" s="125" t="str">
        <f>IF(tech_base!$T82&gt;V$345,"",V706+V986+V1266)</f>
        <v/>
      </c>
      <c r="W426" s="125" t="str">
        <f>IF(tech_base!$T82&gt;W$345,"",W706+W986+W1266)</f>
        <v/>
      </c>
      <c r="X426" s="125" t="str">
        <f>IF(tech_base!$T82&gt;X$345,"",X706+X986+X1266)</f>
        <v/>
      </c>
      <c r="Y426" s="125" t="str">
        <f>IF(tech_base!$T82&gt;Y$345,"",Y706+Y986+Y1266)</f>
        <v/>
      </c>
      <c r="Z426" s="125" t="str">
        <f>IF(tech_base!$T82&gt;Z$345,"",Z706+Z986+Z1266)</f>
        <v/>
      </c>
      <c r="AA426" s="125" t="str">
        <f>IF(tech_base!$T82&gt;AA$345,"",AA706+AA986+AA1266)</f>
        <v/>
      </c>
      <c r="AB426" s="125" t="str">
        <f>IF(tech_base!$T82&gt;AB$345,"",AB706+AB986+AB1266)</f>
        <v/>
      </c>
      <c r="AC426" s="125" t="str">
        <f>IF(tech_base!$T82&gt;AC$345,"",AC706+AC986+AC1266)</f>
        <v/>
      </c>
      <c r="AD426" s="125" t="str">
        <f>IF(tech_base!$T82&gt;AD$345,"",AD706+AD986+AD1266)</f>
        <v/>
      </c>
      <c r="AE426" s="125">
        <f>IF(tech_base!$T82&gt;AE$345,"",AE706+AE986+AE1266)</f>
        <v>233.81570921157763</v>
      </c>
      <c r="AF426" s="125">
        <f>IF(tech_base!$T82&gt;AF$345,"",AF706+AF986+AF1266)</f>
        <v>233.93933670796429</v>
      </c>
      <c r="AG426" s="125">
        <f>IF(tech_base!$T82&gt;AG$345,"",AG706+AG986+AG1266)</f>
        <v>234.06296420435095</v>
      </c>
      <c r="AH426" s="125">
        <f>IF(tech_base!$T82&gt;AH$345,"",AH706+AH986+AH1266)</f>
        <v>234.18659170073764</v>
      </c>
      <c r="AI426" s="125">
        <f>IF(tech_base!$T82&gt;AI$345,"",AI706+AI986+AI1266)</f>
        <v>234.3102191971243</v>
      </c>
      <c r="AJ426" s="125">
        <f>IF(tech_base!$T82&gt;AJ$345,"",AJ706+AJ986+AJ1266)</f>
        <v>234.43631924343867</v>
      </c>
      <c r="AK426" s="125">
        <f>IF(tech_base!$T82&gt;AK$345,"",AK706+AK986+AK1266)</f>
        <v>234.56241928975308</v>
      </c>
      <c r="AL426" s="125">
        <f>IF(tech_base!$T82&gt;AL$345,"",AL706+AL986+AL1266)</f>
        <v>234.68851933606749</v>
      </c>
      <c r="AM426" s="125">
        <f>IF(tech_base!$T82&gt;AM$345,"",AM706+AM986+AM1266)</f>
        <v>234.81461938238189</v>
      </c>
      <c r="AN426" s="125">
        <f>IF(tech_base!$T82&gt;AN$345,"",AN706+AN986+AN1266)</f>
        <v>234.9407194286963</v>
      </c>
      <c r="AO426" s="125">
        <f>IF(tech_base!$T82&gt;AO$345,"",AO706+AO986+AO1266)</f>
        <v>235.06934147593699</v>
      </c>
      <c r="AP426" s="125">
        <f>IF(tech_base!$T82&gt;AP$345,"",AP706+AP986+AP1266)</f>
        <v>235.19796352317766</v>
      </c>
      <c r="AQ426" s="125">
        <f>IF(tech_base!$T82&gt;AQ$345,"",AQ706+AQ986+AQ1266)</f>
        <v>235.32658557041836</v>
      </c>
      <c r="AR426" s="125">
        <f>IF(tech_base!$T82&gt;AR$345,"",AR706+AR986+AR1266)</f>
        <v>235.45520761765906</v>
      </c>
      <c r="AS426" s="125">
        <f>IF(tech_base!$T82&gt;AS$345,"",AS706+AS986+AS1266)</f>
        <v>235.58382966489972</v>
      </c>
      <c r="AT426" s="125">
        <f>IF(tech_base!$T82&gt;AT$345,"",AT706+AT986+AT1266)</f>
        <v>235.71502415308524</v>
      </c>
      <c r="AU426" s="125">
        <f>IF(tech_base!$T82&gt;AU$345,"",AU706+AU986+AU1266)</f>
        <v>235.84621864127075</v>
      </c>
      <c r="AV426" s="125">
        <f>IF(tech_base!$T82&gt;AV$345,"",AV706+AV986+AV1266)</f>
        <v>235.97741312945624</v>
      </c>
      <c r="AW426" s="125">
        <f>IF(tech_base!$T82&gt;AW$345,"",AW706+AW986+AW1266)</f>
        <v>236.10860761764172</v>
      </c>
      <c r="AX426" s="126">
        <f>IF(tech_base!$T82&gt;AX$345,"",AX706+AX986+AX1266)</f>
        <v>236.23980210582724</v>
      </c>
    </row>
    <row r="427" spans="1:50" x14ac:dyDescent="0.25">
      <c r="A427" s="356"/>
      <c r="B427" s="376"/>
      <c r="C427" s="361" t="s">
        <v>16</v>
      </c>
      <c r="D427" s="2" t="s">
        <v>7</v>
      </c>
      <c r="E427" s="76" t="str">
        <f>A391&amp;"/"&amp;B417&amp;"/"&amp;C427&amp;"/"&amp;D427</f>
        <v>Lignite fired power plants/Steam turbine/CHP with CCS/L</v>
      </c>
      <c r="F427" s="76" t="str">
        <f>A391</f>
        <v>Lignite fired power plants</v>
      </c>
      <c r="G427" s="76" t="str">
        <f>B417</f>
        <v>Steam turbine</v>
      </c>
      <c r="H427" s="76" t="str">
        <f>C427</f>
        <v>CHP with CCS</v>
      </c>
      <c r="I427" s="76" t="str">
        <f t="shared" si="358"/>
        <v>L</v>
      </c>
      <c r="J427" s="119" t="str">
        <f>IF(tech_base!$T83&gt;J$345,"",J707+J987+J1267)</f>
        <v/>
      </c>
      <c r="K427" s="119" t="str">
        <f>IF(tech_base!$T83&gt;K$345,"",K707+K987+K1267)</f>
        <v/>
      </c>
      <c r="L427" s="119" t="str">
        <f>IF(tech_base!$T83&gt;L$345,"",L707+L987+L1267)</f>
        <v/>
      </c>
      <c r="M427" s="119" t="str">
        <f>IF(tech_base!$T83&gt;M$345,"",M707+M987+M1267)</f>
        <v/>
      </c>
      <c r="N427" s="119" t="str">
        <f>IF(tech_base!$T83&gt;N$345,"",N707+N987+N1267)</f>
        <v/>
      </c>
      <c r="O427" s="119" t="str">
        <f>IF(tech_base!$T83&gt;O$345,"",O707+O987+O1267)</f>
        <v/>
      </c>
      <c r="P427" s="119" t="str">
        <f>IF(tech_base!$T83&gt;P$345,"",P707+P987+P1267)</f>
        <v/>
      </c>
      <c r="Q427" s="119" t="str">
        <f>IF(tech_base!$T83&gt;Q$345,"",Q707+Q987+Q1267)</f>
        <v/>
      </c>
      <c r="R427" s="119" t="str">
        <f>IF(tech_base!$T83&gt;R$345,"",R707+R987+R1267)</f>
        <v/>
      </c>
      <c r="S427" s="119" t="str">
        <f>IF(tech_base!$T83&gt;S$345,"",S707+S987+S1267)</f>
        <v/>
      </c>
      <c r="T427" s="119" t="str">
        <f>IF(tech_base!$T83&gt;T$345,"",T707+T987+T1267)</f>
        <v/>
      </c>
      <c r="U427" s="119" t="str">
        <f>IF(tech_base!$T83&gt;U$345,"",U707+U987+U1267)</f>
        <v/>
      </c>
      <c r="V427" s="119" t="str">
        <f>IF(tech_base!$T83&gt;V$345,"",V707+V987+V1267)</f>
        <v/>
      </c>
      <c r="W427" s="119" t="str">
        <f>IF(tech_base!$T83&gt;W$345,"",W707+W987+W1267)</f>
        <v/>
      </c>
      <c r="X427" s="119" t="str">
        <f>IF(tech_base!$T83&gt;X$345,"",X707+X987+X1267)</f>
        <v/>
      </c>
      <c r="Y427" s="119" t="str">
        <f>IF(tech_base!$T83&gt;Y$345,"",Y707+Y987+Y1267)</f>
        <v/>
      </c>
      <c r="Z427" s="119" t="str">
        <f>IF(tech_base!$T83&gt;Z$345,"",Z707+Z987+Z1267)</f>
        <v/>
      </c>
      <c r="AA427" s="119" t="str">
        <f>IF(tech_base!$T83&gt;AA$345,"",AA707+AA987+AA1267)</f>
        <v/>
      </c>
      <c r="AB427" s="119" t="str">
        <f>IF(tech_base!$T83&gt;AB$345,"",AB707+AB987+AB1267)</f>
        <v/>
      </c>
      <c r="AC427" s="119" t="str">
        <f>IF(tech_base!$T83&gt;AC$345,"",AC707+AC987+AC1267)</f>
        <v/>
      </c>
      <c r="AD427" s="119" t="str">
        <f>IF(tech_base!$T83&gt;AD$345,"",AD707+AD987+AD1267)</f>
        <v/>
      </c>
      <c r="AE427" s="119">
        <f>IF(tech_base!$T83&gt;AE$345,"",AE707+AE987+AE1267)</f>
        <v>235.39746405843511</v>
      </c>
      <c r="AF427" s="119">
        <f>IF(tech_base!$T83&gt;AF$345,"",AF707+AF987+AF1267)</f>
        <v>235.52987815726576</v>
      </c>
      <c r="AG427" s="119">
        <f>IF(tech_base!$T83&gt;AG$345,"",AG707+AG987+AG1267)</f>
        <v>235.66229225609638</v>
      </c>
      <c r="AH427" s="119">
        <f>IF(tech_base!$T83&gt;AH$345,"",AH707+AH987+AH1267)</f>
        <v>235.794706354927</v>
      </c>
      <c r="AI427" s="119">
        <f>IF(tech_base!$T83&gt;AI$345,"",AI707+AI987+AI1267)</f>
        <v>235.92712045375765</v>
      </c>
      <c r="AJ427" s="119">
        <f>IF(tech_base!$T83&gt;AJ$345,"",AJ707+AJ987+AJ1267)</f>
        <v>236.06218283456491</v>
      </c>
      <c r="AK427" s="119">
        <f>IF(tech_base!$T83&gt;AK$345,"",AK707+AK987+AK1267)</f>
        <v>236.19724521537216</v>
      </c>
      <c r="AL427" s="119">
        <f>IF(tech_base!$T83&gt;AL$345,"",AL707+AL987+AL1267)</f>
        <v>236.33230759617939</v>
      </c>
      <c r="AM427" s="119">
        <f>IF(tech_base!$T83&gt;AM$345,"",AM707+AM987+AM1267)</f>
        <v>236.46736997698665</v>
      </c>
      <c r="AN427" s="119">
        <f>IF(tech_base!$T83&gt;AN$345,"",AN707+AN987+AN1267)</f>
        <v>236.6024323577939</v>
      </c>
      <c r="AO427" s="119">
        <f>IF(tech_base!$T83&gt;AO$345,"",AO707+AO987+AO1267)</f>
        <v>236.74019598621729</v>
      </c>
      <c r="AP427" s="119">
        <f>IF(tech_base!$T83&gt;AP$345,"",AP707+AP987+AP1267)</f>
        <v>236.8779596146407</v>
      </c>
      <c r="AQ427" s="119">
        <f>IF(tech_base!$T83&gt;AQ$345,"",AQ707+AQ987+AQ1267)</f>
        <v>237.01572324306409</v>
      </c>
      <c r="AR427" s="119">
        <f>IF(tech_base!$T83&gt;AR$345,"",AR707+AR987+AR1267)</f>
        <v>237.1534868714875</v>
      </c>
      <c r="AS427" s="119">
        <f>IF(tech_base!$T83&gt;AS$345,"",AS707+AS987+AS1267)</f>
        <v>237.29125049991089</v>
      </c>
      <c r="AT427" s="119">
        <f>IF(tech_base!$T83&gt;AT$345,"",AT707+AT987+AT1267)</f>
        <v>237.43176940090277</v>
      </c>
      <c r="AU427" s="119">
        <f>IF(tech_base!$T83&gt;AU$345,"",AU707+AU987+AU1267)</f>
        <v>237.57228830189459</v>
      </c>
      <c r="AV427" s="119">
        <f>IF(tech_base!$T83&gt;AV$345,"",AV707+AV987+AV1267)</f>
        <v>237.71280720288647</v>
      </c>
      <c r="AW427" s="119">
        <f>IF(tech_base!$T83&gt;AW$345,"",AW707+AW987+AW1267)</f>
        <v>237.85332610387835</v>
      </c>
      <c r="AX427" s="120">
        <f>IF(tech_base!$T83&gt;AX$345,"",AX707+AX987+AX1267)</f>
        <v>237.9938450048702</v>
      </c>
    </row>
    <row r="428" spans="1:50" x14ac:dyDescent="0.25">
      <c r="A428" s="357"/>
      <c r="B428" s="380"/>
      <c r="C428" s="381"/>
      <c r="D428" s="4" t="s">
        <v>8</v>
      </c>
      <c r="E428" s="80" t="str">
        <f>A391&amp;"/"&amp;B417&amp;"/"&amp;C427&amp;"/"&amp;D428</f>
        <v>Lignite fired power plants/Steam turbine/CHP with CCS/M</v>
      </c>
      <c r="F428" s="80" t="str">
        <f>A391</f>
        <v>Lignite fired power plants</v>
      </c>
      <c r="G428" s="80" t="str">
        <f>B417</f>
        <v>Steam turbine</v>
      </c>
      <c r="H428" s="80" t="str">
        <f>C427</f>
        <v>CHP with CCS</v>
      </c>
      <c r="I428" s="80" t="str">
        <f t="shared" si="358"/>
        <v>M</v>
      </c>
      <c r="J428" s="127" t="str">
        <f>IF(tech_base!$T84&gt;J$345,"",J708+J988+J1268)</f>
        <v/>
      </c>
      <c r="K428" s="127" t="str">
        <f>IF(tech_base!$T84&gt;K$345,"",K708+K988+K1268)</f>
        <v/>
      </c>
      <c r="L428" s="127" t="str">
        <f>IF(tech_base!$T84&gt;L$345,"",L708+L988+L1268)</f>
        <v/>
      </c>
      <c r="M428" s="127" t="str">
        <f>IF(tech_base!$T84&gt;M$345,"",M708+M988+M1268)</f>
        <v/>
      </c>
      <c r="N428" s="127" t="str">
        <f>IF(tech_base!$T84&gt;N$345,"",N708+N988+N1268)</f>
        <v/>
      </c>
      <c r="O428" s="127" t="str">
        <f>IF(tech_base!$T84&gt;O$345,"",O708+O988+O1268)</f>
        <v/>
      </c>
      <c r="P428" s="127" t="str">
        <f>IF(tech_base!$T84&gt;P$345,"",P708+P988+P1268)</f>
        <v/>
      </c>
      <c r="Q428" s="127" t="str">
        <f>IF(tech_base!$T84&gt;Q$345,"",Q708+Q988+Q1268)</f>
        <v/>
      </c>
      <c r="R428" s="127" t="str">
        <f>IF(tech_base!$T84&gt;R$345,"",R708+R988+R1268)</f>
        <v/>
      </c>
      <c r="S428" s="127" t="str">
        <f>IF(tech_base!$T84&gt;S$345,"",S708+S988+S1268)</f>
        <v/>
      </c>
      <c r="T428" s="127" t="str">
        <f>IF(tech_base!$T84&gt;T$345,"",T708+T988+T1268)</f>
        <v/>
      </c>
      <c r="U428" s="127" t="str">
        <f>IF(tech_base!$T84&gt;U$345,"",U708+U988+U1268)</f>
        <v/>
      </c>
      <c r="V428" s="127" t="str">
        <f>IF(tech_base!$T84&gt;V$345,"",V708+V988+V1268)</f>
        <v/>
      </c>
      <c r="W428" s="127" t="str">
        <f>IF(tech_base!$T84&gt;W$345,"",W708+W988+W1268)</f>
        <v/>
      </c>
      <c r="X428" s="127" t="str">
        <f>IF(tech_base!$T84&gt;X$345,"",X708+X988+X1268)</f>
        <v/>
      </c>
      <c r="Y428" s="127" t="str">
        <f>IF(tech_base!$T84&gt;Y$345,"",Y708+Y988+Y1268)</f>
        <v/>
      </c>
      <c r="Z428" s="127" t="str">
        <f>IF(tech_base!$T84&gt;Z$345,"",Z708+Z988+Z1268)</f>
        <v/>
      </c>
      <c r="AA428" s="127" t="str">
        <f>IF(tech_base!$T84&gt;AA$345,"",AA708+AA988+AA1268)</f>
        <v/>
      </c>
      <c r="AB428" s="127" t="str">
        <f>IF(tech_base!$T84&gt;AB$345,"",AB708+AB988+AB1268)</f>
        <v/>
      </c>
      <c r="AC428" s="127" t="str">
        <f>IF(tech_base!$T84&gt;AC$345,"",AC708+AC988+AC1268)</f>
        <v/>
      </c>
      <c r="AD428" s="127" t="str">
        <f>IF(tech_base!$T84&gt;AD$345,"",AD708+AD988+AD1268)</f>
        <v/>
      </c>
      <c r="AE428" s="127">
        <f>IF(tech_base!$T84&gt;AE$345,"",AE708+AE988+AE1268)</f>
        <v>266.51595977946215</v>
      </c>
      <c r="AF428" s="127">
        <f>IF(tech_base!$T84&gt;AF$345,"",AF708+AF988+AF1268)</f>
        <v>266.65850502586977</v>
      </c>
      <c r="AG428" s="127">
        <f>IF(tech_base!$T84&gt;AG$345,"",AG708+AG988+AG1268)</f>
        <v>266.80105027227728</v>
      </c>
      <c r="AH428" s="127">
        <f>IF(tech_base!$T84&gt;AH$345,"",AH708+AH988+AH1268)</f>
        <v>266.9435955186849</v>
      </c>
      <c r="AI428" s="127">
        <f>IF(tech_base!$T84&gt;AI$345,"",AI708+AI988+AI1268)</f>
        <v>267.08614076509252</v>
      </c>
      <c r="AJ428" s="127">
        <f>IF(tech_base!$T84&gt;AJ$345,"",AJ708+AJ988+AJ1268)</f>
        <v>267.23153691642824</v>
      </c>
      <c r="AK428" s="127">
        <f>IF(tech_base!$T84&gt;AK$345,"",AK708+AK988+AK1268)</f>
        <v>267.37693306776396</v>
      </c>
      <c r="AL428" s="127">
        <f>IF(tech_base!$T84&gt;AL$345,"",AL708+AL988+AL1268)</f>
        <v>267.52232921909967</v>
      </c>
      <c r="AM428" s="127">
        <f>IF(tech_base!$T84&gt;AM$345,"",AM708+AM988+AM1268)</f>
        <v>267.66772537043539</v>
      </c>
      <c r="AN428" s="127">
        <f>IF(tech_base!$T84&gt;AN$345,"",AN708+AN988+AN1268)</f>
        <v>267.81312152177111</v>
      </c>
      <c r="AO428" s="127">
        <f>IF(tech_base!$T84&gt;AO$345,"",AO708+AO988+AO1268)</f>
        <v>267.96142559613361</v>
      </c>
      <c r="AP428" s="127">
        <f>IF(tech_base!$T84&gt;AP$345,"",AP708+AP988+AP1268)</f>
        <v>268.10972967049599</v>
      </c>
      <c r="AQ428" s="127">
        <f>IF(tech_base!$T84&gt;AQ$345,"",AQ708+AQ988+AQ1268)</f>
        <v>268.25803374485849</v>
      </c>
      <c r="AR428" s="127">
        <f>IF(tech_base!$T84&gt;AR$345,"",AR708+AR988+AR1268)</f>
        <v>268.40633781922088</v>
      </c>
      <c r="AS428" s="127">
        <f>IF(tech_base!$T84&gt;AS$345,"",AS708+AS988+AS1268)</f>
        <v>268.55464189358338</v>
      </c>
      <c r="AT428" s="127">
        <f>IF(tech_base!$T84&gt;AT$345,"",AT708+AT988+AT1268)</f>
        <v>268.7059120494331</v>
      </c>
      <c r="AU428" s="127">
        <f>IF(tech_base!$T84&gt;AU$345,"",AU708+AU988+AU1268)</f>
        <v>268.85718220528275</v>
      </c>
      <c r="AV428" s="127">
        <f>IF(tech_base!$T84&gt;AV$345,"",AV708+AV988+AV1268)</f>
        <v>269.00845236113241</v>
      </c>
      <c r="AW428" s="127">
        <f>IF(tech_base!$T84&gt;AW$345,"",AW708+AW988+AW1268)</f>
        <v>269.15972251698213</v>
      </c>
      <c r="AX428" s="128">
        <f>IF(tech_base!$T84&gt;AX$345,"",AX708+AX988+AX1268)</f>
        <v>269.31099267283184</v>
      </c>
    </row>
    <row r="429" spans="1:50" x14ac:dyDescent="0.25">
      <c r="A429" s="356" t="s">
        <v>22</v>
      </c>
      <c r="B429" s="358" t="s">
        <v>23</v>
      </c>
      <c r="C429" s="353" t="s">
        <v>6</v>
      </c>
      <c r="D429" s="3" t="s">
        <v>7</v>
      </c>
      <c r="E429" s="77" t="str">
        <f>A429&amp;"/"&amp;B429&amp;"/"&amp;C429&amp;"/"&amp;D429</f>
        <v>Gas fired power plants (Natural gas, biogas)/Gas turbine combined cycle/Electricity only/L</v>
      </c>
      <c r="F429" s="77" t="str">
        <f>A429</f>
        <v>Gas fired power plants (Natural gas, biogas)</v>
      </c>
      <c r="G429" s="77" t="str">
        <f>B429</f>
        <v>Gas turbine combined cycle</v>
      </c>
      <c r="H429" s="77" t="str">
        <f>C429</f>
        <v>Electricity only</v>
      </c>
      <c r="I429" s="77" t="str">
        <f t="shared" si="358"/>
        <v>L</v>
      </c>
      <c r="J429" s="121">
        <f>IF(tech_base!$T85&gt;J$345,"",J709+J989+J1269)</f>
        <v>80.596238968603615</v>
      </c>
      <c r="K429" s="121">
        <f>IF(tech_base!$T85&gt;K$345,"",K709+K989+K1269)</f>
        <v>88.008294591106448</v>
      </c>
      <c r="L429" s="121">
        <f>IF(tech_base!$T85&gt;L$345,"",L709+L989+L1269)</f>
        <v>94.984121620232798</v>
      </c>
      <c r="M429" s="121">
        <f>IF(tech_base!$T85&gt;M$345,"",M709+M989+M1269)</f>
        <v>93.413506336405817</v>
      </c>
      <c r="N429" s="121">
        <f>IF(tech_base!$T85&gt;N$345,"",N709+N989+N1269)</f>
        <v>83.168027213981233</v>
      </c>
      <c r="O429" s="121">
        <f>IF(tech_base!$T85&gt;O$345,"",O709+O989+O1269)</f>
        <v>74.476969197637629</v>
      </c>
      <c r="P429" s="121">
        <f>IF(tech_base!$T85&gt;P$345,"",P709+P989+P1269)</f>
        <v>59.59504442544673</v>
      </c>
      <c r="Q429" s="121">
        <f>IF(tech_base!$T85&gt;Q$345,"",Q709+Q989+Q1269)</f>
        <v>64.959899808650945</v>
      </c>
      <c r="R429" s="121">
        <f>IF(tech_base!$T85&gt;R$345,"",R709+R989+R1269)</f>
        <v>68.653477046909799</v>
      </c>
      <c r="S429" s="121">
        <f>IF(tech_base!$T85&gt;S$345,"",S709+S989+S1269)</f>
        <v>72.352950211997808</v>
      </c>
      <c r="T429" s="121">
        <f>IF(tech_base!$T85&gt;T$345,"",T709+T989+T1269)</f>
        <v>75.97828183258116</v>
      </c>
      <c r="U429" s="121">
        <f>IF(tech_base!$T85&gt;U$345,"",U709+U989+U1269)</f>
        <v>79.47628640228433</v>
      </c>
      <c r="V429" s="121">
        <f>IF(tech_base!$T85&gt;V$345,"",V709+V989+V1269)</f>
        <v>81.658136620625271</v>
      </c>
      <c r="W429" s="121">
        <f>IF(tech_base!$T85&gt;W$345,"",W709+W989+W1269)</f>
        <v>84.247256363102437</v>
      </c>
      <c r="X429" s="121">
        <f>IF(tech_base!$T85&gt;X$345,"",X709+X989+X1269)</f>
        <v>86.646406707570819</v>
      </c>
      <c r="Y429" s="121">
        <f>IF(tech_base!$T85&gt;Y$345,"",Y709+Y989+Y1269)</f>
        <v>88.861896272757093</v>
      </c>
      <c r="Z429" s="121">
        <f>IF(tech_base!$T85&gt;Z$345,"",Z709+Z989+Z1269)</f>
        <v>89.449380400016921</v>
      </c>
      <c r="AA429" s="121">
        <f>IF(tech_base!$T85&gt;AA$345,"",AA709+AA989+AA1269)</f>
        <v>89.967378668903763</v>
      </c>
      <c r="AB429" s="121">
        <f>IF(tech_base!$T85&gt;AB$345,"",AB709+AB989+AB1269)</f>
        <v>90.570902864435055</v>
      </c>
      <c r="AC429" s="121">
        <f>IF(tech_base!$T85&gt;AC$345,"",AC709+AC989+AC1269)</f>
        <v>91.177475486126326</v>
      </c>
      <c r="AD429" s="121">
        <f>IF(tech_base!$T85&gt;AD$345,"",AD709+AD989+AD1269)</f>
        <v>92.210250435106872</v>
      </c>
      <c r="AE429" s="121">
        <f>IF(tech_base!$T85&gt;AE$345,"",AE709+AE989+AE1269)</f>
        <v>92.770259930060561</v>
      </c>
      <c r="AF429" s="121">
        <f>IF(tech_base!$T85&gt;AF$345,"",AF709+AF989+AF1269)</f>
        <v>93.471254151715613</v>
      </c>
      <c r="AG429" s="121">
        <f>IF(tech_base!$T85&gt;AG$345,"",AG709+AG989+AG1269)</f>
        <v>94.097101184091287</v>
      </c>
      <c r="AH429" s="121">
        <f>IF(tech_base!$T85&gt;AH$345,"",AH709+AH989+AH1269)</f>
        <v>94.670981093398495</v>
      </c>
      <c r="AI429" s="121">
        <f>IF(tech_base!$T85&gt;AI$345,"",AI709+AI989+AI1269)</f>
        <v>95.152206305361261</v>
      </c>
      <c r="AJ429" s="121">
        <f>IF(tech_base!$T85&gt;AJ$345,"",AJ709+AJ989+AJ1269)</f>
        <v>95.623718287054103</v>
      </c>
      <c r="AK429" s="121">
        <f>IF(tech_base!$T85&gt;AK$345,"",AK709+AK989+AK1269)</f>
        <v>96.007477122916143</v>
      </c>
      <c r="AL429" s="121">
        <f>IF(tech_base!$T85&gt;AL$345,"",AL709+AL989+AL1269)</f>
        <v>96.400886773239932</v>
      </c>
      <c r="AM429" s="121">
        <f>IF(tech_base!$T85&gt;AM$345,"",AM709+AM989+AM1269)</f>
        <v>96.868992169380888</v>
      </c>
      <c r="AN429" s="121">
        <f>IF(tech_base!$T85&gt;AN$345,"",AN709+AN989+AN1269)</f>
        <v>96.822872230779566</v>
      </c>
      <c r="AO429" s="121">
        <f>IF(tech_base!$T85&gt;AO$345,"",AO709+AO989+AO1269)</f>
        <v>96.958060592009048</v>
      </c>
      <c r="AP429" s="121">
        <f>IF(tech_base!$T85&gt;AP$345,"",AP709+AP989+AP1269)</f>
        <v>97.116192497909324</v>
      </c>
      <c r="AQ429" s="121">
        <f>IF(tech_base!$T85&gt;AQ$345,"",AQ709+AQ989+AQ1269)</f>
        <v>97.325521017379543</v>
      </c>
      <c r="AR429" s="121">
        <f>IF(tech_base!$T85&gt;AR$345,"",AR709+AR989+AR1269)</f>
        <v>97.659436328551351</v>
      </c>
      <c r="AS429" s="121">
        <f>IF(tech_base!$T85&gt;AS$345,"",AS709+AS989+AS1269)</f>
        <v>98.09208957769188</v>
      </c>
      <c r="AT429" s="121">
        <f>IF(tech_base!$T85&gt;AT$345,"",AT709+AT989+AT1269)</f>
        <v>98.506656506655219</v>
      </c>
      <c r="AU429" s="121">
        <f>IF(tech_base!$T85&gt;AU$345,"",AU709+AU989+AU1269)</f>
        <v>98.884748841111076</v>
      </c>
      <c r="AV429" s="121">
        <f>IF(tech_base!$T85&gt;AV$345,"",AV709+AV989+AV1269)</f>
        <v>99.192002644742502</v>
      </c>
      <c r="AW429" s="121">
        <f>IF(tech_base!$T85&gt;AW$345,"",AW709+AW989+AW1269)</f>
        <v>99.187682564496868</v>
      </c>
      <c r="AX429" s="122">
        <f>IF(tech_base!$T85&gt;AX$345,"",AX709+AX989+AX1269)</f>
        <v>99.205745123534896</v>
      </c>
    </row>
    <row r="430" spans="1:50" x14ac:dyDescent="0.25">
      <c r="A430" s="356"/>
      <c r="B430" s="376"/>
      <c r="C430" s="378"/>
      <c r="D430" s="2" t="s">
        <v>8</v>
      </c>
      <c r="E430" s="76" t="str">
        <f>A429&amp;"/"&amp;B429&amp;"/"&amp;C429&amp;"/"&amp;D430</f>
        <v>Gas fired power plants (Natural gas, biogas)/Gas turbine combined cycle/Electricity only/M</v>
      </c>
      <c r="F430" s="76" t="str">
        <f>A429</f>
        <v>Gas fired power plants (Natural gas, biogas)</v>
      </c>
      <c r="G430" s="76" t="str">
        <f>B429</f>
        <v>Gas turbine combined cycle</v>
      </c>
      <c r="H430" s="76" t="str">
        <f>C429</f>
        <v>Electricity only</v>
      </c>
      <c r="I430" s="76" t="str">
        <f t="shared" si="358"/>
        <v>M</v>
      </c>
      <c r="J430" s="119">
        <f>IF(tech_base!$T86&gt;J$345,"",J710+J990+J1270)</f>
        <v>84.466295299602649</v>
      </c>
      <c r="K430" s="119">
        <f>IF(tech_base!$T86&gt;K$345,"",K710+K990+K1270)</f>
        <v>92.293704013231789</v>
      </c>
      <c r="L430" s="119">
        <f>IF(tech_base!$T86&gt;L$345,"",L710+L990+L1270)</f>
        <v>99.672497352172826</v>
      </c>
      <c r="M430" s="119">
        <f>IF(tech_base!$T86&gt;M$345,"",M710+M990+M1270)</f>
        <v>98.06722538744296</v>
      </c>
      <c r="N430" s="119">
        <f>IF(tech_base!$T86&gt;N$345,"",N710+N990+N1270)</f>
        <v>87.333254561742677</v>
      </c>
      <c r="O430" s="119">
        <f>IF(tech_base!$T86&gt;O$345,"",O710+O990+O1270)</f>
        <v>78.23498598763652</v>
      </c>
      <c r="P430" s="119">
        <f>IF(tech_base!$T86&gt;P$345,"",P710+P990+P1270)</f>
        <v>62.608492894381556</v>
      </c>
      <c r="Q430" s="119">
        <f>IF(tech_base!$T86&gt;Q$345,"",Q710+Q990+Q1270)</f>
        <v>68.327684210043358</v>
      </c>
      <c r="R430" s="119">
        <f>IF(tech_base!$T86&gt;R$345,"",R710+R990+R1270)</f>
        <v>72.29762284965345</v>
      </c>
      <c r="S430" s="119">
        <f>IF(tech_base!$T86&gt;S$345,"",S710+S990+S1270)</f>
        <v>76.286580429123859</v>
      </c>
      <c r="T430" s="119">
        <f>IF(tech_base!$T86&gt;T$345,"",T710+T990+T1270)</f>
        <v>80.209235772705625</v>
      </c>
      <c r="U430" s="119">
        <f>IF(tech_base!$T86&gt;U$345,"",U710+U990+U1270)</f>
        <v>84.007103200911217</v>
      </c>
      <c r="V430" s="119">
        <f>IF(tech_base!$T86&gt;V$345,"",V710+V990+V1270)</f>
        <v>86.416985141901279</v>
      </c>
      <c r="W430" s="119">
        <f>IF(tech_base!$T86&gt;W$345,"",W710+W990+W1270)</f>
        <v>89.256691385002867</v>
      </c>
      <c r="X430" s="119">
        <f>IF(tech_base!$T86&gt;X$345,"",X710+X990+X1270)</f>
        <v>91.886276440582307</v>
      </c>
      <c r="Y430" s="119">
        <f>IF(tech_base!$T86&gt;Y$345,"",Y710+Y990+Y1270)</f>
        <v>94.303035189220026</v>
      </c>
      <c r="Z430" s="119">
        <f>IF(tech_base!$T86&gt;Z$345,"",Z710+Z990+Z1270)</f>
        <v>94.963504721603442</v>
      </c>
      <c r="AA430" s="119">
        <f>IF(tech_base!$T86&gt;AA$345,"",AA710+AA990+AA1270)</f>
        <v>95.51292586606472</v>
      </c>
      <c r="AB430" s="119">
        <f>IF(tech_base!$T86&gt;AB$345,"",AB710+AB990+AB1270)</f>
        <v>96.110170547401694</v>
      </c>
      <c r="AC430" s="119">
        <f>IF(tech_base!$T86&gt;AC$345,"",AC710+AC990+AC1270)</f>
        <v>96.66557717481966</v>
      </c>
      <c r="AD430" s="119">
        <f>IF(tech_base!$T86&gt;AD$345,"",AD710+AD990+AD1270)</f>
        <v>97.629949207874645</v>
      </c>
      <c r="AE430" s="119">
        <f>IF(tech_base!$T86&gt;AE$345,"",AE710+AE990+AE1270)</f>
        <v>98.057564753722161</v>
      </c>
      <c r="AF430" s="119">
        <f>IF(tech_base!$T86&gt;AF$345,"",AF710+AF990+AF1270)</f>
        <v>98.609840378943488</v>
      </c>
      <c r="AG430" s="119">
        <f>IF(tech_base!$T86&gt;AG$345,"",AG710+AG990+AG1270)</f>
        <v>99.071163316333738</v>
      </c>
      <c r="AH430" s="119">
        <f>IF(tech_base!$T86&gt;AH$345,"",AH710+AH990+AH1270)</f>
        <v>99.479219348773597</v>
      </c>
      <c r="AI430" s="119">
        <f>IF(tech_base!$T86&gt;AI$345,"",AI710+AI990+AI1270)</f>
        <v>99.802297372691697</v>
      </c>
      <c r="AJ430" s="119">
        <f>IF(tech_base!$T86&gt;AJ$345,"",AJ710+AJ990+AJ1270)</f>
        <v>100.13544521477574</v>
      </c>
      <c r="AK430" s="119">
        <f>IF(tech_base!$T86&gt;AK$345,"",AK710+AK990+AK1270)</f>
        <v>100.40075536538299</v>
      </c>
      <c r="AL430" s="119">
        <f>IF(tech_base!$T86&gt;AL$345,"",AL710+AL990+AL1270)</f>
        <v>100.70136817182095</v>
      </c>
      <c r="AM430" s="119">
        <f>IF(tech_base!$T86&gt;AM$345,"",AM710+AM990+AM1270)</f>
        <v>101.10384624884281</v>
      </c>
      <c r="AN430" s="119">
        <f>IF(tech_base!$T86&gt;AN$345,"",AN710+AN990+AN1270)</f>
        <v>100.9885728922963</v>
      </c>
      <c r="AO430" s="119">
        <f>IF(tech_base!$T86&gt;AO$345,"",AO710+AO990+AO1270)</f>
        <v>101.08065387349077</v>
      </c>
      <c r="AP430" s="119">
        <f>IF(tech_base!$T86&gt;AP$345,"",AP710+AP990+AP1270)</f>
        <v>101.21060050415144</v>
      </c>
      <c r="AQ430" s="119">
        <f>IF(tech_base!$T86&gt;AQ$345,"",AQ710+AQ990+AQ1270)</f>
        <v>101.40474129594816</v>
      </c>
      <c r="AR430" s="119">
        <f>IF(tech_base!$T86&gt;AR$345,"",AR710+AR990+AR1270)</f>
        <v>101.73711459953202</v>
      </c>
      <c r="AS430" s="119">
        <f>IF(tech_base!$T86&gt;AS$345,"",AS710+AS990+AS1270)</f>
        <v>102.17849074726017</v>
      </c>
      <c r="AT430" s="119">
        <f>IF(tech_base!$T86&gt;AT$345,"",AT710+AT990+AT1270)</f>
        <v>102.60501919161754</v>
      </c>
      <c r="AU430" s="119">
        <f>IF(tech_base!$T86&gt;AU$345,"",AU710+AU990+AU1270)</f>
        <v>102.99622950004907</v>
      </c>
      <c r="AV430" s="119">
        <f>IF(tech_base!$T86&gt;AV$345,"",AV710+AV990+AV1270)</f>
        <v>103.31527466671197</v>
      </c>
      <c r="AW430" s="119">
        <f>IF(tech_base!$T86&gt;AW$345,"",AW710+AW990+AW1270)</f>
        <v>103.30975795659189</v>
      </c>
      <c r="AX430" s="120">
        <f>IF(tech_base!$T86&gt;AX$345,"",AX710+AX990+AX1270)</f>
        <v>103.32844179866487</v>
      </c>
    </row>
    <row r="431" spans="1:50" x14ac:dyDescent="0.25">
      <c r="A431" s="356"/>
      <c r="B431" s="376"/>
      <c r="C431" s="378"/>
      <c r="D431" s="2" t="s">
        <v>10</v>
      </c>
      <c r="E431" s="76" t="str">
        <f>A429&amp;"/"&amp;B429&amp;"/"&amp;C429&amp;"/"&amp;D431</f>
        <v>Gas fired power plants (Natural gas, biogas)/Gas turbine combined cycle/Electricity only/S</v>
      </c>
      <c r="F431" s="76" t="str">
        <f>A429</f>
        <v>Gas fired power plants (Natural gas, biogas)</v>
      </c>
      <c r="G431" s="76" t="str">
        <f>B429</f>
        <v>Gas turbine combined cycle</v>
      </c>
      <c r="H431" s="76" t="str">
        <f>C429</f>
        <v>Electricity only</v>
      </c>
      <c r="I431" s="76" t="str">
        <f t="shared" si="358"/>
        <v>S</v>
      </c>
      <c r="J431" s="119">
        <f>IF(tech_base!$T87&gt;J$345,"",J711+J991+J1271)</f>
        <v>89.591446664817028</v>
      </c>
      <c r="K431" s="119">
        <f>IF(tech_base!$T87&gt;K$345,"",K711+K991+K1271)</f>
        <v>97.833929581010068</v>
      </c>
      <c r="L431" s="119">
        <f>IF(tech_base!$T87&gt;L$345,"",L711+L991+L1271)</f>
        <v>105.60881967160135</v>
      </c>
      <c r="M431" s="119">
        <f>IF(tech_base!$T87&gt;M$345,"",M711+M991+M1271)</f>
        <v>103.93768974677729</v>
      </c>
      <c r="N431" s="119">
        <f>IF(tech_base!$T87&gt;N$345,"",N711+N991+N1271)</f>
        <v>92.665429580183471</v>
      </c>
      <c r="O431" s="119">
        <f>IF(tech_base!$T87&gt;O$345,"",O711+O991+O1271)</f>
        <v>83.115815141430062</v>
      </c>
      <c r="P431" s="119">
        <f>IF(tech_base!$T87&gt;P$345,"",P711+P991+P1271)</f>
        <v>66.695605614049015</v>
      </c>
      <c r="Q431" s="119">
        <f>IF(tech_base!$T87&gt;Q$345,"",Q711+Q991+Q1271)</f>
        <v>72.750402808578201</v>
      </c>
      <c r="R431" s="119">
        <f>IF(tech_base!$T87&gt;R$345,"",R711+R991+R1271)</f>
        <v>76.97550553841387</v>
      </c>
      <c r="S431" s="119">
        <f>IF(tech_base!$T87&gt;S$345,"",S711+S991+S1271)</f>
        <v>81.235522764803051</v>
      </c>
      <c r="T431" s="119">
        <f>IF(tech_base!$T87&gt;T$345,"",T711+T991+T1271)</f>
        <v>85.444215398552316</v>
      </c>
      <c r="U431" s="119">
        <f>IF(tech_base!$T87&gt;U$345,"",U711+U991+U1271)</f>
        <v>89.543974878822667</v>
      </c>
      <c r="V431" s="119">
        <f>IF(tech_base!$T87&gt;V$345,"",V711+V991+V1271)</f>
        <v>92.204485489231303</v>
      </c>
      <c r="W431" s="119">
        <f>IF(tech_base!$T87&gt;W$345,"",W711+W991+W1271)</f>
        <v>95.34821124797736</v>
      </c>
      <c r="X431" s="119">
        <f>IF(tech_base!$T87&gt;X$345,"",X711+X991+X1271)</f>
        <v>98.302472881663675</v>
      </c>
      <c r="Y431" s="119">
        <f>IF(tech_base!$T87&gt;Y$345,"",Y711+Y991+Y1271)</f>
        <v>101.06548841266097</v>
      </c>
      <c r="Z431" s="119">
        <f>IF(tech_base!$T87&gt;Z$345,"",Z711+Z991+Z1271)</f>
        <v>101.99519473457221</v>
      </c>
      <c r="AA431" s="119">
        <f>IF(tech_base!$T87&gt;AA$345,"",AA711+AA991+AA1271)</f>
        <v>102.82776251570462</v>
      </c>
      <c r="AB431" s="119">
        <f>IF(tech_base!$T87&gt;AB$345,"",AB711+AB991+AB1271)</f>
        <v>103.72109102417426</v>
      </c>
      <c r="AC431" s="119">
        <f>IF(tech_base!$T87&gt;AC$345,"",AC711+AC991+AC1271)</f>
        <v>104.56298122163814</v>
      </c>
      <c r="AD431" s="119">
        <f>IF(tech_base!$T87&gt;AD$345,"",AD711+AD991+AD1271)</f>
        <v>105.81369443488545</v>
      </c>
      <c r="AE431" s="119">
        <f>IF(tech_base!$T87&gt;AE$345,"",AE711+AE991+AE1271)</f>
        <v>106.43542682658612</v>
      </c>
      <c r="AF431" s="119">
        <f>IF(tech_base!$T87&gt;AF$345,"",AF711+AF991+AF1271)</f>
        <v>107.10997581239022</v>
      </c>
      <c r="AG431" s="119">
        <f>IF(tech_base!$T87&gt;AG$345,"",AG711+AG991+AG1271)</f>
        <v>107.58557895726335</v>
      </c>
      <c r="AH431" s="119">
        <f>IF(tech_base!$T87&gt;AH$345,"",AH711+AH991+AH1271)</f>
        <v>107.89248080251151</v>
      </c>
      <c r="AI431" s="119">
        <f>IF(tech_base!$T87&gt;AI$345,"",AI711+AI991+AI1271)</f>
        <v>108.00108932746554</v>
      </c>
      <c r="AJ431" s="119">
        <f>IF(tech_base!$T87&gt;AJ$345,"",AJ711+AJ991+AJ1271)</f>
        <v>108.03246921559278</v>
      </c>
      <c r="AK431" s="119">
        <f>IF(tech_base!$T87&gt;AK$345,"",AK711+AK991+AK1271)</f>
        <v>107.93408187926849</v>
      </c>
      <c r="AL431" s="119">
        <f>IF(tech_base!$T87&gt;AL$345,"",AL711+AL991+AL1271)</f>
        <v>107.85127042335726</v>
      </c>
      <c r="AM431" s="119">
        <f>IF(tech_base!$T87&gt;AM$345,"",AM711+AM991+AM1271)</f>
        <v>107.88686468453169</v>
      </c>
      <c r="AN431" s="119">
        <f>IF(tech_base!$T87&gt;AN$345,"",AN711+AN991+AN1271)</f>
        <v>107.41051580385937</v>
      </c>
      <c r="AO431" s="119">
        <f>IF(tech_base!$T87&gt;AO$345,"",AO711+AO991+AO1271)</f>
        <v>107.20408485389714</v>
      </c>
      <c r="AP431" s="119">
        <f>IF(tech_base!$T87&gt;AP$345,"",AP711+AP991+AP1271)</f>
        <v>107.09238064361284</v>
      </c>
      <c r="AQ431" s="119">
        <f>IF(tech_base!$T87&gt;AQ$345,"",AQ711+AQ991+AQ1271)</f>
        <v>107.10035296352001</v>
      </c>
      <c r="AR431" s="119">
        <f>IF(tech_base!$T87&gt;AR$345,"",AR711+AR991+AR1271)</f>
        <v>107.29894225554176</v>
      </c>
      <c r="AS431" s="119">
        <f>IF(tech_base!$T87&gt;AS$345,"",AS711+AS991+AS1271)</f>
        <v>107.6491676588733</v>
      </c>
      <c r="AT431" s="119">
        <f>IF(tech_base!$T87&gt;AT$345,"",AT711+AT991+AT1271)</f>
        <v>108.01326540842589</v>
      </c>
      <c r="AU431" s="119">
        <f>IF(tech_base!$T87&gt;AU$345,"",AU711+AU991+AU1271)</f>
        <v>108.36292521206092</v>
      </c>
      <c r="AV431" s="119">
        <f>IF(tech_base!$T87&gt;AV$345,"",AV711+AV991+AV1271)</f>
        <v>108.65390989835828</v>
      </c>
      <c r="AW431" s="119">
        <f>IF(tech_base!$T87&gt;AW$345,"",AW711+AW991+AW1271)</f>
        <v>108.61767790678634</v>
      </c>
      <c r="AX431" s="120">
        <f>IF(tech_base!$T87&gt;AX$345,"",AX711+AX991+AX1271)</f>
        <v>108.61580517638323</v>
      </c>
    </row>
    <row r="432" spans="1:50" x14ac:dyDescent="0.25">
      <c r="A432" s="356"/>
      <c r="B432" s="376"/>
      <c r="C432" s="379"/>
      <c r="D432" s="2" t="s">
        <v>20</v>
      </c>
      <c r="E432" s="76" t="str">
        <f>A429&amp;"/"&amp;B429&amp;"/"&amp;C429&amp;"/"&amp;D432</f>
        <v>Gas fired power plants (Natural gas, biogas)/Gas turbine combined cycle/Electricity only/XS</v>
      </c>
      <c r="F432" s="76" t="str">
        <f>A429</f>
        <v>Gas fired power plants (Natural gas, biogas)</v>
      </c>
      <c r="G432" s="76" t="str">
        <f>B429</f>
        <v>Gas turbine combined cycle</v>
      </c>
      <c r="H432" s="76" t="str">
        <f>C429</f>
        <v>Electricity only</v>
      </c>
      <c r="I432" s="76" t="str">
        <f t="shared" si="358"/>
        <v>XS</v>
      </c>
      <c r="J432" s="119">
        <f>IF(tech_base!$T88&gt;J$345,"",J712+J992+J1272)</f>
        <v>97.494466540534759</v>
      </c>
      <c r="K432" s="119">
        <f>IF(tech_base!$T88&gt;K$345,"",K712+K992+K1272)</f>
        <v>106.1649445351098</v>
      </c>
      <c r="L432" s="119">
        <f>IF(tech_base!$T88&gt;L$345,"",L712+L992+L1272)</f>
        <v>114.34412089365846</v>
      </c>
      <c r="M432" s="119">
        <f>IF(tech_base!$T88&gt;M$345,"",M712+M992+M1272)</f>
        <v>112.58838594455665</v>
      </c>
      <c r="N432" s="119">
        <f>IF(tech_base!$T88&gt;N$345,"",N712+N992+N1272)</f>
        <v>100.73431576229811</v>
      </c>
      <c r="O432" s="119">
        <f>IF(tech_base!$T88&gt;O$345,"",O712+O992+O1272)</f>
        <v>90.692593654948098</v>
      </c>
      <c r="P432" s="119">
        <f>IF(tech_base!$T88&gt;P$345,"",P712+P992+P1272)</f>
        <v>73.424055351100236</v>
      </c>
      <c r="Q432" s="119">
        <f>IF(tech_base!$T88&gt;Q$345,"",Q712+Q992+Q1272)</f>
        <v>79.79824995109955</v>
      </c>
      <c r="R432" s="119">
        <f>IF(tech_base!$T88&gt;R$345,"",R712+R992+R1272)</f>
        <v>84.249999100148813</v>
      </c>
      <c r="S432" s="119">
        <f>IF(tech_base!$T88&gt;S$345,"",S712+S992+S1272)</f>
        <v>88.7415853537467</v>
      </c>
      <c r="T432" s="119">
        <f>IF(tech_base!$T88&gt;T$345,"",T712+T992+T1272)</f>
        <v>93.183465642244769</v>
      </c>
      <c r="U432" s="119">
        <f>IF(tech_base!$T88&gt;U$345,"",U712+U992+U1272)</f>
        <v>97.516618060633135</v>
      </c>
      <c r="V432" s="119">
        <f>IF(tech_base!$T88&gt;V$345,"",V712+V992+V1272)</f>
        <v>100.34287956043312</v>
      </c>
      <c r="W432" s="119">
        <f>IF(tech_base!$T88&gt;W$345,"",W712+W992+W1272)</f>
        <v>103.68812384378145</v>
      </c>
      <c r="X432" s="119">
        <f>IF(tech_base!$T88&gt;X$345,"",X712+X992+X1272)</f>
        <v>106.84792245613241</v>
      </c>
      <c r="Y432" s="119">
        <f>IF(tech_base!$T88&gt;Y$345,"",Y712+Y992+Y1272)</f>
        <v>109.82490764251727</v>
      </c>
      <c r="Z432" s="119">
        <f>IF(tech_base!$T88&gt;Z$345,"",Z712+Z992+Z1272)</f>
        <v>110.89330594444891</v>
      </c>
      <c r="AA432" s="119">
        <f>IF(tech_base!$T88&gt;AA$345,"",AA712+AA992+AA1272)</f>
        <v>111.88799983671234</v>
      </c>
      <c r="AB432" s="119">
        <f>IF(tech_base!$T88&gt;AB$345,"",AB712+AB992+AB1272)</f>
        <v>112.98301637363861</v>
      </c>
      <c r="AC432" s="119">
        <f>IF(tech_base!$T88&gt;AC$345,"",AC712+AC992+AC1272)</f>
        <v>114.06814838355957</v>
      </c>
      <c r="AD432" s="119">
        <f>IF(tech_base!$T88&gt;AD$345,"",AD712+AD992+AD1272)</f>
        <v>115.63904859582757</v>
      </c>
      <c r="AE432" s="119">
        <f>IF(tech_base!$T88&gt;AE$345,"",AE712+AE992+AE1272)</f>
        <v>116.60282987344037</v>
      </c>
      <c r="AF432" s="119">
        <f>IF(tech_base!$T88&gt;AF$345,"",AF712+AF992+AF1272)</f>
        <v>117.68320368392746</v>
      </c>
      <c r="AG432" s="119">
        <f>IF(tech_base!$T88&gt;AG$345,"",AG712+AG992+AG1272)</f>
        <v>118.60666133624802</v>
      </c>
      <c r="AH432" s="119">
        <f>IF(tech_base!$T88&gt;AH$345,"",AH712+AH992+AH1272)</f>
        <v>119.38791188285498</v>
      </c>
      <c r="AI432" s="119">
        <f>IF(tech_base!$T88&gt;AI$345,"",AI712+AI992+AI1272)</f>
        <v>119.96495930255642</v>
      </c>
      <c r="AJ432" s="119">
        <f>IF(tech_base!$T88&gt;AJ$345,"",AJ712+AJ992+AJ1272)</f>
        <v>120.4259757231649</v>
      </c>
      <c r="AK432" s="119">
        <f>IF(tech_base!$T88&gt;AK$345,"",AK712+AK992+AK1272)</f>
        <v>120.66615824808994</v>
      </c>
      <c r="AL432" s="119">
        <f>IF(tech_base!$T88&gt;AL$345,"",AL712+AL992+AL1272)</f>
        <v>120.79574802222095</v>
      </c>
      <c r="AM432" s="119">
        <f>IF(tech_base!$T88&gt;AM$345,"",AM712+AM992+AM1272)</f>
        <v>120.89078253916699</v>
      </c>
      <c r="AN432" s="119">
        <f>IF(tech_base!$T88&gt;AN$345,"",AN712+AN992+AN1272)</f>
        <v>120.25246774624435</v>
      </c>
      <c r="AO432" s="119">
        <f>IF(tech_base!$T88&gt;AO$345,"",AO712+AO992+AO1272)</f>
        <v>119.73428410203695</v>
      </c>
      <c r="AP432" s="119">
        <f>IF(tech_base!$T88&gt;AP$345,"",AP712+AP992+AP1272)</f>
        <v>119.17503353005151</v>
      </c>
      <c r="AQ432" s="119">
        <f>IF(tech_base!$T88&gt;AQ$345,"",AQ712+AQ992+AQ1272)</f>
        <v>118.64546619971802</v>
      </c>
      <c r="AR432" s="119">
        <f>IF(tech_base!$T88&gt;AR$345,"",AR712+AR992+AR1272)</f>
        <v>118.2717225943943</v>
      </c>
      <c r="AS432" s="119">
        <f>IF(tech_base!$T88&gt;AS$345,"",AS712+AS992+AS1272)</f>
        <v>118.05885620666844</v>
      </c>
      <c r="AT432" s="119">
        <f>IF(tech_base!$T88&gt;AT$345,"",AT712+AT992+AT1272)</f>
        <v>117.89771019650303</v>
      </c>
      <c r="AU432" s="119">
        <f>IF(tech_base!$T88&gt;AU$345,"",AU712+AU992+AU1272)</f>
        <v>117.78344776228748</v>
      </c>
      <c r="AV432" s="119">
        <f>IF(tech_base!$T88&gt;AV$345,"",AV712+AV992+AV1272)</f>
        <v>117.68124286058813</v>
      </c>
      <c r="AW432" s="119">
        <f>IF(tech_base!$T88&gt;AW$345,"",AW712+AW992+AW1272)</f>
        <v>117.30963716227807</v>
      </c>
      <c r="AX432" s="120">
        <f>IF(tech_base!$T88&gt;AX$345,"",AX712+AX992+AX1272)</f>
        <v>117.04440102477558</v>
      </c>
    </row>
    <row r="433" spans="1:50" x14ac:dyDescent="0.25">
      <c r="A433" s="356"/>
      <c r="B433" s="376"/>
      <c r="C433" s="361" t="s">
        <v>14</v>
      </c>
      <c r="D433" s="58" t="s">
        <v>7</v>
      </c>
      <c r="E433" s="78" t="str">
        <f>A429&amp;"/"&amp;B429&amp;"/"&amp;C433&amp;"/"&amp;D433</f>
        <v>Gas fired power plants (Natural gas, biogas)/Gas turbine combined cycle/CHP/L</v>
      </c>
      <c r="F433" s="78" t="str">
        <f>A429</f>
        <v>Gas fired power plants (Natural gas, biogas)</v>
      </c>
      <c r="G433" s="78" t="str">
        <f>B429</f>
        <v>Gas turbine combined cycle</v>
      </c>
      <c r="H433" s="78" t="str">
        <f>C433</f>
        <v>CHP</v>
      </c>
      <c r="I433" s="78" t="str">
        <f t="shared" si="358"/>
        <v>L</v>
      </c>
      <c r="J433" s="123">
        <f>IF(tech_base!$T89&gt;J$345,"",J713+J993+J1273)</f>
        <v>96.725708095392861</v>
      </c>
      <c r="K433" s="123">
        <f>IF(tech_base!$T89&gt;K$345,"",K713+K993+K1273)</f>
        <v>104.90900133384508</v>
      </c>
      <c r="L433" s="123">
        <f>IF(tech_base!$T89&gt;L$345,"",L713+L993+L1273)</f>
        <v>112.61313850336957</v>
      </c>
      <c r="M433" s="123">
        <f>IF(tech_base!$T89&gt;M$345,"",M713+M993+M1273)</f>
        <v>110.88732677824532</v>
      </c>
      <c r="N433" s="123">
        <f>IF(tech_base!$T89&gt;N$345,"",N713+N993+N1273)</f>
        <v>99.587005639027296</v>
      </c>
      <c r="O433" s="123">
        <f>IF(tech_base!$T89&gt;O$345,"",O713+O993+O1273)</f>
        <v>90.001190068230471</v>
      </c>
      <c r="P433" s="123">
        <f>IF(tech_base!$T89&gt;P$345,"",P713+P993+P1273)</f>
        <v>73.577853257348181</v>
      </c>
      <c r="Q433" s="123">
        <f>IF(tech_base!$T89&gt;Q$345,"",Q713+Q993+Q1273)</f>
        <v>79.510328850697249</v>
      </c>
      <c r="R433" s="123">
        <f>IF(tech_base!$T89&gt;R$345,"",R713+R993+R1273)</f>
        <v>83.600766127160156</v>
      </c>
      <c r="S433" s="123">
        <f>IF(tech_base!$T89&gt;S$345,"",S713+S993+S1273)</f>
        <v>87.701747639016702</v>
      </c>
      <c r="T433" s="123">
        <f>IF(tech_base!$T89&gt;T$345,"",T713+T993+T1273)</f>
        <v>91.725514153015638</v>
      </c>
      <c r="U433" s="123">
        <f>IF(tech_base!$T89&gt;U$345,"",U713+U993+U1273)</f>
        <v>95.613881613450843</v>
      </c>
      <c r="V433" s="123">
        <f>IF(tech_base!$T89&gt;V$345,"",V713+V993+V1273)</f>
        <v>98.052222758508975</v>
      </c>
      <c r="W433" s="123">
        <f>IF(tech_base!$T89&gt;W$345,"",W713+W993+W1273)</f>
        <v>100.94645145531651</v>
      </c>
      <c r="X433" s="123">
        <f>IF(tech_base!$T89&gt;X$345,"",X713+X993+X1273)</f>
        <v>103.63611390774746</v>
      </c>
      <c r="Y433" s="123">
        <f>IF(tech_base!$T89&gt;Y$345,"",Y713+Y993+Y1273)</f>
        <v>106.12787981785596</v>
      </c>
      <c r="Z433" s="123">
        <f>IF(tech_base!$T89&gt;Z$345,"",Z713+Z993+Z1273)</f>
        <v>106.81998311794651</v>
      </c>
      <c r="AA433" s="123">
        <f>IF(tech_base!$T89&gt;AA$345,"",AA713+AA993+AA1273)</f>
        <v>107.43737380842752</v>
      </c>
      <c r="AB433" s="123">
        <f>IF(tech_base!$T89&gt;AB$345,"",AB713+AB993+AB1273)</f>
        <v>108.1510929730982</v>
      </c>
      <c r="AC433" s="123">
        <f>IF(tech_base!$T89&gt;AC$345,"",AC713+AC993+AC1273)</f>
        <v>108.86873364800792</v>
      </c>
      <c r="AD433" s="123">
        <f>IF(tech_base!$T89&gt;AD$345,"",AD713+AD993+AD1273)</f>
        <v>110.05949674035863</v>
      </c>
      <c r="AE433" s="123">
        <f>IF(tech_base!$T89&gt;AE$345,"",AE713+AE993+AE1273)</f>
        <v>110.72371176386685</v>
      </c>
      <c r="AF433" s="123">
        <f>IF(tech_base!$T89&gt;AF$345,"",AF713+AF993+AF1273)</f>
        <v>111.54241621929322</v>
      </c>
      <c r="AG433" s="123">
        <f>IF(tech_base!$T89&gt;AG$345,"",AG713+AG993+AG1273)</f>
        <v>112.27466354088602</v>
      </c>
      <c r="AH433" s="123">
        <f>IF(tech_base!$T89&gt;AH$345,"",AH713+AH993+AH1273)</f>
        <v>112.94572537368708</v>
      </c>
      <c r="AI433" s="123">
        <f>IF(tech_base!$T89&gt;AI$345,"",AI713+AI993+AI1273)</f>
        <v>113.51002334406502</v>
      </c>
      <c r="AJ433" s="123">
        <f>IF(tech_base!$T89&gt;AJ$345,"",AJ713+AJ993+AJ1273)</f>
        <v>114.05986701909973</v>
      </c>
      <c r="AK433" s="123">
        <f>IF(tech_base!$T89&gt;AK$345,"",AK713+AK993+AK1273)</f>
        <v>114.5084510726137</v>
      </c>
      <c r="AL433" s="123">
        <f>IF(tech_base!$T89&gt;AL$345,"",AL713+AL993+AL1273)</f>
        <v>114.96455284993294</v>
      </c>
      <c r="AM433" s="123">
        <f>IF(tech_base!$T89&gt;AM$345,"",AM713+AM993+AM1273)</f>
        <v>115.50103566379303</v>
      </c>
      <c r="AN433" s="123">
        <f>IF(tech_base!$T89&gt;AN$345,"",AN713+AN993+AN1273)</f>
        <v>115.46167708812749</v>
      </c>
      <c r="AO433" s="123">
        <f>IF(tech_base!$T89&gt;AO$345,"",AO713+AO993+AO1273)</f>
        <v>115.62221518698604</v>
      </c>
      <c r="AP433" s="123">
        <f>IF(tech_base!$T89&gt;AP$345,"",AP713+AP993+AP1273)</f>
        <v>115.80647240810637</v>
      </c>
      <c r="AQ433" s="123">
        <f>IF(tech_base!$T89&gt;AQ$345,"",AQ713+AQ993+AQ1273)</f>
        <v>116.04628560772548</v>
      </c>
      <c r="AR433" s="123">
        <f>IF(tech_base!$T89&gt;AR$345,"",AR713+AR993+AR1273)</f>
        <v>116.42379923290528</v>
      </c>
      <c r="AS433" s="123">
        <f>IF(tech_base!$T89&gt;AS$345,"",AS713+AS993+AS1273)</f>
        <v>116.91043625709912</v>
      </c>
      <c r="AT433" s="123">
        <f>IF(tech_base!$T89&gt;AT$345,"",AT713+AT993+AT1273)</f>
        <v>117.37609052767448</v>
      </c>
      <c r="AU433" s="123">
        <f>IF(tech_base!$T89&gt;AU$345,"",AU713+AU993+AU1273)</f>
        <v>117.80040575961706</v>
      </c>
      <c r="AV433" s="123">
        <f>IF(tech_base!$T89&gt;AV$345,"",AV713+AV993+AV1273)</f>
        <v>118.14517548747189</v>
      </c>
      <c r="AW433" s="123">
        <f>IF(tech_base!$T89&gt;AW$345,"",AW713+AW993+AW1273)</f>
        <v>118.14195387219257</v>
      </c>
      <c r="AX433" s="124">
        <f>IF(tech_base!$T89&gt;AX$345,"",AX713+AX993+AX1273)</f>
        <v>118.16335672994656</v>
      </c>
    </row>
    <row r="434" spans="1:50" x14ac:dyDescent="0.25">
      <c r="A434" s="356"/>
      <c r="B434" s="376"/>
      <c r="C434" s="378"/>
      <c r="D434" s="2" t="s">
        <v>8</v>
      </c>
      <c r="E434" s="76" t="str">
        <f>A429&amp;"/"&amp;B429&amp;"/"&amp;C433&amp;"/"&amp;D434</f>
        <v>Gas fired power plants (Natural gas, biogas)/Gas turbine combined cycle/CHP/M</v>
      </c>
      <c r="F434" s="76" t="str">
        <f>A429</f>
        <v>Gas fired power plants (Natural gas, biogas)</v>
      </c>
      <c r="G434" s="76" t="str">
        <f>B429</f>
        <v>Gas turbine combined cycle</v>
      </c>
      <c r="H434" s="76" t="str">
        <f>C433</f>
        <v>CHP</v>
      </c>
      <c r="I434" s="76" t="str">
        <f t="shared" si="358"/>
        <v>M</v>
      </c>
      <c r="J434" s="119">
        <f>IF(tech_base!$T90&gt;J$345,"",J714+J994+J1274)</f>
        <v>100.89597453890056</v>
      </c>
      <c r="K434" s="119">
        <f>IF(tech_base!$T90&gt;K$345,"",K714+K994+K1274)</f>
        <v>109.53529226500027</v>
      </c>
      <c r="L434" s="119">
        <f>IF(tech_base!$T90&gt;L$345,"",L714+L994+L1274)</f>
        <v>117.68012497609345</v>
      </c>
      <c r="M434" s="119">
        <f>IF(tech_base!$T90&gt;M$345,"",M714+M994+M1274)</f>
        <v>115.91042518975567</v>
      </c>
      <c r="N434" s="119">
        <f>IF(tech_base!$T90&gt;N$345,"",N714+N994+N1274)</f>
        <v>104.06583694518254</v>
      </c>
      <c r="O434" s="119">
        <f>IF(tech_base!$T90&gt;O$345,"",O714+O994+O1274)</f>
        <v>94.026301471092523</v>
      </c>
      <c r="P434" s="119">
        <f>IF(tech_base!$T90&gt;P$345,"",P714+P994+P1274)</f>
        <v>76.780489080990407</v>
      </c>
      <c r="Q434" s="119">
        <f>IF(tech_base!$T90&gt;Q$345,"",Q714+Q994+Q1274)</f>
        <v>83.096160026818751</v>
      </c>
      <c r="R434" s="119">
        <f>IF(tech_base!$T90&gt;R$345,"",R714+R994+R1274)</f>
        <v>87.482445853858593</v>
      </c>
      <c r="S434" s="119">
        <f>IF(tech_base!$T90&gt;S$345,"",S714+S994+S1274)</f>
        <v>91.891656233855031</v>
      </c>
      <c r="T434" s="119">
        <f>IF(tech_base!$T90&gt;T$345,"",T714+T994+T1274)</f>
        <v>96.230189974357273</v>
      </c>
      <c r="U434" s="119">
        <f>IF(tech_base!$T90&gt;U$345,"",U714+U994+U1274)</f>
        <v>100.43417587725011</v>
      </c>
      <c r="V434" s="119">
        <f>IF(tech_base!$T90&gt;V$345,"",V714+V994+V1274)</f>
        <v>103.10899658940845</v>
      </c>
      <c r="W434" s="119">
        <f>IF(tech_base!$T90&gt;W$345,"",W714+W994+W1274)</f>
        <v>106.26316146907936</v>
      </c>
      <c r="X434" s="119">
        <f>IF(tech_base!$T90&gt;X$345,"",X714+X994+X1274)</f>
        <v>109.19072934325115</v>
      </c>
      <c r="Y434" s="119">
        <f>IF(tech_base!$T90&gt;Y$345,"",Y714+Y994+Y1274)</f>
        <v>111.88954200472006</v>
      </c>
      <c r="Z434" s="119">
        <f>IF(tech_base!$T90&gt;Z$345,"",Z714+Z994+Z1274)</f>
        <v>112.65276583118354</v>
      </c>
      <c r="AA434" s="119">
        <f>IF(tech_base!$T90&gt;AA$345,"",AA714+AA994+AA1274)</f>
        <v>113.29920027029308</v>
      </c>
      <c r="AB434" s="119">
        <f>IF(tech_base!$T90&gt;AB$345,"",AB714+AB994+AB1274)</f>
        <v>114.00464868438434</v>
      </c>
      <c r="AC434" s="119">
        <f>IF(tech_base!$T90&gt;AC$345,"",AC714+AC994+AC1274)</f>
        <v>114.66943583625358</v>
      </c>
      <c r="AD434" s="119">
        <f>IF(tech_base!$T90&gt;AD$345,"",AD714+AD994+AD1274)</f>
        <v>115.79252475706735</v>
      </c>
      <c r="AE434" s="119">
        <f>IF(tech_base!$T90&gt;AE$345,"",AE714+AE994+AE1274)</f>
        <v>116.32378715483566</v>
      </c>
      <c r="AF434" s="119">
        <f>IF(tech_base!$T90&gt;AF$345,"",AF714+AF994+AF1274)</f>
        <v>116.99471182722652</v>
      </c>
      <c r="AG434" s="119">
        <f>IF(tech_base!$T90&gt;AG$345,"",AG714+AG994+AG1274)</f>
        <v>117.56389089914092</v>
      </c>
      <c r="AH434" s="119">
        <f>IF(tech_base!$T90&gt;AH$345,"",AH714+AH994+AH1274)</f>
        <v>118.07108281929933</v>
      </c>
      <c r="AI434" s="119">
        <f>IF(tech_base!$T90&gt;AI$345,"",AI714+AI994+AI1274)</f>
        <v>118.47929725037868</v>
      </c>
      <c r="AJ434" s="119">
        <f>IF(tech_base!$T90&gt;AJ$345,"",AJ714+AJ994+AJ1274)</f>
        <v>118.89316986133697</v>
      </c>
      <c r="AK434" s="119">
        <f>IF(tech_base!$T90&gt;AK$345,"",AK714+AK994+AK1274)</f>
        <v>119.22545513523886</v>
      </c>
      <c r="AL434" s="119">
        <f>IF(tech_base!$T90&gt;AL$345,"",AL714+AL994+AL1274)</f>
        <v>119.59105010585276</v>
      </c>
      <c r="AM434" s="119">
        <f>IF(tech_base!$T90&gt;AM$345,"",AM714+AM994+AM1274)</f>
        <v>120.06461890518345</v>
      </c>
      <c r="AN434" s="119">
        <f>IF(tech_base!$T90&gt;AN$345,"",AN714+AN994+AN1274)</f>
        <v>119.95596553136355</v>
      </c>
      <c r="AO434" s="119">
        <f>IF(tech_base!$T90&gt;AO$345,"",AO714+AO994+AO1274)</f>
        <v>120.07418574802762</v>
      </c>
      <c r="AP434" s="119">
        <f>IF(tech_base!$T90&gt;AP$345,"",AP714+AP994+AP1274)</f>
        <v>120.23112304021438</v>
      </c>
      <c r="AQ434" s="119">
        <f>IF(tech_base!$T90&gt;AQ$345,"",AQ714+AQ994+AQ1274)</f>
        <v>120.45686212611432</v>
      </c>
      <c r="AR434" s="119">
        <f>IF(tech_base!$T90&gt;AR$345,"",AR714+AR994+AR1274)</f>
        <v>120.8346226088001</v>
      </c>
      <c r="AS434" s="119">
        <f>IF(tech_base!$T90&gt;AS$345,"",AS714+AS994+AS1274)</f>
        <v>121.33231521618788</v>
      </c>
      <c r="AT434" s="119">
        <f>IF(tech_base!$T90&gt;AT$345,"",AT714+AT994+AT1274)</f>
        <v>121.812159280343</v>
      </c>
      <c r="AU434" s="119">
        <f>IF(tech_base!$T90&gt;AU$345,"",AU714+AU994+AU1274)</f>
        <v>122.2516177611582</v>
      </c>
      <c r="AV434" s="119">
        <f>IF(tech_base!$T90&gt;AV$345,"",AV714+AV994+AV1274)</f>
        <v>122.60981114259481</v>
      </c>
      <c r="AW434" s="119">
        <f>IF(tech_base!$T90&gt;AW$345,"",AW714+AW994+AW1274)</f>
        <v>122.60527943981009</v>
      </c>
      <c r="AX434" s="120">
        <f>IF(tech_base!$T90&gt;AX$345,"",AX714+AX994+AX1274)</f>
        <v>122.62732551511385</v>
      </c>
    </row>
    <row r="435" spans="1:50" x14ac:dyDescent="0.25">
      <c r="A435" s="356"/>
      <c r="B435" s="376"/>
      <c r="C435" s="378"/>
      <c r="D435" s="2" t="s">
        <v>10</v>
      </c>
      <c r="E435" s="76" t="str">
        <f>A429&amp;"/"&amp;B429&amp;"/"&amp;C433&amp;"/"&amp;D435</f>
        <v>Gas fired power plants (Natural gas, biogas)/Gas turbine combined cycle/CHP/S</v>
      </c>
      <c r="F435" s="76" t="str">
        <f>A429</f>
        <v>Gas fired power plants (Natural gas, biogas)</v>
      </c>
      <c r="G435" s="76" t="str">
        <f>B429</f>
        <v>Gas turbine combined cycle</v>
      </c>
      <c r="H435" s="76" t="str">
        <f>C433</f>
        <v>CHP</v>
      </c>
      <c r="I435" s="76" t="str">
        <f t="shared" si="358"/>
        <v>S</v>
      </c>
      <c r="J435" s="119">
        <f>IF(tech_base!$T91&gt;J$345,"",J715+J995+J1275)</f>
        <v>113.01953836273591</v>
      </c>
      <c r="K435" s="119">
        <f>IF(tech_base!$T91&gt;K$345,"",K715+K995+K1275)</f>
        <v>122.11739399445489</v>
      </c>
      <c r="L435" s="119">
        <f>IF(tech_base!$T91&gt;L$345,"",L715+L995+L1275)</f>
        <v>130.6991639215988</v>
      </c>
      <c r="M435" s="119">
        <f>IF(tech_base!$T91&gt;M$345,"",M715+M995+M1275)</f>
        <v>128.85463070219365</v>
      </c>
      <c r="N435" s="119">
        <f>IF(tech_base!$T91&gt;N$345,"",N715+N995+N1275)</f>
        <v>116.4124950559065</v>
      </c>
      <c r="O435" s="119">
        <f>IF(tech_base!$T91&gt;O$345,"",O715+O995+O1275)</f>
        <v>105.87168994891491</v>
      </c>
      <c r="P435" s="119">
        <f>IF(tech_base!$T91&gt;P$345,"",P715+P995+P1275)</f>
        <v>87.746976898106325</v>
      </c>
      <c r="Q435" s="119">
        <f>IF(tech_base!$T91&gt;Q$345,"",Q715+Q995+Q1275)</f>
        <v>94.430032398021069</v>
      </c>
      <c r="R435" s="119">
        <f>IF(tech_base!$T91&gt;R$345,"",R715+R995+R1275)</f>
        <v>99.09349270419402</v>
      </c>
      <c r="S435" s="119">
        <f>IF(tech_base!$T91&gt;S$345,"",S715+S995+S1275)</f>
        <v>103.79554154036796</v>
      </c>
      <c r="T435" s="119">
        <f>IF(tech_base!$T91&gt;T$345,"",T715+T995+T1275)</f>
        <v>108.44102925522847</v>
      </c>
      <c r="U435" s="119">
        <f>IF(tech_base!$T91&gt;U$345,"",U715+U995+U1275)</f>
        <v>112.96642651703318</v>
      </c>
      <c r="V435" s="119">
        <f>IF(tech_base!$T91&gt;V$345,"",V715+V995+V1275)</f>
        <v>115.90323055163307</v>
      </c>
      <c r="W435" s="119">
        <f>IF(tech_base!$T91&gt;W$345,"",W715+W995+W1275)</f>
        <v>119.3737424858393</v>
      </c>
      <c r="X435" s="119">
        <f>IF(tech_base!$T91&gt;X$345,"",X715+X995+X1275)</f>
        <v>122.63552262517382</v>
      </c>
      <c r="Y435" s="119">
        <f>IF(tech_base!$T91&gt;Y$345,"",Y715+Y995+Y1275)</f>
        <v>125.68678486742974</v>
      </c>
      <c r="Z435" s="119">
        <f>IF(tech_base!$T91&gt;Z$345,"",Z715+Z995+Z1275)</f>
        <v>126.71440284550991</v>
      </c>
      <c r="AA435" s="119">
        <f>IF(tech_base!$T91&gt;AA$345,"",AA715+AA995+AA1275)</f>
        <v>127.63542204701054</v>
      </c>
      <c r="AB435" s="119">
        <f>IF(tech_base!$T91&gt;AB$345,"",AB715+AB995+AB1275)</f>
        <v>128.62450710628954</v>
      </c>
      <c r="AC435" s="119">
        <f>IF(tech_base!$T91&gt;AC$345,"",AC715+AC995+AC1275)</f>
        <v>129.55810691321017</v>
      </c>
      <c r="AD435" s="119">
        <f>IF(tech_base!$T91&gt;AD$345,"",AD715+AD995+AD1275)</f>
        <v>130.94547046891603</v>
      </c>
      <c r="AE435" s="119">
        <f>IF(tech_base!$T91&gt;AE$345,"",AE715+AE995+AE1275)</f>
        <v>131.64006405714423</v>
      </c>
      <c r="AF435" s="119">
        <f>IF(tech_base!$T91&gt;AF$345,"",AF715+AF995+AF1275)</f>
        <v>132.39604071624336</v>
      </c>
      <c r="AG435" s="119">
        <f>IF(tech_base!$T91&gt;AG$345,"",AG715+AG995+AG1275)</f>
        <v>132.93539393185196</v>
      </c>
      <c r="AH435" s="119">
        <f>IF(tech_base!$T91&gt;AH$345,"",AH715+AH995+AH1275)</f>
        <v>133.29167421493398</v>
      </c>
      <c r="AI435" s="119">
        <f>IF(tech_base!$T91&gt;AI$345,"",AI715+AI995+AI1275)</f>
        <v>133.4317478683613</v>
      </c>
      <c r="AJ435" s="119">
        <f>IF(tech_base!$T91&gt;AJ$345,"",AJ715+AJ995+AJ1275)</f>
        <v>133.48905117251309</v>
      </c>
      <c r="AK435" s="119">
        <f>IF(tech_base!$T91&gt;AK$345,"",AK715+AK995+AK1275)</f>
        <v>133.40408614175996</v>
      </c>
      <c r="AL435" s="119">
        <f>IF(tech_base!$T91&gt;AL$345,"",AL715+AL995+AL1275)</f>
        <v>133.33681372208238</v>
      </c>
      <c r="AM435" s="119">
        <f>IF(tech_base!$T91&gt;AM$345,"",AM715+AM995+AM1275)</f>
        <v>133.40033232115246</v>
      </c>
      <c r="AN435" s="119">
        <f>IF(tech_base!$T91&gt;AN$345,"",AN715+AN995+AN1275)</f>
        <v>132.8918138761619</v>
      </c>
      <c r="AO435" s="119">
        <f>IF(tech_base!$T91&gt;AO$345,"",AO715+AO995+AO1275)</f>
        <v>132.68058708449945</v>
      </c>
      <c r="AP435" s="119">
        <f>IF(tech_base!$T91&gt;AP$345,"",AP715+AP995+AP1275)</f>
        <v>132.57160964362083</v>
      </c>
      <c r="AQ435" s="119">
        <f>IF(tech_base!$T91&gt;AQ$345,"",AQ715+AQ995+AQ1275)</f>
        <v>132.59292919730137</v>
      </c>
      <c r="AR435" s="119">
        <f>IF(tech_base!$T91&gt;AR$345,"",AR715+AR995+AR1275)</f>
        <v>132.8241171085383</v>
      </c>
      <c r="AS435" s="119">
        <f>IF(tech_base!$T91&gt;AS$345,"",AS715+AS995+AS1275)</f>
        <v>133.22224246054935</v>
      </c>
      <c r="AT435" s="119">
        <f>IF(tech_base!$T91&gt;AT$345,"",AT715+AT995+AT1275)</f>
        <v>133.63408164554198</v>
      </c>
      <c r="AU435" s="119">
        <f>IF(tech_base!$T91&gt;AU$345,"",AU715+AU995+AU1275)</f>
        <v>134.02841863753036</v>
      </c>
      <c r="AV435" s="119">
        <f>IF(tech_base!$T91&gt;AV$345,"",AV715+AV995+AV1275)</f>
        <v>134.35620196089269</v>
      </c>
      <c r="AW435" s="119">
        <f>IF(tech_base!$T91&gt;AW$345,"",AW715+AW995+AW1275)</f>
        <v>134.31796932203679</v>
      </c>
      <c r="AX435" s="120">
        <f>IF(tech_base!$T91&gt;AX$345,"",AX715+AX995+AX1275)</f>
        <v>134.31745515655433</v>
      </c>
    </row>
    <row r="436" spans="1:50" x14ac:dyDescent="0.25">
      <c r="A436" s="356"/>
      <c r="B436" s="376"/>
      <c r="C436" s="379"/>
      <c r="D436" s="59" t="s">
        <v>20</v>
      </c>
      <c r="E436" s="79" t="str">
        <f>A429&amp;"/"&amp;B429&amp;"/"&amp;C433&amp;"/"&amp;D436</f>
        <v>Gas fired power plants (Natural gas, biogas)/Gas turbine combined cycle/CHP/XS</v>
      </c>
      <c r="F436" s="79" t="str">
        <f>A429</f>
        <v>Gas fired power plants (Natural gas, biogas)</v>
      </c>
      <c r="G436" s="79" t="str">
        <f>B429</f>
        <v>Gas turbine combined cycle</v>
      </c>
      <c r="H436" s="79" t="str">
        <f>C433</f>
        <v>CHP</v>
      </c>
      <c r="I436" s="79" t="str">
        <f t="shared" si="358"/>
        <v>XS</v>
      </c>
      <c r="J436" s="125">
        <f>IF(tech_base!$T92&gt;J$345,"",J716+J996+J1276)</f>
        <v>119.82281943543728</v>
      </c>
      <c r="K436" s="125">
        <f>IF(tech_base!$T92&gt;K$345,"",K716+K996+K1276)</f>
        <v>129.3947887023196</v>
      </c>
      <c r="L436" s="125">
        <f>IF(tech_base!$T92&gt;L$345,"",L716+L996+L1276)</f>
        <v>138.42438114171949</v>
      </c>
      <c r="M436" s="125">
        <f>IF(tech_base!$T92&gt;M$345,"",M716+M996+M1276)</f>
        <v>136.48611044139955</v>
      </c>
      <c r="N436" s="125">
        <f>IF(tech_base!$T92&gt;N$345,"",N716+N996+N1276)</f>
        <v>123.39954817892544</v>
      </c>
      <c r="O436" s="125">
        <f>IF(tech_base!$T92&gt;O$345,"",O716+O996+O1276)</f>
        <v>112.31375874942732</v>
      </c>
      <c r="P436" s="125">
        <f>IF(tech_base!$T92&gt;P$345,"",P716+P996+P1276)</f>
        <v>93.249726087012107</v>
      </c>
      <c r="Q436" s="125">
        <f>IF(tech_base!$T92&gt;Q$345,"",Q716+Q996+Q1276)</f>
        <v>100.28667356334482</v>
      </c>
      <c r="R436" s="125">
        <f>IF(tech_base!$T92&gt;R$345,"",R716+R996+R1276)</f>
        <v>105.20130160454175</v>
      </c>
      <c r="S436" s="125">
        <f>IF(tech_base!$T92&gt;S$345,"",S716+S996+S1276)</f>
        <v>110.15992942084814</v>
      </c>
      <c r="T436" s="125">
        <f>IF(tech_base!$T92&gt;T$345,"",T716+T996+T1276)</f>
        <v>115.06371440867132</v>
      </c>
      <c r="U436" s="125">
        <f>IF(tech_base!$T92&gt;U$345,"",U716+U996+U1276)</f>
        <v>119.84751291303343</v>
      </c>
      <c r="V436" s="125">
        <f>IF(tech_base!$T92&gt;V$345,"",V716+V996+V1276)</f>
        <v>122.96778069107262</v>
      </c>
      <c r="W436" s="125">
        <f>IF(tech_base!$T92&gt;W$345,"",W716+W996+W1276)</f>
        <v>126.66108675876293</v>
      </c>
      <c r="X436" s="125">
        <f>IF(tech_base!$T92&gt;X$345,"",X716+X996+X1276)</f>
        <v>130.14978481630592</v>
      </c>
      <c r="Y436" s="125">
        <f>IF(tech_base!$T92&gt;Y$345,"",Y716+Y996+Y1276)</f>
        <v>133.43682988296089</v>
      </c>
      <c r="Z436" s="125">
        <f>IF(tech_base!$T92&gt;Z$345,"",Z716+Z996+Z1276)</f>
        <v>134.61694464228759</v>
      </c>
      <c r="AA436" s="125">
        <f>IF(tech_base!$T92&gt;AA$345,"",AA716+AA996+AA1276)</f>
        <v>135.71593407426019</v>
      </c>
      <c r="AB436" s="125">
        <f>IF(tech_base!$T92&gt;AB$345,"",AB716+AB996+AB1276)</f>
        <v>136.92603274594489</v>
      </c>
      <c r="AC436" s="125">
        <f>IF(tech_base!$T92&gt;AC$345,"",AC716+AC996+AC1276)</f>
        <v>138.12569782269324</v>
      </c>
      <c r="AD436" s="125">
        <f>IF(tech_base!$T92&gt;AD$345,"",AD716+AD996+AD1276)</f>
        <v>139.86242712715725</v>
      </c>
      <c r="AE436" s="125">
        <f>IF(tech_base!$T92&gt;AE$345,"",AE716+AE996+AE1276)</f>
        <v>140.92969104697426</v>
      </c>
      <c r="AF436" s="125">
        <f>IF(tech_base!$T92&gt;AF$345,"",AF716+AF996+AF1276)</f>
        <v>142.12694446652191</v>
      </c>
      <c r="AG436" s="125">
        <f>IF(tech_base!$T92&gt;AG$345,"",AG716+AG996+AG1276)</f>
        <v>143.15254799190848</v>
      </c>
      <c r="AH436" s="125">
        <f>IF(tech_base!$T92&gt;AH$345,"",AH716+AH996+AH1276)</f>
        <v>144.02322257797576</v>
      </c>
      <c r="AI436" s="125">
        <f>IF(tech_base!$T92&gt;AI$345,"",AI716+AI996+AI1276)</f>
        <v>144.67103204805574</v>
      </c>
      <c r="AJ436" s="125">
        <f>IF(tech_base!$T92&gt;AJ$345,"",AJ716+AJ996+AJ1276)</f>
        <v>145.19404043522258</v>
      </c>
      <c r="AK436" s="125">
        <f>IF(tech_base!$T92&gt;AK$345,"",AK716+AK996+AK1276)</f>
        <v>145.47706985686673</v>
      </c>
      <c r="AL436" s="125">
        <f>IF(tech_base!$T92&gt;AL$345,"",AL716+AL996+AL1276)</f>
        <v>145.64261493377163</v>
      </c>
      <c r="AM436" s="125">
        <f>IF(tech_base!$T92&gt;AM$345,"",AM716+AM996+AM1276)</f>
        <v>145.77535547659406</v>
      </c>
      <c r="AN436" s="125">
        <f>IF(tech_base!$T92&gt;AN$345,"",AN716+AN996+AN1276)</f>
        <v>145.10145337873837</v>
      </c>
      <c r="AO436" s="125">
        <f>IF(tech_base!$T92&gt;AO$345,"",AO716+AO996+AO1276)</f>
        <v>144.56514446625673</v>
      </c>
      <c r="AP436" s="125">
        <f>IF(tech_base!$T92&gt;AP$345,"",AP716+AP996+AP1276)</f>
        <v>143.98691986959358</v>
      </c>
      <c r="AQ436" s="125">
        <f>IF(tech_base!$T92&gt;AQ$345,"",AQ716+AQ996+AQ1276)</f>
        <v>143.44363827948462</v>
      </c>
      <c r="AR436" s="125">
        <f>IF(tech_base!$T92&gt;AR$345,"",AR716+AR996+AR1276)</f>
        <v>143.07353087624568</v>
      </c>
      <c r="AS436" s="125">
        <f>IF(tech_base!$T92&gt;AS$345,"",AS716+AS996+AS1276)</f>
        <v>142.88045994562825</v>
      </c>
      <c r="AT436" s="125">
        <f>IF(tech_base!$T92&gt;AT$345,"",AT716+AT996+AT1276)</f>
        <v>142.74136921635633</v>
      </c>
      <c r="AU436" s="125">
        <f>IF(tech_base!$T92&gt;AU$345,"",AU716+AU996+AU1276)</f>
        <v>142.64960339649542</v>
      </c>
      <c r="AV436" s="125">
        <f>IF(tech_base!$T92&gt;AV$345,"",AV716+AV996+AV1276)</f>
        <v>142.56575205033289</v>
      </c>
      <c r="AW436" s="125">
        <f>IF(tech_base!$T92&gt;AW$345,"",AW716+AW996+AW1276)</f>
        <v>142.17594007932661</v>
      </c>
      <c r="AX436" s="126">
        <f>IF(tech_base!$T92&gt;AX$345,"",AX716+AX996+AX1276)</f>
        <v>141.89945951416809</v>
      </c>
    </row>
    <row r="437" spans="1:50" x14ac:dyDescent="0.25">
      <c r="A437" s="356"/>
      <c r="B437" s="376"/>
      <c r="C437" s="361" t="s">
        <v>15</v>
      </c>
      <c r="D437" s="58" t="s">
        <v>7</v>
      </c>
      <c r="E437" s="78" t="str">
        <f>A429&amp;"/"&amp;B429&amp;"/"&amp;C437&amp;"/"&amp;D437</f>
        <v>Gas fired power plants (Natural gas, biogas)/Gas turbine combined cycle/Electricity only with CCS/L</v>
      </c>
      <c r="F437" s="78" t="str">
        <f>A429</f>
        <v>Gas fired power plants (Natural gas, biogas)</v>
      </c>
      <c r="G437" s="78" t="str">
        <f>B429</f>
        <v>Gas turbine combined cycle</v>
      </c>
      <c r="H437" s="78" t="str">
        <f>C437</f>
        <v>Electricity only with CCS</v>
      </c>
      <c r="I437" s="78" t="str">
        <f t="shared" si="358"/>
        <v>L</v>
      </c>
      <c r="J437" s="123" t="str">
        <f>IF(tech_base!$T93&gt;J$345,"",J717+J997+J1277)</f>
        <v/>
      </c>
      <c r="K437" s="123" t="str">
        <f>IF(tech_base!$T93&gt;K$345,"",K717+K997+K1277)</f>
        <v/>
      </c>
      <c r="L437" s="123" t="str">
        <f>IF(tech_base!$T93&gt;L$345,"",L717+L997+L1277)</f>
        <v/>
      </c>
      <c r="M437" s="123" t="str">
        <f>IF(tech_base!$T93&gt;M$345,"",M717+M997+M1277)</f>
        <v/>
      </c>
      <c r="N437" s="123" t="str">
        <f>IF(tech_base!$T93&gt;N$345,"",N717+N997+N1277)</f>
        <v/>
      </c>
      <c r="O437" s="123" t="str">
        <f>IF(tech_base!$T93&gt;O$345,"",O717+O997+O1277)</f>
        <v/>
      </c>
      <c r="P437" s="123" t="str">
        <f>IF(tech_base!$T93&gt;P$345,"",P717+P997+P1277)</f>
        <v/>
      </c>
      <c r="Q437" s="123" t="str">
        <f>IF(tech_base!$T93&gt;Q$345,"",Q717+Q997+Q1277)</f>
        <v/>
      </c>
      <c r="R437" s="123" t="str">
        <f>IF(tech_base!$T93&gt;R$345,"",R717+R997+R1277)</f>
        <v/>
      </c>
      <c r="S437" s="123" t="str">
        <f>IF(tech_base!$T93&gt;S$345,"",S717+S997+S1277)</f>
        <v/>
      </c>
      <c r="T437" s="123" t="str">
        <f>IF(tech_base!$T93&gt;T$345,"",T717+T997+T1277)</f>
        <v/>
      </c>
      <c r="U437" s="123" t="str">
        <f>IF(tech_base!$T93&gt;U$345,"",U717+U997+U1277)</f>
        <v/>
      </c>
      <c r="V437" s="123" t="str">
        <f>IF(tech_base!$T93&gt;V$345,"",V717+V997+V1277)</f>
        <v/>
      </c>
      <c r="W437" s="123" t="str">
        <f>IF(tech_base!$T93&gt;W$345,"",W717+W997+W1277)</f>
        <v/>
      </c>
      <c r="X437" s="123" t="str">
        <f>IF(tech_base!$T93&gt;X$345,"",X717+X997+X1277)</f>
        <v/>
      </c>
      <c r="Y437" s="123" t="str">
        <f>IF(tech_base!$T93&gt;Y$345,"",Y717+Y997+Y1277)</f>
        <v/>
      </c>
      <c r="Z437" s="123" t="str">
        <f>IF(tech_base!$T93&gt;Z$345,"",Z717+Z997+Z1277)</f>
        <v/>
      </c>
      <c r="AA437" s="123" t="str">
        <f>IF(tech_base!$T93&gt;AA$345,"",AA717+AA997+AA1277)</f>
        <v/>
      </c>
      <c r="AB437" s="123" t="str">
        <f>IF(tech_base!$T93&gt;AB$345,"",AB717+AB997+AB1277)</f>
        <v/>
      </c>
      <c r="AC437" s="123" t="str">
        <f>IF(tech_base!$T93&gt;AC$345,"",AC717+AC997+AC1277)</f>
        <v/>
      </c>
      <c r="AD437" s="123" t="str">
        <f>IF(tech_base!$T93&gt;AD$345,"",AD717+AD997+AD1277)</f>
        <v/>
      </c>
      <c r="AE437" s="123">
        <f>IF(tech_base!$T93&gt;AE$345,"",AE717+AE997+AE1277)</f>
        <v>150.09882237408164</v>
      </c>
      <c r="AF437" s="123">
        <f>IF(tech_base!$T93&gt;AF$345,"",AF717+AF997+AF1277)</f>
        <v>151.30562641944456</v>
      </c>
      <c r="AG437" s="123">
        <f>IF(tech_base!$T93&gt;AG$345,"",AG717+AG997+AG1277)</f>
        <v>152.37354258086359</v>
      </c>
      <c r="AH437" s="123">
        <f>IF(tech_base!$T93&gt;AH$345,"",AH717+AH997+AH1277)</f>
        <v>153.32513967854609</v>
      </c>
      <c r="AI437" s="123">
        <f>IF(tech_base!$T93&gt;AI$345,"",AI717+AI997+AI1277)</f>
        <v>154.10301061059263</v>
      </c>
      <c r="AJ437" s="123">
        <f>IF(tech_base!$T93&gt;AJ$345,"",AJ717+AJ997+AJ1277)</f>
        <v>154.80778782163307</v>
      </c>
      <c r="AK437" s="123">
        <f>IF(tech_base!$T93&gt;AK$345,"",AK717+AK997+AK1277)</f>
        <v>155.33504999960124</v>
      </c>
      <c r="AL437" s="123">
        <f>IF(tech_base!$T93&gt;AL$345,"",AL717+AL997+AL1277)</f>
        <v>155.80321818669373</v>
      </c>
      <c r="AM437" s="123">
        <f>IF(tech_base!$T93&gt;AM$345,"",AM717+AM997+AM1277)</f>
        <v>156.28792992463718</v>
      </c>
      <c r="AN437" s="123">
        <f>IF(tech_base!$T93&gt;AN$345,"",AN717+AN997+AN1277)</f>
        <v>156.02843397870561</v>
      </c>
      <c r="AO437" s="123">
        <f>IF(tech_base!$T93&gt;AO$345,"",AO717+AO997+AO1277)</f>
        <v>155.89994473727032</v>
      </c>
      <c r="AP437" s="123">
        <f>IF(tech_base!$T93&gt;AP$345,"",AP717+AP997+AP1277)</f>
        <v>155.68503474872932</v>
      </c>
      <c r="AQ437" s="123">
        <f>IF(tech_base!$T93&gt;AQ$345,"",AQ717+AQ997+AQ1277)</f>
        <v>155.40089142258461</v>
      </c>
      <c r="AR437" s="123">
        <f>IF(tech_base!$T93&gt;AR$345,"",AR717+AR997+AR1277)</f>
        <v>155.11857357074567</v>
      </c>
      <c r="AS437" s="123">
        <f>IF(tech_base!$T93&gt;AS$345,"",AS717+AS997+AS1277)</f>
        <v>154.78073248139179</v>
      </c>
      <c r="AT437" s="123">
        <f>IF(tech_base!$T93&gt;AT$345,"",AT717+AT997+AT1277)</f>
        <v>154.21590598144067</v>
      </c>
      <c r="AU437" s="123">
        <f>IF(tech_base!$T93&gt;AU$345,"",AU717+AU997+AU1277)</f>
        <v>153.38145011582492</v>
      </c>
      <c r="AV437" s="123">
        <f>IF(tech_base!$T93&gt;AV$345,"",AV717+AV997+AV1277)</f>
        <v>152.22335758584566</v>
      </c>
      <c r="AW437" s="123">
        <f>IF(tech_base!$T93&gt;AW$345,"",AW717+AW997+AW1277)</f>
        <v>150.44793634108569</v>
      </c>
      <c r="AX437" s="124">
        <f>IF(tech_base!$T93&gt;AX$345,"",AX717+AX997+AX1277)</f>
        <v>148.49210186269812</v>
      </c>
    </row>
    <row r="438" spans="1:50" x14ac:dyDescent="0.25">
      <c r="A438" s="356"/>
      <c r="B438" s="376"/>
      <c r="C438" s="379"/>
      <c r="D438" s="59" t="s">
        <v>8</v>
      </c>
      <c r="E438" s="79" t="str">
        <f>A429&amp;"/"&amp;B429&amp;"/"&amp;C437&amp;"/"&amp;D438</f>
        <v>Gas fired power plants (Natural gas, biogas)/Gas turbine combined cycle/Electricity only with CCS/M</v>
      </c>
      <c r="F438" s="79" t="str">
        <f>A429</f>
        <v>Gas fired power plants (Natural gas, biogas)</v>
      </c>
      <c r="G438" s="79" t="str">
        <f>B429</f>
        <v>Gas turbine combined cycle</v>
      </c>
      <c r="H438" s="79" t="str">
        <f>C437</f>
        <v>Electricity only with CCS</v>
      </c>
      <c r="I438" s="79" t="str">
        <f t="shared" si="358"/>
        <v>M</v>
      </c>
      <c r="J438" s="125" t="str">
        <f>IF(tech_base!$T94&gt;J$345,"",J718+J998+J1278)</f>
        <v/>
      </c>
      <c r="K438" s="125" t="str">
        <f>IF(tech_base!$T94&gt;K$345,"",K718+K998+K1278)</f>
        <v/>
      </c>
      <c r="L438" s="125" t="str">
        <f>IF(tech_base!$T94&gt;L$345,"",L718+L998+L1278)</f>
        <v/>
      </c>
      <c r="M438" s="125" t="str">
        <f>IF(tech_base!$T94&gt;M$345,"",M718+M998+M1278)</f>
        <v/>
      </c>
      <c r="N438" s="125" t="str">
        <f>IF(tech_base!$T94&gt;N$345,"",N718+N998+N1278)</f>
        <v/>
      </c>
      <c r="O438" s="125" t="str">
        <f>IF(tech_base!$T94&gt;O$345,"",O718+O998+O1278)</f>
        <v/>
      </c>
      <c r="P438" s="125" t="str">
        <f>IF(tech_base!$T94&gt;P$345,"",P718+P998+P1278)</f>
        <v/>
      </c>
      <c r="Q438" s="125" t="str">
        <f>IF(tech_base!$T94&gt;Q$345,"",Q718+Q998+Q1278)</f>
        <v/>
      </c>
      <c r="R438" s="125" t="str">
        <f>IF(tech_base!$T94&gt;R$345,"",R718+R998+R1278)</f>
        <v/>
      </c>
      <c r="S438" s="125" t="str">
        <f>IF(tech_base!$T94&gt;S$345,"",S718+S998+S1278)</f>
        <v/>
      </c>
      <c r="T438" s="125" t="str">
        <f>IF(tech_base!$T94&gt;T$345,"",T718+T998+T1278)</f>
        <v/>
      </c>
      <c r="U438" s="125" t="str">
        <f>IF(tech_base!$T94&gt;U$345,"",U718+U998+U1278)</f>
        <v/>
      </c>
      <c r="V438" s="125" t="str">
        <f>IF(tech_base!$T94&gt;V$345,"",V718+V998+V1278)</f>
        <v/>
      </c>
      <c r="W438" s="125" t="str">
        <f>IF(tech_base!$T94&gt;W$345,"",W718+W998+W1278)</f>
        <v/>
      </c>
      <c r="X438" s="125" t="str">
        <f>IF(tech_base!$T94&gt;X$345,"",X718+X998+X1278)</f>
        <v/>
      </c>
      <c r="Y438" s="125" t="str">
        <f>IF(tech_base!$T94&gt;Y$345,"",Y718+Y998+Y1278)</f>
        <v/>
      </c>
      <c r="Z438" s="125" t="str">
        <f>IF(tech_base!$T94&gt;Z$345,"",Z718+Z998+Z1278)</f>
        <v/>
      </c>
      <c r="AA438" s="125" t="str">
        <f>IF(tech_base!$T94&gt;AA$345,"",AA718+AA998+AA1278)</f>
        <v/>
      </c>
      <c r="AB438" s="125" t="str">
        <f>IF(tech_base!$T94&gt;AB$345,"",AB718+AB998+AB1278)</f>
        <v/>
      </c>
      <c r="AC438" s="125" t="str">
        <f>IF(tech_base!$T94&gt;AC$345,"",AC718+AC998+AC1278)</f>
        <v/>
      </c>
      <c r="AD438" s="125" t="str">
        <f>IF(tech_base!$T94&gt;AD$345,"",AD718+AD998+AD1278)</f>
        <v/>
      </c>
      <c r="AE438" s="125">
        <f>IF(tech_base!$T94&gt;AE$345,"",AE718+AE998+AE1278)</f>
        <v>170.14447944590268</v>
      </c>
      <c r="AF438" s="125">
        <f>IF(tech_base!$T94&gt;AF$345,"",AF718+AF998+AF1278)</f>
        <v>171.42373453110253</v>
      </c>
      <c r="AG438" s="125">
        <f>IF(tech_base!$T94&gt;AG$345,"",AG718+AG998+AG1278)</f>
        <v>172.55556688575717</v>
      </c>
      <c r="AH438" s="125">
        <f>IF(tech_base!$T94&gt;AH$345,"",AH718+AH998+AH1278)</f>
        <v>173.56387722402326</v>
      </c>
      <c r="AI438" s="125">
        <f>IF(tech_base!$T94&gt;AI$345,"",AI718+AI998+AI1278)</f>
        <v>174.38773539727441</v>
      </c>
      <c r="AJ438" s="125">
        <f>IF(tech_base!$T94&gt;AJ$345,"",AJ718+AJ998+AJ1278)</f>
        <v>175.13381902396671</v>
      </c>
      <c r="AK438" s="125">
        <f>IF(tech_base!$T94&gt;AK$345,"",AK718+AK998+AK1278)</f>
        <v>175.69130676656127</v>
      </c>
      <c r="AL438" s="125">
        <f>IF(tech_base!$T94&gt;AL$345,"",AL718+AL998+AL1278)</f>
        <v>176.1857278611653</v>
      </c>
      <c r="AM438" s="125">
        <f>IF(tech_base!$T94&gt;AM$345,"",AM718+AM998+AM1278)</f>
        <v>176.69724460592136</v>
      </c>
      <c r="AN438" s="125">
        <f>IF(tech_base!$T94&gt;AN$345,"",AN718+AN998+AN1278)</f>
        <v>176.41865192259044</v>
      </c>
      <c r="AO438" s="125">
        <f>IF(tech_base!$T94&gt;AO$345,"",AO718+AO998+AO1278)</f>
        <v>176.27830147016888</v>
      </c>
      <c r="AP438" s="125">
        <f>IF(tech_base!$T94&gt;AP$345,"",AP718+AP998+AP1278)</f>
        <v>176.04541080525269</v>
      </c>
      <c r="AQ438" s="125">
        <f>IF(tech_base!$T94&gt;AQ$345,"",AQ718+AQ998+AQ1278)</f>
        <v>175.7381296216314</v>
      </c>
      <c r="AR438" s="125">
        <f>IF(tech_base!$T94&gt;AR$345,"",AR718+AR998+AR1278)</f>
        <v>175.4318843906081</v>
      </c>
      <c r="AS438" s="125">
        <f>IF(tech_base!$T94&gt;AS$345,"",AS718+AS998+AS1278)</f>
        <v>175.06592391161465</v>
      </c>
      <c r="AT438" s="125">
        <f>IF(tech_base!$T94&gt;AT$345,"",AT718+AT998+AT1278)</f>
        <v>174.45835578799935</v>
      </c>
      <c r="AU438" s="125">
        <f>IF(tech_base!$T94&gt;AU$345,"",AU718+AU998+AU1278)</f>
        <v>173.56413511794165</v>
      </c>
      <c r="AV438" s="125">
        <f>IF(tech_base!$T94&gt;AV$345,"",AV718+AV998+AV1278)</f>
        <v>172.32623021897709</v>
      </c>
      <c r="AW438" s="125">
        <f>IF(tech_base!$T94&gt;AW$345,"",AW718+AW998+AW1278)</f>
        <v>170.43248908733321</v>
      </c>
      <c r="AX438" s="126">
        <f>IF(tech_base!$T94&gt;AX$345,"",AX718+AX998+AX1278)</f>
        <v>168.34810680192155</v>
      </c>
    </row>
    <row r="439" spans="1:50" x14ac:dyDescent="0.25">
      <c r="A439" s="356"/>
      <c r="B439" s="376"/>
      <c r="C439" s="361" t="s">
        <v>16</v>
      </c>
      <c r="D439" s="2" t="s">
        <v>7</v>
      </c>
      <c r="E439" s="76" t="str">
        <f>A429&amp;"/"&amp;B429&amp;"/"&amp;C439&amp;"/"&amp;D439</f>
        <v>Gas fired power plants (Natural gas, biogas)/Gas turbine combined cycle/CHP with CCS/L</v>
      </c>
      <c r="F439" s="76" t="str">
        <f>A429</f>
        <v>Gas fired power plants (Natural gas, biogas)</v>
      </c>
      <c r="G439" s="76" t="str">
        <f>B429</f>
        <v>Gas turbine combined cycle</v>
      </c>
      <c r="H439" s="76" t="str">
        <f>C439</f>
        <v>CHP with CCS</v>
      </c>
      <c r="I439" s="76" t="str">
        <f t="shared" si="358"/>
        <v>L</v>
      </c>
      <c r="J439" s="119" t="str">
        <f>IF(tech_base!$T95&gt;J$345,"",J719+J999+J1279)</f>
        <v/>
      </c>
      <c r="K439" s="119" t="str">
        <f>IF(tech_base!$T95&gt;K$345,"",K719+K999+K1279)</f>
        <v/>
      </c>
      <c r="L439" s="119" t="str">
        <f>IF(tech_base!$T95&gt;L$345,"",L719+L999+L1279)</f>
        <v/>
      </c>
      <c r="M439" s="119" t="str">
        <f>IF(tech_base!$T95&gt;M$345,"",M719+M999+M1279)</f>
        <v/>
      </c>
      <c r="N439" s="119" t="str">
        <f>IF(tech_base!$T95&gt;N$345,"",N719+N999+N1279)</f>
        <v/>
      </c>
      <c r="O439" s="119" t="str">
        <f>IF(tech_base!$T95&gt;O$345,"",O719+O999+O1279)</f>
        <v/>
      </c>
      <c r="P439" s="119" t="str">
        <f>IF(tech_base!$T95&gt;P$345,"",P719+P999+P1279)</f>
        <v/>
      </c>
      <c r="Q439" s="119" t="str">
        <f>IF(tech_base!$T95&gt;Q$345,"",Q719+Q999+Q1279)</f>
        <v/>
      </c>
      <c r="R439" s="119" t="str">
        <f>IF(tech_base!$T95&gt;R$345,"",R719+R999+R1279)</f>
        <v/>
      </c>
      <c r="S439" s="119" t="str">
        <f>IF(tech_base!$T95&gt;S$345,"",S719+S999+S1279)</f>
        <v/>
      </c>
      <c r="T439" s="119" t="str">
        <f>IF(tech_base!$T95&gt;T$345,"",T719+T999+T1279)</f>
        <v/>
      </c>
      <c r="U439" s="119" t="str">
        <f>IF(tech_base!$T95&gt;U$345,"",U719+U999+U1279)</f>
        <v/>
      </c>
      <c r="V439" s="119" t="str">
        <f>IF(tech_base!$T95&gt;V$345,"",V719+V999+V1279)</f>
        <v/>
      </c>
      <c r="W439" s="119" t="str">
        <f>IF(tech_base!$T95&gt;W$345,"",W719+W999+W1279)</f>
        <v/>
      </c>
      <c r="X439" s="119" t="str">
        <f>IF(tech_base!$T95&gt;X$345,"",X719+X999+X1279)</f>
        <v/>
      </c>
      <c r="Y439" s="119" t="str">
        <f>IF(tech_base!$T95&gt;Y$345,"",Y719+Y999+Y1279)</f>
        <v/>
      </c>
      <c r="Z439" s="119" t="str">
        <f>IF(tech_base!$T95&gt;Z$345,"",Z719+Z999+Z1279)</f>
        <v/>
      </c>
      <c r="AA439" s="119" t="str">
        <f>IF(tech_base!$T95&gt;AA$345,"",AA719+AA999+AA1279)</f>
        <v/>
      </c>
      <c r="AB439" s="119" t="str">
        <f>IF(tech_base!$T95&gt;AB$345,"",AB719+AB999+AB1279)</f>
        <v/>
      </c>
      <c r="AC439" s="119" t="str">
        <f>IF(tech_base!$T95&gt;AC$345,"",AC719+AC999+AC1279)</f>
        <v/>
      </c>
      <c r="AD439" s="119" t="str">
        <f>IF(tech_base!$T95&gt;AD$345,"",AD719+AD999+AD1279)</f>
        <v/>
      </c>
      <c r="AE439" s="119">
        <f>IF(tech_base!$T95&gt;AE$345,"",AE719+AE999+AE1279)</f>
        <v>174.46528065058271</v>
      </c>
      <c r="AF439" s="119">
        <f>IF(tech_base!$T95&gt;AF$345,"",AF719+AF999+AF1279)</f>
        <v>175.82911560097114</v>
      </c>
      <c r="AG439" s="119">
        <f>IF(tech_base!$T95&gt;AG$345,"",AG719+AG999+AG1279)</f>
        <v>177.03980807834051</v>
      </c>
      <c r="AH439" s="119">
        <f>IF(tech_base!$T95&gt;AH$345,"",AH719+AH999+AH1279)</f>
        <v>178.12343435978877</v>
      </c>
      <c r="AI439" s="119">
        <f>IF(tech_base!$T95&gt;AI$345,"",AI719+AI999+AI1279)</f>
        <v>179.0164866050597</v>
      </c>
      <c r="AJ439" s="119">
        <f>IF(tech_base!$T95&gt;AJ$345,"",AJ719+AJ999+AJ1279)</f>
        <v>179.8331012379235</v>
      </c>
      <c r="AK439" s="119">
        <f>IF(tech_base!$T95&gt;AK$345,"",AK719+AK999+AK1279)</f>
        <v>180.45749238168702</v>
      </c>
      <c r="AL439" s="119">
        <f>IF(tech_base!$T95&gt;AL$345,"",AL719+AL999+AL1279)</f>
        <v>181.02440498767197</v>
      </c>
      <c r="AM439" s="119">
        <f>IF(tech_base!$T95&gt;AM$345,"",AM719+AM999+AM1279)</f>
        <v>181.62099846093525</v>
      </c>
      <c r="AN439" s="119">
        <f>IF(tech_base!$T95&gt;AN$345,"",AN719+AN999+AN1279)</f>
        <v>181.39512071351697</v>
      </c>
      <c r="AO439" s="119">
        <f>IF(tech_base!$T95&gt;AO$345,"",AO719+AO999+AO1279)</f>
        <v>181.33282746941117</v>
      </c>
      <c r="AP439" s="119">
        <f>IF(tech_base!$T95&gt;AP$345,"",AP719+AP999+AP1279)</f>
        <v>181.19314825473555</v>
      </c>
      <c r="AQ439" s="119">
        <f>IF(tech_base!$T95&gt;AQ$345,"",AQ719+AQ999+AQ1279)</f>
        <v>180.99890201445447</v>
      </c>
      <c r="AR439" s="119">
        <f>IF(tech_base!$T95&gt;AR$345,"",AR719+AR999+AR1279)</f>
        <v>180.83353310780274</v>
      </c>
      <c r="AS439" s="119">
        <f>IF(tech_base!$T95&gt;AS$345,"",AS719+AS999+AS1279)</f>
        <v>180.63549682313817</v>
      </c>
      <c r="AT439" s="119">
        <f>IF(tech_base!$T95&gt;AT$345,"",AT719+AT999+AT1279)</f>
        <v>180.21308011296912</v>
      </c>
      <c r="AU439" s="119">
        <f>IF(tech_base!$T95&gt;AU$345,"",AU719+AU999+AU1279)</f>
        <v>179.51693680805252</v>
      </c>
      <c r="AV439" s="119">
        <f>IF(tech_base!$T95&gt;AV$345,"",AV719+AV999+AV1279)</f>
        <v>178.48105705393505</v>
      </c>
      <c r="AW439" s="119">
        <f>IF(tech_base!$T95&gt;AW$345,"",AW719+AW999+AW1279)</f>
        <v>176.76297010344811</v>
      </c>
      <c r="AX439" s="120">
        <f>IF(tech_base!$T95&gt;AX$345,"",AX719+AX999+AX1279)</f>
        <v>174.84153742003917</v>
      </c>
    </row>
    <row r="440" spans="1:50" x14ac:dyDescent="0.25">
      <c r="A440" s="356"/>
      <c r="B440" s="380"/>
      <c r="C440" s="381"/>
      <c r="D440" s="4" t="s">
        <v>8</v>
      </c>
      <c r="E440" s="80" t="str">
        <f>A429&amp;"/"&amp;B429&amp;"/"&amp;C439&amp;"/"&amp;D440</f>
        <v>Gas fired power plants (Natural gas, biogas)/Gas turbine combined cycle/CHP with CCS/M</v>
      </c>
      <c r="F440" s="80" t="str">
        <f>A429</f>
        <v>Gas fired power plants (Natural gas, biogas)</v>
      </c>
      <c r="G440" s="80" t="str">
        <f>B429</f>
        <v>Gas turbine combined cycle</v>
      </c>
      <c r="H440" s="80" t="str">
        <f>C439</f>
        <v>CHP with CCS</v>
      </c>
      <c r="I440" s="80" t="str">
        <f t="shared" si="358"/>
        <v>M</v>
      </c>
      <c r="J440" s="127" t="str">
        <f>IF(tech_base!$T96&gt;J$345,"",J720+J1000+J1280)</f>
        <v/>
      </c>
      <c r="K440" s="127" t="str">
        <f>IF(tech_base!$T96&gt;K$345,"",K720+K1000+K1280)</f>
        <v/>
      </c>
      <c r="L440" s="127" t="str">
        <f>IF(tech_base!$T96&gt;L$345,"",L720+L1000+L1280)</f>
        <v/>
      </c>
      <c r="M440" s="127" t="str">
        <f>IF(tech_base!$T96&gt;M$345,"",M720+M1000+M1280)</f>
        <v/>
      </c>
      <c r="N440" s="127" t="str">
        <f>IF(tech_base!$T96&gt;N$345,"",N720+N1000+N1280)</f>
        <v/>
      </c>
      <c r="O440" s="127" t="str">
        <f>IF(tech_base!$T96&gt;O$345,"",O720+O1000+O1280)</f>
        <v/>
      </c>
      <c r="P440" s="127" t="str">
        <f>IF(tech_base!$T96&gt;P$345,"",P720+P1000+P1280)</f>
        <v/>
      </c>
      <c r="Q440" s="127" t="str">
        <f>IF(tech_base!$T96&gt;Q$345,"",Q720+Q1000+Q1280)</f>
        <v/>
      </c>
      <c r="R440" s="127" t="str">
        <f>IF(tech_base!$T96&gt;R$345,"",R720+R1000+R1280)</f>
        <v/>
      </c>
      <c r="S440" s="127" t="str">
        <f>IF(tech_base!$T96&gt;S$345,"",S720+S1000+S1280)</f>
        <v/>
      </c>
      <c r="T440" s="127" t="str">
        <f>IF(tech_base!$T96&gt;T$345,"",T720+T1000+T1280)</f>
        <v/>
      </c>
      <c r="U440" s="127" t="str">
        <f>IF(tech_base!$T96&gt;U$345,"",U720+U1000+U1280)</f>
        <v/>
      </c>
      <c r="V440" s="127" t="str">
        <f>IF(tech_base!$T96&gt;V$345,"",V720+V1000+V1280)</f>
        <v/>
      </c>
      <c r="W440" s="127" t="str">
        <f>IF(tech_base!$T96&gt;W$345,"",W720+W1000+W1280)</f>
        <v/>
      </c>
      <c r="X440" s="127" t="str">
        <f>IF(tech_base!$T96&gt;X$345,"",X720+X1000+X1280)</f>
        <v/>
      </c>
      <c r="Y440" s="127" t="str">
        <f>IF(tech_base!$T96&gt;Y$345,"",Y720+Y1000+Y1280)</f>
        <v/>
      </c>
      <c r="Z440" s="127" t="str">
        <f>IF(tech_base!$T96&gt;Z$345,"",Z720+Z1000+Z1280)</f>
        <v/>
      </c>
      <c r="AA440" s="127" t="str">
        <f>IF(tech_base!$T96&gt;AA$345,"",AA720+AA1000+AA1280)</f>
        <v/>
      </c>
      <c r="AB440" s="127" t="str">
        <f>IF(tech_base!$T96&gt;AB$345,"",AB720+AB1000+AB1280)</f>
        <v/>
      </c>
      <c r="AC440" s="127" t="str">
        <f>IF(tech_base!$T96&gt;AC$345,"",AC720+AC1000+AC1280)</f>
        <v/>
      </c>
      <c r="AD440" s="127" t="str">
        <f>IF(tech_base!$T96&gt;AD$345,"",AD720+AD1000+AD1280)</f>
        <v/>
      </c>
      <c r="AE440" s="127">
        <f>IF(tech_base!$T96&gt;AE$345,"",AE720+AE1000+AE1280)</f>
        <v>195.69519055438178</v>
      </c>
      <c r="AF440" s="127">
        <f>IF(tech_base!$T96&gt;AF$345,"",AF720+AF1000+AF1280)</f>
        <v>197.14390631434176</v>
      </c>
      <c r="AG440" s="127">
        <f>IF(tech_base!$T96&gt;AG$345,"",AG720+AG1000+AG1280)</f>
        <v>198.43021126538881</v>
      </c>
      <c r="AH440" s="127">
        <f>IF(tech_base!$T96&gt;AH$345,"",AH720+AH1000+AH1280)</f>
        <v>199.58184948096127</v>
      </c>
      <c r="AI440" s="127">
        <f>IF(tech_base!$T96&gt;AI$345,"",AI720+AI1000+AI1280)</f>
        <v>200.53145354227144</v>
      </c>
      <c r="AJ440" s="127">
        <f>IF(tech_base!$T96&gt;AJ$345,"",AJ720+AJ1000+AJ1280)</f>
        <v>201.40031250044947</v>
      </c>
      <c r="AK440" s="127">
        <f>IF(tech_base!$T96&gt;AK$345,"",AK720+AK1000+AK1280)</f>
        <v>202.06558496902602</v>
      </c>
      <c r="AL440" s="127">
        <f>IF(tech_base!$T96&gt;AL$345,"",AL720+AL1000+AL1280)</f>
        <v>202.67050883886185</v>
      </c>
      <c r="AM440" s="127">
        <f>IF(tech_base!$T96&gt;AM$345,"",AM720+AM1000+AM1280)</f>
        <v>203.3078526379405</v>
      </c>
      <c r="AN440" s="127">
        <f>IF(tech_base!$T96&gt;AN$345,"",AN720+AN1000+AN1280)</f>
        <v>203.07273966281164</v>
      </c>
      <c r="AO440" s="127">
        <f>IF(tech_base!$T96&gt;AO$345,"",AO720+AO1000+AO1280)</f>
        <v>203.01272893321905</v>
      </c>
      <c r="AP440" s="127">
        <f>IF(tech_base!$T96&gt;AP$345,"",AP720+AP1000+AP1280)</f>
        <v>202.87224379506711</v>
      </c>
      <c r="AQ440" s="127">
        <f>IF(tech_base!$T96&gt;AQ$345,"",AQ720+AQ1000+AQ1280)</f>
        <v>202.67598287716532</v>
      </c>
      <c r="AR440" s="127">
        <f>IF(tech_base!$T96&gt;AR$345,"",AR720+AR1000+AR1280)</f>
        <v>202.51321348109494</v>
      </c>
      <c r="AS440" s="127">
        <f>IF(tech_base!$T96&gt;AS$345,"",AS720+AS1000+AS1280)</f>
        <v>202.31928705509571</v>
      </c>
      <c r="AT440" s="127">
        <f>IF(tech_base!$T96&gt;AT$345,"",AT720+AT1000+AT1280)</f>
        <v>201.89121174654099</v>
      </c>
      <c r="AU440" s="127">
        <f>IF(tech_base!$T96&gt;AU$345,"",AU720+AU1000+AU1280)</f>
        <v>201.1772938004097</v>
      </c>
      <c r="AV440" s="127">
        <f>IF(tech_base!$T96&gt;AV$345,"",AV720+AV1000+AV1280)</f>
        <v>200.10801947530814</v>
      </c>
      <c r="AW440" s="127">
        <f>IF(tech_base!$T96&gt;AW$345,"",AW720+AW1000+AW1280)</f>
        <v>198.31912688957971</v>
      </c>
      <c r="AX440" s="128">
        <f>IF(tech_base!$T96&gt;AX$345,"",AX720+AX1000+AX1280)</f>
        <v>196.32044640574114</v>
      </c>
    </row>
    <row r="441" spans="1:50" x14ac:dyDescent="0.25">
      <c r="A441" s="356"/>
      <c r="B441" s="358" t="s">
        <v>24</v>
      </c>
      <c r="C441" s="353" t="s">
        <v>6</v>
      </c>
      <c r="D441" s="3" t="s">
        <v>8</v>
      </c>
      <c r="E441" s="77" t="str">
        <f>A429&amp;"/"&amp;B441&amp;"/"&amp;C441&amp;"/"&amp;D441</f>
        <v>Gas fired power plants (Natural gas, biogas)/Gas turbine /Electricity only/M</v>
      </c>
      <c r="F441" s="77" t="str">
        <f>A429</f>
        <v>Gas fired power plants (Natural gas, biogas)</v>
      </c>
      <c r="G441" s="77" t="str">
        <f>B441</f>
        <v xml:space="preserve">Gas turbine </v>
      </c>
      <c r="H441" s="77" t="str">
        <f>C441</f>
        <v>Electricity only</v>
      </c>
      <c r="I441" s="77" t="str">
        <f t="shared" si="358"/>
        <v>M</v>
      </c>
      <c r="J441" s="121">
        <f>IF(tech_base!$T97&gt;J$345,"",J721+J1001+J1281)</f>
        <v>95.89958844209761</v>
      </c>
      <c r="K441" s="121">
        <f>IF(tech_base!$T97&gt;K$345,"",K721+K1001+K1281)</f>
        <v>107.06005161485626</v>
      </c>
      <c r="L441" s="121">
        <f>IF(tech_base!$T97&gt;L$345,"",L721+L1001+L1281)</f>
        <v>117.58656340620753</v>
      </c>
      <c r="M441" s="121">
        <f>IF(tech_base!$T97&gt;M$345,"",M721+M1001+M1281)</f>
        <v>115.31833601704315</v>
      </c>
      <c r="N441" s="121">
        <f>IF(tech_base!$T97&gt;N$345,"",N721+N1001+N1281)</f>
        <v>100.04640408576977</v>
      </c>
      <c r="O441" s="121">
        <f>IF(tech_base!$T97&gt;O$345,"",O721+O1001+O1281)</f>
        <v>87.108843537810301</v>
      </c>
      <c r="P441" s="121">
        <f>IF(tech_base!$T97&gt;P$345,"",P721+P1001+P1281)</f>
        <v>64.867094393070587</v>
      </c>
      <c r="Q441" s="121">
        <f>IF(tech_base!$T97&gt;Q$345,"",Q721+Q1001+Q1281)</f>
        <v>73.066804246241105</v>
      </c>
      <c r="R441" s="121">
        <f>IF(tech_base!$T97&gt;R$345,"",R721+R1001+R1281)</f>
        <v>78.790319032567112</v>
      </c>
      <c r="S441" s="121">
        <f>IF(tech_base!$T97&gt;S$345,"",S721+S1001+S1281)</f>
        <v>84.564223642553856</v>
      </c>
      <c r="T441" s="121">
        <f>IF(tech_base!$T97&gt;T$345,"",T721+T1001+T1281)</f>
        <v>90.273369032304046</v>
      </c>
      <c r="U441" s="121">
        <f>IF(tech_base!$T97&gt;U$345,"",U721+U1001+U1281)</f>
        <v>95.84202099306583</v>
      </c>
      <c r="V441" s="121">
        <f>IF(tech_base!$T97&gt;V$345,"",V721+V1001+V1281)</f>
        <v>99.470949107837512</v>
      </c>
      <c r="W441" s="121">
        <f>IF(tech_base!$T97&gt;W$345,"",W721+W1001+W1281)</f>
        <v>103.76845911469839</v>
      </c>
      <c r="X441" s="121">
        <f>IF(tech_base!$T97&gt;X$345,"",X721+X1001+X1281)</f>
        <v>107.82866369759134</v>
      </c>
      <c r="Y441" s="121">
        <f>IF(tech_base!$T97&gt;Y$345,"",Y721+Y1001+Y1281)</f>
        <v>111.65615438193592</v>
      </c>
      <c r="Z441" s="121">
        <f>IF(tech_base!$T97&gt;Z$345,"",Z721+Z1001+Z1281)</f>
        <v>113.03153692250832</v>
      </c>
      <c r="AA441" s="121">
        <f>IF(tech_base!$T97&gt;AA$345,"",AA721+AA1001+AA1281)</f>
        <v>114.31844493767564</v>
      </c>
      <c r="AB441" s="121">
        <f>IF(tech_base!$T97&gt;AB$345,"",AB721+AB1001+AB1281)</f>
        <v>115.74369607484768</v>
      </c>
      <c r="AC441" s="121">
        <f>IF(tech_base!$T97&gt;AC$345,"",AC721+AC1001+AC1281)</f>
        <v>117.16928143051263</v>
      </c>
      <c r="AD441" s="121">
        <f>IF(tech_base!$T97&gt;AD$345,"",AD721+AD1001+AD1281)</f>
        <v>119.23851071702396</v>
      </c>
      <c r="AE441" s="121">
        <f>IF(tech_base!$T97&gt;AE$345,"",AE721+AE1001+AE1281)</f>
        <v>120.55102301838312</v>
      </c>
      <c r="AF441" s="121">
        <f>IF(tech_base!$T97&gt;AF$345,"",AF721+AF1001+AF1281)</f>
        <v>122.04727277123165</v>
      </c>
      <c r="AG441" s="121">
        <f>IF(tech_base!$T97&gt;AG$345,"",AG721+AG1001+AG1281)</f>
        <v>123.38578078069382</v>
      </c>
      <c r="AH441" s="121">
        <f>IF(tech_base!$T97&gt;AH$345,"",AH721+AH1001+AH1281)</f>
        <v>124.59851529231223</v>
      </c>
      <c r="AI441" s="121">
        <f>IF(tech_base!$T97&gt;AI$345,"",AI721+AI1001+AI1281)</f>
        <v>125.62048902203205</v>
      </c>
      <c r="AJ441" s="121">
        <f>IF(tech_base!$T97&gt;AJ$345,"",AJ721+AJ1001+AJ1281)</f>
        <v>126.58203992683507</v>
      </c>
      <c r="AK441" s="121">
        <f>IF(tech_base!$T97&gt;AK$345,"",AK721+AK1001+AK1281)</f>
        <v>127.36366328363415</v>
      </c>
      <c r="AL441" s="121">
        <f>IF(tech_base!$T97&gt;AL$345,"",AL721+AL1001+AL1281)</f>
        <v>128.12149683666121</v>
      </c>
      <c r="AM441" s="121">
        <f>IF(tech_base!$T97&gt;AM$345,"",AM721+AM1001+AM1281)</f>
        <v>128.96197880455628</v>
      </c>
      <c r="AN441" s="121">
        <f>IF(tech_base!$T97&gt;AN$345,"",AN721+AN1001+AN1281)</f>
        <v>128.96592979863806</v>
      </c>
      <c r="AO441" s="121">
        <f>IF(tech_base!$T97&gt;AO$345,"",AO721+AO1001+AO1281)</f>
        <v>129.2285037090999</v>
      </c>
      <c r="AP441" s="121">
        <f>IF(tech_base!$T97&gt;AP$345,"",AP721+AP1001+AP1281)</f>
        <v>129.50565960117464</v>
      </c>
      <c r="AQ441" s="121">
        <f>IF(tech_base!$T97&gt;AQ$345,"",AQ721+AQ1001+AQ1281)</f>
        <v>129.8455854232129</v>
      </c>
      <c r="AR441" s="121">
        <f>IF(tech_base!$T97&gt;AR$345,"",AR721+AR1001+AR1281)</f>
        <v>130.36683571262392</v>
      </c>
      <c r="AS441" s="121">
        <f>IF(tech_base!$T97&gt;AS$345,"",AS721+AS1001+AS1281)</f>
        <v>131.03170296860924</v>
      </c>
      <c r="AT441" s="121">
        <f>IF(tech_base!$T97&gt;AT$345,"",AT721+AT1001+AT1281)</f>
        <v>131.65925590958071</v>
      </c>
      <c r="AU441" s="121">
        <f>IF(tech_base!$T97&gt;AU$345,"",AU721+AU1001+AU1281)</f>
        <v>132.22271736352832</v>
      </c>
      <c r="AV441" s="121">
        <f>IF(tech_base!$T97&gt;AV$345,"",AV721+AV1001+AV1281)</f>
        <v>132.66994858456718</v>
      </c>
      <c r="AW441" s="121">
        <f>IF(tech_base!$T97&gt;AW$345,"",AW721+AW1001+AW1281)</f>
        <v>132.62487425054564</v>
      </c>
      <c r="AX441" s="122">
        <f>IF(tech_base!$T97&gt;AX$345,"",AX721+AX1001+AX1281)</f>
        <v>132.61272409813577</v>
      </c>
    </row>
    <row r="442" spans="1:50" x14ac:dyDescent="0.25">
      <c r="A442" s="356"/>
      <c r="B442" s="376"/>
      <c r="C442" s="378"/>
      <c r="D442" s="2" t="s">
        <v>10</v>
      </c>
      <c r="E442" s="76" t="str">
        <f>A429&amp;"/"&amp;B441&amp;"/"&amp;C441&amp;"/"&amp;D442</f>
        <v>Gas fired power plants (Natural gas, biogas)/Gas turbine /Electricity only/S</v>
      </c>
      <c r="F442" s="76" t="str">
        <f>A429</f>
        <v>Gas fired power plants (Natural gas, biogas)</v>
      </c>
      <c r="G442" s="76" t="str">
        <f>B441</f>
        <v xml:space="preserve">Gas turbine </v>
      </c>
      <c r="H442" s="76" t="str">
        <f>C441</f>
        <v>Electricity only</v>
      </c>
      <c r="I442" s="76" t="str">
        <f t="shared" si="358"/>
        <v>S</v>
      </c>
      <c r="J442" s="119">
        <f>IF(tech_base!$T98&gt;J$345,"",J722+J1002+J1282)</f>
        <v>101.10403058412018</v>
      </c>
      <c r="K442" s="119">
        <f>IF(tech_base!$T98&gt;K$345,"",K722+K1002+K1282)</f>
        <v>112.83745321828832</v>
      </c>
      <c r="L442" s="119">
        <f>IF(tech_base!$T98&gt;L$345,"",L722+L1002+L1282)</f>
        <v>123.90435248352156</v>
      </c>
      <c r="M442" s="119">
        <f>IF(tech_base!$T98&gt;M$345,"",M722+M1002+M1282)</f>
        <v>121.51952099014875</v>
      </c>
      <c r="N442" s="119">
        <f>IF(tech_base!$T98&gt;N$345,"",N722+N1002+N1282)</f>
        <v>105.46327842718857</v>
      </c>
      <c r="O442" s="119">
        <f>IF(tech_base!$T98&gt;O$345,"",O722+O1002+O1282)</f>
        <v>91.861265249214199</v>
      </c>
      <c r="P442" s="119">
        <f>IF(tech_base!$T98&gt;P$345,"",P722+P1002+P1282)</f>
        <v>68.477334811799921</v>
      </c>
      <c r="Q442" s="119">
        <f>IF(tech_base!$T98&gt;Q$345,"",Q722+Q1002+Q1282)</f>
        <v>77.09787288672203</v>
      </c>
      <c r="R442" s="119">
        <f>IF(tech_base!$T98&gt;R$345,"",R722+R1002+R1282)</f>
        <v>83.115044207459164</v>
      </c>
      <c r="S442" s="119">
        <f>IF(tech_base!$T98&gt;S$345,"",S722+S1002+S1282)</f>
        <v>89.185156719711401</v>
      </c>
      <c r="T442" s="119">
        <f>IF(tech_base!$T98&gt;T$345,"",T722+T1002+T1282)</f>
        <v>95.18714391805355</v>
      </c>
      <c r="U442" s="119">
        <f>IF(tech_base!$T98&gt;U$345,"",U722+U1002+U1282)</f>
        <v>101.04137743393042</v>
      </c>
      <c r="V442" s="119">
        <f>IF(tech_base!$T98&gt;V$345,"",V722+V1002+V1282)</f>
        <v>104.85624959621171</v>
      </c>
      <c r="W442" s="119">
        <f>IF(tech_base!$T98&gt;W$345,"",W722+W1002+W1282)</f>
        <v>109.37397130562806</v>
      </c>
      <c r="X442" s="119">
        <f>IF(tech_base!$T98&gt;X$345,"",X722+X1002+X1282)</f>
        <v>113.6421396597847</v>
      </c>
      <c r="Y442" s="119">
        <f>IF(tech_base!$T98&gt;Y$345,"",Y722+Y1002+Y1282)</f>
        <v>117.66557434057226</v>
      </c>
      <c r="Z442" s="119">
        <f>IF(tech_base!$T98&gt;Z$345,"",Z722+Z1002+Z1282)</f>
        <v>119.11094847599875</v>
      </c>
      <c r="AA442" s="119">
        <f>IF(tech_base!$T98&gt;AA$345,"",AA722+AA1002+AA1282)</f>
        <v>120.46322685245119</v>
      </c>
      <c r="AB442" s="119">
        <f>IF(tech_base!$T98&gt;AB$345,"",AB722+AB1002+AB1282)</f>
        <v>121.96086067810032</v>
      </c>
      <c r="AC442" s="119">
        <f>IF(tech_base!$T98&gt;AC$345,"",AC722+AC1002+AC1282)</f>
        <v>123.45874756809064</v>
      </c>
      <c r="AD442" s="119">
        <f>IF(tech_base!$T98&gt;AD$345,"",AD722+AD1002+AD1282)</f>
        <v>125.63320130323487</v>
      </c>
      <c r="AE442" s="119">
        <f>IF(tech_base!$T98&gt;AE$345,"",AE722+AE1002+AE1282)</f>
        <v>127.01198467674155</v>
      </c>
      <c r="AF442" s="119">
        <f>IF(tech_base!$T98&gt;AF$345,"",AF722+AF1002+AF1282)</f>
        <v>128.58380671575105</v>
      </c>
      <c r="AG442" s="119">
        <f>IF(tech_base!$T98&gt;AG$345,"",AG722+AG1002+AG1282)</f>
        <v>129.98965732590878</v>
      </c>
      <c r="AH442" s="119">
        <f>IF(tech_base!$T98&gt;AH$345,"",AH722+AH1002+AH1282)</f>
        <v>131.26313946789043</v>
      </c>
      <c r="AI442" s="119">
        <f>IF(tech_base!$T98&gt;AI$345,"",AI722+AI1002+AI1282)</f>
        <v>132.33592881485598</v>
      </c>
      <c r="AJ442" s="119">
        <f>IF(tech_base!$T98&gt;AJ$345,"",AJ722+AJ1002+AJ1282)</f>
        <v>133.34504781135928</v>
      </c>
      <c r="AK442" s="119">
        <f>IF(tech_base!$T98&gt;AK$345,"",AK722+AK1002+AK1282)</f>
        <v>134.16486447964991</v>
      </c>
      <c r="AL442" s="119">
        <f>IF(tech_base!$T98&gt;AL$345,"",AL722+AL1002+AL1282)</f>
        <v>134.9595285048824</v>
      </c>
      <c r="AM442" s="119">
        <f>IF(tech_base!$T98&gt;AM$345,"",AM722+AM1002+AM1282)</f>
        <v>135.84094135946648</v>
      </c>
      <c r="AN442" s="119">
        <f>IF(tech_base!$T98&gt;AN$345,"",AN722+AN1002+AN1282)</f>
        <v>135.84282440829674</v>
      </c>
      <c r="AO442" s="119">
        <f>IF(tech_base!$T98&gt;AO$345,"",AO722+AO1002+AO1282)</f>
        <v>136.11648753842417</v>
      </c>
      <c r="AP442" s="119">
        <f>IF(tech_base!$T98&gt;AP$345,"",AP722+AP1002+AP1282)</f>
        <v>136.4054008731114</v>
      </c>
      <c r="AQ442" s="119">
        <f>IF(tech_base!$T98&gt;AQ$345,"",AQ722+AQ1002+AQ1282)</f>
        <v>136.76024543827739</v>
      </c>
      <c r="AR442" s="119">
        <f>IF(tech_base!$T98&gt;AR$345,"",AR722+AR1002+AR1282)</f>
        <v>137.30567437364763</v>
      </c>
      <c r="AS442" s="119">
        <f>IF(tech_base!$T98&gt;AS$345,"",AS722+AS1002+AS1282)</f>
        <v>138.00207702813879</v>
      </c>
      <c r="AT442" s="119">
        <f>IF(tech_base!$T98&gt;AT$345,"",AT722+AT1002+AT1282)</f>
        <v>138.65929212857418</v>
      </c>
      <c r="AU442" s="119">
        <f>IF(tech_base!$T98&gt;AU$345,"",AU722+AU1002+AU1282)</f>
        <v>139.24921114205236</v>
      </c>
      <c r="AV442" s="119">
        <f>IF(tech_base!$T98&gt;AV$345,"",AV722+AV1002+AV1282)</f>
        <v>139.71706775119117</v>
      </c>
      <c r="AW442" s="119">
        <f>IF(tech_base!$T98&gt;AW$345,"",AW722+AW1002+AW1282)</f>
        <v>139.66758698991143</v>
      </c>
      <c r="AX442" s="120">
        <f>IF(tech_base!$T98&gt;AX$345,"",AX722+AX1002+AX1282)</f>
        <v>139.65291217450266</v>
      </c>
    </row>
    <row r="443" spans="1:50" x14ac:dyDescent="0.25">
      <c r="A443" s="356"/>
      <c r="B443" s="376"/>
      <c r="C443" s="379"/>
      <c r="D443" s="59" t="s">
        <v>20</v>
      </c>
      <c r="E443" s="76" t="str">
        <f>A429&amp;"/"&amp;B441&amp;"/"&amp;C441&amp;"/"&amp;D443</f>
        <v>Gas fired power plants (Natural gas, biogas)/Gas turbine /Electricity only/XS</v>
      </c>
      <c r="F443" s="76" t="str">
        <f>A429</f>
        <v>Gas fired power plants (Natural gas, biogas)</v>
      </c>
      <c r="G443" s="76" t="str">
        <f>B441</f>
        <v xml:space="preserve">Gas turbine </v>
      </c>
      <c r="H443" s="76" t="str">
        <f>C441</f>
        <v>Electricity only</v>
      </c>
      <c r="I443" s="76" t="str">
        <f t="shared" si="358"/>
        <v>XS</v>
      </c>
      <c r="J443" s="119">
        <f>IF(tech_base!$T99&gt;J$345,"",J723+J1003+J1283)</f>
        <v>114.27097566592808</v>
      </c>
      <c r="K443" s="119">
        <f>IF(tech_base!$T99&gt;K$345,"",K723+K1003+K1283)</f>
        <v>126.60953657746633</v>
      </c>
      <c r="L443" s="119">
        <f>IF(tech_base!$T99&gt;L$345,"",L723+L1003+L1283)</f>
        <v>138.24779354730188</v>
      </c>
      <c r="M443" s="119">
        <f>IF(tech_base!$T99&gt;M$345,"",M723+M1003+M1283)</f>
        <v>135.74260371569778</v>
      </c>
      <c r="N443" s="119">
        <f>IF(tech_base!$T99&gt;N$345,"",N723+N1003+N1283)</f>
        <v>118.86230868569527</v>
      </c>
      <c r="O443" s="119">
        <f>IF(tech_base!$T99&gt;O$345,"",O723+O1003+O1283)</f>
        <v>104.562223022732</v>
      </c>
      <c r="P443" s="119">
        <f>IF(tech_base!$T99&gt;P$345,"",P723+P1003+P1283)</f>
        <v>79.975851640532383</v>
      </c>
      <c r="Q443" s="119">
        <f>IF(tech_base!$T99&gt;Q$345,"",Q723+Q1003+Q1283)</f>
        <v>89.042741941045009</v>
      </c>
      <c r="R443" s="119">
        <f>IF(tech_base!$T99&gt;R$345,"",R723+R1003+R1283)</f>
        <v>95.372600188707864</v>
      </c>
      <c r="S443" s="119">
        <f>IF(tech_base!$T99&gt;S$345,"",S723+S1003+S1283)</f>
        <v>101.75864219253336</v>
      </c>
      <c r="T443" s="119">
        <f>IF(tech_base!$T99&gt;T$345,"",T723+T1003+T1283)</f>
        <v>108.07360159618011</v>
      </c>
      <c r="U443" s="119">
        <f>IF(tech_base!$T99&gt;U$345,"",U723+U1003+U1283)</f>
        <v>114.23377693428165</v>
      </c>
      <c r="V443" s="119">
        <f>IF(tech_base!$T99&gt;V$345,"",V723+V1003+V1283)</f>
        <v>118.24980322449242</v>
      </c>
      <c r="W443" s="119">
        <f>IF(tech_base!$T99&gt;W$345,"",W723+W1003+W1283)</f>
        <v>123.00557133141301</v>
      </c>
      <c r="X443" s="119">
        <f>IF(tech_base!$T99&gt;X$345,"",X723+X1003+X1283)</f>
        <v>127.49947959137251</v>
      </c>
      <c r="Y443" s="119">
        <f>IF(tech_base!$T99&gt;Y$345,"",Y723+Y1003+Y1283)</f>
        <v>131.73659282206947</v>
      </c>
      <c r="Z443" s="119">
        <f>IF(tech_base!$T99&gt;Z$345,"",Z723+Z1003+Z1283)</f>
        <v>133.26255989027328</v>
      </c>
      <c r="AA443" s="119">
        <f>IF(tech_base!$T99&gt;AA$345,"",AA723+AA1003+AA1283)</f>
        <v>134.69097690589143</v>
      </c>
      <c r="AB443" s="119">
        <f>IF(tech_base!$T99&gt;AB$345,"",AB723+AB1003+AB1283)</f>
        <v>136.27265038554185</v>
      </c>
      <c r="AC443" s="119">
        <f>IF(tech_base!$T99&gt;AC$345,"",AC723+AC1003+AC1283)</f>
        <v>137.85492160223808</v>
      </c>
      <c r="AD443" s="119">
        <f>IF(tech_base!$T99&gt;AD$345,"",AD723+AD1003+AD1283)</f>
        <v>140.14927628039007</v>
      </c>
      <c r="AE443" s="119">
        <f>IF(tech_base!$T99&gt;AE$345,"",AE723+AE1003+AE1283)</f>
        <v>141.60679220171949</v>
      </c>
      <c r="AF443" s="119">
        <f>IF(tech_base!$T99&gt;AF$345,"",AF723+AF1003+AF1283)</f>
        <v>143.26756416177233</v>
      </c>
      <c r="AG443" s="119">
        <f>IF(tech_base!$T99&gt;AG$345,"",AG723+AG1003+AG1283)</f>
        <v>144.75376816828074</v>
      </c>
      <c r="AH443" s="119">
        <f>IF(tech_base!$T99&gt;AH$345,"",AH723+AH1003+AH1283)</f>
        <v>146.10062537426728</v>
      </c>
      <c r="AI443" s="119">
        <f>IF(tech_base!$T99&gt;AI$345,"",AI723+AI1003+AI1283)</f>
        <v>147.2360808434911</v>
      </c>
      <c r="AJ443" s="119">
        <f>IF(tech_base!$T99&gt;AJ$345,"",AJ723+AJ1003+AJ1283)</f>
        <v>148.30415921138322</v>
      </c>
      <c r="AK443" s="119">
        <f>IF(tech_base!$T99&gt;AK$345,"",AK723+AK1003+AK1283)</f>
        <v>149.17246049843172</v>
      </c>
      <c r="AL443" s="119">
        <f>IF(tech_base!$T99&gt;AL$345,"",AL723+AL1003+AL1283)</f>
        <v>150.01355339721334</v>
      </c>
      <c r="AM443" s="119">
        <f>IF(tech_base!$T99&gt;AM$345,"",AM723+AM1003+AM1283)</f>
        <v>150.94503949477453</v>
      </c>
      <c r="AN443" s="119">
        <f>IF(tech_base!$T99&gt;AN$345,"",AN723+AN1003+AN1283)</f>
        <v>150.94957483411594</v>
      </c>
      <c r="AO443" s="119">
        <f>IF(tech_base!$T99&gt;AO$345,"",AO723+AO1003+AO1283)</f>
        <v>151.23884292069505</v>
      </c>
      <c r="AP443" s="119">
        <f>IF(tech_base!$T99&gt;AP$345,"",AP723+AP1003+AP1283)</f>
        <v>151.54264532272111</v>
      </c>
      <c r="AQ443" s="119">
        <f>IF(tech_base!$T99&gt;AQ$345,"",AQ723+AQ1003+AQ1283)</f>
        <v>151.91418128774191</v>
      </c>
      <c r="AR443" s="119">
        <f>IF(tech_base!$T99&gt;AR$345,"",AR723+AR1003+AR1283)</f>
        <v>152.48455692332692</v>
      </c>
      <c r="AS443" s="119">
        <f>IF(tech_base!$T99&gt;AS$345,"",AS723+AS1003+AS1283)</f>
        <v>153.21196957306026</v>
      </c>
      <c r="AT443" s="119">
        <f>IF(tech_base!$T99&gt;AT$345,"",AT723+AT1003+AT1283)</f>
        <v>153.89612944933984</v>
      </c>
      <c r="AU443" s="119">
        <f>IF(tech_base!$T99&gt;AU$345,"",AU723+AU1003+AU1283)</f>
        <v>154.50739413611518</v>
      </c>
      <c r="AV443" s="119">
        <f>IF(tech_base!$T99&gt;AV$345,"",AV723+AV1003+AV1283)</f>
        <v>154.98809943377063</v>
      </c>
      <c r="AW443" s="119">
        <f>IF(tech_base!$T99&gt;AW$345,"",AW723+AW1003+AW1283)</f>
        <v>154.92212575107587</v>
      </c>
      <c r="AX443" s="120">
        <f>IF(tech_base!$T99&gt;AX$345,"",AX723+AX1003+AX1283)</f>
        <v>154.89091460471818</v>
      </c>
    </row>
    <row r="444" spans="1:50" x14ac:dyDescent="0.25">
      <c r="A444" s="356"/>
      <c r="B444" s="376"/>
      <c r="C444" s="361" t="s">
        <v>14</v>
      </c>
      <c r="D444" s="2" t="s">
        <v>8</v>
      </c>
      <c r="E444" s="78" t="str">
        <f>A429&amp;"/"&amp;B441&amp;"/"&amp;C444&amp;"/"&amp;D444</f>
        <v>Gas fired power plants (Natural gas, biogas)/Gas turbine /CHP/M</v>
      </c>
      <c r="F444" s="78" t="str">
        <f>A429</f>
        <v>Gas fired power plants (Natural gas, biogas)</v>
      </c>
      <c r="G444" s="78" t="str">
        <f>B441</f>
        <v xml:space="preserve">Gas turbine </v>
      </c>
      <c r="H444" s="78" t="str">
        <f>C444</f>
        <v>CHP</v>
      </c>
      <c r="I444" s="78" t="str">
        <f t="shared" si="358"/>
        <v>M</v>
      </c>
      <c r="J444" s="123">
        <f>IF(tech_base!$T100&gt;J$345,"",J724+J1004+J1284)</f>
        <v>113.09222974038457</v>
      </c>
      <c r="K444" s="123">
        <f>IF(tech_base!$T100&gt;K$345,"",K724+K1004+K1284)</f>
        <v>125.40595484950117</v>
      </c>
      <c r="L444" s="123">
        <f>IF(tech_base!$T100&gt;L$345,"",L724+L1004+L1284)</f>
        <v>137.02179828210132</v>
      </c>
      <c r="M444" s="123">
        <f>IF(tech_base!$T100&gt;M$345,"",M724+M1004+M1284)</f>
        <v>134.52730345573789</v>
      </c>
      <c r="N444" s="123">
        <f>IF(tech_base!$T100&gt;N$345,"",N724+N1004+N1284)</f>
        <v>117.69053091778405</v>
      </c>
      <c r="O444" s="123">
        <f>IF(tech_base!$T100&gt;O$345,"",O724+O1004+O1284)</f>
        <v>103.42794374772096</v>
      </c>
      <c r="P444" s="123">
        <f>IF(tech_base!$T100&gt;P$345,"",P724+P1004+P1284)</f>
        <v>78.901577648623402</v>
      </c>
      <c r="Q444" s="123">
        <f>IF(tech_base!$T100&gt;Q$345,"",Q724+Q1004+Q1284)</f>
        <v>87.954310582181165</v>
      </c>
      <c r="R444" s="123">
        <f>IF(tech_base!$T100&gt;R$345,"",R724+R1004+R1284)</f>
        <v>94.276993764787093</v>
      </c>
      <c r="S444" s="123">
        <f>IF(tech_base!$T100&gt;S$345,"",S724+S1004+S1284)</f>
        <v>100.65678663418169</v>
      </c>
      <c r="T444" s="123">
        <f>IF(tech_base!$T100&gt;T$345,"",T724+T1004+T1284)</f>
        <v>106.96680595124485</v>
      </c>
      <c r="U444" s="123">
        <f>IF(tech_base!$T100&gt;U$345,"",U724+U1004+U1284)</f>
        <v>113.12363454598176</v>
      </c>
      <c r="V444" s="123">
        <f>IF(tech_base!$T100&gt;V$345,"",V724+V1004+V1284)</f>
        <v>117.14197801782835</v>
      </c>
      <c r="W444" s="123">
        <f>IF(tech_base!$T100&gt;W$345,"",W724+W1004+W1284)</f>
        <v>121.89995364319162</v>
      </c>
      <c r="X444" s="123">
        <f>IF(tech_base!$T100&gt;X$345,"",X724+X1004+X1284)</f>
        <v>126.39809006688525</v>
      </c>
      <c r="Y444" s="123">
        <f>IF(tech_base!$T100&gt;Y$345,"",Y724+Y1004+Y1284)</f>
        <v>130.64153508936633</v>
      </c>
      <c r="Z444" s="123">
        <f>IF(tech_base!$T100&gt;Z$345,"",Z724+Z1004+Z1284)</f>
        <v>132.18036940130207</v>
      </c>
      <c r="AA444" s="123">
        <f>IF(tech_base!$T100&gt;AA$345,"",AA724+AA1004+AA1284)</f>
        <v>133.62333391430548</v>
      </c>
      <c r="AB444" s="123">
        <f>IF(tech_base!$T100&gt;AB$345,"",AB724+AB1004+AB1284)</f>
        <v>135.22090515649944</v>
      </c>
      <c r="AC444" s="123">
        <f>IF(tech_base!$T100&gt;AC$345,"",AC724+AC1004+AC1284)</f>
        <v>136.82079338011505</v>
      </c>
      <c r="AD444" s="123">
        <f>IF(tech_base!$T100&gt;AD$345,"",AD724+AD1004+AD1284)</f>
        <v>139.13353978795558</v>
      </c>
      <c r="AE444" s="123">
        <f>IF(tech_base!$T100&gt;AE$345,"",AE724+AE1004+AE1284)</f>
        <v>140.61262951172506</v>
      </c>
      <c r="AF444" s="123">
        <f>IF(tech_base!$T100&gt;AF$345,"",AF724+AF1004+AF1284)</f>
        <v>142.29668201309079</v>
      </c>
      <c r="AG444" s="123">
        <f>IF(tech_base!$T100&gt;AG$345,"",AG724+AG1004+AG1284)</f>
        <v>143.8084433704675</v>
      </c>
      <c r="AH444" s="123">
        <f>IF(tech_base!$T100&gt;AH$345,"",AH724+AH1004+AH1284)</f>
        <v>145.18309203419227</v>
      </c>
      <c r="AI444" s="123">
        <f>IF(tech_base!$T100&gt;AI$345,"",AI724+AI1004+AI1284)</f>
        <v>146.34861970296447</v>
      </c>
      <c r="AJ444" s="123">
        <f>IF(tech_base!$T100&gt;AJ$345,"",AJ724+AJ1004+AJ1284)</f>
        <v>147.44885563946966</v>
      </c>
      <c r="AK444" s="123">
        <f>IF(tech_base!$T100&gt;AK$345,"",AK724+AK1004+AK1284)</f>
        <v>148.35142970474263</v>
      </c>
      <c r="AL444" s="123">
        <f>IF(tech_base!$T100&gt;AL$345,"",AL724+AL1004+AL1284)</f>
        <v>149.22866556371733</v>
      </c>
      <c r="AM444" s="123">
        <f>IF(tech_base!$T100&gt;AM$345,"",AM724+AM1004+AM1284)</f>
        <v>150.19799483962834</v>
      </c>
      <c r="AN444" s="123">
        <f>IF(tech_base!$T100&gt;AN$345,"",AN724+AN1004+AN1284)</f>
        <v>150.2422103879523</v>
      </c>
      <c r="AO444" s="123">
        <f>IF(tech_base!$T100&gt;AO$345,"",AO724+AO1004+AO1284)</f>
        <v>150.57225553384421</v>
      </c>
      <c r="AP444" s="123">
        <f>IF(tech_base!$T100&gt;AP$345,"",AP724+AP1004+AP1284)</f>
        <v>150.91778947870029</v>
      </c>
      <c r="AQ444" s="123">
        <f>IF(tech_base!$T100&gt;AQ$345,"",AQ724+AQ1004+AQ1284)</f>
        <v>151.33172583937795</v>
      </c>
      <c r="AR444" s="123">
        <f>IF(tech_base!$T100&gt;AR$345,"",AR724+AR1004+AR1284)</f>
        <v>151.94490079011615</v>
      </c>
      <c r="AS444" s="123">
        <f>IF(tech_base!$T100&gt;AS$345,"",AS724+AS1004+AS1284)</f>
        <v>152.71518558147568</v>
      </c>
      <c r="AT444" s="123">
        <f>IF(tech_base!$T100&gt;AT$345,"",AT724+AT1004+AT1284)</f>
        <v>153.44178285082842</v>
      </c>
      <c r="AU444" s="123">
        <f>IF(tech_base!$T100&gt;AU$345,"",AU724+AU1004+AU1284)</f>
        <v>154.09452350651031</v>
      </c>
      <c r="AV444" s="123">
        <f>IF(tech_base!$T100&gt;AV$345,"",AV724+AV1004+AV1284)</f>
        <v>154.61514193038352</v>
      </c>
      <c r="AW444" s="123">
        <f>IF(tech_base!$T100&gt;AW$345,"",AW724+AW1004+AW1284)</f>
        <v>154.5864622431196</v>
      </c>
      <c r="AX444" s="124">
        <f>IF(tech_base!$T100&gt;AX$345,"",AX724+AX1004+AX1284)</f>
        <v>154.58991207102613</v>
      </c>
    </row>
    <row r="445" spans="1:50" x14ac:dyDescent="0.25">
      <c r="A445" s="356"/>
      <c r="B445" s="376"/>
      <c r="C445" s="378"/>
      <c r="D445" s="2" t="s">
        <v>10</v>
      </c>
      <c r="E445" s="76" t="str">
        <f>A429&amp;"/"&amp;B441&amp;"/"&amp;C444&amp;"/"&amp;D445</f>
        <v>Gas fired power plants (Natural gas, biogas)/Gas turbine /CHP/S</v>
      </c>
      <c r="F445" s="76" t="str">
        <f>A429</f>
        <v>Gas fired power plants (Natural gas, biogas)</v>
      </c>
      <c r="G445" s="76" t="str">
        <f>B441</f>
        <v xml:space="preserve">Gas turbine </v>
      </c>
      <c r="H445" s="76" t="str">
        <f>C444</f>
        <v>CHP</v>
      </c>
      <c r="I445" s="76" t="str">
        <f t="shared" si="358"/>
        <v>S</v>
      </c>
      <c r="J445" s="119">
        <f>IF(tech_base!$T101&gt;J$345,"",J725+J1005+J1285)</f>
        <v>117.99332297137983</v>
      </c>
      <c r="K445" s="119">
        <f>IF(tech_base!$T101&gt;K$345,"",K725+K1005+K1285)</f>
        <v>130.94031104802508</v>
      </c>
      <c r="L445" s="119">
        <f>IF(tech_base!$T101&gt;L$345,"",L725+L1005+L1285)</f>
        <v>143.1533319236384</v>
      </c>
      <c r="M445" s="119">
        <f>IF(tech_base!$T101&gt;M$345,"",M725+M1005+M1285)</f>
        <v>140.52949758427241</v>
      </c>
      <c r="N445" s="119">
        <f>IF(tech_base!$T101&gt;N$345,"",N725+N1005+N1285)</f>
        <v>122.82509133242583</v>
      </c>
      <c r="O445" s="119">
        <f>IF(tech_base!$T101&gt;O$345,"",O725+O1005+O1285)</f>
        <v>107.82741259606094</v>
      </c>
      <c r="P445" s="119">
        <f>IF(tech_base!$T101&gt;P$345,"",P725+P1005+P1285)</f>
        <v>82.037808621062993</v>
      </c>
      <c r="Q445" s="119">
        <f>IF(tech_base!$T101&gt;Q$345,"",Q725+Q1005+Q1285)</f>
        <v>91.555318899260442</v>
      </c>
      <c r="R445" s="119">
        <f>IF(tech_base!$T101&gt;R$345,"",R725+R1005+R1285)</f>
        <v>98.202099818536311</v>
      </c>
      <c r="S445" s="119">
        <f>IF(tech_base!$T101&gt;S$345,"",S725+S1005+S1285)</f>
        <v>104.90871906238986</v>
      </c>
      <c r="T445" s="119">
        <f>IF(tech_base!$T101&gt;T$345,"",T725+T1005+T1285)</f>
        <v>111.54174112277857</v>
      </c>
      <c r="U445" s="119">
        <f>IF(tech_base!$T101&gt;U$345,"",U725+U1005+U1285)</f>
        <v>118.01343328878448</v>
      </c>
      <c r="V445" s="119">
        <f>IF(tech_base!$T101&gt;V$345,"",V725+V1005+V1285)</f>
        <v>122.23639762806121</v>
      </c>
      <c r="W445" s="119">
        <f>IF(tech_base!$T101&gt;W$345,"",W725+W1005+W1285)</f>
        <v>127.23673871939364</v>
      </c>
      <c r="X445" s="119">
        <f>IF(tech_base!$T101&gt;X$345,"",X725+X1005+X1285)</f>
        <v>131.96356247182067</v>
      </c>
      <c r="Y445" s="119">
        <f>IF(tech_base!$T101&gt;Y$345,"",Y725+Y1005+Y1285)</f>
        <v>136.42225619457253</v>
      </c>
      <c r="Z445" s="119">
        <f>IF(tech_base!$T101&gt;Z$345,"",Z725+Z1005+Z1285)</f>
        <v>138.03702286905917</v>
      </c>
      <c r="AA445" s="119">
        <f>IF(tech_base!$T101&gt;AA$345,"",AA725+AA1005+AA1285)</f>
        <v>139.55065592421275</v>
      </c>
      <c r="AB445" s="119">
        <f>IF(tech_base!$T101&gt;AB$345,"",AB725+AB1005+AB1285)</f>
        <v>141.22646506889333</v>
      </c>
      <c r="AC445" s="119">
        <f>IF(tech_base!$T101&gt;AC$345,"",AC725+AC1005+AC1285)</f>
        <v>142.9043046918755</v>
      </c>
      <c r="AD445" s="119">
        <f>IF(tech_base!$T101&gt;AD$345,"",AD725+AD1005+AD1285)</f>
        <v>145.33113328565005</v>
      </c>
      <c r="AE445" s="119">
        <f>IF(tech_base!$T101&gt;AE$345,"",AE725+AE1005+AE1285)</f>
        <v>146.88104869793094</v>
      </c>
      <c r="AF445" s="119">
        <f>IF(tech_base!$T101&gt;AF$345,"",AF725+AF1005+AF1285)</f>
        <v>148.64592336506803</v>
      </c>
      <c r="AG445" s="119">
        <f>IF(tech_base!$T101&gt;AG$345,"",AG725+AG1005+AG1285)</f>
        <v>150.22912231902703</v>
      </c>
      <c r="AH445" s="119">
        <f>IF(tech_base!$T101&gt;AH$345,"",AH725+AH1005+AH1285)</f>
        <v>151.66759945116152</v>
      </c>
      <c r="AI445" s="119">
        <f>IF(tech_base!$T101&gt;AI$345,"",AI725+AI1005+AI1285)</f>
        <v>152.88563453124118</v>
      </c>
      <c r="AJ445" s="119">
        <f>IF(tech_base!$T101&gt;AJ$345,"",AJ725+AJ1005+AJ1285)</f>
        <v>154.03439561050288</v>
      </c>
      <c r="AK445" s="119">
        <f>IF(tech_base!$T101&gt;AK$345,"",AK725+AK1005+AK1285)</f>
        <v>154.97471964308107</v>
      </c>
      <c r="AL445" s="119">
        <f>IF(tech_base!$T101&gt;AL$345,"",AL725+AL1005+AL1285)</f>
        <v>155.88772254272945</v>
      </c>
      <c r="AM445" s="119">
        <f>IF(tech_base!$T101&gt;AM$345,"",AM725+AM1005+AM1285)</f>
        <v>156.89680682271023</v>
      </c>
      <c r="AN445" s="119">
        <f>IF(tech_base!$T101&gt;AN$345,"",AN725+AN1005+AN1285)</f>
        <v>156.93286359607453</v>
      </c>
      <c r="AO445" s="119">
        <f>IF(tech_base!$T101&gt;AO$345,"",AO725+AO1005+AO1285)</f>
        <v>157.26864255956613</v>
      </c>
      <c r="AP445" s="119">
        <f>IF(tech_base!$T101&gt;AP$345,"",AP725+AP1005+AP1285)</f>
        <v>157.6200046645211</v>
      </c>
      <c r="AQ445" s="119">
        <f>IF(tech_base!$T101&gt;AQ$345,"",AQ725+AQ1005+AQ1285)</f>
        <v>158.04256316542433</v>
      </c>
      <c r="AR445" s="119">
        <f>IF(tech_base!$T101&gt;AR$345,"",AR725+AR1005+AR1285)</f>
        <v>158.6738132587513</v>
      </c>
      <c r="AS445" s="119">
        <f>IF(tech_base!$T101&gt;AS$345,"",AS725+AS1005+AS1285)</f>
        <v>159.46949297173231</v>
      </c>
      <c r="AT445" s="119">
        <f>IF(tech_base!$T101&gt;AT$345,"",AT725+AT1005+AT1285)</f>
        <v>160.21865285391584</v>
      </c>
      <c r="AU445" s="119">
        <f>IF(tech_base!$T101&gt;AU$345,"",AU725+AU1005+AU1285)</f>
        <v>160.88967419786627</v>
      </c>
      <c r="AV445" s="119">
        <f>IF(tech_base!$T101&gt;AV$345,"",AV725+AV1005+AV1285)</f>
        <v>161.42144906472788</v>
      </c>
      <c r="AW445" s="119">
        <f>IF(tech_base!$T101&gt;AW$345,"",AW725+AW1005+AW1285)</f>
        <v>161.3758697485157</v>
      </c>
      <c r="AX445" s="120">
        <f>IF(tech_base!$T101&gt;AX$345,"",AX725+AX1005+AX1285)</f>
        <v>161.36392909937859</v>
      </c>
    </row>
    <row r="446" spans="1:50" x14ac:dyDescent="0.25">
      <c r="A446" s="356"/>
      <c r="B446" s="380"/>
      <c r="C446" s="381"/>
      <c r="D446" s="4" t="s">
        <v>20</v>
      </c>
      <c r="E446" s="80" t="str">
        <f>A429&amp;"/"&amp;B441&amp;"/"&amp;C444&amp;"/"&amp;D446</f>
        <v>Gas fired power plants (Natural gas, biogas)/Gas turbine /CHP/XS</v>
      </c>
      <c r="F446" s="80" t="str">
        <f>A429</f>
        <v>Gas fired power plants (Natural gas, biogas)</v>
      </c>
      <c r="G446" s="80" t="str">
        <f>B441</f>
        <v xml:space="preserve">Gas turbine </v>
      </c>
      <c r="H446" s="80" t="str">
        <f>C444</f>
        <v>CHP</v>
      </c>
      <c r="I446" s="80" t="str">
        <f t="shared" si="358"/>
        <v>XS</v>
      </c>
      <c r="J446" s="127">
        <f>IF(tech_base!$T102&gt;J$345,"",J726+J1006+J1286)</f>
        <v>127.74938253573771</v>
      </c>
      <c r="K446" s="127">
        <f>IF(tech_base!$T102&gt;K$345,"",K726+K1006+K1286)</f>
        <v>141.36381805772442</v>
      </c>
      <c r="L446" s="127">
        <f>IF(tech_base!$T102&gt;L$345,"",L726+L1006+L1286)</f>
        <v>154.20642581824177</v>
      </c>
      <c r="M446" s="127">
        <f>IF(tech_base!$T102&gt;M$345,"",M726+M1006+M1286)</f>
        <v>151.44712434682191</v>
      </c>
      <c r="N446" s="127">
        <f>IF(tech_base!$T102&gt;N$345,"",N726+N1006+N1286)</f>
        <v>132.82962844732069</v>
      </c>
      <c r="O446" s="127">
        <f>IF(tech_base!$T102&gt;O$345,"",O726+O1006+O1286)</f>
        <v>117.05840822878766</v>
      </c>
      <c r="P446" s="127">
        <f>IF(tech_base!$T102&gt;P$345,"",P726+P1006+P1286)</f>
        <v>89.938773381763141</v>
      </c>
      <c r="Q446" s="127">
        <f>IF(tech_base!$T102&gt;Q$345,"",Q726+Q1006+Q1286)</f>
        <v>99.946781475677511</v>
      </c>
      <c r="R446" s="127">
        <f>IF(tech_base!$T102&gt;R$345,"",R726+R1006+R1286)</f>
        <v>106.93600953808084</v>
      </c>
      <c r="S446" s="127">
        <f>IF(tech_base!$T102&gt;S$345,"",S726+S1006+S1286)</f>
        <v>113.98813248804831</v>
      </c>
      <c r="T446" s="127">
        <f>IF(tech_base!$T102&gt;T$345,"",T726+T1006+T1286)</f>
        <v>120.96283158600356</v>
      </c>
      <c r="U446" s="127">
        <f>IF(tech_base!$T102&gt;U$345,"",U726+U1006+U1286)</f>
        <v>127.76784721837089</v>
      </c>
      <c r="V446" s="127">
        <f>IF(tech_base!$T102&gt;V$345,"",V726+V1006+V1286)</f>
        <v>132.20814486191011</v>
      </c>
      <c r="W446" s="127">
        <f>IF(tech_base!$T102&gt;W$345,"",W726+W1006+W1286)</f>
        <v>137.4658614540499</v>
      </c>
      <c r="X446" s="127">
        <f>IF(tech_base!$T102&gt;X$345,"",X726+X1006+X1286)</f>
        <v>142.4359112933351</v>
      </c>
      <c r="Y446" s="127">
        <f>IF(tech_base!$T102&gt;Y$345,"",Y726+Y1006+Y1286)</f>
        <v>147.12395513488062</v>
      </c>
      <c r="Z446" s="127">
        <f>IF(tech_base!$T102&gt;Z$345,"",Z726+Z1006+Z1286)</f>
        <v>148.82137457709396</v>
      </c>
      <c r="AA446" s="127">
        <f>IF(tech_base!$T102&gt;AA$345,"",AA726+AA1006+AA1286)</f>
        <v>150.41238556045136</v>
      </c>
      <c r="AB446" s="127">
        <f>IF(tech_base!$T102&gt;AB$345,"",AB726+AB1006+AB1286)</f>
        <v>152.17386946762676</v>
      </c>
      <c r="AC446" s="127">
        <f>IF(tech_base!$T102&gt;AC$345,"",AC726+AC1006+AC1286)</f>
        <v>153.93741719472996</v>
      </c>
      <c r="AD446" s="127">
        <f>IF(tech_base!$T102&gt;AD$345,"",AD726+AD1006+AD1286)</f>
        <v>156.4884966498208</v>
      </c>
      <c r="AE446" s="127">
        <f>IF(tech_base!$T102&gt;AE$345,"",AE726+AE1006+AE1286)</f>
        <v>158.11736207776156</v>
      </c>
      <c r="AF446" s="127">
        <f>IF(tech_base!$T102&gt;AF$345,"",AF726+AF1006+AF1286)</f>
        <v>159.97217943199368</v>
      </c>
      <c r="AG446" s="127">
        <f>IF(tech_base!$T102&gt;AG$345,"",AG726+AG1006+AG1286)</f>
        <v>161.63585446233733</v>
      </c>
      <c r="AH446" s="127">
        <f>IF(tech_base!$T102&gt;AH$345,"",AH726+AH1006+AH1286)</f>
        <v>163.14723869603719</v>
      </c>
      <c r="AI446" s="127">
        <f>IF(tech_base!$T102&gt;AI$345,"",AI726+AI1006+AI1286)</f>
        <v>164.42669934915313</v>
      </c>
      <c r="AJ446" s="127">
        <f>IF(tech_base!$T102&gt;AJ$345,"",AJ726+AJ1006+AJ1286)</f>
        <v>165.63319074785832</v>
      </c>
      <c r="AK446" s="127">
        <f>IF(tech_base!$T102&gt;AK$345,"",AK726+AK1006+AK1286)</f>
        <v>166.62036545765886</v>
      </c>
      <c r="AL446" s="127">
        <f>IF(tech_base!$T102&gt;AL$345,"",AL726+AL1006+AL1286)</f>
        <v>167.57866951454415</v>
      </c>
      <c r="AM446" s="127">
        <f>IF(tech_base!$T102&gt;AM$345,"",AM726+AM1006+AM1286)</f>
        <v>168.63785962171841</v>
      </c>
      <c r="AN446" s="127">
        <f>IF(tech_base!$T102&gt;AN$345,"",AN726+AN1006+AN1286)</f>
        <v>168.67369130628063</v>
      </c>
      <c r="AO446" s="127">
        <f>IF(tech_base!$T102&gt;AO$345,"",AO726+AO1006+AO1286)</f>
        <v>169.02453296124722</v>
      </c>
      <c r="AP446" s="127">
        <f>IF(tech_base!$T102&gt;AP$345,"",AP726+AP1006+AP1286)</f>
        <v>169.39158627561929</v>
      </c>
      <c r="AQ446" s="127">
        <f>IF(tech_base!$T102&gt;AQ$345,"",AQ726+AQ1006+AQ1286)</f>
        <v>169.83332462569305</v>
      </c>
      <c r="AR446" s="127">
        <f>IF(tech_base!$T102&gt;AR$345,"",AR726+AR1006+AR1286)</f>
        <v>170.49432628638203</v>
      </c>
      <c r="AS446" s="127">
        <f>IF(tech_base!$T102&gt;AS$345,"",AS726+AS1006+AS1286)</f>
        <v>171.32804145944448</v>
      </c>
      <c r="AT446" s="127">
        <f>IF(tech_base!$T102&gt;AT$345,"",AT726+AT1006+AT1286)</f>
        <v>172.11263927914476</v>
      </c>
      <c r="AU446" s="127">
        <f>IF(tech_base!$T102&gt;AU$345,"",AU726+AU1006+AU1286)</f>
        <v>172.8148681702979</v>
      </c>
      <c r="AV446" s="127">
        <f>IF(tech_base!$T102&gt;AV$345,"",AV726+AV1006+AV1286)</f>
        <v>173.37046870792614</v>
      </c>
      <c r="AW446" s="127">
        <f>IF(tech_base!$T102&gt;AW$345,"",AW726+AW1006+AW1286)</f>
        <v>173.31874456224278</v>
      </c>
      <c r="AX446" s="128">
        <f>IF(tech_base!$T102&gt;AX$345,"",AX726+AX1006+AX1286)</f>
        <v>173.30219757713385</v>
      </c>
    </row>
    <row r="447" spans="1:50" x14ac:dyDescent="0.25">
      <c r="A447" s="356"/>
      <c r="B447" s="358" t="s">
        <v>19</v>
      </c>
      <c r="C447" s="353" t="s">
        <v>6</v>
      </c>
      <c r="D447" s="3" t="s">
        <v>7</v>
      </c>
      <c r="E447" s="77" t="str">
        <f>A429&amp;"/"&amp;B447&amp;"/"&amp;C447&amp;"/"&amp;D447</f>
        <v>Gas fired power plants (Natural gas, biogas)/Steam turbine/Electricity only/L</v>
      </c>
      <c r="F447" s="77" t="str">
        <f>A429</f>
        <v>Gas fired power plants (Natural gas, biogas)</v>
      </c>
      <c r="G447" s="77" t="str">
        <f>B447</f>
        <v>Steam turbine</v>
      </c>
      <c r="H447" s="77" t="str">
        <f>C447</f>
        <v>Electricity only</v>
      </c>
      <c r="I447" s="77" t="str">
        <f t="shared" si="358"/>
        <v>L</v>
      </c>
      <c r="J447" s="121">
        <f>IF(tech_base!$T103&gt;J$345,"",J727+J1007+J1287)</f>
        <v>90.64225621941398</v>
      </c>
      <c r="K447" s="121">
        <f>IF(tech_base!$T103&gt;K$345,"",K727+K1007+K1287)</f>
        <v>100.34789139482731</v>
      </c>
      <c r="L447" s="121">
        <f>IF(tech_base!$T103&gt;L$345,"",L727+L1007+L1287)</f>
        <v>109.50324720374935</v>
      </c>
      <c r="M447" s="121">
        <f>IF(tech_base!$T103&gt;M$345,"",M727+M1007+M1287)</f>
        <v>107.54480066589979</v>
      </c>
      <c r="N447" s="121">
        <f>IF(tech_base!$T103&gt;N$345,"",N727+N1007+N1287)</f>
        <v>94.290829137999054</v>
      </c>
      <c r="O447" s="121">
        <f>IF(tech_base!$T103&gt;O$345,"",O727+O1007+O1287)</f>
        <v>83.064868755390975</v>
      </c>
      <c r="P447" s="121">
        <f>IF(tech_base!$T103&gt;P$345,"",P727+P1007+P1287)</f>
        <v>63.75635540610169</v>
      </c>
      <c r="Q447" s="121">
        <f>IF(tech_base!$T103&gt;Q$345,"",Q727+Q1007+Q1287)</f>
        <v>70.892916673900501</v>
      </c>
      <c r="R447" s="121">
        <f>IF(tech_base!$T103&gt;R$345,"",R727+R1007+R1287)</f>
        <v>75.879251727737582</v>
      </c>
      <c r="S447" s="121">
        <f>IF(tech_base!$T103&gt;S$345,"",S727+S1007+S1287)</f>
        <v>80.910389686647378</v>
      </c>
      <c r="T447" s="121">
        <f>IF(tech_base!$T103&gt;T$345,"",T727+T1007+T1287)</f>
        <v>85.886454331360525</v>
      </c>
      <c r="U447" s="121">
        <f>IF(tech_base!$T103&gt;U$345,"",U727+U1007+U1287)</f>
        <v>90.741807509275972</v>
      </c>
      <c r="V447" s="121">
        <f>IF(tech_base!$T103&gt;V$345,"",V727+V1007+V1287)</f>
        <v>93.913183812724341</v>
      </c>
      <c r="W447" s="121">
        <f>IF(tech_base!$T103&gt;W$345,"",W727+W1007+W1287)</f>
        <v>97.667044630803957</v>
      </c>
      <c r="X447" s="121">
        <f>IF(tech_base!$T103&gt;X$345,"",X727+X1007+X1287)</f>
        <v>101.21640335720237</v>
      </c>
      <c r="Y447" s="121">
        <f>IF(tech_base!$T103&gt;Y$345,"",Y727+Y1007+Y1287)</f>
        <v>104.56537359139462</v>
      </c>
      <c r="Z447" s="121">
        <f>IF(tech_base!$T103&gt;Z$345,"",Z727+Z1007+Z1287)</f>
        <v>105.78489107186638</v>
      </c>
      <c r="AA447" s="121">
        <f>IF(tech_base!$T103&gt;AA$345,"",AA727+AA1007+AA1287)</f>
        <v>106.92921318565118</v>
      </c>
      <c r="AB447" s="121">
        <f>IF(tech_base!$T103&gt;AB$345,"",AB727+AB1007+AB1287)</f>
        <v>108.19562060648914</v>
      </c>
      <c r="AC447" s="121">
        <f>IF(tech_base!$T103&gt;AC$345,"",AC727+AC1007+AC1287)</f>
        <v>109.46425109239939</v>
      </c>
      <c r="AD447" s="121">
        <f>IF(tech_base!$T103&gt;AD$345,"",AD727+AD1007+AD1287)</f>
        <v>111.29466659940525</v>
      </c>
      <c r="AE447" s="121">
        <f>IF(tech_base!$T103&gt;AE$345,"",AE727+AE1007+AE1287)</f>
        <v>112.46916048689998</v>
      </c>
      <c r="AF447" s="121">
        <f>IF(tech_base!$T103&gt;AF$345,"",AF727+AF1007+AF1287)</f>
        <v>113.80564248603261</v>
      </c>
      <c r="AG447" s="121">
        <f>IF(tech_base!$T103&gt;AG$345,"",AG727+AG1007+AG1287)</f>
        <v>115.00712012347896</v>
      </c>
      <c r="AH447" s="121">
        <f>IF(tech_base!$T103&gt;AH$345,"",AH727+AH1007+AH1287)</f>
        <v>116.10136761668608</v>
      </c>
      <c r="AI447" s="121">
        <f>IF(tech_base!$T103&gt;AI$345,"",AI727+AI1007+AI1287)</f>
        <v>117.03175413450946</v>
      </c>
      <c r="AJ447" s="121">
        <f>IF(tech_base!$T103&gt;AJ$345,"",AJ727+AJ1007+AJ1287)</f>
        <v>117.91162310407852</v>
      </c>
      <c r="AK447" s="121">
        <f>IF(tech_base!$T103&gt;AK$345,"",AK727+AK1007+AK1287)</f>
        <v>118.63681152819873</v>
      </c>
      <c r="AL447" s="121">
        <f>IF(tech_base!$T103&gt;AL$345,"",AL727+AL1007+AL1287)</f>
        <v>119.3431176784011</v>
      </c>
      <c r="AM447" s="121">
        <f>IF(tech_base!$T103&gt;AM$345,"",AM727+AM1007+AM1287)</f>
        <v>120.12313155600307</v>
      </c>
      <c r="AN447" s="121">
        <f>IF(tech_base!$T103&gt;AN$345,"",AN727+AN1007+AN1287)</f>
        <v>120.17573502945679</v>
      </c>
      <c r="AO447" s="121">
        <f>IF(tech_base!$T103&gt;AO$345,"",AO727+AO1007+AO1287)</f>
        <v>120.45479585596057</v>
      </c>
      <c r="AP447" s="121">
        <f>IF(tech_base!$T103&gt;AP$345,"",AP727+AP1007+AP1287)</f>
        <v>120.74748806783624</v>
      </c>
      <c r="AQ447" s="121">
        <f>IF(tech_base!$T103&gt;AQ$345,"",AQ727+AQ1007+AQ1287)</f>
        <v>121.09560618952612</v>
      </c>
      <c r="AR447" s="121">
        <f>IF(tech_base!$T103&gt;AR$345,"",AR727+AR1007+AR1287)</f>
        <v>121.60235728255429</v>
      </c>
      <c r="AS447" s="121">
        <f>IF(tech_base!$T103&gt;AS$345,"",AS727+AS1007+AS1287)</f>
        <v>122.23469494796622</v>
      </c>
      <c r="AT447" s="121">
        <f>IF(tech_base!$T103&gt;AT$345,"",AT727+AT1007+AT1287)</f>
        <v>122.83452192839314</v>
      </c>
      <c r="AU447" s="121">
        <f>IF(tech_base!$T103&gt;AU$345,"",AU727+AU1007+AU1287)</f>
        <v>123.37815494092366</v>
      </c>
      <c r="AV447" s="121">
        <f>IF(tech_base!$T103&gt;AV$345,"",AV727+AV1007+AV1287)</f>
        <v>123.81974289762418</v>
      </c>
      <c r="AW447" s="121">
        <f>IF(tech_base!$T103&gt;AW$345,"",AW727+AW1007+AW1287)</f>
        <v>123.83044094291881</v>
      </c>
      <c r="AX447" s="122">
        <f>IF(tech_base!$T103&gt;AX$345,"",AX727+AX1007+AX1287)</f>
        <v>123.86858315981056</v>
      </c>
    </row>
    <row r="448" spans="1:50" x14ac:dyDescent="0.25">
      <c r="A448" s="356"/>
      <c r="B448" s="376"/>
      <c r="C448" s="378"/>
      <c r="D448" s="2" t="s">
        <v>8</v>
      </c>
      <c r="E448" s="76" t="str">
        <f>A429&amp;"/"&amp;B447&amp;"/"&amp;C447&amp;"/"&amp;D448</f>
        <v>Gas fired power plants (Natural gas, biogas)/Steam turbine/Electricity only/M</v>
      </c>
      <c r="F448" s="76" t="str">
        <f>A429</f>
        <v>Gas fired power plants (Natural gas, biogas)</v>
      </c>
      <c r="G448" s="76" t="str">
        <f>B447</f>
        <v>Steam turbine</v>
      </c>
      <c r="H448" s="76" t="str">
        <f>C447</f>
        <v>Electricity only</v>
      </c>
      <c r="I448" s="76" t="str">
        <f t="shared" si="358"/>
        <v>M</v>
      </c>
      <c r="J448" s="119">
        <f>IF(tech_base!$T104&gt;J$345,"",J728+J1008+J1288)</f>
        <v>96.091323098908362</v>
      </c>
      <c r="K448" s="119">
        <f>IF(tech_base!$T104&gt;K$345,"",K728+K1008+K1288)</f>
        <v>106.303333202606</v>
      </c>
      <c r="L448" s="119">
        <f>IF(tech_base!$T104&gt;L$345,"",L728+L1008+L1288)</f>
        <v>115.93647686746465</v>
      </c>
      <c r="M448" s="119">
        <f>IF(tech_base!$T104&gt;M$345,"",M728+M1008+M1288)</f>
        <v>113.87437704307727</v>
      </c>
      <c r="N448" s="119">
        <f>IF(tech_base!$T104&gt;N$345,"",N728+N1008+N1288)</f>
        <v>99.925501892418112</v>
      </c>
      <c r="O448" s="119">
        <f>IF(tech_base!$T104&gt;O$345,"",O728+O1008+O1288)</f>
        <v>88.11060527186109</v>
      </c>
      <c r="P448" s="119">
        <f>IF(tech_base!$T104&gt;P$345,"",P728+P1008+P1288)</f>
        <v>67.789794063219773</v>
      </c>
      <c r="Q448" s="119">
        <f>IF(tech_base!$T104&gt;Q$345,"",Q728+Q1008+Q1288)</f>
        <v>75.298645940372609</v>
      </c>
      <c r="R448" s="119">
        <f>IF(tech_base!$T104&gt;R$345,"",R728+R1008+R1288)</f>
        <v>80.544797280948387</v>
      </c>
      <c r="S448" s="119">
        <f>IF(tech_base!$T104&gt;S$345,"",S728+S1008+S1288)</f>
        <v>85.83820638984578</v>
      </c>
      <c r="T448" s="119">
        <f>IF(tech_base!$T104&gt;T$345,"",T728+T1008+T1288)</f>
        <v>91.073762272709587</v>
      </c>
      <c r="U448" s="119">
        <f>IF(tech_base!$T104&gt;U$345,"",U728+U1008+U1288)</f>
        <v>96.182383069934843</v>
      </c>
      <c r="V448" s="119">
        <f>IF(tech_base!$T104&gt;V$345,"",V728+V1008+V1288)</f>
        <v>99.518873149755962</v>
      </c>
      <c r="W448" s="119">
        <f>IF(tech_base!$T104&gt;W$345,"",W728+W1008+W1288)</f>
        <v>103.4684475314545</v>
      </c>
      <c r="X448" s="119">
        <f>IF(tech_base!$T104&gt;X$345,"",X728+X1008+X1288)</f>
        <v>107.20287581005351</v>
      </c>
      <c r="Y448" s="119">
        <f>IF(tech_base!$T104&gt;Y$345,"",Y728+Y1008+Y1288)</f>
        <v>110.72648084380604</v>
      </c>
      <c r="Z448" s="119">
        <f>IF(tech_base!$T104&gt;Z$345,"",Z728+Z1008+Z1288)</f>
        <v>112.00904493877216</v>
      </c>
      <c r="AA448" s="119">
        <f>IF(tech_base!$T104&gt;AA$345,"",AA728+AA1008+AA1288)</f>
        <v>113.21250730916267</v>
      </c>
      <c r="AB448" s="119">
        <f>IF(tech_base!$T104&gt;AB$345,"",AB728+AB1008+AB1288)</f>
        <v>114.54449287134709</v>
      </c>
      <c r="AC448" s="119">
        <f>IF(tech_base!$T104&gt;AC$345,"",AC728+AC1008+AC1288)</f>
        <v>115.87885369524679</v>
      </c>
      <c r="AD448" s="119">
        <f>IF(tech_base!$T104&gt;AD$345,"",AD728+AD1008+AD1288)</f>
        <v>117.80450442056407</v>
      </c>
      <c r="AE448" s="119">
        <f>IF(tech_base!$T104&gt;AE$345,"",AE728+AE1008+AE1288)</f>
        <v>119.03986158344739</v>
      </c>
      <c r="AF448" s="119">
        <f>IF(tech_base!$T104&gt;AF$345,"",AF728+AF1008+AF1288)</f>
        <v>120.4457380237463</v>
      </c>
      <c r="AG448" s="119">
        <f>IF(tech_base!$T104&gt;AG$345,"",AG728+AG1008+AG1288)</f>
        <v>121.70955838446561</v>
      </c>
      <c r="AH448" s="119">
        <f>IF(tech_base!$T104&gt;AH$345,"",AH728+AH1008+AH1288)</f>
        <v>122.86055140760341</v>
      </c>
      <c r="AI448" s="119">
        <f>IF(tech_base!$T104&gt;AI$345,"",AI728+AI1008+AI1288)</f>
        <v>123.83911143339897</v>
      </c>
      <c r="AJ448" s="119">
        <f>IF(tech_base!$T104&gt;AJ$345,"",AJ728+AJ1008+AJ1288)</f>
        <v>124.76452810157919</v>
      </c>
      <c r="AK448" s="119">
        <f>IF(tech_base!$T104&gt;AK$345,"",AK728+AK1008+AK1288)</f>
        <v>125.52716884266195</v>
      </c>
      <c r="AL448" s="119">
        <f>IF(tech_base!$T104&gt;AL$345,"",AL728+AL1008+AL1288)</f>
        <v>126.26995852233475</v>
      </c>
      <c r="AM448" s="119">
        <f>IF(tech_base!$T104&gt;AM$345,"",AM728+AM1008+AM1288)</f>
        <v>127.09034776321953</v>
      </c>
      <c r="AN448" s="119">
        <f>IF(tech_base!$T104&gt;AN$345,"",AN728+AN1008+AN1288)</f>
        <v>127.1451521335098</v>
      </c>
      <c r="AO448" s="119">
        <f>IF(tech_base!$T104&gt;AO$345,"",AO728+AO1008+AO1288)</f>
        <v>127.43832092923577</v>
      </c>
      <c r="AP448" s="119">
        <f>IF(tech_base!$T104&gt;AP$345,"",AP728+AP1008+AP1288)</f>
        <v>127.74585344435746</v>
      </c>
      <c r="AQ448" s="119">
        <f>IF(tech_base!$T104&gt;AQ$345,"",AQ728+AQ1008+AQ1288)</f>
        <v>128.11173916173601</v>
      </c>
      <c r="AR448" s="119">
        <f>IF(tech_base!$T104&gt;AR$345,"",AR728+AR1008+AR1288)</f>
        <v>128.64460662429943</v>
      </c>
      <c r="AS448" s="119">
        <f>IF(tech_base!$T104&gt;AS$345,"",AS728+AS1008+AS1288)</f>
        <v>129.30967497480643</v>
      </c>
      <c r="AT448" s="119">
        <f>IF(tech_base!$T104&gt;AT$345,"",AT728+AT1008+AT1288)</f>
        <v>129.94054230717882</v>
      </c>
      <c r="AU448" s="119">
        <f>IF(tech_base!$T104&gt;AU$345,"",AU728+AU1008+AU1288)</f>
        <v>130.5122801882186</v>
      </c>
      <c r="AV448" s="119">
        <f>IF(tech_base!$T104&gt;AV$345,"",AV728+AV1008+AV1288)</f>
        <v>130.97662729926714</v>
      </c>
      <c r="AW448" s="119">
        <f>IF(tech_base!$T104&gt;AW$345,"",AW728+AW1008+AW1288)</f>
        <v>130.98745763105595</v>
      </c>
      <c r="AX448" s="120">
        <f>IF(tech_base!$T104&gt;AX$345,"",AX728+AX1008+AX1288)</f>
        <v>131.02718573777895</v>
      </c>
    </row>
    <row r="449" spans="1:50" x14ac:dyDescent="0.25">
      <c r="A449" s="356"/>
      <c r="B449" s="376"/>
      <c r="C449" s="378"/>
      <c r="D449" s="2" t="s">
        <v>10</v>
      </c>
      <c r="E449" s="76" t="str">
        <f>A429&amp;"/"&amp;B447&amp;"/"&amp;C447&amp;"/"&amp;D449</f>
        <v>Gas fired power plants (Natural gas, biogas)/Steam turbine/Electricity only/S</v>
      </c>
      <c r="F449" s="76" t="str">
        <f>A429</f>
        <v>Gas fired power plants (Natural gas, biogas)</v>
      </c>
      <c r="G449" s="76" t="str">
        <f>B447</f>
        <v>Steam turbine</v>
      </c>
      <c r="H449" s="76" t="str">
        <f>C447</f>
        <v>Electricity only</v>
      </c>
      <c r="I449" s="76" t="str">
        <f t="shared" si="358"/>
        <v>S</v>
      </c>
      <c r="J449" s="119">
        <f>IF(tech_base!$T105&gt;J$345,"",J729+J1009+J1289)</f>
        <v>102.5339841056648</v>
      </c>
      <c r="K449" s="119">
        <f>IF(tech_base!$T105&gt;K$345,"",K729+K1009+K1289)</f>
        <v>113.28088427255668</v>
      </c>
      <c r="L449" s="119">
        <f>IF(tech_base!$T105&gt;L$345,"",L729+L1009+L1289)</f>
        <v>123.41866890007896</v>
      </c>
      <c r="M449" s="119">
        <f>IF(tech_base!$T105&gt;M$345,"",M729+M1009+M1289)</f>
        <v>121.24799176553574</v>
      </c>
      <c r="N449" s="119">
        <f>IF(tech_base!$T105&gt;N$345,"",N729+N1009+N1289)</f>
        <v>106.56711954154774</v>
      </c>
      <c r="O449" s="119">
        <f>IF(tech_base!$T105&gt;O$345,"",O729+O1009+O1289)</f>
        <v>94.132043125469565</v>
      </c>
      <c r="P449" s="119">
        <f>IF(tech_base!$T105&gt;P$345,"",P729+P1009+P1289)</f>
        <v>72.744792805984389</v>
      </c>
      <c r="Q449" s="119">
        <f>IF(tech_base!$T105&gt;Q$345,"",Q729+Q1009+Q1289)</f>
        <v>80.646948009768636</v>
      </c>
      <c r="R449" s="119">
        <f>IF(tech_base!$T105&gt;R$345,"",R729+R1009+R1289)</f>
        <v>86.167769483947325</v>
      </c>
      <c r="S449" s="119">
        <f>IF(tech_base!$T105&gt;S$345,"",S729+S1009+S1289)</f>
        <v>91.738381527871766</v>
      </c>
      <c r="T449" s="119">
        <f>IF(tech_base!$T105&gt;T$345,"",T729+T1009+T1289)</f>
        <v>97.248156910856977</v>
      </c>
      <c r="U449" s="119">
        <f>IF(tech_base!$T105&gt;U$345,"",U729+U1009+U1289)</f>
        <v>102.62438655791226</v>
      </c>
      <c r="V449" s="119">
        <f>IF(tech_base!$T105&gt;V$345,"",V729+V1009+V1289)</f>
        <v>106.13553638279114</v>
      </c>
      <c r="W449" s="119">
        <f>IF(tech_base!$T105&gt;W$345,"",W729+W1009+W1289)</f>
        <v>110.29197931899435</v>
      </c>
      <c r="X449" s="119">
        <f>IF(tech_base!$T105&gt;X$345,"",X729+X1009+X1289)</f>
        <v>114.22202117425719</v>
      </c>
      <c r="Y449" s="119">
        <f>IF(tech_base!$T105&gt;Y$345,"",Y729+Y1009+Y1289)</f>
        <v>117.9302083852649</v>
      </c>
      <c r="Z449" s="119">
        <f>IF(tech_base!$T105&gt;Z$345,"",Z729+Z1009+Z1289)</f>
        <v>119.27975185050519</v>
      </c>
      <c r="AA449" s="119">
        <f>IF(tech_base!$T105&gt;AA$345,"",AA729+AA1009+AA1289)</f>
        <v>120.54605757737292</v>
      </c>
      <c r="AB449" s="119">
        <f>IF(tech_base!$T105&gt;AB$345,"",AB729+AB1009+AB1289)</f>
        <v>121.94764906610763</v>
      </c>
      <c r="AC449" s="119">
        <f>IF(tech_base!$T105&gt;AC$345,"",AC729+AC1009+AC1289)</f>
        <v>123.35175632608144</v>
      </c>
      <c r="AD449" s="119">
        <f>IF(tech_base!$T105&gt;AD$345,"",AD729+AD1009+AD1289)</f>
        <v>125.37821363388129</v>
      </c>
      <c r="AE449" s="119">
        <f>IF(tech_base!$T105&gt;AE$345,"",AE729+AE1009+AE1289)</f>
        <v>126.67815096792771</v>
      </c>
      <c r="AF449" s="119">
        <f>IF(tech_base!$T105&gt;AF$345,"",AF729+AF1009+AF1289)</f>
        <v>128.15757533568646</v>
      </c>
      <c r="AG449" s="119">
        <f>IF(tech_base!$T105&gt;AG$345,"",AG729+AG1009+AG1289)</f>
        <v>129.48749845383799</v>
      </c>
      <c r="AH449" s="119">
        <f>IF(tech_base!$T105&gt;AH$345,"",AH729+AH1009+AH1289)</f>
        <v>130.69868243102292</v>
      </c>
      <c r="AI449" s="119">
        <f>IF(tech_base!$T105&gt;AI$345,"",AI729+AI1009+AI1289)</f>
        <v>131.72839000520418</v>
      </c>
      <c r="AJ449" s="119">
        <f>IF(tech_base!$T105&gt;AJ$345,"",AJ729+AJ1009+AJ1289)</f>
        <v>132.70217421290565</v>
      </c>
      <c r="AK449" s="119">
        <f>IF(tech_base!$T105&gt;AK$345,"",AK729+AK1009+AK1289)</f>
        <v>133.5046436126747</v>
      </c>
      <c r="AL449" s="119">
        <f>IF(tech_base!$T105&gt;AL$345,"",AL729+AL1009+AL1289)</f>
        <v>134.28622868554405</v>
      </c>
      <c r="AM449" s="119">
        <f>IF(tech_base!$T105&gt;AM$345,"",AM729+AM1009+AM1289)</f>
        <v>135.14949845866454</v>
      </c>
      <c r="AN449" s="119">
        <f>IF(tech_base!$T105&gt;AN$345,"",AN729+AN1009+AN1289)</f>
        <v>135.20697675185815</v>
      </c>
      <c r="AO449" s="119">
        <f>IF(tech_base!$T105&gt;AO$345,"",AO729+AO1009+AO1289)</f>
        <v>135.51534662330923</v>
      </c>
      <c r="AP449" s="119">
        <f>IF(tech_base!$T105&gt;AP$345,"",AP729+AP1009+AP1289)</f>
        <v>135.83884117993892</v>
      </c>
      <c r="AQ449" s="119">
        <f>IF(tech_base!$T105&gt;AQ$345,"",AQ729+AQ1009+AQ1289)</f>
        <v>136.22376087088932</v>
      </c>
      <c r="AR449" s="119">
        <f>IF(tech_base!$T105&gt;AR$345,"",AR729+AR1009+AR1289)</f>
        <v>136.78444158348032</v>
      </c>
      <c r="AS449" s="119">
        <f>IF(tech_base!$T105&gt;AS$345,"",AS729+AS1009+AS1289)</f>
        <v>137.48427591630355</v>
      </c>
      <c r="AT449" s="119">
        <f>IF(tech_base!$T105&gt;AT$345,"",AT729+AT1009+AT1289)</f>
        <v>138.14811944666744</v>
      </c>
      <c r="AU449" s="119">
        <f>IF(tech_base!$T105&gt;AU$345,"",AU729+AU1009+AU1289)</f>
        <v>138.74973349817483</v>
      </c>
      <c r="AV449" s="119">
        <f>IF(tech_base!$T105&gt;AV$345,"",AV729+AV1009+AV1289)</f>
        <v>139.23832029071303</v>
      </c>
      <c r="AW449" s="119">
        <f>IF(tech_base!$T105&gt;AW$345,"",AW729+AW1009+AW1289)</f>
        <v>139.24956491798352</v>
      </c>
      <c r="AX449" s="120">
        <f>IF(tech_base!$T105&gt;AX$345,"",AX729+AX1009+AX1289)</f>
        <v>139.2912299992928</v>
      </c>
    </row>
    <row r="450" spans="1:50" x14ac:dyDescent="0.25">
      <c r="A450" s="356"/>
      <c r="B450" s="376"/>
      <c r="C450" s="379"/>
      <c r="D450" s="2" t="s">
        <v>20</v>
      </c>
      <c r="E450" s="76" t="str">
        <f>A429&amp;"/"&amp;B447&amp;"/"&amp;C447&amp;"/"&amp;D450</f>
        <v>Gas fired power plants (Natural gas, biogas)/Steam turbine/Electricity only/XS</v>
      </c>
      <c r="F450" s="76" t="str">
        <f>A429</f>
        <v>Gas fired power plants (Natural gas, biogas)</v>
      </c>
      <c r="G450" s="76" t="str">
        <f>B447</f>
        <v>Steam turbine</v>
      </c>
      <c r="H450" s="76" t="str">
        <f>C447</f>
        <v>Electricity only</v>
      </c>
      <c r="I450" s="76" t="str">
        <f t="shared" si="358"/>
        <v>XS</v>
      </c>
      <c r="J450" s="119">
        <f>IF(tech_base!$T106&gt;J$345,"",J730+J1010+J1290)</f>
        <v>112.16659512442935</v>
      </c>
      <c r="K450" s="119">
        <f>IF(tech_base!$T106&gt;K$345,"",K730+K1010+K1290)</f>
        <v>123.47645606808875</v>
      </c>
      <c r="L450" s="119">
        <f>IF(tech_base!$T106&gt;L$345,"",L730+L1010+L1290)</f>
        <v>134.14545518813526</v>
      </c>
      <c r="M450" s="119">
        <f>IF(tech_base!$T106&gt;M$345,"",M730+M1010+M1290)</f>
        <v>131.85895241792588</v>
      </c>
      <c r="N450" s="119">
        <f>IF(tech_base!$T106&gt;N$345,"",N730+N1010+N1290)</f>
        <v>116.40418722768933</v>
      </c>
      <c r="O450" s="119">
        <f>IF(tech_base!$T106&gt;O$345,"",O730+O1010+O1290)</f>
        <v>103.31308271881552</v>
      </c>
      <c r="P450" s="119">
        <f>IF(tech_base!$T106&gt;P$345,"",P730+P1010+P1290)</f>
        <v>80.798486079387729</v>
      </c>
      <c r="Q450" s="119">
        <f>IF(tech_base!$T106&gt;Q$345,"",Q730+Q1010+Q1290)</f>
        <v>89.114468419576895</v>
      </c>
      <c r="R450" s="119">
        <f>IF(tech_base!$T106&gt;R$345,"",R730+R1010+R1290)</f>
        <v>94.923957119165919</v>
      </c>
      <c r="S450" s="119">
        <f>IF(tech_base!$T106&gt;S$345,"",S730+S1010+S1290)</f>
        <v>100.78600609592343</v>
      </c>
      <c r="T450" s="119">
        <f>IF(tech_base!$T106&gt;T$345,"",T730+T1010+T1290)</f>
        <v>106.58416005276021</v>
      </c>
      <c r="U450" s="119">
        <f>IF(tech_base!$T106&gt;U$345,"",U730+U1010+U1290)</f>
        <v>112.24187478717116</v>
      </c>
      <c r="V450" s="119">
        <f>IF(tech_base!$T106&gt;V$345,"",V730+V1010+V1290)</f>
        <v>115.93638822582832</v>
      </c>
      <c r="W450" s="119">
        <f>IF(tech_base!$T106&gt;W$345,"",W730+W1010+W1290)</f>
        <v>120.31029288989028</v>
      </c>
      <c r="X450" s="119">
        <f>IF(tech_base!$T106&gt;X$345,"",X730+X1010+X1290)</f>
        <v>124.44597124689153</v>
      </c>
      <c r="Y450" s="119">
        <f>IF(tech_base!$T106&gt;Y$345,"",Y730+Y1010+Y1290)</f>
        <v>128.34820069868269</v>
      </c>
      <c r="Z450" s="119">
        <f>IF(tech_base!$T106&gt;Z$345,"",Z730+Z1010+Z1290)</f>
        <v>129.76753735173085</v>
      </c>
      <c r="AA450" s="119">
        <f>IF(tech_base!$T106&gt;AA$345,"",AA730+AA1010+AA1290)</f>
        <v>131.09929842982348</v>
      </c>
      <c r="AB450" s="119">
        <f>IF(tech_base!$T106&gt;AB$345,"",AB730+AB1010+AB1290)</f>
        <v>132.57352803495004</v>
      </c>
      <c r="AC450" s="119">
        <f>IF(tech_base!$T106&gt;AC$345,"",AC730+AC1010+AC1290)</f>
        <v>134.05045585283017</v>
      </c>
      <c r="AD450" s="119">
        <f>IF(tech_base!$T106&gt;AD$345,"",AD730+AD1010+AD1290)</f>
        <v>136.18261157409376</v>
      </c>
      <c r="AE450" s="119">
        <f>IF(tech_base!$T106&gt;AE$345,"",AE730+AE1010+AE1290)</f>
        <v>137.54997485773242</v>
      </c>
      <c r="AF450" s="119">
        <f>IF(tech_base!$T106&gt;AF$345,"",AF730+AF1010+AF1290)</f>
        <v>139.10634082149085</v>
      </c>
      <c r="AG450" s="119">
        <f>IF(tech_base!$T106&gt;AG$345,"",AG730+AG1010+AG1290)</f>
        <v>140.50536250117224</v>
      </c>
      <c r="AH450" s="119">
        <f>IF(tech_base!$T106&gt;AH$345,"",AH730+AH1010+AH1290)</f>
        <v>141.77942132711672</v>
      </c>
      <c r="AI450" s="119">
        <f>IF(tech_base!$T106&gt;AI$345,"",AI730+AI1010+AI1290)</f>
        <v>142.86246483257543</v>
      </c>
      <c r="AJ450" s="119">
        <f>IF(tech_base!$T106&gt;AJ$345,"",AJ730+AJ1010+AJ1290)</f>
        <v>143.88666981892604</v>
      </c>
      <c r="AK450" s="119">
        <f>IF(tech_base!$T106&gt;AK$345,"",AK730+AK1010+AK1290)</f>
        <v>144.7305501657215</v>
      </c>
      <c r="AL450" s="119">
        <f>IF(tech_base!$T106&gt;AL$345,"",AL730+AL1010+AL1290)</f>
        <v>145.55247597746646</v>
      </c>
      <c r="AM450" s="119">
        <f>IF(tech_base!$T106&gt;AM$345,"",AM730+AM1010+AM1290)</f>
        <v>146.46043216945108</v>
      </c>
      <c r="AN450" s="119">
        <f>IF(tech_base!$T106&gt;AN$345,"",AN730+AN1010+AN1290)</f>
        <v>146.52006734205006</v>
      </c>
      <c r="AO450" s="119">
        <f>IF(tech_base!$T106&gt;AO$345,"",AO730+AO1010+AO1290)</f>
        <v>146.84386904747359</v>
      </c>
      <c r="AP450" s="119">
        <f>IF(tech_base!$T106&gt;AP$345,"",AP730+AP1010+AP1290)</f>
        <v>147.18361855622817</v>
      </c>
      <c r="AQ450" s="119">
        <f>IF(tech_base!$T106&gt;AQ$345,"",AQ730+AQ1010+AQ1290)</f>
        <v>147.58806247687986</v>
      </c>
      <c r="AR450" s="119">
        <f>IF(tech_base!$T106&gt;AR$345,"",AR730+AR1010+AR1290)</f>
        <v>148.17757905972277</v>
      </c>
      <c r="AS450" s="119">
        <f>IF(tech_base!$T106&gt;AS$345,"",AS730+AS1010+AS1290)</f>
        <v>148.91362863191023</v>
      </c>
      <c r="AT450" s="119">
        <f>IF(tech_base!$T106&gt;AT$345,"",AT730+AT1010+AT1290)</f>
        <v>149.61181141114454</v>
      </c>
      <c r="AU450" s="119">
        <f>IF(tech_base!$T106&gt;AU$345,"",AU730+AU1010+AU1290)</f>
        <v>150.24450058677436</v>
      </c>
      <c r="AV450" s="119">
        <f>IF(tech_base!$T106&gt;AV$345,"",AV730+AV1010+AV1290)</f>
        <v>150.75821146487183</v>
      </c>
      <c r="AW450" s="119">
        <f>IF(tech_base!$T106&gt;AW$345,"",AW730+AW1010+AW1290)</f>
        <v>150.76936605122478</v>
      </c>
      <c r="AX450" s="120">
        <f>IF(tech_base!$T106&gt;AX$345,"",AX730+AX1010+AX1290)</f>
        <v>150.81256673637753</v>
      </c>
    </row>
    <row r="451" spans="1:50" x14ac:dyDescent="0.25">
      <c r="A451" s="356"/>
      <c r="B451" s="376"/>
      <c r="C451" s="361" t="s">
        <v>14</v>
      </c>
      <c r="D451" s="58" t="s">
        <v>7</v>
      </c>
      <c r="E451" s="78" t="str">
        <f>A429&amp;"/"&amp;B447&amp;"/"&amp;C451&amp;"/"&amp;D451</f>
        <v>Gas fired power plants (Natural gas, biogas)/Steam turbine/CHP/L</v>
      </c>
      <c r="F451" s="78" t="str">
        <f>A429</f>
        <v>Gas fired power plants (Natural gas, biogas)</v>
      </c>
      <c r="G451" s="78" t="str">
        <f>B447</f>
        <v>Steam turbine</v>
      </c>
      <c r="H451" s="78" t="str">
        <f>C451</f>
        <v>CHP</v>
      </c>
      <c r="I451" s="78" t="str">
        <f t="shared" si="358"/>
        <v>L</v>
      </c>
      <c r="J451" s="123">
        <f>IF(tech_base!$T107&gt;J$345,"",J731+J1011+J1291)</f>
        <v>113.9383906933504</v>
      </c>
      <c r="K451" s="123">
        <f>IF(tech_base!$T107&gt;K$345,"",K731+K1011+K1291)</f>
        <v>124.66060457405841</v>
      </c>
      <c r="L451" s="123">
        <f>IF(tech_base!$T107&gt;L$345,"",L731+L1011+L1291)</f>
        <v>134.77526992363016</v>
      </c>
      <c r="M451" s="123">
        <f>IF(tech_base!$T107&gt;M$345,"",M731+M1011+M1291)</f>
        <v>132.61065318580256</v>
      </c>
      <c r="N451" s="123">
        <f>IF(tech_base!$T107&gt;N$345,"",N731+N1011+N1291)</f>
        <v>117.96531020087912</v>
      </c>
      <c r="O451" s="123">
        <f>IF(tech_base!$T107&gt;O$345,"",O731+O1011+O1291)</f>
        <v>105.56035138336709</v>
      </c>
      <c r="P451" s="123">
        <f>IF(tech_base!$T107&gt;P$345,"",P731+P1011+P1291)</f>
        <v>84.224133376531825</v>
      </c>
      <c r="Q451" s="123">
        <f>IF(tech_base!$T107&gt;Q$345,"",Q731+Q1011+Q1291)</f>
        <v>92.108517777475257</v>
      </c>
      <c r="R451" s="123">
        <f>IF(tech_base!$T107&gt;R$345,"",R731+R1011+R1291)</f>
        <v>97.617219828554227</v>
      </c>
      <c r="S451" s="123">
        <f>IF(tech_base!$T107&gt;S$345,"",S731+S1011+S1291)</f>
        <v>103.17565378012674</v>
      </c>
      <c r="T451" s="123">
        <f>IF(tech_base!$T107&gt;T$345,"",T731+T1011+T1291)</f>
        <v>108.67344743870969</v>
      </c>
      <c r="U451" s="123">
        <f>IF(tech_base!$T107&gt;U$345,"",U731+U1011+U1291)</f>
        <v>114.03805692936909</v>
      </c>
      <c r="V451" s="123">
        <f>IF(tech_base!$T107&gt;V$345,"",V731+V1011+V1291)</f>
        <v>117.54196870915894</v>
      </c>
      <c r="W451" s="123">
        <f>IF(tech_base!$T107&gt;W$345,"",W731+W1011+W1291)</f>
        <v>121.68970694018988</v>
      </c>
      <c r="X451" s="123">
        <f>IF(tech_base!$T107&gt;X$345,"",X731+X1011+X1291)</f>
        <v>125.61160207045039</v>
      </c>
      <c r="Y451" s="123">
        <f>IF(tech_base!$T107&gt;Y$345,"",Y731+Y1011+Y1291)</f>
        <v>129.31218561254707</v>
      </c>
      <c r="Z451" s="123">
        <f>IF(tech_base!$T107&gt;Z$345,"",Z731+Z1011+Z1291)</f>
        <v>130.65960659521176</v>
      </c>
      <c r="AA451" s="123">
        <f>IF(tech_base!$T107&gt;AA$345,"",AA731+AA1011+AA1291)</f>
        <v>131.92399392069061</v>
      </c>
      <c r="AB451" s="123">
        <f>IF(tech_base!$T107&gt;AB$345,"",AB731+AB1011+AB1291)</f>
        <v>133.32336514355464</v>
      </c>
      <c r="AC451" s="123">
        <f>IF(tech_base!$T107&gt;AC$345,"",AC731+AC1011+AC1291)</f>
        <v>134.72525637064706</v>
      </c>
      <c r="AD451" s="123">
        <f>IF(tech_base!$T107&gt;AD$345,"",AD731+AD1011+AD1291)</f>
        <v>136.74807298186144</v>
      </c>
      <c r="AE451" s="123">
        <f>IF(tech_base!$T107&gt;AE$345,"",AE731+AE1011+AE1291)</f>
        <v>138.04605239982538</v>
      </c>
      <c r="AF451" s="123">
        <f>IF(tech_base!$T107&gt;AF$345,"",AF731+AF1011+AF1291)</f>
        <v>139.52311270212613</v>
      </c>
      <c r="AG451" s="123">
        <f>IF(tech_base!$T107&gt;AG$345,"",AG731+AG1011+AG1291)</f>
        <v>140.85102173498237</v>
      </c>
      <c r="AH451" s="123">
        <f>IF(tech_base!$T107&gt;AH$345,"",AH731+AH1011+AH1291)</f>
        <v>142.06046932862594</v>
      </c>
      <c r="AI451" s="123">
        <f>IF(tech_base!$T107&gt;AI$345,"",AI731+AI1011+AI1291)</f>
        <v>143.08886087163054</v>
      </c>
      <c r="AJ451" s="123">
        <f>IF(tech_base!$T107&gt;AJ$345,"",AJ731+AJ1011+AJ1291)</f>
        <v>144.06145987791456</v>
      </c>
      <c r="AK451" s="123">
        <f>IF(tech_base!$T107&gt;AK$345,"",AK731+AK1011+AK1291)</f>
        <v>144.86313859505515</v>
      </c>
      <c r="AL451" s="123">
        <f>IF(tech_base!$T107&gt;AL$345,"",AL731+AL1011+AL1291)</f>
        <v>145.64398152288499</v>
      </c>
      <c r="AM451" s="123">
        <f>IF(tech_base!$T107&gt;AM$345,"",AM731+AM1011+AM1291)</f>
        <v>146.50632204898278</v>
      </c>
      <c r="AN451" s="123">
        <f>IF(tech_base!$T107&gt;AN$345,"",AN731+AN1011+AN1291)</f>
        <v>146.56471612008642</v>
      </c>
      <c r="AO451" s="123">
        <f>IF(tech_base!$T107&gt;AO$345,"",AO731+AO1011+AO1291)</f>
        <v>146.8734252294422</v>
      </c>
      <c r="AP451" s="123">
        <f>IF(tech_base!$T107&gt;AP$345,"",AP731+AP1011+AP1291)</f>
        <v>147.19722226624131</v>
      </c>
      <c r="AQ451" s="123">
        <f>IF(tech_base!$T107&gt;AQ$345,"",AQ731+AQ1011+AQ1291)</f>
        <v>147.58230136372632</v>
      </c>
      <c r="AR451" s="123">
        <f>IF(tech_base!$T107&gt;AR$345,"",AR731+AR1011+AR1291)</f>
        <v>148.1427365090282</v>
      </c>
      <c r="AS451" s="123">
        <f>IF(tech_base!$T107&gt;AS$345,"",AS731+AS1011+AS1291)</f>
        <v>148.84200382804443</v>
      </c>
      <c r="AT451" s="123">
        <f>IF(tech_base!$T107&gt;AT$345,"",AT731+AT1011+AT1291)</f>
        <v>149.50535919929652</v>
      </c>
      <c r="AU451" s="123">
        <f>IF(tech_base!$T107&gt;AU$345,"",AU731+AU1011+AU1291)</f>
        <v>150.10662350091712</v>
      </c>
      <c r="AV451" s="123">
        <f>IF(tech_base!$T107&gt;AV$345,"",AV731+AV1011+AV1291)</f>
        <v>150.59511470512749</v>
      </c>
      <c r="AW451" s="123">
        <f>IF(tech_base!$T107&gt;AW$345,"",AW731+AW1011+AW1291)</f>
        <v>150.60735078147366</v>
      </c>
      <c r="AX451" s="124">
        <f>IF(tech_base!$T107&gt;AX$345,"",AX731+AX1011+AX1291)</f>
        <v>150.64993272727318</v>
      </c>
    </row>
    <row r="452" spans="1:50" x14ac:dyDescent="0.25">
      <c r="A452" s="356"/>
      <c r="B452" s="376"/>
      <c r="C452" s="378"/>
      <c r="D452" s="2" t="s">
        <v>8</v>
      </c>
      <c r="E452" s="76" t="str">
        <f>A429&amp;"/"&amp;B447&amp;"/"&amp;C451&amp;"/"&amp;D452</f>
        <v>Gas fired power plants (Natural gas, biogas)/Steam turbine/CHP/M</v>
      </c>
      <c r="F452" s="76" t="str">
        <f>A429</f>
        <v>Gas fired power plants (Natural gas, biogas)</v>
      </c>
      <c r="G452" s="76" t="str">
        <f>B447</f>
        <v>Steam turbine</v>
      </c>
      <c r="H452" s="76" t="str">
        <f>C451</f>
        <v>CHP</v>
      </c>
      <c r="I452" s="76" t="str">
        <f t="shared" si="358"/>
        <v>M</v>
      </c>
      <c r="J452" s="119">
        <f>IF(tech_base!$T108&gt;J$345,"",J732+J1012+J1292)</f>
        <v>119.90349500083832</v>
      </c>
      <c r="K452" s="119">
        <f>IF(tech_base!$T108&gt;K$345,"",K732+K1012+K1292)</f>
        <v>131.18697869911244</v>
      </c>
      <c r="L452" s="119">
        <f>IF(tech_base!$T108&gt;L$345,"",L732+L1012+L1292)</f>
        <v>141.83115856961223</v>
      </c>
      <c r="M452" s="119">
        <f>IF(tech_base!$T108&gt;M$345,"",M732+M1012+M1292)</f>
        <v>139.55070635042603</v>
      </c>
      <c r="N452" s="119">
        <f>IF(tech_base!$T108&gt;N$345,"",N732+N1012+N1292)</f>
        <v>124.13333935918325</v>
      </c>
      <c r="O452" s="119">
        <f>IF(tech_base!$T108&gt;O$345,"",O732+O1012+O1292)</f>
        <v>111.07400123472686</v>
      </c>
      <c r="P452" s="119">
        <f>IF(tech_base!$T108&gt;P$345,"",P732+P1012+P1292)</f>
        <v>88.613587977542934</v>
      </c>
      <c r="Q452" s="119">
        <f>IF(tech_base!$T108&gt;Q$345,"",Q732+Q1012+Q1292)</f>
        <v>96.910412755016523</v>
      </c>
      <c r="R452" s="119">
        <f>IF(tech_base!$T108&gt;R$345,"",R732+R1012+R1292)</f>
        <v>102.70672229733825</v>
      </c>
      <c r="S452" s="119">
        <f>IF(tech_base!$T108&gt;S$345,"",S732+S1012+S1292)</f>
        <v>108.55548048376355</v>
      </c>
      <c r="T452" s="119">
        <f>IF(tech_base!$T108&gt;T$345,"",T732+T1012+T1292)</f>
        <v>114.34050700014136</v>
      </c>
      <c r="U452" s="119">
        <f>IF(tech_base!$T108&gt;U$345,"",U732+U1012+U1292)</f>
        <v>119.98543774089663</v>
      </c>
      <c r="V452" s="119">
        <f>IF(tech_base!$T108&gt;V$345,"",V732+V1012+V1292)</f>
        <v>123.67184333412622</v>
      </c>
      <c r="W452" s="119">
        <f>IF(tech_base!$T108&gt;W$345,"",W732+W1012+W1292)</f>
        <v>128.0360307952931</v>
      </c>
      <c r="X452" s="119">
        <f>IF(tech_base!$T108&gt;X$345,"",X732+X1012+X1292)</f>
        <v>132.16256332582853</v>
      </c>
      <c r="Y452" s="119">
        <f>IF(tech_base!$T108&gt;Y$345,"",Y732+Y1012+Y1292)</f>
        <v>136.05620577677627</v>
      </c>
      <c r="Z452" s="119">
        <f>IF(tech_base!$T108&gt;Z$345,"",Z732+Z1012+Z1292)</f>
        <v>137.47286410456366</v>
      </c>
      <c r="AA452" s="119">
        <f>IF(tech_base!$T108&gt;AA$345,"",AA732+AA1012+AA1292)</f>
        <v>138.80215824523714</v>
      </c>
      <c r="AB452" s="119">
        <f>IF(tech_base!$T108&gt;AB$345,"",AB732+AB1012+AB1292)</f>
        <v>140.27358433398666</v>
      </c>
      <c r="AC452" s="119">
        <f>IF(tech_base!$T108&gt;AC$345,"",AC732+AC1012+AC1292)</f>
        <v>141.74770386856756</v>
      </c>
      <c r="AD452" s="119">
        <f>IF(tech_base!$T108&gt;AD$345,"",AD732+AD1012+AD1292)</f>
        <v>143.87549254276036</v>
      </c>
      <c r="AE452" s="119">
        <f>IF(tech_base!$T108&gt;AE$345,"",AE732+AE1012+AE1292)</f>
        <v>145.24030945176622</v>
      </c>
      <c r="AF452" s="119">
        <f>IF(tech_base!$T108&gt;AF$345,"",AF732+AF1012+AF1292)</f>
        <v>146.79367879176115</v>
      </c>
      <c r="AG452" s="119">
        <f>IF(tech_base!$T108&gt;AG$345,"",AG732+AG1012+AG1292)</f>
        <v>148.19007778675689</v>
      </c>
      <c r="AH452" s="119">
        <f>IF(tech_base!$T108&gt;AH$345,"",AH732+AH1012+AH1292)</f>
        <v>149.46181047406611</v>
      </c>
      <c r="AI452" s="119">
        <f>IF(tech_base!$T108&gt;AI$345,"",AI732+AI1012+AI1292)</f>
        <v>150.542981608053</v>
      </c>
      <c r="AJ452" s="119">
        <f>IF(tech_base!$T108&gt;AJ$345,"",AJ732+AJ1012+AJ1292)</f>
        <v>151.56545277268359</v>
      </c>
      <c r="AK452" s="119">
        <f>IF(tech_base!$T108&gt;AK$345,"",AK732+AK1012+AK1292)</f>
        <v>152.40802735284075</v>
      </c>
      <c r="AL452" s="119">
        <f>IF(tech_base!$T108&gt;AL$345,"",AL732+AL1012+AL1292)</f>
        <v>153.22869758775585</v>
      </c>
      <c r="AM452" s="119">
        <f>IF(tech_base!$T108&gt;AM$345,"",AM732+AM1012+AM1292)</f>
        <v>154.13519029106382</v>
      </c>
      <c r="AN452" s="119">
        <f>IF(tech_base!$T108&gt;AN$345,"",AN732+AN1012+AN1292)</f>
        <v>154.19538482805552</v>
      </c>
      <c r="AO452" s="119">
        <f>IF(tech_base!$T108&gt;AO$345,"",AO732+AO1012+AO1292)</f>
        <v>154.51911300010232</v>
      </c>
      <c r="AP452" s="119">
        <f>IF(tech_base!$T108&gt;AP$345,"",AP732+AP1012+AP1292)</f>
        <v>154.85874829555937</v>
      </c>
      <c r="AQ452" s="119">
        <f>IF(tech_base!$T108&gt;AQ$345,"",AQ732+AQ1012+AQ1292)</f>
        <v>155.26292044001025</v>
      </c>
      <c r="AR452" s="119">
        <f>IF(tech_base!$T108&gt;AR$345,"",AR732+AR1012+AR1292)</f>
        <v>155.85171924967642</v>
      </c>
      <c r="AS452" s="119">
        <f>IF(tech_base!$T108&gt;AS$345,"",AS732+AS1012+AS1292)</f>
        <v>156.58669643324481</v>
      </c>
      <c r="AT452" s="119">
        <f>IF(tech_base!$T108&gt;AT$345,"",AT732+AT1012+AT1292)</f>
        <v>157.28389298465939</v>
      </c>
      <c r="AU452" s="119">
        <f>IF(tech_base!$T108&gt;AU$345,"",AU732+AU1012+AU1292)</f>
        <v>157.91574814335777</v>
      </c>
      <c r="AV452" s="119">
        <f>IF(tech_base!$T108&gt;AV$345,"",AV732+AV1012+AV1292)</f>
        <v>158.42890537967094</v>
      </c>
      <c r="AW452" s="119">
        <f>IF(tech_base!$T108&gt;AW$345,"",AW732+AW1012+AW1292)</f>
        <v>158.44070661320043</v>
      </c>
      <c r="AX452" s="120">
        <f>IF(tech_base!$T108&gt;AX$345,"",AX732+AX1012+AX1292)</f>
        <v>158.48447332351114</v>
      </c>
    </row>
    <row r="453" spans="1:50" x14ac:dyDescent="0.25">
      <c r="A453" s="356"/>
      <c r="B453" s="376"/>
      <c r="C453" s="378"/>
      <c r="D453" s="2" t="s">
        <v>10</v>
      </c>
      <c r="E453" s="76" t="str">
        <f>A429&amp;"/"&amp;B447&amp;"/"&amp;C451&amp;"/"&amp;D453</f>
        <v>Gas fired power plants (Natural gas, biogas)/Steam turbine/CHP/S</v>
      </c>
      <c r="F453" s="76" t="str">
        <f>A429</f>
        <v>Gas fired power plants (Natural gas, biogas)</v>
      </c>
      <c r="G453" s="76" t="str">
        <f>B447</f>
        <v>Steam turbine</v>
      </c>
      <c r="H453" s="76" t="str">
        <f>C451</f>
        <v>CHP</v>
      </c>
      <c r="I453" s="76" t="str">
        <f t="shared" si="358"/>
        <v>S</v>
      </c>
      <c r="J453" s="119">
        <f>IF(tech_base!$T109&gt;J$345,"",J733+J1013+J1293)</f>
        <v>133.67677514012911</v>
      </c>
      <c r="K453" s="119">
        <f>IF(tech_base!$T109&gt;K$345,"",K733+K1013+K1293)</f>
        <v>145.55389419282514</v>
      </c>
      <c r="L453" s="119">
        <f>IF(tech_base!$T109&gt;L$345,"",L733+L1013+L1293)</f>
        <v>156.75812307133117</v>
      </c>
      <c r="M453" s="119">
        <f>IF(tech_base!$T109&gt;M$345,"",M733+M1013+M1293)</f>
        <v>154.35674796503514</v>
      </c>
      <c r="N453" s="119">
        <f>IF(tech_base!$T109&gt;N$345,"",N733+N1013+N1293)</f>
        <v>138.12615183613647</v>
      </c>
      <c r="O453" s="119">
        <f>IF(tech_base!$T109&gt;O$345,"",O733+O1013+O1293)</f>
        <v>124.37775551859218</v>
      </c>
      <c r="P453" s="119">
        <f>IF(tech_base!$T109&gt;P$345,"",P733+P1013+P1293)</f>
        <v>100.73270642703629</v>
      </c>
      <c r="Q453" s="119">
        <f>IF(tech_base!$T109&gt;Q$345,"",Q733+Q1013+Q1293)</f>
        <v>109.46595199152576</v>
      </c>
      <c r="R453" s="119">
        <f>IF(tech_base!$T109&gt;R$345,"",R733+R1013+R1293)</f>
        <v>115.56694383550487</v>
      </c>
      <c r="S453" s="119">
        <f>IF(tech_base!$T109&gt;S$345,"",S733+S1013+S1293)</f>
        <v>121.72320215556262</v>
      </c>
      <c r="T453" s="119">
        <f>IF(tech_base!$T109&gt;T$345,"",T733+T1013+T1293)</f>
        <v>127.81242106120654</v>
      </c>
      <c r="U453" s="119">
        <f>IF(tech_base!$T109&gt;U$345,"",U733+U1013+U1293)</f>
        <v>133.75420855644546</v>
      </c>
      <c r="V453" s="119">
        <f>IF(tech_base!$T109&gt;V$345,"",V733+V1013+V1293)</f>
        <v>137.63425298654829</v>
      </c>
      <c r="W453" s="119">
        <f>IF(tech_base!$T109&gt;W$345,"",W733+W1013+W1293)</f>
        <v>142.22785371982059</v>
      </c>
      <c r="X453" s="119">
        <f>IF(tech_base!$T109&gt;X$345,"",X733+X1013+X1293)</f>
        <v>146.57130587052575</v>
      </c>
      <c r="Y453" s="119">
        <f>IF(tech_base!$T109&gt;Y$345,"",Y733+Y1013+Y1293)</f>
        <v>150.66962254675425</v>
      </c>
      <c r="Z453" s="119">
        <f>IF(tech_base!$T109&gt;Z$345,"",Z733+Z1013+Z1293)</f>
        <v>152.16035464522309</v>
      </c>
      <c r="AA453" s="119">
        <f>IF(tech_base!$T109&gt;AA$345,"",AA733+AA1013+AA1293)</f>
        <v>153.5591332164131</v>
      </c>
      <c r="AB453" s="119">
        <f>IF(tech_base!$T109&gt;AB$345,"",AB733+AB1013+AB1293)</f>
        <v>155.1075581702425</v>
      </c>
      <c r="AC453" s="119">
        <f>IF(tech_base!$T109&gt;AC$345,"",AC733+AC1013+AC1293)</f>
        <v>156.65883680848449</v>
      </c>
      <c r="AD453" s="119">
        <f>IF(tech_base!$T109&gt;AD$345,"",AD733+AD1013+AD1293)</f>
        <v>158.89828430696141</v>
      </c>
      <c r="AE453" s="119">
        <f>IF(tech_base!$T109&gt;AE$345,"",AE733+AE1013+AE1293)</f>
        <v>160.33453143191622</v>
      </c>
      <c r="AF453" s="119">
        <f>IF(tech_base!$T109&gt;AF$345,"",AF733+AF1013+AF1293)</f>
        <v>161.96929502437652</v>
      </c>
      <c r="AG453" s="119">
        <f>IF(tech_base!$T109&gt;AG$345,"",AG733+AG1013+AG1293)</f>
        <v>163.43882392269018</v>
      </c>
      <c r="AH453" s="119">
        <f>IF(tech_base!$T109&gt;AH$345,"",AH733+AH1013+AH1293)</f>
        <v>164.77712501562127</v>
      </c>
      <c r="AI453" s="119">
        <f>IF(tech_base!$T109&gt;AI$345,"",AI733+AI1013+AI1293)</f>
        <v>165.91482481703889</v>
      </c>
      <c r="AJ453" s="119">
        <f>IF(tech_base!$T109&gt;AJ$345,"",AJ733+AJ1013+AJ1293)</f>
        <v>166.99074116643465</v>
      </c>
      <c r="AK453" s="119">
        <f>IF(tech_base!$T109&gt;AK$345,"",AK733+AK1013+AK1293)</f>
        <v>167.87728119610026</v>
      </c>
      <c r="AL453" s="119">
        <f>IF(tech_base!$T109&gt;AL$345,"",AL733+AL1013+AL1293)</f>
        <v>168.74077322366344</v>
      </c>
      <c r="AM453" s="119">
        <f>IF(tech_base!$T109&gt;AM$345,"",AM733+AM1013+AM1293)</f>
        <v>169.69462899009204</v>
      </c>
      <c r="AN453" s="119">
        <f>IF(tech_base!$T109&gt;AN$345,"",AN733+AN1013+AN1293)</f>
        <v>169.75753324396862</v>
      </c>
      <c r="AO453" s="119">
        <f>IF(tech_base!$T109&gt;AO$345,"",AO733+AO1013+AO1293)</f>
        <v>170.09788836410274</v>
      </c>
      <c r="AP453" s="119">
        <f>IF(tech_base!$T109&gt;AP$345,"",AP733+AP1013+AP1293)</f>
        <v>170.45499929958967</v>
      </c>
      <c r="AQ453" s="119">
        <f>IF(tech_base!$T109&gt;AQ$345,"",AQ733+AQ1013+AQ1293)</f>
        <v>170.88006265202515</v>
      </c>
      <c r="AR453" s="119">
        <f>IF(tech_base!$T109&gt;AR$345,"",AR733+AR1013+AR1293)</f>
        <v>171.49950770551888</v>
      </c>
      <c r="AS453" s="119">
        <f>IF(tech_base!$T109&gt;AS$345,"",AS733+AS1013+AS1293)</f>
        <v>172.27285761001053</v>
      </c>
      <c r="AT453" s="119">
        <f>IF(tech_base!$T109&gt;AT$345,"",AT733+AT1013+AT1293)</f>
        <v>173.00644272545776</v>
      </c>
      <c r="AU453" s="119">
        <f>IF(tech_base!$T109&gt;AU$345,"",AU733+AU1013+AU1293)</f>
        <v>173.67124684245277</v>
      </c>
      <c r="AV453" s="119">
        <f>IF(tech_base!$T109&gt;AV$345,"",AV733+AV1013+AV1293)</f>
        <v>174.21109585856934</v>
      </c>
      <c r="AW453" s="119">
        <f>IF(tech_base!$T109&gt;AW$345,"",AW733+AW1013+AW1293)</f>
        <v>174.22312735775506</v>
      </c>
      <c r="AX453" s="120">
        <f>IF(tech_base!$T109&gt;AX$345,"",AX733+AX1013+AX1293)</f>
        <v>174.26881879512607</v>
      </c>
    </row>
    <row r="454" spans="1:50" x14ac:dyDescent="0.25">
      <c r="A454" s="356"/>
      <c r="B454" s="376"/>
      <c r="C454" s="379"/>
      <c r="D454" s="59" t="s">
        <v>20</v>
      </c>
      <c r="E454" s="79" t="str">
        <f>A429&amp;"/"&amp;B447&amp;"/"&amp;C451&amp;"/"&amp;D454</f>
        <v>Gas fired power plants (Natural gas, biogas)/Steam turbine/CHP/XS</v>
      </c>
      <c r="F454" s="79" t="str">
        <f>A429</f>
        <v>Gas fired power plants (Natural gas, biogas)</v>
      </c>
      <c r="G454" s="79" t="str">
        <f>B447</f>
        <v>Steam turbine</v>
      </c>
      <c r="H454" s="79" t="str">
        <f>C451</f>
        <v>CHP</v>
      </c>
      <c r="I454" s="79" t="str">
        <f t="shared" si="358"/>
        <v>XS</v>
      </c>
      <c r="J454" s="125">
        <f>IF(tech_base!$T110&gt;J$345,"",J734+J1014+J1294)</f>
        <v>146.29154639787961</v>
      </c>
      <c r="K454" s="125">
        <f>IF(tech_base!$T110&gt;K$345,"",K734+K1014+K1294)</f>
        <v>158.79496078145917</v>
      </c>
      <c r="L454" s="125">
        <f>IF(tech_base!$T110&gt;L$345,"",L734+L1014+L1294)</f>
        <v>170.59002633497573</v>
      </c>
      <c r="M454" s="125">
        <f>IF(tech_base!$T110&gt;M$345,"",M734+M1014+M1294)</f>
        <v>168.06072941564145</v>
      </c>
      <c r="N454" s="125">
        <f>IF(tech_base!$T110&gt;N$345,"",N734+N1014+N1294)</f>
        <v>150.97151532679706</v>
      </c>
      <c r="O454" s="125">
        <f>IF(tech_base!$T110&gt;O$345,"",O734+O1014+O1294)</f>
        <v>136.49558373513179</v>
      </c>
      <c r="P454" s="125">
        <f>IF(tech_base!$T110&gt;P$345,"",P734+P1014+P1294)</f>
        <v>111.59996885524058</v>
      </c>
      <c r="Q454" s="125">
        <f>IF(tech_base!$T110&gt;Q$345,"",Q734+Q1014+Q1294)</f>
        <v>120.79359329512235</v>
      </c>
      <c r="R454" s="125">
        <f>IF(tech_base!$T110&gt;R$345,"",R734+R1014+R1294)</f>
        <v>127.21591997089817</v>
      </c>
      <c r="S454" s="125">
        <f>IF(tech_base!$T110&gt;S$345,"",S734+S1014+S1294)</f>
        <v>133.69648526694266</v>
      </c>
      <c r="T454" s="125">
        <f>IF(tech_base!$T110&gt;T$345,"",T734+T1014+T1294)</f>
        <v>140.10651829950268</v>
      </c>
      <c r="U454" s="125">
        <f>IF(tech_base!$T110&gt;U$345,"",U734+U1014+U1294)</f>
        <v>146.36137622613086</v>
      </c>
      <c r="V454" s="125">
        <f>IF(tech_base!$T110&gt;V$345,"",V734+V1014+V1294)</f>
        <v>150.44555621710785</v>
      </c>
      <c r="W454" s="125">
        <f>IF(tech_base!$T110&gt;W$345,"",W734+W1014+W1294)</f>
        <v>155.28104812096907</v>
      </c>
      <c r="X454" s="125">
        <f>IF(tech_base!$T110&gt;X$345,"",X734+X1014+X1294)</f>
        <v>159.85320614256869</v>
      </c>
      <c r="Y454" s="125">
        <f>IF(tech_base!$T110&gt;Y$345,"",Y734+Y1014+Y1294)</f>
        <v>164.16730577698368</v>
      </c>
      <c r="Z454" s="125">
        <f>IF(tech_base!$T110&gt;Z$345,"",Z734+Z1014+Z1294)</f>
        <v>165.73599491065642</v>
      </c>
      <c r="AA454" s="125">
        <f>IF(tech_base!$T110&gt;AA$345,"",AA734+AA1014+AA1294)</f>
        <v>167.20789041917524</v>
      </c>
      <c r="AB454" s="125">
        <f>IF(tech_base!$T110&gt;AB$345,"",AB734+AB1014+AB1294)</f>
        <v>168.83736547864044</v>
      </c>
      <c r="AC454" s="125">
        <f>IF(tech_base!$T110&gt;AC$345,"",AC734+AC1014+AC1294)</f>
        <v>170.46986622842519</v>
      </c>
      <c r="AD454" s="125">
        <f>IF(tech_base!$T110&gt;AD$345,"",AD734+AD1014+AD1294)</f>
        <v>172.82694575685724</v>
      </c>
      <c r="AE454" s="125">
        <f>IF(tech_base!$T110&gt;AE$345,"",AE734+AE1014+AE1294)</f>
        <v>174.33837469357755</v>
      </c>
      <c r="AF454" s="125">
        <f>IF(tech_base!$T110&gt;AF$345,"",AF734+AF1014+AF1294)</f>
        <v>176.05883763480742</v>
      </c>
      <c r="AG454" s="125">
        <f>IF(tech_base!$T110&gt;AG$345,"",AG734+AG1014+AG1294)</f>
        <v>177.60534743828876</v>
      </c>
      <c r="AH454" s="125">
        <f>IF(tech_base!$T110&gt;AH$345,"",AH734+AH1014+AH1294)</f>
        <v>179.0137081019181</v>
      </c>
      <c r="AI454" s="125">
        <f>IF(tech_base!$T110&gt;AI$345,"",AI734+AI1014+AI1294)</f>
        <v>180.21087589660377</v>
      </c>
      <c r="AJ454" s="125">
        <f>IF(tech_base!$T110&gt;AJ$345,"",AJ734+AJ1014+AJ1294)</f>
        <v>181.343009319408</v>
      </c>
      <c r="AK454" s="125">
        <f>IF(tech_base!$T110&gt;AK$345,"",AK734+AK1014+AK1294)</f>
        <v>182.27576607797906</v>
      </c>
      <c r="AL454" s="125">
        <f>IF(tech_base!$T110&gt;AL$345,"",AL734+AL1014+AL1294)</f>
        <v>183.18427099764591</v>
      </c>
      <c r="AM454" s="125">
        <f>IF(tech_base!$T110&gt;AM$345,"",AM734+AM1014+AM1294)</f>
        <v>184.18793452557071</v>
      </c>
      <c r="AN454" s="125">
        <f>IF(tech_base!$T110&gt;AN$345,"",AN734+AN1014+AN1294)</f>
        <v>184.25353145820873</v>
      </c>
      <c r="AO454" s="125">
        <f>IF(tech_base!$T110&gt;AO$345,"",AO734+AO1014+AO1294)</f>
        <v>184.61126797728491</v>
      </c>
      <c r="AP454" s="125">
        <f>IF(tech_base!$T110&gt;AP$345,"",AP734+AP1014+AP1294)</f>
        <v>184.98665900508252</v>
      </c>
      <c r="AQ454" s="125">
        <f>IF(tech_base!$T110&gt;AQ$345,"",AQ734+AQ1014+AQ1294)</f>
        <v>185.43360953383547</v>
      </c>
      <c r="AR454" s="125">
        <f>IF(tech_base!$T110&gt;AR$345,"",AR734+AR1014+AR1294)</f>
        <v>186.08523783565747</v>
      </c>
      <c r="AS454" s="125">
        <f>IF(tech_base!$T110&gt;AS$345,"",AS734+AS1014+AS1294)</f>
        <v>186.89892632306729</v>
      </c>
      <c r="AT454" s="125">
        <f>IF(tech_base!$T110&gt;AT$345,"",AT734+AT1014+AT1294)</f>
        <v>187.67075901449329</v>
      </c>
      <c r="AU454" s="125">
        <f>IF(tech_base!$T110&gt;AU$345,"",AU734+AU1014+AU1294)</f>
        <v>188.37018399963807</v>
      </c>
      <c r="AV454" s="125">
        <f>IF(tech_base!$T110&gt;AV$345,"",AV734+AV1014+AV1294)</f>
        <v>188.9380543082778</v>
      </c>
      <c r="AW454" s="125">
        <f>IF(tech_base!$T110&gt;AW$345,"",AW734+AW1014+AW1294)</f>
        <v>188.95018965074979</v>
      </c>
      <c r="AX454" s="126">
        <f>IF(tech_base!$T110&gt;AX$345,"",AX734+AX1014+AX1294)</f>
        <v>188.99777570002519</v>
      </c>
    </row>
    <row r="455" spans="1:50" x14ac:dyDescent="0.25">
      <c r="A455" s="356"/>
      <c r="B455" s="376"/>
      <c r="C455" s="361" t="s">
        <v>15</v>
      </c>
      <c r="D455" s="58" t="s">
        <v>7</v>
      </c>
      <c r="E455" s="78" t="str">
        <f>A429&amp;"/"&amp;B447&amp;"/"&amp;C455&amp;"/"&amp;D455</f>
        <v>Gas fired power plants (Natural gas, biogas)/Steam turbine/Electricity only with CCS/L</v>
      </c>
      <c r="F455" s="78" t="str">
        <f>A429</f>
        <v>Gas fired power plants (Natural gas, biogas)</v>
      </c>
      <c r="G455" s="78" t="str">
        <f>B447</f>
        <v>Steam turbine</v>
      </c>
      <c r="H455" s="78" t="str">
        <f>C455</f>
        <v>Electricity only with CCS</v>
      </c>
      <c r="I455" s="78" t="str">
        <f t="shared" si="358"/>
        <v>L</v>
      </c>
      <c r="J455" s="123" t="str">
        <f>IF(tech_base!$T111&gt;J$345,"",J735+J1015+J1295)</f>
        <v/>
      </c>
      <c r="K455" s="123" t="str">
        <f>IF(tech_base!$T111&gt;K$345,"",K735+K1015+K1295)</f>
        <v/>
      </c>
      <c r="L455" s="123" t="str">
        <f>IF(tech_base!$T111&gt;L$345,"",L735+L1015+L1295)</f>
        <v/>
      </c>
      <c r="M455" s="123" t="str">
        <f>IF(tech_base!$T111&gt;M$345,"",M735+M1015+M1295)</f>
        <v/>
      </c>
      <c r="N455" s="123" t="str">
        <f>IF(tech_base!$T111&gt;N$345,"",N735+N1015+N1295)</f>
        <v/>
      </c>
      <c r="O455" s="123" t="str">
        <f>IF(tech_base!$T111&gt;O$345,"",O735+O1015+O1295)</f>
        <v/>
      </c>
      <c r="P455" s="123" t="str">
        <f>IF(tech_base!$T111&gt;P$345,"",P735+P1015+P1295)</f>
        <v/>
      </c>
      <c r="Q455" s="123" t="str">
        <f>IF(tech_base!$T111&gt;Q$345,"",Q735+Q1015+Q1295)</f>
        <v/>
      </c>
      <c r="R455" s="123" t="str">
        <f>IF(tech_base!$T111&gt;R$345,"",R735+R1015+R1295)</f>
        <v/>
      </c>
      <c r="S455" s="123" t="str">
        <f>IF(tech_base!$T111&gt;S$345,"",S735+S1015+S1295)</f>
        <v/>
      </c>
      <c r="T455" s="123" t="str">
        <f>IF(tech_base!$T111&gt;T$345,"",T735+T1015+T1295)</f>
        <v/>
      </c>
      <c r="U455" s="123" t="str">
        <f>IF(tech_base!$T111&gt;U$345,"",U735+U1015+U1295)</f>
        <v/>
      </c>
      <c r="V455" s="123" t="str">
        <f>IF(tech_base!$T111&gt;V$345,"",V735+V1015+V1295)</f>
        <v/>
      </c>
      <c r="W455" s="123" t="str">
        <f>IF(tech_base!$T111&gt;W$345,"",W735+W1015+W1295)</f>
        <v/>
      </c>
      <c r="X455" s="123" t="str">
        <f>IF(tech_base!$T111&gt;X$345,"",X735+X1015+X1295)</f>
        <v/>
      </c>
      <c r="Y455" s="123" t="str">
        <f>IF(tech_base!$T111&gt;Y$345,"",Y735+Y1015+Y1295)</f>
        <v/>
      </c>
      <c r="Z455" s="123" t="str">
        <f>IF(tech_base!$T111&gt;Z$345,"",Z735+Z1015+Z1295)</f>
        <v/>
      </c>
      <c r="AA455" s="123" t="str">
        <f>IF(tech_base!$T111&gt;AA$345,"",AA735+AA1015+AA1295)</f>
        <v/>
      </c>
      <c r="AB455" s="123" t="str">
        <f>IF(tech_base!$T111&gt;AB$345,"",AB735+AB1015+AB1295)</f>
        <v/>
      </c>
      <c r="AC455" s="123" t="str">
        <f>IF(tech_base!$T111&gt;AC$345,"",AC735+AC1015+AC1295)</f>
        <v/>
      </c>
      <c r="AD455" s="123" t="str">
        <f>IF(tech_base!$T111&gt;AD$345,"",AD735+AD1015+AD1295)</f>
        <v/>
      </c>
      <c r="AE455" s="123">
        <f>IF(tech_base!$T111&gt;AE$345,"",AE735+AE1015+AE1295)</f>
        <v>189.82880443770645</v>
      </c>
      <c r="AF455" s="123">
        <f>IF(tech_base!$T111&gt;AF$345,"",AF735+AF1015+AF1295)</f>
        <v>191.52751011943499</v>
      </c>
      <c r="AG455" s="123">
        <f>IF(tech_base!$T111&gt;AG$345,"",AG735+AG1015+AG1295)</f>
        <v>193.05437802318156</v>
      </c>
      <c r="AH455" s="123">
        <f>IF(tech_base!$T111&gt;AH$345,"",AH735+AH1015+AH1295)</f>
        <v>194.44478097690327</v>
      </c>
      <c r="AI455" s="123">
        <f>IF(tech_base!$T111&gt;AI$345,"",AI735+AI1015+AI1295)</f>
        <v>195.62654971616692</v>
      </c>
      <c r="AJ455" s="123">
        <f>IF(tech_base!$T111&gt;AJ$345,"",AJ735+AJ1015+AJ1295)</f>
        <v>196.74408848419091</v>
      </c>
      <c r="AK455" s="123">
        <f>IF(tech_base!$T111&gt;AK$345,"",AK735+AK1015+AK1295)</f>
        <v>197.66466451372062</v>
      </c>
      <c r="AL455" s="123">
        <f>IF(tech_base!$T111&gt;AL$345,"",AL735+AL1015+AL1295)</f>
        <v>198.56130198401888</v>
      </c>
      <c r="AM455" s="123">
        <f>IF(tech_base!$T111&gt;AM$345,"",AM735+AM1015+AM1295)</f>
        <v>199.55197981095912</v>
      </c>
      <c r="AN455" s="123">
        <f>IF(tech_base!$T111&gt;AN$345,"",AN735+AN1015+AN1295)</f>
        <v>199.61585242601612</v>
      </c>
      <c r="AO455" s="123">
        <f>IF(tech_base!$T111&gt;AO$345,"",AO735+AO1015+AO1295)</f>
        <v>199.9683828887319</v>
      </c>
      <c r="AP455" s="123">
        <f>IF(tech_base!$T111&gt;AP$345,"",AP735+AP1015+AP1295)</f>
        <v>200.33837513149658</v>
      </c>
      <c r="AQ455" s="123">
        <f>IF(tech_base!$T111&gt;AQ$345,"",AQ735+AQ1015+AQ1295)</f>
        <v>200.77908834543834</v>
      </c>
      <c r="AR455" s="123">
        <f>IF(tech_base!$T111&gt;AR$345,"",AR735+AR1015+AR1295)</f>
        <v>201.4220469095111</v>
      </c>
      <c r="AS455" s="123">
        <f>IF(tech_base!$T111&gt;AS$345,"",AS735+AS1015+AS1295)</f>
        <v>202.22514421378006</v>
      </c>
      <c r="AT455" s="123">
        <f>IF(tech_base!$T111&gt;AT$345,"",AT735+AT1015+AT1295)</f>
        <v>202.9869057087416</v>
      </c>
      <c r="AU455" s="123">
        <f>IF(tech_base!$T111&gt;AU$345,"",AU735+AU1015+AU1295)</f>
        <v>203.67714455721125</v>
      </c>
      <c r="AV455" s="123">
        <f>IF(tech_base!$T111&gt;AV$345,"",AV735+AV1015+AV1295)</f>
        <v>204.23742086310176</v>
      </c>
      <c r="AW455" s="123">
        <f>IF(tech_base!$T111&gt;AW$345,"",AW735+AW1015+AW1295)</f>
        <v>204.2486287383434</v>
      </c>
      <c r="AX455" s="124">
        <f>IF(tech_base!$T111&gt;AX$345,"",AX735+AX1015+AX1295)</f>
        <v>204.29487810648561</v>
      </c>
    </row>
    <row r="456" spans="1:50" x14ac:dyDescent="0.25">
      <c r="A456" s="356"/>
      <c r="B456" s="376"/>
      <c r="C456" s="379"/>
      <c r="D456" s="59" t="s">
        <v>8</v>
      </c>
      <c r="E456" s="79" t="str">
        <f>A429&amp;"/"&amp;B447&amp;"/"&amp;C455&amp;"/"&amp;D456</f>
        <v>Gas fired power plants (Natural gas, biogas)/Steam turbine/Electricity only with CCS/M</v>
      </c>
      <c r="F456" s="79" t="str">
        <f>A429</f>
        <v>Gas fired power plants (Natural gas, biogas)</v>
      </c>
      <c r="G456" s="79" t="str">
        <f>B447</f>
        <v>Steam turbine</v>
      </c>
      <c r="H456" s="79" t="str">
        <f>C455</f>
        <v>Electricity only with CCS</v>
      </c>
      <c r="I456" s="79" t="str">
        <f t="shared" si="358"/>
        <v>M</v>
      </c>
      <c r="J456" s="125" t="str">
        <f>IF(tech_base!$T112&gt;J$345,"",J736+J1016+J1296)</f>
        <v/>
      </c>
      <c r="K456" s="125" t="str">
        <f>IF(tech_base!$T112&gt;K$345,"",K736+K1016+K1296)</f>
        <v/>
      </c>
      <c r="L456" s="125" t="str">
        <f>IF(tech_base!$T112&gt;L$345,"",L736+L1016+L1296)</f>
        <v/>
      </c>
      <c r="M456" s="125" t="str">
        <f>IF(tech_base!$T112&gt;M$345,"",M736+M1016+M1296)</f>
        <v/>
      </c>
      <c r="N456" s="125" t="str">
        <f>IF(tech_base!$T112&gt;N$345,"",N736+N1016+N1296)</f>
        <v/>
      </c>
      <c r="O456" s="125" t="str">
        <f>IF(tech_base!$T112&gt;O$345,"",O736+O1016+O1296)</f>
        <v/>
      </c>
      <c r="P456" s="125" t="str">
        <f>IF(tech_base!$T112&gt;P$345,"",P736+P1016+P1296)</f>
        <v/>
      </c>
      <c r="Q456" s="125" t="str">
        <f>IF(tech_base!$T112&gt;Q$345,"",Q736+Q1016+Q1296)</f>
        <v/>
      </c>
      <c r="R456" s="125" t="str">
        <f>IF(tech_base!$T112&gt;R$345,"",R736+R1016+R1296)</f>
        <v/>
      </c>
      <c r="S456" s="125" t="str">
        <f>IF(tech_base!$T112&gt;S$345,"",S736+S1016+S1296)</f>
        <v/>
      </c>
      <c r="T456" s="125" t="str">
        <f>IF(tech_base!$T112&gt;T$345,"",T736+T1016+T1296)</f>
        <v/>
      </c>
      <c r="U456" s="125" t="str">
        <f>IF(tech_base!$T112&gt;U$345,"",U736+U1016+U1296)</f>
        <v/>
      </c>
      <c r="V456" s="125" t="str">
        <f>IF(tech_base!$T112&gt;V$345,"",V736+V1016+V1296)</f>
        <v/>
      </c>
      <c r="W456" s="125" t="str">
        <f>IF(tech_base!$T112&gt;W$345,"",W736+W1016+W1296)</f>
        <v/>
      </c>
      <c r="X456" s="125" t="str">
        <f>IF(tech_base!$T112&gt;X$345,"",X736+X1016+X1296)</f>
        <v/>
      </c>
      <c r="Y456" s="125" t="str">
        <f>IF(tech_base!$T112&gt;Y$345,"",Y736+Y1016+Y1296)</f>
        <v/>
      </c>
      <c r="Z456" s="125" t="str">
        <f>IF(tech_base!$T112&gt;Z$345,"",Z736+Z1016+Z1296)</f>
        <v/>
      </c>
      <c r="AA456" s="125" t="str">
        <f>IF(tech_base!$T112&gt;AA$345,"",AA736+AA1016+AA1296)</f>
        <v/>
      </c>
      <c r="AB456" s="125" t="str">
        <f>IF(tech_base!$T112&gt;AB$345,"",AB736+AB1016+AB1296)</f>
        <v/>
      </c>
      <c r="AC456" s="125" t="str">
        <f>IF(tech_base!$T112&gt;AC$345,"",AC736+AC1016+AC1296)</f>
        <v/>
      </c>
      <c r="AD456" s="125" t="str">
        <f>IF(tech_base!$T112&gt;AD$345,"",AD736+AD1016+AD1296)</f>
        <v/>
      </c>
      <c r="AE456" s="125">
        <f>IF(tech_base!$T112&gt;AE$345,"",AE736+AE1016+AE1296)</f>
        <v>219.99173548519215</v>
      </c>
      <c r="AF456" s="125">
        <f>IF(tech_base!$T112&gt;AF$345,"",AF736+AF1016+AF1296)</f>
        <v>221.79940240372176</v>
      </c>
      <c r="AG456" s="125">
        <f>IF(tech_base!$T112&gt;AG$345,"",AG736+AG1016+AG1296)</f>
        <v>223.42420923650911</v>
      </c>
      <c r="AH456" s="125">
        <f>IF(tech_base!$T112&gt;AH$345,"",AH736+AH1016+AH1296)</f>
        <v>224.903797754934</v>
      </c>
      <c r="AI456" s="125">
        <f>IF(tech_base!$T112&gt;AI$345,"",AI736+AI1016+AI1296)</f>
        <v>226.16136949222607</v>
      </c>
      <c r="AJ456" s="125">
        <f>IF(tech_base!$T112&gt;AJ$345,"",AJ736+AJ1016+AJ1296)</f>
        <v>227.35059131143828</v>
      </c>
      <c r="AK456" s="125">
        <f>IF(tech_base!$T112&gt;AK$345,"",AK736+AK1016+AK1296)</f>
        <v>228.33021647692243</v>
      </c>
      <c r="AL456" s="125">
        <f>IF(tech_base!$T112&gt;AL$345,"",AL736+AL1016+AL1296)</f>
        <v>229.28436757584791</v>
      </c>
      <c r="AM456" s="125">
        <f>IF(tech_base!$T112&gt;AM$345,"",AM736+AM1016+AM1296)</f>
        <v>230.3385911261326</v>
      </c>
      <c r="AN456" s="125">
        <f>IF(tech_base!$T112&gt;AN$345,"",AN736+AN1016+AN1296)</f>
        <v>230.40656076588857</v>
      </c>
      <c r="AO456" s="125">
        <f>IF(tech_base!$T112&gt;AO$345,"",AO736+AO1016+AO1296)</f>
        <v>230.78170383044628</v>
      </c>
      <c r="AP456" s="125">
        <f>IF(tech_base!$T112&gt;AP$345,"",AP736+AP1016+AP1296)</f>
        <v>231.17542873791686</v>
      </c>
      <c r="AQ456" s="125">
        <f>IF(tech_base!$T112&gt;AQ$345,"",AQ736+AQ1016+AQ1296)</f>
        <v>231.6444109200396</v>
      </c>
      <c r="AR456" s="125">
        <f>IF(tech_base!$T112&gt;AR$345,"",AR736+AR1016+AR1296)</f>
        <v>232.32861121368728</v>
      </c>
      <c r="AS456" s="125">
        <f>IF(tech_base!$T112&gt;AS$345,"",AS736+AS1016+AS1296)</f>
        <v>233.1832221359337</v>
      </c>
      <c r="AT456" s="125">
        <f>IF(tech_base!$T112&gt;AT$345,"",AT736+AT1016+AT1296)</f>
        <v>233.99384581787163</v>
      </c>
      <c r="AU456" s="125">
        <f>IF(tech_base!$T112&gt;AU$345,"",AU736+AU1016+AU1296)</f>
        <v>234.72835912743616</v>
      </c>
      <c r="AV456" s="125">
        <f>IF(tech_base!$T112&gt;AV$345,"",AV736+AV1016+AV1296)</f>
        <v>235.32457361843836</v>
      </c>
      <c r="AW456" s="125">
        <f>IF(tech_base!$T112&gt;AW$345,"",AW736+AW1016+AW1296)</f>
        <v>235.33650040806367</v>
      </c>
      <c r="AX456" s="126">
        <f>IF(tech_base!$T112&gt;AX$345,"",AX736+AX1016+AX1296)</f>
        <v>235.38571638096161</v>
      </c>
    </row>
    <row r="457" spans="1:50" x14ac:dyDescent="0.25">
      <c r="A457" s="356"/>
      <c r="B457" s="376"/>
      <c r="C457" s="361" t="s">
        <v>16</v>
      </c>
      <c r="D457" s="2" t="s">
        <v>7</v>
      </c>
      <c r="E457" s="76" t="str">
        <f>A429&amp;"/"&amp;B447&amp;"/"&amp;C457&amp;"/"&amp;D457</f>
        <v>Gas fired power plants (Natural gas, biogas)/Steam turbine/CHP with CCS/L</v>
      </c>
      <c r="F457" s="76" t="str">
        <f>A429</f>
        <v>Gas fired power plants (Natural gas, biogas)</v>
      </c>
      <c r="G457" s="76" t="str">
        <f>B447</f>
        <v>Steam turbine</v>
      </c>
      <c r="H457" s="76" t="str">
        <f>C457</f>
        <v>CHP with CCS</v>
      </c>
      <c r="I457" s="76" t="str">
        <f t="shared" si="358"/>
        <v>L</v>
      </c>
      <c r="J457" s="119" t="str">
        <f>IF(tech_base!$T113&gt;J$345,"",J737+J1017+J1297)</f>
        <v/>
      </c>
      <c r="K457" s="119" t="str">
        <f>IF(tech_base!$T113&gt;K$345,"",K737+K1017+K1297)</f>
        <v/>
      </c>
      <c r="L457" s="119" t="str">
        <f>IF(tech_base!$T113&gt;L$345,"",L737+L1017+L1297)</f>
        <v/>
      </c>
      <c r="M457" s="119" t="str">
        <f>IF(tech_base!$T113&gt;M$345,"",M737+M1017+M1297)</f>
        <v/>
      </c>
      <c r="N457" s="119" t="str">
        <f>IF(tech_base!$T113&gt;N$345,"",N737+N1017+N1297)</f>
        <v/>
      </c>
      <c r="O457" s="119" t="str">
        <f>IF(tech_base!$T113&gt;O$345,"",O737+O1017+O1297)</f>
        <v/>
      </c>
      <c r="P457" s="119" t="str">
        <f>IF(tech_base!$T113&gt;P$345,"",P737+P1017+P1297)</f>
        <v/>
      </c>
      <c r="Q457" s="119" t="str">
        <f>IF(tech_base!$T113&gt;Q$345,"",Q737+Q1017+Q1297)</f>
        <v/>
      </c>
      <c r="R457" s="119" t="str">
        <f>IF(tech_base!$T113&gt;R$345,"",R737+R1017+R1297)</f>
        <v/>
      </c>
      <c r="S457" s="119" t="str">
        <f>IF(tech_base!$T113&gt;S$345,"",S737+S1017+S1297)</f>
        <v/>
      </c>
      <c r="T457" s="119" t="str">
        <f>IF(tech_base!$T113&gt;T$345,"",T737+T1017+T1297)</f>
        <v/>
      </c>
      <c r="U457" s="119" t="str">
        <f>IF(tech_base!$T113&gt;U$345,"",U737+U1017+U1297)</f>
        <v/>
      </c>
      <c r="V457" s="119" t="str">
        <f>IF(tech_base!$T113&gt;V$345,"",V737+V1017+V1297)</f>
        <v/>
      </c>
      <c r="W457" s="119" t="str">
        <f>IF(tech_base!$T113&gt;W$345,"",W737+W1017+W1297)</f>
        <v/>
      </c>
      <c r="X457" s="119" t="str">
        <f>IF(tech_base!$T113&gt;X$345,"",X737+X1017+X1297)</f>
        <v/>
      </c>
      <c r="Y457" s="119" t="str">
        <f>IF(tech_base!$T113&gt;Y$345,"",Y737+Y1017+Y1297)</f>
        <v/>
      </c>
      <c r="Z457" s="119" t="str">
        <f>IF(tech_base!$T113&gt;Z$345,"",Z737+Z1017+Z1297)</f>
        <v/>
      </c>
      <c r="AA457" s="119" t="str">
        <f>IF(tech_base!$T113&gt;AA$345,"",AA737+AA1017+AA1297)</f>
        <v/>
      </c>
      <c r="AB457" s="119" t="str">
        <f>IF(tech_base!$T113&gt;AB$345,"",AB737+AB1017+AB1297)</f>
        <v/>
      </c>
      <c r="AC457" s="119" t="str">
        <f>IF(tech_base!$T113&gt;AC$345,"",AC737+AC1017+AC1297)</f>
        <v/>
      </c>
      <c r="AD457" s="119" t="str">
        <f>IF(tech_base!$T113&gt;AD$345,"",AD737+AD1017+AD1297)</f>
        <v/>
      </c>
      <c r="AE457" s="119">
        <f>IF(tech_base!$T113&gt;AE$345,"",AE737+AE1017+AE1297)</f>
        <v>226.5852873778104</v>
      </c>
      <c r="AF457" s="119">
        <f>IF(tech_base!$T113&gt;AF$345,"",AF737+AF1017+AF1297)</f>
        <v>228.50489106756606</v>
      </c>
      <c r="AG457" s="119">
        <f>IF(tech_base!$T113&gt;AG$345,"",AG737+AG1017+AG1297)</f>
        <v>230.2303113645176</v>
      </c>
      <c r="AH457" s="119">
        <f>IF(tech_base!$T113&gt;AH$345,"",AH737+AH1017+AH1297)</f>
        <v>231.80152094421095</v>
      </c>
      <c r="AI457" s="119">
        <f>IF(tech_base!$T113&gt;AI$345,"",AI737+AI1017+AI1297)</f>
        <v>233.13696572239053</v>
      </c>
      <c r="AJ457" s="119">
        <f>IF(tech_base!$T113&gt;AJ$345,"",AJ737+AJ1017+AJ1297)</f>
        <v>234.39982812734871</v>
      </c>
      <c r="AK457" s="119">
        <f>IF(tech_base!$T113&gt;AK$345,"",AK737+AK1017+AK1297)</f>
        <v>235.44011495395642</v>
      </c>
      <c r="AL457" s="119">
        <f>IF(tech_base!$T113&gt;AL$345,"",AL737+AL1017+AL1297)</f>
        <v>236.45335027474863</v>
      </c>
      <c r="AM457" s="119">
        <f>IF(tech_base!$T113&gt;AM$345,"",AM737+AM1017+AM1297)</f>
        <v>237.57285486722071</v>
      </c>
      <c r="AN457" s="119">
        <f>IF(tech_base!$T113&gt;AN$345,"",AN737+AN1017+AN1297)</f>
        <v>237.64503341401468</v>
      </c>
      <c r="AO457" s="119">
        <f>IF(tech_base!$T113&gt;AO$345,"",AO737+AO1017+AO1297)</f>
        <v>238.04340658969738</v>
      </c>
      <c r="AP457" s="119">
        <f>IF(tech_base!$T113&gt;AP$345,"",AP737+AP1017+AP1297)</f>
        <v>238.46151225804914</v>
      </c>
      <c r="AQ457" s="119">
        <f>IF(tech_base!$T113&gt;AQ$345,"",AQ737+AQ1017+AQ1297)</f>
        <v>238.95953538277661</v>
      </c>
      <c r="AR457" s="119">
        <f>IF(tech_base!$T113&gt;AR$345,"",AR737+AR1017+AR1297)</f>
        <v>239.68610364308762</v>
      </c>
      <c r="AS457" s="119">
        <f>IF(tech_base!$T113&gt;AS$345,"",AS737+AS1017+AS1297)</f>
        <v>240.59363492710548</v>
      </c>
      <c r="AT457" s="119">
        <f>IF(tech_base!$T113&gt;AT$345,"",AT737+AT1017+AT1297)</f>
        <v>241.45445513402564</v>
      </c>
      <c r="AU457" s="119">
        <f>IF(tech_base!$T113&gt;AU$345,"",AU737+AU1017+AU1297)</f>
        <v>242.23445196018963</v>
      </c>
      <c r="AV457" s="119">
        <f>IF(tech_base!$T113&gt;AV$345,"",AV737+AV1017+AV1297)</f>
        <v>242.86758604317907</v>
      </c>
      <c r="AW457" s="119">
        <f>IF(tech_base!$T113&gt;AW$345,"",AW737+AW1017+AW1297)</f>
        <v>242.88025137944044</v>
      </c>
      <c r="AX457" s="120">
        <f>IF(tech_base!$T113&gt;AX$345,"",AX737+AX1017+AX1297)</f>
        <v>242.93251496970777</v>
      </c>
    </row>
    <row r="458" spans="1:50" x14ac:dyDescent="0.25">
      <c r="A458" s="356"/>
      <c r="B458" s="380"/>
      <c r="C458" s="381"/>
      <c r="D458" s="4" t="s">
        <v>8</v>
      </c>
      <c r="E458" s="80" t="str">
        <f>A429&amp;"/"&amp;B447&amp;"/"&amp;C457&amp;"/"&amp;D458</f>
        <v>Gas fired power plants (Natural gas, biogas)/Steam turbine/CHP with CCS/M</v>
      </c>
      <c r="F458" s="80" t="str">
        <f>A429</f>
        <v>Gas fired power plants (Natural gas, biogas)</v>
      </c>
      <c r="G458" s="80" t="str">
        <f>B447</f>
        <v>Steam turbine</v>
      </c>
      <c r="H458" s="80" t="str">
        <f>C457</f>
        <v>CHP with CCS</v>
      </c>
      <c r="I458" s="80" t="str">
        <f t="shared" si="358"/>
        <v>M</v>
      </c>
      <c r="J458" s="127" t="str">
        <f>IF(tech_base!$T114&gt;J$345,"",J738+J1018+J1298)</f>
        <v/>
      </c>
      <c r="K458" s="127" t="str">
        <f>IF(tech_base!$T114&gt;K$345,"",K738+K1018+K1298)</f>
        <v/>
      </c>
      <c r="L458" s="127" t="str">
        <f>IF(tech_base!$T114&gt;L$345,"",L738+L1018+L1298)</f>
        <v/>
      </c>
      <c r="M458" s="127" t="str">
        <f>IF(tech_base!$T114&gt;M$345,"",M738+M1018+M1298)</f>
        <v/>
      </c>
      <c r="N458" s="127" t="str">
        <f>IF(tech_base!$T114&gt;N$345,"",N738+N1018+N1298)</f>
        <v/>
      </c>
      <c r="O458" s="127" t="str">
        <f>IF(tech_base!$T114&gt;O$345,"",O738+O1018+O1298)</f>
        <v/>
      </c>
      <c r="P458" s="127" t="str">
        <f>IF(tech_base!$T114&gt;P$345,"",P738+P1018+P1298)</f>
        <v/>
      </c>
      <c r="Q458" s="127" t="str">
        <f>IF(tech_base!$T114&gt;Q$345,"",Q738+Q1018+Q1298)</f>
        <v/>
      </c>
      <c r="R458" s="127" t="str">
        <f>IF(tech_base!$T114&gt;R$345,"",R738+R1018+R1298)</f>
        <v/>
      </c>
      <c r="S458" s="127" t="str">
        <f>IF(tech_base!$T114&gt;S$345,"",S738+S1018+S1298)</f>
        <v/>
      </c>
      <c r="T458" s="127" t="str">
        <f>IF(tech_base!$T114&gt;T$345,"",T738+T1018+T1298)</f>
        <v/>
      </c>
      <c r="U458" s="127" t="str">
        <f>IF(tech_base!$T114&gt;U$345,"",U738+U1018+U1298)</f>
        <v/>
      </c>
      <c r="V458" s="127" t="str">
        <f>IF(tech_base!$T114&gt;V$345,"",V738+V1018+V1298)</f>
        <v/>
      </c>
      <c r="W458" s="127" t="str">
        <f>IF(tech_base!$T114&gt;W$345,"",W738+W1018+W1298)</f>
        <v/>
      </c>
      <c r="X458" s="127" t="str">
        <f>IF(tech_base!$T114&gt;X$345,"",X738+X1018+X1298)</f>
        <v/>
      </c>
      <c r="Y458" s="127" t="str">
        <f>IF(tech_base!$T114&gt;Y$345,"",Y738+Y1018+Y1298)</f>
        <v/>
      </c>
      <c r="Z458" s="127" t="str">
        <f>IF(tech_base!$T114&gt;Z$345,"",Z738+Z1018+Z1298)</f>
        <v/>
      </c>
      <c r="AA458" s="127" t="str">
        <f>IF(tech_base!$T114&gt;AA$345,"",AA738+AA1018+AA1298)</f>
        <v/>
      </c>
      <c r="AB458" s="127" t="str">
        <f>IF(tech_base!$T114&gt;AB$345,"",AB738+AB1018+AB1298)</f>
        <v/>
      </c>
      <c r="AC458" s="127" t="str">
        <f>IF(tech_base!$T114&gt;AC$345,"",AC738+AC1018+AC1298)</f>
        <v/>
      </c>
      <c r="AD458" s="127" t="str">
        <f>IF(tech_base!$T114&gt;AD$345,"",AD738+AD1018+AD1298)</f>
        <v/>
      </c>
      <c r="AE458" s="127">
        <f>IF(tech_base!$T114&gt;AE$345,"",AE738+AE1018+AE1298)</f>
        <v>259.00891807612408</v>
      </c>
      <c r="AF458" s="127">
        <f>IF(tech_base!$T114&gt;AF$345,"",AF738+AF1018+AF1298)</f>
        <v>261.05523664407343</v>
      </c>
      <c r="AG458" s="127">
        <f>IF(tech_base!$T114&gt;AG$345,"",AG738+AG1018+AG1298)</f>
        <v>262.89455358746704</v>
      </c>
      <c r="AH458" s="127">
        <f>IF(tech_base!$T114&gt;AH$345,"",AH738+AH1018+AH1298)</f>
        <v>264.56948021645036</v>
      </c>
      <c r="AI458" s="127">
        <f>IF(tech_base!$T114&gt;AI$345,"",AI738+AI1018+AI1298)</f>
        <v>265.99307898355192</v>
      </c>
      <c r="AJ458" s="127">
        <f>IF(tech_base!$T114&gt;AJ$345,"",AJ738+AJ1018+AJ1298)</f>
        <v>267.339304145455</v>
      </c>
      <c r="AK458" s="127">
        <f>IF(tech_base!$T114&gt;AK$345,"",AK738+AK1018+AK1298)</f>
        <v>268.44826130189358</v>
      </c>
      <c r="AL458" s="127">
        <f>IF(tech_base!$T114&gt;AL$345,"",AL738+AL1018+AL1298)</f>
        <v>269.52838125670729</v>
      </c>
      <c r="AM458" s="127">
        <f>IF(tech_base!$T114&gt;AM$345,"",AM738+AM1018+AM1298)</f>
        <v>270.72178541961125</v>
      </c>
      <c r="AN458" s="127">
        <f>IF(tech_base!$T114&gt;AN$345,"",AN738+AN1018+AN1298)</f>
        <v>270.79872854141308</v>
      </c>
      <c r="AO458" s="127">
        <f>IF(tech_base!$T114&gt;AO$345,"",AO738+AO1018+AO1298)</f>
        <v>271.22339871199199</v>
      </c>
      <c r="AP458" s="127">
        <f>IF(tech_base!$T114&gt;AP$345,"",AP738+AP1018+AP1298)</f>
        <v>271.66910393598124</v>
      </c>
      <c r="AQ458" s="127">
        <f>IF(tech_base!$T114&gt;AQ$345,"",AQ738+AQ1018+AQ1298)</f>
        <v>272.2000020441879</v>
      </c>
      <c r="AR458" s="127">
        <f>IF(tech_base!$T114&gt;AR$345,"",AR738+AR1018+AR1298)</f>
        <v>272.97453177128301</v>
      </c>
      <c r="AS458" s="127">
        <f>IF(tech_base!$T114&gt;AS$345,"",AS738+AS1018+AS1298)</f>
        <v>273.94197006460956</v>
      </c>
      <c r="AT458" s="127">
        <f>IF(tech_base!$T114&gt;AT$345,"",AT738+AT1018+AT1298)</f>
        <v>274.85961383789845</v>
      </c>
      <c r="AU458" s="127">
        <f>IF(tech_base!$T114&gt;AU$345,"",AU738+AU1018+AU1298)</f>
        <v>275.6910990016533</v>
      </c>
      <c r="AV458" s="127">
        <f>IF(tech_base!$T114&gt;AV$345,"",AV738+AV1018+AV1298)</f>
        <v>276.36602687188872</v>
      </c>
      <c r="AW458" s="127">
        <f>IF(tech_base!$T114&gt;AW$345,"",AW738+AW1018+AW1298)</f>
        <v>276.37952825912782</v>
      </c>
      <c r="AX458" s="128">
        <f>IF(tech_base!$T114&gt;AX$345,"",AX738+AX1018+AX1298)</f>
        <v>276.43524181904775</v>
      </c>
    </row>
    <row r="459" spans="1:50" x14ac:dyDescent="0.25">
      <c r="A459" s="356"/>
      <c r="B459" s="358" t="s">
        <v>25</v>
      </c>
      <c r="C459" s="353" t="s">
        <v>6</v>
      </c>
      <c r="D459" s="3" t="s">
        <v>10</v>
      </c>
      <c r="E459" s="77" t="str">
        <f>A429&amp;"/"&amp;B459&amp;"/"&amp;C459&amp;"/"&amp;D459</f>
        <v>Gas fired power plants (Natural gas, biogas)/Internal combustion engine/Electricity only/S</v>
      </c>
      <c r="F459" s="77" t="str">
        <f>A429</f>
        <v>Gas fired power plants (Natural gas, biogas)</v>
      </c>
      <c r="G459" s="77" t="str">
        <f>B459</f>
        <v>Internal combustion engine</v>
      </c>
      <c r="H459" s="77" t="str">
        <f>C459</f>
        <v>Electricity only</v>
      </c>
      <c r="I459" s="77" t="str">
        <f t="shared" si="358"/>
        <v>S</v>
      </c>
      <c r="J459" s="121">
        <f>IF(tech_base!$T115&gt;J$345,"",J739+J1019+J1299)</f>
        <v>98.937830837764139</v>
      </c>
      <c r="K459" s="121">
        <f>IF(tech_base!$T115&gt;K$345,"",K739+K1019+K1299)</f>
        <v>110.48141490507018</v>
      </c>
      <c r="L459" s="121">
        <f>IF(tech_base!$T115&gt;L$345,"",L739+L1019+L1299)</f>
        <v>121.37020317279557</v>
      </c>
      <c r="M459" s="121">
        <f>IF(tech_base!$T115&gt;M$345,"",M739+M1019+M1299)</f>
        <v>119.02826836079861</v>
      </c>
      <c r="N459" s="121">
        <f>IF(tech_base!$T115&gt;N$345,"",N739+N1019+N1299)</f>
        <v>103.23879466047443</v>
      </c>
      <c r="O459" s="121">
        <f>IF(tech_base!$T115&gt;O$345,"",O739+O1019+O1299)</f>
        <v>89.863360663576586</v>
      </c>
      <c r="P459" s="121">
        <f>IF(tech_base!$T115&gt;P$345,"",P739+P1019+P1299)</f>
        <v>66.865199153391316</v>
      </c>
      <c r="Q459" s="121">
        <f>IF(tech_base!$T115&gt;Q$345,"",Q739+Q1019+Q1299)</f>
        <v>75.350479889587419</v>
      </c>
      <c r="R459" s="121">
        <f>IF(tech_base!$T115&gt;R$345,"",R739+R1019+R1299)</f>
        <v>81.275876722268478</v>
      </c>
      <c r="S459" s="121">
        <f>IF(tech_base!$T115&gt;S$345,"",S739+S1019+S1299)</f>
        <v>87.254585749866436</v>
      </c>
      <c r="T459" s="121">
        <f>IF(tech_base!$T115&gt;T$345,"",T739+T1019+T1299)</f>
        <v>93.167655415558698</v>
      </c>
      <c r="U459" s="121">
        <f>IF(tech_base!$T115&gt;U$345,"",U739+U1019+U1299)</f>
        <v>98.936895357692975</v>
      </c>
      <c r="V459" s="121">
        <f>IF(tech_base!$T115&gt;V$345,"",V739+V1019+V1299)</f>
        <v>102.70115459912122</v>
      </c>
      <c r="W459" s="121">
        <f>IF(tech_base!$T115&gt;W$345,"",W739+W1019+W1299)</f>
        <v>107.15868772593105</v>
      </c>
      <c r="X459" s="121">
        <f>IF(tech_base!$T115&gt;X$345,"",X739+X1019+X1299)</f>
        <v>111.37252793159415</v>
      </c>
      <c r="Y459" s="121">
        <f>IF(tech_base!$T115&gt;Y$345,"",Y739+Y1019+Y1299)</f>
        <v>115.34753962948392</v>
      </c>
      <c r="Z459" s="121">
        <f>IF(tech_base!$T115&gt;Z$345,"",Z739+Z1019+Z1299)</f>
        <v>116.78719243555116</v>
      </c>
      <c r="AA459" s="121">
        <f>IF(tech_base!$T115&gt;AA$345,"",AA739+AA1019+AA1299)</f>
        <v>118.13706958579625</v>
      </c>
      <c r="AB459" s="121">
        <f>IF(tech_base!$T115&gt;AB$345,"",AB739+AB1019+AB1299)</f>
        <v>119.63200229030821</v>
      </c>
      <c r="AC459" s="121">
        <f>IF(tech_base!$T115&gt;AC$345,"",AC739+AC1019+AC1299)</f>
        <v>121.12927386920143</v>
      </c>
      <c r="AD459" s="121">
        <f>IF(tech_base!$T115&gt;AD$345,"",AD739+AD1019+AD1299)</f>
        <v>123.29495065657733</v>
      </c>
      <c r="AE459" s="121">
        <f>IF(tech_base!$T115&gt;AE$345,"",AE739+AE1019+AE1299)</f>
        <v>124.6794619219984</v>
      </c>
      <c r="AF459" s="121">
        <f>IF(tech_base!$T115&gt;AF$345,"",AF739+AF1019+AF1299)</f>
        <v>126.25641395115647</v>
      </c>
      <c r="AG459" s="121">
        <f>IF(tech_base!$T115&gt;AG$345,"",AG739+AG1019+AG1299)</f>
        <v>127.67226158652596</v>
      </c>
      <c r="AH459" s="121">
        <f>IF(tech_base!$T115&gt;AH$345,"",AH739+AH1019+AH1299)</f>
        <v>128.9600533691586</v>
      </c>
      <c r="AI459" s="121">
        <f>IF(tech_base!$T115&gt;AI$345,"",AI739+AI1019+AI1299)</f>
        <v>130.05237718856279</v>
      </c>
      <c r="AJ459" s="121">
        <f>IF(tech_base!$T115&gt;AJ$345,"",AJ739+AJ1019+AJ1299)</f>
        <v>131.0841278175366</v>
      </c>
      <c r="AK459" s="121">
        <f>IF(tech_base!$T115&gt;AK$345,"",AK739+AK1019+AK1299)</f>
        <v>131.93132706692325</v>
      </c>
      <c r="AL459" s="121">
        <f>IF(tech_base!$T115&gt;AL$345,"",AL739+AL1019+AL1299)</f>
        <v>132.75558444036852</v>
      </c>
      <c r="AM459" s="121">
        <f>IF(tech_base!$T115&gt;AM$345,"",AM739+AM1019+AM1299)</f>
        <v>133.66706485268662</v>
      </c>
      <c r="AN459" s="121">
        <f>IF(tech_base!$T115&gt;AN$345,"",AN739+AN1019+AN1299)</f>
        <v>133.71246443578383</v>
      </c>
      <c r="AO459" s="121">
        <f>IF(tech_base!$T115&gt;AO$345,"",AO739+AO1019+AO1299)</f>
        <v>134.02687514862862</v>
      </c>
      <c r="AP459" s="121">
        <f>IF(tech_base!$T115&gt;AP$345,"",AP739+AP1019+AP1299)</f>
        <v>134.35702124120047</v>
      </c>
      <c r="AQ459" s="121">
        <f>IF(tech_base!$T115&gt;AQ$345,"",AQ739+AQ1019+AQ1299)</f>
        <v>134.75261154824852</v>
      </c>
      <c r="AR459" s="121">
        <f>IF(tech_base!$T115&gt;AR$345,"",AR739+AR1019+AR1299)</f>
        <v>135.33640260301829</v>
      </c>
      <c r="AS459" s="121">
        <f>IF(tech_base!$T115&gt;AS$345,"",AS739+AS1019+AS1299)</f>
        <v>136.06903499355371</v>
      </c>
      <c r="AT459" s="121">
        <f>IF(tech_base!$T115&gt;AT$345,"",AT739+AT1019+AT1299)</f>
        <v>136.76241048989263</v>
      </c>
      <c r="AU459" s="121">
        <f>IF(tech_base!$T115&gt;AU$345,"",AU739+AU1019+AU1299)</f>
        <v>137.38835599080065</v>
      </c>
      <c r="AV459" s="121">
        <f>IF(tech_base!$T115&gt;AV$345,"",AV739+AV1019+AV1299)</f>
        <v>137.89234408185339</v>
      </c>
      <c r="AW459" s="121">
        <f>IF(tech_base!$T115&gt;AW$345,"",AW739+AW1019+AW1299)</f>
        <v>137.88332275203129</v>
      </c>
      <c r="AX459" s="122">
        <f>IF(tech_base!$T115&gt;AX$345,"",AX739+AX1019+AX1299)</f>
        <v>137.90642918565982</v>
      </c>
    </row>
    <row r="460" spans="1:50" x14ac:dyDescent="0.25">
      <c r="A460" s="356"/>
      <c r="B460" s="376"/>
      <c r="C460" s="379"/>
      <c r="D460" s="59" t="s">
        <v>20</v>
      </c>
      <c r="E460" s="76" t="str">
        <f>A429&amp;"/"&amp;B459&amp;"/"&amp;C459&amp;"/"&amp;D460</f>
        <v>Gas fired power plants (Natural gas, biogas)/Internal combustion engine/Electricity only/XS</v>
      </c>
      <c r="F460" s="76" t="str">
        <f>A429</f>
        <v>Gas fired power plants (Natural gas, biogas)</v>
      </c>
      <c r="G460" s="76" t="str">
        <f>B459</f>
        <v>Internal combustion engine</v>
      </c>
      <c r="H460" s="76" t="str">
        <f>C459</f>
        <v>Electricity only</v>
      </c>
      <c r="I460" s="76" t="str">
        <f t="shared" si="358"/>
        <v>XS</v>
      </c>
      <c r="J460" s="119">
        <f>IF(tech_base!$T116&gt;J$345,"",J740+J1020+J1300)</f>
        <v>102.58129274473046</v>
      </c>
      <c r="K460" s="119">
        <f>IF(tech_base!$T116&gt;K$345,"",K740+K1020+K1300)</f>
        <v>114.71793588997215</v>
      </c>
      <c r="L460" s="119">
        <f>IF(tech_base!$T116&gt;L$345,"",L740+L1020+L1300)</f>
        <v>126.16634065063914</v>
      </c>
      <c r="M460" s="119">
        <f>IF(tech_base!$T116&gt;M$345,"",M740+M1020+M1300)</f>
        <v>123.70534842564332</v>
      </c>
      <c r="N460" s="119">
        <f>IF(tech_base!$T116&gt;N$345,"",N740+N1020+N1300)</f>
        <v>107.10682221033179</v>
      </c>
      <c r="O460" s="119">
        <f>IF(tech_base!$T116&gt;O$345,"",O740+O1020+O1300)</f>
        <v>93.04609732816489</v>
      </c>
      <c r="P460" s="119">
        <f>IF(tech_base!$T116&gt;P$345,"",P740+P1020+P1300)</f>
        <v>68.86867608827346</v>
      </c>
      <c r="Q460" s="119">
        <f>IF(tech_base!$T116&gt;Q$345,"",Q740+Q1020+Q1300)</f>
        <v>77.790479988787652</v>
      </c>
      <c r="R460" s="119">
        <f>IF(tech_base!$T116&gt;R$345,"",R740+R1020+R1300)</f>
        <v>84.021133752016468</v>
      </c>
      <c r="S460" s="119">
        <f>IF(tech_base!$T116&gt;S$345,"",S740+S1020+S1300)</f>
        <v>90.307957068889607</v>
      </c>
      <c r="T460" s="119">
        <f>IF(tech_base!$T116&gt;T$345,"",T740+T1020+T1300)</f>
        <v>96.525897502459614</v>
      </c>
      <c r="U460" s="119">
        <f>IF(tech_base!$T116&gt;U$345,"",U740+U1020+U1300)</f>
        <v>102.5927540640149</v>
      </c>
      <c r="V460" s="119">
        <f>IF(tech_base!$T116&gt;V$345,"",V740+V1020+V1300)</f>
        <v>106.55178698367074</v>
      </c>
      <c r="W460" s="119">
        <f>IF(tech_base!$T116&gt;W$345,"",W740+W1020+W1300)</f>
        <v>111.23981960911152</v>
      </c>
      <c r="X460" s="119">
        <f>IF(tech_base!$T116&gt;X$345,"",X740+X1020+X1300)</f>
        <v>115.67176738785443</v>
      </c>
      <c r="Y460" s="119">
        <f>IF(tech_base!$T116&gt;Y$345,"",Y740+Y1020+Y1300)</f>
        <v>119.85274415613816</v>
      </c>
      <c r="Z460" s="119">
        <f>IF(tech_base!$T116&gt;Z$345,"",Z740+Z1020+Z1300)</f>
        <v>121.36819286842353</v>
      </c>
      <c r="AA460" s="119">
        <f>IF(tech_base!$T116&gt;AA$345,"",AA740+AA1020+AA1300)</f>
        <v>122.78934353115199</v>
      </c>
      <c r="AB460" s="119">
        <f>IF(tech_base!$T116&gt;AB$345,"",AB740+AB1020+AB1300)</f>
        <v>124.3631003428164</v>
      </c>
      <c r="AC460" s="119">
        <f>IF(tech_base!$T116&gt;AC$345,"",AC740+AC1020+AC1300)</f>
        <v>125.93941456890633</v>
      </c>
      <c r="AD460" s="119">
        <f>IF(tech_base!$T116&gt;AD$345,"",AD740+AD1020+AD1300)</f>
        <v>128.21861037362109</v>
      </c>
      <c r="AE460" s="119">
        <f>IF(tech_base!$T116&gt;AE$345,"",AE740+AE1020+AE1300)</f>
        <v>129.6765743811176</v>
      </c>
      <c r="AF460" s="119">
        <f>IF(tech_base!$T116&gt;AF$345,"",AF740+AF1020+AF1300)</f>
        <v>131.33698323755894</v>
      </c>
      <c r="AG460" s="119">
        <f>IF(tech_base!$T116&gt;AG$345,"",AG740+AG1020+AG1300)</f>
        <v>132.82810635477392</v>
      </c>
      <c r="AH460" s="119">
        <f>IF(tech_base!$T116&gt;AH$345,"",AH740+AH1020+AH1300)</f>
        <v>134.18468993847762</v>
      </c>
      <c r="AI460" s="119">
        <f>IF(tech_base!$T116&gt;AI$345,"",AI740+AI1020+AI1300)</f>
        <v>135.33584858783217</v>
      </c>
      <c r="AJ460" s="119">
        <f>IF(tech_base!$T116&gt;AJ$345,"",AJ740+AJ1020+AJ1300)</f>
        <v>136.42341760384053</v>
      </c>
      <c r="AK460" s="119">
        <f>IF(tech_base!$T116&gt;AK$345,"",AK740+AK1020+AK1300)</f>
        <v>137.31703179225798</v>
      </c>
      <c r="AL460" s="119">
        <f>IF(tech_base!$T116&gt;AL$345,"",AL740+AL1020+AL1300)</f>
        <v>138.18661982999612</v>
      </c>
      <c r="AM460" s="119">
        <f>IF(tech_base!$T116&gt;AM$345,"",AM740+AM1020+AM1300)</f>
        <v>139.14802220291367</v>
      </c>
      <c r="AN460" s="119">
        <f>IF(tech_base!$T116&gt;AN$345,"",AN740+AN1020+AN1300)</f>
        <v>139.19880261109432</v>
      </c>
      <c r="AO460" s="119">
        <f>IF(tech_base!$T116&gt;AO$345,"",AO740+AO1020+AO1300)</f>
        <v>139.53253783753661</v>
      </c>
      <c r="AP460" s="119">
        <f>IF(tech_base!$T116&gt;AP$345,"",AP740+AP1020+AP1300)</f>
        <v>139.88289970163865</v>
      </c>
      <c r="AQ460" s="119">
        <f>IF(tech_base!$T116&gt;AQ$345,"",AQ740+AQ1020+AQ1300)</f>
        <v>140.30215935023631</v>
      </c>
      <c r="AR460" s="119">
        <f>IF(tech_base!$T116&gt;AR$345,"",AR740+AR1020+AR1300)</f>
        <v>140.91940681684389</v>
      </c>
      <c r="AS460" s="119">
        <f>IF(tech_base!$T116&gt;AS$345,"",AS740+AS1020+AS1300)</f>
        <v>141.69325598135936</v>
      </c>
      <c r="AT460" s="119">
        <f>IF(tech_base!$T116&gt;AT$345,"",AT740+AT1020+AT1300)</f>
        <v>142.42590104321914</v>
      </c>
      <c r="AU460" s="119">
        <f>IF(tech_base!$T116&gt;AU$345,"",AU740+AU1020+AU1300)</f>
        <v>143.08770831564584</v>
      </c>
      <c r="AV460" s="119">
        <f>IF(tech_base!$T116&gt;AV$345,"",AV740+AV1020+AV1300)</f>
        <v>143.62132631000216</v>
      </c>
      <c r="AW460" s="119">
        <f>IF(tech_base!$T116&gt;AW$345,"",AW740+AW1020+AW1300)</f>
        <v>143.61548810015634</v>
      </c>
      <c r="AX460" s="120">
        <f>IF(tech_base!$T116&gt;AX$345,"",AX740+AX1020+AX1300)</f>
        <v>143.64347562828578</v>
      </c>
    </row>
    <row r="461" spans="1:50" x14ac:dyDescent="0.25">
      <c r="A461" s="356"/>
      <c r="B461" s="376"/>
      <c r="C461" s="361" t="s">
        <v>14</v>
      </c>
      <c r="D461" s="2" t="s">
        <v>10</v>
      </c>
      <c r="E461" s="78" t="str">
        <f>A429&amp;"/"&amp;B459&amp;"/"&amp;C461&amp;"/"&amp;D461</f>
        <v>Gas fired power plants (Natural gas, biogas)/Internal combustion engine/CHP/S</v>
      </c>
      <c r="F461" s="78" t="str">
        <f>A429</f>
        <v>Gas fired power plants (Natural gas, biogas)</v>
      </c>
      <c r="G461" s="78" t="str">
        <f>B459</f>
        <v>Internal combustion engine</v>
      </c>
      <c r="H461" s="78" t="str">
        <f>C461</f>
        <v>CHP</v>
      </c>
      <c r="I461" s="78" t="str">
        <f t="shared" si="358"/>
        <v>S</v>
      </c>
      <c r="J461" s="123">
        <f>IF(tech_base!$T117&gt;J$345,"",J741+J1021+J1301)</f>
        <v>111.52931179134592</v>
      </c>
      <c r="K461" s="123">
        <f>IF(tech_base!$T117&gt;K$345,"",K741+K1021+K1301)</f>
        <v>124.25999462307433</v>
      </c>
      <c r="L461" s="123">
        <f>IF(tech_base!$T117&gt;L$345,"",L741+L1021+L1301)</f>
        <v>136.26887982652502</v>
      </c>
      <c r="M461" s="123">
        <f>IF(tech_base!$T117&gt;M$345,"",M741+M1021+M1301)</f>
        <v>133.68800864241098</v>
      </c>
      <c r="N461" s="123">
        <f>IF(tech_base!$T117&gt;N$345,"",N741+N1021+N1301)</f>
        <v>116.27791869065493</v>
      </c>
      <c r="O461" s="123">
        <f>IF(tech_base!$T117&gt;O$345,"",O741+O1021+O1301)</f>
        <v>101.52968532876571</v>
      </c>
      <c r="P461" s="123">
        <f>IF(tech_base!$T117&gt;P$345,"",P741+P1021+P1301)</f>
        <v>76.169597101739669</v>
      </c>
      <c r="Q461" s="123">
        <f>IF(tech_base!$T117&gt;Q$345,"",Q741+Q1021+Q1301)</f>
        <v>85.528368469490545</v>
      </c>
      <c r="R461" s="123">
        <f>IF(tech_base!$T117&gt;R$345,"",R741+R1021+R1301)</f>
        <v>92.064374844930597</v>
      </c>
      <c r="S461" s="123">
        <f>IF(tech_base!$T117&gt;S$345,"",S741+S1021+S1301)</f>
        <v>98.659379175260668</v>
      </c>
      <c r="T461" s="123">
        <f>IF(tech_base!$T117&gt;T$345,"",T741+T1021+T1301)</f>
        <v>105.18221251428453</v>
      </c>
      <c r="U461" s="123">
        <f>IF(tech_base!$T117&gt;U$345,"",U741+U1021+U1301)</f>
        <v>111.54665283478529</v>
      </c>
      <c r="V461" s="123">
        <f>IF(tech_base!$T117&gt;V$345,"",V741+V1021+V1301)</f>
        <v>115.70014995411867</v>
      </c>
      <c r="W461" s="123">
        <f>IF(tech_base!$T117&gt;W$345,"",W741+W1021+W1301)</f>
        <v>120.61841734878537</v>
      </c>
      <c r="X461" s="123">
        <f>IF(tech_base!$T117&gt;X$345,"",X741+X1021+X1301)</f>
        <v>125.26814035624143</v>
      </c>
      <c r="Y461" s="123">
        <f>IF(tech_base!$T117&gt;Y$345,"",Y741+Y1021+Y1301)</f>
        <v>129.65468231401923</v>
      </c>
      <c r="Z461" s="123">
        <f>IF(tech_base!$T117&gt;Z$345,"",Z741+Z1021+Z1301)</f>
        <v>131.24519381827767</v>
      </c>
      <c r="AA461" s="123">
        <f>IF(tech_base!$T117&gt;AA$345,"",AA741+AA1021+AA1301)</f>
        <v>132.73683727090082</v>
      </c>
      <c r="AB461" s="123">
        <f>IF(tech_base!$T117&gt;AB$345,"",AB741+AB1021+AB1301)</f>
        <v>134.38861595782694</v>
      </c>
      <c r="AC461" s="123">
        <f>IF(tech_base!$T117&gt;AC$345,"",AC741+AC1021+AC1301)</f>
        <v>136.04313177625102</v>
      </c>
      <c r="AD461" s="123">
        <f>IF(tech_base!$T117&gt;AD$345,"",AD741+AD1021+AD1301)</f>
        <v>138.435040740879</v>
      </c>
      <c r="AE461" s="123">
        <f>IF(tech_base!$T117&gt;AE$345,"",AE741+AE1021+AE1301)</f>
        <v>139.96552288020496</v>
      </c>
      <c r="AF461" s="123">
        <f>IF(tech_base!$T117&gt;AF$345,"",AF741+AF1021+AF1301)</f>
        <v>141.70843420643965</v>
      </c>
      <c r="AG461" s="123">
        <f>IF(tech_base!$T117&gt;AG$345,"",AG741+AG1021+AG1301)</f>
        <v>143.27381880108084</v>
      </c>
      <c r="AH461" s="123">
        <f>IF(tech_base!$T117&gt;AH$345,"",AH741+AH1021+AH1301)</f>
        <v>144.69812401649421</v>
      </c>
      <c r="AI461" s="123">
        <f>IF(tech_base!$T117&gt;AI$345,"",AI741+AI1021+AI1301)</f>
        <v>145.90698372203866</v>
      </c>
      <c r="AJ461" s="123">
        <f>IF(tech_base!$T117&gt;AJ$345,"",AJ741+AJ1021+AJ1301)</f>
        <v>147.0491883714582</v>
      </c>
      <c r="AK461" s="123">
        <f>IF(tech_base!$T117&gt;AK$345,"",AK741+AK1021+AK1301)</f>
        <v>147.98797237431197</v>
      </c>
      <c r="AL461" s="123">
        <f>IF(tech_base!$T117&gt;AL$345,"",AL741+AL1021+AL1301)</f>
        <v>148.90160099052065</v>
      </c>
      <c r="AM461" s="123">
        <f>IF(tech_base!$T117&gt;AM$345,"",AM741+AM1021+AM1301)</f>
        <v>149.91160191902935</v>
      </c>
      <c r="AN461" s="123">
        <f>IF(tech_base!$T117&gt;AN$345,"",AN741+AN1021+AN1301)</f>
        <v>149.96630598673374</v>
      </c>
      <c r="AO461" s="123">
        <f>IF(tech_base!$T117&gt;AO$345,"",AO741+AO1021+AO1301)</f>
        <v>150.31789519318266</v>
      </c>
      <c r="AP461" s="123">
        <f>IF(tech_base!$T117&gt;AP$345,"",AP741+AP1021+AP1301)</f>
        <v>150.68696229847484</v>
      </c>
      <c r="AQ461" s="123">
        <f>IF(tech_base!$T117&gt;AQ$345,"",AQ741+AQ1021+AQ1301)</f>
        <v>151.12834622087871</v>
      </c>
      <c r="AR461" s="123">
        <f>IF(tech_base!$T117&gt;AR$345,"",AR741+AR1021+AR1301)</f>
        <v>151.77748359761196</v>
      </c>
      <c r="AS461" s="123">
        <f>IF(tech_base!$T117&gt;AS$345,"",AS741+AS1021+AS1301)</f>
        <v>152.59095797911192</v>
      </c>
      <c r="AT461" s="123">
        <f>IF(tech_base!$T117&gt;AT$345,"",AT741+AT1021+AT1301)</f>
        <v>153.3612372283379</v>
      </c>
      <c r="AU461" s="123">
        <f>IF(tech_base!$T117&gt;AU$345,"",AU741+AU1021+AU1301)</f>
        <v>154.05722505933818</v>
      </c>
      <c r="AV461" s="123">
        <f>IF(tech_base!$T117&gt;AV$345,"",AV741+AV1021+AV1301)</f>
        <v>154.6187412505154</v>
      </c>
      <c r="AW461" s="123">
        <f>IF(tech_base!$T117&gt;AW$345,"",AW741+AW1021+AW1301)</f>
        <v>154.61426436690439</v>
      </c>
      <c r="AX461" s="124">
        <f>IF(tech_base!$T117&gt;AX$345,"",AX741+AX1021+AX1301)</f>
        <v>154.64527851697497</v>
      </c>
    </row>
    <row r="462" spans="1:50" x14ac:dyDescent="0.25">
      <c r="A462" s="356"/>
      <c r="B462" s="380"/>
      <c r="C462" s="381"/>
      <c r="D462" s="4" t="s">
        <v>20</v>
      </c>
      <c r="E462" s="80" t="str">
        <f>A429&amp;"/"&amp;B459&amp;"/"&amp;C461&amp;"/"&amp;D462</f>
        <v>Gas fired power plants (Natural gas, biogas)/Internal combustion engine/CHP/XS</v>
      </c>
      <c r="F462" s="80" t="str">
        <f>A429</f>
        <v>Gas fired power plants (Natural gas, biogas)</v>
      </c>
      <c r="G462" s="80" t="str">
        <f>B459</f>
        <v>Internal combustion engine</v>
      </c>
      <c r="H462" s="80" t="str">
        <f>C461</f>
        <v>CHP</v>
      </c>
      <c r="I462" s="80" t="str">
        <f t="shared" si="358"/>
        <v>XS</v>
      </c>
      <c r="J462" s="127">
        <f>IF(tech_base!$T118&gt;J$345,"",J742+J1022+J1302)</f>
        <v>114.0214634385803</v>
      </c>
      <c r="K462" s="127">
        <f>IF(tech_base!$T118&gt;K$345,"",K742+K1022+K1302)</f>
        <v>127.40702853881335</v>
      </c>
      <c r="L462" s="127">
        <f>IF(tech_base!$T118&gt;L$345,"",L742+L1022+L1302)</f>
        <v>140.03368696119514</v>
      </c>
      <c r="M462" s="127">
        <f>IF(tech_base!$T118&gt;M$345,"",M742+M1022+M1302)</f>
        <v>137.32031347075915</v>
      </c>
      <c r="N462" s="127">
        <f>IF(tech_base!$T118&gt;N$345,"",N742+N1022+N1302)</f>
        <v>119.01513167856358</v>
      </c>
      <c r="O462" s="127">
        <f>IF(tech_base!$T118&gt;O$345,"",O742+O1022+O1302)</f>
        <v>103.50870499107467</v>
      </c>
      <c r="P462" s="127">
        <f>IF(tech_base!$T118&gt;P$345,"",P742+P1022+P1302)</f>
        <v>76.844715006646439</v>
      </c>
      <c r="Q462" s="127">
        <f>IF(tech_base!$T118&gt;Q$345,"",Q742+Q1022+Q1302)</f>
        <v>86.685032058343893</v>
      </c>
      <c r="R462" s="127">
        <f>IF(tech_base!$T118&gt;R$345,"",R742+R1022+R1302)</f>
        <v>93.557434713551459</v>
      </c>
      <c r="S462" s="127">
        <f>IF(tech_base!$T118&gt;S$345,"",S742+S1022+S1302)</f>
        <v>100.49188262730243</v>
      </c>
      <c r="T462" s="127">
        <f>IF(tech_base!$T118&gt;T$345,"",T742+T1022+T1302)</f>
        <v>107.35046200627963</v>
      </c>
      <c r="U462" s="127">
        <f>IF(tech_base!$T118&gt;U$345,"",U742+U1022+U1302)</f>
        <v>114.0425174150254</v>
      </c>
      <c r="V462" s="127">
        <f>IF(tech_base!$T118&gt;V$345,"",V742+V1022+V1302)</f>
        <v>118.40994584463222</v>
      </c>
      <c r="W462" s="127">
        <f>IF(tech_base!$T118&gt;W$345,"",W742+W1022+W1302)</f>
        <v>123.5814890156911</v>
      </c>
      <c r="X462" s="127">
        <f>IF(tech_base!$T118&gt;X$345,"",X742+X1022+X1302)</f>
        <v>128.47069419265216</v>
      </c>
      <c r="Y462" s="127">
        <f>IF(tech_base!$T118&gt;Y$345,"",Y742+Y1022+Y1302)</f>
        <v>133.08320121211048</v>
      </c>
      <c r="Z462" s="127">
        <f>IF(tech_base!$T118&gt;Z$345,"",Z742+Z1022+Z1302)</f>
        <v>134.75590829173456</v>
      </c>
      <c r="AA462" s="127">
        <f>IF(tech_base!$T118&gt;AA$345,"",AA742+AA1022+AA1302)</f>
        <v>136.32468152730922</v>
      </c>
      <c r="AB462" s="127">
        <f>IF(tech_base!$T118&gt;AB$345,"",AB742+AB1022+AB1302)</f>
        <v>138.06184432979447</v>
      </c>
      <c r="AC462" s="127">
        <f>IF(tech_base!$T118&gt;AC$345,"",AC742+AC1022+AC1302)</f>
        <v>139.80190508496665</v>
      </c>
      <c r="AD462" s="127">
        <f>IF(tech_base!$T118&gt;AD$345,"",AD742+AD1022+AD1302)</f>
        <v>142.31730065771254</v>
      </c>
      <c r="AE462" s="127">
        <f>IF(tech_base!$T118&gt;AE$345,"",AE742+AE1022+AE1302)</f>
        <v>143.92699173991952</v>
      </c>
      <c r="AF462" s="127">
        <f>IF(tech_base!$T118&gt;AF$345,"",AF742+AF1022+AF1302)</f>
        <v>145.7600587641474</v>
      </c>
      <c r="AG462" s="127">
        <f>IF(tech_base!$T118&gt;AG$345,"",AG742+AG1022+AG1302)</f>
        <v>147.40649296566534</v>
      </c>
      <c r="AH462" s="127">
        <f>IF(tech_base!$T118&gt;AH$345,"",AH742+AH1022+AH1302)</f>
        <v>148.90461687351655</v>
      </c>
      <c r="AI462" s="127">
        <f>IF(tech_base!$T118&gt;AI$345,"",AI742+AI1022+AI1302)</f>
        <v>150.17624090680536</v>
      </c>
      <c r="AJ462" s="127">
        <f>IF(tech_base!$T118&gt;AJ$345,"",AJ742+AJ1022+AJ1302)</f>
        <v>151.37780802323022</v>
      </c>
      <c r="AK462" s="127">
        <f>IF(tech_base!$T118&gt;AK$345,"",AK742+AK1022+AK1302)</f>
        <v>152.36552027957032</v>
      </c>
      <c r="AL462" s="127">
        <f>IF(tech_base!$T118&gt;AL$345,"",AL742+AL1022+AL1302)</f>
        <v>153.3268112146298</v>
      </c>
      <c r="AM462" s="127">
        <f>IF(tech_base!$T118&gt;AM$345,"",AM742+AM1022+AM1302)</f>
        <v>154.38945905340444</v>
      </c>
      <c r="AN462" s="127">
        <f>IF(tech_base!$T118&gt;AN$345,"",AN742+AN1022+AN1302)</f>
        <v>154.44771289800133</v>
      </c>
      <c r="AO462" s="127">
        <f>IF(tech_base!$T118&gt;AO$345,"",AO742+AO1022+AO1302)</f>
        <v>154.81814975679225</v>
      </c>
      <c r="AP462" s="127">
        <f>IF(tech_base!$T118&gt;AP$345,"",AP742+AP1022+AP1302)</f>
        <v>155.20699462957836</v>
      </c>
      <c r="AQ462" s="127">
        <f>IF(tech_base!$T118&gt;AQ$345,"",AQ742+AQ1022+AQ1302)</f>
        <v>155.67190744847548</v>
      </c>
      <c r="AR462" s="127">
        <f>IF(tech_base!$T118&gt;AR$345,"",AR742+AR1022+AR1302)</f>
        <v>156.35529063321391</v>
      </c>
      <c r="AS462" s="127">
        <f>IF(tech_base!$T118&gt;AS$345,"",AS742+AS1022+AS1302)</f>
        <v>157.21149588993802</v>
      </c>
      <c r="AT462" s="127">
        <f>IF(tech_base!$T118&gt;AT$345,"",AT742+AT1022+AT1302)</f>
        <v>158.02231948445996</v>
      </c>
      <c r="AU462" s="127">
        <f>IF(tech_base!$T118&gt;AU$345,"",AU742+AU1022+AU1302)</f>
        <v>158.75506681447149</v>
      </c>
      <c r="AV462" s="127">
        <f>IF(tech_base!$T118&gt;AV$345,"",AV742+AV1022+AV1302)</f>
        <v>159.34646365686882</v>
      </c>
      <c r="AW462" s="127">
        <f>IF(tech_base!$T118&gt;AW$345,"",AW742+AW1022+AW1302)</f>
        <v>159.34279812786397</v>
      </c>
      <c r="AX462" s="128">
        <f>IF(tech_base!$T118&gt;AX$345,"",AX742+AX1022+AX1302)</f>
        <v>159.37648668981421</v>
      </c>
    </row>
    <row r="463" spans="1:50" x14ac:dyDescent="0.25">
      <c r="A463" s="355" t="s">
        <v>26</v>
      </c>
      <c r="B463" s="358" t="s">
        <v>19</v>
      </c>
      <c r="C463" s="353" t="s">
        <v>6</v>
      </c>
      <c r="D463" s="3" t="s">
        <v>7</v>
      </c>
      <c r="E463" s="77" t="str">
        <f>A463&amp;"/"&amp;B463&amp;"/"&amp;C463&amp;"/"&amp;D463</f>
        <v>Derived gas fired power plants/Steam turbine/Electricity only/L</v>
      </c>
      <c r="F463" s="77" t="str">
        <f>A463</f>
        <v>Derived gas fired power plants</v>
      </c>
      <c r="G463" s="77" t="str">
        <f>B463</f>
        <v>Steam turbine</v>
      </c>
      <c r="H463" s="77" t="str">
        <f>C463</f>
        <v>Electricity only</v>
      </c>
      <c r="I463" s="77" t="str">
        <f t="shared" si="358"/>
        <v>L</v>
      </c>
      <c r="J463" s="121">
        <f>IF(tech_base!$T119&gt;J$345,"",J743+J1023+J1303)</f>
        <v>38.572481526599503</v>
      </c>
      <c r="K463" s="121">
        <f>IF(tech_base!$T119&gt;K$345,"",K743+K1023+K1303)</f>
        <v>40.297543063600173</v>
      </c>
      <c r="L463" s="121">
        <f>IF(tech_base!$T119&gt;L$345,"",L743+L1023+L1303)</f>
        <v>39.149720318624588</v>
      </c>
      <c r="M463" s="121">
        <f>IF(tech_base!$T119&gt;M$345,"",M743+M1023+M1303)</f>
        <v>38.543746895272299</v>
      </c>
      <c r="N463" s="121">
        <f>IF(tech_base!$T119&gt;N$345,"",N743+N1023+N1303)</f>
        <v>38.367588656496068</v>
      </c>
      <c r="O463" s="121">
        <f>IF(tech_base!$T119&gt;O$345,"",O743+O1023+O1303)</f>
        <v>38.073799230345422</v>
      </c>
      <c r="P463" s="121">
        <f>IF(tech_base!$T119&gt;P$345,"",P743+P1023+P1303)</f>
        <v>38.45197722000654</v>
      </c>
      <c r="Q463" s="121">
        <f>IF(tech_base!$T119&gt;Q$345,"",Q743+Q1023+Q1303)</f>
        <v>40.185911528043647</v>
      </c>
      <c r="R463" s="121">
        <f>IF(tech_base!$T119&gt;R$345,"",R743+R1023+R1303)</f>
        <v>40.287422674012767</v>
      </c>
      <c r="S463" s="121">
        <f>IF(tech_base!$T119&gt;S$345,"",S743+S1023+S1303)</f>
        <v>40.388619034673255</v>
      </c>
      <c r="T463" s="121">
        <f>IF(tech_base!$T119&gt;T$345,"",T743+T1023+T1303)</f>
        <v>40.489507598367616</v>
      </c>
      <c r="U463" s="121">
        <f>IF(tech_base!$T119&gt;U$345,"",U743+U1023+U1303)</f>
        <v>40.730266844227813</v>
      </c>
      <c r="V463" s="121">
        <f>IF(tech_base!$T119&gt;V$345,"",V743+V1023+V1303)</f>
        <v>40.792431189804695</v>
      </c>
      <c r="W463" s="121">
        <f>IF(tech_base!$T119&gt;W$345,"",W743+W1023+W1303)</f>
        <v>40.842954394265924</v>
      </c>
      <c r="X463" s="121">
        <f>IF(tech_base!$T119&gt;X$345,"",X743+X1023+X1303)</f>
        <v>40.948147994173326</v>
      </c>
      <c r="Y463" s="121">
        <f>IF(tech_base!$T119&gt;Y$345,"",Y743+Y1023+Y1303)</f>
        <v>41.062275188405451</v>
      </c>
      <c r="Z463" s="121">
        <f>IF(tech_base!$T119&gt;Z$345,"",Z743+Z1023+Z1303)</f>
        <v>41.39139494890366</v>
      </c>
      <c r="AA463" s="121">
        <f>IF(tech_base!$T119&gt;AA$345,"",AA743+AA1023+AA1303)</f>
        <v>41.722189815576385</v>
      </c>
      <c r="AB463" s="121">
        <f>IF(tech_base!$T119&gt;AB$345,"",AB743+AB1023+AB1303)</f>
        <v>42.064612339355165</v>
      </c>
      <c r="AC463" s="121">
        <f>IF(tech_base!$T119&gt;AC$345,"",AC743+AC1023+AC1303)</f>
        <v>42.411851101241695</v>
      </c>
      <c r="AD463" s="121">
        <f>IF(tech_base!$T119&gt;AD$345,"",AD743+AD1023+AD1303)</f>
        <v>42.789106549600632</v>
      </c>
      <c r="AE463" s="121">
        <f>IF(tech_base!$T119&gt;AE$345,"",AE743+AE1023+AE1303)</f>
        <v>42.940122984127413</v>
      </c>
      <c r="AF463" s="121">
        <f>IF(tech_base!$T119&gt;AF$345,"",AF743+AF1023+AF1303)</f>
        <v>43.124539737467231</v>
      </c>
      <c r="AG463" s="121">
        <f>IF(tech_base!$T119&gt;AG$345,"",AG743+AG1023+AG1303)</f>
        <v>43.315275700517844</v>
      </c>
      <c r="AH463" s="121">
        <f>IF(tech_base!$T119&gt;AH$345,"",AH743+AH1023+AH1303)</f>
        <v>43.497546626469074</v>
      </c>
      <c r="AI463" s="121">
        <f>IF(tech_base!$T119&gt;AI$345,"",AI743+AI1023+AI1303)</f>
        <v>43.668813327581319</v>
      </c>
      <c r="AJ463" s="121">
        <f>IF(tech_base!$T119&gt;AJ$345,"",AJ743+AJ1023+AJ1303)</f>
        <v>43.807336593265632</v>
      </c>
      <c r="AK463" s="121">
        <f>IF(tech_base!$T119&gt;AK$345,"",AK743+AK1023+AK1303)</f>
        <v>43.960756601423235</v>
      </c>
      <c r="AL463" s="121">
        <f>IF(tech_base!$T119&gt;AL$345,"",AL743+AL1023+AL1303)</f>
        <v>44.125295346542018</v>
      </c>
      <c r="AM463" s="121">
        <f>IF(tech_base!$T119&gt;AM$345,"",AM743+AM1023+AM1303)</f>
        <v>44.299285428998317</v>
      </c>
      <c r="AN463" s="121">
        <f>IF(tech_base!$T119&gt;AN$345,"",AN743+AN1023+AN1303)</f>
        <v>44.447508733644327</v>
      </c>
      <c r="AO463" s="121">
        <f>IF(tech_base!$T119&gt;AO$345,"",AO743+AO1023+AO1303)</f>
        <v>44.594062427979253</v>
      </c>
      <c r="AP463" s="121">
        <f>IF(tech_base!$T119&gt;AP$345,"",AP743+AP1023+AP1303)</f>
        <v>44.73958382189047</v>
      </c>
      <c r="AQ463" s="121">
        <f>IF(tech_base!$T119&gt;AQ$345,"",AQ743+AQ1023+AQ1303)</f>
        <v>44.885335792620779</v>
      </c>
      <c r="AR463" s="121">
        <f>IF(tech_base!$T119&gt;AR$345,"",AR743+AR1023+AR1303)</f>
        <v>45.040406939989793</v>
      </c>
      <c r="AS463" s="121">
        <f>IF(tech_base!$T119&gt;AS$345,"",AS743+AS1023+AS1303)</f>
        <v>45.198276248448849</v>
      </c>
      <c r="AT463" s="121">
        <f>IF(tech_base!$T119&gt;AT$345,"",AT743+AT1023+AT1303)</f>
        <v>45.321253932723735</v>
      </c>
      <c r="AU463" s="121">
        <f>IF(tech_base!$T119&gt;AU$345,"",AU743+AU1023+AU1303)</f>
        <v>45.473957077235127</v>
      </c>
      <c r="AV463" s="121">
        <f>IF(tech_base!$T119&gt;AV$345,"",AV743+AV1023+AV1303)</f>
        <v>45.610873491739547</v>
      </c>
      <c r="AW463" s="121">
        <f>IF(tech_base!$T119&gt;AW$345,"",AW743+AW1023+AW1303)</f>
        <v>45.739487345001955</v>
      </c>
      <c r="AX463" s="122">
        <f>IF(tech_base!$T119&gt;AX$345,"",AX743+AX1023+AX1303)</f>
        <v>45.890595660784243</v>
      </c>
    </row>
    <row r="464" spans="1:50" x14ac:dyDescent="0.25">
      <c r="A464" s="356"/>
      <c r="B464" s="359"/>
      <c r="C464" s="378"/>
      <c r="D464" s="2" t="s">
        <v>8</v>
      </c>
      <c r="E464" s="76" t="str">
        <f>A463&amp;"/"&amp;B463&amp;"/"&amp;C463&amp;"/"&amp;D464</f>
        <v>Derived gas fired power plants/Steam turbine/Electricity only/M</v>
      </c>
      <c r="F464" s="76" t="str">
        <f>A463</f>
        <v>Derived gas fired power plants</v>
      </c>
      <c r="G464" s="76" t="str">
        <f>B463</f>
        <v>Steam turbine</v>
      </c>
      <c r="H464" s="76" t="str">
        <f>C463</f>
        <v>Electricity only</v>
      </c>
      <c r="I464" s="76" t="str">
        <f t="shared" si="358"/>
        <v>M</v>
      </c>
      <c r="J464" s="119">
        <f>IF(tech_base!$T120&gt;J$345,"",J744+J1024+J1304)</f>
        <v>41.476153634427902</v>
      </c>
      <c r="K464" s="119">
        <f>IF(tech_base!$T120&gt;K$345,"",K744+K1024+K1304)</f>
        <v>43.290647385157001</v>
      </c>
      <c r="L464" s="119">
        <f>IF(tech_base!$T120&gt;L$345,"",L744+L1024+L1304)</f>
        <v>42.079495839735443</v>
      </c>
      <c r="M464" s="119">
        <f>IF(tech_base!$T120&gt;M$345,"",M744+M1024+M1304)</f>
        <v>41.439053421274309</v>
      </c>
      <c r="N464" s="119">
        <f>IF(tech_base!$T120&gt;N$345,"",N744+N1024+N1304)</f>
        <v>41.251337972371985</v>
      </c>
      <c r="O464" s="119">
        <f>IF(tech_base!$T120&gt;O$345,"",O744+O1024+O1304)</f>
        <v>40.939774575769853</v>
      </c>
      <c r="P464" s="119">
        <f>IF(tech_base!$T120&gt;P$345,"",P744+P1024+P1304)</f>
        <v>41.335993558467095</v>
      </c>
      <c r="Q464" s="119">
        <f>IF(tech_base!$T120&gt;Q$345,"",Q744+Q1024+Q1304)</f>
        <v>43.160207709526475</v>
      </c>
      <c r="R464" s="119">
        <f>IF(tech_base!$T120&gt;R$345,"",R744+R1024+R1304)</f>
        <v>43.265141782066465</v>
      </c>
      <c r="S464" s="119">
        <f>IF(tech_base!$T120&gt;S$345,"",S744+S1024+S1304)</f>
        <v>43.369790586240804</v>
      </c>
      <c r="T464" s="119">
        <f>IF(tech_base!$T120&gt;T$345,"",T744+T1024+T1304)</f>
        <v>43.474160769623438</v>
      </c>
      <c r="U464" s="119">
        <f>IF(tech_base!$T120&gt;U$345,"",U744+U1024+U1304)</f>
        <v>43.725898118878931</v>
      </c>
      <c r="V464" s="119">
        <f>IF(tech_base!$T120&gt;V$345,"",V744+V1024+V1304)</f>
        <v>43.789570765682889</v>
      </c>
      <c r="W464" s="119">
        <f>IF(tech_base!$T120&gt;W$345,"",W744+W1024+W1304)</f>
        <v>43.841024752568764</v>
      </c>
      <c r="X464" s="119">
        <f>IF(tech_base!$T120&gt;X$345,"",X744+X1024+X1304)</f>
        <v>43.950104829952551</v>
      </c>
      <c r="Y464" s="119">
        <f>IF(tech_base!$T120&gt;Y$345,"",Y744+Y1024+Y1304)</f>
        <v>44.068636677911812</v>
      </c>
      <c r="Z464" s="119">
        <f>IF(tech_base!$T120&gt;Z$345,"",Z744+Z1024+Z1304)</f>
        <v>44.413663658873475</v>
      </c>
      <c r="AA464" s="119">
        <f>IF(tech_base!$T120&gt;AA$345,"",AA744+AA1024+AA1304)</f>
        <v>44.760498439653333</v>
      </c>
      <c r="AB464" s="119">
        <f>IF(tech_base!$T120&gt;AB$345,"",AB744+AB1024+AB1304)</f>
        <v>45.119623449047111</v>
      </c>
      <c r="AC464" s="119">
        <f>IF(tech_base!$T120&gt;AC$345,"",AC744+AC1024+AC1304)</f>
        <v>45.48386339226569</v>
      </c>
      <c r="AD464" s="119">
        <f>IF(tech_base!$T120&gt;AD$345,"",AD744+AD1024+AD1304)</f>
        <v>45.879762010852879</v>
      </c>
      <c r="AE464" s="119">
        <f>IF(tech_base!$T120&gt;AE$345,"",AE744+AE1024+AE1304)</f>
        <v>46.037394513753938</v>
      </c>
      <c r="AF464" s="119">
        <f>IF(tech_base!$T120&gt;AF$345,"",AF744+AF1024+AF1304)</f>
        <v>46.230246259310682</v>
      </c>
      <c r="AG464" s="119">
        <f>IF(tech_base!$T120&gt;AG$345,"",AG744+AG1024+AG1304)</f>
        <v>46.429791124544671</v>
      </c>
      <c r="AH464" s="119">
        <f>IF(tech_base!$T120&gt;AH$345,"",AH744+AH1024+AH1304)</f>
        <v>46.620455364743513</v>
      </c>
      <c r="AI464" s="119">
        <f>IF(tech_base!$T120&gt;AI$345,"",AI744+AI1024+AI1304)</f>
        <v>46.799563407406609</v>
      </c>
      <c r="AJ464" s="119">
        <f>IF(tech_base!$T120&gt;AJ$345,"",AJ744+AJ1024+AJ1304)</f>
        <v>46.944214964851398</v>
      </c>
      <c r="AK464" s="119">
        <f>IF(tech_base!$T120&gt;AK$345,"",AK744+AK1024+AK1304)</f>
        <v>47.104591656708024</v>
      </c>
      <c r="AL464" s="119">
        <f>IF(tech_base!$T120&gt;AL$345,"",AL744+AL1024+AL1304)</f>
        <v>47.276713321066381</v>
      </c>
      <c r="AM464" s="119">
        <f>IF(tech_base!$T120&gt;AM$345,"",AM744+AM1024+AM1304)</f>
        <v>47.458822994490134</v>
      </c>
      <c r="AN464" s="119">
        <f>IF(tech_base!$T120&gt;AN$345,"",AN744+AN1024+AN1304)</f>
        <v>47.61382181204047</v>
      </c>
      <c r="AO464" s="119">
        <f>IF(tech_base!$T120&gt;AO$345,"",AO744+AO1024+AO1304)</f>
        <v>47.767092461427666</v>
      </c>
      <c r="AP464" s="119">
        <f>IF(tech_base!$T120&gt;AP$345,"",AP744+AP1024+AP1304)</f>
        <v>47.919305573724529</v>
      </c>
      <c r="AQ464" s="119">
        <f>IF(tech_base!$T120&gt;AQ$345,"",AQ744+AQ1024+AQ1304)</f>
        <v>48.071790773187317</v>
      </c>
      <c r="AR464" s="119">
        <f>IF(tech_base!$T120&gt;AR$345,"",AR744+AR1024+AR1304)</f>
        <v>48.23412136022332</v>
      </c>
      <c r="AS464" s="119">
        <f>IF(tech_base!$T120&gt;AS$345,"",AS744+AS1024+AS1304)</f>
        <v>48.399427500777911</v>
      </c>
      <c r="AT464" s="119">
        <f>IF(tech_base!$T120&gt;AT$345,"",AT744+AT1024+AT1304)</f>
        <v>48.528005714976935</v>
      </c>
      <c r="AU464" s="119">
        <f>IF(tech_base!$T120&gt;AU$345,"",AU744+AU1024+AU1304)</f>
        <v>48.687923600040719</v>
      </c>
      <c r="AV464" s="119">
        <f>IF(tech_base!$T120&gt;AV$345,"",AV744+AV1024+AV1304)</f>
        <v>48.831237448281513</v>
      </c>
      <c r="AW464" s="119">
        <f>IF(tech_base!$T120&gt;AW$345,"",AW744+AW1024+AW1304)</f>
        <v>48.965830461551782</v>
      </c>
      <c r="AX464" s="120">
        <f>IF(tech_base!$T120&gt;AX$345,"",AX744+AX1024+AX1304)</f>
        <v>49.12414434345493</v>
      </c>
    </row>
    <row r="465" spans="1:50" x14ac:dyDescent="0.25">
      <c r="A465" s="356"/>
      <c r="B465" s="359"/>
      <c r="C465" s="378"/>
      <c r="D465" s="2" t="s">
        <v>10</v>
      </c>
      <c r="E465" s="76" t="str">
        <f>A463&amp;"/"&amp;B463&amp;"/"&amp;C463&amp;"/"&amp;D465</f>
        <v>Derived gas fired power plants/Steam turbine/Electricity only/S</v>
      </c>
      <c r="F465" s="76" t="str">
        <f>A463</f>
        <v>Derived gas fired power plants</v>
      </c>
      <c r="G465" s="76" t="str">
        <f>B463</f>
        <v>Steam turbine</v>
      </c>
      <c r="H465" s="76" t="str">
        <f>C463</f>
        <v>Electricity only</v>
      </c>
      <c r="I465" s="76" t="str">
        <f t="shared" si="358"/>
        <v>S</v>
      </c>
      <c r="J465" s="119">
        <f>IF(tech_base!$T121&gt;J$345,"",J745+J1025+J1305)</f>
        <v>45.381910060956315</v>
      </c>
      <c r="K465" s="119">
        <f>IF(tech_base!$T121&gt;K$345,"",K745+K1025+K1305)</f>
        <v>47.292211193749438</v>
      </c>
      <c r="L465" s="119">
        <f>IF(tech_base!$T121&gt;L$345,"",L745+L1025+L1305)</f>
        <v>46.015450250111847</v>
      </c>
      <c r="M465" s="119">
        <f>IF(tech_base!$T121&gt;M$345,"",M745+M1025+M1305)</f>
        <v>45.339865289744154</v>
      </c>
      <c r="N465" s="119">
        <f>IF(tech_base!$T121&gt;N$345,"",N745+N1025+N1305)</f>
        <v>45.141184948847325</v>
      </c>
      <c r="O465" s="119">
        <f>IF(tech_base!$T121&gt;O$345,"",O745+O1025+O1305)</f>
        <v>44.81206524581205</v>
      </c>
      <c r="P465" s="119">
        <f>IF(tech_base!$T121&gt;P$345,"",P745+P1025+P1305)</f>
        <v>45.228526676113773</v>
      </c>
      <c r="Q465" s="119">
        <f>IF(tech_base!$T121&gt;Q$345,"",Q745+Q1025+Q1305)</f>
        <v>47.149238007259058</v>
      </c>
      <c r="R465" s="119">
        <f>IF(tech_base!$T121&gt;R$345,"",R745+R1025+R1305)</f>
        <v>47.258915601799934</v>
      </c>
      <c r="S465" s="119">
        <f>IF(tech_base!$T121&gt;S$345,"",S745+S1025+S1305)</f>
        <v>47.368312877757148</v>
      </c>
      <c r="T465" s="119">
        <f>IF(tech_base!$T121&gt;T$345,"",T745+T1025+T1305)</f>
        <v>47.477436523877444</v>
      </c>
      <c r="U465" s="119">
        <f>IF(tech_base!$T121&gt;U$345,"",U745+U1025+U1305)</f>
        <v>47.741816136994075</v>
      </c>
      <c r="V465" s="119">
        <f>IF(tech_base!$T121&gt;V$345,"",V745+V1025+V1305)</f>
        <v>47.808108216408435</v>
      </c>
      <c r="W465" s="119">
        <f>IF(tech_base!$T121&gt;W$345,"",W745+W1025+W1305)</f>
        <v>47.861547698630218</v>
      </c>
      <c r="X465" s="119">
        <f>IF(tech_base!$T121&gt;X$345,"",X745+X1025+X1305)</f>
        <v>47.975709275366377</v>
      </c>
      <c r="Y465" s="119">
        <f>IF(tech_base!$T121&gt;Y$345,"",Y745+Y1025+Y1305)</f>
        <v>48.099845768645793</v>
      </c>
      <c r="Z465" s="119">
        <f>IF(tech_base!$T121&gt;Z$345,"",Z745+Z1025+Z1305)</f>
        <v>48.462593956022687</v>
      </c>
      <c r="AA465" s="119">
        <f>IF(tech_base!$T121&gt;AA$345,"",AA745+AA1025+AA1305)</f>
        <v>48.827265682457693</v>
      </c>
      <c r="AB465" s="119">
        <f>IF(tech_base!$T121&gt;AB$345,"",AB745+AB1025+AB1305)</f>
        <v>49.204903011367691</v>
      </c>
      <c r="AC465" s="119">
        <f>IF(tech_base!$T121&gt;AC$345,"",AC745+AC1025+AC1305)</f>
        <v>49.587947035743575</v>
      </c>
      <c r="AD465" s="119">
        <f>IF(tech_base!$T121&gt;AD$345,"",AD745+AD1025+AD1305)</f>
        <v>50.004359359314698</v>
      </c>
      <c r="AE465" s="119">
        <f>IF(tech_base!$T121&gt;AE$345,"",AE745+AE1025+AE1305)</f>
        <v>50.169792575172387</v>
      </c>
      <c r="AF465" s="119">
        <f>IF(tech_base!$T121&gt;AF$345,"",AF745+AF1025+AF1305)</f>
        <v>50.372343163813667</v>
      </c>
      <c r="AG465" s="119">
        <f>IF(tech_base!$T121&gt;AG$345,"",AG745+AG1025+AG1305)</f>
        <v>50.581960609147629</v>
      </c>
      <c r="AH465" s="119">
        <f>IF(tech_base!$T121&gt;AH$345,"",AH745+AH1025+AH1305)</f>
        <v>50.782238626559064</v>
      </c>
      <c r="AI465" s="119">
        <f>IF(tech_base!$T121&gt;AI$345,"",AI745+AI1025+AI1305)</f>
        <v>50.970358250703512</v>
      </c>
      <c r="AJ465" s="119">
        <f>IF(tech_base!$T121&gt;AJ$345,"",AJ745+AJ1025+AJ1305)</f>
        <v>51.122194868007725</v>
      </c>
      <c r="AK465" s="119">
        <f>IF(tech_base!$T121&gt;AK$345,"",AK745+AK1025+AK1305)</f>
        <v>51.29061160403117</v>
      </c>
      <c r="AL465" s="119">
        <f>IF(tech_base!$T121&gt;AL$345,"",AL745+AL1025+AL1305)</f>
        <v>51.471415358573267</v>
      </c>
      <c r="AM465" s="119">
        <f>IF(tech_base!$T121&gt;AM$345,"",AM745+AM1025+AM1305)</f>
        <v>51.662755024789789</v>
      </c>
      <c r="AN465" s="119">
        <f>IF(tech_base!$T121&gt;AN$345,"",AN745+AN1025+AN1305)</f>
        <v>51.825548385615413</v>
      </c>
      <c r="AO465" s="119">
        <f>IF(tech_base!$T121&gt;AO$345,"",AO745+AO1025+AO1305)</f>
        <v>51.986534517686977</v>
      </c>
      <c r="AP465" s="119">
        <f>IF(tech_base!$T121&gt;AP$345,"",AP745+AP1025+AP1305)</f>
        <v>52.146419591056144</v>
      </c>
      <c r="AQ465" s="119">
        <f>IF(tech_base!$T121&gt;AQ$345,"",AQ745+AQ1025+AQ1305)</f>
        <v>52.306604009849451</v>
      </c>
      <c r="AR465" s="119">
        <f>IF(tech_base!$T121&gt;AR$345,"",AR745+AR1025+AR1305)</f>
        <v>52.47717260461026</v>
      </c>
      <c r="AS465" s="119">
        <f>IF(tech_base!$T121&gt;AS$345,"",AS745+AS1025+AS1305)</f>
        <v>52.650888014116859</v>
      </c>
      <c r="AT465" s="119">
        <f>IF(tech_base!$T121&gt;AT$345,"",AT745+AT1025+AT1305)</f>
        <v>52.785923649393609</v>
      </c>
      <c r="AU465" s="119">
        <f>IF(tech_base!$T121&gt;AU$345,"",AU745+AU1025+AU1305)</f>
        <v>52.953986140799657</v>
      </c>
      <c r="AV465" s="119">
        <f>IF(tech_base!$T121&gt;AV$345,"",AV745+AV1025+AV1305)</f>
        <v>53.104568078675314</v>
      </c>
      <c r="AW465" s="119">
        <f>IF(tech_base!$T121&gt;AW$345,"",AW745+AW1025+AW1305)</f>
        <v>53.245973840509933</v>
      </c>
      <c r="AX465" s="120">
        <f>IF(tech_base!$T121&gt;AX$345,"",AX745+AX1025+AX1305)</f>
        <v>53.41237963032151</v>
      </c>
    </row>
    <row r="466" spans="1:50" x14ac:dyDescent="0.25">
      <c r="A466" s="356"/>
      <c r="B466" s="359"/>
      <c r="C466" s="379"/>
      <c r="D466" s="2" t="s">
        <v>20</v>
      </c>
      <c r="E466" s="76" t="str">
        <f>A463&amp;"/"&amp;B463&amp;"/"&amp;C463&amp;"/"&amp;D466</f>
        <v>Derived gas fired power plants/Steam turbine/Electricity only/XS</v>
      </c>
      <c r="F466" s="76" t="str">
        <f>A463</f>
        <v>Derived gas fired power plants</v>
      </c>
      <c r="G466" s="76" t="str">
        <f>B463</f>
        <v>Steam turbine</v>
      </c>
      <c r="H466" s="76" t="str">
        <f>C463</f>
        <v>Electricity only</v>
      </c>
      <c r="I466" s="76" t="str">
        <f t="shared" si="358"/>
        <v>XS</v>
      </c>
      <c r="J466" s="119">
        <f>IF(tech_base!$T122&gt;J$345,"",J746+J1026+J1306)</f>
        <v>52.930215516500162</v>
      </c>
      <c r="K466" s="119">
        <f>IF(tech_base!$T122&gt;K$345,"",K746+K1026+K1306)</f>
        <v>54.939505727998942</v>
      </c>
      <c r="L466" s="119">
        <f>IF(tech_base!$T122&gt;L$345,"",L746+L1026+L1306)</f>
        <v>53.591149107908421</v>
      </c>
      <c r="M466" s="119">
        <f>IF(tech_base!$T122&gt;M$345,"",M746+M1026+M1306)</f>
        <v>52.876198621485649</v>
      </c>
      <c r="N466" s="119">
        <f>IF(tech_base!$T122&gt;N$345,"",N746+N1026+N1306)</f>
        <v>52.663745616169905</v>
      </c>
      <c r="O466" s="119">
        <f>IF(tech_base!$T122&gt;O$345,"",O746+O1026+O1306)</f>
        <v>52.313915245701388</v>
      </c>
      <c r="P466" s="119">
        <f>IF(tech_base!$T122&gt;P$345,"",P746+P1026+P1306)</f>
        <v>52.749678214941213</v>
      </c>
      <c r="Q466" s="119">
        <f>IF(tech_base!$T122&gt;Q$345,"",Q746+Q1026+Q1306)</f>
        <v>54.770399024061348</v>
      </c>
      <c r="R466" s="119">
        <f>IF(tech_base!$T122&gt;R$345,"",R746+R1026+R1306)</f>
        <v>54.883073490408563</v>
      </c>
      <c r="S466" s="119">
        <f>IF(tech_base!$T122&gt;S$345,"",S746+S1026+S1306)</f>
        <v>54.995510312599237</v>
      </c>
      <c r="T466" s="119">
        <f>IF(tech_base!$T122&gt;T$345,"",T746+T1026+T1306)</f>
        <v>55.107716198184647</v>
      </c>
      <c r="U466" s="119">
        <f>IF(tech_base!$T122&gt;U$345,"",U746+U1026+U1306)</f>
        <v>55.383564482588646</v>
      </c>
      <c r="V466" s="119">
        <f>IF(tech_base!$T122&gt;V$345,"",V746+V1026+V1306)</f>
        <v>55.450755513272583</v>
      </c>
      <c r="W466" s="119">
        <f>IF(tech_base!$T122&gt;W$345,"",W746+W1026+W1306)</f>
        <v>55.504459454153071</v>
      </c>
      <c r="X466" s="119">
        <f>IF(tech_base!$T122&gt;X$345,"",X746+X1026+X1306)</f>
        <v>55.62219947596472</v>
      </c>
      <c r="Y466" s="119">
        <f>IF(tech_base!$T122&gt;Y$345,"",Y746+Y1026+Y1306)</f>
        <v>55.750505083258403</v>
      </c>
      <c r="Z466" s="119">
        <f>IF(tech_base!$T122&gt;Z$345,"",Z746+Z1026+Z1306)</f>
        <v>56.130289365679886</v>
      </c>
      <c r="AA466" s="119">
        <f>IF(tech_base!$T122&gt;AA$345,"",AA746+AA1026+AA1306)</f>
        <v>56.512158668526673</v>
      </c>
      <c r="AB466" s="119">
        <f>IF(tech_base!$T122&gt;AB$345,"",AB746+AB1026+AB1306)</f>
        <v>56.907747423209528</v>
      </c>
      <c r="AC466" s="119">
        <f>IF(tech_base!$T122&gt;AC$345,"",AC746+AC1026+AC1306)</f>
        <v>57.309090185362216</v>
      </c>
      <c r="AD466" s="119">
        <f>IF(tech_base!$T122&gt;AD$345,"",AD746+AD1026+AD1306)</f>
        <v>57.745650177121348</v>
      </c>
      <c r="AE466" s="119">
        <f>IF(tech_base!$T122&gt;AE$345,"",AE746+AE1026+AE1306)</f>
        <v>57.917800461583305</v>
      </c>
      <c r="AF466" s="119">
        <f>IF(tech_base!$T122&gt;AF$345,"",AF746+AF1026+AF1306)</f>
        <v>58.129114074933298</v>
      </c>
      <c r="AG466" s="119">
        <f>IF(tech_base!$T122&gt;AG$345,"",AG746+AG1026+AG1306)</f>
        <v>58.347925351075006</v>
      </c>
      <c r="AH466" s="119">
        <f>IF(tech_base!$T122&gt;AH$345,"",AH746+AH1026+AH1306)</f>
        <v>58.556945417259215</v>
      </c>
      <c r="AI466" s="119">
        <f>IF(tech_base!$T122&gt;AI$345,"",AI746+AI1026+AI1306)</f>
        <v>58.753202753580709</v>
      </c>
      <c r="AJ466" s="119">
        <f>IF(tech_base!$T122&gt;AJ$345,"",AJ746+AJ1026+AJ1306)</f>
        <v>58.911274487134435</v>
      </c>
      <c r="AK466" s="119">
        <f>IF(tech_base!$T122&gt;AK$345,"",AK746+AK1026+AK1306)</f>
        <v>59.086865070336614</v>
      </c>
      <c r="AL466" s="119">
        <f>IF(tech_base!$T122&gt;AL$345,"",AL746+AL1026+AL1306)</f>
        <v>59.275555408572913</v>
      </c>
      <c r="AM466" s="119">
        <f>IF(tech_base!$T122&gt;AM$345,"",AM746+AM1026+AM1306)</f>
        <v>59.475394249821193</v>
      </c>
      <c r="AN466" s="119">
        <f>IF(tech_base!$T122&gt;AN$345,"",AN746+AN1026+AN1306)</f>
        <v>59.645196256354055</v>
      </c>
      <c r="AO466" s="119">
        <f>IF(tech_base!$T122&gt;AO$345,"",AO746+AO1026+AO1306)</f>
        <v>59.813137798893003</v>
      </c>
      <c r="AP466" s="119">
        <f>IF(tech_base!$T122&gt;AP$345,"",AP746+AP1026+AP1306)</f>
        <v>59.979962198808593</v>
      </c>
      <c r="AQ466" s="119">
        <f>IF(tech_base!$T122&gt;AQ$345,"",AQ746+AQ1026+AQ1306)</f>
        <v>60.147144388755379</v>
      </c>
      <c r="AR466" s="119">
        <f>IF(tech_base!$T122&gt;AR$345,"",AR746+AR1026+AR1306)</f>
        <v>60.325311157140021</v>
      </c>
      <c r="AS466" s="119">
        <f>IF(tech_base!$T122&gt;AS$345,"",AS746+AS1026+AS1306)</f>
        <v>60.506834946248517</v>
      </c>
      <c r="AT466" s="119">
        <f>IF(tech_base!$T122&gt;AT$345,"",AT746+AT1026+AT1306)</f>
        <v>60.647636843202406</v>
      </c>
      <c r="AU466" s="119">
        <f>IF(tech_base!$T122&gt;AU$345,"",AU746+AU1026+AU1306)</f>
        <v>60.823282465753032</v>
      </c>
      <c r="AV466" s="119">
        <f>IF(tech_base!$T122&gt;AV$345,"",AV746+AV1026+AV1306)</f>
        <v>60.980544739963818</v>
      </c>
      <c r="AW466" s="119">
        <f>IF(tech_base!$T122&gt;AW$345,"",AW746+AW1026+AW1306)</f>
        <v>61.128174143398688</v>
      </c>
      <c r="AX466" s="120">
        <f>IF(tech_base!$T122&gt;AX$345,"",AX746+AX1026+AX1306)</f>
        <v>61.302186377598716</v>
      </c>
    </row>
    <row r="467" spans="1:50" x14ac:dyDescent="0.25">
      <c r="A467" s="356"/>
      <c r="B467" s="359"/>
      <c r="C467" s="361" t="s">
        <v>14</v>
      </c>
      <c r="D467" s="58" t="s">
        <v>7</v>
      </c>
      <c r="E467" s="78" t="str">
        <f>A463&amp;"/"&amp;B463&amp;"/"&amp;C467&amp;"/"&amp;D467</f>
        <v>Derived gas fired power plants/Steam turbine/CHP/L</v>
      </c>
      <c r="F467" s="78" t="str">
        <f>A463</f>
        <v>Derived gas fired power plants</v>
      </c>
      <c r="G467" s="78" t="str">
        <f>B463</f>
        <v>Steam turbine</v>
      </c>
      <c r="H467" s="78" t="str">
        <f>C467</f>
        <v>CHP</v>
      </c>
      <c r="I467" s="78" t="str">
        <f t="shared" si="358"/>
        <v>L</v>
      </c>
      <c r="J467" s="123">
        <f>IF(tech_base!$T123&gt;J$345,"",J747+J1027+J1307)</f>
        <v>57.245029425144331</v>
      </c>
      <c r="K467" s="123">
        <f>IF(tech_base!$T123&gt;K$345,"",K747+K1027+K1307)</f>
        <v>59.150914871233482</v>
      </c>
      <c r="L467" s="123">
        <f>IF(tech_base!$T123&gt;L$345,"",L747+L1027+L1307)</f>
        <v>57.877470541772439</v>
      </c>
      <c r="M467" s="123">
        <f>IF(tech_base!$T123&gt;M$345,"",M747+M1027+M1307)</f>
        <v>57.20377968451659</v>
      </c>
      <c r="N467" s="123">
        <f>IF(tech_base!$T123&gt;N$345,"",N747+N1027+N1307)</f>
        <v>57.005878120936089</v>
      </c>
      <c r="O467" s="123">
        <f>IF(tech_base!$T123&gt;O$345,"",O747+O1027+O1307)</f>
        <v>56.677882352466035</v>
      </c>
      <c r="P467" s="123">
        <f>IF(tech_base!$T123&gt;P$345,"",P747+P1027+P1307)</f>
        <v>57.093717525867817</v>
      </c>
      <c r="Q467" s="123">
        <f>IF(tech_base!$T123&gt;Q$345,"",Q747+Q1027+Q1307)</f>
        <v>59.010252060429295</v>
      </c>
      <c r="R467" s="123">
        <f>IF(tech_base!$T123&gt;R$345,"",R747+R1027+R1307)</f>
        <v>59.120113646902837</v>
      </c>
      <c r="S467" s="123">
        <f>IF(tech_base!$T123&gt;S$345,"",S747+S1027+S1307)</f>
        <v>59.229728361174139</v>
      </c>
      <c r="T467" s="123">
        <f>IF(tech_base!$T123&gt;T$345,"",T747+T1027+T1307)</f>
        <v>59.339102099975889</v>
      </c>
      <c r="U467" s="123">
        <f>IF(tech_base!$T123&gt;U$345,"",U747+U1027+U1307)</f>
        <v>59.603395070826259</v>
      </c>
      <c r="V467" s="123">
        <f>IF(tech_base!$T123&gt;V$345,"",V747+V1027+V1307)</f>
        <v>59.670100699964969</v>
      </c>
      <c r="W467" s="123">
        <f>IF(tech_base!$T123&gt;W$345,"",W747+W1027+W1307)</f>
        <v>59.724013329924816</v>
      </c>
      <c r="X467" s="123">
        <f>IF(tech_base!$T123&gt;X$345,"",X747+X1027+X1307)</f>
        <v>59.838533029734258</v>
      </c>
      <c r="Y467" s="123">
        <f>IF(tech_base!$T123&gt;Y$345,"",Y747+Y1027+Y1307)</f>
        <v>59.963031916319245</v>
      </c>
      <c r="Z467" s="123">
        <f>IF(tech_base!$T123&gt;Z$345,"",Z747+Z1027+Z1307)</f>
        <v>60.32560755741838</v>
      </c>
      <c r="AA467" s="123">
        <f>IF(tech_base!$T123&gt;AA$345,"",AA747+AA1027+AA1307)</f>
        <v>60.690129437071164</v>
      </c>
      <c r="AB467" s="123">
        <f>IF(tech_base!$T123&gt;AB$345,"",AB747+AB1027+AB1307)</f>
        <v>61.067612646815107</v>
      </c>
      <c r="AC467" s="123">
        <f>IF(tech_base!$T123&gt;AC$345,"",AC747+AC1027+AC1307)</f>
        <v>61.450515070153315</v>
      </c>
      <c r="AD467" s="123">
        <f>IF(tech_base!$T123&gt;AD$345,"",AD747+AD1027+AD1307)</f>
        <v>61.866731710942148</v>
      </c>
      <c r="AE467" s="123">
        <f>IF(tech_base!$T123&gt;AE$345,"",AE747+AE1027+AE1307)</f>
        <v>62.032580715528056</v>
      </c>
      <c r="AF467" s="123">
        <f>IF(tech_base!$T123&gt;AF$345,"",AF747+AF1027+AF1307)</f>
        <v>62.235481478843454</v>
      </c>
      <c r="AG467" s="123">
        <f>IF(tech_base!$T123&gt;AG$345,"",AG747+AG1027+AG1307)</f>
        <v>62.445453043813046</v>
      </c>
      <c r="AH467" s="123">
        <f>IF(tech_base!$T123&gt;AH$345,"",AH747+AH1027+AH1307)</f>
        <v>62.646126567078078</v>
      </c>
      <c r="AI467" s="123">
        <f>IF(tech_base!$T123&gt;AI$345,"",AI747+AI1027+AI1307)</f>
        <v>62.834688676628716</v>
      </c>
      <c r="AJ467" s="123">
        <f>IF(tech_base!$T123&gt;AJ$345,"",AJ747+AJ1027+AJ1307)</f>
        <v>62.987070122560226</v>
      </c>
      <c r="AK467" s="123">
        <f>IF(tech_base!$T123&gt;AK$345,"",AK747+AK1027+AK1307)</f>
        <v>63.156009547098165</v>
      </c>
      <c r="AL467" s="123">
        <f>IF(tech_base!$T123&gt;AL$345,"",AL747+AL1027+AL1307)</f>
        <v>63.337322779460294</v>
      </c>
      <c r="AM467" s="123">
        <f>IF(tech_base!$T123&gt;AM$345,"",AM747+AM1027+AM1307)</f>
        <v>63.529162162862811</v>
      </c>
      <c r="AN467" s="123">
        <f>IF(tech_base!$T123&gt;AN$345,"",AN747+AN1027+AN1307)</f>
        <v>63.692535753445569</v>
      </c>
      <c r="AO467" s="123">
        <f>IF(tech_base!$T123&gt;AO$345,"",AO747+AO1027+AO1307)</f>
        <v>63.854119344582351</v>
      </c>
      <c r="AP467" s="123">
        <f>IF(tech_base!$T123&gt;AP$345,"",AP747+AP1027+AP1307)</f>
        <v>64.014616595912202</v>
      </c>
      <c r="AQ467" s="123">
        <f>IF(tech_base!$T123&gt;AQ$345,"",AQ747+AQ1027+AQ1307)</f>
        <v>64.175423800782198</v>
      </c>
      <c r="AR467" s="123">
        <f>IF(tech_base!$T123&gt;AR$345,"",AR747+AR1027+AR1307)</f>
        <v>64.346601464347287</v>
      </c>
      <c r="AS467" s="123">
        <f>IF(tech_base!$T123&gt;AS$345,"",AS747+AS1027+AS1307)</f>
        <v>64.520928280915314</v>
      </c>
      <c r="AT467" s="123">
        <f>IF(tech_base!$T123&gt;AT$345,"",AT747+AT1027+AT1307)</f>
        <v>64.656674288732063</v>
      </c>
      <c r="AU467" s="123">
        <f>IF(tech_base!$T123&gt;AU$345,"",AU747+AU1027+AU1307)</f>
        <v>64.825378304984227</v>
      </c>
      <c r="AV467" s="123">
        <f>IF(tech_base!$T123&gt;AV$345,"",AV747+AV1027+AV1307)</f>
        <v>64.976649804549126</v>
      </c>
      <c r="AW467" s="123">
        <f>IF(tech_base!$T123&gt;AW$345,"",AW747+AW1027+AW1307)</f>
        <v>65.118773078124633</v>
      </c>
      <c r="AX467" s="124">
        <f>IF(tech_base!$T123&gt;AX$345,"",AX747+AX1027+AX1307)</f>
        <v>65.285844007230239</v>
      </c>
    </row>
    <row r="468" spans="1:50" x14ac:dyDescent="0.25">
      <c r="A468" s="356"/>
      <c r="B468" s="359"/>
      <c r="C468" s="378"/>
      <c r="D468" s="2" t="s">
        <v>8</v>
      </c>
      <c r="E468" s="76" t="str">
        <f>A463&amp;"/"&amp;B463&amp;"/"&amp;C467&amp;"/"&amp;D468</f>
        <v>Derived gas fired power plants/Steam turbine/CHP/M</v>
      </c>
      <c r="F468" s="76" t="str">
        <f>A463</f>
        <v>Derived gas fired power plants</v>
      </c>
      <c r="G468" s="76" t="str">
        <f>B463</f>
        <v>Steam turbine</v>
      </c>
      <c r="H468" s="76" t="str">
        <f>C467</f>
        <v>CHP</v>
      </c>
      <c r="I468" s="76" t="str">
        <f t="shared" si="358"/>
        <v>M</v>
      </c>
      <c r="J468" s="119">
        <f>IF(tech_base!$T124&gt;J$345,"",J748+J1028+J1308)</f>
        <v>60.26448289830892</v>
      </c>
      <c r="K468" s="119">
        <f>IF(tech_base!$T124&gt;K$345,"",K748+K1028+K1308)</f>
        <v>62.269280826199136</v>
      </c>
      <c r="L468" s="119">
        <f>IF(tech_base!$T124&gt;L$345,"",L748+L1028+L1308)</f>
        <v>60.924607233142332</v>
      </c>
      <c r="M468" s="119">
        <f>IF(tech_base!$T124&gt;M$345,"",M748+M1028+M1308)</f>
        <v>60.211828325602553</v>
      </c>
      <c r="N468" s="119">
        <f>IF(tech_base!$T124&gt;N$345,"",N748+N1028+N1308)</f>
        <v>60.000353463000835</v>
      </c>
      <c r="O468" s="119">
        <f>IF(tech_base!$T124&gt;O$345,"",O748+O1028+O1308)</f>
        <v>59.651858728994704</v>
      </c>
      <c r="P468" s="119">
        <f>IF(tech_base!$T124&gt;P$345,"",P748+P1028+P1308)</f>
        <v>60.087077189293396</v>
      </c>
      <c r="Q468" s="119">
        <f>IF(tech_base!$T124&gt;Q$345,"",Q748+Q1028+Q1308)</f>
        <v>62.103436633176408</v>
      </c>
      <c r="R468" s="119">
        <f>IF(tech_base!$T124&gt;R$345,"",R748+R1028+R1308)</f>
        <v>62.216395211766745</v>
      </c>
      <c r="S468" s="119">
        <f>IF(tech_base!$T124&gt;S$345,"",S748+S1028+S1308)</f>
        <v>62.329137634913181</v>
      </c>
      <c r="T468" s="119">
        <f>IF(tech_base!$T124&gt;T$345,"",T748+T1028+T1308)</f>
        <v>62.441669655352435</v>
      </c>
      <c r="U468" s="119">
        <f>IF(tech_base!$T124&gt;U$345,"",U748+U1028+U1308)</f>
        <v>62.717466751865899</v>
      </c>
      <c r="V468" s="119">
        <f>IF(tech_base!$T124&gt;V$345,"",V748+V1028+V1308)</f>
        <v>62.785130129106349</v>
      </c>
      <c r="W468" s="119">
        <f>IF(tech_base!$T124&gt;W$345,"",W748+W1028+W1308)</f>
        <v>62.839356314677325</v>
      </c>
      <c r="X468" s="119">
        <f>IF(tech_base!$T124&gt;X$345,"",X748+X1028+X1308)</f>
        <v>62.957479812500679</v>
      </c>
      <c r="Y468" s="119">
        <f>IF(tech_base!$T124&gt;Y$345,"",Y748+Y1028+Y1308)</f>
        <v>63.086158764857871</v>
      </c>
      <c r="Z468" s="119">
        <f>IF(tech_base!$T124&gt;Z$345,"",Z748+Z1028+Z1308)</f>
        <v>63.465721670907307</v>
      </c>
      <c r="AA468" s="119">
        <f>IF(tech_base!$T124&gt;AA$345,"",AA748+AA1028+AA1308)</f>
        <v>63.847378127612778</v>
      </c>
      <c r="AB468" s="119">
        <f>IF(tech_base!$T124&gt;AB$345,"",AB748+AB1028+AB1308)</f>
        <v>64.242733494704567</v>
      </c>
      <c r="AC468" s="119">
        <f>IF(tech_base!$T124&gt;AC$345,"",AC748+AC1028+AC1308)</f>
        <v>64.643840767220127</v>
      </c>
      <c r="AD468" s="119">
        <f>IF(tech_base!$T124&gt;AD$345,"",AD748+AD1028+AD1308)</f>
        <v>65.080090885332964</v>
      </c>
      <c r="AE468" s="119">
        <f>IF(tech_base!$T124&gt;AE$345,"",AE748+AE1028+AE1308)</f>
        <v>65.252582715156663</v>
      </c>
      <c r="AF468" s="119">
        <f>IF(tech_base!$T124&gt;AF$345,"",AF748+AF1028+AF1308)</f>
        <v>65.464152549483174</v>
      </c>
      <c r="AG468" s="119">
        <f>IF(tech_base!$T124&gt;AG$345,"",AG748+AG1028+AG1308)</f>
        <v>65.683210742354674</v>
      </c>
      <c r="AH468" s="119">
        <f>IF(tech_base!$T124&gt;AH$345,"",AH748+AH1028+AH1308)</f>
        <v>65.892509643160324</v>
      </c>
      <c r="AI468" s="119">
        <f>IF(tech_base!$T124&gt;AI$345,"",AI748+AI1028+AI1308)</f>
        <v>66.089084260823995</v>
      </c>
      <c r="AJ468" s="119">
        <f>IF(tech_base!$T124&gt;AJ$345,"",AJ748+AJ1028+AJ1308)</f>
        <v>66.247572812604091</v>
      </c>
      <c r="AK468" s="119">
        <f>IF(tech_base!$T124&gt;AK$345,"",AK748+AK1028+AK1308)</f>
        <v>66.423543837833549</v>
      </c>
      <c r="AL468" s="119">
        <f>IF(tech_base!$T124&gt;AL$345,"",AL748+AL1028+AL1308)</f>
        <v>66.612588293940874</v>
      </c>
      <c r="AM468" s="119">
        <f>IF(tech_base!$T124&gt;AM$345,"",AM748+AM1028+AM1308)</f>
        <v>66.812759011912149</v>
      </c>
      <c r="AN468" s="119">
        <f>IF(tech_base!$T124&gt;AN$345,"",AN748+AN1028+AN1308)</f>
        <v>66.982970191560923</v>
      </c>
      <c r="AO468" s="119">
        <f>IF(tech_base!$T124&gt;AO$345,"",AO748+AO1028+AO1308)</f>
        <v>67.15132913876505</v>
      </c>
      <c r="AP468" s="119">
        <f>IF(tech_base!$T124&gt;AP$345,"",AP748+AP1028+AP1308)</f>
        <v>67.318576802549444</v>
      </c>
      <c r="AQ468" s="119">
        <f>IF(tech_base!$T124&gt;AQ$345,"",AQ748+AQ1028+AQ1308)</f>
        <v>67.486183977400685</v>
      </c>
      <c r="AR468" s="119">
        <f>IF(tech_base!$T124&gt;AR$345,"",AR748+AR1028+AR1308)</f>
        <v>67.664751028622348</v>
      </c>
      <c r="AS468" s="119">
        <f>IF(tech_base!$T124&gt;AS$345,"",AS748+AS1028+AS1308)</f>
        <v>67.846668441981535</v>
      </c>
      <c r="AT468" s="119">
        <f>IF(tech_base!$T124&gt;AT$345,"",AT748+AT1028+AT1308)</f>
        <v>67.987964286228674</v>
      </c>
      <c r="AU468" s="119">
        <f>IF(tech_base!$T124&gt;AU$345,"",AU748+AU1028+AU1308)</f>
        <v>68.164019483043731</v>
      </c>
      <c r="AV468" s="119">
        <f>IF(tech_base!$T124&gt;AV$345,"",AV748+AV1028+AV1308)</f>
        <v>68.321736298103545</v>
      </c>
      <c r="AW468" s="119">
        <f>IF(tech_base!$T124&gt;AW$345,"",AW748+AW1028+AW1308)</f>
        <v>68.469843461538773</v>
      </c>
      <c r="AX468" s="120">
        <f>IF(tech_base!$T124&gt;AX$345,"",AX748+AX1028+AX1308)</f>
        <v>68.644268292985345</v>
      </c>
    </row>
    <row r="469" spans="1:50" x14ac:dyDescent="0.25">
      <c r="A469" s="356"/>
      <c r="B469" s="359"/>
      <c r="C469" s="378"/>
      <c r="D469" s="2" t="s">
        <v>10</v>
      </c>
      <c r="E469" s="76" t="str">
        <f>A463&amp;"/"&amp;B463&amp;"/"&amp;C467&amp;"/"&amp;D469</f>
        <v>Derived gas fired power plants/Steam turbine/CHP/S</v>
      </c>
      <c r="F469" s="76" t="str">
        <f>A463</f>
        <v>Derived gas fired power plants</v>
      </c>
      <c r="G469" s="76" t="str">
        <f>B463</f>
        <v>Steam turbine</v>
      </c>
      <c r="H469" s="76" t="str">
        <f>C467</f>
        <v>CHP</v>
      </c>
      <c r="I469" s="76" t="str">
        <f t="shared" si="358"/>
        <v>S</v>
      </c>
      <c r="J469" s="119">
        <f>IF(tech_base!$T125&gt;J$345,"",J749+J1029+J1309)</f>
        <v>72.593463901960547</v>
      </c>
      <c r="K469" s="119">
        <f>IF(tech_base!$T125&gt;K$345,"",K749+K1029+K1309)</f>
        <v>74.704681682344784</v>
      </c>
      <c r="L469" s="119">
        <f>IF(tech_base!$T125&gt;L$345,"",L749+L1029+L1309)</f>
        <v>73.286525310049271</v>
      </c>
      <c r="M469" s="119">
        <f>IF(tech_base!$T125&gt;M$345,"",M749+M1029+M1309)</f>
        <v>72.534219592859415</v>
      </c>
      <c r="N469" s="119">
        <f>IF(tech_base!$T125&gt;N$345,"",N749+N1029+N1309)</f>
        <v>72.310164689306617</v>
      </c>
      <c r="O469" s="119">
        <f>IF(tech_base!$T125&gt;O$345,"",O749+O1029+O1309)</f>
        <v>71.941743764361036</v>
      </c>
      <c r="P469" s="119">
        <f>IF(tech_base!$T125&gt;P$345,"",P749+P1029+P1309)</f>
        <v>72.399164523597705</v>
      </c>
      <c r="Q469" s="119">
        <f>IF(tech_base!$T125&gt;Q$345,"",Q749+Q1029+Q1309)</f>
        <v>74.522716278975295</v>
      </c>
      <c r="R469" s="119">
        <f>IF(tech_base!$T125&gt;R$345,"",R749+R1029+R1309)</f>
        <v>74.640604624224267</v>
      </c>
      <c r="S469" s="119">
        <f>IF(tech_base!$T125&gt;S$345,"",S749+S1029+S1309)</f>
        <v>74.758283064520683</v>
      </c>
      <c r="T469" s="119">
        <f>IF(tech_base!$T125&gt;T$345,"",T749+T1029+T1309)</f>
        <v>74.875757488711201</v>
      </c>
      <c r="U469" s="119">
        <f>IF(tech_base!$T125&gt;U$345,"",U749+U1029+U1309)</f>
        <v>75.165290502135647</v>
      </c>
      <c r="V469" s="119">
        <f>IF(tech_base!$T125&gt;V$345,"",V749+V1029+V1309)</f>
        <v>75.235519714777126</v>
      </c>
      <c r="W469" s="119">
        <f>IF(tech_base!$T125&gt;W$345,"",W749+W1029+W1309)</f>
        <v>75.291606225839928</v>
      </c>
      <c r="X469" s="119">
        <f>IF(tech_base!$T125&gt;X$345,"",X749+X1029+X1309)</f>
        <v>75.415041955251326</v>
      </c>
      <c r="Y469" s="119">
        <f>IF(tech_base!$T125&gt;Y$345,"",Y749+Y1029+Y1309)</f>
        <v>75.549617502064024</v>
      </c>
      <c r="Z469" s="119">
        <f>IF(tech_base!$T125&gt;Z$345,"",Z749+Z1029+Z1309)</f>
        <v>75.948583502308097</v>
      </c>
      <c r="AA469" s="119">
        <f>IF(tech_base!$T125&gt;AA$345,"",AA749+AA1029+AA1309)</f>
        <v>76.349773686875253</v>
      </c>
      <c r="AB469" s="119">
        <f>IF(tech_base!$T125&gt;AB$345,"",AB749+AB1029+AB1309)</f>
        <v>76.765417287368351</v>
      </c>
      <c r="AC469" s="119">
        <f>IF(tech_base!$T125&gt;AC$345,"",AC749+AC1029+AC1309)</f>
        <v>77.187139819837867</v>
      </c>
      <c r="AD469" s="119">
        <f>IF(tech_base!$T125&gt;AD$345,"",AD749+AD1029+AD1309)</f>
        <v>77.645912715927793</v>
      </c>
      <c r="AE469" s="119">
        <f>IF(tech_base!$T125&gt;AE$345,"",AE749+AE1029+AE1309)</f>
        <v>77.826758905681658</v>
      </c>
      <c r="AF469" s="119">
        <f>IF(tech_base!$T125&gt;AF$345,"",AF749+AF1029+AF1309)</f>
        <v>78.048800737791737</v>
      </c>
      <c r="AG469" s="119">
        <f>IF(tech_base!$T125&gt;AG$345,"",AG749+AG1029+AG1309)</f>
        <v>78.278749509312036</v>
      </c>
      <c r="AH469" s="119">
        <f>IF(tech_base!$T125&gt;AH$345,"",AH749+AH1029+AH1309)</f>
        <v>78.498429644124613</v>
      </c>
      <c r="AI469" s="119">
        <f>IF(tech_base!$T125&gt;AI$345,"",AI749+AI1029+AI1309)</f>
        <v>78.704716370329265</v>
      </c>
      <c r="AJ469" s="119">
        <f>IF(tech_base!$T125&gt;AJ$345,"",AJ749+AJ1029+AJ1309)</f>
        <v>78.870883211766852</v>
      </c>
      <c r="AK469" s="119">
        <f>IF(tech_base!$T125&gt;AK$345,"",AK749+AK1029+AK1309)</f>
        <v>79.055487789630135</v>
      </c>
      <c r="AL469" s="119">
        <f>IF(tech_base!$T125&gt;AL$345,"",AL749+AL1029+AL1309)</f>
        <v>79.253883783291315</v>
      </c>
      <c r="AM469" s="119">
        <f>IF(tech_base!$T125&gt;AM$345,"",AM749+AM1029+AM1309)</f>
        <v>79.464019158357132</v>
      </c>
      <c r="AN469" s="119">
        <f>IF(tech_base!$T125&gt;AN$345,"",AN749+AN1029+AN1309)</f>
        <v>79.642597287814183</v>
      </c>
      <c r="AO469" s="119">
        <f>IF(tech_base!$T125&gt;AO$345,"",AO749+AO1029+AO1309)</f>
        <v>79.819237507437521</v>
      </c>
      <c r="AP469" s="119">
        <f>IF(tech_base!$T125&gt;AP$345,"",AP749+AP1029+AP1309)</f>
        <v>79.994720432163533</v>
      </c>
      <c r="AQ469" s="119">
        <f>IF(tech_base!$T125&gt;AQ$345,"",AQ749+AQ1029+AQ1309)</f>
        <v>80.170595806566297</v>
      </c>
      <c r="AR469" s="119">
        <f>IF(tech_base!$T125&gt;AR$345,"",AR749+AR1029+AR1309)</f>
        <v>80.358034282167381</v>
      </c>
      <c r="AS469" s="119">
        <f>IF(tech_base!$T125&gt;AS$345,"",AS749+AS1029+AS1309)</f>
        <v>80.549016693601203</v>
      </c>
      <c r="AT469" s="119">
        <f>IF(tech_base!$T125&gt;AT$345,"",AT749+AT1029+AT1309)</f>
        <v>80.697204331153159</v>
      </c>
      <c r="AU469" s="119">
        <f>IF(tech_base!$T125&gt;AU$345,"",AU749+AU1029+AU1309)</f>
        <v>80.882034898264067</v>
      </c>
      <c r="AV469" s="119">
        <f>IF(tech_base!$T125&gt;AV$345,"",AV749+AV1029+AV1309)</f>
        <v>81.047552701391226</v>
      </c>
      <c r="AW469" s="119">
        <f>IF(tech_base!$T125&gt;AW$345,"",AW749+AW1029+AW1309)</f>
        <v>81.202956013705915</v>
      </c>
      <c r="AX469" s="120">
        <f>IF(tech_base!$T125&gt;AX$345,"",AX749+AX1029+AX1309)</f>
        <v>81.38610585588556</v>
      </c>
    </row>
    <row r="470" spans="1:50" x14ac:dyDescent="0.25">
      <c r="A470" s="356"/>
      <c r="B470" s="359"/>
      <c r="C470" s="379"/>
      <c r="D470" s="59" t="s">
        <v>20</v>
      </c>
      <c r="E470" s="79" t="str">
        <f>A463&amp;"/"&amp;B463&amp;"/"&amp;C467&amp;"/"&amp;D470</f>
        <v>Derived gas fired power plants/Steam turbine/CHP/XS</v>
      </c>
      <c r="F470" s="79" t="str">
        <f>A463</f>
        <v>Derived gas fired power plants</v>
      </c>
      <c r="G470" s="79" t="str">
        <f>B463</f>
        <v>Steam turbine</v>
      </c>
      <c r="H470" s="79" t="str">
        <f>C467</f>
        <v>CHP</v>
      </c>
      <c r="I470" s="79" t="str">
        <f t="shared" si="358"/>
        <v>XS</v>
      </c>
      <c r="J470" s="125">
        <f>IF(tech_base!$T126&gt;J$345,"",J750+J1030+J1310)</f>
        <v>80.94021739501791</v>
      </c>
      <c r="K470" s="125">
        <f>IF(tech_base!$T126&gt;K$345,"",K750+K1030+K1310)</f>
        <v>83.16359243291717</v>
      </c>
      <c r="L470" s="125">
        <f>IF(tech_base!$T126&gt;L$345,"",L750+L1030+L1310)</f>
        <v>81.667331846823444</v>
      </c>
      <c r="M470" s="125">
        <f>IF(tech_base!$T126&gt;M$345,"",M750+M1030+M1310)</f>
        <v>80.872844366247165</v>
      </c>
      <c r="N470" s="125">
        <f>IF(tech_base!$T126&gt;N$345,"",N750+N1030+N1310)</f>
        <v>80.635115819686291</v>
      </c>
      <c r="O470" s="125">
        <f>IF(tech_base!$T126&gt;O$345,"",O750+O1030+O1310)</f>
        <v>80.245260734787621</v>
      </c>
      <c r="P470" s="125">
        <f>IF(tech_base!$T126&gt;P$345,"",P750+P1030+P1310)</f>
        <v>80.725809615542289</v>
      </c>
      <c r="Q470" s="125">
        <f>IF(tech_base!$T126&gt;Q$345,"",Q750+Q1030+Q1310)</f>
        <v>82.96237850836846</v>
      </c>
      <c r="R470" s="125">
        <f>IF(tech_base!$T126&gt;R$345,"",R750+R1030+R1310)</f>
        <v>83.085142184469987</v>
      </c>
      <c r="S470" s="125">
        <f>IF(tech_base!$T126&gt;S$345,"",S750+S1030+S1310)</f>
        <v>83.207710043600926</v>
      </c>
      <c r="T470" s="125">
        <f>IF(tech_base!$T126&gt;T$345,"",T750+T1030+T1310)</f>
        <v>83.330087946791338</v>
      </c>
      <c r="U470" s="125">
        <f>IF(tech_base!$T126&gt;U$345,"",U750+U1030+U1310)</f>
        <v>83.633830798806002</v>
      </c>
      <c r="V470" s="125">
        <f>IF(tech_base!$T126&gt;V$345,"",V750+V1030+V1310)</f>
        <v>83.706464288858996</v>
      </c>
      <c r="W470" s="125">
        <f>IF(tech_base!$T126&gt;W$345,"",W750+W1030+W1310)</f>
        <v>83.764215876632989</v>
      </c>
      <c r="X470" s="125">
        <f>IF(tech_base!$T126&gt;X$345,"",X750+X1030+X1310)</f>
        <v>83.892973716363457</v>
      </c>
      <c r="Y470" s="125">
        <f>IF(tech_base!$T126&gt;Y$345,"",Y750+Y1030+Y1310)</f>
        <v>84.033495813309855</v>
      </c>
      <c r="Z470" s="125">
        <f>IF(tech_base!$T126&gt;Z$345,"",Z750+Z1030+Z1310)</f>
        <v>84.452697215822511</v>
      </c>
      <c r="AA470" s="125">
        <f>IF(tech_base!$T126&gt;AA$345,"",AA750+AA1030+AA1310)</f>
        <v>84.874266847509418</v>
      </c>
      <c r="AB470" s="125">
        <f>IF(tech_base!$T126&gt;AB$345,"",AB750+AB1030+AB1310)</f>
        <v>85.311093502302356</v>
      </c>
      <c r="AC470" s="125">
        <f>IF(tech_base!$T126&gt;AC$345,"",AC750+AC1030+AC1310)</f>
        <v>85.754350512618544</v>
      </c>
      <c r="AD470" s="125">
        <f>IF(tech_base!$T126&gt;AD$345,"",AD750+AD1030+AD1310)</f>
        <v>86.236680404194786</v>
      </c>
      <c r="AE470" s="125">
        <f>IF(tech_base!$T126&gt;AE$345,"",AE750+AE1030+AE1310)</f>
        <v>86.426107155808779</v>
      </c>
      <c r="AF470" s="125">
        <f>IF(tech_base!$T126&gt;AF$345,"",AF750+AF1030+AF1310)</f>
        <v>86.658974196910975</v>
      </c>
      <c r="AG470" s="125">
        <f>IF(tech_base!$T126&gt;AG$345,"",AG750+AG1030+AG1310)</f>
        <v>86.90019607971108</v>
      </c>
      <c r="AH470" s="125">
        <f>IF(tech_base!$T126&gt;AH$345,"",AH750+AH1030+AH1310)</f>
        <v>87.13061592789245</v>
      </c>
      <c r="AI470" s="125">
        <f>IF(tech_base!$T126&gt;AI$345,"",AI750+AI1030+AI1310)</f>
        <v>87.34693991757635</v>
      </c>
      <c r="AJ470" s="125">
        <f>IF(tech_base!$T126&gt;AJ$345,"",AJ750+AJ1030+AJ1310)</f>
        <v>87.520998505876847</v>
      </c>
      <c r="AK470" s="125">
        <f>IF(tech_base!$T126&gt;AK$345,"",AK750+AK1030+AK1310)</f>
        <v>87.714509755247462</v>
      </c>
      <c r="AL470" s="125">
        <f>IF(tech_base!$T126&gt;AL$345,"",AL750+AL1030+AL1310)</f>
        <v>87.922576323708938</v>
      </c>
      <c r="AM470" s="125">
        <f>IF(tech_base!$T126&gt;AM$345,"",AM750+AM1030+AM1310)</f>
        <v>88.143035171209192</v>
      </c>
      <c r="AN470" s="125">
        <f>IF(tech_base!$T126&gt;AN$345,"",AN750+AN1030+AN1310)</f>
        <v>88.330251993029577</v>
      </c>
      <c r="AO470" s="125">
        <f>IF(tech_base!$T126&gt;AO$345,"",AO750+AO1030+AO1310)</f>
        <v>88.515444751363901</v>
      </c>
      <c r="AP470" s="125">
        <f>IF(tech_base!$T126&gt;AP$345,"",AP750+AP1030+AP1310)</f>
        <v>88.699435900412084</v>
      </c>
      <c r="AQ470" s="125">
        <f>IF(tech_base!$T126&gt;AQ$345,"",AQ750+AQ1030+AQ1310)</f>
        <v>88.883858560067367</v>
      </c>
      <c r="AR470" s="125">
        <f>IF(tech_base!$T126&gt;AR$345,"",AR750+AR1030+AR1310)</f>
        <v>89.08048624085346</v>
      </c>
      <c r="AS470" s="125">
        <f>IF(tech_base!$T126&gt;AS$345,"",AS750+AS1030+AS1310)</f>
        <v>89.280866551977184</v>
      </c>
      <c r="AT470" s="125">
        <f>IF(tech_base!$T126&gt;AT$345,"",AT750+AT1030+AT1310)</f>
        <v>89.436158357452911</v>
      </c>
      <c r="AU470" s="125">
        <f>IF(tech_base!$T126&gt;AU$345,"",AU750+AU1030+AU1310)</f>
        <v>89.63008841291321</v>
      </c>
      <c r="AV470" s="125">
        <f>IF(tech_base!$T126&gt;AV$345,"",AV750+AV1030+AV1310)</f>
        <v>89.803679295822405</v>
      </c>
      <c r="AW470" s="125">
        <f>IF(tech_base!$T126&gt;AW$345,"",AW750+AW1030+AW1310)</f>
        <v>89.966625639591996</v>
      </c>
      <c r="AX470" s="126">
        <f>IF(tech_base!$T126&gt;AX$345,"",AX750+AX1030+AX1310)</f>
        <v>90.158832781533874</v>
      </c>
    </row>
    <row r="471" spans="1:50" x14ac:dyDescent="0.25">
      <c r="A471" s="356"/>
      <c r="B471" s="359"/>
      <c r="C471" s="361" t="s">
        <v>15</v>
      </c>
      <c r="D471" s="58" t="s">
        <v>7</v>
      </c>
      <c r="E471" s="78" t="str">
        <f>A463&amp;"/"&amp;B463&amp;"/"&amp;C471&amp;"/"&amp;D471</f>
        <v>Derived gas fired power plants/Steam turbine/Electricity only with CCS/L</v>
      </c>
      <c r="F471" s="78" t="str">
        <f>A463</f>
        <v>Derived gas fired power plants</v>
      </c>
      <c r="G471" s="78" t="str">
        <f>B463</f>
        <v>Steam turbine</v>
      </c>
      <c r="H471" s="78" t="str">
        <f>C471</f>
        <v>Electricity only with CCS</v>
      </c>
      <c r="I471" s="78" t="str">
        <f t="shared" si="358"/>
        <v>L</v>
      </c>
      <c r="J471" s="123" t="str">
        <f>IF(tech_base!$T127&gt;J$345,"",J751+J1031+J1311)</f>
        <v/>
      </c>
      <c r="K471" s="123" t="str">
        <f>IF(tech_base!$T127&gt;K$345,"",K751+K1031+K1311)</f>
        <v/>
      </c>
      <c r="L471" s="123" t="str">
        <f>IF(tech_base!$T127&gt;L$345,"",L751+L1031+L1311)</f>
        <v/>
      </c>
      <c r="M471" s="123" t="str">
        <f>IF(tech_base!$T127&gt;M$345,"",M751+M1031+M1311)</f>
        <v/>
      </c>
      <c r="N471" s="123" t="str">
        <f>IF(tech_base!$T127&gt;N$345,"",N751+N1031+N1311)</f>
        <v/>
      </c>
      <c r="O471" s="123" t="str">
        <f>IF(tech_base!$T127&gt;O$345,"",O751+O1031+O1311)</f>
        <v/>
      </c>
      <c r="P471" s="123" t="str">
        <f>IF(tech_base!$T127&gt;P$345,"",P751+P1031+P1311)</f>
        <v/>
      </c>
      <c r="Q471" s="123" t="str">
        <f>IF(tech_base!$T127&gt;Q$345,"",Q751+Q1031+Q1311)</f>
        <v/>
      </c>
      <c r="R471" s="123" t="str">
        <f>IF(tech_base!$T127&gt;R$345,"",R751+R1031+R1311)</f>
        <v/>
      </c>
      <c r="S471" s="123" t="str">
        <f>IF(tech_base!$T127&gt;S$345,"",S751+S1031+S1311)</f>
        <v/>
      </c>
      <c r="T471" s="123" t="str">
        <f>IF(tech_base!$T127&gt;T$345,"",T751+T1031+T1311)</f>
        <v/>
      </c>
      <c r="U471" s="123" t="str">
        <f>IF(tech_base!$T127&gt;U$345,"",U751+U1031+U1311)</f>
        <v/>
      </c>
      <c r="V471" s="123" t="str">
        <f>IF(tech_base!$T127&gt;V$345,"",V751+V1031+V1311)</f>
        <v/>
      </c>
      <c r="W471" s="123" t="str">
        <f>IF(tech_base!$T127&gt;W$345,"",W751+W1031+W1311)</f>
        <v/>
      </c>
      <c r="X471" s="123" t="str">
        <f>IF(tech_base!$T127&gt;X$345,"",X751+X1031+X1311)</f>
        <v/>
      </c>
      <c r="Y471" s="123" t="str">
        <f>IF(tech_base!$T127&gt;Y$345,"",Y751+Y1031+Y1311)</f>
        <v/>
      </c>
      <c r="Z471" s="123" t="str">
        <f>IF(tech_base!$T127&gt;Z$345,"",Z751+Z1031+Z1311)</f>
        <v/>
      </c>
      <c r="AA471" s="123" t="str">
        <f>IF(tech_base!$T127&gt;AA$345,"",AA751+AA1031+AA1311)</f>
        <v/>
      </c>
      <c r="AB471" s="123" t="str">
        <f>IF(tech_base!$T127&gt;AB$345,"",AB751+AB1031+AB1311)</f>
        <v/>
      </c>
      <c r="AC471" s="123" t="str">
        <f>IF(tech_base!$T127&gt;AC$345,"",AC751+AC1031+AC1311)</f>
        <v/>
      </c>
      <c r="AD471" s="123" t="str">
        <f>IF(tech_base!$T127&gt;AD$345,"",AD751+AD1031+AD1311)</f>
        <v/>
      </c>
      <c r="AE471" s="123">
        <f>IF(tech_base!$T127&gt;AE$345,"",AE751+AE1031+AE1311)</f>
        <v>119.07194315031063</v>
      </c>
      <c r="AF471" s="123">
        <f>IF(tech_base!$T127&gt;AF$345,"",AF751+AF1031+AF1311)</f>
        <v>119.31937844409265</v>
      </c>
      <c r="AG471" s="123">
        <f>IF(tech_base!$T127&gt;AG$345,"",AG751+AG1031+AG1311)</f>
        <v>119.57578198992384</v>
      </c>
      <c r="AH471" s="123">
        <f>IF(tech_base!$T127&gt;AH$345,"",AH751+AH1031+AH1311)</f>
        <v>119.82066281998516</v>
      </c>
      <c r="AI471" s="123">
        <f>IF(tech_base!$T127&gt;AI$345,"",AI751+AI1031+AI1311)</f>
        <v>120.05049716784221</v>
      </c>
      <c r="AJ471" s="123">
        <f>IF(tech_base!$T127&gt;AJ$345,"",AJ751+AJ1031+AJ1311)</f>
        <v>120.23515372294432</v>
      </c>
      <c r="AK471" s="123">
        <f>IF(tech_base!$T127&gt;AK$345,"",AK751+AK1031+AK1311)</f>
        <v>120.44064656706475</v>
      </c>
      <c r="AL471" s="123">
        <f>IF(tech_base!$T127&gt;AL$345,"",AL751+AL1031+AL1311)</f>
        <v>120.66173699280638</v>
      </c>
      <c r="AM471" s="123">
        <f>IF(tech_base!$T127&gt;AM$345,"",AM751+AM1031+AM1311)</f>
        <v>120.89611093124394</v>
      </c>
      <c r="AN471" s="123">
        <f>IF(tech_base!$T127&gt;AN$345,"",AN751+AN1031+AN1311)</f>
        <v>121.09495625420281</v>
      </c>
      <c r="AO471" s="123">
        <f>IF(tech_base!$T127&gt;AO$345,"",AO751+AO1031+AO1311)</f>
        <v>121.29166388887509</v>
      </c>
      <c r="AP471" s="123">
        <f>IF(tech_base!$T127&gt;AP$345,"",AP751+AP1031+AP1311)</f>
        <v>121.48711304857069</v>
      </c>
      <c r="AQ471" s="123">
        <f>IF(tech_base!$T127&gt;AQ$345,"",AQ751+AQ1031+AQ1311)</f>
        <v>121.68305007684364</v>
      </c>
      <c r="AR471" s="123">
        <f>IF(tech_base!$T127&gt;AR$345,"",AR751+AR1031+AR1311)</f>
        <v>121.89206785855683</v>
      </c>
      <c r="AS471" s="123">
        <f>IF(tech_base!$T127&gt;AS$345,"",AS751+AS1031+AS1311)</f>
        <v>122.10512499995659</v>
      </c>
      <c r="AT471" s="123">
        <f>IF(tech_base!$T127&gt;AT$345,"",AT751+AT1031+AT1311)</f>
        <v>122.26997866307785</v>
      </c>
      <c r="AU471" s="123">
        <f>IF(tech_base!$T127&gt;AU$345,"",AU751+AU1031+AU1311)</f>
        <v>122.47618571141719</v>
      </c>
      <c r="AV471" s="123">
        <f>IF(tech_base!$T127&gt;AV$345,"",AV751+AV1031+AV1311)</f>
        <v>122.66066113006275</v>
      </c>
      <c r="AW471" s="123">
        <f>IF(tech_base!$T127&gt;AW$345,"",AW751+AW1031+AW1311)</f>
        <v>122.83377417906611</v>
      </c>
      <c r="AX471" s="124">
        <f>IF(tech_base!$T127&gt;AX$345,"",AX751+AX1031+AX1311)</f>
        <v>123.03820897160384</v>
      </c>
    </row>
    <row r="472" spans="1:50" x14ac:dyDescent="0.25">
      <c r="A472" s="356"/>
      <c r="B472" s="359"/>
      <c r="C472" s="379"/>
      <c r="D472" s="59" t="s">
        <v>8</v>
      </c>
      <c r="E472" s="79" t="str">
        <f>A463&amp;"/"&amp;B463&amp;"/"&amp;C471&amp;"/"&amp;D472</f>
        <v>Derived gas fired power plants/Steam turbine/Electricity only with CCS/M</v>
      </c>
      <c r="F472" s="79" t="str">
        <f>A463</f>
        <v>Derived gas fired power plants</v>
      </c>
      <c r="G472" s="79" t="str">
        <f>B463</f>
        <v>Steam turbine</v>
      </c>
      <c r="H472" s="79" t="str">
        <f>C471</f>
        <v>Electricity only with CCS</v>
      </c>
      <c r="I472" s="79" t="str">
        <f t="shared" si="358"/>
        <v>M</v>
      </c>
      <c r="J472" s="125" t="str">
        <f>IF(tech_base!$T128&gt;J$345,"",J752+J1032+J1312)</f>
        <v/>
      </c>
      <c r="K472" s="125" t="str">
        <f>IF(tech_base!$T128&gt;K$345,"",K752+K1032+K1312)</f>
        <v/>
      </c>
      <c r="L472" s="125" t="str">
        <f>IF(tech_base!$T128&gt;L$345,"",L752+L1032+L1312)</f>
        <v/>
      </c>
      <c r="M472" s="125" t="str">
        <f>IF(tech_base!$T128&gt;M$345,"",M752+M1032+M1312)</f>
        <v/>
      </c>
      <c r="N472" s="125" t="str">
        <f>IF(tech_base!$T128&gt;N$345,"",N752+N1032+N1312)</f>
        <v/>
      </c>
      <c r="O472" s="125" t="str">
        <f>IF(tech_base!$T128&gt;O$345,"",O752+O1032+O1312)</f>
        <v/>
      </c>
      <c r="P472" s="125" t="str">
        <f>IF(tech_base!$T128&gt;P$345,"",P752+P1032+P1312)</f>
        <v/>
      </c>
      <c r="Q472" s="125" t="str">
        <f>IF(tech_base!$T128&gt;Q$345,"",Q752+Q1032+Q1312)</f>
        <v/>
      </c>
      <c r="R472" s="125" t="str">
        <f>IF(tech_base!$T128&gt;R$345,"",R752+R1032+R1312)</f>
        <v/>
      </c>
      <c r="S472" s="125" t="str">
        <f>IF(tech_base!$T128&gt;S$345,"",S752+S1032+S1312)</f>
        <v/>
      </c>
      <c r="T472" s="125" t="str">
        <f>IF(tech_base!$T128&gt;T$345,"",T752+T1032+T1312)</f>
        <v/>
      </c>
      <c r="U472" s="125" t="str">
        <f>IF(tech_base!$T128&gt;U$345,"",U752+U1032+U1312)</f>
        <v/>
      </c>
      <c r="V472" s="125" t="str">
        <f>IF(tech_base!$T128&gt;V$345,"",V752+V1032+V1312)</f>
        <v/>
      </c>
      <c r="W472" s="125" t="str">
        <f>IF(tech_base!$T128&gt;W$345,"",W752+W1032+W1312)</f>
        <v/>
      </c>
      <c r="X472" s="125" t="str">
        <f>IF(tech_base!$T128&gt;X$345,"",X752+X1032+X1312)</f>
        <v/>
      </c>
      <c r="Y472" s="125" t="str">
        <f>IF(tech_base!$T128&gt;Y$345,"",Y752+Y1032+Y1312)</f>
        <v/>
      </c>
      <c r="Z472" s="125" t="str">
        <f>IF(tech_base!$T128&gt;Z$345,"",Z752+Z1032+Z1312)</f>
        <v/>
      </c>
      <c r="AA472" s="125" t="str">
        <f>IF(tech_base!$T128&gt;AA$345,"",AA752+AA1032+AA1312)</f>
        <v/>
      </c>
      <c r="AB472" s="125" t="str">
        <f>IF(tech_base!$T128&gt;AB$345,"",AB752+AB1032+AB1312)</f>
        <v/>
      </c>
      <c r="AC472" s="125" t="str">
        <f>IF(tech_base!$T128&gt;AC$345,"",AC752+AC1032+AC1312)</f>
        <v/>
      </c>
      <c r="AD472" s="125" t="str">
        <f>IF(tech_base!$T128&gt;AD$345,"",AD752+AD1032+AD1312)</f>
        <v/>
      </c>
      <c r="AE472" s="125">
        <f>IF(tech_base!$T128&gt;AE$345,"",AE752+AE1032+AE1312)</f>
        <v>148.53904414127879</v>
      </c>
      <c r="AF472" s="125">
        <f>IF(tech_base!$T128&gt;AF$345,"",AF752+AF1032+AF1312)</f>
        <v>148.8041344685094</v>
      </c>
      <c r="AG472" s="125">
        <f>IF(tech_base!$T128&gt;AG$345,"",AG752+AG1032+AG1312)</f>
        <v>149.07883295161002</v>
      </c>
      <c r="AH472" s="125">
        <f>IF(tech_base!$T128&gt;AH$345,"",AH752+AH1032+AH1312)</f>
        <v>149.34118654871105</v>
      </c>
      <c r="AI472" s="125">
        <f>IF(tech_base!$T128&gt;AI$345,"",AI752+AI1032+AI1312)</f>
        <v>149.58742006516297</v>
      </c>
      <c r="AJ472" s="125">
        <f>IF(tech_base!$T128&gt;AJ$345,"",AJ752+AJ1032+AJ1312)</f>
        <v>149.78525225744681</v>
      </c>
      <c r="AK472" s="125">
        <f>IF(tech_base!$T128&gt;AK$345,"",AK752+AK1032+AK1312)</f>
        <v>150.00540745220016</v>
      </c>
      <c r="AL472" s="125">
        <f>IF(tech_base!$T128&gt;AL$345,"",AL752+AL1032+AL1312)</f>
        <v>150.24227314913279</v>
      </c>
      <c r="AM472" s="125">
        <f>IF(tech_base!$T128&gt;AM$345,"",AM752+AM1032+AM1312)</f>
        <v>150.49337016558945</v>
      </c>
      <c r="AN472" s="125">
        <f>IF(tech_base!$T128&gt;AN$345,"",AN752+AN1032+AN1312)</f>
        <v>150.7064035244355</v>
      </c>
      <c r="AO472" s="125">
        <f>IF(tech_base!$T128&gt;AO$345,"",AO752+AO1032+AO1312)</f>
        <v>150.91714666639797</v>
      </c>
      <c r="AP472" s="125">
        <f>IF(tech_base!$T128&gt;AP$345,"",AP752+AP1032+AP1312)</f>
        <v>151.12654153852282</v>
      </c>
      <c r="AQ472" s="125">
        <f>IF(tech_base!$T128&gt;AQ$345,"",AQ752+AQ1032+AQ1312)</f>
        <v>151.33645908968359</v>
      </c>
      <c r="AR472" s="125">
        <f>IF(tech_base!$T128&gt;AR$345,"",AR752+AR1032+AR1312)</f>
        <v>151.56039073380941</v>
      </c>
      <c r="AS472" s="125">
        <f>IF(tech_base!$T128&gt;AS$345,"",AS752+AS1032+AS1312)</f>
        <v>151.78864995450991</v>
      </c>
      <c r="AT472" s="125">
        <f>IF(tech_base!$T128&gt;AT$345,"",AT752+AT1032+AT1312)</f>
        <v>151.96526627643397</v>
      </c>
      <c r="AU472" s="125">
        <f>IF(tech_base!$T128&gt;AU$345,"",AU752+AU1032+AU1312)</f>
        <v>152.18618663539331</v>
      </c>
      <c r="AV472" s="125">
        <f>IF(tech_base!$T128&gt;AV$345,"",AV752+AV1032+AV1312)</f>
        <v>152.38382476674991</v>
      </c>
      <c r="AW472" s="125">
        <f>IF(tech_base!$T128&gt;AW$345,"",AW752+AW1032+AW1312)</f>
        <v>152.56928979927119</v>
      </c>
      <c r="AX472" s="126">
        <f>IF(tech_base!$T128&gt;AX$345,"",AX752+AX1032+AX1312)</f>
        <v>152.78831144821547</v>
      </c>
    </row>
    <row r="473" spans="1:50" x14ac:dyDescent="0.25">
      <c r="A473" s="356"/>
      <c r="B473" s="359"/>
      <c r="C473" s="361" t="s">
        <v>16</v>
      </c>
      <c r="D473" s="2" t="s">
        <v>7</v>
      </c>
      <c r="E473" s="76" t="str">
        <f>A463&amp;"/"&amp;B463&amp;"/"&amp;C473&amp;"/"&amp;D473</f>
        <v>Derived gas fired power plants/Steam turbine/CHP with CCS/L</v>
      </c>
      <c r="F473" s="76" t="str">
        <f>A463</f>
        <v>Derived gas fired power plants</v>
      </c>
      <c r="G473" s="76" t="str">
        <f>B463</f>
        <v>Steam turbine</v>
      </c>
      <c r="H473" s="76" t="str">
        <f>C473</f>
        <v>CHP with CCS</v>
      </c>
      <c r="I473" s="76" t="str">
        <f t="shared" si="358"/>
        <v>L</v>
      </c>
      <c r="J473" s="119" t="str">
        <f>IF(tech_base!$T129&gt;J$345,"",J753+J1033+J1313)</f>
        <v/>
      </c>
      <c r="K473" s="119" t="str">
        <f>IF(tech_base!$T129&gt;K$345,"",K753+K1033+K1313)</f>
        <v/>
      </c>
      <c r="L473" s="119" t="str">
        <f>IF(tech_base!$T129&gt;L$345,"",L753+L1033+L1313)</f>
        <v/>
      </c>
      <c r="M473" s="119" t="str">
        <f>IF(tech_base!$T129&gt;M$345,"",M753+M1033+M1313)</f>
        <v/>
      </c>
      <c r="N473" s="119" t="str">
        <f>IF(tech_base!$T129&gt;N$345,"",N753+N1033+N1313)</f>
        <v/>
      </c>
      <c r="O473" s="119" t="str">
        <f>IF(tech_base!$T129&gt;O$345,"",O753+O1033+O1313)</f>
        <v/>
      </c>
      <c r="P473" s="119" t="str">
        <f>IF(tech_base!$T129&gt;P$345,"",P753+P1033+P1313)</f>
        <v/>
      </c>
      <c r="Q473" s="119" t="str">
        <f>IF(tech_base!$T129&gt;Q$345,"",Q753+Q1033+Q1313)</f>
        <v/>
      </c>
      <c r="R473" s="119" t="str">
        <f>IF(tech_base!$T129&gt;R$345,"",R753+R1033+R1313)</f>
        <v/>
      </c>
      <c r="S473" s="119" t="str">
        <f>IF(tech_base!$T129&gt;S$345,"",S753+S1033+S1313)</f>
        <v/>
      </c>
      <c r="T473" s="119" t="str">
        <f>IF(tech_base!$T129&gt;T$345,"",T753+T1033+T1313)</f>
        <v/>
      </c>
      <c r="U473" s="119" t="str">
        <f>IF(tech_base!$T129&gt;U$345,"",U753+U1033+U1313)</f>
        <v/>
      </c>
      <c r="V473" s="119" t="str">
        <f>IF(tech_base!$T129&gt;V$345,"",V753+V1033+V1313)</f>
        <v/>
      </c>
      <c r="W473" s="119" t="str">
        <f>IF(tech_base!$T129&gt;W$345,"",W753+W1033+W1313)</f>
        <v/>
      </c>
      <c r="X473" s="119" t="str">
        <f>IF(tech_base!$T129&gt;X$345,"",X753+X1033+X1313)</f>
        <v/>
      </c>
      <c r="Y473" s="119" t="str">
        <f>IF(tech_base!$T129&gt;Y$345,"",Y753+Y1033+Y1313)</f>
        <v/>
      </c>
      <c r="Z473" s="119" t="str">
        <f>IF(tech_base!$T129&gt;Z$345,"",Z753+Z1033+Z1313)</f>
        <v/>
      </c>
      <c r="AA473" s="119" t="str">
        <f>IF(tech_base!$T129&gt;AA$345,"",AA753+AA1033+AA1313)</f>
        <v/>
      </c>
      <c r="AB473" s="119" t="str">
        <f>IF(tech_base!$T129&gt;AB$345,"",AB753+AB1033+AB1313)</f>
        <v/>
      </c>
      <c r="AC473" s="119" t="str">
        <f>IF(tech_base!$T129&gt;AC$345,"",AC753+AC1033+AC1313)</f>
        <v/>
      </c>
      <c r="AD473" s="119" t="str">
        <f>IF(tech_base!$T129&gt;AD$345,"",AD753+AD1033+AD1313)</f>
        <v/>
      </c>
      <c r="AE473" s="119">
        <f>IF(tech_base!$T129&gt;AE$345,"",AE753+AE1033+AE1313)</f>
        <v>149.57861980416101</v>
      </c>
      <c r="AF473" s="119">
        <f>IF(tech_base!$T129&gt;AF$345,"",AF753+AF1033+AF1313)</f>
        <v>149.86209811233226</v>
      </c>
      <c r="AG473" s="119">
        <f>IF(tech_base!$T129&gt;AG$345,"",AG753+AG1033+AG1313)</f>
        <v>150.1558510457572</v>
      </c>
      <c r="AH473" s="119">
        <f>IF(tech_base!$T129&gt;AH$345,"",AH753+AH1033+AH1313)</f>
        <v>150.43640279061259</v>
      </c>
      <c r="AI473" s="119">
        <f>IF(tech_base!$T129&gt;AI$345,"",AI753+AI1033+AI1313)</f>
        <v>150.69971628600891</v>
      </c>
      <c r="AJ473" s="119">
        <f>IF(tech_base!$T129&gt;AJ$345,"",AJ753+AJ1033+AJ1313)</f>
        <v>150.91127110114047</v>
      </c>
      <c r="AK473" s="119">
        <f>IF(tech_base!$T129&gt;AK$345,"",AK753+AK1033+AK1313)</f>
        <v>151.14669735299876</v>
      </c>
      <c r="AL473" s="119">
        <f>IF(tech_base!$T129&gt;AL$345,"",AL753+AL1033+AL1313)</f>
        <v>151.39999323041434</v>
      </c>
      <c r="AM473" s="119">
        <f>IF(tech_base!$T129&gt;AM$345,"",AM753+AM1033+AM1313)</f>
        <v>151.66850758231695</v>
      </c>
      <c r="AN473" s="119">
        <f>IF(tech_base!$T129&gt;AN$345,"",AN753+AN1033+AN1313)</f>
        <v>151.89631799237836</v>
      </c>
      <c r="AO473" s="119">
        <f>IF(tech_base!$T129&gt;AO$345,"",AO753+AO1033+AO1313)</f>
        <v>152.12167932474506</v>
      </c>
      <c r="AP473" s="119">
        <f>IF(tech_base!$T129&gt;AP$345,"",AP753+AP1033+AP1313)</f>
        <v>152.3455988645857</v>
      </c>
      <c r="AQ473" s="119">
        <f>IF(tech_base!$T129&gt;AQ$345,"",AQ753+AQ1033+AQ1313)</f>
        <v>152.57007733907463</v>
      </c>
      <c r="AR473" s="119">
        <f>IF(tech_base!$T129&gt;AR$345,"",AR753+AR1033+AR1313)</f>
        <v>152.80954199357924</v>
      </c>
      <c r="AS473" s="119">
        <f>IF(tech_base!$T129&gt;AS$345,"",AS753+AS1033+AS1313)</f>
        <v>153.05363440685079</v>
      </c>
      <c r="AT473" s="119">
        <f>IF(tech_base!$T129&gt;AT$345,"",AT753+AT1033+AT1313)</f>
        <v>153.24250171354399</v>
      </c>
      <c r="AU473" s="119">
        <f>IF(tech_base!$T129&gt;AU$345,"",AU753+AU1033+AU1313)</f>
        <v>153.47874620519568</v>
      </c>
      <c r="AV473" s="119">
        <f>IF(tech_base!$T129&gt;AV$345,"",AV753+AV1033+AV1313)</f>
        <v>153.69009349837083</v>
      </c>
      <c r="AW473" s="119">
        <f>IF(tech_base!$T129&gt;AW$345,"",AW753+AW1033+AW1313)</f>
        <v>153.88842330615108</v>
      </c>
      <c r="AX473" s="120">
        <f>IF(tech_base!$T129&gt;AX$345,"",AX753+AX1033+AX1313)</f>
        <v>154.12263738383635</v>
      </c>
    </row>
    <row r="474" spans="1:50" x14ac:dyDescent="0.25">
      <c r="A474" s="357"/>
      <c r="B474" s="362"/>
      <c r="C474" s="381"/>
      <c r="D474" s="4" t="s">
        <v>8</v>
      </c>
      <c r="E474" s="80" t="str">
        <f>A463&amp;"/"&amp;B463&amp;"/"&amp;C473&amp;"/"&amp;D474</f>
        <v>Derived gas fired power plants/Steam turbine/CHP with CCS/M</v>
      </c>
      <c r="F474" s="80" t="str">
        <f>A463</f>
        <v>Derived gas fired power plants</v>
      </c>
      <c r="G474" s="80" t="str">
        <f>B463</f>
        <v>Steam turbine</v>
      </c>
      <c r="H474" s="80" t="str">
        <f>C473</f>
        <v>CHP with CCS</v>
      </c>
      <c r="I474" s="80" t="str">
        <f t="shared" si="358"/>
        <v>M</v>
      </c>
      <c r="J474" s="127" t="str">
        <f>IF(tech_base!$T130&gt;J$345,"",J754+J1034+J1314)</f>
        <v/>
      </c>
      <c r="K474" s="127" t="str">
        <f>IF(tech_base!$T130&gt;K$345,"",K754+K1034+K1314)</f>
        <v/>
      </c>
      <c r="L474" s="127" t="str">
        <f>IF(tech_base!$T130&gt;L$345,"",L754+L1034+L1314)</f>
        <v/>
      </c>
      <c r="M474" s="127" t="str">
        <f>IF(tech_base!$T130&gt;M$345,"",M754+M1034+M1314)</f>
        <v/>
      </c>
      <c r="N474" s="127" t="str">
        <f>IF(tech_base!$T130&gt;N$345,"",N754+N1034+N1314)</f>
        <v/>
      </c>
      <c r="O474" s="127" t="str">
        <f>IF(tech_base!$T130&gt;O$345,"",O754+O1034+O1314)</f>
        <v/>
      </c>
      <c r="P474" s="127" t="str">
        <f>IF(tech_base!$T130&gt;P$345,"",P754+P1034+P1314)</f>
        <v/>
      </c>
      <c r="Q474" s="127" t="str">
        <f>IF(tech_base!$T130&gt;Q$345,"",Q754+Q1034+Q1314)</f>
        <v/>
      </c>
      <c r="R474" s="127" t="str">
        <f>IF(tech_base!$T130&gt;R$345,"",R754+R1034+R1314)</f>
        <v/>
      </c>
      <c r="S474" s="127" t="str">
        <f>IF(tech_base!$T130&gt;S$345,"",S754+S1034+S1314)</f>
        <v/>
      </c>
      <c r="T474" s="127" t="str">
        <f>IF(tech_base!$T130&gt;T$345,"",T754+T1034+T1314)</f>
        <v/>
      </c>
      <c r="U474" s="127" t="str">
        <f>IF(tech_base!$T130&gt;U$345,"",U754+U1034+U1314)</f>
        <v/>
      </c>
      <c r="V474" s="127" t="str">
        <f>IF(tech_base!$T130&gt;V$345,"",V754+V1034+V1314)</f>
        <v/>
      </c>
      <c r="W474" s="127" t="str">
        <f>IF(tech_base!$T130&gt;W$345,"",W754+W1034+W1314)</f>
        <v/>
      </c>
      <c r="X474" s="127" t="str">
        <f>IF(tech_base!$T130&gt;X$345,"",X754+X1034+X1314)</f>
        <v/>
      </c>
      <c r="Y474" s="127" t="str">
        <f>IF(tech_base!$T130&gt;Y$345,"",Y754+Y1034+Y1314)</f>
        <v/>
      </c>
      <c r="Z474" s="127" t="str">
        <f>IF(tech_base!$T130&gt;Z$345,"",Z754+Z1034+Z1314)</f>
        <v/>
      </c>
      <c r="AA474" s="127" t="str">
        <f>IF(tech_base!$T130&gt;AA$345,"",AA754+AA1034+AA1314)</f>
        <v/>
      </c>
      <c r="AB474" s="127" t="str">
        <f>IF(tech_base!$T130&gt;AB$345,"",AB754+AB1034+AB1314)</f>
        <v/>
      </c>
      <c r="AC474" s="127" t="str">
        <f>IF(tech_base!$T130&gt;AC$345,"",AC754+AC1034+AC1314)</f>
        <v/>
      </c>
      <c r="AD474" s="127" t="str">
        <f>IF(tech_base!$T130&gt;AD$345,"",AD754+AD1034+AD1314)</f>
        <v/>
      </c>
      <c r="AE474" s="127">
        <f>IF(tech_base!$T130&gt;AE$345,"",AE754+AE1034+AE1314)</f>
        <v>181.22873576477681</v>
      </c>
      <c r="AF474" s="127">
        <f>IF(tech_base!$T130&gt;AF$345,"",AF754+AF1034+AF1314)</f>
        <v>181.53334315342144</v>
      </c>
      <c r="AG474" s="127">
        <f>IF(tech_base!$T130&gt;AG$345,"",AG754+AG1034+AG1314)</f>
        <v>181.84899098741099</v>
      </c>
      <c r="AH474" s="127">
        <f>IF(tech_base!$T130&gt;AH$345,"",AH754+AH1034+AH1314)</f>
        <v>182.15045368108724</v>
      </c>
      <c r="AI474" s="127">
        <f>IF(tech_base!$T130&gt;AI$345,"",AI754+AI1034+AI1314)</f>
        <v>182.43339327087455</v>
      </c>
      <c r="AJ474" s="127">
        <f>IF(tech_base!$T130&gt;AJ$345,"",AJ754+AJ1034+AJ1314)</f>
        <v>182.6607163426402</v>
      </c>
      <c r="AK474" s="127">
        <f>IF(tech_base!$T130&gt;AK$345,"",AK754+AK1034+AK1314)</f>
        <v>182.91369011075523</v>
      </c>
      <c r="AL474" s="127">
        <f>IF(tech_base!$T130&gt;AL$345,"",AL754+AL1034+AL1314)</f>
        <v>183.18586541853011</v>
      </c>
      <c r="AM474" s="127">
        <f>IF(tech_base!$T130&gt;AM$345,"",AM754+AM1034+AM1314)</f>
        <v>183.47439351111788</v>
      </c>
      <c r="AN474" s="127">
        <f>IF(tech_base!$T130&gt;AN$345,"",AN754+AN1034+AN1314)</f>
        <v>183.71918379000209</v>
      </c>
      <c r="AO474" s="127">
        <f>IF(tech_base!$T130&gt;AO$345,"",AO754+AO1034+AO1314)</f>
        <v>183.96134244897164</v>
      </c>
      <c r="AP474" s="127">
        <f>IF(tech_base!$T130&gt;AP$345,"",AP754+AP1034+AP1314)</f>
        <v>184.20195185128316</v>
      </c>
      <c r="AQ474" s="127">
        <f>IF(tech_base!$T130&gt;AQ$345,"",AQ754+AQ1034+AQ1314)</f>
        <v>184.44316184848583</v>
      </c>
      <c r="AR474" s="127">
        <f>IF(tech_base!$T130&gt;AR$345,"",AR754+AR1034+AR1314)</f>
        <v>184.70047502194137</v>
      </c>
      <c r="AS474" s="127">
        <f>IF(tech_base!$T130&gt;AS$345,"",AS754+AS1034+AS1314)</f>
        <v>184.9627608845679</v>
      </c>
      <c r="AT474" s="127">
        <f>IF(tech_base!$T130&gt;AT$345,"",AT754+AT1034+AT1314)</f>
        <v>185.16570543247104</v>
      </c>
      <c r="AU474" s="127">
        <f>IF(tech_base!$T130&gt;AU$345,"",AU754+AU1034+AU1314)</f>
        <v>185.41955842795397</v>
      </c>
      <c r="AV474" s="127">
        <f>IF(tech_base!$T130&gt;AV$345,"",AV754+AV1034+AV1314)</f>
        <v>185.64665851009607</v>
      </c>
      <c r="AW474" s="127">
        <f>IF(tech_base!$T130&gt;AW$345,"",AW754+AW1034+AW1314)</f>
        <v>185.85977084743172</v>
      </c>
      <c r="AX474" s="128">
        <f>IF(tech_base!$T130&gt;AX$345,"",AX754+AX1034+AX1314)</f>
        <v>186.1114420918658</v>
      </c>
    </row>
    <row r="475" spans="1:50" x14ac:dyDescent="0.25">
      <c r="A475" s="356" t="s">
        <v>27</v>
      </c>
      <c r="B475" s="365" t="s">
        <v>19</v>
      </c>
      <c r="C475" s="353" t="s">
        <v>6</v>
      </c>
      <c r="D475" s="2" t="s">
        <v>7</v>
      </c>
      <c r="E475" s="77" t="str">
        <f>A475&amp;"/"&amp;B475&amp;"/"&amp;C475&amp;"/"&amp;D475</f>
        <v>Refinery gas fired power plants/Steam turbine/Electricity only/L</v>
      </c>
      <c r="F475" s="77" t="str">
        <f>A475</f>
        <v>Refinery gas fired power plants</v>
      </c>
      <c r="G475" s="77" t="str">
        <f>B475</f>
        <v>Steam turbine</v>
      </c>
      <c r="H475" s="77" t="str">
        <f>C475</f>
        <v>Electricity only</v>
      </c>
      <c r="I475" s="77" t="str">
        <f t="shared" ref="I475:I538" si="359">D475</f>
        <v>L</v>
      </c>
      <c r="J475" s="121">
        <f>IF(tech_base!$T131&gt;J$345,"",J755+J1035+J1315)</f>
        <v>33.670658661817377</v>
      </c>
      <c r="K475" s="121">
        <f>IF(tech_base!$T131&gt;K$345,"",K755+K1035+K1315)</f>
        <v>34.336967725702607</v>
      </c>
      <c r="L475" s="121">
        <f>IF(tech_base!$T131&gt;L$345,"",L755+L1035+L1315)</f>
        <v>34.523767216764043</v>
      </c>
      <c r="M475" s="121">
        <f>IF(tech_base!$T131&gt;M$345,"",M755+M1035+M1315)</f>
        <v>34.324483089832384</v>
      </c>
      <c r="N475" s="121">
        <f>IF(tech_base!$T131&gt;N$345,"",N755+N1035+N1315)</f>
        <v>34.020565005928987</v>
      </c>
      <c r="O475" s="121">
        <f>IF(tech_base!$T131&gt;O$345,"",O755+O1035+O1315)</f>
        <v>33.046953118438921</v>
      </c>
      <c r="P475" s="121">
        <f>IF(tech_base!$T131&gt;P$345,"",P755+P1035+P1315)</f>
        <v>32.833379091212898</v>
      </c>
      <c r="Q475" s="121">
        <f>IF(tech_base!$T131&gt;Q$345,"",Q755+Q1035+Q1315)</f>
        <v>33.11916314665082</v>
      </c>
      <c r="R475" s="121">
        <f>IF(tech_base!$T131&gt;R$345,"",R755+R1035+R1315)</f>
        <v>33.375386122122769</v>
      </c>
      <c r="S475" s="121">
        <f>IF(tech_base!$T131&gt;S$345,"",S755+S1035+S1315)</f>
        <v>33.601328136219429</v>
      </c>
      <c r="T475" s="121">
        <f>IF(tech_base!$T131&gt;T$345,"",T755+T1035+T1315)</f>
        <v>33.819336438131444</v>
      </c>
      <c r="U475" s="121">
        <f>IF(tech_base!$T131&gt;U$345,"",U755+U1035+U1315)</f>
        <v>34.027256001147137</v>
      </c>
      <c r="V475" s="121">
        <f>IF(tech_base!$T131&gt;V$345,"",V755+V1035+V1315)</f>
        <v>34.17030550574723</v>
      </c>
      <c r="W475" s="121">
        <f>IF(tech_base!$T131&gt;W$345,"",W755+W1035+W1315)</f>
        <v>34.342683519533949</v>
      </c>
      <c r="X475" s="121">
        <f>IF(tech_base!$T131&gt;X$345,"",X755+X1035+X1315)</f>
        <v>34.493535994742217</v>
      </c>
      <c r="Y475" s="121">
        <f>IF(tech_base!$T131&gt;Y$345,"",Y755+Y1035+Y1315)</f>
        <v>34.62301132149755</v>
      </c>
      <c r="Z475" s="121">
        <f>IF(tech_base!$T131&gt;Z$345,"",Z755+Z1035+Z1315)</f>
        <v>34.70983237573769</v>
      </c>
      <c r="AA475" s="121">
        <f>IF(tech_base!$T131&gt;AA$345,"",AA755+AA1035+AA1315)</f>
        <v>34.789323262923673</v>
      </c>
      <c r="AB475" s="121">
        <f>IF(tech_base!$T131&gt;AB$345,"",AB755+AB1035+AB1315)</f>
        <v>34.847020417371439</v>
      </c>
      <c r="AC475" s="121">
        <f>IF(tech_base!$T131&gt;AC$345,"",AC755+AC1035+AC1315)</f>
        <v>34.930755610035391</v>
      </c>
      <c r="AD475" s="121">
        <f>IF(tech_base!$T131&gt;AD$345,"",AD755+AD1035+AD1315)</f>
        <v>34.985889924003061</v>
      </c>
      <c r="AE475" s="121">
        <f>IF(tech_base!$T131&gt;AE$345,"",AE755+AE1035+AE1315)</f>
        <v>35.038828852216724</v>
      </c>
      <c r="AF475" s="121">
        <f>IF(tech_base!$T131&gt;AF$345,"",AF755+AF1035+AF1315)</f>
        <v>35.070454883885091</v>
      </c>
      <c r="AG475" s="121">
        <f>IF(tech_base!$T131&gt;AG$345,"",AG755+AG1035+AG1315)</f>
        <v>35.105038466459277</v>
      </c>
      <c r="AH475" s="121">
        <f>IF(tech_base!$T131&gt;AH$345,"",AH755+AH1035+AH1315)</f>
        <v>35.142571122488462</v>
      </c>
      <c r="AI475" s="121">
        <f>IF(tech_base!$T131&gt;AI$345,"",AI755+AI1035+AI1315)</f>
        <v>35.183350142080727</v>
      </c>
      <c r="AJ475" s="121">
        <f>IF(tech_base!$T131&gt;AJ$345,"",AJ755+AJ1035+AJ1315)</f>
        <v>35.227942919274518</v>
      </c>
      <c r="AK475" s="121">
        <f>IF(tech_base!$T131&gt;AK$345,"",AK755+AK1035+AK1315)</f>
        <v>35.277148497170629</v>
      </c>
      <c r="AL475" s="121">
        <f>IF(tech_base!$T131&gt;AL$345,"",AL755+AL1035+AL1315)</f>
        <v>35.329519918077352</v>
      </c>
      <c r="AM475" s="121">
        <f>IF(tech_base!$T131&gt;AM$345,"",AM755+AM1035+AM1315)</f>
        <v>35.383281070126756</v>
      </c>
      <c r="AN475" s="121">
        <f>IF(tech_base!$T131&gt;AN$345,"",AN755+AN1035+AN1315)</f>
        <v>35.437846941269925</v>
      </c>
      <c r="AO475" s="121">
        <f>IF(tech_base!$T131&gt;AO$345,"",AO755+AO1035+AO1315)</f>
        <v>35.450938231024509</v>
      </c>
      <c r="AP475" s="121">
        <f>IF(tech_base!$T131&gt;AP$345,"",AP755+AP1035+AP1315)</f>
        <v>35.475001855290607</v>
      </c>
      <c r="AQ475" s="121">
        <f>IF(tech_base!$T131&gt;AQ$345,"",AQ755+AQ1035+AQ1315)</f>
        <v>35.499935671582122</v>
      </c>
      <c r="AR475" s="121">
        <f>IF(tech_base!$T131&gt;AR$345,"",AR755+AR1035+AR1315)</f>
        <v>35.543831251956249</v>
      </c>
      <c r="AS475" s="121">
        <f>IF(tech_base!$T131&gt;AS$345,"",AS755+AS1035+AS1315)</f>
        <v>35.570675634008325</v>
      </c>
      <c r="AT475" s="121">
        <f>IF(tech_base!$T131&gt;AT$345,"",AT755+AT1035+AT1315)</f>
        <v>35.597364448279926</v>
      </c>
      <c r="AU475" s="121">
        <f>IF(tech_base!$T131&gt;AU$345,"",AU755+AU1035+AU1315)</f>
        <v>35.623555235616436</v>
      </c>
      <c r="AV475" s="121">
        <f>IF(tech_base!$T131&gt;AV$345,"",AV755+AV1035+AV1315)</f>
        <v>35.649037703225503</v>
      </c>
      <c r="AW475" s="121">
        <f>IF(tech_base!$T131&gt;AW$345,"",AW755+AW1035+AW1315)</f>
        <v>35.673653955707636</v>
      </c>
      <c r="AX475" s="122">
        <f>IF(tech_base!$T131&gt;AX$345,"",AX755+AX1035+AX1315)</f>
        <v>35.703628201048559</v>
      </c>
    </row>
    <row r="476" spans="1:50" x14ac:dyDescent="0.25">
      <c r="A476" s="356"/>
      <c r="B476" s="366"/>
      <c r="C476" s="378"/>
      <c r="D476" s="2" t="s">
        <v>8</v>
      </c>
      <c r="E476" s="76" t="str">
        <f>A475&amp;"/"&amp;B475&amp;"/"&amp;C475&amp;"/"&amp;D476</f>
        <v>Refinery gas fired power plants/Steam turbine/Electricity only/M</v>
      </c>
      <c r="F476" s="76" t="str">
        <f>A475</f>
        <v>Refinery gas fired power plants</v>
      </c>
      <c r="G476" s="76" t="str">
        <f>B475</f>
        <v>Steam turbine</v>
      </c>
      <c r="H476" s="76" t="str">
        <f>C475</f>
        <v>Electricity only</v>
      </c>
      <c r="I476" s="76" t="str">
        <f t="shared" si="359"/>
        <v>M</v>
      </c>
      <c r="J476" s="119">
        <f>IF(tech_base!$T132&gt;J$345,"",J756+J1036+J1316)</f>
        <v>36.210820643680663</v>
      </c>
      <c r="K476" s="119">
        <f>IF(tech_base!$T132&gt;K$345,"",K756+K1036+K1316)</f>
        <v>36.911093402898317</v>
      </c>
      <c r="L476" s="119">
        <f>IF(tech_base!$T132&gt;L$345,"",L756+L1036+L1316)</f>
        <v>37.106768738410594</v>
      </c>
      <c r="M476" s="119">
        <f>IF(tech_base!$T132&gt;M$345,"",M756+M1036+M1316)</f>
        <v>36.896159214202243</v>
      </c>
      <c r="N476" s="119">
        <f>IF(tech_base!$T132&gt;N$345,"",N756+N1036+N1316)</f>
        <v>36.575452137221689</v>
      </c>
      <c r="O476" s="119">
        <f>IF(tech_base!$T132&gt;O$345,"",O756+O1036+O1316)</f>
        <v>35.54998457636102</v>
      </c>
      <c r="P476" s="119">
        <f>IF(tech_base!$T132&gt;P$345,"",P756+P1036+P1316)</f>
        <v>35.324384418549769</v>
      </c>
      <c r="Q476" s="119">
        <f>IF(tech_base!$T132&gt;Q$345,"",Q756+Q1036+Q1316)</f>
        <v>35.624322942564987</v>
      </c>
      <c r="R476" s="119">
        <f>IF(tech_base!$T132&gt;R$345,"",R756+R1036+R1316)</f>
        <v>35.893172008253359</v>
      </c>
      <c r="S476" s="119">
        <f>IF(tech_base!$T132&gt;S$345,"",S756+S1036+S1316)</f>
        <v>36.130173327663883</v>
      </c>
      <c r="T476" s="119">
        <f>IF(tech_base!$T132&gt;T$345,"",T756+T1036+T1316)</f>
        <v>36.358844614716389</v>
      </c>
      <c r="U476" s="119">
        <f>IF(tech_base!$T132&gt;U$345,"",U756+U1036+U1316)</f>
        <v>36.576917482498658</v>
      </c>
      <c r="V476" s="119">
        <f>IF(tech_base!$T132&gt;V$345,"",V756+V1036+V1316)</f>
        <v>36.726738873172437</v>
      </c>
      <c r="W476" s="119">
        <f>IF(tech_base!$T132&gt;W$345,"",W756+W1036+W1316)</f>
        <v>36.907443987584756</v>
      </c>
      <c r="X476" s="119">
        <f>IF(tech_base!$T132&gt;X$345,"",X756+X1036+X1316)</f>
        <v>37.065512957692853</v>
      </c>
      <c r="Y476" s="119">
        <f>IF(tech_base!$T132&gt;Y$345,"",Y756+Y1036+Y1316)</f>
        <v>37.201101416873193</v>
      </c>
      <c r="Z476" s="119">
        <f>IF(tech_base!$T132&gt;Z$345,"",Z756+Z1036+Z1316)</f>
        <v>37.291816209054687</v>
      </c>
      <c r="AA476" s="119">
        <f>IF(tech_base!$T132&gt;AA$345,"",AA756+AA1036+AA1316)</f>
        <v>37.374832790238393</v>
      </c>
      <c r="AB476" s="119">
        <f>IF(tech_base!$T132&gt;AB$345,"",AB756+AB1036+AB1316)</f>
        <v>37.434928846406507</v>
      </c>
      <c r="AC476" s="119">
        <f>IF(tech_base!$T132&gt;AC$345,"",AC756+AC1036+AC1316)</f>
        <v>37.522443804328944</v>
      </c>
      <c r="AD476" s="119">
        <f>IF(tech_base!$T132&gt;AD$345,"",AD756+AD1036+AD1316)</f>
        <v>37.579873427800649</v>
      </c>
      <c r="AE476" s="119">
        <f>IF(tech_base!$T132&gt;AE$345,"",AE756+AE1036+AE1316)</f>
        <v>37.635007443003637</v>
      </c>
      <c r="AF476" s="119">
        <f>IF(tech_base!$T132&gt;AF$345,"",AF756+AF1036+AF1316)</f>
        <v>37.667725401029784</v>
      </c>
      <c r="AG476" s="119">
        <f>IF(tech_base!$T132&gt;AG$345,"",AG756+AG1036+AG1316)</f>
        <v>37.703570232128811</v>
      </c>
      <c r="AH476" s="119">
        <f>IF(tech_base!$T132&gt;AH$345,"",AH756+AH1036+AH1316)</f>
        <v>37.742532756646021</v>
      </c>
      <c r="AI476" s="119">
        <f>IF(tech_base!$T132&gt;AI$345,"",AI756+AI1036+AI1316)</f>
        <v>37.784925601431176</v>
      </c>
      <c r="AJ476" s="119">
        <f>IF(tech_base!$T132&gt;AJ$345,"",AJ756+AJ1036+AJ1316)</f>
        <v>37.831345669620589</v>
      </c>
      <c r="AK476" s="119">
        <f>IF(tech_base!$T132&gt;AK$345,"",AK756+AK1036+AK1316)</f>
        <v>37.8826336719045</v>
      </c>
      <c r="AL476" s="119">
        <f>IF(tech_base!$T132&gt;AL$345,"",AL756+AL1036+AL1316)</f>
        <v>37.937266498900357</v>
      </c>
      <c r="AM476" s="119">
        <f>IF(tech_base!$T132&gt;AM$345,"",AM756+AM1036+AM1316)</f>
        <v>37.99337460558251</v>
      </c>
      <c r="AN476" s="119">
        <f>IF(tech_base!$T132&gt;AN$345,"",AN756+AN1036+AN1316)</f>
        <v>38.05034202404584</v>
      </c>
      <c r="AO476" s="119">
        <f>IF(tech_base!$T132&gt;AO$345,"",AO756+AO1036+AO1316)</f>
        <v>38.063670875255667</v>
      </c>
      <c r="AP476" s="119">
        <f>IF(tech_base!$T132&gt;AP$345,"",AP756+AP1036+AP1316)</f>
        <v>38.088559441164485</v>
      </c>
      <c r="AQ476" s="119">
        <f>IF(tech_base!$T132&gt;AQ$345,"",AQ756+AQ1036+AQ1316)</f>
        <v>38.114375309190834</v>
      </c>
      <c r="AR476" s="119">
        <f>IF(tech_base!$T132&gt;AR$345,"",AR756+AR1036+AR1316)</f>
        <v>38.160159147326524</v>
      </c>
      <c r="AS476" s="119">
        <f>IF(tech_base!$T132&gt;AS$345,"",AS756+AS1036+AS1316)</f>
        <v>38.188008022217574</v>
      </c>
      <c r="AT476" s="119">
        <f>IF(tech_base!$T132&gt;AT$345,"",AT756+AT1036+AT1316)</f>
        <v>38.215703868918681</v>
      </c>
      <c r="AU476" s="119">
        <f>IF(tech_base!$T132&gt;AU$345,"",AU756+AU1036+AU1316)</f>
        <v>38.242886009673093</v>
      </c>
      <c r="AV476" s="119">
        <f>IF(tech_base!$T132&gt;AV$345,"",AV756+AV1036+AV1316)</f>
        <v>38.269332870544844</v>
      </c>
      <c r="AW476" s="119">
        <f>IF(tech_base!$T132&gt;AW$345,"",AW756+AW1036+AW1316)</f>
        <v>38.294878027286735</v>
      </c>
      <c r="AX476" s="120">
        <f>IF(tech_base!$T132&gt;AX$345,"",AX756+AX1036+AX1316)</f>
        <v>38.326072131444072</v>
      </c>
    </row>
    <row r="477" spans="1:50" x14ac:dyDescent="0.25">
      <c r="A477" s="356"/>
      <c r="B477" s="366"/>
      <c r="C477" s="379"/>
      <c r="D477" s="2" t="s">
        <v>10</v>
      </c>
      <c r="E477" s="76" t="str">
        <f>A475&amp;"/"&amp;B475&amp;"/"&amp;C475&amp;"/"&amp;D477</f>
        <v>Refinery gas fired power plants/Steam turbine/Electricity only/S</v>
      </c>
      <c r="F477" s="76" t="str">
        <f>A475</f>
        <v>Refinery gas fired power plants</v>
      </c>
      <c r="G477" s="76" t="str">
        <f>B475</f>
        <v>Steam turbine</v>
      </c>
      <c r="H477" s="76" t="str">
        <f>C475</f>
        <v>Electricity only</v>
      </c>
      <c r="I477" s="76" t="str">
        <f t="shared" si="359"/>
        <v>S</v>
      </c>
      <c r="J477" s="119">
        <f>IF(tech_base!$T133&gt;J$345,"",J757+J1037+J1317)</f>
        <v>39.513423126597907</v>
      </c>
      <c r="K477" s="119">
        <f>IF(tech_base!$T133&gt;K$345,"",K757+K1037+K1317)</f>
        <v>40.249559366227196</v>
      </c>
      <c r="L477" s="119">
        <f>IF(tech_base!$T133&gt;L$345,"",L757+L1037+L1317)</f>
        <v>40.45463336522851</v>
      </c>
      <c r="M477" s="119">
        <f>IF(tech_base!$T133&gt;M$345,"",M757+M1037+M1317)</f>
        <v>40.23211210736406</v>
      </c>
      <c r="N477" s="119">
        <f>IF(tech_base!$T133&gt;N$345,"",N757+N1037+N1317)</f>
        <v>39.893729033386791</v>
      </c>
      <c r="O477" s="119">
        <f>IF(tech_base!$T133&gt;O$345,"",O757+O1037+O1317)</f>
        <v>38.813593464043791</v>
      </c>
      <c r="P477" s="119">
        <f>IF(tech_base!$T133&gt;P$345,"",P757+P1037+P1317)</f>
        <v>38.575339682197587</v>
      </c>
      <c r="Q477" s="119">
        <f>IF(tech_base!$T133&gt;Q$345,"",Q757+Q1037+Q1317)</f>
        <v>38.890241359177324</v>
      </c>
      <c r="R477" s="119">
        <f>IF(tech_base!$T133&gt;R$345,"",R757+R1037+R1317)</f>
        <v>39.172440705191505</v>
      </c>
      <c r="S477" s="119">
        <f>IF(tech_base!$T133&gt;S$345,"",S757+S1037+S1317)</f>
        <v>39.42113890641582</v>
      </c>
      <c r="T477" s="119">
        <f>IF(tech_base!$T133&gt;T$345,"",T757+T1037+T1317)</f>
        <v>39.661088388448377</v>
      </c>
      <c r="U477" s="119">
        <f>IF(tech_base!$T133&gt;U$345,"",U757+U1037+U1317)</f>
        <v>39.889901183658012</v>
      </c>
      <c r="V477" s="119">
        <f>IF(tech_base!$T133&gt;V$345,"",V757+V1037+V1317)</f>
        <v>40.046894822127605</v>
      </c>
      <c r="W477" s="119">
        <f>IF(tech_base!$T133&gt;W$345,"",W757+W1037+W1317)</f>
        <v>40.236412179751845</v>
      </c>
      <c r="X477" s="119">
        <f>IF(tech_base!$T133&gt;X$345,"",X757+X1037+X1317)</f>
        <v>40.402121204799542</v>
      </c>
      <c r="Y477" s="119">
        <f>IF(tech_base!$T133&gt;Y$345,"",Y757+Y1037+Y1317)</f>
        <v>40.544185169484166</v>
      </c>
      <c r="Z477" s="119">
        <f>IF(tech_base!$T133&gt;Z$345,"",Z757+Z1037+Z1317)</f>
        <v>40.639033592243663</v>
      </c>
      <c r="AA477" s="119">
        <f>IF(tech_base!$T133&gt;AA$345,"",AA757+AA1037+AA1317)</f>
        <v>40.725794949313325</v>
      </c>
      <c r="AB477" s="119">
        <f>IF(tech_base!$T133&gt;AB$345,"",AB757+AB1037+AB1317)</f>
        <v>40.788446510157328</v>
      </c>
      <c r="AC477" s="119">
        <f>IF(tech_base!$T133&gt;AC$345,"",AC757+AC1037+AC1317)</f>
        <v>40.879973099867527</v>
      </c>
      <c r="AD477" s="119">
        <f>IF(tech_base!$T133&gt;AD$345,"",AD757+AD1037+AD1317)</f>
        <v>40.93984778862383</v>
      </c>
      <c r="AE477" s="119">
        <f>IF(tech_base!$T133&gt;AE$345,"",AE757+AE1037+AE1317)</f>
        <v>40.997320575524348</v>
      </c>
      <c r="AF477" s="119">
        <f>IF(tech_base!$T133&gt;AF$345,"",AF757+AF1037+AF1317)</f>
        <v>41.031212984368743</v>
      </c>
      <c r="AG477" s="119">
        <f>IF(tech_base!$T133&gt;AG$345,"",AG757+AG1037+AG1317)</f>
        <v>41.068410339979408</v>
      </c>
      <c r="AH477" s="119">
        <f>IF(tech_base!$T133&gt;AH$345,"",AH757+AH1037+AH1317)</f>
        <v>41.10890273391513</v>
      </c>
      <c r="AI477" s="119">
        <f>IF(tech_base!$T133&gt;AI$345,"",AI757+AI1037+AI1317)</f>
        <v>41.153018984329364</v>
      </c>
      <c r="AJ477" s="119">
        <f>IF(tech_base!$T133&gt;AJ$345,"",AJ757+AJ1037+AJ1317)</f>
        <v>41.201387136793606</v>
      </c>
      <c r="AK477" s="119">
        <f>IF(tech_base!$T133&gt;AK$345,"",AK757+AK1037+AK1317)</f>
        <v>41.254891871196065</v>
      </c>
      <c r="AL477" s="119">
        <f>IF(tech_base!$T133&gt;AL$345,"",AL757+AL1037+AL1317)</f>
        <v>41.311929753824998</v>
      </c>
      <c r="AM477" s="119">
        <f>IF(tech_base!$T133&gt;AM$345,"",AM757+AM1037+AM1317)</f>
        <v>41.370532683266568</v>
      </c>
      <c r="AN477" s="119">
        <f>IF(tech_base!$T133&gt;AN$345,"",AN757+AN1037+AN1317)</f>
        <v>41.430052045115559</v>
      </c>
      <c r="AO477" s="119">
        <f>IF(tech_base!$T133&gt;AO$345,"",AO757+AO1037+AO1317)</f>
        <v>41.443649459762568</v>
      </c>
      <c r="AP477" s="119">
        <f>IF(tech_base!$T133&gt;AP$345,"",AP757+AP1037+AP1317)</f>
        <v>41.469425791004262</v>
      </c>
      <c r="AQ477" s="119">
        <f>IF(tech_base!$T133&gt;AQ$345,"",AQ757+AQ1037+AQ1317)</f>
        <v>41.496189224228743</v>
      </c>
      <c r="AR477" s="119">
        <f>IF(tech_base!$T133&gt;AR$345,"",AR757+AR1037+AR1317)</f>
        <v>41.543981701588258</v>
      </c>
      <c r="AS477" s="119">
        <f>IF(tech_base!$T133&gt;AS$345,"",AS757+AS1037+AS1317)</f>
        <v>41.572906446607291</v>
      </c>
      <c r="AT477" s="119">
        <f>IF(tech_base!$T133&gt;AT$345,"",AT757+AT1037+AT1317)</f>
        <v>41.601680423244247</v>
      </c>
      <c r="AU477" s="119">
        <f>IF(tech_base!$T133&gt;AU$345,"",AU757+AU1037+AU1317)</f>
        <v>41.629923743097109</v>
      </c>
      <c r="AV477" s="119">
        <f>IF(tech_base!$T133&gt;AV$345,"",AV757+AV1037+AV1317)</f>
        <v>41.657402940153929</v>
      </c>
      <c r="AW477" s="119">
        <f>IF(tech_base!$T133&gt;AW$345,"",AW757+AW1037+AW1317)</f>
        <v>41.68394260148515</v>
      </c>
      <c r="AX477" s="120">
        <f>IF(tech_base!$T133&gt;AX$345,"",AX757+AX1037+AX1317)</f>
        <v>41.716437778060751</v>
      </c>
    </row>
    <row r="478" spans="1:50" x14ac:dyDescent="0.25">
      <c r="A478" s="356"/>
      <c r="B478" s="366"/>
      <c r="C478" s="361" t="s">
        <v>14</v>
      </c>
      <c r="D478" s="58" t="s">
        <v>7</v>
      </c>
      <c r="E478" s="78" t="str">
        <f>A475&amp;"/"&amp;B475&amp;"/"&amp;C478&amp;"/"&amp;D478</f>
        <v>Refinery gas fired power plants/Steam turbine/CHP/L</v>
      </c>
      <c r="F478" s="78" t="str">
        <f>A475</f>
        <v>Refinery gas fired power plants</v>
      </c>
      <c r="G478" s="78" t="str">
        <f>B475</f>
        <v>Steam turbine</v>
      </c>
      <c r="H478" s="78" t="str">
        <f>C478</f>
        <v>CHP</v>
      </c>
      <c r="I478" s="78" t="str">
        <f t="shared" si="359"/>
        <v>L</v>
      </c>
      <c r="J478" s="123">
        <f>IF(tech_base!$T134&gt;J$345,"",J758+J1038+J1318)</f>
        <v>51.076852235611874</v>
      </c>
      <c r="K478" s="123">
        <f>IF(tech_base!$T134&gt;K$345,"",K758+K1038+K1318)</f>
        <v>51.81250073882272</v>
      </c>
      <c r="L478" s="123">
        <f>IF(tech_base!$T134&gt;L$345,"",L758+L1038+L1318)</f>
        <v>52.018325869240812</v>
      </c>
      <c r="M478" s="123">
        <f>IF(tech_base!$T134&gt;M$345,"",M758+M1038+M1318)</f>
        <v>51.797543034109424</v>
      </c>
      <c r="N478" s="123">
        <f>IF(tech_base!$T134&gt;N$345,"",N758+N1038+N1318)</f>
        <v>51.461143992835588</v>
      </c>
      <c r="O478" s="123">
        <f>IF(tech_base!$T134&gt;O$345,"",O758+O1038+O1318)</f>
        <v>50.384713492584922</v>
      </c>
      <c r="P478" s="123">
        <f>IF(tech_base!$T134&gt;P$345,"",P758+P1038+P1318)</f>
        <v>50.148147998411829</v>
      </c>
      <c r="Q478" s="123">
        <f>IF(tech_base!$T134&gt;Q$345,"",Q758+Q1038+Q1318)</f>
        <v>50.463410429963986</v>
      </c>
      <c r="R478" s="123">
        <f>IF(tech_base!$T134&gt;R$345,"",R758+R1038+R1318)</f>
        <v>50.746024892654404</v>
      </c>
      <c r="S478" s="123">
        <f>IF(tech_base!$T134&gt;S$345,"",S758+S1038+S1318)</f>
        <v>50.995194358352421</v>
      </c>
      <c r="T478" s="123">
        <f>IF(tech_base!$T134&gt;T$345,"",T758+T1038+T1318)</f>
        <v>51.235613260534983</v>
      </c>
      <c r="U478" s="123">
        <f>IF(tech_base!$T134&gt;U$345,"",U758+U1038+U1318)</f>
        <v>51.464899425175389</v>
      </c>
      <c r="V478" s="123">
        <f>IF(tech_base!$T134&gt;V$345,"",V758+V1038+V1318)</f>
        <v>51.622512156498004</v>
      </c>
      <c r="W478" s="123">
        <f>IF(tech_base!$T134&gt;W$345,"",W758+W1038+W1318)</f>
        <v>51.812550842166843</v>
      </c>
      <c r="X478" s="123">
        <f>IF(tech_base!$T134&gt;X$345,"",X758+X1038+X1318)</f>
        <v>51.978815144789856</v>
      </c>
      <c r="Y478" s="123">
        <f>IF(tech_base!$T134&gt;Y$345,"",Y758+Y1038+Y1318)</f>
        <v>52.121468067140917</v>
      </c>
      <c r="Z478" s="123">
        <f>IF(tech_base!$T134&gt;Z$345,"",Z758+Z1038+Z1318)</f>
        <v>52.216993937983005</v>
      </c>
      <c r="AA478" s="123">
        <f>IF(tech_base!$T134&gt;AA$345,"",AA758+AA1038+AA1318)</f>
        <v>52.304430494497133</v>
      </c>
      <c r="AB478" s="123">
        <f>IF(tech_base!$T134&gt;AB$345,"",AB758+AB1038+AB1318)</f>
        <v>52.367792377605269</v>
      </c>
      <c r="AC478" s="123">
        <f>IF(tech_base!$T134&gt;AC$345,"",AC758+AC1038+AC1318)</f>
        <v>52.459942115900354</v>
      </c>
      <c r="AD478" s="123">
        <f>IF(tech_base!$T134&gt;AD$345,"",AD758+AD1038+AD1318)</f>
        <v>52.520493113789982</v>
      </c>
      <c r="AE478" s="123">
        <f>IF(tech_base!$T134&gt;AE$345,"",AE758+AE1038+AE1318)</f>
        <v>52.578628038555522</v>
      </c>
      <c r="AF478" s="123">
        <f>IF(tech_base!$T134&gt;AF$345,"",AF758+AF1038+AF1318)</f>
        <v>52.613217539093796</v>
      </c>
      <c r="AG478" s="123">
        <f>IF(tech_base!$T134&gt;AG$345,"",AG758+AG1038+AG1318)</f>
        <v>52.651085284791115</v>
      </c>
      <c r="AH478" s="123">
        <f>IF(tech_base!$T134&gt;AH$345,"",AH758+AH1038+AH1318)</f>
        <v>52.692221791100195</v>
      </c>
      <c r="AI478" s="123">
        <f>IF(tech_base!$T134&gt;AI$345,"",AI758+AI1038+AI1318)</f>
        <v>52.736955519146633</v>
      </c>
      <c r="AJ478" s="123">
        <f>IF(tech_base!$T134&gt;AJ$345,"",AJ758+AJ1038+AJ1318)</f>
        <v>52.785913470960367</v>
      </c>
      <c r="AK478" s="123">
        <f>IF(tech_base!$T134&gt;AK$345,"",AK758+AK1038+AK1318)</f>
        <v>52.83997869701286</v>
      </c>
      <c r="AL478" s="123">
        <f>IF(tech_base!$T134&gt;AL$345,"",AL758+AL1038+AL1318)</f>
        <v>52.897551830854042</v>
      </c>
      <c r="AM478" s="123">
        <f>IF(tech_base!$T134&gt;AM$345,"",AM758+AM1038+AM1318)</f>
        <v>52.956669652485957</v>
      </c>
      <c r="AN478" s="123">
        <f>IF(tech_base!$T134&gt;AN$345,"",AN758+AN1038+AN1318)</f>
        <v>53.016685393832589</v>
      </c>
      <c r="AO478" s="123">
        <f>IF(tech_base!$T134&gt;AO$345,"",AO758+AO1038+AO1318)</f>
        <v>53.030867894546063</v>
      </c>
      <c r="AP478" s="123">
        <f>IF(tech_base!$T134&gt;AP$345,"",AP758+AP1038+AP1318)</f>
        <v>53.057185642181715</v>
      </c>
      <c r="AQ478" s="123">
        <f>IF(tech_base!$T134&gt;AQ$345,"",AQ758+AQ1038+AQ1318)</f>
        <v>53.084472735009747</v>
      </c>
      <c r="AR478" s="123">
        <f>IF(tech_base!$T134&gt;AR$345,"",AR758+AR1038+AR1318)</f>
        <v>53.13272586092917</v>
      </c>
      <c r="AS478" s="123">
        <f>IF(tech_base!$T134&gt;AS$345,"",AS758+AS1038+AS1318)</f>
        <v>53.162139410633628</v>
      </c>
      <c r="AT478" s="123">
        <f>IF(tech_base!$T134&gt;AT$345,"",AT758+AT1038+AT1318)</f>
        <v>53.191388055728027</v>
      </c>
      <c r="AU478" s="123">
        <f>IF(tech_base!$T134&gt;AU$345,"",AU758+AU1038+AU1318)</f>
        <v>53.220093099419863</v>
      </c>
      <c r="AV478" s="123">
        <f>IF(tech_base!$T134&gt;AV$345,"",AV758+AV1038+AV1318)</f>
        <v>53.248021927775852</v>
      </c>
      <c r="AW478" s="123">
        <f>IF(tech_base!$T134&gt;AW$345,"",AW758+AW1038+AW1318)</f>
        <v>53.274999842034745</v>
      </c>
      <c r="AX478" s="124">
        <f>IF(tech_base!$T134&gt;AX$345,"",AX758+AX1038+AX1318)</f>
        <v>53.30790658902486</v>
      </c>
    </row>
    <row r="479" spans="1:50" x14ac:dyDescent="0.25">
      <c r="A479" s="356"/>
      <c r="B479" s="366"/>
      <c r="C479" s="378"/>
      <c r="D479" s="2" t="s">
        <v>8</v>
      </c>
      <c r="E479" s="76" t="str">
        <f>A475&amp;"/"&amp;B475&amp;"/"&amp;C478&amp;"/"&amp;D479</f>
        <v>Refinery gas fired power plants/Steam turbine/CHP/M</v>
      </c>
      <c r="F479" s="76" t="str">
        <f>A475</f>
        <v>Refinery gas fired power plants</v>
      </c>
      <c r="G479" s="76" t="str">
        <f>B475</f>
        <v>Steam turbine</v>
      </c>
      <c r="H479" s="76" t="str">
        <f>C478</f>
        <v>CHP</v>
      </c>
      <c r="I479" s="76" t="str">
        <f t="shared" si="359"/>
        <v>M</v>
      </c>
      <c r="J479" s="119">
        <f>IF(tech_base!$T135&gt;J$345,"",J759+J1039+J1319)</f>
        <v>53.694246942163872</v>
      </c>
      <c r="K479" s="119">
        <f>IF(tech_base!$T135&gt;K$345,"",K759+K1039+K1319)</f>
        <v>54.466647153640999</v>
      </c>
      <c r="L479" s="119">
        <f>IF(tech_base!$T135&gt;L$345,"",L759+L1039+L1319)</f>
        <v>54.681391657247786</v>
      </c>
      <c r="M479" s="119">
        <f>IF(tech_base!$T135&gt;M$345,"",M759+M1039+M1319)</f>
        <v>54.447119951226014</v>
      </c>
      <c r="N479" s="119">
        <f>IF(tech_base!$T135&gt;N$345,"",N759+N1039+N1319)</f>
        <v>54.0911854977129</v>
      </c>
      <c r="O479" s="119">
        <f>IF(tech_base!$T135&gt;O$345,"",O759+O1039+O1319)</f>
        <v>52.956304774387945</v>
      </c>
      <c r="P479" s="119">
        <f>IF(tech_base!$T135&gt;P$345,"",P759+P1039+P1319)</f>
        <v>52.705529649994311</v>
      </c>
      <c r="Q479" s="119">
        <f>IF(tech_base!$T135&gt;Q$345,"",Q759+Q1039+Q1319)</f>
        <v>53.035669795444804</v>
      </c>
      <c r="R479" s="119">
        <f>IF(tech_base!$T135&gt;R$345,"",R759+R1039+R1319)</f>
        <v>53.331484161682496</v>
      </c>
      <c r="S479" s="119">
        <f>IF(tech_base!$T135&gt;S$345,"",S759+S1039+S1319)</f>
        <v>53.592132738840924</v>
      </c>
      <c r="T479" s="119">
        <f>IF(tech_base!$T135&gt;T$345,"",T759+T1039+T1319)</f>
        <v>53.843609239957559</v>
      </c>
      <c r="U479" s="119">
        <f>IF(tech_base!$T135&gt;U$345,"",U759+U1039+U1319)</f>
        <v>54.08340531971578</v>
      </c>
      <c r="V479" s="119">
        <f>IF(tech_base!$T135&gt;V$345,"",V759+V1039+V1319)</f>
        <v>54.247791287422146</v>
      </c>
      <c r="W479" s="119">
        <f>IF(tech_base!$T135&gt;W$345,"",W759+W1039+W1319)</f>
        <v>54.4463476626768</v>
      </c>
      <c r="X479" s="119">
        <f>IF(tech_base!$T135&gt;X$345,"",X759+X1039+X1319)</f>
        <v>54.619913765829885</v>
      </c>
      <c r="Y479" s="119">
        <f>IF(tech_base!$T135&gt;Y$345,"",Y759+Y1039+Y1319)</f>
        <v>54.768660312791582</v>
      </c>
      <c r="Z479" s="119">
        <f>IF(tech_base!$T135&gt;Z$345,"",Z759+Z1039+Z1319)</f>
        <v>54.867832048553637</v>
      </c>
      <c r="AA479" s="119">
        <f>IF(tech_base!$T135&gt;AA$345,"",AA759+AA1039+AA1319)</f>
        <v>54.958522127437178</v>
      </c>
      <c r="AB479" s="119">
        <f>IF(tech_base!$T135&gt;AB$345,"",AB759+AB1039+AB1319)</f>
        <v>55.023902347734342</v>
      </c>
      <c r="AC479" s="119">
        <f>IF(tech_base!$T135&gt;AC$345,"",AC759+AC1039+AC1319)</f>
        <v>55.119619515646228</v>
      </c>
      <c r="AD479" s="119">
        <f>IF(tech_base!$T135&gt;AD$345,"",AD759+AD1039+AD1319)</f>
        <v>55.182104986940423</v>
      </c>
      <c r="AE479" s="119">
        <f>IF(tech_base!$T135&gt;AE$345,"",AE759+AE1039+AE1319)</f>
        <v>55.242078230066127</v>
      </c>
      <c r="AF479" s="119">
        <f>IF(tech_base!$T135&gt;AF$345,"",AF759+AF1039+AF1319)</f>
        <v>55.277295868789054</v>
      </c>
      <c r="AG479" s="119">
        <f>IF(tech_base!$T135&gt;AG$345,"",AG759+AG1039+AG1319)</f>
        <v>55.315994316932446</v>
      </c>
      <c r="AH479" s="119">
        <f>IF(tech_base!$T135&gt;AH$345,"",AH759+AH1039+AH1319)</f>
        <v>55.35816302671779</v>
      </c>
      <c r="AI479" s="119">
        <f>IF(tech_base!$T135&gt;AI$345,"",AI759+AI1039+AI1319)</f>
        <v>55.40414720863172</v>
      </c>
      <c r="AJ479" s="119">
        <f>IF(tech_base!$T135&gt;AJ$345,"",AJ759+AJ1039+AJ1319)</f>
        <v>55.454606354707735</v>
      </c>
      <c r="AK479" s="119">
        <f>IF(tech_base!$T135&gt;AK$345,"",AK759+AK1039+AK1319)</f>
        <v>55.510469510408861</v>
      </c>
      <c r="AL479" s="119">
        <f>IF(tech_base!$T135&gt;AL$345,"",AL759+AL1039+AL1319)</f>
        <v>55.570052467230255</v>
      </c>
      <c r="AM479" s="119">
        <f>IF(tech_base!$T135&gt;AM$345,"",AM759+AM1039+AM1319)</f>
        <v>55.631287971566451</v>
      </c>
      <c r="AN479" s="119">
        <f>IF(tech_base!$T135&gt;AN$345,"",AN759+AN1039+AN1319)</f>
        <v>55.69349460461936</v>
      </c>
      <c r="AO479" s="119">
        <f>IF(tech_base!$T135&gt;AO$345,"",AO759+AO1039+AO1319)</f>
        <v>55.707477114450199</v>
      </c>
      <c r="AP479" s="119">
        <f>IF(tech_base!$T135&gt;AP$345,"",AP759+AP1039+AP1319)</f>
        <v>55.734259195651404</v>
      </c>
      <c r="AQ479" s="119">
        <f>IF(tech_base!$T135&gt;AQ$345,"",AQ759+AQ1039+AQ1319)</f>
        <v>55.762085800071887</v>
      </c>
      <c r="AR479" s="119">
        <f>IF(tech_base!$T135&gt;AR$345,"",AR759+AR1039+AR1319)</f>
        <v>55.812007383353709</v>
      </c>
      <c r="AS479" s="119">
        <f>IF(tech_base!$T135&gt;AS$345,"",AS759+AS1039+AS1319)</f>
        <v>55.84211915776055</v>
      </c>
      <c r="AT479" s="119">
        <f>IF(tech_base!$T135&gt;AT$345,"",AT759+AT1039+AT1319)</f>
        <v>55.87207982882363</v>
      </c>
      <c r="AU479" s="119">
        <f>IF(tech_base!$T135&gt;AU$345,"",AU759+AU1039+AU1319)</f>
        <v>55.901490215114187</v>
      </c>
      <c r="AV479" s="119">
        <f>IF(tech_base!$T135&gt;AV$345,"",AV759+AV1039+AV1319)</f>
        <v>55.930104925946246</v>
      </c>
      <c r="AW479" s="119">
        <f>IF(tech_base!$T135&gt;AW$345,"",AW759+AW1039+AW1319)</f>
        <v>55.957739545984623</v>
      </c>
      <c r="AX479" s="120">
        <f>IF(tech_base!$T135&gt;AX$345,"",AX759+AX1039+AX1319)</f>
        <v>55.991636128451979</v>
      </c>
    </row>
    <row r="480" spans="1:50" x14ac:dyDescent="0.25">
      <c r="A480" s="356"/>
      <c r="B480" s="366"/>
      <c r="C480" s="379"/>
      <c r="D480" s="59" t="s">
        <v>10</v>
      </c>
      <c r="E480" s="79" t="str">
        <f>A475&amp;"/"&amp;B475&amp;"/"&amp;C478&amp;"/"&amp;D480</f>
        <v>Refinery gas fired power plants/Steam turbine/CHP/S</v>
      </c>
      <c r="F480" s="79" t="str">
        <f>A475</f>
        <v>Refinery gas fired power plants</v>
      </c>
      <c r="G480" s="79" t="str">
        <f>B475</f>
        <v>Steam turbine</v>
      </c>
      <c r="H480" s="79" t="str">
        <f>C478</f>
        <v>CHP</v>
      </c>
      <c r="I480" s="79" t="str">
        <f t="shared" si="359"/>
        <v>S</v>
      </c>
      <c r="J480" s="125">
        <f>IF(tech_base!$T136&gt;J$345,"",J760+J1040+J1320)</f>
        <v>58.268143456040185</v>
      </c>
      <c r="K480" s="125">
        <f>IF(tech_base!$T136&gt;K$345,"",K760+K1040+K1320)</f>
        <v>59.079480938044512</v>
      </c>
      <c r="L480" s="125">
        <f>IF(tech_base!$T136&gt;L$345,"",L760+L1040+L1320)</f>
        <v>59.303786177078919</v>
      </c>
      <c r="M480" s="125">
        <f>IF(tech_base!$T136&gt;M$345,"",M760+M1040+M1320)</f>
        <v>59.055422837494788</v>
      </c>
      <c r="N480" s="125">
        <f>IF(tech_base!$T136&gt;N$345,"",N760+N1040+N1320)</f>
        <v>58.679012079213166</v>
      </c>
      <c r="O480" s="125">
        <f>IF(tech_base!$T136&gt;O$345,"",O760+O1040+O1320)</f>
        <v>57.482581432819664</v>
      </c>
      <c r="P480" s="125">
        <f>IF(tech_base!$T136&gt;P$345,"",P760+P1040+P1320)</f>
        <v>57.216944236937692</v>
      </c>
      <c r="Q480" s="125">
        <f>IF(tech_base!$T136&gt;Q$345,"",Q760+Q1040+Q1320)</f>
        <v>57.562917999655696</v>
      </c>
      <c r="R480" s="125">
        <f>IF(tech_base!$T136&gt;R$345,"",R760+R1040+R1320)</f>
        <v>57.872792386279983</v>
      </c>
      <c r="S480" s="125">
        <f>IF(tech_base!$T136&gt;S$345,"",S760+S1040+S1320)</f>
        <v>58.145682042562996</v>
      </c>
      <c r="T480" s="125">
        <f>IF(tech_base!$T136&gt;T$345,"",T760+T1040+T1320)</f>
        <v>58.408951976055029</v>
      </c>
      <c r="U480" s="125">
        <f>IF(tech_base!$T136&gt;U$345,"",U760+U1040+U1320)</f>
        <v>58.659960713934652</v>
      </c>
      <c r="V480" s="125">
        <f>IF(tech_base!$T136&gt;V$345,"",V760+V1040+V1320)</f>
        <v>58.831612876000534</v>
      </c>
      <c r="W480" s="125">
        <f>IF(tech_base!$T136&gt;W$345,"",W760+W1040+W1320)</f>
        <v>59.03927389210449</v>
      </c>
      <c r="X480" s="125">
        <f>IF(tech_base!$T136&gt;X$345,"",X760+X1040+X1320)</f>
        <v>59.220658722553019</v>
      </c>
      <c r="Y480" s="125">
        <f>IF(tech_base!$T136&gt;Y$345,"",Y760+Y1040+Y1320)</f>
        <v>59.375946254604344</v>
      </c>
      <c r="Z480" s="125">
        <f>IF(tech_base!$T136&gt;Z$345,"",Z760+Z1040+Z1320)</f>
        <v>59.479072968525983</v>
      </c>
      <c r="AA480" s="125">
        <f>IF(tech_base!$T136&gt;AA$345,"",AA760+AA1040+AA1320)</f>
        <v>59.573301398662892</v>
      </c>
      <c r="AB480" s="125">
        <f>IF(tech_base!$T136&gt;AB$345,"",AB760+AB1040+AB1320)</f>
        <v>59.640913815843021</v>
      </c>
      <c r="AC480" s="125">
        <f>IF(tech_base!$T136&gt;AC$345,"",AC760+AC1040+AC1320)</f>
        <v>59.74049570099023</v>
      </c>
      <c r="AD480" s="125">
        <f>IF(tech_base!$T136&gt;AD$345,"",AD760+AD1040+AD1320)</f>
        <v>59.805119993881846</v>
      </c>
      <c r="AE480" s="125">
        <f>IF(tech_base!$T136&gt;AE$345,"",AE760+AE1040+AE1320)</f>
        <v>59.867128205611934</v>
      </c>
      <c r="AF480" s="125">
        <f>IF(tech_base!$T136&gt;AF$345,"",AF760+AF1040+AF1320)</f>
        <v>59.903101206338164</v>
      </c>
      <c r="AG480" s="125">
        <f>IF(tech_base!$T136&gt;AG$345,"",AG760+AG1040+AG1320)</f>
        <v>59.942766529292982</v>
      </c>
      <c r="AH480" s="125">
        <f>IF(tech_base!$T136&gt;AH$345,"",AH760+AH1040+AH1320)</f>
        <v>59.986112550838847</v>
      </c>
      <c r="AI480" s="125">
        <f>IF(tech_base!$T136&gt;AI$345,"",AI760+AI1040+AI1320)</f>
        <v>60.033502205721845</v>
      </c>
      <c r="AJ480" s="125">
        <f>IF(tech_base!$T136&gt;AJ$345,"",AJ760+AJ1040+AJ1320)</f>
        <v>60.085629323682184</v>
      </c>
      <c r="AK480" s="125">
        <f>IF(tech_base!$T136&gt;AK$345,"",AK760+AK1040+AK1320)</f>
        <v>60.143471541837179</v>
      </c>
      <c r="AL480" s="125">
        <f>IF(tech_base!$T136&gt;AL$345,"",AL760+AL1040+AL1320)</f>
        <v>60.205255149401893</v>
      </c>
      <c r="AM480" s="125">
        <f>IF(tech_base!$T136&gt;AM$345,"",AM760+AM1040+AM1320)</f>
        <v>60.268803133156631</v>
      </c>
      <c r="AN480" s="125">
        <f>IF(tech_base!$T136&gt;AN$345,"",AN760+AN1040+AN1320)</f>
        <v>60.333397544807028</v>
      </c>
      <c r="AO480" s="125">
        <f>IF(tech_base!$T136&gt;AO$345,"",AO760+AO1040+AO1320)</f>
        <v>60.34724239515328</v>
      </c>
      <c r="AP480" s="125">
        <f>IF(tech_base!$T136&gt;AP$345,"",AP760+AP1040+AP1320)</f>
        <v>60.374586097180007</v>
      </c>
      <c r="AQ480" s="125">
        <f>IF(tech_base!$T136&gt;AQ$345,"",AQ760+AQ1040+AQ1320)</f>
        <v>60.403051818420053</v>
      </c>
      <c r="AR480" s="125">
        <f>IF(tech_base!$T136&gt;AR$345,"",AR760+AR1040+AR1320)</f>
        <v>60.454802285099177</v>
      </c>
      <c r="AS480" s="125">
        <f>IF(tech_base!$T136&gt;AS$345,"",AS760+AS1040+AS1320)</f>
        <v>60.485717114930054</v>
      </c>
      <c r="AT480" s="125">
        <f>IF(tech_base!$T136&gt;AT$345,"",AT760+AT1040+AT1320)</f>
        <v>60.516493677981771</v>
      </c>
      <c r="AU480" s="125">
        <f>IF(tech_base!$T136&gt;AU$345,"",AU760+AU1040+AU1320)</f>
        <v>60.546711211033639</v>
      </c>
      <c r="AV480" s="125">
        <f>IF(tech_base!$T136&gt;AV$345,"",AV760+AV1040+AV1320)</f>
        <v>60.576110876454862</v>
      </c>
      <c r="AW480" s="125">
        <f>IF(tech_base!$T136&gt;AW$345,"",AW760+AW1040+AW1320)</f>
        <v>60.604498041284003</v>
      </c>
      <c r="AX480" s="126">
        <f>IF(tech_base!$T136&gt;AX$345,"",AX760+AX1040+AX1320)</f>
        <v>60.639497206918492</v>
      </c>
    </row>
    <row r="481" spans="1:50" x14ac:dyDescent="0.25">
      <c r="A481" s="356"/>
      <c r="B481" s="366"/>
      <c r="C481" s="361" t="s">
        <v>15</v>
      </c>
      <c r="D481" s="58" t="s">
        <v>7</v>
      </c>
      <c r="E481" s="78" t="str">
        <f>A475&amp;"/"&amp;B475&amp;"/"&amp;C481&amp;"/"&amp;D481</f>
        <v>Refinery gas fired power plants/Steam turbine/Electricity only with CCS/L</v>
      </c>
      <c r="F481" s="78" t="str">
        <f>A475</f>
        <v>Refinery gas fired power plants</v>
      </c>
      <c r="G481" s="78" t="str">
        <f>B475</f>
        <v>Steam turbine</v>
      </c>
      <c r="H481" s="78" t="str">
        <f>C481</f>
        <v>Electricity only with CCS</v>
      </c>
      <c r="I481" s="78" t="str">
        <f t="shared" si="359"/>
        <v>L</v>
      </c>
      <c r="J481" s="123" t="str">
        <f>IF(tech_base!$T137&gt;J$345,"",J761+J1041+J1321)</f>
        <v/>
      </c>
      <c r="K481" s="123" t="str">
        <f>IF(tech_base!$T137&gt;K$345,"",K761+K1041+K1321)</f>
        <v/>
      </c>
      <c r="L481" s="123" t="str">
        <f>IF(tech_base!$T137&gt;L$345,"",L761+L1041+L1321)</f>
        <v/>
      </c>
      <c r="M481" s="123" t="str">
        <f>IF(tech_base!$T137&gt;M$345,"",M761+M1041+M1321)</f>
        <v/>
      </c>
      <c r="N481" s="123" t="str">
        <f>IF(tech_base!$T137&gt;N$345,"",N761+N1041+N1321)</f>
        <v/>
      </c>
      <c r="O481" s="123" t="str">
        <f>IF(tech_base!$T137&gt;O$345,"",O761+O1041+O1321)</f>
        <v/>
      </c>
      <c r="P481" s="123" t="str">
        <f>IF(tech_base!$T137&gt;P$345,"",P761+P1041+P1321)</f>
        <v/>
      </c>
      <c r="Q481" s="123" t="str">
        <f>IF(tech_base!$T137&gt;Q$345,"",Q761+Q1041+Q1321)</f>
        <v/>
      </c>
      <c r="R481" s="123" t="str">
        <f>IF(tech_base!$T137&gt;R$345,"",R761+R1041+R1321)</f>
        <v/>
      </c>
      <c r="S481" s="123" t="str">
        <f>IF(tech_base!$T137&gt;S$345,"",S761+S1041+S1321)</f>
        <v/>
      </c>
      <c r="T481" s="123" t="str">
        <f>IF(tech_base!$T137&gt;T$345,"",T761+T1041+T1321)</f>
        <v/>
      </c>
      <c r="U481" s="123" t="str">
        <f>IF(tech_base!$T137&gt;U$345,"",U761+U1041+U1321)</f>
        <v/>
      </c>
      <c r="V481" s="123" t="str">
        <f>IF(tech_base!$T137&gt;V$345,"",V761+V1041+V1321)</f>
        <v/>
      </c>
      <c r="W481" s="123" t="str">
        <f>IF(tech_base!$T137&gt;W$345,"",W761+W1041+W1321)</f>
        <v/>
      </c>
      <c r="X481" s="123" t="str">
        <f>IF(tech_base!$T137&gt;X$345,"",X761+X1041+X1321)</f>
        <v/>
      </c>
      <c r="Y481" s="123" t="str">
        <f>IF(tech_base!$T137&gt;Y$345,"",Y761+Y1041+Y1321)</f>
        <v/>
      </c>
      <c r="Z481" s="123" t="str">
        <f>IF(tech_base!$T137&gt;Z$345,"",Z761+Z1041+Z1321)</f>
        <v/>
      </c>
      <c r="AA481" s="123" t="str">
        <f>IF(tech_base!$T137&gt;AA$345,"",AA761+AA1041+AA1321)</f>
        <v/>
      </c>
      <c r="AB481" s="123" t="str">
        <f>IF(tech_base!$T137&gt;AB$345,"",AB761+AB1041+AB1321)</f>
        <v/>
      </c>
      <c r="AC481" s="123" t="str">
        <f>IF(tech_base!$T137&gt;AC$345,"",AC761+AC1041+AC1321)</f>
        <v/>
      </c>
      <c r="AD481" s="123" t="str">
        <f>IF(tech_base!$T137&gt;AD$345,"",AD761+AD1041+AD1321)</f>
        <v/>
      </c>
      <c r="AE481" s="123">
        <f>IF(tech_base!$T137&gt;AE$345,"",AE761+AE1041+AE1321)</f>
        <v>101.66916882065614</v>
      </c>
      <c r="AF481" s="123">
        <f>IF(tech_base!$T137&gt;AF$345,"",AF761+AF1041+AF1321)</f>
        <v>101.70416177747556</v>
      </c>
      <c r="AG481" s="123">
        <f>IF(tech_base!$T137&gt;AG$345,"",AG761+AG1041+AG1321)</f>
        <v>101.74328675139617</v>
      </c>
      <c r="AH481" s="123">
        <f>IF(tech_base!$T137&gt;AH$345,"",AH761+AH1041+AH1321)</f>
        <v>101.7865290672155</v>
      </c>
      <c r="AI481" s="123">
        <f>IF(tech_base!$T137&gt;AI$345,"",AI761+AI1041+AI1321)</f>
        <v>101.83428250640499</v>
      </c>
      <c r="AJ481" s="123">
        <f>IF(tech_base!$T137&gt;AJ$345,"",AJ761+AJ1041+AJ1321)</f>
        <v>101.88730170953339</v>
      </c>
      <c r="AK481" s="123">
        <f>IF(tech_base!$T137&gt;AK$345,"",AK761+AK1041+AK1321)</f>
        <v>101.94665084125758</v>
      </c>
      <c r="AL481" s="123">
        <f>IF(tech_base!$T137&gt;AL$345,"",AL761+AL1041+AL1321)</f>
        <v>102.01039374414476</v>
      </c>
      <c r="AM481" s="123">
        <f>IF(tech_base!$T137&gt;AM$345,"",AM761+AM1041+AM1321)</f>
        <v>102.076154413113</v>
      </c>
      <c r="AN481" s="123">
        <f>IF(tech_base!$T137&gt;AN$345,"",AN761+AN1041+AN1321)</f>
        <v>102.14314793723703</v>
      </c>
      <c r="AO481" s="123">
        <f>IF(tech_base!$T137&gt;AO$345,"",AO761+AO1041+AO1321)</f>
        <v>102.15488734827662</v>
      </c>
      <c r="AP481" s="123">
        <f>IF(tech_base!$T137&gt;AP$345,"",AP761+AP1041+AP1321)</f>
        <v>102.18143479532037</v>
      </c>
      <c r="AQ481" s="123">
        <f>IF(tech_base!$T137&gt;AQ$345,"",AQ761+AQ1041+AQ1321)</f>
        <v>102.20929117535682</v>
      </c>
      <c r="AR481" s="123">
        <f>IF(tech_base!$T137&gt;AR$345,"",AR761+AR1041+AR1321)</f>
        <v>102.26262413650949</v>
      </c>
      <c r="AS481" s="123">
        <f>IF(tech_base!$T137&gt;AS$345,"",AS761+AS1041+AS1321)</f>
        <v>102.29331654766575</v>
      </c>
      <c r="AT481" s="123">
        <f>IF(tech_base!$T137&gt;AT$345,"",AT761+AT1041+AT1321)</f>
        <v>102.32393790410596</v>
      </c>
      <c r="AU481" s="123">
        <f>IF(tech_base!$T137&gt;AU$345,"",AU761+AU1041+AU1321)</f>
        <v>102.35402750573181</v>
      </c>
      <c r="AV481" s="123">
        <f>IF(tech_base!$T137&gt;AV$345,"",AV761+AV1041+AV1321)</f>
        <v>102.38330126109905</v>
      </c>
      <c r="AW481" s="123">
        <f>IF(tech_base!$T137&gt;AW$345,"",AW761+AW1041+AW1321)</f>
        <v>102.41154512084886</v>
      </c>
      <c r="AX481" s="124">
        <f>IF(tech_base!$T137&gt;AX$345,"",AX761+AX1041+AX1321)</f>
        <v>102.44707248333791</v>
      </c>
    </row>
    <row r="482" spans="1:50" x14ac:dyDescent="0.25">
      <c r="A482" s="356"/>
      <c r="B482" s="366"/>
      <c r="C482" s="379"/>
      <c r="D482" s="59" t="s">
        <v>8</v>
      </c>
      <c r="E482" s="79" t="str">
        <f>A475&amp;"/"&amp;B475&amp;"/"&amp;C481&amp;"/"&amp;D482</f>
        <v>Refinery gas fired power plants/Steam turbine/Electricity only with CCS/M</v>
      </c>
      <c r="F482" s="79" t="str">
        <f>A475</f>
        <v>Refinery gas fired power plants</v>
      </c>
      <c r="G482" s="79" t="str">
        <f>B475</f>
        <v>Steam turbine</v>
      </c>
      <c r="H482" s="79" t="str">
        <f>C481</f>
        <v>Electricity only with CCS</v>
      </c>
      <c r="I482" s="79" t="str">
        <f t="shared" si="359"/>
        <v>M</v>
      </c>
      <c r="J482" s="125" t="str">
        <f>IF(tech_base!$T138&gt;J$345,"",J762+J1042+J1322)</f>
        <v/>
      </c>
      <c r="K482" s="125" t="str">
        <f>IF(tech_base!$T138&gt;K$345,"",K762+K1042+K1322)</f>
        <v/>
      </c>
      <c r="L482" s="125" t="str">
        <f>IF(tech_base!$T138&gt;L$345,"",L762+L1042+L1322)</f>
        <v/>
      </c>
      <c r="M482" s="125" t="str">
        <f>IF(tech_base!$T138&gt;M$345,"",M762+M1042+M1322)</f>
        <v/>
      </c>
      <c r="N482" s="125" t="str">
        <f>IF(tech_base!$T138&gt;N$345,"",N762+N1042+N1322)</f>
        <v/>
      </c>
      <c r="O482" s="125" t="str">
        <f>IF(tech_base!$T138&gt;O$345,"",O762+O1042+O1322)</f>
        <v/>
      </c>
      <c r="P482" s="125" t="str">
        <f>IF(tech_base!$T138&gt;P$345,"",P762+P1042+P1322)</f>
        <v/>
      </c>
      <c r="Q482" s="125" t="str">
        <f>IF(tech_base!$T138&gt;Q$345,"",Q762+Q1042+Q1322)</f>
        <v/>
      </c>
      <c r="R482" s="125" t="str">
        <f>IF(tech_base!$T138&gt;R$345,"",R762+R1042+R1322)</f>
        <v/>
      </c>
      <c r="S482" s="125" t="str">
        <f>IF(tech_base!$T138&gt;S$345,"",S762+S1042+S1322)</f>
        <v/>
      </c>
      <c r="T482" s="125" t="str">
        <f>IF(tech_base!$T138&gt;T$345,"",T762+T1042+T1322)</f>
        <v/>
      </c>
      <c r="U482" s="125" t="str">
        <f>IF(tech_base!$T138&gt;U$345,"",U762+U1042+U1322)</f>
        <v/>
      </c>
      <c r="V482" s="125" t="str">
        <f>IF(tech_base!$T138&gt;V$345,"",V762+V1042+V1322)</f>
        <v/>
      </c>
      <c r="W482" s="125" t="str">
        <f>IF(tech_base!$T138&gt;W$345,"",W762+W1042+W1322)</f>
        <v/>
      </c>
      <c r="X482" s="125" t="str">
        <f>IF(tech_base!$T138&gt;X$345,"",X762+X1042+X1322)</f>
        <v/>
      </c>
      <c r="Y482" s="125" t="str">
        <f>IF(tech_base!$T138&gt;Y$345,"",Y762+Y1042+Y1322)</f>
        <v/>
      </c>
      <c r="Z482" s="125" t="str">
        <f>IF(tech_base!$T138&gt;Z$345,"",Z762+Z1042+Z1322)</f>
        <v/>
      </c>
      <c r="AA482" s="125" t="str">
        <f>IF(tech_base!$T138&gt;AA$345,"",AA762+AA1042+AA1322)</f>
        <v/>
      </c>
      <c r="AB482" s="125" t="str">
        <f>IF(tech_base!$T138&gt;AB$345,"",AB762+AB1042+AB1322)</f>
        <v/>
      </c>
      <c r="AC482" s="125" t="str">
        <f>IF(tech_base!$T138&gt;AC$345,"",AC762+AC1042+AC1322)</f>
        <v/>
      </c>
      <c r="AD482" s="125" t="str">
        <f>IF(tech_base!$T138&gt;AD$345,"",AD762+AD1042+AD1322)</f>
        <v/>
      </c>
      <c r="AE482" s="125">
        <f>IF(tech_base!$T138&gt;AE$345,"",AE762+AE1042+AE1322)</f>
        <v>127.73039216890658</v>
      </c>
      <c r="AF482" s="125">
        <f>IF(tech_base!$T138&gt;AF$345,"",AF762+AF1042+AF1322)</f>
        <v>127.76774827723918</v>
      </c>
      <c r="AG482" s="125">
        <f>IF(tech_base!$T138&gt;AG$345,"",AG762+AG1042+AG1322)</f>
        <v>127.80951544689653</v>
      </c>
      <c r="AH482" s="125">
        <f>IF(tech_base!$T138&gt;AH$345,"",AH762+AH1042+AH1322)</f>
        <v>127.85567801162736</v>
      </c>
      <c r="AI482" s="125">
        <f>IF(tech_base!$T138&gt;AI$345,"",AI762+AI1042+AI1322)</f>
        <v>127.90665634583397</v>
      </c>
      <c r="AJ482" s="125">
        <f>IF(tech_base!$T138&gt;AJ$345,"",AJ762+AJ1042+AJ1322)</f>
        <v>127.96325605262621</v>
      </c>
      <c r="AK482" s="125">
        <f>IF(tech_base!$T138&gt;AK$345,"",AK762+AK1042+AK1322)</f>
        <v>128.02661316204615</v>
      </c>
      <c r="AL482" s="125">
        <f>IF(tech_base!$T138&gt;AL$345,"",AL762+AL1042+AL1322)</f>
        <v>128.09466076368142</v>
      </c>
      <c r="AM482" s="125">
        <f>IF(tech_base!$T138&gt;AM$345,"",AM762+AM1042+AM1322)</f>
        <v>128.16486239558921</v>
      </c>
      <c r="AN482" s="125">
        <f>IF(tech_base!$T138&gt;AN$345,"",AN762+AN1042+AN1322)</f>
        <v>128.23638014007921</v>
      </c>
      <c r="AO482" s="125">
        <f>IF(tech_base!$T138&gt;AO$345,"",AO762+AO1042+AO1322)</f>
        <v>128.24891233942489</v>
      </c>
      <c r="AP482" s="125">
        <f>IF(tech_base!$T138&gt;AP$345,"",AP762+AP1042+AP1322)</f>
        <v>128.27725259408922</v>
      </c>
      <c r="AQ482" s="125">
        <f>IF(tech_base!$T138&gt;AQ$345,"",AQ762+AQ1042+AQ1322)</f>
        <v>128.30699017687672</v>
      </c>
      <c r="AR482" s="125">
        <f>IF(tech_base!$T138&gt;AR$345,"",AR762+AR1042+AR1322)</f>
        <v>128.36392483046427</v>
      </c>
      <c r="AS482" s="125">
        <f>IF(tech_base!$T138&gt;AS$345,"",AS762+AS1042+AS1322)</f>
        <v>128.39668996780486</v>
      </c>
      <c r="AT482" s="125">
        <f>IF(tech_base!$T138&gt;AT$345,"",AT762+AT1042+AT1322)</f>
        <v>128.42937925194781</v>
      </c>
      <c r="AU482" s="125">
        <f>IF(tech_base!$T138&gt;AU$345,"",AU762+AU1042+AU1322)</f>
        <v>128.46150087070157</v>
      </c>
      <c r="AV482" s="125">
        <f>IF(tech_base!$T138&gt;AV$345,"",AV762+AV1042+AV1322)</f>
        <v>128.49275154730043</v>
      </c>
      <c r="AW482" s="125">
        <f>IF(tech_base!$T138&gt;AW$345,"",AW762+AW1042+AW1322)</f>
        <v>128.52290277716045</v>
      </c>
      <c r="AX482" s="126">
        <f>IF(tech_base!$T138&gt;AX$345,"",AX762+AX1042+AX1322)</f>
        <v>128.56082938075562</v>
      </c>
    </row>
    <row r="483" spans="1:50" x14ac:dyDescent="0.25">
      <c r="A483" s="356"/>
      <c r="B483" s="366"/>
      <c r="C483" s="361" t="s">
        <v>16</v>
      </c>
      <c r="D483" s="2" t="s">
        <v>7</v>
      </c>
      <c r="E483" s="76" t="str">
        <f>A475&amp;"/"&amp;B475&amp;"/"&amp;C483&amp;"/"&amp;D483</f>
        <v>Refinery gas fired power plants/Steam turbine/CHP with CCS/L</v>
      </c>
      <c r="F483" s="76" t="str">
        <f>A475</f>
        <v>Refinery gas fired power plants</v>
      </c>
      <c r="G483" s="76" t="str">
        <f>B475</f>
        <v>Steam turbine</v>
      </c>
      <c r="H483" s="76" t="str">
        <f>C483</f>
        <v>CHP with CCS</v>
      </c>
      <c r="I483" s="76" t="str">
        <f t="shared" si="359"/>
        <v>L</v>
      </c>
      <c r="J483" s="119" t="str">
        <f>IF(tech_base!$T139&gt;J$345,"",J763+J1043+J1323)</f>
        <v/>
      </c>
      <c r="K483" s="119" t="str">
        <f>IF(tech_base!$T139&gt;K$345,"",K763+K1043+K1323)</f>
        <v/>
      </c>
      <c r="L483" s="119" t="str">
        <f>IF(tech_base!$T139&gt;L$345,"",L763+L1043+L1323)</f>
        <v/>
      </c>
      <c r="M483" s="119" t="str">
        <f>IF(tech_base!$T139&gt;M$345,"",M763+M1043+M1323)</f>
        <v/>
      </c>
      <c r="N483" s="119" t="str">
        <f>IF(tech_base!$T139&gt;N$345,"",N763+N1043+N1323)</f>
        <v/>
      </c>
      <c r="O483" s="119" t="str">
        <f>IF(tech_base!$T139&gt;O$345,"",O763+O1043+O1323)</f>
        <v/>
      </c>
      <c r="P483" s="119" t="str">
        <f>IF(tech_base!$T139&gt;P$345,"",P763+P1043+P1323)</f>
        <v/>
      </c>
      <c r="Q483" s="119" t="str">
        <f>IF(tech_base!$T139&gt;Q$345,"",Q763+Q1043+Q1323)</f>
        <v/>
      </c>
      <c r="R483" s="119" t="str">
        <f>IF(tech_base!$T139&gt;R$345,"",R763+R1043+R1323)</f>
        <v/>
      </c>
      <c r="S483" s="119" t="str">
        <f>IF(tech_base!$T139&gt;S$345,"",S763+S1043+S1323)</f>
        <v/>
      </c>
      <c r="T483" s="119" t="str">
        <f>IF(tech_base!$T139&gt;T$345,"",T763+T1043+T1323)</f>
        <v/>
      </c>
      <c r="U483" s="119" t="str">
        <f>IF(tech_base!$T139&gt;U$345,"",U763+U1043+U1323)</f>
        <v/>
      </c>
      <c r="V483" s="119" t="str">
        <f>IF(tech_base!$T139&gt;V$345,"",V763+V1043+V1323)</f>
        <v/>
      </c>
      <c r="W483" s="119" t="str">
        <f>IF(tech_base!$T139&gt;W$345,"",W763+W1043+W1323)</f>
        <v/>
      </c>
      <c r="X483" s="119" t="str">
        <f>IF(tech_base!$T139&gt;X$345,"",X763+X1043+X1323)</f>
        <v/>
      </c>
      <c r="Y483" s="119" t="str">
        <f>IF(tech_base!$T139&gt;Y$345,"",Y763+Y1043+Y1323)</f>
        <v/>
      </c>
      <c r="Z483" s="119" t="str">
        <f>IF(tech_base!$T139&gt;Z$345,"",Z763+Z1043+Z1323)</f>
        <v/>
      </c>
      <c r="AA483" s="119" t="str">
        <f>IF(tech_base!$T139&gt;AA$345,"",AA763+AA1043+AA1323)</f>
        <v/>
      </c>
      <c r="AB483" s="119" t="str">
        <f>IF(tech_base!$T139&gt;AB$345,"",AB763+AB1043+AB1323)</f>
        <v/>
      </c>
      <c r="AC483" s="119" t="str">
        <f>IF(tech_base!$T139&gt;AC$345,"",AC763+AC1043+AC1323)</f>
        <v/>
      </c>
      <c r="AD483" s="119" t="str">
        <f>IF(tech_base!$T139&gt;AD$345,"",AD763+AD1043+AD1323)</f>
        <v/>
      </c>
      <c r="AE483" s="119">
        <f>IF(tech_base!$T139&gt;AE$345,"",AE763+AE1043+AE1323)</f>
        <v>127.98115490744306</v>
      </c>
      <c r="AF483" s="119">
        <f>IF(tech_base!$T139&gt;AF$345,"",AF763+AF1043+AF1323)</f>
        <v>128.02095442403987</v>
      </c>
      <c r="AG483" s="119">
        <f>IF(tech_base!$T139&gt;AG$345,"",AG763+AG1043+AG1323)</f>
        <v>128.06545352301396</v>
      </c>
      <c r="AH483" s="119">
        <f>IF(tech_base!$T139&gt;AH$345,"",AH763+AH1043+AH1323)</f>
        <v>128.11463551340756</v>
      </c>
      <c r="AI483" s="119">
        <f>IF(tech_base!$T139&gt;AI$345,"",AI763+AI1043+AI1323)</f>
        <v>128.16894826569612</v>
      </c>
      <c r="AJ483" s="119">
        <f>IF(tech_base!$T139&gt;AJ$345,"",AJ763+AJ1043+AJ1323)</f>
        <v>128.22925007630755</v>
      </c>
      <c r="AK483" s="119">
        <f>IF(tech_base!$T139&gt;AK$345,"",AK763+AK1043+AK1323)</f>
        <v>128.29675128134298</v>
      </c>
      <c r="AL483" s="119">
        <f>IF(tech_base!$T139&gt;AL$345,"",AL763+AL1043+AL1323)</f>
        <v>128.36924977681107</v>
      </c>
      <c r="AM483" s="119">
        <f>IF(tech_base!$T139&gt;AM$345,"",AM763+AM1043+AM1323)</f>
        <v>128.44404319451297</v>
      </c>
      <c r="AN483" s="119">
        <f>IF(tech_base!$T139&gt;AN$345,"",AN763+AN1043+AN1323)</f>
        <v>128.52023880979101</v>
      </c>
      <c r="AO483" s="119">
        <f>IF(tech_base!$T139&gt;AO$345,"",AO763+AO1043+AO1323)</f>
        <v>128.53359072191773</v>
      </c>
      <c r="AP483" s="119">
        <f>IF(tech_base!$T139&gt;AP$345,"",AP763+AP1043+AP1323)</f>
        <v>128.56378467107939</v>
      </c>
      <c r="AQ483" s="119">
        <f>IF(tech_base!$T139&gt;AQ$345,"",AQ763+AQ1043+AQ1323)</f>
        <v>128.59546734554755</v>
      </c>
      <c r="AR483" s="119">
        <f>IF(tech_base!$T139&gt;AR$345,"",AR763+AR1043+AR1323)</f>
        <v>128.65612601133299</v>
      </c>
      <c r="AS483" s="119">
        <f>IF(tech_base!$T139&gt;AS$345,"",AS763+AS1043+AS1323)</f>
        <v>128.69103426825774</v>
      </c>
      <c r="AT483" s="119">
        <f>IF(tech_base!$T139&gt;AT$345,"",AT763+AT1043+AT1323)</f>
        <v>128.72586171053845</v>
      </c>
      <c r="AU483" s="119">
        <f>IF(tech_base!$T139&gt;AU$345,"",AU763+AU1043+AU1323)</f>
        <v>128.76008435726933</v>
      </c>
      <c r="AV483" s="119">
        <f>IF(tech_base!$T139&gt;AV$345,"",AV763+AV1043+AV1323)</f>
        <v>128.79337909479614</v>
      </c>
      <c r="AW483" s="119">
        <f>IF(tech_base!$T139&gt;AW$345,"",AW763+AW1043+AW1323)</f>
        <v>128.8255024723853</v>
      </c>
      <c r="AX483" s="120">
        <f>IF(tech_base!$T139&gt;AX$345,"",AX763+AX1043+AX1323)</f>
        <v>128.86590979950316</v>
      </c>
    </row>
    <row r="484" spans="1:50" x14ac:dyDescent="0.25">
      <c r="A484" s="357"/>
      <c r="B484" s="367"/>
      <c r="C484" s="381"/>
      <c r="D484" s="4" t="s">
        <v>8</v>
      </c>
      <c r="E484" s="80" t="str">
        <f>A475&amp;"/"&amp;B475&amp;"/"&amp;C483&amp;"/"&amp;D484</f>
        <v>Refinery gas fired power plants/Steam turbine/CHP with CCS/M</v>
      </c>
      <c r="F484" s="80" t="str">
        <f>A475</f>
        <v>Refinery gas fired power plants</v>
      </c>
      <c r="G484" s="80" t="str">
        <f>B475</f>
        <v>Steam turbine</v>
      </c>
      <c r="H484" s="80" t="str">
        <f>C483</f>
        <v>CHP with CCS</v>
      </c>
      <c r="I484" s="80" t="str">
        <f t="shared" si="359"/>
        <v>M</v>
      </c>
      <c r="J484" s="127" t="str">
        <f>IF(tech_base!$T140&gt;J$345,"",J764+J1044+J1324)</f>
        <v/>
      </c>
      <c r="K484" s="127" t="str">
        <f>IF(tech_base!$T140&gt;K$345,"",K764+K1044+K1324)</f>
        <v/>
      </c>
      <c r="L484" s="127" t="str">
        <f>IF(tech_base!$T140&gt;L$345,"",L764+L1044+L1324)</f>
        <v/>
      </c>
      <c r="M484" s="127" t="str">
        <f>IF(tech_base!$T140&gt;M$345,"",M764+M1044+M1324)</f>
        <v/>
      </c>
      <c r="N484" s="127" t="str">
        <f>IF(tech_base!$T140&gt;N$345,"",N764+N1044+N1324)</f>
        <v/>
      </c>
      <c r="O484" s="127" t="str">
        <f>IF(tech_base!$T140&gt;O$345,"",O764+O1044+O1324)</f>
        <v/>
      </c>
      <c r="P484" s="127" t="str">
        <f>IF(tech_base!$T140&gt;P$345,"",P764+P1044+P1324)</f>
        <v/>
      </c>
      <c r="Q484" s="127" t="str">
        <f>IF(tech_base!$T140&gt;Q$345,"",Q764+Q1044+Q1324)</f>
        <v/>
      </c>
      <c r="R484" s="127" t="str">
        <f>IF(tech_base!$T140&gt;R$345,"",R764+R1044+R1324)</f>
        <v/>
      </c>
      <c r="S484" s="127" t="str">
        <f>IF(tech_base!$T140&gt;S$345,"",S764+S1044+S1324)</f>
        <v/>
      </c>
      <c r="T484" s="127" t="str">
        <f>IF(tech_base!$T140&gt;T$345,"",T764+T1044+T1324)</f>
        <v/>
      </c>
      <c r="U484" s="127" t="str">
        <f>IF(tech_base!$T140&gt;U$345,"",U764+U1044+U1324)</f>
        <v/>
      </c>
      <c r="V484" s="127" t="str">
        <f>IF(tech_base!$T140&gt;V$345,"",V764+V1044+V1324)</f>
        <v/>
      </c>
      <c r="W484" s="127" t="str">
        <f>IF(tech_base!$T140&gt;W$345,"",W764+W1044+W1324)</f>
        <v/>
      </c>
      <c r="X484" s="127" t="str">
        <f>IF(tech_base!$T140&gt;X$345,"",X764+X1044+X1324)</f>
        <v/>
      </c>
      <c r="Y484" s="127" t="str">
        <f>IF(tech_base!$T140&gt;Y$345,"",Y764+Y1044+Y1324)</f>
        <v/>
      </c>
      <c r="Z484" s="127" t="str">
        <f>IF(tech_base!$T140&gt;Z$345,"",Z764+Z1044+Z1324)</f>
        <v/>
      </c>
      <c r="AA484" s="127" t="str">
        <f>IF(tech_base!$T140&gt;AA$345,"",AA764+AA1044+AA1324)</f>
        <v/>
      </c>
      <c r="AB484" s="127" t="str">
        <f>IF(tech_base!$T140&gt;AB$345,"",AB764+AB1044+AB1324)</f>
        <v/>
      </c>
      <c r="AC484" s="127" t="str">
        <f>IF(tech_base!$T140&gt;AC$345,"",AC764+AC1044+AC1324)</f>
        <v/>
      </c>
      <c r="AD484" s="127" t="str">
        <f>IF(tech_base!$T140&gt;AD$345,"",AD764+AD1044+AD1324)</f>
        <v/>
      </c>
      <c r="AE484" s="127">
        <f>IF(tech_base!$T140&gt;AE$345,"",AE764+AE1044+AE1324)</f>
        <v>155.56836524086265</v>
      </c>
      <c r="AF484" s="127">
        <f>IF(tech_base!$T140&gt;AF$345,"",AF764+AF1044+AF1324)</f>
        <v>155.61095017559023</v>
      </c>
      <c r="AG484" s="127">
        <f>IF(tech_base!$T140&gt;AG$345,"",AG764+AG1044+AG1324)</f>
        <v>155.65856359874923</v>
      </c>
      <c r="AH484" s="127">
        <f>IF(tech_base!$T140&gt;AH$345,"",AH764+AH1044+AH1324)</f>
        <v>155.71118765124464</v>
      </c>
      <c r="AI484" s="127">
        <f>IF(tech_base!$T140&gt;AI$345,"",AI764+AI1044+AI1324)</f>
        <v>155.7693015483182</v>
      </c>
      <c r="AJ484" s="127">
        <f>IF(tech_base!$T140&gt;AJ$345,"",AJ764+AJ1044+AJ1324)</f>
        <v>155.8338236553291</v>
      </c>
      <c r="AK484" s="127">
        <f>IF(tech_base!$T140&gt;AK$345,"",AK764+AK1044+AK1324)</f>
        <v>155.90604901523955</v>
      </c>
      <c r="AL484" s="127">
        <f>IF(tech_base!$T140&gt;AL$345,"",AL764+AL1044+AL1324)</f>
        <v>155.98362140710128</v>
      </c>
      <c r="AM484" s="127">
        <f>IF(tech_base!$T140&gt;AM$345,"",AM764+AM1044+AM1324)</f>
        <v>156.06364933415261</v>
      </c>
      <c r="AN484" s="127">
        <f>IF(tech_base!$T140&gt;AN$345,"",AN764+AN1044+AN1324)</f>
        <v>156.14517759330244</v>
      </c>
      <c r="AO484" s="127">
        <f>IF(tech_base!$T140&gt;AO$345,"",AO764+AO1044+AO1324)</f>
        <v>156.159463955425</v>
      </c>
      <c r="AP484" s="127">
        <f>IF(tech_base!$T140&gt;AP$345,"",AP764+AP1044+AP1324)</f>
        <v>156.19177106526359</v>
      </c>
      <c r="AQ484" s="127">
        <f>IF(tech_base!$T140&gt;AQ$345,"",AQ764+AQ1044+AQ1324)</f>
        <v>156.22567109068072</v>
      </c>
      <c r="AR484" s="127">
        <f>IF(tech_base!$T140&gt;AR$345,"",AR764+AR1044+AR1324)</f>
        <v>156.29057502781399</v>
      </c>
      <c r="AS484" s="127">
        <f>IF(tech_base!$T140&gt;AS$345,"",AS764+AS1044+AS1324)</f>
        <v>156.3279263820441</v>
      </c>
      <c r="AT484" s="127">
        <f>IF(tech_base!$T140&gt;AT$345,"",AT764+AT1044+AT1324)</f>
        <v>156.36519126571787</v>
      </c>
      <c r="AU484" s="127">
        <f>IF(tech_base!$T140&gt;AU$345,"",AU764+AU1044+AU1324)</f>
        <v>156.4018090264812</v>
      </c>
      <c r="AV484" s="127">
        <f>IF(tech_base!$T140&gt;AV$345,"",AV764+AV1044+AV1324)</f>
        <v>156.43743393717332</v>
      </c>
      <c r="AW484" s="127">
        <f>IF(tech_base!$T140&gt;AW$345,"",AW764+AW1044+AW1324)</f>
        <v>156.47180550886151</v>
      </c>
      <c r="AX484" s="128">
        <f>IF(tech_base!$T140&gt;AX$345,"",AX764+AX1044+AX1324)</f>
        <v>156.51504079247721</v>
      </c>
    </row>
    <row r="485" spans="1:50" x14ac:dyDescent="0.25">
      <c r="A485" s="355" t="s">
        <v>28</v>
      </c>
      <c r="B485" s="358" t="s">
        <v>23</v>
      </c>
      <c r="C485" s="353" t="s">
        <v>6</v>
      </c>
      <c r="D485" s="3" t="s">
        <v>7</v>
      </c>
      <c r="E485" s="77" t="str">
        <f>A485&amp;"/"&amp;B485&amp;"/"&amp;C485&amp;"/"&amp;D485</f>
        <v>Diesel oil fired power plants/Gas turbine combined cycle/Electricity only/L</v>
      </c>
      <c r="F485" s="77" t="str">
        <f>A485</f>
        <v>Diesel oil fired power plants</v>
      </c>
      <c r="G485" s="77" t="str">
        <f>B485</f>
        <v>Gas turbine combined cycle</v>
      </c>
      <c r="H485" s="77" t="str">
        <f>C485</f>
        <v>Electricity only</v>
      </c>
      <c r="I485" s="77" t="str">
        <f t="shared" si="359"/>
        <v>L</v>
      </c>
      <c r="J485" s="121">
        <f>IF(tech_base!$T141&gt;J$345,"",J765+J1045+J1325)</f>
        <v>162.79350442897226</v>
      </c>
      <c r="K485" s="121">
        <f>IF(tech_base!$T141&gt;K$345,"",K765+K1045+K1325)</f>
        <v>186.36267074217346</v>
      </c>
      <c r="L485" s="121">
        <f>IF(tech_base!$T141&gt;L$345,"",L765+L1045+L1325)</f>
        <v>193.79330749479843</v>
      </c>
      <c r="M485" s="121">
        <f>IF(tech_base!$T141&gt;M$345,"",M765+M1045+M1325)</f>
        <v>188.22344964234713</v>
      </c>
      <c r="N485" s="121">
        <f>IF(tech_base!$T141&gt;N$345,"",N765+N1045+N1325)</f>
        <v>179.11994242149484</v>
      </c>
      <c r="O485" s="121">
        <f>IF(tech_base!$T141&gt;O$345,"",O765+O1045+O1325)</f>
        <v>147.48745978255329</v>
      </c>
      <c r="P485" s="121">
        <f>IF(tech_base!$T141&gt;P$345,"",P765+P1045+P1325)</f>
        <v>139.84120516570448</v>
      </c>
      <c r="Q485" s="121">
        <f>IF(tech_base!$T141&gt;Q$345,"",Q765+Q1045+Q1325)</f>
        <v>148.95210231532278</v>
      </c>
      <c r="R485" s="121">
        <f>IF(tech_base!$T141&gt;R$345,"",R765+R1045+R1325)</f>
        <v>157.03216555307728</v>
      </c>
      <c r="S485" s="121">
        <f>IF(tech_base!$T141&gt;S$345,"",S765+S1045+S1325)</f>
        <v>164.05156728416645</v>
      </c>
      <c r="T485" s="121">
        <f>IF(tech_base!$T141&gt;T$345,"",T765+T1045+T1325)</f>
        <v>170.75414413548481</v>
      </c>
      <c r="U485" s="121">
        <f>IF(tech_base!$T141&gt;U$345,"",U765+U1045+U1325)</f>
        <v>177.06343719595566</v>
      </c>
      <c r="V485" s="121">
        <f>IF(tech_base!$T141&gt;V$345,"",V765+V1045+V1325)</f>
        <v>181.14565873334308</v>
      </c>
      <c r="W485" s="121">
        <f>IF(tech_base!$T141&gt;W$345,"",W765+W1045+W1325)</f>
        <v>186.1484291933038</v>
      </c>
      <c r="X485" s="121">
        <f>IF(tech_base!$T141&gt;X$345,"",X765+X1045+X1325)</f>
        <v>190.37573471540742</v>
      </c>
      <c r="Y485" s="121">
        <f>IF(tech_base!$T141&gt;Y$345,"",Y765+Y1045+Y1325)</f>
        <v>193.8409955306613</v>
      </c>
      <c r="Z485" s="121">
        <f>IF(tech_base!$T141&gt;Z$345,"",Z765+Z1045+Z1325)</f>
        <v>195.85398173462079</v>
      </c>
      <c r="AA485" s="121">
        <f>IF(tech_base!$T141&gt;AA$345,"",AA765+AA1045+AA1325)</f>
        <v>197.60102080550661</v>
      </c>
      <c r="AB485" s="121">
        <f>IF(tech_base!$T141&gt;AB$345,"",AB765+AB1045+AB1325)</f>
        <v>198.62122489553471</v>
      </c>
      <c r="AC485" s="121">
        <f>IF(tech_base!$T141&gt;AC$345,"",AC765+AC1045+AC1325)</f>
        <v>200.50600542977406</v>
      </c>
      <c r="AD485" s="121">
        <f>IF(tech_base!$T141&gt;AD$345,"",AD765+AD1045+AD1325)</f>
        <v>201.47288812398568</v>
      </c>
      <c r="AE485" s="121">
        <f>IF(tech_base!$T141&gt;AE$345,"",AE765+AE1045+AE1325)</f>
        <v>202.40618969631203</v>
      </c>
      <c r="AF485" s="121">
        <f>IF(tech_base!$T141&gt;AF$345,"",AF765+AF1045+AF1325)</f>
        <v>202.69123449045875</v>
      </c>
      <c r="AG485" s="121">
        <f>IF(tech_base!$T141&gt;AG$345,"",AG765+AG1045+AG1325)</f>
        <v>203.12960096582293</v>
      </c>
      <c r="AH485" s="121">
        <f>IF(tech_base!$T141&gt;AH$345,"",AH765+AH1045+AH1325)</f>
        <v>203.72395707334798</v>
      </c>
      <c r="AI485" s="121">
        <f>IF(tech_base!$T141&gt;AI$345,"",AI765+AI1045+AI1325)</f>
        <v>204.48406186718719</v>
      </c>
      <c r="AJ485" s="121">
        <f>IF(tech_base!$T141&gt;AJ$345,"",AJ765+AJ1045+AJ1325)</f>
        <v>205.42751284167804</v>
      </c>
      <c r="AK485" s="121">
        <f>IF(tech_base!$T141&gt;AK$345,"",AK765+AK1045+AK1325)</f>
        <v>206.57488474264088</v>
      </c>
      <c r="AL485" s="121">
        <f>IF(tech_base!$T141&gt;AL$345,"",AL765+AL1045+AL1325)</f>
        <v>207.87431407433007</v>
      </c>
      <c r="AM485" s="121">
        <f>IF(tech_base!$T141&gt;AM$345,"",AM765+AM1045+AM1325)</f>
        <v>209.26293471084125</v>
      </c>
      <c r="AN485" s="121">
        <f>IF(tech_base!$T141&gt;AN$345,"",AN765+AN1045+AN1325)</f>
        <v>210.71648446586363</v>
      </c>
      <c r="AO485" s="121">
        <f>IF(tech_base!$T141&gt;AO$345,"",AO765+AO1045+AO1325)</f>
        <v>210.86195577713431</v>
      </c>
      <c r="AP485" s="121">
        <f>IF(tech_base!$T141&gt;AP$345,"",AP765+AP1045+AP1325)</f>
        <v>211.39198373787326</v>
      </c>
      <c r="AQ485" s="121">
        <f>IF(tech_base!$T141&gt;AQ$345,"",AQ765+AQ1045+AQ1325)</f>
        <v>211.97487584733528</v>
      </c>
      <c r="AR485" s="121">
        <f>IF(tech_base!$T141&gt;AR$345,"",AR765+AR1045+AR1325)</f>
        <v>213.19283036380889</v>
      </c>
      <c r="AS485" s="121">
        <f>IF(tech_base!$T141&gt;AS$345,"",AS765+AS1045+AS1325)</f>
        <v>213.87613564013543</v>
      </c>
      <c r="AT485" s="121">
        <f>IF(tech_base!$T141&gt;AT$345,"",AT765+AT1045+AT1325)</f>
        <v>214.57078388038067</v>
      </c>
      <c r="AU485" s="121">
        <f>IF(tech_base!$T141&gt;AU$345,"",AU765+AU1045+AU1325)</f>
        <v>215.26190734540666</v>
      </c>
      <c r="AV485" s="121">
        <f>IF(tech_base!$T141&gt;AV$345,"",AV765+AV1045+AV1325)</f>
        <v>215.94081094774421</v>
      </c>
      <c r="AW485" s="121">
        <f>IF(tech_base!$T141&gt;AW$345,"",AW765+AW1045+AW1325)</f>
        <v>216.60083050753349</v>
      </c>
      <c r="AX485" s="122">
        <f>IF(tech_base!$T141&gt;AX$345,"",AX765+AX1045+AX1325)</f>
        <v>217.44264058327059</v>
      </c>
    </row>
    <row r="486" spans="1:50" x14ac:dyDescent="0.25">
      <c r="A486" s="356"/>
      <c r="B486" s="376"/>
      <c r="C486" s="379"/>
      <c r="D486" s="2" t="s">
        <v>8</v>
      </c>
      <c r="E486" s="76" t="str">
        <f>A485&amp;"/"&amp;B485&amp;"/"&amp;C485&amp;"/"&amp;D486</f>
        <v>Diesel oil fired power plants/Gas turbine combined cycle/Electricity only/M</v>
      </c>
      <c r="F486" s="76" t="str">
        <f>A485</f>
        <v>Diesel oil fired power plants</v>
      </c>
      <c r="G486" s="76" t="str">
        <f>B485</f>
        <v>Gas turbine combined cycle</v>
      </c>
      <c r="H486" s="76" t="str">
        <f>C485</f>
        <v>Electricity only</v>
      </c>
      <c r="I486" s="76" t="str">
        <f t="shared" si="359"/>
        <v>M</v>
      </c>
      <c r="J486" s="119">
        <f>IF(tech_base!$T142&gt;J$345,"",J766+J1046+J1326)</f>
        <v>170.88141475658949</v>
      </c>
      <c r="K486" s="119">
        <f>IF(tech_base!$T142&gt;K$345,"",K766+K1046+K1326)</f>
        <v>195.72764018053655</v>
      </c>
      <c r="L486" s="119">
        <f>IF(tech_base!$T142&gt;L$345,"",L766+L1046+L1326)</f>
        <v>203.61459478664273</v>
      </c>
      <c r="M486" s="119">
        <f>IF(tech_base!$T142&gt;M$345,"",M766+M1046+M1326)</f>
        <v>197.83294683291587</v>
      </c>
      <c r="N486" s="119">
        <f>IF(tech_base!$T142&gt;N$345,"",N766+N1046+N1326)</f>
        <v>188.33829383153503</v>
      </c>
      <c r="O486" s="119">
        <f>IF(tech_base!$T142&gt;O$345,"",O766+O1046+O1326)</f>
        <v>155.11290509402605</v>
      </c>
      <c r="P486" s="119">
        <f>IF(tech_base!$T142&gt;P$345,"",P766+P1046+P1326)</f>
        <v>147.15068364599975</v>
      </c>
      <c r="Q486" s="119">
        <f>IF(tech_base!$T142&gt;Q$345,"",Q766+Q1046+Q1326)</f>
        <v>156.86441140959101</v>
      </c>
      <c r="R486" s="119">
        <f>IF(tech_base!$T142&gt;R$345,"",R766+R1046+R1326)</f>
        <v>165.51234409866632</v>
      </c>
      <c r="S486" s="119">
        <f>IF(tech_base!$T142&gt;S$345,"",S766+S1046+S1326)</f>
        <v>173.06009103614181</v>
      </c>
      <c r="T486" s="119">
        <f>IF(tech_base!$T142&gt;T$345,"",T766+T1046+T1326)</f>
        <v>180.28838480602789</v>
      </c>
      <c r="U486" s="119">
        <f>IF(tech_base!$T142&gt;U$345,"",U766+U1046+U1326)</f>
        <v>187.10967966547148</v>
      </c>
      <c r="V486" s="119">
        <f>IF(tech_base!$T142&gt;V$345,"",V766+V1046+V1326)</f>
        <v>191.57303206648916</v>
      </c>
      <c r="W486" s="119">
        <f>IF(tech_base!$T142&gt;W$345,"",W766+W1046+W1326)</f>
        <v>196.99360816163829</v>
      </c>
      <c r="X486" s="119">
        <f>IF(tech_base!$T142&gt;X$345,"",X766+X1046+X1326)</f>
        <v>201.55939848295341</v>
      </c>
      <c r="Y486" s="119">
        <f>IF(tech_base!$T142&gt;Y$345,"",Y766+Y1046+Y1326)</f>
        <v>205.263948906716</v>
      </c>
      <c r="Z486" s="119">
        <f>IF(tech_base!$T142&gt;Z$345,"",Z766+Z1046+Z1326)</f>
        <v>207.35551555540644</v>
      </c>
      <c r="AA486" s="119">
        <f>IF(tech_base!$T142&gt;AA$345,"",AA766+AA1046+AA1326)</f>
        <v>209.07366381187879</v>
      </c>
      <c r="AB486" s="119">
        <f>IF(tech_base!$T142&gt;AB$345,"",AB766+AB1046+AB1326)</f>
        <v>209.91993682785358</v>
      </c>
      <c r="AC486" s="119">
        <f>IF(tech_base!$T142&gt;AC$345,"",AC766+AC1046+AC1326)</f>
        <v>211.57523962959118</v>
      </c>
      <c r="AD486" s="119">
        <f>IF(tech_base!$T142&gt;AD$345,"",AD766+AD1046+AD1326)</f>
        <v>212.16418767768036</v>
      </c>
      <c r="AE486" s="119">
        <f>IF(tech_base!$T142&gt;AE$345,"",AE766+AE1046+AE1326)</f>
        <v>212.64159464377855</v>
      </c>
      <c r="AF486" s="119">
        <f>IF(tech_base!$T142&gt;AF$345,"",AF766+AF1046+AF1326)</f>
        <v>212.39027470598234</v>
      </c>
      <c r="AG486" s="119">
        <f>IF(tech_base!$T142&gt;AG$345,"",AG766+AG1046+AG1326)</f>
        <v>212.28630967728742</v>
      </c>
      <c r="AH486" s="119">
        <f>IF(tech_base!$T142&gt;AH$345,"",AH766+AH1046+AH1326)</f>
        <v>212.36216906712207</v>
      </c>
      <c r="AI486" s="119">
        <f>IF(tech_base!$T142&gt;AI$345,"",AI766+AI1046+AI1326)</f>
        <v>212.65216789372573</v>
      </c>
      <c r="AJ486" s="119">
        <f>IF(tech_base!$T142&gt;AJ$345,"",AJ766+AJ1046+AJ1326)</f>
        <v>213.19072838833506</v>
      </c>
      <c r="AK486" s="119">
        <f>IF(tech_base!$T142&gt;AK$345,"",AK766+AK1046+AK1326)</f>
        <v>214.00685040228129</v>
      </c>
      <c r="AL486" s="119">
        <f>IF(tech_base!$T142&gt;AL$345,"",AL766+AL1046+AL1326)</f>
        <v>215.04703693241481</v>
      </c>
      <c r="AM486" s="119">
        <f>IF(tech_base!$T142&gt;AM$345,"",AM766+AM1046+AM1326)</f>
        <v>216.24145401944281</v>
      </c>
      <c r="AN486" s="119">
        <f>IF(tech_base!$T142&gt;AN$345,"",AN766+AN1046+AN1326)</f>
        <v>217.55740121226646</v>
      </c>
      <c r="AO486" s="119">
        <f>IF(tech_base!$T142&gt;AO$345,"",AO766+AO1046+AO1326)</f>
        <v>217.56434556329438</v>
      </c>
      <c r="AP486" s="119">
        <f>IF(tech_base!$T142&gt;AP$345,"",AP766+AP1046+AP1326)</f>
        <v>218.0072146199962</v>
      </c>
      <c r="AQ486" s="119">
        <f>IF(tech_base!$T142&gt;AQ$345,"",AQ766+AQ1046+AQ1326)</f>
        <v>218.53396543040247</v>
      </c>
      <c r="AR486" s="119">
        <f>IF(tech_base!$T142&gt;AR$345,"",AR766+AR1046+AR1326)</f>
        <v>219.73978290157606</v>
      </c>
      <c r="AS486" s="119">
        <f>IF(tech_base!$T142&gt;AS$345,"",AS766+AS1046+AS1326)</f>
        <v>220.40880568231015</v>
      </c>
      <c r="AT486" s="119">
        <f>IF(tech_base!$T142&gt;AT$345,"",AT766+AT1046+AT1326)</f>
        <v>221.10150899732812</v>
      </c>
      <c r="AU486" s="119">
        <f>IF(tech_base!$T142&gt;AU$345,"",AU766+AU1046+AU1326)</f>
        <v>221.79911419738252</v>
      </c>
      <c r="AV486" s="119">
        <f>IF(tech_base!$T142&gt;AV$345,"",AV766+AV1046+AV1326)</f>
        <v>222.49009531594635</v>
      </c>
      <c r="AW486" s="119">
        <f>IF(tech_base!$T142&gt;AW$345,"",AW766+AW1046+AW1326)</f>
        <v>223.16570695111722</v>
      </c>
      <c r="AX486" s="120">
        <f>IF(tech_base!$T142&gt;AX$345,"",AX766+AX1046+AX1326)</f>
        <v>224.03212194457188</v>
      </c>
    </row>
    <row r="487" spans="1:50" x14ac:dyDescent="0.25">
      <c r="A487" s="356"/>
      <c r="B487" s="376"/>
      <c r="C487" s="361" t="s">
        <v>14</v>
      </c>
      <c r="D487" s="58" t="s">
        <v>7</v>
      </c>
      <c r="E487" s="78" t="str">
        <f>A485&amp;"/"&amp;B485&amp;"/"&amp;C487&amp;"/"&amp;D487</f>
        <v>Diesel oil fired power plants/Gas turbine combined cycle/CHP/L</v>
      </c>
      <c r="F487" s="78" t="str">
        <f>A485</f>
        <v>Diesel oil fired power plants</v>
      </c>
      <c r="G487" s="78" t="str">
        <f>B485</f>
        <v>Gas turbine combined cycle</v>
      </c>
      <c r="H487" s="78" t="str">
        <f>C487</f>
        <v>CHP</v>
      </c>
      <c r="I487" s="78" t="str">
        <f t="shared" si="359"/>
        <v>L</v>
      </c>
      <c r="J487" s="123">
        <f>IF(tech_base!$T143&gt;J$345,"",J767+J1047+J1327)</f>
        <v>187.16832871363926</v>
      </c>
      <c r="K487" s="123">
        <f>IF(tech_base!$T143&gt;K$345,"",K767+K1047+K1327)</f>
        <v>213.19334755203317</v>
      </c>
      <c r="L487" s="123">
        <f>IF(tech_base!$T143&gt;L$345,"",L767+L1047+L1327)</f>
        <v>221.41105655664799</v>
      </c>
      <c r="M487" s="123">
        <f>IF(tech_base!$T143&gt;M$345,"",M767+M1047+M1327)</f>
        <v>215.28192757080416</v>
      </c>
      <c r="N487" s="123">
        <f>IF(tech_base!$T143&gt;N$345,"",N767+N1047+N1327)</f>
        <v>205.25379335774289</v>
      </c>
      <c r="O487" s="123">
        <f>IF(tech_base!$T143&gt;O$345,"",O767+O1047+O1327)</f>
        <v>170.34989046779629</v>
      </c>
      <c r="P487" s="123">
        <f>IF(tech_base!$T143&gt;P$345,"",P767+P1047+P1327)</f>
        <v>161.92965409076311</v>
      </c>
      <c r="Q487" s="123">
        <f>IF(tech_base!$T143&gt;Q$345,"",Q767+Q1047+Q1327)</f>
        <v>172.02126275720673</v>
      </c>
      <c r="R487" s="123">
        <f>IF(tech_base!$T143&gt;R$345,"",R767+R1047+R1327)</f>
        <v>180.98352405480463</v>
      </c>
      <c r="S487" s="123">
        <f>IF(tech_base!$T143&gt;S$345,"",S767+S1047+S1327)</f>
        <v>188.7842574081011</v>
      </c>
      <c r="T487" s="123">
        <f>IF(tech_base!$T143&gt;T$345,"",T767+T1047+T1327)</f>
        <v>196.24638907028321</v>
      </c>
      <c r="U487" s="123">
        <f>IF(tech_base!$T143&gt;U$345,"",U767+U1047+U1327)</f>
        <v>203.28647024065521</v>
      </c>
      <c r="V487" s="123">
        <f>IF(tech_base!$T143&gt;V$345,"",V767+V1047+V1327)</f>
        <v>207.87622032001909</v>
      </c>
      <c r="W487" s="123">
        <f>IF(tech_base!$T143&gt;W$345,"",W767+W1047+W1327)</f>
        <v>213.49749311830124</v>
      </c>
      <c r="X487" s="123">
        <f>IF(tech_base!$T143&gt;X$345,"",X767+X1047+X1327)</f>
        <v>218.27356082386962</v>
      </c>
      <c r="Y487" s="123">
        <f>IF(tech_base!$T143&gt;Y$345,"",Y767+Y1047+Y1327)</f>
        <v>222.21756897048613</v>
      </c>
      <c r="Z487" s="123">
        <f>IF(tech_base!$T143&gt;Z$345,"",Z767+Z1047+Z1327)</f>
        <v>224.56165385461748</v>
      </c>
      <c r="AA487" s="123">
        <f>IF(tech_base!$T143&gt;AA$345,"",AA767+AA1047+AA1327)</f>
        <v>226.61732503083454</v>
      </c>
      <c r="AB487" s="123">
        <f>IF(tech_base!$T143&gt;AB$345,"",AB767+AB1047+AB1327)</f>
        <v>227.87001872488611</v>
      </c>
      <c r="AC487" s="123">
        <f>IF(tech_base!$T143&gt;AC$345,"",AC767+AC1047+AC1327)</f>
        <v>230.08334416852063</v>
      </c>
      <c r="AD487" s="123">
        <f>IF(tech_base!$T143&gt;AD$345,"",AD767+AD1047+AD1327)</f>
        <v>231.27514380236806</v>
      </c>
      <c r="AE487" s="123">
        <f>IF(tech_base!$T143&gt;AE$345,"",AE767+AE1047+AE1327)</f>
        <v>232.42456158218505</v>
      </c>
      <c r="AF487" s="123">
        <f>IF(tech_base!$T143&gt;AF$345,"",AF767+AF1047+AF1327)</f>
        <v>232.84555341438252</v>
      </c>
      <c r="AG487" s="123">
        <f>IF(tech_base!$T143&gt;AG$345,"",AG767+AG1047+AG1327)</f>
        <v>233.4278496293922</v>
      </c>
      <c r="AH487" s="123">
        <f>IF(tech_base!$T143&gt;AH$345,"",AH767+AH1047+AH1327)</f>
        <v>234.17381003059319</v>
      </c>
      <c r="AI487" s="123">
        <f>IF(tech_base!$T143&gt;AI$345,"",AI767+AI1047+AI1327)</f>
        <v>235.09422784988237</v>
      </c>
      <c r="AJ487" s="123">
        <f>IF(tech_base!$T143&gt;AJ$345,"",AJ767+AJ1047+AJ1327)</f>
        <v>236.2090843191221</v>
      </c>
      <c r="AK487" s="123">
        <f>IF(tech_base!$T143&gt;AK$345,"",AK767+AK1047+AK1327)</f>
        <v>237.54202183050558</v>
      </c>
      <c r="AL487" s="123">
        <f>IF(tech_base!$T143&gt;AL$345,"",AL767+AL1047+AL1327)</f>
        <v>239.03614519734327</v>
      </c>
      <c r="AM487" s="123">
        <f>IF(tech_base!$T143&gt;AM$345,"",AM767+AM1047+AM1327)</f>
        <v>240.62234051467686</v>
      </c>
      <c r="AN487" s="123">
        <f>IF(tech_base!$T143&gt;AN$345,"",AN767+AN1047+AN1327)</f>
        <v>242.27452518605975</v>
      </c>
      <c r="AO487" s="123">
        <f>IF(tech_base!$T143&gt;AO$345,"",AO767+AO1047+AO1327)</f>
        <v>242.4622756301884</v>
      </c>
      <c r="AP487" s="123">
        <f>IF(tech_base!$T143&gt;AP$345,"",AP767+AP1047+AP1327)</f>
        <v>243.07405870148622</v>
      </c>
      <c r="AQ487" s="123">
        <f>IF(tech_base!$T143&gt;AQ$345,"",AQ767+AQ1047+AQ1327)</f>
        <v>243.74081477237681</v>
      </c>
      <c r="AR487" s="123">
        <f>IF(tech_base!$T143&gt;AR$345,"",AR767+AR1047+AR1327)</f>
        <v>245.11277047342682</v>
      </c>
      <c r="AS487" s="123">
        <f>IF(tech_base!$T143&gt;AS$345,"",AS767+AS1047+AS1327)</f>
        <v>245.88565582074202</v>
      </c>
      <c r="AT487" s="123">
        <f>IF(tech_base!$T143&gt;AT$345,"",AT767+AT1047+AT1327)</f>
        <v>246.66905096741655</v>
      </c>
      <c r="AU487" s="123">
        <f>IF(tech_base!$T143&gt;AU$345,"",AU767+AU1047+AU1327)</f>
        <v>247.4467915636871</v>
      </c>
      <c r="AV487" s="123">
        <f>IF(tech_base!$T143&gt;AV$345,"",AV767+AV1047+AV1327)</f>
        <v>248.20952175323907</v>
      </c>
      <c r="AW487" s="123">
        <f>IF(tech_base!$T143&gt;AW$345,"",AW767+AW1047+AW1327)</f>
        <v>248.95008599756517</v>
      </c>
      <c r="AX487" s="124">
        <f>IF(tech_base!$T143&gt;AX$345,"",AX767+AX1047+AX1327)</f>
        <v>249.89261973389412</v>
      </c>
    </row>
    <row r="488" spans="1:50" x14ac:dyDescent="0.25">
      <c r="A488" s="356"/>
      <c r="B488" s="376"/>
      <c r="C488" s="379"/>
      <c r="D488" s="59" t="s">
        <v>8</v>
      </c>
      <c r="E488" s="79" t="str">
        <f>A485&amp;"/"&amp;B485&amp;"/"&amp;C487&amp;"/"&amp;D488</f>
        <v>Diesel oil fired power plants/Gas turbine combined cycle/CHP/M</v>
      </c>
      <c r="F488" s="79" t="str">
        <f>A485</f>
        <v>Diesel oil fired power plants</v>
      </c>
      <c r="G488" s="79" t="str">
        <f>B485</f>
        <v>Gas turbine combined cycle</v>
      </c>
      <c r="H488" s="79" t="str">
        <f>C487</f>
        <v>CHP</v>
      </c>
      <c r="I488" s="79" t="str">
        <f t="shared" si="359"/>
        <v>M</v>
      </c>
      <c r="J488" s="125">
        <f>IF(tech_base!$T144&gt;J$345,"",J768+J1048+J1328)</f>
        <v>198.23366161901131</v>
      </c>
      <c r="K488" s="125">
        <f>IF(tech_base!$T144&gt;K$345,"",K768+K1048+K1328)</f>
        <v>225.66449975284718</v>
      </c>
      <c r="L488" s="125">
        <f>IF(tech_base!$T144&gt;L$345,"",L768+L1048+L1328)</f>
        <v>234.3768355042539</v>
      </c>
      <c r="M488" s="125">
        <f>IF(tech_base!$T144&gt;M$345,"",M768+M1048+M1328)</f>
        <v>228.00216367374279</v>
      </c>
      <c r="N488" s="125">
        <f>IF(tech_base!$T144&gt;N$345,"",N768+N1048+N1328)</f>
        <v>217.52989425937901</v>
      </c>
      <c r="O488" s="125">
        <f>IF(tech_base!$T144&gt;O$345,"",O768+O1048+O1328)</f>
        <v>180.85855792290818</v>
      </c>
      <c r="P488" s="125">
        <f>IF(tech_base!$T144&gt;P$345,"",P768+P1048+P1328)</f>
        <v>172.07904042628846</v>
      </c>
      <c r="Q488" s="125">
        <f>IF(tech_base!$T144&gt;Q$345,"",Q768+Q1048+Q1328)</f>
        <v>182.82012627130786</v>
      </c>
      <c r="R488" s="125">
        <f>IF(tech_base!$T144&gt;R$345,"",R768+R1048+R1328)</f>
        <v>192.39085330120344</v>
      </c>
      <c r="S488" s="125">
        <f>IF(tech_base!$T144&gt;S$345,"",S768+S1048+S1328)</f>
        <v>200.75472874661168</v>
      </c>
      <c r="T488" s="125">
        <f>IF(tech_base!$T144&gt;T$345,"",T768+T1048+T1328)</f>
        <v>208.77605343708629</v>
      </c>
      <c r="U488" s="125">
        <f>IF(tech_base!$T144&gt;U$345,"",U768+U1048+U1328)</f>
        <v>216.36067103261323</v>
      </c>
      <c r="V488" s="125">
        <f>IF(tech_base!$T144&gt;V$345,"",V768+V1048+V1328)</f>
        <v>221.35474999944827</v>
      </c>
      <c r="W488" s="125">
        <f>IF(tech_base!$T144&gt;W$345,"",W768+W1048+W1328)</f>
        <v>227.42537061147624</v>
      </c>
      <c r="X488" s="125">
        <f>IF(tech_base!$T144&gt;X$345,"",X768+X1048+X1328)</f>
        <v>232.57269257363686</v>
      </c>
      <c r="Y488" s="125">
        <f>IF(tech_base!$T144&gt;Y$345,"",Y768+Y1048+Y1328)</f>
        <v>236.79185946209998</v>
      </c>
      <c r="Z488" s="125">
        <f>IF(tech_base!$T144&gt;Z$345,"",Z768+Z1048+Z1328)</f>
        <v>239.25140060153359</v>
      </c>
      <c r="AA488" s="125">
        <f>IF(tech_base!$T144&gt;AA$345,"",AA768+AA1048+AA1328)</f>
        <v>241.32370366769658</v>
      </c>
      <c r="AB488" s="125">
        <f>IF(tech_base!$T144&gt;AB$345,"",AB768+AB1048+AB1328)</f>
        <v>242.45466252230733</v>
      </c>
      <c r="AC488" s="125">
        <f>IF(tech_base!$T144&gt;AC$345,"",AC768+AC1048+AC1328)</f>
        <v>244.506939078767</v>
      </c>
      <c r="AD488" s="125">
        <f>IF(tech_base!$T144&gt;AD$345,"",AD768+AD1048+AD1328)</f>
        <v>245.39337350049712</v>
      </c>
      <c r="AE488" s="125">
        <f>IF(tech_base!$T144&gt;AE$345,"",AE768+AE1048+AE1328)</f>
        <v>246.16676864880895</v>
      </c>
      <c r="AF488" s="125">
        <f>IF(tech_base!$T144&gt;AF$345,"",AF768+AF1048+AF1328)</f>
        <v>246.13070095601711</v>
      </c>
      <c r="AG488" s="125">
        <f>IF(tech_base!$T144&gt;AG$345,"",AG768+AG1048+AG1328)</f>
        <v>246.25158209898652</v>
      </c>
      <c r="AH488" s="125">
        <f>IF(tech_base!$T144&gt;AH$345,"",AH768+AH1048+AH1328)</f>
        <v>246.55840628763067</v>
      </c>
      <c r="AI488" s="125">
        <f>IF(tech_base!$T144&gt;AI$345,"",AI768+AI1048+AI1328)</f>
        <v>247.08398197722815</v>
      </c>
      <c r="AJ488" s="125">
        <f>IF(tech_base!$T144&gt;AJ$345,"",AJ768+AJ1048+AJ1328)</f>
        <v>247.86350852486174</v>
      </c>
      <c r="AK488" s="125">
        <f>IF(tech_base!$T144&gt;AK$345,"",AK768+AK1048+AK1328)</f>
        <v>248.92841796726674</v>
      </c>
      <c r="AL488" s="125">
        <f>IF(tech_base!$T144&gt;AL$345,"",AL768+AL1048+AL1328)</f>
        <v>250.21963957033</v>
      </c>
      <c r="AM488" s="125">
        <f>IF(tech_base!$T144&gt;AM$345,"",AM768+AM1048+AM1328)</f>
        <v>251.66098329757011</v>
      </c>
      <c r="AN488" s="125">
        <f>IF(tech_base!$T144&gt;AN$345,"",AN768+AN1048+AN1328)</f>
        <v>253.21855758061281</v>
      </c>
      <c r="AO488" s="125">
        <f>IF(tech_base!$T144&gt;AO$345,"",AO768+AO1048+AO1328)</f>
        <v>253.29078116650658</v>
      </c>
      <c r="AP488" s="125">
        <f>IF(tech_base!$T144&gt;AP$345,"",AP768+AP1048+AP1328)</f>
        <v>253.83735815338395</v>
      </c>
      <c r="AQ488" s="125">
        <f>IF(tech_base!$T144&gt;AQ$345,"",AQ768+AQ1048+AQ1328)</f>
        <v>254.46644429034691</v>
      </c>
      <c r="AR488" s="125">
        <f>IF(tech_base!$T144&gt;AR$345,"",AR768+AR1048+AR1328)</f>
        <v>255.84852750624611</v>
      </c>
      <c r="AS488" s="125">
        <f>IF(tech_base!$T144&gt;AS$345,"",AS768+AS1048+AS1328)</f>
        <v>256.6211937981376</v>
      </c>
      <c r="AT488" s="125">
        <f>IF(tech_base!$T144&gt;AT$345,"",AT768+AT1048+AT1328)</f>
        <v>257.41503609268568</v>
      </c>
      <c r="AU488" s="125">
        <f>IF(tech_base!$T144&gt;AU$345,"",AU768+AU1048+AU1328)</f>
        <v>258.21028074985543</v>
      </c>
      <c r="AV488" s="125">
        <f>IF(tech_base!$T144&gt;AV$345,"",AV768+AV1048+AV1328)</f>
        <v>258.99499980462105</v>
      </c>
      <c r="AW488" s="125">
        <f>IF(tech_base!$T144&gt;AW$345,"",AW768+AW1048+AW1328)</f>
        <v>259.76014951589764</v>
      </c>
      <c r="AX488" s="126">
        <f>IF(tech_base!$T144&gt;AX$345,"",AX768+AX1048+AX1328)</f>
        <v>260.73777543943322</v>
      </c>
    </row>
    <row r="489" spans="1:50" x14ac:dyDescent="0.25">
      <c r="A489" s="356"/>
      <c r="B489" s="376"/>
      <c r="C489" s="361" t="s">
        <v>15</v>
      </c>
      <c r="D489" s="58" t="s">
        <v>7</v>
      </c>
      <c r="E489" s="78" t="str">
        <f>A485&amp;"/"&amp;B485&amp;"/"&amp;C489&amp;"/"&amp;D489</f>
        <v>Diesel oil fired power plants/Gas turbine combined cycle/Electricity only with CCS/L</v>
      </c>
      <c r="F489" s="78" t="str">
        <f>A485</f>
        <v>Diesel oil fired power plants</v>
      </c>
      <c r="G489" s="78" t="str">
        <f>B485</f>
        <v>Gas turbine combined cycle</v>
      </c>
      <c r="H489" s="78" t="str">
        <f>C489</f>
        <v>Electricity only with CCS</v>
      </c>
      <c r="I489" s="78" t="str">
        <f t="shared" si="359"/>
        <v>L</v>
      </c>
      <c r="J489" s="123" t="str">
        <f>IF(tech_base!$T145&gt;J$345,"",J769+J1049+J1329)</f>
        <v/>
      </c>
      <c r="K489" s="123" t="str">
        <f>IF(tech_base!$T145&gt;K$345,"",K769+K1049+K1329)</f>
        <v/>
      </c>
      <c r="L489" s="123" t="str">
        <f>IF(tech_base!$T145&gt;L$345,"",L769+L1049+L1329)</f>
        <v/>
      </c>
      <c r="M489" s="123" t="str">
        <f>IF(tech_base!$T145&gt;M$345,"",M769+M1049+M1329)</f>
        <v/>
      </c>
      <c r="N489" s="123" t="str">
        <f>IF(tech_base!$T145&gt;N$345,"",N769+N1049+N1329)</f>
        <v/>
      </c>
      <c r="O489" s="123" t="str">
        <f>IF(tech_base!$T145&gt;O$345,"",O769+O1049+O1329)</f>
        <v/>
      </c>
      <c r="P489" s="123" t="str">
        <f>IF(tech_base!$T145&gt;P$345,"",P769+P1049+P1329)</f>
        <v/>
      </c>
      <c r="Q489" s="123" t="str">
        <f>IF(tech_base!$T145&gt;Q$345,"",Q769+Q1049+Q1329)</f>
        <v/>
      </c>
      <c r="R489" s="123" t="str">
        <f>IF(tech_base!$T145&gt;R$345,"",R769+R1049+R1329)</f>
        <v/>
      </c>
      <c r="S489" s="123" t="str">
        <f>IF(tech_base!$T145&gt;S$345,"",S769+S1049+S1329)</f>
        <v/>
      </c>
      <c r="T489" s="123" t="str">
        <f>IF(tech_base!$T145&gt;T$345,"",T769+T1049+T1329)</f>
        <v/>
      </c>
      <c r="U489" s="123" t="str">
        <f>IF(tech_base!$T145&gt;U$345,"",U769+U1049+U1329)</f>
        <v/>
      </c>
      <c r="V489" s="123" t="str">
        <f>IF(tech_base!$T145&gt;V$345,"",V769+V1049+V1329)</f>
        <v/>
      </c>
      <c r="W489" s="123" t="str">
        <f>IF(tech_base!$T145&gt;W$345,"",W769+W1049+W1329)</f>
        <v/>
      </c>
      <c r="X489" s="123" t="str">
        <f>IF(tech_base!$T145&gt;X$345,"",X769+X1049+X1329)</f>
        <v/>
      </c>
      <c r="Y489" s="123" t="str">
        <f>IF(tech_base!$T145&gt;Y$345,"",Y769+Y1049+Y1329)</f>
        <v/>
      </c>
      <c r="Z489" s="123" t="str">
        <f>IF(tech_base!$T145&gt;Z$345,"",Z769+Z1049+Z1329)</f>
        <v/>
      </c>
      <c r="AA489" s="123" t="str">
        <f>IF(tech_base!$T145&gt;AA$345,"",AA769+AA1049+AA1329)</f>
        <v/>
      </c>
      <c r="AB489" s="123" t="str">
        <f>IF(tech_base!$T145&gt;AB$345,"",AB769+AB1049+AB1329)</f>
        <v/>
      </c>
      <c r="AC489" s="123" t="str">
        <f>IF(tech_base!$T145&gt;AC$345,"",AC769+AC1049+AC1329)</f>
        <v/>
      </c>
      <c r="AD489" s="123" t="str">
        <f>IF(tech_base!$T145&gt;AD$345,"",AD769+AD1049+AD1329)</f>
        <v/>
      </c>
      <c r="AE489" s="123">
        <f>IF(tech_base!$T145&gt;AE$345,"",AE769+AE1049+AE1329)</f>
        <v>276.54076050153986</v>
      </c>
      <c r="AF489" s="123">
        <f>IF(tech_base!$T145&gt;AF$345,"",AF769+AF1049+AF1329)</f>
        <v>277.45550312409091</v>
      </c>
      <c r="AG489" s="123">
        <f>IF(tech_base!$T145&gt;AG$345,"",AG769+AG1049+AG1329)</f>
        <v>278.46820036049314</v>
      </c>
      <c r="AH489" s="123">
        <f>IF(tech_base!$T145&gt;AH$345,"",AH769+AH1049+AH1329)</f>
        <v>279.57233583308721</v>
      </c>
      <c r="AI489" s="123">
        <f>IF(tech_base!$T145&gt;AI$345,"",AI769+AI1049+AI1329)</f>
        <v>280.77143287879863</v>
      </c>
      <c r="AJ489" s="123">
        <f>IF(tech_base!$T145&gt;AJ$345,"",AJ769+AJ1049+AJ1329)</f>
        <v>282.07890622056271</v>
      </c>
      <c r="AK489" s="123">
        <f>IF(tech_base!$T145&gt;AK$345,"",AK769+AK1049+AK1329)</f>
        <v>283.51098313767136</v>
      </c>
      <c r="AL489" s="123">
        <f>IF(tech_base!$T145&gt;AL$345,"",AL769+AL1049+AL1329)</f>
        <v>284.99581487320319</v>
      </c>
      <c r="AM489" s="123">
        <f>IF(tech_base!$T145&gt;AM$345,"",AM769+AM1049+AM1329)</f>
        <v>286.4449525448685</v>
      </c>
      <c r="AN489" s="123">
        <f>IF(tech_base!$T145&gt;AN$345,"",AN769+AN1049+AN1329)</f>
        <v>287.81111331987483</v>
      </c>
      <c r="AO489" s="123">
        <f>IF(tech_base!$T145&gt;AO$345,"",AO769+AO1049+AO1329)</f>
        <v>287.44667679456444</v>
      </c>
      <c r="AP489" s="123">
        <f>IF(tech_base!$T145&gt;AP$345,"",AP769+AP1049+AP1329)</f>
        <v>287.32832918984656</v>
      </c>
      <c r="AQ489" s="123">
        <f>IF(tech_base!$T145&gt;AQ$345,"",AQ769+AQ1049+AQ1329)</f>
        <v>287.02889745876143</v>
      </c>
      <c r="AR489" s="123">
        <f>IF(tech_base!$T145&gt;AR$345,"",AR769+AR1049+AR1329)</f>
        <v>287.19122206362573</v>
      </c>
      <c r="AS489" s="123">
        <f>IF(tech_base!$T145&gt;AS$345,"",AS769+AS1049+AS1329)</f>
        <v>286.39697451072146</v>
      </c>
      <c r="AT489" s="123">
        <f>IF(tech_base!$T145&gt;AT$345,"",AT769+AT1049+AT1329)</f>
        <v>285.24558643636976</v>
      </c>
      <c r="AU489" s="123">
        <f>IF(tech_base!$T145&gt;AU$345,"",AU769+AU1049+AU1329)</f>
        <v>283.68251551700439</v>
      </c>
      <c r="AV489" s="123">
        <f>IF(tech_base!$T145&gt;AV$345,"",AV769+AV1049+AV1329)</f>
        <v>281.67438412620504</v>
      </c>
      <c r="AW489" s="123">
        <f>IF(tech_base!$T145&gt;AW$345,"",AW769+AW1049+AW1329)</f>
        <v>279.21368528831391</v>
      </c>
      <c r="AX489" s="124">
        <f>IF(tech_base!$T145&gt;AX$345,"",AX769+AX1049+AX1329)</f>
        <v>276.55870426320354</v>
      </c>
    </row>
    <row r="490" spans="1:50" x14ac:dyDescent="0.25">
      <c r="A490" s="356"/>
      <c r="B490" s="376"/>
      <c r="C490" s="379"/>
      <c r="D490" s="59" t="s">
        <v>8</v>
      </c>
      <c r="E490" s="79" t="str">
        <f>A485&amp;"/"&amp;B485&amp;"/"&amp;C489&amp;"/"&amp;D490</f>
        <v>Diesel oil fired power plants/Gas turbine combined cycle/Electricity only with CCS/M</v>
      </c>
      <c r="F490" s="79" t="str">
        <f>A485</f>
        <v>Diesel oil fired power plants</v>
      </c>
      <c r="G490" s="79" t="str">
        <f>B485</f>
        <v>Gas turbine combined cycle</v>
      </c>
      <c r="H490" s="79" t="str">
        <f>C489</f>
        <v>Electricity only with CCS</v>
      </c>
      <c r="I490" s="79" t="str">
        <f t="shared" si="359"/>
        <v>M</v>
      </c>
      <c r="J490" s="125" t="str">
        <f>IF(tech_base!$T146&gt;J$345,"",J770+J1050+J1330)</f>
        <v/>
      </c>
      <c r="K490" s="125" t="str">
        <f>IF(tech_base!$T146&gt;K$345,"",K770+K1050+K1330)</f>
        <v/>
      </c>
      <c r="L490" s="125" t="str">
        <f>IF(tech_base!$T146&gt;L$345,"",L770+L1050+L1330)</f>
        <v/>
      </c>
      <c r="M490" s="125" t="str">
        <f>IF(tech_base!$T146&gt;M$345,"",M770+M1050+M1330)</f>
        <v/>
      </c>
      <c r="N490" s="125" t="str">
        <f>IF(tech_base!$T146&gt;N$345,"",N770+N1050+N1330)</f>
        <v/>
      </c>
      <c r="O490" s="125" t="str">
        <f>IF(tech_base!$T146&gt;O$345,"",O770+O1050+O1330)</f>
        <v/>
      </c>
      <c r="P490" s="125" t="str">
        <f>IF(tech_base!$T146&gt;P$345,"",P770+P1050+P1330)</f>
        <v/>
      </c>
      <c r="Q490" s="125" t="str">
        <f>IF(tech_base!$T146&gt;Q$345,"",Q770+Q1050+Q1330)</f>
        <v/>
      </c>
      <c r="R490" s="125" t="str">
        <f>IF(tech_base!$T146&gt;R$345,"",R770+R1050+R1330)</f>
        <v/>
      </c>
      <c r="S490" s="125" t="str">
        <f>IF(tech_base!$T146&gt;S$345,"",S770+S1050+S1330)</f>
        <v/>
      </c>
      <c r="T490" s="125" t="str">
        <f>IF(tech_base!$T146&gt;T$345,"",T770+T1050+T1330)</f>
        <v/>
      </c>
      <c r="U490" s="125" t="str">
        <f>IF(tech_base!$T146&gt;U$345,"",U770+U1050+U1330)</f>
        <v/>
      </c>
      <c r="V490" s="125" t="str">
        <f>IF(tech_base!$T146&gt;V$345,"",V770+V1050+V1330)</f>
        <v/>
      </c>
      <c r="W490" s="125" t="str">
        <f>IF(tech_base!$T146&gt;W$345,"",W770+W1050+W1330)</f>
        <v/>
      </c>
      <c r="X490" s="125" t="str">
        <f>IF(tech_base!$T146&gt;X$345,"",X770+X1050+X1330)</f>
        <v/>
      </c>
      <c r="Y490" s="125" t="str">
        <f>IF(tech_base!$T146&gt;Y$345,"",Y770+Y1050+Y1330)</f>
        <v/>
      </c>
      <c r="Z490" s="125" t="str">
        <f>IF(tech_base!$T146&gt;Z$345,"",Z770+Z1050+Z1330)</f>
        <v/>
      </c>
      <c r="AA490" s="125" t="str">
        <f>IF(tech_base!$T146&gt;AA$345,"",AA770+AA1050+AA1330)</f>
        <v/>
      </c>
      <c r="AB490" s="125" t="str">
        <f>IF(tech_base!$T146&gt;AB$345,"",AB770+AB1050+AB1330)</f>
        <v/>
      </c>
      <c r="AC490" s="125" t="str">
        <f>IF(tech_base!$T146&gt;AC$345,"",AC770+AC1050+AC1330)</f>
        <v/>
      </c>
      <c r="AD490" s="125" t="str">
        <f>IF(tech_base!$T146&gt;AD$345,"",AD770+AD1050+AD1330)</f>
        <v/>
      </c>
      <c r="AE490" s="125">
        <f>IF(tech_base!$T146&gt;AE$345,"",AE770+AE1050+AE1330)</f>
        <v>291.72047399386844</v>
      </c>
      <c r="AF490" s="125">
        <f>IF(tech_base!$T146&gt;AF$345,"",AF770+AF1050+AF1330)</f>
        <v>292.69344719567385</v>
      </c>
      <c r="AG490" s="125">
        <f>IF(tech_base!$T146&gt;AG$345,"",AG770+AG1050+AG1330)</f>
        <v>293.77184599341257</v>
      </c>
      <c r="AH490" s="125">
        <f>IF(tech_base!$T146&gt;AH$345,"",AH770+AH1050+AH1330)</f>
        <v>294.94934936382566</v>
      </c>
      <c r="AI490" s="125">
        <f>IF(tech_base!$T146&gt;AI$345,"",AI770+AI1050+AI1330)</f>
        <v>296.23039731193074</v>
      </c>
      <c r="AJ490" s="125">
        <f>IF(tech_base!$T146&gt;AJ$345,"",AJ770+AJ1050+AJ1330)</f>
        <v>297.63007757429267</v>
      </c>
      <c r="AK490" s="125">
        <f>IF(tech_base!$T146&gt;AK$345,"",AK770+AK1050+AK1330)</f>
        <v>299.16670181609339</v>
      </c>
      <c r="AL490" s="125">
        <f>IF(tech_base!$T146&gt;AL$345,"",AL770+AL1050+AL1330)</f>
        <v>300.76584517703537</v>
      </c>
      <c r="AM490" s="125">
        <f>IF(tech_base!$T146&gt;AM$345,"",AM770+AM1050+AM1330)</f>
        <v>302.33589823916583</v>
      </c>
      <c r="AN490" s="125">
        <f>IF(tech_base!$T146&gt;AN$345,"",AN770+AN1050+AN1330)</f>
        <v>303.82916289209066</v>
      </c>
      <c r="AO490" s="125">
        <f>IF(tech_base!$T146&gt;AO$345,"",AO770+AO1050+AO1330)</f>
        <v>303.50697679750829</v>
      </c>
      <c r="AP490" s="125">
        <f>IF(tech_base!$T146&gt;AP$345,"",AP770+AP1050+AP1330)</f>
        <v>303.46126423681335</v>
      </c>
      <c r="AQ490" s="125">
        <f>IF(tech_base!$T146&gt;AQ$345,"",AQ770+AQ1050+AQ1330)</f>
        <v>303.24428548851819</v>
      </c>
      <c r="AR490" s="125">
        <f>IF(tech_base!$T146&gt;AR$345,"",AR770+AR1050+AR1330)</f>
        <v>303.54022396094774</v>
      </c>
      <c r="AS490" s="125">
        <f>IF(tech_base!$T146&gt;AS$345,"",AS770+AS1050+AS1330)</f>
        <v>302.85363287805274</v>
      </c>
      <c r="AT490" s="125">
        <f>IF(tech_base!$T146&gt;AT$345,"",AT770+AT1050+AT1330)</f>
        <v>301.82288354948275</v>
      </c>
      <c r="AU490" s="125">
        <f>IF(tech_base!$T146&gt;AU$345,"",AU770+AU1050+AU1330)</f>
        <v>300.39431480577167</v>
      </c>
      <c r="AV490" s="125">
        <f>IF(tech_base!$T146&gt;AV$345,"",AV770+AV1050+AV1330)</f>
        <v>298.53544562421308</v>
      </c>
      <c r="AW490" s="125">
        <f>IF(tech_base!$T146&gt;AW$345,"",AW770+AW1050+AW1330)</f>
        <v>296.23906086773212</v>
      </c>
      <c r="AX490" s="126">
        <f>IF(tech_base!$T146&gt;AX$345,"",AX770+AX1050+AX1330)</f>
        <v>293.77704331464946</v>
      </c>
    </row>
    <row r="491" spans="1:50" x14ac:dyDescent="0.25">
      <c r="A491" s="356"/>
      <c r="B491" s="376"/>
      <c r="C491" s="361" t="s">
        <v>16</v>
      </c>
      <c r="D491" s="2" t="s">
        <v>7</v>
      </c>
      <c r="E491" s="76" t="str">
        <f>A485&amp;"/"&amp;B485&amp;"/"&amp;C491&amp;"/"&amp;D491</f>
        <v>Diesel oil fired power plants/Gas turbine combined cycle/CHP with CCS/L</v>
      </c>
      <c r="F491" s="76" t="str">
        <f>A485</f>
        <v>Diesel oil fired power plants</v>
      </c>
      <c r="G491" s="76" t="str">
        <f>B485</f>
        <v>Gas turbine combined cycle</v>
      </c>
      <c r="H491" s="76" t="str">
        <f>C491</f>
        <v>CHP with CCS</v>
      </c>
      <c r="I491" s="76" t="str">
        <f t="shared" si="359"/>
        <v>L</v>
      </c>
      <c r="J491" s="119" t="str">
        <f>IF(tech_base!$T147&gt;J$345,"",J771+J1051+J1331)</f>
        <v/>
      </c>
      <c r="K491" s="119" t="str">
        <f>IF(tech_base!$T147&gt;K$345,"",K771+K1051+K1331)</f>
        <v/>
      </c>
      <c r="L491" s="119" t="str">
        <f>IF(tech_base!$T147&gt;L$345,"",L771+L1051+L1331)</f>
        <v/>
      </c>
      <c r="M491" s="119" t="str">
        <f>IF(tech_base!$T147&gt;M$345,"",M771+M1051+M1331)</f>
        <v/>
      </c>
      <c r="N491" s="119" t="str">
        <f>IF(tech_base!$T147&gt;N$345,"",N771+N1051+N1331)</f>
        <v/>
      </c>
      <c r="O491" s="119" t="str">
        <f>IF(tech_base!$T147&gt;O$345,"",O771+O1051+O1331)</f>
        <v/>
      </c>
      <c r="P491" s="119" t="str">
        <f>IF(tech_base!$T147&gt;P$345,"",P771+P1051+P1331)</f>
        <v/>
      </c>
      <c r="Q491" s="119" t="str">
        <f>IF(tech_base!$T147&gt;Q$345,"",Q771+Q1051+Q1331)</f>
        <v/>
      </c>
      <c r="R491" s="119" t="str">
        <f>IF(tech_base!$T147&gt;R$345,"",R771+R1051+R1331)</f>
        <v/>
      </c>
      <c r="S491" s="119" t="str">
        <f>IF(tech_base!$T147&gt;S$345,"",S771+S1051+S1331)</f>
        <v/>
      </c>
      <c r="T491" s="119" t="str">
        <f>IF(tech_base!$T147&gt;T$345,"",T771+T1051+T1331)</f>
        <v/>
      </c>
      <c r="U491" s="119" t="str">
        <f>IF(tech_base!$T147&gt;U$345,"",U771+U1051+U1331)</f>
        <v/>
      </c>
      <c r="V491" s="119" t="str">
        <f>IF(tech_base!$T147&gt;V$345,"",V771+V1051+V1331)</f>
        <v/>
      </c>
      <c r="W491" s="119" t="str">
        <f>IF(tech_base!$T147&gt;W$345,"",W771+W1051+W1331)</f>
        <v/>
      </c>
      <c r="X491" s="119" t="str">
        <f>IF(tech_base!$T147&gt;X$345,"",X771+X1051+X1331)</f>
        <v/>
      </c>
      <c r="Y491" s="119" t="str">
        <f>IF(tech_base!$T147&gt;Y$345,"",Y771+Y1051+Y1331)</f>
        <v/>
      </c>
      <c r="Z491" s="119" t="str">
        <f>IF(tech_base!$T147&gt;Z$345,"",Z771+Z1051+Z1331)</f>
        <v/>
      </c>
      <c r="AA491" s="119" t="str">
        <f>IF(tech_base!$T147&gt;AA$345,"",AA771+AA1051+AA1331)</f>
        <v/>
      </c>
      <c r="AB491" s="119" t="str">
        <f>IF(tech_base!$T147&gt;AB$345,"",AB771+AB1051+AB1331)</f>
        <v/>
      </c>
      <c r="AC491" s="119" t="str">
        <f>IF(tech_base!$T147&gt;AC$345,"",AC771+AC1051+AC1331)</f>
        <v/>
      </c>
      <c r="AD491" s="119" t="str">
        <f>IF(tech_base!$T147&gt;AD$345,"",AD771+AD1051+AD1331)</f>
        <v/>
      </c>
      <c r="AE491" s="119">
        <f>IF(tech_base!$T147&gt;AE$345,"",AE771+AE1051+AE1331)</f>
        <v>312.43768482783486</v>
      </c>
      <c r="AF491" s="119">
        <f>IF(tech_base!$T147&gt;AF$345,"",AF771+AF1051+AF1331)</f>
        <v>313.4743509163323</v>
      </c>
      <c r="AG491" s="119">
        <f>IF(tech_base!$T147&gt;AG$345,"",AG771+AG1051+AG1331)</f>
        <v>314.6253484248889</v>
      </c>
      <c r="AH491" s="119">
        <f>IF(tech_base!$T147&gt;AH$345,"",AH771+AH1051+AH1331)</f>
        <v>315.88492024877326</v>
      </c>
      <c r="AI491" s="119">
        <f>IF(tech_base!$T147&gt;AI$345,"",AI771+AI1051+AI1331)</f>
        <v>317.25889171105246</v>
      </c>
      <c r="AJ491" s="119">
        <f>IF(tech_base!$T147&gt;AJ$345,"",AJ771+AJ1051+AJ1331)</f>
        <v>318.76461039462168</v>
      </c>
      <c r="AK491" s="119">
        <f>IF(tech_base!$T147&gt;AK$345,"",AK771+AK1051+AK1331)</f>
        <v>320.42318853174987</v>
      </c>
      <c r="AL491" s="119">
        <f>IF(tech_base!$T147&gt;AL$345,"",AL771+AL1051+AL1331)</f>
        <v>322.15838764015865</v>
      </c>
      <c r="AM491" s="119">
        <f>IF(tech_base!$T147&gt;AM$345,"",AM771+AM1051+AM1331)</f>
        <v>323.87628132635325</v>
      </c>
      <c r="AN491" s="119">
        <f>IF(tech_base!$T147&gt;AN$345,"",AN771+AN1051+AN1331)</f>
        <v>325.52969365765205</v>
      </c>
      <c r="AO491" s="119">
        <f>IF(tech_base!$T147&gt;AO$345,"",AO771+AO1051+AO1331)</f>
        <v>325.28754900835349</v>
      </c>
      <c r="AP491" s="119">
        <f>IF(tech_base!$T147&gt;AP$345,"",AP771+AP1051+AP1331)</f>
        <v>325.36003264803367</v>
      </c>
      <c r="AQ491" s="119">
        <f>IF(tech_base!$T147&gt;AQ$345,"",AQ771+AQ1051+AQ1331)</f>
        <v>325.27840006832662</v>
      </c>
      <c r="AR491" s="119">
        <f>IF(tech_base!$T147&gt;AR$345,"",AR771+AR1051+AR1331)</f>
        <v>325.7686671277159</v>
      </c>
      <c r="AS491" s="119">
        <f>IF(tech_base!$T147&gt;AS$345,"",AS771+AS1051+AS1331)</f>
        <v>325.25301760005306</v>
      </c>
      <c r="AT491" s="119">
        <f>IF(tech_base!$T147&gt;AT$345,"",AT771+AT1051+AT1331)</f>
        <v>324.40480717532682</v>
      </c>
      <c r="AU491" s="119">
        <f>IF(tech_base!$T147&gt;AU$345,"",AU771+AU1051+AU1331)</f>
        <v>323.16259851019527</v>
      </c>
      <c r="AV491" s="119">
        <f>IF(tech_base!$T147&gt;AV$345,"",AV771+AV1051+AV1331)</f>
        <v>321.48181675911036</v>
      </c>
      <c r="AW491" s="119">
        <f>IF(tech_base!$T147&gt;AW$345,"",AW771+AW1051+AW1331)</f>
        <v>319.33786905179517</v>
      </c>
      <c r="AX491" s="120">
        <f>IF(tech_base!$T147&gt;AX$345,"",AX771+AX1051+AX1331)</f>
        <v>316.99547593542934</v>
      </c>
    </row>
    <row r="492" spans="1:50" x14ac:dyDescent="0.25">
      <c r="A492" s="356"/>
      <c r="B492" s="380"/>
      <c r="C492" s="381"/>
      <c r="D492" s="4" t="s">
        <v>8</v>
      </c>
      <c r="E492" s="80" t="str">
        <f>A485&amp;"/"&amp;B485&amp;"/"&amp;C491&amp;"/"&amp;D492</f>
        <v>Diesel oil fired power plants/Gas turbine combined cycle/CHP with CCS/M</v>
      </c>
      <c r="F492" s="80" t="str">
        <f>A485</f>
        <v>Diesel oil fired power plants</v>
      </c>
      <c r="G492" s="80" t="str">
        <f>B485</f>
        <v>Gas turbine combined cycle</v>
      </c>
      <c r="H492" s="80" t="str">
        <f>C491</f>
        <v>CHP with CCS</v>
      </c>
      <c r="I492" s="80" t="str">
        <f t="shared" si="359"/>
        <v>M</v>
      </c>
      <c r="J492" s="127" t="str">
        <f>IF(tech_base!$T148&gt;J$345,"",J772+J1052+J1332)</f>
        <v/>
      </c>
      <c r="K492" s="127" t="str">
        <f>IF(tech_base!$T148&gt;K$345,"",K772+K1052+K1332)</f>
        <v/>
      </c>
      <c r="L492" s="127" t="str">
        <f>IF(tech_base!$T148&gt;L$345,"",L772+L1052+L1332)</f>
        <v/>
      </c>
      <c r="M492" s="127" t="str">
        <f>IF(tech_base!$T148&gt;M$345,"",M772+M1052+M1332)</f>
        <v/>
      </c>
      <c r="N492" s="127" t="str">
        <f>IF(tech_base!$T148&gt;N$345,"",N772+N1052+N1332)</f>
        <v/>
      </c>
      <c r="O492" s="127" t="str">
        <f>IF(tech_base!$T148&gt;O$345,"",O772+O1052+O1332)</f>
        <v/>
      </c>
      <c r="P492" s="127" t="str">
        <f>IF(tech_base!$T148&gt;P$345,"",P772+P1052+P1332)</f>
        <v/>
      </c>
      <c r="Q492" s="127" t="str">
        <f>IF(tech_base!$T148&gt;Q$345,"",Q772+Q1052+Q1332)</f>
        <v/>
      </c>
      <c r="R492" s="127" t="str">
        <f>IF(tech_base!$T148&gt;R$345,"",R772+R1052+R1332)</f>
        <v/>
      </c>
      <c r="S492" s="127" t="str">
        <f>IF(tech_base!$T148&gt;S$345,"",S772+S1052+S1332)</f>
        <v/>
      </c>
      <c r="T492" s="127" t="str">
        <f>IF(tech_base!$T148&gt;T$345,"",T772+T1052+T1332)</f>
        <v/>
      </c>
      <c r="U492" s="127" t="str">
        <f>IF(tech_base!$T148&gt;U$345,"",U772+U1052+U1332)</f>
        <v/>
      </c>
      <c r="V492" s="127" t="str">
        <f>IF(tech_base!$T148&gt;V$345,"",V772+V1052+V1332)</f>
        <v/>
      </c>
      <c r="W492" s="127" t="str">
        <f>IF(tech_base!$T148&gt;W$345,"",W772+W1052+W1332)</f>
        <v/>
      </c>
      <c r="X492" s="127" t="str">
        <f>IF(tech_base!$T148&gt;X$345,"",X772+X1052+X1332)</f>
        <v/>
      </c>
      <c r="Y492" s="127" t="str">
        <f>IF(tech_base!$T148&gt;Y$345,"",Y772+Y1052+Y1332)</f>
        <v/>
      </c>
      <c r="Z492" s="127" t="str">
        <f>IF(tech_base!$T148&gt;Z$345,"",Z772+Z1052+Z1332)</f>
        <v/>
      </c>
      <c r="AA492" s="127" t="str">
        <f>IF(tech_base!$T148&gt;AA$345,"",AA772+AA1052+AA1332)</f>
        <v/>
      </c>
      <c r="AB492" s="127" t="str">
        <f>IF(tech_base!$T148&gt;AB$345,"",AB772+AB1052+AB1332)</f>
        <v/>
      </c>
      <c r="AC492" s="127" t="str">
        <f>IF(tech_base!$T148&gt;AC$345,"",AC772+AC1052+AC1332)</f>
        <v/>
      </c>
      <c r="AD492" s="127" t="str">
        <f>IF(tech_base!$T148&gt;AD$345,"",AD772+AD1052+AD1332)</f>
        <v/>
      </c>
      <c r="AE492" s="127">
        <f>IF(tech_base!$T148&gt;AE$345,"",AE772+AE1052+AE1332)</f>
        <v>331.69401067624932</v>
      </c>
      <c r="AF492" s="127">
        <f>IF(tech_base!$T148&gt;AF$345,"",AF772+AF1052+AF1332)</f>
        <v>332.79553422059928</v>
      </c>
      <c r="AG492" s="127">
        <f>IF(tech_base!$T148&gt;AG$345,"",AG772+AG1052+AG1332)</f>
        <v>334.01959504619481</v>
      </c>
      <c r="AH492" s="127">
        <f>IF(tech_base!$T148&gt;AH$345,"",AH772+AH1052+AH1332)</f>
        <v>335.36059745699833</v>
      </c>
      <c r="AI492" s="127">
        <f>IF(tech_base!$T148&gt;AI$345,"",AI772+AI1052+AI1332)</f>
        <v>336.82532524313962</v>
      </c>
      <c r="AJ492" s="127">
        <f>IF(tech_base!$T148&gt;AJ$345,"",AJ772+AJ1052+AJ1332)</f>
        <v>338.43291718304761</v>
      </c>
      <c r="AK492" s="127">
        <f>IF(tech_base!$T148&gt;AK$345,"",AK772+AK1052+AK1332)</f>
        <v>340.20671633178722</v>
      </c>
      <c r="AL492" s="127">
        <f>IF(tech_base!$T148&gt;AL$345,"",AL772+AL1052+AL1332)</f>
        <v>342.06743608838553</v>
      </c>
      <c r="AM492" s="127">
        <f>IF(tech_base!$T148&gt;AM$345,"",AM772+AM1052+AM1332)</f>
        <v>343.91741066363704</v>
      </c>
      <c r="AN492" s="127">
        <f>IF(tech_base!$T148&gt;AN$345,"",AN772+AN1052+AN1332)</f>
        <v>345.70878004488185</v>
      </c>
      <c r="AO492" s="127">
        <f>IF(tech_base!$T148&gt;AO$345,"",AO772+AO1052+AO1332)</f>
        <v>345.50767012650016</v>
      </c>
      <c r="AP492" s="127">
        <f>IF(tech_base!$T148&gt;AP$345,"",AP772+AP1052+AP1332)</f>
        <v>345.65378101896721</v>
      </c>
      <c r="AQ492" s="127">
        <f>IF(tech_base!$T148&gt;AQ$345,"",AQ772+AQ1052+AQ1332)</f>
        <v>345.65487614192534</v>
      </c>
      <c r="AR492" s="127">
        <f>IF(tech_base!$T148&gt;AR$345,"",AR772+AR1052+AR1332)</f>
        <v>346.28317813086244</v>
      </c>
      <c r="AS492" s="127">
        <f>IF(tech_base!$T148&gt;AS$345,"",AS772+AS1052+AS1332)</f>
        <v>345.87370597238987</v>
      </c>
      <c r="AT492" s="127">
        <f>IF(tech_base!$T148&gt;AT$345,"",AT772+AT1052+AT1332)</f>
        <v>345.14339964751059</v>
      </c>
      <c r="AU492" s="127">
        <f>IF(tech_base!$T148&gt;AU$345,"",AU772+AU1052+AU1332)</f>
        <v>344.03168540764267</v>
      </c>
      <c r="AV492" s="127">
        <f>IF(tech_base!$T148&gt;AV$345,"",AV772+AV1052+AV1332)</f>
        <v>342.49509815707506</v>
      </c>
      <c r="AW492" s="127">
        <f>IF(tech_base!$T148&gt;AW$345,"",AW772+AW1052+AW1332)</f>
        <v>340.50980493777155</v>
      </c>
      <c r="AX492" s="128">
        <f>IF(tech_base!$T148&gt;AX$345,"",AX772+AX1052+AX1332)</f>
        <v>338.35666429451311</v>
      </c>
    </row>
    <row r="493" spans="1:50" x14ac:dyDescent="0.25">
      <c r="A493" s="356"/>
      <c r="B493" s="358" t="s">
        <v>24</v>
      </c>
      <c r="C493" s="353" t="s">
        <v>6</v>
      </c>
      <c r="D493" s="3" t="s">
        <v>7</v>
      </c>
      <c r="E493" s="77" t="str">
        <f>A485&amp;"/"&amp;B493&amp;"/"&amp;C493&amp;"/"&amp;D493</f>
        <v>Diesel oil fired power plants/Gas turbine /Electricity only/L</v>
      </c>
      <c r="F493" s="77" t="str">
        <f>A485</f>
        <v>Diesel oil fired power plants</v>
      </c>
      <c r="G493" s="77" t="str">
        <f>B493</f>
        <v xml:space="preserve">Gas turbine </v>
      </c>
      <c r="H493" s="77" t="str">
        <f>C493</f>
        <v>Electricity only</v>
      </c>
      <c r="I493" s="77" t="str">
        <f t="shared" si="359"/>
        <v>L</v>
      </c>
      <c r="J493" s="121">
        <f>IF(tech_base!$T149&gt;J$345,"",J773+J1053+J1333)</f>
        <v>209.28022038491994</v>
      </c>
      <c r="K493" s="121">
        <f>IF(tech_base!$T149&gt;K$345,"",K773+K1053+K1333)</f>
        <v>243.79292105189529</v>
      </c>
      <c r="L493" s="121">
        <f>IF(tech_base!$T149&gt;L$345,"",L773+L1053+L1333)</f>
        <v>254.77407098969843</v>
      </c>
      <c r="M493" s="121">
        <f>IF(tech_base!$T149&gt;M$345,"",M773+M1053+M1333)</f>
        <v>246.78938077049108</v>
      </c>
      <c r="N493" s="121">
        <f>IF(tech_base!$T149&gt;N$345,"",N773+N1053+N1333)</f>
        <v>233.65978550383718</v>
      </c>
      <c r="O493" s="121">
        <f>IF(tech_base!$T149&gt;O$345,"",O773+O1053+O1333)</f>
        <v>187.57742092935769</v>
      </c>
      <c r="P493" s="121">
        <f>IF(tech_base!$T149&gt;P$345,"",P773+P1053+P1333)</f>
        <v>176.59361904096514</v>
      </c>
      <c r="Q493" s="121">
        <f>IF(tech_base!$T149&gt;Q$345,"",Q773+Q1053+Q1333)</f>
        <v>190.1965231662368</v>
      </c>
      <c r="R493" s="121">
        <f>IF(tech_base!$T149&gt;R$345,"",R773+R1053+R1333)</f>
        <v>202.36025100686876</v>
      </c>
      <c r="S493" s="121">
        <f>IF(tech_base!$T149&gt;S$345,"",S773+S1053+S1333)</f>
        <v>213.0473222127568</v>
      </c>
      <c r="T493" s="121">
        <f>IF(tech_base!$T149&gt;T$345,"",T773+T1053+T1333)</f>
        <v>223.35719152556365</v>
      </c>
      <c r="U493" s="121">
        <f>IF(tech_base!$T149&gt;U$345,"",U773+U1053+U1333)</f>
        <v>233.1846901109071</v>
      </c>
      <c r="V493" s="121">
        <f>IF(tech_base!$T149&gt;V$345,"",V773+V1053+V1333)</f>
        <v>239.82498213741408</v>
      </c>
      <c r="W493" s="121">
        <f>IF(tech_base!$T149&gt;W$345,"",W773+W1053+W1333)</f>
        <v>247.92197546957513</v>
      </c>
      <c r="X493" s="121">
        <f>IF(tech_base!$T149&gt;X$345,"",X773+X1053+X1333)</f>
        <v>254.96680411265845</v>
      </c>
      <c r="Y493" s="121">
        <f>IF(tech_base!$T149&gt;Y$345,"",Y773+Y1053+Y1333)</f>
        <v>260.96534168259336</v>
      </c>
      <c r="Z493" s="121">
        <f>IF(tech_base!$T149&gt;Z$345,"",Z773+Z1053+Z1333)</f>
        <v>264.86754313359842</v>
      </c>
      <c r="AA493" s="121">
        <f>IF(tech_base!$T149&gt;AA$345,"",AA773+AA1053+AA1333)</f>
        <v>268.4139862837427</v>
      </c>
      <c r="AB493" s="121">
        <f>IF(tech_base!$T149&gt;AB$345,"",AB773+AB1053+AB1333)</f>
        <v>270.88938417662018</v>
      </c>
      <c r="AC493" s="121">
        <f>IF(tech_base!$T149&gt;AC$345,"",AC773+AC1053+AC1333)</f>
        <v>274.65639552295363</v>
      </c>
      <c r="AD493" s="121">
        <f>IF(tech_base!$T149&gt;AD$345,"",AD773+AD1053+AD1333)</f>
        <v>277.01472874582811</v>
      </c>
      <c r="AE493" s="121">
        <f>IF(tech_base!$T149&gt;AE$345,"",AE773+AE1053+AE1333)</f>
        <v>279.27073883796083</v>
      </c>
      <c r="AF493" s="121">
        <f>IF(tech_base!$T149&gt;AF$345,"",AF773+AF1053+AF1333)</f>
        <v>280.47656076318765</v>
      </c>
      <c r="AG493" s="121">
        <f>IF(tech_base!$T149&gt;AG$345,"",AG773+AG1053+AG1333)</f>
        <v>281.83185085787392</v>
      </c>
      <c r="AH493" s="121">
        <f>IF(tech_base!$T149&gt;AH$345,"",AH773+AH1053+AH1333)</f>
        <v>283.33614041242464</v>
      </c>
      <c r="AI493" s="121">
        <f>IF(tech_base!$T149&gt;AI$345,"",AI773+AI1053+AI1333)</f>
        <v>285.00413007927199</v>
      </c>
      <c r="AJ493" s="121">
        <f>IF(tech_base!$T149&gt;AJ$345,"",AJ773+AJ1053+AJ1333)</f>
        <v>286.86610078963491</v>
      </c>
      <c r="AK493" s="121">
        <f>IF(tech_base!$T149&gt;AK$345,"",AK773+AK1053+AK1333)</f>
        <v>288.9595541185567</v>
      </c>
      <c r="AL493" s="121">
        <f>IF(tech_base!$T149&gt;AL$345,"",AL773+AL1053+AL1333)</f>
        <v>291.21302950312764</v>
      </c>
      <c r="AM493" s="121">
        <f>IF(tech_base!$T149&gt;AM$345,"",AM773+AM1053+AM1333)</f>
        <v>293.5387801112401</v>
      </c>
      <c r="AN493" s="121">
        <f>IF(tech_base!$T149&gt;AN$345,"",AN773+AN1053+AN1333)</f>
        <v>295.9080556341471</v>
      </c>
      <c r="AO493" s="121">
        <f>IF(tech_base!$T149&gt;AO$345,"",AO773+AO1053+AO1333)</f>
        <v>296.2293332943151</v>
      </c>
      <c r="AP493" s="121">
        <f>IF(tech_base!$T149&gt;AP$345,"",AP773+AP1053+AP1333)</f>
        <v>297.09786811185154</v>
      </c>
      <c r="AQ493" s="121">
        <f>IF(tech_base!$T149&gt;AQ$345,"",AQ773+AQ1053+AQ1333)</f>
        <v>298.01379328472206</v>
      </c>
      <c r="AR493" s="121">
        <f>IF(tech_base!$T149&gt;AR$345,"",AR773+AR1053+AR1333)</f>
        <v>299.87392378143517</v>
      </c>
      <c r="AS493" s="121">
        <f>IF(tech_base!$T149&gt;AS$345,"",AS773+AS1053+AS1333)</f>
        <v>300.89453934989712</v>
      </c>
      <c r="AT493" s="121">
        <f>IF(tech_base!$T149&gt;AT$345,"",AT773+AT1053+AT1333)</f>
        <v>301.91542233188864</v>
      </c>
      <c r="AU493" s="121">
        <f>IF(tech_base!$T149&gt;AU$345,"",AU773+AU1053+AU1333)</f>
        <v>302.91779375293231</v>
      </c>
      <c r="AV493" s="121">
        <f>IF(tech_base!$T149&gt;AV$345,"",AV773+AV1053+AV1333)</f>
        <v>303.89169944257287</v>
      </c>
      <c r="AW493" s="121">
        <f>IF(tech_base!$T149&gt;AW$345,"",AW773+AW1053+AW1333)</f>
        <v>304.82975677012087</v>
      </c>
      <c r="AX493" s="122">
        <f>IF(tech_base!$T149&gt;AX$345,"",AX773+AX1053+AX1333)</f>
        <v>306.04098657150661</v>
      </c>
    </row>
    <row r="494" spans="1:50" x14ac:dyDescent="0.25">
      <c r="A494" s="356"/>
      <c r="B494" s="376"/>
      <c r="C494" s="350"/>
      <c r="D494" s="2" t="s">
        <v>8</v>
      </c>
      <c r="E494" s="76" t="str">
        <f>A485&amp;"/"&amp;B493&amp;"/"&amp;C493&amp;"/"&amp;D494</f>
        <v>Diesel oil fired power plants/Gas turbine /Electricity only/M</v>
      </c>
      <c r="F494" s="76" t="str">
        <f>A485</f>
        <v>Diesel oil fired power plants</v>
      </c>
      <c r="G494" s="76" t="str">
        <f>B493</f>
        <v xml:space="preserve">Gas turbine </v>
      </c>
      <c r="H494" s="76" t="str">
        <f>C493</f>
        <v>Electricity only</v>
      </c>
      <c r="I494" s="76" t="str">
        <f t="shared" si="359"/>
        <v>M</v>
      </c>
      <c r="J494" s="119">
        <f>IF(tech_base!$T150&gt;J$345,"",J774+J1054+J1334)</f>
        <v>219.97070223907383</v>
      </c>
      <c r="K494" s="119">
        <f>IF(tech_base!$T150&gt;K$345,"",K774+K1054+K1334)</f>
        <v>256.26314562009526</v>
      </c>
      <c r="L494" s="119">
        <f>IF(tech_base!$T150&gt;L$345,"",L774+L1054+L1334)</f>
        <v>267.81048864560046</v>
      </c>
      <c r="M494" s="119">
        <f>IF(tech_base!$T150&gt;M$345,"",M774+M1054+M1334)</f>
        <v>259.41391458265491</v>
      </c>
      <c r="N494" s="119">
        <f>IF(tech_base!$T150&gt;N$345,"",N774+N1054+N1334)</f>
        <v>245.6071095429615</v>
      </c>
      <c r="O494" s="119">
        <f>IF(tech_base!$T150&gt;O$345,"",O774+O1054+O1334)</f>
        <v>197.14821538646055</v>
      </c>
      <c r="P494" s="119">
        <f>IF(tech_base!$T150&gt;P$345,"",P774+P1054+P1334)</f>
        <v>185.59786692141103</v>
      </c>
      <c r="Q494" s="119">
        <f>IF(tech_base!$T150&gt;Q$345,"",Q774+Q1054+Q1334)</f>
        <v>199.90207844546342</v>
      </c>
      <c r="R494" s="119">
        <f>IF(tech_base!$T150&gt;R$345,"",R774+R1054+R1334)</f>
        <v>212.69285613771663</v>
      </c>
      <c r="S494" s="119">
        <f>IF(tech_base!$T150&gt;S$345,"",S774+S1054+S1334)</f>
        <v>223.93078268228703</v>
      </c>
      <c r="T494" s="119">
        <f>IF(tech_base!$T150&gt;T$345,"",T774+T1054+T1334)</f>
        <v>234.77200074397498</v>
      </c>
      <c r="U494" s="119">
        <f>IF(tech_base!$T150&gt;U$345,"",U774+U1054+U1334)</f>
        <v>245.10591007550994</v>
      </c>
      <c r="V494" s="119">
        <f>IF(tech_base!$T150&gt;V$345,"",V774+V1054+V1334)</f>
        <v>252.08820006323359</v>
      </c>
      <c r="W494" s="119">
        <f>IF(tech_base!$T150&gt;W$345,"",W774+W1054+W1334)</f>
        <v>260.60222037925263</v>
      </c>
      <c r="X494" s="119">
        <f>IF(tech_base!$T150&gt;X$345,"",X774+X1054+X1334)</f>
        <v>268.00973218383393</v>
      </c>
      <c r="Y494" s="119">
        <f>IF(tech_base!$T150&gt;Y$345,"",Y774+Y1054+Y1334)</f>
        <v>274.31690310417457</v>
      </c>
      <c r="Z494" s="119">
        <f>IF(tech_base!$T150&gt;Z$345,"",Z774+Z1054+Z1334)</f>
        <v>278.41954536761006</v>
      </c>
      <c r="AA494" s="119">
        <f>IF(tech_base!$T150&gt;AA$345,"",AA774+AA1054+AA1334)</f>
        <v>282.14796511808811</v>
      </c>
      <c r="AB494" s="119">
        <f>IF(tech_base!$T150&gt;AB$345,"",AB774+AB1054+AB1334)</f>
        <v>284.74999046802975</v>
      </c>
      <c r="AC494" s="119">
        <f>IF(tech_base!$T150&gt;AC$345,"",AC774+AC1054+AC1334)</f>
        <v>288.71005640970566</v>
      </c>
      <c r="AD494" s="119">
        <f>IF(tech_base!$T150&gt;AD$345,"",AD774+AD1054+AD1334)</f>
        <v>291.18866442722674</v>
      </c>
      <c r="AE494" s="119">
        <f>IF(tech_base!$T150&gt;AE$345,"",AE774+AE1054+AE1334)</f>
        <v>293.55949388832852</v>
      </c>
      <c r="AF494" s="119">
        <f>IF(tech_base!$T150&gt;AF$345,"",AF774+AF1054+AF1334)</f>
        <v>294.82581928808304</v>
      </c>
      <c r="AG494" s="119">
        <f>IF(tech_base!$T150&gt;AG$345,"",AG774+AG1054+AG1334)</f>
        <v>296.24911193842536</v>
      </c>
      <c r="AH494" s="119">
        <f>IF(tech_base!$T150&gt;AH$345,"",AH774+AH1054+AH1334)</f>
        <v>297.82886376196689</v>
      </c>
      <c r="AI494" s="119">
        <f>IF(tech_base!$T150&gt;AI$345,"",AI774+AI1054+AI1334)</f>
        <v>299.58051943850342</v>
      </c>
      <c r="AJ494" s="119">
        <f>IF(tech_base!$T150&gt;AJ$345,"",AJ774+AJ1054+AJ1334)</f>
        <v>301.53590887074142</v>
      </c>
      <c r="AK494" s="119">
        <f>IF(tech_base!$T150&gt;AK$345,"",AK774+AK1054+AK1334)</f>
        <v>303.73445735842324</v>
      </c>
      <c r="AL494" s="119">
        <f>IF(tech_base!$T150&gt;AL$345,"",AL774+AL1054+AL1334)</f>
        <v>306.10102107448489</v>
      </c>
      <c r="AM494" s="119">
        <f>IF(tech_base!$T150&gt;AM$345,"",AM774+AM1054+AM1334)</f>
        <v>308.54333977357601</v>
      </c>
      <c r="AN494" s="119">
        <f>IF(tech_base!$T150&gt;AN$345,"",AN774+AN1054+AN1334)</f>
        <v>311.03119673483923</v>
      </c>
      <c r="AO494" s="119">
        <f>IF(tech_base!$T150&gt;AO$345,"",AO774+AO1054+AO1334)</f>
        <v>311.365456553787</v>
      </c>
      <c r="AP494" s="119">
        <f>IF(tech_base!$T150&gt;AP$345,"",AP774+AP1054+AP1334)</f>
        <v>312.27500112974383</v>
      </c>
      <c r="AQ494" s="119">
        <f>IF(tech_base!$T150&gt;AQ$345,"",AQ774+AQ1054+AQ1334)</f>
        <v>313.23427509634286</v>
      </c>
      <c r="AR494" s="119">
        <f>IF(tech_base!$T150&gt;AR$345,"",AR774+AR1054+AR1334)</f>
        <v>315.18626624631389</v>
      </c>
      <c r="AS494" s="119">
        <f>IF(tech_base!$T150&gt;AS$345,"",AS774+AS1054+AS1334)</f>
        <v>316.25556078447295</v>
      </c>
      <c r="AT494" s="119">
        <f>IF(tech_base!$T150&gt;AT$345,"",AT774+AT1054+AT1334)</f>
        <v>317.32520313984475</v>
      </c>
      <c r="AU494" s="119">
        <f>IF(tech_base!$T150&gt;AU$345,"",AU774+AU1054+AU1334)</f>
        <v>318.37551468146472</v>
      </c>
      <c r="AV494" s="119">
        <f>IF(tech_base!$T150&gt;AV$345,"",AV774+AV1054+AV1334)</f>
        <v>319.39609708978128</v>
      </c>
      <c r="AW494" s="119">
        <f>IF(tech_base!$T150&gt;AW$345,"",AW774+AW1054+AW1334)</f>
        <v>320.37925483556694</v>
      </c>
      <c r="AX494" s="120">
        <f>IF(tech_base!$T150&gt;AX$345,"",AX774+AX1054+AX1334)</f>
        <v>321.64994767007875</v>
      </c>
    </row>
    <row r="495" spans="1:50" x14ac:dyDescent="0.25">
      <c r="A495" s="356"/>
      <c r="B495" s="376"/>
      <c r="C495" s="350"/>
      <c r="D495" s="2" t="s">
        <v>10</v>
      </c>
      <c r="E495" s="76" t="str">
        <f>A485&amp;"/"&amp;B493&amp;"/"&amp;C493&amp;"/"&amp;D495</f>
        <v>Diesel oil fired power plants/Gas turbine /Electricity only/S</v>
      </c>
      <c r="F495" s="76" t="str">
        <f>A485</f>
        <v>Diesel oil fired power plants</v>
      </c>
      <c r="G495" s="76" t="str">
        <f>B493</f>
        <v xml:space="preserve">Gas turbine </v>
      </c>
      <c r="H495" s="76" t="str">
        <f>C493</f>
        <v>Electricity only</v>
      </c>
      <c r="I495" s="76" t="str">
        <f t="shared" si="359"/>
        <v>S</v>
      </c>
      <c r="J495" s="119">
        <f>IF(tech_base!$T151&gt;J$345,"",J775+J1055+J1335)</f>
        <v>234.54042117183172</v>
      </c>
      <c r="K495" s="119">
        <f>IF(tech_base!$T151&gt;K$345,"",K775+K1055+K1335)</f>
        <v>272.71182956528679</v>
      </c>
      <c r="L495" s="119">
        <f>IF(tech_base!$T151&gt;L$345,"",L775+L1055+L1335)</f>
        <v>284.86076856367544</v>
      </c>
      <c r="M495" s="119">
        <f>IF(tech_base!$T151&gt;M$345,"",M775+M1055+M1335)</f>
        <v>276.03557941503846</v>
      </c>
      <c r="N495" s="119">
        <f>IF(tech_base!$T151&gt;N$345,"",N775+N1055+N1335)</f>
        <v>261.52056379074696</v>
      </c>
      <c r="O495" s="119">
        <f>IF(tech_base!$T151&gt;O$345,"",O775+O1055+O1335)</f>
        <v>210.5607077902315</v>
      </c>
      <c r="P495" s="119">
        <f>IF(tech_base!$T151&gt;P$345,"",P775+P1055+P1335)</f>
        <v>198.4181070657788</v>
      </c>
      <c r="Q495" s="119">
        <f>IF(tech_base!$T151&gt;Q$345,"",Q775+Q1055+Q1335)</f>
        <v>213.46875924805417</v>
      </c>
      <c r="R495" s="119">
        <f>IF(tech_base!$T151&gt;R$345,"",R775+R1055+R1335)</f>
        <v>226.92879202546894</v>
      </c>
      <c r="S495" s="119">
        <f>IF(tech_base!$T151&gt;S$345,"",S775+S1055+S1335)</f>
        <v>238.75673991949066</v>
      </c>
      <c r="T495" s="119">
        <f>IF(tech_base!$T151&gt;T$345,"",T775+T1055+T1335)</f>
        <v>250.16868343016074</v>
      </c>
      <c r="U495" s="119">
        <f>IF(tech_base!$T151&gt;U$345,"",U775+U1055+U1335)</f>
        <v>261.04835280634614</v>
      </c>
      <c r="V495" s="119">
        <f>IF(tech_base!$T151&gt;V$345,"",V775+V1055+V1335)</f>
        <v>268.40378554908585</v>
      </c>
      <c r="W495" s="119">
        <f>IF(tech_base!$T151&gt;W$345,"",W775+W1055+W1335)</f>
        <v>277.37183475358785</v>
      </c>
      <c r="X495" s="119">
        <f>IF(tech_base!$T151&gt;X$345,"",X775+X1055+X1335)</f>
        <v>285.1773093045021</v>
      </c>
      <c r="Y495" s="119">
        <f>IF(tech_base!$T151&gt;Y$345,"",Y775+Y1055+Y1335)</f>
        <v>291.82663423679145</v>
      </c>
      <c r="Z495" s="119">
        <f>IF(tech_base!$T151&gt;Z$345,"",Z775+Z1055+Z1335)</f>
        <v>296.15800728994628</v>
      </c>
      <c r="AA495" s="119">
        <f>IF(tech_base!$T151&gt;AA$345,"",AA775+AA1055+AA1335)</f>
        <v>300.09689290154171</v>
      </c>
      <c r="AB495" s="119">
        <f>IF(tech_base!$T151&gt;AB$345,"",AB775+AB1055+AB1335)</f>
        <v>302.85180470607668</v>
      </c>
      <c r="AC495" s="119">
        <f>IF(tech_base!$T151&gt;AC$345,"",AC775+AC1055+AC1335)</f>
        <v>307.03678440660963</v>
      </c>
      <c r="AD495" s="119">
        <f>IF(tech_base!$T151&gt;AD$345,"",AD775+AD1055+AD1335)</f>
        <v>309.66398963801305</v>
      </c>
      <c r="AE495" s="119">
        <f>IF(tech_base!$T151&gt;AE$345,"",AE775+AE1055+AE1335)</f>
        <v>312.17870020827297</v>
      </c>
      <c r="AF495" s="119">
        <f>IF(tech_base!$T151&gt;AF$345,"",AF775+AF1055+AF1335)</f>
        <v>313.53180996037446</v>
      </c>
      <c r="AG495" s="119">
        <f>IF(tech_base!$T151&gt;AG$345,"",AG775+AG1055+AG1335)</f>
        <v>315.05064913142371</v>
      </c>
      <c r="AH495" s="119">
        <f>IF(tech_base!$T151&gt;AH$345,"",AH775+AH1055+AH1335)</f>
        <v>316.73452957733559</v>
      </c>
      <c r="AI495" s="119">
        <f>IF(tech_base!$T151&gt;AI$345,"",AI775+AI1055+AI1335)</f>
        <v>318.59952139836093</v>
      </c>
      <c r="AJ495" s="119">
        <f>IF(tech_base!$T151&gt;AJ$345,"",AJ775+AJ1055+AJ1335)</f>
        <v>320.67891233345182</v>
      </c>
      <c r="AK495" s="119">
        <f>IF(tech_base!$T151&gt;AK$345,"",AK775+AK1055+AK1335)</f>
        <v>323.01395970134422</v>
      </c>
      <c r="AL495" s="119">
        <f>IF(tech_base!$T151&gt;AL$345,"",AL775+AL1055+AL1335)</f>
        <v>325.52528011796744</v>
      </c>
      <c r="AM495" s="119">
        <f>IF(tech_base!$T151&gt;AM$345,"",AM775+AM1055+AM1335)</f>
        <v>328.11542186984053</v>
      </c>
      <c r="AN495" s="119">
        <f>IF(tech_base!$T151&gt;AN$345,"",AN775+AN1055+AN1335)</f>
        <v>330.7522152000592</v>
      </c>
      <c r="AO495" s="119">
        <f>IF(tech_base!$T151&gt;AO$345,"",AO775+AO1055+AO1335)</f>
        <v>331.11970591073845</v>
      </c>
      <c r="AP495" s="119">
        <f>IF(tech_base!$T151&gt;AP$345,"",AP775+AP1055+AP1335)</f>
        <v>332.09072553369668</v>
      </c>
      <c r="AQ495" s="119">
        <f>IF(tech_base!$T151&gt;AQ$345,"",AQ775+AQ1055+AQ1335)</f>
        <v>333.11157912722956</v>
      </c>
      <c r="AR495" s="119">
        <f>IF(tech_base!$T151&gt;AR$345,"",AR775+AR1055+AR1335)</f>
        <v>335.17498082985611</v>
      </c>
      <c r="AS495" s="119">
        <f>IF(tech_base!$T151&gt;AS$345,"",AS775+AS1055+AS1335)</f>
        <v>336.30575247504225</v>
      </c>
      <c r="AT495" s="119">
        <f>IF(tech_base!$T151&gt;AT$345,"",AT775+AT1055+AT1335)</f>
        <v>337.43354202008658</v>
      </c>
      <c r="AU495" s="119">
        <f>IF(tech_base!$T151&gt;AU$345,"",AU775+AU1055+AU1335)</f>
        <v>338.53746366771605</v>
      </c>
      <c r="AV495" s="119">
        <f>IF(tech_base!$T151&gt;AV$345,"",AV775+AV1055+AV1335)</f>
        <v>339.60647759899223</v>
      </c>
      <c r="AW495" s="119">
        <f>IF(tech_base!$T151&gt;AW$345,"",AW775+AW1055+AW1335)</f>
        <v>340.63247041563073</v>
      </c>
      <c r="AX495" s="120">
        <f>IF(tech_base!$T151&gt;AX$345,"",AX775+AX1055+AX1335)</f>
        <v>341.95772181555151</v>
      </c>
    </row>
    <row r="496" spans="1:50" x14ac:dyDescent="0.25">
      <c r="A496" s="356"/>
      <c r="B496" s="376"/>
      <c r="C496" s="360"/>
      <c r="D496" s="2" t="s">
        <v>20</v>
      </c>
      <c r="E496" s="76" t="str">
        <f>A485&amp;"/"&amp;B493&amp;"/"&amp;C493&amp;"/"&amp;D496</f>
        <v>Diesel oil fired power plants/Gas turbine /Electricity only/XS</v>
      </c>
      <c r="F496" s="76" t="str">
        <f>A485</f>
        <v>Diesel oil fired power plants</v>
      </c>
      <c r="G496" s="76" t="str">
        <f>B493</f>
        <v xml:space="preserve">Gas turbine </v>
      </c>
      <c r="H496" s="76" t="str">
        <f>C493</f>
        <v>Electricity only</v>
      </c>
      <c r="I496" s="76" t="str">
        <f t="shared" si="359"/>
        <v>XS</v>
      </c>
      <c r="J496" s="119">
        <f>IF(tech_base!$T152&gt;J$345,"",J776+J1056+J1336)</f>
        <v>256.95712742113204</v>
      </c>
      <c r="K496" s="119">
        <f>IF(tech_base!$T152&gt;K$345,"",K776+K1056+K1336)</f>
        <v>297.10596248693622</v>
      </c>
      <c r="L496" s="119">
        <f>IF(tech_base!$T152&gt;L$345,"",L776+L1056+L1336)</f>
        <v>309.88647522868905</v>
      </c>
      <c r="M496" s="119">
        <f>IF(tech_base!$T152&gt;M$345,"",M776+M1056+M1336)</f>
        <v>300.60765372446093</v>
      </c>
      <c r="N496" s="119">
        <f>IF(tech_base!$T152&gt;N$345,"",N776+N1056+N1336)</f>
        <v>285.34451436937331</v>
      </c>
      <c r="O496" s="119">
        <f>IF(tech_base!$T152&gt;O$345,"",O776+O1056+O1336)</f>
        <v>231.74905966511733</v>
      </c>
      <c r="P496" s="119">
        <f>IF(tech_base!$T152&gt;P$345,"",P776+P1056+P1336)</f>
        <v>218.98063872699908</v>
      </c>
      <c r="Q496" s="119">
        <f>IF(tech_base!$T152&gt;Q$345,"",Q776+Q1056+Q1336)</f>
        <v>234.81448846247207</v>
      </c>
      <c r="R496" s="119">
        <f>IF(tech_base!$T152&gt;R$345,"",R776+R1056+R1336)</f>
        <v>248.97606239247298</v>
      </c>
      <c r="S496" s="119">
        <f>IF(tech_base!$T152&gt;S$345,"",S776+S1056+S1336)</f>
        <v>261.42174983567207</v>
      </c>
      <c r="T496" s="119">
        <f>IF(tech_base!$T152&gt;T$345,"",T776+T1056+T1336)</f>
        <v>273.43070481831984</v>
      </c>
      <c r="U496" s="119">
        <f>IF(tech_base!$T152&gt;U$345,"",U776+U1056+U1336)</f>
        <v>284.8806850781686</v>
      </c>
      <c r="V496" s="119">
        <f>IF(tech_base!$T152&gt;V$345,"",V776+V1056+V1336)</f>
        <v>292.62445382477307</v>
      </c>
      <c r="W496" s="119">
        <f>IF(tech_base!$T152&gt;W$345,"",W776+W1056+W1336)</f>
        <v>302.0655007833459</v>
      </c>
      <c r="X496" s="119">
        <f>IF(tech_base!$T152&gt;X$345,"",X776+X1056+X1336)</f>
        <v>310.28462077277544</v>
      </c>
      <c r="Y496" s="119">
        <f>IF(tech_base!$T152&gt;Y$345,"",Y776+Y1056+Y1336)</f>
        <v>317.28855628864892</v>
      </c>
      <c r="Z496" s="119">
        <f>IF(tech_base!$T152&gt;Z$345,"",Z776+Z1056+Z1336)</f>
        <v>321.85502687425077</v>
      </c>
      <c r="AA496" s="119">
        <f>IF(tech_base!$T152&gt;AA$345,"",AA776+AA1056+AA1336)</f>
        <v>326.00957200499118</v>
      </c>
      <c r="AB496" s="119">
        <f>IF(tech_base!$T152&gt;AB$345,"",AB776+AB1056+AB1336)</f>
        <v>328.91947302151806</v>
      </c>
      <c r="AC496" s="119">
        <f>IF(tech_base!$T152&gt;AC$345,"",AC776+AC1056+AC1336)</f>
        <v>333.3349598468908</v>
      </c>
      <c r="AD496" s="119">
        <f>IF(tech_base!$T152&gt;AD$345,"",AD776+AD1056+AD1336)</f>
        <v>336.11248125206953</v>
      </c>
      <c r="AE496" s="119">
        <f>IF(tech_base!$T152&gt;AE$345,"",AE776+AE1056+AE1336)</f>
        <v>338.77260393338861</v>
      </c>
      <c r="AF496" s="119">
        <f>IF(tech_base!$T152&gt;AF$345,"",AF776+AF1056+AF1336)</f>
        <v>340.21135505379738</v>
      </c>
      <c r="AG496" s="119">
        <f>IF(tech_base!$T152&gt;AG$345,"",AG776+AG1056+AG1336)</f>
        <v>341.82530733736399</v>
      </c>
      <c r="AH496" s="119">
        <f>IF(tech_base!$T152&gt;AH$345,"",AH776+AH1056+AH1336)</f>
        <v>343.61369967790625</v>
      </c>
      <c r="AI496" s="119">
        <f>IF(tech_base!$T152&gt;AI$345,"",AI776+AI1056+AI1336)</f>
        <v>345.59338497548509</v>
      </c>
      <c r="AJ496" s="119">
        <f>IF(tech_base!$T152&gt;AJ$345,"",AJ776+AJ1056+AJ1336)</f>
        <v>347.79931493693255</v>
      </c>
      <c r="AK496" s="119">
        <f>IF(tech_base!$T152&gt;AK$345,"",AK776+AK1056+AK1336)</f>
        <v>350.27480807017912</v>
      </c>
      <c r="AL496" s="119">
        <f>IF(tech_base!$T152&gt;AL$345,"",AL776+AL1056+AL1336)</f>
        <v>352.93617386922602</v>
      </c>
      <c r="AM496" s="119">
        <f>IF(tech_base!$T152&gt;AM$345,"",AM776+AM1056+AM1336)</f>
        <v>355.68064807431915</v>
      </c>
      <c r="AN496" s="119">
        <f>IF(tech_base!$T152&gt;AN$345,"",AN776+AN1056+AN1336)</f>
        <v>358.47412953957814</v>
      </c>
      <c r="AO496" s="119">
        <f>IF(tech_base!$T152&gt;AO$345,"",AO776+AO1056+AO1336)</f>
        <v>358.87813758701049</v>
      </c>
      <c r="AP496" s="119">
        <f>IF(tech_base!$T152&gt;AP$345,"",AP776+AP1056+AP1336)</f>
        <v>359.91658849734512</v>
      </c>
      <c r="AQ496" s="119">
        <f>IF(tech_base!$T152&gt;AQ$345,"",AQ776+AQ1056+AQ1336)</f>
        <v>361.00625704969457</v>
      </c>
      <c r="AR496" s="119">
        <f>IF(tech_base!$T152&gt;AR$345,"",AR776+AR1056+AR1336)</f>
        <v>363.19207077745494</v>
      </c>
      <c r="AS496" s="119">
        <f>IF(tech_base!$T152&gt;AS$345,"",AS776+AS1056+AS1336)</f>
        <v>364.393930482082</v>
      </c>
      <c r="AT496" s="119">
        <f>IF(tech_base!$T152&gt;AT$345,"",AT776+AT1056+AT1336)</f>
        <v>365.59027993060198</v>
      </c>
      <c r="AU496" s="119">
        <f>IF(tech_base!$T152&gt;AU$345,"",AU776+AU1056+AU1336)</f>
        <v>366.75874864049837</v>
      </c>
      <c r="AV496" s="119">
        <f>IF(tech_base!$T152&gt;AV$345,"",AV776+AV1056+AV1336)</f>
        <v>367.88735479783639</v>
      </c>
      <c r="AW496" s="119">
        <f>IF(tech_base!$T152&gt;AW$345,"",AW776+AW1056+AW1336)</f>
        <v>368.96723474603709</v>
      </c>
      <c r="AX496" s="120">
        <f>IF(tech_base!$T152&gt;AX$345,"",AX776+AX1056+AX1336)</f>
        <v>370.35860480238279</v>
      </c>
    </row>
    <row r="497" spans="1:50" x14ac:dyDescent="0.25">
      <c r="A497" s="356"/>
      <c r="B497" s="376"/>
      <c r="C497" s="361" t="s">
        <v>14</v>
      </c>
      <c r="D497" s="58" t="s">
        <v>7</v>
      </c>
      <c r="E497" s="78" t="str">
        <f>A485&amp;"/"&amp;B493&amp;"/"&amp;C497&amp;"/"&amp;D497</f>
        <v>Diesel oil fired power plants/Gas turbine /CHP/L</v>
      </c>
      <c r="F497" s="78" t="str">
        <f>A485</f>
        <v>Diesel oil fired power plants</v>
      </c>
      <c r="G497" s="78" t="str">
        <f>B493</f>
        <v xml:space="preserve">Gas turbine </v>
      </c>
      <c r="H497" s="78" t="str">
        <f>C497</f>
        <v>CHP</v>
      </c>
      <c r="I497" s="78" t="str">
        <f t="shared" si="359"/>
        <v>L</v>
      </c>
      <c r="J497" s="123">
        <f>IF(tech_base!$T153&gt;J$345,"",J777+J1057+J1337)</f>
        <v>237.75084419762061</v>
      </c>
      <c r="K497" s="123">
        <f>IF(tech_base!$T153&gt;K$345,"",K777+K1057+K1337)</f>
        <v>275.82973198257957</v>
      </c>
      <c r="L497" s="123">
        <f>IF(tech_base!$T153&gt;L$345,"",L777+L1057+L1337)</f>
        <v>287.9466304986359</v>
      </c>
      <c r="M497" s="123">
        <f>IF(tech_base!$T153&gt;M$345,"",M777+M1057+M1337)</f>
        <v>279.13848270368311</v>
      </c>
      <c r="N497" s="123">
        <f>IF(tech_base!$T153&gt;N$345,"",N777+N1057+N1337)</f>
        <v>264.65381867252574</v>
      </c>
      <c r="O497" s="123">
        <f>IF(tech_base!$T153&gt;O$345,"",O777+O1057+O1337)</f>
        <v>213.81110162689521</v>
      </c>
      <c r="P497" s="123">
        <f>IF(tech_base!$T153&gt;P$345,"",P777+P1057+P1337)</f>
        <v>201.69338819276746</v>
      </c>
      <c r="Q497" s="123">
        <f>IF(tech_base!$T153&gt;Q$345,"",Q777+Q1057+Q1337)</f>
        <v>216.70340375811381</v>
      </c>
      <c r="R497" s="123">
        <f>IF(tech_base!$T153&gt;R$345,"",R777+R1057+R1337)</f>
        <v>230.12587886262901</v>
      </c>
      <c r="S497" s="123">
        <f>IF(tech_base!$T153&gt;S$345,"",S777+S1057+S1337)</f>
        <v>241.91944104873264</v>
      </c>
      <c r="T497" s="123">
        <f>IF(tech_base!$T153&gt;T$345,"",T777+T1057+T1337)</f>
        <v>253.29719585307868</v>
      </c>
      <c r="U497" s="123">
        <f>IF(tech_base!$T153&gt;U$345,"",U777+U1057+U1337)</f>
        <v>264.1431120955786</v>
      </c>
      <c r="V497" s="123">
        <f>IF(tech_base!$T153&gt;V$345,"",V777+V1057+V1337)</f>
        <v>271.47260976538143</v>
      </c>
      <c r="W497" s="123">
        <f>IF(tech_base!$T153&gt;W$345,"",W777+W1057+W1337)</f>
        <v>280.40983449215076</v>
      </c>
      <c r="X497" s="123">
        <f>IF(tech_base!$T153&gt;X$345,"",X777+X1057+X1337)</f>
        <v>288.18644078482077</v>
      </c>
      <c r="Y497" s="123">
        <f>IF(tech_base!$T153&gt;Y$345,"",Y777+Y1057+Y1337)</f>
        <v>294.80885923989035</v>
      </c>
      <c r="Z497" s="123">
        <f>IF(tech_base!$T153&gt;Z$345,"",Z777+Z1057+Z1337)</f>
        <v>299.11830143443655</v>
      </c>
      <c r="AA497" s="123">
        <f>IF(tech_base!$T153&gt;AA$345,"",AA777+AA1057+AA1337)</f>
        <v>303.0353880730222</v>
      </c>
      <c r="AB497" s="123">
        <f>IF(tech_base!$T153&gt;AB$345,"",AB777+AB1057+AB1337)</f>
        <v>305.77071958066659</v>
      </c>
      <c r="AC497" s="123">
        <f>IF(tech_base!$T153&gt;AC$345,"",AC777+AC1057+AC1337)</f>
        <v>309.93153941258311</v>
      </c>
      <c r="AD497" s="123">
        <f>IF(tech_base!$T153&gt;AD$345,"",AD777+AD1057+AD1337)</f>
        <v>312.53787374539695</v>
      </c>
      <c r="AE497" s="123">
        <f>IF(tech_base!$T153&gt;AE$345,"",AE777+AE1057+AE1337)</f>
        <v>315.0312767952696</v>
      </c>
      <c r="AF497" s="123">
        <f>IF(tech_base!$T153&gt;AF$345,"",AF777+AF1057+AF1337)</f>
        <v>316.36556738485501</v>
      </c>
      <c r="AG497" s="123">
        <f>IF(tech_base!$T153&gt;AG$345,"",AG777+AG1057+AG1337)</f>
        <v>317.86460522307851</v>
      </c>
      <c r="AH497" s="123">
        <f>IF(tech_base!$T153&gt;AH$345,"",AH777+AH1057+AH1337)</f>
        <v>319.52779207183892</v>
      </c>
      <c r="AI497" s="123">
        <f>IF(tech_base!$T153&gt;AI$345,"",AI777+AI1057+AI1337)</f>
        <v>321.37126301812816</v>
      </c>
      <c r="AJ497" s="123">
        <f>IF(tech_base!$T153&gt;AJ$345,"",AJ777+AJ1057+AJ1337)</f>
        <v>323.42834289788078</v>
      </c>
      <c r="AK497" s="123">
        <f>IF(tech_base!$T153&gt;AK$345,"",AK777+AK1057+AK1337)</f>
        <v>325.74032249217464</v>
      </c>
      <c r="AL497" s="123">
        <f>IF(tech_base!$T153&gt;AL$345,"",AL777+AL1057+AL1337)</f>
        <v>328.22821979499656</v>
      </c>
      <c r="AM497" s="123">
        <f>IF(tech_base!$T153&gt;AM$345,"",AM777+AM1057+AM1337)</f>
        <v>330.7950671405344</v>
      </c>
      <c r="AN497" s="123">
        <f>IF(tech_base!$T153&gt;AN$345,"",AN777+AN1057+AN1337)</f>
        <v>333.4090133677874</v>
      </c>
      <c r="AO497" s="123">
        <f>IF(tech_base!$T153&gt;AO$345,"",AO777+AO1057+AO1337)</f>
        <v>333.76122951840983</v>
      </c>
      <c r="AP497" s="123">
        <f>IF(tech_base!$T153&gt;AP$345,"",AP777+AP1057+AP1337)</f>
        <v>334.71632393295226</v>
      </c>
      <c r="AQ497" s="123">
        <f>IF(tech_base!$T153&gt;AQ$345,"",AQ777+AQ1057+AQ1337)</f>
        <v>335.72245816733772</v>
      </c>
      <c r="AR497" s="123">
        <f>IF(tech_base!$T153&gt;AR$345,"",AR777+AR1057+AR1337)</f>
        <v>337.76955669112857</v>
      </c>
      <c r="AS497" s="123">
        <f>IF(tech_base!$T153&gt;AS$345,"",AS777+AS1057+AS1337)</f>
        <v>338.88858714911669</v>
      </c>
      <c r="AT497" s="123">
        <f>IF(tech_base!$T153&gt;AT$345,"",AT777+AT1057+AT1337)</f>
        <v>340.00656000124235</v>
      </c>
      <c r="AU497" s="123">
        <f>IF(tech_base!$T153&gt;AU$345,"",AU777+AU1057+AU1337)</f>
        <v>341.10277392343909</v>
      </c>
      <c r="AV497" s="123">
        <f>IF(tech_base!$T153&gt;AV$345,"",AV777+AV1057+AV1337)</f>
        <v>342.16629866635395</v>
      </c>
      <c r="AW497" s="123">
        <f>IF(tech_base!$T153&gt;AW$345,"",AW777+AW1057+AW1337)</f>
        <v>343.18907139937289</v>
      </c>
      <c r="AX497" s="124">
        <f>IF(tech_base!$T153&gt;AX$345,"",AX777+AX1057+AX1337)</f>
        <v>344.51231953012814</v>
      </c>
    </row>
    <row r="498" spans="1:50" x14ac:dyDescent="0.25">
      <c r="A498" s="356"/>
      <c r="B498" s="376"/>
      <c r="C498" s="378"/>
      <c r="D498" s="2" t="s">
        <v>8</v>
      </c>
      <c r="E498" s="76" t="str">
        <f>A485&amp;"/"&amp;B493&amp;"/"&amp;C497&amp;"/"&amp;D498</f>
        <v>Diesel oil fired power plants/Gas turbine /CHP/M</v>
      </c>
      <c r="F498" s="76" t="str">
        <f>A485</f>
        <v>Diesel oil fired power plants</v>
      </c>
      <c r="G498" s="76" t="str">
        <f>B493</f>
        <v xml:space="preserve">Gas turbine </v>
      </c>
      <c r="H498" s="76" t="str">
        <f>C497</f>
        <v>CHP</v>
      </c>
      <c r="I498" s="76" t="str">
        <f t="shared" si="359"/>
        <v>M</v>
      </c>
      <c r="J498" s="119">
        <f>IF(tech_base!$T154&gt;J$345,"",J778+J1058+J1338)</f>
        <v>249.49111368085207</v>
      </c>
      <c r="K498" s="119">
        <f>IF(tech_base!$T154&gt;K$345,"",K778+K1058+K1338)</f>
        <v>289.53872529099317</v>
      </c>
      <c r="L498" s="119">
        <f>IF(tech_base!$T154&gt;L$345,"",L778+L1058+L1338)</f>
        <v>302.28106203192272</v>
      </c>
      <c r="M498" s="119">
        <f>IF(tech_base!$T154&gt;M$345,"",M778+M1058+M1338)</f>
        <v>293.01584611256465</v>
      </c>
      <c r="N498" s="119">
        <f>IF(tech_base!$T154&gt;N$345,"",N778+N1058+N1338)</f>
        <v>277.78047253895886</v>
      </c>
      <c r="O498" s="119">
        <f>IF(tech_base!$T154&gt;O$345,"",O778+O1058+O1338)</f>
        <v>224.30685179230738</v>
      </c>
      <c r="P498" s="119">
        <f>IF(tech_base!$T154&gt;P$345,"",P778+P1058+P1338)</f>
        <v>211.56098812313735</v>
      </c>
      <c r="Q498" s="119">
        <f>IF(tech_base!$T154&gt;Q$345,"",Q778+Q1058+Q1338)</f>
        <v>227.34540882293024</v>
      </c>
      <c r="R498" s="119">
        <f>IF(tech_base!$T154&gt;R$345,"",R778+R1058+R1338)</f>
        <v>241.45988812940485</v>
      </c>
      <c r="S498" s="119">
        <f>IF(tech_base!$T154&gt;S$345,"",S778+S1058+S1338)</f>
        <v>253.86091214797381</v>
      </c>
      <c r="T498" s="119">
        <f>IF(tech_base!$T154&gt;T$345,"",T778+T1058+T1338)</f>
        <v>265.82428340550206</v>
      </c>
      <c r="U498" s="119">
        <f>IF(tech_base!$T154&gt;U$345,"",U778+U1058+U1338)</f>
        <v>277.22795153985987</v>
      </c>
      <c r="V498" s="119">
        <f>IF(tech_base!$T154&gt;V$345,"",V778+V1058+V1338)</f>
        <v>284.93311608379418</v>
      </c>
      <c r="W498" s="119">
        <f>IF(tech_base!$T154&gt;W$345,"",W778+W1058+W1338)</f>
        <v>294.32868119516263</v>
      </c>
      <c r="X498" s="119">
        <f>IF(tech_base!$T154&gt;X$345,"",X778+X1058+X1338)</f>
        <v>302.50325141810481</v>
      </c>
      <c r="Y498" s="119">
        <f>IF(tech_base!$T154&gt;Y$345,"",Y778+Y1058+Y1338)</f>
        <v>309.46359673906619</v>
      </c>
      <c r="Z498" s="119">
        <f>IF(tech_base!$T154&gt;Z$345,"",Z778+Z1058+Z1338)</f>
        <v>313.99112050376255</v>
      </c>
      <c r="AA498" s="119">
        <f>IF(tech_base!$T154&gt;AA$345,"",AA778+AA1058+AA1338)</f>
        <v>318.10563395338886</v>
      </c>
      <c r="AB498" s="119">
        <f>IF(tech_base!$T154&gt;AB$345,"",AB778+AB1058+AB1338)</f>
        <v>320.9770072955211</v>
      </c>
      <c r="AC498" s="119">
        <f>IF(tech_base!$T154&gt;AC$345,"",AC778+AC1058+AC1338)</f>
        <v>325.34701945502434</v>
      </c>
      <c r="AD498" s="119">
        <f>IF(tech_base!$T154&gt;AD$345,"",AD778+AD1058+AD1338)</f>
        <v>328.08195422700658</v>
      </c>
      <c r="AE498" s="119">
        <f>IF(tech_base!$T154&gt;AE$345,"",AE778+AE1058+AE1338)</f>
        <v>330.69775846647588</v>
      </c>
      <c r="AF498" s="119">
        <f>IF(tech_base!$T154&gt;AF$345,"",AF778+AF1058+AF1338)</f>
        <v>332.09434919420767</v>
      </c>
      <c r="AG498" s="119">
        <f>IF(tech_base!$T154&gt;AG$345,"",AG778+AG1058+AG1338)</f>
        <v>333.66387215855571</v>
      </c>
      <c r="AH498" s="119">
        <f>IF(tech_base!$T154&gt;AH$345,"",AH778+AH1058+AH1338)</f>
        <v>335.40572000017676</v>
      </c>
      <c r="AI498" s="119">
        <f>IF(tech_base!$T154&gt;AI$345,"",AI778+AI1058+AI1338)</f>
        <v>337.33688882218587</v>
      </c>
      <c r="AJ498" s="119">
        <f>IF(tech_base!$T154&gt;AJ$345,"",AJ778+AJ1058+AJ1338)</f>
        <v>339.49245733644455</v>
      </c>
      <c r="AK498" s="119">
        <f>IF(tech_base!$T154&gt;AK$345,"",AK778+AK1058+AK1338)</f>
        <v>341.91588744276612</v>
      </c>
      <c r="AL498" s="119">
        <f>IF(tech_base!$T154&gt;AL$345,"",AL778+AL1058+AL1338)</f>
        <v>344.52418967106178</v>
      </c>
      <c r="AM498" s="119">
        <f>IF(tech_base!$T154&gt;AM$345,"",AM778+AM1058+AM1338)</f>
        <v>347.21548045652344</v>
      </c>
      <c r="AN498" s="119">
        <f>IF(tech_base!$T154&gt;AN$345,"",AN778+AN1058+AN1338)</f>
        <v>349.9563564702122</v>
      </c>
      <c r="AO498" s="119">
        <f>IF(tech_base!$T154&gt;AO$345,"",AO778+AO1058+AO1338)</f>
        <v>350.31946606427516</v>
      </c>
      <c r="AP498" s="119">
        <f>IF(tech_base!$T154&gt;AP$345,"",AP778+AP1058+AP1338)</f>
        <v>351.31676159116802</v>
      </c>
      <c r="AQ498" s="119">
        <f>IF(tech_base!$T154&gt;AQ$345,"",AQ778+AQ1058+AQ1338)</f>
        <v>352.36814611430009</v>
      </c>
      <c r="AR498" s="119">
        <f>IF(tech_base!$T154&gt;AR$345,"",AR778+AR1058+AR1338)</f>
        <v>354.51445831352441</v>
      </c>
      <c r="AS498" s="119">
        <f>IF(tech_base!$T154&gt;AS$345,"",AS778+AS1058+AS1338)</f>
        <v>355.68568808566977</v>
      </c>
      <c r="AT498" s="119">
        <f>IF(tech_base!$T154&gt;AT$345,"",AT778+AT1058+AT1338)</f>
        <v>356.85654023785901</v>
      </c>
      <c r="AU498" s="119">
        <f>IF(tech_base!$T154&gt;AU$345,"",AU778+AU1058+AU1338)</f>
        <v>358.00534207799677</v>
      </c>
      <c r="AV498" s="119">
        <f>IF(tech_base!$T154&gt;AV$345,"",AV778+AV1058+AV1338)</f>
        <v>359.12068185462044</v>
      </c>
      <c r="AW498" s="119">
        <f>IF(tech_base!$T154&gt;AW$345,"",AW778+AW1058+AW1338)</f>
        <v>360.19414746174039</v>
      </c>
      <c r="AX498" s="120">
        <f>IF(tech_base!$T154&gt;AX$345,"",AX778+AX1058+AX1338)</f>
        <v>361.584509590452</v>
      </c>
    </row>
    <row r="499" spans="1:50" x14ac:dyDescent="0.25">
      <c r="A499" s="356"/>
      <c r="B499" s="376"/>
      <c r="C499" s="378"/>
      <c r="D499" s="2" t="s">
        <v>10</v>
      </c>
      <c r="E499" s="76" t="str">
        <f>A485&amp;"/"&amp;B493&amp;"/"&amp;C497&amp;"/"&amp;D499</f>
        <v>Diesel oil fired power plants/Gas turbine /CHP/S</v>
      </c>
      <c r="F499" s="76" t="str">
        <f>A485</f>
        <v>Diesel oil fired power plants</v>
      </c>
      <c r="G499" s="76" t="str">
        <f>B493</f>
        <v xml:space="preserve">Gas turbine </v>
      </c>
      <c r="H499" s="76" t="str">
        <f>C497</f>
        <v>CHP</v>
      </c>
      <c r="I499" s="76" t="str">
        <f t="shared" si="359"/>
        <v>S</v>
      </c>
      <c r="J499" s="119">
        <f>IF(tech_base!$T155&gt;J$345,"",J779+J1059+J1339)</f>
        <v>264.04611111644954</v>
      </c>
      <c r="K499" s="119">
        <f>IF(tech_base!$T155&gt;K$345,"",K779+K1059+K1339)</f>
        <v>306.17490434730837</v>
      </c>
      <c r="L499" s="119">
        <f>IF(tech_base!$T155&gt;L$345,"",L779+L1059+L1339)</f>
        <v>319.58433600698123</v>
      </c>
      <c r="M499" s="119">
        <f>IF(tech_base!$T155&gt;M$345,"",M779+M1059+M1339)</f>
        <v>309.8457225546677</v>
      </c>
      <c r="N499" s="119">
        <f>IF(tech_base!$T155&gt;N$345,"",N779+N1059+N1339)</f>
        <v>293.82748554038784</v>
      </c>
      <c r="O499" s="119">
        <f>IF(tech_base!$T155&gt;O$345,"",O779+O1059+O1339)</f>
        <v>237.5861274409996</v>
      </c>
      <c r="P499" s="119">
        <f>IF(tech_base!$T155&gt;P$345,"",P779+P1059+P1339)</f>
        <v>224.18594462010026</v>
      </c>
      <c r="Q499" s="119">
        <f>IF(tech_base!$T155&gt;Q$345,"",Q779+Q1059+Q1339)</f>
        <v>240.79846160163754</v>
      </c>
      <c r="R499" s="119">
        <f>IF(tech_base!$T155&gt;R$345,"",R779+R1059+R1339)</f>
        <v>255.65577851563049</v>
      </c>
      <c r="S499" s="119">
        <f>IF(tech_base!$T155&gt;S$345,"",S779+S1059+S1339)</f>
        <v>268.71212887385252</v>
      </c>
      <c r="T499" s="119">
        <f>IF(tech_base!$T155&gt;T$345,"",T779+T1059+T1339)</f>
        <v>281.3097057166645</v>
      </c>
      <c r="U499" s="119">
        <f>IF(tech_base!$T155&gt;U$345,"",U779+U1059+U1339)</f>
        <v>293.32020469586695</v>
      </c>
      <c r="V499" s="119">
        <f>IF(tech_base!$T155&gt;V$345,"",V779+V1059+V1339)</f>
        <v>301.44132663183029</v>
      </c>
      <c r="W499" s="119">
        <f>IF(tech_base!$T155&gt;W$345,"",W779+W1059+W1339)</f>
        <v>311.34274652001335</v>
      </c>
      <c r="X499" s="119">
        <f>IF(tech_base!$T155&gt;X$345,"",X779+X1059+X1339)</f>
        <v>319.96142421762625</v>
      </c>
      <c r="Y499" s="119">
        <f>IF(tech_base!$T155&gt;Y$345,"",Y779+Y1059+Y1339)</f>
        <v>327.30443703478329</v>
      </c>
      <c r="Z499" s="119">
        <f>IF(tech_base!$T155&gt;Z$345,"",Z779+Z1059+Z1339)</f>
        <v>332.08938428861671</v>
      </c>
      <c r="AA499" s="119">
        <f>IF(tech_base!$T155&gt;AA$345,"",AA779+AA1059+AA1339)</f>
        <v>336.44150583342105</v>
      </c>
      <c r="AB499" s="119">
        <f>IF(tech_base!$T155&gt;AB$345,"",AB779+AB1059+AB1339)</f>
        <v>339.48713859787739</v>
      </c>
      <c r="AC499" s="119">
        <f>IF(tech_base!$T155&gt;AC$345,"",AC779+AC1059+AC1339)</f>
        <v>344.11169584798506</v>
      </c>
      <c r="AD499" s="119">
        <f>IF(tech_base!$T155&gt;AD$345,"",AD779+AD1059+AD1339)</f>
        <v>347.01711542909698</v>
      </c>
      <c r="AE499" s="119">
        <f>IF(tech_base!$T155&gt;AE$345,"",AE779+AE1059+AE1339)</f>
        <v>349.79870514333953</v>
      </c>
      <c r="AF499" s="119">
        <f>IF(tech_base!$T155&gt;AF$345,"",AF779+AF1059+AF1339)</f>
        <v>351.2983351969587</v>
      </c>
      <c r="AG499" s="119">
        <f>IF(tech_base!$T155&gt;AG$345,"",AG779+AG1059+AG1339)</f>
        <v>352.98116376541253</v>
      </c>
      <c r="AH499" s="119">
        <f>IF(tech_base!$T155&gt;AH$345,"",AH779+AH1059+AH1339)</f>
        <v>354.8464003847829</v>
      </c>
      <c r="AI499" s="119">
        <f>IF(tech_base!$T155&gt;AI$345,"",AI779+AI1059+AI1339)</f>
        <v>356.91174397509917</v>
      </c>
      <c r="AJ499" s="119">
        <f>IF(tech_base!$T155&gt;AJ$345,"",AJ779+AJ1059+AJ1339)</f>
        <v>359.21389081908711</v>
      </c>
      <c r="AK499" s="119">
        <f>IF(tech_base!$T155&gt;AK$345,"",AK779+AK1059+AK1339)</f>
        <v>361.79832570476179</v>
      </c>
      <c r="AL499" s="119">
        <f>IF(tech_base!$T155&gt;AL$345,"",AL779+AL1059+AL1339)</f>
        <v>364.57733082453194</v>
      </c>
      <c r="AM499" s="119">
        <f>IF(tech_base!$T155&gt;AM$345,"",AM779+AM1059+AM1339)</f>
        <v>367.44321655470594</v>
      </c>
      <c r="AN499" s="119">
        <f>IF(tech_base!$T155&gt;AN$345,"",AN779+AN1059+AN1339)</f>
        <v>370.36034571382072</v>
      </c>
      <c r="AO499" s="119">
        <f>IF(tech_base!$T155&gt;AO$345,"",AO779+AO1059+AO1339)</f>
        <v>370.77149120646538</v>
      </c>
      <c r="AP499" s="119">
        <f>IF(tech_base!$T155&gt;AP$345,"",AP779+AP1059+AP1339)</f>
        <v>371.84835813080844</v>
      </c>
      <c r="AQ499" s="119">
        <f>IF(tech_base!$T155&gt;AQ$345,"",AQ779+AQ1059+AQ1339)</f>
        <v>372.97946472314572</v>
      </c>
      <c r="AR499" s="119">
        <f>IF(tech_base!$T155&gt;AR$345,"",AR779+AR1059+AR1339)</f>
        <v>375.26080151999508</v>
      </c>
      <c r="AS499" s="119">
        <f>IF(tech_base!$T155&gt;AS$345,"",AS779+AS1059+AS1339)</f>
        <v>376.51126633021084</v>
      </c>
      <c r="AT499" s="119">
        <f>IF(tech_base!$T155&gt;AT$345,"",AT779+AT1059+AT1339)</f>
        <v>377.75719693856882</v>
      </c>
      <c r="AU499" s="119">
        <f>IF(tech_base!$T155&gt;AU$345,"",AU779+AU1059+AU1339)</f>
        <v>378.97539397630021</v>
      </c>
      <c r="AV499" s="119">
        <f>IF(tech_base!$T155&gt;AV$345,"",AV779+AV1059+AV1339)</f>
        <v>380.15354831494665</v>
      </c>
      <c r="AW499" s="119">
        <f>IF(tech_base!$T155&gt;AW$345,"",AW779+AW1059+AW1339)</f>
        <v>381.28260699051918</v>
      </c>
      <c r="AX499" s="120">
        <f>IF(tech_base!$T155&gt;AX$345,"",AX779+AX1059+AX1339)</f>
        <v>382.74047298738088</v>
      </c>
    </row>
    <row r="500" spans="1:50" x14ac:dyDescent="0.25">
      <c r="A500" s="356"/>
      <c r="B500" s="376"/>
      <c r="C500" s="379"/>
      <c r="D500" s="59" t="s">
        <v>20</v>
      </c>
      <c r="E500" s="79" t="str">
        <f>A485&amp;"/"&amp;B493&amp;"/"&amp;C497&amp;"/"&amp;D500</f>
        <v>Diesel oil fired power plants/Gas turbine /CHP/XS</v>
      </c>
      <c r="F500" s="79" t="str">
        <f>A485</f>
        <v>Diesel oil fired power plants</v>
      </c>
      <c r="G500" s="79" t="str">
        <f>B493</f>
        <v xml:space="preserve">Gas turbine </v>
      </c>
      <c r="H500" s="79" t="str">
        <f>C497</f>
        <v>CHP</v>
      </c>
      <c r="I500" s="79" t="str">
        <f t="shared" si="359"/>
        <v>XS</v>
      </c>
      <c r="J500" s="125">
        <f>IF(tech_base!$T156&gt;J$345,"",J780+J1060+J1340)</f>
        <v>285.37578914894686</v>
      </c>
      <c r="K500" s="125">
        <f>IF(tech_base!$T156&gt;K$345,"",K780+K1060+K1340)</f>
        <v>329.6939471950497</v>
      </c>
      <c r="L500" s="125">
        <f>IF(tech_base!$T156&gt;L$345,"",L780+L1060+L1340)</f>
        <v>343.8020937879366</v>
      </c>
      <c r="M500" s="125">
        <f>IF(tech_base!$T156&gt;M$345,"",M780+M1060+M1340)</f>
        <v>333.56038583880525</v>
      </c>
      <c r="N500" s="125">
        <f>IF(tech_base!$T156&gt;N$345,"",N780+N1060+N1340)</f>
        <v>316.7129730341764</v>
      </c>
      <c r="O500" s="125">
        <f>IF(tech_base!$T156&gt;O$345,"",O780+O1060+O1340)</f>
        <v>257.55272600921899</v>
      </c>
      <c r="P500" s="125">
        <f>IF(tech_base!$T156&gt;P$345,"",P780+P1060+P1340)</f>
        <v>243.4590212075621</v>
      </c>
      <c r="Q500" s="125">
        <f>IF(tech_base!$T156&gt;Q$345,"",Q780+Q1060+Q1340)</f>
        <v>260.93784974092699</v>
      </c>
      <c r="R500" s="125">
        <f>IF(tech_base!$T156&gt;R$345,"",R780+R1060+R1340)</f>
        <v>276.57088363029908</v>
      </c>
      <c r="S500" s="125">
        <f>IF(tech_base!$T156&gt;S$345,"",S780+S1060+S1340)</f>
        <v>290.30998613954847</v>
      </c>
      <c r="T500" s="125">
        <f>IF(tech_base!$T156&gt;T$345,"",T780+T1060+T1340)</f>
        <v>303.56715996237978</v>
      </c>
      <c r="U500" s="125">
        <f>IF(tech_base!$T156&gt;U$345,"",U780+U1060+U1340)</f>
        <v>316.20747992430734</v>
      </c>
      <c r="V500" s="125">
        <f>IF(tech_base!$T156&gt;V$345,"",V780+V1060+V1340)</f>
        <v>324.75684162015528</v>
      </c>
      <c r="W500" s="125">
        <f>IF(tech_base!$T156&gt;W$345,"",W780+W1060+W1340)</f>
        <v>335.17995102824187</v>
      </c>
      <c r="X500" s="125">
        <f>IF(tech_base!$T156&gt;X$345,"",X780+X1060+X1340)</f>
        <v>344.2544213302499</v>
      </c>
      <c r="Y500" s="125">
        <f>IF(tech_base!$T156&gt;Y$345,"",Y780+Y1060+Y1340)</f>
        <v>351.98769728046057</v>
      </c>
      <c r="Z500" s="125">
        <f>IF(tech_base!$T156&gt;Z$345,"",Z780+Z1060+Z1340)</f>
        <v>357.03052676913313</v>
      </c>
      <c r="AA500" s="125">
        <f>IF(tech_base!$T156&gt;AA$345,"",AA780+AA1060+AA1340)</f>
        <v>361.61885203828439</v>
      </c>
      <c r="AB500" s="125">
        <f>IF(tech_base!$T156&gt;AB$345,"",AB780+AB1060+AB1340)</f>
        <v>364.83344824688606</v>
      </c>
      <c r="AC500" s="125">
        <f>IF(tech_base!$T156&gt;AC$345,"",AC780+AC1060+AC1340)</f>
        <v>369.71028083274138</v>
      </c>
      <c r="AD500" s="125">
        <f>IF(tech_base!$T156&gt;AD$345,"",AD780+AD1060+AD1340)</f>
        <v>372.7792072408879</v>
      </c>
      <c r="AE500" s="125">
        <f>IF(tech_base!$T156&gt;AE$345,"",AE780+AE1060+AE1340)</f>
        <v>375.71877680785587</v>
      </c>
      <c r="AF500" s="125">
        <f>IF(tech_base!$T156&gt;AF$345,"",AF780+AF1060+AF1340)</f>
        <v>377.3102947509658</v>
      </c>
      <c r="AG500" s="125">
        <f>IF(tech_base!$T156&gt;AG$345,"",AG780+AG1060+AG1340)</f>
        <v>379.09545390646815</v>
      </c>
      <c r="AH500" s="125">
        <f>IF(tech_base!$T156&gt;AH$345,"",AH780+AH1060+AH1340)</f>
        <v>381.07341923555708</v>
      </c>
      <c r="AI500" s="125">
        <f>IF(tech_base!$T156&gt;AI$345,"",AI780+AI1060+AI1340)</f>
        <v>383.26279752598509</v>
      </c>
      <c r="AJ500" s="125">
        <f>IF(tech_base!$T156&gt;AJ$345,"",AJ780+AJ1060+AJ1340)</f>
        <v>385.70217273787432</v>
      </c>
      <c r="AK500" s="125">
        <f>IF(tech_base!$T156&gt;AK$345,"",AK780+AK1060+AK1340)</f>
        <v>388.43936239402143</v>
      </c>
      <c r="AL500" s="125">
        <f>IF(tech_base!$T156&gt;AL$345,"",AL780+AL1060+AL1340)</f>
        <v>391.3819648338004</v>
      </c>
      <c r="AM500" s="125">
        <f>IF(tech_base!$T156&gt;AM$345,"",AM780+AM1060+AM1340)</f>
        <v>394.41651085799788</v>
      </c>
      <c r="AN500" s="125">
        <f>IF(tech_base!$T156&gt;AN$345,"",AN780+AN1060+AN1340)</f>
        <v>397.50532334393733</v>
      </c>
      <c r="AO500" s="125">
        <f>IF(tech_base!$T156&gt;AO$345,"",AO780+AO1060+AO1340)</f>
        <v>397.95623477298409</v>
      </c>
      <c r="AP500" s="125">
        <f>IF(tech_base!$T156&gt;AP$345,"",AP780+AP1060+AP1340)</f>
        <v>399.10760299408173</v>
      </c>
      <c r="AQ500" s="125">
        <f>IF(tech_base!$T156&gt;AQ$345,"",AQ780+AQ1060+AQ1340)</f>
        <v>400.31548569025858</v>
      </c>
      <c r="AR500" s="125">
        <f>IF(tech_base!$T156&gt;AR$345,"",AR780+AR1060+AR1340)</f>
        <v>402.73347579670428</v>
      </c>
      <c r="AS500" s="125">
        <f>IF(tech_base!$T156&gt;AS$345,"",AS780+AS1060+AS1340)</f>
        <v>404.06496362523478</v>
      </c>
      <c r="AT500" s="125">
        <f>IF(tech_base!$T156&gt;AT$345,"",AT780+AT1060+AT1340)</f>
        <v>405.39010997361891</v>
      </c>
      <c r="AU500" s="125">
        <f>IF(tech_base!$T156&gt;AU$345,"",AU780+AU1060+AU1340)</f>
        <v>406.6841254582182</v>
      </c>
      <c r="AV500" s="125">
        <f>IF(tech_base!$T156&gt;AV$345,"",AV780+AV1060+AV1340)</f>
        <v>407.93368602058484</v>
      </c>
      <c r="AW500" s="125">
        <f>IF(tech_base!$T156&gt;AW$345,"",AW780+AW1060+AW1340)</f>
        <v>409.12890865394854</v>
      </c>
      <c r="AX500" s="126">
        <f>IF(tech_base!$T156&gt;AX$345,"",AX780+AX1060+AX1340)</f>
        <v>410.66742147951339</v>
      </c>
    </row>
    <row r="501" spans="1:50" x14ac:dyDescent="0.25">
      <c r="A501" s="356"/>
      <c r="B501" s="376"/>
      <c r="C501" s="361" t="s">
        <v>15</v>
      </c>
      <c r="D501" s="58" t="s">
        <v>7</v>
      </c>
      <c r="E501" s="78" t="str">
        <f>A485&amp;"/"&amp;B493&amp;"/"&amp;C501&amp;"/"&amp;D501</f>
        <v>Diesel oil fired power plants/Gas turbine /Electricity only with CCS/L</v>
      </c>
      <c r="F501" s="78" t="str">
        <f>A485</f>
        <v>Diesel oil fired power plants</v>
      </c>
      <c r="G501" s="78" t="str">
        <f>B493</f>
        <v xml:space="preserve">Gas turbine </v>
      </c>
      <c r="H501" s="78" t="str">
        <f>C501</f>
        <v>Electricity only with CCS</v>
      </c>
      <c r="I501" s="78" t="str">
        <f t="shared" si="359"/>
        <v>L</v>
      </c>
      <c r="J501" s="123" t="str">
        <f>IF(tech_base!$T157&gt;J$345,"",J781+J1061+J1341)</f>
        <v/>
      </c>
      <c r="K501" s="123" t="str">
        <f>IF(tech_base!$T157&gt;K$345,"",K781+K1061+K1341)</f>
        <v/>
      </c>
      <c r="L501" s="123" t="str">
        <f>IF(tech_base!$T157&gt;L$345,"",L781+L1061+L1341)</f>
        <v/>
      </c>
      <c r="M501" s="123" t="str">
        <f>IF(tech_base!$T157&gt;M$345,"",M781+M1061+M1341)</f>
        <v/>
      </c>
      <c r="N501" s="123" t="str">
        <f>IF(tech_base!$T157&gt;N$345,"",N781+N1061+N1341)</f>
        <v/>
      </c>
      <c r="O501" s="123" t="str">
        <f>IF(tech_base!$T157&gt;O$345,"",O781+O1061+O1341)</f>
        <v/>
      </c>
      <c r="P501" s="123" t="str">
        <f>IF(tech_base!$T157&gt;P$345,"",P781+P1061+P1341)</f>
        <v/>
      </c>
      <c r="Q501" s="123" t="str">
        <f>IF(tech_base!$T157&gt;Q$345,"",Q781+Q1061+Q1341)</f>
        <v/>
      </c>
      <c r="R501" s="123" t="str">
        <f>IF(tech_base!$T157&gt;R$345,"",R781+R1061+R1341)</f>
        <v/>
      </c>
      <c r="S501" s="123" t="str">
        <f>IF(tech_base!$T157&gt;S$345,"",S781+S1061+S1341)</f>
        <v/>
      </c>
      <c r="T501" s="123" t="str">
        <f>IF(tech_base!$T157&gt;T$345,"",T781+T1061+T1341)</f>
        <v/>
      </c>
      <c r="U501" s="123" t="str">
        <f>IF(tech_base!$T157&gt;U$345,"",U781+U1061+U1341)</f>
        <v/>
      </c>
      <c r="V501" s="123" t="str">
        <f>IF(tech_base!$T157&gt;V$345,"",V781+V1061+V1341)</f>
        <v/>
      </c>
      <c r="W501" s="123" t="str">
        <f>IF(tech_base!$T157&gt;W$345,"",W781+W1061+W1341)</f>
        <v/>
      </c>
      <c r="X501" s="123" t="str">
        <f>IF(tech_base!$T157&gt;X$345,"",X781+X1061+X1341)</f>
        <v/>
      </c>
      <c r="Y501" s="123" t="str">
        <f>IF(tech_base!$T157&gt;Y$345,"",Y781+Y1061+Y1341)</f>
        <v/>
      </c>
      <c r="Z501" s="123" t="str">
        <f>IF(tech_base!$T157&gt;Z$345,"",Z781+Z1061+Z1341)</f>
        <v/>
      </c>
      <c r="AA501" s="123" t="str">
        <f>IF(tech_base!$T157&gt;AA$345,"",AA781+AA1061+AA1341)</f>
        <v/>
      </c>
      <c r="AB501" s="123" t="str">
        <f>IF(tech_base!$T157&gt;AB$345,"",AB781+AB1061+AB1341)</f>
        <v/>
      </c>
      <c r="AC501" s="123" t="str">
        <f>IF(tech_base!$T157&gt;AC$345,"",AC781+AC1061+AC1341)</f>
        <v/>
      </c>
      <c r="AD501" s="123" t="str">
        <f>IF(tech_base!$T157&gt;AD$345,"",AD781+AD1061+AD1341)</f>
        <v/>
      </c>
      <c r="AE501" s="123">
        <f>IF(tech_base!$T157&gt;AE$345,"",AE781+AE1061+AE1341)</f>
        <v>375.12212761420955</v>
      </c>
      <c r="AF501" s="123">
        <f>IF(tech_base!$T157&gt;AF$345,"",AF781+AF1061+AF1341)</f>
        <v>376.64346465246649</v>
      </c>
      <c r="AG501" s="123">
        <f>IF(tech_base!$T157&gt;AG$345,"",AG781+AG1061+AG1341)</f>
        <v>378.34878085651621</v>
      </c>
      <c r="AH501" s="123">
        <f>IF(tech_base!$T157&gt;AH$345,"",AH781+AH1061+AH1341)</f>
        <v>380.23763763588721</v>
      </c>
      <c r="AI501" s="123">
        <f>IF(tech_base!$T157&gt;AI$345,"",AI781+AI1061+AI1341)</f>
        <v>382.32768750153809</v>
      </c>
      <c r="AJ501" s="123">
        <f>IF(tech_base!$T157&gt;AJ$345,"",AJ781+AJ1061+AJ1341)</f>
        <v>384.65517962510091</v>
      </c>
      <c r="AK501" s="123">
        <f>IF(tech_base!$T157&gt;AK$345,"",AK781+AK1061+AK1341)</f>
        <v>387.26497742201337</v>
      </c>
      <c r="AL501" s="123">
        <f>IF(tech_base!$T157&gt;AL$345,"",AL781+AL1061+AL1341)</f>
        <v>390.07154566473827</v>
      </c>
      <c r="AM501" s="123">
        <f>IF(tech_base!$T157&gt;AM$345,"",AM781+AM1061+AM1341)</f>
        <v>392.96970468721332</v>
      </c>
      <c r="AN501" s="123">
        <f>IF(tech_base!$T157&gt;AN$345,"",AN781+AN1061+AN1341)</f>
        <v>395.92472406111642</v>
      </c>
      <c r="AO501" s="123">
        <f>IF(tech_base!$T157&gt;AO$345,"",AO781+AO1061+AO1341)</f>
        <v>396.43153180237408</v>
      </c>
      <c r="AP501" s="123">
        <f>IF(tech_base!$T157&gt;AP$345,"",AP781+AP1061+AP1341)</f>
        <v>397.59631865112152</v>
      </c>
      <c r="AQ501" s="123">
        <f>IF(tech_base!$T157&gt;AQ$345,"",AQ781+AQ1061+AQ1341)</f>
        <v>398.82007496967384</v>
      </c>
      <c r="AR501" s="123">
        <f>IF(tech_base!$T157&gt;AR$345,"",AR781+AR1061+AR1341)</f>
        <v>401.17705031715462</v>
      </c>
      <c r="AS501" s="123">
        <f>IF(tech_base!$T157&gt;AS$345,"",AS781+AS1061+AS1341)</f>
        <v>402.52905852043227</v>
      </c>
      <c r="AT501" s="123">
        <f>IF(tech_base!$T157&gt;AT$345,"",AT781+AT1061+AT1341)</f>
        <v>403.88160656763125</v>
      </c>
      <c r="AU501" s="123">
        <f>IF(tech_base!$T157&gt;AU$345,"",AU781+AU1061+AU1341)</f>
        <v>405.21144682167466</v>
      </c>
      <c r="AV501" s="123">
        <f>IF(tech_base!$T157&gt;AV$345,"",AV781+AV1061+AV1341)</f>
        <v>406.50590569618049</v>
      </c>
      <c r="AW501" s="123">
        <f>IF(tech_base!$T157&gt;AW$345,"",AW781+AW1061+AW1341)</f>
        <v>407.75540938163033</v>
      </c>
      <c r="AX501" s="124">
        <f>IF(tech_base!$T157&gt;AX$345,"",AX781+AX1061+AX1341)</f>
        <v>409.33026172767796</v>
      </c>
    </row>
    <row r="502" spans="1:50" x14ac:dyDescent="0.25">
      <c r="A502" s="356"/>
      <c r="B502" s="376"/>
      <c r="C502" s="379"/>
      <c r="D502" s="59" t="s">
        <v>8</v>
      </c>
      <c r="E502" s="79" t="str">
        <f>A485&amp;"/"&amp;B493&amp;"/"&amp;C501&amp;"/"&amp;D502</f>
        <v>Diesel oil fired power plants/Gas turbine /Electricity only with CCS/M</v>
      </c>
      <c r="F502" s="79" t="str">
        <f>A485</f>
        <v>Diesel oil fired power plants</v>
      </c>
      <c r="G502" s="79" t="str">
        <f>B493</f>
        <v xml:space="preserve">Gas turbine </v>
      </c>
      <c r="H502" s="79" t="str">
        <f>C501</f>
        <v>Electricity only with CCS</v>
      </c>
      <c r="I502" s="79" t="str">
        <f t="shared" si="359"/>
        <v>M</v>
      </c>
      <c r="J502" s="125" t="str">
        <f>IF(tech_base!$T158&gt;J$345,"",J782+J1062+J1342)</f>
        <v/>
      </c>
      <c r="K502" s="125" t="str">
        <f>IF(tech_base!$T158&gt;K$345,"",K782+K1062+K1342)</f>
        <v/>
      </c>
      <c r="L502" s="125" t="str">
        <f>IF(tech_base!$T158&gt;L$345,"",L782+L1062+L1342)</f>
        <v/>
      </c>
      <c r="M502" s="125" t="str">
        <f>IF(tech_base!$T158&gt;M$345,"",M782+M1062+M1342)</f>
        <v/>
      </c>
      <c r="N502" s="125" t="str">
        <f>IF(tech_base!$T158&gt;N$345,"",N782+N1062+N1342)</f>
        <v/>
      </c>
      <c r="O502" s="125" t="str">
        <f>IF(tech_base!$T158&gt;O$345,"",O782+O1062+O1342)</f>
        <v/>
      </c>
      <c r="P502" s="125" t="str">
        <f>IF(tech_base!$T158&gt;P$345,"",P782+P1062+P1342)</f>
        <v/>
      </c>
      <c r="Q502" s="125" t="str">
        <f>IF(tech_base!$T158&gt;Q$345,"",Q782+Q1062+Q1342)</f>
        <v/>
      </c>
      <c r="R502" s="125" t="str">
        <f>IF(tech_base!$T158&gt;R$345,"",R782+R1062+R1342)</f>
        <v/>
      </c>
      <c r="S502" s="125" t="str">
        <f>IF(tech_base!$T158&gt;S$345,"",S782+S1062+S1342)</f>
        <v/>
      </c>
      <c r="T502" s="125" t="str">
        <f>IF(tech_base!$T158&gt;T$345,"",T782+T1062+T1342)</f>
        <v/>
      </c>
      <c r="U502" s="125" t="str">
        <f>IF(tech_base!$T158&gt;U$345,"",U782+U1062+U1342)</f>
        <v/>
      </c>
      <c r="V502" s="125" t="str">
        <f>IF(tech_base!$T158&gt;V$345,"",V782+V1062+V1342)</f>
        <v/>
      </c>
      <c r="W502" s="125" t="str">
        <f>IF(tech_base!$T158&gt;W$345,"",W782+W1062+W1342)</f>
        <v/>
      </c>
      <c r="X502" s="125" t="str">
        <f>IF(tech_base!$T158&gt;X$345,"",X782+X1062+X1342)</f>
        <v/>
      </c>
      <c r="Y502" s="125" t="str">
        <f>IF(tech_base!$T158&gt;Y$345,"",Y782+Y1062+Y1342)</f>
        <v/>
      </c>
      <c r="Z502" s="125" t="str">
        <f>IF(tech_base!$T158&gt;Z$345,"",Z782+Z1062+Z1342)</f>
        <v/>
      </c>
      <c r="AA502" s="125" t="str">
        <f>IF(tech_base!$T158&gt;AA$345,"",AA782+AA1062+AA1342)</f>
        <v/>
      </c>
      <c r="AB502" s="125" t="str">
        <f>IF(tech_base!$T158&gt;AB$345,"",AB782+AB1062+AB1342)</f>
        <v/>
      </c>
      <c r="AC502" s="125" t="str">
        <f>IF(tech_base!$T158&gt;AC$345,"",AC782+AC1062+AC1342)</f>
        <v/>
      </c>
      <c r="AD502" s="125" t="str">
        <f>IF(tech_base!$T158&gt;AD$345,"",AD782+AD1062+AD1342)</f>
        <v/>
      </c>
      <c r="AE502" s="125">
        <f>IF(tech_base!$T158&gt;AE$345,"",AE782+AE1062+AE1342)</f>
        <v>405.93468193139989</v>
      </c>
      <c r="AF502" s="125">
        <f>IF(tech_base!$T158&gt;AF$345,"",AF782+AF1062+AF1342)</f>
        <v>407.54574689877848</v>
      </c>
      <c r="AG502" s="125">
        <f>IF(tech_base!$T158&gt;AG$345,"",AG782+AG1062+AG1342)</f>
        <v>409.35164205912719</v>
      </c>
      <c r="AH502" s="125">
        <f>IF(tech_base!$T158&gt;AH$345,"",AH782+AH1062+AH1342)</f>
        <v>411.35190295406119</v>
      </c>
      <c r="AI502" s="125">
        <f>IF(tech_base!$T158&gt;AI$345,"",AI782+AI1062+AI1342)</f>
        <v>413.56522323349265</v>
      </c>
      <c r="AJ502" s="125">
        <f>IF(tech_base!$T158&gt;AJ$345,"",AJ782+AJ1062+AJ1342)</f>
        <v>416.0299900325827</v>
      </c>
      <c r="AK502" s="125">
        <f>IF(tech_base!$T158&gt;AK$345,"",AK782+AK1062+AK1342)</f>
        <v>418.79371279539976</v>
      </c>
      <c r="AL502" s="125">
        <f>IF(tech_base!$T158&gt;AL$345,"",AL782+AL1062+AL1342)</f>
        <v>421.76581145645105</v>
      </c>
      <c r="AM502" s="125">
        <f>IF(tech_base!$T158&gt;AM$345,"",AM782+AM1062+AM1342)</f>
        <v>424.83490288957051</v>
      </c>
      <c r="AN502" s="125">
        <f>IF(tech_base!$T158&gt;AN$345,"",AN782+AN1062+AN1342)</f>
        <v>427.96420827785892</v>
      </c>
      <c r="AO502" s="125">
        <f>IF(tech_base!$T158&gt;AO$345,"",AO782+AO1062+AO1342)</f>
        <v>428.50090736333703</v>
      </c>
      <c r="AP502" s="125">
        <f>IF(tech_base!$T158&gt;AP$345,"",AP782+AP1062+AP1342)</f>
        <v>429.73439293510108</v>
      </c>
      <c r="AQ502" s="125">
        <f>IF(tech_base!$T158&gt;AQ$345,"",AQ782+AQ1062+AQ1342)</f>
        <v>431.030325975479</v>
      </c>
      <c r="AR502" s="125">
        <f>IF(tech_base!$T158&gt;AR$345,"",AR782+AR1062+AR1342)</f>
        <v>433.526314908774</v>
      </c>
      <c r="AS502" s="125">
        <f>IF(tech_base!$T158&gt;AS$345,"",AS782+AS1062+AS1342)</f>
        <v>434.95806408540932</v>
      </c>
      <c r="AT502" s="125">
        <f>IF(tech_base!$T158&gt;AT$345,"",AT782+AT1062+AT1342)</f>
        <v>436.39038494577244</v>
      </c>
      <c r="AU502" s="125">
        <f>IF(tech_base!$T158&gt;AU$345,"",AU782+AU1062+AU1342)</f>
        <v>437.79865871524157</v>
      </c>
      <c r="AV502" s="125">
        <f>IF(tech_base!$T158&gt;AV$345,"",AV782+AV1062+AV1342)</f>
        <v>439.16946432372009</v>
      </c>
      <c r="AW502" s="125">
        <f>IF(tech_base!$T158&gt;AW$345,"",AW782+AW1062+AW1342)</f>
        <v>440.49266330173549</v>
      </c>
      <c r="AX502" s="126">
        <f>IF(tech_base!$T158&gt;AX$345,"",AX782+AX1062+AX1342)</f>
        <v>442.16039989113597</v>
      </c>
    </row>
    <row r="503" spans="1:50" x14ac:dyDescent="0.25">
      <c r="A503" s="356"/>
      <c r="B503" s="376"/>
      <c r="C503" s="361" t="s">
        <v>16</v>
      </c>
      <c r="D503" s="2" t="s">
        <v>7</v>
      </c>
      <c r="E503" s="76" t="str">
        <f>A485&amp;"/"&amp;B493&amp;"/"&amp;C503&amp;"/"&amp;D503</f>
        <v>Diesel oil fired power plants/Gas turbine /CHP with CCS/L</v>
      </c>
      <c r="F503" s="76" t="str">
        <f>A485</f>
        <v>Diesel oil fired power plants</v>
      </c>
      <c r="G503" s="76" t="str">
        <f>B493</f>
        <v xml:space="preserve">Gas turbine </v>
      </c>
      <c r="H503" s="76" t="str">
        <f>C503</f>
        <v>CHP with CCS</v>
      </c>
      <c r="I503" s="76" t="str">
        <f t="shared" si="359"/>
        <v>L</v>
      </c>
      <c r="J503" s="119" t="str">
        <f>IF(tech_base!$T159&gt;J$345,"",J783+J1063+J1343)</f>
        <v/>
      </c>
      <c r="K503" s="119" t="str">
        <f>IF(tech_base!$T159&gt;K$345,"",K783+K1063+K1343)</f>
        <v/>
      </c>
      <c r="L503" s="119" t="str">
        <f>IF(tech_base!$T159&gt;L$345,"",L783+L1063+L1343)</f>
        <v/>
      </c>
      <c r="M503" s="119" t="str">
        <f>IF(tech_base!$T159&gt;M$345,"",M783+M1063+M1343)</f>
        <v/>
      </c>
      <c r="N503" s="119" t="str">
        <f>IF(tech_base!$T159&gt;N$345,"",N783+N1063+N1343)</f>
        <v/>
      </c>
      <c r="O503" s="119" t="str">
        <f>IF(tech_base!$T159&gt;O$345,"",O783+O1063+O1343)</f>
        <v/>
      </c>
      <c r="P503" s="119" t="str">
        <f>IF(tech_base!$T159&gt;P$345,"",P783+P1063+P1343)</f>
        <v/>
      </c>
      <c r="Q503" s="119" t="str">
        <f>IF(tech_base!$T159&gt;Q$345,"",Q783+Q1063+Q1343)</f>
        <v/>
      </c>
      <c r="R503" s="119" t="str">
        <f>IF(tech_base!$T159&gt;R$345,"",R783+R1063+R1343)</f>
        <v/>
      </c>
      <c r="S503" s="119" t="str">
        <f>IF(tech_base!$T159&gt;S$345,"",S783+S1063+S1343)</f>
        <v/>
      </c>
      <c r="T503" s="119" t="str">
        <f>IF(tech_base!$T159&gt;T$345,"",T783+T1063+T1343)</f>
        <v/>
      </c>
      <c r="U503" s="119" t="str">
        <f>IF(tech_base!$T159&gt;U$345,"",U783+U1063+U1343)</f>
        <v/>
      </c>
      <c r="V503" s="119" t="str">
        <f>IF(tech_base!$T159&gt;V$345,"",V783+V1063+V1343)</f>
        <v/>
      </c>
      <c r="W503" s="119" t="str">
        <f>IF(tech_base!$T159&gt;W$345,"",W783+W1063+W1343)</f>
        <v/>
      </c>
      <c r="X503" s="119" t="str">
        <f>IF(tech_base!$T159&gt;X$345,"",X783+X1063+X1343)</f>
        <v/>
      </c>
      <c r="Y503" s="119" t="str">
        <f>IF(tech_base!$T159&gt;Y$345,"",Y783+Y1063+Y1343)</f>
        <v/>
      </c>
      <c r="Z503" s="119" t="str">
        <f>IF(tech_base!$T159&gt;Z$345,"",Z783+Z1063+Z1343)</f>
        <v/>
      </c>
      <c r="AA503" s="119" t="str">
        <f>IF(tech_base!$T159&gt;AA$345,"",AA783+AA1063+AA1343)</f>
        <v/>
      </c>
      <c r="AB503" s="119" t="str">
        <f>IF(tech_base!$T159&gt;AB$345,"",AB783+AB1063+AB1343)</f>
        <v/>
      </c>
      <c r="AC503" s="119" t="str">
        <f>IF(tech_base!$T159&gt;AC$345,"",AC783+AC1063+AC1343)</f>
        <v/>
      </c>
      <c r="AD503" s="119" t="str">
        <f>IF(tech_base!$T159&gt;AD$345,"",AD783+AD1063+AD1343)</f>
        <v/>
      </c>
      <c r="AE503" s="119">
        <f>IF(tech_base!$T159&gt;AE$345,"",AE783+AE1063+AE1343)</f>
        <v>423.62293037267233</v>
      </c>
      <c r="AF503" s="119">
        <f>IF(tech_base!$T159&gt;AF$345,"",AF783+AF1063+AF1343)</f>
        <v>425.32527122273854</v>
      </c>
      <c r="AG503" s="119">
        <f>IF(tech_base!$T159&gt;AG$345,"",AG783+AG1063+AG1343)</f>
        <v>427.23348049092272</v>
      </c>
      <c r="AH503" s="119">
        <f>IF(tech_base!$T159&gt;AH$345,"",AH783+AH1063+AH1343)</f>
        <v>429.34706740466265</v>
      </c>
      <c r="AI503" s="119">
        <f>IF(tech_base!$T159&gt;AI$345,"",AI783+AI1063+AI1343)</f>
        <v>431.68578471417442</v>
      </c>
      <c r="AJ503" s="119">
        <f>IF(tech_base!$T159&gt;AJ$345,"",AJ783+AJ1063+AJ1343)</f>
        <v>434.29019440151632</v>
      </c>
      <c r="AK503" s="119">
        <f>IF(tech_base!$T159&gt;AK$345,"",AK783+AK1063+AK1343)</f>
        <v>437.21049758771034</v>
      </c>
      <c r="AL503" s="119">
        <f>IF(tech_base!$T159&gt;AL$345,"",AL783+AL1063+AL1343)</f>
        <v>440.35098233760056</v>
      </c>
      <c r="AM503" s="119">
        <f>IF(tech_base!$T159&gt;AM$345,"",AM783+AM1063+AM1343)</f>
        <v>443.59395504508166</v>
      </c>
      <c r="AN503" s="119">
        <f>IF(tech_base!$T159&gt;AN$345,"",AN783+AN1063+AN1343)</f>
        <v>446.90055316662341</v>
      </c>
      <c r="AO503" s="119">
        <f>IF(tech_base!$T159&gt;AO$345,"",AO783+AO1063+AO1343)</f>
        <v>447.46765927091002</v>
      </c>
      <c r="AP503" s="119">
        <f>IF(tech_base!$T159&gt;AP$345,"",AP783+AP1063+AP1343)</f>
        <v>448.77102873104911</v>
      </c>
      <c r="AQ503" s="119">
        <f>IF(tech_base!$T159&gt;AQ$345,"",AQ783+AQ1063+AQ1343)</f>
        <v>450.14038365978024</v>
      </c>
      <c r="AR503" s="119">
        <f>IF(tech_base!$T159&gt;AR$345,"",AR783+AR1063+AR1343)</f>
        <v>452.7777843906614</v>
      </c>
      <c r="AS503" s="119">
        <f>IF(tech_base!$T159&gt;AS$345,"",AS783+AS1063+AS1343)</f>
        <v>454.29065020289539</v>
      </c>
      <c r="AT503" s="119">
        <f>IF(tech_base!$T159&gt;AT$345,"",AT783+AT1063+AT1343)</f>
        <v>455.80412008795264</v>
      </c>
      <c r="AU503" s="119">
        <f>IF(tech_base!$T159&gt;AU$345,"",AU783+AU1063+AU1343)</f>
        <v>457.29218047930044</v>
      </c>
      <c r="AV503" s="119">
        <f>IF(tech_base!$T159&gt;AV$345,"",AV783+AV1063+AV1343)</f>
        <v>458.74064992781052</v>
      </c>
      <c r="AW503" s="119">
        <f>IF(tech_base!$T159&gt;AW$345,"",AW783+AW1063+AW1343)</f>
        <v>460.13881556274873</v>
      </c>
      <c r="AX503" s="120">
        <f>IF(tech_base!$T159&gt;AX$345,"",AX783+AX1063+AX1343)</f>
        <v>461.90103880065215</v>
      </c>
    </row>
    <row r="504" spans="1:50" x14ac:dyDescent="0.25">
      <c r="A504" s="356"/>
      <c r="B504" s="380"/>
      <c r="C504" s="381"/>
      <c r="D504" s="4" t="s">
        <v>8</v>
      </c>
      <c r="E504" s="80" t="str">
        <f>A485&amp;"/"&amp;B493&amp;"/"&amp;C503&amp;"/"&amp;D504</f>
        <v>Diesel oil fired power plants/Gas turbine /CHP with CCS/M</v>
      </c>
      <c r="F504" s="80" t="str">
        <f>A485</f>
        <v>Diesel oil fired power plants</v>
      </c>
      <c r="G504" s="80" t="str">
        <f>B493</f>
        <v xml:space="preserve">Gas turbine </v>
      </c>
      <c r="H504" s="80" t="str">
        <f>C503</f>
        <v>CHP with CCS</v>
      </c>
      <c r="I504" s="80" t="str">
        <f t="shared" si="359"/>
        <v>M</v>
      </c>
      <c r="J504" s="127" t="str">
        <f>IF(tech_base!$T160&gt;J$345,"",J784+J1064+J1344)</f>
        <v/>
      </c>
      <c r="K504" s="127" t="str">
        <f>IF(tech_base!$T160&gt;K$345,"",K784+K1064+K1344)</f>
        <v/>
      </c>
      <c r="L504" s="127" t="str">
        <f>IF(tech_base!$T160&gt;L$345,"",L784+L1064+L1344)</f>
        <v/>
      </c>
      <c r="M504" s="127" t="str">
        <f>IF(tech_base!$T160&gt;M$345,"",M784+M1064+M1344)</f>
        <v/>
      </c>
      <c r="N504" s="127" t="str">
        <f>IF(tech_base!$T160&gt;N$345,"",N784+N1064+N1344)</f>
        <v/>
      </c>
      <c r="O504" s="127" t="str">
        <f>IF(tech_base!$T160&gt;O$345,"",O784+O1064+O1344)</f>
        <v/>
      </c>
      <c r="P504" s="127" t="str">
        <f>IF(tech_base!$T160&gt;P$345,"",P784+P1064+P1344)</f>
        <v/>
      </c>
      <c r="Q504" s="127" t="str">
        <f>IF(tech_base!$T160&gt;Q$345,"",Q784+Q1064+Q1344)</f>
        <v/>
      </c>
      <c r="R504" s="127" t="str">
        <f>IF(tech_base!$T160&gt;R$345,"",R784+R1064+R1344)</f>
        <v/>
      </c>
      <c r="S504" s="127" t="str">
        <f>IF(tech_base!$T160&gt;S$345,"",S784+S1064+S1344)</f>
        <v/>
      </c>
      <c r="T504" s="127" t="str">
        <f>IF(tech_base!$T160&gt;T$345,"",T784+T1064+T1344)</f>
        <v/>
      </c>
      <c r="U504" s="127" t="str">
        <f>IF(tech_base!$T160&gt;U$345,"",U784+U1064+U1344)</f>
        <v/>
      </c>
      <c r="V504" s="127" t="str">
        <f>IF(tech_base!$T160&gt;V$345,"",V784+V1064+V1344)</f>
        <v/>
      </c>
      <c r="W504" s="127" t="str">
        <f>IF(tech_base!$T160&gt;W$345,"",W784+W1064+W1344)</f>
        <v/>
      </c>
      <c r="X504" s="127" t="str">
        <f>IF(tech_base!$T160&gt;X$345,"",X784+X1064+X1344)</f>
        <v/>
      </c>
      <c r="Y504" s="127" t="str">
        <f>IF(tech_base!$T160&gt;Y$345,"",Y784+Y1064+Y1344)</f>
        <v/>
      </c>
      <c r="Z504" s="127" t="str">
        <f>IF(tech_base!$T160&gt;Z$345,"",Z784+Z1064+Z1344)</f>
        <v/>
      </c>
      <c r="AA504" s="127" t="str">
        <f>IF(tech_base!$T160&gt;AA$345,"",AA784+AA1064+AA1344)</f>
        <v/>
      </c>
      <c r="AB504" s="127" t="str">
        <f>IF(tech_base!$T160&gt;AB$345,"",AB784+AB1064+AB1344)</f>
        <v/>
      </c>
      <c r="AC504" s="127" t="str">
        <f>IF(tech_base!$T160&gt;AC$345,"",AC784+AC1064+AC1344)</f>
        <v/>
      </c>
      <c r="AD504" s="127" t="str">
        <f>IF(tech_base!$T160&gt;AD$345,"",AD784+AD1064+AD1344)</f>
        <v/>
      </c>
      <c r="AE504" s="127">
        <f>IF(tech_base!$T160&gt;AE$345,"",AE784+AE1064+AE1344)</f>
        <v>457.32439870500804</v>
      </c>
      <c r="AF504" s="127">
        <f>IF(tech_base!$T160&gt;AF$345,"",AF784+AF1064+AF1344)</f>
        <v>459.12897917851291</v>
      </c>
      <c r="AG504" s="127">
        <f>IF(tech_base!$T160&gt;AG$345,"",AG784+AG1064+AG1344)</f>
        <v>461.15179216839823</v>
      </c>
      <c r="AH504" s="127">
        <f>IF(tech_base!$T160&gt;AH$345,"",AH784+AH1064+AH1344)</f>
        <v>463.39231742715714</v>
      </c>
      <c r="AI504" s="127">
        <f>IF(tech_base!$T160&gt;AI$345,"",AI784+AI1064+AI1344)</f>
        <v>465.87149402074516</v>
      </c>
      <c r="AJ504" s="127">
        <f>IF(tech_base!$T160&gt;AJ$345,"",AJ784+AJ1064+AJ1344)</f>
        <v>468.63232001314356</v>
      </c>
      <c r="AK504" s="127">
        <f>IF(tech_base!$T160&gt;AK$345,"",AK784+AK1064+AK1344)</f>
        <v>471.72801151717755</v>
      </c>
      <c r="AL504" s="127">
        <f>IF(tech_base!$T160&gt;AL$345,"",AL784+AL1064+AL1344)</f>
        <v>475.05710830573872</v>
      </c>
      <c r="AM504" s="127">
        <f>IF(tech_base!$T160&gt;AM$345,"",AM784+AM1064+AM1344)</f>
        <v>478.49484829993679</v>
      </c>
      <c r="AN504" s="127">
        <f>IF(tech_base!$T160&gt;AN$345,"",AN784+AN1064+AN1344)</f>
        <v>482.00003493963362</v>
      </c>
      <c r="AO504" s="127">
        <f>IF(tech_base!$T160&gt;AO$345,"",AO784+AO1064+AO1344)</f>
        <v>482.60120044779916</v>
      </c>
      <c r="AP504" s="127">
        <f>IF(tech_base!$T160&gt;AP$345,"",AP784+AP1064+AP1344)</f>
        <v>483.98284800530115</v>
      </c>
      <c r="AQ504" s="127">
        <f>IF(tech_base!$T160&gt;AQ$345,"",AQ784+AQ1064+AQ1344)</f>
        <v>485.43444400359357</v>
      </c>
      <c r="AR504" s="127">
        <f>IF(tech_base!$T160&gt;AR$345,"",AR784+AR1064+AR1344)</f>
        <v>488.2302424240865</v>
      </c>
      <c r="AS504" s="127">
        <f>IF(tech_base!$T160&gt;AS$345,"",AS784+AS1064+AS1344)</f>
        <v>489.83396831933504</v>
      </c>
      <c r="AT504" s="127">
        <f>IF(tech_base!$T160&gt;AT$345,"",AT784+AT1064+AT1344)</f>
        <v>491.43833456696751</v>
      </c>
      <c r="AU504" s="127">
        <f>IF(tech_base!$T160&gt;AU$345,"",AU784+AU1064+AU1344)</f>
        <v>493.01576527099945</v>
      </c>
      <c r="AV504" s="127">
        <f>IF(tech_base!$T160&gt;AV$345,"",AV784+AV1064+AV1344)</f>
        <v>494.55122726919336</v>
      </c>
      <c r="AW504" s="127">
        <f>IF(tech_base!$T160&gt;AW$345,"",AW784+AW1064+AW1344)</f>
        <v>496.03336429447648</v>
      </c>
      <c r="AX504" s="128">
        <f>IF(tech_base!$T160&gt;AX$345,"",AX784+AX1064+AX1344)</f>
        <v>497.90142358762768</v>
      </c>
    </row>
    <row r="505" spans="1:50" x14ac:dyDescent="0.25">
      <c r="A505" s="356"/>
      <c r="B505" s="358" t="s">
        <v>19</v>
      </c>
      <c r="C505" s="353" t="s">
        <v>6</v>
      </c>
      <c r="D505" s="3" t="s">
        <v>7</v>
      </c>
      <c r="E505" s="77" t="str">
        <f>A485&amp;"/"&amp;B505&amp;"/"&amp;C505&amp;"/"&amp;D505</f>
        <v>Diesel oil fired power plants/Steam turbine/Electricity only/L</v>
      </c>
      <c r="F505" s="77" t="str">
        <f>A485</f>
        <v>Diesel oil fired power plants</v>
      </c>
      <c r="G505" s="77" t="str">
        <f>B505</f>
        <v>Steam turbine</v>
      </c>
      <c r="H505" s="77" t="str">
        <f>C505</f>
        <v>Electricity only</v>
      </c>
      <c r="I505" s="77" t="str">
        <f t="shared" si="359"/>
        <v>L</v>
      </c>
      <c r="J505" s="121">
        <f>IF(tech_base!$T161&gt;J$345,"",J785+J1065+J1345)</f>
        <v>197.39330953399627</v>
      </c>
      <c r="K505" s="121">
        <f>IF(tech_base!$T161&gt;K$345,"",K785+K1065+K1345)</f>
        <v>228.48965757427433</v>
      </c>
      <c r="L505" s="121">
        <f>IF(tech_base!$T161&gt;L$345,"",L785+L1065+L1345)</f>
        <v>238.39321445503796</v>
      </c>
      <c r="M505" s="121">
        <f>IF(tech_base!$T161&gt;M$345,"",M785+M1065+M1345)</f>
        <v>231.21618402190799</v>
      </c>
      <c r="N505" s="121">
        <f>IF(tech_base!$T161&gt;N$345,"",N785+N1065+N1345)</f>
        <v>219.40628939047735</v>
      </c>
      <c r="O505" s="121">
        <f>IF(tech_base!$T161&gt;O$345,"",O785+O1065+O1345)</f>
        <v>177.91723585940744</v>
      </c>
      <c r="P505" s="121">
        <f>IF(tech_base!$T161&gt;P$345,"",P785+P1065+P1345)</f>
        <v>168.0409945982924</v>
      </c>
      <c r="Q505" s="121">
        <f>IF(tech_base!$T161&gt;Q$345,"",Q785+Q1065+Q1345)</f>
        <v>180.31125811380747</v>
      </c>
      <c r="R505" s="121">
        <f>IF(tech_base!$T161&gt;R$345,"",R785+R1065+R1345)</f>
        <v>191.28717428060833</v>
      </c>
      <c r="S505" s="121">
        <f>IF(tech_base!$T161&gt;S$345,"",S785+S1065+S1345)</f>
        <v>200.93516710745197</v>
      </c>
      <c r="T505" s="121">
        <f>IF(tech_base!$T161&gt;T$345,"",T785+T1065+T1345)</f>
        <v>210.24581787203692</v>
      </c>
      <c r="U505" s="121">
        <f>IF(tech_base!$T161&gt;U$345,"",U785+U1065+U1345)</f>
        <v>219.12466056371963</v>
      </c>
      <c r="V505" s="121">
        <f>IF(tech_base!$T161&gt;V$345,"",V785+V1065+V1345)</f>
        <v>225.13506002248144</v>
      </c>
      <c r="W505" s="121">
        <f>IF(tech_base!$T161&gt;W$345,"",W785+W1065+W1345)</f>
        <v>232.46095059657449</v>
      </c>
      <c r="X505" s="121">
        <f>IF(tech_base!$T161&gt;X$345,"",X785+X1065+X1345)</f>
        <v>238.8422589201121</v>
      </c>
      <c r="Y505" s="121">
        <f>IF(tech_base!$T161&gt;Y$345,"",Y785+Y1065+Y1345)</f>
        <v>244.28436723412827</v>
      </c>
      <c r="Z505" s="121">
        <f>IF(tech_base!$T161&gt;Z$345,"",Z785+Z1065+Z1345)</f>
        <v>247.84096838745305</v>
      </c>
      <c r="AA505" s="121">
        <f>IF(tech_base!$T161&gt;AA$345,"",AA785+AA1065+AA1345)</f>
        <v>251.08060671428962</v>
      </c>
      <c r="AB505" s="121">
        <f>IF(tech_base!$T161&gt;AB$345,"",AB785+AB1065+AB1345)</f>
        <v>253.35860534104219</v>
      </c>
      <c r="AC505" s="121">
        <f>IF(tech_base!$T161&gt;AC$345,"",AC785+AC1065+AC1345)</f>
        <v>256.80491226948357</v>
      </c>
      <c r="AD505" s="121">
        <f>IF(tech_base!$T161&gt;AD$345,"",AD785+AD1065+AD1345)</f>
        <v>258.98533760934652</v>
      </c>
      <c r="AE505" s="121">
        <f>IF(tech_base!$T161&gt;AE$345,"",AE785+AE1065+AE1345)</f>
        <v>261.07760746283486</v>
      </c>
      <c r="AF505" s="121">
        <f>IF(tech_base!$T161&gt;AF$345,"",AF785+AF1065+AF1345)</f>
        <v>262.22682989611485</v>
      </c>
      <c r="AG505" s="121">
        <f>IF(tech_base!$T161&gt;AG$345,"",AG785+AG1065+AG1345)</f>
        <v>263.51485175613891</v>
      </c>
      <c r="AH505" s="121">
        <f>IF(tech_base!$T161&gt;AH$345,"",AH785+AH1065+AH1345)</f>
        <v>264.9413356101611</v>
      </c>
      <c r="AI505" s="121">
        <f>IF(tech_base!$T161&gt;AI$345,"",AI785+AI1065+AI1345)</f>
        <v>266.51959916040317</v>
      </c>
      <c r="AJ505" s="121">
        <f>IF(tech_base!$T161&gt;AJ$345,"",AJ785+AJ1065+AJ1345)</f>
        <v>268.27699547034013</v>
      </c>
      <c r="AK505" s="121">
        <f>IF(tech_base!$T161&gt;AK$345,"",AK785+AK1065+AK1345)</f>
        <v>270.24737748599455</v>
      </c>
      <c r="AL505" s="121">
        <f>IF(tech_base!$T161&gt;AL$345,"",AL785+AL1065+AL1345)</f>
        <v>272.36617999825893</v>
      </c>
      <c r="AM505" s="121">
        <f>IF(tech_base!$T161&gt;AM$345,"",AM785+AM1065+AM1345)</f>
        <v>274.55401697092861</v>
      </c>
      <c r="AN505" s="121">
        <f>IF(tech_base!$T161&gt;AN$345,"",AN785+AN1065+AN1345)</f>
        <v>276.78467672846165</v>
      </c>
      <c r="AO505" s="121">
        <f>IF(tech_base!$T161&gt;AO$345,"",AO785+AO1065+AO1345)</f>
        <v>277.16760073634799</v>
      </c>
      <c r="AP505" s="121">
        <f>IF(tech_base!$T161&gt;AP$345,"",AP785+AP1065+AP1345)</f>
        <v>278.04706510636839</v>
      </c>
      <c r="AQ505" s="121">
        <f>IF(tech_base!$T161&gt;AQ$345,"",AQ785+AQ1065+AQ1345)</f>
        <v>278.97099300049342</v>
      </c>
      <c r="AR505" s="121">
        <f>IF(tech_base!$T161&gt;AR$345,"",AR785+AR1065+AR1345)</f>
        <v>280.75007237167483</v>
      </c>
      <c r="AS505" s="121">
        <f>IF(tech_base!$T161&gt;AS$345,"",AS785+AS1065+AS1345)</f>
        <v>281.77069509451519</v>
      </c>
      <c r="AT505" s="121">
        <f>IF(tech_base!$T161&gt;AT$345,"",AT785+AT1065+AT1345)</f>
        <v>282.79168634300771</v>
      </c>
      <c r="AU505" s="121">
        <f>IF(tech_base!$T161&gt;AU$345,"",AU785+AU1065+AU1345)</f>
        <v>283.79550429439126</v>
      </c>
      <c r="AV505" s="121">
        <f>IF(tech_base!$T161&gt;AV$345,"",AV785+AV1065+AV1345)</f>
        <v>284.77258738354823</v>
      </c>
      <c r="AW505" s="121">
        <f>IF(tech_base!$T161&gt;AW$345,"",AW785+AW1065+AW1345)</f>
        <v>285.7157135922123</v>
      </c>
      <c r="AX505" s="122">
        <f>IF(tech_base!$T161&gt;AX$345,"",AX785+AX1065+AX1345)</f>
        <v>286.90431328883068</v>
      </c>
    </row>
    <row r="506" spans="1:50" x14ac:dyDescent="0.25">
      <c r="A506" s="356"/>
      <c r="B506" s="376"/>
      <c r="C506" s="378"/>
      <c r="D506" s="2" t="s">
        <v>8</v>
      </c>
      <c r="E506" s="76" t="str">
        <f>A485&amp;"/"&amp;B505&amp;"/"&amp;C505&amp;"/"&amp;D506</f>
        <v>Diesel oil fired power plants/Steam turbine/Electricity only/M</v>
      </c>
      <c r="F506" s="76" t="str">
        <f>A485</f>
        <v>Diesel oil fired power plants</v>
      </c>
      <c r="G506" s="76" t="str">
        <f>B505</f>
        <v>Steam turbine</v>
      </c>
      <c r="H506" s="76" t="str">
        <f>C505</f>
        <v>Electricity only</v>
      </c>
      <c r="I506" s="76" t="str">
        <f t="shared" si="359"/>
        <v>M</v>
      </c>
      <c r="J506" s="119">
        <f>IF(tech_base!$T162&gt;J$345,"",J786+J1066+J1346)</f>
        <v>208.59576316934732</v>
      </c>
      <c r="K506" s="119">
        <f>IF(tech_base!$T162&gt;K$345,"",K786+K1066+K1346)</f>
        <v>241.32719040672833</v>
      </c>
      <c r="L506" s="119">
        <f>IF(tech_base!$T162&gt;L$345,"",L786+L1066+L1346)</f>
        <v>251.75137057868244</v>
      </c>
      <c r="M506" s="119">
        <f>IF(tech_base!$T162&gt;M$345,"",M786+M1066+M1346)</f>
        <v>244.19631652333422</v>
      </c>
      <c r="N506" s="119">
        <f>IF(tech_base!$T162&gt;N$345,"",N786+N1066+N1346)</f>
        <v>231.76444308074076</v>
      </c>
      <c r="O506" s="119">
        <f>IF(tech_base!$T162&gt;O$345,"",O786+O1066+O1346)</f>
        <v>188.0908955807671</v>
      </c>
      <c r="P506" s="119">
        <f>IF(tech_base!$T162&gt;P$345,"",P786+P1066+P1346)</f>
        <v>177.69384999126632</v>
      </c>
      <c r="Q506" s="119">
        <f>IF(tech_base!$T162&gt;Q$345,"",Q786+Q1066+Q1346)</f>
        <v>190.60933097886362</v>
      </c>
      <c r="R506" s="119">
        <f>IF(tech_base!$T162&gt;R$345,"",R786+R1066+R1346)</f>
        <v>202.1625132304612</v>
      </c>
      <c r="S506" s="119">
        <f>IF(tech_base!$T162&gt;S$345,"",S786+S1066+S1346)</f>
        <v>212.31801491527565</v>
      </c>
      <c r="T506" s="119">
        <f>IF(tech_base!$T162&gt;T$345,"",T786+T1066+T1346)</f>
        <v>222.11856485562564</v>
      </c>
      <c r="U506" s="119">
        <f>IF(tech_base!$T162&gt;U$345,"",U786+U1066+U1346)</f>
        <v>231.46470696611502</v>
      </c>
      <c r="V506" s="119">
        <f>IF(tech_base!$T162&gt;V$345,"",V786+V1066+V1346)</f>
        <v>237.79139327280143</v>
      </c>
      <c r="W506" s="119">
        <f>IF(tech_base!$T162&gt;W$345,"",W786+W1066+W1346)</f>
        <v>245.50299422659808</v>
      </c>
      <c r="X506" s="119">
        <f>IF(tech_base!$T162&gt;X$345,"",X786+X1066+X1346)</f>
        <v>252.22033450761739</v>
      </c>
      <c r="Y506" s="119">
        <f>IF(tech_base!$T162&gt;Y$345,"",Y786+Y1066+Y1346)</f>
        <v>257.94905719768508</v>
      </c>
      <c r="Z506" s="119">
        <f>IF(tech_base!$T162&gt;Z$345,"",Z786+Z1066+Z1346)</f>
        <v>261.6929419094663</v>
      </c>
      <c r="AA506" s="119">
        <f>IF(tech_base!$T162&gt;AA$345,"",AA786+AA1066+AA1346)</f>
        <v>265.10320125537856</v>
      </c>
      <c r="AB506" s="119">
        <f>IF(tech_base!$T162&gt;AB$345,"",AB786+AB1066+AB1346)</f>
        <v>267.50115365632519</v>
      </c>
      <c r="AC506" s="119">
        <f>IF(tech_base!$T162&gt;AC$345,"",AC786+AC1066+AC1346)</f>
        <v>271.12906369947416</v>
      </c>
      <c r="AD506" s="119">
        <f>IF(tech_base!$T162&gt;AD$345,"",AD786+AD1066+AD1346)</f>
        <v>273.42436499840471</v>
      </c>
      <c r="AE506" s="119">
        <f>IF(tech_base!$T162&gt;AE$345,"",AE786+AE1066+AE1346)</f>
        <v>275.62688843219223</v>
      </c>
      <c r="AF506" s="119">
        <f>IF(tech_base!$T162&gt;AF$345,"",AF786+AF1066+AF1346)</f>
        <v>276.83663675948628</v>
      </c>
      <c r="AG506" s="119">
        <f>IF(tech_base!$T162&gt;AG$345,"",AG786+AG1066+AG1346)</f>
        <v>278.19252290554277</v>
      </c>
      <c r="AH506" s="119">
        <f>IF(tech_base!$T162&gt;AH$345,"",AH786+AH1066+AH1346)</f>
        <v>279.69419338030031</v>
      </c>
      <c r="AI506" s="119">
        <f>IF(tech_base!$T162&gt;AI$345,"",AI786+AI1066+AI1346)</f>
        <v>281.35567036451141</v>
      </c>
      <c r="AJ506" s="119">
        <f>IF(tech_base!$T162&gt;AJ$345,"",AJ786+AJ1066+AJ1346)</f>
        <v>283.20575235784389</v>
      </c>
      <c r="AK506" s="119">
        <f>IF(tech_base!$T162&gt;AK$345,"",AK786+AK1066+AK1346)</f>
        <v>285.28008127769306</v>
      </c>
      <c r="AL506" s="119">
        <f>IF(tech_base!$T162&gt;AL$345,"",AL786+AL1066+AL1346)</f>
        <v>287.51068596405185</v>
      </c>
      <c r="AM506" s="119">
        <f>IF(tech_base!$T162&gt;AM$345,"",AM786+AM1066+AM1346)</f>
        <v>289.81399061029896</v>
      </c>
      <c r="AN506" s="119">
        <f>IF(tech_base!$T162&gt;AN$345,"",AN786+AN1066+AN1346)</f>
        <v>292.16239977003602</v>
      </c>
      <c r="AO506" s="119">
        <f>IF(tech_base!$T162&gt;AO$345,"",AO786+AO1066+AO1346)</f>
        <v>292.56552669554122</v>
      </c>
      <c r="AP506" s="119">
        <f>IF(tech_base!$T162&gt;AP$345,"",AP786+AP1066+AP1346)</f>
        <v>293.49141861693926</v>
      </c>
      <c r="AQ506" s="119">
        <f>IF(tech_base!$T162&gt;AQ$345,"",AQ786+AQ1066+AQ1346)</f>
        <v>294.46412980501373</v>
      </c>
      <c r="AR506" s="119">
        <f>IF(tech_base!$T162&gt;AR$345,"",AR786+AR1066+AR1346)</f>
        <v>296.33716595426449</v>
      </c>
      <c r="AS506" s="119">
        <f>IF(tech_base!$T162&gt;AS$345,"",AS786+AS1066+AS1346)</f>
        <v>297.4116978231902</v>
      </c>
      <c r="AT506" s="119">
        <f>IF(tech_base!$T162&gt;AT$345,"",AT786+AT1066+AT1346)</f>
        <v>298.48662541319158</v>
      </c>
      <c r="AU506" s="119">
        <f>IF(tech_base!$T162&gt;AU$345,"",AU786+AU1066+AU1346)</f>
        <v>299.54347990957422</v>
      </c>
      <c r="AV506" s="119">
        <f>IF(tech_base!$T162&gt;AV$345,"",AV786+AV1066+AV1346)</f>
        <v>300.57219411352236</v>
      </c>
      <c r="AW506" s="119">
        <f>IF(tech_base!$T162&gt;AW$345,"",AW786+AW1066+AW1346)</f>
        <v>301.56516386423851</v>
      </c>
      <c r="AX506" s="120">
        <f>IF(tech_base!$T162&gt;AX$345,"",AX786+AX1066+AX1346)</f>
        <v>302.81658369204337</v>
      </c>
    </row>
    <row r="507" spans="1:50" x14ac:dyDescent="0.25">
      <c r="A507" s="356"/>
      <c r="B507" s="376"/>
      <c r="C507" s="379"/>
      <c r="D507" s="2" t="s">
        <v>10</v>
      </c>
      <c r="E507" s="76" t="str">
        <f>A485&amp;"/"&amp;B505&amp;"/"&amp;C505&amp;"/"&amp;D507</f>
        <v>Diesel oil fired power plants/Steam turbine/Electricity only/S</v>
      </c>
      <c r="F507" s="76" t="str">
        <f>A485</f>
        <v>Diesel oil fired power plants</v>
      </c>
      <c r="G507" s="76" t="str">
        <f>B505</f>
        <v>Steam turbine</v>
      </c>
      <c r="H507" s="76" t="str">
        <f>C505</f>
        <v>Electricity only</v>
      </c>
      <c r="I507" s="76" t="str">
        <f t="shared" si="359"/>
        <v>S</v>
      </c>
      <c r="J507" s="119">
        <f>IF(tech_base!$T163&gt;J$345,"",J787+J1067+J1347)</f>
        <v>221.07615896616005</v>
      </c>
      <c r="K507" s="119">
        <f>IF(tech_base!$T163&gt;K$345,"",K787+K1067+K1347)</f>
        <v>255.53353280721177</v>
      </c>
      <c r="L507" s="119">
        <f>IF(tech_base!$T163&gt;L$345,"",L787+L1067+L1347)</f>
        <v>266.50744069652126</v>
      </c>
      <c r="M507" s="119">
        <f>IF(tech_base!$T163&gt;M$345,"",M787+M1067+M1347)</f>
        <v>258.55387233384101</v>
      </c>
      <c r="N507" s="119">
        <f>IF(tech_base!$T163&gt;N$345,"",N787+N1067+N1347)</f>
        <v>245.46616326673384</v>
      </c>
      <c r="O507" s="119">
        <f>IF(tech_base!$T163&gt;O$345,"",O787+O1067+O1347)</f>
        <v>199.4885246416415</v>
      </c>
      <c r="P507" s="119">
        <f>IF(tech_base!$T163&gt;P$345,"",P787+P1067+P1347)</f>
        <v>188.54266028192583</v>
      </c>
      <c r="Q507" s="119">
        <f>IF(tech_base!$T163&gt;Q$345,"",Q787+Q1067+Q1347)</f>
        <v>202.13928493728537</v>
      </c>
      <c r="R507" s="119">
        <f>IF(tech_base!$T163&gt;R$345,"",R787+R1067+R1347)</f>
        <v>214.30183627793409</v>
      </c>
      <c r="S507" s="119">
        <f>IF(tech_base!$T163&gt;S$345,"",S787+S1067+S1347)</f>
        <v>224.9930457454366</v>
      </c>
      <c r="T507" s="119">
        <f>IF(tech_base!$T163&gt;T$345,"",T787+T1067+T1347)</f>
        <v>235.31065280496364</v>
      </c>
      <c r="U507" s="119">
        <f>IF(tech_base!$T163&gt;U$345,"",U787+U1067+U1347)</f>
        <v>245.14994549501449</v>
      </c>
      <c r="V507" s="119">
        <f>IF(tech_base!$T163&gt;V$345,"",V787+V1067+V1347)</f>
        <v>251.81047945263845</v>
      </c>
      <c r="W507" s="119">
        <f>IF(tech_base!$T163&gt;W$345,"",W787+W1067+W1347)</f>
        <v>259.92907844211129</v>
      </c>
      <c r="X507" s="119">
        <f>IF(tech_base!$T163&gt;X$345,"",X787+X1067+X1347)</f>
        <v>267.00098517561753</v>
      </c>
      <c r="Y507" s="119">
        <f>IF(tech_base!$T163&gt;Y$345,"",Y787+Y1067+Y1347)</f>
        <v>273.03212863605472</v>
      </c>
      <c r="Z507" s="119">
        <f>IF(tech_base!$T163&gt;Z$345,"",Z787+Z1067+Z1347)</f>
        <v>276.97368068994837</v>
      </c>
      <c r="AA507" s="119">
        <f>IF(tech_base!$T163&gt;AA$345,"",AA787+AA1067+AA1347)</f>
        <v>280.5640159428682</v>
      </c>
      <c r="AB507" s="119">
        <f>IF(tech_base!$T163&gt;AB$345,"",AB787+AB1067+AB1347)</f>
        <v>283.08861291173781</v>
      </c>
      <c r="AC507" s="119">
        <f>IF(tech_base!$T163&gt;AC$345,"",AC787+AC1067+AC1347)</f>
        <v>286.90812955596658</v>
      </c>
      <c r="AD507" s="119">
        <f>IF(tech_base!$T163&gt;AD$345,"",AD787+AD1067+AD1347)</f>
        <v>289.32468527718095</v>
      </c>
      <c r="AE507" s="119">
        <f>IF(tech_base!$T163&gt;AE$345,"",AE787+AE1067+AE1347)</f>
        <v>291.6435754819662</v>
      </c>
      <c r="AF507" s="119">
        <f>IF(tech_base!$T163&gt;AF$345,"",AF787+AF1067+AF1347)</f>
        <v>292.91726919282172</v>
      </c>
      <c r="AG507" s="119">
        <f>IF(tech_base!$T163&gt;AG$345,"",AG787+AG1067+AG1347)</f>
        <v>294.34482439545178</v>
      </c>
      <c r="AH507" s="119">
        <f>IF(tech_base!$T163&gt;AH$345,"",AH787+AH1067+AH1347)</f>
        <v>295.92586990141376</v>
      </c>
      <c r="AI507" s="119">
        <f>IF(tech_base!$T163&gt;AI$345,"",AI787+AI1067+AI1347)</f>
        <v>297.67516948887828</v>
      </c>
      <c r="AJ507" s="119">
        <f>IF(tech_base!$T163&gt;AJ$345,"",AJ787+AJ1067+AJ1347)</f>
        <v>299.62304390136626</v>
      </c>
      <c r="AK507" s="119">
        <f>IF(tech_base!$T163&gt;AK$345,"",AK787+AK1067+AK1347)</f>
        <v>301.80701905101023</v>
      </c>
      <c r="AL507" s="119">
        <f>IF(tech_base!$T163&gt;AL$345,"",AL787+AL1067+AL1347)</f>
        <v>304.15553421512647</v>
      </c>
      <c r="AM507" s="119">
        <f>IF(tech_base!$T163&gt;AM$345,"",AM787+AM1067+AM1347)</f>
        <v>306.58059887989941</v>
      </c>
      <c r="AN507" s="119">
        <f>IF(tech_base!$T163&gt;AN$345,"",AN787+AN1067+AN1347)</f>
        <v>309.05315975584102</v>
      </c>
      <c r="AO507" s="119">
        <f>IF(tech_base!$T163&gt;AO$345,"",AO787+AO1067+AO1347)</f>
        <v>309.47766485776401</v>
      </c>
      <c r="AP507" s="119">
        <f>IF(tech_base!$T163&gt;AP$345,"",AP787+AP1067+AP1347)</f>
        <v>310.45255679199494</v>
      </c>
      <c r="AQ507" s="119">
        <f>IF(tech_base!$T163&gt;AQ$345,"",AQ787+AQ1067+AQ1347)</f>
        <v>311.47674377105744</v>
      </c>
      <c r="AR507" s="119">
        <f>IF(tech_base!$T163&gt;AR$345,"",AR787+AR1067+AR1347)</f>
        <v>313.44883344531689</v>
      </c>
      <c r="AS507" s="119">
        <f>IF(tech_base!$T163&gt;AS$345,"",AS787+AS1067+AS1347)</f>
        <v>314.58022733589183</v>
      </c>
      <c r="AT507" s="119">
        <f>IF(tech_base!$T163&gt;AT$345,"",AT787+AT1067+AT1347)</f>
        <v>315.71203990913307</v>
      </c>
      <c r="AU507" s="119">
        <f>IF(tech_base!$T163&gt;AU$345,"",AU787+AU1067+AU1347)</f>
        <v>316.82482618488149</v>
      </c>
      <c r="AV507" s="119">
        <f>IF(tech_base!$T163&gt;AV$345,"",AV787+AV1067+AV1347)</f>
        <v>317.90798669649234</v>
      </c>
      <c r="AW507" s="119">
        <f>IF(tech_base!$T163&gt;AW$345,"",AW787+AW1067+AW1347)</f>
        <v>318.95351512940886</v>
      </c>
      <c r="AX507" s="120">
        <f>IF(tech_base!$T163&gt;AX$345,"",AX787+AX1067+AX1347)</f>
        <v>320.27115518086356</v>
      </c>
    </row>
    <row r="508" spans="1:50" x14ac:dyDescent="0.25">
      <c r="A508" s="356"/>
      <c r="B508" s="376"/>
      <c r="C508" s="361" t="s">
        <v>14</v>
      </c>
      <c r="D508" s="58" t="s">
        <v>7</v>
      </c>
      <c r="E508" s="78" t="str">
        <f>A485&amp;"/"&amp;B505&amp;"/"&amp;C508&amp;"/"&amp;D508</f>
        <v>Diesel oil fired power plants/Steam turbine/CHP/L</v>
      </c>
      <c r="F508" s="78" t="str">
        <f>A485</f>
        <v>Diesel oil fired power plants</v>
      </c>
      <c r="G508" s="78" t="str">
        <f>B505</f>
        <v>Steam turbine</v>
      </c>
      <c r="H508" s="78" t="str">
        <f>C508</f>
        <v>CHP</v>
      </c>
      <c r="I508" s="78" t="str">
        <f t="shared" si="359"/>
        <v>L</v>
      </c>
      <c r="J508" s="123">
        <f>IF(tech_base!$T164&gt;J$345,"",J788+J1068+J1348)</f>
        <v>231.90609017156891</v>
      </c>
      <c r="K508" s="123">
        <f>IF(tech_base!$T164&gt;K$345,"",K788+K1068+K1348)</f>
        <v>266.28240304932422</v>
      </c>
      <c r="L508" s="123">
        <f>IF(tech_base!$T164&gt;L$345,"",L788+L1068+L1348)</f>
        <v>277.23151248394157</v>
      </c>
      <c r="M508" s="123">
        <f>IF(tech_base!$T164&gt;M$345,"",M788+M1068+M1348)</f>
        <v>269.29820723017019</v>
      </c>
      <c r="N508" s="123">
        <f>IF(tech_base!$T164&gt;N$345,"",N788+N1068+N1348)</f>
        <v>256.24284279911018</v>
      </c>
      <c r="O508" s="123">
        <f>IF(tech_base!$T164&gt;O$345,"",O788+O1068+O1348)</f>
        <v>210.37522801458323</v>
      </c>
      <c r="P508" s="123">
        <f>IF(tech_base!$T164&gt;P$345,"",P788+P1068+P1348)</f>
        <v>199.4562476096464</v>
      </c>
      <c r="Q508" s="123">
        <f>IF(tech_base!$T164&gt;Q$345,"",Q788+Q1068+Q1348)</f>
        <v>213.02181681152308</v>
      </c>
      <c r="R508" s="123">
        <f>IF(tech_base!$T164&gt;R$345,"",R788+R1068+R1348)</f>
        <v>225.1568022946976</v>
      </c>
      <c r="S508" s="123">
        <f>IF(tech_base!$T164&gt;S$345,"",S788+S1068+S1348)</f>
        <v>235.82399842463269</v>
      </c>
      <c r="T508" s="123">
        <f>IF(tech_base!$T164&gt;T$345,"",T788+T1068+T1348)</f>
        <v>246.11854681256344</v>
      </c>
      <c r="U508" s="123">
        <f>IF(tech_base!$T164&gt;U$345,"",U788+U1068+U1348)</f>
        <v>255.935970826606</v>
      </c>
      <c r="V508" s="123">
        <f>IF(tech_base!$T164&gt;V$345,"",V788+V1068+V1348)</f>
        <v>262.5821305379734</v>
      </c>
      <c r="W508" s="123">
        <f>IF(tech_base!$T164&gt;W$345,"",W788+W1068+W1348)</f>
        <v>270.68298595914325</v>
      </c>
      <c r="X508" s="123">
        <f>IF(tech_base!$T164&gt;X$345,"",X788+X1068+X1348)</f>
        <v>277.73963125701425</v>
      </c>
      <c r="Y508" s="123">
        <f>IF(tech_base!$T164&gt;Y$345,"",Y788+Y1068+Y1348)</f>
        <v>283.75796858396637</v>
      </c>
      <c r="Z508" s="123">
        <f>IF(tech_base!$T164&gt;Z$345,"",Z788+Z1068+Z1348)</f>
        <v>287.69159828624868</v>
      </c>
      <c r="AA508" s="123">
        <f>IF(tech_base!$T164&gt;AA$345,"",AA788+AA1068+AA1348)</f>
        <v>291.27483597697056</v>
      </c>
      <c r="AB508" s="123">
        <f>IF(tech_base!$T164&gt;AB$345,"",AB788+AB1068+AB1348)</f>
        <v>293.79481485901681</v>
      </c>
      <c r="AC508" s="123">
        <f>IF(tech_base!$T164&gt;AC$345,"",AC788+AC1068+AC1348)</f>
        <v>297.60670846658098</v>
      </c>
      <c r="AD508" s="123">
        <f>IF(tech_base!$T164&gt;AD$345,"",AD788+AD1068+AD1348)</f>
        <v>300.01889556521132</v>
      </c>
      <c r="AE508" s="123">
        <f>IF(tech_base!$T164&gt;AE$345,"",AE788+AE1068+AE1348)</f>
        <v>302.33363934200236</v>
      </c>
      <c r="AF508" s="123">
        <f>IF(tech_base!$T164&gt;AF$345,"",AF788+AF1068+AF1348)</f>
        <v>303.605599738043</v>
      </c>
      <c r="AG508" s="123">
        <f>IF(tech_base!$T164&gt;AG$345,"",AG788+AG1068+AG1348)</f>
        <v>305.03105630983458</v>
      </c>
      <c r="AH508" s="123">
        <f>IF(tech_base!$T164&gt;AH$345,"",AH788+AH1068+AH1348)</f>
        <v>306.60963901566964</v>
      </c>
      <c r="AI508" s="123">
        <f>IF(tech_base!$T164&gt;AI$345,"",AI788+AI1068+AI1348)</f>
        <v>308.35607772796357</v>
      </c>
      <c r="AJ508" s="123">
        <f>IF(tech_base!$T164&gt;AJ$345,"",AJ788+AJ1068+AJ1348)</f>
        <v>310.30062336091038</v>
      </c>
      <c r="AK508" s="123">
        <f>IF(tech_base!$T164&gt;AK$345,"",AK788+AK1068+AK1348)</f>
        <v>312.48071541725727</v>
      </c>
      <c r="AL508" s="123">
        <f>IF(tech_base!$T164&gt;AL$345,"",AL788+AL1068+AL1348)</f>
        <v>314.82495833083198</v>
      </c>
      <c r="AM508" s="123">
        <f>IF(tech_base!$T164&gt;AM$345,"",AM788+AM1068+AM1348)</f>
        <v>317.2455642144688</v>
      </c>
      <c r="AN508" s="123">
        <f>IF(tech_base!$T164&gt;AN$345,"",AN788+AN1068+AN1348)</f>
        <v>319.71354625007012</v>
      </c>
      <c r="AO508" s="123">
        <f>IF(tech_base!$T164&gt;AO$345,"",AO788+AO1068+AO1348)</f>
        <v>320.13817855204422</v>
      </c>
      <c r="AP508" s="123">
        <f>IF(tech_base!$T164&gt;AP$345,"",AP788+AP1068+AP1348)</f>
        <v>321.11191600054678</v>
      </c>
      <c r="AQ508" s="123">
        <f>IF(tech_base!$T164&gt;AQ$345,"",AQ788+AQ1068+AQ1348)</f>
        <v>322.13482125611637</v>
      </c>
      <c r="AR508" s="123">
        <f>IF(tech_base!$T164&gt;AR$345,"",AR788+AR1068+AR1348)</f>
        <v>324.10343352035346</v>
      </c>
      <c r="AS508" s="123">
        <f>IF(tech_base!$T164&gt;AS$345,"",AS788+AS1068+AS1348)</f>
        <v>325.23327141757846</v>
      </c>
      <c r="AT508" s="123">
        <f>IF(tech_base!$T164&gt;AT$345,"",AT788+AT1068+AT1348)</f>
        <v>326.36351287660955</v>
      </c>
      <c r="AU508" s="123">
        <f>IF(tech_base!$T164&gt;AU$345,"",AU788+AU1068+AU1348)</f>
        <v>327.47475752000588</v>
      </c>
      <c r="AV508" s="123">
        <f>IF(tech_base!$T164&gt;AV$345,"",AV788+AV1068+AV1348)</f>
        <v>328.55643013865802</v>
      </c>
      <c r="AW508" s="123">
        <f>IF(tech_base!$T164&gt;AW$345,"",AW788+AW1068+AW1348)</f>
        <v>329.60054273151388</v>
      </c>
      <c r="AX508" s="124">
        <f>IF(tech_base!$T164&gt;AX$345,"",AX788+AX1068+AX1348)</f>
        <v>330.91612617100424</v>
      </c>
    </row>
    <row r="509" spans="1:50" x14ac:dyDescent="0.25">
      <c r="A509" s="356"/>
      <c r="B509" s="376"/>
      <c r="C509" s="378"/>
      <c r="D509" s="2" t="s">
        <v>8</v>
      </c>
      <c r="E509" s="76" t="str">
        <f>A485&amp;"/"&amp;B505&amp;"/"&amp;C508&amp;"/"&amp;D509</f>
        <v>Diesel oil fired power plants/Steam turbine/CHP/M</v>
      </c>
      <c r="F509" s="76" t="str">
        <f>A485</f>
        <v>Diesel oil fired power plants</v>
      </c>
      <c r="G509" s="76" t="str">
        <f>B505</f>
        <v>Steam turbine</v>
      </c>
      <c r="H509" s="76" t="str">
        <f>C508</f>
        <v>CHP</v>
      </c>
      <c r="I509" s="76" t="str">
        <f t="shared" si="359"/>
        <v>M</v>
      </c>
      <c r="J509" s="119">
        <f>IF(tech_base!$T165&gt;J$345,"",J789+J1069+J1349)</f>
        <v>244.14191037900554</v>
      </c>
      <c r="K509" s="119">
        <f>IF(tech_base!$T165&gt;K$345,"",K789+K1069+K1349)</f>
        <v>280.33419924982383</v>
      </c>
      <c r="L509" s="119">
        <f>IF(tech_base!$T165&gt;L$345,"",L789+L1069+L1349)</f>
        <v>291.86085951065928</v>
      </c>
      <c r="M509" s="119">
        <f>IF(tech_base!$T165&gt;M$345,"",M789+M1069+M1349)</f>
        <v>283.50657267444689</v>
      </c>
      <c r="N509" s="119">
        <f>IF(tech_base!$T165&gt;N$345,"",N789+N1069+N1349)</f>
        <v>269.75919924792834</v>
      </c>
      <c r="O509" s="119">
        <f>IF(tech_base!$T165&gt;O$345,"",O789+O1069+O1349)</f>
        <v>221.46353672085166</v>
      </c>
      <c r="P509" s="119">
        <f>IF(tech_base!$T165&gt;P$345,"",P789+P1069+P1349)</f>
        <v>209.96507736741088</v>
      </c>
      <c r="Q509" s="119">
        <f>IF(tech_base!$T165&gt;Q$345,"",Q789+Q1069+Q1349)</f>
        <v>224.24669094213053</v>
      </c>
      <c r="R509" s="119">
        <f>IF(tech_base!$T165&gt;R$345,"",R789+R1069+R1349)</f>
        <v>237.02220652484354</v>
      </c>
      <c r="S509" s="119">
        <f>IF(tech_base!$T165&gt;S$345,"",S789+S1069+S1349)</f>
        <v>248.25241872468624</v>
      </c>
      <c r="T509" s="119">
        <f>IF(tech_base!$T165&gt;T$345,"",T789+T1069+T1349)</f>
        <v>259.09040998930323</v>
      </c>
      <c r="U509" s="119">
        <f>IF(tech_base!$T165&gt;U$345,"",U789+U1069+U1349)</f>
        <v>269.42616270623864</v>
      </c>
      <c r="V509" s="119">
        <f>IF(tech_base!$T165&gt;V$345,"",V789+V1069+V1349)</f>
        <v>276.4228798401831</v>
      </c>
      <c r="W509" s="119">
        <f>IF(tech_base!$T165&gt;W$345,"",W789+W1069+W1349)</f>
        <v>284.95141930324377</v>
      </c>
      <c r="X509" s="119">
        <f>IF(tech_base!$T165&gt;X$345,"",X789+X1069+X1349)</f>
        <v>292.3805607778325</v>
      </c>
      <c r="Y509" s="119">
        <f>IF(tech_base!$T165&gt;Y$345,"",Y789+Y1069+Y1349)</f>
        <v>298.71649915447563</v>
      </c>
      <c r="Z509" s="119">
        <f>IF(tech_base!$T165&gt;Z$345,"",Z789+Z1069+Z1349)</f>
        <v>302.8573887605063</v>
      </c>
      <c r="AA509" s="119">
        <f>IF(tech_base!$T165&gt;AA$345,"",AA789+AA1069+AA1349)</f>
        <v>306.62938417480621</v>
      </c>
      <c r="AB509" s="119">
        <f>IF(tech_base!$T165&gt;AB$345,"",AB789+AB1069+AB1349)</f>
        <v>309.28184426221992</v>
      </c>
      <c r="AC509" s="119">
        <f>IF(tech_base!$T165&gt;AC$345,"",AC789+AC1069+AC1349)</f>
        <v>313.29471371715283</v>
      </c>
      <c r="AD509" s="119">
        <f>IF(tech_base!$T165&gt;AD$345,"",AD789+AD1069+AD1349)</f>
        <v>315.83376094756397</v>
      </c>
      <c r="AE509" s="119">
        <f>IF(tech_base!$T165&gt;AE$345,"",AE789+AE1069+AE1349)</f>
        <v>318.27024049944197</v>
      </c>
      <c r="AF509" s="119">
        <f>IF(tech_base!$T165&gt;AF$345,"",AF789+AF1069+AF1349)</f>
        <v>319.60870689127074</v>
      </c>
      <c r="AG509" s="119">
        <f>IF(tech_base!$T165&gt;AG$345,"",AG789+AG1069+AG1349)</f>
        <v>321.10883252762045</v>
      </c>
      <c r="AH509" s="119">
        <f>IF(tech_base!$T165&gt;AH$345,"",AH789+AH1069+AH1349)</f>
        <v>322.77022948386389</v>
      </c>
      <c r="AI509" s="119">
        <f>IF(tech_base!$T165&gt;AI$345,"",AI789+AI1069+AI1349)</f>
        <v>324.60841018978704</v>
      </c>
      <c r="AJ509" s="119">
        <f>IF(tech_base!$T165&gt;AJ$345,"",AJ789+AJ1069+AJ1349)</f>
        <v>326.6552312379506</v>
      </c>
      <c r="AK509" s="119">
        <f>IF(tech_base!$T165&gt;AK$345,"",AK789+AK1069+AK1349)</f>
        <v>328.9501194568121</v>
      </c>
      <c r="AL509" s="119">
        <f>IF(tech_base!$T165&gt;AL$345,"",AL789+AL1069+AL1349)</f>
        <v>331.4178958551696</v>
      </c>
      <c r="AM509" s="119">
        <f>IF(tech_base!$T165&gt;AM$345,"",AM789+AM1069+AM1349)</f>
        <v>333.96611843117512</v>
      </c>
      <c r="AN509" s="119">
        <f>IF(tech_base!$T165&gt;AN$345,"",AN789+AN1069+AN1349)</f>
        <v>336.56426329911409</v>
      </c>
      <c r="AO509" s="119">
        <f>IF(tech_base!$T165&gt;AO$345,"",AO789+AO1069+AO1349)</f>
        <v>337.01070959747528</v>
      </c>
      <c r="AP509" s="119">
        <f>IF(tech_base!$T165&gt;AP$345,"",AP789+AP1069+AP1349)</f>
        <v>338.03540393492301</v>
      </c>
      <c r="AQ509" s="119">
        <f>IF(tech_base!$T165&gt;AQ$345,"",AQ789+AQ1069+AQ1349)</f>
        <v>339.11189401886628</v>
      </c>
      <c r="AR509" s="119">
        <f>IF(tech_base!$T165&gt;AR$345,"",AR789+AR1069+AR1349)</f>
        <v>341.18428401757524</v>
      </c>
      <c r="AS509" s="119">
        <f>IF(tech_base!$T165&gt;AS$345,"",AS789+AS1069+AS1349)</f>
        <v>342.3734230343</v>
      </c>
      <c r="AT509" s="119">
        <f>IF(tech_base!$T165&gt;AT$345,"",AT789+AT1069+AT1349)</f>
        <v>343.56300671963129</v>
      </c>
      <c r="AU509" s="119">
        <f>IF(tech_base!$T165&gt;AU$345,"",AU789+AU1069+AU1349)</f>
        <v>344.73260483528577</v>
      </c>
      <c r="AV509" s="119">
        <f>IF(tech_base!$T165&gt;AV$345,"",AV789+AV1069+AV1349)</f>
        <v>345.87108036775226</v>
      </c>
      <c r="AW509" s="119">
        <f>IF(tech_base!$T165&gt;AW$345,"",AW789+AW1069+AW1349)</f>
        <v>346.97002067776663</v>
      </c>
      <c r="AX509" s="120">
        <f>IF(tech_base!$T165&gt;AX$345,"",AX789+AX1069+AX1349)</f>
        <v>348.35485818246389</v>
      </c>
    </row>
    <row r="510" spans="1:50" x14ac:dyDescent="0.25">
      <c r="A510" s="356"/>
      <c r="B510" s="376"/>
      <c r="C510" s="379"/>
      <c r="D510" s="59" t="s">
        <v>10</v>
      </c>
      <c r="E510" s="79" t="str">
        <f>A485&amp;"/"&amp;B505&amp;"/"&amp;C508&amp;"/"&amp;D510</f>
        <v>Diesel oil fired power plants/Steam turbine/CHP/S</v>
      </c>
      <c r="F510" s="79" t="str">
        <f>A485</f>
        <v>Diesel oil fired power plants</v>
      </c>
      <c r="G510" s="79" t="str">
        <f>B505</f>
        <v>Steam turbine</v>
      </c>
      <c r="H510" s="79" t="str">
        <f>C508</f>
        <v>CHP</v>
      </c>
      <c r="I510" s="79" t="str">
        <f t="shared" si="359"/>
        <v>S</v>
      </c>
      <c r="J510" s="125">
        <f>IF(tech_base!$T166&gt;J$345,"",J790+J1070+J1350)</f>
        <v>258.90751584587832</v>
      </c>
      <c r="K510" s="125">
        <f>IF(tech_base!$T166&gt;K$345,"",K790+K1070+K1350)</f>
        <v>297.01802352024873</v>
      </c>
      <c r="L510" s="125">
        <f>IF(tech_base!$T166&gt;L$345,"",L790+L1070+L1350)</f>
        <v>309.15517735684062</v>
      </c>
      <c r="M510" s="125">
        <f>IF(tech_base!$T166&gt;M$345,"",M790+M1070+M1350)</f>
        <v>300.35712038537827</v>
      </c>
      <c r="N510" s="125">
        <f>IF(tech_base!$T166&gt;N$345,"",N790+N1070+N1350)</f>
        <v>285.8798884484271</v>
      </c>
      <c r="O510" s="125">
        <f>IF(tech_base!$T166&gt;O$345,"",O790+O1070+O1350)</f>
        <v>235.02179156558273</v>
      </c>
      <c r="P510" s="125">
        <f>IF(tech_base!$T166&gt;P$345,"",P790+P1070+P1350)</f>
        <v>222.91246289375005</v>
      </c>
      <c r="Q510" s="125">
        <f>IF(tech_base!$T166&gt;Q$345,"",Q790+Q1070+Q1350)</f>
        <v>237.95073303760441</v>
      </c>
      <c r="R510" s="125">
        <f>IF(tech_base!$T166&gt;R$345,"",R790+R1070+R1350)</f>
        <v>251.40311901386823</v>
      </c>
      <c r="S510" s="125">
        <f>IF(tech_base!$T166&gt;S$345,"",S790+S1070+S1350)</f>
        <v>263.22831716894143</v>
      </c>
      <c r="T510" s="125">
        <f>IF(tech_base!$T166&gt;T$345,"",T790+T1070+T1350)</f>
        <v>274.64057313816625</v>
      </c>
      <c r="U510" s="125">
        <f>IF(tech_base!$T166&gt;U$345,"",U790+U1070+U1350)</f>
        <v>285.52402560022</v>
      </c>
      <c r="V510" s="125">
        <f>IF(tech_base!$T166&gt;V$345,"",V790+V1070+V1350)</f>
        <v>292.89133454454878</v>
      </c>
      <c r="W510" s="125">
        <f>IF(tech_base!$T166&gt;W$345,"",W790+W1070+W1350)</f>
        <v>301.87181401600174</v>
      </c>
      <c r="X510" s="125">
        <f>IF(tech_base!$T166&gt;X$345,"",X790+X1070+X1350)</f>
        <v>309.69461312280112</v>
      </c>
      <c r="Y510" s="125">
        <f>IF(tech_base!$T166&gt;Y$345,"",Y790+Y1070+Y1350)</f>
        <v>316.36624374527821</v>
      </c>
      <c r="Z510" s="125">
        <f>IF(tech_base!$T166&gt;Z$345,"",Z790+Z1070+Z1350)</f>
        <v>320.72636485991512</v>
      </c>
      <c r="AA510" s="125">
        <f>IF(tech_base!$T166&gt;AA$345,"",AA790+AA1070+AA1350)</f>
        <v>324.6980444879369</v>
      </c>
      <c r="AB510" s="125">
        <f>IF(tech_base!$T166&gt;AB$345,"",AB790+AB1070+AB1350)</f>
        <v>327.49079027519878</v>
      </c>
      <c r="AC510" s="125">
        <f>IF(tech_base!$T166&gt;AC$345,"",AC790+AC1070+AC1350)</f>
        <v>331.71618956715719</v>
      </c>
      <c r="AD510" s="125">
        <f>IF(tech_base!$T166&gt;AD$345,"",AD790+AD1070+AD1350)</f>
        <v>334.38955263220242</v>
      </c>
      <c r="AE510" s="125">
        <f>IF(tech_base!$T166&gt;AE$345,"",AE790+AE1070+AE1350)</f>
        <v>336.95492462199672</v>
      </c>
      <c r="AF510" s="125">
        <f>IF(tech_base!$T166&gt;AF$345,"",AF790+AF1070+AF1350)</f>
        <v>338.36400490565541</v>
      </c>
      <c r="AG510" s="125">
        <f>IF(tech_base!$T166&gt;AG$345,"",AG790+AG1070+AG1350)</f>
        <v>339.94334300542886</v>
      </c>
      <c r="AH510" s="125">
        <f>IF(tech_base!$T166&gt;AH$345,"",AH790+AH1070+AH1350)</f>
        <v>341.69253142901846</v>
      </c>
      <c r="AI510" s="125">
        <f>IF(tech_base!$T166&gt;AI$345,"",AI790+AI1070+AI1350)</f>
        <v>343.62790736186878</v>
      </c>
      <c r="AJ510" s="125">
        <f>IF(tech_base!$T166&gt;AJ$345,"",AJ790+AJ1070+AJ1350)</f>
        <v>345.78302025305715</v>
      </c>
      <c r="AK510" s="125">
        <f>IF(tech_base!$T166&gt;AK$345,"",AK790+AK1070+AK1350)</f>
        <v>348.19939211814807</v>
      </c>
      <c r="AL510" s="125">
        <f>IF(tech_base!$T166&gt;AL$345,"",AL790+AL1070+AL1350)</f>
        <v>350.79785261982573</v>
      </c>
      <c r="AM510" s="125">
        <f>IF(tech_base!$T166&gt;AM$345,"",AM790+AM1070+AM1350)</f>
        <v>353.48105070057119</v>
      </c>
      <c r="AN510" s="125">
        <f>IF(tech_base!$T166&gt;AN$345,"",AN790+AN1070+AN1350)</f>
        <v>356.21684134536844</v>
      </c>
      <c r="AO510" s="125">
        <f>IF(tech_base!$T166&gt;AO$345,"",AO790+AO1070+AO1350)</f>
        <v>356.68665632547061</v>
      </c>
      <c r="AP510" s="125">
        <f>IF(tech_base!$T166&gt;AP$345,"",AP790+AP1070+AP1350)</f>
        <v>357.76544441603937</v>
      </c>
      <c r="AQ510" s="125">
        <f>IF(tech_base!$T166&gt;AQ$345,"",AQ790+AQ1070+AQ1350)</f>
        <v>358.89879026269824</v>
      </c>
      <c r="AR510" s="125">
        <f>IF(tech_base!$T166&gt;AR$345,"",AR790+AR1070+AR1350)</f>
        <v>361.08095434545328</v>
      </c>
      <c r="AS510" s="125">
        <f>IF(tech_base!$T166&gt;AS$345,"",AS790+AS1070+AS1350)</f>
        <v>362.3329568953742</v>
      </c>
      <c r="AT510" s="125">
        <f>IF(tech_base!$T166&gt;AT$345,"",AT790+AT1070+AT1350)</f>
        <v>363.58543826542268</v>
      </c>
      <c r="AU510" s="125">
        <f>IF(tech_base!$T166&gt;AU$345,"",AU790+AU1070+AU1350)</f>
        <v>364.81688250506522</v>
      </c>
      <c r="AV510" s="125">
        <f>IF(tech_base!$T166&gt;AV$345,"",AV790+AV1070+AV1350)</f>
        <v>366.01556050832602</v>
      </c>
      <c r="AW510" s="125">
        <f>IF(tech_base!$T166&gt;AW$345,"",AW790+AW1070+AW1350)</f>
        <v>367.17261222212244</v>
      </c>
      <c r="AX510" s="126">
        <f>IF(tech_base!$T166&gt;AX$345,"",AX790+AX1070+AX1350)</f>
        <v>368.63076260318729</v>
      </c>
    </row>
    <row r="511" spans="1:50" x14ac:dyDescent="0.25">
      <c r="A511" s="356"/>
      <c r="B511" s="376"/>
      <c r="C511" s="361" t="s">
        <v>15</v>
      </c>
      <c r="D511" s="58" t="s">
        <v>7</v>
      </c>
      <c r="E511" s="78" t="str">
        <f>A485&amp;"/"&amp;B505&amp;"/"&amp;C511&amp;"/"&amp;D511</f>
        <v>Diesel oil fired power plants/Steam turbine/Electricity only with CCS/L</v>
      </c>
      <c r="F511" s="78" t="str">
        <f>A485</f>
        <v>Diesel oil fired power plants</v>
      </c>
      <c r="G511" s="78" t="str">
        <f>B505</f>
        <v>Steam turbine</v>
      </c>
      <c r="H511" s="78" t="str">
        <f>C511</f>
        <v>Electricity only with CCS</v>
      </c>
      <c r="I511" s="78" t="str">
        <f t="shared" si="359"/>
        <v>L</v>
      </c>
      <c r="J511" s="123" t="str">
        <f>IF(tech_base!$T167&gt;J$345,"",J791+J1071+J1351)</f>
        <v/>
      </c>
      <c r="K511" s="123" t="str">
        <f>IF(tech_base!$T167&gt;K$345,"",K791+K1071+K1351)</f>
        <v/>
      </c>
      <c r="L511" s="123" t="str">
        <f>IF(tech_base!$T167&gt;L$345,"",L791+L1071+L1351)</f>
        <v/>
      </c>
      <c r="M511" s="123" t="str">
        <f>IF(tech_base!$T167&gt;M$345,"",M791+M1071+M1351)</f>
        <v/>
      </c>
      <c r="N511" s="123" t="str">
        <f>IF(tech_base!$T167&gt;N$345,"",N791+N1071+N1351)</f>
        <v/>
      </c>
      <c r="O511" s="123" t="str">
        <f>IF(tech_base!$T167&gt;O$345,"",O791+O1071+O1351)</f>
        <v/>
      </c>
      <c r="P511" s="123" t="str">
        <f>IF(tech_base!$T167&gt;P$345,"",P791+P1071+P1351)</f>
        <v/>
      </c>
      <c r="Q511" s="123" t="str">
        <f>IF(tech_base!$T167&gt;Q$345,"",Q791+Q1071+Q1351)</f>
        <v/>
      </c>
      <c r="R511" s="123" t="str">
        <f>IF(tech_base!$T167&gt;R$345,"",R791+R1071+R1351)</f>
        <v/>
      </c>
      <c r="S511" s="123" t="str">
        <f>IF(tech_base!$T167&gt;S$345,"",S791+S1071+S1351)</f>
        <v/>
      </c>
      <c r="T511" s="123" t="str">
        <f>IF(tech_base!$T167&gt;T$345,"",T791+T1071+T1351)</f>
        <v/>
      </c>
      <c r="U511" s="123" t="str">
        <f>IF(tech_base!$T167&gt;U$345,"",U791+U1071+U1351)</f>
        <v/>
      </c>
      <c r="V511" s="123" t="str">
        <f>IF(tech_base!$T167&gt;V$345,"",V791+V1071+V1351)</f>
        <v/>
      </c>
      <c r="W511" s="123" t="str">
        <f>IF(tech_base!$T167&gt;W$345,"",W791+W1071+W1351)</f>
        <v/>
      </c>
      <c r="X511" s="123" t="str">
        <f>IF(tech_base!$T167&gt;X$345,"",X791+X1071+X1351)</f>
        <v/>
      </c>
      <c r="Y511" s="123" t="str">
        <f>IF(tech_base!$T167&gt;Y$345,"",Y791+Y1071+Y1351)</f>
        <v/>
      </c>
      <c r="Z511" s="123" t="str">
        <f>IF(tech_base!$T167&gt;Z$345,"",Z791+Z1071+Z1351)</f>
        <v/>
      </c>
      <c r="AA511" s="123" t="str">
        <f>IF(tech_base!$T167&gt;AA$345,"",AA791+AA1071+AA1351)</f>
        <v/>
      </c>
      <c r="AB511" s="123" t="str">
        <f>IF(tech_base!$T167&gt;AB$345,"",AB791+AB1071+AB1351)</f>
        <v/>
      </c>
      <c r="AC511" s="123" t="str">
        <f>IF(tech_base!$T167&gt;AC$345,"",AC791+AC1071+AC1351)</f>
        <v/>
      </c>
      <c r="AD511" s="123" t="str">
        <f>IF(tech_base!$T167&gt;AD$345,"",AD791+AD1071+AD1351)</f>
        <v/>
      </c>
      <c r="AE511" s="123">
        <f>IF(tech_base!$T167&gt;AE$345,"",AE791+AE1071+AE1351)</f>
        <v>418.09432564140167</v>
      </c>
      <c r="AF511" s="123">
        <f>IF(tech_base!$T167&gt;AF$345,"",AF791+AF1071+AF1351)</f>
        <v>419.66993196962909</v>
      </c>
      <c r="AG511" s="123">
        <f>IF(tech_base!$T167&gt;AG$345,"",AG791+AG1071+AG1351)</f>
        <v>421.43608038721322</v>
      </c>
      <c r="AH511" s="123">
        <f>IF(tech_base!$T167&gt;AH$345,"",AH791+AH1071+AH1351)</f>
        <v>423.39231665823831</v>
      </c>
      <c r="AI511" s="123">
        <f>IF(tech_base!$T167&gt;AI$345,"",AI791+AI1071+AI1351)</f>
        <v>425.55692299583427</v>
      </c>
      <c r="AJ511" s="123">
        <f>IF(tech_base!$T167&gt;AJ$345,"",AJ791+AJ1071+AJ1351)</f>
        <v>427.96744165578014</v>
      </c>
      <c r="AK511" s="123">
        <f>IF(tech_base!$T167&gt;AK$345,"",AK791+AK1071+AK1351)</f>
        <v>430.67033642584408</v>
      </c>
      <c r="AL511" s="123">
        <f>IF(tech_base!$T167&gt;AL$345,"",AL791+AL1071+AL1351)</f>
        <v>433.57702085712958</v>
      </c>
      <c r="AM511" s="123">
        <f>IF(tech_base!$T167&gt;AM$345,"",AM791+AM1071+AM1351)</f>
        <v>436.57856330380076</v>
      </c>
      <c r="AN511" s="123">
        <f>IF(tech_base!$T167&gt;AN$345,"",AN791+AN1071+AN1351)</f>
        <v>439.63899443015453</v>
      </c>
      <c r="AO511" s="123">
        <f>IF(tech_base!$T167&gt;AO$345,"",AO791+AO1071+AO1351)</f>
        <v>440.16388106884125</v>
      </c>
      <c r="AP511" s="123">
        <f>IF(tech_base!$T167&gt;AP$345,"",AP791+AP1071+AP1351)</f>
        <v>441.37021831283897</v>
      </c>
      <c r="AQ511" s="123">
        <f>IF(tech_base!$T167&gt;AQ$345,"",AQ791+AQ1071+AQ1351)</f>
        <v>442.63762859158203</v>
      </c>
      <c r="AR511" s="123">
        <f>IF(tech_base!$T167&gt;AR$345,"",AR791+AR1071+AR1351)</f>
        <v>445.07868220401599</v>
      </c>
      <c r="AS511" s="123">
        <f>IF(tech_base!$T167&gt;AS$345,"",AS791+AS1071+AS1351)</f>
        <v>446.47891938179509</v>
      </c>
      <c r="AT511" s="123">
        <f>IF(tech_base!$T167&gt;AT$345,"",AT791+AT1071+AT1351)</f>
        <v>447.87971566086293</v>
      </c>
      <c r="AU511" s="123">
        <f>IF(tech_base!$T167&gt;AU$345,"",AU791+AU1071+AU1351)</f>
        <v>449.25699411206199</v>
      </c>
      <c r="AV511" s="123">
        <f>IF(tech_base!$T167&gt;AV$345,"",AV791+AV1071+AV1351)</f>
        <v>450.59762905554459</v>
      </c>
      <c r="AW511" s="123">
        <f>IF(tech_base!$T167&gt;AW$345,"",AW791+AW1071+AW1351)</f>
        <v>451.89170516388276</v>
      </c>
      <c r="AX511" s="124">
        <f>IF(tech_base!$T167&gt;AX$345,"",AX791+AX1071+AX1351)</f>
        <v>453.52273580341773</v>
      </c>
    </row>
    <row r="512" spans="1:50" x14ac:dyDescent="0.25">
      <c r="A512" s="356"/>
      <c r="B512" s="376"/>
      <c r="C512" s="379"/>
      <c r="D512" s="59" t="s">
        <v>8</v>
      </c>
      <c r="E512" s="79" t="str">
        <f>A485&amp;"/"&amp;B505&amp;"/"&amp;C511&amp;"/"&amp;D512</f>
        <v>Diesel oil fired power plants/Steam turbine/Electricity only with CCS/M</v>
      </c>
      <c r="F512" s="79" t="str">
        <f>A485</f>
        <v>Diesel oil fired power plants</v>
      </c>
      <c r="G512" s="79" t="str">
        <f>B505</f>
        <v>Steam turbine</v>
      </c>
      <c r="H512" s="79" t="str">
        <f>C511</f>
        <v>Electricity only with CCS</v>
      </c>
      <c r="I512" s="79" t="str">
        <f t="shared" si="359"/>
        <v>M</v>
      </c>
      <c r="J512" s="125" t="str">
        <f>IF(tech_base!$T168&gt;J$345,"",J792+J1072+J1352)</f>
        <v/>
      </c>
      <c r="K512" s="125" t="str">
        <f>IF(tech_base!$T168&gt;K$345,"",K792+K1072+K1352)</f>
        <v/>
      </c>
      <c r="L512" s="125" t="str">
        <f>IF(tech_base!$T168&gt;L$345,"",L792+L1072+L1352)</f>
        <v/>
      </c>
      <c r="M512" s="125" t="str">
        <f>IF(tech_base!$T168&gt;M$345,"",M792+M1072+M1352)</f>
        <v/>
      </c>
      <c r="N512" s="125" t="str">
        <f>IF(tech_base!$T168&gt;N$345,"",N792+N1072+N1352)</f>
        <v/>
      </c>
      <c r="O512" s="125" t="str">
        <f>IF(tech_base!$T168&gt;O$345,"",O792+O1072+O1352)</f>
        <v/>
      </c>
      <c r="P512" s="125" t="str">
        <f>IF(tech_base!$T168&gt;P$345,"",P792+P1072+P1352)</f>
        <v/>
      </c>
      <c r="Q512" s="125" t="str">
        <f>IF(tech_base!$T168&gt;Q$345,"",Q792+Q1072+Q1352)</f>
        <v/>
      </c>
      <c r="R512" s="125" t="str">
        <f>IF(tech_base!$T168&gt;R$345,"",R792+R1072+R1352)</f>
        <v/>
      </c>
      <c r="S512" s="125" t="str">
        <f>IF(tech_base!$T168&gt;S$345,"",S792+S1072+S1352)</f>
        <v/>
      </c>
      <c r="T512" s="125" t="str">
        <f>IF(tech_base!$T168&gt;T$345,"",T792+T1072+T1352)</f>
        <v/>
      </c>
      <c r="U512" s="125" t="str">
        <f>IF(tech_base!$T168&gt;U$345,"",U792+U1072+U1352)</f>
        <v/>
      </c>
      <c r="V512" s="125" t="str">
        <f>IF(tech_base!$T168&gt;V$345,"",V792+V1072+V1352)</f>
        <v/>
      </c>
      <c r="W512" s="125" t="str">
        <f>IF(tech_base!$T168&gt;W$345,"",W792+W1072+W1352)</f>
        <v/>
      </c>
      <c r="X512" s="125" t="str">
        <f>IF(tech_base!$T168&gt;X$345,"",X792+X1072+X1352)</f>
        <v/>
      </c>
      <c r="Y512" s="125" t="str">
        <f>IF(tech_base!$T168&gt;Y$345,"",Y792+Y1072+Y1352)</f>
        <v/>
      </c>
      <c r="Z512" s="125" t="str">
        <f>IF(tech_base!$T168&gt;Z$345,"",Z792+Z1072+Z1352)</f>
        <v/>
      </c>
      <c r="AA512" s="125" t="str">
        <f>IF(tech_base!$T168&gt;AA$345,"",AA792+AA1072+AA1352)</f>
        <v/>
      </c>
      <c r="AB512" s="125" t="str">
        <f>IF(tech_base!$T168&gt;AB$345,"",AB792+AB1072+AB1352)</f>
        <v/>
      </c>
      <c r="AC512" s="125" t="str">
        <f>IF(tech_base!$T168&gt;AC$345,"",AC792+AC1072+AC1352)</f>
        <v/>
      </c>
      <c r="AD512" s="125" t="str">
        <f>IF(tech_base!$T168&gt;AD$345,"",AD792+AD1072+AD1352)</f>
        <v/>
      </c>
      <c r="AE512" s="125">
        <f>IF(tech_base!$T168&gt;AE$345,"",AE792+AE1072+AE1352)</f>
        <v>466.90489355317305</v>
      </c>
      <c r="AF512" s="125">
        <f>IF(tech_base!$T168&gt;AF$345,"",AF792+AF1072+AF1352)</f>
        <v>468.59049177153656</v>
      </c>
      <c r="AG512" s="125">
        <f>IF(tech_base!$T168&gt;AG$345,"",AG792+AG1072+AG1352)</f>
        <v>470.4799336788908</v>
      </c>
      <c r="AH512" s="125">
        <f>IF(tech_base!$T168&gt;AH$345,"",AH792+AH1072+AH1352)</f>
        <v>472.57273332945306</v>
      </c>
      <c r="AI512" s="125">
        <f>IF(tech_base!$T168&gt;AI$345,"",AI792+AI1072+AI1352)</f>
        <v>474.88844920387135</v>
      </c>
      <c r="AJ512" s="125">
        <f>IF(tech_base!$T168&gt;AJ$345,"",AJ792+AJ1072+AJ1352)</f>
        <v>477.46724435450267</v>
      </c>
      <c r="AK512" s="125">
        <f>IF(tech_base!$T168&gt;AK$345,"",AK792+AK1072+AK1352)</f>
        <v>480.35882617111639</v>
      </c>
      <c r="AL512" s="125">
        <f>IF(tech_base!$T168&gt;AL$345,"",AL792+AL1072+AL1352)</f>
        <v>483.46842405159197</v>
      </c>
      <c r="AM512" s="125">
        <f>IF(tech_base!$T168&gt;AM$345,"",AM792+AM1072+AM1352)</f>
        <v>486.67950191400661</v>
      </c>
      <c r="AN512" s="125">
        <f>IF(tech_base!$T168&gt;AN$345,"",AN792+AN1072+AN1352)</f>
        <v>489.95357943044417</v>
      </c>
      <c r="AO512" s="125">
        <f>IF(tech_base!$T168&gt;AO$345,"",AO792+AO1072+AO1352)</f>
        <v>490.51510800973631</v>
      </c>
      <c r="AP512" s="125">
        <f>IF(tech_base!$T168&gt;AP$345,"",AP792+AP1072+AP1352)</f>
        <v>491.80565874744229</v>
      </c>
      <c r="AQ512" s="125">
        <f>IF(tech_base!$T168&gt;AQ$345,"",AQ792+AQ1072+AQ1352)</f>
        <v>493.16154598241451</v>
      </c>
      <c r="AR512" s="125">
        <f>IF(tech_base!$T168&gt;AR$345,"",AR792+AR1072+AR1352)</f>
        <v>495.77300770755079</v>
      </c>
      <c r="AS512" s="125">
        <f>IF(tech_base!$T168&gt;AS$345,"",AS792+AS1072+AS1352)</f>
        <v>497.27099438726049</v>
      </c>
      <c r="AT512" s="125">
        <f>IF(tech_base!$T168&gt;AT$345,"",AT792+AT1072+AT1352)</f>
        <v>498.76957919869835</v>
      </c>
      <c r="AU512" s="125">
        <f>IF(tech_base!$T168&gt;AU$345,"",AU792+AU1072+AU1352)</f>
        <v>500.24300442043091</v>
      </c>
      <c r="AV512" s="125">
        <f>IF(tech_base!$T168&gt;AV$345,"",AV792+AV1072+AV1352)</f>
        <v>501.6772280787938</v>
      </c>
      <c r="AW512" s="125">
        <f>IF(tech_base!$T168&gt;AW$345,"",AW792+AW1072+AW1352)</f>
        <v>503.06164266482546</v>
      </c>
      <c r="AX512" s="126">
        <f>IF(tech_base!$T168&gt;AX$345,"",AX792+AX1072+AX1352)</f>
        <v>504.80653432389198</v>
      </c>
    </row>
    <row r="513" spans="1:50" x14ac:dyDescent="0.25">
      <c r="A513" s="356"/>
      <c r="B513" s="376"/>
      <c r="C513" s="361" t="s">
        <v>16</v>
      </c>
      <c r="D513" s="2" t="s">
        <v>7</v>
      </c>
      <c r="E513" s="76" t="str">
        <f>A485&amp;"/"&amp;B505&amp;"/"&amp;C513&amp;"/"&amp;D513</f>
        <v>Diesel oil fired power plants/Steam turbine/CHP with CCS/L</v>
      </c>
      <c r="F513" s="76" t="str">
        <f>A485</f>
        <v>Diesel oil fired power plants</v>
      </c>
      <c r="G513" s="76" t="str">
        <f>B505</f>
        <v>Steam turbine</v>
      </c>
      <c r="H513" s="76" t="str">
        <f>C513</f>
        <v>CHP with CCS</v>
      </c>
      <c r="I513" s="76" t="str">
        <f t="shared" si="359"/>
        <v>L</v>
      </c>
      <c r="J513" s="119" t="str">
        <f>IF(tech_base!$T169&gt;J$345,"",J793+J1073+J1353)</f>
        <v/>
      </c>
      <c r="K513" s="119" t="str">
        <f>IF(tech_base!$T169&gt;K$345,"",K793+K1073+K1353)</f>
        <v/>
      </c>
      <c r="L513" s="119" t="str">
        <f>IF(tech_base!$T169&gt;L$345,"",L793+L1073+L1353)</f>
        <v/>
      </c>
      <c r="M513" s="119" t="str">
        <f>IF(tech_base!$T169&gt;M$345,"",M793+M1073+M1353)</f>
        <v/>
      </c>
      <c r="N513" s="119" t="str">
        <f>IF(tech_base!$T169&gt;N$345,"",N793+N1073+N1353)</f>
        <v/>
      </c>
      <c r="O513" s="119" t="str">
        <f>IF(tech_base!$T169&gt;O$345,"",O793+O1073+O1353)</f>
        <v/>
      </c>
      <c r="P513" s="119" t="str">
        <f>IF(tech_base!$T169&gt;P$345,"",P793+P1073+P1353)</f>
        <v/>
      </c>
      <c r="Q513" s="119" t="str">
        <f>IF(tech_base!$T169&gt;Q$345,"",Q793+Q1073+Q1353)</f>
        <v/>
      </c>
      <c r="R513" s="119" t="str">
        <f>IF(tech_base!$T169&gt;R$345,"",R793+R1073+R1353)</f>
        <v/>
      </c>
      <c r="S513" s="119" t="str">
        <f>IF(tech_base!$T169&gt;S$345,"",S793+S1073+S1353)</f>
        <v/>
      </c>
      <c r="T513" s="119" t="str">
        <f>IF(tech_base!$T169&gt;T$345,"",T793+T1073+T1353)</f>
        <v/>
      </c>
      <c r="U513" s="119" t="str">
        <f>IF(tech_base!$T169&gt;U$345,"",U793+U1073+U1353)</f>
        <v/>
      </c>
      <c r="V513" s="119" t="str">
        <f>IF(tech_base!$T169&gt;V$345,"",V793+V1073+V1353)</f>
        <v/>
      </c>
      <c r="W513" s="119" t="str">
        <f>IF(tech_base!$T169&gt;W$345,"",W793+W1073+W1353)</f>
        <v/>
      </c>
      <c r="X513" s="119" t="str">
        <f>IF(tech_base!$T169&gt;X$345,"",X793+X1073+X1353)</f>
        <v/>
      </c>
      <c r="Y513" s="119" t="str">
        <f>IF(tech_base!$T169&gt;Y$345,"",Y793+Y1073+Y1353)</f>
        <v/>
      </c>
      <c r="Z513" s="119" t="str">
        <f>IF(tech_base!$T169&gt;Z$345,"",Z793+Z1073+Z1353)</f>
        <v/>
      </c>
      <c r="AA513" s="119" t="str">
        <f>IF(tech_base!$T169&gt;AA$345,"",AA793+AA1073+AA1353)</f>
        <v/>
      </c>
      <c r="AB513" s="119" t="str">
        <f>IF(tech_base!$T169&gt;AB$345,"",AB793+AB1073+AB1353)</f>
        <v/>
      </c>
      <c r="AC513" s="119" t="str">
        <f>IF(tech_base!$T169&gt;AC$345,"",AC793+AC1073+AC1353)</f>
        <v/>
      </c>
      <c r="AD513" s="119" t="str">
        <f>IF(tech_base!$T169&gt;AD$345,"",AD793+AD1073+AD1353)</f>
        <v/>
      </c>
      <c r="AE513" s="119">
        <f>IF(tech_base!$T169&gt;AE$345,"",AE793+AE1073+AE1353)</f>
        <v>489.78274775197548</v>
      </c>
      <c r="AF513" s="119">
        <f>IF(tech_base!$T169&gt;AF$345,"",AF793+AF1073+AF1353)</f>
        <v>491.58256786628243</v>
      </c>
      <c r="AG513" s="119">
        <f>IF(tech_base!$T169&gt;AG$345,"",AG793+AG1073+AG1353)</f>
        <v>493.60004481459822</v>
      </c>
      <c r="AH513" s="119">
        <f>IF(tech_base!$T169&gt;AH$345,"",AH793+AH1073+AH1353)</f>
        <v>495.83465972179323</v>
      </c>
      <c r="AI513" s="119">
        <f>IF(tech_base!$T169&gt;AI$345,"",AI793+AI1073+AI1353)</f>
        <v>498.30729641800696</v>
      </c>
      <c r="AJ513" s="119">
        <f>IF(tech_base!$T169&gt;AJ$345,"",AJ793+AJ1073+AJ1353)</f>
        <v>501.06083954128422</v>
      </c>
      <c r="AK513" s="119">
        <f>IF(tech_base!$T169&gt;AK$345,"",AK793+AK1073+AK1353)</f>
        <v>504.14836482400443</v>
      </c>
      <c r="AL513" s="119">
        <f>IF(tech_base!$T169&gt;AL$345,"",AL793+AL1073+AL1353)</f>
        <v>507.46867968416115</v>
      </c>
      <c r="AM513" s="119">
        <f>IF(tech_base!$T169&gt;AM$345,"",AM793+AM1073+AM1353)</f>
        <v>510.89735115664911</v>
      </c>
      <c r="AN513" s="119">
        <f>IF(tech_base!$T169&gt;AN$345,"",AN793+AN1073+AN1353)</f>
        <v>514.39329135502317</v>
      </c>
      <c r="AO513" s="119">
        <f>IF(tech_base!$T169&gt;AO$345,"",AO793+AO1073+AO1353)</f>
        <v>514.99287102991707</v>
      </c>
      <c r="AP513" s="119">
        <f>IF(tech_base!$T169&gt;AP$345,"",AP793+AP1073+AP1353)</f>
        <v>516.37087389617068</v>
      </c>
      <c r="AQ513" s="119">
        <f>IF(tech_base!$T169&gt;AQ$345,"",AQ793+AQ1073+AQ1353)</f>
        <v>517.81864068403786</v>
      </c>
      <c r="AR513" s="119">
        <f>IF(tech_base!$T169&gt;AR$345,"",AR793+AR1073+AR1353)</f>
        <v>520.60706398054947</v>
      </c>
      <c r="AS513" s="119">
        <f>IF(tech_base!$T169&gt;AS$345,"",AS793+AS1073+AS1353)</f>
        <v>522.20655935716582</v>
      </c>
      <c r="AT513" s="119">
        <f>IF(tech_base!$T169&gt;AT$345,"",AT793+AT1073+AT1353)</f>
        <v>523.80669339696044</v>
      </c>
      <c r="AU513" s="119">
        <f>IF(tech_base!$T169&gt;AU$345,"",AU793+AU1073+AU1353)</f>
        <v>525.37996294726645</v>
      </c>
      <c r="AV513" s="119">
        <f>IF(tech_base!$T169&gt;AV$345,"",AV793+AV1073+AV1353)</f>
        <v>526.91137450229451</v>
      </c>
      <c r="AW513" s="119">
        <f>IF(tech_base!$T169&gt;AW$345,"",AW793+AW1073+AW1353)</f>
        <v>528.3896017520234</v>
      </c>
      <c r="AX513" s="120">
        <f>IF(tech_base!$T169&gt;AX$345,"",AX793+AX1073+AX1353)</f>
        <v>530.25273323321551</v>
      </c>
    </row>
    <row r="514" spans="1:50" x14ac:dyDescent="0.25">
      <c r="A514" s="356"/>
      <c r="B514" s="380"/>
      <c r="C514" s="381"/>
      <c r="D514" s="4" t="s">
        <v>8</v>
      </c>
      <c r="E514" s="80" t="str">
        <f>A485&amp;"/"&amp;B505&amp;"/"&amp;C513&amp;"/"&amp;D514</f>
        <v>Diesel oil fired power plants/Steam turbine/CHP with CCS/M</v>
      </c>
      <c r="F514" s="80" t="str">
        <f>A485</f>
        <v>Diesel oil fired power plants</v>
      </c>
      <c r="G514" s="80" t="str">
        <f>B505</f>
        <v>Steam turbine</v>
      </c>
      <c r="H514" s="80" t="str">
        <f>C513</f>
        <v>CHP with CCS</v>
      </c>
      <c r="I514" s="80" t="str">
        <f t="shared" si="359"/>
        <v>M</v>
      </c>
      <c r="J514" s="127" t="str">
        <f>IF(tech_base!$T170&gt;J$345,"",J794+J1074+J1354)</f>
        <v/>
      </c>
      <c r="K514" s="127" t="str">
        <f>IF(tech_base!$T170&gt;K$345,"",K794+K1074+K1354)</f>
        <v/>
      </c>
      <c r="L514" s="127" t="str">
        <f>IF(tech_base!$T170&gt;L$345,"",L794+L1074+L1354)</f>
        <v/>
      </c>
      <c r="M514" s="127" t="str">
        <f>IF(tech_base!$T170&gt;M$345,"",M794+M1074+M1354)</f>
        <v/>
      </c>
      <c r="N514" s="127" t="str">
        <f>IF(tech_base!$T170&gt;N$345,"",N794+N1074+N1354)</f>
        <v/>
      </c>
      <c r="O514" s="127" t="str">
        <f>IF(tech_base!$T170&gt;O$345,"",O794+O1074+O1354)</f>
        <v/>
      </c>
      <c r="P514" s="127" t="str">
        <f>IF(tech_base!$T170&gt;P$345,"",P794+P1074+P1354)</f>
        <v/>
      </c>
      <c r="Q514" s="127" t="str">
        <f>IF(tech_base!$T170&gt;Q$345,"",Q794+Q1074+Q1354)</f>
        <v/>
      </c>
      <c r="R514" s="127" t="str">
        <f>IF(tech_base!$T170&gt;R$345,"",R794+R1074+R1354)</f>
        <v/>
      </c>
      <c r="S514" s="127" t="str">
        <f>IF(tech_base!$T170&gt;S$345,"",S794+S1074+S1354)</f>
        <v/>
      </c>
      <c r="T514" s="127" t="str">
        <f>IF(tech_base!$T170&gt;T$345,"",T794+T1074+T1354)</f>
        <v/>
      </c>
      <c r="U514" s="127" t="str">
        <f>IF(tech_base!$T170&gt;U$345,"",U794+U1074+U1354)</f>
        <v/>
      </c>
      <c r="V514" s="127" t="str">
        <f>IF(tech_base!$T170&gt;V$345,"",V794+V1074+V1354)</f>
        <v/>
      </c>
      <c r="W514" s="127" t="str">
        <f>IF(tech_base!$T170&gt;W$345,"",W794+W1074+W1354)</f>
        <v/>
      </c>
      <c r="X514" s="127" t="str">
        <f>IF(tech_base!$T170&gt;X$345,"",X794+X1074+X1354)</f>
        <v/>
      </c>
      <c r="Y514" s="127" t="str">
        <f>IF(tech_base!$T170&gt;Y$345,"",Y794+Y1074+Y1354)</f>
        <v/>
      </c>
      <c r="Z514" s="127" t="str">
        <f>IF(tech_base!$T170&gt;Z$345,"",Z794+Z1074+Z1354)</f>
        <v/>
      </c>
      <c r="AA514" s="127" t="str">
        <f>IF(tech_base!$T170&gt;AA$345,"",AA794+AA1074+AA1354)</f>
        <v/>
      </c>
      <c r="AB514" s="127" t="str">
        <f>IF(tech_base!$T170&gt;AB$345,"",AB794+AB1074+AB1354)</f>
        <v/>
      </c>
      <c r="AC514" s="127" t="str">
        <f>IF(tech_base!$T170&gt;AC$345,"",AC794+AC1074+AC1354)</f>
        <v/>
      </c>
      <c r="AD514" s="127" t="str">
        <f>IF(tech_base!$T170&gt;AD$345,"",AD794+AD1074+AD1354)</f>
        <v/>
      </c>
      <c r="AE514" s="127">
        <f>IF(tech_base!$T170&gt;AE$345,"",AE794+AE1074+AE1354)</f>
        <v>544.51895534238497</v>
      </c>
      <c r="AF514" s="127">
        <f>IF(tech_base!$T170&gt;AF$345,"",AF794+AF1074+AF1354)</f>
        <v>546.44960272122432</v>
      </c>
      <c r="AG514" s="127">
        <f>IF(tech_base!$T170&gt;AG$345,"",AG794+AG1074+AG1354)</f>
        <v>548.61372820863971</v>
      </c>
      <c r="AH514" s="127">
        <f>IF(tech_base!$T170&gt;AH$345,"",AH794+AH1074+AH1354)</f>
        <v>551.01077521294701</v>
      </c>
      <c r="AI514" s="127">
        <f>IF(tech_base!$T170&gt;AI$345,"",AI794+AI1074+AI1354)</f>
        <v>553.66314559064176</v>
      </c>
      <c r="AJ514" s="127">
        <f>IF(tech_base!$T170&gt;AJ$345,"",AJ794+AJ1074+AJ1354)</f>
        <v>556.61684122456552</v>
      </c>
      <c r="AK514" s="127">
        <f>IF(tech_base!$T170&gt;AK$345,"",AK794+AK1074+AK1354)</f>
        <v>559.92879587314405</v>
      </c>
      <c r="AL514" s="127">
        <f>IF(tech_base!$T170&gt;AL$345,"",AL794+AL1074+AL1354)</f>
        <v>563.49046135889262</v>
      </c>
      <c r="AM514" s="127">
        <f>IF(tech_base!$T170&gt;AM$345,"",AM794+AM1074+AM1354)</f>
        <v>567.16835979920927</v>
      </c>
      <c r="AN514" s="127">
        <f>IF(tech_base!$T170&gt;AN$345,"",AN794+AN1074+AN1354)</f>
        <v>570.91841666706955</v>
      </c>
      <c r="AO514" s="127">
        <f>IF(tech_base!$T170&gt;AO$345,"",AO794+AO1074+AO1354)</f>
        <v>571.56157923567162</v>
      </c>
      <c r="AP514" s="127">
        <f>IF(tech_base!$T170&gt;AP$345,"",AP794+AP1074+AP1354)</f>
        <v>573.03974785964556</v>
      </c>
      <c r="AQ514" s="127">
        <f>IF(tech_base!$T170&gt;AQ$345,"",AQ794+AQ1074+AQ1354)</f>
        <v>574.59275148036727</v>
      </c>
      <c r="AR514" s="127">
        <f>IF(tech_base!$T170&gt;AR$345,"",AR794+AR1074+AR1354)</f>
        <v>577.5838626951554</v>
      </c>
      <c r="AS514" s="127">
        <f>IF(tech_base!$T170&gt;AS$345,"",AS794+AS1074+AS1354)</f>
        <v>579.29962391583672</v>
      </c>
      <c r="AT514" s="127">
        <f>IF(tech_base!$T170&gt;AT$345,"",AT794+AT1074+AT1354)</f>
        <v>581.0160702235338</v>
      </c>
      <c r="AU514" s="127">
        <f>IF(tech_base!$T170&gt;AU$345,"",AU794+AU1074+AU1354)</f>
        <v>582.70369928677246</v>
      </c>
      <c r="AV514" s="127">
        <f>IF(tech_base!$T170&gt;AV$345,"",AV794+AV1074+AV1354)</f>
        <v>584.34642773565292</v>
      </c>
      <c r="AW514" s="127">
        <f>IF(tech_base!$T170&gt;AW$345,"",AW794+AW1074+AW1354)</f>
        <v>585.93210596112215</v>
      </c>
      <c r="AX514" s="128">
        <f>IF(tech_base!$T170&gt;AX$345,"",AX794+AX1074+AX1354)</f>
        <v>587.93066675172747</v>
      </c>
    </row>
    <row r="515" spans="1:50" x14ac:dyDescent="0.25">
      <c r="A515" s="356"/>
      <c r="B515" s="358" t="s">
        <v>25</v>
      </c>
      <c r="C515" s="353" t="s">
        <v>6</v>
      </c>
      <c r="D515" s="3" t="s">
        <v>10</v>
      </c>
      <c r="E515" s="77" t="str">
        <f>A485&amp;"/"&amp;B515&amp;"/"&amp;C515&amp;"/"&amp;D515</f>
        <v>Diesel oil fired power plants/Internal combustion engine/Electricity only/S</v>
      </c>
      <c r="F515" s="77" t="str">
        <f>A485</f>
        <v>Diesel oil fired power plants</v>
      </c>
      <c r="G515" s="77" t="str">
        <f>B515</f>
        <v>Internal combustion engine</v>
      </c>
      <c r="H515" s="77" t="str">
        <f>C515</f>
        <v>Electricity only</v>
      </c>
      <c r="I515" s="77" t="str">
        <f t="shared" si="359"/>
        <v>S</v>
      </c>
      <c r="J515" s="121">
        <f>IF(tech_base!$T171&gt;J$345,"",J795+J1075+J1355)</f>
        <v>222.1083561021959</v>
      </c>
      <c r="K515" s="121">
        <f>IF(tech_base!$T171&gt;K$345,"",K795+K1075+K1355)</f>
        <v>259.60129131209777</v>
      </c>
      <c r="L515" s="121">
        <f>IF(tech_base!$T171&gt;L$345,"",L795+L1075+L1355)</f>
        <v>271.53556037623514</v>
      </c>
      <c r="M515" s="121">
        <f>IF(tech_base!$T171&gt;M$345,"",M795+M1075+M1355)</f>
        <v>262.86960636683114</v>
      </c>
      <c r="N515" s="121">
        <f>IF(tech_base!$T171&gt;N$345,"",N795+N1075+N1355)</f>
        <v>248.61559880289701</v>
      </c>
      <c r="O515" s="121">
        <f>IF(tech_base!$T171&gt;O$345,"",O795+O1075+O1355)</f>
        <v>198.56548090827752</v>
      </c>
      <c r="P515" s="121">
        <f>IF(tech_base!$T171&gt;P$345,"",P795+P1075+P1355)</f>
        <v>186.64239272285377</v>
      </c>
      <c r="Q515" s="121">
        <f>IF(tech_base!$T171&gt;Q$345,"",Q795+Q1075+Q1355)</f>
        <v>201.42984215736209</v>
      </c>
      <c r="R515" s="121">
        <f>IF(tech_base!$T171&gt;R$345,"",R795+R1075+R1355)</f>
        <v>214.65606093424768</v>
      </c>
      <c r="S515" s="121">
        <f>IF(tech_base!$T171&gt;S$345,"",S795+S1075+S1355)</f>
        <v>226.28044851302056</v>
      </c>
      <c r="T515" s="121">
        <f>IF(tech_base!$T171&gt;T$345,"",T795+T1075+T1355)</f>
        <v>237.49765762543655</v>
      </c>
      <c r="U515" s="121">
        <f>IF(tech_base!$T171&gt;U$345,"",U795+U1075+U1355)</f>
        <v>248.19367036856892</v>
      </c>
      <c r="V515" s="121">
        <f>IF(tech_base!$T171&gt;V$345,"",V795+V1075+V1355)</f>
        <v>255.42960584280789</v>
      </c>
      <c r="W515" s="121">
        <f>IF(tech_base!$T171&gt;W$345,"",W795+W1075+W1355)</f>
        <v>264.25162233716628</v>
      </c>
      <c r="X515" s="121">
        <f>IF(tech_base!$T171&gt;X$345,"",X795+X1075+X1355)</f>
        <v>271.93380230758839</v>
      </c>
      <c r="Y515" s="121">
        <f>IF(tech_base!$T171&gt;Y$345,"",Y795+Y1075+Y1355)</f>
        <v>278.48260029550681</v>
      </c>
      <c r="Z515" s="121">
        <f>IF(tech_base!$T171&gt;Z$345,"",Z795+Z1075+Z1355)</f>
        <v>282.75670960473485</v>
      </c>
      <c r="AA515" s="121">
        <f>IF(tech_base!$T171&gt;AA$345,"",AA795+AA1075+AA1355)</f>
        <v>286.64787128941117</v>
      </c>
      <c r="AB515" s="121">
        <f>IF(tech_base!$T171&gt;AB$345,"",AB795+AB1075+AB1355)</f>
        <v>289.37857820163219</v>
      </c>
      <c r="AC515" s="121">
        <f>IF(tech_base!$T171&gt;AC$345,"",AC795+AC1075+AC1355)</f>
        <v>293.51751097035526</v>
      </c>
      <c r="AD515" s="121">
        <f>IF(tech_base!$T171&gt;AD$345,"",AD795+AD1075+AD1355)</f>
        <v>296.12903534839904</v>
      </c>
      <c r="AE515" s="121">
        <f>IF(tech_base!$T171&gt;AE$345,"",AE795+AE1075+AE1355)</f>
        <v>298.63345180621013</v>
      </c>
      <c r="AF515" s="121">
        <f>IF(tech_base!$T171&gt;AF$345,"",AF795+AF1075+AF1355)</f>
        <v>299.99983373065589</v>
      </c>
      <c r="AG515" s="121">
        <f>IF(tech_base!$T171&gt;AG$345,"",AG795+AG1075+AG1355)</f>
        <v>301.53278022378873</v>
      </c>
      <c r="AH515" s="121">
        <f>IF(tech_base!$T171&gt;AH$345,"",AH795+AH1075+AH1355)</f>
        <v>303.23183543834853</v>
      </c>
      <c r="AI515" s="121">
        <f>IF(tech_base!$T171&gt;AI$345,"",AI795+AI1075+AI1355)</f>
        <v>305.11300570739616</v>
      </c>
      <c r="AJ515" s="121">
        <f>IF(tech_base!$T171&gt;AJ$345,"",AJ795+AJ1075+AJ1355)</f>
        <v>307.20921480938802</v>
      </c>
      <c r="AK515" s="121">
        <f>IF(tech_base!$T171&gt;AK$345,"",AK795+AK1075+AK1355)</f>
        <v>309.56121482376022</v>
      </c>
      <c r="AL515" s="121">
        <f>IF(tech_base!$T171&gt;AL$345,"",AL795+AL1075+AL1355)</f>
        <v>312.09109397892684</v>
      </c>
      <c r="AM515" s="121">
        <f>IF(tech_base!$T171&gt;AM$345,"",AM795+AM1075+AM1355)</f>
        <v>314.70308417344614</v>
      </c>
      <c r="AN515" s="121">
        <f>IF(tech_base!$T171&gt;AN$345,"",AN795+AN1075+AN1355)</f>
        <v>317.36553497059828</v>
      </c>
      <c r="AO515" s="121">
        <f>IF(tech_base!$T171&gt;AO$345,"",AO795+AO1075+AO1355)</f>
        <v>317.79947915750989</v>
      </c>
      <c r="AP515" s="121">
        <f>IF(tech_base!$T171&gt;AP$345,"",AP795+AP1075+AP1355)</f>
        <v>318.83093353543069</v>
      </c>
      <c r="AQ515" s="121">
        <f>IF(tech_base!$T171&gt;AQ$345,"",AQ795+AQ1075+AQ1355)</f>
        <v>319.91489300119559</v>
      </c>
      <c r="AR515" s="121">
        <f>IF(tech_base!$T171&gt;AR$345,"",AR795+AR1075+AR1355)</f>
        <v>322.02837142372658</v>
      </c>
      <c r="AS515" s="121">
        <f>IF(tech_base!$T171&gt;AS$345,"",AS795+AS1075+AS1355)</f>
        <v>323.22654103620073</v>
      </c>
      <c r="AT515" s="121">
        <f>IF(tech_base!$T171&gt;AT$345,"",AT795+AT1075+AT1355)</f>
        <v>324.4239790118196</v>
      </c>
      <c r="AU515" s="121">
        <f>IF(tech_base!$T171&gt;AU$345,"",AU795+AU1075+AU1355)</f>
        <v>325.59952919618632</v>
      </c>
      <c r="AV515" s="121">
        <f>IF(tech_base!$T171&gt;AV$345,"",AV795+AV1075+AV1355)</f>
        <v>326.7416590762432</v>
      </c>
      <c r="AW515" s="121">
        <f>IF(tech_base!$T171&gt;AW$345,"",AW795+AW1075+AW1355)</f>
        <v>327.84166110664239</v>
      </c>
      <c r="AX515" s="122">
        <f>IF(tech_base!$T171&gt;AX$345,"",AX795+AX1075+AX1355)</f>
        <v>329.23615810087205</v>
      </c>
    </row>
    <row r="516" spans="1:50" x14ac:dyDescent="0.25">
      <c r="A516" s="356"/>
      <c r="B516" s="376"/>
      <c r="C516" s="379"/>
      <c r="D516" s="59" t="s">
        <v>20</v>
      </c>
      <c r="E516" s="76" t="str">
        <f>A485&amp;"/"&amp;B515&amp;"/"&amp;C515&amp;"/"&amp;D516</f>
        <v>Diesel oil fired power plants/Internal combustion engine/Electricity only/XS</v>
      </c>
      <c r="F516" s="76" t="str">
        <f>A485</f>
        <v>Diesel oil fired power plants</v>
      </c>
      <c r="G516" s="76" t="str">
        <f>B515</f>
        <v>Internal combustion engine</v>
      </c>
      <c r="H516" s="76" t="str">
        <f>C515</f>
        <v>Electricity only</v>
      </c>
      <c r="I516" s="76" t="str">
        <f t="shared" si="359"/>
        <v>XS</v>
      </c>
      <c r="J516" s="119">
        <f>IF(tech_base!$T172&gt;J$345,"",J796+J1076+J1356)</f>
        <v>231.40386486132022</v>
      </c>
      <c r="K516" s="119">
        <f>IF(tech_base!$T172&gt;K$345,"",K796+K1076+K1356)</f>
        <v>270.82571208034625</v>
      </c>
      <c r="L516" s="119">
        <f>IF(tech_base!$T172&gt;L$345,"",L796+L1076+L1356)</f>
        <v>283.37527714930036</v>
      </c>
      <c r="M516" s="119">
        <f>IF(tech_base!$T172&gt;M$345,"",M796+M1076+M1356)</f>
        <v>274.2656009418094</v>
      </c>
      <c r="N516" s="119">
        <f>IF(tech_base!$T172&gt;N$345,"",N796+N1076+N1356)</f>
        <v>259.28051067571124</v>
      </c>
      <c r="O516" s="119">
        <f>IF(tech_base!$T172&gt;O$345,"",O796+O1076+O1356)</f>
        <v>206.65831526138697</v>
      </c>
      <c r="P516" s="119">
        <f>IF(tech_base!$T172&gt;P$345,"",P796+P1076+P1356)</f>
        <v>194.12368269002138</v>
      </c>
      <c r="Q516" s="119">
        <f>IF(tech_base!$T172&gt;Q$345,"",Q796+Q1076+Q1356)</f>
        <v>209.67349767610179</v>
      </c>
      <c r="R516" s="119">
        <f>IF(tech_base!$T172&gt;R$345,"",R796+R1076+R1356)</f>
        <v>223.58201580014759</v>
      </c>
      <c r="S516" s="119">
        <f>IF(tech_base!$T172&gt;S$345,"",S796+S1076+S1356)</f>
        <v>235.80653127320451</v>
      </c>
      <c r="T516" s="119">
        <f>IF(tech_base!$T172&gt;T$345,"",T796+T1076+T1356)</f>
        <v>247.60315278995529</v>
      </c>
      <c r="U516" s="119">
        <f>IF(tech_base!$T172&gt;U$345,"",U796+U1076+U1356)</f>
        <v>258.85199778068892</v>
      </c>
      <c r="V516" s="119">
        <f>IF(tech_base!$T172&gt;V$345,"",V796+V1076+V1356)</f>
        <v>266.46291430603765</v>
      </c>
      <c r="W516" s="119">
        <f>IF(tech_base!$T172&gt;W$345,"",W796+W1076+W1356)</f>
        <v>275.74177092808083</v>
      </c>
      <c r="X516" s="119">
        <f>IF(tech_base!$T172&gt;X$345,"",X796+X1076+X1356)</f>
        <v>283.82234446421052</v>
      </c>
      <c r="Y516" s="119">
        <f>IF(tech_base!$T172&gt;Y$345,"",Y796+Y1076+Y1356)</f>
        <v>290.71140469269284</v>
      </c>
      <c r="Z516" s="119">
        <f>IF(tech_base!$T172&gt;Z$345,"",Z796+Z1076+Z1356)</f>
        <v>295.20884428638055</v>
      </c>
      <c r="AA516" s="119">
        <f>IF(tech_base!$T172&gt;AA$345,"",AA796+AA1076+AA1356)</f>
        <v>299.3038021646326</v>
      </c>
      <c r="AB516" s="119">
        <f>IF(tech_base!$T172&gt;AB$345,"",AB796+AB1076+AB1356)</f>
        <v>302.17870884963429</v>
      </c>
      <c r="AC516" s="119">
        <f>IF(tech_base!$T172&gt;AC$345,"",AC796+AC1076+AC1356)</f>
        <v>306.53458405206845</v>
      </c>
      <c r="AD516" s="119">
        <f>IF(tech_base!$T172&gt;AD$345,"",AD796+AD1076+AD1356)</f>
        <v>309.28453531122375</v>
      </c>
      <c r="AE516" s="119">
        <f>IF(tech_base!$T172&gt;AE$345,"",AE796+AE1076+AE1356)</f>
        <v>311.92203982653166</v>
      </c>
      <c r="AF516" s="119">
        <f>IF(tech_base!$T172&gt;AF$345,"",AF796+AF1076+AF1356)</f>
        <v>313.36301682680812</v>
      </c>
      <c r="AG516" s="119">
        <f>IF(tech_base!$T172&gt;AG$345,"",AG796+AG1076+AG1356)</f>
        <v>314.97931181090939</v>
      </c>
      <c r="AH516" s="119">
        <f>IF(tech_base!$T172&gt;AH$345,"",AH796+AH1076+AH1356)</f>
        <v>316.77045264704185</v>
      </c>
      <c r="AI516" s="119">
        <f>IF(tech_base!$T172&gt;AI$345,"",AI796+AI1076+AI1356)</f>
        <v>318.75327858696784</v>
      </c>
      <c r="AJ516" s="119">
        <f>IF(tech_base!$T172&gt;AJ$345,"",AJ796+AJ1076+AJ1356)</f>
        <v>320.9624199123694</v>
      </c>
      <c r="AK516" s="119">
        <f>IF(tech_base!$T172&gt;AK$345,"",AK796+AK1076+AK1356)</f>
        <v>323.44074063562175</v>
      </c>
      <c r="AL516" s="119">
        <f>IF(tech_base!$T172&gt;AL$345,"",AL796+AL1076+AL1356)</f>
        <v>326.10631636770137</v>
      </c>
      <c r="AM516" s="119">
        <f>IF(tech_base!$T172&gt;AM$345,"",AM796+AM1076+AM1356)</f>
        <v>328.85844026441498</v>
      </c>
      <c r="AN516" s="119">
        <f>IF(tech_base!$T172&gt;AN$345,"",AN796+AN1076+AN1356)</f>
        <v>331.66382975678692</v>
      </c>
      <c r="AO516" s="119">
        <f>IF(tech_base!$T172&gt;AO$345,"",AO796+AO1076+AO1356)</f>
        <v>332.12577439047186</v>
      </c>
      <c r="AP516" s="119">
        <f>IF(tech_base!$T172&gt;AP$345,"",AP796+AP1076+AP1356)</f>
        <v>333.21624582242003</v>
      </c>
      <c r="AQ516" s="119">
        <f>IF(tech_base!$T172&gt;AQ$345,"",AQ796+AQ1076+AQ1356)</f>
        <v>334.3620860116161</v>
      </c>
      <c r="AR516" s="119">
        <f>IF(tech_base!$T172&gt;AR$345,"",AR796+AR1076+AR1356)</f>
        <v>336.59082339537588</v>
      </c>
      <c r="AS516" s="119">
        <f>IF(tech_base!$T172&gt;AS$345,"",AS796+AS1076+AS1356)</f>
        <v>337.85708129389985</v>
      </c>
      <c r="AT516" s="119">
        <f>IF(tech_base!$T172&gt;AT$345,"",AT796+AT1076+AT1356)</f>
        <v>339.12270662118391</v>
      </c>
      <c r="AU516" s="119">
        <f>IF(tech_base!$T172&gt;AU$345,"",AU796+AU1076+AU1356)</f>
        <v>340.36544067679216</v>
      </c>
      <c r="AV516" s="119">
        <f>IF(tech_base!$T172&gt;AV$345,"",AV796+AV1076+AV1356)</f>
        <v>341.57314428479037</v>
      </c>
      <c r="AW516" s="119">
        <f>IF(tech_base!$T172&gt;AW$345,"",AW796+AW1076+AW1356)</f>
        <v>342.73664775039117</v>
      </c>
      <c r="AX516" s="120">
        <f>IF(tech_base!$T172&gt;AX$345,"",AX796+AX1076+AX1356)</f>
        <v>344.20999542954627</v>
      </c>
    </row>
    <row r="517" spans="1:50" x14ac:dyDescent="0.25">
      <c r="A517" s="356"/>
      <c r="B517" s="376"/>
      <c r="C517" s="350" t="s">
        <v>14</v>
      </c>
      <c r="D517" s="2" t="s">
        <v>10</v>
      </c>
      <c r="E517" s="78" t="str">
        <f>A485&amp;"/"&amp;B515&amp;"/"&amp;C517&amp;"/"&amp;D517</f>
        <v>Diesel oil fired power plants/Internal combustion engine/CHP/S</v>
      </c>
      <c r="F517" s="78" t="str">
        <f>A485</f>
        <v>Diesel oil fired power plants</v>
      </c>
      <c r="G517" s="78" t="str">
        <f>B515</f>
        <v>Internal combustion engine</v>
      </c>
      <c r="H517" s="78" t="str">
        <f>C517</f>
        <v>CHP</v>
      </c>
      <c r="I517" s="78" t="str">
        <f t="shared" si="359"/>
        <v>S</v>
      </c>
      <c r="J517" s="123">
        <f>IF(tech_base!$T173&gt;J$345,"",J797+J1077+J1357)</f>
        <v>247.78413145461994</v>
      </c>
      <c r="K517" s="123">
        <f>IF(tech_base!$T173&gt;K$345,"",K797+K1077+K1357)</f>
        <v>289.13936019729289</v>
      </c>
      <c r="L517" s="123">
        <f>IF(tech_base!$T173&gt;L$345,"",L797+L1077+L1357)</f>
        <v>302.30513032506713</v>
      </c>
      <c r="M517" s="123">
        <f>IF(tech_base!$T173&gt;M$345,"",M797+M1077+M1357)</f>
        <v>292.74979621896489</v>
      </c>
      <c r="N517" s="123">
        <f>IF(tech_base!$T173&gt;N$345,"",N797+N1077+N1357)</f>
        <v>277.03090916193258</v>
      </c>
      <c r="O517" s="123">
        <f>IF(tech_base!$T173&gt;O$345,"",O797+O1077+O1357)</f>
        <v>221.82908652779949</v>
      </c>
      <c r="P517" s="123">
        <f>IF(tech_base!$T173&gt;P$345,"",P797+P1077+P1357)</f>
        <v>208.68049811362837</v>
      </c>
      <c r="Q517" s="123">
        <f>IF(tech_base!$T173&gt;Q$345,"",Q797+Q1077+Q1357)</f>
        <v>224.99380898406395</v>
      </c>
      <c r="R517" s="123">
        <f>IF(tech_base!$T173&gt;R$345,"",R797+R1077+R1357)</f>
        <v>239.58549331498483</v>
      </c>
      <c r="S517" s="123">
        <f>IF(tech_base!$T173&gt;S$345,"",S797+S1077+S1357)</f>
        <v>252.4107360008372</v>
      </c>
      <c r="T517" s="123">
        <f>IF(tech_base!$T173&gt;T$345,"",T797+T1077+T1357)</f>
        <v>264.78726003914176</v>
      </c>
      <c r="U517" s="123">
        <f>IF(tech_base!$T173&gt;U$345,"",U797+U1077+U1357)</f>
        <v>276.58930245016285</v>
      </c>
      <c r="V517" s="123">
        <f>IF(tech_base!$T173&gt;V$345,"",V797+V1077+V1357)</f>
        <v>284.57505838372583</v>
      </c>
      <c r="W517" s="123">
        <f>IF(tech_base!$T173&gt;W$345,"",W797+W1077+W1357)</f>
        <v>294.31076390083285</v>
      </c>
      <c r="X517" s="123">
        <f>IF(tech_base!$T173&gt;X$345,"",X797+X1077+X1357)</f>
        <v>302.78953556591625</v>
      </c>
      <c r="Y517" s="123">
        <f>IF(tech_base!$T173&gt;Y$345,"",Y797+Y1077+Y1357)</f>
        <v>310.0184605045539</v>
      </c>
      <c r="Z517" s="123">
        <f>IF(tech_base!$T173&gt;Z$345,"",Z797+Z1077+Z1357)</f>
        <v>314.73848762499097</v>
      </c>
      <c r="AA517" s="123">
        <f>IF(tech_base!$T173&gt;AA$345,"",AA797+AA1077+AA1357)</f>
        <v>319.03639612410603</v>
      </c>
      <c r="AB517" s="123">
        <f>IF(tech_base!$T173&gt;AB$345,"",AB797+AB1077+AB1357)</f>
        <v>322.05445688631357</v>
      </c>
      <c r="AC517" s="123">
        <f>IF(tech_base!$T173&gt;AC$345,"",AC797+AC1077+AC1357)</f>
        <v>326.62634982607847</v>
      </c>
      <c r="AD517" s="123">
        <f>IF(tech_base!$T173&gt;AD$345,"",AD797+AD1077+AD1357)</f>
        <v>329.51355766467123</v>
      </c>
      <c r="AE517" s="123">
        <f>IF(tech_base!$T173&gt;AE$345,"",AE797+AE1077+AE1357)</f>
        <v>332.28291158081697</v>
      </c>
      <c r="AF517" s="123">
        <f>IF(tech_base!$T173&gt;AF$345,"",AF797+AF1077+AF1357)</f>
        <v>333.79705072071056</v>
      </c>
      <c r="AG517" s="123">
        <f>IF(tech_base!$T173&gt;AG$345,"",AG797+AG1077+AG1357)</f>
        <v>335.49522725396167</v>
      </c>
      <c r="AH517" s="123">
        <f>IF(tech_base!$T173&gt;AH$345,"",AH797+AH1077+AH1357)</f>
        <v>337.37695205081803</v>
      </c>
      <c r="AI517" s="123">
        <f>IF(tech_base!$T173&gt;AI$345,"",AI797+AI1077+AI1357)</f>
        <v>339.45989870619263</v>
      </c>
      <c r="AJ517" s="123">
        <f>IF(tech_base!$T173&gt;AJ$345,"",AJ797+AJ1077+AJ1357)</f>
        <v>341.78040758267628</v>
      </c>
      <c r="AK517" s="123">
        <f>IF(tech_base!$T173&gt;AK$345,"",AK797+AK1077+AK1357)</f>
        <v>344.38345924991245</v>
      </c>
      <c r="AL517" s="123">
        <f>IF(tech_base!$T173&gt;AL$345,"",AL797+AL1077+AL1357)</f>
        <v>347.18310750597993</v>
      </c>
      <c r="AM517" s="123">
        <f>IF(tech_base!$T173&gt;AM$345,"",AM797+AM1077+AM1357)</f>
        <v>350.07369593924903</v>
      </c>
      <c r="AN517" s="123">
        <f>IF(tech_base!$T173&gt;AN$345,"",AN797+AN1077+AN1357)</f>
        <v>353.02030697776848</v>
      </c>
      <c r="AO517" s="123">
        <f>IF(tech_base!$T173&gt;AO$345,"",AO797+AO1077+AO1357)</f>
        <v>353.50822376260379</v>
      </c>
      <c r="AP517" s="123">
        <f>IF(tech_base!$T173&gt;AP$345,"",AP797+AP1077+AP1357)</f>
        <v>354.65570363607117</v>
      </c>
      <c r="AQ517" s="123">
        <f>IF(tech_base!$T173&gt;AQ$345,"",AQ797+AQ1077+AQ1357)</f>
        <v>355.86137344286732</v>
      </c>
      <c r="AR517" s="123">
        <f>IF(tech_base!$T173&gt;AR$345,"",AR797+AR1077+AR1357)</f>
        <v>358.20338999835525</v>
      </c>
      <c r="AS517" s="123">
        <f>IF(tech_base!$T173&gt;AS$345,"",AS797+AS1077+AS1357)</f>
        <v>359.53560578685841</v>
      </c>
      <c r="AT517" s="123">
        <f>IF(tech_base!$T173&gt;AT$345,"",AT797+AT1077+AT1357)</f>
        <v>360.86724486060081</v>
      </c>
      <c r="AU517" s="123">
        <f>IF(tech_base!$T173&gt;AU$345,"",AU797+AU1077+AU1357)</f>
        <v>362.17494579603414</v>
      </c>
      <c r="AV517" s="123">
        <f>IF(tech_base!$T173&gt;AV$345,"",AV797+AV1077+AV1357)</f>
        <v>363.44596386841289</v>
      </c>
      <c r="AW517" s="123">
        <f>IF(tech_base!$T173&gt;AW$345,"",AW797+AW1077+AW1357)</f>
        <v>364.67066883075296</v>
      </c>
      <c r="AX517" s="124">
        <f>IF(tech_base!$T173&gt;AX$345,"",AX797+AX1077+AX1357)</f>
        <v>366.22056818348648</v>
      </c>
    </row>
    <row r="518" spans="1:50" x14ac:dyDescent="0.25">
      <c r="A518" s="357"/>
      <c r="B518" s="380"/>
      <c r="C518" s="381"/>
      <c r="D518" s="4" t="s">
        <v>20</v>
      </c>
      <c r="E518" s="80" t="str">
        <f>A485&amp;"/"&amp;B515&amp;"/"&amp;C517&amp;"/"&amp;D518</f>
        <v>Diesel oil fired power plants/Internal combustion engine/CHP/XS</v>
      </c>
      <c r="F518" s="80" t="str">
        <f>A485</f>
        <v>Diesel oil fired power plants</v>
      </c>
      <c r="G518" s="80" t="str">
        <f>B515</f>
        <v>Internal combustion engine</v>
      </c>
      <c r="H518" s="80" t="str">
        <f>C517</f>
        <v>CHP</v>
      </c>
      <c r="I518" s="80" t="str">
        <f t="shared" si="359"/>
        <v>XS</v>
      </c>
      <c r="J518" s="127">
        <f>IF(tech_base!$T174&gt;J$345,"",J798+J1078+J1358)</f>
        <v>256.56696630559907</v>
      </c>
      <c r="K518" s="127">
        <f>IF(tech_base!$T174&gt;K$345,"",K798+K1078+K1358)</f>
        <v>300.05422026634119</v>
      </c>
      <c r="L518" s="127">
        <f>IF(tech_base!$T174&gt;L$345,"",L798+L1078+L1358)</f>
        <v>313.89891780706046</v>
      </c>
      <c r="M518" s="127">
        <f>IF(tech_base!$T174&gt;M$345,"",M798+M1078+M1358)</f>
        <v>303.8512965168822</v>
      </c>
      <c r="N518" s="127">
        <f>IF(tech_base!$T174&gt;N$345,"",N798+N1078+N1358)</f>
        <v>287.32241667584168</v>
      </c>
      <c r="O518" s="127">
        <f>IF(tech_base!$T174&gt;O$345,"",O798+O1078+O1358)</f>
        <v>229.27534918562816</v>
      </c>
      <c r="P518" s="127">
        <f>IF(tech_base!$T174&gt;P$345,"",P798+P1078+P1358)</f>
        <v>215.44928980497747</v>
      </c>
      <c r="Q518" s="127">
        <f>IF(tech_base!$T174&gt;Q$345,"",Q798+Q1078+Q1358)</f>
        <v>232.60384628578549</v>
      </c>
      <c r="R518" s="127">
        <f>IF(tech_base!$T174&gt;R$345,"",R798+R1078+R1358)</f>
        <v>247.94804551924463</v>
      </c>
      <c r="S518" s="127">
        <f>IF(tech_base!$T174&gt;S$345,"",S798+S1078+S1358)</f>
        <v>261.43476296440144</v>
      </c>
      <c r="T518" s="127">
        <f>IF(tech_base!$T174&gt;T$345,"",T798+T1078+T1358)</f>
        <v>274.44964830329104</v>
      </c>
      <c r="U518" s="127">
        <f>IF(tech_base!$T174&gt;U$345,"",U798+U1078+U1358)</f>
        <v>286.86045647082591</v>
      </c>
      <c r="V518" s="127">
        <f>IF(tech_base!$T174&gt;V$345,"",V798+V1078+V1358)</f>
        <v>295.25827487403069</v>
      </c>
      <c r="W518" s="127">
        <f>IF(tech_base!$T174&gt;W$345,"",W798+W1078+W1358)</f>
        <v>305.49626862632647</v>
      </c>
      <c r="X518" s="127">
        <f>IF(tech_base!$T174&gt;X$345,"",X798+X1078+X1358)</f>
        <v>314.41255632612132</v>
      </c>
      <c r="Y518" s="127">
        <f>IF(tech_base!$T174&gt;Y$345,"",Y798+Y1078+Y1358)</f>
        <v>322.01459127078698</v>
      </c>
      <c r="Z518" s="127">
        <f>IF(tech_base!$T174&gt;Z$345,"",Z798+Z1078+Z1358)</f>
        <v>326.97842169054246</v>
      </c>
      <c r="AA518" s="127">
        <f>IF(tech_base!$T174&gt;AA$345,"",AA798+AA1078+AA1358)</f>
        <v>331.49839694221038</v>
      </c>
      <c r="AB518" s="127">
        <f>IF(tech_base!$T174&gt;AB$345,"",AB798+AB1078+AB1358)</f>
        <v>334.67257462142817</v>
      </c>
      <c r="AC518" s="127">
        <f>IF(tech_base!$T174&gt;AC$345,"",AC798+AC1078+AC1358)</f>
        <v>339.48070607899871</v>
      </c>
      <c r="AD518" s="127">
        <f>IF(tech_base!$T174&gt;AD$345,"",AD798+AD1078+AD1358)</f>
        <v>342.51733595981079</v>
      </c>
      <c r="AE518" s="127">
        <f>IF(tech_base!$T174&gt;AE$345,"",AE798+AE1078+AE1358)</f>
        <v>345.43006342371132</v>
      </c>
      <c r="AF518" s="127">
        <f>IF(tech_base!$T174&gt;AF$345,"",AF798+AF1078+AF1358)</f>
        <v>347.02289996621977</v>
      </c>
      <c r="AG518" s="127">
        <f>IF(tech_base!$T174&gt;AG$345,"",AG798+AG1078+AG1358)</f>
        <v>348.80928933835565</v>
      </c>
      <c r="AH518" s="127">
        <f>IF(tech_base!$T174&gt;AH$345,"",AH798+AH1078+AH1358)</f>
        <v>350.78871824583729</v>
      </c>
      <c r="AI518" s="127">
        <f>IF(tech_base!$T174&gt;AI$345,"",AI798+AI1078+AI1358)</f>
        <v>352.97977238757221</v>
      </c>
      <c r="AJ518" s="127">
        <f>IF(tech_base!$T174&gt;AJ$345,"",AJ798+AJ1078+AJ1358)</f>
        <v>355.4206664790255</v>
      </c>
      <c r="AK518" s="127">
        <f>IF(tech_base!$T174&gt;AK$345,"",AK798+AK1078+AK1358)</f>
        <v>358.15870084026477</v>
      </c>
      <c r="AL518" s="127">
        <f>IF(tech_base!$T174&gt;AL$345,"",AL798+AL1078+AL1358)</f>
        <v>361.10350001806404</v>
      </c>
      <c r="AM518" s="127">
        <f>IF(tech_base!$T174&gt;AM$345,"",AM798+AM1078+AM1358)</f>
        <v>364.14396233461093</v>
      </c>
      <c r="AN518" s="127">
        <f>IF(tech_base!$T174&gt;AN$345,"",AN798+AN1078+AN1358)</f>
        <v>367.24337139997874</v>
      </c>
      <c r="AO518" s="127">
        <f>IF(tech_base!$T174&gt;AO$345,"",AO798+AO1078+AO1358)</f>
        <v>367.75738287818166</v>
      </c>
      <c r="AP518" s="127">
        <f>IF(tech_base!$T174&gt;AP$345,"",AP798+AP1078+AP1358)</f>
        <v>368.96499510582873</v>
      </c>
      <c r="AQ518" s="127">
        <f>IF(tech_base!$T174&gt;AQ$345,"",AQ798+AQ1078+AQ1358)</f>
        <v>370.23383645268956</v>
      </c>
      <c r="AR518" s="127">
        <f>IF(tech_base!$T174&gt;AR$345,"",AR798+AR1078+AR1358)</f>
        <v>372.69764163365346</v>
      </c>
      <c r="AS518" s="127">
        <f>IF(tech_base!$T174&gt;AS$345,"",AS798+AS1078+AS1358)</f>
        <v>374.0996346199579</v>
      </c>
      <c r="AT518" s="127">
        <f>IF(tech_base!$T174&gt;AT$345,"",AT798+AT1078+AT1358)</f>
        <v>375.50106397676308</v>
      </c>
      <c r="AU518" s="127">
        <f>IF(tech_base!$T174&gt;AU$345,"",AU798+AU1078+AU1358)</f>
        <v>376.87736506255106</v>
      </c>
      <c r="AV518" s="127">
        <f>IF(tech_base!$T174&gt;AV$345,"",AV798+AV1078+AV1358)</f>
        <v>378.2151371686507</v>
      </c>
      <c r="AW518" s="127">
        <f>IF(tech_base!$T174&gt;AW$345,"",AW798+AW1078+AW1358)</f>
        <v>379.50425456729204</v>
      </c>
      <c r="AX518" s="128">
        <f>IF(tech_base!$T174&gt;AX$345,"",AX798+AX1078+AX1358)</f>
        <v>381.13537611261637</v>
      </c>
    </row>
    <row r="519" spans="1:50" x14ac:dyDescent="0.25">
      <c r="A519" s="355" t="s">
        <v>29</v>
      </c>
      <c r="B519" s="358" t="s">
        <v>13</v>
      </c>
      <c r="C519" s="353" t="s">
        <v>6</v>
      </c>
      <c r="D519" s="3" t="s">
        <v>7</v>
      </c>
      <c r="E519" s="77" t="str">
        <f>A519&amp;"/"&amp;B519&amp;"/"&amp;C519&amp;"/"&amp;D519</f>
        <v>Fuel oil fired power plants/Integrated gasification combined cycle/Electricity only/L</v>
      </c>
      <c r="F519" s="77" t="str">
        <f>A519</f>
        <v>Fuel oil fired power plants</v>
      </c>
      <c r="G519" s="77" t="str">
        <f>B519</f>
        <v>Integrated gasification combined cycle</v>
      </c>
      <c r="H519" s="77" t="str">
        <f>C519</f>
        <v>Electricity only</v>
      </c>
      <c r="I519" s="77" t="str">
        <f t="shared" si="359"/>
        <v>L</v>
      </c>
      <c r="J519" s="121">
        <f>IF(tech_base!$T175&gt;J$345,"",J799+J1079+J1359)</f>
        <v>161.89340484511064</v>
      </c>
      <c r="K519" s="121">
        <f>IF(tech_base!$T175&gt;K$345,"",K799+K1079+K1359)</f>
        <v>183.07874142075923</v>
      </c>
      <c r="L519" s="121">
        <f>IF(tech_base!$T175&gt;L$345,"",L799+L1079+L1359)</f>
        <v>189.43614315364499</v>
      </c>
      <c r="M519" s="121">
        <f>IF(tech_base!$T175&gt;M$345,"",M799+M1079+M1359)</f>
        <v>183.84668062618181</v>
      </c>
      <c r="N519" s="121">
        <f>IF(tech_base!$T175&gt;N$345,"",N799+N1079+N1359)</f>
        <v>175.01877840298033</v>
      </c>
      <c r="O519" s="121">
        <f>IF(tech_base!$T175&gt;O$345,"",O799+O1079+O1359)</f>
        <v>145.44191843456758</v>
      </c>
      <c r="P519" s="121">
        <f>IF(tech_base!$T175&gt;P$345,"",P799+P1079+P1359)</f>
        <v>138.4235135042137</v>
      </c>
      <c r="Q519" s="121">
        <f>IF(tech_base!$T175&gt;Q$345,"",Q799+Q1079+Q1359)</f>
        <v>146.8872994484019</v>
      </c>
      <c r="R519" s="121">
        <f>IF(tech_base!$T175&gt;R$345,"",R799+R1079+R1359)</f>
        <v>154.44437723079841</v>
      </c>
      <c r="S519" s="121">
        <f>IF(tech_base!$T175&gt;S$345,"",S799+S1079+S1359)</f>
        <v>161.07159947483348</v>
      </c>
      <c r="T519" s="121">
        <f>IF(tech_base!$T175&gt;T$345,"",T799+T1079+T1359)</f>
        <v>167.46146050704965</v>
      </c>
      <c r="U519" s="121">
        <f>IF(tech_base!$T175&gt;U$345,"",U799+U1079+U1359)</f>
        <v>173.5459749516902</v>
      </c>
      <c r="V519" s="121">
        <f>IF(tech_base!$T175&gt;V$345,"",V799+V1079+V1359)</f>
        <v>177.62513502102712</v>
      </c>
      <c r="W519" s="121">
        <f>IF(tech_base!$T175&gt;W$345,"",W799+W1079+W1359)</f>
        <v>182.62210150360323</v>
      </c>
      <c r="X519" s="121">
        <f>IF(tech_base!$T175&gt;X$345,"",X799+X1079+X1359)</f>
        <v>186.95808908613031</v>
      </c>
      <c r="Y519" s="121">
        <f>IF(tech_base!$T175&gt;Y$345,"",Y799+Y1079+Y1359)</f>
        <v>190.63709698799465</v>
      </c>
      <c r="Z519" s="121">
        <f>IF(tech_base!$T175&gt;Z$345,"",Z799+Z1079+Z1359)</f>
        <v>192.99652842963877</v>
      </c>
      <c r="AA519" s="121">
        <f>IF(tech_base!$T175&gt;AA$345,"",AA799+AA1079+AA1359)</f>
        <v>195.13403708509429</v>
      </c>
      <c r="AB519" s="121">
        <f>IF(tech_base!$T175&gt;AB$345,"",AB799+AB1079+AB1359)</f>
        <v>196.59969023719987</v>
      </c>
      <c r="AC519" s="121">
        <f>IF(tech_base!$T175&gt;AC$345,"",AC799+AC1079+AC1359)</f>
        <v>198.88035087554692</v>
      </c>
      <c r="AD519" s="121">
        <f>IF(tech_base!$T175&gt;AD$345,"",AD799+AD1079+AD1359)</f>
        <v>200.27696430757959</v>
      </c>
      <c r="AE519" s="121">
        <f>IF(tech_base!$T175&gt;AE$345,"",AE799+AE1079+AE1359)</f>
        <v>201.6095066929949</v>
      </c>
      <c r="AF519" s="121">
        <f>IF(tech_base!$T175&gt;AF$345,"",AF799+AF1079+AF1359)</f>
        <v>202.28370358988923</v>
      </c>
      <c r="AG519" s="121">
        <f>IF(tech_base!$T175&gt;AG$345,"",AG799+AG1079+AG1359)</f>
        <v>203.05450002473793</v>
      </c>
      <c r="AH519" s="121">
        <f>IF(tech_base!$T175&gt;AH$345,"",AH799+AH1079+AH1359)</f>
        <v>203.92162152104243</v>
      </c>
      <c r="AI519" s="121">
        <f>IF(tech_base!$T175&gt;AI$345,"",AI799+AI1079+AI1359)</f>
        <v>204.8943167890871</v>
      </c>
      <c r="AJ519" s="121">
        <f>IF(tech_base!$T175&gt;AJ$345,"",AJ799+AJ1079+AJ1359)</f>
        <v>205.98941958901287</v>
      </c>
      <c r="AK519" s="121">
        <f>IF(tech_base!$T175&gt;AK$345,"",AK799+AK1079+AK1359)</f>
        <v>207.23267841711197</v>
      </c>
      <c r="AL519" s="121">
        <f>IF(tech_base!$T175&gt;AL$345,"",AL799+AL1079+AL1359)</f>
        <v>208.57902204397425</v>
      </c>
      <c r="AM519" s="121">
        <f>IF(tech_base!$T175&gt;AM$345,"",AM799+AM1079+AM1359)</f>
        <v>209.9730719916891</v>
      </c>
      <c r="AN519" s="121">
        <f>IF(tech_base!$T175&gt;AN$345,"",AN799+AN1079+AN1359)</f>
        <v>211.36685534490863</v>
      </c>
      <c r="AO519" s="121">
        <f>IF(tech_base!$T175&gt;AO$345,"",AO799+AO1079+AO1359)</f>
        <v>211.48970359907341</v>
      </c>
      <c r="AP519" s="121">
        <f>IF(tech_base!$T175&gt;AP$345,"",AP799+AP1079+AP1359)</f>
        <v>211.95483746377658</v>
      </c>
      <c r="AQ519" s="121">
        <f>IF(tech_base!$T175&gt;AQ$345,"",AQ799+AQ1079+AQ1359)</f>
        <v>212.44597648655542</v>
      </c>
      <c r="AR519" s="121">
        <f>IF(tech_base!$T175&gt;AR$345,"",AR799+AR1079+AR1359)</f>
        <v>213.52612078841565</v>
      </c>
      <c r="AS519" s="121">
        <f>IF(tech_base!$T175&gt;AS$345,"",AS799+AS1079+AS1359)</f>
        <v>214.06925094863499</v>
      </c>
      <c r="AT519" s="121">
        <f>IF(tech_base!$T175&gt;AT$345,"",AT799+AT1079+AT1359)</f>
        <v>214.59895816214518</v>
      </c>
      <c r="AU519" s="121">
        <f>IF(tech_base!$T175&gt;AU$345,"",AU799+AU1079+AU1359)</f>
        <v>215.10188755382168</v>
      </c>
      <c r="AV519" s="121">
        <f>IF(tech_base!$T175&gt;AV$345,"",AV799+AV1079+AV1359)</f>
        <v>215.56711671747689</v>
      </c>
      <c r="AW519" s="121">
        <f>IF(tech_base!$T175&gt;AW$345,"",AW799+AW1079+AW1359)</f>
        <v>215.98447482471778</v>
      </c>
      <c r="AX519" s="122">
        <f>IF(tech_base!$T175&gt;AX$345,"",AX799+AX1079+AX1359)</f>
        <v>216.54231821202285</v>
      </c>
    </row>
    <row r="520" spans="1:50" x14ac:dyDescent="0.25">
      <c r="A520" s="356"/>
      <c r="B520" s="376"/>
      <c r="C520" s="379"/>
      <c r="D520" s="2" t="s">
        <v>8</v>
      </c>
      <c r="E520" s="76" t="str">
        <f>A519&amp;"/"&amp;B519&amp;"/"&amp;C519&amp;"/"&amp;D520</f>
        <v>Fuel oil fired power plants/Integrated gasification combined cycle/Electricity only/M</v>
      </c>
      <c r="F520" s="76" t="str">
        <f>A519</f>
        <v>Fuel oil fired power plants</v>
      </c>
      <c r="G520" s="76" t="str">
        <f>B519</f>
        <v>Integrated gasification combined cycle</v>
      </c>
      <c r="H520" s="76" t="str">
        <f>C519</f>
        <v>Electricity only</v>
      </c>
      <c r="I520" s="76" t="str">
        <f t="shared" si="359"/>
        <v>M</v>
      </c>
      <c r="J520" s="119">
        <f>IF(tech_base!$T176&gt;J$345,"",J800+J1080+J1360)</f>
        <v>172.59717646881424</v>
      </c>
      <c r="K520" s="119">
        <f>IF(tech_base!$T176&gt;K$345,"",K800+K1080+K1360)</f>
        <v>194.91173518484175</v>
      </c>
      <c r="L520" s="119">
        <f>IF(tech_base!$T176&gt;L$345,"",L800+L1080+L1360)</f>
        <v>201.607999544074</v>
      </c>
      <c r="M520" s="119">
        <f>IF(tech_base!$T176&gt;M$345,"",M800+M1080+M1360)</f>
        <v>195.72060713401052</v>
      </c>
      <c r="N520" s="119">
        <f>IF(tech_base!$T176&gt;N$345,"",N800+N1080+N1360)</f>
        <v>186.42215951220552</v>
      </c>
      <c r="O520" s="119">
        <f>IF(tech_base!$T176&gt;O$345,"",O800+O1080+O1360)</f>
        <v>155.2687918966304</v>
      </c>
      <c r="P520" s="119">
        <f>IF(tech_base!$T176&gt;P$345,"",P800+P1080+P1360)</f>
        <v>147.87629150599435</v>
      </c>
      <c r="Q520" s="119">
        <f>IF(tech_base!$T176&gt;Q$345,"",Q800+Q1080+Q1360)</f>
        <v>156.79121470001934</v>
      </c>
      <c r="R520" s="119">
        <f>IF(tech_base!$T176&gt;R$345,"",R800+R1080+R1360)</f>
        <v>164.75110031688075</v>
      </c>
      <c r="S520" s="119">
        <f>IF(tech_base!$T176&gt;S$345,"",S800+S1080+S1360)</f>
        <v>171.73156717708957</v>
      </c>
      <c r="T520" s="119">
        <f>IF(tech_base!$T176&gt;T$345,"",T800+T1080+T1360)</f>
        <v>178.46202098326319</v>
      </c>
      <c r="U520" s="119">
        <f>IF(tech_base!$T176&gt;U$345,"",U800+U1080+U1360)</f>
        <v>184.8708525988776</v>
      </c>
      <c r="V520" s="119">
        <f>IF(tech_base!$T176&gt;V$345,"",V800+V1080+V1360)</f>
        <v>189.16744031436008</v>
      </c>
      <c r="W520" s="119">
        <f>IF(tech_base!$T176&gt;W$345,"",W800+W1080+W1360)</f>
        <v>194.43075541814915</v>
      </c>
      <c r="X520" s="119">
        <f>IF(tech_base!$T176&gt;X$345,"",X800+X1080+X1360)</f>
        <v>198.99786008305603</v>
      </c>
      <c r="Y520" s="119">
        <f>IF(tech_base!$T176&gt;Y$345,"",Y800+Y1080+Y1360)</f>
        <v>202.87296669510982</v>
      </c>
      <c r="Z520" s="119">
        <f>IF(tech_base!$T176&gt;Z$345,"",Z800+Z1080+Z1360)</f>
        <v>205.35816069960475</v>
      </c>
      <c r="AA520" s="119">
        <f>IF(tech_base!$T176&gt;AA$345,"",AA800+AA1080+AA1360)</f>
        <v>207.60960297562715</v>
      </c>
      <c r="AB520" s="119">
        <f>IF(tech_base!$T176&gt;AB$345,"",AB800+AB1080+AB1360)</f>
        <v>209.15337846407436</v>
      </c>
      <c r="AC520" s="119">
        <f>IF(tech_base!$T176&gt;AC$345,"",AC800+AC1080+AC1360)</f>
        <v>211.5556030189689</v>
      </c>
      <c r="AD520" s="119">
        <f>IF(tech_base!$T176&gt;AD$345,"",AD800+AD1080+AD1360)</f>
        <v>213.02665882784885</v>
      </c>
      <c r="AE520" s="119">
        <f>IF(tech_base!$T176&gt;AE$345,"",AE800+AE1080+AE1360)</f>
        <v>214.43022847116168</v>
      </c>
      <c r="AF520" s="119">
        <f>IF(tech_base!$T176&gt;AF$345,"",AF800+AF1080+AF1360)</f>
        <v>215.14036145338702</v>
      </c>
      <c r="AG520" s="119">
        <f>IF(tech_base!$T176&gt;AG$345,"",AG800+AG1080+AG1360)</f>
        <v>215.95224292820421</v>
      </c>
      <c r="AH520" s="119">
        <f>IF(tech_base!$T176&gt;AH$345,"",AH800+AH1080+AH1360)</f>
        <v>216.86558378895114</v>
      </c>
      <c r="AI520" s="119">
        <f>IF(tech_base!$T176&gt;AI$345,"",AI800+AI1080+AI1360)</f>
        <v>217.89012572124847</v>
      </c>
      <c r="AJ520" s="119">
        <f>IF(tech_base!$T176&gt;AJ$345,"",AJ800+AJ1080+AJ1360)</f>
        <v>219.04359975937717</v>
      </c>
      <c r="AK520" s="119">
        <f>IF(tech_base!$T176&gt;AK$345,"",AK800+AK1080+AK1360)</f>
        <v>220.35312684759566</v>
      </c>
      <c r="AL520" s="119">
        <f>IF(tech_base!$T176&gt;AL$345,"",AL800+AL1080+AL1360)</f>
        <v>221.77123336699367</v>
      </c>
      <c r="AM520" s="119">
        <f>IF(tech_base!$T176&gt;AM$345,"",AM800+AM1080+AM1360)</f>
        <v>223.23958905255375</v>
      </c>
      <c r="AN520" s="119">
        <f>IF(tech_base!$T176&gt;AN$345,"",AN800+AN1080+AN1360)</f>
        <v>224.70709616543934</v>
      </c>
      <c r="AO520" s="119">
        <f>IF(tech_base!$T176&gt;AO$345,"",AO800+AO1080+AO1360)</f>
        <v>224.83629523835185</v>
      </c>
      <c r="AP520" s="119">
        <f>IF(tech_base!$T176&gt;AP$345,"",AP800+AP1080+AP1360)</f>
        <v>225.32595657628411</v>
      </c>
      <c r="AQ520" s="119">
        <f>IF(tech_base!$T176&gt;AQ$345,"",AQ800+AQ1080+AQ1360)</f>
        <v>225.84291849655546</v>
      </c>
      <c r="AR520" s="119">
        <f>IF(tech_base!$T176&gt;AR$345,"",AR800+AR1080+AR1360)</f>
        <v>226.98016010299625</v>
      </c>
      <c r="AS520" s="119">
        <f>IF(tech_base!$T176&gt;AS$345,"",AS800+AS1080+AS1360)</f>
        <v>227.55160350914048</v>
      </c>
      <c r="AT520" s="119">
        <f>IF(tech_base!$T176&gt;AT$345,"",AT800+AT1080+AT1360)</f>
        <v>228.10869764011045</v>
      </c>
      <c r="AU520" s="119">
        <f>IF(tech_base!$T176&gt;AU$345,"",AU800+AU1080+AU1360)</f>
        <v>228.63731127398955</v>
      </c>
      <c r="AV520" s="119">
        <f>IF(tech_base!$T176&gt;AV$345,"",AV800+AV1080+AV1360)</f>
        <v>229.12585965436114</v>
      </c>
      <c r="AW520" s="119">
        <f>IF(tech_base!$T176&gt;AW$345,"",AW800+AW1080+AW1360)</f>
        <v>229.56353327118859</v>
      </c>
      <c r="AX520" s="120">
        <f>IF(tech_base!$T176&gt;AX$345,"",AX800+AX1080+AX1360)</f>
        <v>230.14861705143866</v>
      </c>
    </row>
    <row r="521" spans="1:50" x14ac:dyDescent="0.25">
      <c r="A521" s="356"/>
      <c r="B521" s="376"/>
      <c r="C521" s="361" t="s">
        <v>14</v>
      </c>
      <c r="D521" s="58" t="s">
        <v>7</v>
      </c>
      <c r="E521" s="78" t="str">
        <f>A519&amp;"/"&amp;B519&amp;"/"&amp;C521&amp;"/"&amp;D521</f>
        <v>Fuel oil fired power plants/Integrated gasification combined cycle/CHP/L</v>
      </c>
      <c r="F521" s="78" t="str">
        <f>A519</f>
        <v>Fuel oil fired power plants</v>
      </c>
      <c r="G521" s="78" t="str">
        <f>B519</f>
        <v>Integrated gasification combined cycle</v>
      </c>
      <c r="H521" s="78" t="str">
        <f>C521</f>
        <v>CHP</v>
      </c>
      <c r="I521" s="78" t="str">
        <f t="shared" si="359"/>
        <v>L</v>
      </c>
      <c r="J521" s="123">
        <f>IF(tech_base!$T177&gt;J$345,"",J801+J1081+J1361)</f>
        <v>183.26372486739155</v>
      </c>
      <c r="K521" s="123">
        <f>IF(tech_base!$T177&gt;K$345,"",K801+K1081+K1361)</f>
        <v>206.71463053465055</v>
      </c>
      <c r="L521" s="123">
        <f>IF(tech_base!$T177&gt;L$345,"",L801+L1081+L1361)</f>
        <v>213.75189556909612</v>
      </c>
      <c r="M521" s="123">
        <f>IF(tech_base!$T177&gt;M$345,"",M801+M1081+M1361)</f>
        <v>207.56469349212341</v>
      </c>
      <c r="N521" s="123">
        <f>IF(tech_base!$T177&gt;N$345,"",N801+N1081+N1361)</f>
        <v>197.79273157229045</v>
      </c>
      <c r="O521" s="123">
        <f>IF(tech_base!$T177&gt;O$345,"",O801+O1081+O1361)</f>
        <v>165.05290935722894</v>
      </c>
      <c r="P521" s="123">
        <f>IF(tech_base!$T177&gt;P$345,"",P801+P1081+P1361)</f>
        <v>157.28395315638483</v>
      </c>
      <c r="Q521" s="123">
        <f>IF(tech_base!$T177&gt;Q$345,"",Q801+Q1081+Q1361)</f>
        <v>166.65286004423552</v>
      </c>
      <c r="R521" s="123">
        <f>IF(tech_base!$T177&gt;R$345,"",R801+R1081+R1361)</f>
        <v>175.01809500579964</v>
      </c>
      <c r="S521" s="123">
        <f>IF(tech_base!$T177&gt;S$345,"",S801+S1081+S1361)</f>
        <v>182.35403527400703</v>
      </c>
      <c r="T521" s="123">
        <f>IF(tech_base!$T177&gt;T$345,"",T801+T1081+T1361)</f>
        <v>189.42723081934651</v>
      </c>
      <c r="U521" s="123">
        <f>IF(tech_base!$T177&gt;U$345,"",U801+U1081+U1361)</f>
        <v>196.16242588046021</v>
      </c>
      <c r="V521" s="123">
        <f>IF(tech_base!$T177&gt;V$345,"",V801+V1081+V1361)</f>
        <v>200.67781309869429</v>
      </c>
      <c r="W521" s="123">
        <f>IF(tech_base!$T177&gt;W$345,"",W801+W1081+W1361)</f>
        <v>206.20915734649077</v>
      </c>
      <c r="X521" s="123">
        <f>IF(tech_base!$T177&gt;X$345,"",X801+X1081+X1361)</f>
        <v>211.00883732368447</v>
      </c>
      <c r="Y521" s="123">
        <f>IF(tech_base!$T177&gt;Y$345,"",Y801+Y1081+Y1361)</f>
        <v>215.08127992791907</v>
      </c>
      <c r="Z521" s="123">
        <f>IF(tech_base!$T177&gt;Z$345,"",Z801+Z1081+Z1361)</f>
        <v>217.6930299923462</v>
      </c>
      <c r="AA521" s="123">
        <f>IF(tech_base!$T177&gt;AA$345,"",AA801+AA1081+AA1361)</f>
        <v>220.05912475147571</v>
      </c>
      <c r="AB521" s="123">
        <f>IF(tech_base!$T177&gt;AB$345,"",AB801+AB1081+AB1361)</f>
        <v>221.68151548802203</v>
      </c>
      <c r="AC521" s="123">
        <f>IF(tech_base!$T177&gt;AC$345,"",AC801+AC1081+AC1361)</f>
        <v>224.20607096524699</v>
      </c>
      <c r="AD521" s="123">
        <f>IF(tech_base!$T177&gt;AD$345,"",AD801+AD1081+AD1361)</f>
        <v>225.75203884408026</v>
      </c>
      <c r="AE521" s="123">
        <f>IF(tech_base!$T177&gt;AE$345,"",AE801+AE1081+AE1361)</f>
        <v>227.22708389075265</v>
      </c>
      <c r="AF521" s="123">
        <f>IF(tech_base!$T177&gt;AF$345,"",AF801+AF1081+AF1361)</f>
        <v>227.97337969652244</v>
      </c>
      <c r="AG521" s="123">
        <f>IF(tech_base!$T177&gt;AG$345,"",AG801+AG1081+AG1361)</f>
        <v>228.8266054367769</v>
      </c>
      <c r="AH521" s="123">
        <f>IF(tech_base!$T177&gt;AH$345,"",AH801+AH1081+AH1361)</f>
        <v>229.78645728238141</v>
      </c>
      <c r="AI521" s="123">
        <f>IF(tech_base!$T177&gt;AI$345,"",AI801+AI1081+AI1361)</f>
        <v>230.86317300471379</v>
      </c>
      <c r="AJ521" s="123">
        <f>IF(tech_base!$T177&gt;AJ$345,"",AJ801+AJ1081+AJ1361)</f>
        <v>232.07538657353336</v>
      </c>
      <c r="AK521" s="123">
        <f>IF(tech_base!$T177&gt;AK$345,"",AK801+AK1081+AK1361)</f>
        <v>233.45160004050524</v>
      </c>
      <c r="AL521" s="123">
        <f>IF(tech_base!$T177&gt;AL$345,"",AL801+AL1081+AL1361)</f>
        <v>234.94192223937716</v>
      </c>
      <c r="AM521" s="123">
        <f>IF(tech_base!$T177&gt;AM$345,"",AM801+AM1081+AM1361)</f>
        <v>236.48505249376669</v>
      </c>
      <c r="AN521" s="123">
        <f>IF(tech_base!$T177&gt;AN$345,"",AN801+AN1081+AN1361)</f>
        <v>238.02677719632402</v>
      </c>
      <c r="AO521" s="123">
        <f>IF(tech_base!$T177&gt;AO$345,"",AO801+AO1081+AO1361)</f>
        <v>238.16237711889062</v>
      </c>
      <c r="AP521" s="123">
        <f>IF(tech_base!$T177&gt;AP$345,"",AP801+AP1081+AP1361)</f>
        <v>238.67673407381301</v>
      </c>
      <c r="AQ521" s="123">
        <f>IF(tech_base!$T177&gt;AQ$345,"",AQ801+AQ1081+AQ1361)</f>
        <v>239.21969978916053</v>
      </c>
      <c r="AR521" s="123">
        <f>IF(tech_base!$T177&gt;AR$345,"",AR801+AR1081+AR1361)</f>
        <v>240.4144230227723</v>
      </c>
      <c r="AS521" s="123">
        <f>IF(tech_base!$T177&gt;AS$345,"",AS801+AS1081+AS1361)</f>
        <v>241.01439046937128</v>
      </c>
      <c r="AT521" s="123">
        <f>IF(tech_base!$T177&gt;AT$345,"",AT801+AT1081+AT1361)</f>
        <v>241.59908711551179</v>
      </c>
      <c r="AU521" s="123">
        <f>IF(tech_base!$T177&gt;AU$345,"",AU801+AU1081+AU1361)</f>
        <v>242.15360375146207</v>
      </c>
      <c r="AV521" s="123">
        <f>IF(tech_base!$T177&gt;AV$345,"",AV801+AV1081+AV1361)</f>
        <v>242.66569313955966</v>
      </c>
      <c r="AW521" s="123">
        <f>IF(tech_base!$T177&gt;AW$345,"",AW801+AW1081+AW1361)</f>
        <v>243.12390793420633</v>
      </c>
      <c r="AX521" s="124">
        <f>IF(tech_base!$T177&gt;AX$345,"",AX801+AX1081+AX1361)</f>
        <v>243.73652991203841</v>
      </c>
    </row>
    <row r="522" spans="1:50" x14ac:dyDescent="0.25">
      <c r="A522" s="356"/>
      <c r="B522" s="376"/>
      <c r="C522" s="379"/>
      <c r="D522" s="59" t="s">
        <v>8</v>
      </c>
      <c r="E522" s="79" t="str">
        <f>A519&amp;"/"&amp;B519&amp;"/"&amp;C521&amp;"/"&amp;D522</f>
        <v>Fuel oil fired power plants/Integrated gasification combined cycle/CHP/M</v>
      </c>
      <c r="F522" s="79" t="str">
        <f>A519</f>
        <v>Fuel oil fired power plants</v>
      </c>
      <c r="G522" s="79" t="str">
        <f>B519</f>
        <v>Integrated gasification combined cycle</v>
      </c>
      <c r="H522" s="79" t="str">
        <f>C521</f>
        <v>CHP</v>
      </c>
      <c r="I522" s="79" t="str">
        <f t="shared" si="359"/>
        <v>M</v>
      </c>
      <c r="J522" s="125">
        <f>IF(tech_base!$T178&gt;J$345,"",J802+J1082+J1362)</f>
        <v>194.50660329118523</v>
      </c>
      <c r="K522" s="125">
        <f>IF(tech_base!$T178&gt;K$345,"",K802+K1082+K1362)</f>
        <v>219.21580052028906</v>
      </c>
      <c r="L522" s="125">
        <f>IF(tech_base!$T178&gt;L$345,"",L802+L1082+L1362)</f>
        <v>226.63065997846189</v>
      </c>
      <c r="M522" s="125">
        <f>IF(tech_base!$T178&gt;M$345,"",M802+M1082+M1362)</f>
        <v>220.11147480986153</v>
      </c>
      <c r="N522" s="125">
        <f>IF(tech_base!$T178&gt;N$345,"",N802+N1082+N1362)</f>
        <v>209.81518443121081</v>
      </c>
      <c r="O522" s="125">
        <f>IF(tech_base!$T178&gt;O$345,"",O802+O1082+O1362)</f>
        <v>175.31866067915792</v>
      </c>
      <c r="P522" s="125">
        <f>IF(tech_base!$T178&gt;P$345,"",P802+P1082+P1362)</f>
        <v>167.1328501286111</v>
      </c>
      <c r="Q522" s="125">
        <f>IF(tech_base!$T178&gt;Q$345,"",Q802+Q1082+Q1362)</f>
        <v>177.00445898661008</v>
      </c>
      <c r="R522" s="125">
        <f>IF(tech_base!$T178&gt;R$345,"",R802+R1082+R1362)</f>
        <v>185.81854247941374</v>
      </c>
      <c r="S522" s="125">
        <f>IF(tech_base!$T178&gt;S$345,"",S802+S1082+S1362)</f>
        <v>193.54810301409003</v>
      </c>
      <c r="T522" s="125">
        <f>IF(tech_base!$T178&gt;T$345,"",T802+T1082+T1362)</f>
        <v>201.0008208856143</v>
      </c>
      <c r="U522" s="125">
        <f>IF(tech_base!$T178&gt;U$345,"",U802+U1082+U1362)</f>
        <v>208.09740237815322</v>
      </c>
      <c r="V522" s="125">
        <f>IF(tech_base!$T178&gt;V$345,"",V802+V1082+V1362)</f>
        <v>212.8550690936392</v>
      </c>
      <c r="W522" s="125">
        <f>IF(tech_base!$T178&gt;W$345,"",W802+W1082+W1362)</f>
        <v>218.68320545221457</v>
      </c>
      <c r="X522" s="125">
        <f>IF(tech_base!$T178&gt;X$345,"",X802+X1082+X1362)</f>
        <v>223.74041905734356</v>
      </c>
      <c r="Y522" s="125">
        <f>IF(tech_base!$T178&gt;Y$345,"",Y802+Y1082+Y1362)</f>
        <v>228.03137433813379</v>
      </c>
      <c r="Z522" s="125">
        <f>IF(tech_base!$T178&gt;Z$345,"",Z802+Z1082+Z1362)</f>
        <v>230.78326155181844</v>
      </c>
      <c r="AA522" s="125">
        <f>IF(tech_base!$T178&gt;AA$345,"",AA802+AA1082+AA1362)</f>
        <v>233.27631247682837</v>
      </c>
      <c r="AB522" s="125">
        <f>IF(tech_base!$T178&gt;AB$345,"",AB802+AB1082+AB1362)</f>
        <v>234.98575488646469</v>
      </c>
      <c r="AC522" s="125">
        <f>IF(tech_base!$T178&gt;AC$345,"",AC802+AC1082+AC1362)</f>
        <v>237.6457689638595</v>
      </c>
      <c r="AD522" s="125">
        <f>IF(tech_base!$T178&gt;AD$345,"",AD802+AD1082+AD1362)</f>
        <v>239.27468793909901</v>
      </c>
      <c r="AE522" s="125">
        <f>IF(tech_base!$T178&gt;AE$345,"",AE802+AE1082+AE1362)</f>
        <v>240.82887861715574</v>
      </c>
      <c r="AF522" s="125">
        <f>IF(tech_base!$T178&gt;AF$345,"",AF802+AF1082+AF1362)</f>
        <v>241.61521798151404</v>
      </c>
      <c r="AG522" s="125">
        <f>IF(tech_base!$T178&gt;AG$345,"",AG802+AG1082+AG1362)</f>
        <v>242.51422475745829</v>
      </c>
      <c r="AH522" s="125">
        <f>IF(tech_base!$T178&gt;AH$345,"",AH802+AH1082+AH1362)</f>
        <v>243.52557881347133</v>
      </c>
      <c r="AI522" s="125">
        <f>IF(tech_base!$T178&gt;AI$345,"",AI802+AI1082+AI1362)</f>
        <v>244.66006724305601</v>
      </c>
      <c r="AJ522" s="125">
        <f>IF(tech_base!$T178&gt;AJ$345,"",AJ802+AJ1082+AJ1362)</f>
        <v>245.93732384801422</v>
      </c>
      <c r="AK522" s="125">
        <f>IF(tech_base!$T178&gt;AK$345,"",AK802+AK1082+AK1362)</f>
        <v>247.38737999796638</v>
      </c>
      <c r="AL522" s="125">
        <f>IF(tech_base!$T178&gt;AL$345,"",AL802+AL1082+AL1362)</f>
        <v>248.95766754546401</v>
      </c>
      <c r="AM522" s="125">
        <f>IF(tech_base!$T178&gt;AM$345,"",AM802+AM1082+AM1362)</f>
        <v>250.5835966395008</v>
      </c>
      <c r="AN522" s="125">
        <f>IF(tech_base!$T178&gt;AN$345,"",AN802+AN1082+AN1362)</f>
        <v>252.2076589751685</v>
      </c>
      <c r="AO522" s="125">
        <f>IF(tech_base!$T178&gt;AO$345,"",AO802+AO1082+AO1362)</f>
        <v>252.35040067764095</v>
      </c>
      <c r="AP522" s="125">
        <f>IF(tech_base!$T178&gt;AP$345,"",AP802+AP1082+AP1362)</f>
        <v>252.8921760377946</v>
      </c>
      <c r="AQ522" s="125">
        <f>IF(tech_base!$T178&gt;AQ$345,"",AQ802+AQ1082+AQ1362)</f>
        <v>253.46403356976739</v>
      </c>
      <c r="AR522" s="125">
        <f>IF(tech_base!$T178&gt;AR$345,"",AR802+AR1082+AR1362)</f>
        <v>254.7225375184168</v>
      </c>
      <c r="AS522" s="125">
        <f>IF(tech_base!$T178&gt;AS$345,"",AS802+AS1082+AS1362)</f>
        <v>255.35426443228738</v>
      </c>
      <c r="AT522" s="125">
        <f>IF(tech_base!$T178&gt;AT$345,"",AT802+AT1082+AT1362)</f>
        <v>255.96975789471597</v>
      </c>
      <c r="AU522" s="125">
        <f>IF(tech_base!$T178&gt;AU$345,"",AU802+AU1082+AU1362)</f>
        <v>256.55326489146273</v>
      </c>
      <c r="AV522" s="125">
        <f>IF(tech_base!$T178&gt;AV$345,"",AV802+AV1082+AV1362)</f>
        <v>257.09182657215808</v>
      </c>
      <c r="AW522" s="125">
        <f>IF(tech_base!$T178&gt;AW$345,"",AW802+AW1082+AW1362)</f>
        <v>257.5733157596863</v>
      </c>
      <c r="AX522" s="126">
        <f>IF(tech_base!$T178&gt;AX$345,"",AX802+AX1082+AX1362)</f>
        <v>258.21711433202375</v>
      </c>
    </row>
    <row r="523" spans="1:50" x14ac:dyDescent="0.25">
      <c r="A523" s="356"/>
      <c r="B523" s="376"/>
      <c r="C523" s="361" t="s">
        <v>15</v>
      </c>
      <c r="D523" s="58" t="s">
        <v>7</v>
      </c>
      <c r="E523" s="78" t="str">
        <f>A519&amp;"/"&amp;B519&amp;"/"&amp;C523&amp;"/"&amp;D523</f>
        <v>Fuel oil fired power plants/Integrated gasification combined cycle/Electricity only with CCS/L</v>
      </c>
      <c r="F523" s="78" t="str">
        <f>A519</f>
        <v>Fuel oil fired power plants</v>
      </c>
      <c r="G523" s="78" t="str">
        <f>B519</f>
        <v>Integrated gasification combined cycle</v>
      </c>
      <c r="H523" s="78" t="str">
        <f>C523</f>
        <v>Electricity only with CCS</v>
      </c>
      <c r="I523" s="78" t="str">
        <f t="shared" si="359"/>
        <v>L</v>
      </c>
      <c r="J523" s="123" t="str">
        <f>IF(tech_base!$T179&gt;J$345,"",J803+J1083+J1363)</f>
        <v/>
      </c>
      <c r="K523" s="123" t="str">
        <f>IF(tech_base!$T179&gt;K$345,"",K803+K1083+K1363)</f>
        <v/>
      </c>
      <c r="L523" s="123" t="str">
        <f>IF(tech_base!$T179&gt;L$345,"",L803+L1083+L1363)</f>
        <v/>
      </c>
      <c r="M523" s="123" t="str">
        <f>IF(tech_base!$T179&gt;M$345,"",M803+M1083+M1363)</f>
        <v/>
      </c>
      <c r="N523" s="123" t="str">
        <f>IF(tech_base!$T179&gt;N$345,"",N803+N1083+N1363)</f>
        <v/>
      </c>
      <c r="O523" s="123" t="str">
        <f>IF(tech_base!$T179&gt;O$345,"",O803+O1083+O1363)</f>
        <v/>
      </c>
      <c r="P523" s="123" t="str">
        <f>IF(tech_base!$T179&gt;P$345,"",P803+P1083+P1363)</f>
        <v/>
      </c>
      <c r="Q523" s="123" t="str">
        <f>IF(tech_base!$T179&gt;Q$345,"",Q803+Q1083+Q1363)</f>
        <v/>
      </c>
      <c r="R523" s="123" t="str">
        <f>IF(tech_base!$T179&gt;R$345,"",R803+R1083+R1363)</f>
        <v/>
      </c>
      <c r="S523" s="123" t="str">
        <f>IF(tech_base!$T179&gt;S$345,"",S803+S1083+S1363)</f>
        <v/>
      </c>
      <c r="T523" s="123" t="str">
        <f>IF(tech_base!$T179&gt;T$345,"",T803+T1083+T1363)</f>
        <v/>
      </c>
      <c r="U523" s="123" t="str">
        <f>IF(tech_base!$T179&gt;U$345,"",U803+U1083+U1363)</f>
        <v/>
      </c>
      <c r="V523" s="123" t="str">
        <f>IF(tech_base!$T179&gt;V$345,"",V803+V1083+V1363)</f>
        <v/>
      </c>
      <c r="W523" s="123" t="str">
        <f>IF(tech_base!$T179&gt;W$345,"",W803+W1083+W1363)</f>
        <v/>
      </c>
      <c r="X523" s="123" t="str">
        <f>IF(tech_base!$T179&gt;X$345,"",X803+X1083+X1363)</f>
        <v/>
      </c>
      <c r="Y523" s="123" t="str">
        <f>IF(tech_base!$T179&gt;Y$345,"",Y803+Y1083+Y1363)</f>
        <v/>
      </c>
      <c r="Z523" s="123" t="str">
        <f>IF(tech_base!$T179&gt;Z$345,"",Z803+Z1083+Z1363)</f>
        <v/>
      </c>
      <c r="AA523" s="123" t="str">
        <f>IF(tech_base!$T179&gt;AA$345,"",AA803+AA1083+AA1363)</f>
        <v/>
      </c>
      <c r="AB523" s="123" t="str">
        <f>IF(tech_base!$T179&gt;AB$345,"",AB803+AB1083+AB1363)</f>
        <v/>
      </c>
      <c r="AC523" s="123" t="str">
        <f>IF(tech_base!$T179&gt;AC$345,"",AC803+AC1083+AC1363)</f>
        <v/>
      </c>
      <c r="AD523" s="123" t="str">
        <f>IF(tech_base!$T179&gt;AD$345,"",AD803+AD1083+AD1363)</f>
        <v/>
      </c>
      <c r="AE523" s="123">
        <f>IF(tech_base!$T179&gt;AE$345,"",AE803+AE1083+AE1363)</f>
        <v>295.44327720995506</v>
      </c>
      <c r="AF523" s="123">
        <f>IF(tech_base!$T179&gt;AF$345,"",AF803+AF1083+AF1363)</f>
        <v>296.267453200028</v>
      </c>
      <c r="AG523" s="123">
        <f>IF(tech_base!$T179&gt;AG$345,"",AG803+AG1083+AG1363)</f>
        <v>297.20971786746048</v>
      </c>
      <c r="AH523" s="123">
        <f>IF(tech_base!$T179&gt;AH$345,"",AH803+AH1083+AH1363)</f>
        <v>298.26973567683098</v>
      </c>
      <c r="AI523" s="123">
        <f>IF(tech_base!$T179&gt;AI$345,"",AI803+AI1083+AI1363)</f>
        <v>299.45881276880931</v>
      </c>
      <c r="AJ523" s="123">
        <f>IF(tech_base!$T179&gt;AJ$345,"",AJ803+AJ1083+AJ1363)</f>
        <v>300.79752767319115</v>
      </c>
      <c r="AK523" s="123">
        <f>IF(tech_base!$T179&gt;AK$345,"",AK803+AK1083+AK1363)</f>
        <v>302.3173567917849</v>
      </c>
      <c r="AL523" s="123">
        <f>IF(tech_base!$T179&gt;AL$345,"",AL803+AL1083+AL1363)</f>
        <v>303.96320253322784</v>
      </c>
      <c r="AM523" s="123">
        <f>IF(tech_base!$T179&gt;AM$345,"",AM803+AM1083+AM1363)</f>
        <v>305.66736714917545</v>
      </c>
      <c r="AN523" s="123">
        <f>IF(tech_base!$T179&gt;AN$345,"",AN803+AN1083+AN1363)</f>
        <v>307.40749284908833</v>
      </c>
      <c r="AO523" s="123">
        <f>IF(tech_base!$T179&gt;AO$345,"",AO803+AO1083+AO1363)</f>
        <v>307.57028822605838</v>
      </c>
      <c r="AP523" s="123">
        <f>IF(tech_base!$T179&gt;AP$345,"",AP803+AP1083+AP1363)</f>
        <v>308.15590148774265</v>
      </c>
      <c r="AQ523" s="123">
        <f>IF(tech_base!$T179&gt;AQ$345,"",AQ803+AQ1083+AQ1363)</f>
        <v>308.77914959244447</v>
      </c>
      <c r="AR523" s="123">
        <f>IF(tech_base!$T179&gt;AR$345,"",AR803+AR1083+AR1363)</f>
        <v>310.13034914288602</v>
      </c>
      <c r="AS523" s="123">
        <f>IF(tech_base!$T179&gt;AS$345,"",AS803+AS1083+AS1363)</f>
        <v>310.75604824997293</v>
      </c>
      <c r="AT523" s="123">
        <f>IF(tech_base!$T179&gt;AT$345,"",AT803+AT1083+AT1363)</f>
        <v>311.40745838328769</v>
      </c>
      <c r="AU523" s="123">
        <f>IF(tech_base!$T179&gt;AU$345,"",AU803+AU1083+AU1363)</f>
        <v>312.01215587598887</v>
      </c>
      <c r="AV523" s="123">
        <f>IF(tech_base!$T179&gt;AV$345,"",AV803+AV1083+AV1363)</f>
        <v>312.54331504020638</v>
      </c>
      <c r="AW523" s="123">
        <f>IF(tech_base!$T179&gt;AW$345,"",AW803+AW1083+AW1363)</f>
        <v>312.96707636122329</v>
      </c>
      <c r="AX523" s="124">
        <f>IF(tech_base!$T179&gt;AX$345,"",AX803+AX1083+AX1363)</f>
        <v>313.48276618960023</v>
      </c>
    </row>
    <row r="524" spans="1:50" x14ac:dyDescent="0.25">
      <c r="A524" s="356"/>
      <c r="B524" s="376"/>
      <c r="C524" s="379"/>
      <c r="D524" s="59" t="s">
        <v>8</v>
      </c>
      <c r="E524" s="79" t="str">
        <f>A519&amp;"/"&amp;B519&amp;"/"&amp;C523&amp;"/"&amp;D524</f>
        <v>Fuel oil fired power plants/Integrated gasification combined cycle/Electricity only with CCS/M</v>
      </c>
      <c r="F524" s="79" t="str">
        <f>A519</f>
        <v>Fuel oil fired power plants</v>
      </c>
      <c r="G524" s="79" t="str">
        <f>B519</f>
        <v>Integrated gasification combined cycle</v>
      </c>
      <c r="H524" s="79" t="str">
        <f>C523</f>
        <v>Electricity only with CCS</v>
      </c>
      <c r="I524" s="79" t="str">
        <f t="shared" si="359"/>
        <v>M</v>
      </c>
      <c r="J524" s="125" t="str">
        <f>IF(tech_base!$T180&gt;J$345,"",J804+J1084+J1364)</f>
        <v/>
      </c>
      <c r="K524" s="125" t="str">
        <f>IF(tech_base!$T180&gt;K$345,"",K804+K1084+K1364)</f>
        <v/>
      </c>
      <c r="L524" s="125" t="str">
        <f>IF(tech_base!$T180&gt;L$345,"",L804+L1084+L1364)</f>
        <v/>
      </c>
      <c r="M524" s="125" t="str">
        <f>IF(tech_base!$T180&gt;M$345,"",M804+M1084+M1364)</f>
        <v/>
      </c>
      <c r="N524" s="125" t="str">
        <f>IF(tech_base!$T180&gt;N$345,"",N804+N1084+N1364)</f>
        <v/>
      </c>
      <c r="O524" s="125" t="str">
        <f>IF(tech_base!$T180&gt;O$345,"",O804+O1084+O1364)</f>
        <v/>
      </c>
      <c r="P524" s="125" t="str">
        <f>IF(tech_base!$T180&gt;P$345,"",P804+P1084+P1364)</f>
        <v/>
      </c>
      <c r="Q524" s="125" t="str">
        <f>IF(tech_base!$T180&gt;Q$345,"",Q804+Q1084+Q1364)</f>
        <v/>
      </c>
      <c r="R524" s="125" t="str">
        <f>IF(tech_base!$T180&gt;R$345,"",R804+R1084+R1364)</f>
        <v/>
      </c>
      <c r="S524" s="125" t="str">
        <f>IF(tech_base!$T180&gt;S$345,"",S804+S1084+S1364)</f>
        <v/>
      </c>
      <c r="T524" s="125" t="str">
        <f>IF(tech_base!$T180&gt;T$345,"",T804+T1084+T1364)</f>
        <v/>
      </c>
      <c r="U524" s="125" t="str">
        <f>IF(tech_base!$T180&gt;U$345,"",U804+U1084+U1364)</f>
        <v/>
      </c>
      <c r="V524" s="125" t="str">
        <f>IF(tech_base!$T180&gt;V$345,"",V804+V1084+V1364)</f>
        <v/>
      </c>
      <c r="W524" s="125" t="str">
        <f>IF(tech_base!$T180&gt;W$345,"",W804+W1084+W1364)</f>
        <v/>
      </c>
      <c r="X524" s="125" t="str">
        <f>IF(tech_base!$T180&gt;X$345,"",X804+X1084+X1364)</f>
        <v/>
      </c>
      <c r="Y524" s="125" t="str">
        <f>IF(tech_base!$T180&gt;Y$345,"",Y804+Y1084+Y1364)</f>
        <v/>
      </c>
      <c r="Z524" s="125" t="str">
        <f>IF(tech_base!$T180&gt;Z$345,"",Z804+Z1084+Z1364)</f>
        <v/>
      </c>
      <c r="AA524" s="125" t="str">
        <f>IF(tech_base!$T180&gt;AA$345,"",AA804+AA1084+AA1364)</f>
        <v/>
      </c>
      <c r="AB524" s="125" t="str">
        <f>IF(tech_base!$T180&gt;AB$345,"",AB804+AB1084+AB1364)</f>
        <v/>
      </c>
      <c r="AC524" s="125" t="str">
        <f>IF(tech_base!$T180&gt;AC$345,"",AC804+AC1084+AC1364)</f>
        <v/>
      </c>
      <c r="AD524" s="125" t="str">
        <f>IF(tech_base!$T180&gt;AD$345,"",AD804+AD1084+AD1364)</f>
        <v/>
      </c>
      <c r="AE524" s="125">
        <f>IF(tech_base!$T180&gt;AE$345,"",AE804+AE1084+AE1364)</f>
        <v>316.3458874858033</v>
      </c>
      <c r="AF524" s="125">
        <f>IF(tech_base!$T180&gt;AF$345,"",AF804+AF1084+AF1364)</f>
        <v>317.22166073943083</v>
      </c>
      <c r="AG524" s="125">
        <f>IF(tech_base!$T180&gt;AG$345,"",AG804+AG1084+AG1364)</f>
        <v>318.22291557276145</v>
      </c>
      <c r="AH524" s="125">
        <f>IF(tech_base!$T180&gt;AH$345,"",AH804+AH1084+AH1364)</f>
        <v>319.34929544429025</v>
      </c>
      <c r="AI524" s="125">
        <f>IF(tech_base!$T180&gt;AI$345,"",AI804+AI1084+AI1364)</f>
        <v>320.6128143118608</v>
      </c>
      <c r="AJ524" s="125">
        <f>IF(tech_base!$T180&gt;AJ$345,"",AJ804+AJ1084+AJ1364)</f>
        <v>322.03533901727764</v>
      </c>
      <c r="AK524" s="125">
        <f>IF(tech_base!$T180&gt;AK$345,"",AK804+AK1084+AK1364)</f>
        <v>323.65031653200828</v>
      </c>
      <c r="AL524" s="125">
        <f>IF(tech_base!$T180&gt;AL$345,"",AL804+AL1084+AL1364)</f>
        <v>325.39919989832043</v>
      </c>
      <c r="AM524" s="125">
        <f>IF(tech_base!$T180&gt;AM$345,"",AM804+AM1084+AM1364)</f>
        <v>327.21005317286591</v>
      </c>
      <c r="AN524" s="125">
        <f>IF(tech_base!$T180&gt;AN$345,"",AN804+AN1084+AN1364)</f>
        <v>329.05911886306956</v>
      </c>
      <c r="AO524" s="125">
        <f>IF(tech_base!$T180&gt;AO$345,"",AO804+AO1084+AO1364)</f>
        <v>329.23210599043301</v>
      </c>
      <c r="AP524" s="125">
        <f>IF(tech_base!$T180&gt;AP$345,"",AP804+AP1084+AP1364)</f>
        <v>329.85438137545998</v>
      </c>
      <c r="AQ524" s="125">
        <f>IF(tech_base!$T180&gt;AQ$345,"",AQ804+AQ1084+AQ1364)</f>
        <v>330.51664772032592</v>
      </c>
      <c r="AR524" s="125">
        <f>IF(tech_base!$T180&gt;AR$345,"",AR804+AR1084+AR1364)</f>
        <v>331.95243866891383</v>
      </c>
      <c r="AS524" s="125">
        <f>IF(tech_base!$T180&gt;AS$345,"",AS804+AS1084+AS1364)</f>
        <v>332.61622722794078</v>
      </c>
      <c r="AT524" s="125">
        <f>IF(tech_base!$T180&gt;AT$345,"",AT804+AT1084+AT1364)</f>
        <v>333.30772644850657</v>
      </c>
      <c r="AU524" s="125">
        <f>IF(tech_base!$T180&gt;AU$345,"",AU804+AU1084+AU1364)</f>
        <v>333.94915606362753</v>
      </c>
      <c r="AV524" s="125">
        <f>IF(tech_base!$T180&gt;AV$345,"",AV804+AV1084+AV1364)</f>
        <v>334.51175749850569</v>
      </c>
      <c r="AW524" s="125">
        <f>IF(tech_base!$T180&gt;AW$345,"",AW804+AW1084+AW1364)</f>
        <v>334.95917601284776</v>
      </c>
      <c r="AX524" s="126">
        <f>IF(tech_base!$T180&gt;AX$345,"",AX804+AX1084+AX1364)</f>
        <v>335.50270025789837</v>
      </c>
    </row>
    <row r="525" spans="1:50" x14ac:dyDescent="0.25">
      <c r="A525" s="356"/>
      <c r="B525" s="376"/>
      <c r="C525" s="361" t="s">
        <v>16</v>
      </c>
      <c r="D525" s="2" t="s">
        <v>7</v>
      </c>
      <c r="E525" s="76" t="str">
        <f>A519&amp;"/"&amp;B519&amp;"/"&amp;C525&amp;"/"&amp;D525</f>
        <v>Fuel oil fired power plants/Integrated gasification combined cycle/CHP with CCS/L</v>
      </c>
      <c r="F525" s="76" t="str">
        <f>A519</f>
        <v>Fuel oil fired power plants</v>
      </c>
      <c r="G525" s="76" t="str">
        <f>B519</f>
        <v>Integrated gasification combined cycle</v>
      </c>
      <c r="H525" s="76" t="str">
        <f>C525</f>
        <v>CHP with CCS</v>
      </c>
      <c r="I525" s="76" t="str">
        <f t="shared" si="359"/>
        <v>L</v>
      </c>
      <c r="J525" s="119" t="str">
        <f>IF(tech_base!$T181&gt;J$345,"",J805+J1085+J1365)</f>
        <v/>
      </c>
      <c r="K525" s="119" t="str">
        <f>IF(tech_base!$T181&gt;K$345,"",K805+K1085+K1365)</f>
        <v/>
      </c>
      <c r="L525" s="119" t="str">
        <f>IF(tech_base!$T181&gt;L$345,"",L805+L1085+L1365)</f>
        <v/>
      </c>
      <c r="M525" s="119" t="str">
        <f>IF(tech_base!$T181&gt;M$345,"",M805+M1085+M1365)</f>
        <v/>
      </c>
      <c r="N525" s="119" t="str">
        <f>IF(tech_base!$T181&gt;N$345,"",N805+N1085+N1365)</f>
        <v/>
      </c>
      <c r="O525" s="119" t="str">
        <f>IF(tech_base!$T181&gt;O$345,"",O805+O1085+O1365)</f>
        <v/>
      </c>
      <c r="P525" s="119" t="str">
        <f>IF(tech_base!$T181&gt;P$345,"",P805+P1085+P1365)</f>
        <v/>
      </c>
      <c r="Q525" s="119" t="str">
        <f>IF(tech_base!$T181&gt;Q$345,"",Q805+Q1085+Q1365)</f>
        <v/>
      </c>
      <c r="R525" s="119" t="str">
        <f>IF(tech_base!$T181&gt;R$345,"",R805+R1085+R1365)</f>
        <v/>
      </c>
      <c r="S525" s="119" t="str">
        <f>IF(tech_base!$T181&gt;S$345,"",S805+S1085+S1365)</f>
        <v/>
      </c>
      <c r="T525" s="119" t="str">
        <f>IF(tech_base!$T181&gt;T$345,"",T805+T1085+T1365)</f>
        <v/>
      </c>
      <c r="U525" s="119" t="str">
        <f>IF(tech_base!$T181&gt;U$345,"",U805+U1085+U1365)</f>
        <v/>
      </c>
      <c r="V525" s="119" t="str">
        <f>IF(tech_base!$T181&gt;V$345,"",V805+V1085+V1365)</f>
        <v/>
      </c>
      <c r="W525" s="119" t="str">
        <f>IF(tech_base!$T181&gt;W$345,"",W805+W1085+W1365)</f>
        <v/>
      </c>
      <c r="X525" s="119" t="str">
        <f>IF(tech_base!$T181&gt;X$345,"",X805+X1085+X1365)</f>
        <v/>
      </c>
      <c r="Y525" s="119" t="str">
        <f>IF(tech_base!$T181&gt;Y$345,"",Y805+Y1085+Y1365)</f>
        <v/>
      </c>
      <c r="Z525" s="119" t="str">
        <f>IF(tech_base!$T181&gt;Z$345,"",Z805+Z1085+Z1365)</f>
        <v/>
      </c>
      <c r="AA525" s="119" t="str">
        <f>IF(tech_base!$T181&gt;AA$345,"",AA805+AA1085+AA1365)</f>
        <v/>
      </c>
      <c r="AB525" s="119" t="str">
        <f>IF(tech_base!$T181&gt;AB$345,"",AB805+AB1085+AB1365)</f>
        <v/>
      </c>
      <c r="AC525" s="119" t="str">
        <f>IF(tech_base!$T181&gt;AC$345,"",AC805+AC1085+AC1365)</f>
        <v/>
      </c>
      <c r="AD525" s="119" t="str">
        <f>IF(tech_base!$T181&gt;AD$345,"",AD805+AD1085+AD1365)</f>
        <v/>
      </c>
      <c r="AE525" s="119">
        <f>IF(tech_base!$T181&gt;AE$345,"",AE805+AE1085+AE1365)</f>
        <v>332.30675118884739</v>
      </c>
      <c r="AF525" s="119">
        <f>IF(tech_base!$T181&gt;AF$345,"",AF805+AF1085+AF1365)</f>
        <v>333.23537555075728</v>
      </c>
      <c r="AG525" s="119">
        <f>IF(tech_base!$T181&gt;AG$345,"",AG805+AG1085+AG1365)</f>
        <v>334.29705404671466</v>
      </c>
      <c r="AH525" s="119">
        <f>IF(tech_base!$T181&gt;AH$345,"",AH805+AH1085+AH1365)</f>
        <v>335.49140861867045</v>
      </c>
      <c r="AI525" s="119">
        <f>IF(tech_base!$T181&gt;AI$345,"",AI805+AI1085+AI1365)</f>
        <v>336.83117824202776</v>
      </c>
      <c r="AJ525" s="119">
        <f>IF(tech_base!$T181&gt;AJ$345,"",AJ805+AJ1085+AJ1365)</f>
        <v>338.33954937736127</v>
      </c>
      <c r="AK525" s="119">
        <f>IF(tech_base!$T181&gt;AK$345,"",AK805+AK1085+AK1365)</f>
        <v>340.05198745183287</v>
      </c>
      <c r="AL525" s="119">
        <f>IF(tech_base!$T181&gt;AL$345,"",AL805+AL1085+AL1365)</f>
        <v>341.90641231965077</v>
      </c>
      <c r="AM525" s="119">
        <f>IF(tech_base!$T181&gt;AM$345,"",AM805+AM1085+AM1365)</f>
        <v>343.82654685175947</v>
      </c>
      <c r="AN525" s="119">
        <f>IF(tech_base!$T181&gt;AN$345,"",AN805+AN1085+AN1365)</f>
        <v>345.78719983994182</v>
      </c>
      <c r="AO525" s="119">
        <f>IF(tech_base!$T181&gt;AO$345,"",AO805+AO1085+AO1365)</f>
        <v>345.97062638340054</v>
      </c>
      <c r="AP525" s="119">
        <f>IF(tech_base!$T181&gt;AP$345,"",AP805+AP1085+AP1365)</f>
        <v>346.63045480355316</v>
      </c>
      <c r="AQ525" s="119">
        <f>IF(tech_base!$T181&gt;AQ$345,"",AQ805+AQ1085+AQ1365)</f>
        <v>347.33268755543071</v>
      </c>
      <c r="AR525" s="119">
        <f>IF(tech_base!$T181&gt;AR$345,"",AR805+AR1085+AR1365)</f>
        <v>348.85512552432948</v>
      </c>
      <c r="AS525" s="119">
        <f>IF(tech_base!$T181&gt;AS$345,"",AS805+AS1085+AS1365)</f>
        <v>349.56037994339835</v>
      </c>
      <c r="AT525" s="119">
        <f>IF(tech_base!$T181&gt;AT$345,"",AT805+AT1085+AT1365)</f>
        <v>350.29451005055978</v>
      </c>
      <c r="AU525" s="119">
        <f>IF(tech_base!$T181&gt;AU$345,"",AU805+AU1085+AU1365)</f>
        <v>350.97611152623369</v>
      </c>
      <c r="AV525" s="119">
        <f>IF(tech_base!$T181&gt;AV$345,"",AV805+AV1085+AV1365)</f>
        <v>351.5750199519922</v>
      </c>
      <c r="AW525" s="119">
        <f>IF(tech_base!$T181&gt;AW$345,"",AW805+AW1085+AW1365)</f>
        <v>352.05317499333785</v>
      </c>
      <c r="AX525" s="120">
        <f>IF(tech_base!$T181&gt;AX$345,"",AX805+AX1085+AX1365)</f>
        <v>352.63528786094258</v>
      </c>
    </row>
    <row r="526" spans="1:50" x14ac:dyDescent="0.25">
      <c r="A526" s="356"/>
      <c r="B526" s="380"/>
      <c r="C526" s="354"/>
      <c r="D526" s="4" t="s">
        <v>8</v>
      </c>
      <c r="E526" s="80" t="str">
        <f>A519&amp;"/"&amp;B519&amp;"/"&amp;C525&amp;"/"&amp;D526</f>
        <v>Fuel oil fired power plants/Integrated gasification combined cycle/CHP with CCS/M</v>
      </c>
      <c r="F526" s="80" t="str">
        <f>A519</f>
        <v>Fuel oil fired power plants</v>
      </c>
      <c r="G526" s="80" t="str">
        <f>B519</f>
        <v>Integrated gasification combined cycle</v>
      </c>
      <c r="H526" s="80" t="str">
        <f>C525</f>
        <v>CHP with CCS</v>
      </c>
      <c r="I526" s="80" t="str">
        <f t="shared" si="359"/>
        <v>M</v>
      </c>
      <c r="J526" s="127" t="str">
        <f>IF(tech_base!$T182&gt;J$345,"",J806+J1086+J1366)</f>
        <v/>
      </c>
      <c r="K526" s="127" t="str">
        <f>IF(tech_base!$T182&gt;K$345,"",K806+K1086+K1366)</f>
        <v/>
      </c>
      <c r="L526" s="127" t="str">
        <f>IF(tech_base!$T182&gt;L$345,"",L806+L1086+L1366)</f>
        <v/>
      </c>
      <c r="M526" s="127" t="str">
        <f>IF(tech_base!$T182&gt;M$345,"",M806+M1086+M1366)</f>
        <v/>
      </c>
      <c r="N526" s="127" t="str">
        <f>IF(tech_base!$T182&gt;N$345,"",N806+N1086+N1366)</f>
        <v/>
      </c>
      <c r="O526" s="127" t="str">
        <f>IF(tech_base!$T182&gt;O$345,"",O806+O1086+O1366)</f>
        <v/>
      </c>
      <c r="P526" s="127" t="str">
        <f>IF(tech_base!$T182&gt;P$345,"",P806+P1086+P1366)</f>
        <v/>
      </c>
      <c r="Q526" s="127" t="str">
        <f>IF(tech_base!$T182&gt;Q$345,"",Q806+Q1086+Q1366)</f>
        <v/>
      </c>
      <c r="R526" s="127" t="str">
        <f>IF(tech_base!$T182&gt;R$345,"",R806+R1086+R1366)</f>
        <v/>
      </c>
      <c r="S526" s="127" t="str">
        <f>IF(tech_base!$T182&gt;S$345,"",S806+S1086+S1366)</f>
        <v/>
      </c>
      <c r="T526" s="127" t="str">
        <f>IF(tech_base!$T182&gt;T$345,"",T806+T1086+T1366)</f>
        <v/>
      </c>
      <c r="U526" s="127" t="str">
        <f>IF(tech_base!$T182&gt;U$345,"",U806+U1086+U1366)</f>
        <v/>
      </c>
      <c r="V526" s="127" t="str">
        <f>IF(tech_base!$T182&gt;V$345,"",V806+V1086+V1366)</f>
        <v/>
      </c>
      <c r="W526" s="127" t="str">
        <f>IF(tech_base!$T182&gt;W$345,"",W806+W1086+W1366)</f>
        <v/>
      </c>
      <c r="X526" s="127" t="str">
        <f>IF(tech_base!$T182&gt;X$345,"",X806+X1086+X1366)</f>
        <v/>
      </c>
      <c r="Y526" s="127" t="str">
        <f>IF(tech_base!$T182&gt;Y$345,"",Y806+Y1086+Y1366)</f>
        <v/>
      </c>
      <c r="Z526" s="127" t="str">
        <f>IF(tech_base!$T182&gt;Z$345,"",Z806+Z1086+Z1366)</f>
        <v/>
      </c>
      <c r="AA526" s="127" t="str">
        <f>IF(tech_base!$T182&gt;AA$345,"",AA806+AA1086+AA1366)</f>
        <v/>
      </c>
      <c r="AB526" s="127" t="str">
        <f>IF(tech_base!$T182&gt;AB$345,"",AB806+AB1086+AB1366)</f>
        <v/>
      </c>
      <c r="AC526" s="127" t="str">
        <f>IF(tech_base!$T182&gt;AC$345,"",AC806+AC1086+AC1366)</f>
        <v/>
      </c>
      <c r="AD526" s="127" t="str">
        <f>IF(tech_base!$T182&gt;AD$345,"",AD806+AD1086+AD1366)</f>
        <v/>
      </c>
      <c r="AE526" s="127">
        <f>IF(tech_base!$T182&gt;AE$345,"",AE806+AE1086+AE1366)</f>
        <v>355.32151566646957</v>
      </c>
      <c r="AF526" s="127">
        <f>IF(tech_base!$T182&gt;AF$345,"",AF806+AF1086+AF1366)</f>
        <v>356.30977972453138</v>
      </c>
      <c r="AG526" s="127">
        <f>IF(tech_base!$T182&gt;AG$345,"",AG806+AG1086+AG1366)</f>
        <v>357.43964314596235</v>
      </c>
      <c r="AH526" s="127">
        <f>IF(tech_base!$T182&gt;AH$345,"",AH806+AH1086+AH1366)</f>
        <v>358.71070359242549</v>
      </c>
      <c r="AI526" s="127">
        <f>IF(tech_base!$T182&gt;AI$345,"",AI806+AI1086+AI1366)</f>
        <v>360.13651818350922</v>
      </c>
      <c r="AJ526" s="127">
        <f>IF(tech_base!$T182&gt;AJ$345,"",AJ806+AJ1086+AJ1366)</f>
        <v>361.74176250016933</v>
      </c>
      <c r="AK526" s="127">
        <f>IF(tech_base!$T182&gt;AK$345,"",AK806+AK1086+AK1366)</f>
        <v>363.56417969066399</v>
      </c>
      <c r="AL526" s="127">
        <f>IF(tech_base!$T182&gt;AL$345,"",AL806+AL1086+AL1366)</f>
        <v>365.53770259229361</v>
      </c>
      <c r="AM526" s="127">
        <f>IF(tech_base!$T182&gt;AM$345,"",AM806+AM1086+AM1366)</f>
        <v>367.58115527624375</v>
      </c>
      <c r="AN526" s="127">
        <f>IF(tech_base!$T182&gt;AN$345,"",AN806+AN1086+AN1366)</f>
        <v>369.66772866159727</v>
      </c>
      <c r="AO526" s="127">
        <f>IF(tech_base!$T182&gt;AO$345,"",AO806+AO1086+AO1366)</f>
        <v>369.86293553708981</v>
      </c>
      <c r="AP526" s="127">
        <f>IF(tech_base!$T182&gt;AP$345,"",AP806+AP1086+AP1366)</f>
        <v>370.56514058239293</v>
      </c>
      <c r="AQ526" s="127">
        <f>IF(tech_base!$T182&gt;AQ$345,"",AQ806+AQ1086+AQ1366)</f>
        <v>371.31247332267026</v>
      </c>
      <c r="AR526" s="127">
        <f>IF(tech_base!$T182&gt;AR$345,"",AR806+AR1086+AR1366)</f>
        <v>372.93268789705076</v>
      </c>
      <c r="AS526" s="127">
        <f>IF(tech_base!$T182&gt;AS$345,"",AS806+AS1086+AS1366)</f>
        <v>373.68248408573083</v>
      </c>
      <c r="AT526" s="127">
        <f>IF(tech_base!$T182&gt;AT$345,"",AT806+AT1086+AT1366)</f>
        <v>374.46328156649275</v>
      </c>
      <c r="AU526" s="127">
        <f>IF(tech_base!$T182&gt;AU$345,"",AU806+AU1086+AU1366)</f>
        <v>375.18787616837994</v>
      </c>
      <c r="AV526" s="127">
        <f>IF(tech_base!$T182&gt;AV$345,"",AV806+AV1086+AV1366)</f>
        <v>375.82399000765588</v>
      </c>
      <c r="AW526" s="127">
        <f>IF(tech_base!$T182&gt;AW$345,"",AW806+AW1086+AW1366)</f>
        <v>376.33085738305334</v>
      </c>
      <c r="AX526" s="128">
        <f>IF(tech_base!$T182&gt;AX$345,"",AX806+AX1086+AX1366)</f>
        <v>376.94726229041356</v>
      </c>
    </row>
    <row r="527" spans="1:50" x14ac:dyDescent="0.25">
      <c r="A527" s="356"/>
      <c r="B527" s="358" t="s">
        <v>17</v>
      </c>
      <c r="C527" s="353" t="s">
        <v>6</v>
      </c>
      <c r="D527" s="3" t="s">
        <v>7</v>
      </c>
      <c r="E527" s="77" t="str">
        <f>A519&amp;"/"&amp;B527&amp;"/"&amp;C527&amp;"/"&amp;D527</f>
        <v>Fuel oil fired power plants/Supercritical steam turbine/Electricity only/L</v>
      </c>
      <c r="F527" s="77" t="str">
        <f>A519</f>
        <v>Fuel oil fired power plants</v>
      </c>
      <c r="G527" s="77" t="str">
        <f>B527</f>
        <v>Supercritical steam turbine</v>
      </c>
      <c r="H527" s="77" t="str">
        <f>C527</f>
        <v>Electricity only</v>
      </c>
      <c r="I527" s="77" t="str">
        <f t="shared" si="359"/>
        <v>L</v>
      </c>
      <c r="J527" s="121">
        <f>IF(tech_base!$T183&gt;J$345,"",J807+J1087+J1367)</f>
        <v>137.41266649240487</v>
      </c>
      <c r="K527" s="121">
        <f>IF(tech_base!$T183&gt;K$345,"",K807+K1087+K1367)</f>
        <v>159.02323700779095</v>
      </c>
      <c r="L527" s="121">
        <f>IF(tech_base!$T183&gt;L$345,"",L807+L1087+L1367)</f>
        <v>165.50824506761498</v>
      </c>
      <c r="M527" s="121">
        <f>IF(tech_base!$T183&gt;M$345,"",M807+M1087+M1367)</f>
        <v>159.80659035651189</v>
      </c>
      <c r="N527" s="121">
        <f>IF(tech_base!$T183&gt;N$345,"",N807+N1087+N1367)</f>
        <v>150.80149370316366</v>
      </c>
      <c r="O527" s="121">
        <f>IF(tech_base!$T183&gt;O$345,"",O807+O1087+O1367)</f>
        <v>120.63096439914598</v>
      </c>
      <c r="P527" s="121">
        <f>IF(tech_base!$T183&gt;P$345,"",P807+P1087+P1367)</f>
        <v>113.47168542751592</v>
      </c>
      <c r="Q527" s="121">
        <f>IF(tech_base!$T183&gt;Q$345,"",Q807+Q1087+Q1367)</f>
        <v>122.10535722786175</v>
      </c>
      <c r="R527" s="121">
        <f>IF(tech_base!$T183&gt;R$345,"",R807+R1087+R1367)</f>
        <v>129.81412134041571</v>
      </c>
      <c r="S527" s="121">
        <f>IF(tech_base!$T183&gt;S$345,"",S807+S1087+S1367)</f>
        <v>136.57436577242899</v>
      </c>
      <c r="T527" s="121">
        <f>IF(tech_base!$T183&gt;T$345,"",T807+T1087+T1367)</f>
        <v>143.09248465749545</v>
      </c>
      <c r="U527" s="121">
        <f>IF(tech_base!$T183&gt;U$345,"",U807+U1087+U1367)</f>
        <v>149.29912801141464</v>
      </c>
      <c r="V527" s="121">
        <f>IF(tech_base!$T183&gt;V$345,"",V807+V1087+V1367)</f>
        <v>153.46016534056804</v>
      </c>
      <c r="W527" s="121">
        <f>IF(tech_base!$T183&gt;W$345,"",W807+W1087+W1367)</f>
        <v>158.55743137404033</v>
      </c>
      <c r="X527" s="121">
        <f>IF(tech_base!$T183&gt;X$345,"",X807+X1087+X1367)</f>
        <v>162.98045128082563</v>
      </c>
      <c r="Y527" s="121">
        <f>IF(tech_base!$T183&gt;Y$345,"",Y807+Y1087+Y1367)</f>
        <v>166.73330455299362</v>
      </c>
      <c r="Z527" s="121">
        <f>IF(tech_base!$T183&gt;Z$345,"",Z807+Z1087+Z1367)</f>
        <v>169.14009471012889</v>
      </c>
      <c r="AA527" s="121">
        <f>IF(tech_base!$T183&gt;AA$345,"",AA807+AA1087+AA1367)</f>
        <v>171.32050762738533</v>
      </c>
      <c r="AB527" s="121">
        <f>IF(tech_base!$T183&gt;AB$345,"",AB807+AB1087+AB1367)</f>
        <v>172.81557949851538</v>
      </c>
      <c r="AC527" s="121">
        <f>IF(tech_base!$T183&gt;AC$345,"",AC807+AC1087+AC1367)</f>
        <v>175.14201775785921</v>
      </c>
      <c r="AD527" s="121">
        <f>IF(tech_base!$T183&gt;AD$345,"",AD807+AD1087+AD1367)</f>
        <v>176.56666413758057</v>
      </c>
      <c r="AE527" s="121">
        <f>IF(tech_base!$T183&gt;AE$345,"",AE807+AE1087+AE1367)</f>
        <v>177.92595343099964</v>
      </c>
      <c r="AF527" s="121">
        <f>IF(tech_base!$T183&gt;AF$345,"",AF807+AF1087+AF1367)</f>
        <v>178.61368286732761</v>
      </c>
      <c r="AG527" s="121">
        <f>IF(tech_base!$T183&gt;AG$345,"",AG807+AG1087+AG1367)</f>
        <v>179.39995079603511</v>
      </c>
      <c r="AH527" s="121">
        <f>IF(tech_base!$T183&gt;AH$345,"",AH807+AH1087+AH1367)</f>
        <v>180.28447723130711</v>
      </c>
      <c r="AI527" s="121">
        <f>IF(tech_base!$T183&gt;AI$345,"",AI807+AI1087+AI1367)</f>
        <v>181.27669652435452</v>
      </c>
      <c r="AJ527" s="121">
        <f>IF(tech_base!$T183&gt;AJ$345,"",AJ807+AJ1087+AJ1367)</f>
        <v>182.39378032403295</v>
      </c>
      <c r="AK527" s="121">
        <f>IF(tech_base!$T183&gt;AK$345,"",AK807+AK1087+AK1367)</f>
        <v>183.66199395271781</v>
      </c>
      <c r="AL527" s="121">
        <f>IF(tech_base!$T183&gt;AL$345,"",AL807+AL1087+AL1367)</f>
        <v>185.03536150731645</v>
      </c>
      <c r="AM527" s="121">
        <f>IF(tech_base!$T183&gt;AM$345,"",AM807+AM1087+AM1367)</f>
        <v>186.45739294823727</v>
      </c>
      <c r="AN527" s="121">
        <f>IF(tech_base!$T183&gt;AN$345,"",AN807+AN1087+AN1367)</f>
        <v>187.88674184929755</v>
      </c>
      <c r="AO527" s="121">
        <f>IF(tech_base!$T183&gt;AO$345,"",AO807+AO1087+AO1367)</f>
        <v>188.01469253687171</v>
      </c>
      <c r="AP527" s="121">
        <f>IF(tech_base!$T183&gt;AP$345,"",AP807+AP1087+AP1367)</f>
        <v>188.49270650782466</v>
      </c>
      <c r="AQ527" s="121">
        <f>IF(tech_base!$T183&gt;AQ$345,"",AQ807+AQ1087+AQ1367)</f>
        <v>188.99846006694619</v>
      </c>
      <c r="AR527" s="121">
        <f>IF(tech_base!$T183&gt;AR$345,"",AR807+AR1087+AR1367)</f>
        <v>190.10665607167388</v>
      </c>
      <c r="AS527" s="121">
        <f>IF(tech_base!$T183&gt;AS$345,"",AS807+AS1087+AS1367)</f>
        <v>190.66919897219657</v>
      </c>
      <c r="AT527" s="121">
        <f>IF(tech_base!$T183&gt;AT$345,"",AT807+AT1087+AT1367)</f>
        <v>191.22086805273108</v>
      </c>
      <c r="AU527" s="121">
        <f>IF(tech_base!$T183&gt;AU$345,"",AU807+AU1087+AU1367)</f>
        <v>191.74890261380119</v>
      </c>
      <c r="AV527" s="121">
        <f>IF(tech_base!$T183&gt;AV$345,"",AV807+AV1087+AV1367)</f>
        <v>192.24323256545449</v>
      </c>
      <c r="AW527" s="121">
        <f>IF(tech_base!$T183&gt;AW$345,"",AW807+AW1087+AW1367)</f>
        <v>192.69477359536512</v>
      </c>
      <c r="AX527" s="122">
        <f>IF(tech_base!$T183&gt;AX$345,"",AX807+AX1087+AX1367)</f>
        <v>193.29714904179517</v>
      </c>
    </row>
    <row r="528" spans="1:50" x14ac:dyDescent="0.25">
      <c r="A528" s="356"/>
      <c r="B528" s="376"/>
      <c r="C528" s="379"/>
      <c r="D528" s="2" t="s">
        <v>8</v>
      </c>
      <c r="E528" s="76" t="str">
        <f>A519&amp;"/"&amp;B527&amp;"/"&amp;C527&amp;"/"&amp;D528</f>
        <v>Fuel oil fired power plants/Supercritical steam turbine/Electricity only/M</v>
      </c>
      <c r="F528" s="76" t="str">
        <f>A519</f>
        <v>Fuel oil fired power plants</v>
      </c>
      <c r="G528" s="76" t="str">
        <f>B527</f>
        <v>Supercritical steam turbine</v>
      </c>
      <c r="H528" s="76" t="str">
        <f>C527</f>
        <v>Electricity only</v>
      </c>
      <c r="I528" s="76" t="str">
        <f t="shared" si="359"/>
        <v>M</v>
      </c>
      <c r="J528" s="119">
        <f>IF(tech_base!$T184&gt;J$345,"",J808+J1088+J1368)</f>
        <v>146.94417353169607</v>
      </c>
      <c r="K528" s="119">
        <f>IF(tech_base!$T184&gt;K$345,"",K808+K1088+K1368)</f>
        <v>169.69640871586478</v>
      </c>
      <c r="L528" s="119">
        <f>IF(tech_base!$T184&gt;L$345,"",L808+L1088+L1368)</f>
        <v>176.52401321817516</v>
      </c>
      <c r="M528" s="119">
        <f>IF(tech_base!$T184&gt;M$345,"",M808+M1088+M1368)</f>
        <v>170.52114583281016</v>
      </c>
      <c r="N528" s="119">
        <f>IF(tech_base!$T184&gt;N$345,"",N808+N1088+N1368)</f>
        <v>161.04031899544017</v>
      </c>
      <c r="O528" s="119">
        <f>IF(tech_base!$T184&gt;O$345,"",O808+O1088+O1368)</f>
        <v>129.27591102355743</v>
      </c>
      <c r="P528" s="119">
        <f>IF(tech_base!$T184&gt;P$345,"",P808+P1088+P1368)</f>
        <v>121.73841455646379</v>
      </c>
      <c r="Q528" s="119">
        <f>IF(tech_base!$T184&gt;Q$345,"",Q808+Q1088+Q1368)</f>
        <v>130.82819454003882</v>
      </c>
      <c r="R528" s="119">
        <f>IF(tech_base!$T184&gt;R$345,"",R808+R1088+R1368)</f>
        <v>138.94420489447319</v>
      </c>
      <c r="S528" s="119">
        <f>IF(tech_base!$T184&gt;S$345,"",S808+S1088+S1368)</f>
        <v>146.06158622922902</v>
      </c>
      <c r="T528" s="119">
        <f>IF(tech_base!$T184&gt;T$345,"",T808+T1088+T1368)</f>
        <v>152.92405076832191</v>
      </c>
      <c r="U528" s="119">
        <f>IF(tech_base!$T184&gt;U$345,"",U808+U1088+U1368)</f>
        <v>159.45858483775268</v>
      </c>
      <c r="V528" s="119">
        <f>IF(tech_base!$T184&gt;V$345,"",V808+V1088+V1368)</f>
        <v>163.83944557697288</v>
      </c>
      <c r="W528" s="119">
        <f>IF(tech_base!$T184&gt;W$345,"",W808+W1088+W1368)</f>
        <v>169.20599503975848</v>
      </c>
      <c r="X528" s="119">
        <f>IF(tech_base!$T184&gt;X$345,"",X808+X1088+X1368)</f>
        <v>173.86267863225277</v>
      </c>
      <c r="Y528" s="119">
        <f>IF(tech_base!$T184&gt;Y$345,"",Y808+Y1088+Y1368)</f>
        <v>177.81379136198149</v>
      </c>
      <c r="Z528" s="119">
        <f>IF(tech_base!$T184&gt;Z$345,"",Z808+Z1088+Z1368)</f>
        <v>180.34772981840018</v>
      </c>
      <c r="AA528" s="119">
        <f>IF(tech_base!$T184&gt;AA$345,"",AA808+AA1088+AA1368)</f>
        <v>182.64333175342068</v>
      </c>
      <c r="AB528" s="119">
        <f>IF(tech_base!$T184&gt;AB$345,"",AB808+AB1088+AB1368)</f>
        <v>184.21738676529407</v>
      </c>
      <c r="AC528" s="119">
        <f>IF(tech_base!$T184&gt;AC$345,"",AC808+AC1088+AC1368)</f>
        <v>186.66672841411142</v>
      </c>
      <c r="AD528" s="119">
        <f>IF(tech_base!$T184&gt;AD$345,"",AD808+AD1088+AD1368)</f>
        <v>188.16663742681502</v>
      </c>
      <c r="AE528" s="119">
        <f>IF(tech_base!$T184&gt;AE$345,"",AE808+AE1088+AE1368)</f>
        <v>189.59773660419091</v>
      </c>
      <c r="AF528" s="119">
        <f>IF(tech_base!$T184&gt;AF$345,"",AF808+AF1088+AF1368)</f>
        <v>190.32179809378786</v>
      </c>
      <c r="AG528" s="119">
        <f>IF(tech_base!$T184&gt;AG$345,"",AG808+AG1088+AG1368)</f>
        <v>191.14960376504425</v>
      </c>
      <c r="AH528" s="119">
        <f>IF(tech_base!$T184&gt;AH$345,"",AH808+AH1088+AH1368)</f>
        <v>192.08085884077647</v>
      </c>
      <c r="AI528" s="119">
        <f>IF(tech_base!$T184&gt;AI$345,"",AI808+AI1088+AI1368)</f>
        <v>193.12549607946534</v>
      </c>
      <c r="AJ528" s="119">
        <f>IF(tech_base!$T184&gt;AJ$345,"",AJ808+AJ1088+AJ1368)</f>
        <v>194.30159429087598</v>
      </c>
      <c r="AK528" s="119">
        <f>IF(tech_base!$T184&gt;AK$345,"",AK808+AK1088+AK1368)</f>
        <v>195.6368063679038</v>
      </c>
      <c r="AL528" s="119">
        <f>IF(tech_base!$T184&gt;AL$345,"",AL808+AL1088+AL1368)</f>
        <v>197.08272754681428</v>
      </c>
      <c r="AM528" s="119">
        <f>IF(tech_base!$T184&gt;AM$345,"",AM808+AM1088+AM1368)</f>
        <v>198.57988347613497</v>
      </c>
      <c r="AN528" s="119">
        <f>IF(tech_base!$T184&gt;AN$345,"",AN808+AN1088+AN1368)</f>
        <v>200.08412158688799</v>
      </c>
      <c r="AO528" s="119">
        <f>IF(tech_base!$T184&gt;AO$345,"",AO808+AO1088+AO1368)</f>
        <v>200.21861574440265</v>
      </c>
      <c r="AP528" s="119">
        <f>IF(tech_base!$T184&gt;AP$345,"",AP808+AP1088+AP1368)</f>
        <v>200.72159233564315</v>
      </c>
      <c r="AQ528" s="119">
        <f>IF(tech_base!$T184&gt;AQ$345,"",AQ808+AQ1088+AQ1368)</f>
        <v>201.25367462490851</v>
      </c>
      <c r="AR528" s="119">
        <f>IF(tech_base!$T184&gt;AR$345,"",AR808+AR1088+AR1368)</f>
        <v>202.41989349179232</v>
      </c>
      <c r="AS528" s="119">
        <f>IF(tech_base!$T184&gt;AS$345,"",AS808+AS1088+AS1368)</f>
        <v>203.01145760295606</v>
      </c>
      <c r="AT528" s="119">
        <f>IF(tech_base!$T184&gt;AT$345,"",AT808+AT1088+AT1368)</f>
        <v>203.59134249751827</v>
      </c>
      <c r="AU528" s="119">
        <f>IF(tech_base!$T184&gt;AU$345,"",AU808+AU1088+AU1368)</f>
        <v>204.14604269212782</v>
      </c>
      <c r="AV528" s="119">
        <f>IF(tech_base!$T184&gt;AV$345,"",AV808+AV1088+AV1368)</f>
        <v>204.66486830444504</v>
      </c>
      <c r="AW528" s="119">
        <f>IF(tech_base!$T184&gt;AW$345,"",AW808+AW1088+AW1368)</f>
        <v>205.13814935385506</v>
      </c>
      <c r="AX528" s="120">
        <f>IF(tech_base!$T184&gt;AX$345,"",AX808+AX1088+AX1368)</f>
        <v>205.76961632188716</v>
      </c>
    </row>
    <row r="529" spans="1:50" x14ac:dyDescent="0.25">
      <c r="A529" s="356"/>
      <c r="B529" s="376"/>
      <c r="C529" s="361" t="s">
        <v>14</v>
      </c>
      <c r="D529" s="58" t="s">
        <v>7</v>
      </c>
      <c r="E529" s="78" t="str">
        <f>A519&amp;"/"&amp;B527&amp;"/"&amp;C529&amp;"/"&amp;D529</f>
        <v>Fuel oil fired power plants/Supercritical steam turbine/CHP/L</v>
      </c>
      <c r="F529" s="78" t="str">
        <f>A519</f>
        <v>Fuel oil fired power plants</v>
      </c>
      <c r="G529" s="78" t="str">
        <f>B527</f>
        <v>Supercritical steam turbine</v>
      </c>
      <c r="H529" s="78" t="str">
        <f>C529</f>
        <v>CHP</v>
      </c>
      <c r="I529" s="78" t="str">
        <f t="shared" si="359"/>
        <v>L</v>
      </c>
      <c r="J529" s="123">
        <f>IF(tech_base!$T185&gt;J$345,"",J809+J1089+J1369)</f>
        <v>159.37046983545545</v>
      </c>
      <c r="K529" s="123">
        <f>IF(tech_base!$T185&gt;K$345,"",K809+K1089+K1369)</f>
        <v>183.27053823360308</v>
      </c>
      <c r="L529" s="123">
        <f>IF(tech_base!$T185&gt;L$345,"",L809+L1089+L1369)</f>
        <v>190.44259026628694</v>
      </c>
      <c r="M529" s="123">
        <f>IF(tech_base!$T185&gt;M$345,"",M809+M1089+M1369)</f>
        <v>184.13688272002088</v>
      </c>
      <c r="N529" s="123">
        <f>IF(tech_base!$T185&gt;N$345,"",N809+N1089+N1369)</f>
        <v>174.17775527386112</v>
      </c>
      <c r="O529" s="123">
        <f>IF(tech_base!$T185&gt;O$345,"",O809+O1089+O1369)</f>
        <v>140.81085672479441</v>
      </c>
      <c r="P529" s="123">
        <f>IF(tech_base!$T185&gt;P$345,"",P809+P1089+P1369)</f>
        <v>132.89309920971377</v>
      </c>
      <c r="Q529" s="123">
        <f>IF(tech_base!$T185&gt;Q$345,"",Q809+Q1089+Q1369)</f>
        <v>142.44145178136438</v>
      </c>
      <c r="R529" s="123">
        <f>IF(tech_base!$T185&gt;R$345,"",R809+R1089+R1369)</f>
        <v>150.9669087758501</v>
      </c>
      <c r="S529" s="123">
        <f>IF(tech_base!$T185&gt;S$345,"",S809+S1089+S1369)</f>
        <v>158.4433566650107</v>
      </c>
      <c r="T529" s="123">
        <f>IF(tech_base!$T185&gt;T$345,"",T809+T1089+T1369)</f>
        <v>165.65202739720783</v>
      </c>
      <c r="U529" s="123">
        <f>IF(tech_base!$T185&gt;U$345,"",U809+U1089+U1369)</f>
        <v>172.51622381330725</v>
      </c>
      <c r="V529" s="123">
        <f>IF(tech_base!$T185&gt;V$345,"",V809+V1089+V1369)</f>
        <v>177.11809569370055</v>
      </c>
      <c r="W529" s="123">
        <f>IF(tech_base!$T185&gt;W$345,"",W809+W1089+W1369)</f>
        <v>182.75538355506481</v>
      </c>
      <c r="X529" s="123">
        <f>IF(tech_base!$T185&gt;X$345,"",X809+X1089+X1369)</f>
        <v>187.64699334497175</v>
      </c>
      <c r="Y529" s="123">
        <f>IF(tech_base!$T185&gt;Y$345,"",Y809+Y1089+Y1369)</f>
        <v>191.79743675085814</v>
      </c>
      <c r="Z529" s="123">
        <f>IF(tech_base!$T185&gt;Z$345,"",Z809+Z1089+Z1369)</f>
        <v>194.45921050340979</v>
      </c>
      <c r="AA529" s="123">
        <f>IF(tech_base!$T185&gt;AA$345,"",AA809+AA1089+AA1369)</f>
        <v>196.8706238356738</v>
      </c>
      <c r="AB529" s="123">
        <f>IF(tech_base!$T185&gt;AB$345,"",AB809+AB1089+AB1369)</f>
        <v>198.52408874326215</v>
      </c>
      <c r="AC529" s="123">
        <f>IF(tech_base!$T185&gt;AC$345,"",AC809+AC1089+AC1369)</f>
        <v>201.09699784266786</v>
      </c>
      <c r="AD529" s="123">
        <f>IF(tech_base!$T185&gt;AD$345,"",AD809+AD1089+AD1369)</f>
        <v>202.67257614099515</v>
      </c>
      <c r="AE529" s="123">
        <f>IF(tech_base!$T185&gt;AE$345,"",AE809+AE1089+AE1369)</f>
        <v>204.17587319937013</v>
      </c>
      <c r="AF529" s="123">
        <f>IF(tech_base!$T185&gt;AF$345,"",AF809+AF1089+AF1369)</f>
        <v>204.93646304848849</v>
      </c>
      <c r="AG529" s="123">
        <f>IF(tech_base!$T185&gt;AG$345,"",AG809+AG1089+AG1369)</f>
        <v>205.80603089548262</v>
      </c>
      <c r="AH529" s="123">
        <f>IF(tech_base!$T185&gt;AH$345,"",AH809+AH1089+AH1369)</f>
        <v>206.78426709188096</v>
      </c>
      <c r="AI529" s="123">
        <f>IF(tech_base!$T185&gt;AI$345,"",AI809+AI1089+AI1369)</f>
        <v>207.8816054963859</v>
      </c>
      <c r="AJ529" s="123">
        <f>IF(tech_base!$T185&gt;AJ$345,"",AJ809+AJ1089+AJ1369)</f>
        <v>209.11703698116642</v>
      </c>
      <c r="AK529" s="123">
        <f>IF(tech_base!$T185&gt;AK$345,"",AK809+AK1089+AK1369)</f>
        <v>210.51960950684082</v>
      </c>
      <c r="AL529" s="123">
        <f>IF(tech_base!$T185&gt;AL$345,"",AL809+AL1089+AL1369)</f>
        <v>212.03847632561988</v>
      </c>
      <c r="AM529" s="123">
        <f>IF(tech_base!$T185&gt;AM$345,"",AM809+AM1089+AM1369)</f>
        <v>213.61116264957076</v>
      </c>
      <c r="AN529" s="123">
        <f>IF(tech_base!$T185&gt;AN$345,"",AN809+AN1089+AN1369)</f>
        <v>215.18991643473771</v>
      </c>
      <c r="AO529" s="123">
        <f>IF(tech_base!$T185&gt;AO$345,"",AO809+AO1089+AO1369)</f>
        <v>215.33071907553668</v>
      </c>
      <c r="AP529" s="123">
        <f>IF(tech_base!$T185&gt;AP$345,"",AP809+AP1089+AP1369)</f>
        <v>215.85842979375565</v>
      </c>
      <c r="AQ529" s="123">
        <f>IF(tech_base!$T185&gt;AQ$345,"",AQ809+AQ1089+AQ1369)</f>
        <v>216.41649538381952</v>
      </c>
      <c r="AR529" s="123">
        <f>IF(tech_base!$T185&gt;AR$345,"",AR809+AR1089+AR1369)</f>
        <v>217.64039737946877</v>
      </c>
      <c r="AS529" s="123">
        <f>IF(tech_base!$T185&gt;AS$345,"",AS809+AS1089+AS1369)</f>
        <v>218.2602668430597</v>
      </c>
      <c r="AT529" s="123">
        <f>IF(tech_base!$T185&gt;AT$345,"",AT809+AT1089+AT1369)</f>
        <v>218.86735834493231</v>
      </c>
      <c r="AU529" s="123">
        <f>IF(tech_base!$T185&gt;AU$345,"",AU809+AU1089+AU1369)</f>
        <v>219.44732918542539</v>
      </c>
      <c r="AV529" s="123">
        <f>IF(tech_base!$T185&gt;AV$345,"",AV809+AV1089+AV1369)</f>
        <v>219.98875647077938</v>
      </c>
      <c r="AW529" s="123">
        <f>IF(tech_base!$T185&gt;AW$345,"",AW809+AW1089+AW1369)</f>
        <v>220.4812490508433</v>
      </c>
      <c r="AX529" s="124">
        <f>IF(tech_base!$T185&gt;AX$345,"",AX809+AX1089+AX1369)</f>
        <v>221.13854676487298</v>
      </c>
    </row>
    <row r="530" spans="1:50" x14ac:dyDescent="0.25">
      <c r="A530" s="356"/>
      <c r="B530" s="376"/>
      <c r="C530" s="379"/>
      <c r="D530" s="59" t="s">
        <v>8</v>
      </c>
      <c r="E530" s="79" t="str">
        <f>A519&amp;"/"&amp;B527&amp;"/"&amp;C529&amp;"/"&amp;D530</f>
        <v>Fuel oil fired power plants/Supercritical steam turbine/CHP/M</v>
      </c>
      <c r="F530" s="79" t="str">
        <f>A519</f>
        <v>Fuel oil fired power plants</v>
      </c>
      <c r="G530" s="79" t="str">
        <f>B527</f>
        <v>Supercritical steam turbine</v>
      </c>
      <c r="H530" s="79" t="str">
        <f>C529</f>
        <v>CHP</v>
      </c>
      <c r="I530" s="79" t="str">
        <f t="shared" si="359"/>
        <v>M</v>
      </c>
      <c r="J530" s="125">
        <f>IF(tech_base!$T186&gt;J$345,"",J810+J1090+J1370)</f>
        <v>170.1088238436883</v>
      </c>
      <c r="K530" s="125">
        <f>IF(tech_base!$T186&gt;K$345,"",K810+K1090+K1370)</f>
        <v>195.27869329264098</v>
      </c>
      <c r="L530" s="125">
        <f>IF(tech_base!$T186&gt;L$345,"",L810+L1090+L1370)</f>
        <v>202.83179357405021</v>
      </c>
      <c r="M530" s="125">
        <f>IF(tech_base!$T186&gt;M$345,"",M810+M1090+M1370)</f>
        <v>196.19106631424478</v>
      </c>
      <c r="N530" s="125">
        <f>IF(tech_base!$T186&gt;N$345,"",N810+N1090+N1370)</f>
        <v>185.70281442017281</v>
      </c>
      <c r="O530" s="125">
        <f>IF(tech_base!$T186&gt;O$345,"",O810+O1090+O1370)</f>
        <v>150.5631459302889</v>
      </c>
      <c r="P530" s="125">
        <f>IF(tech_base!$T186&gt;P$345,"",P810+P1090+P1370)</f>
        <v>142.22472113320799</v>
      </c>
      <c r="Q530" s="125">
        <f>IF(tech_base!$T186&gt;Q$345,"",Q810+Q1090+Q1370)</f>
        <v>152.28037384839621</v>
      </c>
      <c r="R530" s="125">
        <f>IF(tech_base!$T186&gt;R$345,"",R810+R1090+R1370)</f>
        <v>161.2587849545543</v>
      </c>
      <c r="S530" s="125">
        <f>IF(tech_base!$T186&gt;S$345,"",S810+S1090+S1370)</f>
        <v>169.13245352224152</v>
      </c>
      <c r="T530" s="125">
        <f>IF(tech_base!$T186&gt;T$345,"",T810+T1090+T1370)</f>
        <v>176.72411803998619</v>
      </c>
      <c r="U530" s="125">
        <f>IF(tech_base!$T186&gt;U$345,"",U810+U1090+U1370)</f>
        <v>183.95300645934242</v>
      </c>
      <c r="V530" s="125">
        <f>IF(tech_base!$T186&gt;V$345,"",V810+V1090+V1370)</f>
        <v>188.7993739475327</v>
      </c>
      <c r="W530" s="125">
        <f>IF(tech_base!$T186&gt;W$345,"",W810+W1090+W1370)</f>
        <v>194.73616865259311</v>
      </c>
      <c r="X530" s="125">
        <f>IF(tech_base!$T186&gt;X$345,"",X810+X1090+X1370)</f>
        <v>199.88766770925349</v>
      </c>
      <c r="Y530" s="125">
        <f>IF(tech_base!$T186&gt;Y$345,"",Y810+Y1090+Y1370)</f>
        <v>204.25862250909512</v>
      </c>
      <c r="Z530" s="125">
        <f>IF(tech_base!$T186&gt;Z$345,"",Z810+Z1090+Z1370)</f>
        <v>207.06181523383088</v>
      </c>
      <c r="AA530" s="125">
        <f>IF(tech_base!$T186&gt;AA$345,"",AA810+AA1090+AA1370)</f>
        <v>209.60134598953584</v>
      </c>
      <c r="AB530" s="125">
        <f>IF(tech_base!$T186&gt;AB$345,"",AB810+AB1090+AB1370)</f>
        <v>211.34265882467611</v>
      </c>
      <c r="AC530" s="125">
        <f>IF(tech_base!$T186&gt;AC$345,"",AC810+AC1090+AC1370)</f>
        <v>214.05226555287624</v>
      </c>
      <c r="AD530" s="125">
        <f>IF(tech_base!$T186&gt;AD$345,"",AD810+AD1090+AD1370)</f>
        <v>215.71155369443545</v>
      </c>
      <c r="AE530" s="125">
        <f>IF(tech_base!$T186&gt;AE$345,"",AE810+AE1090+AE1370)</f>
        <v>217.29472032274623</v>
      </c>
      <c r="AF530" s="125">
        <f>IF(tech_base!$T186&gt;AF$345,"",AF810+AF1090+AF1370)</f>
        <v>218.09572000557523</v>
      </c>
      <c r="AG530" s="125">
        <f>IF(tech_base!$T186&gt;AG$345,"",AG810+AG1090+AG1370)</f>
        <v>219.01148764361034</v>
      </c>
      <c r="AH530" s="125">
        <f>IF(tech_base!$T186&gt;AH$345,"",AH810+AH1090+AH1370)</f>
        <v>220.04169713688088</v>
      </c>
      <c r="AI530" s="125">
        <f>IF(tech_base!$T186&gt;AI$345,"",AI810+AI1090+AI1370)</f>
        <v>221.19733669081836</v>
      </c>
      <c r="AJ530" s="125">
        <f>IF(tech_base!$T186&gt;AJ$345,"",AJ810+AJ1090+AJ1370)</f>
        <v>222.49840615501546</v>
      </c>
      <c r="AK530" s="125">
        <f>IF(tech_base!$T186&gt;AK$345,"",AK810+AK1090+AK1370)</f>
        <v>223.97549679659073</v>
      </c>
      <c r="AL530" s="125">
        <f>IF(tech_base!$T186&gt;AL$345,"",AL810+AL1090+AL1370)</f>
        <v>225.57506040043285</v>
      </c>
      <c r="AM530" s="125">
        <f>IF(tech_base!$T186&gt;AM$345,"",AM810+AM1090+AM1370)</f>
        <v>227.23130291817665</v>
      </c>
      <c r="AN530" s="125">
        <f>IF(tech_base!$T186&gt;AN$345,"",AN810+AN1090+AN1370)</f>
        <v>228.89331369885969</v>
      </c>
      <c r="AO530" s="125">
        <f>IF(tech_base!$T186&gt;AO$345,"",AO810+AO1090+AO1370)</f>
        <v>229.04138119321101</v>
      </c>
      <c r="AP530" s="125">
        <f>IF(tech_base!$T186&gt;AP$345,"",AP810+AP1090+AP1370)</f>
        <v>229.59683873074539</v>
      </c>
      <c r="AQ530" s="125">
        <f>IF(tech_base!$T186&gt;AQ$345,"",AQ810+AQ1090+AQ1370)</f>
        <v>230.18416458441379</v>
      </c>
      <c r="AR530" s="125">
        <f>IF(tech_base!$T186&gt;AR$345,"",AR810+AR1090+AR1370)</f>
        <v>231.47257023172671</v>
      </c>
      <c r="AS530" s="125">
        <f>IF(tech_base!$T186&gt;AS$345,"",AS810+AS1090+AS1370)</f>
        <v>232.12467607554714</v>
      </c>
      <c r="AT530" s="125">
        <f>IF(tech_base!$T186&gt;AT$345,"",AT810+AT1090+AT1370)</f>
        <v>232.76309423471002</v>
      </c>
      <c r="AU530" s="125">
        <f>IF(tech_base!$T186&gt;AU$345,"",AU810+AU1090+AU1370)</f>
        <v>233.37264937194783</v>
      </c>
      <c r="AV530" s="125">
        <f>IF(tech_base!$T186&gt;AV$345,"",AV810+AV1090+AV1370)</f>
        <v>233.94122394138179</v>
      </c>
      <c r="AW530" s="125">
        <f>IF(tech_base!$T186&gt;AW$345,"",AW810+AW1090+AW1370)</f>
        <v>234.45776901177518</v>
      </c>
      <c r="AX530" s="126">
        <f>IF(tech_base!$T186&gt;AX$345,"",AX810+AX1090+AX1370)</f>
        <v>235.14725860903405</v>
      </c>
    </row>
    <row r="531" spans="1:50" x14ac:dyDescent="0.25">
      <c r="A531" s="356"/>
      <c r="B531" s="376"/>
      <c r="C531" s="361" t="s">
        <v>15</v>
      </c>
      <c r="D531" s="58" t="s">
        <v>7</v>
      </c>
      <c r="E531" s="78" t="str">
        <f>A519&amp;"/"&amp;B527&amp;"/"&amp;C531&amp;"/"&amp;D531</f>
        <v>Fuel oil fired power plants/Supercritical steam turbine/Electricity only with CCS/L</v>
      </c>
      <c r="F531" s="78" t="str">
        <f>A519</f>
        <v>Fuel oil fired power plants</v>
      </c>
      <c r="G531" s="78" t="str">
        <f>B527</f>
        <v>Supercritical steam turbine</v>
      </c>
      <c r="H531" s="78" t="str">
        <f>C531</f>
        <v>Electricity only with CCS</v>
      </c>
      <c r="I531" s="78" t="str">
        <f t="shared" si="359"/>
        <v>L</v>
      </c>
      <c r="J531" s="123" t="str">
        <f>IF(tech_base!$T187&gt;J$345,"",J811+J1091+J1371)</f>
        <v/>
      </c>
      <c r="K531" s="123" t="str">
        <f>IF(tech_base!$T187&gt;K$345,"",K811+K1091+K1371)</f>
        <v/>
      </c>
      <c r="L531" s="123" t="str">
        <f>IF(tech_base!$T187&gt;L$345,"",L811+L1091+L1371)</f>
        <v/>
      </c>
      <c r="M531" s="123" t="str">
        <f>IF(tech_base!$T187&gt;M$345,"",M811+M1091+M1371)</f>
        <v/>
      </c>
      <c r="N531" s="123" t="str">
        <f>IF(tech_base!$T187&gt;N$345,"",N811+N1091+N1371)</f>
        <v/>
      </c>
      <c r="O531" s="123" t="str">
        <f>IF(tech_base!$T187&gt;O$345,"",O811+O1091+O1371)</f>
        <v/>
      </c>
      <c r="P531" s="123" t="str">
        <f>IF(tech_base!$T187&gt;P$345,"",P811+P1091+P1371)</f>
        <v/>
      </c>
      <c r="Q531" s="123" t="str">
        <f>IF(tech_base!$T187&gt;Q$345,"",Q811+Q1091+Q1371)</f>
        <v/>
      </c>
      <c r="R531" s="123" t="str">
        <f>IF(tech_base!$T187&gt;R$345,"",R811+R1091+R1371)</f>
        <v/>
      </c>
      <c r="S531" s="123" t="str">
        <f>IF(tech_base!$T187&gt;S$345,"",S811+S1091+S1371)</f>
        <v/>
      </c>
      <c r="T531" s="123" t="str">
        <f>IF(tech_base!$T187&gt;T$345,"",T811+T1091+T1371)</f>
        <v/>
      </c>
      <c r="U531" s="123" t="str">
        <f>IF(tech_base!$T187&gt;U$345,"",U811+U1091+U1371)</f>
        <v/>
      </c>
      <c r="V531" s="123" t="str">
        <f>IF(tech_base!$T187&gt;V$345,"",V811+V1091+V1371)</f>
        <v/>
      </c>
      <c r="W531" s="123" t="str">
        <f>IF(tech_base!$T187&gt;W$345,"",W811+W1091+W1371)</f>
        <v/>
      </c>
      <c r="X531" s="123" t="str">
        <f>IF(tech_base!$T187&gt;X$345,"",X811+X1091+X1371)</f>
        <v/>
      </c>
      <c r="Y531" s="123" t="str">
        <f>IF(tech_base!$T187&gt;Y$345,"",Y811+Y1091+Y1371)</f>
        <v/>
      </c>
      <c r="Z531" s="123" t="str">
        <f>IF(tech_base!$T187&gt;Z$345,"",Z811+Z1091+Z1371)</f>
        <v/>
      </c>
      <c r="AA531" s="123" t="str">
        <f>IF(tech_base!$T187&gt;AA$345,"",AA811+AA1091+AA1371)</f>
        <v/>
      </c>
      <c r="AB531" s="123" t="str">
        <f>IF(tech_base!$T187&gt;AB$345,"",AB811+AB1091+AB1371)</f>
        <v/>
      </c>
      <c r="AC531" s="123" t="str">
        <f>IF(tech_base!$T187&gt;AC$345,"",AC811+AC1091+AC1371)</f>
        <v/>
      </c>
      <c r="AD531" s="123" t="str">
        <f>IF(tech_base!$T187&gt;AD$345,"",AD811+AD1091+AD1371)</f>
        <v/>
      </c>
      <c r="AE531" s="123">
        <f>IF(tech_base!$T187&gt;AE$345,"",AE811+AE1091+AE1371)</f>
        <v>286.03365323679839</v>
      </c>
      <c r="AF531" s="123">
        <f>IF(tech_base!$T187&gt;AF$345,"",AF811+AF1091+AF1371)</f>
        <v>286.88637270028255</v>
      </c>
      <c r="AG531" s="123">
        <f>IF(tech_base!$T187&gt;AG$345,"",AG811+AG1091+AG1371)</f>
        <v>287.86127057567677</v>
      </c>
      <c r="AH531" s="123">
        <f>IF(tech_base!$T187&gt;AH$345,"",AH811+AH1091+AH1371)</f>
        <v>288.95799970704832</v>
      </c>
      <c r="AI531" s="123">
        <f>IF(tech_base!$T187&gt;AI$345,"",AI811+AI1091+AI1371)</f>
        <v>290.18825779770606</v>
      </c>
      <c r="AJ531" s="123">
        <f>IF(tech_base!$T187&gt;AJ$345,"",AJ811+AJ1091+AJ1371)</f>
        <v>291.57333606833333</v>
      </c>
      <c r="AK531" s="123">
        <f>IF(tech_base!$T187&gt;AK$345,"",AK811+AK1091+AK1371)</f>
        <v>293.14580103480256</v>
      </c>
      <c r="AL531" s="123">
        <f>IF(tech_base!$T187&gt;AL$345,"",AL811+AL1091+AL1371)</f>
        <v>294.84864692515259</v>
      </c>
      <c r="AM531" s="123">
        <f>IF(tech_base!$T187&gt;AM$345,"",AM811+AM1091+AM1371)</f>
        <v>296.6118314324699</v>
      </c>
      <c r="AN531" s="123">
        <f>IF(tech_base!$T187&gt;AN$345,"",AN811+AN1091+AN1371)</f>
        <v>298.41222245465116</v>
      </c>
      <c r="AO531" s="123">
        <f>IF(tech_base!$T187&gt;AO$345,"",AO811+AO1091+AO1371)</f>
        <v>298.58065588171007</v>
      </c>
      <c r="AP531" s="123">
        <f>IF(tech_base!$T187&gt;AP$345,"",AP811+AP1091+AP1371)</f>
        <v>299.18655053567636</v>
      </c>
      <c r="AQ531" s="123">
        <f>IF(tech_base!$T187&gt;AQ$345,"",AQ811+AQ1091+AQ1371)</f>
        <v>299.83138343042231</v>
      </c>
      <c r="AR531" s="123">
        <f>IF(tech_base!$T187&gt;AR$345,"",AR811+AR1091+AR1371)</f>
        <v>301.22937872461978</v>
      </c>
      <c r="AS531" s="123">
        <f>IF(tech_base!$T187&gt;AS$345,"",AS811+AS1091+AS1371)</f>
        <v>301.88558065453122</v>
      </c>
      <c r="AT531" s="123">
        <f>IF(tech_base!$T187&gt;AT$345,"",AT811+AT1091+AT1371)</f>
        <v>302.56520084451415</v>
      </c>
      <c r="AU531" s="123">
        <f>IF(tech_base!$T187&gt;AU$345,"",AU811+AU1091+AU1371)</f>
        <v>303.20002094873581</v>
      </c>
      <c r="AV531" s="123">
        <f>IF(tech_base!$T187&gt;AV$345,"",AV811+AV1091+AV1371)</f>
        <v>303.76435507654583</v>
      </c>
      <c r="AW531" s="123">
        <f>IF(tech_base!$T187&gt;AW$345,"",AW811+AW1091+AW1371)</f>
        <v>304.22623557419661</v>
      </c>
      <c r="AX531" s="124">
        <f>IF(tech_base!$T187&gt;AX$345,"",AX811+AX1091+AX1371)</f>
        <v>304.79610733387989</v>
      </c>
    </row>
    <row r="532" spans="1:50" x14ac:dyDescent="0.25">
      <c r="A532" s="356"/>
      <c r="B532" s="376"/>
      <c r="C532" s="379"/>
      <c r="D532" s="59" t="s">
        <v>8</v>
      </c>
      <c r="E532" s="79" t="str">
        <f>A519&amp;"/"&amp;B527&amp;"/"&amp;C531&amp;"/"&amp;D532</f>
        <v>Fuel oil fired power plants/Supercritical steam turbine/Electricity only with CCS/M</v>
      </c>
      <c r="F532" s="79" t="str">
        <f>A519</f>
        <v>Fuel oil fired power plants</v>
      </c>
      <c r="G532" s="79" t="str">
        <f>B527</f>
        <v>Supercritical steam turbine</v>
      </c>
      <c r="H532" s="79" t="str">
        <f>C531</f>
        <v>Electricity only with CCS</v>
      </c>
      <c r="I532" s="79" t="str">
        <f t="shared" si="359"/>
        <v>M</v>
      </c>
      <c r="J532" s="125" t="str">
        <f>IF(tech_base!$T188&gt;J$345,"",J812+J1092+J1372)</f>
        <v/>
      </c>
      <c r="K532" s="125" t="str">
        <f>IF(tech_base!$T188&gt;K$345,"",K812+K1092+K1372)</f>
        <v/>
      </c>
      <c r="L532" s="125" t="str">
        <f>IF(tech_base!$T188&gt;L$345,"",L812+L1092+L1372)</f>
        <v/>
      </c>
      <c r="M532" s="125" t="str">
        <f>IF(tech_base!$T188&gt;M$345,"",M812+M1092+M1372)</f>
        <v/>
      </c>
      <c r="N532" s="125" t="str">
        <f>IF(tech_base!$T188&gt;N$345,"",N812+N1092+N1372)</f>
        <v/>
      </c>
      <c r="O532" s="125" t="str">
        <f>IF(tech_base!$T188&gt;O$345,"",O812+O1092+O1372)</f>
        <v/>
      </c>
      <c r="P532" s="125" t="str">
        <f>IF(tech_base!$T188&gt;P$345,"",P812+P1092+P1372)</f>
        <v/>
      </c>
      <c r="Q532" s="125" t="str">
        <f>IF(tech_base!$T188&gt;Q$345,"",Q812+Q1092+Q1372)</f>
        <v/>
      </c>
      <c r="R532" s="125" t="str">
        <f>IF(tech_base!$T188&gt;R$345,"",R812+R1092+R1372)</f>
        <v/>
      </c>
      <c r="S532" s="125" t="str">
        <f>IF(tech_base!$T188&gt;S$345,"",S812+S1092+S1372)</f>
        <v/>
      </c>
      <c r="T532" s="125" t="str">
        <f>IF(tech_base!$T188&gt;T$345,"",T812+T1092+T1372)</f>
        <v/>
      </c>
      <c r="U532" s="125" t="str">
        <f>IF(tech_base!$T188&gt;U$345,"",U812+U1092+U1372)</f>
        <v/>
      </c>
      <c r="V532" s="125" t="str">
        <f>IF(tech_base!$T188&gt;V$345,"",V812+V1092+V1372)</f>
        <v/>
      </c>
      <c r="W532" s="125" t="str">
        <f>IF(tech_base!$T188&gt;W$345,"",W812+W1092+W1372)</f>
        <v/>
      </c>
      <c r="X532" s="125" t="str">
        <f>IF(tech_base!$T188&gt;X$345,"",X812+X1092+X1372)</f>
        <v/>
      </c>
      <c r="Y532" s="125" t="str">
        <f>IF(tech_base!$T188&gt;Y$345,"",Y812+Y1092+Y1372)</f>
        <v/>
      </c>
      <c r="Z532" s="125" t="str">
        <f>IF(tech_base!$T188&gt;Z$345,"",Z812+Z1092+Z1372)</f>
        <v/>
      </c>
      <c r="AA532" s="125" t="str">
        <f>IF(tech_base!$T188&gt;AA$345,"",AA812+AA1092+AA1372)</f>
        <v/>
      </c>
      <c r="AB532" s="125" t="str">
        <f>IF(tech_base!$T188&gt;AB$345,"",AB812+AB1092+AB1372)</f>
        <v/>
      </c>
      <c r="AC532" s="125" t="str">
        <f>IF(tech_base!$T188&gt;AC$345,"",AC812+AC1092+AC1372)</f>
        <v/>
      </c>
      <c r="AD532" s="125" t="str">
        <f>IF(tech_base!$T188&gt;AD$345,"",AD812+AD1092+AD1372)</f>
        <v/>
      </c>
      <c r="AE532" s="125">
        <f>IF(tech_base!$T188&gt;AE$345,"",AE812+AE1092+AE1372)</f>
        <v>306.77719649428087</v>
      </c>
      <c r="AF532" s="125">
        <f>IF(tech_base!$T188&gt;AF$345,"",AF812+AF1092+AF1372)</f>
        <v>307.68362498728226</v>
      </c>
      <c r="AG532" s="125">
        <f>IF(tech_base!$T188&gt;AG$345,"",AG812+AG1092+AG1372)</f>
        <v>308.71992737026432</v>
      </c>
      <c r="AH532" s="125">
        <f>IF(tech_base!$T188&gt;AH$345,"",AH812+AH1092+AH1372)</f>
        <v>309.88573462147673</v>
      </c>
      <c r="AI532" s="125">
        <f>IF(tech_base!$T188&gt;AI$345,"",AI812+AI1092+AI1372)</f>
        <v>311.19348123084956</v>
      </c>
      <c r="AJ532" s="125">
        <f>IF(tech_base!$T188&gt;AJ$345,"",AJ812+AJ1092+AJ1372)</f>
        <v>312.66579945893807</v>
      </c>
      <c r="AK532" s="125">
        <f>IF(tech_base!$T188&gt;AK$345,"",AK812+AK1092+AK1372)</f>
        <v>314.33730704248768</v>
      </c>
      <c r="AL532" s="125">
        <f>IF(tech_base!$T188&gt;AL$345,"",AL812+AL1092+AL1372)</f>
        <v>316.14740766795819</v>
      </c>
      <c r="AM532" s="125">
        <f>IF(tech_base!$T188&gt;AM$345,"",AM812+AM1092+AM1372)</f>
        <v>318.02164737314894</v>
      </c>
      <c r="AN532" s="125">
        <f>IF(tech_base!$T188&gt;AN$345,"",AN812+AN1092+AN1372)</f>
        <v>319.93543706710165</v>
      </c>
      <c r="AO532" s="125">
        <f>IF(tech_base!$T188&gt;AO$345,"",AO812+AO1092+AO1372)</f>
        <v>320.11447937116287</v>
      </c>
      <c r="AP532" s="125">
        <f>IF(tech_base!$T188&gt;AP$345,"",AP812+AP1092+AP1372)</f>
        <v>320.75853665099589</v>
      </c>
      <c r="AQ532" s="125">
        <f>IF(tech_base!$T188&gt;AQ$345,"",AQ812+AQ1092+AQ1372)</f>
        <v>321.44398471926684</v>
      </c>
      <c r="AR532" s="125">
        <f>IF(tech_base!$T188&gt;AR$345,"",AR812+AR1092+AR1372)</f>
        <v>322.93003355713995</v>
      </c>
      <c r="AS532" s="125">
        <f>IF(tech_base!$T188&gt;AS$345,"",AS812+AS1092+AS1372)</f>
        <v>323.62634012523455</v>
      </c>
      <c r="AT532" s="125">
        <f>IF(tech_base!$T188&gt;AT$345,"",AT812+AT1092+AT1372)</f>
        <v>324.34798200445698</v>
      </c>
      <c r="AU532" s="125">
        <f>IF(tech_base!$T188&gt;AU$345,"",AU812+AU1092+AU1372)</f>
        <v>325.02151179545581</v>
      </c>
      <c r="AV532" s="125">
        <f>IF(tech_base!$T188&gt;AV$345,"",AV812+AV1092+AV1372)</f>
        <v>325.61933847551251</v>
      </c>
      <c r="AW532" s="125">
        <f>IF(tech_base!$T188&gt;AW$345,"",AW812+AW1092+AW1372)</f>
        <v>326.10705533475522</v>
      </c>
      <c r="AX532" s="126">
        <f>IF(tech_base!$T188&gt;AX$345,"",AX812+AX1092+AX1372)</f>
        <v>326.70777689527239</v>
      </c>
    </row>
    <row r="533" spans="1:50" x14ac:dyDescent="0.25">
      <c r="A533" s="356"/>
      <c r="B533" s="376"/>
      <c r="C533" s="361" t="s">
        <v>16</v>
      </c>
      <c r="D533" s="2" t="s">
        <v>7</v>
      </c>
      <c r="E533" s="76" t="str">
        <f>A519&amp;"/"&amp;B527&amp;"/"&amp;C533&amp;"/"&amp;D533</f>
        <v>Fuel oil fired power plants/Supercritical steam turbine/CHP with CCS/L</v>
      </c>
      <c r="F533" s="76" t="str">
        <f>A519</f>
        <v>Fuel oil fired power plants</v>
      </c>
      <c r="G533" s="76" t="str">
        <f>B527</f>
        <v>Supercritical steam turbine</v>
      </c>
      <c r="H533" s="76" t="str">
        <f>C533</f>
        <v>CHP with CCS</v>
      </c>
      <c r="I533" s="76" t="str">
        <f t="shared" si="359"/>
        <v>L</v>
      </c>
      <c r="J533" s="119" t="str">
        <f>IF(tech_base!$T189&gt;J$345,"",J813+J1093+J1373)</f>
        <v/>
      </c>
      <c r="K533" s="119" t="str">
        <f>IF(tech_base!$T189&gt;K$345,"",K813+K1093+K1373)</f>
        <v/>
      </c>
      <c r="L533" s="119" t="str">
        <f>IF(tech_base!$T189&gt;L$345,"",L813+L1093+L1373)</f>
        <v/>
      </c>
      <c r="M533" s="119" t="str">
        <f>IF(tech_base!$T189&gt;M$345,"",M813+M1093+M1373)</f>
        <v/>
      </c>
      <c r="N533" s="119" t="str">
        <f>IF(tech_base!$T189&gt;N$345,"",N813+N1093+N1373)</f>
        <v/>
      </c>
      <c r="O533" s="119" t="str">
        <f>IF(tech_base!$T189&gt;O$345,"",O813+O1093+O1373)</f>
        <v/>
      </c>
      <c r="P533" s="119" t="str">
        <f>IF(tech_base!$T189&gt;P$345,"",P813+P1093+P1373)</f>
        <v/>
      </c>
      <c r="Q533" s="119" t="str">
        <f>IF(tech_base!$T189&gt;Q$345,"",Q813+Q1093+Q1373)</f>
        <v/>
      </c>
      <c r="R533" s="119" t="str">
        <f>IF(tech_base!$T189&gt;R$345,"",R813+R1093+R1373)</f>
        <v/>
      </c>
      <c r="S533" s="119" t="str">
        <f>IF(tech_base!$T189&gt;S$345,"",S813+S1093+S1373)</f>
        <v/>
      </c>
      <c r="T533" s="119" t="str">
        <f>IF(tech_base!$T189&gt;T$345,"",T813+T1093+T1373)</f>
        <v/>
      </c>
      <c r="U533" s="119" t="str">
        <f>IF(tech_base!$T189&gt;U$345,"",U813+U1093+U1373)</f>
        <v/>
      </c>
      <c r="V533" s="119" t="str">
        <f>IF(tech_base!$T189&gt;V$345,"",V813+V1093+V1373)</f>
        <v/>
      </c>
      <c r="W533" s="119" t="str">
        <f>IF(tech_base!$T189&gt;W$345,"",W813+W1093+W1373)</f>
        <v/>
      </c>
      <c r="X533" s="119" t="str">
        <f>IF(tech_base!$T189&gt;X$345,"",X813+X1093+X1373)</f>
        <v/>
      </c>
      <c r="Y533" s="119" t="str">
        <f>IF(tech_base!$T189&gt;Y$345,"",Y813+Y1093+Y1373)</f>
        <v/>
      </c>
      <c r="Z533" s="119" t="str">
        <f>IF(tech_base!$T189&gt;Z$345,"",Z813+Z1093+Z1373)</f>
        <v/>
      </c>
      <c r="AA533" s="119" t="str">
        <f>IF(tech_base!$T189&gt;AA$345,"",AA813+AA1093+AA1373)</f>
        <v/>
      </c>
      <c r="AB533" s="119" t="str">
        <f>IF(tech_base!$T189&gt;AB$345,"",AB813+AB1093+AB1373)</f>
        <v/>
      </c>
      <c r="AC533" s="119" t="str">
        <f>IF(tech_base!$T189&gt;AC$345,"",AC813+AC1093+AC1373)</f>
        <v/>
      </c>
      <c r="AD533" s="119" t="str">
        <f>IF(tech_base!$T189&gt;AD$345,"",AD813+AD1093+AD1373)</f>
        <v/>
      </c>
      <c r="AE533" s="119">
        <f>IF(tech_base!$T189&gt;AE$345,"",AE813+AE1093+AE1373)</f>
        <v>324.64413029549104</v>
      </c>
      <c r="AF533" s="119">
        <f>IF(tech_base!$T189&gt;AF$345,"",AF813+AF1093+AF1373)</f>
        <v>325.6056129157368</v>
      </c>
      <c r="AG533" s="119">
        <f>IF(tech_base!$T189&gt;AG$345,"",AG813+AG1093+AG1373)</f>
        <v>326.70485763084645</v>
      </c>
      <c r="AH533" s="119">
        <f>IF(tech_base!$T189&gt;AH$345,"",AH813+AH1093+AH1373)</f>
        <v>327.94147300564083</v>
      </c>
      <c r="AI533" s="119">
        <f>IF(tech_base!$T189&gt;AI$345,"",AI813+AI1093+AI1373)</f>
        <v>329.32864876887589</v>
      </c>
      <c r="AJ533" s="119">
        <f>IF(tech_base!$T189&gt;AJ$345,"",AJ813+AJ1093+AJ1373)</f>
        <v>330.89039180620119</v>
      </c>
      <c r="AK533" s="119">
        <f>IF(tech_base!$T189&gt;AK$345,"",AK813+AK1093+AK1373)</f>
        <v>332.66342244634615</v>
      </c>
      <c r="AL533" s="119">
        <f>IF(tech_base!$T189&gt;AL$345,"",AL813+AL1093+AL1373)</f>
        <v>334.58346391208073</v>
      </c>
      <c r="AM533" s="119">
        <f>IF(tech_base!$T189&gt;AM$345,"",AM813+AM1093+AM1373)</f>
        <v>336.57154009969969</v>
      </c>
      <c r="AN533" s="119">
        <f>IF(tech_base!$T189&gt;AN$345,"",AN813+AN1093+AN1373)</f>
        <v>338.60156844032264</v>
      </c>
      <c r="AO533" s="119">
        <f>IF(tech_base!$T189&gt;AO$345,"",AO813+AO1093+AO1373)</f>
        <v>338.79148531183847</v>
      </c>
      <c r="AP533" s="119">
        <f>IF(tech_base!$T189&gt;AP$345,"",AP813+AP1093+AP1373)</f>
        <v>339.47466096858744</v>
      </c>
      <c r="AQ533" s="119">
        <f>IF(tech_base!$T189&gt;AQ$345,"",AQ813+AQ1093+AQ1373)</f>
        <v>340.20174138343776</v>
      </c>
      <c r="AR533" s="119">
        <f>IF(tech_base!$T189&gt;AR$345,"",AR813+AR1093+AR1373)</f>
        <v>341.77804899234826</v>
      </c>
      <c r="AS533" s="119">
        <f>IF(tech_base!$T189&gt;AS$345,"",AS813+AS1093+AS1373)</f>
        <v>342.51699187099371</v>
      </c>
      <c r="AT533" s="119">
        <f>IF(tech_base!$T189&gt;AT$345,"",AT813+AT1093+AT1373)</f>
        <v>343.28268473360231</v>
      </c>
      <c r="AU533" s="119">
        <f>IF(tech_base!$T189&gt;AU$345,"",AU813+AU1093+AU1373)</f>
        <v>343.99748096884093</v>
      </c>
      <c r="AV533" s="119">
        <f>IF(tech_base!$T189&gt;AV$345,"",AV813+AV1093+AV1373)</f>
        <v>344.6321944206245</v>
      </c>
      <c r="AW533" s="119">
        <f>IF(tech_base!$T189&gt;AW$345,"",AW813+AW1093+AW1373)</f>
        <v>345.15044810419062</v>
      </c>
      <c r="AX533" s="120">
        <f>IF(tech_base!$T189&gt;AX$345,"",AX813+AX1093+AX1373)</f>
        <v>345.78907231751128</v>
      </c>
    </row>
    <row r="534" spans="1:50" x14ac:dyDescent="0.25">
      <c r="A534" s="356"/>
      <c r="B534" s="380"/>
      <c r="C534" s="381"/>
      <c r="D534" s="4" t="s">
        <v>8</v>
      </c>
      <c r="E534" s="80" t="str">
        <f>A519&amp;"/"&amp;B527&amp;"/"&amp;C533&amp;"/"&amp;D534</f>
        <v>Fuel oil fired power plants/Supercritical steam turbine/CHP with CCS/M</v>
      </c>
      <c r="F534" s="80" t="str">
        <f>A519</f>
        <v>Fuel oil fired power plants</v>
      </c>
      <c r="G534" s="80" t="str">
        <f>B527</f>
        <v>Supercritical steam turbine</v>
      </c>
      <c r="H534" s="80" t="str">
        <f>C533</f>
        <v>CHP with CCS</v>
      </c>
      <c r="I534" s="80" t="str">
        <f t="shared" si="359"/>
        <v>M</v>
      </c>
      <c r="J534" s="127" t="str">
        <f>IF(tech_base!$T190&gt;J$345,"",J814+J1094+J1374)</f>
        <v/>
      </c>
      <c r="K534" s="127" t="str">
        <f>IF(tech_base!$T190&gt;K$345,"",K814+K1094+K1374)</f>
        <v/>
      </c>
      <c r="L534" s="127" t="str">
        <f>IF(tech_base!$T190&gt;L$345,"",L814+L1094+L1374)</f>
        <v/>
      </c>
      <c r="M534" s="127" t="str">
        <f>IF(tech_base!$T190&gt;M$345,"",M814+M1094+M1374)</f>
        <v/>
      </c>
      <c r="N534" s="127" t="str">
        <f>IF(tech_base!$T190&gt;N$345,"",N814+N1094+N1374)</f>
        <v/>
      </c>
      <c r="O534" s="127" t="str">
        <f>IF(tech_base!$T190&gt;O$345,"",O814+O1094+O1374)</f>
        <v/>
      </c>
      <c r="P534" s="127" t="str">
        <f>IF(tech_base!$T190&gt;P$345,"",P814+P1094+P1374)</f>
        <v/>
      </c>
      <c r="Q534" s="127" t="str">
        <f>IF(tech_base!$T190&gt;Q$345,"",Q814+Q1094+Q1374)</f>
        <v/>
      </c>
      <c r="R534" s="127" t="str">
        <f>IF(tech_base!$T190&gt;R$345,"",R814+R1094+R1374)</f>
        <v/>
      </c>
      <c r="S534" s="127" t="str">
        <f>IF(tech_base!$T190&gt;S$345,"",S814+S1094+S1374)</f>
        <v/>
      </c>
      <c r="T534" s="127" t="str">
        <f>IF(tech_base!$T190&gt;T$345,"",T814+T1094+T1374)</f>
        <v/>
      </c>
      <c r="U534" s="127" t="str">
        <f>IF(tech_base!$T190&gt;U$345,"",U814+U1094+U1374)</f>
        <v/>
      </c>
      <c r="V534" s="127" t="str">
        <f>IF(tech_base!$T190&gt;V$345,"",V814+V1094+V1374)</f>
        <v/>
      </c>
      <c r="W534" s="127" t="str">
        <f>IF(tech_base!$T190&gt;W$345,"",W814+W1094+W1374)</f>
        <v/>
      </c>
      <c r="X534" s="127" t="str">
        <f>IF(tech_base!$T190&gt;X$345,"",X814+X1094+X1374)</f>
        <v/>
      </c>
      <c r="Y534" s="127" t="str">
        <f>IF(tech_base!$T190&gt;Y$345,"",Y814+Y1094+Y1374)</f>
        <v/>
      </c>
      <c r="Z534" s="127" t="str">
        <f>IF(tech_base!$T190&gt;Z$345,"",Z814+Z1094+Z1374)</f>
        <v/>
      </c>
      <c r="AA534" s="127" t="str">
        <f>IF(tech_base!$T190&gt;AA$345,"",AA814+AA1094+AA1374)</f>
        <v/>
      </c>
      <c r="AB534" s="127" t="str">
        <f>IF(tech_base!$T190&gt;AB$345,"",AB814+AB1094+AB1374)</f>
        <v/>
      </c>
      <c r="AC534" s="127" t="str">
        <f>IF(tech_base!$T190&gt;AC$345,"",AC814+AC1094+AC1374)</f>
        <v/>
      </c>
      <c r="AD534" s="127" t="str">
        <f>IF(tech_base!$T190&gt;AD$345,"",AD814+AD1094+AD1374)</f>
        <v/>
      </c>
      <c r="AE534" s="127">
        <f>IF(tech_base!$T190&gt;AE$345,"",AE814+AE1094+AE1374)</f>
        <v>348.42136677149836</v>
      </c>
      <c r="AF534" s="127">
        <f>IF(tech_base!$T190&gt;AF$345,"",AF814+AF1094+AF1374)</f>
        <v>349.44502366976707</v>
      </c>
      <c r="AG534" s="127">
        <f>IF(tech_base!$T190&gt;AG$345,"",AG814+AG1094+AG1374)</f>
        <v>350.61535104939236</v>
      </c>
      <c r="AH534" s="127">
        <f>IF(tech_base!$T190&gt;AH$345,"",AH814+AH1094+AH1374)</f>
        <v>351.9319321630374</v>
      </c>
      <c r="AI534" s="127">
        <f>IF(tech_base!$T190&gt;AI$345,"",AI814+AI1094+AI1374)</f>
        <v>353.40880965332838</v>
      </c>
      <c r="AJ534" s="127">
        <f>IF(tech_base!$T190&gt;AJ$345,"",AJ814+AJ1094+AJ1374)</f>
        <v>355.07154281128459</v>
      </c>
      <c r="AK534" s="127">
        <f>IF(tech_base!$T190&gt;AK$345,"",AK814+AK1094+AK1374)</f>
        <v>356.95922648586048</v>
      </c>
      <c r="AL534" s="127">
        <f>IF(tech_base!$T190&gt;AL$345,"",AL814+AL1094+AL1374)</f>
        <v>359.00342744173304</v>
      </c>
      <c r="AM534" s="127">
        <f>IF(tech_base!$T190&gt;AM$345,"",AM814+AM1094+AM1374)</f>
        <v>361.12006258509098</v>
      </c>
      <c r="AN534" s="127">
        <f>IF(tech_base!$T190&gt;AN$345,"",AN814+AN1094+AN1374)</f>
        <v>363.28136271761832</v>
      </c>
      <c r="AO534" s="127">
        <f>IF(tech_base!$T190&gt;AO$345,"",AO814+AO1094+AO1374)</f>
        <v>363.48356056449688</v>
      </c>
      <c r="AP534" s="127">
        <f>IF(tech_base!$T190&gt;AP$345,"",AP814+AP1094+AP1374)</f>
        <v>364.21091377820511</v>
      </c>
      <c r="AQ534" s="127">
        <f>IF(tech_base!$T190&gt;AQ$345,"",AQ814+AQ1094+AQ1374)</f>
        <v>364.98501085139748</v>
      </c>
      <c r="AR534" s="127">
        <f>IF(tech_base!$T190&gt;AR$345,"",AR814+AR1094+AR1374)</f>
        <v>366.66325039902699</v>
      </c>
      <c r="AS534" s="127">
        <f>IF(tech_base!$T190&gt;AS$345,"",AS814+AS1094+AS1374)</f>
        <v>367.44872495927478</v>
      </c>
      <c r="AT534" s="127">
        <f>IF(tech_base!$T190&gt;AT$345,"",AT814+AT1094+AT1374)</f>
        <v>368.26313049839933</v>
      </c>
      <c r="AU534" s="127">
        <f>IF(tech_base!$T190&gt;AU$345,"",AU814+AU1094+AU1374)</f>
        <v>369.02284776785291</v>
      </c>
      <c r="AV534" s="127">
        <f>IF(tech_base!$T190&gt;AV$345,"",AV814+AV1094+AV1374)</f>
        <v>369.69651003831211</v>
      </c>
      <c r="AW534" s="127">
        <f>IF(tech_base!$T190&gt;AW$345,"",AW814+AW1094+AW1374)</f>
        <v>370.24495362539454</v>
      </c>
      <c r="AX534" s="128">
        <f>IF(tech_base!$T190&gt;AX$345,"",AX814+AX1094+AX1374)</f>
        <v>370.91972595425432</v>
      </c>
    </row>
    <row r="535" spans="1:50" x14ac:dyDescent="0.25">
      <c r="A535" s="356"/>
      <c r="B535" s="358" t="s">
        <v>19</v>
      </c>
      <c r="C535" s="353" t="s">
        <v>6</v>
      </c>
      <c r="D535" s="3" t="s">
        <v>7</v>
      </c>
      <c r="E535" s="77" t="str">
        <f>A519&amp;"/"&amp;B535&amp;"/"&amp;C535&amp;"/"&amp;D535</f>
        <v>Fuel oil fired power plants/Steam turbine/Electricity only/L</v>
      </c>
      <c r="F535" s="77" t="str">
        <f>A519</f>
        <v>Fuel oil fired power plants</v>
      </c>
      <c r="G535" s="77" t="str">
        <f>B535</f>
        <v>Steam turbine</v>
      </c>
      <c r="H535" s="77" t="str">
        <f>C535</f>
        <v>Electricity only</v>
      </c>
      <c r="I535" s="77" t="str">
        <f t="shared" si="359"/>
        <v>L</v>
      </c>
      <c r="J535" s="121">
        <f>IF(tech_base!$T191&gt;J$345,"",J815+J1095+J1375)</f>
        <v>130.07319289256444</v>
      </c>
      <c r="K535" s="121">
        <f>IF(tech_base!$T191&gt;K$345,"",K815+K1095+K1375)</f>
        <v>153.35362078443379</v>
      </c>
      <c r="L535" s="121">
        <f>IF(tech_base!$T191&gt;L$345,"",L815+L1095+L1375)</f>
        <v>160.36431924025686</v>
      </c>
      <c r="M535" s="121">
        <f>IF(tech_base!$T191&gt;M$345,"",M815+M1095+M1375)</f>
        <v>154.27068620646111</v>
      </c>
      <c r="N535" s="121">
        <f>IF(tech_base!$T191&gt;N$345,"",N815+N1095+N1375)</f>
        <v>144.62686082281169</v>
      </c>
      <c r="O535" s="121">
        <f>IF(tech_base!$T191&gt;O$345,"",O815+O1095+O1375)</f>
        <v>112.23408318912425</v>
      </c>
      <c r="P535" s="121">
        <f>IF(tech_base!$T191&gt;P$345,"",P815+P1095+P1375)</f>
        <v>104.58020445541507</v>
      </c>
      <c r="Q535" s="121">
        <f>IF(tech_base!$T191&gt;Q$345,"",Q815+Q1095+Q1375)</f>
        <v>113.89963109293183</v>
      </c>
      <c r="R535" s="121">
        <f>IF(tech_base!$T191&gt;R$345,"",R815+R1095+R1375)</f>
        <v>122.22262835835738</v>
      </c>
      <c r="S535" s="121">
        <f>IF(tech_base!$T191&gt;S$345,"",S815+S1095+S1375)</f>
        <v>129.52415359489228</v>
      </c>
      <c r="T535" s="121">
        <f>IF(tech_base!$T191&gt;T$345,"",T815+T1095+T1375)</f>
        <v>136.56343103084831</v>
      </c>
      <c r="U535" s="121">
        <f>IF(tech_base!$T191&gt;U$345,"",U815+U1095+U1375)</f>
        <v>143.26605394222651</v>
      </c>
      <c r="V535" s="121">
        <f>IF(tech_base!$T191&gt;V$345,"",V815+V1095+V1375)</f>
        <v>147.7695021953968</v>
      </c>
      <c r="W535" s="121">
        <f>IF(tech_base!$T191&gt;W$345,"",W815+W1095+W1375)</f>
        <v>153.27692249175632</v>
      </c>
      <c r="X535" s="121">
        <f>IF(tech_base!$T191&gt;X$345,"",X815+X1095+X1375)</f>
        <v>158.0585516666485</v>
      </c>
      <c r="Y535" s="121">
        <f>IF(tech_base!$T191&gt;Y$345,"",Y815+Y1095+Y1375)</f>
        <v>162.11899119081451</v>
      </c>
      <c r="Z535" s="121">
        <f>IF(tech_base!$T191&gt;Z$345,"",Z815+Z1095+Z1375)</f>
        <v>164.73274960810858</v>
      </c>
      <c r="AA535" s="121">
        <f>IF(tech_base!$T191&gt;AA$345,"",AA815+AA1095+AA1375)</f>
        <v>167.10232010192723</v>
      </c>
      <c r="AB535" s="121">
        <f>IF(tech_base!$T191&gt;AB$345,"",AB815+AB1095+AB1375)</f>
        <v>168.73507390015965</v>
      </c>
      <c r="AC535" s="121">
        <f>IF(tech_base!$T191&gt;AC$345,"",AC815+AC1095+AC1375)</f>
        <v>171.25925551751402</v>
      </c>
      <c r="AD535" s="121">
        <f>IF(tech_base!$T191&gt;AD$345,"",AD815+AD1095+AD1375)</f>
        <v>172.81441111463943</v>
      </c>
      <c r="AE535" s="121">
        <f>IF(tech_base!$T191&gt;AE$345,"",AE815+AE1095+AE1375)</f>
        <v>174.29847815571463</v>
      </c>
      <c r="AF535" s="121">
        <f>IF(tech_base!$T191&gt;AF$345,"",AF815+AF1095+AF1375)</f>
        <v>175.06093404169238</v>
      </c>
      <c r="AG535" s="121">
        <f>IF(tech_base!$T191&gt;AG$345,"",AG815+AG1095+AG1375)</f>
        <v>175.92832075692553</v>
      </c>
      <c r="AH535" s="121">
        <f>IF(tech_base!$T191&gt;AH$345,"",AH815+AH1095+AH1375)</f>
        <v>176.90032024146819</v>
      </c>
      <c r="AI535" s="121">
        <f>IF(tech_base!$T191&gt;AI$345,"",AI815+AI1095+AI1375)</f>
        <v>177.98704025550435</v>
      </c>
      <c r="AJ535" s="121">
        <f>IF(tech_base!$T191&gt;AJ$345,"",AJ815+AJ1095+AJ1375)</f>
        <v>179.20688957231238</v>
      </c>
      <c r="AK535" s="121">
        <f>IF(tech_base!$T191&gt;AK$345,"",AK815+AK1095+AK1375)</f>
        <v>180.58803034626487</v>
      </c>
      <c r="AL535" s="121">
        <f>IF(tech_base!$T191&gt;AL$345,"",AL815+AL1095+AL1375)</f>
        <v>182.08112747236569</v>
      </c>
      <c r="AM535" s="121">
        <f>IF(tech_base!$T191&gt;AM$345,"",AM815+AM1095+AM1375)</f>
        <v>183.62558360639167</v>
      </c>
      <c r="AN535" s="121">
        <f>IF(tech_base!$T191&gt;AN$345,"",AN815+AN1095+AN1375)</f>
        <v>185.2013975333787</v>
      </c>
      <c r="AO535" s="121">
        <f>IF(tech_base!$T191&gt;AO$345,"",AO815+AO1095+AO1375)</f>
        <v>185.36477666084929</v>
      </c>
      <c r="AP535" s="121">
        <f>IF(tech_base!$T191&gt;AP$345,"",AP815+AP1095+AP1375)</f>
        <v>185.90590057038369</v>
      </c>
      <c r="AQ535" s="121">
        <f>IF(tech_base!$T191&gt;AQ$345,"",AQ815+AQ1095+AQ1375)</f>
        <v>186.48004055363526</v>
      </c>
      <c r="AR535" s="121">
        <f>IF(tech_base!$T191&gt;AR$345,"",AR815+AR1095+AR1375)</f>
        <v>187.70490121885669</v>
      </c>
      <c r="AS535" s="121">
        <f>IF(tech_base!$T191&gt;AS$345,"",AS815+AS1095+AS1375)</f>
        <v>188.35086411085825</v>
      </c>
      <c r="AT535" s="121">
        <f>IF(tech_base!$T191&gt;AT$345,"",AT815+AT1095+AT1375)</f>
        <v>188.99373703963704</v>
      </c>
      <c r="AU535" s="121">
        <f>IF(tech_base!$T191&gt;AU$345,"",AU815+AU1095+AU1375)</f>
        <v>189.62268378858715</v>
      </c>
      <c r="AV535" s="121">
        <f>IF(tech_base!$T191&gt;AV$345,"",AV815+AV1095+AV1375)</f>
        <v>190.23044759418454</v>
      </c>
      <c r="AW535" s="121">
        <f>IF(tech_base!$T191&gt;AW$345,"",AW815+AW1095+AW1375)</f>
        <v>190.81155795789618</v>
      </c>
      <c r="AX535" s="122">
        <f>IF(tech_base!$T191&gt;AX$345,"",AX815+AX1095+AX1375)</f>
        <v>191.57872812708757</v>
      </c>
    </row>
    <row r="536" spans="1:50" x14ac:dyDescent="0.25">
      <c r="A536" s="356"/>
      <c r="B536" s="376"/>
      <c r="C536" s="378"/>
      <c r="D536" s="2" t="s">
        <v>8</v>
      </c>
      <c r="E536" s="76" t="str">
        <f>A519&amp;"/"&amp;B535&amp;"/"&amp;C535&amp;"/"&amp;D536</f>
        <v>Fuel oil fired power plants/Steam turbine/Electricity only/M</v>
      </c>
      <c r="F536" s="76" t="str">
        <f>A519</f>
        <v>Fuel oil fired power plants</v>
      </c>
      <c r="G536" s="76" t="str">
        <f>B535</f>
        <v>Steam turbine</v>
      </c>
      <c r="H536" s="76" t="str">
        <f>C535</f>
        <v>Electricity only</v>
      </c>
      <c r="I536" s="76" t="str">
        <f t="shared" si="359"/>
        <v>M</v>
      </c>
      <c r="J536" s="119">
        <f>IF(tech_base!$T192&gt;J$345,"",J816+J1096+J1376)</f>
        <v>138.22166991851677</v>
      </c>
      <c r="K536" s="119">
        <f>IF(tech_base!$T192&gt;K$345,"",K816+K1096+K1376)</f>
        <v>162.72942455651366</v>
      </c>
      <c r="L536" s="119">
        <f>IF(tech_base!$T192&gt;L$345,"",L816+L1096+L1376)</f>
        <v>170.11077752832844</v>
      </c>
      <c r="M536" s="119">
        <f>IF(tech_base!$T192&gt;M$345,"",M816+M1096+M1376)</f>
        <v>163.69779500141701</v>
      </c>
      <c r="N536" s="119">
        <f>IF(tech_base!$T192&gt;N$345,"",N816+N1096+N1376)</f>
        <v>153.5476755747828</v>
      </c>
      <c r="O536" s="119">
        <f>IF(tech_base!$T192&gt;O$345,"",O816+O1096+O1376)</f>
        <v>119.45077095095634</v>
      </c>
      <c r="P536" s="119">
        <f>IF(tech_base!$T192&gt;P$345,"",P816+P1096+P1376)</f>
        <v>111.39534403700527</v>
      </c>
      <c r="Q536" s="119">
        <f>IF(tech_base!$T192&gt;Q$345,"",Q816+Q1096+Q1376)</f>
        <v>121.20691214080635</v>
      </c>
      <c r="R536" s="119">
        <f>IF(tech_base!$T192&gt;R$345,"",R816+R1096+R1376)</f>
        <v>129.96956515543243</v>
      </c>
      <c r="S536" s="119">
        <f>IF(tech_base!$T192&gt;S$345,"",S816+S1096+S1376)</f>
        <v>137.65694046651723</v>
      </c>
      <c r="T536" s="119">
        <f>IF(tech_base!$T192&gt;T$345,"",T816+T1096+T1376)</f>
        <v>145.0682370341124</v>
      </c>
      <c r="U536" s="119">
        <f>IF(tech_base!$T192&gt;U$345,"",U816+U1096+U1376)</f>
        <v>152.12512917149689</v>
      </c>
      <c r="V536" s="119">
        <f>IF(tech_base!$T192&gt;V$345,"",V816+V1096+V1376)</f>
        <v>156.86702701011589</v>
      </c>
      <c r="W536" s="119">
        <f>IF(tech_base!$T192&gt;W$345,"",W816+W1096+W1376)</f>
        <v>162.66573396970009</v>
      </c>
      <c r="X536" s="119">
        <f>IF(tech_base!$T192&gt;X$345,"",X816+X1096+X1376)</f>
        <v>167.70040751007389</v>
      </c>
      <c r="Y536" s="119">
        <f>IF(tech_base!$T192&gt;Y$345,"",Y816+Y1096+Y1376)</f>
        <v>171.97589062995439</v>
      </c>
      <c r="Z536" s="119">
        <f>IF(tech_base!$T192&gt;Z$345,"",Z816+Z1096+Z1376)</f>
        <v>174.72849137378148</v>
      </c>
      <c r="AA536" s="119">
        <f>IF(tech_base!$T192&gt;AA$345,"",AA816+AA1096+AA1376)</f>
        <v>177.22401814525676</v>
      </c>
      <c r="AB536" s="119">
        <f>IF(tech_base!$T192&gt;AB$345,"",AB816+AB1096+AB1376)</f>
        <v>178.9439029648882</v>
      </c>
      <c r="AC536" s="119">
        <f>IF(tech_base!$T192&gt;AC$345,"",AC816+AC1096+AC1376)</f>
        <v>181.60212316492215</v>
      </c>
      <c r="AD536" s="119">
        <f>IF(tech_base!$T192&gt;AD$345,"",AD816+AD1096+AD1376)</f>
        <v>183.24026476825651</v>
      </c>
      <c r="AE536" s="119">
        <f>IF(tech_base!$T192&gt;AE$345,"",AE816+AE1096+AE1376)</f>
        <v>184.80354483278029</v>
      </c>
      <c r="AF536" s="119">
        <f>IF(tech_base!$T192&gt;AF$345,"",AF816+AF1096+AF1376)</f>
        <v>185.60718820993583</v>
      </c>
      <c r="AG536" s="119">
        <f>IF(tech_base!$T192&gt;AG$345,"",AG816+AG1096+AG1376)</f>
        <v>186.52125740218213</v>
      </c>
      <c r="AH536" s="119">
        <f>IF(tech_base!$T192&gt;AH$345,"",AH816+AH1096+AH1376)</f>
        <v>187.54541766180293</v>
      </c>
      <c r="AI536" s="119">
        <f>IF(tech_base!$T192&gt;AI$345,"",AI816+AI1096+AI1376)</f>
        <v>188.69030909032639</v>
      </c>
      <c r="AJ536" s="119">
        <f>IF(tech_base!$T192&gt;AJ$345,"",AJ816+AJ1096+AJ1376)</f>
        <v>189.97530994761888</v>
      </c>
      <c r="AK536" s="119">
        <f>IF(tech_base!$T192&gt;AK$345,"",AK816+AK1096+AK1376)</f>
        <v>191.43006548763543</v>
      </c>
      <c r="AL536" s="119">
        <f>IF(tech_base!$T192&gt;AL$345,"",AL816+AL1096+AL1376)</f>
        <v>193.00264323976114</v>
      </c>
      <c r="AM536" s="119">
        <f>IF(tech_base!$T192&gt;AM$345,"",AM816+AM1096+AM1376)</f>
        <v>194.62925554623024</v>
      </c>
      <c r="AN536" s="119">
        <f>IF(tech_base!$T192&gt;AN$345,"",AN816+AN1096+AN1376)</f>
        <v>196.28884846335242</v>
      </c>
      <c r="AO536" s="119">
        <f>IF(tech_base!$T192&gt;AO$345,"",AO816+AO1096+AO1376)</f>
        <v>196.46160875792526</v>
      </c>
      <c r="AP536" s="119">
        <f>IF(tech_base!$T192&gt;AP$345,"",AP816+AP1096+AP1376)</f>
        <v>197.0319761669617</v>
      </c>
      <c r="AQ536" s="119">
        <f>IF(tech_base!$T192&gt;AQ$345,"",AQ816+AQ1096+AQ1376)</f>
        <v>197.63707124524058</v>
      </c>
      <c r="AR536" s="119">
        <f>IF(tech_base!$T192&gt;AR$345,"",AR816+AR1096+AR1376)</f>
        <v>198.92712361497206</v>
      </c>
      <c r="AS536" s="119">
        <f>IF(tech_base!$T192&gt;AS$345,"",AS816+AS1096+AS1376)</f>
        <v>199.60777137469384</v>
      </c>
      <c r="AT536" s="119">
        <f>IF(tech_base!$T192&gt;AT$345,"",AT816+AT1096+AT1376)</f>
        <v>200.28514137019394</v>
      </c>
      <c r="AU536" s="119">
        <f>IF(tech_base!$T192&gt;AU$345,"",AU816+AU1096+AU1376)</f>
        <v>200.94782743050229</v>
      </c>
      <c r="AV536" s="119">
        <f>IF(tech_base!$T192&gt;AV$345,"",AV816+AV1096+AV1376)</f>
        <v>201.58819132310197</v>
      </c>
      <c r="AW536" s="119">
        <f>IF(tech_base!$T192&gt;AW$345,"",AW816+AW1096+AW1376)</f>
        <v>202.20047514458841</v>
      </c>
      <c r="AX536" s="120">
        <f>IF(tech_base!$T192&gt;AX$345,"",AX816+AX1096+AX1376)</f>
        <v>203.008592937255</v>
      </c>
    </row>
    <row r="537" spans="1:50" x14ac:dyDescent="0.25">
      <c r="A537" s="356"/>
      <c r="B537" s="376"/>
      <c r="C537" s="378"/>
      <c r="D537" s="2" t="s">
        <v>10</v>
      </c>
      <c r="E537" s="76" t="str">
        <f>A519&amp;"/"&amp;B535&amp;"/"&amp;C535&amp;"/"&amp;D537</f>
        <v>Fuel oil fired power plants/Steam turbine/Electricity only/S</v>
      </c>
      <c r="F537" s="76" t="str">
        <f>A519</f>
        <v>Fuel oil fired power plants</v>
      </c>
      <c r="G537" s="76" t="str">
        <f>B535</f>
        <v>Steam turbine</v>
      </c>
      <c r="H537" s="76" t="str">
        <f>C535</f>
        <v>Electricity only</v>
      </c>
      <c r="I537" s="76" t="str">
        <f t="shared" si="359"/>
        <v>S</v>
      </c>
      <c r="J537" s="119">
        <f>IF(tech_base!$T193&gt;J$345,"",J817+J1097+J1377)</f>
        <v>148.09904996199117</v>
      </c>
      <c r="K537" s="119">
        <f>IF(tech_base!$T193&gt;K$345,"",K817+K1097+K1377)</f>
        <v>173.90369075246497</v>
      </c>
      <c r="L537" s="119">
        <f>IF(tech_base!$T193&gt;L$345,"",L817+L1097+L1377)</f>
        <v>181.6777413714351</v>
      </c>
      <c r="M537" s="119">
        <f>IF(tech_base!$T193&gt;M$345,"",M817+M1097+M1377)</f>
        <v>174.92917692140014</v>
      </c>
      <c r="N537" s="119">
        <f>IF(tech_base!$T193&gt;N$345,"",N817+N1097+N1377)</f>
        <v>164.24615069880068</v>
      </c>
      <c r="O537" s="119">
        <f>IF(tech_base!$T193&gt;O$345,"",O817+O1097+O1377)</f>
        <v>128.35206585225643</v>
      </c>
      <c r="P537" s="119">
        <f>IF(tech_base!$T193&gt;P$345,"",P817+P1097+P1377)</f>
        <v>119.87425492435028</v>
      </c>
      <c r="Q537" s="119">
        <f>IF(tech_base!$T193&gt;Q$345,"",Q817+Q1097+Q1377)</f>
        <v>130.20666972548995</v>
      </c>
      <c r="R537" s="119">
        <f>IF(tech_base!$T193&gt;R$345,"",R817+R1097+R1377)</f>
        <v>139.43475351507377</v>
      </c>
      <c r="S537" s="119">
        <f>IF(tech_base!$T193&gt;S$345,"",S817+S1097+S1377)</f>
        <v>147.53074917935641</v>
      </c>
      <c r="T537" s="119">
        <f>IF(tech_base!$T193&gt;T$345,"",T817+T1097+T1377)</f>
        <v>155.3360459472315</v>
      </c>
      <c r="U537" s="119">
        <f>IF(tech_base!$T193&gt;U$345,"",U817+U1097+U1377)</f>
        <v>162.76818069509622</v>
      </c>
      <c r="V537" s="119">
        <f>IF(tech_base!$T193&gt;V$345,"",V817+V1097+V1377)</f>
        <v>167.76305434676624</v>
      </c>
      <c r="W537" s="119">
        <f>IF(tech_base!$T193&gt;W$345,"",W817+W1097+W1377)</f>
        <v>173.87047889422891</v>
      </c>
      <c r="X537" s="119">
        <f>IF(tech_base!$T193&gt;X$345,"",X817+X1097+X1377)</f>
        <v>179.17348080077858</v>
      </c>
      <c r="Y537" s="119">
        <f>IF(tech_base!$T193&gt;Y$345,"",Y817+Y1097+Y1377)</f>
        <v>183.67715724341195</v>
      </c>
      <c r="Z537" s="119">
        <f>IF(tech_base!$T193&gt;Z$345,"",Z817+Z1097+Z1377)</f>
        <v>186.57749672838588</v>
      </c>
      <c r="AA537" s="119">
        <f>IF(tech_base!$T193&gt;AA$345,"",AA817+AA1097+AA1377)</f>
        <v>189.2071334595116</v>
      </c>
      <c r="AB537" s="119">
        <f>IF(tech_base!$T193&gt;AB$345,"",AB817+AB1097+AB1377)</f>
        <v>191.02012135220886</v>
      </c>
      <c r="AC537" s="119">
        <f>IF(tech_base!$T193&gt;AC$345,"",AC817+AC1097+AC1377)</f>
        <v>193.82092448646853</v>
      </c>
      <c r="AD537" s="119">
        <f>IF(tech_base!$T193&gt;AD$345,"",AD817+AD1097+AD1377)</f>
        <v>195.54773613754281</v>
      </c>
      <c r="AE537" s="119">
        <f>IF(tech_base!$T193&gt;AE$345,"",AE817+AE1097+AE1377)</f>
        <v>197.19567465388894</v>
      </c>
      <c r="AF537" s="119">
        <f>IF(tech_base!$T193&gt;AF$345,"",AF817+AF1097+AF1377)</f>
        <v>198.0438127797018</v>
      </c>
      <c r="AG537" s="119">
        <f>IF(tech_base!$T193&gt;AG$345,"",AG817+AG1097+AG1377)</f>
        <v>199.00814693535591</v>
      </c>
      <c r="AH537" s="119">
        <f>IF(tech_base!$T193&gt;AH$345,"",AH817+AH1097+AH1377)</f>
        <v>200.08832481819684</v>
      </c>
      <c r="AI537" s="119">
        <f>IF(tech_base!$T193&gt;AI$345,"",AI817+AI1097+AI1377)</f>
        <v>201.295548519524</v>
      </c>
      <c r="AJ537" s="119">
        <f>IF(tech_base!$T193&gt;AJ$345,"",AJ817+AJ1097+AJ1377)</f>
        <v>202.65021974059968</v>
      </c>
      <c r="AK537" s="119">
        <f>IF(tech_base!$T193&gt;AK$345,"",AK817+AK1097+AK1377)</f>
        <v>204.1835493318593</v>
      </c>
      <c r="AL537" s="119">
        <f>IF(tech_base!$T193&gt;AL$345,"",AL817+AL1097+AL1377)</f>
        <v>205.84086372821713</v>
      </c>
      <c r="AM537" s="119">
        <f>IF(tech_base!$T193&gt;AM$345,"",AM817+AM1097+AM1377)</f>
        <v>207.55500839808937</v>
      </c>
      <c r="AN537" s="119">
        <f>IF(tech_base!$T193&gt;AN$345,"",AN817+AN1097+AN1377)</f>
        <v>209.30381869343563</v>
      </c>
      <c r="AO537" s="119">
        <f>IF(tech_base!$T193&gt;AO$345,"",AO817+AO1097+AO1377)</f>
        <v>209.48724548560523</v>
      </c>
      <c r="AP537" s="119">
        <f>IF(tech_base!$T193&gt;AP$345,"",AP817+AP1097+AP1377)</f>
        <v>210.08921631264184</v>
      </c>
      <c r="AQ537" s="119">
        <f>IF(tech_base!$T193&gt;AQ$345,"",AQ817+AQ1097+AQ1377)</f>
        <v>210.72769496240716</v>
      </c>
      <c r="AR537" s="119">
        <f>IF(tech_base!$T193&gt;AR$345,"",AR817+AR1097+AR1377)</f>
        <v>212.0872402756946</v>
      </c>
      <c r="AS537" s="119">
        <f>IF(tech_base!$T193&gt;AS$345,"",AS817+AS1097+AS1377)</f>
        <v>212.80515714409182</v>
      </c>
      <c r="AT537" s="119">
        <f>IF(tech_base!$T193&gt;AT$345,"",AT817+AT1097+AT1377)</f>
        <v>213.51957336657591</v>
      </c>
      <c r="AU537" s="119">
        <f>IF(tech_base!$T193&gt;AU$345,"",AU817+AU1097+AU1377)</f>
        <v>214.21848181358811</v>
      </c>
      <c r="AV537" s="119">
        <f>IF(tech_base!$T193&gt;AV$345,"",AV817+AV1097+AV1377)</f>
        <v>214.89384224529556</v>
      </c>
      <c r="AW537" s="119">
        <f>IF(tech_base!$T193&gt;AW$345,"",AW817+AW1097+AW1377)</f>
        <v>215.53959404178175</v>
      </c>
      <c r="AX537" s="120">
        <f>IF(tech_base!$T193&gt;AX$345,"",AX817+AX1097+AX1377)</f>
        <v>216.3914738103349</v>
      </c>
    </row>
    <row r="538" spans="1:50" x14ac:dyDescent="0.25">
      <c r="A538" s="356"/>
      <c r="B538" s="376"/>
      <c r="C538" s="379"/>
      <c r="D538" s="2" t="s">
        <v>20</v>
      </c>
      <c r="E538" s="76" t="str">
        <f>A519&amp;"/"&amp;B535&amp;"/"&amp;C535&amp;"/"&amp;D538</f>
        <v>Fuel oil fired power plants/Steam turbine/Electricity only/XS</v>
      </c>
      <c r="F538" s="76" t="str">
        <f>A519</f>
        <v>Fuel oil fired power plants</v>
      </c>
      <c r="G538" s="76" t="str">
        <f>B535</f>
        <v>Steam turbine</v>
      </c>
      <c r="H538" s="76" t="str">
        <f>C535</f>
        <v>Electricity only</v>
      </c>
      <c r="I538" s="76" t="str">
        <f t="shared" si="359"/>
        <v>XS</v>
      </c>
      <c r="J538" s="119">
        <f>IF(tech_base!$T194&gt;J$345,"",J818+J1098+J1378)</f>
        <v>163.73702033027749</v>
      </c>
      <c r="K538" s="119">
        <f>IF(tech_base!$T194&gt;K$345,"",K818+K1098+K1378)</f>
        <v>190.91695336345208</v>
      </c>
      <c r="L538" s="119">
        <f>IF(tech_base!$T194&gt;L$345,"",L818+L1098+L1378)</f>
        <v>199.11166513029605</v>
      </c>
      <c r="M538" s="119">
        <f>IF(tech_base!$T194&gt;M$345,"",M818+M1098+M1378)</f>
        <v>192.01483803019892</v>
      </c>
      <c r="N538" s="119">
        <f>IF(tech_base!$T194&gt;N$345,"",N818+N1098+N1378)</f>
        <v>180.77517014490823</v>
      </c>
      <c r="O538" s="119">
        <f>IF(tech_base!$T194&gt;O$345,"",O818+O1098+O1378)</f>
        <v>142.98963381772265</v>
      </c>
      <c r="P538" s="119">
        <f>IF(tech_base!$T194&gt;P$345,"",P818+P1098+P1378)</f>
        <v>134.07173549045905</v>
      </c>
      <c r="Q538" s="119">
        <f>IF(tech_base!$T194&gt;Q$345,"",Q818+Q1098+Q1378)</f>
        <v>144.95979831184661</v>
      </c>
      <c r="R538" s="119">
        <f>IF(tech_base!$T194&gt;R$345,"",R818+R1098+R1378)</f>
        <v>154.6849450488707</v>
      </c>
      <c r="S538" s="119">
        <f>IF(tech_base!$T194&gt;S$345,"",S818+S1098+S1378)</f>
        <v>163.21794087095498</v>
      </c>
      <c r="T538" s="119">
        <f>IF(tech_base!$T194&gt;T$345,"",T818+T1098+T1378)</f>
        <v>171.44471201467763</v>
      </c>
      <c r="U538" s="119">
        <f>IF(tech_base!$T194&gt;U$345,"",U818+U1098+U1378)</f>
        <v>179.27842259525858</v>
      </c>
      <c r="V538" s="119">
        <f>IF(tech_base!$T194&gt;V$345,"",V818+V1098+V1378)</f>
        <v>184.54569009057798</v>
      </c>
      <c r="W538" s="119">
        <f>IF(tech_base!$T194&gt;W$345,"",W818+W1098+W1378)</f>
        <v>190.98425401086615</v>
      </c>
      <c r="X538" s="119">
        <f>IF(tech_base!$T194&gt;X$345,"",X818+X1098+X1378)</f>
        <v>196.5756477024367</v>
      </c>
      <c r="Y538" s="119">
        <f>IF(tech_base!$T194&gt;Y$345,"",Y818+Y1098+Y1378)</f>
        <v>201.32523365583464</v>
      </c>
      <c r="Z538" s="119">
        <f>IF(tech_base!$T194&gt;Z$345,"",Z818+Z1098+Z1378)</f>
        <v>204.38643066593545</v>
      </c>
      <c r="AA538" s="119">
        <f>IF(tech_base!$T194&gt;AA$345,"",AA818+AA1098+AA1378)</f>
        <v>207.16242161622296</v>
      </c>
      <c r="AB538" s="119">
        <f>IF(tech_base!$T194&gt;AB$345,"",AB818+AB1098+AB1378)</f>
        <v>209.07835434049554</v>
      </c>
      <c r="AC538" s="119">
        <f>IF(tech_base!$T194&gt;AC$345,"",AC818+AC1098+AC1378)</f>
        <v>212.03422226445235</v>
      </c>
      <c r="AD538" s="119">
        <f>IF(tech_base!$T194&gt;AD$345,"",AD818+AD1098+AD1378)</f>
        <v>213.85906137244615</v>
      </c>
      <c r="AE538" s="119">
        <f>IF(tech_base!$T194&gt;AE$345,"",AE818+AE1098+AE1378)</f>
        <v>215.600672251117</v>
      </c>
      <c r="AF538" s="119">
        <f>IF(tech_base!$T194&gt;AF$345,"",AF818+AF1098+AF1378)</f>
        <v>216.49995991016388</v>
      </c>
      <c r="AG538" s="119">
        <f>IF(tech_base!$T194&gt;AG$345,"",AG818+AG1098+AG1378)</f>
        <v>217.52141513820362</v>
      </c>
      <c r="AH538" s="119">
        <f>IF(tech_base!$T194&gt;AH$345,"",AH818+AH1098+AH1378)</f>
        <v>218.66466733670578</v>
      </c>
      <c r="AI538" s="119">
        <f>IF(tech_base!$T194&gt;AI$345,"",AI818+AI1098+AI1378)</f>
        <v>219.94151243463662</v>
      </c>
      <c r="AJ538" s="119">
        <f>IF(tech_base!$T194&gt;AJ$345,"",AJ818+AJ1098+AJ1378)</f>
        <v>221.37343340916706</v>
      </c>
      <c r="AK538" s="119">
        <f>IF(tech_base!$T194&gt;AK$345,"",AK818+AK1098+AK1378)</f>
        <v>222.9932950075121</v>
      </c>
      <c r="AL538" s="119">
        <f>IF(tech_base!$T194&gt;AL$345,"",AL818+AL1098+AL1378)</f>
        <v>224.74353102528943</v>
      </c>
      <c r="AM538" s="119">
        <f>IF(tech_base!$T194&gt;AM$345,"",AM818+AM1098+AM1378)</f>
        <v>226.55343383440095</v>
      </c>
      <c r="AN538" s="119">
        <f>IF(tech_base!$T194&gt;AN$345,"",AN818+AN1098+AN1378)</f>
        <v>228.39966781248904</v>
      </c>
      <c r="AO538" s="119">
        <f>IF(tech_base!$T194&gt;AO$345,"",AO818+AO1098+AO1378)</f>
        <v>228.5974771224968</v>
      </c>
      <c r="AP538" s="119">
        <f>IF(tech_base!$T194&gt;AP$345,"",AP818+AP1098+AP1378)</f>
        <v>229.23582485677071</v>
      </c>
      <c r="AQ538" s="119">
        <f>IF(tech_base!$T194&gt;AQ$345,"",AQ818+AQ1098+AQ1378)</f>
        <v>229.91245226472506</v>
      </c>
      <c r="AR538" s="119">
        <f>IF(tech_base!$T194&gt;AR$345,"",AR818+AR1098+AR1378)</f>
        <v>231.34816324168617</v>
      </c>
      <c r="AS538" s="119">
        <f>IF(tech_base!$T194&gt;AS$345,"",AS818+AS1098+AS1378)</f>
        <v>232.10812265000769</v>
      </c>
      <c r="AT538" s="119">
        <f>IF(tech_base!$T194&gt;AT$345,"",AT818+AT1098+AT1378)</f>
        <v>232.86424547400577</v>
      </c>
      <c r="AU538" s="119">
        <f>IF(tech_base!$T194&gt;AU$345,"",AU818+AU1098+AU1378)</f>
        <v>233.60389258369176</v>
      </c>
      <c r="AV538" s="119">
        <f>IF(tech_base!$T194&gt;AV$345,"",AV818+AV1098+AV1378)</f>
        <v>234.31860183541536</v>
      </c>
      <c r="AW538" s="119">
        <f>IF(tech_base!$T194&gt;AW$345,"",AW818+AW1098+AW1378)</f>
        <v>235.00199557344237</v>
      </c>
      <c r="AX538" s="120">
        <f>IF(tech_base!$T194&gt;AX$345,"",AX818+AX1098+AX1378)</f>
        <v>235.90229458619345</v>
      </c>
    </row>
    <row r="539" spans="1:50" x14ac:dyDescent="0.25">
      <c r="A539" s="356"/>
      <c r="B539" s="376"/>
      <c r="C539" s="361" t="s">
        <v>14</v>
      </c>
      <c r="D539" s="58" t="s">
        <v>7</v>
      </c>
      <c r="E539" s="78" t="str">
        <f>A519&amp;"/"&amp;B535&amp;"/"&amp;C539&amp;"/"&amp;D539</f>
        <v>Fuel oil fired power plants/Steam turbine/CHP/L</v>
      </c>
      <c r="F539" s="78" t="str">
        <f>A519</f>
        <v>Fuel oil fired power plants</v>
      </c>
      <c r="G539" s="78" t="str">
        <f>B535</f>
        <v>Steam turbine</v>
      </c>
      <c r="H539" s="78" t="str">
        <f>C539</f>
        <v>CHP</v>
      </c>
      <c r="I539" s="78" t="str">
        <f t="shared" ref="I539:I602" si="360">D539</f>
        <v>L</v>
      </c>
      <c r="J539" s="123">
        <f>IF(tech_base!$T195&gt;J$345,"",J819+J1099+J1379)</f>
        <v>155.41616947122515</v>
      </c>
      <c r="K539" s="123">
        <f>IF(tech_base!$T195&gt;K$345,"",K819+K1099+K1379)</f>
        <v>181.18544445722867</v>
      </c>
      <c r="L539" s="123">
        <f>IF(tech_base!$T195&gt;L$345,"",L819+L1099+L1379)</f>
        <v>188.96743465628131</v>
      </c>
      <c r="M539" s="123">
        <f>IF(tech_base!$T195&gt;M$345,"",M819+M1099+M1379)</f>
        <v>182.26330696321497</v>
      </c>
      <c r="N539" s="123">
        <f>IF(tech_base!$T195&gt;N$345,"",N819+N1099+N1379)</f>
        <v>171.63593083593844</v>
      </c>
      <c r="O539" s="123">
        <f>IF(tech_base!$T195&gt;O$345,"",O819+O1099+O1379)</f>
        <v>135.8643361841817</v>
      </c>
      <c r="P539" s="123">
        <f>IF(tech_base!$T195&gt;P$345,"",P819+P1099+P1379)</f>
        <v>127.44043808084314</v>
      </c>
      <c r="Q539" s="123">
        <f>IF(tech_base!$T195&gt;Q$345,"",Q819+Q1099+Q1379)</f>
        <v>137.77765000003103</v>
      </c>
      <c r="R539" s="123">
        <f>IF(tech_base!$T195&gt;R$345,"",R819+R1099+R1379)</f>
        <v>147.01308909587823</v>
      </c>
      <c r="S539" s="123">
        <f>IF(tech_base!$T195&gt;S$345,"",S819+S1099+S1379)</f>
        <v>155.11914049269825</v>
      </c>
      <c r="T539" s="123">
        <f>IF(tech_base!$T195&gt;T$345,"",T819+T1099+T1379)</f>
        <v>162.93489860583315</v>
      </c>
      <c r="U539" s="123">
        <f>IF(tech_base!$T195&gt;U$345,"",U819+U1099+U1379)</f>
        <v>170.37810073720308</v>
      </c>
      <c r="V539" s="123">
        <f>IF(tech_base!$T195&gt;V$345,"",V819+V1099+V1379)</f>
        <v>175.39064657026117</v>
      </c>
      <c r="W539" s="123">
        <f>IF(tech_base!$T195&gt;W$345,"",W819+W1099+W1379)</f>
        <v>181.51211088196081</v>
      </c>
      <c r="X539" s="123">
        <f>IF(tech_base!$T195&gt;X$345,"",X819+X1099+X1379)</f>
        <v>186.83106928808527</v>
      </c>
      <c r="Y539" s="123">
        <f>IF(tech_base!$T195&gt;Y$345,"",Y819+Y1099+Y1379)</f>
        <v>191.35266063614361</v>
      </c>
      <c r="Z539" s="123">
        <f>IF(tech_base!$T195&gt;Z$345,"",Z819+Z1099+Z1379)</f>
        <v>194.27543781590427</v>
      </c>
      <c r="AA539" s="123">
        <f>IF(tech_base!$T195&gt;AA$345,"",AA819+AA1099+AA1379)</f>
        <v>196.92800381074034</v>
      </c>
      <c r="AB539" s="123">
        <f>IF(tech_base!$T195&gt;AB$345,"",AB819+AB1099+AB1379)</f>
        <v>198.76615554010786</v>
      </c>
      <c r="AC539" s="123">
        <f>IF(tech_base!$T195&gt;AC$345,"",AC819+AC1099+AC1379)</f>
        <v>201.58854140725632</v>
      </c>
      <c r="AD539" s="123">
        <f>IF(tech_base!$T195&gt;AD$345,"",AD819+AD1099+AD1379)</f>
        <v>203.33999162824261</v>
      </c>
      <c r="AE539" s="123">
        <f>IF(tech_base!$T195&gt;AE$345,"",AE819+AE1099+AE1379)</f>
        <v>205.01239470404471</v>
      </c>
      <c r="AF539" s="123">
        <f>IF(tech_base!$T195&gt;AF$345,"",AF819+AF1099+AF1379)</f>
        <v>205.8872529645858</v>
      </c>
      <c r="AG539" s="123">
        <f>IF(tech_base!$T195&gt;AG$345,"",AG819+AG1099+AG1379)</f>
        <v>206.8774726110376</v>
      </c>
      <c r="AH539" s="123">
        <f>IF(tech_base!$T195&gt;AH$345,"",AH819+AH1099+AH1379)</f>
        <v>207.98264999998</v>
      </c>
      <c r="AI539" s="123">
        <f>IF(tech_base!$T195&gt;AI$345,"",AI819+AI1099+AI1379)</f>
        <v>209.21389827216925</v>
      </c>
      <c r="AJ539" s="123">
        <f>IF(tech_base!$T195&gt;AJ$345,"",AJ819+AJ1099+AJ1379)</f>
        <v>210.59149846885717</v>
      </c>
      <c r="AK539" s="123">
        <f>IF(tech_base!$T195&gt;AK$345,"",AK819+AK1099+AK1379)</f>
        <v>212.14650125549082</v>
      </c>
      <c r="AL539" s="123">
        <f>IF(tech_base!$T195&gt;AL$345,"",AL819+AL1099+AL1379)</f>
        <v>213.82438799927701</v>
      </c>
      <c r="AM539" s="123">
        <f>IF(tech_base!$T195&gt;AM$345,"",AM819+AM1099+AM1379)</f>
        <v>215.55821927990795</v>
      </c>
      <c r="AN539" s="123">
        <f>IF(tech_base!$T195&gt;AN$345,"",AN819+AN1099+AN1379)</f>
        <v>217.32589083795153</v>
      </c>
      <c r="AO539" s="123">
        <f>IF(tech_base!$T195&gt;AO$345,"",AO819+AO1099+AO1379)</f>
        <v>217.53344876746789</v>
      </c>
      <c r="AP539" s="123">
        <f>IF(tech_base!$T195&gt;AP$345,"",AP819+AP1099+AP1379)</f>
        <v>218.15734369873462</v>
      </c>
      <c r="AQ539" s="123">
        <f>IF(tech_base!$T195&gt;AQ$345,"",AQ819+AQ1099+AQ1379)</f>
        <v>218.81696754980311</v>
      </c>
      <c r="AR539" s="123">
        <f>IF(tech_base!$T195&gt;AR$345,"",AR819+AR1099+AR1379)</f>
        <v>220.194168601006</v>
      </c>
      <c r="AS539" s="123">
        <f>IF(tech_base!$T195&gt;AS$345,"",AS819+AS1099+AS1379)</f>
        <v>220.93158607949826</v>
      </c>
      <c r="AT539" s="123">
        <f>IF(tech_base!$T195&gt;AT$345,"",AT819+AT1099+AT1379)</f>
        <v>221.66485498429643</v>
      </c>
      <c r="AU539" s="123">
        <f>IF(tech_base!$T195&gt;AU$345,"",AU819+AU1099+AU1379)</f>
        <v>222.38201604250997</v>
      </c>
      <c r="AV539" s="123">
        <f>IF(tech_base!$T195&gt;AV$345,"",AV819+AV1099+AV1379)</f>
        <v>223.07506427025737</v>
      </c>
      <c r="AW539" s="123">
        <f>IF(tech_base!$T195&gt;AW$345,"",AW819+AW1099+AW1379)</f>
        <v>223.73796895294822</v>
      </c>
      <c r="AX539" s="124">
        <f>IF(tech_base!$T195&gt;AX$345,"",AX819+AX1099+AX1379)</f>
        <v>224.605493995529</v>
      </c>
    </row>
    <row r="540" spans="1:50" x14ac:dyDescent="0.25">
      <c r="A540" s="356"/>
      <c r="B540" s="376"/>
      <c r="C540" s="378"/>
      <c r="D540" s="2" t="s">
        <v>8</v>
      </c>
      <c r="E540" s="76" t="str">
        <f>A519&amp;"/"&amp;B535&amp;"/"&amp;C539&amp;"/"&amp;D540</f>
        <v>Fuel oil fired power plants/Steam turbine/CHP/M</v>
      </c>
      <c r="F540" s="76" t="str">
        <f>A519</f>
        <v>Fuel oil fired power plants</v>
      </c>
      <c r="G540" s="76" t="str">
        <f>B535</f>
        <v>Steam turbine</v>
      </c>
      <c r="H540" s="76" t="str">
        <f>C539</f>
        <v>CHP</v>
      </c>
      <c r="I540" s="76" t="str">
        <f t="shared" si="360"/>
        <v>M</v>
      </c>
      <c r="J540" s="119">
        <f>IF(tech_base!$T196&gt;J$345,"",J820+J1100+J1380)</f>
        <v>164.11354860017076</v>
      </c>
      <c r="K540" s="119">
        <f>IF(tech_base!$T196&gt;K$345,"",K820+K1100+K1380)</f>
        <v>191.2476378604357</v>
      </c>
      <c r="L540" s="119">
        <f>IF(tech_base!$T196&gt;L$345,"",L820+L1100+L1380)</f>
        <v>199.44229482207726</v>
      </c>
      <c r="M540" s="119">
        <f>IF(tech_base!$T196&gt;M$345,"",M820+M1100+M1380)</f>
        <v>192.38401862369798</v>
      </c>
      <c r="N540" s="119">
        <f>IF(tech_base!$T196&gt;N$345,"",N820+N1100+N1380)</f>
        <v>181.19482005983502</v>
      </c>
      <c r="O540" s="119">
        <f>IF(tech_base!$T196&gt;O$345,"",O820+O1100+O1380)</f>
        <v>143.53040236648448</v>
      </c>
      <c r="P540" s="119">
        <f>IF(tech_base!$T196&gt;P$345,"",P820+P1100+P1380)</f>
        <v>134.66132338539703</v>
      </c>
      <c r="Q540" s="119">
        <f>IF(tech_base!$T196&gt;Q$345,"",Q820+Q1100+Q1380)</f>
        <v>145.54646721966753</v>
      </c>
      <c r="R540" s="119">
        <f>IF(tech_base!$T196&gt;R$345,"",R820+R1100+R1380)</f>
        <v>155.27151430128913</v>
      </c>
      <c r="S540" s="119">
        <f>IF(tech_base!$T196&gt;S$345,"",S820+S1100+S1380)</f>
        <v>163.80738700096984</v>
      </c>
      <c r="T540" s="119">
        <f>IF(tech_base!$T196&gt;T$345,"",T820+T1100+T1380)</f>
        <v>172.03759599541715</v>
      </c>
      <c r="U540" s="119">
        <f>IF(tech_base!$T196&gt;U$345,"",U820+U1100+U1380)</f>
        <v>179.87552310928743</v>
      </c>
      <c r="V540" s="119">
        <f>IF(tech_base!$T196&gt;V$345,"",V820+V1100+V1380)</f>
        <v>185.15412220559347</v>
      </c>
      <c r="W540" s="119">
        <f>IF(tech_base!$T196&gt;W$345,"",W820+W1100+W1380)</f>
        <v>191.60033352323282</v>
      </c>
      <c r="X540" s="119">
        <f>IF(tech_base!$T196&gt;X$345,"",X820+X1100+X1380)</f>
        <v>197.20155117167883</v>
      </c>
      <c r="Y540" s="119">
        <f>IF(tech_base!$T196&gt;Y$345,"",Y820+Y1100+Y1380)</f>
        <v>201.96318523040256</v>
      </c>
      <c r="Z540" s="119">
        <f>IF(tech_base!$T196&gt;Z$345,"",Z820+Z1100+Z1380)</f>
        <v>205.04136347761033</v>
      </c>
      <c r="AA540" s="119">
        <f>IF(tech_base!$T196&gt;AA$345,"",AA820+AA1100+AA1380)</f>
        <v>207.83501739177353</v>
      </c>
      <c r="AB540" s="119">
        <f>IF(tech_base!$T196&gt;AB$345,"",AB820+AB1100+AB1380)</f>
        <v>209.77113600734032</v>
      </c>
      <c r="AC540" s="119">
        <f>IF(tech_base!$T196&gt;AC$345,"",AC820+AC1100+AC1380)</f>
        <v>212.7435780306655</v>
      </c>
      <c r="AD540" s="119">
        <f>IF(tech_base!$T196&gt;AD$345,"",AD820+AD1100+AD1380)</f>
        <v>214.58838332175299</v>
      </c>
      <c r="AE540" s="119">
        <f>IF(tech_base!$T196&gt;AE$345,"",AE820+AE1100+AE1380)</f>
        <v>216.34994519128477</v>
      </c>
      <c r="AF540" s="119">
        <f>IF(tech_base!$T196&gt;AF$345,"",AF820+AF1100+AF1380)</f>
        <v>217.27173205119152</v>
      </c>
      <c r="AG540" s="119">
        <f>IF(tech_base!$T196&gt;AG$345,"",AG820+AG1100+AG1380)</f>
        <v>218.31497410952338</v>
      </c>
      <c r="AH540" s="119">
        <f>IF(tech_base!$T196&gt;AH$345,"",AH820+AH1100+AH1380)</f>
        <v>219.47924599777639</v>
      </c>
      <c r="AI540" s="119">
        <f>IF(tech_base!$T196&gt;AI$345,"",AI820+AI1100+AI1380)</f>
        <v>220.77624881891848</v>
      </c>
      <c r="AJ540" s="119">
        <f>IF(tech_base!$T196&gt;AJ$345,"",AJ820+AJ1100+AJ1380)</f>
        <v>222.22733692528789</v>
      </c>
      <c r="AK540" s="119">
        <f>IF(tech_base!$T196&gt;AK$345,"",AK820+AK1100+AK1380)</f>
        <v>223.86520442780781</v>
      </c>
      <c r="AL540" s="119">
        <f>IF(tech_base!$T196&gt;AL$345,"",AL820+AL1100+AL1380)</f>
        <v>225.63244660012325</v>
      </c>
      <c r="AM540" s="119">
        <f>IF(tech_base!$T196&gt;AM$345,"",AM820+AM1100+AM1380)</f>
        <v>227.4585804820685</v>
      </c>
      <c r="AN540" s="119">
        <f>IF(tech_base!$T196&gt;AN$345,"",AN820+AN1100+AN1380)</f>
        <v>229.32033165259958</v>
      </c>
      <c r="AO540" s="119">
        <f>IF(tech_base!$T196&gt;AO$345,"",AO820+AO1100+AO1380)</f>
        <v>229.53937069548718</v>
      </c>
      <c r="AP540" s="119">
        <f>IF(tech_base!$T196&gt;AP$345,"",AP820+AP1100+AP1380)</f>
        <v>230.19677106109455</v>
      </c>
      <c r="AQ540" s="119">
        <f>IF(tech_base!$T196&gt;AQ$345,"",AQ820+AQ1100+AQ1380)</f>
        <v>230.89177732830808</v>
      </c>
      <c r="AR540" s="119">
        <f>IF(tech_base!$T196&gt;AR$345,"",AR820+AR1100+AR1380)</f>
        <v>232.34233128048947</v>
      </c>
      <c r="AS540" s="119">
        <f>IF(tech_base!$T196&gt;AS$345,"",AS820+AS1100+AS1380)</f>
        <v>233.11922076014054</v>
      </c>
      <c r="AT540" s="119">
        <f>IF(tech_base!$T196&gt;AT$345,"",AT820+AT1100+AT1380)</f>
        <v>233.89172804331639</v>
      </c>
      <c r="AU540" s="119">
        <f>IF(tech_base!$T196&gt;AU$345,"",AU820+AU1100+AU1380)</f>
        <v>234.64726095233374</v>
      </c>
      <c r="AV540" s="119">
        <f>IF(tech_base!$T196&gt;AV$345,"",AV820+AV1100+AV1380)</f>
        <v>235.37739094177641</v>
      </c>
      <c r="AW540" s="119">
        <f>IF(tech_base!$T196&gt;AW$345,"",AW820+AW1100+AW1380)</f>
        <v>236.07576826471188</v>
      </c>
      <c r="AX540" s="120">
        <f>IF(tech_base!$T196&gt;AX$345,"",AX820+AX1100+AX1380)</f>
        <v>236.98958420421263</v>
      </c>
    </row>
    <row r="541" spans="1:50" x14ac:dyDescent="0.25">
      <c r="A541" s="356"/>
      <c r="B541" s="376"/>
      <c r="C541" s="378"/>
      <c r="D541" s="2" t="s">
        <v>10</v>
      </c>
      <c r="E541" s="76" t="str">
        <f>A519&amp;"/"&amp;B535&amp;"/"&amp;C539&amp;"/"&amp;D541</f>
        <v>Fuel oil fired power plants/Steam turbine/CHP/S</v>
      </c>
      <c r="F541" s="76" t="str">
        <f>A519</f>
        <v>Fuel oil fired power plants</v>
      </c>
      <c r="G541" s="76" t="str">
        <f>B535</f>
        <v>Steam turbine</v>
      </c>
      <c r="H541" s="76" t="str">
        <f>C539</f>
        <v>CHP</v>
      </c>
      <c r="I541" s="76" t="str">
        <f t="shared" si="360"/>
        <v>S</v>
      </c>
      <c r="J541" s="119">
        <f>IF(tech_base!$T197&gt;J$345,"",J821+J1101+J1381)</f>
        <v>186.49720108654873</v>
      </c>
      <c r="K541" s="119">
        <f>IF(tech_base!$T197&gt;K$345,"",K821+K1101+K1381)</f>
        <v>215.09293242043691</v>
      </c>
      <c r="L541" s="119">
        <f>IF(tech_base!$T197&gt;L$345,"",L821+L1101+L1381)</f>
        <v>223.74384390187655</v>
      </c>
      <c r="M541" s="119">
        <f>IF(tech_base!$T197&gt;M$345,"",M821+M1101+M1381)</f>
        <v>216.3321244488628</v>
      </c>
      <c r="N541" s="119">
        <f>IF(tech_base!$T197&gt;N$345,"",N821+N1101+N1381)</f>
        <v>204.57022934911015</v>
      </c>
      <c r="O541" s="119">
        <f>IF(tech_base!$T197&gt;O$345,"",O821+O1101+O1381)</f>
        <v>164.92756298291681</v>
      </c>
      <c r="P541" s="119">
        <f>IF(tech_base!$T197&gt;P$345,"",P821+P1101+P1381)</f>
        <v>155.60899607455704</v>
      </c>
      <c r="Q541" s="119">
        <f>IF(tech_base!$T197&gt;Q$345,"",Q821+Q1101+Q1381)</f>
        <v>167.09338651709953</v>
      </c>
      <c r="R541" s="119">
        <f>IF(tech_base!$T197&gt;R$345,"",R821+R1101+R1381)</f>
        <v>177.35603441922839</v>
      </c>
      <c r="S541" s="119">
        <f>IF(tech_base!$T197&gt;S$345,"",S821+S1101+S1381)</f>
        <v>186.36629026468799</v>
      </c>
      <c r="T541" s="119">
        <f>IF(tech_base!$T197&gt;T$345,"",T821+T1101+T1381)</f>
        <v>195.05454316523199</v>
      </c>
      <c r="U541" s="119">
        <f>IF(tech_base!$T197&gt;U$345,"",U821+U1101+U1381)</f>
        <v>203.32954943434243</v>
      </c>
      <c r="V541" s="119">
        <f>IF(tech_base!$T197&gt;V$345,"",V821+V1101+V1381)</f>
        <v>208.90918726521232</v>
      </c>
      <c r="W541" s="119">
        <f>IF(tech_base!$T197&gt;W$345,"",W821+W1101+W1381)</f>
        <v>215.71823686629125</v>
      </c>
      <c r="X541" s="119">
        <f>IF(tech_base!$T197&gt;X$345,"",X821+X1101+X1381)</f>
        <v>221.63721795477579</v>
      </c>
      <c r="Y541" s="119">
        <f>IF(tech_base!$T197&gt;Y$345,"",Y821+Y1101+Y1381)</f>
        <v>226.67180483810188</v>
      </c>
      <c r="Z541" s="119">
        <f>IF(tech_base!$T197&gt;Z$345,"",Z821+Z1101+Z1381)</f>
        <v>229.93330191635289</v>
      </c>
      <c r="AA541" s="119">
        <f>IF(tech_base!$T197&gt;AA$345,"",AA821+AA1101+AA1381)</f>
        <v>232.89489016256618</v>
      </c>
      <c r="AB541" s="119">
        <f>IF(tech_base!$T197&gt;AB$345,"",AB821+AB1101+AB1381)</f>
        <v>234.95311804033679</v>
      </c>
      <c r="AC541" s="119">
        <f>IF(tech_base!$T197&gt;AC$345,"",AC821+AC1101+AC1381)</f>
        <v>238.10237244246605</v>
      </c>
      <c r="AD541" s="119">
        <f>IF(tech_base!$T197&gt;AD$345,"",AD821+AD1101+AD1381)</f>
        <v>240.0637912039233</v>
      </c>
      <c r="AE541" s="119">
        <f>IF(tech_base!$T197&gt;AE$345,"",AE821+AE1101+AE1381)</f>
        <v>241.93720017541369</v>
      </c>
      <c r="AF541" s="119">
        <f>IF(tech_base!$T197&gt;AF$345,"",AF821+AF1101+AF1381)</f>
        <v>242.92588977169382</v>
      </c>
      <c r="AG541" s="119">
        <f>IF(tech_base!$T197&gt;AG$345,"",AG821+AG1101+AG1381)</f>
        <v>244.04211051912733</v>
      </c>
      <c r="AH541" s="119">
        <f>IF(tech_base!$T197&gt;AH$345,"",AH821+AH1101+AH1381)</f>
        <v>245.28540405364322</v>
      </c>
      <c r="AI541" s="119">
        <f>IF(tech_base!$T197&gt;AI$345,"",AI821+AI1101+AI1381)</f>
        <v>246.66808372971229</v>
      </c>
      <c r="AJ541" s="119">
        <f>IF(tech_base!$T197&gt;AJ$345,"",AJ821+AJ1101+AJ1381)</f>
        <v>248.21263006548136</v>
      </c>
      <c r="AK541" s="119">
        <f>IF(tech_base!$T197&gt;AK$345,"",AK821+AK1101+AK1381)</f>
        <v>249.95346675337095</v>
      </c>
      <c r="AL541" s="119">
        <f>IF(tech_base!$T197&gt;AL$345,"",AL821+AL1101+AL1381)</f>
        <v>251.83013659455315</v>
      </c>
      <c r="AM541" s="119">
        <f>IF(tech_base!$T197&gt;AM$345,"",AM821+AM1101+AM1381)</f>
        <v>253.76841111540614</v>
      </c>
      <c r="AN541" s="119">
        <f>IF(tech_base!$T197&gt;AN$345,"",AN821+AN1101+AN1381)</f>
        <v>255.74377794057509</v>
      </c>
      <c r="AO541" s="119">
        <f>IF(tech_base!$T197&gt;AO$345,"",AO821+AO1101+AO1381)</f>
        <v>255.98880316942746</v>
      </c>
      <c r="AP541" s="119">
        <f>IF(tech_base!$T197&gt;AP$345,"",AP821+AP1101+AP1381)</f>
        <v>256.69504547393973</v>
      </c>
      <c r="AQ541" s="119">
        <f>IF(tech_base!$T197&gt;AQ$345,"",AQ821+AQ1101+AQ1381)</f>
        <v>257.44047415350883</v>
      </c>
      <c r="AR541" s="119">
        <f>IF(tech_base!$T197&gt;AR$345,"",AR821+AR1101+AR1381)</f>
        <v>258.98114888883492</v>
      </c>
      <c r="AS541" s="119">
        <f>IF(tech_base!$T197&gt;AS$345,"",AS821+AS1101+AS1381)</f>
        <v>259.81198284295641</v>
      </c>
      <c r="AT541" s="119">
        <f>IF(tech_base!$T197&gt;AT$345,"",AT821+AT1101+AT1381)</f>
        <v>260.63779458018973</v>
      </c>
      <c r="AU541" s="119">
        <f>IF(tech_base!$T197&gt;AU$345,"",AU821+AU1101+AU1381)</f>
        <v>261.44532792284718</v>
      </c>
      <c r="AV541" s="119">
        <f>IF(tech_base!$T197&gt;AV$345,"",AV821+AV1101+AV1381)</f>
        <v>262.22571207678152</v>
      </c>
      <c r="AW541" s="119">
        <f>IF(tech_base!$T197&gt;AW$345,"",AW821+AW1101+AW1381)</f>
        <v>262.97226604541953</v>
      </c>
      <c r="AX541" s="120">
        <f>IF(tech_base!$T197&gt;AX$345,"",AX821+AX1101+AX1381)</f>
        <v>263.94531105234</v>
      </c>
    </row>
    <row r="542" spans="1:50" x14ac:dyDescent="0.25">
      <c r="A542" s="356"/>
      <c r="B542" s="376"/>
      <c r="C542" s="379"/>
      <c r="D542" s="59" t="s">
        <v>20</v>
      </c>
      <c r="E542" s="79" t="str">
        <f>A519&amp;"/"&amp;B535&amp;"/"&amp;C539&amp;"/"&amp;D542</f>
        <v>Fuel oil fired power plants/Steam turbine/CHP/XS</v>
      </c>
      <c r="F542" s="79" t="str">
        <f>A519</f>
        <v>Fuel oil fired power plants</v>
      </c>
      <c r="G542" s="79" t="str">
        <f>B535</f>
        <v>Steam turbine</v>
      </c>
      <c r="H542" s="79" t="str">
        <f>C539</f>
        <v>CHP</v>
      </c>
      <c r="I542" s="79" t="str">
        <f t="shared" si="360"/>
        <v>XS</v>
      </c>
      <c r="J542" s="125">
        <f>IF(tech_base!$T198&gt;J$345,"",J822+J1102+J1382)</f>
        <v>191.36519582737043</v>
      </c>
      <c r="K542" s="125">
        <f>IF(tech_base!$T198&gt;K$345,"",K822+K1102+K1382)</f>
        <v>221.47598709380026</v>
      </c>
      <c r="L542" s="125">
        <f>IF(tech_base!$T198&gt;L$345,"",L822+L1102+L1382)</f>
        <v>230.57975220135904</v>
      </c>
      <c r="M542" s="125">
        <f>IF(tech_base!$T198&gt;M$345,"",M822+M1102+M1382)</f>
        <v>222.76543687657639</v>
      </c>
      <c r="N542" s="125">
        <f>IF(tech_base!$T198&gt;N$345,"",N822+N1102+N1382)</f>
        <v>210.36925488226456</v>
      </c>
      <c r="O542" s="125">
        <f>IF(tech_base!$T198&gt;O$345,"",O822+O1102+O1382)</f>
        <v>168.6074973158338</v>
      </c>
      <c r="P542" s="125">
        <f>IF(tech_base!$T198&gt;P$345,"",P822+P1102+P1382)</f>
        <v>158.78475121380143</v>
      </c>
      <c r="Q542" s="125">
        <f>IF(tech_base!$T198&gt;Q$345,"",Q822+Q1102+Q1382)</f>
        <v>170.87283586428453</v>
      </c>
      <c r="R542" s="125">
        <f>IF(tech_base!$T198&gt;R$345,"",R822+R1102+R1382)</f>
        <v>181.67413458575854</v>
      </c>
      <c r="S542" s="125">
        <f>IF(tech_base!$T198&gt;S$345,"",S822+S1102+S1382)</f>
        <v>191.15637604320756</v>
      </c>
      <c r="T542" s="125">
        <f>IF(tech_base!$T198&gt;T$345,"",T822+T1102+T1382)</f>
        <v>200.29950752463384</v>
      </c>
      <c r="U542" s="125">
        <f>IF(tech_base!$T198&gt;U$345,"",U822+U1102+U1382)</f>
        <v>209.00743612028884</v>
      </c>
      <c r="V542" s="125">
        <f>IF(tech_base!$T198&gt;V$345,"",V822+V1102+V1382)</f>
        <v>214.87651508915638</v>
      </c>
      <c r="W542" s="125">
        <f>IF(tech_base!$T198&gt;W$345,"",W822+W1102+W1382)</f>
        <v>222.04054848373778</v>
      </c>
      <c r="X542" s="125">
        <f>IF(tech_base!$T198&gt;X$345,"",X822+X1102+X1382)</f>
        <v>228.26719184734492</v>
      </c>
      <c r="Y542" s="125">
        <f>IF(tech_base!$T198&gt;Y$345,"",Y822+Y1102+Y1382)</f>
        <v>233.56243019129869</v>
      </c>
      <c r="Z542" s="125">
        <f>IF(tech_base!$T198&gt;Z$345,"",Z822+Z1102+Z1382)</f>
        <v>236.99024841827116</v>
      </c>
      <c r="AA542" s="125">
        <f>IF(tech_base!$T198&gt;AA$345,"",AA822+AA1102+AA1382)</f>
        <v>240.10228947334801</v>
      </c>
      <c r="AB542" s="125">
        <f>IF(tech_base!$T198&gt;AB$345,"",AB822+AB1102+AB1382)</f>
        <v>242.26297204052301</v>
      </c>
      <c r="AC542" s="125">
        <f>IF(tech_base!$T198&gt;AC$345,"",AC822+AC1102+AC1382)</f>
        <v>245.5729008318072</v>
      </c>
      <c r="AD542" s="125">
        <f>IF(tech_base!$T198&gt;AD$345,"",AD822+AD1102+AD1382)</f>
        <v>247.63185870752625</v>
      </c>
      <c r="AE542" s="125">
        <f>IF(tech_base!$T198&gt;AE$345,"",AE822+AE1102+AE1382)</f>
        <v>249.59824833500687</v>
      </c>
      <c r="AF542" s="125">
        <f>IF(tech_base!$T198&gt;AF$345,"",AF822+AF1102+AF1382)</f>
        <v>250.63293623512567</v>
      </c>
      <c r="AG542" s="125">
        <f>IF(tech_base!$T198&gt;AG$345,"",AG822+AG1102+AG1382)</f>
        <v>251.80208482662698</v>
      </c>
      <c r="AH542" s="125">
        <f>IF(tech_base!$T198&gt;AH$345,"",AH822+AH1102+AH1382)</f>
        <v>253.10521519223232</v>
      </c>
      <c r="AI542" s="125">
        <f>IF(tech_base!$T198&gt;AI$345,"",AI822+AI1102+AI1382)</f>
        <v>254.55529975637663</v>
      </c>
      <c r="AJ542" s="125">
        <f>IF(tech_base!$T198&gt;AJ$345,"",AJ822+AJ1102+AJ1382)</f>
        <v>256.17601903496882</v>
      </c>
      <c r="AK542" s="125">
        <f>IF(tech_base!$T198&gt;AK$345,"",AK822+AK1102+AK1382)</f>
        <v>258.00363224101795</v>
      </c>
      <c r="AL542" s="125">
        <f>IF(tech_base!$T198&gt;AL$345,"",AL822+AL1102+AL1382)</f>
        <v>259.97446431002618</v>
      </c>
      <c r="AM542" s="125">
        <f>IF(tech_base!$T198&gt;AM$345,"",AM822+AM1102+AM1382)</f>
        <v>262.01033503474025</v>
      </c>
      <c r="AN542" s="125">
        <f>IF(tech_base!$T198&gt;AN$345,"",AN822+AN1102+AN1382)</f>
        <v>264.08542748434479</v>
      </c>
      <c r="AO542" s="125">
        <f>IF(tech_base!$T198&gt;AO$345,"",AO822+AO1102+AO1382)</f>
        <v>264.33818332581114</v>
      </c>
      <c r="AP542" s="125">
        <f>IF(tech_base!$T198&gt;AP$345,"",AP822+AP1102+AP1382)</f>
        <v>265.07687289095372</v>
      </c>
      <c r="AQ542" s="125">
        <f>IF(tech_base!$T198&gt;AQ$345,"",AQ822+AQ1102+AQ1382)</f>
        <v>265.85698981563894</v>
      </c>
      <c r="AR542" s="125">
        <f>IF(tech_base!$T198&gt;AR$345,"",AR822+AR1102+AR1382)</f>
        <v>267.47485706353228</v>
      </c>
      <c r="AS542" s="125">
        <f>IF(tech_base!$T198&gt;AS$345,"",AS822+AS1102+AS1382)</f>
        <v>268.34523318366013</v>
      </c>
      <c r="AT542" s="125">
        <f>IF(tech_base!$T198&gt;AT$345,"",AT822+AT1102+AT1382)</f>
        <v>269.21047052530565</v>
      </c>
      <c r="AU542" s="125">
        <f>IF(tech_base!$T198&gt;AU$345,"",AU822+AU1102+AU1382)</f>
        <v>270.05660527567852</v>
      </c>
      <c r="AV542" s="125">
        <f>IF(tech_base!$T198&gt;AV$345,"",AV822+AV1102+AV1382)</f>
        <v>270.874292289511</v>
      </c>
      <c r="AW542" s="125">
        <f>IF(tech_base!$T198&gt;AW$345,"",AW822+AW1102+AW1382)</f>
        <v>271.65649260189548</v>
      </c>
      <c r="AX542" s="126">
        <f>IF(tech_base!$T198&gt;AX$345,"",AX822+AX1102+AX1382)</f>
        <v>272.67738848446015</v>
      </c>
    </row>
    <row r="543" spans="1:50" x14ac:dyDescent="0.25">
      <c r="A543" s="356"/>
      <c r="B543" s="376"/>
      <c r="C543" s="361" t="s">
        <v>15</v>
      </c>
      <c r="D543" s="58" t="s">
        <v>7</v>
      </c>
      <c r="E543" s="78" t="str">
        <f>A519&amp;"/"&amp;B535&amp;"/"&amp;C543&amp;"/"&amp;D543</f>
        <v>Fuel oil fired power plants/Steam turbine/Electricity only with CCS/L</v>
      </c>
      <c r="F543" s="78" t="str">
        <f>A519</f>
        <v>Fuel oil fired power plants</v>
      </c>
      <c r="G543" s="78" t="str">
        <f>B535</f>
        <v>Steam turbine</v>
      </c>
      <c r="H543" s="78" t="str">
        <f>C543</f>
        <v>Electricity only with CCS</v>
      </c>
      <c r="I543" s="78" t="str">
        <f t="shared" si="360"/>
        <v>L</v>
      </c>
      <c r="J543" s="123" t="str">
        <f>IF(tech_base!$T199&gt;J$345,"",J823+J1103+J1383)</f>
        <v/>
      </c>
      <c r="K543" s="123" t="str">
        <f>IF(tech_base!$T199&gt;K$345,"",K823+K1103+K1383)</f>
        <v/>
      </c>
      <c r="L543" s="123" t="str">
        <f>IF(tech_base!$T199&gt;L$345,"",L823+L1103+L1383)</f>
        <v/>
      </c>
      <c r="M543" s="123" t="str">
        <f>IF(tech_base!$T199&gt;M$345,"",M823+M1103+M1383)</f>
        <v/>
      </c>
      <c r="N543" s="123" t="str">
        <f>IF(tech_base!$T199&gt;N$345,"",N823+N1103+N1383)</f>
        <v/>
      </c>
      <c r="O543" s="123" t="str">
        <f>IF(tech_base!$T199&gt;O$345,"",O823+O1103+O1383)</f>
        <v/>
      </c>
      <c r="P543" s="123" t="str">
        <f>IF(tech_base!$T199&gt;P$345,"",P823+P1103+P1383)</f>
        <v/>
      </c>
      <c r="Q543" s="123" t="str">
        <f>IF(tech_base!$T199&gt;Q$345,"",Q823+Q1103+Q1383)</f>
        <v/>
      </c>
      <c r="R543" s="123" t="str">
        <f>IF(tech_base!$T199&gt;R$345,"",R823+R1103+R1383)</f>
        <v/>
      </c>
      <c r="S543" s="123" t="str">
        <f>IF(tech_base!$T199&gt;S$345,"",S823+S1103+S1383)</f>
        <v/>
      </c>
      <c r="T543" s="123" t="str">
        <f>IF(tech_base!$T199&gt;T$345,"",T823+T1103+T1383)</f>
        <v/>
      </c>
      <c r="U543" s="123" t="str">
        <f>IF(tech_base!$T199&gt;U$345,"",U823+U1103+U1383)</f>
        <v/>
      </c>
      <c r="V543" s="123" t="str">
        <f>IF(tech_base!$T199&gt;V$345,"",V823+V1103+V1383)</f>
        <v/>
      </c>
      <c r="W543" s="123" t="str">
        <f>IF(tech_base!$T199&gt;W$345,"",W823+W1103+W1383)</f>
        <v/>
      </c>
      <c r="X543" s="123" t="str">
        <f>IF(tech_base!$T199&gt;X$345,"",X823+X1103+X1383)</f>
        <v/>
      </c>
      <c r="Y543" s="123" t="str">
        <f>IF(tech_base!$T199&gt;Y$345,"",Y823+Y1103+Y1383)</f>
        <v/>
      </c>
      <c r="Z543" s="123" t="str">
        <f>IF(tech_base!$T199&gt;Z$345,"",Z823+Z1103+Z1383)</f>
        <v/>
      </c>
      <c r="AA543" s="123" t="str">
        <f>IF(tech_base!$T199&gt;AA$345,"",AA823+AA1103+AA1383)</f>
        <v/>
      </c>
      <c r="AB543" s="123" t="str">
        <f>IF(tech_base!$T199&gt;AB$345,"",AB823+AB1103+AB1383)</f>
        <v/>
      </c>
      <c r="AC543" s="123" t="str">
        <f>IF(tech_base!$T199&gt;AC$345,"",AC823+AC1103+AC1383)</f>
        <v/>
      </c>
      <c r="AD543" s="123" t="str">
        <f>IF(tech_base!$T199&gt;AD$345,"",AD823+AD1103+AD1383)</f>
        <v/>
      </c>
      <c r="AE543" s="123">
        <f>IF(tech_base!$T199&gt;AE$345,"",AE823+AE1103+AE1383)</f>
        <v>313.16475779734111</v>
      </c>
      <c r="AF543" s="123">
        <f>IF(tech_base!$T199&gt;AF$345,"",AF823+AF1103+AF1383)</f>
        <v>314.13761569273629</v>
      </c>
      <c r="AG543" s="123">
        <f>IF(tech_base!$T199&gt;AG$345,"",AG823+AG1103+AG1383)</f>
        <v>315.24986554265303</v>
      </c>
      <c r="AH543" s="123">
        <f>IF(tech_base!$T199&gt;AH$345,"",AH823+AH1103+AH1383)</f>
        <v>316.50111128085302</v>
      </c>
      <c r="AI543" s="123">
        <f>IF(tech_base!$T199&gt;AI$345,"",AI823+AI1103+AI1383)</f>
        <v>317.90469868342018</v>
      </c>
      <c r="AJ543" s="123">
        <f>IF(tech_base!$T199&gt;AJ$345,"",AJ823+AJ1103+AJ1383)</f>
        <v>319.4849186608256</v>
      </c>
      <c r="AK543" s="123">
        <f>IF(tech_base!$T199&gt;AK$345,"",AK823+AK1103+AK1383)</f>
        <v>321.2789259790253</v>
      </c>
      <c r="AL543" s="123">
        <f>IF(tech_base!$T199&gt;AL$345,"",AL823+AL1103+AL1383)</f>
        <v>323.22168340395785</v>
      </c>
      <c r="AM543" s="123">
        <f>IF(tech_base!$T199&gt;AM$345,"",AM823+AM1103+AM1383)</f>
        <v>325.23328046774884</v>
      </c>
      <c r="AN543" s="123">
        <f>IF(tech_base!$T199&gt;AN$345,"",AN823+AN1103+AN1383)</f>
        <v>327.28732601934331</v>
      </c>
      <c r="AO543" s="123">
        <f>IF(tech_base!$T199&gt;AO$345,"",AO823+AO1103+AO1383)</f>
        <v>327.47948979228357</v>
      </c>
      <c r="AP543" s="123">
        <f>IF(tech_base!$T199&gt;AP$345,"",AP823+AP1103+AP1383)</f>
        <v>328.17074808194474</v>
      </c>
      <c r="AQ543" s="123">
        <f>IF(tech_base!$T199&gt;AQ$345,"",AQ823+AQ1103+AQ1383)</f>
        <v>328.90643056572543</v>
      </c>
      <c r="AR543" s="123">
        <f>IF(tech_base!$T199&gt;AR$345,"",AR823+AR1103+AR1383)</f>
        <v>330.50138742777273</v>
      </c>
      <c r="AS543" s="123">
        <f>IF(tech_base!$T199&gt;AS$345,"",AS823+AS1103+AS1383)</f>
        <v>331.33355843055313</v>
      </c>
      <c r="AT543" s="123">
        <f>IF(tech_base!$T199&gt;AT$345,"",AT823+AT1103+AT1383)</f>
        <v>332.16247535357292</v>
      </c>
      <c r="AU543" s="123">
        <f>IF(tech_base!$T199&gt;AU$345,"",AU823+AU1103+AU1383)</f>
        <v>332.97381844455185</v>
      </c>
      <c r="AV543" s="123">
        <f>IF(tech_base!$T199&gt;AV$345,"",AV823+AV1103+AV1383)</f>
        <v>333.75798797981724</v>
      </c>
      <c r="AW543" s="123">
        <f>IF(tech_base!$T199&gt;AW$345,"",AW823+AW1103+AW1383)</f>
        <v>334.50773953788541</v>
      </c>
      <c r="AX543" s="124">
        <f>IF(tech_base!$T199&gt;AX$345,"",AX823+AX1103+AX1383)</f>
        <v>335.50373000551451</v>
      </c>
    </row>
    <row r="544" spans="1:50" x14ac:dyDescent="0.25">
      <c r="A544" s="356"/>
      <c r="B544" s="376"/>
      <c r="C544" s="379"/>
      <c r="D544" s="59" t="s">
        <v>8</v>
      </c>
      <c r="E544" s="79" t="str">
        <f>A519&amp;"/"&amp;B535&amp;"/"&amp;C543&amp;"/"&amp;D544</f>
        <v>Fuel oil fired power plants/Steam turbine/Electricity only with CCS/M</v>
      </c>
      <c r="F544" s="79" t="str">
        <f>A519</f>
        <v>Fuel oil fired power plants</v>
      </c>
      <c r="G544" s="79" t="str">
        <f>B535</f>
        <v>Steam turbine</v>
      </c>
      <c r="H544" s="79" t="str">
        <f>C543</f>
        <v>Electricity only with CCS</v>
      </c>
      <c r="I544" s="79" t="str">
        <f t="shared" si="360"/>
        <v>M</v>
      </c>
      <c r="J544" s="125" t="str">
        <f>IF(tech_base!$T200&gt;J$345,"",J824+J1104+J1384)</f>
        <v/>
      </c>
      <c r="K544" s="125" t="str">
        <f>IF(tech_base!$T200&gt;K$345,"",K824+K1104+K1384)</f>
        <v/>
      </c>
      <c r="L544" s="125" t="str">
        <f>IF(tech_base!$T200&gt;L$345,"",L824+L1104+L1384)</f>
        <v/>
      </c>
      <c r="M544" s="125" t="str">
        <f>IF(tech_base!$T200&gt;M$345,"",M824+M1104+M1384)</f>
        <v/>
      </c>
      <c r="N544" s="125" t="str">
        <f>IF(tech_base!$T200&gt;N$345,"",N824+N1104+N1384)</f>
        <v/>
      </c>
      <c r="O544" s="125" t="str">
        <f>IF(tech_base!$T200&gt;O$345,"",O824+O1104+O1384)</f>
        <v/>
      </c>
      <c r="P544" s="125" t="str">
        <f>IF(tech_base!$T200&gt;P$345,"",P824+P1104+P1384)</f>
        <v/>
      </c>
      <c r="Q544" s="125" t="str">
        <f>IF(tech_base!$T200&gt;Q$345,"",Q824+Q1104+Q1384)</f>
        <v/>
      </c>
      <c r="R544" s="125" t="str">
        <f>IF(tech_base!$T200&gt;R$345,"",R824+R1104+R1384)</f>
        <v/>
      </c>
      <c r="S544" s="125" t="str">
        <f>IF(tech_base!$T200&gt;S$345,"",S824+S1104+S1384)</f>
        <v/>
      </c>
      <c r="T544" s="125" t="str">
        <f>IF(tech_base!$T200&gt;T$345,"",T824+T1104+T1384)</f>
        <v/>
      </c>
      <c r="U544" s="125" t="str">
        <f>IF(tech_base!$T200&gt;U$345,"",U824+U1104+U1384)</f>
        <v/>
      </c>
      <c r="V544" s="125" t="str">
        <f>IF(tech_base!$T200&gt;V$345,"",V824+V1104+V1384)</f>
        <v/>
      </c>
      <c r="W544" s="125" t="str">
        <f>IF(tech_base!$T200&gt;W$345,"",W824+W1104+W1384)</f>
        <v/>
      </c>
      <c r="X544" s="125" t="str">
        <f>IF(tech_base!$T200&gt;X$345,"",X824+X1104+X1384)</f>
        <v/>
      </c>
      <c r="Y544" s="125" t="str">
        <f>IF(tech_base!$T200&gt;Y$345,"",Y824+Y1104+Y1384)</f>
        <v/>
      </c>
      <c r="Z544" s="125" t="str">
        <f>IF(tech_base!$T200&gt;Z$345,"",Z824+Z1104+Z1384)</f>
        <v/>
      </c>
      <c r="AA544" s="125" t="str">
        <f>IF(tech_base!$T200&gt;AA$345,"",AA824+AA1104+AA1384)</f>
        <v/>
      </c>
      <c r="AB544" s="125" t="str">
        <f>IF(tech_base!$T200&gt;AB$345,"",AB824+AB1104+AB1384)</f>
        <v/>
      </c>
      <c r="AC544" s="125" t="str">
        <f>IF(tech_base!$T200&gt;AC$345,"",AC824+AC1104+AC1384)</f>
        <v/>
      </c>
      <c r="AD544" s="125" t="str">
        <f>IF(tech_base!$T200&gt;AD$345,"",AD824+AD1104+AD1384)</f>
        <v/>
      </c>
      <c r="AE544" s="125">
        <f>IF(tech_base!$T200&gt;AE$345,"",AE824+AE1104+AE1384)</f>
        <v>351.19436464718393</v>
      </c>
      <c r="AF544" s="125">
        <f>IF(tech_base!$T200&gt;AF$345,"",AF824+AF1104+AF1384)</f>
        <v>352.23225315056004</v>
      </c>
      <c r="AG544" s="125">
        <f>IF(tech_base!$T200&gt;AG$345,"",AG824+AG1104+AG1384)</f>
        <v>353.4188512524766</v>
      </c>
      <c r="AH544" s="125">
        <f>IF(tech_base!$T200&gt;AH$345,"",AH824+AH1104+AH1384)</f>
        <v>354.75373641167926</v>
      </c>
      <c r="AI544" s="125">
        <f>IF(tech_base!$T200&gt;AI$345,"",AI824+AI1104+AI1384)</f>
        <v>356.25114650158383</v>
      </c>
      <c r="AJ544" s="125">
        <f>IF(tech_base!$T200&gt;AJ$345,"",AJ824+AJ1104+AJ1384)</f>
        <v>357.93699615662325</v>
      </c>
      <c r="AK544" s="125">
        <f>IF(tech_base!$T200&gt;AK$345,"",AK824+AK1104+AK1384)</f>
        <v>359.85092375010368</v>
      </c>
      <c r="AL544" s="125">
        <f>IF(tech_base!$T200&gt;AL$345,"",AL824+AL1104+AL1384)</f>
        <v>361.92354463926966</v>
      </c>
      <c r="AM544" s="125">
        <f>IF(tech_base!$T200&gt;AM$345,"",AM824+AM1104+AM1384)</f>
        <v>364.06960674743169</v>
      </c>
      <c r="AN544" s="125">
        <f>IF(tech_base!$T200&gt;AN$345,"",AN824+AN1104+AN1384)</f>
        <v>366.2609548091595</v>
      </c>
      <c r="AO544" s="125">
        <f>IF(tech_base!$T200&gt;AO$345,"",AO824+AO1104+AO1384)</f>
        <v>366.4659637540878</v>
      </c>
      <c r="AP544" s="125">
        <f>IF(tech_base!$T200&gt;AP$345,"",AP824+AP1104+AP1384)</f>
        <v>367.2034291486728</v>
      </c>
      <c r="AQ544" s="125">
        <f>IF(tech_base!$T200&gt;AQ$345,"",AQ824+AQ1104+AQ1384)</f>
        <v>367.98828826906987</v>
      </c>
      <c r="AR544" s="125">
        <f>IF(tech_base!$T200&gt;AR$345,"",AR824+AR1104+AR1384)</f>
        <v>369.689859894623</v>
      </c>
      <c r="AS544" s="125">
        <f>IF(tech_base!$T200&gt;AS$345,"",AS824+AS1104+AS1384)</f>
        <v>370.57765730133258</v>
      </c>
      <c r="AT544" s="125">
        <f>IF(tech_base!$T200&gt;AT$345,"",AT824+AT1104+AT1384)</f>
        <v>371.4619831095809</v>
      </c>
      <c r="AU544" s="125">
        <f>IF(tech_base!$T200&gt;AU$345,"",AU824+AU1104+AU1384)</f>
        <v>372.32756036439537</v>
      </c>
      <c r="AV544" s="125">
        <f>IF(tech_base!$T200&gt;AV$345,"",AV824+AV1104+AV1384)</f>
        <v>373.16414764934427</v>
      </c>
      <c r="AW544" s="125">
        <f>IF(tech_base!$T200&gt;AW$345,"",AW824+AW1104+AW1384)</f>
        <v>373.96401629017106</v>
      </c>
      <c r="AX544" s="126">
        <f>IF(tech_base!$T200&gt;AX$345,"",AX824+AX1104+AX1384)</f>
        <v>375.02658366071654</v>
      </c>
    </row>
    <row r="545" spans="1:50" x14ac:dyDescent="0.25">
      <c r="A545" s="356"/>
      <c r="B545" s="376"/>
      <c r="C545" s="361" t="s">
        <v>16</v>
      </c>
      <c r="D545" s="2" t="s">
        <v>7</v>
      </c>
      <c r="E545" s="76" t="str">
        <f>A519&amp;"/"&amp;B535&amp;"/"&amp;C545&amp;"/"&amp;D545</f>
        <v>Fuel oil fired power plants/Steam turbine/CHP with CCS/L</v>
      </c>
      <c r="F545" s="76" t="str">
        <f>A519</f>
        <v>Fuel oil fired power plants</v>
      </c>
      <c r="G545" s="76" t="str">
        <f>B535</f>
        <v>Steam turbine</v>
      </c>
      <c r="H545" s="76" t="str">
        <f>C545</f>
        <v>CHP with CCS</v>
      </c>
      <c r="I545" s="76" t="str">
        <f t="shared" si="360"/>
        <v>L</v>
      </c>
      <c r="J545" s="119" t="str">
        <f>IF(tech_base!$T201&gt;J$345,"",J825+J1105+J1385)</f>
        <v/>
      </c>
      <c r="K545" s="119" t="str">
        <f>IF(tech_base!$T201&gt;K$345,"",K825+K1105+K1385)</f>
        <v/>
      </c>
      <c r="L545" s="119" t="str">
        <f>IF(tech_base!$T201&gt;L$345,"",L825+L1105+L1385)</f>
        <v/>
      </c>
      <c r="M545" s="119" t="str">
        <f>IF(tech_base!$T201&gt;M$345,"",M825+M1105+M1385)</f>
        <v/>
      </c>
      <c r="N545" s="119" t="str">
        <f>IF(tech_base!$T201&gt;N$345,"",N825+N1105+N1385)</f>
        <v/>
      </c>
      <c r="O545" s="119" t="str">
        <f>IF(tech_base!$T201&gt;O$345,"",O825+O1105+O1385)</f>
        <v/>
      </c>
      <c r="P545" s="119" t="str">
        <f>IF(tech_base!$T201&gt;P$345,"",P825+P1105+P1385)</f>
        <v/>
      </c>
      <c r="Q545" s="119" t="str">
        <f>IF(tech_base!$T201&gt;Q$345,"",Q825+Q1105+Q1385)</f>
        <v/>
      </c>
      <c r="R545" s="119" t="str">
        <f>IF(tech_base!$T201&gt;R$345,"",R825+R1105+R1385)</f>
        <v/>
      </c>
      <c r="S545" s="119" t="str">
        <f>IF(tech_base!$T201&gt;S$345,"",S825+S1105+S1385)</f>
        <v/>
      </c>
      <c r="T545" s="119" t="str">
        <f>IF(tech_base!$T201&gt;T$345,"",T825+T1105+T1385)</f>
        <v/>
      </c>
      <c r="U545" s="119" t="str">
        <f>IF(tech_base!$T201&gt;U$345,"",U825+U1105+U1385)</f>
        <v/>
      </c>
      <c r="V545" s="119" t="str">
        <f>IF(tech_base!$T201&gt;V$345,"",V825+V1105+V1385)</f>
        <v/>
      </c>
      <c r="W545" s="119" t="str">
        <f>IF(tech_base!$T201&gt;W$345,"",W825+W1105+W1385)</f>
        <v/>
      </c>
      <c r="X545" s="119" t="str">
        <f>IF(tech_base!$T201&gt;X$345,"",X825+X1105+X1385)</f>
        <v/>
      </c>
      <c r="Y545" s="119" t="str">
        <f>IF(tech_base!$T201&gt;Y$345,"",Y825+Y1105+Y1385)</f>
        <v/>
      </c>
      <c r="Z545" s="119" t="str">
        <f>IF(tech_base!$T201&gt;Z$345,"",Z825+Z1105+Z1385)</f>
        <v/>
      </c>
      <c r="AA545" s="119" t="str">
        <f>IF(tech_base!$T201&gt;AA$345,"",AA825+AA1105+AA1385)</f>
        <v/>
      </c>
      <c r="AB545" s="119" t="str">
        <f>IF(tech_base!$T201&gt;AB$345,"",AB825+AB1105+AB1385)</f>
        <v/>
      </c>
      <c r="AC545" s="119" t="str">
        <f>IF(tech_base!$T201&gt;AC$345,"",AC825+AC1105+AC1385)</f>
        <v/>
      </c>
      <c r="AD545" s="119" t="str">
        <f>IF(tech_base!$T201&gt;AD$345,"",AD825+AD1105+AD1385)</f>
        <v/>
      </c>
      <c r="AE545" s="119">
        <f>IF(tech_base!$T201&gt;AE$345,"",AE825+AE1105+AE1385)</f>
        <v>361.34937726106955</v>
      </c>
      <c r="AF545" s="119">
        <f>IF(tech_base!$T201&gt;AF$345,"",AF825+AF1105+AF1385)</f>
        <v>362.45441693573036</v>
      </c>
      <c r="AG545" s="119">
        <f>IF(tech_base!$T201&gt;AG$345,"",AG825+AG1105+AG1385)</f>
        <v>363.7177876891684</v>
      </c>
      <c r="AH545" s="119">
        <f>IF(tech_base!$T201&gt;AH$345,"",AH825+AH1105+AH1385)</f>
        <v>365.13903964179775</v>
      </c>
      <c r="AI545" s="119">
        <f>IF(tech_base!$T201&gt;AI$345,"",AI825+AI1105+AI1385)</f>
        <v>366.73333185449633</v>
      </c>
      <c r="AJ545" s="119">
        <f>IF(tech_base!$T201&gt;AJ$345,"",AJ825+AJ1105+AJ1385)</f>
        <v>368.52825563317958</v>
      </c>
      <c r="AK545" s="119">
        <f>IF(tech_base!$T201&gt;AK$345,"",AK825+AK1105+AK1385)</f>
        <v>370.56601394569992</v>
      </c>
      <c r="AL545" s="119">
        <f>IF(tech_base!$T201&gt;AL$345,"",AL825+AL1105+AL1385)</f>
        <v>372.7727329772809</v>
      </c>
      <c r="AM545" s="119">
        <f>IF(tech_base!$T201&gt;AM$345,"",AM825+AM1105+AM1385)</f>
        <v>375.05764485952176</v>
      </c>
      <c r="AN545" s="119">
        <f>IF(tech_base!$T201&gt;AN$345,"",AN825+AN1105+AN1385)</f>
        <v>377.39077268714811</v>
      </c>
      <c r="AO545" s="119">
        <f>IF(tech_base!$T201&gt;AO$345,"",AO825+AO1105+AO1385)</f>
        <v>377.60904566836825</v>
      </c>
      <c r="AP545" s="119">
        <f>IF(tech_base!$T201&gt;AP$345,"",AP825+AP1105+AP1385)</f>
        <v>378.3942249212987</v>
      </c>
      <c r="AQ545" s="119">
        <f>IF(tech_base!$T201&gt;AQ$345,"",AQ825+AQ1105+AQ1385)</f>
        <v>379.22986426428861</v>
      </c>
      <c r="AR545" s="119">
        <f>IF(tech_base!$T201&gt;AR$345,"",AR825+AR1105+AR1385)</f>
        <v>381.04152722172284</v>
      </c>
      <c r="AS545" s="119">
        <f>IF(tech_base!$T201&gt;AS$345,"",AS825+AS1105+AS1385)</f>
        <v>381.98676493683752</v>
      </c>
      <c r="AT545" s="119">
        <f>IF(tech_base!$T201&gt;AT$345,"",AT825+AT1105+AT1385)</f>
        <v>382.92830644178935</v>
      </c>
      <c r="AU545" s="119">
        <f>IF(tech_base!$T201&gt;AU$345,"",AU825+AU1105+AU1385)</f>
        <v>383.84988636578169</v>
      </c>
      <c r="AV545" s="119">
        <f>IF(tech_base!$T201&gt;AV$345,"",AV825+AV1105+AV1385)</f>
        <v>384.74060067486033</v>
      </c>
      <c r="AW545" s="119">
        <f>IF(tech_base!$T201&gt;AW$345,"",AW825+AW1105+AW1385)</f>
        <v>385.59222065114432</v>
      </c>
      <c r="AX545" s="120">
        <f>IF(tech_base!$T201&gt;AX$345,"",AX825+AX1105+AX1385)</f>
        <v>386.72353591057083</v>
      </c>
    </row>
    <row r="546" spans="1:50" x14ac:dyDescent="0.25">
      <c r="A546" s="357"/>
      <c r="B546" s="380"/>
      <c r="C546" s="381"/>
      <c r="D546" s="4" t="s">
        <v>8</v>
      </c>
      <c r="E546" s="80" t="str">
        <f>A519&amp;"/"&amp;B535&amp;"/"&amp;C545&amp;"/"&amp;D546</f>
        <v>Fuel oil fired power plants/Steam turbine/CHP with CCS/M</v>
      </c>
      <c r="F546" s="80" t="str">
        <f>A519</f>
        <v>Fuel oil fired power plants</v>
      </c>
      <c r="G546" s="80" t="str">
        <f>B535</f>
        <v>Steam turbine</v>
      </c>
      <c r="H546" s="80" t="str">
        <f>C545</f>
        <v>CHP with CCS</v>
      </c>
      <c r="I546" s="80" t="str">
        <f t="shared" si="360"/>
        <v>M</v>
      </c>
      <c r="J546" s="127" t="str">
        <f>IF(tech_base!$T202&gt;J$345,"",J826+J1106+J1386)</f>
        <v/>
      </c>
      <c r="K546" s="127" t="str">
        <f>IF(tech_base!$T202&gt;K$345,"",K826+K1106+K1386)</f>
        <v/>
      </c>
      <c r="L546" s="127" t="str">
        <f>IF(tech_base!$T202&gt;L$345,"",L826+L1106+L1386)</f>
        <v/>
      </c>
      <c r="M546" s="127" t="str">
        <f>IF(tech_base!$T202&gt;M$345,"",M826+M1106+M1386)</f>
        <v/>
      </c>
      <c r="N546" s="127" t="str">
        <f>IF(tech_base!$T202&gt;N$345,"",N826+N1106+N1386)</f>
        <v/>
      </c>
      <c r="O546" s="127" t="str">
        <f>IF(tech_base!$T202&gt;O$345,"",O826+O1106+O1386)</f>
        <v/>
      </c>
      <c r="P546" s="127" t="str">
        <f>IF(tech_base!$T202&gt;P$345,"",P826+P1106+P1386)</f>
        <v/>
      </c>
      <c r="Q546" s="127" t="str">
        <f>IF(tech_base!$T202&gt;Q$345,"",Q826+Q1106+Q1386)</f>
        <v/>
      </c>
      <c r="R546" s="127" t="str">
        <f>IF(tech_base!$T202&gt;R$345,"",R826+R1106+R1386)</f>
        <v/>
      </c>
      <c r="S546" s="127" t="str">
        <f>IF(tech_base!$T202&gt;S$345,"",S826+S1106+S1386)</f>
        <v/>
      </c>
      <c r="T546" s="127" t="str">
        <f>IF(tech_base!$T202&gt;T$345,"",T826+T1106+T1386)</f>
        <v/>
      </c>
      <c r="U546" s="127" t="str">
        <f>IF(tech_base!$T202&gt;U$345,"",U826+U1106+U1386)</f>
        <v/>
      </c>
      <c r="V546" s="127" t="str">
        <f>IF(tech_base!$T202&gt;V$345,"",V826+V1106+V1386)</f>
        <v/>
      </c>
      <c r="W546" s="127" t="str">
        <f>IF(tech_base!$T202&gt;W$345,"",W826+W1106+W1386)</f>
        <v/>
      </c>
      <c r="X546" s="127" t="str">
        <f>IF(tech_base!$T202&gt;X$345,"",X826+X1106+X1386)</f>
        <v/>
      </c>
      <c r="Y546" s="127" t="str">
        <f>IF(tech_base!$T202&gt;Y$345,"",Y826+Y1106+Y1386)</f>
        <v/>
      </c>
      <c r="Z546" s="127" t="str">
        <f>IF(tech_base!$T202&gt;Z$345,"",Z826+Z1106+Z1386)</f>
        <v/>
      </c>
      <c r="AA546" s="127" t="str">
        <f>IF(tech_base!$T202&gt;AA$345,"",AA826+AA1106+AA1386)</f>
        <v/>
      </c>
      <c r="AB546" s="127" t="str">
        <f>IF(tech_base!$T202&gt;AB$345,"",AB826+AB1106+AB1386)</f>
        <v/>
      </c>
      <c r="AC546" s="127" t="str">
        <f>IF(tech_base!$T202&gt;AC$345,"",AC826+AC1106+AC1386)</f>
        <v/>
      </c>
      <c r="AD546" s="127" t="str">
        <f>IF(tech_base!$T202&gt;AD$345,"",AD826+AD1106+AD1386)</f>
        <v/>
      </c>
      <c r="AE546" s="127">
        <f>IF(tech_base!$T202&gt;AE$345,"",AE826+AE1106+AE1386)</f>
        <v>402.85091749014384</v>
      </c>
      <c r="AF546" s="127">
        <f>IF(tech_base!$T202&gt;AF$345,"",AF826+AF1106+AF1386)</f>
        <v>404.03239875823721</v>
      </c>
      <c r="AG546" s="127">
        <f>IF(tech_base!$T202&gt;AG$345,"",AG826+AG1106+AG1386)</f>
        <v>405.38316372538839</v>
      </c>
      <c r="AH546" s="127">
        <f>IF(tech_base!$T202&gt;AH$345,"",AH826+AH1106+AH1386)</f>
        <v>406.90273139139833</v>
      </c>
      <c r="AI546" s="127">
        <f>IF(tech_base!$T202&gt;AI$345,"",AI826+AI1106+AI1386)</f>
        <v>408.60730945168257</v>
      </c>
      <c r="AJ546" s="127">
        <f>IF(tech_base!$T202&gt;AJ$345,"",AJ826+AJ1106+AJ1386)</f>
        <v>410.52639785257696</v>
      </c>
      <c r="AK546" s="127">
        <f>IF(tech_base!$T202&gt;AK$345,"",AK826+AK1106+AK1386)</f>
        <v>412.70511897033526</v>
      </c>
      <c r="AL546" s="127">
        <f>IF(tech_base!$T202&gt;AL$345,"",AL826+AL1106+AL1386)</f>
        <v>415.06448873736042</v>
      </c>
      <c r="AM546" s="127">
        <f>IF(tech_base!$T202&gt;AM$345,"",AM826+AM1106+AM1386)</f>
        <v>417.50746037902582</v>
      </c>
      <c r="AN546" s="127">
        <f>IF(tech_base!$T202&gt;AN$345,"",AN826+AN1106+AN1386)</f>
        <v>420.00198332477794</v>
      </c>
      <c r="AO546" s="127">
        <f>IF(tech_base!$T202&gt;AO$345,"",AO826+AO1106+AO1386)</f>
        <v>420.23535543308856</v>
      </c>
      <c r="AP546" s="127">
        <f>IF(tech_base!$T202&gt;AP$345,"",AP826+AP1106+AP1386)</f>
        <v>421.07484979759408</v>
      </c>
      <c r="AQ546" s="127">
        <f>IF(tech_base!$T202&gt;AQ$345,"",AQ826+AQ1106+AQ1386)</f>
        <v>421.96829485053081</v>
      </c>
      <c r="AR546" s="127">
        <f>IF(tech_base!$T202&gt;AR$345,"",AR826+AR1106+AR1386)</f>
        <v>423.90528037004538</v>
      </c>
      <c r="AS546" s="127">
        <f>IF(tech_base!$T202&gt;AS$345,"",AS826+AS1106+AS1386)</f>
        <v>424.91590530950396</v>
      </c>
      <c r="AT546" s="127">
        <f>IF(tech_base!$T202&gt;AT$345,"",AT826+AT1106+AT1386)</f>
        <v>425.92257835187627</v>
      </c>
      <c r="AU546" s="127">
        <f>IF(tech_base!$T202&gt;AU$345,"",AU826+AU1106+AU1386)</f>
        <v>426.90790896236513</v>
      </c>
      <c r="AV546" s="127">
        <f>IF(tech_base!$T202&gt;AV$345,"",AV826+AV1106+AV1386)</f>
        <v>427.86023881579064</v>
      </c>
      <c r="AW546" s="127">
        <f>IF(tech_base!$T202&gt;AW$345,"",AW826+AW1106+AW1386)</f>
        <v>428.77076996918339</v>
      </c>
      <c r="AX546" s="128">
        <f>IF(tech_base!$T202&gt;AX$345,"",AX826+AX1106+AX1386)</f>
        <v>429.9803444468879</v>
      </c>
    </row>
    <row r="547" spans="1:50" x14ac:dyDescent="0.25">
      <c r="A547" s="355" t="s">
        <v>30</v>
      </c>
      <c r="B547" s="358" t="s">
        <v>13</v>
      </c>
      <c r="C547" s="353" t="s">
        <v>6</v>
      </c>
      <c r="D547" s="3" t="s">
        <v>7</v>
      </c>
      <c r="E547" s="77" t="str">
        <f>A547&amp;"/"&amp;B547&amp;"/"&amp;C547&amp;"/"&amp;D547</f>
        <v>Biomass and waste fired power plants/Integrated gasification combined cycle/Electricity only/L</v>
      </c>
      <c r="F547" s="77" t="str">
        <f>A547</f>
        <v>Biomass and waste fired power plants</v>
      </c>
      <c r="G547" s="77" t="str">
        <f>B547</f>
        <v>Integrated gasification combined cycle</v>
      </c>
      <c r="H547" s="77" t="str">
        <f>C547</f>
        <v>Electricity only</v>
      </c>
      <c r="I547" s="77" t="str">
        <f t="shared" si="360"/>
        <v>L</v>
      </c>
      <c r="J547" s="121">
        <f>IF(tech_base!$T203&gt;J$345,"",J827+J1107+J1387)</f>
        <v>180.3908318573344</v>
      </c>
      <c r="K547" s="121">
        <f>IF(tech_base!$T203&gt;K$345,"",K827+K1107+K1387)</f>
        <v>182.01814602634158</v>
      </c>
      <c r="L547" s="121">
        <f>IF(tech_base!$T203&gt;L$345,"",L827+L1107+L1387)</f>
        <v>183.64577457448127</v>
      </c>
      <c r="M547" s="121">
        <f>IF(tech_base!$T203&gt;M$345,"",M827+M1107+M1387)</f>
        <v>185.27362608595183</v>
      </c>
      <c r="N547" s="121">
        <f>IF(tech_base!$T203&gt;N$345,"",N827+N1107+N1387)</f>
        <v>186.90158261677931</v>
      </c>
      <c r="O547" s="121">
        <f>IF(tech_base!$T203&gt;O$345,"",O827+O1107+O1387)</f>
        <v>188.52949201063143</v>
      </c>
      <c r="P547" s="121">
        <f>IF(tech_base!$T203&gt;P$345,"",P827+P1107+P1387)</f>
        <v>188.98890944440473</v>
      </c>
      <c r="Q547" s="121">
        <f>IF(tech_base!$T203&gt;Q$345,"",Q827+Q1107+Q1387)</f>
        <v>189.19186046048574</v>
      </c>
      <c r="R547" s="121">
        <f>IF(tech_base!$T203&gt;R$345,"",R827+R1107+R1387)</f>
        <v>189.42504153874231</v>
      </c>
      <c r="S547" s="121">
        <f>IF(tech_base!$T203&gt;S$345,"",S827+S1107+S1387)</f>
        <v>189.81065245291495</v>
      </c>
      <c r="T547" s="121">
        <f>IF(tech_base!$T203&gt;T$345,"",T827+T1107+T1387)</f>
        <v>190.43524479984308</v>
      </c>
      <c r="U547" s="121">
        <f>IF(tech_base!$T203&gt;U$345,"",U827+U1107+U1387)</f>
        <v>191.08182782587676</v>
      </c>
      <c r="V547" s="121">
        <f>IF(tech_base!$T203&gt;V$345,"",V827+V1107+V1387)</f>
        <v>191.7823860497665</v>
      </c>
      <c r="W547" s="121">
        <f>IF(tech_base!$T203&gt;W$345,"",W827+W1107+W1387)</f>
        <v>192.50882357984639</v>
      </c>
      <c r="X547" s="121">
        <f>IF(tech_base!$T203&gt;X$345,"",X827+X1107+X1387)</f>
        <v>193.21199367174799</v>
      </c>
      <c r="Y547" s="121">
        <f>IF(tech_base!$T203&gt;Y$345,"",Y827+Y1107+Y1387)</f>
        <v>193.93040986674228</v>
      </c>
      <c r="Z547" s="121">
        <f>IF(tech_base!$T203&gt;Z$345,"",Z827+Z1107+Z1387)</f>
        <v>194.63340469927155</v>
      </c>
      <c r="AA547" s="121">
        <f>IF(tech_base!$T203&gt;AA$345,"",AA827+AA1107+AA1387)</f>
        <v>195.39268049252183</v>
      </c>
      <c r="AB547" s="121">
        <f>IF(tech_base!$T203&gt;AB$345,"",AB827+AB1107+AB1387)</f>
        <v>196.38211300901906</v>
      </c>
      <c r="AC547" s="121">
        <f>IF(tech_base!$T203&gt;AC$345,"",AC827+AC1107+AC1387)</f>
        <v>197.87418712420387</v>
      </c>
      <c r="AD547" s="121">
        <f>IF(tech_base!$T203&gt;AD$345,"",AD827+AD1107+AD1387)</f>
        <v>199.31043689077973</v>
      </c>
      <c r="AE547" s="121">
        <f>IF(tech_base!$T203&gt;AE$345,"",AE827+AE1107+AE1387)</f>
        <v>200.23623069920347</v>
      </c>
      <c r="AF547" s="121">
        <f>IF(tech_base!$T203&gt;AF$345,"",AF827+AF1107+AF1387)</f>
        <v>200.70218119329402</v>
      </c>
      <c r="AG547" s="121">
        <f>IF(tech_base!$T203&gt;AG$345,"",AG827+AG1107+AG1387)</f>
        <v>201.02510877782379</v>
      </c>
      <c r="AH547" s="121">
        <f>IF(tech_base!$T203&gt;AH$345,"",AH827+AH1107+AH1387)</f>
        <v>201.21848546613842</v>
      </c>
      <c r="AI547" s="121">
        <f>IF(tech_base!$T203&gt;AI$345,"",AI827+AI1107+AI1387)</f>
        <v>201.35693115354417</v>
      </c>
      <c r="AJ547" s="121">
        <f>IF(tech_base!$T203&gt;AJ$345,"",AJ827+AJ1107+AJ1387)</f>
        <v>201.39544854582283</v>
      </c>
      <c r="AK547" s="121">
        <f>IF(tech_base!$T203&gt;AK$345,"",AK827+AK1107+AK1387)</f>
        <v>201.24759363651981</v>
      </c>
      <c r="AL547" s="121">
        <f>IF(tech_base!$T203&gt;AL$345,"",AL827+AL1107+AL1387)</f>
        <v>200.87092176528955</v>
      </c>
      <c r="AM547" s="121">
        <f>IF(tech_base!$T203&gt;AM$345,"",AM827+AM1107+AM1387)</f>
        <v>200.14435842441713</v>
      </c>
      <c r="AN547" s="121">
        <f>IF(tech_base!$T203&gt;AN$345,"",AN827+AN1107+AN1387)</f>
        <v>199.13616148312065</v>
      </c>
      <c r="AO547" s="121">
        <f>IF(tech_base!$T203&gt;AO$345,"",AO827+AO1107+AO1387)</f>
        <v>197.86997602982342</v>
      </c>
      <c r="AP547" s="121">
        <f>IF(tech_base!$T203&gt;AP$345,"",AP827+AP1107+AP1387)</f>
        <v>196.3332575832423</v>
      </c>
      <c r="AQ547" s="121">
        <f>IF(tech_base!$T203&gt;AQ$345,"",AQ827+AQ1107+AQ1387)</f>
        <v>194.49899246974238</v>
      </c>
      <c r="AR547" s="121">
        <f>IF(tech_base!$T203&gt;AR$345,"",AR827+AR1107+AR1387)</f>
        <v>192.25914967514083</v>
      </c>
      <c r="AS547" s="121">
        <f>IF(tech_base!$T203&gt;AS$345,"",AS827+AS1107+AS1387)</f>
        <v>189.81324610510097</v>
      </c>
      <c r="AT547" s="121">
        <f>IF(tech_base!$T203&gt;AT$345,"",AT827+AT1107+AT1387)</f>
        <v>187.0917070933499</v>
      </c>
      <c r="AU547" s="121">
        <f>IF(tech_base!$T203&gt;AU$345,"",AU827+AU1107+AU1387)</f>
        <v>184.40232060864398</v>
      </c>
      <c r="AV547" s="121">
        <f>IF(tech_base!$T203&gt;AV$345,"",AV827+AV1107+AV1387)</f>
        <v>181.7144322856704</v>
      </c>
      <c r="AW547" s="121">
        <f>IF(tech_base!$T203&gt;AW$345,"",AW827+AW1107+AW1387)</f>
        <v>179.13257237435826</v>
      </c>
      <c r="AX547" s="122">
        <f>IF(tech_base!$T203&gt;AX$345,"",AX827+AX1107+AX1387)</f>
        <v>176.73570894076971</v>
      </c>
    </row>
    <row r="548" spans="1:50" x14ac:dyDescent="0.25">
      <c r="A548" s="356"/>
      <c r="B548" s="376"/>
      <c r="C548" s="379"/>
      <c r="D548" s="2" t="s">
        <v>8</v>
      </c>
      <c r="E548" s="76" t="str">
        <f>A547&amp;"/"&amp;B547&amp;"/"&amp;C547&amp;"/"&amp;D548</f>
        <v>Biomass and waste fired power plants/Integrated gasification combined cycle/Electricity only/M</v>
      </c>
      <c r="F548" s="76" t="str">
        <f>A547</f>
        <v>Biomass and waste fired power plants</v>
      </c>
      <c r="G548" s="76" t="str">
        <f>B547</f>
        <v>Integrated gasification combined cycle</v>
      </c>
      <c r="H548" s="76" t="str">
        <f>C547</f>
        <v>Electricity only</v>
      </c>
      <c r="I548" s="76" t="str">
        <f t="shared" si="360"/>
        <v>M</v>
      </c>
      <c r="J548" s="119">
        <f>IF(tech_base!$T204&gt;J$345,"",J828+J1108+J1388)</f>
        <v>193.09212258024735</v>
      </c>
      <c r="K548" s="119">
        <f>IF(tech_base!$T204&gt;K$345,"",K828+K1108+K1388)</f>
        <v>194.80148959366048</v>
      </c>
      <c r="L548" s="119">
        <f>IF(tech_base!$T204&gt;L$345,"",L828+L1108+L1388)</f>
        <v>196.5100995343067</v>
      </c>
      <c r="M548" s="119">
        <f>IF(tech_base!$T204&gt;M$345,"",M828+M1108+M1388)</f>
        <v>198.21763014090698</v>
      </c>
      <c r="N548" s="119">
        <f>IF(tech_base!$T204&gt;N$345,"",N828+N1108+N1388)</f>
        <v>199.92368627113109</v>
      </c>
      <c r="O548" s="119">
        <f>IF(tech_base!$T204&gt;O$345,"",O828+O1108+O1388)</f>
        <v>201.6277835367182</v>
      </c>
      <c r="P548" s="119">
        <f>IF(tech_base!$T204&gt;P$345,"",P828+P1108+P1388)</f>
        <v>202.09878811087862</v>
      </c>
      <c r="Q548" s="119">
        <f>IF(tech_base!$T204&gt;Q$345,"",Q828+Q1108+Q1388)</f>
        <v>202.29702109142642</v>
      </c>
      <c r="R548" s="119">
        <f>IF(tech_base!$T204&gt;R$345,"",R828+R1108+R1388)</f>
        <v>202.52396728350999</v>
      </c>
      <c r="S548" s="119">
        <f>IF(tech_base!$T204&gt;S$345,"",S828+S1108+S1388)</f>
        <v>202.90771884849011</v>
      </c>
      <c r="T548" s="119">
        <f>IF(tech_base!$T204&gt;T$345,"",T828+T1108+T1388)</f>
        <v>203.53868210211903</v>
      </c>
      <c r="U548" s="119">
        <f>IF(tech_base!$T204&gt;U$345,"",U828+U1108+U1388)</f>
        <v>204.18747917343094</v>
      </c>
      <c r="V548" s="119">
        <f>IF(tech_base!$T204&gt;V$345,"",V828+V1108+V1388)</f>
        <v>204.88680643208272</v>
      </c>
      <c r="W548" s="119">
        <f>IF(tech_base!$T204&gt;W$345,"",W828+W1108+W1388)</f>
        <v>205.60594238933078</v>
      </c>
      <c r="X548" s="119">
        <f>IF(tech_base!$T204&gt;X$345,"",X828+X1108+X1388)</f>
        <v>206.29185577541989</v>
      </c>
      <c r="Y548" s="119">
        <f>IF(tech_base!$T204&gt;Y$345,"",Y828+Y1108+Y1388)</f>
        <v>206.98362355801424</v>
      </c>
      <c r="Z548" s="119">
        <f>IF(tech_base!$T204&gt;Z$345,"",Z828+Z1108+Z1388)</f>
        <v>207.64732885650608</v>
      </c>
      <c r="AA548" s="119">
        <f>IF(tech_base!$T204&gt;AA$345,"",AA828+AA1108+AA1388)</f>
        <v>208.35658970062974</v>
      </c>
      <c r="AB548" s="119">
        <f>IF(tech_base!$T204&gt;AB$345,"",AB828+AB1108+AB1388)</f>
        <v>209.29222433984805</v>
      </c>
      <c r="AC548" s="119">
        <f>IF(tech_base!$T204&gt;AC$345,"",AC828+AC1108+AC1388)</f>
        <v>210.73832299061962</v>
      </c>
      <c r="AD548" s="119">
        <f>IF(tech_base!$T204&gt;AD$345,"",AD828+AD1108+AD1388)</f>
        <v>212.10532061728844</v>
      </c>
      <c r="AE548" s="119">
        <f>IF(tech_base!$T204&gt;AE$345,"",AE828+AE1108+AE1388)</f>
        <v>212.9137039916084</v>
      </c>
      <c r="AF548" s="119">
        <f>IF(tech_base!$T204&gt;AF$345,"",AF828+AF1108+AF1388)</f>
        <v>213.21559435887519</v>
      </c>
      <c r="AG548" s="119">
        <f>IF(tech_base!$T204&gt;AG$345,"",AG828+AG1108+AG1388)</f>
        <v>213.34297727939077</v>
      </c>
      <c r="AH548" s="119">
        <f>IF(tech_base!$T204&gt;AH$345,"",AH828+AH1108+AH1388)</f>
        <v>213.31000935919531</v>
      </c>
      <c r="AI548" s="119">
        <f>IF(tech_base!$T204&gt;AI$345,"",AI828+AI1108+AI1388)</f>
        <v>213.19621415667808</v>
      </c>
      <c r="AJ548" s="119">
        <f>IF(tech_base!$T204&gt;AJ$345,"",AJ828+AJ1108+AJ1388)</f>
        <v>212.95750910516443</v>
      </c>
      <c r="AK548" s="119">
        <f>IF(tech_base!$T204&gt;AK$345,"",AK828+AK1108+AK1388)</f>
        <v>212.50897709179412</v>
      </c>
      <c r="AL548" s="119">
        <f>IF(tech_base!$T204&gt;AL$345,"",AL828+AL1108+AL1388)</f>
        <v>211.81483637136864</v>
      </c>
      <c r="AM548" s="119">
        <f>IF(tech_base!$T204&gt;AM$345,"",AM828+AM1108+AM1388)</f>
        <v>210.76048810371253</v>
      </c>
      <c r="AN548" s="119">
        <f>IF(tech_base!$T204&gt;AN$345,"",AN828+AN1108+AN1388)</f>
        <v>209.43217960245988</v>
      </c>
      <c r="AO548" s="119">
        <f>IF(tech_base!$T204&gt;AO$345,"",AO828+AO1108+AO1388)</f>
        <v>207.87138251632737</v>
      </c>
      <c r="AP548" s="119">
        <f>IF(tech_base!$T204&gt;AP$345,"",AP828+AP1108+AP1388)</f>
        <v>206.08177985625451</v>
      </c>
      <c r="AQ548" s="119">
        <f>IF(tech_base!$T204&gt;AQ$345,"",AQ828+AQ1108+AQ1388)</f>
        <v>204.04881220731551</v>
      </c>
      <c r="AR548" s="119">
        <f>IF(tech_base!$T204&gt;AR$345,"",AR828+AR1108+AR1388)</f>
        <v>201.66613090249263</v>
      </c>
      <c r="AS548" s="119">
        <f>IF(tech_base!$T204&gt;AS$345,"",AS828+AS1108+AS1388)</f>
        <v>199.13576265145116</v>
      </c>
      <c r="AT548" s="119">
        <f>IF(tech_base!$T204&gt;AT$345,"",AT828+AT1108+AT1388)</f>
        <v>196.36425349439287</v>
      </c>
      <c r="AU548" s="119">
        <f>IF(tech_base!$T204&gt;AU$345,"",AU828+AU1108+AU1388)</f>
        <v>193.63613426862719</v>
      </c>
      <c r="AV548" s="119">
        <f>IF(tech_base!$T204&gt;AV$345,"",AV828+AV1108+AV1388)</f>
        <v>190.87268038950583</v>
      </c>
      <c r="AW548" s="119">
        <f>IF(tech_base!$T204&gt;AW$345,"",AW828+AW1108+AW1388)</f>
        <v>188.13439414173416</v>
      </c>
      <c r="AX548" s="120">
        <f>IF(tech_base!$T204&gt;AX$345,"",AX828+AX1108+AX1388)</f>
        <v>185.46495132045601</v>
      </c>
    </row>
    <row r="549" spans="1:50" x14ac:dyDescent="0.25">
      <c r="A549" s="356"/>
      <c r="B549" s="376"/>
      <c r="C549" s="361" t="s">
        <v>14</v>
      </c>
      <c r="D549" s="58" t="s">
        <v>7</v>
      </c>
      <c r="E549" s="78" t="str">
        <f>A547&amp;"/"&amp;B547&amp;"/"&amp;C549&amp;"/"&amp;D549</f>
        <v>Biomass and waste fired power plants/Integrated gasification combined cycle/CHP/L</v>
      </c>
      <c r="F549" s="78" t="str">
        <f>A547</f>
        <v>Biomass and waste fired power plants</v>
      </c>
      <c r="G549" s="78" t="str">
        <f>B547</f>
        <v>Integrated gasification combined cycle</v>
      </c>
      <c r="H549" s="78" t="str">
        <f>C549</f>
        <v>CHP</v>
      </c>
      <c r="I549" s="78" t="str">
        <f t="shared" si="360"/>
        <v>L</v>
      </c>
      <c r="J549" s="123">
        <f>IF(tech_base!$T205&gt;J$345,"",J829+J1109+J1389)</f>
        <v>199.70490163553791</v>
      </c>
      <c r="K549" s="123">
        <f>IF(tech_base!$T205&gt;K$345,"",K829+K1109+K1389)</f>
        <v>201.50694858438044</v>
      </c>
      <c r="L549" s="123">
        <f>IF(tech_base!$T205&gt;L$345,"",L829+L1109+L1389)</f>
        <v>203.30937053740053</v>
      </c>
      <c r="M549" s="123">
        <f>IF(tech_base!$T205&gt;M$345,"",M829+M1109+M1389)</f>
        <v>205.11207407846308</v>
      </c>
      <c r="N549" s="123">
        <f>IF(tech_base!$T205&gt;N$345,"",N829+N1109+N1389)</f>
        <v>206.91493868267085</v>
      </c>
      <c r="O549" s="123">
        <f>IF(tech_base!$T205&gt;O$345,"",O829+O1109+O1389)</f>
        <v>208.71780886399301</v>
      </c>
      <c r="P549" s="123">
        <f>IF(tech_base!$T205&gt;P$345,"",P829+P1109+P1389)</f>
        <v>209.22685577716007</v>
      </c>
      <c r="Q549" s="123">
        <f>IF(tech_base!$T205&gt;Q$345,"",Q829+Q1109+Q1389)</f>
        <v>209.45200428434984</v>
      </c>
      <c r="R549" s="123">
        <f>IF(tech_base!$T205&gt;R$345,"",R829+R1109+R1389)</f>
        <v>209.71074606115121</v>
      </c>
      <c r="S549" s="123">
        <f>IF(tech_base!$T205&gt;S$345,"",S829+S1109+S1389)</f>
        <v>210.13843030837342</v>
      </c>
      <c r="T549" s="123">
        <f>IF(tech_base!$T205&gt;T$345,"",T829+T1109+T1389)</f>
        <v>210.83094297009967</v>
      </c>
      <c r="U549" s="123">
        <f>IF(tech_base!$T205&gt;U$345,"",U829+U1109+U1389)</f>
        <v>211.54806135772435</v>
      </c>
      <c r="V549" s="123">
        <f>IF(tech_base!$T205&gt;V$345,"",V829+V1109+V1389)</f>
        <v>212.32527619067946</v>
      </c>
      <c r="W549" s="123">
        <f>IF(tech_base!$T205&gt;W$345,"",W829+W1109+W1389)</f>
        <v>213.13157002650448</v>
      </c>
      <c r="X549" s="123">
        <f>IF(tech_base!$T205&gt;X$345,"",X829+X1109+X1389)</f>
        <v>213.91264087153081</v>
      </c>
      <c r="Y549" s="123">
        <f>IF(tech_base!$T205&gt;Y$345,"",Y829+Y1109+Y1389)</f>
        <v>214.71129084287378</v>
      </c>
      <c r="Z549" s="123">
        <f>IF(tech_base!$T205&gt;Z$345,"",Z829+Z1109+Z1389)</f>
        <v>215.49375775215435</v>
      </c>
      <c r="AA549" s="123">
        <f>IF(tech_base!$T205&gt;AA$345,"",AA829+AA1109+AA1389)</f>
        <v>216.3396965261656</v>
      </c>
      <c r="AB549" s="123">
        <f>IF(tech_base!$T205&gt;AB$345,"",AB829+AB1109+AB1389)</f>
        <v>217.44198614140544</v>
      </c>
      <c r="AC549" s="123">
        <f>IF(tech_base!$T205&gt;AC$345,"",AC829+AC1109+AC1389)</f>
        <v>219.10281868103627</v>
      </c>
      <c r="AD549" s="123">
        <f>IF(tech_base!$T205&gt;AD$345,"",AD829+AD1109+AD1389)</f>
        <v>220.70429102086575</v>
      </c>
      <c r="AE549" s="123">
        <f>IF(tech_base!$T205&gt;AE$345,"",AE829+AE1109+AE1389)</f>
        <v>221.74357303694535</v>
      </c>
      <c r="AF549" s="123">
        <f>IF(tech_base!$T205&gt;AF$345,"",AF829+AF1109+AF1389)</f>
        <v>222.27750735875696</v>
      </c>
      <c r="AG549" s="123">
        <f>IF(tech_base!$T205&gt;AG$345,"",AG829+AG1109+AG1389)</f>
        <v>222.65799300336087</v>
      </c>
      <c r="AH549" s="123">
        <f>IF(tech_base!$T205&gt;AH$345,"",AH829+AH1109+AH1389)</f>
        <v>222.90122780953214</v>
      </c>
      <c r="AI549" s="123">
        <f>IF(tech_base!$T205&gt;AI$345,"",AI829+AI1109+AI1389)</f>
        <v>223.09144628596187</v>
      </c>
      <c r="AJ549" s="123">
        <f>IF(tech_base!$T205&gt;AJ$345,"",AJ829+AJ1109+AJ1389)</f>
        <v>223.18072173493118</v>
      </c>
      <c r="AK549" s="123">
        <f>IF(tech_base!$T205&gt;AK$345,"",AK829+AK1109+AK1389)</f>
        <v>223.0755418739142</v>
      </c>
      <c r="AL549" s="123">
        <f>IF(tech_base!$T205&gt;AL$345,"",AL829+AL1109+AL1389)</f>
        <v>222.73146227274879</v>
      </c>
      <c r="AM549" s="123">
        <f>IF(tech_base!$T205&gt;AM$345,"",AM829+AM1109+AM1389)</f>
        <v>222.01712919322978</v>
      </c>
      <c r="AN549" s="123">
        <f>IF(tech_base!$T205&gt;AN$345,"",AN829+AN1109+AN1389)</f>
        <v>221.01118174075665</v>
      </c>
      <c r="AO549" s="123">
        <f>IF(tech_base!$T205&gt;AO$345,"",AO829+AO1109+AO1389)</f>
        <v>219.74278740509916</v>
      </c>
      <c r="AP549" s="123">
        <f>IF(tech_base!$T205&gt;AP$345,"",AP829+AP1109+AP1389)</f>
        <v>218.20056466250784</v>
      </c>
      <c r="AQ549" s="123">
        <f>IF(tech_base!$T205&gt;AQ$345,"",AQ829+AQ1109+AQ1389)</f>
        <v>216.35609866187392</v>
      </c>
      <c r="AR549" s="123">
        <f>IF(tech_base!$T205&gt;AR$345,"",AR829+AR1109+AR1389)</f>
        <v>214.08926190196891</v>
      </c>
      <c r="AS549" s="123">
        <f>IF(tech_base!$T205&gt;AS$345,"",AS829+AS1109+AS1389)</f>
        <v>211.61931833643956</v>
      </c>
      <c r="AT549" s="123">
        <f>IF(tech_base!$T205&gt;AT$345,"",AT829+AT1109+AT1389)</f>
        <v>208.86378242389236</v>
      </c>
      <c r="AU549" s="123">
        <f>IF(tech_base!$T205&gt;AU$345,"",AU829+AU1109+AU1389)</f>
        <v>206.15729915368672</v>
      </c>
      <c r="AV549" s="123">
        <f>IF(tech_base!$T205&gt;AV$345,"",AV829+AV1109+AV1389)</f>
        <v>203.4556807391418</v>
      </c>
      <c r="AW549" s="123">
        <f>IF(tech_base!$T205&gt;AW$345,"",AW829+AW1109+AW1389)</f>
        <v>200.86398663313344</v>
      </c>
      <c r="AX549" s="124">
        <f>IF(tech_base!$T205&gt;AX$345,"",AX829+AX1109+AX1389)</f>
        <v>198.45922241150987</v>
      </c>
    </row>
    <row r="550" spans="1:50" x14ac:dyDescent="0.25">
      <c r="A550" s="356"/>
      <c r="B550" s="376"/>
      <c r="C550" s="379"/>
      <c r="D550" s="59" t="s">
        <v>8</v>
      </c>
      <c r="E550" s="79" t="str">
        <f>A547&amp;"/"&amp;B547&amp;"/"&amp;C549&amp;"/"&amp;D550</f>
        <v>Biomass and waste fired power plants/Integrated gasification combined cycle/CHP/M</v>
      </c>
      <c r="F550" s="79" t="str">
        <f>A547</f>
        <v>Biomass and waste fired power plants</v>
      </c>
      <c r="G550" s="79" t="str">
        <f>B547</f>
        <v>Integrated gasification combined cycle</v>
      </c>
      <c r="H550" s="79" t="str">
        <f>C549</f>
        <v>CHP</v>
      </c>
      <c r="I550" s="79" t="str">
        <f t="shared" si="360"/>
        <v>M</v>
      </c>
      <c r="J550" s="125">
        <f>IF(tech_base!$T206&gt;J$345,"",J830+J1110+J1390)</f>
        <v>212.84527592336616</v>
      </c>
      <c r="K550" s="125">
        <f>IF(tech_base!$T206&gt;K$345,"",K830+K1110+K1390)</f>
        <v>214.73923694060207</v>
      </c>
      <c r="L550" s="125">
        <f>IF(tech_base!$T206&gt;L$345,"",L830+L1110+L1390)</f>
        <v>216.63246889222381</v>
      </c>
      <c r="M550" s="125">
        <f>IF(tech_base!$T206&gt;M$345,"",M830+M1110+M1390)</f>
        <v>218.52463962332504</v>
      </c>
      <c r="N550" s="125">
        <f>IF(tech_base!$T206&gt;N$345,"",N830+N1110+N1390)</f>
        <v>220.41534185030076</v>
      </c>
      <c r="O550" s="125">
        <f>IF(tech_base!$T206&gt;O$345,"",O830+O1110+O1390)</f>
        <v>222.30407628924672</v>
      </c>
      <c r="P550" s="125">
        <f>IF(tech_base!$T206&gt;P$345,"",P830+P1110+P1390)</f>
        <v>222.82712801006019</v>
      </c>
      <c r="Q550" s="125">
        <f>IF(tech_base!$T206&gt;Q$345,"",Q830+Q1110+Q1390)</f>
        <v>223.04831480208307</v>
      </c>
      <c r="R550" s="125">
        <f>IF(tech_base!$T206&gt;R$345,"",R830+R1110+R1390)</f>
        <v>223.30166310440063</v>
      </c>
      <c r="S550" s="125">
        <f>IF(tech_base!$T206&gt;S$345,"",S830+S1110+S1390)</f>
        <v>223.72914504149583</v>
      </c>
      <c r="T550" s="125">
        <f>IF(tech_base!$T206&gt;T$345,"",T830+T1110+T1390)</f>
        <v>224.43100766958938</v>
      </c>
      <c r="U550" s="125">
        <f>IF(tech_base!$T206&gt;U$345,"",U830+U1110+U1390)</f>
        <v>225.15327942895311</v>
      </c>
      <c r="V550" s="125">
        <f>IF(tech_base!$T206&gt;V$345,"",V830+V1110+V1390)</f>
        <v>225.93232541492659</v>
      </c>
      <c r="W550" s="125">
        <f>IF(tech_base!$T206&gt;W$345,"",W830+W1110+W1390)</f>
        <v>226.73429072603375</v>
      </c>
      <c r="X550" s="125">
        <f>IF(tech_base!$T206&gt;X$345,"",X830+X1110+X1390)</f>
        <v>227.50064232254019</v>
      </c>
      <c r="Y550" s="125">
        <f>IF(tech_base!$T206&gt;Y$345,"",Y830+Y1110+Y1390)</f>
        <v>228.27492908975688</v>
      </c>
      <c r="Z550" s="125">
        <f>IF(tech_base!$T206&gt;Z$345,"",Z830+Z1110+Z1390)</f>
        <v>229.01989196487835</v>
      </c>
      <c r="AA550" s="125">
        <f>IF(tech_base!$T206&gt;AA$345,"",AA830+AA1110+AA1390)</f>
        <v>229.8174705078701</v>
      </c>
      <c r="AB550" s="125">
        <f>IF(tech_base!$T206&gt;AB$345,"",AB830+AB1110+AB1390)</f>
        <v>230.86846372310592</v>
      </c>
      <c r="AC550" s="125">
        <f>IF(tech_base!$T206&gt;AC$345,"",AC830+AC1110+AC1390)</f>
        <v>232.48822386858038</v>
      </c>
      <c r="AD550" s="125">
        <f>IF(tech_base!$T206&gt;AD$345,"",AD830+AD1110+AD1390)</f>
        <v>234.02425566229408</v>
      </c>
      <c r="AE550" s="125">
        <f>IF(tech_base!$T206&gt;AE$345,"",AE830+AE1110+AE1390)</f>
        <v>234.94601486251514</v>
      </c>
      <c r="AF550" s="125">
        <f>IF(tech_base!$T206&gt;AF$345,"",AF830+AF1110+AF1390)</f>
        <v>235.31209298601661</v>
      </c>
      <c r="AG550" s="125">
        <f>IF(tech_base!$T206&gt;AG$345,"",AG830+AG1110+AG1390)</f>
        <v>235.4913906984911</v>
      </c>
      <c r="AH550" s="125">
        <f>IF(tech_base!$T206&gt;AH$345,"",AH830+AH1110+AH1390)</f>
        <v>235.50081107833324</v>
      </c>
      <c r="AI550" s="125">
        <f>IF(tech_base!$T206&gt;AI$345,"",AI830+AI1110+AI1390)</f>
        <v>235.42989804487985</v>
      </c>
      <c r="AJ550" s="125">
        <f>IF(tech_base!$T206&gt;AJ$345,"",AJ830+AJ1110+AJ1390)</f>
        <v>235.2313736658777</v>
      </c>
      <c r="AK550" s="125">
        <f>IF(tech_base!$T206&gt;AK$345,"",AK830+AK1110+AK1390)</f>
        <v>234.81280723599318</v>
      </c>
      <c r="AL550" s="125">
        <f>IF(tech_base!$T206&gt;AL$345,"",AL830+AL1110+AL1390)</f>
        <v>234.13630869770867</v>
      </c>
      <c r="AM550" s="125">
        <f>IF(tech_base!$T206&gt;AM$345,"",AM830+AM1110+AM1390)</f>
        <v>233.0765319777181</v>
      </c>
      <c r="AN550" s="125">
        <f>IF(tech_base!$T206&gt;AN$345,"",AN830+AN1110+AN1390)</f>
        <v>231.73080367638141</v>
      </c>
      <c r="AO550" s="125">
        <f>IF(tech_base!$T206&gt;AO$345,"",AO830+AO1110+AO1390)</f>
        <v>230.14660528522199</v>
      </c>
      <c r="AP550" s="125">
        <f>IF(tech_base!$T206&gt;AP$345,"",AP830+AP1110+AP1390)</f>
        <v>228.32907311354779</v>
      </c>
      <c r="AQ550" s="125">
        <f>IF(tech_base!$T206&gt;AQ$345,"",AQ830+AQ1110+AQ1390)</f>
        <v>226.26239705895023</v>
      </c>
      <c r="AR550" s="125">
        <f>IF(tech_base!$T206&gt;AR$345,"",AR830+AR1110+AR1390)</f>
        <v>223.82770486836762</v>
      </c>
      <c r="AS550" s="125">
        <f>IF(tech_base!$T206&gt;AS$345,"",AS830+AS1110+AS1390)</f>
        <v>221.24773711573701</v>
      </c>
      <c r="AT550" s="125">
        <f>IF(tech_base!$T206&gt;AT$345,"",AT830+AT1110+AT1390)</f>
        <v>218.41535973615672</v>
      </c>
      <c r="AU550" s="125">
        <f>IF(tech_base!$T206&gt;AU$345,"",AU830+AU1110+AU1390)</f>
        <v>215.64286005242218</v>
      </c>
      <c r="AV550" s="125">
        <f>IF(tech_base!$T206&gt;AV$345,"",AV830+AV1110+AV1390)</f>
        <v>212.8369870846283</v>
      </c>
      <c r="AW550" s="125">
        <f>IF(tech_base!$T206&gt;AW$345,"",AW830+AW1110+AW1390)</f>
        <v>210.0585635633079</v>
      </c>
      <c r="AX550" s="126">
        <f>IF(tech_base!$T206&gt;AX$345,"",AX830+AX1110+AX1390)</f>
        <v>207.34929447201745</v>
      </c>
    </row>
    <row r="551" spans="1:50" x14ac:dyDescent="0.25">
      <c r="A551" s="356"/>
      <c r="B551" s="376"/>
      <c r="C551" s="361" t="s">
        <v>15</v>
      </c>
      <c r="D551" s="58" t="s">
        <v>7</v>
      </c>
      <c r="E551" s="78" t="str">
        <f>A547&amp;"/"&amp;B547&amp;"/"&amp;C551&amp;"/"&amp;D551</f>
        <v>Biomass and waste fired power plants/Integrated gasification combined cycle/Electricity only with CCS/L</v>
      </c>
      <c r="F551" s="78" t="str">
        <f>A547</f>
        <v>Biomass and waste fired power plants</v>
      </c>
      <c r="G551" s="78" t="str">
        <f>B547</f>
        <v>Integrated gasification combined cycle</v>
      </c>
      <c r="H551" s="78" t="str">
        <f>C551</f>
        <v>Electricity only with CCS</v>
      </c>
      <c r="I551" s="78" t="str">
        <f t="shared" si="360"/>
        <v>L</v>
      </c>
      <c r="J551" s="123" t="str">
        <f>IF(tech_base!$T207&gt;J$345,"",J831+J1111+J1391)</f>
        <v/>
      </c>
      <c r="K551" s="123" t="str">
        <f>IF(tech_base!$T207&gt;K$345,"",K831+K1111+K1391)</f>
        <v/>
      </c>
      <c r="L551" s="123" t="str">
        <f>IF(tech_base!$T207&gt;L$345,"",L831+L1111+L1391)</f>
        <v/>
      </c>
      <c r="M551" s="123" t="str">
        <f>IF(tech_base!$T207&gt;M$345,"",M831+M1111+M1391)</f>
        <v/>
      </c>
      <c r="N551" s="123" t="str">
        <f>IF(tech_base!$T207&gt;N$345,"",N831+N1111+N1391)</f>
        <v/>
      </c>
      <c r="O551" s="123" t="str">
        <f>IF(tech_base!$T207&gt;O$345,"",O831+O1111+O1391)</f>
        <v/>
      </c>
      <c r="P551" s="123" t="str">
        <f>IF(tech_base!$T207&gt;P$345,"",P831+P1111+P1391)</f>
        <v/>
      </c>
      <c r="Q551" s="123" t="str">
        <f>IF(tech_base!$T207&gt;Q$345,"",Q831+Q1111+Q1391)</f>
        <v/>
      </c>
      <c r="R551" s="123" t="str">
        <f>IF(tech_base!$T207&gt;R$345,"",R831+R1111+R1391)</f>
        <v/>
      </c>
      <c r="S551" s="123" t="str">
        <f>IF(tech_base!$T207&gt;S$345,"",S831+S1111+S1391)</f>
        <v/>
      </c>
      <c r="T551" s="123" t="str">
        <f>IF(tech_base!$T207&gt;T$345,"",T831+T1111+T1391)</f>
        <v/>
      </c>
      <c r="U551" s="123" t="str">
        <f>IF(tech_base!$T207&gt;U$345,"",U831+U1111+U1391)</f>
        <v/>
      </c>
      <c r="V551" s="123" t="str">
        <f>IF(tech_base!$T207&gt;V$345,"",V831+V1111+V1391)</f>
        <v/>
      </c>
      <c r="W551" s="123" t="str">
        <f>IF(tech_base!$T207&gt;W$345,"",W831+W1111+W1391)</f>
        <v/>
      </c>
      <c r="X551" s="123" t="str">
        <f>IF(tech_base!$T207&gt;X$345,"",X831+X1111+X1391)</f>
        <v/>
      </c>
      <c r="Y551" s="123" t="str">
        <f>IF(tech_base!$T207&gt;Y$345,"",Y831+Y1111+Y1391)</f>
        <v/>
      </c>
      <c r="Z551" s="123" t="str">
        <f>IF(tech_base!$T207&gt;Z$345,"",Z831+Z1111+Z1391)</f>
        <v/>
      </c>
      <c r="AA551" s="123" t="str">
        <f>IF(tech_base!$T207&gt;AA$345,"",AA831+AA1111+AA1391)</f>
        <v/>
      </c>
      <c r="AB551" s="123" t="str">
        <f>IF(tech_base!$T207&gt;AB$345,"",AB831+AB1111+AB1391)</f>
        <v/>
      </c>
      <c r="AC551" s="123" t="str">
        <f>IF(tech_base!$T207&gt;AC$345,"",AC831+AC1111+AC1391)</f>
        <v/>
      </c>
      <c r="AD551" s="123" t="str">
        <f>IF(tech_base!$T207&gt;AD$345,"",AD831+AD1111+AD1391)</f>
        <v/>
      </c>
      <c r="AE551" s="123">
        <f>IF(tech_base!$T207&gt;AE$345,"",AE831+AE1111+AE1391)</f>
        <v>289.64321578789713</v>
      </c>
      <c r="AF551" s="123">
        <f>IF(tech_base!$T207&gt;AF$345,"",AF831+AF1111+AF1391)</f>
        <v>290.45842865718885</v>
      </c>
      <c r="AG551" s="123">
        <f>IF(tech_base!$T207&gt;AG$345,"",AG831+AG1111+AG1391)</f>
        <v>291.15373316116063</v>
      </c>
      <c r="AH551" s="123">
        <f>IF(tech_base!$T207&gt;AH$345,"",AH831+AH1111+AH1391)</f>
        <v>291.76053986507384</v>
      </c>
      <c r="AI551" s="123">
        <f>IF(tech_base!$T207&gt;AI$345,"",AI831+AI1111+AI1391)</f>
        <v>292.39039072764439</v>
      </c>
      <c r="AJ551" s="123">
        <f>IF(tech_base!$T207&gt;AJ$345,"",AJ831+AJ1111+AJ1391)</f>
        <v>293.00667637351478</v>
      </c>
      <c r="AK551" s="123">
        <f>IF(tech_base!$T207&gt;AK$345,"",AK831+AK1111+AK1391)</f>
        <v>293.52254007061572</v>
      </c>
      <c r="AL551" s="123">
        <f>IF(tech_base!$T207&gt;AL$345,"",AL831+AL1111+AL1391)</f>
        <v>293.90795070679417</v>
      </c>
      <c r="AM551" s="123">
        <f>IF(tech_base!$T207&gt;AM$345,"",AM831+AM1111+AM1391)</f>
        <v>294.03184021047969</v>
      </c>
      <c r="AN551" s="123">
        <f>IF(tech_base!$T207&gt;AN$345,"",AN831+AN1111+AN1391)</f>
        <v>293.9997957921529</v>
      </c>
      <c r="AO551" s="123">
        <f>IF(tech_base!$T207&gt;AO$345,"",AO831+AO1111+AO1391)</f>
        <v>293.85230305117807</v>
      </c>
      <c r="AP551" s="123">
        <f>IF(tech_base!$T207&gt;AP$345,"",AP831+AP1111+AP1391)</f>
        <v>293.56752887984186</v>
      </c>
      <c r="AQ551" s="123">
        <f>IF(tech_base!$T207&gt;AQ$345,"",AQ831+AQ1111+AQ1391)</f>
        <v>293.07889866344351</v>
      </c>
      <c r="AR551" s="123">
        <f>IF(tech_base!$T207&gt;AR$345,"",AR831+AR1111+AR1391)</f>
        <v>292.17662950141141</v>
      </c>
      <c r="AS551" s="123">
        <f>IF(tech_base!$T207&gt;AS$345,"",AS831+AS1111+AS1391)</f>
        <v>291.00365743033649</v>
      </c>
      <c r="AT551" s="123">
        <f>IF(tech_base!$T207&gt;AT$345,"",AT831+AT1111+AT1391)</f>
        <v>289.30091736295617</v>
      </c>
      <c r="AU551" s="123">
        <f>IF(tech_base!$T207&gt;AU$345,"",AU831+AU1111+AU1391)</f>
        <v>287.25863048629384</v>
      </c>
      <c r="AV551" s="123">
        <f>IF(tech_base!$T207&gt;AV$345,"",AV831+AV1111+AV1391)</f>
        <v>284.59353241181321</v>
      </c>
      <c r="AW551" s="123">
        <f>IF(tech_base!$T207&gt;AW$345,"",AW831+AW1111+AW1391)</f>
        <v>281.20613161449921</v>
      </c>
      <c r="AX551" s="124">
        <f>IF(tech_base!$T207&gt;AX$345,"",AX831+AX1111+AX1391)</f>
        <v>277.01721337657534</v>
      </c>
    </row>
    <row r="552" spans="1:50" x14ac:dyDescent="0.25">
      <c r="A552" s="356"/>
      <c r="B552" s="376"/>
      <c r="C552" s="379"/>
      <c r="D552" s="59" t="s">
        <v>8</v>
      </c>
      <c r="E552" s="79" t="str">
        <f>A547&amp;"/"&amp;B547&amp;"/"&amp;C551&amp;"/"&amp;D552</f>
        <v>Biomass and waste fired power plants/Integrated gasification combined cycle/Electricity only with CCS/M</v>
      </c>
      <c r="F552" s="79" t="str">
        <f>A547</f>
        <v>Biomass and waste fired power plants</v>
      </c>
      <c r="G552" s="79" t="str">
        <f>B547</f>
        <v>Integrated gasification combined cycle</v>
      </c>
      <c r="H552" s="79" t="str">
        <f>C551</f>
        <v>Electricity only with CCS</v>
      </c>
      <c r="I552" s="79" t="str">
        <f t="shared" si="360"/>
        <v>M</v>
      </c>
      <c r="J552" s="125" t="str">
        <f>IF(tech_base!$T208&gt;J$345,"",J832+J1112+J1392)</f>
        <v/>
      </c>
      <c r="K552" s="125" t="str">
        <f>IF(tech_base!$T208&gt;K$345,"",K832+K1112+K1392)</f>
        <v/>
      </c>
      <c r="L552" s="125" t="str">
        <f>IF(tech_base!$T208&gt;L$345,"",L832+L1112+L1392)</f>
        <v/>
      </c>
      <c r="M552" s="125" t="str">
        <f>IF(tech_base!$T208&gt;M$345,"",M832+M1112+M1392)</f>
        <v/>
      </c>
      <c r="N552" s="125" t="str">
        <f>IF(tech_base!$T208&gt;N$345,"",N832+N1112+N1392)</f>
        <v/>
      </c>
      <c r="O552" s="125" t="str">
        <f>IF(tech_base!$T208&gt;O$345,"",O832+O1112+O1392)</f>
        <v/>
      </c>
      <c r="P552" s="125" t="str">
        <f>IF(tech_base!$T208&gt;P$345,"",P832+P1112+P1392)</f>
        <v/>
      </c>
      <c r="Q552" s="125" t="str">
        <f>IF(tech_base!$T208&gt;Q$345,"",Q832+Q1112+Q1392)</f>
        <v/>
      </c>
      <c r="R552" s="125" t="str">
        <f>IF(tech_base!$T208&gt;R$345,"",R832+R1112+R1392)</f>
        <v/>
      </c>
      <c r="S552" s="125" t="str">
        <f>IF(tech_base!$T208&gt;S$345,"",S832+S1112+S1392)</f>
        <v/>
      </c>
      <c r="T552" s="125" t="str">
        <f>IF(tech_base!$T208&gt;T$345,"",T832+T1112+T1392)</f>
        <v/>
      </c>
      <c r="U552" s="125" t="str">
        <f>IF(tech_base!$T208&gt;U$345,"",U832+U1112+U1392)</f>
        <v/>
      </c>
      <c r="V552" s="125" t="str">
        <f>IF(tech_base!$T208&gt;V$345,"",V832+V1112+V1392)</f>
        <v/>
      </c>
      <c r="W552" s="125" t="str">
        <f>IF(tech_base!$T208&gt;W$345,"",W832+W1112+W1392)</f>
        <v/>
      </c>
      <c r="X552" s="125" t="str">
        <f>IF(tech_base!$T208&gt;X$345,"",X832+X1112+X1392)</f>
        <v/>
      </c>
      <c r="Y552" s="125" t="str">
        <f>IF(tech_base!$T208&gt;Y$345,"",Y832+Y1112+Y1392)</f>
        <v/>
      </c>
      <c r="Z552" s="125" t="str">
        <f>IF(tech_base!$T208&gt;Z$345,"",Z832+Z1112+Z1392)</f>
        <v/>
      </c>
      <c r="AA552" s="125" t="str">
        <f>IF(tech_base!$T208&gt;AA$345,"",AA832+AA1112+AA1392)</f>
        <v/>
      </c>
      <c r="AB552" s="125" t="str">
        <f>IF(tech_base!$T208&gt;AB$345,"",AB832+AB1112+AB1392)</f>
        <v/>
      </c>
      <c r="AC552" s="125" t="str">
        <f>IF(tech_base!$T208&gt;AC$345,"",AC832+AC1112+AC1392)</f>
        <v/>
      </c>
      <c r="AD552" s="125" t="str">
        <f>IF(tech_base!$T208&gt;AD$345,"",AD832+AD1112+AD1392)</f>
        <v/>
      </c>
      <c r="AE552" s="125">
        <f>IF(tech_base!$T208&gt;AE$345,"",AE832+AE1112+AE1392)</f>
        <v>312.16507602264466</v>
      </c>
      <c r="AF552" s="125">
        <f>IF(tech_base!$T208&gt;AF$345,"",AF832+AF1112+AF1392)</f>
        <v>313.05076620508657</v>
      </c>
      <c r="AG552" s="125">
        <f>IF(tech_base!$T208&gt;AG$345,"",AG832+AG1112+AG1392)</f>
        <v>313.81356933438872</v>
      </c>
      <c r="AH552" s="125">
        <f>IF(tech_base!$T208&gt;AH$345,"",AH832+AH1112+AH1392)</f>
        <v>314.48800383486167</v>
      </c>
      <c r="AI552" s="125">
        <f>IF(tech_base!$T208&gt;AI$345,"",AI832+AI1112+AI1392)</f>
        <v>315.19405492191618</v>
      </c>
      <c r="AJ552" s="125">
        <f>IF(tech_base!$T208&gt;AJ$345,"",AJ832+AJ1112+AJ1392)</f>
        <v>315.89397716176029</v>
      </c>
      <c r="AK552" s="125">
        <f>IF(tech_base!$T208&gt;AK$345,"",AK832+AK1112+AK1392)</f>
        <v>316.49638169643811</v>
      </c>
      <c r="AL552" s="125">
        <f>IF(tech_base!$T208&gt;AL$345,"",AL832+AL1112+AL1392)</f>
        <v>316.9700057274348</v>
      </c>
      <c r="AM552" s="125">
        <f>IF(tech_base!$T208&gt;AM$345,"",AM832+AM1112+AM1392)</f>
        <v>317.17505947493657</v>
      </c>
      <c r="AN552" s="125">
        <f>IF(tech_base!$T208&gt;AN$345,"",AN832+AN1112+AN1392)</f>
        <v>317.22228522817488</v>
      </c>
      <c r="AO552" s="125">
        <f>IF(tech_base!$T208&gt;AO$345,"",AO832+AO1112+AO1392)</f>
        <v>317.15033680670587</v>
      </c>
      <c r="AP552" s="125">
        <f>IF(tech_base!$T208&gt;AP$345,"",AP832+AP1112+AP1392)</f>
        <v>316.92695695695056</v>
      </c>
      <c r="AQ552" s="125">
        <f>IF(tech_base!$T208&gt;AQ$345,"",AQ832+AQ1112+AQ1392)</f>
        <v>316.46518890347761</v>
      </c>
      <c r="AR552" s="125">
        <f>IF(tech_base!$T208&gt;AR$345,"",AR832+AR1112+AR1392)</f>
        <v>315.51508195732049</v>
      </c>
      <c r="AS552" s="125">
        <f>IF(tech_base!$T208&gt;AS$345,"",AS832+AS1112+AS1392)</f>
        <v>314.18875973021454</v>
      </c>
      <c r="AT552" s="125">
        <f>IF(tech_base!$T208&gt;AT$345,"",AT832+AT1112+AT1392)</f>
        <v>312.15225162304824</v>
      </c>
      <c r="AU552" s="125">
        <f>IF(tech_base!$T208&gt;AU$345,"",AU832+AU1112+AU1392)</f>
        <v>309.53205669968372</v>
      </c>
      <c r="AV552" s="125">
        <f>IF(tech_base!$T208&gt;AV$345,"",AV832+AV1112+AV1392)</f>
        <v>305.93651785640213</v>
      </c>
      <c r="AW552" s="125">
        <f>IF(tech_base!$T208&gt;AW$345,"",AW832+AW1112+AW1392)</f>
        <v>301.17297114624489</v>
      </c>
      <c r="AX552" s="126">
        <f>IF(tech_base!$T208&gt;AX$345,"",AX832+AX1112+AX1392)</f>
        <v>295.10467353612751</v>
      </c>
    </row>
    <row r="553" spans="1:50" x14ac:dyDescent="0.25">
      <c r="A553" s="356"/>
      <c r="B553" s="376"/>
      <c r="C553" s="361" t="s">
        <v>16</v>
      </c>
      <c r="D553" s="2" t="s">
        <v>7</v>
      </c>
      <c r="E553" s="76" t="str">
        <f>A547&amp;"/"&amp;B547&amp;"/"&amp;C553&amp;"/"&amp;D553</f>
        <v>Biomass and waste fired power plants/Integrated gasification combined cycle/CHP with CCS/L</v>
      </c>
      <c r="F553" s="76" t="str">
        <f>A547</f>
        <v>Biomass and waste fired power plants</v>
      </c>
      <c r="G553" s="76" t="str">
        <f>B547</f>
        <v>Integrated gasification combined cycle</v>
      </c>
      <c r="H553" s="76" t="str">
        <f>C553</f>
        <v>CHP with CCS</v>
      </c>
      <c r="I553" s="76" t="str">
        <f t="shared" si="360"/>
        <v>L</v>
      </c>
      <c r="J553" s="119" t="str">
        <f>IF(tech_base!$T209&gt;J$345,"",J833+J1113+J1393)</f>
        <v/>
      </c>
      <c r="K553" s="119" t="str">
        <f>IF(tech_base!$T209&gt;K$345,"",K833+K1113+K1393)</f>
        <v/>
      </c>
      <c r="L553" s="119" t="str">
        <f>IF(tech_base!$T209&gt;L$345,"",L833+L1113+L1393)</f>
        <v/>
      </c>
      <c r="M553" s="119" t="str">
        <f>IF(tech_base!$T209&gt;M$345,"",M833+M1113+M1393)</f>
        <v/>
      </c>
      <c r="N553" s="119" t="str">
        <f>IF(tech_base!$T209&gt;N$345,"",N833+N1113+N1393)</f>
        <v/>
      </c>
      <c r="O553" s="119" t="str">
        <f>IF(tech_base!$T209&gt;O$345,"",O833+O1113+O1393)</f>
        <v/>
      </c>
      <c r="P553" s="119" t="str">
        <f>IF(tech_base!$T209&gt;P$345,"",P833+P1113+P1393)</f>
        <v/>
      </c>
      <c r="Q553" s="119" t="str">
        <f>IF(tech_base!$T209&gt;Q$345,"",Q833+Q1113+Q1393)</f>
        <v/>
      </c>
      <c r="R553" s="119" t="str">
        <f>IF(tech_base!$T209&gt;R$345,"",R833+R1113+R1393)</f>
        <v/>
      </c>
      <c r="S553" s="119" t="str">
        <f>IF(tech_base!$T209&gt;S$345,"",S833+S1113+S1393)</f>
        <v/>
      </c>
      <c r="T553" s="119" t="str">
        <f>IF(tech_base!$T209&gt;T$345,"",T833+T1113+T1393)</f>
        <v/>
      </c>
      <c r="U553" s="119" t="str">
        <f>IF(tech_base!$T209&gt;U$345,"",U833+U1113+U1393)</f>
        <v/>
      </c>
      <c r="V553" s="119" t="str">
        <f>IF(tech_base!$T209&gt;V$345,"",V833+V1113+V1393)</f>
        <v/>
      </c>
      <c r="W553" s="119" t="str">
        <f>IF(tech_base!$T209&gt;W$345,"",W833+W1113+W1393)</f>
        <v/>
      </c>
      <c r="X553" s="119" t="str">
        <f>IF(tech_base!$T209&gt;X$345,"",X833+X1113+X1393)</f>
        <v/>
      </c>
      <c r="Y553" s="119" t="str">
        <f>IF(tech_base!$T209&gt;Y$345,"",Y833+Y1113+Y1393)</f>
        <v/>
      </c>
      <c r="Z553" s="119" t="str">
        <f>IF(tech_base!$T209&gt;Z$345,"",Z833+Z1113+Z1393)</f>
        <v/>
      </c>
      <c r="AA553" s="119" t="str">
        <f>IF(tech_base!$T209&gt;AA$345,"",AA833+AA1113+AA1393)</f>
        <v/>
      </c>
      <c r="AB553" s="119" t="str">
        <f>IF(tech_base!$T209&gt;AB$345,"",AB833+AB1113+AB1393)</f>
        <v/>
      </c>
      <c r="AC553" s="119" t="str">
        <f>IF(tech_base!$T209&gt;AC$345,"",AC833+AC1113+AC1393)</f>
        <v/>
      </c>
      <c r="AD553" s="119" t="str">
        <f>IF(tech_base!$T209&gt;AD$345,"",AD833+AD1113+AD1393)</f>
        <v/>
      </c>
      <c r="AE553" s="119">
        <f>IF(tech_base!$T209&gt;AE$345,"",AE833+AE1113+AE1393)</f>
        <v>322.72173774874329</v>
      </c>
      <c r="AF553" s="119">
        <f>IF(tech_base!$T209&gt;AF$345,"",AF833+AF1113+AF1393)</f>
        <v>323.64730039668075</v>
      </c>
      <c r="AG553" s="119">
        <f>IF(tech_base!$T209&gt;AG$345,"",AG833+AG1113+AG1393)</f>
        <v>324.43834669063551</v>
      </c>
      <c r="AH553" s="119">
        <f>IF(tech_base!$T209&gt;AH$345,"",AH833+AH1113+AH1393)</f>
        <v>325.13081088937781</v>
      </c>
      <c r="AI553" s="119">
        <f>IF(tech_base!$T209&gt;AI$345,"",AI833+AI1113+AI1393)</f>
        <v>325.85142589845259</v>
      </c>
      <c r="AJ553" s="119">
        <f>IF(tech_base!$T209&gt;AJ$345,"",AJ833+AJ1113+AJ1393)</f>
        <v>326.55949288882385</v>
      </c>
      <c r="AK553" s="119">
        <f>IF(tech_base!$T209&gt;AK$345,"",AK833+AK1113+AK1393)</f>
        <v>327.1577036418696</v>
      </c>
      <c r="AL553" s="119">
        <f>IF(tech_base!$T209&gt;AL$345,"",AL833+AL1113+AL1393)</f>
        <v>327.61336076677276</v>
      </c>
      <c r="AM553" s="119">
        <f>IF(tech_base!$T209&gt;AM$345,"",AM833+AM1113+AM1393)</f>
        <v>327.77985828636372</v>
      </c>
      <c r="AN553" s="119">
        <f>IF(tech_base!$T209&gt;AN$345,"",AN833+AN1113+AN1393)</f>
        <v>327.77890060268294</v>
      </c>
      <c r="AO553" s="119">
        <f>IF(tech_base!$T209&gt;AO$345,"",AO833+AO1113+AO1393)</f>
        <v>327.65923719212037</v>
      </c>
      <c r="AP553" s="119">
        <f>IF(tech_base!$T209&gt;AP$345,"",AP833+AP1113+AP1393)</f>
        <v>327.39997798453214</v>
      </c>
      <c r="AQ553" s="119">
        <f>IF(tech_base!$T209&gt;AQ$345,"",AQ833+AQ1113+AQ1393)</f>
        <v>326.93065313713402</v>
      </c>
      <c r="AR553" s="119">
        <f>IF(tech_base!$T209&gt;AR$345,"",AR833+AR1113+AR1393)</f>
        <v>326.01987645081198</v>
      </c>
      <c r="AS553" s="119">
        <f>IF(tech_base!$T209&gt;AS$345,"",AS833+AS1113+AS1393)</f>
        <v>324.83680883039813</v>
      </c>
      <c r="AT553" s="119">
        <f>IF(tech_base!$T209&gt;AT$345,"",AT833+AT1113+AT1393)</f>
        <v>323.0966941120937</v>
      </c>
      <c r="AU553" s="119">
        <f>IF(tech_base!$T209&gt;AU$345,"",AU833+AU1113+AU1393)</f>
        <v>321.02435589897368</v>
      </c>
      <c r="AV553" s="119">
        <f>IF(tech_base!$T209&gt;AV$345,"",AV833+AV1113+AV1393)</f>
        <v>318.30822244479589</v>
      </c>
      <c r="AW553" s="119">
        <f>IF(tech_base!$T209&gt;AW$345,"",AW833+AW1113+AW1393)</f>
        <v>314.84297294066329</v>
      </c>
      <c r="AX553" s="120">
        <f>IF(tech_base!$T209&gt;AX$345,"",AX833+AX1113+AX1393)</f>
        <v>310.5420317888005</v>
      </c>
    </row>
    <row r="554" spans="1:50" x14ac:dyDescent="0.25">
      <c r="A554" s="356"/>
      <c r="B554" s="380"/>
      <c r="C554" s="381"/>
      <c r="D554" s="4" t="s">
        <v>8</v>
      </c>
      <c r="E554" s="80" t="str">
        <f>A547&amp;"/"&amp;B547&amp;"/"&amp;C553&amp;"/"&amp;D554</f>
        <v>Biomass and waste fired power plants/Integrated gasification combined cycle/CHP with CCS/M</v>
      </c>
      <c r="F554" s="80" t="str">
        <f>A547</f>
        <v>Biomass and waste fired power plants</v>
      </c>
      <c r="G554" s="80" t="str">
        <f>B547</f>
        <v>Integrated gasification combined cycle</v>
      </c>
      <c r="H554" s="80" t="str">
        <f>C553</f>
        <v>CHP with CCS</v>
      </c>
      <c r="I554" s="80" t="str">
        <f t="shared" si="360"/>
        <v>M</v>
      </c>
      <c r="J554" s="127" t="str">
        <f>IF(tech_base!$T210&gt;J$345,"",J834+J1114+J1394)</f>
        <v/>
      </c>
      <c r="K554" s="127" t="str">
        <f>IF(tech_base!$T210&gt;K$345,"",K834+K1114+K1394)</f>
        <v/>
      </c>
      <c r="L554" s="127" t="str">
        <f>IF(tech_base!$T210&gt;L$345,"",L834+L1114+L1394)</f>
        <v/>
      </c>
      <c r="M554" s="127" t="str">
        <f>IF(tech_base!$T210&gt;M$345,"",M834+M1114+M1394)</f>
        <v/>
      </c>
      <c r="N554" s="127" t="str">
        <f>IF(tech_base!$T210&gt;N$345,"",N834+N1114+N1394)</f>
        <v/>
      </c>
      <c r="O554" s="127" t="str">
        <f>IF(tech_base!$T210&gt;O$345,"",O834+O1114+O1394)</f>
        <v/>
      </c>
      <c r="P554" s="127" t="str">
        <f>IF(tech_base!$T210&gt;P$345,"",P834+P1114+P1394)</f>
        <v/>
      </c>
      <c r="Q554" s="127" t="str">
        <f>IF(tech_base!$T210&gt;Q$345,"",Q834+Q1114+Q1394)</f>
        <v/>
      </c>
      <c r="R554" s="127" t="str">
        <f>IF(tech_base!$T210&gt;R$345,"",R834+R1114+R1394)</f>
        <v/>
      </c>
      <c r="S554" s="127" t="str">
        <f>IF(tech_base!$T210&gt;S$345,"",S834+S1114+S1394)</f>
        <v/>
      </c>
      <c r="T554" s="127" t="str">
        <f>IF(tech_base!$T210&gt;T$345,"",T834+T1114+T1394)</f>
        <v/>
      </c>
      <c r="U554" s="127" t="str">
        <f>IF(tech_base!$T210&gt;U$345,"",U834+U1114+U1394)</f>
        <v/>
      </c>
      <c r="V554" s="127" t="str">
        <f>IF(tech_base!$T210&gt;V$345,"",V834+V1114+V1394)</f>
        <v/>
      </c>
      <c r="W554" s="127" t="str">
        <f>IF(tech_base!$T210&gt;W$345,"",W834+W1114+W1394)</f>
        <v/>
      </c>
      <c r="X554" s="127" t="str">
        <f>IF(tech_base!$T210&gt;X$345,"",X834+X1114+X1394)</f>
        <v/>
      </c>
      <c r="Y554" s="127" t="str">
        <f>IF(tech_base!$T210&gt;Y$345,"",Y834+Y1114+Y1394)</f>
        <v/>
      </c>
      <c r="Z554" s="127" t="str">
        <f>IF(tech_base!$T210&gt;Z$345,"",Z834+Z1114+Z1394)</f>
        <v/>
      </c>
      <c r="AA554" s="127" t="str">
        <f>IF(tech_base!$T210&gt;AA$345,"",AA834+AA1114+AA1394)</f>
        <v/>
      </c>
      <c r="AB554" s="127" t="str">
        <f>IF(tech_base!$T210&gt;AB$345,"",AB834+AB1114+AB1394)</f>
        <v/>
      </c>
      <c r="AC554" s="127" t="str">
        <f>IF(tech_base!$T210&gt;AC$345,"",AC834+AC1114+AC1394)</f>
        <v/>
      </c>
      <c r="AD554" s="127" t="str">
        <f>IF(tech_base!$T210&gt;AD$345,"",AD834+AD1114+AD1394)</f>
        <v/>
      </c>
      <c r="AE554" s="127">
        <f>IF(tech_base!$T210&gt;AE$345,"",AE834+AE1114+AE1394)</f>
        <v>347.28389675854066</v>
      </c>
      <c r="AF554" s="127">
        <f>IF(tech_base!$T210&gt;AF$345,"",AF834+AF1114+AF1394)</f>
        <v>348.29081837877118</v>
      </c>
      <c r="AG554" s="127">
        <f>IF(tech_base!$T210&gt;AG$345,"",AG834+AG1114+AG1394)</f>
        <v>349.15972959477483</v>
      </c>
      <c r="AH554" s="127">
        <f>IF(tech_base!$T210&gt;AH$345,"",AH834+AH1114+AH1394)</f>
        <v>349.93028946675463</v>
      </c>
      <c r="AI554" s="127">
        <f>IF(tech_base!$T210&gt;AI$345,"",AI834+AI1114+AI1394)</f>
        <v>350.73925653103902</v>
      </c>
      <c r="AJ554" s="127">
        <f>IF(tech_base!$T210&gt;AJ$345,"",AJ834+AJ1114+AJ1394)</f>
        <v>351.54492238686714</v>
      </c>
      <c r="AK554" s="127">
        <f>IF(tech_base!$T210&gt;AK$345,"",AK834+AK1114+AK1394)</f>
        <v>352.24521444307106</v>
      </c>
      <c r="AL554" s="127">
        <f>IF(tech_base!$T210&gt;AL$345,"",AL834+AL1114+AL1394)</f>
        <v>352.80682993319408</v>
      </c>
      <c r="AM554" s="127">
        <f>IF(tech_base!$T210&gt;AM$345,"",AM834+AM1114+AM1394)</f>
        <v>353.07429645995865</v>
      </c>
      <c r="AN554" s="127">
        <f>IF(tech_base!$T210&gt;AN$345,"",AN834+AN1114+AN1394)</f>
        <v>353.17733072116607</v>
      </c>
      <c r="AO554" s="127">
        <f>IF(tech_base!$T210&gt;AO$345,"",AO834+AO1114+AO1394)</f>
        <v>353.16558558703605</v>
      </c>
      <c r="AP554" s="127">
        <f>IF(tech_base!$T210&gt;AP$345,"",AP834+AP1114+AP1394)</f>
        <v>353.01054711097549</v>
      </c>
      <c r="AQ554" s="127">
        <f>IF(tech_base!$T210&gt;AQ$345,"",AQ834+AQ1114+AQ1394)</f>
        <v>352.62459374025241</v>
      </c>
      <c r="AR554" s="127">
        <f>IF(tech_base!$T210&gt;AR$345,"",AR834+AR1114+AR1394)</f>
        <v>351.73887323833736</v>
      </c>
      <c r="AS554" s="127">
        <f>IF(tech_base!$T210&gt;AS$345,"",AS834+AS1114+AS1394)</f>
        <v>350.49964947320814</v>
      </c>
      <c r="AT554" s="127">
        <f>IF(tech_base!$T210&gt;AT$345,"",AT834+AT1114+AT1394)</f>
        <v>348.55183713198403</v>
      </c>
      <c r="AU554" s="127">
        <f>IF(tech_base!$T210&gt;AU$345,"",AU834+AU1114+AU1394)</f>
        <v>346.0673663300696</v>
      </c>
      <c r="AV554" s="127">
        <f>IF(tech_base!$T210&gt;AV$345,"",AV834+AV1114+AV1394)</f>
        <v>342.6317548488459</v>
      </c>
      <c r="AW554" s="127">
        <f>IF(tech_base!$T210&gt;AW$345,"",AW834+AW1114+AW1394)</f>
        <v>338.05284434851876</v>
      </c>
      <c r="AX554" s="128">
        <f>IF(tech_base!$T210&gt;AX$345,"",AX834+AX1114+AX1394)</f>
        <v>332.18950354097262</v>
      </c>
    </row>
    <row r="555" spans="1:50" x14ac:dyDescent="0.25">
      <c r="A555" s="356"/>
      <c r="B555" s="358" t="s">
        <v>18</v>
      </c>
      <c r="C555" s="353" t="s">
        <v>6</v>
      </c>
      <c r="D555" s="3" t="s">
        <v>7</v>
      </c>
      <c r="E555" s="77" t="str">
        <f>A547&amp;"/"&amp;B555&amp;"/"&amp;C555&amp;"/"&amp;D555</f>
        <v>Biomass and waste fired power plants/Fluidized bed combustion/Electricity only/L</v>
      </c>
      <c r="F555" s="77" t="str">
        <f>A547</f>
        <v>Biomass and waste fired power plants</v>
      </c>
      <c r="G555" s="77" t="str">
        <f>B555</f>
        <v>Fluidized bed combustion</v>
      </c>
      <c r="H555" s="77" t="str">
        <f>C555</f>
        <v>Electricity only</v>
      </c>
      <c r="I555" s="77" t="str">
        <f t="shared" si="360"/>
        <v>L</v>
      </c>
      <c r="J555" s="121">
        <f>IF(tech_base!$T211&gt;J$345,"",J835+J1115+J1395)</f>
        <v>156.74319880554103</v>
      </c>
      <c r="K555" s="121">
        <f>IF(tech_base!$T211&gt;K$345,"",K835+K1115+K1395)</f>
        <v>158.5987982202538</v>
      </c>
      <c r="L555" s="121">
        <f>IF(tech_base!$T211&gt;L$345,"",L835+L1115+L1395)</f>
        <v>160.45419980657249</v>
      </c>
      <c r="M555" s="121">
        <f>IF(tech_base!$T211&gt;M$345,"",M835+M1115+M1395)</f>
        <v>162.30919614142181</v>
      </c>
      <c r="N555" s="121">
        <f>IF(tech_base!$T211&gt;N$345,"",N835+N1115+N1395)</f>
        <v>164.1635330976107</v>
      </c>
      <c r="O555" s="121">
        <f>IF(tech_base!$T211&gt;O$345,"",O835+O1115+O1395)</f>
        <v>166.01689944642709</v>
      </c>
      <c r="P555" s="121">
        <f>IF(tech_base!$T211&gt;P$345,"",P835+P1115+P1395)</f>
        <v>166.53491064595542</v>
      </c>
      <c r="Q555" s="121">
        <f>IF(tech_base!$T211&gt;Q$345,"",Q835+Q1115+Q1395)</f>
        <v>166.75887505316331</v>
      </c>
      <c r="R555" s="121">
        <f>IF(tech_base!$T211&gt;R$345,"",R835+R1115+R1395)</f>
        <v>167.01598916627424</v>
      </c>
      <c r="S555" s="121">
        <f>IF(tech_base!$T211&gt;S$345,"",S835+S1115+S1395)</f>
        <v>167.44558179609066</v>
      </c>
      <c r="T555" s="121">
        <f>IF(tech_base!$T211&gt;T$345,"",T835+T1115+T1395)</f>
        <v>168.14624981119778</v>
      </c>
      <c r="U555" s="121">
        <f>IF(tech_base!$T211&gt;U$345,"",U835+U1115+U1395)</f>
        <v>168.87000392189532</v>
      </c>
      <c r="V555" s="121">
        <f>IF(tech_base!$T211&gt;V$345,"",V835+V1115+V1395)</f>
        <v>169.65314404922208</v>
      </c>
      <c r="W555" s="121">
        <f>IF(tech_base!$T211&gt;W$345,"",W835+W1115+W1395)</f>
        <v>170.46339800320669</v>
      </c>
      <c r="X555" s="121">
        <f>IF(tech_base!$T211&gt;X$345,"",X835+X1115+X1395)</f>
        <v>171.24452011643288</v>
      </c>
      <c r="Y555" s="121">
        <f>IF(tech_base!$T211&gt;Y$345,"",Y835+Y1115+Y1395)</f>
        <v>172.04043515008419</v>
      </c>
      <c r="Z555" s="121">
        <f>IF(tech_base!$T211&gt;Z$345,"",Z835+Z1115+Z1395)</f>
        <v>172.81624619268138</v>
      </c>
      <c r="AA555" s="121">
        <f>IF(tech_base!$T211&gt;AA$345,"",AA835+AA1115+AA1395)</f>
        <v>173.65414409821216</v>
      </c>
      <c r="AB555" s="121">
        <f>IF(tech_base!$T211&gt;AB$345,"",AB835+AB1115+AB1395)</f>
        <v>174.75326420877343</v>
      </c>
      <c r="AC555" s="121">
        <f>IF(tech_base!$T211&gt;AC$345,"",AC835+AC1115+AC1395)</f>
        <v>176.42574792399006</v>
      </c>
      <c r="AD555" s="121">
        <f>IF(tech_base!$T211&gt;AD$345,"",AD835+AD1115+AD1395)</f>
        <v>178.03619105156636</v>
      </c>
      <c r="AE555" s="121">
        <f>IF(tech_base!$T211&gt;AE$345,"",AE835+AE1115+AE1395)</f>
        <v>179.06888328739004</v>
      </c>
      <c r="AF555" s="121">
        <f>IF(tech_base!$T211&gt;AF$345,"",AF835+AF1115+AF1395)</f>
        <v>179.58613359760136</v>
      </c>
      <c r="AG555" s="121">
        <f>IF(tech_base!$T211&gt;AG$345,"",AG835+AG1115+AG1395)</f>
        <v>179.95588870198705</v>
      </c>
      <c r="AH555" s="121">
        <f>IF(tech_base!$T211&gt;AH$345,"",AH835+AH1115+AH1395)</f>
        <v>180.20245290479065</v>
      </c>
      <c r="AI555" s="121">
        <f>IF(tech_base!$T211&gt;AI$345,"",AI835+AI1115+AI1395)</f>
        <v>180.423189255267</v>
      </c>
      <c r="AJ555" s="121">
        <f>IF(tech_base!$T211&gt;AJ$345,"",AJ835+AJ1115+AJ1395)</f>
        <v>180.58305322074983</v>
      </c>
      <c r="AK555" s="121">
        <f>IF(tech_base!$T211&gt;AK$345,"",AK835+AK1115+AK1395)</f>
        <v>180.60452391235754</v>
      </c>
      <c r="AL555" s="121">
        <f>IF(tech_base!$T211&gt;AL$345,"",AL835+AL1115+AL1395)</f>
        <v>180.46574279284113</v>
      </c>
      <c r="AM555" s="121">
        <f>IF(tech_base!$T211&gt;AM$345,"",AM835+AM1115+AM1395)</f>
        <v>180.06041416144515</v>
      </c>
      <c r="AN555" s="121">
        <f>IF(tech_base!$T211&gt;AN$345,"",AN835+AN1115+AN1395)</f>
        <v>179.50371075683984</v>
      </c>
      <c r="AO555" s="121">
        <f>IF(tech_base!$T211&gt;AO$345,"",AO835+AO1115+AO1395)</f>
        <v>178.86324091363034</v>
      </c>
      <c r="AP555" s="121">
        <f>IF(tech_base!$T211&gt;AP$345,"",AP835+AP1115+AP1395)</f>
        <v>178.16483338034752</v>
      </c>
      <c r="AQ555" s="121">
        <f>IF(tech_base!$T211&gt;AQ$345,"",AQ835+AQ1115+AQ1395)</f>
        <v>177.41129043322877</v>
      </c>
      <c r="AR555" s="121">
        <f>IF(tech_base!$T211&gt;AR$345,"",AR835+AR1115+AR1395)</f>
        <v>176.49647853951024</v>
      </c>
      <c r="AS555" s="121">
        <f>IF(tech_base!$T211&gt;AS$345,"",AS835+AS1115+AS1395)</f>
        <v>175.64784755144524</v>
      </c>
      <c r="AT555" s="121">
        <f>IF(tech_base!$T211&gt;AT$345,"",AT835+AT1115+AT1395)</f>
        <v>174.74950393406448</v>
      </c>
      <c r="AU555" s="121">
        <f>IF(tech_base!$T211&gt;AU$345,"",AU835+AU1115+AU1395)</f>
        <v>174.09527828678492</v>
      </c>
      <c r="AV555" s="121">
        <f>IF(tech_base!$T211&gt;AV$345,"",AV835+AV1115+AV1395)</f>
        <v>173.55192690425025</v>
      </c>
      <c r="AW555" s="121">
        <f>IF(tech_base!$T211&gt;AW$345,"",AW835+AW1115+AW1395)</f>
        <v>173.1261448410371</v>
      </c>
      <c r="AX555" s="122">
        <f>IF(tech_base!$T211&gt;AX$345,"",AX835+AX1115+AX1395)</f>
        <v>172.79299121199568</v>
      </c>
    </row>
    <row r="556" spans="1:50" x14ac:dyDescent="0.25">
      <c r="A556" s="356"/>
      <c r="B556" s="376"/>
      <c r="C556" s="378"/>
      <c r="D556" s="2" t="s">
        <v>8</v>
      </c>
      <c r="E556" s="76" t="str">
        <f>A547&amp;"/"&amp;B555&amp;"/"&amp;C555&amp;"/"&amp;D556</f>
        <v>Biomass and waste fired power plants/Fluidized bed combustion/Electricity only/M</v>
      </c>
      <c r="F556" s="76" t="str">
        <f>A547</f>
        <v>Biomass and waste fired power plants</v>
      </c>
      <c r="G556" s="76" t="str">
        <f>B555</f>
        <v>Fluidized bed combustion</v>
      </c>
      <c r="H556" s="76" t="str">
        <f>C555</f>
        <v>Electricity only</v>
      </c>
      <c r="I556" s="76" t="str">
        <f t="shared" si="360"/>
        <v>M</v>
      </c>
      <c r="J556" s="119">
        <f>IF(tech_base!$T212&gt;J$345,"",J836+J1116+J1396)</f>
        <v>167.88593717648257</v>
      </c>
      <c r="K556" s="119">
        <f>IF(tech_base!$T212&gt;K$345,"",K836+K1116+K1396)</f>
        <v>169.83700402561732</v>
      </c>
      <c r="L556" s="119">
        <f>IF(tech_base!$T212&gt;L$345,"",L836+L1116+L1396)</f>
        <v>171.78709569709196</v>
      </c>
      <c r="M556" s="119">
        <f>IF(tech_base!$T212&gt;M$345,"",M836+M1116+M1396)</f>
        <v>173.73587397724958</v>
      </c>
      <c r="N556" s="119">
        <f>IF(tech_base!$T212&gt;N$345,"",N836+N1116+N1396)</f>
        <v>175.68293530028672</v>
      </c>
      <c r="O556" s="119">
        <f>IF(tech_base!$T212&gt;O$345,"",O836+O1116+O1396)</f>
        <v>177.6277983975653</v>
      </c>
      <c r="P556" s="119">
        <f>IF(tech_base!$T212&gt;P$345,"",P836+P1116+P1396)</f>
        <v>178.16419508901868</v>
      </c>
      <c r="Q556" s="119">
        <f>IF(tech_base!$T212&gt;Q$345,"",Q836+Q1116+Q1396)</f>
        <v>178.38928475415952</v>
      </c>
      <c r="R556" s="119">
        <f>IF(tech_base!$T212&gt;R$345,"",R836+R1116+R1396)</f>
        <v>178.64766050150945</v>
      </c>
      <c r="S556" s="119">
        <f>IF(tech_base!$T212&gt;S$345,"",S836+S1116+S1396)</f>
        <v>179.08591277783989</v>
      </c>
      <c r="T556" s="119">
        <f>IF(tech_base!$T212&gt;T$345,"",T836+T1116+T1396)</f>
        <v>179.80767744564622</v>
      </c>
      <c r="U556" s="119">
        <f>IF(tech_base!$T212&gt;U$345,"",U836+U1116+U1396)</f>
        <v>180.55140515241408</v>
      </c>
      <c r="V556" s="119">
        <f>IF(tech_base!$T212&gt;V$345,"",V836+V1116+V1396)</f>
        <v>181.35508129441826</v>
      </c>
      <c r="W556" s="119">
        <f>IF(tech_base!$T212&gt;W$345,"",W836+W1116+W1396)</f>
        <v>182.18444362595204</v>
      </c>
      <c r="X556" s="119">
        <f>IF(tech_base!$T212&gt;X$345,"",X836+X1116+X1396)</f>
        <v>182.97999244280442</v>
      </c>
      <c r="Y556" s="119">
        <f>IF(tech_base!$T212&gt;Y$345,"",Y836+Y1116+Y1396)</f>
        <v>183.78777784213565</v>
      </c>
      <c r="Z556" s="119">
        <f>IF(tech_base!$T212&gt;Z$345,"",Z836+Z1116+Z1396)</f>
        <v>184.57086479801393</v>
      </c>
      <c r="AA556" s="119">
        <f>IF(tech_base!$T212&gt;AA$345,"",AA836+AA1116+AA1396)</f>
        <v>185.4157098750174</v>
      </c>
      <c r="AB556" s="119">
        <f>IF(tech_base!$T212&gt;AB$345,"",AB836+AB1116+AB1396)</f>
        <v>186.53198895694788</v>
      </c>
      <c r="AC556" s="119">
        <f>IF(tech_base!$T212&gt;AC$345,"",AC836+AC1116+AC1396)</f>
        <v>188.24842372542719</v>
      </c>
      <c r="AD556" s="119">
        <f>IF(tech_base!$T212&gt;AD$345,"",AD836+AD1116+AD1396)</f>
        <v>189.89619431706478</v>
      </c>
      <c r="AE556" s="119">
        <f>IF(tech_base!$T212&gt;AE$345,"",AE836+AE1116+AE1396)</f>
        <v>190.93301614955374</v>
      </c>
      <c r="AF556" s="119">
        <f>IF(tech_base!$T212&gt;AF$345,"",AF836+AF1116+AF1396)</f>
        <v>191.42557709283949</v>
      </c>
      <c r="AG556" s="119">
        <f>IF(tech_base!$T212&gt;AG$345,"",AG836+AG1116+AG1396)</f>
        <v>191.76257625522564</v>
      </c>
      <c r="AH556" s="119">
        <f>IF(tech_base!$T212&gt;AH$345,"",AH836+AH1116+AH1396)</f>
        <v>191.97130545206534</v>
      </c>
      <c r="AI556" s="119">
        <f>IF(tech_base!$T212&gt;AI$345,"",AI836+AI1116+AI1396)</f>
        <v>192.15631464677733</v>
      </c>
      <c r="AJ556" s="119">
        <f>IF(tech_base!$T212&gt;AJ$345,"",AJ836+AJ1116+AJ1396)</f>
        <v>192.28314030969568</v>
      </c>
      <c r="AK556" s="119">
        <f>IF(tech_base!$T212&gt;AK$345,"",AK836+AK1116+AK1396)</f>
        <v>192.27283963629384</v>
      </c>
      <c r="AL556" s="119">
        <f>IF(tech_base!$T212&gt;AL$345,"",AL836+AL1116+AL1396)</f>
        <v>192.10498320361103</v>
      </c>
      <c r="AM556" s="119">
        <f>IF(tech_base!$T212&gt;AM$345,"",AM836+AM1116+AM1396)</f>
        <v>191.66983930289859</v>
      </c>
      <c r="AN556" s="119">
        <f>IF(tech_base!$T212&gt;AN$345,"",AN836+AN1116+AN1396)</f>
        <v>191.08967427389828</v>
      </c>
      <c r="AO556" s="119">
        <f>IF(tech_base!$T212&gt;AO$345,"",AO836+AO1116+AO1396)</f>
        <v>190.43509906226899</v>
      </c>
      <c r="AP556" s="119">
        <f>IF(tech_base!$T212&gt;AP$345,"",AP836+AP1116+AP1396)</f>
        <v>189.73055321455035</v>
      </c>
      <c r="AQ556" s="119">
        <f>IF(tech_base!$T212&gt;AQ$345,"",AQ836+AQ1116+AQ1396)</f>
        <v>188.97358206674528</v>
      </c>
      <c r="AR556" s="119">
        <f>IF(tech_base!$T212&gt;AR$345,"",AR836+AR1116+AR1396)</f>
        <v>188.0443135361231</v>
      </c>
      <c r="AS556" s="119">
        <f>IF(tech_base!$T212&gt;AS$345,"",AS836+AS1116+AS1396)</f>
        <v>187.17180947878541</v>
      </c>
      <c r="AT556" s="119">
        <f>IF(tech_base!$T212&gt;AT$345,"",AT836+AT1116+AT1396)</f>
        <v>186.22272866072416</v>
      </c>
      <c r="AU556" s="119">
        <f>IF(tech_base!$T212&gt;AU$345,"",AU836+AU1116+AU1396)</f>
        <v>185.49592510900396</v>
      </c>
      <c r="AV556" s="119">
        <f>IF(tech_base!$T212&gt;AV$345,"",AV836+AV1116+AV1396)</f>
        <v>184.84345849229993</v>
      </c>
      <c r="AW556" s="119">
        <f>IF(tech_base!$T212&gt;AW$345,"",AW836+AW1116+AW1396)</f>
        <v>184.26937765202979</v>
      </c>
      <c r="AX556" s="120">
        <f>IF(tech_base!$T212&gt;AX$345,"",AX836+AX1116+AX1396)</f>
        <v>183.75005838316395</v>
      </c>
    </row>
    <row r="557" spans="1:50" x14ac:dyDescent="0.25">
      <c r="A557" s="356"/>
      <c r="B557" s="376"/>
      <c r="C557" s="378"/>
      <c r="D557" s="2" t="s">
        <v>10</v>
      </c>
      <c r="E557" s="76" t="str">
        <f>A547&amp;"/"&amp;B555&amp;"/"&amp;C555&amp;"/"&amp;D557</f>
        <v>Biomass and waste fired power plants/Fluidized bed combustion/Electricity only/S</v>
      </c>
      <c r="F557" s="76" t="str">
        <f>A547</f>
        <v>Biomass and waste fired power plants</v>
      </c>
      <c r="G557" s="76" t="str">
        <f>B555</f>
        <v>Fluidized bed combustion</v>
      </c>
      <c r="H557" s="76" t="str">
        <f>C555</f>
        <v>Electricity only</v>
      </c>
      <c r="I557" s="76" t="str">
        <f t="shared" si="360"/>
        <v>S</v>
      </c>
      <c r="J557" s="119">
        <f>IF(tech_base!$T213&gt;J$345,"",J837+J1117+J1397)</f>
        <v>182.333112881663</v>
      </c>
      <c r="K557" s="119">
        <f>IF(tech_base!$T213&gt;K$345,"",K837+K1117+K1397)</f>
        <v>184.37741154241911</v>
      </c>
      <c r="L557" s="119">
        <f>IF(tech_base!$T213&gt;L$345,"",L837+L1117+L1397)</f>
        <v>186.41887458428019</v>
      </c>
      <c r="M557" s="119">
        <f>IF(tech_base!$T213&gt;M$345,"",M837+M1117+M1397)</f>
        <v>188.45690616138444</v>
      </c>
      <c r="N557" s="119">
        <f>IF(tech_base!$T213&gt;N$345,"",N837+N1117+N1397)</f>
        <v>190.49081490294213</v>
      </c>
      <c r="O557" s="119">
        <f>IF(tech_base!$T213&gt;O$345,"",O837+O1117+O1397)</f>
        <v>192.51979935198304</v>
      </c>
      <c r="P557" s="119">
        <f>IF(tech_base!$T213&gt;P$345,"",P837+P1117+P1397)</f>
        <v>193.06159418791043</v>
      </c>
      <c r="Q557" s="119">
        <f>IF(tech_base!$T213&gt;Q$345,"",Q837+Q1117+Q1397)</f>
        <v>193.27223333391606</v>
      </c>
      <c r="R557" s="119">
        <f>IF(tech_base!$T213&gt;R$345,"",R837+R1117+R1397)</f>
        <v>193.51452015477429</v>
      </c>
      <c r="S557" s="119">
        <f>IF(tech_base!$T213&gt;S$345,"",S837+S1117+S1397)</f>
        <v>193.94252720741264</v>
      </c>
      <c r="T557" s="119">
        <f>IF(tech_base!$T213&gt;T$345,"",T837+T1117+T1397)</f>
        <v>194.66500137606369</v>
      </c>
      <c r="U557" s="119">
        <f>IF(tech_base!$T213&gt;U$345,"",U837+U1117+U1397)</f>
        <v>195.40592842531819</v>
      </c>
      <c r="V557" s="119">
        <f>IF(tech_base!$T213&gt;V$345,"",V837+V1117+V1397)</f>
        <v>196.20488458520106</v>
      </c>
      <c r="W557" s="119">
        <f>IF(tech_base!$T213&gt;W$345,"",W837+W1117+W1397)</f>
        <v>197.02533691274076</v>
      </c>
      <c r="X557" s="119">
        <f>IF(tech_base!$T213&gt;X$345,"",X837+X1117+X1397)</f>
        <v>197.80420525793599</v>
      </c>
      <c r="Y557" s="119">
        <f>IF(tech_base!$T213&gt;Y$345,"",Y837+Y1117+Y1397)</f>
        <v>198.58961338388656</v>
      </c>
      <c r="Z557" s="119">
        <f>IF(tech_base!$T213&gt;Z$345,"",Z837+Z1117+Z1397)</f>
        <v>199.34235501695446</v>
      </c>
      <c r="AA557" s="119">
        <f>IF(tech_base!$T213&gt;AA$345,"",AA837+AA1117+AA1397)</f>
        <v>200.15322194700062</v>
      </c>
      <c r="AB557" s="119">
        <f>IF(tech_base!$T213&gt;AB$345,"",AB837+AB1117+AB1397)</f>
        <v>201.24275227535463</v>
      </c>
      <c r="AC557" s="119">
        <f>IF(tech_base!$T213&gt;AC$345,"",AC837+AC1117+AC1397)</f>
        <v>202.95675111372162</v>
      </c>
      <c r="AD557" s="119">
        <f>IF(tech_base!$T213&gt;AD$345,"",AD837+AD1117+AD1397)</f>
        <v>204.59153315813612</v>
      </c>
      <c r="AE557" s="119">
        <f>IF(tech_base!$T213&gt;AE$345,"",AE837+AE1117+AE1397)</f>
        <v>205.57733745843302</v>
      </c>
      <c r="AF557" s="119">
        <f>IF(tech_base!$T213&gt;AF$345,"",AF837+AF1117+AF1397)</f>
        <v>205.98562125358899</v>
      </c>
      <c r="AG557" s="119">
        <f>IF(tech_base!$T213&gt;AG$345,"",AG837+AG1117+AG1397)</f>
        <v>206.22674110460946</v>
      </c>
      <c r="AH557" s="119">
        <f>IF(tech_base!$T213&gt;AH$345,"",AH837+AH1117+AH1397)</f>
        <v>206.33125638484879</v>
      </c>
      <c r="AI557" s="119">
        <f>IF(tech_base!$T213&gt;AI$345,"",AI837+AI1117+AI1397)</f>
        <v>206.41132684615076</v>
      </c>
      <c r="AJ557" s="119">
        <f>IF(tech_base!$T213&gt;AJ$345,"",AJ837+AJ1117+AJ1397)</f>
        <v>206.43336825536312</v>
      </c>
      <c r="AK557" s="119">
        <f>IF(tech_base!$T213&gt;AK$345,"",AK837+AK1117+AK1397)</f>
        <v>206.31741838467497</v>
      </c>
      <c r="AL557" s="119">
        <f>IF(tech_base!$T213&gt;AL$345,"",AL837+AL1117+AL1397)</f>
        <v>206.0451777358993</v>
      </c>
      <c r="AM557" s="119">
        <f>IF(tech_base!$T213&gt;AM$345,"",AM837+AM1117+AM1397)</f>
        <v>205.50446369872438</v>
      </c>
      <c r="AN557" s="119">
        <f>IF(tech_base!$T213&gt;AN$345,"",AN837+AN1117+AN1397)</f>
        <v>204.82629415785408</v>
      </c>
      <c r="AO557" s="119">
        <f>IF(tech_base!$T213&gt;AO$345,"",AO837+AO1117+AO1397)</f>
        <v>204.08653112037598</v>
      </c>
      <c r="AP557" s="119">
        <f>IF(tech_base!$T213&gt;AP$345,"",AP837+AP1117+AP1397)</f>
        <v>203.31126312909464</v>
      </c>
      <c r="AQ557" s="119">
        <f>IF(tech_base!$T213&gt;AQ$345,"",AQ837+AQ1117+AQ1397)</f>
        <v>202.49668836934615</v>
      </c>
      <c r="AR557" s="119">
        <f>IF(tech_base!$T213&gt;AR$345,"",AR837+AR1117+AR1397)</f>
        <v>201.51380711661278</v>
      </c>
      <c r="AS557" s="119">
        <f>IF(tech_base!$T213&gt;AS$345,"",AS837+AS1117+AS1397)</f>
        <v>200.59815595864927</v>
      </c>
      <c r="AT557" s="119">
        <f>IF(tech_base!$T213&gt;AT$345,"",AT837+AT1117+AT1397)</f>
        <v>199.60313713338513</v>
      </c>
      <c r="AU557" s="119">
        <f>IF(tech_base!$T213&gt;AU$345,"",AU837+AU1117+AU1397)</f>
        <v>198.83521736683662</v>
      </c>
      <c r="AV557" s="119">
        <f>IF(tech_base!$T213&gt;AV$345,"",AV837+AV1117+AV1397)</f>
        <v>198.13162590035643</v>
      </c>
      <c r="AW557" s="119">
        <f>IF(tech_base!$T213&gt;AW$345,"",AW837+AW1117+AW1397)</f>
        <v>197.49032733861782</v>
      </c>
      <c r="AX557" s="120">
        <f>IF(tech_base!$T213&gt;AX$345,"",AX837+AX1117+AX1397)</f>
        <v>196.8823048666178</v>
      </c>
    </row>
    <row r="558" spans="1:50" x14ac:dyDescent="0.25">
      <c r="A558" s="356"/>
      <c r="B558" s="376"/>
      <c r="C558" s="379"/>
      <c r="D558" s="2" t="s">
        <v>20</v>
      </c>
      <c r="E558" s="76" t="str">
        <f>A547&amp;"/"&amp;B555&amp;"/"&amp;C555&amp;"/"&amp;D558</f>
        <v>Biomass and waste fired power plants/Fluidized bed combustion/Electricity only/XS</v>
      </c>
      <c r="F558" s="76" t="str">
        <f>A547</f>
        <v>Biomass and waste fired power plants</v>
      </c>
      <c r="G558" s="76" t="str">
        <f>B555</f>
        <v>Fluidized bed combustion</v>
      </c>
      <c r="H558" s="76" t="str">
        <f>C555</f>
        <v>Electricity only</v>
      </c>
      <c r="I558" s="76" t="str">
        <f t="shared" si="360"/>
        <v>XS</v>
      </c>
      <c r="J558" s="119">
        <f>IF(tech_base!$T214&gt;J$345,"",J838+J1118+J1398)</f>
        <v>208.48554027969101</v>
      </c>
      <c r="K558" s="119">
        <f>IF(tech_base!$T214&gt;K$345,"",K838+K1118+K1398)</f>
        <v>210.63288818160208</v>
      </c>
      <c r="L558" s="119">
        <f>IF(tech_base!$T214&gt;L$345,"",L838+L1118+L1398)</f>
        <v>212.77593656162765</v>
      </c>
      <c r="M558" s="119">
        <f>IF(tech_base!$T214&gt;M$345,"",M838+M1118+M1398)</f>
        <v>214.91384691092719</v>
      </c>
      <c r="N558" s="119">
        <f>IF(tech_base!$T214&gt;N$345,"",N838+N1118+N1398)</f>
        <v>217.04564735562718</v>
      </c>
      <c r="O558" s="119">
        <f>IF(tech_base!$T214&gt;O$345,"",O838+O1118+O1398)</f>
        <v>219.17021262485275</v>
      </c>
      <c r="P558" s="119">
        <f>IF(tech_base!$T214&gt;P$345,"",P838+P1118+P1398)</f>
        <v>219.7246517408679</v>
      </c>
      <c r="Q558" s="119">
        <f>IF(tech_base!$T214&gt;Q$345,"",Q838+Q1118+Q1398)</f>
        <v>219.92734203077498</v>
      </c>
      <c r="R558" s="119">
        <f>IF(tech_base!$T214&gt;R$345,"",R838+R1118+R1398)</f>
        <v>220.16034318466876</v>
      </c>
      <c r="S558" s="119">
        <f>IF(tech_base!$T214&gt;S$345,"",S838+S1118+S1398)</f>
        <v>220.58559564293677</v>
      </c>
      <c r="T558" s="119">
        <f>IF(tech_base!$T214&gt;T$345,"",T838+T1118+T1398)</f>
        <v>221.31717493587877</v>
      </c>
      <c r="U558" s="119">
        <f>IF(tech_base!$T214&gt;U$345,"",U838+U1118+U1398)</f>
        <v>222.0635215868686</v>
      </c>
      <c r="V558" s="119">
        <f>IF(tech_base!$T214&gt;V$345,"",V838+V1118+V1398)</f>
        <v>222.86565965653404</v>
      </c>
      <c r="W558" s="119">
        <f>IF(tech_base!$T214&gt;W$345,"",W838+W1118+W1398)</f>
        <v>223.68430720818162</v>
      </c>
      <c r="X558" s="119">
        <f>IF(tech_base!$T214&gt;X$345,"",X838+X1118+X1398)</f>
        <v>224.45212297538654</v>
      </c>
      <c r="Y558" s="119">
        <f>IF(tech_base!$T214&gt;Y$345,"",Y838+Y1118+Y1398)</f>
        <v>225.21886893594515</v>
      </c>
      <c r="Z558" s="119">
        <f>IF(tech_base!$T214&gt;Z$345,"",Z838+Z1118+Z1398)</f>
        <v>225.94218178500509</v>
      </c>
      <c r="AA558" s="119">
        <f>IF(tech_base!$T214&gt;AA$345,"",AA838+AA1118+AA1398)</f>
        <v>226.71657790144326</v>
      </c>
      <c r="AB558" s="119">
        <f>IF(tech_base!$T214&gt;AB$345,"",AB838+AB1118+AB1398)</f>
        <v>227.77312282502808</v>
      </c>
      <c r="AC558" s="119">
        <f>IF(tech_base!$T214&gt;AC$345,"",AC838+AC1118+AC1398)</f>
        <v>229.47462441254595</v>
      </c>
      <c r="AD558" s="119">
        <f>IF(tech_base!$T214&gt;AD$345,"",AD838+AD1118+AD1398)</f>
        <v>231.0783662107803</v>
      </c>
      <c r="AE558" s="119">
        <f>IF(tech_base!$T214&gt;AE$345,"",AE838+AE1118+AE1398)</f>
        <v>231.98305781330936</v>
      </c>
      <c r="AF558" s="119">
        <f>IF(tech_base!$T214&gt;AF$345,"",AF838+AF1118+AF1398)</f>
        <v>232.26294376197779</v>
      </c>
      <c r="AG558" s="119">
        <f>IF(tech_base!$T214&gt;AG$345,"",AG838+AG1118+AG1398)</f>
        <v>232.34910115235562</v>
      </c>
      <c r="AH558" s="119">
        <f>IF(tech_base!$T214&gt;AH$345,"",AH838+AH1118+AH1398)</f>
        <v>232.27284071144044</v>
      </c>
      <c r="AI558" s="119">
        <f>IF(tech_base!$T214&gt;AI$345,"",AI838+AI1118+AI1398)</f>
        <v>232.15162302026798</v>
      </c>
      <c r="AJ558" s="119">
        <f>IF(tech_base!$T214&gt;AJ$345,"",AJ838+AJ1118+AJ1398)</f>
        <v>231.94995951325902</v>
      </c>
      <c r="AK558" s="119">
        <f>IF(tech_base!$T214&gt;AK$345,"",AK838+AK1118+AK1398)</f>
        <v>231.58423141169069</v>
      </c>
      <c r="AL558" s="119">
        <f>IF(tech_base!$T214&gt;AL$345,"",AL838+AL1118+AL1398)</f>
        <v>231.03647931692223</v>
      </c>
      <c r="AM558" s="119">
        <f>IF(tech_base!$T214&gt;AM$345,"",AM838+AM1118+AM1398)</f>
        <v>230.19101537180794</v>
      </c>
      <c r="AN558" s="119">
        <f>IF(tech_base!$T214&gt;AN$345,"",AN838+AN1118+AN1398)</f>
        <v>229.18875157793383</v>
      </c>
      <c r="AO558" s="119">
        <f>IF(tech_base!$T214&gt;AO$345,"",AO838+AO1118+AO1398)</f>
        <v>228.11354278972323</v>
      </c>
      <c r="AP558" s="119">
        <f>IF(tech_base!$T214&gt;AP$345,"",AP838+AP1118+AP1398)</f>
        <v>226.99790256801481</v>
      </c>
      <c r="AQ558" s="119">
        <f>IF(tech_base!$T214&gt;AQ$345,"",AQ838+AQ1118+AQ1398)</f>
        <v>225.84382832602444</v>
      </c>
      <c r="AR558" s="119">
        <f>IF(tech_base!$T214&gt;AR$345,"",AR838+AR1118+AR1398)</f>
        <v>224.52264268670325</v>
      </c>
      <c r="AS558" s="119">
        <f>IF(tech_base!$T214&gt;AS$345,"",AS838+AS1118+AS1398)</f>
        <v>223.28832955167655</v>
      </c>
      <c r="AT558" s="119">
        <f>IF(tech_base!$T214&gt;AT$345,"",AT838+AT1118+AT1398)</f>
        <v>221.9937895241643</v>
      </c>
      <c r="AU558" s="119">
        <f>IF(tech_base!$T214&gt;AU$345,"",AU838+AU1118+AU1398)</f>
        <v>220.96618558337946</v>
      </c>
      <c r="AV558" s="119">
        <f>IF(tech_base!$T214&gt;AV$345,"",AV838+AV1118+AV1398)</f>
        <v>220.03947458109104</v>
      </c>
      <c r="AW558" s="119">
        <f>IF(tech_base!$T214&gt;AW$345,"",AW838+AW1118+AW1398)</f>
        <v>219.21448425247956</v>
      </c>
      <c r="AX558" s="120">
        <f>IF(tech_base!$T214&gt;AX$345,"",AX838+AX1118+AX1398)</f>
        <v>218.46181818880916</v>
      </c>
    </row>
    <row r="559" spans="1:50" x14ac:dyDescent="0.25">
      <c r="A559" s="356"/>
      <c r="B559" s="376"/>
      <c r="C559" s="361" t="s">
        <v>14</v>
      </c>
      <c r="D559" s="58" t="s">
        <v>7</v>
      </c>
      <c r="E559" s="78" t="str">
        <f>A547&amp;"/"&amp;B555&amp;"/"&amp;C559&amp;"/"&amp;D559</f>
        <v>Biomass and waste fired power plants/Fluidized bed combustion/CHP/L</v>
      </c>
      <c r="F559" s="78" t="str">
        <f>A547</f>
        <v>Biomass and waste fired power plants</v>
      </c>
      <c r="G559" s="78" t="str">
        <f>B555</f>
        <v>Fluidized bed combustion</v>
      </c>
      <c r="H559" s="78" t="str">
        <f>C559</f>
        <v>CHP</v>
      </c>
      <c r="I559" s="78" t="str">
        <f t="shared" si="360"/>
        <v>L</v>
      </c>
      <c r="J559" s="123">
        <f>IF(tech_base!$T215&gt;J$345,"",J839+J1119+J1399)</f>
        <v>177.34654167525321</v>
      </c>
      <c r="K559" s="123">
        <f>IF(tech_base!$T215&gt;K$345,"",K839+K1119+K1399)</f>
        <v>179.40562505217503</v>
      </c>
      <c r="L559" s="123">
        <f>IF(tech_base!$T215&gt;L$345,"",L839+L1119+L1399)</f>
        <v>181.46516782283629</v>
      </c>
      <c r="M559" s="123">
        <f>IF(tech_base!$T215&gt;M$345,"",M839+M1119+M1399)</f>
        <v>183.52509364350828</v>
      </c>
      <c r="N559" s="123">
        <f>IF(tech_base!$T215&gt;N$345,"",N839+N1119+N1399)</f>
        <v>185.58530889633374</v>
      </c>
      <c r="O559" s="123">
        <f>IF(tech_base!$T215&gt;O$345,"",O839+O1119+O1399)</f>
        <v>187.64569879820107</v>
      </c>
      <c r="P559" s="123">
        <f>IF(tech_base!$T215&gt;P$345,"",P839+P1119+P1399)</f>
        <v>188.22782126611051</v>
      </c>
      <c r="Q559" s="123">
        <f>IF(tech_base!$T215&gt;Q$345,"",Q839+Q1119+Q1399)</f>
        <v>188.48588718669933</v>
      </c>
      <c r="R559" s="123">
        <f>IF(tech_base!$T215&gt;R$345,"",R839+R1119+R1399)</f>
        <v>188.78287326885945</v>
      </c>
      <c r="S559" s="123">
        <f>IF(tech_base!$T215&gt;S$345,"",S839+S1119+S1399)</f>
        <v>189.27367360006718</v>
      </c>
      <c r="T559" s="123">
        <f>IF(tech_base!$T215&gt;T$345,"",T839+T1119+T1399)</f>
        <v>190.06816882117556</v>
      </c>
      <c r="U559" s="123">
        <f>IF(tech_base!$T215&gt;U$345,"",U839+U1119+U1399)</f>
        <v>190.89224897829664</v>
      </c>
      <c r="V559" s="123">
        <f>IF(tech_base!$T215&gt;V$345,"",V839+V1119+V1399)</f>
        <v>191.78702181352418</v>
      </c>
      <c r="W559" s="123">
        <f>IF(tech_base!$T215&gt;W$345,"",W839+W1119+W1399)</f>
        <v>192.71777563669914</v>
      </c>
      <c r="X559" s="123">
        <f>IF(tech_base!$T215&gt;X$345,"",X839+X1119+X1399)</f>
        <v>193.62342818914823</v>
      </c>
      <c r="Y559" s="123">
        <f>IF(tech_base!$T215&gt;Y$345,"",Y839+Y1119+Y1399)</f>
        <v>194.55419141947274</v>
      </c>
      <c r="Z559" s="123">
        <f>IF(tech_base!$T215&gt;Z$345,"",Z839+Z1119+Z1399)</f>
        <v>195.47318946505746</v>
      </c>
      <c r="AA559" s="123">
        <f>IF(tech_base!$T215&gt;AA$345,"",AA839+AA1119+AA1399)</f>
        <v>196.47372869964431</v>
      </c>
      <c r="AB559" s="123">
        <f>IF(tech_base!$T215&gt;AB$345,"",AB839+AB1119+AB1399)</f>
        <v>197.77930660472589</v>
      </c>
      <c r="AC559" s="123">
        <f>IF(tech_base!$T215&gt;AC$345,"",AC839+AC1119+AC1399)</f>
        <v>199.73948441957384</v>
      </c>
      <c r="AD559" s="123">
        <f>IF(tech_base!$T215&gt;AD$345,"",AD839+AD1119+AD1399)</f>
        <v>201.65306405067287</v>
      </c>
      <c r="AE559" s="123">
        <f>IF(tech_base!$T215&gt;AE$345,"",AE839+AE1119+AE1399)</f>
        <v>202.95145704201636</v>
      </c>
      <c r="AF559" s="123">
        <f>IF(tech_base!$T215&gt;AF$345,"",AF839+AF1119+AF1399)</f>
        <v>203.7076461545339</v>
      </c>
      <c r="AG559" s="123">
        <f>IF(tech_base!$T215&gt;AG$345,"",AG839+AG1119+AG1399)</f>
        <v>204.3345625307021</v>
      </c>
      <c r="AH559" s="123">
        <f>IF(tech_base!$T215&gt;AH$345,"",AH839+AH1119+AH1399)</f>
        <v>204.86390676252205</v>
      </c>
      <c r="AI559" s="123">
        <f>IF(tech_base!$T215&gt;AI$345,"",AI839+AI1119+AI1399)</f>
        <v>205.4086214596621</v>
      </c>
      <c r="AJ559" s="123">
        <f>IF(tech_base!$T215&gt;AJ$345,"",AJ839+AJ1119+AJ1399)</f>
        <v>205.93397917578486</v>
      </c>
      <c r="AK559" s="123">
        <f>IF(tech_base!$T215&gt;AK$345,"",AK839+AK1119+AK1399)</f>
        <v>206.35665904277843</v>
      </c>
      <c r="AL559" s="123">
        <f>IF(tech_base!$T215&gt;AL$345,"",AL839+AL1119+AL1399)</f>
        <v>206.6531462698253</v>
      </c>
      <c r="AM559" s="123">
        <f>IF(tech_base!$T215&gt;AM$345,"",AM839+AM1119+AM1399)</f>
        <v>206.70241053121435</v>
      </c>
      <c r="AN559" s="123">
        <f>IF(tech_base!$T215&gt;AN$345,"",AN839+AN1119+AN1399)</f>
        <v>206.62633766080233</v>
      </c>
      <c r="AO559" s="123">
        <f>IF(tech_base!$T215&gt;AO$345,"",AO839+AO1119+AO1399)</f>
        <v>206.48873638225243</v>
      </c>
      <c r="AP559" s="123">
        <f>IF(tech_base!$T215&gt;AP$345,"",AP839+AP1119+AP1399)</f>
        <v>206.30060034438515</v>
      </c>
      <c r="AQ559" s="123">
        <f>IF(tech_base!$T215&gt;AQ$345,"",AQ839+AQ1119+AQ1399)</f>
        <v>206.04048646521215</v>
      </c>
      <c r="AR559" s="123">
        <f>IF(tech_base!$T215&gt;AR$345,"",AR839+AR1119+AR1399)</f>
        <v>205.55824652537808</v>
      </c>
      <c r="AS559" s="123">
        <f>IF(tech_base!$T215&gt;AS$345,"",AS839+AS1119+AS1399)</f>
        <v>205.07487644396724</v>
      </c>
      <c r="AT559" s="123">
        <f>IF(tech_base!$T215&gt;AT$345,"",AT839+AT1119+AT1399)</f>
        <v>204.42470368621861</v>
      </c>
      <c r="AU559" s="123">
        <f>IF(tech_base!$T215&gt;AU$345,"",AU839+AU1119+AU1399)</f>
        <v>203.90821126552876</v>
      </c>
      <c r="AV559" s="123">
        <f>IF(tech_base!$T215&gt;AV$345,"",AV839+AV1119+AV1399)</f>
        <v>203.35374549324314</v>
      </c>
      <c r="AW559" s="123">
        <f>IF(tech_base!$T215&gt;AW$345,"",AW839+AW1119+AW1399)</f>
        <v>202.76126301277304</v>
      </c>
      <c r="AX559" s="124">
        <f>IF(tech_base!$T215&gt;AX$345,"",AX839+AX1119+AX1399)</f>
        <v>202.11159367856851</v>
      </c>
    </row>
    <row r="560" spans="1:50" x14ac:dyDescent="0.25">
      <c r="A560" s="356"/>
      <c r="B560" s="376"/>
      <c r="C560" s="378"/>
      <c r="D560" s="2" t="s">
        <v>8</v>
      </c>
      <c r="E560" s="76" t="str">
        <f>A547&amp;"/"&amp;B555&amp;"/"&amp;C559&amp;"/"&amp;D560</f>
        <v>Biomass and waste fired power plants/Fluidized bed combustion/CHP/M</v>
      </c>
      <c r="F560" s="76" t="str">
        <f>A547</f>
        <v>Biomass and waste fired power plants</v>
      </c>
      <c r="G560" s="76" t="str">
        <f>B555</f>
        <v>Fluidized bed combustion</v>
      </c>
      <c r="H560" s="76" t="str">
        <f>C559</f>
        <v>CHP</v>
      </c>
      <c r="I560" s="76" t="str">
        <f t="shared" si="360"/>
        <v>M</v>
      </c>
      <c r="J560" s="119">
        <f>IF(tech_base!$T216&gt;J$345,"",J840+J1120+J1400)</f>
        <v>188.99451936098609</v>
      </c>
      <c r="K560" s="119">
        <f>IF(tech_base!$T216&gt;K$345,"",K840+K1120+K1400)</f>
        <v>191.16324650833621</v>
      </c>
      <c r="L560" s="119">
        <f>IF(tech_base!$T216&gt;L$345,"",L840+L1120+L1400)</f>
        <v>193.33208448675862</v>
      </c>
      <c r="M560" s="119">
        <f>IF(tech_base!$T216&gt;M$345,"",M840+M1120+M1400)</f>
        <v>195.50089049069064</v>
      </c>
      <c r="N560" s="119">
        <f>IF(tech_base!$T216&gt;N$345,"",N840+N1120+N1400)</f>
        <v>197.66949384772113</v>
      </c>
      <c r="O560" s="119">
        <f>IF(tech_base!$T216&gt;O$345,"",O840+O1120+O1400)</f>
        <v>199.83769063167682</v>
      </c>
      <c r="P560" s="119">
        <f>IF(tech_base!$T216&gt;P$345,"",P840+P1120+P1400)</f>
        <v>200.44678594642733</v>
      </c>
      <c r="Q560" s="119">
        <f>IF(tech_base!$T216&gt;Q$345,"",Q840+Q1120+Q1400)</f>
        <v>200.71349982542915</v>
      </c>
      <c r="R560" s="119">
        <f>IF(tech_base!$T216&gt;R$345,"",R840+R1120+R1400)</f>
        <v>201.02037701513291</v>
      </c>
      <c r="S560" s="119">
        <f>IF(tech_base!$T216&gt;S$345,"",S840+S1120+S1400)</f>
        <v>201.53057219636668</v>
      </c>
      <c r="T560" s="119">
        <f>IF(tech_base!$T216&gt;T$345,"",T840+T1120+T1400)</f>
        <v>202.35976050525886</v>
      </c>
      <c r="U560" s="119">
        <f>IF(tech_base!$T216&gt;U$345,"",U840+U1120+U1400)</f>
        <v>203.21880915808137</v>
      </c>
      <c r="V560" s="119">
        <f>IF(tech_base!$T216&gt;V$345,"",V840+V1120+V1400)</f>
        <v>204.15086254444071</v>
      </c>
      <c r="W560" s="119">
        <f>IF(tech_base!$T216&gt;W$345,"",W840+W1120+W1400)</f>
        <v>205.11912071451587</v>
      </c>
      <c r="X560" s="119">
        <f>IF(tech_base!$T216&gt;X$345,"",X840+X1120+X1400)</f>
        <v>206.0589717636027</v>
      </c>
      <c r="Y560" s="119">
        <f>IF(tech_base!$T216&gt;Y$345,"",Y840+Y1120+Y1400)</f>
        <v>207.02309949049823</v>
      </c>
      <c r="Z560" s="119">
        <f>IF(tech_base!$T216&gt;Z$345,"",Z840+Z1120+Z1400)</f>
        <v>207.97237700523101</v>
      </c>
      <c r="AA560" s="119">
        <f>IF(tech_base!$T216&gt;AA$345,"",AA840+AA1120+AA1400)</f>
        <v>209.00487482033225</v>
      </c>
      <c r="AB560" s="119">
        <f>IF(tech_base!$T216&gt;AB$345,"",AB840+AB1120+AB1400)</f>
        <v>210.35584387030286</v>
      </c>
      <c r="AC560" s="119">
        <f>IF(tech_base!$T216&gt;AC$345,"",AC840+AC1120+AC1400)</f>
        <v>212.39333019980916</v>
      </c>
      <c r="AD560" s="119">
        <f>IF(tech_base!$T216&gt;AD$345,"",AD840+AD1120+AD1400)</f>
        <v>214.37807120595116</v>
      </c>
      <c r="AE560" s="119">
        <f>IF(tech_base!$T216&gt;AE$345,"",AE840+AE1120+AE1400)</f>
        <v>215.71075551587839</v>
      </c>
      <c r="AF560" s="119">
        <f>IF(tech_base!$T216&gt;AF$345,"",AF840+AF1120+AF1400)</f>
        <v>216.46827543709887</v>
      </c>
      <c r="AG560" s="119">
        <f>IF(tech_base!$T216&gt;AG$345,"",AG840+AG1120+AG1400)</f>
        <v>217.08575658703751</v>
      </c>
      <c r="AH560" s="119">
        <f>IF(tech_base!$T216&gt;AH$345,"",AH840+AH1120+AH1400)</f>
        <v>217.59674765693993</v>
      </c>
      <c r="AI560" s="119">
        <f>IF(tech_base!$T216&gt;AI$345,"",AI840+AI1120+AI1400)</f>
        <v>218.12055231787804</v>
      </c>
      <c r="AJ560" s="119">
        <f>IF(tech_base!$T216&gt;AJ$345,"",AJ840+AJ1120+AJ1400)</f>
        <v>218.62115380671005</v>
      </c>
      <c r="AK560" s="119">
        <f>IF(tech_base!$T216&gt;AK$345,"",AK840+AK1120+AK1400)</f>
        <v>219.01168380734327</v>
      </c>
      <c r="AL560" s="119">
        <f>IF(tech_base!$T216&gt;AL$345,"",AL840+AL1120+AL1400)</f>
        <v>219.26864115095674</v>
      </c>
      <c r="AM560" s="119">
        <f>IF(tech_base!$T216&gt;AM$345,"",AM840+AM1120+AM1400)</f>
        <v>219.26625968549348</v>
      </c>
      <c r="AN560" s="119">
        <f>IF(tech_base!$T216&gt;AN$345,"",AN840+AN1120+AN1400)</f>
        <v>219.13493620332582</v>
      </c>
      <c r="AO560" s="119">
        <f>IF(tech_base!$T216&gt;AO$345,"",AO840+AO1120+AO1400)</f>
        <v>218.94421134476153</v>
      </c>
      <c r="AP560" s="119">
        <f>IF(tech_base!$T216&gt;AP$345,"",AP840+AP1120+AP1400)</f>
        <v>218.70820164564216</v>
      </c>
      <c r="AQ560" s="119">
        <f>IF(tech_base!$T216&gt;AQ$345,"",AQ840+AQ1120+AQ1400)</f>
        <v>218.40681987403113</v>
      </c>
      <c r="AR560" s="119">
        <f>IF(tech_base!$T216&gt;AR$345,"",AR840+AR1120+AR1400)</f>
        <v>217.88407187880819</v>
      </c>
      <c r="AS560" s="119">
        <f>IF(tech_base!$T216&gt;AS$345,"",AS840+AS1120+AS1400)</f>
        <v>217.37362295536991</v>
      </c>
      <c r="AT560" s="119">
        <f>IF(tech_base!$T216&gt;AT$345,"",AT840+AT1120+AT1400)</f>
        <v>216.70057546587935</v>
      </c>
      <c r="AU560" s="119">
        <f>IF(tech_base!$T216&gt;AU$345,"",AU840+AU1120+AU1400)</f>
        <v>216.1785056102749</v>
      </c>
      <c r="AV560" s="119">
        <f>IF(tech_base!$T216&gt;AV$345,"",AV840+AV1120+AV1400)</f>
        <v>215.62142318037237</v>
      </c>
      <c r="AW560" s="119">
        <f>IF(tech_base!$T216&gt;AW$345,"",AW840+AW1120+AW1400)</f>
        <v>215.02126900643572</v>
      </c>
      <c r="AX560" s="120">
        <f>IF(tech_base!$T216&gt;AX$345,"",AX840+AX1120+AX1400)</f>
        <v>214.34767140145237</v>
      </c>
    </row>
    <row r="561" spans="1:50" x14ac:dyDescent="0.25">
      <c r="A561" s="356"/>
      <c r="B561" s="376"/>
      <c r="C561" s="378"/>
      <c r="D561" s="2" t="s">
        <v>10</v>
      </c>
      <c r="E561" s="76" t="str">
        <f>A547&amp;"/"&amp;B555&amp;"/"&amp;C559&amp;"/"&amp;D561</f>
        <v>Biomass and waste fired power plants/Fluidized bed combustion/CHP/S</v>
      </c>
      <c r="F561" s="76" t="str">
        <f>A547</f>
        <v>Biomass and waste fired power plants</v>
      </c>
      <c r="G561" s="76" t="str">
        <f>B555</f>
        <v>Fluidized bed combustion</v>
      </c>
      <c r="H561" s="76" t="str">
        <f>C559</f>
        <v>CHP</v>
      </c>
      <c r="I561" s="76" t="str">
        <f t="shared" si="360"/>
        <v>S</v>
      </c>
      <c r="J561" s="119">
        <f>IF(tech_base!$T217&gt;J$345,"",J841+J1121+J1401)</f>
        <v>205.41482545635876</v>
      </c>
      <c r="K561" s="119">
        <f>IF(tech_base!$T217&gt;K$345,"",K841+K1121+K1401)</f>
        <v>207.69526797766372</v>
      </c>
      <c r="L561" s="119">
        <f>IF(tech_base!$T217&gt;L$345,"",L841+L1121+L1401)</f>
        <v>209.97483618194769</v>
      </c>
      <c r="M561" s="119">
        <f>IF(tech_base!$T217&gt;M$345,"",M841+M1121+M1401)</f>
        <v>212.25323893685498</v>
      </c>
      <c r="N561" s="119">
        <f>IF(tech_base!$T217&gt;N$345,"",N841+N1121+N1401)</f>
        <v>214.53013745626328</v>
      </c>
      <c r="O561" s="119">
        <f>IF(tech_base!$T217&gt;O$345,"",O841+O1121+O1401)</f>
        <v>216.80513767713916</v>
      </c>
      <c r="P561" s="119">
        <f>IF(tech_base!$T217&gt;P$345,"",P841+P1121+P1401)</f>
        <v>217.43458326619947</v>
      </c>
      <c r="Q561" s="119">
        <f>IF(tech_base!$T217&gt;Q$345,"",Q841+Q1121+Q1401)</f>
        <v>217.70123454893314</v>
      </c>
      <c r="R561" s="119">
        <f>IF(tech_base!$T217&gt;R$345,"",R841+R1121+R1401)</f>
        <v>218.00821557647481</v>
      </c>
      <c r="S561" s="119">
        <f>IF(tech_base!$T217&gt;S$345,"",S841+S1121+S1401)</f>
        <v>218.52727808684313</v>
      </c>
      <c r="T561" s="119">
        <f>IF(tech_base!$T217&gt;T$345,"",T841+T1121+T1401)</f>
        <v>219.38006397518842</v>
      </c>
      <c r="U561" s="119">
        <f>IF(tech_base!$T217&gt;U$345,"",U841+U1121+U1401)</f>
        <v>220.26141579155976</v>
      </c>
      <c r="V561" s="119">
        <f>IF(tech_base!$T217&gt;V$345,"",V841+V1121+V1401)</f>
        <v>221.21646349940659</v>
      </c>
      <c r="W561" s="119">
        <f>IF(tech_base!$T217&gt;W$345,"",W841+W1121+W1401)</f>
        <v>222.20602982086371</v>
      </c>
      <c r="X561" s="119">
        <f>IF(tech_base!$T217&gt;X$345,"",X841+X1121+X1401)</f>
        <v>223.1616034206865</v>
      </c>
      <c r="Y561" s="119">
        <f>IF(tech_base!$T217&gt;Y$345,"",Y841+Y1121+Y1401)</f>
        <v>224.13828737535178</v>
      </c>
      <c r="Z561" s="119">
        <f>IF(tech_base!$T217&gt;Z$345,"",Z841+Z1121+Z1401)</f>
        <v>225.09439492363771</v>
      </c>
      <c r="AA561" s="119">
        <f>IF(tech_base!$T217&gt;AA$345,"",AA841+AA1121+AA1401)</f>
        <v>226.13281098910926</v>
      </c>
      <c r="AB561" s="119">
        <f>IF(tech_base!$T217&gt;AB$345,"",AB841+AB1121+AB1401)</f>
        <v>227.50091503002736</v>
      </c>
      <c r="AC561" s="119">
        <f>IF(tech_base!$T217&gt;AC$345,"",AC841+AC1121+AC1401)</f>
        <v>229.58588283202346</v>
      </c>
      <c r="AD561" s="119">
        <f>IF(tech_base!$T217&gt;AD$345,"",AD841+AD1121+AD1401)</f>
        <v>231.60828941326389</v>
      </c>
      <c r="AE561" s="119">
        <f>IF(tech_base!$T217&gt;AE$345,"",AE841+AE1121+AE1401)</f>
        <v>232.93654224992451</v>
      </c>
      <c r="AF561" s="119">
        <f>IF(tech_base!$T217&gt;AF$345,"",AF841+AF1121+AF1401)</f>
        <v>233.65161321911108</v>
      </c>
      <c r="AG561" s="119">
        <f>IF(tech_base!$T217&gt;AG$345,"",AG841+AG1121+AG1401)</f>
        <v>234.21178855503919</v>
      </c>
      <c r="AH561" s="119">
        <f>IF(tech_base!$T217&gt;AH$345,"",AH841+AH1121+AH1401)</f>
        <v>234.6525054859971</v>
      </c>
      <c r="AI561" s="119">
        <f>IF(tech_base!$T217&gt;AI$345,"",AI841+AI1121+AI1401)</f>
        <v>235.09967294262862</v>
      </c>
      <c r="AJ561" s="119">
        <f>IF(tech_base!$T217&gt;AJ$345,"",AJ841+AJ1121+AJ1401)</f>
        <v>235.5159449195919</v>
      </c>
      <c r="AK561" s="119">
        <f>IF(tech_base!$T217&gt;AK$345,"",AK841+AK1121+AK1401)</f>
        <v>235.8108446025627</v>
      </c>
      <c r="AL561" s="119">
        <f>IF(tech_base!$T217&gt;AL$345,"",AL841+AL1121+AL1401)</f>
        <v>235.96102133807543</v>
      </c>
      <c r="AM561" s="119">
        <f>IF(tech_base!$T217&gt;AM$345,"",AM841+AM1121+AM1401)</f>
        <v>235.83602819057313</v>
      </c>
      <c r="AN561" s="119">
        <f>IF(tech_base!$T217&gt;AN$345,"",AN841+AN1121+AN1401)</f>
        <v>235.57531629117236</v>
      </c>
      <c r="AO561" s="119">
        <f>IF(tech_base!$T217&gt;AO$345,"",AO841+AO1121+AO1401)</f>
        <v>235.25465538800086</v>
      </c>
      <c r="AP561" s="119">
        <f>IF(tech_base!$T217&gt;AP$345,"",AP841+AP1121+AP1401)</f>
        <v>234.89182079026986</v>
      </c>
      <c r="AQ561" s="119">
        <f>IF(tech_base!$T217&gt;AQ$345,"",AQ841+AQ1121+AQ1401)</f>
        <v>234.46878898442435</v>
      </c>
      <c r="AR561" s="119">
        <f>IF(tech_base!$T217&gt;AR$345,"",AR841+AR1121+AR1401)</f>
        <v>233.82465058054879</v>
      </c>
      <c r="AS561" s="119">
        <f>IF(tech_base!$T217&gt;AS$345,"",AS841+AS1121+AS1401)</f>
        <v>233.20754169969581</v>
      </c>
      <c r="AT561" s="119">
        <f>IF(tech_base!$T217&gt;AT$345,"",AT841+AT1121+AT1401)</f>
        <v>232.43543648110881</v>
      </c>
      <c r="AU561" s="119">
        <f>IF(tech_base!$T217&gt;AU$345,"",AU841+AU1121+AU1401)</f>
        <v>231.83827852061998</v>
      </c>
      <c r="AV561" s="119">
        <f>IF(tech_base!$T217&gt;AV$345,"",AV841+AV1121+AV1401)</f>
        <v>231.21953032026079</v>
      </c>
      <c r="AW561" s="119">
        <f>IF(tech_base!$T217&gt;AW$345,"",AW841+AW1121+AW1401)</f>
        <v>230.56773741262464</v>
      </c>
      <c r="AX561" s="120">
        <f>IF(tech_base!$T217&gt;AX$345,"",AX841+AX1121+AX1401)</f>
        <v>229.84613109530932</v>
      </c>
    </row>
    <row r="562" spans="1:50" x14ac:dyDescent="0.25">
      <c r="A562" s="356"/>
      <c r="B562" s="376"/>
      <c r="C562" s="379"/>
      <c r="D562" s="59" t="s">
        <v>20</v>
      </c>
      <c r="E562" s="79" t="str">
        <f>A547&amp;"/"&amp;B555&amp;"/"&amp;C559&amp;"/"&amp;D562</f>
        <v>Biomass and waste fired power plants/Fluidized bed combustion/CHP/XS</v>
      </c>
      <c r="F562" s="79" t="str">
        <f>A547</f>
        <v>Biomass and waste fired power plants</v>
      </c>
      <c r="G562" s="79" t="str">
        <f>B555</f>
        <v>Fluidized bed combustion</v>
      </c>
      <c r="H562" s="79" t="str">
        <f>C559</f>
        <v>CHP</v>
      </c>
      <c r="I562" s="79" t="str">
        <f t="shared" si="360"/>
        <v>XS</v>
      </c>
      <c r="J562" s="125">
        <f>IF(tech_base!$T218&gt;J$345,"",J842+J1122+J1402)</f>
        <v>233.95912867274774</v>
      </c>
      <c r="K562" s="125">
        <f>IF(tech_base!$T218&gt;K$345,"",K842+K1122+K1402)</f>
        <v>236.36060564648525</v>
      </c>
      <c r="L562" s="125">
        <f>IF(tech_base!$T218&gt;L$345,"",L842+L1122+L1402)</f>
        <v>238.76052630864092</v>
      </c>
      <c r="M562" s="125">
        <f>IF(tech_base!$T218&gt;M$345,"",M842+M1122+M1402)</f>
        <v>241.15848026324437</v>
      </c>
      <c r="N562" s="125">
        <f>IF(tech_base!$T218&gt;N$345,"",N842+N1122+N1402)</f>
        <v>243.55399027435021</v>
      </c>
      <c r="O562" s="125">
        <f>IF(tech_base!$T218&gt;O$345,"",O842+O1122+O1402)</f>
        <v>245.94650165594658</v>
      </c>
      <c r="P562" s="125">
        <f>IF(tech_base!$T218&gt;P$345,"",P842+P1122+P1402)</f>
        <v>246.60229317951007</v>
      </c>
      <c r="Q562" s="125">
        <f>IF(tech_base!$T218&gt;Q$345,"",Q842+Q1122+Q1402)</f>
        <v>246.87414437036563</v>
      </c>
      <c r="R562" s="125">
        <f>IF(tech_base!$T218&gt;R$345,"",R842+R1122+R1402)</f>
        <v>247.18702678521794</v>
      </c>
      <c r="S562" s="125">
        <f>IF(tech_base!$T218&gt;S$345,"",S842+S1122+S1402)</f>
        <v>247.72184148842643</v>
      </c>
      <c r="T562" s="125">
        <f>IF(tech_base!$T218&gt;T$345,"",T842+T1122+T1402)</f>
        <v>248.60659312170282</v>
      </c>
      <c r="U562" s="125">
        <f>IF(tech_base!$T218&gt;U$345,"",U842+U1122+U1402)</f>
        <v>249.51912162475585</v>
      </c>
      <c r="V562" s="125">
        <f>IF(tech_base!$T218&gt;V$345,"",V842+V1122+V1402)</f>
        <v>250.50665442332416</v>
      </c>
      <c r="W562" s="125">
        <f>IF(tech_base!$T218&gt;W$345,"",W842+W1122+W1402)</f>
        <v>251.52745272284818</v>
      </c>
      <c r="X562" s="125">
        <f>IF(tech_base!$T218&gt;X$345,"",X842+X1122+X1402)</f>
        <v>252.50878758534321</v>
      </c>
      <c r="Y562" s="125">
        <f>IF(tech_base!$T218&gt;Y$345,"",Y842+Y1122+Y1402)</f>
        <v>253.50822368433285</v>
      </c>
      <c r="Z562" s="125">
        <f>IF(tech_base!$T218&gt;Z$345,"",Z842+Z1122+Z1402)</f>
        <v>254.48118331038665</v>
      </c>
      <c r="AA562" s="125">
        <f>IF(tech_base!$T218&gt;AA$345,"",AA842+AA1122+AA1402)</f>
        <v>255.53545259361982</v>
      </c>
      <c r="AB562" s="125">
        <f>IF(tech_base!$T218&gt;AB$345,"",AB842+AB1122+AB1402)</f>
        <v>256.93105531290269</v>
      </c>
      <c r="AC562" s="125">
        <f>IF(tech_base!$T218&gt;AC$345,"",AC842+AC1122+AC1402)</f>
        <v>259.07523812979719</v>
      </c>
      <c r="AD562" s="125">
        <f>IF(tech_base!$T218&gt;AD$345,"",AD842+AD1122+AD1402)</f>
        <v>261.14517745946</v>
      </c>
      <c r="AE562" s="125">
        <f>IF(tech_base!$T218&gt;AE$345,"",AE842+AE1122+AE1402)</f>
        <v>262.47400491171925</v>
      </c>
      <c r="AF562" s="125">
        <f>IF(tech_base!$T218&gt;AF$345,"",AF842+AF1122+AF1402)</f>
        <v>263.14606268451723</v>
      </c>
      <c r="AG562" s="125">
        <f>IF(tech_base!$T218&gt;AG$345,"",AG842+AG1122+AG1402)</f>
        <v>263.64327603405241</v>
      </c>
      <c r="AH562" s="125">
        <f>IF(tech_base!$T218&gt;AH$345,"",AH842+AH1122+AH1402)</f>
        <v>264.00172903850512</v>
      </c>
      <c r="AI562" s="125">
        <f>IF(tech_base!$T218&gt;AI$345,"",AI842+AI1122+AI1402)</f>
        <v>264.35278168120271</v>
      </c>
      <c r="AJ562" s="125">
        <f>IF(tech_base!$T218&gt;AJ$345,"",AJ842+AJ1122+AJ1402)</f>
        <v>264.65573593247245</v>
      </c>
      <c r="AK562" s="125">
        <f>IF(tech_base!$T218&gt;AK$345,"",AK842+AK1122+AK1402)</f>
        <v>264.81400785709343</v>
      </c>
      <c r="AL562" s="125">
        <f>IF(tech_base!$T218&gt;AL$345,"",AL842+AL1122+AL1402)</f>
        <v>264.80190171093432</v>
      </c>
      <c r="AM562" s="125">
        <f>IF(tech_base!$T218&gt;AM$345,"",AM842+AM1122+AM1402)</f>
        <v>264.48121320081793</v>
      </c>
      <c r="AN562" s="125">
        <f>IF(tech_base!$T218&gt;AN$345,"",AN842+AN1122+AN1402)</f>
        <v>263.99830853187353</v>
      </c>
      <c r="AO562" s="125">
        <f>IF(tech_base!$T218&gt;AO$345,"",AO842+AO1122+AO1402)</f>
        <v>263.43287835934927</v>
      </c>
      <c r="AP562" s="125">
        <f>IF(tech_base!$T218&gt;AP$345,"",AP842+AP1122+AP1402)</f>
        <v>262.80412544076682</v>
      </c>
      <c r="AQ562" s="125">
        <f>IF(tech_base!$T218&gt;AQ$345,"",AQ842+AQ1122+AQ1402)</f>
        <v>262.09433017663645</v>
      </c>
      <c r="AR562" s="125">
        <f>IF(tech_base!$T218&gt;AR$345,"",AR842+AR1122+AR1402)</f>
        <v>261.13645212111567</v>
      </c>
      <c r="AS562" s="125">
        <f>IF(tech_base!$T218&gt;AS$345,"",AS842+AS1122+AS1402)</f>
        <v>260.1945996659997</v>
      </c>
      <c r="AT562" s="125">
        <f>IF(tech_base!$T218&gt;AT$345,"",AT842+AT1122+AT1402)</f>
        <v>259.08161484612873</v>
      </c>
      <c r="AU562" s="125">
        <f>IF(tech_base!$T218&gt;AU$345,"",AU842+AU1122+AU1402)</f>
        <v>258.14937003844591</v>
      </c>
      <c r="AV562" s="125">
        <f>IF(tech_base!$T218&gt;AV$345,"",AV842+AV1122+AV1402)</f>
        <v>257.19735480108079</v>
      </c>
      <c r="AW562" s="125">
        <f>IF(tech_base!$T218&gt;AW$345,"",AW842+AW1122+AW1402)</f>
        <v>256.22025055992049</v>
      </c>
      <c r="AX562" s="126">
        <f>IF(tech_base!$T218&gt;AX$345,"",AX842+AX1122+AX1402)</f>
        <v>255.1864521131468</v>
      </c>
    </row>
    <row r="563" spans="1:50" x14ac:dyDescent="0.25">
      <c r="A563" s="356"/>
      <c r="B563" s="376"/>
      <c r="C563" s="361" t="s">
        <v>15</v>
      </c>
      <c r="D563" s="58" t="s">
        <v>7</v>
      </c>
      <c r="E563" s="78" t="str">
        <f>A547&amp;"/"&amp;B555&amp;"/"&amp;C563&amp;"/"&amp;D563</f>
        <v>Biomass and waste fired power plants/Fluidized bed combustion/Electricity only with CCS/L</v>
      </c>
      <c r="F563" s="78" t="str">
        <f>A547</f>
        <v>Biomass and waste fired power plants</v>
      </c>
      <c r="G563" s="78" t="str">
        <f>B555</f>
        <v>Fluidized bed combustion</v>
      </c>
      <c r="H563" s="78" t="str">
        <f>C563</f>
        <v>Electricity only with CCS</v>
      </c>
      <c r="I563" s="78" t="str">
        <f t="shared" si="360"/>
        <v>L</v>
      </c>
      <c r="J563" s="123" t="str">
        <f>IF(tech_base!$T219&gt;J$345,"",J843+J1123+J1403)</f>
        <v/>
      </c>
      <c r="K563" s="123" t="str">
        <f>IF(tech_base!$T219&gt;K$345,"",K843+K1123+K1403)</f>
        <v/>
      </c>
      <c r="L563" s="123" t="str">
        <f>IF(tech_base!$T219&gt;L$345,"",L843+L1123+L1403)</f>
        <v/>
      </c>
      <c r="M563" s="123" t="str">
        <f>IF(tech_base!$T219&gt;M$345,"",M843+M1123+M1403)</f>
        <v/>
      </c>
      <c r="N563" s="123" t="str">
        <f>IF(tech_base!$T219&gt;N$345,"",N843+N1123+N1403)</f>
        <v/>
      </c>
      <c r="O563" s="123" t="str">
        <f>IF(tech_base!$T219&gt;O$345,"",O843+O1123+O1403)</f>
        <v/>
      </c>
      <c r="P563" s="123" t="str">
        <f>IF(tech_base!$T219&gt;P$345,"",P843+P1123+P1403)</f>
        <v/>
      </c>
      <c r="Q563" s="123" t="str">
        <f>IF(tech_base!$T219&gt;Q$345,"",Q843+Q1123+Q1403)</f>
        <v/>
      </c>
      <c r="R563" s="123" t="str">
        <f>IF(tech_base!$T219&gt;R$345,"",R843+R1123+R1403)</f>
        <v/>
      </c>
      <c r="S563" s="123" t="str">
        <f>IF(tech_base!$T219&gt;S$345,"",S843+S1123+S1403)</f>
        <v/>
      </c>
      <c r="T563" s="123" t="str">
        <f>IF(tech_base!$T219&gt;T$345,"",T843+T1123+T1403)</f>
        <v/>
      </c>
      <c r="U563" s="123" t="str">
        <f>IF(tech_base!$T219&gt;U$345,"",U843+U1123+U1403)</f>
        <v/>
      </c>
      <c r="V563" s="123" t="str">
        <f>IF(tech_base!$T219&gt;V$345,"",V843+V1123+V1403)</f>
        <v/>
      </c>
      <c r="W563" s="123" t="str">
        <f>IF(tech_base!$T219&gt;W$345,"",W843+W1123+W1403)</f>
        <v/>
      </c>
      <c r="X563" s="123" t="str">
        <f>IF(tech_base!$T219&gt;X$345,"",X843+X1123+X1403)</f>
        <v/>
      </c>
      <c r="Y563" s="123" t="str">
        <f>IF(tech_base!$T219&gt;Y$345,"",Y843+Y1123+Y1403)</f>
        <v/>
      </c>
      <c r="Z563" s="123" t="str">
        <f>IF(tech_base!$T219&gt;Z$345,"",Z843+Z1123+Z1403)</f>
        <v/>
      </c>
      <c r="AA563" s="123" t="str">
        <f>IF(tech_base!$T219&gt;AA$345,"",AA843+AA1123+AA1403)</f>
        <v/>
      </c>
      <c r="AB563" s="123" t="str">
        <f>IF(tech_base!$T219&gt;AB$345,"",AB843+AB1123+AB1403)</f>
        <v/>
      </c>
      <c r="AC563" s="123" t="str">
        <f>IF(tech_base!$T219&gt;AC$345,"",AC843+AC1123+AC1403)</f>
        <v/>
      </c>
      <c r="AD563" s="123" t="str">
        <f>IF(tech_base!$T219&gt;AD$345,"",AD843+AD1123+AD1403)</f>
        <v/>
      </c>
      <c r="AE563" s="123">
        <f>IF(tech_base!$T219&gt;AE$345,"",AE843+AE1123+AE1403)</f>
        <v>341.3746613837755</v>
      </c>
      <c r="AF563" s="123">
        <f>IF(tech_base!$T219&gt;AF$345,"",AF843+AF1123+AF1403)</f>
        <v>342.32791762739475</v>
      </c>
      <c r="AG563" s="123">
        <f>IF(tech_base!$T219&gt;AG$345,"",AG843+AG1123+AG1403)</f>
        <v>343.13566902944069</v>
      </c>
      <c r="AH563" s="123">
        <f>IF(tech_base!$T219&gt;AH$345,"",AH843+AH1123+AH1403)</f>
        <v>343.83567251816635</v>
      </c>
      <c r="AI563" s="123">
        <f>IF(tech_base!$T219&gt;AI$345,"",AI843+AI1123+AI1403)</f>
        <v>344.5616883667725</v>
      </c>
      <c r="AJ563" s="123">
        <f>IF(tech_base!$T219&gt;AJ$345,"",AJ843+AJ1123+AJ1403)</f>
        <v>345.27150137062375</v>
      </c>
      <c r="AK563" s="123">
        <f>IF(tech_base!$T219&gt;AK$345,"",AK843+AK1123+AK1403)</f>
        <v>345.86401150818153</v>
      </c>
      <c r="AL563" s="123">
        <f>IF(tech_base!$T219&gt;AL$345,"",AL843+AL1123+AL1403)</f>
        <v>346.3074131436901</v>
      </c>
      <c r="AM563" s="123">
        <f>IF(tech_base!$T219&gt;AM$345,"",AM843+AM1123+AM1403)</f>
        <v>346.45155170060775</v>
      </c>
      <c r="AN563" s="123">
        <f>IF(tech_base!$T219&gt;AN$345,"",AN843+AN1123+AN1403)</f>
        <v>346.43165783990844</v>
      </c>
      <c r="AO563" s="123">
        <f>IF(tech_base!$T219&gt;AO$345,"",AO843+AO1123+AO1403)</f>
        <v>346.30964665128118</v>
      </c>
      <c r="AP563" s="123">
        <f>IF(tech_base!$T219&gt;AP$345,"",AP843+AP1123+AP1403)</f>
        <v>346.07884873788453</v>
      </c>
      <c r="AQ563" s="123">
        <f>IF(tech_base!$T219&gt;AQ$345,"",AQ843+AQ1123+AQ1403)</f>
        <v>345.68653388771327</v>
      </c>
      <c r="AR563" s="123">
        <f>IF(tech_base!$T219&gt;AR$345,"",AR843+AR1123+AR1403)</f>
        <v>344.91742767072139</v>
      </c>
      <c r="AS563" s="123">
        <f>IF(tech_base!$T219&gt;AS$345,"",AS843+AS1123+AS1403)</f>
        <v>343.98797302303979</v>
      </c>
      <c r="AT563" s="123">
        <f>IF(tech_base!$T219&gt;AT$345,"",AT843+AT1123+AT1403)</f>
        <v>342.64271585588483</v>
      </c>
      <c r="AU563" s="123">
        <f>IF(tech_base!$T219&gt;AU$345,"",AU843+AU1123+AU1403)</f>
        <v>341.17160723094105</v>
      </c>
      <c r="AV563" s="123">
        <f>IF(tech_base!$T219&gt;AV$345,"",AV843+AV1123+AV1403)</f>
        <v>339.29425020324987</v>
      </c>
      <c r="AW563" s="123">
        <f>IF(tech_base!$T219&gt;AW$345,"",AW843+AW1123+AW1403)</f>
        <v>336.93382687736596</v>
      </c>
      <c r="AX563" s="124">
        <f>IF(tech_base!$T219&gt;AX$345,"",AX843+AX1123+AX1403)</f>
        <v>333.99987030579734</v>
      </c>
    </row>
    <row r="564" spans="1:50" x14ac:dyDescent="0.25">
      <c r="A564" s="356"/>
      <c r="B564" s="376"/>
      <c r="C564" s="379"/>
      <c r="D564" s="59" t="s">
        <v>8</v>
      </c>
      <c r="E564" s="79" t="str">
        <f>A547&amp;"/"&amp;B555&amp;"/"&amp;C563&amp;"/"&amp;D564</f>
        <v>Biomass and waste fired power plants/Fluidized bed combustion/Electricity only with CCS/M</v>
      </c>
      <c r="F564" s="79" t="str">
        <f>A547</f>
        <v>Biomass and waste fired power plants</v>
      </c>
      <c r="G564" s="79" t="str">
        <f>B555</f>
        <v>Fluidized bed combustion</v>
      </c>
      <c r="H564" s="79" t="str">
        <f>C563</f>
        <v>Electricity only with CCS</v>
      </c>
      <c r="I564" s="79" t="str">
        <f t="shared" si="360"/>
        <v>M</v>
      </c>
      <c r="J564" s="125" t="str">
        <f>IF(tech_base!$T220&gt;J$345,"",J844+J1124+J1404)</f>
        <v/>
      </c>
      <c r="K564" s="125" t="str">
        <f>IF(tech_base!$T220&gt;K$345,"",K844+K1124+K1404)</f>
        <v/>
      </c>
      <c r="L564" s="125" t="str">
        <f>IF(tech_base!$T220&gt;L$345,"",L844+L1124+L1404)</f>
        <v/>
      </c>
      <c r="M564" s="125" t="str">
        <f>IF(tech_base!$T220&gt;M$345,"",M844+M1124+M1404)</f>
        <v/>
      </c>
      <c r="N564" s="125" t="str">
        <f>IF(tech_base!$T220&gt;N$345,"",N844+N1124+N1404)</f>
        <v/>
      </c>
      <c r="O564" s="125" t="str">
        <f>IF(tech_base!$T220&gt;O$345,"",O844+O1124+O1404)</f>
        <v/>
      </c>
      <c r="P564" s="125" t="str">
        <f>IF(tech_base!$T220&gt;P$345,"",P844+P1124+P1404)</f>
        <v/>
      </c>
      <c r="Q564" s="125" t="str">
        <f>IF(tech_base!$T220&gt;Q$345,"",Q844+Q1124+Q1404)</f>
        <v/>
      </c>
      <c r="R564" s="125" t="str">
        <f>IF(tech_base!$T220&gt;R$345,"",R844+R1124+R1404)</f>
        <v/>
      </c>
      <c r="S564" s="125" t="str">
        <f>IF(tech_base!$T220&gt;S$345,"",S844+S1124+S1404)</f>
        <v/>
      </c>
      <c r="T564" s="125" t="str">
        <f>IF(tech_base!$T220&gt;T$345,"",T844+T1124+T1404)</f>
        <v/>
      </c>
      <c r="U564" s="125" t="str">
        <f>IF(tech_base!$T220&gt;U$345,"",U844+U1124+U1404)</f>
        <v/>
      </c>
      <c r="V564" s="125" t="str">
        <f>IF(tech_base!$T220&gt;V$345,"",V844+V1124+V1404)</f>
        <v/>
      </c>
      <c r="W564" s="125" t="str">
        <f>IF(tech_base!$T220&gt;W$345,"",W844+W1124+W1404)</f>
        <v/>
      </c>
      <c r="X564" s="125" t="str">
        <f>IF(tech_base!$T220&gt;X$345,"",X844+X1124+X1404)</f>
        <v/>
      </c>
      <c r="Y564" s="125" t="str">
        <f>IF(tech_base!$T220&gt;Y$345,"",Y844+Y1124+Y1404)</f>
        <v/>
      </c>
      <c r="Z564" s="125" t="str">
        <f>IF(tech_base!$T220&gt;Z$345,"",Z844+Z1124+Z1404)</f>
        <v/>
      </c>
      <c r="AA564" s="125" t="str">
        <f>IF(tech_base!$T220&gt;AA$345,"",AA844+AA1124+AA1404)</f>
        <v/>
      </c>
      <c r="AB564" s="125" t="str">
        <f>IF(tech_base!$T220&gt;AB$345,"",AB844+AB1124+AB1404)</f>
        <v/>
      </c>
      <c r="AC564" s="125" t="str">
        <f>IF(tech_base!$T220&gt;AC$345,"",AC844+AC1124+AC1404)</f>
        <v/>
      </c>
      <c r="AD564" s="125" t="str">
        <f>IF(tech_base!$T220&gt;AD$345,"",AD844+AD1124+AD1404)</f>
        <v/>
      </c>
      <c r="AE564" s="125">
        <f>IF(tech_base!$T220&gt;AE$345,"",AE844+AE1124+AE1404)</f>
        <v>375.82218071728096</v>
      </c>
      <c r="AF564" s="125">
        <f>IF(tech_base!$T220&gt;AF$345,"",AF844+AF1124+AF1404)</f>
        <v>376.83336957388804</v>
      </c>
      <c r="AG564" s="125">
        <f>IF(tech_base!$T220&gt;AG$345,"",AG844+AG1124+AG1404)</f>
        <v>377.68709630808837</v>
      </c>
      <c r="AH564" s="125">
        <f>IF(tech_base!$T220&gt;AH$345,"",AH844+AH1124+AH1404)</f>
        <v>378.42312952757879</v>
      </c>
      <c r="AI564" s="125">
        <f>IF(tech_base!$T220&gt;AI$345,"",AI844+AI1124+AI1404)</f>
        <v>379.1836358413708</v>
      </c>
      <c r="AJ564" s="125">
        <f>IF(tech_base!$T220&gt;AJ$345,"",AJ844+AJ1124+AJ1404)</f>
        <v>379.92259859535642</v>
      </c>
      <c r="AK564" s="125">
        <f>IF(tech_base!$T220&gt;AK$345,"",AK844+AK1124+AK1404)</f>
        <v>380.53085517720297</v>
      </c>
      <c r="AL564" s="125">
        <f>IF(tech_base!$T220&gt;AL$345,"",AL844+AL1124+AL1404)</f>
        <v>380.97296280560522</v>
      </c>
      <c r="AM564" s="125">
        <f>IF(tech_base!$T220&gt;AM$345,"",AM844+AM1124+AM1404)</f>
        <v>381.08669050219902</v>
      </c>
      <c r="AN564" s="125">
        <f>IF(tech_base!$T220&gt;AN$345,"",AN844+AN1124+AN1404)</f>
        <v>381.01419554502479</v>
      </c>
      <c r="AO564" s="125">
        <f>IF(tech_base!$T220&gt;AO$345,"",AO844+AO1124+AO1404)</f>
        <v>380.81876373662919</v>
      </c>
      <c r="AP564" s="125">
        <f>IF(tech_base!$T220&gt;AP$345,"",AP844+AP1124+AP1404)</f>
        <v>380.4897762425594</v>
      </c>
      <c r="AQ564" s="125">
        <f>IF(tech_base!$T220&gt;AQ$345,"",AQ844+AQ1124+AQ1404)</f>
        <v>379.96669283711435</v>
      </c>
      <c r="AR564" s="125">
        <f>IF(tech_base!$T220&gt;AR$345,"",AR844+AR1124+AR1404)</f>
        <v>379.01462614784327</v>
      </c>
      <c r="AS564" s="125">
        <f>IF(tech_base!$T220&gt;AS$345,"",AS844+AS1124+AS1404)</f>
        <v>377.85894945591156</v>
      </c>
      <c r="AT564" s="125">
        <f>IF(tech_base!$T220&gt;AT$345,"",AT844+AT1124+AT1404)</f>
        <v>376.22045656142132</v>
      </c>
      <c r="AU564" s="125">
        <f>IF(tech_base!$T220&gt;AU$345,"",AU844+AU1124+AU1404)</f>
        <v>374.40183620889326</v>
      </c>
      <c r="AV564" s="125">
        <f>IF(tech_base!$T220&gt;AV$345,"",AV844+AV1124+AV1404)</f>
        <v>372.09693795540431</v>
      </c>
      <c r="AW564" s="125">
        <f>IF(tech_base!$T220&gt;AW$345,"",AW844+AW1124+AW1404)</f>
        <v>369.21786993219644</v>
      </c>
      <c r="AX564" s="126">
        <f>IF(tech_base!$T220&gt;AX$345,"",AX844+AX1124+AX1404)</f>
        <v>365.66417210655152</v>
      </c>
    </row>
    <row r="565" spans="1:50" x14ac:dyDescent="0.25">
      <c r="A565" s="356"/>
      <c r="B565" s="376"/>
      <c r="C565" s="361" t="s">
        <v>16</v>
      </c>
      <c r="D565" s="2" t="s">
        <v>7</v>
      </c>
      <c r="E565" s="76" t="str">
        <f>A547&amp;"/"&amp;B555&amp;"/"&amp;C565&amp;"/"&amp;D565</f>
        <v>Biomass and waste fired power plants/Fluidized bed combustion/CHP with CCS/L</v>
      </c>
      <c r="F565" s="76" t="str">
        <f>A547</f>
        <v>Biomass and waste fired power plants</v>
      </c>
      <c r="G565" s="76" t="str">
        <f>B555</f>
        <v>Fluidized bed combustion</v>
      </c>
      <c r="H565" s="76" t="str">
        <f>C565</f>
        <v>CHP with CCS</v>
      </c>
      <c r="I565" s="76" t="str">
        <f t="shared" si="360"/>
        <v>L</v>
      </c>
      <c r="J565" s="119" t="str">
        <f>IF(tech_base!$T221&gt;J$345,"",J845+J1125+J1405)</f>
        <v/>
      </c>
      <c r="K565" s="119" t="str">
        <f>IF(tech_base!$T221&gt;K$345,"",K845+K1125+K1405)</f>
        <v/>
      </c>
      <c r="L565" s="119" t="str">
        <f>IF(tech_base!$T221&gt;L$345,"",L845+L1125+L1405)</f>
        <v/>
      </c>
      <c r="M565" s="119" t="str">
        <f>IF(tech_base!$T221&gt;M$345,"",M845+M1125+M1405)</f>
        <v/>
      </c>
      <c r="N565" s="119" t="str">
        <f>IF(tech_base!$T221&gt;N$345,"",N845+N1125+N1405)</f>
        <v/>
      </c>
      <c r="O565" s="119" t="str">
        <f>IF(tech_base!$T221&gt;O$345,"",O845+O1125+O1405)</f>
        <v/>
      </c>
      <c r="P565" s="119" t="str">
        <f>IF(tech_base!$T221&gt;P$345,"",P845+P1125+P1405)</f>
        <v/>
      </c>
      <c r="Q565" s="119" t="str">
        <f>IF(tech_base!$T221&gt;Q$345,"",Q845+Q1125+Q1405)</f>
        <v/>
      </c>
      <c r="R565" s="119" t="str">
        <f>IF(tech_base!$T221&gt;R$345,"",R845+R1125+R1405)</f>
        <v/>
      </c>
      <c r="S565" s="119" t="str">
        <f>IF(tech_base!$T221&gt;S$345,"",S845+S1125+S1405)</f>
        <v/>
      </c>
      <c r="T565" s="119" t="str">
        <f>IF(tech_base!$T221&gt;T$345,"",T845+T1125+T1405)</f>
        <v/>
      </c>
      <c r="U565" s="119" t="str">
        <f>IF(tech_base!$T221&gt;U$345,"",U845+U1125+U1405)</f>
        <v/>
      </c>
      <c r="V565" s="119" t="str">
        <f>IF(tech_base!$T221&gt;V$345,"",V845+V1125+V1405)</f>
        <v/>
      </c>
      <c r="W565" s="119" t="str">
        <f>IF(tech_base!$T221&gt;W$345,"",W845+W1125+W1405)</f>
        <v/>
      </c>
      <c r="X565" s="119" t="str">
        <f>IF(tech_base!$T221&gt;X$345,"",X845+X1125+X1405)</f>
        <v/>
      </c>
      <c r="Y565" s="119" t="str">
        <f>IF(tech_base!$T221&gt;Y$345,"",Y845+Y1125+Y1405)</f>
        <v/>
      </c>
      <c r="Z565" s="119" t="str">
        <f>IF(tech_base!$T221&gt;Z$345,"",Z845+Z1125+Z1405)</f>
        <v/>
      </c>
      <c r="AA565" s="119" t="str">
        <f>IF(tech_base!$T221&gt;AA$345,"",AA845+AA1125+AA1405)</f>
        <v/>
      </c>
      <c r="AB565" s="119" t="str">
        <f>IF(tech_base!$T221&gt;AB$345,"",AB845+AB1125+AB1405)</f>
        <v/>
      </c>
      <c r="AC565" s="119" t="str">
        <f>IF(tech_base!$T221&gt;AC$345,"",AC845+AC1125+AC1405)</f>
        <v/>
      </c>
      <c r="AD565" s="119" t="str">
        <f>IF(tech_base!$T221&gt;AD$345,"",AD845+AD1125+AD1405)</f>
        <v/>
      </c>
      <c r="AE565" s="119">
        <f>IF(tech_base!$T221&gt;AE$345,"",AE845+AE1125+AE1405)</f>
        <v>381.23069031639773</v>
      </c>
      <c r="AF565" s="119">
        <f>IF(tech_base!$T221&gt;AF$345,"",AF845+AF1125+AF1405)</f>
        <v>382.33180590323138</v>
      </c>
      <c r="AG565" s="119">
        <f>IF(tech_base!$T221&gt;AG$345,"",AG845+AG1125+AG1405)</f>
        <v>383.27153810576044</v>
      </c>
      <c r="AH565" s="119">
        <f>IF(tech_base!$T221&gt;AH$345,"",AH845+AH1125+AH1405)</f>
        <v>384.09411027178476</v>
      </c>
      <c r="AI565" s="119">
        <f>IF(tech_base!$T221&gt;AI$345,"",AI845+AI1125+AI1405)</f>
        <v>384.95344395787163</v>
      </c>
      <c r="AJ565" s="119">
        <f>IF(tech_base!$T221&gt;AJ$345,"",AJ845+AJ1125+AJ1405)</f>
        <v>385.8034360429973</v>
      </c>
      <c r="AK565" s="119">
        <f>IF(tech_base!$T221&gt;AK$345,"",AK845+AK1125+AK1405)</f>
        <v>386.53142720070264</v>
      </c>
      <c r="AL565" s="119">
        <f>IF(tech_base!$T221&gt;AL$345,"",AL845+AL1125+AL1405)</f>
        <v>387.10434445163048</v>
      </c>
      <c r="AM565" s="119">
        <f>IF(tech_base!$T221&gt;AM$345,"",AM845+AM1125+AM1405)</f>
        <v>387.35507068160251</v>
      </c>
      <c r="AN565" s="119">
        <f>IF(tech_base!$T221&gt;AN$345,"",AN845+AN1125+AN1405)</f>
        <v>387.44260996366449</v>
      </c>
      <c r="AO565" s="119">
        <f>IF(tech_base!$T221&gt;AO$345,"",AO845+AO1125+AO1405)</f>
        <v>387.44365098578595</v>
      </c>
      <c r="AP565" s="119">
        <f>IF(tech_base!$T221&gt;AP$345,"",AP845+AP1125+AP1405)</f>
        <v>387.35814106329991</v>
      </c>
      <c r="AQ565" s="119">
        <f>IF(tech_base!$T221&gt;AQ$345,"",AQ845+AQ1125+AQ1405)</f>
        <v>387.13510790452267</v>
      </c>
      <c r="AR565" s="119">
        <f>IF(tech_base!$T221&gt;AR$345,"",AR845+AR1125+AR1405)</f>
        <v>386.53989891855213</v>
      </c>
      <c r="AS565" s="119">
        <f>IF(tech_base!$T221&gt;AS$345,"",AS845+AS1125+AS1405)</f>
        <v>385.83178829558983</v>
      </c>
      <c r="AT565" s="119">
        <f>IF(tech_base!$T221&gt;AT$345,"",AT845+AT1125+AT1405)</f>
        <v>384.73337745549316</v>
      </c>
      <c r="AU565" s="119">
        <f>IF(tech_base!$T221&gt;AU$345,"",AU845+AU1125+AU1405)</f>
        <v>383.59050853764325</v>
      </c>
      <c r="AV565" s="119">
        <f>IF(tech_base!$T221&gt;AV$345,"",AV845+AV1125+AV1405)</f>
        <v>382.09811477025528</v>
      </c>
      <c r="AW565" s="119">
        <f>IF(tech_base!$T221&gt;AW$345,"",AW845+AW1125+AW1405)</f>
        <v>380.18148379244752</v>
      </c>
      <c r="AX565" s="120">
        <f>IF(tech_base!$T221&gt;AX$345,"",AX845+AX1125+AX1405)</f>
        <v>377.7460001454649</v>
      </c>
    </row>
    <row r="566" spans="1:50" x14ac:dyDescent="0.25">
      <c r="A566" s="356"/>
      <c r="B566" s="380"/>
      <c r="C566" s="381"/>
      <c r="D566" s="4" t="s">
        <v>8</v>
      </c>
      <c r="E566" s="80" t="str">
        <f>A547&amp;"/"&amp;B555&amp;"/"&amp;C565&amp;"/"&amp;D566</f>
        <v>Biomass and waste fired power plants/Fluidized bed combustion/CHP with CCS/M</v>
      </c>
      <c r="F566" s="80" t="str">
        <f>A547</f>
        <v>Biomass and waste fired power plants</v>
      </c>
      <c r="G566" s="80" t="str">
        <f>B555</f>
        <v>Fluidized bed combustion</v>
      </c>
      <c r="H566" s="80" t="str">
        <f>C565</f>
        <v>CHP with CCS</v>
      </c>
      <c r="I566" s="80" t="str">
        <f t="shared" si="360"/>
        <v>M</v>
      </c>
      <c r="J566" s="127" t="str">
        <f>IF(tech_base!$T222&gt;J$345,"",J846+J1126+J1406)</f>
        <v/>
      </c>
      <c r="K566" s="127" t="str">
        <f>IF(tech_base!$T222&gt;K$345,"",K846+K1126+K1406)</f>
        <v/>
      </c>
      <c r="L566" s="127" t="str">
        <f>IF(tech_base!$T222&gt;L$345,"",L846+L1126+L1406)</f>
        <v/>
      </c>
      <c r="M566" s="127" t="str">
        <f>IF(tech_base!$T222&gt;M$345,"",M846+M1126+M1406)</f>
        <v/>
      </c>
      <c r="N566" s="127" t="str">
        <f>IF(tech_base!$T222&gt;N$345,"",N846+N1126+N1406)</f>
        <v/>
      </c>
      <c r="O566" s="127" t="str">
        <f>IF(tech_base!$T222&gt;O$345,"",O846+O1126+O1406)</f>
        <v/>
      </c>
      <c r="P566" s="127" t="str">
        <f>IF(tech_base!$T222&gt;P$345,"",P846+P1126+P1406)</f>
        <v/>
      </c>
      <c r="Q566" s="127" t="str">
        <f>IF(tech_base!$T222&gt;Q$345,"",Q846+Q1126+Q1406)</f>
        <v/>
      </c>
      <c r="R566" s="127" t="str">
        <f>IF(tech_base!$T222&gt;R$345,"",R846+R1126+R1406)</f>
        <v/>
      </c>
      <c r="S566" s="127" t="str">
        <f>IF(tech_base!$T222&gt;S$345,"",S846+S1126+S1406)</f>
        <v/>
      </c>
      <c r="T566" s="127" t="str">
        <f>IF(tech_base!$T222&gt;T$345,"",T846+T1126+T1406)</f>
        <v/>
      </c>
      <c r="U566" s="127" t="str">
        <f>IF(tech_base!$T222&gt;U$345,"",U846+U1126+U1406)</f>
        <v/>
      </c>
      <c r="V566" s="127" t="str">
        <f>IF(tech_base!$T222&gt;V$345,"",V846+V1126+V1406)</f>
        <v/>
      </c>
      <c r="W566" s="127" t="str">
        <f>IF(tech_base!$T222&gt;W$345,"",W846+W1126+W1406)</f>
        <v/>
      </c>
      <c r="X566" s="127" t="str">
        <f>IF(tech_base!$T222&gt;X$345,"",X846+X1126+X1406)</f>
        <v/>
      </c>
      <c r="Y566" s="127" t="str">
        <f>IF(tech_base!$T222&gt;Y$345,"",Y846+Y1126+Y1406)</f>
        <v/>
      </c>
      <c r="Z566" s="127" t="str">
        <f>IF(tech_base!$T222&gt;Z$345,"",Z846+Z1126+Z1406)</f>
        <v/>
      </c>
      <c r="AA566" s="127" t="str">
        <f>IF(tech_base!$T222&gt;AA$345,"",AA846+AA1126+AA1406)</f>
        <v/>
      </c>
      <c r="AB566" s="127" t="str">
        <f>IF(tech_base!$T222&gt;AB$345,"",AB846+AB1126+AB1406)</f>
        <v/>
      </c>
      <c r="AC566" s="127" t="str">
        <f>IF(tech_base!$T222&gt;AC$345,"",AC846+AC1126+AC1406)</f>
        <v/>
      </c>
      <c r="AD566" s="127" t="str">
        <f>IF(tech_base!$T222&gt;AD$345,"",AD846+AD1126+AD1406)</f>
        <v/>
      </c>
      <c r="AE566" s="127">
        <f>IF(tech_base!$T222&gt;AE$345,"",AE846+AE1126+AE1406)</f>
        <v>418.82214050350177</v>
      </c>
      <c r="AF566" s="127">
        <f>IF(tech_base!$T222&gt;AF$345,"",AF846+AF1126+AF1406)</f>
        <v>419.9917835562897</v>
      </c>
      <c r="AG566" s="127">
        <f>IF(tech_base!$T222&gt;AG$345,"",AG846+AG1126+AG1406)</f>
        <v>420.98591723071218</v>
      </c>
      <c r="AH566" s="127">
        <f>IF(tech_base!$T222&gt;AH$345,"",AH846+AH1126+AH1406)</f>
        <v>421.8511455103494</v>
      </c>
      <c r="AI566" s="127">
        <f>IF(tech_base!$T222&gt;AI$345,"",AI846+AI1126+AI1406)</f>
        <v>422.75132936642899</v>
      </c>
      <c r="AJ566" s="127">
        <f>IF(tech_base!$T222&gt;AJ$345,"",AJ846+AJ1126+AJ1406)</f>
        <v>423.63587480571528</v>
      </c>
      <c r="AK566" s="127">
        <f>IF(tech_base!$T222&gt;AK$345,"",AK846+AK1126+AK1406)</f>
        <v>424.38259641326414</v>
      </c>
      <c r="AL566" s="127">
        <f>IF(tech_base!$T222&gt;AL$345,"",AL846+AL1126+AL1406)</f>
        <v>424.95412767840151</v>
      </c>
      <c r="AM566" s="127">
        <f>IF(tech_base!$T222&gt;AM$345,"",AM846+AM1126+AM1406)</f>
        <v>425.16908762181669</v>
      </c>
      <c r="AN566" s="127">
        <f>IF(tech_base!$T222&gt;AN$345,"",AN846+AN1126+AN1406)</f>
        <v>425.19467551681942</v>
      </c>
      <c r="AO566" s="127">
        <f>IF(tech_base!$T222&gt;AO$345,"",AO846+AO1126+AO1406)</f>
        <v>425.10920779338051</v>
      </c>
      <c r="AP566" s="127">
        <f>IF(tech_base!$T222&gt;AP$345,"",AP846+AP1126+AP1406)</f>
        <v>424.90797223005245</v>
      </c>
      <c r="AQ566" s="127">
        <f>IF(tech_base!$T222&gt;AQ$345,"",AQ846+AQ1126+AQ1406)</f>
        <v>424.53077647398209</v>
      </c>
      <c r="AR566" s="127">
        <f>IF(tech_base!$T222&gt;AR$345,"",AR846+AR1126+AR1406)</f>
        <v>423.71981706155935</v>
      </c>
      <c r="AS566" s="127">
        <f>IF(tech_base!$T222&gt;AS$345,"",AS846+AS1126+AS1406)</f>
        <v>422.74491252453424</v>
      </c>
      <c r="AT566" s="127">
        <f>IF(tech_base!$T222&gt;AT$345,"",AT846+AT1126+AT1406)</f>
        <v>421.30063066996439</v>
      </c>
      <c r="AU566" s="127">
        <f>IF(tech_base!$T222&gt;AU$345,"",AU846+AU1126+AU1406)</f>
        <v>419.74780949250413</v>
      </c>
      <c r="AV566" s="127">
        <f>IF(tech_base!$T222&gt;AV$345,"",AV846+AV1126+AV1406)</f>
        <v>417.75097417547931</v>
      </c>
      <c r="AW566" s="127">
        <f>IF(tech_base!$T222&gt;AW$345,"",AW846+AW1126+AW1406)</f>
        <v>415.22232427561846</v>
      </c>
      <c r="AX566" s="128">
        <f>IF(tech_base!$T222&gt;AX$345,"",AX846+AX1126+AX1406)</f>
        <v>412.05544959498081</v>
      </c>
    </row>
    <row r="567" spans="1:50" x14ac:dyDescent="0.25">
      <c r="A567" s="356"/>
      <c r="B567" s="358" t="s">
        <v>19</v>
      </c>
      <c r="C567" s="353" t="s">
        <v>6</v>
      </c>
      <c r="D567" s="3" t="s">
        <v>7</v>
      </c>
      <c r="E567" s="77" t="str">
        <f>A547&amp;"/"&amp;B567&amp;"/"&amp;C567&amp;"/"&amp;D567</f>
        <v>Biomass and waste fired power plants/Steam turbine/Electricity only/L</v>
      </c>
      <c r="F567" s="77" t="str">
        <f>A547</f>
        <v>Biomass and waste fired power plants</v>
      </c>
      <c r="G567" s="77" t="str">
        <f>B567</f>
        <v>Steam turbine</v>
      </c>
      <c r="H567" s="77" t="str">
        <f>C567</f>
        <v>Electricity only</v>
      </c>
      <c r="I567" s="77" t="str">
        <f t="shared" si="360"/>
        <v>L</v>
      </c>
      <c r="J567" s="121">
        <f>IF(tech_base!$T223&gt;J$345,"",J847+J1127+J1407)</f>
        <v>144.39472972943665</v>
      </c>
      <c r="K567" s="121">
        <f>IF(tech_base!$T223&gt;K$345,"",K847+K1127+K1407)</f>
        <v>146.33923323966235</v>
      </c>
      <c r="L567" s="121">
        <f>IF(tech_base!$T223&gt;L$345,"",L847+L1127+L1407)</f>
        <v>148.2839991060643</v>
      </c>
      <c r="M567" s="121">
        <f>IF(tech_base!$T223&gt;M$345,"",M847+M1127+M1407)</f>
        <v>150.22897580314469</v>
      </c>
      <c r="N567" s="121">
        <f>IF(tech_base!$T223&gt;N$345,"",N847+N1127+N1407)</f>
        <v>152.17411251762445</v>
      </c>
      <c r="O567" s="121">
        <f>IF(tech_base!$T223&gt;O$345,"",O847+O1127+O1407)</f>
        <v>154.11935924327562</v>
      </c>
      <c r="P567" s="121">
        <f>IF(tech_base!$T223&gt;P$345,"",P847+P1127+P1407)</f>
        <v>154.74333436626233</v>
      </c>
      <c r="Q567" s="121">
        <f>IF(tech_base!$T223&gt;Q$345,"",Q847+Q1127+Q1407)</f>
        <v>155.0781764103771</v>
      </c>
      <c r="R567" s="121">
        <f>IF(tech_base!$T223&gt;R$345,"",R847+R1127+R1407)</f>
        <v>155.44847668701385</v>
      </c>
      <c r="S567" s="121">
        <f>IF(tech_base!$T223&gt;S$345,"",S847+S1127+S1407)</f>
        <v>155.99278390821246</v>
      </c>
      <c r="T567" s="121">
        <f>IF(tech_base!$T223&gt;T$345,"",T847+T1127+T1407)</f>
        <v>156.80941669802104</v>
      </c>
      <c r="U567" s="121">
        <f>IF(tech_base!$T223&gt;U$345,"",U847+U1127+U1407)</f>
        <v>157.65370414174885</v>
      </c>
      <c r="V567" s="121">
        <f>IF(tech_base!$T223&gt;V$345,"",V847+V1127+V1407)</f>
        <v>158.5627078025143</v>
      </c>
      <c r="W567" s="121">
        <f>IF(tech_base!$T223&gt;W$345,"",W847+W1127+W1407)</f>
        <v>159.50585062960707</v>
      </c>
      <c r="X567" s="121">
        <f>IF(tech_base!$T223&gt;X$345,"",X847+X1127+X1407)</f>
        <v>160.42912815635952</v>
      </c>
      <c r="Y567" s="121">
        <f>IF(tech_base!$T223&gt;Y$345,"",Y847+Y1127+Y1407)</f>
        <v>161.37806491178162</v>
      </c>
      <c r="Z567" s="121">
        <f>IF(tech_base!$T223&gt;Z$345,"",Z847+Z1127+Z1407)</f>
        <v>162.32057019247981</v>
      </c>
      <c r="AA567" s="121">
        <f>IF(tech_base!$T223&gt;AA$345,"",AA847+AA1127+AA1407)</f>
        <v>163.34098391263655</v>
      </c>
      <c r="AB567" s="121">
        <f>IF(tech_base!$T223&gt;AB$345,"",AB847+AB1127+AB1407)</f>
        <v>164.64010007762414</v>
      </c>
      <c r="AC567" s="121">
        <f>IF(tech_base!$T223&gt;AC$345,"",AC847+AC1127+AC1407)</f>
        <v>166.53154222061329</v>
      </c>
      <c r="AD567" s="121">
        <f>IF(tech_base!$T223&gt;AD$345,"",AD847+AD1127+AD1407)</f>
        <v>168.39118177153736</v>
      </c>
      <c r="AE567" s="121">
        <f>IF(tech_base!$T223&gt;AE$345,"",AE847+AE1127+AE1407)</f>
        <v>169.71366465780721</v>
      </c>
      <c r="AF567" s="121">
        <f>IF(tech_base!$T223&gt;AF$345,"",AF847+AF1127+AF1407)</f>
        <v>170.56680926936684</v>
      </c>
      <c r="AG567" s="121">
        <f>IF(tech_base!$T223&gt;AG$345,"",AG847+AG1127+AG1407)</f>
        <v>171.32247178582318</v>
      </c>
      <c r="AH567" s="121">
        <f>IF(tech_base!$T223&gt;AH$345,"",AH847+AH1127+AH1407)</f>
        <v>172.01270861845737</v>
      </c>
      <c r="AI567" s="121">
        <f>IF(tech_base!$T223&gt;AI$345,"",AI847+AI1127+AI1407)</f>
        <v>172.74282178531354</v>
      </c>
      <c r="AJ567" s="121">
        <f>IF(tech_base!$T223&gt;AJ$345,"",AJ847+AJ1127+AJ1407)</f>
        <v>173.48695079088674</v>
      </c>
      <c r="AK567" s="121">
        <f>IF(tech_base!$T223&gt;AK$345,"",AK847+AK1127+AK1407)</f>
        <v>174.17650229490638</v>
      </c>
      <c r="AL567" s="121">
        <f>IF(tech_base!$T223&gt;AL$345,"",AL847+AL1127+AL1407)</f>
        <v>174.79699028725071</v>
      </c>
      <c r="AM567" s="121">
        <f>IF(tech_base!$T223&gt;AM$345,"",AM847+AM1127+AM1407)</f>
        <v>175.24720417327796</v>
      </c>
      <c r="AN567" s="121">
        <f>IF(tech_base!$T223&gt;AN$345,"",AN847+AN1127+AN1407)</f>
        <v>175.6437125783084</v>
      </c>
      <c r="AO567" s="121">
        <f>IF(tech_base!$T223&gt;AO$345,"",AO847+AO1127+AO1407)</f>
        <v>176.05148200132081</v>
      </c>
      <c r="AP567" s="121">
        <f>IF(tech_base!$T223&gt;AP$345,"",AP847+AP1127+AP1407)</f>
        <v>176.48800552679478</v>
      </c>
      <c r="AQ567" s="121">
        <f>IF(tech_base!$T223&gt;AQ$345,"",AQ847+AQ1127+AQ1407)</f>
        <v>176.94074024598547</v>
      </c>
      <c r="AR567" s="121">
        <f>IF(tech_base!$T223&gt;AR$345,"",AR847+AR1127+AR1407)</f>
        <v>177.27926953701626</v>
      </c>
      <c r="AS567" s="121">
        <f>IF(tech_base!$T223&gt;AS$345,"",AS847+AS1127+AS1407)</f>
        <v>177.70423622743363</v>
      </c>
      <c r="AT567" s="121">
        <f>IF(tech_base!$T223&gt;AT$345,"",AT847+AT1127+AT1407)</f>
        <v>178.06387099482393</v>
      </c>
      <c r="AU567" s="121">
        <f>IF(tech_base!$T223&gt;AU$345,"",AU847+AU1127+AU1407)</f>
        <v>178.62235577394944</v>
      </c>
      <c r="AV567" s="121">
        <f>IF(tech_base!$T223&gt;AV$345,"",AV847+AV1127+AV1407)</f>
        <v>179.21105773502245</v>
      </c>
      <c r="AW567" s="121">
        <f>IF(tech_base!$T223&gt;AW$345,"",AW847+AW1127+AW1407)</f>
        <v>179.80957744728403</v>
      </c>
      <c r="AX567" s="122">
        <f>IF(tech_base!$T223&gt;AX$345,"",AX847+AX1127+AX1407)</f>
        <v>180.37390899631092</v>
      </c>
    </row>
    <row r="568" spans="1:50" x14ac:dyDescent="0.25">
      <c r="A568" s="356"/>
      <c r="B568" s="376"/>
      <c r="C568" s="378"/>
      <c r="D568" s="2" t="s">
        <v>8</v>
      </c>
      <c r="E568" s="76" t="str">
        <f>A547&amp;"/"&amp;B567&amp;"/"&amp;C567&amp;"/"&amp;D568</f>
        <v>Biomass and waste fired power plants/Steam turbine/Electricity only/M</v>
      </c>
      <c r="F568" s="76" t="str">
        <f>A547</f>
        <v>Biomass and waste fired power plants</v>
      </c>
      <c r="G568" s="76" t="str">
        <f>B567</f>
        <v>Steam turbine</v>
      </c>
      <c r="H568" s="76" t="str">
        <f>C567</f>
        <v>Electricity only</v>
      </c>
      <c r="I568" s="76" t="str">
        <f t="shared" si="360"/>
        <v>M</v>
      </c>
      <c r="J568" s="119">
        <f>IF(tech_base!$T224&gt;J$345,"",J848+J1128+J1408)</f>
        <v>154.53633563677926</v>
      </c>
      <c r="K568" s="119">
        <f>IF(tech_base!$T224&gt;K$345,"",K848+K1128+K1408)</f>
        <v>156.56159990408329</v>
      </c>
      <c r="L568" s="119">
        <f>IF(tech_base!$T224&gt;L$345,"",L848+L1128+L1408)</f>
        <v>158.58725748775919</v>
      </c>
      <c r="M568" s="119">
        <f>IF(tech_base!$T224&gt;M$345,"",M848+M1128+M1408)</f>
        <v>160.613266139139</v>
      </c>
      <c r="N568" s="119">
        <f>IF(tech_base!$T224&gt;N$345,"",N848+N1128+N1408)</f>
        <v>162.63958418567648</v>
      </c>
      <c r="O568" s="119">
        <f>IF(tech_base!$T224&gt;O$345,"",O848+O1128+O1408)</f>
        <v>164.66617060910335</v>
      </c>
      <c r="P568" s="119">
        <f>IF(tech_base!$T224&gt;P$345,"",P848+P1128+P1408)</f>
        <v>165.30004998348562</v>
      </c>
      <c r="Q568" s="119">
        <f>IF(tech_base!$T224&gt;Q$345,"",Q848+Q1128+Q1408)</f>
        <v>165.62919566860464</v>
      </c>
      <c r="R568" s="119">
        <f>IF(tech_base!$T224&gt;R$345,"",R848+R1128+R1408)</f>
        <v>165.99579226569975</v>
      </c>
      <c r="S568" s="119">
        <f>IF(tech_base!$T224&gt;S$345,"",S848+S1128+S1408)</f>
        <v>166.5459271503818</v>
      </c>
      <c r="T568" s="119">
        <f>IF(tech_base!$T224&gt;T$345,"",T848+T1128+T1408)</f>
        <v>167.38329149399607</v>
      </c>
      <c r="U568" s="119">
        <f>IF(tech_base!$T224&gt;U$345,"",U848+U1128+U1408)</f>
        <v>168.24995178186737</v>
      </c>
      <c r="V568" s="119">
        <f>IF(tech_base!$T224&gt;V$345,"",V848+V1128+V1408)</f>
        <v>169.18499967856576</v>
      </c>
      <c r="W568" s="119">
        <f>IF(tech_base!$T224&gt;W$345,"",W848+W1128+W1408)</f>
        <v>170.1562107575574</v>
      </c>
      <c r="X568" s="119">
        <f>IF(tech_base!$T224&gt;X$345,"",X848+X1128+X1408)</f>
        <v>171.10665221548507</v>
      </c>
      <c r="Y568" s="119">
        <f>IF(tech_base!$T224&gt;Y$345,"",Y848+Y1128+Y1408)</f>
        <v>172.0843379272084</v>
      </c>
      <c r="Z568" s="119">
        <f>IF(tech_base!$T224&gt;Z$345,"",Z848+Z1128+Z1408)</f>
        <v>173.05543885989971</v>
      </c>
      <c r="AA568" s="119">
        <f>IF(tech_base!$T224&gt;AA$345,"",AA848+AA1128+AA1408)</f>
        <v>174.10890675707492</v>
      </c>
      <c r="AB568" s="119">
        <f>IF(tech_base!$T224&gt;AB$345,"",AB848+AB1128+AB1408)</f>
        <v>175.45651872593072</v>
      </c>
      <c r="AC568" s="119">
        <f>IF(tech_base!$T224&gt;AC$345,"",AC848+AC1128+AC1408)</f>
        <v>177.42907385080656</v>
      </c>
      <c r="AD568" s="119">
        <f>IF(tech_base!$T224&gt;AD$345,"",AD848+AD1128+AD1408)</f>
        <v>179.3683816787559</v>
      </c>
      <c r="AE568" s="119">
        <f>IF(tech_base!$T224&gt;AE$345,"",AE848+AE1128+AE1408)</f>
        <v>180.74144127319414</v>
      </c>
      <c r="AF568" s="119">
        <f>IF(tech_base!$T224&gt;AF$345,"",AF848+AF1128+AF1408)</f>
        <v>181.6197378093384</v>
      </c>
      <c r="AG568" s="119">
        <f>IF(tech_base!$T224&gt;AG$345,"",AG848+AG1128+AG1408)</f>
        <v>182.39545880190511</v>
      </c>
      <c r="AH568" s="119">
        <f>IF(tech_base!$T224&gt;AH$345,"",AH848+AH1128+AH1408)</f>
        <v>183.10241504739921</v>
      </c>
      <c r="AI568" s="119">
        <f>IF(tech_base!$T224&gt;AI$345,"",AI848+AI1128+AI1408)</f>
        <v>183.85168378909196</v>
      </c>
      <c r="AJ568" s="119">
        <f>IF(tech_base!$T224&gt;AJ$345,"",AJ848+AJ1128+AJ1408)</f>
        <v>184.61599521493682</v>
      </c>
      <c r="AK568" s="119">
        <f>IF(tech_base!$T224&gt;AK$345,"",AK848+AK1128+AK1408)</f>
        <v>185.32299682326601</v>
      </c>
      <c r="AL568" s="119">
        <f>IF(tech_base!$T224&gt;AL$345,"",AL848+AL1128+AL1408)</f>
        <v>185.95740709921517</v>
      </c>
      <c r="AM568" s="119">
        <f>IF(tech_base!$T224&gt;AM$345,"",AM848+AM1128+AM1408)</f>
        <v>186.41245126036057</v>
      </c>
      <c r="AN568" s="119">
        <f>IF(tech_base!$T224&gt;AN$345,"",AN848+AN1128+AN1408)</f>
        <v>186.81109804251196</v>
      </c>
      <c r="AO568" s="119">
        <f>IF(tech_base!$T224&gt;AO$345,"",AO848+AO1128+AO1408)</f>
        <v>187.22188831309501</v>
      </c>
      <c r="AP568" s="119">
        <f>IF(tech_base!$T224&gt;AP$345,"",AP848+AP1128+AP1408)</f>
        <v>187.66328324592058</v>
      </c>
      <c r="AQ568" s="119">
        <f>IF(tech_base!$T224&gt;AQ$345,"",AQ848+AQ1128+AQ1408)</f>
        <v>188.12205524922896</v>
      </c>
      <c r="AR568" s="119">
        <f>IF(tech_base!$T224&gt;AR$345,"",AR848+AR1128+AR1408)</f>
        <v>188.46060566875138</v>
      </c>
      <c r="AS568" s="119">
        <f>IF(tech_base!$T224&gt;AS$345,"",AS848+AS1128+AS1408)</f>
        <v>188.89063303973242</v>
      </c>
      <c r="AT568" s="119">
        <f>IF(tech_base!$T224&gt;AT$345,"",AT848+AT1128+AT1408)</f>
        <v>189.25200618307969</v>
      </c>
      <c r="AU568" s="119">
        <f>IF(tech_base!$T224&gt;AU$345,"",AU848+AU1128+AU1408)</f>
        <v>189.82348327857488</v>
      </c>
      <c r="AV568" s="119">
        <f>IF(tech_base!$T224&gt;AV$345,"",AV848+AV1128+AV1408)</f>
        <v>190.42713843608988</v>
      </c>
      <c r="AW568" s="119">
        <f>IF(tech_base!$T224&gt;AW$345,"",AW848+AW1128+AW1408)</f>
        <v>191.04144917159991</v>
      </c>
      <c r="AX568" s="120">
        <f>IF(tech_base!$T224&gt;AX$345,"",AX848+AX1128+AX1408)</f>
        <v>191.61997955175624</v>
      </c>
    </row>
    <row r="569" spans="1:50" x14ac:dyDescent="0.25">
      <c r="A569" s="356"/>
      <c r="B569" s="376"/>
      <c r="C569" s="378"/>
      <c r="D569" s="2" t="s">
        <v>10</v>
      </c>
      <c r="E569" s="76" t="str">
        <f>A547&amp;"/"&amp;B567&amp;"/"&amp;C567&amp;"/"&amp;D569</f>
        <v>Biomass and waste fired power plants/Steam turbine/Electricity only/S</v>
      </c>
      <c r="F569" s="76" t="str">
        <f>A547</f>
        <v>Biomass and waste fired power plants</v>
      </c>
      <c r="G569" s="76" t="str">
        <f>B567</f>
        <v>Steam turbine</v>
      </c>
      <c r="H569" s="76" t="str">
        <f>C567</f>
        <v>Electricity only</v>
      </c>
      <c r="I569" s="76" t="str">
        <f t="shared" si="360"/>
        <v>S</v>
      </c>
      <c r="J569" s="119">
        <f>IF(tech_base!$T225&gt;J$345,"",J849+J1129+J1409)</f>
        <v>167.57912308561032</v>
      </c>
      <c r="K569" s="119">
        <f>IF(tech_base!$T225&gt;K$345,"",K849+K1129+K1409)</f>
        <v>169.703766052643</v>
      </c>
      <c r="L569" s="119">
        <f>IF(tech_base!$T225&gt;L$345,"",L849+L1129+L1409)</f>
        <v>171.82888743420892</v>
      </c>
      <c r="M569" s="119">
        <f>IF(tech_base!$T225&gt;M$345,"",M849+M1129+M1409)</f>
        <v>173.95444787335731</v>
      </c>
      <c r="N569" s="119">
        <f>IF(tech_base!$T225&gt;N$345,"",N849+N1129+N1409)</f>
        <v>176.08040853120139</v>
      </c>
      <c r="O569" s="119">
        <f>IF(tech_base!$T225&gt;O$345,"",O849+O1129+O1409)</f>
        <v>178.2067311600552</v>
      </c>
      <c r="P569" s="119">
        <f>IF(tech_base!$T225&gt;P$345,"",P849+P1129+P1409)</f>
        <v>178.86481608213489</v>
      </c>
      <c r="Q569" s="119">
        <f>IF(tech_base!$T225&gt;Q$345,"",Q849+Q1129+Q1409)</f>
        <v>179.20165405460421</v>
      </c>
      <c r="R569" s="119">
        <f>IF(tech_base!$T225&gt;R$345,"",R849+R1129+R1409)</f>
        <v>179.57800877584887</v>
      </c>
      <c r="S569" s="119">
        <f>IF(tech_base!$T225&gt;S$345,"",S849+S1129+S1409)</f>
        <v>180.1479142503168</v>
      </c>
      <c r="T569" s="119">
        <f>IF(tech_base!$T225&gt;T$345,"",T849+T1129+T1409)</f>
        <v>181.02071386054971</v>
      </c>
      <c r="U569" s="119">
        <f>IF(tech_base!$T225&gt;U$345,"",U849+U1129+U1409)</f>
        <v>181.92446680848695</v>
      </c>
      <c r="V569" s="119">
        <f>IF(tech_base!$T225&gt;V$345,"",V849+V1129+V1409)</f>
        <v>182.90039755876876</v>
      </c>
      <c r="W569" s="119">
        <f>IF(tech_base!$T225&gt;W$345,"",W849+W1129+W1409)</f>
        <v>183.9145360899347</v>
      </c>
      <c r="X569" s="119">
        <f>IF(tech_base!$T225&gt;X$345,"",X849+X1129+X1409)</f>
        <v>184.90685646913096</v>
      </c>
      <c r="Y569" s="119">
        <f>IF(tech_base!$T225&gt;Y$345,"",Y849+Y1129+Y1409)</f>
        <v>185.92799020438898</v>
      </c>
      <c r="Z569" s="119">
        <f>IF(tech_base!$T225&gt;Z$345,"",Z849+Z1129+Z1409)</f>
        <v>186.94227089284584</v>
      </c>
      <c r="AA569" s="119">
        <f>IF(tech_base!$T225&gt;AA$345,"",AA849+AA1129+AA1409)</f>
        <v>188.0435007495299</v>
      </c>
      <c r="AB569" s="119">
        <f>IF(tech_base!$T225&gt;AB$345,"",AB849+AB1129+AB1409)</f>
        <v>189.4550081738557</v>
      </c>
      <c r="AC569" s="119">
        <f>IF(tech_base!$T225&gt;AC$345,"",AC849+AC1129+AC1409)</f>
        <v>191.52564724444755</v>
      </c>
      <c r="AD569" s="119">
        <f>IF(tech_base!$T225&gt;AD$345,"",AD849+AD1129+AD1409)</f>
        <v>193.56136373790883</v>
      </c>
      <c r="AE569" s="119">
        <f>IF(tech_base!$T225&gt;AE$345,"",AE849+AE1129+AE1409)</f>
        <v>195.00007845668273</v>
      </c>
      <c r="AF569" s="119">
        <f>IF(tech_base!$T225&gt;AF$345,"",AF849+AF1129+AF1409)</f>
        <v>195.91715240674159</v>
      </c>
      <c r="AG569" s="119">
        <f>IF(tech_base!$T225&gt;AG$345,"",AG849+AG1129+AG1409)</f>
        <v>196.72616125141124</v>
      </c>
      <c r="AH569" s="119">
        <f>IF(tech_base!$T225&gt;AH$345,"",AH849+AH1129+AH1409)</f>
        <v>197.46275985806227</v>
      </c>
      <c r="AI569" s="119">
        <f>IF(tech_base!$T225&gt;AI$345,"",AI849+AI1129+AI1409)</f>
        <v>198.24409210091952</v>
      </c>
      <c r="AJ569" s="119">
        <f>IF(tech_base!$T225&gt;AJ$345,"",AJ849+AJ1129+AJ1409)</f>
        <v>199.04140268480467</v>
      </c>
      <c r="AK569" s="119">
        <f>IF(tech_base!$T225&gt;AK$345,"",AK849+AK1129+AK1409)</f>
        <v>199.77838780293922</v>
      </c>
      <c r="AL569" s="119">
        <f>IF(tech_base!$T225&gt;AL$345,"",AL849+AL1129+AL1409)</f>
        <v>200.43893002534787</v>
      </c>
      <c r="AM569" s="119">
        <f>IF(tech_base!$T225&gt;AM$345,"",AM849+AM1129+AM1409)</f>
        <v>200.91041445500034</v>
      </c>
      <c r="AN569" s="119">
        <f>IF(tech_base!$T225&gt;AN$345,"",AN849+AN1129+AN1409)</f>
        <v>201.32252992308989</v>
      </c>
      <c r="AO569" s="119">
        <f>IF(tech_base!$T225&gt;AO$345,"",AO849+AO1129+AO1409)</f>
        <v>201.74756673672101</v>
      </c>
      <c r="AP569" s="119">
        <f>IF(tech_base!$T225&gt;AP$345,"",AP849+AP1129+AP1409)</f>
        <v>202.20499863746835</v>
      </c>
      <c r="AQ569" s="119">
        <f>IF(tech_base!$T225&gt;AQ$345,"",AQ849+AQ1129+AQ1409)</f>
        <v>202.68087677961907</v>
      </c>
      <c r="AR569" s="119">
        <f>IF(tech_base!$T225&gt;AR$345,"",AR849+AR1129+AR1409)</f>
        <v>203.03007029456009</v>
      </c>
      <c r="AS569" s="119">
        <f>IF(tech_base!$T225&gt;AS$345,"",AS849+AS1129+AS1409)</f>
        <v>203.47586857533929</v>
      </c>
      <c r="AT569" s="119">
        <f>IF(tech_base!$T225&gt;AT$345,"",AT849+AT1129+AT1409)</f>
        <v>203.84937282445185</v>
      </c>
      <c r="AU569" s="119">
        <f>IF(tech_base!$T225&gt;AU$345,"",AU849+AU1129+AU1409)</f>
        <v>204.44461433056739</v>
      </c>
      <c r="AV569" s="119">
        <f>IF(tech_base!$T225&gt;AV$345,"",AV849+AV1129+AV1409)</f>
        <v>205.07392427056442</v>
      </c>
      <c r="AW569" s="119">
        <f>IF(tech_base!$T225&gt;AW$345,"",AW849+AW1129+AW1409)</f>
        <v>205.71460203833652</v>
      </c>
      <c r="AX569" s="120">
        <f>IF(tech_base!$T225&gt;AX$345,"",AX849+AX1129+AX1409)</f>
        <v>206.31766618102222</v>
      </c>
    </row>
    <row r="570" spans="1:50" x14ac:dyDescent="0.25">
      <c r="A570" s="356"/>
      <c r="B570" s="376"/>
      <c r="C570" s="379"/>
      <c r="D570" s="2" t="s">
        <v>20</v>
      </c>
      <c r="E570" s="76" t="str">
        <f>A547&amp;"/"&amp;B567&amp;"/"&amp;C567&amp;"/"&amp;D570</f>
        <v>Biomass and waste fired power plants/Steam turbine/Electricity only/XS</v>
      </c>
      <c r="F570" s="76" t="str">
        <f>A547</f>
        <v>Biomass and waste fired power plants</v>
      </c>
      <c r="G570" s="76" t="str">
        <f>B567</f>
        <v>Steam turbine</v>
      </c>
      <c r="H570" s="76" t="str">
        <f>C567</f>
        <v>Electricity only</v>
      </c>
      <c r="I570" s="76" t="str">
        <f t="shared" si="360"/>
        <v>XS</v>
      </c>
      <c r="J570" s="119">
        <f>IF(tech_base!$T226&gt;J$345,"",J850+J1130+J1410)</f>
        <v>190.82905337261116</v>
      </c>
      <c r="K570" s="119">
        <f>IF(tech_base!$T226&gt;K$345,"",K850+K1130+K1410)</f>
        <v>193.05036329092914</v>
      </c>
      <c r="L570" s="119">
        <f>IF(tech_base!$T226&gt;L$345,"",L850+L1130+L1410)</f>
        <v>195.27201442401827</v>
      </c>
      <c r="M570" s="119">
        <f>IF(tech_base!$T226&gt;M$345,"",M850+M1130+M1410)</f>
        <v>197.49398000221106</v>
      </c>
      <c r="N570" s="119">
        <f>IF(tech_base!$T226&gt;N$345,"",N850+N1130+N1410)</f>
        <v>199.71623407102891</v>
      </c>
      <c r="O570" s="119">
        <f>IF(tech_base!$T226&gt;O$345,"",O850+O1130+O1410)</f>
        <v>201.93875152895129</v>
      </c>
      <c r="P570" s="119">
        <f>IF(tech_base!$T226&gt;P$345,"",P850+P1130+P1410)</f>
        <v>202.61275988674635</v>
      </c>
      <c r="Q570" s="119">
        <f>IF(tech_base!$T226&gt;Q$345,"",Q850+Q1130+Q1410)</f>
        <v>202.94778643580622</v>
      </c>
      <c r="R570" s="119">
        <f>IF(tech_base!$T226&gt;R$345,"",R850+R1130+R1410)</f>
        <v>203.32430031306396</v>
      </c>
      <c r="S570" s="119">
        <f>IF(tech_base!$T226&gt;S$345,"",S850+S1130+S1410)</f>
        <v>203.90478037521831</v>
      </c>
      <c r="T570" s="119">
        <f>IF(tech_base!$T226&gt;T$345,"",T850+T1130+T1410)</f>
        <v>204.80458937767878</v>
      </c>
      <c r="U570" s="119">
        <f>IF(tech_base!$T226&gt;U$345,"",U850+U1130+U1410)</f>
        <v>205.73693889436453</v>
      </c>
      <c r="V570" s="119">
        <f>IF(tech_base!$T226&gt;V$345,"",V850+V1130+V1410)</f>
        <v>206.74533126712032</v>
      </c>
      <c r="W570" s="119">
        <f>IF(tech_base!$T226&gt;W$345,"",W850+W1130+W1410)</f>
        <v>207.79395669739614</v>
      </c>
      <c r="X570" s="119">
        <f>IF(tech_base!$T226&gt;X$345,"",X850+X1130+X1410)</f>
        <v>208.81951534331483</v>
      </c>
      <c r="Y570" s="119">
        <f>IF(tech_base!$T226&gt;Y$345,"",Y850+Y1130+Y1410)</f>
        <v>209.87543182237766</v>
      </c>
      <c r="Z570" s="119">
        <f>IF(tech_base!$T226&gt;Z$345,"",Z850+Z1130+Z1410)</f>
        <v>210.92409886824913</v>
      </c>
      <c r="AA570" s="119">
        <f>IF(tech_base!$T226&gt;AA$345,"",AA850+AA1130+AA1410)</f>
        <v>212.06448933223766</v>
      </c>
      <c r="AB570" s="119">
        <f>IF(tech_base!$T226&gt;AB$345,"",AB850+AB1130+AB1410)</f>
        <v>213.53223828904447</v>
      </c>
      <c r="AC570" s="119">
        <f>IF(tech_base!$T226&gt;AC$345,"",AC850+AC1130+AC1410)</f>
        <v>215.69544358320448</v>
      </c>
      <c r="AD570" s="119">
        <f>IF(tech_base!$T226&gt;AD$345,"",AD850+AD1130+AD1410)</f>
        <v>217.82191256904449</v>
      </c>
      <c r="AE570" s="119">
        <f>IF(tech_base!$T226&gt;AE$345,"",AE850+AE1130+AE1410)</f>
        <v>219.31860754683765</v>
      </c>
      <c r="AF570" s="119">
        <f>IF(tech_base!$T226&gt;AF$345,"",AF850+AF1130+AF1410)</f>
        <v>220.26499962149109</v>
      </c>
      <c r="AG570" s="119">
        <f>IF(tech_base!$T226&gt;AG$345,"",AG850+AG1130+AG1410)</f>
        <v>221.09744124956049</v>
      </c>
      <c r="AH570" s="119">
        <f>IF(tech_base!$T226&gt;AH$345,"",AH850+AH1130+AH1410)</f>
        <v>221.85355836577463</v>
      </c>
      <c r="AI570" s="119">
        <f>IF(tech_base!$T226&gt;AI$345,"",AI850+AI1130+AI1410)</f>
        <v>222.65697059660653</v>
      </c>
      <c r="AJ570" s="119">
        <f>IF(tech_base!$T226&gt;AJ$345,"",AJ850+AJ1130+AJ1410)</f>
        <v>223.47735086317147</v>
      </c>
      <c r="AK570" s="119">
        <f>IF(tech_base!$T226&gt;AK$345,"",AK850+AK1130+AK1410)</f>
        <v>224.23419055006207</v>
      </c>
      <c r="AL570" s="119">
        <f>IF(tech_base!$T226&gt;AL$345,"",AL850+AL1130+AL1410)</f>
        <v>224.91048701453568</v>
      </c>
      <c r="AM570" s="119">
        <f>IF(tech_base!$T226&gt;AM$345,"",AM850+AM1130+AM1410)</f>
        <v>225.38739648087113</v>
      </c>
      <c r="AN570" s="119">
        <f>IF(tech_base!$T226&gt;AN$345,"",AN850+AN1130+AN1410)</f>
        <v>225.80178420692266</v>
      </c>
      <c r="AO570" s="119">
        <f>IF(tech_base!$T226&gt;AO$345,"",AO850+AO1130+AO1410)</f>
        <v>226.22995196404025</v>
      </c>
      <c r="AP570" s="119">
        <f>IF(tech_base!$T226&gt;AP$345,"",AP850+AP1130+AP1410)</f>
        <v>226.69246500625772</v>
      </c>
      <c r="AQ570" s="119">
        <f>IF(tech_base!$T226&gt;AQ$345,"",AQ850+AQ1130+AQ1410)</f>
        <v>227.17461378837953</v>
      </c>
      <c r="AR570" s="119">
        <f>IF(tech_base!$T226&gt;AR$345,"",AR850+AR1130+AR1410)</f>
        <v>227.52322360526625</v>
      </c>
      <c r="AS570" s="119">
        <f>IF(tech_base!$T226&gt;AS$345,"",AS850+AS1130+AS1410)</f>
        <v>227.97398166566038</v>
      </c>
      <c r="AT570" s="119">
        <f>IF(tech_base!$T226&gt;AT$345,"",AT850+AT1130+AT1410)</f>
        <v>228.34862224412376</v>
      </c>
      <c r="AU570" s="119">
        <f>IF(tech_base!$T226&gt;AU$345,"",AU850+AU1130+AU1410)</f>
        <v>228.95752374314696</v>
      </c>
      <c r="AV570" s="119">
        <f>IF(tech_base!$T226&gt;AV$345,"",AV850+AV1130+AV1410)</f>
        <v>229.60260629487232</v>
      </c>
      <c r="AW570" s="119">
        <f>IF(tech_base!$T226&gt;AW$345,"",AW850+AW1130+AW1410)</f>
        <v>230.25991613439533</v>
      </c>
      <c r="AX570" s="120">
        <f>IF(tech_base!$T226&gt;AX$345,"",AX850+AX1130+AX1410)</f>
        <v>230.87775248326699</v>
      </c>
    </row>
    <row r="571" spans="1:50" x14ac:dyDescent="0.25">
      <c r="A571" s="356"/>
      <c r="B571" s="376"/>
      <c r="C571" s="361" t="s">
        <v>14</v>
      </c>
      <c r="D571" s="58" t="s">
        <v>7</v>
      </c>
      <c r="E571" s="78" t="str">
        <f>A547&amp;"/"&amp;B567&amp;"/"&amp;C571&amp;"/"&amp;D571</f>
        <v>Biomass and waste fired power plants/Steam turbine/CHP/L</v>
      </c>
      <c r="F571" s="78" t="str">
        <f>A547</f>
        <v>Biomass and waste fired power plants</v>
      </c>
      <c r="G571" s="78" t="str">
        <f>B567</f>
        <v>Steam turbine</v>
      </c>
      <c r="H571" s="78" t="str">
        <f>C571</f>
        <v>CHP</v>
      </c>
      <c r="I571" s="78" t="str">
        <f t="shared" si="360"/>
        <v>L</v>
      </c>
      <c r="J571" s="123">
        <f>IF(tech_base!$T227&gt;J$345,"",J851+J1131+J1411)</f>
        <v>164.64960456416793</v>
      </c>
      <c r="K571" s="123">
        <f>IF(tech_base!$T227&gt;K$345,"",K851+K1131+K1411)</f>
        <v>166.76636208769605</v>
      </c>
      <c r="L571" s="123">
        <f>IF(tech_base!$T227&gt;L$345,"",L851+L1131+L1411)</f>
        <v>168.8834487323374</v>
      </c>
      <c r="M571" s="123">
        <f>IF(tech_base!$T227&gt;M$345,"",M851+M1131+M1411)</f>
        <v>171.00084893825505</v>
      </c>
      <c r="N571" s="123">
        <f>IF(tech_base!$T227&gt;N$345,"",N851+N1131+N1411)</f>
        <v>173.11854746399604</v>
      </c>
      <c r="O571" s="123">
        <f>IF(tech_base!$T227&gt;O$345,"",O851+O1131+O1411)</f>
        <v>175.23652939712625</v>
      </c>
      <c r="P571" s="123">
        <f>IF(tech_base!$T227&gt;P$345,"",P851+P1131+P1411)</f>
        <v>175.88981832642776</v>
      </c>
      <c r="Q571" s="123">
        <f>IF(tech_base!$T227&gt;Q$345,"",Q851+Q1131+Q1411)</f>
        <v>176.22261179393035</v>
      </c>
      <c r="R571" s="123">
        <f>IF(tech_base!$T227&gt;R$345,"",R851+R1131+R1411)</f>
        <v>176.59481077359442</v>
      </c>
      <c r="S571" s="123">
        <f>IF(tech_base!$T227&gt;S$345,"",S851+S1131+S1411)</f>
        <v>177.16009400673624</v>
      </c>
      <c r="T571" s="123">
        <f>IF(tech_base!$T227&gt;T$345,"",T851+T1131+T1411)</f>
        <v>178.02755931209543</v>
      </c>
      <c r="U571" s="123">
        <f>IF(tech_base!$T227&gt;U$345,"",U851+U1131+U1411)</f>
        <v>178.92595283104436</v>
      </c>
      <c r="V571" s="123">
        <f>IF(tech_base!$T227&gt;V$345,"",V851+V1131+V1411)</f>
        <v>179.89641863189377</v>
      </c>
      <c r="W571" s="123">
        <f>IF(tech_base!$T227&gt;W$345,"",W851+W1131+W1411)</f>
        <v>180.90508962102081</v>
      </c>
      <c r="X571" s="123">
        <f>IF(tech_base!$T227&gt;X$345,"",X851+X1131+X1411)</f>
        <v>181.89210566769322</v>
      </c>
      <c r="Y571" s="123">
        <f>IF(tech_base!$T227&gt;Y$345,"",Y851+Y1131+Y1411)</f>
        <v>182.90799298747942</v>
      </c>
      <c r="Z571" s="123">
        <f>IF(tech_base!$T227&gt;Z$345,"",Z851+Z1131+Z1411)</f>
        <v>183.91719002254797</v>
      </c>
      <c r="AA571" s="123">
        <f>IF(tech_base!$T227&gt;AA$345,"",AA851+AA1131+AA1411)</f>
        <v>185.01328696365965</v>
      </c>
      <c r="AB571" s="123">
        <f>IF(tech_base!$T227&gt;AB$345,"",AB851+AB1131+AB1411)</f>
        <v>186.419083320461</v>
      </c>
      <c r="AC571" s="123">
        <f>IF(tech_base!$T227&gt;AC$345,"",AC851+AC1131+AC1411)</f>
        <v>188.48259692723758</v>
      </c>
      <c r="AD571" s="123">
        <f>IF(tech_base!$T227&gt;AD$345,"",AD851+AD1131+AD1411)</f>
        <v>190.5114818041381</v>
      </c>
      <c r="AE571" s="123">
        <f>IF(tech_base!$T227&gt;AE$345,"",AE851+AE1131+AE1411)</f>
        <v>191.945044354093</v>
      </c>
      <c r="AF571" s="123">
        <f>IF(tech_base!$T227&gt;AF$345,"",AF851+AF1131+AF1411)</f>
        <v>192.85847504245476</v>
      </c>
      <c r="AG571" s="123">
        <f>IF(tech_base!$T227&gt;AG$345,"",AG851+AG1131+AG1411)</f>
        <v>193.66435224564663</v>
      </c>
      <c r="AH571" s="123">
        <f>IF(tech_base!$T227&gt;AH$345,"",AH851+AH1131+AH1411)</f>
        <v>194.39825537791893</v>
      </c>
      <c r="AI571" s="123">
        <f>IF(tech_base!$T227&gt;AI$345,"",AI851+AI1131+AI1411)</f>
        <v>195.17705257754903</v>
      </c>
      <c r="AJ571" s="123">
        <f>IF(tech_base!$T227&gt;AJ$345,"",AJ851+AJ1131+AJ1411)</f>
        <v>195.97206842995737</v>
      </c>
      <c r="AK571" s="123">
        <f>IF(tech_base!$T227&gt;AK$345,"",AK851+AK1131+AK1411)</f>
        <v>196.70719486499263</v>
      </c>
      <c r="AL571" s="123">
        <f>IF(tech_base!$T227&gt;AL$345,"",AL851+AL1131+AL1411)</f>
        <v>197.3663624238668</v>
      </c>
      <c r="AM571" s="123">
        <f>IF(tech_base!$T227&gt;AM$345,"",AM851+AM1131+AM1411)</f>
        <v>197.83724068435578</v>
      </c>
      <c r="AN571" s="123">
        <f>IF(tech_base!$T227&gt;AN$345,"",AN851+AN1131+AN1411)</f>
        <v>198.24920772976054</v>
      </c>
      <c r="AO571" s="123">
        <f>IF(tech_base!$T227&gt;AO$345,"",AO851+AO1131+AO1411)</f>
        <v>198.6743821914979</v>
      </c>
      <c r="AP571" s="123">
        <f>IF(tech_base!$T227&gt;AP$345,"",AP851+AP1131+AP1411)</f>
        <v>199.13219460861052</v>
      </c>
      <c r="AQ571" s="123">
        <f>IF(tech_base!$T227&gt;AQ$345,"",AQ851+AQ1131+AQ1411)</f>
        <v>199.60873437387966</v>
      </c>
      <c r="AR571" s="123">
        <f>IF(tech_base!$T227&gt;AR$345,"",AR851+AR1131+AR1411)</f>
        <v>199.95923313331156</v>
      </c>
      <c r="AS571" s="123">
        <f>IF(tech_base!$T227&gt;AS$345,"",AS851+AS1131+AS1411)</f>
        <v>200.40643066145304</v>
      </c>
      <c r="AT571" s="123">
        <f>IF(tech_base!$T227&gt;AT$345,"",AT851+AT1131+AT1411)</f>
        <v>200.78184858776405</v>
      </c>
      <c r="AU571" s="123">
        <f>IF(tech_base!$T227&gt;AU$345,"",AU851+AU1131+AU1411)</f>
        <v>201.37878758377173</v>
      </c>
      <c r="AV571" s="123">
        <f>IF(tech_base!$T227&gt;AV$345,"",AV851+AV1131+AV1411)</f>
        <v>202.01004417680002</v>
      </c>
      <c r="AW571" s="123">
        <f>IF(tech_base!$T227&gt;AW$345,"",AW851+AW1131+AW1411)</f>
        <v>202.65297350605019</v>
      </c>
      <c r="AX571" s="124">
        <f>IF(tech_base!$T227&gt;AX$345,"",AX851+AX1131+AX1411)</f>
        <v>203.25871578560594</v>
      </c>
    </row>
    <row r="572" spans="1:50" x14ac:dyDescent="0.25">
      <c r="A572" s="356"/>
      <c r="B572" s="376"/>
      <c r="C572" s="378"/>
      <c r="D572" s="2" t="s">
        <v>8</v>
      </c>
      <c r="E572" s="76" t="str">
        <f>A547&amp;"/"&amp;B567&amp;"/"&amp;C571&amp;"/"&amp;D572</f>
        <v>Biomass and waste fired power plants/Steam turbine/CHP/M</v>
      </c>
      <c r="F572" s="76" t="str">
        <f>A547</f>
        <v>Biomass and waste fired power plants</v>
      </c>
      <c r="G572" s="76" t="str">
        <f>B567</f>
        <v>Steam turbine</v>
      </c>
      <c r="H572" s="76" t="str">
        <f>C571</f>
        <v>CHP</v>
      </c>
      <c r="I572" s="76" t="str">
        <f t="shared" si="360"/>
        <v>M</v>
      </c>
      <c r="J572" s="119">
        <f>IF(tech_base!$T228&gt;J$345,"",J852+J1132+J1412)</f>
        <v>175.29846496621548</v>
      </c>
      <c r="K572" s="119">
        <f>IF(tech_base!$T228&gt;K$345,"",K852+K1132+K1412)</f>
        <v>177.50254838616053</v>
      </c>
      <c r="L572" s="119">
        <f>IF(tech_base!$T228&gt;L$345,"",L852+L1132+L1412)</f>
        <v>179.70703104864151</v>
      </c>
      <c r="M572" s="119">
        <f>IF(tech_base!$T228&gt;M$345,"",M852+M1132+M1412)</f>
        <v>181.91190480077864</v>
      </c>
      <c r="N572" s="119">
        <f>IF(tech_base!$T228&gt;N$345,"",N852+N1132+N1412)</f>
        <v>184.11716176875203</v>
      </c>
      <c r="O572" s="119">
        <f>IF(tech_base!$T228&gt;O$345,"",O852+O1132+O1412)</f>
        <v>186.32279436101899</v>
      </c>
      <c r="P572" s="119">
        <f>IF(tech_base!$T228&gt;P$345,"",P852+P1132+P1412)</f>
        <v>186.98383900983134</v>
      </c>
      <c r="Q572" s="119">
        <f>IF(tech_base!$T228&gt;Q$345,"",Q852+Q1132+Q1412)</f>
        <v>187.30686793275095</v>
      </c>
      <c r="R572" s="119">
        <f>IF(tech_base!$T228&gt;R$345,"",R852+R1132+R1412)</f>
        <v>187.67143410088289</v>
      </c>
      <c r="S572" s="119">
        <f>IF(tech_base!$T228&gt;S$345,"",S852+S1132+S1412)</f>
        <v>188.23963580178275</v>
      </c>
      <c r="T572" s="119">
        <f>IF(tech_base!$T228&gt;T$345,"",T852+T1132+T1412)</f>
        <v>189.12657106695593</v>
      </c>
      <c r="U572" s="119">
        <f>IF(tech_base!$T228&gt;U$345,"",U852+U1132+U1412)</f>
        <v>190.0461663944767</v>
      </c>
      <c r="V572" s="119">
        <f>IF(tech_base!$T228&gt;V$345,"",V852+V1132+V1412)</f>
        <v>191.04183192935761</v>
      </c>
      <c r="W572" s="119">
        <f>IF(tech_base!$T228&gt;W$345,"",W852+W1132+W1412)</f>
        <v>192.07785812125206</v>
      </c>
      <c r="X572" s="119">
        <f>IF(tech_base!$T228&gt;X$345,"",X852+X1132+X1412)</f>
        <v>193.09111110298952</v>
      </c>
      <c r="Y572" s="119">
        <f>IF(tech_base!$T228&gt;Y$345,"",Y852+Y1132+Y1412)</f>
        <v>194.13489692520204</v>
      </c>
      <c r="Z572" s="119">
        <f>IF(tech_base!$T228&gt;Z$345,"",Z852+Z1132+Z1412)</f>
        <v>195.1717102180358</v>
      </c>
      <c r="AA572" s="119">
        <f>IF(tech_base!$T228&gt;AA$345,"",AA852+AA1132+AA1412)</f>
        <v>196.30029358788801</v>
      </c>
      <c r="AB572" s="119">
        <f>IF(tech_base!$T228&gt;AB$345,"",AB852+AB1132+AB1412)</f>
        <v>197.7557203199118</v>
      </c>
      <c r="AC572" s="119">
        <f>IF(tech_base!$T228&gt;AC$345,"",AC852+AC1132+AC1412)</f>
        <v>199.90520545208321</v>
      </c>
      <c r="AD572" s="119">
        <f>IF(tech_base!$T228&gt;AD$345,"",AD852+AD1132+AD1412)</f>
        <v>202.01833848166274</v>
      </c>
      <c r="AE572" s="119">
        <f>IF(tech_base!$T228&gt;AE$345,"",AE852+AE1132+AE1412)</f>
        <v>203.50352401624937</v>
      </c>
      <c r="AF572" s="119">
        <f>IF(tech_base!$T228&gt;AF$345,"",AF852+AF1132+AF1412)</f>
        <v>204.44004577112372</v>
      </c>
      <c r="AG572" s="119">
        <f>IF(tech_base!$T228&gt;AG$345,"",AG852+AG1132+AG1412)</f>
        <v>205.26320463173613</v>
      </c>
      <c r="AH572" s="119">
        <f>IF(tech_base!$T228&gt;AH$345,"",AH852+AH1132+AH1412)</f>
        <v>206.01054026444712</v>
      </c>
      <c r="AI572" s="119">
        <f>IF(tech_base!$T228&gt;AI$345,"",AI852+AI1132+AI1412)</f>
        <v>206.80537706662039</v>
      </c>
      <c r="AJ572" s="119">
        <f>IF(tech_base!$T228&gt;AJ$345,"",AJ852+AJ1132+AJ1412)</f>
        <v>207.61746486817623</v>
      </c>
      <c r="AK572" s="119">
        <f>IF(tech_base!$T228&gt;AK$345,"",AK852+AK1132+AK1412)</f>
        <v>208.3664930445704</v>
      </c>
      <c r="AL572" s="119">
        <f>IF(tech_base!$T228&gt;AL$345,"",AL852+AL1132+AL1412)</f>
        <v>209.03550263500617</v>
      </c>
      <c r="AM572" s="119">
        <f>IF(tech_base!$T228&gt;AM$345,"",AM852+AM1132+AM1412)</f>
        <v>209.50594037696746</v>
      </c>
      <c r="AN572" s="119">
        <f>IF(tech_base!$T228&gt;AN$345,"",AN852+AN1132+AN1412)</f>
        <v>209.91434115655994</v>
      </c>
      <c r="AO572" s="119">
        <f>IF(tech_base!$T228&gt;AO$345,"",AO852+AO1132+AO1412)</f>
        <v>210.33682219910759</v>
      </c>
      <c r="AP572" s="119">
        <f>IF(tech_base!$T228&gt;AP$345,"",AP852+AP1132+AP1412)</f>
        <v>210.79389868126492</v>
      </c>
      <c r="AQ572" s="119">
        <f>IF(tech_base!$T228&gt;AQ$345,"",AQ852+AQ1132+AQ1412)</f>
        <v>211.27089615035848</v>
      </c>
      <c r="AR572" s="119">
        <f>IF(tech_base!$T228&gt;AR$345,"",AR852+AR1132+AR1412)</f>
        <v>211.61501241166368</v>
      </c>
      <c r="AS572" s="119">
        <f>IF(tech_base!$T228&gt;AS$345,"",AS852+AS1132+AS1412)</f>
        <v>212.06135860398507</v>
      </c>
      <c r="AT572" s="119">
        <f>IF(tech_base!$T228&gt;AT$345,"",AT852+AT1132+AT1412)</f>
        <v>212.43210211923565</v>
      </c>
      <c r="AU572" s="119">
        <f>IF(tech_base!$T228&gt;AU$345,"",AU852+AU1132+AU1412)</f>
        <v>213.0368592622367</v>
      </c>
      <c r="AV572" s="119">
        <f>IF(tech_base!$T228&gt;AV$345,"",AV852+AV1132+AV1412)</f>
        <v>213.67803062875925</v>
      </c>
      <c r="AW572" s="119">
        <f>IF(tech_base!$T228&gt;AW$345,"",AW852+AW1132+AW1412)</f>
        <v>214.33171742449485</v>
      </c>
      <c r="AX572" s="120">
        <f>IF(tech_base!$T228&gt;AX$345,"",AX852+AX1132+AX1412)</f>
        <v>214.94634214680079</v>
      </c>
    </row>
    <row r="573" spans="1:50" x14ac:dyDescent="0.25">
      <c r="A573" s="356"/>
      <c r="B573" s="376"/>
      <c r="C573" s="378"/>
      <c r="D573" s="2" t="s">
        <v>10</v>
      </c>
      <c r="E573" s="76" t="str">
        <f>A547&amp;"/"&amp;B567&amp;"/"&amp;C571&amp;"/"&amp;D573</f>
        <v>Biomass and waste fired power plants/Steam turbine/CHP/S</v>
      </c>
      <c r="F573" s="76" t="str">
        <f>A547</f>
        <v>Biomass and waste fired power plants</v>
      </c>
      <c r="G573" s="76" t="str">
        <f>B567</f>
        <v>Steam turbine</v>
      </c>
      <c r="H573" s="76" t="str">
        <f>C571</f>
        <v>CHP</v>
      </c>
      <c r="I573" s="76" t="str">
        <f t="shared" si="360"/>
        <v>S</v>
      </c>
      <c r="J573" s="119">
        <f>IF(tech_base!$T229&gt;J$345,"",J853+J1133+J1413)</f>
        <v>189.22743414429851</v>
      </c>
      <c r="K573" s="119">
        <f>IF(tech_base!$T229&gt;K$345,"",K853+K1133+K1413)</f>
        <v>191.53659405221504</v>
      </c>
      <c r="L573" s="119">
        <f>IF(tech_base!$T229&gt;L$345,"",L853+L1133+L1413)</f>
        <v>193.84621775336251</v>
      </c>
      <c r="M573" s="119">
        <f>IF(tech_base!$T229&gt;M$345,"",M853+M1133+M1413)</f>
        <v>196.15630159291445</v>
      </c>
      <c r="N573" s="119">
        <f>IF(tech_base!$T229&gt;N$345,"",N853+N1133+N1413)</f>
        <v>198.46684214720423</v>
      </c>
      <c r="O573" s="119">
        <f>IF(tech_base!$T229&gt;O$345,"",O853+O1133+O1413)</f>
        <v>200.77783622271741</v>
      </c>
      <c r="P573" s="119">
        <f>IF(tech_base!$T229&gt;P$345,"",P853+P1133+P1413)</f>
        <v>201.45973510931157</v>
      </c>
      <c r="Q573" s="119">
        <f>IF(tech_base!$T229&gt;Q$345,"",Q853+Q1133+Q1413)</f>
        <v>201.78511310386349</v>
      </c>
      <c r="R573" s="119">
        <f>IF(tech_base!$T229&gt;R$345,"",R853+R1133+R1413)</f>
        <v>202.15430431994679</v>
      </c>
      <c r="S573" s="119">
        <f>IF(tech_base!$T229&gt;S$345,"",S853+S1133+S1413)</f>
        <v>202.73829842991495</v>
      </c>
      <c r="T573" s="119">
        <f>IF(tech_base!$T229&gt;T$345,"",T853+T1133+T1413)</f>
        <v>203.65852010296302</v>
      </c>
      <c r="U573" s="119">
        <f>IF(tech_base!$T229&gt;U$345,"",U853+U1133+U1413)</f>
        <v>204.61322823646222</v>
      </c>
      <c r="V573" s="119">
        <f>IF(tech_base!$T229&gt;V$345,"",V853+V1133+V1413)</f>
        <v>205.64822092600633</v>
      </c>
      <c r="W573" s="119">
        <f>IF(tech_base!$T229&gt;W$345,"",W853+W1133+W1413)</f>
        <v>206.72583734926187</v>
      </c>
      <c r="X573" s="119">
        <f>IF(tech_base!$T229&gt;X$345,"",X853+X1133+X1413)</f>
        <v>207.77948393826154</v>
      </c>
      <c r="Y573" s="119">
        <f>IF(tech_base!$T229&gt;Y$345,"",Y853+Y1133+Y1413)</f>
        <v>208.86539726261782</v>
      </c>
      <c r="Z573" s="119">
        <f>IF(tech_base!$T229&gt;Z$345,"",Z853+Z1133+Z1413)</f>
        <v>209.94401720123</v>
      </c>
      <c r="AA573" s="119">
        <f>IF(tech_base!$T229&gt;AA$345,"",AA853+AA1133+AA1413)</f>
        <v>211.11951668108554</v>
      </c>
      <c r="AB573" s="119">
        <f>IF(tech_base!$T229&gt;AB$345,"",AB853+AB1133+AB1413)</f>
        <v>212.63990150044395</v>
      </c>
      <c r="AC573" s="119">
        <f>IF(tech_base!$T229&gt;AC$345,"",AC853+AC1133+AC1413)</f>
        <v>214.89260346963385</v>
      </c>
      <c r="AD573" s="119">
        <f>IF(tech_base!$T229&gt;AD$345,"",AD853+AD1133+AD1413)</f>
        <v>217.10707150791552</v>
      </c>
      <c r="AE573" s="119">
        <f>IF(tech_base!$T229&gt;AE$345,"",AE853+AE1133+AE1413)</f>
        <v>218.65915524275638</v>
      </c>
      <c r="AF573" s="119">
        <f>IF(tech_base!$T229&gt;AF$345,"",AF853+AF1133+AF1413)</f>
        <v>219.63247205580416</v>
      </c>
      <c r="AG573" s="119">
        <f>IF(tech_base!$T229&gt;AG$345,"",AG853+AG1133+AG1413)</f>
        <v>220.48626743772249</v>
      </c>
      <c r="AH573" s="119">
        <f>IF(tech_base!$T229&gt;AH$345,"",AH853+AH1133+AH1413)</f>
        <v>221.26014619780764</v>
      </c>
      <c r="AI573" s="119">
        <f>IF(tech_base!$T229&gt;AI$345,"",AI853+AI1133+AI1413)</f>
        <v>222.08422754568045</v>
      </c>
      <c r="AJ573" s="119">
        <f>IF(tech_base!$T229&gt;AJ$345,"",AJ853+AJ1133+AJ1413)</f>
        <v>222.92659962277133</v>
      </c>
      <c r="AK573" s="119">
        <f>IF(tech_base!$T229&gt;AK$345,"",AK853+AK1133+AK1413)</f>
        <v>223.70252758617801</v>
      </c>
      <c r="AL573" s="119">
        <f>IF(tech_base!$T229&gt;AL$345,"",AL853+AL1133+AL1413)</f>
        <v>224.39411675495745</v>
      </c>
      <c r="AM573" s="119">
        <f>IF(tech_base!$T229&gt;AM$345,"",AM853+AM1133+AM1413)</f>
        <v>224.87627157814421</v>
      </c>
      <c r="AN573" s="119">
        <f>IF(tech_base!$T229&gt;AN$345,"",AN853+AN1133+AN1413)</f>
        <v>225.29305495694626</v>
      </c>
      <c r="AO573" s="119">
        <f>IF(tech_base!$T229&gt;AO$345,"",AO853+AO1133+AO1413)</f>
        <v>225.7247860085582</v>
      </c>
      <c r="AP573" s="119">
        <f>IF(tech_base!$T229&gt;AP$345,"",AP853+AP1133+AP1413)</f>
        <v>226.19311630923514</v>
      </c>
      <c r="AQ573" s="119">
        <f>IF(tech_base!$T229&gt;AQ$345,"",AQ853+AQ1133+AQ1413)</f>
        <v>226.68256513747468</v>
      </c>
      <c r="AR573" s="119">
        <f>IF(tech_base!$T229&gt;AR$345,"",AR853+AR1133+AR1413)</f>
        <v>227.03189012348332</v>
      </c>
      <c r="AS573" s="119">
        <f>IF(tech_base!$T229&gt;AS$345,"",AS853+AS1133+AS1413)</f>
        <v>227.48919407363439</v>
      </c>
      <c r="AT573" s="119">
        <f>IF(tech_base!$T229&gt;AT$345,"",AT853+AT1133+AT1413)</f>
        <v>227.86681905618443</v>
      </c>
      <c r="AU573" s="119">
        <f>IF(tech_base!$T229&gt;AU$345,"",AU853+AU1133+AU1413)</f>
        <v>228.49150432247222</v>
      </c>
      <c r="AV573" s="119">
        <f>IF(tech_base!$T229&gt;AV$345,"",AV853+AV1133+AV1413)</f>
        <v>229.15473188305037</v>
      </c>
      <c r="AW573" s="119">
        <f>IF(tech_base!$T229&gt;AW$345,"",AW853+AW1133+AW1413)</f>
        <v>229.83128407855821</v>
      </c>
      <c r="AX573" s="120">
        <f>IF(tech_base!$T229&gt;AX$345,"",AX853+AX1133+AX1413)</f>
        <v>230.46673066643373</v>
      </c>
    </row>
    <row r="574" spans="1:50" x14ac:dyDescent="0.25">
      <c r="A574" s="356"/>
      <c r="B574" s="376"/>
      <c r="C574" s="379"/>
      <c r="D574" s="59" t="s">
        <v>20</v>
      </c>
      <c r="E574" s="79" t="str">
        <f>A547&amp;"/"&amp;B567&amp;"/"&amp;C571&amp;"/"&amp;D574</f>
        <v>Biomass and waste fired power plants/Steam turbine/CHP/XS</v>
      </c>
      <c r="F574" s="79" t="str">
        <f>A547</f>
        <v>Biomass and waste fired power plants</v>
      </c>
      <c r="G574" s="79" t="str">
        <f>B567</f>
        <v>Steam turbine</v>
      </c>
      <c r="H574" s="79" t="str">
        <f>C571</f>
        <v>CHP</v>
      </c>
      <c r="I574" s="79" t="str">
        <f t="shared" si="360"/>
        <v>XS</v>
      </c>
      <c r="J574" s="125">
        <f>IF(tech_base!$T230&gt;J$345,"",J854+J1134+J1414)</f>
        <v>214.44149510935074</v>
      </c>
      <c r="K574" s="125">
        <f>IF(tech_base!$T230&gt;K$345,"",K854+K1134+K1414)</f>
        <v>216.86567049406418</v>
      </c>
      <c r="L574" s="125">
        <f>IF(tech_base!$T230&gt;L$345,"",L854+L1134+L1414)</f>
        <v>219.29040302267595</v>
      </c>
      <c r="M574" s="125">
        <f>IF(tech_base!$T230&gt;M$345,"",M854+M1134+M1414)</f>
        <v>221.71569228551084</v>
      </c>
      <c r="N574" s="125">
        <f>IF(tech_base!$T230&gt;N$345,"",N854+N1134+N1414)</f>
        <v>224.14153803286101</v>
      </c>
      <c r="O574" s="125">
        <f>IF(tech_base!$T230&gt;O$345,"",O854+O1134+O1414)</f>
        <v>226.56794017188878</v>
      </c>
      <c r="P574" s="125">
        <f>IF(tech_base!$T230&gt;P$345,"",P854+P1134+P1414)</f>
        <v>227.27575354944835</v>
      </c>
      <c r="Q574" s="125">
        <f>IF(tech_base!$T230&gt;Q$345,"",Q854+Q1134+Q1414)</f>
        <v>227.6074728323141</v>
      </c>
      <c r="R574" s="125">
        <f>IF(tech_base!$T230&gt;R$345,"",R854+R1134+R1414)</f>
        <v>227.98544352621957</v>
      </c>
      <c r="S574" s="125">
        <f>IF(tech_base!$T230&gt;S$345,"",S854+S1134+S1414)</f>
        <v>228.59006998662841</v>
      </c>
      <c r="T574" s="125">
        <f>IF(tech_base!$T230&gt;T$345,"",T854+T1134+T1414)</f>
        <v>229.54947336850677</v>
      </c>
      <c r="U574" s="125">
        <f>IF(tech_base!$T230&gt;U$345,"",U854+U1134+U1414)</f>
        <v>230.54531704846701</v>
      </c>
      <c r="V574" s="125">
        <f>IF(tech_base!$T230&gt;V$345,"",V854+V1134+V1414)</f>
        <v>231.62592585428533</v>
      </c>
      <c r="W574" s="125">
        <f>IF(tech_base!$T230&gt;W$345,"",W854+W1134+W1414)</f>
        <v>232.7515706801438</v>
      </c>
      <c r="X574" s="125">
        <f>IF(tech_base!$T230&gt;X$345,"",X854+X1134+X1414)</f>
        <v>233.85199309373928</v>
      </c>
      <c r="Y574" s="125">
        <f>IF(tech_base!$T230&gt;Y$345,"",Y854+Y1134+Y1414)</f>
        <v>234.98653088989835</v>
      </c>
      <c r="Z574" s="125">
        <f>IF(tech_base!$T230&gt;Z$345,"",Z854+Z1134+Z1414)</f>
        <v>236.11344691799547</v>
      </c>
      <c r="AA574" s="125">
        <f>IF(tech_base!$T230&gt;AA$345,"",AA854+AA1134+AA1414)</f>
        <v>237.34266098042309</v>
      </c>
      <c r="AB574" s="125">
        <f>IF(tech_base!$T230&gt;AB$345,"",AB854+AB1134+AB1414)</f>
        <v>238.93586538619789</v>
      </c>
      <c r="AC574" s="125">
        <f>IF(tech_base!$T230&gt;AC$345,"",AC854+AC1134+AC1414)</f>
        <v>241.3018849776447</v>
      </c>
      <c r="AD574" s="125">
        <f>IF(tech_base!$T230&gt;AD$345,"",AD854+AD1134+AD1414)</f>
        <v>243.62767634611296</v>
      </c>
      <c r="AE574" s="125">
        <f>IF(tech_base!$T230&gt;AE$345,"",AE854+AE1134+AE1414)</f>
        <v>245.25463505380185</v>
      </c>
      <c r="AF574" s="125">
        <f>IF(tech_base!$T230&gt;AF$345,"",AF854+AF1134+AF1414)</f>
        <v>246.27096978988317</v>
      </c>
      <c r="AG574" s="125">
        <f>IF(tech_base!$T230&gt;AG$345,"",AG854+AG1134+AG1414)</f>
        <v>247.16126793905801</v>
      </c>
      <c r="AH574" s="125">
        <f>IF(tech_base!$T230&gt;AH$345,"",AH854+AH1134+AH1414)</f>
        <v>247.96731924360435</v>
      </c>
      <c r="AI574" s="125">
        <f>IF(tech_base!$T230&gt;AI$345,"",AI854+AI1134+AI1414)</f>
        <v>248.82643147154863</v>
      </c>
      <c r="AJ574" s="125">
        <f>IF(tech_base!$T230&gt;AJ$345,"",AJ854+AJ1134+AJ1414)</f>
        <v>249.70493282727836</v>
      </c>
      <c r="AK574" s="125">
        <f>IF(tech_base!$T230&gt;AK$345,"",AK854+AK1134+AK1414)</f>
        <v>250.51340650898285</v>
      </c>
      <c r="AL574" s="125">
        <f>IF(tech_base!$T230&gt;AL$345,"",AL854+AL1134+AL1414)</f>
        <v>251.23296733167479</v>
      </c>
      <c r="AM574" s="125">
        <f>IF(tech_base!$T230&gt;AM$345,"",AM854+AM1134+AM1414)</f>
        <v>251.73159907835279</v>
      </c>
      <c r="AN574" s="125">
        <f>IF(tech_base!$T230&gt;AN$345,"",AN854+AN1134+AN1414)</f>
        <v>252.16132790904078</v>
      </c>
      <c r="AO574" s="125">
        <f>IF(tech_base!$T230&gt;AO$345,"",AO854+AO1134+AO1414)</f>
        <v>252.60691638380854</v>
      </c>
      <c r="AP574" s="125">
        <f>IF(tech_base!$T230&gt;AP$345,"",AP854+AP1134+AP1414)</f>
        <v>253.09121645690379</v>
      </c>
      <c r="AQ574" s="125">
        <f>IF(tech_base!$T230&gt;AQ$345,"",AQ854+AQ1134+AQ1414)</f>
        <v>253.59789313584037</v>
      </c>
      <c r="AR574" s="125">
        <f>IF(tech_base!$T230&gt;AR$345,"",AR854+AR1134+AR1414)</f>
        <v>253.95677771070262</v>
      </c>
      <c r="AS574" s="125">
        <f>IF(tech_base!$T230&gt;AS$345,"",AS854+AS1134+AS1414)</f>
        <v>254.42971014544199</v>
      </c>
      <c r="AT574" s="125">
        <f>IF(tech_base!$T230&gt;AT$345,"",AT854+AT1134+AT1414)</f>
        <v>254.81864192603132</v>
      </c>
      <c r="AU574" s="125">
        <f>IF(tech_base!$T230&gt;AU$345,"",AU854+AU1134+AU1414)</f>
        <v>255.46841481623818</v>
      </c>
      <c r="AV574" s="125">
        <f>IF(tech_base!$T230&gt;AV$345,"",AV854+AV1134+AV1414)</f>
        <v>256.15896439872608</v>
      </c>
      <c r="AW574" s="125">
        <f>IF(tech_base!$T230&gt;AW$345,"",AW854+AW1134+AW1414)</f>
        <v>256.86367734080756</v>
      </c>
      <c r="AX574" s="126">
        <f>IF(tech_base!$T230&gt;AX$345,"",AX854+AX1134+AX1414)</f>
        <v>257.52510676597194</v>
      </c>
    </row>
    <row r="575" spans="1:50" x14ac:dyDescent="0.25">
      <c r="A575" s="356"/>
      <c r="B575" s="376"/>
      <c r="C575" s="361" t="s">
        <v>15</v>
      </c>
      <c r="D575" s="58" t="s">
        <v>7</v>
      </c>
      <c r="E575" s="78" t="str">
        <f>A547&amp;"/"&amp;B567&amp;"/"&amp;C575&amp;"/"&amp;D575</f>
        <v>Biomass and waste fired power plants/Steam turbine/Electricity only with CCS/L</v>
      </c>
      <c r="F575" s="78" t="str">
        <f>A547</f>
        <v>Biomass and waste fired power plants</v>
      </c>
      <c r="G575" s="78" t="str">
        <f>B567</f>
        <v>Steam turbine</v>
      </c>
      <c r="H575" s="78" t="str">
        <f>C575</f>
        <v>Electricity only with CCS</v>
      </c>
      <c r="I575" s="78" t="str">
        <f t="shared" si="360"/>
        <v>L</v>
      </c>
      <c r="J575" s="123" t="str">
        <f>IF(tech_base!$T231&gt;J$345,"",J855+J1135+J1415)</f>
        <v/>
      </c>
      <c r="K575" s="123" t="str">
        <f>IF(tech_base!$T231&gt;K$345,"",K855+K1135+K1415)</f>
        <v/>
      </c>
      <c r="L575" s="123" t="str">
        <f>IF(tech_base!$T231&gt;L$345,"",L855+L1135+L1415)</f>
        <v/>
      </c>
      <c r="M575" s="123" t="str">
        <f>IF(tech_base!$T231&gt;M$345,"",M855+M1135+M1415)</f>
        <v/>
      </c>
      <c r="N575" s="123" t="str">
        <f>IF(tech_base!$T231&gt;N$345,"",N855+N1135+N1415)</f>
        <v/>
      </c>
      <c r="O575" s="123" t="str">
        <f>IF(tech_base!$T231&gt;O$345,"",O855+O1135+O1415)</f>
        <v/>
      </c>
      <c r="P575" s="123" t="str">
        <f>IF(tech_base!$T231&gt;P$345,"",P855+P1135+P1415)</f>
        <v/>
      </c>
      <c r="Q575" s="123" t="str">
        <f>IF(tech_base!$T231&gt;Q$345,"",Q855+Q1135+Q1415)</f>
        <v/>
      </c>
      <c r="R575" s="123" t="str">
        <f>IF(tech_base!$T231&gt;R$345,"",R855+R1135+R1415)</f>
        <v/>
      </c>
      <c r="S575" s="123" t="str">
        <f>IF(tech_base!$T231&gt;S$345,"",S855+S1135+S1415)</f>
        <v/>
      </c>
      <c r="T575" s="123" t="str">
        <f>IF(tech_base!$T231&gt;T$345,"",T855+T1135+T1415)</f>
        <v/>
      </c>
      <c r="U575" s="123" t="str">
        <f>IF(tech_base!$T231&gt;U$345,"",U855+U1135+U1415)</f>
        <v/>
      </c>
      <c r="V575" s="123" t="str">
        <f>IF(tech_base!$T231&gt;V$345,"",V855+V1135+V1415)</f>
        <v/>
      </c>
      <c r="W575" s="123" t="str">
        <f>IF(tech_base!$T231&gt;W$345,"",W855+W1135+W1415)</f>
        <v/>
      </c>
      <c r="X575" s="123" t="str">
        <f>IF(tech_base!$T231&gt;X$345,"",X855+X1135+X1415)</f>
        <v/>
      </c>
      <c r="Y575" s="123" t="str">
        <f>IF(tech_base!$T231&gt;Y$345,"",Y855+Y1135+Y1415)</f>
        <v/>
      </c>
      <c r="Z575" s="123" t="str">
        <f>IF(tech_base!$T231&gt;Z$345,"",Z855+Z1135+Z1415)</f>
        <v/>
      </c>
      <c r="AA575" s="123" t="str">
        <f>IF(tech_base!$T231&gt;AA$345,"",AA855+AA1135+AA1415)</f>
        <v/>
      </c>
      <c r="AB575" s="123" t="str">
        <f>IF(tech_base!$T231&gt;AB$345,"",AB855+AB1135+AB1415)</f>
        <v/>
      </c>
      <c r="AC575" s="123" t="str">
        <f>IF(tech_base!$T231&gt;AC$345,"",AC855+AC1135+AC1415)</f>
        <v/>
      </c>
      <c r="AD575" s="123" t="str">
        <f>IF(tech_base!$T231&gt;AD$345,"",AD855+AD1135+AD1415)</f>
        <v/>
      </c>
      <c r="AE575" s="123">
        <f>IF(tech_base!$T231&gt;AE$345,"",AE855+AE1135+AE1415)</f>
        <v>344.20969640822227</v>
      </c>
      <c r="AF575" s="123">
        <f>IF(tech_base!$T231&gt;AF$345,"",AF855+AF1135+AF1415)</f>
        <v>345.22325595389793</v>
      </c>
      <c r="AG575" s="123">
        <f>IF(tech_base!$T231&gt;AG$345,"",AG855+AG1135+AG1415)</f>
        <v>346.10870472114254</v>
      </c>
      <c r="AH575" s="123">
        <f>IF(tech_base!$T231&gt;AH$345,"",AH855+AH1135+AH1415)</f>
        <v>346.90861433286102</v>
      </c>
      <c r="AI575" s="123">
        <f>IF(tech_base!$T231&gt;AI$345,"",AI855+AI1135+AI1415)</f>
        <v>347.76288519449497</v>
      </c>
      <c r="AJ575" s="123">
        <f>IF(tech_base!$T231&gt;AJ$345,"",AJ855+AJ1135+AJ1415)</f>
        <v>348.63720917477713</v>
      </c>
      <c r="AK575" s="123">
        <f>IF(tech_base!$T231&gt;AK$345,"",AK855+AK1135+AK1415)</f>
        <v>349.44047367369063</v>
      </c>
      <c r="AL575" s="123">
        <f>IF(tech_base!$T231&gt;AL$345,"",AL855+AL1135+AL1415)</f>
        <v>350.15342990425665</v>
      </c>
      <c r="AM575" s="123">
        <f>IF(tech_base!$T231&gt;AM$345,"",AM855+AM1135+AM1415)</f>
        <v>350.64154788506312</v>
      </c>
      <c r="AN575" s="123">
        <f>IF(tech_base!$T231&gt;AN$345,"",AN855+AN1135+AN1415)</f>
        <v>351.05973121943111</v>
      </c>
      <c r="AO575" s="123">
        <f>IF(tech_base!$T231&gt;AO$345,"",AO855+AO1135+AO1415)</f>
        <v>351.49435037329494</v>
      </c>
      <c r="AP575" s="123">
        <f>IF(tech_base!$T231&gt;AP$345,"",AP855+AP1135+AP1415)</f>
        <v>351.96869173899518</v>
      </c>
      <c r="AQ575" s="123">
        <f>IF(tech_base!$T231&gt;AQ$345,"",AQ855+AQ1135+AQ1415)</f>
        <v>352.4661092160822</v>
      </c>
      <c r="AR575" s="123">
        <f>IF(tech_base!$T231&gt;AR$345,"",AR855+AR1135+AR1415)</f>
        <v>352.81318714552941</v>
      </c>
      <c r="AS575" s="123">
        <f>IF(tech_base!$T231&gt;AS$345,"",AS855+AS1135+AS1415)</f>
        <v>353.27675593061792</v>
      </c>
      <c r="AT575" s="123">
        <f>IF(tech_base!$T231&gt;AT$345,"",AT855+AT1135+AT1415)</f>
        <v>353.65498624889238</v>
      </c>
      <c r="AU575" s="123">
        <f>IF(tech_base!$T231&gt;AU$345,"",AU855+AU1135+AU1415)</f>
        <v>354.29930873500734</v>
      </c>
      <c r="AV575" s="123">
        <f>IF(tech_base!$T231&gt;AV$345,"",AV855+AV1135+AV1415)</f>
        <v>354.98545715207075</v>
      </c>
      <c r="AW575" s="123">
        <f>IF(tech_base!$T231&gt;AW$345,"",AW855+AW1135+AW1415)</f>
        <v>355.68630813248944</v>
      </c>
      <c r="AX575" s="124">
        <f>IF(tech_base!$T231&gt;AX$345,"",AX855+AX1135+AX1415)</f>
        <v>356.34331206939413</v>
      </c>
    </row>
    <row r="576" spans="1:50" x14ac:dyDescent="0.25">
      <c r="A576" s="356"/>
      <c r="B576" s="376"/>
      <c r="C576" s="379"/>
      <c r="D576" s="59" t="s">
        <v>8</v>
      </c>
      <c r="E576" s="79" t="str">
        <f>A547&amp;"/"&amp;B567&amp;"/"&amp;C575&amp;"/"&amp;D576</f>
        <v>Biomass and waste fired power plants/Steam turbine/Electricity only with CCS/M</v>
      </c>
      <c r="F576" s="79" t="str">
        <f>A547</f>
        <v>Biomass and waste fired power plants</v>
      </c>
      <c r="G576" s="79" t="str">
        <f>B567</f>
        <v>Steam turbine</v>
      </c>
      <c r="H576" s="79" t="str">
        <f>C575</f>
        <v>Electricity only with CCS</v>
      </c>
      <c r="I576" s="79" t="str">
        <f t="shared" si="360"/>
        <v>M</v>
      </c>
      <c r="J576" s="125" t="str">
        <f>IF(tech_base!$T232&gt;J$345,"",J856+J1136+J1416)</f>
        <v/>
      </c>
      <c r="K576" s="125" t="str">
        <f>IF(tech_base!$T232&gt;K$345,"",K856+K1136+K1416)</f>
        <v/>
      </c>
      <c r="L576" s="125" t="str">
        <f>IF(tech_base!$T232&gt;L$345,"",L856+L1136+L1416)</f>
        <v/>
      </c>
      <c r="M576" s="125" t="str">
        <f>IF(tech_base!$T232&gt;M$345,"",M856+M1136+M1416)</f>
        <v/>
      </c>
      <c r="N576" s="125" t="str">
        <f>IF(tech_base!$T232&gt;N$345,"",N856+N1136+N1416)</f>
        <v/>
      </c>
      <c r="O576" s="125" t="str">
        <f>IF(tech_base!$T232&gt;O$345,"",O856+O1136+O1416)</f>
        <v/>
      </c>
      <c r="P576" s="125" t="str">
        <f>IF(tech_base!$T232&gt;P$345,"",P856+P1136+P1416)</f>
        <v/>
      </c>
      <c r="Q576" s="125" t="str">
        <f>IF(tech_base!$T232&gt;Q$345,"",Q856+Q1136+Q1416)</f>
        <v/>
      </c>
      <c r="R576" s="125" t="str">
        <f>IF(tech_base!$T232&gt;R$345,"",R856+R1136+R1416)</f>
        <v/>
      </c>
      <c r="S576" s="125" t="str">
        <f>IF(tech_base!$T232&gt;S$345,"",S856+S1136+S1416)</f>
        <v/>
      </c>
      <c r="T576" s="125" t="str">
        <f>IF(tech_base!$T232&gt;T$345,"",T856+T1136+T1416)</f>
        <v/>
      </c>
      <c r="U576" s="125" t="str">
        <f>IF(tech_base!$T232&gt;U$345,"",U856+U1136+U1416)</f>
        <v/>
      </c>
      <c r="V576" s="125" t="str">
        <f>IF(tech_base!$T232&gt;V$345,"",V856+V1136+V1416)</f>
        <v/>
      </c>
      <c r="W576" s="125" t="str">
        <f>IF(tech_base!$T232&gt;W$345,"",W856+W1136+W1416)</f>
        <v/>
      </c>
      <c r="X576" s="125" t="str">
        <f>IF(tech_base!$T232&gt;X$345,"",X856+X1136+X1416)</f>
        <v/>
      </c>
      <c r="Y576" s="125" t="str">
        <f>IF(tech_base!$T232&gt;Y$345,"",Y856+Y1136+Y1416)</f>
        <v/>
      </c>
      <c r="Z576" s="125" t="str">
        <f>IF(tech_base!$T232&gt;Z$345,"",Z856+Z1136+Z1416)</f>
        <v/>
      </c>
      <c r="AA576" s="125" t="str">
        <f>IF(tech_base!$T232&gt;AA$345,"",AA856+AA1136+AA1416)</f>
        <v/>
      </c>
      <c r="AB576" s="125" t="str">
        <f>IF(tech_base!$T232&gt;AB$345,"",AB856+AB1136+AB1416)</f>
        <v/>
      </c>
      <c r="AC576" s="125" t="str">
        <f>IF(tech_base!$T232&gt;AC$345,"",AC856+AC1136+AC1416)</f>
        <v/>
      </c>
      <c r="AD576" s="125" t="str">
        <f>IF(tech_base!$T232&gt;AD$345,"",AD856+AD1136+AD1416)</f>
        <v/>
      </c>
      <c r="AE576" s="125">
        <f>IF(tech_base!$T232&gt;AE$345,"",AE856+AE1136+AE1416)</f>
        <v>379.36692999624483</v>
      </c>
      <c r="AF576" s="125">
        <f>IF(tech_base!$T232&gt;AF$345,"",AF856+AF1136+AF1416)</f>
        <v>380.45045051142353</v>
      </c>
      <c r="AG576" s="125">
        <f>IF(tech_base!$T232&gt;AG$345,"",AG856+AG1136+AG1416)</f>
        <v>381.39701739892655</v>
      </c>
      <c r="AH576" s="125">
        <f>IF(tech_base!$T232&gt;AH$345,"",AH856+AH1136+AH1416)</f>
        <v>382.25214078884824</v>
      </c>
      <c r="AI576" s="125">
        <f>IF(tech_base!$T232&gt;AI$345,"",AI856+AI1136+AI1416)</f>
        <v>383.16537771513339</v>
      </c>
      <c r="AJ576" s="125">
        <f>IF(tech_base!$T232&gt;AJ$345,"",AJ856+AJ1136+AJ1416)</f>
        <v>384.10005192701396</v>
      </c>
      <c r="AK576" s="125">
        <f>IF(tech_base!$T232&gt;AK$345,"",AK856+AK1136+AK1416)</f>
        <v>384.95876177529163</v>
      </c>
      <c r="AL576" s="125">
        <f>IF(tech_base!$T232&gt;AL$345,"",AL856+AL1136+AL1416)</f>
        <v>385.7209298250512</v>
      </c>
      <c r="AM576" s="125">
        <f>IF(tech_base!$T232&gt;AM$345,"",AM856+AM1136+AM1416)</f>
        <v>386.24274016001164</v>
      </c>
      <c r="AN576" s="125">
        <f>IF(tech_base!$T232&gt;AN$345,"",AN856+AN1136+AN1416)</f>
        <v>386.68978860805476</v>
      </c>
      <c r="AO576" s="125">
        <f>IF(tech_base!$T232&gt;AO$345,"",AO856+AO1136+AO1416)</f>
        <v>387.15440735838888</v>
      </c>
      <c r="AP576" s="125">
        <f>IF(tech_base!$T232&gt;AP$345,"",AP856+AP1136+AP1416)</f>
        <v>387.66149014708833</v>
      </c>
      <c r="AQ576" s="125">
        <f>IF(tech_base!$T232&gt;AQ$345,"",AQ856+AQ1136+AQ1416)</f>
        <v>388.19324187626069</v>
      </c>
      <c r="AR576" s="125">
        <f>IF(tech_base!$T232&gt;AR$345,"",AR856+AR1136+AR1416)</f>
        <v>388.5642768672746</v>
      </c>
      <c r="AS576" s="125">
        <f>IF(tech_base!$T232&gt;AS$345,"",AS856+AS1136+AS1416)</f>
        <v>389.05984349775315</v>
      </c>
      <c r="AT576" s="125">
        <f>IF(tech_base!$T232&gt;AT$345,"",AT856+AT1136+AT1416)</f>
        <v>389.46418117190512</v>
      </c>
      <c r="AU576" s="125">
        <f>IF(tech_base!$T232&gt;AU$345,"",AU856+AU1136+AU1416)</f>
        <v>390.15297803152237</v>
      </c>
      <c r="AV576" s="125">
        <f>IF(tech_base!$T232&gt;AV$345,"",AV856+AV1136+AV1416)</f>
        <v>390.88648785787404</v>
      </c>
      <c r="AW576" s="125">
        <f>IF(tech_base!$T232&gt;AW$345,"",AW856+AW1136+AW1416)</f>
        <v>391.63571509233373</v>
      </c>
      <c r="AX576" s="126">
        <f>IF(tech_base!$T232&gt;AX$345,"",AX856+AX1136+AX1416)</f>
        <v>392.33806874015499</v>
      </c>
    </row>
    <row r="577" spans="1:50" x14ac:dyDescent="0.25">
      <c r="A577" s="356"/>
      <c r="B577" s="376"/>
      <c r="C577" s="361" t="s">
        <v>16</v>
      </c>
      <c r="D577" s="2" t="s">
        <v>7</v>
      </c>
      <c r="E577" s="76" t="str">
        <f>A547&amp;"/"&amp;B567&amp;"/"&amp;C577&amp;"/"&amp;D577</f>
        <v>Biomass and waste fired power plants/Steam turbine/CHP with CCS/L</v>
      </c>
      <c r="F577" s="76" t="str">
        <f>A547</f>
        <v>Biomass and waste fired power plants</v>
      </c>
      <c r="G577" s="76" t="str">
        <f>B567</f>
        <v>Steam turbine</v>
      </c>
      <c r="H577" s="76" t="str">
        <f>C577</f>
        <v>CHP with CCS</v>
      </c>
      <c r="I577" s="76" t="str">
        <f t="shared" si="360"/>
        <v>L</v>
      </c>
      <c r="J577" s="119" t="str">
        <f>IF(tech_base!$T233&gt;J$345,"",J857+J1137+J1417)</f>
        <v/>
      </c>
      <c r="K577" s="119" t="str">
        <f>IF(tech_base!$T233&gt;K$345,"",K857+K1137+K1417)</f>
        <v/>
      </c>
      <c r="L577" s="119" t="str">
        <f>IF(tech_base!$T233&gt;L$345,"",L857+L1137+L1417)</f>
        <v/>
      </c>
      <c r="M577" s="119" t="str">
        <f>IF(tech_base!$T233&gt;M$345,"",M857+M1137+M1417)</f>
        <v/>
      </c>
      <c r="N577" s="119" t="str">
        <f>IF(tech_base!$T233&gt;N$345,"",N857+N1137+N1417)</f>
        <v/>
      </c>
      <c r="O577" s="119" t="str">
        <f>IF(tech_base!$T233&gt;O$345,"",O857+O1137+O1417)</f>
        <v/>
      </c>
      <c r="P577" s="119" t="str">
        <f>IF(tech_base!$T233&gt;P$345,"",P857+P1137+P1417)</f>
        <v/>
      </c>
      <c r="Q577" s="119" t="str">
        <f>IF(tech_base!$T233&gt;Q$345,"",Q857+Q1137+Q1417)</f>
        <v/>
      </c>
      <c r="R577" s="119" t="str">
        <f>IF(tech_base!$T233&gt;R$345,"",R857+R1137+R1417)</f>
        <v/>
      </c>
      <c r="S577" s="119" t="str">
        <f>IF(tech_base!$T233&gt;S$345,"",S857+S1137+S1417)</f>
        <v/>
      </c>
      <c r="T577" s="119" t="str">
        <f>IF(tech_base!$T233&gt;T$345,"",T857+T1137+T1417)</f>
        <v/>
      </c>
      <c r="U577" s="119" t="str">
        <f>IF(tech_base!$T233&gt;U$345,"",U857+U1137+U1417)</f>
        <v/>
      </c>
      <c r="V577" s="119" t="str">
        <f>IF(tech_base!$T233&gt;V$345,"",V857+V1137+V1417)</f>
        <v/>
      </c>
      <c r="W577" s="119" t="str">
        <f>IF(tech_base!$T233&gt;W$345,"",W857+W1137+W1417)</f>
        <v/>
      </c>
      <c r="X577" s="119" t="str">
        <f>IF(tech_base!$T233&gt;X$345,"",X857+X1137+X1417)</f>
        <v/>
      </c>
      <c r="Y577" s="119" t="str">
        <f>IF(tech_base!$T233&gt;Y$345,"",Y857+Y1137+Y1417)</f>
        <v/>
      </c>
      <c r="Z577" s="119" t="str">
        <f>IF(tech_base!$T233&gt;Z$345,"",Z857+Z1137+Z1417)</f>
        <v/>
      </c>
      <c r="AA577" s="119" t="str">
        <f>IF(tech_base!$T233&gt;AA$345,"",AA857+AA1137+AA1417)</f>
        <v/>
      </c>
      <c r="AB577" s="119" t="str">
        <f>IF(tech_base!$T233&gt;AB$345,"",AB857+AB1137+AB1417)</f>
        <v/>
      </c>
      <c r="AC577" s="119" t="str">
        <f>IF(tech_base!$T233&gt;AC$345,"",AC857+AC1137+AC1417)</f>
        <v/>
      </c>
      <c r="AD577" s="119" t="str">
        <f>IF(tech_base!$T233&gt;AD$345,"",AD857+AD1137+AD1417)</f>
        <v/>
      </c>
      <c r="AE577" s="119">
        <f>IF(tech_base!$T233&gt;AE$345,"",AE857+AE1137+AE1417)</f>
        <v>384.32978270846564</v>
      </c>
      <c r="AF577" s="119">
        <f>IF(tech_base!$T233&gt;AF$345,"",AF857+AF1137+AF1417)</f>
        <v>385.48584623244363</v>
      </c>
      <c r="AG577" s="119">
        <f>IF(tech_base!$T233&gt;AG$345,"",AG857+AG1137+AG1417)</f>
        <v>386.49578691775423</v>
      </c>
      <c r="AH577" s="119">
        <f>IF(tech_base!$T233&gt;AH$345,"",AH857+AH1137+AH1417)</f>
        <v>387.40816185273724</v>
      </c>
      <c r="AI577" s="119">
        <f>IF(tech_base!$T233&gt;AI$345,"",AI857+AI1137+AI1417)</f>
        <v>388.38254109562024</v>
      </c>
      <c r="AJ577" s="119">
        <f>IF(tech_base!$T233&gt;AJ$345,"",AJ857+AJ1137+AJ1417)</f>
        <v>389.37979287629355</v>
      </c>
      <c r="AK577" s="119">
        <f>IF(tech_base!$T233&gt;AK$345,"",AK857+AK1137+AK1417)</f>
        <v>390.29599438735659</v>
      </c>
      <c r="AL577" s="119">
        <f>IF(tech_base!$T233&gt;AL$345,"",AL857+AL1137+AL1417)</f>
        <v>391.10919050974212</v>
      </c>
      <c r="AM577" s="119">
        <f>IF(tech_base!$T233&gt;AM$345,"",AM857+AM1137+AM1417)</f>
        <v>391.66593667765665</v>
      </c>
      <c r="AN577" s="119">
        <f>IF(tech_base!$T233&gt;AN$345,"",AN857+AN1137+AN1417)</f>
        <v>392.14291555991474</v>
      </c>
      <c r="AO577" s="119">
        <f>IF(tech_base!$T233&gt;AO$345,"",AO857+AO1137+AO1417)</f>
        <v>392.63864109745009</v>
      </c>
      <c r="AP577" s="119">
        <f>IF(tech_base!$T233&gt;AP$345,"",AP857+AP1137+AP1417)</f>
        <v>393.17967369207128</v>
      </c>
      <c r="AQ577" s="119">
        <f>IF(tech_base!$T233&gt;AQ$345,"",AQ857+AQ1137+AQ1417)</f>
        <v>393.74702684256238</v>
      </c>
      <c r="AR577" s="119">
        <f>IF(tech_base!$T233&gt;AR$345,"",AR857+AR1137+AR1417)</f>
        <v>394.14290307491962</v>
      </c>
      <c r="AS577" s="119">
        <f>IF(tech_base!$T233&gt;AS$345,"",AS857+AS1137+AS1417)</f>
        <v>394.67164849060049</v>
      </c>
      <c r="AT577" s="119">
        <f>IF(tech_base!$T233&gt;AT$345,"",AT857+AT1137+AT1417)</f>
        <v>395.10305706100496</v>
      </c>
      <c r="AU577" s="119">
        <f>IF(tech_base!$T233&gt;AU$345,"",AU857+AU1137+AU1417)</f>
        <v>395.83796970334004</v>
      </c>
      <c r="AV577" s="119">
        <f>IF(tech_base!$T233&gt;AV$345,"",AV857+AV1137+AV1417)</f>
        <v>396.62058889960383</v>
      </c>
      <c r="AW577" s="119">
        <f>IF(tech_base!$T233&gt;AW$345,"",AW857+AW1137+AW1417)</f>
        <v>397.41997780345571</v>
      </c>
      <c r="AX577" s="120">
        <f>IF(tech_base!$T233&gt;AX$345,"",AX857+AX1137+AX1417)</f>
        <v>398.16935487735935</v>
      </c>
    </row>
    <row r="578" spans="1:50" x14ac:dyDescent="0.25">
      <c r="A578" s="357"/>
      <c r="B578" s="380"/>
      <c r="C578" s="381"/>
      <c r="D578" s="4" t="s">
        <v>8</v>
      </c>
      <c r="E578" s="80" t="str">
        <f>A547&amp;"/"&amp;B567&amp;"/"&amp;C577&amp;"/"&amp;D578</f>
        <v>Biomass and waste fired power plants/Steam turbine/CHP with CCS/M</v>
      </c>
      <c r="F578" s="80" t="str">
        <f>A547</f>
        <v>Biomass and waste fired power plants</v>
      </c>
      <c r="G578" s="80" t="str">
        <f>B567</f>
        <v>Steam turbine</v>
      </c>
      <c r="H578" s="80" t="str">
        <f>C577</f>
        <v>CHP with CCS</v>
      </c>
      <c r="I578" s="80" t="str">
        <f t="shared" si="360"/>
        <v>M</v>
      </c>
      <c r="J578" s="127" t="str">
        <f>IF(tech_base!$T234&gt;J$345,"",J858+J1138+J1418)</f>
        <v/>
      </c>
      <c r="K578" s="127" t="str">
        <f>IF(tech_base!$T234&gt;K$345,"",K858+K1138+K1418)</f>
        <v/>
      </c>
      <c r="L578" s="127" t="str">
        <f>IF(tech_base!$T234&gt;L$345,"",L858+L1138+L1418)</f>
        <v/>
      </c>
      <c r="M578" s="127" t="str">
        <f>IF(tech_base!$T234&gt;M$345,"",M858+M1138+M1418)</f>
        <v/>
      </c>
      <c r="N578" s="127" t="str">
        <f>IF(tech_base!$T234&gt;N$345,"",N858+N1138+N1418)</f>
        <v/>
      </c>
      <c r="O578" s="127" t="str">
        <f>IF(tech_base!$T234&gt;O$345,"",O858+O1138+O1418)</f>
        <v/>
      </c>
      <c r="P578" s="127" t="str">
        <f>IF(tech_base!$T234&gt;P$345,"",P858+P1138+P1418)</f>
        <v/>
      </c>
      <c r="Q578" s="127" t="str">
        <f>IF(tech_base!$T234&gt;Q$345,"",Q858+Q1138+Q1418)</f>
        <v/>
      </c>
      <c r="R578" s="127" t="str">
        <f>IF(tech_base!$T234&gt;R$345,"",R858+R1138+R1418)</f>
        <v/>
      </c>
      <c r="S578" s="127" t="str">
        <f>IF(tech_base!$T234&gt;S$345,"",S858+S1138+S1418)</f>
        <v/>
      </c>
      <c r="T578" s="127" t="str">
        <f>IF(tech_base!$T234&gt;T$345,"",T858+T1138+T1418)</f>
        <v/>
      </c>
      <c r="U578" s="127" t="str">
        <f>IF(tech_base!$T234&gt;U$345,"",U858+U1138+U1418)</f>
        <v/>
      </c>
      <c r="V578" s="127" t="str">
        <f>IF(tech_base!$T234&gt;V$345,"",V858+V1138+V1418)</f>
        <v/>
      </c>
      <c r="W578" s="127" t="str">
        <f>IF(tech_base!$T234&gt;W$345,"",W858+W1138+W1418)</f>
        <v/>
      </c>
      <c r="X578" s="127" t="str">
        <f>IF(tech_base!$T234&gt;X$345,"",X858+X1138+X1418)</f>
        <v/>
      </c>
      <c r="Y578" s="127" t="str">
        <f>IF(tech_base!$T234&gt;Y$345,"",Y858+Y1138+Y1418)</f>
        <v/>
      </c>
      <c r="Z578" s="127" t="str">
        <f>IF(tech_base!$T234&gt;Z$345,"",Z858+Z1138+Z1418)</f>
        <v/>
      </c>
      <c r="AA578" s="127" t="str">
        <f>IF(tech_base!$T234&gt;AA$345,"",AA858+AA1138+AA1418)</f>
        <v/>
      </c>
      <c r="AB578" s="127" t="str">
        <f>IF(tech_base!$T234&gt;AB$345,"",AB858+AB1138+AB1418)</f>
        <v/>
      </c>
      <c r="AC578" s="127" t="str">
        <f>IF(tech_base!$T234&gt;AC$345,"",AC858+AC1138+AC1418)</f>
        <v/>
      </c>
      <c r="AD578" s="127" t="str">
        <f>IF(tech_base!$T234&gt;AD$345,"",AD858+AD1138+AD1418)</f>
        <v/>
      </c>
      <c r="AE578" s="127">
        <f>IF(tech_base!$T234&gt;AE$345,"",AE858+AE1138+AE1418)</f>
        <v>422.80838800220295</v>
      </c>
      <c r="AF578" s="127">
        <f>IF(tech_base!$T234&gt;AF$345,"",AF858+AF1138+AF1418)</f>
        <v>424.04740522778491</v>
      </c>
      <c r="AG578" s="127">
        <f>IF(tech_base!$T234&gt;AG$345,"",AG858+AG1138+AG1418)</f>
        <v>425.12981452447309</v>
      </c>
      <c r="AH578" s="127">
        <f>IF(tech_base!$T234&gt;AH$345,"",AH858+AH1138+AH1418)</f>
        <v>426.10765720974632</v>
      </c>
      <c r="AI578" s="127">
        <f>IF(tech_base!$T234&gt;AI$345,"",AI858+AI1138+AI1418)</f>
        <v>427.15195334152577</v>
      </c>
      <c r="AJ578" s="127">
        <f>IF(tech_base!$T234&gt;AJ$345,"",AJ858+AJ1138+AJ1418)</f>
        <v>428.22076323723525</v>
      </c>
      <c r="AK578" s="127">
        <f>IF(tech_base!$T234&gt;AK$345,"",AK858+AK1138+AK1418)</f>
        <v>429.20270707575821</v>
      </c>
      <c r="AL578" s="127">
        <f>IF(tech_base!$T234&gt;AL$345,"",AL858+AL1138+AL1418)</f>
        <v>430.07425434155647</v>
      </c>
      <c r="AM578" s="127">
        <f>IF(tech_base!$T234&gt;AM$345,"",AM858+AM1138+AM1418)</f>
        <v>430.67095000577842</v>
      </c>
      <c r="AN578" s="127">
        <f>IF(tech_base!$T234&gt;AN$345,"",AN858+AN1138+AN1418)</f>
        <v>431.18215465768458</v>
      </c>
      <c r="AO578" s="127">
        <f>IF(tech_base!$T234&gt;AO$345,"",AO858+AO1138+AO1418)</f>
        <v>431.71345113701102</v>
      </c>
      <c r="AP578" s="127">
        <f>IF(tech_base!$T234&gt;AP$345,"",AP858+AP1138+AP1418)</f>
        <v>432.29330569554793</v>
      </c>
      <c r="AQ578" s="127">
        <f>IF(tech_base!$T234&gt;AQ$345,"",AQ858+AQ1138+AQ1418)</f>
        <v>432.90136944971596</v>
      </c>
      <c r="AR578" s="127">
        <f>IF(tech_base!$T234&gt;AR$345,"",AR858+AR1138+AR1418)</f>
        <v>433.32565190558068</v>
      </c>
      <c r="AS578" s="127">
        <f>IF(tech_base!$T234&gt;AS$345,"",AS858+AS1138+AS1418)</f>
        <v>433.89233761478965</v>
      </c>
      <c r="AT578" s="127">
        <f>IF(tech_base!$T234&gt;AT$345,"",AT858+AT1138+AT1418)</f>
        <v>434.35470204278886</v>
      </c>
      <c r="AU578" s="127">
        <f>IF(tech_base!$T234&gt;AU$345,"",AU858+AU1138+AU1418)</f>
        <v>435.14234857281502</v>
      </c>
      <c r="AV578" s="127">
        <f>IF(tech_base!$T234&gt;AV$345,"",AV858+AV1138+AV1418)</f>
        <v>435.98112485554498</v>
      </c>
      <c r="AW578" s="127">
        <f>IF(tech_base!$T234&gt;AW$345,"",AW858+AW1138+AW1418)</f>
        <v>436.83787416150307</v>
      </c>
      <c r="AX578" s="128">
        <f>IF(tech_base!$T234&gt;AX$345,"",AX858+AX1138+AX1418)</f>
        <v>437.64102302293225</v>
      </c>
    </row>
    <row r="579" spans="1:50" x14ac:dyDescent="0.25">
      <c r="A579" s="355" t="s">
        <v>31</v>
      </c>
      <c r="B579" s="358" t="s">
        <v>32</v>
      </c>
      <c r="C579" s="353" t="s">
        <v>6</v>
      </c>
      <c r="D579" s="3" t="s">
        <v>8</v>
      </c>
      <c r="E579" s="77" t="str">
        <f>A579&amp;"/"&amp;B579&amp;"/"&amp;C579&amp;"/"&amp;D579</f>
        <v>Fuel cells/Natural gas fuel cell power plant/Electricity only/M</v>
      </c>
      <c r="F579" s="77" t="str">
        <f>A579</f>
        <v>Fuel cells</v>
      </c>
      <c r="G579" s="77" t="str">
        <f>B579</f>
        <v>Natural gas fuel cell power plant</v>
      </c>
      <c r="H579" s="77" t="str">
        <f>C579</f>
        <v>Electricity only</v>
      </c>
      <c r="I579" s="77" t="str">
        <f t="shared" si="360"/>
        <v>M</v>
      </c>
      <c r="J579" s="121" t="str">
        <f>IF(tech_base!$T235&gt;J$345,"",J859+J1139+J1419)</f>
        <v/>
      </c>
      <c r="K579" s="121" t="str">
        <f>IF(tech_base!$T235&gt;K$345,"",K859+K1139+K1419)</f>
        <v/>
      </c>
      <c r="L579" s="121" t="str">
        <f>IF(tech_base!$T235&gt;L$345,"",L859+L1139+L1419)</f>
        <v/>
      </c>
      <c r="M579" s="121" t="str">
        <f>IF(tech_base!$T235&gt;M$345,"",M859+M1139+M1419)</f>
        <v/>
      </c>
      <c r="N579" s="121" t="str">
        <f>IF(tech_base!$T235&gt;N$345,"",N859+N1139+N1419)</f>
        <v/>
      </c>
      <c r="O579" s="121" t="str">
        <f>IF(tech_base!$T235&gt;O$345,"",O859+O1139+O1419)</f>
        <v/>
      </c>
      <c r="P579" s="121" t="str">
        <f>IF(tech_base!$T235&gt;P$345,"",P859+P1139+P1419)</f>
        <v/>
      </c>
      <c r="Q579" s="121" t="str">
        <f>IF(tech_base!$T235&gt;Q$345,"",Q859+Q1139+Q1419)</f>
        <v/>
      </c>
      <c r="R579" s="121" t="str">
        <f>IF(tech_base!$T235&gt;R$345,"",R859+R1139+R1419)</f>
        <v/>
      </c>
      <c r="S579" s="121" t="str">
        <f>IF(tech_base!$T235&gt;S$345,"",S859+S1139+S1419)</f>
        <v/>
      </c>
      <c r="T579" s="121" t="str">
        <f>IF(tech_base!$T235&gt;T$345,"",T859+T1139+T1419)</f>
        <v/>
      </c>
      <c r="U579" s="121" t="str">
        <f>IF(tech_base!$T235&gt;U$345,"",U859+U1139+U1419)</f>
        <v/>
      </c>
      <c r="V579" s="121" t="str">
        <f>IF(tech_base!$T235&gt;V$345,"",V859+V1139+V1419)</f>
        <v/>
      </c>
      <c r="W579" s="121" t="str">
        <f>IF(tech_base!$T235&gt;W$345,"",W859+W1139+W1419)</f>
        <v/>
      </c>
      <c r="X579" s="121" t="str">
        <f>IF(tech_base!$T235&gt;X$345,"",X859+X1139+X1419)</f>
        <v/>
      </c>
      <c r="Y579" s="121" t="str">
        <f>IF(tech_base!$T235&gt;Y$345,"",Y859+Y1139+Y1419)</f>
        <v/>
      </c>
      <c r="Z579" s="121" t="str">
        <f>IF(tech_base!$T235&gt;Z$345,"",Z859+Z1139+Z1419)</f>
        <v/>
      </c>
      <c r="AA579" s="121" t="str">
        <f>IF(tech_base!$T235&gt;AA$345,"",AA859+AA1139+AA1419)</f>
        <v/>
      </c>
      <c r="AB579" s="121" t="str">
        <f>IF(tech_base!$T235&gt;AB$345,"",AB859+AB1139+AB1419)</f>
        <v/>
      </c>
      <c r="AC579" s="121" t="str">
        <f>IF(tech_base!$T235&gt;AC$345,"",AC859+AC1139+AC1419)</f>
        <v/>
      </c>
      <c r="AD579" s="121" t="str">
        <f>IF(tech_base!$T235&gt;AD$345,"",AD859+AD1139+AD1419)</f>
        <v/>
      </c>
      <c r="AE579" s="121">
        <f>IF(tech_base!$T235&gt;AE$345,"",AE859+AE1139+AE1419)</f>
        <v>237.28452850039213</v>
      </c>
      <c r="AF579" s="121">
        <f>IF(tech_base!$T235&gt;AF$345,"",AF859+AF1139+AF1419)</f>
        <v>238.29417292781139</v>
      </c>
      <c r="AG579" s="121">
        <f>IF(tech_base!$T235&gt;AG$345,"",AG859+AG1139+AG1419)</f>
        <v>239.20168367967651</v>
      </c>
      <c r="AH579" s="121">
        <f>IF(tech_base!$T235&gt;AH$345,"",AH859+AH1139+AH1419)</f>
        <v>240.02808498579563</v>
      </c>
      <c r="AI579" s="121">
        <f>IF(tech_base!$T235&gt;AI$345,"",AI859+AI1139+AI1419)</f>
        <v>239.26193261148822</v>
      </c>
      <c r="AJ579" s="121">
        <f>IF(tech_base!$T235&gt;AJ$345,"",AJ859+AJ1139+AJ1419)</f>
        <v>239.41796229956063</v>
      </c>
      <c r="AK579" s="121">
        <f>IF(tech_base!$T235&gt;AK$345,"",AK859+AK1139+AK1419)</f>
        <v>239.28466825075262</v>
      </c>
      <c r="AL579" s="121">
        <f>IF(tech_base!$T235&gt;AL$345,"",AL859+AL1139+AL1419)</f>
        <v>238.90884751820494</v>
      </c>
      <c r="AM579" s="121">
        <f>IF(tech_base!$T235&gt;AM$345,"",AM859+AM1139+AM1419)</f>
        <v>238.28837128561963</v>
      </c>
      <c r="AN579" s="121">
        <f>IF(tech_base!$T235&gt;AN$345,"",AN859+AN1139+AN1419)</f>
        <v>236.72955090742147</v>
      </c>
      <c r="AO579" s="121">
        <f>IF(tech_base!$T235&gt;AO$345,"",AO859+AO1139+AO1419)</f>
        <v>234.83993075146407</v>
      </c>
      <c r="AP579" s="121">
        <f>IF(tech_base!$T235&gt;AP$345,"",AP859+AP1139+AP1419)</f>
        <v>232.32707684743619</v>
      </c>
      <c r="AQ579" s="121">
        <f>IF(tech_base!$T235&gt;AQ$345,"",AQ859+AQ1139+AQ1419)</f>
        <v>229.07416935205683</v>
      </c>
      <c r="AR579" s="121">
        <f>IF(tech_base!$T235&gt;AR$345,"",AR859+AR1139+AR1419)</f>
        <v>225.00602996965767</v>
      </c>
      <c r="AS579" s="121">
        <f>IF(tech_base!$T235&gt;AS$345,"",AS859+AS1139+AS1419)</f>
        <v>219.96601721753922</v>
      </c>
      <c r="AT579" s="121">
        <f>IF(tech_base!$T235&gt;AT$345,"",AT859+AT1139+AT1419)</f>
        <v>213.76599711746175</v>
      </c>
      <c r="AU579" s="121">
        <f>IF(tech_base!$T235&gt;AU$345,"",AU859+AU1139+AU1419)</f>
        <v>206.43063928210438</v>
      </c>
      <c r="AV579" s="121">
        <f>IF(tech_base!$T235&gt;AV$345,"",AV859+AV1139+AV1419)</f>
        <v>198.13567638208906</v>
      </c>
      <c r="AW579" s="121">
        <f>IF(tech_base!$T235&gt;AW$345,"",AW859+AW1139+AW1419)</f>
        <v>189.05697419827328</v>
      </c>
      <c r="AX579" s="122">
        <f>IF(tech_base!$T235&gt;AX$345,"",AX859+AX1139+AX1419)</f>
        <v>180.10432773080953</v>
      </c>
    </row>
    <row r="580" spans="1:50" x14ac:dyDescent="0.25">
      <c r="A580" s="356"/>
      <c r="B580" s="376"/>
      <c r="C580" s="378"/>
      <c r="D580" s="2" t="s">
        <v>10</v>
      </c>
      <c r="E580" s="76" t="str">
        <f>A579&amp;"/"&amp;B579&amp;"/"&amp;C579&amp;"/"&amp;D580</f>
        <v>Fuel cells/Natural gas fuel cell power plant/Electricity only/S</v>
      </c>
      <c r="F580" s="76" t="str">
        <f>A579</f>
        <v>Fuel cells</v>
      </c>
      <c r="G580" s="76" t="str">
        <f>B579</f>
        <v>Natural gas fuel cell power plant</v>
      </c>
      <c r="H580" s="76" t="str">
        <f>C579</f>
        <v>Electricity only</v>
      </c>
      <c r="I580" s="76" t="str">
        <f t="shared" si="360"/>
        <v>S</v>
      </c>
      <c r="J580" s="119" t="str">
        <f>IF(tech_base!$T236&gt;J$345,"",J860+J1140+J1420)</f>
        <v/>
      </c>
      <c r="K580" s="119" t="str">
        <f>IF(tech_base!$T236&gt;K$345,"",K860+K1140+K1420)</f>
        <v/>
      </c>
      <c r="L580" s="119" t="str">
        <f>IF(tech_base!$T236&gt;L$345,"",L860+L1140+L1420)</f>
        <v/>
      </c>
      <c r="M580" s="119" t="str">
        <f>IF(tech_base!$T236&gt;M$345,"",M860+M1140+M1420)</f>
        <v/>
      </c>
      <c r="N580" s="119" t="str">
        <f>IF(tech_base!$T236&gt;N$345,"",N860+N1140+N1420)</f>
        <v/>
      </c>
      <c r="O580" s="119" t="str">
        <f>IF(tech_base!$T236&gt;O$345,"",O860+O1140+O1420)</f>
        <v/>
      </c>
      <c r="P580" s="119" t="str">
        <f>IF(tech_base!$T236&gt;P$345,"",P860+P1140+P1420)</f>
        <v/>
      </c>
      <c r="Q580" s="119" t="str">
        <f>IF(tech_base!$T236&gt;Q$345,"",Q860+Q1140+Q1420)</f>
        <v/>
      </c>
      <c r="R580" s="119" t="str">
        <f>IF(tech_base!$T236&gt;R$345,"",R860+R1140+R1420)</f>
        <v/>
      </c>
      <c r="S580" s="119" t="str">
        <f>IF(tech_base!$T236&gt;S$345,"",S860+S1140+S1420)</f>
        <v/>
      </c>
      <c r="T580" s="119" t="str">
        <f>IF(tech_base!$T236&gt;T$345,"",T860+T1140+T1420)</f>
        <v/>
      </c>
      <c r="U580" s="119" t="str">
        <f>IF(tech_base!$T236&gt;U$345,"",U860+U1140+U1420)</f>
        <v/>
      </c>
      <c r="V580" s="119" t="str">
        <f>IF(tech_base!$T236&gt;V$345,"",V860+V1140+V1420)</f>
        <v/>
      </c>
      <c r="W580" s="119" t="str">
        <f>IF(tech_base!$T236&gt;W$345,"",W860+W1140+W1420)</f>
        <v/>
      </c>
      <c r="X580" s="119" t="str">
        <f>IF(tech_base!$T236&gt;X$345,"",X860+X1140+X1420)</f>
        <v/>
      </c>
      <c r="Y580" s="119" t="str">
        <f>IF(tech_base!$T236&gt;Y$345,"",Y860+Y1140+Y1420)</f>
        <v/>
      </c>
      <c r="Z580" s="119" t="str">
        <f>IF(tech_base!$T236&gt;Z$345,"",Z860+Z1140+Z1420)</f>
        <v/>
      </c>
      <c r="AA580" s="119" t="str">
        <f>IF(tech_base!$T236&gt;AA$345,"",AA860+AA1140+AA1420)</f>
        <v/>
      </c>
      <c r="AB580" s="119" t="str">
        <f>IF(tech_base!$T236&gt;AB$345,"",AB860+AB1140+AB1420)</f>
        <v/>
      </c>
      <c r="AC580" s="119">
        <f>IF(tech_base!$T236&gt;AC$345,"",AC860+AC1140+AC1420)</f>
        <v>272.2770064839346</v>
      </c>
      <c r="AD580" s="119">
        <f>IF(tech_base!$T236&gt;AD$345,"",AD860+AD1140+AD1420)</f>
        <v>273.74286543387967</v>
      </c>
      <c r="AE580" s="119">
        <f>IF(tech_base!$T236&gt;AE$345,"",AE860+AE1140+AE1420)</f>
        <v>274.68257327767253</v>
      </c>
      <c r="AF580" s="119">
        <f>IF(tech_base!$T236&gt;AF$345,"",AF860+AF1140+AF1420)</f>
        <v>275.75236212800354</v>
      </c>
      <c r="AG580" s="119">
        <f>IF(tech_base!$T236&gt;AG$345,"",AG860+AG1140+AG1420)</f>
        <v>276.71393320940132</v>
      </c>
      <c r="AH580" s="119">
        <f>IF(tech_base!$T236&gt;AH$345,"",AH860+AH1140+AH1420)</f>
        <v>277.58956316305239</v>
      </c>
      <c r="AI580" s="119">
        <f>IF(tech_base!$T236&gt;AI$345,"",AI860+AI1140+AI1420)</f>
        <v>276.96137847361541</v>
      </c>
      <c r="AJ580" s="119">
        <f>IF(tech_base!$T236&gt;AJ$345,"",AJ860+AJ1140+AJ1420)</f>
        <v>277.18981768535627</v>
      </c>
      <c r="AK580" s="119">
        <f>IF(tech_base!$T236&gt;AK$345,"",AK860+AK1140+AK1420)</f>
        <v>277.13264851437179</v>
      </c>
      <c r="AL580" s="119">
        <f>IF(tech_base!$T236&gt;AL$345,"",AL860+AL1140+AL1420)</f>
        <v>276.8459341433844</v>
      </c>
      <c r="AM580" s="119">
        <f>IF(tech_base!$T236&gt;AM$345,"",AM860+AM1140+AM1420)</f>
        <v>276.33548683259619</v>
      </c>
      <c r="AN580" s="119">
        <f>IF(tech_base!$T236&gt;AN$345,"",AN860+AN1140+AN1420)</f>
        <v>274.87497302498139</v>
      </c>
      <c r="AO580" s="119">
        <f>IF(tech_base!$T236&gt;AO$345,"",AO860+AO1140+AO1420)</f>
        <v>273.11960605201818</v>
      </c>
      <c r="AP580" s="119">
        <f>IF(tech_base!$T236&gt;AP$345,"",AP860+AP1140+AP1420)</f>
        <v>270.77029488707348</v>
      </c>
      <c r="AQ580" s="119">
        <f>IF(tech_base!$T236&gt;AQ$345,"",AQ860+AQ1140+AQ1420)</f>
        <v>267.71255392629757</v>
      </c>
      <c r="AR580" s="119">
        <f>IF(tech_base!$T236&gt;AR$345,"",AR860+AR1140+AR1420)</f>
        <v>263.87103305420578</v>
      </c>
      <c r="AS580" s="119">
        <f>IF(tech_base!$T236&gt;AS$345,"",AS860+AS1140+AS1420)</f>
        <v>259.07309519900173</v>
      </c>
      <c r="AT580" s="119">
        <f>IF(tech_base!$T236&gt;AT$345,"",AT860+AT1140+AT1420)</f>
        <v>253.09412682678985</v>
      </c>
      <c r="AU580" s="119">
        <f>IF(tech_base!$T236&gt;AU$345,"",AU860+AU1140+AU1420)</f>
        <v>245.9104259545274</v>
      </c>
      <c r="AV580" s="119">
        <f>IF(tech_base!$T236&gt;AV$345,"",AV860+AV1140+AV1420)</f>
        <v>237.63051900013471</v>
      </c>
      <c r="AW580" s="119">
        <f>IF(tech_base!$T236&gt;AW$345,"",AW860+AW1140+AW1420)</f>
        <v>228.33986798146702</v>
      </c>
      <c r="AX580" s="120">
        <f>IF(tech_base!$T236&gt;AX$345,"",AX860+AX1140+AX1420)</f>
        <v>218.91258108256929</v>
      </c>
    </row>
    <row r="581" spans="1:50" x14ac:dyDescent="0.25">
      <c r="A581" s="356"/>
      <c r="B581" s="377"/>
      <c r="C581" s="379"/>
      <c r="D581" s="59" t="s">
        <v>20</v>
      </c>
      <c r="E581" s="79" t="str">
        <f>A579&amp;"/"&amp;B579&amp;"/"&amp;C579&amp;"/"&amp;D581</f>
        <v>Fuel cells/Natural gas fuel cell power plant/Electricity only/XS</v>
      </c>
      <c r="F581" s="79" t="str">
        <f>A579</f>
        <v>Fuel cells</v>
      </c>
      <c r="G581" s="79" t="str">
        <f>B579</f>
        <v>Natural gas fuel cell power plant</v>
      </c>
      <c r="H581" s="79" t="str">
        <f>C579</f>
        <v>Electricity only</v>
      </c>
      <c r="I581" s="79" t="str">
        <f t="shared" si="360"/>
        <v>XS</v>
      </c>
      <c r="J581" s="125" t="str">
        <f>IF(tech_base!$T237&gt;J$345,"",J861+J1141+J1421)</f>
        <v/>
      </c>
      <c r="K581" s="125" t="str">
        <f>IF(tech_base!$T237&gt;K$345,"",K861+K1141+K1421)</f>
        <v/>
      </c>
      <c r="L581" s="125" t="str">
        <f>IF(tech_base!$T237&gt;L$345,"",L861+L1141+L1421)</f>
        <v/>
      </c>
      <c r="M581" s="125" t="str">
        <f>IF(tech_base!$T237&gt;M$345,"",M861+M1141+M1421)</f>
        <v/>
      </c>
      <c r="N581" s="125" t="str">
        <f>IF(tech_base!$T237&gt;N$345,"",N861+N1141+N1421)</f>
        <v/>
      </c>
      <c r="O581" s="125" t="str">
        <f>IF(tech_base!$T237&gt;O$345,"",O861+O1141+O1421)</f>
        <v/>
      </c>
      <c r="P581" s="125" t="str">
        <f>IF(tech_base!$T237&gt;P$345,"",P861+P1141+P1421)</f>
        <v/>
      </c>
      <c r="Q581" s="125" t="str">
        <f>IF(tech_base!$T237&gt;Q$345,"",Q861+Q1141+Q1421)</f>
        <v/>
      </c>
      <c r="R581" s="125" t="str">
        <f>IF(tech_base!$T237&gt;R$345,"",R861+R1141+R1421)</f>
        <v/>
      </c>
      <c r="S581" s="125" t="str">
        <f>IF(tech_base!$T237&gt;S$345,"",S861+S1141+S1421)</f>
        <v/>
      </c>
      <c r="T581" s="125" t="str">
        <f>IF(tech_base!$T237&gt;T$345,"",T861+T1141+T1421)</f>
        <v/>
      </c>
      <c r="U581" s="125" t="str">
        <f>IF(tech_base!$T237&gt;U$345,"",U861+U1141+U1421)</f>
        <v/>
      </c>
      <c r="V581" s="125" t="str">
        <f>IF(tech_base!$T237&gt;V$345,"",V861+V1141+V1421)</f>
        <v/>
      </c>
      <c r="W581" s="125" t="str">
        <f>IF(tech_base!$T237&gt;W$345,"",W861+W1141+W1421)</f>
        <v/>
      </c>
      <c r="X581" s="125" t="str">
        <f>IF(tech_base!$T237&gt;X$345,"",X861+X1141+X1421)</f>
        <v/>
      </c>
      <c r="Y581" s="125" t="str">
        <f>IF(tech_base!$T237&gt;Y$345,"",Y861+Y1141+Y1421)</f>
        <v/>
      </c>
      <c r="Z581" s="125">
        <f>IF(tech_base!$T237&gt;Z$345,"",Z861+Z1141+Z1421)</f>
        <v>370.08918453510262</v>
      </c>
      <c r="AA581" s="125">
        <f>IF(tech_base!$T237&gt;AA$345,"",AA861+AA1141+AA1421)</f>
        <v>371.05925321508823</v>
      </c>
      <c r="AB581" s="125">
        <f>IF(tech_base!$T237&gt;AB$345,"",AB861+AB1141+AB1421)</f>
        <v>372.13328606887518</v>
      </c>
      <c r="AC581" s="125">
        <f>IF(tech_base!$T237&gt;AC$345,"",AC861+AC1141+AC1421)</f>
        <v>373.20933519810615</v>
      </c>
      <c r="AD581" s="125">
        <f>IF(tech_base!$T237&gt;AD$345,"",AD861+AD1141+AD1421)</f>
        <v>374.76335895571765</v>
      </c>
      <c r="AE581" s="125">
        <f>IF(tech_base!$T237&gt;AE$345,"",AE861+AE1141+AE1421)</f>
        <v>375.75958599006003</v>
      </c>
      <c r="AF581" s="125">
        <f>IF(tech_base!$T237&gt;AF$345,"",AF861+AF1141+AF1421)</f>
        <v>376.89371781707149</v>
      </c>
      <c r="AG581" s="125">
        <f>IF(tech_base!$T237&gt;AG$345,"",AG861+AG1141+AG1421)</f>
        <v>377.91312306420008</v>
      </c>
      <c r="AH581" s="125">
        <f>IF(tech_base!$T237&gt;AH$345,"",AH861+AH1141+AH1421)</f>
        <v>378.84141821217531</v>
      </c>
      <c r="AI581" s="125">
        <f>IF(tech_base!$T237&gt;AI$345,"",AI861+AI1141+AI1421)</f>
        <v>378.08890211825377</v>
      </c>
      <c r="AJ581" s="125">
        <f>IF(tech_base!$T237&gt;AJ$345,"",AJ861+AJ1141+AJ1421)</f>
        <v>378.30086600376467</v>
      </c>
      <c r="AK581" s="125">
        <f>IF(tech_base!$T237&gt;AK$345,"",AK861+AK1141+AK1421)</f>
        <v>378.19932931488262</v>
      </c>
      <c r="AL581" s="125">
        <f>IF(tech_base!$T237&gt;AL$345,"",AL861+AL1141+AL1421)</f>
        <v>377.83991219102074</v>
      </c>
      <c r="AM581" s="125">
        <f>IF(tech_base!$T237&gt;AM$345,"",AM861+AM1141+AM1421)</f>
        <v>377.22356646094141</v>
      </c>
      <c r="AN581" s="125">
        <f>IF(tech_base!$T237&gt;AN$345,"",AN861+AN1141+AN1421)</f>
        <v>375.57223112656845</v>
      </c>
      <c r="AO581" s="125">
        <f>IF(tech_base!$T237&gt;AO$345,"",AO861+AO1141+AO1421)</f>
        <v>373.57109654636452</v>
      </c>
      <c r="AP581" s="125">
        <f>IF(tech_base!$T237&gt;AP$345,"",AP861+AP1141+AP1421)</f>
        <v>370.88896028475591</v>
      </c>
      <c r="AQ581" s="125">
        <f>IF(tech_base!$T237&gt;AQ$345,"",AQ861+AQ1141+AQ1421)</f>
        <v>367.38539098881785</v>
      </c>
      <c r="AR581" s="125">
        <f>IF(tech_base!$T237&gt;AR$345,"",AR861+AR1141+AR1421)</f>
        <v>362.95495031665757</v>
      </c>
      <c r="AS581" s="125">
        <f>IF(tech_base!$T237&gt;AS$345,"",AS861+AS1141+AS1421)</f>
        <v>357.38056837526551</v>
      </c>
      <c r="AT581" s="125">
        <f>IF(tech_base!$T237&gt;AT$345,"",AT861+AT1141+AT1421)</f>
        <v>350.38039653751565</v>
      </c>
      <c r="AU581" s="125">
        <f>IF(tech_base!$T237&gt;AU$345,"",AU861+AU1141+AU1421)</f>
        <v>341.87847747115694</v>
      </c>
      <c r="AV581" s="125">
        <f>IF(tech_base!$T237&gt;AV$345,"",AV861+AV1141+AV1421)</f>
        <v>331.93791894928927</v>
      </c>
      <c r="AW581" s="125">
        <f>IF(tech_base!$T237&gt;AW$345,"",AW861+AW1141+AW1421)</f>
        <v>320.6071568295128</v>
      </c>
      <c r="AX581" s="126">
        <f>IF(tech_base!$T237&gt;AX$345,"",AX861+AX1141+AX1421)</f>
        <v>308.81123866653257</v>
      </c>
    </row>
    <row r="582" spans="1:50" x14ac:dyDescent="0.25">
      <c r="A582" s="356"/>
      <c r="B582" s="359" t="s">
        <v>33</v>
      </c>
      <c r="C582" s="350" t="s">
        <v>6</v>
      </c>
      <c r="D582" s="2" t="s">
        <v>8</v>
      </c>
      <c r="E582" s="76" t="str">
        <f>A579&amp;"/"&amp;B582&amp;"/"&amp;C582&amp;"/"&amp;D582</f>
        <v>Fuel cells/Hydrogen fuel cell power plant/Electricity only/M</v>
      </c>
      <c r="F582" s="76" t="str">
        <f>A579</f>
        <v>Fuel cells</v>
      </c>
      <c r="G582" s="76" t="str">
        <f>B582</f>
        <v>Hydrogen fuel cell power plant</v>
      </c>
      <c r="H582" s="76" t="str">
        <f>C582</f>
        <v>Electricity only</v>
      </c>
      <c r="I582" s="76" t="str">
        <f t="shared" si="360"/>
        <v>M</v>
      </c>
      <c r="J582" s="119" t="str">
        <f>IF(tech_base!$T238&gt;J$345,"",J862+J1142+J1422)</f>
        <v/>
      </c>
      <c r="K582" s="119" t="str">
        <f>IF(tech_base!$T238&gt;K$345,"",K862+K1142+K1422)</f>
        <v/>
      </c>
      <c r="L582" s="119" t="str">
        <f>IF(tech_base!$T238&gt;L$345,"",L862+L1142+L1422)</f>
        <v/>
      </c>
      <c r="M582" s="119" t="str">
        <f>IF(tech_base!$T238&gt;M$345,"",M862+M1142+M1422)</f>
        <v/>
      </c>
      <c r="N582" s="119" t="str">
        <f>IF(tech_base!$T238&gt;N$345,"",N862+N1142+N1422)</f>
        <v/>
      </c>
      <c r="O582" s="119" t="str">
        <f>IF(tech_base!$T238&gt;O$345,"",O862+O1142+O1422)</f>
        <v/>
      </c>
      <c r="P582" s="119" t="str">
        <f>IF(tech_base!$T238&gt;P$345,"",P862+P1142+P1422)</f>
        <v/>
      </c>
      <c r="Q582" s="119" t="str">
        <f>IF(tech_base!$T238&gt;Q$345,"",Q862+Q1142+Q1422)</f>
        <v/>
      </c>
      <c r="R582" s="119" t="str">
        <f>IF(tech_base!$T238&gt;R$345,"",R862+R1142+R1422)</f>
        <v/>
      </c>
      <c r="S582" s="119" t="str">
        <f>IF(tech_base!$T238&gt;S$345,"",S862+S1142+S1422)</f>
        <v/>
      </c>
      <c r="T582" s="119" t="str">
        <f>IF(tech_base!$T238&gt;T$345,"",T862+T1142+T1422)</f>
        <v/>
      </c>
      <c r="U582" s="119" t="str">
        <f>IF(tech_base!$T238&gt;U$345,"",U862+U1142+U1422)</f>
        <v/>
      </c>
      <c r="V582" s="119" t="str">
        <f>IF(tech_base!$T238&gt;V$345,"",V862+V1142+V1422)</f>
        <v/>
      </c>
      <c r="W582" s="119" t="str">
        <f>IF(tech_base!$T238&gt;W$345,"",W862+W1142+W1422)</f>
        <v/>
      </c>
      <c r="X582" s="119" t="str">
        <f>IF(tech_base!$T238&gt;X$345,"",X862+X1142+X1422)</f>
        <v/>
      </c>
      <c r="Y582" s="119" t="str">
        <f>IF(tech_base!$T238&gt;Y$345,"",Y862+Y1142+Y1422)</f>
        <v/>
      </c>
      <c r="Z582" s="119" t="str">
        <f>IF(tech_base!$T238&gt;Z$345,"",Z862+Z1142+Z1422)</f>
        <v/>
      </c>
      <c r="AA582" s="119" t="str">
        <f>IF(tech_base!$T238&gt;AA$345,"",AA862+AA1142+AA1422)</f>
        <v/>
      </c>
      <c r="AB582" s="119" t="str">
        <f>IF(tech_base!$T238&gt;AB$345,"",AB862+AB1142+AB1422)</f>
        <v/>
      </c>
      <c r="AC582" s="119" t="str">
        <f>IF(tech_base!$T238&gt;AC$345,"",AC862+AC1142+AC1422)</f>
        <v/>
      </c>
      <c r="AD582" s="119" t="str">
        <f>IF(tech_base!$T238&gt;AD$345,"",AD862+AD1142+AD1422)</f>
        <v/>
      </c>
      <c r="AE582" s="119" t="str">
        <f>IF(tech_base!$T238&gt;AE$345,"",AE862+AE1142+AE1422)</f>
        <v/>
      </c>
      <c r="AF582" s="119" t="str">
        <f>IF(tech_base!$T238&gt;AF$345,"",AF862+AF1142+AF1422)</f>
        <v/>
      </c>
      <c r="AG582" s="119">
        <f>IF(tech_base!$T238&gt;AG$345,"",AG862+AG1142+AG1422)</f>
        <v>266.53696386427464</v>
      </c>
      <c r="AH582" s="119">
        <f>IF(tech_base!$T238&gt;AH$345,"",AH862+AH1142+AH1422)</f>
        <v>263.17355349160061</v>
      </c>
      <c r="AI582" s="119">
        <f>IF(tech_base!$T238&gt;AI$345,"",AI862+AI1142+AI1422)</f>
        <v>259.81014311892659</v>
      </c>
      <c r="AJ582" s="119">
        <f>IF(tech_base!$T238&gt;AJ$345,"",AJ862+AJ1142+AJ1422)</f>
        <v>256.81670788724671</v>
      </c>
      <c r="AK582" s="119">
        <f>IF(tech_base!$T238&gt;AK$345,"",AK862+AK1142+AK1422)</f>
        <v>253.82327265556688</v>
      </c>
      <c r="AL582" s="119">
        <f>IF(tech_base!$T238&gt;AL$345,"",AL862+AL1142+AL1422)</f>
        <v>250.82983742388703</v>
      </c>
      <c r="AM582" s="119">
        <f>IF(tech_base!$T238&gt;AM$345,"",AM862+AM1142+AM1422)</f>
        <v>247.83640219220717</v>
      </c>
      <c r="AN582" s="119">
        <f>IF(tech_base!$T238&gt;AN$345,"",AN862+AN1142+AN1422)</f>
        <v>240.24345168479812</v>
      </c>
      <c r="AO582" s="119">
        <f>IF(tech_base!$T238&gt;AO$345,"",AO862+AO1142+AO1422)</f>
        <v>236.08585157467357</v>
      </c>
      <c r="AP582" s="119">
        <f>IF(tech_base!$T238&gt;AP$345,"",AP862+AP1142+AP1422)</f>
        <v>231.48452889620907</v>
      </c>
      <c r="AQ582" s="119">
        <f>IF(tech_base!$T238&gt;AQ$345,"",AQ862+AQ1142+AQ1422)</f>
        <v>226.33822934676473</v>
      </c>
      <c r="AR582" s="119">
        <f>IF(tech_base!$T238&gt;AR$345,"",AR862+AR1142+AR1422)</f>
        <v>220.54464778342799</v>
      </c>
      <c r="AS582" s="119">
        <f>IF(tech_base!$T238&gt;AS$345,"",AS862+AS1142+AS1422)</f>
        <v>214.01773434993183</v>
      </c>
      <c r="AT582" s="119">
        <f>IF(tech_base!$T238&gt;AT$345,"",AT862+AT1142+AT1422)</f>
        <v>206.99866521452057</v>
      </c>
      <c r="AU582" s="119">
        <f>IF(tech_base!$T238&gt;AU$345,"",AU862+AU1142+AU1422)</f>
        <v>199.23627726934626</v>
      </c>
      <c r="AV582" s="119">
        <f>IF(tech_base!$T238&gt;AV$345,"",AV862+AV1142+AV1422)</f>
        <v>190.88392880062065</v>
      </c>
      <c r="AW582" s="119">
        <f>IF(tech_base!$T238&gt;AW$345,"",AW862+AW1142+AW1422)</f>
        <v>182.23340056665765</v>
      </c>
      <c r="AX582" s="120">
        <f>IF(tech_base!$T238&gt;AX$345,"",AX862+AX1142+AX1422)</f>
        <v>173.69669905165995</v>
      </c>
    </row>
    <row r="583" spans="1:50" x14ac:dyDescent="0.25">
      <c r="A583" s="356"/>
      <c r="B583" s="376"/>
      <c r="C583" s="378"/>
      <c r="D583" s="2" t="s">
        <v>10</v>
      </c>
      <c r="E583" s="76" t="str">
        <f>A579&amp;"/"&amp;B582&amp;"/"&amp;C582&amp;"/"&amp;D583</f>
        <v>Fuel cells/Hydrogen fuel cell power plant/Electricity only/S</v>
      </c>
      <c r="F583" s="76" t="str">
        <f>A579</f>
        <v>Fuel cells</v>
      </c>
      <c r="G583" s="76" t="str">
        <f>B582</f>
        <v>Hydrogen fuel cell power plant</v>
      </c>
      <c r="H583" s="76" t="str">
        <f>C582</f>
        <v>Electricity only</v>
      </c>
      <c r="I583" s="76" t="str">
        <f t="shared" si="360"/>
        <v>S</v>
      </c>
      <c r="J583" s="119" t="str">
        <f>IF(tech_base!$T239&gt;J$345,"",J863+J1143+J1423)</f>
        <v/>
      </c>
      <c r="K583" s="119" t="str">
        <f>IF(tech_base!$T239&gt;K$345,"",K863+K1143+K1423)</f>
        <v/>
      </c>
      <c r="L583" s="119" t="str">
        <f>IF(tech_base!$T239&gt;L$345,"",L863+L1143+L1423)</f>
        <v/>
      </c>
      <c r="M583" s="119" t="str">
        <f>IF(tech_base!$T239&gt;M$345,"",M863+M1143+M1423)</f>
        <v/>
      </c>
      <c r="N583" s="119" t="str">
        <f>IF(tech_base!$T239&gt;N$345,"",N863+N1143+N1423)</f>
        <v/>
      </c>
      <c r="O583" s="119" t="str">
        <f>IF(tech_base!$T239&gt;O$345,"",O863+O1143+O1423)</f>
        <v/>
      </c>
      <c r="P583" s="119" t="str">
        <f>IF(tech_base!$T239&gt;P$345,"",P863+P1143+P1423)</f>
        <v/>
      </c>
      <c r="Q583" s="119" t="str">
        <f>IF(tech_base!$T239&gt;Q$345,"",Q863+Q1143+Q1423)</f>
        <v/>
      </c>
      <c r="R583" s="119" t="str">
        <f>IF(tech_base!$T239&gt;R$345,"",R863+R1143+R1423)</f>
        <v/>
      </c>
      <c r="S583" s="119" t="str">
        <f>IF(tech_base!$T239&gt;S$345,"",S863+S1143+S1423)</f>
        <v/>
      </c>
      <c r="T583" s="119" t="str">
        <f>IF(tech_base!$T239&gt;T$345,"",T863+T1143+T1423)</f>
        <v/>
      </c>
      <c r="U583" s="119" t="str">
        <f>IF(tech_base!$T239&gt;U$345,"",U863+U1143+U1423)</f>
        <v/>
      </c>
      <c r="V583" s="119" t="str">
        <f>IF(tech_base!$T239&gt;V$345,"",V863+V1143+V1423)</f>
        <v/>
      </c>
      <c r="W583" s="119" t="str">
        <f>IF(tech_base!$T239&gt;W$345,"",W863+W1143+W1423)</f>
        <v/>
      </c>
      <c r="X583" s="119" t="str">
        <f>IF(tech_base!$T239&gt;X$345,"",X863+X1143+X1423)</f>
        <v/>
      </c>
      <c r="Y583" s="119" t="str">
        <f>IF(tech_base!$T239&gt;Y$345,"",Y863+Y1143+Y1423)</f>
        <v/>
      </c>
      <c r="Z583" s="119" t="str">
        <f>IF(tech_base!$T239&gt;Z$345,"",Z863+Z1143+Z1423)</f>
        <v/>
      </c>
      <c r="AA583" s="119" t="str">
        <f>IF(tech_base!$T239&gt;AA$345,"",AA863+AA1143+AA1423)</f>
        <v/>
      </c>
      <c r="AB583" s="119" t="str">
        <f>IF(tech_base!$T239&gt;AB$345,"",AB863+AB1143+AB1423)</f>
        <v/>
      </c>
      <c r="AC583" s="119" t="str">
        <f>IF(tech_base!$T239&gt;AC$345,"",AC863+AC1143+AC1423)</f>
        <v/>
      </c>
      <c r="AD583" s="119" t="str">
        <f>IF(tech_base!$T239&gt;AD$345,"",AD863+AD1143+AD1423)</f>
        <v/>
      </c>
      <c r="AE583" s="119">
        <f>IF(tech_base!$T239&gt;AE$345,"",AE863+AE1143+AE1423)</f>
        <v>293.07966921476822</v>
      </c>
      <c r="AF583" s="119">
        <f>IF(tech_base!$T239&gt;AF$345,"",AF863+AF1143+AF1423)</f>
        <v>289.54129081563246</v>
      </c>
      <c r="AG583" s="119">
        <f>IF(tech_base!$T239&gt;AG$345,"",AG863+AG1143+AG1423)</f>
        <v>286.00291241649671</v>
      </c>
      <c r="AH583" s="119">
        <f>IF(tech_base!$T239&gt;AH$345,"",AH863+AH1143+AH1423)</f>
        <v>282.46453401736096</v>
      </c>
      <c r="AI583" s="119">
        <f>IF(tech_base!$T239&gt;AI$345,"",AI863+AI1143+AI1423)</f>
        <v>278.92615561822527</v>
      </c>
      <c r="AJ583" s="119">
        <f>IF(tech_base!$T239&gt;AJ$345,"",AJ863+AJ1143+AJ1423)</f>
        <v>275.77699884299443</v>
      </c>
      <c r="AK583" s="119">
        <f>IF(tech_base!$T239&gt;AK$345,"",AK863+AK1143+AK1423)</f>
        <v>272.62784206776359</v>
      </c>
      <c r="AL583" s="119">
        <f>IF(tech_base!$T239&gt;AL$345,"",AL863+AL1143+AL1423)</f>
        <v>269.47868529253282</v>
      </c>
      <c r="AM583" s="119">
        <f>IF(tech_base!$T239&gt;AM$345,"",AM863+AM1143+AM1423)</f>
        <v>266.32952851730204</v>
      </c>
      <c r="AN583" s="119">
        <f>IF(tech_base!$T239&gt;AN$345,"",AN863+AN1143+AN1423)</f>
        <v>259.75408359696632</v>
      </c>
      <c r="AO583" s="119">
        <f>IF(tech_base!$T239&gt;AO$345,"",AO863+AO1143+AO1423)</f>
        <v>255.82660699812726</v>
      </c>
      <c r="AP583" s="119">
        <f>IF(tech_base!$T239&gt;AP$345,"",AP863+AP1143+AP1423)</f>
        <v>251.55566270031994</v>
      </c>
      <c r="AQ583" s="119">
        <f>IF(tech_base!$T239&gt;AQ$345,"",AQ863+AQ1143+AQ1423)</f>
        <v>246.8556663956561</v>
      </c>
      <c r="AR583" s="119">
        <f>IF(tech_base!$T239&gt;AR$345,"",AR863+AR1143+AR1423)</f>
        <v>241.63375755699491</v>
      </c>
      <c r="AS583" s="119">
        <f>IF(tech_base!$T239&gt;AS$345,"",AS863+AS1143+AS1423)</f>
        <v>235.79982281996871</v>
      </c>
      <c r="AT583" s="119">
        <f>IF(tech_base!$T239&gt;AT$345,"",AT863+AT1143+AT1423)</f>
        <v>229.58550389615618</v>
      </c>
      <c r="AU583" s="119">
        <f>IF(tech_base!$T239&gt;AU$345,"",AU863+AU1143+AU1423)</f>
        <v>222.66229612621743</v>
      </c>
      <c r="AV583" s="119">
        <f>IF(tech_base!$T239&gt;AV$345,"",AV863+AV1143+AV1423)</f>
        <v>215.08391783136912</v>
      </c>
      <c r="AW583" s="119">
        <f>IF(tech_base!$T239&gt;AW$345,"",AW863+AW1143+AW1423)</f>
        <v>207.0103966907003</v>
      </c>
      <c r="AX583" s="120">
        <f>IF(tech_base!$T239&gt;AX$345,"",AX863+AX1143+AX1423)</f>
        <v>198.71703110778049</v>
      </c>
    </row>
    <row r="584" spans="1:50" x14ac:dyDescent="0.25">
      <c r="A584" s="357"/>
      <c r="B584" s="380"/>
      <c r="C584" s="381"/>
      <c r="D584" s="4" t="s">
        <v>20</v>
      </c>
      <c r="E584" s="76" t="str">
        <f>A579&amp;"/"&amp;B582&amp;"/"&amp;C582&amp;"/"&amp;D584</f>
        <v>Fuel cells/Hydrogen fuel cell power plant/Electricity only/XS</v>
      </c>
      <c r="F584" s="76" t="str">
        <f>A579</f>
        <v>Fuel cells</v>
      </c>
      <c r="G584" s="76" t="str">
        <f>B582</f>
        <v>Hydrogen fuel cell power plant</v>
      </c>
      <c r="H584" s="76" t="str">
        <f>C582</f>
        <v>Electricity only</v>
      </c>
      <c r="I584" s="76" t="str">
        <f t="shared" si="360"/>
        <v>XS</v>
      </c>
      <c r="J584" s="119" t="str">
        <f>IF(tech_base!$T240&gt;J$345,"",J864+J1144+J1424)</f>
        <v/>
      </c>
      <c r="K584" s="119" t="str">
        <f>IF(tech_base!$T240&gt;K$345,"",K864+K1144+K1424)</f>
        <v/>
      </c>
      <c r="L584" s="119" t="str">
        <f>IF(tech_base!$T240&gt;L$345,"",L864+L1144+L1424)</f>
        <v/>
      </c>
      <c r="M584" s="119" t="str">
        <f>IF(tech_base!$T240&gt;M$345,"",M864+M1144+M1424)</f>
        <v/>
      </c>
      <c r="N584" s="119" t="str">
        <f>IF(tech_base!$T240&gt;N$345,"",N864+N1144+N1424)</f>
        <v/>
      </c>
      <c r="O584" s="119" t="str">
        <f>IF(tech_base!$T240&gt;O$345,"",O864+O1144+O1424)</f>
        <v/>
      </c>
      <c r="P584" s="119" t="str">
        <f>IF(tech_base!$T240&gt;P$345,"",P864+P1144+P1424)</f>
        <v/>
      </c>
      <c r="Q584" s="119" t="str">
        <f>IF(tech_base!$T240&gt;Q$345,"",Q864+Q1144+Q1424)</f>
        <v/>
      </c>
      <c r="R584" s="119" t="str">
        <f>IF(tech_base!$T240&gt;R$345,"",R864+R1144+R1424)</f>
        <v/>
      </c>
      <c r="S584" s="119" t="str">
        <f>IF(tech_base!$T240&gt;S$345,"",S864+S1144+S1424)</f>
        <v/>
      </c>
      <c r="T584" s="119" t="str">
        <f>IF(tech_base!$T240&gt;T$345,"",T864+T1144+T1424)</f>
        <v/>
      </c>
      <c r="U584" s="119" t="str">
        <f>IF(tech_base!$T240&gt;U$345,"",U864+U1144+U1424)</f>
        <v/>
      </c>
      <c r="V584" s="119" t="str">
        <f>IF(tech_base!$T240&gt;V$345,"",V864+V1144+V1424)</f>
        <v/>
      </c>
      <c r="W584" s="119" t="str">
        <f>IF(tech_base!$T240&gt;W$345,"",W864+W1144+W1424)</f>
        <v/>
      </c>
      <c r="X584" s="119" t="str">
        <f>IF(tech_base!$T240&gt;X$345,"",X864+X1144+X1424)</f>
        <v/>
      </c>
      <c r="Y584" s="119" t="str">
        <f>IF(tech_base!$T240&gt;Y$345,"",Y864+Y1144+Y1424)</f>
        <v/>
      </c>
      <c r="Z584" s="119" t="str">
        <f>IF(tech_base!$T240&gt;Z$345,"",Z864+Z1144+Z1424)</f>
        <v/>
      </c>
      <c r="AA584" s="119" t="str">
        <f>IF(tech_base!$T240&gt;AA$345,"",AA864+AA1144+AA1424)</f>
        <v/>
      </c>
      <c r="AB584" s="119">
        <f>IF(tech_base!$T240&gt;AB$345,"",AB864+AB1144+AB1424)</f>
        <v>357.48321562184572</v>
      </c>
      <c r="AC584" s="119">
        <f>IF(tech_base!$T240&gt;AC$345,"",AC864+AC1144+AC1424)</f>
        <v>353.3002704509089</v>
      </c>
      <c r="AD584" s="119">
        <f>IF(tech_base!$T240&gt;AD$345,"",AD864+AD1144+AD1424)</f>
        <v>349.11732527997196</v>
      </c>
      <c r="AE584" s="119">
        <f>IF(tech_base!$T240&gt;AE$345,"",AE864+AE1144+AE1424)</f>
        <v>345.39450407783818</v>
      </c>
      <c r="AF584" s="119">
        <f>IF(tech_base!$T240&gt;AF$345,"",AF864+AF1144+AF1424)</f>
        <v>341.67168287570433</v>
      </c>
      <c r="AG584" s="119">
        <f>IF(tech_base!$T240&gt;AG$345,"",AG864+AG1144+AG1424)</f>
        <v>337.94886167357049</v>
      </c>
      <c r="AH584" s="119">
        <f>IF(tech_base!$T240&gt;AH$345,"",AH864+AH1144+AH1424)</f>
        <v>334.2260404714367</v>
      </c>
      <c r="AI584" s="119">
        <f>IF(tech_base!$T240&gt;AI$345,"",AI864+AI1144+AI1424)</f>
        <v>330.50321926930286</v>
      </c>
      <c r="AJ584" s="119">
        <f>IF(tech_base!$T240&gt;AJ$345,"",AJ864+AJ1144+AJ1424)</f>
        <v>327.18990839940375</v>
      </c>
      <c r="AK584" s="119">
        <f>IF(tech_base!$T240&gt;AK$345,"",AK864+AK1144+AK1424)</f>
        <v>323.87659752950458</v>
      </c>
      <c r="AL584" s="119">
        <f>IF(tech_base!$T240&gt;AL$345,"",AL864+AL1144+AL1424)</f>
        <v>320.56328665960552</v>
      </c>
      <c r="AM584" s="119">
        <f>IF(tech_base!$T240&gt;AM$345,"",AM864+AM1144+AM1424)</f>
        <v>317.24997578970641</v>
      </c>
      <c r="AN584" s="119">
        <f>IF(tech_base!$T240&gt;AN$345,"",AN864+AN1144+AN1424)</f>
        <v>310.09530105801861</v>
      </c>
      <c r="AO584" s="119">
        <f>IF(tech_base!$T240&gt;AO$345,"",AO864+AO1144+AO1424)</f>
        <v>305.88290445260958</v>
      </c>
      <c r="AP584" s="119">
        <f>IF(tech_base!$T240&gt;AP$345,"",AP864+AP1144+AP1424)</f>
        <v>301.28399096238149</v>
      </c>
      <c r="AQ584" s="119">
        <f>IF(tech_base!$T240&gt;AQ$345,"",AQ864+AQ1144+AQ1424)</f>
        <v>296.20217087938488</v>
      </c>
      <c r="AR584" s="119">
        <f>IF(tech_base!$T240&gt;AR$345,"",AR864+AR1144+AR1424)</f>
        <v>290.53291826373101</v>
      </c>
      <c r="AS584" s="119">
        <f>IF(tech_base!$T240&gt;AS$345,"",AS864+AS1144+AS1424)</f>
        <v>284.17492686553561</v>
      </c>
      <c r="AT584" s="119">
        <f>IF(tech_base!$T240&gt;AT$345,"",AT864+AT1144+AT1424)</f>
        <v>277.36807896318396</v>
      </c>
      <c r="AU584" s="119">
        <f>IF(tech_base!$T240&gt;AU$345,"",AU864+AU1144+AU1424)</f>
        <v>269.7652430649718</v>
      </c>
      <c r="AV584" s="119">
        <f>IF(tech_base!$T240&gt;AV$345,"",AV864+AV1144+AV1424)</f>
        <v>261.42790859682469</v>
      </c>
      <c r="AW584" s="119">
        <f>IF(tech_base!$T240&gt;AW$345,"",AW864+AW1144+AW1424)</f>
        <v>252.53699738640211</v>
      </c>
      <c r="AX584" s="120">
        <f>IF(tech_base!$T240&gt;AX$345,"",AX864+AX1144+AX1424)</f>
        <v>243.40218557907133</v>
      </c>
    </row>
    <row r="585" spans="1:50" x14ac:dyDescent="0.25">
      <c r="A585" s="355" t="s">
        <v>34</v>
      </c>
      <c r="B585" s="358" t="s">
        <v>35</v>
      </c>
      <c r="C585" s="353" t="s">
        <v>6</v>
      </c>
      <c r="D585" s="3" t="s">
        <v>7</v>
      </c>
      <c r="E585" s="77" t="str">
        <f>A585&amp;"/"&amp;B585&amp;"/"&amp;C585&amp;"/"&amp;D585</f>
        <v>Wind power plants/Onshore/Electricity only/L</v>
      </c>
      <c r="F585" s="77" t="str">
        <f>A585</f>
        <v>Wind power plants</v>
      </c>
      <c r="G585" s="77" t="str">
        <f>B585</f>
        <v>Onshore</v>
      </c>
      <c r="H585" s="77" t="str">
        <f>C585</f>
        <v>Electricity only</v>
      </c>
      <c r="I585" s="77" t="str">
        <f t="shared" si="360"/>
        <v>L</v>
      </c>
      <c r="J585" s="121">
        <f>IF(tech_base!$T241&gt;J$345,"",J865+J1145+J1425)</f>
        <v>36.793907559603021</v>
      </c>
      <c r="K585" s="121">
        <f>IF(tech_base!$T241&gt;K$345,"",K865+K1145+K1425)</f>
        <v>35.005996199669717</v>
      </c>
      <c r="L585" s="121">
        <f>IF(tech_base!$T241&gt;L$345,"",L865+L1145+L1425)</f>
        <v>33.832679369713496</v>
      </c>
      <c r="M585" s="121">
        <f>IF(tech_base!$T241&gt;M$345,"",M865+M1145+M1425)</f>
        <v>33.078404264741629</v>
      </c>
      <c r="N585" s="121">
        <f>IF(tech_base!$T241&gt;N$345,"",N865+N1145+N1425)</f>
        <v>32.647370451367465</v>
      </c>
      <c r="O585" s="121">
        <f>IF(tech_base!$T241&gt;O$345,"",O865+O1145+O1425)</f>
        <v>32.324129159769761</v>
      </c>
      <c r="P585" s="121">
        <f>IF(tech_base!$T241&gt;P$345,"",P865+P1145+P1425)</f>
        <v>31.803541195923092</v>
      </c>
      <c r="Q585" s="121">
        <f>IF(tech_base!$T241&gt;Q$345,"",Q865+Q1145+Q1425)</f>
        <v>31.461905344648713</v>
      </c>
      <c r="R585" s="121">
        <f>IF(tech_base!$T241&gt;R$345,"",R865+R1145+R1425)</f>
        <v>31.242282297400898</v>
      </c>
      <c r="S585" s="121">
        <f>IF(tech_base!$T241&gt;S$345,"",S865+S1145+S1425)</f>
        <v>31.077565011965039</v>
      </c>
      <c r="T585" s="121">
        <f>IF(tech_base!$T241&gt;T$345,"",T865+T1145+T1425)</f>
        <v>31.02265925015308</v>
      </c>
      <c r="U585" s="121">
        <f>IF(tech_base!$T241&gt;U$345,"",U865+U1145+U1425)</f>
        <v>30.75002936145702</v>
      </c>
      <c r="V585" s="121">
        <f>IF(tech_base!$T241&gt;V$345,"",V865+V1145+V1425)</f>
        <v>30.472321038493874</v>
      </c>
      <c r="W585" s="121">
        <f>IF(tech_base!$T241&gt;W$345,"",W865+W1145+W1425)</f>
        <v>30.189810974613245</v>
      </c>
      <c r="X585" s="121">
        <f>IF(tech_base!$T241&gt;X$345,"",X865+X1145+X1425)</f>
        <v>29.90280531156117</v>
      </c>
      <c r="Y585" s="121">
        <f>IF(tech_base!$T241&gt;Y$345,"",Y865+Y1145+Y1425)</f>
        <v>29.611639527519088</v>
      </c>
      <c r="Z585" s="121">
        <f>IF(tech_base!$T241&gt;Z$345,"",Z865+Z1145+Z1425)</f>
        <v>29.316678056552021</v>
      </c>
      <c r="AA585" s="121">
        <f>IF(tech_base!$T241&gt;AA$345,"",AA865+AA1145+AA1425)</f>
        <v>29.018313621394547</v>
      </c>
      <c r="AB585" s="121">
        <f>IF(tech_base!$T241&gt;AB$345,"",AB865+AB1145+AB1425)</f>
        <v>28.716966264397129</v>
      </c>
      <c r="AC585" s="121">
        <f>IF(tech_base!$T241&gt;AC$345,"",AC865+AC1145+AC1425)</f>
        <v>28.413082064981278</v>
      </c>
      <c r="AD585" s="121">
        <f>IF(tech_base!$T241&gt;AD$345,"",AD865+AD1145+AD1425)</f>
        <v>28.107131536096425</v>
      </c>
      <c r="AE585" s="121">
        <f>IF(tech_base!$T241&gt;AE$345,"",AE865+AE1145+AE1425)</f>
        <v>27.799607696898732</v>
      </c>
      <c r="AF585" s="121">
        <f>IF(tech_base!$T241&gt;AF$345,"",AF865+AF1145+AF1425)</f>
        <v>27.491023824126064</v>
      </c>
      <c r="AG585" s="121">
        <f>IF(tech_base!$T241&gt;AG$345,"",AG865+AG1145+AG1425)</f>
        <v>27.181910890339406</v>
      </c>
      <c r="AH585" s="121">
        <f>IF(tech_base!$T241&gt;AH$345,"",AH865+AH1145+AH1425)</f>
        <v>26.872814703236713</v>
      </c>
      <c r="AI585" s="121">
        <f>IF(tech_base!$T241&gt;AI$345,"",AI865+AI1145+AI1425)</f>
        <v>26.564292766488695</v>
      </c>
      <c r="AJ585" s="121">
        <f>IF(tech_base!$T241&gt;AJ$345,"",AJ865+AJ1145+AJ1425)</f>
        <v>26.256910888849063</v>
      </c>
      <c r="AK585" s="121">
        <f>IF(tech_base!$T241&gt;AK$345,"",AK865+AK1145+AK1425)</f>
        <v>25.951239574486834</v>
      </c>
      <c r="AL585" s="121">
        <f>IF(tech_base!$T241&gt;AL$345,"",AL865+AL1145+AL1425)</f>
        <v>25.647850233394443</v>
      </c>
      <c r="AM585" s="121">
        <f>IF(tech_base!$T241&gt;AM$345,"",AM865+AM1145+AM1425)</f>
        <v>25.347311256155667</v>
      </c>
      <c r="AN585" s="121">
        <f>IF(tech_base!$T241&gt;AN$345,"",AN865+AN1145+AN1425)</f>
        <v>25.050184002123878</v>
      </c>
      <c r="AO585" s="121">
        <f>IF(tech_base!$T241&gt;AO$345,"",AO865+AO1145+AO1425)</f>
        <v>24.757018753982589</v>
      </c>
      <c r="AP585" s="121">
        <f>IF(tech_base!$T241&gt;AP$345,"",AP865+AP1145+AP1425)</f>
        <v>24.4683506945712</v>
      </c>
      <c r="AQ585" s="121">
        <f>IF(tech_base!$T241&gt;AQ$345,"",AQ865+AQ1145+AQ1425)</f>
        <v>24.184695963615976</v>
      </c>
      <c r="AR585" s="121">
        <f>IF(tech_base!$T241&gt;AR$345,"",AR865+AR1145+AR1425)</f>
        <v>23.906547852497262</v>
      </c>
      <c r="AS585" s="121">
        <f>IF(tech_base!$T241&gt;AS$345,"",AS865+AS1145+AS1425)</f>
        <v>23.634373194332813</v>
      </c>
      <c r="AT585" s="121">
        <f>IF(tech_base!$T241&gt;AT$345,"",AT865+AT1145+AT1425)</f>
        <v>23.368609004431775</v>
      </c>
      <c r="AU585" s="121">
        <f>IF(tech_base!$T241&gt;AU$345,"",AU865+AU1145+AU1425)</f>
        <v>23.109659422586279</v>
      </c>
      <c r="AV585" s="121">
        <f>IF(tech_base!$T241&gt;AV$345,"",AV865+AV1145+AV1425)</f>
        <v>22.857893003780152</v>
      </c>
      <c r="AW585" s="121">
        <f>IF(tech_base!$T241&gt;AW$345,"",AW865+AW1145+AW1425)</f>
        <v>22.613640397815036</v>
      </c>
      <c r="AX585" s="122">
        <f>IF(tech_base!$T241&gt;AX$345,"",AX865+AX1145+AX1425)</f>
        <v>22.377192451235903</v>
      </c>
    </row>
    <row r="586" spans="1:50" x14ac:dyDescent="0.25">
      <c r="A586" s="356"/>
      <c r="B586" s="376"/>
      <c r="C586" s="378"/>
      <c r="D586" s="2" t="s">
        <v>8</v>
      </c>
      <c r="E586" s="76" t="str">
        <f>A585&amp;"/"&amp;B585&amp;"/"&amp;C585&amp;"/"&amp;D586</f>
        <v>Wind power plants/Onshore/Electricity only/M</v>
      </c>
      <c r="F586" s="76" t="str">
        <f>A585</f>
        <v>Wind power plants</v>
      </c>
      <c r="G586" s="76" t="str">
        <f>B585</f>
        <v>Onshore</v>
      </c>
      <c r="H586" s="76" t="str">
        <f>C585</f>
        <v>Electricity only</v>
      </c>
      <c r="I586" s="76" t="str">
        <f t="shared" si="360"/>
        <v>M</v>
      </c>
      <c r="J586" s="119">
        <f>IF(tech_base!$T242&gt;J$345,"",J866+J1146+J1426)</f>
        <v>39.949820589308871</v>
      </c>
      <c r="K586" s="119">
        <f>IF(tech_base!$T242&gt;K$345,"",K866+K1146+K1426)</f>
        <v>38.967660303123829</v>
      </c>
      <c r="L586" s="119">
        <f>IF(tech_base!$T242&gt;L$345,"",L866+L1146+L1426)</f>
        <v>38.280140006902649</v>
      </c>
      <c r="M586" s="119">
        <f>IF(tech_base!$T242&gt;M$345,"",M866+M1146+M1426)</f>
        <v>37.779056985989151</v>
      </c>
      <c r="N586" s="119">
        <f>IF(tech_base!$T242&gt;N$345,"",N866+N1146+N1426)</f>
        <v>37.264124290656703</v>
      </c>
      <c r="O586" s="119">
        <f>IF(tech_base!$T242&gt;O$345,"",O866+O1146+O1426)</f>
        <v>36.529873826739255</v>
      </c>
      <c r="P586" s="119">
        <f>IF(tech_base!$T242&gt;P$345,"",P866+P1146+P1426)</f>
        <v>35.85616961888919</v>
      </c>
      <c r="Q586" s="119">
        <f>IF(tech_base!$T242&gt;Q$345,"",Q866+Q1146+Q1426)</f>
        <v>35.423876085518721</v>
      </c>
      <c r="R586" s="119">
        <f>IF(tech_base!$T242&gt;R$345,"",R866+R1146+R1426)</f>
        <v>34.973305415897194</v>
      </c>
      <c r="S586" s="119">
        <f>IF(tech_base!$T242&gt;S$345,"",S866+S1146+S1426)</f>
        <v>34.627035065244741</v>
      </c>
      <c r="T586" s="119">
        <f>IF(tech_base!$T242&gt;T$345,"",T866+T1146+T1426)</f>
        <v>34.284193133905681</v>
      </c>
      <c r="U586" s="119">
        <f>IF(tech_base!$T242&gt;U$345,"",U866+U1146+U1426)</f>
        <v>34.019535841106226</v>
      </c>
      <c r="V586" s="119">
        <f>IF(tech_base!$T242&gt;V$345,"",V866+V1146+V1426)</f>
        <v>33.747826962949013</v>
      </c>
      <c r="W586" s="119">
        <f>IF(tech_base!$T242&gt;W$345,"",W866+W1146+W1426)</f>
        <v>33.469361356237805</v>
      </c>
      <c r="X586" s="119">
        <f>IF(tech_base!$T242&gt;X$345,"",X866+X1146+X1426)</f>
        <v>33.184484883788443</v>
      </c>
      <c r="Y586" s="119">
        <f>IF(tech_base!$T242&gt;Y$345,"",Y866+Y1146+Y1426)</f>
        <v>32.893595408720657</v>
      </c>
      <c r="Z586" s="119">
        <f>IF(tech_base!$T242&gt;Z$345,"",Z866+Z1146+Z1426)</f>
        <v>32.597143231781828</v>
      </c>
      <c r="AA586" s="119">
        <f>IF(tech_base!$T242&gt;AA$345,"",AA866+AA1146+AA1426)</f>
        <v>32.295630902985387</v>
      </c>
      <c r="AB586" s="119">
        <f>IF(tech_base!$T242&gt;AB$345,"",AB866+AB1146+AB1426)</f>
        <v>31.989612344573032</v>
      </c>
      <c r="AC586" s="119">
        <f>IF(tech_base!$T242&gt;AC$345,"",AC866+AC1146+AC1426)</f>
        <v>31.679691230698321</v>
      </c>
      <c r="AD586" s="119">
        <f>IF(tech_base!$T242&gt;AD$345,"",AD866+AD1146+AD1426)</f>
        <v>31.366518580393144</v>
      </c>
      <c r="AE586" s="119">
        <f>IF(tech_base!$T242&gt;AE$345,"",AE866+AE1146+AE1426)</f>
        <v>31.050789534321396</v>
      </c>
      <c r="AF586" s="119">
        <f>IF(tech_base!$T242&gt;AF$345,"",AF866+AF1146+AF1426)</f>
        <v>30.733239302428405</v>
      </c>
      <c r="AG586" s="119">
        <f>IF(tech_base!$T242&gt;AG$345,"",AG866+AG1146+AG1426)</f>
        <v>30.414638288599807</v>
      </c>
      <c r="AH586" s="119">
        <f>IF(tech_base!$T242&gt;AH$345,"",AH866+AH1146+AH1426)</f>
        <v>30.095786419440419</v>
      </c>
      <c r="AI586" s="119">
        <f>IF(tech_base!$T242&gt;AI$345,"",AI866+AI1146+AI1426)</f>
        <v>29.777506726709305</v>
      </c>
      <c r="AJ586" s="119">
        <f>IF(tech_base!$T242&gt;AJ$345,"",AJ866+AJ1146+AJ1426)</f>
        <v>29.460638256095041</v>
      </c>
      <c r="AK586" s="119">
        <f>IF(tech_base!$T242&gt;AK$345,"",AK866+AK1146+AK1426)</f>
        <v>29.146028398051222</v>
      </c>
      <c r="AL586" s="119">
        <f>IF(tech_base!$T242&gt;AL$345,"",AL866+AL1146+AL1426)</f>
        <v>28.834524758407177</v>
      </c>
      <c r="AM586" s="119">
        <f>IF(tech_base!$T242&gt;AM$345,"",AM866+AM1146+AM1426)</f>
        <v>28.526966706434784</v>
      </c>
      <c r="AN586" s="119">
        <f>IF(tech_base!$T242&gt;AN$345,"",AN866+AN1146+AN1426)</f>
        <v>28.224176754998378</v>
      </c>
      <c r="AO586" s="119">
        <f>IF(tech_base!$T242&gt;AO$345,"",AO866+AO1146+AO1426)</f>
        <v>27.92695194039694</v>
      </c>
      <c r="AP586" s="119">
        <f>IF(tech_base!$T242&gt;AP$345,"",AP866+AP1146+AP1426)</f>
        <v>27.636055377695843</v>
      </c>
      <c r="AQ586" s="119">
        <f>IF(tech_base!$T242&gt;AQ$345,"",AQ866+AQ1146+AQ1426)</f>
        <v>27.352208170077226</v>
      </c>
      <c r="AR586" s="119">
        <f>IF(tech_base!$T242&gt;AR$345,"",AR866+AR1146+AR1426)</f>
        <v>27.076081847575519</v>
      </c>
      <c r="AS586" s="119">
        <f>IF(tech_base!$T242&gt;AS$345,"",AS866+AS1146+AS1426)</f>
        <v>26.808291501335489</v>
      </c>
      <c r="AT586" s="119">
        <f>IF(tech_base!$T242&gt;AT$345,"",AT866+AT1146+AT1426)</f>
        <v>26.549389764357656</v>
      </c>
      <c r="AU586" s="119">
        <f>IF(tech_base!$T242&gt;AU$345,"",AU866+AU1146+AU1426)</f>
        <v>26.29986176900476</v>
      </c>
      <c r="AV586" s="119">
        <f>IF(tech_base!$T242&gt;AV$345,"",AV866+AV1146+AV1426)</f>
        <v>26.060121186053404</v>
      </c>
      <c r="AW586" s="119">
        <f>IF(tech_base!$T242&gt;AW$345,"",AW866+AW1146+AW1426)</f>
        <v>25.830507420765304</v>
      </c>
      <c r="AX586" s="120">
        <f>IF(tech_base!$T242&gt;AX$345,"",AX866+AX1146+AX1426)</f>
        <v>25.611284009514375</v>
      </c>
    </row>
    <row r="587" spans="1:50" x14ac:dyDescent="0.25">
      <c r="A587" s="356"/>
      <c r="B587" s="376"/>
      <c r="C587" s="378"/>
      <c r="D587" s="2" t="s">
        <v>10</v>
      </c>
      <c r="E587" s="76" t="str">
        <f>A585&amp;"/"&amp;B585&amp;"/"&amp;C585&amp;"/"&amp;D587</f>
        <v>Wind power plants/Onshore/Electricity only/S</v>
      </c>
      <c r="F587" s="76" t="str">
        <f>A585</f>
        <v>Wind power plants</v>
      </c>
      <c r="G587" s="76" t="str">
        <f>B585</f>
        <v>Onshore</v>
      </c>
      <c r="H587" s="76" t="str">
        <f>C585</f>
        <v>Electricity only</v>
      </c>
      <c r="I587" s="76" t="str">
        <f t="shared" si="360"/>
        <v>S</v>
      </c>
      <c r="J587" s="119">
        <f>IF(tech_base!$T243&gt;J$345,"",J867+J1147+J1427)</f>
        <v>43.082819648119624</v>
      </c>
      <c r="K587" s="119">
        <f>IF(tech_base!$T243&gt;K$345,"",K867+K1147+K1427)</f>
        <v>42.409645465925067</v>
      </c>
      <c r="L587" s="119">
        <f>IF(tech_base!$T243&gt;L$345,"",L867+L1147+L1427)</f>
        <v>41.989747986064415</v>
      </c>
      <c r="M587" s="119">
        <f>IF(tech_base!$T243&gt;M$345,"",M867+M1147+M1427)</f>
        <v>41.574007906994474</v>
      </c>
      <c r="N587" s="119">
        <f>IF(tech_base!$T243&gt;N$345,"",N867+N1147+N1427)</f>
        <v>41.162384066331164</v>
      </c>
      <c r="O587" s="119">
        <f>IF(tech_base!$T243&gt;O$345,"",O867+O1147+O1427)</f>
        <v>40.754835709238776</v>
      </c>
      <c r="P587" s="119">
        <f>IF(tech_base!$T243&gt;P$345,"",P867+P1147+P1427)</f>
        <v>40.097093317203743</v>
      </c>
      <c r="Q587" s="119">
        <f>IF(tech_base!$T243&gt;Q$345,"",Q867+Q1147+Q1427)</f>
        <v>39.472238044770471</v>
      </c>
      <c r="R587" s="119">
        <f>IF(tech_base!$T243&gt;R$345,"",R867+R1147+R1427)</f>
        <v>38.88903979049941</v>
      </c>
      <c r="S587" s="119">
        <f>IF(tech_base!$T243&gt;S$345,"",S867+S1147+S1427)</f>
        <v>38.39438483318375</v>
      </c>
      <c r="T587" s="119">
        <f>IF(tech_base!$T243&gt;T$345,"",T867+T1147+T1427)</f>
        <v>38.014242409092816</v>
      </c>
      <c r="U587" s="119">
        <f>IF(tech_base!$T243&gt;U$345,"",U867+U1147+U1427)</f>
        <v>37.733920192326529</v>
      </c>
      <c r="V587" s="119">
        <f>IF(tech_base!$T243&gt;V$345,"",V867+V1147+V1427)</f>
        <v>37.443590293378222</v>
      </c>
      <c r="W587" s="119">
        <f>IF(tech_base!$T243&gt;W$345,"",W867+W1147+W1427)</f>
        <v>37.143540741017553</v>
      </c>
      <c r="X587" s="119">
        <f>IF(tech_base!$T243&gt;X$345,"",X867+X1147+X1427)</f>
        <v>36.834144851413591</v>
      </c>
      <c r="Y587" s="119">
        <f>IF(tech_base!$T243&gt;Y$345,"",Y867+Y1147+Y1427)</f>
        <v>36.515865263527445</v>
      </c>
      <c r="Z587" s="119">
        <f>IF(tech_base!$T243&gt;Z$345,"",Z867+Z1147+Z1427)</f>
        <v>36.189256962465279</v>
      </c>
      <c r="AA587" s="119">
        <f>IF(tech_base!$T243&gt;AA$345,"",AA867+AA1147+AA1427)</f>
        <v>35.854969082195474</v>
      </c>
      <c r="AB587" s="119">
        <f>IF(tech_base!$T243&gt;AB$345,"",AB867+AB1147+AB1427)</f>
        <v>35.513745283797192</v>
      </c>
      <c r="AC587" s="119">
        <f>IF(tech_base!$T243&gt;AC$345,"",AC867+AC1147+AC1427)</f>
        <v>35.166422519054017</v>
      </c>
      <c r="AD587" s="119">
        <f>IF(tech_base!$T243&gt;AD$345,"",AD867+AD1147+AD1427)</f>
        <v>34.813928012795813</v>
      </c>
      <c r="AE587" s="119">
        <f>IF(tech_base!$T243&gt;AE$345,"",AE867+AE1147+AE1427)</f>
        <v>34.457274331616077</v>
      </c>
      <c r="AF587" s="119">
        <f>IF(tech_base!$T243&gt;AF$345,"",AF867+AF1147+AF1427)</f>
        <v>34.097552451630889</v>
      </c>
      <c r="AG587" s="119">
        <f>IF(tech_base!$T243&gt;AG$345,"",AG867+AG1147+AG1427)</f>
        <v>33.735922793347598</v>
      </c>
      <c r="AH587" s="119">
        <f>IF(tech_base!$T243&gt;AH$345,"",AH867+AH1147+AH1427)</f>
        <v>33.373604256287955</v>
      </c>
      <c r="AI587" s="119">
        <f>IF(tech_base!$T243&gt;AI$345,"",AI867+AI1147+AI1427)</f>
        <v>33.01186135778083</v>
      </c>
      <c r="AJ587" s="119">
        <f>IF(tech_base!$T243&gt;AJ$345,"",AJ867+AJ1147+AJ1427)</f>
        <v>32.651989656525657</v>
      </c>
      <c r="AK587" s="119">
        <f>IF(tech_base!$T243&gt;AK$345,"",AK867+AK1147+AK1427)</f>
        <v>32.295299718629806</v>
      </c>
      <c r="AL587" s="119">
        <f>IF(tech_base!$T243&gt;AL$345,"",AL867+AL1147+AL1427)</f>
        <v>31.943099957759397</v>
      </c>
      <c r="AM587" s="119">
        <f>IF(tech_base!$T243&gt;AM$345,"",AM867+AM1147+AM1427)</f>
        <v>31.596678747389436</v>
      </c>
      <c r="AN587" s="119">
        <f>IF(tech_base!$T243&gt;AN$345,"",AN867+AN1147+AN1427)</f>
        <v>31.257286257415934</v>
      </c>
      <c r="AO587" s="119">
        <f>IF(tech_base!$T243&gt;AO$345,"",AO867+AO1147+AO1427)</f>
        <v>30.926116505418761</v>
      </c>
      <c r="AP587" s="119">
        <f>IF(tech_base!$T243&gt;AP$345,"",AP867+AP1147+AP1427)</f>
        <v>30.604290131125424</v>
      </c>
      <c r="AQ587" s="119">
        <f>IF(tech_base!$T243&gt;AQ$345,"",AQ867+AQ1147+AQ1427)</f>
        <v>30.292838398624703</v>
      </c>
      <c r="AR587" s="119">
        <f>IF(tech_base!$T243&gt;AR$345,"",AR867+AR1147+AR1427)</f>
        <v>29.992688903435205</v>
      </c>
      <c r="AS587" s="119">
        <f>IF(tech_base!$T243&gt;AS$345,"",AS867+AS1147+AS1427)</f>
        <v>29.7046534109835</v>
      </c>
      <c r="AT587" s="119">
        <f>IF(tech_base!$T243&gt;AT$345,"",AT867+AT1147+AT1427)</f>
        <v>29.429418181321271</v>
      </c>
      <c r="AU587" s="119">
        <f>IF(tech_base!$T243&gt;AU$345,"",AU867+AU1147+AU1427)</f>
        <v>29.167537045467157</v>
      </c>
      <c r="AV587" s="119">
        <f>IF(tech_base!$T243&gt;AV$345,"",AV867+AV1147+AV1427)</f>
        <v>28.919427396364949</v>
      </c>
      <c r="AW587" s="119">
        <f>IF(tech_base!$T243&gt;AW$345,"",AW867+AW1147+AW1427)</f>
        <v>28.685369147835633</v>
      </c>
      <c r="AX587" s="120">
        <f>IF(tech_base!$T243&gt;AX$345,"",AX867+AX1147+AX1427)</f>
        <v>28.465506604314811</v>
      </c>
    </row>
    <row r="588" spans="1:50" x14ac:dyDescent="0.25">
      <c r="A588" s="356"/>
      <c r="B588" s="377"/>
      <c r="C588" s="379"/>
      <c r="D588" s="59" t="s">
        <v>20</v>
      </c>
      <c r="E588" s="79" t="str">
        <f>A585&amp;"/"&amp;B585&amp;"/"&amp;C585&amp;"/"&amp;D588</f>
        <v>Wind power plants/Onshore/Electricity only/XS</v>
      </c>
      <c r="F588" s="79" t="str">
        <f>A585</f>
        <v>Wind power plants</v>
      </c>
      <c r="G588" s="79" t="str">
        <f>B585</f>
        <v>Onshore</v>
      </c>
      <c r="H588" s="79" t="str">
        <f>C585</f>
        <v>Electricity only</v>
      </c>
      <c r="I588" s="79" t="str">
        <f t="shared" si="360"/>
        <v>XS</v>
      </c>
      <c r="J588" s="125">
        <f>IF(tech_base!$T244&gt;J$345,"",J868+J1148+J1428)</f>
        <v>51.610007018234953</v>
      </c>
      <c r="K588" s="125">
        <f>IF(tech_base!$T244&gt;K$345,"",K868+K1148+K1428)</f>
        <v>51.132754640140519</v>
      </c>
      <c r="L588" s="125">
        <f>IF(tech_base!$T244&gt;L$345,"",L868+L1148+L1428)</f>
        <v>50.726939127123529</v>
      </c>
      <c r="M588" s="125">
        <f>IF(tech_base!$T244&gt;M$345,"",M868+M1148+M1428)</f>
        <v>50.324344372146349</v>
      </c>
      <c r="N588" s="125">
        <f>IF(tech_base!$T244&gt;N$345,"",N868+N1148+N1428)</f>
        <v>49.924944813637254</v>
      </c>
      <c r="O588" s="125">
        <f>IF(tech_base!$T244&gt;O$345,"",O868+O1148+O1428)</f>
        <v>49.528715092894096</v>
      </c>
      <c r="P588" s="125">
        <f>IF(tech_base!$T244&gt;P$345,"",P868+P1148+P1428)</f>
        <v>49.145396665746588</v>
      </c>
      <c r="Q588" s="125">
        <f>IF(tech_base!$T244&gt;Q$345,"",Q868+Q1148+Q1428)</f>
        <v>48.658808579947099</v>
      </c>
      <c r="R588" s="125">
        <f>IF(tech_base!$T244&gt;R$345,"",R868+R1148+R1428)</f>
        <v>48.177038197967434</v>
      </c>
      <c r="S588" s="125">
        <f>IF(tech_base!$T244&gt;S$345,"",S868+S1148+S1428)</f>
        <v>47.700037819769733</v>
      </c>
      <c r="T588" s="125">
        <f>IF(tech_base!$T244&gt;T$345,"",T868+T1148+T1428)</f>
        <v>47.227760217593804</v>
      </c>
      <c r="U588" s="125">
        <f>IF(tech_base!$T244&gt;U$345,"",U868+U1148+U1428)</f>
        <v>46.986810266067252</v>
      </c>
      <c r="V588" s="125">
        <f>IF(tech_base!$T244&gt;V$345,"",V868+V1148+V1428)</f>
        <v>46.73725824737506</v>
      </c>
      <c r="W588" s="125">
        <f>IF(tech_base!$T244&gt;W$345,"",W868+W1148+W1428)</f>
        <v>46.47935173560851</v>
      </c>
      <c r="X588" s="125">
        <f>IF(tech_base!$T244&gt;X$345,"",X868+X1148+X1428)</f>
        <v>46.213411613335808</v>
      </c>
      <c r="Y588" s="125">
        <f>IF(tech_base!$T244&gt;Y$345,"",Y868+Y1148+Y1428)</f>
        <v>45.939835540209245</v>
      </c>
      <c r="Z588" s="125">
        <f>IF(tech_base!$T244&gt;Z$345,"",Z868+Z1148+Z1428)</f>
        <v>45.65910055167744</v>
      </c>
      <c r="AA588" s="125">
        <f>IF(tech_base!$T244&gt;AA$345,"",AA868+AA1148+AA1428)</f>
        <v>45.371764608504336</v>
      </c>
      <c r="AB588" s="125">
        <f>IF(tech_base!$T244&gt;AB$345,"",AB868+AB1148+AB1428)</f>
        <v>45.078466921891405</v>
      </c>
      <c r="AC588" s="125">
        <f>IF(tech_base!$T244&gt;AC$345,"",AC868+AC1148+AC1428)</f>
        <v>44.779926890728959</v>
      </c>
      <c r="AD588" s="125">
        <f>IF(tech_base!$T244&gt;AD$345,"",AD868+AD1148+AD1428)</f>
        <v>44.476941507779102</v>
      </c>
      <c r="AE588" s="125">
        <f>IF(tech_base!$T244&gt;AE$345,"",AE868+AE1148+AE1428)</f>
        <v>44.170381121009385</v>
      </c>
      <c r="AF588" s="125">
        <f>IF(tech_base!$T244&gt;AF$345,"",AF868+AF1148+AF1428)</f>
        <v>43.861183475010016</v>
      </c>
      <c r="AG588" s="125">
        <f>IF(tech_base!$T244&gt;AG$345,"",AG868+AG1148+AG1428)</f>
        <v>43.550346005047494</v>
      </c>
      <c r="AH588" s="125">
        <f>IF(tech_base!$T244&gt;AH$345,"",AH868+AH1148+AH1428)</f>
        <v>43.238916411814536</v>
      </c>
      <c r="AI588" s="125">
        <f>IF(tech_base!$T244&gt;AI$345,"",AI868+AI1148+AI1428)</f>
        <v>42.927981606625593</v>
      </c>
      <c r="AJ588" s="125">
        <f>IF(tech_base!$T244&gt;AJ$345,"",AJ868+AJ1148+AJ1428)</f>
        <v>42.618655182293345</v>
      </c>
      <c r="AK588" s="125">
        <f>IF(tech_base!$T244&gt;AK$345,"",AK868+AK1148+AK1428)</f>
        <v>42.312063631193915</v>
      </c>
      <c r="AL588" s="125">
        <f>IF(tech_base!$T244&gt;AL$345,"",AL868+AL1148+AL1428)</f>
        <v>42.009331595580292</v>
      </c>
      <c r="AM588" s="125">
        <f>IF(tech_base!$T244&gt;AM$345,"",AM868+AM1148+AM1428)</f>
        <v>41.711566492231391</v>
      </c>
      <c r="AN588" s="125">
        <f>IF(tech_base!$T244&gt;AN$345,"",AN868+AN1148+AN1428)</f>
        <v>41.41984290017745</v>
      </c>
      <c r="AO588" s="125">
        <f>IF(tech_base!$T244&gt;AO$345,"",AO868+AO1148+AO1428)</f>
        <v>41.135187132927641</v>
      </c>
      <c r="AP588" s="125">
        <f>IF(tech_base!$T244&gt;AP$345,"",AP868+AP1148+AP1428)</f>
        <v>40.858562432322515</v>
      </c>
      <c r="AQ588" s="125">
        <f>IF(tech_base!$T244&gt;AQ$345,"",AQ868+AQ1148+AQ1428)</f>
        <v>40.590855217694326</v>
      </c>
      <c r="AR588" s="125">
        <f>IF(tech_base!$T244&gt;AR$345,"",AR868+AR1148+AR1428)</f>
        <v>40.332862800429304</v>
      </c>
      <c r="AS588" s="125">
        <f>IF(tech_base!$T244&gt;AS$345,"",AS868+AS1148+AS1428)</f>
        <v>40.085282930575381</v>
      </c>
      <c r="AT588" s="125">
        <f>IF(tech_base!$T244&gt;AT$345,"",AT868+AT1148+AT1428)</f>
        <v>39.848705480487652</v>
      </c>
      <c r="AU588" s="125">
        <f>IF(tech_base!$T244&gt;AU$345,"",AU868+AU1148+AU1428)</f>
        <v>39.623606493622937</v>
      </c>
      <c r="AV588" s="125">
        <f>IF(tech_base!$T244&gt;AV$345,"",AV868+AV1148+AV1428)</f>
        <v>39.410344738582367</v>
      </c>
      <c r="AW588" s="125">
        <f>IF(tech_base!$T244&gt;AW$345,"",AW868+AW1148+AW1428)</f>
        <v>39.209160814282342</v>
      </c>
      <c r="AX588" s="126">
        <f>IF(tech_base!$T244&gt;AX$345,"",AX868+AX1148+AX1428)</f>
        <v>39.020178757080615</v>
      </c>
    </row>
    <row r="589" spans="1:50" x14ac:dyDescent="0.25">
      <c r="A589" s="356"/>
      <c r="B589" s="359" t="s">
        <v>36</v>
      </c>
      <c r="C589" s="361" t="s">
        <v>6</v>
      </c>
      <c r="D589" s="2" t="s">
        <v>7</v>
      </c>
      <c r="E589" s="76" t="str">
        <f>A585&amp;"/"&amp;B589&amp;"/"&amp;C589&amp;"/"&amp;D589</f>
        <v>Wind power plants/Offshore/Electricity only/L</v>
      </c>
      <c r="F589" s="76" t="str">
        <f>A585</f>
        <v>Wind power plants</v>
      </c>
      <c r="G589" s="76" t="str">
        <f>B589</f>
        <v>Offshore</v>
      </c>
      <c r="H589" s="76" t="str">
        <f>C589</f>
        <v>Electricity only</v>
      </c>
      <c r="I589" s="76" t="str">
        <f t="shared" si="360"/>
        <v>L</v>
      </c>
      <c r="J589" s="119">
        <f>IF(tech_base!$T245&gt;J$345,"",J869+J1149+J1429)</f>
        <v>96.785019915118056</v>
      </c>
      <c r="K589" s="119">
        <f>IF(tech_base!$T245&gt;K$345,"",K869+K1149+K1429)</f>
        <v>95.093738916297653</v>
      </c>
      <c r="L589" s="119">
        <f>IF(tech_base!$T245&gt;L$345,"",L869+L1149+L1429)</f>
        <v>94.15221674880955</v>
      </c>
      <c r="M589" s="119">
        <f>IF(tech_base!$T245&gt;M$345,"",M869+M1149+M1429)</f>
        <v>93.220016582979781</v>
      </c>
      <c r="N589" s="119">
        <f>IF(tech_base!$T245&gt;N$345,"",N869+N1149+N1429)</f>
        <v>92.297046121762151</v>
      </c>
      <c r="O589" s="119">
        <f>IF(tech_base!$T245&gt;O$345,"",O869+O1149+O1429)</f>
        <v>91.383213981942717</v>
      </c>
      <c r="P589" s="119">
        <f>IF(tech_base!$T245&gt;P$345,"",P869+P1149+P1429)</f>
        <v>89.785613227700665</v>
      </c>
      <c r="Q589" s="119">
        <f>IF(tech_base!$T245&gt;Q$345,"",Q869+Q1149+Q1429)</f>
        <v>88.896646760099657</v>
      </c>
      <c r="R589" s="119">
        <f>IF(tech_base!$T245&gt;R$345,"",R869+R1149+R1429)</f>
        <v>88.016481940692742</v>
      </c>
      <c r="S589" s="119">
        <f>IF(tech_base!$T245&gt;S$345,"",S869+S1149+S1429)</f>
        <v>87.145031624448265</v>
      </c>
      <c r="T589" s="119">
        <f>IF(tech_base!$T245&gt;T$345,"",T869+T1149+T1429)</f>
        <v>86.282209529156702</v>
      </c>
      <c r="U589" s="119">
        <f>IF(tech_base!$T245&gt;U$345,"",U869+U1149+U1429)</f>
        <v>84.783848779067895</v>
      </c>
      <c r="V589" s="119">
        <f>IF(tech_base!$T245&gt;V$345,"",V869+V1149+V1429)</f>
        <v>83.220425373719607</v>
      </c>
      <c r="W589" s="119">
        <f>IF(tech_base!$T245&gt;W$345,"",W869+W1149+W1429)</f>
        <v>81.602376460803868</v>
      </c>
      <c r="X589" s="119">
        <f>IF(tech_base!$T245&gt;X$345,"",X869+X1149+X1429)</f>
        <v>79.942028669281711</v>
      </c>
      <c r="Y589" s="119">
        <f>IF(tech_base!$T245&gt;Y$345,"",Y869+Y1149+Y1429)</f>
        <v>78.253306401770516</v>
      </c>
      <c r="Z589" s="119">
        <f>IF(tech_base!$T245&gt;Z$345,"",Z869+Z1149+Z1429)</f>
        <v>76.551326710698419</v>
      </c>
      <c r="AA589" s="119">
        <f>IF(tech_base!$T245&gt;AA$345,"",AA869+AA1149+AA1429)</f>
        <v>74.851901080211491</v>
      </c>
      <c r="AB589" s="119">
        <f>IF(tech_base!$T245&gt;AB$345,"",AB869+AB1149+AB1429)</f>
        <v>73.170975785437733</v>
      </c>
      <c r="AC589" s="119">
        <f>IF(tech_base!$T245&gt;AC$345,"",AC869+AC1149+AC1429)</f>
        <v>71.524050790263914</v>
      </c>
      <c r="AD589" s="119">
        <f>IF(tech_base!$T245&gt;AD$345,"",AD869+AD1149+AD1429)</f>
        <v>69.925620793551005</v>
      </c>
      <c r="AE589" s="119">
        <f>IF(tech_base!$T245&gt;AE$345,"",AE869+AE1149+AE1429)</f>
        <v>68.388680238711331</v>
      </c>
      <c r="AF589" s="119">
        <f>IF(tech_base!$T245&gt;AF$345,"",AF869+AF1149+AF1429)</f>
        <v>66.92432706596982</v>
      </c>
      <c r="AG589" s="119">
        <f>IF(tech_base!$T245&gt;AG$345,"",AG869+AG1149+AG1429)</f>
        <v>65.541488892850992</v>
      </c>
      <c r="AH589" s="119">
        <f>IF(tech_base!$T245&gt;AH$345,"",AH869+AH1149+AH1429)</f>
        <v>64.246782038198631</v>
      </c>
      <c r="AI589" s="119">
        <f>IF(tech_base!$T245&gt;AI$345,"",AI869+AI1149+AI1429)</f>
        <v>63.044500494631578</v>
      </c>
      <c r="AJ589" s="119">
        <f>IF(tech_base!$T245&gt;AJ$345,"",AJ869+AJ1149+AJ1429)</f>
        <v>61.936720523354978</v>
      </c>
      <c r="AK589" s="119">
        <f>IF(tech_base!$T245&gt;AK$345,"",AK869+AK1149+AK1429)</f>
        <v>60.923498333324972</v>
      </c>
      <c r="AL589" s="119">
        <f>IF(tech_base!$T245&gt;AL$345,"",AL869+AL1149+AL1429)</f>
        <v>60.003133901229319</v>
      </c>
      <c r="AM589" s="119">
        <f>IF(tech_base!$T245&gt;AM$345,"",AM869+AM1149+AM1429)</f>
        <v>59.172473254280654</v>
      </c>
      <c r="AN589" s="119">
        <f>IF(tech_base!$T245&gt;AN$345,"",AN869+AN1149+AN1429)</f>
        <v>58.427223797759233</v>
      </c>
      <c r="AO589" s="119">
        <f>IF(tech_base!$T245&gt;AO$345,"",AO869+AO1149+AO1429)</f>
        <v>57.762261557299972</v>
      </c>
      <c r="AP589" s="119">
        <f>IF(tech_base!$T245&gt;AP$345,"",AP869+AP1149+AP1429)</f>
        <v>57.171914509662052</v>
      </c>
      <c r="AQ589" s="119">
        <f>IF(tech_base!$T245&gt;AQ$345,"",AQ869+AQ1149+AQ1429)</f>
        <v>56.650211618578126</v>
      </c>
      <c r="AR589" s="119">
        <f>IF(tech_base!$T245&gt;AR$345,"",AR869+AR1149+AR1429)</f>
        <v>56.191092133480936</v>
      </c>
      <c r="AS589" s="119">
        <f>IF(tech_base!$T245&gt;AS$345,"",AS869+AS1149+AS1429)</f>
        <v>55.788573767732423</v>
      </c>
      <c r="AT589" s="119">
        <f>IF(tech_base!$T245&gt;AT$345,"",AT869+AT1149+AT1429)</f>
        <v>55.436881399208517</v>
      </c>
      <c r="AU589" s="119">
        <f>IF(tech_base!$T245&gt;AU$345,"",AU869+AU1149+AU1429)</f>
        <v>55.130539952230137</v>
      </c>
      <c r="AV589" s="119">
        <f>IF(tech_base!$T245&gt;AV$345,"",AV869+AV1149+AV1429)</f>
        <v>54.864436256823126</v>
      </c>
      <c r="AW589" s="119">
        <f>IF(tech_base!$T245&gt;AW$345,"",AW869+AW1149+AW1429)</f>
        <v>54.633855121844931</v>
      </c>
      <c r="AX589" s="120">
        <f>IF(tech_base!$T245&gt;AX$345,"",AX869+AX1149+AX1429)</f>
        <v>54.434494794777279</v>
      </c>
    </row>
    <row r="590" spans="1:50" x14ac:dyDescent="0.25">
      <c r="A590" s="356"/>
      <c r="B590" s="376"/>
      <c r="C590" s="378"/>
      <c r="D590" s="2" t="s">
        <v>8</v>
      </c>
      <c r="E590" s="76" t="str">
        <f>A585&amp;"/"&amp;B589&amp;"/"&amp;C589&amp;"/"&amp;D590</f>
        <v>Wind power plants/Offshore/Electricity only/M</v>
      </c>
      <c r="F590" s="76" t="str">
        <f>A585</f>
        <v>Wind power plants</v>
      </c>
      <c r="G590" s="76" t="str">
        <f>B589</f>
        <v>Offshore</v>
      </c>
      <c r="H590" s="76" t="str">
        <f>C589</f>
        <v>Electricity only</v>
      </c>
      <c r="I590" s="76" t="str">
        <f t="shared" si="360"/>
        <v>M</v>
      </c>
      <c r="J590" s="119">
        <f>IF(tech_base!$T246&gt;J$345,"",J870+J1150+J1430)</f>
        <v>106.32791308431317</v>
      </c>
      <c r="K590" s="119">
        <f>IF(tech_base!$T246&gt;K$345,"",K870+K1150+K1430)</f>
        <v>105.23090983191889</v>
      </c>
      <c r="L590" s="119">
        <f>IF(tech_base!$T246&gt;L$345,"",L870+L1150+L1430)</f>
        <v>104.18901963556326</v>
      </c>
      <c r="M590" s="119">
        <f>IF(tech_base!$T246&gt;M$345,"",M870+M1150+M1430)</f>
        <v>103.157445183726</v>
      </c>
      <c r="N590" s="119">
        <f>IF(tech_base!$T246&gt;N$345,"",N870+N1150+N1430)</f>
        <v>102.13608434032278</v>
      </c>
      <c r="O590" s="119">
        <f>IF(tech_base!$T246&gt;O$345,"",O870+O1150+O1430)</f>
        <v>101.12483598051759</v>
      </c>
      <c r="P590" s="119">
        <f>IF(tech_base!$T246&gt;P$345,"",P870+P1150+P1430)</f>
        <v>99.433165475606884</v>
      </c>
      <c r="Q590" s="119">
        <f>IF(tech_base!$T246&gt;Q$345,"",Q870+Q1150+Q1430)</f>
        <v>98.448678688719681</v>
      </c>
      <c r="R590" s="119">
        <f>IF(tech_base!$T246&gt;R$345,"",R870+R1150+R1430)</f>
        <v>97.473939295762051</v>
      </c>
      <c r="S590" s="119">
        <f>IF(tech_base!$T246&gt;S$345,"",S870+S1150+S1430)</f>
        <v>96.508850787883233</v>
      </c>
      <c r="T590" s="119">
        <f>IF(tech_base!$T246&gt;T$345,"",T870+T1150+T1430)</f>
        <v>95.553317611765578</v>
      </c>
      <c r="U590" s="119">
        <f>IF(tech_base!$T246&gt;U$345,"",U870+U1150+U1430)</f>
        <v>94.017052265528491</v>
      </c>
      <c r="V590" s="119">
        <f>IF(tech_base!$T246&gt;V$345,"",V870+V1150+V1430)</f>
        <v>92.414078349540475</v>
      </c>
      <c r="W590" s="119">
        <f>IF(tech_base!$T246&gt;W$345,"",W870+W1150+W1430)</f>
        <v>90.755097043949206</v>
      </c>
      <c r="X590" s="119">
        <f>IF(tech_base!$T246&gt;X$345,"",X870+X1150+X1430)</f>
        <v>89.052746809090479</v>
      </c>
      <c r="Y590" s="119">
        <f>IF(tech_base!$T246&gt;Y$345,"",Y870+Y1150+Y1430)</f>
        <v>87.321304298438335</v>
      </c>
      <c r="Z590" s="119">
        <f>IF(tech_base!$T246&gt;Z$345,"",Z870+Z1150+Z1430)</f>
        <v>85.576268986189007</v>
      </c>
      <c r="AA590" s="119">
        <f>IF(tech_base!$T246&gt;AA$345,"",AA870+AA1150+AA1430)</f>
        <v>83.833852345557233</v>
      </c>
      <c r="AB590" s="119">
        <f>IF(tech_base!$T246&gt;AB$345,"",AB870+AB1150+AB1430)</f>
        <v>82.110404050598092</v>
      </c>
      <c r="AC590" s="119">
        <f>IF(tech_base!$T246&gt;AC$345,"",AC870+AC1150+AC1430)</f>
        <v>80.421816173621664</v>
      </c>
      <c r="AD590" s="119">
        <f>IF(tech_base!$T246&gt;AD$345,"",AD870+AD1150+AD1430)</f>
        <v>78.782950091344503</v>
      </c>
      <c r="AE590" s="119">
        <f>IF(tech_base!$T246&gt;AE$345,"",AE870+AE1150+AE1430)</f>
        <v>77.207128972507348</v>
      </c>
      <c r="AF590" s="119">
        <f>IF(tech_base!$T246&gt;AF$345,"",AF870+AF1150+AF1430)</f>
        <v>75.705731506108307</v>
      </c>
      <c r="AG590" s="119">
        <f>IF(tech_base!$T246&gt;AG$345,"",AG870+AG1150+AG1430)</f>
        <v>74.28791115497431</v>
      </c>
      <c r="AH590" s="119">
        <f>IF(tech_base!$T246&gt;AH$345,"",AH870+AH1150+AH1430)</f>
        <v>72.960451613458602</v>
      </c>
      <c r="AI590" s="119">
        <f>IF(tech_base!$T246&gt;AI$345,"",AI870+AI1150+AI1430)</f>
        <v>71.727755500928282</v>
      </c>
      <c r="AJ590" s="119">
        <f>IF(tech_base!$T246&gt;AJ$345,"",AJ870+AJ1150+AJ1430)</f>
        <v>70.591951602550054</v>
      </c>
      <c r="AK590" s="119">
        <f>IF(tech_base!$T246&gt;AK$345,"",AK870+AK1150+AK1430)</f>
        <v>69.553097549219245</v>
      </c>
      <c r="AL590" s="119">
        <f>IF(tech_base!$T246&gt;AL$345,"",AL870+AL1150+AL1430)</f>
        <v>68.609450311493674</v>
      </c>
      <c r="AM590" s="119">
        <f>IF(tech_base!$T246&gt;AM$345,"",AM870+AM1150+AM1430)</f>
        <v>67.757776129348613</v>
      </c>
      <c r="AN590" s="119">
        <f>IF(tech_base!$T246&gt;AN$345,"",AN870+AN1150+AN1430)</f>
        <v>66.993673816679234</v>
      </c>
      <c r="AO590" s="119">
        <f>IF(tech_base!$T246&gt;AO$345,"",AO870+AO1150+AO1430)</f>
        <v>66.311889776011341</v>
      </c>
      <c r="AP590" s="119">
        <f>IF(tech_base!$T246&gt;AP$345,"",AP870+AP1150+AP1430)</f>
        <v>65.706608496796193</v>
      </c>
      <c r="AQ590" s="119">
        <f>IF(tech_base!$T246&gt;AQ$345,"",AQ870+AQ1150+AQ1430)</f>
        <v>65.17170789121343</v>
      </c>
      <c r="AR590" s="119">
        <f>IF(tech_base!$T246&gt;AR$345,"",AR870+AR1150+AR1430)</f>
        <v>64.700973887606338</v>
      </c>
      <c r="AS590" s="119">
        <f>IF(tech_base!$T246&gt;AS$345,"",AS870+AS1150+AS1430)</f>
        <v>64.28827286317896</v>
      </c>
      <c r="AT590" s="119">
        <f>IF(tech_base!$T246&gt;AT$345,"",AT870+AT1150+AT1430)</f>
        <v>63.927683600368049</v>
      </c>
      <c r="AU590" s="119">
        <f>IF(tech_base!$T246&gt;AU$345,"",AU870+AU1150+AU1430)</f>
        <v>63.613592518443262</v>
      </c>
      <c r="AV590" s="119">
        <f>IF(tech_base!$T246&gt;AV$345,"",AV870+AV1150+AV1430)</f>
        <v>63.340757097644108</v>
      </c>
      <c r="AW590" s="119">
        <f>IF(tech_base!$T246&gt;AW$345,"",AW870+AW1150+AW1430)</f>
        <v>63.104342864862041</v>
      </c>
      <c r="AX590" s="120">
        <f>IF(tech_base!$T246&gt;AX$345,"",AX870+AX1150+AX1430)</f>
        <v>62.899939244525363</v>
      </c>
    </row>
    <row r="591" spans="1:50" x14ac:dyDescent="0.25">
      <c r="A591" s="356"/>
      <c r="B591" s="376"/>
      <c r="C591" s="378"/>
      <c r="D591" s="2" t="s">
        <v>10</v>
      </c>
      <c r="E591" s="76" t="str">
        <f>A585&amp;"/"&amp;B589&amp;"/"&amp;C589&amp;"/"&amp;D591</f>
        <v>Wind power plants/Offshore/Electricity only/S</v>
      </c>
      <c r="F591" s="76" t="str">
        <f>A585</f>
        <v>Wind power plants</v>
      </c>
      <c r="G591" s="76" t="str">
        <f>B589</f>
        <v>Offshore</v>
      </c>
      <c r="H591" s="76" t="str">
        <f>C589</f>
        <v>Electricity only</v>
      </c>
      <c r="I591" s="76" t="str">
        <f t="shared" si="360"/>
        <v>S</v>
      </c>
      <c r="J591" s="119">
        <f>IF(tech_base!$T247&gt;J$345,"",J871+J1151+J1431)</f>
        <v>122.07525059866626</v>
      </c>
      <c r="K591" s="119">
        <f>IF(tech_base!$T247&gt;K$345,"",K871+K1151+K1431)</f>
        <v>121.56076605337228</v>
      </c>
      <c r="L591" s="119">
        <f>IF(tech_base!$T247&gt;L$345,"",L871+L1151+L1431)</f>
        <v>120.35719411224976</v>
      </c>
      <c r="M591" s="119">
        <f>IF(tech_base!$T247&gt;M$345,"",M871+M1151+M1431)</f>
        <v>119.16553872499978</v>
      </c>
      <c r="N591" s="119">
        <f>IF(tech_base!$T247&gt;N$345,"",N871+N1151+N1431)</f>
        <v>117.98568190594038</v>
      </c>
      <c r="O591" s="119">
        <f>IF(tech_base!$T247&gt;O$345,"",O871+O1151+O1431)</f>
        <v>116.81750683756474</v>
      </c>
      <c r="P591" s="119">
        <f>IF(tech_base!$T247&gt;P$345,"",P871+P1151+P1431)</f>
        <v>114.76176222351673</v>
      </c>
      <c r="Q591" s="119">
        <f>IF(tech_base!$T247&gt;Q$345,"",Q871+Q1151+Q1431)</f>
        <v>113.62550715199673</v>
      </c>
      <c r="R591" s="119">
        <f>IF(tech_base!$T247&gt;R$345,"",R871+R1151+R1431)</f>
        <v>112.50050213068985</v>
      </c>
      <c r="S591" s="119">
        <f>IF(tech_base!$T247&gt;S$345,"",S871+S1151+S1431)</f>
        <v>111.38663577296025</v>
      </c>
      <c r="T591" s="119">
        <f>IF(tech_base!$T247&gt;T$345,"",T871+T1151+T1431)</f>
        <v>110.28379779501016</v>
      </c>
      <c r="U591" s="119">
        <f>IF(tech_base!$T247&gt;U$345,"",U871+U1151+U1431)</f>
        <v>108.60415244987539</v>
      </c>
      <c r="V591" s="119">
        <f>IF(tech_base!$T247&gt;V$345,"",V871+V1151+V1431)</f>
        <v>106.85157260879743</v>
      </c>
      <c r="W591" s="119">
        <f>IF(tech_base!$T247&gt;W$345,"",W871+W1151+W1431)</f>
        <v>105.03775819553395</v>
      </c>
      <c r="X591" s="119">
        <f>IF(tech_base!$T247&gt;X$345,"",X871+X1151+X1431)</f>
        <v>103.1765272208373</v>
      </c>
      <c r="Y591" s="119">
        <f>IF(tech_base!$T247&gt;Y$345,"",Y871+Y1151+Y1431)</f>
        <v>101.28348878154118</v>
      </c>
      <c r="Z591" s="119">
        <f>IF(tech_base!$T247&gt;Z$345,"",Z871+Z1151+Z1431)</f>
        <v>99.375588921341446</v>
      </c>
      <c r="AA591" s="119">
        <f>IF(tech_base!$T247&gt;AA$345,"",AA871+AA1151+AA1431)</f>
        <v>97.470552133985024</v>
      </c>
      <c r="AB591" s="119">
        <f>IF(tech_base!$T247&gt;AB$345,"",AB871+AB1151+AB1431)</f>
        <v>95.586254012375278</v>
      </c>
      <c r="AC591" s="119">
        <f>IF(tech_base!$T247&gt;AC$345,"",AC871+AC1151+AC1431)</f>
        <v>93.740069839594526</v>
      </c>
      <c r="AD591" s="119">
        <f>IF(tech_base!$T247&gt;AD$345,"",AD871+AD1151+AD1431)</f>
        <v>91.948248008073975</v>
      </c>
      <c r="AE591" s="119">
        <f>IF(tech_base!$T247&gt;AE$345,"",AE871+AE1151+AE1431)</f>
        <v>90.225355140964098</v>
      </c>
      <c r="AF591" s="119">
        <f>IF(tech_base!$T247&gt;AF$345,"",AF871+AF1151+AF1431)</f>
        <v>88.583831902930257</v>
      </c>
      <c r="AG591" s="119">
        <f>IF(tech_base!$T247&gt;AG$345,"",AG871+AG1151+AG1431)</f>
        <v>87.03368605159497</v>
      </c>
      <c r="AH591" s="119">
        <f>IF(tech_base!$T247&gt;AH$345,"",AH871+AH1151+AH1431)</f>
        <v>85.582334405069219</v>
      </c>
      <c r="AI591" s="119">
        <f>IF(tech_base!$T247&gt;AI$345,"",AI871+AI1151+AI1431)</f>
        <v>84.234590480200524</v>
      </c>
      <c r="AJ591" s="119">
        <f>IF(tech_base!$T247&gt;AJ$345,"",AJ871+AJ1151+AJ1431)</f>
        <v>82.99278174216596</v>
      </c>
      <c r="AK591" s="119">
        <f>IF(tech_base!$T247&gt;AK$345,"",AK871+AK1151+AK1431)</f>
        <v>81.856971200565539</v>
      </c>
      <c r="AL591" s="119">
        <f>IF(tech_base!$T247&gt;AL$345,"",AL871+AL1151+AL1431)</f>
        <v>80.825253148617449</v>
      </c>
      <c r="AM591" s="119">
        <f>IF(tech_base!$T247&gt;AM$345,"",AM871+AM1151+AM1431)</f>
        <v>79.894092018728486</v>
      </c>
      <c r="AN591" s="119">
        <f>IF(tech_base!$T247&gt;AN$345,"",AN871+AN1151+AN1431)</f>
        <v>79.058675861080019</v>
      </c>
      <c r="AO591" s="119">
        <f>IF(tech_base!$T247&gt;AO$345,"",AO871+AO1151+AO1431)</f>
        <v>78.313260758734629</v>
      </c>
      <c r="AP591" s="119">
        <f>IF(tech_base!$T247&gt;AP$345,"",AP871+AP1151+AP1431)</f>
        <v>77.651488438203444</v>
      </c>
      <c r="AQ591" s="119">
        <f>IF(tech_base!$T247&gt;AQ$345,"",AQ871+AQ1151+AQ1431)</f>
        <v>77.066665435798612</v>
      </c>
      <c r="AR591" s="119">
        <f>IF(tech_base!$T247&gt;AR$345,"",AR871+AR1151+AR1431)</f>
        <v>76.551997719123264</v>
      </c>
      <c r="AS591" s="119">
        <f>IF(tech_base!$T247&gt;AS$345,"",AS871+AS1151+AS1431)</f>
        <v>76.100779212951963</v>
      </c>
      <c r="AT591" s="119">
        <f>IF(tech_base!$T247&gt;AT$345,"",AT871+AT1151+AT1431)</f>
        <v>75.706536071121405</v>
      </c>
      <c r="AU591" s="119">
        <f>IF(tech_base!$T247&gt;AU$345,"",AU871+AU1151+AU1431)</f>
        <v>75.363130796117645</v>
      </c>
      <c r="AV591" s="119">
        <f>IF(tech_base!$T247&gt;AV$345,"",AV871+AV1151+AV1431)</f>
        <v>75.064831582602437</v>
      </c>
      <c r="AW591" s="119">
        <f>IF(tech_base!$T247&gt;AW$345,"",AW871+AW1151+AW1431)</f>
        <v>74.80635275497761</v>
      </c>
      <c r="AX591" s="120">
        <f>IF(tech_base!$T247&gt;AX$345,"",AX871+AX1151+AX1431)</f>
        <v>74.582872097636653</v>
      </c>
    </row>
    <row r="592" spans="1:50" x14ac:dyDescent="0.25">
      <c r="A592" s="357"/>
      <c r="B592" s="380"/>
      <c r="C592" s="381"/>
      <c r="D592" s="4" t="s">
        <v>20</v>
      </c>
      <c r="E592" s="80" t="str">
        <f>A585&amp;"/"&amp;B589&amp;"/"&amp;C589&amp;"/"&amp;D592</f>
        <v>Wind power plants/Offshore/Electricity only/XS</v>
      </c>
      <c r="F592" s="80" t="str">
        <f>A585</f>
        <v>Wind power plants</v>
      </c>
      <c r="G592" s="80" t="str">
        <f>B589</f>
        <v>Offshore</v>
      </c>
      <c r="H592" s="80" t="str">
        <f>C589</f>
        <v>Electricity only</v>
      </c>
      <c r="I592" s="80" t="str">
        <f t="shared" si="360"/>
        <v>XS</v>
      </c>
      <c r="J592" s="127">
        <f>IF(tech_base!$T248&gt;J$345,"",J872+J1152+J1432)</f>
        <v>146.19991111927254</v>
      </c>
      <c r="K592" s="127">
        <f>IF(tech_base!$T248&gt;K$345,"",K872+K1152+K1432)</f>
        <v>146.19991111927254</v>
      </c>
      <c r="L592" s="127">
        <f>IF(tech_base!$T248&gt;L$345,"",L872+L1152+L1432)</f>
        <v>144.96122303803693</v>
      </c>
      <c r="M592" s="127">
        <f>IF(tech_base!$T248&gt;M$345,"",M872+M1152+M1432)</f>
        <v>143.525963403997</v>
      </c>
      <c r="N592" s="127">
        <f>IF(tech_base!$T248&gt;N$345,"",N872+N1152+N1432)</f>
        <v>142.10491426138313</v>
      </c>
      <c r="O592" s="127">
        <f>IF(tech_base!$T248&gt;O$345,"",O872+O1152+O1432)</f>
        <v>140.69793491226056</v>
      </c>
      <c r="P592" s="127">
        <f>IF(tech_base!$T248&gt;P$345,"",P872+P1152+P1432)</f>
        <v>138.54802506925884</v>
      </c>
      <c r="Q592" s="127">
        <f>IF(tech_base!$T248&gt;Q$345,"",Q872+Q1152+Q1432)</f>
        <v>137.17626244481073</v>
      </c>
      <c r="R592" s="127">
        <f>IF(tech_base!$T248&gt;R$345,"",R872+R1152+R1432)</f>
        <v>135.8180816285255</v>
      </c>
      <c r="S592" s="127">
        <f>IF(tech_base!$T248&gt;S$345,"",S872+S1152+S1432)</f>
        <v>134.47334814705496</v>
      </c>
      <c r="T592" s="127">
        <f>IF(tech_base!$T248&gt;T$345,"",T872+T1152+T1432)</f>
        <v>133.14192885847027</v>
      </c>
      <c r="U592" s="127">
        <f>IF(tech_base!$T248&gt;U$345,"",U872+U1152+U1432)</f>
        <v>131.28113740866914</v>
      </c>
      <c r="V592" s="127">
        <f>IF(tech_base!$T248&gt;V$345,"",V872+V1152+V1432)</f>
        <v>129.33954563584754</v>
      </c>
      <c r="W592" s="127">
        <f>IF(tech_base!$T248&gt;W$345,"",W872+W1152+W1432)</f>
        <v>127.33011527514488</v>
      </c>
      <c r="X592" s="127">
        <f>IF(tech_base!$T248&gt;X$345,"",X872+X1152+X1432)</f>
        <v>125.2681545797799</v>
      </c>
      <c r="Y592" s="127">
        <f>IF(tech_base!$T248&gt;Y$345,"",Y872+Y1152+Y1432)</f>
        <v>123.17095605379916</v>
      </c>
      <c r="Z592" s="127">
        <f>IF(tech_base!$T248&gt;Z$345,"",Z872+Z1152+Z1432)</f>
        <v>121.05729333492825</v>
      </c>
      <c r="AA592" s="127">
        <f>IF(tech_base!$T248&gt;AA$345,"",AA872+AA1152+AA1432)</f>
        <v>118.94680246509222</v>
      </c>
      <c r="AB592" s="127">
        <f>IF(tech_base!$T248&gt;AB$345,"",AB872+AB1152+AB1432)</f>
        <v>116.85928688108876</v>
      </c>
      <c r="AC592" s="127">
        <f>IF(tech_base!$T248&gt;AC$345,"",AC872+AC1152+AC1432)</f>
        <v>114.81399575256604</v>
      </c>
      <c r="AD592" s="127">
        <f>IF(tech_base!$T248&gt;AD$345,"",AD872+AD1152+AD1432)</f>
        <v>112.82892982581058</v>
      </c>
      <c r="AE592" s="127">
        <f>IF(tech_base!$T248&gt;AE$345,"",AE872+AE1152+AE1432)</f>
        <v>110.92022670266158</v>
      </c>
      <c r="AF592" s="127">
        <f>IF(tech_base!$T248&gt;AF$345,"",AF872+AF1152+AF1432)</f>
        <v>109.10166874646507</v>
      </c>
      <c r="AG592" s="127">
        <f>IF(tech_base!$T248&gt;AG$345,"",AG872+AG1152+AG1432)</f>
        <v>107.38434302978057</v>
      </c>
      <c r="AH592" s="127">
        <f>IF(tech_base!$T248&gt;AH$345,"",AH872+AH1152+AH1432)</f>
        <v>105.77646625845345</v>
      </c>
      <c r="AI592" s="127">
        <f>IF(tech_base!$T248&gt;AI$345,"",AI872+AI1152+AI1432)</f>
        <v>104.28337107667514</v>
      </c>
      <c r="AJ592" s="127">
        <f>IF(tech_base!$T248&gt;AJ$345,"",AJ872+AJ1152+AJ1432)</f>
        <v>102.9076359616901</v>
      </c>
      <c r="AK592" s="127">
        <f>IF(tech_base!$T248&gt;AK$345,"",AK872+AK1152+AK1432)</f>
        <v>101.64933071854696</v>
      </c>
      <c r="AL592" s="127">
        <f>IF(tech_base!$T248&gt;AL$345,"",AL872+AL1152+AL1432)</f>
        <v>100.50634411412396</v>
      </c>
      <c r="AM592" s="127">
        <f>IF(tech_base!$T248&gt;AM$345,"",AM872+AM1152+AM1432)</f>
        <v>99.474759277537188</v>
      </c>
      <c r="AN592" s="127">
        <f>IF(tech_base!$T248&gt;AN$345,"",AN872+AN1152+AN1432)</f>
        <v>98.549245300624861</v>
      </c>
      <c r="AO592" s="127">
        <f>IF(tech_base!$T248&gt;AO$345,"",AO872+AO1152+AO1432)</f>
        <v>97.723438797475396</v>
      </c>
      <c r="AP592" s="127">
        <f>IF(tech_base!$T248&gt;AP$345,"",AP872+AP1152+AP1432)</f>
        <v>96.990295768605463</v>
      </c>
      <c r="AQ592" s="127">
        <f>IF(tech_base!$T248&gt;AQ$345,"",AQ872+AQ1152+AQ1432)</f>
        <v>96.342400874797008</v>
      </c>
      <c r="AR592" s="127">
        <f>IF(tech_base!$T248&gt;AR$345,"",AR872+AR1152+AR1432)</f>
        <v>95.772227362006205</v>
      </c>
      <c r="AS592" s="127">
        <f>IF(tech_base!$T248&gt;AS$345,"",AS872+AS1152+AS1432)</f>
        <v>95.272345919350713</v>
      </c>
      <c r="AT592" s="127">
        <f>IF(tech_base!$T248&gt;AT$345,"",AT872+AT1152+AT1432)</f>
        <v>94.835584510410428</v>
      </c>
      <c r="AU592" s="127">
        <f>IF(tech_base!$T248&gt;AU$345,"",AU872+AU1152+AU1432)</f>
        <v>94.4551437218865</v>
      </c>
      <c r="AV592" s="127">
        <f>IF(tech_base!$T248&gt;AV$345,"",AV872+AV1152+AV1432)</f>
        <v>94.124673585676319</v>
      </c>
      <c r="AW592" s="127">
        <f>IF(tech_base!$T248&gt;AW$345,"",AW872+AW1152+AW1432)</f>
        <v>93.838318377541384</v>
      </c>
      <c r="AX592" s="128">
        <f>IF(tech_base!$T248&gt;AX$345,"",AX872+AX1152+AX1432)</f>
        <v>93.590735816389113</v>
      </c>
    </row>
    <row r="593" spans="1:50" x14ac:dyDescent="0.25">
      <c r="A593" s="355" t="s">
        <v>37</v>
      </c>
      <c r="B593" s="358" t="s">
        <v>37</v>
      </c>
      <c r="C593" s="353" t="s">
        <v>6</v>
      </c>
      <c r="D593" s="3" t="s">
        <v>7</v>
      </c>
      <c r="E593" s="77" t="str">
        <f>A593&amp;"/"&amp;B593&amp;"/"&amp;C593&amp;"/"&amp;D593</f>
        <v>Solar PV power plants/Solar PV power plants/Electricity only/L</v>
      </c>
      <c r="F593" s="77" t="str">
        <f>A593</f>
        <v>Solar PV power plants</v>
      </c>
      <c r="G593" s="77" t="str">
        <f>B593</f>
        <v>Solar PV power plants</v>
      </c>
      <c r="H593" s="77" t="str">
        <f>C593</f>
        <v>Electricity only</v>
      </c>
      <c r="I593" s="77" t="str">
        <f t="shared" si="360"/>
        <v>L</v>
      </c>
      <c r="J593" s="121">
        <f>IF(tech_base!$T249&gt;J$345,"",J873+J1153+J1433)</f>
        <v>51.9785588028885</v>
      </c>
      <c r="K593" s="121">
        <f>IF(tech_base!$T249&gt;K$345,"",K873+K1153+K1433)</f>
        <v>40.980677995021651</v>
      </c>
      <c r="L593" s="121">
        <f>IF(tech_base!$T249&gt;L$345,"",L873+L1153+L1433)</f>
        <v>35.481737591088219</v>
      </c>
      <c r="M593" s="121">
        <f>IF(tech_base!$T249&gt;M$345,"",M873+M1153+M1433)</f>
        <v>32.73226738912151</v>
      </c>
      <c r="N593" s="121">
        <f>IF(tech_base!$T249&gt;N$345,"",N873+N1153+N1433)</f>
        <v>29.982797187154794</v>
      </c>
      <c r="O593" s="121">
        <f>IF(tech_base!$T249&gt;O$345,"",O873+O1153+O1433)</f>
        <v>29.642929230511374</v>
      </c>
      <c r="P593" s="121">
        <f>IF(tech_base!$T249&gt;P$345,"",P873+P1153+P1433)</f>
        <v>27.362378554119918</v>
      </c>
      <c r="Q593" s="121">
        <f>IF(tech_base!$T249&gt;Q$345,"",Q873+Q1153+Q1433)</f>
        <v>22.475887063050369</v>
      </c>
      <c r="R593" s="121">
        <f>IF(tech_base!$T249&gt;R$345,"",R873+R1153+R1433)</f>
        <v>21.698660454849012</v>
      </c>
      <c r="S593" s="121">
        <f>IF(tech_base!$T249&gt;S$345,"",S873+S1153+S1433)</f>
        <v>20.96038458057895</v>
      </c>
      <c r="T593" s="121">
        <f>IF(tech_base!$T249&gt;T$345,"",T873+T1153+T1433)</f>
        <v>20.261424098027359</v>
      </c>
      <c r="U593" s="121">
        <f>IF(tech_base!$T249&gt;U$345,"",U873+U1153+U1433)</f>
        <v>19.601940022263836</v>
      </c>
      <c r="V593" s="121">
        <f>IF(tech_base!$T249&gt;V$345,"",V873+V1153+V1433)</f>
        <v>18.98188869569875</v>
      </c>
      <c r="W593" s="121">
        <f>IF(tech_base!$T249&gt;W$345,"",W873+W1153+W1433)</f>
        <v>18.401023183130825</v>
      </c>
      <c r="X593" s="121">
        <f>IF(tech_base!$T249&gt;X$345,"",X873+X1153+X1433)</f>
        <v>17.85889714276928</v>
      </c>
      <c r="Y593" s="121">
        <f>IF(tech_base!$T249&gt;Y$345,"",Y873+Y1153+Y1433)</f>
        <v>17.35487117514959</v>
      </c>
      <c r="Z593" s="121">
        <f>IF(tech_base!$T249&gt;Z$345,"",Z873+Z1153+Z1433)</f>
        <v>16.888121599746842</v>
      </c>
      <c r="AA593" s="121">
        <f>IF(tech_base!$T249&gt;AA$345,"",AA873+AA1153+AA1433)</f>
        <v>16.457651555335328</v>
      </c>
      <c r="AB593" s="121">
        <f>IF(tech_base!$T249&gt;AB$345,"",AB873+AB1153+AB1433)</f>
        <v>16.062304266350825</v>
      </c>
      <c r="AC593" s="121">
        <f>IF(tech_base!$T249&gt;AC$345,"",AC873+AC1153+AC1433)</f>
        <v>15.70077826541975</v>
      </c>
      <c r="AD593" s="121">
        <f>IF(tech_base!$T249&gt;AD$345,"",AD873+AD1153+AD1433)</f>
        <v>15.371644313646808</v>
      </c>
      <c r="AE593" s="121">
        <f>IF(tech_base!$T249&gt;AE$345,"",AE873+AE1153+AE1433)</f>
        <v>15.073363717013301</v>
      </c>
      <c r="AF593" s="121">
        <f>IF(tech_base!$T249&gt;AF$345,"",AF873+AF1153+AF1433)</f>
        <v>14.804307701067669</v>
      </c>
      <c r="AG593" s="121">
        <f>IF(tech_base!$T249&gt;AG$345,"",AG873+AG1153+AG1433)</f>
        <v>14.562777478549693</v>
      </c>
      <c r="AH593" s="121">
        <f>IF(tech_base!$T249&gt;AH$345,"",AH873+AH1153+AH1433)</f>
        <v>14.347024626986006</v>
      </c>
      <c r="AI593" s="121">
        <f>IF(tech_base!$T249&gt;AI$345,"",AI873+AI1153+AI1433)</f>
        <v>14.155271386593682</v>
      </c>
      <c r="AJ593" s="121">
        <f>IF(tech_base!$T249&gt;AJ$345,"",AJ873+AJ1153+AJ1433)</f>
        <v>13.985730493589223</v>
      </c>
      <c r="AK593" s="121">
        <f>IF(tech_base!$T249&gt;AK$345,"",AK873+AK1153+AK1433)</f>
        <v>13.836624180321895</v>
      </c>
      <c r="AL593" s="121">
        <f>IF(tech_base!$T249&gt;AL$345,"",AL873+AL1153+AL1433)</f>
        <v>13.706202001141817</v>
      </c>
      <c r="AM593" s="121">
        <f>IF(tech_base!$T249&gt;AM$345,"",AM873+AM1153+AM1433)</f>
        <v>13.592757180691278</v>
      </c>
      <c r="AN593" s="121">
        <f>IF(tech_base!$T249&gt;AN$345,"",AN873+AN1153+AN1433)</f>
        <v>13.494641228019256</v>
      </c>
      <c r="AO593" s="121">
        <f>IF(tech_base!$T249&gt;AO$345,"",AO873+AO1153+AO1433)</f>
        <v>13.410276613795862</v>
      </c>
      <c r="AP593" s="121">
        <f>IF(tech_base!$T249&gt;AP$345,"",AP873+AP1153+AP1433)</f>
        <v>13.33816736684035</v>
      </c>
      <c r="AQ593" s="121">
        <f>IF(tech_base!$T249&gt;AQ$345,"",AQ873+AQ1153+AQ1433)</f>
        <v>13.276907507836459</v>
      </c>
      <c r="AR593" s="121">
        <f>IF(tech_base!$T249&gt;AR$345,"",AR873+AR1153+AR1433)</f>
        <v>13.225187300040796</v>
      </c>
      <c r="AS593" s="121">
        <f>IF(tech_base!$T249&gt;AS$345,"",AS873+AS1153+AS1433)</f>
        <v>13.181797356560315</v>
      </c>
      <c r="AT593" s="121">
        <f>IF(tech_base!$T249&gt;AT$345,"",AT873+AT1153+AT1433)</f>
        <v>13.145630699095568</v>
      </c>
      <c r="AU593" s="121">
        <f>IF(tech_base!$T249&gt;AU$345,"",AU873+AU1153+AU1433)</f>
        <v>13.115682911900397</v>
      </c>
      <c r="AV593" s="121">
        <f>IF(tech_base!$T249&gt;AV$345,"",AV873+AV1153+AV1433)</f>
        <v>13.091050575451399</v>
      </c>
      <c r="AW593" s="121">
        <f>IF(tech_base!$T249&gt;AW$345,"",AW873+AW1153+AW1433)</f>
        <v>13.070928195765346</v>
      </c>
      <c r="AX593" s="122">
        <f>IF(tech_base!$T249&gt;AX$345,"",AX873+AX1153+AX1433)</f>
        <v>13.054603866766744</v>
      </c>
    </row>
    <row r="594" spans="1:50" x14ac:dyDescent="0.25">
      <c r="A594" s="356"/>
      <c r="B594" s="376"/>
      <c r="C594" s="378"/>
      <c r="D594" s="2" t="s">
        <v>8</v>
      </c>
      <c r="E594" s="76" t="str">
        <f>A593&amp;"/"&amp;B593&amp;"/"&amp;C593&amp;"/"&amp;D594</f>
        <v>Solar PV power plants/Solar PV power plants/Electricity only/M</v>
      </c>
      <c r="F594" s="76" t="str">
        <f>A593</f>
        <v>Solar PV power plants</v>
      </c>
      <c r="G594" s="76" t="str">
        <f>B593</f>
        <v>Solar PV power plants</v>
      </c>
      <c r="H594" s="76" t="str">
        <f>C593</f>
        <v>Electricity only</v>
      </c>
      <c r="I594" s="76" t="str">
        <f t="shared" si="360"/>
        <v>M</v>
      </c>
      <c r="J594" s="119">
        <f>IF(tech_base!$T250&gt;J$345,"",J874+J1154+J1434)</f>
        <v>55.011073513890949</v>
      </c>
      <c r="K594" s="119">
        <f>IF(tech_base!$T250&gt;K$345,"",K874+K1154+K1434)</f>
        <v>44.535509758428425</v>
      </c>
      <c r="L594" s="119">
        <f>IF(tech_base!$T250&gt;L$345,"",L874+L1154+L1434)</f>
        <v>38.789650818968575</v>
      </c>
      <c r="M594" s="119">
        <f>IF(tech_base!$T250&gt;M$345,"",M874+M1154+M1434)</f>
        <v>35.646151278033429</v>
      </c>
      <c r="N594" s="119">
        <f>IF(tech_base!$T250&gt;N$345,"",N874+N1154+N1434)</f>
        <v>32.222884425332538</v>
      </c>
      <c r="O594" s="119">
        <f>IF(tech_base!$T250&gt;O$345,"",O874+O1154+O1434)</f>
        <v>31.372346533319217</v>
      </c>
      <c r="P594" s="119">
        <f>IF(tech_base!$T250&gt;P$345,"",P874+P1154+P1434)</f>
        <v>29.191503268817311</v>
      </c>
      <c r="Q594" s="119">
        <f>IF(tech_base!$T250&gt;Q$345,"",Q874+Q1154+Q1434)</f>
        <v>25.941450566754082</v>
      </c>
      <c r="R594" s="119">
        <f>IF(tech_base!$T250&gt;R$345,"",R874+R1154+R1434)</f>
        <v>24.942281601573129</v>
      </c>
      <c r="S594" s="119">
        <f>IF(tech_base!$T250&gt;S$345,"",S874+S1154+S1434)</f>
        <v>23.993186017957473</v>
      </c>
      <c r="T594" s="119">
        <f>IF(tech_base!$T250&gt;T$345,"",T874+T1154+T1434)</f>
        <v>23.094632604211593</v>
      </c>
      <c r="U594" s="119">
        <f>IF(tech_base!$T250&gt;U$345,"",U874+U1154+U1434)</f>
        <v>22.246828354356001</v>
      </c>
      <c r="V594" s="119">
        <f>IF(tech_base!$T250&gt;V$345,"",V874+V1154+V1434)</f>
        <v>21.449717144078683</v>
      </c>
      <c r="W594" s="119">
        <f>IF(tech_base!$T250&gt;W$345,"",W874+W1154+W1434)</f>
        <v>20.702981524148075</v>
      </c>
      <c r="X594" s="119">
        <f>IF(tech_base!$T250&gt;X$345,"",X874+X1154+X1434)</f>
        <v>20.006047696831956</v>
      </c>
      <c r="Y594" s="119">
        <f>IF(tech_base!$T250&gt;Y$345,"",Y874+Y1154+Y1434)</f>
        <v>19.358093677789395</v>
      </c>
      <c r="Z594" s="119">
        <f>IF(tech_base!$T250&gt;Z$345,"",Z874+Z1154+Z1434)</f>
        <v>18.758060578905827</v>
      </c>
      <c r="AA594" s="119">
        <f>IF(tech_base!$T250&gt;AA$345,"",AA874+AA1154+AA1434)</f>
        <v>18.204666878436143</v>
      </c>
      <c r="AB594" s="119">
        <f>IF(tech_base!$T250&gt;AB$345,"",AB874+AB1154+AB1434)</f>
        <v>17.696425475667027</v>
      </c>
      <c r="AC594" s="119">
        <f>IF(tech_base!$T250&gt;AC$345,"",AC874+AC1154+AC1434)</f>
        <v>17.231663260343161</v>
      </c>
      <c r="AD594" s="119">
        <f>IF(tech_base!$T250&gt;AD$345,"",AD874+AD1154+AD1434)</f>
        <v>16.808542864658389</v>
      </c>
      <c r="AE594" s="119">
        <f>IF(tech_base!$T250&gt;AE$345,"",AE874+AE1154+AE1434)</f>
        <v>16.425086210026404</v>
      </c>
      <c r="AF594" s="119">
        <f>IF(tech_base!$T250&gt;AF$345,"",AF874+AF1154+AF1434)</f>
        <v>16.079199414346274</v>
      </c>
      <c r="AG594" s="119">
        <f>IF(tech_base!$T250&gt;AG$345,"",AG874+AG1154+AG1434)</f>
        <v>15.768698590073543</v>
      </c>
      <c r="AH594" s="119">
        <f>IF(tech_base!$T250&gt;AH$345,"",AH874+AH1154+AH1434)</f>
        <v>15.491336040777139</v>
      </c>
      <c r="AI594" s="119">
        <f>IF(tech_base!$T250&gt;AI$345,"",AI874+AI1154+AI1434)</f>
        <v>15.244826355247611</v>
      </c>
      <c r="AJ594" s="119">
        <f>IF(tech_base!$T250&gt;AJ$345,"",AJ874+AJ1154+AJ1434)</f>
        <v>15.026871904342821</v>
      </c>
      <c r="AK594" s="119">
        <f>IF(tech_base!$T250&gt;AK$345,"",AK874+AK1154+AK1434)</f>
        <v>14.835187266738814</v>
      </c>
      <c r="AL594" s="119">
        <f>IF(tech_base!$T250&gt;AL$345,"",AL874+AL1154+AL1434)</f>
        <v>14.667522145096145</v>
      </c>
      <c r="AM594" s="119">
        <f>IF(tech_base!$T250&gt;AM$345,"",AM874+AM1154+AM1434)</f>
        <v>14.521682382717165</v>
      </c>
      <c r="AN594" s="119">
        <f>IF(tech_base!$T250&gt;AN$345,"",AN874+AN1154+AN1434)</f>
        <v>14.395548750820653</v>
      </c>
      <c r="AO594" s="119">
        <f>IF(tech_base!$T250&gt;AO$345,"",AO874+AO1154+AO1434)</f>
        <v>14.287093245821209</v>
      </c>
      <c r="AP594" s="119">
        <f>IF(tech_base!$T250&gt;AP$345,"",AP874+AP1154+AP1434)</f>
        <v>14.194392711768147</v>
      </c>
      <c r="AQ594" s="119">
        <f>IF(tech_base!$T250&gt;AQ$345,"",AQ874+AQ1154+AQ1434)</f>
        <v>14.115639682365691</v>
      </c>
      <c r="AR594" s="119">
        <f>IF(tech_base!$T250&gt;AR$345,"",AR874+AR1154+AR1434)</f>
        <v>14.049150416613815</v>
      </c>
      <c r="AS594" s="119">
        <f>IF(tech_base!$T250&gt;AS$345,"",AS874+AS1154+AS1434)</f>
        <v>13.993370178946725</v>
      </c>
      <c r="AT594" s="119">
        <f>IF(tech_base!$T250&gt;AT$345,"",AT874+AT1154+AT1434)</f>
        <v>13.946875885864388</v>
      </c>
      <c r="AU594" s="119">
        <f>IF(tech_base!$T250&gt;AU$345,"",AU874+AU1154+AU1434)</f>
        <v>13.908376303856368</v>
      </c>
      <c r="AV594" s="119">
        <f>IF(tech_base!$T250&gt;AV$345,"",AV874+AV1154+AV1434)</f>
        <v>13.876710035795002</v>
      </c>
      <c r="AW594" s="119">
        <f>IF(tech_base!$T250&gt;AW$345,"",AW874+AW1154+AW1434)</f>
        <v>13.850841573398403</v>
      </c>
      <c r="AX594" s="120">
        <f>IF(tech_base!$T250&gt;AX$345,"",AX874+AX1154+AX1434)</f>
        <v>13.829855720957568</v>
      </c>
    </row>
    <row r="595" spans="1:50" x14ac:dyDescent="0.25">
      <c r="A595" s="356"/>
      <c r="B595" s="376"/>
      <c r="C595" s="378"/>
      <c r="D595" s="2" t="s">
        <v>10</v>
      </c>
      <c r="E595" s="76" t="str">
        <f>A593&amp;"/"&amp;B593&amp;"/"&amp;C593&amp;"/"&amp;D595</f>
        <v>Solar PV power plants/Solar PV power plants/Electricity only/S</v>
      </c>
      <c r="F595" s="76" t="str">
        <f>A593</f>
        <v>Solar PV power plants</v>
      </c>
      <c r="G595" s="76" t="str">
        <f>B593</f>
        <v>Solar PV power plants</v>
      </c>
      <c r="H595" s="76" t="str">
        <f>C593</f>
        <v>Electricity only</v>
      </c>
      <c r="I595" s="76" t="str">
        <f t="shared" si="360"/>
        <v>S</v>
      </c>
      <c r="J595" s="119">
        <f>IF(tech_base!$T251&gt;J$345,"",J875+J1155+J1435)</f>
        <v>66.442838865981827</v>
      </c>
      <c r="K595" s="119">
        <f>IF(tech_base!$T251&gt;K$345,"",K875+K1155+K1435)</f>
        <v>55.421601199429972</v>
      </c>
      <c r="L595" s="119">
        <f>IF(tech_base!$T251&gt;L$345,"",L875+L1155+L1435)</f>
        <v>44.698784737387832</v>
      </c>
      <c r="M595" s="119">
        <f>IF(tech_base!$T251&gt;M$345,"",M875+M1155+M1435)</f>
        <v>39.601872645763798</v>
      </c>
      <c r="N595" s="119">
        <f>IF(tech_base!$T251&gt;N$345,"",N875+N1155+N1435)</f>
        <v>34.675374701898839</v>
      </c>
      <c r="O595" s="119">
        <f>IF(tech_base!$T251&gt;O$345,"",O875+O1155+O1435)</f>
        <v>34.146171711251114</v>
      </c>
      <c r="P595" s="119">
        <f>IF(tech_base!$T251&gt;P$345,"",P875+P1155+P1435)</f>
        <v>29.40707816973098</v>
      </c>
      <c r="Q595" s="119">
        <f>IF(tech_base!$T251&gt;Q$345,"",Q875+Q1155+Q1435)</f>
        <v>28.45115021655144</v>
      </c>
      <c r="R595" s="119">
        <f>IF(tech_base!$T251&gt;R$345,"",R875+R1155+R1435)</f>
        <v>27.598983729420301</v>
      </c>
      <c r="S595" s="119">
        <f>IF(tech_base!$T251&gt;S$345,"",S875+S1155+S1435)</f>
        <v>26.766922983371209</v>
      </c>
      <c r="T595" s="119">
        <f>IF(tech_base!$T251&gt;T$345,"",T875+T1155+T1435)</f>
        <v>25.957213328929594</v>
      </c>
      <c r="U595" s="119">
        <f>IF(tech_base!$T251&gt;U$345,"",U875+U1155+U1435)</f>
        <v>25.171995602120987</v>
      </c>
      <c r="V595" s="119">
        <f>IF(tech_base!$T251&gt;V$345,"",V875+V1155+V1435)</f>
        <v>24.413280502463564</v>
      </c>
      <c r="W595" s="119">
        <f>IF(tech_base!$T251&gt;W$345,"",W875+W1155+W1435)</f>
        <v>23.682923534322232</v>
      </c>
      <c r="X595" s="119">
        <f>IF(tech_base!$T251&gt;X$345,"",X875+X1155+X1435)</f>
        <v>22.98260106457623</v>
      </c>
      <c r="Y595" s="119">
        <f>IF(tech_base!$T251&gt;Y$345,"",Y875+Y1155+Y1435)</f>
        <v>22.313788070970642</v>
      </c>
      <c r="Z595" s="119">
        <f>IF(tech_base!$T251&gt;Z$345,"",Z875+Z1155+Z1435)</f>
        <v>21.67773816017467</v>
      </c>
      <c r="AA595" s="119">
        <f>IF(tech_base!$T251&gt;AA$345,"",AA875+AA1155+AA1435)</f>
        <v>21.07546642009855</v>
      </c>
      <c r="AB595" s="119">
        <f>IF(tech_base!$T251&gt;AB$345,"",AB875+AB1155+AB1435)</f>
        <v>20.507735635659621</v>
      </c>
      <c r="AC595" s="119">
        <f>IF(tech_base!$T251&gt;AC$345,"",AC875+AC1155+AC1435)</f>
        <v>19.975046339962095</v>
      </c>
      <c r="AD595" s="119">
        <f>IF(tech_base!$T251&gt;AD$345,"",AD875+AD1155+AD1435)</f>
        <v>19.477631093760216</v>
      </c>
      <c r="AE595" s="119">
        <f>IF(tech_base!$T251&gt;AE$345,"",AE875+AE1155+AE1435)</f>
        <v>19.015453286231793</v>
      </c>
      <c r="AF595" s="119">
        <f>IF(tech_base!$T251&gt;AF$345,"",AF875+AF1155+AF1435)</f>
        <v>18.588210631831753</v>
      </c>
      <c r="AG595" s="119">
        <f>IF(tech_base!$T251&gt;AG$345,"",AG875+AG1155+AG1435)</f>
        <v>18.195343404903106</v>
      </c>
      <c r="AH595" s="119">
        <f>IF(tech_base!$T251&gt;AH$345,"",AH875+AH1155+AH1435)</f>
        <v>17.836047310552232</v>
      </c>
      <c r="AI595" s="119">
        <f>IF(tech_base!$T251&gt;AI$345,"",AI875+AI1155+AI1435)</f>
        <v>17.50929074283399</v>
      </c>
      <c r="AJ595" s="119">
        <f>IF(tech_base!$T251&gt;AJ$345,"",AJ875+AJ1155+AJ1435)</f>
        <v>17.213836036101572</v>
      </c>
      <c r="AK595" s="119">
        <f>IF(tech_base!$T251&gt;AK$345,"",AK875+AK1155+AK1435)</f>
        <v>16.948264179454917</v>
      </c>
      <c r="AL595" s="119">
        <f>IF(tech_base!$T251&gt;AL$345,"",AL875+AL1155+AL1435)</f>
        <v>16.711002344588078</v>
      </c>
      <c r="AM595" s="119">
        <f>IF(tech_base!$T251&gt;AM$345,"",AM875+AM1155+AM1435)</f>
        <v>16.500353480567092</v>
      </c>
      <c r="AN595" s="119">
        <f>IF(tech_base!$T251&gt;AN$345,"",AN875+AN1155+AN1435)</f>
        <v>16.314527160823392</v>
      </c>
      <c r="AO595" s="119">
        <f>IF(tech_base!$T251&gt;AO$345,"",AO875+AO1155+AO1435)</f>
        <v>16.151670832211803</v>
      </c>
      <c r="AP595" s="119">
        <f>IF(tech_base!$T251&gt;AP$345,"",AP875+AP1155+AP1435)</f>
        <v>16.009900615896662</v>
      </c>
      <c r="AQ595" s="119">
        <f>IF(tech_base!$T251&gt;AQ$345,"",AQ875+AQ1155+AQ1435)</f>
        <v>15.887330845613501</v>
      </c>
      <c r="AR595" s="119">
        <f>IF(tech_base!$T251&gt;AR$345,"",AR875+AR1155+AR1435)</f>
        <v>15.782101598880814</v>
      </c>
      <c r="AS595" s="119">
        <f>IF(tech_base!$T251&gt;AS$345,"",AS875+AS1155+AS1435)</f>
        <v>15.692403577274895</v>
      </c>
      <c r="AT595" s="119">
        <f>IF(tech_base!$T251&gt;AT$345,"",AT875+AT1155+AT1435)</f>
        <v>15.616499817305051</v>
      </c>
      <c r="AU595" s="119">
        <f>IF(tech_base!$T251&gt;AU$345,"",AU875+AU1155+AU1435)</f>
        <v>15.552743856595702</v>
      </c>
      <c r="AV595" s="119">
        <f>IF(tech_base!$T251&gt;AV$345,"",AV875+AV1155+AV1435)</f>
        <v>15.499594132846056</v>
      </c>
      <c r="AW595" s="119">
        <f>IF(tech_base!$T251&gt;AW$345,"",AW875+AW1155+AW1435)</f>
        <v>15.455624546839706</v>
      </c>
      <c r="AX595" s="120">
        <f>IF(tech_base!$T251&gt;AX$345,"",AX875+AX1155+AX1435)</f>
        <v>15.419531267283237</v>
      </c>
    </row>
    <row r="596" spans="1:50" x14ac:dyDescent="0.25">
      <c r="A596" s="357"/>
      <c r="B596" s="380"/>
      <c r="C596" s="381"/>
      <c r="D596" s="4" t="s">
        <v>20</v>
      </c>
      <c r="E596" s="80" t="str">
        <f>A593&amp;"/"&amp;B593&amp;"/"&amp;C593&amp;"/"&amp;D596</f>
        <v>Solar PV power plants/Solar PV power plants/Electricity only/XS</v>
      </c>
      <c r="F596" s="80" t="str">
        <f>A593</f>
        <v>Solar PV power plants</v>
      </c>
      <c r="G596" s="80" t="str">
        <f>B593</f>
        <v>Solar PV power plants</v>
      </c>
      <c r="H596" s="80" t="str">
        <f>C593</f>
        <v>Electricity only</v>
      </c>
      <c r="I596" s="80" t="str">
        <f t="shared" si="360"/>
        <v>XS</v>
      </c>
      <c r="J596" s="127">
        <f>IF(tech_base!$T252&gt;J$345,"",J876+J1156+J1436)</f>
        <v>70.673095648253351</v>
      </c>
      <c r="K596" s="127">
        <f>IF(tech_base!$T252&gt;K$345,"",K876+K1156+K1436)</f>
        <v>59.156508380611442</v>
      </c>
      <c r="L596" s="127">
        <f>IF(tech_base!$T252&gt;L$345,"",L876+L1156+L1436)</f>
        <v>47.675356766100741</v>
      </c>
      <c r="M596" s="127">
        <f>IF(tech_base!$T252&gt;M$345,"",M876+M1156+M1436)</f>
        <v>41.953916211536246</v>
      </c>
      <c r="N596" s="127">
        <f>IF(tech_base!$T252&gt;N$345,"",N876+N1156+N1436)</f>
        <v>36.177748834275917</v>
      </c>
      <c r="O596" s="127">
        <f>IF(tech_base!$T252&gt;O$345,"",O876+O1156+O1436)</f>
        <v>35.237442517047484</v>
      </c>
      <c r="P596" s="127">
        <f>IF(tech_base!$T252&gt;P$345,"",P876+P1156+P1436)</f>
        <v>30.109182615865222</v>
      </c>
      <c r="Q596" s="127">
        <f>IF(tech_base!$T252&gt;Q$345,"",Q876+Q1156+Q1436)</f>
        <v>29.079808851220257</v>
      </c>
      <c r="R596" s="127">
        <f>IF(tech_base!$T252&gt;R$345,"",R876+R1156+R1436)</f>
        <v>28.24992155467358</v>
      </c>
      <c r="S596" s="127">
        <f>IF(tech_base!$T252&gt;S$345,"",S876+S1156+S1436)</f>
        <v>27.43961435117636</v>
      </c>
      <c r="T596" s="127">
        <f>IF(tech_base!$T252&gt;T$345,"",T876+T1156+T1436)</f>
        <v>26.651073888414789</v>
      </c>
      <c r="U596" s="127">
        <f>IF(tech_base!$T252&gt;U$345,"",U876+U1156+U1436)</f>
        <v>25.886385032020652</v>
      </c>
      <c r="V596" s="127">
        <f>IF(tech_base!$T252&gt;V$345,"",V876+V1156+V1436)</f>
        <v>25.147505913430123</v>
      </c>
      <c r="W596" s="127">
        <f>IF(tech_base!$T252&gt;W$345,"",W876+W1156+W1436)</f>
        <v>24.436243526375513</v>
      </c>
      <c r="X596" s="127">
        <f>IF(tech_base!$T252&gt;X$345,"",X876+X1156+X1436)</f>
        <v>23.7542304105054</v>
      </c>
      <c r="Y596" s="127">
        <f>IF(tech_base!$T252&gt;Y$345,"",Y876+Y1156+Y1436)</f>
        <v>23.102902981487166</v>
      </c>
      <c r="Z596" s="127">
        <f>IF(tech_base!$T252&gt;Z$345,"",Z876+Z1156+Z1436)</f>
        <v>22.483482071476665</v>
      </c>
      <c r="AA596" s="127">
        <f>IF(tech_base!$T252&gt;AA$345,"",AA876+AA1156+AA1436)</f>
        <v>21.896956229747204</v>
      </c>
      <c r="AB596" s="127">
        <f>IF(tech_base!$T252&gt;AB$345,"",AB876+AB1156+AB1436)</f>
        <v>21.344068298833012</v>
      </c>
      <c r="AC596" s="127">
        <f>IF(tech_base!$T252&gt;AC$345,"",AC876+AC1156+AC1436)</f>
        <v>20.825305725812768</v>
      </c>
      <c r="AD596" s="127">
        <f>IF(tech_base!$T252&gt;AD$345,"",AD876+AD1156+AD1436)</f>
        <v>20.340894991331432</v>
      </c>
      <c r="AE596" s="127">
        <f>IF(tech_base!$T252&gt;AE$345,"",AE876+AE1156+AE1436)</f>
        <v>19.890800441726597</v>
      </c>
      <c r="AF596" s="127">
        <f>IF(tech_base!$T252&gt;AF$345,"",AF876+AF1156+AF1436)</f>
        <v>19.474727694459649</v>
      </c>
      <c r="AG596" s="127">
        <f>IF(tech_base!$T252&gt;AG$345,"",AG876+AG1156+AG1436)</f>
        <v>19.092131657439683</v>
      </c>
      <c r="AH596" s="127">
        <f>IF(tech_base!$T252&gt;AH$345,"",AH876+AH1156+AH1436)</f>
        <v>18.742229063400288</v>
      </c>
      <c r="AI596" s="127">
        <f>IF(tech_base!$T252&gt;AI$345,"",AI876+AI1156+AI1436)</f>
        <v>18.424015276883672</v>
      </c>
      <c r="AJ596" s="127">
        <f>IF(tech_base!$T252&gt;AJ$345,"",AJ876+AJ1156+AJ1436)</f>
        <v>18.136284989991474</v>
      </c>
      <c r="AK596" s="127">
        <f>IF(tech_base!$T252&gt;AK$345,"",AK876+AK1156+AK1436)</f>
        <v>17.877656290694297</v>
      </c>
      <c r="AL596" s="127">
        <f>IF(tech_base!$T252&gt;AL$345,"",AL876+AL1156+AL1436)</f>
        <v>17.646597470986162</v>
      </c>
      <c r="AM596" s="127">
        <f>IF(tech_base!$T252&gt;AM$345,"",AM876+AM1156+AM1436)</f>
        <v>17.441455847931351</v>
      </c>
      <c r="AN596" s="127">
        <f>IF(tech_base!$T252&gt;AN$345,"",AN876+AN1156+AN1436)</f>
        <v>17.260487804188525</v>
      </c>
      <c r="AO596" s="127">
        <f>IF(tech_base!$T252&gt;AO$345,"",AO876+AO1156+AO1436)</f>
        <v>17.101889220087912</v>
      </c>
      <c r="AP596" s="127">
        <f>IF(tech_base!$T252&gt;AP$345,"",AP876+AP1156+AP1436)</f>
        <v>16.963825469253621</v>
      </c>
      <c r="AQ596" s="127">
        <f>IF(tech_base!$T252&gt;AQ$345,"",AQ876+AQ1156+AQ1436)</f>
        <v>16.844460184611791</v>
      </c>
      <c r="AR596" s="127">
        <f>IF(tech_base!$T252&gt;AR$345,"",AR876+AR1156+AR1436)</f>
        <v>16.741982069821535</v>
      </c>
      <c r="AS596" s="127">
        <f>IF(tech_base!$T252&gt;AS$345,"",AS876+AS1156+AS1436)</f>
        <v>16.654629129075506</v>
      </c>
      <c r="AT596" s="127">
        <f>IF(tech_base!$T252&gt;AT$345,"",AT876+AT1156+AT1436)</f>
        <v>16.580709810362126</v>
      </c>
      <c r="AU596" s="127">
        <f>IF(tech_base!$T252&gt;AU$345,"",AU876+AU1156+AU1436)</f>
        <v>16.518620696707892</v>
      </c>
      <c r="AV596" s="127">
        <f>IF(tech_base!$T252&gt;AV$345,"",AV876+AV1156+AV1436)</f>
        <v>16.466860528688041</v>
      </c>
      <c r="AW596" s="127">
        <f>IF(tech_base!$T252&gt;AW$345,"",AW876+AW1156+AW1436)</f>
        <v>16.424040491275008</v>
      </c>
      <c r="AX596" s="128">
        <f>IF(tech_base!$T252&gt;AX$345,"",AX876+AX1156+AX1436)</f>
        <v>16.388890840770141</v>
      </c>
    </row>
    <row r="597" spans="1:50" x14ac:dyDescent="0.25">
      <c r="A597" s="355" t="s">
        <v>38</v>
      </c>
      <c r="B597" s="358" t="s">
        <v>38</v>
      </c>
      <c r="C597" s="353" t="s">
        <v>6</v>
      </c>
      <c r="D597" s="3" t="s">
        <v>7</v>
      </c>
      <c r="E597" s="77" t="str">
        <f>A597&amp;"/"&amp;B597&amp;"/"&amp;C597&amp;"/"&amp;D597</f>
        <v>Solar thermal power plants/Solar thermal power plants/Electricity only/L</v>
      </c>
      <c r="F597" s="77" t="str">
        <f>A597</f>
        <v>Solar thermal power plants</v>
      </c>
      <c r="G597" s="77" t="str">
        <f>B597</f>
        <v>Solar thermal power plants</v>
      </c>
      <c r="H597" s="77" t="str">
        <f>C597</f>
        <v>Electricity only</v>
      </c>
      <c r="I597" s="77" t="str">
        <f t="shared" si="360"/>
        <v>L</v>
      </c>
      <c r="J597" s="121">
        <f>IF(tech_base!$T253&gt;J$345,"",J877+J1157+J1437)</f>
        <v>153.04866469070126</v>
      </c>
      <c r="K597" s="121">
        <f>IF(tech_base!$T253&gt;K$345,"",K877+K1157+K1437)</f>
        <v>153.01175298436178</v>
      </c>
      <c r="L597" s="121">
        <f>IF(tech_base!$T253&gt;L$345,"",L877+L1157+L1437)</f>
        <v>152.96672022405821</v>
      </c>
      <c r="M597" s="121">
        <f>IF(tech_base!$T253&gt;M$345,"",M877+M1157+M1437)</f>
        <v>152.91179347955665</v>
      </c>
      <c r="N597" s="121">
        <f>IF(tech_base!$T253&gt;N$345,"",N877+N1157+N1437)</f>
        <v>152.84481951867554</v>
      </c>
      <c r="O597" s="121">
        <f>IF(tech_base!$T253&gt;O$345,"",O877+O1157+O1437)</f>
        <v>152.7631865310307</v>
      </c>
      <c r="P597" s="121">
        <f>IF(tech_base!$T253&gt;P$345,"",P877+P1157+P1437)</f>
        <v>152.6637313605531</v>
      </c>
      <c r="Q597" s="121">
        <f>IF(tech_base!$T253&gt;Q$345,"",Q877+Q1157+Q1437)</f>
        <v>152.54263037512692</v>
      </c>
      <c r="R597" s="121">
        <f>IF(tech_base!$T253&gt;R$345,"",R877+R1157+R1437)</f>
        <v>152.39527229703845</v>
      </c>
      <c r="S597" s="121">
        <f>IF(tech_base!$T253&gt;S$345,"",S877+S1157+S1437)</f>
        <v>152.21611181884174</v>
      </c>
      <c r="T597" s="121">
        <f>IF(tech_base!$T253&gt;T$345,"",T877+T1157+T1437)</f>
        <v>151.99850380347229</v>
      </c>
      <c r="U597" s="121">
        <f>IF(tech_base!$T253&gt;U$345,"",U877+U1157+U1437)</f>
        <v>151.73451954761026</v>
      </c>
      <c r="V597" s="121">
        <f>IF(tech_base!$T253&gt;V$345,"",V877+V1157+V1437)</f>
        <v>151.41474928385074</v>
      </c>
      <c r="W597" s="121">
        <f>IF(tech_base!$T253&gt;W$345,"",W877+W1157+W1437)</f>
        <v>151.02809920409271</v>
      </c>
      <c r="X597" s="121">
        <f>IF(tech_base!$T253&gt;X$345,"",X877+X1157+X1437)</f>
        <v>150.56159726798219</v>
      </c>
      <c r="Y597" s="121">
        <f>IF(tech_base!$T253&gt;Y$345,"",Y877+Y1157+Y1437)</f>
        <v>150.00023039945418</v>
      </c>
      <c r="Z597" s="121">
        <f>IF(tech_base!$T253&gt;Z$345,"",Z877+Z1157+Z1437)</f>
        <v>149.32684675307627</v>
      </c>
      <c r="AA597" s="121">
        <f>IF(tech_base!$T253&gt;AA$345,"",AA877+AA1157+AA1437)</f>
        <v>148.52217059791388</v>
      </c>
      <c r="AB597" s="121">
        <f>IF(tech_base!$T253&gt;AB$345,"",AB877+AB1157+AB1437)</f>
        <v>147.56499334151655</v>
      </c>
      <c r="AC597" s="121">
        <f>IF(tech_base!$T253&gt;AC$345,"",AC877+AC1157+AC1437)</f>
        <v>146.43262030813247</v>
      </c>
      <c r="AD597" s="121">
        <f>IF(tech_base!$T253&gt;AD$345,"",AD877+AD1157+AD1437)</f>
        <v>145.10166503363928</v>
      </c>
      <c r="AE597" s="121">
        <f>IF(tech_base!$T253&gt;AE$345,"",AE877+AE1157+AE1437)</f>
        <v>143.54928417452368</v>
      </c>
      <c r="AF597" s="121">
        <f>IF(tech_base!$T253&gt;AF$345,"",AF877+AF1157+AF1437)</f>
        <v>141.75492668178012</v>
      </c>
      <c r="AG597" s="121">
        <f>IF(tech_base!$T253&gt;AG$345,"",AG877+AG1157+AG1437)</f>
        <v>139.70261858077112</v>
      </c>
      <c r="AH597" s="121">
        <f>IF(tech_base!$T253&gt;AH$345,"",AH877+AH1157+AH1437)</f>
        <v>137.38370869223641</v>
      </c>
      <c r="AI597" s="121">
        <f>IF(tech_base!$T253&gt;AI$345,"",AI877+AI1157+AI1437)</f>
        <v>134.79985800310928</v>
      </c>
      <c r="AJ597" s="121">
        <f>IF(tech_base!$T253&gt;AJ$345,"",AJ877+AJ1157+AJ1437)</f>
        <v>131.96588064854527</v>
      </c>
      <c r="AK597" s="121">
        <f>IF(tech_base!$T253&gt;AK$345,"",AK877+AK1157+AK1437)</f>
        <v>128.91187847084106</v>
      </c>
      <c r="AL597" s="121">
        <f>IF(tech_base!$T253&gt;AL$345,"",AL877+AL1157+AL1437)</f>
        <v>125.68402214995362</v>
      </c>
      <c r="AM597" s="121">
        <f>IF(tech_base!$T253&gt;AM$345,"",AM877+AM1157+AM1437)</f>
        <v>122.34339958865559</v>
      </c>
      <c r="AN597" s="121">
        <f>IF(tech_base!$T253&gt;AN$345,"",AN877+AN1157+AN1437)</f>
        <v>118.96263062059602</v>
      </c>
      <c r="AO597" s="121">
        <f>IF(tech_base!$T253&gt;AO$345,"",AO877+AO1157+AO1437)</f>
        <v>115.62041794513519</v>
      </c>
      <c r="AP597" s="121">
        <f>IF(tech_base!$T253&gt;AP$345,"",AP877+AP1157+AP1437)</f>
        <v>112.39474979455075</v>
      </c>
      <c r="AQ597" s="121">
        <f>IF(tech_base!$T253&gt;AQ$345,"",AQ877+AQ1157+AQ1437)</f>
        <v>109.35589808133902</v>
      </c>
      <c r="AR597" s="121">
        <f>IF(tech_base!$T253&gt;AR$345,"",AR877+AR1157+AR1437)</f>
        <v>106.56048318065328</v>
      </c>
      <c r="AS597" s="121">
        <f>IF(tech_base!$T253&gt;AS$345,"",AS877+AS1157+AS1437)</f>
        <v>104.04762881624555</v>
      </c>
      <c r="AT597" s="121">
        <f>IF(tech_base!$T253&gt;AT$345,"",AT877+AT1157+AT1437)</f>
        <v>101.83769319586344</v>
      </c>
      <c r="AU597" s="121">
        <f>IF(tech_base!$T253&gt;AU$345,"",AU877+AU1157+AU1437)</f>
        <v>99.933440381994004</v>
      </c>
      <c r="AV597" s="121">
        <f>IF(tech_base!$T253&gt;AV$345,"",AV877+AV1157+AV1437)</f>
        <v>98.323026405547537</v>
      </c>
      <c r="AW597" s="121">
        <f>IF(tech_base!$T253&gt;AW$345,"",AW877+AW1157+AW1437)</f>
        <v>96.98394672892789</v>
      </c>
      <c r="AX597" s="122">
        <f>IF(tech_base!$T253&gt;AX$345,"",AX877+AX1157+AX1437)</f>
        <v>95.887128768874121</v>
      </c>
    </row>
    <row r="598" spans="1:50" x14ac:dyDescent="0.25">
      <c r="A598" s="382"/>
      <c r="B598" s="376"/>
      <c r="C598" s="378"/>
      <c r="D598" s="2" t="s">
        <v>8</v>
      </c>
      <c r="E598" s="76" t="str">
        <f>A597&amp;"/"&amp;B597&amp;"/"&amp;C597&amp;"/"&amp;D598</f>
        <v>Solar thermal power plants/Solar thermal power plants/Electricity only/M</v>
      </c>
      <c r="F598" s="76" t="str">
        <f>A597</f>
        <v>Solar thermal power plants</v>
      </c>
      <c r="G598" s="76" t="str">
        <f>B597</f>
        <v>Solar thermal power plants</v>
      </c>
      <c r="H598" s="76" t="str">
        <f>C597</f>
        <v>Electricity only</v>
      </c>
      <c r="I598" s="76" t="str">
        <f t="shared" si="360"/>
        <v>M</v>
      </c>
      <c r="J598" s="119">
        <f>IF(tech_base!$T254&gt;J$345,"",J878+J1158+J1438)</f>
        <v>163.46477819299349</v>
      </c>
      <c r="K598" s="119">
        <f>IF(tech_base!$T254&gt;K$345,"",K878+K1158+K1438)</f>
        <v>163.43743029328834</v>
      </c>
      <c r="L598" s="119">
        <f>IF(tech_base!$T254&gt;L$345,"",L878+L1158+L1438)</f>
        <v>163.40405851417486</v>
      </c>
      <c r="M598" s="119">
        <f>IF(tech_base!$T254&gt;M$345,"",M878+M1158+M1438)</f>
        <v>163.36334434065674</v>
      </c>
      <c r="N598" s="119">
        <f>IF(tech_base!$T254&gt;N$345,"",N878+N1158+N1438)</f>
        <v>163.31368474901845</v>
      </c>
      <c r="O598" s="119">
        <f>IF(tech_base!$T254&gt;O$345,"",O878+O1158+O1438)</f>
        <v>163.25313281659385</v>
      </c>
      <c r="P598" s="119">
        <f>IF(tech_base!$T254&gt;P$345,"",P878+P1158+P1438)</f>
        <v>163.17932691617619</v>
      </c>
      <c r="Q598" s="119">
        <f>IF(tech_base!$T254&gt;Q$345,"",Q878+Q1158+Q1438)</f>
        <v>163.089406790342</v>
      </c>
      <c r="R598" s="119">
        <f>IF(tech_base!$T254&gt;R$345,"",R878+R1158+R1438)</f>
        <v>162.97991480400307</v>
      </c>
      <c r="S598" s="119">
        <f>IF(tech_base!$T254&gt;S$345,"",S878+S1158+S1438)</f>
        <v>162.84668084519598</v>
      </c>
      <c r="T598" s="119">
        <f>IF(tech_base!$T254&gt;T$345,"",T878+T1158+T1438)</f>
        <v>162.68468978951591</v>
      </c>
      <c r="U598" s="119">
        <f>IF(tech_base!$T254&gt;U$345,"",U878+U1158+U1438)</f>
        <v>162.48793131302602</v>
      </c>
      <c r="V598" s="119">
        <f>IF(tech_base!$T254&gt;V$345,"",V878+V1158+V1438)</f>
        <v>162.24923334021875</v>
      </c>
      <c r="W598" s="119">
        <f>IF(tech_base!$T254&gt;W$345,"",W878+W1158+W1438)</f>
        <v>161.9600828253582</v>
      </c>
      <c r="X598" s="119">
        <f>IF(tech_base!$T254&gt;X$345,"",X878+X1158+X1438)</f>
        <v>161.6104412390271</v>
      </c>
      <c r="Y598" s="119">
        <f>IF(tech_base!$T254&gt;Y$345,"",Y878+Y1158+Y1438)</f>
        <v>161.18856748051442</v>
      </c>
      <c r="Z598" s="119">
        <f>IF(tech_base!$T254&gt;Z$345,"",Z878+Z1158+Z1438)</f>
        <v>160.68086838937481</v>
      </c>
      <c r="AA598" s="119">
        <f>IF(tech_base!$T254&gt;AA$345,"",AA878+AA1158+AA1438)</f>
        <v>160.07180692098183</v>
      </c>
      <c r="AB598" s="119">
        <f>IF(tech_base!$T254&gt;AB$345,"",AB878+AB1158+AB1438)</f>
        <v>159.34391041418309</v>
      </c>
      <c r="AC598" s="119">
        <f>IF(tech_base!$T254&gt;AC$345,"",AC878+AC1158+AC1438)</f>
        <v>158.47793559522344</v>
      </c>
      <c r="AD598" s="119">
        <f>IF(tech_base!$T254&gt;AD$345,"",AD878+AD1158+AD1438)</f>
        <v>157.45326123961496</v>
      </c>
      <c r="AE598" s="119">
        <f>IF(tech_base!$T254&gt;AE$345,"",AE878+AE1158+AE1438)</f>
        <v>156.24859012794147</v>
      </c>
      <c r="AF598" s="119">
        <f>IF(tech_base!$T254&gt;AF$345,"",AF878+AF1158+AF1438)</f>
        <v>154.84304298577965</v>
      </c>
      <c r="AG598" s="119">
        <f>IF(tech_base!$T254&gt;AG$345,"",AG878+AG1158+AG1438)</f>
        <v>153.21770970686836</v>
      </c>
      <c r="AH598" s="119">
        <f>IF(tech_base!$T254&gt;AH$345,"",AH878+AH1158+AH1438)</f>
        <v>151.35767677346101</v>
      </c>
      <c r="AI598" s="119">
        <f>IF(tech_base!$T254&gt;AI$345,"",AI878+AI1158+AI1438)</f>
        <v>149.25446511875538</v>
      </c>
      <c r="AJ598" s="119">
        <f>IF(tech_base!$T254&gt;AJ$345,"",AJ878+AJ1158+AJ1438)</f>
        <v>146.9086875579313</v>
      </c>
      <c r="AK598" s="119">
        <f>IF(tech_base!$T254&gt;AK$345,"",AK878+AK1158+AK1438)</f>
        <v>144.33258252432768</v>
      </c>
      <c r="AL598" s="119">
        <f>IF(tech_base!$T254&gt;AL$345,"",AL878+AL1158+AL1438)</f>
        <v>141.55193717426945</v>
      </c>
      <c r="AM598" s="119">
        <f>IF(tech_base!$T254&gt;AM$345,"",AM878+AM1158+AM1438)</f>
        <v>138.60683709153696</v>
      </c>
      <c r="AN598" s="119">
        <f>IF(tech_base!$T254&gt;AN$345,"",AN878+AN1158+AN1438)</f>
        <v>135.55073963670171</v>
      </c>
      <c r="AO598" s="119">
        <f>IF(tech_base!$T254&gt;AO$345,"",AO878+AO1158+AO1438)</f>
        <v>132.44760803944089</v>
      </c>
      <c r="AP598" s="119">
        <f>IF(tech_base!$T254&gt;AP$345,"",AP878+AP1158+AP1438)</f>
        <v>129.36724595491648</v>
      </c>
      <c r="AQ598" s="119">
        <f>IF(tech_base!$T254&gt;AQ$345,"",AQ878+AQ1158+AQ1438)</f>
        <v>126.37943624402287</v>
      </c>
      <c r="AR598" s="119">
        <f>IF(tech_base!$T254&gt;AR$345,"",AR878+AR1158+AR1438)</f>
        <v>123.54785153305293</v>
      </c>
      <c r="AS598" s="119">
        <f>IF(tech_base!$T254&gt;AS$345,"",AS878+AS1158+AS1438)</f>
        <v>120.92481564967196</v>
      </c>
      <c r="AT598" s="119">
        <f>IF(tech_base!$T254&gt;AT$345,"",AT878+AT1158+AT1438)</f>
        <v>118.54779416444146</v>
      </c>
      <c r="AU598" s="119">
        <f>IF(tech_base!$T254&gt;AU$345,"",AU878+AU1158+AU1438)</f>
        <v>116.438049999996</v>
      </c>
      <c r="AV598" s="119">
        <f>IF(tech_base!$T254&gt;AV$345,"",AV878+AV1158+AV1438)</f>
        <v>114.6013839655718</v>
      </c>
      <c r="AW598" s="119">
        <f>IF(tech_base!$T254&gt;AW$345,"",AW878+AW1158+AW1438)</f>
        <v>113.0304676386411</v>
      </c>
      <c r="AX598" s="120">
        <f>IF(tech_base!$T254&gt;AX$345,"",AX878+AX1158+AX1438)</f>
        <v>111.7080736957044</v>
      </c>
    </row>
    <row r="599" spans="1:50" x14ac:dyDescent="0.25">
      <c r="A599" s="382"/>
      <c r="B599" s="376"/>
      <c r="C599" s="378"/>
      <c r="D599" s="2" t="s">
        <v>10</v>
      </c>
      <c r="E599" s="76" t="str">
        <f>A597&amp;"/"&amp;B597&amp;"/"&amp;C597&amp;"/"&amp;D599</f>
        <v>Solar thermal power plants/Solar thermal power plants/Electricity only/S</v>
      </c>
      <c r="F599" s="76" t="str">
        <f>A597</f>
        <v>Solar thermal power plants</v>
      </c>
      <c r="G599" s="76" t="str">
        <f>B597</f>
        <v>Solar thermal power plants</v>
      </c>
      <c r="H599" s="76" t="str">
        <f>C597</f>
        <v>Electricity only</v>
      </c>
      <c r="I599" s="76" t="str">
        <f t="shared" si="360"/>
        <v>S</v>
      </c>
      <c r="J599" s="119">
        <f>IF(tech_base!$T255&gt;J$345,"",J879+J1159+J1439)</f>
        <v>185.83355277514207</v>
      </c>
      <c r="K599" s="119">
        <f>IF(tech_base!$T255&gt;K$345,"",K879+K1159+K1439)</f>
        <v>185.81123968249261</v>
      </c>
      <c r="L599" s="119">
        <f>IF(tech_base!$T255&gt;L$345,"",L879+L1159+L1439)</f>
        <v>185.78400622729774</v>
      </c>
      <c r="M599" s="119">
        <f>IF(tech_base!$T255&gt;M$345,"",M879+M1159+M1439)</f>
        <v>185.75077273996797</v>
      </c>
      <c r="N599" s="119">
        <f>IF(tech_base!$T255&gt;N$345,"",N879+N1159+N1439)</f>
        <v>185.71022525748413</v>
      </c>
      <c r="O599" s="119">
        <f>IF(tech_base!$T255&gt;O$345,"",O879+O1159+O1439)</f>
        <v>185.66076596240472</v>
      </c>
      <c r="P599" s="119">
        <f>IF(tech_base!$T255&gt;P$345,"",P879+P1159+P1439)</f>
        <v>185.60045376726097</v>
      </c>
      <c r="Q599" s="119">
        <f>IF(tech_base!$T255&gt;Q$345,"",Q879+Q1159+Q1439)</f>
        <v>185.5269333971965</v>
      </c>
      <c r="R599" s="119">
        <f>IF(tech_base!$T255&gt;R$345,"",R879+R1159+R1439)</f>
        <v>185.43735120963754</v>
      </c>
      <c r="S599" s="119">
        <f>IF(tech_base!$T255&gt;S$345,"",S879+S1159+S1439)</f>
        <v>185.32825596383279</v>
      </c>
      <c r="T599" s="119">
        <f>IF(tech_base!$T255&gt;T$345,"",T879+T1159+T1439)</f>
        <v>185.19548288276243</v>
      </c>
      <c r="U599" s="119">
        <f>IF(tech_base!$T255&gt;U$345,"",U879+U1159+U1439)</f>
        <v>185.03401973522003</v>
      </c>
      <c r="V599" s="119">
        <f>IF(tech_base!$T255&gt;V$345,"",V879+V1159+V1439)</f>
        <v>184.83785445079855</v>
      </c>
      <c r="W599" s="119">
        <f>IF(tech_base!$T255&gt;W$345,"",W879+W1159+W1439)</f>
        <v>184.59980516586623</v>
      </c>
      <c r="X599" s="119">
        <f>IF(tech_base!$T255&gt;X$345,"",X879+X1159+X1439)</f>
        <v>184.31133585419181</v>
      </c>
      <c r="Y599" s="119">
        <f>IF(tech_base!$T255&gt;Y$345,"",Y879+Y1159+Y1439)</f>
        <v>183.96236416711315</v>
      </c>
      <c r="Z599" s="119">
        <f>IF(tech_base!$T255&gt;Z$345,"",Z879+Z1159+Z1439)</f>
        <v>183.54107320784954</v>
      </c>
      <c r="AA599" s="119">
        <f>IF(tech_base!$T255&gt;AA$345,"",AA879+AA1159+AA1439)</f>
        <v>183.03374613349962</v>
      </c>
      <c r="AB599" s="119">
        <f>IF(tech_base!$T255&gt;AB$345,"",AB879+AB1159+AB1439)</f>
        <v>182.42465208870351</v>
      </c>
      <c r="AC599" s="119">
        <f>IF(tech_base!$T255&gt;AC$345,"",AC879+AC1159+AC1439)</f>
        <v>181.69602414098864</v>
      </c>
      <c r="AD599" s="119">
        <f>IF(tech_base!$T255&gt;AD$345,"",AD879+AD1159+AD1439)</f>
        <v>180.82818413992527</v>
      </c>
      <c r="AE599" s="119">
        <f>IF(tech_base!$T255&gt;AE$345,"",AE879+AE1159+AE1439)</f>
        <v>179.79988421336597</v>
      </c>
      <c r="AF599" s="119">
        <f>IF(tech_base!$T255&gt;AF$345,"",AF879+AF1159+AF1439)</f>
        <v>178.58894667339752</v>
      </c>
      <c r="AG599" s="119">
        <f>IF(tech_base!$T255&gt;AG$345,"",AG879+AG1159+AG1439)</f>
        <v>177.17328777385103</v>
      </c>
      <c r="AH599" s="119">
        <f>IF(tech_base!$T255&gt;AH$345,"",AH879+AH1159+AH1439)</f>
        <v>175.53239766771401</v>
      </c>
      <c r="AI599" s="119">
        <f>IF(tech_base!$T255&gt;AI$345,"",AI879+AI1159+AI1439)</f>
        <v>173.64930864138873</v>
      </c>
      <c r="AJ599" s="119">
        <f>IF(tech_base!$T255&gt;AJ$345,"",AJ879+AJ1159+AJ1439)</f>
        <v>171.51300639224448</v>
      </c>
      <c r="AK599" s="119">
        <f>IF(tech_base!$T255&gt;AK$345,"",AK879+AK1159+AK1439)</f>
        <v>169.12112079484763</v>
      </c>
      <c r="AL599" s="119">
        <f>IF(tech_base!$T255&gt;AL$345,"",AL879+AL1159+AL1439)</f>
        <v>166.48258305078295</v>
      </c>
      <c r="AM599" s="119">
        <f>IF(tech_base!$T255&gt;AM$345,"",AM879+AM1159+AM1439)</f>
        <v>163.61978668606312</v>
      </c>
      <c r="AN599" s="119">
        <f>IF(tech_base!$T255&gt;AN$345,"",AN879+AN1159+AN1439)</f>
        <v>160.56969544353521</v>
      </c>
      <c r="AO599" s="119">
        <f>IF(tech_base!$T255&gt;AO$345,"",AO879+AO1159+AO1439)</f>
        <v>157.38336877791218</v>
      </c>
      <c r="AP599" s="119">
        <f>IF(tech_base!$T255&gt;AP$345,"",AP879+AP1159+AP1439)</f>
        <v>154.12357607273523</v>
      </c>
      <c r="AQ599" s="119">
        <f>IF(tech_base!$T255&gt;AQ$345,"",AQ879+AQ1159+AQ1439)</f>
        <v>150.8605400785369</v>
      </c>
      <c r="AR599" s="119">
        <f>IF(tech_base!$T255&gt;AR$345,"",AR879+AR1159+AR1439)</f>
        <v>147.66630483285789</v>
      </c>
      <c r="AS599" s="119">
        <f>IF(tech_base!$T255&gt;AS$345,"",AS879+AS1159+AS1439)</f>
        <v>144.6086139009837</v>
      </c>
      <c r="AT599" s="119">
        <f>IF(tech_base!$T255&gt;AT$345,"",AT879+AT1159+AT1439)</f>
        <v>141.74535641565078</v>
      </c>
      <c r="AU599" s="119">
        <f>IF(tech_base!$T255&gt;AU$345,"",AU879+AU1159+AU1439)</f>
        <v>139.12051113788183</v>
      </c>
      <c r="AV599" s="119">
        <f>IF(tech_base!$T255&gt;AV$345,"",AV879+AV1159+AV1439)</f>
        <v>136.76213534974909</v>
      </c>
      <c r="AW599" s="119">
        <f>IF(tech_base!$T255&gt;AW$345,"",AW879+AW1159+AW1439)</f>
        <v>134.68245146622692</v>
      </c>
      <c r="AX599" s="120">
        <f>IF(tech_base!$T255&gt;AX$345,"",AX879+AX1159+AX1439)</f>
        <v>132.87965278410903</v>
      </c>
    </row>
    <row r="600" spans="1:50" x14ac:dyDescent="0.25">
      <c r="A600" s="375"/>
      <c r="B600" s="380"/>
      <c r="C600" s="381"/>
      <c r="D600" s="4" t="s">
        <v>20</v>
      </c>
      <c r="E600" s="80" t="str">
        <f>A597&amp;"/"&amp;B597&amp;"/"&amp;C597&amp;"/"&amp;D600</f>
        <v>Solar thermal power plants/Solar thermal power plants/Electricity only/XS</v>
      </c>
      <c r="F600" s="80" t="str">
        <f>A597</f>
        <v>Solar thermal power plants</v>
      </c>
      <c r="G600" s="80" t="str">
        <f>B597</f>
        <v>Solar thermal power plants</v>
      </c>
      <c r="H600" s="80" t="str">
        <f>C597</f>
        <v>Electricity only</v>
      </c>
      <c r="I600" s="80" t="str">
        <f t="shared" si="360"/>
        <v>XS</v>
      </c>
      <c r="J600" s="127">
        <f>IF(tech_base!$T256&gt;J$345,"",J880+J1160+J1440)</f>
        <v>229.55588798490365</v>
      </c>
      <c r="K600" s="127">
        <f>IF(tech_base!$T256&gt;K$345,"",K880+K1160+K1440)</f>
        <v>229.53800545822921</v>
      </c>
      <c r="L600" s="127">
        <f>IF(tech_base!$T256&gt;L$345,"",L880+L1160+L1440)</f>
        <v>229.51617534167858</v>
      </c>
      <c r="M600" s="127">
        <f>IF(tech_base!$T256&gt;M$345,"",M880+M1160+M1440)</f>
        <v>229.48952934306772</v>
      </c>
      <c r="N600" s="127">
        <f>IF(tech_base!$T256&gt;N$345,"",N880+N1160+N1440)</f>
        <v>229.4570097264</v>
      </c>
      <c r="O600" s="127">
        <f>IF(tech_base!$T256&gt;O$345,"",O880+O1160+O1440)</f>
        <v>229.41732873472333</v>
      </c>
      <c r="P600" s="127">
        <f>IF(tech_base!$T256&gt;P$345,"",P880+P1160+P1440)</f>
        <v>229.36891969278324</v>
      </c>
      <c r="Q600" s="127">
        <f>IF(tech_base!$T256&gt;Q$345,"",Q880+Q1160+Q1440)</f>
        <v>229.30987826704003</v>
      </c>
      <c r="R600" s="127">
        <f>IF(tech_base!$T256&gt;R$345,"",R880+R1160+R1440)</f>
        <v>229.2378921753224</v>
      </c>
      <c r="S600" s="127">
        <f>IF(tech_base!$T256&gt;S$345,"",S880+S1160+S1440)</f>
        <v>229.1501574823202</v>
      </c>
      <c r="T600" s="127">
        <f>IF(tech_base!$T256&gt;T$345,"",T880+T1160+T1440)</f>
        <v>229.04327952779963</v>
      </c>
      <c r="U600" s="127">
        <f>IF(tech_base!$T256&gt;U$345,"",U880+U1160+U1440)</f>
        <v>228.91315657022406</v>
      </c>
      <c r="V600" s="127">
        <f>IF(tech_base!$T256&gt;V$345,"",V880+V1160+V1440)</f>
        <v>228.75484447725697</v>
      </c>
      <c r="W600" s="127">
        <f>IF(tech_base!$T256&gt;W$345,"",W880+W1160+W1440)</f>
        <v>228.56240138489588</v>
      </c>
      <c r="X600" s="127">
        <f>IF(tech_base!$T256&gt;X$345,"",X880+X1160+X1440)</f>
        <v>228.32871236094232</v>
      </c>
      <c r="Y600" s="127">
        <f>IF(tech_base!$T256&gt;Y$345,"",Y880+Y1160+Y1440)</f>
        <v>228.04529599599226</v>
      </c>
      <c r="Z600" s="127">
        <f>IF(tech_base!$T256&gt;Z$345,"",Z880+Z1160+Z1440)</f>
        <v>227.70209783458824</v>
      </c>
      <c r="AA600" s="127">
        <f>IF(tech_base!$T256&gt;AA$345,"",AA880+AA1160+AA1440)</f>
        <v>227.2872800586855</v>
      </c>
      <c r="AB600" s="127">
        <f>IF(tech_base!$T256&gt;AB$345,"",AB880+AB1160+AB1440)</f>
        <v>226.78702331047691</v>
      </c>
      <c r="AC600" s="127">
        <f>IF(tech_base!$T256&gt;AC$345,"",AC880+AC1160+AC1440)</f>
        <v>226.18536544671514</v>
      </c>
      <c r="AD600" s="127">
        <f>IF(tech_base!$T256&gt;AD$345,"",AD880+AD1160+AD1440)</f>
        <v>225.464113650331</v>
      </c>
      <c r="AE600" s="127">
        <f>IF(tech_base!$T256&gt;AE$345,"",AE880+AE1160+AE1440)</f>
        <v>224.60288056215282</v>
      </c>
      <c r="AF600" s="127">
        <f>IF(tech_base!$T256&gt;AF$345,"",AF880+AF1160+AF1440)</f>
        <v>223.57931095623445</v>
      </c>
      <c r="AG600" s="127">
        <f>IF(tech_base!$T256&gt;AG$345,"",AG880+AG1160+AG1440)</f>
        <v>222.36958052259763</v>
      </c>
      <c r="AH600" s="127">
        <f>IF(tech_base!$T256&gt;AH$345,"",AH880+AH1160+AH1440)</f>
        <v>220.94925791258299</v>
      </c>
      <c r="AI600" s="127">
        <f>IF(tech_base!$T256&gt;AI$345,"",AI880+AI1160+AI1440)</f>
        <v>219.29461794650294</v>
      </c>
      <c r="AJ600" s="127">
        <f>IF(tech_base!$T256&gt;AJ$345,"",AJ880+AJ1160+AJ1440)</f>
        <v>217.38446769105963</v>
      </c>
      <c r="AK600" s="127">
        <f>IF(tech_base!$T256&gt;AK$345,"",AK880+AK1160+AK1440)</f>
        <v>215.20248679582397</v>
      </c>
      <c r="AL600" s="127">
        <f>IF(tech_base!$T256&gt;AL$345,"",AL880+AL1160+AL1440)</f>
        <v>212.73998083507612</v>
      </c>
      <c r="AM600" s="127">
        <f>IF(tech_base!$T256&gt;AM$345,"",AM880+AM1160+AM1440)</f>
        <v>209.99880326033545</v>
      </c>
      <c r="AN600" s="127">
        <f>IF(tech_base!$T256&gt;AN$345,"",AN880+AN1160+AN1440)</f>
        <v>206.99403845621705</v>
      </c>
      <c r="AO600" s="127">
        <f>IF(tech_base!$T256&gt;AO$345,"",AO880+AO1160+AO1440)</f>
        <v>203.7559004909098</v>
      </c>
      <c r="AP600" s="127">
        <f>IF(tech_base!$T256&gt;AP$345,"",AP880+AP1160+AP1440)</f>
        <v>200.33025525835765</v>
      </c>
      <c r="AQ600" s="127">
        <f>IF(tech_base!$T256&gt;AQ$345,"",AQ880+AQ1160+AQ1440)</f>
        <v>196.77728351395248</v>
      </c>
      <c r="AR600" s="127">
        <f>IF(tech_base!$T256&gt;AR$345,"",AR880+AR1160+AR1440)</f>
        <v>193.16809825687994</v>
      </c>
      <c r="AS600" s="127">
        <f>IF(tech_base!$T256&gt;AS$345,"",AS880+AS1160+AS1440)</f>
        <v>189.57956938591713</v>
      </c>
      <c r="AT600" s="127">
        <f>IF(tech_base!$T256&gt;AT$345,"",AT880+AT1160+AT1440)</f>
        <v>186.0880683517652</v>
      </c>
      <c r="AU600" s="127">
        <f>IF(tech_base!$T256&gt;AU$345,"",AU880+AU1160+AU1440)</f>
        <v>182.76316077756474</v>
      </c>
      <c r="AV600" s="127">
        <f>IF(tech_base!$T256&gt;AV$345,"",AV880+AV1160+AV1440)</f>
        <v>179.66231573205329</v>
      </c>
      <c r="AW600" s="127">
        <f>IF(tech_base!$T256&gt;AW$345,"",AW880+AW1160+AW1440)</f>
        <v>176.8274422325552</v>
      </c>
      <c r="AX600" s="128">
        <f>IF(tech_base!$T256&gt;AX$345,"",AX880+AX1160+AX1440)</f>
        <v>174.28360460951873</v>
      </c>
    </row>
    <row r="601" spans="1:50" x14ac:dyDescent="0.25">
      <c r="A601" s="355" t="s">
        <v>39</v>
      </c>
      <c r="B601" s="358" t="s">
        <v>39</v>
      </c>
      <c r="C601" s="353" t="s">
        <v>6</v>
      </c>
      <c r="D601" s="3" t="s">
        <v>7</v>
      </c>
      <c r="E601" s="77" t="str">
        <f>A601&amp;"/"&amp;B601&amp;"/"&amp;C601&amp;"/"&amp;D601</f>
        <v>Geothermal power plants/Geothermal power plants/Electricity only/L</v>
      </c>
      <c r="F601" s="77" t="str">
        <f>A601</f>
        <v>Geothermal power plants</v>
      </c>
      <c r="G601" s="77" t="str">
        <f>B601</f>
        <v>Geothermal power plants</v>
      </c>
      <c r="H601" s="77" t="str">
        <f>C601</f>
        <v>Electricity only</v>
      </c>
      <c r="I601" s="77" t="str">
        <f t="shared" si="360"/>
        <v>L</v>
      </c>
      <c r="J601" s="121">
        <f>IF(tech_base!$T257&gt;J$345,"",J881+J1161+J1441)</f>
        <v>188.74370196450369</v>
      </c>
      <c r="K601" s="121">
        <f>IF(tech_base!$T257&gt;K$345,"",K881+K1161+K1441)</f>
        <v>188.60394755188503</v>
      </c>
      <c r="L601" s="121">
        <f>IF(tech_base!$T257&gt;L$345,"",L881+L1161+L1441)</f>
        <v>188.44196560599562</v>
      </c>
      <c r="M601" s="121">
        <f>IF(tech_base!$T257&gt;M$345,"",M881+M1161+M1441)</f>
        <v>188.25429340715675</v>
      </c>
      <c r="N601" s="121">
        <f>IF(tech_base!$T257&gt;N$345,"",N881+N1161+N1441)</f>
        <v>188.03695386921549</v>
      </c>
      <c r="O601" s="121">
        <f>IF(tech_base!$T257&gt;O$345,"",O881+O1161+O1441)</f>
        <v>187.78538782881995</v>
      </c>
      <c r="P601" s="121">
        <f>IF(tech_base!$T257&gt;P$345,"",P881+P1161+P1441)</f>
        <v>187.49438049586013</v>
      </c>
      <c r="Q601" s="121">
        <f>IF(tech_base!$T257&gt;Q$345,"",Q881+Q1161+Q1441)</f>
        <v>187.15798273926737</v>
      </c>
      <c r="R601" s="121">
        <f>IF(tech_base!$T257&gt;R$345,"",R881+R1161+R1441)</f>
        <v>186.76942846585177</v>
      </c>
      <c r="S601" s="121">
        <f>IF(tech_base!$T257&gt;S$345,"",S881+S1161+S1441)</f>
        <v>186.32105014577019</v>
      </c>
      <c r="T601" s="121">
        <f>IF(tech_base!$T257&gt;T$345,"",T881+T1161+T1441)</f>
        <v>185.80419559834104</v>
      </c>
      <c r="U601" s="121">
        <f>IF(tech_base!$T257&gt;U$345,"",U881+U1161+U1441)</f>
        <v>185.20915053143153</v>
      </c>
      <c r="V601" s="121">
        <f>IF(tech_base!$T257&gt;V$345,"",V881+V1161+V1441)</f>
        <v>184.52507307953204</v>
      </c>
      <c r="W601" s="121">
        <f>IF(tech_base!$T257&gt;W$345,"",W881+W1161+W1441)</f>
        <v>183.73994875069553</v>
      </c>
      <c r="X601" s="121">
        <f>IF(tech_base!$T257&gt;X$345,"",X881+X1161+X1441)</f>
        <v>182.84057678324302</v>
      </c>
      <c r="Y601" s="121">
        <f>IF(tech_base!$T257&gt;Y$345,"",Y881+Y1161+Y1441)</f>
        <v>181.81260188931986</v>
      </c>
      <c r="Z601" s="121">
        <f>IF(tech_base!$T257&gt;Z$345,"",Z881+Z1161+Z1441)</f>
        <v>180.64060859665264</v>
      </c>
      <c r="AA601" s="121">
        <f>IF(tech_base!$T257&gt;AA$345,"",AA881+AA1161+AA1441)</f>
        <v>179.30829863222044</v>
      </c>
      <c r="AB601" s="121">
        <f>IF(tech_base!$T257&gt;AB$345,"",AB881+AB1161+AB1441)</f>
        <v>177.79877457461239</v>
      </c>
      <c r="AC601" s="121">
        <f>IF(tech_base!$T257&gt;AC$345,"",AC881+AC1161+AC1441)</f>
        <v>176.0949546431375</v>
      </c>
      <c r="AD601" s="121">
        <f>IF(tech_base!$T257&gt;AD$345,"",AD881+AD1161+AD1441)</f>
        <v>174.18014300751793</v>
      </c>
      <c r="AE601" s="121">
        <f>IF(tech_base!$T257&gt;AE$345,"",AE881+AE1161+AE1441)</f>
        <v>172.03877610821155</v>
      </c>
      <c r="AF601" s="121">
        <f>IF(tech_base!$T257&gt;AF$345,"",AF881+AF1161+AF1441)</f>
        <v>169.65735665732967</v>
      </c>
      <c r="AG601" s="121">
        <f>IF(tech_base!$T257&gt;AG$345,"",AG881+AG1161+AG1441)</f>
        <v>167.02557169011109</v>
      </c>
      <c r="AH601" s="121">
        <f>IF(tech_base!$T257&gt;AH$345,"",AH881+AH1161+AH1441)</f>
        <v>164.13756804432163</v>
      </c>
      <c r="AI601" s="121">
        <f>IF(tech_base!$T257&gt;AI$345,"",AI881+AI1161+AI1441)</f>
        <v>160.99332768071795</v>
      </c>
      <c r="AJ601" s="121">
        <f>IF(tech_base!$T257&gt;AJ$345,"",AJ881+AJ1161+AJ1441)</f>
        <v>157.60004775533326</v>
      </c>
      <c r="AK601" s="121">
        <f>IF(tech_base!$T257&gt;AK$345,"",AK881+AK1161+AK1441)</f>
        <v>153.97339028248697</v>
      </c>
      <c r="AL601" s="121">
        <f>IF(tech_base!$T257&gt;AL$345,"",AL881+AL1161+AL1441)</f>
        <v>150.13843065558103</v>
      </c>
      <c r="AM601" s="121">
        <f>IF(tech_base!$T257&gt;AM$345,"",AM881+AM1161+AM1441)</f>
        <v>146.13011324383029</v>
      </c>
      <c r="AN601" s="121">
        <f>IF(tech_base!$T257&gt;AN$345,"",AN881+AN1161+AN1441)</f>
        <v>141.99302736960078</v>
      </c>
      <c r="AO601" s="121">
        <f>IF(tech_base!$T257&gt;AO$345,"",AO881+AO1161+AO1441)</f>
        <v>137.78035851149372</v>
      </c>
      <c r="AP601" s="121">
        <f>IF(tech_base!$T257&gt;AP$345,"",AP881+AP1161+AP1441)</f>
        <v>133.55195244504043</v>
      </c>
      <c r="AQ601" s="121">
        <f>IF(tech_base!$T257&gt;AQ$345,"",AQ881+AQ1161+AQ1441)</f>
        <v>129.37154933390079</v>
      </c>
      <c r="AR601" s="121">
        <f>IF(tech_base!$T257&gt;AR$345,"",AR881+AR1161+AR1441)</f>
        <v>125.30338329378216</v>
      </c>
      <c r="AS601" s="121">
        <f>IF(tech_base!$T257&gt;AS$345,"",AS881+AS1161+AS1441)</f>
        <v>121.40847238643425</v>
      </c>
      <c r="AT601" s="121">
        <f>IF(tech_base!$T257&gt;AT$345,"",AT881+AT1161+AT1441)</f>
        <v>117.74101126045419</v>
      </c>
      <c r="AU601" s="121">
        <f>IF(tech_base!$T257&gt;AU$345,"",AU881+AU1161+AU1441)</f>
        <v>114.34529596486408</v>
      </c>
      <c r="AV601" s="121">
        <f>IF(tech_base!$T257&gt;AV$345,"",AV881+AV1161+AV1441)</f>
        <v>111.25354592272929</v>
      </c>
      <c r="AW601" s="121">
        <f>IF(tech_base!$T257&gt;AW$345,"",AW881+AW1161+AW1441)</f>
        <v>108.48485186987526</v>
      </c>
      <c r="AX601" s="122">
        <f>IF(tech_base!$T257&gt;AX$345,"",AX881+AX1161+AX1441)</f>
        <v>106.04530143534143</v>
      </c>
    </row>
    <row r="602" spans="1:50" x14ac:dyDescent="0.25">
      <c r="A602" s="356"/>
      <c r="B602" s="376"/>
      <c r="C602" s="378"/>
      <c r="D602" s="2" t="s">
        <v>8</v>
      </c>
      <c r="E602" s="76" t="str">
        <f>A601&amp;"/"&amp;B601&amp;"/"&amp;C601&amp;"/"&amp;D602</f>
        <v>Geothermal power plants/Geothermal power plants/Electricity only/M</v>
      </c>
      <c r="F602" s="76" t="str">
        <f>A601</f>
        <v>Geothermal power plants</v>
      </c>
      <c r="G602" s="76" t="str">
        <f>B601</f>
        <v>Geothermal power plants</v>
      </c>
      <c r="H602" s="76" t="str">
        <f>C601</f>
        <v>Electricity only</v>
      </c>
      <c r="I602" s="76" t="str">
        <f t="shared" si="360"/>
        <v>M</v>
      </c>
      <c r="J602" s="119">
        <f>IF(tech_base!$T258&gt;J$345,"",J882+J1162+J1442)</f>
        <v>217.05804329478954</v>
      </c>
      <c r="K602" s="119">
        <f>IF(tech_base!$T258&gt;K$345,"",K882+K1162+K1442)</f>
        <v>216.86238483044539</v>
      </c>
      <c r="L602" s="119">
        <f>IF(tech_base!$T258&gt;L$345,"",L882+L1162+L1442)</f>
        <v>216.63567328656745</v>
      </c>
      <c r="M602" s="119">
        <f>IF(tech_base!$T258&gt;M$345,"",M882+M1162+M1442)</f>
        <v>216.37309388732581</v>
      </c>
      <c r="N602" s="119">
        <f>IF(tech_base!$T258&gt;N$345,"",N882+N1162+N1442)</f>
        <v>216.06912460654223</v>
      </c>
      <c r="O602" s="119">
        <f>IF(tech_base!$T258&gt;O$345,"",O882+O1162+O1442)</f>
        <v>215.71744590034848</v>
      </c>
      <c r="P602" s="119">
        <f>IF(tech_base!$T258&gt;P$345,"",P882+P1162+P1442)</f>
        <v>215.31084375367266</v>
      </c>
      <c r="Q602" s="119">
        <f>IF(tech_base!$T258&gt;Q$345,"",Q882+Q1162+Q1442)</f>
        <v>214.84110743589005</v>
      </c>
      <c r="R602" s="119">
        <f>IF(tech_base!$T258&gt;R$345,"",R882+R1162+R1442)</f>
        <v>214.29892429671509</v>
      </c>
      <c r="S602" s="119">
        <f>IF(tech_base!$T258&gt;S$345,"",S882+S1162+S1442)</f>
        <v>213.67377518796411</v>
      </c>
      <c r="T602" s="119">
        <f>IF(tech_base!$T258&gt;T$345,"",T882+T1162+T1442)</f>
        <v>212.95383574057439</v>
      </c>
      <c r="U602" s="119">
        <f>IF(tech_base!$T258&gt;U$345,"",U882+U1162+U1442)</f>
        <v>212.12589082955071</v>
      </c>
      <c r="V602" s="119">
        <f>IF(tech_base!$T258&gt;V$345,"",V882+V1162+V1442)</f>
        <v>211.175272181813</v>
      </c>
      <c r="W602" s="119">
        <f>IF(tech_base!$T258&gt;W$345,"",W882+W1162+W1442)</f>
        <v>210.0858322536962</v>
      </c>
      <c r="X602" s="119">
        <f>IF(tech_base!$T258&gt;X$345,"",X882+X1162+X1442)</f>
        <v>208.83997119957064</v>
      </c>
      <c r="Y602" s="119">
        <f>IF(tech_base!$T258&gt;Y$345,"",Y882+Y1162+Y1442)</f>
        <v>207.4187378465794</v>
      </c>
      <c r="Z602" s="119">
        <f>IF(tech_base!$T258&gt;Z$345,"",Z882+Z1162+Z1442)</f>
        <v>205.80202980605515</v>
      </c>
      <c r="AA602" s="119">
        <f>IF(tech_base!$T258&gt;AA$345,"",AA882+AA1162+AA1442)</f>
        <v>203.9689216915142</v>
      </c>
      <c r="AB602" s="119">
        <f>IF(tech_base!$T258&gt;AB$345,"",AB882+AB1162+AB1442)</f>
        <v>201.89815307953069</v>
      </c>
      <c r="AC602" s="119">
        <f>IF(tech_base!$T258&gt;AC$345,"",AC882+AC1162+AC1442)</f>
        <v>199.56880817780223</v>
      </c>
      <c r="AD602" s="119">
        <f>IF(tech_base!$T258&gt;AD$345,"",AD882+AD1162+AD1442)</f>
        <v>196.96121558470563</v>
      </c>
      <c r="AE602" s="119">
        <f>IF(tech_base!$T258&gt;AE$345,"",AE882+AE1162+AE1442)</f>
        <v>194.05808710857593</v>
      </c>
      <c r="AF602" s="119">
        <f>IF(tech_base!$T258&gt;AF$345,"",AF882+AF1162+AF1442)</f>
        <v>190.84589726790898</v>
      </c>
      <c r="AG602" s="119">
        <f>IF(tech_base!$T258&gt;AG$345,"",AG882+AG1162+AG1442)</f>
        <v>187.31647796666184</v>
      </c>
      <c r="AH602" s="119">
        <f>IF(tech_base!$T258&gt;AH$345,"",AH882+AH1162+AH1442)</f>
        <v>183.46876502464158</v>
      </c>
      <c r="AI602" s="119">
        <f>IF(tech_base!$T258&gt;AI$345,"",AI882+AI1162+AI1442)</f>
        <v>179.31058575828254</v>
      </c>
      <c r="AJ602" s="119">
        <f>IF(tech_base!$T258&gt;AJ$345,"",AJ882+AJ1162+AJ1442)</f>
        <v>174.86032373506376</v>
      </c>
      <c r="AK602" s="119">
        <f>IF(tech_base!$T258&gt;AK$345,"",AK882+AK1162+AK1442)</f>
        <v>170.14824629221607</v>
      </c>
      <c r="AL602" s="119">
        <f>IF(tech_base!$T258&gt;AL$345,"",AL882+AL1162+AL1442)</f>
        <v>165.21724483899152</v>
      </c>
      <c r="AM602" s="119">
        <f>IF(tech_base!$T258&gt;AM$345,"",AM882+AM1162+AM1442)</f>
        <v>160.12273287929247</v>
      </c>
      <c r="AN602" s="119">
        <f>IF(tech_base!$T258&gt;AN$345,"",AN882+AN1162+AN1442)</f>
        <v>154.93148750136962</v>
      </c>
      <c r="AO602" s="119">
        <f>IF(tech_base!$T258&gt;AO$345,"",AO882+AO1162+AO1442)</f>
        <v>149.71931676775907</v>
      </c>
      <c r="AP602" s="119">
        <f>IF(tech_base!$T258&gt;AP$345,"",AP882+AP1162+AP1442)</f>
        <v>144.56758626883791</v>
      </c>
      <c r="AQ602" s="119">
        <f>IF(tech_base!$T258&gt;AQ$345,"",AQ882+AQ1162+AQ1442)</f>
        <v>139.55882468297767</v>
      </c>
      <c r="AR602" s="119">
        <f>IF(tech_base!$T258&gt;AR$345,"",AR882+AR1162+AR1442)</f>
        <v>134.77181498581606</v>
      </c>
      <c r="AS602" s="119">
        <f>IF(tech_base!$T258&gt;AS$345,"",AS882+AS1162+AS1442)</f>
        <v>130.27671873472426</v>
      </c>
      <c r="AT602" s="119">
        <f>IF(tech_base!$T258&gt;AT$345,"",AT882+AT1162+AT1442)</f>
        <v>126.13083185359417</v>
      </c>
      <c r="AU602" s="119">
        <f>IF(tech_base!$T258&gt;AU$345,"",AU882+AU1162+AU1442)</f>
        <v>122.37550627585595</v>
      </c>
      <c r="AV602" s="119">
        <f>IF(tech_base!$T258&gt;AV$345,"",AV882+AV1162+AV1442)</f>
        <v>119.03459798044931</v>
      </c>
      <c r="AW602" s="119">
        <f>IF(tech_base!$T258&gt;AW$345,"",AW882+AW1162+AW1442)</f>
        <v>116.11455601491677</v>
      </c>
      <c r="AX602" s="120">
        <f>IF(tech_base!$T258&gt;AX$345,"",AX882+AX1162+AX1442)</f>
        <v>113.60600812561705</v>
      </c>
    </row>
    <row r="603" spans="1:50" x14ac:dyDescent="0.25">
      <c r="A603" s="357"/>
      <c r="B603" s="380"/>
      <c r="C603" s="381"/>
      <c r="D603" s="4" t="s">
        <v>10</v>
      </c>
      <c r="E603" s="80" t="str">
        <f>A601&amp;"/"&amp;B601&amp;"/"&amp;C601&amp;"/"&amp;D603</f>
        <v>Geothermal power plants/Geothermal power plants/Electricity only/S</v>
      </c>
      <c r="F603" s="80" t="str">
        <f>A601</f>
        <v>Geothermal power plants</v>
      </c>
      <c r="G603" s="80" t="str">
        <f>B601</f>
        <v>Geothermal power plants</v>
      </c>
      <c r="H603" s="80" t="str">
        <f>C601</f>
        <v>Electricity only</v>
      </c>
      <c r="I603" s="80" t="str">
        <f t="shared" ref="I603:I617" si="361">D603</f>
        <v>S</v>
      </c>
      <c r="J603" s="127">
        <f>IF(tech_base!$T259&gt;J$345,"",J883+J1163+J1443)</f>
        <v>280.54322950152493</v>
      </c>
      <c r="K603" s="127">
        <f>IF(tech_base!$T259&gt;K$345,"",K883+K1163+K1443)</f>
        <v>280.39863772964628</v>
      </c>
      <c r="L603" s="127">
        <f>IF(tech_base!$T259&gt;L$345,"",L883+L1163+L1443)</f>
        <v>280.23088417300045</v>
      </c>
      <c r="M603" s="127">
        <f>IF(tech_base!$T259&gt;M$345,"",M883+M1163+M1443)</f>
        <v>280.03630313437054</v>
      </c>
      <c r="N603" s="127">
        <f>IF(tech_base!$T259&gt;N$345,"",N883+N1163+N1443)</f>
        <v>279.81066424726288</v>
      </c>
      <c r="O603" s="127">
        <f>IF(tech_base!$T259&gt;O$345,"",O883+O1163+O1443)</f>
        <v>279.54909088599817</v>
      </c>
      <c r="P603" s="127">
        <f>IF(tech_base!$T259&gt;P$345,"",P883+P1163+P1443)</f>
        <v>279.2459686852996</v>
      </c>
      <c r="Q603" s="127">
        <f>IF(tech_base!$T259&gt;Q$345,"",Q883+Q1163+Q1443)</f>
        <v>278.89484366543093</v>
      </c>
      <c r="R603" s="127">
        <f>IF(tech_base!$T259&gt;R$345,"",R883+R1163+R1443)</f>
        <v>278.48830972662199</v>
      </c>
      <c r="S603" s="127">
        <f>IF(tech_base!$T259&gt;S$345,"",S883+S1163+S1443)</f>
        <v>278.01788569103968</v>
      </c>
      <c r="T603" s="127">
        <f>IF(tech_base!$T259&gt;T$345,"",T883+T1163+T1443)</f>
        <v>277.47388268199603</v>
      </c>
      <c r="U603" s="127">
        <f>IF(tech_base!$T259&gt;U$345,"",U883+U1163+U1443)</f>
        <v>276.8452635007904</v>
      </c>
      <c r="V603" s="127">
        <f>IF(tech_base!$T259&gt;V$345,"",V883+V1163+V1443)</f>
        <v>276.11949686713717</v>
      </c>
      <c r="W603" s="127">
        <f>IF(tech_base!$T259&gt;W$345,"",W883+W1163+W1443)</f>
        <v>275.28241101812085</v>
      </c>
      <c r="X603" s="127">
        <f>IF(tech_base!$T259&gt;X$345,"",X883+X1163+X1443)</f>
        <v>274.31805331204885</v>
      </c>
      <c r="Y603" s="127">
        <f>IF(tech_base!$T259&gt;Y$345,"",Y883+Y1163+Y1443)</f>
        <v>273.20856526036874</v>
      </c>
      <c r="Z603" s="127">
        <f>IF(tech_base!$T259&gt;Z$345,"",Z883+Z1163+Z1443)</f>
        <v>271.93408590719696</v>
      </c>
      <c r="AA603" s="127">
        <f>IF(tech_base!$T259&gt;AA$345,"",AA883+AA1163+AA1443)</f>
        <v>270.47270075558879</v>
      </c>
      <c r="AB603" s="127">
        <f>IF(tech_base!$T259&gt;AB$345,"",AB883+AB1163+AB1443)</f>
        <v>268.80045850069519</v>
      </c>
      <c r="AC603" s="127">
        <f>IF(tech_base!$T259&gt;AC$345,"",AC883+AC1163+AC1443)</f>
        <v>266.89148355337488</v>
      </c>
      <c r="AD603" s="127">
        <f>IF(tech_base!$T259&gt;AD$345,"",AD883+AD1163+AD1443)</f>
        <v>264.71821841483262</v>
      </c>
      <c r="AE603" s="127">
        <f>IF(tech_base!$T259&gt;AE$345,"",AE883+AE1163+AE1443)</f>
        <v>262.25183580060599</v>
      </c>
      <c r="AF603" s="127">
        <f>IF(tech_base!$T259&gt;AF$345,"",AF883+AF1163+AF1443)</f>
        <v>259.4628650224094</v>
      </c>
      <c r="AG603" s="127">
        <f>IF(tech_base!$T259&gt;AG$345,"",AG883+AG1163+AG1443)</f>
        <v>256.32207902182012</v>
      </c>
      <c r="AH603" s="127">
        <f>IF(tech_base!$T259&gt;AH$345,"",AH883+AH1163+AH1443)</f>
        <v>252.80168552206874</v>
      </c>
      <c r="AI603" s="127">
        <f>IF(tech_base!$T259&gt;AI$345,"",AI883+AI1163+AI1443)</f>
        <v>248.87685534916073</v>
      </c>
      <c r="AJ603" s="127">
        <f>IF(tech_base!$T259&gt;AJ$345,"",AJ883+AJ1163+AJ1443)</f>
        <v>244.52759999205307</v>
      </c>
      <c r="AK603" s="127">
        <f>IF(tech_base!$T259&gt;AK$345,"",AK883+AK1163+AK1443)</f>
        <v>239.74097590646437</v>
      </c>
      <c r="AL603" s="127">
        <f>IF(tech_base!$T259&gt;AL$345,"",AL883+AL1163+AL1443)</f>
        <v>234.51354282862249</v>
      </c>
      <c r="AM603" s="127">
        <f>IF(tech_base!$T259&gt;AM$345,"",AM883+AM1163+AM1443)</f>
        <v>228.85393761593599</v>
      </c>
      <c r="AN603" s="127">
        <f>IF(tech_base!$T259&gt;AN$345,"",AN883+AN1163+AN1443)</f>
        <v>222.78534798002417</v>
      </c>
      <c r="AO603" s="127">
        <f>IF(tech_base!$T259&gt;AO$345,"",AO883+AO1163+AO1443)</f>
        <v>216.34759169486298</v>
      </c>
      <c r="AP603" s="127">
        <f>IF(tech_base!$T259&gt;AP$345,"",AP883+AP1163+AP1443)</f>
        <v>209.59844290496329</v>
      </c>
      <c r="AQ603" s="127">
        <f>IF(tech_base!$T259&gt;AQ$345,"",AQ883+AQ1163+AQ1443)</f>
        <v>202.61382044151361</v>
      </c>
      <c r="AR603" s="127">
        <f>IF(tech_base!$T259&gt;AR$345,"",AR883+AR1163+AR1443)</f>
        <v>195.48648835752419</v>
      </c>
      <c r="AS603" s="127">
        <f>IF(tech_base!$T259&gt;AS$345,"",AS883+AS1163+AS1443)</f>
        <v>188.32303630247623</v>
      </c>
      <c r="AT603" s="127">
        <f>IF(tech_base!$T259&gt;AT$345,"",AT883+AT1163+AT1443)</f>
        <v>181.23911255466948</v>
      </c>
      <c r="AU603" s="127">
        <f>IF(tech_base!$T259&gt;AU$345,"",AU883+AU1163+AU1443)</f>
        <v>174.35315730443406</v>
      </c>
      <c r="AV603" s="127">
        <f>IF(tech_base!$T259&gt;AV$345,"",AV883+AV1163+AV1443)</f>
        <v>167.77918152495019</v>
      </c>
      <c r="AW603" s="127">
        <f>IF(tech_base!$T259&gt;AW$345,"",AW883+AW1163+AW1443)</f>
        <v>161.61938789998726</v>
      </c>
      <c r="AX603" s="128">
        <f>IF(tech_base!$T259&gt;AX$345,"",AX883+AX1163+AX1443)</f>
        <v>155.95755970513704</v>
      </c>
    </row>
    <row r="604" spans="1:50" x14ac:dyDescent="0.25">
      <c r="A604" s="355" t="s">
        <v>40</v>
      </c>
      <c r="B604" s="5" t="s">
        <v>41</v>
      </c>
      <c r="C604" s="6" t="s">
        <v>6</v>
      </c>
      <c r="D604" s="60" t="s">
        <v>8</v>
      </c>
      <c r="E604" s="81" t="str">
        <f>A604&amp;"/"&amp;B604&amp;"/"&amp;C604&amp;"/"&amp;D604</f>
        <v>Tide, wave and ocean power plants/Tidal/Electricity only/M</v>
      </c>
      <c r="F604" s="81" t="str">
        <f>A604</f>
        <v>Tide, wave and ocean power plants</v>
      </c>
      <c r="G604" s="81" t="str">
        <f>B604</f>
        <v>Tidal</v>
      </c>
      <c r="H604" s="81" t="str">
        <f>C604</f>
        <v>Electricity only</v>
      </c>
      <c r="I604" s="81" t="str">
        <f t="shared" si="361"/>
        <v>M</v>
      </c>
      <c r="J604" s="129">
        <f>IF(tech_base!$T260&gt;J$345,"",J884+J1164+J1444)</f>
        <v>243.65655517290682</v>
      </c>
      <c r="K604" s="129">
        <f>IF(tech_base!$T260&gt;K$345,"",K884+K1164+K1444)</f>
        <v>242.83614139877116</v>
      </c>
      <c r="L604" s="129">
        <f>IF(tech_base!$T260&gt;L$345,"",L884+L1164+L1444)</f>
        <v>241.93561403433171</v>
      </c>
      <c r="M604" s="129">
        <f>IF(tech_base!$T260&gt;M$345,"",M884+M1164+M1444)</f>
        <v>240.94784881386221</v>
      </c>
      <c r="N604" s="129">
        <f>IF(tech_base!$T260&gt;N$345,"",N884+N1164+N1444)</f>
        <v>239.8652386081975</v>
      </c>
      <c r="O604" s="129">
        <f>IF(tech_base!$T260&gt;O$345,"",O884+O1164+O1444)</f>
        <v>238.67969445990715</v>
      </c>
      <c r="P604" s="129">
        <f>IF(tech_base!$T260&gt;P$345,"",P884+P1164+P1444)</f>
        <v>237.3826558970984</v>
      </c>
      <c r="Q604" s="129">
        <f>IF(tech_base!$T260&gt;Q$345,"",Q884+Q1164+Q1444)</f>
        <v>235.96511281948003</v>
      </c>
      <c r="R604" s="129">
        <f>IF(tech_base!$T260&gt;R$345,"",R884+R1164+R1444)</f>
        <v>234.41764157585763</v>
      </c>
      <c r="S604" s="129">
        <f>IF(tech_base!$T260&gt;S$345,"",S884+S1164+S1444)</f>
        <v>232.73045817620812</v>
      </c>
      <c r="T604" s="129">
        <f>IF(tech_base!$T260&gt;T$345,"",T884+T1164+T1444)</f>
        <v>230.89349188421374</v>
      </c>
      <c r="U604" s="129">
        <f>IF(tech_base!$T260&gt;U$345,"",U884+U1164+U1444)</f>
        <v>228.89648269042289</v>
      </c>
      <c r="V604" s="129">
        <f>IF(tech_base!$T260&gt;V$345,"",V884+V1164+V1444)</f>
        <v>226.7291063357348</v>
      </c>
      <c r="W604" s="129">
        <f>IF(tech_base!$T260&gt;W$345,"",W884+W1164+W1444)</f>
        <v>224.38113059314233</v>
      </c>
      <c r="X604" s="129">
        <f>IF(tech_base!$T260&gt;X$345,"",X884+X1164+X1444)</f>
        <v>221.84260636474758</v>
      </c>
      <c r="Y604" s="129">
        <f>IF(tech_base!$T260&gt;Y$345,"",Y884+Y1164+Y1444)</f>
        <v>219.10409674188884</v>
      </c>
      <c r="Z604" s="129">
        <f>IF(tech_base!$T260&gt;Z$345,"",Z884+Z1164+Z1444)</f>
        <v>216.15694642948586</v>
      </c>
      <c r="AA604" s="129">
        <f>IF(tech_base!$T260&gt;AA$345,"",AA884+AA1164+AA1444)</f>
        <v>212.99359276511953</v>
      </c>
      <c r="AB604" s="129">
        <f>IF(tech_base!$T260&gt;AB$345,"",AB884+AB1164+AB1444)</f>
        <v>209.60791788141785</v>
      </c>
      <c r="AC604" s="129">
        <f>IF(tech_base!$T260&gt;AC$345,"",AC884+AC1164+AC1444)</f>
        <v>205.99563928752997</v>
      </c>
      <c r="AD604" s="129">
        <f>IF(tech_base!$T260&gt;AD$345,"",AD884+AD1164+AD1444)</f>
        <v>202.15473322393129</v>
      </c>
      <c r="AE604" s="129">
        <f>IF(tech_base!$T260&gt;AE$345,"",AE884+AE1164+AE1444)</f>
        <v>198.08588155611278</v>
      </c>
      <c r="AF604" s="129">
        <f>IF(tech_base!$T260&gt;AF$345,"",AF884+AF1164+AF1444)</f>
        <v>193.79292876055706</v>
      </c>
      <c r="AG604" s="129">
        <f>IF(tech_base!$T260&gt;AG$345,"",AG884+AG1164+AG1444)</f>
        <v>189.28333085218412</v>
      </c>
      <c r="AH604" s="129">
        <f>IF(tech_base!$T260&gt;AH$345,"",AH884+AH1164+AH1444)</f>
        <v>184.56857315162179</v>
      </c>
      <c r="AI604" s="129">
        <f>IF(tech_base!$T260&gt;AI$345,"",AI884+AI1164+AI1444)</f>
        <v>179.66452897520477</v>
      </c>
      <c r="AJ604" s="129">
        <f>IF(tech_base!$T260&gt;AJ$345,"",AJ884+AJ1164+AJ1444)</f>
        <v>174.59172718125527</v>
      </c>
      <c r="AK604" s="129">
        <f>IF(tech_base!$T260&gt;AK$345,"",AK884+AK1164+AK1444)</f>
        <v>169.37549369584312</v>
      </c>
      <c r="AL604" s="129">
        <f>IF(tech_base!$T260&gt;AL$345,"",AL884+AL1164+AL1444)</f>
        <v>164.045931450529</v>
      </c>
      <c r="AM604" s="129">
        <f>IF(tech_base!$T260&gt;AM$345,"",AM884+AM1164+AM1444)</f>
        <v>158.63770541108474</v>
      </c>
      <c r="AN604" s="129">
        <f>IF(tech_base!$T260&gt;AN$345,"",AN884+AN1164+AN1444)</f>
        <v>153.18960530220261</v>
      </c>
      <c r="AO604" s="129">
        <f>IF(tech_base!$T260&gt;AO$345,"",AO884+AO1164+AO1444)</f>
        <v>147.74386875523652</v>
      </c>
      <c r="AP604" s="129">
        <f>IF(tech_base!$T260&gt;AP$345,"",AP884+AP1164+AP1444)</f>
        <v>142.34526203900111</v>
      </c>
      <c r="AQ604" s="129">
        <f>IF(tech_base!$T260&gt;AQ$345,"",AQ884+AQ1164+AQ1444)</f>
        <v>137.03993381753199</v>
      </c>
      <c r="AR604" s="129">
        <f>IF(tech_base!$T260&gt;AR$345,"",AR884+AR1164+AR1444)</f>
        <v>131.8740783478946</v>
      </c>
      <c r="AS604" s="129">
        <f>IF(tech_base!$T260&gt;AS$345,"",AS884+AS1164+AS1444)</f>
        <v>126.89246627586905</v>
      </c>
      <c r="AT604" s="129">
        <f>IF(tech_base!$T260&gt;AT$345,"",AT884+AT1164+AT1444)</f>
        <v>122.13692115405436</v>
      </c>
      <c r="AU604" s="129">
        <f>IF(tech_base!$T260&gt;AU$345,"",AU884+AU1164+AU1444)</f>
        <v>117.64483506671628</v>
      </c>
      <c r="AV604" s="129">
        <f>IF(tech_base!$T260&gt;AV$345,"",AV884+AV1164+AV1444)</f>
        <v>113.44782442591098</v>
      </c>
      <c r="AW604" s="129">
        <f>IF(tech_base!$T260&gt;AW$345,"",AW884+AW1164+AW1444)</f>
        <v>109.57062482966775</v>
      </c>
      <c r="AX604" s="130">
        <f>IF(tech_base!$T260&gt;AX$345,"",AX884+AX1164+AX1444)</f>
        <v>106.03031072031226</v>
      </c>
    </row>
    <row r="605" spans="1:50" x14ac:dyDescent="0.25">
      <c r="A605" s="375"/>
      <c r="B605" s="279" t="s">
        <v>42</v>
      </c>
      <c r="C605" s="7" t="s">
        <v>6</v>
      </c>
      <c r="D605" s="4" t="s">
        <v>8</v>
      </c>
      <c r="E605" s="80" t="str">
        <f>A604&amp;"/"&amp;B605&amp;"/"&amp;C605&amp;"/"&amp;D605</f>
        <v>Tide, wave and ocean power plants/Wave/Electricity only/M</v>
      </c>
      <c r="F605" s="80" t="str">
        <f>A604</f>
        <v>Tide, wave and ocean power plants</v>
      </c>
      <c r="G605" s="80" t="str">
        <f>B605</f>
        <v>Wave</v>
      </c>
      <c r="H605" s="80" t="str">
        <f>C605</f>
        <v>Electricity only</v>
      </c>
      <c r="I605" s="80" t="str">
        <f t="shared" si="361"/>
        <v>M</v>
      </c>
      <c r="J605" s="127">
        <f>IF(tech_base!$T261&gt;J$345,"",J885+J1165+J1445)</f>
        <v>271.99492559233806</v>
      </c>
      <c r="K605" s="127">
        <f>IF(tech_base!$T261&gt;K$345,"",K885+K1165+K1445)</f>
        <v>271.13198619643066</v>
      </c>
      <c r="L605" s="127">
        <f>IF(tech_base!$T261&gt;L$345,"",L885+L1165+L1445)</f>
        <v>270.18419582724636</v>
      </c>
      <c r="M605" s="127">
        <f>IF(tech_base!$T261&gt;M$345,"",M885+M1165+M1445)</f>
        <v>269.14388024669955</v>
      </c>
      <c r="N605" s="127">
        <f>IF(tech_base!$T261&gt;N$345,"",N885+N1165+N1445)</f>
        <v>268.00281533775888</v>
      </c>
      <c r="O605" s="127">
        <f>IF(tech_base!$T261&gt;O$345,"",O885+O1165+O1445)</f>
        <v>266.7522197925876</v>
      </c>
      <c r="P605" s="127">
        <f>IF(tech_base!$T261&gt;P$345,"",P885+P1165+P1445)</f>
        <v>265.3827561398133</v>
      </c>
      <c r="Q605" s="127">
        <f>IF(tech_base!$T261&gt;Q$345,"",Q885+Q1165+Q1445)</f>
        <v>263.88454235750766</v>
      </c>
      <c r="R605" s="127">
        <f>IF(tech_base!$T261&gt;R$345,"",R885+R1165+R1445)</f>
        <v>262.24717666740179</v>
      </c>
      <c r="S605" s="127">
        <f>IF(tech_base!$T261&gt;S$345,"",S885+S1165+S1445)</f>
        <v>260.45977846540842</v>
      </c>
      <c r="T605" s="127">
        <f>IF(tech_base!$T261&gt;T$345,"",T885+T1165+T1445)</f>
        <v>258.51104869759985</v>
      </c>
      <c r="U605" s="127">
        <f>IF(tech_base!$T261&gt;U$345,"",U885+U1165+U1445)</f>
        <v>256.38935331647747</v>
      </c>
      <c r="V605" s="127">
        <f>IF(tech_base!$T261&gt;V$345,"",V885+V1165+V1445)</f>
        <v>254.08283371819135</v>
      </c>
      <c r="W605" s="127">
        <f>IF(tech_base!$T261&gt;W$345,"",W885+W1165+W1445)</f>
        <v>251.57954822598992</v>
      </c>
      <c r="X605" s="127">
        <f>IF(tech_base!$T261&gt;X$345,"",X885+X1165+X1445)</f>
        <v>248.86764869602166</v>
      </c>
      <c r="Y605" s="127">
        <f>IF(tech_base!$T261&gt;Y$345,"",Y885+Y1165+Y1445)</f>
        <v>245.93559611421412</v>
      </c>
      <c r="Z605" s="127">
        <f>IF(tech_base!$T261&gt;Z$345,"",Z885+Z1165+Z1445)</f>
        <v>242.77241855129111</v>
      </c>
      <c r="AA605" s="127">
        <f>IF(tech_base!$T261&gt;AA$345,"",AA885+AA1165+AA1445)</f>
        <v>239.368013961228</v>
      </c>
      <c r="AB605" s="127">
        <f>IF(tech_base!$T261&gt;AB$345,"",AB885+AB1165+AB1445)</f>
        <v>235.71349895507868</v>
      </c>
      <c r="AC605" s="127">
        <f>IF(tech_base!$T261&gt;AC$345,"",AC885+AC1165+AC1445)</f>
        <v>231.80160276702955</v>
      </c>
      <c r="AD605" s="127">
        <f>IF(tech_base!$T261&gt;AD$345,"",AD885+AD1165+AD1445)</f>
        <v>227.62710307484048</v>
      </c>
      <c r="AE605" s="127">
        <f>IF(tech_base!$T261&gt;AE$345,"",AE885+AE1165+AE1445)</f>
        <v>223.18729709212792</v>
      </c>
      <c r="AF605" s="127">
        <f>IF(tech_base!$T261&gt;AF$345,"",AF885+AF1165+AF1445)</f>
        <v>218.48249741208269</v>
      </c>
      <c r="AG605" s="127">
        <f>IF(tech_base!$T261&gt;AG$345,"",AG885+AG1165+AG1445)</f>
        <v>213.51653751916524</v>
      </c>
      <c r="AH605" s="127">
        <f>IF(tech_base!$T261&gt;AH$345,"",AH885+AH1165+AH1445)</f>
        <v>208.29726686224436</v>
      </c>
      <c r="AI605" s="127">
        <f>IF(tech_base!$T261&gt;AI$345,"",AI885+AI1165+AI1445)</f>
        <v>202.83701018717016</v>
      </c>
      <c r="AJ605" s="127">
        <f>IF(tech_base!$T261&gt;AJ$345,"",AJ885+AJ1165+AJ1445)</f>
        <v>197.15296088804837</v>
      </c>
      <c r="AK605" s="127">
        <f>IF(tech_base!$T261&gt;AK$345,"",AK885+AK1165+AK1445)</f>
        <v>191.26747403137321</v>
      </c>
      <c r="AL605" s="127">
        <f>IF(tech_base!$T261&gt;AL$345,"",AL885+AL1165+AL1445)</f>
        <v>185.20822214477857</v>
      </c>
      <c r="AM605" s="127">
        <f>IF(tech_base!$T261&gt;AM$345,"",AM885+AM1165+AM1445)</f>
        <v>179.00817663840709</v>
      </c>
      <c r="AN605" s="127">
        <f>IF(tech_base!$T261&gt;AN$345,"",AN885+AN1165+AN1445)</f>
        <v>172.70538064219963</v>
      </c>
      <c r="AO605" s="127">
        <f>IF(tech_base!$T261&gt;AO$345,"",AO885+AO1165+AO1445)</f>
        <v>166.34248578078191</v>
      </c>
      <c r="AP605" s="127">
        <f>IF(tech_base!$T261&gt;AP$345,"",AP885+AP1165+AP1445)</f>
        <v>159.96603638353608</v>
      </c>
      <c r="AQ605" s="127">
        <f>IF(tech_base!$T261&gt;AQ$345,"",AQ885+AQ1165+AQ1445)</f>
        <v>153.62549981811637</v>
      </c>
      <c r="AR605" s="127">
        <f>IF(tech_base!$T261&gt;AR$345,"",AR885+AR1165+AR1445)</f>
        <v>147.37206042897486</v>
      </c>
      <c r="AS605" s="127">
        <f>IF(tech_base!$T261&gt;AS$345,"",AS885+AS1165+AS1445)</f>
        <v>141.25721566078704</v>
      </c>
      <c r="AT605" s="127">
        <f>IF(tech_base!$T261&gt;AT$345,"",AT885+AT1165+AT1445)</f>
        <v>135.33123437090055</v>
      </c>
      <c r="AU605" s="127">
        <f>IF(tech_base!$T261&gt;AU$345,"",AU885+AU1165+AU1445)</f>
        <v>129.64155656521729</v>
      </c>
      <c r="AV605" s="127">
        <f>IF(tech_base!$T261&gt;AV$345,"",AV885+AV1165+AV1445)</f>
        <v>124.23122805988875</v>
      </c>
      <c r="AW605" s="127">
        <f>IF(tech_base!$T261&gt;AW$345,"",AW885+AW1165+AW1445)</f>
        <v>119.13747028379052</v>
      </c>
      <c r="AX605" s="128">
        <f>IF(tech_base!$T261&gt;AX$345,"",AX885+AX1165+AX1445)</f>
        <v>114.39048266937864</v>
      </c>
    </row>
    <row r="606" spans="1:50" x14ac:dyDescent="0.25">
      <c r="A606" s="355" t="s">
        <v>43</v>
      </c>
      <c r="B606" s="358" t="s">
        <v>44</v>
      </c>
      <c r="C606" s="353" t="s">
        <v>6</v>
      </c>
      <c r="D606" s="3" t="s">
        <v>7</v>
      </c>
      <c r="E606" s="77" t="str">
        <f>A606&amp;"/"&amp;B606&amp;"/"&amp;C606&amp;"/"&amp;D606</f>
        <v>Hydro plants/Run-of-river/Electricity only/L</v>
      </c>
      <c r="F606" s="77" t="str">
        <f>A606</f>
        <v>Hydro plants</v>
      </c>
      <c r="G606" s="77" t="str">
        <f>B606</f>
        <v>Run-of-river</v>
      </c>
      <c r="H606" s="77" t="str">
        <f>C606</f>
        <v>Electricity only</v>
      </c>
      <c r="I606" s="77" t="str">
        <f t="shared" si="361"/>
        <v>L</v>
      </c>
      <c r="J606" s="121">
        <f>IF(tech_base!$T262&gt;J$345,"",J886+J1166+J1446)</f>
        <v>56.665915632100173</v>
      </c>
      <c r="K606" s="121">
        <f>IF(tech_base!$T262&gt;K$345,"",K886+K1166+K1446)</f>
        <v>56.641908478503147</v>
      </c>
      <c r="L606" s="121">
        <f>IF(tech_base!$T262&gt;L$345,"",L886+L1166+L1446)</f>
        <v>56.615553517926074</v>
      </c>
      <c r="M606" s="121">
        <f>IF(tech_base!$T262&gt;M$345,"",M886+M1166+M1446)</f>
        <v>56.586641006650829</v>
      </c>
      <c r="N606" s="121">
        <f>IF(tech_base!$T262&gt;N$345,"",N886+N1166+N1446)</f>
        <v>56.554946699460992</v>
      </c>
      <c r="O606" s="121">
        <f>IF(tech_base!$T262&gt;O$345,"",O886+O1166+O1446)</f>
        <v>56.520231777749501</v>
      </c>
      <c r="P606" s="121">
        <f>IF(tech_base!$T262&gt;P$345,"",P886+P1166+P1446)</f>
        <v>56.482243022098544</v>
      </c>
      <c r="Q606" s="121">
        <f>IF(tech_base!$T262&gt;Q$345,"",Q886+Q1166+Q1446)</f>
        <v>56.440713289725558</v>
      </c>
      <c r="R606" s="121">
        <f>IF(tech_base!$T262&gt;R$345,"",R886+R1166+R1446)</f>
        <v>56.395362365266173</v>
      </c>
      <c r="S606" s="121">
        <f>IF(tech_base!$T262&gt;S$345,"",S886+S1166+S1446)</f>
        <v>56.345898261195757</v>
      </c>
      <c r="T606" s="121">
        <f>IF(tech_base!$T262&gt;T$345,"",T886+T1166+T1446)</f>
        <v>56.292019051226333</v>
      </c>
      <c r="U606" s="121">
        <f>IF(tech_base!$T262&gt;U$345,"",U886+U1166+U1446)</f>
        <v>56.233415325526337</v>
      </c>
      <c r="V606" s="121">
        <f>IF(tech_base!$T262&gt;V$345,"",V886+V1166+V1446)</f>
        <v>56.169773359652929</v>
      </c>
      <c r="W606" s="121">
        <f>IF(tech_base!$T262&gt;W$345,"",W886+W1166+W1446)</f>
        <v>56.100779088496509</v>
      </c>
      <c r="X606" s="121">
        <f>IF(tech_base!$T262&gt;X$345,"",X886+X1166+X1446)</f>
        <v>56.026122970916397</v>
      </c>
      <c r="Y606" s="121">
        <f>IF(tech_base!$T262&gt;Y$345,"",Y886+Y1166+Y1446)</f>
        <v>55.945505818504763</v>
      </c>
      <c r="Z606" s="121">
        <f>IF(tech_base!$T262&gt;Z$345,"",Z886+Z1166+Z1446)</f>
        <v>55.858645641312762</v>
      </c>
      <c r="AA606" s="121">
        <f>IF(tech_base!$T262&gt;AA$345,"",AA886+AA1166+AA1446)</f>
        <v>55.765285532651774</v>
      </c>
      <c r="AB606" s="121">
        <f>IF(tech_base!$T262&gt;AB$345,"",AB886+AB1166+AB1446)</f>
        <v>55.665202572626185</v>
      </c>
      <c r="AC606" s="121">
        <f>IF(tech_base!$T262&gt;AC$345,"",AC886+AC1166+AC1446)</f>
        <v>55.55821767464677</v>
      </c>
      <c r="AD606" s="121">
        <f>IF(tech_base!$T262&gt;AD$345,"",AD886+AD1166+AD1446)</f>
        <v>55.444206230312368</v>
      </c>
      <c r="AE606" s="121">
        <f>IF(tech_base!$T262&gt;AE$345,"",AE886+AE1166+AE1446)</f>
        <v>55.323109326341097</v>
      </c>
      <c r="AF606" s="121">
        <f>IF(tech_base!$T262&gt;AF$345,"",AF886+AF1166+AF1446)</f>
        <v>55.194945214822347</v>
      </c>
      <c r="AG606" s="121">
        <f>IF(tech_base!$T262&gt;AG$345,"",AG886+AG1166+AG1446)</f>
        <v>55.059820619046526</v>
      </c>
      <c r="AH606" s="121">
        <f>IF(tech_base!$T262&gt;AH$345,"",AH886+AH1166+AH1446)</f>
        <v>54.917941357943882</v>
      </c>
      <c r="AI606" s="121">
        <f>IF(tech_base!$T262&gt;AI$345,"",AI886+AI1166+AI1446)</f>
        <v>54.769621681545374</v>
      </c>
      <c r="AJ606" s="121">
        <f>IF(tech_base!$T262&gt;AJ$345,"",AJ886+AJ1166+AJ1446)</f>
        <v>54.615291638964756</v>
      </c>
      <c r="AK606" s="121">
        <f>IF(tech_base!$T262&gt;AK$345,"",AK886+AK1166+AK1446)</f>
        <v>54.455501761946472</v>
      </c>
      <c r="AL606" s="121">
        <f>IF(tech_base!$T262&gt;AL$345,"",AL886+AL1166+AL1446)</f>
        <v>54.290924354335999</v>
      </c>
      <c r="AM606" s="121">
        <f>IF(tech_base!$T262&gt;AM$345,"",AM886+AM1166+AM1446)</f>
        <v>54.12235074308753</v>
      </c>
      <c r="AN606" s="121">
        <f>IF(tech_base!$T262&gt;AN$345,"",AN886+AN1166+AN1446)</f>
        <v>53.950683978556114</v>
      </c>
      <c r="AO606" s="121">
        <f>IF(tech_base!$T262&gt;AO$345,"",AO886+AO1166+AO1446)</f>
        <v>53.776926674144946</v>
      </c>
      <c r="AP606" s="121">
        <f>IF(tech_base!$T262&gt;AP$345,"",AP886+AP1166+AP1446)</f>
        <v>53.602163943400392</v>
      </c>
      <c r="AQ606" s="121">
        <f>IF(tech_base!$T262&gt;AQ$345,"",AQ886+AQ1166+AQ1446)</f>
        <v>53.427541712514731</v>
      </c>
      <c r="AR606" s="121">
        <f>IF(tech_base!$T262&gt;AR$345,"",AR886+AR1166+AR1446)</f>
        <v>53.25424103434613</v>
      </c>
      <c r="AS606" s="121">
        <f>IF(tech_base!$T262&gt;AS$345,"",AS886+AS1166+AS1446)</f>
        <v>53.083449374496858</v>
      </c>
      <c r="AT606" s="121">
        <f>IF(tech_base!$T262&gt;AT$345,"",AT886+AT1166+AT1446)</f>
        <v>52.916330143377635</v>
      </c>
      <c r="AU606" s="121">
        <f>IF(tech_base!$T262&gt;AU$345,"",AU886+AU1166+AU1446)</f>
        <v>52.753991972608929</v>
      </c>
      <c r="AV606" s="121">
        <f>IF(tech_base!$T262&gt;AV$345,"",AV886+AV1166+AV1446)</f>
        <v>52.597459346815867</v>
      </c>
      <c r="AW606" s="121">
        <f>IF(tech_base!$T262&gt;AW$345,"",AW886+AW1166+AW1446)</f>
        <v>52.447646181024432</v>
      </c>
      <c r="AX606" s="122">
        <f>IF(tech_base!$T262&gt;AX$345,"",AX886+AX1166+AX1446)</f>
        <v>52.30533377309726</v>
      </c>
    </row>
    <row r="607" spans="1:50" x14ac:dyDescent="0.25">
      <c r="A607" s="356"/>
      <c r="B607" s="376"/>
      <c r="C607" s="378"/>
      <c r="D607" s="2" t="s">
        <v>8</v>
      </c>
      <c r="E607" s="76" t="str">
        <f>A606&amp;"/"&amp;B606&amp;"/"&amp;C606&amp;"/"&amp;D607</f>
        <v>Hydro plants/Run-of-river/Electricity only/M</v>
      </c>
      <c r="F607" s="76" t="str">
        <f>A606</f>
        <v>Hydro plants</v>
      </c>
      <c r="G607" s="76" t="str">
        <f>B606</f>
        <v>Run-of-river</v>
      </c>
      <c r="H607" s="76" t="str">
        <f>C606</f>
        <v>Electricity only</v>
      </c>
      <c r="I607" s="76" t="str">
        <f t="shared" si="361"/>
        <v>M</v>
      </c>
      <c r="J607" s="119">
        <f>IF(tech_base!$T263&gt;J$345,"",J887+J1167+J1447)</f>
        <v>59.458941777128388</v>
      </c>
      <c r="K607" s="119">
        <f>IF(tech_base!$T263&gt;K$345,"",K887+K1167+K1447)</f>
        <v>59.438230023912126</v>
      </c>
      <c r="L607" s="119">
        <f>IF(tech_base!$T263&gt;L$345,"",L887+L1167+L1447)</f>
        <v>59.415465638018659</v>
      </c>
      <c r="M607" s="119">
        <f>IF(tech_base!$T263&gt;M$345,"",M887+M1167+M1447)</f>
        <v>59.390459378988709</v>
      </c>
      <c r="N607" s="119">
        <f>IF(tech_base!$T263&gt;N$345,"",N887+N1167+N1447)</f>
        <v>59.363007604322831</v>
      </c>
      <c r="O607" s="119">
        <f>IF(tech_base!$T263&gt;O$345,"",O887+O1167+O1447)</f>
        <v>59.332891841401029</v>
      </c>
      <c r="P607" s="119">
        <f>IF(tech_base!$T263&gt;P$345,"",P887+P1167+P1447)</f>
        <v>59.299878512596294</v>
      </c>
      <c r="Q607" s="119">
        <f>IF(tech_base!$T263&gt;Q$345,"",Q887+Q1167+Q1447)</f>
        <v>59.263718860390384</v>
      </c>
      <c r="R607" s="119">
        <f>IF(tech_base!$T263&gt;R$345,"",R887+R1167+R1447)</f>
        <v>59.224149127135917</v>
      </c>
      <c r="S607" s="119">
        <f>IF(tech_base!$T263&gt;S$345,"",S887+S1167+S1447)</f>
        <v>59.180891052372225</v>
      </c>
      <c r="T607" s="119">
        <f>IF(tech_base!$T263&gt;T$345,"",T887+T1167+T1447)</f>
        <v>59.133652759015355</v>
      </c>
      <c r="U607" s="119">
        <f>IF(tech_base!$T263&gt;U$345,"",U887+U1167+U1447)</f>
        <v>59.082130107899275</v>
      </c>
      <c r="V607" s="119">
        <f>IF(tech_base!$T263&gt;V$345,"",V887+V1167+V1447)</f>
        <v>59.026008607473194</v>
      </c>
      <c r="W607" s="119">
        <f>IF(tech_base!$T263&gt;W$345,"",W887+W1167+W1447)</f>
        <v>58.96496597120013</v>
      </c>
      <c r="X607" s="119">
        <f>IF(tech_base!$T263&gt;X$345,"",X887+X1167+X1447)</f>
        <v>58.898675418370786</v>
      </c>
      <c r="Y607" s="119">
        <f>IF(tech_base!$T263&gt;Y$345,"",Y887+Y1167+Y1447)</f>
        <v>58.826809813431503</v>
      </c>
      <c r="Z607" s="119">
        <f>IF(tech_base!$T263&gt;Z$345,"",Z887+Z1167+Z1447)</f>
        <v>58.749046733071538</v>
      </c>
      <c r="AA607" s="119">
        <f>IF(tech_base!$T263&gt;AA$345,"",AA887+AA1167+AA1447)</f>
        <v>58.665074537562589</v>
      </c>
      <c r="AB607" s="119">
        <f>IF(tech_base!$T263&gt;AB$345,"",AB887+AB1167+AB1447)</f>
        <v>58.574599501383375</v>
      </c>
      <c r="AC607" s="119">
        <f>IF(tech_base!$T263&gt;AC$345,"",AC887+AC1167+AC1447)</f>
        <v>58.477354026162558</v>
      </c>
      <c r="AD607" s="119">
        <f>IF(tech_base!$T263&gt;AD$345,"",AD887+AD1167+AD1447)</f>
        <v>58.37310591474985</v>
      </c>
      <c r="AE607" s="119">
        <f>IF(tech_base!$T263&gt;AE$345,"",AE887+AE1167+AE1447)</f>
        <v>58.261668627511511</v>
      </c>
      <c r="AF607" s="119">
        <f>IF(tech_base!$T263&gt;AF$345,"",AF887+AF1167+AF1447)</f>
        <v>58.142912370219975</v>
      </c>
      <c r="AG607" s="119">
        <f>IF(tech_base!$T263&gt;AG$345,"",AG887+AG1167+AG1447)</f>
        <v>58.016775777800035</v>
      </c>
      <c r="AH607" s="119">
        <f>IF(tech_base!$T263&gt;AH$345,"",AH887+AH1167+AH1447)</f>
        <v>57.883277861937991</v>
      </c>
      <c r="AI607" s="119">
        <f>IF(tech_base!$T263&gt;AI$345,"",AI887+AI1167+AI1447)</f>
        <v>57.742529787426292</v>
      </c>
      <c r="AJ607" s="119">
        <f>IF(tech_base!$T263&gt;AJ$345,"",AJ887+AJ1167+AJ1447)</f>
        <v>57.594745938759146</v>
      </c>
      <c r="AK607" s="119">
        <f>IF(tech_base!$T263&gt;AK$345,"",AK887+AK1167+AK1447)</f>
        <v>57.440253644107436</v>
      </c>
      <c r="AL607" s="119">
        <f>IF(tech_base!$T263&gt;AL$345,"",AL887+AL1167+AL1447)</f>
        <v>57.279500849933903</v>
      </c>
      <c r="AM607" s="119">
        <f>IF(tech_base!$T263&gt;AM$345,"",AM887+AM1167+AM1447)</f>
        <v>57.113060999456195</v>
      </c>
      <c r="AN607" s="119">
        <f>IF(tech_base!$T263&gt;AN$345,"",AN887+AN1167+AN1447)</f>
        <v>56.941634375781156</v>
      </c>
      <c r="AO607" s="119">
        <f>IF(tech_base!$T263&gt;AO$345,"",AO887+AO1167+AO1447)</f>
        <v>56.76604523850763</v>
      </c>
      <c r="AP607" s="119">
        <f>IF(tech_base!$T263&gt;AP$345,"",AP887+AP1167+AP1447)</f>
        <v>56.58723422022684</v>
      </c>
      <c r="AQ607" s="119">
        <f>IF(tech_base!$T263&gt;AQ$345,"",AQ887+AQ1167+AQ1447)</f>
        <v>56.406245660092388</v>
      </c>
      <c r="AR607" s="119">
        <f>IF(tech_base!$T263&gt;AR$345,"",AR887+AR1167+AR1447)</f>
        <v>56.224209830808441</v>
      </c>
      <c r="AS607" s="119">
        <f>IF(tech_base!$T263&gt;AS$345,"",AS887+AS1167+AS1447)</f>
        <v>56.042320348564431</v>
      </c>
      <c r="AT607" s="119">
        <f>IF(tech_base!$T263&gt;AT$345,"",AT887+AT1167+AT1447)</f>
        <v>55.861807418081568</v>
      </c>
      <c r="AU607" s="119">
        <f>IF(tech_base!$T263&gt;AU$345,"",AU887+AU1167+AU1447)</f>
        <v>55.683907923704346</v>
      </c>
      <c r="AV607" s="119">
        <f>IF(tech_base!$T263&gt;AV$345,"",AV887+AV1167+AV1447)</f>
        <v>55.509833693481049</v>
      </c>
      <c r="AW607" s="119">
        <f>IF(tech_base!$T263&gt;AW$345,"",AW887+AW1167+AW1447)</f>
        <v>55.340739496941474</v>
      </c>
      <c r="AX607" s="120">
        <f>IF(tech_base!$T263&gt;AX$345,"",AX887+AX1167+AX1447)</f>
        <v>55.177692454675444</v>
      </c>
    </row>
    <row r="608" spans="1:50" x14ac:dyDescent="0.25">
      <c r="A608" s="356"/>
      <c r="B608" s="376"/>
      <c r="C608" s="378"/>
      <c r="D608" s="2" t="s">
        <v>10</v>
      </c>
      <c r="E608" s="76" t="str">
        <f>A606&amp;"/"&amp;B606&amp;"/"&amp;C606&amp;"/"&amp;D608</f>
        <v>Hydro plants/Run-of-river/Electricity only/S</v>
      </c>
      <c r="F608" s="76" t="str">
        <f>A606</f>
        <v>Hydro plants</v>
      </c>
      <c r="G608" s="76" t="str">
        <f>B606</f>
        <v>Run-of-river</v>
      </c>
      <c r="H608" s="76" t="str">
        <f>C606</f>
        <v>Electricity only</v>
      </c>
      <c r="I608" s="76" t="str">
        <f t="shared" si="361"/>
        <v>S</v>
      </c>
      <c r="J608" s="119">
        <f>IF(tech_base!$T264&gt;J$345,"",J888+J1168+J1448)</f>
        <v>65.32429668168767</v>
      </c>
      <c r="K608" s="119">
        <f>IF(tech_base!$T264&gt;K$345,"",K888+K1168+K1448)</f>
        <v>65.30560158762836</v>
      </c>
      <c r="L608" s="119">
        <f>IF(tech_base!$T264&gt;L$345,"",L888+L1168+L1448)</f>
        <v>65.285033520789369</v>
      </c>
      <c r="M608" s="119">
        <f>IF(tech_base!$T264&gt;M$345,"",M888+M1168+M1448)</f>
        <v>65.2624154152074</v>
      </c>
      <c r="N608" s="119">
        <f>IF(tech_base!$T264&gt;N$345,"",N888+N1168+N1448)</f>
        <v>65.237555748414792</v>
      </c>
      <c r="O608" s="119">
        <f>IF(tech_base!$T264&gt;O$345,"",O888+O1168+O1448)</f>
        <v>65.210247861871181</v>
      </c>
      <c r="P608" s="119">
        <f>IF(tech_base!$T264&gt;P$345,"",P888+P1168+P1448)</f>
        <v>65.180269369402595</v>
      </c>
      <c r="Q608" s="119">
        <f>IF(tech_base!$T264&gt;Q$345,"",Q888+Q1168+Q1448)</f>
        <v>65.147381689719737</v>
      </c>
      <c r="R608" s="119">
        <f>IF(tech_base!$T264&gt;R$345,"",R888+R1168+R1448)</f>
        <v>65.11132974623041</v>
      </c>
      <c r="S608" s="119">
        <f>IF(tech_base!$T264&gt;S$345,"",S888+S1168+S1448)</f>
        <v>65.071841885262742</v>
      </c>
      <c r="T608" s="119">
        <f>IF(tech_base!$T264&gt;T$345,"",T888+T1168+T1448)</f>
        <v>65.028630072373005</v>
      </c>
      <c r="U608" s="119">
        <f>IF(tech_base!$T264&gt;U$345,"",U888+U1168+U1448)</f>
        <v>64.981390435435372</v>
      </c>
      <c r="V608" s="119">
        <f>IF(tech_base!$T264&gt;V$345,"",V888+V1168+V1448)</f>
        <v>64.929804232398823</v>
      </c>
      <c r="W608" s="119">
        <f>IF(tech_base!$T264&gt;W$345,"",W888+W1168+W1448)</f>
        <v>64.873539330502879</v>
      </c>
      <c r="X608" s="119">
        <f>IF(tech_base!$T264&gt;X$345,"",X888+X1168+X1448)</f>
        <v>64.812252291747569</v>
      </c>
      <c r="Y608" s="119">
        <f>IF(tech_base!$T264&gt;Y$345,"",Y888+Y1168+Y1448)</f>
        <v>64.74559116568021</v>
      </c>
      <c r="Z608" s="119">
        <f>IF(tech_base!$T264&gt;Z$345,"",Z888+Z1168+Z1448)</f>
        <v>64.673199094022863</v>
      </c>
      <c r="AA608" s="119">
        <f>IF(tech_base!$T264&gt;AA$345,"",AA888+AA1168+AA1448)</f>
        <v>64.59471883099269</v>
      </c>
      <c r="AB608" s="119">
        <f>IF(tech_base!$T264&gt;AB$345,"",AB888+AB1168+AB1448)</f>
        <v>64.509798276774276</v>
      </c>
      <c r="AC608" s="119">
        <f>IF(tech_base!$T264&gt;AC$345,"",AC888+AC1168+AC1448)</f>
        <v>64.418097107677696</v>
      </c>
      <c r="AD608" s="119">
        <f>IF(tech_base!$T264&gt;AD$345,"",AD888+AD1168+AD1448)</f>
        <v>64.319294563080618</v>
      </c>
      <c r="AE608" s="119">
        <f>IF(tech_base!$T264&gt;AE$345,"",AE888+AE1168+AE1448)</f>
        <v>64.213098414307197</v>
      </c>
      <c r="AF608" s="119">
        <f>IF(tech_base!$T264&gt;AF$345,"",AF888+AF1168+AF1448)</f>
        <v>64.099255092303864</v>
      </c>
      <c r="AG608" s="119">
        <f>IF(tech_base!$T264&gt;AG$345,"",AG888+AG1168+AG1448)</f>
        <v>63.97756088794528</v>
      </c>
      <c r="AH608" s="119">
        <f>IF(tech_base!$T264&gt;AH$345,"",AH888+AH1168+AH1448)</f>
        <v>63.847874060476236</v>
      </c>
      <c r="AI608" s="119">
        <f>IF(tech_base!$T264&gt;AI$345,"",AI888+AI1168+AI1448)</f>
        <v>63.710127596653805</v>
      </c>
      <c r="AJ608" s="119">
        <f>IF(tech_base!$T264&gt;AJ$345,"",AJ888+AJ1168+AJ1448)</f>
        <v>63.56434225803897</v>
      </c>
      <c r="AK608" s="119">
        <f>IF(tech_base!$T264&gt;AK$345,"",AK888+AK1168+AK1448)</f>
        <v>63.410639441260336</v>
      </c>
      <c r="AL608" s="119">
        <f>IF(tech_base!$T264&gt;AL$345,"",AL888+AL1168+AL1448)</f>
        <v>63.249253263201879</v>
      </c>
      <c r="AM608" s="119">
        <f>IF(tech_base!$T264&gt;AM$345,"",AM888+AM1168+AM1448)</f>
        <v>63.080541179992608</v>
      </c>
      <c r="AN608" s="119">
        <f>IF(tech_base!$T264&gt;AN$345,"",AN888+AN1168+AN1448)</f>
        <v>62.904992368009005</v>
      </c>
      <c r="AO608" s="119">
        <f>IF(tech_base!$T264&gt;AO$345,"",AO888+AO1168+AO1448)</f>
        <v>62.723233051361909</v>
      </c>
      <c r="AP608" s="119">
        <f>IF(tech_base!$T264&gt;AP$345,"",AP888+AP1168+AP1448)</f>
        <v>62.536027968655681</v>
      </c>
      <c r="AQ608" s="119">
        <f>IF(tech_base!$T264&gt;AQ$345,"",AQ888+AQ1168+AQ1448)</f>
        <v>62.344277246037954</v>
      </c>
      <c r="AR608" s="119">
        <f>IF(tech_base!$T264&gt;AR$345,"",AR888+AR1168+AR1448)</f>
        <v>62.149008093858335</v>
      </c>
      <c r="AS608" s="119">
        <f>IF(tech_base!$T264&gt;AS$345,"",AS888+AS1168+AS1448)</f>
        <v>61.951360974394092</v>
      </c>
      <c r="AT608" s="119">
        <f>IF(tech_base!$T264&gt;AT$345,"",AT888+AT1168+AT1448)</f>
        <v>61.752570192973842</v>
      </c>
      <c r="AU608" s="119">
        <f>IF(tech_base!$T264&gt;AU$345,"",AU888+AU1168+AU1448)</f>
        <v>61.553939228676064</v>
      </c>
      <c r="AV608" s="119">
        <f>IF(tech_base!$T264&gt;AV$345,"",AV888+AV1168+AV1448)</f>
        <v>61.356811516794828</v>
      </c>
      <c r="AW608" s="119">
        <f>IF(tech_base!$T264&gt;AW$345,"",AW888+AW1168+AW1448)</f>
        <v>61.162537787053651</v>
      </c>
      <c r="AX608" s="120">
        <f>IF(tech_base!$T264&gt;AX$345,"",AX888+AX1168+AX1448)</f>
        <v>60.972441406646901</v>
      </c>
    </row>
    <row r="609" spans="1:51" x14ac:dyDescent="0.25">
      <c r="A609" s="356"/>
      <c r="B609" s="377"/>
      <c r="C609" s="379"/>
      <c r="D609" s="59" t="s">
        <v>20</v>
      </c>
      <c r="E609" s="79" t="str">
        <f>A606&amp;"/"&amp;B606&amp;"/"&amp;C606&amp;"/"&amp;D609</f>
        <v>Hydro plants/Run-of-river/Electricity only/XS</v>
      </c>
      <c r="F609" s="79" t="str">
        <f>A606</f>
        <v>Hydro plants</v>
      </c>
      <c r="G609" s="79" t="str">
        <f>B606</f>
        <v>Run-of-river</v>
      </c>
      <c r="H609" s="79" t="str">
        <f>C606</f>
        <v>Electricity only</v>
      </c>
      <c r="I609" s="79" t="str">
        <f t="shared" si="361"/>
        <v>XS</v>
      </c>
      <c r="J609" s="125">
        <f>IF(tech_base!$T265&gt;J$345,"",J889+J1169+J1449)</f>
        <v>78.228077471718038</v>
      </c>
      <c r="K609" s="125">
        <f>IF(tech_base!$T265&gt;K$345,"",K889+K1169+K1449)</f>
        <v>78.209695224229833</v>
      </c>
      <c r="L609" s="125">
        <f>IF(tech_base!$T265&gt;L$345,"",L889+L1169+L1449)</f>
        <v>78.189454970495831</v>
      </c>
      <c r="M609" s="125">
        <f>IF(tech_base!$T265&gt;M$345,"",M889+M1169+M1449)</f>
        <v>78.167177489873708</v>
      </c>
      <c r="N609" s="125">
        <f>IF(tech_base!$T265&gt;N$345,"",N889+N1169+N1449)</f>
        <v>78.142668134157901</v>
      </c>
      <c r="O609" s="125">
        <f>IF(tech_base!$T265&gt;O$345,"",O889+O1169+O1449)</f>
        <v>78.115715907696071</v>
      </c>
      <c r="P609" s="125">
        <f>IF(tech_base!$T265&gt;P$345,"",P889+P1169+P1449)</f>
        <v>78.086092588150919</v>
      </c>
      <c r="Q609" s="125">
        <f>IF(tech_base!$T265&gt;Q$345,"",Q889+Q1169+Q1449)</f>
        <v>78.053551916711797</v>
      </c>
      <c r="R609" s="125">
        <f>IF(tech_base!$T265&gt;R$345,"",R889+R1169+R1449)</f>
        <v>78.017828893177878</v>
      </c>
      <c r="S609" s="125">
        <f>IF(tech_base!$T265&gt;S$345,"",S889+S1169+S1449)</f>
        <v>77.978639218896618</v>
      </c>
      <c r="T609" s="125">
        <f>IF(tech_base!$T265&gt;T$345,"",T889+T1169+T1449)</f>
        <v>77.935678939053901</v>
      </c>
      <c r="U609" s="125">
        <f>IF(tech_base!$T265&gt;U$345,"",U889+U1169+U1449)</f>
        <v>77.888624345226972</v>
      </c>
      <c r="V609" s="125">
        <f>IF(tech_base!$T265&gt;V$345,"",V889+V1169+V1449)</f>
        <v>77.837132209309146</v>
      </c>
      <c r="W609" s="125">
        <f>IF(tech_base!$T265&gt;W$345,"",W889+W1169+W1449)</f>
        <v>77.78084043066734</v>
      </c>
      <c r="X609" s="125">
        <f>IF(tech_base!$T265&gt;X$345,"",X889+X1169+X1449)</f>
        <v>77.71936918934216</v>
      </c>
      <c r="Y609" s="125">
        <f>IF(tech_base!$T265&gt;Y$345,"",Y889+Y1169+Y1449)</f>
        <v>77.652322708713754</v>
      </c>
      <c r="Z609" s="125">
        <f>IF(tech_base!$T265&gt;Z$345,"",Z889+Z1169+Z1449)</f>
        <v>77.579291740592993</v>
      </c>
      <c r="AA609" s="125">
        <f>IF(tech_base!$T265&gt;AA$345,"",AA889+AA1169+AA1449)</f>
        <v>77.499856893167006</v>
      </c>
      <c r="AB609" s="125">
        <f>IF(tech_base!$T265&gt;AB$345,"",AB889+AB1169+AB1449)</f>
        <v>77.413592926351612</v>
      </c>
      <c r="AC609" s="125">
        <f>IF(tech_base!$T265&gt;AC$345,"",AC889+AC1169+AC1449)</f>
        <v>77.32007413830334</v>
      </c>
      <c r="AD609" s="125">
        <f>IF(tech_base!$T265&gt;AD$345,"",AD889+AD1169+AD1449)</f>
        <v>77.218880959225444</v>
      </c>
      <c r="AE609" s="125">
        <f>IF(tech_base!$T265&gt;AE$345,"",AE889+AE1169+AE1449)</f>
        <v>77.109607852008352</v>
      </c>
      <c r="AF609" s="125">
        <f>IF(tech_base!$T265&gt;AF$345,"",AF889+AF1169+AF1449)</f>
        <v>76.991872591319307</v>
      </c>
      <c r="AG609" s="125">
        <f>IF(tech_base!$T265&gt;AG$345,"",AG889+AG1169+AG1449)</f>
        <v>76.865326951113346</v>
      </c>
      <c r="AH609" s="125">
        <f>IF(tech_base!$T265&gt;AH$345,"",AH889+AH1169+AH1449)</f>
        <v>76.729668772992198</v>
      </c>
      <c r="AI609" s="125">
        <f>IF(tech_base!$T265&gt;AI$345,"",AI889+AI1169+AI1449)</f>
        <v>76.584655312732295</v>
      </c>
      <c r="AJ609" s="125">
        <f>IF(tech_base!$T265&gt;AJ$345,"",AJ889+AJ1169+AJ1449)</f>
        <v>76.430117668967441</v>
      </c>
      <c r="AK609" s="125">
        <f>IF(tech_base!$T265&gt;AK$345,"",AK889+AK1169+AK1449)</f>
        <v>76.265975987260063</v>
      </c>
      <c r="AL609" s="125">
        <f>IF(tech_base!$T265&gt;AL$345,"",AL889+AL1169+AL1449)</f>
        <v>76.092255007537773</v>
      </c>
      <c r="AM609" s="125">
        <f>IF(tech_base!$T265&gt;AM$345,"",AM889+AM1169+AM1449)</f>
        <v>75.909099388662995</v>
      </c>
      <c r="AN609" s="125">
        <f>IF(tech_base!$T265&gt;AN$345,"",AN889+AN1169+AN1449)</f>
        <v>75.716788109405883</v>
      </c>
      <c r="AO609" s="125">
        <f>IF(tech_base!$T265&gt;AO$345,"",AO889+AO1169+AO1449)</f>
        <v>75.515747122262837</v>
      </c>
      <c r="AP609" s="125">
        <f>IF(tech_base!$T265&gt;AP$345,"",AP889+AP1169+AP1449)</f>
        <v>75.306559340441723</v>
      </c>
      <c r="AQ609" s="125">
        <f>IF(tech_base!$T265&gt;AQ$345,"",AQ889+AQ1169+AQ1449)</f>
        <v>75.089970986210758</v>
      </c>
      <c r="AR609" s="125">
        <f>IF(tech_base!$T265&gt;AR$345,"",AR889+AR1169+AR1449)</f>
        <v>74.8668933387208</v>
      </c>
      <c r="AS609" s="125">
        <f>IF(tech_base!$T265&gt;AS$345,"",AS889+AS1169+AS1449)</f>
        <v>74.638399007863413</v>
      </c>
      <c r="AT609" s="125">
        <f>IF(tech_base!$T265&gt;AT$345,"",AT889+AT1169+AT1449)</f>
        <v>74.405712039828813</v>
      </c>
      <c r="AU609" s="125">
        <f>IF(tech_base!$T265&gt;AU$345,"",AU889+AU1169+AU1449)</f>
        <v>74.17019143426684</v>
      </c>
      <c r="AV609" s="125">
        <f>IF(tech_base!$T265&gt;AV$345,"",AV889+AV1169+AV1449)</f>
        <v>73.933308016248205</v>
      </c>
      <c r="AW609" s="125">
        <f>IF(tech_base!$T265&gt;AW$345,"",AW889+AW1169+AW1449)</f>
        <v>73.696615039788028</v>
      </c>
      <c r="AX609" s="126">
        <f>IF(tech_base!$T265&gt;AX$345,"",AX889+AX1169+AX1449)</f>
        <v>73.461713371596943</v>
      </c>
    </row>
    <row r="610" spans="1:51" x14ac:dyDescent="0.25">
      <c r="A610" s="356"/>
      <c r="B610" s="359" t="s">
        <v>45</v>
      </c>
      <c r="C610" s="350" t="s">
        <v>6</v>
      </c>
      <c r="D610" s="2" t="s">
        <v>7</v>
      </c>
      <c r="E610" s="76" t="str">
        <f>A606&amp;"/"&amp;B610&amp;"/"&amp;C610&amp;"/"&amp;D610</f>
        <v>Hydro plants/Reservoirs (dams)/Electricity only/L</v>
      </c>
      <c r="F610" s="76" t="str">
        <f>A606</f>
        <v>Hydro plants</v>
      </c>
      <c r="G610" s="76" t="str">
        <f>B610</f>
        <v>Reservoirs (dams)</v>
      </c>
      <c r="H610" s="76" t="str">
        <f>C610</f>
        <v>Electricity only</v>
      </c>
      <c r="I610" s="76" t="str">
        <f t="shared" si="361"/>
        <v>L</v>
      </c>
      <c r="J610" s="119">
        <f>IF(tech_base!$T266&gt;J$345,"",J890+J1170+J1450)</f>
        <v>70.618514036257451</v>
      </c>
      <c r="K610" s="119">
        <f>IF(tech_base!$T266&gt;K$345,"",K890+K1170+K1450)</f>
        <v>70.617517062519624</v>
      </c>
      <c r="L610" s="119">
        <f>IF(tech_base!$T266&gt;L$345,"",L890+L1170+L1450)</f>
        <v>70.61646927328583</v>
      </c>
      <c r="M610" s="119">
        <f>IF(tech_base!$T266&gt;M$345,"",M890+M1170+M1450)</f>
        <v>70.615368094641553</v>
      </c>
      <c r="N610" s="119">
        <f>IF(tech_base!$T266&gt;N$345,"",N890+N1170+N1450)</f>
        <v>70.614210823989112</v>
      </c>
      <c r="O610" s="119">
        <f>IF(tech_base!$T266&gt;O$345,"",O890+O1170+O1450)</f>
        <v>70.612994623791636</v>
      </c>
      <c r="P610" s="119">
        <f>IF(tech_base!$T266&gt;P$345,"",P890+P1170+P1450)</f>
        <v>70.611716515031489</v>
      </c>
      <c r="Q610" s="119">
        <f>IF(tech_base!$T266&gt;Q$345,"",Q890+Q1170+Q1450)</f>
        <v>70.610373370372216</v>
      </c>
      <c r="R610" s="119">
        <f>IF(tech_base!$T266&gt;R$345,"",R890+R1170+R1450)</f>
        <v>70.608961907013054</v>
      </c>
      <c r="S610" s="119">
        <f>IF(tech_base!$T266&gt;S$345,"",S890+S1170+S1450)</f>
        <v>70.607478679224016</v>
      </c>
      <c r="T610" s="119">
        <f>IF(tech_base!$T266&gt;T$345,"",T890+T1170+T1450)</f>
        <v>70.605920070550795</v>
      </c>
      <c r="U610" s="119">
        <f>IF(tech_base!$T266&gt;U$345,"",U890+U1170+U1450)</f>
        <v>70.604282285677058</v>
      </c>
      <c r="V610" s="119">
        <f>IF(tech_base!$T266&gt;V$345,"",V890+V1170+V1450)</f>
        <v>70.602561341932997</v>
      </c>
      <c r="W610" s="119">
        <f>IF(tech_base!$T266&gt;W$345,"",W890+W1170+W1450)</f>
        <v>70.60075306043818</v>
      </c>
      <c r="X610" s="119">
        <f>IF(tech_base!$T266&gt;X$345,"",X890+X1170+X1450)</f>
        <v>70.598853056867057</v>
      </c>
      <c r="Y610" s="119">
        <f>IF(tech_base!$T266&gt;Y$345,"",Y890+Y1170+Y1450)</f>
        <v>70.596856731825355</v>
      </c>
      <c r="Z610" s="119">
        <f>IF(tech_base!$T266&gt;Z$345,"",Z890+Z1170+Z1450)</f>
        <v>70.594759260826251</v>
      </c>
      <c r="AA610" s="119">
        <f>IF(tech_base!$T266&gt;AA$345,"",AA890+AA1170+AA1450)</f>
        <v>70.592555583855017</v>
      </c>
      <c r="AB610" s="119">
        <f>IF(tech_base!$T266&gt;AB$345,"",AB890+AB1170+AB1450)</f>
        <v>70.590240394511127</v>
      </c>
      <c r="AC610" s="119">
        <f>IF(tech_base!$T266&gt;AC$345,"",AC890+AC1170+AC1450)</f>
        <v>70.587808128717725</v>
      </c>
      <c r="AD610" s="119">
        <f>IF(tech_base!$T266&gt;AD$345,"",AD890+AD1170+AD1450)</f>
        <v>70.585252952988554</v>
      </c>
      <c r="AE610" s="119">
        <f>IF(tech_base!$T266&gt;AE$345,"",AE890+AE1170+AE1450)</f>
        <v>70.582568752243162</v>
      </c>
      <c r="AF610" s="119">
        <f>IF(tech_base!$T266&gt;AF$345,"",AF890+AF1170+AF1450)</f>
        <v>70.579749117162081</v>
      </c>
      <c r="AG610" s="119">
        <f>IF(tech_base!$T266&gt;AG$345,"",AG890+AG1170+AG1450)</f>
        <v>70.576787331075124</v>
      </c>
      <c r="AH610" s="119">
        <f>IF(tech_base!$T266&gt;AH$345,"",AH890+AH1170+AH1450)</f>
        <v>70.573676356375813</v>
      </c>
      <c r="AI610" s="119">
        <f>IF(tech_base!$T266&gt;AI$345,"",AI890+AI1170+AI1450)</f>
        <v>70.570408820458354</v>
      </c>
      <c r="AJ610" s="119">
        <f>IF(tech_base!$T266&gt;AJ$345,"",AJ890+AJ1170+AJ1450)</f>
        <v>70.566977001173186</v>
      </c>
      <c r="AK610" s="119">
        <f>IF(tech_base!$T266&gt;AK$345,"",AK890+AK1170+AK1450)</f>
        <v>70.563372811800207</v>
      </c>
      <c r="AL610" s="119">
        <f>IF(tech_base!$T266&gt;AL$345,"",AL890+AL1170+AL1450)</f>
        <v>70.5595877855406</v>
      </c>
      <c r="AM610" s="119">
        <f>IF(tech_base!$T266&gt;AM$345,"",AM890+AM1170+AM1450)</f>
        <v>70.55561305953043</v>
      </c>
      <c r="AN610" s="119">
        <f>IF(tech_base!$T266&gt;AN$345,"",AN890+AN1170+AN1450)</f>
        <v>70.551439358381728</v>
      </c>
      <c r="AO610" s="119">
        <f>IF(tech_base!$T266&gt;AO$345,"",AO890+AO1170+AO1450)</f>
        <v>70.547056977261008</v>
      </c>
      <c r="AP610" s="119">
        <f>IF(tech_base!$T266&gt;AP$345,"",AP890+AP1170+AP1450)</f>
        <v>70.542455764516802</v>
      </c>
      <c r="AQ610" s="119">
        <f>IF(tech_base!$T266&gt;AQ$345,"",AQ890+AQ1170+AQ1450)</f>
        <v>70.537625103873154</v>
      </c>
      <c r="AR610" s="119">
        <f>IF(tech_base!$T266&gt;AR$345,"",AR890+AR1170+AR1450)</f>
        <v>70.532553896210004</v>
      </c>
      <c r="AS610" s="119">
        <f>IF(tech_base!$T266&gt;AS$345,"",AS890+AS1170+AS1450)</f>
        <v>70.527230540955799</v>
      </c>
      <c r="AT610" s="119">
        <f>IF(tech_base!$T266&gt;AT$345,"",AT890+AT1170+AT1450)</f>
        <v>70.521642917123557</v>
      </c>
      <c r="AU610" s="119">
        <f>IF(tech_base!$T266&gt;AU$345,"",AU890+AU1170+AU1450)</f>
        <v>70.515778364027213</v>
      </c>
      <c r="AV610" s="119">
        <f>IF(tech_base!$T266&gt;AV$345,"",AV890+AV1170+AV1450)</f>
        <v>70.509623661721946</v>
      </c>
      <c r="AW610" s="119">
        <f>IF(tech_base!$T266&gt;AW$345,"",AW890+AW1170+AW1450)</f>
        <v>70.503165011219039</v>
      </c>
      <c r="AX610" s="120">
        <f>IF(tech_base!$T266&gt;AX$345,"",AX890+AX1170+AX1450)</f>
        <v>70.496388014534205</v>
      </c>
    </row>
    <row r="611" spans="1:51" x14ac:dyDescent="0.25">
      <c r="A611" s="356"/>
      <c r="B611" s="376"/>
      <c r="C611" s="378"/>
      <c r="D611" s="2" t="s">
        <v>8</v>
      </c>
      <c r="E611" s="76" t="str">
        <f>A606&amp;"/"&amp;B610&amp;"/"&amp;C610&amp;"/"&amp;D611</f>
        <v>Hydro plants/Reservoirs (dams)/Electricity only/M</v>
      </c>
      <c r="F611" s="76" t="str">
        <f>A606</f>
        <v>Hydro plants</v>
      </c>
      <c r="G611" s="76" t="str">
        <f>B610</f>
        <v>Reservoirs (dams)</v>
      </c>
      <c r="H611" s="76" t="str">
        <f>C610</f>
        <v>Electricity only</v>
      </c>
      <c r="I611" s="76" t="str">
        <f t="shared" si="361"/>
        <v>M</v>
      </c>
      <c r="J611" s="119">
        <f>IF(tech_base!$T267&gt;J$345,"",J891+J1171+J1451)</f>
        <v>81.080414822821496</v>
      </c>
      <c r="K611" s="119">
        <f>IF(tech_base!$T267&gt;K$345,"",K891+K1171+K1451)</f>
        <v>81.079765121701925</v>
      </c>
      <c r="L611" s="119">
        <f>IF(tech_base!$T267&gt;L$345,"",L891+L1171+L1451)</f>
        <v>81.079047209609996</v>
      </c>
      <c r="M611" s="119">
        <f>IF(tech_base!$T267&gt;M$345,"",M891+M1171+M1451)</f>
        <v>81.078253938975948</v>
      </c>
      <c r="N611" s="119">
        <f>IF(tech_base!$T267&gt;N$345,"",N891+N1171+N1451)</f>
        <v>81.07737741631027</v>
      </c>
      <c r="O611" s="119">
        <f>IF(tech_base!$T267&gt;O$345,"",O891+O1171+O1451)</f>
        <v>81.076408925033405</v>
      </c>
      <c r="P611" s="119">
        <f>IF(tech_base!$T267&gt;P$345,"",P891+P1171+P1451)</f>
        <v>81.075338840470863</v>
      </c>
      <c r="Q611" s="119">
        <f>IF(tech_base!$T267&gt;Q$345,"",Q891+Q1171+Q1451)</f>
        <v>81.07415653625182</v>
      </c>
      <c r="R611" s="119">
        <f>IF(tech_base!$T267&gt;R$345,"",R891+R1171+R1451)</f>
        <v>81.07285028128193</v>
      </c>
      <c r="S611" s="119">
        <f>IF(tech_base!$T267&gt;S$345,"",S891+S1171+S1451)</f>
        <v>81.07140712639098</v>
      </c>
      <c r="T611" s="119">
        <f>IF(tech_base!$T267&gt;T$345,"",T891+T1171+T1451)</f>
        <v>81.069812779681001</v>
      </c>
      <c r="U611" s="119">
        <f>IF(tech_base!$T267&gt;U$345,"",U891+U1171+U1451)</f>
        <v>81.068051469522217</v>
      </c>
      <c r="V611" s="119">
        <f>IF(tech_base!$T267&gt;V$345,"",V891+V1171+V1451)</f>
        <v>81.066105794063162</v>
      </c>
      <c r="W611" s="119">
        <f>IF(tech_base!$T267&gt;W$345,"",W891+W1171+W1451)</f>
        <v>81.063956556037454</v>
      </c>
      <c r="X611" s="119">
        <f>IF(tech_base!$T267&gt;X$345,"",X891+X1171+X1451)</f>
        <v>81.061582581565432</v>
      </c>
      <c r="Y611" s="119">
        <f>IF(tech_base!$T267&gt;Y$345,"",Y891+Y1171+Y1451)</f>
        <v>81.058960521563947</v>
      </c>
      <c r="Z611" s="119">
        <f>IF(tech_base!$T267&gt;Z$345,"",Z891+Z1171+Z1451)</f>
        <v>81.056064634296348</v>
      </c>
      <c r="AA611" s="119">
        <f>IF(tech_base!$T267&gt;AA$345,"",AA891+AA1171+AA1451)</f>
        <v>81.052866547515606</v>
      </c>
      <c r="AB611" s="119">
        <f>IF(tech_base!$T267&gt;AB$345,"",AB891+AB1171+AB1451)</f>
        <v>81.049334998586488</v>
      </c>
      <c r="AC611" s="119">
        <f>IF(tech_base!$T267&gt;AC$345,"",AC891+AC1171+AC1451)</f>
        <v>81.045435550912345</v>
      </c>
      <c r="AD611" s="119">
        <f>IF(tech_base!$T267&gt;AD$345,"",AD891+AD1171+AD1451)</f>
        <v>81.041130284954548</v>
      </c>
      <c r="AE611" s="119">
        <f>IF(tech_base!$T267&gt;AE$345,"",AE891+AE1171+AE1451)</f>
        <v>81.036377462113037</v>
      </c>
      <c r="AF611" s="119">
        <f>IF(tech_base!$T267&gt;AF$345,"",AF891+AF1171+AF1451)</f>
        <v>81.031131159753386</v>
      </c>
      <c r="AG611" s="119">
        <f>IF(tech_base!$T267&gt;AG$345,"",AG891+AG1171+AG1451)</f>
        <v>81.025340875718371</v>
      </c>
      <c r="AH611" s="119">
        <f>IF(tech_base!$T267&gt;AH$345,"",AH891+AH1171+AH1451)</f>
        <v>81.01895110077237</v>
      </c>
      <c r="AI611" s="119">
        <f>IF(tech_base!$T267&gt;AI$345,"",AI891+AI1171+AI1451)</f>
        <v>81.011900857598704</v>
      </c>
      <c r="AJ611" s="119">
        <f>IF(tech_base!$T267&gt;AJ$345,"",AJ891+AJ1171+AJ1451)</f>
        <v>81.00412320522895</v>
      </c>
      <c r="AK611" s="119">
        <f>IF(tech_base!$T267&gt;AK$345,"",AK891+AK1171+AK1451)</f>
        <v>80.995544708143484</v>
      </c>
      <c r="AL611" s="119">
        <f>IF(tech_base!$T267&gt;AL$345,"",AL891+AL1171+AL1451)</f>
        <v>80.98608486976876</v>
      </c>
      <c r="AM611" s="119">
        <f>IF(tech_base!$T267&gt;AM$345,"",AM891+AM1171+AM1451)</f>
        <v>80.975655530739701</v>
      </c>
      <c r="AN611" s="119">
        <f>IF(tech_base!$T267&gt;AN$345,"",AN891+AN1171+AN1451)</f>
        <v>80.964160233120083</v>
      </c>
      <c r="AO611" s="119">
        <f>IF(tech_base!$T267&gt;AO$345,"",AO891+AO1171+AO1451)</f>
        <v>80.951493552824147</v>
      </c>
      <c r="AP611" s="119">
        <f>IF(tech_base!$T267&gt;AP$345,"",AP891+AP1171+AP1451)</f>
        <v>80.937540403791232</v>
      </c>
      <c r="AQ611" s="119">
        <f>IF(tech_base!$T267&gt;AQ$345,"",AQ891+AQ1171+AQ1451)</f>
        <v>80.922175319084772</v>
      </c>
      <c r="AR611" s="119">
        <f>IF(tech_base!$T267&gt;AR$345,"",AR891+AR1171+AR1451)</f>
        <v>80.905261716058632</v>
      </c>
      <c r="AS611" s="119">
        <f>IF(tech_base!$T267&gt;AS$345,"",AS891+AS1171+AS1451)</f>
        <v>80.886651155116695</v>
      </c>
      <c r="AT611" s="119">
        <f>IF(tech_base!$T267&gt;AT$345,"",AT891+AT1171+AT1451)</f>
        <v>80.866182604431103</v>
      </c>
      <c r="AU611" s="119">
        <f>IF(tech_base!$T267&gt;AU$345,"",AU891+AU1171+AU1451)</f>
        <v>80.843681726337749</v>
      </c>
      <c r="AV611" s="119">
        <f>IF(tech_base!$T267&gt;AV$345,"",AV891+AV1171+AV1451)</f>
        <v>80.818960205034514</v>
      </c>
      <c r="AW611" s="119">
        <f>IF(tech_base!$T267&gt;AW$345,"",AW891+AW1171+AW1451)</f>
        <v>80.791815139706657</v>
      </c>
      <c r="AX611" s="120">
        <f>IF(tech_base!$T267&gt;AX$345,"",AX891+AX1171+AX1451)</f>
        <v>80.762028532308278</v>
      </c>
    </row>
    <row r="612" spans="1:51" x14ac:dyDescent="0.25">
      <c r="A612" s="356"/>
      <c r="B612" s="376"/>
      <c r="C612" s="378"/>
      <c r="D612" s="2" t="s">
        <v>10</v>
      </c>
      <c r="E612" s="76" t="str">
        <f>A606&amp;"/"&amp;B610&amp;"/"&amp;C610&amp;"/"&amp;D612</f>
        <v>Hydro plants/Reservoirs (dams)/Electricity only/S</v>
      </c>
      <c r="F612" s="76" t="str">
        <f>A606</f>
        <v>Hydro plants</v>
      </c>
      <c r="G612" s="76" t="str">
        <f>B610</f>
        <v>Reservoirs (dams)</v>
      </c>
      <c r="H612" s="76" t="str">
        <f>C610</f>
        <v>Electricity only</v>
      </c>
      <c r="I612" s="76" t="str">
        <f t="shared" si="361"/>
        <v>S</v>
      </c>
      <c r="J612" s="119">
        <f>IF(tech_base!$T268&gt;J$345,"",J892+J1172+J1452)</f>
        <v>101.1323913304026</v>
      </c>
      <c r="K612" s="119">
        <f>IF(tech_base!$T268&gt;K$345,"",K892+K1172+K1452)</f>
        <v>101.13213290943737</v>
      </c>
      <c r="L612" s="119">
        <f>IF(tech_base!$T268&gt;L$345,"",L892+L1172+L1452)</f>
        <v>101.13183268319845</v>
      </c>
      <c r="M612" s="119">
        <f>IF(tech_base!$T268&gt;M$345,"",M892+M1172+M1452)</f>
        <v>101.13148389178771</v>
      </c>
      <c r="N612" s="119">
        <f>IF(tech_base!$T268&gt;N$345,"",N892+N1172+N1452)</f>
        <v>101.13107868329119</v>
      </c>
      <c r="O612" s="119">
        <f>IF(tech_base!$T268&gt;O$345,"",O892+O1172+O1452)</f>
        <v>101.13060793774162</v>
      </c>
      <c r="P612" s="119">
        <f>IF(tech_base!$T268&gt;P$345,"",P892+P1172+P1452)</f>
        <v>101.1300610628319</v>
      </c>
      <c r="Q612" s="119">
        <f>IF(tech_base!$T268&gt;Q$345,"",Q892+Q1172+Q1452)</f>
        <v>101.12942575689206</v>
      </c>
      <c r="R612" s="119">
        <f>IF(tech_base!$T268&gt;R$345,"",R892+R1172+R1452)</f>
        <v>101.12868773394533</v>
      </c>
      <c r="S612" s="119">
        <f>IF(tech_base!$T268&gt;S$345,"",S892+S1172+S1452)</f>
        <v>101.12783040485816</v>
      </c>
      <c r="T612" s="119">
        <f>IF(tech_base!$T268&gt;T$345,"",T892+T1172+T1452)</f>
        <v>101.12683450768506</v>
      </c>
      <c r="U612" s="119">
        <f>IF(tech_base!$T268&gt;U$345,"",U892+U1172+U1452)</f>
        <v>101.12567767926264</v>
      </c>
      <c r="V612" s="119">
        <f>IF(tech_base!$T268&gt;V$345,"",V892+V1172+V1452)</f>
        <v>101.1243339589185</v>
      </c>
      <c r="W612" s="119">
        <f>IF(tech_base!$T268&gt;W$345,"",W892+W1172+W1452)</f>
        <v>101.12277321381214</v>
      </c>
      <c r="X612" s="119">
        <f>IF(tech_base!$T268&gt;X$345,"",X892+X1172+X1452)</f>
        <v>101.12096047390156</v>
      </c>
      <c r="Y612" s="119">
        <f>IF(tech_base!$T268&gt;Y$345,"",Y892+Y1172+Y1452)</f>
        <v>101.11885516282229</v>
      </c>
      <c r="Z612" s="119">
        <f>IF(tech_base!$T268&gt;Z$345,"",Z892+Z1172+Z1452)</f>
        <v>101.11641020906006</v>
      </c>
      <c r="AA612" s="119">
        <f>IF(tech_base!$T268&gt;AA$345,"",AA892+AA1172+AA1452)</f>
        <v>101.11357101969405</v>
      </c>
      <c r="AB612" s="119">
        <f>IF(tech_base!$T268&gt;AB$345,"",AB892+AB1172+AB1452)</f>
        <v>101.11027429668583</v>
      </c>
      <c r="AC612" s="119">
        <f>IF(tech_base!$T268&gt;AC$345,"",AC892+AC1172+AC1452)</f>
        <v>101.10644667321063</v>
      </c>
      <c r="AD612" s="119">
        <f>IF(tech_base!$T268&gt;AD$345,"",AD892+AD1172+AD1452)</f>
        <v>101.10200314490065</v>
      </c>
      <c r="AE612" s="119">
        <f>IF(tech_base!$T268&gt;AE$345,"",AE892+AE1172+AE1452)</f>
        <v>101.09684526816572</v>
      </c>
      <c r="AF612" s="119">
        <f>IF(tech_base!$T268&gt;AF$345,"",AF892+AF1172+AF1452)</f>
        <v>101.09085909506618</v>
      </c>
      <c r="AG612" s="119">
        <f>IF(tech_base!$T268&gt;AG$345,"",AG892+AG1172+AG1452)</f>
        <v>101.08391281169081</v>
      </c>
      <c r="AH612" s="119">
        <f>IF(tech_base!$T268&gt;AH$345,"",AH892+AH1172+AH1452)</f>
        <v>101.07585404485853</v>
      </c>
      <c r="AI612" s="119">
        <f>IF(tech_base!$T268&gt;AI$345,"",AI892+AI1172+AI1452)</f>
        <v>101.06650680052826</v>
      </c>
      <c r="AJ612" s="119">
        <f>IF(tech_base!$T268&gt;AJ$345,"",AJ892+AJ1172+AJ1452)</f>
        <v>101.0556679970046</v>
      </c>
      <c r="AK612" s="119">
        <f>IF(tech_base!$T268&gt;AK$345,"",AK892+AK1172+AK1452)</f>
        <v>101.04310355746505</v>
      </c>
      <c r="AL612" s="119">
        <f>IF(tech_base!$T268&gt;AL$345,"",AL892+AL1172+AL1452)</f>
        <v>101.0285440303082</v>
      </c>
      <c r="AM612" s="119">
        <f>IF(tech_base!$T268&gt;AM$345,"",AM892+AM1172+AM1452)</f>
        <v>101.0116797133975</v>
      </c>
      <c r="AN612" s="119">
        <f>IF(tech_base!$T268&gt;AN$345,"",AN892+AN1172+AN1452)</f>
        <v>100.99215527082819</v>
      </c>
      <c r="AO612" s="119">
        <f>IF(tech_base!$T268&gt;AO$345,"",AO892+AO1172+AO1452)</f>
        <v>100.96956385014109</v>
      </c>
      <c r="AP612" s="119">
        <f>IF(tech_base!$T268&gt;AP$345,"",AP892+AP1172+AP1452)</f>
        <v>100.9434407361461</v>
      </c>
      <c r="AQ612" s="119">
        <f>IF(tech_base!$T268&gt;AQ$345,"",AQ892+AQ1172+AQ1452)</f>
        <v>100.91325661737888</v>
      </c>
      <c r="AR612" s="119">
        <f>IF(tech_base!$T268&gt;AR$345,"",AR892+AR1172+AR1452)</f>
        <v>100.87841059585021</v>
      </c>
      <c r="AS612" s="119">
        <f>IF(tech_base!$T268&gt;AS$345,"",AS892+AS1172+AS1452)</f>
        <v>100.83822314371224</v>
      </c>
      <c r="AT612" s="119">
        <f>IF(tech_base!$T268&gt;AT$345,"",AT892+AT1172+AT1452)</f>
        <v>100.79192930549702</v>
      </c>
      <c r="AU612" s="119">
        <f>IF(tech_base!$T268&gt;AU$345,"",AU892+AU1172+AU1452)</f>
        <v>100.73867256520909</v>
      </c>
      <c r="AV612" s="119">
        <f>IF(tech_base!$T268&gt;AV$345,"",AV892+AV1172+AV1452)</f>
        <v>100.6774999463812</v>
      </c>
      <c r="AW612" s="119">
        <f>IF(tech_base!$T268&gt;AW$345,"",AW892+AW1172+AW1452)</f>
        <v>100.60735909081514</v>
      </c>
      <c r="AX612" s="120">
        <f>IF(tech_base!$T268&gt;AX$345,"",AX892+AX1172+AX1452)</f>
        <v>100.52709826506738</v>
      </c>
    </row>
    <row r="613" spans="1:51" x14ac:dyDescent="0.25">
      <c r="A613" s="357"/>
      <c r="B613" s="380"/>
      <c r="C613" s="381"/>
      <c r="D613" s="4" t="s">
        <v>20</v>
      </c>
      <c r="E613" s="80" t="str">
        <f>A606&amp;"/"&amp;B610&amp;"/"&amp;C610&amp;"/"&amp;D613</f>
        <v>Hydro plants/Reservoirs (dams)/Electricity only/XS</v>
      </c>
      <c r="F613" s="80" t="str">
        <f>A606</f>
        <v>Hydro plants</v>
      </c>
      <c r="G613" s="80" t="str">
        <f>B610</f>
        <v>Reservoirs (dams)</v>
      </c>
      <c r="H613" s="80" t="str">
        <f>C610</f>
        <v>Electricity only</v>
      </c>
      <c r="I613" s="80" t="str">
        <f t="shared" si="361"/>
        <v>XS</v>
      </c>
      <c r="J613" s="127">
        <f>IF(tech_base!$T269&gt;J$345,"",J893+J1173+J1453)</f>
        <v>136.22335021866954</v>
      </c>
      <c r="K613" s="127">
        <f>IF(tech_base!$T269&gt;K$345,"",K893+K1173+K1453)</f>
        <v>136.22326253902514</v>
      </c>
      <c r="L613" s="127">
        <f>IF(tech_base!$T269&gt;L$345,"",L893+L1173+L1453)</f>
        <v>136.22315544833558</v>
      </c>
      <c r="M613" s="127">
        <f>IF(tech_base!$T269&gt;M$345,"",M893+M1173+M1453)</f>
        <v>136.22302464966481</v>
      </c>
      <c r="N613" s="127">
        <f>IF(tech_base!$T269&gt;N$345,"",N893+N1173+N1453)</f>
        <v>136.2228648950788</v>
      </c>
      <c r="O613" s="127">
        <f>IF(tech_base!$T269&gt;O$345,"",O893+O1173+O1453)</f>
        <v>136.22266977526684</v>
      </c>
      <c r="P613" s="127">
        <f>IF(tech_base!$T269&gt;P$345,"",P893+P1173+P1453)</f>
        <v>136.22243146267004</v>
      </c>
      <c r="Q613" s="127">
        <f>IF(tech_base!$T269&gt;Q$345,"",Q893+Q1173+Q1453)</f>
        <v>136.22214039786661</v>
      </c>
      <c r="R613" s="127">
        <f>IF(tech_base!$T269&gt;R$345,"",R893+R1173+R1453)</f>
        <v>136.22178490671249</v>
      </c>
      <c r="S613" s="127">
        <f>IF(tech_base!$T269&gt;S$345,"",S893+S1173+S1453)</f>
        <v>136.22135073300151</v>
      </c>
      <c r="T613" s="127">
        <f>IF(tech_base!$T269&gt;T$345,"",T893+T1173+T1453)</f>
        <v>136.22082046808021</v>
      </c>
      <c r="U613" s="127">
        <f>IF(tech_base!$T269&gt;U$345,"",U893+U1173+U1453)</f>
        <v>136.22017285481232</v>
      </c>
      <c r="V613" s="127">
        <f>IF(tech_base!$T269&gt;V$345,"",V893+V1173+V1453)</f>
        <v>136.21938193838443</v>
      </c>
      <c r="W613" s="127">
        <f>IF(tech_base!$T269&gt;W$345,"",W893+W1173+W1453)</f>
        <v>136.21841603050788</v>
      </c>
      <c r="X613" s="127">
        <f>IF(tech_base!$T269&gt;X$345,"",X893+X1173+X1453)</f>
        <v>136.21723644639385</v>
      </c>
      <c r="Y613" s="127">
        <f>IF(tech_base!$T269&gt;Y$345,"",Y893+Y1173+Y1453)</f>
        <v>136.21579596522409</v>
      </c>
      <c r="Z613" s="127">
        <f>IF(tech_base!$T269&gt;Z$345,"",Z893+Z1173+Z1453)</f>
        <v>136.21403695443476</v>
      </c>
      <c r="AA613" s="127">
        <f>IF(tech_base!$T269&gt;AA$345,"",AA893+AA1173+AA1453)</f>
        <v>136.21188908566697</v>
      </c>
      <c r="AB613" s="127">
        <f>IF(tech_base!$T269&gt;AB$345,"",AB893+AB1173+AB1453)</f>
        <v>136.20926655538321</v>
      </c>
      <c r="AC613" s="127">
        <f>IF(tech_base!$T269&gt;AC$345,"",AC893+AC1173+AC1453)</f>
        <v>136.20606470554625</v>
      </c>
      <c r="AD613" s="127">
        <f>IF(tech_base!$T269&gt;AD$345,"",AD893+AD1173+AD1453)</f>
        <v>136.20215591906501</v>
      </c>
      <c r="AE613" s="127">
        <f>IF(tech_base!$T269&gt;AE$345,"",AE893+AE1173+AE1453)</f>
        <v>136.19738464063005</v>
      </c>
      <c r="AF613" s="127">
        <f>IF(tech_base!$T269&gt;AF$345,"",AF893+AF1173+AF1453)</f>
        <v>136.1915613459127</v>
      </c>
      <c r="AG613" s="127">
        <f>IF(tech_base!$T269&gt;AG$345,"",AG893+AG1173+AG1453)</f>
        <v>136.18445525093088</v>
      </c>
      <c r="AH613" s="127">
        <f>IF(tech_base!$T269&gt;AH$345,"",AH893+AH1173+AH1453)</f>
        <v>136.17578551913903</v>
      </c>
      <c r="AI613" s="127">
        <f>IF(tech_base!$T269&gt;AI$345,"",AI893+AI1173+AI1453)</f>
        <v>136.16521068758473</v>
      </c>
      <c r="AJ613" s="127">
        <f>IF(tech_base!$T269&gt;AJ$345,"",AJ893+AJ1173+AJ1453)</f>
        <v>136.15231599743356</v>
      </c>
      <c r="AK613" s="127">
        <f>IF(tech_base!$T269&gt;AK$345,"",AK893+AK1173+AK1453)</f>
        <v>136.13659828205988</v>
      </c>
      <c r="AL613" s="127">
        <f>IF(tech_base!$T269&gt;AL$345,"",AL893+AL1173+AL1453)</f>
        <v>136.11744804389156</v>
      </c>
      <c r="AM613" s="127">
        <f>IF(tech_base!$T269&gt;AM$345,"",AM893+AM1173+AM1453)</f>
        <v>136.09412834898265</v>
      </c>
      <c r="AN613" s="127">
        <f>IF(tech_base!$T269&gt;AN$345,"",AN893+AN1173+AN1453)</f>
        <v>136.06575020058656</v>
      </c>
      <c r="AO613" s="127">
        <f>IF(tech_base!$T269&gt;AO$345,"",AO893+AO1173+AO1453)</f>
        <v>136.0312441415183</v>
      </c>
      <c r="AP613" s="127">
        <f>IF(tech_base!$T269&gt;AP$345,"",AP893+AP1173+AP1453)</f>
        <v>135.98932801086178</v>
      </c>
      <c r="AQ613" s="127">
        <f>IF(tech_base!$T269&gt;AQ$345,"",AQ893+AQ1173+AQ1453)</f>
        <v>135.93847108655027</v>
      </c>
      <c r="AR613" s="127">
        <f>IF(tech_base!$T269&gt;AR$345,"",AR893+AR1173+AR1453)</f>
        <v>135.87685533867415</v>
      </c>
      <c r="AS613" s="127">
        <f>IF(tech_base!$T269&gt;AS$345,"",AS893+AS1173+AS1453)</f>
        <v>135.80233527122974</v>
      </c>
      <c r="AT613" s="127">
        <f>IF(tech_base!$T269&gt;AT$345,"",AT893+AT1173+AT1453)</f>
        <v>135.71239892690369</v>
      </c>
      <c r="AU613" s="127">
        <f>IF(tech_base!$T269&gt;AU$345,"",AU893+AU1173+AU1453)</f>
        <v>135.60413415728209</v>
      </c>
      <c r="AV613" s="127">
        <f>IF(tech_base!$T269&gt;AV$345,"",AV893+AV1173+AV1453)</f>
        <v>135.47420628630283</v>
      </c>
      <c r="AW613" s="127">
        <f>IF(tech_base!$T269&gt;AW$345,"",AW893+AW1173+AW1453)</f>
        <v>135.31885582160808</v>
      </c>
      <c r="AX613" s="128">
        <f>IF(tech_base!$T269&gt;AX$345,"",AX893+AX1173+AX1453)</f>
        <v>135.13392776659356</v>
      </c>
    </row>
    <row r="614" spans="1:51" x14ac:dyDescent="0.25">
      <c r="A614" s="356" t="s">
        <v>46</v>
      </c>
      <c r="B614" s="359" t="s">
        <v>46</v>
      </c>
      <c r="C614" s="353" t="s">
        <v>6</v>
      </c>
      <c r="D614" s="2" t="s">
        <v>7</v>
      </c>
      <c r="E614" s="76" t="str">
        <f>A614&amp;"/"&amp;B614&amp;"/"&amp;C614&amp;"/"&amp;D614</f>
        <v>Pump storage/Pump storage/Electricity only/L</v>
      </c>
      <c r="F614" s="76" t="str">
        <f>A614</f>
        <v>Pump storage</v>
      </c>
      <c r="G614" s="76" t="str">
        <f>B614</f>
        <v>Pump storage</v>
      </c>
      <c r="H614" s="76" t="str">
        <f>C614</f>
        <v>Electricity only</v>
      </c>
      <c r="I614" s="76" t="str">
        <f t="shared" si="361"/>
        <v>L</v>
      </c>
      <c r="J614" s="119">
        <f>IF(tech_base!$T270&gt;J$345,"",J894+J1174+J1454)</f>
        <v>81.006225063413098</v>
      </c>
      <c r="K614" s="119">
        <f>IF(tech_base!$T270&gt;K$345,"",K894+K1174+K1454)</f>
        <v>81.005081438683931</v>
      </c>
      <c r="L614" s="119">
        <f>IF(tech_base!$T270&gt;L$345,"",L894+L1174+L1454)</f>
        <v>81.00387952369536</v>
      </c>
      <c r="M614" s="119">
        <f>IF(tech_base!$T270&gt;M$345,"",M894+M1174+M1454)</f>
        <v>81.00261636591992</v>
      </c>
      <c r="N614" s="119">
        <f>IF(tech_base!$T270&gt;N$345,"",N894+N1174+N1454)</f>
        <v>81.001288865218328</v>
      </c>
      <c r="O614" s="119">
        <f>IF(tech_base!$T270&gt;O$345,"",O894+O1174+O1454)</f>
        <v>80.999893766662879</v>
      </c>
      <c r="P614" s="119">
        <f>IF(tech_base!$T270&gt;P$345,"",P894+P1174+P1454)</f>
        <v>80.998427653033986</v>
      </c>
      <c r="Q614" s="119">
        <f>IF(tech_base!$T270&gt;Q$345,"",Q894+Q1174+Q1454)</f>
        <v>80.996886936976068</v>
      </c>
      <c r="R614" s="119">
        <f>IF(tech_base!$T270&gt;R$345,"",R894+R1174+R1454)</f>
        <v>80.995267852801035</v>
      </c>
      <c r="S614" s="119">
        <f>IF(tech_base!$T270&gt;S$345,"",S894+S1174+S1454)</f>
        <v>80.993566447925275</v>
      </c>
      <c r="T614" s="119">
        <f>IF(tech_base!$T270&gt;T$345,"",T894+T1174+T1454)</f>
        <v>80.991778573928045</v>
      </c>
      <c r="U614" s="119">
        <f>IF(tech_base!$T270&gt;U$345,"",U894+U1174+U1454)</f>
        <v>80.989899877216587</v>
      </c>
      <c r="V614" s="119">
        <f>IF(tech_base!$T270&gt;V$345,"",V894+V1174+V1454)</f>
        <v>80.987925789285768</v>
      </c>
      <c r="W614" s="119">
        <f>IF(tech_base!$T270&gt;W$345,"",W894+W1174+W1454)</f>
        <v>80.985851516557929</v>
      </c>
      <c r="X614" s="119">
        <f>IF(tech_base!$T270&gt;X$345,"",X894+X1174+X1454)</f>
        <v>80.983672029790128</v>
      </c>
      <c r="Y614" s="119">
        <f>IF(tech_base!$T270&gt;Y$345,"",Y894+Y1174+Y1454)</f>
        <v>80.981382053034935</v>
      </c>
      <c r="Z614" s="119">
        <f>IF(tech_base!$T270&gt;Z$345,"",Z894+Z1174+Z1454)</f>
        <v>80.978976052142187</v>
      </c>
      <c r="AA614" s="119">
        <f>IF(tech_base!$T270&gt;AA$345,"",AA894+AA1174+AA1454)</f>
        <v>80.97644822278842</v>
      </c>
      <c r="AB614" s="119">
        <f>IF(tech_base!$T270&gt;AB$345,"",AB894+AB1174+AB1454)</f>
        <v>80.973792478022133</v>
      </c>
      <c r="AC614" s="119">
        <f>IF(tech_base!$T270&gt;AC$345,"",AC894+AC1174+AC1454)</f>
        <v>80.971002435312172</v>
      </c>
      <c r="AD614" s="119">
        <f>IF(tech_base!$T270&gt;AD$345,"",AD894+AD1174+AD1454)</f>
        <v>80.968071403088999</v>
      </c>
      <c r="AE614" s="119">
        <f>IF(tech_base!$T270&gt;AE$345,"",AE894+AE1174+AE1454)</f>
        <v>80.964992366767362</v>
      </c>
      <c r="AF614" s="119">
        <f>IF(tech_base!$T270&gt;AF$345,"",AF894+AF1174+AF1454)</f>
        <v>80.961757974241692</v>
      </c>
      <c r="AG614" s="119">
        <f>IF(tech_base!$T270&gt;AG$345,"",AG894+AG1174+AG1454)</f>
        <v>80.958360520845432</v>
      </c>
      <c r="AH614" s="119">
        <f>IF(tech_base!$T270&gt;AH$345,"",AH894+AH1174+AH1454)</f>
        <v>80.95479193376741</v>
      </c>
      <c r="AI614" s="119">
        <f>IF(tech_base!$T270&gt;AI$345,"",AI894+AI1174+AI1454)</f>
        <v>80.951043755919926</v>
      </c>
      <c r="AJ614" s="119">
        <f>IF(tech_base!$T270&gt;AJ$345,"",AJ894+AJ1174+AJ1454)</f>
        <v>80.947107129255016</v>
      </c>
      <c r="AK614" s="119">
        <f>IF(tech_base!$T270&gt;AK$345,"",AK894+AK1174+AK1454)</f>
        <v>80.94297277752726</v>
      </c>
      <c r="AL614" s="119">
        <f>IF(tech_base!$T270&gt;AL$345,"",AL894+AL1174+AL1454)</f>
        <v>80.938630988504357</v>
      </c>
      <c r="AM614" s="119">
        <f>IF(tech_base!$T270&gt;AM$345,"",AM894+AM1174+AM1454)</f>
        <v>80.934071595629248</v>
      </c>
      <c r="AN614" s="119">
        <f>IF(tech_base!$T270&gt;AN$345,"",AN894+AN1174+AN1454)</f>
        <v>80.929283959140236</v>
      </c>
      <c r="AO614" s="119">
        <f>IF(tech_base!$T270&gt;AO$345,"",AO894+AO1174+AO1454)</f>
        <v>80.924256946660293</v>
      </c>
      <c r="AP614" s="119">
        <f>IF(tech_base!$T270&gt;AP$345,"",AP894+AP1174+AP1454)</f>
        <v>80.918978913269058</v>
      </c>
      <c r="AQ614" s="119">
        <f>IF(tech_base!$T270&gt;AQ$345,"",AQ894+AQ1174+AQ1454)</f>
        <v>80.913437681077411</v>
      </c>
      <c r="AR614" s="119">
        <f>IF(tech_base!$T270&gt;AR$345,"",AR894+AR1174+AR1454)</f>
        <v>80.907620518327519</v>
      </c>
      <c r="AS614" s="119">
        <f>IF(tech_base!$T270&gt;AS$345,"",AS894+AS1174+AS1454)</f>
        <v>80.90151411804851</v>
      </c>
      <c r="AT614" s="119">
        <f>IF(tech_base!$T270&gt;AT$345,"",AT894+AT1174+AT1454)</f>
        <v>80.895104576302955</v>
      </c>
      <c r="AU614" s="119">
        <f>IF(tech_base!$T270&gt;AU$345,"",AU894+AU1174+AU1454)</f>
        <v>80.888377370066721</v>
      </c>
      <c r="AV614" s="119">
        <f>IF(tech_base!$T270&gt;AV$345,"",AV894+AV1174+AV1454)</f>
        <v>80.881317334792044</v>
      </c>
      <c r="AW614" s="119">
        <f>IF(tech_base!$T270&gt;AW$345,"",AW894+AW1174+AW1454)</f>
        <v>80.873908641712291</v>
      </c>
      <c r="AX614" s="120">
        <f>IF(tech_base!$T270&gt;AX$345,"",AX894+AX1174+AX1454)</f>
        <v>80.866134774955142</v>
      </c>
    </row>
    <row r="615" spans="1:51" x14ac:dyDescent="0.25">
      <c r="A615" s="382"/>
      <c r="B615" s="376"/>
      <c r="C615" s="378"/>
      <c r="D615" s="2" t="s">
        <v>8</v>
      </c>
      <c r="E615" s="76" t="str">
        <f>A614&amp;"/"&amp;B614&amp;"/"&amp;C614&amp;"/"&amp;D615</f>
        <v>Pump storage/Pump storage/Electricity only/M</v>
      </c>
      <c r="F615" s="76" t="str">
        <f>A614</f>
        <v>Pump storage</v>
      </c>
      <c r="G615" s="76" t="str">
        <f>B614</f>
        <v>Pump storage</v>
      </c>
      <c r="H615" s="76" t="str">
        <f>C614</f>
        <v>Electricity only</v>
      </c>
      <c r="I615" s="76" t="str">
        <f t="shared" si="361"/>
        <v>M</v>
      </c>
      <c r="J615" s="119">
        <f>IF(tech_base!$T271&gt;J$345,"",J895+J1175+J1455)</f>
        <v>93.009922964191162</v>
      </c>
      <c r="K615" s="119">
        <f>IF(tech_base!$T271&gt;K$345,"",K895+K1175+K1455)</f>
        <v>93.009177671370324</v>
      </c>
      <c r="L615" s="119">
        <f>IF(tech_base!$T271&gt;L$345,"",L895+L1175+L1455)</f>
        <v>93.008354131573284</v>
      </c>
      <c r="M615" s="119">
        <f>IF(tech_base!$T271&gt;M$345,"",M895+M1175+M1455)</f>
        <v>93.007444145595471</v>
      </c>
      <c r="N615" s="119">
        <f>IF(tech_base!$T271&gt;N$345,"",N895+N1175+N1455)</f>
        <v>93.006438658564022</v>
      </c>
      <c r="O615" s="119">
        <f>IF(tech_base!$T271&gt;O$345,"",O895+O1175+O1455)</f>
        <v>93.005327671413184</v>
      </c>
      <c r="P615" s="119">
        <f>IF(tech_base!$T271&gt;P$345,"",P895+P1175+P1455)</f>
        <v>93.00410014337271</v>
      </c>
      <c r="Q615" s="119">
        <f>IF(tech_base!$T271&gt;Q$345,"",Q895+Q1175+Q1455)</f>
        <v>93.002743884594622</v>
      </c>
      <c r="R615" s="119">
        <f>IF(tech_base!$T271&gt;R$345,"",R895+R1175+R1455)</f>
        <v>93.001245437967469</v>
      </c>
      <c r="S615" s="119">
        <f>IF(tech_base!$T271&gt;S$345,"",S895+S1175+S1455)</f>
        <v>92.999589949086158</v>
      </c>
      <c r="T615" s="119">
        <f>IF(tech_base!$T271&gt;T$345,"",T895+T1175+T1455)</f>
        <v>92.997761023259869</v>
      </c>
      <c r="U615" s="119">
        <f>IF(tech_base!$T271&gt;U$345,"",U895+U1175+U1455)</f>
        <v>92.995740568350485</v>
      </c>
      <c r="V615" s="119">
        <f>IF(tech_base!$T271&gt;V$345,"",V895+V1175+V1455)</f>
        <v>92.993508622140581</v>
      </c>
      <c r="W615" s="119">
        <f>IF(tech_base!$T271&gt;W$345,"",W895+W1175+W1455)</f>
        <v>92.991043162835282</v>
      </c>
      <c r="X615" s="119">
        <f>IF(tech_base!$T271&gt;X$345,"",X895+X1175+X1455)</f>
        <v>92.988319901203653</v>
      </c>
      <c r="Y615" s="119">
        <f>IF(tech_base!$T271&gt;Y$345,"",Y895+Y1175+Y1455)</f>
        <v>92.9853120527698</v>
      </c>
      <c r="Z615" s="119">
        <f>IF(tech_base!$T271&gt;Z$345,"",Z895+Z1175+Z1455)</f>
        <v>92.981990088368619</v>
      </c>
      <c r="AA615" s="119">
        <f>IF(tech_base!$T271&gt;AA$345,"",AA895+AA1175+AA1455)</f>
        <v>92.978321461293191</v>
      </c>
      <c r="AB615" s="119">
        <f>IF(tech_base!$T271&gt;AB$345,"",AB895+AB1175+AB1455)</f>
        <v>92.974270309180042</v>
      </c>
      <c r="AC615" s="119">
        <f>IF(tech_base!$T271&gt;AC$345,"",AC895+AC1175+AC1455)</f>
        <v>92.969797128713878</v>
      </c>
      <c r="AD615" s="119">
        <f>IF(tech_base!$T271&gt;AD$345,"",AD895+AD1175+AD1455)</f>
        <v>92.964858421185625</v>
      </c>
      <c r="AE615" s="119">
        <f>IF(tech_base!$T271&gt;AE$345,"",AE895+AE1175+AE1455)</f>
        <v>92.959406306919632</v>
      </c>
      <c r="AF615" s="119">
        <f>IF(tech_base!$T271&gt;AF$345,"",AF895+AF1175+AF1455)</f>
        <v>92.953388106601039</v>
      </c>
      <c r="AG615" s="119">
        <f>IF(tech_base!$T271&gt;AG$345,"",AG895+AG1175+AG1455)</f>
        <v>92.94674588759888</v>
      </c>
      <c r="AH615" s="119">
        <f>IF(tech_base!$T271&gt;AH$345,"",AH895+AH1175+AH1455)</f>
        <v>92.939415973503301</v>
      </c>
      <c r="AI615" s="119">
        <f>IF(tech_base!$T271&gt;AI$345,"",AI895+AI1175+AI1455)</f>
        <v>92.93132841529463</v>
      </c>
      <c r="AJ615" s="119">
        <f>IF(tech_base!$T271&gt;AJ$345,"",AJ895+AJ1175+AJ1455)</f>
        <v>92.922406422858728</v>
      </c>
      <c r="AK615" s="119">
        <f>IF(tech_base!$T271&gt;AK$345,"",AK895+AK1175+AK1455)</f>
        <v>92.912565755974924</v>
      </c>
      <c r="AL615" s="119">
        <f>IF(tech_base!$T271&gt;AL$345,"",AL895+AL1175+AL1455)</f>
        <v>92.901714074463314</v>
      </c>
      <c r="AM615" s="119">
        <f>IF(tech_base!$T271&gt;AM$345,"",AM895+AM1175+AM1455)</f>
        <v>92.889750247911849</v>
      </c>
      <c r="AN615" s="119">
        <f>IF(tech_base!$T271&gt;AN$345,"",AN895+AN1175+AN1455)</f>
        <v>92.876563626353686</v>
      </c>
      <c r="AO615" s="119">
        <f>IF(tech_base!$T271&gt;AO$345,"",AO895+AO1175+AO1455)</f>
        <v>92.862033274466455</v>
      </c>
      <c r="AP615" s="119">
        <f>IF(tech_base!$T271&gt;AP$345,"",AP895+AP1175+AP1455)</f>
        <v>92.846027173369222</v>
      </c>
      <c r="AQ615" s="119">
        <f>IF(tech_base!$T271&gt;AQ$345,"",AQ895+AQ1175+AQ1455)</f>
        <v>92.828401395948006</v>
      </c>
      <c r="AR615" s="119">
        <f>IF(tech_base!$T271&gt;AR$345,"",AR895+AR1175+AR1455)</f>
        <v>92.808999263904852</v>
      </c>
      <c r="AS615" s="119">
        <f>IF(tech_base!$T271&gt;AS$345,"",AS895+AS1175+AS1455)</f>
        <v>92.787650497457193</v>
      </c>
      <c r="AT615" s="119">
        <f>IF(tech_base!$T271&gt;AT$345,"",AT895+AT1175+AT1455)</f>
        <v>92.76417037187305</v>
      </c>
      <c r="AU615" s="119">
        <f>IF(tech_base!$T271&gt;AU$345,"",AU895+AU1175+AU1455)</f>
        <v>92.738358898872292</v>
      </c>
      <c r="AV615" s="119">
        <f>IF(tech_base!$T271&gt;AV$345,"",AV895+AV1175+AV1455)</f>
        <v>92.710000055408116</v>
      </c>
      <c r="AW615" s="119">
        <f>IF(tech_base!$T271&gt;AW$345,"",AW895+AW1175+AW1455)</f>
        <v>92.678861087501758</v>
      </c>
      <c r="AX615" s="120">
        <f>IF(tech_base!$T271&gt;AX$345,"",AX895+AX1175+AX1455)</f>
        <v>92.644691922660385</v>
      </c>
    </row>
    <row r="616" spans="1:51" x14ac:dyDescent="0.25">
      <c r="A616" s="382"/>
      <c r="B616" s="376"/>
      <c r="C616" s="378"/>
      <c r="D616" s="2" t="s">
        <v>10</v>
      </c>
      <c r="E616" s="76" t="str">
        <f>A614&amp;"/"&amp;B614&amp;"/"&amp;C614&amp;"/"&amp;D616</f>
        <v>Pump storage/Pump storage/Electricity only/S</v>
      </c>
      <c r="F616" s="76" t="str">
        <f>A614</f>
        <v>Pump storage</v>
      </c>
      <c r="G616" s="76" t="str">
        <f>B614</f>
        <v>Pump storage</v>
      </c>
      <c r="H616" s="76" t="str">
        <f>C614</f>
        <v>Electricity only</v>
      </c>
      <c r="I616" s="76" t="str">
        <f t="shared" si="361"/>
        <v>S</v>
      </c>
      <c r="J616" s="119">
        <f>IF(tech_base!$T272&gt;J$345,"",J896+J1176+J1456)</f>
        <v>116.01701060734916</v>
      </c>
      <c r="K616" s="119">
        <f>IF(tech_base!$T272&gt;K$345,"",K896+K1176+K1456)</f>
        <v>116.01671415210399</v>
      </c>
      <c r="L616" s="119">
        <f>IF(tech_base!$T272&gt;L$345,"",L896+L1176+L1456)</f>
        <v>116.01636973870407</v>
      </c>
      <c r="M616" s="119">
        <f>IF(tech_base!$T272&gt;M$345,"",M896+M1176+M1456)</f>
        <v>116.0159696123324</v>
      </c>
      <c r="N616" s="119">
        <f>IF(tech_base!$T272&gt;N$345,"",N896+N1176+N1456)</f>
        <v>116.01550476543397</v>
      </c>
      <c r="O616" s="119">
        <f>IF(tech_base!$T272&gt;O$345,"",O896+O1176+O1456)</f>
        <v>116.01496473576891</v>
      </c>
      <c r="P616" s="119">
        <f>IF(tech_base!$T272&gt;P$345,"",P896+P1176+P1456)</f>
        <v>116.01433737205916</v>
      </c>
      <c r="Q616" s="119">
        <f>IF(tech_base!$T272&gt;Q$345,"",Q896+Q1176+Q1456)</f>
        <v>116.01360856208056</v>
      </c>
      <c r="R616" s="119">
        <f>IF(tech_base!$T272&gt;R$345,"",R896+R1176+R1456)</f>
        <v>116.01276191725279</v>
      </c>
      <c r="S616" s="119">
        <f>IF(tech_base!$T272&gt;S$345,"",S896+S1176+S1456)</f>
        <v>116.0117784068612</v>
      </c>
      <c r="T616" s="119">
        <f>IF(tech_base!$T272&gt;T$345,"",T896+T1176+T1456)</f>
        <v>116.01063593399591</v>
      </c>
      <c r="U616" s="119">
        <f>IF(tech_base!$T272&gt;U$345,"",U896+U1176+U1456)</f>
        <v>116.00930884409337</v>
      </c>
      <c r="V616" s="119">
        <f>IF(tech_base!$T272&gt;V$345,"",V896+V1176+V1456)</f>
        <v>116.00776735560126</v>
      </c>
      <c r="W616" s="119">
        <f>IF(tech_base!$T272&gt;W$345,"",W896+W1176+W1456)</f>
        <v>116.00597690074125</v>
      </c>
      <c r="X616" s="119">
        <f>IF(tech_base!$T272&gt;X$345,"",X896+X1176+X1456)</f>
        <v>116.00389736259656</v>
      </c>
      <c r="Y616" s="119">
        <f>IF(tech_base!$T272&gt;Y$345,"",Y896+Y1176+Y1456)</f>
        <v>116.00148219279187</v>
      </c>
      <c r="Z616" s="119">
        <f>IF(tech_base!$T272&gt;Z$345,"",Z896+Z1176+Z1456)</f>
        <v>115.99867739184891</v>
      </c>
      <c r="AA616" s="119">
        <f>IF(tech_base!$T272&gt;AA$345,"",AA896+AA1176+AA1456)</f>
        <v>115.99542033188561</v>
      </c>
      <c r="AB616" s="119">
        <f>IF(tech_base!$T272&gt;AB$345,"",AB896+AB1176+AB1456)</f>
        <v>115.99163839868717</v>
      </c>
      <c r="AC616" s="119">
        <f>IF(tech_base!$T272&gt;AC$345,"",AC896+AC1176+AC1456)</f>
        <v>115.98724742733286</v>
      </c>
      <c r="AD616" s="119">
        <f>IF(tech_base!$T272&gt;AD$345,"",AD896+AD1176+AD1456)</f>
        <v>115.98214990255082</v>
      </c>
      <c r="AE616" s="119">
        <f>IF(tech_base!$T272&gt;AE$345,"",AE896+AE1176+AE1456)</f>
        <v>115.97623289186815</v>
      </c>
      <c r="AF616" s="119">
        <f>IF(tech_base!$T272&gt;AF$345,"",AF896+AF1176+AF1456)</f>
        <v>115.96936567653933</v>
      </c>
      <c r="AG616" s="119">
        <f>IF(tech_base!$T272&gt;AG$345,"",AG896+AG1176+AG1456)</f>
        <v>115.96139704234169</v>
      </c>
      <c r="AH616" s="119">
        <f>IF(tech_base!$T272&gt;AH$345,"",AH896+AH1176+AH1456)</f>
        <v>115.95215218987887</v>
      </c>
      <c r="AI616" s="119">
        <f>IF(tech_base!$T272&gt;AI$345,"",AI896+AI1176+AI1456)</f>
        <v>115.94142922238697</v>
      </c>
      <c r="AJ616" s="119">
        <f>IF(tech_base!$T272&gt;AJ$345,"",AJ896+AJ1176+AJ1456)</f>
        <v>115.9289951686992</v>
      </c>
      <c r="AK616" s="119">
        <f>IF(tech_base!$T272&gt;AK$345,"",AK896+AK1176+AK1456)</f>
        <v>115.91458150067297</v>
      </c>
      <c r="AL616" s="119">
        <f>IF(tech_base!$T272&gt;AL$345,"",AL896+AL1176+AL1456)</f>
        <v>115.89787910894294</v>
      </c>
      <c r="AM616" s="119">
        <f>IF(tech_base!$T272&gt;AM$345,"",AM896+AM1176+AM1456)</f>
        <v>115.87853270955323</v>
      </c>
      <c r="AN616" s="119">
        <f>IF(tech_base!$T272&gt;AN$345,"",AN896+AN1176+AN1456)</f>
        <v>115.85613466842254</v>
      </c>
      <c r="AO616" s="119">
        <f>IF(tech_base!$T272&gt;AO$345,"",AO896+AO1176+AO1456)</f>
        <v>115.83021825273204</v>
      </c>
      <c r="AP616" s="119">
        <f>IF(tech_base!$T272&gt;AP$345,"",AP896+AP1176+AP1456)</f>
        <v>115.80025035072175</v>
      </c>
      <c r="AQ616" s="119">
        <f>IF(tech_base!$T272&gt;AQ$345,"",AQ896+AQ1176+AQ1456)</f>
        <v>115.76562374710721</v>
      </c>
      <c r="AR616" s="119">
        <f>IF(tech_base!$T272&gt;AR$345,"",AR896+AR1176+AR1456)</f>
        <v>115.72564910400686</v>
      </c>
      <c r="AS616" s="119">
        <f>IF(tech_base!$T272&gt;AS$345,"",AS896+AS1176+AS1456)</f>
        <v>115.6795468809739</v>
      </c>
      <c r="AT616" s="119">
        <f>IF(tech_base!$T272&gt;AT$345,"",AT896+AT1176+AT1456)</f>
        <v>115.62643953674308</v>
      </c>
      <c r="AU616" s="119">
        <f>IF(tech_base!$T272&gt;AU$345,"",AU896+AU1176+AU1456)</f>
        <v>115.56534449368499</v>
      </c>
      <c r="AV616" s="119">
        <f>IF(tech_base!$T272&gt;AV$345,"",AV896+AV1176+AV1456)</f>
        <v>115.49516851669016</v>
      </c>
      <c r="AW616" s="119">
        <f>IF(tech_base!$T272&gt;AW$345,"",AW896+AW1176+AW1456)</f>
        <v>115.41470436196026</v>
      </c>
      <c r="AX616" s="120">
        <f>IF(tech_base!$T272&gt;AX$345,"",AX896+AX1176+AX1456)</f>
        <v>115.32263078444824</v>
      </c>
    </row>
    <row r="617" spans="1:51" ht="11" thickBot="1" x14ac:dyDescent="0.3">
      <c r="A617" s="383"/>
      <c r="B617" s="384"/>
      <c r="C617" s="385"/>
      <c r="D617" s="158" t="s">
        <v>20</v>
      </c>
      <c r="E617" s="82" t="str">
        <f>A614&amp;"/"&amp;B614&amp;"/"&amp;C614&amp;"/"&amp;D617</f>
        <v>Pump storage/Pump storage/Electricity only/XS</v>
      </c>
      <c r="F617" s="82" t="str">
        <f>A614</f>
        <v>Pump storage</v>
      </c>
      <c r="G617" s="82" t="str">
        <f>B614</f>
        <v>Pump storage</v>
      </c>
      <c r="H617" s="82" t="str">
        <f>C614</f>
        <v>Electricity only</v>
      </c>
      <c r="I617" s="82" t="str">
        <f t="shared" si="361"/>
        <v>XS</v>
      </c>
      <c r="J617" s="131">
        <f>IF(tech_base!$T273&gt;J$345,"",J897+J1177+J1457)</f>
        <v>156.27941398287567</v>
      </c>
      <c r="K617" s="131">
        <f>IF(tech_base!$T273&gt;K$345,"",K897+K1177+K1457)</f>
        <v>156.27931339422165</v>
      </c>
      <c r="L617" s="131">
        <f>IF(tech_base!$T273&gt;L$345,"",L897+L1177+L1457)</f>
        <v>156.27919053664851</v>
      </c>
      <c r="M617" s="131">
        <f>IF(tech_base!$T273&gt;M$345,"",M897+M1177+M1457)</f>
        <v>156.27904048058554</v>
      </c>
      <c r="N617" s="131">
        <f>IF(tech_base!$T273&gt;N$345,"",N897+N1177+N1457)</f>
        <v>156.27885720544924</v>
      </c>
      <c r="O617" s="131">
        <f>IF(tech_base!$T273&gt;O$345,"",O897+O1177+O1457)</f>
        <v>156.2786333582907</v>
      </c>
      <c r="P617" s="131">
        <f>IF(tech_base!$T273&gt;P$345,"",P897+P1177+P1457)</f>
        <v>156.27835995910539</v>
      </c>
      <c r="Q617" s="131">
        <f>IF(tech_base!$T273&gt;Q$345,"",Q897+Q1177+Q1457)</f>
        <v>156.27802604104482</v>
      </c>
      <c r="R617" s="131">
        <f>IF(tech_base!$T273&gt;R$345,"",R897+R1177+R1457)</f>
        <v>156.27761821118929</v>
      </c>
      <c r="S617" s="131">
        <f>IF(tech_base!$T273&gt;S$345,"",S897+S1177+S1457)</f>
        <v>156.27712011440178</v>
      </c>
      <c r="T617" s="131">
        <f>IF(tech_base!$T273&gt;T$345,"",T897+T1177+T1457)</f>
        <v>156.27651177896573</v>
      </c>
      <c r="U617" s="131">
        <f>IF(tech_base!$T273&gt;U$345,"",U897+U1177+U1457)</f>
        <v>156.27576881807227</v>
      </c>
      <c r="V617" s="131">
        <f>IF(tech_base!$T273&gt;V$345,"",V897+V1177+V1457)</f>
        <v>156.27486145559982</v>
      </c>
      <c r="W617" s="131">
        <f>IF(tech_base!$T273&gt;W$345,"",W897+W1177+W1457)</f>
        <v>156.27375333781632</v>
      </c>
      <c r="X617" s="131">
        <f>IF(tech_base!$T273&gt;X$345,"",X897+X1177+X1457)</f>
        <v>156.27240008439986</v>
      </c>
      <c r="Y617" s="131">
        <f>IF(tech_base!$T273&gt;Y$345,"",Y897+Y1177+Y1457)</f>
        <v>156.27074752224581</v>
      </c>
      <c r="Z617" s="131">
        <f>IF(tech_base!$T273&gt;Z$345,"",Z897+Z1177+Z1457)</f>
        <v>156.26872953359037</v>
      </c>
      <c r="AA617" s="131">
        <f>IF(tech_base!$T273&gt;AA$345,"",AA897+AA1177+AA1457)</f>
        <v>156.26626543568202</v>
      </c>
      <c r="AB617" s="131">
        <f>IF(tech_base!$T273&gt;AB$345,"",AB897+AB1177+AB1457)</f>
        <v>156.26325679219144</v>
      </c>
      <c r="AC617" s="131">
        <f>IF(tech_base!$T273&gt;AC$345,"",AC897+AC1177+AC1457)</f>
        <v>156.25958353635556</v>
      </c>
      <c r="AD617" s="131">
        <f>IF(tech_base!$T273&gt;AD$345,"",AD897+AD1177+AD1457)</f>
        <v>156.25509926211259</v>
      </c>
      <c r="AE617" s="131">
        <f>IF(tech_base!$T273&gt;AE$345,"",AE897+AE1177+AE1457)</f>
        <v>156.24962551185925</v>
      </c>
      <c r="AF617" s="131">
        <f>IF(tech_base!$T273&gt;AF$345,"",AF897+AF1177+AF1457)</f>
        <v>156.2429448577393</v>
      </c>
      <c r="AG617" s="131">
        <f>IF(tech_base!$T273&gt;AG$345,"",AG897+AG1177+AG1457)</f>
        <v>156.23479253761442</v>
      </c>
      <c r="AH617" s="131">
        <f>IF(tech_base!$T273&gt;AH$345,"",AH897+AH1177+AH1457)</f>
        <v>156.22484636758085</v>
      </c>
      <c r="AI617" s="131">
        <f>IF(tech_base!$T273&gt;AI$345,"",AI897+AI1177+AI1457)</f>
        <v>156.21271461134651</v>
      </c>
      <c r="AJ617" s="131">
        <f>IF(tech_base!$T273&gt;AJ$345,"",AJ897+AJ1177+AJ1457)</f>
        <v>156.19792144543865</v>
      </c>
      <c r="AK617" s="131">
        <f>IF(tech_base!$T273&gt;AK$345,"",AK897+AK1177+AK1457)</f>
        <v>156.17988962237894</v>
      </c>
      <c r="AL617" s="131">
        <f>IF(tech_base!$T273&gt;AL$345,"",AL897+AL1177+AL1457)</f>
        <v>156.15791990871546</v>
      </c>
      <c r="AM617" s="131">
        <f>IF(tech_base!$T273&gt;AM$345,"",AM897+AM1177+AM1457)</f>
        <v>156.131166872259</v>
      </c>
      <c r="AN617" s="131">
        <f>IF(tech_base!$T273&gt;AN$345,"",AN897+AN1177+AN1457)</f>
        <v>156.09861062992502</v>
      </c>
      <c r="AO617" s="131">
        <f>IF(tech_base!$T273&gt;AO$345,"",AO897+AO1177+AO1457)</f>
        <v>156.05902426913306</v>
      </c>
      <c r="AP617" s="131">
        <f>IF(tech_base!$T273&gt;AP$345,"",AP897+AP1177+AP1457)</f>
        <v>156.01093685735739</v>
      </c>
      <c r="AQ617" s="131">
        <f>IF(tech_base!$T273&gt;AQ$345,"",AQ897+AQ1177+AQ1457)</f>
        <v>155.95259230544605</v>
      </c>
      <c r="AR617" s="131">
        <f>IF(tech_base!$T273&gt;AR$345,"",AR897+AR1177+AR1457)</f>
        <v>155.88190491628148</v>
      </c>
      <c r="AS617" s="131">
        <f>IF(tech_base!$T273&gt;AS$345,"",AS897+AS1177+AS1457)</f>
        <v>155.79641331406</v>
      </c>
      <c r="AT617" s="131">
        <f>IF(tech_base!$T273&gt;AT$345,"",AT897+AT1177+AT1457)</f>
        <v>155.69323570783851</v>
      </c>
      <c r="AU617" s="131">
        <f>IF(tech_base!$T273&gt;AU$345,"",AU897+AU1177+AU1457)</f>
        <v>155.56903119573178</v>
      </c>
      <c r="AV617" s="131">
        <f>IF(tech_base!$T273&gt;AV$345,"",AV897+AV1177+AV1457)</f>
        <v>155.4199741397712</v>
      </c>
      <c r="AW617" s="131">
        <f>IF(tech_base!$T273&gt;AW$345,"",AW897+AW1177+AW1457)</f>
        <v>155.24175154030138</v>
      </c>
      <c r="AX617" s="132">
        <f>IF(tech_base!$T273&gt;AX$345,"",AX897+AX1177+AX1457)</f>
        <v>155.02959666362074</v>
      </c>
    </row>
    <row r="623" spans="1:51" ht="11" thickBot="1" x14ac:dyDescent="0.3"/>
    <row r="624" spans="1:51" s="174" customFormat="1" x14ac:dyDescent="0.25">
      <c r="A624" s="343" t="s">
        <v>49</v>
      </c>
      <c r="B624" s="345" t="s">
        <v>50</v>
      </c>
      <c r="C624" s="345" t="s">
        <v>51</v>
      </c>
      <c r="D624" s="345" t="s">
        <v>52</v>
      </c>
      <c r="E624" s="290"/>
      <c r="F624" s="290"/>
      <c r="G624" s="290"/>
      <c r="H624" s="290"/>
      <c r="I624" s="290"/>
      <c r="J624" s="280" t="s">
        <v>79</v>
      </c>
      <c r="K624" s="280"/>
      <c r="L624" s="280"/>
      <c r="M624" s="280"/>
      <c r="N624" s="280"/>
      <c r="O624" s="280"/>
      <c r="P624" s="289"/>
      <c r="Q624" s="289"/>
      <c r="R624" s="289"/>
      <c r="S624" s="289"/>
      <c r="T624" s="289"/>
      <c r="U624" s="289"/>
      <c r="V624" s="289"/>
      <c r="W624" s="289"/>
      <c r="X624" s="289"/>
      <c r="Y624" s="289"/>
      <c r="Z624" s="289"/>
      <c r="AA624" s="289"/>
      <c r="AB624" s="289"/>
      <c r="AC624" s="289"/>
      <c r="AD624" s="289"/>
      <c r="AE624" s="289"/>
      <c r="AF624" s="289"/>
      <c r="AG624" s="289"/>
      <c r="AH624" s="289"/>
      <c r="AI624" s="289"/>
      <c r="AJ624" s="289"/>
      <c r="AK624" s="289"/>
      <c r="AL624" s="289"/>
      <c r="AM624" s="289"/>
      <c r="AN624" s="289"/>
      <c r="AO624" s="289"/>
      <c r="AP624" s="289"/>
      <c r="AQ624" s="289"/>
      <c r="AR624" s="289"/>
      <c r="AS624" s="289"/>
      <c r="AT624" s="289"/>
      <c r="AU624" s="289"/>
      <c r="AV624" s="289"/>
      <c r="AW624" s="289"/>
      <c r="AX624" s="301" t="s">
        <v>77</v>
      </c>
      <c r="AY624" s="133"/>
    </row>
    <row r="625" spans="1:51" s="174" customFormat="1" ht="11" thickBot="1" x14ac:dyDescent="0.3">
      <c r="A625" s="344"/>
      <c r="B625" s="346"/>
      <c r="C625" s="346"/>
      <c r="D625" s="346"/>
      <c r="E625" s="291"/>
      <c r="F625" s="291"/>
      <c r="G625" s="291"/>
      <c r="H625" s="291"/>
      <c r="I625" s="291"/>
      <c r="J625" s="68">
        <v>2010</v>
      </c>
      <c r="K625" s="68">
        <v>2011</v>
      </c>
      <c r="L625" s="68">
        <v>2012</v>
      </c>
      <c r="M625" s="68">
        <v>2013</v>
      </c>
      <c r="N625" s="68">
        <v>2014</v>
      </c>
      <c r="O625" s="68">
        <v>2015</v>
      </c>
      <c r="P625" s="68">
        <v>2016</v>
      </c>
      <c r="Q625" s="68">
        <v>2017</v>
      </c>
      <c r="R625" s="68">
        <v>2018</v>
      </c>
      <c r="S625" s="68">
        <v>2019</v>
      </c>
      <c r="T625" s="68">
        <v>2020</v>
      </c>
      <c r="U625" s="68">
        <v>2021</v>
      </c>
      <c r="V625" s="68">
        <v>2022</v>
      </c>
      <c r="W625" s="68">
        <v>2023</v>
      </c>
      <c r="X625" s="68">
        <v>2024</v>
      </c>
      <c r="Y625" s="68">
        <v>2025</v>
      </c>
      <c r="Z625" s="68">
        <v>2026</v>
      </c>
      <c r="AA625" s="68">
        <v>2027</v>
      </c>
      <c r="AB625" s="68">
        <v>2028</v>
      </c>
      <c r="AC625" s="68">
        <v>2029</v>
      </c>
      <c r="AD625" s="68">
        <v>2030</v>
      </c>
      <c r="AE625" s="68">
        <v>2031</v>
      </c>
      <c r="AF625" s="68">
        <v>2032</v>
      </c>
      <c r="AG625" s="68">
        <v>2033</v>
      </c>
      <c r="AH625" s="68">
        <v>2034</v>
      </c>
      <c r="AI625" s="68">
        <v>2035</v>
      </c>
      <c r="AJ625" s="68">
        <v>2036</v>
      </c>
      <c r="AK625" s="68">
        <v>2037</v>
      </c>
      <c r="AL625" s="68">
        <v>2038</v>
      </c>
      <c r="AM625" s="68">
        <v>2039</v>
      </c>
      <c r="AN625" s="68">
        <v>2040</v>
      </c>
      <c r="AO625" s="68">
        <v>2041</v>
      </c>
      <c r="AP625" s="68">
        <v>2042</v>
      </c>
      <c r="AQ625" s="68">
        <v>2043</v>
      </c>
      <c r="AR625" s="68">
        <v>2044</v>
      </c>
      <c r="AS625" s="68">
        <v>2045</v>
      </c>
      <c r="AT625" s="68">
        <v>2046</v>
      </c>
      <c r="AU625" s="68">
        <v>2047</v>
      </c>
      <c r="AV625" s="68">
        <v>2048</v>
      </c>
      <c r="AW625" s="68">
        <v>2049</v>
      </c>
      <c r="AX625" s="83">
        <v>2050</v>
      </c>
      <c r="AY625" s="133"/>
    </row>
    <row r="626" spans="1:51" s="174" customFormat="1" x14ac:dyDescent="0.25">
      <c r="A626" s="347" t="s">
        <v>4</v>
      </c>
      <c r="B626" s="349" t="s">
        <v>5</v>
      </c>
      <c r="C626" s="350" t="s">
        <v>6</v>
      </c>
      <c r="D626" s="2" t="s">
        <v>7</v>
      </c>
      <c r="E626" s="160" t="str">
        <f>A626&amp;"/"&amp;B626&amp;"/"&amp;C626&amp;"/"&amp;D626</f>
        <v>Nuclear power plants/Nuclear - current/Electricity only/L</v>
      </c>
      <c r="F626" s="76" t="str">
        <f>A626</f>
        <v>Nuclear power plants</v>
      </c>
      <c r="G626" s="76" t="str">
        <f>B626</f>
        <v>Nuclear - current</v>
      </c>
      <c r="H626" s="76" t="str">
        <f>C626</f>
        <v>Electricity only</v>
      </c>
      <c r="I626" s="161" t="str">
        <f>D626</f>
        <v>L</v>
      </c>
      <c r="J626" s="69">
        <f>IF(tech_base!$T2&gt;J$625,"",(1000*tech_proj!J966*(-PMT($J$110,tech_base!$F2,1))+1000*tech_proj!J1246)/((1-tech_proj!J406)*tech_proj!J686*$L$110))</f>
        <v>141.70797849733839</v>
      </c>
      <c r="K626" s="69">
        <f>IF(tech_base!$T2&gt;K$625,"",(1000*tech_proj!K966*(-PMT($J$110,tech_base!$F2,1))+1000*tech_proj!K1246)/((1-tech_proj!K406)*tech_proj!K686*$L$110))</f>
        <v>141.70797849733839</v>
      </c>
      <c r="L626" s="69">
        <f>IF(tech_base!$T2&gt;L$625,"",(1000*tech_proj!L966*(-PMT($J$110,tech_base!$F2,1))+1000*tech_proj!L1246)/((1-tech_proj!L406)*tech_proj!L686*$L$110))</f>
        <v>141.70797849733839</v>
      </c>
      <c r="M626" s="69">
        <f>IF(tech_base!$T2&gt;M$625,"",(1000*tech_proj!M966*(-PMT($J$110,tech_base!$F2,1))+1000*tech_proj!M1246)/((1-tech_proj!M406)*tech_proj!M686*$L$110))</f>
        <v>141.70797849733839</v>
      </c>
      <c r="N626" s="69">
        <f>IF(tech_base!$T2&gt;N$625,"",(1000*tech_proj!N966*(-PMT($J$110,tech_base!$F2,1))+1000*tech_proj!N1246)/((1-tech_proj!N406)*tech_proj!N686*$L$110))</f>
        <v>141.70797849733839</v>
      </c>
      <c r="O626" s="69">
        <f>IF(tech_base!$T2&gt;O$625,"",(1000*tech_proj!O966*(-PMT($J$110,tech_base!$F2,1))+1000*tech_proj!O1246)/((1-tech_proj!O406)*tech_proj!O686*$L$110))</f>
        <v>141.70797849733839</v>
      </c>
      <c r="P626" s="69">
        <f>IF(tech_base!$T2&gt;P$625,"",(1000*tech_proj!P966*(-PMT($J$110,tech_base!$F2,1))+1000*tech_proj!P1246)/((1-tech_proj!P406)*tech_proj!P686*$L$110))</f>
        <v>141.70797849733839</v>
      </c>
      <c r="Q626" s="69">
        <f>IF(tech_base!$T2&gt;Q$625,"",(1000*tech_proj!Q966*(-PMT($J$110,tech_base!$F2,1))+1000*tech_proj!Q1246)/((1-tech_proj!Q406)*tech_proj!Q686*$L$110))</f>
        <v>141.70797849733839</v>
      </c>
      <c r="R626" s="69">
        <f>IF(tech_base!$T2&gt;R$625,"",(1000*tech_proj!R966*(-PMT($J$110,tech_base!$F2,1))+1000*tech_proj!R1246)/((1-tech_proj!R406)*tech_proj!R686*$L$110))</f>
        <v>141.70797849733839</v>
      </c>
      <c r="S626" s="69">
        <f>IF(tech_base!$T2&gt;S$625,"",(1000*tech_proj!S966*(-PMT($J$110,tech_base!$F2,1))+1000*tech_proj!S1246)/((1-tech_proj!S406)*tech_proj!S686*$L$110))</f>
        <v>141.70797849733839</v>
      </c>
      <c r="T626" s="69">
        <f>IF(tech_base!$T2&gt;T$625,"",(1000*tech_proj!T966*(-PMT($J$110,tech_base!$F2,1))+1000*tech_proj!T1246)/((1-tech_proj!T406)*tech_proj!T686*$L$110))</f>
        <v>141.70797849733839</v>
      </c>
      <c r="U626" s="69">
        <f>IF(tech_base!$T2&gt;U$625,"",(1000*tech_proj!U966*(-PMT($J$110,tech_base!$F2,1))+1000*tech_proj!U1246)/((1-tech_proj!U406)*tech_proj!U686*$L$110))</f>
        <v>141.70797849733839</v>
      </c>
      <c r="V626" s="69">
        <f>IF(tech_base!$T2&gt;V$625,"",(1000*tech_proj!V966*(-PMT($J$110,tech_base!$F2,1))+1000*tech_proj!V1246)/((1-tech_proj!V406)*tech_proj!V686*$L$110))</f>
        <v>141.70797849733839</v>
      </c>
      <c r="W626" s="69">
        <f>IF(tech_base!$T2&gt;W$625,"",(1000*tech_proj!W966*(-PMT($J$110,tech_base!$F2,1))+1000*tech_proj!W1246)/((1-tech_proj!W406)*tech_proj!W686*$L$110))</f>
        <v>141.70797849733839</v>
      </c>
      <c r="X626" s="69">
        <f>IF(tech_base!$T2&gt;X$625,"",(1000*tech_proj!X966*(-PMT($J$110,tech_base!$F2,1))+1000*tech_proj!X1246)/((1-tech_proj!X406)*tech_proj!X686*$L$110))</f>
        <v>141.70797849733839</v>
      </c>
      <c r="Y626" s="69">
        <f>IF(tech_base!$T2&gt;Y$625,"",(1000*tech_proj!Y966*(-PMT($J$110,tech_base!$F2,1))+1000*tech_proj!Y1246)/((1-tech_proj!Y406)*tech_proj!Y686*$L$110))</f>
        <v>141.70797849733839</v>
      </c>
      <c r="Z626" s="69">
        <f>IF(tech_base!$T2&gt;Z$625,"",(1000*tech_proj!Z966*(-PMT($J$110,tech_base!$F2,1))+1000*tech_proj!Z1246)/((1-tech_proj!Z406)*tech_proj!Z686*$L$110))</f>
        <v>141.70797849733839</v>
      </c>
      <c r="AA626" s="69">
        <f>IF(tech_base!$T2&gt;AA$625,"",(1000*tech_proj!AA966*(-PMT($J$110,tech_base!$F2,1))+1000*tech_proj!AA1246)/((1-tech_proj!AA406)*tech_proj!AA686*$L$110))</f>
        <v>141.70797849733839</v>
      </c>
      <c r="AB626" s="69">
        <f>IF(tech_base!$T2&gt;AB$625,"",(1000*tech_proj!AB966*(-PMT($J$110,tech_base!$F2,1))+1000*tech_proj!AB1246)/((1-tech_proj!AB406)*tech_proj!AB686*$L$110))</f>
        <v>141.70797849733839</v>
      </c>
      <c r="AC626" s="69">
        <f>IF(tech_base!$T2&gt;AC$625,"",(1000*tech_proj!AC966*(-PMT($J$110,tech_base!$F2,1))+1000*tech_proj!AC1246)/((1-tech_proj!AC406)*tech_proj!AC686*$L$110))</f>
        <v>141.70797849733839</v>
      </c>
      <c r="AD626" s="69">
        <f>IF(tech_base!$T2&gt;AD$625,"",(1000*tech_proj!AD966*(-PMT($J$110,tech_base!$F2,1))+1000*tech_proj!AD1246)/((1-tech_proj!AD406)*tech_proj!AD686*$L$110))</f>
        <v>141.70797849733839</v>
      </c>
      <c r="AE626" s="69">
        <f>IF(tech_base!$T2&gt;AE$625,"",(1000*tech_proj!AE966*(-PMT($J$110,tech_base!$F2,1))+1000*tech_proj!AE1246)/((1-tech_proj!AE406)*tech_proj!AE686*$L$110))</f>
        <v>141.70797849733839</v>
      </c>
      <c r="AF626" s="69">
        <f>IF(tech_base!$T2&gt;AF$625,"",(1000*tech_proj!AF966*(-PMT($J$110,tech_base!$F2,1))+1000*tech_proj!AF1246)/((1-tech_proj!AF406)*tech_proj!AF686*$L$110))</f>
        <v>141.70797849733839</v>
      </c>
      <c r="AG626" s="69">
        <f>IF(tech_base!$T2&gt;AG$625,"",(1000*tech_proj!AG966*(-PMT($J$110,tech_base!$F2,1))+1000*tech_proj!AG1246)/((1-tech_proj!AG406)*tech_proj!AG686*$L$110))</f>
        <v>141.70797849733839</v>
      </c>
      <c r="AH626" s="69">
        <f>IF(tech_base!$T2&gt;AH$625,"",(1000*tech_proj!AH966*(-PMT($J$110,tech_base!$F2,1))+1000*tech_proj!AH1246)/((1-tech_proj!AH406)*tech_proj!AH686*$L$110))</f>
        <v>141.70797849733839</v>
      </c>
      <c r="AI626" s="69">
        <f>IF(tech_base!$T2&gt;AI$625,"",(1000*tech_proj!AI966*(-PMT($J$110,tech_base!$F2,1))+1000*tech_proj!AI1246)/((1-tech_proj!AI406)*tech_proj!AI686*$L$110))</f>
        <v>141.70797849733839</v>
      </c>
      <c r="AJ626" s="69">
        <f>IF(tech_base!$T2&gt;AJ$625,"",(1000*tech_proj!AJ966*(-PMT($J$110,tech_base!$F2,1))+1000*tech_proj!AJ1246)/((1-tech_proj!AJ406)*tech_proj!AJ686*$L$110))</f>
        <v>141.70797849733839</v>
      </c>
      <c r="AK626" s="69">
        <f>IF(tech_base!$T2&gt;AK$625,"",(1000*tech_proj!AK966*(-PMT($J$110,tech_base!$F2,1))+1000*tech_proj!AK1246)/((1-tech_proj!AK406)*tech_proj!AK686*$L$110))</f>
        <v>141.70797849733839</v>
      </c>
      <c r="AL626" s="69">
        <f>IF(tech_base!$T2&gt;AL$625,"",(1000*tech_proj!AL966*(-PMT($J$110,tech_base!$F2,1))+1000*tech_proj!AL1246)/((1-tech_proj!AL406)*tech_proj!AL686*$L$110))</f>
        <v>141.70797849733839</v>
      </c>
      <c r="AM626" s="69">
        <f>IF(tech_base!$T2&gt;AM$625,"",(1000*tech_proj!AM966*(-PMT($J$110,tech_base!$F2,1))+1000*tech_proj!AM1246)/((1-tech_proj!AM406)*tech_proj!AM686*$L$110))</f>
        <v>141.70797849733839</v>
      </c>
      <c r="AN626" s="69">
        <f>IF(tech_base!$T2&gt;AN$625,"",(1000*tech_proj!AN966*(-PMT($J$110,tech_base!$F2,1))+1000*tech_proj!AN1246)/((1-tech_proj!AN406)*tech_proj!AN686*$L$110))</f>
        <v>141.70797849733839</v>
      </c>
      <c r="AO626" s="69">
        <f>IF(tech_base!$T2&gt;AO$625,"",(1000*tech_proj!AO966*(-PMT($J$110,tech_base!$F2,1))+1000*tech_proj!AO1246)/((1-tech_proj!AO406)*tech_proj!AO686*$L$110))</f>
        <v>141.70797849733839</v>
      </c>
      <c r="AP626" s="69">
        <f>IF(tech_base!$T2&gt;AP$625,"",(1000*tech_proj!AP966*(-PMT($J$110,tech_base!$F2,1))+1000*tech_proj!AP1246)/((1-tech_proj!AP406)*tech_proj!AP686*$L$110))</f>
        <v>141.70797849733839</v>
      </c>
      <c r="AQ626" s="69">
        <f>IF(tech_base!$T2&gt;AQ$625,"",(1000*tech_proj!AQ966*(-PMT($J$110,tech_base!$F2,1))+1000*tech_proj!AQ1246)/((1-tech_proj!AQ406)*tech_proj!AQ686*$L$110))</f>
        <v>141.70797849733839</v>
      </c>
      <c r="AR626" s="69">
        <f>IF(tech_base!$T2&gt;AR$625,"",(1000*tech_proj!AR966*(-PMT($J$110,tech_base!$F2,1))+1000*tech_proj!AR1246)/((1-tech_proj!AR406)*tech_proj!AR686*$L$110))</f>
        <v>141.70797849733839</v>
      </c>
      <c r="AS626" s="69">
        <f>IF(tech_base!$T2&gt;AS$625,"",(1000*tech_proj!AS966*(-PMT($J$110,tech_base!$F2,1))+1000*tech_proj!AS1246)/((1-tech_proj!AS406)*tech_proj!AS686*$L$110))</f>
        <v>141.70797849733839</v>
      </c>
      <c r="AT626" s="69">
        <f>IF(tech_base!$T2&gt;AT$625,"",(1000*tech_proj!AT966*(-PMT($J$110,tech_base!$F2,1))+1000*tech_proj!AT1246)/((1-tech_proj!AT406)*tech_proj!AT686*$L$110))</f>
        <v>141.70797849733839</v>
      </c>
      <c r="AU626" s="69">
        <f>IF(tech_base!$T2&gt;AU$625,"",(1000*tech_proj!AU966*(-PMT($J$110,tech_base!$F2,1))+1000*tech_proj!AU1246)/((1-tech_proj!AU406)*tech_proj!AU686*$L$110))</f>
        <v>141.70797849733839</v>
      </c>
      <c r="AV626" s="69">
        <f>IF(tech_base!$T2&gt;AV$625,"",(1000*tech_proj!AV966*(-PMT($J$110,tech_base!$F2,1))+1000*tech_proj!AV1246)/((1-tech_proj!AV406)*tech_proj!AV686*$L$110))</f>
        <v>141.70797849733839</v>
      </c>
      <c r="AW626" s="69">
        <f>IF(tech_base!$T2&gt;AW$625,"",(1000*tech_proj!AW966*(-PMT($J$110,tech_base!$F2,1))+1000*tech_proj!AW1246)/((1-tech_proj!AW406)*tech_proj!AW686*$L$110))</f>
        <v>141.70797849733839</v>
      </c>
      <c r="AX626" s="235">
        <f>IF(tech_base!$T2&gt;AX$625,"",(1000*tech_proj!AX966*(-PMT($J$110,tech_base!$F2,1))+1000*tech_proj!AX1246)/((1-tech_proj!AX406)*tech_proj!AX686*$L$110))</f>
        <v>141.70797849733839</v>
      </c>
      <c r="AY626" s="133"/>
    </row>
    <row r="627" spans="1:51" s="174" customFormat="1" x14ac:dyDescent="0.25">
      <c r="A627" s="347"/>
      <c r="B627" s="349"/>
      <c r="C627" s="350"/>
      <c r="D627" s="4" t="s">
        <v>8</v>
      </c>
      <c r="E627" s="168" t="str">
        <f>A626&amp;"/"&amp;B626&amp;"/"&amp;C626&amp;"/"&amp;D627</f>
        <v>Nuclear power plants/Nuclear - current/Electricity only/M</v>
      </c>
      <c r="F627" s="80" t="str">
        <f>A626</f>
        <v>Nuclear power plants</v>
      </c>
      <c r="G627" s="80" t="str">
        <f>B626</f>
        <v>Nuclear - current</v>
      </c>
      <c r="H627" s="80" t="str">
        <f>C626</f>
        <v>Electricity only</v>
      </c>
      <c r="I627" s="169" t="str">
        <f t="shared" ref="I627:I690" si="362">D627</f>
        <v>M</v>
      </c>
      <c r="J627" s="73">
        <f>IF(tech_base!$T3&gt;J$625,"",(1000*tech_proj!J967*(-PMT($J$110,tech_base!$F3,1))+1000*tech_proj!J1247)/((1-tech_proj!J407)*tech_proj!J687*$L$110))</f>
        <v>152.29814648354204</v>
      </c>
      <c r="K627" s="73">
        <f>IF(tech_base!$T3&gt;K$625,"",(1000*tech_proj!K967*(-PMT($J$110,tech_base!$F3,1))+1000*tech_proj!K1247)/((1-tech_proj!K407)*tech_proj!K687*$L$110))</f>
        <v>152.29814648354204</v>
      </c>
      <c r="L627" s="73">
        <f>IF(tech_base!$T3&gt;L$625,"",(1000*tech_proj!L967*(-PMT($J$110,tech_base!$F3,1))+1000*tech_proj!L1247)/((1-tech_proj!L407)*tech_proj!L687*$L$110))</f>
        <v>152.29814648354204</v>
      </c>
      <c r="M627" s="73">
        <f>IF(tech_base!$T3&gt;M$625,"",(1000*tech_proj!M967*(-PMT($J$110,tech_base!$F3,1))+1000*tech_proj!M1247)/((1-tech_proj!M407)*tech_proj!M687*$L$110))</f>
        <v>152.29814648354204</v>
      </c>
      <c r="N627" s="73">
        <f>IF(tech_base!$T3&gt;N$625,"",(1000*tech_proj!N967*(-PMT($J$110,tech_base!$F3,1))+1000*tech_proj!N1247)/((1-tech_proj!N407)*tech_proj!N687*$L$110))</f>
        <v>152.29814648354204</v>
      </c>
      <c r="O627" s="73">
        <f>IF(tech_base!$T3&gt;O$625,"",(1000*tech_proj!O967*(-PMT($J$110,tech_base!$F3,1))+1000*tech_proj!O1247)/((1-tech_proj!O407)*tech_proj!O687*$L$110))</f>
        <v>152.29814648354204</v>
      </c>
      <c r="P627" s="73">
        <f>IF(tech_base!$T3&gt;P$625,"",(1000*tech_proj!P967*(-PMT($J$110,tech_base!$F3,1))+1000*tech_proj!P1247)/((1-tech_proj!P407)*tech_proj!P687*$L$110))</f>
        <v>152.29814648354204</v>
      </c>
      <c r="Q627" s="73">
        <f>IF(tech_base!$T3&gt;Q$625,"",(1000*tech_proj!Q967*(-PMT($J$110,tech_base!$F3,1))+1000*tech_proj!Q1247)/((1-tech_proj!Q407)*tech_proj!Q687*$L$110))</f>
        <v>152.29814648354204</v>
      </c>
      <c r="R627" s="73">
        <f>IF(tech_base!$T3&gt;R$625,"",(1000*tech_proj!R967*(-PMT($J$110,tech_base!$F3,1))+1000*tech_proj!R1247)/((1-tech_proj!R407)*tech_proj!R687*$L$110))</f>
        <v>152.29814648354204</v>
      </c>
      <c r="S627" s="73">
        <f>IF(tech_base!$T3&gt;S$625,"",(1000*tech_proj!S967*(-PMT($J$110,tech_base!$F3,1))+1000*tech_proj!S1247)/((1-tech_proj!S407)*tech_proj!S687*$L$110))</f>
        <v>152.29814648354204</v>
      </c>
      <c r="T627" s="73">
        <f>IF(tech_base!$T3&gt;T$625,"",(1000*tech_proj!T967*(-PMT($J$110,tech_base!$F3,1))+1000*tech_proj!T1247)/((1-tech_proj!T407)*tech_proj!T687*$L$110))</f>
        <v>152.29814648354204</v>
      </c>
      <c r="U627" s="73">
        <f>IF(tech_base!$T3&gt;U$625,"",(1000*tech_proj!U967*(-PMT($J$110,tech_base!$F3,1))+1000*tech_proj!U1247)/((1-tech_proj!U407)*tech_proj!U687*$L$110))</f>
        <v>152.29814648354204</v>
      </c>
      <c r="V627" s="73">
        <f>IF(tech_base!$T3&gt;V$625,"",(1000*tech_proj!V967*(-PMT($J$110,tech_base!$F3,1))+1000*tech_proj!V1247)/((1-tech_proj!V407)*tech_proj!V687*$L$110))</f>
        <v>152.29814648354204</v>
      </c>
      <c r="W627" s="73">
        <f>IF(tech_base!$T3&gt;W$625,"",(1000*tech_proj!W967*(-PMT($J$110,tech_base!$F3,1))+1000*tech_proj!W1247)/((1-tech_proj!W407)*tech_proj!W687*$L$110))</f>
        <v>152.29814648354204</v>
      </c>
      <c r="X627" s="73">
        <f>IF(tech_base!$T3&gt;X$625,"",(1000*tech_proj!X967*(-PMT($J$110,tech_base!$F3,1))+1000*tech_proj!X1247)/((1-tech_proj!X407)*tech_proj!X687*$L$110))</f>
        <v>152.29814648354204</v>
      </c>
      <c r="Y627" s="73">
        <f>IF(tech_base!$T3&gt;Y$625,"",(1000*tech_proj!Y967*(-PMT($J$110,tech_base!$F3,1))+1000*tech_proj!Y1247)/((1-tech_proj!Y407)*tech_proj!Y687*$L$110))</f>
        <v>152.29814648354204</v>
      </c>
      <c r="Z627" s="73">
        <f>IF(tech_base!$T3&gt;Z$625,"",(1000*tech_proj!Z967*(-PMT($J$110,tech_base!$F3,1))+1000*tech_proj!Z1247)/((1-tech_proj!Z407)*tech_proj!Z687*$L$110))</f>
        <v>152.29814648354204</v>
      </c>
      <c r="AA627" s="73">
        <f>IF(tech_base!$T3&gt;AA$625,"",(1000*tech_proj!AA967*(-PMT($J$110,tech_base!$F3,1))+1000*tech_proj!AA1247)/((1-tech_proj!AA407)*tech_proj!AA687*$L$110))</f>
        <v>152.29814648354204</v>
      </c>
      <c r="AB627" s="73">
        <f>IF(tech_base!$T3&gt;AB$625,"",(1000*tech_proj!AB967*(-PMT($J$110,tech_base!$F3,1))+1000*tech_proj!AB1247)/((1-tech_proj!AB407)*tech_proj!AB687*$L$110))</f>
        <v>152.29814648354204</v>
      </c>
      <c r="AC627" s="73">
        <f>IF(tech_base!$T3&gt;AC$625,"",(1000*tech_proj!AC967*(-PMT($J$110,tech_base!$F3,1))+1000*tech_proj!AC1247)/((1-tech_proj!AC407)*tech_proj!AC687*$L$110))</f>
        <v>152.29814648354204</v>
      </c>
      <c r="AD627" s="73">
        <f>IF(tech_base!$T3&gt;AD$625,"",(1000*tech_proj!AD967*(-PMT($J$110,tech_base!$F3,1))+1000*tech_proj!AD1247)/((1-tech_proj!AD407)*tech_proj!AD687*$L$110))</f>
        <v>152.29814648354204</v>
      </c>
      <c r="AE627" s="73">
        <f>IF(tech_base!$T3&gt;AE$625,"",(1000*tech_proj!AE967*(-PMT($J$110,tech_base!$F3,1))+1000*tech_proj!AE1247)/((1-tech_proj!AE407)*tech_proj!AE687*$L$110))</f>
        <v>152.29814648354204</v>
      </c>
      <c r="AF627" s="73">
        <f>IF(tech_base!$T3&gt;AF$625,"",(1000*tech_proj!AF967*(-PMT($J$110,tech_base!$F3,1))+1000*tech_proj!AF1247)/((1-tech_proj!AF407)*tech_proj!AF687*$L$110))</f>
        <v>152.29814648354204</v>
      </c>
      <c r="AG627" s="73">
        <f>IF(tech_base!$T3&gt;AG$625,"",(1000*tech_proj!AG967*(-PMT($J$110,tech_base!$F3,1))+1000*tech_proj!AG1247)/((1-tech_proj!AG407)*tech_proj!AG687*$L$110))</f>
        <v>152.29814648354204</v>
      </c>
      <c r="AH627" s="73">
        <f>IF(tech_base!$T3&gt;AH$625,"",(1000*tech_proj!AH967*(-PMT($J$110,tech_base!$F3,1))+1000*tech_proj!AH1247)/((1-tech_proj!AH407)*tech_proj!AH687*$L$110))</f>
        <v>152.29814648354204</v>
      </c>
      <c r="AI627" s="73">
        <f>IF(tech_base!$T3&gt;AI$625,"",(1000*tech_proj!AI967*(-PMT($J$110,tech_base!$F3,1))+1000*tech_proj!AI1247)/((1-tech_proj!AI407)*tech_proj!AI687*$L$110))</f>
        <v>152.29814648354204</v>
      </c>
      <c r="AJ627" s="73">
        <f>IF(tech_base!$T3&gt;AJ$625,"",(1000*tech_proj!AJ967*(-PMT($J$110,tech_base!$F3,1))+1000*tech_proj!AJ1247)/((1-tech_proj!AJ407)*tech_proj!AJ687*$L$110))</f>
        <v>152.29814648354204</v>
      </c>
      <c r="AK627" s="73">
        <f>IF(tech_base!$T3&gt;AK$625,"",(1000*tech_proj!AK967*(-PMT($J$110,tech_base!$F3,1))+1000*tech_proj!AK1247)/((1-tech_proj!AK407)*tech_proj!AK687*$L$110))</f>
        <v>152.29814648354204</v>
      </c>
      <c r="AL627" s="73">
        <f>IF(tech_base!$T3&gt;AL$625,"",(1000*tech_proj!AL967*(-PMT($J$110,tech_base!$F3,1))+1000*tech_proj!AL1247)/((1-tech_proj!AL407)*tech_proj!AL687*$L$110))</f>
        <v>152.29814648354204</v>
      </c>
      <c r="AM627" s="73">
        <f>IF(tech_base!$T3&gt;AM$625,"",(1000*tech_proj!AM967*(-PMT($J$110,tech_base!$F3,1))+1000*tech_proj!AM1247)/((1-tech_proj!AM407)*tech_proj!AM687*$L$110))</f>
        <v>152.29814648354204</v>
      </c>
      <c r="AN627" s="73">
        <f>IF(tech_base!$T3&gt;AN$625,"",(1000*tech_proj!AN967*(-PMT($J$110,tech_base!$F3,1))+1000*tech_proj!AN1247)/((1-tech_proj!AN407)*tech_proj!AN687*$L$110))</f>
        <v>152.29814648354204</v>
      </c>
      <c r="AO627" s="73">
        <f>IF(tech_base!$T3&gt;AO$625,"",(1000*tech_proj!AO967*(-PMT($J$110,tech_base!$F3,1))+1000*tech_proj!AO1247)/((1-tech_proj!AO407)*tech_proj!AO687*$L$110))</f>
        <v>152.29814648354204</v>
      </c>
      <c r="AP627" s="73">
        <f>IF(tech_base!$T3&gt;AP$625,"",(1000*tech_proj!AP967*(-PMT($J$110,tech_base!$F3,1))+1000*tech_proj!AP1247)/((1-tech_proj!AP407)*tech_proj!AP687*$L$110))</f>
        <v>152.29814648354204</v>
      </c>
      <c r="AQ627" s="73">
        <f>IF(tech_base!$T3&gt;AQ$625,"",(1000*tech_proj!AQ967*(-PMT($J$110,tech_base!$F3,1))+1000*tech_proj!AQ1247)/((1-tech_proj!AQ407)*tech_proj!AQ687*$L$110))</f>
        <v>152.29814648354204</v>
      </c>
      <c r="AR627" s="73">
        <f>IF(tech_base!$T3&gt;AR$625,"",(1000*tech_proj!AR967*(-PMT($J$110,tech_base!$F3,1))+1000*tech_proj!AR1247)/((1-tech_proj!AR407)*tech_proj!AR687*$L$110))</f>
        <v>152.29814648354204</v>
      </c>
      <c r="AS627" s="73">
        <f>IF(tech_base!$T3&gt;AS$625,"",(1000*tech_proj!AS967*(-PMT($J$110,tech_base!$F3,1))+1000*tech_proj!AS1247)/((1-tech_proj!AS407)*tech_proj!AS687*$L$110))</f>
        <v>152.29814648354204</v>
      </c>
      <c r="AT627" s="73">
        <f>IF(tech_base!$T3&gt;AT$625,"",(1000*tech_proj!AT967*(-PMT($J$110,tech_base!$F3,1))+1000*tech_proj!AT1247)/((1-tech_proj!AT407)*tech_proj!AT687*$L$110))</f>
        <v>152.29814648354204</v>
      </c>
      <c r="AU627" s="73">
        <f>IF(tech_base!$T3&gt;AU$625,"",(1000*tech_proj!AU967*(-PMT($J$110,tech_base!$F3,1))+1000*tech_proj!AU1247)/((1-tech_proj!AU407)*tech_proj!AU687*$L$110))</f>
        <v>152.29814648354204</v>
      </c>
      <c r="AV627" s="73">
        <f>IF(tech_base!$T3&gt;AV$625,"",(1000*tech_proj!AV967*(-PMT($J$110,tech_base!$F3,1))+1000*tech_proj!AV1247)/((1-tech_proj!AV407)*tech_proj!AV687*$L$110))</f>
        <v>152.29814648354204</v>
      </c>
      <c r="AW627" s="73">
        <f>IF(tech_base!$T3&gt;AW$625,"",(1000*tech_proj!AW967*(-PMT($J$110,tech_base!$F3,1))+1000*tech_proj!AW1247)/((1-tech_proj!AW407)*tech_proj!AW687*$L$110))</f>
        <v>152.29814648354204</v>
      </c>
      <c r="AX627" s="239">
        <f>IF(tech_base!$T3&gt;AX$625,"",(1000*tech_proj!AX967*(-PMT($J$110,tech_base!$F3,1))+1000*tech_proj!AX1247)/((1-tech_proj!AX407)*tech_proj!AX687*$L$110))</f>
        <v>152.29814648354204</v>
      </c>
      <c r="AY627" s="133"/>
    </row>
    <row r="628" spans="1:51" s="174" customFormat="1" x14ac:dyDescent="0.25">
      <c r="A628" s="347"/>
      <c r="B628" s="351" t="s">
        <v>9</v>
      </c>
      <c r="C628" s="353" t="s">
        <v>6</v>
      </c>
      <c r="D628" s="2" t="s">
        <v>7</v>
      </c>
      <c r="E628" s="160" t="str">
        <f>A626&amp;"/"&amp;B628&amp;"/"&amp;C628&amp;"/"&amp;D628</f>
        <v>Nuclear power plants/Nuclear III/Electricity only/L</v>
      </c>
      <c r="F628" s="76" t="str">
        <f>A626</f>
        <v>Nuclear power plants</v>
      </c>
      <c r="G628" s="76" t="str">
        <f>B628</f>
        <v>Nuclear III</v>
      </c>
      <c r="H628" s="76" t="str">
        <f>C628</f>
        <v>Electricity only</v>
      </c>
      <c r="I628" s="161" t="str">
        <f t="shared" si="362"/>
        <v>L</v>
      </c>
      <c r="J628" s="69">
        <f>IF(tech_base!$T4&gt;J$625,"",(1000*tech_proj!J968*(-PMT($J$110,tech_base!$F4,1))+1000*tech_proj!J1248)/((1-tech_proj!J408)*tech_proj!J688*$L$110))</f>
        <v>189.24382892496004</v>
      </c>
      <c r="K628" s="69">
        <f>IF(tech_base!$T4&gt;K$625,"",(1000*tech_proj!K968*(-PMT($J$110,tech_base!$F4,1))+1000*tech_proj!K1248)/((1-tech_proj!K408)*tech_proj!K688*$L$110))</f>
        <v>189.1666089777153</v>
      </c>
      <c r="L628" s="69">
        <f>IF(tech_base!$T4&gt;L$625,"",(1000*tech_proj!L968*(-PMT($J$110,tech_base!$F4,1))+1000*tech_proj!L1248)/((1-tech_proj!L408)*tech_proj!L688*$L$110))</f>
        <v>189.07258257706664</v>
      </c>
      <c r="M628" s="69">
        <f>IF(tech_base!$T4&gt;M$625,"",(1000*tech_proj!M968*(-PMT($J$110,tech_base!$F4,1))+1000*tech_proj!M1248)/((1-tech_proj!M408)*tech_proj!M688*$L$110))</f>
        <v>188.95816939008557</v>
      </c>
      <c r="N628" s="69">
        <f>IF(tech_base!$T4&gt;N$625,"",(1000*tech_proj!N968*(-PMT($J$110,tech_base!$F4,1))+1000*tech_proj!N1248)/((1-tech_proj!N408)*tech_proj!N688*$L$110))</f>
        <v>188.81906387542745</v>
      </c>
      <c r="O628" s="69">
        <f>IF(tech_base!$T4&gt;O$625,"",(1000*tech_proj!O968*(-PMT($J$110,tech_base!$F4,1))+1000*tech_proj!O1248)/((1-tech_proj!O408)*tech_proj!O688*$L$110))</f>
        <v>188.65010655137704</v>
      </c>
      <c r="P628" s="69">
        <f>IF(tech_base!$T4&gt;P$625,"",(1000*tech_proj!P968*(-PMT($J$110,tech_base!$F4,1))+1000*tech_proj!P1248)/((1-tech_proj!P408)*tech_proj!P688*$L$110))</f>
        <v>188.44514133726869</v>
      </c>
      <c r="Q628" s="69">
        <f>IF(tech_base!$T4&gt;Q$625,"",(1000*tech_proj!Q968*(-PMT($J$110,tech_base!$F4,1))+1000*tech_proj!Q1248)/((1-tech_proj!Q408)*tech_proj!Q688*$L$110))</f>
        <v>188.19686221030739</v>
      </c>
      <c r="R628" s="69">
        <f>IF(tech_base!$T4&gt;R$625,"",(1000*tech_proj!R968*(-PMT($J$110,tech_base!$F4,1))+1000*tech_proj!R1248)/((1-tech_proj!R408)*tech_proj!R688*$L$110))</f>
        <v>187.8966556085015</v>
      </c>
      <c r="S628" s="69">
        <f>IF(tech_base!$T4&gt;S$625,"",(1000*tech_proj!S968*(-PMT($J$110,tech_base!$F4,1))+1000*tech_proj!S1248)/((1-tech_proj!S408)*tech_proj!S688*$L$110))</f>
        <v>187.53444965457214</v>
      </c>
      <c r="T628" s="69">
        <f>IF(tech_base!$T4&gt;T$625,"",(1000*tech_proj!T968*(-PMT($J$110,tech_base!$F4,1))+1000*tech_proj!T1248)/((1-tech_proj!T408)*tech_proj!T688*$L$110))</f>
        <v>187.09858775051487</v>
      </c>
      <c r="U628" s="69">
        <f>IF(tech_base!$T4&gt;U$625,"",(1000*tech_proj!U968*(-PMT($J$110,tech_base!$F4,1))+1000*tech_proj!U1248)/((1-tech_proj!U408)*tech_proj!U688*$L$110))</f>
        <v>186.57575269428699</v>
      </c>
      <c r="V628" s="69">
        <f>IF(tech_base!$T4&gt;V$625,"",(1000*tech_proj!V968*(-PMT($J$110,tech_base!$F4,1))+1000*tech_proj!V1248)/((1-tech_proj!V408)*tech_proj!V688*$L$110))</f>
        <v>185.95097823608248</v>
      </c>
      <c r="W628" s="69">
        <f>IF(tech_base!$T4&gt;W$625,"",(1000*tech_proj!W968*(-PMT($J$110,tech_base!$F4,1))+1000*tech_proj!W1248)/((1-tech_proj!W408)*tech_proj!W688*$L$110))</f>
        <v>185.2077973950264</v>
      </c>
      <c r="X628" s="69">
        <f>IF(tech_base!$T4&gt;X$625,"",(1000*tech_proj!X968*(-PMT($J$110,tech_base!$F4,1))+1000*tech_proj!X1248)/((1-tech_proj!X408)*tech_proj!X688*$L$110))</f>
        <v>184.32858935104602</v>
      </c>
      <c r="Y628" s="69">
        <f>IF(tech_base!$T4&gt;Y$625,"",(1000*tech_proj!Y968*(-PMT($J$110,tech_base!$F4,1))+1000*tech_proj!Y1248)/((1-tech_proj!Y408)*tech_proj!Y688*$L$110))</f>
        <v>183.29519615903814</v>
      </c>
      <c r="Z628" s="69">
        <f>IF(tech_base!$T4&gt;Z$625,"",(1000*tech_proj!Z968*(-PMT($J$110,tech_base!$F4,1))+1000*tech_proj!Z1248)/((1-tech_proj!Z408)*tech_proj!Z688*$L$110))</f>
        <v>182.08988156886571</v>
      </c>
      <c r="AA628" s="69">
        <f>IF(tech_base!$T4&gt;AA$625,"",(1000*tech_proj!AA968*(-PMT($J$110,tech_base!$F4,1))+1000*tech_proj!AA1248)/((1-tech_proj!AA408)*tech_proj!AA688*$L$110))</f>
        <v>180.6966891359076</v>
      </c>
      <c r="AB628" s="69">
        <f>IF(tech_base!$T4&gt;AB$625,"",(1000*tech_proj!AB968*(-PMT($J$110,tech_base!$F4,1))+1000*tech_proj!AB1248)/((1-tech_proj!AB408)*tech_proj!AB688*$L$110))</f>
        <v>179.10321619197788</v>
      </c>
      <c r="AC628" s="69">
        <f>IF(tech_base!$T4&gt;AC$625,"",(1000*tech_proj!AC968*(-PMT($J$110,tech_base!$F4,1))+1000*tech_proj!AC1248)/((1-tech_proj!AC408)*tech_proj!AC688*$L$110))</f>
        <v>177.30274570463999</v>
      </c>
      <c r="AD628" s="69">
        <f>IF(tech_base!$T4&gt;AD$625,"",(1000*tech_proj!AD968*(-PMT($J$110,tech_base!$F4,1))+1000*tech_proj!AD1248)/((1-tech_proj!AD408)*tech_proj!AD688*$L$110))</f>
        <v>175.29656731346466</v>
      </c>
      <c r="AE628" s="69">
        <f>IF(tech_base!$T4&gt;AE$625,"",(1000*tech_proj!AE968*(-PMT($J$110,tech_base!$F4,1))+1000*tech_proj!AE1248)/((1-tech_proj!AE408)*tech_proj!AE688*$L$110))</f>
        <v>173.09618315282768</v>
      </c>
      <c r="AF628" s="69">
        <f>IF(tech_base!$T4&gt;AF$625,"",(1000*tech_proj!AF968*(-PMT($J$110,tech_base!$F4,1))+1000*tech_proj!AF1248)/((1-tech_proj!AF408)*tech_proj!AF688*$L$110))</f>
        <v>170.72496518683045</v>
      </c>
      <c r="AG628" s="69">
        <f>IF(tech_base!$T4&gt;AG$625,"",(1000*tech_proj!AG968*(-PMT($J$110,tech_base!$F4,1))+1000*tech_proj!AG1248)/((1-tech_proj!AG408)*tech_proj!AG688*$L$110))</f>
        <v>168.21876170222797</v>
      </c>
      <c r="AH628" s="69">
        <f>IF(tech_base!$T4&gt;AH$625,"",(1000*tech_proj!AH968*(-PMT($J$110,tech_base!$F4,1))+1000*tech_proj!AH1248)/((1-tech_proj!AH408)*tech_proj!AH688*$L$110))</f>
        <v>165.62500316047073</v>
      </c>
      <c r="AI628" s="69">
        <f>IF(tech_base!$T4&gt;AI$625,"",(1000*tech_proj!AI968*(-PMT($J$110,tech_base!$F4,1))+1000*tech_proj!AI1248)/((1-tech_proj!AI408)*tech_proj!AI688*$L$110))</f>
        <v>163.00007375653203</v>
      </c>
      <c r="AJ628" s="69">
        <f>IF(tech_base!$T4&gt;AJ$625,"",(1000*tech_proj!AJ968*(-PMT($J$110,tech_base!$F4,1))+1000*tech_proj!AJ1248)/((1-tech_proj!AJ408)*tech_proj!AJ688*$L$110))</f>
        <v>160.40508060292737</v>
      </c>
      <c r="AK628" s="69">
        <f>IF(tech_base!$T4&gt;AK$625,"",(1000*tech_proj!AK968*(-PMT($J$110,tech_base!$F4,1))+1000*tech_proj!AK1248)/((1-tech_proj!AK408)*tech_proj!AK688*$L$110))</f>
        <v>157.90057607871626</v>
      </c>
      <c r="AL628" s="69">
        <f>IF(tech_base!$T4&gt;AL$625,"",(1000*tech_proj!AL968*(-PMT($J$110,tech_base!$F4,1))+1000*tech_proj!AL1248)/((1-tech_proj!AL408)*tech_proj!AL688*$L$110))</f>
        <v>155.54112138317771</v>
      </c>
      <c r="AM628" s="69">
        <f>IF(tech_base!$T4&gt;AM$625,"",(1000*tech_proj!AM968*(-PMT($J$110,tech_base!$F4,1))+1000*tech_proj!AM1248)/((1-tech_proj!AM408)*tech_proj!AM688*$L$110))</f>
        <v>153.37067825667509</v>
      </c>
      <c r="AN628" s="69">
        <f>IF(tech_base!$T4&gt;AN$625,"",(1000*tech_proj!AN968*(-PMT($J$110,tech_base!$F4,1))+1000*tech_proj!AN1248)/((1-tech_proj!AN408)*tech_proj!AN688*$L$110))</f>
        <v>151.41962351993701</v>
      </c>
      <c r="AO628" s="69">
        <f>IF(tech_base!$T4&gt;AO$625,"",(1000*tech_proj!AO968*(-PMT($J$110,tech_base!$F4,1))+1000*tech_proj!AO1248)/((1-tech_proj!AO408)*tech_proj!AO688*$L$110))</f>
        <v>149.70376388990675</v>
      </c>
      <c r="AP628" s="69">
        <f>IF(tech_base!$T4&gt;AP$625,"",(1000*tech_proj!AP968*(-PMT($J$110,tech_base!$F4,1))+1000*tech_proj!AP1248)/((1-tech_proj!AP408)*tech_proj!AP688*$L$110))</f>
        <v>148.22524546676593</v>
      </c>
      <c r="AQ628" s="69">
        <f>IF(tech_base!$T4&gt;AQ$625,"",(1000*tech_proj!AQ968*(-PMT($J$110,tech_base!$F4,1))+1000*tech_proj!AQ1248)/((1-tech_proj!AQ408)*tech_proj!AQ688*$L$110))</f>
        <v>146.97487224125845</v>
      </c>
      <c r="AR628" s="69">
        <f>IF(tech_base!$T4&gt;AR$625,"",(1000*tech_proj!AR968*(-PMT($J$110,tech_base!$F4,1))+1000*tech_proj!AR1248)/((1-tech_proj!AR408)*tech_proj!AR688*$L$110))</f>
        <v>145.93517102222097</v>
      </c>
      <c r="AS628" s="69">
        <f>IF(tech_base!$T4&gt;AS$625,"",(1000*tech_proj!AS968*(-PMT($J$110,tech_base!$F4,1))+1000*tech_proj!AS1248)/((1-tech_proj!AS408)*tech_proj!AS688*$L$110))</f>
        <v>145.08356899282654</v>
      </c>
      <c r="AT628" s="69">
        <f>IF(tech_base!$T4&gt;AT$625,"",(1000*tech_proj!AT968*(-PMT($J$110,tech_base!$F4,1))+1000*tech_proj!AT1248)/((1-tech_proj!AT408)*tech_proj!AT688*$L$110))</f>
        <v>144.39521570467491</v>
      </c>
      <c r="AU628" s="69">
        <f>IF(tech_base!$T4&gt;AU$625,"",(1000*tech_proj!AU968*(-PMT($J$110,tech_base!$F4,1))+1000*tech_proj!AU1248)/((1-tech_proj!AU408)*tech_proj!AU688*$L$110))</f>
        <v>143.84519336085376</v>
      </c>
      <c r="AV628" s="69">
        <f>IF(tech_base!$T4&gt;AV$625,"",(1000*tech_proj!AV968*(-PMT($J$110,tech_base!$F4,1))+1000*tech_proj!AV1248)/((1-tech_proj!AV408)*tech_proj!AV688*$L$110))</f>
        <v>143.41004694591805</v>
      </c>
      <c r="AW628" s="69">
        <f>IF(tech_base!$T4&gt;AW$625,"",(1000*tech_proj!AW968*(-PMT($J$110,tech_base!$F4,1))+1000*tech_proj!AW1248)/((1-tech_proj!AW408)*tech_proj!AW688*$L$110))</f>
        <v>143.06869418544304</v>
      </c>
      <c r="AX628" s="235">
        <f>IF(tech_base!$T4&gt;AX$625,"",(1000*tech_proj!AX968*(-PMT($J$110,tech_base!$F4,1))+1000*tech_proj!AX1248)/((1-tech_proj!AX408)*tech_proj!AX688*$L$110))</f>
        <v>142.80284076020072</v>
      </c>
      <c r="AY628" s="133"/>
    </row>
    <row r="629" spans="1:51" s="174" customFormat="1" x14ac:dyDescent="0.25">
      <c r="A629" s="347"/>
      <c r="B629" s="349"/>
      <c r="C629" s="350"/>
      <c r="D629" s="2" t="s">
        <v>8</v>
      </c>
      <c r="E629" s="160" t="str">
        <f>A626&amp;"/"&amp;B628&amp;"/"&amp;C628&amp;"/"&amp;D629</f>
        <v>Nuclear power plants/Nuclear III/Electricity only/M</v>
      </c>
      <c r="F629" s="76" t="str">
        <f>A626</f>
        <v>Nuclear power plants</v>
      </c>
      <c r="G629" s="76" t="str">
        <f>B628</f>
        <v>Nuclear III</v>
      </c>
      <c r="H629" s="76" t="str">
        <f>C628</f>
        <v>Electricity only</v>
      </c>
      <c r="I629" s="161" t="str">
        <f t="shared" si="362"/>
        <v>M</v>
      </c>
      <c r="J629" s="69">
        <f>IF(tech_base!$T5&gt;J$625,"",(1000*tech_proj!J969*(-PMT($J$110,tech_base!$F5,1))+1000*tech_proj!J1249)/((1-tech_proj!J409)*tech_proj!J689*$L$110))</f>
        <v>202.70295626895759</v>
      </c>
      <c r="K629" s="69">
        <f>IF(tech_base!$T5&gt;K$625,"",(1000*tech_proj!K969*(-PMT($J$110,tech_base!$F5,1))+1000*tech_proj!K1249)/((1-tech_proj!K409)*tech_proj!K689*$L$110))</f>
        <v>202.58461768051026</v>
      </c>
      <c r="L629" s="69">
        <f>IF(tech_base!$T5&gt;L$625,"",(1000*tech_proj!L969*(-PMT($J$110,tech_base!$F5,1))+1000*tech_proj!L1249)/((1-tech_proj!L409)*tech_proj!L689*$L$110))</f>
        <v>202.44764747704082</v>
      </c>
      <c r="M629" s="69">
        <f>IF(tech_base!$T5&gt;M$625,"",(1000*tech_proj!M969*(-PMT($J$110,tech_base!$F5,1))+1000*tech_proj!M1249)/((1-tech_proj!M409)*tech_proj!M689*$L$110))</f>
        <v>202.28920808131738</v>
      </c>
      <c r="N629" s="69">
        <f>IF(tech_base!$T5&gt;N$625,"",(1000*tech_proj!N969*(-PMT($J$110,tech_base!$F5,1))+1000*tech_proj!N1249)/((1-tech_proj!N409)*tech_proj!N689*$L$110))</f>
        <v>202.10606255608153</v>
      </c>
      <c r="O629" s="69">
        <f>IF(tech_base!$T5&gt;O$625,"",(1000*tech_proj!O969*(-PMT($J$110,tech_base!$F5,1))+1000*tech_proj!O1249)/((1-tech_proj!O409)*tech_proj!O689*$L$110))</f>
        <v>201.89452965326396</v>
      </c>
      <c r="P629" s="69">
        <f>IF(tech_base!$T5&gt;P$625,"",(1000*tech_proj!P969*(-PMT($J$110,tech_base!$F5,1))+1000*tech_proj!P1249)/((1-tech_proj!P409)*tech_proj!P689*$L$110))</f>
        <v>201.65043779080241</v>
      </c>
      <c r="Q629" s="69">
        <f>IF(tech_base!$T5&gt;Q$625,"",(1000*tech_proj!Q969*(-PMT($J$110,tech_base!$F5,1))+1000*tech_proj!Q1249)/((1-tech_proj!Q409)*tech_proj!Q689*$L$110))</f>
        <v>201.36907959243391</v>
      </c>
      <c r="R629" s="69">
        <f>IF(tech_base!$T5&gt;R$625,"",(1000*tech_proj!R969*(-PMT($J$110,tech_base!$F5,1))+1000*tech_proj!R1249)/((1-tech_proj!R409)*tech_proj!R689*$L$110))</f>
        <v>201.04516933910185</v>
      </c>
      <c r="S629" s="69">
        <f>IF(tech_base!$T5&gt;S$625,"",(1000*tech_proj!S969*(-PMT($J$110,tech_base!$F5,1))+1000*tech_proj!S1249)/((1-tech_proj!S409)*tech_proj!S689*$L$110))</f>
        <v>200.67280657729802</v>
      </c>
      <c r="T629" s="69">
        <f>IF(tech_base!$T5&gt;T$625,"",(1000*tech_proj!T969*(-PMT($J$110,tech_base!$F5,1))+1000*tech_proj!T1249)/((1-tech_proj!T409)*tech_proj!T689*$L$110))</f>
        <v>200.24545022406932</v>
      </c>
      <c r="U629" s="69">
        <f>IF(tech_base!$T5&gt;U$625,"",(1000*tech_proj!U969*(-PMT($J$110,tech_base!$F5,1))+1000*tech_proj!U1249)/((1-tech_proj!U409)*tech_proj!U689*$L$110))</f>
        <v>199.75590879755237</v>
      </c>
      <c r="V629" s="69">
        <f>IF(tech_base!$T5&gt;V$625,"",(1000*tech_proj!V969*(-PMT($J$110,tech_base!$F5,1))+1000*tech_proj!V1249)/((1-tech_proj!V409)*tech_proj!V689*$L$110))</f>
        <v>199.19635385260784</v>
      </c>
      <c r="W629" s="69">
        <f>IF(tech_base!$T5&gt;W$625,"",(1000*tech_proj!W969*(-PMT($J$110,tech_base!$F5,1))+1000*tech_proj!W1249)/((1-tech_proj!W409)*tech_proj!W689*$L$110))</f>
        <v>198.5583652329978</v>
      </c>
      <c r="X629" s="69">
        <f>IF(tech_base!$T5&gt;X$625,"",(1000*tech_proj!X969*(-PMT($J$110,tech_base!$F5,1))+1000*tech_proj!X1249)/((1-tech_proj!X409)*tech_proj!X689*$L$110))</f>
        <v>197.83301821554562</v>
      </c>
      <c r="Y629" s="69">
        <f>IF(tech_base!$T5&gt;Y$625,"",(1000*tech_proj!Y969*(-PMT($J$110,tech_base!$F5,1))+1000*tech_proj!Y1249)/((1-tech_proj!Y409)*tech_proj!Y689*$L$110))</f>
        <v>197.01102377674414</v>
      </c>
      <c r="Z629" s="69">
        <f>IF(tech_base!$T5&gt;Z$625,"",(1000*tech_proj!Z969*(-PMT($J$110,tech_base!$F5,1))+1000*tech_proj!Z1249)/((1-tech_proj!Z409)*tech_proj!Z689*$L$110))</f>
        <v>196.08293370406267</v>
      </c>
      <c r="AA629" s="69">
        <f>IF(tech_base!$T5&gt;AA$625,"",(1000*tech_proj!AA969*(-PMT($J$110,tech_base!$F5,1))+1000*tech_proj!AA1249)/((1-tech_proj!AA409)*tech_proj!AA689*$L$110))</f>
        <v>195.03942162530097</v>
      </c>
      <c r="AB629" s="69">
        <f>IF(tech_base!$T5&gt;AB$625,"",(1000*tech_proj!AB969*(-PMT($J$110,tech_base!$F5,1))+1000*tech_proj!AB1249)/((1-tech_proj!AB409)*tech_proj!AB689*$L$110))</f>
        <v>193.87164865352779</v>
      </c>
      <c r="AC629" s="69">
        <f>IF(tech_base!$T5&gt;AC$625,"",(1000*tech_proj!AC969*(-PMT($J$110,tech_base!$F5,1))+1000*tech_proj!AC1249)/((1-tech_proj!AC409)*tech_proj!AC689*$L$110))</f>
        <v>192.57171760431925</v>
      </c>
      <c r="AD629" s="69">
        <f>IF(tech_base!$T5&gt;AD$625,"",(1000*tech_proj!AD969*(-PMT($J$110,tech_base!$F5,1))+1000*tech_proj!AD1249)/((1-tech_proj!AD409)*tech_proj!AD689*$L$110))</f>
        <v>191.13321206506566</v>
      </c>
      <c r="AE629" s="69">
        <f>IF(tech_base!$T5&gt;AE$625,"",(1000*tech_proj!AE969*(-PMT($J$110,tech_base!$F5,1))+1000*tech_proj!AE1249)/((1-tech_proj!AE409)*tech_proj!AE689*$L$110))</f>
        <v>189.55180567357337</v>
      </c>
      <c r="AF629" s="69">
        <f>IF(tech_base!$T5&gt;AF$625,"",(1000*tech_proj!AF969*(-PMT($J$110,tech_base!$F5,1))+1000*tech_proj!AF1249)/((1-tech_proj!AF409)*tech_proj!AF689*$L$110))</f>
        <v>187.82591301284077</v>
      </c>
      <c r="AG629" s="69">
        <f>IF(tech_base!$T5&gt;AG$625,"",(1000*tech_proj!AG969*(-PMT($J$110,tech_base!$F5,1))+1000*tech_proj!AG1249)/((1-tech_proj!AG409)*tech_proj!AG689*$L$110))</f>
        <v>185.95733759242577</v>
      </c>
      <c r="AH629" s="69">
        <f>IF(tech_base!$T5&gt;AH$625,"",(1000*tech_proj!AH969*(-PMT($J$110,tech_base!$F5,1))+1000*tech_proj!AH1249)/((1-tech_proj!AH409)*tech_proj!AH689*$L$110))</f>
        <v>183.95185656761649</v>
      </c>
      <c r="AI629" s="69">
        <f>IF(tech_base!$T5&gt;AI$625,"",(1000*tech_proj!AI969*(-PMT($J$110,tech_base!$F5,1))+1000*tech_proj!AI1249)/((1-tech_proj!AI409)*tech_proj!AI689*$L$110))</f>
        <v>181.81966934945166</v>
      </c>
      <c r="AJ629" s="69">
        <f>IF(tech_base!$T5&gt;AJ$625,"",(1000*tech_proj!AJ969*(-PMT($J$110,tech_base!$F5,1))+1000*tech_proj!AJ1249)/((1-tech_proj!AJ409)*tech_proj!AJ689*$L$110))</f>
        <v>179.57563206446972</v>
      </c>
      <c r="AK629" s="69">
        <f>IF(tech_base!$T5&gt;AK$625,"",(1000*tech_proj!AK969*(-PMT($J$110,tech_base!$F5,1))+1000*tech_proj!AK1249)/((1-tech_proj!AK409)*tech_proj!AK689*$L$110))</f>
        <v>177.23920590229281</v>
      </c>
      <c r="AL629" s="69">
        <f>IF(tech_base!$T5&gt;AL$625,"",(1000*tech_proj!AL969*(-PMT($J$110,tech_base!$F5,1))+1000*tech_proj!AL1249)/((1-tech_proj!AL409)*tech_proj!AL689*$L$110))</f>
        <v>174.83406747204921</v>
      </c>
      <c r="AM629" s="69">
        <f>IF(tech_base!$T5&gt;AM$625,"",(1000*tech_proj!AM969*(-PMT($J$110,tech_base!$F5,1))+1000*tech_proj!AM1249)/((1-tech_proj!AM409)*tech_proj!AM689*$L$110))</f>
        <v>172.38736348368042</v>
      </c>
      <c r="AN629" s="69">
        <f>IF(tech_base!$T5&gt;AN$625,"",(1000*tech_proj!AN969*(-PMT($J$110,tech_base!$F5,1))+1000*tech_proj!AN1249)/((1-tech_proj!AN409)*tech_proj!AN689*$L$110))</f>
        <v>169.92863683697823</v>
      </c>
      <c r="AO629" s="69">
        <f>IF(tech_base!$T5&gt;AO$625,"",(1000*tech_proj!AO969*(-PMT($J$110,tech_base!$F5,1))+1000*tech_proj!AO1249)/((1-tech_proj!AO409)*tech_proj!AO689*$L$110))</f>
        <v>167.48849927716176</v>
      </c>
      <c r="AP629" s="69">
        <f>IF(tech_base!$T5&gt;AP$625,"",(1000*tech_proj!AP969*(-PMT($J$110,tech_base!$F5,1))+1000*tech_proj!AP1249)/((1-tech_proj!AP409)*tech_proj!AP689*$L$110))</f>
        <v>165.09716744725247</v>
      </c>
      <c r="AQ629" s="69">
        <f>IF(tech_base!$T5&gt;AQ$625,"",(1000*tech_proj!AQ969*(-PMT($J$110,tech_base!$F5,1))+1000*tech_proj!AQ1249)/((1-tech_proj!AQ409)*tech_proj!AQ689*$L$110))</f>
        <v>162.78300476193203</v>
      </c>
      <c r="AR629" s="69">
        <f>IF(tech_base!$T5&gt;AR$625,"",(1000*tech_proj!AR969*(-PMT($J$110,tech_base!$F5,1))+1000*tech_proj!AR1249)/((1-tech_proj!AR409)*tech_proj!AR689*$L$110))</f>
        <v>160.57121437787211</v>
      </c>
      <c r="AS629" s="69">
        <f>IF(tech_base!$T5&gt;AS$625,"",(1000*tech_proj!AS969*(-PMT($J$110,tech_base!$F5,1))+1000*tech_proj!AS1249)/((1-tech_proj!AS409)*tech_proj!AS689*$L$110))</f>
        <v>158.48280727605271</v>
      </c>
      <c r="AT629" s="69">
        <f>IF(tech_base!$T5&gt;AT$625,"",(1000*tech_proj!AT969*(-PMT($J$110,tech_base!$F5,1))+1000*tech_proj!AT1249)/((1-tech_proj!AT409)*tech_proj!AT689*$L$110))</f>
        <v>156.53392866329125</v>
      </c>
      <c r="AU629" s="69">
        <f>IF(tech_base!$T5&gt;AU$625,"",(1000*tech_proj!AU969*(-PMT($J$110,tech_base!$F5,1))+1000*tech_proj!AU1249)/((1-tech_proj!AU409)*tech_proj!AU689*$L$110))</f>
        <v>154.73557465620635</v>
      </c>
      <c r="AV629" s="69">
        <f>IF(tech_base!$T5&gt;AV$625,"",(1000*tech_proj!AV969*(-PMT($J$110,tech_base!$F5,1))+1000*tech_proj!AV1249)/((1-tech_proj!AV409)*tech_proj!AV689*$L$110))</f>
        <v>153.0936803710581</v>
      </c>
      <c r="AW629" s="69">
        <f>IF(tech_base!$T5&gt;AW$625,"",(1000*tech_proj!AW969*(-PMT($J$110,tech_base!$F5,1))+1000*tech_proj!AW1249)/((1-tech_proj!AW409)*tech_proj!AW689*$L$110))</f>
        <v>151.609519545952</v>
      </c>
      <c r="AX629" s="235">
        <f>IF(tech_base!$T5&gt;AX$625,"",(1000*tech_proj!AX969*(-PMT($J$110,tech_base!$F5,1))+1000*tech_proj!AX1249)/((1-tech_proj!AX409)*tech_proj!AX689*$L$110))</f>
        <v>150.2803304361712</v>
      </c>
      <c r="AY629" s="133"/>
    </row>
    <row r="630" spans="1:51" s="174" customFormat="1" x14ac:dyDescent="0.25">
      <c r="A630" s="347"/>
      <c r="B630" s="352"/>
      <c r="C630" s="381"/>
      <c r="D630" s="4" t="s">
        <v>10</v>
      </c>
      <c r="E630" s="168" t="str">
        <f>A626&amp;"/"&amp;B628&amp;"/"&amp;C628&amp;"/"&amp;D630</f>
        <v>Nuclear power plants/Nuclear III/Electricity only/S</v>
      </c>
      <c r="F630" s="80" t="str">
        <f>A626</f>
        <v>Nuclear power plants</v>
      </c>
      <c r="G630" s="80" t="str">
        <f>B628</f>
        <v>Nuclear III</v>
      </c>
      <c r="H630" s="80" t="str">
        <f>C628</f>
        <v>Electricity only</v>
      </c>
      <c r="I630" s="169" t="str">
        <f t="shared" si="362"/>
        <v>S</v>
      </c>
      <c r="J630" s="73" t="str">
        <f>IF(tech_base!$T6&gt;J$625,"",(1000*tech_proj!J970*(-PMT($J$110,tech_base!$F6,1))+1000*tech_proj!J1250)/((1-tech_proj!J410)*tech_proj!J690*$L$110))</f>
        <v/>
      </c>
      <c r="K630" s="73" t="str">
        <f>IF(tech_base!$T6&gt;K$625,"",(1000*tech_proj!K970*(-PMT($J$110,tech_base!$F6,1))+1000*tech_proj!K1250)/((1-tech_proj!K410)*tech_proj!K690*$L$110))</f>
        <v/>
      </c>
      <c r="L630" s="73" t="str">
        <f>IF(tech_base!$T6&gt;L$625,"",(1000*tech_proj!L970*(-PMT($J$110,tech_base!$F6,1))+1000*tech_proj!L1250)/((1-tech_proj!L410)*tech_proj!L690*$L$110))</f>
        <v/>
      </c>
      <c r="M630" s="73" t="str">
        <f>IF(tech_base!$T6&gt;M$625,"",(1000*tech_proj!M970*(-PMT($J$110,tech_base!$F6,1))+1000*tech_proj!M1250)/((1-tech_proj!M410)*tech_proj!M690*$L$110))</f>
        <v/>
      </c>
      <c r="N630" s="73" t="str">
        <f>IF(tech_base!$T6&gt;N$625,"",(1000*tech_proj!N970*(-PMT($J$110,tech_base!$F6,1))+1000*tech_proj!N1250)/((1-tech_proj!N410)*tech_proj!N690*$L$110))</f>
        <v/>
      </c>
      <c r="O630" s="73" t="str">
        <f>IF(tech_base!$T6&gt;O$625,"",(1000*tech_proj!O970*(-PMT($J$110,tech_base!$F6,1))+1000*tech_proj!O1250)/((1-tech_proj!O410)*tech_proj!O690*$L$110))</f>
        <v/>
      </c>
      <c r="P630" s="73" t="str">
        <f>IF(tech_base!$T6&gt;P$625,"",(1000*tech_proj!P970*(-PMT($J$110,tech_base!$F6,1))+1000*tech_proj!P1250)/((1-tech_proj!P410)*tech_proj!P690*$L$110))</f>
        <v/>
      </c>
      <c r="Q630" s="73" t="str">
        <f>IF(tech_base!$T6&gt;Q$625,"",(1000*tech_proj!Q970*(-PMT($J$110,tech_base!$F6,1))+1000*tech_proj!Q1250)/((1-tech_proj!Q410)*tech_proj!Q690*$L$110))</f>
        <v/>
      </c>
      <c r="R630" s="73" t="str">
        <f>IF(tech_base!$T6&gt;R$625,"",(1000*tech_proj!R970*(-PMT($J$110,tech_base!$F6,1))+1000*tech_proj!R1250)/((1-tech_proj!R410)*tech_proj!R690*$L$110))</f>
        <v/>
      </c>
      <c r="S630" s="73" t="str">
        <f>IF(tech_base!$T6&gt;S$625,"",(1000*tech_proj!S970*(-PMT($J$110,tech_base!$F6,1))+1000*tech_proj!S1250)/((1-tech_proj!S410)*tech_proj!S690*$L$110))</f>
        <v/>
      </c>
      <c r="T630" s="73" t="str">
        <f>IF(tech_base!$T6&gt;T$625,"",(1000*tech_proj!T970*(-PMT($J$110,tech_base!$F6,1))+1000*tech_proj!T1250)/((1-tech_proj!T410)*tech_proj!T690*$L$110))</f>
        <v/>
      </c>
      <c r="U630" s="73" t="str">
        <f>IF(tech_base!$T6&gt;U$625,"",(1000*tech_proj!U970*(-PMT($J$110,tech_base!$F6,1))+1000*tech_proj!U1250)/((1-tech_proj!U410)*tech_proj!U690*$L$110))</f>
        <v/>
      </c>
      <c r="V630" s="73" t="str">
        <f>IF(tech_base!$T6&gt;V$625,"",(1000*tech_proj!V970*(-PMT($J$110,tech_base!$F6,1))+1000*tech_proj!V1250)/((1-tech_proj!V410)*tech_proj!V690*$L$110))</f>
        <v/>
      </c>
      <c r="W630" s="73" t="str">
        <f>IF(tech_base!$T6&gt;W$625,"",(1000*tech_proj!W970*(-PMT($J$110,tech_base!$F6,1))+1000*tech_proj!W1250)/((1-tech_proj!W410)*tech_proj!W690*$L$110))</f>
        <v/>
      </c>
      <c r="X630" s="73" t="str">
        <f>IF(tech_base!$T6&gt;X$625,"",(1000*tech_proj!X970*(-PMT($J$110,tech_base!$F6,1))+1000*tech_proj!X1250)/((1-tech_proj!X410)*tech_proj!X690*$L$110))</f>
        <v/>
      </c>
      <c r="Y630" s="73">
        <f>IF(tech_base!$T6&gt;Y$625,"",(1000*tech_proj!Y970*(-PMT($J$110,tech_base!$F6,1))+1000*tech_proj!Y1250)/((1-tech_proj!Y410)*tech_proj!Y690*$L$110))</f>
        <v>215.29813186500564</v>
      </c>
      <c r="Z630" s="73">
        <f>IF(tech_base!$T6&gt;Z$625,"",(1000*tech_proj!Z970*(-PMT($J$110,tech_base!$F6,1))+1000*tech_proj!Z1250)/((1-tech_proj!Z410)*tech_proj!Z690*$L$110))</f>
        <v>214.33244927224399</v>
      </c>
      <c r="AA630" s="73">
        <f>IF(tech_base!$T6&gt;AA$625,"",(1000*tech_proj!AA970*(-PMT($J$110,tech_base!$F6,1))+1000*tech_proj!AA1250)/((1-tech_proj!AA410)*tech_proj!AA690*$L$110))</f>
        <v>213.29269064227313</v>
      </c>
      <c r="AB630" s="73">
        <f>IF(tech_base!$T6&gt;AB$625,"",(1000*tech_proj!AB970*(-PMT($J$110,tech_base!$F6,1))+1000*tech_proj!AB1250)/((1-tech_proj!AB410)*tech_proj!AB690*$L$110))</f>
        <v>212.17585250757381</v>
      </c>
      <c r="AC630" s="73">
        <f>IF(tech_base!$T6&gt;AC$625,"",(1000*tech_proj!AC970*(-PMT($J$110,tech_base!$F6,1))+1000*tech_proj!AC1250)/((1-tech_proj!AC410)*tech_proj!AC690*$L$110))</f>
        <v>210.97931331106381</v>
      </c>
      <c r="AD630" s="73">
        <f>IF(tech_base!$T6&gt;AD$625,"",(1000*tech_proj!AD970*(-PMT($J$110,tech_base!$F6,1))+1000*tech_proj!AD1250)/((1-tech_proj!AD410)*tech_proj!AD690*$L$110))</f>
        <v>209.70093740718377</v>
      </c>
      <c r="AE630" s="73">
        <f>IF(tech_base!$T6&gt;AE$625,"",(1000*tech_proj!AE970*(-PMT($J$110,tech_base!$F6,1))+1000*tech_proj!AE1250)/((1-tech_proj!AE410)*tech_proj!AE690*$L$110))</f>
        <v>208.33918540042473</v>
      </c>
      <c r="AF630" s="73">
        <f>IF(tech_base!$T6&gt;AF$625,"",(1000*tech_proj!AF970*(-PMT($J$110,tech_base!$F6,1))+1000*tech_proj!AF1250)/((1-tech_proj!AF410)*tech_proj!AF690*$L$110))</f>
        <v>206.89322804161978</v>
      </c>
      <c r="AG630" s="73">
        <f>IF(tech_base!$T6&gt;AG$625,"",(1000*tech_proj!AG970*(-PMT($J$110,tech_base!$F6,1))+1000*tech_proj!AG1250)/((1-tech_proj!AG410)*tech_proj!AG690*$L$110))</f>
        <v>205.363060050342</v>
      </c>
      <c r="AH630" s="73">
        <f>IF(tech_base!$T6&gt;AH$625,"",(1000*tech_proj!AH970*(-PMT($J$110,tech_base!$F6,1))+1000*tech_proj!AH1250)/((1-tech_proj!AH410)*tech_proj!AH690*$L$110))</f>
        <v>203.74960939128178</v>
      </c>
      <c r="AI630" s="73">
        <f>IF(tech_base!$T6&gt;AI$625,"",(1000*tech_proj!AI970*(-PMT($J$110,tech_base!$F6,1))+1000*tech_proj!AI1250)/((1-tech_proj!AI410)*tech_proj!AI690*$L$110))</f>
        <v>202.05483677794254</v>
      </c>
      <c r="AJ630" s="73">
        <f>IF(tech_base!$T6&gt;AJ$625,"",(1000*tech_proj!AJ970*(-PMT($J$110,tech_base!$F6,1))+1000*tech_proj!AJ1250)/((1-tech_proj!AJ410)*tech_proj!AJ690*$L$110))</f>
        <v>200.28181959778604</v>
      </c>
      <c r="AK630" s="73">
        <f>IF(tech_base!$T6&gt;AK$625,"",(1000*tech_proj!AK970*(-PMT($J$110,tech_base!$F6,1))+1000*tech_proj!AK1250)/((1-tech_proj!AK410)*tech_proj!AK690*$L$110))</f>
        <v>198.43481414724141</v>
      </c>
      <c r="AL630" s="73">
        <f>IF(tech_base!$T6&gt;AL$625,"",(1000*tech_proj!AL970*(-PMT($J$110,tech_base!$F6,1))+1000*tech_proj!AL1250)/((1-tech_proj!AL410)*tech_proj!AL690*$L$110))</f>
        <v>196.51929012980167</v>
      </c>
      <c r="AM630" s="73">
        <f>IF(tech_base!$T6&gt;AM$625,"",(1000*tech_proj!AM970*(-PMT($J$110,tech_base!$F6,1))+1000*tech_proj!AM1250)/((1-tech_proj!AM410)*tech_proj!AM690*$L$110))</f>
        <v>194.5419318885431</v>
      </c>
      <c r="AN630" s="73">
        <f>IF(tech_base!$T6&gt;AN$625,"",(1000*tech_proj!AN970*(-PMT($J$110,tech_base!$F6,1))+1000*tech_proj!AN1250)/((1-tech_proj!AN410)*tech_proj!AN690*$L$110))</f>
        <v>192.51060186909294</v>
      </c>
      <c r="AO630" s="73">
        <f>IF(tech_base!$T6&gt;AO$625,"",(1000*tech_proj!AO970*(-PMT($J$110,tech_base!$F6,1))+1000*tech_proj!AO1250)/((1-tech_proj!AO410)*tech_proj!AO690*$L$110))</f>
        <v>190.43426334895966</v>
      </c>
      <c r="AP630" s="73">
        <f>IF(tech_base!$T6&gt;AP$625,"",(1000*tech_proj!AP970*(-PMT($J$110,tech_base!$F6,1))+1000*tech_proj!AP1250)/((1-tech_proj!AP410)*tech_proj!AP690*$L$110))</f>
        <v>188.3228614758973</v>
      </c>
      <c r="AQ630" s="73">
        <f>IF(tech_base!$T6&gt;AQ$625,"",(1000*tech_proj!AQ970*(-PMT($J$110,tech_base!$F6,1))+1000*tech_proj!AQ1250)/((1-tech_proj!AQ410)*tech_proj!AQ690*$L$110))</f>
        <v>186.18716402012396</v>
      </c>
      <c r="AR630" s="73">
        <f>IF(tech_base!$T6&gt;AR$625,"",(1000*tech_proj!AR970*(-PMT($J$110,tech_base!$F6,1))+1000*tech_proj!AR1250)/((1-tech_proj!AR410)*tech_proj!AR690*$L$110))</f>
        <v>184.03856579077652</v>
      </c>
      <c r="AS630" s="73">
        <f>IF(tech_base!$T6&gt;AS$625,"",(1000*tech_proj!AS970*(-PMT($J$110,tech_base!$F6,1))+1000*tech_proj!AS1250)/((1-tech_proj!AS410)*tech_proj!AS690*$L$110))</f>
        <v>181.88886317655471</v>
      </c>
      <c r="AT630" s="73">
        <f>IF(tech_base!$T6&gt;AT$625,"",(1000*tech_proj!AT970*(-PMT($J$110,tech_base!$F6,1))+1000*tech_proj!AT1250)/((1-tech_proj!AT410)*tech_proj!AT690*$L$110))</f>
        <v>179.75000750050975</v>
      </c>
      <c r="AU630" s="73">
        <f>IF(tech_base!$T6&gt;AU$625,"",(1000*tech_proj!AU970*(-PMT($J$110,tech_base!$F6,1))+1000*tech_proj!AU1250)/((1-tech_proj!AU410)*tech_proj!AU690*$L$110))</f>
        <v>177.63384759234441</v>
      </c>
      <c r="AV630" s="73">
        <f>IF(tech_base!$T6&gt;AV$625,"",(1000*tech_proj!AV970*(-PMT($J$110,tech_base!$F6,1))+1000*tech_proj!AV1250)/((1-tech_proj!AV410)*tech_proj!AV690*$L$110))</f>
        <v>175.55187298152956</v>
      </c>
      <c r="AW630" s="73">
        <f>IF(tech_base!$T6&gt;AW$625,"",(1000*tech_proj!AW970*(-PMT($J$110,tech_base!$F6,1))+1000*tech_proj!AW1250)/((1-tech_proj!AW410)*tech_proj!AW690*$L$110))</f>
        <v>173.51496927459678</v>
      </c>
      <c r="AX630" s="239">
        <f>IF(tech_base!$T6&gt;AX$625,"",(1000*tech_proj!AX970*(-PMT($J$110,tech_base!$F6,1))+1000*tech_proj!AX1250)/((1-tech_proj!AX410)*tech_proj!AX690*$L$110))</f>
        <v>171.53319656537059</v>
      </c>
      <c r="AY630" s="133"/>
    </row>
    <row r="631" spans="1:51" s="174" customFormat="1" x14ac:dyDescent="0.25">
      <c r="A631" s="347"/>
      <c r="B631" s="349" t="s">
        <v>11</v>
      </c>
      <c r="C631" s="363" t="s">
        <v>6</v>
      </c>
      <c r="D631" s="2" t="s">
        <v>7</v>
      </c>
      <c r="E631" s="160" t="str">
        <f>A626&amp;"/"&amp;B631&amp;"/"&amp;C631&amp;"/"&amp;D631</f>
        <v>Nuclear power plants/Nuclear IV/Electricity only/L</v>
      </c>
      <c r="F631" s="76" t="str">
        <f>A626</f>
        <v>Nuclear power plants</v>
      </c>
      <c r="G631" s="76" t="str">
        <f>B631</f>
        <v>Nuclear IV</v>
      </c>
      <c r="H631" s="76" t="str">
        <f>C631</f>
        <v>Electricity only</v>
      </c>
      <c r="I631" s="161" t="str">
        <f t="shared" si="362"/>
        <v>L</v>
      </c>
      <c r="J631" s="69" t="str">
        <f>IF(tech_base!$T7&gt;J$625,"",(1000*tech_proj!J971*(-PMT($J$110,tech_base!$F7,1))+1000*tech_proj!J1251)/((1-tech_proj!J411)*tech_proj!J691*$L$110))</f>
        <v/>
      </c>
      <c r="K631" s="69" t="str">
        <f>IF(tech_base!$T7&gt;K$625,"",(1000*tech_proj!K971*(-PMT($J$110,tech_base!$F7,1))+1000*tech_proj!K1251)/((1-tech_proj!K411)*tech_proj!K691*$L$110))</f>
        <v/>
      </c>
      <c r="L631" s="69" t="str">
        <f>IF(tech_base!$T7&gt;L$625,"",(1000*tech_proj!L971*(-PMT($J$110,tech_base!$F7,1))+1000*tech_proj!L1251)/((1-tech_proj!L411)*tech_proj!L691*$L$110))</f>
        <v/>
      </c>
      <c r="M631" s="69" t="str">
        <f>IF(tech_base!$T7&gt;M$625,"",(1000*tech_proj!M971*(-PMT($J$110,tech_base!$F7,1))+1000*tech_proj!M1251)/((1-tech_proj!M411)*tech_proj!M691*$L$110))</f>
        <v/>
      </c>
      <c r="N631" s="69" t="str">
        <f>IF(tech_base!$T7&gt;N$625,"",(1000*tech_proj!N971*(-PMT($J$110,tech_base!$F7,1))+1000*tech_proj!N1251)/((1-tech_proj!N411)*tech_proj!N691*$L$110))</f>
        <v/>
      </c>
      <c r="O631" s="69" t="str">
        <f>IF(tech_base!$T7&gt;O$625,"",(1000*tech_proj!O971*(-PMT($J$110,tech_base!$F7,1))+1000*tech_proj!O1251)/((1-tech_proj!O411)*tech_proj!O691*$L$110))</f>
        <v/>
      </c>
      <c r="P631" s="69" t="str">
        <f>IF(tech_base!$T7&gt;P$625,"",(1000*tech_proj!P971*(-PMT($J$110,tech_base!$F7,1))+1000*tech_proj!P1251)/((1-tech_proj!P411)*tech_proj!P691*$L$110))</f>
        <v/>
      </c>
      <c r="Q631" s="69" t="str">
        <f>IF(tech_base!$T7&gt;Q$625,"",(1000*tech_proj!Q971*(-PMT($J$110,tech_base!$F7,1))+1000*tech_proj!Q1251)/((1-tech_proj!Q411)*tech_proj!Q691*$L$110))</f>
        <v/>
      </c>
      <c r="R631" s="69" t="str">
        <f>IF(tech_base!$T7&gt;R$625,"",(1000*tech_proj!R971*(-PMT($J$110,tech_base!$F7,1))+1000*tech_proj!R1251)/((1-tech_proj!R411)*tech_proj!R691*$L$110))</f>
        <v/>
      </c>
      <c r="S631" s="69" t="str">
        <f>IF(tech_base!$T7&gt;S$625,"",(1000*tech_proj!S971*(-PMT($J$110,tech_base!$F7,1))+1000*tech_proj!S1251)/((1-tech_proj!S411)*tech_proj!S691*$L$110))</f>
        <v/>
      </c>
      <c r="T631" s="69" t="str">
        <f>IF(tech_base!$T7&gt;T$625,"",(1000*tech_proj!T971*(-PMT($J$110,tech_base!$F7,1))+1000*tech_proj!T1251)/((1-tech_proj!T411)*tech_proj!T691*$L$110))</f>
        <v/>
      </c>
      <c r="U631" s="69" t="str">
        <f>IF(tech_base!$T7&gt;U$625,"",(1000*tech_proj!U971*(-PMT($J$110,tech_base!$F7,1))+1000*tech_proj!U1251)/((1-tech_proj!U411)*tech_proj!U691*$L$110))</f>
        <v/>
      </c>
      <c r="V631" s="69" t="str">
        <f>IF(tech_base!$T7&gt;V$625,"",(1000*tech_proj!V971*(-PMT($J$110,tech_base!$F7,1))+1000*tech_proj!V1251)/((1-tech_proj!V411)*tech_proj!V691*$L$110))</f>
        <v/>
      </c>
      <c r="W631" s="69" t="str">
        <f>IF(tech_base!$T7&gt;W$625,"",(1000*tech_proj!W971*(-PMT($J$110,tech_base!$F7,1))+1000*tech_proj!W1251)/((1-tech_proj!W411)*tech_proj!W691*$L$110))</f>
        <v/>
      </c>
      <c r="X631" s="69" t="str">
        <f>IF(tech_base!$T7&gt;X$625,"",(1000*tech_proj!X971*(-PMT($J$110,tech_base!$F7,1))+1000*tech_proj!X1251)/((1-tech_proj!X411)*tech_proj!X691*$L$110))</f>
        <v/>
      </c>
      <c r="Y631" s="69" t="str">
        <f>IF(tech_base!$T7&gt;Y$625,"",(1000*tech_proj!Y971*(-PMT($J$110,tech_base!$F7,1))+1000*tech_proj!Y1251)/((1-tech_proj!Y411)*tech_proj!Y691*$L$110))</f>
        <v/>
      </c>
      <c r="Z631" s="69" t="str">
        <f>IF(tech_base!$T7&gt;Z$625,"",(1000*tech_proj!Z971*(-PMT($J$110,tech_base!$F7,1))+1000*tech_proj!Z1251)/((1-tech_proj!Z411)*tech_proj!Z691*$L$110))</f>
        <v/>
      </c>
      <c r="AA631" s="69" t="str">
        <f>IF(tech_base!$T7&gt;AA$625,"",(1000*tech_proj!AA971*(-PMT($J$110,tech_base!$F7,1))+1000*tech_proj!AA1251)/((1-tech_proj!AA411)*tech_proj!AA691*$L$110))</f>
        <v/>
      </c>
      <c r="AB631" s="69" t="str">
        <f>IF(tech_base!$T7&gt;AB$625,"",(1000*tech_proj!AB971*(-PMT($J$110,tech_base!$F7,1))+1000*tech_proj!AB1251)/((1-tech_proj!AB411)*tech_proj!AB691*$L$110))</f>
        <v/>
      </c>
      <c r="AC631" s="69" t="str">
        <f>IF(tech_base!$T7&gt;AC$625,"",(1000*tech_proj!AC971*(-PMT($J$110,tech_base!$F7,1))+1000*tech_proj!AC1251)/((1-tech_proj!AC411)*tech_proj!AC691*$L$110))</f>
        <v/>
      </c>
      <c r="AD631" s="69" t="str">
        <f>IF(tech_base!$T7&gt;AD$625,"",(1000*tech_proj!AD971*(-PMT($J$110,tech_base!$F7,1))+1000*tech_proj!AD1251)/((1-tech_proj!AD411)*tech_proj!AD691*$L$110))</f>
        <v/>
      </c>
      <c r="AE631" s="69" t="str">
        <f>IF(tech_base!$T7&gt;AE$625,"",(1000*tech_proj!AE971*(-PMT($J$110,tech_base!$F7,1))+1000*tech_proj!AE1251)/((1-tech_proj!AE411)*tech_proj!AE691*$L$110))</f>
        <v/>
      </c>
      <c r="AF631" s="69" t="str">
        <f>IF(tech_base!$T7&gt;AF$625,"",(1000*tech_proj!AF971*(-PMT($J$110,tech_base!$F7,1))+1000*tech_proj!AF1251)/((1-tech_proj!AF411)*tech_proj!AF691*$L$110))</f>
        <v/>
      </c>
      <c r="AG631" s="69" t="str">
        <f>IF(tech_base!$T7&gt;AG$625,"",(1000*tech_proj!AG971*(-PMT($J$110,tech_base!$F7,1))+1000*tech_proj!AG1251)/((1-tech_proj!AG411)*tech_proj!AG691*$L$110))</f>
        <v/>
      </c>
      <c r="AH631" s="69" t="str">
        <f>IF(tech_base!$T7&gt;AH$625,"",(1000*tech_proj!AH971*(-PMT($J$110,tech_base!$F7,1))+1000*tech_proj!AH1251)/((1-tech_proj!AH411)*tech_proj!AH691*$L$110))</f>
        <v/>
      </c>
      <c r="AI631" s="69">
        <f>IF(tech_base!$T7&gt;AI$625,"",(1000*tech_proj!AI971*(-PMT($J$110,tech_base!$F7,1))+1000*tech_proj!AI1251)/((1-tech_proj!AI411)*tech_proj!AI691*$L$110))</f>
        <v>247.71202483711869</v>
      </c>
      <c r="AJ631" s="69">
        <f>IF(tech_base!$T7&gt;AJ$625,"",(1000*tech_proj!AJ971*(-PMT($J$110,tech_base!$F7,1))+1000*tech_proj!AJ1251)/((1-tech_proj!AJ411)*tech_proj!AJ691*$L$110))</f>
        <v>246.7217718299031</v>
      </c>
      <c r="AK631" s="69">
        <f>IF(tech_base!$T7&gt;AK$625,"",(1000*tech_proj!AK971*(-PMT($J$110,tech_base!$F7,1))+1000*tech_proj!AK1251)/((1-tech_proj!AK411)*tech_proj!AK691*$L$110))</f>
        <v>245.53439788917635</v>
      </c>
      <c r="AL631" s="69">
        <f>IF(tech_base!$T7&gt;AL$625,"",(1000*tech_proj!AL971*(-PMT($J$110,tech_base!$F7,1))+1000*tech_proj!AL1251)/((1-tech_proj!AL411)*tech_proj!AL691*$L$110))</f>
        <v>244.11628250038515</v>
      </c>
      <c r="AM631" s="69">
        <f>IF(tech_base!$T7&gt;AM$625,"",(1000*tech_proj!AM971*(-PMT($J$110,tech_base!$F7,1))+1000*tech_proj!AM1251)/((1-tech_proj!AM411)*tech_proj!AM691*$L$110))</f>
        <v>242.43064018819589</v>
      </c>
      <c r="AN631" s="69">
        <f>IF(tech_base!$T7&gt;AN$625,"",(1000*tech_proj!AN971*(-PMT($J$110,tech_base!$F7,1))+1000*tech_proj!AN1251)/((1-tech_proj!AN411)*tech_proj!AN691*$L$110))</f>
        <v>240.43845109929066</v>
      </c>
      <c r="AO631" s="69">
        <f>IF(tech_base!$T7&gt;AO$625,"",(1000*tech_proj!AO971*(-PMT($J$110,tech_base!$F7,1))+1000*tech_proj!AO1251)/((1-tech_proj!AO411)*tech_proj!AO691*$L$110))</f>
        <v>238.10007800739933</v>
      </c>
      <c r="AP631" s="69">
        <f>IF(tech_base!$T7&gt;AP$625,"",(1000*tech_proj!AP971*(-PMT($J$110,tech_base!$F7,1))+1000*tech_proj!AP1251)/((1-tech_proj!AP411)*tech_proj!AP691*$L$110))</f>
        <v>235.37776214597142</v>
      </c>
      <c r="AQ631" s="69">
        <f>IF(tech_base!$T7&gt;AQ$625,"",(1000*tech_proj!AQ971*(-PMT($J$110,tech_base!$F7,1))+1000*tech_proj!AQ1251)/((1-tech_proj!AQ411)*tech_proj!AQ691*$L$110))</f>
        <v>232.23915709582653</v>
      </c>
      <c r="AR631" s="69">
        <f>IF(tech_base!$T7&gt;AR$625,"",(1000*tech_proj!AR971*(-PMT($J$110,tech_base!$F7,1))+1000*tech_proj!AR1251)/((1-tech_proj!AR411)*tech_proj!AR691*$L$110))</f>
        <v>228.66195812434952</v>
      </c>
      <c r="AS631" s="69">
        <f>IF(tech_base!$T7&gt;AS$625,"",(1000*tech_proj!AS971*(-PMT($J$110,tech_base!$F7,1))+1000*tech_proj!AS1251)/((1-tech_proj!AS411)*tech_proj!AS691*$L$110))</f>
        <v>224.63948481186267</v>
      </c>
      <c r="AT631" s="69">
        <f>IF(tech_base!$T7&gt;AT$625,"",(1000*tech_proj!AT971*(-PMT($J$110,tech_base!$F7,1))+1000*tech_proj!AT1251)/((1-tech_proj!AT411)*tech_proj!AT691*$L$110))</f>
        <v>220.18676071078161</v>
      </c>
      <c r="AU631" s="69">
        <f>IF(tech_base!$T7&gt;AU$625,"",(1000*tech_proj!AU971*(-PMT($J$110,tech_base!$F7,1))+1000*tech_proj!AU1251)/((1-tech_proj!AU411)*tech_proj!AU691*$L$110))</f>
        <v>215.34622375352427</v>
      </c>
      <c r="AV631" s="69">
        <f>IF(tech_base!$T7&gt;AV$625,"",(1000*tech_proj!AV971*(-PMT($J$110,tech_base!$F7,1))+1000*tech_proj!AV1251)/((1-tech_proj!AV411)*tech_proj!AV691*$L$110))</f>
        <v>210.19177742601218</v>
      </c>
      <c r="AW631" s="69">
        <f>IF(tech_base!$T7&gt;AW$625,"",(1000*tech_proj!AW971*(-PMT($J$110,tech_base!$F7,1))+1000*tech_proj!AW1251)/((1-tech_proj!AW411)*tech_proj!AW691*$L$110))</f>
        <v>204.82961910821874</v>
      </c>
      <c r="AX631" s="235">
        <f>IF(tech_base!$T7&gt;AX$625,"",(1000*tech_proj!AX971*(-PMT($J$110,tech_base!$F7,1))+1000*tech_proj!AX1251)/((1-tech_proj!AX411)*tech_proj!AX691*$L$110))</f>
        <v>199.3943831779979</v>
      </c>
      <c r="AY631" s="133"/>
    </row>
    <row r="632" spans="1:51" s="174" customFormat="1" x14ac:dyDescent="0.25">
      <c r="A632" s="348"/>
      <c r="B632" s="352"/>
      <c r="C632" s="364"/>
      <c r="D632" s="4" t="s">
        <v>8</v>
      </c>
      <c r="E632" s="160" t="str">
        <f>A626&amp;"/"&amp;B631&amp;"/"&amp;C631&amp;"/"&amp;D632</f>
        <v>Nuclear power plants/Nuclear IV/Electricity only/M</v>
      </c>
      <c r="F632" s="76" t="str">
        <f>A626</f>
        <v>Nuclear power plants</v>
      </c>
      <c r="G632" s="76" t="str">
        <f>B631</f>
        <v>Nuclear IV</v>
      </c>
      <c r="H632" s="76" t="str">
        <f>C631</f>
        <v>Electricity only</v>
      </c>
      <c r="I632" s="161" t="str">
        <f t="shared" si="362"/>
        <v>M</v>
      </c>
      <c r="J632" s="69" t="str">
        <f>IF(tech_base!$T8&gt;J$625,"",(1000*tech_proj!J972*(-PMT($J$110,tech_base!$F8,1))+1000*tech_proj!J1252)/((1-tech_proj!J412)*tech_proj!J692*$L$110))</f>
        <v/>
      </c>
      <c r="K632" s="69" t="str">
        <f>IF(tech_base!$T8&gt;K$625,"",(1000*tech_proj!K972*(-PMT($J$110,tech_base!$F8,1))+1000*tech_proj!K1252)/((1-tech_proj!K412)*tech_proj!K692*$L$110))</f>
        <v/>
      </c>
      <c r="L632" s="69" t="str">
        <f>IF(tech_base!$T8&gt;L$625,"",(1000*tech_proj!L972*(-PMT($J$110,tech_base!$F8,1))+1000*tech_proj!L1252)/((1-tech_proj!L412)*tech_proj!L692*$L$110))</f>
        <v/>
      </c>
      <c r="M632" s="69" t="str">
        <f>IF(tech_base!$T8&gt;M$625,"",(1000*tech_proj!M972*(-PMT($J$110,tech_base!$F8,1))+1000*tech_proj!M1252)/((1-tech_proj!M412)*tech_proj!M692*$L$110))</f>
        <v/>
      </c>
      <c r="N632" s="69" t="str">
        <f>IF(tech_base!$T8&gt;N$625,"",(1000*tech_proj!N972*(-PMT($J$110,tech_base!$F8,1))+1000*tech_proj!N1252)/((1-tech_proj!N412)*tech_proj!N692*$L$110))</f>
        <v/>
      </c>
      <c r="O632" s="69" t="str">
        <f>IF(tech_base!$T8&gt;O$625,"",(1000*tech_proj!O972*(-PMT($J$110,tech_base!$F8,1))+1000*tech_proj!O1252)/((1-tech_proj!O412)*tech_proj!O692*$L$110))</f>
        <v/>
      </c>
      <c r="P632" s="69" t="str">
        <f>IF(tech_base!$T8&gt;P$625,"",(1000*tech_proj!P972*(-PMT($J$110,tech_base!$F8,1))+1000*tech_proj!P1252)/((1-tech_proj!P412)*tech_proj!P692*$L$110))</f>
        <v/>
      </c>
      <c r="Q632" s="69" t="str">
        <f>IF(tech_base!$T8&gt;Q$625,"",(1000*tech_proj!Q972*(-PMT($J$110,tech_base!$F8,1))+1000*tech_proj!Q1252)/((1-tech_proj!Q412)*tech_proj!Q692*$L$110))</f>
        <v/>
      </c>
      <c r="R632" s="69" t="str">
        <f>IF(tech_base!$T8&gt;R$625,"",(1000*tech_proj!R972*(-PMT($J$110,tech_base!$F8,1))+1000*tech_proj!R1252)/((1-tech_proj!R412)*tech_proj!R692*$L$110))</f>
        <v/>
      </c>
      <c r="S632" s="69" t="str">
        <f>IF(tech_base!$T8&gt;S$625,"",(1000*tech_proj!S972*(-PMT($J$110,tech_base!$F8,1))+1000*tech_proj!S1252)/((1-tech_proj!S412)*tech_proj!S692*$L$110))</f>
        <v/>
      </c>
      <c r="T632" s="69" t="str">
        <f>IF(tech_base!$T8&gt;T$625,"",(1000*tech_proj!T972*(-PMT($J$110,tech_base!$F8,1))+1000*tech_proj!T1252)/((1-tech_proj!T412)*tech_proj!T692*$L$110))</f>
        <v/>
      </c>
      <c r="U632" s="69" t="str">
        <f>IF(tech_base!$T8&gt;U$625,"",(1000*tech_proj!U972*(-PMT($J$110,tech_base!$F8,1))+1000*tech_proj!U1252)/((1-tech_proj!U412)*tech_proj!U692*$L$110))</f>
        <v/>
      </c>
      <c r="V632" s="69" t="str">
        <f>IF(tech_base!$T8&gt;V$625,"",(1000*tech_proj!V972*(-PMT($J$110,tech_base!$F8,1))+1000*tech_proj!V1252)/((1-tech_proj!V412)*tech_proj!V692*$L$110))</f>
        <v/>
      </c>
      <c r="W632" s="69" t="str">
        <f>IF(tech_base!$T8&gt;W$625,"",(1000*tech_proj!W972*(-PMT($J$110,tech_base!$F8,1))+1000*tech_proj!W1252)/((1-tech_proj!W412)*tech_proj!W692*$L$110))</f>
        <v/>
      </c>
      <c r="X632" s="69" t="str">
        <f>IF(tech_base!$T8&gt;X$625,"",(1000*tech_proj!X972*(-PMT($J$110,tech_base!$F8,1))+1000*tech_proj!X1252)/((1-tech_proj!X412)*tech_proj!X692*$L$110))</f>
        <v/>
      </c>
      <c r="Y632" s="69" t="str">
        <f>IF(tech_base!$T8&gt;Y$625,"",(1000*tech_proj!Y972*(-PMT($J$110,tech_base!$F8,1))+1000*tech_proj!Y1252)/((1-tech_proj!Y412)*tech_proj!Y692*$L$110))</f>
        <v/>
      </c>
      <c r="Z632" s="69" t="str">
        <f>IF(tech_base!$T8&gt;Z$625,"",(1000*tech_proj!Z972*(-PMT($J$110,tech_base!$F8,1))+1000*tech_proj!Z1252)/((1-tech_proj!Z412)*tech_proj!Z692*$L$110))</f>
        <v/>
      </c>
      <c r="AA632" s="69" t="str">
        <f>IF(tech_base!$T8&gt;AA$625,"",(1000*tech_proj!AA972*(-PMT($J$110,tech_base!$F8,1))+1000*tech_proj!AA1252)/((1-tech_proj!AA412)*tech_proj!AA692*$L$110))</f>
        <v/>
      </c>
      <c r="AB632" s="69" t="str">
        <f>IF(tech_base!$T8&gt;AB$625,"",(1000*tech_proj!AB972*(-PMT($J$110,tech_base!$F8,1))+1000*tech_proj!AB1252)/((1-tech_proj!AB412)*tech_proj!AB692*$L$110))</f>
        <v/>
      </c>
      <c r="AC632" s="69" t="str">
        <f>IF(tech_base!$T8&gt;AC$625,"",(1000*tech_proj!AC972*(-PMT($J$110,tech_base!$F8,1))+1000*tech_proj!AC1252)/((1-tech_proj!AC412)*tech_proj!AC692*$L$110))</f>
        <v/>
      </c>
      <c r="AD632" s="69" t="str">
        <f>IF(tech_base!$T8&gt;AD$625,"",(1000*tech_proj!AD972*(-PMT($J$110,tech_base!$F8,1))+1000*tech_proj!AD1252)/((1-tech_proj!AD412)*tech_proj!AD692*$L$110))</f>
        <v/>
      </c>
      <c r="AE632" s="69" t="str">
        <f>IF(tech_base!$T8&gt;AE$625,"",(1000*tech_proj!AE972*(-PMT($J$110,tech_base!$F8,1))+1000*tech_proj!AE1252)/((1-tech_proj!AE412)*tech_proj!AE692*$L$110))</f>
        <v/>
      </c>
      <c r="AF632" s="69" t="str">
        <f>IF(tech_base!$T8&gt;AF$625,"",(1000*tech_proj!AF972*(-PMT($J$110,tech_base!$F8,1))+1000*tech_proj!AF1252)/((1-tech_proj!AF412)*tech_proj!AF692*$L$110))</f>
        <v/>
      </c>
      <c r="AG632" s="69" t="str">
        <f>IF(tech_base!$T8&gt;AG$625,"",(1000*tech_proj!AG972*(-PMT($J$110,tech_base!$F8,1))+1000*tech_proj!AG1252)/((1-tech_proj!AG412)*tech_proj!AG692*$L$110))</f>
        <v/>
      </c>
      <c r="AH632" s="69" t="str">
        <f>IF(tech_base!$T8&gt;AH$625,"",(1000*tech_proj!AH972*(-PMT($J$110,tech_base!$F8,1))+1000*tech_proj!AH1252)/((1-tech_proj!AH412)*tech_proj!AH692*$L$110))</f>
        <v/>
      </c>
      <c r="AI632" s="69">
        <f>IF(tech_base!$T8&gt;AI$625,"",(1000*tech_proj!AI972*(-PMT($J$110,tech_base!$F8,1))+1000*tech_proj!AI1252)/((1-tech_proj!AI412)*tech_proj!AI692*$L$110))</f>
        <v>268.78345064614729</v>
      </c>
      <c r="AJ632" s="69">
        <f>IF(tech_base!$T8&gt;AJ$625,"",(1000*tech_proj!AJ972*(-PMT($J$110,tech_base!$F8,1))+1000*tech_proj!AJ1252)/((1-tech_proj!AJ412)*tech_proj!AJ692*$L$110))</f>
        <v>268.42373184574262</v>
      </c>
      <c r="AK632" s="69">
        <f>IF(tech_base!$T8&gt;AK$625,"",(1000*tech_proj!AK972*(-PMT($J$110,tech_base!$F8,1))+1000*tech_proj!AK1252)/((1-tech_proj!AK412)*tech_proj!AK692*$L$110))</f>
        <v>267.96478737193388</v>
      </c>
      <c r="AL632" s="69">
        <f>IF(tech_base!$T8&gt;AL$625,"",(1000*tech_proj!AL972*(-PMT($J$110,tech_base!$F8,1))+1000*tech_proj!AL1252)/((1-tech_proj!AL412)*tech_proj!AL692*$L$110))</f>
        <v>267.38029781468282</v>
      </c>
      <c r="AM632" s="69">
        <f>IF(tech_base!$T8&gt;AM$625,"",(1000*tech_proj!AM972*(-PMT($J$110,tech_base!$F8,1))+1000*tech_proj!AM1252)/((1-tech_proj!AM412)*tech_proj!AM692*$L$110))</f>
        <v>266.63762661100264</v>
      </c>
      <c r="AN632" s="69">
        <f>IF(tech_base!$T8&gt;AN$625,"",(1000*tech_proj!AN972*(-PMT($J$110,tech_base!$F8,1))+1000*tech_proj!AN1252)/((1-tech_proj!AN412)*tech_proj!AN692*$L$110))</f>
        <v>265.69672302802451</v>
      </c>
      <c r="AO632" s="69">
        <f>IF(tech_base!$T8&gt;AO$625,"",(1000*tech_proj!AO972*(-PMT($J$110,tech_base!$F8,1))+1000*tech_proj!AO1252)/((1-tech_proj!AO412)*tech_proj!AO692*$L$110))</f>
        <v>264.50910903397204</v>
      </c>
      <c r="AP632" s="69">
        <f>IF(tech_base!$T8&gt;AP$625,"",(1000*tech_proj!AP972*(-PMT($J$110,tech_base!$F8,1))+1000*tech_proj!AP1252)/((1-tech_proj!AP412)*tech_proj!AP692*$L$110))</f>
        <v>263.01717285470301</v>
      </c>
      <c r="AQ632" s="69">
        <f>IF(tech_base!$T8&gt;AQ$625,"",(1000*tech_proj!AQ972*(-PMT($J$110,tech_base!$F8,1))+1000*tech_proj!AQ1252)/((1-tech_proj!AQ412)*tech_proj!AQ692*$L$110))</f>
        <v>261.15412930183692</v>
      </c>
      <c r="AR632" s="69">
        <f>IF(tech_base!$T8&gt;AR$625,"",(1000*tech_proj!AR972*(-PMT($J$110,tech_base!$F8,1))+1000*tech_proj!AR1252)/((1-tech_proj!AR412)*tech_proj!AR692*$L$110))</f>
        <v>258.84518360536981</v>
      </c>
      <c r="AS632" s="69">
        <f>IF(tech_base!$T8&gt;AS$625,"",(1000*tech_proj!AS972*(-PMT($J$110,tech_base!$F8,1))+1000*tech_proj!AS1252)/((1-tech_proj!AS412)*tech_proj!AS692*$L$110))</f>
        <v>256.01062912977073</v>
      </c>
      <c r="AT632" s="69">
        <f>IF(tech_base!$T8&gt;AT$625,"",(1000*tech_proj!AT972*(-PMT($J$110,tech_base!$F8,1))+1000*tech_proj!AT1252)/((1-tech_proj!AT412)*tech_proj!AT692*$L$110))</f>
        <v>252.57175624755155</v>
      </c>
      <c r="AU632" s="69">
        <f>IF(tech_base!$T8&gt;AU$625,"",(1000*tech_proj!AU972*(-PMT($J$110,tech_base!$F8,1))+1000*tech_proj!AU1252)/((1-tech_proj!AU412)*tech_proj!AU692*$L$110))</f>
        <v>248.46042047884373</v>
      </c>
      <c r="AV632" s="69">
        <f>IF(tech_base!$T8&gt;AV$625,"",(1000*tech_proj!AV972*(-PMT($J$110,tech_base!$F8,1))+1000*tech_proj!AV1252)/((1-tech_proj!AV412)*tech_proj!AV692*$L$110))</f>
        <v>243.63270598070656</v>
      </c>
      <c r="AW632" s="69">
        <f>IF(tech_base!$T8&gt;AW$625,"",(1000*tech_proj!AW972*(-PMT($J$110,tech_base!$F8,1))+1000*tech_proj!AW1252)/((1-tech_proj!AW412)*tech_proj!AW692*$L$110))</f>
        <v>238.08607923725776</v>
      </c>
      <c r="AX632" s="235">
        <f>IF(tech_base!$T8&gt;AX$625,"",(1000*tech_proj!AX972*(-PMT($J$110,tech_base!$F8,1))+1000*tech_proj!AX1252)/((1-tech_proj!AX412)*tech_proj!AX692*$L$110))</f>
        <v>231.87761549927339</v>
      </c>
      <c r="AY632" s="133"/>
    </row>
    <row r="633" spans="1:51" s="174" customFormat="1" x14ac:dyDescent="0.25">
      <c r="A633" s="355" t="s">
        <v>12</v>
      </c>
      <c r="B633" s="358" t="s">
        <v>13</v>
      </c>
      <c r="C633" s="353" t="s">
        <v>6</v>
      </c>
      <c r="D633" s="3" t="s">
        <v>7</v>
      </c>
      <c r="E633" s="162" t="str">
        <f>A633&amp;"/"&amp;B633&amp;"/"&amp;C633&amp;"/"&amp;D633</f>
        <v>Coal fired power plants/Integrated gasification combined cycle/Electricity only/L</v>
      </c>
      <c r="F633" s="77" t="str">
        <f>A633</f>
        <v>Coal fired power plants</v>
      </c>
      <c r="G633" s="77" t="str">
        <f>B633</f>
        <v>Integrated gasification combined cycle</v>
      </c>
      <c r="H633" s="77" t="str">
        <f>C633</f>
        <v>Electricity only</v>
      </c>
      <c r="I633" s="163" t="str">
        <f t="shared" si="362"/>
        <v>L</v>
      </c>
      <c r="J633" s="70">
        <f>IF(tech_base!$T9&gt;J$625,"",(1000*tech_proj!J973*(-PMT($J$110,tech_base!$F9,1))+1000*tech_proj!J1253)/((1-tech_proj!J413)*tech_proj!J693*$L$110))</f>
        <v>79.63292269391259</v>
      </c>
      <c r="K633" s="70">
        <f>IF(tech_base!$T9&gt;K$625,"",(1000*tech_proj!K973*(-PMT($J$110,tech_base!$F9,1))+1000*tech_proj!K1253)/((1-tech_proj!K413)*tech_proj!K693*$L$110))</f>
        <v>79.632280026569958</v>
      </c>
      <c r="L633" s="70">
        <f>IF(tech_base!$T9&gt;L$625,"",(1000*tech_proj!L973*(-PMT($J$110,tech_base!$F9,1))+1000*tech_proj!L1253)/((1-tech_proj!L413)*tech_proj!L693*$L$110))</f>
        <v>79.631454865928973</v>
      </c>
      <c r="M633" s="70">
        <f>IF(tech_base!$T9&gt;M$625,"",(1000*tech_proj!M973*(-PMT($J$110,tech_base!$F9,1))+1000*tech_proj!M1253)/((1-tech_proj!M413)*tech_proj!M693*$L$110))</f>
        <v>79.630395405562453</v>
      </c>
      <c r="N633" s="70">
        <f>IF(tech_base!$T9&gt;N$625,"",(1000*tech_proj!N973*(-PMT($J$110,tech_base!$F9,1))+1000*tech_proj!N1253)/((1-tech_proj!N413)*tech_proj!N693*$L$110))</f>
        <v>79.629035141761833</v>
      </c>
      <c r="O633" s="70">
        <f>IF(tech_base!$T9&gt;O$625,"",(1000*tech_proj!O973*(-PMT($J$110,tech_base!$F9,1))+1000*tech_proj!O1253)/((1-tech_proj!O413)*tech_proj!O693*$L$110))</f>
        <v>79.627288710196879</v>
      </c>
      <c r="P633" s="70">
        <f>IF(tech_base!$T9&gt;P$625,"",(1000*tech_proj!P973*(-PMT($J$110,tech_base!$F9,1))+1000*tech_proj!P1253)/((1-tech_proj!P413)*tech_proj!P693*$L$110))</f>
        <v>79.625046547249312</v>
      </c>
      <c r="Q633" s="70">
        <f>IF(tech_base!$T9&gt;Q$625,"",(1000*tech_proj!Q973*(-PMT($J$110,tech_base!$F9,1))+1000*tech_proj!Q1253)/((1-tech_proj!Q413)*tech_proj!Q693*$L$110))</f>
        <v>79.622168046840088</v>
      </c>
      <c r="R633" s="70">
        <f>IF(tech_base!$T9&gt;R$625,"",(1000*tech_proj!R973*(-PMT($J$110,tech_base!$F9,1))+1000*tech_proj!R1253)/((1-tech_proj!R413)*tech_proj!R693*$L$110))</f>
        <v>79.618472793077188</v>
      </c>
      <c r="S633" s="70">
        <f>IF(tech_base!$T9&gt;S$625,"",(1000*tech_proj!S973*(-PMT($J$110,tech_base!$F9,1))+1000*tech_proj!S1253)/((1-tech_proj!S413)*tech_proj!S693*$L$110))</f>
        <v>79.613729334792794</v>
      </c>
      <c r="T633" s="70">
        <f>IF(tech_base!$T9&gt;T$625,"",(1000*tech_proj!T973*(-PMT($J$110,tech_base!$F9,1))+1000*tech_proj!T1253)/((1-tech_proj!T413)*tech_proj!T693*$L$110))</f>
        <v>79.607640824513041</v>
      </c>
      <c r="U633" s="70">
        <f>IF(tech_base!$T9&gt;U$625,"",(1000*tech_proj!U973*(-PMT($J$110,tech_base!$F9,1))+1000*tech_proj!U1253)/((1-tech_proj!U413)*tech_proj!U693*$L$110))</f>
        <v>79.599826665338242</v>
      </c>
      <c r="V633" s="70">
        <f>IF(tech_base!$T9&gt;V$625,"",(1000*tech_proj!V973*(-PMT($J$110,tech_base!$F9,1))+1000*tech_proj!V1253)/((1-tech_proj!V413)*tech_proj!V693*$L$110))</f>
        <v>79.589799087851077</v>
      </c>
      <c r="W633" s="70">
        <f>IF(tech_base!$T9&gt;W$625,"",(1000*tech_proj!W973*(-PMT($J$110,tech_base!$F9,1))+1000*tech_proj!W1253)/((1-tech_proj!W413)*tech_proj!W693*$L$110))</f>
        <v>79.576933308957607</v>
      </c>
      <c r="X633" s="70">
        <f>IF(tech_base!$T9&gt;X$625,"",(1000*tech_proj!X973*(-PMT($J$110,tech_base!$F9,1))+1000*tech_proj!X1253)/((1-tech_proj!X413)*tech_proj!X693*$L$110))</f>
        <v>79.560429600492043</v>
      </c>
      <c r="Y633" s="70">
        <f>IF(tech_base!$T9&gt;Y$625,"",(1000*tech_proj!Y973*(-PMT($J$110,tech_base!$F9,1))+1000*tech_proj!Y1253)/((1-tech_proj!Y413)*tech_proj!Y693*$L$110))</f>
        <v>79.539265216571906</v>
      </c>
      <c r="Z633" s="70">
        <f>IF(tech_base!$T9&gt;Z$625,"",(1000*tech_proj!Z973*(-PMT($J$110,tech_base!$F9,1))+1000*tech_proj!Z1253)/((1-tech_proj!Z413)*tech_proj!Z693*$L$110))</f>
        <v>79.512133702716795</v>
      </c>
      <c r="AA633" s="70">
        <f>IF(tech_base!$T9&gt;AA$625,"",(1000*tech_proj!AA973*(-PMT($J$110,tech_base!$F9,1))+1000*tech_proj!AA1253)/((1-tech_proj!AA413)*tech_proj!AA693*$L$110))</f>
        <v>79.477368660443943</v>
      </c>
      <c r="AB633" s="70">
        <f>IF(tech_base!$T9&gt;AB$625,"",(1000*tech_proj!AB973*(-PMT($J$110,tech_base!$F9,1))+1000*tech_proj!AB1253)/((1-tech_proj!AB413)*tech_proj!AB693*$L$110))</f>
        <v>79.432848620876911</v>
      </c>
      <c r="AC633" s="70">
        <f>IF(tech_base!$T9&gt;AC$625,"",(1000*tech_proj!AC973*(-PMT($J$110,tech_base!$F9,1))+1000*tech_proj!AC1253)/((1-tech_proj!AC413)*tech_proj!AC693*$L$110))</f>
        <v>79.375879390908281</v>
      </c>
      <c r="AD633" s="70">
        <f>IF(tech_base!$T9&gt;AD$625,"",(1000*tech_proj!AD973*(-PMT($J$110,tech_base!$F9,1))+1000*tech_proj!AD1253)/((1-tech_proj!AD413)*tech_proj!AD693*$L$110))</f>
        <v>79.303050256077228</v>
      </c>
      <c r="AE633" s="70">
        <f>IF(tech_base!$T9&gt;AE$625,"",(1000*tech_proj!AE973*(-PMT($J$110,tech_base!$F9,1))+1000*tech_proj!AE1253)/((1-tech_proj!AE413)*tech_proj!AE693*$L$110))</f>
        <v>79.210061060846684</v>
      </c>
      <c r="AF633" s="70">
        <f>IF(tech_base!$T9&gt;AF$625,"",(1000*tech_proj!AF973*(-PMT($J$110,tech_base!$F9,1))+1000*tech_proj!AF1253)/((1-tech_proj!AF413)*tech_proj!AF693*$L$110))</f>
        <v>79.091518932865483</v>
      </c>
      <c r="AG633" s="70">
        <f>IF(tech_base!$T9&gt;AG$625,"",(1000*tech_proj!AG973*(-PMT($J$110,tech_base!$F9,1))+1000*tech_proj!AG1253)/((1-tech_proj!AG413)*tech_proj!AG693*$L$110))</f>
        <v>78.940707034810643</v>
      </c>
      <c r="AH633" s="70">
        <f>IF(tech_base!$T9&gt;AH$625,"",(1000*tech_proj!AH973*(-PMT($J$110,tech_base!$F9,1))+1000*tech_proj!AH1253)/((1-tech_proj!AH413)*tech_proj!AH693*$L$110))</f>
        <v>78.749334329527713</v>
      </c>
      <c r="AI633" s="70">
        <f>IF(tech_base!$T9&gt;AI$625,"",(1000*tech_proj!AI973*(-PMT($J$110,tech_base!$F9,1))+1000*tech_proj!AI1253)/((1-tech_proj!AI413)*tech_proj!AI693*$L$110))</f>
        <v>78.507286445579922</v>
      </c>
      <c r="AJ633" s="70">
        <f>IF(tech_base!$T9&gt;AJ$625,"",(1000*tech_proj!AJ973*(-PMT($J$110,tech_base!$F9,1))+1000*tech_proj!AJ1253)/((1-tech_proj!AJ413)*tech_proj!AJ693*$L$110))</f>
        <v>78.202415163664412</v>
      </c>
      <c r="AK633" s="70">
        <f>IF(tech_base!$T9&gt;AK$625,"",(1000*tech_proj!AK973*(-PMT($J$110,tech_base!$F9,1))+1000*tech_proj!AK1253)/((1-tech_proj!AK413)*tech_proj!AK693*$L$110))</f>
        <v>77.820429563910636</v>
      </c>
      <c r="AL633" s="70">
        <f>IF(tech_base!$T9&gt;AL$625,"",(1000*tech_proj!AL973*(-PMT($J$110,tech_base!$F9,1))+1000*tech_proj!AL1253)/((1-tech_proj!AL413)*tech_proj!AL693*$L$110))</f>
        <v>77.344986127672627</v>
      </c>
      <c r="AM633" s="70">
        <f>IF(tech_base!$T9&gt;AM$625,"",(1000*tech_proj!AM973*(-PMT($J$110,tech_base!$F9,1))+1000*tech_proj!AM1253)/((1-tech_proj!AM413)*tech_proj!AM693*$L$110))</f>
        <v>76.758115524293984</v>
      </c>
      <c r="AN633" s="70">
        <f>IF(tech_base!$T9&gt;AN$625,"",(1000*tech_proj!AN973*(-PMT($J$110,tech_base!$F9,1))+1000*tech_proj!AN1253)/((1-tech_proj!AN413)*tech_proj!AN693*$L$110))</f>
        <v>76.0411611674688</v>
      </c>
      <c r="AO633" s="70">
        <f>IF(tech_base!$T9&gt;AO$625,"",(1000*tech_proj!AO973*(-PMT($J$110,tech_base!$F9,1))+1000*tech_proj!AO1253)/((1-tech_proj!AO413)*tech_proj!AO693*$L$110))</f>
        <v>75.176418283500425</v>
      </c>
      <c r="AP633" s="70">
        <f>IF(tech_base!$T9&gt;AP$625,"",(1000*tech_proj!AP973*(-PMT($J$110,tech_base!$F9,1))+1000*tech_proj!AP1253)/((1-tech_proj!AP413)*tech_proj!AP693*$L$110))</f>
        <v>74.149616700132256</v>
      </c>
      <c r="AQ633" s="70">
        <f>IF(tech_base!$T9&gt;AQ$625,"",(1000*tech_proj!AQ973*(-PMT($J$110,tech_base!$F9,1))+1000*tech_proj!AQ1253)/((1-tech_proj!AQ413)*tech_proj!AQ693*$L$110))</f>
        <v>72.953238800221371</v>
      </c>
      <c r="AR633" s="70">
        <f>IF(tech_base!$T9&gt;AR$625,"",(1000*tech_proj!AR973*(-PMT($J$110,tech_base!$F9,1))+1000*tech_proj!AR1253)/((1-tech_proj!AR413)*tech_proj!AR693*$L$110))</f>
        <v>71.590367322137041</v>
      </c>
      <c r="AS633" s="70">
        <f>IF(tech_base!$T9&gt;AS$625,"",(1000*tech_proj!AS973*(-PMT($J$110,tech_base!$F9,1))+1000*tech_proj!AS1253)/((1-tech_proj!AS413)*tech_proj!AS693*$L$110))</f>
        <v>70.07832972914774</v>
      </c>
      <c r="AT633" s="70">
        <f>IF(tech_base!$T9&gt;AT$625,"",(1000*tech_proj!AT973*(-PMT($J$110,tech_base!$F9,1))+1000*tech_proj!AT1253)/((1-tech_proj!AT413)*tech_proj!AT693*$L$110))</f>
        <v>68.450972278488081</v>
      </c>
      <c r="AU633" s="70">
        <f>IF(tech_base!$T9&gt;AU$625,"",(1000*tech_proj!AU973*(-PMT($J$110,tech_base!$F9,1))+1000*tech_proj!AU1253)/((1-tech_proj!AU413)*tech_proj!AU693*$L$110))</f>
        <v>66.75822101506381</v>
      </c>
      <c r="AV633" s="70">
        <f>IF(tech_base!$T9&gt;AV$625,"",(1000*tech_proj!AV973*(-PMT($J$110,tech_base!$F9,1))+1000*tech_proj!AV1253)/((1-tech_proj!AV413)*tech_proj!AV693*$L$110))</f>
        <v>65.061981380284436</v>
      </c>
      <c r="AW633" s="70">
        <f>IF(tech_base!$T9&gt;AW$625,"",(1000*tech_proj!AW973*(-PMT($J$110,tech_base!$F9,1))+1000*tech_proj!AW1253)/((1-tech_proj!AW413)*tech_proj!AW693*$L$110))</f>
        <v>63.428515026577827</v>
      </c>
      <c r="AX633" s="236">
        <f>IF(tech_base!$T9&gt;AX$625,"",(1000*tech_proj!AX973*(-PMT($J$110,tech_base!$F9,1))+1000*tech_proj!AX1253)/((1-tech_proj!AX413)*tech_proj!AX693*$L$110))</f>
        <v>61.918883142013968</v>
      </c>
      <c r="AY633" s="133"/>
    </row>
    <row r="634" spans="1:51" s="174" customFormat="1" x14ac:dyDescent="0.25">
      <c r="A634" s="356"/>
      <c r="B634" s="359"/>
      <c r="C634" s="360"/>
      <c r="D634" s="2" t="s">
        <v>8</v>
      </c>
      <c r="E634" s="160" t="str">
        <f>A633&amp;"/"&amp;B633&amp;"/"&amp;C633&amp;"/"&amp;D634</f>
        <v>Coal fired power plants/Integrated gasification combined cycle/Electricity only/M</v>
      </c>
      <c r="F634" s="76" t="str">
        <f>A633</f>
        <v>Coal fired power plants</v>
      </c>
      <c r="G634" s="76" t="str">
        <f>B633</f>
        <v>Integrated gasification combined cycle</v>
      </c>
      <c r="H634" s="76" t="str">
        <f>C633</f>
        <v>Electricity only</v>
      </c>
      <c r="I634" s="161" t="str">
        <f t="shared" si="362"/>
        <v>M</v>
      </c>
      <c r="J634" s="69">
        <f>IF(tech_base!$T10&gt;J$625,"",(1000*tech_proj!J974*(-PMT($J$110,tech_base!$F10,1))+1000*tech_proj!J1254)/((1-tech_proj!J414)*tech_proj!J694*$L$110))</f>
        <v>85.879475327853442</v>
      </c>
      <c r="K634" s="69">
        <f>IF(tech_base!$T10&gt;K$625,"",(1000*tech_proj!K974*(-PMT($J$110,tech_base!$F10,1))+1000*tech_proj!K1254)/((1-tech_proj!K414)*tech_proj!K694*$L$110))</f>
        <v>85.875849384514382</v>
      </c>
      <c r="L634" s="69">
        <f>IF(tech_base!$T10&gt;L$625,"",(1000*tech_proj!L974*(-PMT($J$110,tech_base!$F10,1))+1000*tech_proj!L1254)/((1-tech_proj!L414)*tech_proj!L694*$L$110))</f>
        <v>85.8714215966571</v>
      </c>
      <c r="M634" s="69">
        <f>IF(tech_base!$T10&gt;M$625,"",(1000*tech_proj!M974*(-PMT($J$110,tech_base!$F10,1))+1000*tech_proj!M1254)/((1-tech_proj!M414)*tech_proj!M694*$L$110))</f>
        <v>85.866014900136392</v>
      </c>
      <c r="N634" s="69">
        <f>IF(tech_base!$T10&gt;N$625,"",(1000*tech_proj!N974*(-PMT($J$110,tech_base!$F10,1))+1000*tech_proj!N1254)/((1-tech_proj!N414)*tech_proj!N694*$L$110))</f>
        <v>85.85941325734295</v>
      </c>
      <c r="O634" s="69">
        <f>IF(tech_base!$T10&gt;O$625,"",(1000*tech_proj!O974*(-PMT($J$110,tech_base!$F10,1))+1000*tech_proj!O1254)/((1-tech_proj!O414)*tech_proj!O694*$L$110))</f>
        <v>85.85135314069818</v>
      </c>
      <c r="P634" s="69">
        <f>IF(tech_base!$T10&gt;P$625,"",(1000*tech_proj!P974*(-PMT($J$110,tech_base!$F10,1))+1000*tech_proj!P1254)/((1-tech_proj!P414)*tech_proj!P694*$L$110))</f>
        <v>85.84151318555908</v>
      </c>
      <c r="Q634" s="69">
        <f>IF(tech_base!$T10&gt;Q$625,"",(1000*tech_proj!Q974*(-PMT($J$110,tech_base!$F10,1))+1000*tech_proj!Q1254)/((1-tech_proj!Q414)*tech_proj!Q694*$L$110))</f>
        <v>85.829501634069686</v>
      </c>
      <c r="R634" s="69">
        <f>IF(tech_base!$T10&gt;R$625,"",(1000*tech_proj!R974*(-PMT($J$110,tech_base!$F10,1))+1000*tech_proj!R1254)/((1-tech_proj!R414)*tech_proj!R694*$L$110))</f>
        <v>85.814841120727394</v>
      </c>
      <c r="S634" s="69">
        <f>IF(tech_base!$T10&gt;S$625,"",(1000*tech_proj!S974*(-PMT($J$110,tech_base!$F10,1))+1000*tech_proj!S1254)/((1-tech_proj!S414)*tech_proj!S694*$L$110))</f>
        <v>85.796950270262244</v>
      </c>
      <c r="T634" s="69">
        <f>IF(tech_base!$T10&gt;T$625,"",(1000*tech_proj!T974*(-PMT($J$110,tech_base!$F10,1))+1000*tech_proj!T1254)/((1-tech_proj!T414)*tech_proj!T694*$L$110))</f>
        <v>85.775121489738794</v>
      </c>
      <c r="U634" s="69">
        <f>IF(tech_base!$T10&gt;U$625,"",(1000*tech_proj!U974*(-PMT($J$110,tech_base!$F10,1))+1000*tech_proj!U1254)/((1-tech_proj!U414)*tech_proj!U694*$L$110))</f>
        <v>85.748494242035633</v>
      </c>
      <c r="V634" s="69">
        <f>IF(tech_base!$T10&gt;V$625,"",(1000*tech_proj!V974*(-PMT($J$110,tech_base!$F10,1))+1000*tech_proj!V1254)/((1-tech_proj!V414)*tech_proj!V694*$L$110))</f>
        <v>85.71602299198608</v>
      </c>
      <c r="W634" s="69">
        <f>IF(tech_base!$T10&gt;W$625,"",(1000*tech_proj!W974*(-PMT($J$110,tech_base!$F10,1))+1000*tech_proj!W1254)/((1-tech_proj!W414)*tech_proj!W694*$L$110))</f>
        <v>85.676438928336623</v>
      </c>
      <c r="X634" s="69">
        <f>IF(tech_base!$T10&gt;X$625,"",(1000*tech_proj!X974*(-PMT($J$110,tech_base!$F10,1))+1000*tech_proj!X1254)/((1-tech_proj!X414)*tech_proj!X694*$L$110))</f>
        <v>85.628204499042141</v>
      </c>
      <c r="Y634" s="69">
        <f>IF(tech_base!$T10&gt;Y$625,"",(1000*tech_proj!Y974*(-PMT($J$110,tech_base!$F10,1))+1000*tech_proj!Y1254)/((1-tech_proj!Y414)*tech_proj!Y694*$L$110))</f>
        <v>85.56945977775176</v>
      </c>
      <c r="Z634" s="69">
        <f>IF(tech_base!$T10&gt;Z$625,"",(1000*tech_proj!Z974*(-PMT($J$110,tech_base!$F10,1))+1000*tech_proj!Z1254)/((1-tech_proj!Z414)*tech_proj!Z694*$L$110))</f>
        <v>85.49795974172261</v>
      </c>
      <c r="AA634" s="69">
        <f>IF(tech_base!$T10&gt;AA$625,"",(1000*tech_proj!AA974*(-PMT($J$110,tech_base!$F10,1))+1000*tech_proj!AA1254)/((1-tech_proj!AA414)*tech_proj!AA694*$L$110))</f>
        <v>85.41100173965026</v>
      </c>
      <c r="AB634" s="69">
        <f>IF(tech_base!$T10&gt;AB$625,"",(1000*tech_proj!AB974*(-PMT($J$110,tech_base!$F10,1))+1000*tech_proj!AB1254)/((1-tech_proj!AB414)*tech_proj!AB694*$L$110))</f>
        <v>85.305342840056412</v>
      </c>
      <c r="AC634" s="69">
        <f>IF(tech_base!$T10&gt;AC$625,"",(1000*tech_proj!AC974*(-PMT($J$110,tech_base!$F10,1))+1000*tech_proj!AC1254)/((1-tech_proj!AC414)*tech_proj!AC694*$L$110))</f>
        <v>85.177107486746209</v>
      </c>
      <c r="AD634" s="69">
        <f>IF(tech_base!$T10&gt;AD$625,"",(1000*tech_proj!AD974*(-PMT($J$110,tech_base!$F10,1))+1000*tech_proj!AD1254)/((1-tech_proj!AD414)*tech_proj!AD694*$L$110))</f>
        <v>85.021687096731455</v>
      </c>
      <c r="AE634" s="69">
        <f>IF(tech_base!$T10&gt;AE$625,"",(1000*tech_proj!AE974*(-PMT($J$110,tech_base!$F10,1))+1000*tech_proj!AE1254)/((1-tech_proj!AE414)*tech_proj!AE694*$L$110))</f>
        <v>84.833635112163449</v>
      </c>
      <c r="AF634" s="69">
        <f>IF(tech_base!$T10&gt;AF$625,"",(1000*tech_proj!AF974*(-PMT($J$110,tech_base!$F10,1))+1000*tech_proj!AF1254)/((1-tech_proj!AF414)*tech_proj!AF694*$L$110))</f>
        <v>84.606563799008015</v>
      </c>
      <c r="AG634" s="69">
        <f>IF(tech_base!$T10&gt;AG$625,"",(1000*tech_proj!AG974*(-PMT($J$110,tech_base!$F10,1))+1000*tech_proj!AG1254)/((1-tech_proj!AG414)*tech_proj!AG694*$L$110))</f>
        <v>84.333053035858285</v>
      </c>
      <c r="AH634" s="69">
        <f>IF(tech_base!$T10&gt;AH$625,"",(1000*tech_proj!AH974*(-PMT($J$110,tech_base!$F10,1))+1000*tech_proj!AH1254)/((1-tech_proj!AH414)*tech_proj!AH694*$L$110))</f>
        <v>84.004586701160932</v>
      </c>
      <c r="AI634" s="69">
        <f>IF(tech_base!$T10&gt;AI$625,"",(1000*tech_proj!AI974*(-PMT($J$110,tech_base!$F10,1))+1000*tech_proj!AI1254)/((1-tech_proj!AI414)*tech_proj!AI694*$L$110))</f>
        <v>83.611539174596786</v>
      </c>
      <c r="AJ634" s="69">
        <f>IF(tech_base!$T10&gt;AJ$625,"",(1000*tech_proj!AJ974*(-PMT($J$110,tech_base!$F10,1))+1000*tech_proj!AJ1254)/((1-tech_proj!AJ414)*tech_proj!AJ694*$L$110))</f>
        <v>83.143242756606512</v>
      </c>
      <c r="AK634" s="69">
        <f>IF(tech_base!$T10&gt;AK$625,"",(1000*tech_proj!AK974*(-PMT($J$110,tech_base!$F10,1))+1000*tech_proj!AK1254)/((1-tech_proj!AK414)*tech_proj!AK694*$L$110))</f>
        <v>82.588175750029166</v>
      </c>
      <c r="AL634" s="69">
        <f>IF(tech_base!$T10&gt;AL$625,"",(1000*tech_proj!AL974*(-PMT($J$110,tech_base!$F10,1))+1000*tech_proj!AL1254)/((1-tech_proj!AL414)*tech_proj!AL694*$L$110))</f>
        <v>81.934318855818844</v>
      </c>
      <c r="AM634" s="69">
        <f>IF(tech_base!$T10&gt;AM$625,"",(1000*tech_proj!AM974*(-PMT($J$110,tech_base!$F10,1))+1000*tech_proj!AM1254)/((1-tech_proj!AM414)*tech_proj!AM694*$L$110))</f>
        <v>81.169731324568843</v>
      </c>
      <c r="AN634" s="69">
        <f>IF(tech_base!$T10&gt;AN$625,"",(1000*tech_proj!AN974*(-PMT($J$110,tech_base!$F10,1))+1000*tech_proj!AN1254)/((1-tech_proj!AN414)*tech_proj!AN694*$L$110))</f>
        <v>80.283393148259378</v>
      </c>
      <c r="AO634" s="69">
        <f>IF(tech_base!$T10&gt;AO$625,"",(1000*tech_proj!AO974*(-PMT($J$110,tech_base!$F10,1))+1000*tech_proj!AO1254)/((1-tech_proj!AO414)*tech_proj!AO694*$L$110))</f>
        <v>79.266339027801109</v>
      </c>
      <c r="AP634" s="69">
        <f>IF(tech_base!$T10&gt;AP$625,"",(1000*tech_proj!AP974*(-PMT($J$110,tech_base!$F10,1))+1000*tech_proj!AP1254)/((1-tech_proj!AP414)*tech_proj!AP694*$L$110))</f>
        <v>78.113067024838799</v>
      </c>
      <c r="AQ634" s="69">
        <f>IF(tech_base!$T10&gt;AQ$625,"",(1000*tech_proj!AQ974*(-PMT($J$110,tech_base!$F10,1))+1000*tech_proj!AQ1254)/((1-tech_proj!AQ414)*tech_proj!AQ694*$L$110))</f>
        <v>76.823135257155187</v>
      </c>
      <c r="AR634" s="69">
        <f>IF(tech_base!$T10&gt;AR$625,"",(1000*tech_proj!AR974*(-PMT($J$110,tech_base!$F10,1))+1000*tech_proj!AR1254)/((1-tech_proj!AR414)*tech_proj!AR694*$L$110))</f>
        <v>75.402766607542404</v>
      </c>
      <c r="AS634" s="69">
        <f>IF(tech_base!$T10&gt;AS$625,"",(1000*tech_proj!AS974*(-PMT($J$110,tech_base!$F10,1))+1000*tech_proj!AS1254)/((1-tech_proj!AS414)*tech_proj!AS694*$L$110))</f>
        <v>73.86618029830035</v>
      </c>
      <c r="AT634" s="69">
        <f>IF(tech_base!$T10&gt;AT$625,"",(1000*tech_proj!AT974*(-PMT($J$110,tech_base!$F10,1))+1000*tech_proj!AT1254)/((1-tech_proj!AT414)*tech_proj!AT694*$L$110))</f>
        <v>72.236293412246198</v>
      </c>
      <c r="AU634" s="69">
        <f>IF(tech_base!$T10&gt;AU$625,"",(1000*tech_proj!AU974*(-PMT($J$110,tech_base!$F10,1))+1000*tech_proj!AU1254)/((1-tech_proj!AU414)*tech_proj!AU694*$L$110))</f>
        <v>70.54443124115825</v>
      </c>
      <c r="AV634" s="69">
        <f>IF(tech_base!$T10&gt;AV$625,"",(1000*tech_proj!AV974*(-PMT($J$110,tech_base!$F10,1))+1000*tech_proj!AV1254)/((1-tech_proj!AV414)*tech_proj!AV694*$L$110))</f>
        <v>68.828795832193038</v>
      </c>
      <c r="AW634" s="69">
        <f>IF(tech_base!$T10&gt;AW$625,"",(1000*tech_proj!AW974*(-PMT($J$110,tech_base!$F10,1))+1000*tech_proj!AW1254)/((1-tech_proj!AW414)*tech_proj!AW694*$L$110))</f>
        <v>67.131679850480836</v>
      </c>
      <c r="AX634" s="235">
        <f>IF(tech_base!$T10&gt;AX$625,"",(1000*tech_proj!AX974*(-PMT($J$110,tech_base!$F10,1))+1000*tech_proj!AX1254)/((1-tech_proj!AX414)*tech_proj!AX694*$L$110))</f>
        <v>65.495734021382674</v>
      </c>
      <c r="AY634" s="133"/>
    </row>
    <row r="635" spans="1:51" s="174" customFormat="1" x14ac:dyDescent="0.25">
      <c r="A635" s="356"/>
      <c r="B635" s="359"/>
      <c r="C635" s="361" t="s">
        <v>14</v>
      </c>
      <c r="D635" s="58" t="s">
        <v>7</v>
      </c>
      <c r="E635" s="164" t="str">
        <f>A633&amp;"/"&amp;B633&amp;"/"&amp;C635&amp;"/"&amp;D635</f>
        <v>Coal fired power plants/Integrated gasification combined cycle/CHP/L</v>
      </c>
      <c r="F635" s="78" t="str">
        <f>A633</f>
        <v>Coal fired power plants</v>
      </c>
      <c r="G635" s="78" t="str">
        <f>B633</f>
        <v>Integrated gasification combined cycle</v>
      </c>
      <c r="H635" s="78" t="str">
        <f>C635</f>
        <v>CHP</v>
      </c>
      <c r="I635" s="165" t="str">
        <f t="shared" si="362"/>
        <v>L</v>
      </c>
      <c r="J635" s="71">
        <f>IF(tech_base!$T11&gt;J$625,"",(1000*tech_proj!J975*(-PMT($J$110,tech_base!$F11,1))+1000*tech_proj!J1255)/((1-tech_proj!J415)*tech_proj!J695*$L$110))</f>
        <v>92.162553321779399</v>
      </c>
      <c r="K635" s="71">
        <f>IF(tech_base!$T11&gt;K$625,"",(1000*tech_proj!K975*(-PMT($J$110,tech_base!$F11,1))+1000*tech_proj!K1255)/((1-tech_proj!K415)*tech_proj!K695*$L$110))</f>
        <v>92.161859121393235</v>
      </c>
      <c r="L635" s="71">
        <f>IF(tech_base!$T11&gt;L$625,"",(1000*tech_proj!L975*(-PMT($J$110,tech_base!$F11,1))+1000*tech_proj!L1255)/((1-tech_proj!L415)*tech_proj!L695*$L$110))</f>
        <v>92.160967794267037</v>
      </c>
      <c r="M635" s="71">
        <f>IF(tech_base!$T11&gt;M$625,"",(1000*tech_proj!M975*(-PMT($J$110,tech_base!$F11,1))+1000*tech_proj!M1255)/((1-tech_proj!M415)*tech_proj!M695*$L$110))</f>
        <v>92.159823379813787</v>
      </c>
      <c r="N635" s="71">
        <f>IF(tech_base!$T11&gt;N$625,"",(1000*tech_proj!N975*(-PMT($J$110,tech_base!$F11,1))+1000*tech_proj!N1255)/((1-tech_proj!N415)*tech_proj!N695*$L$110))</f>
        <v>92.158354041646106</v>
      </c>
      <c r="O635" s="71">
        <f>IF(tech_base!$T11&gt;O$625,"",(1000*tech_proj!O975*(-PMT($J$110,tech_base!$F11,1))+1000*tech_proj!O1255)/((1-tech_proj!O415)*tech_proj!O695*$L$110))</f>
        <v>92.156467570393616</v>
      </c>
      <c r="P635" s="71">
        <f>IF(tech_base!$T11&gt;P$625,"",(1000*tech_proj!P975*(-PMT($J$110,tech_base!$F11,1))+1000*tech_proj!P1255)/((1-tech_proj!P415)*tech_proj!P695*$L$110))</f>
        <v>92.154045616949318</v>
      </c>
      <c r="Q635" s="71">
        <f>IF(tech_base!$T11&gt;Q$625,"",(1000*tech_proj!Q975*(-PMT($J$110,tech_base!$F11,1))+1000*tech_proj!Q1255)/((1-tech_proj!Q415)*tech_proj!Q695*$L$110))</f>
        <v>92.150936300568858</v>
      </c>
      <c r="R635" s="71">
        <f>IF(tech_base!$T11&gt;R$625,"",(1000*tech_proj!R975*(-PMT($J$110,tech_base!$F11,1))+1000*tech_proj!R1255)/((1-tech_proj!R415)*tech_proj!R695*$L$110))</f>
        <v>92.146944738497865</v>
      </c>
      <c r="S635" s="71">
        <f>IF(tech_base!$T11&gt;S$625,"",(1000*tech_proj!S975*(-PMT($J$110,tech_base!$F11,1))+1000*tech_proj!S1255)/((1-tech_proj!S415)*tech_proj!S695*$L$110))</f>
        <v>92.141820920381846</v>
      </c>
      <c r="T635" s="71">
        <f>IF(tech_base!$T11&gt;T$625,"",(1000*tech_proj!T975*(-PMT($J$110,tech_base!$F11,1))+1000*tech_proj!T1255)/((1-tech_proj!T415)*tech_proj!T695*$L$110))</f>
        <v>92.13524419568013</v>
      </c>
      <c r="U635" s="71">
        <f>IF(tech_base!$T11&gt;U$625,"",(1000*tech_proj!U975*(-PMT($J$110,tech_base!$F11,1))+1000*tech_proj!U1255)/((1-tech_proj!U415)*tech_proj!U695*$L$110))</f>
        <v>92.126803448878846</v>
      </c>
      <c r="V635" s="71">
        <f>IF(tech_base!$T11&gt;V$625,"",(1000*tech_proj!V975*(-PMT($J$110,tech_base!$F11,1))+1000*tech_proj!V1255)/((1-tech_proj!V415)*tech_proj!V695*$L$110))</f>
        <v>92.115971798191183</v>
      </c>
      <c r="W635" s="71">
        <f>IF(tech_base!$T11&gt;W$625,"",(1000*tech_proj!W975*(-PMT($J$110,tech_base!$F11,1))+1000*tech_proj!W1255)/((1-tech_proj!W415)*tech_proj!W695*$L$110))</f>
        <v>92.102074361549327</v>
      </c>
      <c r="X635" s="71">
        <f>IF(tech_base!$T11&gt;X$625,"",(1000*tech_proj!X975*(-PMT($J$110,tech_base!$F11,1))+1000*tech_proj!X1255)/((1-tech_proj!X415)*tech_proj!X695*$L$110))</f>
        <v>92.084247283635534</v>
      </c>
      <c r="Y635" s="71">
        <f>IF(tech_base!$T11&gt;Y$625,"",(1000*tech_proj!Y975*(-PMT($J$110,tech_base!$F11,1))+1000*tech_proj!Y1255)/((1-tech_proj!Y415)*tech_proj!Y695*$L$110))</f>
        <v>92.061385808475038</v>
      </c>
      <c r="Z635" s="71">
        <f>IF(tech_base!$T11&gt;Z$625,"",(1000*tech_proj!Z975*(-PMT($J$110,tech_base!$F11,1))+1000*tech_proj!Z1255)/((1-tech_proj!Z415)*tech_proj!Z695*$L$110))</f>
        <v>92.032078721984533</v>
      </c>
      <c r="AA635" s="71">
        <f>IF(tech_base!$T11&gt;AA$625,"",(1000*tech_proj!AA975*(-PMT($J$110,tech_base!$F11,1))+1000*tech_proj!AA1255)/((1-tech_proj!AA415)*tech_proj!AA695*$L$110))</f>
        <v>91.994526003541452</v>
      </c>
      <c r="AB635" s="71">
        <f>IF(tech_base!$T11&gt;AB$625,"",(1000*tech_proj!AB975*(-PMT($J$110,tech_base!$F11,1))+1000*tech_proj!AB1255)/((1-tech_proj!AB415)*tech_proj!AB695*$L$110))</f>
        <v>91.946436071769881</v>
      </c>
      <c r="AC635" s="71">
        <f>IF(tech_base!$T11&gt;AC$625,"",(1000*tech_proj!AC975*(-PMT($J$110,tech_base!$F11,1))+1000*tech_proj!AC1255)/((1-tech_proj!AC415)*tech_proj!AC695*$L$110))</f>
        <v>91.884898696491007</v>
      </c>
      <c r="AD635" s="71">
        <f>IF(tech_base!$T11&gt;AD$625,"",(1000*tech_proj!AD975*(-PMT($J$110,tech_base!$F11,1))+1000*tech_proj!AD1255)/((1-tech_proj!AD415)*tech_proj!AD695*$L$110))</f>
        <v>91.806229671057338</v>
      </c>
      <c r="AE635" s="71">
        <f>IF(tech_base!$T11&gt;AE$625,"",(1000*tech_proj!AE975*(-PMT($J$110,tech_base!$F11,1))+1000*tech_proj!AE1255)/((1-tech_proj!AE415)*tech_proj!AE695*$L$110))</f>
        <v>91.705784026857188</v>
      </c>
      <c r="AF635" s="71">
        <f>IF(tech_base!$T11&gt;AF$625,"",(1000*tech_proj!AF975*(-PMT($J$110,tech_base!$F11,1))+1000*tech_proj!AF1255)/((1-tech_proj!AF415)*tech_proj!AF695*$L$110))</f>
        <v>91.577736457670127</v>
      </c>
      <c r="AG635" s="71">
        <f>IF(tech_base!$T11&gt;AG$625,"",(1000*tech_proj!AG975*(-PMT($J$110,tech_base!$F11,1))+1000*tech_proj!AG1255)/((1-tech_proj!AG415)*tech_proj!AG695*$L$110))</f>
        <v>91.414831528601638</v>
      </c>
      <c r="AH635" s="71">
        <f>IF(tech_base!$T11&gt;AH$625,"",(1000*tech_proj!AH975*(-PMT($J$110,tech_base!$F11,1))+1000*tech_proj!AH1255)/((1-tech_proj!AH415)*tech_proj!AH695*$L$110))</f>
        <v>91.20811337584405</v>
      </c>
      <c r="AI635" s="71">
        <f>IF(tech_base!$T11&gt;AI$625,"",(1000*tech_proj!AI975*(-PMT($J$110,tech_base!$F11,1))+1000*tech_proj!AI1255)/((1-tech_proj!AI415)*tech_proj!AI695*$L$110))</f>
        <v>90.946656595084264</v>
      </c>
      <c r="AJ635" s="71">
        <f>IF(tech_base!$T11&gt;AJ$625,"",(1000*tech_proj!AJ975*(-PMT($J$110,tech_base!$F11,1))+1000*tech_proj!AJ1255)/((1-tech_proj!AJ415)*tech_proj!AJ695*$L$110))</f>
        <v>90.617338847638322</v>
      </c>
      <c r="AK635" s="71">
        <f>IF(tech_base!$T11&gt;AK$625,"",(1000*tech_proj!AK975*(-PMT($J$110,tech_base!$F11,1))+1000*tech_proj!AK1255)/((1-tech_proj!AK415)*tech_proj!AK695*$L$110))</f>
        <v>90.204723279266886</v>
      </c>
      <c r="AL635" s="71">
        <f>IF(tech_base!$T11&gt;AL$625,"",(1000*tech_proj!AL975*(-PMT($J$110,tech_base!$F11,1))+1000*tech_proj!AL1255)/((1-tech_proj!AL415)*tech_proj!AL695*$L$110))</f>
        <v>89.691155846886502</v>
      </c>
      <c r="AM635" s="71">
        <f>IF(tech_base!$T11&gt;AM$625,"",(1000*tech_proj!AM975*(-PMT($J$110,tech_base!$F11,1))+1000*tech_proj!AM1255)/((1-tech_proj!AM415)*tech_proj!AM695*$L$110))</f>
        <v>89.057226327737951</v>
      </c>
      <c r="AN635" s="71">
        <f>IF(tech_base!$T11&gt;AN$625,"",(1000*tech_proj!AN975*(-PMT($J$110,tech_base!$F11,1))+1000*tech_proj!AN1255)/((1-tech_proj!AN415)*tech_proj!AN695*$L$110))</f>
        <v>88.282782135002677</v>
      </c>
      <c r="AO635" s="71">
        <f>IF(tech_base!$T11&gt;AO$625,"",(1000*tech_proj!AO975*(-PMT($J$110,tech_base!$F11,1))+1000*tech_proj!AO1255)/((1-tech_proj!AO415)*tech_proj!AO695*$L$110))</f>
        <v>87.348698816694963</v>
      </c>
      <c r="AP635" s="71">
        <f>IF(tech_base!$T11&gt;AP$625,"",(1000*tech_proj!AP975*(-PMT($J$110,tech_base!$F11,1))+1000*tech_proj!AP1255)/((1-tech_proj!AP415)*tech_proj!AP695*$L$110))</f>
        <v>86.239561929861381</v>
      </c>
      <c r="AQ635" s="71">
        <f>IF(tech_base!$T11&gt;AQ$625,"",(1000*tech_proj!AQ975*(-PMT($J$110,tech_base!$F11,1))+1000*tech_proj!AQ1255)/((1-tech_proj!AQ415)*tech_proj!AQ695*$L$110))</f>
        <v>84.94725104830728</v>
      </c>
      <c r="AR635" s="71">
        <f>IF(tech_base!$T11&gt;AR$625,"",(1000*tech_proj!AR975*(-PMT($J$110,tech_base!$F11,1))+1000*tech_proj!AR1255)/((1-tech_proj!AR415)*tech_proj!AR695*$L$110))</f>
        <v>83.475096103436343</v>
      </c>
      <c r="AS635" s="71">
        <f>IF(tech_base!$T11&gt;AS$625,"",(1000*tech_proj!AS975*(-PMT($J$110,tech_base!$F11,1))+1000*tech_proj!AS1255)/((1-tech_proj!AS415)*tech_proj!AS695*$L$110))</f>
        <v>81.841813981721714</v>
      </c>
      <c r="AT635" s="71">
        <f>IF(tech_base!$T11&gt;AT$625,"",(1000*tech_proj!AT975*(-PMT($J$110,tech_base!$F11,1))+1000*tech_proj!AT1255)/((1-tech_proj!AT415)*tech_proj!AT695*$L$110))</f>
        <v>80.083964942699637</v>
      </c>
      <c r="AU635" s="71">
        <f>IF(tech_base!$T11&gt;AU$625,"",(1000*tech_proj!AU975*(-PMT($J$110,tech_base!$F11,1))+1000*tech_proj!AU1255)/((1-tech_proj!AU415)*tech_proj!AU695*$L$110))</f>
        <v>78.25547841043371</v>
      </c>
      <c r="AV635" s="71">
        <f>IF(tech_base!$T11&gt;AV$625,"",(1000*tech_proj!AV975*(-PMT($J$110,tech_base!$F11,1))+1000*tech_proj!AV1255)/((1-tech_proj!AV415)*tech_proj!AV695*$L$110))</f>
        <v>76.423223787615925</v>
      </c>
      <c r="AW635" s="71">
        <f>IF(tech_base!$T11&gt;AW$625,"",(1000*tech_proj!AW975*(-PMT($J$110,tech_base!$F11,1))+1000*tech_proj!AW1255)/((1-tech_proj!AW415)*tech_proj!AW695*$L$110))</f>
        <v>74.658775995906652</v>
      </c>
      <c r="AX635" s="237">
        <f>IF(tech_base!$T11&gt;AX$625,"",(1000*tech_proj!AX975*(-PMT($J$110,tech_base!$F11,1))+1000*tech_proj!AX1255)/((1-tech_proj!AX415)*tech_proj!AX695*$L$110))</f>
        <v>73.0280924872024</v>
      </c>
      <c r="AY635" s="133"/>
    </row>
    <row r="636" spans="1:51" s="174" customFormat="1" x14ac:dyDescent="0.25">
      <c r="A636" s="356"/>
      <c r="B636" s="359"/>
      <c r="C636" s="379"/>
      <c r="D636" s="59" t="s">
        <v>8</v>
      </c>
      <c r="E636" s="166" t="str">
        <f>A633&amp;"/"&amp;B633&amp;"/"&amp;C635&amp;"/"&amp;D636</f>
        <v>Coal fired power plants/Integrated gasification combined cycle/CHP/M</v>
      </c>
      <c r="F636" s="79" t="str">
        <f>A633</f>
        <v>Coal fired power plants</v>
      </c>
      <c r="G636" s="79" t="str">
        <f>B633</f>
        <v>Integrated gasification combined cycle</v>
      </c>
      <c r="H636" s="79" t="str">
        <f>C635</f>
        <v>CHP</v>
      </c>
      <c r="I636" s="167" t="str">
        <f t="shared" si="362"/>
        <v>M</v>
      </c>
      <c r="J636" s="72">
        <f>IF(tech_base!$T12&gt;J$625,"",(1000*tech_proj!J976*(-PMT($J$110,tech_base!$F12,1))+1000*tech_proj!J1256)/((1-tech_proj!J416)*tech_proj!J696*$L$110))</f>
        <v>98.483418159486646</v>
      </c>
      <c r="K636" s="72">
        <f>IF(tech_base!$T12&gt;K$625,"",(1000*tech_proj!K976*(-PMT($J$110,tech_base!$F12,1))+1000*tech_proj!K1256)/((1-tech_proj!K416)*tech_proj!K696*$L$110))</f>
        <v>98.47949766687276</v>
      </c>
      <c r="L636" s="72">
        <f>IF(tech_base!$T12&gt;L$625,"",(1000*tech_proj!L976*(-PMT($J$110,tech_base!$F12,1))+1000*tech_proj!L1256)/((1-tech_proj!L416)*tech_proj!L696*$L$110))</f>
        <v>98.474710192837165</v>
      </c>
      <c r="M636" s="72">
        <f>IF(tech_base!$T12&gt;M$625,"",(1000*tech_proj!M976*(-PMT($J$110,tech_base!$F12,1))+1000*tech_proj!M1256)/((1-tech_proj!M416)*tech_proj!M696*$L$110))</f>
        <v>98.468864289635491</v>
      </c>
      <c r="N636" s="72">
        <f>IF(tech_base!$T12&gt;N$625,"",(1000*tech_proj!N976*(-PMT($J$110,tech_base!$F12,1))+1000*tech_proj!N1256)/((1-tech_proj!N416)*tech_proj!N696*$L$110))</f>
        <v>98.461726370095377</v>
      </c>
      <c r="O636" s="72">
        <f>IF(tech_base!$T12&gt;O$625,"",(1000*tech_proj!O976*(-PMT($J$110,tech_base!$F12,1))+1000*tech_proj!O1256)/((1-tech_proj!O416)*tech_proj!O696*$L$110))</f>
        <v>98.453011499283036</v>
      </c>
      <c r="P636" s="72">
        <f>IF(tech_base!$T12&gt;P$625,"",(1000*tech_proj!P976*(-PMT($J$110,tech_base!$F12,1))+1000*tech_proj!P1256)/((1-tech_proj!P416)*tech_proj!P696*$L$110))</f>
        <v>98.442372206873728</v>
      </c>
      <c r="Q636" s="72">
        <f>IF(tech_base!$T12&gt;Q$625,"",(1000*tech_proj!Q976*(-PMT($J$110,tech_base!$F12,1))+1000*tech_proj!Q1256)/((1-tech_proj!Q416)*tech_proj!Q696*$L$110))</f>
        <v>98.429384911019383</v>
      </c>
      <c r="R636" s="72">
        <f>IF(tech_base!$T12&gt;R$625,"",(1000*tech_proj!R976*(-PMT($J$110,tech_base!$F12,1))+1000*tech_proj!R1256)/((1-tech_proj!R416)*tech_proj!R696*$L$110))</f>
        <v>98.413533467987989</v>
      </c>
      <c r="S636" s="72">
        <f>IF(tech_base!$T12&gt;S$625,"",(1000*tech_proj!S976*(-PMT($J$110,tech_base!$F12,1))+1000*tech_proj!S1256)/((1-tech_proj!S416)*tech_proj!S696*$L$110))</f>
        <v>98.394189275168074</v>
      </c>
      <c r="T636" s="72">
        <f>IF(tech_base!$T12&gt;T$625,"",(1000*tech_proj!T976*(-PMT($J$110,tech_base!$F12,1))+1000*tech_proj!T1256)/((1-tech_proj!T416)*tech_proj!T696*$L$110))</f>
        <v>98.370587259138134</v>
      </c>
      <c r="U636" s="72">
        <f>IF(tech_base!$T12&gt;U$625,"",(1000*tech_proj!U976*(-PMT($J$110,tech_base!$F12,1))+1000*tech_proj!U1256)/((1-tech_proj!U416)*tech_proj!U696*$L$110))</f>
        <v>98.341796978048038</v>
      </c>
      <c r="V636" s="72">
        <f>IF(tech_base!$T12&gt;V$625,"",(1000*tech_proj!V976*(-PMT($J$110,tech_base!$F12,1))+1000*tech_proj!V1256)/((1-tech_proj!V416)*tech_proj!V696*$L$110))</f>
        <v>98.306687963902263</v>
      </c>
      <c r="W636" s="72">
        <f>IF(tech_base!$T12&gt;W$625,"",(1000*tech_proj!W976*(-PMT($J$110,tech_base!$F12,1))+1000*tech_proj!W1256)/((1-tech_proj!W416)*tech_proj!W696*$L$110))</f>
        <v>98.263888335046104</v>
      </c>
      <c r="X636" s="72">
        <f>IF(tech_base!$T12&gt;X$625,"",(1000*tech_proj!X976*(-PMT($J$110,tech_base!$F12,1))+1000*tech_proj!X1256)/((1-tech_proj!X416)*tech_proj!X696*$L$110))</f>
        <v>98.211735638188756</v>
      </c>
      <c r="Y636" s="72">
        <f>IF(tech_base!$T12&gt;Y$625,"",(1000*tech_proj!Y976*(-PMT($J$110,tech_base!$F12,1))+1000*tech_proj!Y1256)/((1-tech_proj!Y416)*tech_proj!Y696*$L$110))</f>
        <v>98.148218858033175</v>
      </c>
      <c r="Z636" s="72">
        <f>IF(tech_base!$T12&gt;Z$625,"",(1000*tech_proj!Z976*(-PMT($J$110,tech_base!$F12,1))+1000*tech_proj!Z1256)/((1-tech_proj!Z416)*tech_proj!Z696*$L$110))</f>
        <v>98.070910600034495</v>
      </c>
      <c r="AA636" s="72">
        <f>IF(tech_base!$T12&gt;AA$625,"",(1000*tech_proj!AA976*(-PMT($J$110,tech_base!$F12,1))+1000*tech_proj!AA1256)/((1-tech_proj!AA416)*tech_proj!AA696*$L$110))</f>
        <v>97.976888666164172</v>
      </c>
      <c r="AB636" s="72">
        <f>IF(tech_base!$T12&gt;AB$625,"",(1000*tech_proj!AB976*(-PMT($J$110,tech_base!$F12,1))+1000*tech_proj!AB1256)/((1-tech_proj!AB416)*tech_proj!AB696*$L$110))</f>
        <v>97.862646689190484</v>
      </c>
      <c r="AC636" s="72">
        <f>IF(tech_base!$T12&gt;AC$625,"",(1000*tech_proj!AC976*(-PMT($J$110,tech_base!$F12,1))+1000*tech_proj!AC1256)/((1-tech_proj!AC416)*tech_proj!AC696*$L$110))</f>
        <v>97.723994286634792</v>
      </c>
      <c r="AD636" s="72">
        <f>IF(tech_base!$T12&gt;AD$625,"",(1000*tech_proj!AD976*(-PMT($J$110,tech_base!$F12,1))+1000*tech_proj!AD1256)/((1-tech_proj!AD416)*tech_proj!AD696*$L$110))</f>
        <v>97.555948502649144</v>
      </c>
      <c r="AE636" s="72">
        <f>IF(tech_base!$T12&gt;AE$625,"",(1000*tech_proj!AE976*(-PMT($J$110,tech_base!$F12,1))+1000*tech_proj!AE1256)/((1-tech_proj!AE416)*tech_proj!AE696*$L$110))</f>
        <v>97.352620334615452</v>
      </c>
      <c r="AF636" s="72">
        <f>IF(tech_base!$T12&gt;AF$625,"",(1000*tech_proj!AF976*(-PMT($J$110,tech_base!$F12,1))+1000*tech_proj!AF1256)/((1-tech_proj!AF416)*tech_proj!AF696*$L$110))</f>
        <v>97.107103148381242</v>
      </c>
      <c r="AG636" s="72">
        <f>IF(tech_base!$T12&gt;AG$625,"",(1000*tech_proj!AG976*(-PMT($J$110,tech_base!$F12,1))+1000*tech_proj!AG1256)/((1-tech_proj!AG416)*tech_proj!AG696*$L$110))</f>
        <v>96.811374057638133</v>
      </c>
      <c r="AH636" s="72">
        <f>IF(tech_base!$T12&gt;AH$625,"",(1000*tech_proj!AH976*(-PMT($J$110,tech_base!$F12,1))+1000*tech_proj!AH1256)/((1-tech_proj!AH416)*tech_proj!AH696*$L$110))</f>
        <v>96.456225143638747</v>
      </c>
      <c r="AI636" s="72">
        <f>IF(tech_base!$T12&gt;AI$625,"",(1000*tech_proj!AI976*(-PMT($J$110,tech_base!$F12,1))+1000*tech_proj!AI1256)/((1-tech_proj!AI416)*tech_proj!AI696*$L$110))</f>
        <v>96.031248860032605</v>
      </c>
      <c r="AJ636" s="72">
        <f>IF(tech_base!$T12&gt;AJ$625,"",(1000*tech_proj!AJ976*(-PMT($J$110,tech_base!$F12,1))+1000*tech_proj!AJ1256)/((1-tech_proj!AJ416)*tech_proj!AJ696*$L$110))</f>
        <v>95.524910929138457</v>
      </c>
      <c r="AK636" s="72">
        <f>IF(tech_base!$T12&gt;AK$625,"",(1000*tech_proj!AK976*(-PMT($J$110,tech_base!$F12,1))+1000*tech_proj!AK1256)/((1-tech_proj!AK416)*tech_proj!AK696*$L$110))</f>
        <v>94.924753702174968</v>
      </c>
      <c r="AL636" s="72">
        <f>IF(tech_base!$T12&gt;AL$625,"",(1000*tech_proj!AL976*(-PMT($J$110,tech_base!$F12,1))+1000*tech_proj!AL1256)/((1-tech_proj!AL416)*tech_proj!AL696*$L$110))</f>
        <v>94.21778150636753</v>
      </c>
      <c r="AM636" s="72">
        <f>IF(tech_base!$T12&gt;AM$625,"",(1000*tech_proj!AM976*(-PMT($J$110,tech_base!$F12,1))+1000*tech_proj!AM1256)/((1-tech_proj!AM416)*tech_proj!AM696*$L$110))</f>
        <v>93.391083599469084</v>
      </c>
      <c r="AN636" s="72">
        <f>IF(tech_base!$T12&gt;AN$625,"",(1000*tech_proj!AN976*(-PMT($J$110,tech_base!$F12,1))+1000*tech_proj!AN1256)/((1-tech_proj!AN416)*tech_proj!AN696*$L$110))</f>
        <v>92.432744775971258</v>
      </c>
      <c r="AO636" s="72">
        <f>IF(tech_base!$T12&gt;AO$625,"",(1000*tech_proj!AO976*(-PMT($J$110,tech_base!$F12,1))+1000*tech_proj!AO1256)/((1-tech_proj!AO416)*tech_proj!AO696*$L$110))</f>
        <v>91.333071451177815</v>
      </c>
      <c r="AP636" s="72">
        <f>IF(tech_base!$T12&gt;AP$625,"",(1000*tech_proj!AP976*(-PMT($J$110,tech_base!$F12,1))+1000*tech_proj!AP1256)/((1-tech_proj!AP416)*tech_proj!AP696*$L$110))</f>
        <v>90.086114743193278</v>
      </c>
      <c r="AQ636" s="72">
        <f>IF(tech_base!$T12&gt;AQ$625,"",(1000*tech_proj!AQ976*(-PMT($J$110,tech_base!$F12,1))+1000*tech_proj!AQ1256)/((1-tech_proj!AQ416)*tech_proj!AQ696*$L$110))</f>
        <v>88.691396874014274</v>
      </c>
      <c r="AR636" s="72">
        <f>IF(tech_base!$T12&gt;AR$625,"",(1000*tech_proj!AR976*(-PMT($J$110,tech_base!$F12,1))+1000*tech_proj!AR1256)/((1-tech_proj!AR416)*tech_proj!AR696*$L$110))</f>
        <v>87.155646235052913</v>
      </c>
      <c r="AS636" s="72">
        <f>IF(tech_base!$T12&gt;AS$625,"",(1000*tech_proj!AS976*(-PMT($J$110,tech_base!$F12,1))+1000*tech_proj!AS1256)/((1-tech_proj!AS416)*tech_proj!AS696*$L$110))</f>
        <v>85.494237130535552</v>
      </c>
      <c r="AT636" s="72">
        <f>IF(tech_base!$T12&gt;AT$625,"",(1000*tech_proj!AT976*(-PMT($J$110,tech_base!$F12,1))+1000*tech_proj!AT1256)/((1-tech_proj!AT416)*tech_proj!AT696*$L$110))</f>
        <v>83.731948285752338</v>
      </c>
      <c r="AU636" s="72">
        <f>IF(tech_base!$T12&gt;AU$625,"",(1000*tech_proj!AU976*(-PMT($J$110,tech_base!$F12,1))+1000*tech_proj!AU1256)/((1-tech_proj!AU416)*tech_proj!AU696*$L$110))</f>
        <v>81.902649665995284</v>
      </c>
      <c r="AV636" s="72">
        <f>IF(tech_base!$T12&gt;AV$625,"",(1000*tech_proj!AV976*(-PMT($J$110,tech_base!$F12,1))+1000*tech_proj!AV1256)/((1-tech_proj!AV416)*tech_proj!AV696*$L$110))</f>
        <v>80.047646617130951</v>
      </c>
      <c r="AW636" s="72">
        <f>IF(tech_base!$T12&gt;AW$625,"",(1000*tech_proj!AW976*(-PMT($J$110,tech_base!$F12,1))+1000*tech_proj!AW1256)/((1-tech_proj!AW416)*tech_proj!AW696*$L$110))</f>
        <v>78.21266739957602</v>
      </c>
      <c r="AX636" s="238">
        <f>IF(tech_base!$T12&gt;AX$625,"",(1000*tech_proj!AX976*(-PMT($J$110,tech_base!$F12,1))+1000*tech_proj!AX1256)/((1-tech_proj!AX416)*tech_proj!AX696*$L$110))</f>
        <v>76.443827420582835</v>
      </c>
      <c r="AY636" s="133"/>
    </row>
    <row r="637" spans="1:51" s="174" customFormat="1" x14ac:dyDescent="0.25">
      <c r="A637" s="356"/>
      <c r="B637" s="359"/>
      <c r="C637" s="361" t="s">
        <v>15</v>
      </c>
      <c r="D637" s="58" t="s">
        <v>7</v>
      </c>
      <c r="E637" s="164" t="str">
        <f>A633&amp;"/"&amp;B633&amp;"/"&amp;C637&amp;"/"&amp;D637</f>
        <v>Coal fired power plants/Integrated gasification combined cycle/Electricity only with CCS/L</v>
      </c>
      <c r="F637" s="78" t="str">
        <f>A633</f>
        <v>Coal fired power plants</v>
      </c>
      <c r="G637" s="78" t="str">
        <f>B633</f>
        <v>Integrated gasification combined cycle</v>
      </c>
      <c r="H637" s="78" t="str">
        <f>C637</f>
        <v>Electricity only with CCS</v>
      </c>
      <c r="I637" s="165" t="str">
        <f t="shared" si="362"/>
        <v>L</v>
      </c>
      <c r="J637" s="71" t="str">
        <f>IF(tech_base!$T13&gt;J$625,"",(1000*tech_proj!J977*(-PMT($J$110,tech_base!$F13,1))+1000*tech_proj!J1257)/((1-tech_proj!J417)*tech_proj!J697*$L$110))</f>
        <v/>
      </c>
      <c r="K637" s="71" t="str">
        <f>IF(tech_base!$T13&gt;K$625,"",(1000*tech_proj!K977*(-PMT($J$110,tech_base!$F13,1))+1000*tech_proj!K1257)/((1-tech_proj!K417)*tech_proj!K697*$L$110))</f>
        <v/>
      </c>
      <c r="L637" s="71" t="str">
        <f>IF(tech_base!$T13&gt;L$625,"",(1000*tech_proj!L977*(-PMT($J$110,tech_base!$F13,1))+1000*tech_proj!L1257)/((1-tech_proj!L417)*tech_proj!L697*$L$110))</f>
        <v/>
      </c>
      <c r="M637" s="71" t="str">
        <f>IF(tech_base!$T13&gt;M$625,"",(1000*tech_proj!M977*(-PMT($J$110,tech_base!$F13,1))+1000*tech_proj!M1257)/((1-tech_proj!M417)*tech_proj!M697*$L$110))</f>
        <v/>
      </c>
      <c r="N637" s="71" t="str">
        <f>IF(tech_base!$T13&gt;N$625,"",(1000*tech_proj!N977*(-PMT($J$110,tech_base!$F13,1))+1000*tech_proj!N1257)/((1-tech_proj!N417)*tech_proj!N697*$L$110))</f>
        <v/>
      </c>
      <c r="O637" s="71" t="str">
        <f>IF(tech_base!$T13&gt;O$625,"",(1000*tech_proj!O977*(-PMT($J$110,tech_base!$F13,1))+1000*tech_proj!O1257)/((1-tech_proj!O417)*tech_proj!O697*$L$110))</f>
        <v/>
      </c>
      <c r="P637" s="71" t="str">
        <f>IF(tech_base!$T13&gt;P$625,"",(1000*tech_proj!P977*(-PMT($J$110,tech_base!$F13,1))+1000*tech_proj!P1257)/((1-tech_proj!P417)*tech_proj!P697*$L$110))</f>
        <v/>
      </c>
      <c r="Q637" s="71" t="str">
        <f>IF(tech_base!$T13&gt;Q$625,"",(1000*tech_proj!Q977*(-PMT($J$110,tech_base!$F13,1))+1000*tech_proj!Q1257)/((1-tech_proj!Q417)*tech_proj!Q697*$L$110))</f>
        <v/>
      </c>
      <c r="R637" s="71" t="str">
        <f>IF(tech_base!$T13&gt;R$625,"",(1000*tech_proj!R977*(-PMT($J$110,tech_base!$F13,1))+1000*tech_proj!R1257)/((1-tech_proj!R417)*tech_proj!R697*$L$110))</f>
        <v/>
      </c>
      <c r="S637" s="71" t="str">
        <f>IF(tech_base!$T13&gt;S$625,"",(1000*tech_proj!S977*(-PMT($J$110,tech_base!$F13,1))+1000*tech_proj!S1257)/((1-tech_proj!S417)*tech_proj!S697*$L$110))</f>
        <v/>
      </c>
      <c r="T637" s="71" t="str">
        <f>IF(tech_base!$T13&gt;T$625,"",(1000*tech_proj!T977*(-PMT($J$110,tech_base!$F13,1))+1000*tech_proj!T1257)/((1-tech_proj!T417)*tech_proj!T697*$L$110))</f>
        <v/>
      </c>
      <c r="U637" s="71" t="str">
        <f>IF(tech_base!$T13&gt;U$625,"",(1000*tech_proj!U977*(-PMT($J$110,tech_base!$F13,1))+1000*tech_proj!U1257)/((1-tech_proj!U417)*tech_proj!U697*$L$110))</f>
        <v/>
      </c>
      <c r="V637" s="71" t="str">
        <f>IF(tech_base!$T13&gt;V$625,"",(1000*tech_proj!V977*(-PMT($J$110,tech_base!$F13,1))+1000*tech_proj!V1257)/((1-tech_proj!V417)*tech_proj!V697*$L$110))</f>
        <v/>
      </c>
      <c r="W637" s="71" t="str">
        <f>IF(tech_base!$T13&gt;W$625,"",(1000*tech_proj!W977*(-PMT($J$110,tech_base!$F13,1))+1000*tech_proj!W1257)/((1-tech_proj!W417)*tech_proj!W697*$L$110))</f>
        <v/>
      </c>
      <c r="X637" s="71" t="str">
        <f>IF(tech_base!$T13&gt;X$625,"",(1000*tech_proj!X977*(-PMT($J$110,tech_base!$F13,1))+1000*tech_proj!X1257)/((1-tech_proj!X417)*tech_proj!X697*$L$110))</f>
        <v/>
      </c>
      <c r="Y637" s="71" t="str">
        <f>IF(tech_base!$T13&gt;Y$625,"",(1000*tech_proj!Y977*(-PMT($J$110,tech_base!$F13,1))+1000*tech_proj!Y1257)/((1-tech_proj!Y417)*tech_proj!Y697*$L$110))</f>
        <v/>
      </c>
      <c r="Z637" s="71" t="str">
        <f>IF(tech_base!$T13&gt;Z$625,"",(1000*tech_proj!Z977*(-PMT($J$110,tech_base!$F13,1))+1000*tech_proj!Z1257)/((1-tech_proj!Z417)*tech_proj!Z697*$L$110))</f>
        <v/>
      </c>
      <c r="AA637" s="71" t="str">
        <f>IF(tech_base!$T13&gt;AA$625,"",(1000*tech_proj!AA977*(-PMT($J$110,tech_base!$F13,1))+1000*tech_proj!AA1257)/((1-tech_proj!AA417)*tech_proj!AA697*$L$110))</f>
        <v/>
      </c>
      <c r="AB637" s="71" t="str">
        <f>IF(tech_base!$T13&gt;AB$625,"",(1000*tech_proj!AB977*(-PMT($J$110,tech_base!$F13,1))+1000*tech_proj!AB1257)/((1-tech_proj!AB417)*tech_proj!AB697*$L$110))</f>
        <v/>
      </c>
      <c r="AC637" s="71" t="str">
        <f>IF(tech_base!$T13&gt;AC$625,"",(1000*tech_proj!AC977*(-PMT($J$110,tech_base!$F13,1))+1000*tech_proj!AC1257)/((1-tech_proj!AC417)*tech_proj!AC697*$L$110))</f>
        <v/>
      </c>
      <c r="AD637" s="71" t="str">
        <f>IF(tech_base!$T13&gt;AD$625,"",(1000*tech_proj!AD977*(-PMT($J$110,tech_base!$F13,1))+1000*tech_proj!AD1257)/((1-tech_proj!AD417)*tech_proj!AD697*$L$110))</f>
        <v/>
      </c>
      <c r="AE637" s="71">
        <f>IF(tech_base!$T13&gt;AE$625,"",(1000*tech_proj!AE977*(-PMT($J$110,tech_base!$F13,1))+1000*tech_proj!AE1257)/((1-tech_proj!AE417)*tech_proj!AE697*$L$110))</f>
        <v>138.7712415059614</v>
      </c>
      <c r="AF637" s="71">
        <f>IF(tech_base!$T13&gt;AF$625,"",(1000*tech_proj!AF977*(-PMT($J$110,tech_base!$F13,1))+1000*tech_proj!AF1257)/((1-tech_proj!AF417)*tech_proj!AF697*$L$110))</f>
        <v>138.74825737391612</v>
      </c>
      <c r="AG637" s="71">
        <f>IF(tech_base!$T13&gt;AG$625,"",(1000*tech_proj!AG977*(-PMT($J$110,tech_base!$F13,1))+1000*tech_proj!AG1257)/((1-tech_proj!AG417)*tech_proj!AG697*$L$110))</f>
        <v>138.71726137805018</v>
      </c>
      <c r="AH637" s="71">
        <f>IF(tech_base!$T13&gt;AH$625,"",(1000*tech_proj!AH977*(-PMT($J$110,tech_base!$F13,1))+1000*tech_proj!AH1257)/((1-tech_proj!AH417)*tech_proj!AH697*$L$110))</f>
        <v>138.67547453150195</v>
      </c>
      <c r="AI637" s="71">
        <f>IF(tech_base!$T13&gt;AI$625,"",(1000*tech_proj!AI977*(-PMT($J$110,tech_base!$F13,1))+1000*tech_proj!AI1257)/((1-tech_proj!AI417)*tech_proj!AI697*$L$110))</f>
        <v>138.61916523069598</v>
      </c>
      <c r="AJ637" s="71">
        <f>IF(tech_base!$T13&gt;AJ$625,"",(1000*tech_proj!AJ977*(-PMT($J$110,tech_base!$F13,1))+1000*tech_proj!AJ1257)/((1-tech_proj!AJ417)*tech_proj!AJ697*$L$110))</f>
        <v>138.54333193944873</v>
      </c>
      <c r="AK637" s="71">
        <f>IF(tech_base!$T13&gt;AK$625,"",(1000*tech_proj!AK977*(-PMT($J$110,tech_base!$F13,1))+1000*tech_proj!AK1257)/((1-tech_proj!AK417)*tech_proj!AK697*$L$110))</f>
        <v>138.44128772578344</v>
      </c>
      <c r="AL637" s="71">
        <f>IF(tech_base!$T13&gt;AL$625,"",(1000*tech_proj!AL977*(-PMT($J$110,tech_base!$F13,1))+1000*tech_proj!AL1257)/((1-tech_proj!AL417)*tech_proj!AL697*$L$110))</f>
        <v>138.30412252416033</v>
      </c>
      <c r="AM637" s="71">
        <f>IF(tech_base!$T13&gt;AM$625,"",(1000*tech_proj!AM977*(-PMT($J$110,tech_base!$F13,1))+1000*tech_proj!AM1257)/((1-tech_proj!AM417)*tech_proj!AM697*$L$110))</f>
        <v>138.12001842424925</v>
      </c>
      <c r="AN637" s="71">
        <f>IF(tech_base!$T13&gt;AN$625,"",(1000*tech_proj!AN977*(-PMT($J$110,tech_base!$F13,1))+1000*tech_proj!AN1257)/((1-tech_proj!AN417)*tech_proj!AN697*$L$110))</f>
        <v>137.87339825154126</v>
      </c>
      <c r="AO637" s="71">
        <f>IF(tech_base!$T13&gt;AO$625,"",(1000*tech_proj!AO977*(-PMT($J$110,tech_base!$F13,1))+1000*tech_proj!AO1257)/((1-tech_proj!AO417)*tech_proj!AO697*$L$110))</f>
        <v>137.54390385651783</v>
      </c>
      <c r="AP637" s="71">
        <f>IF(tech_base!$T13&gt;AP$625,"",(1000*tech_proj!AP977*(-PMT($J$110,tech_base!$F13,1))+1000*tech_proj!AP1257)/((1-tech_proj!AP417)*tech_proj!AP697*$L$110))</f>
        <v>137.10523724454799</v>
      </c>
      <c r="AQ637" s="71">
        <f>IF(tech_base!$T13&gt;AQ$625,"",(1000*tech_proj!AQ977*(-PMT($J$110,tech_base!$F13,1))+1000*tech_proj!AQ1257)/((1-tech_proj!AQ417)*tech_proj!AQ697*$L$110))</f>
        <v>136.52396922217969</v>
      </c>
      <c r="AR637" s="71">
        <f>IF(tech_base!$T13&gt;AR$625,"",(1000*tech_proj!AR977*(-PMT($J$110,tech_base!$F13,1))+1000*tech_proj!AR1257)/((1-tech_proj!AR417)*tech_proj!AR697*$L$110))</f>
        <v>135.7585455689748</v>
      </c>
      <c r="AS637" s="71">
        <f>IF(tech_base!$T13&gt;AS$625,"",(1000*tech_proj!AS977*(-PMT($J$110,tech_base!$F13,1))+1000*tech_proj!AS1257)/((1-tech_proj!AS417)*tech_proj!AS697*$L$110))</f>
        <v>134.7589189086911</v>
      </c>
      <c r="AT637" s="71">
        <f>IF(tech_base!$T13&gt;AT$625,"",(1000*tech_proj!AT977*(-PMT($J$110,tech_base!$F13,1))+1000*tech_proj!AT1257)/((1-tech_proj!AT417)*tech_proj!AT697*$L$110))</f>
        <v>133.46750953943013</v>
      </c>
      <c r="AU637" s="71">
        <f>IF(tech_base!$T13&gt;AU$625,"",(1000*tech_proj!AU977*(-PMT($J$110,tech_base!$F13,1))+1000*tech_proj!AU1257)/((1-tech_proj!AU417)*tech_proj!AU697*$L$110))</f>
        <v>131.82250566432364</v>
      </c>
      <c r="AV637" s="71">
        <f>IF(tech_base!$T13&gt;AV$625,"",(1000*tech_proj!AV977*(-PMT($J$110,tech_base!$F13,1))+1000*tech_proj!AV1257)/((1-tech_proj!AV417)*tech_proj!AV697*$L$110))</f>
        <v>129.7647016088805</v>
      </c>
      <c r="AW637" s="71">
        <f>IF(tech_base!$T13&gt;AW$625,"",(1000*tech_proj!AW977*(-PMT($J$110,tech_base!$F13,1))+1000*tech_proj!AW1257)/((1-tech_proj!AW417)*tech_proj!AW697*$L$110))</f>
        <v>127.24882418238404</v>
      </c>
      <c r="AX637" s="237">
        <f>IF(tech_base!$T13&gt;AX$625,"",(1000*tech_proj!AX977*(-PMT($J$110,tech_base!$F13,1))+1000*tech_proj!AX1257)/((1-tech_proj!AX417)*tech_proj!AX697*$L$110))</f>
        <v>124.2591500447901</v>
      </c>
      <c r="AY637" s="133"/>
    </row>
    <row r="638" spans="1:51" s="174" customFormat="1" x14ac:dyDescent="0.25">
      <c r="A638" s="356"/>
      <c r="B638" s="359"/>
      <c r="C638" s="379"/>
      <c r="D638" s="59" t="s">
        <v>8</v>
      </c>
      <c r="E638" s="166" t="str">
        <f>A633&amp;"/"&amp;B633&amp;"/"&amp;C637&amp;"/"&amp;D638</f>
        <v>Coal fired power plants/Integrated gasification combined cycle/Electricity only with CCS/M</v>
      </c>
      <c r="F638" s="79" t="str">
        <f>A633</f>
        <v>Coal fired power plants</v>
      </c>
      <c r="G638" s="79" t="str">
        <f>B633</f>
        <v>Integrated gasification combined cycle</v>
      </c>
      <c r="H638" s="79" t="str">
        <f>C637</f>
        <v>Electricity only with CCS</v>
      </c>
      <c r="I638" s="167" t="str">
        <f t="shared" si="362"/>
        <v>M</v>
      </c>
      <c r="J638" s="72" t="str">
        <f>IF(tech_base!$T14&gt;J$625,"",(1000*tech_proj!J978*(-PMT($J$110,tech_base!$F14,1))+1000*tech_proj!J1258)/((1-tech_proj!J418)*tech_proj!J698*$L$110))</f>
        <v/>
      </c>
      <c r="K638" s="72" t="str">
        <f>IF(tech_base!$T14&gt;K$625,"",(1000*tech_proj!K978*(-PMT($J$110,tech_base!$F14,1))+1000*tech_proj!K1258)/((1-tech_proj!K418)*tech_proj!K698*$L$110))</f>
        <v/>
      </c>
      <c r="L638" s="72" t="str">
        <f>IF(tech_base!$T14&gt;L$625,"",(1000*tech_proj!L978*(-PMT($J$110,tech_base!$F14,1))+1000*tech_proj!L1258)/((1-tech_proj!L418)*tech_proj!L698*$L$110))</f>
        <v/>
      </c>
      <c r="M638" s="72" t="str">
        <f>IF(tech_base!$T14&gt;M$625,"",(1000*tech_proj!M978*(-PMT($J$110,tech_base!$F14,1))+1000*tech_proj!M1258)/((1-tech_proj!M418)*tech_proj!M698*$L$110))</f>
        <v/>
      </c>
      <c r="N638" s="72" t="str">
        <f>IF(tech_base!$T14&gt;N$625,"",(1000*tech_proj!N978*(-PMT($J$110,tech_base!$F14,1))+1000*tech_proj!N1258)/((1-tech_proj!N418)*tech_proj!N698*$L$110))</f>
        <v/>
      </c>
      <c r="O638" s="72" t="str">
        <f>IF(tech_base!$T14&gt;O$625,"",(1000*tech_proj!O978*(-PMT($J$110,tech_base!$F14,1))+1000*tech_proj!O1258)/((1-tech_proj!O418)*tech_proj!O698*$L$110))</f>
        <v/>
      </c>
      <c r="P638" s="72" t="str">
        <f>IF(tech_base!$T14&gt;P$625,"",(1000*tech_proj!P978*(-PMT($J$110,tech_base!$F14,1))+1000*tech_proj!P1258)/((1-tech_proj!P418)*tech_proj!P698*$L$110))</f>
        <v/>
      </c>
      <c r="Q638" s="72" t="str">
        <f>IF(tech_base!$T14&gt;Q$625,"",(1000*tech_proj!Q978*(-PMT($J$110,tech_base!$F14,1))+1000*tech_proj!Q1258)/((1-tech_proj!Q418)*tech_proj!Q698*$L$110))</f>
        <v/>
      </c>
      <c r="R638" s="72" t="str">
        <f>IF(tech_base!$T14&gt;R$625,"",(1000*tech_proj!R978*(-PMT($J$110,tech_base!$F14,1))+1000*tech_proj!R1258)/((1-tech_proj!R418)*tech_proj!R698*$L$110))</f>
        <v/>
      </c>
      <c r="S638" s="72" t="str">
        <f>IF(tech_base!$T14&gt;S$625,"",(1000*tech_proj!S978*(-PMT($J$110,tech_base!$F14,1))+1000*tech_proj!S1258)/((1-tech_proj!S418)*tech_proj!S698*$L$110))</f>
        <v/>
      </c>
      <c r="T638" s="72" t="str">
        <f>IF(tech_base!$T14&gt;T$625,"",(1000*tech_proj!T978*(-PMT($J$110,tech_base!$F14,1))+1000*tech_proj!T1258)/((1-tech_proj!T418)*tech_proj!T698*$L$110))</f>
        <v/>
      </c>
      <c r="U638" s="72" t="str">
        <f>IF(tech_base!$T14&gt;U$625,"",(1000*tech_proj!U978*(-PMT($J$110,tech_base!$F14,1))+1000*tech_proj!U1258)/((1-tech_proj!U418)*tech_proj!U698*$L$110))</f>
        <v/>
      </c>
      <c r="V638" s="72" t="str">
        <f>IF(tech_base!$T14&gt;V$625,"",(1000*tech_proj!V978*(-PMT($J$110,tech_base!$F14,1))+1000*tech_proj!V1258)/((1-tech_proj!V418)*tech_proj!V698*$L$110))</f>
        <v/>
      </c>
      <c r="W638" s="72" t="str">
        <f>IF(tech_base!$T14&gt;W$625,"",(1000*tech_proj!W978*(-PMT($J$110,tech_base!$F14,1))+1000*tech_proj!W1258)/((1-tech_proj!W418)*tech_proj!W698*$L$110))</f>
        <v/>
      </c>
      <c r="X638" s="72" t="str">
        <f>IF(tech_base!$T14&gt;X$625,"",(1000*tech_proj!X978*(-PMT($J$110,tech_base!$F14,1))+1000*tech_proj!X1258)/((1-tech_proj!X418)*tech_proj!X698*$L$110))</f>
        <v/>
      </c>
      <c r="Y638" s="72" t="str">
        <f>IF(tech_base!$T14&gt;Y$625,"",(1000*tech_proj!Y978*(-PMT($J$110,tech_base!$F14,1))+1000*tech_proj!Y1258)/((1-tech_proj!Y418)*tech_proj!Y698*$L$110))</f>
        <v/>
      </c>
      <c r="Z638" s="72" t="str">
        <f>IF(tech_base!$T14&gt;Z$625,"",(1000*tech_proj!Z978*(-PMT($J$110,tech_base!$F14,1))+1000*tech_proj!Z1258)/((1-tech_proj!Z418)*tech_proj!Z698*$L$110))</f>
        <v/>
      </c>
      <c r="AA638" s="72" t="str">
        <f>IF(tech_base!$T14&gt;AA$625,"",(1000*tech_proj!AA978*(-PMT($J$110,tech_base!$F14,1))+1000*tech_proj!AA1258)/((1-tech_proj!AA418)*tech_proj!AA698*$L$110))</f>
        <v/>
      </c>
      <c r="AB638" s="72" t="str">
        <f>IF(tech_base!$T14&gt;AB$625,"",(1000*tech_proj!AB978*(-PMT($J$110,tech_base!$F14,1))+1000*tech_proj!AB1258)/((1-tech_proj!AB418)*tech_proj!AB698*$L$110))</f>
        <v/>
      </c>
      <c r="AC638" s="72" t="str">
        <f>IF(tech_base!$T14&gt;AC$625,"",(1000*tech_proj!AC978*(-PMT($J$110,tech_base!$F14,1))+1000*tech_proj!AC1258)/((1-tech_proj!AC418)*tech_proj!AC698*$L$110))</f>
        <v/>
      </c>
      <c r="AD638" s="72" t="str">
        <f>IF(tech_base!$T14&gt;AD$625,"",(1000*tech_proj!AD978*(-PMT($J$110,tech_base!$F14,1))+1000*tech_proj!AD1258)/((1-tech_proj!AD418)*tech_proj!AD698*$L$110))</f>
        <v/>
      </c>
      <c r="AE638" s="72">
        <f>IF(tech_base!$T14&gt;AE$625,"",(1000*tech_proj!AE978*(-PMT($J$110,tech_base!$F14,1))+1000*tech_proj!AE1258)/((1-tech_proj!AE418)*tech_proj!AE698*$L$110))</f>
        <v>150.13903386306379</v>
      </c>
      <c r="AF638" s="72">
        <f>IF(tech_base!$T14&gt;AF$625,"",(1000*tech_proj!AF978*(-PMT($J$110,tech_base!$F14,1))+1000*tech_proj!AF1258)/((1-tech_proj!AF418)*tech_proj!AF698*$L$110))</f>
        <v>150.12667485507126</v>
      </c>
      <c r="AG638" s="72">
        <f>IF(tech_base!$T14&gt;AG$625,"",(1000*tech_proj!AG978*(-PMT($J$110,tech_base!$F14,1))+1000*tech_proj!AG1258)/((1-tech_proj!AG418)*tech_proj!AG698*$L$110))</f>
        <v>150.10914450480993</v>
      </c>
      <c r="AH638" s="72">
        <f>IF(tech_base!$T14&gt;AH$625,"",(1000*tech_proj!AH978*(-PMT($J$110,tech_base!$F14,1))+1000*tech_proj!AH1258)/((1-tech_proj!AH418)*tech_proj!AH698*$L$110))</f>
        <v>150.08428368393712</v>
      </c>
      <c r="AI638" s="72">
        <f>IF(tech_base!$T14&gt;AI$625,"",(1000*tech_proj!AI978*(-PMT($J$110,tech_base!$F14,1))+1000*tech_proj!AI1258)/((1-tech_proj!AI418)*tech_proj!AI698*$L$110))</f>
        <v>150.04903654407369</v>
      </c>
      <c r="AJ638" s="72">
        <f>IF(tech_base!$T14&gt;AJ$625,"",(1000*tech_proj!AJ978*(-PMT($J$110,tech_base!$F14,1))+1000*tech_proj!AJ1258)/((1-tech_proj!AJ418)*tech_proj!AJ698*$L$110))</f>
        <v>149.99908289992459</v>
      </c>
      <c r="AK638" s="72">
        <f>IF(tech_base!$T14&gt;AK$625,"",(1000*tech_proj!AK978*(-PMT($J$110,tech_base!$F14,1))+1000*tech_proj!AK1258)/((1-tech_proj!AK418)*tech_proj!AK698*$L$110))</f>
        <v>149.928324759102</v>
      </c>
      <c r="AL638" s="72">
        <f>IF(tech_base!$T14&gt;AL$625,"",(1000*tech_proj!AL978*(-PMT($J$110,tech_base!$F14,1))+1000*tech_proj!AL1258)/((1-tech_proj!AL418)*tech_proj!AL698*$L$110))</f>
        <v>149.82817404706802</v>
      </c>
      <c r="AM638" s="72">
        <f>IF(tech_base!$T14&gt;AM$625,"",(1000*tech_proj!AM978*(-PMT($J$110,tech_base!$F14,1))+1000*tech_proj!AM1258)/((1-tech_proj!AM418)*tech_proj!AM698*$L$110))</f>
        <v>149.68657440284687</v>
      </c>
      <c r="AN638" s="72">
        <f>IF(tech_base!$T14&gt;AN$625,"",(1000*tech_proj!AN978*(-PMT($J$110,tech_base!$F14,1))+1000*tech_proj!AN1258)/((1-tech_proj!AN418)*tech_proj!AN698*$L$110))</f>
        <v>149.48667745461725</v>
      </c>
      <c r="AO638" s="72">
        <f>IF(tech_base!$T14&gt;AO$625,"",(1000*tech_proj!AO978*(-PMT($J$110,tech_base!$F14,1))+1000*tech_proj!AO1258)/((1-tech_proj!AO418)*tech_proj!AO698*$L$110))</f>
        <v>149.20509082763618</v>
      </c>
      <c r="AP638" s="72">
        <f>IF(tech_base!$T14&gt;AP$625,"",(1000*tech_proj!AP978*(-PMT($J$110,tech_base!$F14,1))+1000*tech_proj!AP1258)/((1-tech_proj!AP418)*tech_proj!AP698*$L$110))</f>
        <v>148.80963756136873</v>
      </c>
      <c r="AQ638" s="72">
        <f>IF(tech_base!$T14&gt;AQ$625,"",(1000*tech_proj!AQ978*(-PMT($J$110,tech_base!$F14,1))+1000*tech_proj!AQ1258)/((1-tech_proj!AQ418)*tech_proj!AQ698*$L$110))</f>
        <v>148.25664624181448</v>
      </c>
      <c r="AR638" s="72">
        <f>IF(tech_base!$T14&gt;AR$625,"",(1000*tech_proj!AR978*(-PMT($J$110,tech_base!$F14,1))+1000*tech_proj!AR1258)/((1-tech_proj!AR418)*tech_proj!AR698*$L$110))</f>
        <v>147.48798369586149</v>
      </c>
      <c r="AS638" s="72">
        <f>IF(tech_base!$T14&gt;AS$625,"",(1000*tech_proj!AS978*(-PMT($J$110,tech_base!$F14,1))+1000*tech_proj!AS1258)/((1-tech_proj!AS418)*tech_proj!AS698*$L$110))</f>
        <v>146.42843318317935</v>
      </c>
      <c r="AT638" s="72">
        <f>IF(tech_base!$T14&gt;AT$625,"",(1000*tech_proj!AT978*(-PMT($J$110,tech_base!$F14,1))+1000*tech_proj!AT1258)/((1-tech_proj!AT418)*tech_proj!AT698*$L$110))</f>
        <v>144.98471215412852</v>
      </c>
      <c r="AU638" s="72">
        <f>IF(tech_base!$T14&gt;AU$625,"",(1000*tech_proj!AU978*(-PMT($J$110,tech_base!$F14,1))+1000*tech_proj!AU1258)/((1-tech_proj!AU418)*tech_proj!AU698*$L$110))</f>
        <v>143.04845677333498</v>
      </c>
      <c r="AV638" s="72">
        <f>IF(tech_base!$T14&gt;AV$625,"",(1000*tech_proj!AV978*(-PMT($J$110,tech_base!$F14,1))+1000*tech_proj!AV1258)/((1-tech_proj!AV418)*tech_proj!AV698*$L$110))</f>
        <v>140.50665128721647</v>
      </c>
      <c r="AW638" s="72">
        <f>IF(tech_base!$T14&gt;AW$625,"",(1000*tech_proj!AW978*(-PMT($J$110,tech_base!$F14,1))+1000*tech_proj!AW1258)/((1-tech_proj!AW418)*tech_proj!AW698*$L$110))</f>
        <v>137.26337996412127</v>
      </c>
      <c r="AX638" s="238">
        <f>IF(tech_base!$T14&gt;AX$625,"",(1000*tech_proj!AX978*(-PMT($J$110,tech_base!$F14,1))+1000*tech_proj!AX1258)/((1-tech_proj!AX418)*tech_proj!AX698*$L$110))</f>
        <v>133.27458297653129</v>
      </c>
      <c r="AY638" s="133"/>
    </row>
    <row r="639" spans="1:51" s="174" customFormat="1" x14ac:dyDescent="0.25">
      <c r="A639" s="356"/>
      <c r="B639" s="359"/>
      <c r="C639" s="361" t="s">
        <v>16</v>
      </c>
      <c r="D639" s="2" t="s">
        <v>7</v>
      </c>
      <c r="E639" s="160" t="str">
        <f>A633&amp;"/"&amp;B633&amp;"/"&amp;C639&amp;"/"&amp;D639</f>
        <v>Coal fired power plants/Integrated gasification combined cycle/CHP with CCS/L</v>
      </c>
      <c r="F639" s="76" t="str">
        <f>A633</f>
        <v>Coal fired power plants</v>
      </c>
      <c r="G639" s="76" t="str">
        <f>B633</f>
        <v>Integrated gasification combined cycle</v>
      </c>
      <c r="H639" s="76" t="str">
        <f>C639</f>
        <v>CHP with CCS</v>
      </c>
      <c r="I639" s="161" t="str">
        <f t="shared" si="362"/>
        <v>L</v>
      </c>
      <c r="J639" s="69" t="str">
        <f>IF(tech_base!$T15&gt;J$625,"",(1000*tech_proj!J979*(-PMT($J$110,tech_base!$F15,1))+1000*tech_proj!J1259)/((1-tech_proj!J419)*tech_proj!J699*$L$110))</f>
        <v/>
      </c>
      <c r="K639" s="69" t="str">
        <f>IF(tech_base!$T15&gt;K$625,"",(1000*tech_proj!K979*(-PMT($J$110,tech_base!$F15,1))+1000*tech_proj!K1259)/((1-tech_proj!K419)*tech_proj!K699*$L$110))</f>
        <v/>
      </c>
      <c r="L639" s="69" t="str">
        <f>IF(tech_base!$T15&gt;L$625,"",(1000*tech_proj!L979*(-PMT($J$110,tech_base!$F15,1))+1000*tech_proj!L1259)/((1-tech_proj!L419)*tech_proj!L699*$L$110))</f>
        <v/>
      </c>
      <c r="M639" s="69" t="str">
        <f>IF(tech_base!$T15&gt;M$625,"",(1000*tech_proj!M979*(-PMT($J$110,tech_base!$F15,1))+1000*tech_proj!M1259)/((1-tech_proj!M419)*tech_proj!M699*$L$110))</f>
        <v/>
      </c>
      <c r="N639" s="69" t="str">
        <f>IF(tech_base!$T15&gt;N$625,"",(1000*tech_proj!N979*(-PMT($J$110,tech_base!$F15,1))+1000*tech_proj!N1259)/((1-tech_proj!N419)*tech_proj!N699*$L$110))</f>
        <v/>
      </c>
      <c r="O639" s="69" t="str">
        <f>IF(tech_base!$T15&gt;O$625,"",(1000*tech_proj!O979*(-PMT($J$110,tech_base!$F15,1))+1000*tech_proj!O1259)/((1-tech_proj!O419)*tech_proj!O699*$L$110))</f>
        <v/>
      </c>
      <c r="P639" s="69" t="str">
        <f>IF(tech_base!$T15&gt;P$625,"",(1000*tech_proj!P979*(-PMT($J$110,tech_base!$F15,1))+1000*tech_proj!P1259)/((1-tech_proj!P419)*tech_proj!P699*$L$110))</f>
        <v/>
      </c>
      <c r="Q639" s="69" t="str">
        <f>IF(tech_base!$T15&gt;Q$625,"",(1000*tech_proj!Q979*(-PMT($J$110,tech_base!$F15,1))+1000*tech_proj!Q1259)/((1-tech_proj!Q419)*tech_proj!Q699*$L$110))</f>
        <v/>
      </c>
      <c r="R639" s="69" t="str">
        <f>IF(tech_base!$T15&gt;R$625,"",(1000*tech_proj!R979*(-PMT($J$110,tech_base!$F15,1))+1000*tech_proj!R1259)/((1-tech_proj!R419)*tech_proj!R699*$L$110))</f>
        <v/>
      </c>
      <c r="S639" s="69" t="str">
        <f>IF(tech_base!$T15&gt;S$625,"",(1000*tech_proj!S979*(-PMT($J$110,tech_base!$F15,1))+1000*tech_proj!S1259)/((1-tech_proj!S419)*tech_proj!S699*$L$110))</f>
        <v/>
      </c>
      <c r="T639" s="69" t="str">
        <f>IF(tech_base!$T15&gt;T$625,"",(1000*tech_proj!T979*(-PMT($J$110,tech_base!$F15,1))+1000*tech_proj!T1259)/((1-tech_proj!T419)*tech_proj!T699*$L$110))</f>
        <v/>
      </c>
      <c r="U639" s="69" t="str">
        <f>IF(tech_base!$T15&gt;U$625,"",(1000*tech_proj!U979*(-PMT($J$110,tech_base!$F15,1))+1000*tech_proj!U1259)/((1-tech_proj!U419)*tech_proj!U699*$L$110))</f>
        <v/>
      </c>
      <c r="V639" s="69" t="str">
        <f>IF(tech_base!$T15&gt;V$625,"",(1000*tech_proj!V979*(-PMT($J$110,tech_base!$F15,1))+1000*tech_proj!V1259)/((1-tech_proj!V419)*tech_proj!V699*$L$110))</f>
        <v/>
      </c>
      <c r="W639" s="69" t="str">
        <f>IF(tech_base!$T15&gt;W$625,"",(1000*tech_proj!W979*(-PMT($J$110,tech_base!$F15,1))+1000*tech_proj!W1259)/((1-tech_proj!W419)*tech_proj!W699*$L$110))</f>
        <v/>
      </c>
      <c r="X639" s="69" t="str">
        <f>IF(tech_base!$T15&gt;X$625,"",(1000*tech_proj!X979*(-PMT($J$110,tech_base!$F15,1))+1000*tech_proj!X1259)/((1-tech_proj!X419)*tech_proj!X699*$L$110))</f>
        <v/>
      </c>
      <c r="Y639" s="69" t="str">
        <f>IF(tech_base!$T15&gt;Y$625,"",(1000*tech_proj!Y979*(-PMT($J$110,tech_base!$F15,1))+1000*tech_proj!Y1259)/((1-tech_proj!Y419)*tech_proj!Y699*$L$110))</f>
        <v/>
      </c>
      <c r="Z639" s="69" t="str">
        <f>IF(tech_base!$T15&gt;Z$625,"",(1000*tech_proj!Z979*(-PMT($J$110,tech_base!$F15,1))+1000*tech_proj!Z1259)/((1-tech_proj!Z419)*tech_proj!Z699*$L$110))</f>
        <v/>
      </c>
      <c r="AA639" s="69" t="str">
        <f>IF(tech_base!$T15&gt;AA$625,"",(1000*tech_proj!AA979*(-PMT($J$110,tech_base!$F15,1))+1000*tech_proj!AA1259)/((1-tech_proj!AA419)*tech_proj!AA699*$L$110))</f>
        <v/>
      </c>
      <c r="AB639" s="69" t="str">
        <f>IF(tech_base!$T15&gt;AB$625,"",(1000*tech_proj!AB979*(-PMT($J$110,tech_base!$F15,1))+1000*tech_proj!AB1259)/((1-tech_proj!AB419)*tech_proj!AB699*$L$110))</f>
        <v/>
      </c>
      <c r="AC639" s="69" t="str">
        <f>IF(tech_base!$T15&gt;AC$625,"",(1000*tech_proj!AC979*(-PMT($J$110,tech_base!$F15,1))+1000*tech_proj!AC1259)/((1-tech_proj!AC419)*tech_proj!AC699*$L$110))</f>
        <v/>
      </c>
      <c r="AD639" s="69" t="str">
        <f>IF(tech_base!$T15&gt;AD$625,"",(1000*tech_proj!AD979*(-PMT($J$110,tech_base!$F15,1))+1000*tech_proj!AD1259)/((1-tech_proj!AD419)*tech_proj!AD699*$L$110))</f>
        <v/>
      </c>
      <c r="AE639" s="69">
        <f>IF(tech_base!$T15&gt;AE$625,"",(1000*tech_proj!AE979*(-PMT($J$110,tech_base!$F15,1))+1000*tech_proj!AE1259)/((1-tech_proj!AE419)*tech_proj!AE699*$L$110))</f>
        <v>156.99017640835976</v>
      </c>
      <c r="AF639" s="69">
        <f>IF(tech_base!$T15&gt;AF$625,"",(1000*tech_proj!AF979*(-PMT($J$110,tech_base!$F15,1))+1000*tech_proj!AF1259)/((1-tech_proj!AF419)*tech_proj!AF699*$L$110))</f>
        <v>156.96566121964472</v>
      </c>
      <c r="AG639" s="69">
        <f>IF(tech_base!$T15&gt;AG$625,"",(1000*tech_proj!AG979*(-PMT($J$110,tech_base!$F15,1))+1000*tech_proj!AG1259)/((1-tech_proj!AG419)*tech_proj!AG699*$L$110))</f>
        <v>156.93260046770649</v>
      </c>
      <c r="AH639" s="69">
        <f>IF(tech_base!$T15&gt;AH$625,"",(1000*tech_proj!AH979*(-PMT($J$110,tech_base!$F15,1))+1000*tech_proj!AH1259)/((1-tech_proj!AH419)*tech_proj!AH699*$L$110))</f>
        <v>156.88803004725642</v>
      </c>
      <c r="AI639" s="69">
        <f>IF(tech_base!$T15&gt;AI$625,"",(1000*tech_proj!AI979*(-PMT($J$110,tech_base!$F15,1))+1000*tech_proj!AI1259)/((1-tech_proj!AI419)*tech_proj!AI699*$L$110))</f>
        <v>156.82796977902655</v>
      </c>
      <c r="AJ639" s="69">
        <f>IF(tech_base!$T15&gt;AJ$625,"",(1000*tech_proj!AJ979*(-PMT($J$110,tech_base!$F15,1))+1000*tech_proj!AJ1259)/((1-tech_proj!AJ419)*tech_proj!AJ699*$L$110))</f>
        <v>156.7470849563085</v>
      </c>
      <c r="AK639" s="69">
        <f>IF(tech_base!$T15&gt;AK$625,"",(1000*tech_proj!AK979*(-PMT($J$110,tech_base!$F15,1))+1000*tech_proj!AK1259)/((1-tech_proj!AK419)*tech_proj!AK699*$L$110))</f>
        <v>156.63824320625432</v>
      </c>
      <c r="AL639" s="69">
        <f>IF(tech_base!$T15&gt;AL$625,"",(1000*tech_proj!AL979*(-PMT($J$110,tech_base!$F15,1))+1000*tech_proj!AL1259)/((1-tech_proj!AL419)*tech_proj!AL699*$L$110))</f>
        <v>156.49194093143683</v>
      </c>
      <c r="AM639" s="69">
        <f>IF(tech_base!$T15&gt;AM$625,"",(1000*tech_proj!AM979*(-PMT($J$110,tech_base!$F15,1))+1000*tech_proj!AM1259)/((1-tech_proj!AM419)*tech_proj!AM699*$L$110))</f>
        <v>156.29557298751598</v>
      </c>
      <c r="AN639" s="69">
        <f>IF(tech_base!$T15&gt;AN$625,"",(1000*tech_proj!AN979*(-PMT($J$110,tech_base!$F15,1))+1000*tech_proj!AN1259)/((1-tech_proj!AN419)*tech_proj!AN699*$L$110))</f>
        <v>156.03252454770688</v>
      </c>
      <c r="AO639" s="69">
        <f>IF(tech_base!$T15&gt;AO$625,"",(1000*tech_proj!AO979*(-PMT($J$110,tech_base!$F15,1))+1000*tech_proj!AO1259)/((1-tech_proj!AO419)*tech_proj!AO699*$L$110))</f>
        <v>155.68108133207269</v>
      </c>
      <c r="AP639" s="69">
        <f>IF(tech_base!$T15&gt;AP$625,"",(1000*tech_proj!AP979*(-PMT($J$110,tech_base!$F15,1))+1000*tech_proj!AP1259)/((1-tech_proj!AP419)*tech_proj!AP699*$L$110))</f>
        <v>155.21319354086745</v>
      </c>
      <c r="AQ639" s="69">
        <f>IF(tech_base!$T15&gt;AQ$625,"",(1000*tech_proj!AQ979*(-PMT($J$110,tech_base!$F15,1))+1000*tech_proj!AQ1259)/((1-tech_proj!AQ419)*tech_proj!AQ699*$L$110))</f>
        <v>154.59320514042159</v>
      </c>
      <c r="AR639" s="69">
        <f>IF(tech_base!$T15&gt;AR$625,"",(1000*tech_proj!AR979*(-PMT($J$110,tech_base!$F15,1))+1000*tech_proj!AR1259)/((1-tech_proj!AR419)*tech_proj!AR699*$L$110))</f>
        <v>153.77679383246695</v>
      </c>
      <c r="AS639" s="69">
        <f>IF(tech_base!$T15&gt;AS$625,"",(1000*tech_proj!AS979*(-PMT($J$110,tech_base!$F15,1))+1000*tech_proj!AS1259)/((1-tech_proj!AS419)*tech_proj!AS699*$L$110))</f>
        <v>152.71057840291834</v>
      </c>
      <c r="AT639" s="69">
        <f>IF(tech_base!$T15&gt;AT$625,"",(1000*tech_proj!AT979*(-PMT($J$110,tech_base!$F15,1))+1000*tech_proj!AT1259)/((1-tech_proj!AT419)*tech_proj!AT699*$L$110))</f>
        <v>151.33314355641383</v>
      </c>
      <c r="AU639" s="69">
        <f>IF(tech_base!$T15&gt;AU$625,"",(1000*tech_proj!AU979*(-PMT($J$110,tech_base!$F15,1))+1000*tech_proj!AU1259)/((1-tech_proj!AU419)*tech_proj!AU699*$L$110))</f>
        <v>149.57855998737605</v>
      </c>
      <c r="AV639" s="69">
        <f>IF(tech_base!$T15&gt;AV$625,"",(1000*tech_proj!AV979*(-PMT($J$110,tech_base!$F15,1))+1000*tech_proj!AV1259)/((1-tech_proj!AV419)*tech_proj!AV699*$L$110))</f>
        <v>147.38367811589964</v>
      </c>
      <c r="AW639" s="69">
        <f>IF(tech_base!$T15&gt;AW$625,"",(1000*tech_proj!AW979*(-PMT($J$110,tech_base!$F15,1))+1000*tech_proj!AW1259)/((1-tech_proj!AW419)*tech_proj!AW699*$L$110))</f>
        <v>144.70020893929495</v>
      </c>
      <c r="AX639" s="235">
        <f>IF(tech_base!$T15&gt;AX$625,"",(1000*tech_proj!AX979*(-PMT($J$110,tech_base!$F15,1))+1000*tech_proj!AX1259)/((1-tech_proj!AX419)*tech_proj!AX699*$L$110))</f>
        <v>141.51138172862366</v>
      </c>
      <c r="AY639" s="133"/>
    </row>
    <row r="640" spans="1:51" s="174" customFormat="1" x14ac:dyDescent="0.25">
      <c r="A640" s="356"/>
      <c r="B640" s="362"/>
      <c r="C640" s="381"/>
      <c r="D640" s="4" t="s">
        <v>8</v>
      </c>
      <c r="E640" s="168" t="str">
        <f>A633&amp;"/"&amp;B633&amp;"/"&amp;C639&amp;"/"&amp;D640</f>
        <v>Coal fired power plants/Integrated gasification combined cycle/CHP with CCS/M</v>
      </c>
      <c r="F640" s="80" t="str">
        <f>A633</f>
        <v>Coal fired power plants</v>
      </c>
      <c r="G640" s="80" t="str">
        <f>B633</f>
        <v>Integrated gasification combined cycle</v>
      </c>
      <c r="H640" s="80" t="str">
        <f>C639</f>
        <v>CHP with CCS</v>
      </c>
      <c r="I640" s="169" t="str">
        <f t="shared" si="362"/>
        <v>M</v>
      </c>
      <c r="J640" s="73" t="str">
        <f>IF(tech_base!$T16&gt;J$625,"",(1000*tech_proj!J980*(-PMT($J$110,tech_base!$F16,1))+1000*tech_proj!J1260)/((1-tech_proj!J420)*tech_proj!J700*$L$110))</f>
        <v/>
      </c>
      <c r="K640" s="73" t="str">
        <f>IF(tech_base!$T16&gt;K$625,"",(1000*tech_proj!K980*(-PMT($J$110,tech_base!$F16,1))+1000*tech_proj!K1260)/((1-tech_proj!K420)*tech_proj!K700*$L$110))</f>
        <v/>
      </c>
      <c r="L640" s="73" t="str">
        <f>IF(tech_base!$T16&gt;L$625,"",(1000*tech_proj!L980*(-PMT($J$110,tech_base!$F16,1))+1000*tech_proj!L1260)/((1-tech_proj!L420)*tech_proj!L700*$L$110))</f>
        <v/>
      </c>
      <c r="M640" s="73" t="str">
        <f>IF(tech_base!$T16&gt;M$625,"",(1000*tech_proj!M980*(-PMT($J$110,tech_base!$F16,1))+1000*tech_proj!M1260)/((1-tech_proj!M420)*tech_proj!M700*$L$110))</f>
        <v/>
      </c>
      <c r="N640" s="73" t="str">
        <f>IF(tech_base!$T16&gt;N$625,"",(1000*tech_proj!N980*(-PMT($J$110,tech_base!$F16,1))+1000*tech_proj!N1260)/((1-tech_proj!N420)*tech_proj!N700*$L$110))</f>
        <v/>
      </c>
      <c r="O640" s="73" t="str">
        <f>IF(tech_base!$T16&gt;O$625,"",(1000*tech_proj!O980*(-PMT($J$110,tech_base!$F16,1))+1000*tech_proj!O1260)/((1-tech_proj!O420)*tech_proj!O700*$L$110))</f>
        <v/>
      </c>
      <c r="P640" s="73" t="str">
        <f>IF(tech_base!$T16&gt;P$625,"",(1000*tech_proj!P980*(-PMT($J$110,tech_base!$F16,1))+1000*tech_proj!P1260)/((1-tech_proj!P420)*tech_proj!P700*$L$110))</f>
        <v/>
      </c>
      <c r="Q640" s="73" t="str">
        <f>IF(tech_base!$T16&gt;Q$625,"",(1000*tech_proj!Q980*(-PMT($J$110,tech_base!$F16,1))+1000*tech_proj!Q1260)/((1-tech_proj!Q420)*tech_proj!Q700*$L$110))</f>
        <v/>
      </c>
      <c r="R640" s="73" t="str">
        <f>IF(tech_base!$T16&gt;R$625,"",(1000*tech_proj!R980*(-PMT($J$110,tech_base!$F16,1))+1000*tech_proj!R1260)/((1-tech_proj!R420)*tech_proj!R700*$L$110))</f>
        <v/>
      </c>
      <c r="S640" s="73" t="str">
        <f>IF(tech_base!$T16&gt;S$625,"",(1000*tech_proj!S980*(-PMT($J$110,tech_base!$F16,1))+1000*tech_proj!S1260)/((1-tech_proj!S420)*tech_proj!S700*$L$110))</f>
        <v/>
      </c>
      <c r="T640" s="73" t="str">
        <f>IF(tech_base!$T16&gt;T$625,"",(1000*tech_proj!T980*(-PMT($J$110,tech_base!$F16,1))+1000*tech_proj!T1260)/((1-tech_proj!T420)*tech_proj!T700*$L$110))</f>
        <v/>
      </c>
      <c r="U640" s="73" t="str">
        <f>IF(tech_base!$T16&gt;U$625,"",(1000*tech_proj!U980*(-PMT($J$110,tech_base!$F16,1))+1000*tech_proj!U1260)/((1-tech_proj!U420)*tech_proj!U700*$L$110))</f>
        <v/>
      </c>
      <c r="V640" s="73" t="str">
        <f>IF(tech_base!$T16&gt;V$625,"",(1000*tech_proj!V980*(-PMT($J$110,tech_base!$F16,1))+1000*tech_proj!V1260)/((1-tech_proj!V420)*tech_proj!V700*$L$110))</f>
        <v/>
      </c>
      <c r="W640" s="73" t="str">
        <f>IF(tech_base!$T16&gt;W$625,"",(1000*tech_proj!W980*(-PMT($J$110,tech_base!$F16,1))+1000*tech_proj!W1260)/((1-tech_proj!W420)*tech_proj!W700*$L$110))</f>
        <v/>
      </c>
      <c r="X640" s="73" t="str">
        <f>IF(tech_base!$T16&gt;X$625,"",(1000*tech_proj!X980*(-PMT($J$110,tech_base!$F16,1))+1000*tech_proj!X1260)/((1-tech_proj!X420)*tech_proj!X700*$L$110))</f>
        <v/>
      </c>
      <c r="Y640" s="73" t="str">
        <f>IF(tech_base!$T16&gt;Y$625,"",(1000*tech_proj!Y980*(-PMT($J$110,tech_base!$F16,1))+1000*tech_proj!Y1260)/((1-tech_proj!Y420)*tech_proj!Y700*$L$110))</f>
        <v/>
      </c>
      <c r="Z640" s="73" t="str">
        <f>IF(tech_base!$T16&gt;Z$625,"",(1000*tech_proj!Z980*(-PMT($J$110,tech_base!$F16,1))+1000*tech_proj!Z1260)/((1-tech_proj!Z420)*tech_proj!Z700*$L$110))</f>
        <v/>
      </c>
      <c r="AA640" s="73" t="str">
        <f>IF(tech_base!$T16&gt;AA$625,"",(1000*tech_proj!AA980*(-PMT($J$110,tech_base!$F16,1))+1000*tech_proj!AA1260)/((1-tech_proj!AA420)*tech_proj!AA700*$L$110))</f>
        <v/>
      </c>
      <c r="AB640" s="73" t="str">
        <f>IF(tech_base!$T16&gt;AB$625,"",(1000*tech_proj!AB980*(-PMT($J$110,tech_base!$F16,1))+1000*tech_proj!AB1260)/((1-tech_proj!AB420)*tech_proj!AB700*$L$110))</f>
        <v/>
      </c>
      <c r="AC640" s="73" t="str">
        <f>IF(tech_base!$T16&gt;AC$625,"",(1000*tech_proj!AC980*(-PMT($J$110,tech_base!$F16,1))+1000*tech_proj!AC1260)/((1-tech_proj!AC420)*tech_proj!AC700*$L$110))</f>
        <v/>
      </c>
      <c r="AD640" s="73" t="str">
        <f>IF(tech_base!$T16&gt;AD$625,"",(1000*tech_proj!AD980*(-PMT($J$110,tech_base!$F16,1))+1000*tech_proj!AD1260)/((1-tech_proj!AD420)*tech_proj!AD700*$L$110))</f>
        <v/>
      </c>
      <c r="AE640" s="73">
        <f>IF(tech_base!$T16&gt;AE$625,"",(1000*tech_proj!AE980*(-PMT($J$110,tech_base!$F16,1))+1000*tech_proj!AE1260)/((1-tech_proj!AE420)*tech_proj!AE700*$L$110))</f>
        <v>169.09720433873693</v>
      </c>
      <c r="AF640" s="73">
        <f>IF(tech_base!$T16&gt;AF$625,"",(1000*tech_proj!AF980*(-PMT($J$110,tech_base!$F16,1))+1000*tech_proj!AF1260)/((1-tech_proj!AF420)*tech_proj!AF700*$L$110))</f>
        <v>169.0842128922248</v>
      </c>
      <c r="AG640" s="73">
        <f>IF(tech_base!$T16&gt;AG$625,"",(1000*tech_proj!AG980*(-PMT($J$110,tech_base!$F16,1))+1000*tech_proj!AG1260)/((1-tech_proj!AG420)*tech_proj!AG700*$L$110))</f>
        <v>169.0657854741103</v>
      </c>
      <c r="AH640" s="73">
        <f>IF(tech_base!$T16&gt;AH$625,"",(1000*tech_proj!AH980*(-PMT($J$110,tech_base!$F16,1))+1000*tech_proj!AH1260)/((1-tech_proj!AH420)*tech_proj!AH700*$L$110))</f>
        <v>169.03965246854776</v>
      </c>
      <c r="AI640" s="73">
        <f>IF(tech_base!$T16&gt;AI$625,"",(1000*tech_proj!AI980*(-PMT($J$110,tech_base!$F16,1))+1000*tech_proj!AI1260)/((1-tech_proj!AI420)*tech_proj!AI700*$L$110))</f>
        <v>169.00260165245336</v>
      </c>
      <c r="AJ640" s="73">
        <f>IF(tech_base!$T16&gt;AJ$625,"",(1000*tech_proj!AJ980*(-PMT($J$110,tech_base!$F16,1))+1000*tech_proj!AJ1260)/((1-tech_proj!AJ420)*tech_proj!AJ700*$L$110))</f>
        <v>168.95009176683476</v>
      </c>
      <c r="AK640" s="73">
        <f>IF(tech_base!$T16&gt;AK$625,"",(1000*tech_proj!AK980*(-PMT($J$110,tech_base!$F16,1))+1000*tech_proj!AK1260)/((1-tech_proj!AK420)*tech_proj!AK700*$L$110))</f>
        <v>168.8757127711784</v>
      </c>
      <c r="AL640" s="73">
        <f>IF(tech_base!$T16&gt;AL$625,"",(1000*tech_proj!AL980*(-PMT($J$110,tech_base!$F16,1))+1000*tech_proj!AL1260)/((1-tech_proj!AL420)*tech_proj!AL700*$L$110))</f>
        <v>168.7704371196597</v>
      </c>
      <c r="AM640" s="73">
        <f>IF(tech_base!$T16&gt;AM$625,"",(1000*tech_proj!AM980*(-PMT($J$110,tech_base!$F16,1))+1000*tech_proj!AM1260)/((1-tech_proj!AM420)*tech_proj!AM700*$L$110))</f>
        <v>168.62159149991868</v>
      </c>
      <c r="AN640" s="73">
        <f>IF(tech_base!$T16&gt;AN$625,"",(1000*tech_proj!AN980*(-PMT($J$110,tech_base!$F16,1))+1000*tech_proj!AN1260)/((1-tech_proj!AN420)*tech_proj!AN700*$L$110))</f>
        <v>168.41146537066726</v>
      </c>
      <c r="AO640" s="73">
        <f>IF(tech_base!$T16&gt;AO$625,"",(1000*tech_proj!AO980*(-PMT($J$110,tech_base!$F16,1))+1000*tech_proj!AO1260)/((1-tech_proj!AO420)*tech_proj!AO700*$L$110))</f>
        <v>168.1154693161975</v>
      </c>
      <c r="AP640" s="73">
        <f>IF(tech_base!$T16&gt;AP$625,"",(1000*tech_proj!AP980*(-PMT($J$110,tech_base!$F16,1))+1000*tech_proj!AP1260)/((1-tech_proj!AP420)*tech_proj!AP700*$L$110))</f>
        <v>167.69977980779558</v>
      </c>
      <c r="AQ640" s="73">
        <f>IF(tech_base!$T16&gt;AQ$625,"",(1000*tech_proj!AQ980*(-PMT($J$110,tech_base!$F16,1))+1000*tech_proj!AQ1260)/((1-tech_proj!AQ420)*tech_proj!AQ700*$L$110))</f>
        <v>167.11849066598177</v>
      </c>
      <c r="AR640" s="73">
        <f>IF(tech_base!$T16&gt;AR$625,"",(1000*tech_proj!AR980*(-PMT($J$110,tech_base!$F16,1))+1000*tech_proj!AR1260)/((1-tech_proj!AR420)*tech_proj!AR700*$L$110))</f>
        <v>166.31049391109315</v>
      </c>
      <c r="AS640" s="73">
        <f>IF(tech_base!$T16&gt;AS$625,"",(1000*tech_proj!AS980*(-PMT($J$110,tech_base!$F16,1))+1000*tech_proj!AS1260)/((1-tech_proj!AS420)*tech_proj!AS700*$L$110))</f>
        <v>165.19672379129844</v>
      </c>
      <c r="AT640" s="73">
        <f>IF(tech_base!$T16&gt;AT$625,"",(1000*tech_proj!AT980*(-PMT($J$110,tech_base!$F16,1))+1000*tech_proj!AT1260)/((1-tech_proj!AT420)*tech_proj!AT700*$L$110))</f>
        <v>163.67912427694804</v>
      </c>
      <c r="AU640" s="73">
        <f>IF(tech_base!$T16&gt;AU$625,"",(1000*tech_proj!AU980*(-PMT($J$110,tech_base!$F16,1))+1000*tech_proj!AU1260)/((1-tech_proj!AU420)*tech_proj!AU700*$L$110))</f>
        <v>161.64378630900123</v>
      </c>
      <c r="AV640" s="73">
        <f>IF(tech_base!$T16&gt;AV$625,"",(1000*tech_proj!AV980*(-PMT($J$110,tech_base!$F16,1))+1000*tech_proj!AV1260)/((1-tech_proj!AV420)*tech_proj!AV700*$L$110))</f>
        <v>158.97191086098442</v>
      </c>
      <c r="AW640" s="73">
        <f>IF(tech_base!$T16&gt;AW$625,"",(1000*tech_proj!AW980*(-PMT($J$110,tech_base!$F16,1))+1000*tech_proj!AW1260)/((1-tech_proj!AW420)*tech_proj!AW700*$L$110))</f>
        <v>155.56267397532957</v>
      </c>
      <c r="AX640" s="239">
        <f>IF(tech_base!$T16&gt;AX$625,"",(1000*tech_proj!AX980*(-PMT($J$110,tech_base!$F16,1))+1000*tech_proj!AX1260)/((1-tech_proj!AX420)*tech_proj!AX700*$L$110))</f>
        <v>151.36976118303727</v>
      </c>
      <c r="AY640" s="133"/>
    </row>
    <row r="641" spans="1:51" s="174" customFormat="1" x14ac:dyDescent="0.25">
      <c r="A641" s="356"/>
      <c r="B641" s="358" t="s">
        <v>17</v>
      </c>
      <c r="C641" s="353" t="s">
        <v>6</v>
      </c>
      <c r="D641" s="3" t="s">
        <v>7</v>
      </c>
      <c r="E641" s="162" t="str">
        <f>A633&amp;"/"&amp;B641&amp;"/"&amp;C641&amp;"/"&amp;D641</f>
        <v>Coal fired power plants/Supercritical steam turbine/Electricity only/L</v>
      </c>
      <c r="F641" s="77" t="str">
        <f>A633</f>
        <v>Coal fired power plants</v>
      </c>
      <c r="G641" s="77" t="str">
        <f>B641</f>
        <v>Supercritical steam turbine</v>
      </c>
      <c r="H641" s="77" t="str">
        <f>C641</f>
        <v>Electricity only</v>
      </c>
      <c r="I641" s="163" t="str">
        <f t="shared" si="362"/>
        <v>L</v>
      </c>
      <c r="J641" s="70">
        <f>IF(tech_base!$T17&gt;J$625,"",(1000*tech_proj!J981*(-PMT($J$110,tech_base!$F17,1))+1000*tech_proj!J1261)/((1-tech_proj!J421)*tech_proj!J701*$L$110))</f>
        <v>53.672204111776011</v>
      </c>
      <c r="K641" s="70">
        <f>IF(tech_base!$T17&gt;K$625,"",(1000*tech_proj!K981*(-PMT($J$110,tech_base!$F17,1))+1000*tech_proj!K1261)/((1-tech_proj!K421)*tech_proj!K701*$L$110))</f>
        <v>53.668548857915461</v>
      </c>
      <c r="L641" s="70">
        <f>IF(tech_base!$T17&gt;L$625,"",(1000*tech_proj!L981*(-PMT($J$110,tech_base!$F17,1))+1000*tech_proj!L1261)/((1-tech_proj!L421)*tech_proj!L701*$L$110))</f>
        <v>53.664087696859745</v>
      </c>
      <c r="M641" s="70">
        <f>IF(tech_base!$T17&gt;M$625,"",(1000*tech_proj!M981*(-PMT($J$110,tech_base!$F17,1))+1000*tech_proj!M1261)/((1-tech_proj!M421)*tech_proj!M701*$L$110))</f>
        <v>53.658643853321145</v>
      </c>
      <c r="N641" s="70">
        <f>IF(tech_base!$T17&gt;N$625,"",(1000*tech_proj!N981*(-PMT($J$110,tech_base!$F17,1))+1000*tech_proj!N1261)/((1-tech_proj!N421)*tech_proj!N701*$L$110))</f>
        <v>53.652002222706749</v>
      </c>
      <c r="O641" s="70">
        <f>IF(tech_base!$T17&gt;O$625,"",(1000*tech_proj!O981*(-PMT($J$110,tech_base!$F17,1))+1000*tech_proj!O1261)/((1-tech_proj!O421)*tech_proj!O701*$L$110))</f>
        <v>53.643901279114054</v>
      </c>
      <c r="P641" s="70">
        <f>IF(tech_base!$T17&gt;P$625,"",(1000*tech_proj!P981*(-PMT($J$110,tech_base!$F17,1))+1000*tech_proj!P1261)/((1-tech_proj!P421)*tech_proj!P701*$L$110))</f>
        <v>53.634023382524241</v>
      </c>
      <c r="Q641" s="70">
        <f>IF(tech_base!$T17&gt;Q$625,"",(1000*tech_proj!Q981*(-PMT($J$110,tech_base!$F17,1))+1000*tech_proj!Q1261)/((1-tech_proj!Q421)*tech_proj!Q701*$L$110))</f>
        <v>53.621983222093498</v>
      </c>
      <c r="R641" s="70">
        <f>IF(tech_base!$T17&gt;R$625,"",(1000*tech_proj!R981*(-PMT($J$110,tech_base!$F17,1))+1000*tech_proj!R1261)/((1-tech_proj!R421)*tech_proj!R701*$L$110))</f>
        <v>53.607314117076108</v>
      </c>
      <c r="S641" s="70">
        <f>IF(tech_base!$T17&gt;S$625,"",(1000*tech_proj!S981*(-PMT($J$110,tech_base!$F17,1))+1000*tech_proj!S1261)/((1-tech_proj!S421)*tech_proj!S701*$L$110))</f>
        <v>53.589451897608988</v>
      </c>
      <c r="T641" s="70">
        <f>IF(tech_base!$T17&gt;T$625,"",(1000*tech_proj!T981*(-PMT($J$110,tech_base!$F17,1))+1000*tech_proj!T1261)/((1-tech_proj!T421)*tech_proj!T701*$L$110))</f>
        <v>53.567716116191335</v>
      </c>
      <c r="U641" s="70">
        <f>IF(tech_base!$T17&gt;U$625,"",(1000*tech_proj!U981*(-PMT($J$110,tech_base!$F17,1))+1000*tech_proj!U1261)/((1-tech_proj!U421)*tech_proj!U701*$L$110))</f>
        <v>53.541288414750895</v>
      </c>
      <c r="V641" s="70">
        <f>IF(tech_base!$T17&gt;V$625,"",(1000*tech_proj!V981*(-PMT($J$110,tech_base!$F17,1))+1000*tech_proj!V1261)/((1-tech_proj!V421)*tech_proj!V701*$L$110))</f>
        <v>53.509188016982328</v>
      </c>
      <c r="W641" s="70">
        <f>IF(tech_base!$T17&gt;W$625,"",(1000*tech_proj!W981*(-PMT($J$110,tech_base!$F17,1))+1000*tech_proj!W1261)/((1-tech_proj!W421)*tech_proj!W701*$L$110))</f>
        <v>53.470244566515277</v>
      </c>
      <c r="X641" s="70">
        <f>IF(tech_base!$T17&gt;X$625,"",(1000*tech_proj!X981*(-PMT($J$110,tech_base!$F17,1))+1000*tech_proj!X1261)/((1-tech_proj!X421)*tech_proj!X701*$L$110))</f>
        <v>53.423068936098304</v>
      </c>
      <c r="Y641" s="70">
        <f>IF(tech_base!$T17&gt;Y$625,"",(1000*tech_proj!Y981*(-PMT($J$110,tech_base!$F17,1))+1000*tech_proj!Y1261)/((1-tech_proj!Y421)*tech_proj!Y701*$L$110))</f>
        <v>53.366023252782917</v>
      </c>
      <c r="Z641" s="70">
        <f>IF(tech_base!$T17&gt;Z$625,"",(1000*tech_proj!Z981*(-PMT($J$110,tech_base!$F17,1))+1000*tech_proj!Z1261)/((1-tech_proj!Z421)*tech_proj!Z701*$L$110))</f>
        <v>53.297192293115444</v>
      </c>
      <c r="AA641" s="70">
        <f>IF(tech_base!$T17&gt;AA$625,"",(1000*tech_proj!AA981*(-PMT($J$110,tech_base!$F17,1))+1000*tech_proj!AA1261)/((1-tech_proj!AA421)*tech_proj!AA701*$L$110))</f>
        <v>53.214359680828288</v>
      </c>
      <c r="AB641" s="70">
        <f>IF(tech_base!$T17&gt;AB$625,"",(1000*tech_proj!AB981*(-PMT($J$110,tech_base!$F17,1))+1000*tech_proj!AB1261)/((1-tech_proj!AB421)*tech_proj!AB701*$L$110))</f>
        <v>53.114994037302829</v>
      </c>
      <c r="AC641" s="70">
        <f>IF(tech_base!$T17&gt;AC$625,"",(1000*tech_proj!AC981*(-PMT($J$110,tech_base!$F17,1))+1000*tech_proj!AC1261)/((1-tech_proj!AC421)*tech_proj!AC701*$L$110))</f>
        <v>52.996252418044349</v>
      </c>
      <c r="AD641" s="70">
        <f>IF(tech_base!$T17&gt;AD$625,"",(1000*tech_proj!AD981*(-PMT($J$110,tech_base!$F17,1))+1000*tech_proj!AD1261)/((1-tech_proj!AD421)*tech_proj!AD701*$L$110))</f>
        <v>52.855010939261504</v>
      </c>
      <c r="AE641" s="70">
        <f>IF(tech_base!$T17&gt;AE$625,"",(1000*tech_proj!AE981*(-PMT($J$110,tech_base!$F17,1))+1000*tech_proj!AE1261)/((1-tech_proj!AE421)*tech_proj!AE701*$L$110))</f>
        <v>52.68793518392043</v>
      </c>
      <c r="AF641" s="70">
        <f>IF(tech_base!$T17&gt;AF$625,"",(1000*tech_proj!AF981*(-PMT($J$110,tech_base!$F17,1))+1000*tech_proj!AF1261)/((1-tech_proj!AF421)*tech_proj!AF701*$L$110))</f>
        <v>52.491605179203752</v>
      </c>
      <c r="AG641" s="70">
        <f>IF(tech_base!$T17&gt;AG$625,"",(1000*tech_proj!AG981*(-PMT($J$110,tech_base!$F17,1))+1000*tech_proj!AG1261)/((1-tech_proj!AG421)*tech_proj!AG701*$L$110))</f>
        <v>52.262710393744307</v>
      </c>
      <c r="AH641" s="70">
        <f>IF(tech_base!$T17&gt;AH$625,"",(1000*tech_proj!AH981*(-PMT($J$110,tech_base!$F17,1))+1000*tech_proj!AH1261)/((1-tech_proj!AH421)*tech_proj!AH701*$L$110))</f>
        <v>51.998327687079311</v>
      </c>
      <c r="AI641" s="70">
        <f>IF(tech_base!$T17&gt;AI$625,"",(1000*tech_proj!AI981*(-PMT($J$110,tech_base!$F17,1))+1000*tech_proj!AI1261)/((1-tech_proj!AI421)*tech_proj!AI701*$L$110))</f>
        <v>51.696287342389283</v>
      </c>
      <c r="AJ641" s="70">
        <f>IF(tech_base!$T17&gt;AJ$625,"",(1000*tech_proj!AJ981*(-PMT($J$110,tech_base!$F17,1))+1000*tech_proj!AJ1261)/((1-tech_proj!AJ421)*tech_proj!AJ701*$L$110))</f>
        <v>51.355617074962495</v>
      </c>
      <c r="AK641" s="70">
        <f>IF(tech_base!$T17&gt;AK$625,"",(1000*tech_proj!AK981*(-PMT($J$110,tech_base!$F17,1))+1000*tech_proj!AK1261)/((1-tech_proj!AK421)*tech_proj!AK701*$L$110))</f>
        <v>50.977030083268204</v>
      </c>
      <c r="AL641" s="70">
        <f>IF(tech_base!$T17&gt;AL$625,"",(1000*tech_proj!AL981*(-PMT($J$110,tech_base!$F17,1))+1000*tech_proj!AL1261)/((1-tech_proj!AL421)*tech_proj!AL701*$L$110))</f>
        <v>50.563392352961401</v>
      </c>
      <c r="AM641" s="70">
        <f>IF(tech_base!$T17&gt;AM$625,"",(1000*tech_proj!AM981*(-PMT($J$110,tech_base!$F17,1))+1000*tech_proj!AM1261)/((1-tech_proj!AM421)*tech_proj!AM701*$L$110))</f>
        <v>50.120072769344425</v>
      </c>
      <c r="AN641" s="70">
        <f>IF(tech_base!$T17&gt;AN$625,"",(1000*tech_proj!AN981*(-PMT($J$110,tech_base!$F17,1))+1000*tech_proj!AN1261)/((1-tech_proj!AN421)*tech_proj!AN701*$L$110))</f>
        <v>49.655059098520454</v>
      </c>
      <c r="AO641" s="70">
        <f>IF(tech_base!$T17&gt;AO$625,"",(1000*tech_proj!AO981*(-PMT($J$110,tech_base!$F17,1))+1000*tech_proj!AO1261)/((1-tech_proj!AO421)*tech_proj!AO701*$L$110))</f>
        <v>49.178729443252536</v>
      </c>
      <c r="AP641" s="70">
        <f>IF(tech_base!$T17&gt;AP$625,"",(1000*tech_proj!AP981*(-PMT($J$110,tech_base!$F17,1))+1000*tech_proj!AP1261)/((1-tech_proj!AP421)*tech_proj!AP701*$L$110))</f>
        <v>48.703215892774516</v>
      </c>
      <c r="AQ641" s="70">
        <f>IF(tech_base!$T17&gt;AQ$625,"",(1000*tech_proj!AQ981*(-PMT($J$110,tech_base!$F17,1))+1000*tech_proj!AQ1261)/((1-tech_proj!AQ421)*tech_proj!AQ701*$L$110))</f>
        <v>48.241385977790202</v>
      </c>
      <c r="AR641" s="70">
        <f>IF(tech_base!$T17&gt;AR$625,"",(1000*tech_proj!AR981*(-PMT($J$110,tech_base!$F17,1))+1000*tech_proj!AR1261)/((1-tech_proj!AR421)*tech_proj!AR701*$L$110))</f>
        <v>47.805578559908454</v>
      </c>
      <c r="AS641" s="70">
        <f>IF(tech_base!$T17&gt;AS$625,"",(1000*tech_proj!AS981*(-PMT($J$110,tech_base!$F17,1))+1000*tech_proj!AS1261)/((1-tech_proj!AS421)*tech_proj!AS701*$L$110))</f>
        <v>47.406324400066097</v>
      </c>
      <c r="AT641" s="70">
        <f>IF(tech_base!$T17&gt;AT$625,"",(1000*tech_proj!AT981*(-PMT($J$110,tech_base!$F17,1))+1000*tech_proj!AT1261)/((1-tech_proj!AT421)*tech_proj!AT701*$L$110))</f>
        <v>47.051314017485993</v>
      </c>
      <c r="AU641" s="70">
        <f>IF(tech_base!$T17&gt;AU$625,"",(1000*tech_proj!AU981*(-PMT($J$110,tech_base!$F17,1))+1000*tech_proj!AU1261)/((1-tech_proj!AU421)*tech_proj!AU701*$L$110))</f>
        <v>46.744823075988073</v>
      </c>
      <c r="AV641" s="70">
        <f>IF(tech_base!$T17&gt;AV$625,"",(1000*tech_proj!AV981*(-PMT($J$110,tech_base!$F17,1))+1000*tech_proj!AV1261)/((1-tech_proj!AV421)*tech_proj!AV701*$L$110))</f>
        <v>46.487682980627696</v>
      </c>
      <c r="AW641" s="70">
        <f>IF(tech_base!$T17&gt;AW$625,"",(1000*tech_proj!AW981*(-PMT($J$110,tech_base!$F17,1))+1000*tech_proj!AW1261)/((1-tech_proj!AW421)*tech_proj!AW701*$L$110))</f>
        <v>46.27773992947423</v>
      </c>
      <c r="AX641" s="236">
        <f>IF(tech_base!$T17&gt;AX$625,"",(1000*tech_proj!AX981*(-PMT($J$110,tech_base!$F17,1))+1000*tech_proj!AX1261)/((1-tech_proj!AX421)*tech_proj!AX701*$L$110))</f>
        <v>46.110635525452551</v>
      </c>
      <c r="AY641" s="133"/>
    </row>
    <row r="642" spans="1:51" s="174" customFormat="1" x14ac:dyDescent="0.25">
      <c r="A642" s="356"/>
      <c r="B642" s="376"/>
      <c r="C642" s="379"/>
      <c r="D642" s="2" t="s">
        <v>8</v>
      </c>
      <c r="E642" s="160" t="str">
        <f>A633&amp;"/"&amp;B641&amp;"/"&amp;C641&amp;"/"&amp;D642</f>
        <v>Coal fired power plants/Supercritical steam turbine/Electricity only/M</v>
      </c>
      <c r="F642" s="76" t="str">
        <f>A633</f>
        <v>Coal fired power plants</v>
      </c>
      <c r="G642" s="76" t="str">
        <f>B641</f>
        <v>Supercritical steam turbine</v>
      </c>
      <c r="H642" s="76" t="str">
        <f>C641</f>
        <v>Electricity only</v>
      </c>
      <c r="I642" s="161" t="str">
        <f t="shared" si="362"/>
        <v>M</v>
      </c>
      <c r="J642" s="69">
        <f>IF(tech_base!$T18&gt;J$625,"",(1000*tech_proj!J982*(-PMT($J$110,tech_base!$F18,1))+1000*tech_proj!J1262)/((1-tech_proj!J422)*tech_proj!J702*$L$110))</f>
        <v>58.657063174400065</v>
      </c>
      <c r="K642" s="69">
        <f>IF(tech_base!$T18&gt;K$625,"",(1000*tech_proj!K982*(-PMT($J$110,tech_base!$F18,1))+1000*tech_proj!K1262)/((1-tech_proj!K422)*tech_proj!K702*$L$110))</f>
        <v>58.650042183544443</v>
      </c>
      <c r="L642" s="69">
        <f>IF(tech_base!$T18&gt;L$625,"",(1000*tech_proj!L982*(-PMT($J$110,tech_base!$F18,1))+1000*tech_proj!L1262)/((1-tech_proj!L422)*tech_proj!L702*$L$110))</f>
        <v>58.641687225502992</v>
      </c>
      <c r="M642" s="69">
        <f>IF(tech_base!$T18&gt;M$625,"",(1000*tech_proj!M982*(-PMT($J$110,tech_base!$F18,1))+1000*tech_proj!M1262)/((1-tech_proj!M422)*tech_proj!M702*$L$110))</f>
        <v>58.631746839933825</v>
      </c>
      <c r="N642" s="69">
        <f>IF(tech_base!$T18&gt;N$625,"",(1000*tech_proj!N982*(-PMT($J$110,tech_base!$F18,1))+1000*tech_proj!N1262)/((1-tech_proj!N422)*tech_proj!N702*$L$110))</f>
        <v>58.619922994168356</v>
      </c>
      <c r="O642" s="69">
        <f>IF(tech_base!$T18&gt;O$625,"",(1000*tech_proj!O982*(-PMT($J$110,tech_base!$F18,1))+1000*tech_proj!O1262)/((1-tech_proj!O422)*tech_proj!O702*$L$110))</f>
        <v>58.605862803522065</v>
      </c>
      <c r="P642" s="69">
        <f>IF(tech_base!$T18&gt;P$625,"",(1000*tech_proj!P982*(-PMT($J$110,tech_base!$F18,1))+1000*tech_proj!P1262)/((1-tech_proj!P422)*tech_proj!P702*$L$110))</f>
        <v>58.589148924615962</v>
      </c>
      <c r="Q642" s="69">
        <f>IF(tech_base!$T18&gt;Q$625,"",(1000*tech_proj!Q982*(-PMT($J$110,tech_base!$F18,1))+1000*tech_proj!Q1262)/((1-tech_proj!Q422)*tech_proj!Q702*$L$110))</f>
        <v>58.569288471114206</v>
      </c>
      <c r="R642" s="69">
        <f>IF(tech_base!$T18&gt;R$625,"",(1000*tech_proj!R982*(-PMT($J$110,tech_base!$F18,1))+1000*tech_proj!R1262)/((1-tech_proj!R422)*tech_proj!R702*$L$110))</f>
        <v>58.54570031283658</v>
      </c>
      <c r="S642" s="69">
        <f>IF(tech_base!$T18&gt;S$625,"",(1000*tech_proj!S982*(-PMT($J$110,tech_base!$F18,1))+1000*tech_proj!S1262)/((1-tech_proj!S422)*tech_proj!S702*$L$110))</f>
        <v>58.517700647958783</v>
      </c>
      <c r="T642" s="69">
        <f>IF(tech_base!$T18&gt;T$625,"",(1000*tech_proj!T982*(-PMT($J$110,tech_base!$F18,1))+1000*tech_proj!T1262)/((1-tech_proj!T422)*tech_proj!T702*$L$110))</f>
        <v>58.484486792288294</v>
      </c>
      <c r="U642" s="69">
        <f>IF(tech_base!$T18&gt;U$625,"",(1000*tech_proj!U982*(-PMT($J$110,tech_base!$F18,1))+1000*tech_proj!U1262)/((1-tech_proj!U422)*tech_proj!U702*$L$110))</f>
        <v>58.445119220622615</v>
      </c>
      <c r="V642" s="69">
        <f>IF(tech_base!$T18&gt;V$625,"",(1000*tech_proj!V982*(-PMT($J$110,tech_base!$F18,1))+1000*tech_proj!V1262)/((1-tech_proj!V422)*tech_proj!V702*$L$110))</f>
        <v>58.398502037716604</v>
      </c>
      <c r="W642" s="69">
        <f>IF(tech_base!$T18&gt;W$625,"",(1000*tech_proj!W982*(-PMT($J$110,tech_base!$F18,1))+1000*tech_proj!W1262)/((1-tech_proj!W422)*tech_proj!W702*$L$110))</f>
        <v>58.343362269201172</v>
      </c>
      <c r="X642" s="69">
        <f>IF(tech_base!$T18&gt;X$625,"",(1000*tech_proj!X982*(-PMT($J$110,tech_base!$F18,1))+1000*tech_proj!X1262)/((1-tech_proj!X422)*tech_proj!X702*$L$110))</f>
        <v>58.278228668877759</v>
      </c>
      <c r="Y642" s="69">
        <f>IF(tech_base!$T18&gt;Y$625,"",(1000*tech_proj!Y982*(-PMT($J$110,tech_base!$F18,1))+1000*tech_proj!Y1262)/((1-tech_proj!Y422)*tech_proj!Y702*$L$110))</f>
        <v>58.201411164648313</v>
      </c>
      <c r="Z642" s="69">
        <f>IF(tech_base!$T18&gt;Z$625,"",(1000*tech_proj!Z982*(-PMT($J$110,tech_base!$F18,1))+1000*tech_proj!Z1262)/((1-tech_proj!Z422)*tech_proj!Z702*$L$110))</f>
        <v>58.110982638764796</v>
      </c>
      <c r="AA642" s="69">
        <f>IF(tech_base!$T18&gt;AA$625,"",(1000*tech_proj!AA982*(-PMT($J$110,tech_base!$F18,1))+1000*tech_proj!AA1262)/((1-tech_proj!AA422)*tech_proj!AA702*$L$110))</f>
        <v>58.004765483584336</v>
      </c>
      <c r="AB642" s="69">
        <f>IF(tech_base!$T18&gt;AB$625,"",(1000*tech_proj!AB982*(-PMT($J$110,tech_base!$F18,1))+1000*tech_proj!AB1262)/((1-tech_proj!AB422)*tech_proj!AB702*$L$110))</f>
        <v>57.880326304073883</v>
      </c>
      <c r="AC642" s="69">
        <f>IF(tech_base!$T18&gt;AC$625,"",(1000*tech_proj!AC982*(-PMT($J$110,tech_base!$F18,1))+1000*tech_proj!AC1262)/((1-tech_proj!AC422)*tech_proj!AC702*$L$110))</f>
        <v>57.734983239028644</v>
      </c>
      <c r="AD642" s="69">
        <f>IF(tech_base!$T18&gt;AD$625,"",(1000*tech_proj!AD982*(-PMT($J$110,tech_base!$F18,1))+1000*tech_proj!AD1262)/((1-tech_proj!AD422)*tech_proj!AD702*$L$110))</f>
        <v>57.565831582376084</v>
      </c>
      <c r="AE642" s="69">
        <f>IF(tech_base!$T18&gt;AE$625,"",(1000*tech_proj!AE982*(-PMT($J$110,tech_base!$F18,1))+1000*tech_proj!AE1262)/((1-tech_proj!AE422)*tech_proj!AE702*$L$110))</f>
        <v>57.369794564152116</v>
      </c>
      <c r="AF642" s="69">
        <f>IF(tech_base!$T18&gt;AF$625,"",(1000*tech_proj!AF982*(-PMT($J$110,tech_base!$F18,1))+1000*tech_proj!AF1262)/((1-tech_proj!AF422)*tech_proj!AF702*$L$110))</f>
        <v>57.143707043988819</v>
      </c>
      <c r="AG642" s="69">
        <f>IF(tech_base!$T18&gt;AG$625,"",(1000*tech_proj!AG982*(-PMT($J$110,tech_base!$F18,1))+1000*tech_proj!AG1262)/((1-tech_proj!AG422)*tech_proj!AG702*$L$110))</f>
        <v>56.884440075717109</v>
      </c>
      <c r="AH642" s="69">
        <f>IF(tech_base!$T18&gt;AH$625,"",(1000*tech_proj!AH982*(-PMT($J$110,tech_base!$F18,1))+1000*tech_proj!AH1262)/((1-tech_proj!AH422)*tech_proj!AH702*$L$110))</f>
        <v>56.589073251253723</v>
      </c>
      <c r="AI642" s="69">
        <f>IF(tech_base!$T18&gt;AI$625,"",(1000*tech_proj!AI982*(-PMT($J$110,tech_base!$F18,1))+1000*tech_proj!AI1262)/((1-tech_proj!AI422)*tech_proj!AI702*$L$110))</f>
        <v>56.255118718981855</v>
      </c>
      <c r="AJ642" s="69">
        <f>IF(tech_base!$T18&gt;AJ$625,"",(1000*tech_proj!AJ982*(-PMT($J$110,tech_base!$F18,1))+1000*tech_proj!AJ1262)/((1-tech_proj!AJ422)*tech_proj!AJ702*$L$110))</f>
        <v>55.880795067345758</v>
      </c>
      <c r="AK642" s="69">
        <f>IF(tech_base!$T18&gt;AK$625,"",(1000*tech_proj!AK982*(-PMT($J$110,tech_base!$F18,1))+1000*tech_proj!AK1262)/((1-tech_proj!AK422)*tech_proj!AK702*$L$110))</f>
        <v>55.465340360678503</v>
      </c>
      <c r="AL642" s="69">
        <f>IF(tech_base!$T18&gt;AL$625,"",(1000*tech_proj!AL982*(-PMT($J$110,tech_base!$F18,1))+1000*tech_proj!AL1262)/((1-tech_proj!AL422)*tech_proj!AL702*$L$110))</f>
        <v>55.009341617148884</v>
      </c>
      <c r="AM642" s="69">
        <f>IF(tech_base!$T18&gt;AM$625,"",(1000*tech_proj!AM982*(-PMT($J$110,tech_base!$F18,1))+1000*tech_proj!AM1262)/((1-tech_proj!AM422)*tech_proj!AM702*$L$110))</f>
        <v>54.515044138312149</v>
      </c>
      <c r="AN642" s="69">
        <f>IF(tech_base!$T18&gt;AN$625,"",(1000*tech_proj!AN982*(-PMT($J$110,tech_base!$F18,1))+1000*tech_proj!AN1262)/((1-tech_proj!AN422)*tech_proj!AN702*$L$110))</f>
        <v>53.986591070153871</v>
      </c>
      <c r="AO642" s="69">
        <f>IF(tech_base!$T18&gt;AO$625,"",(1000*tech_proj!AO982*(-PMT($J$110,tech_base!$F18,1))+1000*tech_proj!AO1262)/((1-tech_proj!AO422)*tech_proj!AO702*$L$110))</f>
        <v>53.430135690932943</v>
      </c>
      <c r="AP642" s="69">
        <f>IF(tech_base!$T18&gt;AP$625,"",(1000*tech_proj!AP982*(-PMT($J$110,tech_base!$F18,1))+1000*tech_proj!AP1262)/((1-tech_proj!AP422)*tech_proj!AP702*$L$110))</f>
        <v>52.853771310505351</v>
      </c>
      <c r="AQ642" s="69">
        <f>IF(tech_base!$T18&gt;AQ$625,"",(1000*tech_proj!AQ982*(-PMT($J$110,tech_base!$F18,1))+1000*tech_proj!AQ1262)/((1-tech_proj!AQ422)*tech_proj!AQ702*$L$110))</f>
        <v>52.267240585998451</v>
      </c>
      <c r="AR642" s="69">
        <f>IF(tech_base!$T18&gt;AR$625,"",(1000*tech_proj!AR982*(-PMT($J$110,tech_base!$F18,1))+1000*tech_proj!AR1262)/((1-tech_proj!AR422)*tech_proj!AR702*$L$110))</f>
        <v>51.681418477711695</v>
      </c>
      <c r="AS642" s="69">
        <f>IF(tech_base!$T18&gt;AS$625,"",(1000*tech_proj!AS982*(-PMT($J$110,tech_base!$F18,1))+1000*tech_proj!AS1262)/((1-tech_proj!AS422)*tech_proj!AS702*$L$110))</f>
        <v>51.107606526658699</v>
      </c>
      <c r="AT642" s="69">
        <f>IF(tech_base!$T18&gt;AT$625,"",(1000*tech_proj!AT982*(-PMT($J$110,tech_base!$F18,1))+1000*tech_proj!AT1262)/((1-tech_proj!AT422)*tech_proj!AT702*$L$110))</f>
        <v>50.556720362260393</v>
      </c>
      <c r="AU642" s="69">
        <f>IF(tech_base!$T18&gt;AU$625,"",(1000*tech_proj!AU982*(-PMT($J$110,tech_base!$F18,1))+1000*tech_proj!AU1262)/((1-tech_proj!AU422)*tech_proj!AU702*$L$110))</f>
        <v>50.038483781031253</v>
      </c>
      <c r="AV642" s="69">
        <f>IF(tech_base!$T18&gt;AV$625,"",(1000*tech_proj!AV982*(-PMT($J$110,tech_base!$F18,1))+1000*tech_proj!AV1262)/((1-tech_proj!AV422)*tech_proj!AV702*$L$110))</f>
        <v>49.560749612689989</v>
      </c>
      <c r="AW642" s="69">
        <f>IF(tech_base!$T18&gt;AW$625,"",(1000*tech_proj!AW982*(-PMT($J$110,tech_base!$F18,1))+1000*tech_proj!AW1262)/((1-tech_proj!AW422)*tech_proj!AW702*$L$110))</f>
        <v>49.12904543782961</v>
      </c>
      <c r="AX642" s="235">
        <f>IF(tech_base!$T18&gt;AX$625,"",(1000*tech_proj!AX982*(-PMT($J$110,tech_base!$F18,1))+1000*tech_proj!AX1262)/((1-tech_proj!AX422)*tech_proj!AX702*$L$110))</f>
        <v>48.746396642764545</v>
      </c>
      <c r="AY642" s="133"/>
    </row>
    <row r="643" spans="1:51" s="174" customFormat="1" x14ac:dyDescent="0.25">
      <c r="A643" s="356"/>
      <c r="B643" s="376"/>
      <c r="C643" s="361" t="s">
        <v>14</v>
      </c>
      <c r="D643" s="58" t="s">
        <v>7</v>
      </c>
      <c r="E643" s="164" t="str">
        <f>A633&amp;"/"&amp;B641&amp;"/"&amp;C643&amp;"/"&amp;D643</f>
        <v>Coal fired power plants/Supercritical steam turbine/CHP/L</v>
      </c>
      <c r="F643" s="78" t="str">
        <f>A633</f>
        <v>Coal fired power plants</v>
      </c>
      <c r="G643" s="78" t="str">
        <f>B641</f>
        <v>Supercritical steam turbine</v>
      </c>
      <c r="H643" s="78" t="str">
        <f>C643</f>
        <v>CHP</v>
      </c>
      <c r="I643" s="165" t="str">
        <f t="shared" si="362"/>
        <v>L</v>
      </c>
      <c r="J643" s="71">
        <f>IF(tech_base!$T19&gt;J$625,"",(1000*tech_proj!J983*(-PMT($J$110,tech_base!$F19,1))+1000*tech_proj!J1263)/((1-tech_proj!J423)*tech_proj!J703*$L$110))</f>
        <v>66.364308634590472</v>
      </c>
      <c r="K643" s="71">
        <f>IF(tech_base!$T19&gt;K$625,"",(1000*tech_proj!K983*(-PMT($J$110,tech_base!$F19,1))+1000*tech_proj!K1263)/((1-tech_proj!K423)*tech_proj!K703*$L$110))</f>
        <v>66.360391623676293</v>
      </c>
      <c r="L643" s="71">
        <f>IF(tech_base!$T19&gt;L$625,"",(1000*tech_proj!L983*(-PMT($J$110,tech_base!$F19,1))+1000*tech_proj!L1263)/((1-tech_proj!L423)*tech_proj!L703*$L$110))</f>
        <v>66.355610993599214</v>
      </c>
      <c r="M643" s="71">
        <f>IF(tech_base!$T19&gt;M$625,"",(1000*tech_proj!M983*(-PMT($J$110,tech_base!$F19,1))+1000*tech_proj!M1263)/((1-tech_proj!M423)*tech_proj!M703*$L$110))</f>
        <v>66.349777309983963</v>
      </c>
      <c r="N643" s="71">
        <f>IF(tech_base!$T19&gt;N$625,"",(1000*tech_proj!N983*(-PMT($J$110,tech_base!$F19,1))+1000*tech_proj!N1263)/((1-tech_proj!N423)*tech_proj!N703*$L$110))</f>
        <v>66.342660064343292</v>
      </c>
      <c r="O643" s="71">
        <f>IF(tech_base!$T19&gt;O$625,"",(1000*tech_proj!O983*(-PMT($J$110,tech_base!$F19,1))+1000*tech_proj!O1263)/((1-tech_proj!O423)*tech_proj!O703*$L$110))</f>
        <v>66.333979002595385</v>
      </c>
      <c r="P643" s="71">
        <f>IF(tech_base!$T19&gt;P$625,"",(1000*tech_proj!P983*(-PMT($J$110,tech_base!$F19,1))+1000*tech_proj!P1263)/((1-tech_proj!P423)*tech_proj!P703*$L$110))</f>
        <v>66.323393738143807</v>
      </c>
      <c r="Q643" s="71">
        <f>IF(tech_base!$T19&gt;Q$625,"",(1000*tech_proj!Q983*(-PMT($J$110,tech_base!$F19,1))+1000*tech_proj!Q1263)/((1-tech_proj!Q423)*tech_proj!Q703*$L$110))</f>
        <v>66.310491367579431</v>
      </c>
      <c r="R643" s="71">
        <f>IF(tech_base!$T19&gt;R$625,"",(1000*tech_proj!R983*(-PMT($J$110,tech_base!$F19,1))+1000*tech_proj!R1263)/((1-tech_proj!R423)*tech_proj!R703*$L$110))</f>
        <v>66.294771790596144</v>
      </c>
      <c r="S643" s="71">
        <f>IF(tech_base!$T19&gt;S$625,"",(1000*tech_proj!S983*(-PMT($J$110,tech_base!$F19,1))+1000*tech_proj!S1263)/((1-tech_proj!S423)*tech_proj!S703*$L$110))</f>
        <v>66.275630436459451</v>
      </c>
      <c r="T643" s="71">
        <f>IF(tech_base!$T19&gt;T$625,"",(1000*tech_proj!T983*(-PMT($J$110,tech_base!$F19,1))+1000*tech_proj!T1263)/((1-tech_proj!T423)*tech_proj!T703*$L$110))</f>
        <v>66.252338130017989</v>
      </c>
      <c r="U643" s="71">
        <f>IF(tech_base!$T19&gt;U$625,"",(1000*tech_proj!U983*(-PMT($J$110,tech_base!$F19,1))+1000*tech_proj!U1263)/((1-tech_proj!U423)*tech_proj!U703*$L$110))</f>
        <v>66.224017909609714</v>
      </c>
      <c r="V643" s="71">
        <f>IF(tech_base!$T19&gt;V$625,"",(1000*tech_proj!V983*(-PMT($J$110,tech_base!$F19,1))+1000*tech_proj!V1263)/((1-tech_proj!V423)*tech_proj!V703*$L$110))</f>
        <v>66.189618764377684</v>
      </c>
      <c r="W643" s="71">
        <f>IF(tech_base!$T19&gt;W$625,"",(1000*tech_proj!W983*(-PMT($J$110,tech_base!$F19,1))+1000*tech_proj!W1263)/((1-tech_proj!W423)*tech_proj!W703*$L$110))</f>
        <v>66.147886527347097</v>
      </c>
      <c r="X643" s="71">
        <f>IF(tech_base!$T19&gt;X$625,"",(1000*tech_proj!X983*(-PMT($J$110,tech_base!$F19,1))+1000*tech_proj!X1263)/((1-tech_proj!X423)*tech_proj!X703*$L$110))</f>
        <v>66.097332594220575</v>
      </c>
      <c r="Y643" s="71">
        <f>IF(tech_base!$T19&gt;Y$625,"",(1000*tech_proj!Y983*(-PMT($J$110,tech_base!$F19,1))+1000*tech_proj!Y1263)/((1-tech_proj!Y423)*tech_proj!Y703*$L$110))</f>
        <v>66.036201802029893</v>
      </c>
      <c r="Z643" s="71">
        <f>IF(tech_base!$T19&gt;Z$625,"",(1000*tech_proj!Z983*(-PMT($J$110,tech_base!$F19,1))+1000*tech_proj!Z1263)/((1-tech_proj!Z423)*tech_proj!Z703*$L$110))</f>
        <v>65.962441775903969</v>
      </c>
      <c r="AA643" s="71">
        <f>IF(tech_base!$T19&gt;AA$625,"",(1000*tech_proj!AA983*(-PMT($J$110,tech_base!$F19,1))+1000*tech_proj!AA1263)/((1-tech_proj!AA423)*tech_proj!AA703*$L$110))</f>
        <v>65.873677422248321</v>
      </c>
      <c r="AB643" s="71">
        <f>IF(tech_base!$T19&gt;AB$625,"",(1000*tech_proj!AB983*(-PMT($J$110,tech_base!$F19,1))+1000*tech_proj!AB1263)/((1-tech_proj!AB423)*tech_proj!AB703*$L$110))</f>
        <v>65.76719608742647</v>
      </c>
      <c r="AC643" s="71">
        <f>IF(tech_base!$T19&gt;AC$625,"",(1000*tech_proj!AC983*(-PMT($J$110,tech_base!$F19,1))+1000*tech_proj!AC1263)/((1-tech_proj!AC423)*tech_proj!AC703*$L$110))</f>
        <v>65.639951240324876</v>
      </c>
      <c r="AD643" s="71">
        <f>IF(tech_base!$T19&gt;AD$625,"",(1000*tech_proj!AD983*(-PMT($J$110,tech_base!$F19,1))+1000*tech_proj!AD1263)/((1-tech_proj!AD423)*tech_proj!AD703*$L$110))</f>
        <v>65.488595292137873</v>
      </c>
      <c r="AE643" s="71">
        <f>IF(tech_base!$T19&gt;AE$625,"",(1000*tech_proj!AE983*(-PMT($J$110,tech_base!$F19,1))+1000*tech_proj!AE1263)/((1-tech_proj!AE423)*tech_proj!AE703*$L$110))</f>
        <v>65.309555044282732</v>
      </c>
      <c r="AF643" s="71">
        <f>IF(tech_base!$T19&gt;AF$625,"",(1000*tech_proj!AF983*(-PMT($J$110,tech_base!$F19,1))+1000*tech_proj!AF1263)/((1-tech_proj!AF423)*tech_proj!AF703*$L$110))</f>
        <v>65.09916561564232</v>
      </c>
      <c r="AG643" s="71">
        <f>IF(tech_base!$T19&gt;AG$625,"",(1000*tech_proj!AG983*(-PMT($J$110,tech_base!$F19,1))+1000*tech_proj!AG1263)/((1-tech_proj!AG423)*tech_proj!AG703*$L$110))</f>
        <v>64.85387940378142</v>
      </c>
      <c r="AH643" s="71">
        <f>IF(tech_base!$T19&gt;AH$625,"",(1000*tech_proj!AH983*(-PMT($J$110,tech_base!$F19,1))+1000*tech_proj!AH1263)/((1-tech_proj!AH423)*tech_proj!AH703*$L$110))</f>
        <v>64.57056393869027</v>
      </c>
      <c r="AI643" s="71">
        <f>IF(tech_base!$T19&gt;AI$625,"",(1000*tech_proj!AI983*(-PMT($J$110,tech_base!$F19,1))+1000*tech_proj!AI1263)/((1-tech_proj!AI423)*tech_proj!AI703*$L$110))</f>
        <v>64.246894127560822</v>
      </c>
      <c r="AJ643" s="71">
        <f>IF(tech_base!$T19&gt;AJ$625,"",(1000*tech_proj!AJ983*(-PMT($J$110,tech_base!$F19,1))+1000*tech_proj!AJ1263)/((1-tech_proj!AJ423)*tech_proj!AJ703*$L$110))</f>
        <v>63.881828059222826</v>
      </c>
      <c r="AK643" s="71">
        <f>IF(tech_base!$T19&gt;AK$625,"",(1000*tech_proj!AK983*(-PMT($J$110,tech_base!$F19,1))+1000*tech_proj!AK1263)/((1-tech_proj!AK423)*tech_proj!AK703*$L$110))</f>
        <v>63.476130005131694</v>
      </c>
      <c r="AL643" s="71">
        <f>IF(tech_base!$T19&gt;AL$625,"",(1000*tech_proj!AL983*(-PMT($J$110,tech_base!$F19,1))+1000*tech_proj!AL1263)/((1-tech_proj!AL423)*tech_proj!AL703*$L$110))</f>
        <v>63.032871187566066</v>
      </c>
      <c r="AM643" s="71">
        <f>IF(tech_base!$T19&gt;AM$625,"",(1000*tech_proj!AM983*(-PMT($J$110,tech_base!$F19,1))+1000*tech_proj!AM1263)/((1-tech_proj!AM423)*tech_proj!AM703*$L$110))</f>
        <v>62.557804964056935</v>
      </c>
      <c r="AN643" s="71">
        <f>IF(tech_base!$T19&gt;AN$625,"",(1000*tech_proj!AN983*(-PMT($J$110,tech_base!$F19,1))+1000*tech_proj!AN1263)/((1-tech_proj!AN423)*tech_proj!AN703*$L$110))</f>
        <v>62.059491114088765</v>
      </c>
      <c r="AO643" s="71">
        <f>IF(tech_base!$T19&gt;AO$625,"",(1000*tech_proj!AO983*(-PMT($J$110,tech_base!$F19,1))+1000*tech_proj!AO1263)/((1-tech_proj!AO423)*tech_proj!AO703*$L$110))</f>
        <v>61.549050928642195</v>
      </c>
      <c r="AP643" s="71">
        <f>IF(tech_base!$T19&gt;AP$625,"",(1000*tech_proj!AP983*(-PMT($J$110,tech_base!$F19,1))+1000*tech_proj!AP1263)/((1-tech_proj!AP423)*tech_proj!AP703*$L$110))</f>
        <v>61.039485290215111</v>
      </c>
      <c r="AQ643" s="71">
        <f>IF(tech_base!$T19&gt;AQ$625,"",(1000*tech_proj!AQ983*(-PMT($J$110,tech_base!$F19,1))+1000*tech_proj!AQ1263)/((1-tech_proj!AQ423)*tech_proj!AQ703*$L$110))</f>
        <v>60.544583188609096</v>
      </c>
      <c r="AR643" s="71">
        <f>IF(tech_base!$T19&gt;AR$625,"",(1000*tech_proj!AR983*(-PMT($J$110,tech_base!$F19,1))+1000*tech_proj!AR1263)/((1-tech_proj!AR423)*tech_proj!AR703*$L$110))</f>
        <v>60.077567085911433</v>
      </c>
      <c r="AS643" s="71">
        <f>IF(tech_base!$T19&gt;AS$625,"",(1000*tech_proj!AS983*(-PMT($J$110,tech_base!$F19,1))+1000*tech_proj!AS1263)/((1-tech_proj!AS423)*tech_proj!AS703*$L$110))</f>
        <v>59.64972186330899</v>
      </c>
      <c r="AT643" s="71">
        <f>IF(tech_base!$T19&gt;AT$625,"",(1000*tech_proj!AT983*(-PMT($J$110,tech_base!$F19,1))+1000*tech_proj!AT1263)/((1-tech_proj!AT423)*tech_proj!AT703*$L$110))</f>
        <v>59.269288767205168</v>
      </c>
      <c r="AU643" s="71">
        <f>IF(tech_base!$T19&gt;AU$625,"",(1000*tech_proj!AU983*(-PMT($J$110,tech_base!$F19,1))+1000*tech_proj!AU1263)/((1-tech_proj!AU423)*tech_proj!AU703*$L$110))</f>
        <v>58.940849646764732</v>
      </c>
      <c r="AV643" s="71">
        <f>IF(tech_base!$T19&gt;AV$625,"",(1000*tech_proj!AV983*(-PMT($J$110,tech_base!$F19,1))+1000*tech_proj!AV1263)/((1-tech_proj!AV423)*tech_proj!AV703*$L$110))</f>
        <v>58.66529544494275</v>
      </c>
      <c r="AW643" s="71">
        <f>IF(tech_base!$T19&gt;AW$625,"",(1000*tech_proj!AW983*(-PMT($J$110,tech_base!$F19,1))+1000*tech_proj!AW1263)/((1-tech_proj!AW423)*tech_proj!AW703*$L$110))</f>
        <v>58.440318123504056</v>
      </c>
      <c r="AX643" s="237">
        <f>IF(tech_base!$T19&gt;AX$625,"",(1000*tech_proj!AX983*(-PMT($J$110,tech_base!$F19,1))+1000*tech_proj!AX1263)/((1-tech_proj!AX423)*tech_proj!AX703*$L$110))</f>
        <v>58.261247175402396</v>
      </c>
      <c r="AY643" s="133"/>
    </row>
    <row r="644" spans="1:51" s="174" customFormat="1" x14ac:dyDescent="0.25">
      <c r="A644" s="356"/>
      <c r="B644" s="376"/>
      <c r="C644" s="379"/>
      <c r="D644" s="59" t="s">
        <v>8</v>
      </c>
      <c r="E644" s="166" t="str">
        <f>A633&amp;"/"&amp;B641&amp;"/"&amp;C643&amp;"/"&amp;D644</f>
        <v>Coal fired power plants/Supercritical steam turbine/CHP/M</v>
      </c>
      <c r="F644" s="79" t="str">
        <f>A633</f>
        <v>Coal fired power plants</v>
      </c>
      <c r="G644" s="79" t="str">
        <f>B641</f>
        <v>Supercritical steam turbine</v>
      </c>
      <c r="H644" s="79" t="str">
        <f>C643</f>
        <v>CHP</v>
      </c>
      <c r="I644" s="167" t="str">
        <f t="shared" si="362"/>
        <v>M</v>
      </c>
      <c r="J644" s="72">
        <f>IF(tech_base!$T20&gt;J$625,"",(1000*tech_proj!J984*(-PMT($J$110,tech_base!$F20,1))+1000*tech_proj!J1264)/((1-tech_proj!J424)*tech_proj!J704*$L$110))</f>
        <v>71.397316877981226</v>
      </c>
      <c r="K644" s="72">
        <f>IF(tech_base!$T20&gt;K$625,"",(1000*tech_proj!K984*(-PMT($J$110,tech_base!$F20,1))+1000*tech_proj!K1264)/((1-tech_proj!K424)*tech_proj!K704*$L$110))</f>
        <v>71.389625529427306</v>
      </c>
      <c r="L644" s="72">
        <f>IF(tech_base!$T20&gt;L$625,"",(1000*tech_proj!L984*(-PMT($J$110,tech_base!$F20,1))+1000*tech_proj!L1264)/((1-tech_proj!L424)*tech_proj!L704*$L$110))</f>
        <v>71.380472847737252</v>
      </c>
      <c r="M644" s="72">
        <f>IF(tech_base!$T20&gt;M$625,"",(1000*tech_proj!M984*(-PMT($J$110,tech_base!$F20,1))+1000*tech_proj!M1264)/((1-tech_proj!M424)*tech_proj!M704*$L$110))</f>
        <v>71.369583363368847</v>
      </c>
      <c r="N644" s="72">
        <f>IF(tech_base!$T20&gt;N$625,"",(1000*tech_proj!N984*(-PMT($J$110,tech_base!$F20,1))+1000*tech_proj!N1264)/((1-tech_proj!N424)*tech_proj!N704*$L$110))</f>
        <v>71.356630587770582</v>
      </c>
      <c r="O644" s="72">
        <f>IF(tech_base!$T20&gt;O$625,"",(1000*tech_proj!O984*(-PMT($J$110,tech_base!$F20,1))+1000*tech_proj!O1264)/((1-tech_proj!O424)*tech_proj!O704*$L$110))</f>
        <v>71.341227943155431</v>
      </c>
      <c r="P644" s="72">
        <f>IF(tech_base!$T20&gt;P$625,"",(1000*tech_proj!P984*(-PMT($J$110,tech_base!$F20,1))+1000*tech_proj!P1264)/((1-tech_proj!P424)*tech_proj!P704*$L$110))</f>
        <v>71.32291823858543</v>
      </c>
      <c r="Q644" s="72">
        <f>IF(tech_base!$T20&gt;Q$625,"",(1000*tech_proj!Q984*(-PMT($J$110,tech_base!$F20,1))+1000*tech_proj!Q1264)/((1-tech_proj!Q424)*tech_proj!Q704*$L$110))</f>
        <v>71.301161527394328</v>
      </c>
      <c r="R644" s="72">
        <f>IF(tech_base!$T20&gt;R$625,"",(1000*tech_proj!R984*(-PMT($J$110,tech_base!$F20,1))+1000*tech_proj!R1264)/((1-tech_proj!R424)*tech_proj!R704*$L$110))</f>
        <v>71.275321193630973</v>
      </c>
      <c r="S644" s="72">
        <f>IF(tech_base!$T20&gt;S$625,"",(1000*tech_proj!S984*(-PMT($J$110,tech_base!$F20,1))+1000*tech_proj!S1264)/((1-tech_proj!S424)*tech_proj!S704*$L$110))</f>
        <v>71.244648146706794</v>
      </c>
      <c r="T644" s="72">
        <f>IF(tech_base!$T20&gt;T$625,"",(1000*tech_proj!T984*(-PMT($J$110,tech_base!$F20,1))+1000*tech_proj!T1264)/((1-tech_proj!T424)*tech_proj!T704*$L$110))</f>
        <v>71.208263062886729</v>
      </c>
      <c r="U644" s="72">
        <f>IF(tech_base!$T20&gt;U$625,"",(1000*tech_proj!U984*(-PMT($J$110,tech_base!$F20,1))+1000*tech_proj!U1264)/((1-tech_proj!U424)*tech_proj!U704*$L$110))</f>
        <v>71.165136711972835</v>
      </c>
      <c r="V644" s="72">
        <f>IF(tech_base!$T20&gt;V$625,"",(1000*tech_proj!V984*(-PMT($J$110,tech_base!$F20,1))+1000*tech_proj!V1264)/((1-tech_proj!V424)*tech_proj!V704*$L$110))</f>
        <v>71.114068563657881</v>
      </c>
      <c r="W644" s="72">
        <f>IF(tech_base!$T20&gt;W$625,"",(1000*tech_proj!W984*(-PMT($J$110,tech_base!$F20,1))+1000*tech_proj!W1264)/((1-tech_proj!W424)*tech_proj!W704*$L$110))</f>
        <v>71.053664101160095</v>
      </c>
      <c r="X644" s="72">
        <f>IF(tech_base!$T20&gt;X$625,"",(1000*tech_proj!X984*(-PMT($J$110,tech_base!$F20,1))+1000*tech_proj!X1264)/((1-tech_proj!X424)*tech_proj!X704*$L$110))</f>
        <v>70.982311605057774</v>
      </c>
      <c r="Y644" s="72">
        <f>IF(tech_base!$T20&gt;Y$625,"",(1000*tech_proj!Y984*(-PMT($J$110,tech_base!$F20,1))+1000*tech_proj!Y1264)/((1-tech_proj!Y424)*tech_proj!Y704*$L$110))</f>
        <v>70.898159636735656</v>
      </c>
      <c r="Z644" s="72">
        <f>IF(tech_base!$T20&gt;Z$625,"",(1000*tech_proj!Z984*(-PMT($J$110,tech_base!$F20,1))+1000*tech_proj!Z1264)/((1-tech_proj!Z424)*tech_proj!Z704*$L$110))</f>
        <v>70.799097079029579</v>
      </c>
      <c r="AA644" s="72">
        <f>IF(tech_base!$T20&gt;AA$625,"",(1000*tech_proj!AA984*(-PMT($J$110,tech_base!$F20,1))+1000*tech_proj!AA1264)/((1-tech_proj!AA424)*tech_proj!AA704*$L$110))</f>
        <v>70.682738408337627</v>
      </c>
      <c r="AB644" s="72">
        <f>IF(tech_base!$T20&gt;AB$625,"",(1000*tech_proj!AB984*(-PMT($J$110,tech_base!$F20,1))+1000*tech_proj!AB1264)/((1-tech_proj!AB424)*tech_proj!AB704*$L$110))</f>
        <v>70.546417891324793</v>
      </c>
      <c r="AC644" s="72">
        <f>IF(tech_base!$T20&gt;AC$625,"",(1000*tech_proj!AC984*(-PMT($J$110,tech_base!$F20,1))+1000*tech_proj!AC1264)/((1-tech_proj!AC424)*tech_proj!AC704*$L$110))</f>
        <v>70.387197605164545</v>
      </c>
      <c r="AD644" s="72">
        <f>IF(tech_base!$T20&gt;AD$625,"",(1000*tech_proj!AD984*(-PMT($J$110,tech_base!$F20,1))+1000*tech_proj!AD1264)/((1-tech_proj!AD424)*tech_proj!AD704*$L$110))</f>
        <v>70.201895505141309</v>
      </c>
      <c r="AE644" s="72">
        <f>IF(tech_base!$T20&gt;AE$625,"",(1000*tech_proj!AE984*(-PMT($J$110,tech_base!$F20,1))+1000*tech_proj!AE1264)/((1-tech_proj!AE424)*tech_proj!AE704*$L$110))</f>
        <v>69.987141054147031</v>
      </c>
      <c r="AF644" s="72">
        <f>IF(tech_base!$T20&gt;AF$625,"",(1000*tech_proj!AF984*(-PMT($J$110,tech_base!$F20,1))+1000*tech_proj!AF1264)/((1-tech_proj!AF424)*tech_proj!AF704*$L$110))</f>
        <v>69.739466907145555</v>
      </c>
      <c r="AG644" s="72">
        <f>IF(tech_base!$T20&gt;AG$625,"",(1000*tech_proj!AG984*(-PMT($J$110,tech_base!$F20,1))+1000*tech_proj!AG1264)/((1-tech_proj!AG424)*tech_proj!AG704*$L$110))</f>
        <v>69.455445369088196</v>
      </c>
      <c r="AH644" s="72">
        <f>IF(tech_base!$T20&gt;AH$625,"",(1000*tech_proj!AH984*(-PMT($J$110,tech_base!$F20,1))+1000*tech_proj!AH1264)/((1-tech_proj!AH424)*tech_proj!AH704*$L$110))</f>
        <v>69.131877194035212</v>
      </c>
      <c r="AI644" s="72">
        <f>IF(tech_base!$T20&gt;AI$625,"",(1000*tech_proj!AI984*(-PMT($J$110,tech_base!$F20,1))+1000*tech_proj!AI1264)/((1-tech_proj!AI424)*tech_proj!AI704*$L$110))</f>
        <v>68.766036992603617</v>
      </c>
      <c r="AJ644" s="72">
        <f>IF(tech_base!$T20&gt;AJ$625,"",(1000*tech_proj!AJ984*(-PMT($J$110,tech_base!$F20,1))+1000*tech_proj!AJ1264)/((1-tech_proj!AJ424)*tech_proj!AJ704*$L$110))</f>
        <v>68.355973265713757</v>
      </c>
      <c r="AK644" s="72">
        <f>IF(tech_base!$T20&gt;AK$625,"",(1000*tech_proj!AK984*(-PMT($J$110,tech_base!$F20,1))+1000*tech_proj!AK1264)/((1-tech_proj!AK424)*tech_proj!AK704*$L$110))</f>
        <v>67.90085132878761</v>
      </c>
      <c r="AL644" s="72">
        <f>IF(tech_base!$T20&gt;AL$625,"",(1000*tech_proj!AL984*(-PMT($J$110,tech_base!$F20,1))+1000*tech_proj!AL1264)/((1-tech_proj!AL424)*tech_proj!AL704*$L$110))</f>
        <v>67.401314247944484</v>
      </c>
      <c r="AM644" s="72">
        <f>IF(tech_base!$T20&gt;AM$625,"",(1000*tech_proj!AM984*(-PMT($J$110,tech_base!$F20,1))+1000*tech_proj!AM1264)/((1-tech_proj!AM424)*tech_proj!AM704*$L$110))</f>
        <v>66.859821704050702</v>
      </c>
      <c r="AN644" s="72">
        <f>IF(tech_base!$T20&gt;AN$625,"",(1000*tech_proj!AN984*(-PMT($J$110,tech_base!$F20,1))+1000*tech_proj!AN1264)/((1-tech_proj!AN424)*tech_proj!AN704*$L$110))</f>
        <v>66.280912426829758</v>
      </c>
      <c r="AO644" s="72">
        <f>IF(tech_base!$T20&gt;AO$625,"",(1000*tech_proj!AO984*(-PMT($J$110,tech_base!$F20,1))+1000*tech_proj!AO1264)/((1-tech_proj!AO424)*tech_proj!AO704*$L$110))</f>
        <v>65.671327203844555</v>
      </c>
      <c r="AP644" s="72">
        <f>IF(tech_base!$T20&gt;AP$625,"",(1000*tech_proj!AP984*(-PMT($J$110,tech_base!$F20,1))+1000*tech_proj!AP1264)/((1-tech_proj!AP424)*tech_proj!AP704*$L$110))</f>
        <v>65.03993208667346</v>
      </c>
      <c r="AQ644" s="72">
        <f>IF(tech_base!$T20&gt;AQ$625,"",(1000*tech_proj!AQ984*(-PMT($J$110,tech_base!$F20,1))+1000*tech_proj!AQ1264)/((1-tech_proj!AQ424)*tech_proj!AQ704*$L$110))</f>
        <v>64.397399952314714</v>
      </c>
      <c r="AR644" s="72">
        <f>IF(tech_base!$T20&gt;AR$625,"",(1000*tech_proj!AR984*(-PMT($J$110,tech_base!$F20,1))+1000*tech_proj!AR1264)/((1-tech_proj!AR424)*tech_proj!AR704*$L$110))</f>
        <v>63.755644092195929</v>
      </c>
      <c r="AS644" s="72">
        <f>IF(tech_base!$T20&gt;AS$625,"",(1000*tech_proj!AS984*(-PMT($J$110,tech_base!$F20,1))+1000*tech_proj!AS1264)/((1-tech_proj!AS424)*tech_proj!AS704*$L$110))</f>
        <v>63.127045107989986</v>
      </c>
      <c r="AT644" s="72">
        <f>IF(tech_base!$T20&gt;AT$625,"",(1000*tech_proj!AT984*(-PMT($J$110,tech_base!$F20,1))+1000*tech_proj!AT1264)/((1-tech_proj!AT424)*tech_proj!AT704*$L$110))</f>
        <v>62.523560843295883</v>
      </c>
      <c r="AU644" s="72">
        <f>IF(tech_base!$T20&gt;AU$625,"",(1000*tech_proj!AU984*(-PMT($J$110,tech_base!$F20,1))+1000*tech_proj!AU1264)/((1-tech_proj!AU424)*tech_proj!AU704*$L$110))</f>
        <v>61.955843513705233</v>
      </c>
      <c r="AV644" s="72">
        <f>IF(tech_base!$T20&gt;AV$625,"",(1000*tech_proj!AV984*(-PMT($J$110,tech_base!$F20,1))+1000*tech_proj!AV1264)/((1-tech_proj!AV424)*tech_proj!AV704*$L$110))</f>
        <v>61.43249572983855</v>
      </c>
      <c r="AW644" s="72">
        <f>IF(tech_base!$T20&gt;AW$625,"",(1000*tech_proj!AW984*(-PMT($J$110,tech_base!$F20,1))+1000*tech_proj!AW1264)/((1-tech_proj!AW424)*tech_proj!AW704*$L$110))</f>
        <v>60.959572840559716</v>
      </c>
      <c r="AX644" s="238">
        <f>IF(tech_base!$T20&gt;AX$625,"",(1000*tech_proj!AX984*(-PMT($J$110,tech_base!$F20,1))+1000*tech_proj!AX1264)/((1-tech_proj!AX424)*tech_proj!AX704*$L$110))</f>
        <v>60.540389093263869</v>
      </c>
      <c r="AY644" s="133"/>
    </row>
    <row r="645" spans="1:51" s="174" customFormat="1" x14ac:dyDescent="0.25">
      <c r="A645" s="356"/>
      <c r="B645" s="376"/>
      <c r="C645" s="361" t="s">
        <v>15</v>
      </c>
      <c r="D645" s="58" t="s">
        <v>7</v>
      </c>
      <c r="E645" s="164" t="str">
        <f>A633&amp;"/"&amp;B641&amp;"/"&amp;C645&amp;"/"&amp;D645</f>
        <v>Coal fired power plants/Supercritical steam turbine/Electricity only with CCS/L</v>
      </c>
      <c r="F645" s="78" t="str">
        <f>A633</f>
        <v>Coal fired power plants</v>
      </c>
      <c r="G645" s="78" t="str">
        <f>B641</f>
        <v>Supercritical steam turbine</v>
      </c>
      <c r="H645" s="78" t="str">
        <f>C645</f>
        <v>Electricity only with CCS</v>
      </c>
      <c r="I645" s="165" t="str">
        <f t="shared" si="362"/>
        <v>L</v>
      </c>
      <c r="J645" s="71" t="str">
        <f>IF(tech_base!$T21&gt;J$625,"",(1000*tech_proj!J985*(-PMT($J$110,tech_base!$F21,1))+1000*tech_proj!J1265)/((1-tech_proj!J425)*tech_proj!J705*$L$110))</f>
        <v/>
      </c>
      <c r="K645" s="71" t="str">
        <f>IF(tech_base!$T21&gt;K$625,"",(1000*tech_proj!K985*(-PMT($J$110,tech_base!$F21,1))+1000*tech_proj!K1265)/((1-tech_proj!K425)*tech_proj!K705*$L$110))</f>
        <v/>
      </c>
      <c r="L645" s="71" t="str">
        <f>IF(tech_base!$T21&gt;L$625,"",(1000*tech_proj!L985*(-PMT($J$110,tech_base!$F21,1))+1000*tech_proj!L1265)/((1-tech_proj!L425)*tech_proj!L705*$L$110))</f>
        <v/>
      </c>
      <c r="M645" s="71" t="str">
        <f>IF(tech_base!$T21&gt;M$625,"",(1000*tech_proj!M985*(-PMT($J$110,tech_base!$F21,1))+1000*tech_proj!M1265)/((1-tech_proj!M425)*tech_proj!M705*$L$110))</f>
        <v/>
      </c>
      <c r="N645" s="71" t="str">
        <f>IF(tech_base!$T21&gt;N$625,"",(1000*tech_proj!N985*(-PMT($J$110,tech_base!$F21,1))+1000*tech_proj!N1265)/((1-tech_proj!N425)*tech_proj!N705*$L$110))</f>
        <v/>
      </c>
      <c r="O645" s="71" t="str">
        <f>IF(tech_base!$T21&gt;O$625,"",(1000*tech_proj!O985*(-PMT($J$110,tech_base!$F21,1))+1000*tech_proj!O1265)/((1-tech_proj!O425)*tech_proj!O705*$L$110))</f>
        <v/>
      </c>
      <c r="P645" s="71" t="str">
        <f>IF(tech_base!$T21&gt;P$625,"",(1000*tech_proj!P985*(-PMT($J$110,tech_base!$F21,1))+1000*tech_proj!P1265)/((1-tech_proj!P425)*tech_proj!P705*$L$110))</f>
        <v/>
      </c>
      <c r="Q645" s="71" t="str">
        <f>IF(tech_base!$T21&gt;Q$625,"",(1000*tech_proj!Q985*(-PMT($J$110,tech_base!$F21,1))+1000*tech_proj!Q1265)/((1-tech_proj!Q425)*tech_proj!Q705*$L$110))</f>
        <v/>
      </c>
      <c r="R645" s="71" t="str">
        <f>IF(tech_base!$T21&gt;R$625,"",(1000*tech_proj!R985*(-PMT($J$110,tech_base!$F21,1))+1000*tech_proj!R1265)/((1-tech_proj!R425)*tech_proj!R705*$L$110))</f>
        <v/>
      </c>
      <c r="S645" s="71" t="str">
        <f>IF(tech_base!$T21&gt;S$625,"",(1000*tech_proj!S985*(-PMT($J$110,tech_base!$F21,1))+1000*tech_proj!S1265)/((1-tech_proj!S425)*tech_proj!S705*$L$110))</f>
        <v/>
      </c>
      <c r="T645" s="71" t="str">
        <f>IF(tech_base!$T21&gt;T$625,"",(1000*tech_proj!T985*(-PMT($J$110,tech_base!$F21,1))+1000*tech_proj!T1265)/((1-tech_proj!T425)*tech_proj!T705*$L$110))</f>
        <v/>
      </c>
      <c r="U645" s="71" t="str">
        <f>IF(tech_base!$T21&gt;U$625,"",(1000*tech_proj!U985*(-PMT($J$110,tech_base!$F21,1))+1000*tech_proj!U1265)/((1-tech_proj!U425)*tech_proj!U705*$L$110))</f>
        <v/>
      </c>
      <c r="V645" s="71" t="str">
        <f>IF(tech_base!$T21&gt;V$625,"",(1000*tech_proj!V985*(-PMT($J$110,tech_base!$F21,1))+1000*tech_proj!V1265)/((1-tech_proj!V425)*tech_proj!V705*$L$110))</f>
        <v/>
      </c>
      <c r="W645" s="71" t="str">
        <f>IF(tech_base!$T21&gt;W$625,"",(1000*tech_proj!W985*(-PMT($J$110,tech_base!$F21,1))+1000*tech_proj!W1265)/((1-tech_proj!W425)*tech_proj!W705*$L$110))</f>
        <v/>
      </c>
      <c r="X645" s="71" t="str">
        <f>IF(tech_base!$T21&gt;X$625,"",(1000*tech_proj!X985*(-PMT($J$110,tech_base!$F21,1))+1000*tech_proj!X1265)/((1-tech_proj!X425)*tech_proj!X705*$L$110))</f>
        <v/>
      </c>
      <c r="Y645" s="71" t="str">
        <f>IF(tech_base!$T21&gt;Y$625,"",(1000*tech_proj!Y985*(-PMT($J$110,tech_base!$F21,1))+1000*tech_proj!Y1265)/((1-tech_proj!Y425)*tech_proj!Y705*$L$110))</f>
        <v/>
      </c>
      <c r="Z645" s="71" t="str">
        <f>IF(tech_base!$T21&gt;Z$625,"",(1000*tech_proj!Z985*(-PMT($J$110,tech_base!$F21,1))+1000*tech_proj!Z1265)/((1-tech_proj!Z425)*tech_proj!Z705*$L$110))</f>
        <v/>
      </c>
      <c r="AA645" s="71" t="str">
        <f>IF(tech_base!$T21&gt;AA$625,"",(1000*tech_proj!AA985*(-PMT($J$110,tech_base!$F21,1))+1000*tech_proj!AA1265)/((1-tech_proj!AA425)*tech_proj!AA705*$L$110))</f>
        <v/>
      </c>
      <c r="AB645" s="71" t="str">
        <f>IF(tech_base!$T21&gt;AB$625,"",(1000*tech_proj!AB985*(-PMT($J$110,tech_base!$F21,1))+1000*tech_proj!AB1265)/((1-tech_proj!AB425)*tech_proj!AB705*$L$110))</f>
        <v/>
      </c>
      <c r="AC645" s="71" t="str">
        <f>IF(tech_base!$T21&gt;AC$625,"",(1000*tech_proj!AC985*(-PMT($J$110,tech_base!$F21,1))+1000*tech_proj!AC1265)/((1-tech_proj!AC425)*tech_proj!AC705*$L$110))</f>
        <v/>
      </c>
      <c r="AD645" s="71" t="str">
        <f>IF(tech_base!$T21&gt;AD$625,"",(1000*tech_proj!AD985*(-PMT($J$110,tech_base!$F21,1))+1000*tech_proj!AD1265)/((1-tech_proj!AD425)*tech_proj!AD705*$L$110))</f>
        <v/>
      </c>
      <c r="AE645" s="71">
        <f>IF(tech_base!$T21&gt;AE$625,"",(1000*tech_proj!AE985*(-PMT($J$110,tech_base!$F21,1))+1000*tech_proj!AE1265)/((1-tech_proj!AE425)*tech_proj!AE705*$L$110))</f>
        <v>117.52588510596796</v>
      </c>
      <c r="AF645" s="71">
        <f>IF(tech_base!$T21&gt;AF$625,"",(1000*tech_proj!AF985*(-PMT($J$110,tech_base!$F21,1))+1000*tech_proj!AF1265)/((1-tech_proj!AF425)*tech_proj!AF705*$L$110))</f>
        <v>117.47047210836698</v>
      </c>
      <c r="AG645" s="71">
        <f>IF(tech_base!$T21&gt;AG$625,"",(1000*tech_proj!AG985*(-PMT($J$110,tech_base!$F21,1))+1000*tech_proj!AG1265)/((1-tech_proj!AG425)*tech_proj!AG705*$L$110))</f>
        <v>117.4029980126622</v>
      </c>
      <c r="AH645" s="71">
        <f>IF(tech_base!$T21&gt;AH$625,"",(1000*tech_proj!AH985*(-PMT($J$110,tech_base!$F21,1))+1000*tech_proj!AH1265)/((1-tech_proj!AH425)*tech_proj!AH705*$L$110))</f>
        <v>117.32089300033869</v>
      </c>
      <c r="AI645" s="71">
        <f>IF(tech_base!$T21&gt;AI$625,"",(1000*tech_proj!AI985*(-PMT($J$110,tech_base!$F21,1))+1000*tech_proj!AI1265)/((1-tech_proj!AI425)*tech_proj!AI705*$L$110))</f>
        <v>117.2210665165955</v>
      </c>
      <c r="AJ645" s="71">
        <f>IF(tech_base!$T21&gt;AJ$625,"",(1000*tech_proj!AJ985*(-PMT($J$110,tech_base!$F21,1))+1000*tech_proj!AJ1265)/((1-tech_proj!AJ425)*tech_proj!AJ705*$L$110))</f>
        <v>117.09981471801808</v>
      </c>
      <c r="AK645" s="71">
        <f>IF(tech_base!$T21&gt;AK$625,"",(1000*tech_proj!AK985*(-PMT($J$110,tech_base!$F21,1))+1000*tech_proj!AK1265)/((1-tech_proj!AK425)*tech_proj!AK705*$L$110))</f>
        <v>116.95271783540346</v>
      </c>
      <c r="AL645" s="71">
        <f>IF(tech_base!$T21&gt;AL$625,"",(1000*tech_proj!AL985*(-PMT($J$110,tech_base!$F21,1))+1000*tech_proj!AL1265)/((1-tech_proj!AL425)*tech_proj!AL705*$L$110))</f>
        <v>116.77452973082022</v>
      </c>
      <c r="AM645" s="71">
        <f>IF(tech_base!$T21&gt;AM$625,"",(1000*tech_proj!AM985*(-PMT($J$110,tech_base!$F21,1))+1000*tech_proj!AM1265)/((1-tech_proj!AM425)*tech_proj!AM705*$L$110))</f>
        <v>116.55906419176742</v>
      </c>
      <c r="AN645" s="71">
        <f>IF(tech_base!$T21&gt;AN$625,"",(1000*tech_proj!AN985*(-PMT($J$110,tech_base!$F21,1))+1000*tech_proj!AN1265)/((1-tech_proj!AN425)*tech_proj!AN705*$L$110))</f>
        <v>116.29908580148491</v>
      </c>
      <c r="AO645" s="71">
        <f>IF(tech_base!$T21&gt;AO$625,"",(1000*tech_proj!AO985*(-PMT($J$110,tech_base!$F21,1))+1000*tech_proj!AO1265)/((1-tech_proj!AO425)*tech_proj!AO705*$L$110))</f>
        <v>115.9862178171673</v>
      </c>
      <c r="AP645" s="71">
        <f>IF(tech_base!$T21&gt;AP$625,"",(1000*tech_proj!AP985*(-PMT($J$110,tech_base!$F21,1))+1000*tech_proj!AP1265)/((1-tech_proj!AP425)*tech_proj!AP705*$L$110))</f>
        <v>115.61088558343437</v>
      </c>
      <c r="AQ645" s="71">
        <f>IF(tech_base!$T21&gt;AQ$625,"",(1000*tech_proj!AQ985*(-PMT($J$110,tech_base!$F21,1))+1000*tech_proj!AQ1265)/((1-tech_proj!AQ425)*tech_proj!AQ705*$L$110))</f>
        <v>115.16232162724774</v>
      </c>
      <c r="AR645" s="71">
        <f>IF(tech_base!$T21&gt;AR$625,"",(1000*tech_proj!AR985*(-PMT($J$110,tech_base!$F21,1))+1000*tech_proj!AR1265)/((1-tech_proj!AR425)*tech_proj!AR705*$L$110))</f>
        <v>114.62866734106503</v>
      </c>
      <c r="AS645" s="71">
        <f>IF(tech_base!$T21&gt;AS$625,"",(1000*tech_proj!AS985*(-PMT($J$110,tech_base!$F21,1))+1000*tech_proj!AS1265)/((1-tech_proj!AS425)*tech_proj!AS705*$L$110))</f>
        <v>113.99721495949478</v>
      </c>
      <c r="AT645" s="71">
        <f>IF(tech_base!$T21&gt;AT$625,"",(1000*tech_proj!AT985*(-PMT($J$110,tech_base!$F21,1))+1000*tech_proj!AT1265)/((1-tech_proj!AT425)*tech_proj!AT705*$L$110))</f>
        <v>113.25484013737542</v>
      </c>
      <c r="AU645" s="71">
        <f>IF(tech_base!$T21&gt;AU$625,"",(1000*tech_proj!AU985*(-PMT($J$110,tech_base!$F21,1))+1000*tech_proj!AU1265)/((1-tech_proj!AU425)*tech_proj!AU705*$L$110))</f>
        <v>112.38867608684609</v>
      </c>
      <c r="AV645" s="71">
        <f>IF(tech_base!$T21&gt;AV$625,"",(1000*tech_proj!AV985*(-PMT($J$110,tech_base!$F21,1))+1000*tech_proj!AV1265)/((1-tech_proj!AV425)*tech_proj!AV705*$L$110))</f>
        <v>111.38706951379545</v>
      </c>
      <c r="AW645" s="71">
        <f>IF(tech_base!$T21&gt;AW$625,"",(1000*tech_proj!AW985*(-PMT($J$110,tech_base!$F21,1))+1000*tech_proj!AW1265)/((1-tech_proj!AW425)*tech_proj!AW705*$L$110))</f>
        <v>110.24083000934162</v>
      </c>
      <c r="AX645" s="237">
        <f>IF(tech_base!$T21&gt;AX$625,"",(1000*tech_proj!AX985*(-PMT($J$110,tech_base!$F21,1))+1000*tech_proj!AX1265)/((1-tech_proj!AX425)*tech_proj!AX705*$L$110))</f>
        <v>108.94473237496534</v>
      </c>
      <c r="AY645" s="133"/>
    </row>
    <row r="646" spans="1:51" s="174" customFormat="1" x14ac:dyDescent="0.25">
      <c r="A646" s="356"/>
      <c r="B646" s="376"/>
      <c r="C646" s="379"/>
      <c r="D646" s="59" t="s">
        <v>8</v>
      </c>
      <c r="E646" s="166" t="str">
        <f>A633&amp;"/"&amp;B641&amp;"/"&amp;C645&amp;"/"&amp;D646</f>
        <v>Coal fired power plants/Supercritical steam turbine/Electricity only with CCS/M</v>
      </c>
      <c r="F646" s="79" t="str">
        <f>A633</f>
        <v>Coal fired power plants</v>
      </c>
      <c r="G646" s="79" t="str">
        <f>B641</f>
        <v>Supercritical steam turbine</v>
      </c>
      <c r="H646" s="79" t="str">
        <f>C645</f>
        <v>Electricity only with CCS</v>
      </c>
      <c r="I646" s="167" t="str">
        <f t="shared" si="362"/>
        <v>M</v>
      </c>
      <c r="J646" s="72" t="str">
        <f>IF(tech_base!$T22&gt;J$625,"",(1000*tech_proj!J986*(-PMT($J$110,tech_base!$F22,1))+1000*tech_proj!J1266)/((1-tech_proj!J426)*tech_proj!J706*$L$110))</f>
        <v/>
      </c>
      <c r="K646" s="72" t="str">
        <f>IF(tech_base!$T22&gt;K$625,"",(1000*tech_proj!K986*(-PMT($J$110,tech_base!$F22,1))+1000*tech_proj!K1266)/((1-tech_proj!K426)*tech_proj!K706*$L$110))</f>
        <v/>
      </c>
      <c r="L646" s="72" t="str">
        <f>IF(tech_base!$T22&gt;L$625,"",(1000*tech_proj!L986*(-PMT($J$110,tech_base!$F22,1))+1000*tech_proj!L1266)/((1-tech_proj!L426)*tech_proj!L706*$L$110))</f>
        <v/>
      </c>
      <c r="M646" s="72" t="str">
        <f>IF(tech_base!$T22&gt;M$625,"",(1000*tech_proj!M986*(-PMT($J$110,tech_base!$F22,1))+1000*tech_proj!M1266)/((1-tech_proj!M426)*tech_proj!M706*$L$110))</f>
        <v/>
      </c>
      <c r="N646" s="72" t="str">
        <f>IF(tech_base!$T22&gt;N$625,"",(1000*tech_proj!N986*(-PMT($J$110,tech_base!$F22,1))+1000*tech_proj!N1266)/((1-tech_proj!N426)*tech_proj!N706*$L$110))</f>
        <v/>
      </c>
      <c r="O646" s="72" t="str">
        <f>IF(tech_base!$T22&gt;O$625,"",(1000*tech_proj!O986*(-PMT($J$110,tech_base!$F22,1))+1000*tech_proj!O1266)/((1-tech_proj!O426)*tech_proj!O706*$L$110))</f>
        <v/>
      </c>
      <c r="P646" s="72" t="str">
        <f>IF(tech_base!$T22&gt;P$625,"",(1000*tech_proj!P986*(-PMT($J$110,tech_base!$F22,1))+1000*tech_proj!P1266)/((1-tech_proj!P426)*tech_proj!P706*$L$110))</f>
        <v/>
      </c>
      <c r="Q646" s="72" t="str">
        <f>IF(tech_base!$T22&gt;Q$625,"",(1000*tech_proj!Q986*(-PMT($J$110,tech_base!$F22,1))+1000*tech_proj!Q1266)/((1-tech_proj!Q426)*tech_proj!Q706*$L$110))</f>
        <v/>
      </c>
      <c r="R646" s="72" t="str">
        <f>IF(tech_base!$T22&gt;R$625,"",(1000*tech_proj!R986*(-PMT($J$110,tech_base!$F22,1))+1000*tech_proj!R1266)/((1-tech_proj!R426)*tech_proj!R706*$L$110))</f>
        <v/>
      </c>
      <c r="S646" s="72" t="str">
        <f>IF(tech_base!$T22&gt;S$625,"",(1000*tech_proj!S986*(-PMT($J$110,tech_base!$F22,1))+1000*tech_proj!S1266)/((1-tech_proj!S426)*tech_proj!S706*$L$110))</f>
        <v/>
      </c>
      <c r="T646" s="72" t="str">
        <f>IF(tech_base!$T22&gt;T$625,"",(1000*tech_proj!T986*(-PMT($J$110,tech_base!$F22,1))+1000*tech_proj!T1266)/((1-tech_proj!T426)*tech_proj!T706*$L$110))</f>
        <v/>
      </c>
      <c r="U646" s="72" t="str">
        <f>IF(tech_base!$T22&gt;U$625,"",(1000*tech_proj!U986*(-PMT($J$110,tech_base!$F22,1))+1000*tech_proj!U1266)/((1-tech_proj!U426)*tech_proj!U706*$L$110))</f>
        <v/>
      </c>
      <c r="V646" s="72" t="str">
        <f>IF(tech_base!$T22&gt;V$625,"",(1000*tech_proj!V986*(-PMT($J$110,tech_base!$F22,1))+1000*tech_proj!V1266)/((1-tech_proj!V426)*tech_proj!V706*$L$110))</f>
        <v/>
      </c>
      <c r="W646" s="72" t="str">
        <f>IF(tech_base!$T22&gt;W$625,"",(1000*tech_proj!W986*(-PMT($J$110,tech_base!$F22,1))+1000*tech_proj!W1266)/((1-tech_proj!W426)*tech_proj!W706*$L$110))</f>
        <v/>
      </c>
      <c r="X646" s="72" t="str">
        <f>IF(tech_base!$T22&gt;X$625,"",(1000*tech_proj!X986*(-PMT($J$110,tech_base!$F22,1))+1000*tech_proj!X1266)/((1-tech_proj!X426)*tech_proj!X706*$L$110))</f>
        <v/>
      </c>
      <c r="Y646" s="72" t="str">
        <f>IF(tech_base!$T22&gt;Y$625,"",(1000*tech_proj!Y986*(-PMT($J$110,tech_base!$F22,1))+1000*tech_proj!Y1266)/((1-tech_proj!Y426)*tech_proj!Y706*$L$110))</f>
        <v/>
      </c>
      <c r="Z646" s="72" t="str">
        <f>IF(tech_base!$T22&gt;Z$625,"",(1000*tech_proj!Z986*(-PMT($J$110,tech_base!$F22,1))+1000*tech_proj!Z1266)/((1-tech_proj!Z426)*tech_proj!Z706*$L$110))</f>
        <v/>
      </c>
      <c r="AA646" s="72" t="str">
        <f>IF(tech_base!$T22&gt;AA$625,"",(1000*tech_proj!AA986*(-PMT($J$110,tech_base!$F22,1))+1000*tech_proj!AA1266)/((1-tech_proj!AA426)*tech_proj!AA706*$L$110))</f>
        <v/>
      </c>
      <c r="AB646" s="72" t="str">
        <f>IF(tech_base!$T22&gt;AB$625,"",(1000*tech_proj!AB986*(-PMT($J$110,tech_base!$F22,1))+1000*tech_proj!AB1266)/((1-tech_proj!AB426)*tech_proj!AB706*$L$110))</f>
        <v/>
      </c>
      <c r="AC646" s="72" t="str">
        <f>IF(tech_base!$T22&gt;AC$625,"",(1000*tech_proj!AC986*(-PMT($J$110,tech_base!$F22,1))+1000*tech_proj!AC1266)/((1-tech_proj!AC426)*tech_proj!AC706*$L$110))</f>
        <v/>
      </c>
      <c r="AD646" s="72" t="str">
        <f>IF(tech_base!$T22&gt;AD$625,"",(1000*tech_proj!AD986*(-PMT($J$110,tech_base!$F22,1))+1000*tech_proj!AD1266)/((1-tech_proj!AD426)*tech_proj!AD706*$L$110))</f>
        <v/>
      </c>
      <c r="AE646" s="72">
        <f>IF(tech_base!$T22&gt;AE$625,"",(1000*tech_proj!AE986*(-PMT($J$110,tech_base!$F22,1))+1000*tech_proj!AE1266)/((1-tech_proj!AE426)*tech_proj!AE706*$L$110))</f>
        <v>127.89613417794817</v>
      </c>
      <c r="AF646" s="72">
        <f>IF(tech_base!$T22&gt;AF$625,"",(1000*tech_proj!AF986*(-PMT($J$110,tech_base!$F22,1))+1000*tech_proj!AF1266)/((1-tech_proj!AF426)*tech_proj!AF706*$L$110))</f>
        <v>127.86349123583494</v>
      </c>
      <c r="AG646" s="72">
        <f>IF(tech_base!$T22&gt;AG$625,"",(1000*tech_proj!AG986*(-PMT($J$110,tech_base!$F22,1))+1000*tech_proj!AG1266)/((1-tech_proj!AG426)*tech_proj!AG706*$L$110))</f>
        <v>127.82164272477115</v>
      </c>
      <c r="AH646" s="72">
        <f>IF(tech_base!$T22&gt;AH$625,"",(1000*tech_proj!AH986*(-PMT($J$110,tech_base!$F22,1))+1000*tech_proj!AH1266)/((1-tech_proj!AH426)*tech_proj!AH706*$L$110))</f>
        <v>127.76801647209138</v>
      </c>
      <c r="AI646" s="72">
        <f>IF(tech_base!$T22&gt;AI$625,"",(1000*tech_proj!AI986*(-PMT($J$110,tech_base!$F22,1))+1000*tech_proj!AI1266)/((1-tech_proj!AI426)*tech_proj!AI706*$L$110))</f>
        <v>127.69933696642441</v>
      </c>
      <c r="AJ646" s="72">
        <f>IF(tech_base!$T22&gt;AJ$625,"",(1000*tech_proj!AJ986*(-PMT($J$110,tech_base!$F22,1))+1000*tech_proj!AJ1266)/((1-tech_proj!AJ426)*tech_proj!AJ706*$L$110))</f>
        <v>127.6114429099504</v>
      </c>
      <c r="AK646" s="72">
        <f>IF(tech_base!$T22&gt;AK$625,"",(1000*tech_proj!AK986*(-PMT($J$110,tech_base!$F22,1))+1000*tech_proj!AK1266)/((1-tech_proj!AK426)*tech_proj!AK706*$L$110))</f>
        <v>127.49906380990375</v>
      </c>
      <c r="AL646" s="72">
        <f>IF(tech_base!$T22&gt;AL$625,"",(1000*tech_proj!AL986*(-PMT($J$110,tech_base!$F22,1))+1000*tech_proj!AL1266)/((1-tech_proj!AL426)*tech_proj!AL706*$L$110))</f>
        <v>127.35555061135631</v>
      </c>
      <c r="AM646" s="72">
        <f>IF(tech_base!$T22&gt;AM$625,"",(1000*tech_proj!AM986*(-PMT($J$110,tech_base!$F22,1))+1000*tech_proj!AM1266)/((1-tech_proj!AM426)*tech_proj!AM706*$L$110))</f>
        <v>127.17255782088014</v>
      </c>
      <c r="AN646" s="72">
        <f>IF(tech_base!$T22&gt;AN$625,"",(1000*tech_proj!AN986*(-PMT($J$110,tech_base!$F22,1))+1000*tech_proj!AN1266)/((1-tech_proj!AN426)*tech_proj!AN706*$L$110))</f>
        <v>126.93967976389683</v>
      </c>
      <c r="AO646" s="72">
        <f>IF(tech_base!$T22&gt;AO$625,"",(1000*tech_proj!AO986*(-PMT($J$110,tech_base!$F22,1))+1000*tech_proj!AO1266)/((1-tech_proj!AO426)*tech_proj!AO706*$L$110))</f>
        <v>126.64405320551566</v>
      </c>
      <c r="AP646" s="72">
        <f>IF(tech_base!$T22&gt;AP$625,"",(1000*tech_proj!AP986*(-PMT($J$110,tech_base!$F22,1))+1000*tech_proj!AP1266)/((1-tech_proj!AP426)*tech_proj!AP706*$L$110))</f>
        <v>126.26995478811365</v>
      </c>
      <c r="AQ646" s="72">
        <f>IF(tech_base!$T22&gt;AQ$625,"",(1000*tech_proj!AQ986*(-PMT($J$110,tech_base!$F22,1))+1000*tech_proj!AQ1266)/((1-tech_proj!AQ426)*tech_proj!AQ706*$L$110))</f>
        <v>125.79844731888795</v>
      </c>
      <c r="AR646" s="72">
        <f>IF(tech_base!$T22&gt;AR$625,"",(1000*tech_proj!AR986*(-PMT($J$110,tech_base!$F22,1))+1000*tech_proj!AR1266)/((1-tech_proj!AR426)*tech_proj!AR706*$L$110))</f>
        <v>125.2071664991817</v>
      </c>
      <c r="AS646" s="72">
        <f>IF(tech_base!$T22&gt;AS$625,"",(1000*tech_proj!AS986*(-PMT($J$110,tech_base!$F22,1))+1000*tech_proj!AS1266)/((1-tech_proj!AS426)*tech_proj!AS706*$L$110))</f>
        <v>124.47039026206323</v>
      </c>
      <c r="AT646" s="72">
        <f>IF(tech_base!$T22&gt;AT$625,"",(1000*tech_proj!AT986*(-PMT($J$110,tech_base!$F22,1))+1000*tech_proj!AT1266)/((1-tech_proj!AT426)*tech_proj!AT706*$L$110))</f>
        <v>123.55959292180415</v>
      </c>
      <c r="AU646" s="72">
        <f>IF(tech_base!$T22&gt;AU$625,"",(1000*tech_proj!AU986*(-PMT($J$110,tech_base!$F22,1))+1000*tech_proj!AU1266)/((1-tech_proj!AU426)*tech_proj!AU706*$L$110))</f>
        <v>122.44474268953613</v>
      </c>
      <c r="AV646" s="72">
        <f>IF(tech_base!$T22&gt;AV$625,"",(1000*tech_proj!AV986*(-PMT($J$110,tech_base!$F22,1))+1000*tech_proj!AV1266)/((1-tech_proj!AV426)*tech_proj!AV706*$L$110))</f>
        <v>121.09662454415694</v>
      </c>
      <c r="AW646" s="72">
        <f>IF(tech_base!$T22&gt;AW$625,"",(1000*tech_proj!AW986*(-PMT($J$110,tech_base!$F22,1))+1000*tech_proj!AW1266)/((1-tech_proj!AW426)*tech_proj!AW706*$L$110))</f>
        <v>119.49041092689427</v>
      </c>
      <c r="AX646" s="238">
        <f>IF(tech_base!$T22&gt;AX$625,"",(1000*tech_proj!AX986*(-PMT($J$110,tech_base!$F22,1))+1000*tech_proj!AX1266)/((1-tech_proj!AX426)*tech_proj!AX706*$L$110))</f>
        <v>117.61049452866321</v>
      </c>
      <c r="AY646" s="133"/>
    </row>
    <row r="647" spans="1:51" s="174" customFormat="1" x14ac:dyDescent="0.25">
      <c r="A647" s="356"/>
      <c r="B647" s="376"/>
      <c r="C647" s="361" t="s">
        <v>16</v>
      </c>
      <c r="D647" s="2" t="s">
        <v>7</v>
      </c>
      <c r="E647" s="160" t="str">
        <f>A633&amp;"/"&amp;B641&amp;"/"&amp;C647&amp;"/"&amp;D647</f>
        <v>Coal fired power plants/Supercritical steam turbine/CHP with CCS/L</v>
      </c>
      <c r="F647" s="76" t="str">
        <f>A633</f>
        <v>Coal fired power plants</v>
      </c>
      <c r="G647" s="76" t="str">
        <f>B641</f>
        <v>Supercritical steam turbine</v>
      </c>
      <c r="H647" s="76" t="str">
        <f>C647</f>
        <v>CHP with CCS</v>
      </c>
      <c r="I647" s="161" t="str">
        <f t="shared" si="362"/>
        <v>L</v>
      </c>
      <c r="J647" s="69" t="str">
        <f>IF(tech_base!$T23&gt;J$625,"",(1000*tech_proj!J987*(-PMT($J$110,tech_base!$F23,1))+1000*tech_proj!J1267)/((1-tech_proj!J427)*tech_proj!J707*$L$110))</f>
        <v/>
      </c>
      <c r="K647" s="69" t="str">
        <f>IF(tech_base!$T23&gt;K$625,"",(1000*tech_proj!K987*(-PMT($J$110,tech_base!$F23,1))+1000*tech_proj!K1267)/((1-tech_proj!K427)*tech_proj!K707*$L$110))</f>
        <v/>
      </c>
      <c r="L647" s="69" t="str">
        <f>IF(tech_base!$T23&gt;L$625,"",(1000*tech_proj!L987*(-PMT($J$110,tech_base!$F23,1))+1000*tech_proj!L1267)/((1-tech_proj!L427)*tech_proj!L707*$L$110))</f>
        <v/>
      </c>
      <c r="M647" s="69" t="str">
        <f>IF(tech_base!$T23&gt;M$625,"",(1000*tech_proj!M987*(-PMT($J$110,tech_base!$F23,1))+1000*tech_proj!M1267)/((1-tech_proj!M427)*tech_proj!M707*$L$110))</f>
        <v/>
      </c>
      <c r="N647" s="69" t="str">
        <f>IF(tech_base!$T23&gt;N$625,"",(1000*tech_proj!N987*(-PMT($J$110,tech_base!$F23,1))+1000*tech_proj!N1267)/((1-tech_proj!N427)*tech_proj!N707*$L$110))</f>
        <v/>
      </c>
      <c r="O647" s="69" t="str">
        <f>IF(tech_base!$T23&gt;O$625,"",(1000*tech_proj!O987*(-PMT($J$110,tech_base!$F23,1))+1000*tech_proj!O1267)/((1-tech_proj!O427)*tech_proj!O707*$L$110))</f>
        <v/>
      </c>
      <c r="P647" s="69" t="str">
        <f>IF(tech_base!$T23&gt;P$625,"",(1000*tech_proj!P987*(-PMT($J$110,tech_base!$F23,1))+1000*tech_proj!P1267)/((1-tech_proj!P427)*tech_proj!P707*$L$110))</f>
        <v/>
      </c>
      <c r="Q647" s="69" t="str">
        <f>IF(tech_base!$T23&gt;Q$625,"",(1000*tech_proj!Q987*(-PMT($J$110,tech_base!$F23,1))+1000*tech_proj!Q1267)/((1-tech_proj!Q427)*tech_proj!Q707*$L$110))</f>
        <v/>
      </c>
      <c r="R647" s="69" t="str">
        <f>IF(tech_base!$T23&gt;R$625,"",(1000*tech_proj!R987*(-PMT($J$110,tech_base!$F23,1))+1000*tech_proj!R1267)/((1-tech_proj!R427)*tech_proj!R707*$L$110))</f>
        <v/>
      </c>
      <c r="S647" s="69" t="str">
        <f>IF(tech_base!$T23&gt;S$625,"",(1000*tech_proj!S987*(-PMT($J$110,tech_base!$F23,1))+1000*tech_proj!S1267)/((1-tech_proj!S427)*tech_proj!S707*$L$110))</f>
        <v/>
      </c>
      <c r="T647" s="69" t="str">
        <f>IF(tech_base!$T23&gt;T$625,"",(1000*tech_proj!T987*(-PMT($J$110,tech_base!$F23,1))+1000*tech_proj!T1267)/((1-tech_proj!T427)*tech_proj!T707*$L$110))</f>
        <v/>
      </c>
      <c r="U647" s="69" t="str">
        <f>IF(tech_base!$T23&gt;U$625,"",(1000*tech_proj!U987*(-PMT($J$110,tech_base!$F23,1))+1000*tech_proj!U1267)/((1-tech_proj!U427)*tech_proj!U707*$L$110))</f>
        <v/>
      </c>
      <c r="V647" s="69" t="str">
        <f>IF(tech_base!$T23&gt;V$625,"",(1000*tech_proj!V987*(-PMT($J$110,tech_base!$F23,1))+1000*tech_proj!V1267)/((1-tech_proj!V427)*tech_proj!V707*$L$110))</f>
        <v/>
      </c>
      <c r="W647" s="69" t="str">
        <f>IF(tech_base!$T23&gt;W$625,"",(1000*tech_proj!W987*(-PMT($J$110,tech_base!$F23,1))+1000*tech_proj!W1267)/((1-tech_proj!W427)*tech_proj!W707*$L$110))</f>
        <v/>
      </c>
      <c r="X647" s="69" t="str">
        <f>IF(tech_base!$T23&gt;X$625,"",(1000*tech_proj!X987*(-PMT($J$110,tech_base!$F23,1))+1000*tech_proj!X1267)/((1-tech_proj!X427)*tech_proj!X707*$L$110))</f>
        <v/>
      </c>
      <c r="Y647" s="69" t="str">
        <f>IF(tech_base!$T23&gt;Y$625,"",(1000*tech_proj!Y987*(-PMT($J$110,tech_base!$F23,1))+1000*tech_proj!Y1267)/((1-tech_proj!Y427)*tech_proj!Y707*$L$110))</f>
        <v/>
      </c>
      <c r="Z647" s="69" t="str">
        <f>IF(tech_base!$T23&gt;Z$625,"",(1000*tech_proj!Z987*(-PMT($J$110,tech_base!$F23,1))+1000*tech_proj!Z1267)/((1-tech_proj!Z427)*tech_proj!Z707*$L$110))</f>
        <v/>
      </c>
      <c r="AA647" s="69" t="str">
        <f>IF(tech_base!$T23&gt;AA$625,"",(1000*tech_proj!AA987*(-PMT($J$110,tech_base!$F23,1))+1000*tech_proj!AA1267)/((1-tech_proj!AA427)*tech_proj!AA707*$L$110))</f>
        <v/>
      </c>
      <c r="AB647" s="69" t="str">
        <f>IF(tech_base!$T23&gt;AB$625,"",(1000*tech_proj!AB987*(-PMT($J$110,tech_base!$F23,1))+1000*tech_proj!AB1267)/((1-tech_proj!AB427)*tech_proj!AB707*$L$110))</f>
        <v/>
      </c>
      <c r="AC647" s="69" t="str">
        <f>IF(tech_base!$T23&gt;AC$625,"",(1000*tech_proj!AC987*(-PMT($J$110,tech_base!$F23,1))+1000*tech_proj!AC1267)/((1-tech_proj!AC427)*tech_proj!AC707*$L$110))</f>
        <v/>
      </c>
      <c r="AD647" s="69" t="str">
        <f>IF(tech_base!$T23&gt;AD$625,"",(1000*tech_proj!AD987*(-PMT($J$110,tech_base!$F23,1))+1000*tech_proj!AD1267)/((1-tech_proj!AD427)*tech_proj!AD707*$L$110))</f>
        <v/>
      </c>
      <c r="AE647" s="69">
        <f>IF(tech_base!$T23&gt;AE$625,"",(1000*tech_proj!AE987*(-PMT($J$110,tech_base!$F23,1))+1000*tech_proj!AE1267)/((1-tech_proj!AE427)*tech_proj!AE707*$L$110))</f>
        <v>135.89063564242323</v>
      </c>
      <c r="AF647" s="69">
        <f>IF(tech_base!$T23&gt;AF$625,"",(1000*tech_proj!AF987*(-PMT($J$110,tech_base!$F23,1))+1000*tech_proj!AF1267)/((1-tech_proj!AF427)*tech_proj!AF707*$L$110))</f>
        <v>135.83726147705659</v>
      </c>
      <c r="AG647" s="69">
        <f>IF(tech_base!$T23&gt;AG$625,"",(1000*tech_proj!AG987*(-PMT($J$110,tech_base!$F23,1))+1000*tech_proj!AG1267)/((1-tech_proj!AG427)*tech_proj!AG707*$L$110))</f>
        <v>135.77226998231663</v>
      </c>
      <c r="AH647" s="69">
        <f>IF(tech_base!$T23&gt;AH$625,"",(1000*tech_proj!AH987*(-PMT($J$110,tech_base!$F23,1))+1000*tech_proj!AH1267)/((1-tech_proj!AH427)*tech_proj!AH707*$L$110))</f>
        <v>135.69318589203269</v>
      </c>
      <c r="AI647" s="69">
        <f>IF(tech_base!$T23&gt;AI$625,"",(1000*tech_proj!AI987*(-PMT($J$110,tech_base!$F23,1))+1000*tech_proj!AI1267)/((1-tech_proj!AI427)*tech_proj!AI707*$L$110))</f>
        <v>135.59703236340312</v>
      </c>
      <c r="AJ647" s="69">
        <f>IF(tech_base!$T23&gt;AJ$625,"",(1000*tech_proj!AJ987*(-PMT($J$110,tech_base!$F23,1))+1000*tech_proj!AJ1267)/((1-tech_proj!AJ427)*tech_proj!AJ707*$L$110))</f>
        <v>135.48024182998219</v>
      </c>
      <c r="AK647" s="69">
        <f>IF(tech_base!$T23&gt;AK$625,"",(1000*tech_proj!AK987*(-PMT($J$110,tech_base!$F23,1))+1000*tech_proj!AK1267)/((1-tech_proj!AK427)*tech_proj!AK707*$L$110))</f>
        <v>135.33855714087514</v>
      </c>
      <c r="AL647" s="69">
        <f>IF(tech_base!$T23&gt;AL$625,"",(1000*tech_proj!AL987*(-PMT($J$110,tech_base!$F23,1))+1000*tech_proj!AL1267)/((1-tech_proj!AL427)*tech_proj!AL707*$L$110))</f>
        <v>135.16692518136855</v>
      </c>
      <c r="AM647" s="69">
        <f>IF(tech_base!$T23&gt;AM$625,"",(1000*tech_proj!AM987*(-PMT($J$110,tech_base!$F23,1))+1000*tech_proj!AM1267)/((1-tech_proj!AM427)*tech_proj!AM707*$L$110))</f>
        <v>134.95938735071337</v>
      </c>
      <c r="AN647" s="69">
        <f>IF(tech_base!$T23&gt;AN$625,"",(1000*tech_proj!AN987*(-PMT($J$110,tech_base!$F23,1))+1000*tech_proj!AN1267)/((1-tech_proj!AN427)*tech_proj!AN707*$L$110))</f>
        <v>134.7089744476865</v>
      </c>
      <c r="AO647" s="69">
        <f>IF(tech_base!$T23&gt;AO$625,"",(1000*tech_proj!AO987*(-PMT($J$110,tech_base!$F23,1))+1000*tech_proj!AO1267)/((1-tech_proj!AO427)*tech_proj!AO707*$L$110))</f>
        <v>134.40761793827812</v>
      </c>
      <c r="AP647" s="69">
        <f>IF(tech_base!$T23&gt;AP$625,"",(1000*tech_proj!AP987*(-PMT($J$110,tech_base!$F23,1))+1000*tech_proj!AP1267)/((1-tech_proj!AP427)*tech_proj!AP707*$L$110))</f>
        <v>134.04609545117259</v>
      </c>
      <c r="AQ647" s="69">
        <f>IF(tech_base!$T23&gt;AQ$625,"",(1000*tech_proj!AQ987*(-PMT($J$110,tech_base!$F23,1))+1000*tech_proj!AQ1267)/((1-tech_proj!AQ427)*tech_proj!AQ707*$L$110))</f>
        <v>133.61403568520566</v>
      </c>
      <c r="AR647" s="69">
        <f>IF(tech_base!$T23&gt;AR$625,"",(1000*tech_proj!AR987*(-PMT($J$110,tech_base!$F23,1))+1000*tech_proj!AR1267)/((1-tech_proj!AR427)*tech_proj!AR707*$L$110))</f>
        <v>133.1000163512505</v>
      </c>
      <c r="AS647" s="69">
        <f>IF(tech_base!$T23&gt;AS$625,"",(1000*tech_proj!AS987*(-PMT($J$110,tech_base!$F23,1))+1000*tech_proj!AS1267)/((1-tech_proj!AS427)*tech_proj!AS707*$L$110))</f>
        <v>132.4917972457302</v>
      </c>
      <c r="AT647" s="69">
        <f>IF(tech_base!$T23&gt;AT$625,"",(1000*tech_proj!AT987*(-PMT($J$110,tech_base!$F23,1))+1000*tech_proj!AT1267)/((1-tech_proj!AT427)*tech_proj!AT707*$L$110))</f>
        <v>131.77673691268106</v>
      </c>
      <c r="AU647" s="69">
        <f>IF(tech_base!$T23&gt;AU$625,"",(1000*tech_proj!AU987*(-PMT($J$110,tech_base!$F23,1))+1000*tech_proj!AU1267)/((1-tech_proj!AU427)*tech_proj!AU707*$L$110))</f>
        <v>130.94244197703327</v>
      </c>
      <c r="AV647" s="69">
        <f>IF(tech_base!$T23&gt;AV$625,"",(1000*tech_proj!AV987*(-PMT($J$110,tech_base!$F23,1))+1000*tech_proj!AV1267)/((1-tech_proj!AV427)*tech_proj!AV707*$L$110))</f>
        <v>129.97768790891297</v>
      </c>
      <c r="AW647" s="69">
        <f>IF(tech_base!$T23&gt;AW$625,"",(1000*tech_proj!AW987*(-PMT($J$110,tech_base!$F23,1))+1000*tech_proj!AW1267)/((1-tech_proj!AW427)*tech_proj!AW707*$L$110))</f>
        <v>128.8736224457702</v>
      </c>
      <c r="AX647" s="235">
        <f>IF(tech_base!$T23&gt;AX$625,"",(1000*tech_proj!AX987*(-PMT($J$110,tech_base!$F23,1))+1000*tech_proj!AX1267)/((1-tech_proj!AX427)*tech_proj!AX707*$L$110))</f>
        <v>127.62521264187167</v>
      </c>
      <c r="AY647" s="133"/>
    </row>
    <row r="648" spans="1:51" s="174" customFormat="1" x14ac:dyDescent="0.25">
      <c r="A648" s="356"/>
      <c r="B648" s="380"/>
      <c r="C648" s="381"/>
      <c r="D648" s="4" t="s">
        <v>8</v>
      </c>
      <c r="E648" s="168" t="str">
        <f>A633&amp;"/"&amp;B641&amp;"/"&amp;C647&amp;"/"&amp;D648</f>
        <v>Coal fired power plants/Supercritical steam turbine/CHP with CCS/M</v>
      </c>
      <c r="F648" s="80" t="str">
        <f>A633</f>
        <v>Coal fired power plants</v>
      </c>
      <c r="G648" s="80" t="str">
        <f>B641</f>
        <v>Supercritical steam turbine</v>
      </c>
      <c r="H648" s="80" t="str">
        <f>C647</f>
        <v>CHP with CCS</v>
      </c>
      <c r="I648" s="169" t="str">
        <f t="shared" si="362"/>
        <v>M</v>
      </c>
      <c r="J648" s="73" t="str">
        <f>IF(tech_base!$T24&gt;J$625,"",(1000*tech_proj!J988*(-PMT($J$110,tech_base!$F24,1))+1000*tech_proj!J1268)/((1-tech_proj!J428)*tech_proj!J708*$L$110))</f>
        <v/>
      </c>
      <c r="K648" s="73" t="str">
        <f>IF(tech_base!$T24&gt;K$625,"",(1000*tech_proj!K988*(-PMT($J$110,tech_base!$F24,1))+1000*tech_proj!K1268)/((1-tech_proj!K428)*tech_proj!K708*$L$110))</f>
        <v/>
      </c>
      <c r="L648" s="73" t="str">
        <f>IF(tech_base!$T24&gt;L$625,"",(1000*tech_proj!L988*(-PMT($J$110,tech_base!$F24,1))+1000*tech_proj!L1268)/((1-tech_proj!L428)*tech_proj!L708*$L$110))</f>
        <v/>
      </c>
      <c r="M648" s="73" t="str">
        <f>IF(tech_base!$T24&gt;M$625,"",(1000*tech_proj!M988*(-PMT($J$110,tech_base!$F24,1))+1000*tech_proj!M1268)/((1-tech_proj!M428)*tech_proj!M708*$L$110))</f>
        <v/>
      </c>
      <c r="N648" s="73" t="str">
        <f>IF(tech_base!$T24&gt;N$625,"",(1000*tech_proj!N988*(-PMT($J$110,tech_base!$F24,1))+1000*tech_proj!N1268)/((1-tech_proj!N428)*tech_proj!N708*$L$110))</f>
        <v/>
      </c>
      <c r="O648" s="73" t="str">
        <f>IF(tech_base!$T24&gt;O$625,"",(1000*tech_proj!O988*(-PMT($J$110,tech_base!$F24,1))+1000*tech_proj!O1268)/((1-tech_proj!O428)*tech_proj!O708*$L$110))</f>
        <v/>
      </c>
      <c r="P648" s="73" t="str">
        <f>IF(tech_base!$T24&gt;P$625,"",(1000*tech_proj!P988*(-PMT($J$110,tech_base!$F24,1))+1000*tech_proj!P1268)/((1-tech_proj!P428)*tech_proj!P708*$L$110))</f>
        <v/>
      </c>
      <c r="Q648" s="73" t="str">
        <f>IF(tech_base!$T24&gt;Q$625,"",(1000*tech_proj!Q988*(-PMT($J$110,tech_base!$F24,1))+1000*tech_proj!Q1268)/((1-tech_proj!Q428)*tech_proj!Q708*$L$110))</f>
        <v/>
      </c>
      <c r="R648" s="73" t="str">
        <f>IF(tech_base!$T24&gt;R$625,"",(1000*tech_proj!R988*(-PMT($J$110,tech_base!$F24,1))+1000*tech_proj!R1268)/((1-tech_proj!R428)*tech_proj!R708*$L$110))</f>
        <v/>
      </c>
      <c r="S648" s="73" t="str">
        <f>IF(tech_base!$T24&gt;S$625,"",(1000*tech_proj!S988*(-PMT($J$110,tech_base!$F24,1))+1000*tech_proj!S1268)/((1-tech_proj!S428)*tech_proj!S708*$L$110))</f>
        <v/>
      </c>
      <c r="T648" s="73" t="str">
        <f>IF(tech_base!$T24&gt;T$625,"",(1000*tech_proj!T988*(-PMT($J$110,tech_base!$F24,1))+1000*tech_proj!T1268)/((1-tech_proj!T428)*tech_proj!T708*$L$110))</f>
        <v/>
      </c>
      <c r="U648" s="73" t="str">
        <f>IF(tech_base!$T24&gt;U$625,"",(1000*tech_proj!U988*(-PMT($J$110,tech_base!$F24,1))+1000*tech_proj!U1268)/((1-tech_proj!U428)*tech_proj!U708*$L$110))</f>
        <v/>
      </c>
      <c r="V648" s="73" t="str">
        <f>IF(tech_base!$T24&gt;V$625,"",(1000*tech_proj!V988*(-PMT($J$110,tech_base!$F24,1))+1000*tech_proj!V1268)/((1-tech_proj!V428)*tech_proj!V708*$L$110))</f>
        <v/>
      </c>
      <c r="W648" s="73" t="str">
        <f>IF(tech_base!$T24&gt;W$625,"",(1000*tech_proj!W988*(-PMT($J$110,tech_base!$F24,1))+1000*tech_proj!W1268)/((1-tech_proj!W428)*tech_proj!W708*$L$110))</f>
        <v/>
      </c>
      <c r="X648" s="73" t="str">
        <f>IF(tech_base!$T24&gt;X$625,"",(1000*tech_proj!X988*(-PMT($J$110,tech_base!$F24,1))+1000*tech_proj!X1268)/((1-tech_proj!X428)*tech_proj!X708*$L$110))</f>
        <v/>
      </c>
      <c r="Y648" s="73" t="str">
        <f>IF(tech_base!$T24&gt;Y$625,"",(1000*tech_proj!Y988*(-PMT($J$110,tech_base!$F24,1))+1000*tech_proj!Y1268)/((1-tech_proj!Y428)*tech_proj!Y708*$L$110))</f>
        <v/>
      </c>
      <c r="Z648" s="73" t="str">
        <f>IF(tech_base!$T24&gt;Z$625,"",(1000*tech_proj!Z988*(-PMT($J$110,tech_base!$F24,1))+1000*tech_proj!Z1268)/((1-tech_proj!Z428)*tech_proj!Z708*$L$110))</f>
        <v/>
      </c>
      <c r="AA648" s="73" t="str">
        <f>IF(tech_base!$T24&gt;AA$625,"",(1000*tech_proj!AA988*(-PMT($J$110,tech_base!$F24,1))+1000*tech_proj!AA1268)/((1-tech_proj!AA428)*tech_proj!AA708*$L$110))</f>
        <v/>
      </c>
      <c r="AB648" s="73" t="str">
        <f>IF(tech_base!$T24&gt;AB$625,"",(1000*tech_proj!AB988*(-PMT($J$110,tech_base!$F24,1))+1000*tech_proj!AB1268)/((1-tech_proj!AB428)*tech_proj!AB708*$L$110))</f>
        <v/>
      </c>
      <c r="AC648" s="73" t="str">
        <f>IF(tech_base!$T24&gt;AC$625,"",(1000*tech_proj!AC988*(-PMT($J$110,tech_base!$F24,1))+1000*tech_proj!AC1268)/((1-tech_proj!AC428)*tech_proj!AC708*$L$110))</f>
        <v/>
      </c>
      <c r="AD648" s="73" t="str">
        <f>IF(tech_base!$T24&gt;AD$625,"",(1000*tech_proj!AD988*(-PMT($J$110,tech_base!$F24,1))+1000*tech_proj!AD1268)/((1-tech_proj!AD428)*tech_proj!AD708*$L$110))</f>
        <v/>
      </c>
      <c r="AE648" s="73">
        <f>IF(tech_base!$T24&gt;AE$625,"",(1000*tech_proj!AE988*(-PMT($J$110,tech_base!$F24,1))+1000*tech_proj!AE1268)/((1-tech_proj!AE428)*tech_proj!AE708*$L$110))</f>
        <v>146.94904153737545</v>
      </c>
      <c r="AF648" s="73">
        <f>IF(tech_base!$T24&gt;AF$625,"",(1000*tech_proj!AF988*(-PMT($J$110,tech_base!$F24,1))+1000*tech_proj!AF1268)/((1-tech_proj!AF428)*tech_proj!AF708*$L$110))</f>
        <v>146.9173102462241</v>
      </c>
      <c r="AG648" s="73">
        <f>IF(tech_base!$T24&gt;AG$625,"",(1000*tech_proj!AG988*(-PMT($J$110,tech_base!$F24,1))+1000*tech_proj!AG1268)/((1-tech_proj!AG428)*tech_proj!AG708*$L$110))</f>
        <v>146.87663047893452</v>
      </c>
      <c r="AH648" s="73">
        <f>IF(tech_base!$T24&gt;AH$625,"",(1000*tech_proj!AH988*(-PMT($J$110,tech_base!$F24,1))+1000*tech_proj!AH1268)/((1-tech_proj!AH428)*tech_proj!AH708*$L$110))</f>
        <v>146.82450189839074</v>
      </c>
      <c r="AI648" s="73">
        <f>IF(tech_base!$T24&gt;AI$625,"",(1000*tech_proj!AI988*(-PMT($J$110,tech_base!$F24,1))+1000*tech_proj!AI1268)/((1-tech_proj!AI428)*tech_proj!AI708*$L$110))</f>
        <v>146.75774047159013</v>
      </c>
      <c r="AJ648" s="73">
        <f>IF(tech_base!$T24&gt;AJ$625,"",(1000*tech_proj!AJ988*(-PMT($J$110,tech_base!$F24,1))+1000*tech_proj!AJ1268)/((1-tech_proj!AJ428)*tech_proj!AJ708*$L$110))</f>
        <v>146.67230111729495</v>
      </c>
      <c r="AK648" s="73">
        <f>IF(tech_base!$T24&gt;AK$625,"",(1000*tech_proj!AK988*(-PMT($J$110,tech_base!$F24,1))+1000*tech_proj!AK1268)/((1-tech_proj!AK428)*tech_proj!AK708*$L$110))</f>
        <v>146.5630605368799</v>
      </c>
      <c r="AL648" s="73">
        <f>IF(tech_base!$T24&gt;AL$625,"",(1000*tech_proj!AL988*(-PMT($J$110,tech_base!$F24,1))+1000*tech_proj!AL1268)/((1-tech_proj!AL428)*tech_proj!AL708*$L$110))</f>
        <v>146.42355536999358</v>
      </c>
      <c r="AM648" s="73">
        <f>IF(tech_base!$T24&gt;AM$625,"",(1000*tech_proj!AM988*(-PMT($J$110,tech_base!$F24,1))+1000*tech_proj!AM1268)/((1-tech_proj!AM428)*tech_proj!AM708*$L$110))</f>
        <v>146.24567319586077</v>
      </c>
      <c r="AN648" s="73">
        <f>IF(tech_base!$T24&gt;AN$625,"",(1000*tech_proj!AN988*(-PMT($J$110,tech_base!$F24,1))+1000*tech_proj!AN1268)/((1-tech_proj!AN428)*tech_proj!AN708*$L$110))</f>
        <v>146.0192989492239</v>
      </c>
      <c r="AO648" s="73">
        <f>IF(tech_base!$T24&gt;AO$625,"",(1000*tech_proj!AO988*(-PMT($J$110,tech_base!$F24,1))+1000*tech_proj!AO1268)/((1-tech_proj!AO428)*tech_proj!AO708*$L$110))</f>
        <v>145.73192863917285</v>
      </c>
      <c r="AP648" s="73">
        <f>IF(tech_base!$T24&gt;AP$625,"",(1000*tech_proj!AP988*(-PMT($J$110,tech_base!$F24,1))+1000*tech_proj!AP1268)/((1-tech_proj!AP428)*tech_proj!AP708*$L$110))</f>
        <v>145.36827802947417</v>
      </c>
      <c r="AQ648" s="73">
        <f>IF(tech_base!$T24&gt;AQ$625,"",(1000*tech_proj!AQ988*(-PMT($J$110,tech_base!$F24,1))+1000*tech_proj!AQ1268)/((1-tech_proj!AQ428)*tech_proj!AQ708*$L$110))</f>
        <v>144.9099388045928</v>
      </c>
      <c r="AR648" s="73">
        <f>IF(tech_base!$T24&gt;AR$625,"",(1000*tech_proj!AR988*(-PMT($J$110,tech_base!$F24,1))+1000*tech_proj!AR1268)/((1-tech_proj!AR428)*tech_proj!AR708*$L$110))</f>
        <v>144.33517125523355</v>
      </c>
      <c r="AS648" s="73">
        <f>IF(tech_base!$T24&gt;AS$625,"",(1000*tech_proj!AS988*(-PMT($J$110,tech_base!$F24,1))+1000*tech_proj!AS1268)/((1-tech_proj!AS428)*tech_proj!AS708*$L$110))</f>
        <v>143.61897167946339</v>
      </c>
      <c r="AT648" s="73">
        <f>IF(tech_base!$T24&gt;AT$625,"",(1000*tech_proj!AT988*(-PMT($J$110,tech_base!$F24,1))+1000*tech_proj!AT1268)/((1-tech_proj!AT428)*tech_proj!AT708*$L$110))</f>
        <v>142.73361105592133</v>
      </c>
      <c r="AU648" s="73">
        <f>IF(tech_base!$T24&gt;AU$625,"",(1000*tech_proj!AU988*(-PMT($J$110,tech_base!$F24,1))+1000*tech_proj!AU1268)/((1-tech_proj!AU428)*tech_proj!AU708*$L$110))</f>
        <v>141.64989632250317</v>
      </c>
      <c r="AV648" s="73">
        <f>IF(tech_base!$T24&gt;AV$625,"",(1000*tech_proj!AV988*(-PMT($J$110,tech_base!$F24,1))+1000*tech_proj!AV1268)/((1-tech_proj!AV428)*tech_proj!AV708*$L$110))</f>
        <v>140.33942837420881</v>
      </c>
      <c r="AW648" s="73">
        <f>IF(tech_base!$T24&gt;AW$625,"",(1000*tech_proj!AW988*(-PMT($J$110,tech_base!$F24,1))+1000*tech_proj!AW1268)/((1-tech_proj!AW428)*tech_proj!AW708*$L$110))</f>
        <v>138.77807303547135</v>
      </c>
      <c r="AX648" s="239">
        <f>IF(tech_base!$T24&gt;AX$625,"",(1000*tech_proj!AX988*(-PMT($J$110,tech_base!$F24,1))+1000*tech_proj!AX1268)/((1-tech_proj!AX428)*tech_proj!AX708*$L$110))</f>
        <v>136.95065887759586</v>
      </c>
      <c r="AY648" s="133"/>
    </row>
    <row r="649" spans="1:51" s="174" customFormat="1" x14ac:dyDescent="0.25">
      <c r="A649" s="356"/>
      <c r="B649" s="358" t="s">
        <v>18</v>
      </c>
      <c r="C649" s="353" t="s">
        <v>6</v>
      </c>
      <c r="D649" s="3" t="s">
        <v>7</v>
      </c>
      <c r="E649" s="162" t="str">
        <f>A633&amp;"/"&amp;B649&amp;"/"&amp;C649&amp;"/"&amp;D649</f>
        <v>Coal fired power plants/Fluidized bed combustion/Electricity only/L</v>
      </c>
      <c r="F649" s="77" t="str">
        <f>A633</f>
        <v>Coal fired power plants</v>
      </c>
      <c r="G649" s="77" t="str">
        <f>B649</f>
        <v>Fluidized bed combustion</v>
      </c>
      <c r="H649" s="77" t="str">
        <f>C649</f>
        <v>Electricity only</v>
      </c>
      <c r="I649" s="163" t="str">
        <f t="shared" si="362"/>
        <v>L</v>
      </c>
      <c r="J649" s="70">
        <f>IF(tech_base!$T25&gt;J$625,"",(1000*tech_proj!J989*(-PMT($J$110,tech_base!$F25,1))+1000*tech_proj!J1269)/((1-tech_proj!J429)*tech_proj!J709*$L$110))</f>
        <v>56.194014453031805</v>
      </c>
      <c r="K649" s="70">
        <f>IF(tech_base!$T25&gt;K$625,"",(1000*tech_proj!K989*(-PMT($J$110,tech_base!$F25,1))+1000*tech_proj!K1269)/((1-tech_proj!K429)*tech_proj!K709*$L$110))</f>
        <v>56.191504601893129</v>
      </c>
      <c r="L649" s="70">
        <f>IF(tech_base!$T25&gt;L$625,"",(1000*tech_proj!L989*(-PMT($J$110,tech_base!$F25,1))+1000*tech_proj!L1269)/((1-tech_proj!L429)*tech_proj!L709*$L$110))</f>
        <v>56.188440127198547</v>
      </c>
      <c r="M649" s="70">
        <f>IF(tech_base!$T25&gt;M$625,"",(1000*tech_proj!M989*(-PMT($J$110,tech_base!$F25,1))+1000*tech_proj!M1269)/((1-tech_proj!M429)*tech_proj!M709*$L$110))</f>
        <v>56.184698756475704</v>
      </c>
      <c r="N649" s="70">
        <f>IF(tech_base!$T25&gt;N$625,"",(1000*tech_proj!N989*(-PMT($J$110,tech_base!$F25,1))+1000*tech_proj!N1269)/((1-tech_proj!N429)*tech_proj!N709*$L$110))</f>
        <v>56.180131402224262</v>
      </c>
      <c r="O649" s="70">
        <f>IF(tech_base!$T25&gt;O$625,"",(1000*tech_proj!O989*(-PMT($J$110,tech_base!$F25,1))+1000*tech_proj!O1269)/((1-tech_proj!O429)*tech_proj!O709*$L$110))</f>
        <v>56.174556350583757</v>
      </c>
      <c r="P649" s="70">
        <f>IF(tech_base!$T25&gt;P$625,"",(1000*tech_proj!P989*(-PMT($J$110,tech_base!$F25,1))+1000*tech_proj!P1269)/((1-tech_proj!P429)*tech_proj!P709*$L$110))</f>
        <v>56.167752224688599</v>
      </c>
      <c r="Q649" s="70">
        <f>IF(tech_base!$T25&gt;Q$625,"",(1000*tech_proj!Q989*(-PMT($J$110,tech_base!$F25,1))+1000*tech_proj!Q1269)/((1-tech_proj!Q429)*tech_proj!Q709*$L$110))</f>
        <v>56.159449481230517</v>
      </c>
      <c r="R649" s="70">
        <f>IF(tech_base!$T25&gt;R$625,"",(1000*tech_proj!R989*(-PMT($J$110,tech_base!$F25,1))+1000*tech_proj!R1269)/((1-tech_proj!R429)*tech_proj!R709*$L$110))</f>
        <v>56.14932015965433</v>
      </c>
      <c r="S649" s="70">
        <f>IF(tech_base!$T25&gt;S$625,"",(1000*tech_proj!S989*(-PMT($J$110,tech_base!$F25,1))+1000*tech_proj!S1269)/((1-tech_proj!S429)*tech_proj!S709*$L$110))</f>
        <v>56.13696556249306</v>
      </c>
      <c r="T649" s="70">
        <f>IF(tech_base!$T25&gt;T$625,"",(1000*tech_proj!T989*(-PMT($J$110,tech_base!$F25,1))+1000*tech_proj!T1269)/((1-tech_proj!T429)*tech_proj!T709*$L$110))</f>
        <v>56.121901505368399</v>
      </c>
      <c r="U649" s="70">
        <f>IF(tech_base!$T25&gt;U$625,"",(1000*tech_proj!U989*(-PMT($J$110,tech_base!$F25,1))+1000*tech_proj!U1269)/((1-tech_proj!U429)*tech_proj!U709*$L$110))</f>
        <v>56.103540740922867</v>
      </c>
      <c r="V649" s="70">
        <f>IF(tech_base!$T25&gt;V$625,"",(1000*tech_proj!V989*(-PMT($J$110,tech_base!$F25,1))+1000*tech_proj!V1269)/((1-tech_proj!V429)*tech_proj!V709*$L$110))</f>
        <v>56.081172140226528</v>
      </c>
      <c r="W649" s="70">
        <f>IF(tech_base!$T25&gt;W$625,"",(1000*tech_proj!W989*(-PMT($J$110,tech_base!$F25,1))+1000*tech_proj!W1269)/((1-tech_proj!W429)*tech_proj!W709*$L$110))</f>
        <v>56.053936220287447</v>
      </c>
      <c r="X649" s="70">
        <f>IF(tech_base!$T25&gt;X$625,"",(1000*tech_proj!X989*(-PMT($J$110,tech_base!$F25,1))+1000*tech_proj!X1269)/((1-tech_proj!X429)*tech_proj!X709*$L$110))</f>
        <v>56.0207966558797</v>
      </c>
      <c r="Y649" s="70">
        <f>IF(tech_base!$T25&gt;Y$625,"",(1000*tech_proj!Y989*(-PMT($J$110,tech_base!$F25,1))+1000*tech_proj!Y1269)/((1-tech_proj!Y429)*tech_proj!Y709*$L$110))</f>
        <v>55.980507535650212</v>
      </c>
      <c r="Z649" s="70">
        <f>IF(tech_base!$T25&gt;Z$625,"",(1000*tech_proj!Z989*(-PMT($J$110,tech_base!$F25,1))+1000*tech_proj!Z1269)/((1-tech_proj!Z429)*tech_proj!Z709*$L$110))</f>
        <v>55.931576356240193</v>
      </c>
      <c r="AA649" s="70">
        <f>IF(tech_base!$T25&gt;AA$625,"",(1000*tech_proj!AA989*(-PMT($J$110,tech_base!$F25,1))+1000*tech_proj!AA1269)/((1-tech_proj!AA429)*tech_proj!AA709*$L$110))</f>
        <v>55.872223149714543</v>
      </c>
      <c r="AB649" s="70">
        <f>IF(tech_base!$T25&gt;AB$625,"",(1000*tech_proj!AB989*(-PMT($J$110,tech_base!$F25,1))+1000*tech_proj!AB1269)/((1-tech_proj!AB429)*tech_proj!AB709*$L$110))</f>
        <v>55.800336784239363</v>
      </c>
      <c r="AC649" s="70">
        <f>IF(tech_base!$T25&gt;AC$625,"",(1000*tech_proj!AC989*(-PMT($J$110,tech_base!$F25,1))+1000*tech_proj!AC1269)/((1-tech_proj!AC429)*tech_proj!AC709*$L$110))</f>
        <v>55.71343046285542</v>
      </c>
      <c r="AD649" s="70">
        <f>IF(tech_base!$T25&gt;AD$625,"",(1000*tech_proj!AD989*(-PMT($J$110,tech_base!$F25,1))+1000*tech_proj!AD1269)/((1-tech_proj!AD429)*tech_proj!AD709*$L$110))</f>
        <v>55.608599887855497</v>
      </c>
      <c r="AE649" s="70">
        <f>IF(tech_base!$T25&gt;AE$625,"",(1000*tech_proj!AE989*(-PMT($J$110,tech_base!$F25,1))+1000*tech_proj!AE1269)/((1-tech_proj!AE429)*tech_proj!AE709*$L$110))</f>
        <v>55.482489586488249</v>
      </c>
      <c r="AF649" s="70">
        <f>IF(tech_base!$T25&gt;AF$625,"",(1000*tech_proj!AF989*(-PMT($J$110,tech_base!$F25,1))+1000*tech_proj!AF1269)/((1-tech_proj!AF429)*tech_proj!AF709*$L$110))</f>
        <v>55.331275619542858</v>
      </c>
      <c r="AG649" s="70">
        <f>IF(tech_base!$T25&gt;AG$625,"",(1000*tech_proj!AG989*(-PMT($J$110,tech_base!$F25,1))+1000*tech_proj!AG1269)/((1-tech_proj!AG429)*tech_proj!AG709*$L$110))</f>
        <v>55.150676360817201</v>
      </c>
      <c r="AH649" s="70">
        <f>IF(tech_base!$T25&gt;AH$625,"",(1000*tech_proj!AH989*(-PMT($J$110,tech_base!$F25,1))+1000*tech_proj!AH1269)/((1-tech_proj!AH429)*tech_proj!AH709*$L$110))</f>
        <v>54.936007121301039</v>
      </c>
      <c r="AI649" s="70">
        <f>IF(tech_base!$T25&gt;AI$625,"",(1000*tech_proj!AI989*(-PMT($J$110,tech_base!$F25,1))+1000*tech_proj!AI1269)/((1-tech_proj!AI429)*tech_proj!AI709*$L$110))</f>
        <v>54.682298660380717</v>
      </c>
      <c r="AJ649" s="70">
        <f>IF(tech_base!$T25&gt;AJ$625,"",(1000*tech_proj!AJ989*(-PMT($J$110,tech_base!$F25,1))+1000*tech_proj!AJ1269)/((1-tech_proj!AJ429)*tech_proj!AJ709*$L$110))</f>
        <v>54.384503114011551</v>
      </c>
      <c r="AK649" s="70">
        <f>IF(tech_base!$T25&gt;AK$625,"",(1000*tech_proj!AK989*(-PMT($J$110,tech_base!$F25,1))+1000*tech_proj!AK1269)/((1-tech_proj!AK429)*tech_proj!AK709*$L$110))</f>
        <v>54.037811842993008</v>
      </c>
      <c r="AL649" s="70">
        <f>IF(tech_base!$T25&gt;AL$625,"",(1000*tech_proj!AL989*(-PMT($J$110,tech_base!$F25,1))+1000*tech_proj!AL1269)/((1-tech_proj!AL429)*tech_proj!AL709*$L$110))</f>
        <v>53.638105479202721</v>
      </c>
      <c r="AM649" s="70">
        <f>IF(tech_base!$T25&gt;AM$625,"",(1000*tech_proj!AM989*(-PMT($J$110,tech_base!$F25,1))+1000*tech_proj!AM1269)/((1-tech_proj!AM429)*tech_proj!AM709*$L$110))</f>
        <v>53.182543479333582</v>
      </c>
      <c r="AN649" s="70">
        <f>IF(tech_base!$T25&gt;AN$625,"",(1000*tech_proj!AN989*(-PMT($J$110,tech_base!$F25,1))+1000*tech_proj!AN1269)/((1-tech_proj!AN429)*tech_proj!AN709*$L$110))</f>
        <v>52.670275081274596</v>
      </c>
      <c r="AO649" s="70">
        <f>IF(tech_base!$T25&gt;AO$625,"",(1000*tech_proj!AO989*(-PMT($J$110,tech_base!$F25,1))+1000*tech_proj!AO1269)/((1-tech_proj!AO429)*tech_proj!AO709*$L$110))</f>
        <v>52.103213558410388</v>
      </c>
      <c r="AP649" s="70">
        <f>IF(tech_base!$T25&gt;AP$625,"",(1000*tech_proj!AP989*(-PMT($J$110,tech_base!$F25,1))+1000*tech_proj!AP1269)/((1-tech_proj!AP429)*tech_proj!AP709*$L$110))</f>
        <v>51.486763449184799</v>
      </c>
      <c r="AQ649" s="70">
        <f>IF(tech_base!$T25&gt;AQ$625,"",(1000*tech_proj!AQ989*(-PMT($J$110,tech_base!$F25,1))+1000*tech_proj!AQ1269)/((1-tech_proj!AQ429)*tech_proj!AQ709*$L$110))</f>
        <v>50.830336480513822</v>
      </c>
      <c r="AR649" s="70">
        <f>IF(tech_base!$T25&gt;AR$625,"",(1000*tech_proj!AR989*(-PMT($J$110,tech_base!$F25,1))+1000*tech_proj!AR1269)/((1-tech_proj!AR429)*tech_proj!AR709*$L$110))</f>
        <v>50.147457058276835</v>
      </c>
      <c r="AS649" s="70">
        <f>IF(tech_base!$T25&gt;AS$625,"",(1000*tech_proj!AS989*(-PMT($J$110,tech_base!$F25,1))+1000*tech_proj!AS1269)/((1-tech_proj!AS429)*tech_proj!AS709*$L$110))</f>
        <v>49.455271085431811</v>
      </c>
      <c r="AT649" s="70">
        <f>IF(tech_base!$T25&gt;AT$625,"",(1000*tech_proj!AT989*(-PMT($J$110,tech_base!$F25,1))+1000*tech_proj!AT1269)/((1-tech_proj!AT429)*tech_proj!AT709*$L$110))</f>
        <v>48.773357906915734</v>
      </c>
      <c r="AU649" s="70">
        <f>IF(tech_base!$T25&gt;AU$625,"",(1000*tech_proj!AU989*(-PMT($J$110,tech_base!$F25,1))+1000*tech_proj!AU1269)/((1-tech_proj!AU429)*tech_proj!AU709*$L$110))</f>
        <v>48.12190783738248</v>
      </c>
      <c r="AV649" s="70">
        <f>IF(tech_base!$T25&gt;AV$625,"",(1000*tech_proj!AV989*(-PMT($J$110,tech_base!$F25,1))+1000*tech_proj!AV1269)/((1-tech_proj!AV429)*tech_proj!AV709*$L$110))</f>
        <v>47.519530908489052</v>
      </c>
      <c r="AW649" s="70">
        <f>IF(tech_base!$T25&gt;AW$625,"",(1000*tech_proj!AW989*(-PMT($J$110,tech_base!$F25,1))+1000*tech_proj!AW1269)/((1-tech_proj!AW429)*tech_proj!AW709*$L$110))</f>
        <v>46.981130328829266</v>
      </c>
      <c r="AX649" s="236">
        <f>IF(tech_base!$T25&gt;AX$625,"",(1000*tech_proj!AX989*(-PMT($J$110,tech_base!$F25,1))+1000*tech_proj!AX1269)/((1-tech_proj!AX429)*tech_proj!AX709*$L$110))</f>
        <v>46.516320560788479</v>
      </c>
      <c r="AY649" s="133"/>
    </row>
    <row r="650" spans="1:51" s="174" customFormat="1" x14ac:dyDescent="0.25">
      <c r="A650" s="356"/>
      <c r="B650" s="376"/>
      <c r="C650" s="378"/>
      <c r="D650" s="2" t="s">
        <v>8</v>
      </c>
      <c r="E650" s="160" t="str">
        <f>A633&amp;"/"&amp;B649&amp;"/"&amp;C649&amp;"/"&amp;D650</f>
        <v>Coal fired power plants/Fluidized bed combustion/Electricity only/M</v>
      </c>
      <c r="F650" s="76" t="str">
        <f>A633</f>
        <v>Coal fired power plants</v>
      </c>
      <c r="G650" s="76" t="str">
        <f>B649</f>
        <v>Fluidized bed combustion</v>
      </c>
      <c r="H650" s="76" t="str">
        <f>C649</f>
        <v>Electricity only</v>
      </c>
      <c r="I650" s="161" t="str">
        <f t="shared" si="362"/>
        <v>M</v>
      </c>
      <c r="J650" s="69">
        <f>IF(tech_base!$T26&gt;J$625,"",(1000*tech_proj!J990*(-PMT($J$110,tech_base!$F26,1))+1000*tech_proj!J1270)/((1-tech_proj!J430)*tech_proj!J710*$L$110))</f>
        <v>61.121224335462209</v>
      </c>
      <c r="K650" s="69">
        <f>IF(tech_base!$T26&gt;K$625,"",(1000*tech_proj!K990*(-PMT($J$110,tech_base!$F26,1))+1000*tech_proj!K1270)/((1-tech_proj!K430)*tech_proj!K710*$L$110))</f>
        <v>61.115826034193383</v>
      </c>
      <c r="L650" s="69">
        <f>IF(tech_base!$T26&gt;L$625,"",(1000*tech_proj!L990*(-PMT($J$110,tech_base!$F26,1))+1000*tech_proj!L1270)/((1-tech_proj!L430)*tech_proj!L710*$L$110))</f>
        <v>61.109399428672653</v>
      </c>
      <c r="M650" s="69">
        <f>IF(tech_base!$T26&gt;M$625,"",(1000*tech_proj!M990*(-PMT($J$110,tech_base!$F26,1))+1000*tech_proj!M1270)/((1-tech_proj!M430)*tech_proj!M710*$L$110))</f>
        <v>61.101749572625764</v>
      </c>
      <c r="N650" s="69">
        <f>IF(tech_base!$T26&gt;N$625,"",(1000*tech_proj!N990*(-PMT($J$110,tech_base!$F26,1))+1000*tech_proj!N1270)/((1-tech_proj!N430)*tech_proj!N710*$L$110))</f>
        <v>61.09264495123869</v>
      </c>
      <c r="O650" s="69">
        <f>IF(tech_base!$T26&gt;O$625,"",(1000*tech_proj!O990*(-PMT($J$110,tech_base!$F26,1))+1000*tech_proj!O1270)/((1-tech_proj!O430)*tech_proj!O710*$L$110))</f>
        <v>61.081810784333911</v>
      </c>
      <c r="P650" s="69">
        <f>IF(tech_base!$T26&gt;P$625,"",(1000*tech_proj!P990*(-PMT($J$110,tech_base!$F26,1))+1000*tech_proj!P1270)/((1-tech_proj!P430)*tech_proj!P710*$L$110))</f>
        <v>61.068921171438944</v>
      </c>
      <c r="Q650" s="69">
        <f>IF(tech_base!$T26&gt;Q$625,"",(1000*tech_proj!Q990*(-PMT($J$110,tech_base!$F26,1))+1000*tech_proj!Q1270)/((1-tech_proj!Q430)*tech_proj!Q710*$L$110))</f>
        <v>61.053589907471085</v>
      </c>
      <c r="R650" s="69">
        <f>IF(tech_base!$T26&gt;R$625,"",(1000*tech_proj!R990*(-PMT($J$110,tech_base!$F26,1))+1000*tech_proj!R1270)/((1-tech_proj!R430)*tech_proj!R710*$L$110))</f>
        <v>61.035359785239969</v>
      </c>
      <c r="S650" s="69">
        <f>IF(tech_base!$T26&gt;S$625,"",(1000*tech_proj!S990*(-PMT($J$110,tech_base!$F26,1))+1000*tech_proj!S1270)/((1-tech_proj!S430)*tech_proj!S710*$L$110))</f>
        <v>61.013690193987664</v>
      </c>
      <c r="T650" s="69">
        <f>IF(tech_base!$T26&gt;T$625,"",(1000*tech_proj!T990*(-PMT($J$110,tech_base!$F26,1))+1000*tech_proj!T1270)/((1-tech_proj!T430)*tech_proj!T710*$L$110))</f>
        <v>60.987942825762126</v>
      </c>
      <c r="U650" s="69">
        <f>IF(tech_base!$T26&gt;U$625,"",(1000*tech_proj!U990*(-PMT($J$110,tech_base!$F26,1))+1000*tech_proj!U1270)/((1-tech_proj!U430)*tech_proj!U710*$L$110))</f>
        <v>60.957365319345804</v>
      </c>
      <c r="V650" s="69">
        <f>IF(tech_base!$T26&gt;V$625,"",(1000*tech_proj!V990*(-PMT($J$110,tech_base!$F26,1))+1000*tech_proj!V1270)/((1-tech_proj!V430)*tech_proj!V710*$L$110))</f>
        <v>60.921072712893015</v>
      </c>
      <c r="W650" s="69">
        <f>IF(tech_base!$T26&gt;W$625,"",(1000*tech_proj!W990*(-PMT($J$110,tech_base!$F26,1))+1000*tech_proj!W1270)/((1-tech_proj!W430)*tech_proj!W710*$L$110))</f>
        <v>60.878026652639143</v>
      </c>
      <c r="X650" s="69">
        <f>IF(tech_base!$T26&gt;X$625,"",(1000*tech_proj!X990*(-PMT($J$110,tech_base!$F26,1))+1000*tech_proj!X1270)/((1-tech_proj!X430)*tech_proj!X710*$L$110))</f>
        <v>60.82701243123585</v>
      </c>
      <c r="Y650" s="69">
        <f>IF(tech_base!$T26&gt;Y$625,"",(1000*tech_proj!Y990*(-PMT($J$110,tech_base!$F26,1))+1000*tech_proj!Y1270)/((1-tech_proj!Y430)*tech_proj!Y710*$L$110))</f>
        <v>60.766614125465225</v>
      </c>
      <c r="Z650" s="69">
        <f>IF(tech_base!$T26&gt;Z$625,"",(1000*tech_proj!Z990*(-PMT($J$110,tech_base!$F26,1))+1000*tech_proj!Z1270)/((1-tech_proj!Z430)*tech_proj!Z710*$L$110))</f>
        <v>60.695188394842965</v>
      </c>
      <c r="AA650" s="69">
        <f>IF(tech_base!$T26&gt;AA$625,"",(1000*tech_proj!AA990*(-PMT($J$110,tech_base!$F26,1))+1000*tech_proj!AA1270)/((1-tech_proj!AA430)*tech_proj!AA710*$L$110))</f>
        <v>60.610837921254756</v>
      </c>
      <c r="AB650" s="69">
        <f>IF(tech_base!$T26&gt;AB$625,"",(1000*tech_proj!AB990*(-PMT($J$110,tech_base!$F26,1))+1000*tech_proj!AB1270)/((1-tech_proj!AB430)*tech_proj!AB710*$L$110))</f>
        <v>60.511386051540455</v>
      </c>
      <c r="AC650" s="69">
        <f>IF(tech_base!$T26&gt;AC$625,"",(1000*tech_proj!AC990*(-PMT($J$110,tech_base!$F26,1))+1000*tech_proj!AC1270)/((1-tech_proj!AC430)*tech_proj!AC710*$L$110))</f>
        <v>60.39435498818289</v>
      </c>
      <c r="AD650" s="69">
        <f>IF(tech_base!$T26&gt;AD$625,"",(1000*tech_proj!AD990*(-PMT($J$110,tech_base!$F26,1))+1000*tech_proj!AD1270)/((1-tech_proj!AD430)*tech_proj!AD710*$L$110))</f>
        <v>60.25695089207332</v>
      </c>
      <c r="AE650" s="69">
        <f>IF(tech_base!$T26&gt;AE$625,"",(1000*tech_proj!AE990*(-PMT($J$110,tech_base!$F26,1))+1000*tech_proj!AE1270)/((1-tech_proj!AE430)*tech_proj!AE710*$L$110))</f>
        <v>60.096060533759832</v>
      </c>
      <c r="AF650" s="69">
        <f>IF(tech_base!$T26&gt;AF$625,"",(1000*tech_proj!AF990*(-PMT($J$110,tech_base!$F26,1))+1000*tech_proj!AF1270)/((1-tech_proj!AF430)*tech_proj!AF710*$L$110))</f>
        <v>59.908265637801875</v>
      </c>
      <c r="AG650" s="69">
        <f>IF(tech_base!$T26&gt;AG$625,"",(1000*tech_proj!AG990*(-PMT($J$110,tech_base!$F26,1))+1000*tech_proj!AG1270)/((1-tech_proj!AG430)*tech_proj!AG710*$L$110))</f>
        <v>59.689882724681887</v>
      </c>
      <c r="AH650" s="69">
        <f>IF(tech_base!$T26&gt;AH$625,"",(1000*tech_proj!AH990*(-PMT($J$110,tech_base!$F26,1))+1000*tech_proj!AH1270)/((1-tech_proj!AH430)*tech_proj!AH710*$L$110))</f>
        <v>59.437037873057619</v>
      </c>
      <c r="AI650" s="69">
        <f>IF(tech_base!$T26&gt;AI$625,"",(1000*tech_proj!AI990*(-PMT($J$110,tech_base!$F26,1))+1000*tech_proj!AI1270)/((1-tech_proj!AI430)*tech_proj!AI710*$L$110))</f>
        <v>59.145787047066996</v>
      </c>
      <c r="AJ650" s="69">
        <f>IF(tech_base!$T26&gt;AJ$625,"",(1000*tech_proj!AJ990*(-PMT($J$110,tech_base!$F26,1))+1000*tech_proj!AJ1270)/((1-tech_proj!AJ430)*tech_proj!AJ710*$L$110))</f>
        <v>58.812292888321238</v>
      </c>
      <c r="AK650" s="69">
        <f>IF(tech_base!$T26&gt;AK$625,"",(1000*tech_proj!AK990*(-PMT($J$110,tech_base!$F26,1))+1000*tech_proj!AK1270)/((1-tech_proj!AK430)*tech_proj!AK710*$L$110))</f>
        <v>58.433067341091935</v>
      </c>
      <c r="AL650" s="69">
        <f>IF(tech_base!$T26&gt;AL$625,"",(1000*tech_proj!AL990*(-PMT($J$110,tech_base!$F26,1))+1000*tech_proj!AL1270)/((1-tech_proj!AL430)*tech_proj!AL710*$L$110))</f>
        <v>58.005285123806431</v>
      </c>
      <c r="AM650" s="69">
        <f>IF(tech_base!$T26&gt;AM$625,"",(1000*tech_proj!AM990*(-PMT($J$110,tech_base!$F26,1))+1000*tech_proj!AM1270)/((1-tech_proj!AM430)*tech_proj!AM710*$L$110))</f>
        <v>57.527164775606401</v>
      </c>
      <c r="AN650" s="69">
        <f>IF(tech_base!$T26&gt;AN$625,"",(1000*tech_proj!AN990*(-PMT($J$110,tech_base!$F26,1))+1000*tech_proj!AN1270)/((1-tech_proj!AN430)*tech_proj!AN710*$L$110))</f>
        <v>56.998400969435906</v>
      </c>
      <c r="AO650" s="69">
        <f>IF(tech_base!$T26&gt;AO$625,"",(1000*tech_proj!AO990*(-PMT($J$110,tech_base!$F26,1))+1000*tech_proj!AO1270)/((1-tech_proj!AO430)*tech_proj!AO710*$L$110))</f>
        <v>56.420614037571788</v>
      </c>
      <c r="AP650" s="69">
        <f>IF(tech_base!$T26&gt;AP$625,"",(1000*tech_proj!AP990*(-PMT($J$110,tech_base!$F26,1))+1000*tech_proj!AP1270)/((1-tech_proj!AP430)*tech_proj!AP710*$L$110))</f>
        <v>55.797761895982624</v>
      </c>
      <c r="AQ650" s="69">
        <f>IF(tech_base!$T26&gt;AQ$625,"",(1000*tech_proj!AQ990*(-PMT($J$110,tech_base!$F26,1))+1000*tech_proj!AQ1270)/((1-tech_proj!AQ430)*tech_proj!AQ710*$L$110))</f>
        <v>55.136439865141298</v>
      </c>
      <c r="AR650" s="69">
        <f>IF(tech_base!$T26&gt;AR$625,"",(1000*tech_proj!AR990*(-PMT($J$110,tech_base!$F26,1))+1000*tech_proj!AR1270)/((1-tech_proj!AR430)*tech_proj!AR710*$L$110))</f>
        <v>54.445981959843351</v>
      </c>
      <c r="AS650" s="69">
        <f>IF(tech_base!$T26&gt;AS$625,"",(1000*tech_proj!AS990*(-PMT($J$110,tech_base!$F26,1))+1000*tech_proj!AS1270)/((1-tech_proj!AS430)*tech_proj!AS710*$L$110))</f>
        <v>53.738281394225851</v>
      </c>
      <c r="AT650" s="69">
        <f>IF(tech_base!$T26&gt;AT$625,"",(1000*tech_proj!AT990*(-PMT($J$110,tech_base!$F26,1))+1000*tech_proj!AT1270)/((1-tech_proj!AT430)*tech_proj!AT710*$L$110))</f>
        <v>53.027275638197985</v>
      </c>
      <c r="AU650" s="69">
        <f>IF(tech_base!$T26&gt;AU$625,"",(1000*tech_proj!AU990*(-PMT($J$110,tech_base!$F26,1))+1000*tech_proj!AU1270)/((1-tech_proj!AU430)*tech_proj!AU710*$L$110))</f>
        <v>52.328094545440571</v>
      </c>
      <c r="AV650" s="69">
        <f>IF(tech_base!$T26&gt;AV$625,"",(1000*tech_proj!AV990*(-PMT($J$110,tech_base!$F26,1))+1000*tech_proj!AV1270)/((1-tech_proj!AV430)*tech_proj!AV710*$L$110))</f>
        <v>51.65594182094172</v>
      </c>
      <c r="AW650" s="69">
        <f>IF(tech_base!$T26&gt;AW$625,"",(1000*tech_proj!AW990*(-PMT($J$110,tech_base!$F26,1))+1000*tech_proj!AW1270)/((1-tech_proj!AW430)*tech_proj!AW710*$L$110))</f>
        <v>51.024852842717323</v>
      </c>
      <c r="AX650" s="235">
        <f>IF(tech_base!$T26&gt;AX$625,"",(1000*tech_proj!AX990*(-PMT($J$110,tech_base!$F26,1))+1000*tech_proj!AX1270)/((1-tech_proj!AX430)*tech_proj!AX710*$L$110))</f>
        <v>50.446521419857092</v>
      </c>
      <c r="AY650" s="133"/>
    </row>
    <row r="651" spans="1:51" s="174" customFormat="1" x14ac:dyDescent="0.25">
      <c r="A651" s="356"/>
      <c r="B651" s="376"/>
      <c r="C651" s="379"/>
      <c r="D651" s="2" t="s">
        <v>10</v>
      </c>
      <c r="E651" s="160" t="str">
        <f>A633&amp;"/"&amp;B649&amp;"/"&amp;C649&amp;"/"&amp;D651</f>
        <v>Coal fired power plants/Fluidized bed combustion/Electricity only/S</v>
      </c>
      <c r="F651" s="76" t="str">
        <f>A633</f>
        <v>Coal fired power plants</v>
      </c>
      <c r="G651" s="76" t="str">
        <f>B649</f>
        <v>Fluidized bed combustion</v>
      </c>
      <c r="H651" s="76" t="str">
        <f>C649</f>
        <v>Electricity only</v>
      </c>
      <c r="I651" s="161" t="str">
        <f t="shared" si="362"/>
        <v>S</v>
      </c>
      <c r="J651" s="69">
        <f>IF(tech_base!$T27&gt;J$625,"",(1000*tech_proj!J991*(-PMT($J$110,tech_base!$F27,1))+1000*tech_proj!J1271)/((1-tech_proj!J431)*tech_proj!J711*$L$110))</f>
        <v>69.553121179694429</v>
      </c>
      <c r="K651" s="69">
        <f>IF(tech_base!$T27&gt;K$625,"",(1000*tech_proj!K991*(-PMT($J$110,tech_base!$F27,1))+1000*tech_proj!K1271)/((1-tech_proj!K431)*tech_proj!K711*$L$110))</f>
        <v>69.539539547166058</v>
      </c>
      <c r="L651" s="69">
        <f>IF(tech_base!$T27&gt;L$625,"",(1000*tech_proj!L991*(-PMT($J$110,tech_base!$F27,1))+1000*tech_proj!L1271)/((1-tech_proj!L431)*tech_proj!L711*$L$110))</f>
        <v>69.523780054821259</v>
      </c>
      <c r="M651" s="69">
        <f>IF(tech_base!$T27&gt;M$625,"",(1000*tech_proj!M991*(-PMT($J$110,tech_base!$F27,1))+1000*tech_proj!M1271)/((1-tech_proj!M431)*tech_proj!M711*$L$110))</f>
        <v>69.505497238133216</v>
      </c>
      <c r="N651" s="69">
        <f>IF(tech_base!$T27&gt;N$625,"",(1000*tech_proj!N991*(-PMT($J$110,tech_base!$F27,1))+1000*tech_proj!N1271)/((1-tech_proj!N431)*tech_proj!N711*$L$110))</f>
        <v>69.484292141609572</v>
      </c>
      <c r="O651" s="69">
        <f>IF(tech_base!$T27&gt;O$625,"",(1000*tech_proj!O991*(-PMT($J$110,tech_base!$F27,1))+1000*tech_proj!O1271)/((1-tech_proj!O431)*tech_proj!O711*$L$110))</f>
        <v>69.459704492145562</v>
      </c>
      <c r="P651" s="69">
        <f>IF(tech_base!$T27&gt;P$625,"",(1000*tech_proj!P991*(-PMT($J$110,tech_base!$F27,1))+1000*tech_proj!P1271)/((1-tech_proj!P431)*tech_proj!P711*$L$110))</f>
        <v>69.431203887410604</v>
      </c>
      <c r="Q651" s="69">
        <f>IF(tech_base!$T27&gt;Q$625,"",(1000*tech_proj!Q991*(-PMT($J$110,tech_base!$F27,1))+1000*tech_proj!Q1271)/((1-tech_proj!Q431)*tech_proj!Q711*$L$110))</f>
        <v>69.398179933539865</v>
      </c>
      <c r="R651" s="69">
        <f>IF(tech_base!$T27&gt;R$625,"",(1000*tech_proj!R991*(-PMT($J$110,tech_base!$F27,1))+1000*tech_proj!R1271)/((1-tech_proj!R431)*tech_proj!R711*$L$110))</f>
        <v>69.359931285854643</v>
      </c>
      <c r="S651" s="69">
        <f>IF(tech_base!$T27&gt;S$625,"",(1000*tech_proj!S991*(-PMT($J$110,tech_base!$F27,1))+1000*tech_proj!S1271)/((1-tech_proj!S431)*tech_proj!S711*$L$110))</f>
        <v>69.315653578001715</v>
      </c>
      <c r="T651" s="69">
        <f>IF(tech_base!$T27&gt;T$625,"",(1000*tech_proj!T991*(-PMT($J$110,tech_base!$F27,1))+1000*tech_proj!T1271)/((1-tech_proj!T431)*tech_proj!T711*$L$110))</f>
        <v>69.264426273154314</v>
      </c>
      <c r="U651" s="69">
        <f>IF(tech_base!$T27&gt;U$625,"",(1000*tech_proj!U991*(-PMT($J$110,tech_base!$F27,1))+1000*tech_proj!U1271)/((1-tech_proj!U431)*tech_proj!U711*$L$110))</f>
        <v>69.205198541271415</v>
      </c>
      <c r="V651" s="69">
        <f>IF(tech_base!$T27&gt;V$625,"",(1000*tech_proj!V991*(-PMT($J$110,tech_base!$F27,1))+1000*tech_proj!V1271)/((1-tech_proj!V431)*tech_proj!V711*$L$110))</f>
        <v>69.13677436566698</v>
      </c>
      <c r="W651" s="69">
        <f>IF(tech_base!$T27&gt;W$625,"",(1000*tech_proj!W991*(-PMT($J$110,tech_base!$F27,1))+1000*tech_proj!W1271)/((1-tech_proj!W431)*tech_proj!W711*$L$110))</f>
        <v>69.057797218445756</v>
      </c>
      <c r="X651" s="69">
        <f>IF(tech_base!$T27&gt;X$625,"",(1000*tech_proj!X991*(-PMT($J$110,tech_base!$F27,1))+1000*tech_proj!X1271)/((1-tech_proj!X431)*tech_proj!X711*$L$110))</f>
        <v>68.966734827106606</v>
      </c>
      <c r="Y651" s="69">
        <f>IF(tech_base!$T27&gt;Y$625,"",(1000*tech_proj!Y991*(-PMT($J$110,tech_base!$F27,1))+1000*tech_proj!Y1271)/((1-tech_proj!Y431)*tech_proj!Y711*$L$110))</f>
        <v>68.86186479405211</v>
      </c>
      <c r="Z651" s="69">
        <f>IF(tech_base!$T27&gt;Z$625,"",(1000*tech_proj!Z991*(-PMT($J$110,tech_base!$F27,1))+1000*tech_proj!Z1271)/((1-tech_proj!Z431)*tech_proj!Z711*$L$110))</f>
        <v>68.741262137118724</v>
      </c>
      <c r="AA651" s="69">
        <f>IF(tech_base!$T27&gt;AA$625,"",(1000*tech_proj!AA991*(-PMT($J$110,tech_base!$F27,1))+1000*tech_proj!AA1271)/((1-tech_proj!AA431)*tech_proj!AA711*$L$110))</f>
        <v>68.602790201219221</v>
      </c>
      <c r="AB651" s="69">
        <f>IF(tech_base!$T27&gt;AB$625,"",(1000*tech_proj!AB991*(-PMT($J$110,tech_base!$F27,1))+1000*tech_proj!AB1271)/((1-tech_proj!AB431)*tech_proj!AB711*$L$110))</f>
        <v>68.444096853206815</v>
      </c>
      <c r="AC651" s="69">
        <f>IF(tech_base!$T27&gt;AC$625,"",(1000*tech_proj!AC991*(-PMT($J$110,tech_base!$F27,1))+1000*tech_proj!AC1271)/((1-tech_proj!AC431)*tech_proj!AC711*$L$110))</f>
        <v>68.26261841026114</v>
      </c>
      <c r="AD651" s="69">
        <f>IF(tech_base!$T27&gt;AD$625,"",(1000*tech_proj!AD991*(-PMT($J$110,tech_base!$F27,1))+1000*tech_proj!AD1271)/((1-tech_proj!AD431)*tech_proj!AD711*$L$110))</f>
        <v>68.055594348381021</v>
      </c>
      <c r="AE651" s="69">
        <f>IF(tech_base!$T27&gt;AE$625,"",(1000*tech_proj!AE991*(-PMT($J$110,tech_base!$F27,1))+1000*tech_proj!AE1271)/((1-tech_proj!AE431)*tech_proj!AE711*$L$110))</f>
        <v>67.8200964516288</v>
      </c>
      <c r="AF651" s="69">
        <f>IF(tech_base!$T27&gt;AF$625,"",(1000*tech_proj!AF991*(-PMT($J$110,tech_base!$F27,1))+1000*tech_proj!AF1271)/((1-tech_proj!AF431)*tech_proj!AF711*$L$110))</f>
        <v>67.55307662202874</v>
      </c>
      <c r="AG651" s="69">
        <f>IF(tech_base!$T27&gt;AG$625,"",(1000*tech_proj!AG991*(-PMT($J$110,tech_base!$F27,1))+1000*tech_proj!AG1271)/((1-tech_proj!AG431)*tech_proj!AG711*$L$110))</f>
        <v>67.251437958424091</v>
      </c>
      <c r="AH651" s="69">
        <f>IF(tech_base!$T27&gt;AH$625,"",(1000*tech_proj!AH991*(-PMT($J$110,tech_base!$F27,1))+1000*tech_proj!AH1271)/((1-tech_proj!AH431)*tech_proj!AH711*$L$110))</f>
        <v>66.912133760376236</v>
      </c>
      <c r="AI651" s="69">
        <f>IF(tech_base!$T27&gt;AI$625,"",(1000*tech_proj!AI991*(-PMT($J$110,tech_base!$F27,1))+1000*tech_proj!AI1271)/((1-tech_proj!AI431)*tech_proj!AI711*$L$110))</f>
        <v>66.532298591707317</v>
      </c>
      <c r="AJ651" s="69">
        <f>IF(tech_base!$T27&gt;AJ$625,"",(1000*tech_proj!AJ991*(-PMT($J$110,tech_base!$F27,1))+1000*tech_proj!AJ1271)/((1-tech_proj!AJ431)*tech_proj!AJ711*$L$110))</f>
        <v>66.109414166694918</v>
      </c>
      <c r="AK651" s="69">
        <f>IF(tech_base!$T27&gt;AK$625,"",(1000*tech_proj!AK991*(-PMT($J$110,tech_base!$F27,1))+1000*tech_proj!AK1271)/((1-tech_proj!AK431)*tech_proj!AK711*$L$110))</f>
        <v>65.641510295071512</v>
      </c>
      <c r="AL651" s="69">
        <f>IF(tech_base!$T27&gt;AL$625,"",(1000*tech_proj!AL991*(-PMT($J$110,tech_base!$F27,1))+1000*tech_proj!AL1271)/((1-tech_proj!AL431)*tech_proj!AL711*$L$110))</f>
        <v>65.127397170520666</v>
      </c>
      <c r="AM651" s="69">
        <f>IF(tech_base!$T27&gt;AM$625,"",(1000*tech_proj!AM991*(-PMT($J$110,tech_base!$F27,1))+1000*tech_proj!AM1271)/((1-tech_proj!AM431)*tech_proj!AM711*$L$110))</f>
        <v>64.566919779155512</v>
      </c>
      <c r="AN651" s="69">
        <f>IF(tech_base!$T27&gt;AN$625,"",(1000*tech_proj!AN991*(-PMT($J$110,tech_base!$F27,1))+1000*tech_proj!AN1271)/((1-tech_proj!AN431)*tech_proj!AN711*$L$110))</f>
        <v>63.961218287605618</v>
      </c>
      <c r="AO651" s="69">
        <f>IF(tech_base!$T27&gt;AO$625,"",(1000*tech_proj!AO991*(-PMT($J$110,tech_base!$F27,1))+1000*tech_proj!AO1271)/((1-tech_proj!AO431)*tech_proj!AO711*$L$110))</f>
        <v>63.312970539592627</v>
      </c>
      <c r="AP651" s="69">
        <f>IF(tech_base!$T27&gt;AP$625,"",(1000*tech_proj!AP991*(-PMT($J$110,tech_base!$F27,1))+1000*tech_proj!AP1271)/((1-tech_proj!AP431)*tech_proj!AP711*$L$110))</f>
        <v>62.626585429041434</v>
      </c>
      <c r="AQ651" s="69">
        <f>IF(tech_base!$T27&gt;AQ$625,"",(1000*tech_proj!AQ991*(-PMT($J$110,tech_base!$F27,1))+1000*tech_proj!AQ1271)/((1-tech_proj!AQ431)*tech_proj!AQ711*$L$110))</f>
        <v>61.908310736265129</v>
      </c>
      <c r="AR651" s="69">
        <f>IF(tech_base!$T27&gt;AR$625,"",(1000*tech_proj!AR991*(-PMT($J$110,tech_base!$F27,1))+1000*tech_proj!AR1271)/((1-tech_proj!AR431)*tech_proj!AR711*$L$110))</f>
        <v>61.166218273423674</v>
      </c>
      <c r="AS651" s="69">
        <f>IF(tech_base!$T27&gt;AS$625,"",(1000*tech_proj!AS991*(-PMT($J$110,tech_base!$F27,1))+1000*tech_proj!AS1271)/((1-tech_proj!AS431)*tech_proj!AS711*$L$110))</f>
        <v>60.410035130034906</v>
      </c>
      <c r="AT651" s="69">
        <f>IF(tech_base!$T27&gt;AT$625,"",(1000*tech_proj!AT991*(-PMT($J$110,tech_base!$F27,1))+1000*tech_proj!AT1271)/((1-tech_proj!AT431)*tech_proj!AT711*$L$110))</f>
        <v>59.650803893156315</v>
      </c>
      <c r="AU651" s="69">
        <f>IF(tech_base!$T27&gt;AU$625,"",(1000*tech_proj!AU991*(-PMT($J$110,tech_base!$F27,1))+1000*tech_proj!AU1271)/((1-tech_proj!AU431)*tech_proj!AU711*$L$110))</f>
        <v>58.90037668755101</v>
      </c>
      <c r="AV651" s="69">
        <f>IF(tech_base!$T27&gt;AV$625,"",(1000*tech_proj!AV991*(-PMT($J$110,tech_base!$F27,1))+1000*tech_proj!AV1271)/((1-tech_proj!AV431)*tech_proj!AV711*$L$110))</f>
        <v>58.170775059281169</v>
      </c>
      <c r="AW651" s="69">
        <f>IF(tech_base!$T27&gt;AW$625,"",(1000*tech_proj!AW991*(-PMT($J$110,tech_base!$F27,1))+1000*tech_proj!AW1271)/((1-tech_proj!AW431)*tech_proj!AW711*$L$110))</f>
        <v>57.473474936342136</v>
      </c>
      <c r="AX651" s="235">
        <f>IF(tech_base!$T27&gt;AX$625,"",(1000*tech_proj!AX991*(-PMT($J$110,tech_base!$F27,1))+1000*tech_proj!AX1271)/((1-tech_proj!AX431)*tech_proj!AX711*$L$110))</f>
        <v>56.818696407197415</v>
      </c>
      <c r="AY651" s="133"/>
    </row>
    <row r="652" spans="1:51" s="174" customFormat="1" x14ac:dyDescent="0.25">
      <c r="A652" s="356"/>
      <c r="B652" s="376"/>
      <c r="C652" s="361" t="s">
        <v>14</v>
      </c>
      <c r="D652" s="58" t="s">
        <v>7</v>
      </c>
      <c r="E652" s="164" t="str">
        <f>A633&amp;"/"&amp;B649&amp;"/"&amp;C652&amp;"/"&amp;D652</f>
        <v>Coal fired power plants/Fluidized bed combustion/CHP/L</v>
      </c>
      <c r="F652" s="78" t="str">
        <f>A633</f>
        <v>Coal fired power plants</v>
      </c>
      <c r="G652" s="78" t="str">
        <f>B649</f>
        <v>Fluidized bed combustion</v>
      </c>
      <c r="H652" s="78" t="str">
        <f>C652</f>
        <v>CHP</v>
      </c>
      <c r="I652" s="165" t="str">
        <f t="shared" si="362"/>
        <v>L</v>
      </c>
      <c r="J652" s="71">
        <f>IF(tech_base!$T28&gt;J$625,"",(1000*tech_proj!J992*(-PMT($J$110,tech_base!$F28,1))+1000*tech_proj!J1272)/((1-tech_proj!J432)*tech_proj!J712*$L$110))</f>
        <v>66.911521492337386</v>
      </c>
      <c r="K652" s="71">
        <f>IF(tech_base!$T28&gt;K$625,"",(1000*tech_proj!K992*(-PMT($J$110,tech_base!$F28,1))+1000*tech_proj!K1272)/((1-tech_proj!K432)*tech_proj!K712*$L$110))</f>
        <v>66.910531662495217</v>
      </c>
      <c r="L652" s="71">
        <f>IF(tech_base!$T28&gt;L$625,"",(1000*tech_proj!L992*(-PMT($J$110,tech_base!$F28,1))+1000*tech_proj!L1272)/((1-tech_proj!L432)*tech_proj!L712*$L$110))</f>
        <v>66.909322836090354</v>
      </c>
      <c r="M652" s="71">
        <f>IF(tech_base!$T28&gt;M$625,"",(1000*tech_proj!M992*(-PMT($J$110,tech_base!$F28,1))+1000*tech_proj!M1272)/((1-tech_proj!M432)*tech_proj!M712*$L$110))</f>
        <v>66.907846602621746</v>
      </c>
      <c r="N652" s="71">
        <f>IF(tech_base!$T28&gt;N$625,"",(1000*tech_proj!N992*(-PMT($J$110,tech_base!$F28,1))+1000*tech_proj!N1272)/((1-tech_proj!N432)*tech_proj!N712*$L$110))</f>
        <v>66.906043870685437</v>
      </c>
      <c r="O652" s="71">
        <f>IF(tech_base!$T28&gt;O$625,"",(1000*tech_proj!O992*(-PMT($J$110,tech_base!$F28,1))+1000*tech_proj!O1272)/((1-tech_proj!O432)*tech_proj!O712*$L$110))</f>
        <v>66.903842521517248</v>
      </c>
      <c r="P652" s="71">
        <f>IF(tech_base!$T28&gt;P$625,"",(1000*tech_proj!P992*(-PMT($J$110,tech_base!$F28,1))+1000*tech_proj!P1272)/((1-tech_proj!P432)*tech_proj!P712*$L$110))</f>
        <v>66.9011545520125</v>
      </c>
      <c r="Q652" s="71">
        <f>IF(tech_base!$T28&gt;Q$625,"",(1000*tech_proj!Q992*(-PMT($J$110,tech_base!$F28,1))+1000*tech_proj!Q1272)/((1-tech_proj!Q432)*tech_proj!Q712*$L$110))</f>
        <v>66.897872598592969</v>
      </c>
      <c r="R652" s="71">
        <f>IF(tech_base!$T28&gt;R$625,"",(1000*tech_proj!R992*(-PMT($J$110,tech_base!$F28,1))+1000*tech_proj!R1272)/((1-tech_proj!R432)*tech_proj!R712*$L$110))</f>
        <v>66.893865711389978</v>
      </c>
      <c r="S652" s="71">
        <f>IF(tech_base!$T28&gt;S$625,"",(1000*tech_proj!S992*(-PMT($J$110,tech_base!$F28,1))+1000*tech_proj!S1272)/((1-tech_proj!S432)*tech_proj!S712*$L$110))</f>
        <v>66.888974222505993</v>
      </c>
      <c r="T652" s="71">
        <f>IF(tech_base!$T28&gt;T$625,"",(1000*tech_proj!T992*(-PMT($J$110,tech_base!$F28,1))+1000*tech_proj!T1272)/((1-tech_proj!T432)*tech_proj!T712*$L$110))</f>
        <v>66.883003522265611</v>
      </c>
      <c r="U652" s="71">
        <f>IF(tech_base!$T28&gt;U$625,"",(1000*tech_proj!U992*(-PMT($J$110,tech_base!$F28,1))+1000*tech_proj!U1272)/((1-tech_proj!U432)*tech_proj!U712*$L$110))</f>
        <v>66.875716523195905</v>
      </c>
      <c r="V652" s="71">
        <f>IF(tech_base!$T28&gt;V$625,"",(1000*tech_proj!V992*(-PMT($J$110,tech_base!$F28,1))+1000*tech_proj!V1272)/((1-tech_proj!V432)*tech_proj!V712*$L$110))</f>
        <v>66.866824553119613</v>
      </c>
      <c r="W652" s="71">
        <f>IF(tech_base!$T28&gt;W$625,"",(1000*tech_proj!W992*(-PMT($J$110,tech_base!$F28,1))+1000*tech_proj!W1272)/((1-tech_proj!W432)*tech_proj!W712*$L$110))</f>
        <v>66.855976376874821</v>
      </c>
      <c r="X652" s="71">
        <f>IF(tech_base!$T28&gt;X$625,"",(1000*tech_proj!X992*(-PMT($J$110,tech_base!$F28,1))+1000*tech_proj!X1272)/((1-tech_proj!X432)*tech_proj!X712*$L$110))</f>
        <v>66.842745002351776</v>
      </c>
      <c r="Y652" s="71">
        <f>IF(tech_base!$T28&gt;Y$625,"",(1000*tech_proj!Y992*(-PMT($J$110,tech_base!$F28,1))+1000*tech_proj!Y1272)/((1-tech_proj!Y432)*tech_proj!Y712*$L$110))</f>
        <v>66.826611883719806</v>
      </c>
      <c r="Z652" s="71">
        <f>IF(tech_base!$T28&gt;Z$625,"",(1000*tech_proj!Z992*(-PMT($J$110,tech_base!$F28,1))+1000*tech_proj!Z1272)/((1-tech_proj!Z432)*tech_proj!Z712*$L$110))</f>
        <v>66.806948098026339</v>
      </c>
      <c r="AA652" s="71">
        <f>IF(tech_base!$T28&gt;AA$625,"",(1000*tech_proj!AA992*(-PMT($J$110,tech_base!$F28,1))+1000*tech_proj!AA1272)/((1-tech_proj!AA432)*tech_proj!AA712*$L$110))</f>
        <v>66.782992049155922</v>
      </c>
      <c r="AB652" s="71">
        <f>IF(tech_base!$T28&gt;AB$625,"",(1000*tech_proj!AB992*(-PMT($J$110,tech_base!$F28,1))+1000*tech_proj!AB1272)/((1-tech_proj!AB432)*tech_proj!AB712*$L$110))</f>
        <v>66.753823258584319</v>
      </c>
      <c r="AC652" s="71">
        <f>IF(tech_base!$T28&gt;AC$625,"",(1000*tech_proj!AC992*(-PMT($J$110,tech_base!$F28,1))+1000*tech_proj!AC1272)/((1-tech_proj!AC432)*tech_proj!AC712*$L$110))</f>
        <v>66.71833185546646</v>
      </c>
      <c r="AD652" s="71">
        <f>IF(tech_base!$T28&gt;AD$625,"",(1000*tech_proj!AD992*(-PMT($J$110,tech_base!$F28,1))+1000*tech_proj!AD1272)/((1-tech_proj!AD432)*tech_proj!AD712*$L$110))</f>
        <v>66.675183508984432</v>
      </c>
      <c r="AE652" s="71">
        <f>IF(tech_base!$T28&gt;AE$625,"",(1000*tech_proj!AE992*(-PMT($J$110,tech_base!$F28,1))+1000*tech_proj!AE1272)/((1-tech_proj!AE432)*tech_proj!AE712*$L$110))</f>
        <v>66.622779796246817</v>
      </c>
      <c r="AF652" s="71">
        <f>IF(tech_base!$T28&gt;AF$625,"",(1000*tech_proj!AF992*(-PMT($J$110,tech_base!$F28,1))+1000*tech_proj!AF1272)/((1-tech_proj!AF432)*tech_proj!AF712*$L$110))</f>
        <v>66.559214429085642</v>
      </c>
      <c r="AG652" s="71">
        <f>IF(tech_base!$T28&gt;AG$625,"",(1000*tech_proj!AG992*(-PMT($J$110,tech_base!$F28,1))+1000*tech_proj!AG1272)/((1-tech_proj!AG432)*tech_proj!AG712*$L$110))</f>
        <v>66.482226453493496</v>
      </c>
      <c r="AH652" s="71">
        <f>IF(tech_base!$T28&gt;AH$625,"",(1000*tech_proj!AH992*(-PMT($J$110,tech_base!$F28,1))+1000*tech_proj!AH1272)/((1-tech_proj!AH432)*tech_proj!AH712*$L$110))</f>
        <v>66.389152590247193</v>
      </c>
      <c r="AI652" s="71">
        <f>IF(tech_base!$T28&gt;AI$625,"",(1000*tech_proj!AI992*(-PMT($J$110,tech_base!$F28,1))+1000*tech_proj!AI1272)/((1-tech_proj!AI432)*tech_proj!AI712*$L$110))</f>
        <v>66.276882430307182</v>
      </c>
      <c r="AJ652" s="71">
        <f>IF(tech_base!$T28&gt;AJ$625,"",(1000*tech_proj!AJ992*(-PMT($J$110,tech_base!$F28,1))+1000*tech_proj!AJ1272)/((1-tech_proj!AJ432)*tech_proj!AJ712*$L$110))</f>
        <v>66.141822370733991</v>
      </c>
      <c r="AK652" s="71">
        <f>IF(tech_base!$T28&gt;AK$625,"",(1000*tech_proj!AK992*(-PMT($J$110,tech_base!$F28,1))+1000*tech_proj!AK1272)/((1-tech_proj!AK432)*tech_proj!AK712*$L$110))</f>
        <v>65.979877096140825</v>
      </c>
      <c r="AL652" s="71">
        <f>IF(tech_base!$T28&gt;AL$625,"",(1000*tech_proj!AL992*(-PMT($J$110,tech_base!$F28,1))+1000*tech_proj!AL1272)/((1-tech_proj!AL432)*tech_proj!AL712*$L$110))</f>
        <v>65.786461123155931</v>
      </c>
      <c r="AM652" s="71">
        <f>IF(tech_base!$T28&gt;AM$625,"",(1000*tech_proj!AM992*(-PMT($J$110,tech_base!$F28,1))+1000*tech_proj!AM1272)/((1-tech_proj!AM432)*tech_proj!AM712*$L$110))</f>
        <v>65.556557301158421</v>
      </c>
      <c r="AN652" s="71">
        <f>IF(tech_base!$T28&gt;AN$625,"",(1000*tech_proj!AN992*(-PMT($J$110,tech_base!$F28,1))+1000*tech_proj!AN1272)/((1-tech_proj!AN432)*tech_proj!AN712*$L$110))</f>
        <v>65.28484373395078</v>
      </c>
      <c r="AO652" s="71">
        <f>IF(tech_base!$T28&gt;AO$625,"",(1000*tech_proj!AO992*(-PMT($J$110,tech_base!$F28,1))+1000*tech_proj!AO1272)/((1-tech_proj!AO432)*tech_proj!AO712*$L$110))</f>
        <v>64.965914322180282</v>
      </c>
      <c r="AP652" s="71">
        <f>IF(tech_base!$T28&gt;AP$625,"",(1000*tech_proj!AP992*(-PMT($J$110,tech_base!$F28,1))+1000*tech_proj!AP1272)/((1-tech_proj!AP432)*tech_proj!AP712*$L$110))</f>
        <v>64.594619168575676</v>
      </c>
      <c r="AQ652" s="71">
        <f>IF(tech_base!$T28&gt;AQ$625,"",(1000*tech_proj!AQ992*(-PMT($J$110,tech_base!$F28,1))+1000*tech_proj!AQ1272)/((1-tech_proj!AQ432)*tech_proj!AQ712*$L$110))</f>
        <v>64.166546562927877</v>
      </c>
      <c r="AR652" s="71">
        <f>IF(tech_base!$T28&gt;AR$625,"",(1000*tech_proj!AR992*(-PMT($J$110,tech_base!$F28,1))+1000*tech_proj!AR1272)/((1-tech_proj!AR432)*tech_proj!AR712*$L$110))</f>
        <v>63.67865437510067</v>
      </c>
      <c r="AS652" s="71">
        <f>IF(tech_base!$T28&gt;AS$625,"",(1000*tech_proj!AS992*(-PMT($J$110,tech_base!$F28,1))+1000*tech_proj!AS1272)/((1-tech_proj!AS432)*tech_proj!AS712*$L$110))</f>
        <v>63.130031466351632</v>
      </c>
      <c r="AT652" s="71">
        <f>IF(tech_base!$T28&gt;AT$625,"",(1000*tech_proj!AT992*(-PMT($J$110,tech_base!$F28,1))+1000*tech_proj!AT1272)/((1-tech_proj!AT432)*tech_proj!AT712*$L$110))</f>
        <v>62.522726890679543</v>
      </c>
      <c r="AU652" s="71">
        <f>IF(tech_base!$T28&gt;AU$625,"",(1000*tech_proj!AU992*(-PMT($J$110,tech_base!$F28,1))+1000*tech_proj!AU1272)/((1-tech_proj!AU432)*tech_proj!AU712*$L$110))</f>
        <v>61.862528734198555</v>
      </c>
      <c r="AV652" s="71">
        <f>IF(tech_base!$T28&gt;AV$625,"",(1000*tech_proj!AV992*(-PMT($J$110,tech_base!$F28,1))+1000*tech_proj!AV1272)/((1-tech_proj!AV432)*tech_proj!AV712*$L$110))</f>
        <v>61.159516652449717</v>
      </c>
      <c r="AW652" s="71">
        <f>IF(tech_base!$T28&gt;AW$625,"",(1000*tech_proj!AW992*(-PMT($J$110,tech_base!$F28,1))+1000*tech_proj!AW1272)/((1-tech_proj!AW432)*tech_proj!AW712*$L$110))</f>
        <v>60.428174847309947</v>
      </c>
      <c r="AX652" s="237">
        <f>IF(tech_base!$T28&gt;AX$625,"",(1000*tech_proj!AX992*(-PMT($J$110,tech_base!$F28,1))+1000*tech_proj!AX1272)/((1-tech_proj!AX432)*tech_proj!AX712*$L$110))</f>
        <v>59.68686602705786</v>
      </c>
      <c r="AY652" s="133"/>
    </row>
    <row r="653" spans="1:51" s="174" customFormat="1" x14ac:dyDescent="0.25">
      <c r="A653" s="356"/>
      <c r="B653" s="376"/>
      <c r="C653" s="378"/>
      <c r="D653" s="2" t="s">
        <v>8</v>
      </c>
      <c r="E653" s="160" t="str">
        <f>A633&amp;"/"&amp;B649&amp;"/"&amp;C652&amp;"/"&amp;D653</f>
        <v>Coal fired power plants/Fluidized bed combustion/CHP/M</v>
      </c>
      <c r="F653" s="76" t="str">
        <f>A633</f>
        <v>Coal fired power plants</v>
      </c>
      <c r="G653" s="76" t="str">
        <f>B649</f>
        <v>Fluidized bed combustion</v>
      </c>
      <c r="H653" s="76" t="str">
        <f>C652</f>
        <v>CHP</v>
      </c>
      <c r="I653" s="161" t="str">
        <f t="shared" si="362"/>
        <v>M</v>
      </c>
      <c r="J653" s="69">
        <f>IF(tech_base!$T29&gt;J$625,"",(1000*tech_proj!J993*(-PMT($J$110,tech_base!$F29,1))+1000*tech_proj!J1273)/((1-tech_proj!J433)*tech_proj!J713*$L$110))</f>
        <v>71.879895208335881</v>
      </c>
      <c r="K653" s="69">
        <f>IF(tech_base!$T29&gt;K$625,"",(1000*tech_proj!K993*(-PMT($J$110,tech_base!$F29,1))+1000*tech_proj!K1273)/((1-tech_proj!K433)*tech_proj!K713*$L$110))</f>
        <v>71.877487603478784</v>
      </c>
      <c r="L653" s="69">
        <f>IF(tech_base!$T29&gt;L$625,"",(1000*tech_proj!L993*(-PMT($J$110,tech_base!$F29,1))+1000*tech_proj!L1273)/((1-tech_proj!L433)*tech_proj!L713*$L$110))</f>
        <v>71.874620316297509</v>
      </c>
      <c r="M653" s="69">
        <f>IF(tech_base!$T29&gt;M$625,"",(1000*tech_proj!M993*(-PMT($J$110,tech_base!$F29,1))+1000*tech_proj!M1273)/((1-tech_proj!M433)*tech_proj!M713*$L$110))</f>
        <v>71.871205753618995</v>
      </c>
      <c r="N653" s="69">
        <f>IF(tech_base!$T29&gt;N$625,"",(1000*tech_proj!N993*(-PMT($J$110,tech_base!$F29,1))+1000*tech_proj!N1273)/((1-tech_proj!N433)*tech_proj!N713*$L$110))</f>
        <v>71.867139703943124</v>
      </c>
      <c r="O653" s="69">
        <f>IF(tech_base!$T29&gt;O$625,"",(1000*tech_proj!O993*(-PMT($J$110,tech_base!$F29,1))+1000*tech_proj!O1273)/((1-tech_proj!O433)*tech_proj!O713*$L$110))</f>
        <v>71.862298215014221</v>
      </c>
      <c r="P653" s="69">
        <f>IF(tech_base!$T29&gt;P$625,"",(1000*tech_proj!P993*(-PMT($J$110,tech_base!$F29,1))+1000*tech_proj!P1273)/((1-tech_proj!P433)*tech_proj!P713*$L$110))</f>
        <v>71.856533897472787</v>
      </c>
      <c r="Q653" s="69">
        <f>IF(tech_base!$T29&gt;Q$625,"",(1000*tech_proj!Q993*(-PMT($J$110,tech_base!$F29,1))+1000*tech_proj!Q1273)/((1-tech_proj!Q433)*tech_proj!Q713*$L$110))</f>
        <v>71.849671554470746</v>
      </c>
      <c r="R653" s="69">
        <f>IF(tech_base!$T29&gt;R$625,"",(1000*tech_proj!R993*(-PMT($J$110,tech_base!$F29,1))+1000*tech_proj!R1273)/((1-tech_proj!R433)*tech_proj!R713*$L$110))</f>
        <v>71.841503021963106</v>
      </c>
      <c r="S653" s="69">
        <f>IF(tech_base!$T29&gt;S$625,"",(1000*tech_proj!S993*(-PMT($J$110,tech_base!$F29,1))+1000*tech_proj!S1273)/((1-tech_proj!S433)*tech_proj!S713*$L$110))</f>
        <v>71.831781087940527</v>
      </c>
      <c r="T653" s="69">
        <f>IF(tech_base!$T29&gt;T$625,"",(1000*tech_proj!T993*(-PMT($J$110,tech_base!$F29,1))+1000*tech_proj!T1273)/((1-tech_proj!T433)*tech_proj!T713*$L$110))</f>
        <v>71.820212341546807</v>
      </c>
      <c r="U653" s="69">
        <f>IF(tech_base!$T29&gt;U$625,"",(1000*tech_proj!U993*(-PMT($J$110,tech_base!$F29,1))+1000*tech_proj!U1273)/((1-tech_proj!U433)*tech_proj!U713*$L$110))</f>
        <v>71.806448785566403</v>
      </c>
      <c r="V653" s="69">
        <f>IF(tech_base!$T29&gt;V$625,"",(1000*tech_proj!V993*(-PMT($J$110,tech_base!$F29,1))+1000*tech_proj!V1273)/((1-tech_proj!V433)*tech_proj!V713*$L$110))</f>
        <v>71.790078029393058</v>
      </c>
      <c r="W653" s="69">
        <f>IF(tech_base!$T29&gt;W$625,"",(1000*tech_proj!W993*(-PMT($J$110,tech_base!$F29,1))+1000*tech_proj!W1273)/((1-tech_proj!W433)*tech_proj!W713*$L$110))</f>
        <v>71.770611866219468</v>
      </c>
      <c r="X653" s="69">
        <f>IF(tech_base!$T29&gt;X$625,"",(1000*tech_proj!X993*(-PMT($J$110,tech_base!$F29,1))+1000*tech_proj!X1273)/((1-tech_proj!X433)*tech_proj!X713*$L$110))</f>
        <v>71.747473030731982</v>
      </c>
      <c r="Y653" s="69">
        <f>IF(tech_base!$T29&gt;Y$625,"",(1000*tech_proj!Y993*(-PMT($J$110,tech_base!$F29,1))+1000*tech_proj!Y1273)/((1-tech_proj!Y433)*tech_proj!Y713*$L$110))</f>
        <v>71.719979936345979</v>
      </c>
      <c r="Z653" s="69">
        <f>IF(tech_base!$T29&gt;Z$625,"",(1000*tech_proj!Z993*(-PMT($J$110,tech_base!$F29,1))+1000*tech_proj!Z1273)/((1-tech_proj!Z433)*tech_proj!Z713*$L$110))</f>
        <v>71.687329210157984</v>
      </c>
      <c r="AA653" s="69">
        <f>IF(tech_base!$T29&gt;AA$625,"",(1000*tech_proj!AA993*(-PMT($J$110,tech_base!$F29,1))+1000*tech_proj!AA1273)/((1-tech_proj!AA433)*tech_proj!AA713*$L$110))</f>
        <v>71.648575888032752</v>
      </c>
      <c r="AB653" s="69">
        <f>IF(tech_base!$T29&gt;AB$625,"",(1000*tech_proj!AB993*(-PMT($J$110,tech_base!$F29,1))+1000*tech_proj!AB1273)/((1-tech_proj!AB433)*tech_proj!AB713*$L$110))</f>
        <v>71.602611213618687</v>
      </c>
      <c r="AC653" s="69">
        <f>IF(tech_base!$T29&gt;AC$625,"",(1000*tech_proj!AC993*(-PMT($J$110,tech_base!$F29,1))+1000*tech_proj!AC1273)/((1-tech_proj!AC433)*tech_proj!AC713*$L$110))</f>
        <v>71.548138119833538</v>
      </c>
      <c r="AD653" s="69">
        <f>IF(tech_base!$T29&gt;AD$625,"",(1000*tech_proj!AD993*(-PMT($J$110,tech_base!$F29,1))+1000*tech_proj!AD1273)/((1-tech_proj!AD433)*tech_proj!AD713*$L$110))</f>
        <v>71.483644680862923</v>
      </c>
      <c r="AE653" s="69">
        <f>IF(tech_base!$T29&gt;AE$625,"",(1000*tech_proj!AE993*(-PMT($J$110,tech_base!$F29,1))+1000*tech_proj!AE1273)/((1-tech_proj!AE433)*tech_proj!AE713*$L$110))</f>
        <v>71.407376134253155</v>
      </c>
      <c r="AF653" s="69">
        <f>IF(tech_base!$T29&gt;AF$625,"",(1000*tech_proj!AF993*(-PMT($J$110,tech_base!$F29,1))+1000*tech_proj!AF1273)/((1-tech_proj!AF433)*tech_proj!AF713*$L$110))</f>
        <v>71.31730651969869</v>
      </c>
      <c r="AG653" s="69">
        <f>IF(tech_base!$T29&gt;AG$625,"",(1000*tech_proj!AG993*(-PMT($J$110,tech_base!$F29,1))+1000*tech_proj!AG1273)/((1-tech_proj!AG433)*tech_proj!AG713*$L$110))</f>
        <v>71.211111602339741</v>
      </c>
      <c r="AH653" s="69">
        <f>IF(tech_base!$T29&gt;AH$625,"",(1000*tech_proj!AH993*(-PMT($J$110,tech_base!$F29,1))+1000*tech_proj!AH1273)/((1-tech_proj!AH433)*tech_proj!AH713*$L$110))</f>
        <v>71.086145584733515</v>
      </c>
      <c r="AI653" s="69">
        <f>IF(tech_base!$T29&gt;AI$625,"",(1000*tech_proj!AI993*(-PMT($J$110,tech_base!$F29,1))+1000*tech_proj!AI1273)/((1-tech_proj!AI433)*tech_proj!AI713*$L$110))</f>
        <v>70.939425199555686</v>
      </c>
      <c r="AJ653" s="69">
        <f>IF(tech_base!$T29&gt;AJ$625,"",(1000*tech_proj!AJ993*(-PMT($J$110,tech_base!$F29,1))+1000*tech_proj!AJ1273)/((1-tech_proj!AJ433)*tech_proj!AJ713*$L$110))</f>
        <v>70.767626133796185</v>
      </c>
      <c r="AK653" s="69">
        <f>IF(tech_base!$T29&gt;AK$625,"",(1000*tech_proj!AK993*(-PMT($J$110,tech_base!$F29,1))+1000*tech_proj!AK1273)/((1-tech_proj!AK433)*tech_proj!AK713*$L$110))</f>
        <v>70.567098345691434</v>
      </c>
      <c r="AL653" s="69">
        <f>IF(tech_base!$T29&gt;AL$625,"",(1000*tech_proj!AL993*(-PMT($J$110,tech_base!$F29,1))+1000*tech_proj!AL1273)/((1-tech_proj!AL433)*tech_proj!AL713*$L$110))</f>
        <v>70.333908608002147</v>
      </c>
      <c r="AM653" s="69">
        <f>IF(tech_base!$T29&gt;AM$625,"",(1000*tech_proj!AM993*(-PMT($J$110,tech_base!$F29,1))+1000*tech_proj!AM1273)/((1-tech_proj!AM433)*tech_proj!AM713*$L$110))</f>
        <v>70.063920339304829</v>
      </c>
      <c r="AN653" s="69">
        <f>IF(tech_base!$T29&gt;AN$625,"",(1000*tech_proj!AN993*(-PMT($J$110,tech_base!$F29,1))+1000*tech_proj!AN1273)/((1-tech_proj!AN433)*tech_proj!AN713*$L$110))</f>
        <v>69.752922089742938</v>
      </c>
      <c r="AO653" s="69">
        <f>IF(tech_base!$T29&gt;AO$625,"",(1000*tech_proj!AO993*(-PMT($J$110,tech_base!$F29,1))+1000*tech_proj!AO1273)/((1-tech_proj!AO433)*tech_proj!AO713*$L$110))</f>
        <v>69.396816319892267</v>
      </c>
      <c r="AP653" s="69">
        <f>IF(tech_base!$T29&gt;AP$625,"",(1000*tech_proj!AP993*(-PMT($J$110,tech_base!$F29,1))+1000*tech_proj!AP1273)/((1-tech_proj!AP433)*tech_proj!AP713*$L$110))</f>
        <v>68.991878476449855</v>
      </c>
      <c r="AQ653" s="69">
        <f>IF(tech_base!$T29&gt;AQ$625,"",(1000*tech_proj!AQ993*(-PMT($J$110,tech_base!$F29,1))+1000*tech_proj!AQ1273)/((1-tech_proj!AQ433)*tech_proj!AQ713*$L$110))</f>
        <v>68.535091717761759</v>
      </c>
      <c r="AR653" s="69">
        <f>IF(tech_base!$T29&gt;AR$625,"",(1000*tech_proj!AR993*(-PMT($J$110,tech_base!$F29,1))+1000*tech_proj!AR1273)/((1-tech_proj!AR433)*tech_proj!AR713*$L$110))</f>
        <v>68.024553796146037</v>
      </c>
      <c r="AS653" s="69">
        <f>IF(tech_base!$T29&gt;AS$625,"",(1000*tech_proj!AS993*(-PMT($J$110,tech_base!$F29,1))+1000*tech_proj!AS1273)/((1-tech_proj!AS433)*tech_proj!AS713*$L$110))</f>
        <v>67.459938682724882</v>
      </c>
      <c r="AT653" s="69">
        <f>IF(tech_base!$T29&gt;AT$625,"",(1000*tech_proj!AT993*(-PMT($J$110,tech_base!$F29,1))+1000*tech_proj!AT1273)/((1-tech_proj!AT433)*tech_proj!AT713*$L$110))</f>
        <v>66.842976571739342</v>
      </c>
      <c r="AU653" s="69">
        <f>IF(tech_base!$T29&gt;AU$625,"",(1000*tech_proj!AU993*(-PMT($J$110,tech_base!$F29,1))+1000*tech_proj!AU1273)/((1-tech_proj!AU433)*tech_proj!AU713*$L$110))</f>
        <v>66.177893734252976</v>
      </c>
      <c r="AV653" s="69">
        <f>IF(tech_base!$T29&gt;AV$625,"",(1000*tech_proj!AV993*(-PMT($J$110,tech_base!$F29,1))+1000*tech_proj!AV1273)/((1-tech_proj!AV433)*tech_proj!AV713*$L$110))</f>
        <v>65.471732667451477</v>
      </c>
      <c r="AW653" s="69">
        <f>IF(tech_base!$T29&gt;AW$625,"",(1000*tech_proj!AW993*(-PMT($J$110,tech_base!$F29,1))+1000*tech_proj!AW1273)/((1-tech_proj!AW433)*tech_proj!AW713*$L$110))</f>
        <v>64.73446025212543</v>
      </c>
      <c r="AX653" s="235">
        <f>IF(tech_base!$T29&gt;AX$625,"",(1000*tech_proj!AX993*(-PMT($J$110,tech_base!$F29,1))+1000*tech_proj!AX1273)/((1-tech_proj!AX433)*tech_proj!AX713*$L$110))</f>
        <v>63.978776087548766</v>
      </c>
      <c r="AY653" s="133"/>
    </row>
    <row r="654" spans="1:51" s="174" customFormat="1" x14ac:dyDescent="0.25">
      <c r="A654" s="356"/>
      <c r="B654" s="376"/>
      <c r="C654" s="379"/>
      <c r="D654" s="59" t="s">
        <v>10</v>
      </c>
      <c r="E654" s="166" t="str">
        <f>A633&amp;"/"&amp;B649&amp;"/"&amp;C652&amp;"/"&amp;D654</f>
        <v>Coal fired power plants/Fluidized bed combustion/CHP/S</v>
      </c>
      <c r="F654" s="79" t="str">
        <f>A633</f>
        <v>Coal fired power plants</v>
      </c>
      <c r="G654" s="79" t="str">
        <f>B649</f>
        <v>Fluidized bed combustion</v>
      </c>
      <c r="H654" s="79" t="str">
        <f>C652</f>
        <v>CHP</v>
      </c>
      <c r="I654" s="167" t="str">
        <f t="shared" si="362"/>
        <v>S</v>
      </c>
      <c r="J654" s="72">
        <f>IF(tech_base!$T30&gt;J$625,"",(1000*tech_proj!J994*(-PMT($J$110,tech_base!$F30,1))+1000*tech_proj!J1274)/((1-tech_proj!J434)*tech_proj!J714*$L$110))</f>
        <v>81.819126485851584</v>
      </c>
      <c r="K654" s="72">
        <f>IF(tech_base!$T30&gt;K$625,"",(1000*tech_proj!K994*(-PMT($J$110,tech_base!$F30,1))+1000*tech_proj!K1274)/((1-tech_proj!K434)*tech_proj!K714*$L$110))</f>
        <v>81.812198055326661</v>
      </c>
      <c r="L654" s="72">
        <f>IF(tech_base!$T30&gt;L$625,"",(1000*tech_proj!L994*(-PMT($J$110,tech_base!$F30,1))+1000*tech_proj!L1274)/((1-tech_proj!L434)*tech_proj!L714*$L$110))</f>
        <v>81.804153222664397</v>
      </c>
      <c r="M654" s="72">
        <f>IF(tech_base!$T30&gt;M$625,"",(1000*tech_proj!M994*(-PMT($J$110,tech_base!$F30,1))+1000*tech_proj!M1274)/((1-tech_proj!M434)*tech_proj!M714*$L$110))</f>
        <v>81.794813008786335</v>
      </c>
      <c r="N654" s="72">
        <f>IF(tech_base!$T30&gt;N$625,"",(1000*tech_proj!N994*(-PMT($J$110,tech_base!$F30,1))+1000*tech_proj!N1274)/((1-tech_proj!N434)*tech_proj!N714*$L$110))</f>
        <v>81.783970058810112</v>
      </c>
      <c r="O654" s="72">
        <f>IF(tech_base!$T30&gt;O$625,"",(1000*tech_proj!O994*(-PMT($J$110,tech_base!$F30,1))+1000*tech_proj!O1274)/((1-tech_proj!O434)*tech_proj!O714*$L$110))</f>
        <v>81.771384254191091</v>
      </c>
      <c r="P654" s="72">
        <f>IF(tech_base!$T30&gt;P$625,"",(1000*tech_proj!P994*(-PMT($J$110,tech_base!$F30,1))+1000*tech_proj!P1274)/((1-tech_proj!P434)*tech_proj!P714*$L$110))</f>
        <v>81.756777685226439</v>
      </c>
      <c r="Q654" s="72">
        <f>IF(tech_base!$T30&gt;Q$625,"",(1000*tech_proj!Q994*(-PMT($J$110,tech_base!$F30,1))+1000*tech_proj!Q1274)/((1-tech_proj!Q434)*tech_proj!Q714*$L$110))</f>
        <v>81.739828904488775</v>
      </c>
      <c r="R654" s="72">
        <f>IF(tech_base!$T30&gt;R$625,"",(1000*tech_proj!R994*(-PMT($J$110,tech_base!$F30,1))+1000*tech_proj!R1274)/((1-tech_proj!R434)*tech_proj!R714*$L$110))</f>
        <v>81.720166377008084</v>
      </c>
      <c r="S654" s="72">
        <f>IF(tech_base!$T30&gt;S$625,"",(1000*tech_proj!S994*(-PMT($J$110,tech_base!$F30,1))+1000*tech_proj!S1274)/((1-tech_proj!S434)*tech_proj!S714*$L$110))</f>
        <v>81.697361040158597</v>
      </c>
      <c r="T654" s="72">
        <f>IF(tech_base!$T30&gt;T$625,"",(1000*tech_proj!T994*(-PMT($J$110,tech_base!$F30,1))+1000*tech_proj!T1274)/((1-tech_proj!T434)*tech_proj!T714*$L$110))</f>
        <v>81.670917886375364</v>
      </c>
      <c r="U654" s="72">
        <f>IF(tech_base!$T30&gt;U$625,"",(1000*tech_proj!U994*(-PMT($J$110,tech_base!$F30,1))+1000*tech_proj!U1274)/((1-tech_proj!U434)*tech_proj!U714*$L$110))</f>
        <v>81.640266486572997</v>
      </c>
      <c r="V654" s="72">
        <f>IF(tech_base!$T30&gt;V$625,"",(1000*tech_proj!V994*(-PMT($J$110,tech_base!$F30,1))+1000*tech_proj!V1274)/((1-tech_proj!V434)*tech_proj!V714*$L$110))</f>
        <v>81.6047503835794</v>
      </c>
      <c r="W654" s="72">
        <f>IF(tech_base!$T30&gt;W$625,"",(1000*tech_proj!W994*(-PMT($J$110,tech_base!$F30,1))+1000*tech_proj!W1274)/((1-tech_proj!W434)*tech_proj!W714*$L$110))</f>
        <v>81.563615305815176</v>
      </c>
      <c r="X654" s="72">
        <f>IF(tech_base!$T30&gt;X$625,"",(1000*tech_proj!X994*(-PMT($J$110,tech_base!$F30,1))+1000*tech_proj!X1274)/((1-tech_proj!X434)*tech_proj!X714*$L$110))</f>
        <v>81.515996185506921</v>
      </c>
      <c r="Y654" s="72">
        <f>IF(tech_base!$T30&gt;Y$625,"",(1000*tech_proj!Y994*(-PMT($J$110,tech_base!$F30,1))+1000*tech_proj!Y1274)/((1-tech_proj!Y434)*tech_proj!Y714*$L$110))</f>
        <v>81.460903017615323</v>
      </c>
      <c r="Z654" s="72">
        <f>IF(tech_base!$T30&gt;Z$625,"",(1000*tech_proj!Z994*(-PMT($J$110,tech_base!$F30,1))+1000*tech_proj!Z1274)/((1-tech_proj!Z434)*tech_proj!Z714*$L$110))</f>
        <v>81.397205671323448</v>
      </c>
      <c r="AA654" s="72">
        <f>IF(tech_base!$T30&gt;AA$625,"",(1000*tech_proj!AA994*(-PMT($J$110,tech_base!$F30,1))+1000*tech_proj!AA1274)/((1-tech_proj!AA434)*tech_proj!AA714*$L$110))</f>
        <v>81.323617872674873</v>
      </c>
      <c r="AB654" s="72">
        <f>IF(tech_base!$T30&gt;AB$625,"",(1000*tech_proj!AB994*(-PMT($J$110,tech_base!$F30,1))+1000*tech_proj!AB1274)/((1-tech_proj!AB434)*tech_proj!AB714*$L$110))</f>
        <v>81.238680723542757</v>
      </c>
      <c r="AC654" s="72">
        <f>IF(tech_base!$T30&gt;AC$625,"",(1000*tech_proj!AC994*(-PMT($J$110,tech_base!$F30,1))+1000*tech_proj!AC1274)/((1-tech_proj!AC434)*tech_proj!AC714*$L$110))</f>
        <v>81.140746318646691</v>
      </c>
      <c r="AD654" s="72">
        <f>IF(tech_base!$T30&gt;AD$625,"",(1000*tech_proj!AD994*(-PMT($J$110,tech_base!$F30,1))+1000*tech_proj!AD1274)/((1-tech_proj!AD434)*tech_proj!AD714*$L$110))</f>
        <v>81.027962279840054</v>
      </c>
      <c r="AE654" s="72">
        <f>IF(tech_base!$T30&gt;AE$625,"",(1000*tech_proj!AE994*(-PMT($J$110,tech_base!$F30,1))+1000*tech_proj!AE1274)/((1-tech_proj!AE434)*tech_proj!AE714*$L$110))</f>
        <v>80.898258356387544</v>
      </c>
      <c r="AF654" s="72">
        <f>IF(tech_base!$T30&gt;AF$625,"",(1000*tech_proj!AF994*(-PMT($J$110,tech_base!$F30,1))+1000*tech_proj!AF1274)/((1-tech_proj!AF434)*tech_proj!AF714*$L$110))</f>
        <v>80.749336650755922</v>
      </c>
      <c r="AG654" s="72">
        <f>IF(tech_base!$T30&gt;AG$625,"",(1000*tech_proj!AG994*(-PMT($J$110,tech_base!$F30,1))+1000*tech_proj!AG1274)/((1-tech_proj!AG434)*tech_proj!AG714*$L$110))</f>
        <v>80.57866752632367</v>
      </c>
      <c r="AH654" s="72">
        <f>IF(tech_base!$T30&gt;AH$625,"",(1000*tech_proj!AH994*(-PMT($J$110,tech_base!$F30,1))+1000*tech_proj!AH1274)/((1-tech_proj!AH434)*tech_proj!AH714*$L$110))</f>
        <v>80.383493832222541</v>
      </c>
      <c r="AI654" s="72">
        <f>IF(tech_base!$T30&gt;AI$625,"",(1000*tech_proj!AI994*(-PMT($J$110,tech_base!$F30,1))+1000*tech_proj!AI1274)/((1-tech_proj!AI434)*tech_proj!AI714*$L$110))</f>
        <v>80.160846721804774</v>
      </c>
      <c r="AJ654" s="72">
        <f>IF(tech_base!$T30&gt;AJ$625,"",(1000*tech_proj!AJ994*(-PMT($J$110,tech_base!$F30,1))+1000*tech_proj!AJ1274)/((1-tech_proj!AJ434)*tech_proj!AJ714*$L$110))</f>
        <v>79.907577001632305</v>
      </c>
      <c r="AK654" s="72">
        <f>IF(tech_base!$T30&gt;AK$625,"",(1000*tech_proj!AK994*(-PMT($J$110,tech_base!$F30,1))+1000*tech_proj!AK1274)/((1-tech_proj!AK434)*tech_proj!AK714*$L$110))</f>
        <v>79.620406549343897</v>
      </c>
      <c r="AL654" s="72">
        <f>IF(tech_base!$T30&gt;AL$625,"",(1000*tech_proj!AL994*(-PMT($J$110,tech_base!$F30,1))+1000*tech_proj!AL1274)/((1-tech_proj!AL434)*tech_proj!AL714*$L$110))</f>
        <v>79.296004756470452</v>
      </c>
      <c r="AM654" s="72">
        <f>IF(tech_base!$T30&gt;AM$625,"",(1000*tech_proj!AM994*(-PMT($J$110,tech_base!$F30,1))+1000*tech_proj!AM1274)/((1-tech_proj!AM434)*tech_proj!AM714*$L$110))</f>
        <v>78.931095003652857</v>
      </c>
      <c r="AN654" s="72">
        <f>IF(tech_base!$T30&gt;AN$625,"",(1000*tech_proj!AN994*(-PMT($J$110,tech_base!$F30,1))+1000*tech_proj!AN1274)/((1-tech_proj!AN434)*tech_proj!AN714*$L$110))</f>
        <v>78.522595614880572</v>
      </c>
      <c r="AO654" s="72">
        <f>IF(tech_base!$T30&gt;AO$625,"",(1000*tech_proj!AO994*(-PMT($J$110,tech_base!$F30,1))+1000*tech_proj!AO1274)/((1-tech_proj!AO434)*tech_proj!AO714*$L$110))</f>
        <v>78.067798262270387</v>
      </c>
      <c r="AP654" s="72">
        <f>IF(tech_base!$T30&gt;AP$625,"",(1000*tech_proj!AP994*(-PMT($J$110,tech_base!$F30,1))+1000*tech_proj!AP1274)/((1-tech_proj!AP434)*tech_proj!AP714*$L$110))</f>
        <v>77.564584075358326</v>
      </c>
      <c r="AQ654" s="72">
        <f>IF(tech_base!$T30&gt;AQ$625,"",(1000*tech_proj!AQ994*(-PMT($J$110,tech_base!$F30,1))+1000*tech_proj!AQ1274)/((1-tech_proj!AQ434)*tech_proj!AQ714*$L$110))</f>
        <v>77.011673459222422</v>
      </c>
      <c r="AR654" s="72">
        <f>IF(tech_base!$T30&gt;AR$625,"",(1000*tech_proj!AR994*(-PMT($J$110,tech_base!$F30,1))+1000*tech_proj!AR1274)/((1-tech_proj!AR434)*tech_proj!AR714*$L$110))</f>
        <v>76.408899701869515</v>
      </c>
      <c r="AS654" s="72">
        <f>IF(tech_base!$T30&gt;AS$625,"",(1000*tech_proj!AS994*(-PMT($J$110,tech_base!$F30,1))+1000*tech_proj!AS1274)/((1-tech_proj!AS434)*tech_proj!AS714*$L$110))</f>
        <v>75.757489012481116</v>
      </c>
      <c r="AT654" s="72">
        <f>IF(tech_base!$T30&gt;AT$625,"",(1000*tech_proj!AT994*(-PMT($J$110,tech_base!$F30,1))+1000*tech_proj!AT1274)/((1-tech_proj!AT434)*tech_proj!AT714*$L$110))</f>
        <v>75.060321317966967</v>
      </c>
      <c r="AU654" s="72">
        <f>IF(tech_base!$T30&gt;AU$625,"",(1000*tech_proj!AU994*(-PMT($J$110,tech_base!$F30,1))+1000*tech_proj!AU1274)/((1-tech_proj!AU434)*tech_proj!AU714*$L$110))</f>
        <v>74.322138228957286</v>
      </c>
      <c r="AV654" s="72">
        <f>IF(tech_base!$T30&gt;AV$625,"",(1000*tech_proj!AV994*(-PMT($J$110,tech_base!$F30,1))+1000*tech_proj!AV1274)/((1-tech_proj!AV434)*tech_proj!AV714*$L$110))</f>
        <v>73.549659013833661</v>
      </c>
      <c r="AW654" s="72">
        <f>IF(tech_base!$T30&gt;AW$625,"",(1000*tech_proj!AW994*(-PMT($J$110,tech_base!$F30,1))+1000*tech_proj!AW1274)/((1-tech_proj!AW434)*tech_proj!AW714*$L$110))</f>
        <v>72.751564623191641</v>
      </c>
      <c r="AX654" s="238">
        <f>IF(tech_base!$T30&gt;AX$625,"",(1000*tech_proj!AX994*(-PMT($J$110,tech_base!$F30,1))+1000*tech_proj!AX1274)/((1-tech_proj!AX434)*tech_proj!AX714*$L$110))</f>
        <v>71.938316200312059</v>
      </c>
      <c r="AY654" s="133"/>
    </row>
    <row r="655" spans="1:51" s="174" customFormat="1" x14ac:dyDescent="0.25">
      <c r="A655" s="356"/>
      <c r="B655" s="376"/>
      <c r="C655" s="361" t="s">
        <v>15</v>
      </c>
      <c r="D655" s="58" t="s">
        <v>7</v>
      </c>
      <c r="E655" s="164" t="str">
        <f>A633&amp;"/"&amp;B649&amp;"/"&amp;C655&amp;"/"&amp;D655</f>
        <v>Coal fired power plants/Fluidized bed combustion/Electricity only with CCS/L</v>
      </c>
      <c r="F655" s="78" t="str">
        <f>A633</f>
        <v>Coal fired power plants</v>
      </c>
      <c r="G655" s="78" t="str">
        <f>B649</f>
        <v>Fluidized bed combustion</v>
      </c>
      <c r="H655" s="78" t="str">
        <f>C655</f>
        <v>Electricity only with CCS</v>
      </c>
      <c r="I655" s="165" t="str">
        <f t="shared" si="362"/>
        <v>L</v>
      </c>
      <c r="J655" s="71" t="str">
        <f>IF(tech_base!$T31&gt;J$625,"",(1000*tech_proj!J995*(-PMT($J$110,tech_base!$F31,1))+1000*tech_proj!J1275)/((1-tech_proj!J435)*tech_proj!J715*$L$110))</f>
        <v/>
      </c>
      <c r="K655" s="71" t="str">
        <f>IF(tech_base!$T31&gt;K$625,"",(1000*tech_proj!K995*(-PMT($J$110,tech_base!$F31,1))+1000*tech_proj!K1275)/((1-tech_proj!K435)*tech_proj!K715*$L$110))</f>
        <v/>
      </c>
      <c r="L655" s="71" t="str">
        <f>IF(tech_base!$T31&gt;L$625,"",(1000*tech_proj!L995*(-PMT($J$110,tech_base!$F31,1))+1000*tech_proj!L1275)/((1-tech_proj!L435)*tech_proj!L715*$L$110))</f>
        <v/>
      </c>
      <c r="M655" s="71" t="str">
        <f>IF(tech_base!$T31&gt;M$625,"",(1000*tech_proj!M995*(-PMT($J$110,tech_base!$F31,1))+1000*tech_proj!M1275)/((1-tech_proj!M435)*tech_proj!M715*$L$110))</f>
        <v/>
      </c>
      <c r="N655" s="71" t="str">
        <f>IF(tech_base!$T31&gt;N$625,"",(1000*tech_proj!N995*(-PMT($J$110,tech_base!$F31,1))+1000*tech_proj!N1275)/((1-tech_proj!N435)*tech_proj!N715*$L$110))</f>
        <v/>
      </c>
      <c r="O655" s="71" t="str">
        <f>IF(tech_base!$T31&gt;O$625,"",(1000*tech_proj!O995*(-PMT($J$110,tech_base!$F31,1))+1000*tech_proj!O1275)/((1-tech_proj!O435)*tech_proj!O715*$L$110))</f>
        <v/>
      </c>
      <c r="P655" s="71" t="str">
        <f>IF(tech_base!$T31&gt;P$625,"",(1000*tech_proj!P995*(-PMT($J$110,tech_base!$F31,1))+1000*tech_proj!P1275)/((1-tech_proj!P435)*tech_proj!P715*$L$110))</f>
        <v/>
      </c>
      <c r="Q655" s="71" t="str">
        <f>IF(tech_base!$T31&gt;Q$625,"",(1000*tech_proj!Q995*(-PMT($J$110,tech_base!$F31,1))+1000*tech_proj!Q1275)/((1-tech_proj!Q435)*tech_proj!Q715*$L$110))</f>
        <v/>
      </c>
      <c r="R655" s="71" t="str">
        <f>IF(tech_base!$T31&gt;R$625,"",(1000*tech_proj!R995*(-PMT($J$110,tech_base!$F31,1))+1000*tech_proj!R1275)/((1-tech_proj!R435)*tech_proj!R715*$L$110))</f>
        <v/>
      </c>
      <c r="S655" s="71" t="str">
        <f>IF(tech_base!$T31&gt;S$625,"",(1000*tech_proj!S995*(-PMT($J$110,tech_base!$F31,1))+1000*tech_proj!S1275)/((1-tech_proj!S435)*tech_proj!S715*$L$110))</f>
        <v/>
      </c>
      <c r="T655" s="71" t="str">
        <f>IF(tech_base!$T31&gt;T$625,"",(1000*tech_proj!T995*(-PMT($J$110,tech_base!$F31,1))+1000*tech_proj!T1275)/((1-tech_proj!T435)*tech_proj!T715*$L$110))</f>
        <v/>
      </c>
      <c r="U655" s="71" t="str">
        <f>IF(tech_base!$T31&gt;U$625,"",(1000*tech_proj!U995*(-PMT($J$110,tech_base!$F31,1))+1000*tech_proj!U1275)/((1-tech_proj!U435)*tech_proj!U715*$L$110))</f>
        <v/>
      </c>
      <c r="V655" s="71" t="str">
        <f>IF(tech_base!$T31&gt;V$625,"",(1000*tech_proj!V995*(-PMT($J$110,tech_base!$F31,1))+1000*tech_proj!V1275)/((1-tech_proj!V435)*tech_proj!V715*$L$110))</f>
        <v/>
      </c>
      <c r="W655" s="71" t="str">
        <f>IF(tech_base!$T31&gt;W$625,"",(1000*tech_proj!W995*(-PMT($J$110,tech_base!$F31,1))+1000*tech_proj!W1275)/((1-tech_proj!W435)*tech_proj!W715*$L$110))</f>
        <v/>
      </c>
      <c r="X655" s="71" t="str">
        <f>IF(tech_base!$T31&gt;X$625,"",(1000*tech_proj!X995*(-PMT($J$110,tech_base!$F31,1))+1000*tech_proj!X1275)/((1-tech_proj!X435)*tech_proj!X715*$L$110))</f>
        <v/>
      </c>
      <c r="Y655" s="71" t="str">
        <f>IF(tech_base!$T31&gt;Y$625,"",(1000*tech_proj!Y995*(-PMT($J$110,tech_base!$F31,1))+1000*tech_proj!Y1275)/((1-tech_proj!Y435)*tech_proj!Y715*$L$110))</f>
        <v/>
      </c>
      <c r="Z655" s="71" t="str">
        <f>IF(tech_base!$T31&gt;Z$625,"",(1000*tech_proj!Z995*(-PMT($J$110,tech_base!$F31,1))+1000*tech_proj!Z1275)/((1-tech_proj!Z435)*tech_proj!Z715*$L$110))</f>
        <v/>
      </c>
      <c r="AA655" s="71" t="str">
        <f>IF(tech_base!$T31&gt;AA$625,"",(1000*tech_proj!AA995*(-PMT($J$110,tech_base!$F31,1))+1000*tech_proj!AA1275)/((1-tech_proj!AA435)*tech_proj!AA715*$L$110))</f>
        <v/>
      </c>
      <c r="AB655" s="71" t="str">
        <f>IF(tech_base!$T31&gt;AB$625,"",(1000*tech_proj!AB995*(-PMT($J$110,tech_base!$F31,1))+1000*tech_proj!AB1275)/((1-tech_proj!AB435)*tech_proj!AB715*$L$110))</f>
        <v/>
      </c>
      <c r="AC655" s="71" t="str">
        <f>IF(tech_base!$T31&gt;AC$625,"",(1000*tech_proj!AC995*(-PMT($J$110,tech_base!$F31,1))+1000*tech_proj!AC1275)/((1-tech_proj!AC435)*tech_proj!AC715*$L$110))</f>
        <v/>
      </c>
      <c r="AD655" s="71" t="str">
        <f>IF(tech_base!$T31&gt;AD$625,"",(1000*tech_proj!AD995*(-PMT($J$110,tech_base!$F31,1))+1000*tech_proj!AD1275)/((1-tech_proj!AD435)*tech_proj!AD715*$L$110))</f>
        <v/>
      </c>
      <c r="AE655" s="71">
        <f>IF(tech_base!$T31&gt;AE$625,"",(1000*tech_proj!AE995*(-PMT($J$110,tech_base!$F31,1))+1000*tech_proj!AE1275)/((1-tech_proj!AE435)*tech_proj!AE715*$L$110))</f>
        <v>144.29786510896727</v>
      </c>
      <c r="AF655" s="71">
        <f>IF(tech_base!$T31&gt;AF$625,"",(1000*tech_proj!AF995*(-PMT($J$110,tech_base!$F31,1))+1000*tech_proj!AF1275)/((1-tech_proj!AF435)*tech_proj!AF715*$L$110))</f>
        <v>144.25820018907561</v>
      </c>
      <c r="AG655" s="71">
        <f>IF(tech_base!$T31&gt;AG$625,"",(1000*tech_proj!AG995*(-PMT($J$110,tech_base!$F31,1))+1000*tech_proj!AG1275)/((1-tech_proj!AG435)*tech_proj!AG715*$L$110))</f>
        <v>144.20734944672608</v>
      </c>
      <c r="AH655" s="71">
        <f>IF(tech_base!$T31&gt;AH$625,"",(1000*tech_proj!AH995*(-PMT($J$110,tech_base!$F31,1))+1000*tech_proj!AH1275)/((1-tech_proj!AH435)*tech_proj!AH715*$L$110))</f>
        <v>144.14218739701698</v>
      </c>
      <c r="AI655" s="71">
        <f>IF(tech_base!$T31&gt;AI$625,"",(1000*tech_proj!AI995*(-PMT($J$110,tech_base!$F31,1))+1000*tech_proj!AI1275)/((1-tech_proj!AI435)*tech_proj!AI715*$L$110))</f>
        <v>144.05873391782293</v>
      </c>
      <c r="AJ655" s="71">
        <f>IF(tech_base!$T31&gt;AJ$625,"",(1000*tech_proj!AJ995*(-PMT($J$110,tech_base!$F31,1))+1000*tech_proj!AJ1275)/((1-tech_proj!AJ435)*tech_proj!AJ715*$L$110))</f>
        <v>143.95193255485441</v>
      </c>
      <c r="AK655" s="71">
        <f>IF(tech_base!$T31&gt;AK$625,"",(1000*tech_proj!AK995*(-PMT($J$110,tech_base!$F31,1))+1000*tech_proj!AK1275)/((1-tech_proj!AK435)*tech_proj!AK715*$L$110))</f>
        <v>143.81537905470165</v>
      </c>
      <c r="AL655" s="71">
        <f>IF(tech_base!$T31&gt;AL$625,"",(1000*tech_proj!AL995*(-PMT($J$110,tech_base!$F31,1))+1000*tech_proj!AL1275)/((1-tech_proj!AL435)*tech_proj!AL715*$L$110))</f>
        <v>143.6409940527605</v>
      </c>
      <c r="AM655" s="71">
        <f>IF(tech_base!$T31&gt;AM$625,"",(1000*tech_proj!AM995*(-PMT($J$110,tech_base!$F31,1))+1000*tech_proj!AM1275)/((1-tech_proj!AM435)*tech_proj!AM715*$L$110))</f>
        <v>143.41863681701227</v>
      </c>
      <c r="AN655" s="71">
        <f>IF(tech_base!$T31&gt;AN$625,"",(1000*tech_proj!AN995*(-PMT($J$110,tech_base!$F31,1))+1000*tech_proj!AN1275)/((1-tech_proj!AN435)*tech_proj!AN715*$L$110))</f>
        <v>143.1356632589694</v>
      </c>
      <c r="AO655" s="71">
        <f>IF(tech_base!$T31&gt;AO$625,"",(1000*tech_proj!AO995*(-PMT($J$110,tech_base!$F31,1))+1000*tech_proj!AO1275)/((1-tech_proj!AO435)*tech_proj!AO715*$L$110))</f>
        <v>142.77644307240161</v>
      </c>
      <c r="AP655" s="71">
        <f>IF(tech_base!$T31&gt;AP$625,"",(1000*tech_proj!AP995*(-PMT($J$110,tech_base!$F31,1))+1000*tech_proj!AP1275)/((1-tech_proj!AP435)*tech_proj!AP715*$L$110))</f>
        <v>142.32187057380833</v>
      </c>
      <c r="AQ655" s="71">
        <f>IF(tech_base!$T31&gt;AQ$625,"",(1000*tech_proj!AQ995*(-PMT($J$110,tech_base!$F31,1))+1000*tech_proj!AQ1275)/((1-tech_proj!AQ435)*tech_proj!AQ715*$L$110))</f>
        <v>141.74893490121235</v>
      </c>
      <c r="AR655" s="71">
        <f>IF(tech_base!$T31&gt;AR$625,"",(1000*tech_proj!AR995*(-PMT($J$110,tech_base!$F31,1))+1000*tech_proj!AR1275)/((1-tech_proj!AR435)*tech_proj!AR715*$L$110))</f>
        <v>141.03046086582145</v>
      </c>
      <c r="AS655" s="71">
        <f>IF(tech_base!$T31&gt;AS$625,"",(1000*tech_proj!AS995*(-PMT($J$110,tech_base!$F31,1))+1000*tech_proj!AS1275)/((1-tech_proj!AS435)*tech_proj!AS715*$L$110))</f>
        <v>140.13519320514277</v>
      </c>
      <c r="AT655" s="71">
        <f>IF(tech_base!$T31&gt;AT$625,"",(1000*tech_proj!AT995*(-PMT($J$110,tech_base!$F31,1))+1000*tech_proj!AT1275)/((1-tech_proj!AT435)*tech_proj!AT715*$L$110))</f>
        <v>139.02846993817749</v>
      </c>
      <c r="AU655" s="71">
        <f>IF(tech_base!$T31&gt;AU$625,"",(1000*tech_proj!AU995*(-PMT($J$110,tech_base!$F31,1))+1000*tech_proj!AU1275)/((1-tech_proj!AU435)*tech_proj!AU715*$L$110))</f>
        <v>137.67379899581212</v>
      </c>
      <c r="AV655" s="71">
        <f>IF(tech_base!$T31&gt;AV$625,"",(1000*tech_proj!AV995*(-PMT($J$110,tech_base!$F31,1))+1000*tech_proj!AV1275)/((1-tech_proj!AV435)*tech_proj!AV715*$L$110))</f>
        <v>136.03568077547908</v>
      </c>
      <c r="AW655" s="71">
        <f>IF(tech_base!$T31&gt;AW$625,"",(1000*tech_proj!AW995*(-PMT($J$110,tech_base!$F31,1))+1000*tech_proj!AW1275)/((1-tech_proj!AW435)*tech_proj!AW715*$L$110))</f>
        <v>134.08394694472881</v>
      </c>
      <c r="AX655" s="237">
        <f>IF(tech_base!$T31&gt;AX$625,"",(1000*tech_proj!AX995*(-PMT($J$110,tech_base!$F31,1))+1000*tech_proj!AX1275)/((1-tech_proj!AX435)*tech_proj!AX715*$L$110))</f>
        <v>131.79963283234892</v>
      </c>
      <c r="AY655" s="133"/>
    </row>
    <row r="656" spans="1:51" s="174" customFormat="1" x14ac:dyDescent="0.25">
      <c r="A656" s="356"/>
      <c r="B656" s="376"/>
      <c r="C656" s="379"/>
      <c r="D656" s="59" t="s">
        <v>8</v>
      </c>
      <c r="E656" s="166" t="str">
        <f>A633&amp;"/"&amp;B649&amp;"/"&amp;C655&amp;"/"&amp;D656</f>
        <v>Coal fired power plants/Fluidized bed combustion/Electricity only with CCS/M</v>
      </c>
      <c r="F656" s="79" t="str">
        <f>A633</f>
        <v>Coal fired power plants</v>
      </c>
      <c r="G656" s="79" t="str">
        <f>B649</f>
        <v>Fluidized bed combustion</v>
      </c>
      <c r="H656" s="79" t="str">
        <f>C655</f>
        <v>Electricity only with CCS</v>
      </c>
      <c r="I656" s="167" t="str">
        <f t="shared" si="362"/>
        <v>M</v>
      </c>
      <c r="J656" s="72" t="str">
        <f>IF(tech_base!$T32&gt;J$625,"",(1000*tech_proj!J996*(-PMT($J$110,tech_base!$F32,1))+1000*tech_proj!J1276)/((1-tech_proj!J436)*tech_proj!J716*$L$110))</f>
        <v/>
      </c>
      <c r="K656" s="72" t="str">
        <f>IF(tech_base!$T32&gt;K$625,"",(1000*tech_proj!K996*(-PMT($J$110,tech_base!$F32,1))+1000*tech_proj!K1276)/((1-tech_proj!K436)*tech_proj!K716*$L$110))</f>
        <v/>
      </c>
      <c r="L656" s="72" t="str">
        <f>IF(tech_base!$T32&gt;L$625,"",(1000*tech_proj!L996*(-PMT($J$110,tech_base!$F32,1))+1000*tech_proj!L1276)/((1-tech_proj!L436)*tech_proj!L716*$L$110))</f>
        <v/>
      </c>
      <c r="M656" s="72" t="str">
        <f>IF(tech_base!$T32&gt;M$625,"",(1000*tech_proj!M996*(-PMT($J$110,tech_base!$F32,1))+1000*tech_proj!M1276)/((1-tech_proj!M436)*tech_proj!M716*$L$110))</f>
        <v/>
      </c>
      <c r="N656" s="72" t="str">
        <f>IF(tech_base!$T32&gt;N$625,"",(1000*tech_proj!N996*(-PMT($J$110,tech_base!$F32,1))+1000*tech_proj!N1276)/((1-tech_proj!N436)*tech_proj!N716*$L$110))</f>
        <v/>
      </c>
      <c r="O656" s="72" t="str">
        <f>IF(tech_base!$T32&gt;O$625,"",(1000*tech_proj!O996*(-PMT($J$110,tech_base!$F32,1))+1000*tech_proj!O1276)/((1-tech_proj!O436)*tech_proj!O716*$L$110))</f>
        <v/>
      </c>
      <c r="P656" s="72" t="str">
        <f>IF(tech_base!$T32&gt;P$625,"",(1000*tech_proj!P996*(-PMT($J$110,tech_base!$F32,1))+1000*tech_proj!P1276)/((1-tech_proj!P436)*tech_proj!P716*$L$110))</f>
        <v/>
      </c>
      <c r="Q656" s="72" t="str">
        <f>IF(tech_base!$T32&gt;Q$625,"",(1000*tech_proj!Q996*(-PMT($J$110,tech_base!$F32,1))+1000*tech_proj!Q1276)/((1-tech_proj!Q436)*tech_proj!Q716*$L$110))</f>
        <v/>
      </c>
      <c r="R656" s="72" t="str">
        <f>IF(tech_base!$T32&gt;R$625,"",(1000*tech_proj!R996*(-PMT($J$110,tech_base!$F32,1))+1000*tech_proj!R1276)/((1-tech_proj!R436)*tech_proj!R716*$L$110))</f>
        <v/>
      </c>
      <c r="S656" s="72" t="str">
        <f>IF(tech_base!$T32&gt;S$625,"",(1000*tech_proj!S996*(-PMT($J$110,tech_base!$F32,1))+1000*tech_proj!S1276)/((1-tech_proj!S436)*tech_proj!S716*$L$110))</f>
        <v/>
      </c>
      <c r="T656" s="72" t="str">
        <f>IF(tech_base!$T32&gt;T$625,"",(1000*tech_proj!T996*(-PMT($J$110,tech_base!$F32,1))+1000*tech_proj!T1276)/((1-tech_proj!T436)*tech_proj!T716*$L$110))</f>
        <v/>
      </c>
      <c r="U656" s="72" t="str">
        <f>IF(tech_base!$T32&gt;U$625,"",(1000*tech_proj!U996*(-PMT($J$110,tech_base!$F32,1))+1000*tech_proj!U1276)/((1-tech_proj!U436)*tech_proj!U716*$L$110))</f>
        <v/>
      </c>
      <c r="V656" s="72" t="str">
        <f>IF(tech_base!$T32&gt;V$625,"",(1000*tech_proj!V996*(-PMT($J$110,tech_base!$F32,1))+1000*tech_proj!V1276)/((1-tech_proj!V436)*tech_proj!V716*$L$110))</f>
        <v/>
      </c>
      <c r="W656" s="72" t="str">
        <f>IF(tech_base!$T32&gt;W$625,"",(1000*tech_proj!W996*(-PMT($J$110,tech_base!$F32,1))+1000*tech_proj!W1276)/((1-tech_proj!W436)*tech_proj!W716*$L$110))</f>
        <v/>
      </c>
      <c r="X656" s="72" t="str">
        <f>IF(tech_base!$T32&gt;X$625,"",(1000*tech_proj!X996*(-PMT($J$110,tech_base!$F32,1))+1000*tech_proj!X1276)/((1-tech_proj!X436)*tech_proj!X716*$L$110))</f>
        <v/>
      </c>
      <c r="Y656" s="72" t="str">
        <f>IF(tech_base!$T32&gt;Y$625,"",(1000*tech_proj!Y996*(-PMT($J$110,tech_base!$F32,1))+1000*tech_proj!Y1276)/((1-tech_proj!Y436)*tech_proj!Y716*$L$110))</f>
        <v/>
      </c>
      <c r="Z656" s="72" t="str">
        <f>IF(tech_base!$T32&gt;Z$625,"",(1000*tech_proj!Z996*(-PMT($J$110,tech_base!$F32,1))+1000*tech_proj!Z1276)/((1-tech_proj!Z436)*tech_proj!Z716*$L$110))</f>
        <v/>
      </c>
      <c r="AA656" s="72" t="str">
        <f>IF(tech_base!$T32&gt;AA$625,"",(1000*tech_proj!AA996*(-PMT($J$110,tech_base!$F32,1))+1000*tech_proj!AA1276)/((1-tech_proj!AA436)*tech_proj!AA716*$L$110))</f>
        <v/>
      </c>
      <c r="AB656" s="72" t="str">
        <f>IF(tech_base!$T32&gt;AB$625,"",(1000*tech_proj!AB996*(-PMT($J$110,tech_base!$F32,1))+1000*tech_proj!AB1276)/((1-tech_proj!AB436)*tech_proj!AB716*$L$110))</f>
        <v/>
      </c>
      <c r="AC656" s="72" t="str">
        <f>IF(tech_base!$T32&gt;AC$625,"",(1000*tech_proj!AC996*(-PMT($J$110,tech_base!$F32,1))+1000*tech_proj!AC1276)/((1-tech_proj!AC436)*tech_proj!AC716*$L$110))</f>
        <v/>
      </c>
      <c r="AD656" s="72" t="str">
        <f>IF(tech_base!$T32&gt;AD$625,"",(1000*tech_proj!AD996*(-PMT($J$110,tech_base!$F32,1))+1000*tech_proj!AD1276)/((1-tech_proj!AD436)*tech_proj!AD716*$L$110))</f>
        <v/>
      </c>
      <c r="AE656" s="72">
        <f>IF(tech_base!$T32&gt;AE$625,"",(1000*tech_proj!AE996*(-PMT($J$110,tech_base!$F32,1))+1000*tech_proj!AE1276)/((1-tech_proj!AE436)*tech_proj!AE716*$L$110))</f>
        <v>163.71066831470631</v>
      </c>
      <c r="AF656" s="72">
        <f>IF(tech_base!$T32&gt;AF$625,"",(1000*tech_proj!AF996*(-PMT($J$110,tech_base!$F32,1))+1000*tech_proj!AF1276)/((1-tech_proj!AF436)*tech_proj!AF716*$L$110))</f>
        <v>163.6624494481251</v>
      </c>
      <c r="AG656" s="72">
        <f>IF(tech_base!$T32&gt;AG$625,"",(1000*tech_proj!AG996*(-PMT($J$110,tech_base!$F32,1))+1000*tech_proj!AG1276)/((1-tech_proj!AG436)*tech_proj!AG716*$L$110))</f>
        <v>163.60063247817766</v>
      </c>
      <c r="AH656" s="72">
        <f>IF(tech_base!$T32&gt;AH$625,"",(1000*tech_proj!AH996*(-PMT($J$110,tech_base!$F32,1))+1000*tech_proj!AH1276)/((1-tech_proj!AH436)*tech_proj!AH716*$L$110))</f>
        <v>163.5214178928548</v>
      </c>
      <c r="AI656" s="72">
        <f>IF(tech_base!$T32&gt;AI$625,"",(1000*tech_proj!AI996*(-PMT($J$110,tech_base!$F32,1))+1000*tech_proj!AI1276)/((1-tech_proj!AI436)*tech_proj!AI716*$L$110))</f>
        <v>163.41996723595221</v>
      </c>
      <c r="AJ656" s="72">
        <f>IF(tech_base!$T32&gt;AJ$625,"",(1000*tech_proj!AJ996*(-PMT($J$110,tech_base!$F32,1))+1000*tech_proj!AJ1276)/((1-tech_proj!AJ436)*tech_proj!AJ716*$L$110))</f>
        <v>163.29013360246091</v>
      </c>
      <c r="AK656" s="72">
        <f>IF(tech_base!$T32&gt;AK$625,"",(1000*tech_proj!AK996*(-PMT($J$110,tech_base!$F32,1))+1000*tech_proj!AK1276)/((1-tech_proj!AK436)*tech_proj!AK716*$L$110))</f>
        <v>163.1241316283475</v>
      </c>
      <c r="AL656" s="72">
        <f>IF(tech_base!$T32&gt;AL$625,"",(1000*tech_proj!AL996*(-PMT($J$110,tech_base!$F32,1))+1000*tech_proj!AL1276)/((1-tech_proj!AL436)*tech_proj!AL716*$L$110))</f>
        <v>162.91213959192498</v>
      </c>
      <c r="AM656" s="72">
        <f>IF(tech_base!$T32&gt;AM$625,"",(1000*tech_proj!AM996*(-PMT($J$110,tech_base!$F32,1))+1000*tech_proj!AM1276)/((1-tech_proj!AM436)*tech_proj!AM716*$L$110))</f>
        <v>162.6418298594661</v>
      </c>
      <c r="AN656" s="72">
        <f>IF(tech_base!$T32&gt;AN$625,"",(1000*tech_proj!AN996*(-PMT($J$110,tech_base!$F32,1))+1000*tech_proj!AN1276)/((1-tech_proj!AN436)*tech_proj!AN716*$L$110))</f>
        <v>162.29783157890583</v>
      </c>
      <c r="AO656" s="72">
        <f>IF(tech_base!$T32&gt;AO$625,"",(1000*tech_proj!AO996*(-PMT($J$110,tech_base!$F32,1))+1000*tech_proj!AO1276)/((1-tech_proj!AO436)*tech_proj!AO716*$L$110))</f>
        <v>161.86114368701774</v>
      </c>
      <c r="AP656" s="72">
        <f>IF(tech_base!$T32&gt;AP$625,"",(1000*tech_proj!AP996*(-PMT($J$110,tech_base!$F32,1))+1000*tech_proj!AP1276)/((1-tech_proj!AP436)*tech_proj!AP716*$L$110))</f>
        <v>161.30854026008433</v>
      </c>
      <c r="AQ656" s="72">
        <f>IF(tech_base!$T32&gt;AQ$625,"",(1000*tech_proj!AQ996*(-PMT($J$110,tech_base!$F32,1))+1000*tech_proj!AQ1276)/((1-tech_proj!AQ436)*tech_proj!AQ716*$L$110))</f>
        <v>160.61204802382125</v>
      </c>
      <c r="AR656" s="72">
        <f>IF(tech_base!$T32&gt;AR$625,"",(1000*tech_proj!AR996*(-PMT($J$110,tech_base!$F32,1))+1000*tech_proj!AR1276)/((1-tech_proj!AR436)*tech_proj!AR716*$L$110))</f>
        <v>159.73863131834889</v>
      </c>
      <c r="AS656" s="72">
        <f>IF(tech_base!$T32&gt;AS$625,"",(1000*tech_proj!AS996*(-PMT($J$110,tech_base!$F32,1))+1000*tech_proj!AS1276)/((1-tech_proj!AS436)*tech_proj!AS716*$L$110))</f>
        <v>158.65029452093</v>
      </c>
      <c r="AT656" s="72">
        <f>IF(tech_base!$T32&gt;AT$625,"",(1000*tech_proj!AT996*(-PMT($J$110,tech_base!$F32,1))+1000*tech_proj!AT1276)/((1-tech_proj!AT436)*tech_proj!AT716*$L$110))</f>
        <v>157.30490061372149</v>
      </c>
      <c r="AU656" s="72">
        <f>IF(tech_base!$T32&gt;AU$625,"",(1000*tech_proj!AU996*(-PMT($J$110,tech_base!$F32,1))+1000*tech_proj!AU1276)/((1-tech_proj!AU436)*tech_proj!AU716*$L$110))</f>
        <v>155.65808782272592</v>
      </c>
      <c r="AV656" s="72">
        <f>IF(tech_base!$T32&gt;AV$625,"",(1000*tech_proj!AV996*(-PMT($J$110,tech_base!$F32,1))+1000*tech_proj!AV1276)/((1-tech_proj!AV436)*tech_proj!AV716*$L$110))</f>
        <v>153.66670087107485</v>
      </c>
      <c r="AW656" s="72">
        <f>IF(tech_base!$T32&gt;AW$625,"",(1000*tech_proj!AW996*(-PMT($J$110,tech_base!$F32,1))+1000*tech_proj!AW1276)/((1-tech_proj!AW436)*tech_proj!AW716*$L$110))</f>
        <v>151.29406546820266</v>
      </c>
      <c r="AX656" s="238">
        <f>IF(tech_base!$T32&gt;AX$625,"",(1000*tech_proj!AX996*(-PMT($J$110,tech_base!$F32,1))+1000*tech_proj!AX1276)/((1-tech_proj!AX436)*tech_proj!AX716*$L$110))</f>
        <v>148.51712711271514</v>
      </c>
      <c r="AY656" s="133"/>
    </row>
    <row r="657" spans="1:51" s="174" customFormat="1" x14ac:dyDescent="0.25">
      <c r="A657" s="356"/>
      <c r="B657" s="376"/>
      <c r="C657" s="361" t="s">
        <v>16</v>
      </c>
      <c r="D657" s="2" t="s">
        <v>7</v>
      </c>
      <c r="E657" s="160" t="str">
        <f>A633&amp;"/"&amp;B649&amp;"/"&amp;C657&amp;"/"&amp;D657</f>
        <v>Coal fired power plants/Fluidized bed combustion/CHP with CCS/L</v>
      </c>
      <c r="F657" s="76" t="str">
        <f>A633</f>
        <v>Coal fired power plants</v>
      </c>
      <c r="G657" s="76" t="str">
        <f>B649</f>
        <v>Fluidized bed combustion</v>
      </c>
      <c r="H657" s="76" t="str">
        <f>C657</f>
        <v>CHP with CCS</v>
      </c>
      <c r="I657" s="161" t="str">
        <f t="shared" si="362"/>
        <v>L</v>
      </c>
      <c r="J657" s="69" t="str">
        <f>IF(tech_base!$T33&gt;J$625,"",(1000*tech_proj!J997*(-PMT($J$110,tech_base!$F33,1))+1000*tech_proj!J1277)/((1-tech_proj!J437)*tech_proj!J717*$L$110))</f>
        <v/>
      </c>
      <c r="K657" s="69" t="str">
        <f>IF(tech_base!$T33&gt;K$625,"",(1000*tech_proj!K997*(-PMT($J$110,tech_base!$F33,1))+1000*tech_proj!K1277)/((1-tech_proj!K437)*tech_proj!K717*$L$110))</f>
        <v/>
      </c>
      <c r="L657" s="69" t="str">
        <f>IF(tech_base!$T33&gt;L$625,"",(1000*tech_proj!L997*(-PMT($J$110,tech_base!$F33,1))+1000*tech_proj!L1277)/((1-tech_proj!L437)*tech_proj!L717*$L$110))</f>
        <v/>
      </c>
      <c r="M657" s="69" t="str">
        <f>IF(tech_base!$T33&gt;M$625,"",(1000*tech_proj!M997*(-PMT($J$110,tech_base!$F33,1))+1000*tech_proj!M1277)/((1-tech_proj!M437)*tech_proj!M717*$L$110))</f>
        <v/>
      </c>
      <c r="N657" s="69" t="str">
        <f>IF(tech_base!$T33&gt;N$625,"",(1000*tech_proj!N997*(-PMT($J$110,tech_base!$F33,1))+1000*tech_proj!N1277)/((1-tech_proj!N437)*tech_proj!N717*$L$110))</f>
        <v/>
      </c>
      <c r="O657" s="69" t="str">
        <f>IF(tech_base!$T33&gt;O$625,"",(1000*tech_proj!O997*(-PMT($J$110,tech_base!$F33,1))+1000*tech_proj!O1277)/((1-tech_proj!O437)*tech_proj!O717*$L$110))</f>
        <v/>
      </c>
      <c r="P657" s="69" t="str">
        <f>IF(tech_base!$T33&gt;P$625,"",(1000*tech_proj!P997*(-PMT($J$110,tech_base!$F33,1))+1000*tech_proj!P1277)/((1-tech_proj!P437)*tech_proj!P717*$L$110))</f>
        <v/>
      </c>
      <c r="Q657" s="69" t="str">
        <f>IF(tech_base!$T33&gt;Q$625,"",(1000*tech_proj!Q997*(-PMT($J$110,tech_base!$F33,1))+1000*tech_proj!Q1277)/((1-tech_proj!Q437)*tech_proj!Q717*$L$110))</f>
        <v/>
      </c>
      <c r="R657" s="69" t="str">
        <f>IF(tech_base!$T33&gt;R$625,"",(1000*tech_proj!R997*(-PMT($J$110,tech_base!$F33,1))+1000*tech_proj!R1277)/((1-tech_proj!R437)*tech_proj!R717*$L$110))</f>
        <v/>
      </c>
      <c r="S657" s="69" t="str">
        <f>IF(tech_base!$T33&gt;S$625,"",(1000*tech_proj!S997*(-PMT($J$110,tech_base!$F33,1))+1000*tech_proj!S1277)/((1-tech_proj!S437)*tech_proj!S717*$L$110))</f>
        <v/>
      </c>
      <c r="T657" s="69" t="str">
        <f>IF(tech_base!$T33&gt;T$625,"",(1000*tech_proj!T997*(-PMT($J$110,tech_base!$F33,1))+1000*tech_proj!T1277)/((1-tech_proj!T437)*tech_proj!T717*$L$110))</f>
        <v/>
      </c>
      <c r="U657" s="69" t="str">
        <f>IF(tech_base!$T33&gt;U$625,"",(1000*tech_proj!U997*(-PMT($J$110,tech_base!$F33,1))+1000*tech_proj!U1277)/((1-tech_proj!U437)*tech_proj!U717*$L$110))</f>
        <v/>
      </c>
      <c r="V657" s="69" t="str">
        <f>IF(tech_base!$T33&gt;V$625,"",(1000*tech_proj!V997*(-PMT($J$110,tech_base!$F33,1))+1000*tech_proj!V1277)/((1-tech_proj!V437)*tech_proj!V717*$L$110))</f>
        <v/>
      </c>
      <c r="W657" s="69" t="str">
        <f>IF(tech_base!$T33&gt;W$625,"",(1000*tech_proj!W997*(-PMT($J$110,tech_base!$F33,1))+1000*tech_proj!W1277)/((1-tech_proj!W437)*tech_proj!W717*$L$110))</f>
        <v/>
      </c>
      <c r="X657" s="69" t="str">
        <f>IF(tech_base!$T33&gt;X$625,"",(1000*tech_proj!X997*(-PMT($J$110,tech_base!$F33,1))+1000*tech_proj!X1277)/((1-tech_proj!X437)*tech_proj!X717*$L$110))</f>
        <v/>
      </c>
      <c r="Y657" s="69" t="str">
        <f>IF(tech_base!$T33&gt;Y$625,"",(1000*tech_proj!Y997*(-PMT($J$110,tech_base!$F33,1))+1000*tech_proj!Y1277)/((1-tech_proj!Y437)*tech_proj!Y717*$L$110))</f>
        <v/>
      </c>
      <c r="Z657" s="69" t="str">
        <f>IF(tech_base!$T33&gt;Z$625,"",(1000*tech_proj!Z997*(-PMT($J$110,tech_base!$F33,1))+1000*tech_proj!Z1277)/((1-tech_proj!Z437)*tech_proj!Z717*$L$110))</f>
        <v/>
      </c>
      <c r="AA657" s="69" t="str">
        <f>IF(tech_base!$T33&gt;AA$625,"",(1000*tech_proj!AA997*(-PMT($J$110,tech_base!$F33,1))+1000*tech_proj!AA1277)/((1-tech_proj!AA437)*tech_proj!AA717*$L$110))</f>
        <v/>
      </c>
      <c r="AB657" s="69" t="str">
        <f>IF(tech_base!$T33&gt;AB$625,"",(1000*tech_proj!AB997*(-PMT($J$110,tech_base!$F33,1))+1000*tech_proj!AB1277)/((1-tech_proj!AB437)*tech_proj!AB717*$L$110))</f>
        <v/>
      </c>
      <c r="AC657" s="69" t="str">
        <f>IF(tech_base!$T33&gt;AC$625,"",(1000*tech_proj!AC997*(-PMT($J$110,tech_base!$F33,1))+1000*tech_proj!AC1277)/((1-tech_proj!AC437)*tech_proj!AC717*$L$110))</f>
        <v/>
      </c>
      <c r="AD657" s="69" t="str">
        <f>IF(tech_base!$T33&gt;AD$625,"",(1000*tech_proj!AD997*(-PMT($J$110,tech_base!$F33,1))+1000*tech_proj!AD1277)/((1-tech_proj!AD437)*tech_proj!AD717*$L$110))</f>
        <v/>
      </c>
      <c r="AE657" s="69">
        <f>IF(tech_base!$T33&gt;AE$625,"",(1000*tech_proj!AE997*(-PMT($J$110,tech_base!$F33,1))+1000*tech_proj!AE1277)/((1-tech_proj!AE437)*tech_proj!AE717*$L$110))</f>
        <v>161.3433109959912</v>
      </c>
      <c r="AF657" s="69">
        <f>IF(tech_base!$T33&gt;AF$625,"",(1000*tech_proj!AF997*(-PMT($J$110,tech_base!$F33,1))+1000*tech_proj!AF1277)/((1-tech_proj!AF437)*tech_proj!AF717*$L$110))</f>
        <v>161.30530163021217</v>
      </c>
      <c r="AG657" s="69">
        <f>IF(tech_base!$T33&gt;AG$625,"",(1000*tech_proj!AG997*(-PMT($J$110,tech_base!$F33,1))+1000*tech_proj!AG1277)/((1-tech_proj!AG437)*tech_proj!AG717*$L$110))</f>
        <v>161.25657332138474</v>
      </c>
      <c r="AH657" s="69">
        <f>IF(tech_base!$T33&gt;AH$625,"",(1000*tech_proj!AH997*(-PMT($J$110,tech_base!$F33,1))+1000*tech_proj!AH1277)/((1-tech_proj!AH437)*tech_proj!AH717*$L$110))</f>
        <v>161.1941310376472</v>
      </c>
      <c r="AI657" s="69">
        <f>IF(tech_base!$T33&gt;AI$625,"",(1000*tech_proj!AI997*(-PMT($J$110,tech_base!$F33,1))+1000*tech_proj!AI1277)/((1-tech_proj!AI437)*tech_proj!AI717*$L$110))</f>
        <v>161.11416078118674</v>
      </c>
      <c r="AJ657" s="69">
        <f>IF(tech_base!$T33&gt;AJ$625,"",(1000*tech_proj!AJ997*(-PMT($J$110,tech_base!$F33,1))+1000*tech_proj!AJ1277)/((1-tech_proj!AJ437)*tech_proj!AJ717*$L$110))</f>
        <v>161.01181714651275</v>
      </c>
      <c r="AK657" s="69">
        <f>IF(tech_base!$T33&gt;AK$625,"",(1000*tech_proj!AK997*(-PMT($J$110,tech_base!$F33,1))+1000*tech_proj!AK1277)/((1-tech_proj!AK437)*tech_proj!AK717*$L$110))</f>
        <v>160.88096318412266</v>
      </c>
      <c r="AL657" s="69">
        <f>IF(tech_base!$T33&gt;AL$625,"",(1000*tech_proj!AL997*(-PMT($J$110,tech_base!$F33,1))+1000*tech_proj!AL1277)/((1-tech_proj!AL437)*tech_proj!AL717*$L$110))</f>
        <v>160.7138567499421</v>
      </c>
      <c r="AM657" s="69">
        <f>IF(tech_base!$T33&gt;AM$625,"",(1000*tech_proj!AM997*(-PMT($J$110,tech_base!$F33,1))+1000*tech_proj!AM1277)/((1-tech_proj!AM437)*tech_proj!AM717*$L$110))</f>
        <v>160.50078037085834</v>
      </c>
      <c r="AN657" s="69">
        <f>IF(tech_base!$T33&gt;AN$625,"",(1000*tech_proj!AN997*(-PMT($J$110,tech_base!$F33,1))+1000*tech_proj!AN1277)/((1-tech_proj!AN437)*tech_proj!AN717*$L$110))</f>
        <v>160.22961770362451</v>
      </c>
      <c r="AO657" s="69">
        <f>IF(tech_base!$T33&gt;AO$625,"",(1000*tech_proj!AO997*(-PMT($J$110,tech_base!$F33,1))+1000*tech_proj!AO1277)/((1-tech_proj!AO437)*tech_proj!AO717*$L$110))</f>
        <v>159.88539082748937</v>
      </c>
      <c r="AP657" s="69">
        <f>IF(tech_base!$T33&gt;AP$625,"",(1000*tech_proj!AP997*(-PMT($J$110,tech_base!$F33,1))+1000*tech_proj!AP1277)/((1-tech_proj!AP437)*tech_proj!AP717*$L$110))</f>
        <v>159.44979150145269</v>
      </c>
      <c r="AQ657" s="69">
        <f>IF(tech_base!$T33&gt;AQ$625,"",(1000*tech_proj!AQ997*(-PMT($J$110,tech_base!$F33,1))+1000*tech_proj!AQ1277)/((1-tech_proj!AQ437)*tech_proj!AQ717*$L$110))</f>
        <v>158.90076930231501</v>
      </c>
      <c r="AR657" s="69">
        <f>IF(tech_base!$T33&gt;AR$625,"",(1000*tech_proj!AR997*(-PMT($J$110,tech_base!$F33,1))+1000*tech_proj!AR1277)/((1-tech_proj!AR437)*tech_proj!AR717*$L$110))</f>
        <v>158.21228329280132</v>
      </c>
      <c r="AS657" s="69">
        <f>IF(tech_base!$T33&gt;AS$625,"",(1000*tech_proj!AS997*(-PMT($J$110,tech_base!$F33,1))+1000*tech_proj!AS1277)/((1-tech_proj!AS437)*tech_proj!AS717*$L$110))</f>
        <v>157.35438275807712</v>
      </c>
      <c r="AT657" s="69">
        <f>IF(tech_base!$T33&gt;AT$625,"",(1000*tech_proj!AT997*(-PMT($J$110,tech_base!$F33,1))+1000*tech_proj!AT1277)/((1-tech_proj!AT437)*tech_proj!AT717*$L$110))</f>
        <v>156.29385245610973</v>
      </c>
      <c r="AU657" s="69">
        <f>IF(tech_base!$T33&gt;AU$625,"",(1000*tech_proj!AU997*(-PMT($J$110,tech_base!$F33,1))+1000*tech_proj!AU1277)/((1-tech_proj!AU437)*tech_proj!AU717*$L$110))</f>
        <v>154.99572344187774</v>
      </c>
      <c r="AV657" s="69">
        <f>IF(tech_base!$T33&gt;AV$625,"",(1000*tech_proj!AV997*(-PMT($J$110,tech_base!$F33,1))+1000*tech_proj!AV1277)/((1-tech_proj!AV437)*tech_proj!AV717*$L$110))</f>
        <v>153.42597781284451</v>
      </c>
      <c r="AW657" s="69">
        <f>IF(tech_base!$T33&gt;AW$625,"",(1000*tech_proj!AW997*(-PMT($J$110,tech_base!$F33,1))+1000*tech_proj!AW1277)/((1-tech_proj!AW437)*tech_proj!AW717*$L$110))</f>
        <v>151.5557064173932</v>
      </c>
      <c r="AX657" s="235">
        <f>IF(tech_base!$T33&gt;AX$625,"",(1000*tech_proj!AX997*(-PMT($J$110,tech_base!$F33,1))+1000*tech_proj!AX1277)/((1-tech_proj!AX437)*tech_proj!AX717*$L$110))</f>
        <v>149.36673614117089</v>
      </c>
      <c r="AY657" s="133"/>
    </row>
    <row r="658" spans="1:51" s="174" customFormat="1" x14ac:dyDescent="0.25">
      <c r="A658" s="356"/>
      <c r="B658" s="380"/>
      <c r="C658" s="381"/>
      <c r="D658" s="4" t="s">
        <v>8</v>
      </c>
      <c r="E658" s="168" t="str">
        <f>A633&amp;"/"&amp;B649&amp;"/"&amp;C657&amp;"/"&amp;D658</f>
        <v>Coal fired power plants/Fluidized bed combustion/CHP with CCS/M</v>
      </c>
      <c r="F658" s="80" t="str">
        <f>A633</f>
        <v>Coal fired power plants</v>
      </c>
      <c r="G658" s="80" t="str">
        <f>B649</f>
        <v>Fluidized bed combustion</v>
      </c>
      <c r="H658" s="80" t="str">
        <f>C657</f>
        <v>CHP with CCS</v>
      </c>
      <c r="I658" s="169" t="str">
        <f t="shared" si="362"/>
        <v>M</v>
      </c>
      <c r="J658" s="73" t="str">
        <f>IF(tech_base!$T34&gt;J$625,"",(1000*tech_proj!J998*(-PMT($J$110,tech_base!$F34,1))+1000*tech_proj!J1278)/((1-tech_proj!J438)*tech_proj!J718*$L$110))</f>
        <v/>
      </c>
      <c r="K658" s="73" t="str">
        <f>IF(tech_base!$T34&gt;K$625,"",(1000*tech_proj!K998*(-PMT($J$110,tech_base!$F34,1))+1000*tech_proj!K1278)/((1-tech_proj!K438)*tech_proj!K718*$L$110))</f>
        <v/>
      </c>
      <c r="L658" s="73" t="str">
        <f>IF(tech_base!$T34&gt;L$625,"",(1000*tech_proj!L998*(-PMT($J$110,tech_base!$F34,1))+1000*tech_proj!L1278)/((1-tech_proj!L438)*tech_proj!L718*$L$110))</f>
        <v/>
      </c>
      <c r="M658" s="73" t="str">
        <f>IF(tech_base!$T34&gt;M$625,"",(1000*tech_proj!M998*(-PMT($J$110,tech_base!$F34,1))+1000*tech_proj!M1278)/((1-tech_proj!M438)*tech_proj!M718*$L$110))</f>
        <v/>
      </c>
      <c r="N658" s="73" t="str">
        <f>IF(tech_base!$T34&gt;N$625,"",(1000*tech_proj!N998*(-PMT($J$110,tech_base!$F34,1))+1000*tech_proj!N1278)/((1-tech_proj!N438)*tech_proj!N718*$L$110))</f>
        <v/>
      </c>
      <c r="O658" s="73" t="str">
        <f>IF(tech_base!$T34&gt;O$625,"",(1000*tech_proj!O998*(-PMT($J$110,tech_base!$F34,1))+1000*tech_proj!O1278)/((1-tech_proj!O438)*tech_proj!O718*$L$110))</f>
        <v/>
      </c>
      <c r="P658" s="73" t="str">
        <f>IF(tech_base!$T34&gt;P$625,"",(1000*tech_proj!P998*(-PMT($J$110,tech_base!$F34,1))+1000*tech_proj!P1278)/((1-tech_proj!P438)*tech_proj!P718*$L$110))</f>
        <v/>
      </c>
      <c r="Q658" s="73" t="str">
        <f>IF(tech_base!$T34&gt;Q$625,"",(1000*tech_proj!Q998*(-PMT($J$110,tech_base!$F34,1))+1000*tech_proj!Q1278)/((1-tech_proj!Q438)*tech_proj!Q718*$L$110))</f>
        <v/>
      </c>
      <c r="R658" s="73" t="str">
        <f>IF(tech_base!$T34&gt;R$625,"",(1000*tech_proj!R998*(-PMT($J$110,tech_base!$F34,1))+1000*tech_proj!R1278)/((1-tech_proj!R438)*tech_proj!R718*$L$110))</f>
        <v/>
      </c>
      <c r="S658" s="73" t="str">
        <f>IF(tech_base!$T34&gt;S$625,"",(1000*tech_proj!S998*(-PMT($J$110,tech_base!$F34,1))+1000*tech_proj!S1278)/((1-tech_proj!S438)*tech_proj!S718*$L$110))</f>
        <v/>
      </c>
      <c r="T658" s="73" t="str">
        <f>IF(tech_base!$T34&gt;T$625,"",(1000*tech_proj!T998*(-PMT($J$110,tech_base!$F34,1))+1000*tech_proj!T1278)/((1-tech_proj!T438)*tech_proj!T718*$L$110))</f>
        <v/>
      </c>
      <c r="U658" s="73" t="str">
        <f>IF(tech_base!$T34&gt;U$625,"",(1000*tech_proj!U998*(-PMT($J$110,tech_base!$F34,1))+1000*tech_proj!U1278)/((1-tech_proj!U438)*tech_proj!U718*$L$110))</f>
        <v/>
      </c>
      <c r="V658" s="73" t="str">
        <f>IF(tech_base!$T34&gt;V$625,"",(1000*tech_proj!V998*(-PMT($J$110,tech_base!$F34,1))+1000*tech_proj!V1278)/((1-tech_proj!V438)*tech_proj!V718*$L$110))</f>
        <v/>
      </c>
      <c r="W658" s="73" t="str">
        <f>IF(tech_base!$T34&gt;W$625,"",(1000*tech_proj!W998*(-PMT($J$110,tech_base!$F34,1))+1000*tech_proj!W1278)/((1-tech_proj!W438)*tech_proj!W718*$L$110))</f>
        <v/>
      </c>
      <c r="X658" s="73" t="str">
        <f>IF(tech_base!$T34&gt;X$625,"",(1000*tech_proj!X998*(-PMT($J$110,tech_base!$F34,1))+1000*tech_proj!X1278)/((1-tech_proj!X438)*tech_proj!X718*$L$110))</f>
        <v/>
      </c>
      <c r="Y658" s="73" t="str">
        <f>IF(tech_base!$T34&gt;Y$625,"",(1000*tech_proj!Y998*(-PMT($J$110,tech_base!$F34,1))+1000*tech_proj!Y1278)/((1-tech_proj!Y438)*tech_proj!Y718*$L$110))</f>
        <v/>
      </c>
      <c r="Z658" s="73" t="str">
        <f>IF(tech_base!$T34&gt;Z$625,"",(1000*tech_proj!Z998*(-PMT($J$110,tech_base!$F34,1))+1000*tech_proj!Z1278)/((1-tech_proj!Z438)*tech_proj!Z718*$L$110))</f>
        <v/>
      </c>
      <c r="AA658" s="73" t="str">
        <f>IF(tech_base!$T34&gt;AA$625,"",(1000*tech_proj!AA998*(-PMT($J$110,tech_base!$F34,1))+1000*tech_proj!AA1278)/((1-tech_proj!AA438)*tech_proj!AA718*$L$110))</f>
        <v/>
      </c>
      <c r="AB658" s="73" t="str">
        <f>IF(tech_base!$T34&gt;AB$625,"",(1000*tech_proj!AB998*(-PMT($J$110,tech_base!$F34,1))+1000*tech_proj!AB1278)/((1-tech_proj!AB438)*tech_proj!AB718*$L$110))</f>
        <v/>
      </c>
      <c r="AC658" s="73" t="str">
        <f>IF(tech_base!$T34&gt;AC$625,"",(1000*tech_proj!AC998*(-PMT($J$110,tech_base!$F34,1))+1000*tech_proj!AC1278)/((1-tech_proj!AC438)*tech_proj!AC718*$L$110))</f>
        <v/>
      </c>
      <c r="AD658" s="73" t="str">
        <f>IF(tech_base!$T34&gt;AD$625,"",(1000*tech_proj!AD998*(-PMT($J$110,tech_base!$F34,1))+1000*tech_proj!AD1278)/((1-tech_proj!AD438)*tech_proj!AD718*$L$110))</f>
        <v/>
      </c>
      <c r="AE658" s="73">
        <f>IF(tech_base!$T34&gt;AE$625,"",(1000*tech_proj!AE998*(-PMT($J$110,tech_base!$F34,1))+1000*tech_proj!AE1278)/((1-tech_proj!AE438)*tech_proj!AE718*$L$110))</f>
        <v>181.76255852655117</v>
      </c>
      <c r="AF658" s="73">
        <f>IF(tech_base!$T34&gt;AF$625,"",(1000*tech_proj!AF998*(-PMT($J$110,tech_base!$F34,1))+1000*tech_proj!AF1278)/((1-tech_proj!AF438)*tech_proj!AF718*$L$110))</f>
        <v>181.71616725198706</v>
      </c>
      <c r="AG658" s="73">
        <f>IF(tech_base!$T34&gt;AG$625,"",(1000*tech_proj!AG998*(-PMT($J$110,tech_base!$F34,1))+1000*tech_proj!AG1278)/((1-tech_proj!AG438)*tech_proj!AG718*$L$110))</f>
        <v>181.65669326952178</v>
      </c>
      <c r="AH658" s="73">
        <f>IF(tech_base!$T34&gt;AH$625,"",(1000*tech_proj!AH998*(-PMT($J$110,tech_base!$F34,1))+1000*tech_proj!AH1278)/((1-tech_proj!AH438)*tech_proj!AH718*$L$110))</f>
        <v>181.58048107629233</v>
      </c>
      <c r="AI658" s="73">
        <f>IF(tech_base!$T34&gt;AI$625,"",(1000*tech_proj!AI998*(-PMT($J$110,tech_base!$F34,1))+1000*tech_proj!AI1278)/((1-tech_proj!AI438)*tech_proj!AI718*$L$110))</f>
        <v>181.48287560331534</v>
      </c>
      <c r="AJ658" s="73">
        <f>IF(tech_base!$T34&gt;AJ$625,"",(1000*tech_proj!AJ998*(-PMT($J$110,tech_base!$F34,1))+1000*tech_proj!AJ1278)/((1-tech_proj!AJ438)*tech_proj!AJ718*$L$110))</f>
        <v>181.35796292564387</v>
      </c>
      <c r="AK658" s="73">
        <f>IF(tech_base!$T34&gt;AK$625,"",(1000*tech_proj!AK998*(-PMT($J$110,tech_base!$F34,1))+1000*tech_proj!AK1278)/((1-tech_proj!AK438)*tech_proj!AK718*$L$110))</f>
        <v>181.19825276019853</v>
      </c>
      <c r="AL658" s="73">
        <f>IF(tech_base!$T34&gt;AL$625,"",(1000*tech_proj!AL998*(-PMT($J$110,tech_base!$F34,1))+1000*tech_proj!AL1278)/((1-tech_proj!AL438)*tech_proj!AL718*$L$110))</f>
        <v>180.99429564829688</v>
      </c>
      <c r="AM658" s="73">
        <f>IF(tech_base!$T34&gt;AM$625,"",(1000*tech_proj!AM998*(-PMT($J$110,tech_base!$F34,1))+1000*tech_proj!AM1278)/((1-tech_proj!AM438)*tech_proj!AM718*$L$110))</f>
        <v>180.73423119832239</v>
      </c>
      <c r="AN658" s="73">
        <f>IF(tech_base!$T34&gt;AN$625,"",(1000*tech_proj!AN998*(-PMT($J$110,tech_base!$F34,1))+1000*tech_proj!AN1278)/((1-tech_proj!AN438)*tech_proj!AN718*$L$110))</f>
        <v>180.40327114441575</v>
      </c>
      <c r="AO658" s="73">
        <f>IF(tech_base!$T34&gt;AO$625,"",(1000*tech_proj!AO998*(-PMT($J$110,tech_base!$F34,1))+1000*tech_proj!AO1278)/((1-tech_proj!AO438)*tech_proj!AO718*$L$110))</f>
        <v>179.98313460186009</v>
      </c>
      <c r="AP658" s="73">
        <f>IF(tech_base!$T34&gt;AP$625,"",(1000*tech_proj!AP998*(-PMT($J$110,tech_base!$F34,1))+1000*tech_proj!AP1278)/((1-tech_proj!AP438)*tech_proj!AP718*$L$110))</f>
        <v>179.45147595615686</v>
      </c>
      <c r="AQ658" s="73">
        <f>IF(tech_base!$T34&gt;AQ$625,"",(1000*tech_proj!AQ998*(-PMT($J$110,tech_base!$F34,1))+1000*tech_proj!AQ1278)/((1-tech_proj!AQ438)*tech_proj!AQ718*$L$110))</f>
        <v>178.78138217637462</v>
      </c>
      <c r="AR658" s="73">
        <f>IF(tech_base!$T34&gt;AR$625,"",(1000*tech_proj!AR998*(-PMT($J$110,tech_base!$F34,1))+1000*tech_proj!AR1278)/((1-tech_proj!AR438)*tech_proj!AR718*$L$110))</f>
        <v>177.94106972058171</v>
      </c>
      <c r="AS658" s="73">
        <f>IF(tech_base!$T34&gt;AS$625,"",(1000*tech_proj!AS998*(-PMT($J$110,tech_base!$F34,1))+1000*tech_proj!AS1278)/((1-tech_proj!AS438)*tech_proj!AS718*$L$110))</f>
        <v>176.89398307655631</v>
      </c>
      <c r="AT658" s="73">
        <f>IF(tech_base!$T34&gt;AT$625,"",(1000*tech_proj!AT998*(-PMT($J$110,tech_base!$F34,1))+1000*tech_proj!AT1278)/((1-tech_proj!AT438)*tech_proj!AT718*$L$110))</f>
        <v>175.59958230417379</v>
      </c>
      <c r="AU658" s="73">
        <f>IF(tech_base!$T34&gt;AU$625,"",(1000*tech_proj!AU998*(-PMT($J$110,tech_base!$F34,1))+1000*tech_proj!AU1278)/((1-tech_proj!AU438)*tech_proj!AU718*$L$110))</f>
        <v>174.01518702988807</v>
      </c>
      <c r="AV658" s="73">
        <f>IF(tech_base!$T34&gt;AV$625,"",(1000*tech_proj!AV998*(-PMT($J$110,tech_base!$F34,1))+1000*tech_proj!AV1278)/((1-tech_proj!AV438)*tech_proj!AV718*$L$110))</f>
        <v>172.09927764861416</v>
      </c>
      <c r="AW658" s="73">
        <f>IF(tech_base!$T34&gt;AW$625,"",(1000*tech_proj!AW998*(-PMT($J$110,tech_base!$F34,1))+1000*tech_proj!AW1278)/((1-tech_proj!AW438)*tech_proj!AW718*$L$110))</f>
        <v>169.81656989915524</v>
      </c>
      <c r="AX658" s="239">
        <f>IF(tech_base!$T34&gt;AX$625,"",(1000*tech_proj!AX998*(-PMT($J$110,tech_base!$F34,1))+1000*tech_proj!AX1278)/((1-tech_proj!AX438)*tech_proj!AX718*$L$110))</f>
        <v>167.14488309208508</v>
      </c>
      <c r="AY658" s="133"/>
    </row>
    <row r="659" spans="1:51" s="174" customFormat="1" x14ac:dyDescent="0.25">
      <c r="A659" s="356"/>
      <c r="B659" s="358" t="s">
        <v>19</v>
      </c>
      <c r="C659" s="353" t="s">
        <v>6</v>
      </c>
      <c r="D659" s="3" t="s">
        <v>7</v>
      </c>
      <c r="E659" s="162" t="str">
        <f>A633&amp;"/"&amp;B659&amp;"/"&amp;C659&amp;"/"&amp;D659</f>
        <v>Coal fired power plants/Steam turbine/Electricity only/L</v>
      </c>
      <c r="F659" s="77" t="str">
        <f>A633</f>
        <v>Coal fired power plants</v>
      </c>
      <c r="G659" s="77" t="str">
        <f>B659</f>
        <v>Steam turbine</v>
      </c>
      <c r="H659" s="77" t="str">
        <f>C659</f>
        <v>Electricity only</v>
      </c>
      <c r="I659" s="163" t="str">
        <f t="shared" si="362"/>
        <v>L</v>
      </c>
      <c r="J659" s="70">
        <f>IF(tech_base!$T35&gt;J$625,"",(1000*tech_proj!J999*(-PMT($J$110,tech_base!$F35,1))+1000*tech_proj!J1279)/((1-tech_proj!J439)*tech_proj!J719*$L$110))</f>
        <v>42.885047375025735</v>
      </c>
      <c r="K659" s="70">
        <f>IF(tech_base!$T35&gt;K$625,"",(1000*tech_proj!K999*(-PMT($J$110,tech_base!$F35,1))+1000*tech_proj!K1279)/((1-tech_proj!K439)*tech_proj!K719*$L$110))</f>
        <v>42.961296643895516</v>
      </c>
      <c r="L659" s="70">
        <f>IF(tech_base!$T35&gt;L$625,"",(1000*tech_proj!L999*(-PMT($J$110,tech_base!$F35,1))+1000*tech_proj!L1279)/((1-tech_proj!L439)*tech_proj!L719*$L$110))</f>
        <v>43.037590378054617</v>
      </c>
      <c r="M659" s="70">
        <f>IF(tech_base!$T35&gt;M$625,"",(1000*tech_proj!M999*(-PMT($J$110,tech_base!$F35,1))+1000*tech_proj!M1279)/((1-tech_proj!M439)*tech_proj!M719*$L$110))</f>
        <v>43.113889254904812</v>
      </c>
      <c r="N659" s="70">
        <f>IF(tech_base!$T35&gt;N$625,"",(1000*tech_proj!N999*(-PMT($J$110,tech_base!$F35,1))+1000*tech_proj!N1279)/((1-tech_proj!N439)*tech_proj!N719*$L$110))</f>
        <v>43.190154109752072</v>
      </c>
      <c r="O659" s="70">
        <f>IF(tech_base!$T35&gt;O$625,"",(1000*tech_proj!O999*(-PMT($J$110,tech_base!$F35,1))+1000*tech_proj!O1279)/((1-tech_proj!O439)*tech_proj!O719*$L$110))</f>
        <v>43.266346012416506</v>
      </c>
      <c r="P659" s="70">
        <f>IF(tech_base!$T35&gt;P$625,"",(1000*tech_proj!P999*(-PMT($J$110,tech_base!$F35,1))+1000*tech_proj!P1279)/((1-tech_proj!P439)*tech_proj!P719*$L$110))</f>
        <v>43.342426342424474</v>
      </c>
      <c r="Q659" s="70">
        <f>IF(tech_base!$T35&gt;Q$625,"",(1000*tech_proj!Q999*(-PMT($J$110,tech_base!$F35,1))+1000*tech_proj!Q1279)/((1-tech_proj!Q439)*tech_proj!Q719*$L$110))</f>
        <v>43.418356862491791</v>
      </c>
      <c r="R659" s="70">
        <f>IF(tech_base!$T35&gt;R$625,"",(1000*tech_proj!R999*(-PMT($J$110,tech_base!$F35,1))+1000*tech_proj!R1279)/((1-tech_proj!R439)*tech_proj!R719*$L$110))</f>
        <v>43.494099790021409</v>
      </c>
      <c r="S659" s="70">
        <f>IF(tech_base!$T35&gt;S$625,"",(1000*tech_proj!S999*(-PMT($J$110,tech_base!$F35,1))+1000*tech_proj!S1279)/((1-tech_proj!S439)*tech_proj!S719*$L$110))</f>
        <v>43.569617866353802</v>
      </c>
      <c r="T659" s="70">
        <f>IF(tech_base!$T35&gt;T$625,"",(1000*tech_proj!T999*(-PMT($J$110,tech_base!$F35,1))+1000*tech_proj!T1279)/((1-tech_proj!T439)*tech_proj!T719*$L$110))</f>
        <v>43.644874423525295</v>
      </c>
      <c r="U659" s="70">
        <f>IF(tech_base!$T35&gt;U$625,"",(1000*tech_proj!U999*(-PMT($J$110,tech_base!$F35,1))+1000*tech_proj!U1279)/((1-tech_proj!U439)*tech_proj!U719*$L$110))</f>
        <v>43.719833448307405</v>
      </c>
      <c r="V659" s="70">
        <f>IF(tech_base!$T35&gt;V$625,"",(1000*tech_proj!V999*(-PMT($J$110,tech_base!$F35,1))+1000*tech_proj!V1279)/((1-tech_proj!V439)*tech_proj!V719*$L$110))</f>
        <v>43.794459643319989</v>
      </c>
      <c r="W659" s="70">
        <f>IF(tech_base!$T35&gt;W$625,"",(1000*tech_proj!W999*(-PMT($J$110,tech_base!$F35,1))+1000*tech_proj!W1279)/((1-tech_proj!W439)*tech_proj!W719*$L$110))</f>
        <v>43.86871848503052</v>
      </c>
      <c r="X659" s="70">
        <f>IF(tech_base!$T35&gt;X$625,"",(1000*tech_proj!X999*(-PMT($J$110,tech_base!$F35,1))+1000*tech_proj!X1279)/((1-tech_proj!X439)*tech_proj!X719*$L$110))</f>
        <v>43.942576278473311</v>
      </c>
      <c r="Y659" s="70">
        <f>IF(tech_base!$T35&gt;Y$625,"",(1000*tech_proj!Y999*(-PMT($J$110,tech_base!$F35,1))+1000*tech_proj!Y1279)/((1-tech_proj!Y439)*tech_proj!Y719*$L$110))</f>
        <v>44.016000208543467</v>
      </c>
      <c r="Z659" s="70">
        <f>IF(tech_base!$T35&gt;Z$625,"",(1000*tech_proj!Z999*(-PMT($J$110,tech_base!$F35,1))+1000*tech_proj!Z1279)/((1-tech_proj!Z439)*tech_proj!Z719*$L$110))</f>
        <v>44.08895838774253</v>
      </c>
      <c r="AA659" s="70">
        <f>IF(tech_base!$T35&gt;AA$625,"",(1000*tech_proj!AA999*(-PMT($J$110,tech_base!$F35,1))+1000*tech_proj!AA1279)/((1-tech_proj!AA439)*tech_proj!AA719*$L$110))</f>
        <v>44.161419900274467</v>
      </c>
      <c r="AB659" s="70">
        <f>IF(tech_base!$T35&gt;AB$625,"",(1000*tech_proj!AB999*(-PMT($J$110,tech_base!$F35,1))+1000*tech_proj!AB1279)/((1-tech_proj!AB439)*tech_proj!AB719*$L$110))</f>
        <v>44.233354842412602</v>
      </c>
      <c r="AC659" s="70">
        <f>IF(tech_base!$T35&gt;AC$625,"",(1000*tech_proj!AC999*(-PMT($J$110,tech_base!$F35,1))+1000*tech_proj!AC1279)/((1-tech_proj!AC439)*tech_proj!AC719*$L$110))</f>
        <v>44.304734359080051</v>
      </c>
      <c r="AD659" s="70">
        <f>IF(tech_base!$T35&gt;AD$625,"",(1000*tech_proj!AD999*(-PMT($J$110,tech_base!$F35,1))+1000*tech_proj!AD1279)/((1-tech_proj!AD439)*tech_proj!AD719*$L$110))</f>
        <v>44.375530676607013</v>
      </c>
      <c r="AE659" s="70">
        <f>IF(tech_base!$T35&gt;AE$625,"",(1000*tech_proj!AE999*(-PMT($J$110,tech_base!$F35,1))+1000*tech_proj!AE1279)/((1-tech_proj!AE439)*tech_proj!AE719*$L$110))</f>
        <v>44.445717131649765</v>
      </c>
      <c r="AF659" s="70">
        <f>IF(tech_base!$T35&gt;AF$625,"",(1000*tech_proj!AF999*(-PMT($J$110,tech_base!$F35,1))+1000*tech_proj!AF1279)/((1-tech_proj!AF439)*tech_proj!AF719*$L$110))</f>
        <v>44.515268196275642</v>
      </c>
      <c r="AG659" s="70">
        <f>IF(tech_base!$T35&gt;AG$625,"",(1000*tech_proj!AG999*(-PMT($J$110,tech_base!$F35,1))+1000*tech_proj!AG1279)/((1-tech_proj!AG439)*tech_proj!AG719*$L$110))</f>
        <v>44.584159499237906</v>
      </c>
      <c r="AH659" s="70">
        <f>IF(tech_base!$T35&gt;AH$625,"",(1000*tech_proj!AH999*(-PMT($J$110,tech_base!$F35,1))+1000*tech_proj!AH1279)/((1-tech_proj!AH439)*tech_proj!AH719*$L$110))</f>
        <v>44.652367843482928</v>
      </c>
      <c r="AI659" s="70">
        <f>IF(tech_base!$T35&gt;AI$625,"",(1000*tech_proj!AI999*(-PMT($J$110,tech_base!$F35,1))+1000*tech_proj!AI1279)/((1-tech_proj!AI439)*tech_proj!AI719*$L$110))</f>
        <v>44.719871219948828</v>
      </c>
      <c r="AJ659" s="70">
        <f>IF(tech_base!$T35&gt;AJ$625,"",(1000*tech_proj!AJ999*(-PMT($J$110,tech_base!$F35,1))+1000*tech_proj!AJ1279)/((1-tech_proj!AJ439)*tech_proj!AJ719*$L$110))</f>
        <v>44.78664881773156</v>
      </c>
      <c r="AK659" s="70">
        <f>IF(tech_base!$T35&gt;AK$625,"",(1000*tech_proj!AK999*(-PMT($J$110,tech_base!$F35,1))+1000*tech_proj!AK1279)/((1-tech_proj!AK439)*tech_proj!AK719*$L$110))</f>
        <v>44.852681030709057</v>
      </c>
      <c r="AL659" s="70">
        <f>IF(tech_base!$T35&gt;AL$625,"",(1000*tech_proj!AL999*(-PMT($J$110,tech_base!$F35,1))+1000*tech_proj!AL1279)/((1-tech_proj!AL439)*tech_proj!AL719*$L$110))</f>
        <v>44.917949460727797</v>
      </c>
      <c r="AM659" s="70">
        <f>IF(tech_base!$T35&gt;AM$625,"",(1000*tech_proj!AM999*(-PMT($J$110,tech_base!$F35,1))+1000*tech_proj!AM1279)/((1-tech_proj!AM439)*tech_proj!AM719*$L$110))</f>
        <v>44.98243691746859</v>
      </c>
      <c r="AN659" s="70">
        <f>IF(tech_base!$T35&gt;AN$625,"",(1000*tech_proj!AN999*(-PMT($J$110,tech_base!$F35,1))+1000*tech_proj!AN1279)/((1-tech_proj!AN439)*tech_proj!AN719*$L$110))</f>
        <v>45.046127415119685</v>
      </c>
      <c r="AO659" s="70">
        <f>IF(tech_base!$T35&gt;AO$625,"",(1000*tech_proj!AO999*(-PMT($J$110,tech_base!$F35,1))+1000*tech_proj!AO1279)/((1-tech_proj!AO439)*tech_proj!AO719*$L$110))</f>
        <v>45.109006165994835</v>
      </c>
      <c r="AP659" s="70">
        <f>IF(tech_base!$T35&gt;AP$625,"",(1000*tech_proj!AP999*(-PMT($J$110,tech_base!$F35,1))+1000*tech_proj!AP1279)/((1-tech_proj!AP439)*tech_proj!AP719*$L$110))</f>
        <v>45.171059571242374</v>
      </c>
      <c r="AQ659" s="70">
        <f>IF(tech_base!$T35&gt;AQ$625,"",(1000*tech_proj!AQ999*(-PMT($J$110,tech_base!$F35,1))+1000*tech_proj!AQ1279)/((1-tech_proj!AQ439)*tech_proj!AQ719*$L$110))</f>
        <v>45.232275208798661</v>
      </c>
      <c r="AR659" s="70">
        <f>IF(tech_base!$T35&gt;AR$625,"",(1000*tech_proj!AR999*(-PMT($J$110,tech_base!$F35,1))+1000*tech_proj!AR1279)/((1-tech_proj!AR439)*tech_proj!AR719*$L$110))</f>
        <v>45.292641818744833</v>
      </c>
      <c r="AS659" s="70">
        <f>IF(tech_base!$T35&gt;AS$625,"",(1000*tech_proj!AS999*(-PMT($J$110,tech_base!$F35,1))+1000*tech_proj!AS1279)/((1-tech_proj!AS439)*tech_proj!AS719*$L$110))</f>
        <v>45.352149286230492</v>
      </c>
      <c r="AT659" s="70">
        <f>IF(tech_base!$T35&gt;AT$625,"",(1000*tech_proj!AT999*(-PMT($J$110,tech_base!$F35,1))+1000*tech_proj!AT1279)/((1-tech_proj!AT439)*tech_proj!AT719*$L$110))</f>
        <v>45.41078862213115</v>
      </c>
      <c r="AU659" s="70">
        <f>IF(tech_base!$T35&gt;AU$625,"",(1000*tech_proj!AU999*(-PMT($J$110,tech_base!$F35,1))+1000*tech_proj!AU1279)/((1-tech_proj!AU439)*tech_proj!AU719*$L$110))</f>
        <v>45.468551941608311</v>
      </c>
      <c r="AV659" s="70">
        <f>IF(tech_base!$T35&gt;AV$625,"",(1000*tech_proj!AV999*(-PMT($J$110,tech_base!$F35,1))+1000*tech_proj!AV1279)/((1-tech_proj!AV439)*tech_proj!AV719*$L$110))</f>
        <v>45.525432440742271</v>
      </c>
      <c r="AW659" s="70">
        <f>IF(tech_base!$T35&gt;AW$625,"",(1000*tech_proj!AW999*(-PMT($J$110,tech_base!$F35,1))+1000*tech_proj!AW1279)/((1-tech_proj!AW439)*tech_proj!AW719*$L$110))</f>
        <v>45.581424371407579</v>
      </c>
      <c r="AX659" s="236">
        <f>IF(tech_base!$T35&gt;AX$625,"",(1000*tech_proj!AX999*(-PMT($J$110,tech_base!$F35,1))+1000*tech_proj!AX1279)/((1-tech_proj!AX439)*tech_proj!AX719*$L$110))</f>
        <v>45.63652301455982</v>
      </c>
      <c r="AY659" s="133"/>
    </row>
    <row r="660" spans="1:51" s="174" customFormat="1" x14ac:dyDescent="0.25">
      <c r="A660" s="356"/>
      <c r="B660" s="376"/>
      <c r="C660" s="378"/>
      <c r="D660" s="2" t="s">
        <v>8</v>
      </c>
      <c r="E660" s="160" t="str">
        <f>A633&amp;"/"&amp;B659&amp;"/"&amp;C659&amp;"/"&amp;D660</f>
        <v>Coal fired power plants/Steam turbine/Electricity only/M</v>
      </c>
      <c r="F660" s="76" t="str">
        <f>A633</f>
        <v>Coal fired power plants</v>
      </c>
      <c r="G660" s="76" t="str">
        <f>B659</f>
        <v>Steam turbine</v>
      </c>
      <c r="H660" s="76" t="str">
        <f>C659</f>
        <v>Electricity only</v>
      </c>
      <c r="I660" s="161" t="str">
        <f t="shared" si="362"/>
        <v>M</v>
      </c>
      <c r="J660" s="69">
        <f>IF(tech_base!$T36&gt;J$625,"",(1000*tech_proj!J1000*(-PMT($J$110,tech_base!$F36,1))+1000*tech_proj!J1280)/((1-tech_proj!J440)*tech_proj!J720*$L$110))</f>
        <v>46.458877433134049</v>
      </c>
      <c r="K660" s="69">
        <f>IF(tech_base!$T36&gt;K$625,"",(1000*tech_proj!K1000*(-PMT($J$110,tech_base!$F36,1))+1000*tech_proj!K1280)/((1-tech_proj!K440)*tech_proj!K720*$L$110))</f>
        <v>46.524960241079846</v>
      </c>
      <c r="L660" s="69">
        <f>IF(tech_base!$T36&gt;L$625,"",(1000*tech_proj!L1000*(-PMT($J$110,tech_base!$F36,1))+1000*tech_proj!L1280)/((1-tech_proj!L440)*tech_proj!L720*$L$110))</f>
        <v>46.591081585672825</v>
      </c>
      <c r="M660" s="69">
        <f>IF(tech_base!$T36&gt;M$625,"",(1000*tech_proj!M1000*(-PMT($J$110,tech_base!$F36,1))+1000*tech_proj!M1280)/((1-tech_proj!M440)*tech_proj!M720*$L$110))</f>
        <v>46.657207387272088</v>
      </c>
      <c r="N660" s="69">
        <f>IF(tech_base!$T36&gt;N$625,"",(1000*tech_proj!N1000*(-PMT($J$110,tech_base!$F36,1))+1000*tech_proj!N1280)/((1-tech_proj!N440)*tech_proj!N720*$L$110))</f>
        <v>46.72330370308714</v>
      </c>
      <c r="O660" s="69">
        <f>IF(tech_base!$T36&gt;O$625,"",(1000*tech_proj!O1000*(-PMT($J$110,tech_base!$F36,1))+1000*tech_proj!O1280)/((1-tech_proj!O440)*tech_proj!O720*$L$110))</f>
        <v>46.789336793573504</v>
      </c>
      <c r="P660" s="69">
        <f>IF(tech_base!$T36&gt;P$625,"",(1000*tech_proj!P1000*(-PMT($J$110,tech_base!$F36,1))+1000*tech_proj!P1280)/((1-tech_proj!P440)*tech_proj!P720*$L$110))</f>
        <v>46.855273187599202</v>
      </c>
      <c r="Q660" s="69">
        <f>IF(tech_base!$T36&gt;Q$625,"",(1000*tech_proj!Q1000*(-PMT($J$110,tech_base!$F36,1))+1000*tech_proj!Q1280)/((1-tech_proj!Q440)*tech_proj!Q720*$L$110))</f>
        <v>46.921079746130289</v>
      </c>
      <c r="R660" s="69">
        <f>IF(tech_base!$T36&gt;R$625,"",(1000*tech_proj!R1000*(-PMT($J$110,tech_base!$F36,1))+1000*tech_proj!R1280)/((1-tech_proj!R440)*tech_proj!R720*$L$110))</f>
        <v>46.986723724195699</v>
      </c>
      <c r="S660" s="69">
        <f>IF(tech_base!$T36&gt;S$625,"",(1000*tech_proj!S1000*(-PMT($J$110,tech_base!$F36,1))+1000*tech_proj!S1280)/((1-tech_proj!S440)*tech_proj!S720*$L$110))</f>
        <v>47.052172830904276</v>
      </c>
      <c r="T660" s="69">
        <f>IF(tech_base!$T36&gt;T$625,"",(1000*tech_proj!T1000*(-PMT($J$110,tech_base!$F36,1))+1000*tech_proj!T1280)/((1-tech_proj!T440)*tech_proj!T720*$L$110))</f>
        <v>47.117395287302081</v>
      </c>
      <c r="U660" s="69">
        <f>IF(tech_base!$T36&gt;U$625,"",(1000*tech_proj!U1000*(-PMT($J$110,tech_base!$F36,1))+1000*tech_proj!U1280)/((1-tech_proj!U440)*tech_proj!U720*$L$110))</f>
        <v>47.182359881873339</v>
      </c>
      <c r="V660" s="69">
        <f>IF(tech_base!$T36&gt;V$625,"",(1000*tech_proj!V1000*(-PMT($J$110,tech_base!$F36,1))+1000*tech_proj!V1280)/((1-tech_proj!V440)*tech_proj!V720*$L$110))</f>
        <v>47.247036023505117</v>
      </c>
      <c r="W660" s="69">
        <f>IF(tech_base!$T36&gt;W$625,"",(1000*tech_proj!W1000*(-PMT($J$110,tech_base!$F36,1))+1000*tech_proj!W1280)/((1-tech_proj!W440)*tech_proj!W720*$L$110))</f>
        <v>47.311393791753545</v>
      </c>
      <c r="X660" s="69">
        <f>IF(tech_base!$T36&gt;X$625,"",(1000*tech_proj!X1000*(-PMT($J$110,tech_base!$F36,1))+1000*tech_proj!X1280)/((1-tech_proj!X440)*tech_proj!X720*$L$110))</f>
        <v>47.375403984267194</v>
      </c>
      <c r="Y660" s="69">
        <f>IF(tech_base!$T36&gt;Y$625,"",(1000*tech_proj!Y1000*(-PMT($J$110,tech_base!$F36,1))+1000*tech_proj!Y1280)/((1-tech_proj!Y440)*tech_proj!Y720*$L$110))</f>
        <v>47.439038161241889</v>
      </c>
      <c r="Z660" s="69">
        <f>IF(tech_base!$T36&gt;Z$625,"",(1000*tech_proj!Z1000*(-PMT($J$110,tech_base!$F36,1))+1000*tech_proj!Z1280)/((1-tech_proj!Z440)*tech_proj!Z720*$L$110))</f>
        <v>47.502268686800377</v>
      </c>
      <c r="AA660" s="69">
        <f>IF(tech_base!$T36&gt;AA$625,"",(1000*tech_proj!AA1000*(-PMT($J$110,tech_base!$F36,1))+1000*tech_proj!AA1280)/((1-tech_proj!AA440)*tech_proj!AA720*$L$110))</f>
        <v>47.565068767208842</v>
      </c>
      <c r="AB660" s="69">
        <f>IF(tech_base!$T36&gt;AB$625,"",(1000*tech_proj!AB1000*(-PMT($J$110,tech_base!$F36,1))+1000*tech_proj!AB1280)/((1-tech_proj!AB440)*tech_proj!AB720*$L$110))</f>
        <v>47.627412485861733</v>
      </c>
      <c r="AC660" s="69">
        <f>IF(tech_base!$T36&gt;AC$625,"",(1000*tech_proj!AC1000*(-PMT($J$110,tech_base!$F36,1))+1000*tech_proj!AC1280)/((1-tech_proj!AC440)*tech_proj!AC720*$L$110))</f>
        <v>47.689274834984758</v>
      </c>
      <c r="AD660" s="69">
        <f>IF(tech_base!$T36&gt;AD$625,"",(1000*tech_proj!AD1000*(-PMT($J$110,tech_base!$F36,1))+1000*tech_proj!AD1280)/((1-tech_proj!AD440)*tech_proj!AD720*$L$110))</f>
        <v>47.750631744024673</v>
      </c>
      <c r="AE660" s="69">
        <f>IF(tech_base!$T36&gt;AE$625,"",(1000*tech_proj!AE1000*(-PMT($J$110,tech_base!$F36,1))+1000*tech_proj!AE1280)/((1-tech_proj!AE440)*tech_proj!AE720*$L$110))</f>
        <v>47.811460104712388</v>
      </c>
      <c r="AF660" s="69">
        <f>IF(tech_base!$T36&gt;AF$625,"",(1000*tech_proj!AF1000*(-PMT($J$110,tech_base!$F36,1))+1000*tech_proj!AF1280)/((1-tech_proj!AF440)*tech_proj!AF720*$L$110))</f>
        <v>47.871737792803344</v>
      </c>
      <c r="AG660" s="69">
        <f>IF(tech_base!$T36&gt;AG$625,"",(1000*tech_proj!AG1000*(-PMT($J$110,tech_base!$F36,1))+1000*tech_proj!AG1280)/((1-tech_proj!AG440)*tech_proj!AG720*$L$110))</f>
        <v>47.931443686515784</v>
      </c>
      <c r="AH660" s="69">
        <f>IF(tech_base!$T36&gt;AH$625,"",(1000*tech_proj!AH1000*(-PMT($J$110,tech_base!$F36,1))+1000*tech_proj!AH1280)/((1-tech_proj!AH440)*tech_proj!AH720*$L$110))</f>
        <v>47.990557681703628</v>
      </c>
      <c r="AI660" s="69">
        <f>IF(tech_base!$T36&gt;AI$625,"",(1000*tech_proj!AI1000*(-PMT($J$110,tech_base!$F36,1))+1000*tech_proj!AI1280)/((1-tech_proj!AI440)*tech_proj!AI720*$L$110))</f>
        <v>48.0490607038153</v>
      </c>
      <c r="AJ660" s="69">
        <f>IF(tech_base!$T36&gt;AJ$625,"",(1000*tech_proj!AJ1000*(-PMT($J$110,tech_base!$F36,1))+1000*tech_proj!AJ1280)/((1-tech_proj!AJ440)*tech_proj!AJ720*$L$110))</f>
        <v>48.10693471670443</v>
      </c>
      <c r="AK660" s="69">
        <f>IF(tech_base!$T36&gt;AK$625,"",(1000*tech_proj!AK1000*(-PMT($J$110,tech_base!$F36,1))+1000*tech_proj!AK1280)/((1-tech_proj!AK440)*tech_proj!AK720*$L$110))</f>
        <v>48.164162728370762</v>
      </c>
      <c r="AL660" s="69">
        <f>IF(tech_base!$T36&gt;AL$625,"",(1000*tech_proj!AL1000*(-PMT($J$110,tech_base!$F36,1))+1000*tech_proj!AL1280)/((1-tech_proj!AL440)*tech_proj!AL720*$L$110))</f>
        <v>48.220728793721726</v>
      </c>
      <c r="AM660" s="69">
        <f>IF(tech_base!$T36&gt;AM$625,"",(1000*tech_proj!AM1000*(-PMT($J$110,tech_base!$F36,1))+1000*tech_proj!AM1280)/((1-tech_proj!AM440)*tech_proj!AM720*$L$110))</f>
        <v>48.276618014456304</v>
      </c>
      <c r="AN660" s="69">
        <f>IF(tech_base!$T36&gt;AN$625,"",(1000*tech_proj!AN1000*(-PMT($J$110,tech_base!$F36,1))+1000*tech_proj!AN1280)/((1-tech_proj!AN440)*tech_proj!AN720*$L$110))</f>
        <v>48.331816536181627</v>
      </c>
      <c r="AO660" s="69">
        <f>IF(tech_base!$T36&gt;AO$625,"",(1000*tech_proj!AO1000*(-PMT($J$110,tech_base!$F36,1))+1000*tech_proj!AO1280)/((1-tech_proj!AO440)*tech_proj!AO720*$L$110))</f>
        <v>48.386311542881948</v>
      </c>
      <c r="AP660" s="69">
        <f>IF(tech_base!$T36&gt;AP$625,"",(1000*tech_proj!AP1000*(-PMT($J$110,tech_base!$F36,1))+1000*tech_proj!AP1280)/((1-tech_proj!AP440)*tech_proj!AP720*$L$110))</f>
        <v>48.440091248866537</v>
      </c>
      <c r="AQ660" s="69">
        <f>IF(tech_base!$T36&gt;AQ$625,"",(1000*tech_proj!AQ1000*(-PMT($J$110,tech_base!$F36,1))+1000*tech_proj!AQ1280)/((1-tech_proj!AQ440)*tech_proj!AQ720*$L$110))</f>
        <v>48.493144888329212</v>
      </c>
      <c r="AR660" s="69">
        <f>IF(tech_base!$T36&gt;AR$625,"",(1000*tech_proj!AR1000*(-PMT($J$110,tech_base!$F36,1))+1000*tech_proj!AR1280)/((1-tech_proj!AR440)*tech_proj!AR720*$L$110))</f>
        <v>48.54546270265768</v>
      </c>
      <c r="AS660" s="69">
        <f>IF(tech_base!$T36&gt;AS$625,"",(1000*tech_proj!AS1000*(-PMT($J$110,tech_base!$F36,1))+1000*tech_proj!AS1280)/((1-tech_proj!AS440)*tech_proj!AS720*$L$110))</f>
        <v>48.597035925633904</v>
      </c>
      <c r="AT660" s="69">
        <f>IF(tech_base!$T36&gt;AT$625,"",(1000*tech_proj!AT1000*(-PMT($J$110,tech_base!$F36,1))+1000*tech_proj!AT1280)/((1-tech_proj!AT440)*tech_proj!AT720*$L$110))</f>
        <v>48.647856766670557</v>
      </c>
      <c r="AU660" s="69">
        <f>IF(tech_base!$T36&gt;AU$625,"",(1000*tech_proj!AU1000*(-PMT($J$110,tech_base!$F36,1))+1000*tech_proj!AU1280)/((1-tech_proj!AU440)*tech_proj!AU720*$L$110))</f>
        <v>48.697918392229724</v>
      </c>
      <c r="AV660" s="69">
        <f>IF(tech_base!$T36&gt;AV$625,"",(1000*tech_proj!AV1000*(-PMT($J$110,tech_base!$F36,1))+1000*tech_proj!AV1280)/((1-tech_proj!AV440)*tech_proj!AV720*$L$110))</f>
        <v>48.747214905571376</v>
      </c>
      <c r="AW660" s="69">
        <f>IF(tech_base!$T36&gt;AW$625,"",(1000*tech_proj!AW1000*(-PMT($J$110,tech_base!$F36,1))+1000*tech_proj!AW1280)/((1-tech_proj!AW440)*tech_proj!AW720*$L$110))</f>
        <v>48.7957413249786</v>
      </c>
      <c r="AX660" s="235">
        <f>IF(tech_base!$T36&gt;AX$625,"",(1000*tech_proj!AX1000*(-PMT($J$110,tech_base!$F36,1))+1000*tech_proj!AX1280)/((1-tech_proj!AX440)*tech_proj!AX720*$L$110))</f>
        <v>48.843493560606227</v>
      </c>
      <c r="AY660" s="133"/>
    </row>
    <row r="661" spans="1:51" s="174" customFormat="1" x14ac:dyDescent="0.25">
      <c r="A661" s="356"/>
      <c r="B661" s="376"/>
      <c r="C661" s="378"/>
      <c r="D661" s="2" t="s">
        <v>10</v>
      </c>
      <c r="E661" s="160" t="str">
        <f>A633&amp;"/"&amp;B659&amp;"/"&amp;C659&amp;"/"&amp;D661</f>
        <v>Coal fired power plants/Steam turbine/Electricity only/S</v>
      </c>
      <c r="F661" s="76" t="str">
        <f>A633</f>
        <v>Coal fired power plants</v>
      </c>
      <c r="G661" s="76" t="str">
        <f>B659</f>
        <v>Steam turbine</v>
      </c>
      <c r="H661" s="76" t="str">
        <f>C659</f>
        <v>Electricity only</v>
      </c>
      <c r="I661" s="161" t="str">
        <f t="shared" si="362"/>
        <v>S</v>
      </c>
      <c r="J661" s="69">
        <f>IF(tech_base!$T37&gt;J$625,"",(1000*tech_proj!J1001*(-PMT($J$110,tech_base!$F37,1))+1000*tech_proj!J1281)/((1-tech_proj!J441)*tech_proj!J721*$L$110))</f>
        <v>51.504059736008131</v>
      </c>
      <c r="K661" s="69">
        <f>IF(tech_base!$T37&gt;K$625,"",(1000*tech_proj!K1001*(-PMT($J$110,tech_base!$F37,1))+1000*tech_proj!K1281)/((1-tech_proj!K441)*tech_proj!K721*$L$110))</f>
        <v>51.559004018070176</v>
      </c>
      <c r="L661" s="69">
        <f>IF(tech_base!$T37&gt;L$625,"",(1000*tech_proj!L1001*(-PMT($J$110,tech_base!$F37,1))+1000*tech_proj!L1281)/((1-tech_proj!L441)*tech_proj!L721*$L$110))</f>
        <v>51.613980341270903</v>
      </c>
      <c r="M661" s="69">
        <f>IF(tech_base!$T37&gt;M$625,"",(1000*tech_proj!M1001*(-PMT($J$110,tech_base!$F37,1))+1000*tech_proj!M1281)/((1-tech_proj!M441)*tech_proj!M721*$L$110))</f>
        <v>51.668960370231375</v>
      </c>
      <c r="N661" s="69">
        <f>IF(tech_base!$T37&gt;N$625,"",(1000*tech_proj!N1001*(-PMT($J$110,tech_base!$F37,1))+1000*tech_proj!N1281)/((1-tech_proj!N441)*tech_proj!N721*$L$110))</f>
        <v>51.723915883356412</v>
      </c>
      <c r="O661" s="69">
        <f>IF(tech_base!$T37&gt;O$625,"",(1000*tech_proj!O1001*(-PMT($J$110,tech_base!$F37,1))+1000*tech_proj!O1281)/((1-tech_proj!O441)*tech_proj!O721*$L$110))</f>
        <v>51.778818828038922</v>
      </c>
      <c r="P661" s="69">
        <f>IF(tech_base!$T37&gt;P$625,"",(1000*tech_proj!P1001*(-PMT($J$110,tech_base!$F37,1))+1000*tech_proj!P1281)/((1-tech_proj!P441)*tech_proj!P721*$L$110))</f>
        <v>51.833641374842216</v>
      </c>
      <c r="Q661" s="69">
        <f>IF(tech_base!$T37&gt;Q$625,"",(1000*tech_proj!Q1001*(-PMT($J$110,tech_base!$F37,1))+1000*tech_proj!Q1281)/((1-tech_proj!Q441)*tech_proj!Q721*$L$110))</f>
        <v>51.888355970451286</v>
      </c>
      <c r="R661" s="69">
        <f>IF(tech_base!$T37&gt;R$625,"",(1000*tech_proj!R1001*(-PMT($J$110,tech_base!$F37,1))+1000*tech_proj!R1281)/((1-tech_proj!R441)*tech_proj!R721*$L$110))</f>
        <v>51.942935389192982</v>
      </c>
      <c r="S661" s="69">
        <f>IF(tech_base!$T37&gt;S$625,"",(1000*tech_proj!S1001*(-PMT($J$110,tech_base!$F37,1))+1000*tech_proj!S1281)/((1-tech_proj!S441)*tech_proj!S721*$L$110))</f>
        <v>51.997352782937135</v>
      </c>
      <c r="T661" s="69">
        <f>IF(tech_base!$T37&gt;T$625,"",(1000*tech_proj!T1001*(-PMT($J$110,tech_base!$F37,1))+1000*tech_proj!T1281)/((1-tech_proj!T441)*tech_proj!T721*$L$110))</f>
        <v>52.051581729201672</v>
      </c>
      <c r="U661" s="69">
        <f>IF(tech_base!$T37&gt;U$625,"",(1000*tech_proj!U1001*(-PMT($J$110,tech_base!$F37,1))+1000*tech_proj!U1281)/((1-tech_proj!U441)*tech_proj!U721*$L$110))</f>
        <v>52.105596277298616</v>
      </c>
      <c r="V661" s="69">
        <f>IF(tech_base!$T37&gt;V$625,"",(1000*tech_proj!V1001*(-PMT($J$110,tech_base!$F37,1))+1000*tech_proj!V1281)/((1-tech_proj!V441)*tech_proj!V721*$L$110))</f>
        <v>52.159370992371507</v>
      </c>
      <c r="W661" s="69">
        <f>IF(tech_base!$T37&gt;W$625,"",(1000*tech_proj!W1001*(-PMT($J$110,tech_base!$F37,1))+1000*tech_proj!W1281)/((1-tech_proj!W441)*tech_proj!W721*$L$110))</f>
        <v>52.212880997188904</v>
      </c>
      <c r="X661" s="69">
        <f>IF(tech_base!$T37&gt;X$625,"",(1000*tech_proj!X1001*(-PMT($J$110,tech_base!$F37,1))+1000*tech_proj!X1281)/((1-tech_proj!X441)*tech_proj!X721*$L$110))</f>
        <v>52.266102011574382</v>
      </c>
      <c r="Y661" s="69">
        <f>IF(tech_base!$T37&gt;Y$625,"",(1000*tech_proj!Y1001*(-PMT($J$110,tech_base!$F37,1))+1000*tech_proj!Y1281)/((1-tech_proj!Y441)*tech_proj!Y721*$L$110))</f>
        <v>52.31901038936838</v>
      </c>
      <c r="Z661" s="69">
        <f>IF(tech_base!$T37&gt;Z$625,"",(1000*tech_proj!Z1001*(-PMT($J$110,tech_base!$F37,1))+1000*tech_proj!Z1281)/((1-tech_proj!Z441)*tech_proj!Z721*$L$110))</f>
        <v>52.371583152833075</v>
      </c>
      <c r="AA661" s="69">
        <f>IF(tech_base!$T37&gt;AA$625,"",(1000*tech_proj!AA1001*(-PMT($J$110,tech_base!$F37,1))+1000*tech_proj!AA1281)/((1-tech_proj!AA441)*tech_proj!AA721*$L$110))</f>
        <v>52.423798024427413</v>
      </c>
      <c r="AB661" s="69">
        <f>IF(tech_base!$T37&gt;AB$625,"",(1000*tech_proj!AB1001*(-PMT($J$110,tech_base!$F37,1))+1000*tech_proj!AB1281)/((1-tech_proj!AB441)*tech_proj!AB721*$L$110))</f>
        <v>52.475633455895029</v>
      </c>
      <c r="AC661" s="69">
        <f>IF(tech_base!$T37&gt;AC$625,"",(1000*tech_proj!AC1001*(-PMT($J$110,tech_base!$F37,1))+1000*tech_proj!AC1281)/((1-tech_proj!AC441)*tech_proj!AC721*$L$110))</f>
        <v>52.527068654623633</v>
      </c>
      <c r="AD661" s="69">
        <f>IF(tech_base!$T37&gt;AD$625,"",(1000*tech_proj!AD1001*(-PMT($J$110,tech_base!$F37,1))+1000*tech_proj!AD1281)/((1-tech_proj!AD441)*tech_proj!AD721*$L$110))</f>
        <v>52.578083607249603</v>
      </c>
      <c r="AE661" s="69">
        <f>IF(tech_base!$T37&gt;AE$625,"",(1000*tech_proj!AE1001*(-PMT($J$110,tech_base!$F37,1))+1000*tech_proj!AE1281)/((1-tech_proj!AE441)*tech_proj!AE721*$L$110))</f>
        <v>52.628659100496485</v>
      </c>
      <c r="AF661" s="69">
        <f>IF(tech_base!$T37&gt;AF$625,"",(1000*tech_proj!AF1001*(-PMT($J$110,tech_base!$F37,1))+1000*tech_proj!AF1281)/((1-tech_proj!AF441)*tech_proj!AF721*$L$110))</f>
        <v>52.678776739251106</v>
      </c>
      <c r="AG661" s="69">
        <f>IF(tech_base!$T37&gt;AG$625,"",(1000*tech_proj!AG1001*(-PMT($J$110,tech_base!$F37,1))+1000*tech_proj!AG1281)/((1-tech_proj!AG441)*tech_proj!AG721*$L$110))</f>
        <v>52.728418961893858</v>
      </c>
      <c r="AH661" s="69">
        <f>IF(tech_base!$T37&gt;AH$625,"",(1000*tech_proj!AH1001*(-PMT($J$110,tech_base!$F37,1))+1000*tech_proj!AH1281)/((1-tech_proj!AH441)*tech_proj!AH721*$L$110))</f>
        <v>52.777569052914188</v>
      </c>
      <c r="AI661" s="69">
        <f>IF(tech_base!$T37&gt;AI$625,"",(1000*tech_proj!AI1001*(-PMT($J$110,tech_base!$F37,1))+1000*tech_proj!AI1281)/((1-tech_proj!AI441)*tech_proj!AI721*$L$110))</f>
        <v>52.826211152853759</v>
      </c>
      <c r="AJ661" s="69">
        <f>IF(tech_base!$T37&gt;AJ$625,"",(1000*tech_proj!AJ1001*(-PMT($J$110,tech_base!$F37,1))+1000*tech_proj!AJ1281)/((1-tech_proj!AJ441)*tech_proj!AJ721*$L$110))</f>
        <v>52.874330265631961</v>
      </c>
      <c r="AK661" s="69">
        <f>IF(tech_base!$T37&gt;AK$625,"",(1000*tech_proj!AK1001*(-PMT($J$110,tech_base!$F37,1))+1000*tech_proj!AK1281)/((1-tech_proj!AK441)*tech_proj!AK721*$L$110))</f>
        <v>52.921912263319221</v>
      </c>
      <c r="AL661" s="69">
        <f>IF(tech_base!$T37&gt;AL$625,"",(1000*tech_proj!AL1001*(-PMT($J$110,tech_base!$F37,1))+1000*tech_proj!AL1281)/((1-tech_proj!AL441)*tech_proj!AL721*$L$110))</f>
        <v>52.968943888433174</v>
      </c>
      <c r="AM661" s="69">
        <f>IF(tech_base!$T37&gt;AM$625,"",(1000*tech_proj!AM1001*(-PMT($J$110,tech_base!$F37,1))+1000*tech_proj!AM1281)/((1-tech_proj!AM441)*tech_proj!AM721*$L$110))</f>
        <v>53.015412753841979</v>
      </c>
      <c r="AN661" s="69">
        <f>IF(tech_base!$T37&gt;AN$625,"",(1000*tech_proj!AN1001*(-PMT($J$110,tech_base!$F37,1))+1000*tech_proj!AN1281)/((1-tech_proj!AN441)*tech_proj!AN721*$L$110))</f>
        <v>53.061307340367009</v>
      </c>
      <c r="AO661" s="69">
        <f>IF(tech_base!$T37&gt;AO$625,"",(1000*tech_proj!AO1001*(-PMT($J$110,tech_base!$F37,1))+1000*tech_proj!AO1281)/((1-tech_proj!AO441)*tech_proj!AO721*$L$110))</f>
        <v>53.106616992184051</v>
      </c>
      <c r="AP661" s="69">
        <f>IF(tech_base!$T37&gt;AP$625,"",(1000*tech_proj!AP1001*(-PMT($J$110,tech_base!$F37,1))+1000*tech_proj!AP1281)/((1-tech_proj!AP441)*tech_proj!AP721*$L$110))</f>
        <v>53.151331910128441</v>
      </c>
      <c r="AQ661" s="69">
        <f>IF(tech_base!$T37&gt;AQ$625,"",(1000*tech_proj!AQ1001*(-PMT($J$110,tech_base!$F37,1))+1000*tech_proj!AQ1281)/((1-tech_proj!AQ441)*tech_proj!AQ721*$L$110))</f>
        <v>53.195443143014415</v>
      </c>
      <c r="AR661" s="69">
        <f>IF(tech_base!$T37&gt;AR$625,"",(1000*tech_proj!AR1001*(-PMT($J$110,tech_base!$F37,1))+1000*tech_proj!AR1281)/((1-tech_proj!AR441)*tech_proj!AR721*$L$110))</f>
        <v>53.238942577083428</v>
      </c>
      <c r="AS661" s="69">
        <f>IF(tech_base!$T37&gt;AS$625,"",(1000*tech_proj!AS1001*(-PMT($J$110,tech_base!$F37,1))+1000*tech_proj!AS1281)/((1-tech_proj!AS441)*tech_proj!AS721*$L$110))</f>
        <v>53.281822923699139</v>
      </c>
      <c r="AT661" s="69">
        <f>IF(tech_base!$T37&gt;AT$625,"",(1000*tech_proj!AT1001*(-PMT($J$110,tech_base!$F37,1))+1000*tech_proj!AT1281)/((1-tech_proj!AT441)*tech_proj!AT721*$L$110))</f>
        <v>53.324077705409366</v>
      </c>
      <c r="AU661" s="69">
        <f>IF(tech_base!$T37&gt;AU$625,"",(1000*tech_proj!AU1001*(-PMT($J$110,tech_base!$F37,1))+1000*tech_proj!AU1281)/((1-tech_proj!AU441)*tech_proj!AU721*$L$110))</f>
        <v>53.365701240496804</v>
      </c>
      <c r="AV661" s="69">
        <f>IF(tech_base!$T37&gt;AV$625,"",(1000*tech_proj!AV1001*(-PMT($J$110,tech_base!$F37,1))+1000*tech_proj!AV1281)/((1-tech_proj!AV441)*tech_proj!AV721*$L$110))</f>
        <v>53.406688626140905</v>
      </c>
      <c r="AW661" s="69">
        <f>IF(tech_base!$T37&gt;AW$625,"",(1000*tech_proj!AW1001*(-PMT($J$110,tech_base!$F37,1))+1000*tech_proj!AW1281)/((1-tech_proj!AW441)*tech_proj!AW721*$L$110))</f>
        <v>53.447035720313401</v>
      </c>
      <c r="AX661" s="235">
        <f>IF(tech_base!$T37&gt;AX$625,"",(1000*tech_proj!AX1001*(-PMT($J$110,tech_base!$F37,1))+1000*tech_proj!AX1281)/((1-tech_proj!AX441)*tech_proj!AX721*$L$110))</f>
        <v>53.486739122529158</v>
      </c>
      <c r="AY661" s="133"/>
    </row>
    <row r="662" spans="1:51" s="174" customFormat="1" x14ac:dyDescent="0.25">
      <c r="A662" s="356"/>
      <c r="B662" s="376"/>
      <c r="C662" s="379"/>
      <c r="D662" s="2" t="s">
        <v>20</v>
      </c>
      <c r="E662" s="160" t="str">
        <f>A633&amp;"/"&amp;B659&amp;"/"&amp;C659&amp;"/"&amp;D662</f>
        <v>Coal fired power plants/Steam turbine/Electricity only/XS</v>
      </c>
      <c r="F662" s="76" t="str">
        <f>A633</f>
        <v>Coal fired power plants</v>
      </c>
      <c r="G662" s="76" t="str">
        <f>B659</f>
        <v>Steam turbine</v>
      </c>
      <c r="H662" s="76" t="str">
        <f>C659</f>
        <v>Electricity only</v>
      </c>
      <c r="I662" s="161" t="str">
        <f t="shared" si="362"/>
        <v>XS</v>
      </c>
      <c r="J662" s="69">
        <f>IF(tech_base!$T38&gt;J$625,"",(1000*tech_proj!J1002*(-PMT($J$110,tech_base!$F38,1))+1000*tech_proj!J1282)/((1-tech_proj!J442)*tech_proj!J722*$L$110))</f>
        <v>62.01669993461158</v>
      </c>
      <c r="K662" s="69">
        <f>IF(tech_base!$T38&gt;K$625,"",(1000*tech_proj!K1002*(-PMT($J$110,tech_base!$F38,1))+1000*tech_proj!K1282)/((1-tech_proj!K442)*tech_proj!K722*$L$110))</f>
        <v>62.071513477591452</v>
      </c>
      <c r="L662" s="69">
        <f>IF(tech_base!$T38&gt;L$625,"",(1000*tech_proj!L1002*(-PMT($J$110,tech_base!$F38,1))+1000*tech_proj!L1282)/((1-tech_proj!L442)*tech_proj!L722*$L$110))</f>
        <v>62.126112679812572</v>
      </c>
      <c r="M662" s="69">
        <f>IF(tech_base!$T38&gt;M$625,"",(1000*tech_proj!M1002*(-PMT($J$110,tech_base!$F38,1))+1000*tech_proj!M1282)/((1-tech_proj!M442)*tech_proj!M722*$L$110))</f>
        <v>62.180472366717474</v>
      </c>
      <c r="N662" s="69">
        <f>IF(tech_base!$T38&gt;N$625,"",(1000*tech_proj!N1002*(-PMT($J$110,tech_base!$F38,1))+1000*tech_proj!N1282)/((1-tech_proj!N442)*tech_proj!N722*$L$110))</f>
        <v>62.234567889489085</v>
      </c>
      <c r="O662" s="69">
        <f>IF(tech_base!$T38&gt;O$625,"",(1000*tech_proj!O1002*(-PMT($J$110,tech_base!$F38,1))+1000*tech_proj!O1282)/((1-tech_proj!O442)*tech_proj!O722*$L$110))</f>
        <v>62.288375164420543</v>
      </c>
      <c r="P662" s="69">
        <f>IF(tech_base!$T38&gt;P$625,"",(1000*tech_proj!P1002*(-PMT($J$110,tech_base!$F38,1))+1000*tech_proj!P1282)/((1-tech_proj!P442)*tech_proj!P722*$L$110))</f>
        <v>62.341870710001004</v>
      </c>
      <c r="Q662" s="69">
        <f>IF(tech_base!$T38&gt;Q$625,"",(1000*tech_proj!Q1002*(-PMT($J$110,tech_base!$F38,1))+1000*tech_proj!Q1282)/((1-tech_proj!Q442)*tech_proj!Q722*$L$110))</f>
        <v>62.395031681620864</v>
      </c>
      <c r="R662" s="69">
        <f>IF(tech_base!$T38&gt;R$625,"",(1000*tech_proj!R1002*(-PMT($J$110,tech_base!$F38,1))+1000*tech_proj!R1282)/((1-tech_proj!R442)*tech_proj!R722*$L$110))</f>
        <v>62.44783590381418</v>
      </c>
      <c r="S662" s="69">
        <f>IF(tech_base!$T38&gt;S$625,"",(1000*tech_proj!S1002*(-PMT($J$110,tech_base!$F38,1))+1000*tech_proj!S1282)/((1-tech_proj!S442)*tech_proj!S722*$L$110))</f>
        <v>62.500261899971555</v>
      </c>
      <c r="T662" s="69">
        <f>IF(tech_base!$T38&gt;T$625,"",(1000*tech_proj!T1002*(-PMT($J$110,tech_base!$F38,1))+1000*tech_proj!T1282)/((1-tech_proj!T442)*tech_proj!T722*$L$110))</f>
        <v>62.552288919470733</v>
      </c>
      <c r="U662" s="69">
        <f>IF(tech_base!$T38&gt;U$625,"",(1000*tech_proj!U1002*(-PMT($J$110,tech_base!$F38,1))+1000*tech_proj!U1282)/((1-tech_proj!U442)*tech_proj!U722*$L$110))</f>
        <v>62.603896962187761</v>
      </c>
      <c r="V662" s="69">
        <f>IF(tech_base!$T38&gt;V$625,"",(1000*tech_proj!V1002*(-PMT($J$110,tech_base!$F38,1))+1000*tech_proj!V1282)/((1-tech_proj!V442)*tech_proj!V722*$L$110))</f>
        <v>62.655066800365525</v>
      </c>
      <c r="W662" s="69">
        <f>IF(tech_base!$T38&gt;W$625,"",(1000*tech_proj!W1002*(-PMT($J$110,tech_base!$F38,1))+1000*tech_proj!W1282)/((1-tech_proj!W442)*tech_proj!W722*$L$110))</f>
        <v>62.705779997830319</v>
      </c>
      <c r="X662" s="69">
        <f>IF(tech_base!$T38&gt;X$625,"",(1000*tech_proj!X1002*(-PMT($J$110,tech_base!$F38,1))+1000*tech_proj!X1282)/((1-tech_proj!X442)*tech_proj!X722*$L$110))</f>
        <v>62.756018926561737</v>
      </c>
      <c r="Y662" s="69">
        <f>IF(tech_base!$T38&gt;Y$625,"",(1000*tech_proj!Y1002*(-PMT($J$110,tech_base!$F38,1))+1000*tech_proj!Y1282)/((1-tech_proj!Y442)*tech_proj!Y722*$L$110))</f>
        <v>62.805766780633014</v>
      </c>
      <c r="Z662" s="69">
        <f>IF(tech_base!$T38&gt;Z$625,"",(1000*tech_proj!Z1002*(-PMT($J$110,tech_base!$F38,1))+1000*tech_proj!Z1282)/((1-tech_proj!Z442)*tech_proj!Z722*$L$110))</f>
        <v>62.855007587552386</v>
      </c>
      <c r="AA662" s="69">
        <f>IF(tech_base!$T38&gt;AA$625,"",(1000*tech_proj!AA1002*(-PMT($J$110,tech_base!$F38,1))+1000*tech_proj!AA1282)/((1-tech_proj!AA442)*tech_proj!AA722*$L$110))</f>
        <v>62.903726217047513</v>
      </c>
      <c r="AB662" s="69">
        <f>IF(tech_base!$T38&gt;AB$625,"",(1000*tech_proj!AB1002*(-PMT($J$110,tech_base!$F38,1))+1000*tech_proj!AB1282)/((1-tech_proj!AB442)*tech_proj!AB722*$L$110))</f>
        <v>62.951908387345746</v>
      </c>
      <c r="AC662" s="69">
        <f>IF(tech_base!$T38&gt;AC$625,"",(1000*tech_proj!AC1002*(-PMT($J$110,tech_base!$F38,1))+1000*tech_proj!AC1282)/((1-tech_proj!AC442)*tech_proj!AC722*$L$110))</f>
        <v>62.999540669013655</v>
      </c>
      <c r="AD662" s="69">
        <f>IF(tech_base!$T38&gt;AD$625,"",(1000*tech_proj!AD1002*(-PMT($J$110,tech_base!$F38,1))+1000*tech_proj!AD1282)/((1-tech_proj!AD442)*tech_proj!AD722*$L$110))</f>
        <v>63.046610486428371</v>
      </c>
      <c r="AE662" s="69">
        <f>IF(tech_base!$T38&gt;AE$625,"",(1000*tech_proj!AE1002*(-PMT($J$110,tech_base!$F38,1))+1000*tech_proj!AE1282)/((1-tech_proj!AE442)*tech_proj!AE722*$L$110))</f>
        <v>63.093106116961849</v>
      </c>
      <c r="AF662" s="69">
        <f>IF(tech_base!$T38&gt;AF$625,"",(1000*tech_proj!AF1002*(-PMT($J$110,tech_base!$F38,1))+1000*tech_proj!AF1282)/((1-tech_proj!AF442)*tech_proj!AF722*$L$110))</f>
        <v>63.139016687966688</v>
      </c>
      <c r="AG662" s="69">
        <f>IF(tech_base!$T38&gt;AG$625,"",(1000*tech_proj!AG1002*(-PMT($J$110,tech_base!$F38,1))+1000*tech_proj!AG1282)/((1-tech_proj!AG442)*tech_proj!AG722*$L$110))</f>
        <v>63.184332171658866</v>
      </c>
      <c r="AH662" s="69">
        <f>IF(tech_base!$T38&gt;AH$625,"",(1000*tech_proj!AH1002*(-PMT($J$110,tech_base!$F38,1))+1000*tech_proj!AH1282)/((1-tech_proj!AH442)*tech_proj!AH722*$L$110))</f>
        <v>63.229043377998501</v>
      </c>
      <c r="AI662" s="69">
        <f>IF(tech_base!$T38&gt;AI$625,"",(1000*tech_proj!AI1002*(-PMT($J$110,tech_base!$F38,1))+1000*tech_proj!AI1282)/((1-tech_proj!AI442)*tech_proj!AI722*$L$110))</f>
        <v>63.273141945674737</v>
      </c>
      <c r="AJ662" s="69">
        <f>IF(tech_base!$T38&gt;AJ$625,"",(1000*tech_proj!AJ1002*(-PMT($J$110,tech_base!$F38,1))+1000*tech_proj!AJ1282)/((1-tech_proj!AJ442)*tech_proj!AJ722*$L$110))</f>
        <v>63.316620331304478</v>
      </c>
      <c r="AK662" s="69">
        <f>IF(tech_base!$T38&gt;AK$625,"",(1000*tech_proj!AK1002*(-PMT($J$110,tech_base!$F38,1))+1000*tech_proj!AK1282)/((1-tech_proj!AK442)*tech_proj!AK722*$L$110))</f>
        <v>63.359471796958438</v>
      </c>
      <c r="AL662" s="69">
        <f>IF(tech_base!$T38&gt;AL$625,"",(1000*tech_proj!AL1002*(-PMT($J$110,tech_base!$F38,1))+1000*tech_proj!AL1282)/((1-tech_proj!AL442)*tech_proj!AL722*$L$110))</f>
        <v>63.401690396129389</v>
      </c>
      <c r="AM662" s="69">
        <f>IF(tech_base!$T38&gt;AM$625,"",(1000*tech_proj!AM1002*(-PMT($J$110,tech_base!$F38,1))+1000*tech_proj!AM1282)/((1-tech_proj!AM442)*tech_proj!AM722*$L$110))</f>
        <v>63.443270958259788</v>
      </c>
      <c r="AN662" s="69">
        <f>IF(tech_base!$T38&gt;AN$625,"",(1000*tech_proj!AN1002*(-PMT($J$110,tech_base!$F38,1))+1000*tech_proj!AN1282)/((1-tech_proj!AN442)*tech_proj!AN722*$L$110))</f>
        <v>63.484209071946218</v>
      </c>
      <c r="AO662" s="69">
        <f>IF(tech_base!$T38&gt;AO$625,"",(1000*tech_proj!AO1002*(-PMT($J$110,tech_base!$F38,1))+1000*tech_proj!AO1282)/((1-tech_proj!AO442)*tech_proj!AO722*$L$110))</f>
        <v>63.524501066938043</v>
      </c>
      <c r="AP662" s="69">
        <f>IF(tech_base!$T38&gt;AP$625,"",(1000*tech_proj!AP1002*(-PMT($J$110,tech_base!$F38,1))+1000*tech_proj!AP1282)/((1-tech_proj!AP442)*tech_proj!AP722*$L$110))</f>
        <v>63.564143995047345</v>
      </c>
      <c r="AQ662" s="69">
        <f>IF(tech_base!$T38&gt;AQ$625,"",(1000*tech_proj!AQ1002*(-PMT($J$110,tech_base!$F38,1))+1000*tech_proj!AQ1282)/((1-tech_proj!AQ442)*tech_proj!AQ722*$L$110))</f>
        <v>63.603135610085168</v>
      </c>
      <c r="AR662" s="69">
        <f>IF(tech_base!$T38&gt;AR$625,"",(1000*tech_proj!AR1002*(-PMT($J$110,tech_base!$F38,1))+1000*tech_proj!AR1282)/((1-tech_proj!AR442)*tech_proj!AR722*$L$110))</f>
        <v>63.641474346938338</v>
      </c>
      <c r="AS662" s="69">
        <f>IF(tech_base!$T38&gt;AS$625,"",(1000*tech_proj!AS1002*(-PMT($J$110,tech_base!$F38,1))+1000*tech_proj!AS1282)/((1-tech_proj!AS442)*tech_proj!AS722*$L$110))</f>
        <v>63.679159299897393</v>
      </c>
      <c r="AT662" s="69">
        <f>IF(tech_base!$T38&gt;AT$625,"",(1000*tech_proj!AT1002*(-PMT($J$110,tech_base!$F38,1))+1000*tech_proj!AT1282)/((1-tech_proj!AT442)*tech_proj!AT722*$L$110))</f>
        <v>63.716190200344272</v>
      </c>
      <c r="AU662" s="69">
        <f>IF(tech_base!$T38&gt;AU$625,"",(1000*tech_proj!AU1002*(-PMT($J$110,tech_base!$F38,1))+1000*tech_proj!AU1282)/((1-tech_proj!AU442)*tech_proj!AU722*$L$110))</f>
        <v>63.752567393904549</v>
      </c>
      <c r="AV662" s="69">
        <f>IF(tech_base!$T38&gt;AV$625,"",(1000*tech_proj!AV1002*(-PMT($J$110,tech_base!$F38,1))+1000*tech_proj!AV1282)/((1-tech_proj!AV442)*tech_proj!AV722*$L$110))</f>
        <v>63.78829181716565</v>
      </c>
      <c r="AW662" s="69">
        <f>IF(tech_base!$T38&gt;AW$625,"",(1000*tech_proj!AW1002*(-PMT($J$110,tech_base!$F38,1))+1000*tech_proj!AW1282)/((1-tech_proj!AW442)*tech_proj!AW722*$L$110))</f>
        <v>63.823364974058045</v>
      </c>
      <c r="AX662" s="235">
        <f>IF(tech_base!$T38&gt;AX$625,"",(1000*tech_proj!AX1002*(-PMT($J$110,tech_base!$F38,1))+1000*tech_proj!AX1282)/((1-tech_proj!AX442)*tech_proj!AX722*$L$110))</f>
        <v>63.857788911992742</v>
      </c>
      <c r="AY662" s="133"/>
    </row>
    <row r="663" spans="1:51" s="174" customFormat="1" x14ac:dyDescent="0.25">
      <c r="A663" s="356"/>
      <c r="B663" s="376"/>
      <c r="C663" s="361" t="s">
        <v>14</v>
      </c>
      <c r="D663" s="58" t="s">
        <v>7</v>
      </c>
      <c r="E663" s="164" t="str">
        <f>A633&amp;"/"&amp;B659&amp;"/"&amp;C663&amp;"/"&amp;D663</f>
        <v>Coal fired power plants/Steam turbine/CHP/L</v>
      </c>
      <c r="F663" s="78" t="str">
        <f>A633</f>
        <v>Coal fired power plants</v>
      </c>
      <c r="G663" s="78" t="str">
        <f>B659</f>
        <v>Steam turbine</v>
      </c>
      <c r="H663" s="78" t="str">
        <f>C663</f>
        <v>CHP</v>
      </c>
      <c r="I663" s="165" t="str">
        <f t="shared" si="362"/>
        <v>L</v>
      </c>
      <c r="J663" s="71">
        <f>IF(tech_base!$T39&gt;J$625,"",(1000*tech_proj!J1003*(-PMT($J$110,tech_base!$F39,1))+1000*tech_proj!J1283)/((1-tech_proj!J443)*tech_proj!J723*$L$110))</f>
        <v>54.217933015984336</v>
      </c>
      <c r="K663" s="71">
        <f>IF(tech_base!$T39&gt;K$625,"",(1000*tech_proj!K1003*(-PMT($J$110,tech_base!$F39,1))+1000*tech_proj!K1283)/((1-tech_proj!K443)*tech_proj!K723*$L$110))</f>
        <v>54.277835586772923</v>
      </c>
      <c r="L663" s="71">
        <f>IF(tech_base!$T39&gt;L$625,"",(1000*tech_proj!L1003*(-PMT($J$110,tech_base!$F39,1))+1000*tech_proj!L1283)/((1-tech_proj!L443)*tech_proj!L723*$L$110))</f>
        <v>54.337652238886875</v>
      </c>
      <c r="M663" s="71">
        <f>IF(tech_base!$T39&gt;M$625,"",(1000*tech_proj!M1003*(-PMT($J$110,tech_base!$F39,1))+1000*tech_proj!M1283)/((1-tech_proj!M443)*tech_proj!M723*$L$110))</f>
        <v>54.397369429193866</v>
      </c>
      <c r="N663" s="71">
        <f>IF(tech_base!$T39&gt;N$625,"",(1000*tech_proj!N1003*(-PMT($J$110,tech_base!$F39,1))+1000*tech_proj!N1283)/((1-tech_proj!N443)*tech_proj!N723*$L$110))</f>
        <v>54.456973749215848</v>
      </c>
      <c r="O663" s="71">
        <f>IF(tech_base!$T39&gt;O$625,"",(1000*tech_proj!O1003*(-PMT($J$110,tech_base!$F39,1))+1000*tech_proj!O1283)/((1-tech_proj!O443)*tech_proj!O723*$L$110))</f>
        <v>54.516451935886302</v>
      </c>
      <c r="P663" s="71">
        <f>IF(tech_base!$T39&gt;P$625,"",(1000*tech_proj!P1003*(-PMT($J$110,tech_base!$F39,1))+1000*tech_proj!P1283)/((1-tech_proj!P443)*tech_proj!P723*$L$110))</f>
        <v>54.575790881996426</v>
      </c>
      <c r="Q663" s="71">
        <f>IF(tech_base!$T39&gt;Q$625,"",(1000*tech_proj!Q1003*(-PMT($J$110,tech_base!$F39,1))+1000*tech_proj!Q1283)/((1-tech_proj!Q443)*tech_proj!Q723*$L$110))</f>
        <v>54.63497764631596</v>
      </c>
      <c r="R663" s="71">
        <f>IF(tech_base!$T39&gt;R$625,"",(1000*tech_proj!R1003*(-PMT($J$110,tech_base!$F39,1))+1000*tech_proj!R1283)/((1-tech_proj!R443)*tech_proj!R723*$L$110))</f>
        <v>54.693999463374219</v>
      </c>
      <c r="S663" s="71">
        <f>IF(tech_base!$T39&gt;S$625,"",(1000*tech_proj!S1003*(-PMT($J$110,tech_base!$F39,1))+1000*tech_proj!S1283)/((1-tech_proj!S443)*tech_proj!S723*$L$110))</f>
        <v>54.752843752889127</v>
      </c>
      <c r="T663" s="71">
        <f>IF(tech_base!$T39&gt;T$625,"",(1000*tech_proj!T1003*(-PMT($J$110,tech_base!$F39,1))+1000*tech_proj!T1283)/((1-tech_proj!T443)*tech_proj!T723*$L$110))</f>
        <v>54.811498128831978</v>
      </c>
      <c r="U663" s="71">
        <f>IF(tech_base!$T39&gt;U$625,"",(1000*tech_proj!U1003*(-PMT($J$110,tech_base!$F39,1))+1000*tech_proj!U1283)/((1-tech_proj!U443)*tech_proj!U723*$L$110))</f>
        <v>54.869950408117631</v>
      </c>
      <c r="V663" s="71">
        <f>IF(tech_base!$T39&gt;V$625,"",(1000*tech_proj!V1003*(-PMT($J$110,tech_base!$F39,1))+1000*tech_proj!V1283)/((1-tech_proj!V443)*tech_proj!V723*$L$110))</f>
        <v>54.928188618910546</v>
      </c>
      <c r="W663" s="71">
        <f>IF(tech_base!$T39&gt;W$625,"",(1000*tech_proj!W1003*(-PMT($J$110,tech_base!$F39,1))+1000*tech_proj!W1283)/((1-tech_proj!W443)*tech_proj!W723*$L$110))</f>
        <v>54.986201008537975</v>
      </c>
      <c r="X663" s="71">
        <f>IF(tech_base!$T39&gt;X$625,"",(1000*tech_proj!X1003*(-PMT($J$110,tech_base!$F39,1))+1000*tech_proj!X1283)/((1-tech_proj!X443)*tech_proj!X723*$L$110))</f>
        <v>55.043976051003199</v>
      </c>
      <c r="Y663" s="71">
        <f>IF(tech_base!$T39&gt;Y$625,"",(1000*tech_proj!Y1003*(-PMT($J$110,tech_base!$F39,1))+1000*tech_proj!Y1283)/((1-tech_proj!Y443)*tech_proj!Y723*$L$110))</f>
        <v>55.10150245409239</v>
      </c>
      <c r="Z663" s="71">
        <f>IF(tech_base!$T39&gt;Z$625,"",(1000*tech_proj!Z1003*(-PMT($J$110,tech_base!$F39,1))+1000*tech_proj!Z1283)/((1-tech_proj!Z443)*tech_proj!Z723*$L$110))</f>
        <v>55.158769166070009</v>
      </c>
      <c r="AA663" s="71">
        <f>IF(tech_base!$T39&gt;AA$625,"",(1000*tech_proj!AA1003*(-PMT($J$110,tech_base!$F39,1))+1000*tech_proj!AA1283)/((1-tech_proj!AA443)*tech_proj!AA723*$L$110))</f>
        <v>55.215765381958455</v>
      </c>
      <c r="AB663" s="71">
        <f>IF(tech_base!$T39&gt;AB$625,"",(1000*tech_proj!AB1003*(-PMT($J$110,tech_base!$F39,1))+1000*tech_proj!AB1283)/((1-tech_proj!AB443)*tech_proj!AB723*$L$110))</f>
        <v>55.272480549399141</v>
      </c>
      <c r="AC663" s="71">
        <f>IF(tech_base!$T39&gt;AC$625,"",(1000*tech_proj!AC1003*(-PMT($J$110,tech_base!$F39,1))+1000*tech_proj!AC1283)/((1-tech_proj!AC443)*tech_proj!AC723*$L$110))</f>
        <v>55.328904374092815</v>
      </c>
      <c r="AD663" s="71">
        <f>IF(tech_base!$T39&gt;AD$625,"",(1000*tech_proj!AD1003*(-PMT($J$110,tech_base!$F39,1))+1000*tech_proj!AD1283)/((1-tech_proj!AD443)*tech_proj!AD723*$L$110))</f>
        <v>55.385026824818226</v>
      </c>
      <c r="AE663" s="71">
        <f>IF(tech_base!$T39&gt;AE$625,"",(1000*tech_proj!AE1003*(-PMT($J$110,tech_base!$F39,1))+1000*tech_proj!AE1283)/((1-tech_proj!AE443)*tech_proj!AE723*$L$110))</f>
        <v>55.440838138029143</v>
      </c>
      <c r="AF663" s="71">
        <f>IF(tech_base!$T39&gt;AF$625,"",(1000*tech_proj!AF1003*(-PMT($J$110,tech_base!$F39,1))+1000*tech_proj!AF1283)/((1-tech_proj!AF443)*tech_proj!AF723*$L$110))</f>
        <v>55.496328822030655</v>
      </c>
      <c r="AG663" s="71">
        <f>IF(tech_base!$T39&gt;AG$625,"",(1000*tech_proj!AG1003*(-PMT($J$110,tech_base!$F39,1))+1000*tech_proj!AG1283)/((1-tech_proj!AG443)*tech_proj!AG723*$L$110))</f>
        <v>55.551489660736777</v>
      </c>
      <c r="AH663" s="71">
        <f>IF(tech_base!$T39&gt;AH$625,"",(1000*tech_proj!AH1003*(-PMT($J$110,tech_base!$F39,1))+1000*tech_proj!AH1283)/((1-tech_proj!AH443)*tech_proj!AH723*$L$110))</f>
        <v>55.606311717012119</v>
      </c>
      <c r="AI663" s="71">
        <f>IF(tech_base!$T39&gt;AI$625,"",(1000*tech_proj!AI1003*(-PMT($J$110,tech_base!$F39,1))+1000*tech_proj!AI1283)/((1-tech_proj!AI443)*tech_proj!AI723*$L$110))</f>
        <v>55.660786335601315</v>
      </c>
      <c r="AJ663" s="71">
        <f>IF(tech_base!$T39&gt;AJ$625,"",(1000*tech_proj!AJ1003*(-PMT($J$110,tech_base!$F39,1))+1000*tech_proj!AJ1283)/((1-tech_proj!AJ443)*tech_proj!AJ723*$L$110))</f>
        <v>55.714905145650931</v>
      </c>
      <c r="AK663" s="71">
        <f>IF(tech_base!$T39&gt;AK$625,"",(1000*tech_proj!AK1003*(-PMT($J$110,tech_base!$F39,1))+1000*tech_proj!AK1283)/((1-tech_proj!AK443)*tech_proj!AK723*$L$110))</f>
        <v>55.768660062828857</v>
      </c>
      <c r="AL663" s="71">
        <f>IF(tech_base!$T39&gt;AL$625,"",(1000*tech_proj!AL1003*(-PMT($J$110,tech_base!$F39,1))+1000*tech_proj!AL1283)/((1-tech_proj!AL443)*tech_proj!AL723*$L$110))</f>
        <v>55.822043291047706</v>
      </c>
      <c r="AM663" s="71">
        <f>IF(tech_base!$T39&gt;AM$625,"",(1000*tech_proj!AM1003*(-PMT($J$110,tech_base!$F39,1))+1000*tech_proj!AM1283)/((1-tech_proj!AM443)*tech_proj!AM723*$L$110))</f>
        <v>55.875047323798682</v>
      </c>
      <c r="AN663" s="71">
        <f>IF(tech_base!$T39&gt;AN$625,"",(1000*tech_proj!AN1003*(-PMT($J$110,tech_base!$F39,1))+1000*tech_proj!AN1283)/((1-tech_proj!AN443)*tech_proj!AN723*$L$110))</f>
        <v>55.927664945103686</v>
      </c>
      <c r="AO663" s="71">
        <f>IF(tech_base!$T39&gt;AO$625,"",(1000*tech_proj!AO1003*(-PMT($J$110,tech_base!$F39,1))+1000*tech_proj!AO1283)/((1-tech_proj!AO443)*tech_proj!AO723*$L$110))</f>
        <v>55.979889230093612</v>
      </c>
      <c r="AP663" s="71">
        <f>IF(tech_base!$T39&gt;AP$625,"",(1000*tech_proj!AP1003*(-PMT($J$110,tech_base!$F39,1))+1000*tech_proj!AP1283)/((1-tech_proj!AP443)*tech_proj!AP723*$L$110))</f>
        <v>56.031713545221649</v>
      </c>
      <c r="AQ663" s="71">
        <f>IF(tech_base!$T39&gt;AQ$625,"",(1000*tech_proj!AQ1003*(-PMT($J$110,tech_base!$F39,1))+1000*tech_proj!AQ1283)/((1-tech_proj!AQ443)*tech_proj!AQ723*$L$110))</f>
        <v>56.083131548120789</v>
      </c>
      <c r="AR663" s="71">
        <f>IF(tech_base!$T39&gt;AR$625,"",(1000*tech_proj!AR1003*(-PMT($J$110,tech_base!$F39,1))+1000*tech_proj!AR1283)/((1-tech_proj!AR443)*tech_proj!AR723*$L$110))</f>
        <v>56.134137187115428</v>
      </c>
      <c r="AS663" s="71">
        <f>IF(tech_base!$T39&gt;AS$625,"",(1000*tech_proj!AS1003*(-PMT($J$110,tech_base!$F39,1))+1000*tech_proj!AS1283)/((1-tech_proj!AS443)*tech_proj!AS723*$L$110))</f>
        <v>56.184724700397069</v>
      </c>
      <c r="AT663" s="71">
        <f>IF(tech_base!$T39&gt;AT$625,"",(1000*tech_proj!AT1003*(-PMT($J$110,tech_base!$F39,1))+1000*tech_proj!AT1283)/((1-tech_proj!AT443)*tech_proj!AT723*$L$110))</f>
        <v>56.234888614875047</v>
      </c>
      <c r="AU663" s="71">
        <f>IF(tech_base!$T39&gt;AU$625,"",(1000*tech_proj!AU1003*(-PMT($J$110,tech_base!$F39,1))+1000*tech_proj!AU1283)/((1-tech_proj!AU443)*tech_proj!AU723*$L$110))</f>
        <v>56.284623744712974</v>
      </c>
      <c r="AV663" s="71">
        <f>IF(tech_base!$T39&gt;AV$625,"",(1000*tech_proj!AV1003*(-PMT($J$110,tech_base!$F39,1))+1000*tech_proj!AV1283)/((1-tech_proj!AV443)*tech_proj!AV723*$L$110))</f>
        <v>56.333925189562422</v>
      </c>
      <c r="AW663" s="71">
        <f>IF(tech_base!$T39&gt;AW$625,"",(1000*tech_proj!AW1003*(-PMT($J$110,tech_base!$F39,1))+1000*tech_proj!AW1283)/((1-tech_proj!AW443)*tech_proj!AW723*$L$110))</f>
        <v>56.382788332505399</v>
      </c>
      <c r="AX663" s="237">
        <f>IF(tech_base!$T39&gt;AX$625,"",(1000*tech_proj!AX1003*(-PMT($J$110,tech_base!$F39,1))+1000*tech_proj!AX1283)/((1-tech_proj!AX443)*tech_proj!AX723*$L$110))</f>
        <v>56.43120883771747</v>
      </c>
      <c r="AY663" s="133"/>
    </row>
    <row r="664" spans="1:51" s="174" customFormat="1" x14ac:dyDescent="0.25">
      <c r="A664" s="356"/>
      <c r="B664" s="376"/>
      <c r="C664" s="378"/>
      <c r="D664" s="2" t="s">
        <v>8</v>
      </c>
      <c r="E664" s="160" t="str">
        <f>A633&amp;"/"&amp;B659&amp;"/"&amp;C663&amp;"/"&amp;D664</f>
        <v>Coal fired power plants/Steam turbine/CHP/M</v>
      </c>
      <c r="F664" s="76" t="str">
        <f>A633</f>
        <v>Coal fired power plants</v>
      </c>
      <c r="G664" s="76" t="str">
        <f>B659</f>
        <v>Steam turbine</v>
      </c>
      <c r="H664" s="76" t="str">
        <f>C663</f>
        <v>CHP</v>
      </c>
      <c r="I664" s="161" t="str">
        <f t="shared" si="362"/>
        <v>M</v>
      </c>
      <c r="J664" s="69">
        <f>IF(tech_base!$T40&gt;J$625,"",(1000*tech_proj!J1004*(-PMT($J$110,tech_base!$F40,1))+1000*tech_proj!J1284)/((1-tech_proj!J444)*tech_proj!J724*$L$110))</f>
        <v>57.850299876750896</v>
      </c>
      <c r="K664" s="69">
        <f>IF(tech_base!$T40&gt;K$625,"",(1000*tech_proj!K1004*(-PMT($J$110,tech_base!$F40,1))+1000*tech_proj!K1284)/((1-tech_proj!K444)*tech_proj!K724*$L$110))</f>
        <v>57.893280828072115</v>
      </c>
      <c r="L664" s="69">
        <f>IF(tech_base!$T40&gt;L$625,"",(1000*tech_proj!L1004*(-PMT($J$110,tech_base!$F40,1))+1000*tech_proj!L1284)/((1-tech_proj!L444)*tech_proj!L724*$L$110))</f>
        <v>57.936093282415989</v>
      </c>
      <c r="M664" s="69">
        <f>IF(tech_base!$T40&gt;M$625,"",(1000*tech_proj!M1004*(-PMT($J$110,tech_base!$F40,1))+1000*tech_proj!M1284)/((1-tech_proj!M444)*tech_proj!M724*$L$110))</f>
        <v>57.978728942979664</v>
      </c>
      <c r="N664" s="69">
        <f>IF(tech_base!$T40&gt;N$625,"",(1000*tech_proj!N1004*(-PMT($J$110,tech_base!$F40,1))+1000*tech_proj!N1284)/((1-tech_proj!N444)*tech_proj!N724*$L$110))</f>
        <v>58.021179678259038</v>
      </c>
      <c r="O664" s="69">
        <f>IF(tech_base!$T40&gt;O$625,"",(1000*tech_proj!O1004*(-PMT($J$110,tech_base!$F40,1))+1000*tech_proj!O1284)/((1-tech_proj!O444)*tech_proj!O724*$L$110))</f>
        <v>58.063437526909667</v>
      </c>
      <c r="P664" s="69">
        <f>IF(tech_base!$T40&gt;P$625,"",(1000*tech_proj!P1004*(-PMT($J$110,tech_base!$F40,1))+1000*tech_proj!P1284)/((1-tech_proj!P444)*tech_proj!P724*$L$110))</f>
        <v>58.105494702319923</v>
      </c>
      <c r="Q664" s="69">
        <f>IF(tech_base!$T40&gt;Q$625,"",(1000*tech_proj!Q1004*(-PMT($J$110,tech_base!$F40,1))+1000*tech_proj!Q1284)/((1-tech_proj!Q444)*tech_proj!Q724*$L$110))</f>
        <v>58.147343596893414</v>
      </c>
      <c r="R664" s="69">
        <f>IF(tech_base!$T40&gt;R$625,"",(1000*tech_proj!R1004*(-PMT($J$110,tech_base!$F40,1))+1000*tech_proj!R1284)/((1-tech_proj!R444)*tech_proj!R724*$L$110))</f>
        <v>58.188976786038602</v>
      </c>
      <c r="S664" s="69">
        <f>IF(tech_base!$T40&gt;S$625,"",(1000*tech_proj!S1004*(-PMT($J$110,tech_base!$F40,1))+1000*tech_proj!S1284)/((1-tech_proj!S444)*tech_proj!S724*$L$110))</f>
        <v>58.230387031864602</v>
      </c>
      <c r="T664" s="69">
        <f>IF(tech_base!$T40&gt;T$625,"",(1000*tech_proj!T1004*(-PMT($J$110,tech_base!$F40,1))+1000*tech_proj!T1284)/((1-tech_proj!T444)*tech_proj!T724*$L$110))</f>
        <v>58.271567286582048</v>
      </c>
      <c r="U664" s="69">
        <f>IF(tech_base!$T40&gt;U$625,"",(1000*tech_proj!U1004*(-PMT($J$110,tech_base!$F40,1))+1000*tech_proj!U1284)/((1-tech_proj!U444)*tech_proj!U724*$L$110))</f>
        <v>58.312510695609625</v>
      </c>
      <c r="V664" s="69">
        <f>IF(tech_base!$T40&gt;V$625,"",(1000*tech_proj!V1004*(-PMT($J$110,tech_base!$F40,1))+1000*tech_proj!V1284)/((1-tech_proj!V444)*tech_proj!V724*$L$110))</f>
        <v>58.353210600386618</v>
      </c>
      <c r="W664" s="69">
        <f>IF(tech_base!$T40&gt;W$625,"",(1000*tech_proj!W1004*(-PMT($J$110,tech_base!$F40,1))+1000*tech_proj!W1284)/((1-tech_proj!W444)*tech_proj!W724*$L$110))</f>
        <v>58.393660540893045</v>
      </c>
      <c r="X664" s="69">
        <f>IF(tech_base!$T40&gt;X$625,"",(1000*tech_proj!X1004*(-PMT($J$110,tech_base!$F40,1))+1000*tech_proj!X1284)/((1-tech_proj!X444)*tech_proj!X724*$L$110))</f>
        <v>58.433854257879382</v>
      </c>
      <c r="Y664" s="69">
        <f>IF(tech_base!$T40&gt;Y$625,"",(1000*tech_proj!Y1004*(-PMT($J$110,tech_base!$F40,1))+1000*tech_proj!Y1284)/((1-tech_proj!Y444)*tech_proj!Y724*$L$110))</f>
        <v>58.473785694808456</v>
      </c>
      <c r="Z664" s="69">
        <f>IF(tech_base!$T40&gt;Z$625,"",(1000*tech_proj!Z1004*(-PMT($J$110,tech_base!$F40,1))+1000*tech_proj!Z1284)/((1-tech_proj!Z444)*tech_proj!Z724*$L$110))</f>
        <v>58.513448999512633</v>
      </c>
      <c r="AA664" s="69">
        <f>IF(tech_base!$T40&gt;AA$625,"",(1000*tech_proj!AA1004*(-PMT($J$110,tech_base!$F40,1))+1000*tech_proj!AA1284)/((1-tech_proj!AA444)*tech_proj!AA724*$L$110))</f>
        <v>58.552838525570287</v>
      </c>
      <c r="AB664" s="69">
        <f>IF(tech_base!$T40&gt;AB$625,"",(1000*tech_proj!AB1004*(-PMT($J$110,tech_base!$F40,1))+1000*tech_proj!AB1284)/((1-tech_proj!AB444)*tech_proj!AB724*$L$110))</f>
        <v>58.59194883340551</v>
      </c>
      <c r="AC664" s="69">
        <f>IF(tech_base!$T40&gt;AC$625,"",(1000*tech_proj!AC1004*(-PMT($J$110,tech_base!$F40,1))+1000*tech_proj!AC1284)/((1-tech_proj!AC444)*tech_proj!AC724*$L$110))</f>
        <v>58.630774691116052</v>
      </c>
      <c r="AD664" s="69">
        <f>IF(tech_base!$T40&gt;AD$625,"",(1000*tech_proj!AD1004*(-PMT($J$110,tech_base!$F40,1))+1000*tech_proj!AD1284)/((1-tech_proj!AD444)*tech_proj!AD724*$L$110))</f>
        <v>58.669311075034649</v>
      </c>
      <c r="AE664" s="69">
        <f>IF(tech_base!$T40&gt;AE$625,"",(1000*tech_proj!AE1004*(-PMT($J$110,tech_base!$F40,1))+1000*tech_proj!AE1284)/((1-tech_proj!AE444)*tech_proj!AE724*$L$110))</f>
        <v>58.707553170029477</v>
      </c>
      <c r="AF664" s="69">
        <f>IF(tech_base!$T40&gt;AF$625,"",(1000*tech_proj!AF1004*(-PMT($J$110,tech_base!$F40,1))+1000*tech_proj!AF1284)/((1-tech_proj!AF444)*tech_proj!AF724*$L$110))</f>
        <v>58.745496369549684</v>
      </c>
      <c r="AG664" s="69">
        <f>IF(tech_base!$T40&gt;AG$625,"",(1000*tech_proj!AG1004*(-PMT($J$110,tech_base!$F40,1))+1000*tech_proj!AG1284)/((1-tech_proj!AG444)*tech_proj!AG724*$L$110))</f>
        <v>58.783136275422549</v>
      </c>
      <c r="AH664" s="69">
        <f>IF(tech_base!$T40&gt;AH$625,"",(1000*tech_proj!AH1004*(-PMT($J$110,tech_base!$F40,1))+1000*tech_proj!AH1284)/((1-tech_proj!AH444)*tech_proj!AH724*$L$110))</f>
        <v>58.820468697409225</v>
      </c>
      <c r="AI664" s="69">
        <f>IF(tech_base!$T40&gt;AI$625,"",(1000*tech_proj!AI1004*(-PMT($J$110,tech_base!$F40,1))+1000*tech_proj!AI1284)/((1-tech_proj!AI444)*tech_proj!AI724*$L$110))</f>
        <v>58.857489652525821</v>
      </c>
      <c r="AJ664" s="69">
        <f>IF(tech_base!$T40&gt;AJ$625,"",(1000*tech_proj!AJ1004*(-PMT($J$110,tech_base!$F40,1))+1000*tech_proj!AJ1284)/((1-tech_proj!AJ444)*tech_proj!AJ724*$L$110))</f>
        <v>58.894195364137694</v>
      </c>
      <c r="AK664" s="69">
        <f>IF(tech_base!$T40&gt;AK$625,"",(1000*tech_proj!AK1004*(-PMT($J$110,tech_base!$F40,1))+1000*tech_proj!AK1284)/((1-tech_proj!AK444)*tech_proj!AK724*$L$110))</f>
        <v>58.930582260834235</v>
      </c>
      <c r="AL664" s="69">
        <f>IF(tech_base!$T40&gt;AL$625,"",(1000*tech_proj!AL1004*(-PMT($J$110,tech_base!$F40,1))+1000*tech_proj!AL1284)/((1-tech_proj!AL444)*tech_proj!AL724*$L$110))</f>
        <v>58.966646975092317</v>
      </c>
      <c r="AM664" s="69">
        <f>IF(tech_base!$T40&gt;AM$625,"",(1000*tech_proj!AM1004*(-PMT($J$110,tech_base!$F40,1))+1000*tech_proj!AM1284)/((1-tech_proj!AM444)*tech_proj!AM724*$L$110))</f>
        <v>59.002386341736326</v>
      </c>
      <c r="AN664" s="69">
        <f>IF(tech_base!$T40&gt;AN$625,"",(1000*tech_proj!AN1004*(-PMT($J$110,tech_base!$F40,1))+1000*tech_proj!AN1284)/((1-tech_proj!AN444)*tech_proj!AN724*$L$110))</f>
        <v>59.037797396203175</v>
      </c>
      <c r="AO664" s="69">
        <f>IF(tech_base!$T40&gt;AO$625,"",(1000*tech_proj!AO1004*(-PMT($J$110,tech_base!$F40,1))+1000*tech_proj!AO1284)/((1-tech_proj!AO444)*tech_proj!AO724*$L$110))</f>
        <v>59.072877372620646</v>
      </c>
      <c r="AP664" s="69">
        <f>IF(tech_base!$T40&gt;AP$625,"",(1000*tech_proj!AP1004*(-PMT($J$110,tech_base!$F40,1))+1000*tech_proj!AP1284)/((1-tech_proj!AP444)*tech_proj!AP724*$L$110))</f>
        <v>59.107623701707496</v>
      </c>
      <c r="AQ664" s="69">
        <f>IF(tech_base!$T40&gt;AQ$625,"",(1000*tech_proj!AQ1004*(-PMT($J$110,tech_base!$F40,1))+1000*tech_proj!AQ1284)/((1-tech_proj!AQ444)*tech_proj!AQ724*$L$110))</f>
        <v>59.142034008504176</v>
      </c>
      <c r="AR664" s="69">
        <f>IF(tech_base!$T40&gt;AR$625,"",(1000*tech_proj!AR1004*(-PMT($J$110,tech_base!$F40,1))+1000*tech_proj!AR1284)/((1-tech_proj!AR444)*tech_proj!AR724*$L$110))</f>
        <v>59.176106109942474</v>
      </c>
      <c r="AS664" s="69">
        <f>IF(tech_base!$T40&gt;AS$625,"",(1000*tech_proj!AS1004*(-PMT($J$110,tech_base!$F40,1))+1000*tech_proj!AS1284)/((1-tech_proj!AS444)*tech_proj!AS724*$L$110))</f>
        <v>59.209838012263141</v>
      </c>
      <c r="AT664" s="69">
        <f>IF(tech_base!$T40&gt;AT$625,"",(1000*tech_proj!AT1004*(-PMT($J$110,tech_base!$F40,1))+1000*tech_proj!AT1284)/((1-tech_proj!AT444)*tech_proj!AT724*$L$110))</f>
        <v>59.243227908289882</v>
      </c>
      <c r="AU664" s="69">
        <f>IF(tech_base!$T40&gt;AU$625,"",(1000*tech_proj!AU1004*(-PMT($J$110,tech_base!$F40,1))+1000*tech_proj!AU1284)/((1-tech_proj!AU444)*tech_proj!AU724*$L$110))</f>
        <v>59.276274174568677</v>
      </c>
      <c r="AV664" s="69">
        <f>IF(tech_base!$T40&gt;AV$625,"",(1000*tech_proj!AV1004*(-PMT($J$110,tech_base!$F40,1))+1000*tech_proj!AV1284)/((1-tech_proj!AV444)*tech_proj!AV724*$L$110))</f>
        <v>59.308975368380914</v>
      </c>
      <c r="AW664" s="69">
        <f>IF(tech_base!$T40&gt;AW$625,"",(1000*tech_proj!AW1004*(-PMT($J$110,tech_base!$F40,1))+1000*tech_proj!AW1284)/((1-tech_proj!AW444)*tech_proj!AW724*$L$110))</f>
        <v>59.341330224638931</v>
      </c>
      <c r="AX664" s="235">
        <f>IF(tech_base!$T40&gt;AX$625,"",(1000*tech_proj!AX1004*(-PMT($J$110,tech_base!$F40,1))+1000*tech_proj!AX1284)/((1-tech_proj!AX444)*tech_proj!AX724*$L$110))</f>
        <v>59.373337652672674</v>
      </c>
      <c r="AY664" s="133"/>
    </row>
    <row r="665" spans="1:51" s="174" customFormat="1" x14ac:dyDescent="0.25">
      <c r="A665" s="356"/>
      <c r="B665" s="376"/>
      <c r="C665" s="378"/>
      <c r="D665" s="2" t="s">
        <v>10</v>
      </c>
      <c r="E665" s="160" t="str">
        <f>A633&amp;"/"&amp;B659&amp;"/"&amp;C663&amp;"/"&amp;D665</f>
        <v>Coal fired power plants/Steam turbine/CHP/S</v>
      </c>
      <c r="F665" s="76" t="str">
        <f>A633</f>
        <v>Coal fired power plants</v>
      </c>
      <c r="G665" s="76" t="str">
        <f>B659</f>
        <v>Steam turbine</v>
      </c>
      <c r="H665" s="76" t="str">
        <f>C663</f>
        <v>CHP</v>
      </c>
      <c r="I665" s="161" t="str">
        <f t="shared" si="362"/>
        <v>S</v>
      </c>
      <c r="J665" s="69">
        <f>IF(tech_base!$T41&gt;J$625,"",(1000*tech_proj!J1005*(-PMT($J$110,tech_base!$F41,1))+1000*tech_proj!J1285)/((1-tech_proj!J445)*tech_proj!J725*$L$110))</f>
        <v>73.57480227957609</v>
      </c>
      <c r="K665" s="69">
        <f>IF(tech_base!$T41&gt;K$625,"",(1000*tech_proj!K1005*(-PMT($J$110,tech_base!$F41,1))+1000*tech_proj!K1285)/((1-tech_proj!K445)*tech_proj!K725*$L$110))</f>
        <v>73.608147737118244</v>
      </c>
      <c r="L665" s="69">
        <f>IF(tech_base!$T41&gt;L$625,"",(1000*tech_proj!L1005*(-PMT($J$110,tech_base!$F41,1))+1000*tech_proj!L1285)/((1-tech_proj!L445)*tech_proj!L725*$L$110))</f>
        <v>73.641275533190282</v>
      </c>
      <c r="M665" s="69">
        <f>IF(tech_base!$T41&gt;M$625,"",(1000*tech_proj!M1005*(-PMT($J$110,tech_base!$F41,1))+1000*tech_proj!M1285)/((1-tech_proj!M445)*tech_proj!M725*$L$110))</f>
        <v>73.674180907020428</v>
      </c>
      <c r="N665" s="69">
        <f>IF(tech_base!$T41&gt;N$625,"",(1000*tech_proj!N1005*(-PMT($J$110,tech_base!$F41,1))+1000*tech_proj!N1285)/((1-tech_proj!N445)*tech_proj!N725*$L$110))</f>
        <v>73.706859263260085</v>
      </c>
      <c r="O665" s="69">
        <f>IF(tech_base!$T41&gt;O$625,"",(1000*tech_proj!O1005*(-PMT($J$110,tech_base!$F41,1))+1000*tech_proj!O1285)/((1-tech_proj!O445)*tech_proj!O725*$L$110))</f>
        <v>73.739306172971084</v>
      </c>
      <c r="P665" s="69">
        <f>IF(tech_base!$T41&gt;P$625,"",(1000*tech_proj!P1005*(-PMT($J$110,tech_base!$F41,1))+1000*tech_proj!P1285)/((1-tech_proj!P445)*tech_proj!P725*$L$110))</f>
        <v>73.771517374395501</v>
      </c>
      <c r="Q665" s="69">
        <f>IF(tech_base!$T41&gt;Q$625,"",(1000*tech_proj!Q1005*(-PMT($J$110,tech_base!$F41,1))+1000*tech_proj!Q1285)/((1-tech_proj!Q445)*tech_proj!Q725*$L$110))</f>
        <v>73.803488773511461</v>
      </c>
      <c r="R665" s="69">
        <f>IF(tech_base!$T41&gt;R$625,"",(1000*tech_proj!R1005*(-PMT($J$110,tech_base!$F41,1))+1000*tech_proj!R1285)/((1-tech_proj!R445)*tech_proj!R725*$L$110))</f>
        <v>73.835216444379526</v>
      </c>
      <c r="S665" s="69">
        <f>IF(tech_base!$T41&gt;S$625,"",(1000*tech_proj!S1005*(-PMT($J$110,tech_base!$F41,1))+1000*tech_proj!S1285)/((1-tech_proj!S445)*tech_proj!S725*$L$110))</f>
        <v>73.866696629283666</v>
      </c>
      <c r="T665" s="69">
        <f>IF(tech_base!$T41&gt;T$625,"",(1000*tech_proj!T1005*(-PMT($J$110,tech_base!$F41,1))+1000*tech_proj!T1285)/((1-tech_proj!T445)*tech_proj!T725*$L$110))</f>
        <v>73.897925738672214</v>
      </c>
      <c r="U665" s="69">
        <f>IF(tech_base!$T41&gt;U$625,"",(1000*tech_proj!U1005*(-PMT($J$110,tech_base!$F41,1))+1000*tech_proj!U1285)/((1-tech_proj!U445)*tech_proj!U725*$L$110))</f>
        <v>73.928900350903419</v>
      </c>
      <c r="V665" s="69">
        <f>IF(tech_base!$T41&gt;V$625,"",(1000*tech_proj!V1005*(-PMT($J$110,tech_base!$F41,1))+1000*tech_proj!V1285)/((1-tech_proj!V445)*tech_proj!V725*$L$110))</f>
        <v>73.959617211801259</v>
      </c>
      <c r="W665" s="69">
        <f>IF(tech_base!$T41&gt;W$625,"",(1000*tech_proj!W1005*(-PMT($J$110,tech_base!$F41,1))+1000*tech_proj!W1285)/((1-tech_proj!W445)*tech_proj!W725*$L$110))</f>
        <v>73.990073234027065</v>
      </c>
      <c r="X665" s="69">
        <f>IF(tech_base!$T41&gt;X$625,"",(1000*tech_proj!X1005*(-PMT($J$110,tech_base!$F41,1))+1000*tech_proj!X1285)/((1-tech_proj!X445)*tech_proj!X725*$L$110))</f>
        <v>74.020265496272771</v>
      </c>
      <c r="Y665" s="69">
        <f>IF(tech_base!$T41&gt;Y$625,"",(1000*tech_proj!Y1005*(-PMT($J$110,tech_base!$F41,1))+1000*tech_proj!Y1285)/((1-tech_proj!Y445)*tech_proj!Y725*$L$110))</f>
        <v>74.050191242281926</v>
      </c>
      <c r="Z665" s="69">
        <f>IF(tech_base!$T41&gt;Z$625,"",(1000*tech_proj!Z1005*(-PMT($J$110,tech_base!$F41,1))+1000*tech_proj!Z1285)/((1-tech_proj!Z445)*tech_proj!Z725*$L$110))</f>
        <v>74.079847879704701</v>
      </c>
      <c r="AA665" s="69">
        <f>IF(tech_base!$T41&gt;AA$625,"",(1000*tech_proj!AA1005*(-PMT($J$110,tech_base!$F41,1))+1000*tech_proj!AA1285)/((1-tech_proj!AA445)*tech_proj!AA725*$L$110))</f>
        <v>74.10923297879323</v>
      </c>
      <c r="AB665" s="69">
        <f>IF(tech_base!$T41&gt;AB$625,"",(1000*tech_proj!AB1005*(-PMT($J$110,tech_base!$F41,1))+1000*tech_proj!AB1285)/((1-tech_proj!AB445)*tech_proj!AB725*$L$110))</f>
        <v>74.138344270943847</v>
      </c>
      <c r="AC665" s="69">
        <f>IF(tech_base!$T41&gt;AC$625,"",(1000*tech_proj!AC1005*(-PMT($J$110,tech_base!$F41,1))+1000*tech_proj!AC1285)/((1-tech_proj!AC445)*tech_proj!AC725*$L$110))</f>
        <v>74.167179647092723</v>
      </c>
      <c r="AD665" s="69">
        <f>IF(tech_base!$T41&gt;AD$625,"",(1000*tech_proj!AD1005*(-PMT($J$110,tech_base!$F41,1))+1000*tech_proj!AD1285)/((1-tech_proj!AD445)*tech_proj!AD725*$L$110))</f>
        <v>74.195737155971983</v>
      </c>
      <c r="AE665" s="69">
        <f>IF(tech_base!$T41&gt;AE$625,"",(1000*tech_proj!AE1005*(-PMT($J$110,tech_base!$F41,1))+1000*tech_proj!AE1285)/((1-tech_proj!AE445)*tech_proj!AE725*$L$110))</f>
        <v>74.224015002232633</v>
      </c>
      <c r="AF665" s="69">
        <f>IF(tech_base!$T41&gt;AF$625,"",(1000*tech_proj!AF1005*(-PMT($J$110,tech_base!$F41,1))+1000*tech_proj!AF1285)/((1-tech_proj!AF445)*tech_proj!AF725*$L$110))</f>
        <v>74.252011544441501</v>
      </c>
      <c r="AG665" s="69">
        <f>IF(tech_base!$T41&gt;AG$625,"",(1000*tech_proj!AG1005*(-PMT($J$110,tech_base!$F41,1))+1000*tech_proj!AG1285)/((1-tech_proj!AG445)*tech_proj!AG725*$L$110))</f>
        <v>74.279725292958631</v>
      </c>
      <c r="AH665" s="69">
        <f>IF(tech_base!$T41&gt;AH$625,"",(1000*tech_proj!AH1005*(-PMT($J$110,tech_base!$F41,1))+1000*tech_proj!AH1285)/((1-tech_proj!AH445)*tech_proj!AH725*$L$110))</f>
        <v>74.307154907702682</v>
      </c>
      <c r="AI665" s="69">
        <f>IF(tech_base!$T41&gt;AI$625,"",(1000*tech_proj!AI1005*(-PMT($J$110,tech_base!$F41,1))+1000*tech_proj!AI1285)/((1-tech_proj!AI445)*tech_proj!AI725*$L$110))</f>
        <v>74.334299195810488</v>
      </c>
      <c r="AJ665" s="69">
        <f>IF(tech_base!$T41&gt;AJ$625,"",(1000*tech_proj!AJ1005*(-PMT($J$110,tech_base!$F41,1))+1000*tech_proj!AJ1285)/((1-tech_proj!AJ445)*tech_proj!AJ725*$L$110))</f>
        <v>74.361157109197933</v>
      </c>
      <c r="AK665" s="69">
        <f>IF(tech_base!$T41&gt;AK$625,"",(1000*tech_proj!AK1005*(-PMT($J$110,tech_base!$F41,1))+1000*tech_proj!AK1285)/((1-tech_proj!AK445)*tech_proj!AK725*$L$110))</f>
        <v>74.387727742029</v>
      </c>
      <c r="AL665" s="69">
        <f>IF(tech_base!$T41&gt;AL$625,"",(1000*tech_proj!AL1005*(-PMT($J$110,tech_base!$F41,1))+1000*tech_proj!AL1285)/((1-tech_proj!AL445)*tech_proj!AL725*$L$110))</f>
        <v>74.41401032809955</v>
      </c>
      <c r="AM665" s="69">
        <f>IF(tech_base!$T41&gt;AM$625,"",(1000*tech_proj!AM1005*(-PMT($J$110,tech_base!$F41,1))+1000*tech_proj!AM1285)/((1-tech_proj!AM445)*tech_proj!AM725*$L$110))</f>
        <v>74.440004238142691</v>
      </c>
      <c r="AN665" s="69">
        <f>IF(tech_base!$T41&gt;AN$625,"",(1000*tech_proj!AN1005*(-PMT($J$110,tech_base!$F41,1))+1000*tech_proj!AN1285)/((1-tech_proj!AN445)*tech_proj!AN725*$L$110))</f>
        <v>74.465708977061922</v>
      </c>
      <c r="AO665" s="69">
        <f>IF(tech_base!$T41&gt;AO$625,"",(1000*tech_proj!AO1005*(-PMT($J$110,tech_base!$F41,1))+1000*tech_proj!AO1285)/((1-tech_proj!AO445)*tech_proj!AO725*$L$110))</f>
        <v>74.491124181099025</v>
      </c>
      <c r="AP665" s="69">
        <f>IF(tech_base!$T41&gt;AP$625,"",(1000*tech_proj!AP1005*(-PMT($J$110,tech_base!$F41,1))+1000*tech_proj!AP1285)/((1-tech_proj!AP445)*tech_proj!AP725*$L$110))</f>
        <v>74.516249614942723</v>
      </c>
      <c r="AQ665" s="69">
        <f>IF(tech_base!$T41&gt;AQ$625,"",(1000*tech_proj!AQ1005*(-PMT($J$110,tech_base!$F41,1))+1000*tech_proj!AQ1285)/((1-tech_proj!AQ445)*tech_proj!AQ725*$L$110))</f>
        <v>74.54108516878442</v>
      </c>
      <c r="AR665" s="69">
        <f>IF(tech_base!$T41&gt;AR$625,"",(1000*tech_proj!AR1005*(-PMT($J$110,tech_base!$F41,1))+1000*tech_proj!AR1285)/((1-tech_proj!AR445)*tech_proj!AR725*$L$110))</f>
        <v>74.565630855326972</v>
      </c>
      <c r="AS665" s="69">
        <f>IF(tech_base!$T41&gt;AS$625,"",(1000*tech_proj!AS1005*(-PMT($J$110,tech_base!$F41,1))+1000*tech_proj!AS1285)/((1-tech_proj!AS445)*tech_proj!AS725*$L$110))</f>
        <v>74.589886806752872</v>
      </c>
      <c r="AT665" s="69">
        <f>IF(tech_base!$T41&gt;AT$625,"",(1000*tech_proj!AT1005*(-PMT($J$110,tech_base!$F41,1))+1000*tech_proj!AT1285)/((1-tech_proj!AT445)*tech_proj!AT725*$L$110))</f>
        <v>74.613853271657092</v>
      </c>
      <c r="AU665" s="69">
        <f>IF(tech_base!$T41&gt;AU$625,"",(1000*tech_proj!AU1005*(-PMT($J$110,tech_base!$F41,1))+1000*tech_proj!AU1285)/((1-tech_proj!AU445)*tech_proj!AU725*$L$110))</f>
        <v>74.637530611950666</v>
      </c>
      <c r="AV665" s="69">
        <f>IF(tech_base!$T41&gt;AV$625,"",(1000*tech_proj!AV1005*(-PMT($J$110,tech_base!$F41,1))+1000*tech_proj!AV1285)/((1-tech_proj!AV445)*tech_proj!AV725*$L$110))</f>
        <v>74.660919299740172</v>
      </c>
      <c r="AW665" s="69">
        <f>IF(tech_base!$T41&gt;AW$625,"",(1000*tech_proj!AW1005*(-PMT($J$110,tech_base!$F41,1))+1000*tech_proj!AW1285)/((1-tech_proj!AW445)*tech_proj!AW725*$L$110))</f>
        <v>74.68401991418861</v>
      </c>
      <c r="AX665" s="235">
        <f>IF(tech_base!$T41&gt;AX$625,"",(1000*tech_proj!AX1005*(-PMT($J$110,tech_base!$F41,1))+1000*tech_proj!AX1285)/((1-tech_proj!AX445)*tech_proj!AX725*$L$110))</f>
        <v>74.706833138362811</v>
      </c>
      <c r="AY665" s="133"/>
    </row>
    <row r="666" spans="1:51" s="174" customFormat="1" x14ac:dyDescent="0.25">
      <c r="A666" s="356"/>
      <c r="B666" s="376"/>
      <c r="C666" s="379"/>
      <c r="D666" s="59" t="s">
        <v>20</v>
      </c>
      <c r="E666" s="166" t="str">
        <f>A633&amp;"/"&amp;B659&amp;"/"&amp;C663&amp;"/"&amp;D666</f>
        <v>Coal fired power plants/Steam turbine/CHP/XS</v>
      </c>
      <c r="F666" s="79" t="str">
        <f>A633</f>
        <v>Coal fired power plants</v>
      </c>
      <c r="G666" s="79" t="str">
        <f>B659</f>
        <v>Steam turbine</v>
      </c>
      <c r="H666" s="79" t="str">
        <f>C663</f>
        <v>CHP</v>
      </c>
      <c r="I666" s="167" t="str">
        <f t="shared" si="362"/>
        <v>XS</v>
      </c>
      <c r="J666" s="72">
        <f>IF(tech_base!$T42&gt;J$625,"",(1000*tech_proj!J1006*(-PMT($J$110,tech_base!$F42,1))+1000*tech_proj!J1286)/((1-tech_proj!J446)*tech_proj!J726*$L$110))</f>
        <v>75.023406864440958</v>
      </c>
      <c r="K666" s="72">
        <f>IF(tech_base!$T42&gt;K$625,"",(1000*tech_proj!K1006*(-PMT($J$110,tech_base!$F42,1))+1000*tech_proj!K1286)/((1-tech_proj!K446)*tech_proj!K726*$L$110))</f>
        <v>75.049546598748066</v>
      </c>
      <c r="L666" s="72">
        <f>IF(tech_base!$T42&gt;L$625,"",(1000*tech_proj!L1006*(-PMT($J$110,tech_base!$F42,1))+1000*tech_proj!L1286)/((1-tech_proj!L446)*tech_proj!L726*$L$110))</f>
        <v>75.075442587832995</v>
      </c>
      <c r="M666" s="72">
        <f>IF(tech_base!$T42&gt;M$625,"",(1000*tech_proj!M1006*(-PMT($J$110,tech_base!$F42,1))+1000*tech_proj!M1286)/((1-tech_proj!M446)*tech_proj!M726*$L$110))</f>
        <v>75.101093003457109</v>
      </c>
      <c r="N666" s="72">
        <f>IF(tech_base!$T42&gt;N$625,"",(1000*tech_proj!N1006*(-PMT($J$110,tech_base!$F42,1))+1000*tech_proj!N1286)/((1-tech_proj!N446)*tech_proj!N726*$L$110))</f>
        <v>75.126496154784661</v>
      </c>
      <c r="O666" s="72">
        <f>IF(tech_base!$T42&gt;O$625,"",(1000*tech_proj!O1006*(-PMT($J$110,tech_base!$F42,1))+1000*tech_proj!O1286)/((1-tech_proj!O446)*tech_proj!O726*$L$110))</f>
        <v>75.151650486797863</v>
      </c>
      <c r="P666" s="72">
        <f>IF(tech_base!$T42&gt;P$625,"",(1000*tech_proj!P1006*(-PMT($J$110,tech_base!$F42,1))+1000*tech_proj!P1286)/((1-tech_proj!P446)*tech_proj!P726*$L$110))</f>
        <v>75.176554578601298</v>
      </c>
      <c r="Q666" s="72">
        <f>IF(tech_base!$T42&gt;Q$625,"",(1000*tech_proj!Q1006*(-PMT($J$110,tech_base!$F42,1))+1000*tech_proj!Q1286)/((1-tech_proj!Q446)*tech_proj!Q726*$L$110))</f>
        <v>75.201207141621452</v>
      </c>
      <c r="R666" s="72">
        <f>IF(tech_base!$T42&gt;R$625,"",(1000*tech_proj!R1006*(-PMT($J$110,tech_base!$F42,1))+1000*tech_proj!R1286)/((1-tech_proj!R446)*tech_proj!R726*$L$110))</f>
        <v>75.225607017706807</v>
      </c>
      <c r="S666" s="72">
        <f>IF(tech_base!$T42&gt;S$625,"",(1000*tech_proj!S1006*(-PMT($J$110,tech_base!$F42,1))+1000*tech_proj!S1286)/((1-tech_proj!S446)*tech_proj!S726*$L$110))</f>
        <v>75.249753177135062</v>
      </c>
      <c r="T666" s="72">
        <f>IF(tech_base!$T42&gt;T$625,"",(1000*tech_proj!T1006*(-PMT($J$110,tech_base!$F42,1))+1000*tech_proj!T1286)/((1-tech_proj!T446)*tech_proj!T726*$L$110))</f>
        <v>75.273644716532559</v>
      </c>
      <c r="U666" s="72">
        <f>IF(tech_base!$T42&gt;U$625,"",(1000*tech_proj!U1006*(-PMT($J$110,tech_base!$F42,1))+1000*tech_proj!U1286)/((1-tech_proj!U446)*tech_proj!U726*$L$110))</f>
        <v>75.297280856712248</v>
      </c>
      <c r="V666" s="72">
        <f>IF(tech_base!$T42&gt;V$625,"",(1000*tech_proj!V1006*(-PMT($J$110,tech_base!$F42,1))+1000*tech_proj!V1286)/((1-tech_proj!V446)*tech_proj!V726*$L$110))</f>
        <v>75.320660940435729</v>
      </c>
      <c r="W666" s="72">
        <f>IF(tech_base!$T42&gt;W$625,"",(1000*tech_proj!W1006*(-PMT($J$110,tech_base!$F42,1))+1000*tech_proj!W1286)/((1-tech_proj!W446)*tech_proj!W726*$L$110))</f>
        <v>75.343784430105032</v>
      </c>
      <c r="X666" s="72">
        <f>IF(tech_base!$T42&gt;X$625,"",(1000*tech_proj!X1006*(-PMT($J$110,tech_base!$F42,1))+1000*tech_proj!X1286)/((1-tech_proj!X446)*tech_proj!X726*$L$110))</f>
        <v>75.366650905390003</v>
      </c>
      <c r="Y666" s="72">
        <f>IF(tech_base!$T42&gt;Y$625,"",(1000*tech_proj!Y1006*(-PMT($J$110,tech_base!$F42,1))+1000*tech_proj!Y1286)/((1-tech_proj!Y446)*tech_proj!Y726*$L$110))</f>
        <v>75.38926006079663</v>
      </c>
      <c r="Z666" s="72">
        <f>IF(tech_base!$T42&gt;Z$625,"",(1000*tech_proj!Z1006*(-PMT($J$110,tech_base!$F42,1))+1000*tech_proj!Z1286)/((1-tech_proj!Z446)*tech_proj!Z726*$L$110))</f>
        <v>75.411611703181819</v>
      </c>
      <c r="AA666" s="72">
        <f>IF(tech_base!$T42&gt;AA$625,"",(1000*tech_proj!AA1006*(-PMT($J$110,tech_base!$F42,1))+1000*tech_proj!AA1286)/((1-tech_proj!AA446)*tech_proj!AA726*$L$110))</f>
        <v>75.433705749220323</v>
      </c>
      <c r="AB666" s="72">
        <f>IF(tech_base!$T42&gt;AB$625,"",(1000*tech_proj!AB1006*(-PMT($J$110,tech_base!$F42,1))+1000*tech_proj!AB1286)/((1-tech_proj!AB446)*tech_proj!AB726*$L$110))</f>
        <v>75.455542222828399</v>
      </c>
      <c r="AC666" s="72">
        <f>IF(tech_base!$T42&gt;AC$625,"",(1000*tech_proj!AC1006*(-PMT($J$110,tech_base!$F42,1))+1000*tech_proj!AC1286)/((1-tech_proj!AC446)*tech_proj!AC726*$L$110))</f>
        <v>75.477121252550305</v>
      </c>
      <c r="AD666" s="72">
        <f>IF(tech_base!$T42&gt;AD$625,"",(1000*tech_proj!AD1006*(-PMT($J$110,tech_base!$F42,1))+1000*tech_proj!AD1286)/((1-tech_proj!AD446)*tech_proj!AD726*$L$110))</f>
        <v>75.498443068911669</v>
      </c>
      <c r="AE666" s="72">
        <f>IF(tech_base!$T42&gt;AE$625,"",(1000*tech_proj!AE1006*(-PMT($J$110,tech_base!$F42,1))+1000*tech_proj!AE1286)/((1-tech_proj!AE446)*tech_proj!AE726*$L$110))</f>
        <v>75.519508001745507</v>
      </c>
      <c r="AF666" s="72">
        <f>IF(tech_base!$T42&gt;AF$625,"",(1000*tech_proj!AF1006*(-PMT($J$110,tech_base!$F42,1))+1000*tech_proj!AF1286)/((1-tech_proj!AF446)*tech_proj!AF726*$L$110))</f>
        <v>75.540316477494969</v>
      </c>
      <c r="AG666" s="72">
        <f>IF(tech_base!$T42&gt;AG$625,"",(1000*tech_proj!AG1006*(-PMT($J$110,tech_base!$F42,1))+1000*tech_proj!AG1286)/((1-tech_proj!AG446)*tech_proj!AG726*$L$110))</f>
        <v>75.560869016497904</v>
      </c>
      <c r="AH666" s="72">
        <f>IF(tech_base!$T42&gt;AH$625,"",(1000*tech_proj!AH1006*(-PMT($J$110,tech_base!$F42,1))+1000*tech_proj!AH1286)/((1-tech_proj!AH446)*tech_proj!AH726*$L$110))</f>
        <v>75.581166230257566</v>
      </c>
      <c r="AI666" s="72">
        <f>IF(tech_base!$T42&gt;AI$625,"",(1000*tech_proj!AI1006*(-PMT($J$110,tech_base!$F42,1))+1000*tech_proj!AI1286)/((1-tech_proj!AI446)*tech_proj!AI726*$L$110))</f>
        <v>75.601208818703611</v>
      </c>
      <c r="AJ666" s="72">
        <f>IF(tech_base!$T42&gt;AJ$625,"",(1000*tech_proj!AJ1006*(-PMT($J$110,tech_base!$F42,1))+1000*tech_proj!AJ1286)/((1-tech_proj!AJ446)*tech_proj!AJ726*$L$110))</f>
        <v>75.620997567447859</v>
      </c>
      <c r="AK666" s="72">
        <f>IF(tech_base!$T42&gt;AK$625,"",(1000*tech_proj!AK1006*(-PMT($J$110,tech_base!$F42,1))+1000*tech_proj!AK1286)/((1-tech_proj!AK446)*tech_proj!AK726*$L$110))</f>
        <v>75.640533345038662</v>
      </c>
      <c r="AL666" s="72">
        <f>IF(tech_base!$T42&gt;AL$625,"",(1000*tech_proj!AL1006*(-PMT($J$110,tech_base!$F42,1))+1000*tech_proj!AL1286)/((1-tech_proj!AL446)*tech_proj!AL726*$L$110))</f>
        <v>75.659817100217737</v>
      </c>
      <c r="AM666" s="72">
        <f>IF(tech_base!$T42&gt;AM$625,"",(1000*tech_proj!AM1006*(-PMT($J$110,tech_base!$F42,1))+1000*tech_proj!AM1286)/((1-tech_proj!AM446)*tech_proj!AM726*$L$110))</f>
        <v>75.678849859183103</v>
      </c>
      <c r="AN666" s="72">
        <f>IF(tech_base!$T42&gt;AN$625,"",(1000*tech_proj!AN1006*(-PMT($J$110,tech_base!$F42,1))+1000*tech_proj!AN1286)/((1-tech_proj!AN446)*tech_proj!AN726*$L$110))</f>
        <v>75.697632722861897</v>
      </c>
      <c r="AO666" s="72">
        <f>IF(tech_base!$T42&gt;AO$625,"",(1000*tech_proj!AO1006*(-PMT($J$110,tech_base!$F42,1))+1000*tech_proj!AO1286)/((1-tech_proj!AO446)*tech_proj!AO726*$L$110))</f>
        <v>75.716166864196055</v>
      </c>
      <c r="AP666" s="72">
        <f>IF(tech_base!$T42&gt;AP$625,"",(1000*tech_proj!AP1006*(-PMT($J$110,tech_base!$F42,1))+1000*tech_proj!AP1286)/((1-tech_proj!AP446)*tech_proj!AP726*$L$110))</f>
        <v>75.734453525444437</v>
      </c>
      <c r="AQ666" s="72">
        <f>IF(tech_base!$T42&gt;AQ$625,"",(1000*tech_proj!AQ1006*(-PMT($J$110,tech_base!$F42,1))+1000*tech_proj!AQ1286)/((1-tech_proj!AQ446)*tech_proj!AQ726*$L$110))</f>
        <v>75.752494015504112</v>
      </c>
      <c r="AR666" s="72">
        <f>IF(tech_base!$T42&gt;AR$625,"",(1000*tech_proj!AR1006*(-PMT($J$110,tech_base!$F42,1))+1000*tech_proj!AR1286)/((1-tech_proj!AR446)*tech_proj!AR726*$L$110))</f>
        <v>75.770289707253809</v>
      </c>
      <c r="AS666" s="72">
        <f>IF(tech_base!$T42&gt;AS$625,"",(1000*tech_proj!AS1006*(-PMT($J$110,tech_base!$F42,1))+1000*tech_proj!AS1286)/((1-tech_proj!AS446)*tech_proj!AS726*$L$110))</f>
        <v>75.787842034922505</v>
      </c>
      <c r="AT666" s="72">
        <f>IF(tech_base!$T42&gt;AT$625,"",(1000*tech_proj!AT1006*(-PMT($J$110,tech_base!$F42,1))+1000*tech_proj!AT1286)/((1-tech_proj!AT446)*tech_proj!AT726*$L$110))</f>
        <v>75.805152491485018</v>
      </c>
      <c r="AU666" s="72">
        <f>IF(tech_base!$T42&gt;AU$625,"",(1000*tech_proj!AU1006*(-PMT($J$110,tech_base!$F42,1))+1000*tech_proj!AU1286)/((1-tech_proj!AU446)*tech_proj!AU726*$L$110))</f>
        <v>75.822222626087893</v>
      </c>
      <c r="AV666" s="72">
        <f>IF(tech_base!$T42&gt;AV$625,"",(1000*tech_proj!AV1006*(-PMT($J$110,tech_base!$F42,1))+1000*tech_proj!AV1286)/((1-tech_proj!AV446)*tech_proj!AV726*$L$110))</f>
        <v>75.839054041506927</v>
      </c>
      <c r="AW666" s="72">
        <f>IF(tech_base!$T42&gt;AW$625,"",(1000*tech_proj!AW1006*(-PMT($J$110,tech_base!$F42,1))+1000*tech_proj!AW1286)/((1-tech_proj!AW446)*tech_proj!AW726*$L$110))</f>
        <v>75.855648391639235</v>
      </c>
      <c r="AX666" s="238">
        <f>IF(tech_base!$T42&gt;AX$625,"",(1000*tech_proj!AX1006*(-PMT($J$110,tech_base!$F42,1))+1000*tech_proj!AX1286)/((1-tech_proj!AX446)*tech_proj!AX726*$L$110))</f>
        <v>75.872007379031146</v>
      </c>
      <c r="AY666" s="133"/>
    </row>
    <row r="667" spans="1:51" s="174" customFormat="1" x14ac:dyDescent="0.25">
      <c r="A667" s="356"/>
      <c r="B667" s="376"/>
      <c r="C667" s="361" t="s">
        <v>15</v>
      </c>
      <c r="D667" s="58" t="s">
        <v>7</v>
      </c>
      <c r="E667" s="164" t="str">
        <f>A633&amp;"/"&amp;B659&amp;"/"&amp;C667&amp;"/"&amp;D667</f>
        <v>Coal fired power plants/Steam turbine/Electricity only with CCS/L</v>
      </c>
      <c r="F667" s="78" t="str">
        <f>A633</f>
        <v>Coal fired power plants</v>
      </c>
      <c r="G667" s="78" t="str">
        <f>B659</f>
        <v>Steam turbine</v>
      </c>
      <c r="H667" s="78" t="str">
        <f>C667</f>
        <v>Electricity only with CCS</v>
      </c>
      <c r="I667" s="165" t="str">
        <f t="shared" si="362"/>
        <v>L</v>
      </c>
      <c r="J667" s="71" t="str">
        <f>IF(tech_base!$T43&gt;J$625,"",(1000*tech_proj!J1007*(-PMT($J$110,tech_base!$F43,1))+1000*tech_proj!J1287)/((1-tech_proj!J447)*tech_proj!J727*$L$110))</f>
        <v/>
      </c>
      <c r="K667" s="71" t="str">
        <f>IF(tech_base!$T43&gt;K$625,"",(1000*tech_proj!K1007*(-PMT($J$110,tech_base!$F43,1))+1000*tech_proj!K1287)/((1-tech_proj!K447)*tech_proj!K727*$L$110))</f>
        <v/>
      </c>
      <c r="L667" s="71" t="str">
        <f>IF(tech_base!$T43&gt;L$625,"",(1000*tech_proj!L1007*(-PMT($J$110,tech_base!$F43,1))+1000*tech_proj!L1287)/((1-tech_proj!L447)*tech_proj!L727*$L$110))</f>
        <v/>
      </c>
      <c r="M667" s="71" t="str">
        <f>IF(tech_base!$T43&gt;M$625,"",(1000*tech_proj!M1007*(-PMT($J$110,tech_base!$F43,1))+1000*tech_proj!M1287)/((1-tech_proj!M447)*tech_proj!M727*$L$110))</f>
        <v/>
      </c>
      <c r="N667" s="71" t="str">
        <f>IF(tech_base!$T43&gt;N$625,"",(1000*tech_proj!N1007*(-PMT($J$110,tech_base!$F43,1))+1000*tech_proj!N1287)/((1-tech_proj!N447)*tech_proj!N727*$L$110))</f>
        <v/>
      </c>
      <c r="O667" s="71" t="str">
        <f>IF(tech_base!$T43&gt;O$625,"",(1000*tech_proj!O1007*(-PMT($J$110,tech_base!$F43,1))+1000*tech_proj!O1287)/((1-tech_proj!O447)*tech_proj!O727*$L$110))</f>
        <v/>
      </c>
      <c r="P667" s="71" t="str">
        <f>IF(tech_base!$T43&gt;P$625,"",(1000*tech_proj!P1007*(-PMT($J$110,tech_base!$F43,1))+1000*tech_proj!P1287)/((1-tech_proj!P447)*tech_proj!P727*$L$110))</f>
        <v/>
      </c>
      <c r="Q667" s="71" t="str">
        <f>IF(tech_base!$T43&gt;Q$625,"",(1000*tech_proj!Q1007*(-PMT($J$110,tech_base!$F43,1))+1000*tech_proj!Q1287)/((1-tech_proj!Q447)*tech_proj!Q727*$L$110))</f>
        <v/>
      </c>
      <c r="R667" s="71" t="str">
        <f>IF(tech_base!$T43&gt;R$625,"",(1000*tech_proj!R1007*(-PMT($J$110,tech_base!$F43,1))+1000*tech_proj!R1287)/((1-tech_proj!R447)*tech_proj!R727*$L$110))</f>
        <v/>
      </c>
      <c r="S667" s="71" t="str">
        <f>IF(tech_base!$T43&gt;S$625,"",(1000*tech_proj!S1007*(-PMT($J$110,tech_base!$F43,1))+1000*tech_proj!S1287)/((1-tech_proj!S447)*tech_proj!S727*$L$110))</f>
        <v/>
      </c>
      <c r="T667" s="71" t="str">
        <f>IF(tech_base!$T43&gt;T$625,"",(1000*tech_proj!T1007*(-PMT($J$110,tech_base!$F43,1))+1000*tech_proj!T1287)/((1-tech_proj!T447)*tech_proj!T727*$L$110))</f>
        <v/>
      </c>
      <c r="U667" s="71" t="str">
        <f>IF(tech_base!$T43&gt;U$625,"",(1000*tech_proj!U1007*(-PMT($J$110,tech_base!$F43,1))+1000*tech_proj!U1287)/((1-tech_proj!U447)*tech_proj!U727*$L$110))</f>
        <v/>
      </c>
      <c r="V667" s="71" t="str">
        <f>IF(tech_base!$T43&gt;V$625,"",(1000*tech_proj!V1007*(-PMT($J$110,tech_base!$F43,1))+1000*tech_proj!V1287)/((1-tech_proj!V447)*tech_proj!V727*$L$110))</f>
        <v/>
      </c>
      <c r="W667" s="71" t="str">
        <f>IF(tech_base!$T43&gt;W$625,"",(1000*tech_proj!W1007*(-PMT($J$110,tech_base!$F43,1))+1000*tech_proj!W1287)/((1-tech_proj!W447)*tech_proj!W727*$L$110))</f>
        <v/>
      </c>
      <c r="X667" s="71" t="str">
        <f>IF(tech_base!$T43&gt;X$625,"",(1000*tech_proj!X1007*(-PMT($J$110,tech_base!$F43,1))+1000*tech_proj!X1287)/((1-tech_proj!X447)*tech_proj!X727*$L$110))</f>
        <v/>
      </c>
      <c r="Y667" s="71" t="str">
        <f>IF(tech_base!$T43&gt;Y$625,"",(1000*tech_proj!Y1007*(-PMT($J$110,tech_base!$F43,1))+1000*tech_proj!Y1287)/((1-tech_proj!Y447)*tech_proj!Y727*$L$110))</f>
        <v/>
      </c>
      <c r="Z667" s="71" t="str">
        <f>IF(tech_base!$T43&gt;Z$625,"",(1000*tech_proj!Z1007*(-PMT($J$110,tech_base!$F43,1))+1000*tech_proj!Z1287)/((1-tech_proj!Z447)*tech_proj!Z727*$L$110))</f>
        <v/>
      </c>
      <c r="AA667" s="71" t="str">
        <f>IF(tech_base!$T43&gt;AA$625,"",(1000*tech_proj!AA1007*(-PMT($J$110,tech_base!$F43,1))+1000*tech_proj!AA1287)/((1-tech_proj!AA447)*tech_proj!AA727*$L$110))</f>
        <v/>
      </c>
      <c r="AB667" s="71" t="str">
        <f>IF(tech_base!$T43&gt;AB$625,"",(1000*tech_proj!AB1007*(-PMT($J$110,tech_base!$F43,1))+1000*tech_proj!AB1287)/((1-tech_proj!AB447)*tech_proj!AB727*$L$110))</f>
        <v/>
      </c>
      <c r="AC667" s="71" t="str">
        <f>IF(tech_base!$T43&gt;AC$625,"",(1000*tech_proj!AC1007*(-PMT($J$110,tech_base!$F43,1))+1000*tech_proj!AC1287)/((1-tech_proj!AC447)*tech_proj!AC727*$L$110))</f>
        <v/>
      </c>
      <c r="AD667" s="71" t="str">
        <f>IF(tech_base!$T43&gt;AD$625,"",(1000*tech_proj!AD1007*(-PMT($J$110,tech_base!$F43,1))+1000*tech_proj!AD1287)/((1-tech_proj!AD447)*tech_proj!AD727*$L$110))</f>
        <v/>
      </c>
      <c r="AE667" s="71">
        <f>IF(tech_base!$T43&gt;AE$625,"",(1000*tech_proj!AE1007*(-PMT($J$110,tech_base!$F43,1))+1000*tech_proj!AE1287)/((1-tech_proj!AE447)*tech_proj!AE727*$L$110))</f>
        <v>113.58153777980912</v>
      </c>
      <c r="AF667" s="71">
        <f>IF(tech_base!$T43&gt;AF$625,"",(1000*tech_proj!AF1007*(-PMT($J$110,tech_base!$F43,1))+1000*tech_proj!AF1287)/((1-tech_proj!AF447)*tech_proj!AF727*$L$110))</f>
        <v>113.58153777980912</v>
      </c>
      <c r="AG667" s="71">
        <f>IF(tech_base!$T43&gt;AG$625,"",(1000*tech_proj!AG1007*(-PMT($J$110,tech_base!$F43,1))+1000*tech_proj!AG1287)/((1-tech_proj!AG447)*tech_proj!AG727*$L$110))</f>
        <v>113.58153777980912</v>
      </c>
      <c r="AH667" s="71">
        <f>IF(tech_base!$T43&gt;AH$625,"",(1000*tech_proj!AH1007*(-PMT($J$110,tech_base!$F43,1))+1000*tech_proj!AH1287)/((1-tech_proj!AH447)*tech_proj!AH727*$L$110))</f>
        <v>113.58153777980912</v>
      </c>
      <c r="AI667" s="71">
        <f>IF(tech_base!$T43&gt;AI$625,"",(1000*tech_proj!AI1007*(-PMT($J$110,tech_base!$F43,1))+1000*tech_proj!AI1287)/((1-tech_proj!AI447)*tech_proj!AI727*$L$110))</f>
        <v>113.58153777980912</v>
      </c>
      <c r="AJ667" s="71">
        <f>IF(tech_base!$T43&gt;AJ$625,"",(1000*tech_proj!AJ1007*(-PMT($J$110,tech_base!$F43,1))+1000*tech_proj!AJ1287)/((1-tech_proj!AJ447)*tech_proj!AJ727*$L$110))</f>
        <v>113.58153777980912</v>
      </c>
      <c r="AK667" s="71">
        <f>IF(tech_base!$T43&gt;AK$625,"",(1000*tech_proj!AK1007*(-PMT($J$110,tech_base!$F43,1))+1000*tech_proj!AK1287)/((1-tech_proj!AK447)*tech_proj!AK727*$L$110))</f>
        <v>113.58153777980912</v>
      </c>
      <c r="AL667" s="71">
        <f>IF(tech_base!$T43&gt;AL$625,"",(1000*tech_proj!AL1007*(-PMT($J$110,tech_base!$F43,1))+1000*tech_proj!AL1287)/((1-tech_proj!AL447)*tech_proj!AL727*$L$110))</f>
        <v>113.58153777980912</v>
      </c>
      <c r="AM667" s="71">
        <f>IF(tech_base!$T43&gt;AM$625,"",(1000*tech_proj!AM1007*(-PMT($J$110,tech_base!$F43,1))+1000*tech_proj!AM1287)/((1-tech_proj!AM447)*tech_proj!AM727*$L$110))</f>
        <v>113.58153777980912</v>
      </c>
      <c r="AN667" s="71">
        <f>IF(tech_base!$T43&gt;AN$625,"",(1000*tech_proj!AN1007*(-PMT($J$110,tech_base!$F43,1))+1000*tech_proj!AN1287)/((1-tech_proj!AN447)*tech_proj!AN727*$L$110))</f>
        <v>113.58153777980912</v>
      </c>
      <c r="AO667" s="71">
        <f>IF(tech_base!$T43&gt;AO$625,"",(1000*tech_proj!AO1007*(-PMT($J$110,tech_base!$F43,1))+1000*tech_proj!AO1287)/((1-tech_proj!AO447)*tech_proj!AO727*$L$110))</f>
        <v>113.58153777980912</v>
      </c>
      <c r="AP667" s="71">
        <f>IF(tech_base!$T43&gt;AP$625,"",(1000*tech_proj!AP1007*(-PMT($J$110,tech_base!$F43,1))+1000*tech_proj!AP1287)/((1-tech_proj!AP447)*tech_proj!AP727*$L$110))</f>
        <v>113.58153777980912</v>
      </c>
      <c r="AQ667" s="71">
        <f>IF(tech_base!$T43&gt;AQ$625,"",(1000*tech_proj!AQ1007*(-PMT($J$110,tech_base!$F43,1))+1000*tech_proj!AQ1287)/((1-tech_proj!AQ447)*tech_proj!AQ727*$L$110))</f>
        <v>113.58153777980912</v>
      </c>
      <c r="AR667" s="71">
        <f>IF(tech_base!$T43&gt;AR$625,"",(1000*tech_proj!AR1007*(-PMT($J$110,tech_base!$F43,1))+1000*tech_proj!AR1287)/((1-tech_proj!AR447)*tech_proj!AR727*$L$110))</f>
        <v>113.58153777980912</v>
      </c>
      <c r="AS667" s="71">
        <f>IF(tech_base!$T43&gt;AS$625,"",(1000*tech_proj!AS1007*(-PMT($J$110,tech_base!$F43,1))+1000*tech_proj!AS1287)/((1-tech_proj!AS447)*tech_proj!AS727*$L$110))</f>
        <v>113.58153777980912</v>
      </c>
      <c r="AT667" s="71">
        <f>IF(tech_base!$T43&gt;AT$625,"",(1000*tech_proj!AT1007*(-PMT($J$110,tech_base!$F43,1))+1000*tech_proj!AT1287)/((1-tech_proj!AT447)*tech_proj!AT727*$L$110))</f>
        <v>113.58153777980912</v>
      </c>
      <c r="AU667" s="71">
        <f>IF(tech_base!$T43&gt;AU$625,"",(1000*tech_proj!AU1007*(-PMT($J$110,tech_base!$F43,1))+1000*tech_proj!AU1287)/((1-tech_proj!AU447)*tech_proj!AU727*$L$110))</f>
        <v>113.58153777980912</v>
      </c>
      <c r="AV667" s="71">
        <f>IF(tech_base!$T43&gt;AV$625,"",(1000*tech_proj!AV1007*(-PMT($J$110,tech_base!$F43,1))+1000*tech_proj!AV1287)/((1-tech_proj!AV447)*tech_proj!AV727*$L$110))</f>
        <v>113.58153777980912</v>
      </c>
      <c r="AW667" s="71">
        <f>IF(tech_base!$T43&gt;AW$625,"",(1000*tech_proj!AW1007*(-PMT($J$110,tech_base!$F43,1))+1000*tech_proj!AW1287)/((1-tech_proj!AW447)*tech_proj!AW727*$L$110))</f>
        <v>113.58153777980912</v>
      </c>
      <c r="AX667" s="237">
        <f>IF(tech_base!$T43&gt;AX$625,"",(1000*tech_proj!AX1007*(-PMT($J$110,tech_base!$F43,1))+1000*tech_proj!AX1287)/((1-tech_proj!AX447)*tech_proj!AX727*$L$110))</f>
        <v>113.58153777980912</v>
      </c>
      <c r="AY667" s="133"/>
    </row>
    <row r="668" spans="1:51" s="174" customFormat="1" x14ac:dyDescent="0.25">
      <c r="A668" s="356"/>
      <c r="B668" s="376"/>
      <c r="C668" s="379"/>
      <c r="D668" s="59" t="s">
        <v>8</v>
      </c>
      <c r="E668" s="166" t="str">
        <f>A633&amp;"/"&amp;B659&amp;"/"&amp;C667&amp;"/"&amp;D668</f>
        <v>Coal fired power plants/Steam turbine/Electricity only with CCS/M</v>
      </c>
      <c r="F668" s="79" t="str">
        <f>A633</f>
        <v>Coal fired power plants</v>
      </c>
      <c r="G668" s="79" t="str">
        <f>B659</f>
        <v>Steam turbine</v>
      </c>
      <c r="H668" s="79" t="str">
        <f>C667</f>
        <v>Electricity only with CCS</v>
      </c>
      <c r="I668" s="167" t="str">
        <f t="shared" si="362"/>
        <v>M</v>
      </c>
      <c r="J668" s="72" t="str">
        <f>IF(tech_base!$T44&gt;J$625,"",(1000*tech_proj!J1008*(-PMT($J$110,tech_base!$F44,1))+1000*tech_proj!J1288)/((1-tech_proj!J448)*tech_proj!J728*$L$110))</f>
        <v/>
      </c>
      <c r="K668" s="72" t="str">
        <f>IF(tech_base!$T44&gt;K$625,"",(1000*tech_proj!K1008*(-PMT($J$110,tech_base!$F44,1))+1000*tech_proj!K1288)/((1-tech_proj!K448)*tech_proj!K728*$L$110))</f>
        <v/>
      </c>
      <c r="L668" s="72" t="str">
        <f>IF(tech_base!$T44&gt;L$625,"",(1000*tech_proj!L1008*(-PMT($J$110,tech_base!$F44,1))+1000*tech_proj!L1288)/((1-tech_proj!L448)*tech_proj!L728*$L$110))</f>
        <v/>
      </c>
      <c r="M668" s="72" t="str">
        <f>IF(tech_base!$T44&gt;M$625,"",(1000*tech_proj!M1008*(-PMT($J$110,tech_base!$F44,1))+1000*tech_proj!M1288)/((1-tech_proj!M448)*tech_proj!M728*$L$110))</f>
        <v/>
      </c>
      <c r="N668" s="72" t="str">
        <f>IF(tech_base!$T44&gt;N$625,"",(1000*tech_proj!N1008*(-PMT($J$110,tech_base!$F44,1))+1000*tech_proj!N1288)/((1-tech_proj!N448)*tech_proj!N728*$L$110))</f>
        <v/>
      </c>
      <c r="O668" s="72" t="str">
        <f>IF(tech_base!$T44&gt;O$625,"",(1000*tech_proj!O1008*(-PMT($J$110,tech_base!$F44,1))+1000*tech_proj!O1288)/((1-tech_proj!O448)*tech_proj!O728*$L$110))</f>
        <v/>
      </c>
      <c r="P668" s="72" t="str">
        <f>IF(tech_base!$T44&gt;P$625,"",(1000*tech_proj!P1008*(-PMT($J$110,tech_base!$F44,1))+1000*tech_proj!P1288)/((1-tech_proj!P448)*tech_proj!P728*$L$110))</f>
        <v/>
      </c>
      <c r="Q668" s="72" t="str">
        <f>IF(tech_base!$T44&gt;Q$625,"",(1000*tech_proj!Q1008*(-PMT($J$110,tech_base!$F44,1))+1000*tech_proj!Q1288)/((1-tech_proj!Q448)*tech_proj!Q728*$L$110))</f>
        <v/>
      </c>
      <c r="R668" s="72" t="str">
        <f>IF(tech_base!$T44&gt;R$625,"",(1000*tech_proj!R1008*(-PMT($J$110,tech_base!$F44,1))+1000*tech_proj!R1288)/((1-tech_proj!R448)*tech_proj!R728*$L$110))</f>
        <v/>
      </c>
      <c r="S668" s="72" t="str">
        <f>IF(tech_base!$T44&gt;S$625,"",(1000*tech_proj!S1008*(-PMT($J$110,tech_base!$F44,1))+1000*tech_proj!S1288)/((1-tech_proj!S448)*tech_proj!S728*$L$110))</f>
        <v/>
      </c>
      <c r="T668" s="72" t="str">
        <f>IF(tech_base!$T44&gt;T$625,"",(1000*tech_proj!T1008*(-PMT($J$110,tech_base!$F44,1))+1000*tech_proj!T1288)/((1-tech_proj!T448)*tech_proj!T728*$L$110))</f>
        <v/>
      </c>
      <c r="U668" s="72" t="str">
        <f>IF(tech_base!$T44&gt;U$625,"",(1000*tech_proj!U1008*(-PMT($J$110,tech_base!$F44,1))+1000*tech_proj!U1288)/((1-tech_proj!U448)*tech_proj!U728*$L$110))</f>
        <v/>
      </c>
      <c r="V668" s="72" t="str">
        <f>IF(tech_base!$T44&gt;V$625,"",(1000*tech_proj!V1008*(-PMT($J$110,tech_base!$F44,1))+1000*tech_proj!V1288)/((1-tech_proj!V448)*tech_proj!V728*$L$110))</f>
        <v/>
      </c>
      <c r="W668" s="72" t="str">
        <f>IF(tech_base!$T44&gt;W$625,"",(1000*tech_proj!W1008*(-PMT($J$110,tech_base!$F44,1))+1000*tech_proj!W1288)/((1-tech_proj!W448)*tech_proj!W728*$L$110))</f>
        <v/>
      </c>
      <c r="X668" s="72" t="str">
        <f>IF(tech_base!$T44&gt;X$625,"",(1000*tech_proj!X1008*(-PMT($J$110,tech_base!$F44,1))+1000*tech_proj!X1288)/((1-tech_proj!X448)*tech_proj!X728*$L$110))</f>
        <v/>
      </c>
      <c r="Y668" s="72" t="str">
        <f>IF(tech_base!$T44&gt;Y$625,"",(1000*tech_proj!Y1008*(-PMT($J$110,tech_base!$F44,1))+1000*tech_proj!Y1288)/((1-tech_proj!Y448)*tech_proj!Y728*$L$110))</f>
        <v/>
      </c>
      <c r="Z668" s="72" t="str">
        <f>IF(tech_base!$T44&gt;Z$625,"",(1000*tech_proj!Z1008*(-PMT($J$110,tech_base!$F44,1))+1000*tech_proj!Z1288)/((1-tech_proj!Z448)*tech_proj!Z728*$L$110))</f>
        <v/>
      </c>
      <c r="AA668" s="72" t="str">
        <f>IF(tech_base!$T44&gt;AA$625,"",(1000*tech_proj!AA1008*(-PMT($J$110,tech_base!$F44,1))+1000*tech_proj!AA1288)/((1-tech_proj!AA448)*tech_proj!AA728*$L$110))</f>
        <v/>
      </c>
      <c r="AB668" s="72" t="str">
        <f>IF(tech_base!$T44&gt;AB$625,"",(1000*tech_proj!AB1008*(-PMT($J$110,tech_base!$F44,1))+1000*tech_proj!AB1288)/((1-tech_proj!AB448)*tech_proj!AB728*$L$110))</f>
        <v/>
      </c>
      <c r="AC668" s="72" t="str">
        <f>IF(tech_base!$T44&gt;AC$625,"",(1000*tech_proj!AC1008*(-PMT($J$110,tech_base!$F44,1))+1000*tech_proj!AC1288)/((1-tech_proj!AC448)*tech_proj!AC728*$L$110))</f>
        <v/>
      </c>
      <c r="AD668" s="72" t="str">
        <f>IF(tech_base!$T44&gt;AD$625,"",(1000*tech_proj!AD1008*(-PMT($J$110,tech_base!$F44,1))+1000*tech_proj!AD1288)/((1-tech_proj!AD448)*tech_proj!AD728*$L$110))</f>
        <v/>
      </c>
      <c r="AE668" s="72">
        <f>IF(tech_base!$T44&gt;AE$625,"",(1000*tech_proj!AE1008*(-PMT($J$110,tech_base!$F44,1))+1000*tech_proj!AE1288)/((1-tech_proj!AE448)*tech_proj!AE728*$L$110))</f>
        <v>132.46164864176532</v>
      </c>
      <c r="AF668" s="72">
        <f>IF(tech_base!$T44&gt;AF$625,"",(1000*tech_proj!AF1008*(-PMT($J$110,tech_base!$F44,1))+1000*tech_proj!AF1288)/((1-tech_proj!AF448)*tech_proj!AF728*$L$110))</f>
        <v>132.46164864176532</v>
      </c>
      <c r="AG668" s="72">
        <f>IF(tech_base!$T44&gt;AG$625,"",(1000*tech_proj!AG1008*(-PMT($J$110,tech_base!$F44,1))+1000*tech_proj!AG1288)/((1-tech_proj!AG448)*tech_proj!AG728*$L$110))</f>
        <v>132.46164864176532</v>
      </c>
      <c r="AH668" s="72">
        <f>IF(tech_base!$T44&gt;AH$625,"",(1000*tech_proj!AH1008*(-PMT($J$110,tech_base!$F44,1))+1000*tech_proj!AH1288)/((1-tech_proj!AH448)*tech_proj!AH728*$L$110))</f>
        <v>132.46164864176532</v>
      </c>
      <c r="AI668" s="72">
        <f>IF(tech_base!$T44&gt;AI$625,"",(1000*tech_proj!AI1008*(-PMT($J$110,tech_base!$F44,1))+1000*tech_proj!AI1288)/((1-tech_proj!AI448)*tech_proj!AI728*$L$110))</f>
        <v>132.46164864176532</v>
      </c>
      <c r="AJ668" s="72">
        <f>IF(tech_base!$T44&gt;AJ$625,"",(1000*tech_proj!AJ1008*(-PMT($J$110,tech_base!$F44,1))+1000*tech_proj!AJ1288)/((1-tech_proj!AJ448)*tech_proj!AJ728*$L$110))</f>
        <v>132.46164864176532</v>
      </c>
      <c r="AK668" s="72">
        <f>IF(tech_base!$T44&gt;AK$625,"",(1000*tech_proj!AK1008*(-PMT($J$110,tech_base!$F44,1))+1000*tech_proj!AK1288)/((1-tech_proj!AK448)*tech_proj!AK728*$L$110))</f>
        <v>132.46164864176532</v>
      </c>
      <c r="AL668" s="72">
        <f>IF(tech_base!$T44&gt;AL$625,"",(1000*tech_proj!AL1008*(-PMT($J$110,tech_base!$F44,1))+1000*tech_proj!AL1288)/((1-tech_proj!AL448)*tech_proj!AL728*$L$110))</f>
        <v>132.46164864176532</v>
      </c>
      <c r="AM668" s="72">
        <f>IF(tech_base!$T44&gt;AM$625,"",(1000*tech_proj!AM1008*(-PMT($J$110,tech_base!$F44,1))+1000*tech_proj!AM1288)/((1-tech_proj!AM448)*tech_proj!AM728*$L$110))</f>
        <v>132.46164864176532</v>
      </c>
      <c r="AN668" s="72">
        <f>IF(tech_base!$T44&gt;AN$625,"",(1000*tech_proj!AN1008*(-PMT($J$110,tech_base!$F44,1))+1000*tech_proj!AN1288)/((1-tech_proj!AN448)*tech_proj!AN728*$L$110))</f>
        <v>132.46164864176532</v>
      </c>
      <c r="AO668" s="72">
        <f>IF(tech_base!$T44&gt;AO$625,"",(1000*tech_proj!AO1008*(-PMT($J$110,tech_base!$F44,1))+1000*tech_proj!AO1288)/((1-tech_proj!AO448)*tech_proj!AO728*$L$110))</f>
        <v>132.46164864176532</v>
      </c>
      <c r="AP668" s="72">
        <f>IF(tech_base!$T44&gt;AP$625,"",(1000*tech_proj!AP1008*(-PMT($J$110,tech_base!$F44,1))+1000*tech_proj!AP1288)/((1-tech_proj!AP448)*tech_proj!AP728*$L$110))</f>
        <v>132.46164864176532</v>
      </c>
      <c r="AQ668" s="72">
        <f>IF(tech_base!$T44&gt;AQ$625,"",(1000*tech_proj!AQ1008*(-PMT($J$110,tech_base!$F44,1))+1000*tech_proj!AQ1288)/((1-tech_proj!AQ448)*tech_proj!AQ728*$L$110))</f>
        <v>132.46164864176532</v>
      </c>
      <c r="AR668" s="72">
        <f>IF(tech_base!$T44&gt;AR$625,"",(1000*tech_proj!AR1008*(-PMT($J$110,tech_base!$F44,1))+1000*tech_proj!AR1288)/((1-tech_proj!AR448)*tech_proj!AR728*$L$110))</f>
        <v>132.46164864176532</v>
      </c>
      <c r="AS668" s="72">
        <f>IF(tech_base!$T44&gt;AS$625,"",(1000*tech_proj!AS1008*(-PMT($J$110,tech_base!$F44,1))+1000*tech_proj!AS1288)/((1-tech_proj!AS448)*tech_proj!AS728*$L$110))</f>
        <v>132.46164864176532</v>
      </c>
      <c r="AT668" s="72">
        <f>IF(tech_base!$T44&gt;AT$625,"",(1000*tech_proj!AT1008*(-PMT($J$110,tech_base!$F44,1))+1000*tech_proj!AT1288)/((1-tech_proj!AT448)*tech_proj!AT728*$L$110))</f>
        <v>132.46164864176532</v>
      </c>
      <c r="AU668" s="72">
        <f>IF(tech_base!$T44&gt;AU$625,"",(1000*tech_proj!AU1008*(-PMT($J$110,tech_base!$F44,1))+1000*tech_proj!AU1288)/((1-tech_proj!AU448)*tech_proj!AU728*$L$110))</f>
        <v>132.46164864176532</v>
      </c>
      <c r="AV668" s="72">
        <f>IF(tech_base!$T44&gt;AV$625,"",(1000*tech_proj!AV1008*(-PMT($J$110,tech_base!$F44,1))+1000*tech_proj!AV1288)/((1-tech_proj!AV448)*tech_proj!AV728*$L$110))</f>
        <v>132.46164864176532</v>
      </c>
      <c r="AW668" s="72">
        <f>IF(tech_base!$T44&gt;AW$625,"",(1000*tech_proj!AW1008*(-PMT($J$110,tech_base!$F44,1))+1000*tech_proj!AW1288)/((1-tech_proj!AW448)*tech_proj!AW728*$L$110))</f>
        <v>132.46164864176532</v>
      </c>
      <c r="AX668" s="238">
        <f>IF(tech_base!$T44&gt;AX$625,"",(1000*tech_proj!AX1008*(-PMT($J$110,tech_base!$F44,1))+1000*tech_proj!AX1288)/((1-tech_proj!AX448)*tech_proj!AX728*$L$110))</f>
        <v>132.46164864176532</v>
      </c>
      <c r="AY668" s="133"/>
    </row>
    <row r="669" spans="1:51" s="174" customFormat="1" x14ac:dyDescent="0.25">
      <c r="A669" s="356"/>
      <c r="B669" s="376"/>
      <c r="C669" s="361" t="s">
        <v>16</v>
      </c>
      <c r="D669" s="2" t="s">
        <v>7</v>
      </c>
      <c r="E669" s="160" t="str">
        <f>A633&amp;"/"&amp;B659&amp;"/"&amp;C669&amp;"/"&amp;D669</f>
        <v>Coal fired power plants/Steam turbine/CHP with CCS/L</v>
      </c>
      <c r="F669" s="76" t="str">
        <f>A633</f>
        <v>Coal fired power plants</v>
      </c>
      <c r="G669" s="76" t="str">
        <f>B659</f>
        <v>Steam turbine</v>
      </c>
      <c r="H669" s="76" t="str">
        <f>C669</f>
        <v>CHP with CCS</v>
      </c>
      <c r="I669" s="161" t="str">
        <f t="shared" si="362"/>
        <v>L</v>
      </c>
      <c r="J669" s="69" t="str">
        <f>IF(tech_base!$T45&gt;J$625,"",(1000*tech_proj!J1009*(-PMT($J$110,tech_base!$F45,1))+1000*tech_proj!J1289)/((1-tech_proj!J449)*tech_proj!J729*$L$110))</f>
        <v/>
      </c>
      <c r="K669" s="69" t="str">
        <f>IF(tech_base!$T45&gt;K$625,"",(1000*tech_proj!K1009*(-PMT($J$110,tech_base!$F45,1))+1000*tech_proj!K1289)/((1-tech_proj!K449)*tech_proj!K729*$L$110))</f>
        <v/>
      </c>
      <c r="L669" s="69" t="str">
        <f>IF(tech_base!$T45&gt;L$625,"",(1000*tech_proj!L1009*(-PMT($J$110,tech_base!$F45,1))+1000*tech_proj!L1289)/((1-tech_proj!L449)*tech_proj!L729*$L$110))</f>
        <v/>
      </c>
      <c r="M669" s="69" t="str">
        <f>IF(tech_base!$T45&gt;M$625,"",(1000*tech_proj!M1009*(-PMT($J$110,tech_base!$F45,1))+1000*tech_proj!M1289)/((1-tech_proj!M449)*tech_proj!M729*$L$110))</f>
        <v/>
      </c>
      <c r="N669" s="69" t="str">
        <f>IF(tech_base!$T45&gt;N$625,"",(1000*tech_proj!N1009*(-PMT($J$110,tech_base!$F45,1))+1000*tech_proj!N1289)/((1-tech_proj!N449)*tech_proj!N729*$L$110))</f>
        <v/>
      </c>
      <c r="O669" s="69" t="str">
        <f>IF(tech_base!$T45&gt;O$625,"",(1000*tech_proj!O1009*(-PMT($J$110,tech_base!$F45,1))+1000*tech_proj!O1289)/((1-tech_proj!O449)*tech_proj!O729*$L$110))</f>
        <v/>
      </c>
      <c r="P669" s="69" t="str">
        <f>IF(tech_base!$T45&gt;P$625,"",(1000*tech_proj!P1009*(-PMT($J$110,tech_base!$F45,1))+1000*tech_proj!P1289)/((1-tech_proj!P449)*tech_proj!P729*$L$110))</f>
        <v/>
      </c>
      <c r="Q669" s="69" t="str">
        <f>IF(tech_base!$T45&gt;Q$625,"",(1000*tech_proj!Q1009*(-PMT($J$110,tech_base!$F45,1))+1000*tech_proj!Q1289)/((1-tech_proj!Q449)*tech_proj!Q729*$L$110))</f>
        <v/>
      </c>
      <c r="R669" s="69" t="str">
        <f>IF(tech_base!$T45&gt;R$625,"",(1000*tech_proj!R1009*(-PMT($J$110,tech_base!$F45,1))+1000*tech_proj!R1289)/((1-tech_proj!R449)*tech_proj!R729*$L$110))</f>
        <v/>
      </c>
      <c r="S669" s="69" t="str">
        <f>IF(tech_base!$T45&gt;S$625,"",(1000*tech_proj!S1009*(-PMT($J$110,tech_base!$F45,1))+1000*tech_proj!S1289)/((1-tech_proj!S449)*tech_proj!S729*$L$110))</f>
        <v/>
      </c>
      <c r="T669" s="69" t="str">
        <f>IF(tech_base!$T45&gt;T$625,"",(1000*tech_proj!T1009*(-PMT($J$110,tech_base!$F45,1))+1000*tech_proj!T1289)/((1-tech_proj!T449)*tech_proj!T729*$L$110))</f>
        <v/>
      </c>
      <c r="U669" s="69" t="str">
        <f>IF(tech_base!$T45&gt;U$625,"",(1000*tech_proj!U1009*(-PMT($J$110,tech_base!$F45,1))+1000*tech_proj!U1289)/((1-tech_proj!U449)*tech_proj!U729*$L$110))</f>
        <v/>
      </c>
      <c r="V669" s="69" t="str">
        <f>IF(tech_base!$T45&gt;V$625,"",(1000*tech_proj!V1009*(-PMT($J$110,tech_base!$F45,1))+1000*tech_proj!V1289)/((1-tech_proj!V449)*tech_proj!V729*$L$110))</f>
        <v/>
      </c>
      <c r="W669" s="69" t="str">
        <f>IF(tech_base!$T45&gt;W$625,"",(1000*tech_proj!W1009*(-PMT($J$110,tech_base!$F45,1))+1000*tech_proj!W1289)/((1-tech_proj!W449)*tech_proj!W729*$L$110))</f>
        <v/>
      </c>
      <c r="X669" s="69" t="str">
        <f>IF(tech_base!$T45&gt;X$625,"",(1000*tech_proj!X1009*(-PMT($J$110,tech_base!$F45,1))+1000*tech_proj!X1289)/((1-tech_proj!X449)*tech_proj!X729*$L$110))</f>
        <v/>
      </c>
      <c r="Y669" s="69" t="str">
        <f>IF(tech_base!$T45&gt;Y$625,"",(1000*tech_proj!Y1009*(-PMT($J$110,tech_base!$F45,1))+1000*tech_proj!Y1289)/((1-tech_proj!Y449)*tech_proj!Y729*$L$110))</f>
        <v/>
      </c>
      <c r="Z669" s="69" t="str">
        <f>IF(tech_base!$T45&gt;Z$625,"",(1000*tech_proj!Z1009*(-PMT($J$110,tech_base!$F45,1))+1000*tech_proj!Z1289)/((1-tech_proj!Z449)*tech_proj!Z729*$L$110))</f>
        <v/>
      </c>
      <c r="AA669" s="69" t="str">
        <f>IF(tech_base!$T45&gt;AA$625,"",(1000*tech_proj!AA1009*(-PMT($J$110,tech_base!$F45,1))+1000*tech_proj!AA1289)/((1-tech_proj!AA449)*tech_proj!AA729*$L$110))</f>
        <v/>
      </c>
      <c r="AB669" s="69" t="str">
        <f>IF(tech_base!$T45&gt;AB$625,"",(1000*tech_proj!AB1009*(-PMT($J$110,tech_base!$F45,1))+1000*tech_proj!AB1289)/((1-tech_proj!AB449)*tech_proj!AB729*$L$110))</f>
        <v/>
      </c>
      <c r="AC669" s="69" t="str">
        <f>IF(tech_base!$T45&gt;AC$625,"",(1000*tech_proj!AC1009*(-PMT($J$110,tech_base!$F45,1))+1000*tech_proj!AC1289)/((1-tech_proj!AC449)*tech_proj!AC729*$L$110))</f>
        <v/>
      </c>
      <c r="AD669" s="69" t="str">
        <f>IF(tech_base!$T45&gt;AD$625,"",(1000*tech_proj!AD1009*(-PMT($J$110,tech_base!$F45,1))+1000*tech_proj!AD1289)/((1-tech_proj!AD449)*tech_proj!AD729*$L$110))</f>
        <v/>
      </c>
      <c r="AE669" s="69">
        <f>IF(tech_base!$T45&gt;AE$625,"",(1000*tech_proj!AE1009*(-PMT($J$110,tech_base!$F45,1))+1000*tech_proj!AE1289)/((1-tech_proj!AE449)*tech_proj!AE729*$L$110))</f>
        <v>130.6932816669588</v>
      </c>
      <c r="AF669" s="69">
        <f>IF(tech_base!$T45&gt;AF$625,"",(1000*tech_proj!AF1009*(-PMT($J$110,tech_base!$F45,1))+1000*tech_proj!AF1289)/((1-tech_proj!AF449)*tech_proj!AF729*$L$110))</f>
        <v>130.6932816669588</v>
      </c>
      <c r="AG669" s="69">
        <f>IF(tech_base!$T45&gt;AG$625,"",(1000*tech_proj!AG1009*(-PMT($J$110,tech_base!$F45,1))+1000*tech_proj!AG1289)/((1-tech_proj!AG449)*tech_proj!AG729*$L$110))</f>
        <v>130.6932816669588</v>
      </c>
      <c r="AH669" s="69">
        <f>IF(tech_base!$T45&gt;AH$625,"",(1000*tech_proj!AH1009*(-PMT($J$110,tech_base!$F45,1))+1000*tech_proj!AH1289)/((1-tech_proj!AH449)*tech_proj!AH729*$L$110))</f>
        <v>130.6932816669588</v>
      </c>
      <c r="AI669" s="69">
        <f>IF(tech_base!$T45&gt;AI$625,"",(1000*tech_proj!AI1009*(-PMT($J$110,tech_base!$F45,1))+1000*tech_proj!AI1289)/((1-tech_proj!AI449)*tech_proj!AI729*$L$110))</f>
        <v>130.6932816669588</v>
      </c>
      <c r="AJ669" s="69">
        <f>IF(tech_base!$T45&gt;AJ$625,"",(1000*tech_proj!AJ1009*(-PMT($J$110,tech_base!$F45,1))+1000*tech_proj!AJ1289)/((1-tech_proj!AJ449)*tech_proj!AJ729*$L$110))</f>
        <v>130.6932816669588</v>
      </c>
      <c r="AK669" s="69">
        <f>IF(tech_base!$T45&gt;AK$625,"",(1000*tech_proj!AK1009*(-PMT($J$110,tech_base!$F45,1))+1000*tech_proj!AK1289)/((1-tech_proj!AK449)*tech_proj!AK729*$L$110))</f>
        <v>130.6932816669588</v>
      </c>
      <c r="AL669" s="69">
        <f>IF(tech_base!$T45&gt;AL$625,"",(1000*tech_proj!AL1009*(-PMT($J$110,tech_base!$F45,1))+1000*tech_proj!AL1289)/((1-tech_proj!AL449)*tech_proj!AL729*$L$110))</f>
        <v>130.6932816669588</v>
      </c>
      <c r="AM669" s="69">
        <f>IF(tech_base!$T45&gt;AM$625,"",(1000*tech_proj!AM1009*(-PMT($J$110,tech_base!$F45,1))+1000*tech_proj!AM1289)/((1-tech_proj!AM449)*tech_proj!AM729*$L$110))</f>
        <v>130.6932816669588</v>
      </c>
      <c r="AN669" s="69">
        <f>IF(tech_base!$T45&gt;AN$625,"",(1000*tech_proj!AN1009*(-PMT($J$110,tech_base!$F45,1))+1000*tech_proj!AN1289)/((1-tech_proj!AN449)*tech_proj!AN729*$L$110))</f>
        <v>130.6932816669588</v>
      </c>
      <c r="AO669" s="69">
        <f>IF(tech_base!$T45&gt;AO$625,"",(1000*tech_proj!AO1009*(-PMT($J$110,tech_base!$F45,1))+1000*tech_proj!AO1289)/((1-tech_proj!AO449)*tech_proj!AO729*$L$110))</f>
        <v>130.6932816669588</v>
      </c>
      <c r="AP669" s="69">
        <f>IF(tech_base!$T45&gt;AP$625,"",(1000*tech_proj!AP1009*(-PMT($J$110,tech_base!$F45,1))+1000*tech_proj!AP1289)/((1-tech_proj!AP449)*tech_proj!AP729*$L$110))</f>
        <v>130.6932816669588</v>
      </c>
      <c r="AQ669" s="69">
        <f>IF(tech_base!$T45&gt;AQ$625,"",(1000*tech_proj!AQ1009*(-PMT($J$110,tech_base!$F45,1))+1000*tech_proj!AQ1289)/((1-tech_proj!AQ449)*tech_proj!AQ729*$L$110))</f>
        <v>130.6932816669588</v>
      </c>
      <c r="AR669" s="69">
        <f>IF(tech_base!$T45&gt;AR$625,"",(1000*tech_proj!AR1009*(-PMT($J$110,tech_base!$F45,1))+1000*tech_proj!AR1289)/((1-tech_proj!AR449)*tech_proj!AR729*$L$110))</f>
        <v>130.6932816669588</v>
      </c>
      <c r="AS669" s="69">
        <f>IF(tech_base!$T45&gt;AS$625,"",(1000*tech_proj!AS1009*(-PMT($J$110,tech_base!$F45,1))+1000*tech_proj!AS1289)/((1-tech_proj!AS449)*tech_proj!AS729*$L$110))</f>
        <v>130.6932816669588</v>
      </c>
      <c r="AT669" s="69">
        <f>IF(tech_base!$T45&gt;AT$625,"",(1000*tech_proj!AT1009*(-PMT($J$110,tech_base!$F45,1))+1000*tech_proj!AT1289)/((1-tech_proj!AT449)*tech_proj!AT729*$L$110))</f>
        <v>130.6932816669588</v>
      </c>
      <c r="AU669" s="69">
        <f>IF(tech_base!$T45&gt;AU$625,"",(1000*tech_proj!AU1009*(-PMT($J$110,tech_base!$F45,1))+1000*tech_proj!AU1289)/((1-tech_proj!AU449)*tech_proj!AU729*$L$110))</f>
        <v>130.6932816669588</v>
      </c>
      <c r="AV669" s="69">
        <f>IF(tech_base!$T45&gt;AV$625,"",(1000*tech_proj!AV1009*(-PMT($J$110,tech_base!$F45,1))+1000*tech_proj!AV1289)/((1-tech_proj!AV449)*tech_proj!AV729*$L$110))</f>
        <v>130.6932816669588</v>
      </c>
      <c r="AW669" s="69">
        <f>IF(tech_base!$T45&gt;AW$625,"",(1000*tech_proj!AW1009*(-PMT($J$110,tech_base!$F45,1))+1000*tech_proj!AW1289)/((1-tech_proj!AW449)*tech_proj!AW729*$L$110))</f>
        <v>130.6932816669588</v>
      </c>
      <c r="AX669" s="235">
        <f>IF(tech_base!$T45&gt;AX$625,"",(1000*tech_proj!AX1009*(-PMT($J$110,tech_base!$F45,1))+1000*tech_proj!AX1289)/((1-tech_proj!AX449)*tech_proj!AX729*$L$110))</f>
        <v>130.6932816669588</v>
      </c>
      <c r="AY669" s="133"/>
    </row>
    <row r="670" spans="1:51" s="174" customFormat="1" x14ac:dyDescent="0.25">
      <c r="A670" s="357"/>
      <c r="B670" s="380"/>
      <c r="C670" s="381"/>
      <c r="D670" s="4" t="s">
        <v>8</v>
      </c>
      <c r="E670" s="168" t="str">
        <f>A633&amp;"/"&amp;B659&amp;"/"&amp;C669&amp;"/"&amp;D670</f>
        <v>Coal fired power plants/Steam turbine/CHP with CCS/M</v>
      </c>
      <c r="F670" s="80" t="str">
        <f>A633</f>
        <v>Coal fired power plants</v>
      </c>
      <c r="G670" s="80" t="str">
        <f>B659</f>
        <v>Steam turbine</v>
      </c>
      <c r="H670" s="80" t="str">
        <f>C669</f>
        <v>CHP with CCS</v>
      </c>
      <c r="I670" s="169" t="str">
        <f t="shared" si="362"/>
        <v>M</v>
      </c>
      <c r="J670" s="73" t="str">
        <f>IF(tech_base!$T46&gt;J$625,"",(1000*tech_proj!J1010*(-PMT($J$110,tech_base!$F46,1))+1000*tech_proj!J1290)/((1-tech_proj!J450)*tech_proj!J730*$L$110))</f>
        <v/>
      </c>
      <c r="K670" s="73" t="str">
        <f>IF(tech_base!$T46&gt;K$625,"",(1000*tech_proj!K1010*(-PMT($J$110,tech_base!$F46,1))+1000*tech_proj!K1290)/((1-tech_proj!K450)*tech_proj!K730*$L$110))</f>
        <v/>
      </c>
      <c r="L670" s="73" t="str">
        <f>IF(tech_base!$T46&gt;L$625,"",(1000*tech_proj!L1010*(-PMT($J$110,tech_base!$F46,1))+1000*tech_proj!L1290)/((1-tech_proj!L450)*tech_proj!L730*$L$110))</f>
        <v/>
      </c>
      <c r="M670" s="73" t="str">
        <f>IF(tech_base!$T46&gt;M$625,"",(1000*tech_proj!M1010*(-PMT($J$110,tech_base!$F46,1))+1000*tech_proj!M1290)/((1-tech_proj!M450)*tech_proj!M730*$L$110))</f>
        <v/>
      </c>
      <c r="N670" s="73" t="str">
        <f>IF(tech_base!$T46&gt;N$625,"",(1000*tech_proj!N1010*(-PMT($J$110,tech_base!$F46,1))+1000*tech_proj!N1290)/((1-tech_proj!N450)*tech_proj!N730*$L$110))</f>
        <v/>
      </c>
      <c r="O670" s="73" t="str">
        <f>IF(tech_base!$T46&gt;O$625,"",(1000*tech_proj!O1010*(-PMT($J$110,tech_base!$F46,1))+1000*tech_proj!O1290)/((1-tech_proj!O450)*tech_proj!O730*$L$110))</f>
        <v/>
      </c>
      <c r="P670" s="73" t="str">
        <f>IF(tech_base!$T46&gt;P$625,"",(1000*tech_proj!P1010*(-PMT($J$110,tech_base!$F46,1))+1000*tech_proj!P1290)/((1-tech_proj!P450)*tech_proj!P730*$L$110))</f>
        <v/>
      </c>
      <c r="Q670" s="73" t="str">
        <f>IF(tech_base!$T46&gt;Q$625,"",(1000*tech_proj!Q1010*(-PMT($J$110,tech_base!$F46,1))+1000*tech_proj!Q1290)/((1-tech_proj!Q450)*tech_proj!Q730*$L$110))</f>
        <v/>
      </c>
      <c r="R670" s="73" t="str">
        <f>IF(tech_base!$T46&gt;R$625,"",(1000*tech_proj!R1010*(-PMT($J$110,tech_base!$F46,1))+1000*tech_proj!R1290)/((1-tech_proj!R450)*tech_proj!R730*$L$110))</f>
        <v/>
      </c>
      <c r="S670" s="73" t="str">
        <f>IF(tech_base!$T46&gt;S$625,"",(1000*tech_proj!S1010*(-PMT($J$110,tech_base!$F46,1))+1000*tech_proj!S1290)/((1-tech_proj!S450)*tech_proj!S730*$L$110))</f>
        <v/>
      </c>
      <c r="T670" s="73" t="str">
        <f>IF(tech_base!$T46&gt;T$625,"",(1000*tech_proj!T1010*(-PMT($J$110,tech_base!$F46,1))+1000*tech_proj!T1290)/((1-tech_proj!T450)*tech_proj!T730*$L$110))</f>
        <v/>
      </c>
      <c r="U670" s="73" t="str">
        <f>IF(tech_base!$T46&gt;U$625,"",(1000*tech_proj!U1010*(-PMT($J$110,tech_base!$F46,1))+1000*tech_proj!U1290)/((1-tech_proj!U450)*tech_proj!U730*$L$110))</f>
        <v/>
      </c>
      <c r="V670" s="73" t="str">
        <f>IF(tech_base!$T46&gt;V$625,"",(1000*tech_proj!V1010*(-PMT($J$110,tech_base!$F46,1))+1000*tech_proj!V1290)/((1-tech_proj!V450)*tech_proj!V730*$L$110))</f>
        <v/>
      </c>
      <c r="W670" s="73" t="str">
        <f>IF(tech_base!$T46&gt;W$625,"",(1000*tech_proj!W1010*(-PMT($J$110,tech_base!$F46,1))+1000*tech_proj!W1290)/((1-tech_proj!W450)*tech_proj!W730*$L$110))</f>
        <v/>
      </c>
      <c r="X670" s="73" t="str">
        <f>IF(tech_base!$T46&gt;X$625,"",(1000*tech_proj!X1010*(-PMT($J$110,tech_base!$F46,1))+1000*tech_proj!X1290)/((1-tech_proj!X450)*tech_proj!X730*$L$110))</f>
        <v/>
      </c>
      <c r="Y670" s="73" t="str">
        <f>IF(tech_base!$T46&gt;Y$625,"",(1000*tech_proj!Y1010*(-PMT($J$110,tech_base!$F46,1))+1000*tech_proj!Y1290)/((1-tech_proj!Y450)*tech_proj!Y730*$L$110))</f>
        <v/>
      </c>
      <c r="Z670" s="73" t="str">
        <f>IF(tech_base!$T46&gt;Z$625,"",(1000*tech_proj!Z1010*(-PMT($J$110,tech_base!$F46,1))+1000*tech_proj!Z1290)/((1-tech_proj!Z450)*tech_proj!Z730*$L$110))</f>
        <v/>
      </c>
      <c r="AA670" s="73" t="str">
        <f>IF(tech_base!$T46&gt;AA$625,"",(1000*tech_proj!AA1010*(-PMT($J$110,tech_base!$F46,1))+1000*tech_proj!AA1290)/((1-tech_proj!AA450)*tech_proj!AA730*$L$110))</f>
        <v/>
      </c>
      <c r="AB670" s="73" t="str">
        <f>IF(tech_base!$T46&gt;AB$625,"",(1000*tech_proj!AB1010*(-PMT($J$110,tech_base!$F46,1))+1000*tech_proj!AB1290)/((1-tech_proj!AB450)*tech_proj!AB730*$L$110))</f>
        <v/>
      </c>
      <c r="AC670" s="73" t="str">
        <f>IF(tech_base!$T46&gt;AC$625,"",(1000*tech_proj!AC1010*(-PMT($J$110,tech_base!$F46,1))+1000*tech_proj!AC1290)/((1-tech_proj!AC450)*tech_proj!AC730*$L$110))</f>
        <v/>
      </c>
      <c r="AD670" s="73" t="str">
        <f>IF(tech_base!$T46&gt;AD$625,"",(1000*tech_proj!AD1010*(-PMT($J$110,tech_base!$F46,1))+1000*tech_proj!AD1290)/((1-tech_proj!AD450)*tech_proj!AD730*$L$110))</f>
        <v/>
      </c>
      <c r="AE670" s="73">
        <f>IF(tech_base!$T46&gt;AE$625,"",(1000*tech_proj!AE1010*(-PMT($J$110,tech_base!$F46,1))+1000*tech_proj!AE1290)/((1-tech_proj!AE450)*tech_proj!AE730*$L$110))</f>
        <v>150.57119024743645</v>
      </c>
      <c r="AF670" s="73">
        <f>IF(tech_base!$T46&gt;AF$625,"",(1000*tech_proj!AF1010*(-PMT($J$110,tech_base!$F46,1))+1000*tech_proj!AF1290)/((1-tech_proj!AF450)*tech_proj!AF730*$L$110))</f>
        <v>150.57119024743645</v>
      </c>
      <c r="AG670" s="73">
        <f>IF(tech_base!$T46&gt;AG$625,"",(1000*tech_proj!AG1010*(-PMT($J$110,tech_base!$F46,1))+1000*tech_proj!AG1290)/((1-tech_proj!AG450)*tech_proj!AG730*$L$110))</f>
        <v>150.57119024743645</v>
      </c>
      <c r="AH670" s="73">
        <f>IF(tech_base!$T46&gt;AH$625,"",(1000*tech_proj!AH1010*(-PMT($J$110,tech_base!$F46,1))+1000*tech_proj!AH1290)/((1-tech_proj!AH450)*tech_proj!AH730*$L$110))</f>
        <v>150.57119024743645</v>
      </c>
      <c r="AI670" s="73">
        <f>IF(tech_base!$T46&gt;AI$625,"",(1000*tech_proj!AI1010*(-PMT($J$110,tech_base!$F46,1))+1000*tech_proj!AI1290)/((1-tech_proj!AI450)*tech_proj!AI730*$L$110))</f>
        <v>150.57119024743645</v>
      </c>
      <c r="AJ670" s="73">
        <f>IF(tech_base!$T46&gt;AJ$625,"",(1000*tech_proj!AJ1010*(-PMT($J$110,tech_base!$F46,1))+1000*tech_proj!AJ1290)/((1-tech_proj!AJ450)*tech_proj!AJ730*$L$110))</f>
        <v>150.57119024743645</v>
      </c>
      <c r="AK670" s="73">
        <f>IF(tech_base!$T46&gt;AK$625,"",(1000*tech_proj!AK1010*(-PMT($J$110,tech_base!$F46,1))+1000*tech_proj!AK1290)/((1-tech_proj!AK450)*tech_proj!AK730*$L$110))</f>
        <v>150.57119024743645</v>
      </c>
      <c r="AL670" s="73">
        <f>IF(tech_base!$T46&gt;AL$625,"",(1000*tech_proj!AL1010*(-PMT($J$110,tech_base!$F46,1))+1000*tech_proj!AL1290)/((1-tech_proj!AL450)*tech_proj!AL730*$L$110))</f>
        <v>150.57119024743645</v>
      </c>
      <c r="AM670" s="73">
        <f>IF(tech_base!$T46&gt;AM$625,"",(1000*tech_proj!AM1010*(-PMT($J$110,tech_base!$F46,1))+1000*tech_proj!AM1290)/((1-tech_proj!AM450)*tech_proj!AM730*$L$110))</f>
        <v>150.57119024743645</v>
      </c>
      <c r="AN670" s="73">
        <f>IF(tech_base!$T46&gt;AN$625,"",(1000*tech_proj!AN1010*(-PMT($J$110,tech_base!$F46,1))+1000*tech_proj!AN1290)/((1-tech_proj!AN450)*tech_proj!AN730*$L$110))</f>
        <v>150.57119024743645</v>
      </c>
      <c r="AO670" s="73">
        <f>IF(tech_base!$T46&gt;AO$625,"",(1000*tech_proj!AO1010*(-PMT($J$110,tech_base!$F46,1))+1000*tech_proj!AO1290)/((1-tech_proj!AO450)*tech_proj!AO730*$L$110))</f>
        <v>150.57119024743645</v>
      </c>
      <c r="AP670" s="73">
        <f>IF(tech_base!$T46&gt;AP$625,"",(1000*tech_proj!AP1010*(-PMT($J$110,tech_base!$F46,1))+1000*tech_proj!AP1290)/((1-tech_proj!AP450)*tech_proj!AP730*$L$110))</f>
        <v>150.57119024743645</v>
      </c>
      <c r="AQ670" s="73">
        <f>IF(tech_base!$T46&gt;AQ$625,"",(1000*tech_proj!AQ1010*(-PMT($J$110,tech_base!$F46,1))+1000*tech_proj!AQ1290)/((1-tech_proj!AQ450)*tech_proj!AQ730*$L$110))</f>
        <v>150.57119024743645</v>
      </c>
      <c r="AR670" s="73">
        <f>IF(tech_base!$T46&gt;AR$625,"",(1000*tech_proj!AR1010*(-PMT($J$110,tech_base!$F46,1))+1000*tech_proj!AR1290)/((1-tech_proj!AR450)*tech_proj!AR730*$L$110))</f>
        <v>150.57119024743645</v>
      </c>
      <c r="AS670" s="73">
        <f>IF(tech_base!$T46&gt;AS$625,"",(1000*tech_proj!AS1010*(-PMT($J$110,tech_base!$F46,1))+1000*tech_proj!AS1290)/((1-tech_proj!AS450)*tech_proj!AS730*$L$110))</f>
        <v>150.57119024743645</v>
      </c>
      <c r="AT670" s="73">
        <f>IF(tech_base!$T46&gt;AT$625,"",(1000*tech_proj!AT1010*(-PMT($J$110,tech_base!$F46,1))+1000*tech_proj!AT1290)/((1-tech_proj!AT450)*tech_proj!AT730*$L$110))</f>
        <v>150.57119024743645</v>
      </c>
      <c r="AU670" s="73">
        <f>IF(tech_base!$T46&gt;AU$625,"",(1000*tech_proj!AU1010*(-PMT($J$110,tech_base!$F46,1))+1000*tech_proj!AU1290)/((1-tech_proj!AU450)*tech_proj!AU730*$L$110))</f>
        <v>150.57119024743645</v>
      </c>
      <c r="AV670" s="73">
        <f>IF(tech_base!$T46&gt;AV$625,"",(1000*tech_proj!AV1010*(-PMT($J$110,tech_base!$F46,1))+1000*tech_proj!AV1290)/((1-tech_proj!AV450)*tech_proj!AV730*$L$110))</f>
        <v>150.57119024743645</v>
      </c>
      <c r="AW670" s="73">
        <f>IF(tech_base!$T46&gt;AW$625,"",(1000*tech_proj!AW1010*(-PMT($J$110,tech_base!$F46,1))+1000*tech_proj!AW1290)/((1-tech_proj!AW450)*tech_proj!AW730*$L$110))</f>
        <v>150.57119024743645</v>
      </c>
      <c r="AX670" s="239">
        <f>IF(tech_base!$T46&gt;AX$625,"",(1000*tech_proj!AX1010*(-PMT($J$110,tech_base!$F46,1))+1000*tech_proj!AX1290)/((1-tech_proj!AX450)*tech_proj!AX730*$L$110))</f>
        <v>150.57119024743645</v>
      </c>
      <c r="AY670" s="133"/>
    </row>
    <row r="671" spans="1:51" s="174" customFormat="1" x14ac:dyDescent="0.25">
      <c r="A671" s="355" t="s">
        <v>21</v>
      </c>
      <c r="B671" s="358" t="s">
        <v>13</v>
      </c>
      <c r="C671" s="353" t="s">
        <v>6</v>
      </c>
      <c r="D671" s="3" t="s">
        <v>7</v>
      </c>
      <c r="E671" s="162" t="str">
        <f>A671&amp;"/"&amp;B671&amp;"/"&amp;C671&amp;"/"&amp;D671</f>
        <v>Lignite fired power plants/Integrated gasification combined cycle/Electricity only/L</v>
      </c>
      <c r="F671" s="77" t="str">
        <f>A671</f>
        <v>Lignite fired power plants</v>
      </c>
      <c r="G671" s="77" t="str">
        <f>B671</f>
        <v>Integrated gasification combined cycle</v>
      </c>
      <c r="H671" s="77" t="str">
        <f>C671</f>
        <v>Electricity only</v>
      </c>
      <c r="I671" s="163" t="str">
        <f t="shared" si="362"/>
        <v>L</v>
      </c>
      <c r="J671" s="70">
        <f>IF(tech_base!$T47&gt;J$625,"",(1000*tech_proj!J1011*(-PMT($J$110,tech_base!$F47,1))+1000*tech_proj!J1291)/((1-tech_proj!J451)*tech_proj!J731*$L$110))</f>
        <v>97.955250749535807</v>
      </c>
      <c r="K671" s="70">
        <f>IF(tech_base!$T47&gt;K$625,"",(1000*tech_proj!K1011*(-PMT($J$110,tech_base!$F47,1))+1000*tech_proj!K1291)/((1-tech_proj!K451)*tech_proj!K731*$L$110))</f>
        <v>97.954512916539144</v>
      </c>
      <c r="L671" s="70">
        <f>IF(tech_base!$T47&gt;L$625,"",(1000*tech_proj!L1011*(-PMT($J$110,tech_base!$F47,1))+1000*tech_proj!L1291)/((1-tech_proj!L451)*tech_proj!L731*$L$110))</f>
        <v>97.953565566785912</v>
      </c>
      <c r="M671" s="70">
        <f>IF(tech_base!$T47&gt;M$625,"",(1000*tech_proj!M1011*(-PMT($J$110,tech_base!$F47,1))+1000*tech_proj!M1291)/((1-tech_proj!M451)*tech_proj!M731*$L$110))</f>
        <v>97.952349222395597</v>
      </c>
      <c r="N671" s="70">
        <f>IF(tech_base!$T47&gt;N$625,"",(1000*tech_proj!N1011*(-PMT($J$110,tech_base!$F47,1))+1000*tech_proj!N1291)/((1-tech_proj!N451)*tech_proj!N731*$L$110))</f>
        <v>97.950787531844867</v>
      </c>
      <c r="O671" s="70">
        <f>IF(tech_base!$T47&gt;O$625,"",(1000*tech_proj!O1011*(-PMT($J$110,tech_base!$F47,1))+1000*tech_proj!O1291)/((1-tech_proj!O451)*tech_proj!O731*$L$110))</f>
        <v>97.948782490123421</v>
      </c>
      <c r="P671" s="70">
        <f>IF(tech_base!$T47&gt;P$625,"",(1000*tech_proj!P1011*(-PMT($J$110,tech_base!$F47,1))+1000*tech_proj!P1291)/((1-tech_proj!P451)*tech_proj!P731*$L$110))</f>
        <v>97.946208309521978</v>
      </c>
      <c r="Q671" s="70">
        <f>IF(tech_base!$T47&gt;Q$625,"",(1000*tech_proj!Q1011*(-PMT($J$110,tech_base!$F47,1))+1000*tech_proj!Q1291)/((1-tech_proj!Q451)*tech_proj!Q731*$L$110))</f>
        <v>97.942903563128453</v>
      </c>
      <c r="R671" s="70">
        <f>IF(tech_base!$T47&gt;R$625,"",(1000*tech_proj!R1011*(-PMT($J$110,tech_base!$F47,1))+1000*tech_proj!R1291)/((1-tech_proj!R451)*tech_proj!R731*$L$110))</f>
        <v>97.938661119213251</v>
      </c>
      <c r="S671" s="70">
        <f>IF(tech_base!$T47&gt;S$625,"",(1000*tech_proj!S1011*(-PMT($J$110,tech_base!$F47,1))+1000*tech_proj!S1291)/((1-tech_proj!S451)*tech_proj!S731*$L$110))</f>
        <v>97.933215253509047</v>
      </c>
      <c r="T671" s="70">
        <f>IF(tech_base!$T47&gt;T$625,"",(1000*tech_proj!T1011*(-PMT($J$110,tech_base!$F47,1))+1000*tech_proj!T1291)/((1-tech_proj!T451)*tech_proj!T731*$L$110))</f>
        <v>97.9262251616111</v>
      </c>
      <c r="U671" s="70">
        <f>IF(tech_base!$T47&gt;U$625,"",(1000*tech_proj!U1011*(-PMT($J$110,tech_base!$F47,1))+1000*tech_proj!U1291)/((1-tech_proj!U451)*tech_proj!U731*$L$110))</f>
        <v>97.917253888142284</v>
      </c>
      <c r="V671" s="70">
        <f>IF(tech_base!$T47&gt;V$625,"",(1000*tech_proj!V1011*(-PMT($J$110,tech_base!$F47,1))+1000*tech_proj!V1291)/((1-tech_proj!V451)*tech_proj!V731*$L$110))</f>
        <v>97.905741435189327</v>
      </c>
      <c r="W671" s="70">
        <f>IF(tech_base!$T47&gt;W$625,"",(1000*tech_proj!W1011*(-PMT($J$110,tech_base!$F47,1))+1000*tech_proj!W1291)/((1-tech_proj!W451)*tech_proj!W731*$L$110))</f>
        <v>97.890970502289136</v>
      </c>
      <c r="X671" s="70">
        <f>IF(tech_base!$T47&gt;X$625,"",(1000*tech_proj!X1011*(-PMT($J$110,tech_base!$F47,1))+1000*tech_proj!X1291)/((1-tech_proj!X451)*tech_proj!X731*$L$110))</f>
        <v>97.872022938183775</v>
      </c>
      <c r="Y671" s="70">
        <f>IF(tech_base!$T47&gt;Y$625,"",(1000*tech_proj!Y1011*(-PMT($J$110,tech_base!$F47,1))+1000*tech_proj!Y1291)/((1-tech_proj!Y451)*tech_proj!Y731*$L$110))</f>
        <v>97.847724549617723</v>
      </c>
      <c r="Z671" s="70">
        <f>IF(tech_base!$T47&gt;Z$625,"",(1000*tech_proj!Z1011*(-PMT($J$110,tech_base!$F47,1))+1000*tech_proj!Z1291)/((1-tech_proj!Z451)*tech_proj!Z731*$L$110))</f>
        <v>97.816575423400579</v>
      </c>
      <c r="AA671" s="70">
        <f>IF(tech_base!$T47&gt;AA$625,"",(1000*tech_proj!AA1011*(-PMT($J$110,tech_base!$F47,1))+1000*tech_proj!AA1291)/((1-tech_proj!AA451)*tech_proj!AA731*$L$110))</f>
        <v>97.776662402126362</v>
      </c>
      <c r="AB671" s="70">
        <f>IF(tech_base!$T47&gt;AB$625,"",(1000*tech_proj!AB1011*(-PMT($J$110,tech_base!$F47,1))+1000*tech_proj!AB1291)/((1-tech_proj!AB451)*tech_proj!AB731*$L$110))</f>
        <v>97.725549871543961</v>
      </c>
      <c r="AC671" s="70">
        <f>IF(tech_base!$T47&gt;AC$625,"",(1000*tech_proj!AC1011*(-PMT($J$110,tech_base!$F47,1))+1000*tech_proj!AC1291)/((1-tech_proj!AC451)*tech_proj!AC731*$L$110))</f>
        <v>97.660144684636165</v>
      </c>
      <c r="AD671" s="70">
        <f>IF(tech_base!$T47&gt;AD$625,"",(1000*tech_proj!AD1011*(-PMT($J$110,tech_base!$F47,1))+1000*tech_proj!AD1291)/((1-tech_proj!AD451)*tech_proj!AD731*$L$110))</f>
        <v>97.576531071136642</v>
      </c>
      <c r="AE671" s="70">
        <f>IF(tech_base!$T47&gt;AE$625,"",(1000*tech_proj!AE1011*(-PMT($J$110,tech_base!$F47,1))+1000*tech_proj!AE1291)/((1-tech_proj!AE451)*tech_proj!AE731*$L$110))</f>
        <v>97.469772111996562</v>
      </c>
      <c r="AF671" s="70">
        <f>IF(tech_base!$T47&gt;AF$625,"",(1000*tech_proj!AF1011*(-PMT($J$110,tech_base!$F47,1))+1000*tech_proj!AF1291)/((1-tech_proj!AF451)*tech_proj!AF731*$L$110))</f>
        <v>97.333676362741514</v>
      </c>
      <c r="AG671" s="70">
        <f>IF(tech_base!$T47&gt;AG$625,"",(1000*tech_proj!AG1011*(-PMT($J$110,tech_base!$F47,1))+1000*tech_proj!AG1291)/((1-tech_proj!AG451)*tech_proj!AG731*$L$110))</f>
        <v>97.160532362276129</v>
      </c>
      <c r="AH671" s="70">
        <f>IF(tech_base!$T47&gt;AH$625,"",(1000*tech_proj!AH1011*(-PMT($J$110,tech_base!$F47,1))+1000*tech_proj!AH1291)/((1-tech_proj!AH451)*tech_proj!AH731*$L$110))</f>
        <v>96.940821343451034</v>
      </c>
      <c r="AI671" s="70">
        <f>IF(tech_base!$T47&gt;AI$625,"",(1000*tech_proj!AI1011*(-PMT($J$110,tech_base!$F47,1))+1000*tech_proj!AI1291)/((1-tech_proj!AI451)*tech_proj!AI731*$L$110))</f>
        <v>96.662931206986642</v>
      </c>
      <c r="AJ671" s="70">
        <f>IF(tech_base!$T47&gt;AJ$625,"",(1000*tech_proj!AJ1011*(-PMT($J$110,tech_base!$F47,1))+1000*tech_proj!AJ1291)/((1-tech_proj!AJ451)*tech_proj!AJ731*$L$110))</f>
        <v>96.31291483521025</v>
      </c>
      <c r="AK671" s="70">
        <f>IF(tech_base!$T47&gt;AK$625,"",(1000*tech_proj!AK1011*(-PMT($J$110,tech_base!$F47,1))+1000*tech_proj!AK1291)/((1-tech_proj!AK451)*tech_proj!AK731*$L$110))</f>
        <v>95.874365120535259</v>
      </c>
      <c r="AL671" s="70">
        <f>IF(tech_base!$T47&gt;AL$625,"",(1000*tech_proj!AL1011*(-PMT($J$110,tech_base!$F47,1))+1000*tech_proj!AL1291)/((1-tech_proj!AL451)*tech_proj!AL731*$L$110))</f>
        <v>95.328518409453224</v>
      </c>
      <c r="AM671" s="70">
        <f>IF(tech_base!$T47&gt;AM$625,"",(1000*tech_proj!AM1011*(-PMT($J$110,tech_base!$F47,1))+1000*tech_proj!AM1291)/((1-tech_proj!AM451)*tech_proj!AM731*$L$110))</f>
        <v>94.654744487533733</v>
      </c>
      <c r="AN671" s="70">
        <f>IF(tech_base!$T47&gt;AN$625,"",(1000*tech_proj!AN1011*(-PMT($J$110,tech_base!$F47,1))+1000*tech_proj!AN1291)/((1-tech_proj!AN451)*tech_proj!AN731*$L$110))</f>
        <v>93.831624116442882</v>
      </c>
      <c r="AO671" s="70">
        <f>IF(tech_base!$T47&gt;AO$625,"",(1000*tech_proj!AO1011*(-PMT($J$110,tech_base!$F47,1))+1000*tech_proj!AO1291)/((1-tech_proj!AO451)*tech_proj!AO731*$L$110))</f>
        <v>92.838830814087942</v>
      </c>
      <c r="AP671" s="70">
        <f>IF(tech_base!$T47&gt;AP$625,"",(1000*tech_proj!AP1011*(-PMT($J$110,tech_base!$F47,1))+1000*tech_proj!AP1291)/((1-tech_proj!AP451)*tech_proj!AP731*$L$110))</f>
        <v>91.659981292785986</v>
      </c>
      <c r="AQ671" s="70">
        <f>IF(tech_base!$T47&gt;AQ$625,"",(1000*tech_proj!AQ1011*(-PMT($J$110,tech_base!$F47,1))+1000*tech_proj!AQ1291)/((1-tech_proj!AQ451)*tech_proj!AQ731*$L$110))</f>
        <v>90.286444732801499</v>
      </c>
      <c r="AR671" s="70">
        <f>IF(tech_base!$T47&gt;AR$625,"",(1000*tech_proj!AR1011*(-PMT($J$110,tech_base!$F47,1))+1000*tech_proj!AR1291)/((1-tech_proj!AR451)*tech_proj!AR731*$L$110))</f>
        <v>88.721760361877884</v>
      </c>
      <c r="AS671" s="70">
        <f>IF(tech_base!$T47&gt;AS$625,"",(1000*tech_proj!AS1011*(-PMT($J$110,tech_base!$F47,1))+1000*tech_proj!AS1291)/((1-tech_proj!AS451)*tech_proj!AS731*$L$110))</f>
        <v>86.985821479860363</v>
      </c>
      <c r="AT671" s="70">
        <f>IF(tech_base!$T47&gt;AT$625,"",(1000*tech_proj!AT1011*(-PMT($J$110,tech_base!$F47,1))+1000*tech_proj!AT1291)/((1-tech_proj!AT451)*tech_proj!AT731*$L$110))</f>
        <v>85.117486270048545</v>
      </c>
      <c r="AU671" s="70">
        <f>IF(tech_base!$T47&gt;AU$625,"",(1000*tech_proj!AU1011*(-PMT($J$110,tech_base!$F47,1))+1000*tech_proj!AU1291)/((1-tech_proj!AU451)*tech_proj!AU731*$L$110))</f>
        <v>83.17407378520879</v>
      </c>
      <c r="AV671" s="70">
        <f>IF(tech_base!$T47&gt;AV$625,"",(1000*tech_proj!AV1011*(-PMT($J$110,tech_base!$F47,1))+1000*tech_proj!AV1291)/((1-tech_proj!AV451)*tech_proj!AV731*$L$110))</f>
        <v>81.226656373839191</v>
      </c>
      <c r="AW671" s="70">
        <f>IF(tech_base!$T47&gt;AW$625,"",(1000*tech_proj!AW1011*(-PMT($J$110,tech_base!$F47,1))+1000*tech_proj!AW1291)/((1-tech_proj!AW451)*tech_proj!AW731*$L$110))</f>
        <v>79.351307659617902</v>
      </c>
      <c r="AX671" s="236">
        <f>IF(tech_base!$T47&gt;AX$625,"",(1000*tech_proj!AX1011*(-PMT($J$110,tech_base!$F47,1))+1000*tech_proj!AX1291)/((1-tech_proj!AX451)*tech_proj!AX731*$L$110))</f>
        <v>77.618130721360174</v>
      </c>
      <c r="AY671" s="133"/>
    </row>
    <row r="672" spans="1:51" s="174" customFormat="1" x14ac:dyDescent="0.25">
      <c r="A672" s="356"/>
      <c r="B672" s="376"/>
      <c r="C672" s="379"/>
      <c r="D672" s="2" t="s">
        <v>8</v>
      </c>
      <c r="E672" s="160" t="str">
        <f>A671&amp;"/"&amp;B671&amp;"/"&amp;C671&amp;"/"&amp;D672</f>
        <v>Lignite fired power plants/Integrated gasification combined cycle/Electricity only/M</v>
      </c>
      <c r="F672" s="76" t="str">
        <f>A671</f>
        <v>Lignite fired power plants</v>
      </c>
      <c r="G672" s="76" t="str">
        <f>B671</f>
        <v>Integrated gasification combined cycle</v>
      </c>
      <c r="H672" s="76" t="str">
        <f>C671</f>
        <v>Electricity only</v>
      </c>
      <c r="I672" s="161" t="str">
        <f t="shared" si="362"/>
        <v>M</v>
      </c>
      <c r="J672" s="69">
        <f>IF(tech_base!$T48&gt;J$625,"",(1000*tech_proj!J1012*(-PMT($J$110,tech_base!$F48,1))+1000*tech_proj!J1292)/((1-tech_proj!J452)*tech_proj!J732*$L$110))</f>
        <v>105.76172815643112</v>
      </c>
      <c r="K672" s="69">
        <f>IF(tech_base!$T48&gt;K$625,"",(1000*tech_proj!K1012*(-PMT($J$110,tech_base!$F48,1))+1000*tech_proj!K1292)/((1-tech_proj!K452)*tech_proj!K732*$L$110))</f>
        <v>105.75751792407105</v>
      </c>
      <c r="L672" s="69">
        <f>IF(tech_base!$T48&gt;L$625,"",(1000*tech_proj!L1012*(-PMT($J$110,tech_base!$F48,1))+1000*tech_proj!L1292)/((1-tech_proj!L452)*tech_proj!L732*$L$110))</f>
        <v>105.75237663696942</v>
      </c>
      <c r="M672" s="69">
        <f>IF(tech_base!$T48&gt;M$625,"",(1000*tech_proj!M1012*(-PMT($J$110,tech_base!$F48,1))+1000*tech_proj!M1292)/((1-tech_proj!M452)*tech_proj!M732*$L$110))</f>
        <v>105.74609869864432</v>
      </c>
      <c r="N672" s="69">
        <f>IF(tech_base!$T48&gt;N$625,"",(1000*tech_proj!N1012*(-PMT($J$110,tech_base!$F48,1))+1000*tech_proj!N1292)/((1-tech_proj!N452)*tech_proj!N732*$L$110))</f>
        <v>105.73843325891741</v>
      </c>
      <c r="O672" s="69">
        <f>IF(tech_base!$T48&gt;O$625,"",(1000*tech_proj!O1012*(-PMT($J$110,tech_base!$F48,1))+1000*tech_proj!O1292)/((1-tech_proj!O452)*tech_proj!O732*$L$110))</f>
        <v>105.72907432504812</v>
      </c>
      <c r="P672" s="69">
        <f>IF(tech_base!$T48&gt;P$625,"",(1000*tech_proj!P1012*(-PMT($J$110,tech_base!$F48,1))+1000*tech_proj!P1292)/((1-tech_proj!P452)*tech_proj!P732*$L$110))</f>
        <v>105.71764874729507</v>
      </c>
      <c r="Q672" s="69">
        <f>IF(tech_base!$T48&gt;Q$625,"",(1000*tech_proj!Q1012*(-PMT($J$110,tech_base!$F48,1))+1000*tech_proj!Q1292)/((1-tech_proj!Q452)*tech_proj!Q732*$L$110))</f>
        <v>105.70370163945391</v>
      </c>
      <c r="R672" s="69">
        <f>IF(tech_base!$T48&gt;R$625,"",(1000*tech_proj!R1012*(-PMT($J$110,tech_base!$F48,1))+1000*tech_proj!R1292)/((1-tech_proj!R452)*tech_proj!R732*$L$110))</f>
        <v>105.68667871275107</v>
      </c>
      <c r="S672" s="69">
        <f>IF(tech_base!$T48&gt;S$625,"",(1000*tech_proj!S1012*(-PMT($J$110,tech_base!$F48,1))+1000*tech_proj!S1292)/((1-tech_proj!S452)*tech_proj!S732*$L$110))</f>
        <v>105.66590490838219</v>
      </c>
      <c r="T672" s="69">
        <f>IF(tech_base!$T48&gt;T$625,"",(1000*tech_proj!T1012*(-PMT($J$110,tech_base!$F48,1))+1000*tech_proj!T1292)/((1-tech_proj!T452)*tech_proj!T732*$L$110))</f>
        <v>105.64055861100591</v>
      </c>
      <c r="U672" s="69">
        <f>IF(tech_base!$T48&gt;U$625,"",(1000*tech_proj!U1012*(-PMT($J$110,tech_base!$F48,1))+1000*tech_proj!U1292)/((1-tech_proj!U452)*tech_proj!U732*$L$110))</f>
        <v>105.60964061547833</v>
      </c>
      <c r="V672" s="69">
        <f>IF(tech_base!$T48&gt;V$625,"",(1000*tech_proj!V1012*(-PMT($J$110,tech_base!$F48,1))+1000*tech_proj!V1292)/((1-tech_proj!V452)*tech_proj!V732*$L$110))</f>
        <v>105.57193690779513</v>
      </c>
      <c r="W672" s="69">
        <f>IF(tech_base!$T48&gt;W$625,"",(1000*tech_proj!W1012*(-PMT($J$110,tech_base!$F48,1))+1000*tech_proj!W1292)/((1-tech_proj!W452)*tech_proj!W732*$L$110))</f>
        <v>105.52597421887879</v>
      </c>
      <c r="X672" s="69">
        <f>IF(tech_base!$T48&gt;X$625,"",(1000*tech_proj!X1012*(-PMT($J$110,tech_base!$F48,1))+1000*tech_proj!X1292)/((1-tech_proj!X452)*tech_proj!X732*$L$110))</f>
        <v>105.46996723363465</v>
      </c>
      <c r="Y672" s="69">
        <f>IF(tech_base!$T48&gt;Y$625,"",(1000*tech_proj!Y1012*(-PMT($J$110,tech_base!$F48,1))+1000*tech_proj!Y1292)/((1-tech_proj!Y452)*tech_proj!Y732*$L$110))</f>
        <v>105.40175631486551</v>
      </c>
      <c r="Z672" s="69">
        <f>IF(tech_base!$T48&gt;Z$625,"",(1000*tech_proj!Z1012*(-PMT($J$110,tech_base!$F48,1))+1000*tech_proj!Z1292)/((1-tech_proj!Z452)*tech_proj!Z732*$L$110))</f>
        <v>105.31873467407046</v>
      </c>
      <c r="AA672" s="69">
        <f>IF(tech_base!$T48&gt;AA$625,"",(1000*tech_proj!AA1012*(-PMT($J$110,tech_base!$F48,1))+1000*tech_proj!AA1292)/((1-tech_proj!AA452)*tech_proj!AA732*$L$110))</f>
        <v>105.21776415135126</v>
      </c>
      <c r="AB672" s="69">
        <f>IF(tech_base!$T48&gt;AB$625,"",(1000*tech_proj!AB1012*(-PMT($J$110,tech_base!$F48,1))+1000*tech_proj!AB1292)/((1-tech_proj!AB452)*tech_proj!AB732*$L$110))</f>
        <v>105.09507924521634</v>
      </c>
      <c r="AC672" s="69">
        <f>IF(tech_base!$T48&gt;AC$625,"",(1000*tech_proj!AC1012*(-PMT($J$110,tech_base!$F48,1))+1000*tech_proj!AC1292)/((1-tech_proj!AC452)*tech_proj!AC732*$L$110))</f>
        <v>104.94617988752361</v>
      </c>
      <c r="AD672" s="69">
        <f>IF(tech_base!$T48&gt;AD$625,"",(1000*tech_proj!AD1012*(-PMT($J$110,tech_base!$F48,1))+1000*tech_proj!AD1292)/((1-tech_proj!AD452)*tech_proj!AD732*$L$110))</f>
        <v>104.76571486248822</v>
      </c>
      <c r="AE672" s="69">
        <f>IF(tech_base!$T48&gt;AE$625,"",(1000*tech_proj!AE1012*(-PMT($J$110,tech_base!$F48,1))+1000*tech_proj!AE1292)/((1-tech_proj!AE452)*tech_proj!AE732*$L$110))</f>
        <v>104.54735994715317</v>
      </c>
      <c r="AF672" s="69">
        <f>IF(tech_base!$T48&gt;AF$625,"",(1000*tech_proj!AF1012*(-PMT($J$110,tech_base!$F48,1))+1000*tech_proj!AF1292)/((1-tech_proj!AF452)*tech_proj!AF732*$L$110))</f>
        <v>104.28369808007432</v>
      </c>
      <c r="AG672" s="69">
        <f>IF(tech_base!$T48&gt;AG$625,"",(1000*tech_proj!AG1012*(-PMT($J$110,tech_base!$F48,1))+1000*tech_proj!AG1292)/((1-tech_proj!AG452)*tech_proj!AG732*$L$110))</f>
        <v>103.96611345224926</v>
      </c>
      <c r="AH672" s="69">
        <f>IF(tech_base!$T48&gt;AH$625,"",(1000*tech_proj!AH1012*(-PMT($J$110,tech_base!$F48,1))+1000*tech_proj!AH1292)/((1-tech_proj!AH452)*tech_proj!AH732*$L$110))</f>
        <v>103.58471764370179</v>
      </c>
      <c r="AI672" s="69">
        <f>IF(tech_base!$T48&gt;AI$625,"",(1000*tech_proj!AI1012*(-PMT($J$110,tech_base!$F48,1))+1000*tech_proj!AI1292)/((1-tech_proj!AI452)*tech_proj!AI732*$L$110))</f>
        <v>103.12833394967835</v>
      </c>
      <c r="AJ672" s="69">
        <f>IF(tech_base!$T48&gt;AJ$625,"",(1000*tech_proj!AJ1012*(-PMT($J$110,tech_base!$F48,1))+1000*tech_proj!AJ1292)/((1-tech_proj!AJ452)*tech_proj!AJ732*$L$110))</f>
        <v>102.58457566423994</v>
      </c>
      <c r="AK672" s="69">
        <f>IF(tech_base!$T48&gt;AK$625,"",(1000*tech_proj!AK1012*(-PMT($J$110,tech_base!$F48,1))+1000*tech_proj!AK1292)/((1-tech_proj!AK452)*tech_proj!AK732*$L$110))</f>
        <v>101.94006446960977</v>
      </c>
      <c r="AL672" s="69">
        <f>IF(tech_base!$T48&gt;AL$625,"",(1000*tech_proj!AL1012*(-PMT($J$110,tech_base!$F48,1))+1000*tech_proj!AL1292)/((1-tech_proj!AL452)*tech_proj!AL732*$L$110))</f>
        <v>101.18084426193933</v>
      </c>
      <c r="AM672" s="69">
        <f>IF(tech_base!$T48&gt;AM$625,"",(1000*tech_proj!AM1012*(-PMT($J$110,tech_base!$F48,1))+1000*tech_proj!AM1292)/((1-tech_proj!AM452)*tech_proj!AM732*$L$110))</f>
        <v>100.29305014460587</v>
      </c>
      <c r="AN672" s="69">
        <f>IF(tech_base!$T48&gt;AN$625,"",(1000*tech_proj!AN1012*(-PMT($J$110,tech_base!$F48,1))+1000*tech_proj!AN1292)/((1-tech_proj!AN452)*tech_proj!AN732*$L$110))</f>
        <v>99.263886331786196</v>
      </c>
      <c r="AO672" s="69">
        <f>IF(tech_base!$T48&gt;AO$625,"",(1000*tech_proj!AO1012*(-PMT($J$110,tech_base!$F48,1))+1000*tech_proj!AO1292)/((1-tech_proj!AO452)*tech_proj!AO732*$L$110))</f>
        <v>98.082942844941158</v>
      </c>
      <c r="AP672" s="69">
        <f>IF(tech_base!$T48&gt;AP$625,"",(1000*tech_proj!AP1012*(-PMT($J$110,tech_base!$F48,1))+1000*tech_proj!AP1292)/((1-tech_proj!AP452)*tech_proj!AP732*$L$110))</f>
        <v>96.743831156523456</v>
      </c>
      <c r="AQ672" s="69">
        <f>IF(tech_base!$T48&gt;AQ$625,"",(1000*tech_proj!AQ1012*(-PMT($J$110,tech_base!$F48,1))+1000*tech_proj!AQ1292)/((1-tech_proj!AQ452)*tech_proj!AQ732*$L$110))</f>
        <v>95.24603817886549</v>
      </c>
      <c r="AR672" s="69">
        <f>IF(tech_base!$T48&gt;AR$625,"",(1000*tech_proj!AR1012*(-PMT($J$110,tech_base!$F48,1))+1000*tech_proj!AR1292)/((1-tech_proj!AR452)*tech_proj!AR732*$L$110))</f>
        <v>93.596789557835081</v>
      </c>
      <c r="AS672" s="69">
        <f>IF(tech_base!$T48&gt;AS$625,"",(1000*tech_proj!AS1012*(-PMT($J$110,tech_base!$F48,1))+1000*tech_proj!AS1292)/((1-tech_proj!AS452)*tech_proj!AS732*$L$110))</f>
        <v>91.812595818905024</v>
      </c>
      <c r="AT672" s="69">
        <f>IF(tech_base!$T48&gt;AT$625,"",(1000*tech_proj!AT1012*(-PMT($J$110,tech_base!$F48,1))+1000*tech_proj!AT1292)/((1-tech_proj!AT452)*tech_proj!AT732*$L$110))</f>
        <v>89.920066932131022</v>
      </c>
      <c r="AU672" s="69">
        <f>IF(tech_base!$T48&gt;AU$625,"",(1000*tech_proj!AU1012*(-PMT($J$110,tech_base!$F48,1))+1000*tech_proj!AU1292)/((1-tech_proj!AU452)*tech_proj!AU732*$L$110))</f>
        <v>87.955575985783398</v>
      </c>
      <c r="AV672" s="69">
        <f>IF(tech_base!$T48&gt;AV$625,"",(1000*tech_proj!AV1012*(-PMT($J$110,tech_base!$F48,1))+1000*tech_proj!AV1292)/((1-tech_proj!AV452)*tech_proj!AV732*$L$110))</f>
        <v>85.963480952428355</v>
      </c>
      <c r="AW672" s="69">
        <f>IF(tech_base!$T48&gt;AW$625,"",(1000*tech_proj!AW1012*(-PMT($J$110,tech_base!$F48,1))+1000*tech_proj!AW1292)/((1-tech_proj!AW452)*tech_proj!AW732*$L$110))</f>
        <v>83.992889589875716</v>
      </c>
      <c r="AX672" s="235">
        <f>IF(tech_base!$T48&gt;AX$625,"",(1000*tech_proj!AX1012*(-PMT($J$110,tech_base!$F48,1))+1000*tech_proj!AX1292)/((1-tech_proj!AX452)*tech_proj!AX732*$L$110))</f>
        <v>82.093325414437061</v>
      </c>
      <c r="AY672" s="133"/>
    </row>
    <row r="673" spans="1:51" s="174" customFormat="1" x14ac:dyDescent="0.25">
      <c r="A673" s="356"/>
      <c r="B673" s="376"/>
      <c r="C673" s="361" t="s">
        <v>14</v>
      </c>
      <c r="D673" s="58" t="s">
        <v>7</v>
      </c>
      <c r="E673" s="164" t="str">
        <f>A671&amp;"/"&amp;B671&amp;"/"&amp;C673&amp;"/"&amp;D673</f>
        <v>Lignite fired power plants/Integrated gasification combined cycle/CHP/L</v>
      </c>
      <c r="F673" s="78" t="str">
        <f>A671</f>
        <v>Lignite fired power plants</v>
      </c>
      <c r="G673" s="78" t="str">
        <f>B671</f>
        <v>Integrated gasification combined cycle</v>
      </c>
      <c r="H673" s="78" t="str">
        <f>C673</f>
        <v>CHP</v>
      </c>
      <c r="I673" s="165" t="str">
        <f t="shared" si="362"/>
        <v>L</v>
      </c>
      <c r="J673" s="71" t="str">
        <f>IF(tech_base!$T49&gt;J$625,"",(1000*tech_proj!J1013*(-PMT($J$110,tech_base!$F49,1))+1000*tech_proj!J1293)/((1-tech_proj!J453)*tech_proj!J733*$L$110))</f>
        <v/>
      </c>
      <c r="K673" s="71" t="str">
        <f>IF(tech_base!$T49&gt;K$625,"",(1000*tech_proj!K1013*(-PMT($J$110,tech_base!$F49,1))+1000*tech_proj!K1293)/((1-tech_proj!K453)*tech_proj!K733*$L$110))</f>
        <v/>
      </c>
      <c r="L673" s="71" t="str">
        <f>IF(tech_base!$T49&gt;L$625,"",(1000*tech_proj!L1013*(-PMT($J$110,tech_base!$F49,1))+1000*tech_proj!L1293)/((1-tech_proj!L453)*tech_proj!L733*$L$110))</f>
        <v/>
      </c>
      <c r="M673" s="71" t="str">
        <f>IF(tech_base!$T49&gt;M$625,"",(1000*tech_proj!M1013*(-PMT($J$110,tech_base!$F49,1))+1000*tech_proj!M1293)/((1-tech_proj!M453)*tech_proj!M733*$L$110))</f>
        <v/>
      </c>
      <c r="N673" s="71" t="str">
        <f>IF(tech_base!$T49&gt;N$625,"",(1000*tech_proj!N1013*(-PMT($J$110,tech_base!$F49,1))+1000*tech_proj!N1293)/((1-tech_proj!N453)*tech_proj!N733*$L$110))</f>
        <v/>
      </c>
      <c r="O673" s="71" t="str">
        <f>IF(tech_base!$T49&gt;O$625,"",(1000*tech_proj!O1013*(-PMT($J$110,tech_base!$F49,1))+1000*tech_proj!O1293)/((1-tech_proj!O453)*tech_proj!O733*$L$110))</f>
        <v/>
      </c>
      <c r="P673" s="71" t="str">
        <f>IF(tech_base!$T49&gt;P$625,"",(1000*tech_proj!P1013*(-PMT($J$110,tech_base!$F49,1))+1000*tech_proj!P1293)/((1-tech_proj!P453)*tech_proj!P733*$L$110))</f>
        <v/>
      </c>
      <c r="Q673" s="71" t="str">
        <f>IF(tech_base!$T49&gt;Q$625,"",(1000*tech_proj!Q1013*(-PMT($J$110,tech_base!$F49,1))+1000*tech_proj!Q1293)/((1-tech_proj!Q453)*tech_proj!Q733*$L$110))</f>
        <v/>
      </c>
      <c r="R673" s="71" t="str">
        <f>IF(tech_base!$T49&gt;R$625,"",(1000*tech_proj!R1013*(-PMT($J$110,tech_base!$F49,1))+1000*tech_proj!R1293)/((1-tech_proj!R453)*tech_proj!R733*$L$110))</f>
        <v/>
      </c>
      <c r="S673" s="71" t="str">
        <f>IF(tech_base!$T49&gt;S$625,"",(1000*tech_proj!S1013*(-PMT($J$110,tech_base!$F49,1))+1000*tech_proj!S1293)/((1-tech_proj!S453)*tech_proj!S733*$L$110))</f>
        <v/>
      </c>
      <c r="T673" s="71">
        <f>IF(tech_base!$T49&gt;T$625,"",(1000*tech_proj!T1013*(-PMT($J$110,tech_base!$F49,1))+1000*tech_proj!T1293)/((1-tech_proj!T453)*tech_proj!T733*$L$110))</f>
        <v>110.50932561871932</v>
      </c>
      <c r="U673" s="71">
        <f>IF(tech_base!$T49&gt;U$625,"",(1000*tech_proj!U1013*(-PMT($J$110,tech_base!$F49,1))+1000*tech_proj!U1293)/((1-tech_proj!U453)*tech_proj!U733*$L$110))</f>
        <v>110.49992492004421</v>
      </c>
      <c r="V673" s="71">
        <f>IF(tech_base!$T49&gt;V$625,"",(1000*tech_proj!V1013*(-PMT($J$110,tech_base!$F49,1))+1000*tech_proj!V1293)/((1-tech_proj!V453)*tech_proj!V733*$L$110))</f>
        <v>110.48786140402292</v>
      </c>
      <c r="W673" s="71">
        <f>IF(tech_base!$T49&gt;W$625,"",(1000*tech_proj!W1013*(-PMT($J$110,tech_base!$F49,1))+1000*tech_proj!W1293)/((1-tech_proj!W453)*tech_proj!W733*$L$110))</f>
        <v>110.47238343539023</v>
      </c>
      <c r="X673" s="71">
        <f>IF(tech_base!$T49&gt;X$625,"",(1000*tech_proj!X1013*(-PMT($J$110,tech_base!$F49,1))+1000*tech_proj!X1293)/((1-tech_proj!X453)*tech_proj!X733*$L$110))</f>
        <v>110.45252891402252</v>
      </c>
      <c r="Y673" s="71">
        <f>IF(tech_base!$T49&gt;Y$625,"",(1000*tech_proj!Y1013*(-PMT($J$110,tech_base!$F49,1))+1000*tech_proj!Y1293)/((1-tech_proj!Y453)*tech_proj!Y733*$L$110))</f>
        <v>110.42706744191437</v>
      </c>
      <c r="Z673" s="71">
        <f>IF(tech_base!$T49&gt;Z$625,"",(1000*tech_proj!Z1013*(-PMT($J$110,tech_base!$F49,1))+1000*tech_proj!Z1293)/((1-tech_proj!Z453)*tech_proj!Z733*$L$110))</f>
        <v>110.39442730998894</v>
      </c>
      <c r="AA673" s="71">
        <f>IF(tech_base!$T49&gt;AA$625,"",(1000*tech_proj!AA1013*(-PMT($J$110,tech_base!$F49,1))+1000*tech_proj!AA1293)/((1-tech_proj!AA453)*tech_proj!AA733*$L$110))</f>
        <v>110.3526037843192</v>
      </c>
      <c r="AB673" s="71">
        <f>IF(tech_base!$T49&gt;AB$625,"",(1000*tech_proj!AB1013*(-PMT($J$110,tech_base!$F49,1))+1000*tech_proj!AB1293)/((1-tech_proj!AB453)*tech_proj!AB733*$L$110))</f>
        <v>110.29904466585076</v>
      </c>
      <c r="AC673" s="71">
        <f>IF(tech_base!$T49&gt;AC$625,"",(1000*tech_proj!AC1013*(-PMT($J$110,tech_base!$F49,1))+1000*tech_proj!AC1293)/((1-tech_proj!AC453)*tech_proj!AC733*$L$110))</f>
        <v>110.23050874884315</v>
      </c>
      <c r="AD673" s="71">
        <f>IF(tech_base!$T49&gt;AD$625,"",(1000*tech_proj!AD1013*(-PMT($J$110,tech_base!$F49,1))+1000*tech_proj!AD1293)/((1-tech_proj!AD453)*tech_proj!AD733*$L$110))</f>
        <v>110.14289282805099</v>
      </c>
      <c r="AE673" s="71">
        <f>IF(tech_base!$T49&gt;AE$625,"",(1000*tech_proj!AE1013*(-PMT($J$110,tech_base!$F49,1))+1000*tech_proj!AE1293)/((1-tech_proj!AE453)*tech_proj!AE733*$L$110))</f>
        <v>110.03102367042965</v>
      </c>
      <c r="AF673" s="71">
        <f>IF(tech_base!$T49&gt;AF$625,"",(1000*tech_proj!AF1013*(-PMT($J$110,tech_base!$F49,1))+1000*tech_proj!AF1293)/((1-tech_proj!AF453)*tech_proj!AF733*$L$110))</f>
        <v>109.88841346752353</v>
      </c>
      <c r="AG673" s="71">
        <f>IF(tech_base!$T49&gt;AG$625,"",(1000*tech_proj!AG1013*(-PMT($J$110,tech_base!$F49,1))+1000*tech_proj!AG1293)/((1-tech_proj!AG453)*tech_proj!AG733*$L$110))</f>
        <v>109.70698163608498</v>
      </c>
      <c r="AH673" s="71">
        <f>IF(tech_base!$T49&gt;AH$625,"",(1000*tech_proj!AH1013*(-PMT($J$110,tech_base!$F49,1))+1000*tech_proj!AH1293)/((1-tech_proj!AH453)*tech_proj!AH733*$L$110))</f>
        <v>109.47675377704557</v>
      </c>
      <c r="AI673" s="71">
        <f>IF(tech_base!$T49&gt;AI$625,"",(1000*tech_proj!AI1013*(-PMT($J$110,tech_base!$F49,1))+1000*tech_proj!AI1293)/((1-tech_proj!AI453)*tech_proj!AI733*$L$110))</f>
        <v>109.18556195831715</v>
      </c>
      <c r="AJ673" s="71">
        <f>IF(tech_base!$T49&gt;AJ$625,"",(1000*tech_proj!AJ1013*(-PMT($J$110,tech_base!$F49,1))+1000*tech_proj!AJ1293)/((1-tech_proj!AJ453)*tech_proj!AJ733*$L$110))</f>
        <v>108.81879145980622</v>
      </c>
      <c r="AK673" s="71">
        <f>IF(tech_base!$T49&gt;AK$625,"",(1000*tech_proj!AK1013*(-PMT($J$110,tech_base!$F49,1))+1000*tech_proj!AK1293)/((1-tech_proj!AK453)*tech_proj!AK733*$L$110))</f>
        <v>108.35924981991995</v>
      </c>
      <c r="AL673" s="71">
        <f>IF(tech_base!$T49&gt;AL$625,"",(1000*tech_proj!AL1013*(-PMT($J$110,tech_base!$F49,1))+1000*tech_proj!AL1293)/((1-tech_proj!AL453)*tech_proj!AL733*$L$110))</f>
        <v>107.7872752310799</v>
      </c>
      <c r="AM673" s="71">
        <f>IF(tech_base!$T49&gt;AM$625,"",(1000*tech_proj!AM1013*(-PMT($J$110,tech_base!$F49,1))+1000*tech_proj!AM1293)/((1-tech_proj!AM453)*tech_proj!AM733*$L$110))</f>
        <v>107.0812499786842</v>
      </c>
      <c r="AN673" s="71">
        <f>IF(tech_base!$T49&gt;AN$625,"",(1000*tech_proj!AN1013*(-PMT($J$110,tech_base!$F49,1))+1000*tech_proj!AN1293)/((1-tech_proj!AN453)*tech_proj!AN733*$L$110))</f>
        <v>106.21872955626137</v>
      </c>
      <c r="AO673" s="71">
        <f>IF(tech_base!$T49&gt;AO$625,"",(1000*tech_proj!AO1013*(-PMT($J$110,tech_base!$F49,1))+1000*tech_proj!AO1293)/((1-tech_proj!AO453)*tech_proj!AO733*$L$110))</f>
        <v>105.17841452021037</v>
      </c>
      <c r="AP673" s="71">
        <f>IF(tech_base!$T49&gt;AP$625,"",(1000*tech_proj!AP1013*(-PMT($J$110,tech_base!$F49,1))+1000*tech_proj!AP1293)/((1-tech_proj!AP453)*tech_proj!AP733*$L$110))</f>
        <v>103.94313736902194</v>
      </c>
      <c r="AQ673" s="71">
        <f>IF(tech_base!$T49&gt;AQ$625,"",(1000*tech_proj!AQ1013*(-PMT($J$110,tech_base!$F49,1))+1000*tech_proj!AQ1293)/((1-tech_proj!AQ453)*tech_proj!AQ733*$L$110))</f>
        <v>102.50385415414907</v>
      </c>
      <c r="AR673" s="71">
        <f>IF(tech_base!$T49&gt;AR$625,"",(1000*tech_proj!AR1013*(-PMT($J$110,tech_base!$F49,1))+1000*tech_proj!AR1293)/((1-tech_proj!AR453)*tech_proj!AR733*$L$110))</f>
        <v>100.86427351446835</v>
      </c>
      <c r="AS673" s="71">
        <f>IF(tech_base!$T49&gt;AS$625,"",(1000*tech_proj!AS1013*(-PMT($J$110,tech_base!$F49,1))+1000*tech_proj!AS1293)/((1-tech_proj!AS453)*tech_proj!AS733*$L$110))</f>
        <v>99.04524097633103</v>
      </c>
      <c r="AT673" s="71">
        <f>IF(tech_base!$T49&gt;AT$625,"",(1000*tech_proj!AT1013*(-PMT($J$110,tech_base!$F49,1))+1000*tech_proj!AT1293)/((1-tech_proj!AT453)*tech_proj!AT733*$L$110))</f>
        <v>97.087474735825239</v>
      </c>
      <c r="AU673" s="71">
        <f>IF(tech_base!$T49&gt;AU$625,"",(1000*tech_proj!AU1013*(-PMT($J$110,tech_base!$F49,1))+1000*tech_proj!AU1293)/((1-tech_proj!AU453)*tech_proj!AU733*$L$110))</f>
        <v>95.051037519304529</v>
      </c>
      <c r="AV673" s="71">
        <f>IF(tech_base!$T49&gt;AV$625,"",(1000*tech_proj!AV1013*(-PMT($J$110,tech_base!$F49,1))+1000*tech_proj!AV1293)/((1-tech_proj!AV453)*tech_proj!AV733*$L$110))</f>
        <v>93.010403673659354</v>
      </c>
      <c r="AW673" s="71">
        <f>IF(tech_base!$T49&gt;AW$625,"",(1000*tech_proj!AW1013*(-PMT($J$110,tech_base!$F49,1))+1000*tech_proj!AW1293)/((1-tech_proj!AW453)*tech_proj!AW733*$L$110))</f>
        <v>91.045288215471217</v>
      </c>
      <c r="AX673" s="237">
        <f>IF(tech_base!$T49&gt;AX$625,"",(1000*tech_proj!AX1013*(-PMT($J$110,tech_base!$F49,1))+1000*tech_proj!AX1293)/((1-tech_proj!AX453)*tech_proj!AX733*$L$110))</f>
        <v>89.229149826211852</v>
      </c>
      <c r="AY673" s="133"/>
    </row>
    <row r="674" spans="1:51" s="174" customFormat="1" x14ac:dyDescent="0.25">
      <c r="A674" s="356"/>
      <c r="B674" s="376"/>
      <c r="C674" s="379"/>
      <c r="D674" s="59" t="s">
        <v>8</v>
      </c>
      <c r="E674" s="166" t="str">
        <f>A671&amp;"/"&amp;B671&amp;"/"&amp;C673&amp;"/"&amp;D674</f>
        <v>Lignite fired power plants/Integrated gasification combined cycle/CHP/M</v>
      </c>
      <c r="F674" s="79" t="str">
        <f>A671</f>
        <v>Lignite fired power plants</v>
      </c>
      <c r="G674" s="79" t="str">
        <f>B671</f>
        <v>Integrated gasification combined cycle</v>
      </c>
      <c r="H674" s="79" t="str">
        <f>C673</f>
        <v>CHP</v>
      </c>
      <c r="I674" s="167" t="str">
        <f t="shared" si="362"/>
        <v>M</v>
      </c>
      <c r="J674" s="72" t="str">
        <f>IF(tech_base!$T50&gt;J$625,"",(1000*tech_proj!J1014*(-PMT($J$110,tech_base!$F50,1))+1000*tech_proj!J1294)/((1-tech_proj!J454)*tech_proj!J734*$L$110))</f>
        <v/>
      </c>
      <c r="K674" s="72" t="str">
        <f>IF(tech_base!$T50&gt;K$625,"",(1000*tech_proj!K1014*(-PMT($J$110,tech_base!$F50,1))+1000*tech_proj!K1294)/((1-tech_proj!K454)*tech_proj!K734*$L$110))</f>
        <v/>
      </c>
      <c r="L674" s="72" t="str">
        <f>IF(tech_base!$T50&gt;L$625,"",(1000*tech_proj!L1014*(-PMT($J$110,tech_base!$F50,1))+1000*tech_proj!L1294)/((1-tech_proj!L454)*tech_proj!L734*$L$110))</f>
        <v/>
      </c>
      <c r="M674" s="72" t="str">
        <f>IF(tech_base!$T50&gt;M$625,"",(1000*tech_proj!M1014*(-PMT($J$110,tech_base!$F50,1))+1000*tech_proj!M1294)/((1-tech_proj!M454)*tech_proj!M734*$L$110))</f>
        <v/>
      </c>
      <c r="N674" s="72" t="str">
        <f>IF(tech_base!$T50&gt;N$625,"",(1000*tech_proj!N1014*(-PMT($J$110,tech_base!$F50,1))+1000*tech_proj!N1294)/((1-tech_proj!N454)*tech_proj!N734*$L$110))</f>
        <v/>
      </c>
      <c r="O674" s="72" t="str">
        <f>IF(tech_base!$T50&gt;O$625,"",(1000*tech_proj!O1014*(-PMT($J$110,tech_base!$F50,1))+1000*tech_proj!O1294)/((1-tech_proj!O454)*tech_proj!O734*$L$110))</f>
        <v/>
      </c>
      <c r="P674" s="72" t="str">
        <f>IF(tech_base!$T50&gt;P$625,"",(1000*tech_proj!P1014*(-PMT($J$110,tech_base!$F50,1))+1000*tech_proj!P1294)/((1-tech_proj!P454)*tech_proj!P734*$L$110))</f>
        <v/>
      </c>
      <c r="Q674" s="72" t="str">
        <f>IF(tech_base!$T50&gt;Q$625,"",(1000*tech_proj!Q1014*(-PMT($J$110,tech_base!$F50,1))+1000*tech_proj!Q1294)/((1-tech_proj!Q454)*tech_proj!Q734*$L$110))</f>
        <v/>
      </c>
      <c r="R674" s="72" t="str">
        <f>IF(tech_base!$T50&gt;R$625,"",(1000*tech_proj!R1014*(-PMT($J$110,tech_base!$F50,1))+1000*tech_proj!R1294)/((1-tech_proj!R454)*tech_proj!R734*$L$110))</f>
        <v/>
      </c>
      <c r="S674" s="72" t="str">
        <f>IF(tech_base!$T50&gt;S$625,"",(1000*tech_proj!S1014*(-PMT($J$110,tech_base!$F50,1))+1000*tech_proj!S1294)/((1-tech_proj!S454)*tech_proj!S734*$L$110))</f>
        <v/>
      </c>
      <c r="T674" s="72">
        <f>IF(tech_base!$T50&gt;T$625,"",(1000*tech_proj!T1014*(-PMT($J$110,tech_base!$F50,1))+1000*tech_proj!T1294)/((1-tech_proj!T454)*tech_proj!T734*$L$110))</f>
        <v>118.34757228975595</v>
      </c>
      <c r="U674" s="72">
        <f>IF(tech_base!$T50&gt;U$625,"",(1000*tech_proj!U1014*(-PMT($J$110,tech_base!$F50,1))+1000*tech_proj!U1294)/((1-tech_proj!U454)*tech_proj!U734*$L$110))</f>
        <v>118.31503678419564</v>
      </c>
      <c r="V674" s="72">
        <f>IF(tech_base!$T50&gt;V$625,"",(1000*tech_proj!V1014*(-PMT($J$110,tech_base!$F50,1))+1000*tech_proj!V1294)/((1-tech_proj!V454)*tech_proj!V734*$L$110))</f>
        <v>118.27536056424555</v>
      </c>
      <c r="W674" s="72">
        <f>IF(tech_base!$T50&gt;W$625,"",(1000*tech_proj!W1014*(-PMT($J$110,tech_base!$F50,1))+1000*tech_proj!W1294)/((1-tech_proj!W454)*tech_proj!W734*$L$110))</f>
        <v>118.22699328508385</v>
      </c>
      <c r="X674" s="72">
        <f>IF(tech_base!$T50&gt;X$625,"",(1000*tech_proj!X1014*(-PMT($J$110,tech_base!$F50,1))+1000*tech_proj!X1294)/((1-tech_proj!X454)*tech_proj!X734*$L$110))</f>
        <v>118.16805623083019</v>
      </c>
      <c r="Y674" s="72">
        <f>IF(tech_base!$T50&gt;Y$625,"",(1000*tech_proj!Y1014*(-PMT($J$110,tech_base!$F50,1))+1000*tech_proj!Y1294)/((1-tech_proj!Y454)*tech_proj!Y734*$L$110))</f>
        <v>118.09627678041579</v>
      </c>
      <c r="Z674" s="72">
        <f>IF(tech_base!$T50&gt;Z$625,"",(1000*tech_proj!Z1014*(-PMT($J$110,tech_base!$F50,1))+1000*tech_proj!Z1294)/((1-tech_proj!Z454)*tech_proj!Z734*$L$110))</f>
        <v>118.00891176824031</v>
      </c>
      <c r="AA674" s="72">
        <f>IF(tech_base!$T50&gt;AA$625,"",(1000*tech_proj!AA1014*(-PMT($J$110,tech_base!$F50,1))+1000*tech_proj!AA1294)/((1-tech_proj!AA454)*tech_proj!AA734*$L$110))</f>
        <v>117.90265885800805</v>
      </c>
      <c r="AB674" s="72">
        <f>IF(tech_base!$T50&gt;AB$625,"",(1000*tech_proj!AB1014*(-PMT($J$110,tech_base!$F50,1))+1000*tech_proj!AB1294)/((1-tech_proj!AB454)*tech_proj!AB734*$L$110))</f>
        <v>117.77355555174253</v>
      </c>
      <c r="AC674" s="72">
        <f>IF(tech_base!$T50&gt;AC$625,"",(1000*tech_proj!AC1014*(-PMT($J$110,tech_base!$F50,1))+1000*tech_proj!AC1294)/((1-tech_proj!AC454)*tech_proj!AC734*$L$110))</f>
        <v>117.61686635512858</v>
      </c>
      <c r="AD674" s="72">
        <f>IF(tech_base!$T50&gt;AD$625,"",(1000*tech_proj!AD1014*(-PMT($J$110,tech_base!$F50,1))+1000*tech_proj!AD1294)/((1-tech_proj!AD454)*tech_proj!AD734*$L$110))</f>
        <v>117.42696009745302</v>
      </c>
      <c r="AE674" s="72">
        <f>IF(tech_base!$T50&gt;AE$625,"",(1000*tech_proj!AE1014*(-PMT($J$110,tech_base!$F50,1))+1000*tech_proj!AE1294)/((1-tech_proj!AE454)*tech_proj!AE734*$L$110))</f>
        <v>117.19718169685598</v>
      </c>
      <c r="AF674" s="72">
        <f>IF(tech_base!$T50&gt;AF$625,"",(1000*tech_proj!AF1014*(-PMT($J$110,tech_base!$F50,1))+1000*tech_proj!AF1294)/((1-tech_proj!AF454)*tech_proj!AF734*$L$110))</f>
        <v>116.91972605990435</v>
      </c>
      <c r="AG674" s="72">
        <f>IF(tech_base!$T50&gt;AG$625,"",(1000*tech_proj!AG1014*(-PMT($J$110,tech_base!$F50,1))+1000*tech_proj!AG1294)/((1-tech_proj!AG454)*tech_proj!AG734*$L$110))</f>
        <v>116.58552663176746</v>
      </c>
      <c r="AH674" s="72">
        <f>IF(tech_base!$T50&gt;AH$625,"",(1000*tech_proj!AH1014*(-PMT($J$110,tech_base!$F50,1))+1000*tech_proj!AH1294)/((1-tech_proj!AH454)*tech_proj!AH734*$L$110))</f>
        <v>116.18417766855323</v>
      </c>
      <c r="AI674" s="72">
        <f>IF(tech_base!$T50&gt;AI$625,"",(1000*tech_proj!AI1014*(-PMT($J$110,tech_base!$F50,1))+1000*tech_proj!AI1294)/((1-tech_proj!AI454)*tech_proj!AI734*$L$110))</f>
        <v>115.70391774351162</v>
      </c>
      <c r="AJ674" s="72">
        <f>IF(tech_base!$T50&gt;AJ$625,"",(1000*tech_proj!AJ1014*(-PMT($J$110,tech_base!$F50,1))+1000*tech_proj!AJ1294)/((1-tech_proj!AJ454)*tech_proj!AJ734*$L$110))</f>
        <v>115.13171212612166</v>
      </c>
      <c r="AK674" s="72">
        <f>IF(tech_base!$T50&gt;AK$625,"",(1000*tech_proj!AK1014*(-PMT($J$110,tech_base!$F50,1))+1000*tech_proj!AK1294)/((1-tech_proj!AK454)*tech_proj!AK734*$L$110))</f>
        <v>114.45348259672562</v>
      </c>
      <c r="AL674" s="72">
        <f>IF(tech_base!$T50&gt;AL$625,"",(1000*tech_proj!AL1014*(-PMT($J$110,tech_base!$F50,1))+1000*tech_proj!AL1294)/((1-tech_proj!AL454)*tech_proj!AL734*$L$110))</f>
        <v>113.65454292205978</v>
      </c>
      <c r="AM674" s="72">
        <f>IF(tech_base!$T50&gt;AM$625,"",(1000*tech_proj!AM1014*(-PMT($J$110,tech_base!$F50,1))+1000*tech_proj!AM1294)/((1-tech_proj!AM454)*tech_proj!AM734*$L$110))</f>
        <v>112.72030284769588</v>
      </c>
      <c r="AN674" s="72">
        <f>IF(tech_base!$T50&gt;AN$625,"",(1000*tech_proj!AN1014*(-PMT($J$110,tech_base!$F50,1))+1000*tech_proj!AN1294)/((1-tech_proj!AN454)*tech_proj!AN734*$L$110))</f>
        <v>111.63729716175014</v>
      </c>
      <c r="AO674" s="72">
        <f>IF(tech_base!$T50&gt;AO$625,"",(1000*tech_proj!AO1014*(-PMT($J$110,tech_base!$F50,1))+1000*tech_proj!AO1294)/((1-tech_proj!AO454)*tech_proj!AO734*$L$110))</f>
        <v>110.39457127583924</v>
      </c>
      <c r="AP674" s="72">
        <f>IF(tech_base!$T50&gt;AP$625,"",(1000*tech_proj!AP1014*(-PMT($J$110,tech_base!$F50,1))+1000*tech_proj!AP1294)/((1-tech_proj!AP454)*tech_proj!AP734*$L$110))</f>
        <v>108.98540243934532</v>
      </c>
      <c r="AQ674" s="72">
        <f>IF(tech_base!$T50&gt;AQ$625,"",(1000*tech_proj!AQ1014*(-PMT($J$110,tech_base!$F50,1))+1000*tech_proj!AQ1294)/((1-tech_proj!AQ454)*tech_proj!AQ734*$L$110))</f>
        <v>107.40925072183703</v>
      </c>
      <c r="AR674" s="72">
        <f>IF(tech_base!$T50&gt;AR$625,"",(1000*tech_proj!AR1014*(-PMT($J$110,tech_base!$F50,1))+1000*tech_proj!AR1294)/((1-tech_proj!AR454)*tech_proj!AR734*$L$110))</f>
        <v>105.67371978704786</v>
      </c>
      <c r="AS674" s="72">
        <f>IF(tech_base!$T50&gt;AS$625,"",(1000*tech_proj!AS1014*(-PMT($J$110,tech_base!$F50,1))+1000*tech_proj!AS1294)/((1-tech_proj!AS454)*tech_proj!AS734*$L$110))</f>
        <v>103.79618392733281</v>
      </c>
      <c r="AT674" s="72">
        <f>IF(tech_base!$T50&gt;AT$625,"",(1000*tech_proj!AT1014*(-PMT($J$110,tech_base!$F50,1))+1000*tech_proj!AT1294)/((1-tech_proj!AT454)*tech_proj!AT734*$L$110))</f>
        <v>101.80464524353735</v>
      </c>
      <c r="AU674" s="72">
        <f>IF(tech_base!$T50&gt;AU$625,"",(1000*tech_proj!AU1014*(-PMT($J$110,tech_base!$F50,1))+1000*tech_proj!AU1294)/((1-tech_proj!AU454)*tech_proj!AU734*$L$110))</f>
        <v>99.737379723333774</v>
      </c>
      <c r="AV674" s="72">
        <f>IF(tech_base!$T50&gt;AV$625,"",(1000*tech_proj!AV1014*(-PMT($J$110,tech_base!$F50,1))+1000*tech_proj!AV1294)/((1-tech_proj!AV454)*tech_proj!AV734*$L$110))</f>
        <v>97.641065976976108</v>
      </c>
      <c r="AW674" s="72">
        <f>IF(tech_base!$T50&gt;AW$625,"",(1000*tech_proj!AW1014*(-PMT($J$110,tech_base!$F50,1))+1000*tech_proj!AW1294)/((1-tech_proj!AW454)*tech_proj!AW734*$L$110))</f>
        <v>95.567380890368796</v>
      </c>
      <c r="AX674" s="238">
        <f>IF(tech_base!$T50&gt;AX$625,"",(1000*tech_proj!AX1014*(-PMT($J$110,tech_base!$F50,1))+1000*tech_proj!AX1294)/((1-tech_proj!AX454)*tech_proj!AX734*$L$110))</f>
        <v>93.568438858796085</v>
      </c>
      <c r="AY674" s="133"/>
    </row>
    <row r="675" spans="1:51" s="174" customFormat="1" x14ac:dyDescent="0.25">
      <c r="A675" s="356"/>
      <c r="B675" s="376"/>
      <c r="C675" s="361" t="s">
        <v>15</v>
      </c>
      <c r="D675" s="58" t="s">
        <v>7</v>
      </c>
      <c r="E675" s="164" t="str">
        <f>A671&amp;"/"&amp;B671&amp;"/"&amp;C675&amp;"/"&amp;D675</f>
        <v>Lignite fired power plants/Integrated gasification combined cycle/Electricity only with CCS/L</v>
      </c>
      <c r="F675" s="78" t="str">
        <f>A671</f>
        <v>Lignite fired power plants</v>
      </c>
      <c r="G675" s="78" t="str">
        <f>B671</f>
        <v>Integrated gasification combined cycle</v>
      </c>
      <c r="H675" s="78" t="str">
        <f>C675</f>
        <v>Electricity only with CCS</v>
      </c>
      <c r="I675" s="165" t="str">
        <f t="shared" si="362"/>
        <v>L</v>
      </c>
      <c r="J675" s="71" t="str">
        <f>IF(tech_base!$T51&gt;J$625,"",(1000*tech_proj!J1015*(-PMT($J$110,tech_base!$F51,1))+1000*tech_proj!J1295)/((1-tech_proj!J455)*tech_proj!J735*$L$110))</f>
        <v/>
      </c>
      <c r="K675" s="71" t="str">
        <f>IF(tech_base!$T51&gt;K$625,"",(1000*tech_proj!K1015*(-PMT($J$110,tech_base!$F51,1))+1000*tech_proj!K1295)/((1-tech_proj!K455)*tech_proj!K735*$L$110))</f>
        <v/>
      </c>
      <c r="L675" s="71" t="str">
        <f>IF(tech_base!$T51&gt;L$625,"",(1000*tech_proj!L1015*(-PMT($J$110,tech_base!$F51,1))+1000*tech_proj!L1295)/((1-tech_proj!L455)*tech_proj!L735*$L$110))</f>
        <v/>
      </c>
      <c r="M675" s="71" t="str">
        <f>IF(tech_base!$T51&gt;M$625,"",(1000*tech_proj!M1015*(-PMT($J$110,tech_base!$F51,1))+1000*tech_proj!M1295)/((1-tech_proj!M455)*tech_proj!M735*$L$110))</f>
        <v/>
      </c>
      <c r="N675" s="71" t="str">
        <f>IF(tech_base!$T51&gt;N$625,"",(1000*tech_proj!N1015*(-PMT($J$110,tech_base!$F51,1))+1000*tech_proj!N1295)/((1-tech_proj!N455)*tech_proj!N735*$L$110))</f>
        <v/>
      </c>
      <c r="O675" s="71" t="str">
        <f>IF(tech_base!$T51&gt;O$625,"",(1000*tech_proj!O1015*(-PMT($J$110,tech_base!$F51,1))+1000*tech_proj!O1295)/((1-tech_proj!O455)*tech_proj!O735*$L$110))</f>
        <v/>
      </c>
      <c r="P675" s="71" t="str">
        <f>IF(tech_base!$T51&gt;P$625,"",(1000*tech_proj!P1015*(-PMT($J$110,tech_base!$F51,1))+1000*tech_proj!P1295)/((1-tech_proj!P455)*tech_proj!P735*$L$110))</f>
        <v/>
      </c>
      <c r="Q675" s="71" t="str">
        <f>IF(tech_base!$T51&gt;Q$625,"",(1000*tech_proj!Q1015*(-PMT($J$110,tech_base!$F51,1))+1000*tech_proj!Q1295)/((1-tech_proj!Q455)*tech_proj!Q735*$L$110))</f>
        <v/>
      </c>
      <c r="R675" s="71" t="str">
        <f>IF(tech_base!$T51&gt;R$625,"",(1000*tech_proj!R1015*(-PMT($J$110,tech_base!$F51,1))+1000*tech_proj!R1295)/((1-tech_proj!R455)*tech_proj!R735*$L$110))</f>
        <v/>
      </c>
      <c r="S675" s="71" t="str">
        <f>IF(tech_base!$T51&gt;S$625,"",(1000*tech_proj!S1015*(-PMT($J$110,tech_base!$F51,1))+1000*tech_proj!S1295)/((1-tech_proj!S455)*tech_proj!S735*$L$110))</f>
        <v/>
      </c>
      <c r="T675" s="71" t="str">
        <f>IF(tech_base!$T51&gt;T$625,"",(1000*tech_proj!T1015*(-PMT($J$110,tech_base!$F51,1))+1000*tech_proj!T1295)/((1-tech_proj!T455)*tech_proj!T735*$L$110))</f>
        <v/>
      </c>
      <c r="U675" s="71" t="str">
        <f>IF(tech_base!$T51&gt;U$625,"",(1000*tech_proj!U1015*(-PMT($J$110,tech_base!$F51,1))+1000*tech_proj!U1295)/((1-tech_proj!U455)*tech_proj!U735*$L$110))</f>
        <v/>
      </c>
      <c r="V675" s="71" t="str">
        <f>IF(tech_base!$T51&gt;V$625,"",(1000*tech_proj!V1015*(-PMT($J$110,tech_base!$F51,1))+1000*tech_proj!V1295)/((1-tech_proj!V455)*tech_proj!V735*$L$110))</f>
        <v/>
      </c>
      <c r="W675" s="71" t="str">
        <f>IF(tech_base!$T51&gt;W$625,"",(1000*tech_proj!W1015*(-PMT($J$110,tech_base!$F51,1))+1000*tech_proj!W1295)/((1-tech_proj!W455)*tech_proj!W735*$L$110))</f>
        <v/>
      </c>
      <c r="X675" s="71" t="str">
        <f>IF(tech_base!$T51&gt;X$625,"",(1000*tech_proj!X1015*(-PMT($J$110,tech_base!$F51,1))+1000*tech_proj!X1295)/((1-tech_proj!X455)*tech_proj!X735*$L$110))</f>
        <v/>
      </c>
      <c r="Y675" s="71" t="str">
        <f>IF(tech_base!$T51&gt;Y$625,"",(1000*tech_proj!Y1015*(-PMT($J$110,tech_base!$F51,1))+1000*tech_proj!Y1295)/((1-tech_proj!Y455)*tech_proj!Y735*$L$110))</f>
        <v/>
      </c>
      <c r="Z675" s="71" t="str">
        <f>IF(tech_base!$T51&gt;Z$625,"",(1000*tech_proj!Z1015*(-PMT($J$110,tech_base!$F51,1))+1000*tech_proj!Z1295)/((1-tech_proj!Z455)*tech_proj!Z735*$L$110))</f>
        <v/>
      </c>
      <c r="AA675" s="71" t="str">
        <f>IF(tech_base!$T51&gt;AA$625,"",(1000*tech_proj!AA1015*(-PMT($J$110,tech_base!$F51,1))+1000*tech_proj!AA1295)/((1-tech_proj!AA455)*tech_proj!AA735*$L$110))</f>
        <v/>
      </c>
      <c r="AB675" s="71" t="str">
        <f>IF(tech_base!$T51&gt;AB$625,"",(1000*tech_proj!AB1015*(-PMT($J$110,tech_base!$F51,1))+1000*tech_proj!AB1295)/((1-tech_proj!AB455)*tech_proj!AB735*$L$110))</f>
        <v/>
      </c>
      <c r="AC675" s="71" t="str">
        <f>IF(tech_base!$T51&gt;AC$625,"",(1000*tech_proj!AC1015*(-PMT($J$110,tech_base!$F51,1))+1000*tech_proj!AC1295)/((1-tech_proj!AC455)*tech_proj!AC735*$L$110))</f>
        <v/>
      </c>
      <c r="AD675" s="71" t="str">
        <f>IF(tech_base!$T51&gt;AD$625,"",(1000*tech_proj!AD1015*(-PMT($J$110,tech_base!$F51,1))+1000*tech_proj!AD1295)/((1-tech_proj!AD455)*tech_proj!AD735*$L$110))</f>
        <v/>
      </c>
      <c r="AE675" s="71">
        <f>IF(tech_base!$T51&gt;AE$625,"",(1000*tech_proj!AE1015*(-PMT($J$110,tech_base!$F51,1))+1000*tech_proj!AE1295)/((1-tech_proj!AE455)*tech_proj!AE735*$L$110))</f>
        <v>184.53550557272234</v>
      </c>
      <c r="AF675" s="71">
        <f>IF(tech_base!$T51&gt;AF$625,"",(1000*tech_proj!AF1015*(-PMT($J$110,tech_base!$F51,1))+1000*tech_proj!AF1295)/((1-tech_proj!AF455)*tech_proj!AF735*$L$110))</f>
        <v>184.506688975103</v>
      </c>
      <c r="AG675" s="71">
        <f>IF(tech_base!$T51&gt;AG$625,"",(1000*tech_proj!AG1015*(-PMT($J$110,tech_base!$F51,1))+1000*tech_proj!AG1295)/((1-tech_proj!AG455)*tech_proj!AG735*$L$110))</f>
        <v>184.46782741883814</v>
      </c>
      <c r="AH675" s="71">
        <f>IF(tech_base!$T51&gt;AH$625,"",(1000*tech_proj!AH1015*(-PMT($J$110,tech_base!$F51,1))+1000*tech_proj!AH1295)/((1-tech_proj!AH455)*tech_proj!AH735*$L$110))</f>
        <v>184.41543671988154</v>
      </c>
      <c r="AI675" s="71">
        <f>IF(tech_base!$T51&gt;AI$625,"",(1000*tech_proj!AI1015*(-PMT($J$110,tech_base!$F51,1))+1000*tech_proj!AI1295)/((1-tech_proj!AI455)*tech_proj!AI735*$L$110))</f>
        <v>184.34483834094982</v>
      </c>
      <c r="AJ675" s="71">
        <f>IF(tech_base!$T51&gt;AJ$625,"",(1000*tech_proj!AJ1015*(-PMT($J$110,tech_base!$F51,1))+1000*tech_proj!AJ1295)/((1-tech_proj!AJ455)*tech_proj!AJ735*$L$110))</f>
        <v>184.24976155337677</v>
      </c>
      <c r="AK675" s="71">
        <f>IF(tech_base!$T51&gt;AK$625,"",(1000*tech_proj!AK1015*(-PMT($J$110,tech_base!$F51,1))+1000*tech_proj!AK1295)/((1-tech_proj!AK455)*tech_proj!AK735*$L$110))</f>
        <v>184.12182254577019</v>
      </c>
      <c r="AL675" s="71">
        <f>IF(tech_base!$T51&gt;AL$625,"",(1000*tech_proj!AL1015*(-PMT($J$110,tech_base!$F51,1))+1000*tech_proj!AL1295)/((1-tech_proj!AL455)*tech_proj!AL735*$L$110))</f>
        <v>183.94985022961927</v>
      </c>
      <c r="AM675" s="71">
        <f>IF(tech_base!$T51&gt;AM$625,"",(1000*tech_proj!AM1015*(-PMT($J$110,tech_base!$F51,1))+1000*tech_proj!AM1295)/((1-tech_proj!AM455)*tech_proj!AM735*$L$110))</f>
        <v>183.7190277753821</v>
      </c>
      <c r="AN675" s="71">
        <f>IF(tech_base!$T51&gt;AN$625,"",(1000*tech_proj!AN1015*(-PMT($J$110,tech_base!$F51,1))+1000*tech_proj!AN1295)/((1-tech_proj!AN455)*tech_proj!AN735*$L$110))</f>
        <v>183.40982513646014</v>
      </c>
      <c r="AO675" s="71">
        <f>IF(tech_base!$T51&gt;AO$625,"",(1000*tech_proj!AO1015*(-PMT($J$110,tech_base!$F51,1))+1000*tech_proj!AO1295)/((1-tech_proj!AO455)*tech_proj!AO735*$L$110))</f>
        <v>182.99671806848374</v>
      </c>
      <c r="AP675" s="71">
        <f>IF(tech_base!$T51&gt;AP$625,"",(1000*tech_proj!AP1015*(-PMT($J$110,tech_base!$F51,1))+1000*tech_proj!AP1295)/((1-tech_proj!AP455)*tech_proj!AP735*$L$110))</f>
        <v>182.44673518371533</v>
      </c>
      <c r="AQ675" s="71">
        <f>IF(tech_base!$T51&gt;AQ$625,"",(1000*tech_proj!AQ1015*(-PMT($J$110,tech_base!$F51,1))+1000*tech_proj!AQ1295)/((1-tech_proj!AQ455)*tech_proj!AQ735*$L$110))</f>
        <v>181.71796427879008</v>
      </c>
      <c r="AR675" s="71">
        <f>IF(tech_base!$T51&gt;AR$625,"",(1000*tech_proj!AR1015*(-PMT($J$110,tech_base!$F51,1))+1000*tech_proj!AR1295)/((1-tech_proj!AR455)*tech_proj!AR735*$L$110))</f>
        <v>180.75830631218705</v>
      </c>
      <c r="AS675" s="71">
        <f>IF(tech_base!$T51&gt;AS$625,"",(1000*tech_proj!AS1015*(-PMT($J$110,tech_base!$F51,1))+1000*tech_proj!AS1295)/((1-tech_proj!AS455)*tech_proj!AS735*$L$110))</f>
        <v>179.50501385884652</v>
      </c>
      <c r="AT675" s="71">
        <f>IF(tech_base!$T51&gt;AT$625,"",(1000*tech_proj!AT1015*(-PMT($J$110,tech_base!$F51,1))+1000*tech_proj!AT1295)/((1-tech_proj!AT455)*tech_proj!AT735*$L$110))</f>
        <v>177.88589576108726</v>
      </c>
      <c r="AU675" s="71">
        <f>IF(tech_base!$T51&gt;AU$625,"",(1000*tech_proj!AU1015*(-PMT($J$110,tech_base!$F51,1))+1000*tech_proj!AU1295)/((1-tech_proj!AU455)*tech_proj!AU735*$L$110))</f>
        <v>175.8234548275874</v>
      </c>
      <c r="AV675" s="71">
        <f>IF(tech_base!$T51&gt;AV$625,"",(1000*tech_proj!AV1015*(-PMT($J$110,tech_base!$F51,1))+1000*tech_proj!AV1295)/((1-tech_proj!AV455)*tech_proj!AV735*$L$110))</f>
        <v>173.24346132040296</v>
      </c>
      <c r="AW675" s="71">
        <f>IF(tech_base!$T51&gt;AW$625,"",(1000*tech_proj!AW1015*(-PMT($J$110,tech_base!$F51,1))+1000*tech_proj!AW1295)/((1-tech_proj!AW455)*tech_proj!AW735*$L$110))</f>
        <v>170.08915349985836</v>
      </c>
      <c r="AX675" s="237">
        <f>IF(tech_base!$T51&gt;AX$625,"",(1000*tech_proj!AX1015*(-PMT($J$110,tech_base!$F51,1))+1000*tech_proj!AX1295)/((1-tech_proj!AX455)*tech_proj!AX735*$L$110))</f>
        <v>166.34081806277587</v>
      </c>
      <c r="AY675" s="133"/>
    </row>
    <row r="676" spans="1:51" s="174" customFormat="1" x14ac:dyDescent="0.25">
      <c r="A676" s="356"/>
      <c r="B676" s="376"/>
      <c r="C676" s="379"/>
      <c r="D676" s="59" t="s">
        <v>8</v>
      </c>
      <c r="E676" s="166" t="str">
        <f>A671&amp;"/"&amp;B671&amp;"/"&amp;C675&amp;"/"&amp;D676</f>
        <v>Lignite fired power plants/Integrated gasification combined cycle/Electricity only with CCS/M</v>
      </c>
      <c r="F676" s="79" t="str">
        <f>A671</f>
        <v>Lignite fired power plants</v>
      </c>
      <c r="G676" s="79" t="str">
        <f>B671</f>
        <v>Integrated gasification combined cycle</v>
      </c>
      <c r="H676" s="79" t="str">
        <f>C675</f>
        <v>Electricity only with CCS</v>
      </c>
      <c r="I676" s="167" t="str">
        <f t="shared" si="362"/>
        <v>M</v>
      </c>
      <c r="J676" s="72" t="str">
        <f>IF(tech_base!$T52&gt;J$625,"",(1000*tech_proj!J1016*(-PMT($J$110,tech_base!$F52,1))+1000*tech_proj!J1296)/((1-tech_proj!J456)*tech_proj!J736*$L$110))</f>
        <v/>
      </c>
      <c r="K676" s="72" t="str">
        <f>IF(tech_base!$T52&gt;K$625,"",(1000*tech_proj!K1016*(-PMT($J$110,tech_base!$F52,1))+1000*tech_proj!K1296)/((1-tech_proj!K456)*tech_proj!K736*$L$110))</f>
        <v/>
      </c>
      <c r="L676" s="72" t="str">
        <f>IF(tech_base!$T52&gt;L$625,"",(1000*tech_proj!L1016*(-PMT($J$110,tech_base!$F52,1))+1000*tech_proj!L1296)/((1-tech_proj!L456)*tech_proj!L736*$L$110))</f>
        <v/>
      </c>
      <c r="M676" s="72" t="str">
        <f>IF(tech_base!$T52&gt;M$625,"",(1000*tech_proj!M1016*(-PMT($J$110,tech_base!$F52,1))+1000*tech_proj!M1296)/((1-tech_proj!M456)*tech_proj!M736*$L$110))</f>
        <v/>
      </c>
      <c r="N676" s="72" t="str">
        <f>IF(tech_base!$T52&gt;N$625,"",(1000*tech_proj!N1016*(-PMT($J$110,tech_base!$F52,1))+1000*tech_proj!N1296)/((1-tech_proj!N456)*tech_proj!N736*$L$110))</f>
        <v/>
      </c>
      <c r="O676" s="72" t="str">
        <f>IF(tech_base!$T52&gt;O$625,"",(1000*tech_proj!O1016*(-PMT($J$110,tech_base!$F52,1))+1000*tech_proj!O1296)/((1-tech_proj!O456)*tech_proj!O736*$L$110))</f>
        <v/>
      </c>
      <c r="P676" s="72" t="str">
        <f>IF(tech_base!$T52&gt;P$625,"",(1000*tech_proj!P1016*(-PMT($J$110,tech_base!$F52,1))+1000*tech_proj!P1296)/((1-tech_proj!P456)*tech_proj!P736*$L$110))</f>
        <v/>
      </c>
      <c r="Q676" s="72" t="str">
        <f>IF(tech_base!$T52&gt;Q$625,"",(1000*tech_proj!Q1016*(-PMT($J$110,tech_base!$F52,1))+1000*tech_proj!Q1296)/((1-tech_proj!Q456)*tech_proj!Q736*$L$110))</f>
        <v/>
      </c>
      <c r="R676" s="72" t="str">
        <f>IF(tech_base!$T52&gt;R$625,"",(1000*tech_proj!R1016*(-PMT($J$110,tech_base!$F52,1))+1000*tech_proj!R1296)/((1-tech_proj!R456)*tech_proj!R736*$L$110))</f>
        <v/>
      </c>
      <c r="S676" s="72" t="str">
        <f>IF(tech_base!$T52&gt;S$625,"",(1000*tech_proj!S1016*(-PMT($J$110,tech_base!$F52,1))+1000*tech_proj!S1296)/((1-tech_proj!S456)*tech_proj!S736*$L$110))</f>
        <v/>
      </c>
      <c r="T676" s="72" t="str">
        <f>IF(tech_base!$T52&gt;T$625,"",(1000*tech_proj!T1016*(-PMT($J$110,tech_base!$F52,1))+1000*tech_proj!T1296)/((1-tech_proj!T456)*tech_proj!T736*$L$110))</f>
        <v/>
      </c>
      <c r="U676" s="72" t="str">
        <f>IF(tech_base!$T52&gt;U$625,"",(1000*tech_proj!U1016*(-PMT($J$110,tech_base!$F52,1))+1000*tech_proj!U1296)/((1-tech_proj!U456)*tech_proj!U736*$L$110))</f>
        <v/>
      </c>
      <c r="V676" s="72" t="str">
        <f>IF(tech_base!$T52&gt;V$625,"",(1000*tech_proj!V1016*(-PMT($J$110,tech_base!$F52,1))+1000*tech_proj!V1296)/((1-tech_proj!V456)*tech_proj!V736*$L$110))</f>
        <v/>
      </c>
      <c r="W676" s="72" t="str">
        <f>IF(tech_base!$T52&gt;W$625,"",(1000*tech_proj!W1016*(-PMT($J$110,tech_base!$F52,1))+1000*tech_proj!W1296)/((1-tech_proj!W456)*tech_proj!W736*$L$110))</f>
        <v/>
      </c>
      <c r="X676" s="72" t="str">
        <f>IF(tech_base!$T52&gt;X$625,"",(1000*tech_proj!X1016*(-PMT($J$110,tech_base!$F52,1))+1000*tech_proj!X1296)/((1-tech_proj!X456)*tech_proj!X736*$L$110))</f>
        <v/>
      </c>
      <c r="Y676" s="72" t="str">
        <f>IF(tech_base!$T52&gt;Y$625,"",(1000*tech_proj!Y1016*(-PMT($J$110,tech_base!$F52,1))+1000*tech_proj!Y1296)/((1-tech_proj!Y456)*tech_proj!Y736*$L$110))</f>
        <v/>
      </c>
      <c r="Z676" s="72" t="str">
        <f>IF(tech_base!$T52&gt;Z$625,"",(1000*tech_proj!Z1016*(-PMT($J$110,tech_base!$F52,1))+1000*tech_proj!Z1296)/((1-tech_proj!Z456)*tech_proj!Z736*$L$110))</f>
        <v/>
      </c>
      <c r="AA676" s="72" t="str">
        <f>IF(tech_base!$T52&gt;AA$625,"",(1000*tech_proj!AA1016*(-PMT($J$110,tech_base!$F52,1))+1000*tech_proj!AA1296)/((1-tech_proj!AA456)*tech_proj!AA736*$L$110))</f>
        <v/>
      </c>
      <c r="AB676" s="72" t="str">
        <f>IF(tech_base!$T52&gt;AB$625,"",(1000*tech_proj!AB1016*(-PMT($J$110,tech_base!$F52,1))+1000*tech_proj!AB1296)/((1-tech_proj!AB456)*tech_proj!AB736*$L$110))</f>
        <v/>
      </c>
      <c r="AC676" s="72" t="str">
        <f>IF(tech_base!$T52&gt;AC$625,"",(1000*tech_proj!AC1016*(-PMT($J$110,tech_base!$F52,1))+1000*tech_proj!AC1296)/((1-tech_proj!AC456)*tech_proj!AC736*$L$110))</f>
        <v/>
      </c>
      <c r="AD676" s="72" t="str">
        <f>IF(tech_base!$T52&gt;AD$625,"",(1000*tech_proj!AD1016*(-PMT($J$110,tech_base!$F52,1))+1000*tech_proj!AD1296)/((1-tech_proj!AD456)*tech_proj!AD736*$L$110))</f>
        <v/>
      </c>
      <c r="AE676" s="72">
        <f>IF(tech_base!$T52&gt;AE$625,"",(1000*tech_proj!AE1016*(-PMT($J$110,tech_base!$F52,1))+1000*tech_proj!AE1296)/((1-tech_proj!AE456)*tech_proj!AE736*$L$110))</f>
        <v>200.41047233769834</v>
      </c>
      <c r="AF676" s="72">
        <f>IF(tech_base!$T52&gt;AF$625,"",(1000*tech_proj!AF1016*(-PMT($J$110,tech_base!$F52,1))+1000*tech_proj!AF1296)/((1-tech_proj!AF456)*tech_proj!AF736*$L$110))</f>
        <v>200.39507514682214</v>
      </c>
      <c r="AG676" s="72">
        <f>IF(tech_base!$T52&gt;AG$625,"",(1000*tech_proj!AG1016*(-PMT($J$110,tech_base!$F52,1))+1000*tech_proj!AG1296)/((1-tech_proj!AG456)*tech_proj!AG736*$L$110))</f>
        <v>200.37323535601817</v>
      </c>
      <c r="AH676" s="72">
        <f>IF(tech_base!$T52&gt;AH$625,"",(1000*tech_proj!AH1016*(-PMT($J$110,tech_base!$F52,1))+1000*tech_proj!AH1296)/((1-tech_proj!AH456)*tech_proj!AH736*$L$110))</f>
        <v>200.34226306402277</v>
      </c>
      <c r="AI676" s="72">
        <f>IF(tech_base!$T52&gt;AI$625,"",(1000*tech_proj!AI1016*(-PMT($J$110,tech_base!$F52,1))+1000*tech_proj!AI1296)/((1-tech_proj!AI456)*tech_proj!AI736*$L$110))</f>
        <v>200.29835121117449</v>
      </c>
      <c r="AJ676" s="72">
        <f>IF(tech_base!$T52&gt;AJ$625,"",(1000*tech_proj!AJ1016*(-PMT($J$110,tech_base!$F52,1))+1000*tech_proj!AJ1296)/((1-tech_proj!AJ456)*tech_proj!AJ736*$L$110))</f>
        <v>200.23611759223095</v>
      </c>
      <c r="AK676" s="72">
        <f>IF(tech_base!$T52&gt;AK$625,"",(1000*tech_proj!AK1016*(-PMT($J$110,tech_base!$F52,1))+1000*tech_proj!AK1296)/((1-tech_proj!AK456)*tech_proj!AK736*$L$110))</f>
        <v>200.14796516114978</v>
      </c>
      <c r="AL676" s="72">
        <f>IF(tech_base!$T52&gt;AL$625,"",(1000*tech_proj!AL1016*(-PMT($J$110,tech_base!$F52,1))+1000*tech_proj!AL1296)/((1-tech_proj!AL456)*tech_proj!AL736*$L$110))</f>
        <v>200.02319465930131</v>
      </c>
      <c r="AM676" s="72">
        <f>IF(tech_base!$T52&gt;AM$625,"",(1000*tech_proj!AM1016*(-PMT($J$110,tech_base!$F52,1))+1000*tech_proj!AM1296)/((1-tech_proj!AM456)*tech_proj!AM736*$L$110))</f>
        <v>199.84678594175716</v>
      </c>
      <c r="AN676" s="72">
        <f>IF(tech_base!$T52&gt;AN$625,"",(1000*tech_proj!AN1016*(-PMT($J$110,tech_base!$F52,1))+1000*tech_proj!AN1296)/((1-tech_proj!AN456)*tech_proj!AN736*$L$110))</f>
        <v>199.59774884514482</v>
      </c>
      <c r="AO676" s="72">
        <f>IF(tech_base!$T52&gt;AO$625,"",(1000*tech_proj!AO1016*(-PMT($J$110,tech_base!$F52,1))+1000*tech_proj!AO1296)/((1-tech_proj!AO456)*tech_proj!AO736*$L$110))</f>
        <v>199.24694050790265</v>
      </c>
      <c r="AP676" s="72">
        <f>IF(tech_base!$T52&gt;AP$625,"",(1000*tech_proj!AP1016*(-PMT($J$110,tech_base!$F52,1))+1000*tech_proj!AP1296)/((1-tech_proj!AP456)*tech_proj!AP736*$L$110))</f>
        <v>198.75427399073317</v>
      </c>
      <c r="AQ676" s="72">
        <f>IF(tech_base!$T52&gt;AQ$625,"",(1000*tech_proj!AQ1016*(-PMT($J$110,tech_base!$F52,1))+1000*tech_proj!AQ1296)/((1-tech_proj!AQ456)*tech_proj!AQ736*$L$110))</f>
        <v>198.06534224918701</v>
      </c>
      <c r="AR676" s="72">
        <f>IF(tech_base!$T52&gt;AR$625,"",(1000*tech_proj!AR1016*(-PMT($J$110,tech_base!$F52,1))+1000*tech_proj!AR1296)/((1-tech_proj!AR456)*tech_proj!AR736*$L$110))</f>
        <v>197.10772138296508</v>
      </c>
      <c r="AS676" s="72">
        <f>IF(tech_base!$T52&gt;AS$625,"",(1000*tech_proj!AS1016*(-PMT($J$110,tech_base!$F52,1))+1000*tech_proj!AS1296)/((1-tech_proj!AS456)*tech_proj!AS736*$L$110))</f>
        <v>195.78770431552428</v>
      </c>
      <c r="AT676" s="72">
        <f>IF(tech_base!$T52&gt;AT$625,"",(1000*tech_proj!AT1016*(-PMT($J$110,tech_base!$F52,1))+1000*tech_proj!AT1296)/((1-tech_proj!AT456)*tech_proj!AT736*$L$110))</f>
        <v>193.9890770899602</v>
      </c>
      <c r="AU676" s="72">
        <f>IF(tech_base!$T52&gt;AU$625,"",(1000*tech_proj!AU1016*(-PMT($J$110,tech_base!$F52,1))+1000*tech_proj!AU1296)/((1-tech_proj!AU456)*tech_proj!AU736*$L$110))</f>
        <v>191.57683707027331</v>
      </c>
      <c r="AV676" s="72">
        <f>IF(tech_base!$T52&gt;AV$625,"",(1000*tech_proj!AV1016*(-PMT($J$110,tech_base!$F52,1))+1000*tech_proj!AV1296)/((1-tech_proj!AV456)*tech_proj!AV736*$L$110))</f>
        <v>188.41018613326617</v>
      </c>
      <c r="AW676" s="72">
        <f>IF(tech_base!$T52&gt;AW$625,"",(1000*tech_proj!AW1016*(-PMT($J$110,tech_base!$F52,1))+1000*tech_proj!AW1296)/((1-tech_proj!AW456)*tech_proj!AW736*$L$110))</f>
        <v>184.36962983171719</v>
      </c>
      <c r="AX676" s="238">
        <f>IF(tech_base!$T52&gt;AX$625,"",(1000*tech_proj!AX1016*(-PMT($J$110,tech_base!$F52,1))+1000*tech_proj!AX1296)/((1-tech_proj!AX456)*tech_proj!AX736*$L$110))</f>
        <v>179.40027722497175</v>
      </c>
      <c r="AY676" s="133"/>
    </row>
    <row r="677" spans="1:51" s="174" customFormat="1" x14ac:dyDescent="0.25">
      <c r="A677" s="356"/>
      <c r="B677" s="376"/>
      <c r="C677" s="361" t="s">
        <v>16</v>
      </c>
      <c r="D677" s="2" t="s">
        <v>7</v>
      </c>
      <c r="E677" s="160" t="str">
        <f>A671&amp;"/"&amp;B671&amp;"/"&amp;C677&amp;"/"&amp;D677</f>
        <v>Lignite fired power plants/Integrated gasification combined cycle/CHP with CCS/L</v>
      </c>
      <c r="F677" s="76" t="str">
        <f>A671</f>
        <v>Lignite fired power plants</v>
      </c>
      <c r="G677" s="76" t="str">
        <f>B671</f>
        <v>Integrated gasification combined cycle</v>
      </c>
      <c r="H677" s="76" t="str">
        <f>C677</f>
        <v>CHP with CCS</v>
      </c>
      <c r="I677" s="161" t="str">
        <f t="shared" si="362"/>
        <v>L</v>
      </c>
      <c r="J677" s="69" t="str">
        <f>IF(tech_base!$T53&gt;J$625,"",(1000*tech_proj!J1017*(-PMT($J$110,tech_base!$F53,1))+1000*tech_proj!J1297)/((1-tech_proj!J457)*tech_proj!J737*$L$110))</f>
        <v/>
      </c>
      <c r="K677" s="69" t="str">
        <f>IF(tech_base!$T53&gt;K$625,"",(1000*tech_proj!K1017*(-PMT($J$110,tech_base!$F53,1))+1000*tech_proj!K1297)/((1-tech_proj!K457)*tech_proj!K737*$L$110))</f>
        <v/>
      </c>
      <c r="L677" s="69" t="str">
        <f>IF(tech_base!$T53&gt;L$625,"",(1000*tech_proj!L1017*(-PMT($J$110,tech_base!$F53,1))+1000*tech_proj!L1297)/((1-tech_proj!L457)*tech_proj!L737*$L$110))</f>
        <v/>
      </c>
      <c r="M677" s="69" t="str">
        <f>IF(tech_base!$T53&gt;M$625,"",(1000*tech_proj!M1017*(-PMT($J$110,tech_base!$F53,1))+1000*tech_proj!M1297)/((1-tech_proj!M457)*tech_proj!M737*$L$110))</f>
        <v/>
      </c>
      <c r="N677" s="69" t="str">
        <f>IF(tech_base!$T53&gt;N$625,"",(1000*tech_proj!N1017*(-PMT($J$110,tech_base!$F53,1))+1000*tech_proj!N1297)/((1-tech_proj!N457)*tech_proj!N737*$L$110))</f>
        <v/>
      </c>
      <c r="O677" s="69" t="str">
        <f>IF(tech_base!$T53&gt;O$625,"",(1000*tech_proj!O1017*(-PMT($J$110,tech_base!$F53,1))+1000*tech_proj!O1297)/((1-tech_proj!O457)*tech_proj!O737*$L$110))</f>
        <v/>
      </c>
      <c r="P677" s="69" t="str">
        <f>IF(tech_base!$T53&gt;P$625,"",(1000*tech_proj!P1017*(-PMT($J$110,tech_base!$F53,1))+1000*tech_proj!P1297)/((1-tech_proj!P457)*tech_proj!P737*$L$110))</f>
        <v/>
      </c>
      <c r="Q677" s="69" t="str">
        <f>IF(tech_base!$T53&gt;Q$625,"",(1000*tech_proj!Q1017*(-PMT($J$110,tech_base!$F53,1))+1000*tech_proj!Q1297)/((1-tech_proj!Q457)*tech_proj!Q737*$L$110))</f>
        <v/>
      </c>
      <c r="R677" s="69" t="str">
        <f>IF(tech_base!$T53&gt;R$625,"",(1000*tech_proj!R1017*(-PMT($J$110,tech_base!$F53,1))+1000*tech_proj!R1297)/((1-tech_proj!R457)*tech_proj!R737*$L$110))</f>
        <v/>
      </c>
      <c r="S677" s="69" t="str">
        <f>IF(tech_base!$T53&gt;S$625,"",(1000*tech_proj!S1017*(-PMT($J$110,tech_base!$F53,1))+1000*tech_proj!S1297)/((1-tech_proj!S457)*tech_proj!S737*$L$110))</f>
        <v/>
      </c>
      <c r="T677" s="69" t="str">
        <f>IF(tech_base!$T53&gt;T$625,"",(1000*tech_proj!T1017*(-PMT($J$110,tech_base!$F53,1))+1000*tech_proj!T1297)/((1-tech_proj!T457)*tech_proj!T737*$L$110))</f>
        <v/>
      </c>
      <c r="U677" s="69" t="str">
        <f>IF(tech_base!$T53&gt;U$625,"",(1000*tech_proj!U1017*(-PMT($J$110,tech_base!$F53,1))+1000*tech_proj!U1297)/((1-tech_proj!U457)*tech_proj!U737*$L$110))</f>
        <v/>
      </c>
      <c r="V677" s="69" t="str">
        <f>IF(tech_base!$T53&gt;V$625,"",(1000*tech_proj!V1017*(-PMT($J$110,tech_base!$F53,1))+1000*tech_proj!V1297)/((1-tech_proj!V457)*tech_proj!V737*$L$110))</f>
        <v/>
      </c>
      <c r="W677" s="69" t="str">
        <f>IF(tech_base!$T53&gt;W$625,"",(1000*tech_proj!W1017*(-PMT($J$110,tech_base!$F53,1))+1000*tech_proj!W1297)/((1-tech_proj!W457)*tech_proj!W737*$L$110))</f>
        <v/>
      </c>
      <c r="X677" s="69" t="str">
        <f>IF(tech_base!$T53&gt;X$625,"",(1000*tech_proj!X1017*(-PMT($J$110,tech_base!$F53,1))+1000*tech_proj!X1297)/((1-tech_proj!X457)*tech_proj!X737*$L$110))</f>
        <v/>
      </c>
      <c r="Y677" s="69" t="str">
        <f>IF(tech_base!$T53&gt;Y$625,"",(1000*tech_proj!Y1017*(-PMT($J$110,tech_base!$F53,1))+1000*tech_proj!Y1297)/((1-tech_proj!Y457)*tech_proj!Y737*$L$110))</f>
        <v/>
      </c>
      <c r="Z677" s="69" t="str">
        <f>IF(tech_base!$T53&gt;Z$625,"",(1000*tech_proj!Z1017*(-PMT($J$110,tech_base!$F53,1))+1000*tech_proj!Z1297)/((1-tech_proj!Z457)*tech_proj!Z737*$L$110))</f>
        <v/>
      </c>
      <c r="AA677" s="69" t="str">
        <f>IF(tech_base!$T53&gt;AA$625,"",(1000*tech_proj!AA1017*(-PMT($J$110,tech_base!$F53,1))+1000*tech_proj!AA1297)/((1-tech_proj!AA457)*tech_proj!AA737*$L$110))</f>
        <v/>
      </c>
      <c r="AB677" s="69" t="str">
        <f>IF(tech_base!$T53&gt;AB$625,"",(1000*tech_proj!AB1017*(-PMT($J$110,tech_base!$F53,1))+1000*tech_proj!AB1297)/((1-tech_proj!AB457)*tech_proj!AB737*$L$110))</f>
        <v/>
      </c>
      <c r="AC677" s="69" t="str">
        <f>IF(tech_base!$T53&gt;AC$625,"",(1000*tech_proj!AC1017*(-PMT($J$110,tech_base!$F53,1))+1000*tech_proj!AC1297)/((1-tech_proj!AC457)*tech_proj!AC737*$L$110))</f>
        <v/>
      </c>
      <c r="AD677" s="69" t="str">
        <f>IF(tech_base!$T53&gt;AD$625,"",(1000*tech_proj!AD1017*(-PMT($J$110,tech_base!$F53,1))+1000*tech_proj!AD1297)/((1-tech_proj!AD457)*tech_proj!AD737*$L$110))</f>
        <v/>
      </c>
      <c r="AE677" s="69">
        <f>IF(tech_base!$T53&gt;AE$625,"",(1000*tech_proj!AE1017*(-PMT($J$110,tech_base!$F53,1))+1000*tech_proj!AE1297)/((1-tech_proj!AE457)*tech_proj!AE737*$L$110))</f>
        <v>205.9315366496788</v>
      </c>
      <c r="AF677" s="69">
        <f>IF(tech_base!$T53&gt;AF$625,"",(1000*tech_proj!AF1017*(-PMT($J$110,tech_base!$F53,1))+1000*tech_proj!AF1297)/((1-tech_proj!AF457)*tech_proj!AF737*$L$110))</f>
        <v>205.90132867482285</v>
      </c>
      <c r="AG677" s="69">
        <f>IF(tech_base!$T53&gt;AG$625,"",(1000*tech_proj!AG1017*(-PMT($J$110,tech_base!$F53,1))+1000*tech_proj!AG1297)/((1-tech_proj!AG457)*tech_proj!AG737*$L$110))</f>
        <v>205.86059073171029</v>
      </c>
      <c r="AH677" s="69">
        <f>IF(tech_base!$T53&gt;AH$625,"",(1000*tech_proj!AH1017*(-PMT($J$110,tech_base!$F53,1))+1000*tech_proj!AH1297)/((1-tech_proj!AH457)*tech_proj!AH737*$L$110))</f>
        <v>205.80567040635921</v>
      </c>
      <c r="AI677" s="69">
        <f>IF(tech_base!$T53&gt;AI$625,"",(1000*tech_proj!AI1017*(-PMT($J$110,tech_base!$F53,1))+1000*tech_proj!AI1297)/((1-tech_proj!AI457)*tech_proj!AI737*$L$110))</f>
        <v>205.73166326353774</v>
      </c>
      <c r="AJ677" s="69">
        <f>IF(tech_base!$T53&gt;AJ$625,"",(1000*tech_proj!AJ1017*(-PMT($J$110,tech_base!$F53,1))+1000*tech_proj!AJ1297)/((1-tech_proj!AJ457)*tech_proj!AJ737*$L$110))</f>
        <v>205.63199579944873</v>
      </c>
      <c r="AK677" s="69">
        <f>IF(tech_base!$T53&gt;AK$625,"",(1000*tech_proj!AK1017*(-PMT($J$110,tech_base!$F53,1))+1000*tech_proj!AK1297)/((1-tech_proj!AK457)*tech_proj!AK737*$L$110))</f>
        <v>205.49787939972902</v>
      </c>
      <c r="AL677" s="69">
        <f>IF(tech_base!$T53&gt;AL$625,"",(1000*tech_proj!AL1017*(-PMT($J$110,tech_base!$F53,1))+1000*tech_proj!AL1297)/((1-tech_proj!AL457)*tech_proj!AL737*$L$110))</f>
        <v>205.31760359233382</v>
      </c>
      <c r="AM677" s="69">
        <f>IF(tech_base!$T53&gt;AM$625,"",(1000*tech_proj!AM1017*(-PMT($J$110,tech_base!$F53,1))+1000*tech_proj!AM1297)/((1-tech_proj!AM457)*tech_proj!AM737*$L$110))</f>
        <v>205.07563613365261</v>
      </c>
      <c r="AN677" s="69">
        <f>IF(tech_base!$T53&gt;AN$625,"",(1000*tech_proj!AN1017*(-PMT($J$110,tech_base!$F53,1))+1000*tech_proj!AN1297)/((1-tech_proj!AN457)*tech_proj!AN737*$L$110))</f>
        <v>204.75150399059604</v>
      </c>
      <c r="AO677" s="69">
        <f>IF(tech_base!$T53&gt;AO$625,"",(1000*tech_proj!AO1017*(-PMT($J$110,tech_base!$F53,1))+1000*tech_proj!AO1297)/((1-tech_proj!AO457)*tech_proj!AO737*$L$110))</f>
        <v>204.31845050915797</v>
      </c>
      <c r="AP677" s="69">
        <f>IF(tech_base!$T53&gt;AP$625,"",(1000*tech_proj!AP1017*(-PMT($J$110,tech_base!$F53,1))+1000*tech_proj!AP1297)/((1-tech_proj!AP457)*tech_proj!AP737*$L$110))</f>
        <v>203.74191231496297</v>
      </c>
      <c r="AQ677" s="69">
        <f>IF(tech_base!$T53&gt;AQ$625,"",(1000*tech_proj!AQ1017*(-PMT($J$110,tech_base!$F53,1))+1000*tech_proj!AQ1297)/((1-tech_proj!AQ457)*tech_proj!AQ737*$L$110))</f>
        <v>202.97795352070989</v>
      </c>
      <c r="AR677" s="69">
        <f>IF(tech_base!$T53&gt;AR$625,"",(1000*tech_proj!AR1017*(-PMT($J$110,tech_base!$F53,1))+1000*tech_proj!AR1297)/((1-tech_proj!AR457)*tech_proj!AR737*$L$110))</f>
        <v>201.97195954083688</v>
      </c>
      <c r="AS677" s="69">
        <f>IF(tech_base!$T53&gt;AS$625,"",(1000*tech_proj!AS1017*(-PMT($J$110,tech_base!$F53,1))+1000*tech_proj!AS1297)/((1-tech_proj!AS457)*tech_proj!AS737*$L$110))</f>
        <v>200.65815326093522</v>
      </c>
      <c r="AT677" s="69">
        <f>IF(tech_base!$T53&gt;AT$625,"",(1000*tech_proj!AT1017*(-PMT($J$110,tech_base!$F53,1))+1000*tech_proj!AT1297)/((1-tech_proj!AT457)*tech_proj!AT737*$L$110))</f>
        <v>198.9608578538905</v>
      </c>
      <c r="AU677" s="69">
        <f>IF(tech_base!$T53&gt;AU$625,"",(1000*tech_proj!AU1017*(-PMT($J$110,tech_base!$F53,1))+1000*tech_proj!AU1297)/((1-tech_proj!AU457)*tech_proj!AU737*$L$110))</f>
        <v>196.79883426303883</v>
      </c>
      <c r="AV677" s="69">
        <f>IF(tech_base!$T53&gt;AV$625,"",(1000*tech_proj!AV1017*(-PMT($J$110,tech_base!$F53,1))+1000*tech_proj!AV1297)/((1-tech_proj!AV457)*tech_proj!AV737*$L$110))</f>
        <v>194.09426865043193</v>
      </c>
      <c r="AW677" s="69">
        <f>IF(tech_base!$T53&gt;AW$625,"",(1000*tech_proj!AW1017*(-PMT($J$110,tech_base!$F53,1))+1000*tech_proj!AW1297)/((1-tech_proj!AW457)*tech_proj!AW737*$L$110))</f>
        <v>190.78765859917942</v>
      </c>
      <c r="AX677" s="235">
        <f>IF(tech_base!$T53&gt;AX$625,"",(1000*tech_proj!AX1017*(-PMT($J$110,tech_base!$F53,1))+1000*tech_proj!AX1297)/((1-tech_proj!AX457)*tech_proj!AX737*$L$110))</f>
        <v>186.85833897127358</v>
      </c>
      <c r="AY677" s="133"/>
    </row>
    <row r="678" spans="1:51" s="174" customFormat="1" x14ac:dyDescent="0.25">
      <c r="A678" s="356"/>
      <c r="B678" s="376"/>
      <c r="C678" s="381"/>
      <c r="D678" s="2" t="s">
        <v>8</v>
      </c>
      <c r="E678" s="168" t="str">
        <f>A671&amp;"/"&amp;B671&amp;"/"&amp;C677&amp;"/"&amp;D678</f>
        <v>Lignite fired power plants/Integrated gasification combined cycle/CHP with CCS/M</v>
      </c>
      <c r="F678" s="80" t="str">
        <f>A671</f>
        <v>Lignite fired power plants</v>
      </c>
      <c r="G678" s="80" t="str">
        <f>B671</f>
        <v>Integrated gasification combined cycle</v>
      </c>
      <c r="H678" s="80" t="str">
        <f>C677</f>
        <v>CHP with CCS</v>
      </c>
      <c r="I678" s="169" t="str">
        <f t="shared" si="362"/>
        <v>M</v>
      </c>
      <c r="J678" s="73" t="str">
        <f>IF(tech_base!$T54&gt;J$625,"",(1000*tech_proj!J1018*(-PMT($J$110,tech_base!$F54,1))+1000*tech_proj!J1298)/((1-tech_proj!J458)*tech_proj!J738*$L$110))</f>
        <v/>
      </c>
      <c r="K678" s="73" t="str">
        <f>IF(tech_base!$T54&gt;K$625,"",(1000*tech_proj!K1018*(-PMT($J$110,tech_base!$F54,1))+1000*tech_proj!K1298)/((1-tech_proj!K458)*tech_proj!K738*$L$110))</f>
        <v/>
      </c>
      <c r="L678" s="73" t="str">
        <f>IF(tech_base!$T54&gt;L$625,"",(1000*tech_proj!L1018*(-PMT($J$110,tech_base!$F54,1))+1000*tech_proj!L1298)/((1-tech_proj!L458)*tech_proj!L738*$L$110))</f>
        <v/>
      </c>
      <c r="M678" s="73" t="str">
        <f>IF(tech_base!$T54&gt;M$625,"",(1000*tech_proj!M1018*(-PMT($J$110,tech_base!$F54,1))+1000*tech_proj!M1298)/((1-tech_proj!M458)*tech_proj!M738*$L$110))</f>
        <v/>
      </c>
      <c r="N678" s="73" t="str">
        <f>IF(tech_base!$T54&gt;N$625,"",(1000*tech_proj!N1018*(-PMT($J$110,tech_base!$F54,1))+1000*tech_proj!N1298)/((1-tech_proj!N458)*tech_proj!N738*$L$110))</f>
        <v/>
      </c>
      <c r="O678" s="73" t="str">
        <f>IF(tech_base!$T54&gt;O$625,"",(1000*tech_proj!O1018*(-PMT($J$110,tech_base!$F54,1))+1000*tech_proj!O1298)/((1-tech_proj!O458)*tech_proj!O738*$L$110))</f>
        <v/>
      </c>
      <c r="P678" s="73" t="str">
        <f>IF(tech_base!$T54&gt;P$625,"",(1000*tech_proj!P1018*(-PMT($J$110,tech_base!$F54,1))+1000*tech_proj!P1298)/((1-tech_proj!P458)*tech_proj!P738*$L$110))</f>
        <v/>
      </c>
      <c r="Q678" s="73" t="str">
        <f>IF(tech_base!$T54&gt;Q$625,"",(1000*tech_proj!Q1018*(-PMT($J$110,tech_base!$F54,1))+1000*tech_proj!Q1298)/((1-tech_proj!Q458)*tech_proj!Q738*$L$110))</f>
        <v/>
      </c>
      <c r="R678" s="73" t="str">
        <f>IF(tech_base!$T54&gt;R$625,"",(1000*tech_proj!R1018*(-PMT($J$110,tech_base!$F54,1))+1000*tech_proj!R1298)/((1-tech_proj!R458)*tech_proj!R738*$L$110))</f>
        <v/>
      </c>
      <c r="S678" s="73" t="str">
        <f>IF(tech_base!$T54&gt;S$625,"",(1000*tech_proj!S1018*(-PMT($J$110,tech_base!$F54,1))+1000*tech_proj!S1298)/((1-tech_proj!S458)*tech_proj!S738*$L$110))</f>
        <v/>
      </c>
      <c r="T678" s="73" t="str">
        <f>IF(tech_base!$T54&gt;T$625,"",(1000*tech_proj!T1018*(-PMT($J$110,tech_base!$F54,1))+1000*tech_proj!T1298)/((1-tech_proj!T458)*tech_proj!T738*$L$110))</f>
        <v/>
      </c>
      <c r="U678" s="73" t="str">
        <f>IF(tech_base!$T54&gt;U$625,"",(1000*tech_proj!U1018*(-PMT($J$110,tech_base!$F54,1))+1000*tech_proj!U1298)/((1-tech_proj!U458)*tech_proj!U738*$L$110))</f>
        <v/>
      </c>
      <c r="V678" s="73" t="str">
        <f>IF(tech_base!$T54&gt;V$625,"",(1000*tech_proj!V1018*(-PMT($J$110,tech_base!$F54,1))+1000*tech_proj!V1298)/((1-tech_proj!V458)*tech_proj!V738*$L$110))</f>
        <v/>
      </c>
      <c r="W678" s="73" t="str">
        <f>IF(tech_base!$T54&gt;W$625,"",(1000*tech_proj!W1018*(-PMT($J$110,tech_base!$F54,1))+1000*tech_proj!W1298)/((1-tech_proj!W458)*tech_proj!W738*$L$110))</f>
        <v/>
      </c>
      <c r="X678" s="73" t="str">
        <f>IF(tech_base!$T54&gt;X$625,"",(1000*tech_proj!X1018*(-PMT($J$110,tech_base!$F54,1))+1000*tech_proj!X1298)/((1-tech_proj!X458)*tech_proj!X738*$L$110))</f>
        <v/>
      </c>
      <c r="Y678" s="73" t="str">
        <f>IF(tech_base!$T54&gt;Y$625,"",(1000*tech_proj!Y1018*(-PMT($J$110,tech_base!$F54,1))+1000*tech_proj!Y1298)/((1-tech_proj!Y458)*tech_proj!Y738*$L$110))</f>
        <v/>
      </c>
      <c r="Z678" s="73" t="str">
        <f>IF(tech_base!$T54&gt;Z$625,"",(1000*tech_proj!Z1018*(-PMT($J$110,tech_base!$F54,1))+1000*tech_proj!Z1298)/((1-tech_proj!Z458)*tech_proj!Z738*$L$110))</f>
        <v/>
      </c>
      <c r="AA678" s="73" t="str">
        <f>IF(tech_base!$T54&gt;AA$625,"",(1000*tech_proj!AA1018*(-PMT($J$110,tech_base!$F54,1))+1000*tech_proj!AA1298)/((1-tech_proj!AA458)*tech_proj!AA738*$L$110))</f>
        <v/>
      </c>
      <c r="AB678" s="73" t="str">
        <f>IF(tech_base!$T54&gt;AB$625,"",(1000*tech_proj!AB1018*(-PMT($J$110,tech_base!$F54,1))+1000*tech_proj!AB1298)/((1-tech_proj!AB458)*tech_proj!AB738*$L$110))</f>
        <v/>
      </c>
      <c r="AC678" s="73" t="str">
        <f>IF(tech_base!$T54&gt;AC$625,"",(1000*tech_proj!AC1018*(-PMT($J$110,tech_base!$F54,1))+1000*tech_proj!AC1298)/((1-tech_proj!AC458)*tech_proj!AC738*$L$110))</f>
        <v/>
      </c>
      <c r="AD678" s="73" t="str">
        <f>IF(tech_base!$T54&gt;AD$625,"",(1000*tech_proj!AD1018*(-PMT($J$110,tech_base!$F54,1))+1000*tech_proj!AD1298)/((1-tech_proj!AD458)*tech_proj!AD738*$L$110))</f>
        <v/>
      </c>
      <c r="AE678" s="73">
        <f>IF(tech_base!$T54&gt;AE$625,"",(1000*tech_proj!AE1018*(-PMT($J$110,tech_base!$F54,1))+1000*tech_proj!AE1298)/((1-tech_proj!AE458)*tech_proj!AE738*$L$110))</f>
        <v>223.12025146242257</v>
      </c>
      <c r="AF678" s="73">
        <f>IF(tech_base!$T54&gt;AF$625,"",(1000*tech_proj!AF1018*(-PMT($J$110,tech_base!$F54,1))+1000*tech_proj!AF1298)/((1-tech_proj!AF458)*tech_proj!AF738*$L$110))</f>
        <v>223.10408922747419</v>
      </c>
      <c r="AG678" s="73">
        <f>IF(tech_base!$T54&gt;AG$625,"",(1000*tech_proj!AG1018*(-PMT($J$110,tech_base!$F54,1))+1000*tech_proj!AG1298)/((1-tech_proj!AG458)*tech_proj!AG738*$L$110))</f>
        <v>223.08116427752483</v>
      </c>
      <c r="AH678" s="73">
        <f>IF(tech_base!$T54&gt;AH$625,"",(1000*tech_proj!AH1018*(-PMT($J$110,tech_base!$F54,1))+1000*tech_proj!AH1298)/((1-tech_proj!AH458)*tech_proj!AH738*$L$110))</f>
        <v>223.04865305751423</v>
      </c>
      <c r="AI678" s="73">
        <f>IF(tech_base!$T54&gt;AI$625,"",(1000*tech_proj!AI1018*(-PMT($J$110,tech_base!$F54,1))+1000*tech_proj!AI1298)/((1-tech_proj!AI458)*tech_proj!AI738*$L$110))</f>
        <v>223.00255934545601</v>
      </c>
      <c r="AJ678" s="73">
        <f>IF(tech_base!$T54&gt;AJ$625,"",(1000*tech_proj!AJ1018*(-PMT($J$110,tech_base!$F54,1))+1000*tech_proj!AJ1298)/((1-tech_proj!AJ458)*tech_proj!AJ738*$L$110))</f>
        <v>222.93723350913021</v>
      </c>
      <c r="AK678" s="73">
        <f>IF(tech_base!$T54&gt;AK$625,"",(1000*tech_proj!AK1018*(-PMT($J$110,tech_base!$F54,1))+1000*tech_proj!AK1298)/((1-tech_proj!AK458)*tech_proj!AK738*$L$110))</f>
        <v>222.84470102616874</v>
      </c>
      <c r="AL678" s="73">
        <f>IF(tech_base!$T54&gt;AL$625,"",(1000*tech_proj!AL1018*(-PMT($J$110,tech_base!$F54,1))+1000*tech_proj!AL1298)/((1-tech_proj!AL458)*tech_proj!AL738*$L$110))</f>
        <v>222.7137310212035</v>
      </c>
      <c r="AM678" s="73">
        <f>IF(tech_base!$T54&gt;AM$625,"",(1000*tech_proj!AM1018*(-PMT($J$110,tech_base!$F54,1))+1000*tech_proj!AM1298)/((1-tech_proj!AM458)*tech_proj!AM738*$L$110))</f>
        <v>222.52855703961029</v>
      </c>
      <c r="AN678" s="73">
        <f>IF(tech_base!$T54&gt;AN$625,"",(1000*tech_proj!AN1018*(-PMT($J$110,tech_base!$F54,1))+1000*tech_proj!AN1298)/((1-tech_proj!AN458)*tech_proj!AN738*$L$110))</f>
        <v>222.26714597452187</v>
      </c>
      <c r="AO678" s="73">
        <f>IF(tech_base!$T54&gt;AO$625,"",(1000*tech_proj!AO1018*(-PMT($J$110,tech_base!$F54,1))+1000*tech_proj!AO1298)/((1-tech_proj!AO458)*tech_proj!AO738*$L$110))</f>
        <v>221.89890693572858</v>
      </c>
      <c r="AP678" s="73">
        <f>IF(tech_base!$T54&gt;AP$625,"",(1000*tech_proj!AP1018*(-PMT($J$110,tech_base!$F54,1))+1000*tech_proj!AP1298)/((1-tech_proj!AP458)*tech_proj!AP738*$L$110))</f>
        <v>221.38176117415873</v>
      </c>
      <c r="AQ678" s="73">
        <f>IF(tech_base!$T54&gt;AQ$625,"",(1000*tech_proj!AQ1018*(-PMT($J$110,tech_base!$F54,1))+1000*tech_proj!AQ1298)/((1-tech_proj!AQ458)*tech_proj!AQ738*$L$110))</f>
        <v>220.65859830894433</v>
      </c>
      <c r="AR678" s="73">
        <f>IF(tech_base!$T54&gt;AR$625,"",(1000*tech_proj!AR1018*(-PMT($J$110,tech_base!$F54,1))+1000*tech_proj!AR1298)/((1-tech_proj!AR458)*tech_proj!AR738*$L$110))</f>
        <v>219.65339589534682</v>
      </c>
      <c r="AS678" s="73">
        <f>IF(tech_base!$T54&gt;AS$625,"",(1000*tech_proj!AS1018*(-PMT($J$110,tech_base!$F54,1))+1000*tech_proj!AS1298)/((1-tech_proj!AS458)*tech_proj!AS738*$L$110))</f>
        <v>218.26779080988499</v>
      </c>
      <c r="AT678" s="73">
        <f>IF(tech_base!$T54&gt;AT$625,"",(1000*tech_proj!AT1018*(-PMT($J$110,tech_base!$F54,1))+1000*tech_proj!AT1298)/((1-tech_proj!AT458)*tech_proj!AT738*$L$110))</f>
        <v>216.37979474372551</v>
      </c>
      <c r="AU678" s="73">
        <f>IF(tech_base!$T54&gt;AU$625,"",(1000*tech_proj!AU1018*(-PMT($J$110,tech_base!$F54,1))+1000*tech_proj!AU1298)/((1-tech_proj!AU458)*tech_proj!AU738*$L$110))</f>
        <v>213.84769715114453</v>
      </c>
      <c r="AV678" s="73">
        <f>IF(tech_base!$T54&gt;AV$625,"",(1000*tech_proj!AV1018*(-PMT($J$110,tech_base!$F54,1))+1000*tech_proj!AV1298)/((1-tech_proj!AV458)*tech_proj!AV738*$L$110))</f>
        <v>210.52370403739926</v>
      </c>
      <c r="AW678" s="73">
        <f>IF(tech_base!$T54&gt;AW$625,"",(1000*tech_proj!AW1018*(-PMT($J$110,tech_base!$F54,1))+1000*tech_proj!AW1298)/((1-tech_proj!AW458)*tech_proj!AW738*$L$110))</f>
        <v>206.28238360479656</v>
      </c>
      <c r="AX678" s="239">
        <f>IF(tech_base!$T54&gt;AX$625,"",(1000*tech_proj!AX1018*(-PMT($J$110,tech_base!$F54,1))+1000*tech_proj!AX1298)/((1-tech_proj!AX458)*tech_proj!AX738*$L$110))</f>
        <v>201.06611753279122</v>
      </c>
      <c r="AY678" s="133"/>
    </row>
    <row r="679" spans="1:51" s="174" customFormat="1" x14ac:dyDescent="0.25">
      <c r="A679" s="356"/>
      <c r="B679" s="358" t="s">
        <v>17</v>
      </c>
      <c r="C679" s="353" t="s">
        <v>6</v>
      </c>
      <c r="D679" s="3" t="s">
        <v>7</v>
      </c>
      <c r="E679" s="162" t="str">
        <f>A671&amp;"/"&amp;B679&amp;"/"&amp;C679&amp;"/"&amp;D679</f>
        <v>Lignite fired power plants/Supercritical steam turbine/Electricity only/L</v>
      </c>
      <c r="F679" s="77" t="str">
        <f>A671</f>
        <v>Lignite fired power plants</v>
      </c>
      <c r="G679" s="77" t="str">
        <f>B679</f>
        <v>Supercritical steam turbine</v>
      </c>
      <c r="H679" s="77" t="str">
        <f>C679</f>
        <v>Electricity only</v>
      </c>
      <c r="I679" s="163" t="str">
        <f t="shared" si="362"/>
        <v>L</v>
      </c>
      <c r="J679" s="70">
        <f>IF(tech_base!$T55&gt;J$625,"",(1000*tech_proj!J1019*(-PMT($J$110,tech_base!$F55,1))+1000*tech_proj!J1299)/((1-tech_proj!J459)*tech_proj!J739*$L$110))</f>
        <v>58.687325413561645</v>
      </c>
      <c r="K679" s="70">
        <f>IF(tech_base!$T55&gt;K$625,"",(1000*tech_proj!K1019*(-PMT($J$110,tech_base!$F55,1))+1000*tech_proj!K1299)/((1-tech_proj!K459)*tech_proj!K739*$L$110))</f>
        <v>58.683861520108991</v>
      </c>
      <c r="L679" s="70">
        <f>IF(tech_base!$T55&gt;L$625,"",(1000*tech_proj!L1019*(-PMT($J$110,tech_base!$F55,1))+1000*tech_proj!L1299)/((1-tech_proj!L459)*tech_proj!L739*$L$110))</f>
        <v>58.679633910437637</v>
      </c>
      <c r="M679" s="70">
        <f>IF(tech_base!$T55&gt;M$625,"",(1000*tech_proj!M1019*(-PMT($J$110,tech_base!$F55,1))+1000*tech_proj!M1299)/((1-tech_proj!M459)*tech_proj!M739*$L$110))</f>
        <v>58.674475063826698</v>
      </c>
      <c r="N679" s="70">
        <f>IF(tech_base!$T55&gt;N$625,"",(1000*tech_proj!N1019*(-PMT($J$110,tech_base!$F55,1))+1000*tech_proj!N1299)/((1-tech_proj!N459)*tech_proj!N739*$L$110))</f>
        <v>58.668181136871738</v>
      </c>
      <c r="O679" s="70">
        <f>IF(tech_base!$T55&gt;O$625,"",(1000*tech_proj!O1019*(-PMT($J$110,tech_base!$F55,1))+1000*tech_proj!O1299)/((1-tech_proj!O459)*tech_proj!O739*$L$110))</f>
        <v>58.660504295114215</v>
      </c>
      <c r="P679" s="70">
        <f>IF(tech_base!$T55&gt;P$625,"",(1000*tech_proj!P1019*(-PMT($J$110,tech_base!$F55,1))+1000*tech_proj!P1299)/((1-tech_proj!P459)*tech_proj!P739*$L$110))</f>
        <v>58.65114352767403</v>
      </c>
      <c r="Q679" s="70">
        <f>IF(tech_base!$T55&gt;Q$625,"",(1000*tech_proj!Q1019*(-PMT($J$110,tech_base!$F55,1))+1000*tech_proj!Q1299)/((1-tech_proj!Q459)*tech_proj!Q739*$L$110))</f>
        <v>58.639733695559492</v>
      </c>
      <c r="R679" s="70">
        <f>IF(tech_base!$T55&gt;R$625,"",(1000*tech_proj!R1019*(-PMT($J$110,tech_base!$F55,1))+1000*tech_proj!R1299)/((1-tech_proj!R459)*tech_proj!R739*$L$110))</f>
        <v>58.625832549766457</v>
      </c>
      <c r="S679" s="70">
        <f>IF(tech_base!$T55&gt;S$625,"",(1000*tech_proj!S1019*(-PMT($J$110,tech_base!$F55,1))+1000*tech_proj!S1299)/((1-tech_proj!S459)*tech_proj!S739*$L$110))</f>
        <v>58.608905455938661</v>
      </c>
      <c r="T679" s="70">
        <f>IF(tech_base!$T55&gt;T$625,"",(1000*tech_proj!T1019*(-PMT($J$110,tech_base!$F55,1))+1000*tech_proj!T1299)/((1-tech_proj!T459)*tech_proj!T739*$L$110))</f>
        <v>58.588307589466638</v>
      </c>
      <c r="U679" s="70">
        <f>IF(tech_base!$T55&gt;U$625,"",(1000*tech_proj!U1019*(-PMT($J$110,tech_base!$F55,1))+1000*tech_proj!U1299)/((1-tech_proj!U459)*tech_proj!U739*$L$110))</f>
        <v>58.563263435084878</v>
      </c>
      <c r="V679" s="70">
        <f>IF(tech_base!$T55&gt;V$625,"",(1000*tech_proj!V1019*(-PMT($J$110,tech_base!$F55,1))+1000*tech_proj!V1299)/((1-tech_proj!V459)*tech_proj!V739*$L$110))</f>
        <v>58.532843562238817</v>
      </c>
      <c r="W679" s="70">
        <f>IF(tech_base!$T55&gt;W$625,"",(1000*tech_proj!W1019*(-PMT($J$110,tech_base!$F55,1))+1000*tech_proj!W1299)/((1-tech_proj!W459)*tech_proj!W739*$L$110))</f>
        <v>58.495938885233365</v>
      </c>
      <c r="X679" s="70">
        <f>IF(tech_base!$T55&gt;X$625,"",(1000*tech_proj!X1019*(-PMT($J$110,tech_base!$F55,1))+1000*tech_proj!X1299)/((1-tech_proj!X459)*tech_proj!X739*$L$110))</f>
        <v>58.451233000618963</v>
      </c>
      <c r="Y679" s="70">
        <f>IF(tech_base!$T55&gt;Y$625,"",(1000*tech_proj!Y1019*(-PMT($J$110,tech_base!$F55,1))+1000*tech_proj!Y1299)/((1-tech_proj!Y459)*tech_proj!Y739*$L$110))</f>
        <v>58.39717378162166</v>
      </c>
      <c r="Z679" s="70">
        <f>IF(tech_base!$T55&gt;Z$625,"",(1000*tech_proj!Z1019*(-PMT($J$110,tech_base!$F55,1))+1000*tech_proj!Z1299)/((1-tech_proj!Z459)*tech_proj!Z739*$L$110))</f>
        <v>58.331946270858289</v>
      </c>
      <c r="AA679" s="70">
        <f>IF(tech_base!$T55&gt;AA$625,"",(1000*tech_proj!AA1019*(-PMT($J$110,tech_base!$F55,1))+1000*tech_proj!AA1299)/((1-tech_proj!AA459)*tech_proj!AA739*$L$110))</f>
        <v>58.253450124129827</v>
      </c>
      <c r="AB679" s="70">
        <f>IF(tech_base!$T55&gt;AB$625,"",(1000*tech_proj!AB1019*(-PMT($J$110,tech_base!$F55,1))+1000*tech_proj!AB1299)/((1-tech_proj!AB459)*tech_proj!AB739*$L$110))</f>
        <v>58.159286485937386</v>
      </c>
      <c r="AC679" s="70">
        <f>IF(tech_base!$T55&gt;AC$625,"",(1000*tech_proj!AC1019*(-PMT($J$110,tech_base!$F55,1))+1000*tech_proj!AC1299)/((1-tech_proj!AC459)*tech_proj!AC739*$L$110))</f>
        <v>58.046761246050252</v>
      </c>
      <c r="AD679" s="70">
        <f>IF(tech_base!$T55&gt;AD$625,"",(1000*tech_proj!AD1019*(-PMT($J$110,tech_base!$F55,1))+1000*tech_proj!AD1299)/((1-tech_proj!AD459)*tech_proj!AD739*$L$110))</f>
        <v>57.912914062718052</v>
      </c>
      <c r="AE679" s="70">
        <f>IF(tech_base!$T55&gt;AE$625,"",(1000*tech_proj!AE1019*(-PMT($J$110,tech_base!$F55,1))+1000*tech_proj!AE1299)/((1-tech_proj!AE459)*tech_proj!AE739*$L$110))</f>
        <v>57.754585082816313</v>
      </c>
      <c r="AF679" s="70">
        <f>IF(tech_base!$T55&gt;AF$625,"",(1000*tech_proj!AF1019*(-PMT($J$110,tech_base!$F55,1))+1000*tech_proj!AF1299)/((1-tech_proj!AF459)*tech_proj!AF739*$L$110))</f>
        <v>57.568533376466469</v>
      </c>
      <c r="AG679" s="70">
        <f>IF(tech_base!$T55&gt;AG$625,"",(1000*tech_proj!AG1019*(-PMT($J$110,tech_base!$F55,1))+1000*tech_proj!AG1299)/((1-tech_proj!AG459)*tech_proj!AG739*$L$110))</f>
        <v>57.351621725744664</v>
      </c>
      <c r="AH679" s="70">
        <f>IF(tech_base!$T55&gt;AH$625,"",(1000*tech_proj!AH1019*(-PMT($J$110,tech_base!$F55,1))+1000*tech_proj!AH1299)/((1-tech_proj!AH459)*tech_proj!AH739*$L$110))</f>
        <v>57.101080022883728</v>
      </c>
      <c r="AI679" s="70">
        <f>IF(tech_base!$T55&gt;AI$625,"",(1000*tech_proj!AI1019*(-PMT($J$110,tech_base!$F55,1))+1000*tech_proj!AI1299)/((1-tech_proj!AI459)*tech_proj!AI739*$L$110))</f>
        <v>56.814852140410167</v>
      </c>
      <c r="AJ679" s="70">
        <f>IF(tech_base!$T55&gt;AJ$625,"",(1000*tech_proj!AJ1019*(-PMT($J$110,tech_base!$F55,1))+1000*tech_proj!AJ1299)/((1-tech_proj!AJ459)*tech_proj!AJ739*$L$110))</f>
        <v>56.492016694809919</v>
      </c>
      <c r="AK679" s="70">
        <f>IF(tech_base!$T55&gt;AK$625,"",(1000*tech_proj!AK1019*(-PMT($J$110,tech_base!$F55,1))+1000*tech_proj!AK1299)/((1-tech_proj!AK459)*tech_proj!AK739*$L$110))</f>
        <v>56.133249547077057</v>
      </c>
      <c r="AL679" s="70">
        <f>IF(tech_base!$T55&gt;AL$625,"",(1000*tech_proj!AL1019*(-PMT($J$110,tech_base!$F55,1))+1000*tech_proj!AL1299)/((1-tech_proj!AL459)*tech_proj!AL739*$L$110))</f>
        <v>55.741266642348279</v>
      </c>
      <c r="AM679" s="70">
        <f>IF(tech_base!$T55&gt;AM$625,"",(1000*tech_proj!AM1019*(-PMT($J$110,tech_base!$F55,1))+1000*tech_proj!AM1299)/((1-tech_proj!AM459)*tech_proj!AM739*$L$110))</f>
        <v>55.321155793223269</v>
      </c>
      <c r="AN679" s="70">
        <f>IF(tech_base!$T55&gt;AN$625,"",(1000*tech_proj!AN1019*(-PMT($J$110,tech_base!$F55,1))+1000*tech_proj!AN1299)/((1-tech_proj!AN459)*tech_proj!AN739*$L$110))</f>
        <v>54.880486589055216</v>
      </c>
      <c r="AO679" s="70">
        <f>IF(tech_base!$T55&gt;AO$625,"",(1000*tech_proj!AO1019*(-PMT($J$110,tech_base!$F55,1))+1000*tech_proj!AO1299)/((1-tech_proj!AO459)*tech_proj!AO739*$L$110))</f>
        <v>54.429093816587645</v>
      </c>
      <c r="AP679" s="70">
        <f>IF(tech_base!$T55&gt;AP$625,"",(1000*tech_proj!AP1019*(-PMT($J$110,tech_base!$F55,1))+1000*tech_proj!AP1299)/((1-tech_proj!AP459)*tech_proj!AP739*$L$110))</f>
        <v>53.978474424067485</v>
      </c>
      <c r="AQ679" s="70">
        <f>IF(tech_base!$T55&gt;AQ$625,"",(1000*tech_proj!AQ1019*(-PMT($J$110,tech_base!$F55,1))+1000*tech_proj!AQ1299)/((1-tech_proj!AQ459)*tech_proj!AQ739*$L$110))</f>
        <v>53.540822299267539</v>
      </c>
      <c r="AR679" s="70">
        <f>IF(tech_base!$T55&gt;AR$625,"",(1000*tech_proj!AR1019*(-PMT($J$110,tech_base!$F55,1))+1000*tech_proj!AR1299)/((1-tech_proj!AR459)*tech_proj!AR739*$L$110))</f>
        <v>53.127830337830829</v>
      </c>
      <c r="AS679" s="70">
        <f>IF(tech_base!$T55&gt;AS$625,"",(1000*tech_proj!AS1019*(-PMT($J$110,tech_base!$F55,1))+1000*tech_proj!AS1299)/((1-tech_proj!AS459)*tech_proj!AS739*$L$110))</f>
        <v>52.749477992690593</v>
      </c>
      <c r="AT679" s="70">
        <f>IF(tech_base!$T55&gt;AT$625,"",(1000*tech_proj!AT1019*(-PMT($J$110,tech_base!$F55,1))+1000*tech_proj!AT1299)/((1-tech_proj!AT459)*tech_proj!AT739*$L$110))</f>
        <v>52.413053167833816</v>
      </c>
      <c r="AU679" s="70">
        <f>IF(tech_base!$T55&gt;AU$625,"",(1000*tech_proj!AU1019*(-PMT($J$110,tech_base!$F55,1))+1000*tech_proj!AU1299)/((1-tech_proj!AU459)*tech_proj!AU739*$L$110))</f>
        <v>52.122607686875618</v>
      </c>
      <c r="AV679" s="70">
        <f>IF(tech_base!$T55&gt;AV$625,"",(1000*tech_proj!AV1019*(-PMT($J$110,tech_base!$F55,1))+1000*tech_proj!AV1299)/((1-tech_proj!AV459)*tech_proj!AV739*$L$110))</f>
        <v>51.878929429027067</v>
      </c>
      <c r="AW679" s="70">
        <f>IF(tech_base!$T55&gt;AW$625,"",(1000*tech_proj!AW1019*(-PMT($J$110,tech_base!$F55,1))+1000*tech_proj!AW1299)/((1-tech_proj!AW459)*tech_proj!AW739*$L$110))</f>
        <v>51.679977348524822</v>
      </c>
      <c r="AX679" s="236">
        <f>IF(tech_base!$T55&gt;AX$625,"",(1000*tech_proj!AX1019*(-PMT($J$110,tech_base!$F55,1))+1000*tech_proj!AX1299)/((1-tech_proj!AX459)*tech_proj!AX739*$L$110))</f>
        <v>51.521621219762579</v>
      </c>
      <c r="AY679" s="133"/>
    </row>
    <row r="680" spans="1:51" s="174" customFormat="1" x14ac:dyDescent="0.25">
      <c r="A680" s="356"/>
      <c r="B680" s="376"/>
      <c r="C680" s="379"/>
      <c r="D680" s="2" t="s">
        <v>8</v>
      </c>
      <c r="E680" s="160" t="str">
        <f>A671&amp;"/"&amp;B679&amp;"/"&amp;C679&amp;"/"&amp;D680</f>
        <v>Lignite fired power plants/Supercritical steam turbine/Electricity only/M</v>
      </c>
      <c r="F680" s="76" t="str">
        <f>A671</f>
        <v>Lignite fired power plants</v>
      </c>
      <c r="G680" s="76" t="str">
        <f>B679</f>
        <v>Supercritical steam turbine</v>
      </c>
      <c r="H680" s="76" t="str">
        <f>C679</f>
        <v>Electricity only</v>
      </c>
      <c r="I680" s="161" t="str">
        <f t="shared" si="362"/>
        <v>M</v>
      </c>
      <c r="J680" s="69">
        <f>IF(tech_base!$T56&gt;J$625,"",(1000*tech_proj!J1020*(-PMT($J$110,tech_base!$F56,1))+1000*tech_proj!J1300)/((1-tech_proj!J460)*tech_proj!J740*$L$110))</f>
        <v>64.177642431790687</v>
      </c>
      <c r="K680" s="69">
        <f>IF(tech_base!$T56&gt;K$625,"",(1000*tech_proj!K1020*(-PMT($J$110,tech_base!$F56,1))+1000*tech_proj!K1300)/((1-tech_proj!K460)*tech_proj!K740*$L$110))</f>
        <v>64.170728830007064</v>
      </c>
      <c r="L680" s="69">
        <f>IF(tech_base!$T56&gt;L$625,"",(1000*tech_proj!L1020*(-PMT($J$110,tech_base!$F56,1))+1000*tech_proj!L1300)/((1-tech_proj!L460)*tech_proj!L740*$L$110))</f>
        <v>64.162501664638924</v>
      </c>
      <c r="M680" s="69">
        <f>IF(tech_base!$T56&gt;M$625,"",(1000*tech_proj!M1020*(-PMT($J$110,tech_base!$F56,1))+1000*tech_proj!M1300)/((1-tech_proj!M460)*tech_proj!M740*$L$110))</f>
        <v>64.152713321538343</v>
      </c>
      <c r="N680" s="69">
        <f>IF(tech_base!$T56&gt;N$625,"",(1000*tech_proj!N1020*(-PMT($J$110,tech_base!$F56,1))+1000*tech_proj!N1300)/((1-tech_proj!N460)*tech_proj!N740*$L$110))</f>
        <v>64.141070326574493</v>
      </c>
      <c r="O680" s="69">
        <f>IF(tech_base!$T56&gt;O$625,"",(1000*tech_proj!O1020*(-PMT($J$110,tech_base!$F56,1))+1000*tech_proj!O1300)/((1-tech_proj!O460)*tech_proj!O740*$L$110))</f>
        <v>64.127225192585712</v>
      </c>
      <c r="P680" s="69">
        <f>IF(tech_base!$T56&gt;P$625,"",(1000*tech_proj!P1020*(-PMT($J$110,tech_base!$F56,1))+1000*tech_proj!P1300)/((1-tech_proj!P460)*tech_proj!P740*$L$110))</f>
        <v>64.110766959639307</v>
      </c>
      <c r="Q680" s="69">
        <f>IF(tech_base!$T56&gt;Q$625,"",(1000*tech_proj!Q1020*(-PMT($J$110,tech_base!$F56,1))+1000*tech_proj!Q1300)/((1-tech_proj!Q460)*tech_proj!Q740*$L$110))</f>
        <v>64.091210280307763</v>
      </c>
      <c r="R680" s="69">
        <f>IF(tech_base!$T56&gt;R$625,"",(1000*tech_proj!R1020*(-PMT($J$110,tech_base!$F56,1))+1000*tech_proj!R1300)/((1-tech_proj!R460)*tech_proj!R740*$L$110))</f>
        <v>64.067982913046649</v>
      </c>
      <c r="S680" s="69">
        <f>IF(tech_base!$T56&gt;S$625,"",(1000*tech_proj!S1020*(-PMT($J$110,tech_base!$F56,1))+1000*tech_proj!S1300)/((1-tech_proj!S460)*tech_proj!S740*$L$110))</f>
        <v>64.040411515074425</v>
      </c>
      <c r="T680" s="69">
        <f>IF(tech_base!$T56&gt;T$625,"",(1000*tech_proj!T1020*(-PMT($J$110,tech_base!$F56,1))+1000*tech_proj!T1300)/((1-tech_proj!T460)*tech_proj!T740*$L$110))</f>
        <v>64.007705679598189</v>
      </c>
      <c r="U680" s="69">
        <f>IF(tech_base!$T56&gt;U$625,"",(1000*tech_proj!U1020*(-PMT($J$110,tech_base!$F56,1))+1000*tech_proj!U1300)/((1-tech_proj!U460)*tech_proj!U740*$L$110))</f>
        <v>63.968940251857106</v>
      </c>
      <c r="V680" s="69">
        <f>IF(tech_base!$T56&gt;V$625,"",(1000*tech_proj!V1020*(-PMT($J$110,tech_base!$F56,1))+1000*tech_proj!V1300)/((1-tech_proj!V460)*tech_proj!V740*$L$110))</f>
        <v>63.923036098794725</v>
      </c>
      <c r="W680" s="69">
        <f>IF(tech_base!$T56&gt;W$625,"",(1000*tech_proj!W1020*(-PMT($J$110,tech_base!$F56,1))+1000*tech_proj!W1300)/((1-tech_proj!W460)*tech_proj!W740*$L$110))</f>
        <v>63.868739716731916</v>
      </c>
      <c r="X680" s="69">
        <f>IF(tech_base!$T56&gt;X$625,"",(1000*tech_proj!X1020*(-PMT($J$110,tech_base!$F56,1))+1000*tech_proj!X1300)/((1-tech_proj!X460)*tech_proj!X740*$L$110))</f>
        <v>63.804602362812915</v>
      </c>
      <c r="Y680" s="69">
        <f>IF(tech_base!$T56&gt;Y$625,"",(1000*tech_proj!Y1020*(-PMT($J$110,tech_base!$F56,1))+1000*tech_proj!Y1300)/((1-tech_proj!Y460)*tech_proj!Y740*$L$110))</f>
        <v>63.728959815318618</v>
      </c>
      <c r="Z680" s="69">
        <f>IF(tech_base!$T56&gt;Z$625,"",(1000*tech_proj!Z1020*(-PMT($J$110,tech_base!$F56,1))+1000*tech_proj!Z1300)/((1-tech_proj!Z460)*tech_proj!Z740*$L$110))</f>
        <v>63.639914432594999</v>
      </c>
      <c r="AA680" s="69">
        <f>IF(tech_base!$T56&gt;AA$625,"",(1000*tech_proj!AA1020*(-PMT($J$110,tech_base!$F56,1))+1000*tech_proj!AA1300)/((1-tech_proj!AA460)*tech_proj!AA740*$L$110))</f>
        <v>63.535321914443813</v>
      </c>
      <c r="AB680" s="69">
        <f>IF(tech_base!$T56&gt;AB$625,"",(1000*tech_proj!AB1020*(-PMT($J$110,tech_base!$F56,1))+1000*tech_proj!AB1300)/((1-tech_proj!AB460)*tech_proj!AB740*$L$110))</f>
        <v>63.412786085654623</v>
      </c>
      <c r="AC680" s="69">
        <f>IF(tech_base!$T56&gt;AC$625,"",(1000*tech_proj!AC1020*(-PMT($J$110,tech_base!$F56,1))+1000*tech_proj!AC1300)/((1-tech_proj!AC460)*tech_proj!AC740*$L$110))</f>
        <v>63.269666105242166</v>
      </c>
      <c r="AD680" s="69">
        <f>IF(tech_base!$T56&gt;AD$625,"",(1000*tech_proj!AD1020*(-PMT($J$110,tech_base!$F56,1))+1000*tech_proj!AD1300)/((1-tech_proj!AD460)*tech_proj!AD740*$L$110))</f>
        <v>63.103101695861398</v>
      </c>
      <c r="AE680" s="69">
        <f>IF(tech_base!$T56&gt;AE$625,"",(1000*tech_proj!AE1020*(-PMT($J$110,tech_base!$F56,1))+1000*tech_proj!AE1300)/((1-tech_proj!AE460)*tech_proj!AE740*$L$110))</f>
        <v>62.910063148066925</v>
      </c>
      <c r="AF680" s="69">
        <f>IF(tech_base!$T56&gt;AF$625,"",(1000*tech_proj!AF1020*(-PMT($J$110,tech_base!$F56,1))+1000*tech_proj!AF1300)/((1-tech_proj!AF460)*tech_proj!AF740*$L$110))</f>
        <v>62.687433733672776</v>
      </c>
      <c r="AG680" s="69">
        <f>IF(tech_base!$T56&gt;AG$625,"",(1000*tech_proj!AG1020*(-PMT($J$110,tech_base!$F56,1))+1000*tech_proj!AG1300)/((1-tech_proj!AG460)*tech_proj!AG740*$L$110))</f>
        <v>62.432132365086012</v>
      </c>
      <c r="AH680" s="69">
        <f>IF(tech_base!$T56&gt;AH$625,"",(1000*tech_proj!AH1020*(-PMT($J$110,tech_base!$F56,1))+1000*tech_proj!AH1300)/((1-tech_proj!AH460)*tech_proj!AH740*$L$110))</f>
        <v>62.141283303119891</v>
      </c>
      <c r="AI680" s="69">
        <f>IF(tech_base!$T56&gt;AI$625,"",(1000*tech_proj!AI1020*(-PMT($J$110,tech_base!$F56,1))+1000*tech_proj!AI1300)/((1-tech_proj!AI460)*tech_proj!AI740*$L$110))</f>
        <v>61.812436748917079</v>
      </c>
      <c r="AJ680" s="69">
        <f>IF(tech_base!$T56&gt;AJ$625,"",(1000*tech_proj!AJ1020*(-PMT($J$110,tech_base!$F56,1))+1000*tech_proj!AJ1300)/((1-tech_proj!AJ460)*tech_proj!AJ740*$L$110))</f>
        <v>61.443838538377044</v>
      </c>
      <c r="AK680" s="69">
        <f>IF(tech_base!$T56&gt;AK$625,"",(1000*tech_proj!AK1020*(-PMT($J$110,tech_base!$F56,1))+1000*tech_proj!AK1300)/((1-tech_proj!AK460)*tech_proj!AK740*$L$110))</f>
        <v>61.034738389966286</v>
      </c>
      <c r="AL680" s="69">
        <f>IF(tech_base!$T56&gt;AL$625,"",(1000*tech_proj!AL1020*(-PMT($J$110,tech_base!$F56,1))+1000*tech_proj!AL1300)/((1-tech_proj!AL460)*tech_proj!AL740*$L$110))</f>
        <v>60.585714343158472</v>
      </c>
      <c r="AM680" s="69">
        <f>IF(tech_base!$T56&gt;AM$625,"",(1000*tech_proj!AM1020*(-PMT($J$110,tech_base!$F56,1))+1000*tech_proj!AM1300)/((1-tech_proj!AM460)*tech_proj!AM740*$L$110))</f>
        <v>60.098977356656775</v>
      </c>
      <c r="AN680" s="69">
        <f>IF(tech_base!$T56&gt;AN$625,"",(1000*tech_proj!AN1020*(-PMT($J$110,tech_base!$F56,1))+1000*tech_proj!AN1300)/((1-tech_proj!AN460)*tech_proj!AN740*$L$110))</f>
        <v>59.578607205248623</v>
      </c>
      <c r="AO680" s="69">
        <f>IF(tech_base!$T56&gt;AO$625,"",(1000*tech_proj!AO1020*(-PMT($J$110,tech_base!$F56,1))+1000*tech_proj!AO1300)/((1-tech_proj!AO460)*tech_proj!AO740*$L$110))</f>
        <v>59.030663050157912</v>
      </c>
      <c r="AP680" s="69">
        <f>IF(tech_base!$T56&gt;AP$625,"",(1000*tech_proj!AP1020*(-PMT($J$110,tech_base!$F56,1))+1000*tech_proj!AP1300)/((1-tech_proj!AP460)*tech_proj!AP740*$L$110))</f>
        <v>58.463114410588766</v>
      </c>
      <c r="AQ680" s="69">
        <f>IF(tech_base!$T56&gt;AQ$625,"",(1000*tech_proj!AQ1020*(-PMT($J$110,tech_base!$F56,1))+1000*tech_proj!AQ1300)/((1-tech_proj!AQ460)*tech_proj!AQ740*$L$110))</f>
        <v>57.885554925541406</v>
      </c>
      <c r="AR680" s="69">
        <f>IF(tech_base!$T56&gt;AR$625,"",(1000*tech_proj!AR1020*(-PMT($J$110,tech_base!$F56,1))+1000*tech_proj!AR1300)/((1-tech_proj!AR460)*tech_proj!AR740*$L$110))</f>
        <v>57.308693218124624</v>
      </c>
      <c r="AS680" s="69">
        <f>IF(tech_base!$T56&gt;AS$625,"",(1000*tech_proj!AS1020*(-PMT($J$110,tech_base!$F56,1))+1000*tech_proj!AS1300)/((1-tech_proj!AS460)*tech_proj!AS740*$L$110))</f>
        <v>56.743657967426039</v>
      </c>
      <c r="AT680" s="69">
        <f>IF(tech_base!$T56&gt;AT$625,"",(1000*tech_proj!AT1020*(-PMT($J$110,tech_base!$F56,1))+1000*tech_proj!AT1300)/((1-tech_proj!AT460)*tech_proj!AT740*$L$110))</f>
        <v>56.201197843624186</v>
      </c>
      <c r="AU680" s="69">
        <f>IF(tech_base!$T56&gt;AU$625,"",(1000*tech_proj!AU1020*(-PMT($J$110,tech_base!$F56,1))+1000*tech_proj!AU1300)/((1-tech_proj!AU460)*tech_proj!AU740*$L$110))</f>
        <v>55.69088791358763</v>
      </c>
      <c r="AV680" s="69">
        <f>IF(tech_base!$T56&gt;AV$625,"",(1000*tech_proj!AV1020*(-PMT($J$110,tech_base!$F56,1))+1000*tech_proj!AV1300)/((1-tech_proj!AV460)*tech_proj!AV740*$L$110))</f>
        <v>55.220460894630229</v>
      </c>
      <c r="AW680" s="69">
        <f>IF(tech_base!$T56&gt;AW$625,"",(1000*tech_proj!AW1020*(-PMT($J$110,tech_base!$F56,1))+1000*tech_proj!AW1300)/((1-tech_proj!AW460)*tech_proj!AW740*$L$110))</f>
        <v>54.795359820624654</v>
      </c>
      <c r="AX680" s="235">
        <f>IF(tech_base!$T56&gt;AX$625,"",(1000*tech_proj!AX1020*(-PMT($J$110,tech_base!$F56,1))+1000*tech_proj!AX1300)/((1-tech_proj!AX460)*tech_proj!AX740*$L$110))</f>
        <v>54.418563803301666</v>
      </c>
      <c r="AY680" s="133"/>
    </row>
    <row r="681" spans="1:51" s="174" customFormat="1" x14ac:dyDescent="0.25">
      <c r="A681" s="356"/>
      <c r="B681" s="376"/>
      <c r="C681" s="361" t="s">
        <v>14</v>
      </c>
      <c r="D681" s="58" t="s">
        <v>7</v>
      </c>
      <c r="E681" s="164" t="str">
        <f>A671&amp;"/"&amp;B679&amp;"/"&amp;C681&amp;"/"&amp;D681</f>
        <v>Lignite fired power plants/Supercritical steam turbine/CHP/L</v>
      </c>
      <c r="F681" s="78" t="str">
        <f>A671</f>
        <v>Lignite fired power plants</v>
      </c>
      <c r="G681" s="78" t="str">
        <f>B679</f>
        <v>Supercritical steam turbine</v>
      </c>
      <c r="H681" s="78" t="str">
        <f>C681</f>
        <v>CHP</v>
      </c>
      <c r="I681" s="165" t="str">
        <f t="shared" si="362"/>
        <v>L</v>
      </c>
      <c r="J681" s="71">
        <f>IF(tech_base!$T57&gt;J$625,"",(1000*tech_proj!J1021*(-PMT($J$110,tech_base!$F57,1))+1000*tech_proj!J1301)/((1-tech_proj!J461)*tech_proj!J741*$L$110))</f>
        <v>71.134916691774194</v>
      </c>
      <c r="K681" s="71">
        <f>IF(tech_base!$T57&gt;K$625,"",(1000*tech_proj!K1021*(-PMT($J$110,tech_base!$F57,1))+1000*tech_proj!K1301)/((1-tech_proj!K461)*tech_proj!K741*$L$110))</f>
        <v>71.131364042235816</v>
      </c>
      <c r="L681" s="71">
        <f>IF(tech_base!$T57&gt;L$625,"",(1000*tech_proj!L1021*(-PMT($J$110,tech_base!$F57,1))+1000*tech_proj!L1301)/((1-tech_proj!L461)*tech_proj!L741*$L$110))</f>
        <v>71.127028107614038</v>
      </c>
      <c r="M681" s="71">
        <f>IF(tech_base!$T57&gt;M$625,"",(1000*tech_proj!M1021*(-PMT($J$110,tech_base!$F57,1))+1000*tech_proj!M1301)/((1-tech_proj!M461)*tech_proj!M741*$L$110))</f>
        <v>71.121737074768618</v>
      </c>
      <c r="N681" s="71">
        <f>IF(tech_base!$T57&gt;N$625,"",(1000*tech_proj!N1021*(-PMT($J$110,tech_base!$F57,1))+1000*tech_proj!N1301)/((1-tech_proj!N461)*tech_proj!N741*$L$110))</f>
        <v>71.11528187717181</v>
      </c>
      <c r="O681" s="71">
        <f>IF(tech_base!$T57&gt;O$625,"",(1000*tech_proj!O1021*(-PMT($J$110,tech_base!$F57,1))+1000*tech_proj!O1301)/((1-tech_proj!O461)*tech_proj!O741*$L$110))</f>
        <v>71.107408330049466</v>
      </c>
      <c r="P681" s="71">
        <f>IF(tech_base!$T57&gt;P$625,"",(1000*tech_proj!P1021*(-PMT($J$110,tech_base!$F57,1))+1000*tech_proj!P1301)/((1-tech_proj!P461)*tech_proj!P741*$L$110))</f>
        <v>71.097807709655143</v>
      </c>
      <c r="Q681" s="71">
        <f>IF(tech_base!$T57&gt;Q$625,"",(1000*tech_proj!Q1021*(-PMT($J$110,tech_base!$F57,1))+1000*tech_proj!Q1301)/((1-tech_proj!Q461)*tech_proj!Q741*$L$110))</f>
        <v>71.086105520962292</v>
      </c>
      <c r="R681" s="71">
        <f>IF(tech_base!$T57&gt;R$625,"",(1000*tech_proj!R1021*(-PMT($J$110,tech_base!$F57,1))+1000*tech_proj!R1301)/((1-tech_proj!R461)*tech_proj!R741*$L$110))</f>
        <v>71.071848183125624</v>
      </c>
      <c r="S681" s="71">
        <f>IF(tech_base!$T57&gt;S$625,"",(1000*tech_proj!S1021*(-PMT($J$110,tech_base!$F57,1))+1000*tech_proj!S1301)/((1-tech_proj!S461)*tech_proj!S741*$L$110))</f>
        <v>71.054487362737902</v>
      </c>
      <c r="T681" s="71">
        <f>IF(tech_base!$T57&gt;T$625,"",(1000*tech_proj!T1021*(-PMT($J$110,tech_base!$F57,1))+1000*tech_proj!T1301)/((1-tech_proj!T461)*tech_proj!T741*$L$110))</f>
        <v>71.033361712710274</v>
      </c>
      <c r="U681" s="71">
        <f>IF(tech_base!$T57&gt;U$625,"",(1000*tech_proj!U1021*(-PMT($J$110,tech_base!$F57,1))+1000*tech_proj!U1301)/((1-tech_proj!U461)*tech_proj!U741*$L$110))</f>
        <v>71.007675846583055</v>
      </c>
      <c r="V681" s="71">
        <f>IF(tech_base!$T57&gt;V$625,"",(1000*tech_proj!V1021*(-PMT($J$110,tech_base!$F57,1))+1000*tech_proj!V1301)/((1-tech_proj!V461)*tech_proj!V741*$L$110))</f>
        <v>70.976476518802997</v>
      </c>
      <c r="W681" s="71">
        <f>IF(tech_base!$T57&gt;W$625,"",(1000*tech_proj!W1021*(-PMT($J$110,tech_base!$F57,1))+1000*tech_proj!W1301)/((1-tech_proj!W461)*tech_proj!W741*$L$110))</f>
        <v>70.938626225334076</v>
      </c>
      <c r="X681" s="71">
        <f>IF(tech_base!$T57&gt;X$625,"",(1000*tech_proj!X1021*(-PMT($J$110,tech_base!$F57,1))+1000*tech_proj!X1301)/((1-tech_proj!X461)*tech_proj!X741*$L$110))</f>
        <v>70.892774832238501</v>
      </c>
      <c r="Y681" s="71">
        <f>IF(tech_base!$T57&gt;Y$625,"",(1000*tech_proj!Y1021*(-PMT($J$110,tech_base!$F57,1))+1000*tech_proj!Y1301)/((1-tech_proj!Y461)*tech_proj!Y741*$L$110))</f>
        <v>70.837330442264687</v>
      </c>
      <c r="Z681" s="71">
        <f>IF(tech_base!$T57&gt;Z$625,"",(1000*tech_proj!Z1021*(-PMT($J$110,tech_base!$F57,1))+1000*tech_proj!Z1301)/((1-tech_proj!Z461)*tech_proj!Z741*$L$110))</f>
        <v>70.770431592986697</v>
      </c>
      <c r="AA681" s="71">
        <f>IF(tech_base!$T57&gt;AA$625,"",(1000*tech_proj!AA1021*(-PMT($J$110,tech_base!$F57,1))+1000*tech_proj!AA1301)/((1-tech_proj!AA461)*tech_proj!AA741*$L$110))</f>
        <v>70.689924122635119</v>
      </c>
      <c r="AB681" s="71">
        <f>IF(tech_base!$T57&gt;AB$625,"",(1000*tech_proj!AB1021*(-PMT($J$110,tech_base!$F57,1))+1000*tech_proj!AB1301)/((1-tech_proj!AB461)*tech_proj!AB741*$L$110))</f>
        <v>70.593347709321478</v>
      </c>
      <c r="AC681" s="71">
        <f>IF(tech_base!$T57&gt;AC$625,"",(1000*tech_proj!AC1021*(-PMT($J$110,tech_base!$F57,1))+1000*tech_proj!AC1301)/((1-tech_proj!AC461)*tech_proj!AC741*$L$110))</f>
        <v>70.477939211050142</v>
      </c>
      <c r="AD681" s="71">
        <f>IF(tech_base!$T57&gt;AD$625,"",(1000*tech_proj!AD1021*(-PMT($J$110,tech_base!$F57,1))+1000*tech_proj!AD1301)/((1-tech_proj!AD461)*tech_proj!AD741*$L$110))</f>
        <v>70.340662432598378</v>
      </c>
      <c r="AE681" s="71">
        <f>IF(tech_base!$T57&gt;AE$625,"",(1000*tech_proj!AE1021*(-PMT($J$110,tech_base!$F57,1))+1000*tech_proj!AE1301)/((1-tech_proj!AE461)*tech_proj!AE741*$L$110))</f>
        <v>70.178276555246597</v>
      </c>
      <c r="AF681" s="71">
        <f>IF(tech_base!$T57&gt;AF$625,"",(1000*tech_proj!AF1021*(-PMT($J$110,tech_base!$F57,1))+1000*tech_proj!AF1301)/((1-tech_proj!AF461)*tech_proj!AF741*$L$110))</f>
        <v>69.987457606074017</v>
      </c>
      <c r="AG681" s="71">
        <f>IF(tech_base!$T57&gt;AG$625,"",(1000*tech_proj!AG1021*(-PMT($J$110,tech_base!$F57,1))+1000*tech_proj!AG1301)/((1-tech_proj!AG461)*tech_proj!AG741*$L$110))</f>
        <v>69.764987981548273</v>
      </c>
      <c r="AH681" s="71">
        <f>IF(tech_base!$T57&gt;AH$625,"",(1000*tech_proj!AH1021*(-PMT($J$110,tech_base!$F57,1))+1000*tech_proj!AH1301)/((1-tech_proj!AH461)*tech_proj!AH741*$L$110))</f>
        <v>69.508026594836053</v>
      </c>
      <c r="AI681" s="71">
        <f>IF(tech_base!$T57&gt;AI$625,"",(1000*tech_proj!AI1021*(-PMT($J$110,tech_base!$F57,1))+1000*tech_proj!AI1301)/((1-tech_proj!AI461)*tech_proj!AI741*$L$110))</f>
        <v>69.21446463386809</v>
      </c>
      <c r="AJ681" s="71">
        <f>IF(tech_base!$T57&gt;AJ$625,"",(1000*tech_proj!AJ1021*(-PMT($J$110,tech_base!$F57,1))+1000*tech_proj!AJ1301)/((1-tech_proj!AJ461)*tech_proj!AJ741*$L$110))</f>
        <v>68.883357106322663</v>
      </c>
      <c r="AK681" s="71">
        <f>IF(tech_base!$T57&gt;AK$625,"",(1000*tech_proj!AK1021*(-PMT($J$110,tech_base!$F57,1))+1000*tech_proj!AK1301)/((1-tech_proj!AK461)*tech_proj!AK741*$L$110))</f>
        <v>68.515397190925285</v>
      </c>
      <c r="AL681" s="71">
        <f>IF(tech_base!$T57&gt;AL$625,"",(1000*tech_proj!AL1021*(-PMT($J$110,tech_base!$F57,1))+1000*tech_proj!AL1301)/((1-tech_proj!AL461)*tech_proj!AL741*$L$110))</f>
        <v>68.113370424058061</v>
      </c>
      <c r="AM681" s="71">
        <f>IF(tech_base!$T57&gt;AM$625,"",(1000*tech_proj!AM1021*(-PMT($J$110,tech_base!$F57,1))+1000*tech_proj!AM1301)/((1-tech_proj!AM461)*tech_proj!AM741*$L$110))</f>
        <v>67.682494984435394</v>
      </c>
      <c r="AN681" s="71">
        <f>IF(tech_base!$T57&gt;AN$625,"",(1000*tech_proj!AN1021*(-PMT($J$110,tech_base!$F57,1))+1000*tech_proj!AN1301)/((1-tech_proj!AN461)*tech_proj!AN741*$L$110))</f>
        <v>67.230534418623932</v>
      </c>
      <c r="AO681" s="71">
        <f>IF(tech_base!$T57&gt;AO$625,"",(1000*tech_proj!AO1021*(-PMT($J$110,tech_base!$F57,1))+1000*tech_proj!AO1301)/((1-tech_proj!AO461)*tech_proj!AO741*$L$110))</f>
        <v>66.767575512219736</v>
      </c>
      <c r="AP681" s="71">
        <f>IF(tech_base!$T57&gt;AP$625,"",(1000*tech_proj!AP1021*(-PMT($J$110,tech_base!$F57,1))+1000*tech_proj!AP1301)/((1-tech_proj!AP461)*tech_proj!AP741*$L$110))</f>
        <v>66.305409802243432</v>
      </c>
      <c r="AQ681" s="71">
        <f>IF(tech_base!$T57&gt;AQ$625,"",(1000*tech_proj!AQ1021*(-PMT($J$110,tech_base!$F57,1))+1000*tech_proj!AQ1301)/((1-tech_proj!AQ461)*tech_proj!AQ741*$L$110))</f>
        <v>65.856543623072568</v>
      </c>
      <c r="AR681" s="71">
        <f>IF(tech_base!$T57&gt;AR$625,"",(1000*tech_proj!AR1021*(-PMT($J$110,tech_base!$F57,1))+1000*tech_proj!AR1301)/((1-tech_proj!AR461)*tech_proj!AR741*$L$110))</f>
        <v>65.432969479926086</v>
      </c>
      <c r="AS681" s="71">
        <f>IF(tech_base!$T57&gt;AS$625,"",(1000*tech_proj!AS1021*(-PMT($J$110,tech_base!$F57,1))+1000*tech_proj!AS1301)/((1-tech_proj!AS461)*tech_proj!AS741*$L$110))</f>
        <v>65.044922531402634</v>
      </c>
      <c r="AT681" s="71">
        <f>IF(tech_base!$T57&gt;AT$625,"",(1000*tech_proj!AT1021*(-PMT($J$110,tech_base!$F57,1))+1000*tech_proj!AT1301)/((1-tech_proj!AT461)*tech_proj!AT741*$L$110))</f>
        <v>64.699877421017959</v>
      </c>
      <c r="AU681" s="71">
        <f>IF(tech_base!$T57&gt;AU$625,"",(1000*tech_proj!AU1021*(-PMT($J$110,tech_base!$F57,1))+1000*tech_proj!AU1301)/((1-tech_proj!AU461)*tech_proj!AU741*$L$110))</f>
        <v>64.401989793133737</v>
      </c>
      <c r="AV681" s="71">
        <f>IF(tech_base!$T57&gt;AV$625,"",(1000*tech_proj!AV1021*(-PMT($J$110,tech_base!$F57,1))+1000*tech_proj!AV1301)/((1-tech_proj!AV461)*tech_proj!AV741*$L$110))</f>
        <v>64.15206771495923</v>
      </c>
      <c r="AW681" s="71">
        <f>IF(tech_base!$T57&gt;AW$625,"",(1000*tech_proj!AW1021*(-PMT($J$110,tech_base!$F57,1))+1000*tech_proj!AW1301)/((1-tech_proj!AW461)*tech_proj!AW741*$L$110))</f>
        <v>63.948017842577251</v>
      </c>
      <c r="AX681" s="237">
        <f>IF(tech_base!$T57&gt;AX$625,"",(1000*tech_proj!AX1021*(-PMT($J$110,tech_base!$F57,1))+1000*tech_proj!AX1301)/((1-tech_proj!AX461)*tech_proj!AX741*$L$110))</f>
        <v>63.785604120723882</v>
      </c>
      <c r="AY681" s="133"/>
    </row>
    <row r="682" spans="1:51" s="174" customFormat="1" x14ac:dyDescent="0.25">
      <c r="A682" s="356"/>
      <c r="B682" s="376"/>
      <c r="C682" s="379"/>
      <c r="D682" s="59" t="s">
        <v>8</v>
      </c>
      <c r="E682" s="166" t="str">
        <f>A671&amp;"/"&amp;B679&amp;"/"&amp;C681&amp;"/"&amp;D682</f>
        <v>Lignite fired power plants/Supercritical steam turbine/CHP/M</v>
      </c>
      <c r="F682" s="79" t="str">
        <f>A671</f>
        <v>Lignite fired power plants</v>
      </c>
      <c r="G682" s="79" t="str">
        <f>B679</f>
        <v>Supercritical steam turbine</v>
      </c>
      <c r="H682" s="79" t="str">
        <f>C681</f>
        <v>CHP</v>
      </c>
      <c r="I682" s="167" t="str">
        <f t="shared" si="362"/>
        <v>M</v>
      </c>
      <c r="J682" s="72">
        <f>IF(tech_base!$T58&gt;J$625,"",(1000*tech_proj!J1022*(-PMT($J$110,tech_base!$F58,1))+1000*tech_proj!J1302)/((1-tech_proj!J462)*tech_proj!J742*$L$110))</f>
        <v>77.325700585728484</v>
      </c>
      <c r="K682" s="72">
        <f>IF(tech_base!$T58&gt;K$625,"",(1000*tech_proj!K1022*(-PMT($J$110,tech_base!$F58,1))+1000*tech_proj!K1302)/((1-tech_proj!K462)*tech_proj!K742*$L$110))</f>
        <v>77.318296150424885</v>
      </c>
      <c r="L682" s="72">
        <f>IF(tech_base!$T58&gt;L$625,"",(1000*tech_proj!L1022*(-PMT($J$110,tech_base!$F58,1))+1000*tech_proj!L1302)/((1-tech_proj!L462)*tech_proj!L742*$L$110))</f>
        <v>77.309484894641443</v>
      </c>
      <c r="M682" s="72">
        <f>IF(tech_base!$T58&gt;M$625,"",(1000*tech_proj!M1022*(-PMT($J$110,tech_base!$F58,1))+1000*tech_proj!M1302)/((1-tech_proj!M462)*tech_proj!M742*$L$110))</f>
        <v>77.299001624779223</v>
      </c>
      <c r="N682" s="72">
        <f>IF(tech_base!$T58&gt;N$625,"",(1000*tech_proj!N1022*(-PMT($J$110,tech_base!$F58,1))+1000*tech_proj!N1302)/((1-tech_proj!N462)*tech_proj!N742*$L$110))</f>
        <v>77.286532031411227</v>
      </c>
      <c r="O682" s="72">
        <f>IF(tech_base!$T58&gt;O$625,"",(1000*tech_proj!O1022*(-PMT($J$110,tech_base!$F58,1))+1000*tech_proj!O1302)/((1-tech_proj!O462)*tech_proj!O742*$L$110))</f>
        <v>77.271703957406075</v>
      </c>
      <c r="P682" s="72">
        <f>IF(tech_base!$T58&gt;P$625,"",(1000*tech_proj!P1022*(-PMT($J$110,tech_base!$F58,1))+1000*tech_proj!P1302)/((1-tech_proj!P462)*tech_proj!P742*$L$110))</f>
        <v>77.254077266590315</v>
      </c>
      <c r="Q682" s="72">
        <f>IF(tech_base!$T58&gt;Q$625,"",(1000*tech_proj!Q1022*(-PMT($J$110,tech_base!$F58,1))+1000*tech_proj!Q1302)/((1-tech_proj!Q462)*tech_proj!Q742*$L$110))</f>
        <v>77.233132154130018</v>
      </c>
      <c r="R682" s="72">
        <f>IF(tech_base!$T58&gt;R$625,"",(1000*tech_proj!R1022*(-PMT($J$110,tech_base!$F58,1))+1000*tech_proj!R1302)/((1-tech_proj!R462)*tech_proj!R742*$L$110))</f>
        <v>77.208255751996859</v>
      </c>
      <c r="S682" s="72">
        <f>IF(tech_base!$T58&gt;S$625,"",(1000*tech_proj!S1022*(-PMT($J$110,tech_base!$F58,1))+1000*tech_proj!S1302)/((1-tech_proj!S462)*tech_proj!S742*$L$110))</f>
        <v>77.178726913208564</v>
      </c>
      <c r="T682" s="72">
        <f>IF(tech_base!$T58&gt;T$625,"",(1000*tech_proj!T1022*(-PMT($J$110,tech_base!$F58,1))+1000*tech_proj!T1302)/((1-tech_proj!T462)*tech_proj!T742*$L$110))</f>
        <v>77.143699115771938</v>
      </c>
      <c r="U682" s="72">
        <f>IF(tech_base!$T58&gt;U$625,"",(1000*tech_proj!U1022*(-PMT($J$110,tech_base!$F58,1))+1000*tech_proj!U1302)/((1-tech_proj!U462)*tech_proj!U742*$L$110))</f>
        <v>77.102181523247992</v>
      </c>
      <c r="V682" s="72">
        <f>IF(tech_base!$T58&gt;V$625,"",(1000*tech_proj!V1022*(-PMT($J$110,tech_base!$F58,1))+1000*tech_proj!V1302)/((1-tech_proj!V462)*tech_proj!V742*$L$110))</f>
        <v>77.053018389160329</v>
      </c>
      <c r="W682" s="72">
        <f>IF(tech_base!$T58&gt;W$625,"",(1000*tech_proj!W1022*(-PMT($J$110,tech_base!$F58,1))+1000*tech_proj!W1302)/((1-tech_proj!W462)*tech_proj!W742*$L$110))</f>
        <v>76.994867216907949</v>
      </c>
      <c r="X682" s="72">
        <f>IF(tech_base!$T58&gt;X$625,"",(1000*tech_proj!X1022*(-PMT($J$110,tech_base!$F58,1))+1000*tech_proj!X1302)/((1-tech_proj!X462)*tech_proj!X742*$L$110))</f>
        <v>76.926176409641258</v>
      </c>
      <c r="Y682" s="72">
        <f>IF(tech_base!$T58&gt;Y$625,"",(1000*tech_proj!Y1022*(-PMT($J$110,tech_base!$F58,1))+1000*tech_proj!Y1302)/((1-tech_proj!Y462)*tech_proj!Y742*$L$110))</f>
        <v>76.845163593651776</v>
      </c>
      <c r="Z682" s="72">
        <f>IF(tech_base!$T58&gt;Z$625,"",(1000*tech_proj!Z1022*(-PMT($J$110,tech_base!$F58,1))+1000*tech_proj!Z1302)/((1-tech_proj!Z462)*tech_proj!Z742*$L$110))</f>
        <v>76.749796403568112</v>
      </c>
      <c r="AA682" s="72">
        <f>IF(tech_base!$T58&gt;AA$625,"",(1000*tech_proj!AA1022*(-PMT($J$110,tech_base!$F58,1))+1000*tech_proj!AA1302)/((1-tech_proj!AA462)*tech_proj!AA742*$L$110))</f>
        <v>76.637778303867066</v>
      </c>
      <c r="AB682" s="72">
        <f>IF(tech_base!$T58&gt;AB$625,"",(1000*tech_proj!AB1022*(-PMT($J$110,tech_base!$F58,1))+1000*tech_proj!AB1302)/((1-tech_proj!AB462)*tech_proj!AB742*$L$110))</f>
        <v>76.50654300206071</v>
      </c>
      <c r="AC682" s="72">
        <f>IF(tech_base!$T58&gt;AC$625,"",(1000*tech_proj!AC1022*(-PMT($J$110,tech_base!$F58,1))+1000*tech_proj!AC1302)/((1-tech_proj!AC462)*tech_proj!AC742*$L$110))</f>
        <v>76.353262169756007</v>
      </c>
      <c r="AD682" s="72">
        <f>IF(tech_base!$T58&gt;AD$625,"",(1000*tech_proj!AD1022*(-PMT($J$110,tech_base!$F58,1))+1000*tech_proj!AD1302)/((1-tech_proj!AD462)*tech_proj!AD742*$L$110))</f>
        <v>76.174872463240959</v>
      </c>
      <c r="AE682" s="72">
        <f>IF(tech_base!$T58&gt;AE$625,"",(1000*tech_proj!AE1022*(-PMT($J$110,tech_base!$F58,1))+1000*tech_proj!AE1302)/((1-tech_proj!AE462)*tech_proj!AE742*$L$110))</f>
        <v>75.968129077813217</v>
      </c>
      <c r="AF682" s="72">
        <f>IF(tech_base!$T58&gt;AF$625,"",(1000*tech_proj!AF1022*(-PMT($J$110,tech_base!$F58,1))+1000*tech_proj!AF1302)/((1-tech_proj!AF462)*tech_proj!AF742*$L$110))</f>
        <v>75.729694012104744</v>
      </c>
      <c r="AG682" s="72">
        <f>IF(tech_base!$T58&gt;AG$625,"",(1000*tech_proj!AG1022*(-PMT($J$110,tech_base!$F58,1))+1000*tech_proj!AG1302)/((1-tech_proj!AG462)*tech_proj!AG742*$L$110))</f>
        <v>75.456267435656599</v>
      </c>
      <c r="AH682" s="72">
        <f>IF(tech_base!$T58&gt;AH$625,"",(1000*tech_proj!AH1022*(-PMT($J$110,tech_base!$F58,1))+1000*tech_proj!AH1302)/((1-tech_proj!AH462)*tech_proj!AH742*$L$110))</f>
        <v>75.144769445196289</v>
      </c>
      <c r="AI682" s="72">
        <f>IF(tech_base!$T58&gt;AI$625,"",(1000*tech_proj!AI1022*(-PMT($J$110,tech_base!$F58,1))+1000*tech_proj!AI1302)/((1-tech_proj!AI462)*tech_proj!AI742*$L$110))</f>
        <v>74.792576317559821</v>
      </c>
      <c r="AJ682" s="72">
        <f>IF(tech_base!$T58&gt;AJ$625,"",(1000*tech_proj!AJ1022*(-PMT($J$110,tech_base!$F58,1))+1000*tech_proj!AJ1302)/((1-tech_proj!AJ462)*tech_proj!AJ742*$L$110))</f>
        <v>74.39780935116724</v>
      </c>
      <c r="AK682" s="72">
        <f>IF(tech_base!$T58&gt;AK$625,"",(1000*tech_proj!AK1022*(-PMT($J$110,tech_base!$F58,1))+1000*tech_proj!AK1302)/((1-tech_proj!AK462)*tech_proj!AK742*$L$110))</f>
        <v>73.959664997991311</v>
      </c>
      <c r="AL682" s="72">
        <f>IF(tech_base!$T58&gt;AL$625,"",(1000*tech_proj!AL1022*(-PMT($J$110,tech_base!$F58,1))+1000*tech_proj!AL1302)/((1-tech_proj!AL462)*tech_proj!AL742*$L$110))</f>
        <v>73.478762335615556</v>
      </c>
      <c r="AM682" s="72">
        <f>IF(tech_base!$T58&gt;AM$625,"",(1000*tech_proj!AM1022*(-PMT($J$110,tech_base!$F58,1))+1000*tech_proj!AM1302)/((1-tech_proj!AM462)*tech_proj!AM742*$L$110))</f>
        <v>72.957469290511426</v>
      </c>
      <c r="AN682" s="72">
        <f>IF(tech_base!$T58&gt;AN$625,"",(1000*tech_proj!AN1022*(-PMT($J$110,tech_base!$F58,1))+1000*tech_proj!AN1302)/((1-tech_proj!AN462)*tech_proj!AN742*$L$110))</f>
        <v>72.400155282470877</v>
      </c>
      <c r="AO682" s="72">
        <f>IF(tech_base!$T58&gt;AO$625,"",(1000*tech_proj!AO1022*(-PMT($J$110,tech_base!$F58,1))+1000*tech_proj!AO1302)/((1-tech_proj!AO462)*tech_proj!AO742*$L$110))</f>
        <v>71.813309644938371</v>
      </c>
      <c r="AP682" s="72">
        <f>IF(tech_base!$T58&gt;AP$625,"",(1000*tech_proj!AP1022*(-PMT($J$110,tech_base!$F58,1))+1000*tech_proj!AP1302)/((1-tech_proj!AP462)*tech_proj!AP742*$L$110))</f>
        <v>71.205467695855958</v>
      </c>
      <c r="AQ682" s="72">
        <f>IF(tech_base!$T58&gt;AQ$625,"",(1000*tech_proj!AQ1022*(-PMT($J$110,tech_base!$F58,1))+1000*tech_proj!AQ1302)/((1-tech_proj!AQ462)*tech_proj!AQ742*$L$110))</f>
        <v>70.586904177901388</v>
      </c>
      <c r="AR682" s="72">
        <f>IF(tech_base!$T58&gt;AR$625,"",(1000*tech_proj!AR1022*(-PMT($J$110,tech_base!$F58,1))+1000*tech_proj!AR1302)/((1-tech_proj!AR462)*tech_proj!AR742*$L$110))</f>
        <v>69.969087976538589</v>
      </c>
      <c r="AS682" s="72">
        <f>IF(tech_base!$T58&gt;AS$625,"",(1000*tech_proj!AS1022*(-PMT($J$110,tech_base!$F58,1))+1000*tech_proj!AS1302)/((1-tech_proj!AS462)*tech_proj!AS742*$L$110))</f>
        <v>69.363937855228045</v>
      </c>
      <c r="AT682" s="72">
        <f>IF(tech_base!$T58&gt;AT$625,"",(1000*tech_proj!AT1022*(-PMT($J$110,tech_base!$F58,1))+1000*tech_proj!AT1302)/((1-tech_proj!AT462)*tech_proj!AT742*$L$110))</f>
        <v>68.782965589658829</v>
      </c>
      <c r="AU682" s="72">
        <f>IF(tech_base!$T58&gt;AU$625,"",(1000*tech_proj!AU1022*(-PMT($J$110,tech_base!$F58,1))+1000*tech_proj!AU1302)/((1-tech_proj!AU462)*tech_proj!AU742*$L$110))</f>
        <v>68.236426031842214</v>
      </c>
      <c r="AV682" s="72">
        <f>IF(tech_base!$T58&gt;AV$625,"",(1000*tech_proj!AV1022*(-PMT($J$110,tech_base!$F58,1))+1000*tech_proj!AV1302)/((1-tech_proj!AV462)*tech_proj!AV742*$L$110))</f>
        <v>67.732600885998906</v>
      </c>
      <c r="AW682" s="72">
        <f>IF(tech_base!$T58&gt;AW$625,"",(1000*tech_proj!AW1022*(-PMT($J$110,tech_base!$F58,1))+1000*tech_proj!AW1302)/((1-tech_proj!AW462)*tech_proj!AW742*$L$110))</f>
        <v>67.277319616050406</v>
      </c>
      <c r="AX682" s="238">
        <f>IF(tech_base!$T58&gt;AX$625,"",(1000*tech_proj!AX1022*(-PMT($J$110,tech_base!$F58,1))+1000*tech_proj!AX1302)/((1-tech_proj!AX462)*tech_proj!AX742*$L$110))</f>
        <v>66.873772836782337</v>
      </c>
      <c r="AY682" s="133"/>
    </row>
    <row r="683" spans="1:51" s="174" customFormat="1" x14ac:dyDescent="0.25">
      <c r="A683" s="356"/>
      <c r="B683" s="376"/>
      <c r="C683" s="361" t="s">
        <v>15</v>
      </c>
      <c r="D683" s="58" t="s">
        <v>7</v>
      </c>
      <c r="E683" s="164" t="str">
        <f>A671&amp;"/"&amp;B679&amp;"/"&amp;C683&amp;"/"&amp;D683</f>
        <v>Lignite fired power plants/Supercritical steam turbine/Electricity only with CCS/L</v>
      </c>
      <c r="F683" s="78" t="str">
        <f>A671</f>
        <v>Lignite fired power plants</v>
      </c>
      <c r="G683" s="78" t="str">
        <f>B679</f>
        <v>Supercritical steam turbine</v>
      </c>
      <c r="H683" s="78" t="str">
        <f>C683</f>
        <v>Electricity only with CCS</v>
      </c>
      <c r="I683" s="165" t="str">
        <f t="shared" si="362"/>
        <v>L</v>
      </c>
      <c r="J683" s="71" t="str">
        <f>IF(tech_base!$T59&gt;J$625,"",(1000*tech_proj!J1023*(-PMT($J$110,tech_base!$F59,1))+1000*tech_proj!J1303)/((1-tech_proj!J463)*tech_proj!J743*$L$110))</f>
        <v/>
      </c>
      <c r="K683" s="71" t="str">
        <f>IF(tech_base!$T59&gt;K$625,"",(1000*tech_proj!K1023*(-PMT($J$110,tech_base!$F59,1))+1000*tech_proj!K1303)/((1-tech_proj!K463)*tech_proj!K743*$L$110))</f>
        <v/>
      </c>
      <c r="L683" s="71" t="str">
        <f>IF(tech_base!$T59&gt;L$625,"",(1000*tech_proj!L1023*(-PMT($J$110,tech_base!$F59,1))+1000*tech_proj!L1303)/((1-tech_proj!L463)*tech_proj!L743*$L$110))</f>
        <v/>
      </c>
      <c r="M683" s="71" t="str">
        <f>IF(tech_base!$T59&gt;M$625,"",(1000*tech_proj!M1023*(-PMT($J$110,tech_base!$F59,1))+1000*tech_proj!M1303)/((1-tech_proj!M463)*tech_proj!M743*$L$110))</f>
        <v/>
      </c>
      <c r="N683" s="71" t="str">
        <f>IF(tech_base!$T59&gt;N$625,"",(1000*tech_proj!N1023*(-PMT($J$110,tech_base!$F59,1))+1000*tech_proj!N1303)/((1-tech_proj!N463)*tech_proj!N743*$L$110))</f>
        <v/>
      </c>
      <c r="O683" s="71" t="str">
        <f>IF(tech_base!$T59&gt;O$625,"",(1000*tech_proj!O1023*(-PMT($J$110,tech_base!$F59,1))+1000*tech_proj!O1303)/((1-tech_proj!O463)*tech_proj!O743*$L$110))</f>
        <v/>
      </c>
      <c r="P683" s="71" t="str">
        <f>IF(tech_base!$T59&gt;P$625,"",(1000*tech_proj!P1023*(-PMT($J$110,tech_base!$F59,1))+1000*tech_proj!P1303)/((1-tech_proj!P463)*tech_proj!P743*$L$110))</f>
        <v/>
      </c>
      <c r="Q683" s="71" t="str">
        <f>IF(tech_base!$T59&gt;Q$625,"",(1000*tech_proj!Q1023*(-PMT($J$110,tech_base!$F59,1))+1000*tech_proj!Q1303)/((1-tech_proj!Q463)*tech_proj!Q743*$L$110))</f>
        <v/>
      </c>
      <c r="R683" s="71" t="str">
        <f>IF(tech_base!$T59&gt;R$625,"",(1000*tech_proj!R1023*(-PMT($J$110,tech_base!$F59,1))+1000*tech_proj!R1303)/((1-tech_proj!R463)*tech_proj!R743*$L$110))</f>
        <v/>
      </c>
      <c r="S683" s="71" t="str">
        <f>IF(tech_base!$T59&gt;S$625,"",(1000*tech_proj!S1023*(-PMT($J$110,tech_base!$F59,1))+1000*tech_proj!S1303)/((1-tech_proj!S463)*tech_proj!S743*$L$110))</f>
        <v/>
      </c>
      <c r="T683" s="71" t="str">
        <f>IF(tech_base!$T59&gt;T$625,"",(1000*tech_proj!T1023*(-PMT($J$110,tech_base!$F59,1))+1000*tech_proj!T1303)/((1-tech_proj!T463)*tech_proj!T743*$L$110))</f>
        <v/>
      </c>
      <c r="U683" s="71" t="str">
        <f>IF(tech_base!$T59&gt;U$625,"",(1000*tech_proj!U1023*(-PMT($J$110,tech_base!$F59,1))+1000*tech_proj!U1303)/((1-tech_proj!U463)*tech_proj!U743*$L$110))</f>
        <v/>
      </c>
      <c r="V683" s="71" t="str">
        <f>IF(tech_base!$T59&gt;V$625,"",(1000*tech_proj!V1023*(-PMT($J$110,tech_base!$F59,1))+1000*tech_proj!V1303)/((1-tech_proj!V463)*tech_proj!V743*$L$110))</f>
        <v/>
      </c>
      <c r="W683" s="71" t="str">
        <f>IF(tech_base!$T59&gt;W$625,"",(1000*tech_proj!W1023*(-PMT($J$110,tech_base!$F59,1))+1000*tech_proj!W1303)/((1-tech_proj!W463)*tech_proj!W743*$L$110))</f>
        <v/>
      </c>
      <c r="X683" s="71" t="str">
        <f>IF(tech_base!$T59&gt;X$625,"",(1000*tech_proj!X1023*(-PMT($J$110,tech_base!$F59,1))+1000*tech_proj!X1303)/((1-tech_proj!X463)*tech_proj!X743*$L$110))</f>
        <v/>
      </c>
      <c r="Y683" s="71" t="str">
        <f>IF(tech_base!$T59&gt;Y$625,"",(1000*tech_proj!Y1023*(-PMT($J$110,tech_base!$F59,1))+1000*tech_proj!Y1303)/((1-tech_proj!Y463)*tech_proj!Y743*$L$110))</f>
        <v/>
      </c>
      <c r="Z683" s="71" t="str">
        <f>IF(tech_base!$T59&gt;Z$625,"",(1000*tech_proj!Z1023*(-PMT($J$110,tech_base!$F59,1))+1000*tech_proj!Z1303)/((1-tech_proj!Z463)*tech_proj!Z743*$L$110))</f>
        <v/>
      </c>
      <c r="AA683" s="71" t="str">
        <f>IF(tech_base!$T59&gt;AA$625,"",(1000*tech_proj!AA1023*(-PMT($J$110,tech_base!$F59,1))+1000*tech_proj!AA1303)/((1-tech_proj!AA463)*tech_proj!AA743*$L$110))</f>
        <v/>
      </c>
      <c r="AB683" s="71" t="str">
        <f>IF(tech_base!$T59&gt;AB$625,"",(1000*tech_proj!AB1023*(-PMT($J$110,tech_base!$F59,1))+1000*tech_proj!AB1303)/((1-tech_proj!AB463)*tech_proj!AB743*$L$110))</f>
        <v/>
      </c>
      <c r="AC683" s="71" t="str">
        <f>IF(tech_base!$T59&gt;AC$625,"",(1000*tech_proj!AC1023*(-PMT($J$110,tech_base!$F59,1))+1000*tech_proj!AC1303)/((1-tech_proj!AC463)*tech_proj!AC743*$L$110))</f>
        <v/>
      </c>
      <c r="AD683" s="71" t="str">
        <f>IF(tech_base!$T59&gt;AD$625,"",(1000*tech_proj!AD1023*(-PMT($J$110,tech_base!$F59,1))+1000*tech_proj!AD1303)/((1-tech_proj!AD463)*tech_proj!AD743*$L$110))</f>
        <v/>
      </c>
      <c r="AE683" s="71">
        <f>IF(tech_base!$T59&gt;AE$625,"",(1000*tech_proj!AE1023*(-PMT($J$110,tech_base!$F59,1))+1000*tech_proj!AE1303)/((1-tech_proj!AE463)*tech_proj!AE743*$L$110))</f>
        <v>145.54146250491925</v>
      </c>
      <c r="AF683" s="71">
        <f>IF(tech_base!$T59&gt;AF$625,"",(1000*tech_proj!AF1023*(-PMT($J$110,tech_base!$F59,1))+1000*tech_proj!AF1303)/((1-tech_proj!AF463)*tech_proj!AF743*$L$110))</f>
        <v>145.47971574541032</v>
      </c>
      <c r="AG683" s="71">
        <f>IF(tech_base!$T59&gt;AG$625,"",(1000*tech_proj!AG1023*(-PMT($J$110,tech_base!$F59,1))+1000*tech_proj!AG1303)/((1-tech_proj!AG463)*tech_proj!AG743*$L$110))</f>
        <v>145.404529292034</v>
      </c>
      <c r="AH683" s="71">
        <f>IF(tech_base!$T59&gt;AH$625,"",(1000*tech_proj!AH1023*(-PMT($J$110,tech_base!$F59,1))+1000*tech_proj!AH1303)/((1-tech_proj!AH463)*tech_proj!AH743*$L$110))</f>
        <v>145.31303959340914</v>
      </c>
      <c r="AI683" s="71">
        <f>IF(tech_base!$T59&gt;AI$625,"",(1000*tech_proj!AI1023*(-PMT($J$110,tech_base!$F59,1))+1000*tech_proj!AI1303)/((1-tech_proj!AI463)*tech_proj!AI743*$L$110))</f>
        <v>145.20180284118177</v>
      </c>
      <c r="AJ683" s="71">
        <f>IF(tech_base!$T59&gt;AJ$625,"",(1000*tech_proj!AJ1023*(-PMT($J$110,tech_base!$F59,1))+1000*tech_proj!AJ1303)/((1-tech_proj!AJ463)*tech_proj!AJ743*$L$110))</f>
        <v>145.06669183887328</v>
      </c>
      <c r="AK683" s="71">
        <f>IF(tech_base!$T59&gt;AK$625,"",(1000*tech_proj!AK1023*(-PMT($J$110,tech_base!$F59,1))+1000*tech_proj!AK1303)/((1-tech_proj!AK463)*tech_proj!AK743*$L$110))</f>
        <v>144.90278163317171</v>
      </c>
      <c r="AL683" s="71">
        <f>IF(tech_base!$T59&gt;AL$625,"",(1000*tech_proj!AL1023*(-PMT($J$110,tech_base!$F59,1))+1000*tech_proj!AL1303)/((1-tech_proj!AL463)*tech_proj!AL743*$L$110))</f>
        <v>144.70422644725159</v>
      </c>
      <c r="AM683" s="71">
        <f>IF(tech_base!$T59&gt;AM$625,"",(1000*tech_proj!AM1023*(-PMT($J$110,tech_base!$F59,1))+1000*tech_proj!AM1303)/((1-tech_proj!AM463)*tech_proj!AM743*$L$110))</f>
        <v>144.46413297823989</v>
      </c>
      <c r="AN683" s="71">
        <f>IF(tech_base!$T59&gt;AN$625,"",(1000*tech_proj!AN1023*(-PMT($J$110,tech_base!$F59,1))+1000*tech_proj!AN1303)/((1-tech_proj!AN463)*tech_proj!AN743*$L$110))</f>
        <v>144.17443879389191</v>
      </c>
      <c r="AO683" s="71">
        <f>IF(tech_base!$T59&gt;AO$625,"",(1000*tech_proj!AO1023*(-PMT($J$110,tech_base!$F59,1))+1000*tech_proj!AO1303)/((1-tech_proj!AO463)*tech_proj!AO743*$L$110))</f>
        <v>143.82580968119146</v>
      </c>
      <c r="AP683" s="71">
        <f>IF(tech_base!$T59&gt;AP$625,"",(1000*tech_proj!AP1023*(-PMT($J$110,tech_base!$F59,1))+1000*tech_proj!AP1303)/((1-tech_proj!AP463)*tech_proj!AP743*$L$110))</f>
        <v>143.4075765919234</v>
      </c>
      <c r="AQ683" s="71">
        <f>IF(tech_base!$T59&gt;AQ$625,"",(1000*tech_proj!AQ1023*(-PMT($J$110,tech_base!$F59,1))+1000*tech_proj!AQ1303)/((1-tech_proj!AQ463)*tech_proj!AQ743*$L$110))</f>
        <v>142.9077413199449</v>
      </c>
      <c r="AR683" s="71">
        <f>IF(tech_base!$T59&gt;AR$625,"",(1000*tech_proj!AR1023*(-PMT($J$110,tech_base!$F59,1))+1000*tech_proj!AR1303)/((1-tech_proj!AR463)*tech_proj!AR743*$L$110))</f>
        <v>142.31308980682675</v>
      </c>
      <c r="AS683" s="71">
        <f>IF(tech_base!$T59&gt;AS$625,"",(1000*tech_proj!AS1023*(-PMT($J$110,tech_base!$F59,1))+1000*tech_proj!AS1303)/((1-tech_proj!AS463)*tech_proj!AS743*$L$110))</f>
        <v>141.60946177668623</v>
      </c>
      <c r="AT683" s="71">
        <f>IF(tech_base!$T59&gt;AT$625,"",(1000*tech_proj!AT1023*(-PMT($J$110,tech_base!$F59,1))+1000*tech_proj!AT1303)/((1-tech_proj!AT463)*tech_proj!AT743*$L$110))</f>
        <v>140.78223275837948</v>
      </c>
      <c r="AU683" s="71">
        <f>IF(tech_base!$T59&gt;AU$625,"",(1000*tech_proj!AU1023*(-PMT($J$110,tech_base!$F59,1))+1000*tech_proj!AU1303)/((1-tech_proj!AU463)*tech_proj!AU743*$L$110))</f>
        <v>139.81706527712467</v>
      </c>
      <c r="AV683" s="71">
        <f>IF(tech_base!$T59&gt;AV$625,"",(1000*tech_proj!AV1023*(-PMT($J$110,tech_base!$F59,1))+1000*tech_proj!AV1303)/((1-tech_proj!AV463)*tech_proj!AV743*$L$110))</f>
        <v>138.70097405545738</v>
      </c>
      <c r="AW683" s="71">
        <f>IF(tech_base!$T59&gt;AW$625,"",(1000*tech_proj!AW1023*(-PMT($J$110,tech_base!$F59,1))+1000*tech_proj!AW1303)/((1-tech_proj!AW463)*tech_proj!AW743*$L$110))</f>
        <v>137.42371821142601</v>
      </c>
      <c r="AX683" s="237">
        <f>IF(tech_base!$T59&gt;AX$625,"",(1000*tech_proj!AX1023*(-PMT($J$110,tech_base!$F59,1))+1000*tech_proj!AX1303)/((1-tech_proj!AX463)*tech_proj!AX743*$L$110))</f>
        <v>135.97947530101337</v>
      </c>
      <c r="AY683" s="133"/>
    </row>
    <row r="684" spans="1:51" s="174" customFormat="1" x14ac:dyDescent="0.25">
      <c r="A684" s="356"/>
      <c r="B684" s="376"/>
      <c r="C684" s="379"/>
      <c r="D684" s="59" t="s">
        <v>8</v>
      </c>
      <c r="E684" s="166" t="str">
        <f>A671&amp;"/"&amp;B679&amp;"/"&amp;C683&amp;"/"&amp;D684</f>
        <v>Lignite fired power plants/Supercritical steam turbine/Electricity only with CCS/M</v>
      </c>
      <c r="F684" s="79" t="str">
        <f>A671</f>
        <v>Lignite fired power plants</v>
      </c>
      <c r="G684" s="79" t="str">
        <f>B679</f>
        <v>Supercritical steam turbine</v>
      </c>
      <c r="H684" s="79" t="str">
        <f>C683</f>
        <v>Electricity only with CCS</v>
      </c>
      <c r="I684" s="167" t="str">
        <f t="shared" si="362"/>
        <v>M</v>
      </c>
      <c r="J684" s="72" t="str">
        <f>IF(tech_base!$T60&gt;J$625,"",(1000*tech_proj!J1024*(-PMT($J$110,tech_base!$F60,1))+1000*tech_proj!J1304)/((1-tech_proj!J464)*tech_proj!J744*$L$110))</f>
        <v/>
      </c>
      <c r="K684" s="72" t="str">
        <f>IF(tech_base!$T60&gt;K$625,"",(1000*tech_proj!K1024*(-PMT($J$110,tech_base!$F60,1))+1000*tech_proj!K1304)/((1-tech_proj!K464)*tech_proj!K744*$L$110))</f>
        <v/>
      </c>
      <c r="L684" s="72" t="str">
        <f>IF(tech_base!$T60&gt;L$625,"",(1000*tech_proj!L1024*(-PMT($J$110,tech_base!$F60,1))+1000*tech_proj!L1304)/((1-tech_proj!L464)*tech_proj!L744*$L$110))</f>
        <v/>
      </c>
      <c r="M684" s="72" t="str">
        <f>IF(tech_base!$T60&gt;M$625,"",(1000*tech_proj!M1024*(-PMT($J$110,tech_base!$F60,1))+1000*tech_proj!M1304)/((1-tech_proj!M464)*tech_proj!M744*$L$110))</f>
        <v/>
      </c>
      <c r="N684" s="72" t="str">
        <f>IF(tech_base!$T60&gt;N$625,"",(1000*tech_proj!N1024*(-PMT($J$110,tech_base!$F60,1))+1000*tech_proj!N1304)/((1-tech_proj!N464)*tech_proj!N744*$L$110))</f>
        <v/>
      </c>
      <c r="O684" s="72" t="str">
        <f>IF(tech_base!$T60&gt;O$625,"",(1000*tech_proj!O1024*(-PMT($J$110,tech_base!$F60,1))+1000*tech_proj!O1304)/((1-tech_proj!O464)*tech_proj!O744*$L$110))</f>
        <v/>
      </c>
      <c r="P684" s="72" t="str">
        <f>IF(tech_base!$T60&gt;P$625,"",(1000*tech_proj!P1024*(-PMT($J$110,tech_base!$F60,1))+1000*tech_proj!P1304)/((1-tech_proj!P464)*tech_proj!P744*$L$110))</f>
        <v/>
      </c>
      <c r="Q684" s="72" t="str">
        <f>IF(tech_base!$T60&gt;Q$625,"",(1000*tech_proj!Q1024*(-PMT($J$110,tech_base!$F60,1))+1000*tech_proj!Q1304)/((1-tech_proj!Q464)*tech_proj!Q744*$L$110))</f>
        <v/>
      </c>
      <c r="R684" s="72" t="str">
        <f>IF(tech_base!$T60&gt;R$625,"",(1000*tech_proj!R1024*(-PMT($J$110,tech_base!$F60,1))+1000*tech_proj!R1304)/((1-tech_proj!R464)*tech_proj!R744*$L$110))</f>
        <v/>
      </c>
      <c r="S684" s="72" t="str">
        <f>IF(tech_base!$T60&gt;S$625,"",(1000*tech_proj!S1024*(-PMT($J$110,tech_base!$F60,1))+1000*tech_proj!S1304)/((1-tech_proj!S464)*tech_proj!S744*$L$110))</f>
        <v/>
      </c>
      <c r="T684" s="72" t="str">
        <f>IF(tech_base!$T60&gt;T$625,"",(1000*tech_proj!T1024*(-PMT($J$110,tech_base!$F60,1))+1000*tech_proj!T1304)/((1-tech_proj!T464)*tech_proj!T744*$L$110))</f>
        <v/>
      </c>
      <c r="U684" s="72" t="str">
        <f>IF(tech_base!$T60&gt;U$625,"",(1000*tech_proj!U1024*(-PMT($J$110,tech_base!$F60,1))+1000*tech_proj!U1304)/((1-tech_proj!U464)*tech_proj!U744*$L$110))</f>
        <v/>
      </c>
      <c r="V684" s="72" t="str">
        <f>IF(tech_base!$T60&gt;V$625,"",(1000*tech_proj!V1024*(-PMT($J$110,tech_base!$F60,1))+1000*tech_proj!V1304)/((1-tech_proj!V464)*tech_proj!V744*$L$110))</f>
        <v/>
      </c>
      <c r="W684" s="72" t="str">
        <f>IF(tech_base!$T60&gt;W$625,"",(1000*tech_proj!W1024*(-PMT($J$110,tech_base!$F60,1))+1000*tech_proj!W1304)/((1-tech_proj!W464)*tech_proj!W744*$L$110))</f>
        <v/>
      </c>
      <c r="X684" s="72" t="str">
        <f>IF(tech_base!$T60&gt;X$625,"",(1000*tech_proj!X1024*(-PMT($J$110,tech_base!$F60,1))+1000*tech_proj!X1304)/((1-tech_proj!X464)*tech_proj!X744*$L$110))</f>
        <v/>
      </c>
      <c r="Y684" s="72" t="str">
        <f>IF(tech_base!$T60&gt;Y$625,"",(1000*tech_proj!Y1024*(-PMT($J$110,tech_base!$F60,1))+1000*tech_proj!Y1304)/((1-tech_proj!Y464)*tech_proj!Y744*$L$110))</f>
        <v/>
      </c>
      <c r="Z684" s="72" t="str">
        <f>IF(tech_base!$T60&gt;Z$625,"",(1000*tech_proj!Z1024*(-PMT($J$110,tech_base!$F60,1))+1000*tech_proj!Z1304)/((1-tech_proj!Z464)*tech_proj!Z744*$L$110))</f>
        <v/>
      </c>
      <c r="AA684" s="72" t="str">
        <f>IF(tech_base!$T60&gt;AA$625,"",(1000*tech_proj!AA1024*(-PMT($J$110,tech_base!$F60,1))+1000*tech_proj!AA1304)/((1-tech_proj!AA464)*tech_proj!AA744*$L$110))</f>
        <v/>
      </c>
      <c r="AB684" s="72" t="str">
        <f>IF(tech_base!$T60&gt;AB$625,"",(1000*tech_proj!AB1024*(-PMT($J$110,tech_base!$F60,1))+1000*tech_proj!AB1304)/((1-tech_proj!AB464)*tech_proj!AB744*$L$110))</f>
        <v/>
      </c>
      <c r="AC684" s="72" t="str">
        <f>IF(tech_base!$T60&gt;AC$625,"",(1000*tech_proj!AC1024*(-PMT($J$110,tech_base!$F60,1))+1000*tech_proj!AC1304)/((1-tech_proj!AC464)*tech_proj!AC744*$L$110))</f>
        <v/>
      </c>
      <c r="AD684" s="72" t="str">
        <f>IF(tech_base!$T60&gt;AD$625,"",(1000*tech_proj!AD1024*(-PMT($J$110,tech_base!$F60,1))+1000*tech_proj!AD1304)/((1-tech_proj!AD464)*tech_proj!AD744*$L$110))</f>
        <v/>
      </c>
      <c r="AE684" s="72">
        <f>IF(tech_base!$T60&gt;AE$625,"",(1000*tech_proj!AE1024*(-PMT($J$110,tech_base!$F60,1))+1000*tech_proj!AE1304)/((1-tech_proj!AE464)*tech_proj!AE744*$L$110))</f>
        <v>159.06287449818788</v>
      </c>
      <c r="AF684" s="72">
        <f>IF(tech_base!$T60&gt;AF$625,"",(1000*tech_proj!AF1024*(-PMT($J$110,tech_base!$F60,1))+1000*tech_proj!AF1304)/((1-tech_proj!AF464)*tech_proj!AF744*$L$110))</f>
        <v>159.0254023591736</v>
      </c>
      <c r="AG684" s="72">
        <f>IF(tech_base!$T60&gt;AG$625,"",(1000*tech_proj!AG1024*(-PMT($J$110,tech_base!$F60,1))+1000*tech_proj!AG1304)/((1-tech_proj!AG464)*tech_proj!AG744*$L$110))</f>
        <v>158.9773627793256</v>
      </c>
      <c r="AH684" s="72">
        <f>IF(tech_base!$T60&gt;AH$625,"",(1000*tech_proj!AH1024*(-PMT($J$110,tech_base!$F60,1))+1000*tech_proj!AH1304)/((1-tech_proj!AH464)*tech_proj!AH744*$L$110))</f>
        <v>158.91580305875081</v>
      </c>
      <c r="AI684" s="72">
        <f>IF(tech_base!$T60&gt;AI$625,"",(1000*tech_proj!AI1024*(-PMT($J$110,tech_base!$F60,1))+1000*tech_proj!AI1304)/((1-tech_proj!AI464)*tech_proj!AI744*$L$110))</f>
        <v>158.83696310692127</v>
      </c>
      <c r="AJ684" s="72">
        <f>IF(tech_base!$T60&gt;AJ$625,"",(1000*tech_proj!AJ1024*(-PMT($J$110,tech_base!$F60,1))+1000*tech_proj!AJ1304)/((1-tech_proj!AJ464)*tech_proj!AJ744*$L$110))</f>
        <v>158.73606600361182</v>
      </c>
      <c r="AK684" s="72">
        <f>IF(tech_base!$T60&gt;AK$625,"",(1000*tech_proj!AK1024*(-PMT($J$110,tech_base!$F60,1))+1000*tech_proj!AK1304)/((1-tech_proj!AK464)*tech_proj!AK744*$L$110))</f>
        <v>158.60706153935016</v>
      </c>
      <c r="AL684" s="72">
        <f>IF(tech_base!$T60&gt;AL$625,"",(1000*tech_proj!AL1024*(-PMT($J$110,tech_base!$F60,1))+1000*tech_proj!AL1304)/((1-tech_proj!AL464)*tech_proj!AL744*$L$110))</f>
        <v>158.4423169980127</v>
      </c>
      <c r="AM684" s="72">
        <f>IF(tech_base!$T60&gt;AM$625,"",(1000*tech_proj!AM1024*(-PMT($J$110,tech_base!$F60,1))+1000*tech_proj!AM1304)/((1-tech_proj!AM464)*tech_proj!AM744*$L$110))</f>
        <v>158.23225225386241</v>
      </c>
      <c r="AN684" s="72">
        <f>IF(tech_base!$T60&gt;AN$625,"",(1000*tech_proj!AN1024*(-PMT($J$110,tech_base!$F60,1))+1000*tech_proj!AN1304)/((1-tech_proj!AN464)*tech_proj!AN744*$L$110))</f>
        <v>157.96492221680947</v>
      </c>
      <c r="AO684" s="72">
        <f>IF(tech_base!$T60&gt;AO$625,"",(1000*tech_proj!AO1024*(-PMT($J$110,tech_base!$F60,1))+1000*tech_proj!AO1304)/((1-tech_proj!AO464)*tech_proj!AO744*$L$110))</f>
        <v>157.62556066497575</v>
      </c>
      <c r="AP684" s="72">
        <f>IF(tech_base!$T60&gt;AP$625,"",(1000*tech_proj!AP1024*(-PMT($J$110,tech_base!$F60,1))+1000*tech_proj!AP1304)/((1-tech_proj!AP464)*tech_proj!AP744*$L$110))</f>
        <v>157.19611812719003</v>
      </c>
      <c r="AQ684" s="72">
        <f>IF(tech_base!$T60&gt;AQ$625,"",(1000*tech_proj!AQ1024*(-PMT($J$110,tech_base!$F60,1))+1000*tech_proj!AQ1304)/((1-tech_proj!AQ464)*tech_proj!AQ744*$L$110))</f>
        <v>156.65485584232016</v>
      </c>
      <c r="AR684" s="72">
        <f>IF(tech_base!$T60&gt;AR$625,"",(1000*tech_proj!AR1024*(-PMT($J$110,tech_base!$F60,1))+1000*tech_proj!AR1304)/((1-tech_proj!AR464)*tech_proj!AR744*$L$110))</f>
        <v>155.97610093733533</v>
      </c>
      <c r="AS684" s="72">
        <f>IF(tech_base!$T60&gt;AS$625,"",(1000*tech_proj!AS1024*(-PMT($J$110,tech_base!$F60,1))+1000*tech_proj!AS1304)/((1-tech_proj!AS464)*tech_proj!AS744*$L$110))</f>
        <v>155.13032602268669</v>
      </c>
      <c r="AT684" s="72">
        <f>IF(tech_base!$T60&gt;AT$625,"",(1000*tech_proj!AT1024*(-PMT($J$110,tech_base!$F60,1))+1000*tech_proj!AT1304)/((1-tech_proj!AT464)*tech_proj!AT744*$L$110))</f>
        <v>154.08478532266003</v>
      </c>
      <c r="AU684" s="72">
        <f>IF(tech_base!$T60&gt;AU$625,"",(1000*tech_proj!AU1024*(-PMT($J$110,tech_base!$F60,1))+1000*tech_proj!AU1304)/((1-tech_proj!AU464)*tech_proj!AU744*$L$110))</f>
        <v>152.80500414550065</v>
      </c>
      <c r="AV684" s="72">
        <f>IF(tech_base!$T60&gt;AV$625,"",(1000*tech_proj!AV1024*(-PMT($J$110,tech_base!$F60,1))+1000*tech_proj!AV1304)/((1-tech_proj!AV464)*tech_proj!AV744*$L$110))</f>
        <v>151.25744539984436</v>
      </c>
      <c r="AW684" s="72">
        <f>IF(tech_base!$T60&gt;AW$625,"",(1000*tech_proj!AW1024*(-PMT($J$110,tech_base!$F60,1))+1000*tech_proj!AW1304)/((1-tech_proj!AW464)*tech_proj!AW744*$L$110))</f>
        <v>149.4136085378401</v>
      </c>
      <c r="AX684" s="238">
        <f>IF(tech_base!$T60&gt;AX$625,"",(1000*tech_proj!AX1024*(-PMT($J$110,tech_base!$F60,1))+1000*tech_proj!AX1304)/((1-tech_proj!AX464)*tech_proj!AX744*$L$110))</f>
        <v>147.25557730507541</v>
      </c>
      <c r="AY684" s="133"/>
    </row>
    <row r="685" spans="1:51" s="174" customFormat="1" x14ac:dyDescent="0.25">
      <c r="A685" s="356"/>
      <c r="B685" s="376"/>
      <c r="C685" s="361" t="s">
        <v>16</v>
      </c>
      <c r="D685" s="2" t="s">
        <v>7</v>
      </c>
      <c r="E685" s="160" t="str">
        <f>A671&amp;"/"&amp;B679&amp;"/"&amp;C685&amp;"/"&amp;D685</f>
        <v>Lignite fired power plants/Supercritical steam turbine/CHP with CCS/L</v>
      </c>
      <c r="F685" s="76" t="str">
        <f>A671</f>
        <v>Lignite fired power plants</v>
      </c>
      <c r="G685" s="76" t="str">
        <f>B679</f>
        <v>Supercritical steam turbine</v>
      </c>
      <c r="H685" s="76" t="str">
        <f>C685</f>
        <v>CHP with CCS</v>
      </c>
      <c r="I685" s="161" t="str">
        <f t="shared" si="362"/>
        <v>L</v>
      </c>
      <c r="J685" s="69" t="str">
        <f>IF(tech_base!$T61&gt;J$625,"",(1000*tech_proj!J1025*(-PMT($J$110,tech_base!$F61,1))+1000*tech_proj!J1305)/((1-tech_proj!J465)*tech_proj!J745*$L$110))</f>
        <v/>
      </c>
      <c r="K685" s="69" t="str">
        <f>IF(tech_base!$T61&gt;K$625,"",(1000*tech_proj!K1025*(-PMT($J$110,tech_base!$F61,1))+1000*tech_proj!K1305)/((1-tech_proj!K465)*tech_proj!K745*$L$110))</f>
        <v/>
      </c>
      <c r="L685" s="69" t="str">
        <f>IF(tech_base!$T61&gt;L$625,"",(1000*tech_proj!L1025*(-PMT($J$110,tech_base!$F61,1))+1000*tech_proj!L1305)/((1-tech_proj!L465)*tech_proj!L745*$L$110))</f>
        <v/>
      </c>
      <c r="M685" s="69" t="str">
        <f>IF(tech_base!$T61&gt;M$625,"",(1000*tech_proj!M1025*(-PMT($J$110,tech_base!$F61,1))+1000*tech_proj!M1305)/((1-tech_proj!M465)*tech_proj!M745*$L$110))</f>
        <v/>
      </c>
      <c r="N685" s="69" t="str">
        <f>IF(tech_base!$T61&gt;N$625,"",(1000*tech_proj!N1025*(-PMT($J$110,tech_base!$F61,1))+1000*tech_proj!N1305)/((1-tech_proj!N465)*tech_proj!N745*$L$110))</f>
        <v/>
      </c>
      <c r="O685" s="69" t="str">
        <f>IF(tech_base!$T61&gt;O$625,"",(1000*tech_proj!O1025*(-PMT($J$110,tech_base!$F61,1))+1000*tech_proj!O1305)/((1-tech_proj!O465)*tech_proj!O745*$L$110))</f>
        <v/>
      </c>
      <c r="P685" s="69" t="str">
        <f>IF(tech_base!$T61&gt;P$625,"",(1000*tech_proj!P1025*(-PMT($J$110,tech_base!$F61,1))+1000*tech_proj!P1305)/((1-tech_proj!P465)*tech_proj!P745*$L$110))</f>
        <v/>
      </c>
      <c r="Q685" s="69" t="str">
        <f>IF(tech_base!$T61&gt;Q$625,"",(1000*tech_proj!Q1025*(-PMT($J$110,tech_base!$F61,1))+1000*tech_proj!Q1305)/((1-tech_proj!Q465)*tech_proj!Q745*$L$110))</f>
        <v/>
      </c>
      <c r="R685" s="69" t="str">
        <f>IF(tech_base!$T61&gt;R$625,"",(1000*tech_proj!R1025*(-PMT($J$110,tech_base!$F61,1))+1000*tech_proj!R1305)/((1-tech_proj!R465)*tech_proj!R745*$L$110))</f>
        <v/>
      </c>
      <c r="S685" s="69" t="str">
        <f>IF(tech_base!$T61&gt;S$625,"",(1000*tech_proj!S1025*(-PMT($J$110,tech_base!$F61,1))+1000*tech_proj!S1305)/((1-tech_proj!S465)*tech_proj!S745*$L$110))</f>
        <v/>
      </c>
      <c r="T685" s="69" t="str">
        <f>IF(tech_base!$T61&gt;T$625,"",(1000*tech_proj!T1025*(-PMT($J$110,tech_base!$F61,1))+1000*tech_proj!T1305)/((1-tech_proj!T465)*tech_proj!T745*$L$110))</f>
        <v/>
      </c>
      <c r="U685" s="69" t="str">
        <f>IF(tech_base!$T61&gt;U$625,"",(1000*tech_proj!U1025*(-PMT($J$110,tech_base!$F61,1))+1000*tech_proj!U1305)/((1-tech_proj!U465)*tech_proj!U745*$L$110))</f>
        <v/>
      </c>
      <c r="V685" s="69" t="str">
        <f>IF(tech_base!$T61&gt;V$625,"",(1000*tech_proj!V1025*(-PMT($J$110,tech_base!$F61,1))+1000*tech_proj!V1305)/((1-tech_proj!V465)*tech_proj!V745*$L$110))</f>
        <v/>
      </c>
      <c r="W685" s="69" t="str">
        <f>IF(tech_base!$T61&gt;W$625,"",(1000*tech_proj!W1025*(-PMT($J$110,tech_base!$F61,1))+1000*tech_proj!W1305)/((1-tech_proj!W465)*tech_proj!W745*$L$110))</f>
        <v/>
      </c>
      <c r="X685" s="69" t="str">
        <f>IF(tech_base!$T61&gt;X$625,"",(1000*tech_proj!X1025*(-PMT($J$110,tech_base!$F61,1))+1000*tech_proj!X1305)/((1-tech_proj!X465)*tech_proj!X745*$L$110))</f>
        <v/>
      </c>
      <c r="Y685" s="69" t="str">
        <f>IF(tech_base!$T61&gt;Y$625,"",(1000*tech_proj!Y1025*(-PMT($J$110,tech_base!$F61,1))+1000*tech_proj!Y1305)/((1-tech_proj!Y465)*tech_proj!Y745*$L$110))</f>
        <v/>
      </c>
      <c r="Z685" s="69" t="str">
        <f>IF(tech_base!$T61&gt;Z$625,"",(1000*tech_proj!Z1025*(-PMT($J$110,tech_base!$F61,1))+1000*tech_proj!Z1305)/((1-tech_proj!Z465)*tech_proj!Z745*$L$110))</f>
        <v/>
      </c>
      <c r="AA685" s="69" t="str">
        <f>IF(tech_base!$T61&gt;AA$625,"",(1000*tech_proj!AA1025*(-PMT($J$110,tech_base!$F61,1))+1000*tech_proj!AA1305)/((1-tech_proj!AA465)*tech_proj!AA745*$L$110))</f>
        <v/>
      </c>
      <c r="AB685" s="69" t="str">
        <f>IF(tech_base!$T61&gt;AB$625,"",(1000*tech_proj!AB1025*(-PMT($J$110,tech_base!$F61,1))+1000*tech_proj!AB1305)/((1-tech_proj!AB465)*tech_proj!AB745*$L$110))</f>
        <v/>
      </c>
      <c r="AC685" s="69" t="str">
        <f>IF(tech_base!$T61&gt;AC$625,"",(1000*tech_proj!AC1025*(-PMT($J$110,tech_base!$F61,1))+1000*tech_proj!AC1305)/((1-tech_proj!AC465)*tech_proj!AC745*$L$110))</f>
        <v/>
      </c>
      <c r="AD685" s="69" t="str">
        <f>IF(tech_base!$T61&gt;AD$625,"",(1000*tech_proj!AD1025*(-PMT($J$110,tech_base!$F61,1))+1000*tech_proj!AD1305)/((1-tech_proj!AD465)*tech_proj!AD745*$L$110))</f>
        <v/>
      </c>
      <c r="AE685" s="69">
        <f>IF(tech_base!$T61&gt;AE$625,"",(1000*tech_proj!AE1025*(-PMT($J$110,tech_base!$F61,1))+1000*tech_proj!AE1305)/((1-tech_proj!AE465)*tech_proj!AE745*$L$110))</f>
        <v>167.08874721543796</v>
      </c>
      <c r="AF685" s="69">
        <f>IF(tech_base!$T61&gt;AF$625,"",(1000*tech_proj!AF1025*(-PMT($J$110,tech_base!$F61,1))+1000*tech_proj!AF1305)/((1-tech_proj!AF465)*tech_proj!AF745*$L$110))</f>
        <v>167.02969262669708</v>
      </c>
      <c r="AG685" s="69">
        <f>IF(tech_base!$T61&gt;AG$625,"",(1000*tech_proj!AG1025*(-PMT($J$110,tech_base!$F61,1))+1000*tech_proj!AG1305)/((1-tech_proj!AG465)*tech_proj!AG745*$L$110))</f>
        <v>166.957784317365</v>
      </c>
      <c r="AH685" s="69">
        <f>IF(tech_base!$T61&gt;AH$625,"",(1000*tech_proj!AH1025*(-PMT($J$110,tech_base!$F61,1))+1000*tech_proj!AH1305)/((1-tech_proj!AH465)*tech_proj!AH745*$L$110))</f>
        <v>166.87028358745962</v>
      </c>
      <c r="AI685" s="69">
        <f>IF(tech_base!$T61&gt;AI$625,"",(1000*tech_proj!AI1025*(-PMT($J$110,tech_base!$F61,1))+1000*tech_proj!AI1305)/((1-tech_proj!AI465)*tech_proj!AI745*$L$110))</f>
        <v>166.7638967793437</v>
      </c>
      <c r="AJ685" s="69">
        <f>IF(tech_base!$T61&gt;AJ$625,"",(1000*tech_proj!AJ1025*(-PMT($J$110,tech_base!$F61,1))+1000*tech_proj!AJ1305)/((1-tech_proj!AJ465)*tech_proj!AJ745*$L$110))</f>
        <v>166.63467664311059</v>
      </c>
      <c r="AK685" s="69">
        <f>IF(tech_base!$T61&gt;AK$625,"",(1000*tech_proj!AK1025*(-PMT($J$110,tech_base!$F61,1))+1000*tech_proj!AK1305)/((1-tech_proj!AK465)*tech_proj!AK745*$L$110))</f>
        <v>166.4779129543742</v>
      </c>
      <c r="AL685" s="69">
        <f>IF(tech_base!$T61&gt;AL$625,"",(1000*tech_proj!AL1025*(-PMT($J$110,tech_base!$F61,1))+1000*tech_proj!AL1305)/((1-tech_proj!AL465)*tech_proj!AL745*$L$110))</f>
        <v>166.28801481331968</v>
      </c>
      <c r="AM685" s="69">
        <f>IF(tech_base!$T61&gt;AM$625,"",(1000*tech_proj!AM1025*(-PMT($J$110,tech_base!$F61,1))+1000*tech_proj!AM1305)/((1-tech_proj!AM465)*tech_proj!AM745*$L$110))</f>
        <v>166.05838946642504</v>
      </c>
      <c r="AN685" s="69">
        <f>IF(tech_base!$T61&gt;AN$625,"",(1000*tech_proj!AN1025*(-PMT($J$110,tech_base!$F61,1))+1000*tech_proj!AN1305)/((1-tech_proj!AN465)*tech_proj!AN745*$L$110))</f>
        <v>165.78132600506518</v>
      </c>
      <c r="AO685" s="69">
        <f>IF(tech_base!$T61&gt;AO$625,"",(1000*tech_proj!AO1025*(-PMT($J$110,tech_base!$F61,1))+1000*tech_proj!AO1305)/((1-tech_proj!AO465)*tech_proj!AO745*$L$110))</f>
        <v>165.4478971897336</v>
      </c>
      <c r="AP685" s="69">
        <f>IF(tech_base!$T61&gt;AP$625,"",(1000*tech_proj!AP1025*(-PMT($J$110,tech_base!$F61,1))+1000*tech_proj!AP1305)/((1-tech_proj!AP465)*tech_proj!AP745*$L$110))</f>
        <v>165.04789914480003</v>
      </c>
      <c r="AQ685" s="69">
        <f>IF(tech_base!$T61&gt;AQ$625,"",(1000*tech_proj!AQ1025*(-PMT($J$110,tech_base!$F61,1))+1000*tech_proj!AQ1305)/((1-tech_proj!AQ465)*tech_proj!AQ745*$L$110))</f>
        <v>164.56985678825151</v>
      </c>
      <c r="AR685" s="69">
        <f>IF(tech_base!$T61&gt;AR$625,"",(1000*tech_proj!AR1025*(-PMT($J$110,tech_base!$F61,1))+1000*tech_proj!AR1305)/((1-tech_proj!AR465)*tech_proj!AR745*$L$110))</f>
        <v>164.001132197186</v>
      </c>
      <c r="AS685" s="69">
        <f>IF(tech_base!$T61&gt;AS$625,"",(1000*tech_proj!AS1025*(-PMT($J$110,tech_base!$F61,1))+1000*tech_proj!AS1305)/((1-tech_proj!AS465)*tech_proj!AS745*$L$110))</f>
        <v>163.32818248651327</v>
      </c>
      <c r="AT685" s="69">
        <f>IF(tech_base!$T61&gt;AT$625,"",(1000*tech_proj!AT1025*(-PMT($J$110,tech_base!$F61,1))+1000*tech_proj!AT1305)/((1-tech_proj!AT465)*tech_proj!AT745*$L$110))</f>
        <v>162.53702081488632</v>
      </c>
      <c r="AU685" s="69">
        <f>IF(tech_base!$T61&gt;AU$625,"",(1000*tech_proj!AU1025*(-PMT($J$110,tech_base!$F61,1))+1000*tech_proj!AU1305)/((1-tech_proj!AU465)*tech_proj!AU745*$L$110))</f>
        <v>161.61393482422253</v>
      </c>
      <c r="AV685" s="69">
        <f>IF(tech_base!$T61&gt;AV$625,"",(1000*tech_proj!AV1025*(-PMT($J$110,tech_base!$F61,1))+1000*tech_proj!AV1305)/((1-tech_proj!AV465)*tech_proj!AV745*$L$110))</f>
        <v>160.54650539768969</v>
      </c>
      <c r="AW685" s="69">
        <f>IF(tech_base!$T61&gt;AW$625,"",(1000*tech_proj!AW1025*(-PMT($J$110,tech_base!$F61,1))+1000*tech_proj!AW1305)/((1-tech_proj!AW465)*tech_proj!AW745*$L$110))</f>
        <v>159.32493815778844</v>
      </c>
      <c r="AX685" s="235">
        <f>IF(tech_base!$T61&gt;AX$625,"",(1000*tech_proj!AX1025*(-PMT($J$110,tech_base!$F61,1))+1000*tech_proj!AX1305)/((1-tech_proj!AX465)*tech_proj!AX745*$L$110))</f>
        <v>157.94366452019733</v>
      </c>
      <c r="AY685" s="133"/>
    </row>
    <row r="686" spans="1:51" s="174" customFormat="1" x14ac:dyDescent="0.25">
      <c r="A686" s="356"/>
      <c r="B686" s="380"/>
      <c r="C686" s="381"/>
      <c r="D686" s="4" t="s">
        <v>8</v>
      </c>
      <c r="E686" s="168" t="str">
        <f>A671&amp;"/"&amp;B679&amp;"/"&amp;C685&amp;"/"&amp;D686</f>
        <v>Lignite fired power plants/Supercritical steam turbine/CHP with CCS/M</v>
      </c>
      <c r="F686" s="80" t="str">
        <f>A671</f>
        <v>Lignite fired power plants</v>
      </c>
      <c r="G686" s="80" t="str">
        <f>B679</f>
        <v>Supercritical steam turbine</v>
      </c>
      <c r="H686" s="80" t="str">
        <f>C685</f>
        <v>CHP with CCS</v>
      </c>
      <c r="I686" s="169" t="str">
        <f t="shared" si="362"/>
        <v>M</v>
      </c>
      <c r="J686" s="73" t="str">
        <f>IF(tech_base!$T62&gt;J$625,"",(1000*tech_proj!J1026*(-PMT($J$110,tech_base!$F62,1))+1000*tech_proj!J1306)/((1-tech_proj!J466)*tech_proj!J746*$L$110))</f>
        <v/>
      </c>
      <c r="K686" s="73" t="str">
        <f>IF(tech_base!$T62&gt;K$625,"",(1000*tech_proj!K1026*(-PMT($J$110,tech_base!$F62,1))+1000*tech_proj!K1306)/((1-tech_proj!K466)*tech_proj!K746*$L$110))</f>
        <v/>
      </c>
      <c r="L686" s="73" t="str">
        <f>IF(tech_base!$T62&gt;L$625,"",(1000*tech_proj!L1026*(-PMT($J$110,tech_base!$F62,1))+1000*tech_proj!L1306)/((1-tech_proj!L466)*tech_proj!L746*$L$110))</f>
        <v/>
      </c>
      <c r="M686" s="73" t="str">
        <f>IF(tech_base!$T62&gt;M$625,"",(1000*tech_proj!M1026*(-PMT($J$110,tech_base!$F62,1))+1000*tech_proj!M1306)/((1-tech_proj!M466)*tech_proj!M746*$L$110))</f>
        <v/>
      </c>
      <c r="N686" s="73" t="str">
        <f>IF(tech_base!$T62&gt;N$625,"",(1000*tech_proj!N1026*(-PMT($J$110,tech_base!$F62,1))+1000*tech_proj!N1306)/((1-tech_proj!N466)*tech_proj!N746*$L$110))</f>
        <v/>
      </c>
      <c r="O686" s="73" t="str">
        <f>IF(tech_base!$T62&gt;O$625,"",(1000*tech_proj!O1026*(-PMT($J$110,tech_base!$F62,1))+1000*tech_proj!O1306)/((1-tech_proj!O466)*tech_proj!O746*$L$110))</f>
        <v/>
      </c>
      <c r="P686" s="73" t="str">
        <f>IF(tech_base!$T62&gt;P$625,"",(1000*tech_proj!P1026*(-PMT($J$110,tech_base!$F62,1))+1000*tech_proj!P1306)/((1-tech_proj!P466)*tech_proj!P746*$L$110))</f>
        <v/>
      </c>
      <c r="Q686" s="73" t="str">
        <f>IF(tech_base!$T62&gt;Q$625,"",(1000*tech_proj!Q1026*(-PMT($J$110,tech_base!$F62,1))+1000*tech_proj!Q1306)/((1-tech_proj!Q466)*tech_proj!Q746*$L$110))</f>
        <v/>
      </c>
      <c r="R686" s="73" t="str">
        <f>IF(tech_base!$T62&gt;R$625,"",(1000*tech_proj!R1026*(-PMT($J$110,tech_base!$F62,1))+1000*tech_proj!R1306)/((1-tech_proj!R466)*tech_proj!R746*$L$110))</f>
        <v/>
      </c>
      <c r="S686" s="73" t="str">
        <f>IF(tech_base!$T62&gt;S$625,"",(1000*tech_proj!S1026*(-PMT($J$110,tech_base!$F62,1))+1000*tech_proj!S1306)/((1-tech_proj!S466)*tech_proj!S746*$L$110))</f>
        <v/>
      </c>
      <c r="T686" s="73" t="str">
        <f>IF(tech_base!$T62&gt;T$625,"",(1000*tech_proj!T1026*(-PMT($J$110,tech_base!$F62,1))+1000*tech_proj!T1306)/((1-tech_proj!T466)*tech_proj!T746*$L$110))</f>
        <v/>
      </c>
      <c r="U686" s="73" t="str">
        <f>IF(tech_base!$T62&gt;U$625,"",(1000*tech_proj!U1026*(-PMT($J$110,tech_base!$F62,1))+1000*tech_proj!U1306)/((1-tech_proj!U466)*tech_proj!U746*$L$110))</f>
        <v/>
      </c>
      <c r="V686" s="73" t="str">
        <f>IF(tech_base!$T62&gt;V$625,"",(1000*tech_proj!V1026*(-PMT($J$110,tech_base!$F62,1))+1000*tech_proj!V1306)/((1-tech_proj!V466)*tech_proj!V746*$L$110))</f>
        <v/>
      </c>
      <c r="W686" s="73" t="str">
        <f>IF(tech_base!$T62&gt;W$625,"",(1000*tech_proj!W1026*(-PMT($J$110,tech_base!$F62,1))+1000*tech_proj!W1306)/((1-tech_proj!W466)*tech_proj!W746*$L$110))</f>
        <v/>
      </c>
      <c r="X686" s="73" t="str">
        <f>IF(tech_base!$T62&gt;X$625,"",(1000*tech_proj!X1026*(-PMT($J$110,tech_base!$F62,1))+1000*tech_proj!X1306)/((1-tech_proj!X466)*tech_proj!X746*$L$110))</f>
        <v/>
      </c>
      <c r="Y686" s="73" t="str">
        <f>IF(tech_base!$T62&gt;Y$625,"",(1000*tech_proj!Y1026*(-PMT($J$110,tech_base!$F62,1))+1000*tech_proj!Y1306)/((1-tech_proj!Y466)*tech_proj!Y746*$L$110))</f>
        <v/>
      </c>
      <c r="Z686" s="73" t="str">
        <f>IF(tech_base!$T62&gt;Z$625,"",(1000*tech_proj!Z1026*(-PMT($J$110,tech_base!$F62,1))+1000*tech_proj!Z1306)/((1-tech_proj!Z466)*tech_proj!Z746*$L$110))</f>
        <v/>
      </c>
      <c r="AA686" s="73" t="str">
        <f>IF(tech_base!$T62&gt;AA$625,"",(1000*tech_proj!AA1026*(-PMT($J$110,tech_base!$F62,1))+1000*tech_proj!AA1306)/((1-tech_proj!AA466)*tech_proj!AA746*$L$110))</f>
        <v/>
      </c>
      <c r="AB686" s="73" t="str">
        <f>IF(tech_base!$T62&gt;AB$625,"",(1000*tech_proj!AB1026*(-PMT($J$110,tech_base!$F62,1))+1000*tech_proj!AB1306)/((1-tech_proj!AB466)*tech_proj!AB746*$L$110))</f>
        <v/>
      </c>
      <c r="AC686" s="73" t="str">
        <f>IF(tech_base!$T62&gt;AC$625,"",(1000*tech_proj!AC1026*(-PMT($J$110,tech_base!$F62,1))+1000*tech_proj!AC1306)/((1-tech_proj!AC466)*tech_proj!AC746*$L$110))</f>
        <v/>
      </c>
      <c r="AD686" s="73" t="str">
        <f>IF(tech_base!$T62&gt;AD$625,"",(1000*tech_proj!AD1026*(-PMT($J$110,tech_base!$F62,1))+1000*tech_proj!AD1306)/((1-tech_proj!AD466)*tech_proj!AD746*$L$110))</f>
        <v/>
      </c>
      <c r="AE686" s="73">
        <f>IF(tech_base!$T62&gt;AE$625,"",(1000*tech_proj!AE1026*(-PMT($J$110,tech_base!$F62,1))+1000*tech_proj!AE1306)/((1-tech_proj!AE466)*tech_proj!AE746*$L$110))</f>
        <v>182.73423421671211</v>
      </c>
      <c r="AF686" s="73">
        <f>IF(tech_base!$T62&gt;AF$625,"",(1000*tech_proj!AF1026*(-PMT($J$110,tech_base!$F62,1))+1000*tech_proj!AF1306)/((1-tech_proj!AF466)*tech_proj!AF746*$L$110))</f>
        <v>182.69836531245818</v>
      </c>
      <c r="AG686" s="73">
        <f>IF(tech_base!$T62&gt;AG$625,"",(1000*tech_proj!AG1026*(-PMT($J$110,tech_base!$F62,1))+1000*tech_proj!AG1306)/((1-tech_proj!AG466)*tech_proj!AG746*$L$110))</f>
        <v>182.65238109230705</v>
      </c>
      <c r="AH686" s="73">
        <f>IF(tech_base!$T62&gt;AH$625,"",(1000*tech_proj!AH1026*(-PMT($J$110,tech_base!$F62,1))+1000*tech_proj!AH1306)/((1-tech_proj!AH466)*tech_proj!AH746*$L$110))</f>
        <v>182.59345518678685</v>
      </c>
      <c r="AI686" s="73">
        <f>IF(tech_base!$T62&gt;AI$625,"",(1000*tech_proj!AI1026*(-PMT($J$110,tech_base!$F62,1))+1000*tech_proj!AI1306)/((1-tech_proj!AI466)*tech_proj!AI746*$L$110))</f>
        <v>182.51798837976835</v>
      </c>
      <c r="AJ686" s="73">
        <f>IF(tech_base!$T62&gt;AJ$625,"",(1000*tech_proj!AJ1026*(-PMT($J$110,tech_base!$F62,1))+1000*tech_proj!AJ1306)/((1-tech_proj!AJ466)*tech_proj!AJ746*$L$110))</f>
        <v>182.42140813019344</v>
      </c>
      <c r="AK686" s="73">
        <f>IF(tech_base!$T62&gt;AK$625,"",(1000*tech_proj!AK1026*(-PMT($J$110,tech_base!$F62,1))+1000*tech_proj!AK1306)/((1-tech_proj!AK466)*tech_proj!AK746*$L$110))</f>
        <v>182.29792308507317</v>
      </c>
      <c r="AL686" s="73">
        <f>IF(tech_base!$T62&gt;AL$625,"",(1000*tech_proj!AL1026*(-PMT($J$110,tech_base!$F62,1))+1000*tech_proj!AL1306)/((1-tech_proj!AL466)*tech_proj!AL746*$L$110))</f>
        <v>182.14022709186236</v>
      </c>
      <c r="AM686" s="73">
        <f>IF(tech_base!$T62&gt;AM$625,"",(1000*tech_proj!AM1026*(-PMT($J$110,tech_base!$F62,1))+1000*tech_proj!AM1306)/((1-tech_proj!AM466)*tech_proj!AM746*$L$110))</f>
        <v>181.93914990776614</v>
      </c>
      <c r="AN686" s="73">
        <f>IF(tech_base!$T62&gt;AN$625,"",(1000*tech_proj!AN1026*(-PMT($J$110,tech_base!$F62,1))+1000*tech_proj!AN1306)/((1-tech_proj!AN466)*tech_proj!AN746*$L$110))</f>
        <v>181.6832575099609</v>
      </c>
      <c r="AO686" s="73">
        <f>IF(tech_base!$T62&gt;AO$625,"",(1000*tech_proj!AO1026*(-PMT($J$110,tech_base!$F62,1))+1000*tech_proj!AO1306)/((1-tech_proj!AO466)*tech_proj!AO746*$L$110))</f>
        <v>181.3584154451525</v>
      </c>
      <c r="AP686" s="73">
        <f>IF(tech_base!$T62&gt;AP$625,"",(1000*tech_proj!AP1026*(-PMT($J$110,tech_base!$F62,1))+1000*tech_proj!AP1306)/((1-tech_proj!AP466)*tech_proj!AP746*$L$110))</f>
        <v>180.94734648363593</v>
      </c>
      <c r="AQ686" s="73">
        <f>IF(tech_base!$T62&gt;AQ$625,"",(1000*tech_proj!AQ1026*(-PMT($J$110,tech_base!$F62,1))+1000*tech_proj!AQ1306)/((1-tech_proj!AQ466)*tech_proj!AQ746*$L$110))</f>
        <v>180.42924195096262</v>
      </c>
      <c r="AR686" s="73">
        <f>IF(tech_base!$T62&gt;AR$625,"",(1000*tech_proj!AR1026*(-PMT($J$110,tech_base!$F62,1))+1000*tech_proj!AR1306)/((1-tech_proj!AR466)*tech_proj!AR746*$L$110))</f>
        <v>179.77952738063846</v>
      </c>
      <c r="AS686" s="73">
        <f>IF(tech_base!$T62&gt;AS$625,"",(1000*tech_proj!AS1026*(-PMT($J$110,tech_base!$F62,1))+1000*tech_proj!AS1306)/((1-tech_proj!AS466)*tech_proj!AS746*$L$110))</f>
        <v>178.96993870403929</v>
      </c>
      <c r="AT686" s="73">
        <f>IF(tech_base!$T62&gt;AT$625,"",(1000*tech_proj!AT1026*(-PMT($J$110,tech_base!$F62,1))+1000*tech_proj!AT1306)/((1-tech_proj!AT466)*tech_proj!AT746*$L$110))</f>
        <v>177.96913116410795</v>
      </c>
      <c r="AU686" s="73">
        <f>IF(tech_base!$T62&gt;AU$625,"",(1000*tech_proj!AU1026*(-PMT($J$110,tech_base!$F62,1))+1000*tech_proj!AU1306)/((1-tech_proj!AU466)*tech_proj!AU746*$L$110))</f>
        <v>176.74410505892556</v>
      </c>
      <c r="AV686" s="73">
        <f>IF(tech_base!$T62&gt;AV$625,"",(1000*tech_proj!AV1026*(-PMT($J$110,tech_base!$F62,1))+1000*tech_proj!AV1306)/((1-tech_proj!AV466)*tech_proj!AV746*$L$110))</f>
        <v>175.262758171999</v>
      </c>
      <c r="AW686" s="73">
        <f>IF(tech_base!$T62&gt;AW$625,"",(1000*tech_proj!AW1026*(-PMT($J$110,tech_base!$F62,1))+1000*tech_proj!AW1306)/((1-tech_proj!AW466)*tech_proj!AW746*$L$110))</f>
        <v>173.49780934327316</v>
      </c>
      <c r="AX686" s="239">
        <f>IF(tech_base!$T62&gt;AX$625,"",(1000*tech_proj!AX1026*(-PMT($J$110,tech_base!$F62,1))+1000*tech_proj!AX1306)/((1-tech_proj!AX466)*tech_proj!AX746*$L$110))</f>
        <v>171.43210886016121</v>
      </c>
      <c r="AY686" s="133"/>
    </row>
    <row r="687" spans="1:51" s="174" customFormat="1" x14ac:dyDescent="0.25">
      <c r="A687" s="356"/>
      <c r="B687" s="358" t="s">
        <v>18</v>
      </c>
      <c r="C687" s="353" t="s">
        <v>6</v>
      </c>
      <c r="D687" s="3" t="s">
        <v>7</v>
      </c>
      <c r="E687" s="162" t="str">
        <f>A671&amp;"/"&amp;B687&amp;"/"&amp;C687&amp;"/"&amp;D687</f>
        <v>Lignite fired power plants/Fluidized bed combustion/Electricity only/L</v>
      </c>
      <c r="F687" s="77" t="str">
        <f>A671</f>
        <v>Lignite fired power plants</v>
      </c>
      <c r="G687" s="77" t="str">
        <f>B687</f>
        <v>Fluidized bed combustion</v>
      </c>
      <c r="H687" s="77" t="str">
        <f>C687</f>
        <v>Electricity only</v>
      </c>
      <c r="I687" s="163" t="str">
        <f t="shared" si="362"/>
        <v>L</v>
      </c>
      <c r="J687" s="70">
        <f>IF(tech_base!$T63&gt;J$625,"",(1000*tech_proj!J1027*(-PMT($J$110,tech_base!$F63,1))+1000*tech_proj!J1307)/((1-tech_proj!J467)*tech_proj!J747*$L$110))</f>
        <v>60.564020560246263</v>
      </c>
      <c r="K687" s="70">
        <f>IF(tech_base!$T63&gt;K$625,"",(1000*tech_proj!K1027*(-PMT($J$110,tech_base!$F63,1))+1000*tech_proj!K1307)/((1-tech_proj!K467)*tech_proj!K747*$L$110))</f>
        <v>60.561586030346582</v>
      </c>
      <c r="L687" s="70">
        <f>IF(tech_base!$T63&gt;L$625,"",(1000*tech_proj!L1027*(-PMT($J$110,tech_base!$F63,1))+1000*tech_proj!L1307)/((1-tech_proj!L467)*tech_proj!L747*$L$110))</f>
        <v>60.558613521277884</v>
      </c>
      <c r="M687" s="70">
        <f>IF(tech_base!$T63&gt;M$625,"",(1000*tech_proj!M1027*(-PMT($J$110,tech_base!$F63,1))+1000*tech_proj!M1307)/((1-tech_proj!M467)*tech_proj!M747*$L$110))</f>
        <v>60.554984429994256</v>
      </c>
      <c r="N687" s="70">
        <f>IF(tech_base!$T63&gt;N$625,"",(1000*tech_proj!N1027*(-PMT($J$110,tech_base!$F63,1))+1000*tech_proj!N1307)/((1-tech_proj!N467)*tech_proj!N747*$L$110))</f>
        <v>60.550554143147259</v>
      </c>
      <c r="O687" s="70">
        <f>IF(tech_base!$T63&gt;O$625,"",(1000*tech_proj!O1027*(-PMT($J$110,tech_base!$F63,1))+1000*tech_proj!O1307)/((1-tech_proj!O467)*tech_proj!O747*$L$110))</f>
        <v>60.545146400153271</v>
      </c>
      <c r="P687" s="70">
        <f>IF(tech_base!$T63&gt;P$625,"",(1000*tech_proj!P1027*(-PMT($J$110,tech_base!$F63,1))+1000*tech_proj!P1307)/((1-tech_proj!P467)*tech_proj!P747*$L$110))</f>
        <v>60.538546467719939</v>
      </c>
      <c r="Q687" s="70">
        <f>IF(tech_base!$T63&gt;Q$625,"",(1000*tech_proj!Q1027*(-PMT($J$110,tech_base!$F63,1))+1000*tech_proj!Q1307)/((1-tech_proj!Q467)*tech_proj!Q747*$L$110))</f>
        <v>60.530492891598769</v>
      </c>
      <c r="R687" s="70">
        <f>IF(tech_base!$T63&gt;R$625,"",(1000*tech_proj!R1027*(-PMT($J$110,tech_base!$F63,1))+1000*tech_proj!R1307)/((1-tech_proj!R467)*tech_proj!R747*$L$110))</f>
        <v>60.520667553410078</v>
      </c>
      <c r="S687" s="70">
        <f>IF(tech_base!$T63&gt;S$625,"",(1000*tech_proj!S1027*(-PMT($J$110,tech_base!$F63,1))+1000*tech_proj!S1307)/((1-tech_proj!S467)*tech_proj!S747*$L$110))</f>
        <v>60.508683720694194</v>
      </c>
      <c r="T687" s="70">
        <f>IF(tech_base!$T63&gt;T$625,"",(1000*tech_proj!T1027*(-PMT($J$110,tech_base!$F63,1))+1000*tech_proj!T1307)/((1-tech_proj!T467)*tech_proj!T747*$L$110))</f>
        <v>60.494071739562919</v>
      </c>
      <c r="U687" s="70">
        <f>IF(tech_base!$T63&gt;U$625,"",(1000*tech_proj!U1027*(-PMT($J$110,tech_base!$F63,1))+1000*tech_proj!U1307)/((1-tech_proj!U467)*tech_proj!U747*$L$110))</f>
        <v>60.47626198609391</v>
      </c>
      <c r="V687" s="70">
        <f>IF(tech_base!$T63&gt;V$625,"",(1000*tech_proj!V1027*(-PMT($J$110,tech_base!$F63,1))+1000*tech_proj!V1307)/((1-tech_proj!V467)*tech_proj!V747*$L$110))</f>
        <v>60.454564672508162</v>
      </c>
      <c r="W687" s="70">
        <f>IF(tech_base!$T63&gt;W$625,"",(1000*tech_proj!W1027*(-PMT($J$110,tech_base!$F63,1))+1000*tech_proj!W1307)/((1-tech_proj!W467)*tech_proj!W747*$L$110))</f>
        <v>60.428146109105981</v>
      </c>
      <c r="X687" s="70">
        <f>IF(tech_base!$T63&gt;X$625,"",(1000*tech_proj!X1027*(-PMT($J$110,tech_base!$F63,1))+1000*tech_proj!X1307)/((1-tech_proj!X467)*tech_proj!X747*$L$110))</f>
        <v>60.396001071031797</v>
      </c>
      <c r="Y687" s="70">
        <f>IF(tech_base!$T63&gt;Y$625,"",(1000*tech_proj!Y1027*(-PMT($J$110,tech_base!$F63,1))+1000*tech_proj!Y1307)/((1-tech_proj!Y467)*tech_proj!Y747*$L$110))</f>
        <v>60.356921037033253</v>
      </c>
      <c r="Z687" s="70">
        <f>IF(tech_base!$T63&gt;Z$625,"",(1000*tech_proj!Z1027*(-PMT($J$110,tech_base!$F63,1))+1000*tech_proj!Z1307)/((1-tech_proj!Z467)*tech_proj!Z747*$L$110))</f>
        <v>60.309458294137883</v>
      </c>
      <c r="AA687" s="70">
        <f>IF(tech_base!$T63&gt;AA$625,"",(1000*tech_proj!AA1027*(-PMT($J$110,tech_base!$F63,1))+1000*tech_proj!AA1307)/((1-tech_proj!AA467)*tech_proj!AA747*$L$110))</f>
        <v>60.251886291678318</v>
      </c>
      <c r="AB687" s="70">
        <f>IF(tech_base!$T63&gt;AB$625,"",(1000*tech_proj!AB1027*(-PMT($J$110,tech_base!$F63,1))+1000*tech_proj!AB1307)/((1-tech_proj!AB467)*tech_proj!AB747*$L$110))</f>
        <v>60.182157253397001</v>
      </c>
      <c r="AC687" s="70">
        <f>IF(tech_base!$T63&gt;AC$625,"",(1000*tech_proj!AC1027*(-PMT($J$110,tech_base!$F63,1))+1000*tech_proj!AC1307)/((1-tech_proj!AC467)*tech_proj!AC747*$L$110))</f>
        <v>60.097859011712195</v>
      </c>
      <c r="AD687" s="70">
        <f>IF(tech_base!$T63&gt;AD$625,"",(1000*tech_proj!AD1027*(-PMT($J$110,tech_base!$F63,1))+1000*tech_proj!AD1307)/((1-tech_proj!AD467)*tech_proj!AD747*$L$110))</f>
        <v>59.996174427592472</v>
      </c>
      <c r="AE687" s="70">
        <f>IF(tech_base!$T63&gt;AE$625,"",(1000*tech_proj!AE1027*(-PMT($J$110,tech_base!$F63,1))+1000*tech_proj!AE1307)/((1-tech_proj!AE467)*tech_proj!AE747*$L$110))</f>
        <v>59.873848726834368</v>
      </c>
      <c r="AF687" s="70">
        <f>IF(tech_base!$T63&gt;AF$625,"",(1000*tech_proj!AF1027*(-PMT($J$110,tech_base!$F63,1))+1000*tech_proj!AF1307)/((1-tech_proj!AF467)*tech_proj!AF747*$L$110))</f>
        <v>59.72717272756654</v>
      </c>
      <c r="AG687" s="70">
        <f>IF(tech_base!$T63&gt;AG$625,"",(1000*tech_proj!AG1027*(-PMT($J$110,tech_base!$F63,1))+1000*tech_proj!AG1307)/((1-tech_proj!AG467)*tech_proj!AG747*$L$110))</f>
        <v>59.551993296223529</v>
      </c>
      <c r="AH687" s="70">
        <f>IF(tech_base!$T63&gt;AH$625,"",(1000*tech_proj!AH1027*(-PMT($J$110,tech_base!$F63,1))+1000*tech_proj!AH1307)/((1-tech_proj!AH467)*tech_proj!AH747*$L$110))</f>
        <v>59.343766332443984</v>
      </c>
      <c r="AI687" s="70">
        <f>IF(tech_base!$T63&gt;AI$625,"",(1000*tech_proj!AI1027*(-PMT($J$110,tech_base!$F63,1))+1000*tech_proj!AI1307)/((1-tech_proj!AI467)*tech_proj!AI747*$L$110))</f>
        <v>59.097671723725533</v>
      </c>
      <c r="AJ687" s="70">
        <f>IF(tech_base!$T63&gt;AJ$625,"",(1000*tech_proj!AJ1027*(-PMT($J$110,tech_base!$F63,1))+1000*tech_proj!AJ1307)/((1-tech_proj!AJ467)*tech_proj!AJ747*$L$110))</f>
        <v>58.808813093642883</v>
      </c>
      <c r="AK687" s="70">
        <f>IF(tech_base!$T63&gt;AK$625,"",(1000*tech_proj!AK1027*(-PMT($J$110,tech_base!$F63,1))+1000*tech_proj!AK1307)/((1-tech_proj!AK467)*tech_proj!AK747*$L$110))</f>
        <v>58.47252611141959</v>
      </c>
      <c r="AL687" s="70">
        <f>IF(tech_base!$T63&gt;AL$625,"",(1000*tech_proj!AL1027*(-PMT($J$110,tech_base!$F63,1))+1000*tech_proj!AL1307)/((1-tech_proj!AL467)*tech_proj!AL747*$L$110))</f>
        <v>58.084815032165757</v>
      </c>
      <c r="AM687" s="70">
        <f>IF(tech_base!$T63&gt;AM$625,"",(1000*tech_proj!AM1027*(-PMT($J$110,tech_base!$F63,1))+1000*tech_proj!AM1307)/((1-tech_proj!AM467)*tech_proj!AM747*$L$110))</f>
        <v>57.642924557965124</v>
      </c>
      <c r="AN687" s="70">
        <f>IF(tech_base!$T63&gt;AN$625,"",(1000*tech_proj!AN1027*(-PMT($J$110,tech_base!$F63,1))+1000*tech_proj!AN1307)/((1-tech_proj!AN467)*tech_proj!AN747*$L$110))</f>
        <v>57.146029458283181</v>
      </c>
      <c r="AO687" s="70">
        <f>IF(tech_base!$T63&gt;AO$625,"",(1000*tech_proj!AO1027*(-PMT($J$110,tech_base!$F63,1))+1000*tech_proj!AO1307)/((1-tech_proj!AO467)*tech_proj!AO747*$L$110))</f>
        <v>56.595985588708075</v>
      </c>
      <c r="AP687" s="70">
        <f>IF(tech_base!$T63&gt;AP$625,"",(1000*tech_proj!AP1027*(-PMT($J$110,tech_base!$F63,1))+1000*tech_proj!AP1307)/((1-tech_proj!AP467)*tech_proj!AP747*$L$110))</f>
        <v>55.998035296179332</v>
      </c>
      <c r="AQ687" s="70">
        <f>IF(tech_base!$T63&gt;AQ$625,"",(1000*tech_proj!AQ1027*(-PMT($J$110,tech_base!$F63,1))+1000*tech_proj!AQ1307)/((1-tech_proj!AQ467)*tech_proj!AQ747*$L$110))</f>
        <v>55.361307859414588</v>
      </c>
      <c r="AR687" s="70">
        <f>IF(tech_base!$T63&gt;AR$625,"",(1000*tech_proj!AR1027*(-PMT($J$110,tech_base!$F63,1))+1000*tech_proj!AR1307)/((1-tech_proj!AR467)*tech_proj!AR747*$L$110))</f>
        <v>54.698921813605601</v>
      </c>
      <c r="AS687" s="70">
        <f>IF(tech_base!$T63&gt;AS$625,"",(1000*tech_proj!AS1027*(-PMT($J$110,tech_base!$F63,1))+1000*tech_proj!AS1307)/((1-tech_proj!AS467)*tech_proj!AS747*$L$110))</f>
        <v>54.027508509020549</v>
      </c>
      <c r="AT687" s="70">
        <f>IF(tech_base!$T63&gt;AT$625,"",(1000*tech_proj!AT1027*(-PMT($J$110,tech_base!$F63,1))+1000*tech_proj!AT1307)/((1-tech_proj!AT467)*tech_proj!AT747*$L$110))</f>
        <v>53.366059709724986</v>
      </c>
      <c r="AU687" s="70">
        <f>IF(tech_base!$T63&gt;AU$625,"",(1000*tech_proj!AU1027*(-PMT($J$110,tech_base!$F63,1))+1000*tech_proj!AU1307)/((1-tech_proj!AU467)*tech_proj!AU747*$L$110))</f>
        <v>52.734159814152541</v>
      </c>
      <c r="AV687" s="70">
        <f>IF(tech_base!$T63&gt;AV$625,"",(1000*tech_proj!AV1027*(-PMT($J$110,tech_base!$F63,1))+1000*tech_proj!AV1307)/((1-tech_proj!AV467)*tech_proj!AV747*$L$110))</f>
        <v>52.149860362414472</v>
      </c>
      <c r="AW687" s="70">
        <f>IF(tech_base!$T63&gt;AW$625,"",(1000*tech_proj!AW1027*(-PMT($J$110,tech_base!$F63,1))+1000*tech_proj!AW1307)/((1-tech_proj!AW467)*tech_proj!AW747*$L$110))</f>
        <v>51.627617314214447</v>
      </c>
      <c r="AX687" s="236">
        <f>IF(tech_base!$T63&gt;AX$625,"",(1000*tech_proj!AX1027*(-PMT($J$110,tech_base!$F63,1))+1000*tech_proj!AX1307)/((1-tech_proj!AX467)*tech_proj!AX747*$L$110))</f>
        <v>51.176756599599017</v>
      </c>
      <c r="AY687" s="133"/>
    </row>
    <row r="688" spans="1:51" s="174" customFormat="1" x14ac:dyDescent="0.25">
      <c r="A688" s="356"/>
      <c r="B688" s="376"/>
      <c r="C688" s="350"/>
      <c r="D688" s="2" t="s">
        <v>8</v>
      </c>
      <c r="E688" s="160" t="str">
        <f>A671&amp;"/"&amp;B687&amp;"/"&amp;C687&amp;"/"&amp;D688</f>
        <v>Lignite fired power plants/Fluidized bed combustion/Electricity only/M</v>
      </c>
      <c r="F688" s="76" t="str">
        <f>A671</f>
        <v>Lignite fired power plants</v>
      </c>
      <c r="G688" s="76" t="str">
        <f>B687</f>
        <v>Fluidized bed combustion</v>
      </c>
      <c r="H688" s="76" t="str">
        <f>C687</f>
        <v>Electricity only</v>
      </c>
      <c r="I688" s="161" t="str">
        <f t="shared" si="362"/>
        <v>M</v>
      </c>
      <c r="J688" s="69">
        <f>IF(tech_base!$T64&gt;J$625,"",(1000*tech_proj!J1028*(-PMT($J$110,tech_base!$F64,1))+1000*tech_proj!J1308)/((1-tech_proj!J468)*tech_proj!J748*$L$110))</f>
        <v>65.892680630270874</v>
      </c>
      <c r="K688" s="69">
        <f>IF(tech_base!$T64&gt;K$625,"",(1000*tech_proj!K1028*(-PMT($J$110,tech_base!$F64,1))+1000*tech_proj!K1308)/((1-tech_proj!K468)*tech_proj!K748*$L$110))</f>
        <v>65.887389973795379</v>
      </c>
      <c r="L688" s="69">
        <f>IF(tech_base!$T64&gt;L$625,"",(1000*tech_proj!L1028*(-PMT($J$110,tech_base!$F64,1))+1000*tech_proj!L1308)/((1-tech_proj!L468)*tech_proj!L748*$L$110))</f>
        <v>65.881091517962588</v>
      </c>
      <c r="M688" s="69">
        <f>IF(tech_base!$T64&gt;M$625,"",(1000*tech_proj!M1028*(-PMT($J$110,tech_base!$F64,1))+1000*tech_proj!M1308)/((1-tech_proj!M468)*tech_proj!M748*$L$110))</f>
        <v>65.873594203823274</v>
      </c>
      <c r="N688" s="69">
        <f>IF(tech_base!$T64&gt;N$625,"",(1000*tech_proj!N1028*(-PMT($J$110,tech_base!$F64,1))+1000*tech_proj!N1308)/((1-tech_proj!N468)*tech_proj!N748*$L$110))</f>
        <v>65.864671133083121</v>
      </c>
      <c r="O688" s="69">
        <f>IF(tech_base!$T64&gt;O$625,"",(1000*tech_proj!O1028*(-PMT($J$110,tech_base!$F64,1))+1000*tech_proj!O1308)/((1-tech_proj!O468)*tech_proj!O748*$L$110))</f>
        <v>65.854053004817033</v>
      </c>
      <c r="P688" s="69">
        <f>IF(tech_base!$T64&gt;P$625,"",(1000*tech_proj!P1028*(-PMT($J$110,tech_base!$F64,1))+1000*tech_proj!P1308)/((1-tech_proj!P468)*tech_proj!P748*$L$110))</f>
        <v>65.841420417168905</v>
      </c>
      <c r="Q688" s="69">
        <f>IF(tech_base!$T64&gt;Q$625,"",(1000*tech_proj!Q1028*(-PMT($J$110,tech_base!$F64,1))+1000*tech_proj!Q1308)/((1-tech_proj!Q468)*tech_proj!Q748*$L$110))</f>
        <v>65.826394866176145</v>
      </c>
      <c r="R688" s="69">
        <f>IF(tech_base!$T64&gt;R$625,"",(1000*tech_proj!R1028*(-PMT($J$110,tech_base!$F64,1))+1000*tech_proj!R1308)/((1-tech_proj!R468)*tech_proj!R748*$L$110))</f>
        <v>65.808528261585522</v>
      </c>
      <c r="S688" s="69">
        <f>IF(tech_base!$T64&gt;S$625,"",(1000*tech_proj!S1028*(-PMT($J$110,tech_base!$F64,1))+1000*tech_proj!S1308)/((1-tech_proj!S468)*tech_proj!S748*$L$110))</f>
        <v>65.787290772684628</v>
      </c>
      <c r="T688" s="69">
        <f>IF(tech_base!$T64&gt;T$625,"",(1000*tech_proj!T1028*(-PMT($J$110,tech_base!$F64,1))+1000*tech_proj!T1308)/((1-tech_proj!T468)*tech_proj!T748*$L$110))</f>
        <v>65.762056819697236</v>
      </c>
      <c r="U688" s="69">
        <f>IF(tech_base!$T64&gt;U$625,"",(1000*tech_proj!U1028*(-PMT($J$110,tech_base!$F64,1))+1000*tech_proj!U1308)/((1-tech_proj!U468)*tech_proj!U748*$L$110))</f>
        <v>65.732089043859986</v>
      </c>
      <c r="V688" s="69">
        <f>IF(tech_base!$T64&gt;V$625,"",(1000*tech_proj!V1028*(-PMT($J$110,tech_base!$F64,1))+1000*tech_proj!V1308)/((1-tech_proj!V468)*tech_proj!V748*$L$110))</f>
        <v>65.696520129903504</v>
      </c>
      <c r="W688" s="69">
        <f>IF(tech_base!$T64&gt;W$625,"",(1000*tech_proj!W1028*(-PMT($J$110,tech_base!$F64,1))+1000*tech_proj!W1308)/((1-tech_proj!W468)*tech_proj!W748*$L$110))</f>
        <v>65.654332429350006</v>
      </c>
      <c r="X688" s="69">
        <f>IF(tech_base!$T64&gt;X$625,"",(1000*tech_proj!X1028*(-PMT($J$110,tech_base!$F64,1))+1000*tech_proj!X1308)/((1-tech_proj!X468)*tech_proj!X748*$L$110))</f>
        <v>65.604335456715589</v>
      </c>
      <c r="Y688" s="69">
        <f>IF(tech_base!$T64&gt;Y$625,"",(1000*tech_proj!Y1028*(-PMT($J$110,tech_base!$F64,1))+1000*tech_proj!Y1308)/((1-tech_proj!Y468)*tech_proj!Y748*$L$110))</f>
        <v>65.545141522990619</v>
      </c>
      <c r="Z688" s="69">
        <f>IF(tech_base!$T64&gt;Z$625,"",(1000*tech_proj!Z1028*(-PMT($J$110,tech_base!$F64,1))+1000*tech_proj!Z1308)/((1-tech_proj!Z468)*tech_proj!Z748*$L$110))</f>
        <v>65.475140056711624</v>
      </c>
      <c r="AA688" s="69">
        <f>IF(tech_base!$T64&gt;AA$625,"",(1000*tech_proj!AA1028*(-PMT($J$110,tech_base!$F64,1))+1000*tech_proj!AA1308)/((1-tech_proj!AA468)*tech_proj!AA748*$L$110))</f>
        <v>65.392471573224455</v>
      </c>
      <c r="AB688" s="69">
        <f>IF(tech_base!$T64&gt;AB$625,"",(1000*tech_proj!AB1028*(-PMT($J$110,tech_base!$F64,1))+1000*tech_proj!AB1308)/((1-tech_proj!AB468)*tech_proj!AB748*$L$110))</f>
        <v>65.295002822908017</v>
      </c>
      <c r="AC688" s="69">
        <f>IF(tech_base!$T64&gt;AC$625,"",(1000*tech_proj!AC1028*(-PMT($J$110,tech_base!$F64,1))+1000*tech_proj!AC1308)/((1-tech_proj!AC468)*tech_proj!AC748*$L$110))</f>
        <v>65.180305416751267</v>
      </c>
      <c r="AD688" s="69">
        <f>IF(tech_base!$T64&gt;AD$625,"",(1000*tech_proj!AD1028*(-PMT($J$110,tech_base!$F64,1))+1000*tech_proj!AD1308)/((1-tech_proj!AD468)*tech_proj!AD748*$L$110))</f>
        <v>65.045641226177139</v>
      </c>
      <c r="AE688" s="69">
        <f>IF(tech_base!$T64&gt;AE$625,"",(1000*tech_proj!AE1028*(-PMT($J$110,tech_base!$F64,1))+1000*tech_proj!AE1308)/((1-tech_proj!AE468)*tech_proj!AE748*$L$110))</f>
        <v>64.887959101066471</v>
      </c>
      <c r="AF688" s="69">
        <f>IF(tech_base!$T64&gt;AF$625,"",(1000*tech_proj!AF1028*(-PMT($J$110,tech_base!$F64,1))+1000*tech_proj!AF1308)/((1-tech_proj!AF468)*tech_proj!AF748*$L$110))</f>
        <v>64.703908928079144</v>
      </c>
      <c r="AG688" s="69">
        <f>IF(tech_base!$T64&gt;AG$625,"",(1000*tech_proj!AG1028*(-PMT($J$110,tech_base!$F64,1))+1000*tech_proj!AG1308)/((1-tech_proj!AG468)*tech_proj!AG748*$L$110))</f>
        <v>64.489880678098331</v>
      </c>
      <c r="AH688" s="69">
        <f>IF(tech_base!$T64&gt;AH$625,"",(1000*tech_proj!AH1028*(-PMT($J$110,tech_base!$F64,1))+1000*tech_proj!AH1308)/((1-tech_proj!AH468)*tech_proj!AH748*$L$110))</f>
        <v>64.242077677686552</v>
      </c>
      <c r="AI688" s="69">
        <f>IF(tech_base!$T64&gt;AI$625,"",(1000*tech_proj!AI1028*(-PMT($J$110,tech_base!$F64,1))+1000*tech_proj!AI1308)/((1-tech_proj!AI468)*tech_proj!AI748*$L$110))</f>
        <v>63.956634537004625</v>
      </c>
      <c r="AJ688" s="69">
        <f>IF(tech_base!$T64&gt;AJ$625,"",(1000*tech_proj!AJ1028*(-PMT($J$110,tech_base!$F64,1))+1000*tech_proj!AJ1308)/((1-tech_proj!AJ468)*tech_proj!AJ748*$L$110))</f>
        <v>63.629790416485179</v>
      </c>
      <c r="AK688" s="69">
        <f>IF(tech_base!$T64&gt;AK$625,"",(1000*tech_proj!AK1028*(-PMT($J$110,tech_base!$F64,1))+1000*tech_proj!AK1308)/((1-tech_proj!AK468)*tech_proj!AK748*$L$110))</f>
        <v>63.258126813953659</v>
      </c>
      <c r="AL688" s="69">
        <f>IF(tech_base!$T64&gt;AL$625,"",(1000*tech_proj!AL1028*(-PMT($J$110,tech_base!$F64,1))+1000*tech_proj!AL1308)/((1-tech_proj!AL468)*tech_proj!AL748*$L$110))</f>
        <v>62.838874785347294</v>
      </c>
      <c r="AM688" s="69">
        <f>IF(tech_base!$T64&gt;AM$625,"",(1000*tech_proj!AM1028*(-PMT($J$110,tech_base!$F64,1))+1000*tech_proj!AM1308)/((1-tech_proj!AM468)*tech_proj!AM748*$L$110))</f>
        <v>62.370288393017034</v>
      </c>
      <c r="AN688" s="69">
        <f>IF(tech_base!$T64&gt;AN$625,"",(1000*tech_proj!AN1028*(-PMT($J$110,tech_base!$F64,1))+1000*tech_proj!AN1308)/((1-tech_proj!AN468)*tech_proj!AN748*$L$110))</f>
        <v>61.852068398279258</v>
      </c>
      <c r="AO688" s="69">
        <f>IF(tech_base!$T64&gt;AO$625,"",(1000*tech_proj!AO1028*(-PMT($J$110,tech_base!$F64,1))+1000*tech_proj!AO1308)/((1-tech_proj!AO468)*tech_proj!AO748*$L$110))</f>
        <v>61.285802823184966</v>
      </c>
      <c r="AP688" s="69">
        <f>IF(tech_base!$T64&gt;AP$625,"",(1000*tech_proj!AP1028*(-PMT($J$110,tech_base!$F64,1))+1000*tech_proj!AP1308)/((1-tech_proj!AP468)*tech_proj!AP748*$L$110))</f>
        <v>60.675370660903667</v>
      </c>
      <c r="AQ688" s="69">
        <f>IF(tech_base!$T64&gt;AQ$625,"",(1000*tech_proj!AQ1028*(-PMT($J$110,tech_base!$F64,1))+1000*tech_proj!AQ1308)/((1-tech_proj!AQ468)*tech_proj!AQ748*$L$110))</f>
        <v>60.027235717960778</v>
      </c>
      <c r="AR688" s="69">
        <f>IF(tech_base!$T64&gt;AR$625,"",(1000*tech_proj!AR1028*(-PMT($J$110,tech_base!$F64,1))+1000*tech_proj!AR1308)/((1-tech_proj!AR468)*tech_proj!AR748*$L$110))</f>
        <v>59.350545884287136</v>
      </c>
      <c r="AS688" s="69">
        <f>IF(tech_base!$T64&gt;AS$625,"",(1000*tech_proj!AS1028*(-PMT($J$110,tech_base!$F64,1))+1000*tech_proj!AS1308)/((1-tech_proj!AS468)*tech_proj!AS748*$L$110))</f>
        <v>58.656957217456238</v>
      </c>
      <c r="AT688" s="69">
        <f>IF(tech_base!$T64&gt;AT$625,"",(1000*tech_proj!AT1028*(-PMT($J$110,tech_base!$F64,1))+1000*tech_proj!AT1308)/((1-tech_proj!AT468)*tech_proj!AT748*$L$110))</f>
        <v>57.960129267344058</v>
      </c>
      <c r="AU688" s="69">
        <f>IF(tech_base!$T64&gt;AU$625,"",(1000*tech_proj!AU1028*(-PMT($J$110,tech_base!$F64,1))+1000*tech_proj!AU1308)/((1-tech_proj!AU468)*tech_proj!AU748*$L$110))</f>
        <v>57.27489019087696</v>
      </c>
      <c r="AV688" s="69">
        <f>IF(tech_base!$T64&gt;AV$625,"",(1000*tech_proj!AV1028*(-PMT($J$110,tech_base!$F64,1))+1000*tech_proj!AV1308)/((1-tech_proj!AV468)*tech_proj!AV748*$L$110))</f>
        <v>56.616140523656988</v>
      </c>
      <c r="AW688" s="69">
        <f>IF(tech_base!$T64&gt;AW$625,"",(1000*tech_proj!AW1028*(-PMT($J$110,tech_base!$F64,1))+1000*tech_proj!AW1308)/((1-tech_proj!AW468)*tech_proj!AW748*$L$110))</f>
        <v>55.997635771330827</v>
      </c>
      <c r="AX688" s="235">
        <f>IF(tech_base!$T64&gt;AX$625,"",(1000*tech_proj!AX1028*(-PMT($J$110,tech_base!$F64,1))+1000*tech_proj!AX1308)/((1-tech_proj!AX468)*tech_proj!AX748*$L$110))</f>
        <v>55.430836562659792</v>
      </c>
      <c r="AY688" s="133"/>
    </row>
    <row r="689" spans="1:51" s="174" customFormat="1" x14ac:dyDescent="0.25">
      <c r="A689" s="356"/>
      <c r="B689" s="376"/>
      <c r="C689" s="360"/>
      <c r="D689" s="2" t="s">
        <v>10</v>
      </c>
      <c r="E689" s="160" t="str">
        <f>A671&amp;"/"&amp;B687&amp;"/"&amp;C687&amp;"/"&amp;D689</f>
        <v>Lignite fired power plants/Fluidized bed combustion/Electricity only/S</v>
      </c>
      <c r="F689" s="76" t="str">
        <f>A671</f>
        <v>Lignite fired power plants</v>
      </c>
      <c r="G689" s="76" t="str">
        <f>B687</f>
        <v>Fluidized bed combustion</v>
      </c>
      <c r="H689" s="76" t="str">
        <f>C687</f>
        <v>Electricity only</v>
      </c>
      <c r="I689" s="161" t="str">
        <f t="shared" si="362"/>
        <v>S</v>
      </c>
      <c r="J689" s="69">
        <f>IF(tech_base!$T65&gt;J$625,"",(1000*tech_proj!J1029*(-PMT($J$110,tech_base!$F65,1))+1000*tech_proj!J1309)/((1-tech_proj!J469)*tech_proj!J749*$L$110))</f>
        <v>75.004781316917857</v>
      </c>
      <c r="K689" s="69">
        <f>IF(tech_base!$T65&gt;K$625,"",(1000*tech_proj!K1029*(-PMT($J$110,tech_base!$F65,1))+1000*tech_proj!K1309)/((1-tech_proj!K469)*tech_proj!K749*$L$110))</f>
        <v>74.991355653955949</v>
      </c>
      <c r="L689" s="69">
        <f>IF(tech_base!$T65&gt;L$625,"",(1000*tech_proj!L1029*(-PMT($J$110,tech_base!$F65,1))+1000*tech_proj!L1309)/((1-tech_proj!L469)*tech_proj!L749*$L$110))</f>
        <v>74.975777141414824</v>
      </c>
      <c r="M689" s="69">
        <f>IF(tech_base!$T65&gt;M$625,"",(1000*tech_proj!M1029*(-PMT($J$110,tech_base!$F65,1))+1000*tech_proj!M1309)/((1-tech_proj!M469)*tech_proj!M749*$L$110))</f>
        <v>74.957704282033959</v>
      </c>
      <c r="N689" s="69">
        <f>IF(tech_base!$T65&gt;N$625,"",(1000*tech_proj!N1029*(-PMT($J$110,tech_base!$F65,1))+1000*tech_proj!N1309)/((1-tech_proj!N469)*tech_proj!N749*$L$110))</f>
        <v>74.936742701869946</v>
      </c>
      <c r="O689" s="69">
        <f>IF(tech_base!$T65&gt;O$625,"",(1000*tech_proj!O1029*(-PMT($J$110,tech_base!$F65,1))+1000*tech_proj!O1309)/((1-tech_proj!O469)*tech_proj!O749*$L$110))</f>
        <v>74.912437413529972</v>
      </c>
      <c r="P689" s="69">
        <f>IF(tech_base!$T65&gt;P$625,"",(1000*tech_proj!P1029*(-PMT($J$110,tech_base!$F65,1))+1000*tech_proj!P1309)/((1-tech_proj!P469)*tech_proj!P749*$L$110))</f>
        <v>74.88426410574958</v>
      </c>
      <c r="Q689" s="69">
        <f>IF(tech_base!$T65&gt;Q$625,"",(1000*tech_proj!Q1029*(-PMT($J$110,tech_base!$F65,1))+1000*tech_proj!Q1309)/((1-tech_proj!Q469)*tech_proj!Q749*$L$110))</f>
        <v>74.851619394341583</v>
      </c>
      <c r="R689" s="69">
        <f>IF(tech_base!$T65&gt;R$625,"",(1000*tech_proj!R1029*(-PMT($J$110,tech_base!$F65,1))+1000*tech_proj!R1309)/((1-tech_proj!R469)*tech_proj!R749*$L$110))</f>
        <v>74.813809988771396</v>
      </c>
      <c r="S689" s="69">
        <f>IF(tech_base!$T65&gt;S$625,"",(1000*tech_proj!S1029*(-PMT($J$110,tech_base!$F65,1))+1000*tech_proj!S1309)/((1-tech_proj!S469)*tech_proj!S749*$L$110))</f>
        <v>74.770040759916341</v>
      </c>
      <c r="T689" s="69">
        <f>IF(tech_base!$T65&gt;T$625,"",(1000*tech_proj!T1029*(-PMT($J$110,tech_base!$F65,1))+1000*tech_proj!T1309)/((1-tech_proj!T469)*tech_proj!T749*$L$110))</f>
        <v>74.719401742265759</v>
      </c>
      <c r="U689" s="69">
        <f>IF(tech_base!$T65&gt;U$625,"",(1000*tech_proj!U1029*(-PMT($J$110,tech_base!$F65,1))+1000*tech_proj!U1309)/((1-tech_proj!U469)*tech_proj!U749*$L$110))</f>
        <v>74.660854173363617</v>
      </c>
      <c r="V689" s="69">
        <f>IF(tech_base!$T65&gt;V$625,"",(1000*tech_proj!V1029*(-PMT($J$110,tech_base!$F65,1))+1000*tech_proj!V1309)/((1-tech_proj!V469)*tech_proj!V749*$L$110))</f>
        <v>74.593215771412105</v>
      </c>
      <c r="W689" s="69">
        <f>IF(tech_base!$T65&gt;W$625,"",(1000*tech_proj!W1029*(-PMT($J$110,tech_base!$F65,1))+1000*tech_proj!W1309)/((1-tech_proj!W469)*tech_proj!W749*$L$110))</f>
        <v>74.515145586692384</v>
      </c>
      <c r="X689" s="69">
        <f>IF(tech_base!$T65&gt;X$625,"",(1000*tech_proj!X1029*(-PMT($J$110,tech_base!$F65,1))+1000*tech_proj!X1309)/((1-tech_proj!X469)*tech_proj!X749*$L$110))</f>
        <v>74.425128943106188</v>
      </c>
      <c r="Y689" s="69">
        <f>IF(tech_base!$T65&gt;Y$625,"",(1000*tech_proj!Y1029*(-PMT($J$110,tech_base!$F65,1))+1000*tech_proj!Y1309)/((1-tech_proj!Y469)*tech_proj!Y749*$L$110))</f>
        <v>74.321463222828982</v>
      </c>
      <c r="Z689" s="69">
        <f>IF(tech_base!$T65&gt;Z$625,"",(1000*tech_proj!Z1029*(-PMT($J$110,tech_base!$F65,1))+1000*tech_proj!Z1309)/((1-tech_proj!Z469)*tech_proj!Z749*$L$110))</f>
        <v>74.202245549922878</v>
      </c>
      <c r="AA689" s="69">
        <f>IF(tech_base!$T65&gt;AA$625,"",(1000*tech_proj!AA1029*(-PMT($J$110,tech_base!$F65,1))+1000*tech_proj!AA1309)/((1-tech_proj!AA469)*tech_proj!AA749*$L$110))</f>
        <v>74.0653638063485</v>
      </c>
      <c r="AB689" s="69">
        <f>IF(tech_base!$T65&gt;AB$625,"",(1000*tech_proj!AB1029*(-PMT($J$110,tech_base!$F65,1))+1000*tech_proj!AB1309)/((1-tech_proj!AB469)*tech_proj!AB749*$L$110))</f>
        <v>73.908492870526814</v>
      </c>
      <c r="AC689" s="69">
        <f>IF(tech_base!$T65&gt;AC$625,"",(1000*tech_proj!AC1029*(-PMT($J$110,tech_base!$F65,1))+1000*tech_proj!AC1309)/((1-tech_proj!AC469)*tech_proj!AC749*$L$110))</f>
        <v>73.729098500612054</v>
      </c>
      <c r="AD689" s="69">
        <f>IF(tech_base!$T65&gt;AD$625,"",(1000*tech_proj!AD1029*(-PMT($J$110,tech_base!$F65,1))+1000*tech_proj!AD1309)/((1-tech_proj!AD469)*tech_proj!AD749*$L$110))</f>
        <v>73.524451874074217</v>
      </c>
      <c r="AE689" s="69">
        <f>IF(tech_base!$T65&gt;AE$625,"",(1000*tech_proj!AE1029*(-PMT($J$110,tech_base!$F65,1))+1000*tech_proj!AE1309)/((1-tech_proj!AE469)*tech_proj!AE749*$L$110))</f>
        <v>73.291658402197427</v>
      </c>
      <c r="AF689" s="69">
        <f>IF(tech_base!$T65&gt;AF$625,"",(1000*tech_proj!AF1029*(-PMT($J$110,tech_base!$F65,1))+1000*tech_proj!AF1309)/((1-tech_proj!AF469)*tech_proj!AF749*$L$110))</f>
        <v>73.027704990936442</v>
      </c>
      <c r="AG689" s="69">
        <f>IF(tech_base!$T65&gt;AG$625,"",(1000*tech_proj!AG1029*(-PMT($J$110,tech_base!$F65,1))+1000*tech_proj!AG1309)/((1-tech_proj!AG469)*tech_proj!AG749*$L$110))</f>
        <v>72.729530303513741</v>
      </c>
      <c r="AH689" s="69">
        <f>IF(tech_base!$T65&gt;AH$625,"",(1000*tech_proj!AH1029*(-PMT($J$110,tech_base!$F65,1))+1000*tech_proj!AH1309)/((1-tech_proj!AH469)*tech_proj!AH749*$L$110))</f>
        <v>72.394122627372056</v>
      </c>
      <c r="AI689" s="69">
        <f>IF(tech_base!$T65&gt;AI$625,"",(1000*tech_proj!AI1029*(-PMT($J$110,tech_base!$F65,1))+1000*tech_proj!AI1309)/((1-tech_proj!AI469)*tech_proj!AI749*$L$110))</f>
        <v>72.01864943260135</v>
      </c>
      <c r="AJ689" s="69">
        <f>IF(tech_base!$T65&gt;AJ$625,"",(1000*tech_proj!AJ1029*(-PMT($J$110,tech_base!$F65,1))+1000*tech_proj!AJ1309)/((1-tech_proj!AJ469)*tech_proj!AJ749*$L$110))</f>
        <v>71.600621353119905</v>
      </c>
      <c r="AK689" s="69">
        <f>IF(tech_base!$T65&gt;AK$625,"",(1000*tech_proj!AK1029*(-PMT($J$110,tech_base!$F65,1))+1000*tech_proj!AK1309)/((1-tech_proj!AK469)*tech_proj!AK749*$L$110))</f>
        <v>71.138090824049442</v>
      </c>
      <c r="AL689" s="69">
        <f>IF(tech_base!$T65&gt;AL$625,"",(1000*tech_proj!AL1029*(-PMT($J$110,tech_base!$F65,1))+1000*tech_proj!AL1309)/((1-tech_proj!AL469)*tech_proj!AL749*$L$110))</f>
        <v>70.629881702642606</v>
      </c>
      <c r="AM689" s="69">
        <f>IF(tech_base!$T65&gt;AM$625,"",(1000*tech_proj!AM1029*(-PMT($J$110,tech_base!$F65,1))+1000*tech_proj!AM1309)/((1-tech_proj!AM469)*tech_proj!AM749*$L$110))</f>
        <v>70.075840755170333</v>
      </c>
      <c r="AN689" s="69">
        <f>IF(tech_base!$T65&gt;AN$625,"",(1000*tech_proj!AN1029*(-PMT($J$110,tech_base!$F65,1))+1000*tech_proj!AN1309)/((1-tech_proj!AN469)*tech_proj!AN749*$L$110))</f>
        <v>69.477095054748219</v>
      </c>
      <c r="AO689" s="69">
        <f>IF(tech_base!$T65&gt;AO$625,"",(1000*tech_proj!AO1029*(-PMT($J$110,tech_base!$F65,1))+1000*tech_proj!AO1309)/((1-tech_proj!AO469)*tech_proj!AO749*$L$110))</f>
        <v>68.836291693115598</v>
      </c>
      <c r="AP689" s="69">
        <f>IF(tech_base!$T65&gt;AP$625,"",(1000*tech_proj!AP1029*(-PMT($J$110,tech_base!$F65,1))+1000*tech_proj!AP1309)/((1-tech_proj!AP469)*tech_proj!AP749*$L$110))</f>
        <v>68.157788933076731</v>
      </c>
      <c r="AQ689" s="69">
        <f>IF(tech_base!$T65&gt;AQ$625,"",(1000*tech_proj!AQ1029*(-PMT($J$110,tech_base!$F65,1))+1000*tech_proj!AQ1309)/((1-tech_proj!AQ469)*tech_proj!AQ749*$L$110))</f>
        <v>67.447762806310308</v>
      </c>
      <c r="AR689" s="69">
        <f>IF(tech_base!$T65&gt;AR$625,"",(1000*tech_proj!AR1029*(-PMT($J$110,tech_base!$F65,1))+1000*tech_proj!AR1309)/((1-tech_proj!AR469)*tech_proj!AR749*$L$110))</f>
        <v>66.714192429415604</v>
      </c>
      <c r="AS689" s="69">
        <f>IF(tech_base!$T65&gt;AS$625,"",(1000*tech_proj!AS1029*(-PMT($J$110,tech_base!$F65,1))+1000*tech_proj!AS1309)/((1-tech_proj!AS469)*tech_proj!AS749*$L$110))</f>
        <v>65.966693187376194</v>
      </c>
      <c r="AT689" s="69">
        <f>IF(tech_base!$T65&gt;AT$625,"",(1000*tech_proj!AT1029*(-PMT($J$110,tech_base!$F65,1))+1000*tech_proj!AT1309)/((1-tech_proj!AT469)*tech_proj!AT749*$L$110))</f>
        <v>65.216180855725838</v>
      </c>
      <c r="AU689" s="69">
        <f>IF(tech_base!$T65&gt;AU$625,"",(1000*tech_proj!AU1029*(-PMT($J$110,tech_base!$F65,1))+1000*tech_proj!AU1309)/((1-tech_proj!AU469)*tech_proj!AU749*$L$110))</f>
        <v>64.47437145108627</v>
      </c>
      <c r="AV689" s="69">
        <f>IF(tech_base!$T65&gt;AV$625,"",(1000*tech_proj!AV1029*(-PMT($J$110,tech_base!$F65,1))+1000*tech_proj!AV1309)/((1-tech_proj!AV469)*tech_proj!AV749*$L$110))</f>
        <v>63.753148465767708</v>
      </c>
      <c r="AW689" s="69">
        <f>IF(tech_base!$T65&gt;AW$625,"",(1000*tech_proj!AW1029*(-PMT($J$110,tech_base!$F65,1))+1000*tech_proj!AW1309)/((1-tech_proj!AW469)*tech_proj!AW749*$L$110))</f>
        <v>63.063856039815114</v>
      </c>
      <c r="AX689" s="235">
        <f>IF(tech_base!$T65&gt;AX$625,"",(1000*tech_proj!AX1029*(-PMT($J$110,tech_base!$F65,1))+1000*tech_proj!AX1309)/((1-tech_proj!AX469)*tech_proj!AX749*$L$110))</f>
        <v>62.416596895626888</v>
      </c>
      <c r="AY689" s="133"/>
    </row>
    <row r="690" spans="1:51" s="174" customFormat="1" x14ac:dyDescent="0.25">
      <c r="A690" s="356"/>
      <c r="B690" s="376"/>
      <c r="C690" s="361" t="s">
        <v>14</v>
      </c>
      <c r="D690" s="58" t="s">
        <v>7</v>
      </c>
      <c r="E690" s="164" t="str">
        <f>A671&amp;"/"&amp;B687&amp;"/"&amp;C690&amp;"/"&amp;D690</f>
        <v>Lignite fired power plants/Fluidized bed combustion/CHP/L</v>
      </c>
      <c r="F690" s="78" t="str">
        <f>A671</f>
        <v>Lignite fired power plants</v>
      </c>
      <c r="G690" s="78" t="str">
        <f>B687</f>
        <v>Fluidized bed combustion</v>
      </c>
      <c r="H690" s="78" t="str">
        <f>C690</f>
        <v>CHP</v>
      </c>
      <c r="I690" s="165" t="str">
        <f t="shared" si="362"/>
        <v>L</v>
      </c>
      <c r="J690" s="71">
        <f>IF(tech_base!$T66&gt;J$625,"",(1000*tech_proj!J1030*(-PMT($J$110,tech_base!$F66,1))+1000*tech_proj!J1310)/((1-tech_proj!J470)*tech_proj!J750*$L$110))</f>
        <v>70.892466435387263</v>
      </c>
      <c r="K690" s="71">
        <f>IF(tech_base!$T66&gt;K$625,"",(1000*tech_proj!K1030*(-PMT($J$110,tech_base!$F66,1))+1000*tech_proj!K1310)/((1-tech_proj!K470)*tech_proj!K750*$L$110))</f>
        <v>70.891534239459162</v>
      </c>
      <c r="L690" s="71">
        <f>IF(tech_base!$T66&gt;L$625,"",(1000*tech_proj!L1030*(-PMT($J$110,tech_base!$F66,1))+1000*tech_proj!L1310)/((1-tech_proj!L470)*tech_proj!L750*$L$110))</f>
        <v>70.890395798280281</v>
      </c>
      <c r="M690" s="71">
        <f>IF(tech_base!$T66&gt;M$625,"",(1000*tech_proj!M1030*(-PMT($J$110,tech_base!$F66,1))+1000*tech_proj!M1310)/((1-tech_proj!M470)*tech_proj!M750*$L$110))</f>
        <v>70.889005520103439</v>
      </c>
      <c r="N690" s="71">
        <f>IF(tech_base!$T66&gt;N$625,"",(1000*tech_proj!N1030*(-PMT($J$110,tech_base!$F66,1))+1000*tech_proj!N1310)/((1-tech_proj!N470)*tech_proj!N750*$L$110))</f>
        <v>70.887307754185613</v>
      </c>
      <c r="O690" s="71">
        <f>IF(tech_base!$T66&gt;O$625,"",(1000*tech_proj!O1030*(-PMT($J$110,tech_base!$F66,1))+1000*tech_proj!O1310)/((1-tech_proj!O470)*tech_proj!O750*$L$110))</f>
        <v>70.885234580955753</v>
      </c>
      <c r="P690" s="71">
        <f>IF(tech_base!$T66&gt;P$625,"",(1000*tech_proj!P1030*(-PMT($J$110,tech_base!$F66,1))+1000*tech_proj!P1310)/((1-tech_proj!P470)*tech_proj!P750*$L$110))</f>
        <v>70.882703121385219</v>
      </c>
      <c r="Q690" s="71">
        <f>IF(tech_base!$T66&gt;Q$625,"",(1000*tech_proj!Q1030*(-PMT($J$110,tech_base!$F66,1))+1000*tech_proj!Q1310)/((1-tech_proj!Q470)*tech_proj!Q750*$L$110))</f>
        <v>70.87961226325632</v>
      </c>
      <c r="R690" s="71">
        <f>IF(tech_base!$T66&gt;R$625,"",(1000*tech_proj!R1030*(-PMT($J$110,tech_base!$F66,1))+1000*tech_proj!R1310)/((1-tech_proj!R470)*tech_proj!R750*$L$110))</f>
        <v>70.875838681398264</v>
      </c>
      <c r="S690" s="71">
        <f>IF(tech_base!$T66&gt;S$625,"",(1000*tech_proj!S1030*(-PMT($J$110,tech_base!$F66,1))+1000*tech_proj!S1310)/((1-tech_proj!S470)*tech_proj!S750*$L$110))</f>
        <v>70.8712320047497</v>
      </c>
      <c r="T690" s="71">
        <f>IF(tech_base!$T66&gt;T$625,"",(1000*tech_proj!T1030*(-PMT($J$110,tech_base!$F66,1))+1000*tech_proj!T1310)/((1-tech_proj!T470)*tech_proj!T750*$L$110))</f>
        <v>70.865608954994187</v>
      </c>
      <c r="U690" s="71">
        <f>IF(tech_base!$T66&gt;U$625,"",(1000*tech_proj!U1030*(-PMT($J$110,tech_base!$F66,1))+1000*tech_proj!U1310)/((1-tech_proj!U470)*tech_proj!U750*$L$110))</f>
        <v>70.858746249333677</v>
      </c>
      <c r="V690" s="71">
        <f>IF(tech_base!$T66&gt;V$625,"",(1000*tech_proj!V1030*(-PMT($J$110,tech_base!$F66,1))+1000*tech_proj!V1310)/((1-tech_proj!V470)*tech_proj!V750*$L$110))</f>
        <v>70.850372023840791</v>
      </c>
      <c r="W690" s="71">
        <f>IF(tech_base!$T66&gt;W$625,"",(1000*tech_proj!W1030*(-PMT($J$110,tech_base!$F66,1))+1000*tech_proj!W1310)/((1-tech_proj!W470)*tech_proj!W750*$L$110))</f>
        <v>70.84015549440123</v>
      </c>
      <c r="X690" s="71">
        <f>IF(tech_base!$T66&gt;X$625,"",(1000*tech_proj!X1030*(-PMT($J$110,tech_base!$F66,1))+1000*tech_proj!X1310)/((1-tech_proj!X470)*tech_proj!X750*$L$110))</f>
        <v>70.827694530983024</v>
      </c>
      <c r="Y690" s="71">
        <f>IF(tech_base!$T66&gt;Y$625,"",(1000*tech_proj!Y1030*(-PMT($J$110,tech_base!$F66,1))+1000*tech_proj!Y1310)/((1-tech_proj!Y470)*tech_proj!Y750*$L$110))</f>
        <v>70.812500780647838</v>
      </c>
      <c r="Z690" s="71">
        <f>IF(tech_base!$T66&gt;Z$625,"",(1000*tech_proj!Z1030*(-PMT($J$110,tech_base!$F66,1))+1000*tech_proj!Z1310)/((1-tech_proj!Z470)*tech_proj!Z750*$L$110))</f>
        <v>70.793981940162823</v>
      </c>
      <c r="AA690" s="71">
        <f>IF(tech_base!$T66&gt;AA$625,"",(1000*tech_proj!AA1030*(-PMT($J$110,tech_base!$F66,1))+1000*tech_proj!AA1310)/((1-tech_proj!AA470)*tech_proj!AA750*$L$110))</f>
        <v>70.771420758170805</v>
      </c>
      <c r="AB690" s="71">
        <f>IF(tech_base!$T66&gt;AB$625,"",(1000*tech_proj!AB1030*(-PMT($J$110,tech_base!$F66,1))+1000*tech_proj!AB1310)/((1-tech_proj!AB470)*tech_proj!AB750*$L$110))</f>
        <v>70.743950352006053</v>
      </c>
      <c r="AC690" s="71">
        <f>IF(tech_base!$T66&gt;AC$625,"",(1000*tech_proj!AC1030*(-PMT($J$110,tech_base!$F66,1))+1000*tech_proj!AC1310)/((1-tech_proj!AC470)*tech_proj!AC750*$L$110))</f>
        <v>70.710525474254894</v>
      </c>
      <c r="AD690" s="71">
        <f>IF(tech_base!$T66&gt;AD$625,"",(1000*tech_proj!AD1030*(-PMT($J$110,tech_base!$F66,1))+1000*tech_proj!AD1310)/((1-tech_proj!AD470)*tech_proj!AD750*$L$110))</f>
        <v>70.669889486955768</v>
      </c>
      <c r="AE690" s="71">
        <f>IF(tech_base!$T66&gt;AE$625,"",(1000*tech_proj!AE1030*(-PMT($J$110,tech_base!$F66,1))+1000*tech_proj!AE1310)/((1-tech_proj!AE470)*tech_proj!AE750*$L$110))</f>
        <v>70.6205370371204</v>
      </c>
      <c r="AF690" s="71">
        <f>IF(tech_base!$T66&gt;AF$625,"",(1000*tech_proj!AF1030*(-PMT($J$110,tech_base!$F66,1))+1000*tech_proj!AF1310)/((1-tech_proj!AF470)*tech_proj!AF750*$L$110))</f>
        <v>70.560672832272985</v>
      </c>
      <c r="AG690" s="71">
        <f>IF(tech_base!$T66&gt;AG$625,"",(1000*tech_proj!AG1030*(-PMT($J$110,tech_base!$F66,1))+1000*tech_proj!AG1310)/((1-tech_proj!AG470)*tech_proj!AG750*$L$110))</f>
        <v>70.488167564900778</v>
      </c>
      <c r="AH690" s="71">
        <f>IF(tech_base!$T66&gt;AH$625,"",(1000*tech_proj!AH1030*(-PMT($J$110,tech_base!$F66,1))+1000*tech_proj!AH1310)/((1-tech_proj!AH470)*tech_proj!AH750*$L$110))</f>
        <v>70.40051302809637</v>
      </c>
      <c r="AI690" s="71">
        <f>IF(tech_base!$T66&gt;AI$625,"",(1000*tech_proj!AI1030*(-PMT($J$110,tech_base!$F66,1))+1000*tech_proj!AI1310)/((1-tech_proj!AI470)*tech_proj!AI750*$L$110))</f>
        <v>70.294779919753637</v>
      </c>
      <c r="AJ690" s="71">
        <f>IF(tech_base!$T66&gt;AJ$625,"",(1000*tech_proj!AJ1030*(-PMT($J$110,tech_base!$F66,1))+1000*tech_proj!AJ1310)/((1-tech_proj!AJ470)*tech_proj!AJ750*$L$110))</f>
        <v>70.167583878354392</v>
      </c>
      <c r="AK690" s="71">
        <f>IF(tech_base!$T66&gt;AK$625,"",(1000*tech_proj!AK1030*(-PMT($J$110,tech_base!$F66,1))+1000*tech_proj!AK1310)/((1-tech_proj!AK470)*tech_proj!AK750*$L$110))</f>
        <v>70.015068042683495</v>
      </c>
      <c r="AL690" s="71">
        <f>IF(tech_base!$T66&gt;AL$625,"",(1000*tech_proj!AL1030*(-PMT($J$110,tech_base!$F66,1))+1000*tech_proj!AL1310)/((1-tech_proj!AL470)*tech_proj!AL750*$L$110))</f>
        <v>69.832913924102428</v>
      </c>
      <c r="AM690" s="71">
        <f>IF(tech_base!$T66&gt;AM$625,"",(1000*tech_proj!AM1030*(-PMT($J$110,tech_base!$F66,1))+1000*tech_proj!AM1310)/((1-tech_proj!AM470)*tech_proj!AM750*$L$110))</f>
        <v>69.616396501016354</v>
      </c>
      <c r="AN690" s="71">
        <f>IF(tech_base!$T66&gt;AN$625,"",(1000*tech_proj!AN1030*(-PMT($J$110,tech_base!$F66,1))+1000*tech_proj!AN1310)/((1-tech_proj!AN470)*tech_proj!AN750*$L$110))</f>
        <v>69.360503750394926</v>
      </c>
      <c r="AO690" s="71">
        <f>IF(tech_base!$T66&gt;AO$625,"",(1000*tech_proj!AO1030*(-PMT($J$110,tech_base!$F66,1))+1000*tech_proj!AO1310)/((1-tech_proj!AO470)*tech_proj!AO750*$L$110))</f>
        <v>69.060144348872441</v>
      </c>
      <c r="AP690" s="71">
        <f>IF(tech_base!$T66&gt;AP$625,"",(1000*tech_proj!AP1030*(-PMT($J$110,tech_base!$F66,1))+1000*tech_proj!AP1310)/((1-tech_proj!AP470)*tech_proj!AP750*$L$110))</f>
        <v>68.710468257521114</v>
      </c>
      <c r="AQ690" s="71">
        <f>IF(tech_base!$T66&gt;AQ$625,"",(1000*tech_proj!AQ1030*(-PMT($J$110,tech_base!$F66,1))+1000*tech_proj!AQ1310)/((1-tech_proj!AQ470)*tech_proj!AQ750*$L$110))</f>
        <v>68.307320642734581</v>
      </c>
      <c r="AR690" s="71">
        <f>IF(tech_base!$T66&gt;AR$625,"",(1000*tech_proj!AR1030*(-PMT($J$110,tech_base!$F66,1))+1000*tech_proj!AR1310)/((1-tech_proj!AR470)*tech_proj!AR750*$L$110))</f>
        <v>67.847836505696961</v>
      </c>
      <c r="AS690" s="71">
        <f>IF(tech_base!$T66&gt;AS$625,"",(1000*tech_proj!AS1030*(-PMT($J$110,tech_base!$F66,1))+1000*tech_proj!AS1310)/((1-tech_proj!AS470)*tech_proj!AS750*$L$110))</f>
        <v>67.331157759705448</v>
      </c>
      <c r="AT690" s="71">
        <f>IF(tech_base!$T66&gt;AT$625,"",(1000*tech_proj!AT1030*(-PMT($J$110,tech_base!$F66,1))+1000*tech_proj!AT1310)/((1-tech_proj!AT470)*tech_proj!AT750*$L$110))</f>
        <v>66.759214150371605</v>
      </c>
      <c r="AU690" s="71">
        <f>IF(tech_base!$T66&gt;AU$625,"",(1000*tech_proj!AU1030*(-PMT($J$110,tech_base!$F66,1))+1000*tech_proj!AU1310)/((1-tech_proj!AU470)*tech_proj!AU750*$L$110))</f>
        <v>66.137456746229844</v>
      </c>
      <c r="AV690" s="71">
        <f>IF(tech_base!$T66&gt;AV$625,"",(1000*tech_proj!AV1030*(-PMT($J$110,tech_base!$F66,1))+1000*tech_proj!AV1310)/((1-tech_proj!AV470)*tech_proj!AV750*$L$110))</f>
        <v>65.475378303965911</v>
      </c>
      <c r="AW690" s="71">
        <f>IF(tech_base!$T66&gt;AW$625,"",(1000*tech_proj!AW1030*(-PMT($J$110,tech_base!$F66,1))+1000*tech_proj!AW1310)/((1-tech_proj!AW470)*tech_proj!AW750*$L$110))</f>
        <v>64.786619667122963</v>
      </c>
      <c r="AX690" s="237">
        <f>IF(tech_base!$T66&gt;AX$625,"",(1000*tech_proj!AX1030*(-PMT($J$110,tech_base!$F66,1))+1000*tech_proj!AX1310)/((1-tech_proj!AX470)*tech_proj!AX750*$L$110))</f>
        <v>64.08847435541216</v>
      </c>
      <c r="AY690" s="133"/>
    </row>
    <row r="691" spans="1:51" s="174" customFormat="1" x14ac:dyDescent="0.25">
      <c r="A691" s="356"/>
      <c r="B691" s="376"/>
      <c r="C691" s="378"/>
      <c r="D691" s="2" t="s">
        <v>8</v>
      </c>
      <c r="E691" s="160" t="str">
        <f>A671&amp;"/"&amp;B687&amp;"/"&amp;C690&amp;"/"&amp;D691</f>
        <v>Lignite fired power plants/Fluidized bed combustion/CHP/M</v>
      </c>
      <c r="F691" s="76" t="str">
        <f>A671</f>
        <v>Lignite fired power plants</v>
      </c>
      <c r="G691" s="76" t="str">
        <f>B687</f>
        <v>Fluidized bed combustion</v>
      </c>
      <c r="H691" s="76" t="str">
        <f>C690</f>
        <v>CHP</v>
      </c>
      <c r="I691" s="161" t="str">
        <f t="shared" ref="I691:I754" si="363">D691</f>
        <v>M</v>
      </c>
      <c r="J691" s="69">
        <f>IF(tech_base!$T67&gt;J$625,"",(1000*tech_proj!J1031*(-PMT($J$110,tech_base!$F67,1))+1000*tech_proj!J1311)/((1-tech_proj!J471)*tech_proj!J751*$L$110))</f>
        <v>76.269809699806657</v>
      </c>
      <c r="K691" s="69">
        <f>IF(tech_base!$T67&gt;K$625,"",(1000*tech_proj!K1031*(-PMT($J$110,tech_base!$F67,1))+1000*tech_proj!K1311)/((1-tech_proj!K471)*tech_proj!K751*$L$110))</f>
        <v>76.267510519940345</v>
      </c>
      <c r="L691" s="69">
        <f>IF(tech_base!$T67&gt;L$625,"",(1000*tech_proj!L1031*(-PMT($J$110,tech_base!$F67,1))+1000*tech_proj!L1311)/((1-tech_proj!L471)*tech_proj!L751*$L$110))</f>
        <v>76.264772359258103</v>
      </c>
      <c r="M691" s="69">
        <f>IF(tech_base!$T67&gt;M$625,"",(1000*tech_proj!M1031*(-PMT($J$110,tech_base!$F67,1))+1000*tech_proj!M1311)/((1-tech_proj!M471)*tech_proj!M751*$L$110))</f>
        <v>76.261511569291045</v>
      </c>
      <c r="N691" s="69">
        <f>IF(tech_base!$T67&gt;N$625,"",(1000*tech_proj!N1031*(-PMT($J$110,tech_base!$F67,1))+1000*tech_proj!N1311)/((1-tech_proj!N471)*tech_proj!N751*$L$110))</f>
        <v>76.257628631639292</v>
      </c>
      <c r="O691" s="69">
        <f>IF(tech_base!$T67&gt;O$625,"",(1000*tech_proj!O1031*(-PMT($J$110,tech_base!$F67,1))+1000*tech_proj!O1311)/((1-tech_proj!O471)*tech_proj!O751*$L$110))</f>
        <v>76.253005176160116</v>
      </c>
      <c r="P691" s="69">
        <f>IF(tech_base!$T67&gt;P$625,"",(1000*tech_proj!P1031*(-PMT($J$110,tech_base!$F67,1))+1000*tech_proj!P1311)/((1-tech_proj!P471)*tech_proj!P751*$L$110))</f>
        <v>76.24750045108236</v>
      </c>
      <c r="Q691" s="69">
        <f>IF(tech_base!$T67&gt;Q$625,"",(1000*tech_proj!Q1031*(-PMT($J$110,tech_base!$F67,1))+1000*tech_proj!Q1311)/((1-tech_proj!Q471)*tech_proj!Q751*$L$110))</f>
        <v>76.240947149439265</v>
      </c>
      <c r="R691" s="69">
        <f>IF(tech_base!$T67&gt;R$625,"",(1000*tech_proj!R1031*(-PMT($J$110,tech_base!$F67,1))+1000*tech_proj!R1311)/((1-tech_proj!R471)*tech_proj!R751*$L$110))</f>
        <v>76.233146481724447</v>
      </c>
      <c r="S691" s="69">
        <f>IF(tech_base!$T67&gt;S$625,"",(1000*tech_proj!S1031*(-PMT($J$110,tech_base!$F67,1))+1000*tech_proj!S1311)/((1-tech_proj!S471)*tech_proj!S751*$L$110))</f>
        <v>76.223862368968014</v>
      </c>
      <c r="T691" s="69">
        <f>IF(tech_base!$T67&gt;T$625,"",(1000*tech_proj!T1031*(-PMT($J$110,tech_base!$F67,1))+1000*tech_proj!T1311)/((1-tech_proj!T471)*tech_proj!T751*$L$110))</f>
        <v>76.21281461388962</v>
      </c>
      <c r="U691" s="69">
        <f>IF(tech_base!$T67&gt;U$625,"",(1000*tech_proj!U1031*(-PMT($J$110,tech_base!$F67,1))+1000*tech_proj!U1311)/((1-tech_proj!U471)*tech_proj!U751*$L$110))</f>
        <v>76.199670891112333</v>
      </c>
      <c r="V691" s="69">
        <f>IF(tech_base!$T67&gt;V$625,"",(1000*tech_proj!V1031*(-PMT($J$110,tech_base!$F67,1))+1000*tech_proj!V1311)/((1-tech_proj!V471)*tech_proj!V751*$L$110))</f>
        <v>76.184037381785075</v>
      </c>
      <c r="W691" s="69">
        <f>IF(tech_base!$T67&gt;W$625,"",(1000*tech_proj!W1031*(-PMT($J$110,tech_base!$F67,1))+1000*tech_proj!W1311)/((1-tech_proj!W471)*tech_proj!W751*$L$110))</f>
        <v>76.165447865191055</v>
      </c>
      <c r="X691" s="69">
        <f>IF(tech_base!$T67&gt;X$625,"",(1000*tech_proj!X1031*(-PMT($J$110,tech_base!$F67,1))+1000*tech_proj!X1311)/((1-tech_proj!X471)*tech_proj!X751*$L$110))</f>
        <v>76.143351072801863</v>
      </c>
      <c r="Y691" s="69">
        <f>IF(tech_base!$T67&gt;Y$625,"",(1000*tech_proj!Y1031*(-PMT($J$110,tech_base!$F67,1))+1000*tech_proj!Y1311)/((1-tech_proj!Y471)*tech_proj!Y751*$L$110))</f>
        <v>76.117096112861788</v>
      </c>
      <c r="Z691" s="69">
        <f>IF(tech_base!$T67&gt;Z$625,"",(1000*tech_proj!Z1031*(-PMT($J$110,tech_base!$F67,1))+1000*tech_proj!Z1311)/((1-tech_proj!Z471)*tech_proj!Z751*$L$110))</f>
        <v>76.085915791867563</v>
      </c>
      <c r="AA691" s="69">
        <f>IF(tech_base!$T67&gt;AA$625,"",(1000*tech_proj!AA1031*(-PMT($J$110,tech_base!$F67,1))+1000*tech_proj!AA1311)/((1-tech_proj!AA471)*tech_proj!AA751*$L$110))</f>
        <v>76.048907701557411</v>
      </c>
      <c r="AB691" s="69">
        <f>IF(tech_base!$T67&gt;AB$625,"",(1000*tech_proj!AB1031*(-PMT($J$110,tech_base!$F67,1))+1000*tech_proj!AB1311)/((1-tech_proj!AB471)*tech_proj!AB751*$L$110))</f>
        <v>76.005013017734044</v>
      </c>
      <c r="AC691" s="69">
        <f>IF(tech_base!$T67&gt;AC$625,"",(1000*tech_proj!AC1031*(-PMT($J$110,tech_base!$F67,1))+1000*tech_proj!AC1311)/((1-tech_proj!AC471)*tech_proj!AC751*$L$110))</f>
        <v>75.952993085926408</v>
      </c>
      <c r="AD691" s="69">
        <f>IF(tech_base!$T67&gt;AD$625,"",(1000*tech_proj!AD1031*(-PMT($J$110,tech_base!$F67,1))+1000*tech_proj!AD1311)/((1-tech_proj!AD471)*tech_proj!AD751*$L$110))</f>
        <v>75.891404068961009</v>
      </c>
      <c r="AE691" s="69">
        <f>IF(tech_base!$T67&gt;AE$625,"",(1000*tech_proj!AE1031*(-PMT($J$110,tech_base!$F67,1))+1000*tech_proj!AE1311)/((1-tech_proj!AE471)*tech_proj!AE751*$L$110))</f>
        <v>75.818570229022427</v>
      </c>
      <c r="AF691" s="69">
        <f>IF(tech_base!$T67&gt;AF$625,"",(1000*tech_proj!AF1031*(-PMT($J$110,tech_base!$F67,1))+1000*tech_proj!AF1311)/((1-tech_proj!AF471)*tech_proj!AF751*$L$110))</f>
        <v>75.732556843670324</v>
      </c>
      <c r="AG691" s="69">
        <f>IF(tech_base!$T67&gt;AG$625,"",(1000*tech_proj!AG1031*(-PMT($J$110,tech_base!$F67,1))+1000*tech_proj!AG1311)/((1-tech_proj!AG471)*tech_proj!AG751*$L$110))</f>
        <v>75.631144348519598</v>
      </c>
      <c r="AH691" s="69">
        <f>IF(tech_base!$T67&gt;AH$625,"",(1000*tech_proj!AH1031*(-PMT($J$110,tech_base!$F67,1))+1000*tech_proj!AH1311)/((1-tech_proj!AH471)*tech_proj!AH751*$L$110))</f>
        <v>75.511806097973604</v>
      </c>
      <c r="AI691" s="69">
        <f>IF(tech_base!$T67&gt;AI$625,"",(1000*tech_proj!AI1031*(-PMT($J$110,tech_base!$F67,1))+1000*tech_proj!AI1311)/((1-tech_proj!AI471)*tech_proj!AI751*$L$110))</f>
        <v>75.371693174300788</v>
      </c>
      <c r="AJ691" s="69">
        <f>IF(tech_base!$T67&gt;AJ$625,"",(1000*tech_proj!AJ1031*(-PMT($J$110,tech_base!$F67,1))+1000*tech_proj!AJ1311)/((1-tech_proj!AJ471)*tech_proj!AJ751*$L$110))</f>
        <v>75.20763097286472</v>
      </c>
      <c r="AK691" s="69">
        <f>IF(tech_base!$T67&gt;AK$625,"",(1000*tech_proj!AK1031*(-PMT($J$110,tech_base!$F67,1))+1000*tech_proj!AK1311)/((1-tech_proj!AK471)*tech_proj!AK751*$L$110))</f>
        <v>75.016133829267744</v>
      </c>
      <c r="AL691" s="69">
        <f>IF(tech_base!$T67&gt;AL$625,"",(1000*tech_proj!AL1031*(-PMT($J$110,tech_base!$F67,1))+1000*tech_proj!AL1311)/((1-tech_proj!AL471)*tech_proj!AL751*$L$110))</f>
        <v>74.793445646718737</v>
      </c>
      <c r="AM691" s="69">
        <f>IF(tech_base!$T67&gt;AM$625,"",(1000*tech_proj!AM1031*(-PMT($J$110,tech_base!$F67,1))+1000*tech_proj!AM1311)/((1-tech_proj!AM471)*tech_proj!AM751*$L$110))</f>
        <v>74.535616132171754</v>
      </c>
      <c r="AN691" s="69">
        <f>IF(tech_base!$T67&gt;AN$625,"",(1000*tech_proj!AN1031*(-PMT($J$110,tech_base!$F67,1))+1000*tech_proj!AN1311)/((1-tech_proj!AN471)*tech_proj!AN751*$L$110))</f>
        <v>74.238623495801349</v>
      </c>
      <c r="AO691" s="69">
        <f>IF(tech_base!$T67&gt;AO$625,"",(1000*tech_proj!AO1031*(-PMT($J$110,tech_base!$F67,1))+1000*tech_proj!AO1311)/((1-tech_proj!AO471)*tech_proj!AO751*$L$110))</f>
        <v>73.898554728328676</v>
      </c>
      <c r="AP691" s="69">
        <f>IF(tech_base!$T67&gt;AP$625,"",(1000*tech_proj!AP1031*(-PMT($J$110,tech_base!$F67,1))+1000*tech_proj!AP1311)/((1-tech_proj!AP471)*tech_proj!AP751*$L$110))</f>
        <v>73.511853009397726</v>
      </c>
      <c r="AQ691" s="69">
        <f>IF(tech_base!$T67&gt;AQ$625,"",(1000*tech_proj!AQ1031*(-PMT($J$110,tech_base!$F67,1))+1000*tech_proj!AQ1311)/((1-tech_proj!AQ471)*tech_proj!AQ751*$L$110))</f>
        <v>73.075637358946366</v>
      </c>
      <c r="AR691" s="69">
        <f>IF(tech_base!$T67&gt;AR$625,"",(1000*tech_proj!AR1031*(-PMT($J$110,tech_base!$F67,1))+1000*tech_proj!AR1311)/((1-tech_proj!AR471)*tech_proj!AR751*$L$110))</f>
        <v>72.588091195836682</v>
      </c>
      <c r="AS691" s="69">
        <f>IF(tech_base!$T67&gt;AS$625,"",(1000*tech_proj!AS1031*(-PMT($J$110,tech_base!$F67,1))+1000*tech_proj!AS1311)/((1-tech_proj!AS471)*tech_proj!AS751*$L$110))</f>
        <v>72.048903173699117</v>
      </c>
      <c r="AT691" s="69">
        <f>IF(tech_base!$T67&gt;AT$625,"",(1000*tech_proj!AT1031*(-PMT($J$110,tech_base!$F67,1))+1000*tech_proj!AT1311)/((1-tech_proj!AT471)*tech_proj!AT751*$L$110))</f>
        <v>71.459725568550596</v>
      </c>
      <c r="AU691" s="69">
        <f>IF(tech_base!$T67&gt;AU$625,"",(1000*tech_proj!AU1031*(-PMT($J$110,tech_base!$F67,1))+1000*tech_proj!AU1311)/((1-tech_proj!AU471)*tech_proj!AU751*$L$110))</f>
        <v>70.824594323959843</v>
      </c>
      <c r="AV691" s="69">
        <f>IF(tech_base!$T67&gt;AV$625,"",(1000*tech_proj!AV1031*(-PMT($J$110,tech_base!$F67,1))+1000*tech_proj!AV1311)/((1-tech_proj!AV471)*tech_proj!AV751*$L$110))</f>
        <v>70.150234782621709</v>
      </c>
      <c r="AW691" s="69">
        <f>IF(tech_base!$T67&gt;AW$625,"",(1000*tech_proj!AW1031*(-PMT($J$110,tech_base!$F67,1))+1000*tech_proj!AW1311)/((1-tech_proj!AW471)*tech_proj!AW751*$L$110))</f>
        <v>69.446164973034925</v>
      </c>
      <c r="AX691" s="235">
        <f>IF(tech_base!$T67&gt;AX$625,"",(1000*tech_proj!AX1031*(-PMT($J$110,tech_base!$F67,1))+1000*tech_proj!AX1311)/((1-tech_proj!AX471)*tech_proj!AX751*$L$110))</f>
        <v>68.724512575900349</v>
      </c>
      <c r="AY691" s="133"/>
    </row>
    <row r="692" spans="1:51" s="174" customFormat="1" x14ac:dyDescent="0.25">
      <c r="A692" s="356"/>
      <c r="B692" s="376"/>
      <c r="C692" s="379"/>
      <c r="D692" s="59" t="s">
        <v>10</v>
      </c>
      <c r="E692" s="166" t="str">
        <f>A671&amp;"/"&amp;B687&amp;"/"&amp;C690&amp;"/"&amp;D692</f>
        <v>Lignite fired power plants/Fluidized bed combustion/CHP/S</v>
      </c>
      <c r="F692" s="79" t="str">
        <f>A671</f>
        <v>Lignite fired power plants</v>
      </c>
      <c r="G692" s="79" t="str">
        <f>B687</f>
        <v>Fluidized bed combustion</v>
      </c>
      <c r="H692" s="79" t="str">
        <f>C690</f>
        <v>CHP</v>
      </c>
      <c r="I692" s="167" t="str">
        <f t="shared" si="363"/>
        <v>S</v>
      </c>
      <c r="J692" s="72">
        <f>IF(tech_base!$T68&gt;J$625,"",(1000*tech_proj!J1032*(-PMT($J$110,tech_base!$F68,1))+1000*tech_proj!J1312)/((1-tech_proj!J472)*tech_proj!J752*$L$110))</f>
        <v>87.015716875709074</v>
      </c>
      <c r="K692" s="72">
        <f>IF(tech_base!$T68&gt;K$625,"",(1000*tech_proj!K1032*(-PMT($J$110,tech_base!$F68,1))+1000*tech_proj!K1312)/((1-tech_proj!K472)*tech_proj!K752*$L$110))</f>
        <v>87.009018260284776</v>
      </c>
      <c r="L692" s="72">
        <f>IF(tech_base!$T68&gt;L$625,"",(1000*tech_proj!L1032*(-PMT($J$110,tech_base!$F68,1))+1000*tech_proj!L1312)/((1-tech_proj!L472)*tech_proj!L752*$L$110))</f>
        <v>87.001240273630557</v>
      </c>
      <c r="M692" s="72">
        <f>IF(tech_base!$T68&gt;M$625,"",(1000*tech_proj!M1032*(-PMT($J$110,tech_base!$F68,1))+1000*tech_proj!M1312)/((1-tech_proj!M472)*tech_proj!M752*$L$110))</f>
        <v>86.992209873379764</v>
      </c>
      <c r="N692" s="72">
        <f>IF(tech_base!$T68&gt;N$625,"",(1000*tech_proj!N1032*(-PMT($J$110,tech_base!$F68,1))+1000*tech_proj!N1312)/((1-tech_proj!N472)*tech_proj!N752*$L$110))</f>
        <v>86.98172658258332</v>
      </c>
      <c r="O692" s="72">
        <f>IF(tech_base!$T68&gt;O$625,"",(1000*tech_proj!O1032*(-PMT($J$110,tech_base!$F68,1))+1000*tech_proj!O1312)/((1-tech_proj!O472)*tech_proj!O752*$L$110))</f>
        <v>86.969558247396165</v>
      </c>
      <c r="P692" s="72">
        <f>IF(tech_base!$T68&gt;P$625,"",(1000*tech_proj!P1032*(-PMT($J$110,tech_base!$F68,1))+1000*tech_proj!P1312)/((1-tech_proj!P472)*tech_proj!P752*$L$110))</f>
        <v>86.955436176342559</v>
      </c>
      <c r="Q692" s="72">
        <f>IF(tech_base!$T68&gt;Q$625,"",(1000*tech_proj!Q1032*(-PMT($J$110,tech_base!$F68,1))+1000*tech_proj!Q1312)/((1-tech_proj!Q472)*tech_proj!Q752*$L$110))</f>
        <v>86.939049584362735</v>
      </c>
      <c r="R692" s="72">
        <f>IF(tech_base!$T68&gt;R$625,"",(1000*tech_proj!R1032*(-PMT($J$110,tech_base!$F68,1))+1000*tech_proj!R1312)/((1-tech_proj!R472)*tech_proj!R752*$L$110))</f>
        <v>86.920039260251173</v>
      </c>
      <c r="S692" s="72">
        <f>IF(tech_base!$T68&gt;S$625,"",(1000*tech_proj!S1032*(-PMT($J$110,tech_base!$F68,1))+1000*tech_proj!S1312)/((1-tech_proj!S472)*tech_proj!S752*$L$110))</f>
        <v>86.897990373331268</v>
      </c>
      <c r="T692" s="72">
        <f>IF(tech_base!$T68&gt;T$625,"",(1000*tech_proj!T1032*(-PMT($J$110,tech_base!$F68,1))+1000*tech_proj!T1312)/((1-tech_proj!T472)*tech_proj!T752*$L$110))</f>
        <v>86.872424335371804</v>
      </c>
      <c r="U692" s="72">
        <f>IF(tech_base!$T68&gt;U$625,"",(1000*tech_proj!U1032*(-PMT($J$110,tech_base!$F68,1))+1000*tech_proj!U1312)/((1-tech_proj!U472)*tech_proj!U752*$L$110))</f>
        <v>86.842789638342765</v>
      </c>
      <c r="V692" s="72">
        <f>IF(tech_base!$T68&gt;V$625,"",(1000*tech_proj!V1032*(-PMT($J$110,tech_base!$F68,1))+1000*tech_proj!V1312)/((1-tech_proj!V472)*tech_proj!V752*$L$110))</f>
        <v>86.808451599667407</v>
      </c>
      <c r="W692" s="72">
        <f>IF(tech_base!$T68&gt;W$625,"",(1000*tech_proj!W1032*(-PMT($J$110,tech_base!$F68,1))+1000*tech_proj!W1312)/((1-tech_proj!W472)*tech_proj!W752*$L$110))</f>
        <v>86.768680966852358</v>
      </c>
      <c r="X692" s="72">
        <f>IF(tech_base!$T68&gt;X$625,"",(1000*tech_proj!X1032*(-PMT($J$110,tech_base!$F68,1))+1000*tech_proj!X1312)/((1-tech_proj!X472)*tech_proj!X752*$L$110))</f>
        <v>86.722641366304785</v>
      </c>
      <c r="Y692" s="72">
        <f>IF(tech_base!$T68&gt;Y$625,"",(1000*tech_proj!Y1032*(-PMT($J$110,tech_base!$F68,1))+1000*tech_proj!Y1312)/((1-tech_proj!Y472)*tech_proj!Y752*$L$110))</f>
        <v>86.669375631318331</v>
      </c>
      <c r="Z692" s="72">
        <f>IF(tech_base!$T68&gt;Z$625,"",(1000*tech_proj!Z1032*(-PMT($J$110,tech_base!$F68,1))+1000*tech_proj!Z1312)/((1-tech_proj!Z472)*tech_proj!Z752*$L$110))</f>
        <v>86.607791117361899</v>
      </c>
      <c r="AA692" s="72">
        <f>IF(tech_base!$T68&gt;AA$625,"",(1000*tech_proj!AA1032*(-PMT($J$110,tech_base!$F68,1))+1000*tech_proj!AA1312)/((1-tech_proj!AA472)*tech_proj!AA752*$L$110))</f>
        <v>86.536644216011737</v>
      </c>
      <c r="AB692" s="72">
        <f>IF(tech_base!$T68&gt;AB$625,"",(1000*tech_proj!AB1032*(-PMT($J$110,tech_base!$F68,1))+1000*tech_proj!AB1312)/((1-tech_proj!AB472)*tech_proj!AB752*$L$110))</f>
        <v>86.454524420593913</v>
      </c>
      <c r="AC692" s="72">
        <f>IF(tech_base!$T68&gt;AC$625,"",(1000*tech_proj!AC1032*(-PMT($J$110,tech_base!$F68,1))+1000*tech_proj!AC1312)/((1-tech_proj!AC472)*tech_proj!AC752*$L$110))</f>
        <v>86.359838486622678</v>
      </c>
      <c r="AD692" s="72">
        <f>IF(tech_base!$T68&gt;AD$625,"",(1000*tech_proj!AD1032*(-PMT($J$110,tech_base!$F68,1))+1000*tech_proj!AD1312)/((1-tech_proj!AD472)*tech_proj!AD752*$L$110))</f>
        <v>86.250795479083195</v>
      </c>
      <c r="AE692" s="72">
        <f>IF(tech_base!$T68&gt;AE$625,"",(1000*tech_proj!AE1032*(-PMT($J$110,tech_base!$F68,1))+1000*tech_proj!AE1312)/((1-tech_proj!AE472)*tech_proj!AE752*$L$110))</f>
        <v>86.125393817176231</v>
      </c>
      <c r="AF692" s="72">
        <f>IF(tech_base!$T68&gt;AF$625,"",(1000*tech_proj!AF1032*(-PMT($J$110,tech_base!$F68,1))+1000*tech_proj!AF1312)/((1-tech_proj!AF472)*tech_proj!AF752*$L$110))</f>
        <v>85.981411824317988</v>
      </c>
      <c r="AG692" s="72">
        <f>IF(tech_base!$T68&gt;AG$625,"",(1000*tech_proj!AG1032*(-PMT($J$110,tech_base!$F68,1))+1000*tech_proj!AG1312)/((1-tech_proj!AG472)*tech_proj!AG752*$L$110))</f>
        <v>85.816403771590529</v>
      </c>
      <c r="AH692" s="72">
        <f>IF(tech_base!$T68&gt;AH$625,"",(1000*tech_proj!AH1032*(-PMT($J$110,tech_base!$F68,1))+1000*tech_proj!AH1312)/((1-tech_proj!AH472)*tech_proj!AH752*$L$110))</f>
        <v>85.627703962445821</v>
      </c>
      <c r="AI692" s="72">
        <f>IF(tech_base!$T68&gt;AI$625,"",(1000*tech_proj!AI1032*(-PMT($J$110,tech_base!$F68,1))+1000*tech_proj!AI1312)/((1-tech_proj!AI472)*tech_proj!AI752*$L$110))</f>
        <v>85.412442026476768</v>
      </c>
      <c r="AJ692" s="72">
        <f>IF(tech_base!$T68&gt;AJ$625,"",(1000*tech_proj!AJ1032*(-PMT($J$110,tech_base!$F68,1))+1000*tech_proj!AJ1312)/((1-tech_proj!AJ472)*tech_proj!AJ752*$L$110))</f>
        <v>85.167573228564351</v>
      </c>
      <c r="AK692" s="72">
        <f>IF(tech_base!$T68&gt;AK$625,"",(1000*tech_proj!AK1032*(-PMT($J$110,tech_base!$F68,1))+1000*tech_proj!AK1312)/((1-tech_proj!AK472)*tech_proj!AK752*$L$110))</f>
        <v>84.889928181221393</v>
      </c>
      <c r="AL692" s="72">
        <f>IF(tech_base!$T68&gt;AL$625,"",(1000*tech_proj!AL1032*(-PMT($J$110,tech_base!$F68,1))+1000*tech_proj!AL1312)/((1-tech_proj!AL472)*tech_proj!AL752*$L$110))</f>
        <v>84.576286751809846</v>
      </c>
      <c r="AM692" s="72">
        <f>IF(tech_base!$T68&gt;AM$625,"",(1000*tech_proj!AM1032*(-PMT($J$110,tech_base!$F68,1))+1000*tech_proj!AM1312)/((1-tech_proj!AM472)*tech_proj!AM752*$L$110))</f>
        <v>84.22348100599028</v>
      </c>
      <c r="AN692" s="72">
        <f>IF(tech_base!$T68&gt;AN$625,"",(1000*tech_proj!AN1032*(-PMT($J$110,tech_base!$F68,1))+1000*tech_proj!AN1312)/((1-tech_proj!AN472)*tech_proj!AN752*$L$110))</f>
        <v>83.828531486527368</v>
      </c>
      <c r="AO692" s="72">
        <f>IF(tech_base!$T68&gt;AO$625,"",(1000*tech_proj!AO1032*(-PMT($J$110,tech_base!$F68,1))+1000*tech_proj!AO1312)/((1-tech_proj!AO472)*tech_proj!AO752*$L$110))</f>
        <v>83.388819700406344</v>
      </c>
      <c r="AP692" s="72">
        <f>IF(tech_base!$T68&gt;AP$625,"",(1000*tech_proj!AP1032*(-PMT($J$110,tech_base!$F68,1))+1000*tech_proj!AP1312)/((1-tech_proj!AP472)*tech_proj!AP752*$L$110))</f>
        <v>82.902297059809158</v>
      </c>
      <c r="AQ692" s="72">
        <f>IF(tech_base!$T68&gt;AQ$625,"",(1000*tech_proj!AQ1032*(-PMT($J$110,tech_base!$F68,1))+1000*tech_proj!AQ1312)/((1-tech_proj!AQ472)*tech_proj!AQ752*$L$110))</f>
        <v>82.367726413803723</v>
      </c>
      <c r="AR692" s="72">
        <f>IF(tech_base!$T68&gt;AR$625,"",(1000*tech_proj!AR1032*(-PMT($J$110,tech_base!$F68,1))+1000*tech_proj!AR1312)/((1-tech_proj!AR472)*tech_proj!AR752*$L$110))</f>
        <v>81.784946580211113</v>
      </c>
      <c r="AS692" s="72">
        <f>IF(tech_base!$T68&gt;AS$625,"",(1000*tech_proj!AS1032*(-PMT($J$110,tech_base!$F68,1))+1000*tech_proj!AS1312)/((1-tech_proj!AS472)*tech_proj!AS752*$L$110))</f>
        <v>81.155143095020662</v>
      </c>
      <c r="AT692" s="72">
        <f>IF(tech_base!$T68&gt;AT$625,"",(1000*tech_proj!AT1032*(-PMT($J$110,tech_base!$F68,1))+1000*tech_proj!AT1312)/((1-tech_proj!AT472)*tech_proj!AT752*$L$110))</f>
        <v>80.481100358357168</v>
      </c>
      <c r="AU692" s="72">
        <f>IF(tech_base!$T68&gt;AU$625,"",(1000*tech_proj!AU1032*(-PMT($J$110,tech_base!$F68,1))+1000*tech_proj!AU1312)/((1-tech_proj!AU472)*tech_proj!AU752*$L$110))</f>
        <v>79.767402702269464</v>
      </c>
      <c r="AV692" s="72">
        <f>IF(tech_base!$T68&gt;AV$625,"",(1000*tech_proj!AV1032*(-PMT($J$110,tech_base!$F68,1))+1000*tech_proj!AV1312)/((1-tech_proj!AV472)*tech_proj!AV752*$L$110))</f>
        <v>79.020546517918532</v>
      </c>
      <c r="AW692" s="72">
        <f>IF(tech_base!$T68&gt;AW$625,"",(1000*tech_proj!AW1032*(-PMT($J$110,tech_base!$F68,1))+1000*tech_proj!AW1312)/((1-tech_proj!AW472)*tech_proj!AW752*$L$110))</f>
        <v>78.248924809946217</v>
      </c>
      <c r="AX692" s="238">
        <f>IF(tech_base!$T68&gt;AX$625,"",(1000*tech_proj!AX1032*(-PMT($J$110,tech_base!$F68,1))+1000*tech_proj!AX1312)/((1-tech_proj!AX472)*tech_proj!AX752*$L$110))</f>
        <v>77.462651726929863</v>
      </c>
      <c r="AY692" s="133"/>
    </row>
    <row r="693" spans="1:51" s="174" customFormat="1" x14ac:dyDescent="0.25">
      <c r="A693" s="356"/>
      <c r="B693" s="376"/>
      <c r="C693" s="361" t="s">
        <v>15</v>
      </c>
      <c r="D693" s="58" t="s">
        <v>7</v>
      </c>
      <c r="E693" s="164" t="str">
        <f>A671&amp;"/"&amp;B687&amp;"/"&amp;C693&amp;"/"&amp;D693</f>
        <v>Lignite fired power plants/Fluidized bed combustion/Electricity only with CCS/L</v>
      </c>
      <c r="F693" s="78" t="str">
        <f>A671</f>
        <v>Lignite fired power plants</v>
      </c>
      <c r="G693" s="78" t="str">
        <f>B687</f>
        <v>Fluidized bed combustion</v>
      </c>
      <c r="H693" s="78" t="str">
        <f>C693</f>
        <v>Electricity only with CCS</v>
      </c>
      <c r="I693" s="165" t="str">
        <f t="shared" si="363"/>
        <v>L</v>
      </c>
      <c r="J693" s="71" t="str">
        <f>IF(tech_base!$T69&gt;J$625,"",(1000*tech_proj!J1033*(-PMT($J$110,tech_base!$F69,1))+1000*tech_proj!J1313)/((1-tech_proj!J473)*tech_proj!J753*$L$110))</f>
        <v/>
      </c>
      <c r="K693" s="71" t="str">
        <f>IF(tech_base!$T69&gt;K$625,"",(1000*tech_proj!K1033*(-PMT($J$110,tech_base!$F69,1))+1000*tech_proj!K1313)/((1-tech_proj!K473)*tech_proj!K753*$L$110))</f>
        <v/>
      </c>
      <c r="L693" s="71" t="str">
        <f>IF(tech_base!$T69&gt;L$625,"",(1000*tech_proj!L1033*(-PMT($J$110,tech_base!$F69,1))+1000*tech_proj!L1313)/((1-tech_proj!L473)*tech_proj!L753*$L$110))</f>
        <v/>
      </c>
      <c r="M693" s="71" t="str">
        <f>IF(tech_base!$T69&gt;M$625,"",(1000*tech_proj!M1033*(-PMT($J$110,tech_base!$F69,1))+1000*tech_proj!M1313)/((1-tech_proj!M473)*tech_proj!M753*$L$110))</f>
        <v/>
      </c>
      <c r="N693" s="71" t="str">
        <f>IF(tech_base!$T69&gt;N$625,"",(1000*tech_proj!N1033*(-PMT($J$110,tech_base!$F69,1))+1000*tech_proj!N1313)/((1-tech_proj!N473)*tech_proj!N753*$L$110))</f>
        <v/>
      </c>
      <c r="O693" s="71" t="str">
        <f>IF(tech_base!$T69&gt;O$625,"",(1000*tech_proj!O1033*(-PMT($J$110,tech_base!$F69,1))+1000*tech_proj!O1313)/((1-tech_proj!O473)*tech_proj!O753*$L$110))</f>
        <v/>
      </c>
      <c r="P693" s="71" t="str">
        <f>IF(tech_base!$T69&gt;P$625,"",(1000*tech_proj!P1033*(-PMT($J$110,tech_base!$F69,1))+1000*tech_proj!P1313)/((1-tech_proj!P473)*tech_proj!P753*$L$110))</f>
        <v/>
      </c>
      <c r="Q693" s="71" t="str">
        <f>IF(tech_base!$T69&gt;Q$625,"",(1000*tech_proj!Q1033*(-PMT($J$110,tech_base!$F69,1))+1000*tech_proj!Q1313)/((1-tech_proj!Q473)*tech_proj!Q753*$L$110))</f>
        <v/>
      </c>
      <c r="R693" s="71" t="str">
        <f>IF(tech_base!$T69&gt;R$625,"",(1000*tech_proj!R1033*(-PMT($J$110,tech_base!$F69,1))+1000*tech_proj!R1313)/((1-tech_proj!R473)*tech_proj!R753*$L$110))</f>
        <v/>
      </c>
      <c r="S693" s="71" t="str">
        <f>IF(tech_base!$T69&gt;S$625,"",(1000*tech_proj!S1033*(-PMT($J$110,tech_base!$F69,1))+1000*tech_proj!S1313)/((1-tech_proj!S473)*tech_proj!S753*$L$110))</f>
        <v/>
      </c>
      <c r="T693" s="71" t="str">
        <f>IF(tech_base!$T69&gt;T$625,"",(1000*tech_proj!T1033*(-PMT($J$110,tech_base!$F69,1))+1000*tech_proj!T1313)/((1-tech_proj!T473)*tech_proj!T753*$L$110))</f>
        <v/>
      </c>
      <c r="U693" s="71" t="str">
        <f>IF(tech_base!$T69&gt;U$625,"",(1000*tech_proj!U1033*(-PMT($J$110,tech_base!$F69,1))+1000*tech_proj!U1313)/((1-tech_proj!U473)*tech_proj!U753*$L$110))</f>
        <v/>
      </c>
      <c r="V693" s="71" t="str">
        <f>IF(tech_base!$T69&gt;V$625,"",(1000*tech_proj!V1033*(-PMT($J$110,tech_base!$F69,1))+1000*tech_proj!V1313)/((1-tech_proj!V473)*tech_proj!V753*$L$110))</f>
        <v/>
      </c>
      <c r="W693" s="71" t="str">
        <f>IF(tech_base!$T69&gt;W$625,"",(1000*tech_proj!W1033*(-PMT($J$110,tech_base!$F69,1))+1000*tech_proj!W1313)/((1-tech_proj!W473)*tech_proj!W753*$L$110))</f>
        <v/>
      </c>
      <c r="X693" s="71" t="str">
        <f>IF(tech_base!$T69&gt;X$625,"",(1000*tech_proj!X1033*(-PMT($J$110,tech_base!$F69,1))+1000*tech_proj!X1313)/((1-tech_proj!X473)*tech_proj!X753*$L$110))</f>
        <v/>
      </c>
      <c r="Y693" s="71" t="str">
        <f>IF(tech_base!$T69&gt;Y$625,"",(1000*tech_proj!Y1033*(-PMT($J$110,tech_base!$F69,1))+1000*tech_proj!Y1313)/((1-tech_proj!Y473)*tech_proj!Y753*$L$110))</f>
        <v/>
      </c>
      <c r="Z693" s="71" t="str">
        <f>IF(tech_base!$T69&gt;Z$625,"",(1000*tech_proj!Z1033*(-PMT($J$110,tech_base!$F69,1))+1000*tech_proj!Z1313)/((1-tech_proj!Z473)*tech_proj!Z753*$L$110))</f>
        <v/>
      </c>
      <c r="AA693" s="71" t="str">
        <f>IF(tech_base!$T69&gt;AA$625,"",(1000*tech_proj!AA1033*(-PMT($J$110,tech_base!$F69,1))+1000*tech_proj!AA1313)/((1-tech_proj!AA473)*tech_proj!AA753*$L$110))</f>
        <v/>
      </c>
      <c r="AB693" s="71" t="str">
        <f>IF(tech_base!$T69&gt;AB$625,"",(1000*tech_proj!AB1033*(-PMT($J$110,tech_base!$F69,1))+1000*tech_proj!AB1313)/((1-tech_proj!AB473)*tech_proj!AB753*$L$110))</f>
        <v/>
      </c>
      <c r="AC693" s="71" t="str">
        <f>IF(tech_base!$T69&gt;AC$625,"",(1000*tech_proj!AC1033*(-PMT($J$110,tech_base!$F69,1))+1000*tech_proj!AC1313)/((1-tech_proj!AC473)*tech_proj!AC753*$L$110))</f>
        <v/>
      </c>
      <c r="AD693" s="71" t="str">
        <f>IF(tech_base!$T69&gt;AD$625,"",(1000*tech_proj!AD1033*(-PMT($J$110,tech_base!$F69,1))+1000*tech_proj!AD1313)/((1-tech_proj!AD473)*tech_proj!AD753*$L$110))</f>
        <v/>
      </c>
      <c r="AE693" s="71">
        <f>IF(tech_base!$T69&gt;AE$625,"",(1000*tech_proj!AE1033*(-PMT($J$110,tech_base!$F69,1))+1000*tech_proj!AE1313)/((1-tech_proj!AE473)*tech_proj!AE753*$L$110))</f>
        <v>168.33328390552575</v>
      </c>
      <c r="AF693" s="71">
        <f>IF(tech_base!$T69&gt;AF$625,"",(1000*tech_proj!AF1033*(-PMT($J$110,tech_base!$F69,1))+1000*tech_proj!AF1313)/((1-tech_proj!AF473)*tech_proj!AF753*$L$110))</f>
        <v>168.28965860066251</v>
      </c>
      <c r="AG693" s="71">
        <f>IF(tech_base!$T69&gt;AG$625,"",(1000*tech_proj!AG1033*(-PMT($J$110,tech_base!$F69,1))+1000*tech_proj!AG1313)/((1-tech_proj!AG473)*tech_proj!AG753*$L$110))</f>
        <v>168.23373061332308</v>
      </c>
      <c r="AH693" s="71">
        <f>IF(tech_base!$T69&gt;AH$625,"",(1000*tech_proj!AH1033*(-PMT($J$110,tech_base!$F69,1))+1000*tech_proj!AH1313)/((1-tech_proj!AH473)*tech_proj!AH753*$L$110))</f>
        <v>168.16206239133152</v>
      </c>
      <c r="AI693" s="71">
        <f>IF(tech_base!$T69&gt;AI$625,"",(1000*tech_proj!AI1033*(-PMT($J$110,tech_base!$F69,1))+1000*tech_proj!AI1313)/((1-tech_proj!AI473)*tech_proj!AI753*$L$110))</f>
        <v>168.0702764131502</v>
      </c>
      <c r="AJ693" s="71">
        <f>IF(tech_base!$T69&gt;AJ$625,"",(1000*tech_proj!AJ1033*(-PMT($J$110,tech_base!$F69,1))+1000*tech_proj!AJ1313)/((1-tech_proj!AJ473)*tech_proj!AJ753*$L$110))</f>
        <v>167.95281135757878</v>
      </c>
      <c r="AK693" s="71">
        <f>IF(tech_base!$T69&gt;AK$625,"",(1000*tech_proj!AK1033*(-PMT($J$110,tech_base!$F69,1))+1000*tech_proj!AK1313)/((1-tech_proj!AK473)*tech_proj!AK753*$L$110))</f>
        <v>167.80262353189858</v>
      </c>
      <c r="AL693" s="71">
        <f>IF(tech_base!$T69&gt;AL$625,"",(1000*tech_proj!AL1033*(-PMT($J$110,tech_base!$F69,1))+1000*tech_proj!AL1313)/((1-tech_proj!AL473)*tech_proj!AL753*$L$110))</f>
        <v>167.61082687898613</v>
      </c>
      <c r="AM693" s="71">
        <f>IF(tech_base!$T69&gt;AM$625,"",(1000*tech_proj!AM1033*(-PMT($J$110,tech_base!$F69,1))+1000*tech_proj!AM1313)/((1-tech_proj!AM473)*tech_proj!AM753*$L$110))</f>
        <v>167.36626815494083</v>
      </c>
      <c r="AN693" s="71">
        <f>IF(tech_base!$T69&gt;AN$625,"",(1000*tech_proj!AN1033*(-PMT($J$110,tech_base!$F69,1))+1000*tech_proj!AN1313)/((1-tech_proj!AN473)*tech_proj!AN753*$L$110))</f>
        <v>167.05504080917595</v>
      </c>
      <c r="AO693" s="71">
        <f>IF(tech_base!$T69&gt;AO$625,"",(1000*tech_proj!AO1033*(-PMT($J$110,tech_base!$F69,1))+1000*tech_proj!AO1313)/((1-tech_proj!AO473)*tech_proj!AO753*$L$110))</f>
        <v>166.65995391136161</v>
      </c>
      <c r="AP693" s="71">
        <f>IF(tech_base!$T69&gt;AP$625,"",(1000*tech_proj!AP1033*(-PMT($J$110,tech_base!$F69,1))+1000*tech_proj!AP1313)/((1-tech_proj!AP473)*tech_proj!AP753*$L$110))</f>
        <v>166.15999415125759</v>
      </c>
      <c r="AQ693" s="71">
        <f>IF(tech_base!$T69&gt;AQ$625,"",(1000*tech_proj!AQ1033*(-PMT($J$110,tech_base!$F69,1))+1000*tech_proj!AQ1313)/((1-tech_proj!AQ473)*tech_proj!AQ753*$L$110))</f>
        <v>165.5298531235612</v>
      </c>
      <c r="AR693" s="71">
        <f>IF(tech_base!$T69&gt;AR$625,"",(1000*tech_proj!AR1033*(-PMT($J$110,tech_base!$F69,1))+1000*tech_proj!AR1313)/((1-tech_proj!AR473)*tech_proj!AR753*$L$110))</f>
        <v>164.73964230463446</v>
      </c>
      <c r="AS693" s="71">
        <f>IF(tech_base!$T69&gt;AS$625,"",(1000*tech_proj!AS1033*(-PMT($J$110,tech_base!$F69,1))+1000*tech_proj!AS1313)/((1-tech_proj!AS473)*tech_proj!AS753*$L$110))</f>
        <v>163.75498571795819</v>
      </c>
      <c r="AT693" s="71">
        <f>IF(tech_base!$T69&gt;AT$625,"",(1000*tech_proj!AT1033*(-PMT($J$110,tech_base!$F69,1))+1000*tech_proj!AT1313)/((1-tech_proj!AT473)*tech_proj!AT753*$L$110))</f>
        <v>162.53776052117277</v>
      </c>
      <c r="AU693" s="71">
        <f>IF(tech_base!$T69&gt;AU$625,"",(1000*tech_proj!AU1033*(-PMT($J$110,tech_base!$F69,1))+1000*tech_proj!AU1313)/((1-tech_proj!AU473)*tech_proj!AU753*$L$110))</f>
        <v>161.04783105676225</v>
      </c>
      <c r="AV693" s="71">
        <f>IF(tech_base!$T69&gt;AV$625,"",(1000*tech_proj!AV1033*(-PMT($J$110,tech_base!$F69,1))+1000*tech_proj!AV1313)/((1-tech_proj!AV473)*tech_proj!AV753*$L$110))</f>
        <v>159.24615322760604</v>
      </c>
      <c r="AW693" s="71">
        <f>IF(tech_base!$T69&gt;AW$625,"",(1000*tech_proj!AW1033*(-PMT($J$110,tech_base!$F69,1))+1000*tech_proj!AW1313)/((1-tech_proj!AW473)*tech_proj!AW753*$L$110))</f>
        <v>157.09954651288311</v>
      </c>
      <c r="AX693" s="237">
        <f>IF(tech_base!$T69&gt;AX$625,"",(1000*tech_proj!AX1033*(-PMT($J$110,tech_base!$F69,1))+1000*tech_proj!AX1313)/((1-tech_proj!AX473)*tech_proj!AX753*$L$110))</f>
        <v>154.5871526941593</v>
      </c>
      <c r="AY693" s="133"/>
    </row>
    <row r="694" spans="1:51" s="174" customFormat="1" x14ac:dyDescent="0.25">
      <c r="A694" s="356"/>
      <c r="B694" s="376"/>
      <c r="C694" s="379"/>
      <c r="D694" s="59" t="s">
        <v>8</v>
      </c>
      <c r="E694" s="166" t="str">
        <f>A671&amp;"/"&amp;B687&amp;"/"&amp;C693&amp;"/"&amp;D694</f>
        <v>Lignite fired power plants/Fluidized bed combustion/Electricity only with CCS/M</v>
      </c>
      <c r="F694" s="79" t="str">
        <f>A671</f>
        <v>Lignite fired power plants</v>
      </c>
      <c r="G694" s="79" t="str">
        <f>B687</f>
        <v>Fluidized bed combustion</v>
      </c>
      <c r="H694" s="79" t="str">
        <f>C693</f>
        <v>Electricity only with CCS</v>
      </c>
      <c r="I694" s="167" t="str">
        <f t="shared" si="363"/>
        <v>M</v>
      </c>
      <c r="J694" s="72" t="str">
        <f>IF(tech_base!$T70&gt;J$625,"",(1000*tech_proj!J1034*(-PMT($J$110,tech_base!$F70,1))+1000*tech_proj!J1314)/((1-tech_proj!J474)*tech_proj!J754*$L$110))</f>
        <v/>
      </c>
      <c r="K694" s="72" t="str">
        <f>IF(tech_base!$T70&gt;K$625,"",(1000*tech_proj!K1034*(-PMT($J$110,tech_base!$F70,1))+1000*tech_proj!K1314)/((1-tech_proj!K474)*tech_proj!K754*$L$110))</f>
        <v/>
      </c>
      <c r="L694" s="72" t="str">
        <f>IF(tech_base!$T70&gt;L$625,"",(1000*tech_proj!L1034*(-PMT($J$110,tech_base!$F70,1))+1000*tech_proj!L1314)/((1-tech_proj!L474)*tech_proj!L754*$L$110))</f>
        <v/>
      </c>
      <c r="M694" s="72" t="str">
        <f>IF(tech_base!$T70&gt;M$625,"",(1000*tech_proj!M1034*(-PMT($J$110,tech_base!$F70,1))+1000*tech_proj!M1314)/((1-tech_proj!M474)*tech_proj!M754*$L$110))</f>
        <v/>
      </c>
      <c r="N694" s="72" t="str">
        <f>IF(tech_base!$T70&gt;N$625,"",(1000*tech_proj!N1034*(-PMT($J$110,tech_base!$F70,1))+1000*tech_proj!N1314)/((1-tech_proj!N474)*tech_proj!N754*$L$110))</f>
        <v/>
      </c>
      <c r="O694" s="72" t="str">
        <f>IF(tech_base!$T70&gt;O$625,"",(1000*tech_proj!O1034*(-PMT($J$110,tech_base!$F70,1))+1000*tech_proj!O1314)/((1-tech_proj!O474)*tech_proj!O754*$L$110))</f>
        <v/>
      </c>
      <c r="P694" s="72" t="str">
        <f>IF(tech_base!$T70&gt;P$625,"",(1000*tech_proj!P1034*(-PMT($J$110,tech_base!$F70,1))+1000*tech_proj!P1314)/((1-tech_proj!P474)*tech_proj!P754*$L$110))</f>
        <v/>
      </c>
      <c r="Q694" s="72" t="str">
        <f>IF(tech_base!$T70&gt;Q$625,"",(1000*tech_proj!Q1034*(-PMT($J$110,tech_base!$F70,1))+1000*tech_proj!Q1314)/((1-tech_proj!Q474)*tech_proj!Q754*$L$110))</f>
        <v/>
      </c>
      <c r="R694" s="72" t="str">
        <f>IF(tech_base!$T70&gt;R$625,"",(1000*tech_proj!R1034*(-PMT($J$110,tech_base!$F70,1))+1000*tech_proj!R1314)/((1-tech_proj!R474)*tech_proj!R754*$L$110))</f>
        <v/>
      </c>
      <c r="S694" s="72" t="str">
        <f>IF(tech_base!$T70&gt;S$625,"",(1000*tech_proj!S1034*(-PMT($J$110,tech_base!$F70,1))+1000*tech_proj!S1314)/((1-tech_proj!S474)*tech_proj!S754*$L$110))</f>
        <v/>
      </c>
      <c r="T694" s="72" t="str">
        <f>IF(tech_base!$T70&gt;T$625,"",(1000*tech_proj!T1034*(-PMT($J$110,tech_base!$F70,1))+1000*tech_proj!T1314)/((1-tech_proj!T474)*tech_proj!T754*$L$110))</f>
        <v/>
      </c>
      <c r="U694" s="72" t="str">
        <f>IF(tech_base!$T70&gt;U$625,"",(1000*tech_proj!U1034*(-PMT($J$110,tech_base!$F70,1))+1000*tech_proj!U1314)/((1-tech_proj!U474)*tech_proj!U754*$L$110))</f>
        <v/>
      </c>
      <c r="V694" s="72" t="str">
        <f>IF(tech_base!$T70&gt;V$625,"",(1000*tech_proj!V1034*(-PMT($J$110,tech_base!$F70,1))+1000*tech_proj!V1314)/((1-tech_proj!V474)*tech_proj!V754*$L$110))</f>
        <v/>
      </c>
      <c r="W694" s="72" t="str">
        <f>IF(tech_base!$T70&gt;W$625,"",(1000*tech_proj!W1034*(-PMT($J$110,tech_base!$F70,1))+1000*tech_proj!W1314)/((1-tech_proj!W474)*tech_proj!W754*$L$110))</f>
        <v/>
      </c>
      <c r="X694" s="72" t="str">
        <f>IF(tech_base!$T70&gt;X$625,"",(1000*tech_proj!X1034*(-PMT($J$110,tech_base!$F70,1))+1000*tech_proj!X1314)/((1-tech_proj!X474)*tech_proj!X754*$L$110))</f>
        <v/>
      </c>
      <c r="Y694" s="72" t="str">
        <f>IF(tech_base!$T70&gt;Y$625,"",(1000*tech_proj!Y1034*(-PMT($J$110,tech_base!$F70,1))+1000*tech_proj!Y1314)/((1-tech_proj!Y474)*tech_proj!Y754*$L$110))</f>
        <v/>
      </c>
      <c r="Z694" s="72" t="str">
        <f>IF(tech_base!$T70&gt;Z$625,"",(1000*tech_proj!Z1034*(-PMT($J$110,tech_base!$F70,1))+1000*tech_proj!Z1314)/((1-tech_proj!Z474)*tech_proj!Z754*$L$110))</f>
        <v/>
      </c>
      <c r="AA694" s="72" t="str">
        <f>IF(tech_base!$T70&gt;AA$625,"",(1000*tech_proj!AA1034*(-PMT($J$110,tech_base!$F70,1))+1000*tech_proj!AA1314)/((1-tech_proj!AA474)*tech_proj!AA754*$L$110))</f>
        <v/>
      </c>
      <c r="AB694" s="72" t="str">
        <f>IF(tech_base!$T70&gt;AB$625,"",(1000*tech_proj!AB1034*(-PMT($J$110,tech_base!$F70,1))+1000*tech_proj!AB1314)/((1-tech_proj!AB474)*tech_proj!AB754*$L$110))</f>
        <v/>
      </c>
      <c r="AC694" s="72" t="str">
        <f>IF(tech_base!$T70&gt;AC$625,"",(1000*tech_proj!AC1034*(-PMT($J$110,tech_base!$F70,1))+1000*tech_proj!AC1314)/((1-tech_proj!AC474)*tech_proj!AC754*$L$110))</f>
        <v/>
      </c>
      <c r="AD694" s="72" t="str">
        <f>IF(tech_base!$T70&gt;AD$625,"",(1000*tech_proj!AD1034*(-PMT($J$110,tech_base!$F70,1))+1000*tech_proj!AD1314)/((1-tech_proj!AD474)*tech_proj!AD754*$L$110))</f>
        <v/>
      </c>
      <c r="AE694" s="72">
        <f>IF(tech_base!$T70&gt;AE$625,"",(1000*tech_proj!AE1034*(-PMT($J$110,tech_base!$F70,1))+1000*tech_proj!AE1314)/((1-tech_proj!AE474)*tech_proj!AE754*$L$110))</f>
        <v>190.36707305481917</v>
      </c>
      <c r="AF694" s="72">
        <f>IF(tech_base!$T70&gt;AF$625,"",(1000*tech_proj!AF1034*(-PMT($J$110,tech_base!$F70,1))+1000*tech_proj!AF1314)/((1-tech_proj!AF474)*tech_proj!AF754*$L$110))</f>
        <v>190.31474452801086</v>
      </c>
      <c r="AG694" s="72">
        <f>IF(tech_base!$T70&gt;AG$625,"",(1000*tech_proj!AG1034*(-PMT($J$110,tech_base!$F70,1))+1000*tech_proj!AG1314)/((1-tech_proj!AG474)*tech_proj!AG754*$L$110))</f>
        <v>190.24765894101043</v>
      </c>
      <c r="AH694" s="72">
        <f>IF(tech_base!$T70&gt;AH$625,"",(1000*tech_proj!AH1034*(-PMT($J$110,tech_base!$F70,1))+1000*tech_proj!AH1314)/((1-tech_proj!AH474)*tech_proj!AH754*$L$110))</f>
        <v>190.16169295206112</v>
      </c>
      <c r="AI694" s="72">
        <f>IF(tech_base!$T70&gt;AI$625,"",(1000*tech_proj!AI1034*(-PMT($J$110,tech_base!$F70,1))+1000*tech_proj!AI1314)/((1-tech_proj!AI474)*tech_proj!AI754*$L$110))</f>
        <v>190.05159572672503</v>
      </c>
      <c r="AJ694" s="72">
        <f>IF(tech_base!$T70&gt;AJ$625,"",(1000*tech_proj!AJ1034*(-PMT($J$110,tech_base!$F70,1))+1000*tech_proj!AJ1314)/((1-tech_proj!AJ474)*tech_proj!AJ754*$L$110))</f>
        <v>189.91069646358466</v>
      </c>
      <c r="AK694" s="72">
        <f>IF(tech_base!$T70&gt;AK$625,"",(1000*tech_proj!AK1034*(-PMT($J$110,tech_base!$F70,1))+1000*tech_proj!AK1314)/((1-tech_proj!AK474)*tech_proj!AK754*$L$110))</f>
        <v>189.73054625748259</v>
      </c>
      <c r="AL694" s="72">
        <f>IF(tech_base!$T70&gt;AL$625,"",(1000*tech_proj!AL1034*(-PMT($J$110,tech_base!$F70,1))+1000*tech_proj!AL1314)/((1-tech_proj!AL474)*tech_proj!AL754*$L$110))</f>
        <v>189.50048628827147</v>
      </c>
      <c r="AM694" s="72">
        <f>IF(tech_base!$T70&gt;AM$625,"",(1000*tech_proj!AM1034*(-PMT($J$110,tech_base!$F70,1))+1000*tech_proj!AM1314)/((1-tech_proj!AM474)*tech_proj!AM754*$L$110))</f>
        <v>189.20713824663562</v>
      </c>
      <c r="AN694" s="72">
        <f>IF(tech_base!$T70&gt;AN$625,"",(1000*tech_proj!AN1034*(-PMT($J$110,tech_base!$F70,1))+1000*tech_proj!AN1314)/((1-tech_proj!AN474)*tech_proj!AN754*$L$110))</f>
        <v>188.833821233554</v>
      </c>
      <c r="AO694" s="72">
        <f>IF(tech_base!$T70&gt;AO$625,"",(1000*tech_proj!AO1034*(-PMT($J$110,tech_base!$F70,1))+1000*tech_proj!AO1314)/((1-tech_proj!AO474)*tech_proj!AO754*$L$110))</f>
        <v>188.35991473848929</v>
      </c>
      <c r="AP694" s="72">
        <f>IF(tech_base!$T70&gt;AP$625,"",(1000*tech_proj!AP1034*(-PMT($J$110,tech_base!$F70,1))+1000*tech_proj!AP1314)/((1-tech_proj!AP474)*tech_proj!AP754*$L$110))</f>
        <v>187.76021330851268</v>
      </c>
      <c r="AQ694" s="72">
        <f>IF(tech_base!$T70&gt;AQ$625,"",(1000*tech_proj!AQ1034*(-PMT($J$110,tech_base!$F70,1))+1000*tech_proj!AQ1314)/((1-tech_proj!AQ474)*tech_proj!AQ754*$L$110))</f>
        <v>187.00435952676455</v>
      </c>
      <c r="AR694" s="72">
        <f>IF(tech_base!$T70&gt;AR$625,"",(1000*tech_proj!AR1034*(-PMT($J$110,tech_base!$F70,1))+1000*tech_proj!AR1314)/((1-tech_proj!AR474)*tech_proj!AR754*$L$110))</f>
        <v>186.05650212721144</v>
      </c>
      <c r="AS694" s="72">
        <f>IF(tech_base!$T70&gt;AS$625,"",(1000*tech_proj!AS1034*(-PMT($J$110,tech_base!$F70,1))+1000*tech_proj!AS1314)/((1-tech_proj!AS474)*tech_proj!AS754*$L$110))</f>
        <v>184.87540714680176</v>
      </c>
      <c r="AT694" s="72">
        <f>IF(tech_base!$T70&gt;AT$625,"",(1000*tech_proj!AT1034*(-PMT($J$110,tech_base!$F70,1))+1000*tech_proj!AT1314)/((1-tech_proj!AT474)*tech_proj!AT754*$L$110))</f>
        <v>183.41534625917365</v>
      </c>
      <c r="AU694" s="72">
        <f>IF(tech_base!$T70&gt;AU$625,"",(1000*tech_proj!AU1034*(-PMT($J$110,tech_base!$F70,1))+1000*tech_proj!AU1314)/((1-tech_proj!AU474)*tech_proj!AU754*$L$110))</f>
        <v>181.62817676740204</v>
      </c>
      <c r="AV694" s="72">
        <f>IF(tech_base!$T70&gt;AV$625,"",(1000*tech_proj!AV1034*(-PMT($J$110,tech_base!$F70,1))+1000*tech_proj!AV1314)/((1-tech_proj!AV474)*tech_proj!AV754*$L$110))</f>
        <v>179.46706530059643</v>
      </c>
      <c r="AW694" s="72">
        <f>IF(tech_base!$T70&gt;AW$625,"",(1000*tech_proj!AW1034*(-PMT($J$110,tech_base!$F70,1))+1000*tech_proj!AW1314)/((1-tech_proj!AW474)*tech_proj!AW754*$L$110))</f>
        <v>176.8922118440922</v>
      </c>
      <c r="AX694" s="238">
        <f>IF(tech_base!$T70&gt;AX$625,"",(1000*tech_proj!AX1034*(-PMT($J$110,tech_base!$F70,1))+1000*tech_proj!AX1314)/((1-tech_proj!AX474)*tech_proj!AX754*$L$110))</f>
        <v>173.8785969774884</v>
      </c>
      <c r="AY694" s="133"/>
    </row>
    <row r="695" spans="1:51" s="174" customFormat="1" x14ac:dyDescent="0.25">
      <c r="A695" s="356"/>
      <c r="B695" s="376"/>
      <c r="C695" s="361" t="s">
        <v>16</v>
      </c>
      <c r="D695" s="2" t="s">
        <v>7</v>
      </c>
      <c r="E695" s="160" t="str">
        <f>A671&amp;"/"&amp;B687&amp;"/"&amp;C695&amp;"/"&amp;D695</f>
        <v>Lignite fired power plants/Fluidized bed combustion/CHP with CCS/L</v>
      </c>
      <c r="F695" s="76" t="str">
        <f>A671</f>
        <v>Lignite fired power plants</v>
      </c>
      <c r="G695" s="76" t="str">
        <f>B687</f>
        <v>Fluidized bed combustion</v>
      </c>
      <c r="H695" s="76" t="str">
        <f>C695</f>
        <v>CHP with CCS</v>
      </c>
      <c r="I695" s="161" t="str">
        <f t="shared" si="363"/>
        <v>L</v>
      </c>
      <c r="J695" s="69" t="str">
        <f>IF(tech_base!$T71&gt;J$625,"",(1000*tech_proj!J1035*(-PMT($J$110,tech_base!$F71,1))+1000*tech_proj!J1315)/((1-tech_proj!J475)*tech_proj!J755*$L$110))</f>
        <v/>
      </c>
      <c r="K695" s="69" t="str">
        <f>IF(tech_base!$T71&gt;K$625,"",(1000*tech_proj!K1035*(-PMT($J$110,tech_base!$F71,1))+1000*tech_proj!K1315)/((1-tech_proj!K475)*tech_proj!K755*$L$110))</f>
        <v/>
      </c>
      <c r="L695" s="69" t="str">
        <f>IF(tech_base!$T71&gt;L$625,"",(1000*tech_proj!L1035*(-PMT($J$110,tech_base!$F71,1))+1000*tech_proj!L1315)/((1-tech_proj!L475)*tech_proj!L755*$L$110))</f>
        <v/>
      </c>
      <c r="M695" s="69" t="str">
        <f>IF(tech_base!$T71&gt;M$625,"",(1000*tech_proj!M1035*(-PMT($J$110,tech_base!$F71,1))+1000*tech_proj!M1315)/((1-tech_proj!M475)*tech_proj!M755*$L$110))</f>
        <v/>
      </c>
      <c r="N695" s="69" t="str">
        <f>IF(tech_base!$T71&gt;N$625,"",(1000*tech_proj!N1035*(-PMT($J$110,tech_base!$F71,1))+1000*tech_proj!N1315)/((1-tech_proj!N475)*tech_proj!N755*$L$110))</f>
        <v/>
      </c>
      <c r="O695" s="69" t="str">
        <f>IF(tech_base!$T71&gt;O$625,"",(1000*tech_proj!O1035*(-PMT($J$110,tech_base!$F71,1))+1000*tech_proj!O1315)/((1-tech_proj!O475)*tech_proj!O755*$L$110))</f>
        <v/>
      </c>
      <c r="P695" s="69" t="str">
        <f>IF(tech_base!$T71&gt;P$625,"",(1000*tech_proj!P1035*(-PMT($J$110,tech_base!$F71,1))+1000*tech_proj!P1315)/((1-tech_proj!P475)*tech_proj!P755*$L$110))</f>
        <v/>
      </c>
      <c r="Q695" s="69" t="str">
        <f>IF(tech_base!$T71&gt;Q$625,"",(1000*tech_proj!Q1035*(-PMT($J$110,tech_base!$F71,1))+1000*tech_proj!Q1315)/((1-tech_proj!Q475)*tech_proj!Q755*$L$110))</f>
        <v/>
      </c>
      <c r="R695" s="69" t="str">
        <f>IF(tech_base!$T71&gt;R$625,"",(1000*tech_proj!R1035*(-PMT($J$110,tech_base!$F71,1))+1000*tech_proj!R1315)/((1-tech_proj!R475)*tech_proj!R755*$L$110))</f>
        <v/>
      </c>
      <c r="S695" s="69" t="str">
        <f>IF(tech_base!$T71&gt;S$625,"",(1000*tech_proj!S1035*(-PMT($J$110,tech_base!$F71,1))+1000*tech_proj!S1315)/((1-tech_proj!S475)*tech_proj!S755*$L$110))</f>
        <v/>
      </c>
      <c r="T695" s="69" t="str">
        <f>IF(tech_base!$T71&gt;T$625,"",(1000*tech_proj!T1035*(-PMT($J$110,tech_base!$F71,1))+1000*tech_proj!T1315)/((1-tech_proj!T475)*tech_proj!T755*$L$110))</f>
        <v/>
      </c>
      <c r="U695" s="69" t="str">
        <f>IF(tech_base!$T71&gt;U$625,"",(1000*tech_proj!U1035*(-PMT($J$110,tech_base!$F71,1))+1000*tech_proj!U1315)/((1-tech_proj!U475)*tech_proj!U755*$L$110))</f>
        <v/>
      </c>
      <c r="V695" s="69" t="str">
        <f>IF(tech_base!$T71&gt;V$625,"",(1000*tech_proj!V1035*(-PMT($J$110,tech_base!$F71,1))+1000*tech_proj!V1315)/((1-tech_proj!V475)*tech_proj!V755*$L$110))</f>
        <v/>
      </c>
      <c r="W695" s="69" t="str">
        <f>IF(tech_base!$T71&gt;W$625,"",(1000*tech_proj!W1035*(-PMT($J$110,tech_base!$F71,1))+1000*tech_proj!W1315)/((1-tech_proj!W475)*tech_proj!W755*$L$110))</f>
        <v/>
      </c>
      <c r="X695" s="69" t="str">
        <f>IF(tech_base!$T71&gt;X$625,"",(1000*tech_proj!X1035*(-PMT($J$110,tech_base!$F71,1))+1000*tech_proj!X1315)/((1-tech_proj!X475)*tech_proj!X755*$L$110))</f>
        <v/>
      </c>
      <c r="Y695" s="69" t="str">
        <f>IF(tech_base!$T71&gt;Y$625,"",(1000*tech_proj!Y1035*(-PMT($J$110,tech_base!$F71,1))+1000*tech_proj!Y1315)/((1-tech_proj!Y475)*tech_proj!Y755*$L$110))</f>
        <v/>
      </c>
      <c r="Z695" s="69" t="str">
        <f>IF(tech_base!$T71&gt;Z$625,"",(1000*tech_proj!Z1035*(-PMT($J$110,tech_base!$F71,1))+1000*tech_proj!Z1315)/((1-tech_proj!Z475)*tech_proj!Z755*$L$110))</f>
        <v/>
      </c>
      <c r="AA695" s="69" t="str">
        <f>IF(tech_base!$T71&gt;AA$625,"",(1000*tech_proj!AA1035*(-PMT($J$110,tech_base!$F71,1))+1000*tech_proj!AA1315)/((1-tech_proj!AA475)*tech_proj!AA755*$L$110))</f>
        <v/>
      </c>
      <c r="AB695" s="69" t="str">
        <f>IF(tech_base!$T71&gt;AB$625,"",(1000*tech_proj!AB1035*(-PMT($J$110,tech_base!$F71,1))+1000*tech_proj!AB1315)/((1-tech_proj!AB475)*tech_proj!AB755*$L$110))</f>
        <v/>
      </c>
      <c r="AC695" s="69" t="str">
        <f>IF(tech_base!$T71&gt;AC$625,"",(1000*tech_proj!AC1035*(-PMT($J$110,tech_base!$F71,1))+1000*tech_proj!AC1315)/((1-tech_proj!AC475)*tech_proj!AC755*$L$110))</f>
        <v/>
      </c>
      <c r="AD695" s="69" t="str">
        <f>IF(tech_base!$T71&gt;AD$625,"",(1000*tech_proj!AD1035*(-PMT($J$110,tech_base!$F71,1))+1000*tech_proj!AD1315)/((1-tech_proj!AD475)*tech_proj!AD755*$L$110))</f>
        <v/>
      </c>
      <c r="AE695" s="69">
        <f>IF(tech_base!$T71&gt;AE$625,"",(1000*tech_proj!AE1035*(-PMT($J$110,tech_base!$F71,1))+1000*tech_proj!AE1315)/((1-tech_proj!AE475)*tech_proj!AE755*$L$110))</f>
        <v>188.68111866935703</v>
      </c>
      <c r="AF695" s="69">
        <f>IF(tech_base!$T71&gt;AF$625,"",(1000*tech_proj!AF1035*(-PMT($J$110,tech_base!$F71,1))+1000*tech_proj!AF1315)/((1-tech_proj!AF475)*tech_proj!AF755*$L$110))</f>
        <v>188.6411173351494</v>
      </c>
      <c r="AG695" s="69">
        <f>IF(tech_base!$T71&gt;AG$625,"",(1000*tech_proj!AG1035*(-PMT($J$110,tech_base!$F71,1))+1000*tech_proj!AG1315)/((1-tech_proj!AG475)*tech_proj!AG755*$L$110))</f>
        <v>188.58983530697469</v>
      </c>
      <c r="AH695" s="69">
        <f>IF(tech_base!$T71&gt;AH$625,"",(1000*tech_proj!AH1035*(-PMT($J$110,tech_base!$F71,1))+1000*tech_proj!AH1315)/((1-tech_proj!AH475)*tech_proj!AH755*$L$110))</f>
        <v>188.52412059142281</v>
      </c>
      <c r="AI695" s="69">
        <f>IF(tech_base!$T71&gt;AI$625,"",(1000*tech_proj!AI1035*(-PMT($J$110,tech_base!$F71,1))+1000*tech_proj!AI1315)/((1-tech_proj!AI475)*tech_proj!AI755*$L$110))</f>
        <v>188.439959309334</v>
      </c>
      <c r="AJ695" s="69">
        <f>IF(tech_base!$T71&gt;AJ$625,"",(1000*tech_proj!AJ1035*(-PMT($J$110,tech_base!$F71,1))+1000*tech_proj!AJ1315)/((1-tech_proj!AJ475)*tech_proj!AJ755*$L$110))</f>
        <v>188.33225212057366</v>
      </c>
      <c r="AK695" s="69">
        <f>IF(tech_base!$T71&gt;AK$625,"",(1000*tech_proj!AK1035*(-PMT($J$110,tech_base!$F71,1))+1000*tech_proj!AK1315)/((1-tech_proj!AK475)*tech_proj!AK755*$L$110))</f>
        <v>188.19454045465437</v>
      </c>
      <c r="AL695" s="69">
        <f>IF(tech_base!$T71&gt;AL$625,"",(1000*tech_proj!AL1035*(-PMT($J$110,tech_base!$F71,1))+1000*tech_proj!AL1315)/((1-tech_proj!AL475)*tech_proj!AL755*$L$110))</f>
        <v>188.01867642259532</v>
      </c>
      <c r="AM695" s="69">
        <f>IF(tech_base!$T71&gt;AM$625,"",(1000*tech_proj!AM1035*(-PMT($J$110,tech_base!$F71,1))+1000*tech_proj!AM1315)/((1-tech_proj!AM475)*tech_proj!AM755*$L$110))</f>
        <v>187.79443328470549</v>
      </c>
      <c r="AN695" s="69">
        <f>IF(tech_base!$T71&gt;AN$625,"",(1000*tech_proj!AN1035*(-PMT($J$110,tech_base!$F71,1))+1000*tech_proj!AN1315)/((1-tech_proj!AN475)*tech_proj!AN755*$L$110))</f>
        <v>187.50905971284104</v>
      </c>
      <c r="AO695" s="69">
        <f>IF(tech_base!$T71&gt;AO$625,"",(1000*tech_proj!AO1035*(-PMT($J$110,tech_base!$F71,1))+1000*tech_proj!AO1315)/((1-tech_proj!AO475)*tech_proj!AO755*$L$110))</f>
        <v>187.14679283378828</v>
      </c>
      <c r="AP695" s="69">
        <f>IF(tech_base!$T71&gt;AP$625,"",(1000*tech_proj!AP1035*(-PMT($J$110,tech_base!$F71,1))+1000*tech_proj!AP1315)/((1-tech_proj!AP475)*tech_proj!AP755*$L$110))</f>
        <v>186.68836492097515</v>
      </c>
      <c r="AQ695" s="69">
        <f>IF(tech_base!$T71&gt;AQ$625,"",(1000*tech_proj!AQ1035*(-PMT($J$110,tech_base!$F71,1))+1000*tech_proj!AQ1315)/((1-tech_proj!AQ475)*tech_proj!AQ755*$L$110))</f>
        <v>186.11056994794629</v>
      </c>
      <c r="AR695" s="69">
        <f>IF(tech_base!$T71&gt;AR$625,"",(1000*tech_proj!AR1035*(-PMT($J$110,tech_base!$F71,1))+1000*tech_proj!AR1315)/((1-tech_proj!AR475)*tech_proj!AR755*$L$110))</f>
        <v>185.38600224208213</v>
      </c>
      <c r="AS695" s="69">
        <f>IF(tech_base!$T71&gt;AS$625,"",(1000*tech_proj!AS1035*(-PMT($J$110,tech_base!$F71,1))+1000*tech_proj!AS1315)/((1-tech_proj!AS475)*tech_proj!AS755*$L$110))</f>
        <v>184.48314145229813</v>
      </c>
      <c r="AT695" s="69">
        <f>IF(tech_base!$T71&gt;AT$625,"",(1000*tech_proj!AT1035*(-PMT($J$110,tech_base!$F71,1))+1000*tech_proj!AT1315)/((1-tech_proj!AT475)*tech_proj!AT755*$L$110))</f>
        <v>183.36703161523874</v>
      </c>
      <c r="AU695" s="69">
        <f>IF(tech_base!$T71&gt;AU$625,"",(1000*tech_proj!AU1035*(-PMT($J$110,tech_base!$F71,1))+1000*tech_proj!AU1315)/((1-tech_proj!AU475)*tech_proj!AU755*$L$110))</f>
        <v>182.0008711577122</v>
      </c>
      <c r="AV695" s="69">
        <f>IF(tech_base!$T71&gt;AV$625,"",(1000*tech_proj!AV1035*(-PMT($J$110,tech_base!$F71,1))+1000*tech_proj!AV1315)/((1-tech_proj!AV475)*tech_proj!AV755*$L$110))</f>
        <v>180.34885939058518</v>
      </c>
      <c r="AW695" s="69">
        <f>IF(tech_base!$T71&gt;AW$625,"",(1000*tech_proj!AW1035*(-PMT($J$110,tech_base!$F71,1))+1000*tech_proj!AW1315)/((1-tech_proj!AW475)*tech_proj!AW755*$L$110))</f>
        <v>178.38057211151209</v>
      </c>
      <c r="AX695" s="235">
        <f>IF(tech_base!$T71&gt;AX$625,"",(1000*tech_proj!AX1035*(-PMT($J$110,tech_base!$F71,1))+1000*tech_proj!AX1315)/((1-tech_proj!AX475)*tech_proj!AX755*$L$110))</f>
        <v>176.07688380219173</v>
      </c>
      <c r="AY695" s="133"/>
    </row>
    <row r="696" spans="1:51" s="174" customFormat="1" x14ac:dyDescent="0.25">
      <c r="A696" s="356"/>
      <c r="B696" s="380"/>
      <c r="C696" s="381"/>
      <c r="D696" s="4" t="s">
        <v>8</v>
      </c>
      <c r="E696" s="168" t="str">
        <f>A671&amp;"/"&amp;B687&amp;"/"&amp;C695&amp;"/"&amp;D696</f>
        <v>Lignite fired power plants/Fluidized bed combustion/CHP with CCS/M</v>
      </c>
      <c r="F696" s="80" t="str">
        <f>A671</f>
        <v>Lignite fired power plants</v>
      </c>
      <c r="G696" s="80" t="str">
        <f>B687</f>
        <v>Fluidized bed combustion</v>
      </c>
      <c r="H696" s="80" t="str">
        <f>C695</f>
        <v>CHP with CCS</v>
      </c>
      <c r="I696" s="169" t="str">
        <f t="shared" si="363"/>
        <v>M</v>
      </c>
      <c r="J696" s="73" t="str">
        <f>IF(tech_base!$T72&gt;J$625,"",(1000*tech_proj!J1036*(-PMT($J$110,tech_base!$F72,1))+1000*tech_proj!J1316)/((1-tech_proj!J476)*tech_proj!J756*$L$110))</f>
        <v/>
      </c>
      <c r="K696" s="73" t="str">
        <f>IF(tech_base!$T72&gt;K$625,"",(1000*tech_proj!K1036*(-PMT($J$110,tech_base!$F72,1))+1000*tech_proj!K1316)/((1-tech_proj!K476)*tech_proj!K756*$L$110))</f>
        <v/>
      </c>
      <c r="L696" s="73" t="str">
        <f>IF(tech_base!$T72&gt;L$625,"",(1000*tech_proj!L1036*(-PMT($J$110,tech_base!$F72,1))+1000*tech_proj!L1316)/((1-tech_proj!L476)*tech_proj!L756*$L$110))</f>
        <v/>
      </c>
      <c r="M696" s="73" t="str">
        <f>IF(tech_base!$T72&gt;M$625,"",(1000*tech_proj!M1036*(-PMT($J$110,tech_base!$F72,1))+1000*tech_proj!M1316)/((1-tech_proj!M476)*tech_proj!M756*$L$110))</f>
        <v/>
      </c>
      <c r="N696" s="73" t="str">
        <f>IF(tech_base!$T72&gt;N$625,"",(1000*tech_proj!N1036*(-PMT($J$110,tech_base!$F72,1))+1000*tech_proj!N1316)/((1-tech_proj!N476)*tech_proj!N756*$L$110))</f>
        <v/>
      </c>
      <c r="O696" s="73" t="str">
        <f>IF(tech_base!$T72&gt;O$625,"",(1000*tech_proj!O1036*(-PMT($J$110,tech_base!$F72,1))+1000*tech_proj!O1316)/((1-tech_proj!O476)*tech_proj!O756*$L$110))</f>
        <v/>
      </c>
      <c r="P696" s="73" t="str">
        <f>IF(tech_base!$T72&gt;P$625,"",(1000*tech_proj!P1036*(-PMT($J$110,tech_base!$F72,1))+1000*tech_proj!P1316)/((1-tech_proj!P476)*tech_proj!P756*$L$110))</f>
        <v/>
      </c>
      <c r="Q696" s="73" t="str">
        <f>IF(tech_base!$T72&gt;Q$625,"",(1000*tech_proj!Q1036*(-PMT($J$110,tech_base!$F72,1))+1000*tech_proj!Q1316)/((1-tech_proj!Q476)*tech_proj!Q756*$L$110))</f>
        <v/>
      </c>
      <c r="R696" s="73" t="str">
        <f>IF(tech_base!$T72&gt;R$625,"",(1000*tech_proj!R1036*(-PMT($J$110,tech_base!$F72,1))+1000*tech_proj!R1316)/((1-tech_proj!R476)*tech_proj!R756*$L$110))</f>
        <v/>
      </c>
      <c r="S696" s="73" t="str">
        <f>IF(tech_base!$T72&gt;S$625,"",(1000*tech_proj!S1036*(-PMT($J$110,tech_base!$F72,1))+1000*tech_proj!S1316)/((1-tech_proj!S476)*tech_proj!S756*$L$110))</f>
        <v/>
      </c>
      <c r="T696" s="73" t="str">
        <f>IF(tech_base!$T72&gt;T$625,"",(1000*tech_proj!T1036*(-PMT($J$110,tech_base!$F72,1))+1000*tech_proj!T1316)/((1-tech_proj!T476)*tech_proj!T756*$L$110))</f>
        <v/>
      </c>
      <c r="U696" s="73" t="str">
        <f>IF(tech_base!$T72&gt;U$625,"",(1000*tech_proj!U1036*(-PMT($J$110,tech_base!$F72,1))+1000*tech_proj!U1316)/((1-tech_proj!U476)*tech_proj!U756*$L$110))</f>
        <v/>
      </c>
      <c r="V696" s="73" t="str">
        <f>IF(tech_base!$T72&gt;V$625,"",(1000*tech_proj!V1036*(-PMT($J$110,tech_base!$F72,1))+1000*tech_proj!V1316)/((1-tech_proj!V476)*tech_proj!V756*$L$110))</f>
        <v/>
      </c>
      <c r="W696" s="73" t="str">
        <f>IF(tech_base!$T72&gt;W$625,"",(1000*tech_proj!W1036*(-PMT($J$110,tech_base!$F72,1))+1000*tech_proj!W1316)/((1-tech_proj!W476)*tech_proj!W756*$L$110))</f>
        <v/>
      </c>
      <c r="X696" s="73" t="str">
        <f>IF(tech_base!$T72&gt;X$625,"",(1000*tech_proj!X1036*(-PMT($J$110,tech_base!$F72,1))+1000*tech_proj!X1316)/((1-tech_proj!X476)*tech_proj!X756*$L$110))</f>
        <v/>
      </c>
      <c r="Y696" s="73" t="str">
        <f>IF(tech_base!$T72&gt;Y$625,"",(1000*tech_proj!Y1036*(-PMT($J$110,tech_base!$F72,1))+1000*tech_proj!Y1316)/((1-tech_proj!Y476)*tech_proj!Y756*$L$110))</f>
        <v/>
      </c>
      <c r="Z696" s="73" t="str">
        <f>IF(tech_base!$T72&gt;Z$625,"",(1000*tech_proj!Z1036*(-PMT($J$110,tech_base!$F72,1))+1000*tech_proj!Z1316)/((1-tech_proj!Z476)*tech_proj!Z756*$L$110))</f>
        <v/>
      </c>
      <c r="AA696" s="73" t="str">
        <f>IF(tech_base!$T72&gt;AA$625,"",(1000*tech_proj!AA1036*(-PMT($J$110,tech_base!$F72,1))+1000*tech_proj!AA1316)/((1-tech_proj!AA476)*tech_proj!AA756*$L$110))</f>
        <v/>
      </c>
      <c r="AB696" s="73" t="str">
        <f>IF(tech_base!$T72&gt;AB$625,"",(1000*tech_proj!AB1036*(-PMT($J$110,tech_base!$F72,1))+1000*tech_proj!AB1316)/((1-tech_proj!AB476)*tech_proj!AB756*$L$110))</f>
        <v/>
      </c>
      <c r="AC696" s="73" t="str">
        <f>IF(tech_base!$T72&gt;AC$625,"",(1000*tech_proj!AC1036*(-PMT($J$110,tech_base!$F72,1))+1000*tech_proj!AC1316)/((1-tech_proj!AC476)*tech_proj!AC756*$L$110))</f>
        <v/>
      </c>
      <c r="AD696" s="73" t="str">
        <f>IF(tech_base!$T72&gt;AD$625,"",(1000*tech_proj!AD1036*(-PMT($J$110,tech_base!$F72,1))+1000*tech_proj!AD1316)/((1-tech_proj!AD476)*tech_proj!AD756*$L$110))</f>
        <v/>
      </c>
      <c r="AE696" s="73">
        <f>IF(tech_base!$T72&gt;AE$625,"",(1000*tech_proj!AE1036*(-PMT($J$110,tech_base!$F72,1))+1000*tech_proj!AE1316)/((1-tech_proj!AE476)*tech_proj!AE756*$L$110))</f>
        <v>212.41841266898561</v>
      </c>
      <c r="AF696" s="73">
        <f>IF(tech_base!$T72&gt;AF$625,"",(1000*tech_proj!AF1036*(-PMT($J$110,tech_base!$F72,1))+1000*tech_proj!AF1316)/((1-tech_proj!AF476)*tech_proj!AF756*$L$110))</f>
        <v>212.3683709963839</v>
      </c>
      <c r="AG696" s="73">
        <f>IF(tech_base!$T72&gt;AG$625,"",(1000*tech_proj!AG1036*(-PMT($J$110,tech_base!$F72,1))+1000*tech_proj!AG1316)/((1-tech_proj!AG476)*tech_proj!AG756*$L$110))</f>
        <v>212.30421717464023</v>
      </c>
      <c r="AH696" s="73">
        <f>IF(tech_base!$T72&gt;AH$625,"",(1000*tech_proj!AH1036*(-PMT($J$110,tech_base!$F72,1))+1000*tech_proj!AH1316)/((1-tech_proj!AH476)*tech_proj!AH756*$L$110))</f>
        <v>212.22200805972201</v>
      </c>
      <c r="AI696" s="73">
        <f>IF(tech_base!$T72&gt;AI$625,"",(1000*tech_proj!AI1036*(-PMT($J$110,tech_base!$F72,1))+1000*tech_proj!AI1316)/((1-tech_proj!AI476)*tech_proj!AI756*$L$110))</f>
        <v>212.11672228844841</v>
      </c>
      <c r="AJ696" s="73">
        <f>IF(tech_base!$T72&gt;AJ$625,"",(1000*tech_proj!AJ1036*(-PMT($J$110,tech_base!$F72,1))+1000*tech_proj!AJ1316)/((1-tech_proj!AJ476)*tech_proj!AJ756*$L$110))</f>
        <v>211.98198058586385</v>
      </c>
      <c r="AK696" s="73">
        <f>IF(tech_base!$T72&gt;AK$625,"",(1000*tech_proj!AK1036*(-PMT($J$110,tech_base!$F72,1))+1000*tech_proj!AK1316)/((1-tech_proj!AK476)*tech_proj!AK756*$L$110))</f>
        <v>211.80970327972227</v>
      </c>
      <c r="AL696" s="73">
        <f>IF(tech_base!$T72&gt;AL$625,"",(1000*tech_proj!AL1036*(-PMT($J$110,tech_base!$F72,1))+1000*tech_proj!AL1316)/((1-tech_proj!AL476)*tech_proj!AL756*$L$110))</f>
        <v>211.58969736019401</v>
      </c>
      <c r="AM696" s="73">
        <f>IF(tech_base!$T72&gt;AM$625,"",(1000*tech_proj!AM1036*(-PMT($J$110,tech_base!$F72,1))+1000*tech_proj!AM1316)/((1-tech_proj!AM476)*tech_proj!AM756*$L$110))</f>
        <v>211.30916917502896</v>
      </c>
      <c r="AN696" s="73">
        <f>IF(tech_base!$T72&gt;AN$625,"",(1000*tech_proj!AN1036*(-PMT($J$110,tech_base!$F72,1))+1000*tech_proj!AN1316)/((1-tech_proj!AN476)*tech_proj!AN756*$L$110))</f>
        <v>210.95216681160076</v>
      </c>
      <c r="AO696" s="73">
        <f>IF(tech_base!$T72&gt;AO$625,"",(1000*tech_proj!AO1036*(-PMT($J$110,tech_base!$F72,1))+1000*tech_proj!AO1316)/((1-tech_proj!AO476)*tech_proj!AO756*$L$110))</f>
        <v>210.49897091413689</v>
      </c>
      <c r="AP696" s="73">
        <f>IF(tech_base!$T72&gt;AP$625,"",(1000*tech_proj!AP1036*(-PMT($J$110,tech_base!$F72,1))+1000*tech_proj!AP1316)/((1-tech_proj!AP476)*tech_proj!AP756*$L$110))</f>
        <v>209.92547755500593</v>
      </c>
      <c r="AQ696" s="73">
        <f>IF(tech_base!$T72&gt;AQ$625,"",(1000*tech_proj!AQ1036*(-PMT($J$110,tech_base!$F72,1))+1000*tech_proj!AQ1316)/((1-tech_proj!AQ476)*tech_proj!AQ756*$L$110))</f>
        <v>209.20265599307726</v>
      </c>
      <c r="AR696" s="73">
        <f>IF(tech_base!$T72&gt;AR$625,"",(1000*tech_proj!AR1036*(-PMT($J$110,tech_base!$F72,1))+1000*tech_proj!AR1316)/((1-tech_proj!AR476)*tech_proj!AR756*$L$110))</f>
        <v>208.29622172950045</v>
      </c>
      <c r="AS696" s="73">
        <f>IF(tech_base!$T72&gt;AS$625,"",(1000*tech_proj!AS1036*(-PMT($J$110,tech_base!$F72,1))+1000*tech_proj!AS1316)/((1-tech_proj!AS476)*tech_proj!AS756*$L$110))</f>
        <v>207.16674280230455</v>
      </c>
      <c r="AT696" s="73">
        <f>IF(tech_base!$T72&gt;AT$625,"",(1000*tech_proj!AT1036*(-PMT($J$110,tech_base!$F72,1))+1000*tech_proj!AT1316)/((1-tech_proj!AT476)*tech_proj!AT756*$L$110))</f>
        <v>205.77048929826634</v>
      </c>
      <c r="AU696" s="73">
        <f>IF(tech_base!$T72&gt;AU$625,"",(1000*tech_proj!AU1036*(-PMT($J$110,tech_base!$F72,1))+1000*tech_proj!AU1316)/((1-tech_proj!AU476)*tech_proj!AU756*$L$110))</f>
        <v>204.06142244609569</v>
      </c>
      <c r="AV696" s="73">
        <f>IF(tech_base!$T72&gt;AV$625,"",(1000*tech_proj!AV1036*(-PMT($J$110,tech_base!$F72,1))+1000*tech_proj!AV1316)/((1-tech_proj!AV476)*tech_proj!AV756*$L$110))</f>
        <v>201.99475558054712</v>
      </c>
      <c r="AW696" s="73">
        <f>IF(tech_base!$T72&gt;AW$625,"",(1000*tech_proj!AW1036*(-PMT($J$110,tech_base!$F72,1))+1000*tech_proj!AW1316)/((1-tech_proj!AW476)*tech_proj!AW756*$L$110))</f>
        <v>199.5324280218183</v>
      </c>
      <c r="AX696" s="239">
        <f>IF(tech_base!$T72&gt;AX$625,"",(1000*tech_proj!AX1036*(-PMT($J$110,tech_base!$F72,1))+1000*tech_proj!AX1316)/((1-tech_proj!AX476)*tech_proj!AX756*$L$110))</f>
        <v>196.65051374483727</v>
      </c>
      <c r="AY696" s="133"/>
    </row>
    <row r="697" spans="1:51" s="174" customFormat="1" x14ac:dyDescent="0.25">
      <c r="A697" s="356"/>
      <c r="B697" s="358" t="s">
        <v>19</v>
      </c>
      <c r="C697" s="353" t="s">
        <v>6</v>
      </c>
      <c r="D697" s="3" t="s">
        <v>7</v>
      </c>
      <c r="E697" s="162" t="str">
        <f>A671&amp;"/"&amp;B697&amp;"/"&amp;C697&amp;"/"&amp;D697</f>
        <v>Lignite fired power plants/Steam turbine/Electricity only/L</v>
      </c>
      <c r="F697" s="77" t="str">
        <f>A671</f>
        <v>Lignite fired power plants</v>
      </c>
      <c r="G697" s="77" t="str">
        <f>B697</f>
        <v>Steam turbine</v>
      </c>
      <c r="H697" s="77" t="str">
        <f>C697</f>
        <v>Electricity only</v>
      </c>
      <c r="I697" s="163" t="str">
        <f t="shared" si="363"/>
        <v>L</v>
      </c>
      <c r="J697" s="70">
        <f>IF(tech_base!$T73&gt;J$625,"",(1000*tech_proj!J1037*(-PMT($J$110,tech_base!$F73,1))+1000*tech_proj!J1317)/((1-tech_proj!J477)*tech_proj!J757*$L$110))</f>
        <v>49.795678496198335</v>
      </c>
      <c r="K697" s="70">
        <f>IF(tech_base!$T73&gt;K$625,"",(1000*tech_proj!K1037*(-PMT($J$110,tech_base!$F73,1))+1000*tech_proj!K1317)/((1-tech_proj!K477)*tech_proj!K757*$L$110))</f>
        <v>49.866507548478616</v>
      </c>
      <c r="L697" s="70">
        <f>IF(tech_base!$T73&gt;L$625,"",(1000*tech_proj!L1037*(-PMT($J$110,tech_base!$F73,1))+1000*tech_proj!L1317)/((1-tech_proj!L477)*tech_proj!L757*$L$110))</f>
        <v>49.937377905211349</v>
      </c>
      <c r="M697" s="70">
        <f>IF(tech_base!$T73&gt;M$625,"",(1000*tech_proj!M1037*(-PMT($J$110,tech_base!$F73,1))+1000*tech_proj!M1317)/((1-tech_proj!M477)*tech_proj!M757*$L$110))</f>
        <v>50.008253039064492</v>
      </c>
      <c r="N697" s="70">
        <f>IF(tech_base!$T73&gt;N$625,"",(1000*tech_proj!N1037*(-PMT($J$110,tech_base!$F73,1))+1000*tech_proj!N1317)/((1-tech_proj!N477)*tech_proj!N757*$L$110))</f>
        <v>50.079096569385399</v>
      </c>
      <c r="O697" s="70">
        <f>IF(tech_base!$T73&gt;O$625,"",(1000*tech_proj!O1037*(-PMT($J$110,tech_base!$F73,1))+1000*tech_proj!O1317)/((1-tech_proj!O477)*tech_proj!O757*$L$110))</f>
        <v>50.14987233336511</v>
      </c>
      <c r="P697" s="70">
        <f>IF(tech_base!$T73&gt;P$625,"",(1000*tech_proj!P1037*(-PMT($J$110,tech_base!$F73,1))+1000*tech_proj!P1317)/((1-tech_proj!P477)*tech_proj!P757*$L$110))</f>
        <v>50.220544455885232</v>
      </c>
      <c r="Q697" s="70">
        <f>IF(tech_base!$T73&gt;Q$625,"",(1000*tech_proj!Q1037*(-PMT($J$110,tech_base!$F73,1))+1000*tech_proj!Q1317)/((1-tech_proj!Q477)*tech_proj!Q757*$L$110))</f>
        <v>50.291077417777643</v>
      </c>
      <c r="R697" s="70">
        <f>IF(tech_base!$T73&gt;R$625,"",(1000*tech_proj!R1037*(-PMT($J$110,tech_base!$F73,1))+1000*tech_proj!R1317)/((1-tech_proj!R477)*tech_proj!R757*$L$110))</f>
        <v>50.361436122239688</v>
      </c>
      <c r="S697" s="70">
        <f>IF(tech_base!$T73&gt;S$625,"",(1000*tech_proj!S1037*(-PMT($J$110,tech_base!$F73,1))+1000*tech_proj!S1317)/((1-tech_proj!S477)*tech_proj!S757*$L$110))</f>
        <v>50.431585959161907</v>
      </c>
      <c r="T697" s="70">
        <f>IF(tech_base!$T73&gt;T$625,"",(1000*tech_proj!T1037*(-PMT($J$110,tech_base!$F73,1))+1000*tech_proj!T1317)/((1-tech_proj!T477)*tech_proj!T757*$L$110))</f>
        <v>50.501492867140747</v>
      </c>
      <c r="U697" s="70">
        <f>IF(tech_base!$T73&gt;U$625,"",(1000*tech_proj!U1037*(-PMT($J$110,tech_base!$F73,1))+1000*tech_proj!U1317)/((1-tech_proj!U477)*tech_proj!U757*$L$110))</f>
        <v>50.571123392965688</v>
      </c>
      <c r="V697" s="70">
        <f>IF(tech_base!$T73&gt;V$625,"",(1000*tech_proj!V1037*(-PMT($J$110,tech_base!$F73,1))+1000*tech_proj!V1317)/((1-tech_proj!V477)*tech_proj!V757*$L$110))</f>
        <v>50.640444748388148</v>
      </c>
      <c r="W697" s="70">
        <f>IF(tech_base!$T73&gt;W$625,"",(1000*tech_proj!W1037*(-PMT($J$110,tech_base!$F73,1))+1000*tech_proj!W1317)/((1-tech_proj!W477)*tech_proj!W757*$L$110))</f>
        <v>50.709424863997789</v>
      </c>
      <c r="X697" s="70">
        <f>IF(tech_base!$T73&gt;X$625,"",(1000*tech_proj!X1037*(-PMT($J$110,tech_base!$F73,1))+1000*tech_proj!X1317)/((1-tech_proj!X477)*tech_proj!X757*$L$110))</f>
        <v>50.778032440052044</v>
      </c>
      <c r="Y697" s="70">
        <f>IF(tech_base!$T73&gt;Y$625,"",(1000*tech_proj!Y1037*(-PMT($J$110,tech_base!$F73,1))+1000*tech_proj!Y1317)/((1-tech_proj!Y477)*tech_proj!Y757*$L$110))</f>
        <v>50.846236994123814</v>
      </c>
      <c r="Z697" s="70">
        <f>IF(tech_base!$T73&gt;Z$625,"",(1000*tech_proj!Z1037*(-PMT($J$110,tech_base!$F73,1))+1000*tech_proj!Z1317)/((1-tech_proj!Z477)*tech_proj!Z757*$L$110))</f>
        <v>50.914008905453088</v>
      </c>
      <c r="AA697" s="70">
        <f>IF(tech_base!$T73&gt;AA$625,"",(1000*tech_proj!AA1037*(-PMT($J$110,tech_base!$F73,1))+1000*tech_proj!AA1317)/((1-tech_proj!AA477)*tech_proj!AA757*$L$110))</f>
        <v>50.981319455908306</v>
      </c>
      <c r="AB697" s="70">
        <f>IF(tech_base!$T73&gt;AB$625,"",(1000*tech_proj!AB1037*(-PMT($J$110,tech_base!$F73,1))+1000*tech_proj!AB1317)/((1-tech_proj!AB477)*tech_proj!AB757*$L$110))</f>
        <v>51.048140867483838</v>
      </c>
      <c r="AC697" s="70">
        <f>IF(tech_base!$T73&gt;AC$625,"",(1000*tech_proj!AC1037*(-PMT($J$110,tech_base!$F73,1))+1000*tech_proj!AC1317)/((1-tech_proj!AC477)*tech_proj!AC757*$L$110))</f>
        <v>51.114446336280054</v>
      </c>
      <c r="AD697" s="70">
        <f>IF(tech_base!$T73&gt;AD$625,"",(1000*tech_proj!AD1037*(-PMT($J$110,tech_base!$F73,1))+1000*tech_proj!AD1317)/((1-tech_proj!AD477)*tech_proj!AD757*$L$110))</f>
        <v>51.180210062932062</v>
      </c>
      <c r="AE697" s="70">
        <f>IF(tech_base!$T73&gt;AE$625,"",(1000*tech_proj!AE1037*(-PMT($J$110,tech_base!$F73,1))+1000*tech_proj!AE1317)/((1-tech_proj!AE477)*tech_proj!AE757*$L$110))</f>
        <v>51.245407279472992</v>
      </c>
      <c r="AF697" s="70">
        <f>IF(tech_base!$T73&gt;AF$625,"",(1000*tech_proj!AF1037*(-PMT($J$110,tech_base!$F73,1))+1000*tech_proj!AF1317)/((1-tech_proj!AF477)*tech_proj!AF757*$L$110))</f>
        <v>51.310014272635733</v>
      </c>
      <c r="AG697" s="70">
        <f>IF(tech_base!$T73&gt;AG$625,"",(1000*tech_proj!AG1037*(-PMT($J$110,tech_base!$F73,1))+1000*tech_proj!AG1317)/((1-tech_proj!AG477)*tech_proj!AG757*$L$110))</f>
        <v>51.374008403615605</v>
      </c>
      <c r="AH697" s="70">
        <f>IF(tech_base!$T73&gt;AH$625,"",(1000*tech_proj!AH1037*(-PMT($J$110,tech_base!$F73,1))+1000*tech_proj!AH1317)/((1-tech_proj!AH477)*tech_proj!AH757*$L$110))</f>
        <v>51.437368124332828</v>
      </c>
      <c r="AI697" s="70">
        <f>IF(tech_base!$T73&gt;AI$625,"",(1000*tech_proj!AI1037*(-PMT($J$110,tech_base!$F73,1))+1000*tech_proj!AI1317)/((1-tech_proj!AI477)*tech_proj!AI757*$L$110))</f>
        <v>51.500072990250459</v>
      </c>
      <c r="AJ697" s="70">
        <f>IF(tech_base!$T73&gt;AJ$625,"",(1000*tech_proj!AJ1037*(-PMT($J$110,tech_base!$F73,1))+1000*tech_proj!AJ1317)/((1-tech_proj!AJ477)*tech_proj!AJ757*$L$110))</f>
        <v>51.562103669817795</v>
      </c>
      <c r="AK697" s="70">
        <f>IF(tech_base!$T73&gt;AK$625,"",(1000*tech_proj!AK1037*(-PMT($J$110,tech_base!$F73,1))+1000*tech_proj!AK1317)/((1-tech_proj!AK477)*tech_proj!AK757*$L$110))</f>
        <v>51.623441950623523</v>
      </c>
      <c r="AL697" s="70">
        <f>IF(tech_base!$T73&gt;AL$625,"",(1000*tech_proj!AL1037*(-PMT($J$110,tech_base!$F73,1))+1000*tech_proj!AL1317)/((1-tech_proj!AL477)*tech_proj!AL757*$L$110))</f>
        <v>51.684070742355857</v>
      </c>
      <c r="AM697" s="70">
        <f>IF(tech_base!$T73&gt;AM$625,"",(1000*tech_proj!AM1037*(-PMT($J$110,tech_base!$F73,1))+1000*tech_proj!AM1317)/((1-tech_proj!AM477)*tech_proj!AM757*$L$110))</f>
        <v>51.743974076677866</v>
      </c>
      <c r="AN697" s="70">
        <f>IF(tech_base!$T73&gt;AN$625,"",(1000*tech_proj!AN1037*(-PMT($J$110,tech_base!$F73,1))+1000*tech_proj!AN1317)/((1-tech_proj!AN477)*tech_proj!AN757*$L$110))</f>
        <v>51.803137104137065</v>
      </c>
      <c r="AO697" s="70">
        <f>IF(tech_base!$T73&gt;AO$625,"",(1000*tech_proj!AO1037*(-PMT($J$110,tech_base!$F73,1))+1000*tech_proj!AO1317)/((1-tech_proj!AO477)*tech_proj!AO757*$L$110))</f>
        <v>51.861546088237098</v>
      </c>
      <c r="AP697" s="70">
        <f>IF(tech_base!$T73&gt;AP$625,"",(1000*tech_proj!AP1037*(-PMT($J$110,tech_base!$F73,1))+1000*tech_proj!AP1317)/((1-tech_proj!AP477)*tech_proj!AP757*$L$110))</f>
        <v>51.919188396807343</v>
      </c>
      <c r="AQ697" s="70">
        <f>IF(tech_base!$T73&gt;AQ$625,"",(1000*tech_proj!AQ1037*(-PMT($J$110,tech_base!$F73,1))+1000*tech_proj!AQ1317)/((1-tech_proj!AQ477)*tech_proj!AQ757*$L$110))</f>
        <v>51.976052490812613</v>
      </c>
      <c r="AR697" s="70">
        <f>IF(tech_base!$T73&gt;AR$625,"",(1000*tech_proj!AR1037*(-PMT($J$110,tech_base!$F73,1))+1000*tech_proj!AR1317)/((1-tech_proj!AR477)*tech_proj!AR757*$L$110))</f>
        <v>52.032127910750901</v>
      </c>
      <c r="AS697" s="70">
        <f>IF(tech_base!$T73&gt;AS$625,"",(1000*tech_proj!AS1037*(-PMT($J$110,tech_base!$F73,1))+1000*tech_proj!AS1317)/((1-tech_proj!AS477)*tech_proj!AS757*$L$110))</f>
        <v>52.087405260790902</v>
      </c>
      <c r="AT697" s="70">
        <f>IF(tech_base!$T73&gt;AT$625,"",(1000*tech_proj!AT1037*(-PMT($J$110,tech_base!$F73,1))+1000*tech_proj!AT1317)/((1-tech_proj!AT477)*tech_proj!AT757*$L$110))</f>
        <v>52.141876190804432</v>
      </c>
      <c r="AU697" s="70">
        <f>IF(tech_base!$T73&gt;AU$625,"",(1000*tech_proj!AU1037*(-PMT($J$110,tech_base!$F73,1))+1000*tech_proj!AU1317)/((1-tech_proj!AU477)*tech_proj!AU757*$L$110))</f>
        <v>52.195533376450584</v>
      </c>
      <c r="AV697" s="70">
        <f>IF(tech_base!$T73&gt;AV$625,"",(1000*tech_proj!AV1037*(-PMT($J$110,tech_base!$F73,1))+1000*tech_proj!AV1317)/((1-tech_proj!AV477)*tech_proj!AV757*$L$110))</f>
        <v>52.248370497469658</v>
      </c>
      <c r="AW697" s="70">
        <f>IF(tech_base!$T73&gt;AW$625,"",(1000*tech_proj!AW1037*(-PMT($J$110,tech_base!$F73,1))+1000*tech_proj!AW1317)/((1-tech_proj!AW477)*tech_proj!AW757*$L$110))</f>
        <v>52.300382214344467</v>
      </c>
      <c r="AX697" s="236">
        <f>IF(tech_base!$T73&gt;AX$625,"",(1000*tech_proj!AX1037*(-PMT($J$110,tech_base!$F73,1))+1000*tech_proj!AX1317)/((1-tech_proj!AX477)*tech_proj!AX757*$L$110))</f>
        <v>52.351564143486208</v>
      </c>
      <c r="AY697" s="133"/>
    </row>
    <row r="698" spans="1:51" s="174" customFormat="1" x14ac:dyDescent="0.25">
      <c r="A698" s="356"/>
      <c r="B698" s="376"/>
      <c r="C698" s="378"/>
      <c r="D698" s="2" t="s">
        <v>8</v>
      </c>
      <c r="E698" s="160" t="str">
        <f>A671&amp;"/"&amp;B697&amp;"/"&amp;C697&amp;"/"&amp;D698</f>
        <v>Lignite fired power plants/Steam turbine/Electricity only/M</v>
      </c>
      <c r="F698" s="76" t="str">
        <f>A671</f>
        <v>Lignite fired power plants</v>
      </c>
      <c r="G698" s="76" t="str">
        <f>B697</f>
        <v>Steam turbine</v>
      </c>
      <c r="H698" s="76" t="str">
        <f>C697</f>
        <v>Electricity only</v>
      </c>
      <c r="I698" s="161" t="str">
        <f t="shared" si="363"/>
        <v>M</v>
      </c>
      <c r="J698" s="69">
        <f>IF(tech_base!$T74&gt;J$625,"",(1000*tech_proj!J1038*(-PMT($J$110,tech_base!$F74,1))+1000*tech_proj!J1318)/((1-tech_proj!J478)*tech_proj!J758*$L$110))</f>
        <v>54.014177023823883</v>
      </c>
      <c r="K698" s="69">
        <f>IF(tech_base!$T74&gt;K$625,"",(1000*tech_proj!K1038*(-PMT($J$110,tech_base!$F74,1))+1000*tech_proj!K1318)/((1-tech_proj!K478)*tech_proj!K758*$L$110))</f>
        <v>54.071799086879857</v>
      </c>
      <c r="L698" s="69">
        <f>IF(tech_base!$T74&gt;L$625,"",(1000*tech_proj!L1038*(-PMT($J$110,tech_base!$F74,1))+1000*tech_proj!L1318)/((1-tech_proj!L478)*tech_proj!L758*$L$110))</f>
        <v>54.129454752641031</v>
      </c>
      <c r="M698" s="69">
        <f>IF(tech_base!$T74&gt;M$625,"",(1000*tech_proj!M1038*(-PMT($J$110,tech_base!$F74,1))+1000*tech_proj!M1318)/((1-tech_proj!M478)*tech_proj!M758*$L$110))</f>
        <v>54.187114304766965</v>
      </c>
      <c r="N698" s="69">
        <f>IF(tech_base!$T74&gt;N$625,"",(1000*tech_proj!N1038*(-PMT($J$110,tech_base!$F74,1))+1000*tech_proj!N1318)/((1-tech_proj!N478)*tech_proj!N758*$L$110))</f>
        <v>54.24474814624638</v>
      </c>
      <c r="O698" s="69">
        <f>IF(tech_base!$T74&gt;O$625,"",(1000*tech_proj!O1038*(-PMT($J$110,tech_base!$F74,1))+1000*tech_proj!O1318)/((1-tech_proj!O478)*tech_proj!O758*$L$110))</f>
        <v>54.302326857291881</v>
      </c>
      <c r="P698" s="69">
        <f>IF(tech_base!$T74&gt;P$625,"",(1000*tech_proj!P1038*(-PMT($J$110,tech_base!$F74,1))+1000*tech_proj!P1318)/((1-tech_proj!P478)*tech_proj!P758*$L$110))</f>
        <v>54.359821252163051</v>
      </c>
      <c r="Q698" s="69">
        <f>IF(tech_base!$T74&gt;Q$625,"",(1000*tech_proj!Q1038*(-PMT($J$110,tech_base!$F74,1))+1000*tech_proj!Q1318)/((1-tech_proj!Q478)*tech_proj!Q758*$L$110))</f>
        <v>54.417202434698233</v>
      </c>
      <c r="R698" s="69">
        <f>IF(tech_base!$T74&gt;R$625,"",(1000*tech_proj!R1038*(-PMT($J$110,tech_base!$F74,1))+1000*tech_proj!R1318)/((1-tech_proj!R478)*tech_proj!R758*$L$110))</f>
        <v>54.474441852345734</v>
      </c>
      <c r="S698" s="69">
        <f>IF(tech_base!$T74&gt;S$625,"",(1000*tech_proj!S1038*(-PMT($J$110,tech_base!$F74,1))+1000*tech_proj!S1318)/((1-tech_proj!S478)*tech_proj!S758*$L$110))</f>
        <v>54.531511348496871</v>
      </c>
      <c r="T698" s="69">
        <f>IF(tech_base!$T74&gt;T$625,"",(1000*tech_proj!T1038*(-PMT($J$110,tech_base!$F74,1))+1000*tech_proj!T1318)/((1-tech_proj!T478)*tech_proj!T758*$L$110))</f>
        <v>54.588383212935547</v>
      </c>
      <c r="U698" s="69">
        <f>IF(tech_base!$T74&gt;U$625,"",(1000*tech_proj!U1038*(-PMT($J$110,tech_base!$F74,1))+1000*tech_proj!U1318)/((1-tech_proj!U478)*tech_proj!U758*$L$110))</f>
        <v>54.645030230233317</v>
      </c>
      <c r="V698" s="69">
        <f>IF(tech_base!$T74&gt;V$625,"",(1000*tech_proj!V1038*(-PMT($J$110,tech_base!$F74,1))+1000*tech_proj!V1318)/((1-tech_proj!V478)*tech_proj!V758*$L$110))</f>
        <v>54.7014257259329</v>
      </c>
      <c r="W698" s="69">
        <f>IF(tech_base!$T74&gt;W$625,"",(1000*tech_proj!W1038*(-PMT($J$110,tech_base!$F74,1))+1000*tech_proj!W1318)/((1-tech_proj!W478)*tech_proj!W758*$L$110))</f>
        <v>54.75754361037864</v>
      </c>
      <c r="X698" s="69">
        <f>IF(tech_base!$T74&gt;X$625,"",(1000*tech_proj!X1038*(-PMT($J$110,tech_base!$F74,1))+1000*tech_proj!X1318)/((1-tech_proj!X478)*tech_proj!X758*$L$110))</f>
        <v>54.813358420068205</v>
      </c>
      <c r="Y698" s="69">
        <f>IF(tech_base!$T74&gt;Y$625,"",(1000*tech_proj!Y1038*(-PMT($J$110,tech_base!$F74,1))+1000*tech_proj!Y1318)/((1-tech_proj!Y478)*tech_proj!Y758*$L$110))</f>
        <v>54.868845356415662</v>
      </c>
      <c r="Z698" s="69">
        <f>IF(tech_base!$T74&gt;Z$625,"",(1000*tech_proj!Z1038*(-PMT($J$110,tech_base!$F74,1))+1000*tech_proj!Z1318)/((1-tech_proj!Z478)*tech_proj!Z758*$L$110))</f>
        <v>54.923980321833334</v>
      </c>
      <c r="AA698" s="69">
        <f>IF(tech_base!$T74&gt;AA$625,"",(1000*tech_proj!AA1038*(-PMT($J$110,tech_base!$F74,1))+1000*tech_proj!AA1318)/((1-tech_proj!AA478)*tech_proj!AA758*$L$110))</f>
        <v>54.978739953055204</v>
      </c>
      <c r="AB698" s="69">
        <f>IF(tech_base!$T74&gt;AB$625,"",(1000*tech_proj!AB1038*(-PMT($J$110,tech_base!$F74,1))+1000*tech_proj!AB1318)/((1-tech_proj!AB478)*tech_proj!AB758*$L$110))</f>
        <v>55.033101651642617</v>
      </c>
      <c r="AC698" s="69">
        <f>IF(tech_base!$T74&gt;AC$625,"",(1000*tech_proj!AC1038*(-PMT($J$110,tech_base!$F74,1))+1000*tech_proj!AC1318)/((1-tech_proj!AC478)*tech_proj!AC758*$L$110))</f>
        <v>55.08704361162836</v>
      </c>
      <c r="AD698" s="69">
        <f>IF(tech_base!$T74&gt;AD$625,"",(1000*tech_proj!AD1038*(-PMT($J$110,tech_base!$F74,1))+1000*tech_proj!AD1318)/((1-tech_proj!AD478)*tech_proj!AD758*$L$110))</f>
        <v>55.14054484427146</v>
      </c>
      <c r="AE698" s="69">
        <f>IF(tech_base!$T74&gt;AE$625,"",(1000*tech_proj!AE1038*(-PMT($J$110,tech_base!$F74,1))+1000*tech_proj!AE1318)/((1-tech_proj!AE478)*tech_proj!AE758*$L$110))</f>
        <v>55.193585199911524</v>
      </c>
      <c r="AF698" s="69">
        <f>IF(tech_base!$T74&gt;AF$625,"",(1000*tech_proj!AF1038*(-PMT($J$110,tech_base!$F74,1))+1000*tech_proj!AF1318)/((1-tech_proj!AF478)*tech_proj!AF758*$L$110))</f>
        <v>55.246145386925583</v>
      </c>
      <c r="AG698" s="69">
        <f>IF(tech_base!$T74&gt;AG$625,"",(1000*tech_proj!AG1038*(-PMT($J$110,tech_base!$F74,1))+1000*tech_proj!AG1318)/((1-tech_proj!AG478)*tech_proj!AG758*$L$110))</f>
        <v>55.298206987805706</v>
      </c>
      <c r="AH698" s="69">
        <f>IF(tech_base!$T74&gt;AH$625,"",(1000*tech_proj!AH1038*(-PMT($J$110,tech_base!$F74,1))+1000*tech_proj!AH1318)/((1-tech_proj!AH478)*tech_proj!AH758*$L$110))</f>
        <v>55.349752472389206</v>
      </c>
      <c r="AI698" s="69">
        <f>IF(tech_base!$T74&gt;AI$625,"",(1000*tech_proj!AI1038*(-PMT($J$110,tech_base!$F74,1))+1000*tech_proj!AI1318)/((1-tech_proj!AI478)*tech_proj!AI758*$L$110))</f>
        <v>55.400765208286387</v>
      </c>
      <c r="AJ698" s="69">
        <f>IF(tech_base!$T74&gt;AJ$625,"",(1000*tech_proj!AJ1038*(-PMT($J$110,tech_base!$F74,1))+1000*tech_proj!AJ1318)/((1-tech_proj!AJ478)*tech_proj!AJ758*$L$110))</f>
        <v>55.451229468563213</v>
      </c>
      <c r="AK698" s="69">
        <f>IF(tech_base!$T74&gt;AK$625,"",(1000*tech_proj!AK1038*(-PMT($J$110,tech_base!$F74,1))+1000*tech_proj!AK1318)/((1-tech_proj!AK478)*tech_proj!AK758*$L$110))</f>
        <v>55.50113043674709</v>
      </c>
      <c r="AL698" s="69">
        <f>IF(tech_base!$T74&gt;AL$625,"",(1000*tech_proj!AL1038*(-PMT($J$110,tech_base!$F74,1))+1000*tech_proj!AL1318)/((1-tech_proj!AL478)*tech_proj!AL758*$L$110))</f>
        <v>55.550454209235006</v>
      </c>
      <c r="AM698" s="69">
        <f>IF(tech_base!$T74&gt;AM$625,"",(1000*tech_proj!AM1038*(-PMT($J$110,tech_base!$F74,1))+1000*tech_proj!AM1318)/((1-tech_proj!AM478)*tech_proj!AM758*$L$110))</f>
        <v>55.599187795192172</v>
      </c>
      <c r="AN698" s="69">
        <f>IF(tech_base!$T74&gt;AN$625,"",(1000*tech_proj!AN1038*(-PMT($J$110,tech_base!$F74,1))+1000*tech_proj!AN1318)/((1-tech_proj!AN478)*tech_proj!AN758*$L$110))</f>
        <v>55.647319114037792</v>
      </c>
      <c r="AO698" s="69">
        <f>IF(tech_base!$T74&gt;AO$625,"",(1000*tech_proj!AO1038*(-PMT($J$110,tech_base!$F74,1))+1000*tech_proj!AO1318)/((1-tech_proj!AO478)*tech_proj!AO758*$L$110))</f>
        <v>55.694836990622242</v>
      </c>
      <c r="AP698" s="69">
        <f>IF(tech_base!$T74&gt;AP$625,"",(1000*tech_proj!AP1038*(-PMT($J$110,tech_base!$F74,1))+1000*tech_proj!AP1318)/((1-tech_proj!AP478)*tech_proj!AP758*$L$110))</f>
        <v>55.741731148205815</v>
      </c>
      <c r="AQ698" s="69">
        <f>IF(tech_base!$T74&gt;AQ$625,"",(1000*tech_proj!AQ1038*(-PMT($J$110,tech_base!$F74,1))+1000*tech_proj!AQ1318)/((1-tech_proj!AQ478)*tech_proj!AQ758*$L$110))</f>
        <v>55.787992199355067</v>
      </c>
      <c r="AR698" s="69">
        <f>IF(tech_base!$T74&gt;AR$625,"",(1000*tech_proj!AR1038*(-PMT($J$110,tech_base!$F74,1))+1000*tech_proj!AR1318)/((1-tech_proj!AR478)*tech_proj!AR758*$L$110))</f>
        <v>55.833611634876924</v>
      </c>
      <c r="AS698" s="69">
        <f>IF(tech_base!$T74&gt;AS$625,"",(1000*tech_proj!AS1038*(-PMT($J$110,tech_base!$F74,1))+1000*tech_proj!AS1318)/((1-tech_proj!AS478)*tech_proj!AS758*$L$110))</f>
        <v>55.878581810913829</v>
      </c>
      <c r="AT698" s="69">
        <f>IF(tech_base!$T74&gt;AT$625,"",(1000*tech_proj!AT1038*(-PMT($J$110,tech_base!$F74,1))+1000*tech_proj!AT1318)/((1-tech_proj!AT478)*tech_proj!AT758*$L$110))</f>
        <v>55.922895934326583</v>
      </c>
      <c r="AU698" s="69">
        <f>IF(tech_base!$T74&gt;AU$625,"",(1000*tech_proj!AU1038*(-PMT($J$110,tech_base!$F74,1))+1000*tech_proj!AU1318)/((1-tech_proj!AU478)*tech_proj!AU758*$L$110))</f>
        <v>55.966548046491987</v>
      </c>
      <c r="AV698" s="69">
        <f>IF(tech_base!$T74&gt;AV$625,"",(1000*tech_proj!AV1038*(-PMT($J$110,tech_base!$F74,1))+1000*tech_proj!AV1318)/((1-tech_proj!AV478)*tech_proj!AV758*$L$110))</f>
        <v>56.009533005644187</v>
      </c>
      <c r="AW698" s="69">
        <f>IF(tech_base!$T74&gt;AW$625,"",(1000*tech_proj!AW1038*(-PMT($J$110,tech_base!$F74,1))+1000*tech_proj!AW1318)/((1-tech_proj!AW478)*tech_proj!AW758*$L$110))</f>
        <v>56.051846467887749</v>
      </c>
      <c r="AX698" s="235">
        <f>IF(tech_base!$T74&gt;AX$625,"",(1000*tech_proj!AX1038*(-PMT($J$110,tech_base!$F74,1))+1000*tech_proj!AX1318)/((1-tech_proj!AX478)*tech_proj!AX758*$L$110))</f>
        <v>56.093484867010496</v>
      </c>
      <c r="AY698" s="133"/>
    </row>
    <row r="699" spans="1:51" s="174" customFormat="1" x14ac:dyDescent="0.25">
      <c r="A699" s="356"/>
      <c r="B699" s="376"/>
      <c r="C699" s="378"/>
      <c r="D699" s="2" t="s">
        <v>10</v>
      </c>
      <c r="E699" s="160" t="str">
        <f>A671&amp;"/"&amp;B697&amp;"/"&amp;C697&amp;"/"&amp;D699</f>
        <v>Lignite fired power plants/Steam turbine/Electricity only/S</v>
      </c>
      <c r="F699" s="76" t="str">
        <f>A671</f>
        <v>Lignite fired power plants</v>
      </c>
      <c r="G699" s="76" t="str">
        <f>B697</f>
        <v>Steam turbine</v>
      </c>
      <c r="H699" s="76" t="str">
        <f>C697</f>
        <v>Electricity only</v>
      </c>
      <c r="I699" s="161" t="str">
        <f t="shared" si="363"/>
        <v>S</v>
      </c>
      <c r="J699" s="69">
        <f>IF(tech_base!$T75&gt;J$625,"",(1000*tech_proj!J1039*(-PMT($J$110,tech_base!$F75,1))+1000*tech_proj!J1319)/((1-tech_proj!J479)*tech_proj!J759*$L$110))</f>
        <v>59.96059409955479</v>
      </c>
      <c r="K699" s="69">
        <f>IF(tech_base!$T75&gt;K$625,"",(1000*tech_proj!K1039*(-PMT($J$110,tech_base!$F75,1))+1000*tech_proj!K1319)/((1-tech_proj!K479)*tech_proj!K759*$L$110))</f>
        <v>60.013898826271166</v>
      </c>
      <c r="L699" s="69">
        <f>IF(tech_base!$T75&gt;L$625,"",(1000*tech_proj!L1039*(-PMT($J$110,tech_base!$F75,1))+1000*tech_proj!L1319)/((1-tech_proj!L479)*tech_proj!L759*$L$110))</f>
        <v>60.067234638008152</v>
      </c>
      <c r="M699" s="69">
        <f>IF(tech_base!$T75&gt;M$625,"",(1000*tech_proj!M1039*(-PMT($J$110,tech_base!$F75,1))+1000*tech_proj!M1319)/((1-tech_proj!M479)*tech_proj!M759*$L$110))</f>
        <v>60.120574044923806</v>
      </c>
      <c r="N699" s="69">
        <f>IF(tech_base!$T75&gt;N$625,"",(1000*tech_proj!N1039*(-PMT($J$110,tech_base!$F75,1))+1000*tech_proj!N1319)/((1-tech_proj!N479)*tech_proj!N759*$L$110))</f>
        <v>60.173889667564588</v>
      </c>
      <c r="O699" s="69">
        <f>IF(tech_base!$T75&gt;O$625,"",(1000*tech_proj!O1039*(-PMT($J$110,tech_base!$F75,1))+1000*tech_proj!O1319)/((1-tech_proj!O479)*tech_proj!O759*$L$110))</f>
        <v>60.227154290422341</v>
      </c>
      <c r="P699" s="69">
        <f>IF(tech_base!$T75&gt;P$625,"",(1000*tech_proj!P1039*(-PMT($J$110,tech_base!$F75,1))+1000*tech_proj!P1319)/((1-tech_proj!P479)*tech_proj!P759*$L$110))</f>
        <v>60.280340914499895</v>
      </c>
      <c r="Q699" s="69">
        <f>IF(tech_base!$T75&gt;Q$625,"",(1000*tech_proj!Q1039*(-PMT($J$110,tech_base!$F75,1))+1000*tech_proj!Q1319)/((1-tech_proj!Q479)*tech_proj!Q759*$L$110))</f>
        <v>60.333422808682151</v>
      </c>
      <c r="R699" s="69">
        <f>IF(tech_base!$T75&gt;R$625,"",(1000*tech_proj!R1039*(-PMT($J$110,tech_base!$F75,1))+1000*tech_proj!R1319)/((1-tech_proj!R479)*tech_proj!R759*$L$110))</f>
        <v>60.386373559718983</v>
      </c>
      <c r="S699" s="69">
        <f>IF(tech_base!$T75&gt;S$625,"",(1000*tech_proj!S1039*(-PMT($J$110,tech_base!$F75,1))+1000*tech_proj!S1319)/((1-tech_proj!S479)*tech_proj!S759*$L$110))</f>
        <v>60.439167120637187</v>
      </c>
      <c r="T699" s="69">
        <f>IF(tech_base!$T75&gt;T$625,"",(1000*tech_proj!T1039*(-PMT($J$110,tech_base!$F75,1))+1000*tech_proj!T1319)/((1-tech_proj!T479)*tech_proj!T759*$L$110))</f>
        <v>60.49177785741017</v>
      </c>
      <c r="U699" s="69">
        <f>IF(tech_base!$T75&gt;U$625,"",(1000*tech_proj!U1039*(-PMT($J$110,tech_base!$F75,1))+1000*tech_proj!U1319)/((1-tech_proj!U479)*tech_proj!U759*$L$110))</f>
        <v>60.544180593727027</v>
      </c>
      <c r="V699" s="69">
        <f>IF(tech_base!$T75&gt;V$625,"",(1000*tech_proj!V1039*(-PMT($J$110,tech_base!$F75,1))+1000*tech_proj!V1319)/((1-tech_proj!V479)*tech_proj!V759*$L$110))</f>
        <v>60.596350653715696</v>
      </c>
      <c r="W699" s="69">
        <f>IF(tech_base!$T75&gt;W$625,"",(1000*tech_proj!W1039*(-PMT($J$110,tech_base!$F75,1))+1000*tech_proj!W1319)/((1-tech_proj!W479)*tech_proj!W759*$L$110))</f>
        <v>60.648263902489447</v>
      </c>
      <c r="X699" s="69">
        <f>IF(tech_base!$T75&gt;X$625,"",(1000*tech_proj!X1039*(-PMT($J$110,tech_base!$F75,1))+1000*tech_proj!X1319)/((1-tech_proj!X479)*tech_proj!X759*$L$110))</f>
        <v>60.699896784400309</v>
      </c>
      <c r="Y699" s="69">
        <f>IF(tech_base!$T75&gt;Y$625,"",(1000*tech_proj!Y1039*(-PMT($J$110,tech_base!$F75,1))+1000*tech_proj!Y1319)/((1-tech_proj!Y479)*tech_proj!Y759*$L$110))</f>
        <v>60.751226358897803</v>
      </c>
      <c r="Z699" s="69">
        <f>IF(tech_base!$T75&gt;Z$625,"",(1000*tech_proj!Z1039*(-PMT($J$110,tech_base!$F75,1))+1000*tech_proj!Z1319)/((1-tech_proj!Z479)*tech_proj!Z759*$L$110))</f>
        <v>60.802230333907346</v>
      </c>
      <c r="AA699" s="69">
        <f>IF(tech_base!$T75&gt;AA$625,"",(1000*tech_proj!AA1039*(-PMT($J$110,tech_base!$F75,1))+1000*tech_proj!AA1319)/((1-tech_proj!AA479)*tech_proj!AA759*$L$110))</f>
        <v>60.852887096656985</v>
      </c>
      <c r="AB699" s="69">
        <f>IF(tech_base!$T75&gt;AB$625,"",(1000*tech_proj!AB1039*(-PMT($J$110,tech_base!$F75,1))+1000*tech_proj!AB1319)/((1-tech_proj!AB479)*tech_proj!AB759*$L$110))</f>
        <v>60.903175741897378</v>
      </c>
      <c r="AC699" s="69">
        <f>IF(tech_base!$T75&gt;AC$625,"",(1000*tech_proj!AC1039*(-PMT($J$110,tech_base!$F75,1))+1000*tech_proj!AC1319)/((1-tech_proj!AC479)*tech_proj!AC759*$L$110))</f>
        <v>60.953076097474593</v>
      </c>
      <c r="AD699" s="69">
        <f>IF(tech_base!$T75&gt;AD$625,"",(1000*tech_proj!AD1039*(-PMT($J$110,tech_base!$F75,1))+1000*tech_proj!AD1319)/((1-tech_proj!AD479)*tech_proj!AD759*$L$110))</f>
        <v>61.002568747230285</v>
      </c>
      <c r="AE699" s="69">
        <f>IF(tech_base!$T75&gt;AE$625,"",(1000*tech_proj!AE1039*(-PMT($J$110,tech_base!$F75,1))+1000*tech_proj!AE1319)/((1-tech_proj!AE479)*tech_proj!AE759*$L$110))</f>
        <v>61.051635051218526</v>
      </c>
      <c r="AF699" s="69">
        <f>IF(tech_base!$T75&gt;AF$625,"",(1000*tech_proj!AF1039*(-PMT($J$110,tech_base!$F75,1))+1000*tech_proj!AF1319)/((1-tech_proj!AF479)*tech_proj!AF759*$L$110))</f>
        <v>61.100257163242247</v>
      </c>
      <c r="AG699" s="69">
        <f>IF(tech_base!$T75&gt;AG$625,"",(1000*tech_proj!AG1039*(-PMT($J$110,tech_base!$F75,1))+1000*tech_proj!AG1319)/((1-tech_proj!AG479)*tech_proj!AG759*$L$110))</f>
        <v>61.148418045726395</v>
      </c>
      <c r="AH699" s="69">
        <f>IF(tech_base!$T75&gt;AH$625,"",(1000*tech_proj!AH1039*(-PMT($J$110,tech_base!$F75,1))+1000*tech_proj!AH1319)/((1-tech_proj!AH479)*tech_proj!AH759*$L$110))</f>
        <v>61.19610148195666</v>
      </c>
      <c r="AI699" s="69">
        <f>IF(tech_base!$T75&gt;AI$625,"",(1000*tech_proj!AI1039*(-PMT($J$110,tech_base!$F75,1))+1000*tech_proj!AI1319)/((1-tech_proj!AI479)*tech_proj!AI759*$L$110))</f>
        <v>61.243292085726146</v>
      </c>
      <c r="AJ699" s="69">
        <f>IF(tech_base!$T75&gt;AJ$625,"",(1000*tech_proj!AJ1039*(-PMT($J$110,tech_base!$F75,1))+1000*tech_proj!AJ1319)/((1-tech_proj!AJ479)*tech_proj!AJ759*$L$110))</f>
        <v>61.289975308442202</v>
      </c>
      <c r="AK699" s="69">
        <f>IF(tech_base!$T75&gt;AK$625,"",(1000*tech_proj!AK1039*(-PMT($J$110,tech_base!$F75,1))+1000*tech_proj!AK1319)/((1-tech_proj!AK479)*tech_proj!AK759*$L$110))</f>
        <v>61.336137443757295</v>
      </c>
      <c r="AL699" s="69">
        <f>IF(tech_base!$T75&gt;AL$625,"",(1000*tech_proj!AL1039*(-PMT($J$110,tech_base!$F75,1))+1000*tech_proj!AL1319)/((1-tech_proj!AL479)*tech_proj!AL759*$L$110))</f>
        <v>61.381765629796654</v>
      </c>
      <c r="AM699" s="69">
        <f>IF(tech_base!$T75&gt;AM$625,"",(1000*tech_proj!AM1039*(-PMT($J$110,tech_base!$F75,1))+1000*tech_proj!AM1319)/((1-tech_proj!AM479)*tech_proj!AM759*$L$110))</f>
        <v>61.426847849064508</v>
      </c>
      <c r="AN699" s="69">
        <f>IF(tech_base!$T75&gt;AN$625,"",(1000*tech_proj!AN1039*(-PMT($J$110,tech_base!$F75,1))+1000*tech_proj!AN1319)/((1-tech_proj!AN479)*tech_proj!AN759*$L$110))</f>
        <v>61.471372926118299</v>
      </c>
      <c r="AO699" s="69">
        <f>IF(tech_base!$T75&gt;AO$625,"",(1000*tech_proj!AO1039*(-PMT($J$110,tech_base!$F75,1))+1000*tech_proj!AO1319)/((1-tech_proj!AO479)*tech_proj!AO759*$L$110))</f>
        <v>61.515330523107068</v>
      </c>
      <c r="AP699" s="69">
        <f>IF(tech_base!$T75&gt;AP$625,"",(1000*tech_proj!AP1039*(-PMT($J$110,tech_base!$F75,1))+1000*tech_proj!AP1319)/((1-tech_proj!AP479)*tech_proj!AP759*$L$110))</f>
        <v>61.558711133276447</v>
      </c>
      <c r="AQ699" s="69">
        <f>IF(tech_base!$T75&gt;AQ$625,"",(1000*tech_proj!AQ1039*(-PMT($J$110,tech_base!$F75,1))+1000*tech_proj!AQ1319)/((1-tech_proj!AQ479)*tech_proj!AQ759*$L$110))</f>
        <v>61.601506072547004</v>
      </c>
      <c r="AR699" s="69">
        <f>IF(tech_base!$T75&gt;AR$625,"",(1000*tech_proj!AR1039*(-PMT($J$110,tech_base!$F75,1))+1000*tech_proj!AR1319)/((1-tech_proj!AR479)*tech_proj!AR759*$L$110))</f>
        <v>61.643707469277366</v>
      </c>
      <c r="AS699" s="69">
        <f>IF(tech_base!$T75&gt;AS$625,"",(1000*tech_proj!AS1039*(-PMT($J$110,tech_base!$F75,1))+1000*tech_proj!AS1319)/((1-tech_proj!AS479)*tech_proj!AS759*$L$110))</f>
        <v>61.6853082523265</v>
      </c>
      <c r="AT699" s="69">
        <f>IF(tech_base!$T75&gt;AT$625,"",(1000*tech_proj!AT1039*(-PMT($J$110,tech_base!$F75,1))+1000*tech_proj!AT1319)/((1-tech_proj!AT479)*tech_proj!AT759*$L$110))</f>
        <v>61.726302137531519</v>
      </c>
      <c r="AU699" s="69">
        <f>IF(tech_base!$T75&gt;AU$625,"",(1000*tech_proj!AU1039*(-PMT($J$110,tech_base!$F75,1))+1000*tech_proj!AU1319)/((1-tech_proj!AU479)*tech_proj!AU759*$L$110))</f>
        <v>61.766683612719405</v>
      </c>
      <c r="AV699" s="69">
        <f>IF(tech_base!$T75&gt;AV$625,"",(1000*tech_proj!AV1039*(-PMT($J$110,tech_base!$F75,1))+1000*tech_proj!AV1319)/((1-tech_proj!AV479)*tech_proj!AV759*$L$110))</f>
        <v>61.806447921371408</v>
      </c>
      <c r="AW699" s="69">
        <f>IF(tech_base!$T75&gt;AW$625,"",(1000*tech_proj!AW1039*(-PMT($J$110,tech_base!$F75,1))+1000*tech_proj!AW1319)/((1-tech_proj!AW479)*tech_proj!AW759*$L$110))</f>
        <v>61.845591045058704</v>
      </c>
      <c r="AX699" s="235">
        <f>IF(tech_base!$T75&gt;AX$625,"",(1000*tech_proj!AX1039*(-PMT($J$110,tech_base!$F75,1))+1000*tech_proj!AX1319)/((1-tech_proj!AX479)*tech_proj!AX759*$L$110))</f>
        <v>61.884109684767758</v>
      </c>
      <c r="AY699" s="133"/>
    </row>
    <row r="700" spans="1:51" s="174" customFormat="1" x14ac:dyDescent="0.25">
      <c r="A700" s="356"/>
      <c r="B700" s="376"/>
      <c r="C700" s="379"/>
      <c r="D700" s="2" t="s">
        <v>20</v>
      </c>
      <c r="E700" s="160" t="str">
        <f>A671&amp;"/"&amp;B697&amp;"/"&amp;C697&amp;"/"&amp;D700</f>
        <v>Lignite fired power plants/Steam turbine/Electricity only/XS</v>
      </c>
      <c r="F700" s="76" t="str">
        <f>A671</f>
        <v>Lignite fired power plants</v>
      </c>
      <c r="G700" s="76" t="str">
        <f>B697</f>
        <v>Steam turbine</v>
      </c>
      <c r="H700" s="76" t="str">
        <f>C697</f>
        <v>Electricity only</v>
      </c>
      <c r="I700" s="161" t="str">
        <f t="shared" si="363"/>
        <v>XS</v>
      </c>
      <c r="J700" s="69">
        <f>IF(tech_base!$T76&gt;J$625,"",(1000*tech_proj!J1040*(-PMT($J$110,tech_base!$F76,1))+1000*tech_proj!J1320)/((1-tech_proj!J480)*tech_proj!J760*$L$110))</f>
        <v>72.302409812725386</v>
      </c>
      <c r="K700" s="69">
        <f>IF(tech_base!$T76&gt;K$625,"",(1000*tech_proj!K1040*(-PMT($J$110,tech_base!$F76,1))+1000*tech_proj!K1320)/((1-tech_proj!K480)*tech_proj!K760*$L$110))</f>
        <v>72.345012866977925</v>
      </c>
      <c r="L700" s="69">
        <f>IF(tech_base!$T76&gt;L$625,"",(1000*tech_proj!L1040*(-PMT($J$110,tech_base!$F76,1))+1000*tech_proj!L1320)/((1-tech_proj!L480)*tech_proj!L760*$L$110))</f>
        <v>72.387449327894657</v>
      </c>
      <c r="M700" s="69">
        <f>IF(tech_base!$T76&gt;M$625,"",(1000*tech_proj!M1040*(-PMT($J$110,tech_base!$F76,1))+1000*tech_proj!M1320)/((1-tech_proj!M480)*tech_proj!M760*$L$110))</f>
        <v>72.429699628905354</v>
      </c>
      <c r="N700" s="69">
        <f>IF(tech_base!$T76&gt;N$625,"",(1000*tech_proj!N1040*(-PMT($J$110,tech_base!$F76,1))+1000*tech_proj!N1320)/((1-tech_proj!N480)*tech_proj!N760*$L$110))</f>
        <v>72.471744612064086</v>
      </c>
      <c r="O700" s="69">
        <f>IF(tech_base!$T76&gt;O$625,"",(1000*tech_proj!O1040*(-PMT($J$110,tech_base!$F76,1))+1000*tech_proj!O1320)/((1-tech_proj!O480)*tech_proj!O760*$L$110))</f>
        <v>72.513565558648907</v>
      </c>
      <c r="P700" s="69">
        <f>IF(tech_base!$T76&gt;P$625,"",(1000*tech_proj!P1040*(-PMT($J$110,tech_base!$F76,1))+1000*tech_proj!P1320)/((1-tech_proj!P480)*tech_proj!P760*$L$110))</f>
        <v>72.555144217986296</v>
      </c>
      <c r="Q700" s="69">
        <f>IF(tech_base!$T76&gt;Q$625,"",(1000*tech_proj!Q1040*(-PMT($J$110,tech_base!$F76,1))+1000*tech_proj!Q1320)/((1-tech_proj!Q480)*tech_proj!Q760*$L$110))</f>
        <v>72.596462834425139</v>
      </c>
      <c r="R700" s="69">
        <f>IF(tech_base!$T76&gt;R$625,"",(1000*tech_proj!R1040*(-PMT($J$110,tech_base!$F76,1))+1000*tech_proj!R1320)/((1-tech_proj!R480)*tech_proj!R760*$L$110))</f>
        <v>72.637504172396888</v>
      </c>
      <c r="S700" s="69">
        <f>IF(tech_base!$T76&gt;S$625,"",(1000*tech_proj!S1040*(-PMT($J$110,tech_base!$F76,1))+1000*tech_proj!S1320)/((1-tech_proj!S480)*tech_proj!S760*$L$110))</f>
        <v>72.67825153950939</v>
      </c>
      <c r="T700" s="69">
        <f>IF(tech_base!$T76&gt;T$625,"",(1000*tech_proj!T1040*(-PMT($J$110,tech_base!$F76,1))+1000*tech_proj!T1320)/((1-tech_proj!T480)*tech_proj!T760*$L$110))</f>
        <v>72.718688807633711</v>
      </c>
      <c r="U700" s="69">
        <f>IF(tech_base!$T76&gt;U$625,"",(1000*tech_proj!U1040*(-PMT($J$110,tech_base!$F76,1))+1000*tech_proj!U1320)/((1-tech_proj!U480)*tech_proj!U760*$L$110))</f>
        <v>72.758800431955279</v>
      </c>
      <c r="V700" s="69">
        <f>IF(tech_base!$T76&gt;V$625,"",(1000*tech_proj!V1040*(-PMT($J$110,tech_base!$F76,1))+1000*tech_proj!V1320)/((1-tech_proj!V480)*tech_proj!V760*$L$110))</f>
        <v>72.798571467970632</v>
      </c>
      <c r="W700" s="69">
        <f>IF(tech_base!$T76&gt;W$625,"",(1000*tech_proj!W1040*(-PMT($J$110,tech_base!$F76,1))+1000*tech_proj!W1320)/((1-tech_proj!W480)*tech_proj!W760*$L$110))</f>
        <v>72.837987586423452</v>
      </c>
      <c r="X700" s="69">
        <f>IF(tech_base!$T76&gt;X$625,"",(1000*tech_proj!X1040*(-PMT($J$110,tech_base!$F76,1))+1000*tech_proj!X1320)/((1-tech_proj!X480)*tech_proj!X760*$L$110))</f>
        <v>72.877035086183156</v>
      </c>
      <c r="Y700" s="69">
        <f>IF(tech_base!$T76&gt;Y$625,"",(1000*tech_proj!Y1040*(-PMT($J$110,tech_base!$F76,1))+1000*tech_proj!Y1320)/((1-tech_proj!Y480)*tech_proj!Y760*$L$110))</f>
        <v>72.915700905079845</v>
      </c>
      <c r="Z700" s="69">
        <f>IF(tech_base!$T76&gt;Z$625,"",(1000*tech_proj!Z1040*(-PMT($J$110,tech_base!$F76,1))+1000*tech_proj!Z1320)/((1-tech_proj!Z480)*tech_proj!Z760*$L$110))</f>
        <v>72.953972628719313</v>
      </c>
      <c r="AA700" s="69">
        <f>IF(tech_base!$T76&gt;AA$625,"",(1000*tech_proj!AA1040*(-PMT($J$110,tech_base!$F76,1))+1000*tech_proj!AA1320)/((1-tech_proj!AA480)*tech_proj!AA760*$L$110))</f>
        <v>72.991838497310468</v>
      </c>
      <c r="AB700" s="69">
        <f>IF(tech_base!$T76&gt;AB$625,"",(1000*tech_proj!AB1040*(-PMT($J$110,tech_base!$F76,1))+1000*tech_proj!AB1320)/((1-tech_proj!AB480)*tech_proj!AB760*$L$110))</f>
        <v>73.029287410546658</v>
      </c>
      <c r="AC700" s="69">
        <f>IF(tech_base!$T76&gt;AC$625,"",(1000*tech_proj!AC1040*(-PMT($J$110,tech_base!$F76,1))+1000*tech_proj!AC1320)/((1-tech_proj!AC480)*tech_proj!AC760*$L$110))</f>
        <v>73.066308930589898</v>
      </c>
      <c r="AD700" s="69">
        <f>IF(tech_base!$T76&gt;AD$625,"",(1000*tech_proj!AD1040*(-PMT($J$110,tech_base!$F76,1))+1000*tech_proj!AD1320)/((1-tech_proj!AD480)*tech_proj!AD760*$L$110))</f>
        <v>73.102893283214456</v>
      </c>
      <c r="AE700" s="69">
        <f>IF(tech_base!$T76&gt;AE$625,"",(1000*tech_proj!AE1040*(-PMT($J$110,tech_base!$F76,1))+1000*tech_proj!AE1320)/((1-tech_proj!AE480)*tech_proj!AE760*$L$110))</f>
        <v>73.139031357172797</v>
      </c>
      <c r="AF700" s="69">
        <f>IF(tech_base!$T76&gt;AF$625,"",(1000*tech_proj!AF1040*(-PMT($J$110,tech_base!$F76,1))+1000*tech_proj!AF1320)/((1-tech_proj!AF480)*tech_proj!AF760*$L$110))</f>
        <v>73.174714701852849</v>
      </c>
      <c r="AG700" s="69">
        <f>IF(tech_base!$T76&gt;AG$625,"",(1000*tech_proj!AG1040*(-PMT($J$110,tech_base!$F76,1))+1000*tech_proj!AG1320)/((1-tech_proj!AG480)*tech_proj!AG760*$L$110))</f>
        <v>73.2099355233007</v>
      </c>
      <c r="AH700" s="69">
        <f>IF(tech_base!$T76&gt;AH$625,"",(1000*tech_proj!AH1040*(-PMT($J$110,tech_base!$F76,1))+1000*tech_proj!AH1320)/((1-tech_proj!AH480)*tech_proj!AH760*$L$110))</f>
        <v>73.244686678687316</v>
      </c>
      <c r="AI700" s="69">
        <f>IF(tech_base!$T76&gt;AI$625,"",(1000*tech_proj!AI1040*(-PMT($J$110,tech_base!$F76,1))+1000*tech_proj!AI1320)/((1-tech_proj!AI480)*tech_proj!AI760*$L$110))</f>
        <v>73.278961669301594</v>
      </c>
      <c r="AJ700" s="69">
        <f>IF(tech_base!$T76&gt;AJ$625,"",(1000*tech_proj!AJ1040*(-PMT($J$110,tech_base!$F76,1))+1000*tech_proj!AJ1320)/((1-tech_proj!AJ480)*tech_proj!AJ760*$L$110))</f>
        <v>73.31275463215529</v>
      </c>
      <c r="AK700" s="69">
        <f>IF(tech_base!$T76&gt;AK$625,"",(1000*tech_proj!AK1040*(-PMT($J$110,tech_base!$F76,1))+1000*tech_proj!AK1320)/((1-tech_proj!AK480)*tech_proj!AK760*$L$110))</f>
        <v>73.346060330287742</v>
      </c>
      <c r="AL700" s="69">
        <f>IF(tech_base!$T76&gt;AL$625,"",(1000*tech_proj!AL1040*(-PMT($J$110,tech_base!$F76,1))+1000*tech_proj!AL1320)/((1-tech_proj!AL480)*tech_proj!AL760*$L$110))</f>
        <v>73.378874141859939</v>
      </c>
      <c r="AM700" s="69">
        <f>IF(tech_base!$T76&gt;AM$625,"",(1000*tech_proj!AM1040*(-PMT($J$110,tech_base!$F76,1))+1000*tech_proj!AM1320)/((1-tech_proj!AM480)*tech_proj!AM760*$L$110))</f>
        <v>73.411192048128896</v>
      </c>
      <c r="AN700" s="69">
        <f>IF(tech_base!$T76&gt;AN$625,"",(1000*tech_proj!AN1040*(-PMT($J$110,tech_base!$F76,1))+1000*tech_proj!AN1320)/((1-tech_proj!AN480)*tech_proj!AN760*$L$110))</f>
        <v>73.443010620393423</v>
      </c>
      <c r="AO700" s="69">
        <f>IF(tech_base!$T76&gt;AO$625,"",(1000*tech_proj!AO1040*(-PMT($J$110,tech_base!$F76,1))+1000*tech_proj!AO1320)/((1-tech_proj!AO480)*tech_proj!AO760*$L$110))</f>
        <v>73.474327006002937</v>
      </c>
      <c r="AP700" s="69">
        <f>IF(tech_base!$T76&gt;AP$625,"",(1000*tech_proj!AP1040*(-PMT($J$110,tech_base!$F76,1))+1000*tech_proj!AP1320)/((1-tech_proj!AP480)*tech_proj!AP760*$L$110))</f>
        <v>73.505138913519843</v>
      </c>
      <c r="AQ700" s="69">
        <f>IF(tech_base!$T76&gt;AQ$625,"",(1000*tech_proj!AQ1040*(-PMT($J$110,tech_base!$F76,1))+1000*tech_proj!AQ1320)/((1-tech_proj!AQ480)*tech_proj!AQ760*$L$110))</f>
        <v>73.535444597125462</v>
      </c>
      <c r="AR700" s="69">
        <f>IF(tech_base!$T76&gt;AR$625,"",(1000*tech_proj!AR1040*(-PMT($J$110,tech_base!$F76,1))+1000*tech_proj!AR1320)/((1-tech_proj!AR480)*tech_proj!AR760*$L$110))</f>
        <v>73.565242840357627</v>
      </c>
      <c r="AS700" s="69">
        <f>IF(tech_base!$T76&gt;AS$625,"",(1000*tech_proj!AS1040*(-PMT($J$110,tech_base!$F76,1))+1000*tech_proj!AS1320)/((1-tech_proj!AS480)*tech_proj!AS760*$L$110))</f>
        <v>73.594532939266372</v>
      </c>
      <c r="AT700" s="69">
        <f>IF(tech_base!$T76&gt;AT$625,"",(1000*tech_proj!AT1040*(-PMT($J$110,tech_base!$F76,1))+1000*tech_proj!AT1320)/((1-tech_proj!AT480)*tech_proj!AT760*$L$110))</f>
        <v>73.623314685072145</v>
      </c>
      <c r="AU700" s="69">
        <f>IF(tech_base!$T76&gt;AU$625,"",(1000*tech_proj!AU1040*(-PMT($J$110,tech_base!$F76,1))+1000*tech_proj!AU1320)/((1-tech_proj!AU480)*tech_proj!AU760*$L$110))</f>
        <v>73.651588346407507</v>
      </c>
      <c r="AV700" s="69">
        <f>IF(tech_base!$T76&gt;AV$625,"",(1000*tech_proj!AV1040*(-PMT($J$110,tech_base!$F76,1))+1000*tech_proj!AV1320)/((1-tech_proj!AV480)*tech_proj!AV760*$L$110))</f>
        <v>73.679354651221857</v>
      </c>
      <c r="AW700" s="69">
        <f>IF(tech_base!$T76&gt;AW$625,"",(1000*tech_proj!AW1040*(-PMT($J$110,tech_base!$F76,1))+1000*tech_proj!AW1320)/((1-tech_proj!AW480)*tech_proj!AW760*$L$110))</f>
        <v>73.706614768423989</v>
      </c>
      <c r="AX700" s="235">
        <f>IF(tech_base!$T76&gt;AX$625,"",(1000*tech_proj!AX1040*(-PMT($J$110,tech_base!$F76,1))+1000*tech_proj!AX1320)/((1-tech_proj!AX480)*tech_proj!AX760*$L$110))</f>
        <v>73.733370289335255</v>
      </c>
      <c r="AY700" s="133"/>
    </row>
    <row r="701" spans="1:51" s="174" customFormat="1" x14ac:dyDescent="0.25">
      <c r="A701" s="356"/>
      <c r="B701" s="376"/>
      <c r="C701" s="361" t="s">
        <v>14</v>
      </c>
      <c r="D701" s="58" t="s">
        <v>7</v>
      </c>
      <c r="E701" s="164" t="str">
        <f>A671&amp;"/"&amp;B697&amp;"/"&amp;C701&amp;"/"&amp;D701</f>
        <v>Lignite fired power plants/Steam turbine/CHP/L</v>
      </c>
      <c r="F701" s="78" t="str">
        <f>A671</f>
        <v>Lignite fired power plants</v>
      </c>
      <c r="G701" s="78" t="str">
        <f>B697</f>
        <v>Steam turbine</v>
      </c>
      <c r="H701" s="78" t="str">
        <f>C701</f>
        <v>CHP</v>
      </c>
      <c r="I701" s="165" t="str">
        <f t="shared" si="363"/>
        <v>L</v>
      </c>
      <c r="J701" s="71">
        <f>IF(tech_base!$T77&gt;J$625,"",(1000*tech_proj!J1041*(-PMT($J$110,tech_base!$F77,1))+1000*tech_proj!J1321)/((1-tech_proj!J481)*tech_proj!J761*$L$110))</f>
        <v>61.794942451930517</v>
      </c>
      <c r="K701" s="71">
        <f>IF(tech_base!$T77&gt;K$625,"",(1000*tech_proj!K1041*(-PMT($J$110,tech_base!$F77,1))+1000*tech_proj!K1321)/((1-tech_proj!K481)*tech_proj!K761*$L$110))</f>
        <v>61.849561663083584</v>
      </c>
      <c r="L701" s="71">
        <f>IF(tech_base!$T77&gt;L$625,"",(1000*tech_proj!L1041*(-PMT($J$110,tech_base!$F77,1))+1000*tech_proj!L1321)/((1-tech_proj!L481)*tech_proj!L761*$L$110))</f>
        <v>61.904102533521545</v>
      </c>
      <c r="M701" s="71">
        <f>IF(tech_base!$T77&gt;M$625,"",(1000*tech_proj!M1041*(-PMT($J$110,tech_base!$F77,1))+1000*tech_proj!M1321)/((1-tech_proj!M481)*tech_proj!M761*$L$110))</f>
        <v>61.958552714605702</v>
      </c>
      <c r="N701" s="71">
        <f>IF(tech_base!$T77&gt;N$625,"",(1000*tech_proj!N1041*(-PMT($J$110,tech_base!$F77,1))+1000*tech_proj!N1321)/((1-tech_proj!N481)*tech_proj!N761*$L$110))</f>
        <v>62.012899980475254</v>
      </c>
      <c r="O701" s="71">
        <f>IF(tech_base!$T77&gt;O$625,"",(1000*tech_proj!O1041*(-PMT($J$110,tech_base!$F77,1))+1000*tech_proj!O1321)/((1-tech_proj!O481)*tech_proj!O761*$L$110))</f>
        <v>62.06713223785566</v>
      </c>
      <c r="P701" s="71">
        <f>IF(tech_base!$T77&gt;P$625,"",(1000*tech_proj!P1041*(-PMT($J$110,tech_base!$F77,1))+1000*tech_proj!P1321)/((1-tech_proj!P481)*tech_proj!P761*$L$110))</f>
        <v>62.121237535583653</v>
      </c>
      <c r="Q701" s="71">
        <f>IF(tech_base!$T77&gt;Q$625,"",(1000*tech_proj!Q1041*(-PMT($J$110,tech_base!$F77,1))+1000*tech_proj!Q1321)/((1-tech_proj!Q481)*tech_proj!Q761*$L$110))</f>
        <v>62.17520407383531</v>
      </c>
      <c r="R701" s="71">
        <f>IF(tech_base!$T77&gt;R$625,"",(1000*tech_proj!R1041*(-PMT($J$110,tech_base!$F77,1))+1000*tech_proj!R1321)/((1-tech_proj!R481)*tech_proj!R761*$L$110))</f>
        <v>62.229020213044436</v>
      </c>
      <c r="S701" s="71">
        <f>IF(tech_base!$T77&gt;S$625,"",(1000*tech_proj!S1041*(-PMT($J$110,tech_base!$F77,1))+1000*tech_proj!S1321)/((1-tech_proj!S481)*tech_proj!S761*$L$110))</f>
        <v>62.282674482499907</v>
      </c>
      <c r="T701" s="71">
        <f>IF(tech_base!$T77&gt;T$625,"",(1000*tech_proj!T1041*(-PMT($J$110,tech_base!$F77,1))+1000*tech_proj!T1321)/((1-tech_proj!T481)*tech_proj!T761*$L$110))</f>
        <v>62.336155588611035</v>
      </c>
      <c r="U701" s="71">
        <f>IF(tech_base!$T77&gt;U$625,"",(1000*tech_proj!U1041*(-PMT($J$110,tech_base!$F77,1))+1000*tech_proj!U1321)/((1-tech_proj!U481)*tech_proj!U761*$L$110))</f>
        <v>62.389452422831212</v>
      </c>
      <c r="V701" s="71">
        <f>IF(tech_base!$T77&gt;V$625,"",(1000*tech_proj!V1041*(-PMT($J$110,tech_base!$F77,1))+1000*tech_proj!V1321)/((1-tech_proj!V481)*tech_proj!V761*$L$110))</f>
        <v>62.442554069231342</v>
      </c>
      <c r="W701" s="71">
        <f>IF(tech_base!$T77&gt;W$625,"",(1000*tech_proj!W1041*(-PMT($J$110,tech_base!$F77,1))+1000*tech_proj!W1321)/((1-tech_proj!W481)*tech_proj!W761*$L$110))</f>
        <v>62.495449811715211</v>
      </c>
      <c r="X701" s="71">
        <f>IF(tech_base!$T77&gt;X$625,"",(1000*tech_proj!X1041*(-PMT($J$110,tech_base!$F77,1))+1000*tech_proj!X1321)/((1-tech_proj!X481)*tech_proj!X761*$L$110))</f>
        <v>62.548129140869911</v>
      </c>
      <c r="Y701" s="71">
        <f>IF(tech_base!$T77&gt;Y$625,"",(1000*tech_proj!Y1041*(-PMT($J$110,tech_base!$F77,1))+1000*tech_proj!Y1321)/((1-tech_proj!Y481)*tech_proj!Y761*$L$110))</f>
        <v>62.600581760446026</v>
      </c>
      <c r="Z701" s="71">
        <f>IF(tech_base!$T77&gt;Z$625,"",(1000*tech_proj!Z1041*(-PMT($J$110,tech_base!$F77,1))+1000*tech_proj!Z1321)/((1-tech_proj!Z481)*tech_proj!Z761*$L$110))</f>
        <v>62.652797593462374</v>
      </c>
      <c r="AA701" s="71">
        <f>IF(tech_base!$T77&gt;AA$625,"",(1000*tech_proj!AA1041*(-PMT($J$110,tech_base!$F77,1))+1000*tech_proj!AA1321)/((1-tech_proj!AA481)*tech_proj!AA761*$L$110))</f>
        <v>62.704766787931916</v>
      </c>
      <c r="AB701" s="71">
        <f>IF(tech_base!$T77&gt;AB$625,"",(1000*tech_proj!AB1041*(-PMT($J$110,tech_base!$F77,1))+1000*tech_proj!AB1321)/((1-tech_proj!AB481)*tech_proj!AB761*$L$110))</f>
        <v>62.756479722205739</v>
      </c>
      <c r="AC701" s="71">
        <f>IF(tech_base!$T77&gt;AC$625,"",(1000*tech_proj!AC1041*(-PMT($J$110,tech_base!$F77,1))+1000*tech_proj!AC1321)/((1-tech_proj!AC481)*tech_proj!AC761*$L$110))</f>
        <v>62.807927009933749</v>
      </c>
      <c r="AD701" s="71">
        <f>IF(tech_base!$T77&gt;AD$625,"",(1000*tech_proj!AD1041*(-PMT($J$110,tech_base!$F77,1))+1000*tech_proj!AD1321)/((1-tech_proj!AD481)*tech_proj!AD761*$L$110))</f>
        <v>62.859099504640483</v>
      </c>
      <c r="AE701" s="71">
        <f>IF(tech_base!$T77&gt;AE$625,"",(1000*tech_proj!AE1041*(-PMT($J$110,tech_base!$F77,1))+1000*tech_proj!AE1321)/((1-tech_proj!AE481)*tech_proj!AE761*$L$110))</f>
        <v>62.909988303916805</v>
      </c>
      <c r="AF701" s="71">
        <f>IF(tech_base!$T77&gt;AF$625,"",(1000*tech_proj!AF1041*(-PMT($J$110,tech_base!$F77,1))+1000*tech_proj!AF1321)/((1-tech_proj!AF481)*tech_proj!AF761*$L$110))</f>
        <v>62.96058475322787</v>
      </c>
      <c r="AG701" s="71">
        <f>IF(tech_base!$T77&gt;AG$625,"",(1000*tech_proj!AG1041*(-PMT($J$110,tech_base!$F77,1))+1000*tech_proj!AG1321)/((1-tech_proj!AG481)*tech_proj!AG761*$L$110))</f>
        <v>63.01088044933919</v>
      </c>
      <c r="AH701" s="71">
        <f>IF(tech_base!$T77&gt;AH$625,"",(1000*tech_proj!AH1041*(-PMT($J$110,tech_base!$F77,1))+1000*tech_proj!AH1321)/((1-tech_proj!AH481)*tech_proj!AH761*$L$110))</f>
        <v>63.06086724336371</v>
      </c>
      <c r="AI701" s="71">
        <f>IF(tech_base!$T77&gt;AI$625,"",(1000*tech_proj!AI1041*(-PMT($J$110,tech_base!$F77,1))+1000*tech_proj!AI1321)/((1-tech_proj!AI481)*tech_proj!AI761*$L$110))</f>
        <v>63.110537243432773</v>
      </c>
      <c r="AJ701" s="71">
        <f>IF(tech_base!$T77&gt;AJ$625,"",(1000*tech_proj!AJ1041*(-PMT($J$110,tech_base!$F77,1))+1000*tech_proj!AJ1321)/((1-tech_proj!AJ481)*tech_proj!AJ761*$L$110))</f>
        <v>63.159882816995641</v>
      </c>
      <c r="AK701" s="71">
        <f>IF(tech_base!$T77&gt;AK$625,"",(1000*tech_proj!AK1041*(-PMT($J$110,tech_base!$F77,1))+1000*tech_proj!AK1321)/((1-tech_proj!AK481)*tech_proj!AK761*$L$110))</f>
        <v>63.208896592751913</v>
      </c>
      <c r="AL701" s="71">
        <f>IF(tech_base!$T77&gt;AL$625,"",(1000*tech_proj!AL1041*(-PMT($J$110,tech_base!$F77,1))+1000*tech_proj!AL1321)/((1-tech_proj!AL481)*tech_proj!AL761*$L$110))</f>
        <v>63.257571462222991</v>
      </c>
      <c r="AM701" s="71">
        <f>IF(tech_base!$T77&gt;AM$625,"",(1000*tech_proj!AM1041*(-PMT($J$110,tech_base!$F77,1))+1000*tech_proj!AM1321)/((1-tech_proj!AM481)*tech_proj!AM761*$L$110))</f>
        <v>63.305900580968284</v>
      </c>
      <c r="AN701" s="71">
        <f>IF(tech_base!$T77&gt;AN$625,"",(1000*tech_proj!AN1041*(-PMT($J$110,tech_base!$F77,1))+1000*tech_proj!AN1321)/((1-tech_proj!AN481)*tech_proj!AN761*$L$110))</f>
        <v>63.353877369453258</v>
      </c>
      <c r="AO701" s="71">
        <f>IF(tech_base!$T77&gt;AO$625,"",(1000*tech_proj!AO1041*(-PMT($J$110,tech_base!$F77,1))+1000*tech_proj!AO1321)/((1-tech_proj!AO481)*tech_proj!AO761*$L$110))</f>
        <v>63.401495513576826</v>
      </c>
      <c r="AP701" s="71">
        <f>IF(tech_base!$T77&gt;AP$625,"",(1000*tech_proj!AP1041*(-PMT($J$110,tech_base!$F77,1))+1000*tech_proj!AP1321)/((1-tech_proj!AP481)*tech_proj!AP761*$L$110))</f>
        <v>63.448748964865764</v>
      </c>
      <c r="AQ701" s="71">
        <f>IF(tech_base!$T77&gt;AQ$625,"",(1000*tech_proj!AQ1041*(-PMT($J$110,tech_base!$F77,1))+1000*tech_proj!AQ1321)/((1-tech_proj!AQ481)*tech_proj!AQ761*$L$110))</f>
        <v>63.495631940344886</v>
      </c>
      <c r="AR701" s="71">
        <f>IF(tech_base!$T77&gt;AR$625,"",(1000*tech_proj!AR1041*(-PMT($J$110,tech_base!$F77,1))+1000*tech_proj!AR1321)/((1-tech_proj!AR481)*tech_proj!AR761*$L$110))</f>
        <v>63.542138922091574</v>
      </c>
      <c r="AS701" s="71">
        <f>IF(tech_base!$T77&gt;AS$625,"",(1000*tech_proj!AS1041*(-PMT($J$110,tech_base!$F77,1))+1000*tech_proj!AS1321)/((1-tech_proj!AS481)*tech_proj!AS761*$L$110))</f>
        <v>63.588264656484348</v>
      </c>
      <c r="AT701" s="71">
        <f>IF(tech_base!$T77&gt;AT$625,"",(1000*tech_proj!AT1041*(-PMT($J$110,tech_base!$F77,1))+1000*tech_proj!AT1321)/((1-tech_proj!AT481)*tech_proj!AT761*$L$110))</f>
        <v>63.634004153154798</v>
      </c>
      <c r="AU701" s="71">
        <f>IF(tech_base!$T77&gt;AU$625,"",(1000*tech_proj!AU1041*(-PMT($J$110,tech_base!$F77,1))+1000*tech_proj!AU1321)/((1-tech_proj!AU481)*tech_proj!AU761*$L$110))</f>
        <v>63.679352683653271</v>
      </c>
      <c r="AV701" s="71">
        <f>IF(tech_base!$T77&gt;AV$625,"",(1000*tech_proj!AV1041*(-PMT($J$110,tech_base!$F77,1))+1000*tech_proj!AV1321)/((1-tech_proj!AV481)*tech_proj!AV761*$L$110))</f>
        <v>63.72430577983819</v>
      </c>
      <c r="AW701" s="71">
        <f>IF(tech_base!$T77&gt;AW$625,"",(1000*tech_proj!AW1041*(-PMT($J$110,tech_base!$F77,1))+1000*tech_proj!AW1321)/((1-tech_proj!AW481)*tech_proj!AW761*$L$110))</f>
        <v>63.768859232000089</v>
      </c>
      <c r="AX701" s="237">
        <f>IF(tech_base!$T77&gt;AX$625,"",(1000*tech_proj!AX1041*(-PMT($J$110,tech_base!$F77,1))+1000*tech_proj!AX1321)/((1-tech_proj!AX481)*tech_proj!AX761*$L$110))</f>
        <v>63.813009086730887</v>
      </c>
      <c r="AY701" s="133"/>
    </row>
    <row r="702" spans="1:51" s="174" customFormat="1" x14ac:dyDescent="0.25">
      <c r="A702" s="356"/>
      <c r="B702" s="376"/>
      <c r="C702" s="378"/>
      <c r="D702" s="2" t="s">
        <v>8</v>
      </c>
      <c r="E702" s="160" t="str">
        <f>A671&amp;"/"&amp;B697&amp;"/"&amp;C701&amp;"/"&amp;D702</f>
        <v>Lignite fired power plants/Steam turbine/CHP/M</v>
      </c>
      <c r="F702" s="76" t="str">
        <f>A671</f>
        <v>Lignite fired power plants</v>
      </c>
      <c r="G702" s="76" t="str">
        <f>B697</f>
        <v>Steam turbine</v>
      </c>
      <c r="H702" s="76" t="str">
        <f>C701</f>
        <v>CHP</v>
      </c>
      <c r="I702" s="161" t="str">
        <f t="shared" si="363"/>
        <v>M</v>
      </c>
      <c r="J702" s="69">
        <f>IF(tech_base!$T78&gt;J$625,"",(1000*tech_proj!J1042*(-PMT($J$110,tech_base!$F78,1))+1000*tech_proj!J1322)/((1-tech_proj!J482)*tech_proj!J762*$L$110))</f>
        <v>66.1124020715596</v>
      </c>
      <c r="K702" s="69">
        <f>IF(tech_base!$T78&gt;K$625,"",(1000*tech_proj!K1042*(-PMT($J$110,tech_base!$F78,1))+1000*tech_proj!K1322)/((1-tech_proj!K482)*tech_proj!K762*$L$110))</f>
        <v>66.149241646391815</v>
      </c>
      <c r="L702" s="69">
        <f>IF(tech_base!$T78&gt;L$625,"",(1000*tech_proj!L1042*(-PMT($J$110,tech_base!$F78,1))+1000*tech_proj!L1322)/((1-tech_proj!L482)*tech_proj!L762*$L$110))</f>
        <v>66.185936800106873</v>
      </c>
      <c r="M702" s="69">
        <f>IF(tech_base!$T78&gt;M$625,"",(1000*tech_proj!M1042*(-PMT($J$110,tech_base!$F78,1))+1000*tech_proj!M1322)/((1-tech_proj!M482)*tech_proj!M762*$L$110))</f>
        <v>66.222480421398942</v>
      </c>
      <c r="N702" s="69">
        <f>IF(tech_base!$T78&gt;N$625,"",(1000*tech_proj!N1042*(-PMT($J$110,tech_base!$F78,1))+1000*tech_proj!N1322)/((1-tech_proj!N482)*tech_proj!N762*$L$110))</f>
        <v>66.258865540642091</v>
      </c>
      <c r="O702" s="69">
        <f>IF(tech_base!$T78&gt;O$625,"",(1000*tech_proj!O1042*(-PMT($J$110,tech_base!$F78,1))+1000*tech_proj!O1322)/((1-tech_proj!O482)*tech_proj!O762*$L$110))</f>
        <v>66.29508533405658</v>
      </c>
      <c r="P702" s="69">
        <f>IF(tech_base!$T78&gt;P$625,"",(1000*tech_proj!P1042*(-PMT($J$110,tech_base!$F78,1))+1000*tech_proj!P1322)/((1-tech_proj!P482)*tech_proj!P762*$L$110))</f>
        <v>66.331133127628632</v>
      </c>
      <c r="Q702" s="69">
        <f>IF(tech_base!$T78&gt;Q$625,"",(1000*tech_proj!Q1042*(-PMT($J$110,tech_base!$F78,1))+1000*tech_proj!Q1322)/((1-tech_proj!Q482)*tech_proj!Q762*$L$110))</f>
        <v>66.367002400780876</v>
      </c>
      <c r="R702" s="69">
        <f>IF(tech_base!$T78&gt;R$625,"",(1000*tech_proj!R1042*(-PMT($J$110,tech_base!$F78,1))+1000*tech_proj!R1322)/((1-tech_proj!R482)*tech_proj!R762*$L$110))</f>
        <v>66.402686789792085</v>
      </c>
      <c r="S702" s="69">
        <f>IF(tech_base!$T78&gt;S$625,"",(1000*tech_proj!S1042*(-PMT($J$110,tech_base!$F78,1))+1000*tech_proj!S1322)/((1-tech_proj!S482)*tech_proj!S762*$L$110))</f>
        <v>66.438180090964622</v>
      </c>
      <c r="T702" s="69">
        <f>IF(tech_base!$T78&gt;T$625,"",(1000*tech_proj!T1042*(-PMT($J$110,tech_base!$F78,1))+1000*tech_proj!T1322)/((1-tech_proj!T482)*tech_proj!T762*$L$110))</f>
        <v>66.473476263539652</v>
      </c>
      <c r="U702" s="69">
        <f>IF(tech_base!$T78&gt;U$625,"",(1000*tech_proj!U1042*(-PMT($J$110,tech_base!$F78,1))+1000*tech_proj!U1322)/((1-tech_proj!U482)*tech_proj!U762*$L$110))</f>
        <v>66.508569432359593</v>
      </c>
      <c r="V702" s="69">
        <f>IF(tech_base!$T78&gt;V$625,"",(1000*tech_proj!V1042*(-PMT($J$110,tech_base!$F78,1))+1000*tech_proj!V1322)/((1-tech_proj!V482)*tech_proj!V762*$L$110))</f>
        <v>66.543453890278869</v>
      </c>
      <c r="W702" s="69">
        <f>IF(tech_base!$T78&gt;W$625,"",(1000*tech_proj!W1042*(-PMT($J$110,tech_base!$F78,1))+1000*tech_proj!W1322)/((1-tech_proj!W482)*tech_proj!W762*$L$110))</f>
        <v>66.578124100323961</v>
      </c>
      <c r="X702" s="69">
        <f>IF(tech_base!$T78&gt;X$625,"",(1000*tech_proj!X1042*(-PMT($J$110,tech_base!$F78,1))+1000*tech_proj!X1322)/((1-tech_proj!X482)*tech_proj!X762*$L$110))</f>
        <v>66.612574697604529</v>
      </c>
      <c r="Y702" s="69">
        <f>IF(tech_base!$T78&gt;Y$625,"",(1000*tech_proj!Y1042*(-PMT($J$110,tech_base!$F78,1))+1000*tech_proj!Y1322)/((1-tech_proj!Y482)*tech_proj!Y762*$L$110))</f>
        <v>66.646800490977768</v>
      </c>
      <c r="Z702" s="69">
        <f>IF(tech_base!$T78&gt;Z$625,"",(1000*tech_proj!Z1042*(-PMT($J$110,tech_base!$F78,1))+1000*tech_proj!Z1322)/((1-tech_proj!Z482)*tech_proj!Z762*$L$110))</f>
        <v>66.680796464468969</v>
      </c>
      <c r="AA702" s="69">
        <f>IF(tech_base!$T78&gt;AA$625,"",(1000*tech_proj!AA1042*(-PMT($J$110,tech_base!$F78,1))+1000*tech_proj!AA1322)/((1-tech_proj!AA482)*tech_proj!AA762*$L$110))</f>
        <v>66.714557778451081</v>
      </c>
      <c r="AB702" s="69">
        <f>IF(tech_base!$T78&gt;AB$625,"",(1000*tech_proj!AB1042*(-PMT($J$110,tech_base!$F78,1))+1000*tech_proj!AB1322)/((1-tech_proj!AB482)*tech_proj!AB762*$L$110))</f>
        <v>66.748079770587495</v>
      </c>
      <c r="AC702" s="69">
        <f>IF(tech_base!$T78&gt;AC$625,"",(1000*tech_proj!AC1042*(-PMT($J$110,tech_base!$F78,1))+1000*tech_proj!AC1322)/((1-tech_proj!AC482)*tech_proj!AC762*$L$110))</f>
        <v>66.781357956541598</v>
      </c>
      <c r="AD702" s="69">
        <f>IF(tech_base!$T78&gt;AD$625,"",(1000*tech_proj!AD1042*(-PMT($J$110,tech_base!$F78,1))+1000*tech_proj!AD1322)/((1-tech_proj!AD482)*tech_proj!AD762*$L$110))</f>
        <v>66.814388030457877</v>
      </c>
      <c r="AE702" s="69">
        <f>IF(tech_base!$T78&gt;AE$625,"",(1000*tech_proj!AE1042*(-PMT($J$110,tech_base!$F78,1))+1000*tech_proj!AE1322)/((1-tech_proj!AE482)*tech_proj!AE762*$L$110))</f>
        <v>66.84716586521948</v>
      </c>
      <c r="AF702" s="69">
        <f>IF(tech_base!$T78&gt;AF$625,"",(1000*tech_proj!AF1042*(-PMT($J$110,tech_base!$F78,1))+1000*tech_proj!AF1322)/((1-tech_proj!AF482)*tech_proj!AF762*$L$110))</f>
        <v>66.879687512487138</v>
      </c>
      <c r="AG702" s="69">
        <f>IF(tech_base!$T78&gt;AG$625,"",(1000*tech_proj!AG1042*(-PMT($J$110,tech_base!$F78,1))+1000*tech_proj!AG1322)/((1-tech_proj!AG482)*tech_proj!AG762*$L$110))</f>
        <v>66.911949202525534</v>
      </c>
      <c r="AH702" s="69">
        <f>IF(tech_base!$T78&gt;AH$625,"",(1000*tech_proj!AH1042*(-PMT($J$110,tech_base!$F78,1))+1000*tech_proj!AH1322)/((1-tech_proj!AH482)*tech_proj!AH762*$L$110))</f>
        <v>66.943947343822302</v>
      </c>
      <c r="AI702" s="69">
        <f>IF(tech_base!$T78&gt;AI$625,"",(1000*tech_proj!AI1042*(-PMT($J$110,tech_base!$F78,1))+1000*tech_proj!AI1322)/((1-tech_proj!AI482)*tech_proj!AI762*$L$110))</f>
        <v>66.975678522506186</v>
      </c>
      <c r="AJ702" s="69">
        <f>IF(tech_base!$T78&gt;AJ$625,"",(1000*tech_proj!AJ1042*(-PMT($J$110,tech_base!$F78,1))+1000*tech_proj!AJ1322)/((1-tech_proj!AJ482)*tech_proj!AJ762*$L$110))</f>
        <v>67.007139501570833</v>
      </c>
      <c r="AK702" s="69">
        <f>IF(tech_base!$T78&gt;AK$625,"",(1000*tech_proj!AK1042*(-PMT($J$110,tech_base!$F78,1))+1000*tech_proj!AK1322)/((1-tech_proj!AK482)*tech_proj!AK762*$L$110))</f>
        <v>67.038327219910187</v>
      </c>
      <c r="AL702" s="69">
        <f>IF(tech_base!$T78&gt;AL$625,"",(1000*tech_proj!AL1042*(-PMT($J$110,tech_base!$F78,1))+1000*tech_proj!AL1322)/((1-tech_proj!AL482)*tech_proj!AL762*$L$110))</f>
        <v>67.069238791173063</v>
      </c>
      <c r="AM702" s="69">
        <f>IF(tech_base!$T78&gt;AM$625,"",(1000*tech_proj!AM1042*(-PMT($J$110,tech_base!$F78,1))+1000*tech_proj!AM1322)/((1-tech_proj!AM482)*tech_proj!AM762*$L$110))</f>
        <v>67.099871502443179</v>
      </c>
      <c r="AN702" s="69">
        <f>IF(tech_base!$T78&gt;AN$625,"",(1000*tech_proj!AN1042*(-PMT($J$110,tech_base!$F78,1))+1000*tech_proj!AN1322)/((1-tech_proj!AN482)*tech_proj!AN762*$L$110))</f>
        <v>67.130222812751995</v>
      </c>
      <c r="AO702" s="69">
        <f>IF(tech_base!$T78&gt;AO$625,"",(1000*tech_proj!AO1042*(-PMT($J$110,tech_base!$F78,1))+1000*tech_proj!AO1322)/((1-tech_proj!AO482)*tech_proj!AO762*$L$110))</f>
        <v>67.16029035143174</v>
      </c>
      <c r="AP702" s="69">
        <f>IF(tech_base!$T78&gt;AP$625,"",(1000*tech_proj!AP1042*(-PMT($J$110,tech_base!$F78,1))+1000*tech_proj!AP1322)/((1-tech_proj!AP482)*tech_proj!AP762*$L$110))</f>
        <v>67.190071916315532</v>
      </c>
      <c r="AQ702" s="69">
        <f>IF(tech_base!$T78&gt;AQ$625,"",(1000*tech_proj!AQ1042*(-PMT($J$110,tech_base!$F78,1))+1000*tech_proj!AQ1322)/((1-tech_proj!AQ482)*tech_proj!AQ762*$L$110))</f>
        <v>67.219565471792265</v>
      </c>
      <c r="AR702" s="69">
        <f>IF(tech_base!$T78&gt;AR$625,"",(1000*tech_proj!AR1042*(-PMT($J$110,tech_base!$F78,1))+1000*tech_proj!AR1322)/((1-tech_proj!AR482)*tech_proj!AR762*$L$110))</f>
        <v>67.248769146723646</v>
      </c>
      <c r="AS702" s="69">
        <f>IF(tech_base!$T78&gt;AS$625,"",(1000*tech_proj!AS1042*(-PMT($J$110,tech_base!$F78,1))+1000*tech_proj!AS1322)/((1-tech_proj!AS482)*tech_proj!AS762*$L$110))</f>
        <v>67.277681232230734</v>
      </c>
      <c r="AT702" s="69">
        <f>IF(tech_base!$T78&gt;AT$625,"",(1000*tech_proj!AT1042*(-PMT($J$110,tech_base!$F78,1))+1000*tech_proj!AT1322)/((1-tech_proj!AT482)*tech_proj!AT762*$L$110))</f>
        <v>67.306300179357422</v>
      </c>
      <c r="AU702" s="69">
        <f>IF(tech_base!$T78&gt;AU$625,"",(1000*tech_proj!AU1042*(-PMT($J$110,tech_base!$F78,1))+1000*tech_proj!AU1322)/((1-tech_proj!AU482)*tech_proj!AU762*$L$110))</f>
        <v>67.334624596618539</v>
      </c>
      <c r="AV702" s="69">
        <f>IF(tech_base!$T78&gt;AV$625,"",(1000*tech_proj!AV1042*(-PMT($J$110,tech_base!$F78,1))+1000*tech_proj!AV1322)/((1-tech_proj!AV482)*tech_proj!AV762*$L$110))</f>
        <v>67.362653247439795</v>
      </c>
      <c r="AW702" s="69">
        <f>IF(tech_base!$T78&gt;AW$625,"",(1000*tech_proj!AW1042*(-PMT($J$110,tech_base!$F78,1))+1000*tech_proj!AW1322)/((1-tech_proj!AW482)*tech_proj!AW762*$L$110))</f>
        <v>67.390385047496878</v>
      </c>
      <c r="AX702" s="235">
        <f>IF(tech_base!$T78&gt;AX$625,"",(1000*tech_proj!AX1042*(-PMT($J$110,tech_base!$F78,1))+1000*tech_proj!AX1322)/((1-tech_proj!AX482)*tech_proj!AX762*$L$110))</f>
        <v>67.417819061961168</v>
      </c>
      <c r="AY702" s="133"/>
    </row>
    <row r="703" spans="1:51" s="174" customFormat="1" x14ac:dyDescent="0.25">
      <c r="A703" s="356"/>
      <c r="B703" s="376"/>
      <c r="C703" s="378"/>
      <c r="D703" s="2" t="s">
        <v>10</v>
      </c>
      <c r="E703" s="160" t="str">
        <f>A671&amp;"/"&amp;B697&amp;"/"&amp;C701&amp;"/"&amp;D703</f>
        <v>Lignite fired power plants/Steam turbine/CHP/S</v>
      </c>
      <c r="F703" s="76" t="str">
        <f>A671</f>
        <v>Lignite fired power plants</v>
      </c>
      <c r="G703" s="76" t="str">
        <f>B697</f>
        <v>Steam turbine</v>
      </c>
      <c r="H703" s="76" t="str">
        <f>C701</f>
        <v>CHP</v>
      </c>
      <c r="I703" s="161" t="str">
        <f t="shared" si="363"/>
        <v>S</v>
      </c>
      <c r="J703" s="69">
        <f>IF(tech_base!$T79&gt;J$625,"",(1000*tech_proj!J1043*(-PMT($J$110,tech_base!$F79,1))+1000*tech_proj!J1323)/((1-tech_proj!J483)*tech_proj!J763*$L$110))</f>
        <v>84.529766272807805</v>
      </c>
      <c r="K703" s="69">
        <f>IF(tech_base!$T79&gt;K$625,"",(1000*tech_proj!K1043*(-PMT($J$110,tech_base!$F79,1))+1000*tech_proj!K1323)/((1-tech_proj!K483)*tech_proj!K763*$L$110))</f>
        <v>84.56169164722229</v>
      </c>
      <c r="L703" s="69">
        <f>IF(tech_base!$T79&gt;L$625,"",(1000*tech_proj!L1043*(-PMT($J$110,tech_base!$F79,1))+1000*tech_proj!L1323)/((1-tech_proj!L483)*tech_proj!L763*$L$110))</f>
        <v>84.593408629716549</v>
      </c>
      <c r="M703" s="69">
        <f>IF(tech_base!$T79&gt;M$625,"",(1000*tech_proj!M1043*(-PMT($J$110,tech_base!$F79,1))+1000*tech_proj!M1323)/((1-tech_proj!M483)*tech_proj!M763*$L$110))</f>
        <v>84.624912662265771</v>
      </c>
      <c r="N703" s="69">
        <f>IF(tech_base!$T79&gt;N$625,"",(1000*tech_proj!N1043*(-PMT($J$110,tech_base!$F79,1))+1000*tech_proj!N1323)/((1-tech_proj!N483)*tech_proj!N763*$L$110))</f>
        <v>84.65619934522347</v>
      </c>
      <c r="O703" s="69">
        <f>IF(tech_base!$T79&gt;O$625,"",(1000*tech_proj!O1043*(-PMT($J$110,tech_base!$F79,1))+1000*tech_proj!O1323)/((1-tech_proj!O483)*tech_proj!O763*$L$110))</f>
        <v>84.687264438266737</v>
      </c>
      <c r="P703" s="69">
        <f>IF(tech_base!$T79&gt;P$625,"",(1000*tech_proj!P1043*(-PMT($J$110,tech_base!$F79,1))+1000*tech_proj!P1323)/((1-tech_proj!P483)*tech_proj!P763*$L$110))</f>
        <v>84.718103861133116</v>
      </c>
      <c r="Q703" s="69">
        <f>IF(tech_base!$T79&gt;Q$625,"",(1000*tech_proj!Q1043*(-PMT($J$110,tech_base!$F79,1))+1000*tech_proj!Q1323)/((1-tech_proj!Q483)*tech_proj!Q763*$L$110))</f>
        <v>84.748713694152897</v>
      </c>
      <c r="R703" s="69">
        <f>IF(tech_base!$T79&gt;R$625,"",(1000*tech_proj!R1043*(-PMT($J$110,tech_base!$F79,1))+1000*tech_proj!R1323)/((1-tech_proj!R483)*tech_proj!R763*$L$110))</f>
        <v>84.77909017858056</v>
      </c>
      <c r="S703" s="69">
        <f>IF(tech_base!$T79&gt;S$625,"",(1000*tech_proj!S1043*(-PMT($J$110,tech_base!$F79,1))+1000*tech_proj!S1323)/((1-tech_proj!S483)*tech_proj!S763*$L$110))</f>
        <v>84.809229716730016</v>
      </c>
      <c r="T703" s="69">
        <f>IF(tech_base!$T79&gt;T$625,"",(1000*tech_proj!T1043*(-PMT($J$110,tech_base!$F79,1))+1000*tech_proj!T1323)/((1-tech_proj!T483)*tech_proj!T763*$L$110))</f>
        <v>84.839128871917779</v>
      </c>
      <c r="U703" s="69">
        <f>IF(tech_base!$T79&gt;U$625,"",(1000*tech_proj!U1043*(-PMT($J$110,tech_base!$F79,1))+1000*tech_proj!U1323)/((1-tech_proj!U483)*tech_proj!U763*$L$110))</f>
        <v>84.86878436821965</v>
      </c>
      <c r="V703" s="69">
        <f>IF(tech_base!$T79&gt;V$625,"",(1000*tech_proj!V1043*(-PMT($J$110,tech_base!$F79,1))+1000*tech_proj!V1323)/((1-tech_proj!V483)*tech_proj!V763*$L$110))</f>
        <v>84.898193090045169</v>
      </c>
      <c r="W703" s="69">
        <f>IF(tech_base!$T79&gt;W$625,"",(1000*tech_proj!W1043*(-PMT($J$110,tech_base!$F79,1))+1000*tech_proj!W1323)/((1-tech_proj!W483)*tech_proj!W763*$L$110))</f>
        <v>84.927352081536171</v>
      </c>
      <c r="X703" s="69">
        <f>IF(tech_base!$T79&gt;X$625,"",(1000*tech_proj!X1043*(-PMT($J$110,tech_base!$F79,1))+1000*tech_proj!X1323)/((1-tech_proj!X483)*tech_proj!X763*$L$110))</f>
        <v>84.956258545794356</v>
      </c>
      <c r="Y703" s="69">
        <f>IF(tech_base!$T79&gt;Y$625,"",(1000*tech_proj!Y1043*(-PMT($J$110,tech_base!$F79,1))+1000*tech_proj!Y1323)/((1-tech_proj!Y483)*tech_proj!Y763*$L$110))</f>
        <v>84.984909843943967</v>
      </c>
      <c r="Z703" s="69">
        <f>IF(tech_base!$T79&gt;Z$625,"",(1000*tech_proj!Z1043*(-PMT($J$110,tech_base!$F79,1))+1000*tech_proj!Z1323)/((1-tech_proj!Z483)*tech_proj!Z763*$L$110))</f>
        <v>85.013303494035611</v>
      </c>
      <c r="AA703" s="69">
        <f>IF(tech_base!$T79&gt;AA$625,"",(1000*tech_proj!AA1043*(-PMT($J$110,tech_base!$F79,1))+1000*tech_proj!AA1323)/((1-tech_proj!AA483)*tech_proj!AA763*$L$110))</f>
        <v>85.041437169797078</v>
      </c>
      <c r="AB703" s="69">
        <f>IF(tech_base!$T79&gt;AB$625,"",(1000*tech_proj!AB1043*(-PMT($J$110,tech_base!$F79,1))+1000*tech_proj!AB1323)/((1-tech_proj!AB483)*tech_proj!AB763*$L$110))</f>
        <v>85.069308699237723</v>
      </c>
      <c r="AC703" s="69">
        <f>IF(tech_base!$T79&gt;AC$625,"",(1000*tech_proj!AC1043*(-PMT($J$110,tech_base!$F79,1))+1000*tech_proj!AC1323)/((1-tech_proj!AC483)*tech_proj!AC763*$L$110))</f>
        <v>85.096916063112445</v>
      </c>
      <c r="AD703" s="69">
        <f>IF(tech_base!$T79&gt;AD$625,"",(1000*tech_proj!AD1043*(-PMT($J$110,tech_base!$F79,1))+1000*tech_proj!AD1323)/((1-tech_proj!AD483)*tech_proj!AD763*$L$110))</f>
        <v>85.124257393252051</v>
      </c>
      <c r="AE703" s="69">
        <f>IF(tech_base!$T79&gt;AE$625,"",(1000*tech_proj!AE1043*(-PMT($J$110,tech_base!$F79,1))+1000*tech_proj!AE1323)/((1-tech_proj!AE483)*tech_proj!AE763*$L$110))</f>
        <v>85.15133097076604</v>
      </c>
      <c r="AF703" s="69">
        <f>IF(tech_base!$T79&gt;AF$625,"",(1000*tech_proj!AF1043*(-PMT($J$110,tech_base!$F79,1))+1000*tech_proj!AF1323)/((1-tech_proj!AF483)*tech_proj!AF763*$L$110))</f>
        <v>85.178135224124972</v>
      </c>
      <c r="AG703" s="69">
        <f>IF(tech_base!$T79&gt;AG$625,"",(1000*tech_proj!AG1043*(-PMT($J$110,tech_base!$F79,1))+1000*tech_proj!AG1323)/((1-tech_proj!AG483)*tech_proj!AG763*$L$110))</f>
        <v>85.204668727128208</v>
      </c>
      <c r="AH703" s="69">
        <f>IF(tech_base!$T79&gt;AH$625,"",(1000*tech_proj!AH1043*(-PMT($J$110,tech_base!$F79,1))+1000*tech_proj!AH1323)/((1-tech_proj!AH483)*tech_proj!AH763*$L$110))</f>
        <v>85.230930196764433</v>
      </c>
      <c r="AI703" s="69">
        <f>IF(tech_base!$T79&gt;AI$625,"",(1000*tech_proj!AI1043*(-PMT($J$110,tech_base!$F79,1))+1000*tech_proj!AI1323)/((1-tech_proj!AI483)*tech_proj!AI763*$L$110))</f>
        <v>85.256918490970975</v>
      </c>
      <c r="AJ703" s="69">
        <f>IF(tech_base!$T79&gt;AJ$625,"",(1000*tech_proj!AJ1043*(-PMT($J$110,tech_base!$F79,1))+1000*tech_proj!AJ1323)/((1-tech_proj!AJ483)*tech_proj!AJ763*$L$110))</f>
        <v>85.282632606298435</v>
      </c>
      <c r="AK703" s="69">
        <f>IF(tech_base!$T79&gt;AK$625,"",(1000*tech_proj!AK1043*(-PMT($J$110,tech_base!$F79,1))+1000*tech_proj!AK1323)/((1-tech_proj!AK483)*tech_proj!AK763*$L$110))</f>
        <v>85.308071675487682</v>
      </c>
      <c r="AL703" s="69">
        <f>IF(tech_base!$T79&gt;AL$625,"",(1000*tech_proj!AL1043*(-PMT($J$110,tech_base!$F79,1))+1000*tech_proj!AL1323)/((1-tech_proj!AL483)*tech_proj!AL763*$L$110))</f>
        <v>85.33323496496493</v>
      </c>
      <c r="AM703" s="69">
        <f>IF(tech_base!$T79&gt;AM$625,"",(1000*tech_proj!AM1043*(-PMT($J$110,tech_base!$F79,1))+1000*tech_proj!AM1323)/((1-tech_proj!AM483)*tech_proj!AM763*$L$110))</f>
        <v>85.358121872261819</v>
      </c>
      <c r="AN703" s="69">
        <f>IF(tech_base!$T79&gt;AN$625,"",(1000*tech_proj!AN1043*(-PMT($J$110,tech_base!$F79,1))+1000*tech_proj!AN1323)/((1-tech_proj!AN483)*tech_proj!AN763*$L$110))</f>
        <v>85.382731923366549</v>
      </c>
      <c r="AO703" s="69">
        <f>IF(tech_base!$T79&gt;AO$625,"",(1000*tech_proj!AO1043*(-PMT($J$110,tech_base!$F79,1))+1000*tech_proj!AO1323)/((1-tech_proj!AO483)*tech_proj!AO763*$L$110))</f>
        <v>85.407064770012312</v>
      </c>
      <c r="AP703" s="69">
        <f>IF(tech_base!$T79&gt;AP$625,"",(1000*tech_proj!AP1043*(-PMT($J$110,tech_base!$F79,1))+1000*tech_proj!AP1323)/((1-tech_proj!AP483)*tech_proj!AP763*$L$110))</f>
        <v>85.431120186908984</v>
      </c>
      <c r="AQ703" s="69">
        <f>IF(tech_base!$T79&gt;AQ$625,"",(1000*tech_proj!AQ1043*(-PMT($J$110,tech_base!$F79,1))+1000*tech_proj!AQ1323)/((1-tech_proj!AQ483)*tech_proj!AQ763*$L$110))</f>
        <v>85.454898068924393</v>
      </c>
      <c r="AR703" s="69">
        <f>IF(tech_base!$T79&gt;AR$625,"",(1000*tech_proj!AR1043*(-PMT($J$110,tech_base!$F79,1))+1000*tech_proj!AR1323)/((1-tech_proj!AR483)*tech_proj!AR763*$L$110))</f>
        <v>85.478398428220444</v>
      </c>
      <c r="AS703" s="69">
        <f>IF(tech_base!$T79&gt;AS$625,"",(1000*tech_proj!AS1043*(-PMT($J$110,tech_base!$F79,1))+1000*tech_proj!AS1323)/((1-tech_proj!AS483)*tech_proj!AS763*$L$110))</f>
        <v>85.501621391350369</v>
      </c>
      <c r="AT703" s="69">
        <f>IF(tech_base!$T79&gt;AT$625,"",(1000*tech_proj!AT1043*(-PMT($J$110,tech_base!$F79,1))+1000*tech_proj!AT1323)/((1-tech_proj!AT483)*tech_proj!AT763*$L$110))</f>
        <v>85.524567196322224</v>
      </c>
      <c r="AU703" s="69">
        <f>IF(tech_base!$T79&gt;AU$625,"",(1000*tech_proj!AU1043*(-PMT($J$110,tech_base!$F79,1))+1000*tech_proj!AU1323)/((1-tech_proj!AU483)*tech_proj!AU763*$L$110))</f>
        <v>85.547236189634319</v>
      </c>
      <c r="AV703" s="69">
        <f>IF(tech_base!$T79&gt;AV$625,"",(1000*tech_proj!AV1043*(-PMT($J$110,tech_base!$F79,1))+1000*tech_proj!AV1323)/((1-tech_proj!AV483)*tech_proj!AV763*$L$110))</f>
        <v>85.569628823287644</v>
      </c>
      <c r="AW703" s="69">
        <f>IF(tech_base!$T79&gt;AW$625,"",(1000*tech_proj!AW1043*(-PMT($J$110,tech_base!$F79,1))+1000*tech_proj!AW1323)/((1-tech_proj!AW483)*tech_proj!AW763*$L$110))</f>
        <v>85.591745651780371</v>
      </c>
      <c r="AX703" s="235">
        <f>IF(tech_base!$T79&gt;AX$625,"",(1000*tech_proj!AX1043*(-PMT($J$110,tech_base!$F79,1))+1000*tech_proj!AX1323)/((1-tech_proj!AX483)*tech_proj!AX763*$L$110))</f>
        <v>85.613587329089569</v>
      </c>
      <c r="AY703" s="133"/>
    </row>
    <row r="704" spans="1:51" s="174" customFormat="1" x14ac:dyDescent="0.25">
      <c r="A704" s="356"/>
      <c r="B704" s="376"/>
      <c r="C704" s="379"/>
      <c r="D704" s="59" t="s">
        <v>20</v>
      </c>
      <c r="E704" s="166" t="str">
        <f>A671&amp;"/"&amp;B697&amp;"/"&amp;C701&amp;"/"&amp;D704</f>
        <v>Lignite fired power plants/Steam turbine/CHP/XS</v>
      </c>
      <c r="F704" s="79" t="str">
        <f>A671</f>
        <v>Lignite fired power plants</v>
      </c>
      <c r="G704" s="79" t="str">
        <f>B697</f>
        <v>Steam turbine</v>
      </c>
      <c r="H704" s="79" t="str">
        <f>C701</f>
        <v>CHP</v>
      </c>
      <c r="I704" s="167" t="str">
        <f t="shared" si="363"/>
        <v>XS</v>
      </c>
      <c r="J704" s="72">
        <f>IF(tech_base!$T80&gt;J$625,"",(1000*tech_proj!J1044*(-PMT($J$110,tech_base!$F80,1))+1000*tech_proj!J1324)/((1-tech_proj!J484)*tech_proj!J764*$L$110))</f>
        <v>86.216709759873126</v>
      </c>
      <c r="K704" s="72">
        <f>IF(tech_base!$T80&gt;K$625,"",(1000*tech_proj!K1044*(-PMT($J$110,tech_base!$F80,1))+1000*tech_proj!K1324)/((1-tech_proj!K484)*tech_proj!K764*$L$110))</f>
        <v>86.236736237654284</v>
      </c>
      <c r="L704" s="72">
        <f>IF(tech_base!$T80&gt;L$625,"",(1000*tech_proj!L1044*(-PMT($J$110,tech_base!$F80,1))+1000*tech_proj!L1324)/((1-tech_proj!L484)*tech_proj!L764*$L$110))</f>
        <v>86.256575974506134</v>
      </c>
      <c r="M704" s="72">
        <f>IF(tech_base!$T80&gt;M$625,"",(1000*tech_proj!M1044*(-PMT($J$110,tech_base!$F80,1))+1000*tech_proj!M1324)/((1-tech_proj!M484)*tech_proj!M764*$L$110))</f>
        <v>86.276227569757211</v>
      </c>
      <c r="N704" s="72">
        <f>IF(tech_base!$T80&gt;N$625,"",(1000*tech_proj!N1044*(-PMT($J$110,tech_base!$F80,1))+1000*tech_proj!N1324)/((1-tech_proj!N484)*tech_proj!N764*$L$110))</f>
        <v>86.295689728004703</v>
      </c>
      <c r="O704" s="72">
        <f>IF(tech_base!$T80&gt;O$625,"",(1000*tech_proj!O1044*(-PMT($J$110,tech_base!$F80,1))+1000*tech_proj!O1324)/((1-tech_proj!O484)*tech_proj!O764*$L$110))</f>
        <v>86.314961257900293</v>
      </c>
      <c r="P704" s="72">
        <f>IF(tech_base!$T80&gt;P$625,"",(1000*tech_proj!P1044*(-PMT($J$110,tech_base!$F80,1))+1000*tech_proj!P1324)/((1-tech_proj!P484)*tech_proj!P764*$L$110))</f>
        <v>86.334041070851043</v>
      </c>
      <c r="Q704" s="72">
        <f>IF(tech_base!$T80&gt;Q$625,"",(1000*tech_proj!Q1044*(-PMT($J$110,tech_base!$F80,1))+1000*tech_proj!Q1324)/((1-tech_proj!Q484)*tech_proj!Q764*$L$110))</f>
        <v>86.352928179639932</v>
      </c>
      <c r="R704" s="72">
        <f>IF(tech_base!$T80&gt;R$625,"",(1000*tech_proj!R1044*(-PMT($J$110,tech_base!$F80,1))+1000*tech_proj!R1324)/((1-tech_proj!R484)*tech_proj!R764*$L$110))</f>
        <v>86.371621696970507</v>
      </c>
      <c r="S704" s="72">
        <f>IF(tech_base!$T80&gt;S$625,"",(1000*tech_proj!S1044*(-PMT($J$110,tech_base!$F80,1))+1000*tech_proj!S1324)/((1-tech_proj!S484)*tech_proj!S764*$L$110))</f>
        <v>86.390120833939875</v>
      </c>
      <c r="T704" s="72">
        <f>IF(tech_base!$T80&gt;T$625,"",(1000*tech_proj!T1044*(-PMT($J$110,tech_base!$F80,1))+1000*tech_proj!T1324)/((1-tech_proj!T484)*tech_proj!T764*$L$110))</f>
        <v>86.408424898444906</v>
      </c>
      <c r="U704" s="72">
        <f>IF(tech_base!$T80&gt;U$625,"",(1000*tech_proj!U1044*(-PMT($J$110,tech_base!$F80,1))+1000*tech_proj!U1324)/((1-tech_proj!U484)*tech_proj!U764*$L$110))</f>
        <v>86.426533293525736</v>
      </c>
      <c r="V704" s="72">
        <f>IF(tech_base!$T80&gt;V$625,"",(1000*tech_proj!V1044*(-PMT($J$110,tech_base!$F80,1))+1000*tech_proj!V1324)/((1-tech_proj!V484)*tech_proj!V764*$L$110))</f>
        <v>86.444445515651225</v>
      </c>
      <c r="W704" s="72">
        <f>IF(tech_base!$T80&gt;W$625,"",(1000*tech_proj!W1044*(-PMT($J$110,tech_base!$F80,1))+1000*tech_proj!W1324)/((1-tech_proj!W484)*tech_proj!W764*$L$110))</f>
        <v>86.462161152950529</v>
      </c>
      <c r="X704" s="72">
        <f>IF(tech_base!$T80&gt;X$625,"",(1000*tech_proj!X1044*(-PMT($J$110,tech_base!$F80,1))+1000*tech_proj!X1324)/((1-tech_proj!X484)*tech_proj!X764*$L$110))</f>
        <v>86.479679883395434</v>
      </c>
      <c r="Y704" s="72">
        <f>IF(tech_base!$T80&gt;Y$625,"",(1000*tech_proj!Y1044*(-PMT($J$110,tech_base!$F80,1))+1000*tech_proj!Y1324)/((1-tech_proj!Y484)*tech_proj!Y764*$L$110))</f>
        <v>86.497001472937313</v>
      </c>
      <c r="Z704" s="72">
        <f>IF(tech_base!$T80&gt;Z$625,"",(1000*tech_proj!Z1044*(-PMT($J$110,tech_base!$F80,1))+1000*tech_proj!Z1324)/((1-tech_proj!Z484)*tech_proj!Z764*$L$110))</f>
        <v>86.514125773603141</v>
      </c>
      <c r="AA704" s="72">
        <f>IF(tech_base!$T80&gt;AA$625,"",(1000*tech_proj!AA1044*(-PMT($J$110,tech_base!$F80,1))+1000*tech_proj!AA1324)/((1-tech_proj!AA484)*tech_proj!AA764*$L$110))</f>
        <v>86.531052721554758</v>
      </c>
      <c r="AB704" s="72">
        <f>IF(tech_base!$T80&gt;AB$625,"",(1000*tech_proj!AB1044*(-PMT($J$110,tech_base!$F80,1))+1000*tech_proj!AB1324)/((1-tech_proj!AB484)*tech_proj!AB764*$L$110))</f>
        <v>86.54778233511523</v>
      </c>
      <c r="AC704" s="72">
        <f>IF(tech_base!$T80&gt;AC$625,"",(1000*tech_proj!AC1044*(-PMT($J$110,tech_base!$F80,1))+1000*tech_proj!AC1324)/((1-tech_proj!AC484)*tech_proj!AC764*$L$110))</f>
        <v>86.564314712766347</v>
      </c>
      <c r="AD704" s="72">
        <f>IF(tech_base!$T80&gt;AD$625,"",(1000*tech_proj!AD1044*(-PMT($J$110,tech_base!$F80,1))+1000*tech_proj!AD1324)/((1-tech_proj!AD484)*tech_proj!AD764*$L$110))</f>
        <v>86.580650031121067</v>
      </c>
      <c r="AE704" s="72">
        <f>IF(tech_base!$T80&gt;AE$625,"",(1000*tech_proj!AE1044*(-PMT($J$110,tech_base!$F80,1))+1000*tech_proj!AE1324)/((1-tech_proj!AE484)*tech_proj!AE764*$L$110))</f>
        <v>86.596788542874947</v>
      </c>
      <c r="AF704" s="72">
        <f>IF(tech_base!$T80&gt;AF$625,"",(1000*tech_proj!AF1044*(-PMT($J$110,tech_base!$F80,1))+1000*tech_proj!AF1324)/((1-tech_proj!AF484)*tech_proj!AF764*$L$110))</f>
        <v>86.612730574739558</v>
      </c>
      <c r="AG704" s="72">
        <f>IF(tech_base!$T80&gt;AG$625,"",(1000*tech_proj!AG1044*(-PMT($J$110,tech_base!$F80,1))+1000*tech_proj!AG1324)/((1-tech_proj!AG484)*tech_proj!AG764*$L$110))</f>
        <v>86.628476525362188</v>
      </c>
      <c r="AH704" s="72">
        <f>IF(tech_base!$T80&gt;AH$625,"",(1000*tech_proj!AH1044*(-PMT($J$110,tech_base!$F80,1))+1000*tech_proj!AH1324)/((1-tech_proj!AH484)*tech_proj!AH764*$L$110))</f>
        <v>86.644026863234842</v>
      </c>
      <c r="AI704" s="72">
        <f>IF(tech_base!$T80&gt;AI$625,"",(1000*tech_proj!AI1044*(-PMT($J$110,tech_base!$F80,1))+1000*tech_proj!AI1324)/((1-tech_proj!AI484)*tech_proj!AI764*$L$110))</f>
        <v>86.659382124595794</v>
      </c>
      <c r="AJ704" s="72">
        <f>IF(tech_base!$T80&gt;AJ$625,"",(1000*tech_proj!AJ1044*(-PMT($J$110,tech_base!$F80,1))+1000*tech_proj!AJ1324)/((1-tech_proj!AJ484)*tech_proj!AJ764*$L$110))</f>
        <v>86.674542911327123</v>
      </c>
      <c r="AK704" s="72">
        <f>IF(tech_base!$T80&gt;AK$625,"",(1000*tech_proj!AK1044*(-PMT($J$110,tech_base!$F80,1))+1000*tech_proj!AK1324)/((1-tech_proj!AK484)*tech_proj!AK764*$L$110))</f>
        <v>86.689509888851191</v>
      </c>
      <c r="AL704" s="72">
        <f>IF(tech_base!$T80&gt;AL$625,"",(1000*tech_proj!AL1044*(-PMT($J$110,tech_base!$F80,1))+1000*tech_proj!AL1324)/((1-tech_proj!AL484)*tech_proj!AL764*$L$110))</f>
        <v>86.704283784029101</v>
      </c>
      <c r="AM704" s="72">
        <f>IF(tech_base!$T80&gt;AM$625,"",(1000*tech_proj!AM1044*(-PMT($J$110,tech_base!$F80,1))+1000*tech_proj!AM1324)/((1-tech_proj!AM484)*tech_proj!AM764*$L$110))</f>
        <v>86.718865383063573</v>
      </c>
      <c r="AN704" s="72">
        <f>IF(tech_base!$T80&gt;AN$625,"",(1000*tech_proj!AN1044*(-PMT($J$110,tech_base!$F80,1))+1000*tech_proj!AN1324)/((1-tech_proj!AN484)*tech_proj!AN764*$L$110))</f>
        <v>86.73325552940976</v>
      </c>
      <c r="AO704" s="72">
        <f>IF(tech_base!$T80&gt;AO$625,"",(1000*tech_proj!AO1044*(-PMT($J$110,tech_base!$F80,1))+1000*tech_proj!AO1324)/((1-tech_proj!AO484)*tech_proj!AO764*$L$110))</f>
        <v>86.747455121695609</v>
      </c>
      <c r="AP704" s="72">
        <f>IF(tech_base!$T80&gt;AP$625,"",(1000*tech_proj!AP1044*(-PMT($J$110,tech_base!$F80,1))+1000*tech_proj!AP1324)/((1-tech_proj!AP484)*tech_proj!AP764*$L$110))</f>
        <v>86.761465111654942</v>
      </c>
      <c r="AQ704" s="72">
        <f>IF(tech_base!$T80&gt;AQ$625,"",(1000*tech_proj!AQ1044*(-PMT($J$110,tech_base!$F80,1))+1000*tech_proj!AQ1324)/((1-tech_proj!AQ484)*tech_proj!AQ764*$L$110))</f>
        <v>86.775286502075232</v>
      </c>
      <c r="AR704" s="72">
        <f>IF(tech_base!$T80&gt;AR$625,"",(1000*tech_proj!AR1044*(-PMT($J$110,tech_base!$F80,1))+1000*tech_proj!AR1324)/((1-tech_proj!AR484)*tech_proj!AR764*$L$110))</f>
        <v>86.788920344762346</v>
      </c>
      <c r="AS704" s="72">
        <f>IF(tech_base!$T80&gt;AS$625,"",(1000*tech_proj!AS1044*(-PMT($J$110,tech_base!$F80,1))+1000*tech_proj!AS1324)/((1-tech_proj!AS484)*tech_proj!AS764*$L$110))</f>
        <v>86.802367738524438</v>
      </c>
      <c r="AT704" s="72">
        <f>IF(tech_base!$T80&gt;AT$625,"",(1000*tech_proj!AT1044*(-PMT($J$110,tech_base!$F80,1))+1000*tech_proj!AT1324)/((1-tech_proj!AT484)*tech_proj!AT764*$L$110))</f>
        <v>86.815629827176849</v>
      </c>
      <c r="AU704" s="72">
        <f>IF(tech_base!$T80&gt;AU$625,"",(1000*tech_proj!AU1044*(-PMT($J$110,tech_base!$F80,1))+1000*tech_proj!AU1324)/((1-tech_proj!AU484)*tech_proj!AU764*$L$110))</f>
        <v>86.828707797569706</v>
      </c>
      <c r="AV704" s="72">
        <f>IF(tech_base!$T80&gt;AV$625,"",(1000*tech_proj!AV1044*(-PMT($J$110,tech_base!$F80,1))+1000*tech_proj!AV1324)/((1-tech_proj!AV484)*tech_proj!AV764*$L$110))</f>
        <v>86.841602877640341</v>
      </c>
      <c r="AW704" s="72">
        <f>IF(tech_base!$T80&gt;AW$625,"",(1000*tech_proj!AW1044*(-PMT($J$110,tech_base!$F80,1))+1000*tech_proj!AW1324)/((1-tech_proj!AW484)*tech_proj!AW764*$L$110))</f>
        <v>86.854316334491628</v>
      </c>
      <c r="AX704" s="238">
        <f>IF(tech_base!$T80&gt;AX$625,"",(1000*tech_proj!AX1044*(-PMT($J$110,tech_base!$F80,1))+1000*tech_proj!AX1324)/((1-tech_proj!AX484)*tech_proj!AX764*$L$110))</f>
        <v>86.866849472498203</v>
      </c>
      <c r="AY704" s="133"/>
    </row>
    <row r="705" spans="1:51" s="174" customFormat="1" x14ac:dyDescent="0.25">
      <c r="A705" s="356"/>
      <c r="B705" s="376"/>
      <c r="C705" s="361" t="s">
        <v>15</v>
      </c>
      <c r="D705" s="58" t="s">
        <v>7</v>
      </c>
      <c r="E705" s="164" t="str">
        <f>A671&amp;"/"&amp;B697&amp;"/"&amp;C705&amp;"/"&amp;D705</f>
        <v>Lignite fired power plants/Steam turbine/Electricity only with CCS/L</v>
      </c>
      <c r="F705" s="78" t="str">
        <f>A671</f>
        <v>Lignite fired power plants</v>
      </c>
      <c r="G705" s="78" t="str">
        <f>B697</f>
        <v>Steam turbine</v>
      </c>
      <c r="H705" s="78" t="str">
        <f>C705</f>
        <v>Electricity only with CCS</v>
      </c>
      <c r="I705" s="165" t="str">
        <f t="shared" si="363"/>
        <v>L</v>
      </c>
      <c r="J705" s="71" t="str">
        <f>IF(tech_base!$T81&gt;J$625,"",(1000*tech_proj!J1045*(-PMT($J$110,tech_base!$F81,1))+1000*tech_proj!J1325)/((1-tech_proj!J485)*tech_proj!J765*$L$110))</f>
        <v/>
      </c>
      <c r="K705" s="71" t="str">
        <f>IF(tech_base!$T81&gt;K$625,"",(1000*tech_proj!K1045*(-PMT($J$110,tech_base!$F81,1))+1000*tech_proj!K1325)/((1-tech_proj!K485)*tech_proj!K765*$L$110))</f>
        <v/>
      </c>
      <c r="L705" s="71" t="str">
        <f>IF(tech_base!$T81&gt;L$625,"",(1000*tech_proj!L1045*(-PMT($J$110,tech_base!$F81,1))+1000*tech_proj!L1325)/((1-tech_proj!L485)*tech_proj!L765*$L$110))</f>
        <v/>
      </c>
      <c r="M705" s="71" t="str">
        <f>IF(tech_base!$T81&gt;M$625,"",(1000*tech_proj!M1045*(-PMT($J$110,tech_base!$F81,1))+1000*tech_proj!M1325)/((1-tech_proj!M485)*tech_proj!M765*$L$110))</f>
        <v/>
      </c>
      <c r="N705" s="71" t="str">
        <f>IF(tech_base!$T81&gt;N$625,"",(1000*tech_proj!N1045*(-PMT($J$110,tech_base!$F81,1))+1000*tech_proj!N1325)/((1-tech_proj!N485)*tech_proj!N765*$L$110))</f>
        <v/>
      </c>
      <c r="O705" s="71" t="str">
        <f>IF(tech_base!$T81&gt;O$625,"",(1000*tech_proj!O1045*(-PMT($J$110,tech_base!$F81,1))+1000*tech_proj!O1325)/((1-tech_proj!O485)*tech_proj!O765*$L$110))</f>
        <v/>
      </c>
      <c r="P705" s="71" t="str">
        <f>IF(tech_base!$T81&gt;P$625,"",(1000*tech_proj!P1045*(-PMT($J$110,tech_base!$F81,1))+1000*tech_proj!P1325)/((1-tech_proj!P485)*tech_proj!P765*$L$110))</f>
        <v/>
      </c>
      <c r="Q705" s="71" t="str">
        <f>IF(tech_base!$T81&gt;Q$625,"",(1000*tech_proj!Q1045*(-PMT($J$110,tech_base!$F81,1))+1000*tech_proj!Q1325)/((1-tech_proj!Q485)*tech_proj!Q765*$L$110))</f>
        <v/>
      </c>
      <c r="R705" s="71" t="str">
        <f>IF(tech_base!$T81&gt;R$625,"",(1000*tech_proj!R1045*(-PMT($J$110,tech_base!$F81,1))+1000*tech_proj!R1325)/((1-tech_proj!R485)*tech_proj!R765*$L$110))</f>
        <v/>
      </c>
      <c r="S705" s="71" t="str">
        <f>IF(tech_base!$T81&gt;S$625,"",(1000*tech_proj!S1045*(-PMT($J$110,tech_base!$F81,1))+1000*tech_proj!S1325)/((1-tech_proj!S485)*tech_proj!S765*$L$110))</f>
        <v/>
      </c>
      <c r="T705" s="71" t="str">
        <f>IF(tech_base!$T81&gt;T$625,"",(1000*tech_proj!T1045*(-PMT($J$110,tech_base!$F81,1))+1000*tech_proj!T1325)/((1-tech_proj!T485)*tech_proj!T765*$L$110))</f>
        <v/>
      </c>
      <c r="U705" s="71" t="str">
        <f>IF(tech_base!$T81&gt;U$625,"",(1000*tech_proj!U1045*(-PMT($J$110,tech_base!$F81,1))+1000*tech_proj!U1325)/((1-tech_proj!U485)*tech_proj!U765*$L$110))</f>
        <v/>
      </c>
      <c r="V705" s="71" t="str">
        <f>IF(tech_base!$T81&gt;V$625,"",(1000*tech_proj!V1045*(-PMT($J$110,tech_base!$F81,1))+1000*tech_proj!V1325)/((1-tech_proj!V485)*tech_proj!V765*$L$110))</f>
        <v/>
      </c>
      <c r="W705" s="71" t="str">
        <f>IF(tech_base!$T81&gt;W$625,"",(1000*tech_proj!W1045*(-PMT($J$110,tech_base!$F81,1))+1000*tech_proj!W1325)/((1-tech_proj!W485)*tech_proj!W765*$L$110))</f>
        <v/>
      </c>
      <c r="X705" s="71" t="str">
        <f>IF(tech_base!$T81&gt;X$625,"",(1000*tech_proj!X1045*(-PMT($J$110,tech_base!$F81,1))+1000*tech_proj!X1325)/((1-tech_proj!X485)*tech_proj!X765*$L$110))</f>
        <v/>
      </c>
      <c r="Y705" s="71" t="str">
        <f>IF(tech_base!$T81&gt;Y$625,"",(1000*tech_proj!Y1045*(-PMT($J$110,tech_base!$F81,1))+1000*tech_proj!Y1325)/((1-tech_proj!Y485)*tech_proj!Y765*$L$110))</f>
        <v/>
      </c>
      <c r="Z705" s="71" t="str">
        <f>IF(tech_base!$T81&gt;Z$625,"",(1000*tech_proj!Z1045*(-PMT($J$110,tech_base!$F81,1))+1000*tech_proj!Z1325)/((1-tech_proj!Z485)*tech_proj!Z765*$L$110))</f>
        <v/>
      </c>
      <c r="AA705" s="71" t="str">
        <f>IF(tech_base!$T81&gt;AA$625,"",(1000*tech_proj!AA1045*(-PMT($J$110,tech_base!$F81,1))+1000*tech_proj!AA1325)/((1-tech_proj!AA485)*tech_proj!AA765*$L$110))</f>
        <v/>
      </c>
      <c r="AB705" s="71" t="str">
        <f>IF(tech_base!$T81&gt;AB$625,"",(1000*tech_proj!AB1045*(-PMT($J$110,tech_base!$F81,1))+1000*tech_proj!AB1325)/((1-tech_proj!AB485)*tech_proj!AB765*$L$110))</f>
        <v/>
      </c>
      <c r="AC705" s="71" t="str">
        <f>IF(tech_base!$T81&gt;AC$625,"",(1000*tech_proj!AC1045*(-PMT($J$110,tech_base!$F81,1))+1000*tech_proj!AC1325)/((1-tech_proj!AC485)*tech_proj!AC765*$L$110))</f>
        <v/>
      </c>
      <c r="AD705" s="71" t="str">
        <f>IF(tech_base!$T81&gt;AD$625,"",(1000*tech_proj!AD1045*(-PMT($J$110,tech_base!$F81,1))+1000*tech_proj!AD1325)/((1-tech_proj!AD485)*tech_proj!AD765*$L$110))</f>
        <v/>
      </c>
      <c r="AE705" s="71">
        <f>IF(tech_base!$T81&gt;AE$625,"",(1000*tech_proj!AE1045*(-PMT($J$110,tech_base!$F81,1))+1000*tech_proj!AE1325)/((1-tech_proj!AE485)*tech_proj!AE765*$L$110))</f>
        <v>151.78018274311128</v>
      </c>
      <c r="AF705" s="71">
        <f>IF(tech_base!$T81&gt;AF$625,"",(1000*tech_proj!AF1045*(-PMT($J$110,tech_base!$F81,1))+1000*tech_proj!AF1325)/((1-tech_proj!AF485)*tech_proj!AF765*$L$110))</f>
        <v>151.78018274311128</v>
      </c>
      <c r="AG705" s="71">
        <f>IF(tech_base!$T81&gt;AG$625,"",(1000*tech_proj!AG1045*(-PMT($J$110,tech_base!$F81,1))+1000*tech_proj!AG1325)/((1-tech_proj!AG485)*tech_proj!AG765*$L$110))</f>
        <v>151.78018274311128</v>
      </c>
      <c r="AH705" s="71">
        <f>IF(tech_base!$T81&gt;AH$625,"",(1000*tech_proj!AH1045*(-PMT($J$110,tech_base!$F81,1))+1000*tech_proj!AH1325)/((1-tech_proj!AH485)*tech_proj!AH765*$L$110))</f>
        <v>151.78018274311128</v>
      </c>
      <c r="AI705" s="71">
        <f>IF(tech_base!$T81&gt;AI$625,"",(1000*tech_proj!AI1045*(-PMT($J$110,tech_base!$F81,1))+1000*tech_proj!AI1325)/((1-tech_proj!AI485)*tech_proj!AI765*$L$110))</f>
        <v>151.78018274311128</v>
      </c>
      <c r="AJ705" s="71">
        <f>IF(tech_base!$T81&gt;AJ$625,"",(1000*tech_proj!AJ1045*(-PMT($J$110,tech_base!$F81,1))+1000*tech_proj!AJ1325)/((1-tech_proj!AJ485)*tech_proj!AJ765*$L$110))</f>
        <v>151.78018274311128</v>
      </c>
      <c r="AK705" s="71">
        <f>IF(tech_base!$T81&gt;AK$625,"",(1000*tech_proj!AK1045*(-PMT($J$110,tech_base!$F81,1))+1000*tech_proj!AK1325)/((1-tech_proj!AK485)*tech_proj!AK765*$L$110))</f>
        <v>151.78018274311128</v>
      </c>
      <c r="AL705" s="71">
        <f>IF(tech_base!$T81&gt;AL$625,"",(1000*tech_proj!AL1045*(-PMT($J$110,tech_base!$F81,1))+1000*tech_proj!AL1325)/((1-tech_proj!AL485)*tech_proj!AL765*$L$110))</f>
        <v>151.78018274311128</v>
      </c>
      <c r="AM705" s="71">
        <f>IF(tech_base!$T81&gt;AM$625,"",(1000*tech_proj!AM1045*(-PMT($J$110,tech_base!$F81,1))+1000*tech_proj!AM1325)/((1-tech_proj!AM485)*tech_proj!AM765*$L$110))</f>
        <v>151.78018274311128</v>
      </c>
      <c r="AN705" s="71">
        <f>IF(tech_base!$T81&gt;AN$625,"",(1000*tech_proj!AN1045*(-PMT($J$110,tech_base!$F81,1))+1000*tech_proj!AN1325)/((1-tech_proj!AN485)*tech_proj!AN765*$L$110))</f>
        <v>151.78018274311128</v>
      </c>
      <c r="AO705" s="71">
        <f>IF(tech_base!$T81&gt;AO$625,"",(1000*tech_proj!AO1045*(-PMT($J$110,tech_base!$F81,1))+1000*tech_proj!AO1325)/((1-tech_proj!AO485)*tech_proj!AO765*$L$110))</f>
        <v>151.78018274311128</v>
      </c>
      <c r="AP705" s="71">
        <f>IF(tech_base!$T81&gt;AP$625,"",(1000*tech_proj!AP1045*(-PMT($J$110,tech_base!$F81,1))+1000*tech_proj!AP1325)/((1-tech_proj!AP485)*tech_proj!AP765*$L$110))</f>
        <v>151.78018274311128</v>
      </c>
      <c r="AQ705" s="71">
        <f>IF(tech_base!$T81&gt;AQ$625,"",(1000*tech_proj!AQ1045*(-PMT($J$110,tech_base!$F81,1))+1000*tech_proj!AQ1325)/((1-tech_proj!AQ485)*tech_proj!AQ765*$L$110))</f>
        <v>151.78018274311128</v>
      </c>
      <c r="AR705" s="71">
        <f>IF(tech_base!$T81&gt;AR$625,"",(1000*tech_proj!AR1045*(-PMT($J$110,tech_base!$F81,1))+1000*tech_proj!AR1325)/((1-tech_proj!AR485)*tech_proj!AR765*$L$110))</f>
        <v>151.78018274311128</v>
      </c>
      <c r="AS705" s="71">
        <f>IF(tech_base!$T81&gt;AS$625,"",(1000*tech_proj!AS1045*(-PMT($J$110,tech_base!$F81,1))+1000*tech_proj!AS1325)/((1-tech_proj!AS485)*tech_proj!AS765*$L$110))</f>
        <v>151.78018274311128</v>
      </c>
      <c r="AT705" s="71">
        <f>IF(tech_base!$T81&gt;AT$625,"",(1000*tech_proj!AT1045*(-PMT($J$110,tech_base!$F81,1))+1000*tech_proj!AT1325)/((1-tech_proj!AT485)*tech_proj!AT765*$L$110))</f>
        <v>151.78018274311128</v>
      </c>
      <c r="AU705" s="71">
        <f>IF(tech_base!$T81&gt;AU$625,"",(1000*tech_proj!AU1045*(-PMT($J$110,tech_base!$F81,1))+1000*tech_proj!AU1325)/((1-tech_proj!AU485)*tech_proj!AU765*$L$110))</f>
        <v>151.78018274311128</v>
      </c>
      <c r="AV705" s="71">
        <f>IF(tech_base!$T81&gt;AV$625,"",(1000*tech_proj!AV1045*(-PMT($J$110,tech_base!$F81,1))+1000*tech_proj!AV1325)/((1-tech_proj!AV485)*tech_proj!AV765*$L$110))</f>
        <v>151.78018274311128</v>
      </c>
      <c r="AW705" s="71">
        <f>IF(tech_base!$T81&gt;AW$625,"",(1000*tech_proj!AW1045*(-PMT($J$110,tech_base!$F81,1))+1000*tech_proj!AW1325)/((1-tech_proj!AW485)*tech_proj!AW765*$L$110))</f>
        <v>151.78018274311128</v>
      </c>
      <c r="AX705" s="237">
        <f>IF(tech_base!$T81&gt;AX$625,"",(1000*tech_proj!AX1045*(-PMT($J$110,tech_base!$F81,1))+1000*tech_proj!AX1325)/((1-tech_proj!AX485)*tech_proj!AX765*$L$110))</f>
        <v>151.78018274311128</v>
      </c>
      <c r="AY705" s="133"/>
    </row>
    <row r="706" spans="1:51" s="174" customFormat="1" x14ac:dyDescent="0.25">
      <c r="A706" s="356"/>
      <c r="B706" s="376"/>
      <c r="C706" s="379"/>
      <c r="D706" s="59" t="s">
        <v>8</v>
      </c>
      <c r="E706" s="166" t="str">
        <f>A671&amp;"/"&amp;B697&amp;"/"&amp;C705&amp;"/"&amp;D706</f>
        <v>Lignite fired power plants/Steam turbine/Electricity only with CCS/M</v>
      </c>
      <c r="F706" s="79" t="str">
        <f>A671</f>
        <v>Lignite fired power plants</v>
      </c>
      <c r="G706" s="79" t="str">
        <f>B697</f>
        <v>Steam turbine</v>
      </c>
      <c r="H706" s="79" t="str">
        <f>C705</f>
        <v>Electricity only with CCS</v>
      </c>
      <c r="I706" s="167" t="str">
        <f t="shared" si="363"/>
        <v>M</v>
      </c>
      <c r="J706" s="72" t="str">
        <f>IF(tech_base!$T82&gt;J$625,"",(1000*tech_proj!J1046*(-PMT($J$110,tech_base!$F82,1))+1000*tech_proj!J1326)/((1-tech_proj!J486)*tech_proj!J766*$L$110))</f>
        <v/>
      </c>
      <c r="K706" s="72" t="str">
        <f>IF(tech_base!$T82&gt;K$625,"",(1000*tech_proj!K1046*(-PMT($J$110,tech_base!$F82,1))+1000*tech_proj!K1326)/((1-tech_proj!K486)*tech_proj!K766*$L$110))</f>
        <v/>
      </c>
      <c r="L706" s="72" t="str">
        <f>IF(tech_base!$T82&gt;L$625,"",(1000*tech_proj!L1046*(-PMT($J$110,tech_base!$F82,1))+1000*tech_proj!L1326)/((1-tech_proj!L486)*tech_proj!L766*$L$110))</f>
        <v/>
      </c>
      <c r="M706" s="72" t="str">
        <f>IF(tech_base!$T82&gt;M$625,"",(1000*tech_proj!M1046*(-PMT($J$110,tech_base!$F82,1))+1000*tech_proj!M1326)/((1-tech_proj!M486)*tech_proj!M766*$L$110))</f>
        <v/>
      </c>
      <c r="N706" s="72" t="str">
        <f>IF(tech_base!$T82&gt;N$625,"",(1000*tech_proj!N1046*(-PMT($J$110,tech_base!$F82,1))+1000*tech_proj!N1326)/((1-tech_proj!N486)*tech_proj!N766*$L$110))</f>
        <v/>
      </c>
      <c r="O706" s="72" t="str">
        <f>IF(tech_base!$T82&gt;O$625,"",(1000*tech_proj!O1046*(-PMT($J$110,tech_base!$F82,1))+1000*tech_proj!O1326)/((1-tech_proj!O486)*tech_proj!O766*$L$110))</f>
        <v/>
      </c>
      <c r="P706" s="72" t="str">
        <f>IF(tech_base!$T82&gt;P$625,"",(1000*tech_proj!P1046*(-PMT($J$110,tech_base!$F82,1))+1000*tech_proj!P1326)/((1-tech_proj!P486)*tech_proj!P766*$L$110))</f>
        <v/>
      </c>
      <c r="Q706" s="72" t="str">
        <f>IF(tech_base!$T82&gt;Q$625,"",(1000*tech_proj!Q1046*(-PMT($J$110,tech_base!$F82,1))+1000*tech_proj!Q1326)/((1-tech_proj!Q486)*tech_proj!Q766*$L$110))</f>
        <v/>
      </c>
      <c r="R706" s="72" t="str">
        <f>IF(tech_base!$T82&gt;R$625,"",(1000*tech_proj!R1046*(-PMT($J$110,tech_base!$F82,1))+1000*tech_proj!R1326)/((1-tech_proj!R486)*tech_proj!R766*$L$110))</f>
        <v/>
      </c>
      <c r="S706" s="72" t="str">
        <f>IF(tech_base!$T82&gt;S$625,"",(1000*tech_proj!S1046*(-PMT($J$110,tech_base!$F82,1))+1000*tech_proj!S1326)/((1-tech_proj!S486)*tech_proj!S766*$L$110))</f>
        <v/>
      </c>
      <c r="T706" s="72" t="str">
        <f>IF(tech_base!$T82&gt;T$625,"",(1000*tech_proj!T1046*(-PMT($J$110,tech_base!$F82,1))+1000*tech_proj!T1326)/((1-tech_proj!T486)*tech_proj!T766*$L$110))</f>
        <v/>
      </c>
      <c r="U706" s="72" t="str">
        <f>IF(tech_base!$T82&gt;U$625,"",(1000*tech_proj!U1046*(-PMT($J$110,tech_base!$F82,1))+1000*tech_proj!U1326)/((1-tech_proj!U486)*tech_proj!U766*$L$110))</f>
        <v/>
      </c>
      <c r="V706" s="72" t="str">
        <f>IF(tech_base!$T82&gt;V$625,"",(1000*tech_proj!V1046*(-PMT($J$110,tech_base!$F82,1))+1000*tech_proj!V1326)/((1-tech_proj!V486)*tech_proj!V766*$L$110))</f>
        <v/>
      </c>
      <c r="W706" s="72" t="str">
        <f>IF(tech_base!$T82&gt;W$625,"",(1000*tech_proj!W1046*(-PMT($J$110,tech_base!$F82,1))+1000*tech_proj!W1326)/((1-tech_proj!W486)*tech_proj!W766*$L$110))</f>
        <v/>
      </c>
      <c r="X706" s="72" t="str">
        <f>IF(tech_base!$T82&gt;X$625,"",(1000*tech_proj!X1046*(-PMT($J$110,tech_base!$F82,1))+1000*tech_proj!X1326)/((1-tech_proj!X486)*tech_proj!X766*$L$110))</f>
        <v/>
      </c>
      <c r="Y706" s="72" t="str">
        <f>IF(tech_base!$T82&gt;Y$625,"",(1000*tech_proj!Y1046*(-PMT($J$110,tech_base!$F82,1))+1000*tech_proj!Y1326)/((1-tech_proj!Y486)*tech_proj!Y766*$L$110))</f>
        <v/>
      </c>
      <c r="Z706" s="72" t="str">
        <f>IF(tech_base!$T82&gt;Z$625,"",(1000*tech_proj!Z1046*(-PMT($J$110,tech_base!$F82,1))+1000*tech_proj!Z1326)/((1-tech_proj!Z486)*tech_proj!Z766*$L$110))</f>
        <v/>
      </c>
      <c r="AA706" s="72" t="str">
        <f>IF(tech_base!$T82&gt;AA$625,"",(1000*tech_proj!AA1046*(-PMT($J$110,tech_base!$F82,1))+1000*tech_proj!AA1326)/((1-tech_proj!AA486)*tech_proj!AA766*$L$110))</f>
        <v/>
      </c>
      <c r="AB706" s="72" t="str">
        <f>IF(tech_base!$T82&gt;AB$625,"",(1000*tech_proj!AB1046*(-PMT($J$110,tech_base!$F82,1))+1000*tech_proj!AB1326)/((1-tech_proj!AB486)*tech_proj!AB766*$L$110))</f>
        <v/>
      </c>
      <c r="AC706" s="72" t="str">
        <f>IF(tech_base!$T82&gt;AC$625,"",(1000*tech_proj!AC1046*(-PMT($J$110,tech_base!$F82,1))+1000*tech_proj!AC1326)/((1-tech_proj!AC486)*tech_proj!AC766*$L$110))</f>
        <v/>
      </c>
      <c r="AD706" s="72" t="str">
        <f>IF(tech_base!$T82&gt;AD$625,"",(1000*tech_proj!AD1046*(-PMT($J$110,tech_base!$F82,1))+1000*tech_proj!AD1326)/((1-tech_proj!AD486)*tech_proj!AD766*$L$110))</f>
        <v/>
      </c>
      <c r="AE706" s="72">
        <f>IF(tech_base!$T82&gt;AE$625,"",(1000*tech_proj!AE1046*(-PMT($J$110,tech_base!$F82,1))+1000*tech_proj!AE1326)/((1-tech_proj!AE486)*tech_proj!AE766*$L$110))</f>
        <v>175.42673035607115</v>
      </c>
      <c r="AF706" s="72">
        <f>IF(tech_base!$T82&gt;AF$625,"",(1000*tech_proj!AF1046*(-PMT($J$110,tech_base!$F82,1))+1000*tech_proj!AF1326)/((1-tech_proj!AF486)*tech_proj!AF766*$L$110))</f>
        <v>175.42673035607115</v>
      </c>
      <c r="AG706" s="72">
        <f>IF(tech_base!$T82&gt;AG$625,"",(1000*tech_proj!AG1046*(-PMT($J$110,tech_base!$F82,1))+1000*tech_proj!AG1326)/((1-tech_proj!AG486)*tech_proj!AG766*$L$110))</f>
        <v>175.42673035607115</v>
      </c>
      <c r="AH706" s="72">
        <f>IF(tech_base!$T82&gt;AH$625,"",(1000*tech_proj!AH1046*(-PMT($J$110,tech_base!$F82,1))+1000*tech_proj!AH1326)/((1-tech_proj!AH486)*tech_proj!AH766*$L$110))</f>
        <v>175.42673035607115</v>
      </c>
      <c r="AI706" s="72">
        <f>IF(tech_base!$T82&gt;AI$625,"",(1000*tech_proj!AI1046*(-PMT($J$110,tech_base!$F82,1))+1000*tech_proj!AI1326)/((1-tech_proj!AI486)*tech_proj!AI766*$L$110))</f>
        <v>175.42673035607115</v>
      </c>
      <c r="AJ706" s="72">
        <f>IF(tech_base!$T82&gt;AJ$625,"",(1000*tech_proj!AJ1046*(-PMT($J$110,tech_base!$F82,1))+1000*tech_proj!AJ1326)/((1-tech_proj!AJ486)*tech_proj!AJ766*$L$110))</f>
        <v>175.42673035607115</v>
      </c>
      <c r="AK706" s="72">
        <f>IF(tech_base!$T82&gt;AK$625,"",(1000*tech_proj!AK1046*(-PMT($J$110,tech_base!$F82,1))+1000*tech_proj!AK1326)/((1-tech_proj!AK486)*tech_proj!AK766*$L$110))</f>
        <v>175.42673035607115</v>
      </c>
      <c r="AL706" s="72">
        <f>IF(tech_base!$T82&gt;AL$625,"",(1000*tech_proj!AL1046*(-PMT($J$110,tech_base!$F82,1))+1000*tech_proj!AL1326)/((1-tech_proj!AL486)*tech_proj!AL766*$L$110))</f>
        <v>175.42673035607115</v>
      </c>
      <c r="AM706" s="72">
        <f>IF(tech_base!$T82&gt;AM$625,"",(1000*tech_proj!AM1046*(-PMT($J$110,tech_base!$F82,1))+1000*tech_proj!AM1326)/((1-tech_proj!AM486)*tech_proj!AM766*$L$110))</f>
        <v>175.42673035607115</v>
      </c>
      <c r="AN706" s="72">
        <f>IF(tech_base!$T82&gt;AN$625,"",(1000*tech_proj!AN1046*(-PMT($J$110,tech_base!$F82,1))+1000*tech_proj!AN1326)/((1-tech_proj!AN486)*tech_proj!AN766*$L$110))</f>
        <v>175.42673035607115</v>
      </c>
      <c r="AO706" s="72">
        <f>IF(tech_base!$T82&gt;AO$625,"",(1000*tech_proj!AO1046*(-PMT($J$110,tech_base!$F82,1))+1000*tech_proj!AO1326)/((1-tech_proj!AO486)*tech_proj!AO766*$L$110))</f>
        <v>175.42673035607115</v>
      </c>
      <c r="AP706" s="72">
        <f>IF(tech_base!$T82&gt;AP$625,"",(1000*tech_proj!AP1046*(-PMT($J$110,tech_base!$F82,1))+1000*tech_proj!AP1326)/((1-tech_proj!AP486)*tech_proj!AP766*$L$110))</f>
        <v>175.42673035607115</v>
      </c>
      <c r="AQ706" s="72">
        <f>IF(tech_base!$T82&gt;AQ$625,"",(1000*tech_proj!AQ1046*(-PMT($J$110,tech_base!$F82,1))+1000*tech_proj!AQ1326)/((1-tech_proj!AQ486)*tech_proj!AQ766*$L$110))</f>
        <v>175.42673035607115</v>
      </c>
      <c r="AR706" s="72">
        <f>IF(tech_base!$T82&gt;AR$625,"",(1000*tech_proj!AR1046*(-PMT($J$110,tech_base!$F82,1))+1000*tech_proj!AR1326)/((1-tech_proj!AR486)*tech_proj!AR766*$L$110))</f>
        <v>175.42673035607115</v>
      </c>
      <c r="AS706" s="72">
        <f>IF(tech_base!$T82&gt;AS$625,"",(1000*tech_proj!AS1046*(-PMT($J$110,tech_base!$F82,1))+1000*tech_proj!AS1326)/((1-tech_proj!AS486)*tech_proj!AS766*$L$110))</f>
        <v>175.42673035607115</v>
      </c>
      <c r="AT706" s="72">
        <f>IF(tech_base!$T82&gt;AT$625,"",(1000*tech_proj!AT1046*(-PMT($J$110,tech_base!$F82,1))+1000*tech_proj!AT1326)/((1-tech_proj!AT486)*tech_proj!AT766*$L$110))</f>
        <v>175.42673035607115</v>
      </c>
      <c r="AU706" s="72">
        <f>IF(tech_base!$T82&gt;AU$625,"",(1000*tech_proj!AU1046*(-PMT($J$110,tech_base!$F82,1))+1000*tech_proj!AU1326)/((1-tech_proj!AU486)*tech_proj!AU766*$L$110))</f>
        <v>175.42673035607115</v>
      </c>
      <c r="AV706" s="72">
        <f>IF(tech_base!$T82&gt;AV$625,"",(1000*tech_proj!AV1046*(-PMT($J$110,tech_base!$F82,1))+1000*tech_proj!AV1326)/((1-tech_proj!AV486)*tech_proj!AV766*$L$110))</f>
        <v>175.42673035607115</v>
      </c>
      <c r="AW706" s="72">
        <f>IF(tech_base!$T82&gt;AW$625,"",(1000*tech_proj!AW1046*(-PMT($J$110,tech_base!$F82,1))+1000*tech_proj!AW1326)/((1-tech_proj!AW486)*tech_proj!AW766*$L$110))</f>
        <v>175.42673035607115</v>
      </c>
      <c r="AX706" s="238">
        <f>IF(tech_base!$T82&gt;AX$625,"",(1000*tech_proj!AX1046*(-PMT($J$110,tech_base!$F82,1))+1000*tech_proj!AX1326)/((1-tech_proj!AX486)*tech_proj!AX766*$L$110))</f>
        <v>175.42673035607115</v>
      </c>
      <c r="AY706" s="133"/>
    </row>
    <row r="707" spans="1:51" s="174" customFormat="1" x14ac:dyDescent="0.25">
      <c r="A707" s="356"/>
      <c r="B707" s="376"/>
      <c r="C707" s="361" t="s">
        <v>16</v>
      </c>
      <c r="D707" s="2" t="s">
        <v>7</v>
      </c>
      <c r="E707" s="160" t="str">
        <f>A671&amp;"/"&amp;B697&amp;"/"&amp;C707&amp;"/"&amp;D707</f>
        <v>Lignite fired power plants/Steam turbine/CHP with CCS/L</v>
      </c>
      <c r="F707" s="76" t="str">
        <f>A671</f>
        <v>Lignite fired power plants</v>
      </c>
      <c r="G707" s="76" t="str">
        <f>B697</f>
        <v>Steam turbine</v>
      </c>
      <c r="H707" s="76" t="str">
        <f>C707</f>
        <v>CHP with CCS</v>
      </c>
      <c r="I707" s="161" t="str">
        <f t="shared" si="363"/>
        <v>L</v>
      </c>
      <c r="J707" s="69" t="str">
        <f>IF(tech_base!$T83&gt;J$625,"",(1000*tech_proj!J1047*(-PMT($J$110,tech_base!$F83,1))+1000*tech_proj!J1327)/((1-tech_proj!J487)*tech_proj!J767*$L$110))</f>
        <v/>
      </c>
      <c r="K707" s="69" t="str">
        <f>IF(tech_base!$T83&gt;K$625,"",(1000*tech_proj!K1047*(-PMT($J$110,tech_base!$F83,1))+1000*tech_proj!K1327)/((1-tech_proj!K487)*tech_proj!K767*$L$110))</f>
        <v/>
      </c>
      <c r="L707" s="69" t="str">
        <f>IF(tech_base!$T83&gt;L$625,"",(1000*tech_proj!L1047*(-PMT($J$110,tech_base!$F83,1))+1000*tech_proj!L1327)/((1-tech_proj!L487)*tech_proj!L767*$L$110))</f>
        <v/>
      </c>
      <c r="M707" s="69" t="str">
        <f>IF(tech_base!$T83&gt;M$625,"",(1000*tech_proj!M1047*(-PMT($J$110,tech_base!$F83,1))+1000*tech_proj!M1327)/((1-tech_proj!M487)*tech_proj!M767*$L$110))</f>
        <v/>
      </c>
      <c r="N707" s="69" t="str">
        <f>IF(tech_base!$T83&gt;N$625,"",(1000*tech_proj!N1047*(-PMT($J$110,tech_base!$F83,1))+1000*tech_proj!N1327)/((1-tech_proj!N487)*tech_proj!N767*$L$110))</f>
        <v/>
      </c>
      <c r="O707" s="69" t="str">
        <f>IF(tech_base!$T83&gt;O$625,"",(1000*tech_proj!O1047*(-PMT($J$110,tech_base!$F83,1))+1000*tech_proj!O1327)/((1-tech_proj!O487)*tech_proj!O767*$L$110))</f>
        <v/>
      </c>
      <c r="P707" s="69" t="str">
        <f>IF(tech_base!$T83&gt;P$625,"",(1000*tech_proj!P1047*(-PMT($J$110,tech_base!$F83,1))+1000*tech_proj!P1327)/((1-tech_proj!P487)*tech_proj!P767*$L$110))</f>
        <v/>
      </c>
      <c r="Q707" s="69" t="str">
        <f>IF(tech_base!$T83&gt;Q$625,"",(1000*tech_proj!Q1047*(-PMT($J$110,tech_base!$F83,1))+1000*tech_proj!Q1327)/((1-tech_proj!Q487)*tech_proj!Q767*$L$110))</f>
        <v/>
      </c>
      <c r="R707" s="69" t="str">
        <f>IF(tech_base!$T83&gt;R$625,"",(1000*tech_proj!R1047*(-PMT($J$110,tech_base!$F83,1))+1000*tech_proj!R1327)/((1-tech_proj!R487)*tech_proj!R767*$L$110))</f>
        <v/>
      </c>
      <c r="S707" s="69" t="str">
        <f>IF(tech_base!$T83&gt;S$625,"",(1000*tech_proj!S1047*(-PMT($J$110,tech_base!$F83,1))+1000*tech_proj!S1327)/((1-tech_proj!S487)*tech_proj!S767*$L$110))</f>
        <v/>
      </c>
      <c r="T707" s="69" t="str">
        <f>IF(tech_base!$T83&gt;T$625,"",(1000*tech_proj!T1047*(-PMT($J$110,tech_base!$F83,1))+1000*tech_proj!T1327)/((1-tech_proj!T487)*tech_proj!T767*$L$110))</f>
        <v/>
      </c>
      <c r="U707" s="69" t="str">
        <f>IF(tech_base!$T83&gt;U$625,"",(1000*tech_proj!U1047*(-PMT($J$110,tech_base!$F83,1))+1000*tech_proj!U1327)/((1-tech_proj!U487)*tech_proj!U767*$L$110))</f>
        <v/>
      </c>
      <c r="V707" s="69" t="str">
        <f>IF(tech_base!$T83&gt;V$625,"",(1000*tech_proj!V1047*(-PMT($J$110,tech_base!$F83,1))+1000*tech_proj!V1327)/((1-tech_proj!V487)*tech_proj!V767*$L$110))</f>
        <v/>
      </c>
      <c r="W707" s="69" t="str">
        <f>IF(tech_base!$T83&gt;W$625,"",(1000*tech_proj!W1047*(-PMT($J$110,tech_base!$F83,1))+1000*tech_proj!W1327)/((1-tech_proj!W487)*tech_proj!W767*$L$110))</f>
        <v/>
      </c>
      <c r="X707" s="69" t="str">
        <f>IF(tech_base!$T83&gt;X$625,"",(1000*tech_proj!X1047*(-PMT($J$110,tech_base!$F83,1))+1000*tech_proj!X1327)/((1-tech_proj!X487)*tech_proj!X767*$L$110))</f>
        <v/>
      </c>
      <c r="Y707" s="69" t="str">
        <f>IF(tech_base!$T83&gt;Y$625,"",(1000*tech_proj!Y1047*(-PMT($J$110,tech_base!$F83,1))+1000*tech_proj!Y1327)/((1-tech_proj!Y487)*tech_proj!Y767*$L$110))</f>
        <v/>
      </c>
      <c r="Z707" s="69" t="str">
        <f>IF(tech_base!$T83&gt;Z$625,"",(1000*tech_proj!Z1047*(-PMT($J$110,tech_base!$F83,1))+1000*tech_proj!Z1327)/((1-tech_proj!Z487)*tech_proj!Z767*$L$110))</f>
        <v/>
      </c>
      <c r="AA707" s="69" t="str">
        <f>IF(tech_base!$T83&gt;AA$625,"",(1000*tech_proj!AA1047*(-PMT($J$110,tech_base!$F83,1))+1000*tech_proj!AA1327)/((1-tech_proj!AA487)*tech_proj!AA767*$L$110))</f>
        <v/>
      </c>
      <c r="AB707" s="69" t="str">
        <f>IF(tech_base!$T83&gt;AB$625,"",(1000*tech_proj!AB1047*(-PMT($J$110,tech_base!$F83,1))+1000*tech_proj!AB1327)/((1-tech_proj!AB487)*tech_proj!AB767*$L$110))</f>
        <v/>
      </c>
      <c r="AC707" s="69" t="str">
        <f>IF(tech_base!$T83&gt;AC$625,"",(1000*tech_proj!AC1047*(-PMT($J$110,tech_base!$F83,1))+1000*tech_proj!AC1327)/((1-tech_proj!AC487)*tech_proj!AC767*$L$110))</f>
        <v/>
      </c>
      <c r="AD707" s="69" t="str">
        <f>IF(tech_base!$T83&gt;AD$625,"",(1000*tech_proj!AD1047*(-PMT($J$110,tech_base!$F83,1))+1000*tech_proj!AD1327)/((1-tech_proj!AD487)*tech_proj!AD767*$L$110))</f>
        <v/>
      </c>
      <c r="AE707" s="69">
        <f>IF(tech_base!$T83&gt;AE$625,"",(1000*tech_proj!AE1047*(-PMT($J$110,tech_base!$F83,1))+1000*tech_proj!AE1327)/((1-tech_proj!AE487)*tech_proj!AE767*$L$110))</f>
        <v>173.96177586708535</v>
      </c>
      <c r="AF707" s="69">
        <f>IF(tech_base!$T83&gt;AF$625,"",(1000*tech_proj!AF1047*(-PMT($J$110,tech_base!$F83,1))+1000*tech_proj!AF1327)/((1-tech_proj!AF487)*tech_proj!AF767*$L$110))</f>
        <v>173.96177586708535</v>
      </c>
      <c r="AG707" s="69">
        <f>IF(tech_base!$T83&gt;AG$625,"",(1000*tech_proj!AG1047*(-PMT($J$110,tech_base!$F83,1))+1000*tech_proj!AG1327)/((1-tech_proj!AG487)*tech_proj!AG767*$L$110))</f>
        <v>173.96177586708535</v>
      </c>
      <c r="AH707" s="69">
        <f>IF(tech_base!$T83&gt;AH$625,"",(1000*tech_proj!AH1047*(-PMT($J$110,tech_base!$F83,1))+1000*tech_proj!AH1327)/((1-tech_proj!AH487)*tech_proj!AH767*$L$110))</f>
        <v>173.96177586708535</v>
      </c>
      <c r="AI707" s="69">
        <f>IF(tech_base!$T83&gt;AI$625,"",(1000*tech_proj!AI1047*(-PMT($J$110,tech_base!$F83,1))+1000*tech_proj!AI1327)/((1-tech_proj!AI487)*tech_proj!AI767*$L$110))</f>
        <v>173.96177586708535</v>
      </c>
      <c r="AJ707" s="69">
        <f>IF(tech_base!$T83&gt;AJ$625,"",(1000*tech_proj!AJ1047*(-PMT($J$110,tech_base!$F83,1))+1000*tech_proj!AJ1327)/((1-tech_proj!AJ487)*tech_proj!AJ767*$L$110))</f>
        <v>173.96177586708535</v>
      </c>
      <c r="AK707" s="69">
        <f>IF(tech_base!$T83&gt;AK$625,"",(1000*tech_proj!AK1047*(-PMT($J$110,tech_base!$F83,1))+1000*tech_proj!AK1327)/((1-tech_proj!AK487)*tech_proj!AK767*$L$110))</f>
        <v>173.96177586708535</v>
      </c>
      <c r="AL707" s="69">
        <f>IF(tech_base!$T83&gt;AL$625,"",(1000*tech_proj!AL1047*(-PMT($J$110,tech_base!$F83,1))+1000*tech_proj!AL1327)/((1-tech_proj!AL487)*tech_proj!AL767*$L$110))</f>
        <v>173.96177586708535</v>
      </c>
      <c r="AM707" s="69">
        <f>IF(tech_base!$T83&gt;AM$625,"",(1000*tech_proj!AM1047*(-PMT($J$110,tech_base!$F83,1))+1000*tech_proj!AM1327)/((1-tech_proj!AM487)*tech_proj!AM767*$L$110))</f>
        <v>173.96177586708535</v>
      </c>
      <c r="AN707" s="69">
        <f>IF(tech_base!$T83&gt;AN$625,"",(1000*tech_proj!AN1047*(-PMT($J$110,tech_base!$F83,1))+1000*tech_proj!AN1327)/((1-tech_proj!AN487)*tech_proj!AN767*$L$110))</f>
        <v>173.96177586708535</v>
      </c>
      <c r="AO707" s="69">
        <f>IF(tech_base!$T83&gt;AO$625,"",(1000*tech_proj!AO1047*(-PMT($J$110,tech_base!$F83,1))+1000*tech_proj!AO1327)/((1-tech_proj!AO487)*tech_proj!AO767*$L$110))</f>
        <v>173.96177586708535</v>
      </c>
      <c r="AP707" s="69">
        <f>IF(tech_base!$T83&gt;AP$625,"",(1000*tech_proj!AP1047*(-PMT($J$110,tech_base!$F83,1))+1000*tech_proj!AP1327)/((1-tech_proj!AP487)*tech_proj!AP767*$L$110))</f>
        <v>173.96177586708535</v>
      </c>
      <c r="AQ707" s="69">
        <f>IF(tech_base!$T83&gt;AQ$625,"",(1000*tech_proj!AQ1047*(-PMT($J$110,tech_base!$F83,1))+1000*tech_proj!AQ1327)/((1-tech_proj!AQ487)*tech_proj!AQ767*$L$110))</f>
        <v>173.96177586708535</v>
      </c>
      <c r="AR707" s="69">
        <f>IF(tech_base!$T83&gt;AR$625,"",(1000*tech_proj!AR1047*(-PMT($J$110,tech_base!$F83,1))+1000*tech_proj!AR1327)/((1-tech_proj!AR487)*tech_proj!AR767*$L$110))</f>
        <v>173.96177586708535</v>
      </c>
      <c r="AS707" s="69">
        <f>IF(tech_base!$T83&gt;AS$625,"",(1000*tech_proj!AS1047*(-PMT($J$110,tech_base!$F83,1))+1000*tech_proj!AS1327)/((1-tech_proj!AS487)*tech_proj!AS767*$L$110))</f>
        <v>173.96177586708535</v>
      </c>
      <c r="AT707" s="69">
        <f>IF(tech_base!$T83&gt;AT$625,"",(1000*tech_proj!AT1047*(-PMT($J$110,tech_base!$F83,1))+1000*tech_proj!AT1327)/((1-tech_proj!AT487)*tech_proj!AT767*$L$110))</f>
        <v>173.96177586708535</v>
      </c>
      <c r="AU707" s="69">
        <f>IF(tech_base!$T83&gt;AU$625,"",(1000*tech_proj!AU1047*(-PMT($J$110,tech_base!$F83,1))+1000*tech_proj!AU1327)/((1-tech_proj!AU487)*tech_proj!AU767*$L$110))</f>
        <v>173.96177586708535</v>
      </c>
      <c r="AV707" s="69">
        <f>IF(tech_base!$T83&gt;AV$625,"",(1000*tech_proj!AV1047*(-PMT($J$110,tech_base!$F83,1))+1000*tech_proj!AV1327)/((1-tech_proj!AV487)*tech_proj!AV767*$L$110))</f>
        <v>173.96177586708535</v>
      </c>
      <c r="AW707" s="69">
        <f>IF(tech_base!$T83&gt;AW$625,"",(1000*tech_proj!AW1047*(-PMT($J$110,tech_base!$F83,1))+1000*tech_proj!AW1327)/((1-tech_proj!AW487)*tech_proj!AW767*$L$110))</f>
        <v>173.96177586708535</v>
      </c>
      <c r="AX707" s="235">
        <f>IF(tech_base!$T83&gt;AX$625,"",(1000*tech_proj!AX1047*(-PMT($J$110,tech_base!$F83,1))+1000*tech_proj!AX1327)/((1-tech_proj!AX487)*tech_proj!AX767*$L$110))</f>
        <v>173.96177586708535</v>
      </c>
      <c r="AY707" s="133"/>
    </row>
    <row r="708" spans="1:51" s="174" customFormat="1" x14ac:dyDescent="0.25">
      <c r="A708" s="357"/>
      <c r="B708" s="380"/>
      <c r="C708" s="381"/>
      <c r="D708" s="4" t="s">
        <v>8</v>
      </c>
      <c r="E708" s="168" t="str">
        <f>A671&amp;"/"&amp;B697&amp;"/"&amp;C707&amp;"/"&amp;D708</f>
        <v>Lignite fired power plants/Steam turbine/CHP with CCS/M</v>
      </c>
      <c r="F708" s="80" t="str">
        <f>A671</f>
        <v>Lignite fired power plants</v>
      </c>
      <c r="G708" s="80" t="str">
        <f>B697</f>
        <v>Steam turbine</v>
      </c>
      <c r="H708" s="80" t="str">
        <f>C707</f>
        <v>CHP with CCS</v>
      </c>
      <c r="I708" s="169" t="str">
        <f t="shared" si="363"/>
        <v>M</v>
      </c>
      <c r="J708" s="73" t="str">
        <f>IF(tech_base!$T84&gt;J$625,"",(1000*tech_proj!J1048*(-PMT($J$110,tech_base!$F84,1))+1000*tech_proj!J1328)/((1-tech_proj!J488)*tech_proj!J768*$L$110))</f>
        <v/>
      </c>
      <c r="K708" s="73" t="str">
        <f>IF(tech_base!$T84&gt;K$625,"",(1000*tech_proj!K1048*(-PMT($J$110,tech_base!$F84,1))+1000*tech_proj!K1328)/((1-tech_proj!K488)*tech_proj!K768*$L$110))</f>
        <v/>
      </c>
      <c r="L708" s="73" t="str">
        <f>IF(tech_base!$T84&gt;L$625,"",(1000*tech_proj!L1048*(-PMT($J$110,tech_base!$F84,1))+1000*tech_proj!L1328)/((1-tech_proj!L488)*tech_proj!L768*$L$110))</f>
        <v/>
      </c>
      <c r="M708" s="73" t="str">
        <f>IF(tech_base!$T84&gt;M$625,"",(1000*tech_proj!M1048*(-PMT($J$110,tech_base!$F84,1))+1000*tech_proj!M1328)/((1-tech_proj!M488)*tech_proj!M768*$L$110))</f>
        <v/>
      </c>
      <c r="N708" s="73" t="str">
        <f>IF(tech_base!$T84&gt;N$625,"",(1000*tech_proj!N1048*(-PMT($J$110,tech_base!$F84,1))+1000*tech_proj!N1328)/((1-tech_proj!N488)*tech_proj!N768*$L$110))</f>
        <v/>
      </c>
      <c r="O708" s="73" t="str">
        <f>IF(tech_base!$T84&gt;O$625,"",(1000*tech_proj!O1048*(-PMT($J$110,tech_base!$F84,1))+1000*tech_proj!O1328)/((1-tech_proj!O488)*tech_proj!O768*$L$110))</f>
        <v/>
      </c>
      <c r="P708" s="73" t="str">
        <f>IF(tech_base!$T84&gt;P$625,"",(1000*tech_proj!P1048*(-PMT($J$110,tech_base!$F84,1))+1000*tech_proj!P1328)/((1-tech_proj!P488)*tech_proj!P768*$L$110))</f>
        <v/>
      </c>
      <c r="Q708" s="73" t="str">
        <f>IF(tech_base!$T84&gt;Q$625,"",(1000*tech_proj!Q1048*(-PMT($J$110,tech_base!$F84,1))+1000*tech_proj!Q1328)/((1-tech_proj!Q488)*tech_proj!Q768*$L$110))</f>
        <v/>
      </c>
      <c r="R708" s="73" t="str">
        <f>IF(tech_base!$T84&gt;R$625,"",(1000*tech_proj!R1048*(-PMT($J$110,tech_base!$F84,1))+1000*tech_proj!R1328)/((1-tech_proj!R488)*tech_proj!R768*$L$110))</f>
        <v/>
      </c>
      <c r="S708" s="73" t="str">
        <f>IF(tech_base!$T84&gt;S$625,"",(1000*tech_proj!S1048*(-PMT($J$110,tech_base!$F84,1))+1000*tech_proj!S1328)/((1-tech_proj!S488)*tech_proj!S768*$L$110))</f>
        <v/>
      </c>
      <c r="T708" s="73" t="str">
        <f>IF(tech_base!$T84&gt;T$625,"",(1000*tech_proj!T1048*(-PMT($J$110,tech_base!$F84,1))+1000*tech_proj!T1328)/((1-tech_proj!T488)*tech_proj!T768*$L$110))</f>
        <v/>
      </c>
      <c r="U708" s="73" t="str">
        <f>IF(tech_base!$T84&gt;U$625,"",(1000*tech_proj!U1048*(-PMT($J$110,tech_base!$F84,1))+1000*tech_proj!U1328)/((1-tech_proj!U488)*tech_proj!U768*$L$110))</f>
        <v/>
      </c>
      <c r="V708" s="73" t="str">
        <f>IF(tech_base!$T84&gt;V$625,"",(1000*tech_proj!V1048*(-PMT($J$110,tech_base!$F84,1))+1000*tech_proj!V1328)/((1-tech_proj!V488)*tech_proj!V768*$L$110))</f>
        <v/>
      </c>
      <c r="W708" s="73" t="str">
        <f>IF(tech_base!$T84&gt;W$625,"",(1000*tech_proj!W1048*(-PMT($J$110,tech_base!$F84,1))+1000*tech_proj!W1328)/((1-tech_proj!W488)*tech_proj!W768*$L$110))</f>
        <v/>
      </c>
      <c r="X708" s="73" t="str">
        <f>IF(tech_base!$T84&gt;X$625,"",(1000*tech_proj!X1048*(-PMT($J$110,tech_base!$F84,1))+1000*tech_proj!X1328)/((1-tech_proj!X488)*tech_proj!X768*$L$110))</f>
        <v/>
      </c>
      <c r="Y708" s="73" t="str">
        <f>IF(tech_base!$T84&gt;Y$625,"",(1000*tech_proj!Y1048*(-PMT($J$110,tech_base!$F84,1))+1000*tech_proj!Y1328)/((1-tech_proj!Y488)*tech_proj!Y768*$L$110))</f>
        <v/>
      </c>
      <c r="Z708" s="73" t="str">
        <f>IF(tech_base!$T84&gt;Z$625,"",(1000*tech_proj!Z1048*(-PMT($J$110,tech_base!$F84,1))+1000*tech_proj!Z1328)/((1-tech_proj!Z488)*tech_proj!Z768*$L$110))</f>
        <v/>
      </c>
      <c r="AA708" s="73" t="str">
        <f>IF(tech_base!$T84&gt;AA$625,"",(1000*tech_proj!AA1048*(-PMT($J$110,tech_base!$F84,1))+1000*tech_proj!AA1328)/((1-tech_proj!AA488)*tech_proj!AA768*$L$110))</f>
        <v/>
      </c>
      <c r="AB708" s="73" t="str">
        <f>IF(tech_base!$T84&gt;AB$625,"",(1000*tech_proj!AB1048*(-PMT($J$110,tech_base!$F84,1))+1000*tech_proj!AB1328)/((1-tech_proj!AB488)*tech_proj!AB768*$L$110))</f>
        <v/>
      </c>
      <c r="AC708" s="73" t="str">
        <f>IF(tech_base!$T84&gt;AC$625,"",(1000*tech_proj!AC1048*(-PMT($J$110,tech_base!$F84,1))+1000*tech_proj!AC1328)/((1-tech_proj!AC488)*tech_proj!AC768*$L$110))</f>
        <v/>
      </c>
      <c r="AD708" s="73" t="str">
        <f>IF(tech_base!$T84&gt;AD$625,"",(1000*tech_proj!AD1048*(-PMT($J$110,tech_base!$F84,1))+1000*tech_proj!AD1328)/((1-tech_proj!AD488)*tech_proj!AD768*$L$110))</f>
        <v/>
      </c>
      <c r="AE708" s="73">
        <f>IF(tech_base!$T84&gt;AE$625,"",(1000*tech_proj!AE1048*(-PMT($J$110,tech_base!$F84,1))+1000*tech_proj!AE1328)/((1-tech_proj!AE488)*tech_proj!AE768*$L$110))</f>
        <v>199.54561068045604</v>
      </c>
      <c r="AF708" s="73">
        <f>IF(tech_base!$T84&gt;AF$625,"",(1000*tech_proj!AF1048*(-PMT($J$110,tech_base!$F84,1))+1000*tech_proj!AF1328)/((1-tech_proj!AF488)*tech_proj!AF768*$L$110))</f>
        <v>199.54561068045604</v>
      </c>
      <c r="AG708" s="73">
        <f>IF(tech_base!$T84&gt;AG$625,"",(1000*tech_proj!AG1048*(-PMT($J$110,tech_base!$F84,1))+1000*tech_proj!AG1328)/((1-tech_proj!AG488)*tech_proj!AG768*$L$110))</f>
        <v>199.54561068045604</v>
      </c>
      <c r="AH708" s="73">
        <f>IF(tech_base!$T84&gt;AH$625,"",(1000*tech_proj!AH1048*(-PMT($J$110,tech_base!$F84,1))+1000*tech_proj!AH1328)/((1-tech_proj!AH488)*tech_proj!AH768*$L$110))</f>
        <v>199.54561068045604</v>
      </c>
      <c r="AI708" s="73">
        <f>IF(tech_base!$T84&gt;AI$625,"",(1000*tech_proj!AI1048*(-PMT($J$110,tech_base!$F84,1))+1000*tech_proj!AI1328)/((1-tech_proj!AI488)*tech_proj!AI768*$L$110))</f>
        <v>199.54561068045604</v>
      </c>
      <c r="AJ708" s="73">
        <f>IF(tech_base!$T84&gt;AJ$625,"",(1000*tech_proj!AJ1048*(-PMT($J$110,tech_base!$F84,1))+1000*tech_proj!AJ1328)/((1-tech_proj!AJ488)*tech_proj!AJ768*$L$110))</f>
        <v>199.54561068045604</v>
      </c>
      <c r="AK708" s="73">
        <f>IF(tech_base!$T84&gt;AK$625,"",(1000*tech_proj!AK1048*(-PMT($J$110,tech_base!$F84,1))+1000*tech_proj!AK1328)/((1-tech_proj!AK488)*tech_proj!AK768*$L$110))</f>
        <v>199.54561068045604</v>
      </c>
      <c r="AL708" s="73">
        <f>IF(tech_base!$T84&gt;AL$625,"",(1000*tech_proj!AL1048*(-PMT($J$110,tech_base!$F84,1))+1000*tech_proj!AL1328)/((1-tech_proj!AL488)*tech_proj!AL768*$L$110))</f>
        <v>199.54561068045604</v>
      </c>
      <c r="AM708" s="73">
        <f>IF(tech_base!$T84&gt;AM$625,"",(1000*tech_proj!AM1048*(-PMT($J$110,tech_base!$F84,1))+1000*tech_proj!AM1328)/((1-tech_proj!AM488)*tech_proj!AM768*$L$110))</f>
        <v>199.54561068045604</v>
      </c>
      <c r="AN708" s="73">
        <f>IF(tech_base!$T84&gt;AN$625,"",(1000*tech_proj!AN1048*(-PMT($J$110,tech_base!$F84,1))+1000*tech_proj!AN1328)/((1-tech_proj!AN488)*tech_proj!AN768*$L$110))</f>
        <v>199.54561068045604</v>
      </c>
      <c r="AO708" s="73">
        <f>IF(tech_base!$T84&gt;AO$625,"",(1000*tech_proj!AO1048*(-PMT($J$110,tech_base!$F84,1))+1000*tech_proj!AO1328)/((1-tech_proj!AO488)*tech_proj!AO768*$L$110))</f>
        <v>199.54561068045604</v>
      </c>
      <c r="AP708" s="73">
        <f>IF(tech_base!$T84&gt;AP$625,"",(1000*tech_proj!AP1048*(-PMT($J$110,tech_base!$F84,1))+1000*tech_proj!AP1328)/((1-tech_proj!AP488)*tech_proj!AP768*$L$110))</f>
        <v>199.54561068045604</v>
      </c>
      <c r="AQ708" s="73">
        <f>IF(tech_base!$T84&gt;AQ$625,"",(1000*tech_proj!AQ1048*(-PMT($J$110,tech_base!$F84,1))+1000*tech_proj!AQ1328)/((1-tech_proj!AQ488)*tech_proj!AQ768*$L$110))</f>
        <v>199.54561068045604</v>
      </c>
      <c r="AR708" s="73">
        <f>IF(tech_base!$T84&gt;AR$625,"",(1000*tech_proj!AR1048*(-PMT($J$110,tech_base!$F84,1))+1000*tech_proj!AR1328)/((1-tech_proj!AR488)*tech_proj!AR768*$L$110))</f>
        <v>199.54561068045604</v>
      </c>
      <c r="AS708" s="73">
        <f>IF(tech_base!$T84&gt;AS$625,"",(1000*tech_proj!AS1048*(-PMT($J$110,tech_base!$F84,1))+1000*tech_proj!AS1328)/((1-tech_proj!AS488)*tech_proj!AS768*$L$110))</f>
        <v>199.54561068045604</v>
      </c>
      <c r="AT708" s="73">
        <f>IF(tech_base!$T84&gt;AT$625,"",(1000*tech_proj!AT1048*(-PMT($J$110,tech_base!$F84,1))+1000*tech_proj!AT1328)/((1-tech_proj!AT488)*tech_proj!AT768*$L$110))</f>
        <v>199.54561068045604</v>
      </c>
      <c r="AU708" s="73">
        <f>IF(tech_base!$T84&gt;AU$625,"",(1000*tech_proj!AU1048*(-PMT($J$110,tech_base!$F84,1))+1000*tech_proj!AU1328)/((1-tech_proj!AU488)*tech_proj!AU768*$L$110))</f>
        <v>199.54561068045604</v>
      </c>
      <c r="AV708" s="73">
        <f>IF(tech_base!$T84&gt;AV$625,"",(1000*tech_proj!AV1048*(-PMT($J$110,tech_base!$F84,1))+1000*tech_proj!AV1328)/((1-tech_proj!AV488)*tech_proj!AV768*$L$110))</f>
        <v>199.54561068045604</v>
      </c>
      <c r="AW708" s="73">
        <f>IF(tech_base!$T84&gt;AW$625,"",(1000*tech_proj!AW1048*(-PMT($J$110,tech_base!$F84,1))+1000*tech_proj!AW1328)/((1-tech_proj!AW488)*tech_proj!AW768*$L$110))</f>
        <v>199.54561068045604</v>
      </c>
      <c r="AX708" s="239">
        <f>IF(tech_base!$T84&gt;AX$625,"",(1000*tech_proj!AX1048*(-PMT($J$110,tech_base!$F84,1))+1000*tech_proj!AX1328)/((1-tech_proj!AX488)*tech_proj!AX768*$L$110))</f>
        <v>199.54561068045604</v>
      </c>
      <c r="AY708" s="133"/>
    </row>
    <row r="709" spans="1:51" s="174" customFormat="1" x14ac:dyDescent="0.25">
      <c r="A709" s="356" t="s">
        <v>22</v>
      </c>
      <c r="B709" s="358" t="s">
        <v>23</v>
      </c>
      <c r="C709" s="353" t="s">
        <v>6</v>
      </c>
      <c r="D709" s="3" t="s">
        <v>7</v>
      </c>
      <c r="E709" s="162" t="str">
        <f>A709&amp;"/"&amp;B709&amp;"/"&amp;C709&amp;"/"&amp;D709</f>
        <v>Gas fired power plants (Natural gas, biogas)/Gas turbine combined cycle/Electricity only/L</v>
      </c>
      <c r="F709" s="77" t="str">
        <f>A709</f>
        <v>Gas fired power plants (Natural gas, biogas)</v>
      </c>
      <c r="G709" s="77" t="str">
        <f>B709</f>
        <v>Gas turbine combined cycle</v>
      </c>
      <c r="H709" s="77" t="str">
        <f>C709</f>
        <v>Electricity only</v>
      </c>
      <c r="I709" s="163" t="str">
        <f t="shared" si="363"/>
        <v>L</v>
      </c>
      <c r="J709" s="70">
        <f>IF(tech_base!$T85&gt;J$625,"",(1000*tech_proj!J1049*(-PMT($J$110,tech_base!$F85,1))+1000*tech_proj!J1329)/((1-tech_proj!J489)*tech_proj!J769*$L$110))</f>
        <v>26.889278925144556</v>
      </c>
      <c r="K709" s="70">
        <f>IF(tech_base!$T85&gt;K$625,"",(1000*tech_proj!K1049*(-PMT($J$110,tech_base!$F85,1))+1000*tech_proj!K1329)/((1-tech_proj!K489)*tech_proj!K769*$L$110))</f>
        <v>26.870225148693368</v>
      </c>
      <c r="L709" s="70">
        <f>IF(tech_base!$T85&gt;L$625,"",(1000*tech_proj!L1049*(-PMT($J$110,tech_base!$F85,1))+1000*tech_proj!L1329)/((1-tech_proj!L489)*tech_proj!L769*$L$110))</f>
        <v>26.847280206605848</v>
      </c>
      <c r="M709" s="70">
        <f>IF(tech_base!$T85&gt;M$625,"",(1000*tech_proj!M1049*(-PMT($J$110,tech_base!$F85,1))+1000*tech_proj!M1329)/((1-tech_proj!M489)*tech_proj!M769*$L$110))</f>
        <v>26.819732637610823</v>
      </c>
      <c r="N709" s="70">
        <f>IF(tech_base!$T85&gt;N$625,"",(1000*tech_proj!N1049*(-PMT($J$110,tech_base!$F85,1))+1000*tech_proj!N1329)/((1-tech_proj!N489)*tech_proj!N769*$L$110))</f>
        <v>26.786778894534748</v>
      </c>
      <c r="O709" s="70">
        <f>IF(tech_base!$T85&gt;O$625,"",(1000*tech_proj!O1049*(-PMT($J$110,tech_base!$F85,1))+1000*tech_proj!O1329)/((1-tech_proj!O489)*tech_proj!O769*$L$110))</f>
        <v>26.747528991321627</v>
      </c>
      <c r="P709" s="70">
        <f>IF(tech_base!$T85&gt;P$625,"",(1000*tech_proj!P1049*(-PMT($J$110,tech_base!$F85,1))+1000*tech_proj!P1329)/((1-tech_proj!P489)*tech_proj!P769*$L$110))</f>
        <v>26.701021947924158</v>
      </c>
      <c r="Q709" s="70">
        <f>IF(tech_base!$T85&gt;Q$625,"",(1000*tech_proj!Q1049*(-PMT($J$110,tech_base!$F85,1))+1000*tech_proj!Q1329)/((1-tech_proj!Q489)*tech_proj!Q769*$L$110))</f>
        <v>26.646254731406522</v>
      </c>
      <c r="R709" s="70">
        <f>IF(tech_base!$T85&gt;R$625,"",(1000*tech_proj!R1049*(-PMT($J$110,tech_base!$F85,1))+1000*tech_proj!R1329)/((1-tech_proj!R489)*tech_proj!R769*$L$110))</f>
        <v>26.582228557547396</v>
      </c>
      <c r="S709" s="70">
        <f>IF(tech_base!$T85&gt;S$625,"",(1000*tech_proj!S1049*(-PMT($J$110,tech_base!$F85,1))+1000*tech_proj!S1329)/((1-tech_proj!S489)*tech_proj!S769*$L$110))</f>
        <v>26.50801582505024</v>
      </c>
      <c r="T709" s="70">
        <f>IF(tech_base!$T85&gt;T$625,"",(1000*tech_proj!T1049*(-PMT($J$110,tech_base!$F85,1))+1000*tech_proj!T1329)/((1-tech_proj!T489)*tech_proj!T769*$L$110))</f>
        <v>26.422849133108876</v>
      </c>
      <c r="U709" s="70">
        <f>IF(tech_base!$T85&gt;U$625,"",(1000*tech_proj!U1049*(-PMT($J$110,tech_base!$F85,1))+1000*tech_proj!U1329)/((1-tech_proj!U489)*tech_proj!U769*$L$110))</f>
        <v>26.326230336544825</v>
      </c>
      <c r="V709" s="70">
        <f>IF(tech_base!$T85&gt;V$625,"",(1000*tech_proj!V1049*(-PMT($J$110,tech_base!$F85,1))+1000*tech_proj!V1329)/((1-tech_proj!V489)*tech_proj!V769*$L$110))</f>
        <v>26.218052241412479</v>
      </c>
      <c r="W709" s="70">
        <f>IF(tech_base!$T85&gt;W$625,"",(1000*tech_proj!W1049*(-PMT($J$110,tech_base!$F85,1))+1000*tech_proj!W1329)/((1-tech_proj!W489)*tech_proj!W769*$L$110))</f>
        <v>26.098718780230911</v>
      </c>
      <c r="X709" s="70">
        <f>IF(tech_base!$T85&gt;X$625,"",(1000*tech_proj!X1049*(-PMT($J$110,tech_base!$F85,1))+1000*tech_proj!X1329)/((1-tech_proj!X489)*tech_proj!X769*$L$110))</f>
        <v>25.969242747671398</v>
      </c>
      <c r="Y709" s="70">
        <f>IF(tech_base!$T85&gt;Y$625,"",(1000*tech_proj!Y1049*(-PMT($J$110,tech_base!$F85,1))+1000*tech_proj!Y1329)/((1-tech_proj!Y489)*tech_proj!Y769*$L$110))</f>
        <v>25.831295907339406</v>
      </c>
      <c r="Z709" s="70">
        <f>IF(tech_base!$T85&gt;Z$625,"",(1000*tech_proj!Z1049*(-PMT($J$110,tech_base!$F85,1))+1000*tech_proj!Z1329)/((1-tech_proj!Z489)*tech_proj!Z769*$L$110))</f>
        <v>25.687187531281779</v>
      </c>
      <c r="AA709" s="70">
        <f>IF(tech_base!$T85&gt;AA$625,"",(1000*tech_proj!AA1049*(-PMT($J$110,tech_base!$F85,1))+1000*tech_proj!AA1329)/((1-tech_proj!AA489)*tech_proj!AA769*$L$110))</f>
        <v>25.539756497892835</v>
      </c>
      <c r="AB709" s="70">
        <f>IF(tech_base!$T85&gt;AB$625,"",(1000*tech_proj!AB1049*(-PMT($J$110,tech_base!$F85,1))+1000*tech_proj!AB1329)/((1-tech_proj!AB489)*tech_proj!AB769*$L$110))</f>
        <v>25.392178779884571</v>
      </c>
      <c r="AC709" s="70">
        <f>IF(tech_base!$T85&gt;AC$625,"",(1000*tech_proj!AC1049*(-PMT($J$110,tech_base!$F85,1))+1000*tech_proj!AC1329)/((1-tech_proj!AC489)*tech_proj!AC769*$L$110))</f>
        <v>25.247712721533698</v>
      </c>
      <c r="AD709" s="70">
        <f>IF(tech_base!$T85&gt;AD$625,"",(1000*tech_proj!AD1049*(-PMT($J$110,tech_base!$F85,1))+1000*tech_proj!AD1329)/((1-tech_proj!AD489)*tech_proj!AD769*$L$110))</f>
        <v>25.109422169145418</v>
      </c>
      <c r="AE709" s="70">
        <f>IF(tech_base!$T85&gt;AE$625,"",(1000*tech_proj!AE1049*(-PMT($J$110,tech_base!$F85,1))+1000*tech_proj!AE1329)/((1-tech_proj!AE489)*tech_proj!AE769*$L$110))</f>
        <v>24.979925281428944</v>
      </c>
      <c r="AF709" s="70">
        <f>IF(tech_base!$T85&gt;AF$625,"",(1000*tech_proj!AF1049*(-PMT($J$110,tech_base!$F85,1))+1000*tech_proj!AF1329)/((1-tech_proj!AF489)*tech_proj!AF769*$L$110))</f>
        <v>24.861211091053285</v>
      </c>
      <c r="AG709" s="70">
        <f>IF(tech_base!$T85&gt;AG$625,"",(1000*tech_proj!AG1049*(-PMT($J$110,tech_base!$F85,1))+1000*tech_proj!AG1329)/((1-tech_proj!AG489)*tech_proj!AG769*$L$110))</f>
        <v>24.754548548060388</v>
      </c>
      <c r="AH709" s="70">
        <f>IF(tech_base!$T85&gt;AH$625,"",(1000*tech_proj!AH1049*(-PMT($J$110,tech_base!$F85,1))+1000*tech_proj!AH1329)/((1-tech_proj!AH489)*tech_proj!AH769*$L$110))</f>
        <v>24.660490437069747</v>
      </c>
      <c r="AI709" s="70">
        <f>IF(tech_base!$T85&gt;AI$625,"",(1000*tech_proj!AI1049*(-PMT($J$110,tech_base!$F85,1))+1000*tech_proj!AI1329)/((1-tech_proj!AI489)*tech_proj!AI769*$L$110))</f>
        <v>24.57895504610002</v>
      </c>
      <c r="AJ709" s="70">
        <f>IF(tech_base!$T85&gt;AJ$625,"",(1000*tech_proj!AJ1049*(-PMT($J$110,tech_base!$F85,1))+1000*tech_proj!AJ1329)/((1-tech_proj!AJ489)*tech_proj!AJ769*$L$110))</f>
        <v>24.509357177564254</v>
      </c>
      <c r="AK709" s="70">
        <f>IF(tech_base!$T85&gt;AK$625,"",(1000*tech_proj!AK1049*(-PMT($J$110,tech_base!$F85,1))+1000*tech_proj!AK1329)/((1-tech_proj!AK489)*tech_proj!AK769*$L$110))</f>
        <v>24.450758266973512</v>
      </c>
      <c r="AL709" s="70">
        <f>IF(tech_base!$T85&gt;AL$625,"",(1000*tech_proj!AL1049*(-PMT($J$110,tech_base!$F85,1))+1000*tech_proj!AL1329)/((1-tech_proj!AL489)*tech_proj!AL769*$L$110))</f>
        <v>24.402010742187773</v>
      </c>
      <c r="AM709" s="70">
        <f>IF(tech_base!$T85&gt;AM$625,"",(1000*tech_proj!AM1049*(-PMT($J$110,tech_base!$F85,1))+1000*tech_proj!AM1329)/((1-tech_proj!AM489)*tech_proj!AM769*$L$110))</f>
        <v>24.361880541574148</v>
      </c>
      <c r="AN709" s="70">
        <f>IF(tech_base!$T85&gt;AN$625,"",(1000*tech_proj!AN1049*(-PMT($J$110,tech_base!$F85,1))+1000*tech_proj!AN1329)/((1-tech_proj!AN489)*tech_proj!AN769*$L$110))</f>
        <v>24.329140527544968</v>
      </c>
      <c r="AO709" s="70">
        <f>IF(tech_base!$T85&gt;AO$625,"",(1000*tech_proj!AO1049*(-PMT($J$110,tech_base!$F85,1))+1000*tech_proj!AO1329)/((1-tech_proj!AO489)*tech_proj!AO769*$L$110))</f>
        <v>24.302634352074392</v>
      </c>
      <c r="AP709" s="70">
        <f>IF(tech_base!$T85&gt;AP$625,"",(1000*tech_proj!AP1049*(-PMT($J$110,tech_base!$F85,1))+1000*tech_proj!AP1329)/((1-tech_proj!AP489)*tech_proj!AP769*$L$110))</f>
        <v>24.281314516556964</v>
      </c>
      <c r="AQ709" s="70">
        <f>IF(tech_base!$T85&gt;AQ$625,"",(1000*tech_proj!AQ1049*(-PMT($J$110,tech_base!$F85,1))+1000*tech_proj!AQ1329)/((1-tech_proj!AQ489)*tech_proj!AQ769*$L$110))</f>
        <v>24.264260217036629</v>
      </c>
      <c r="AR709" s="70">
        <f>IF(tech_base!$T85&gt;AR$625,"",(1000*tech_proj!AR1049*(-PMT($J$110,tech_base!$F85,1))+1000*tech_proj!AR1329)/((1-tech_proj!AR489)*tech_proj!AR769*$L$110))</f>
        <v>24.250680774133038</v>
      </c>
      <c r="AS709" s="70">
        <f>IF(tech_base!$T85&gt;AS$625,"",(1000*tech_proj!AS1049*(-PMT($J$110,tech_base!$F85,1))+1000*tech_proj!AS1329)/((1-tech_proj!AS489)*tech_proj!AS769*$L$110))</f>
        <v>24.239909731098468</v>
      </c>
      <c r="AT709" s="70">
        <f>IF(tech_base!$T85&gt;AT$625,"",(1000*tech_proj!AT1049*(-PMT($J$110,tech_base!$F85,1))+1000*tech_proj!AT1329)/((1-tech_proj!AT489)*tech_proj!AT769*$L$110))</f>
        <v>24.231393615181641</v>
      </c>
      <c r="AU709" s="70">
        <f>IF(tech_base!$T85&gt;AU$625,"",(1000*tech_proj!AU1049*(-PMT($J$110,tech_base!$F85,1))+1000*tech_proj!AU1329)/((1-tech_proj!AU489)*tech_proj!AU769*$L$110))</f>
        <v>24.224678244350223</v>
      </c>
      <c r="AV709" s="70">
        <f>IF(tech_base!$T85&gt;AV$625,"",(1000*tech_proj!AV1049*(-PMT($J$110,tech_base!$F85,1))+1000*tech_proj!AV1329)/((1-tech_proj!AV489)*tech_proj!AV769*$L$110))</f>
        <v>24.219394500180943</v>
      </c>
      <c r="AW709" s="70">
        <f>IF(tech_base!$T85&gt;AW$625,"",(1000*tech_proj!AW1049*(-PMT($J$110,tech_base!$F85,1))+1000*tech_proj!AW1329)/((1-tech_proj!AW489)*tech_proj!AW769*$L$110))</f>
        <v>24.215244739779067</v>
      </c>
      <c r="AX709" s="236">
        <f>IF(tech_base!$T85&gt;AX$625,"",(1000*tech_proj!AX1049*(-PMT($J$110,tech_base!$F85,1))+1000*tech_proj!AX1329)/((1-tech_proj!AX489)*tech_proj!AX769*$L$110))</f>
        <v>24.211990481138358</v>
      </c>
      <c r="AY709" s="133"/>
    </row>
    <row r="710" spans="1:51" s="174" customFormat="1" x14ac:dyDescent="0.25">
      <c r="A710" s="356"/>
      <c r="B710" s="376"/>
      <c r="C710" s="378"/>
      <c r="D710" s="2" t="s">
        <v>8</v>
      </c>
      <c r="E710" s="160" t="str">
        <f>A709&amp;"/"&amp;B709&amp;"/"&amp;C709&amp;"/"&amp;D710</f>
        <v>Gas fired power plants (Natural gas, biogas)/Gas turbine combined cycle/Electricity only/M</v>
      </c>
      <c r="F710" s="76" t="str">
        <f>A709</f>
        <v>Gas fired power plants (Natural gas, biogas)</v>
      </c>
      <c r="G710" s="76" t="str">
        <f>B709</f>
        <v>Gas turbine combined cycle</v>
      </c>
      <c r="H710" s="76" t="str">
        <f>C709</f>
        <v>Electricity only</v>
      </c>
      <c r="I710" s="161" t="str">
        <f t="shared" si="363"/>
        <v>M</v>
      </c>
      <c r="J710" s="69">
        <f>IF(tech_base!$T86&gt;J$625,"",(1000*tech_proj!J1050*(-PMT($J$110,tech_base!$F86,1))+1000*tech_proj!J1330)/((1-tech_proj!J490)*tech_proj!J770*$L$110))</f>
        <v>28.008161672365333</v>
      </c>
      <c r="K710" s="69">
        <f>IF(tech_base!$T86&gt;K$625,"",(1000*tech_proj!K1050*(-PMT($J$110,tech_base!$F86,1))+1000*tech_proj!K1330)/((1-tech_proj!K490)*tech_proj!K770*$L$110))</f>
        <v>28.003164446519559</v>
      </c>
      <c r="L710" s="69">
        <f>IF(tech_base!$T86&gt;L$625,"",(1000*tech_proj!L1050*(-PMT($J$110,tech_base!$F86,1))+1000*tech_proj!L1330)/((1-tech_proj!L490)*tech_proj!L770*$L$110))</f>
        <v>27.996769239559971</v>
      </c>
      <c r="M710" s="69">
        <f>IF(tech_base!$T86&gt;M$625,"",(1000*tech_proj!M1050*(-PMT($J$110,tech_base!$F86,1))+1000*tech_proj!M1330)/((1-tech_proj!M490)*tech_proj!M770*$L$110))</f>
        <v>27.988592650809586</v>
      </c>
      <c r="N710" s="69">
        <f>IF(tech_base!$T86&gt;N$625,"",(1000*tech_proj!N1050*(-PMT($J$110,tech_base!$F86,1))+1000*tech_proj!N1330)/((1-tech_proj!N490)*tech_proj!N770*$L$110))</f>
        <v>27.978151033344005</v>
      </c>
      <c r="O710" s="69">
        <f>IF(tech_base!$T86&gt;O$625,"",(1000*tech_proj!O1050*(-PMT($J$110,tech_base!$F86,1))+1000*tech_proj!O1330)/((1-tech_proj!O490)*tech_proj!O770*$L$110))</f>
        <v>27.964837400066617</v>
      </c>
      <c r="P710" s="69">
        <f>IF(tech_base!$T86&gt;P$625,"",(1000*tech_proj!P1050*(-PMT($J$110,tech_base!$F86,1))+1000*tech_proj!P1330)/((1-tech_proj!P490)*tech_proj!P770*$L$110))</f>
        <v>27.947895009682068</v>
      </c>
      <c r="Q710" s="69">
        <f>IF(tech_base!$T86&gt;Q$625,"",(1000*tech_proj!Q1050*(-PMT($J$110,tech_base!$F86,1))+1000*tech_proj!Q1330)/((1-tech_proj!Q490)*tech_proj!Q770*$L$110))</f>
        <v>27.926388527443635</v>
      </c>
      <c r="R710" s="69">
        <f>IF(tech_base!$T86&gt;R$625,"",(1000*tech_proj!R1050*(-PMT($J$110,tech_base!$F86,1))+1000*tech_proj!R1330)/((1-tech_proj!R490)*tech_proj!R770*$L$110))</f>
        <v>27.899174833399645</v>
      </c>
      <c r="S710" s="69">
        <f>IF(tech_base!$T86&gt;S$625,"",(1000*tech_proj!S1050*(-PMT($J$110,tech_base!$F86,1))+1000*tech_proj!S1330)/((1-tech_proj!S490)*tech_proj!S770*$L$110))</f>
        <v>27.864877403015882</v>
      </c>
      <c r="T710" s="69">
        <f>IF(tech_base!$T86&gt;T$625,"",(1000*tech_proj!T1050*(-PMT($J$110,tech_base!$F86,1))+1000*tech_proj!T1330)/((1-tech_proj!T490)*tech_proj!T770*$L$110))</f>
        <v>27.821870895190692</v>
      </c>
      <c r="U710" s="69">
        <f>IF(tech_base!$T86&gt;U$625,"",(1000*tech_proj!U1050*(-PMT($J$110,tech_base!$F86,1))+1000*tech_proj!U1330)/((1-tech_proj!U490)*tech_proj!U770*$L$110))</f>
        <v>27.768286214512926</v>
      </c>
      <c r="V710" s="69">
        <f>IF(tech_base!$T86&gt;V$625,"",(1000*tech_proj!V1050*(-PMT($J$110,tech_base!$F86,1))+1000*tech_proj!V1330)/((1-tech_proj!V490)*tech_proj!V770*$L$110))</f>
        <v>27.702050593196358</v>
      </c>
      <c r="W710" s="69">
        <f>IF(tech_base!$T86&gt;W$625,"",(1000*tech_proj!W1050*(-PMT($J$110,tech_base!$F86,1))+1000*tech_proj!W1330)/((1-tech_proj!W490)*tech_proj!W770*$L$110))</f>
        <v>27.620981191150424</v>
      </c>
      <c r="X710" s="69">
        <f>IF(tech_base!$T86&gt;X$625,"",(1000*tech_proj!X1050*(-PMT($J$110,tech_base!$F86,1))+1000*tech_proj!X1330)/((1-tech_proj!X490)*tech_proj!X770*$L$110))</f>
        <v>27.522952216505335</v>
      </c>
      <c r="Y710" s="69">
        <f>IF(tech_base!$T86&gt;Y$625,"",(1000*tech_proj!Y1050*(-PMT($J$110,tech_base!$F86,1))+1000*tech_proj!Y1330)/((1-tech_proj!Y490)*tech_proj!Y770*$L$110))</f>
        <v>27.40615104336306</v>
      </c>
      <c r="Z710" s="69">
        <f>IF(tech_base!$T86&gt;Z$625,"",(1000*tech_proj!Z1050*(-PMT($J$110,tech_base!$F86,1))+1000*tech_proj!Z1330)/((1-tech_proj!Z490)*tech_proj!Z770*$L$110))</f>
        <v>27.269423642563382</v>
      </c>
      <c r="AA710" s="69">
        <f>IF(tech_base!$T86&gt;AA$625,"",(1000*tech_proj!AA1050*(-PMT($J$110,tech_base!$F86,1))+1000*tech_proj!AA1330)/((1-tech_proj!AA490)*tech_proj!AA770*$L$110))</f>
        <v>27.112680280366533</v>
      </c>
      <c r="AB710" s="69">
        <f>IF(tech_base!$T86&gt;AB$625,"",(1000*tech_proj!AB1050*(-PMT($J$110,tech_base!$F86,1))+1000*tech_proj!AB1330)/((1-tech_proj!AB490)*tech_proj!AB770*$L$110))</f>
        <v>26.937290652441078</v>
      </c>
      <c r="AC710" s="69">
        <f>IF(tech_base!$T86&gt;AC$625,"",(1000*tech_proj!AC1050*(-PMT($J$110,tech_base!$F86,1))+1000*tech_proj!AC1330)/((1-tech_proj!AC490)*tech_proj!AC770*$L$110))</f>
        <v>26.746355792011453</v>
      </c>
      <c r="AD710" s="69">
        <f>IF(tech_base!$T86&gt;AD$625,"",(1000*tech_proj!AD1050*(-PMT($J$110,tech_base!$F86,1))+1000*tech_proj!AD1330)/((1-tech_proj!AD490)*tech_proj!AD770*$L$110))</f>
        <v>26.544726753018438</v>
      </c>
      <c r="AE710" s="69">
        <f>IF(tech_base!$T86&gt;AE$625,"",(1000*tech_proj!AE1050*(-PMT($J$110,tech_base!$F86,1))+1000*tech_proj!AE1330)/((1-tech_proj!AE490)*tech_proj!AE770*$L$110))</f>
        <v>26.338674817145932</v>
      </c>
      <c r="AF710" s="69">
        <f>IF(tech_base!$T86&gt;AF$625,"",(1000*tech_proj!AF1050*(-PMT($J$110,tech_base!$F86,1))+1000*tech_proj!AF1330)/((1-tech_proj!AF490)*tech_proj!AF770*$L$110))</f>
        <v>26.135214157697984</v>
      </c>
      <c r="AG710" s="69">
        <f>IF(tech_base!$T86&gt;AG$625,"",(1000*tech_proj!AG1050*(-PMT($J$110,tech_base!$F86,1))+1000*tech_proj!AG1330)/((1-tech_proj!AG490)*tech_proj!AG770*$L$110))</f>
        <v>25.941206155786769</v>
      </c>
      <c r="AH710" s="69">
        <f>IF(tech_base!$T86&gt;AH$625,"",(1000*tech_proj!AH1050*(-PMT($J$110,tech_base!$F86,1))+1000*tech_proj!AH1330)/((1-tech_proj!AH490)*tech_proj!AH770*$L$110))</f>
        <v>25.762471294359152</v>
      </c>
      <c r="AI710" s="69">
        <f>IF(tech_base!$T86&gt;AI$625,"",(1000*tech_proj!AI1050*(-PMT($J$110,tech_base!$F86,1))+1000*tech_proj!AI1330)/((1-tech_proj!AI490)*tech_proj!AI770*$L$110))</f>
        <v>25.603140869565969</v>
      </c>
      <c r="AJ710" s="69">
        <f>IF(tech_base!$T86&gt;AJ$625,"",(1000*tech_proj!AJ1050*(-PMT($J$110,tech_base!$F86,1))+1000*tech_proj!AJ1330)/((1-tech_proj!AJ490)*tech_proj!AJ770*$L$110))</f>
        <v>25.465388654414269</v>
      </c>
      <c r="AK710" s="69">
        <f>IF(tech_base!$T86&gt;AK$625,"",(1000*tech_proj!AK1050*(-PMT($J$110,tech_base!$F86,1))+1000*tech_proj!AK1330)/((1-tech_proj!AK490)*tech_proj!AK770*$L$110))</f>
        <v>25.349543945969174</v>
      </c>
      <c r="AL710" s="69">
        <f>IF(tech_base!$T86&gt;AL$625,"",(1000*tech_proj!AL1050*(-PMT($J$110,tech_base!$F86,1))+1000*tech_proj!AL1330)/((1-tech_proj!AL490)*tech_proj!AL770*$L$110))</f>
        <v>25.254474548208282</v>
      </c>
      <c r="AM710" s="69">
        <f>IF(tech_base!$T86&gt;AM$625,"",(1000*tech_proj!AM1050*(-PMT($J$110,tech_base!$F86,1))+1000*tech_proj!AM1330)/((1-tech_proj!AM490)*tech_proj!AM770*$L$110))</f>
        <v>25.17808442355722</v>
      </c>
      <c r="AN710" s="69">
        <f>IF(tech_base!$T86&gt;AN$625,"",(1000*tech_proj!AN1050*(-PMT($J$110,tech_base!$F86,1))+1000*tech_proj!AN1330)/((1-tech_proj!AN490)*tech_proj!AN770*$L$110))</f>
        <v>25.117792167784703</v>
      </c>
      <c r="AO710" s="69">
        <f>IF(tech_base!$T86&gt;AO$625,"",(1000*tech_proj!AO1050*(-PMT($J$110,tech_base!$F86,1))+1000*tech_proj!AO1330)/((1-tech_proj!AO490)*tech_proj!AO770*$L$110))</f>
        <v>25.070910636435755</v>
      </c>
      <c r="AP710" s="69">
        <f>IF(tech_base!$T86&gt;AP$625,"",(1000*tech_proj!AP1050*(-PMT($J$110,tech_base!$F86,1))+1000*tech_proj!AP1330)/((1-tech_proj!AP490)*tech_proj!AP770*$L$110))</f>
        <v>25.034902160889104</v>
      </c>
      <c r="AQ710" s="69">
        <f>IF(tech_base!$T86&gt;AQ$625,"",(1000*tech_proj!AQ1050*(-PMT($J$110,tech_base!$F86,1))+1000*tech_proj!AQ1330)/((1-tech_proj!AQ490)*tech_proj!AQ770*$L$110))</f>
        <v>25.007520312538812</v>
      </c>
      <c r="AR710" s="69">
        <f>IF(tech_base!$T86&gt;AR$625,"",(1000*tech_proj!AR1050*(-PMT($J$110,tech_base!$F86,1))+1000*tech_proj!AR1330)/((1-tech_proj!AR490)*tech_proj!AR770*$L$110))</f>
        <v>24.986865767999866</v>
      </c>
      <c r="AS710" s="69">
        <f>IF(tech_base!$T86&gt;AS$625,"",(1000*tech_proj!AS1050*(-PMT($J$110,tech_base!$F86,1))+1000*tech_proj!AS1330)/((1-tech_proj!AS490)*tech_proj!AS770*$L$110))</f>
        <v>24.971386108117716</v>
      </c>
      <c r="AT710" s="69">
        <f>IF(tech_base!$T86&gt;AT$625,"",(1000*tech_proj!AT1050*(-PMT($J$110,tech_base!$F86,1))+1000*tech_proj!AT1330)/((1-tech_proj!AT490)*tech_proj!AT770*$L$110))</f>
        <v>24.959844339212474</v>
      </c>
      <c r="AU710" s="69">
        <f>IF(tech_base!$T86&gt;AU$625,"",(1000*tech_proj!AU1050*(-PMT($J$110,tech_base!$F86,1))+1000*tech_proj!AU1330)/((1-tech_proj!AU490)*tech_proj!AU770*$L$110))</f>
        <v>24.951273715811183</v>
      </c>
      <c r="AV710" s="69">
        <f>IF(tech_base!$T86&gt;AV$625,"",(1000*tech_proj!AV1050*(-PMT($J$110,tech_base!$F86,1))+1000*tech_proj!AV1330)/((1-tech_proj!AV490)*tech_proj!AV770*$L$110))</f>
        <v>24.944929844694176</v>
      </c>
      <c r="AW710" s="69">
        <f>IF(tech_base!$T86&gt;AW$625,"",(1000*tech_proj!AW1050*(-PMT($J$110,tech_base!$F86,1))+1000*tech_proj!AW1330)/((1-tech_proj!AW490)*tech_proj!AW770*$L$110))</f>
        <v>24.940246072458169</v>
      </c>
      <c r="AX710" s="235">
        <f>IF(tech_base!$T86&gt;AX$625,"",(1000*tech_proj!AX1050*(-PMT($J$110,tech_base!$F86,1))+1000*tech_proj!AX1330)/((1-tech_proj!AX490)*tech_proj!AX770*$L$110))</f>
        <v>24.936794850368869</v>
      </c>
      <c r="AY710" s="133"/>
    </row>
    <row r="711" spans="1:51" s="174" customFormat="1" x14ac:dyDescent="0.25">
      <c r="A711" s="356"/>
      <c r="B711" s="376"/>
      <c r="C711" s="378"/>
      <c r="D711" s="2" t="s">
        <v>10</v>
      </c>
      <c r="E711" s="160" t="str">
        <f>A709&amp;"/"&amp;B709&amp;"/"&amp;C709&amp;"/"&amp;D711</f>
        <v>Gas fired power plants (Natural gas, biogas)/Gas turbine combined cycle/Electricity only/S</v>
      </c>
      <c r="F711" s="76" t="str">
        <f>A709</f>
        <v>Gas fired power plants (Natural gas, biogas)</v>
      </c>
      <c r="G711" s="76" t="str">
        <f>B709</f>
        <v>Gas turbine combined cycle</v>
      </c>
      <c r="H711" s="76" t="str">
        <f>C709</f>
        <v>Electricity only</v>
      </c>
      <c r="I711" s="161" t="str">
        <f t="shared" si="363"/>
        <v>S</v>
      </c>
      <c r="J711" s="69">
        <f>IF(tech_base!$T87&gt;J$625,"",(1000*tech_proj!J1051*(-PMT($J$110,tech_base!$F87,1))+1000*tech_proj!J1331)/((1-tech_proj!J491)*tech_proj!J771*$L$110))</f>
        <v>30.157817227977624</v>
      </c>
      <c r="K711" s="69">
        <f>IF(tech_base!$T87&gt;K$625,"",(1000*tech_proj!K1051*(-PMT($J$110,tech_base!$F87,1))+1000*tech_proj!K1331)/((1-tech_proj!K491)*tech_proj!K771*$L$110))</f>
        <v>30.15727054806996</v>
      </c>
      <c r="L711" s="69">
        <f>IF(tech_base!$T87&gt;L$625,"",(1000*tech_proj!L1051*(-PMT($J$110,tech_base!$F87,1))+1000*tech_proj!L1331)/((1-tech_proj!L491)*tech_proj!L771*$L$110))</f>
        <v>30.156532849641</v>
      </c>
      <c r="M711" s="69">
        <f>IF(tech_base!$T87&gt;M$625,"",(1000*tech_proj!M1051*(-PMT($J$110,tech_base!$F87,1))+1000*tech_proj!M1331)/((1-tech_proj!M491)*tech_proj!M771*$L$110))</f>
        <v>30.155537502094333</v>
      </c>
      <c r="N711" s="69">
        <f>IF(tech_base!$T87&gt;N$625,"",(1000*tech_proj!N1051*(-PMT($J$110,tech_base!$F87,1))+1000*tech_proj!N1331)/((1-tech_proj!N491)*tech_proj!N771*$L$110))</f>
        <v>30.154194726700094</v>
      </c>
      <c r="O711" s="69">
        <f>IF(tech_base!$T87&gt;O$625,"",(1000*tech_proj!O1051*(-PMT($J$110,tech_base!$F87,1))+1000*tech_proj!O1331)/((1-tech_proj!O491)*tech_proj!O771*$L$110))</f>
        <v>30.15238363162862</v>
      </c>
      <c r="P711" s="69">
        <f>IF(tech_base!$T87&gt;P$625,"",(1000*tech_proj!P1051*(-PMT($J$110,tech_base!$F87,1))+1000*tech_proj!P1331)/((1-tech_proj!P491)*tech_proj!P771*$L$110))</f>
        <v>30.149941569443016</v>
      </c>
      <c r="Q711" s="69">
        <f>IF(tech_base!$T87&gt;Q$625,"",(1000*tech_proj!Q1051*(-PMT($J$110,tech_base!$F87,1))+1000*tech_proj!Q1331)/((1-tech_proj!Q491)*tech_proj!Q771*$L$110))</f>
        <v>30.146649968839675</v>
      </c>
      <c r="R711" s="69">
        <f>IF(tech_base!$T87&gt;R$625,"",(1000*tech_proj!R1051*(-PMT($J$110,tech_base!$F87,1))+1000*tech_proj!R1331)/((1-tech_proj!R491)*tech_proj!R771*$L$110))</f>
        <v>30.142215566850179</v>
      </c>
      <c r="S711" s="69">
        <f>IF(tech_base!$T87&gt;S$625,"",(1000*tech_proj!S1051*(-PMT($J$110,tech_base!$F87,1))+1000*tech_proj!S1331)/((1-tech_proj!S491)*tech_proj!S771*$L$110))</f>
        <v>30.13624571941256</v>
      </c>
      <c r="T711" s="69">
        <f>IF(tech_base!$T87&gt;T$625,"",(1000*tech_proj!T1051*(-PMT($J$110,tech_base!$F87,1))+1000*tech_proj!T1331)/((1-tech_proj!T491)*tech_proj!T771*$L$110))</f>
        <v>30.128216232108461</v>
      </c>
      <c r="U711" s="69">
        <f>IF(tech_base!$T87&gt;U$625,"",(1000*tech_proj!U1051*(-PMT($J$110,tech_base!$F87,1))+1000*tech_proj!U1331)/((1-tech_proj!U491)*tech_proj!U771*$L$110))</f>
        <v>30.117430006684835</v>
      </c>
      <c r="V711" s="69">
        <f>IF(tech_base!$T87&gt;V$625,"",(1000*tech_proj!V1051*(-PMT($J$110,tech_base!$F87,1))+1000*tech_proj!V1331)/((1-tech_proj!V491)*tech_proj!V771*$L$110))</f>
        <v>30.102964897043385</v>
      </c>
      <c r="W711" s="69">
        <f>IF(tech_base!$T87&gt;W$625,"",(1000*tech_proj!W1051*(-PMT($J$110,tech_base!$F87,1))+1000*tech_proj!W1331)/((1-tech_proj!W491)*tech_proj!W771*$L$110))</f>
        <v>30.083609794185655</v>
      </c>
      <c r="X711" s="69">
        <f>IF(tech_base!$T87&gt;X$625,"",(1000*tech_proj!X1051*(-PMT($J$110,tech_base!$F87,1))+1000*tech_proj!X1331)/((1-tech_proj!X491)*tech_proj!X771*$L$110))</f>
        <v>30.057789599461103</v>
      </c>
      <c r="Y711" s="69">
        <f>IF(tech_base!$T87&gt;Y$625,"",(1000*tech_proj!Y1051*(-PMT($J$110,tech_base!$F87,1))+1000*tech_proj!Y1331)/((1-tech_proj!Y491)*tech_proj!Y771*$L$110))</f>
        <v>30.023483171534252</v>
      </c>
      <c r="Z711" s="69">
        <f>IF(tech_base!$T87&gt;Z$625,"",(1000*tech_proj!Z1051*(-PMT($J$110,tech_base!$F87,1))+1000*tech_proj!Z1331)/((1-tech_proj!Z491)*tech_proj!Z771*$L$110))</f>
        <v>29.978144645130332</v>
      </c>
      <c r="AA711" s="69">
        <f>IF(tech_base!$T87&gt;AA$625,"",(1000*tech_proj!AA1051*(-PMT($J$110,tech_base!$F87,1))+1000*tech_proj!AA1331)/((1-tech_proj!AA491)*tech_proj!AA771*$L$110))</f>
        <v>29.91864901324962</v>
      </c>
      <c r="AB711" s="69">
        <f>IF(tech_base!$T87&gt;AB$625,"",(1000*tech_proj!AB1051*(-PMT($J$110,tech_base!$F87,1))+1000*tech_proj!AB1331)/((1-tech_proj!AB491)*tech_proj!AB771*$L$110))</f>
        <v>29.841298427209914</v>
      </c>
      <c r="AC711" s="69">
        <f>IF(tech_base!$T87&gt;AC$625,"",(1000*tech_proj!AC1051*(-PMT($J$110,tech_base!$F87,1))+1000*tech_proj!AC1331)/((1-tech_proj!AC491)*tech_proj!AC771*$L$110))</f>
        <v>29.741945238670493</v>
      </c>
      <c r="AD711" s="69">
        <f>IF(tech_base!$T87&gt;AD$625,"",(1000*tech_proj!AD1051*(-PMT($J$110,tech_base!$F87,1))+1000*tech_proj!AD1331)/((1-tech_proj!AD491)*tech_proj!AD771*$L$110))</f>
        <v>29.616305421317833</v>
      </c>
      <c r="AE711" s="69">
        <f>IF(tech_base!$T87&gt;AE$625,"",(1000*tech_proj!AE1051*(-PMT($J$110,tech_base!$F87,1))+1000*tech_proj!AE1331)/((1-tech_proj!AE491)*tech_proj!AE771*$L$110))</f>
        <v>29.460536854303992</v>
      </c>
      <c r="AF711" s="69">
        <f>IF(tech_base!$T87&gt;AF$625,"",(1000*tech_proj!AF1051*(-PMT($J$110,tech_base!$F87,1))+1000*tech_proj!AF1331)/((1-tech_proj!AF491)*tech_proj!AF771*$L$110))</f>
        <v>29.272115650222855</v>
      </c>
      <c r="AG711" s="69">
        <f>IF(tech_base!$T87&gt;AG$625,"",(1000*tech_proj!AG1051*(-PMT($J$110,tech_base!$F87,1))+1000*tech_proj!AG1331)/((1-tech_proj!AG491)*tech_proj!AG771*$L$110))</f>
        <v>29.050932933358887</v>
      </c>
      <c r="AH711" s="69">
        <f>IF(tech_base!$T87&gt;AH$625,"",(1000*tech_proj!AH1051*(-PMT($J$110,tech_base!$F87,1))+1000*tech_proj!AH1331)/((1-tech_proj!AH491)*tech_proj!AH771*$L$110))</f>
        <v>28.800353673992813</v>
      </c>
      <c r="AI711" s="69">
        <f>IF(tech_base!$T87&gt;AI$625,"",(1000*tech_proj!AI1051*(-PMT($J$110,tech_base!$F87,1))+1000*tech_proj!AI1331)/((1-tech_proj!AI491)*tech_proj!AI771*$L$110))</f>
        <v>28.527798212746436</v>
      </c>
      <c r="AJ711" s="69">
        <f>IF(tech_base!$T87&gt;AJ$625,"",(1000*tech_proj!AJ1051*(-PMT($J$110,tech_base!$F87,1))+1000*tech_proj!AJ1331)/((1-tech_proj!AJ491)*tech_proj!AJ771*$L$110))</f>
        <v>28.244378848021661</v>
      </c>
      <c r="AK711" s="69">
        <f>IF(tech_base!$T87&gt;AK$625,"",(1000*tech_proj!AK1051*(-PMT($J$110,tech_base!$F87,1))+1000*tech_proj!AK1331)/((1-tech_proj!AK491)*tech_proj!AK771*$L$110))</f>
        <v>27.963393931357963</v>
      </c>
      <c r="AL711" s="69">
        <f>IF(tech_base!$T87&gt;AL$625,"",(1000*tech_proj!AL1051*(-PMT($J$110,tech_base!$F87,1))+1000*tech_proj!AL1331)/((1-tech_proj!AL491)*tech_proj!AL771*$L$110))</f>
        <v>27.698006411472928</v>
      </c>
      <c r="AM711" s="69">
        <f>IF(tech_base!$T87&gt;AM$625,"",(1000*tech_proj!AM1051*(-PMT($J$110,tech_base!$F87,1))+1000*tech_proj!AM1331)/((1-tech_proj!AM491)*tech_proj!AM771*$L$110))</f>
        <v>27.458898653291115</v>
      </c>
      <c r="AN711" s="69">
        <f>IF(tech_base!$T87&gt;AN$625,"",(1000*tech_proj!AN1051*(-PMT($J$110,tech_base!$F87,1))+1000*tech_proj!AN1331)/((1-tech_proj!AN491)*tech_proj!AN771*$L$110))</f>
        <v>27.252737444350593</v>
      </c>
      <c r="AO711" s="69">
        <f>IF(tech_base!$T87&gt;AO$625,"",(1000*tech_proj!AO1051*(-PMT($J$110,tech_base!$F87,1))+1000*tech_proj!AO1331)/((1-tech_proj!AO491)*tech_proj!AO771*$L$110))</f>
        <v>27.081851892964796</v>
      </c>
      <c r="AP711" s="69">
        <f>IF(tech_base!$T87&gt;AP$625,"",(1000*tech_proj!AP1051*(-PMT($J$110,tech_base!$F87,1))+1000*tech_proj!AP1331)/((1-tech_proj!AP491)*tech_proj!AP771*$L$110))</f>
        <v>26.944950581369326</v>
      </c>
      <c r="AQ711" s="69">
        <f>IF(tech_base!$T87&gt;AQ$625,"",(1000*tech_proj!AQ1051*(-PMT($J$110,tech_base!$F87,1))+1000*tech_proj!AQ1331)/((1-tech_proj!AQ491)*tech_proj!AQ771*$L$110))</f>
        <v>26.838361778125012</v>
      </c>
      <c r="AR711" s="69">
        <f>IF(tech_base!$T87&gt;AR$625,"",(1000*tech_proj!AR1051*(-PMT($J$110,tech_base!$F87,1))+1000*tech_proj!AR1331)/((1-tech_proj!AR491)*tech_proj!AR771*$L$110))</f>
        <v>26.757284929667222</v>
      </c>
      <c r="AS711" s="69">
        <f>IF(tech_base!$T87&gt;AS$625,"",(1000*tech_proj!AS1051*(-PMT($J$110,tech_base!$F87,1))+1000*tech_proj!AS1331)/((1-tech_proj!AS491)*tech_proj!AS771*$L$110))</f>
        <v>26.696750707329279</v>
      </c>
      <c r="AT711" s="69">
        <f>IF(tech_base!$T87&gt;AT$625,"",(1000*tech_proj!AT1051*(-PMT($J$110,tech_base!$F87,1))+1000*tech_proj!AT1331)/((1-tech_proj!AT491)*tech_proj!AT771*$L$110))</f>
        <v>26.652209430516582</v>
      </c>
      <c r="AU711" s="69">
        <f>IF(tech_base!$T87&gt;AU$625,"",(1000*tech_proj!AU1051*(-PMT($J$110,tech_base!$F87,1))+1000*tech_proj!AU1331)/((1-tech_proj!AU491)*tech_proj!AU771*$L$110))</f>
        <v>26.619804239741111</v>
      </c>
      <c r="AV711" s="69">
        <f>IF(tech_base!$T87&gt;AV$625,"",(1000*tech_proj!AV1051*(-PMT($J$110,tech_base!$F87,1))+1000*tech_proj!AV1331)/((1-tech_proj!AV491)*tech_proj!AV771*$L$110))</f>
        <v>26.596431684042336</v>
      </c>
      <c r="AW711" s="69">
        <f>IF(tech_base!$T87&gt;AW$625,"",(1000*tech_proj!AW1051*(-PMT($J$110,tech_base!$F87,1))+1000*tech_proj!AW1331)/((1-tech_proj!AW491)*tech_proj!AW771*$L$110))</f>
        <v>26.579684512320188</v>
      </c>
      <c r="AX711" s="235">
        <f>IF(tech_base!$T87&gt;AX$625,"",(1000*tech_proj!AX1051*(-PMT($J$110,tech_base!$F87,1))+1000*tech_proj!AX1331)/((1-tech_proj!AX491)*tech_proj!AX771*$L$110))</f>
        <v>26.567744065150226</v>
      </c>
      <c r="AY711" s="133"/>
    </row>
    <row r="712" spans="1:51" s="174" customFormat="1" x14ac:dyDescent="0.25">
      <c r="A712" s="356"/>
      <c r="B712" s="376"/>
      <c r="C712" s="379"/>
      <c r="D712" s="2" t="s">
        <v>20</v>
      </c>
      <c r="E712" s="160" t="str">
        <f>A709&amp;"/"&amp;B709&amp;"/"&amp;C709&amp;"/"&amp;D712</f>
        <v>Gas fired power plants (Natural gas, biogas)/Gas turbine combined cycle/Electricity only/XS</v>
      </c>
      <c r="F712" s="76" t="str">
        <f>A709</f>
        <v>Gas fired power plants (Natural gas, biogas)</v>
      </c>
      <c r="G712" s="76" t="str">
        <f>B709</f>
        <v>Gas turbine combined cycle</v>
      </c>
      <c r="H712" s="76" t="str">
        <f>C709</f>
        <v>Electricity only</v>
      </c>
      <c r="I712" s="161" t="str">
        <f t="shared" si="363"/>
        <v>XS</v>
      </c>
      <c r="J712" s="69">
        <f>IF(tech_base!$T88&gt;J$625,"",(1000*tech_proj!J1052*(-PMT($J$110,tech_base!$F88,1))+1000*tech_proj!J1332)/((1-tech_proj!J492)*tech_proj!J772*$L$110))</f>
        <v>34.740907839777265</v>
      </c>
      <c r="K712" s="69">
        <f>IF(tech_base!$T88&gt;K$625,"",(1000*tech_proj!K1052*(-PMT($J$110,tech_base!$F88,1))+1000*tech_proj!K1332)/((1-tech_proj!K492)*tech_proj!K772*$L$110))</f>
        <v>34.740811264168386</v>
      </c>
      <c r="L712" s="69">
        <f>IF(tech_base!$T88&gt;L$625,"",(1000*tech_proj!L1052*(-PMT($J$110,tech_base!$F88,1))+1000*tech_proj!L1332)/((1-tech_proj!L492)*tech_proj!L772*$L$110))</f>
        <v>34.740680906955049</v>
      </c>
      <c r="M712" s="69">
        <f>IF(tech_base!$T88&gt;M$625,"",(1000*tech_proj!M1052*(-PMT($J$110,tech_base!$F88,1))+1000*tech_proj!M1332)/((1-tech_proj!M492)*tech_proj!M772*$L$110))</f>
        <v>34.740504954460398</v>
      </c>
      <c r="N712" s="69">
        <f>IF(tech_base!$T88&gt;N$625,"",(1000*tech_proj!N1052*(-PMT($J$110,tech_base!$F88,1))+1000*tech_proj!N1332)/((1-tech_proj!N492)*tech_proj!N772*$L$110))</f>
        <v>34.740267464092504</v>
      </c>
      <c r="O712" s="69">
        <f>IF(tech_base!$T88&gt;O$625,"",(1000*tech_proj!O1052*(-PMT($J$110,tech_base!$F88,1))+1000*tech_proj!O1332)/((1-tech_proj!O492)*tech_proj!O772*$L$110))</f>
        <v>34.739946923260952</v>
      </c>
      <c r="P712" s="69">
        <f>IF(tech_base!$T88&gt;P$625,"",(1000*tech_proj!P1052*(-PMT($J$110,tech_base!$F88,1))+1000*tech_proj!P1332)/((1-tech_proj!P492)*tech_proj!P772*$L$110))</f>
        <v>34.73951430695454</v>
      </c>
      <c r="Q712" s="69">
        <f>IF(tech_base!$T88&gt;Q$625,"",(1000*tech_proj!Q1052*(-PMT($J$110,tech_base!$F88,1))+1000*tech_proj!Q1332)/((1-tech_proj!Q492)*tech_proj!Q772*$L$110))</f>
        <v>34.738930460909771</v>
      </c>
      <c r="R712" s="69">
        <f>IF(tech_base!$T88&gt;R$625,"",(1000*tech_proj!R1052*(-PMT($J$110,tech_base!$F88,1))+1000*tech_proj!R1332)/((1-tech_proj!R492)*tech_proj!R772*$L$110))</f>
        <v>34.73814257865758</v>
      </c>
      <c r="S712" s="69">
        <f>IF(tech_base!$T88&gt;S$625,"",(1000*tech_proj!S1052*(-PMT($J$110,tech_base!$F88,1))+1000*tech_proj!S1332)/((1-tech_proj!S492)*tech_proj!S772*$L$110))</f>
        <v>34.737079463135466</v>
      </c>
      <c r="T712" s="69">
        <f>IF(tech_base!$T88&gt;T$625,"",(1000*tech_proj!T1052*(-PMT($J$110,tech_base!$F88,1))+1000*tech_proj!T1332)/((1-tech_proj!T492)*tech_proj!T772*$L$110))</f>
        <v>34.7356451616306</v>
      </c>
      <c r="U712" s="69">
        <f>IF(tech_base!$T88&gt;U$625,"",(1000*tech_proj!U1052*(-PMT($J$110,tech_base!$F88,1))+1000*tech_proj!U1332)/((1-tech_proj!U492)*tech_proj!U772*$L$110))</f>
        <v>34.733710430359999</v>
      </c>
      <c r="V712" s="69">
        <f>IF(tech_base!$T88&gt;V$625,"",(1000*tech_proj!V1052*(-PMT($J$110,tech_base!$F88,1))+1000*tech_proj!V1332)/((1-tech_proj!V492)*tech_proj!V772*$L$110))</f>
        <v>34.731101315441911</v>
      </c>
      <c r="W712" s="69">
        <f>IF(tech_base!$T88&gt;W$625,"",(1000*tech_proj!W1052*(-PMT($J$110,tech_base!$F88,1))+1000*tech_proj!W1332)/((1-tech_proj!W492)*tech_proj!W772*$L$110))</f>
        <v>34.727583924802111</v>
      </c>
      <c r="X712" s="69">
        <f>IF(tech_base!$T88&gt;X$625,"",(1000*tech_proj!X1052*(-PMT($J$110,tech_base!$F88,1))+1000*tech_proj!X1332)/((1-tech_proj!X492)*tech_proj!X772*$L$110))</f>
        <v>34.722844208991482</v>
      </c>
      <c r="Y712" s="69">
        <f>IF(tech_base!$T88&gt;Y$625,"",(1000*tech_proj!Y1052*(-PMT($J$110,tech_base!$F88,1))+1000*tech_proj!Y1332)/((1-tech_proj!Y492)*tech_proj!Y772*$L$110))</f>
        <v>34.716461275866259</v>
      </c>
      <c r="Z712" s="69">
        <f>IF(tech_base!$T88&gt;Z$625,"",(1000*tech_proj!Z1052*(-PMT($J$110,tech_base!$F88,1))+1000*tech_proj!Z1332)/((1-tech_proj!Z492)*tech_proj!Z772*$L$110))</f>
        <v>34.707872462887579</v>
      </c>
      <c r="AA712" s="69">
        <f>IF(tech_base!$T88&gt;AA$625,"",(1000*tech_proj!AA1052*(-PMT($J$110,tech_base!$F88,1))+1000*tech_proj!AA1332)/((1-tech_proj!AA492)*tech_proj!AA772*$L$110))</f>
        <v>34.696328149429569</v>
      </c>
      <c r="AB712" s="69">
        <f>IF(tech_base!$T88&gt;AB$625,"",(1000*tech_proj!AB1052*(-PMT($J$110,tech_base!$F88,1))+1000*tech_proj!AB1332)/((1-tech_proj!AB492)*tech_proj!AB772*$L$110))</f>
        <v>34.680834250647841</v>
      </c>
      <c r="AC712" s="69">
        <f>IF(tech_base!$T88&gt;AC$625,"",(1000*tech_proj!AC1052*(-PMT($J$110,tech_base!$F88,1))+1000*tech_proj!AC1332)/((1-tech_proj!AC492)*tech_proj!AC772*$L$110))</f>
        <v>34.660080760596713</v>
      </c>
      <c r="AD712" s="69">
        <f>IF(tech_base!$T88&gt;AD$625,"",(1000*tech_proj!AD1052*(-PMT($J$110,tech_base!$F88,1))+1000*tech_proj!AD1332)/((1-tech_proj!AD492)*tech_proj!AD772*$L$110))</f>
        <v>34.632356075644275</v>
      </c>
      <c r="AE712" s="69">
        <f>IF(tech_base!$T88&gt;AE$625,"",(1000*tech_proj!AE1052*(-PMT($J$110,tech_base!$F88,1))+1000*tech_proj!AE1332)/((1-tech_proj!AE492)*tech_proj!AE772*$L$110))</f>
        <v>34.595449902100597</v>
      </c>
      <c r="AF712" s="69">
        <f>IF(tech_base!$T88&gt;AF$625,"",(1000*tech_proj!AF1052*(-PMT($J$110,tech_base!$F88,1))+1000*tech_proj!AF1332)/((1-tech_proj!AF492)*tech_proj!AF772*$L$110))</f>
        <v>34.546553490918441</v>
      </c>
      <c r="AG712" s="69">
        <f>IF(tech_base!$T88&gt;AG$625,"",(1000*tech_proj!AG1052*(-PMT($J$110,tech_base!$F88,1))+1000*tech_proj!AG1332)/((1-tech_proj!AG492)*tech_proj!AG772*$L$110))</f>
        <v>34.482176242841149</v>
      </c>
      <c r="AH712" s="69">
        <f>IF(tech_base!$T88&gt;AH$625,"",(1000*tech_proj!AH1052*(-PMT($J$110,tech_base!$F88,1))+1000*tech_proj!AH1332)/((1-tech_proj!AH492)*tech_proj!AH772*$L$110))</f>
        <v>34.398113790458737</v>
      </c>
      <c r="AI712" s="69">
        <f>IF(tech_base!$T88&gt;AI$625,"",(1000*tech_proj!AI1052*(-PMT($J$110,tech_base!$F88,1))+1000*tech_proj!AI1332)/((1-tech_proj!AI492)*tech_proj!AI772*$L$110))</f>
        <v>34.289524494835433</v>
      </c>
      <c r="AJ712" s="69">
        <f>IF(tech_base!$T88&gt;AJ$625,"",(1000*tech_proj!AJ1052*(-PMT($J$110,tech_base!$F88,1))+1000*tech_proj!AJ1332)/((1-tech_proj!AJ492)*tech_proj!AJ772*$L$110))</f>
        <v>34.151194720072723</v>
      </c>
      <c r="AK712" s="69">
        <f>IF(tech_base!$T88&gt;AK$625,"",(1000*tech_proj!AK1052*(-PMT($J$110,tech_base!$F88,1))+1000*tech_proj!AK1332)/((1-tech_proj!AK492)*tech_proj!AK772*$L$110))</f>
        <v>33.978085532570013</v>
      </c>
      <c r="AL712" s="69">
        <f>IF(tech_base!$T88&gt;AL$625,"",(1000*tech_proj!AL1052*(-PMT($J$110,tech_base!$F88,1))+1000*tech_proj!AL1332)/((1-tech_proj!AL492)*tech_proj!AL772*$L$110))</f>
        <v>33.766229474684678</v>
      </c>
      <c r="AM712" s="69">
        <f>IF(tech_base!$T88&gt;AM$625,"",(1000*tech_proj!AM1052*(-PMT($J$110,tech_base!$F88,1))+1000*tech_proj!AM1332)/((1-tech_proj!AM492)*tech_proj!AM772*$L$110))</f>
        <v>33.513952050311161</v>
      </c>
      <c r="AN712" s="69">
        <f>IF(tech_base!$T88&gt;AN$625,"",(1000*tech_proj!AN1052*(-PMT($J$110,tech_base!$F88,1))+1000*tech_proj!AN1332)/((1-tech_proj!AN492)*tech_proj!AN772*$L$110))</f>
        <v>33.223209518806009</v>
      </c>
      <c r="AO712" s="69">
        <f>IF(tech_base!$T88&gt;AO$625,"",(1000*tech_proj!AO1052*(-PMT($J$110,tech_base!$F88,1))+1000*tech_proj!AO1332)/((1-tech_proj!AO492)*tech_proj!AO772*$L$110))</f>
        <v>32.900605274488029</v>
      </c>
      <c r="AP712" s="69">
        <f>IF(tech_base!$T88&gt;AP$625,"",(1000*tech_proj!AP1052*(-PMT($J$110,tech_base!$F88,1))+1000*tech_proj!AP1332)/((1-tech_proj!AP492)*tech_proj!AP772*$L$110))</f>
        <v>32.55751455937709</v>
      </c>
      <c r="AQ712" s="69">
        <f>IF(tech_base!$T88&gt;AQ$625,"",(1000*tech_proj!AQ1052*(-PMT($J$110,tech_base!$F88,1))+1000*tech_proj!AQ1332)/((1-tech_proj!AQ492)*tech_proj!AQ772*$L$110))</f>
        <v>32.20890549973025</v>
      </c>
      <c r="AR712" s="69">
        <f>IF(tech_base!$T88&gt;AR$625,"",(1000*tech_proj!AR1052*(-PMT($J$110,tech_base!$F88,1))+1000*tech_proj!AR1332)/((1-tech_proj!AR492)*tech_proj!AR772*$L$110))</f>
        <v>31.870956399747268</v>
      </c>
      <c r="AS712" s="69">
        <f>IF(tech_base!$T88&gt;AS$625,"",(1000*tech_proj!AS1052*(-PMT($J$110,tech_base!$F88,1))+1000*tech_proj!AS1332)/((1-tech_proj!AS492)*tech_proj!AS772*$L$110))</f>
        <v>31.558192111613916</v>
      </c>
      <c r="AT712" s="69">
        <f>IF(tech_base!$T88&gt;AT$625,"",(1000*tech_proj!AT1052*(-PMT($J$110,tech_base!$F88,1))+1000*tech_proj!AT1332)/((1-tech_proj!AT492)*tech_proj!AT772*$L$110))</f>
        <v>31.281153680522046</v>
      </c>
      <c r="AU712" s="69">
        <f>IF(tech_base!$T88&gt;AU$625,"",(1000*tech_proj!AU1052*(-PMT($J$110,tech_base!$F88,1))+1000*tech_proj!AU1332)/((1-tech_proj!AU492)*tech_proj!AU772*$L$110))</f>
        <v>31.045332484833192</v>
      </c>
      <c r="AV712" s="69">
        <f>IF(tech_base!$T88&gt;AV$625,"",(1000*tech_proj!AV1052*(-PMT($J$110,tech_base!$F88,1))+1000*tech_proj!AV1332)/((1-tech_proj!AV492)*tech_proj!AV772*$L$110))</f>
        <v>30.851458947794907</v>
      </c>
      <c r="AW712" s="69">
        <f>IF(tech_base!$T88&gt;AW$625,"",(1000*tech_proj!AW1052*(-PMT($J$110,tech_base!$F88,1))+1000*tech_proj!AW1332)/((1-tech_proj!AW492)*tech_proj!AW772*$L$110))</f>
        <v>30.696693932117523</v>
      </c>
      <c r="AX712" s="235">
        <f>IF(tech_base!$T88&gt;AX$625,"",(1000*tech_proj!AX1052*(-PMT($J$110,tech_base!$F88,1))+1000*tech_proj!AX1332)/((1-tech_proj!AX492)*tech_proj!AX772*$L$110))</f>
        <v>30.576103916707439</v>
      </c>
      <c r="AY712" s="133"/>
    </row>
    <row r="713" spans="1:51" s="174" customFormat="1" x14ac:dyDescent="0.25">
      <c r="A713" s="356"/>
      <c r="B713" s="376"/>
      <c r="C713" s="361" t="s">
        <v>14</v>
      </c>
      <c r="D713" s="58" t="s">
        <v>7</v>
      </c>
      <c r="E713" s="164" t="str">
        <f>A709&amp;"/"&amp;B709&amp;"/"&amp;C713&amp;"/"&amp;D713</f>
        <v>Gas fired power plants (Natural gas, biogas)/Gas turbine combined cycle/CHP/L</v>
      </c>
      <c r="F713" s="78" t="str">
        <f>A709</f>
        <v>Gas fired power plants (Natural gas, biogas)</v>
      </c>
      <c r="G713" s="78" t="str">
        <f>B709</f>
        <v>Gas turbine combined cycle</v>
      </c>
      <c r="H713" s="78" t="str">
        <f>C713</f>
        <v>CHP</v>
      </c>
      <c r="I713" s="165" t="str">
        <f t="shared" si="363"/>
        <v>L</v>
      </c>
      <c r="J713" s="71">
        <f>IF(tech_base!$T89&gt;J$625,"",(1000*tech_proj!J1053*(-PMT($J$110,tech_base!$F89,1))+1000*tech_proj!J1333)/((1-tech_proj!J493)*tech_proj!J773*$L$110))</f>
        <v>36.756576117305784</v>
      </c>
      <c r="K713" s="71">
        <f>IF(tech_base!$T89&gt;K$625,"",(1000*tech_proj!K1053*(-PMT($J$110,tech_base!$F89,1))+1000*tech_proj!K1333)/((1-tech_proj!K493)*tech_proj!K773*$L$110))</f>
        <v>36.735739512905944</v>
      </c>
      <c r="L713" s="71">
        <f>IF(tech_base!$T89&gt;L$625,"",(1000*tech_proj!L1053*(-PMT($J$110,tech_base!$F89,1))+1000*tech_proj!L1333)/((1-tech_proj!L493)*tech_proj!L773*$L$110))</f>
        <v>36.710647653427088</v>
      </c>
      <c r="M713" s="71">
        <f>IF(tech_base!$T89&gt;M$625,"",(1000*tech_proj!M1053*(-PMT($J$110,tech_base!$F89,1))+1000*tech_proj!M1333)/((1-tech_proj!M493)*tech_proj!M773*$L$110))</f>
        <v>36.68052250743321</v>
      </c>
      <c r="N713" s="71">
        <f>IF(tech_base!$T89&gt;N$625,"",(1000*tech_proj!N1053*(-PMT($J$110,tech_base!$F89,1))+1000*tech_proj!N1333)/((1-tech_proj!N493)*tech_proj!N773*$L$110))</f>
        <v>36.644485341272002</v>
      </c>
      <c r="O713" s="71">
        <f>IF(tech_base!$T89&gt;O$625,"",(1000*tech_proj!O1053*(-PMT($J$110,tech_base!$F89,1))+1000*tech_proj!O1333)/((1-tech_proj!O493)*tech_proj!O773*$L$110))</f>
        <v>36.601562894476267</v>
      </c>
      <c r="P713" s="71">
        <f>IF(tech_base!$T89&gt;P$625,"",(1000*tech_proj!P1053*(-PMT($J$110,tech_base!$F89,1))+1000*tech_proj!P1333)/((1-tech_proj!P493)*tech_proj!P773*$L$110))</f>
        <v>36.550704269806161</v>
      </c>
      <c r="Q713" s="71">
        <f>IF(tech_base!$T89&gt;Q$625,"",(1000*tech_proj!Q1053*(-PMT($J$110,tech_base!$F89,1))+1000*tech_proj!Q1333)/((1-tech_proj!Q493)*tech_proj!Q773*$L$110))</f>
        <v>36.490812582319343</v>
      </c>
      <c r="R713" s="71">
        <f>IF(tech_base!$T89&gt;R$625,"",(1000*tech_proj!R1053*(-PMT($J$110,tech_base!$F89,1))+1000*tech_proj!R1333)/((1-tech_proj!R493)*tech_proj!R773*$L$110))</f>
        <v>36.420795593332628</v>
      </c>
      <c r="S713" s="71">
        <f>IF(tech_base!$T89&gt;S$625,"",(1000*tech_proj!S1053*(-PMT($J$110,tech_base!$F89,1))+1000*tech_proj!S1333)/((1-tech_proj!S493)*tech_proj!S773*$L$110))</f>
        <v>36.339638907547226</v>
      </c>
      <c r="T713" s="71">
        <f>IF(tech_base!$T89&gt;T$625,"",(1000*tech_proj!T1053*(-PMT($J$110,tech_base!$F89,1))+1000*tech_proj!T1333)/((1-tech_proj!T493)*tech_proj!T773*$L$110))</f>
        <v>36.246503319829415</v>
      </c>
      <c r="U713" s="71">
        <f>IF(tech_base!$T89&gt;U$625,"",(1000*tech_proj!U1053*(-PMT($J$110,tech_base!$F89,1))+1000*tech_proj!U1333)/((1-tech_proj!U493)*tech_proj!U773*$L$110))</f>
        <v>36.140844074443017</v>
      </c>
      <c r="V713" s="71">
        <f>IF(tech_base!$T89&gt;V$625,"",(1000*tech_proj!V1053*(-PMT($J$110,tech_base!$F89,1))+1000*tech_proj!V1333)/((1-tech_proj!V493)*tech_proj!V773*$L$110))</f>
        <v>36.022543947495727</v>
      </c>
      <c r="W713" s="71">
        <f>IF(tech_base!$T89&gt;W$625,"",(1000*tech_proj!W1053*(-PMT($J$110,tech_base!$F89,1))+1000*tech_proj!W1333)/((1-tech_proj!W493)*tech_proj!W773*$L$110))</f>
        <v>35.892044666753463</v>
      </c>
      <c r="X713" s="71">
        <f>IF(tech_base!$T89&gt;X$625,"",(1000*tech_proj!X1053*(-PMT($J$110,tech_base!$F89,1))+1000*tech_proj!X1333)/((1-tech_proj!X493)*tech_proj!X773*$L$110))</f>
        <v>35.750453792282215</v>
      </c>
      <c r="Y713" s="71">
        <f>IF(tech_base!$T89&gt;Y$625,"",(1000*tech_proj!Y1053*(-PMT($J$110,tech_base!$F89,1))+1000*tech_proj!Y1333)/((1-tech_proj!Y493)*tech_proj!Y773*$L$110))</f>
        <v>35.599599511632441</v>
      </c>
      <c r="Z713" s="71">
        <f>IF(tech_base!$T89&gt;Z$625,"",(1000*tech_proj!Z1053*(-PMT($J$110,tech_base!$F89,1))+1000*tech_proj!Z1333)/((1-tech_proj!Z493)*tech_proj!Z773*$L$110))</f>
        <v>35.442007171326125</v>
      </c>
      <c r="AA713" s="71">
        <f>IF(tech_base!$T89&gt;AA$625,"",(1000*tech_proj!AA1053*(-PMT($J$110,tech_base!$F89,1))+1000*tech_proj!AA1333)/((1-tech_proj!AA493)*tech_proj!AA773*$L$110))</f>
        <v>35.280781278556006</v>
      </c>
      <c r="AB713" s="71">
        <f>IF(tech_base!$T89&gt;AB$625,"",(1000*tech_proj!AB1053*(-PMT($J$110,tech_base!$F89,1))+1000*tech_proj!AB1333)/((1-tech_proj!AB493)*tech_proj!AB773*$L$110))</f>
        <v>35.119394976147838</v>
      </c>
      <c r="AC713" s="71">
        <f>IF(tech_base!$T89&gt;AC$625,"",(1000*tech_proj!AC1053*(-PMT($J$110,tech_base!$F89,1))+1000*tech_proj!AC1333)/((1-tech_proj!AC493)*tech_proj!AC773*$L$110))</f>
        <v>34.961411485852743</v>
      </c>
      <c r="AD713" s="71">
        <f>IF(tech_base!$T89&gt;AD$625,"",(1000*tech_proj!AD1053*(-PMT($J$110,tech_base!$F89,1))+1000*tech_proj!AD1333)/((1-tech_proj!AD493)*tech_proj!AD773*$L$110))</f>
        <v>34.81018133262134</v>
      </c>
      <c r="AE713" s="71">
        <f>IF(tech_base!$T89&gt;AE$625,"",(1000*tech_proj!AE1053*(-PMT($J$110,tech_base!$F89,1))+1000*tech_proj!AE1333)/((1-tech_proj!AE493)*tech_proj!AE773*$L$110))</f>
        <v>34.66856765161323</v>
      </c>
      <c r="AF713" s="71">
        <f>IF(tech_base!$T89&gt;AF$625,"",(1000*tech_proj!AF1053*(-PMT($J$110,tech_base!$F89,1))+1000*tech_proj!AF1333)/((1-tech_proj!AF493)*tech_proj!AF773*$L$110))</f>
        <v>34.538745585743932</v>
      </c>
      <c r="AG713" s="71">
        <f>IF(tech_base!$T89&gt;AG$625,"",(1000*tech_proj!AG1053*(-PMT($J$110,tech_base!$F89,1))+1000*tech_proj!AG1333)/((1-tech_proj!AG493)*tech_proj!AG773*$L$110))</f>
        <v>34.422102818452238</v>
      </c>
      <c r="AH713" s="71">
        <f>IF(tech_base!$T89&gt;AH$625,"",(1000*tech_proj!AH1053*(-PMT($J$110,tech_base!$F89,1))+1000*tech_proj!AH1333)/((1-tech_proj!AH493)*tech_proj!AH773*$L$110))</f>
        <v>34.319243857430585</v>
      </c>
      <c r="AI713" s="71">
        <f>IF(tech_base!$T89&gt;AI$625,"",(1000*tech_proj!AI1053*(-PMT($J$110,tech_base!$F89,1))+1000*tech_proj!AI1333)/((1-tech_proj!AI493)*tech_proj!AI773*$L$110))</f>
        <v>34.230079345052964</v>
      </c>
      <c r="AJ713" s="71">
        <f>IF(tech_base!$T89&gt;AJ$625,"",(1000*tech_proj!AJ1053*(-PMT($J$110,tech_base!$F89,1))+1000*tech_proj!AJ1333)/((1-tech_proj!AJ493)*tech_proj!AJ773*$L$110))</f>
        <v>34.15396932783581</v>
      </c>
      <c r="AK713" s="71">
        <f>IF(tech_base!$T89&gt;AK$625,"",(1000*tech_proj!AK1053*(-PMT($J$110,tech_base!$F89,1))+1000*tech_proj!AK1333)/((1-tech_proj!AK493)*tech_proj!AK773*$L$110))</f>
        <v>34.0898874214815</v>
      </c>
      <c r="AL713" s="71">
        <f>IF(tech_base!$T89&gt;AL$625,"",(1000*tech_proj!AL1053*(-PMT($J$110,tech_base!$F89,1))+1000*tech_proj!AL1333)/((1-tech_proj!AL493)*tech_proj!AL773*$L$110))</f>
        <v>34.036578677567448</v>
      </c>
      <c r="AM713" s="71">
        <f>IF(tech_base!$T89&gt;AM$625,"",(1000*tech_proj!AM1053*(-PMT($J$110,tech_base!$F89,1))+1000*tech_proj!AM1333)/((1-tech_proj!AM493)*tech_proj!AM773*$L$110))</f>
        <v>33.992693565510301</v>
      </c>
      <c r="AN713" s="71">
        <f>IF(tech_base!$T89&gt;AN$625,"",(1000*tech_proj!AN1053*(-PMT($J$110,tech_base!$F89,1))+1000*tech_proj!AN1333)/((1-tech_proj!AN493)*tech_proj!AN773*$L$110))</f>
        <v>33.956890126642485</v>
      </c>
      <c r="AO713" s="71">
        <f>IF(tech_base!$T89&gt;AO$625,"",(1000*tech_proj!AO1053*(-PMT($J$110,tech_base!$F89,1))+1000*tech_proj!AO1333)/((1-tech_proj!AO493)*tech_proj!AO773*$L$110))</f>
        <v>33.927903815511563</v>
      </c>
      <c r="AP713" s="71">
        <f>IF(tech_base!$T89&gt;AP$625,"",(1000*tech_proj!AP1053*(-PMT($J$110,tech_base!$F89,1))+1000*tech_proj!AP1333)/((1-tech_proj!AP493)*tech_proj!AP773*$L$110))</f>
        <v>33.904589120932023</v>
      </c>
      <c r="AQ713" s="71">
        <f>IF(tech_base!$T89&gt;AQ$625,"",(1000*tech_proj!AQ1053*(-PMT($J$110,tech_base!$F89,1))+1000*tech_proj!AQ1333)/((1-tech_proj!AQ493)*tech_proj!AQ773*$L$110))</f>
        <v>33.885939080960583</v>
      </c>
      <c r="AR713" s="71">
        <f>IF(tech_base!$T89&gt;AR$625,"",(1000*tech_proj!AR1053*(-PMT($J$110,tech_base!$F89,1))+1000*tech_proj!AR1333)/((1-tech_proj!AR493)*tech_proj!AR773*$L$110))</f>
        <v>33.871089033754593</v>
      </c>
      <c r="AS713" s="71">
        <f>IF(tech_base!$T89&gt;AS$625,"",(1000*tech_proj!AS1053*(-PMT($J$110,tech_base!$F89,1))+1000*tech_proj!AS1333)/((1-tech_proj!AS493)*tech_proj!AS773*$L$110))</f>
        <v>33.859310163394703</v>
      </c>
      <c r="AT713" s="71">
        <f>IF(tech_base!$T89&gt;AT$625,"",(1000*tech_proj!AT1053*(-PMT($J$110,tech_base!$F89,1))+1000*tech_proj!AT1333)/((1-tech_proj!AT493)*tech_proj!AT773*$L$110))</f>
        <v>33.849997209669404</v>
      </c>
      <c r="AU713" s="71">
        <f>IF(tech_base!$T89&gt;AU$625,"",(1000*tech_proj!AU1053*(-PMT($J$110,tech_base!$F89,1))+1000*tech_proj!AU1333)/((1-tech_proj!AU493)*tech_proj!AU773*$L$110))</f>
        <v>33.842653493542009</v>
      </c>
      <c r="AV713" s="71">
        <f>IF(tech_base!$T89&gt;AV$625,"",(1000*tech_proj!AV1053*(-PMT($J$110,tech_base!$F89,1))+1000*tech_proj!AV1333)/((1-tech_proj!AV493)*tech_proj!AV773*$L$110))</f>
        <v>33.836875358835357</v>
      </c>
      <c r="AW713" s="71">
        <f>IF(tech_base!$T89&gt;AW$625,"",(1000*tech_proj!AW1053*(-PMT($J$110,tech_base!$F89,1))+1000*tech_proj!AW1333)/((1-tech_proj!AW493)*tech_proj!AW773*$L$110))</f>
        <v>33.832337312738851</v>
      </c>
      <c r="AX713" s="237">
        <f>IF(tech_base!$T89&gt;AX$625,"",(1000*tech_proj!AX1053*(-PMT($J$110,tech_base!$F89,1))+1000*tech_proj!AX1333)/((1-tech_proj!AX493)*tech_proj!AX773*$L$110))</f>
        <v>33.828778558909391</v>
      </c>
      <c r="AY713" s="133"/>
    </row>
    <row r="714" spans="1:51" s="174" customFormat="1" x14ac:dyDescent="0.25">
      <c r="A714" s="356"/>
      <c r="B714" s="376"/>
      <c r="C714" s="378"/>
      <c r="D714" s="2" t="s">
        <v>8</v>
      </c>
      <c r="E714" s="160" t="str">
        <f>A709&amp;"/"&amp;B709&amp;"/"&amp;C713&amp;"/"&amp;D714</f>
        <v>Gas fired power plants (Natural gas, biogas)/Gas turbine combined cycle/CHP/M</v>
      </c>
      <c r="F714" s="76" t="str">
        <f>A709</f>
        <v>Gas fired power plants (Natural gas, biogas)</v>
      </c>
      <c r="G714" s="76" t="str">
        <f>B709</f>
        <v>Gas turbine combined cycle</v>
      </c>
      <c r="H714" s="76" t="str">
        <f>C713</f>
        <v>CHP</v>
      </c>
      <c r="I714" s="161" t="str">
        <f t="shared" si="363"/>
        <v>M</v>
      </c>
      <c r="J714" s="69">
        <f>IF(tech_base!$T90&gt;J$625,"",(1000*tech_proj!J1054*(-PMT($J$110,tech_base!$F90,1))+1000*tech_proj!J1334)/((1-tech_proj!J494)*tech_proj!J774*$L$110))</f>
        <v>37.893300569061175</v>
      </c>
      <c r="K714" s="69">
        <f>IF(tech_base!$T90&gt;K$625,"",(1000*tech_proj!K1054*(-PMT($J$110,tech_base!$F90,1))+1000*tech_proj!K1334)/((1-tech_proj!K494)*tech_proj!K774*$L$110))</f>
        <v>37.887768894372911</v>
      </c>
      <c r="L714" s="69">
        <f>IF(tech_base!$T90&gt;L$625,"",(1000*tech_proj!L1054*(-PMT($J$110,tech_base!$F90,1))+1000*tech_proj!L1334)/((1-tech_proj!L494)*tech_proj!L774*$L$110))</f>
        <v>37.880689725738868</v>
      </c>
      <c r="M714" s="69">
        <f>IF(tech_base!$T90&gt;M$625,"",(1000*tech_proj!M1054*(-PMT($J$110,tech_base!$F90,1))+1000*tech_proj!M1334)/((1-tech_proj!M494)*tech_proj!M774*$L$110))</f>
        <v>37.871638658121988</v>
      </c>
      <c r="N714" s="69">
        <f>IF(tech_base!$T90&gt;N$625,"",(1000*tech_proj!N1054*(-PMT($J$110,tech_base!$F90,1))+1000*tech_proj!N1334)/((1-tech_proj!N494)*tech_proj!N774*$L$110))</f>
        <v>37.860080318991123</v>
      </c>
      <c r="O714" s="69">
        <f>IF(tech_base!$T90&gt;O$625,"",(1000*tech_proj!O1054*(-PMT($J$110,tech_base!$F90,1))+1000*tech_proj!O1334)/((1-tech_proj!O494)*tech_proj!O774*$L$110))</f>
        <v>37.845342804521621</v>
      </c>
      <c r="P714" s="69">
        <f>IF(tech_base!$T90&gt;P$625,"",(1000*tech_proj!P1054*(-PMT($J$110,tech_base!$F90,1))+1000*tech_proj!P1334)/((1-tech_proj!P494)*tech_proj!P774*$L$110))</f>
        <v>37.826588440612241</v>
      </c>
      <c r="Q714" s="69">
        <f>IF(tech_base!$T90&gt;Q$625,"",(1000*tech_proj!Q1054*(-PMT($J$110,tech_base!$F90,1))+1000*tech_proj!Q1334)/((1-tech_proj!Q494)*tech_proj!Q774*$L$110))</f>
        <v>37.802781859300183</v>
      </c>
      <c r="R714" s="69">
        <f>IF(tech_base!$T90&gt;R$625,"",(1000*tech_proj!R1054*(-PMT($J$110,tech_base!$F90,1))+1000*tech_proj!R1334)/((1-tech_proj!R494)*tech_proj!R774*$L$110))</f>
        <v>37.77265768497557</v>
      </c>
      <c r="S714" s="69">
        <f>IF(tech_base!$T90&gt;S$625,"",(1000*tech_proj!S1054*(-PMT($J$110,tech_base!$F90,1))+1000*tech_proj!S1334)/((1-tech_proj!S494)*tech_proj!S774*$L$110))</f>
        <v>37.73469217503429</v>
      </c>
      <c r="T714" s="69">
        <f>IF(tech_base!$T90&gt;T$625,"",(1000*tech_proj!T1054*(-PMT($J$110,tech_base!$F90,1))+1000*tech_proj!T1334)/((1-tech_proj!T494)*tech_proj!T774*$L$110))</f>
        <v>37.687086159594983</v>
      </c>
      <c r="U714" s="69">
        <f>IF(tech_base!$T90&gt;U$625,"",(1000*tech_proj!U1054*(-PMT($J$110,tech_base!$F90,1))+1000*tech_proj!U1334)/((1-tech_proj!U494)*tech_proj!U774*$L$110))</f>
        <v>37.627770645161121</v>
      </c>
      <c r="V714" s="69">
        <f>IF(tech_base!$T90&gt;V$625,"",(1000*tech_proj!V1054*(-PMT($J$110,tech_base!$F90,1))+1000*tech_proj!V1334)/((1-tech_proj!V494)*tech_proj!V774*$L$110))</f>
        <v>37.554451183282353</v>
      </c>
      <c r="W714" s="69">
        <f>IF(tech_base!$T90&gt;W$625,"",(1000*tech_proj!W1054*(-PMT($J$110,tech_base!$F90,1))+1000*tech_proj!W1334)/((1-tech_proj!W494)*tech_proj!W774*$L$110))</f>
        <v>37.464711481069351</v>
      </c>
      <c r="X714" s="69">
        <f>IF(tech_base!$T90&gt;X$625,"",(1000*tech_proj!X1054*(-PMT($J$110,tech_base!$F90,1))+1000*tech_proj!X1334)/((1-tech_proj!X494)*tech_proj!X774*$L$110))</f>
        <v>37.356198395109864</v>
      </c>
      <c r="Y714" s="69">
        <f>IF(tech_base!$T90&gt;Y$625,"",(1000*tech_proj!Y1054*(-PMT($J$110,tech_base!$F90,1))+1000*tech_proj!Y1334)/((1-tech_proj!Y494)*tech_proj!Y774*$L$110))</f>
        <v>37.226905440784414</v>
      </c>
      <c r="Z714" s="69">
        <f>IF(tech_base!$T90&gt;Z$625,"",(1000*tech_proj!Z1054*(-PMT($J$110,tech_base!$F90,1))+1000*tech_proj!Z1334)/((1-tech_proj!Z494)*tech_proj!Z774*$L$110))</f>
        <v>37.075555166544476</v>
      </c>
      <c r="AA714" s="69">
        <f>IF(tech_base!$T90&gt;AA$625,"",(1000*tech_proj!AA1054*(-PMT($J$110,tech_base!$F90,1))+1000*tech_proj!AA1334)/((1-tech_proj!AA494)*tech_proj!AA774*$L$110))</f>
        <v>36.902048241706929</v>
      </c>
      <c r="AB714" s="69">
        <f>IF(tech_base!$T90&gt;AB$625,"",(1000*tech_proj!AB1054*(-PMT($J$110,tech_base!$F90,1))+1000*tech_proj!AB1334)/((1-tech_proj!AB494)*tech_proj!AB774*$L$110))</f>
        <v>36.70790084966918</v>
      </c>
      <c r="AC714" s="69">
        <f>IF(tech_base!$T90&gt;AC$625,"",(1000*tech_proj!AC1054*(-PMT($J$110,tech_base!$F90,1))+1000*tech_proj!AC1334)/((1-tech_proj!AC494)*tech_proj!AC774*$L$110))</f>
        <v>36.496545676390298</v>
      </c>
      <c r="AD714" s="69">
        <f>IF(tech_base!$T90&gt;AD$625,"",(1000*tech_proj!AD1054*(-PMT($J$110,tech_base!$F90,1))+1000*tech_proj!AD1334)/((1-tech_proj!AD494)*tech_proj!AD774*$L$110))</f>
        <v>36.273352591698824</v>
      </c>
      <c r="AE714" s="69">
        <f>IF(tech_base!$T90&gt;AE$625,"",(1000*tech_proj!AE1054*(-PMT($J$110,tech_base!$F90,1))+1000*tech_proj!AE1334)/((1-tech_proj!AE494)*tech_proj!AE774*$L$110))</f>
        <v>36.045263585255519</v>
      </c>
      <c r="AF714" s="69">
        <f>IF(tech_base!$T90&gt;AF$625,"",(1000*tech_proj!AF1054*(-PMT($J$110,tech_base!$F90,1))+1000*tech_proj!AF1334)/((1-tech_proj!AF494)*tech_proj!AF774*$L$110))</f>
        <v>35.820042989936802</v>
      </c>
      <c r="AG714" s="69">
        <f>IF(tech_base!$T90&gt;AG$625,"",(1000*tech_proj!AG1054*(-PMT($J$110,tech_base!$F90,1))+1000*tech_proj!AG1334)/((1-tech_proj!AG494)*tech_proj!AG774*$L$110))</f>
        <v>35.605286005438693</v>
      </c>
      <c r="AH714" s="69">
        <f>IF(tech_base!$T90&gt;AH$625,"",(1000*tech_proj!AH1054*(-PMT($J$110,tech_base!$F90,1))+1000*tech_proj!AH1334)/((1-tech_proj!AH494)*tech_proj!AH774*$L$110))</f>
        <v>35.407435610162473</v>
      </c>
      <c r="AI714" s="69">
        <f>IF(tech_base!$T90&gt;AI$625,"",(1000*tech_proj!AI1054*(-PMT($J$110,tech_base!$F90,1))+1000*tech_proj!AI1334)/((1-tech_proj!AI494)*tech_proj!AI774*$L$110))</f>
        <v>35.231064938693734</v>
      </c>
      <c r="AJ714" s="69">
        <f>IF(tech_base!$T90&gt;AJ$625,"",(1000*tech_proj!AJ1054*(-PMT($J$110,tech_base!$F90,1))+1000*tech_proj!AJ1334)/((1-tech_proj!AJ494)*tech_proj!AJ774*$L$110))</f>
        <v>35.07858024712182</v>
      </c>
      <c r="AK714" s="69">
        <f>IF(tech_base!$T90&gt;AK$625,"",(1000*tech_proj!AK1054*(-PMT($J$110,tech_base!$F90,1))+1000*tech_proj!AK1334)/((1-tech_proj!AK494)*tech_proj!AK774*$L$110))</f>
        <v>34.950346050538954</v>
      </c>
      <c r="AL714" s="69">
        <f>IF(tech_base!$T90&gt;AL$625,"",(1000*tech_proj!AL1054*(-PMT($J$110,tech_base!$F90,1))+1000*tech_proj!AL1334)/((1-tech_proj!AL494)*tech_proj!AL774*$L$110))</f>
        <v>34.845109065569005</v>
      </c>
      <c r="AM714" s="69">
        <f>IF(tech_base!$T90&gt;AM$625,"",(1000*tech_proj!AM1054*(-PMT($J$110,tech_base!$F90,1))+1000*tech_proj!AM1334)/((1-tech_proj!AM494)*tech_proj!AM774*$L$110))</f>
        <v>34.760549085290435</v>
      </c>
      <c r="AN714" s="69">
        <f>IF(tech_base!$T90&gt;AN$625,"",(1000*tech_proj!AN1054*(-PMT($J$110,tech_base!$F90,1))+1000*tech_proj!AN1334)/((1-tech_proj!AN494)*tech_proj!AN774*$L$110))</f>
        <v>34.693808626594198</v>
      </c>
      <c r="AO714" s="69">
        <f>IF(tech_base!$T90&gt;AO$625,"",(1000*tech_proj!AO1054*(-PMT($J$110,tech_base!$F90,1))+1000*tech_proj!AO1334)/((1-tech_proj!AO494)*tech_proj!AO774*$L$110))</f>
        <v>34.641913157325035</v>
      </c>
      <c r="AP714" s="69">
        <f>IF(tech_base!$T90&gt;AP$625,"",(1000*tech_proj!AP1054*(-PMT($J$110,tech_base!$F90,1))+1000*tech_proj!AP1334)/((1-tech_proj!AP494)*tech_proj!AP774*$L$110))</f>
        <v>34.602053607468363</v>
      </c>
      <c r="AQ714" s="69">
        <f>IF(tech_base!$T90&gt;AQ$625,"",(1000*tech_proj!AQ1054*(-PMT($J$110,tech_base!$F90,1))+1000*tech_proj!AQ1334)/((1-tech_proj!AQ494)*tech_proj!AQ774*$L$110))</f>
        <v>34.571743294884534</v>
      </c>
      <c r="AR714" s="69">
        <f>IF(tech_base!$T90&gt;AR$625,"",(1000*tech_proj!AR1054*(-PMT($J$110,tech_base!$F90,1))+1000*tech_proj!AR1334)/((1-tech_proj!AR494)*tech_proj!AR774*$L$110))</f>
        <v>34.548879765248302</v>
      </c>
      <c r="AS714" s="69">
        <f>IF(tech_base!$T90&gt;AS$625,"",(1000*tech_proj!AS1054*(-PMT($J$110,tech_base!$F90,1))+1000*tech_proj!AS1334)/((1-tech_proj!AS494)*tech_proj!AS774*$L$110))</f>
        <v>34.531744569562548</v>
      </c>
      <c r="AT714" s="69">
        <f>IF(tech_base!$T90&gt;AT$625,"",(1000*tech_proj!AT1054*(-PMT($J$110,tech_base!$F90,1))+1000*tech_proj!AT1334)/((1-tech_proj!AT494)*tech_proj!AT774*$L$110))</f>
        <v>34.51896841877781</v>
      </c>
      <c r="AU714" s="69">
        <f>IF(tech_base!$T90&gt;AU$625,"",(1000*tech_proj!AU1054*(-PMT($J$110,tech_base!$F90,1))+1000*tech_proj!AU1334)/((1-tech_proj!AU494)*tech_proj!AU774*$L$110))</f>
        <v>34.509481174855921</v>
      </c>
      <c r="AV714" s="69">
        <f>IF(tech_base!$T90&gt;AV$625,"",(1000*tech_proj!AV1054*(-PMT($J$110,tech_base!$F90,1))+1000*tech_proj!AV1334)/((1-tech_proj!AV494)*tech_proj!AV774*$L$110))</f>
        <v>34.502458832386992</v>
      </c>
      <c r="AW714" s="69">
        <f>IF(tech_base!$T90&gt;AW$625,"",(1000*tech_proj!AW1054*(-PMT($J$110,tech_base!$F90,1))+1000*tech_proj!AW1334)/((1-tech_proj!AW494)*tech_proj!AW774*$L$110))</f>
        <v>34.497274134892194</v>
      </c>
      <c r="AX714" s="235">
        <f>IF(tech_base!$T90&gt;AX$625,"",(1000*tech_proj!AX1054*(-PMT($J$110,tech_base!$F90,1))+1000*tech_proj!AX1334)/((1-tech_proj!AX494)*tech_proj!AX774*$L$110))</f>
        <v>34.493453807681824</v>
      </c>
      <c r="AY714" s="133"/>
    </row>
    <row r="715" spans="1:51" s="174" customFormat="1" x14ac:dyDescent="0.25">
      <c r="A715" s="356"/>
      <c r="B715" s="376"/>
      <c r="C715" s="378"/>
      <c r="D715" s="2" t="s">
        <v>10</v>
      </c>
      <c r="E715" s="160" t="str">
        <f>A709&amp;"/"&amp;B709&amp;"/"&amp;C713&amp;"/"&amp;D715</f>
        <v>Gas fired power plants (Natural gas, biogas)/Gas turbine combined cycle/CHP/S</v>
      </c>
      <c r="F715" s="76" t="str">
        <f>A709</f>
        <v>Gas fired power plants (Natural gas, biogas)</v>
      </c>
      <c r="G715" s="76" t="str">
        <f>B709</f>
        <v>Gas turbine combined cycle</v>
      </c>
      <c r="H715" s="76" t="str">
        <f>C713</f>
        <v>CHP</v>
      </c>
      <c r="I715" s="161" t="str">
        <f t="shared" si="363"/>
        <v>S</v>
      </c>
      <c r="J715" s="69">
        <f>IF(tech_base!$T91&gt;J$625,"",(1000*tech_proj!J1055*(-PMT($J$110,tech_base!$F91,1))+1000*tech_proj!J1335)/((1-tech_proj!J495)*tech_proj!J775*$L$110))</f>
        <v>46.106615058220903</v>
      </c>
      <c r="K715" s="69">
        <f>IF(tech_base!$T91&gt;K$625,"",(1000*tech_proj!K1055*(-PMT($J$110,tech_base!$F91,1))+1000*tech_proj!K1335)/((1-tech_proj!K495)*tech_proj!K775*$L$110))</f>
        <v>46.105918567714745</v>
      </c>
      <c r="L715" s="69">
        <f>IF(tech_base!$T91&gt;L$625,"",(1000*tech_proj!L1055*(-PMT($J$110,tech_base!$F91,1))+1000*tech_proj!L1335)/((1-tech_proj!L495)*tech_proj!L775*$L$110))</f>
        <v>46.104978712517998</v>
      </c>
      <c r="M715" s="69">
        <f>IF(tech_base!$T91&gt;M$625,"",(1000*tech_proj!M1055*(-PMT($J$110,tech_base!$F91,1))+1000*tech_proj!M1335)/((1-tech_proj!M495)*tech_proj!M775*$L$110))</f>
        <v>46.103710602776154</v>
      </c>
      <c r="N715" s="69">
        <f>IF(tech_base!$T91&gt;N$625,"",(1000*tech_proj!N1055*(-PMT($J$110,tech_base!$F91,1))+1000*tech_proj!N1335)/((1-tech_proj!N495)*tech_proj!N775*$L$110))</f>
        <v>46.101999857052981</v>
      </c>
      <c r="O715" s="69">
        <f>IF(tech_base!$T91&gt;O$625,"",(1000*tech_proj!O1055*(-PMT($J$110,tech_base!$F91,1))+1000*tech_proj!O1335)/((1-tech_proj!O495)*tech_proj!O775*$L$110))</f>
        <v>46.099692454667533</v>
      </c>
      <c r="P715" s="69">
        <f>IF(tech_base!$T91&gt;P$625,"",(1000*tech_proj!P1055*(-PMT($J$110,tech_base!$F91,1))+1000*tech_proj!P1335)/((1-tech_proj!P495)*tech_proj!P775*$L$110))</f>
        <v>46.096581176744444</v>
      </c>
      <c r="Q715" s="69">
        <f>IF(tech_base!$T91&gt;Q$625,"",(1000*tech_proj!Q1055*(-PMT($J$110,tech_base!$F91,1))+1000*tech_proj!Q1335)/((1-tech_proj!Q495)*tech_proj!Q775*$L$110))</f>
        <v>46.092387555325161</v>
      </c>
      <c r="R715" s="69">
        <f>IF(tech_base!$T91&gt;R$625,"",(1000*tech_proj!R1055*(-PMT($J$110,tech_base!$F91,1))+1000*tech_proj!R1335)/((1-tech_proj!R495)*tech_proj!R775*$L$110))</f>
        <v>46.086737962496059</v>
      </c>
      <c r="S715" s="69">
        <f>IF(tech_base!$T91&gt;S$625,"",(1000*tech_proj!S1055*(-PMT($J$110,tech_base!$F91,1))+1000*tech_proj!S1335)/((1-tech_proj!S495)*tech_proj!S775*$L$110))</f>
        <v>46.07913215513932</v>
      </c>
      <c r="T715" s="69">
        <f>IF(tech_base!$T91&gt;T$625,"",(1000*tech_proj!T1055*(-PMT($J$110,tech_base!$F91,1))+1000*tech_proj!T1335)/((1-tech_proj!T495)*tech_proj!T775*$L$110))</f>
        <v>46.068902290097306</v>
      </c>
      <c r="U715" s="69">
        <f>IF(tech_base!$T91&gt;U$625,"",(1000*tech_proj!U1055*(-PMT($J$110,tech_base!$F91,1))+1000*tech_proj!U1335)/((1-tech_proj!U495)*tech_proj!U775*$L$110))</f>
        <v>46.055160238305248</v>
      </c>
      <c r="V715" s="69">
        <f>IF(tech_base!$T91&gt;V$625,"",(1000*tech_proj!V1055*(-PMT($J$110,tech_base!$F91,1))+1000*tech_proj!V1335)/((1-tech_proj!V495)*tech_proj!V775*$L$110))</f>
        <v>46.036731151385283</v>
      </c>
      <c r="W715" s="69">
        <f>IF(tech_base!$T91&gt;W$625,"",(1000*tech_proj!W1055*(-PMT($J$110,tech_base!$F91,1))+1000*tech_proj!W1335)/((1-tech_proj!W495)*tech_proj!W775*$L$110))</f>
        <v>46.012072031492551</v>
      </c>
      <c r="X715" s="69">
        <f>IF(tech_base!$T91&gt;X$625,"",(1000*tech_proj!X1055*(-PMT($J$110,tech_base!$F91,1))+1000*tech_proj!X1335)/((1-tech_proj!X495)*tech_proj!X775*$L$110))</f>
        <v>45.979176144446797</v>
      </c>
      <c r="Y715" s="69">
        <f>IF(tech_base!$T91&gt;Y$625,"",(1000*tech_proj!Y1055*(-PMT($J$110,tech_base!$F91,1))+1000*tech_proj!Y1335)/((1-tech_proj!Y495)*tech_proj!Y775*$L$110))</f>
        <v>45.935468481121099</v>
      </c>
      <c r="Z715" s="69">
        <f>IF(tech_base!$T91&gt;Z$625,"",(1000*tech_proj!Z1055*(-PMT($J$110,tech_base!$F91,1))+1000*tech_proj!Z1335)/((1-tech_proj!Z495)*tech_proj!Z775*$L$110))</f>
        <v>45.877705514601509</v>
      </c>
      <c r="AA715" s="69">
        <f>IF(tech_base!$T91&gt;AA$625,"",(1000*tech_proj!AA1055*(-PMT($J$110,tech_base!$F91,1))+1000*tech_proj!AA1335)/((1-tech_proj!AA495)*tech_proj!AA775*$L$110))</f>
        <v>45.801905869907038</v>
      </c>
      <c r="AB715" s="69">
        <f>IF(tech_base!$T91&gt;AB$625,"",(1000*tech_proj!AB1055*(-PMT($J$110,tech_base!$F91,1))+1000*tech_proj!AB1335)/((1-tech_proj!AB495)*tech_proj!AB775*$L$110))</f>
        <v>45.703358350477821</v>
      </c>
      <c r="AC715" s="69">
        <f>IF(tech_base!$T91&gt;AC$625,"",(1000*tech_proj!AC1055*(-PMT($J$110,tech_base!$F91,1))+1000*tech_proj!AC1335)/((1-tech_proj!AC495)*tech_proj!AC775*$L$110))</f>
        <v>45.576778698283356</v>
      </c>
      <c r="AD715" s="69">
        <f>IF(tech_base!$T91&gt;AD$625,"",(1000*tech_proj!AD1055*(-PMT($J$110,tech_base!$F91,1))+1000*tech_proj!AD1335)/((1-tech_proj!AD495)*tech_proj!AD775*$L$110))</f>
        <v>45.416708904690708</v>
      </c>
      <c r="AE715" s="69">
        <f>IF(tech_base!$T91&gt;AE$625,"",(1000*tech_proj!AE1055*(-PMT($J$110,tech_base!$F91,1))+1000*tech_proj!AE1335)/((1-tech_proj!AE495)*tech_proj!AE775*$L$110))</f>
        <v>45.218253965042564</v>
      </c>
      <c r="AF715" s="69">
        <f>IF(tech_base!$T91&gt;AF$625,"",(1000*tech_proj!AF1055*(-PMT($J$110,tech_base!$F91,1))+1000*tech_proj!AF1335)/((1-tech_proj!AF495)*tech_proj!AF775*$L$110))</f>
        <v>44.978198353045883</v>
      </c>
      <c r="AG715" s="69">
        <f>IF(tech_base!$T91&gt;AG$625,"",(1000*tech_proj!AG1055*(-PMT($J$110,tech_base!$F91,1))+1000*tech_proj!AG1335)/((1-tech_proj!AG495)*tech_proj!AG775*$L$110))</f>
        <v>44.696403356995418</v>
      </c>
      <c r="AH715" s="69">
        <f>IF(tech_base!$T91&gt;AH$625,"",(1000*tech_proj!AH1055*(-PMT($J$110,tech_base!$F91,1))+1000*tech_proj!AH1335)/((1-tech_proj!AH495)*tech_proj!AH775*$L$110))</f>
        <v>44.377156074004411</v>
      </c>
      <c r="AI715" s="69">
        <f>IF(tech_base!$T91&gt;AI$625,"",(1000*tech_proj!AI1055*(-PMT($J$110,tech_base!$F91,1))+1000*tech_proj!AI1335)/((1-tech_proj!AI495)*tech_proj!AI775*$L$110))</f>
        <v>44.029910293617803</v>
      </c>
      <c r="AJ715" s="69">
        <f>IF(tech_base!$T91&gt;AJ$625,"",(1000*tech_proj!AJ1055*(-PMT($J$110,tech_base!$F91,1))+1000*tech_proj!AJ1335)/((1-tech_proj!AJ495)*tech_proj!AJ775*$L$110))</f>
        <v>43.668823496712406</v>
      </c>
      <c r="AK715" s="69">
        <f>IF(tech_base!$T91&gt;AK$625,"",(1000*tech_proj!AK1055*(-PMT($J$110,tech_base!$F91,1))+1000*tech_proj!AK1335)/((1-tech_proj!AK495)*tech_proj!AK775*$L$110))</f>
        <v>43.310838277052646</v>
      </c>
      <c r="AL715" s="69">
        <f>IF(tech_base!$T91&gt;AL$625,"",(1000*tech_proj!AL1055*(-PMT($J$110,tech_base!$F91,1))+1000*tech_proj!AL1335)/((1-tech_proj!AL495)*tech_proj!AL775*$L$110))</f>
        <v>42.972724720179038</v>
      </c>
      <c r="AM715" s="69">
        <f>IF(tech_base!$T91&gt;AM$625,"",(1000*tech_proj!AM1055*(-PMT($J$110,tech_base!$F91,1))+1000*tech_proj!AM1335)/((1-tech_proj!AM495)*tech_proj!AM775*$L$110))</f>
        <v>42.668092555750384</v>
      </c>
      <c r="AN715" s="69">
        <f>IF(tech_base!$T91&gt;AN$625,"",(1000*tech_proj!AN1055*(-PMT($J$110,tech_base!$F91,1))+1000*tech_proj!AN1335)/((1-tech_proj!AN495)*tech_proj!AN775*$L$110))</f>
        <v>42.405435518695882</v>
      </c>
      <c r="AO715" s="69">
        <f>IF(tech_base!$T91&gt;AO$625,"",(1000*tech_proj!AO1055*(-PMT($J$110,tech_base!$F91,1))+1000*tech_proj!AO1335)/((1-tech_proj!AO495)*tech_proj!AO775*$L$110))</f>
        <v>42.187720979510352</v>
      </c>
      <c r="AP715" s="69">
        <f>IF(tech_base!$T91&gt;AP$625,"",(1000*tech_proj!AP1055*(-PMT($J$110,tech_base!$F91,1))+1000*tech_proj!AP1335)/((1-tech_proj!AP495)*tech_proj!AP775*$L$110))</f>
        <v>42.013303623998468</v>
      </c>
      <c r="AQ715" s="69">
        <f>IF(tech_base!$T91&gt;AQ$625,"",(1000*tech_proj!AQ1055*(-PMT($J$110,tech_base!$F91,1))+1000*tech_proj!AQ1335)/((1-tech_proj!AQ495)*tech_proj!AQ775*$L$110))</f>
        <v>41.877505529937935</v>
      </c>
      <c r="AR715" s="69">
        <f>IF(tech_base!$T91&gt;AR$625,"",(1000*tech_proj!AR1055*(-PMT($J$110,tech_base!$F91,1))+1000*tech_proj!AR1335)/((1-tech_proj!AR495)*tech_proj!AR775*$L$110))</f>
        <v>41.774210613794011</v>
      </c>
      <c r="AS715" s="69">
        <f>IF(tech_base!$T91&gt;AS$625,"",(1000*tech_proj!AS1055*(-PMT($J$110,tech_base!$F91,1))+1000*tech_proj!AS1335)/((1-tech_proj!AS495)*tech_proj!AS775*$L$110))</f>
        <v>41.697087766283602</v>
      </c>
      <c r="AT715" s="69">
        <f>IF(tech_base!$T91&gt;AT$625,"",(1000*tech_proj!AT1055*(-PMT($J$110,tech_base!$F91,1))+1000*tech_proj!AT1335)/((1-tech_proj!AT495)*tech_proj!AT775*$L$110))</f>
        <v>41.640340525353217</v>
      </c>
      <c r="AU715" s="69">
        <f>IF(tech_base!$T91&gt;AU$625,"",(1000*tech_proj!AU1055*(-PMT($J$110,tech_base!$F91,1))+1000*tech_proj!AU1335)/((1-tech_proj!AU495)*tech_proj!AU775*$L$110))</f>
        <v>41.599055108770671</v>
      </c>
      <c r="AV715" s="69">
        <f>IF(tech_base!$T91&gt;AV$625,"",(1000*tech_proj!AV1055*(-PMT($J$110,tech_base!$F91,1))+1000*tech_proj!AV1335)/((1-tech_proj!AV495)*tech_proj!AV775*$L$110))</f>
        <v>41.569277604749523</v>
      </c>
      <c r="AW715" s="69">
        <f>IF(tech_base!$T91&gt;AW$625,"",(1000*tech_proj!AW1055*(-PMT($J$110,tech_base!$F91,1))+1000*tech_proj!AW1335)/((1-tech_proj!AW495)*tech_proj!AW775*$L$110))</f>
        <v>41.547941085982544</v>
      </c>
      <c r="AX715" s="235">
        <f>IF(tech_base!$T91&gt;AX$625,"",(1000*tech_proj!AX1055*(-PMT($J$110,tech_base!$F91,1))+1000*tech_proj!AX1335)/((1-tech_proj!AX495)*tech_proj!AX775*$L$110))</f>
        <v>41.532728512817656</v>
      </c>
      <c r="AY715" s="133"/>
    </row>
    <row r="716" spans="1:51" s="174" customFormat="1" x14ac:dyDescent="0.25">
      <c r="A716" s="356"/>
      <c r="B716" s="376"/>
      <c r="C716" s="379"/>
      <c r="D716" s="59" t="s">
        <v>20</v>
      </c>
      <c r="E716" s="166" t="str">
        <f>A709&amp;"/"&amp;B709&amp;"/"&amp;C713&amp;"/"&amp;D716</f>
        <v>Gas fired power plants (Natural gas, biogas)/Gas turbine combined cycle/CHP/XS</v>
      </c>
      <c r="F716" s="79" t="str">
        <f>A709</f>
        <v>Gas fired power plants (Natural gas, biogas)</v>
      </c>
      <c r="G716" s="79" t="str">
        <f>B709</f>
        <v>Gas turbine combined cycle</v>
      </c>
      <c r="H716" s="79" t="str">
        <f>C713</f>
        <v>CHP</v>
      </c>
      <c r="I716" s="167" t="str">
        <f t="shared" si="363"/>
        <v>XS</v>
      </c>
      <c r="J716" s="72">
        <f>IF(tech_base!$T92&gt;J$625,"",(1000*tech_proj!J1056*(-PMT($J$110,tech_base!$F92,1))+1000*tech_proj!J1336)/((1-tech_proj!J496)*tech_proj!J776*$L$110))</f>
        <v>49.427799437193791</v>
      </c>
      <c r="K716" s="72">
        <f>IF(tech_base!$T92&gt;K$625,"",(1000*tech_proj!K1056*(-PMT($J$110,tech_base!$F92,1))+1000*tech_proj!K1336)/((1-tech_proj!K496)*tech_proj!K776*$L$110))</f>
        <v>49.427683172754783</v>
      </c>
      <c r="L716" s="72">
        <f>IF(tech_base!$T92&gt;L$625,"",(1000*tech_proj!L1056*(-PMT($J$110,tech_base!$F92,1))+1000*tech_proj!L1336)/((1-tech_proj!L496)*tech_proj!L776*$L$110))</f>
        <v>49.427526239669348</v>
      </c>
      <c r="M716" s="72">
        <f>IF(tech_base!$T92&gt;M$625,"",(1000*tech_proj!M1056*(-PMT($J$110,tech_base!$F92,1))+1000*tech_proj!M1336)/((1-tech_proj!M496)*tech_proj!M776*$L$110))</f>
        <v>49.427314415811132</v>
      </c>
      <c r="N716" s="72">
        <f>IF(tech_base!$T92&gt;N$625,"",(1000*tech_proj!N1056*(-PMT($J$110,tech_base!$F92,1))+1000*tech_proj!N1336)/((1-tech_proj!N496)*tech_proj!N776*$L$110))</f>
        <v>49.427028508378463</v>
      </c>
      <c r="O716" s="72">
        <f>IF(tech_base!$T92&gt;O$625,"",(1000*tech_proj!O1056*(-PMT($J$110,tech_base!$F92,1))+1000*tech_proj!O1336)/((1-tech_proj!O496)*tech_proj!O776*$L$110))</f>
        <v>49.426642619017862</v>
      </c>
      <c r="P716" s="72">
        <f>IF(tech_base!$T92&gt;P$625,"",(1000*tech_proj!P1056*(-PMT($J$110,tech_base!$F92,1))+1000*tech_proj!P1336)/((1-tech_proj!P496)*tech_proj!P776*$L$110))</f>
        <v>49.426121805400896</v>
      </c>
      <c r="Q716" s="72">
        <f>IF(tech_base!$T92&gt;Q$625,"",(1000*tech_proj!Q1056*(-PMT($J$110,tech_base!$F92,1))+1000*tech_proj!Q1336)/((1-tech_proj!Q496)*tech_proj!Q776*$L$110))</f>
        <v>49.425418930900271</v>
      </c>
      <c r="R716" s="72">
        <f>IF(tech_base!$T92&gt;R$625,"",(1000*tech_proj!R1056*(-PMT($J$110,tech_base!$F92,1))+1000*tech_proj!R1336)/((1-tech_proj!R496)*tech_proj!R776*$L$110))</f>
        <v>49.424470423413574</v>
      </c>
      <c r="S716" s="72">
        <f>IF(tech_base!$T92&gt;S$625,"",(1000*tech_proj!S1056*(-PMT($J$110,tech_base!$F92,1))+1000*tech_proj!S1336)/((1-tech_proj!S496)*tech_proj!S776*$L$110))</f>
        <v>49.423190570962063</v>
      </c>
      <c r="T716" s="72">
        <f>IF(tech_base!$T92&gt;T$625,"",(1000*tech_proj!T1056*(-PMT($J$110,tech_base!$F92,1))+1000*tech_proj!T1336)/((1-tech_proj!T496)*tech_proj!T776*$L$110))</f>
        <v>49.421463858992354</v>
      </c>
      <c r="U716" s="72">
        <f>IF(tech_base!$T92&gt;U$625,"",(1000*tech_proj!U1056*(-PMT($J$110,tech_base!$F92,1))+1000*tech_proj!U1336)/((1-tech_proj!U496)*tech_proj!U776*$L$110))</f>
        <v>49.419134694844011</v>
      </c>
      <c r="V716" s="72">
        <f>IF(tech_base!$T92&gt;V$625,"",(1000*tech_proj!V1056*(-PMT($J$110,tech_base!$F92,1))+1000*tech_proj!V1336)/((1-tech_proj!V496)*tech_proj!V776*$L$110))</f>
        <v>49.415993660728034</v>
      </c>
      <c r="W716" s="72">
        <f>IF(tech_base!$T92&gt;W$625,"",(1000*tech_proj!W1056*(-PMT($J$110,tech_base!$F92,1))+1000*tech_proj!W1336)/((1-tech_proj!W496)*tech_proj!W776*$L$110))</f>
        <v>49.411759181088129</v>
      </c>
      <c r="X716" s="72">
        <f>IF(tech_base!$T92&gt;X$625,"",(1000*tech_proj!X1056*(-PMT($J$110,tech_base!$F92,1))+1000*tech_proj!X1336)/((1-tech_proj!X496)*tech_proj!X776*$L$110))</f>
        <v>49.40605318134164</v>
      </c>
      <c r="Y716" s="72">
        <f>IF(tech_base!$T92&gt;Y$625,"",(1000*tech_proj!Y1056*(-PMT($J$110,tech_base!$F92,1))+1000*tech_proj!Y1336)/((1-tech_proj!Y496)*tech_proj!Y776*$L$110))</f>
        <v>49.398368962234507</v>
      </c>
      <c r="Z716" s="72">
        <f>IF(tech_base!$T92&gt;Z$625,"",(1000*tech_proj!Z1056*(-PMT($J$110,tech_base!$F92,1))+1000*tech_proj!Z1336)/((1-tech_proj!Z496)*tech_proj!Z776*$L$110))</f>
        <v>49.388029151444769</v>
      </c>
      <c r="AA716" s="72">
        <f>IF(tech_base!$T92&gt;AA$625,"",(1000*tech_proj!AA1056*(-PMT($J$110,tech_base!$F92,1))+1000*tech_proj!AA1336)/((1-tech_proj!AA496)*tech_proj!AA776*$L$110))</f>
        <v>49.374131303494238</v>
      </c>
      <c r="AB716" s="72">
        <f>IF(tech_base!$T92&gt;AB$625,"",(1000*tech_proj!AB1056*(-PMT($J$110,tech_base!$F92,1))+1000*tech_proj!AB1336)/((1-tech_proj!AB496)*tech_proj!AB776*$L$110))</f>
        <v>49.355478669865334</v>
      </c>
      <c r="AC716" s="72">
        <f>IF(tech_base!$T92&gt;AC$625,"",(1000*tech_proj!AC1056*(-PMT($J$110,tech_base!$F92,1))+1000*tech_proj!AC1336)/((1-tech_proj!AC496)*tech_proj!AC776*$L$110))</f>
        <v>49.33049417423269</v>
      </c>
      <c r="AD716" s="72">
        <f>IF(tech_base!$T92&gt;AD$625,"",(1000*tech_proj!AD1056*(-PMT($J$110,tech_base!$F92,1))+1000*tech_proj!AD1336)/((1-tech_proj!AD496)*tech_proj!AD776*$L$110))</f>
        <v>49.297117269027645</v>
      </c>
      <c r="AE716" s="72">
        <f>IF(tech_base!$T92&gt;AE$625,"",(1000*tech_proj!AE1056*(-PMT($J$110,tech_base!$F92,1))+1000*tech_proj!AE1336)/((1-tech_proj!AE496)*tech_proj!AE776*$L$110))</f>
        <v>49.25268704888407</v>
      </c>
      <c r="AF716" s="72">
        <f>IF(tech_base!$T92&gt;AF$625,"",(1000*tech_proj!AF1056*(-PMT($J$110,tech_base!$F92,1))+1000*tech_proj!AF1336)/((1-tech_proj!AF496)*tech_proj!AF776*$L$110))</f>
        <v>49.193822146228037</v>
      </c>
      <c r="AG716" s="72">
        <f>IF(tech_base!$T92&gt;AG$625,"",(1000*tech_proj!AG1056*(-PMT($J$110,tech_base!$F92,1))+1000*tech_proj!AG1336)/((1-tech_proj!AG496)*tech_proj!AG776*$L$110))</f>
        <v>49.116320334751236</v>
      </c>
      <c r="AH716" s="72">
        <f>IF(tech_base!$T92&gt;AH$625,"",(1000*tech_proj!AH1056*(-PMT($J$110,tech_base!$F92,1))+1000*tech_proj!AH1336)/((1-tech_proj!AH496)*tech_proj!AH776*$L$110))</f>
        <v>49.015120104368648</v>
      </c>
      <c r="AI716" s="72">
        <f>IF(tech_base!$T92&gt;AI$625,"",(1000*tech_proj!AI1056*(-PMT($J$110,tech_base!$F92,1))+1000*tech_proj!AI1336)/((1-tech_proj!AI496)*tech_proj!AI776*$L$110))</f>
        <v>48.884392753182503</v>
      </c>
      <c r="AJ716" s="72">
        <f>IF(tech_base!$T92&gt;AJ$625,"",(1000*tech_proj!AJ1056*(-PMT($J$110,tech_base!$F92,1))+1000*tech_proj!AJ1336)/((1-tech_proj!AJ496)*tech_proj!AJ776*$L$110))</f>
        <v>48.717861743462777</v>
      </c>
      <c r="AK716" s="72">
        <f>IF(tech_base!$T92&gt;AK$625,"",(1000*tech_proj!AK1056*(-PMT($J$110,tech_base!$F92,1))+1000*tech_proj!AK1336)/((1-tech_proj!AK496)*tech_proj!AK776*$L$110))</f>
        <v>48.509460856263736</v>
      </c>
      <c r="AL716" s="72">
        <f>IF(tech_base!$T92&gt;AL$625,"",(1000*tech_proj!AL1056*(-PMT($J$110,tech_base!$F92,1))+1000*tech_proj!AL1336)/((1-tech_proj!AL496)*tech_proj!AL776*$L$110))</f>
        <v>48.254413789965795</v>
      </c>
      <c r="AM716" s="72">
        <f>IF(tech_base!$T92&gt;AM$625,"",(1000*tech_proj!AM1056*(-PMT($J$110,tech_base!$F92,1))+1000*tech_proj!AM1336)/((1-tech_proj!AM496)*tech_proj!AM776*$L$110))</f>
        <v>47.950704669622873</v>
      </c>
      <c r="AN716" s="72">
        <f>IF(tech_base!$T92&gt;AN$625,"",(1000*tech_proj!AN1056*(-PMT($J$110,tech_base!$F92,1))+1000*tech_proj!AN1336)/((1-tech_proj!AN496)*tech_proj!AN776*$L$110))</f>
        <v>47.60068857639147</v>
      </c>
      <c r="AO716" s="72">
        <f>IF(tech_base!$T92&gt;AO$625,"",(1000*tech_proj!AO1056*(-PMT($J$110,tech_base!$F92,1))+1000*tech_proj!AO1336)/((1-tech_proj!AO496)*tech_proj!AO776*$L$110))</f>
        <v>47.212315135906216</v>
      </c>
      <c r="AP716" s="72">
        <f>IF(tech_base!$T92&gt;AP$625,"",(1000*tech_proj!AP1056*(-PMT($J$110,tech_base!$F92,1))+1000*tech_proj!AP1336)/((1-tech_proj!AP496)*tech_proj!AP776*$L$110))</f>
        <v>46.799278656154122</v>
      </c>
      <c r="AQ716" s="72">
        <f>IF(tech_base!$T92&gt;AQ$625,"",(1000*tech_proj!AQ1056*(-PMT($J$110,tech_base!$F92,1))+1000*tech_proj!AQ1336)/((1-tech_proj!AQ496)*tech_proj!AQ776*$L$110))</f>
        <v>46.379598809208517</v>
      </c>
      <c r="AR716" s="72">
        <f>IF(tech_base!$T92&gt;AR$625,"",(1000*tech_proj!AR1056*(-PMT($J$110,tech_base!$F92,1))+1000*tech_proj!AR1336)/((1-tech_proj!AR496)*tech_proj!AR776*$L$110))</f>
        <v>45.972752163570725</v>
      </c>
      <c r="AS716" s="72">
        <f>IF(tech_base!$T92&gt;AS$625,"",(1000*tech_proj!AS1056*(-PMT($J$110,tech_base!$F92,1))+1000*tech_proj!AS1336)/((1-tech_proj!AS496)*tech_proj!AS776*$L$110))</f>
        <v>45.59622474713801</v>
      </c>
      <c r="AT716" s="72">
        <f>IF(tech_base!$T92&gt;AT$625,"",(1000*tech_proj!AT1056*(-PMT($J$110,tech_base!$F92,1))+1000*tech_proj!AT1336)/((1-tech_proj!AT496)*tech_proj!AT776*$L$110))</f>
        <v>45.26270660370114</v>
      </c>
      <c r="AU716" s="72">
        <f>IF(tech_base!$T92&gt;AU$625,"",(1000*tech_proj!AU1056*(-PMT($J$110,tech_base!$F92,1))+1000*tech_proj!AU1336)/((1-tech_proj!AU496)*tech_proj!AU776*$L$110))</f>
        <v>44.978808636696243</v>
      </c>
      <c r="AV716" s="72">
        <f>IF(tech_base!$T92&gt;AV$625,"",(1000*tech_proj!AV1056*(-PMT($J$110,tech_base!$F92,1))+1000*tech_proj!AV1336)/((1-tech_proj!AV496)*tech_proj!AV776*$L$110))</f>
        <v>44.745410180461462</v>
      </c>
      <c r="AW716" s="72">
        <f>IF(tech_base!$T92&gt;AW$625,"",(1000*tech_proj!AW1056*(-PMT($J$110,tech_base!$F92,1))+1000*tech_proj!AW1336)/((1-tech_proj!AW496)*tech_proj!AW776*$L$110))</f>
        <v>44.559093283941849</v>
      </c>
      <c r="AX716" s="238">
        <f>IF(tech_base!$T92&gt;AX$625,"",(1000*tech_proj!AX1056*(-PMT($J$110,tech_base!$F92,1))+1000*tech_proj!AX1336)/((1-tech_proj!AX496)*tech_proj!AX776*$L$110))</f>
        <v>44.41391863110367</v>
      </c>
      <c r="AY716" s="133"/>
    </row>
    <row r="717" spans="1:51" s="174" customFormat="1" x14ac:dyDescent="0.25">
      <c r="A717" s="356"/>
      <c r="B717" s="376"/>
      <c r="C717" s="361" t="s">
        <v>15</v>
      </c>
      <c r="D717" s="58" t="s">
        <v>7</v>
      </c>
      <c r="E717" s="164" t="str">
        <f>A709&amp;"/"&amp;B709&amp;"/"&amp;C717&amp;"/"&amp;D717</f>
        <v>Gas fired power plants (Natural gas, biogas)/Gas turbine combined cycle/Electricity only with CCS/L</v>
      </c>
      <c r="F717" s="78" t="str">
        <f>A709</f>
        <v>Gas fired power plants (Natural gas, biogas)</v>
      </c>
      <c r="G717" s="78" t="str">
        <f>B709</f>
        <v>Gas turbine combined cycle</v>
      </c>
      <c r="H717" s="78" t="str">
        <f>C717</f>
        <v>Electricity only with CCS</v>
      </c>
      <c r="I717" s="165" t="str">
        <f t="shared" si="363"/>
        <v>L</v>
      </c>
      <c r="J717" s="71" t="str">
        <f>IF(tech_base!$T93&gt;J$625,"",(1000*tech_proj!J1057*(-PMT($J$110,tech_base!$F93,1))+1000*tech_proj!J1337)/((1-tech_proj!J497)*tech_proj!J777*$L$110))</f>
        <v/>
      </c>
      <c r="K717" s="71" t="str">
        <f>IF(tech_base!$T93&gt;K$625,"",(1000*tech_proj!K1057*(-PMT($J$110,tech_base!$F93,1))+1000*tech_proj!K1337)/((1-tech_proj!K497)*tech_proj!K777*$L$110))</f>
        <v/>
      </c>
      <c r="L717" s="71" t="str">
        <f>IF(tech_base!$T93&gt;L$625,"",(1000*tech_proj!L1057*(-PMT($J$110,tech_base!$F93,1))+1000*tech_proj!L1337)/((1-tech_proj!L497)*tech_proj!L777*$L$110))</f>
        <v/>
      </c>
      <c r="M717" s="71" t="str">
        <f>IF(tech_base!$T93&gt;M$625,"",(1000*tech_proj!M1057*(-PMT($J$110,tech_base!$F93,1))+1000*tech_proj!M1337)/((1-tech_proj!M497)*tech_proj!M777*$L$110))</f>
        <v/>
      </c>
      <c r="N717" s="71" t="str">
        <f>IF(tech_base!$T93&gt;N$625,"",(1000*tech_proj!N1057*(-PMT($J$110,tech_base!$F93,1))+1000*tech_proj!N1337)/((1-tech_proj!N497)*tech_proj!N777*$L$110))</f>
        <v/>
      </c>
      <c r="O717" s="71" t="str">
        <f>IF(tech_base!$T93&gt;O$625,"",(1000*tech_proj!O1057*(-PMT($J$110,tech_base!$F93,1))+1000*tech_proj!O1337)/((1-tech_proj!O497)*tech_proj!O777*$L$110))</f>
        <v/>
      </c>
      <c r="P717" s="71" t="str">
        <f>IF(tech_base!$T93&gt;P$625,"",(1000*tech_proj!P1057*(-PMT($J$110,tech_base!$F93,1))+1000*tech_proj!P1337)/((1-tech_proj!P497)*tech_proj!P777*$L$110))</f>
        <v/>
      </c>
      <c r="Q717" s="71" t="str">
        <f>IF(tech_base!$T93&gt;Q$625,"",(1000*tech_proj!Q1057*(-PMT($J$110,tech_base!$F93,1))+1000*tech_proj!Q1337)/((1-tech_proj!Q497)*tech_proj!Q777*$L$110))</f>
        <v/>
      </c>
      <c r="R717" s="71" t="str">
        <f>IF(tech_base!$T93&gt;R$625,"",(1000*tech_proj!R1057*(-PMT($J$110,tech_base!$F93,1))+1000*tech_proj!R1337)/((1-tech_proj!R497)*tech_proj!R777*$L$110))</f>
        <v/>
      </c>
      <c r="S717" s="71" t="str">
        <f>IF(tech_base!$T93&gt;S$625,"",(1000*tech_proj!S1057*(-PMT($J$110,tech_base!$F93,1))+1000*tech_proj!S1337)/((1-tech_proj!S497)*tech_proj!S777*$L$110))</f>
        <v/>
      </c>
      <c r="T717" s="71" t="str">
        <f>IF(tech_base!$T93&gt;T$625,"",(1000*tech_proj!T1057*(-PMT($J$110,tech_base!$F93,1))+1000*tech_proj!T1337)/((1-tech_proj!T497)*tech_proj!T777*$L$110))</f>
        <v/>
      </c>
      <c r="U717" s="71" t="str">
        <f>IF(tech_base!$T93&gt;U$625,"",(1000*tech_proj!U1057*(-PMT($J$110,tech_base!$F93,1))+1000*tech_proj!U1337)/((1-tech_proj!U497)*tech_proj!U777*$L$110))</f>
        <v/>
      </c>
      <c r="V717" s="71" t="str">
        <f>IF(tech_base!$T93&gt;V$625,"",(1000*tech_proj!V1057*(-PMT($J$110,tech_base!$F93,1))+1000*tech_proj!V1337)/((1-tech_proj!V497)*tech_proj!V777*$L$110))</f>
        <v/>
      </c>
      <c r="W717" s="71" t="str">
        <f>IF(tech_base!$T93&gt;W$625,"",(1000*tech_proj!W1057*(-PMT($J$110,tech_base!$F93,1))+1000*tech_proj!W1337)/((1-tech_proj!W497)*tech_proj!W777*$L$110))</f>
        <v/>
      </c>
      <c r="X717" s="71" t="str">
        <f>IF(tech_base!$T93&gt;X$625,"",(1000*tech_proj!X1057*(-PMT($J$110,tech_base!$F93,1))+1000*tech_proj!X1337)/((1-tech_proj!X497)*tech_proj!X777*$L$110))</f>
        <v/>
      </c>
      <c r="Y717" s="71" t="str">
        <f>IF(tech_base!$T93&gt;Y$625,"",(1000*tech_proj!Y1057*(-PMT($J$110,tech_base!$F93,1))+1000*tech_proj!Y1337)/((1-tech_proj!Y497)*tech_proj!Y777*$L$110))</f>
        <v/>
      </c>
      <c r="Z717" s="71" t="str">
        <f>IF(tech_base!$T93&gt;Z$625,"",(1000*tech_proj!Z1057*(-PMT($J$110,tech_base!$F93,1))+1000*tech_proj!Z1337)/((1-tech_proj!Z497)*tech_proj!Z777*$L$110))</f>
        <v/>
      </c>
      <c r="AA717" s="71" t="str">
        <f>IF(tech_base!$T93&gt;AA$625,"",(1000*tech_proj!AA1057*(-PMT($J$110,tech_base!$F93,1))+1000*tech_proj!AA1337)/((1-tech_proj!AA497)*tech_proj!AA777*$L$110))</f>
        <v/>
      </c>
      <c r="AB717" s="71" t="str">
        <f>IF(tech_base!$T93&gt;AB$625,"",(1000*tech_proj!AB1057*(-PMT($J$110,tech_base!$F93,1))+1000*tech_proj!AB1337)/((1-tech_proj!AB497)*tech_proj!AB777*$L$110))</f>
        <v/>
      </c>
      <c r="AC717" s="71" t="str">
        <f>IF(tech_base!$T93&gt;AC$625,"",(1000*tech_proj!AC1057*(-PMT($J$110,tech_base!$F93,1))+1000*tech_proj!AC1337)/((1-tech_proj!AC497)*tech_proj!AC777*$L$110))</f>
        <v/>
      </c>
      <c r="AD717" s="71" t="str">
        <f>IF(tech_base!$T93&gt;AD$625,"",(1000*tech_proj!AD1057*(-PMT($J$110,tech_base!$F93,1))+1000*tech_proj!AD1337)/((1-tech_proj!AD497)*tech_proj!AD777*$L$110))</f>
        <v/>
      </c>
      <c r="AE717" s="71">
        <f>IF(tech_base!$T93&gt;AE$625,"",(1000*tech_proj!AE1057*(-PMT($J$110,tech_base!$F93,1))+1000*tech_proj!AE1337)/((1-tech_proj!AE497)*tech_proj!AE777*$L$110))</f>
        <v>58.308271779956272</v>
      </c>
      <c r="AF717" s="71">
        <f>IF(tech_base!$T93&gt;AF$625,"",(1000*tech_proj!AF1057*(-PMT($J$110,tech_base!$F93,1))+1000*tech_proj!AF1337)/((1-tech_proj!AF497)*tech_proj!AF777*$L$110))</f>
        <v>58.282779382322708</v>
      </c>
      <c r="AG717" s="71">
        <f>IF(tech_base!$T93&gt;AG$625,"",(1000*tech_proj!AG1057*(-PMT($J$110,tech_base!$F93,1))+1000*tech_proj!AG1337)/((1-tech_proj!AG497)*tech_proj!AG777*$L$110))</f>
        <v>58.250133871858523</v>
      </c>
      <c r="AH717" s="71">
        <f>IF(tech_base!$T93&gt;AH$625,"",(1000*tech_proj!AH1057*(-PMT($J$110,tech_base!$F93,1))+1000*tech_proj!AH1337)/((1-tech_proj!AH497)*tech_proj!AH777*$L$110))</f>
        <v>58.208359659365414</v>
      </c>
      <c r="AI717" s="71">
        <f>IF(tech_base!$T93&gt;AI$625,"",(1000*tech_proj!AI1057*(-PMT($J$110,tech_base!$F93,1))+1000*tech_proj!AI1337)/((1-tech_proj!AI497)*tech_proj!AI777*$L$110))</f>
        <v>58.154955747186854</v>
      </c>
      <c r="AJ717" s="71">
        <f>IF(tech_base!$T93&gt;AJ$625,"",(1000*tech_proj!AJ1057*(-PMT($J$110,tech_base!$F93,1))+1000*tech_proj!AJ1337)/((1-tech_proj!AJ497)*tech_proj!AJ777*$L$110))</f>
        <v>58.086768931193994</v>
      </c>
      <c r="AK717" s="71">
        <f>IF(tech_base!$T93&gt;AK$625,"",(1000*tech_proj!AK1057*(-PMT($J$110,tech_base!$F93,1))+1000*tech_proj!AK1337)/((1-tech_proj!AK497)*tech_proj!AK777*$L$110))</f>
        <v>57.999844743410456</v>
      </c>
      <c r="AL717" s="71">
        <f>IF(tech_base!$T93&gt;AL$625,"",(1000*tech_proj!AL1057*(-PMT($J$110,tech_base!$F93,1))+1000*tech_proj!AL1337)/((1-tech_proj!AL497)*tech_proj!AL777*$L$110))</f>
        <v>57.889257883112272</v>
      </c>
      <c r="AM717" s="71">
        <f>IF(tech_base!$T93&gt;AM$625,"",(1000*tech_proj!AM1057*(-PMT($J$110,tech_base!$F93,1))+1000*tech_proj!AM1337)/((1-tech_proj!AM497)*tech_proj!AM777*$L$110))</f>
        <v>57.748928725419987</v>
      </c>
      <c r="AN717" s="71">
        <f>IF(tech_base!$T93&gt;AN$625,"",(1000*tech_proj!AN1057*(-PMT($J$110,tech_base!$F93,1))+1000*tech_proj!AN1337)/((1-tech_proj!AN497)*tech_proj!AN777*$L$110))</f>
        <v>57.571440636795337</v>
      </c>
      <c r="AO717" s="71">
        <f>IF(tech_base!$T93&gt;AO$625,"",(1000*tech_proj!AO1057*(-PMT($J$110,tech_base!$F93,1))+1000*tech_proj!AO1337)/((1-tech_proj!AO497)*tech_proj!AO777*$L$110))</f>
        <v>57.347885610322173</v>
      </c>
      <c r="AP717" s="71">
        <f>IF(tech_base!$T93&gt;AP$625,"",(1000*tech_proj!AP1057*(-PMT($J$110,tech_base!$F93,1))+1000*tech_proj!AP1337)/((1-tech_proj!AP497)*tech_proj!AP777*$L$110))</f>
        <v>57.06778444654973</v>
      </c>
      <c r="AQ717" s="71">
        <f>IF(tech_base!$T93&gt;AQ$625,"",(1000*tech_proj!AQ1057*(-PMT($J$110,tech_base!$F93,1))+1000*tech_proj!AQ1337)/((1-tech_proj!AQ497)*tech_proj!AQ777*$L$110))</f>
        <v>56.719152823043302</v>
      </c>
      <c r="AR717" s="71">
        <f>IF(tech_base!$T93&gt;AR$625,"",(1000*tech_proj!AR1057*(-PMT($J$110,tech_base!$F93,1))+1000*tech_proj!AR1337)/((1-tech_proj!AR497)*tech_proj!AR777*$L$110))</f>
        <v>56.288814247201294</v>
      </c>
      <c r="AS717" s="71">
        <f>IF(tech_base!$T93&gt;AS$625,"",(1000*tech_proj!AS1057*(-PMT($J$110,tech_base!$F93,1))+1000*tech_proj!AS1337)/((1-tech_proj!AS497)*tech_proj!AS777*$L$110))</f>
        <v>55.763088277824679</v>
      </c>
      <c r="AT717" s="71">
        <f>IF(tech_base!$T93&gt;AT$625,"",(1000*tech_proj!AT1057*(-PMT($J$110,tech_base!$F93,1))+1000*tech_proj!AT1337)/((1-tech_proj!AT497)*tech_proj!AT777*$L$110))</f>
        <v>55.128992415782754</v>
      </c>
      <c r="AU717" s="71">
        <f>IF(tech_base!$T93&gt;AU$625,"",(1000*tech_proj!AU1057*(-PMT($J$110,tech_base!$F93,1))+1000*tech_proj!AU1337)/((1-tech_proj!AU497)*tech_proj!AU777*$L$110))</f>
        <v>54.376062675367905</v>
      </c>
      <c r="AV717" s="71">
        <f>IF(tech_base!$T93&gt;AV$625,"",(1000*tech_proj!AV1057*(-PMT($J$110,tech_base!$F93,1))+1000*tech_proj!AV1337)/((1-tech_proj!AV497)*tech_proj!AV777*$L$110))</f>
        <v>53.49878656262262</v>
      </c>
      <c r="AW717" s="71">
        <f>IF(tech_base!$T93&gt;AW$625,"",(1000*tech_proj!AW1057*(-PMT($J$110,tech_base!$F93,1))+1000*tech_proj!AW1337)/((1-tech_proj!AW497)*tech_proj!AW777*$L$110))</f>
        <v>52.499424577956816</v>
      </c>
      <c r="AX717" s="237">
        <f>IF(tech_base!$T93&gt;AX$625,"",(1000*tech_proj!AX1057*(-PMT($J$110,tech_base!$F93,1))+1000*tech_proj!AX1337)/((1-tech_proj!AX497)*tech_proj!AX777*$L$110))</f>
        <v>51.390682547532151</v>
      </c>
      <c r="AY717" s="133"/>
    </row>
    <row r="718" spans="1:51" s="174" customFormat="1" x14ac:dyDescent="0.25">
      <c r="A718" s="356"/>
      <c r="B718" s="376"/>
      <c r="C718" s="379"/>
      <c r="D718" s="59" t="s">
        <v>8</v>
      </c>
      <c r="E718" s="166" t="str">
        <f>A709&amp;"/"&amp;B709&amp;"/"&amp;C717&amp;"/"&amp;D718</f>
        <v>Gas fired power plants (Natural gas, biogas)/Gas turbine combined cycle/Electricity only with CCS/M</v>
      </c>
      <c r="F718" s="79" t="str">
        <f>A709</f>
        <v>Gas fired power plants (Natural gas, biogas)</v>
      </c>
      <c r="G718" s="79" t="str">
        <f>B709</f>
        <v>Gas turbine combined cycle</v>
      </c>
      <c r="H718" s="79" t="str">
        <f>C717</f>
        <v>Electricity only with CCS</v>
      </c>
      <c r="I718" s="167" t="str">
        <f t="shared" si="363"/>
        <v>M</v>
      </c>
      <c r="J718" s="72" t="str">
        <f>IF(tech_base!$T94&gt;J$625,"",(1000*tech_proj!J1058*(-PMT($J$110,tech_base!$F94,1))+1000*tech_proj!J1338)/((1-tech_proj!J498)*tech_proj!J778*$L$110))</f>
        <v/>
      </c>
      <c r="K718" s="72" t="str">
        <f>IF(tech_base!$T94&gt;K$625,"",(1000*tech_proj!K1058*(-PMT($J$110,tech_base!$F94,1))+1000*tech_proj!K1338)/((1-tech_proj!K498)*tech_proj!K778*$L$110))</f>
        <v/>
      </c>
      <c r="L718" s="72" t="str">
        <f>IF(tech_base!$T94&gt;L$625,"",(1000*tech_proj!L1058*(-PMT($J$110,tech_base!$F94,1))+1000*tech_proj!L1338)/((1-tech_proj!L498)*tech_proj!L778*$L$110))</f>
        <v/>
      </c>
      <c r="M718" s="72" t="str">
        <f>IF(tech_base!$T94&gt;M$625,"",(1000*tech_proj!M1058*(-PMT($J$110,tech_base!$F94,1))+1000*tech_proj!M1338)/((1-tech_proj!M498)*tech_proj!M778*$L$110))</f>
        <v/>
      </c>
      <c r="N718" s="72" t="str">
        <f>IF(tech_base!$T94&gt;N$625,"",(1000*tech_proj!N1058*(-PMT($J$110,tech_base!$F94,1))+1000*tech_proj!N1338)/((1-tech_proj!N498)*tech_proj!N778*$L$110))</f>
        <v/>
      </c>
      <c r="O718" s="72" t="str">
        <f>IF(tech_base!$T94&gt;O$625,"",(1000*tech_proj!O1058*(-PMT($J$110,tech_base!$F94,1))+1000*tech_proj!O1338)/((1-tech_proj!O498)*tech_proj!O778*$L$110))</f>
        <v/>
      </c>
      <c r="P718" s="72" t="str">
        <f>IF(tech_base!$T94&gt;P$625,"",(1000*tech_proj!P1058*(-PMT($J$110,tech_base!$F94,1))+1000*tech_proj!P1338)/((1-tech_proj!P498)*tech_proj!P778*$L$110))</f>
        <v/>
      </c>
      <c r="Q718" s="72" t="str">
        <f>IF(tech_base!$T94&gt;Q$625,"",(1000*tech_proj!Q1058*(-PMT($J$110,tech_base!$F94,1))+1000*tech_proj!Q1338)/((1-tech_proj!Q498)*tech_proj!Q778*$L$110))</f>
        <v/>
      </c>
      <c r="R718" s="72" t="str">
        <f>IF(tech_base!$T94&gt;R$625,"",(1000*tech_proj!R1058*(-PMT($J$110,tech_base!$F94,1))+1000*tech_proj!R1338)/((1-tech_proj!R498)*tech_proj!R778*$L$110))</f>
        <v/>
      </c>
      <c r="S718" s="72" t="str">
        <f>IF(tech_base!$T94&gt;S$625,"",(1000*tech_proj!S1058*(-PMT($J$110,tech_base!$F94,1))+1000*tech_proj!S1338)/((1-tech_proj!S498)*tech_proj!S778*$L$110))</f>
        <v/>
      </c>
      <c r="T718" s="72" t="str">
        <f>IF(tech_base!$T94&gt;T$625,"",(1000*tech_proj!T1058*(-PMT($J$110,tech_base!$F94,1))+1000*tech_proj!T1338)/((1-tech_proj!T498)*tech_proj!T778*$L$110))</f>
        <v/>
      </c>
      <c r="U718" s="72" t="str">
        <f>IF(tech_base!$T94&gt;U$625,"",(1000*tech_proj!U1058*(-PMT($J$110,tech_base!$F94,1))+1000*tech_proj!U1338)/((1-tech_proj!U498)*tech_proj!U778*$L$110))</f>
        <v/>
      </c>
      <c r="V718" s="72" t="str">
        <f>IF(tech_base!$T94&gt;V$625,"",(1000*tech_proj!V1058*(-PMT($J$110,tech_base!$F94,1))+1000*tech_proj!V1338)/((1-tech_proj!V498)*tech_proj!V778*$L$110))</f>
        <v/>
      </c>
      <c r="W718" s="72" t="str">
        <f>IF(tech_base!$T94&gt;W$625,"",(1000*tech_proj!W1058*(-PMT($J$110,tech_base!$F94,1))+1000*tech_proj!W1338)/((1-tech_proj!W498)*tech_proj!W778*$L$110))</f>
        <v/>
      </c>
      <c r="X718" s="72" t="str">
        <f>IF(tech_base!$T94&gt;X$625,"",(1000*tech_proj!X1058*(-PMT($J$110,tech_base!$F94,1))+1000*tech_proj!X1338)/((1-tech_proj!X498)*tech_proj!X778*$L$110))</f>
        <v/>
      </c>
      <c r="Y718" s="72" t="str">
        <f>IF(tech_base!$T94&gt;Y$625,"",(1000*tech_proj!Y1058*(-PMT($J$110,tech_base!$F94,1))+1000*tech_proj!Y1338)/((1-tech_proj!Y498)*tech_proj!Y778*$L$110))</f>
        <v/>
      </c>
      <c r="Z718" s="72" t="str">
        <f>IF(tech_base!$T94&gt;Z$625,"",(1000*tech_proj!Z1058*(-PMT($J$110,tech_base!$F94,1))+1000*tech_proj!Z1338)/((1-tech_proj!Z498)*tech_proj!Z778*$L$110))</f>
        <v/>
      </c>
      <c r="AA718" s="72" t="str">
        <f>IF(tech_base!$T94&gt;AA$625,"",(1000*tech_proj!AA1058*(-PMT($J$110,tech_base!$F94,1))+1000*tech_proj!AA1338)/((1-tech_proj!AA498)*tech_proj!AA778*$L$110))</f>
        <v/>
      </c>
      <c r="AB718" s="72" t="str">
        <f>IF(tech_base!$T94&gt;AB$625,"",(1000*tech_proj!AB1058*(-PMT($J$110,tech_base!$F94,1))+1000*tech_proj!AB1338)/((1-tech_proj!AB498)*tech_proj!AB778*$L$110))</f>
        <v/>
      </c>
      <c r="AC718" s="72" t="str">
        <f>IF(tech_base!$T94&gt;AC$625,"",(1000*tech_proj!AC1058*(-PMT($J$110,tech_base!$F94,1))+1000*tech_proj!AC1338)/((1-tech_proj!AC498)*tech_proj!AC778*$L$110))</f>
        <v/>
      </c>
      <c r="AD718" s="72" t="str">
        <f>IF(tech_base!$T94&gt;AD$625,"",(1000*tech_proj!AD1058*(-PMT($J$110,tech_base!$F94,1))+1000*tech_proj!AD1338)/((1-tech_proj!AD498)*tech_proj!AD778*$L$110))</f>
        <v/>
      </c>
      <c r="AE718" s="72">
        <f>IF(tech_base!$T94&gt;AE$625,"",(1000*tech_proj!AE1058*(-PMT($J$110,tech_base!$F94,1))+1000*tech_proj!AE1338)/((1-tech_proj!AE498)*tech_proj!AE778*$L$110))</f>
        <v>72.075793945611096</v>
      </c>
      <c r="AF718" s="72">
        <f>IF(tech_base!$T94&gt;AF$625,"",(1000*tech_proj!AF1058*(-PMT($J$110,tech_base!$F94,1))+1000*tech_proj!AF1338)/((1-tech_proj!AF498)*tech_proj!AF778*$L$110))</f>
        <v>72.046912070409292</v>
      </c>
      <c r="AG718" s="72">
        <f>IF(tech_base!$T94&gt;AG$625,"",(1000*tech_proj!AG1058*(-PMT($J$110,tech_base!$F94,1))+1000*tech_proj!AG1338)/((1-tech_proj!AG498)*tech_proj!AG778*$L$110))</f>
        <v>72.009926002143814</v>
      </c>
      <c r="AH718" s="72">
        <f>IF(tech_base!$T94&gt;AH$625,"",(1000*tech_proj!AH1058*(-PMT($J$110,tech_base!$F94,1))+1000*tech_proj!AH1338)/((1-tech_proj!AH498)*tech_proj!AH778*$L$110))</f>
        <v>71.962597476627195</v>
      </c>
      <c r="AI718" s="72">
        <f>IF(tech_base!$T94&gt;AI$625,"",(1000*tech_proj!AI1058*(-PMT($J$110,tech_base!$F94,1))+1000*tech_proj!AI1338)/((1-tech_proj!AI498)*tech_proj!AI778*$L$110))</f>
        <v>71.902092962732496</v>
      </c>
      <c r="AJ718" s="72">
        <f>IF(tech_base!$T94&gt;AJ$625,"",(1000*tech_proj!AJ1058*(-PMT($J$110,tech_base!$F94,1))+1000*tech_proj!AJ1338)/((1-tech_proj!AJ498)*tech_proj!AJ778*$L$110))</f>
        <v>71.824840005273487</v>
      </c>
      <c r="AK718" s="72">
        <f>IF(tech_base!$T94&gt;AK$625,"",(1000*tech_proj!AK1058*(-PMT($J$110,tech_base!$F94,1))+1000*tech_proj!AK1338)/((1-tech_proj!AK498)*tech_proj!AK778*$L$110))</f>
        <v>71.726358348911887</v>
      </c>
      <c r="AL718" s="72">
        <f>IF(tech_base!$T94&gt;AL$625,"",(1000*tech_proj!AL1058*(-PMT($J$110,tech_base!$F94,1))+1000*tech_proj!AL1338)/((1-tech_proj!AL498)*tech_proj!AL778*$L$110))</f>
        <v>71.601067823320591</v>
      </c>
      <c r="AM718" s="72">
        <f>IF(tech_base!$T94&gt;AM$625,"",(1000*tech_proj!AM1058*(-PMT($J$110,tech_base!$F94,1))+1000*tech_proj!AM1338)/((1-tech_proj!AM498)*tech_proj!AM778*$L$110))</f>
        <v>71.442080454697944</v>
      </c>
      <c r="AN718" s="72">
        <f>IF(tech_base!$T94&gt;AN$625,"",(1000*tech_proj!AN1058*(-PMT($J$110,tech_base!$F94,1))+1000*tech_proj!AN1338)/((1-tech_proj!AN498)*tech_proj!AN778*$L$110))</f>
        <v>71.240993491472722</v>
      </c>
      <c r="AO718" s="72">
        <f>IF(tech_base!$T94&gt;AO$625,"",(1000*tech_proj!AO1058*(-PMT($J$110,tech_base!$F94,1))+1000*tech_proj!AO1338)/((1-tech_proj!AO498)*tech_proj!AO778*$L$110))</f>
        <v>70.987714515201247</v>
      </c>
      <c r="AP718" s="72">
        <f>IF(tech_base!$T94&gt;AP$625,"",(1000*tech_proj!AP1058*(-PMT($J$110,tech_base!$F94,1))+1000*tech_proj!AP1338)/((1-tech_proj!AP498)*tech_proj!AP778*$L$110))</f>
        <v>70.670371008629559</v>
      </c>
      <c r="AQ718" s="72">
        <f>IF(tech_base!$T94&gt;AQ$625,"",(1000*tech_proj!AQ1058*(-PMT($J$110,tech_base!$F94,1))+1000*tech_proj!AQ1338)/((1-tech_proj!AQ498)*tech_proj!AQ778*$L$110))</f>
        <v>70.275385209872923</v>
      </c>
      <c r="AR718" s="72">
        <f>IF(tech_base!$T94&gt;AR$625,"",(1000*tech_proj!AR1058*(-PMT($J$110,tech_base!$F94,1))+1000*tech_proj!AR1338)/((1-tech_proj!AR498)*tech_proj!AR778*$L$110))</f>
        <v>69.787828675542627</v>
      </c>
      <c r="AS718" s="72">
        <f>IF(tech_base!$T94&gt;AS$625,"",(1000*tech_proj!AS1058*(-PMT($J$110,tech_base!$F94,1))+1000*tech_proj!AS1338)/((1-tech_proj!AS498)*tech_proj!AS778*$L$110))</f>
        <v>69.192202008481289</v>
      </c>
      <c r="AT718" s="72">
        <f>IF(tech_base!$T94&gt;AT$625,"",(1000*tech_proj!AT1058*(-PMT($J$110,tech_base!$F94,1))+1000*tech_proj!AT1338)/((1-tech_proj!AT498)*tech_proj!AT778*$L$110))</f>
        <v>68.473796552206665</v>
      </c>
      <c r="AU718" s="72">
        <f>IF(tech_base!$T94&gt;AU$625,"",(1000*tech_proj!AU1058*(-PMT($J$110,tech_base!$F94,1))+1000*tech_proj!AU1338)/((1-tech_proj!AU498)*tech_proj!AU778*$L$110))</f>
        <v>67.62075702603218</v>
      </c>
      <c r="AV718" s="72">
        <f>IF(tech_base!$T94&gt;AV$625,"",(1000*tech_proj!AV1058*(-PMT($J$110,tech_base!$F94,1))+1000*tech_proj!AV1338)/((1-tech_proj!AV498)*tech_proj!AV778*$L$110))</f>
        <v>66.626837992991838</v>
      </c>
      <c r="AW718" s="72">
        <f>IF(tech_base!$T94&gt;AW$625,"",(1000*tech_proj!AW1058*(-PMT($J$110,tech_base!$F94,1))+1000*tech_proj!AW1338)/((1-tech_proj!AW498)*tech_proj!AW778*$L$110))</f>
        <v>65.494600510373019</v>
      </c>
      <c r="AX718" s="238">
        <f>IF(tech_base!$T94&gt;AX$625,"",(1000*tech_proj!AX1058*(-PMT($J$110,tech_base!$F94,1))+1000*tech_proj!AX1338)/((1-tech_proj!AX498)*tech_proj!AX778*$L$110))</f>
        <v>64.238439775160074</v>
      </c>
      <c r="AY718" s="133"/>
    </row>
    <row r="719" spans="1:51" s="174" customFormat="1" x14ac:dyDescent="0.25">
      <c r="A719" s="356"/>
      <c r="B719" s="376"/>
      <c r="C719" s="361" t="s">
        <v>16</v>
      </c>
      <c r="D719" s="2" t="s">
        <v>7</v>
      </c>
      <c r="E719" s="160" t="str">
        <f>A709&amp;"/"&amp;B709&amp;"/"&amp;C719&amp;"/"&amp;D719</f>
        <v>Gas fired power plants (Natural gas, biogas)/Gas turbine combined cycle/CHP with CCS/L</v>
      </c>
      <c r="F719" s="76" t="str">
        <f>A709</f>
        <v>Gas fired power plants (Natural gas, biogas)</v>
      </c>
      <c r="G719" s="76" t="str">
        <f>B709</f>
        <v>Gas turbine combined cycle</v>
      </c>
      <c r="H719" s="76" t="str">
        <f>C719</f>
        <v>CHP with CCS</v>
      </c>
      <c r="I719" s="161" t="str">
        <f t="shared" si="363"/>
        <v>L</v>
      </c>
      <c r="J719" s="69" t="str">
        <f>IF(tech_base!$T95&gt;J$625,"",(1000*tech_proj!J1059*(-PMT($J$110,tech_base!$F95,1))+1000*tech_proj!J1339)/((1-tech_proj!J499)*tech_proj!J779*$L$110))</f>
        <v/>
      </c>
      <c r="K719" s="69" t="str">
        <f>IF(tech_base!$T95&gt;K$625,"",(1000*tech_proj!K1059*(-PMT($J$110,tech_base!$F95,1))+1000*tech_proj!K1339)/((1-tech_proj!K499)*tech_proj!K779*$L$110))</f>
        <v/>
      </c>
      <c r="L719" s="69" t="str">
        <f>IF(tech_base!$T95&gt;L$625,"",(1000*tech_proj!L1059*(-PMT($J$110,tech_base!$F95,1))+1000*tech_proj!L1339)/((1-tech_proj!L499)*tech_proj!L779*$L$110))</f>
        <v/>
      </c>
      <c r="M719" s="69" t="str">
        <f>IF(tech_base!$T95&gt;M$625,"",(1000*tech_proj!M1059*(-PMT($J$110,tech_base!$F95,1))+1000*tech_proj!M1339)/((1-tech_proj!M499)*tech_proj!M779*$L$110))</f>
        <v/>
      </c>
      <c r="N719" s="69" t="str">
        <f>IF(tech_base!$T95&gt;N$625,"",(1000*tech_proj!N1059*(-PMT($J$110,tech_base!$F95,1))+1000*tech_proj!N1339)/((1-tech_proj!N499)*tech_proj!N779*$L$110))</f>
        <v/>
      </c>
      <c r="O719" s="69" t="str">
        <f>IF(tech_base!$T95&gt;O$625,"",(1000*tech_proj!O1059*(-PMT($J$110,tech_base!$F95,1))+1000*tech_proj!O1339)/((1-tech_proj!O499)*tech_proj!O779*$L$110))</f>
        <v/>
      </c>
      <c r="P719" s="69" t="str">
        <f>IF(tech_base!$T95&gt;P$625,"",(1000*tech_proj!P1059*(-PMT($J$110,tech_base!$F95,1))+1000*tech_proj!P1339)/((1-tech_proj!P499)*tech_proj!P779*$L$110))</f>
        <v/>
      </c>
      <c r="Q719" s="69" t="str">
        <f>IF(tech_base!$T95&gt;Q$625,"",(1000*tech_proj!Q1059*(-PMT($J$110,tech_base!$F95,1))+1000*tech_proj!Q1339)/((1-tech_proj!Q499)*tech_proj!Q779*$L$110))</f>
        <v/>
      </c>
      <c r="R719" s="69" t="str">
        <f>IF(tech_base!$T95&gt;R$625,"",(1000*tech_proj!R1059*(-PMT($J$110,tech_base!$F95,1))+1000*tech_proj!R1339)/((1-tech_proj!R499)*tech_proj!R779*$L$110))</f>
        <v/>
      </c>
      <c r="S719" s="69" t="str">
        <f>IF(tech_base!$T95&gt;S$625,"",(1000*tech_proj!S1059*(-PMT($J$110,tech_base!$F95,1))+1000*tech_proj!S1339)/((1-tech_proj!S499)*tech_proj!S779*$L$110))</f>
        <v/>
      </c>
      <c r="T719" s="69" t="str">
        <f>IF(tech_base!$T95&gt;T$625,"",(1000*tech_proj!T1059*(-PMT($J$110,tech_base!$F95,1))+1000*tech_proj!T1339)/((1-tech_proj!T499)*tech_proj!T779*$L$110))</f>
        <v/>
      </c>
      <c r="U719" s="69" t="str">
        <f>IF(tech_base!$T95&gt;U$625,"",(1000*tech_proj!U1059*(-PMT($J$110,tech_base!$F95,1))+1000*tech_proj!U1339)/((1-tech_proj!U499)*tech_proj!U779*$L$110))</f>
        <v/>
      </c>
      <c r="V719" s="69" t="str">
        <f>IF(tech_base!$T95&gt;V$625,"",(1000*tech_proj!V1059*(-PMT($J$110,tech_base!$F95,1))+1000*tech_proj!V1339)/((1-tech_proj!V499)*tech_proj!V779*$L$110))</f>
        <v/>
      </c>
      <c r="W719" s="69" t="str">
        <f>IF(tech_base!$T95&gt;W$625,"",(1000*tech_proj!W1059*(-PMT($J$110,tech_base!$F95,1))+1000*tech_proj!W1339)/((1-tech_proj!W499)*tech_proj!W779*$L$110))</f>
        <v/>
      </c>
      <c r="X719" s="69" t="str">
        <f>IF(tech_base!$T95&gt;X$625,"",(1000*tech_proj!X1059*(-PMT($J$110,tech_base!$F95,1))+1000*tech_proj!X1339)/((1-tech_proj!X499)*tech_proj!X779*$L$110))</f>
        <v/>
      </c>
      <c r="Y719" s="69" t="str">
        <f>IF(tech_base!$T95&gt;Y$625,"",(1000*tech_proj!Y1059*(-PMT($J$110,tech_base!$F95,1))+1000*tech_proj!Y1339)/((1-tech_proj!Y499)*tech_proj!Y779*$L$110))</f>
        <v/>
      </c>
      <c r="Z719" s="69" t="str">
        <f>IF(tech_base!$T95&gt;Z$625,"",(1000*tech_proj!Z1059*(-PMT($J$110,tech_base!$F95,1))+1000*tech_proj!Z1339)/((1-tech_proj!Z499)*tech_proj!Z779*$L$110))</f>
        <v/>
      </c>
      <c r="AA719" s="69" t="str">
        <f>IF(tech_base!$T95&gt;AA$625,"",(1000*tech_proj!AA1059*(-PMT($J$110,tech_base!$F95,1))+1000*tech_proj!AA1339)/((1-tech_proj!AA499)*tech_proj!AA779*$L$110))</f>
        <v/>
      </c>
      <c r="AB719" s="69" t="str">
        <f>IF(tech_base!$T95&gt;AB$625,"",(1000*tech_proj!AB1059*(-PMT($J$110,tech_base!$F95,1))+1000*tech_proj!AB1339)/((1-tech_proj!AB499)*tech_proj!AB779*$L$110))</f>
        <v/>
      </c>
      <c r="AC719" s="69" t="str">
        <f>IF(tech_base!$T95&gt;AC$625,"",(1000*tech_proj!AC1059*(-PMT($J$110,tech_base!$F95,1))+1000*tech_proj!AC1339)/((1-tech_proj!AC499)*tech_proj!AC779*$L$110))</f>
        <v/>
      </c>
      <c r="AD719" s="69" t="str">
        <f>IF(tech_base!$T95&gt;AD$625,"",(1000*tech_proj!AD1059*(-PMT($J$110,tech_base!$F95,1))+1000*tech_proj!AD1339)/((1-tech_proj!AD499)*tech_proj!AD779*$L$110))</f>
        <v/>
      </c>
      <c r="AE719" s="69">
        <f>IF(tech_base!$T95&gt;AE$625,"",(1000*tech_proj!AE1059*(-PMT($J$110,tech_base!$F95,1))+1000*tech_proj!AE1339)/((1-tech_proj!AE499)*tech_proj!AE779*$L$110))</f>
        <v>70.98227854478246</v>
      </c>
      <c r="AF719" s="69">
        <f>IF(tech_base!$T95&gt;AF$625,"",(1000*tech_proj!AF1059*(-PMT($J$110,tech_base!$F95,1))+1000*tech_proj!AF1339)/((1-tech_proj!AF499)*tech_proj!AF779*$L$110))</f>
        <v>70.958596144549801</v>
      </c>
      <c r="AG719" s="69">
        <f>IF(tech_base!$T95&gt;AG$625,"",(1000*tech_proj!AG1059*(-PMT($J$110,tech_base!$F95,1))+1000*tech_proj!AG1339)/((1-tech_proj!AG499)*tech_proj!AG779*$L$110))</f>
        <v>70.928257000958666</v>
      </c>
      <c r="AH719" s="69">
        <f>IF(tech_base!$T95&gt;AH$625,"",(1000*tech_proj!AH1059*(-PMT($J$110,tech_base!$F95,1))+1000*tech_proj!AH1339)/((1-tech_proj!AH499)*tech_proj!AH779*$L$110))</f>
        <v>70.889415199363981</v>
      </c>
      <c r="AI719" s="69">
        <f>IF(tech_base!$T95&gt;AI$625,"",(1000*tech_proj!AI1059*(-PMT($J$110,tech_base!$F95,1))+1000*tech_proj!AI1339)/((1-tech_proj!AI499)*tech_proj!AI779*$L$110))</f>
        <v>70.839729116684538</v>
      </c>
      <c r="AJ719" s="69">
        <f>IF(tech_base!$T95&gt;AJ$625,"",(1000*tech_proj!AJ1059*(-PMT($J$110,tech_base!$F95,1))+1000*tech_proj!AJ1339)/((1-tech_proj!AJ499)*tech_proj!AJ779*$L$110))</f>
        <v>70.77623865591751</v>
      </c>
      <c r="AK719" s="69">
        <f>IF(tech_base!$T95&gt;AK$625,"",(1000*tech_proj!AK1059*(-PMT($J$110,tech_base!$F95,1))+1000*tech_proj!AK1339)/((1-tech_proj!AK499)*tech_proj!AK779*$L$110))</f>
        <v>70.69521875048666</v>
      </c>
      <c r="AL719" s="69">
        <f>IF(tech_base!$T95&gt;AL$625,"",(1000*tech_proj!AL1059*(-PMT($J$110,tech_base!$F95,1))+1000*tech_proj!AL1339)/((1-tech_proj!AL499)*tech_proj!AL779*$L$110))</f>
        <v>70.59200902507564</v>
      </c>
      <c r="AM719" s="69">
        <f>IF(tech_base!$T95&gt;AM$625,"",(1000*tech_proj!AM1059*(-PMT($J$110,tech_base!$F95,1))+1000*tech_proj!AM1339)/((1-tech_proj!AM499)*tech_proj!AM779*$L$110))</f>
        <v>70.460823135331779</v>
      </c>
      <c r="AN719" s="69">
        <f>IF(tech_base!$T95&gt;AN$625,"",(1000*tech_proj!AN1059*(-PMT($J$110,tech_base!$F95,1))+1000*tech_proj!AN1339)/((1-tech_proj!AN499)*tech_proj!AN779*$L$110))</f>
        <v>70.294547714207596</v>
      </c>
      <c r="AO719" s="69">
        <f>IF(tech_base!$T95&gt;AO$625,"",(1000*tech_proj!AO1059*(-PMT($J$110,tech_base!$F95,1))+1000*tech_proj!AO1339)/((1-tech_proj!AO499)*tech_proj!AO779*$L$110))</f>
        <v>70.084551322442735</v>
      </c>
      <c r="AP719" s="69">
        <f>IF(tech_base!$T95&gt;AP$625,"",(1000*tech_proj!AP1059*(-PMT($J$110,tech_base!$F95,1))+1000*tech_proj!AP1339)/((1-tech_proj!AP499)*tech_proj!AP779*$L$110))</f>
        <v>69.82053978675286</v>
      </c>
      <c r="AQ719" s="69">
        <f>IF(tech_base!$T95&gt;AQ$625,"",(1000*tech_proj!AQ1059*(-PMT($J$110,tech_base!$F95,1))+1000*tech_proj!AQ1339)/((1-tech_proj!AQ499)*tech_proj!AQ779*$L$110))</f>
        <v>69.490516943783092</v>
      </c>
      <c r="AR719" s="69">
        <f>IF(tech_base!$T95&gt;AR$625,"",(1000*tech_proj!AR1059*(-PMT($J$110,tech_base!$F95,1))+1000*tech_proj!AR1339)/((1-tech_proj!AR499)*tech_proj!AR779*$L$110))</f>
        <v>69.080938807559448</v>
      </c>
      <c r="AS719" s="69">
        <f>IF(tech_base!$T95&gt;AS$625,"",(1000*tech_proj!AS1059*(-PMT($J$110,tech_base!$F95,1))+1000*tech_proj!AS1339)/((1-tech_proj!AS499)*tech_proj!AS779*$L$110))</f>
        <v>68.577180796747029</v>
      </c>
      <c r="AT719" s="69">
        <f>IF(tech_base!$T95&gt;AT$625,"",(1000*tech_proj!AT1059*(-PMT($J$110,tech_base!$F95,1))+1000*tech_proj!AT1339)/((1-tech_proj!AT499)*tech_proj!AT779*$L$110))</f>
        <v>67.964461560370836</v>
      </c>
      <c r="AU719" s="69">
        <f>IF(tech_base!$T95&gt;AU$625,"",(1000*tech_proj!AU1059*(-PMT($J$110,tech_base!$F95,1))+1000*tech_proj!AU1339)/((1-tech_proj!AU499)*tech_proj!AU779*$L$110))</f>
        <v>67.229362732294106</v>
      </c>
      <c r="AV719" s="69">
        <f>IF(tech_base!$T95&gt;AV$625,"",(1000*tech_proj!AV1059*(-PMT($J$110,tech_base!$F95,1))+1000*tech_proj!AV1339)/((1-tech_proj!AV499)*tech_proj!AV779*$L$110))</f>
        <v>66.362020076536183</v>
      </c>
      <c r="AW719" s="69">
        <f>IF(tech_base!$T95&gt;AW$625,"",(1000*tech_proj!AW1059*(-PMT($J$110,tech_base!$F95,1))+1000*tech_proj!AW1339)/((1-tech_proj!AW499)*tech_proj!AW779*$L$110))</f>
        <v>65.358902261026131</v>
      </c>
      <c r="AX719" s="235">
        <f>IF(tech_base!$T95&gt;AX$625,"",(1000*tech_proj!AX1059*(-PMT($J$110,tech_base!$F95,1))+1000*tech_proj!AX1339)/((1-tech_proj!AX499)*tech_proj!AX779*$L$110))</f>
        <v>64.225821668788825</v>
      </c>
      <c r="AY719" s="133"/>
    </row>
    <row r="720" spans="1:51" s="174" customFormat="1" x14ac:dyDescent="0.25">
      <c r="A720" s="356"/>
      <c r="B720" s="380"/>
      <c r="C720" s="381"/>
      <c r="D720" s="4" t="s">
        <v>8</v>
      </c>
      <c r="E720" s="168" t="str">
        <f>A709&amp;"/"&amp;B709&amp;"/"&amp;C719&amp;"/"&amp;D720</f>
        <v>Gas fired power plants (Natural gas, biogas)/Gas turbine combined cycle/CHP with CCS/M</v>
      </c>
      <c r="F720" s="80" t="str">
        <f>A709</f>
        <v>Gas fired power plants (Natural gas, biogas)</v>
      </c>
      <c r="G720" s="80" t="str">
        <f>B709</f>
        <v>Gas turbine combined cycle</v>
      </c>
      <c r="H720" s="80" t="str">
        <f>C719</f>
        <v>CHP with CCS</v>
      </c>
      <c r="I720" s="169" t="str">
        <f t="shared" si="363"/>
        <v>M</v>
      </c>
      <c r="J720" s="73" t="str">
        <f>IF(tech_base!$T96&gt;J$625,"",(1000*tech_proj!J1060*(-PMT($J$110,tech_base!$F96,1))+1000*tech_proj!J1340)/((1-tech_proj!J500)*tech_proj!J780*$L$110))</f>
        <v/>
      </c>
      <c r="K720" s="73" t="str">
        <f>IF(tech_base!$T96&gt;K$625,"",(1000*tech_proj!K1060*(-PMT($J$110,tech_base!$F96,1))+1000*tech_proj!K1340)/((1-tech_proj!K500)*tech_proj!K780*$L$110))</f>
        <v/>
      </c>
      <c r="L720" s="73" t="str">
        <f>IF(tech_base!$T96&gt;L$625,"",(1000*tech_proj!L1060*(-PMT($J$110,tech_base!$F96,1))+1000*tech_proj!L1340)/((1-tech_proj!L500)*tech_proj!L780*$L$110))</f>
        <v/>
      </c>
      <c r="M720" s="73" t="str">
        <f>IF(tech_base!$T96&gt;M$625,"",(1000*tech_proj!M1060*(-PMT($J$110,tech_base!$F96,1))+1000*tech_proj!M1340)/((1-tech_proj!M500)*tech_proj!M780*$L$110))</f>
        <v/>
      </c>
      <c r="N720" s="73" t="str">
        <f>IF(tech_base!$T96&gt;N$625,"",(1000*tech_proj!N1060*(-PMT($J$110,tech_base!$F96,1))+1000*tech_proj!N1340)/((1-tech_proj!N500)*tech_proj!N780*$L$110))</f>
        <v/>
      </c>
      <c r="O720" s="73" t="str">
        <f>IF(tech_base!$T96&gt;O$625,"",(1000*tech_proj!O1060*(-PMT($J$110,tech_base!$F96,1))+1000*tech_proj!O1340)/((1-tech_proj!O500)*tech_proj!O780*$L$110))</f>
        <v/>
      </c>
      <c r="P720" s="73" t="str">
        <f>IF(tech_base!$T96&gt;P$625,"",(1000*tech_proj!P1060*(-PMT($J$110,tech_base!$F96,1))+1000*tech_proj!P1340)/((1-tech_proj!P500)*tech_proj!P780*$L$110))</f>
        <v/>
      </c>
      <c r="Q720" s="73" t="str">
        <f>IF(tech_base!$T96&gt;Q$625,"",(1000*tech_proj!Q1060*(-PMT($J$110,tech_base!$F96,1))+1000*tech_proj!Q1340)/((1-tech_proj!Q500)*tech_proj!Q780*$L$110))</f>
        <v/>
      </c>
      <c r="R720" s="73" t="str">
        <f>IF(tech_base!$T96&gt;R$625,"",(1000*tech_proj!R1060*(-PMT($J$110,tech_base!$F96,1))+1000*tech_proj!R1340)/((1-tech_proj!R500)*tech_proj!R780*$L$110))</f>
        <v/>
      </c>
      <c r="S720" s="73" t="str">
        <f>IF(tech_base!$T96&gt;S$625,"",(1000*tech_proj!S1060*(-PMT($J$110,tech_base!$F96,1))+1000*tech_proj!S1340)/((1-tech_proj!S500)*tech_proj!S780*$L$110))</f>
        <v/>
      </c>
      <c r="T720" s="73" t="str">
        <f>IF(tech_base!$T96&gt;T$625,"",(1000*tech_proj!T1060*(-PMT($J$110,tech_base!$F96,1))+1000*tech_proj!T1340)/((1-tech_proj!T500)*tech_proj!T780*$L$110))</f>
        <v/>
      </c>
      <c r="U720" s="73" t="str">
        <f>IF(tech_base!$T96&gt;U$625,"",(1000*tech_proj!U1060*(-PMT($J$110,tech_base!$F96,1))+1000*tech_proj!U1340)/((1-tech_proj!U500)*tech_proj!U780*$L$110))</f>
        <v/>
      </c>
      <c r="V720" s="73" t="str">
        <f>IF(tech_base!$T96&gt;V$625,"",(1000*tech_proj!V1060*(-PMT($J$110,tech_base!$F96,1))+1000*tech_proj!V1340)/((1-tech_proj!V500)*tech_proj!V780*$L$110))</f>
        <v/>
      </c>
      <c r="W720" s="73" t="str">
        <f>IF(tech_base!$T96&gt;W$625,"",(1000*tech_proj!W1060*(-PMT($J$110,tech_base!$F96,1))+1000*tech_proj!W1340)/((1-tech_proj!W500)*tech_proj!W780*$L$110))</f>
        <v/>
      </c>
      <c r="X720" s="73" t="str">
        <f>IF(tech_base!$T96&gt;X$625,"",(1000*tech_proj!X1060*(-PMT($J$110,tech_base!$F96,1))+1000*tech_proj!X1340)/((1-tech_proj!X500)*tech_proj!X780*$L$110))</f>
        <v/>
      </c>
      <c r="Y720" s="73" t="str">
        <f>IF(tech_base!$T96&gt;Y$625,"",(1000*tech_proj!Y1060*(-PMT($J$110,tech_base!$F96,1))+1000*tech_proj!Y1340)/((1-tech_proj!Y500)*tech_proj!Y780*$L$110))</f>
        <v/>
      </c>
      <c r="Z720" s="73" t="str">
        <f>IF(tech_base!$T96&gt;Z$625,"",(1000*tech_proj!Z1060*(-PMT($J$110,tech_base!$F96,1))+1000*tech_proj!Z1340)/((1-tech_proj!Z500)*tech_proj!Z780*$L$110))</f>
        <v/>
      </c>
      <c r="AA720" s="73" t="str">
        <f>IF(tech_base!$T96&gt;AA$625,"",(1000*tech_proj!AA1060*(-PMT($J$110,tech_base!$F96,1))+1000*tech_proj!AA1340)/((1-tech_proj!AA500)*tech_proj!AA780*$L$110))</f>
        <v/>
      </c>
      <c r="AB720" s="73" t="str">
        <f>IF(tech_base!$T96&gt;AB$625,"",(1000*tech_proj!AB1060*(-PMT($J$110,tech_base!$F96,1))+1000*tech_proj!AB1340)/((1-tech_proj!AB500)*tech_proj!AB780*$L$110))</f>
        <v/>
      </c>
      <c r="AC720" s="73" t="str">
        <f>IF(tech_base!$T96&gt;AC$625,"",(1000*tech_proj!AC1060*(-PMT($J$110,tech_base!$F96,1))+1000*tech_proj!AC1340)/((1-tech_proj!AC500)*tech_proj!AC780*$L$110))</f>
        <v/>
      </c>
      <c r="AD720" s="73" t="str">
        <f>IF(tech_base!$T96&gt;AD$625,"",(1000*tech_proj!AD1060*(-PMT($J$110,tech_base!$F96,1))+1000*tech_proj!AD1340)/((1-tech_proj!AD500)*tech_proj!AD780*$L$110))</f>
        <v/>
      </c>
      <c r="AE720" s="73">
        <f>IF(tech_base!$T96&gt;AE$625,"",(1000*tech_proj!AE1060*(-PMT($J$110,tech_base!$F96,1))+1000*tech_proj!AE1340)/((1-tech_proj!AE500)*tech_proj!AE780*$L$110))</f>
        <v>85.161925665194261</v>
      </c>
      <c r="AF720" s="73">
        <f>IF(tech_base!$T96&gt;AF$625,"",(1000*tech_proj!AF1060*(-PMT($J$110,tech_base!$F96,1))+1000*tech_proj!AF1340)/((1-tech_proj!AF500)*tech_proj!AF780*$L$110))</f>
        <v>85.136098173727532</v>
      </c>
      <c r="AG720" s="73">
        <f>IF(tech_base!$T96&gt;AG$625,"",(1000*tech_proj!AG1060*(-PMT($J$110,tech_base!$F96,1))+1000*tech_proj!AG1340)/((1-tech_proj!AG500)*tech_proj!AG780*$L$110))</f>
        <v>85.103010988116722</v>
      </c>
      <c r="AH720" s="73">
        <f>IF(tech_base!$T96&gt;AH$625,"",(1000*tech_proj!AH1060*(-PMT($J$110,tech_base!$F96,1))+1000*tech_proj!AH1340)/((1-tech_proj!AH500)*tech_proj!AH780*$L$110))</f>
        <v>85.060650995490022</v>
      </c>
      <c r="AI720" s="73">
        <f>IF(tech_base!$T96&gt;AI$625,"",(1000*tech_proj!AI1060*(-PMT($J$110,tech_base!$F96,1))+1000*tech_proj!AI1340)/((1-tech_proj!AI500)*tech_proj!AI780*$L$110))</f>
        <v>85.006464474537282</v>
      </c>
      <c r="AJ720" s="73">
        <f>IF(tech_base!$T96&gt;AJ$625,"",(1000*tech_proj!AJ1060*(-PMT($J$110,tech_base!$F96,1))+1000*tech_proj!AJ1340)/((1-tech_proj!AJ500)*tech_proj!AJ780*$L$110))</f>
        <v>84.937223210241058</v>
      </c>
      <c r="AK720" s="73">
        <f>IF(tech_base!$T96&gt;AK$625,"",(1000*tech_proj!AK1060*(-PMT($J$110,tech_base!$F96,1))+1000*tech_proj!AK1340)/((1-tech_proj!AK500)*tech_proj!AK780*$L$110))</f>
        <v>84.848864729023305</v>
      </c>
      <c r="AL720" s="73">
        <f>IF(tech_base!$T96&gt;AL$625,"",(1000*tech_proj!AL1060*(-PMT($J$110,tech_base!$F96,1))+1000*tech_proj!AL1340)/((1-tech_proj!AL500)*tech_proj!AL780*$L$110))</f>
        <v>84.736306530692573</v>
      </c>
      <c r="AM720" s="73">
        <f>IF(tech_base!$T96&gt;AM$625,"",(1000*tech_proj!AM1060*(-PMT($J$110,tech_base!$F96,1))+1000*tech_proj!AM1340)/((1-tech_proj!AM500)*tech_proj!AM780*$L$110))</f>
        <v>84.59323815862615</v>
      </c>
      <c r="AN720" s="73">
        <f>IF(tech_base!$T96&gt;AN$625,"",(1000*tech_proj!AN1060*(-PMT($J$110,tech_base!$F96,1))+1000*tech_proj!AN1340)/((1-tech_proj!AN500)*tech_proj!AN780*$L$110))</f>
        <v>84.411901935185156</v>
      </c>
      <c r="AO720" s="73">
        <f>IF(tech_base!$T96&gt;AO$625,"",(1000*tech_proj!AO1060*(-PMT($J$110,tech_base!$F96,1))+1000*tech_proj!AO1340)/((1-tech_proj!AO500)*tech_proj!AO780*$L$110))</f>
        <v>84.18288460742005</v>
      </c>
      <c r="AP720" s="73">
        <f>IF(tech_base!$T96&gt;AP$625,"",(1000*tech_proj!AP1060*(-PMT($J$110,tech_base!$F96,1))+1000*tech_proj!AP1340)/((1-tech_proj!AP500)*tech_proj!AP780*$L$110))</f>
        <v>83.894959582162642</v>
      </c>
      <c r="AQ720" s="73">
        <f>IF(tech_base!$T96&gt;AQ$625,"",(1000*tech_proj!AQ1060*(-PMT($J$110,tech_base!$F96,1))+1000*tech_proj!AQ1340)/((1-tech_proj!AQ500)*tech_proj!AQ780*$L$110))</f>
        <v>83.535044114267336</v>
      </c>
      <c r="AR720" s="73">
        <f>IF(tech_base!$T96&gt;AR$625,"",(1000*tech_proj!AR1060*(-PMT($J$110,tech_base!$F96,1))+1000*tech_proj!AR1340)/((1-tech_proj!AR500)*tech_proj!AR780*$L$110))</f>
        <v>83.088367438155771</v>
      </c>
      <c r="AS720" s="73">
        <f>IF(tech_base!$T96&gt;AS$625,"",(1000*tech_proj!AS1060*(-PMT($J$110,tech_base!$F96,1))+1000*tech_proj!AS1340)/((1-tech_proj!AS500)*tech_proj!AS780*$L$110))</f>
        <v>82.538980315325063</v>
      </c>
      <c r="AT720" s="73">
        <f>IF(tech_base!$T96&gt;AT$625,"",(1000*tech_proj!AT1060*(-PMT($J$110,tech_base!$F96,1))+1000*tech_proj!AT1340)/((1-tech_proj!AT500)*tech_proj!AT780*$L$110))</f>
        <v>81.870762537839283</v>
      </c>
      <c r="AU720" s="73">
        <f>IF(tech_base!$T96&gt;AU$625,"",(1000*tech_proj!AU1060*(-PMT($J$110,tech_base!$F96,1))+1000*tech_proj!AU1340)/((1-tech_proj!AU500)*tech_proj!AU780*$L$110))</f>
        <v>81.069080338280813</v>
      </c>
      <c r="AV720" s="73">
        <f>IF(tech_base!$T96&gt;AV$625,"",(1000*tech_proj!AV1060*(-PMT($J$110,tech_base!$F96,1))+1000*tech_proj!AV1340)/((1-tech_proj!AV500)*tech_proj!AV780*$L$110))</f>
        <v>80.1231760034064</v>
      </c>
      <c r="AW720" s="73">
        <f>IF(tech_base!$T96&gt;AW$625,"",(1000*tech_proj!AW1060*(-PMT($J$110,tech_base!$F96,1))+1000*tech_proj!AW1340)/((1-tech_proj!AW500)*tech_proj!AW780*$L$110))</f>
        <v>79.029198342119159</v>
      </c>
      <c r="AX720" s="239">
        <f>IF(tech_base!$T96&gt;AX$625,"",(1000*tech_proj!AX1060*(-PMT($J$110,tech_base!$F96,1))+1000*tech_proj!AX1340)/((1-tech_proj!AX500)*tech_proj!AX780*$L$110))</f>
        <v>77.793486208230448</v>
      </c>
      <c r="AY720" s="133"/>
    </row>
    <row r="721" spans="1:51" s="174" customFormat="1" x14ac:dyDescent="0.25">
      <c r="A721" s="356"/>
      <c r="B721" s="358" t="s">
        <v>24</v>
      </c>
      <c r="C721" s="353" t="s">
        <v>6</v>
      </c>
      <c r="D721" s="3" t="s">
        <v>8</v>
      </c>
      <c r="E721" s="162" t="str">
        <f>A709&amp;"/"&amp;B721&amp;"/"&amp;C721&amp;"/"&amp;D721</f>
        <v>Gas fired power plants (Natural gas, biogas)/Gas turbine /Electricity only/M</v>
      </c>
      <c r="F721" s="77" t="str">
        <f>A709</f>
        <v>Gas fired power plants (Natural gas, biogas)</v>
      </c>
      <c r="G721" s="77" t="str">
        <f>B721</f>
        <v xml:space="preserve">Gas turbine </v>
      </c>
      <c r="H721" s="77" t="str">
        <f>C721</f>
        <v>Electricity only</v>
      </c>
      <c r="I721" s="163" t="str">
        <f t="shared" si="363"/>
        <v>M</v>
      </c>
      <c r="J721" s="70">
        <f>IF(tech_base!$T97&gt;J$625,"",(1000*tech_proj!J1061*(-PMT($J$110,tech_base!$F97,1))+1000*tech_proj!J1341)/((1-tech_proj!J501)*tech_proj!J781*$L$110))</f>
        <v>16.211680041460575</v>
      </c>
      <c r="K721" s="70">
        <f>IF(tech_base!$T97&gt;K$625,"",(1000*tech_proj!K1061*(-PMT($J$110,tech_base!$F97,1))+1000*tech_proj!K1341)/((1-tech_proj!K501)*tech_proj!K781*$L$110))</f>
        <v>16.208942444269923</v>
      </c>
      <c r="L721" s="70">
        <f>IF(tech_base!$T97&gt;L$625,"",(1000*tech_proj!L1061*(-PMT($J$110,tech_base!$F97,1))+1000*tech_proj!L1341)/((1-tech_proj!L501)*tech_proj!L781*$L$110))</f>
        <v>16.20593623315192</v>
      </c>
      <c r="M721" s="70">
        <f>IF(tech_base!$T97&gt;M$625,"",(1000*tech_proj!M1061*(-PMT($J$110,tech_base!$F97,1))+1000*tech_proj!M1341)/((1-tech_proj!M501)*tech_proj!M781*$L$110))</f>
        <v>16.202637203075472</v>
      </c>
      <c r="N721" s="70">
        <f>IF(tech_base!$T97&gt;N$625,"",(1000*tech_proj!N1061*(-PMT($J$110,tech_base!$F97,1))+1000*tech_proj!N1341)/((1-tech_proj!N501)*tech_proj!N781*$L$110))</f>
        <v>16.199019423282675</v>
      </c>
      <c r="O721" s="70">
        <f>IF(tech_base!$T97&gt;O$625,"",(1000*tech_proj!O1061*(-PMT($J$110,tech_base!$F97,1))+1000*tech_proj!O1341)/((1-tech_proj!O501)*tech_proj!O781*$L$110))</f>
        <v>16.195055212748343</v>
      </c>
      <c r="P721" s="70">
        <f>IF(tech_base!$T97&gt;P$625,"",(1000*tech_proj!P1061*(-PMT($J$110,tech_base!$F97,1))+1000*tech_proj!P1341)/((1-tech_proj!P501)*tech_proj!P781*$L$110))</f>
        <v>16.19071514008284</v>
      </c>
      <c r="Q721" s="70">
        <f>IF(tech_base!$T97&gt;Q$625,"",(1000*tech_proj!Q1061*(-PMT($J$110,tech_base!$F97,1))+1000*tech_proj!Q1341)/((1-tech_proj!Q501)*tech_proj!Q781*$L$110))</f>
        <v>16.185968054119609</v>
      </c>
      <c r="R721" s="70">
        <f>IF(tech_base!$T97&gt;R$625,"",(1000*tech_proj!R1061*(-PMT($J$110,tech_base!$F97,1))+1000*tech_proj!R1341)/((1-tech_proj!R501)*tech_proj!R781*$L$110))</f>
        <v>16.180781152258081</v>
      </c>
      <c r="S721" s="70">
        <f>IF(tech_base!$T97&gt;S$625,"",(1000*tech_proj!S1061*(-PMT($J$110,tech_base!$F97,1))+1000*tech_proj!S1341)/((1-tech_proj!S501)*tech_proj!S781*$L$110))</f>
        <v>16.175120094433048</v>
      </c>
      <c r="T721" s="70">
        <f>IF(tech_base!$T97&gt;T$625,"",(1000*tech_proj!T1061*(-PMT($J$110,tech_base!$F97,1))+1000*tech_proj!T1341)/((1-tech_proj!T501)*tech_proj!T781*$L$110))</f>
        <v>16.168949171297921</v>
      </c>
      <c r="U721" s="70">
        <f>IF(tech_base!$T97&gt;U$625,"",(1000*tech_proj!U1061*(-PMT($J$110,tech_base!$F97,1))+1000*tech_proj!U1341)/((1-tech_proj!U501)*tech_proj!U781*$L$110))</f>
        <v>16.162231535767805</v>
      </c>
      <c r="V721" s="70">
        <f>IF(tech_base!$T97&gt;V$625,"",(1000*tech_proj!V1061*(-PMT($J$110,tech_base!$F97,1))+1000*tech_proj!V1341)/((1-tech_proj!V501)*tech_proj!V781*$L$110))</f>
        <v>16.154929507376607</v>
      </c>
      <c r="W721" s="70">
        <f>IF(tech_base!$T97&gt;W$625,"",(1000*tech_proj!W1061*(-PMT($J$110,tech_base!$F97,1))+1000*tech_proj!W1341)/((1-tech_proj!W501)*tech_proj!W781*$L$110))</f>
        <v>16.147004958847045</v>
      </c>
      <c r="X721" s="70">
        <f>IF(tech_base!$T97&gt;X$625,"",(1000*tech_proj!X1061*(-PMT($J$110,tech_base!$F97,1))+1000*tech_proj!X1341)/((1-tech_proj!X501)*tech_proj!X781*$L$110))</f>
        <v>16.13841979372053</v>
      </c>
      <c r="Y721" s="70">
        <f>IF(tech_base!$T97&gt;Y$625,"",(1000*tech_proj!Y1061*(-PMT($J$110,tech_base!$F97,1))+1000*tech_proj!Y1341)/((1-tech_proj!Y501)*tech_proj!Y781*$L$110))</f>
        <v>16.129136522697593</v>
      </c>
      <c r="Z721" s="70">
        <f>IF(tech_base!$T97&gt;Z$625,"",(1000*tech_proj!Z1061*(-PMT($J$110,tech_base!$F97,1))+1000*tech_proj!Z1341)/((1-tech_proj!Z501)*tech_proj!Z781*$L$110))</f>
        <v>16.119118944341622</v>
      </c>
      <c r="AA721" s="70">
        <f>IF(tech_base!$T97&gt;AA$625,"",(1000*tech_proj!AA1061*(-PMT($J$110,tech_base!$F97,1))+1000*tech_proj!AA1341)/((1-tech_proj!AA501)*tech_proj!AA781*$L$110))</f>
        <v>16.108332932845613</v>
      </c>
      <c r="AB721" s="70">
        <f>IF(tech_base!$T97&gt;AB$625,"",(1000*tech_proj!AB1061*(-PMT($J$110,tech_base!$F97,1))+1000*tech_proj!AB1341)/((1-tech_proj!AB501)*tech_proj!AB781*$L$110))</f>
        <v>16.096747331521588</v>
      </c>
      <c r="AC721" s="70">
        <f>IF(tech_base!$T97&gt;AC$625,"",(1000*tech_proj!AC1061*(-PMT($J$110,tech_base!$F97,1))+1000*tech_proj!AC1341)/((1-tech_proj!AC501)*tech_proj!AC781*$L$110))</f>
        <v>16.084334945457194</v>
      </c>
      <c r="AD721" s="70">
        <f>IF(tech_base!$T97&gt;AD$625,"",(1000*tech_proj!AD1061*(-PMT($J$110,tech_base!$F97,1))+1000*tech_proj!AD1341)/((1-tech_proj!AD501)*tech_proj!AD781*$L$110))</f>
        <v>16.071073620378449</v>
      </c>
      <c r="AE721" s="70">
        <f>IF(tech_base!$T97&gt;AE$625,"",(1000*tech_proj!AE1061*(-PMT($J$110,tech_base!$F97,1))+1000*tech_proj!AE1341)/((1-tech_proj!AE501)*tech_proj!AE781*$L$110))</f>
        <v>16.056947387254482</v>
      </c>
      <c r="AF721" s="70">
        <f>IF(tech_base!$T97&gt;AF$625,"",(1000*tech_proj!AF1061*(-PMT($J$110,tech_base!$F97,1))+1000*tech_proj!AF1341)/((1-tech_proj!AF501)*tech_proj!AF781*$L$110))</f>
        <v>16.041947643808982</v>
      </c>
      <c r="AG721" s="70">
        <f>IF(tech_base!$T97&gt;AG$625,"",(1000*tech_proj!AG1061*(-PMT($J$110,tech_base!$F97,1))+1000*tech_proj!AG1341)/((1-tech_proj!AG501)*tech_proj!AG781*$L$110))</f>
        <v>16.02607433526504</v>
      </c>
      <c r="AH721" s="70">
        <f>IF(tech_base!$T97&gt;AH$625,"",(1000*tech_proj!AH1061*(-PMT($J$110,tech_base!$F97,1))+1000*tech_proj!AH1341)/((1-tech_proj!AH501)*tech_proj!AH781*$L$110))</f>
        <v>16.009337087931627</v>
      </c>
      <c r="AI721" s="70">
        <f>IF(tech_base!$T97&gt;AI$625,"",(1000*tech_proj!AI1061*(-PMT($J$110,tech_base!$F97,1))+1000*tech_proj!AI1341)/((1-tech_proj!AI501)*tech_proj!AI781*$L$110))</f>
        <v>15.991756241412357</v>
      </c>
      <c r="AJ721" s="70">
        <f>IF(tech_base!$T97&gt;AJ$625,"",(1000*tech_proj!AJ1061*(-PMT($J$110,tech_base!$F97,1))+1000*tech_proj!AJ1341)/((1-tech_proj!AJ501)*tech_proj!AJ781*$L$110))</f>
        <v>15.973363719209074</v>
      </c>
      <c r="AK721" s="70">
        <f>IF(tech_base!$T97&gt;AK$625,"",(1000*tech_proj!AK1061*(-PMT($J$110,tech_base!$F97,1))+1000*tech_proj!AK1341)/((1-tech_proj!AK501)*tech_proj!AK781*$L$110))</f>
        <v>15.954203674321223</v>
      </c>
      <c r="AL721" s="70">
        <f>IF(tech_base!$T97&gt;AL$625,"",(1000*tech_proj!AL1061*(-PMT($J$110,tech_base!$F97,1))+1000*tech_proj!AL1341)/((1-tech_proj!AL501)*tech_proj!AL781*$L$110))</f>
        <v>15.934332847114362</v>
      </c>
      <c r="AM721" s="70">
        <f>IF(tech_base!$T97&gt;AM$625,"",(1000*tech_proj!AM1061*(-PMT($J$110,tech_base!$F97,1))+1000*tech_proj!AM1341)/((1-tech_proj!AM501)*tech_proj!AM781*$L$110))</f>
        <v>15.913820578105787</v>
      </c>
      <c r="AN721" s="70">
        <f>IF(tech_base!$T97&gt;AN$625,"",(1000*tech_proj!AN1061*(-PMT($J$110,tech_base!$F97,1))+1000*tech_proj!AN1341)/((1-tech_proj!AN501)*tech_proj!AN781*$L$110))</f>
        <v>15.892748428944984</v>
      </c>
      <c r="AO721" s="70">
        <f>IF(tech_base!$T97&gt;AO$625,"",(1000*tech_proj!AO1061*(-PMT($J$110,tech_base!$F97,1))+1000*tech_proj!AO1341)/((1-tech_proj!AO501)*tech_proj!AO781*$L$110))</f>
        <v>15.871209380840712</v>
      </c>
      <c r="AP721" s="70">
        <f>IF(tech_base!$T97&gt;AP$625,"",(1000*tech_proj!AP1061*(-PMT($J$110,tech_base!$F97,1))+1000*tech_proj!AP1341)/((1-tech_proj!AP501)*tech_proj!AP781*$L$110))</f>
        <v>15.849306600503905</v>
      </c>
      <c r="AQ721" s="70">
        <f>IF(tech_base!$T97&gt;AQ$625,"",(1000*tech_proj!AQ1061*(-PMT($J$110,tech_base!$F97,1))+1000*tech_proj!AQ1341)/((1-tech_proj!AQ501)*tech_proj!AQ781*$L$110))</f>
        <v>15.82715178817922</v>
      </c>
      <c r="AR721" s="70">
        <f>IF(tech_base!$T97&gt;AR$625,"",(1000*tech_proj!AR1061*(-PMT($J$110,tech_base!$F97,1))+1000*tech_proj!AR1341)/((1-tech_proj!AR501)*tech_proj!AR781*$L$110))</f>
        <v>15.804863148744991</v>
      </c>
      <c r="AS721" s="70">
        <f>IF(tech_base!$T97&gt;AS$625,"",(1000*tech_proj!AS1061*(-PMT($J$110,tech_base!$F97,1))+1000*tech_proj!AS1341)/((1-tech_proj!AS501)*tech_proj!AS781*$L$110))</f>
        <v>15.782563052894231</v>
      </c>
      <c r="AT721" s="70">
        <f>IF(tech_base!$T97&gt;AT$625,"",(1000*tech_proj!AT1061*(-PMT($J$110,tech_base!$F97,1))+1000*tech_proj!AT1341)/((1-tech_proj!AT501)*tech_proj!AT781*$L$110))</f>
        <v>15.760375478542691</v>
      </c>
      <c r="AU721" s="70">
        <f>IF(tech_base!$T97&gt;AU$625,"",(1000*tech_proj!AU1061*(-PMT($J$110,tech_base!$F97,1))+1000*tech_proj!AU1341)/((1-tech_proj!AU501)*tech_proj!AU781*$L$110))</f>
        <v>15.738423340383944</v>
      </c>
      <c r="AV721" s="70">
        <f>IF(tech_base!$T97&gt;AV$625,"",(1000*tech_proj!AV1061*(-PMT($J$110,tech_base!$F97,1))+1000*tech_proj!AV1341)/((1-tech_proj!AV501)*tech_proj!AV781*$L$110))</f>
        <v>15.716825825884561</v>
      </c>
      <c r="AW721" s="70">
        <f>IF(tech_base!$T97&gt;AW$625,"",(1000*tech_proj!AW1061*(-PMT($J$110,tech_base!$F97,1))+1000*tech_proj!AW1341)/((1-tech_proj!AW501)*tech_proj!AW781*$L$110))</f>
        <v>15.695695857672742</v>
      </c>
      <c r="AX721" s="236">
        <f>IF(tech_base!$T97&gt;AX$625,"",(1000*tech_proj!AX1061*(-PMT($J$110,tech_base!$F97,1))+1000*tech_proj!AX1341)/((1-tech_proj!AX501)*tech_proj!AX781*$L$110))</f>
        <v>15.675137794860804</v>
      </c>
      <c r="AY721" s="133"/>
    </row>
    <row r="722" spans="1:51" s="174" customFormat="1" x14ac:dyDescent="0.25">
      <c r="A722" s="356"/>
      <c r="B722" s="376"/>
      <c r="C722" s="378"/>
      <c r="D722" s="2" t="s">
        <v>10</v>
      </c>
      <c r="E722" s="160" t="str">
        <f>A709&amp;"/"&amp;B721&amp;"/"&amp;C721&amp;"/"&amp;D722</f>
        <v>Gas fired power plants (Natural gas, biogas)/Gas turbine /Electricity only/S</v>
      </c>
      <c r="F722" s="76" t="str">
        <f>A709</f>
        <v>Gas fired power plants (Natural gas, biogas)</v>
      </c>
      <c r="G722" s="76" t="str">
        <f>B721</f>
        <v xml:space="preserve">Gas turbine </v>
      </c>
      <c r="H722" s="76" t="str">
        <f>C721</f>
        <v>Electricity only</v>
      </c>
      <c r="I722" s="161" t="str">
        <f t="shared" si="363"/>
        <v>S</v>
      </c>
      <c r="J722" s="69">
        <f>IF(tech_base!$T98&gt;J$625,"",(1000*tech_proj!J1062*(-PMT($J$110,tech_base!$F98,1))+1000*tech_proj!J1342)/((1-tech_proj!J502)*tech_proj!J782*$L$110))</f>
        <v>17.287602837536976</v>
      </c>
      <c r="K722" s="69">
        <f>IF(tech_base!$T98&gt;K$625,"",(1000*tech_proj!K1062*(-PMT($J$110,tech_base!$F98,1))+1000*tech_proj!K1342)/((1-tech_proj!K502)*tech_proj!K782*$L$110))</f>
        <v>17.284656887153439</v>
      </c>
      <c r="L722" s="69">
        <f>IF(tech_base!$T98&gt;L$625,"",(1000*tech_proj!L1062*(-PMT($J$110,tech_base!$F98,1))+1000*tech_proj!L1342)/((1-tech_proj!L502)*tech_proj!L782*$L$110))</f>
        <v>17.281420911081032</v>
      </c>
      <c r="M722" s="69">
        <f>IF(tech_base!$T98&gt;M$625,"",(1000*tech_proj!M1062*(-PMT($J$110,tech_base!$F98,1))+1000*tech_proj!M1342)/((1-tech_proj!M502)*tech_proj!M782*$L$110))</f>
        <v>17.277868573257095</v>
      </c>
      <c r="N722" s="69">
        <f>IF(tech_base!$T98&gt;N$625,"",(1000*tech_proj!N1062*(-PMT($J$110,tech_base!$F98,1))+1000*tech_proj!N1342)/((1-tech_proj!N502)*tech_proj!N782*$L$110))</f>
        <v>17.273971617524371</v>
      </c>
      <c r="O722" s="69">
        <f>IF(tech_base!$T98&gt;O$625,"",(1000*tech_proj!O1062*(-PMT($J$110,tech_base!$F98,1))+1000*tech_proj!O1342)/((1-tech_proj!O502)*tech_proj!O782*$L$110))</f>
        <v>17.269699830065271</v>
      </c>
      <c r="P722" s="69">
        <f>IF(tech_base!$T98&gt;P$625,"",(1000*tech_proj!P1062*(-PMT($J$110,tech_base!$F98,1))+1000*tech_proj!P1342)/((1-tech_proj!P502)*tech_proj!P782*$L$110))</f>
        <v>17.26502102674597</v>
      </c>
      <c r="Q722" s="69">
        <f>IF(tech_base!$T98&gt;Q$625,"",(1000*tech_proj!Q1062*(-PMT($J$110,tech_base!$F98,1))+1000*tech_proj!Q1342)/((1-tech_proj!Q502)*tech_proj!Q782*$L$110))</f>
        <v>17.259901072095712</v>
      </c>
      <c r="R722" s="69">
        <f>IF(tech_base!$T98&gt;R$625,"",(1000*tech_proj!R1062*(-PMT($J$110,tech_base!$F98,1))+1000*tech_proj!R1342)/((1-tech_proj!R502)*tech_proj!R782*$L$110))</f>
        <v>17.254303937617554</v>
      </c>
      <c r="S722" s="69">
        <f>IF(tech_base!$T98&gt;S$625,"",(1000*tech_proj!S1062*(-PMT($J$110,tech_base!$F98,1))+1000*tech_proj!S1342)/((1-tech_proj!S502)*tech_proj!S782*$L$110))</f>
        <v>17.248191808096326</v>
      </c>
      <c r="T722" s="69">
        <f>IF(tech_base!$T98&gt;T$625,"",(1000*tech_proj!T1062*(-PMT($J$110,tech_base!$F98,1))+1000*tech_proj!T1342)/((1-tech_proj!T502)*tech_proj!T782*$L$110))</f>
        <v>17.241525245484755</v>
      </c>
      <c r="U722" s="69">
        <f>IF(tech_base!$T98&gt;U$625,"",(1000*tech_proj!U1062*(-PMT($J$110,tech_base!$F98,1))+1000*tech_proj!U1342)/((1-tech_proj!U502)*tech_proj!U782*$L$110))</f>
        <v>17.234263420735193</v>
      </c>
      <c r="V722" s="69">
        <f>IF(tech_base!$T98&gt;V$625,"",(1000*tech_proj!V1062*(-PMT($J$110,tech_base!$F98,1))+1000*tech_proj!V1342)/((1-tech_proj!V502)*tech_proj!V782*$L$110))</f>
        <v>17.226364424507594</v>
      </c>
      <c r="W722" s="69">
        <f>IF(tech_base!$T98&gt;W$625,"",(1000*tech_proj!W1062*(-PMT($J$110,tech_base!$F98,1))+1000*tech_proj!W1342)/((1-tech_proj!W502)*tech_proj!W782*$L$110))</f>
        <v>17.217785667904295</v>
      </c>
      <c r="X722" s="69">
        <f>IF(tech_base!$T98&gt;X$625,"",(1000*tech_proj!X1062*(-PMT($J$110,tech_base!$F98,1))+1000*tech_proj!X1342)/((1-tech_proj!X502)*tech_proj!X782*$L$110))</f>
        <v>17.20848438411365</v>
      </c>
      <c r="Y722" s="69">
        <f>IF(tech_base!$T98&gt;Y$625,"",(1000*tech_proj!Y1062*(-PMT($J$110,tech_base!$F98,1))+1000*tech_proj!Y1342)/((1-tech_proj!Y502)*tech_proj!Y782*$L$110))</f>
        <v>17.198418240920855</v>
      </c>
      <c r="Z722" s="69">
        <f>IF(tech_base!$T98&gt;Z$625,"",(1000*tech_proj!Z1062*(-PMT($J$110,tech_base!$F98,1))+1000*tech_proj!Z1342)/((1-tech_proj!Z502)*tech_proj!Z782*$L$110))</f>
        <v>17.187546072278931</v>
      </c>
      <c r="AA722" s="69">
        <f>IF(tech_base!$T98&gt;AA$625,"",(1000*tech_proj!AA1062*(-PMT($J$110,tech_base!$F98,1))+1000*tech_proj!AA1342)/((1-tech_proj!AA502)*tech_proj!AA782*$L$110))</f>
        <v>17.175828734334424</v>
      </c>
      <c r="AB722" s="69">
        <f>IF(tech_base!$T98&gt;AB$625,"",(1000*tech_proj!AB1062*(-PMT($J$110,tech_base!$F98,1))+1000*tech_proj!AB1342)/((1-tech_proj!AB502)*tech_proj!AB782*$L$110))</f>
        <v>17.163230087286209</v>
      </c>
      <c r="AC722" s="69">
        <f>IF(tech_base!$T98&gt;AC$625,"",(1000*tech_proj!AC1062*(-PMT($J$110,tech_base!$F98,1))+1000*tech_proj!AC1342)/((1-tech_proj!AC502)*tech_proj!AC782*$L$110))</f>
        <v>17.149718099071997</v>
      </c>
      <c r="AD722" s="69">
        <f>IF(tech_base!$T98&gt;AD$625,"",(1000*tech_proj!AD1062*(-PMT($J$110,tech_base!$F98,1))+1000*tech_proj!AD1342)/((1-tech_proj!AD502)*tech_proj!AD782*$L$110))</f>
        <v>17.135266060037864</v>
      </c>
      <c r="AE722" s="69">
        <f>IF(tech_base!$T98&gt;AE$625,"",(1000*tech_proj!AE1062*(-PMT($J$110,tech_base!$F98,1))+1000*tech_proj!AE1342)/((1-tech_proj!AE502)*tech_proj!AE782*$L$110))</f>
        <v>17.119853889465894</v>
      </c>
      <c r="AF722" s="69">
        <f>IF(tech_base!$T98&gt;AF$625,"",(1000*tech_proj!AF1062*(-PMT($J$110,tech_base!$F98,1))+1000*tech_proj!AF1342)/((1-tech_proj!AF502)*tech_proj!AF782*$L$110))</f>
        <v>17.103469505271384</v>
      </c>
      <c r="AG722" s="69">
        <f>IF(tech_base!$T98&gt;AG$625,"",(1000*tech_proj!AG1062*(-PMT($J$110,tech_base!$F98,1))+1000*tech_proj!AG1342)/((1-tech_proj!AG502)*tech_proj!AG782*$L$110))</f>
        <v>17.086110217677621</v>
      </c>
      <c r="AH722" s="69">
        <f>IF(tech_base!$T98&gt;AH$625,"",(1000*tech_proj!AH1062*(-PMT($J$110,tech_base!$F98,1))+1000*tech_proj!AH1342)/((1-tech_proj!AH502)*tech_proj!AH782*$L$110))</f>
        <v>17.067784096797215</v>
      </c>
      <c r="AI722" s="69">
        <f>IF(tech_base!$T98&gt;AI$625,"",(1000*tech_proj!AI1062*(-PMT($J$110,tech_base!$F98,1))+1000*tech_proj!AI1342)/((1-tech_proj!AI502)*tech_proj!AI782*$L$110))</f>
        <v>17.048511253597606</v>
      </c>
      <c r="AJ722" s="69">
        <f>IF(tech_base!$T98&gt;AJ$625,"",(1000*tech_proj!AJ1062*(-PMT($J$110,tech_base!$F98,1))+1000*tech_proj!AJ1342)/((1-tech_proj!AJ502)*tech_proj!AJ782*$L$110))</f>
        <v>17.028324964738932</v>
      </c>
      <c r="AK722" s="69">
        <f>IF(tech_base!$T98&gt;AK$625,"",(1000*tech_proj!AK1062*(-PMT($J$110,tech_base!$F98,1))+1000*tech_proj!AK1342)/((1-tech_proj!AK502)*tech_proj!AK782*$L$110))</f>
        <v>17.007272565462024</v>
      </c>
      <c r="AL722" s="69">
        <f>IF(tech_base!$T98&gt;AL$625,"",(1000*tech_proj!AL1062*(-PMT($J$110,tech_base!$F98,1))+1000*tech_proj!AL1342)/((1-tech_proj!AL502)*tech_proj!AL782*$L$110))</f>
        <v>16.985416032379678</v>
      </c>
      <c r="AM722" s="69">
        <f>IF(tech_base!$T98&gt;AM$625,"",(1000*tech_proj!AM1062*(-PMT($J$110,tech_base!$F98,1))+1000*tech_proj!AM1342)/((1-tech_proj!AM502)*tech_proj!AM782*$L$110))</f>
        <v>16.962832180937102</v>
      </c>
      <c r="AN722" s="69">
        <f>IF(tech_base!$T98&gt;AN$625,"",(1000*tech_proj!AN1062*(-PMT($J$110,tech_base!$F98,1))+1000*tech_proj!AN1342)/((1-tech_proj!AN502)*tech_proj!AN782*$L$110))</f>
        <v>16.939612411469717</v>
      </c>
      <c r="AO722" s="69">
        <f>IF(tech_base!$T98&gt;AO$625,"",(1000*tech_proj!AO1062*(-PMT($J$110,tech_base!$F98,1))+1000*tech_proj!AO1342)/((1-tech_proj!AO502)*tech_proj!AO782*$L$110))</f>
        <v>16.915861953758267</v>
      </c>
      <c r="AP722" s="69">
        <f>IF(tech_base!$T98&gt;AP$625,"",(1000*tech_proj!AP1062*(-PMT($J$110,tech_base!$F98,1))+1000*tech_proj!AP1342)/((1-tech_proj!AP502)*tech_proj!AP782*$L$110))</f>
        <v>16.891698582669957</v>
      </c>
      <c r="AQ722" s="69">
        <f>IF(tech_base!$T98&gt;AQ$625,"",(1000*tech_proj!AQ1062*(-PMT($J$110,tech_base!$F98,1))+1000*tech_proj!AQ1342)/((1-tech_proj!AQ502)*tech_proj!AQ782*$L$110))</f>
        <v>16.867250805979612</v>
      </c>
      <c r="AR722" s="69">
        <f>IF(tech_base!$T98&gt;AR$625,"",(1000*tech_proj!AR1062*(-PMT($J$110,tech_base!$F98,1))+1000*tech_proj!AR1342)/((1-tech_proj!AR502)*tech_proj!AR782*$L$110))</f>
        <v>16.842655558017064</v>
      </c>
      <c r="AS722" s="69">
        <f>IF(tech_base!$T98&gt;AS$625,"",(1000*tech_proj!AS1062*(-PMT($J$110,tech_base!$F98,1))+1000*tech_proj!AS1342)/((1-tech_proj!AS502)*tech_proj!AS782*$L$110))</f>
        <v>16.818055466818649</v>
      </c>
      <c r="AT722" s="69">
        <f>IF(tech_base!$T98&gt;AT$625,"",(1000*tech_proj!AT1062*(-PMT($J$110,tech_base!$F98,1))+1000*tech_proj!AT1342)/((1-tech_proj!AT502)*tech_proj!AT782*$L$110))</f>
        <v>16.793595794821567</v>
      </c>
      <c r="AU722" s="69">
        <f>IF(tech_base!$T98&gt;AU$625,"",(1000*tech_proj!AU1062*(-PMT($J$110,tech_base!$F98,1))+1000*tech_proj!AU1342)/((1-tech_proj!AU502)*tech_proj!AU782*$L$110))</f>
        <v>16.769421180456352</v>
      </c>
      <c r="AV722" s="69">
        <f>IF(tech_base!$T98&gt;AV$625,"",(1000*tech_proj!AV1062*(-PMT($J$110,tech_base!$F98,1))+1000*tech_proj!AV1342)/((1-tech_proj!AV502)*tech_proj!AV782*$L$110))</f>
        <v>16.745672327118509</v>
      </c>
      <c r="AW722" s="69">
        <f>IF(tech_base!$T98&gt;AW$625,"",(1000*tech_proj!AW1062*(-PMT($J$110,tech_base!$F98,1))+1000*tech_proj!AW1342)/((1-tech_proj!AW502)*tech_proj!AW782*$L$110))</f>
        <v>16.722482794489149</v>
      </c>
      <c r="AX722" s="235">
        <f>IF(tech_base!$T98&gt;AX$625,"",(1000*tech_proj!AX1062*(-PMT($J$110,tech_base!$F98,1))+1000*tech_proj!AX1342)/((1-tech_proj!AX502)*tech_proj!AX782*$L$110))</f>
        <v>16.699976043688157</v>
      </c>
      <c r="AY722" s="133"/>
    </row>
    <row r="723" spans="1:51" s="174" customFormat="1" x14ac:dyDescent="0.25">
      <c r="A723" s="356"/>
      <c r="B723" s="376"/>
      <c r="C723" s="379"/>
      <c r="D723" s="59" t="s">
        <v>20</v>
      </c>
      <c r="E723" s="160" t="str">
        <f>A709&amp;"/"&amp;B721&amp;"/"&amp;C721&amp;"/"&amp;D723</f>
        <v>Gas fired power plants (Natural gas, biogas)/Gas turbine /Electricity only/XS</v>
      </c>
      <c r="F723" s="76" t="str">
        <f>A709</f>
        <v>Gas fired power plants (Natural gas, biogas)</v>
      </c>
      <c r="G723" s="76" t="str">
        <f>B721</f>
        <v xml:space="preserve">Gas turbine </v>
      </c>
      <c r="H723" s="76" t="str">
        <f>C721</f>
        <v>Electricity only</v>
      </c>
      <c r="I723" s="161" t="str">
        <f t="shared" si="363"/>
        <v>XS</v>
      </c>
      <c r="J723" s="69">
        <f>IF(tech_base!$T99&gt;J$625,"",(1000*tech_proj!J1063*(-PMT($J$110,tech_base!$F99,1))+1000*tech_proj!J1343)/((1-tech_proj!J503)*tech_proj!J783*$L$110))</f>
        <v>25.100857105392233</v>
      </c>
      <c r="K723" s="69">
        <f>IF(tech_base!$T99&gt;K$625,"",(1000*tech_proj!K1063*(-PMT($J$110,tech_base!$F99,1))+1000*tech_proj!K1343)/((1-tech_proj!K503)*tech_proj!K783*$L$110))</f>
        <v>25.098236355431705</v>
      </c>
      <c r="L723" s="69">
        <f>IF(tech_base!$T99&gt;L$625,"",(1000*tech_proj!L1063*(-PMT($J$110,tech_base!$F99,1))+1000*tech_proj!L1343)/((1-tech_proj!L503)*tech_proj!L783*$L$110))</f>
        <v>25.09535078361764</v>
      </c>
      <c r="M723" s="69">
        <f>IF(tech_base!$T99&gt;M$625,"",(1000*tech_proj!M1063*(-PMT($J$110,tech_base!$F99,1))+1000*tech_proj!M1343)/((1-tech_proj!M503)*tech_proj!M783*$L$110))</f>
        <v>25.092174857524427</v>
      </c>
      <c r="N723" s="69">
        <f>IF(tech_base!$T99&gt;N$625,"",(1000*tech_proj!N1063*(-PMT($J$110,tech_base!$F99,1))+1000*tech_proj!N1343)/((1-tech_proj!N503)*tech_proj!N783*$L$110))</f>
        <v>25.088680848092672</v>
      </c>
      <c r="O723" s="69">
        <f>IF(tech_base!$T99&gt;O$625,"",(1000*tech_proj!O1063*(-PMT($J$110,tech_base!$F99,1))+1000*tech_proj!O1343)/((1-tech_proj!O503)*tech_proj!O783*$L$110))</f>
        <v>25.084838698460725</v>
      </c>
      <c r="P723" s="69">
        <f>IF(tech_base!$T99&gt;P$625,"",(1000*tech_proj!P1063*(-PMT($J$110,tech_base!$F99,1))+1000*tech_proj!P1343)/((1-tech_proj!P503)*tech_proj!P783*$L$110))</f>
        <v>25.080615898361611</v>
      </c>
      <c r="Q723" s="69">
        <f>IF(tech_base!$T99&gt;Q$625,"",(1000*tech_proj!Q1063*(-PMT($J$110,tech_base!$F99,1))+1000*tech_proj!Q1343)/((1-tech_proj!Q503)*tech_proj!Q783*$L$110))</f>
        <v>25.075977368074181</v>
      </c>
      <c r="R723" s="69">
        <f>IF(tech_base!$T99&gt;R$625,"",(1000*tech_proj!R1063*(-PMT($J$110,tech_base!$F99,1))+1000*tech_proj!R1343)/((1-tech_proj!R503)*tech_proj!R783*$L$110))</f>
        <v>25.070885356817353</v>
      </c>
      <c r="S723" s="69">
        <f>IF(tech_base!$T99&gt;S$625,"",(1000*tech_proj!S1063*(-PMT($J$110,tech_base!$F99,1))+1000*tech_proj!S1343)/((1-tech_proj!S503)*tech_proj!S783*$L$110))</f>
        <v>25.065299361497686</v>
      </c>
      <c r="T723" s="69">
        <f>IF(tech_base!$T99&gt;T$625,"",(1000*tech_proj!T1063*(-PMT($J$110,tech_base!$F99,1))+1000*tech_proj!T1343)/((1-tech_proj!T503)*tech_proj!T783*$L$110))</f>
        <v>25.059176072861696</v>
      </c>
      <c r="U723" s="69">
        <f>IF(tech_base!$T99&gt;U$625,"",(1000*tech_proj!U1063*(-PMT($J$110,tech_base!$F99,1))+1000*tech_proj!U1343)/((1-tech_proj!U503)*tech_proj!U783*$L$110))</f>
        <v>25.052469357354564</v>
      </c>
      <c r="V723" s="69">
        <f>IF(tech_base!$T99&gt;V$625,"",(1000*tech_proj!V1063*(-PMT($J$110,tech_base!$F99,1))+1000*tech_proj!V1343)/((1-tech_proj!V503)*tech_proj!V783*$L$110))</f>
        <v>25.04513028432557</v>
      </c>
      <c r="W723" s="69">
        <f>IF(tech_base!$T99&gt;W$625,"",(1000*tech_proj!W1063*(-PMT($J$110,tech_base!$F99,1))+1000*tech_proj!W1343)/((1-tech_proj!W503)*tech_proj!W783*$L$110))</f>
        <v>25.037107209612149</v>
      </c>
      <c r="X723" s="69">
        <f>IF(tech_base!$T99&gt;X$625,"",(1000*tech_proj!X1063*(-PMT($J$110,tech_base!$F99,1))+1000*tech_proj!X1343)/((1-tech_proj!X503)*tech_proj!X783*$L$110))</f>
        <v>25.028345927924477</v>
      </c>
      <c r="Y723" s="69">
        <f>IF(tech_base!$T99&gt;Y$625,"",(1000*tech_proj!Y1063*(-PMT($J$110,tech_base!$F99,1))+1000*tech_proj!Y1343)/((1-tech_proj!Y503)*tech_proj!Y783*$L$110))</f>
        <v>25.018789907763978</v>
      </c>
      <c r="Z723" s="69">
        <f>IF(tech_base!$T99&gt;Z$625,"",(1000*tech_proj!Z1063*(-PMT($J$110,tech_base!$F99,1))+1000*tech_proj!Z1343)/((1-tech_proj!Z503)*tech_proj!Z783*$L$110))</f>
        <v>25.008380623736794</v>
      </c>
      <c r="AA723" s="69">
        <f>IF(tech_base!$T99&gt;AA$625,"",(1000*tech_proj!AA1063*(-PMT($J$110,tech_base!$F99,1))+1000*tech_proj!AA1343)/((1-tech_proj!AA503)*tech_proj!AA783*$L$110))</f>
        <v>24.997058001930515</v>
      </c>
      <c r="AB723" s="69">
        <f>IF(tech_base!$T99&gt;AB$625,"",(1000*tech_proj!AB1063*(-PMT($J$110,tech_base!$F99,1))+1000*tech_proj!AB1343)/((1-tech_proj!AB503)*tech_proj!AB783*$L$110))</f>
        <v>24.984760994337591</v>
      </c>
      <c r="AC723" s="69">
        <f>IF(tech_base!$T99&gt;AC$625,"",(1000*tech_proj!AC1063*(-PMT($J$110,tech_base!$F99,1))+1000*tech_proj!AC1343)/((1-tech_proj!AC503)*tech_proj!AC783*$L$110))</f>
        <v>24.971428297924053</v>
      </c>
      <c r="AD723" s="69">
        <f>IF(tech_base!$T99&gt;AD$625,"",(1000*tech_proj!AD1063*(-PMT($J$110,tech_base!$F99,1))+1000*tech_proj!AD1343)/((1-tech_proj!AD503)*tech_proj!AD783*$L$110))</f>
        <v>24.95699923261806</v>
      </c>
      <c r="AE723" s="69">
        <f>IF(tech_base!$T99&gt;AE$625,"",(1000*tech_proj!AE1063*(-PMT($J$110,tech_base!$F99,1))+1000*tech_proj!AE1343)/((1-tech_proj!AE503)*tech_proj!AE783*$L$110))</f>
        <v>24.941414789962362</v>
      </c>
      <c r="AF723" s="69">
        <f>IF(tech_base!$T99&gt;AF$625,"",(1000*tech_proj!AF1063*(-PMT($J$110,tech_base!$F99,1))+1000*tech_proj!AF1343)/((1-tech_proj!AF503)*tech_proj!AF783*$L$110))</f>
        <v>24.924618860163285</v>
      </c>
      <c r="AG723" s="69">
        <f>IF(tech_base!$T99&gt;AG$625,"",(1000*tech_proj!AG1063*(-PMT($J$110,tech_base!$F99,1))+1000*tech_proj!AG1343)/((1-tech_proj!AG503)*tech_proj!AG783*$L$110))</f>
        <v>24.906559639512029</v>
      </c>
      <c r="AH723" s="69">
        <f>IF(tech_base!$T99&gt;AH$625,"",(1000*tech_proj!AH1063*(-PMT($J$110,tech_base!$F99,1))+1000*tech_proj!AH1343)/((1-tech_proj!AH503)*tech_proj!AH783*$L$110))</f>
        <v>24.887191212436974</v>
      </c>
      <c r="AI723" s="69">
        <f>IF(tech_base!$T99&gt;AI$625,"",(1000*tech_proj!AI1063*(-PMT($J$110,tech_base!$F99,1))+1000*tech_proj!AI1343)/((1-tech_proj!AI503)*tech_proj!AI783*$L$110))</f>
        <v>24.866475292641837</v>
      </c>
      <c r="AJ723" s="69">
        <f>IF(tech_base!$T99&gt;AJ$625,"",(1000*tech_proj!AJ1063*(-PMT($J$110,tech_base!$F99,1))+1000*tech_proj!AJ1343)/((1-tech_proj!AJ503)*tech_proj!AJ783*$L$110))</f>
        <v>24.844383095915564</v>
      </c>
      <c r="AK723" s="69">
        <f>IF(tech_base!$T99&gt;AK$625,"",(1000*tech_proj!AK1063*(-PMT($J$110,tech_base!$F99,1))+1000*tech_proj!AK1343)/((1-tech_proj!AK503)*tech_proj!AK783*$L$110))</f>
        <v>24.82089730349109</v>
      </c>
      <c r="AL723" s="69">
        <f>IF(tech_base!$T99&gt;AL$625,"",(1000*tech_proj!AL1063*(-PMT($J$110,tech_base!$F99,1))+1000*tech_proj!AL1343)/((1-tech_proj!AL503)*tech_proj!AL783*$L$110))</f>
        <v>24.796014059774144</v>
      </c>
      <c r="AM723" s="69">
        <f>IF(tech_base!$T99&gt;AM$625,"",(1000*tech_proj!AM1063*(-PMT($J$110,tech_base!$F99,1))+1000*tech_proj!AM1343)/((1-tech_proj!AM503)*tech_proj!AM783*$L$110))</f>
        <v>24.76974493266912</v>
      </c>
      <c r="AN723" s="69">
        <f>IF(tech_base!$T99&gt;AN$625,"",(1000*tech_proj!AN1063*(-PMT($J$110,tech_base!$F99,1))+1000*tech_proj!AN1343)/((1-tech_proj!AN503)*tech_proj!AN783*$L$110))</f>
        <v>24.742118749747508</v>
      </c>
      <c r="AO723" s="69">
        <f>IF(tech_base!$T99&gt;AO$625,"",(1000*tech_proj!AO1063*(-PMT($J$110,tech_base!$F99,1))+1000*tech_proj!AO1343)/((1-tech_proj!AO503)*tech_proj!AO783*$L$110))</f>
        <v>24.713183210619079</v>
      </c>
      <c r="AP723" s="69">
        <f>IF(tech_base!$T99&gt;AP$625,"",(1000*tech_proj!AP1063*(-PMT($J$110,tech_base!$F99,1))+1000*tech_proj!AP1343)/((1-tech_proj!AP503)*tech_proj!AP783*$L$110))</f>
        <v>24.683006166820242</v>
      </c>
      <c r="AQ723" s="69">
        <f>IF(tech_base!$T99&gt;AQ$625,"",(1000*tech_proj!AQ1063*(-PMT($J$110,tech_base!$F99,1))+1000*tech_proj!AQ1343)/((1-tech_proj!AQ503)*tech_proj!AQ783*$L$110))</f>
        <v>24.651676457201813</v>
      </c>
      <c r="AR723" s="69">
        <f>IF(tech_base!$T99&gt;AR$625,"",(1000*tech_proj!AR1063*(-PMT($J$110,tech_base!$F99,1))+1000*tech_proj!AR1343)/((1-tech_proj!AR503)*tech_proj!AR783*$L$110))</f>
        <v>24.619304190973871</v>
      </c>
      <c r="AS723" s="69">
        <f>IF(tech_base!$T99&gt;AS$625,"",(1000*tech_proj!AS1063*(-PMT($J$110,tech_base!$F99,1))+1000*tech_proj!AS1343)/((1-tech_proj!AS503)*tech_proj!AS783*$L$110))</f>
        <v>24.586020383698525</v>
      </c>
      <c r="AT723" s="69">
        <f>IF(tech_base!$T99&gt;AT$625,"",(1000*tech_proj!AT1063*(-PMT($J$110,tech_base!$F99,1))+1000*tech_proj!AT1343)/((1-tech_proj!AT503)*tech_proj!AT783*$L$110))</f>
        <v>24.551975874416051</v>
      </c>
      <c r="AU723" s="69">
        <f>IF(tech_base!$T99&gt;AU$625,"",(1000*tech_proj!AU1063*(-PMT($J$110,tech_base!$F99,1))+1000*tech_proj!AU1343)/((1-tech_proj!AU503)*tech_proj!AU783*$L$110))</f>
        <v>24.517339484612286</v>
      </c>
      <c r="AV723" s="69">
        <f>IF(tech_base!$T99&gt;AV$625,"",(1000*tech_proj!AV1063*(-PMT($J$110,tech_base!$F99,1))+1000*tech_proj!AV1343)/((1-tech_proj!AV503)*tech_proj!AV783*$L$110))</f>
        <v>24.48229542059541</v>
      </c>
      <c r="AW723" s="69">
        <f>IF(tech_base!$T99&gt;AW$625,"",(1000*tech_proj!AW1063*(-PMT($J$110,tech_base!$F99,1))+1000*tech_proj!AW1343)/((1-tech_proj!AW503)*tech_proj!AW783*$L$110))</f>
        <v>24.447039967511575</v>
      </c>
      <c r="AX723" s="235">
        <f>IF(tech_base!$T99&gt;AX$625,"",(1000*tech_proj!AX1063*(-PMT($J$110,tech_base!$F99,1))+1000*tech_proj!AX1343)/((1-tech_proj!AX503)*tech_proj!AX783*$L$110))</f>
        <v>24.411777572010443</v>
      </c>
      <c r="AY723" s="133"/>
    </row>
    <row r="724" spans="1:51" s="174" customFormat="1" x14ac:dyDescent="0.25">
      <c r="A724" s="356"/>
      <c r="B724" s="376"/>
      <c r="C724" s="361" t="s">
        <v>14</v>
      </c>
      <c r="D724" s="2" t="s">
        <v>8</v>
      </c>
      <c r="E724" s="164" t="str">
        <f>A709&amp;"/"&amp;B721&amp;"/"&amp;C724&amp;"/"&amp;D724</f>
        <v>Gas fired power plants (Natural gas, biogas)/Gas turbine /CHP/M</v>
      </c>
      <c r="F724" s="78" t="str">
        <f>A709</f>
        <v>Gas fired power plants (Natural gas, biogas)</v>
      </c>
      <c r="G724" s="78" t="str">
        <f>B721</f>
        <v xml:space="preserve">Gas turbine </v>
      </c>
      <c r="H724" s="78" t="str">
        <f>C724</f>
        <v>CHP</v>
      </c>
      <c r="I724" s="165" t="str">
        <f t="shared" si="363"/>
        <v>M</v>
      </c>
      <c r="J724" s="71">
        <f>IF(tech_base!$T100&gt;J$625,"",(1000*tech_proj!J1064*(-PMT($J$110,tech_base!$F100,1))+1000*tech_proj!J1344)/((1-tech_proj!J504)*tech_proj!J784*$L$110))</f>
        <v>24.035399231869714</v>
      </c>
      <c r="K724" s="71">
        <f>IF(tech_base!$T100&gt;K$625,"",(1000*tech_proj!K1064*(-PMT($J$110,tech_base!$F100,1))+1000*tech_proj!K1344)/((1-tech_proj!K504)*tech_proj!K784*$L$110))</f>
        <v>24.034835945997756</v>
      </c>
      <c r="L724" s="71">
        <f>IF(tech_base!$T100&gt;L$625,"",(1000*tech_proj!L1064*(-PMT($J$110,tech_base!$F100,1))+1000*tech_proj!L1344)/((1-tech_proj!L504)*tech_proj!L784*$L$110))</f>
        <v>24.034213971437882</v>
      </c>
      <c r="M724" s="71">
        <f>IF(tech_base!$T100&gt;M$625,"",(1000*tech_proj!M1064*(-PMT($J$110,tech_base!$F100,1))+1000*tech_proj!M1344)/((1-tech_proj!M504)*tech_proj!M784*$L$110))</f>
        <v>24.033527257283776</v>
      </c>
      <c r="N724" s="71">
        <f>IF(tech_base!$T100&gt;N$625,"",(1000*tech_proj!N1064*(-PMT($J$110,tech_base!$F100,1))+1000*tech_proj!N1344)/((1-tech_proj!N504)*tech_proj!N784*$L$110))</f>
        <v>24.032769142819664</v>
      </c>
      <c r="O724" s="71">
        <f>IF(tech_base!$T100&gt;O$625,"",(1000*tech_proj!O1064*(-PMT($J$110,tech_base!$F100,1))+1000*tech_proj!O1344)/((1-tech_proj!O504)*tech_proj!O784*$L$110))</f>
        <v>24.031932299159141</v>
      </c>
      <c r="P724" s="71">
        <f>IF(tech_base!$T100&gt;P$625,"",(1000*tech_proj!P1064*(-PMT($J$110,tech_base!$F100,1))+1000*tech_proj!P1344)/((1-tech_proj!P504)*tech_proj!P784*$L$110))</f>
        <v>24.031008665986452</v>
      </c>
      <c r="Q724" s="71">
        <f>IF(tech_base!$T100&gt;Q$625,"",(1000*tech_proj!Q1064*(-PMT($J$110,tech_base!$F100,1))+1000*tech_proj!Q1344)/((1-tech_proj!Q504)*tech_proj!Q784*$L$110))</f>
        <v>24.029989383146766</v>
      </c>
      <c r="R724" s="71">
        <f>IF(tech_base!$T100&gt;R$625,"",(1000*tech_proj!R1064*(-PMT($J$110,tech_base!$F100,1))+1000*tech_proj!R1344)/((1-tech_proj!R504)*tech_proj!R784*$L$110))</f>
        <v>24.028864716858994</v>
      </c>
      <c r="S724" s="71">
        <f>IF(tech_base!$T100&gt;S$625,"",(1000*tech_proj!S1064*(-PMT($J$110,tech_base!$F100,1))+1000*tech_proj!S1344)/((1-tech_proj!S504)*tech_proj!S784*$L$110))</f>
        <v>24.027623980364549</v>
      </c>
      <c r="T724" s="71">
        <f>IF(tech_base!$T100&gt;T$625,"",(1000*tech_proj!T1064*(-PMT($J$110,tech_base!$F100,1))+1000*tech_proj!T1344)/((1-tech_proj!T504)*tech_proj!T784*$L$110))</f>
        <v>24.02625544888209</v>
      </c>
      <c r="U724" s="71">
        <f>IF(tech_base!$T100&gt;U$625,"",(1000*tech_proj!U1064*(-PMT($J$110,tech_base!$F100,1))+1000*tech_proj!U1344)/((1-tech_proj!U504)*tech_proj!U784*$L$110))</f>
        <v>24.024746268814827</v>
      </c>
      <c r="V724" s="71">
        <f>IF(tech_base!$T100&gt;V$625,"",(1000*tech_proj!V1064*(-PMT($J$110,tech_base!$F100,1))+1000*tech_proj!V1344)/((1-tech_proj!V504)*tech_proj!V784*$L$110))</f>
        <v>24.023082361258187</v>
      </c>
      <c r="W724" s="71">
        <f>IF(tech_base!$T100&gt;W$625,"",(1000*tech_proj!W1064*(-PMT($J$110,tech_base!$F100,1))+1000*tech_proj!W1344)/((1-tech_proj!W504)*tech_proj!W784*$L$110))</f>
        <v>24.021248319986476</v>
      </c>
      <c r="X724" s="71">
        <f>IF(tech_base!$T100&gt;X$625,"",(1000*tech_proj!X1064*(-PMT($J$110,tech_base!$F100,1))+1000*tech_proj!X1344)/((1-tech_proj!X504)*tech_proj!X784*$L$110))</f>
        <v>24.019227304263982</v>
      </c>
      <c r="Y724" s="71">
        <f>IF(tech_base!$T100&gt;Y$625,"",(1000*tech_proj!Y1064*(-PMT($J$110,tech_base!$F100,1))+1000*tech_proj!Y1344)/((1-tech_proj!Y504)*tech_proj!Y784*$L$110))</f>
        <v>24.01700092703415</v>
      </c>
      <c r="Z724" s="71">
        <f>IF(tech_base!$T100&gt;Z$625,"",(1000*tech_proj!Z1064*(-PMT($J$110,tech_base!$F100,1))+1000*tech_proj!Z1344)/((1-tech_proj!Z504)*tech_proj!Z784*$L$110))</f>
        <v>24.014549139299433</v>
      </c>
      <c r="AA724" s="71">
        <f>IF(tech_base!$T100&gt;AA$625,"",(1000*tech_proj!AA1064*(-PMT($J$110,tech_base!$F100,1))+1000*tech_proj!AA1344)/((1-tech_proj!AA504)*tech_proj!AA784*$L$110))</f>
        <v>24.011850111820369</v>
      </c>
      <c r="AB724" s="71">
        <f>IF(tech_base!$T100&gt;AB$625,"",(1000*tech_proj!AB1064*(-PMT($J$110,tech_base!$F100,1))+1000*tech_proj!AB1344)/((1-tech_proj!AB504)*tech_proj!AB784*$L$110))</f>
        <v>24.00888011564491</v>
      </c>
      <c r="AC724" s="71">
        <f>IF(tech_base!$T100&gt;AC$625,"",(1000*tech_proj!AC1064*(-PMT($J$110,tech_base!$F100,1))+1000*tech_proj!AC1344)/((1-tech_proj!AC504)*tech_proj!AC784*$L$110))</f>
        <v>24.005613403437543</v>
      </c>
      <c r="AD724" s="71">
        <f>IF(tech_base!$T100&gt;AD$625,"",(1000*tech_proj!AD1064*(-PMT($J$110,tech_base!$F100,1))+1000*tech_proj!AD1344)/((1-tech_proj!AD504)*tech_proj!AD784*$L$110))</f>
        <v>24.002022094119763</v>
      </c>
      <c r="AE724" s="71">
        <f>IF(tech_base!$T100&gt;AE$625,"",(1000*tech_proj!AE1064*(-PMT($J$110,tech_base!$F100,1))+1000*tech_proj!AE1344)/((1-tech_proj!AE504)*tech_proj!AE784*$L$110))</f>
        <v>23.998076063968718</v>
      </c>
      <c r="AF724" s="71">
        <f>IF(tech_base!$T100&gt;AF$625,"",(1000*tech_proj!AF1064*(-PMT($J$110,tech_base!$F100,1))+1000*tech_proj!AF1344)/((1-tech_proj!AF504)*tech_proj!AF784*$L$110))</f>
        <v>23.993742848054946</v>
      </c>
      <c r="AG724" s="71">
        <f>IF(tech_base!$T100&gt;AG$625,"",(1000*tech_proj!AG1064*(-PMT($J$110,tech_base!$F100,1))+1000*tech_proj!AG1344)/((1-tech_proj!AG504)*tech_proj!AG784*$L$110))</f>
        <v>23.988987556737687</v>
      </c>
      <c r="AH724" s="71">
        <f>IF(tech_base!$T100&gt;AH$625,"",(1000*tech_proj!AH1064*(-PMT($J$110,tech_base!$F100,1))+1000*tech_proj!AH1344)/((1-tech_proj!AH504)*tech_proj!AH784*$L$110))</f>
        <v>23.98377281287728</v>
      </c>
      <c r="AI724" s="71">
        <f>IF(tech_base!$T100&gt;AI$625,"",(1000*tech_proj!AI1064*(-PMT($J$110,tech_base!$F100,1))+1000*tech_proj!AI1344)/((1-tech_proj!AI504)*tech_proj!AI784*$L$110))</f>
        <v>23.978058716462016</v>
      </c>
      <c r="AJ724" s="71">
        <f>IF(tech_base!$T100&gt;AJ$625,"",(1000*tech_proj!AJ1064*(-PMT($J$110,tech_base!$F100,1))+1000*tech_proj!AJ1344)/((1-tech_proj!AJ504)*tech_proj!AJ784*$L$110))</f>
        <v>23.971802844468041</v>
      </c>
      <c r="AK724" s="71">
        <f>IF(tech_base!$T100&gt;AK$625,"",(1000*tech_proj!AK1064*(-PMT($J$110,tech_base!$F100,1))+1000*tech_proj!AK1344)/((1-tech_proj!AK504)*tech_proj!AK784*$L$110))</f>
        <v>23.964960294948906</v>
      </c>
      <c r="AL724" s="71">
        <f>IF(tech_base!$T100&gt;AL$625,"",(1000*tech_proj!AL1064*(-PMT($J$110,tech_base!$F100,1))+1000*tech_proj!AL1344)/((1-tech_proj!AL504)*tech_proj!AL784*$L$110))</f>
        <v>23.957483785546433</v>
      </c>
      <c r="AM724" s="71">
        <f>IF(tech_base!$T100&gt;AM$625,"",(1000*tech_proj!AM1064*(-PMT($J$110,tech_base!$F100,1))+1000*tech_proj!AM1344)/((1-tech_proj!AM504)*tech_proj!AM784*$L$110))</f>
        <v>23.949323817768612</v>
      </c>
      <c r="AN724" s="71">
        <f>IF(tech_base!$T100&gt;AN$625,"",(1000*tech_proj!AN1064*(-PMT($J$110,tech_base!$F100,1))+1000*tech_proj!AN1344)/((1-tech_proj!AN504)*tech_proj!AN784*$L$110))</f>
        <v>23.940428919412454</v>
      </c>
      <c r="AO724" s="71">
        <f>IF(tech_base!$T100&gt;AO$625,"",(1000*tech_proj!AO1064*(-PMT($J$110,tech_base!$F100,1))+1000*tech_proj!AO1344)/((1-tech_proj!AO504)*tech_proj!AO784*$L$110))</f>
        <v>23.930745978315027</v>
      </c>
      <c r="AP724" s="71">
        <f>IF(tech_base!$T100&gt;AP$625,"",(1000*tech_proj!AP1064*(-PMT($J$110,tech_base!$F100,1))+1000*tech_proj!AP1344)/((1-tech_proj!AP504)*tech_proj!AP784*$L$110))</f>
        <v>23.920220681060261</v>
      </c>
      <c r="AQ724" s="71">
        <f>IF(tech_base!$T100&gt;AQ$625,"",(1000*tech_proj!AQ1064*(-PMT($J$110,tech_base!$F100,1))+1000*tech_proj!AQ1344)/((1-tech_proj!AQ504)*tech_proj!AQ784*$L$110))</f>
        <v>23.908798070189015</v>
      </c>
      <c r="AR724" s="71">
        <f>IF(tech_base!$T100&gt;AR$625,"",(1000*tech_proj!AR1064*(-PMT($J$110,tech_base!$F100,1))+1000*tech_proj!AR1344)/((1-tech_proj!AR504)*tech_proj!AR784*$L$110))</f>
        <v>23.896423232664855</v>
      </c>
      <c r="AS724" s="71">
        <f>IF(tech_base!$T100&gt;AS$625,"",(1000*tech_proj!AS1064*(-PMT($J$110,tech_base!$F100,1))+1000*tech_proj!AS1344)/((1-tech_proj!AS504)*tech_proj!AS784*$L$110))</f>
        <v>23.883042130623291</v>
      </c>
      <c r="AT724" s="71">
        <f>IF(tech_base!$T100&gt;AT$625,"",(1000*tech_proj!AT1064*(-PMT($J$110,tech_base!$F100,1))+1000*tech_proj!AT1344)/((1-tech_proj!AT504)*tech_proj!AT784*$L$110))</f>
        <v>23.868602582552441</v>
      </c>
      <c r="AU724" s="71">
        <f>IF(tech_base!$T100&gt;AU$625,"",(1000*tech_proj!AU1064*(-PMT($J$110,tech_base!$F100,1))+1000*tech_proj!AU1344)/((1-tech_proj!AU504)*tech_proj!AU784*$L$110))</f>
        <v>23.853055398796524</v>
      </c>
      <c r="AV724" s="71">
        <f>IF(tech_base!$T100&gt;AV$625,"",(1000*tech_proj!AV1064*(-PMT($J$110,tech_base!$F100,1))+1000*tech_proj!AV1344)/((1-tech_proj!AV504)*tech_proj!AV784*$L$110))</f>
        <v>23.836355669450423</v>
      </c>
      <c r="AW724" s="71">
        <f>IF(tech_base!$T100&gt;AW$625,"",(1000*tech_proj!AW1064*(-PMT($J$110,tech_base!$F100,1))+1000*tech_proj!AW1344)/((1-tech_proj!AW504)*tech_proj!AW784*$L$110))</f>
        <v>23.818464195195656</v>
      </c>
      <c r="AX724" s="237">
        <f>IF(tech_base!$T100&gt;AX$625,"",(1000*tech_proj!AX1064*(-PMT($J$110,tech_base!$F100,1))+1000*tech_proj!AX1344)/((1-tech_proj!AX504)*tech_proj!AX784*$L$110))</f>
        <v>23.799349042395903</v>
      </c>
      <c r="AY724" s="133"/>
    </row>
    <row r="725" spans="1:51" s="174" customFormat="1" x14ac:dyDescent="0.25">
      <c r="A725" s="356"/>
      <c r="B725" s="376"/>
      <c r="C725" s="378"/>
      <c r="D725" s="2" t="s">
        <v>10</v>
      </c>
      <c r="E725" s="160" t="str">
        <f>A709&amp;"/"&amp;B721&amp;"/"&amp;C724&amp;"/"&amp;D725</f>
        <v>Gas fired power plants (Natural gas, biogas)/Gas turbine /CHP/S</v>
      </c>
      <c r="F725" s="76" t="str">
        <f>A709</f>
        <v>Gas fired power plants (Natural gas, biogas)</v>
      </c>
      <c r="G725" s="76" t="str">
        <f>B721</f>
        <v xml:space="preserve">Gas turbine </v>
      </c>
      <c r="H725" s="76" t="str">
        <f>C724</f>
        <v>CHP</v>
      </c>
      <c r="I725" s="161" t="str">
        <f t="shared" si="363"/>
        <v>S</v>
      </c>
      <c r="J725" s="69">
        <f>IF(tech_base!$T101&gt;J$625,"",(1000*tech_proj!J1065*(-PMT($J$110,tech_base!$F101,1))+1000*tech_proj!J1345)/((1-tech_proj!J505)*tech_proj!J785*$L$110))</f>
        <v>24.516758656690101</v>
      </c>
      <c r="K725" s="69">
        <f>IF(tech_base!$T101&gt;K$625,"",(1000*tech_proj!K1065*(-PMT($J$110,tech_base!$F101,1))+1000*tech_proj!K1345)/((1-tech_proj!K505)*tech_proj!K785*$L$110))</f>
        <v>24.515807548495808</v>
      </c>
      <c r="L725" s="69">
        <f>IF(tech_base!$T101&gt;L$625,"",(1000*tech_proj!L1065*(-PMT($J$110,tech_base!$F101,1))+1000*tech_proj!L1345)/((1-tech_proj!L505)*tech_proj!L785*$L$110))</f>
        <v>24.514757869852467</v>
      </c>
      <c r="M725" s="69">
        <f>IF(tech_base!$T101&gt;M$625,"",(1000*tech_proj!M1065*(-PMT($J$110,tech_base!$F101,1))+1000*tech_proj!M1345)/((1-tech_proj!M505)*tech_proj!M785*$L$110))</f>
        <v>24.513599573251852</v>
      </c>
      <c r="N725" s="69">
        <f>IF(tech_base!$T101&gt;N$625,"",(1000*tech_proj!N1065*(-PMT($J$110,tech_base!$F101,1))+1000*tech_proj!N1345)/((1-tech_proj!N505)*tech_proj!N785*$L$110))</f>
        <v>24.512321623888568</v>
      </c>
      <c r="O725" s="69">
        <f>IF(tech_base!$T101&gt;O$625,"",(1000*tech_proj!O1065*(-PMT($J$110,tech_base!$F101,1))+1000*tech_proj!O1345)/((1-tech_proj!O505)*tech_proj!O785*$L$110))</f>
        <v>24.510911910754341</v>
      </c>
      <c r="P725" s="69">
        <f>IF(tech_base!$T101&gt;P$625,"",(1000*tech_proj!P1065*(-PMT($J$110,tech_base!$F101,1))+1000*tech_proj!P1345)/((1-tech_proj!P505)*tech_proj!P785*$L$110))</f>
        <v>24.509357151537429</v>
      </c>
      <c r="Q725" s="69">
        <f>IF(tech_base!$T101&gt;Q$625,"",(1000*tech_proj!Q1065*(-PMT($J$110,tech_base!$F101,1))+1000*tech_proj!Q1345)/((1-tech_proj!Q505)*tech_proj!Q785*$L$110))</f>
        <v>24.507642791323313</v>
      </c>
      <c r="R725" s="69">
        <f>IF(tech_base!$T101&gt;R$625,"",(1000*tech_proj!R1065*(-PMT($J$110,tech_base!$F101,1))+1000*tech_proj!R1345)/((1-tech_proj!R505)*tech_proj!R785*$L$110))</f>
        <v>24.50575289521894</v>
      </c>
      <c r="S725" s="69">
        <f>IF(tech_base!$T101&gt;S$625,"",(1000*tech_proj!S1065*(-PMT($J$110,tech_base!$F101,1))+1000*tech_proj!S1345)/((1-tech_proj!S505)*tech_proj!S785*$L$110))</f>
        <v>24.503670035184253</v>
      </c>
      <c r="T725" s="69">
        <f>IF(tech_base!$T101&gt;T$625,"",(1000*tech_proj!T1065*(-PMT($J$110,tech_base!$F101,1))+1000*tech_proj!T1345)/((1-tech_proj!T505)*tech_proj!T785*$L$110))</f>
        <v>24.50137517155888</v>
      </c>
      <c r="U725" s="69">
        <f>IF(tech_base!$T101&gt;U$625,"",(1000*tech_proj!U1065*(-PMT($J$110,tech_base!$F101,1))+1000*tech_proj!U1345)/((1-tech_proj!U505)*tech_proj!U785*$L$110))</f>
        <v>24.498847530026389</v>
      </c>
      <c r="V725" s="69">
        <f>IF(tech_base!$T101&gt;V$625,"",(1000*tech_proj!V1065*(-PMT($J$110,tech_base!$F101,1))+1000*tech_proj!V1345)/((1-tech_proj!V505)*tech_proj!V785*$L$110))</f>
        <v>24.496064475071861</v>
      </c>
      <c r="W725" s="69">
        <f>IF(tech_base!$T101&gt;W$625,"",(1000*tech_proj!W1065*(-PMT($J$110,tech_base!$F101,1))+1000*tech_proj!W1345)/((1-tech_proj!W505)*tech_proj!W785*$L$110))</f>
        <v>24.493001381370348</v>
      </c>
      <c r="X725" s="69">
        <f>IF(tech_base!$T101&gt;X$625,"",(1000*tech_proj!X1065*(-PMT($J$110,tech_base!$F101,1))+1000*tech_proj!X1345)/((1-tech_proj!X505)*tech_proj!X785*$L$110))</f>
        <v>24.489631505003789</v>
      </c>
      <c r="Y725" s="69">
        <f>IF(tech_base!$T101&gt;Y$625,"",(1000*tech_proj!Y1065*(-PMT($J$110,tech_base!$F101,1))+1000*tech_proj!Y1345)/((1-tech_proj!Y505)*tech_proj!Y785*$L$110))</f>
        <v>24.485925856952651</v>
      </c>
      <c r="Z725" s="69">
        <f>IF(tech_base!$T101&gt;Z$625,"",(1000*tech_proj!Z1065*(-PMT($J$110,tech_base!$F101,1))+1000*tech_proj!Z1345)/((1-tech_proj!Z505)*tech_proj!Z785*$L$110))</f>
        <v>24.481853081955148</v>
      </c>
      <c r="AA725" s="69">
        <f>IF(tech_base!$T101&gt;AA$625,"",(1000*tech_proj!AA1065*(-PMT($J$110,tech_base!$F101,1))+1000*tech_proj!AA1345)/((1-tech_proj!AA505)*tech_proj!AA785*$L$110))</f>
        <v>24.477379346581369</v>
      </c>
      <c r="AB725" s="69">
        <f>IF(tech_base!$T101&gt;AB$625,"",(1000*tech_proj!AB1065*(-PMT($J$110,tech_base!$F101,1))+1000*tech_proj!AB1345)/((1-tech_proj!AB505)*tech_proj!AB785*$L$110))</f>
        <v>24.472468241237276</v>
      </c>
      <c r="AC725" s="69">
        <f>IF(tech_base!$T101&gt;AC$625,"",(1000*tech_proj!AC1065*(-PMT($J$110,tech_base!$F101,1))+1000*tech_proj!AC1345)/((1-tech_proj!AC505)*tech_proj!AC785*$L$110))</f>
        <v>24.467080701798963</v>
      </c>
      <c r="AD725" s="69">
        <f>IF(tech_base!$T101&gt;AD$625,"",(1000*tech_proj!AD1065*(-PMT($J$110,tech_base!$F101,1))+1000*tech_proj!AD1345)/((1-tech_proj!AD505)*tech_proj!AD785*$L$110))</f>
        <v>24.46117495767805</v>
      </c>
      <c r="AE725" s="69">
        <f>IF(tech_base!$T101&gt;AE$625,"",(1000*tech_proj!AE1065*(-PMT($J$110,tech_base!$F101,1))+1000*tech_proj!AE1345)/((1-tech_proj!AE505)*tech_proj!AE785*$L$110))</f>
        <v>24.454706514324904</v>
      </c>
      <c r="AF725" s="69">
        <f>IF(tech_base!$T101&gt;AF$625,"",(1000*tech_proj!AF1065*(-PMT($J$110,tech_base!$F101,1))+1000*tech_proj!AF1345)/((1-tech_proj!AF505)*tech_proj!AF785*$L$110))</f>
        <v>24.447628179467515</v>
      </c>
      <c r="AG725" s="69">
        <f>IF(tech_base!$T101&gt;AG$625,"",(1000*tech_proj!AG1065*(-PMT($J$110,tech_base!$F101,1))+1000*tech_proj!AG1345)/((1-tech_proj!AG505)*tech_proj!AG785*$L$110))</f>
        <v>24.439890143726075</v>
      </c>
      <c r="AH725" s="69">
        <f>IF(tech_base!$T101&gt;AH$625,"",(1000*tech_proj!AH1065*(-PMT($J$110,tech_base!$F101,1))+1000*tech_proj!AH1345)/((1-tech_proj!AH505)*tech_proj!AH785*$L$110))</f>
        <v>24.431440127583674</v>
      </c>
      <c r="AI725" s="69">
        <f>IF(tech_base!$T101&gt;AI$625,"",(1000*tech_proj!AI1065*(-PMT($J$110,tech_base!$F101,1))+1000*tech_proj!AI1345)/((1-tech_proj!AI505)*tech_proj!AI785*$L$110))</f>
        <v>24.422223607958827</v>
      </c>
      <c r="AJ725" s="69">
        <f>IF(tech_base!$T101&gt;AJ$625,"",(1000*tech_proj!AJ1065*(-PMT($J$110,tech_base!$F101,1))+1000*tech_proj!AJ1345)/((1-tech_proj!AJ505)*tech_proj!AJ785*$L$110))</f>
        <v>24.412184138712654</v>
      </c>
      <c r="AK725" s="69">
        <f>IF(tech_base!$T101&gt;AK$625,"",(1000*tech_proj!AK1065*(-PMT($J$110,tech_base!$F101,1))+1000*tech_proj!AK1345)/((1-tech_proj!AK505)*tech_proj!AK785*$L$110))</f>
        <v>24.401263780202566</v>
      </c>
      <c r="AL725" s="69">
        <f>IF(tech_base!$T101&gt;AL$625,"",(1000*tech_proj!AL1065*(-PMT($J$110,tech_base!$F101,1))+1000*tech_proj!AL1345)/((1-tech_proj!AL505)*tech_proj!AL785*$L$110))</f>
        <v>24.389403653297901</v>
      </c>
      <c r="AM725" s="69">
        <f>IF(tech_base!$T101&gt;AM$625,"",(1000*tech_proj!AM1065*(-PMT($J$110,tech_base!$F101,1))+1000*tech_proj!AM1345)/((1-tech_proj!AM505)*tech_proj!AM785*$L$110))</f>
        <v>24.376544632901993</v>
      </c>
      <c r="AN725" s="69">
        <f>IF(tech_base!$T101&gt;AN$625,"",(1000*tech_proj!AN1065*(-PMT($J$110,tech_base!$F101,1))+1000*tech_proj!AN1345)/((1-tech_proj!AN505)*tech_proj!AN785*$L$110))</f>
        <v>24.362628194748101</v>
      </c>
      <c r="AO725" s="69">
        <f>IF(tech_base!$T101&gt;AO$625,"",(1000*tech_proj!AO1065*(-PMT($J$110,tech_base!$F101,1))+1000*tech_proj!AO1345)/((1-tech_proj!AO505)*tech_proj!AO785*$L$110))</f>
        <v>24.347597426795954</v>
      </c>
      <c r="AP725" s="69">
        <f>IF(tech_base!$T101&gt;AP$625,"",(1000*tech_proj!AP1065*(-PMT($J$110,tech_base!$F101,1))+1000*tech_proj!AP1345)/((1-tech_proj!AP505)*tech_proj!AP785*$L$110))</f>
        <v>24.33139821268685</v>
      </c>
      <c r="AQ725" s="69">
        <f>IF(tech_base!$T101&gt;AQ$625,"",(1000*tech_proj!AQ1065*(-PMT($J$110,tech_base!$F101,1))+1000*tech_proj!AQ1345)/((1-tech_proj!AQ505)*tech_proj!AQ785*$L$110))</f>
        <v>24.313980589163013</v>
      </c>
      <c r="AR725" s="69">
        <f>IF(tech_base!$T101&gt;AR$625,"",(1000*tech_proj!AR1065*(-PMT($J$110,tech_base!$F101,1))+1000*tech_proj!AR1345)/((1-tech_proj!AR505)*tech_proj!AR785*$L$110))</f>
        <v>24.295300271913622</v>
      </c>
      <c r="AS725" s="69">
        <f>IF(tech_base!$T101&gt;AS$625,"",(1000*tech_proj!AS1065*(-PMT($J$110,tech_base!$F101,1))+1000*tech_proj!AS1345)/((1-tech_proj!AS505)*tech_proj!AS785*$L$110))</f>
        <v>24.2753203348549</v>
      </c>
      <c r="AT725" s="69">
        <f>IF(tech_base!$T101&gt;AT$625,"",(1000*tech_proj!AT1065*(-PMT($J$110,tech_base!$F101,1))+1000*tech_proj!AT1345)/((1-tech_proj!AT505)*tech_proj!AT785*$L$110))</f>
        <v>24.254013016403928</v>
      </c>
      <c r="AU725" s="69">
        <f>IF(tech_base!$T101&gt;AU$625,"",(1000*tech_proj!AU1065*(-PMT($J$110,tech_base!$F101,1))+1000*tech_proj!AU1345)/((1-tech_proj!AU505)*tech_proj!AU785*$L$110))</f>
        <v>24.231361613084367</v>
      </c>
      <c r="AV725" s="69">
        <f>IF(tech_base!$T101&gt;AV$625,"",(1000*tech_proj!AV1065*(-PMT($J$110,tech_base!$F101,1))+1000*tech_proj!AV1345)/((1-tech_proj!AV505)*tech_proj!AV785*$L$110))</f>
        <v>24.207362406281192</v>
      </c>
      <c r="AW725" s="69">
        <f>IF(tech_base!$T101&gt;AW$625,"",(1000*tech_proj!AW1065*(-PMT($J$110,tech_base!$F101,1))+1000*tech_proj!AW1345)/((1-tech_proj!AW505)*tech_proj!AW785*$L$110))</f>
        <v>24.182026552921243</v>
      </c>
      <c r="AX725" s="235">
        <f>IF(tech_base!$T101&gt;AX$625,"",(1000*tech_proj!AX1065*(-PMT($J$110,tech_base!$F101,1))+1000*tech_proj!AX1345)/((1-tech_proj!AX505)*tech_proj!AX785*$L$110))</f>
        <v>24.155381856407395</v>
      </c>
      <c r="AY725" s="133"/>
    </row>
    <row r="726" spans="1:51" s="174" customFormat="1" x14ac:dyDescent="0.25">
      <c r="A726" s="356"/>
      <c r="B726" s="380"/>
      <c r="C726" s="381"/>
      <c r="D726" s="4" t="s">
        <v>20</v>
      </c>
      <c r="E726" s="168" t="str">
        <f>A709&amp;"/"&amp;B721&amp;"/"&amp;C724&amp;"/"&amp;D726</f>
        <v>Gas fired power plants (Natural gas, biogas)/Gas turbine /CHP/XS</v>
      </c>
      <c r="F726" s="80" t="str">
        <f>A709</f>
        <v>Gas fired power plants (Natural gas, biogas)</v>
      </c>
      <c r="G726" s="80" t="str">
        <f>B721</f>
        <v xml:space="preserve">Gas turbine </v>
      </c>
      <c r="H726" s="80" t="str">
        <f>C724</f>
        <v>CHP</v>
      </c>
      <c r="I726" s="169" t="str">
        <f t="shared" si="363"/>
        <v>XS</v>
      </c>
      <c r="J726" s="73">
        <f>IF(tech_base!$T102&gt;J$625,"",(1000*tech_proj!J1066*(-PMT($J$110,tech_base!$F102,1))+1000*tech_proj!J1346)/((1-tech_proj!J506)*tech_proj!J786*$L$110))</f>
        <v>29.1438367185043</v>
      </c>
      <c r="K726" s="73">
        <f>IF(tech_base!$T102&gt;K$625,"",(1000*tech_proj!K1066*(-PMT($J$110,tech_base!$F102,1))+1000*tech_proj!K1346)/((1-tech_proj!K506)*tech_proj!K786*$L$110))</f>
        <v>29.142706106488887</v>
      </c>
      <c r="L726" s="73">
        <f>IF(tech_base!$T102&gt;L$625,"",(1000*tech_proj!L1066*(-PMT($J$110,tech_base!$F102,1))+1000*tech_proj!L1346)/((1-tech_proj!L506)*tech_proj!L786*$L$110))</f>
        <v>29.141458320702167</v>
      </c>
      <c r="M726" s="73">
        <f>IF(tech_base!$T102&gt;M$625,"",(1000*tech_proj!M1066*(-PMT($J$110,tech_base!$F102,1))+1000*tech_proj!M1346)/((1-tech_proj!M506)*tech_proj!M786*$L$110))</f>
        <v>29.140081417357287</v>
      </c>
      <c r="N726" s="73">
        <f>IF(tech_base!$T102&gt;N$625,"",(1000*tech_proj!N1066*(-PMT($J$110,tech_base!$F102,1))+1000*tech_proj!N1346)/((1-tech_proj!N506)*tech_proj!N786*$L$110))</f>
        <v>29.138562279036453</v>
      </c>
      <c r="O726" s="73">
        <f>IF(tech_base!$T102&gt;O$625,"",(1000*tech_proj!O1066*(-PMT($J$110,tech_base!$F102,1))+1000*tech_proj!O1346)/((1-tech_proj!O506)*tech_proj!O786*$L$110))</f>
        <v>29.136886509005873</v>
      </c>
      <c r="P726" s="73">
        <f>IF(tech_base!$T102&gt;P$625,"",(1000*tech_proj!P1066*(-PMT($J$110,tech_base!$F102,1))+1000*tech_proj!P1346)/((1-tech_proj!P506)*tech_proj!P786*$L$110))</f>
        <v>29.13503831816675</v>
      </c>
      <c r="Q726" s="73">
        <f>IF(tech_base!$T102&gt;Q$625,"",(1000*tech_proj!Q1066*(-PMT($J$110,tech_base!$F102,1))+1000*tech_proj!Q1346)/((1-tech_proj!Q506)*tech_proj!Q786*$L$110))</f>
        <v>29.133000404637613</v>
      </c>
      <c r="R726" s="73">
        <f>IF(tech_base!$T102&gt;R$625,"",(1000*tech_proj!R1066*(-PMT($J$110,tech_base!$F102,1))+1000*tech_proj!R1346)/((1-tech_proj!R506)*tech_proj!R786*$L$110))</f>
        <v>29.13075382611343</v>
      </c>
      <c r="S726" s="73">
        <f>IF(tech_base!$T102&gt;S$625,"",(1000*tech_proj!S1066*(-PMT($J$110,tech_base!$F102,1))+1000*tech_proj!S1346)/((1-tech_proj!S506)*tech_proj!S786*$L$110))</f>
        <v>29.128277865338667</v>
      </c>
      <c r="T726" s="73">
        <f>IF(tech_base!$T102&gt;T$625,"",(1000*tech_proj!T1066*(-PMT($J$110,tech_base!$F102,1))+1000*tech_proj!T1346)/((1-tech_proj!T506)*tech_proj!T786*$L$110))</f>
        <v>29.125549889274392</v>
      </c>
      <c r="U726" s="73">
        <f>IF(tech_base!$T102&gt;U$625,"",(1000*tech_proj!U1066*(-PMT($J$110,tech_base!$F102,1))+1000*tech_proj!U1346)/((1-tech_proj!U506)*tech_proj!U786*$L$110))</f>
        <v>29.122545202841835</v>
      </c>
      <c r="V726" s="73">
        <f>IF(tech_base!$T102&gt;V$625,"",(1000*tech_proj!V1066*(-PMT($J$110,tech_base!$F102,1))+1000*tech_proj!V1346)/((1-tech_proj!V506)*tech_proj!V786*$L$110))</f>
        <v>29.119236898497483</v>
      </c>
      <c r="W726" s="73">
        <f>IF(tech_base!$T102&gt;W$625,"",(1000*tech_proj!W1066*(-PMT($J$110,tech_base!$F102,1))+1000*tech_proj!W1346)/((1-tech_proj!W506)*tech_proj!W786*$L$110))</f>
        <v>29.115595703348461</v>
      </c>
      <c r="X726" s="73">
        <f>IF(tech_base!$T102&gt;X$625,"",(1000*tech_proj!X1066*(-PMT($J$110,tech_base!$F102,1))+1000*tech_proj!X1346)/((1-tech_proj!X506)*tech_proj!X786*$L$110))</f>
        <v>29.111589826064133</v>
      </c>
      <c r="Y726" s="73">
        <f>IF(tech_base!$T102&gt;Y$625,"",(1000*tech_proj!Y1066*(-PMT($J$110,tech_base!$F102,1))+1000*tech_proj!Y1346)/((1-tech_proj!Y506)*tech_proj!Y786*$L$110))</f>
        <v>29.107184806491556</v>
      </c>
      <c r="Z726" s="73">
        <f>IF(tech_base!$T102&gt;Z$625,"",(1000*tech_proj!Z1066*(-PMT($J$110,tech_base!$F102,1))+1000*tech_proj!Z1346)/((1-tech_proj!Z506)*tech_proj!Z786*$L$110))</f>
        <v>29.102343371651795</v>
      </c>
      <c r="AA726" s="73">
        <f>IF(tech_base!$T102&gt;AA$625,"",(1000*tech_proj!AA1066*(-PMT($J$110,tech_base!$F102,1))+1000*tech_proj!AA1346)/((1-tech_proj!AA506)*tech_proj!AA786*$L$110))</f>
        <v>29.097025302690042</v>
      </c>
      <c r="AB726" s="73">
        <f>IF(tech_base!$T102&gt;AB$625,"",(1000*tech_proj!AB1066*(-PMT($J$110,tech_base!$F102,1))+1000*tech_proj!AB1346)/((1-tech_proj!AB506)*tech_proj!AB786*$L$110))</f>
        <v>29.091187318384694</v>
      </c>
      <c r="AC726" s="73">
        <f>IF(tech_base!$T102&gt;AC$625,"",(1000*tech_proj!AC1066*(-PMT($J$110,tech_base!$F102,1))+1000*tech_proj!AC1346)/((1-tech_proj!AC506)*tech_proj!AC786*$L$110))</f>
        <v>29.084782981991641</v>
      </c>
      <c r="AD726" s="73">
        <f>IF(tech_base!$T102&gt;AD$625,"",(1000*tech_proj!AD1066*(-PMT($J$110,tech_base!$F102,1))+1000*tech_proj!AD1346)/((1-tech_proj!AD506)*tech_proj!AD786*$L$110))</f>
        <v>29.077762639507906</v>
      </c>
      <c r="AE726" s="73">
        <f>IF(tech_base!$T102&gt;AE$625,"",(1000*tech_proj!AE1066*(-PMT($J$110,tech_base!$F102,1))+1000*tech_proj!AE1346)/((1-tech_proj!AE506)*tech_proj!AE786*$L$110))</f>
        <v>29.070073398872669</v>
      </c>
      <c r="AF726" s="73">
        <f>IF(tech_base!$T102&gt;AF$625,"",(1000*tech_proj!AF1066*(-PMT($J$110,tech_base!$F102,1))+1000*tech_proj!AF1346)/((1-tech_proj!AF506)*tech_proj!AF786*$L$110))</f>
        <v>29.061659161158332</v>
      </c>
      <c r="AG726" s="73">
        <f>IF(tech_base!$T102&gt;AG$625,"",(1000*tech_proj!AG1066*(-PMT($J$110,tech_base!$F102,1))+1000*tech_proj!AG1346)/((1-tech_proj!AG506)*tech_proj!AG786*$L$110))</f>
        <v>29.052460716399445</v>
      </c>
      <c r="AH726" s="73">
        <f>IF(tech_base!$T102&gt;AH$625,"",(1000*tech_proj!AH1066*(-PMT($J$110,tech_base!$F102,1))+1000*tech_proj!AH1346)/((1-tech_proj!AH506)*tech_proj!AH786*$L$110))</f>
        <v>29.042415918301494</v>
      </c>
      <c r="AI726" s="73">
        <f>IF(tech_base!$T102&gt;AI$625,"",(1000*tech_proj!AI1066*(-PMT($J$110,tech_base!$F102,1))+1000*tech_proj!AI1346)/((1-tech_proj!AI506)*tech_proj!AI786*$L$110))</f>
        <v>29.03145995357464</v>
      </c>
      <c r="AJ726" s="73">
        <f>IF(tech_base!$T102&gt;AJ$625,"",(1000*tech_proj!AJ1066*(-PMT($J$110,tech_base!$F102,1))+1000*tech_proj!AJ1346)/((1-tech_proj!AJ506)*tech_proj!AJ786*$L$110))</f>
        <v>29.019525722930688</v>
      </c>
      <c r="AK726" s="73">
        <f>IF(tech_base!$T102&gt;AK$625,"",(1000*tech_proj!AK1066*(-PMT($J$110,tech_base!$F102,1))+1000*tech_proj!AK1346)/((1-tech_proj!AK506)*tech_proj!AK786*$L$110))</f>
        <v>29.006544351706946</v>
      </c>
      <c r="AL726" s="73">
        <f>IF(tech_base!$T102&gt;AL$625,"",(1000*tech_proj!AL1066*(-PMT($J$110,tech_base!$F102,1))+1000*tech_proj!AL1346)/((1-tech_proj!AL506)*tech_proj!AL786*$L$110))</f>
        <v>28.992445848441868</v>
      </c>
      <c r="AM726" s="73">
        <f>IF(tech_base!$T102&gt;AM$625,"",(1000*tech_proj!AM1066*(-PMT($J$110,tech_base!$F102,1))+1000*tech_proj!AM1346)/((1-tech_proj!AM506)*tech_proj!AM786*$L$110))</f>
        <v>28.977159929286483</v>
      </c>
      <c r="AN726" s="73">
        <f>IF(tech_base!$T102&gt;AN$625,"",(1000*tech_proj!AN1066*(-PMT($J$110,tech_base!$F102,1))+1000*tech_proj!AN1346)/((1-tech_proj!AN506)*tech_proj!AN786*$L$110))</f>
        <v>28.96061702461709</v>
      </c>
      <c r="AO726" s="73">
        <f>IF(tech_base!$T102&gt;AO$625,"",(1000*tech_proj!AO1066*(-PMT($J$110,tech_base!$F102,1))+1000*tech_proj!AO1346)/((1-tech_proj!AO506)*tech_proj!AO786*$L$110))</f>
        <v>28.942749481313946</v>
      </c>
      <c r="AP726" s="73">
        <f>IF(tech_base!$T102&gt;AP$625,"",(1000*tech_proj!AP1066*(-PMT($J$110,tech_base!$F102,1))+1000*tech_proj!AP1346)/((1-tech_proj!AP506)*tech_proj!AP786*$L$110))</f>
        <v>28.923492969571317</v>
      </c>
      <c r="AQ726" s="73">
        <f>IF(tech_base!$T102&gt;AQ$625,"",(1000*tech_proj!AQ1066*(-PMT($J$110,tech_base!$F102,1))+1000*tech_proj!AQ1346)/((1-tech_proj!AQ506)*tech_proj!AQ786*$L$110))</f>
        <v>28.902788096504235</v>
      </c>
      <c r="AR726" s="73">
        <f>IF(tech_base!$T102&gt;AR$625,"",(1000*tech_proj!AR1066*(-PMT($J$110,tech_base!$F102,1))+1000*tech_proj!AR1346)/((1-tech_proj!AR506)*tech_proj!AR786*$L$110))</f>
        <v>28.880582219969344</v>
      </c>
      <c r="AS726" s="73">
        <f>IF(tech_base!$T102&gt;AS$625,"",(1000*tech_proj!AS1066*(-PMT($J$110,tech_base!$F102,1))+1000*tech_proj!AS1346)/((1-tech_proj!AS506)*tech_proj!AS786*$L$110))</f>
        <v>28.856831444777601</v>
      </c>
      <c r="AT726" s="73">
        <f>IF(tech_base!$T102&gt;AT$625,"",(1000*tech_proj!AT1066*(-PMT($J$110,tech_base!$F102,1))+1000*tech_proj!AT1346)/((1-tech_proj!AT506)*tech_proj!AT786*$L$110))</f>
        <v>28.831502769868326</v>
      </c>
      <c r="AU726" s="73">
        <f>IF(tech_base!$T102&gt;AU$625,"",(1000*tech_proj!AU1066*(-PMT($J$110,tech_base!$F102,1))+1000*tech_proj!AU1346)/((1-tech_proj!AU506)*tech_proj!AU786*$L$110))</f>
        <v>28.804576339297533</v>
      </c>
      <c r="AV726" s="73">
        <f>IF(tech_base!$T102&gt;AV$625,"",(1000*tech_proj!AV1066*(-PMT($J$110,tech_base!$F102,1))+1000*tech_proj!AV1346)/((1-tech_proj!AV506)*tech_proj!AV786*$L$110))</f>
        <v>28.776047732631397</v>
      </c>
      <c r="AW726" s="73">
        <f>IF(tech_base!$T102&gt;AW$625,"",(1000*tech_proj!AW1066*(-PMT($J$110,tech_base!$F102,1))+1000*tech_proj!AW1346)/((1-tech_proj!AW506)*tech_proj!AW786*$L$110))</f>
        <v>28.745930212457303</v>
      </c>
      <c r="AX726" s="239">
        <f>IF(tech_base!$T102&gt;AX$625,"",(1000*tech_proj!AX1066*(-PMT($J$110,tech_base!$F102,1))+1000*tech_proj!AX1346)/((1-tech_proj!AX506)*tech_proj!AX786*$L$110))</f>
        <v>28.714256829548596</v>
      </c>
      <c r="AY726" s="133"/>
    </row>
    <row r="727" spans="1:51" s="174" customFormat="1" x14ac:dyDescent="0.25">
      <c r="A727" s="356"/>
      <c r="B727" s="358" t="s">
        <v>19</v>
      </c>
      <c r="C727" s="353" t="s">
        <v>6</v>
      </c>
      <c r="D727" s="3" t="s">
        <v>7</v>
      </c>
      <c r="E727" s="162" t="str">
        <f>A709&amp;"/"&amp;B727&amp;"/"&amp;C727&amp;"/"&amp;D727</f>
        <v>Gas fired power plants (Natural gas, biogas)/Steam turbine/Electricity only/L</v>
      </c>
      <c r="F727" s="77" t="str">
        <f>A709</f>
        <v>Gas fired power plants (Natural gas, biogas)</v>
      </c>
      <c r="G727" s="77" t="str">
        <f>B727</f>
        <v>Steam turbine</v>
      </c>
      <c r="H727" s="77" t="str">
        <f>C727</f>
        <v>Electricity only</v>
      </c>
      <c r="I727" s="163" t="str">
        <f t="shared" si="363"/>
        <v>L</v>
      </c>
      <c r="J727" s="70">
        <f>IF(tech_base!$T103&gt;J$625,"",(1000*tech_proj!J1067*(-PMT($J$110,tech_base!$F103,1))+1000*tech_proj!J1347)/((1-tech_proj!J507)*tech_proj!J787*$L$110))</f>
        <v>21.545627362080261</v>
      </c>
      <c r="K727" s="70">
        <f>IF(tech_base!$T103&gt;K$625,"",(1000*tech_proj!K1067*(-PMT($J$110,tech_base!$F103,1))+1000*tech_proj!K1347)/((1-tech_proj!K507)*tech_proj!K787*$L$110))</f>
        <v>21.553286273298866</v>
      </c>
      <c r="L727" s="70">
        <f>IF(tech_base!$T103&gt;L$625,"",(1000*tech_proj!L1067*(-PMT($J$110,tech_base!$F103,1))+1000*tech_proj!L1347)/((1-tech_proj!L507)*tech_proj!L787*$L$110))</f>
        <v>21.560782539380799</v>
      </c>
      <c r="M727" s="70">
        <f>IF(tech_base!$T103&gt;M$625,"",(1000*tech_proj!M1067*(-PMT($J$110,tech_base!$F103,1))+1000*tech_proj!M1347)/((1-tech_proj!M507)*tech_proj!M787*$L$110))</f>
        <v>21.568118013672223</v>
      </c>
      <c r="N727" s="70">
        <f>IF(tech_base!$T103&gt;N$625,"",(1000*tech_proj!N1067*(-PMT($J$110,tech_base!$F103,1))+1000*tech_proj!N1347)/((1-tech_proj!N507)*tech_proj!N787*$L$110))</f>
        <v>21.575294613075421</v>
      </c>
      <c r="O727" s="70">
        <f>IF(tech_base!$T103&gt;O$625,"",(1000*tech_proj!O1067*(-PMT($J$110,tech_base!$F103,1))+1000*tech_proj!O1347)/((1-tech_proj!O507)*tech_proj!O787*$L$110))</f>
        <v>21.582314312811171</v>
      </c>
      <c r="P727" s="70">
        <f>IF(tech_base!$T103&gt;P$625,"",(1000*tech_proj!P1067*(-PMT($J$110,tech_base!$F103,1))+1000*tech_proj!P1347)/((1-tech_proj!P507)*tech_proj!P787*$L$110))</f>
        <v>21.589179141325978</v>
      </c>
      <c r="Q727" s="70">
        <f>IF(tech_base!$T103&gt;Q$625,"",(1000*tech_proj!Q1067*(-PMT($J$110,tech_base!$F103,1))+1000*tech_proj!Q1347)/((1-tech_proj!Q507)*tech_proj!Q787*$L$110))</f>
        <v>21.595891175349792</v>
      </c>
      <c r="R727" s="70">
        <f>IF(tech_base!$T103&gt;R$625,"",(1000*tech_proj!R1067*(-PMT($J$110,tech_base!$F103,1))+1000*tech_proj!R1347)/((1-tech_proj!R507)*tech_proj!R787*$L$110))</f>
        <v>21.602452535109048</v>
      </c>
      <c r="S727" s="70">
        <f>IF(tech_base!$T103&gt;S$625,"",(1000*tech_proj!S1067*(-PMT($J$110,tech_base!$F103,1))+1000*tech_proj!S1347)/((1-tech_proj!S507)*tech_proj!S787*$L$110))</f>
        <v>21.608865379698873</v>
      </c>
      <c r="T727" s="70">
        <f>IF(tech_base!$T103&gt;T$625,"",(1000*tech_proj!T1067*(-PMT($J$110,tech_base!$F103,1))+1000*tech_proj!T1347)/((1-tech_proj!T507)*tech_proj!T787*$L$110))</f>
        <v>21.615131902617453</v>
      </c>
      <c r="U727" s="70">
        <f>IF(tech_base!$T103&gt;U$625,"",(1000*tech_proj!U1067*(-PMT($J$110,tech_base!$F103,1))+1000*tech_proj!U1347)/((1-tech_proj!U507)*tech_proj!U787*$L$110))</f>
        <v>21.621254327464939</v>
      </c>
      <c r="V727" s="70">
        <f>IF(tech_base!$T103&gt;V$625,"",(1000*tech_proj!V1067*(-PMT($J$110,tech_base!$F103,1))+1000*tech_proj!V1347)/((1-tech_proj!V507)*tech_proj!V787*$L$110))</f>
        <v>21.627234903808329</v>
      </c>
      <c r="W727" s="70">
        <f>IF(tech_base!$T103&gt;W$625,"",(1000*tech_proj!W1067*(-PMT($J$110,tech_base!$F103,1))+1000*tech_proj!W1347)/((1-tech_proj!W507)*tech_proj!W787*$L$110))</f>
        <v>21.633075903213228</v>
      </c>
      <c r="X727" s="70">
        <f>IF(tech_base!$T103&gt;X$625,"",(1000*tech_proj!X1067*(-PMT($J$110,tech_base!$F103,1))+1000*tech_proj!X1347)/((1-tech_proj!X507)*tech_proj!X787*$L$110))</f>
        <v>21.638779615442747</v>
      </c>
      <c r="Y727" s="70">
        <f>IF(tech_base!$T103&gt;Y$625,"",(1000*tech_proj!Y1067*(-PMT($J$110,tech_base!$F103,1))+1000*tech_proj!Y1347)/((1-tech_proj!Y507)*tech_proj!Y787*$L$110))</f>
        <v>21.644348344823069</v>
      </c>
      <c r="Z727" s="70">
        <f>IF(tech_base!$T103&gt;Z$625,"",(1000*tech_proj!Z1067*(-PMT($J$110,tech_base!$F103,1))+1000*tech_proj!Z1347)/((1-tech_proj!Z507)*tech_proj!Z787*$L$110))</f>
        <v>21.649784406774877</v>
      </c>
      <c r="AA727" s="70">
        <f>IF(tech_base!$T103&gt;AA$625,"",(1000*tech_proj!AA1067*(-PMT($J$110,tech_base!$F103,1))+1000*tech_proj!AA1347)/((1-tech_proj!AA507)*tech_proj!AA787*$L$110))</f>
        <v>21.655090124509222</v>
      </c>
      <c r="AB727" s="70">
        <f>IF(tech_base!$T103&gt;AB$625,"",(1000*tech_proj!AB1067*(-PMT($J$110,tech_base!$F103,1))+1000*tech_proj!AB1347)/((1-tech_proj!AB507)*tech_proj!AB787*$L$110))</f>
        <v>21.660267825885906</v>
      </c>
      <c r="AC727" s="70">
        <f>IF(tech_base!$T103&gt;AC$625,"",(1000*tech_proj!AC1067*(-PMT($J$110,tech_base!$F103,1))+1000*tech_proj!AC1347)/((1-tech_proj!AC507)*tech_proj!AC787*$L$110))</f>
        <v>21.665319840432272</v>
      </c>
      <c r="AD727" s="70">
        <f>IF(tech_base!$T103&gt;AD$625,"",(1000*tech_proj!AD1067*(-PMT($J$110,tech_base!$F103,1))+1000*tech_proj!AD1347)/((1-tech_proj!AD507)*tech_proj!AD787*$L$110))</f>
        <v>21.670248496519591</v>
      </c>
      <c r="AE727" s="70">
        <f>IF(tech_base!$T103&gt;AE$625,"",(1000*tech_proj!AE1067*(-PMT($J$110,tech_base!$F103,1))+1000*tech_proj!AE1347)/((1-tech_proj!AE507)*tech_proj!AE787*$L$110))</f>
        <v>21.675056118694311</v>
      </c>
      <c r="AF727" s="70">
        <f>IF(tech_base!$T103&gt;AF$625,"",(1000*tech_proj!AF1067*(-PMT($J$110,tech_base!$F103,1))+1000*tech_proj!AF1347)/((1-tech_proj!AF507)*tech_proj!AF787*$L$110))</f>
        <v>21.679745025160734</v>
      </c>
      <c r="AG727" s="70">
        <f>IF(tech_base!$T103&gt;AG$625,"",(1000*tech_proj!AG1067*(-PMT($J$110,tech_base!$F103,1))+1000*tech_proj!AG1347)/((1-tech_proj!AG507)*tech_proj!AG787*$L$110))</f>
        <v>21.68431752541175</v>
      </c>
      <c r="AH727" s="70">
        <f>IF(tech_base!$T103&gt;AH$625,"",(1000*tech_proj!AH1067*(-PMT($J$110,tech_base!$F103,1))+1000*tech_proj!AH1347)/((1-tech_proj!AH507)*tech_proj!AH787*$L$110))</f>
        <v>21.68877591800392</v>
      </c>
      <c r="AI727" s="70">
        <f>IF(tech_base!$T103&gt;AI$625,"",(1000*tech_proj!AI1067*(-PMT($J$110,tech_base!$F103,1))+1000*tech_proj!AI1347)/((1-tech_proj!AI507)*tech_proj!AI787*$L$110))</f>
        <v>21.69312248847298</v>
      </c>
      <c r="AJ727" s="70">
        <f>IF(tech_base!$T103&gt;AJ$625,"",(1000*tech_proj!AJ1067*(-PMT($J$110,tech_base!$F103,1))+1000*tech_proj!AJ1347)/((1-tech_proj!AJ507)*tech_proj!AJ787*$L$110))</f>
        <v>21.697359507385716</v>
      </c>
      <c r="AK727" s="70">
        <f>IF(tech_base!$T103&gt;AK$625,"",(1000*tech_proj!AK1067*(-PMT($J$110,tech_base!$F103,1))+1000*tech_proj!AK1347)/((1-tech_proj!AK507)*tech_proj!AK787*$L$110))</f>
        <v>21.701489228524085</v>
      </c>
      <c r="AL727" s="70">
        <f>IF(tech_base!$T103&gt;AL$625,"",(1000*tech_proj!AL1067*(-PMT($J$110,tech_base!$F103,1))+1000*tech_proj!AL1347)/((1-tech_proj!AL507)*tech_proj!AL787*$L$110))</f>
        <v>21.705513887197295</v>
      </c>
      <c r="AM727" s="70">
        <f>IF(tech_base!$T103&gt;AM$625,"",(1000*tech_proj!AM1067*(-PMT($J$110,tech_base!$F103,1))+1000*tech_proj!AM1347)/((1-tech_proj!AM507)*tech_proj!AM787*$L$110))</f>
        <v>21.709435698677432</v>
      </c>
      <c r="AN727" s="70">
        <f>IF(tech_base!$T103&gt;AN$625,"",(1000*tech_proj!AN1067*(-PMT($J$110,tech_base!$F103,1))+1000*tech_proj!AN1347)/((1-tech_proj!AN507)*tech_proj!AN787*$L$110))</f>
        <v>21.713256856754342</v>
      </c>
      <c r="AO727" s="70">
        <f>IF(tech_base!$T103&gt;AO$625,"",(1000*tech_proj!AO1067*(-PMT($J$110,tech_base!$F103,1))+1000*tech_proj!AO1347)/((1-tech_proj!AO507)*tech_proj!AO787*$L$110))</f>
        <v>21.716979532405272</v>
      </c>
      <c r="AP727" s="70">
        <f>IF(tech_base!$T103&gt;AP$625,"",(1000*tech_proj!AP1067*(-PMT($J$110,tech_base!$F103,1))+1000*tech_proj!AP1347)/((1-tech_proj!AP507)*tech_proj!AP787*$L$110))</f>
        <v>21.720605872574811</v>
      </c>
      <c r="AQ727" s="70">
        <f>IF(tech_base!$T103&gt;AQ$625,"",(1000*tech_proj!AQ1067*(-PMT($J$110,tech_base!$F103,1))+1000*tech_proj!AQ1347)/((1-tech_proj!AQ507)*tech_proj!AQ787*$L$110))</f>
        <v>21.72413799906073</v>
      </c>
      <c r="AR727" s="70">
        <f>IF(tech_base!$T103&gt;AR$625,"",(1000*tech_proj!AR1067*(-PMT($J$110,tech_base!$F103,1))+1000*tech_proj!AR1347)/((1-tech_proj!AR507)*tech_proj!AR787*$L$110))</f>
        <v>21.727578007501272</v>
      </c>
      <c r="AS727" s="70">
        <f>IF(tech_base!$T103&gt;AS$625,"",(1000*tech_proj!AS1067*(-PMT($J$110,tech_base!$F103,1))+1000*tech_proj!AS1347)/((1-tech_proj!AS507)*tech_proj!AS787*$L$110))</f>
        <v>21.730927966459557</v>
      </c>
      <c r="AT727" s="70">
        <f>IF(tech_base!$T103&gt;AT$625,"",(1000*tech_proj!AT1067*(-PMT($J$110,tech_base!$F103,1))+1000*tech_proj!AT1347)/((1-tech_proj!AT507)*tech_proj!AT787*$L$110))</f>
        <v>21.734189916600684</v>
      </c>
      <c r="AU727" s="70">
        <f>IF(tech_base!$T103&gt;AU$625,"",(1000*tech_proj!AU1067*(-PMT($J$110,tech_base!$F103,1))+1000*tech_proj!AU1347)/((1-tech_proj!AU507)*tech_proj!AU787*$L$110))</f>
        <v>21.737365869957305</v>
      </c>
      <c r="AV727" s="70">
        <f>IF(tech_base!$T103&gt;AV$625,"",(1000*tech_proj!AV1067*(-PMT($J$110,tech_base!$F103,1))+1000*tech_proj!AV1347)/((1-tech_proj!AV507)*tech_proj!AV787*$L$110))</f>
        <v>21.740457809279501</v>
      </c>
      <c r="AW727" s="70">
        <f>IF(tech_base!$T103&gt;AW$625,"",(1000*tech_proj!AW1067*(-PMT($J$110,tech_base!$F103,1))+1000*tech_proj!AW1347)/((1-tech_proj!AW507)*tech_proj!AW787*$L$110))</f>
        <v>21.743467687464722</v>
      </c>
      <c r="AX727" s="236">
        <f>IF(tech_base!$T103&gt;AX$625,"",(1000*tech_proj!AX1067*(-PMT($J$110,tech_base!$F103,1))+1000*tech_proj!AX1347)/((1-tech_proj!AX507)*tech_proj!AX787*$L$110))</f>
        <v>21.746397427063876</v>
      </c>
      <c r="AY727" s="133"/>
    </row>
    <row r="728" spans="1:51" s="174" customFormat="1" x14ac:dyDescent="0.25">
      <c r="A728" s="356"/>
      <c r="B728" s="376"/>
      <c r="C728" s="378"/>
      <c r="D728" s="2" t="s">
        <v>8</v>
      </c>
      <c r="E728" s="160" t="str">
        <f>A709&amp;"/"&amp;B727&amp;"/"&amp;C727&amp;"/"&amp;D728</f>
        <v>Gas fired power plants (Natural gas, biogas)/Steam turbine/Electricity only/M</v>
      </c>
      <c r="F728" s="76" t="str">
        <f>A709</f>
        <v>Gas fired power plants (Natural gas, biogas)</v>
      </c>
      <c r="G728" s="76" t="str">
        <f>B727</f>
        <v>Steam turbine</v>
      </c>
      <c r="H728" s="76" t="str">
        <f>C727</f>
        <v>Electricity only</v>
      </c>
      <c r="I728" s="161" t="str">
        <f t="shared" si="363"/>
        <v>M</v>
      </c>
      <c r="J728" s="69">
        <f>IF(tech_base!$T104&gt;J$625,"",(1000*tech_proj!J1068*(-PMT($J$110,tech_base!$F104,1))+1000*tech_proj!J1348)/((1-tech_proj!J508)*tech_proj!J788*$L$110))</f>
        <v>23.320397420130472</v>
      </c>
      <c r="K728" s="69">
        <f>IF(tech_base!$T104&gt;K$625,"",(1000*tech_proj!K1068*(-PMT($J$110,tech_base!$F104,1))+1000*tech_proj!K1348)/((1-tech_proj!K508)*tech_proj!K788*$L$110))</f>
        <v>23.326614767057364</v>
      </c>
      <c r="L728" s="69">
        <f>IF(tech_base!$T104&gt;L$625,"",(1000*tech_proj!L1068*(-PMT($J$110,tech_base!$F104,1))+1000*tech_proj!L1348)/((1-tech_proj!L508)*tech_proj!L788*$L$110))</f>
        <v>23.332700082000621</v>
      </c>
      <c r="M728" s="69">
        <f>IF(tech_base!$T104&gt;M$625,"",(1000*tech_proj!M1068*(-PMT($J$110,tech_base!$F104,1))+1000*tech_proj!M1348)/((1-tech_proj!M508)*tech_proj!M788*$L$110))</f>
        <v>23.338654869468616</v>
      </c>
      <c r="N728" s="69">
        <f>IF(tech_base!$T104&gt;N$625,"",(1000*tech_proj!N1068*(-PMT($J$110,tech_base!$F104,1))+1000*tech_proj!N1348)/((1-tech_proj!N508)*tech_proj!N788*$L$110))</f>
        <v>23.344480685563283</v>
      </c>
      <c r="O728" s="69">
        <f>IF(tech_base!$T104&gt;O$625,"",(1000*tech_proj!O1068*(-PMT($J$110,tech_base!$F104,1))+1000*tech_proj!O1348)/((1-tech_proj!O508)*tech_proj!O788*$L$110))</f>
        <v>23.350179133728311</v>
      </c>
      <c r="P728" s="69">
        <f>IF(tech_base!$T104&gt;P$625,"",(1000*tech_proj!P1068*(-PMT($J$110,tech_base!$F104,1))+1000*tech_proj!P1348)/((1-tech_proj!P508)*tech_proj!P788*$L$110))</f>
        <v>23.355751860614934</v>
      </c>
      <c r="Q728" s="69">
        <f>IF(tech_base!$T104&gt;Q$625,"",(1000*tech_proj!Q1068*(-PMT($J$110,tech_base!$F104,1))+1000*tech_proj!Q1348)/((1-tech_proj!Q508)*tech_proj!Q788*$L$110))</f>
        <v>23.361200552069892</v>
      </c>
      <c r="R728" s="69">
        <f>IF(tech_base!$T104&gt;R$625,"",(1000*tech_proj!R1068*(-PMT($J$110,tech_base!$F104,1))+1000*tech_proj!R1348)/((1-tech_proj!R508)*tech_proj!R788*$L$110))</f>
        <v>23.366526929249503</v>
      </c>
      <c r="S728" s="69">
        <f>IF(tech_base!$T104&gt;S$625,"",(1000*tech_proj!S1068*(-PMT($J$110,tech_base!$F104,1))+1000*tech_proj!S1348)/((1-tech_proj!S508)*tech_proj!S788*$L$110))</f>
        <v>23.371732744862861</v>
      </c>
      <c r="T728" s="69">
        <f>IF(tech_base!$T104&gt;T$625,"",(1000*tech_proj!T1068*(-PMT($J$110,tech_base!$F104,1))+1000*tech_proj!T1348)/((1-tech_proj!T508)*tech_proj!T788*$L$110))</f>
        <v>23.376819779546786</v>
      </c>
      <c r="U728" s="69">
        <f>IF(tech_base!$T104&gt;U$625,"",(1000*tech_proj!U1068*(-PMT($J$110,tech_base!$F104,1))+1000*tech_proj!U1348)/((1-tech_proj!U508)*tech_proj!U788*$L$110))</f>
        <v>23.381789838374232</v>
      </c>
      <c r="V728" s="69">
        <f>IF(tech_base!$T104&gt;V$625,"",(1000*tech_proj!V1068*(-PMT($J$110,tech_base!$F104,1))+1000*tech_proj!V1348)/((1-tech_proj!V508)*tech_proj!V788*$L$110))</f>
        <v>23.386644747497506</v>
      </c>
      <c r="W728" s="69">
        <f>IF(tech_base!$T104&gt;W$625,"",(1000*tech_proj!W1068*(-PMT($J$110,tech_base!$F104,1))+1000*tech_proj!W1348)/((1-tech_proj!W508)*tech_proj!W788*$L$110))</f>
        <v>23.391386350926961</v>
      </c>
      <c r="X728" s="69">
        <f>IF(tech_base!$T104&gt;X$625,"",(1000*tech_proj!X1068*(-PMT($J$110,tech_base!$F104,1))+1000*tech_proj!X1348)/((1-tech_proj!X508)*tech_proj!X788*$L$110))</f>
        <v>23.396016507445282</v>
      </c>
      <c r="Y728" s="69">
        <f>IF(tech_base!$T104&gt;Y$625,"",(1000*tech_proj!Y1068*(-PMT($J$110,tech_base!$F104,1))+1000*tech_proj!Y1348)/((1-tech_proj!Y508)*tech_proj!Y788*$L$110))</f>
        <v>23.40053708765716</v>
      </c>
      <c r="Z728" s="69">
        <f>IF(tech_base!$T104&gt;Z$625,"",(1000*tech_proj!Z1068*(-PMT($J$110,tech_base!$F104,1))+1000*tech_proj!Z1348)/((1-tech_proj!Z508)*tech_proj!Z788*$L$110))</f>
        <v>23.404949971173608</v>
      </c>
      <c r="AA728" s="69">
        <f>IF(tech_base!$T104&gt;AA$625,"",(1000*tech_proj!AA1068*(-PMT($J$110,tech_base!$F104,1))+1000*tech_proj!AA1348)/((1-tech_proj!AA508)*tech_proj!AA788*$L$110))</f>
        <v>23.409257043929642</v>
      </c>
      <c r="AB728" s="69">
        <f>IF(tech_base!$T104&gt;AB$625,"",(1000*tech_proj!AB1068*(-PMT($J$110,tech_base!$F104,1))+1000*tech_proj!AB1348)/((1-tech_proj!AB508)*tech_proj!AB788*$L$110))</f>
        <v>23.413460195634087</v>
      </c>
      <c r="AC728" s="69">
        <f>IF(tech_base!$T104&gt;AC$625,"",(1000*tech_proj!AC1068*(-PMT($J$110,tech_base!$F104,1))+1000*tech_proj!AC1348)/((1-tech_proj!AC508)*tech_proj!AC788*$L$110))</f>
        <v>23.417561317349428</v>
      </c>
      <c r="AD728" s="69">
        <f>IF(tech_base!$T104&gt;AD$625,"",(1000*tech_proj!AD1068*(-PMT($J$110,tech_base!$F104,1))+1000*tech_proj!AD1348)/((1-tech_proj!AD508)*tech_proj!AD788*$L$110))</f>
        <v>23.42156229919966</v>
      </c>
      <c r="AE728" s="69">
        <f>IF(tech_base!$T104&gt;AE$625,"",(1000*tech_proj!AE1068*(-PMT($J$110,tech_base!$F104,1))+1000*tech_proj!AE1348)/((1-tech_proj!AE508)*tech_proj!AE788*$L$110))</f>
        <v>23.425465028203881</v>
      </c>
      <c r="AF728" s="69">
        <f>IF(tech_base!$T104&gt;AF$625,"",(1000*tech_proj!AF1068*(-PMT($J$110,tech_base!$F104,1))+1000*tech_proj!AF1348)/((1-tech_proj!AF508)*tech_proj!AF788*$L$110))</f>
        <v>23.42927138623277</v>
      </c>
      <c r="AG728" s="69">
        <f>IF(tech_base!$T104&gt;AG$625,"",(1000*tech_proj!AG1068*(-PMT($J$110,tech_base!$F104,1))+1000*tech_proj!AG1348)/((1-tech_proj!AG508)*tech_proj!AG788*$L$110))</f>
        <v>23.432983248085247</v>
      </c>
      <c r="AH728" s="69">
        <f>IF(tech_base!$T104&gt;AH$625,"",(1000*tech_proj!AH1068*(-PMT($J$110,tech_base!$F104,1))+1000*tech_proj!AH1348)/((1-tech_proj!AH508)*tech_proj!AH788*$L$110))</f>
        <v>23.436602479682353</v>
      </c>
      <c r="AI728" s="69">
        <f>IF(tech_base!$T104&gt;AI$625,"",(1000*tech_proj!AI1068*(-PMT($J$110,tech_base!$F104,1))+1000*tech_proj!AI1348)/((1-tech_proj!AI508)*tech_proj!AI788*$L$110))</f>
        <v>23.440130936375084</v>
      </c>
      <c r="AJ728" s="69">
        <f>IF(tech_base!$T104&gt;AJ$625,"",(1000*tech_proj!AJ1068*(-PMT($J$110,tech_base!$F104,1))+1000*tech_proj!AJ1348)/((1-tech_proj!AJ508)*tech_proj!AJ788*$L$110))</f>
        <v>23.443570461362956</v>
      </c>
      <c r="AK728" s="69">
        <f>IF(tech_base!$T104&gt;AK$625,"",(1000*tech_proj!AK1068*(-PMT($J$110,tech_base!$F104,1))+1000*tech_proj!AK1348)/((1-tech_proj!AK508)*tech_proj!AK788*$L$110))</f>
        <v>23.446922884219902</v>
      </c>
      <c r="AL728" s="69">
        <f>IF(tech_base!$T104&gt;AL$625,"",(1000*tech_proj!AL1068*(-PMT($J$110,tech_base!$F104,1))+1000*tech_proj!AL1348)/((1-tech_proj!AL508)*tech_proj!AL788*$L$110))</f>
        <v>23.450190019524047</v>
      </c>
      <c r="AM728" s="69">
        <f>IF(tech_base!$T104&gt;AM$625,"",(1000*tech_proj!AM1068*(-PMT($J$110,tech_base!$F104,1))+1000*tech_proj!AM1348)/((1-tech_proj!AM508)*tech_proj!AM788*$L$110))</f>
        <v>23.453373665587815</v>
      </c>
      <c r="AN728" s="69">
        <f>IF(tech_base!$T104&gt;AN$625,"",(1000*tech_proj!AN1068*(-PMT($J$110,tech_base!$F104,1))+1000*tech_proj!AN1348)/((1-tech_proj!AN508)*tech_proj!AN788*$L$110))</f>
        <v>23.456475603284773</v>
      </c>
      <c r="AO728" s="69">
        <f>IF(tech_base!$T104&gt;AO$625,"",(1000*tech_proj!AO1068*(-PMT($J$110,tech_base!$F104,1))+1000*tech_proj!AO1348)/((1-tech_proj!AO508)*tech_proj!AO788*$L$110))</f>
        <v>23.45949759496969</v>
      </c>
      <c r="AP728" s="69">
        <f>IF(tech_base!$T104&gt;AP$625,"",(1000*tech_proj!AP1068*(-PMT($J$110,tech_base!$F104,1))+1000*tech_proj!AP1348)/((1-tech_proj!AP508)*tech_proj!AP788*$L$110))</f>
        <v>23.462441383488105</v>
      </c>
      <c r="AQ728" s="69">
        <f>IF(tech_base!$T104&gt;AQ$625,"",(1000*tech_proj!AQ1068*(-PMT($J$110,tech_base!$F104,1))+1000*tech_proj!AQ1348)/((1-tech_proj!AQ508)*tech_proj!AQ788*$L$110))</f>
        <v>23.465308691271911</v>
      </c>
      <c r="AR728" s="69">
        <f>IF(tech_base!$T104&gt;AR$625,"",(1000*tech_proj!AR1068*(-PMT($J$110,tech_base!$F104,1))+1000*tech_proj!AR1348)/((1-tech_proj!AR508)*tech_proj!AR788*$L$110))</f>
        <v>23.468101219517226</v>
      </c>
      <c r="AS728" s="69">
        <f>IF(tech_base!$T104&gt;AS$625,"",(1000*tech_proj!AS1068*(-PMT($J$110,tech_base!$F104,1))+1000*tech_proj!AS1348)/((1-tech_proj!AS508)*tech_proj!AS788*$L$110))</f>
        <v>23.470820647441126</v>
      </c>
      <c r="AT728" s="69">
        <f>IF(tech_base!$T104&gt;AT$625,"",(1000*tech_proj!AT1068*(-PMT($J$110,tech_base!$F104,1))+1000*tech_proj!AT1348)/((1-tech_proj!AT508)*tech_proj!AT788*$L$110))</f>
        <v>23.473468631613638</v>
      </c>
      <c r="AU728" s="69">
        <f>IF(tech_base!$T104&gt;AU$625,"",(1000*tech_proj!AU1068*(-PMT($J$110,tech_base!$F104,1))+1000*tech_proj!AU1348)/((1-tech_proj!AU508)*tech_proj!AU788*$L$110))</f>
        <v>23.476046805361591</v>
      </c>
      <c r="AV728" s="69">
        <f>IF(tech_base!$T104&gt;AV$625,"",(1000*tech_proj!AV1068*(-PMT($J$110,tech_base!$F104,1))+1000*tech_proj!AV1348)/((1-tech_proj!AV508)*tech_proj!AV788*$L$110))</f>
        <v>23.478556778240808</v>
      </c>
      <c r="AW728" s="69">
        <f>IF(tech_base!$T104&gt;AW$625,"",(1000*tech_proj!AW1068*(-PMT($J$110,tech_base!$F104,1))+1000*tech_proj!AW1348)/((1-tech_proj!AW508)*tech_proj!AW788*$L$110))</f>
        <v>23.481000135573336</v>
      </c>
      <c r="AX728" s="235">
        <f>IF(tech_base!$T104&gt;AX$625,"",(1000*tech_proj!AX1068*(-PMT($J$110,tech_base!$F104,1))+1000*tech_proj!AX1348)/((1-tech_proj!AX508)*tech_proj!AX788*$L$110))</f>
        <v>23.483378438046561</v>
      </c>
      <c r="AY728" s="133"/>
    </row>
    <row r="729" spans="1:51" s="174" customFormat="1" x14ac:dyDescent="0.25">
      <c r="A729" s="356"/>
      <c r="B729" s="376"/>
      <c r="C729" s="378"/>
      <c r="D729" s="2" t="s">
        <v>10</v>
      </c>
      <c r="E729" s="160" t="str">
        <f>A709&amp;"/"&amp;B727&amp;"/"&amp;C727&amp;"/"&amp;D729</f>
        <v>Gas fired power plants (Natural gas, biogas)/Steam turbine/Electricity only/S</v>
      </c>
      <c r="F729" s="76" t="str">
        <f>A709</f>
        <v>Gas fired power plants (Natural gas, biogas)</v>
      </c>
      <c r="G729" s="76" t="str">
        <f>B727</f>
        <v>Steam turbine</v>
      </c>
      <c r="H729" s="76" t="str">
        <f>C727</f>
        <v>Electricity only</v>
      </c>
      <c r="I729" s="161" t="str">
        <f t="shared" si="363"/>
        <v>S</v>
      </c>
      <c r="J729" s="69">
        <f>IF(tech_base!$T105&gt;J$625,"",(1000*tech_proj!J1069*(-PMT($J$110,tech_base!$F105,1))+1000*tech_proj!J1349)/((1-tech_proj!J509)*tech_proj!J789*$L$110))</f>
        <v>25.82861871223243</v>
      </c>
      <c r="K729" s="69">
        <f>IF(tech_base!$T105&gt;K$625,"",(1000*tech_proj!K1069*(-PMT($J$110,tech_base!$F105,1))+1000*tech_proj!K1349)/((1-tech_proj!K509)*tech_proj!K789*$L$110))</f>
        <v>25.834357089395109</v>
      </c>
      <c r="L729" s="69">
        <f>IF(tech_base!$T105&gt;L$625,"",(1000*tech_proj!L1069*(-PMT($J$110,tech_base!$F105,1))+1000*tech_proj!L1349)/((1-tech_proj!L509)*tech_proj!L789*$L$110))</f>
        <v>25.839973606007213</v>
      </c>
      <c r="M729" s="69">
        <f>IF(tech_base!$T105&gt;M$625,"",(1000*tech_proj!M1069*(-PMT($J$110,tech_base!$F105,1))+1000*tech_proj!M1349)/((1-tech_proj!M509)*tech_proj!M789*$L$110))</f>
        <v>25.845469650673337</v>
      </c>
      <c r="N729" s="69">
        <f>IF(tech_base!$T105&gt;N$625,"",(1000*tech_proj!N1069*(-PMT($J$110,tech_base!$F105,1))+1000*tech_proj!N1349)/((1-tech_proj!N509)*tech_proj!N789*$L$110))</f>
        <v>25.850846659616977</v>
      </c>
      <c r="O729" s="69">
        <f>IF(tech_base!$T105&gt;O$625,"",(1000*tech_proj!O1069*(-PMT($J$110,tech_base!$F105,1))+1000*tech_proj!O1349)/((1-tech_proj!O509)*tech_proj!O789*$L$110))</f>
        <v>25.856106112756304</v>
      </c>
      <c r="P729" s="69">
        <f>IF(tech_base!$T105&gt;P$625,"",(1000*tech_proj!P1069*(-PMT($J$110,tech_base!$F105,1))+1000*tech_proj!P1349)/((1-tech_proj!P509)*tech_proj!P789*$L$110))</f>
        <v>25.861249529888408</v>
      </c>
      <c r="Q729" s="69">
        <f>IF(tech_base!$T105&gt;Q$625,"",(1000*tech_proj!Q1069*(-PMT($J$110,tech_base!$F105,1))+1000*tech_proj!Q1349)/((1-tech_proj!Q509)*tech_proj!Q789*$L$110))</f>
        <v>25.866278466986387</v>
      </c>
      <c r="R729" s="69">
        <f>IF(tech_base!$T105&gt;R$625,"",(1000*tech_proj!R1069*(-PMT($J$110,tech_base!$F105,1))+1000*tech_proj!R1349)/((1-tech_proj!R509)*tech_proj!R789*$L$110))</f>
        <v>25.871194512612711</v>
      </c>
      <c r="S729" s="69">
        <f>IF(tech_base!$T105&gt;S$625,"",(1000*tech_proj!S1069*(-PMT($J$110,tech_base!$F105,1))+1000*tech_proj!S1349)/((1-tech_proj!S509)*tech_proj!S789*$L$110))</f>
        <v>25.875999284451904</v>
      </c>
      <c r="T729" s="69">
        <f>IF(tech_base!$T105&gt;T$625,"",(1000*tech_proj!T1069*(-PMT($J$110,tech_base!$F105,1))+1000*tech_proj!T1349)/((1-tech_proj!T509)*tech_proj!T789*$L$110))</f>
        <v>25.880694425964709</v>
      </c>
      <c r="U729" s="69">
        <f>IF(tech_base!$T105&gt;U$625,"",(1000*tech_proj!U1069*(-PMT($J$110,tech_base!$F105,1))+1000*tech_proj!U1349)/((1-tech_proj!U509)*tech_proj!U789*$L$110))</f>
        <v>25.885281603165524</v>
      </c>
      <c r="V729" s="69">
        <f>IF(tech_base!$T105&gt;V$625,"",(1000*tech_proj!V1069*(-PMT($J$110,tech_base!$F105,1))+1000*tech_proj!V1349)/((1-tech_proj!V509)*tech_proj!V789*$L$110))</f>
        <v>25.889762501524181</v>
      </c>
      <c r="W729" s="69">
        <f>IF(tech_base!$T105&gt;W$625,"",(1000*tech_proj!W1069*(-PMT($J$110,tech_base!$F105,1))+1000*tech_proj!W1349)/((1-tech_proj!W509)*tech_proj!W789*$L$110))</f>
        <v>25.894138822992808</v>
      </c>
      <c r="X729" s="69">
        <f>IF(tech_base!$T105&gt;X$625,"",(1000*tech_proj!X1069*(-PMT($J$110,tech_base!$F105,1))+1000*tech_proj!X1349)/((1-tech_proj!X509)*tech_proj!X789*$L$110))</f>
        <v>25.898412283157857</v>
      </c>
      <c r="Y729" s="69">
        <f>IF(tech_base!$T105&gt;Y$625,"",(1000*tech_proj!Y1069*(-PMT($J$110,tech_base!$F105,1))+1000*tech_proj!Y1349)/((1-tech_proj!Y509)*tech_proj!Y789*$L$110))</f>
        <v>25.902584608517046</v>
      </c>
      <c r="Z729" s="69">
        <f>IF(tech_base!$T105&gt;Z$625,"",(1000*tech_proj!Z1069*(-PMT($J$110,tech_base!$F105,1))+1000*tech_proj!Z1349)/((1-tech_proj!Z509)*tech_proj!Z789*$L$110))</f>
        <v>25.906657533880566</v>
      </c>
      <c r="AA729" s="69">
        <f>IF(tech_base!$T105&gt;AA$625,"",(1000*tech_proj!AA1069*(-PMT($J$110,tech_base!$F105,1))+1000*tech_proj!AA1349)/((1-tech_proj!AA509)*tech_proj!AA789*$L$110))</f>
        <v>25.910632799895446</v>
      </c>
      <c r="AB729" s="69">
        <f>IF(tech_base!$T105&gt;AB$625,"",(1000*tech_proj!AB1069*(-PMT($J$110,tech_base!$F105,1))+1000*tech_proj!AB1349)/((1-tech_proj!AB509)*tech_proj!AB789*$L$110))</f>
        <v>25.914512150691809</v>
      </c>
      <c r="AC729" s="69">
        <f>IF(tech_base!$T105&gt;AC$625,"",(1000*tech_proj!AC1069*(-PMT($J$110,tech_base!$F105,1))+1000*tech_proj!AC1349)/((1-tech_proj!AC509)*tech_proj!AC789*$L$110))</f>
        <v>25.918297331649114</v>
      </c>
      <c r="AD729" s="69">
        <f>IF(tech_base!$T105&gt;AD$625,"",(1000*tech_proj!AD1069*(-PMT($J$110,tech_base!$F105,1))+1000*tech_proj!AD1349)/((1-tech_proj!AD509)*tech_proj!AD789*$L$110))</f>
        <v>25.921990087280687</v>
      </c>
      <c r="AE729" s="69">
        <f>IF(tech_base!$T105&gt;AE$625,"",(1000*tech_proj!AE1069*(-PMT($J$110,tech_base!$F105,1))+1000*tech_proj!AE1349)/((1-tech_proj!AE509)*tech_proj!AE789*$L$110))</f>
        <v>25.925592159234093</v>
      </c>
      <c r="AF729" s="69">
        <f>IF(tech_base!$T105&gt;AF$625,"",(1000*tech_proj!AF1069*(-PMT($J$110,tech_base!$F105,1))+1000*tech_proj!AF1349)/((1-tech_proj!AF509)*tech_proj!AF789*$L$110))</f>
        <v>25.929105284405132</v>
      </c>
      <c r="AG729" s="69">
        <f>IF(tech_base!$T105&gt;AG$625,"",(1000*tech_proj!AG1069*(-PMT($J$110,tech_base!$F105,1))+1000*tech_proj!AG1349)/((1-tech_proj!AG509)*tech_proj!AG789*$L$110))</f>
        <v>25.932531193162632</v>
      </c>
      <c r="AH729" s="69">
        <f>IF(tech_base!$T105&gt;AH$625,"",(1000*tech_proj!AH1069*(-PMT($J$110,tech_base!$F105,1))+1000*tech_proj!AH1349)/((1-tech_proj!AH509)*tech_proj!AH789*$L$110))</f>
        <v>25.935871607681477</v>
      </c>
      <c r="AI729" s="69">
        <f>IF(tech_base!$T105&gt;AI$625,"",(1000*tech_proj!AI1069*(-PMT($J$110,tech_base!$F105,1))+1000*tech_proj!AI1349)/((1-tech_proj!AI509)*tech_proj!AI789*$L$110))</f>
        <v>25.939128240380789</v>
      </c>
      <c r="AJ729" s="69">
        <f>IF(tech_base!$T105&gt;AJ$625,"",(1000*tech_proj!AJ1069*(-PMT($J$110,tech_base!$F105,1))+1000*tech_proj!AJ1349)/((1-tech_proj!AJ509)*tech_proj!AJ789*$L$110))</f>
        <v>25.942302792464329</v>
      </c>
      <c r="AK729" s="69">
        <f>IF(tech_base!$T105&gt;AK$625,"",(1000*tech_proj!AK1069*(-PMT($J$110,tech_base!$F105,1))+1000*tech_proj!AK1349)/((1-tech_proj!AK509)*tech_proj!AK789*$L$110))</f>
        <v>25.945396952559971</v>
      </c>
      <c r="AL729" s="69">
        <f>IF(tech_base!$T105&gt;AL$625,"",(1000*tech_proj!AL1069*(-PMT($J$110,tech_base!$F105,1))+1000*tech_proj!AL1349)/((1-tech_proj!AL509)*tech_proj!AL789*$L$110))</f>
        <v>25.948412395455012</v>
      </c>
      <c r="AM729" s="69">
        <f>IF(tech_base!$T105&gt;AM$625,"",(1000*tech_proj!AM1069*(-PMT($J$110,tech_base!$F105,1))+1000*tech_proj!AM1349)/((1-tech_proj!AM509)*tech_proj!AM789*$L$110))</f>
        <v>25.951350780924123</v>
      </c>
      <c r="AN729" s="69">
        <f>IF(tech_base!$T105&gt;AN$625,"",(1000*tech_proj!AN1069*(-PMT($J$110,tech_base!$F105,1))+1000*tech_proj!AN1349)/((1-tech_proj!AN509)*tech_proj!AN789*$L$110))</f>
        <v>25.954213752646556</v>
      </c>
      <c r="AO729" s="69">
        <f>IF(tech_base!$T105&gt;AO$625,"",(1000*tech_proj!AO1069*(-PMT($J$110,tech_base!$F105,1))+1000*tech_proj!AO1349)/((1-tech_proj!AO509)*tech_proj!AO789*$L$110))</f>
        <v>25.957002937209431</v>
      </c>
      <c r="AP729" s="69">
        <f>IF(tech_base!$T105&gt;AP$625,"",(1000*tech_proj!AP1069*(-PMT($J$110,tech_base!$F105,1))+1000*tech_proj!AP1349)/((1-tech_proj!AP509)*tech_proj!AP789*$L$110))</f>
        <v>25.959719943193573</v>
      </c>
      <c r="AQ729" s="69">
        <f>IF(tech_base!$T105&gt;AQ$625,"",(1000*tech_proj!AQ1069*(-PMT($J$110,tech_base!$F105,1))+1000*tech_proj!AQ1349)/((1-tech_proj!AQ509)*tech_proj!AQ789*$L$110))</f>
        <v>25.96236636033877</v>
      </c>
      <c r="AR729" s="69">
        <f>IF(tech_base!$T105&gt;AR$625,"",(1000*tech_proj!AR1069*(-PMT($J$110,tech_base!$F105,1))+1000*tech_proj!AR1349)/((1-tech_proj!AR509)*tech_proj!AR789*$L$110))</f>
        <v>25.964943758784997</v>
      </c>
      <c r="AS729" s="69">
        <f>IF(tech_base!$T105&gt;AS$625,"",(1000*tech_proj!AS1069*(-PMT($J$110,tech_base!$F105,1))+1000*tech_proj!AS1349)/((1-tech_proj!AS509)*tech_proj!AS789*$L$110))</f>
        <v>25.967453688386414</v>
      </c>
      <c r="AT729" s="69">
        <f>IF(tech_base!$T105&gt;AT$625,"",(1000*tech_proj!AT1069*(-PMT($J$110,tech_base!$F105,1))+1000*tech_proj!AT1349)/((1-tech_proj!AT509)*tech_proj!AT789*$L$110))</f>
        <v>25.969897678094782</v>
      </c>
      <c r="AU729" s="69">
        <f>IF(tech_base!$T105&gt;AU$625,"",(1000*tech_proj!AU1069*(-PMT($J$110,tech_base!$F105,1))+1000*tech_proj!AU1349)/((1-tech_proj!AU509)*tech_proj!AU789*$L$110))</f>
        <v>25.972277235409287</v>
      </c>
      <c r="AV729" s="69">
        <f>IF(tech_base!$T105&gt;AV$625,"",(1000*tech_proj!AV1069*(-PMT($J$110,tech_base!$F105,1))+1000*tech_proj!AV1349)/((1-tech_proj!AV509)*tech_proj!AV789*$L$110))</f>
        <v>25.974593845889348</v>
      </c>
      <c r="AW729" s="69">
        <f>IF(tech_base!$T105&gt;AW$625,"",(1000*tech_proj!AW1069*(-PMT($J$110,tech_base!$F105,1))+1000*tech_proj!AW1349)/((1-tech_proj!AW509)*tech_proj!AW789*$L$110))</f>
        <v>25.976848972727556</v>
      </c>
      <c r="AX729" s="235">
        <f>IF(tech_base!$T105&gt;AX$625,"",(1000*tech_proj!AX1069*(-PMT($J$110,tech_base!$F105,1))+1000*tech_proj!AX1349)/((1-tech_proj!AX509)*tech_proj!AX789*$L$110))</f>
        <v>25.979044056379596</v>
      </c>
      <c r="AY729" s="133"/>
    </row>
    <row r="730" spans="1:51" s="174" customFormat="1" x14ac:dyDescent="0.25">
      <c r="A730" s="356"/>
      <c r="B730" s="376"/>
      <c r="C730" s="379"/>
      <c r="D730" s="2" t="s">
        <v>20</v>
      </c>
      <c r="E730" s="160" t="str">
        <f>A709&amp;"/"&amp;B727&amp;"/"&amp;C727&amp;"/"&amp;D730</f>
        <v>Gas fired power plants (Natural gas, biogas)/Steam turbine/Electricity only/XS</v>
      </c>
      <c r="F730" s="76" t="str">
        <f>A709</f>
        <v>Gas fired power plants (Natural gas, biogas)</v>
      </c>
      <c r="G730" s="76" t="str">
        <f>B727</f>
        <v>Steam turbine</v>
      </c>
      <c r="H730" s="76" t="str">
        <f>C727</f>
        <v>Electricity only</v>
      </c>
      <c r="I730" s="161" t="str">
        <f t="shared" si="363"/>
        <v>XS</v>
      </c>
      <c r="J730" s="69">
        <f>IF(tech_base!$T106&gt;J$625,"",(1000*tech_proj!J1070*(-PMT($J$110,tech_base!$F106,1))+1000*tech_proj!J1350)/((1-tech_proj!J510)*tech_proj!J790*$L$110))</f>
        <v>31.069769382115823</v>
      </c>
      <c r="K730" s="69">
        <f>IF(tech_base!$T106&gt;K$625,"",(1000*tech_proj!K1070*(-PMT($J$110,tech_base!$F106,1))+1000*tech_proj!K1350)/((1-tech_proj!K510)*tech_proj!K790*$L$110))</f>
        <v>31.073207242915476</v>
      </c>
      <c r="L730" s="69">
        <f>IF(tech_base!$T106&gt;L$625,"",(1000*tech_proj!L1070*(-PMT($J$110,tech_base!$F106,1))+1000*tech_proj!L1350)/((1-tech_proj!L510)*tech_proj!L790*$L$110))</f>
        <v>31.076561458582933</v>
      </c>
      <c r="M730" s="69">
        <f>IF(tech_base!$T106&gt;M$625,"",(1000*tech_proj!M1070*(-PMT($J$110,tech_base!$F106,1))+1000*tech_proj!M1350)/((1-tech_proj!M510)*tech_proj!M790*$L$110))</f>
        <v>31.07983358956794</v>
      </c>
      <c r="N730" s="69">
        <f>IF(tech_base!$T106&gt;N$625,"",(1000*tech_proj!N1070*(-PMT($J$110,tech_base!$F106,1))+1000*tech_proj!N1350)/((1-tech_proj!N510)*tech_proj!N790*$L$110))</f>
        <v>31.083025193018752</v>
      </c>
      <c r="O730" s="69">
        <f>IF(tech_base!$T106&gt;O$625,"",(1000*tech_proj!O1070*(-PMT($J$110,tech_base!$F106,1))+1000*tech_proj!O1350)/((1-tech_proj!O510)*tech_proj!O790*$L$110))</f>
        <v>31.086137821140365</v>
      </c>
      <c r="P730" s="69">
        <f>IF(tech_base!$T106&gt;P$625,"",(1000*tech_proj!P1070*(-PMT($J$110,tech_base!$F106,1))+1000*tech_proj!P1350)/((1-tech_proj!P510)*tech_proj!P790*$L$110))</f>
        <v>31.089173019650588</v>
      </c>
      <c r="Q730" s="69">
        <f>IF(tech_base!$T106&gt;Q$625,"",(1000*tech_proj!Q1070*(-PMT($J$110,tech_base!$F106,1))+1000*tech_proj!Q1350)/((1-tech_proj!Q510)*tech_proj!Q790*$L$110))</f>
        <v>31.092132326331345</v>
      </c>
      <c r="R730" s="69">
        <f>IF(tech_base!$T106&gt;R$625,"",(1000*tech_proj!R1070*(-PMT($J$110,tech_base!$F106,1))+1000*tech_proj!R1350)/((1-tech_proj!R510)*tech_proj!R790*$L$110))</f>
        <v>31.095017269672596</v>
      </c>
      <c r="S730" s="69">
        <f>IF(tech_base!$T106&gt;S$625,"",(1000*tech_proj!S1070*(-PMT($J$110,tech_base!$F106,1))+1000*tech_proj!S1350)/((1-tech_proj!S510)*tech_proj!S790*$L$110))</f>
        <v>31.09782936760616</v>
      </c>
      <c r="T730" s="69">
        <f>IF(tech_base!$T106&gt;T$625,"",(1000*tech_proj!T1070*(-PMT($J$110,tech_base!$F106,1))+1000*tech_proj!T1350)/((1-tech_proj!T510)*tech_proj!T790*$L$110))</f>
        <v>31.100570126326737</v>
      </c>
      <c r="U730" s="69">
        <f>IF(tech_base!$T106&gt;U$625,"",(1000*tech_proj!U1070*(-PMT($J$110,tech_base!$F106,1))+1000*tech_proj!U1350)/((1-tech_proj!U510)*tech_proj!U790*$L$110))</f>
        <v>31.103241039197123</v>
      </c>
      <c r="V730" s="69">
        <f>IF(tech_base!$T106&gt;V$625,"",(1000*tech_proj!V1070*(-PMT($J$110,tech_base!$F106,1))+1000*tech_proj!V1350)/((1-tech_proj!V510)*tech_proj!V790*$L$110))</f>
        <v>31.105843585734771</v>
      </c>
      <c r="W730" s="69">
        <f>IF(tech_base!$T106&gt;W$625,"",(1000*tech_proj!W1070*(-PMT($J$110,tech_base!$F106,1))+1000*tech_proj!W1350)/((1-tech_proj!W510)*tech_proj!W790*$L$110))</f>
        <v>31.108379230676846</v>
      </c>
      <c r="X730" s="69">
        <f>IF(tech_base!$T106&gt;X$625,"",(1000*tech_proj!X1070*(-PMT($J$110,tech_base!$F106,1))+1000*tech_proj!X1350)/((1-tech_proj!X510)*tech_proj!X790*$L$110))</f>
        <v>31.110849423120698</v>
      </c>
      <c r="Y730" s="69">
        <f>IF(tech_base!$T106&gt;Y$625,"",(1000*tech_proj!Y1070*(-PMT($J$110,tech_base!$F106,1))+1000*tech_proj!Y1350)/((1-tech_proj!Y510)*tech_proj!Y790*$L$110))</f>
        <v>31.113255595736799</v>
      </c>
      <c r="Z730" s="69">
        <f>IF(tech_base!$T106&gt;Z$625,"",(1000*tech_proj!Z1070*(-PMT($J$110,tech_base!$F106,1))+1000*tech_proj!Z1350)/((1-tech_proj!Z510)*tech_proj!Z790*$L$110))</f>
        <v>31.115599164051353</v>
      </c>
      <c r="AA730" s="69">
        <f>IF(tech_base!$T106&gt;AA$625,"",(1000*tech_proj!AA1070*(-PMT($J$110,tech_base!$F106,1))+1000*tech_proj!AA1350)/((1-tech_proj!AA510)*tech_proj!AA790*$L$110))</f>
        <v>31.117881525795404</v>
      </c>
      <c r="AB730" s="69">
        <f>IF(tech_base!$T106&gt;AB$625,"",(1000*tech_proj!AB1070*(-PMT($J$110,tech_base!$F106,1))+1000*tech_proj!AB1350)/((1-tech_proj!AB510)*tech_proj!AB790*$L$110))</f>
        <v>31.120104060317754</v>
      </c>
      <c r="AC730" s="69">
        <f>IF(tech_base!$T106&gt;AC$625,"",(1000*tech_proj!AC1070*(-PMT($J$110,tech_base!$F106,1))+1000*tech_proj!AC1350)/((1-tech_proj!AC510)*tech_proj!AC790*$L$110))</f>
        <v>31.122268128058629</v>
      </c>
      <c r="AD730" s="69">
        <f>IF(tech_base!$T106&gt;AD$625,"",(1000*tech_proj!AD1070*(-PMT($J$110,tech_base!$F106,1))+1000*tech_proj!AD1350)/((1-tech_proj!AD510)*tech_proj!AD790*$L$110))</f>
        <v>31.124375070081456</v>
      </c>
      <c r="AE730" s="69">
        <f>IF(tech_base!$T106&gt;AE$625,"",(1000*tech_proj!AE1070*(-PMT($J$110,tech_base!$F106,1))+1000*tech_proj!AE1350)/((1-tech_proj!AE510)*tech_proj!AE790*$L$110))</f>
        <v>31.126426207659733</v>
      </c>
      <c r="AF730" s="69">
        <f>IF(tech_base!$T106&gt;AF$625,"",(1000*tech_proj!AF1070*(-PMT($J$110,tech_base!$F106,1))+1000*tech_proj!AF1350)/((1-tech_proj!AF510)*tech_proj!AF790*$L$110))</f>
        <v>31.1284228419165</v>
      </c>
      <c r="AG730" s="69">
        <f>IF(tech_base!$T106&gt;AG$625,"",(1000*tech_proj!AG1070*(-PMT($J$110,tech_base!$F106,1))+1000*tech_proj!AG1350)/((1-tech_proj!AG510)*tech_proj!AG790*$L$110))</f>
        <v>31.130366253513539</v>
      </c>
      <c r="AH730" s="69">
        <f>IF(tech_base!$T106&gt;AH$625,"",(1000*tech_proj!AH1070*(-PMT($J$110,tech_base!$F106,1))+1000*tech_proj!AH1350)/((1-tech_proj!AH510)*tech_proj!AH790*$L$110))</f>
        <v>31.132257702387871</v>
      </c>
      <c r="AI730" s="69">
        <f>IF(tech_base!$T106&gt;AI$625,"",(1000*tech_proj!AI1070*(-PMT($J$110,tech_base!$F106,1))+1000*tech_proj!AI1350)/((1-tech_proj!AI510)*tech_proj!AI790*$L$110))</f>
        <v>31.134098427532798</v>
      </c>
      <c r="AJ730" s="69">
        <f>IF(tech_base!$T106&gt;AJ$625,"",(1000*tech_proj!AJ1070*(-PMT($J$110,tech_base!$F106,1))+1000*tech_proj!AJ1350)/((1-tech_proj!AJ510)*tech_proj!AJ790*$L$110))</f>
        <v>31.135889646821276</v>
      </c>
      <c r="AK730" s="69">
        <f>IF(tech_base!$T106&gt;AK$625,"",(1000*tech_proj!AK1070*(-PMT($J$110,tech_base!$F106,1))+1000*tech_proj!AK1350)/((1-tech_proj!AK510)*tech_proj!AK790*$L$110))</f>
        <v>31.137632556869008</v>
      </c>
      <c r="AL730" s="69">
        <f>IF(tech_base!$T106&gt;AL$625,"",(1000*tech_proj!AL1070*(-PMT($J$110,tech_base!$F106,1))+1000*tech_proj!AL1350)/((1-tech_proj!AL510)*tech_proj!AL790*$L$110))</f>
        <v>31.139328332934969</v>
      </c>
      <c r="AM730" s="69">
        <f>IF(tech_base!$T106&gt;AM$625,"",(1000*tech_proj!AM1070*(-PMT($J$110,tech_base!$F106,1))+1000*tech_proj!AM1350)/((1-tech_proj!AM510)*tech_proj!AM790*$L$110))</f>
        <v>31.140978128857288</v>
      </c>
      <c r="AN730" s="69">
        <f>IF(tech_base!$T106&gt;AN$625,"",(1000*tech_proj!AN1070*(-PMT($J$110,tech_base!$F106,1))+1000*tech_proj!AN1350)/((1-tech_proj!AN510)*tech_proj!AN790*$L$110))</f>
        <v>31.142583077022028</v>
      </c>
      <c r="AO730" s="69">
        <f>IF(tech_base!$T106&gt;AO$625,"",(1000*tech_proj!AO1070*(-PMT($J$110,tech_base!$F106,1))+1000*tech_proj!AO1350)/((1-tech_proj!AO510)*tech_proj!AO790*$L$110))</f>
        <v>31.144144288363062</v>
      </c>
      <c r="AP730" s="69">
        <f>IF(tech_base!$T106&gt;AP$625,"",(1000*tech_proj!AP1070*(-PMT($J$110,tech_base!$F106,1))+1000*tech_proj!AP1350)/((1-tech_proj!AP510)*tech_proj!AP790*$L$110))</f>
        <v>31.145662852390764</v>
      </c>
      <c r="AQ730" s="69">
        <f>IF(tech_base!$T106&gt;AQ$625,"",(1000*tech_proj!AQ1070*(-PMT($J$110,tech_base!$F106,1))+1000*tech_proj!AQ1350)/((1-tech_proj!AQ510)*tech_proj!AQ790*$L$110))</f>
        <v>31.147139837247845</v>
      </c>
      <c r="AR730" s="69">
        <f>IF(tech_base!$T106&gt;AR$625,"",(1000*tech_proj!AR1070*(-PMT($J$110,tech_base!$F106,1))+1000*tech_proj!AR1350)/((1-tech_proj!AR510)*tech_proj!AR790*$L$110))</f>
        <v>31.148576289790164</v>
      </c>
      <c r="AS730" s="69">
        <f>IF(tech_base!$T106&gt;AS$625,"",(1000*tech_proj!AS1070*(-PMT($J$110,tech_base!$F106,1))+1000*tech_proj!AS1350)/((1-tech_proj!AS510)*tech_proj!AS790*$L$110))</f>
        <v>31.149973235691089</v>
      </c>
      <c r="AT730" s="69">
        <f>IF(tech_base!$T106&gt;AT$625,"",(1000*tech_proj!AT1070*(-PMT($J$110,tech_base!$F106,1))+1000*tech_proj!AT1350)/((1-tech_proj!AT510)*tech_proj!AT790*$L$110))</f>
        <v>31.151331679567324</v>
      </c>
      <c r="AU730" s="69">
        <f>IF(tech_base!$T106&gt;AU$625,"",(1000*tech_proj!AU1070*(-PMT($J$110,tech_base!$F106,1))+1000*tech_proj!AU1350)/((1-tech_proj!AU510)*tech_proj!AU790*$L$110))</f>
        <v>31.152652605124899</v>
      </c>
      <c r="AV730" s="69">
        <f>IF(tech_base!$T106&gt;AV$625,"",(1000*tech_proj!AV1070*(-PMT($J$110,tech_base!$F106,1))+1000*tech_proj!AV1350)/((1-tech_proj!AV510)*tech_proj!AV790*$L$110))</f>
        <v>31.153936975323493</v>
      </c>
      <c r="AW730" s="69">
        <f>IF(tech_base!$T106&gt;AW$625,"",(1000*tech_proj!AW1070*(-PMT($J$110,tech_base!$F106,1))+1000*tech_proj!AW1350)/((1-tech_proj!AW510)*tech_proj!AW790*$L$110))</f>
        <v>31.155185732557872</v>
      </c>
      <c r="AX730" s="235">
        <f>IF(tech_base!$T106&gt;AX$625,"",(1000*tech_proj!AX1070*(-PMT($J$110,tech_base!$F106,1))+1000*tech_proj!AX1350)/((1-tech_proj!AX510)*tech_proj!AX790*$L$110))</f>
        <v>31.156399798854725</v>
      </c>
      <c r="AY730" s="133"/>
    </row>
    <row r="731" spans="1:51" s="174" customFormat="1" x14ac:dyDescent="0.25">
      <c r="A731" s="356"/>
      <c r="B731" s="376"/>
      <c r="C731" s="361" t="s">
        <v>14</v>
      </c>
      <c r="D731" s="58" t="s">
        <v>7</v>
      </c>
      <c r="E731" s="164" t="str">
        <f>A709&amp;"/"&amp;B727&amp;"/"&amp;C731&amp;"/"&amp;D731</f>
        <v>Gas fired power plants (Natural gas, biogas)/Steam turbine/CHP/L</v>
      </c>
      <c r="F731" s="78" t="str">
        <f>A709</f>
        <v>Gas fired power plants (Natural gas, biogas)</v>
      </c>
      <c r="G731" s="78" t="str">
        <f>B727</f>
        <v>Steam turbine</v>
      </c>
      <c r="H731" s="78" t="str">
        <f>C731</f>
        <v>CHP</v>
      </c>
      <c r="I731" s="165" t="str">
        <f t="shared" si="363"/>
        <v>L</v>
      </c>
      <c r="J731" s="71">
        <f>IF(tech_base!$T107&gt;J$625,"",(1000*tech_proj!J1071*(-PMT($J$110,tech_base!$F107,1))+1000*tech_proj!J1351)/((1-tech_proj!J511)*tech_proj!J791*$L$110))</f>
        <v>36.115075865687871</v>
      </c>
      <c r="K731" s="71">
        <f>IF(tech_base!$T107&gt;K$625,"",(1000*tech_proj!K1071*(-PMT($J$110,tech_base!$F107,1))+1000*tech_proj!K1351)/((1-tech_proj!K511)*tech_proj!K791*$L$110))</f>
        <v>36.121111330565157</v>
      </c>
      <c r="L731" s="71">
        <f>IF(tech_base!$T107&gt;L$625,"",(1000*tech_proj!L1071*(-PMT($J$110,tech_base!$F107,1))+1000*tech_proj!L1351)/((1-tech_proj!L511)*tech_proj!L791*$L$110))</f>
        <v>36.127051191716589</v>
      </c>
      <c r="M731" s="71">
        <f>IF(tech_base!$T107&gt;M$625,"",(1000*tech_proj!M1071*(-PMT($J$110,tech_base!$F107,1))+1000*tech_proj!M1351)/((1-tech_proj!M511)*tech_proj!M791*$L$110))</f>
        <v>36.132896541773349</v>
      </c>
      <c r="N731" s="71">
        <f>IF(tech_base!$T107&gt;N$625,"",(1000*tech_proj!N1071*(-PMT($J$110,tech_base!$F107,1))+1000*tech_proj!N1351)/((1-tech_proj!N511)*tech_proj!N791*$L$110))</f>
        <v>36.138648476155076</v>
      </c>
      <c r="O731" s="71">
        <f>IF(tech_base!$T107&gt;O$625,"",(1000*tech_proj!O1071*(-PMT($J$110,tech_base!$F107,1))+1000*tech_proj!O1351)/((1-tech_proj!O511)*tech_proj!O791*$L$110))</f>
        <v>36.1443080923937</v>
      </c>
      <c r="P731" s="71">
        <f>IF(tech_base!$T107&gt;P$625,"",(1000*tech_proj!P1071*(-PMT($J$110,tech_base!$F107,1))+1000*tech_proj!P1351)/((1-tech_proj!P511)*tech_proj!P791*$L$110))</f>
        <v>36.149876489479809</v>
      </c>
      <c r="Q731" s="71">
        <f>IF(tech_base!$T107&gt;Q$625,"",(1000*tech_proj!Q1071*(-PMT($J$110,tech_base!$F107,1))+1000*tech_proj!Q1351)/((1-tech_proj!Q511)*tech_proj!Q791*$L$110))</f>
        <v>36.155354767231543</v>
      </c>
      <c r="R731" s="71">
        <f>IF(tech_base!$T107&gt;R$625,"",(1000*tech_proj!R1071*(-PMT($J$110,tech_base!$F107,1))+1000*tech_proj!R1351)/((1-tech_proj!R511)*tech_proj!R791*$L$110))</f>
        <v>36.160744025685645</v>
      </c>
      <c r="S731" s="71">
        <f>IF(tech_base!$T107&gt;S$625,"",(1000*tech_proj!S1071*(-PMT($J$110,tech_base!$F107,1))+1000*tech_proj!S1351)/((1-tech_proj!S511)*tech_proj!S791*$L$110))</f>
        <v>36.166045364510445</v>
      </c>
      <c r="T731" s="71">
        <f>IF(tech_base!$T107&gt;T$625,"",(1000*tech_proj!T1071*(-PMT($J$110,tech_base!$F107,1))+1000*tech_proj!T1351)/((1-tech_proj!T511)*tech_proj!T791*$L$110))</f>
        <v>36.171259882440481</v>
      </c>
      <c r="U731" s="71">
        <f>IF(tech_base!$T107&gt;U$625,"",(1000*tech_proj!U1071*(-PMT($J$110,tech_base!$F107,1))+1000*tech_proj!U1351)/((1-tech_proj!U511)*tech_proj!U791*$L$110))</f>
        <v>36.176388676732557</v>
      </c>
      <c r="V731" s="71">
        <f>IF(tech_base!$T107&gt;V$625,"",(1000*tech_proj!V1071*(-PMT($J$110,tech_base!$F107,1))+1000*tech_proj!V1351)/((1-tech_proj!V511)*tech_proj!V791*$L$110))</f>
        <v>36.181432842642742</v>
      </c>
      <c r="W731" s="71">
        <f>IF(tech_base!$T107&gt;W$625,"",(1000*tech_proj!W1071*(-PMT($J$110,tech_base!$F107,1))+1000*tech_proj!W1351)/((1-tech_proj!W511)*tech_proj!W791*$L$110))</f>
        <v>36.186393472924138</v>
      </c>
      <c r="X731" s="71">
        <f>IF(tech_base!$T107&gt;X$625,"",(1000*tech_proj!X1071*(-PMT($J$110,tech_base!$F107,1))+1000*tech_proj!X1351)/((1-tech_proj!X511)*tech_proj!X791*$L$110))</f>
        <v>36.191271657345055</v>
      </c>
      <c r="Y731" s="71">
        <f>IF(tech_base!$T107&gt;Y$625,"",(1000*tech_proj!Y1071*(-PMT($J$110,tech_base!$F107,1))+1000*tech_proj!Y1351)/((1-tech_proj!Y511)*tech_proj!Y791*$L$110))</f>
        <v>36.196068482227112</v>
      </c>
      <c r="Z731" s="71">
        <f>IF(tech_base!$T107&gt;Z$625,"",(1000*tech_proj!Z1071*(-PMT($J$110,tech_base!$F107,1))+1000*tech_proj!Z1351)/((1-tech_proj!Z511)*tech_proj!Z791*$L$110))</f>
        <v>36.200785030003054</v>
      </c>
      <c r="AA731" s="71">
        <f>IF(tech_base!$T107&gt;AA$625,"",(1000*tech_proj!AA1071*(-PMT($J$110,tech_base!$F107,1))+1000*tech_proj!AA1351)/((1-tech_proj!AA511)*tech_proj!AA791*$L$110))</f>
        <v>36.205422378793834</v>
      </c>
      <c r="AB731" s="71">
        <f>IF(tech_base!$T107&gt;AB$625,"",(1000*tech_proj!AB1071*(-PMT($J$110,tech_base!$F107,1))+1000*tech_proj!AB1351)/((1-tech_proj!AB511)*tech_proj!AB791*$L$110))</f>
        <v>36.209981602004589</v>
      </c>
      <c r="AC731" s="71">
        <f>IF(tech_base!$T107&gt;AC$625,"",(1000*tech_proj!AC1071*(-PMT($J$110,tech_base!$F107,1))+1000*tech_proj!AC1351)/((1-tech_proj!AC511)*tech_proj!AC791*$L$110))</f>
        <v>36.214463767939066</v>
      </c>
      <c r="AD731" s="71">
        <f>IF(tech_base!$T107&gt;AD$625,"",(1000*tech_proj!AD1071*(-PMT($J$110,tech_base!$F107,1))+1000*tech_proj!AD1351)/((1-tech_proj!AD511)*tech_proj!AD791*$L$110))</f>
        <v>36.218869939432217</v>
      </c>
      <c r="AE731" s="71">
        <f>IF(tech_base!$T107&gt;AE$625,"",(1000*tech_proj!AE1071*(-PMT($J$110,tech_base!$F107,1))+1000*tech_proj!AE1351)/((1-tech_proj!AE511)*tech_proj!AE791*$L$110))</f>
        <v>36.223201173500492</v>
      </c>
      <c r="AF731" s="71">
        <f>IF(tech_base!$T107&gt;AF$625,"",(1000*tech_proj!AF1071*(-PMT($J$110,tech_base!$F107,1))+1000*tech_proj!AF1351)/((1-tech_proj!AF511)*tech_proj!AF791*$L$110))</f>
        <v>36.227458521009353</v>
      </c>
      <c r="AG731" s="71">
        <f>IF(tech_base!$T107&gt;AG$625,"",(1000*tech_proj!AG1071*(-PMT($J$110,tech_base!$F107,1))+1000*tech_proj!AG1351)/((1-tech_proj!AG511)*tech_proj!AG791*$L$110))</f>
        <v>36.23164302635778</v>
      </c>
      <c r="AH731" s="71">
        <f>IF(tech_base!$T107&gt;AH$625,"",(1000*tech_proj!AH1071*(-PMT($J$110,tech_base!$F107,1))+1000*tech_proj!AH1351)/((1-tech_proj!AH511)*tech_proj!AH791*$L$110))</f>
        <v>36.235755727179104</v>
      </c>
      <c r="AI731" s="71">
        <f>IF(tech_base!$T107&gt;AI$625,"",(1000*tech_proj!AI1071*(-PMT($J$110,tech_base!$F107,1))+1000*tech_proj!AI1351)/((1-tech_proj!AI511)*tech_proj!AI791*$L$110))</f>
        <v>36.239797654058059</v>
      </c>
      <c r="AJ731" s="71">
        <f>IF(tech_base!$T107&gt;AJ$625,"",(1000*tech_proj!AJ1071*(-PMT($J$110,tech_base!$F107,1))+1000*tech_proj!AJ1351)/((1-tech_proj!AJ511)*tech_proj!AJ791*$L$110))</f>
        <v>36.243769830263346</v>
      </c>
      <c r="AK731" s="71">
        <f>IF(tech_base!$T107&gt;AK$625,"",(1000*tech_proj!AK1071*(-PMT($J$110,tech_base!$F107,1))+1000*tech_proj!AK1351)/((1-tech_proj!AK511)*tech_proj!AK791*$L$110))</f>
        <v>36.247673271495501</v>
      </c>
      <c r="AL731" s="71">
        <f>IF(tech_base!$T107&gt;AL$625,"",(1000*tech_proj!AL1071*(-PMT($J$110,tech_base!$F107,1))+1000*tech_proj!AL1351)/((1-tech_proj!AL511)*tech_proj!AL791*$L$110))</f>
        <v>36.251508985649586</v>
      </c>
      <c r="AM731" s="71">
        <f>IF(tech_base!$T107&gt;AM$625,"",(1000*tech_proj!AM1071*(-PMT($J$110,tech_base!$F107,1))+1000*tech_proj!AM1351)/((1-tech_proj!AM511)*tech_proj!AM791*$L$110))</f>
        <v>36.255277972592125</v>
      </c>
      <c r="AN731" s="71">
        <f>IF(tech_base!$T107&gt;AN$625,"",(1000*tech_proj!AN1071*(-PMT($J$110,tech_base!$F107,1))+1000*tech_proj!AN1351)/((1-tech_proj!AN511)*tech_proj!AN791*$L$110))</f>
        <v>36.258981223952297</v>
      </c>
      <c r="AO731" s="71">
        <f>IF(tech_base!$T107&gt;AO$625,"",(1000*tech_proj!AO1071*(-PMT($J$110,tech_base!$F107,1))+1000*tech_proj!AO1351)/((1-tech_proj!AO511)*tech_proj!AO791*$L$110))</f>
        <v>36.262619722926431</v>
      </c>
      <c r="AP731" s="71">
        <f>IF(tech_base!$T107&gt;AP$625,"",(1000*tech_proj!AP1071*(-PMT($J$110,tech_base!$F107,1))+1000*tech_proj!AP1351)/((1-tech_proj!AP511)*tech_proj!AP791*$L$110))</f>
        <v>36.266194444095923</v>
      </c>
      <c r="AQ731" s="71">
        <f>IF(tech_base!$T107&gt;AQ$625,"",(1000*tech_proj!AQ1071*(-PMT($J$110,tech_base!$F107,1))+1000*tech_proj!AQ1351)/((1-tech_proj!AQ511)*tech_proj!AQ791*$L$110))</f>
        <v>36.269706353257725</v>
      </c>
      <c r="AR731" s="71">
        <f>IF(tech_base!$T107&gt;AR$625,"",(1000*tech_proj!AR1071*(-PMT($J$110,tech_base!$F107,1))+1000*tech_proj!AR1351)/((1-tech_proj!AR511)*tech_proj!AR791*$L$110))</f>
        <v>36.273156407267294</v>
      </c>
      <c r="AS731" s="71">
        <f>IF(tech_base!$T107&gt;AS$625,"",(1000*tech_proj!AS1071*(-PMT($J$110,tech_base!$F107,1))+1000*tech_proj!AS1351)/((1-tech_proj!AS511)*tech_proj!AS791*$L$110))</f>
        <v>36.276545553893605</v>
      </c>
      <c r="AT731" s="71">
        <f>IF(tech_base!$T107&gt;AT$625,"",(1000*tech_proj!AT1071*(-PMT($J$110,tech_base!$F107,1))+1000*tech_proj!AT1351)/((1-tech_proj!AT511)*tech_proj!AT791*$L$110))</f>
        <v>36.279874731685588</v>
      </c>
      <c r="AU731" s="71">
        <f>IF(tech_base!$T107&gt;AU$625,"",(1000*tech_proj!AU1071*(-PMT($J$110,tech_base!$F107,1))+1000*tech_proj!AU1351)/((1-tech_proj!AU511)*tech_proj!AU791*$L$110))</f>
        <v>36.283144869849899</v>
      </c>
      <c r="AV731" s="71">
        <f>IF(tech_base!$T107&gt;AV$625,"",(1000*tech_proj!AV1071*(-PMT($J$110,tech_base!$F107,1))+1000*tech_proj!AV1351)/((1-tech_proj!AV511)*tech_proj!AV791*$L$110))</f>
        <v>36.286356888139473</v>
      </c>
      <c r="AW731" s="71">
        <f>IF(tech_base!$T107&gt;AW$625,"",(1000*tech_proj!AW1071*(-PMT($J$110,tech_base!$F107,1))+1000*tech_proj!AW1351)/((1-tech_proj!AW511)*tech_proj!AW791*$L$110))</f>
        <v>36.289511696752555</v>
      </c>
      <c r="AX731" s="237">
        <f>IF(tech_base!$T107&gt;AX$625,"",(1000*tech_proj!AX1071*(-PMT($J$110,tech_base!$F107,1))+1000*tech_proj!AX1351)/((1-tech_proj!AX511)*tech_proj!AX791*$L$110))</f>
        <v>36.292610196241782</v>
      </c>
      <c r="AY731" s="133"/>
    </row>
    <row r="732" spans="1:51" s="174" customFormat="1" x14ac:dyDescent="0.25">
      <c r="A732" s="356"/>
      <c r="B732" s="376"/>
      <c r="C732" s="378"/>
      <c r="D732" s="2" t="s">
        <v>8</v>
      </c>
      <c r="E732" s="160" t="str">
        <f>A709&amp;"/"&amp;B727&amp;"/"&amp;C731&amp;"/"&amp;D732</f>
        <v>Gas fired power plants (Natural gas, biogas)/Steam turbine/CHP/M</v>
      </c>
      <c r="F732" s="76" t="str">
        <f>A709</f>
        <v>Gas fired power plants (Natural gas, biogas)</v>
      </c>
      <c r="G732" s="76" t="str">
        <f>B727</f>
        <v>Steam turbine</v>
      </c>
      <c r="H732" s="76" t="str">
        <f>C731</f>
        <v>CHP</v>
      </c>
      <c r="I732" s="161" t="str">
        <f t="shared" si="363"/>
        <v>M</v>
      </c>
      <c r="J732" s="69">
        <f>IF(tech_base!$T108&gt;J$625,"",(1000*tech_proj!J1072*(-PMT($J$110,tech_base!$F108,1))+1000*tech_proj!J1352)/((1-tech_proj!J512)*tech_proj!J792*$L$110))</f>
        <v>38.017325746746586</v>
      </c>
      <c r="K732" s="69">
        <f>IF(tech_base!$T108&gt;K$625,"",(1000*tech_proj!K1072*(-PMT($J$110,tech_base!$F108,1))+1000*tech_proj!K1352)/((1-tech_proj!K512)*tech_proj!K792*$L$110))</f>
        <v>38.021175251196034</v>
      </c>
      <c r="L732" s="69">
        <f>IF(tech_base!$T108&gt;L$625,"",(1000*tech_proj!L1072*(-PMT($J$110,tech_base!$F108,1))+1000*tech_proj!L1352)/((1-tech_proj!L512)*tech_proj!L792*$L$110))</f>
        <v>38.024960907362214</v>
      </c>
      <c r="M732" s="69">
        <f>IF(tech_base!$T108&gt;M$625,"",(1000*tech_proj!M1072*(-PMT($J$110,tech_base!$F108,1))+1000*tech_proj!M1352)/((1-tech_proj!M512)*tech_proj!M792*$L$110))</f>
        <v>38.028683551844885</v>
      </c>
      <c r="N732" s="69">
        <f>IF(tech_base!$T108&gt;N$625,"",(1000*tech_proj!N1072*(-PMT($J$110,tech_base!$F108,1))+1000*tech_proj!N1352)/((1-tech_proj!N512)*tech_proj!N792*$L$110))</f>
        <v>38.032344018438216</v>
      </c>
      <c r="O732" s="69">
        <f>IF(tech_base!$T108&gt;O$625,"",(1000*tech_proj!O1072*(-PMT($J$110,tech_base!$F108,1))+1000*tech_proj!O1352)/((1-tech_proj!O512)*tech_proj!O792*$L$110))</f>
        <v>38.035943137797837</v>
      </c>
      <c r="P732" s="69">
        <f>IF(tech_base!$T108&gt;P$625,"",(1000*tech_proj!P1072*(-PMT($J$110,tech_base!$F108,1))+1000*tech_proj!P1352)/((1-tech_proj!P512)*tech_proj!P792*$L$110))</f>
        <v>38.039481737122756</v>
      </c>
      <c r="Q732" s="69">
        <f>IF(tech_base!$T108&gt;Q$625,"",(1000*tech_proj!Q1072*(-PMT($J$110,tech_base!$F108,1))+1000*tech_proj!Q1352)/((1-tech_proj!Q512)*tech_proj!Q792*$L$110))</f>
        <v>38.042960639851422</v>
      </c>
      <c r="R732" s="69">
        <f>IF(tech_base!$T108&gt;R$625,"",(1000*tech_proj!R1072*(-PMT($J$110,tech_base!$F108,1))+1000*tech_proj!R1352)/((1-tech_proj!R512)*tech_proj!R792*$L$110))</f>
        <v>38.046380665372034</v>
      </c>
      <c r="S732" s="69">
        <f>IF(tech_base!$T108&gt;S$625,"",(1000*tech_proj!S1072*(-PMT($J$110,tech_base!$F108,1))+1000*tech_proj!S1352)/((1-tech_proj!S512)*tech_proj!S792*$L$110))</f>
        <v>38.049742628746394</v>
      </c>
      <c r="T732" s="69">
        <f>IF(tech_base!$T108&gt;T$625,"",(1000*tech_proj!T1072*(-PMT($J$110,tech_base!$F108,1))+1000*tech_proj!T1352)/((1-tech_proj!T512)*tech_proj!T792*$L$110))</f>
        <v>38.053047340447492</v>
      </c>
      <c r="U732" s="69">
        <f>IF(tech_base!$T108&gt;U$625,"",(1000*tech_proj!U1072*(-PMT($J$110,tech_base!$F108,1))+1000*tech_proj!U1352)/((1-tech_proj!U512)*tech_proj!U792*$L$110))</f>
        <v>38.056295606109849</v>
      </c>
      <c r="V732" s="69">
        <f>IF(tech_base!$T108&gt;V$625,"",(1000*tech_proj!V1072*(-PMT($J$110,tech_base!$F108,1))+1000*tech_proj!V1352)/((1-tech_proj!V512)*tech_proj!V792*$L$110))</f>
        <v>38.059488226293013</v>
      </c>
      <c r="W732" s="69">
        <f>IF(tech_base!$T108&gt;W$625,"",(1000*tech_proj!W1072*(-PMT($J$110,tech_base!$F108,1))+1000*tech_proj!W1352)/((1-tech_proj!W512)*tech_proj!W792*$L$110))</f>
        <v>38.062625996257346</v>
      </c>
      <c r="X732" s="69">
        <f>IF(tech_base!$T108&gt;X$625,"",(1000*tech_proj!X1072*(-PMT($J$110,tech_base!$F108,1))+1000*tech_proj!X1352)/((1-tech_proj!X512)*tech_proj!X792*$L$110))</f>
        <v>38.065709705752077</v>
      </c>
      <c r="Y732" s="69">
        <f>IF(tech_base!$T108&gt;Y$625,"",(1000*tech_proj!Y1072*(-PMT($J$110,tech_base!$F108,1))+1000*tech_proj!Y1352)/((1-tech_proj!Y512)*tech_proj!Y792*$L$110))</f>
        <v>38.068740138815201</v>
      </c>
      <c r="Z732" s="69">
        <f>IF(tech_base!$T108&gt;Z$625,"",(1000*tech_proj!Z1072*(-PMT($J$110,tech_base!$F108,1))+1000*tech_proj!Z1352)/((1-tech_proj!Z512)*tech_proj!Z792*$L$110))</f>
        <v>38.071718073584897</v>
      </c>
      <c r="AA732" s="69">
        <f>IF(tech_base!$T108&gt;AA$625,"",(1000*tech_proj!AA1072*(-PMT($J$110,tech_base!$F108,1))+1000*tech_proj!AA1352)/((1-tech_proj!AA512)*tech_proj!AA792*$L$110))</f>
        <v>38.074644282122193</v>
      </c>
      <c r="AB732" s="69">
        <f>IF(tech_base!$T108&gt;AB$625,"",(1000*tech_proj!AB1072*(-PMT($J$110,tech_base!$F108,1))+1000*tech_proj!AB1352)/((1-tech_proj!AB512)*tech_proj!AB792*$L$110))</f>
        <v>38.077519530244594</v>
      </c>
      <c r="AC732" s="69">
        <f>IF(tech_base!$T108&gt;AC$625,"",(1000*tech_proj!AC1072*(-PMT($J$110,tech_base!$F108,1))+1000*tech_proj!AC1352)/((1-tech_proj!AC512)*tech_proj!AC792*$L$110))</f>
        <v>38.080344577370191</v>
      </c>
      <c r="AD732" s="69">
        <f>IF(tech_base!$T108&gt;AD$625,"",(1000*tech_proj!AD1072*(-PMT($J$110,tech_base!$F108,1))+1000*tech_proj!AD1352)/((1-tech_proj!AD512)*tech_proj!AD792*$L$110))</f>
        <v>38.083120176372177</v>
      </c>
      <c r="AE732" s="69">
        <f>IF(tech_base!$T108&gt;AE$625,"",(1000*tech_proj!AE1072*(-PMT($J$110,tech_base!$F108,1))+1000*tech_proj!AE1352)/((1-tech_proj!AE512)*tech_proj!AE792*$L$110))</f>
        <v>38.085847073443254</v>
      </c>
      <c r="AF732" s="69">
        <f>IF(tech_base!$T108&gt;AF$625,"",(1000*tech_proj!AF1072*(-PMT($J$110,tech_base!$F108,1))+1000*tech_proj!AF1352)/((1-tech_proj!AF512)*tech_proj!AF792*$L$110))</f>
        <v>38.08852600796979</v>
      </c>
      <c r="AG732" s="69">
        <f>IF(tech_base!$T108&gt;AG$625,"",(1000*tech_proj!AG1072*(-PMT($J$110,tech_base!$F108,1))+1000*tech_proj!AG1352)/((1-tech_proj!AG512)*tech_proj!AG792*$L$110))</f>
        <v>38.091157712415239</v>
      </c>
      <c r="AH732" s="69">
        <f>IF(tech_base!$T108&gt;AH$625,"",(1000*tech_proj!AH1072*(-PMT($J$110,tech_base!$F108,1))+1000*tech_proj!AH1352)/((1-tech_proj!AH512)*tech_proj!AH792*$L$110))</f>
        <v>38.093742912212704</v>
      </c>
      <c r="AI732" s="69">
        <f>IF(tech_base!$T108&gt;AI$625,"",(1000*tech_proj!AI1072*(-PMT($J$110,tech_base!$F108,1))+1000*tech_proj!AI1352)/((1-tech_proj!AI512)*tech_proj!AI792*$L$110))</f>
        <v>38.09628232566628</v>
      </c>
      <c r="AJ732" s="69">
        <f>IF(tech_base!$T108&gt;AJ$625,"",(1000*tech_proj!AJ1072*(-PMT($J$110,tech_base!$F108,1))+1000*tech_proj!AJ1352)/((1-tech_proj!AJ512)*tech_proj!AJ792*$L$110))</f>
        <v>38.098776663860811</v>
      </c>
      <c r="AK732" s="69">
        <f>IF(tech_base!$T108&gt;AK$625,"",(1000*tech_proj!AK1072*(-PMT($J$110,tech_base!$F108,1))+1000*tech_proj!AK1352)/((1-tech_proj!AK512)*tech_proj!AK792*$L$110))</f>
        <v>38.101226630579873</v>
      </c>
      <c r="AL732" s="69">
        <f>IF(tech_base!$T108&gt;AL$625,"",(1000*tech_proj!AL1072*(-PMT($J$110,tech_base!$F108,1))+1000*tech_proj!AL1352)/((1-tech_proj!AL512)*tech_proj!AL792*$L$110))</f>
        <v>38.103632922231633</v>
      </c>
      <c r="AM732" s="69">
        <f>IF(tech_base!$T108&gt;AM$625,"",(1000*tech_proj!AM1072*(-PMT($J$110,tech_base!$F108,1))+1000*tech_proj!AM1352)/((1-tech_proj!AM512)*tech_proj!AM792*$L$110))</f>
        <v>38.105996227782448</v>
      </c>
      <c r="AN732" s="69">
        <f>IF(tech_base!$T108&gt;AN$625,"",(1000*tech_proj!AN1072*(-PMT($J$110,tech_base!$F108,1))+1000*tech_proj!AN1352)/((1-tech_proj!AN512)*tech_proj!AN792*$L$110))</f>
        <v>38.108317228697594</v>
      </c>
      <c r="AO732" s="69">
        <f>IF(tech_base!$T108&gt;AO$625,"",(1000*tech_proj!AO1072*(-PMT($J$110,tech_base!$F108,1))+1000*tech_proj!AO1352)/((1-tech_proj!AO512)*tech_proj!AO792*$L$110))</f>
        <v>38.110596598889316</v>
      </c>
      <c r="AP732" s="69">
        <f>IF(tech_base!$T108&gt;AP$625,"",(1000*tech_proj!AP1072*(-PMT($J$110,tech_base!$F108,1))+1000*tech_proj!AP1352)/((1-tech_proj!AP512)*tech_proj!AP792*$L$110))</f>
        <v>38.112835004671517</v>
      </c>
      <c r="AQ732" s="69">
        <f>IF(tech_base!$T108&gt;AQ$625,"",(1000*tech_proj!AQ1072*(-PMT($J$110,tech_base!$F108,1))+1000*tech_proj!AQ1352)/((1-tech_proj!AQ512)*tech_proj!AQ792*$L$110))</f>
        <v>38.115033104721135</v>
      </c>
      <c r="AR732" s="69">
        <f>IF(tech_base!$T108&gt;AR$625,"",(1000*tech_proj!AR1072*(-PMT($J$110,tech_base!$F108,1))+1000*tech_proj!AR1352)/((1-tech_proj!AR512)*tech_proj!AR792*$L$110))</f>
        <v>38.117191550045682</v>
      </c>
      <c r="AS732" s="69">
        <f>IF(tech_base!$T108&gt;AS$625,"",(1000*tech_proj!AS1072*(-PMT($J$110,tech_base!$F108,1))+1000*tech_proj!AS1352)/((1-tech_proj!AS512)*tech_proj!AS792*$L$110))</f>
        <v>38.119310983957014</v>
      </c>
      <c r="AT732" s="69">
        <f>IF(tech_base!$T108&gt;AT$625,"",(1000*tech_proj!AT1072*(-PMT($J$110,tech_base!$F108,1))+1000*tech_proj!AT1352)/((1-tech_proj!AT512)*tech_proj!AT792*$L$110))</f>
        <v>38.121392042050743</v>
      </c>
      <c r="AU732" s="69">
        <f>IF(tech_base!$T108&gt;AU$625,"",(1000*tech_proj!AU1072*(-PMT($J$110,tech_base!$F108,1))+1000*tech_proj!AU1352)/((1-tech_proj!AU512)*tech_proj!AU792*$L$110))</f>
        <v>38.123435352191329</v>
      </c>
      <c r="AV732" s="69">
        <f>IF(tech_base!$T108&gt;AV$625,"",(1000*tech_proj!AV1072*(-PMT($J$110,tech_base!$F108,1))+1000*tech_proj!AV1352)/((1-tech_proj!AV512)*tech_proj!AV792*$L$110))</f>
        <v>38.125441534502521</v>
      </c>
      <c r="AW732" s="69">
        <f>IF(tech_base!$T108&gt;AW$625,"",(1000*tech_proj!AW1072*(-PMT($J$110,tech_base!$F108,1))+1000*tech_proj!AW1352)/((1-tech_proj!AW512)*tech_proj!AW792*$L$110))</f>
        <v>38.12741120136279</v>
      </c>
      <c r="AX732" s="235">
        <f>IF(tech_base!$T108&gt;AX$625,"",(1000*tech_proj!AX1072*(-PMT($J$110,tech_base!$F108,1))+1000*tech_proj!AX1352)/((1-tech_proj!AX512)*tech_proj!AX792*$L$110))</f>
        <v>38.129344957405834</v>
      </c>
      <c r="AY732" s="133"/>
    </row>
    <row r="733" spans="1:51" s="174" customFormat="1" x14ac:dyDescent="0.25">
      <c r="A733" s="356"/>
      <c r="B733" s="376"/>
      <c r="C733" s="378"/>
      <c r="D733" s="2" t="s">
        <v>10</v>
      </c>
      <c r="E733" s="160" t="str">
        <f>A709&amp;"/"&amp;B727&amp;"/"&amp;C731&amp;"/"&amp;D733</f>
        <v>Gas fired power plants (Natural gas, biogas)/Steam turbine/CHP/S</v>
      </c>
      <c r="F733" s="76" t="str">
        <f>A709</f>
        <v>Gas fired power plants (Natural gas, biogas)</v>
      </c>
      <c r="G733" s="76" t="str">
        <f>B727</f>
        <v>Steam turbine</v>
      </c>
      <c r="H733" s="76" t="str">
        <f>C731</f>
        <v>CHP</v>
      </c>
      <c r="I733" s="161" t="str">
        <f t="shared" si="363"/>
        <v>S</v>
      </c>
      <c r="J733" s="69">
        <f>IF(tech_base!$T109&gt;J$625,"",(1000*tech_proj!J1073*(-PMT($J$110,tech_base!$F109,1))+1000*tech_proj!J1353)/((1-tech_proj!J513)*tech_proj!J793*$L$110))</f>
        <v>46.677753431139251</v>
      </c>
      <c r="K733" s="69">
        <f>IF(tech_base!$T109&gt;K$625,"",(1000*tech_proj!K1073*(-PMT($J$110,tech_base!$F109,1))+1000*tech_proj!K1353)/((1-tech_proj!K513)*tech_proj!K793*$L$110))</f>
        <v>46.680737781482186</v>
      </c>
      <c r="L733" s="69">
        <f>IF(tech_base!$T109&gt;L$625,"",(1000*tech_proj!L1073*(-PMT($J$110,tech_base!$F109,1))+1000*tech_proj!L1353)/((1-tech_proj!L513)*tech_proj!L793*$L$110))</f>
        <v>46.68367034250636</v>
      </c>
      <c r="M733" s="69">
        <f>IF(tech_base!$T109&gt;M$625,"",(1000*tech_proj!M1073*(-PMT($J$110,tech_base!$F109,1))+1000*tech_proj!M1353)/((1-tech_proj!M513)*tech_proj!M793*$L$110))</f>
        <v>46.686551879212708</v>
      </c>
      <c r="N733" s="69">
        <f>IF(tech_base!$T109&gt;N$625,"",(1000*tech_proj!N1073*(-PMT($J$110,tech_base!$F109,1))+1000*tech_proj!N1353)/((1-tech_proj!N513)*tech_proj!N793*$L$110))</f>
        <v>46.689383150277308</v>
      </c>
      <c r="O733" s="69">
        <f>IF(tech_base!$T109&gt;O$625,"",(1000*tech_proj!O1073*(-PMT($J$110,tech_base!$F109,1))+1000*tech_proj!O1353)/((1-tech_proj!O513)*tech_proj!O793*$L$110))</f>
        <v>46.692164907903226</v>
      </c>
      <c r="P733" s="69">
        <f>IF(tech_base!$T109&gt;P$625,"",(1000*tech_proj!P1073*(-PMT($J$110,tech_base!$F109,1))+1000*tech_proj!P1353)/((1-tech_proj!P513)*tech_proj!P793*$L$110))</f>
        <v>46.694897897682289</v>
      </c>
      <c r="Q733" s="69">
        <f>IF(tech_base!$T109&gt;Q$625,"",(1000*tech_proj!Q1073*(-PMT($J$110,tech_base!$F109,1))+1000*tech_proj!Q1353)/((1-tech_proj!Q513)*tech_proj!Q793*$L$110))</f>
        <v>46.697582858466738</v>
      </c>
      <c r="R733" s="69">
        <f>IF(tech_base!$T109&gt;R$625,"",(1000*tech_proj!R1073*(-PMT($J$110,tech_base!$F109,1))+1000*tech_proj!R1353)/((1-tech_proj!R513)*tech_proj!R793*$L$110))</f>
        <v>46.700220522250063</v>
      </c>
      <c r="S733" s="69">
        <f>IF(tech_base!$T109&gt;S$625,"",(1000*tech_proj!S1073*(-PMT($J$110,tech_base!$F109,1))+1000*tech_proj!S1353)/((1-tech_proj!S513)*tech_proj!S793*$L$110))</f>
        <v>46.70281161405714</v>
      </c>
      <c r="T733" s="69">
        <f>IF(tech_base!$T109&gt;T$625,"",(1000*tech_proj!T1073*(-PMT($J$110,tech_base!$F109,1))+1000*tech_proj!T1353)/((1-tech_proj!T513)*tech_proj!T793*$L$110))</f>
        <v>46.705356851843206</v>
      </c>
      <c r="U733" s="69">
        <f>IF(tech_base!$T109&gt;U$625,"",(1000*tech_proj!U1073*(-PMT($J$110,tech_base!$F109,1))+1000*tech_proj!U1353)/((1-tech_proj!U513)*tech_proj!U793*$L$110))</f>
        <v>46.707856946401165</v>
      </c>
      <c r="V733" s="69">
        <f>IF(tech_base!$T109&gt;V$625,"",(1000*tech_proj!V1073*(-PMT($J$110,tech_base!$F109,1))+1000*tech_proj!V1353)/((1-tech_proj!V513)*tech_proj!V793*$L$110))</f>
        <v>46.710312601277408</v>
      </c>
      <c r="W733" s="69">
        <f>IF(tech_base!$T109&gt;W$625,"",(1000*tech_proj!W1073*(-PMT($J$110,tech_base!$F109,1))+1000*tech_proj!W1353)/((1-tech_proj!W513)*tech_proj!W793*$L$110))</f>
        <v>46.712724512695317</v>
      </c>
      <c r="X733" s="69">
        <f>IF(tech_base!$T109&gt;X$625,"",(1000*tech_proj!X1073*(-PMT($J$110,tech_base!$F109,1))+1000*tech_proj!X1353)/((1-tech_proj!X513)*tech_proj!X793*$L$110))</f>
        <v>46.715093369486674</v>
      </c>
      <c r="Y733" s="69">
        <f>IF(tech_base!$T109&gt;Y$625,"",(1000*tech_proj!Y1073*(-PMT($J$110,tech_base!$F109,1))+1000*tech_proj!Y1353)/((1-tech_proj!Y513)*tech_proj!Y793*$L$110))</f>
        <v>46.7174198530304</v>
      </c>
      <c r="Z733" s="69">
        <f>IF(tech_base!$T109&gt;Z$625,"",(1000*tech_proj!Z1073*(-PMT($J$110,tech_base!$F109,1))+1000*tech_proj!Z1353)/((1-tech_proj!Z513)*tech_proj!Z793*$L$110))</f>
        <v>46.719704637198276</v>
      </c>
      <c r="AA733" s="69">
        <f>IF(tech_base!$T109&gt;AA$625,"",(1000*tech_proj!AA1073*(-PMT($J$110,tech_base!$F109,1))+1000*tech_proj!AA1353)/((1-tech_proj!AA513)*tech_proj!AA793*$L$110))</f>
        <v>46.721948388307894</v>
      </c>
      <c r="AB733" s="69">
        <f>IF(tech_base!$T109&gt;AB$625,"",(1000*tech_proj!AB1073*(-PMT($J$110,tech_base!$F109,1))+1000*tech_proj!AB1353)/((1-tech_proj!AB513)*tech_proj!AB793*$L$110))</f>
        <v>46.724151765081771</v>
      </c>
      <c r="AC733" s="69">
        <f>IF(tech_base!$T109&gt;AC$625,"",(1000*tech_proj!AC1073*(-PMT($J$110,tech_base!$F109,1))+1000*tech_proj!AC1353)/((1-tech_proj!AC513)*tech_proj!AC793*$L$110))</f>
        <v>46.726315418613233</v>
      </c>
      <c r="AD733" s="69">
        <f>IF(tech_base!$T109&gt;AD$625,"",(1000*tech_proj!AD1073*(-PMT($J$110,tech_base!$F109,1))+1000*tech_proj!AD1353)/((1-tech_proj!AD513)*tech_proj!AD793*$L$110))</f>
        <v>46.728439992338132</v>
      </c>
      <c r="AE733" s="69">
        <f>IF(tech_base!$T109&gt;AE$625,"",(1000*tech_proj!AE1073*(-PMT($J$110,tech_base!$F109,1))+1000*tech_proj!AE1353)/((1-tech_proj!AE513)*tech_proj!AE793*$L$110))</f>
        <v>46.73052612201252</v>
      </c>
      <c r="AF733" s="69">
        <f>IF(tech_base!$T109&gt;AF$625,"",(1000*tech_proj!AF1073*(-PMT($J$110,tech_base!$F109,1))+1000*tech_proj!AF1353)/((1-tech_proj!AF513)*tech_proj!AF793*$L$110))</f>
        <v>46.732574435695973</v>
      </c>
      <c r="AG733" s="69">
        <f>IF(tech_base!$T109&gt;AG$625,"",(1000*tech_proj!AG1073*(-PMT($J$110,tech_base!$F109,1))+1000*tech_proj!AG1353)/((1-tech_proj!AG513)*tech_proj!AG793*$L$110))</f>
        <v>46.734585553740317</v>
      </c>
      <c r="AH733" s="69">
        <f>IF(tech_base!$T109&gt;AH$625,"",(1000*tech_proj!AH1073*(-PMT($J$110,tech_base!$F109,1))+1000*tech_proj!AH1353)/((1-tech_proj!AH513)*tech_proj!AH793*$L$110))</f>
        <v>46.736560088783435</v>
      </c>
      <c r="AI733" s="69">
        <f>IF(tech_base!$T109&gt;AI$625,"",(1000*tech_proj!AI1073*(-PMT($J$110,tech_base!$F109,1))+1000*tech_proj!AI1353)/((1-tech_proj!AI513)*tech_proj!AI793*$L$110))</f>
        <v>46.738498645748109</v>
      </c>
      <c r="AJ733" s="69">
        <f>IF(tech_base!$T109&gt;AJ$625,"",(1000*tech_proj!AJ1073*(-PMT($J$110,tech_base!$F109,1))+1000*tech_proj!AJ1353)/((1-tech_proj!AJ513)*tech_proj!AJ793*$L$110))</f>
        <v>46.740401821845524</v>
      </c>
      <c r="AK733" s="69">
        <f>IF(tech_base!$T109&gt;AK$625,"",(1000*tech_proj!AK1073*(-PMT($J$110,tech_base!$F109,1))+1000*tech_proj!AK1353)/((1-tech_proj!AK513)*tech_proj!AK793*$L$110))</f>
        <v>46.742270206583399</v>
      </c>
      <c r="AL733" s="69">
        <f>IF(tech_base!$T109&gt;AL$625,"",(1000*tech_proj!AL1073*(-PMT($J$110,tech_base!$F109,1))+1000*tech_proj!AL1353)/((1-tech_proj!AL513)*tech_proj!AL793*$L$110))</f>
        <v>46.744104381778257</v>
      </c>
      <c r="AM733" s="69">
        <f>IF(tech_base!$T109&gt;AM$625,"",(1000*tech_proj!AM1073*(-PMT($J$110,tech_base!$F109,1))+1000*tech_proj!AM1353)/((1-tech_proj!AM513)*tech_proj!AM793*$L$110))</f>
        <v>46.745904921571999</v>
      </c>
      <c r="AN733" s="69">
        <f>IF(tech_base!$T109&gt;AN$625,"",(1000*tech_proj!AN1073*(-PMT($J$110,tech_base!$F109,1))+1000*tech_proj!AN1353)/((1-tech_proj!AN513)*tech_proj!AN793*$L$110))</f>
        <v>46.747672392452245</v>
      </c>
      <c r="AO733" s="69">
        <f>IF(tech_base!$T109&gt;AO$625,"",(1000*tech_proj!AO1073*(-PMT($J$110,tech_base!$F109,1))+1000*tech_proj!AO1353)/((1-tech_proj!AO513)*tech_proj!AO793*$L$110))</f>
        <v>46.749407353276496</v>
      </c>
      <c r="AP733" s="69">
        <f>IF(tech_base!$T109&gt;AP$625,"",(1000*tech_proj!AP1073*(-PMT($J$110,tech_base!$F109,1))+1000*tech_proj!AP1353)/((1-tech_proj!AP513)*tech_proj!AP793*$L$110))</f>
        <v>46.751110355299836</v>
      </c>
      <c r="AQ733" s="69">
        <f>IF(tech_base!$T109&gt;AQ$625,"",(1000*tech_proj!AQ1073*(-PMT($J$110,tech_base!$F109,1))+1000*tech_proj!AQ1353)/((1-tech_proj!AQ513)*tech_proj!AQ793*$L$110))</f>
        <v>46.752781942205907</v>
      </c>
      <c r="AR733" s="69">
        <f>IF(tech_base!$T109&gt;AR$625,"",(1000*tech_proj!AR1073*(-PMT($J$110,tech_base!$F109,1))+1000*tech_proj!AR1353)/((1-tech_proj!AR513)*tech_proj!AR793*$L$110))</f>
        <v>46.754422650141251</v>
      </c>
      <c r="AS733" s="69">
        <f>IF(tech_base!$T109&gt;AS$625,"",(1000*tech_proj!AS1073*(-PMT($J$110,tech_base!$F109,1))+1000*tech_proj!AS1353)/((1-tech_proj!AS513)*tech_proj!AS793*$L$110))</f>
        <v>46.756033007752528</v>
      </c>
      <c r="AT733" s="69">
        <f>IF(tech_base!$T109&gt;AT$625,"",(1000*tech_proj!AT1073*(-PMT($J$110,tech_base!$F109,1))+1000*tech_proj!AT1353)/((1-tech_proj!AT513)*tech_proj!AT793*$L$110))</f>
        <v>46.757613536226714</v>
      </c>
      <c r="AU733" s="69">
        <f>IF(tech_base!$T109&gt;AU$625,"",(1000*tech_proj!AU1073*(-PMT($J$110,tech_base!$F109,1))+1000*tech_proj!AU1353)/((1-tech_proj!AU513)*tech_proj!AU793*$L$110))</f>
        <v>46.75916474933387</v>
      </c>
      <c r="AV733" s="69">
        <f>IF(tech_base!$T109&gt;AV$625,"",(1000*tech_proj!AV1073*(-PMT($J$110,tech_base!$F109,1))+1000*tech_proj!AV1353)/((1-tech_proj!AV513)*tech_proj!AV793*$L$110))</f>
        <v>46.760687153472652</v>
      </c>
      <c r="AW733" s="69">
        <f>IF(tech_base!$T109&gt;AW$625,"",(1000*tech_proj!AW1073*(-PMT($J$110,tech_base!$F109,1))+1000*tech_proj!AW1353)/((1-tech_proj!AW513)*tech_proj!AW793*$L$110))</f>
        <v>46.762181247718068</v>
      </c>
      <c r="AX733" s="235">
        <f>IF(tech_base!$T109&gt;AX$625,"",(1000*tech_proj!AX1073*(-PMT($J$110,tech_base!$F109,1))+1000*tech_proj!AX1353)/((1-tech_proj!AX513)*tech_proj!AX793*$L$110))</f>
        <v>46.763647523871612</v>
      </c>
      <c r="AY733" s="133"/>
    </row>
    <row r="734" spans="1:51" s="174" customFormat="1" x14ac:dyDescent="0.25">
      <c r="A734" s="356"/>
      <c r="B734" s="376"/>
      <c r="C734" s="379"/>
      <c r="D734" s="59" t="s">
        <v>20</v>
      </c>
      <c r="E734" s="166" t="str">
        <f>A709&amp;"/"&amp;B727&amp;"/"&amp;C731&amp;"/"&amp;D734</f>
        <v>Gas fired power plants (Natural gas, biogas)/Steam turbine/CHP/XS</v>
      </c>
      <c r="F734" s="79" t="str">
        <f>A709</f>
        <v>Gas fired power plants (Natural gas, biogas)</v>
      </c>
      <c r="G734" s="79" t="str">
        <f>B727</f>
        <v>Steam turbine</v>
      </c>
      <c r="H734" s="79" t="str">
        <f>C731</f>
        <v>CHP</v>
      </c>
      <c r="I734" s="167" t="str">
        <f t="shared" si="363"/>
        <v>XS</v>
      </c>
      <c r="J734" s="72">
        <f>IF(tech_base!$T110&gt;J$625,"",(1000*tech_proj!J1074*(-PMT($J$110,tech_base!$F110,1))+1000*tech_proj!J1354)/((1-tech_proj!J514)*tech_proj!J794*$L$110))</f>
        <v>54.218048095569571</v>
      </c>
      <c r="K734" s="72">
        <f>IF(tech_base!$T110&gt;K$625,"",(1000*tech_proj!K1074*(-PMT($J$110,tech_base!$F110,1))+1000*tech_proj!K1354)/((1-tech_proj!K514)*tech_proj!K794*$L$110))</f>
        <v>54.219916671410033</v>
      </c>
      <c r="L734" s="72">
        <f>IF(tech_base!$T110&gt;L$625,"",(1000*tech_proj!L1074*(-PMT($J$110,tech_base!$F110,1))+1000*tech_proj!L1354)/((1-tech_proj!L514)*tech_proj!L794*$L$110))</f>
        <v>54.221751343214017</v>
      </c>
      <c r="M734" s="72">
        <f>IF(tech_base!$T110&gt;M$625,"",(1000*tech_proj!M1074*(-PMT($J$110,tech_base!$F110,1))+1000*tech_proj!M1354)/((1-tech_proj!M514)*tech_proj!M794*$L$110))</f>
        <v>54.223552668370758</v>
      </c>
      <c r="N734" s="72">
        <f>IF(tech_base!$T110&gt;N$625,"",(1000*tech_proj!N1074*(-PMT($J$110,tech_base!$F110,1))+1000*tech_proj!N1354)/((1-tech_proj!N514)*tech_proj!N794*$L$110))</f>
        <v>54.225321197290064</v>
      </c>
      <c r="O734" s="72">
        <f>IF(tech_base!$T110&gt;O$625,"",(1000*tech_proj!O1074*(-PMT($J$110,tech_base!$F110,1))+1000*tech_proj!O1354)/((1-tech_proj!O514)*tech_proj!O794*$L$110))</f>
        <v>54.227057473403633</v>
      </c>
      <c r="P734" s="72">
        <f>IF(tech_base!$T110&gt;P$625,"",(1000*tech_proj!P1074*(-PMT($J$110,tech_base!$F110,1))+1000*tech_proj!P1354)/((1-tech_proj!P514)*tech_proj!P794*$L$110))</f>
        <v>54.228762033170497</v>
      </c>
      <c r="Q734" s="72">
        <f>IF(tech_base!$T110&gt;Q$625,"",(1000*tech_proj!Q1074*(-PMT($J$110,tech_base!$F110,1))+1000*tech_proj!Q1354)/((1-tech_proj!Q514)*tech_proj!Q794*$L$110))</f>
        <v>54.230435406086549</v>
      </c>
      <c r="R734" s="72">
        <f>IF(tech_base!$T110&gt;R$625,"",(1000*tech_proj!R1074*(-PMT($J$110,tech_base!$F110,1))+1000*tech_proj!R1354)/((1-tech_proj!R514)*tech_proj!R794*$L$110))</f>
        <v>54.232078114697785</v>
      </c>
      <c r="S734" s="72">
        <f>IF(tech_base!$T110&gt;S$625,"",(1000*tech_proj!S1074*(-PMT($J$110,tech_base!$F110,1))+1000*tech_proj!S1354)/((1-tech_proj!S514)*tech_proj!S794*$L$110))</f>
        <v>54.233690674617201</v>
      </c>
      <c r="T734" s="72">
        <f>IF(tech_base!$T110&gt;T$625,"",(1000*tech_proj!T1074*(-PMT($J$110,tech_base!$F110,1))+1000*tech_proj!T1354)/((1-tech_proj!T514)*tech_proj!T794*$L$110))</f>
        <v>54.235273594545149</v>
      </c>
      <c r="U734" s="72">
        <f>IF(tech_base!$T110&gt;U$625,"",(1000*tech_proj!U1074*(-PMT($J$110,tech_base!$F110,1))+1000*tech_proj!U1354)/((1-tech_proj!U514)*tech_proj!U794*$L$110))</f>
        <v>54.236827376292922</v>
      </c>
      <c r="V734" s="72">
        <f>IF(tech_base!$T110&gt;V$625,"",(1000*tech_proj!V1074*(-PMT($J$110,tech_base!$F110,1))+1000*tech_proj!V1354)/((1-tech_proj!V514)*tech_proj!V794*$L$110))</f>
        <v>54.238352514809598</v>
      </c>
      <c r="W734" s="72">
        <f>IF(tech_base!$T110&gt;W$625,"",(1000*tech_proj!W1074*(-PMT($J$110,tech_base!$F110,1))+1000*tech_proj!W1354)/((1-tech_proj!W514)*tech_proj!W794*$L$110))</f>
        <v>54.239849498211626</v>
      </c>
      <c r="X734" s="72">
        <f>IF(tech_base!$T110&gt;X$625,"",(1000*tech_proj!X1074*(-PMT($J$110,tech_base!$F110,1))+1000*tech_proj!X1354)/((1-tech_proj!X514)*tech_proj!X794*$L$110))</f>
        <v>54.241318807815354</v>
      </c>
      <c r="Y734" s="72">
        <f>IF(tech_base!$T110&gt;Y$625,"",(1000*tech_proj!Y1074*(-PMT($J$110,tech_base!$F110,1))+1000*tech_proj!Y1354)/((1-tech_proj!Y514)*tech_proj!Y794*$L$110))</f>
        <v>54.24276091817228</v>
      </c>
      <c r="Z734" s="72">
        <f>IF(tech_base!$T110&gt;Z$625,"",(1000*tech_proj!Z1074*(-PMT($J$110,tech_base!$F110,1))+1000*tech_proj!Z1354)/((1-tech_proj!Z514)*tech_proj!Z794*$L$110))</f>
        <v>54.244176297106641</v>
      </c>
      <c r="AA734" s="72">
        <f>IF(tech_base!$T110&gt;AA$625,"",(1000*tech_proj!AA1074*(-PMT($J$110,tech_base!$F110,1))+1000*tech_proj!AA1354)/((1-tech_proj!AA514)*tech_proj!AA794*$L$110))</f>
        <v>54.245565405755492</v>
      </c>
      <c r="AB734" s="72">
        <f>IF(tech_base!$T110&gt;AB$625,"",(1000*tech_proj!AB1074*(-PMT($J$110,tech_base!$F110,1))+1000*tech_proj!AB1354)/((1-tech_proj!AB514)*tech_proj!AB794*$L$110))</f>
        <v>54.246928698611057</v>
      </c>
      <c r="AC734" s="72">
        <f>IF(tech_base!$T110&gt;AC$625,"",(1000*tech_proj!AC1074*(-PMT($J$110,tech_base!$F110,1))+1000*tech_proj!AC1354)/((1-tech_proj!AC514)*tech_proj!AC794*$L$110))</f>
        <v>54.248266623565023</v>
      </c>
      <c r="AD734" s="72">
        <f>IF(tech_base!$T110&gt;AD$625,"",(1000*tech_proj!AD1074*(-PMT($J$110,tech_base!$F110,1))+1000*tech_proj!AD1354)/((1-tech_proj!AD514)*tech_proj!AD794*$L$110))</f>
        <v>54.249579621955007</v>
      </c>
      <c r="AE734" s="72">
        <f>IF(tech_base!$T110&gt;AE$625,"",(1000*tech_proj!AE1074*(-PMT($J$110,tech_base!$F110,1))+1000*tech_proj!AE1354)/((1-tech_proj!AE514)*tech_proj!AE794*$L$110))</f>
        <v>54.250868128612758</v>
      </c>
      <c r="AF734" s="72">
        <f>IF(tech_base!$T110&gt;AF$625,"",(1000*tech_proj!AF1074*(-PMT($J$110,tech_base!$F110,1))+1000*tech_proj!AF1354)/((1-tech_proj!AF514)*tech_proj!AF794*$L$110))</f>
        <v>54.252132571914174</v>
      </c>
      <c r="AG734" s="72">
        <f>IF(tech_base!$T110&gt;AG$625,"",(1000*tech_proj!AG1074*(-PMT($J$110,tech_base!$F110,1))+1000*tech_proj!AG1354)/((1-tech_proj!AG514)*tech_proj!AG794*$L$110))</f>
        <v>54.253373373830861</v>
      </c>
      <c r="AH734" s="72">
        <f>IF(tech_base!$T110&gt;AH$625,"",(1000*tech_proj!AH1074*(-PMT($J$110,tech_base!$F110,1))+1000*tech_proj!AH1354)/((1-tech_proj!AH514)*tech_proj!AH794*$L$110))</f>
        <v>54.254590949983346</v>
      </c>
      <c r="AI734" s="72">
        <f>IF(tech_base!$T110&gt;AI$625,"",(1000*tech_proj!AI1074*(-PMT($J$110,tech_base!$F110,1))+1000*tech_proj!AI1354)/((1-tech_proj!AI514)*tech_proj!AI794*$L$110))</f>
        <v>54.255785709695488</v>
      </c>
      <c r="AJ734" s="72">
        <f>IF(tech_base!$T110&gt;AJ$625,"",(1000*tech_proj!AJ1074*(-PMT($J$110,tech_base!$F110,1))+1000*tech_proj!AJ1354)/((1-tech_proj!AJ514)*tech_proj!AJ794*$L$110))</f>
        <v>54.2569580560505</v>
      </c>
      <c r="AK734" s="72">
        <f>IF(tech_base!$T110&gt;AK$625,"",(1000*tech_proj!AK1074*(-PMT($J$110,tech_base!$F110,1))+1000*tech_proj!AK1354)/((1-tech_proj!AK514)*tech_proj!AK794*$L$110))</f>
        <v>54.258108385947871</v>
      </c>
      <c r="AL734" s="72">
        <f>IF(tech_base!$T110&gt;AL$625,"",(1000*tech_proj!AL1074*(-PMT($J$110,tech_base!$F110,1))+1000*tech_proj!AL1354)/((1-tech_proj!AL514)*tech_proj!AL794*$L$110))</f>
        <v>54.259237090161612</v>
      </c>
      <c r="AM734" s="72">
        <f>IF(tech_base!$T110&gt;AM$625,"",(1000*tech_proj!AM1074*(-PMT($J$110,tech_base!$F110,1))+1000*tech_proj!AM1354)/((1-tech_proj!AM514)*tech_proj!AM794*$L$110))</f>
        <v>54.26034455339947</v>
      </c>
      <c r="AN734" s="72">
        <f>IF(tech_base!$T110&gt;AN$625,"",(1000*tech_proj!AN1074*(-PMT($J$110,tech_base!$F110,1))+1000*tech_proj!AN1354)/((1-tech_proj!AN514)*tech_proj!AN794*$L$110))</f>
        <v>54.261431154363052</v>
      </c>
      <c r="AO734" s="72">
        <f>IF(tech_base!$T110&gt;AO$625,"",(1000*tech_proj!AO1074*(-PMT($J$110,tech_base!$F110,1))+1000*tech_proj!AO1354)/((1-tech_proj!AO514)*tech_proj!AO794*$L$110))</f>
        <v>54.262497265808825</v>
      </c>
      <c r="AP734" s="72">
        <f>IF(tech_base!$T110&gt;AP$625,"",(1000*tech_proj!AP1074*(-PMT($J$110,tech_base!$F110,1))+1000*tech_proj!AP1354)/((1-tech_proj!AP514)*tech_proj!AP794*$L$110))</f>
        <v>54.263543254609928</v>
      </c>
      <c r="AQ734" s="72">
        <f>IF(tech_base!$T110&gt;AQ$625,"",(1000*tech_proj!AQ1074*(-PMT($J$110,tech_base!$F110,1))+1000*tech_proj!AQ1354)/((1-tech_proj!AQ514)*tech_proj!AQ794*$L$110))</f>
        <v>54.26456948181859</v>
      </c>
      <c r="AR734" s="72">
        <f>IF(tech_base!$T110&gt;AR$625,"",(1000*tech_proj!AR1074*(-PMT($J$110,tech_base!$F110,1))+1000*tech_proj!AR1354)/((1-tech_proj!AR514)*tech_proj!AR794*$L$110))</f>
        <v>54.265576302729301</v>
      </c>
      <c r="AS734" s="72">
        <f>IF(tech_base!$T110&gt;AS$625,"",(1000*tech_proj!AS1074*(-PMT($J$110,tech_base!$F110,1))+1000*tech_proj!AS1354)/((1-tech_proj!AS514)*tech_proj!AS794*$L$110))</f>
        <v>54.266564066942387</v>
      </c>
      <c r="AT734" s="72">
        <f>IF(tech_base!$T110&gt;AT$625,"",(1000*tech_proj!AT1074*(-PMT($J$110,tech_base!$F110,1))+1000*tech_proj!AT1354)/((1-tech_proj!AT514)*tech_proj!AT794*$L$110))</f>
        <v>54.267533118428148</v>
      </c>
      <c r="AU734" s="72">
        <f>IF(tech_base!$T110&gt;AU$625,"",(1000*tech_proj!AU1074*(-PMT($J$110,tech_base!$F110,1))+1000*tech_proj!AU1354)/((1-tech_proj!AU514)*tech_proj!AU794*$L$110))</f>
        <v>54.268483795591486</v>
      </c>
      <c r="AV734" s="72">
        <f>IF(tech_base!$T110&gt;AV$625,"",(1000*tech_proj!AV1074*(-PMT($J$110,tech_base!$F110,1))+1000*tech_proj!AV1354)/((1-tech_proj!AV514)*tech_proj!AV794*$L$110))</f>
        <v>54.269416431336687</v>
      </c>
      <c r="AW734" s="72">
        <f>IF(tech_base!$T110&gt;AW$625,"",(1000*tech_proj!AW1074*(-PMT($J$110,tech_base!$F110,1))+1000*tech_proj!AW1354)/((1-tech_proj!AW514)*tech_proj!AW794*$L$110))</f>
        <v>54.270331353132732</v>
      </c>
      <c r="AX734" s="238">
        <f>IF(tech_base!$T110&gt;AX$625,"",(1000*tech_proj!AX1074*(-PMT($J$110,tech_base!$F110,1))+1000*tech_proj!AX1354)/((1-tech_proj!AX514)*tech_proj!AX794*$L$110))</f>
        <v>54.271228883078642</v>
      </c>
      <c r="AY734" s="133"/>
    </row>
    <row r="735" spans="1:51" s="174" customFormat="1" x14ac:dyDescent="0.25">
      <c r="A735" s="356"/>
      <c r="B735" s="376"/>
      <c r="C735" s="361" t="s">
        <v>15</v>
      </c>
      <c r="D735" s="58" t="s">
        <v>7</v>
      </c>
      <c r="E735" s="164" t="str">
        <f>A709&amp;"/"&amp;B727&amp;"/"&amp;C735&amp;"/"&amp;D735</f>
        <v>Gas fired power plants (Natural gas, biogas)/Steam turbine/Electricity only with CCS/L</v>
      </c>
      <c r="F735" s="78" t="str">
        <f>A709</f>
        <v>Gas fired power plants (Natural gas, biogas)</v>
      </c>
      <c r="G735" s="78" t="str">
        <f>B727</f>
        <v>Steam turbine</v>
      </c>
      <c r="H735" s="78" t="str">
        <f>C735</f>
        <v>Electricity only with CCS</v>
      </c>
      <c r="I735" s="165" t="str">
        <f t="shared" si="363"/>
        <v>L</v>
      </c>
      <c r="J735" s="71" t="str">
        <f>IF(tech_base!$T111&gt;J$625,"",(1000*tech_proj!J1075*(-PMT($J$110,tech_base!$F111,1))+1000*tech_proj!J1355)/((1-tech_proj!J515)*tech_proj!J795*$L$110))</f>
        <v/>
      </c>
      <c r="K735" s="71" t="str">
        <f>IF(tech_base!$T111&gt;K$625,"",(1000*tech_proj!K1075*(-PMT($J$110,tech_base!$F111,1))+1000*tech_proj!K1355)/((1-tech_proj!K515)*tech_proj!K795*$L$110))</f>
        <v/>
      </c>
      <c r="L735" s="71" t="str">
        <f>IF(tech_base!$T111&gt;L$625,"",(1000*tech_proj!L1075*(-PMT($J$110,tech_base!$F111,1))+1000*tech_proj!L1355)/((1-tech_proj!L515)*tech_proj!L795*$L$110))</f>
        <v/>
      </c>
      <c r="M735" s="71" t="str">
        <f>IF(tech_base!$T111&gt;M$625,"",(1000*tech_proj!M1075*(-PMT($J$110,tech_base!$F111,1))+1000*tech_proj!M1355)/((1-tech_proj!M515)*tech_proj!M795*$L$110))</f>
        <v/>
      </c>
      <c r="N735" s="71" t="str">
        <f>IF(tech_base!$T111&gt;N$625,"",(1000*tech_proj!N1075*(-PMT($J$110,tech_base!$F111,1))+1000*tech_proj!N1355)/((1-tech_proj!N515)*tech_proj!N795*$L$110))</f>
        <v/>
      </c>
      <c r="O735" s="71" t="str">
        <f>IF(tech_base!$T111&gt;O$625,"",(1000*tech_proj!O1075*(-PMT($J$110,tech_base!$F111,1))+1000*tech_proj!O1355)/((1-tech_proj!O515)*tech_proj!O795*$L$110))</f>
        <v/>
      </c>
      <c r="P735" s="71" t="str">
        <f>IF(tech_base!$T111&gt;P$625,"",(1000*tech_proj!P1075*(-PMT($J$110,tech_base!$F111,1))+1000*tech_proj!P1355)/((1-tech_proj!P515)*tech_proj!P795*$L$110))</f>
        <v/>
      </c>
      <c r="Q735" s="71" t="str">
        <f>IF(tech_base!$T111&gt;Q$625,"",(1000*tech_proj!Q1075*(-PMT($J$110,tech_base!$F111,1))+1000*tech_proj!Q1355)/((1-tech_proj!Q515)*tech_proj!Q795*$L$110))</f>
        <v/>
      </c>
      <c r="R735" s="71" t="str">
        <f>IF(tech_base!$T111&gt;R$625,"",(1000*tech_proj!R1075*(-PMT($J$110,tech_base!$F111,1))+1000*tech_proj!R1355)/((1-tech_proj!R515)*tech_proj!R795*$L$110))</f>
        <v/>
      </c>
      <c r="S735" s="71" t="str">
        <f>IF(tech_base!$T111&gt;S$625,"",(1000*tech_proj!S1075*(-PMT($J$110,tech_base!$F111,1))+1000*tech_proj!S1355)/((1-tech_proj!S515)*tech_proj!S795*$L$110))</f>
        <v/>
      </c>
      <c r="T735" s="71" t="str">
        <f>IF(tech_base!$T111&gt;T$625,"",(1000*tech_proj!T1075*(-PMT($J$110,tech_base!$F111,1))+1000*tech_proj!T1355)/((1-tech_proj!T515)*tech_proj!T795*$L$110))</f>
        <v/>
      </c>
      <c r="U735" s="71" t="str">
        <f>IF(tech_base!$T111&gt;U$625,"",(1000*tech_proj!U1075*(-PMT($J$110,tech_base!$F111,1))+1000*tech_proj!U1355)/((1-tech_proj!U515)*tech_proj!U795*$L$110))</f>
        <v/>
      </c>
      <c r="V735" s="71" t="str">
        <f>IF(tech_base!$T111&gt;V$625,"",(1000*tech_proj!V1075*(-PMT($J$110,tech_base!$F111,1))+1000*tech_proj!V1355)/((1-tech_proj!V515)*tech_proj!V795*$L$110))</f>
        <v/>
      </c>
      <c r="W735" s="71" t="str">
        <f>IF(tech_base!$T111&gt;W$625,"",(1000*tech_proj!W1075*(-PMT($J$110,tech_base!$F111,1))+1000*tech_proj!W1355)/((1-tech_proj!W515)*tech_proj!W795*$L$110))</f>
        <v/>
      </c>
      <c r="X735" s="71" t="str">
        <f>IF(tech_base!$T111&gt;X$625,"",(1000*tech_proj!X1075*(-PMT($J$110,tech_base!$F111,1))+1000*tech_proj!X1355)/((1-tech_proj!X515)*tech_proj!X795*$L$110))</f>
        <v/>
      </c>
      <c r="Y735" s="71" t="str">
        <f>IF(tech_base!$T111&gt;Y$625,"",(1000*tech_proj!Y1075*(-PMT($J$110,tech_base!$F111,1))+1000*tech_proj!Y1355)/((1-tech_proj!Y515)*tech_proj!Y795*$L$110))</f>
        <v/>
      </c>
      <c r="Z735" s="71" t="str">
        <f>IF(tech_base!$T111&gt;Z$625,"",(1000*tech_proj!Z1075*(-PMT($J$110,tech_base!$F111,1))+1000*tech_proj!Z1355)/((1-tech_proj!Z515)*tech_proj!Z795*$L$110))</f>
        <v/>
      </c>
      <c r="AA735" s="71" t="str">
        <f>IF(tech_base!$T111&gt;AA$625,"",(1000*tech_proj!AA1075*(-PMT($J$110,tech_base!$F111,1))+1000*tech_proj!AA1355)/((1-tech_proj!AA515)*tech_proj!AA795*$L$110))</f>
        <v/>
      </c>
      <c r="AB735" s="71" t="str">
        <f>IF(tech_base!$T111&gt;AB$625,"",(1000*tech_proj!AB1075*(-PMT($J$110,tech_base!$F111,1))+1000*tech_proj!AB1355)/((1-tech_proj!AB515)*tech_proj!AB795*$L$110))</f>
        <v/>
      </c>
      <c r="AC735" s="71" t="str">
        <f>IF(tech_base!$T111&gt;AC$625,"",(1000*tech_proj!AC1075*(-PMT($J$110,tech_base!$F111,1))+1000*tech_proj!AC1355)/((1-tech_proj!AC515)*tech_proj!AC795*$L$110))</f>
        <v/>
      </c>
      <c r="AD735" s="71" t="str">
        <f>IF(tech_base!$T111&gt;AD$625,"",(1000*tech_proj!AD1075*(-PMT($J$110,tech_base!$F111,1))+1000*tech_proj!AD1355)/((1-tech_proj!AD515)*tech_proj!AD795*$L$110))</f>
        <v/>
      </c>
      <c r="AE735" s="71">
        <f>IF(tech_base!$T111&gt;AE$625,"",(1000*tech_proj!AE1075*(-PMT($J$110,tech_base!$F111,1))+1000*tech_proj!AE1355)/((1-tech_proj!AE515)*tech_proj!AE795*$L$110))</f>
        <v>65.916667751334273</v>
      </c>
      <c r="AF735" s="71">
        <f>IF(tech_base!$T111&gt;AF$625,"",(1000*tech_proj!AF1075*(-PMT($J$110,tech_base!$F111,1))+1000*tech_proj!AF1355)/((1-tech_proj!AF515)*tech_proj!AF795*$L$110))</f>
        <v>65.916667751334273</v>
      </c>
      <c r="AG735" s="71">
        <f>IF(tech_base!$T111&gt;AG$625,"",(1000*tech_proj!AG1075*(-PMT($J$110,tech_base!$F111,1))+1000*tech_proj!AG1355)/((1-tech_proj!AG515)*tech_proj!AG795*$L$110))</f>
        <v>65.916667751334273</v>
      </c>
      <c r="AH735" s="71">
        <f>IF(tech_base!$T111&gt;AH$625,"",(1000*tech_proj!AH1075*(-PMT($J$110,tech_base!$F111,1))+1000*tech_proj!AH1355)/((1-tech_proj!AH515)*tech_proj!AH795*$L$110))</f>
        <v>65.916667751334273</v>
      </c>
      <c r="AI735" s="71">
        <f>IF(tech_base!$T111&gt;AI$625,"",(1000*tech_proj!AI1075*(-PMT($J$110,tech_base!$F111,1))+1000*tech_proj!AI1355)/((1-tech_proj!AI515)*tech_proj!AI795*$L$110))</f>
        <v>65.916667751334273</v>
      </c>
      <c r="AJ735" s="71">
        <f>IF(tech_base!$T111&gt;AJ$625,"",(1000*tech_proj!AJ1075*(-PMT($J$110,tech_base!$F111,1))+1000*tech_proj!AJ1355)/((1-tech_proj!AJ515)*tech_proj!AJ795*$L$110))</f>
        <v>65.916667751334273</v>
      </c>
      <c r="AK735" s="71">
        <f>IF(tech_base!$T111&gt;AK$625,"",(1000*tech_proj!AK1075*(-PMT($J$110,tech_base!$F111,1))+1000*tech_proj!AK1355)/((1-tech_proj!AK515)*tech_proj!AK795*$L$110))</f>
        <v>65.916667751334273</v>
      </c>
      <c r="AL735" s="71">
        <f>IF(tech_base!$T111&gt;AL$625,"",(1000*tech_proj!AL1075*(-PMT($J$110,tech_base!$F111,1))+1000*tech_proj!AL1355)/((1-tech_proj!AL515)*tech_proj!AL795*$L$110))</f>
        <v>65.916667751334273</v>
      </c>
      <c r="AM735" s="71">
        <f>IF(tech_base!$T111&gt;AM$625,"",(1000*tech_proj!AM1075*(-PMT($J$110,tech_base!$F111,1))+1000*tech_proj!AM1355)/((1-tech_proj!AM515)*tech_proj!AM795*$L$110))</f>
        <v>65.916667751334273</v>
      </c>
      <c r="AN735" s="71">
        <f>IF(tech_base!$T111&gt;AN$625,"",(1000*tech_proj!AN1075*(-PMT($J$110,tech_base!$F111,1))+1000*tech_proj!AN1355)/((1-tech_proj!AN515)*tech_proj!AN795*$L$110))</f>
        <v>65.916667751334273</v>
      </c>
      <c r="AO735" s="71">
        <f>IF(tech_base!$T111&gt;AO$625,"",(1000*tech_proj!AO1075*(-PMT($J$110,tech_base!$F111,1))+1000*tech_proj!AO1355)/((1-tech_proj!AO515)*tech_proj!AO795*$L$110))</f>
        <v>65.916667751334273</v>
      </c>
      <c r="AP735" s="71">
        <f>IF(tech_base!$T111&gt;AP$625,"",(1000*tech_proj!AP1075*(-PMT($J$110,tech_base!$F111,1))+1000*tech_proj!AP1355)/((1-tech_proj!AP515)*tech_proj!AP795*$L$110))</f>
        <v>65.916667751334273</v>
      </c>
      <c r="AQ735" s="71">
        <f>IF(tech_base!$T111&gt;AQ$625,"",(1000*tech_proj!AQ1075*(-PMT($J$110,tech_base!$F111,1))+1000*tech_proj!AQ1355)/((1-tech_proj!AQ515)*tech_proj!AQ795*$L$110))</f>
        <v>65.916667751334273</v>
      </c>
      <c r="AR735" s="71">
        <f>IF(tech_base!$T111&gt;AR$625,"",(1000*tech_proj!AR1075*(-PMT($J$110,tech_base!$F111,1))+1000*tech_proj!AR1355)/((1-tech_proj!AR515)*tech_proj!AR795*$L$110))</f>
        <v>65.916667751334273</v>
      </c>
      <c r="AS735" s="71">
        <f>IF(tech_base!$T111&gt;AS$625,"",(1000*tech_proj!AS1075*(-PMT($J$110,tech_base!$F111,1))+1000*tech_proj!AS1355)/((1-tech_proj!AS515)*tech_proj!AS795*$L$110))</f>
        <v>65.916667751334273</v>
      </c>
      <c r="AT735" s="71">
        <f>IF(tech_base!$T111&gt;AT$625,"",(1000*tech_proj!AT1075*(-PMT($J$110,tech_base!$F111,1))+1000*tech_proj!AT1355)/((1-tech_proj!AT515)*tech_proj!AT795*$L$110))</f>
        <v>65.916667751334273</v>
      </c>
      <c r="AU735" s="71">
        <f>IF(tech_base!$T111&gt;AU$625,"",(1000*tech_proj!AU1075*(-PMT($J$110,tech_base!$F111,1))+1000*tech_proj!AU1355)/((1-tech_proj!AU515)*tech_proj!AU795*$L$110))</f>
        <v>65.916667751334273</v>
      </c>
      <c r="AV735" s="71">
        <f>IF(tech_base!$T111&gt;AV$625,"",(1000*tech_proj!AV1075*(-PMT($J$110,tech_base!$F111,1))+1000*tech_proj!AV1355)/((1-tech_proj!AV515)*tech_proj!AV795*$L$110))</f>
        <v>65.916667751334273</v>
      </c>
      <c r="AW735" s="71">
        <f>IF(tech_base!$T111&gt;AW$625,"",(1000*tech_proj!AW1075*(-PMT($J$110,tech_base!$F111,1))+1000*tech_proj!AW1355)/((1-tech_proj!AW515)*tech_proj!AW795*$L$110))</f>
        <v>65.916667751334273</v>
      </c>
      <c r="AX735" s="237">
        <f>IF(tech_base!$T111&gt;AX$625,"",(1000*tech_proj!AX1075*(-PMT($J$110,tech_base!$F111,1))+1000*tech_proj!AX1355)/((1-tech_proj!AX515)*tech_proj!AX795*$L$110))</f>
        <v>65.916667751334273</v>
      </c>
      <c r="AY735" s="133"/>
    </row>
    <row r="736" spans="1:51" s="174" customFormat="1" x14ac:dyDescent="0.25">
      <c r="A736" s="356"/>
      <c r="B736" s="376"/>
      <c r="C736" s="379"/>
      <c r="D736" s="59" t="s">
        <v>8</v>
      </c>
      <c r="E736" s="166" t="str">
        <f>A709&amp;"/"&amp;B727&amp;"/"&amp;C735&amp;"/"&amp;D736</f>
        <v>Gas fired power plants (Natural gas, biogas)/Steam turbine/Electricity only with CCS/M</v>
      </c>
      <c r="F736" s="79" t="str">
        <f>A709</f>
        <v>Gas fired power plants (Natural gas, biogas)</v>
      </c>
      <c r="G736" s="79" t="str">
        <f>B727</f>
        <v>Steam turbine</v>
      </c>
      <c r="H736" s="79" t="str">
        <f>C735</f>
        <v>Electricity only with CCS</v>
      </c>
      <c r="I736" s="167" t="str">
        <f t="shared" si="363"/>
        <v>M</v>
      </c>
      <c r="J736" s="72" t="str">
        <f>IF(tech_base!$T112&gt;J$625,"",(1000*tech_proj!J1076*(-PMT($J$110,tech_base!$F112,1))+1000*tech_proj!J1356)/((1-tech_proj!J516)*tech_proj!J796*$L$110))</f>
        <v/>
      </c>
      <c r="K736" s="72" t="str">
        <f>IF(tech_base!$T112&gt;K$625,"",(1000*tech_proj!K1076*(-PMT($J$110,tech_base!$F112,1))+1000*tech_proj!K1356)/((1-tech_proj!K516)*tech_proj!K796*$L$110))</f>
        <v/>
      </c>
      <c r="L736" s="72" t="str">
        <f>IF(tech_base!$T112&gt;L$625,"",(1000*tech_proj!L1076*(-PMT($J$110,tech_base!$F112,1))+1000*tech_proj!L1356)/((1-tech_proj!L516)*tech_proj!L796*$L$110))</f>
        <v/>
      </c>
      <c r="M736" s="72" t="str">
        <f>IF(tech_base!$T112&gt;M$625,"",(1000*tech_proj!M1076*(-PMT($J$110,tech_base!$F112,1))+1000*tech_proj!M1356)/((1-tech_proj!M516)*tech_proj!M796*$L$110))</f>
        <v/>
      </c>
      <c r="N736" s="72" t="str">
        <f>IF(tech_base!$T112&gt;N$625,"",(1000*tech_proj!N1076*(-PMT($J$110,tech_base!$F112,1))+1000*tech_proj!N1356)/((1-tech_proj!N516)*tech_proj!N796*$L$110))</f>
        <v/>
      </c>
      <c r="O736" s="72" t="str">
        <f>IF(tech_base!$T112&gt;O$625,"",(1000*tech_proj!O1076*(-PMT($J$110,tech_base!$F112,1))+1000*tech_proj!O1356)/((1-tech_proj!O516)*tech_proj!O796*$L$110))</f>
        <v/>
      </c>
      <c r="P736" s="72" t="str">
        <f>IF(tech_base!$T112&gt;P$625,"",(1000*tech_proj!P1076*(-PMT($J$110,tech_base!$F112,1))+1000*tech_proj!P1356)/((1-tech_proj!P516)*tech_proj!P796*$L$110))</f>
        <v/>
      </c>
      <c r="Q736" s="72" t="str">
        <f>IF(tech_base!$T112&gt;Q$625,"",(1000*tech_proj!Q1076*(-PMT($J$110,tech_base!$F112,1))+1000*tech_proj!Q1356)/((1-tech_proj!Q516)*tech_proj!Q796*$L$110))</f>
        <v/>
      </c>
      <c r="R736" s="72" t="str">
        <f>IF(tech_base!$T112&gt;R$625,"",(1000*tech_proj!R1076*(-PMT($J$110,tech_base!$F112,1))+1000*tech_proj!R1356)/((1-tech_proj!R516)*tech_proj!R796*$L$110))</f>
        <v/>
      </c>
      <c r="S736" s="72" t="str">
        <f>IF(tech_base!$T112&gt;S$625,"",(1000*tech_proj!S1076*(-PMT($J$110,tech_base!$F112,1))+1000*tech_proj!S1356)/((1-tech_proj!S516)*tech_proj!S796*$L$110))</f>
        <v/>
      </c>
      <c r="T736" s="72" t="str">
        <f>IF(tech_base!$T112&gt;T$625,"",(1000*tech_proj!T1076*(-PMT($J$110,tech_base!$F112,1))+1000*tech_proj!T1356)/((1-tech_proj!T516)*tech_proj!T796*$L$110))</f>
        <v/>
      </c>
      <c r="U736" s="72" t="str">
        <f>IF(tech_base!$T112&gt;U$625,"",(1000*tech_proj!U1076*(-PMT($J$110,tech_base!$F112,1))+1000*tech_proj!U1356)/((1-tech_proj!U516)*tech_proj!U796*$L$110))</f>
        <v/>
      </c>
      <c r="V736" s="72" t="str">
        <f>IF(tech_base!$T112&gt;V$625,"",(1000*tech_proj!V1076*(-PMT($J$110,tech_base!$F112,1))+1000*tech_proj!V1356)/((1-tech_proj!V516)*tech_proj!V796*$L$110))</f>
        <v/>
      </c>
      <c r="W736" s="72" t="str">
        <f>IF(tech_base!$T112&gt;W$625,"",(1000*tech_proj!W1076*(-PMT($J$110,tech_base!$F112,1))+1000*tech_proj!W1356)/((1-tech_proj!W516)*tech_proj!W796*$L$110))</f>
        <v/>
      </c>
      <c r="X736" s="72" t="str">
        <f>IF(tech_base!$T112&gt;X$625,"",(1000*tech_proj!X1076*(-PMT($J$110,tech_base!$F112,1))+1000*tech_proj!X1356)/((1-tech_proj!X516)*tech_proj!X796*$L$110))</f>
        <v/>
      </c>
      <c r="Y736" s="72" t="str">
        <f>IF(tech_base!$T112&gt;Y$625,"",(1000*tech_proj!Y1076*(-PMT($J$110,tech_base!$F112,1))+1000*tech_proj!Y1356)/((1-tech_proj!Y516)*tech_proj!Y796*$L$110))</f>
        <v/>
      </c>
      <c r="Z736" s="72" t="str">
        <f>IF(tech_base!$T112&gt;Z$625,"",(1000*tech_proj!Z1076*(-PMT($J$110,tech_base!$F112,1))+1000*tech_proj!Z1356)/((1-tech_proj!Z516)*tech_proj!Z796*$L$110))</f>
        <v/>
      </c>
      <c r="AA736" s="72" t="str">
        <f>IF(tech_base!$T112&gt;AA$625,"",(1000*tech_proj!AA1076*(-PMT($J$110,tech_base!$F112,1))+1000*tech_proj!AA1356)/((1-tech_proj!AA516)*tech_proj!AA796*$L$110))</f>
        <v/>
      </c>
      <c r="AB736" s="72" t="str">
        <f>IF(tech_base!$T112&gt;AB$625,"",(1000*tech_proj!AB1076*(-PMT($J$110,tech_base!$F112,1))+1000*tech_proj!AB1356)/((1-tech_proj!AB516)*tech_proj!AB796*$L$110))</f>
        <v/>
      </c>
      <c r="AC736" s="72" t="str">
        <f>IF(tech_base!$T112&gt;AC$625,"",(1000*tech_proj!AC1076*(-PMT($J$110,tech_base!$F112,1))+1000*tech_proj!AC1356)/((1-tech_proj!AC516)*tech_proj!AC796*$L$110))</f>
        <v/>
      </c>
      <c r="AD736" s="72" t="str">
        <f>IF(tech_base!$T112&gt;AD$625,"",(1000*tech_proj!AD1076*(-PMT($J$110,tech_base!$F112,1))+1000*tech_proj!AD1356)/((1-tech_proj!AD516)*tech_proj!AD796*$L$110))</f>
        <v/>
      </c>
      <c r="AE736" s="72">
        <f>IF(tech_base!$T112&gt;AE$625,"",(1000*tech_proj!AE1076*(-PMT($J$110,tech_base!$F112,1))+1000*tech_proj!AE1356)/((1-tech_proj!AE516)*tech_proj!AE796*$L$110))</f>
        <v>86.928311493359871</v>
      </c>
      <c r="AF736" s="72">
        <f>IF(tech_base!$T112&gt;AF$625,"",(1000*tech_proj!AF1076*(-PMT($J$110,tech_base!$F112,1))+1000*tech_proj!AF1356)/((1-tech_proj!AF516)*tech_proj!AF796*$L$110))</f>
        <v>86.928311493359871</v>
      </c>
      <c r="AG736" s="72">
        <f>IF(tech_base!$T112&gt;AG$625,"",(1000*tech_proj!AG1076*(-PMT($J$110,tech_base!$F112,1))+1000*tech_proj!AG1356)/((1-tech_proj!AG516)*tech_proj!AG796*$L$110))</f>
        <v>86.928311493359871</v>
      </c>
      <c r="AH736" s="72">
        <f>IF(tech_base!$T112&gt;AH$625,"",(1000*tech_proj!AH1076*(-PMT($J$110,tech_base!$F112,1))+1000*tech_proj!AH1356)/((1-tech_proj!AH516)*tech_proj!AH796*$L$110))</f>
        <v>86.928311493359871</v>
      </c>
      <c r="AI736" s="72">
        <f>IF(tech_base!$T112&gt;AI$625,"",(1000*tech_proj!AI1076*(-PMT($J$110,tech_base!$F112,1))+1000*tech_proj!AI1356)/((1-tech_proj!AI516)*tech_proj!AI796*$L$110))</f>
        <v>86.928311493359871</v>
      </c>
      <c r="AJ736" s="72">
        <f>IF(tech_base!$T112&gt;AJ$625,"",(1000*tech_proj!AJ1076*(-PMT($J$110,tech_base!$F112,1))+1000*tech_proj!AJ1356)/((1-tech_proj!AJ516)*tech_proj!AJ796*$L$110))</f>
        <v>86.928311493359871</v>
      </c>
      <c r="AK736" s="72">
        <f>IF(tech_base!$T112&gt;AK$625,"",(1000*tech_proj!AK1076*(-PMT($J$110,tech_base!$F112,1))+1000*tech_proj!AK1356)/((1-tech_proj!AK516)*tech_proj!AK796*$L$110))</f>
        <v>86.928311493359871</v>
      </c>
      <c r="AL736" s="72">
        <f>IF(tech_base!$T112&gt;AL$625,"",(1000*tech_proj!AL1076*(-PMT($J$110,tech_base!$F112,1))+1000*tech_proj!AL1356)/((1-tech_proj!AL516)*tech_proj!AL796*$L$110))</f>
        <v>86.928311493359871</v>
      </c>
      <c r="AM736" s="72">
        <f>IF(tech_base!$T112&gt;AM$625,"",(1000*tech_proj!AM1076*(-PMT($J$110,tech_base!$F112,1))+1000*tech_proj!AM1356)/((1-tech_proj!AM516)*tech_proj!AM796*$L$110))</f>
        <v>86.928311493359871</v>
      </c>
      <c r="AN736" s="72">
        <f>IF(tech_base!$T112&gt;AN$625,"",(1000*tech_proj!AN1076*(-PMT($J$110,tech_base!$F112,1))+1000*tech_proj!AN1356)/((1-tech_proj!AN516)*tech_proj!AN796*$L$110))</f>
        <v>86.928311493359871</v>
      </c>
      <c r="AO736" s="72">
        <f>IF(tech_base!$T112&gt;AO$625,"",(1000*tech_proj!AO1076*(-PMT($J$110,tech_base!$F112,1))+1000*tech_proj!AO1356)/((1-tech_proj!AO516)*tech_proj!AO796*$L$110))</f>
        <v>86.928311493359871</v>
      </c>
      <c r="AP736" s="72">
        <f>IF(tech_base!$T112&gt;AP$625,"",(1000*tech_proj!AP1076*(-PMT($J$110,tech_base!$F112,1))+1000*tech_proj!AP1356)/((1-tech_proj!AP516)*tech_proj!AP796*$L$110))</f>
        <v>86.928311493359871</v>
      </c>
      <c r="AQ736" s="72">
        <f>IF(tech_base!$T112&gt;AQ$625,"",(1000*tech_proj!AQ1076*(-PMT($J$110,tech_base!$F112,1))+1000*tech_proj!AQ1356)/((1-tech_proj!AQ516)*tech_proj!AQ796*$L$110))</f>
        <v>86.928311493359871</v>
      </c>
      <c r="AR736" s="72">
        <f>IF(tech_base!$T112&gt;AR$625,"",(1000*tech_proj!AR1076*(-PMT($J$110,tech_base!$F112,1))+1000*tech_proj!AR1356)/((1-tech_proj!AR516)*tech_proj!AR796*$L$110))</f>
        <v>86.928311493359871</v>
      </c>
      <c r="AS736" s="72">
        <f>IF(tech_base!$T112&gt;AS$625,"",(1000*tech_proj!AS1076*(-PMT($J$110,tech_base!$F112,1))+1000*tech_proj!AS1356)/((1-tech_proj!AS516)*tech_proj!AS796*$L$110))</f>
        <v>86.928311493359871</v>
      </c>
      <c r="AT736" s="72">
        <f>IF(tech_base!$T112&gt;AT$625,"",(1000*tech_proj!AT1076*(-PMT($J$110,tech_base!$F112,1))+1000*tech_proj!AT1356)/((1-tech_proj!AT516)*tech_proj!AT796*$L$110))</f>
        <v>86.928311493359871</v>
      </c>
      <c r="AU736" s="72">
        <f>IF(tech_base!$T112&gt;AU$625,"",(1000*tech_proj!AU1076*(-PMT($J$110,tech_base!$F112,1))+1000*tech_proj!AU1356)/((1-tech_proj!AU516)*tech_proj!AU796*$L$110))</f>
        <v>86.928311493359871</v>
      </c>
      <c r="AV736" s="72">
        <f>IF(tech_base!$T112&gt;AV$625,"",(1000*tech_proj!AV1076*(-PMT($J$110,tech_base!$F112,1))+1000*tech_proj!AV1356)/((1-tech_proj!AV516)*tech_proj!AV796*$L$110))</f>
        <v>86.928311493359871</v>
      </c>
      <c r="AW736" s="72">
        <f>IF(tech_base!$T112&gt;AW$625,"",(1000*tech_proj!AW1076*(-PMT($J$110,tech_base!$F112,1))+1000*tech_proj!AW1356)/((1-tech_proj!AW516)*tech_proj!AW796*$L$110))</f>
        <v>86.928311493359871</v>
      </c>
      <c r="AX736" s="238">
        <f>IF(tech_base!$T112&gt;AX$625,"",(1000*tech_proj!AX1076*(-PMT($J$110,tech_base!$F112,1))+1000*tech_proj!AX1356)/((1-tech_proj!AX516)*tech_proj!AX796*$L$110))</f>
        <v>86.928311493359871</v>
      </c>
      <c r="AY736" s="133"/>
    </row>
    <row r="737" spans="1:51" s="174" customFormat="1" x14ac:dyDescent="0.25">
      <c r="A737" s="356"/>
      <c r="B737" s="376"/>
      <c r="C737" s="361" t="s">
        <v>16</v>
      </c>
      <c r="D737" s="2" t="s">
        <v>7</v>
      </c>
      <c r="E737" s="160" t="str">
        <f>A709&amp;"/"&amp;B727&amp;"/"&amp;C737&amp;"/"&amp;D737</f>
        <v>Gas fired power plants (Natural gas, biogas)/Steam turbine/CHP with CCS/L</v>
      </c>
      <c r="F737" s="76" t="str">
        <f>A709</f>
        <v>Gas fired power plants (Natural gas, biogas)</v>
      </c>
      <c r="G737" s="76" t="str">
        <f>B727</f>
        <v>Steam turbine</v>
      </c>
      <c r="H737" s="76" t="str">
        <f>C737</f>
        <v>CHP with CCS</v>
      </c>
      <c r="I737" s="161" t="str">
        <f t="shared" si="363"/>
        <v>L</v>
      </c>
      <c r="J737" s="69" t="str">
        <f>IF(tech_base!$T113&gt;J$625,"",(1000*tech_proj!J1077*(-PMT($J$110,tech_base!$F113,1))+1000*tech_proj!J1357)/((1-tech_proj!J517)*tech_proj!J797*$L$110))</f>
        <v/>
      </c>
      <c r="K737" s="69" t="str">
        <f>IF(tech_base!$T113&gt;K$625,"",(1000*tech_proj!K1077*(-PMT($J$110,tech_base!$F113,1))+1000*tech_proj!K1357)/((1-tech_proj!K517)*tech_proj!K797*$L$110))</f>
        <v/>
      </c>
      <c r="L737" s="69" t="str">
        <f>IF(tech_base!$T113&gt;L$625,"",(1000*tech_proj!L1077*(-PMT($J$110,tech_base!$F113,1))+1000*tech_proj!L1357)/((1-tech_proj!L517)*tech_proj!L797*$L$110))</f>
        <v/>
      </c>
      <c r="M737" s="69" t="str">
        <f>IF(tech_base!$T113&gt;M$625,"",(1000*tech_proj!M1077*(-PMT($J$110,tech_base!$F113,1))+1000*tech_proj!M1357)/((1-tech_proj!M517)*tech_proj!M797*$L$110))</f>
        <v/>
      </c>
      <c r="N737" s="69" t="str">
        <f>IF(tech_base!$T113&gt;N$625,"",(1000*tech_proj!N1077*(-PMT($J$110,tech_base!$F113,1))+1000*tech_proj!N1357)/((1-tech_proj!N517)*tech_proj!N797*$L$110))</f>
        <v/>
      </c>
      <c r="O737" s="69" t="str">
        <f>IF(tech_base!$T113&gt;O$625,"",(1000*tech_proj!O1077*(-PMT($J$110,tech_base!$F113,1))+1000*tech_proj!O1357)/((1-tech_proj!O517)*tech_proj!O797*$L$110))</f>
        <v/>
      </c>
      <c r="P737" s="69" t="str">
        <f>IF(tech_base!$T113&gt;P$625,"",(1000*tech_proj!P1077*(-PMT($J$110,tech_base!$F113,1))+1000*tech_proj!P1357)/((1-tech_proj!P517)*tech_proj!P797*$L$110))</f>
        <v/>
      </c>
      <c r="Q737" s="69" t="str">
        <f>IF(tech_base!$T113&gt;Q$625,"",(1000*tech_proj!Q1077*(-PMT($J$110,tech_base!$F113,1))+1000*tech_proj!Q1357)/((1-tech_proj!Q517)*tech_proj!Q797*$L$110))</f>
        <v/>
      </c>
      <c r="R737" s="69" t="str">
        <f>IF(tech_base!$T113&gt;R$625,"",(1000*tech_proj!R1077*(-PMT($J$110,tech_base!$F113,1))+1000*tech_proj!R1357)/((1-tech_proj!R517)*tech_proj!R797*$L$110))</f>
        <v/>
      </c>
      <c r="S737" s="69" t="str">
        <f>IF(tech_base!$T113&gt;S$625,"",(1000*tech_proj!S1077*(-PMT($J$110,tech_base!$F113,1))+1000*tech_proj!S1357)/((1-tech_proj!S517)*tech_proj!S797*$L$110))</f>
        <v/>
      </c>
      <c r="T737" s="69" t="str">
        <f>IF(tech_base!$T113&gt;T$625,"",(1000*tech_proj!T1077*(-PMT($J$110,tech_base!$F113,1))+1000*tech_proj!T1357)/((1-tech_proj!T517)*tech_proj!T797*$L$110))</f>
        <v/>
      </c>
      <c r="U737" s="69" t="str">
        <f>IF(tech_base!$T113&gt;U$625,"",(1000*tech_proj!U1077*(-PMT($J$110,tech_base!$F113,1))+1000*tech_proj!U1357)/((1-tech_proj!U517)*tech_proj!U797*$L$110))</f>
        <v/>
      </c>
      <c r="V737" s="69" t="str">
        <f>IF(tech_base!$T113&gt;V$625,"",(1000*tech_proj!V1077*(-PMT($J$110,tech_base!$F113,1))+1000*tech_proj!V1357)/((1-tech_proj!V517)*tech_proj!V797*$L$110))</f>
        <v/>
      </c>
      <c r="W737" s="69" t="str">
        <f>IF(tech_base!$T113&gt;W$625,"",(1000*tech_proj!W1077*(-PMT($J$110,tech_base!$F113,1))+1000*tech_proj!W1357)/((1-tech_proj!W517)*tech_proj!W797*$L$110))</f>
        <v/>
      </c>
      <c r="X737" s="69" t="str">
        <f>IF(tech_base!$T113&gt;X$625,"",(1000*tech_proj!X1077*(-PMT($J$110,tech_base!$F113,1))+1000*tech_proj!X1357)/((1-tech_proj!X517)*tech_proj!X797*$L$110))</f>
        <v/>
      </c>
      <c r="Y737" s="69" t="str">
        <f>IF(tech_base!$T113&gt;Y$625,"",(1000*tech_proj!Y1077*(-PMT($J$110,tech_base!$F113,1))+1000*tech_proj!Y1357)/((1-tech_proj!Y517)*tech_proj!Y797*$L$110))</f>
        <v/>
      </c>
      <c r="Z737" s="69" t="str">
        <f>IF(tech_base!$T113&gt;Z$625,"",(1000*tech_proj!Z1077*(-PMT($J$110,tech_base!$F113,1))+1000*tech_proj!Z1357)/((1-tech_proj!Z517)*tech_proj!Z797*$L$110))</f>
        <v/>
      </c>
      <c r="AA737" s="69" t="str">
        <f>IF(tech_base!$T113&gt;AA$625,"",(1000*tech_proj!AA1077*(-PMT($J$110,tech_base!$F113,1))+1000*tech_proj!AA1357)/((1-tech_proj!AA517)*tech_proj!AA797*$L$110))</f>
        <v/>
      </c>
      <c r="AB737" s="69" t="str">
        <f>IF(tech_base!$T113&gt;AB$625,"",(1000*tech_proj!AB1077*(-PMT($J$110,tech_base!$F113,1))+1000*tech_proj!AB1357)/((1-tech_proj!AB517)*tech_proj!AB797*$L$110))</f>
        <v/>
      </c>
      <c r="AC737" s="69" t="str">
        <f>IF(tech_base!$T113&gt;AC$625,"",(1000*tech_proj!AC1077*(-PMT($J$110,tech_base!$F113,1))+1000*tech_proj!AC1357)/((1-tech_proj!AC517)*tech_proj!AC797*$L$110))</f>
        <v/>
      </c>
      <c r="AD737" s="69" t="str">
        <f>IF(tech_base!$T113&gt;AD$625,"",(1000*tech_proj!AD1077*(-PMT($J$110,tech_base!$F113,1))+1000*tech_proj!AD1357)/((1-tech_proj!AD517)*tech_proj!AD797*$L$110))</f>
        <v/>
      </c>
      <c r="AE737" s="69">
        <f>IF(tech_base!$T113&gt;AE$625,"",(1000*tech_proj!AE1077*(-PMT($J$110,tech_base!$F113,1))+1000*tech_proj!AE1357)/((1-tech_proj!AE517)*tech_proj!AE797*$L$110))</f>
        <v>85.591765461821169</v>
      </c>
      <c r="AF737" s="69">
        <f>IF(tech_base!$T113&gt;AF$625,"",(1000*tech_proj!AF1077*(-PMT($J$110,tech_base!$F113,1))+1000*tech_proj!AF1357)/((1-tech_proj!AF517)*tech_proj!AF797*$L$110))</f>
        <v>85.591765461821169</v>
      </c>
      <c r="AG737" s="69">
        <f>IF(tech_base!$T113&gt;AG$625,"",(1000*tech_proj!AG1077*(-PMT($J$110,tech_base!$F113,1))+1000*tech_proj!AG1357)/((1-tech_proj!AG517)*tech_proj!AG797*$L$110))</f>
        <v>85.591765461821169</v>
      </c>
      <c r="AH737" s="69">
        <f>IF(tech_base!$T113&gt;AH$625,"",(1000*tech_proj!AH1077*(-PMT($J$110,tech_base!$F113,1))+1000*tech_proj!AH1357)/((1-tech_proj!AH517)*tech_proj!AH797*$L$110))</f>
        <v>85.591765461821169</v>
      </c>
      <c r="AI737" s="69">
        <f>IF(tech_base!$T113&gt;AI$625,"",(1000*tech_proj!AI1077*(-PMT($J$110,tech_base!$F113,1))+1000*tech_proj!AI1357)/((1-tech_proj!AI517)*tech_proj!AI797*$L$110))</f>
        <v>85.591765461821169</v>
      </c>
      <c r="AJ737" s="69">
        <f>IF(tech_base!$T113&gt;AJ$625,"",(1000*tech_proj!AJ1077*(-PMT($J$110,tech_base!$F113,1))+1000*tech_proj!AJ1357)/((1-tech_proj!AJ517)*tech_proj!AJ797*$L$110))</f>
        <v>85.591765461821169</v>
      </c>
      <c r="AK737" s="69">
        <f>IF(tech_base!$T113&gt;AK$625,"",(1000*tech_proj!AK1077*(-PMT($J$110,tech_base!$F113,1))+1000*tech_proj!AK1357)/((1-tech_proj!AK517)*tech_proj!AK797*$L$110))</f>
        <v>85.591765461821169</v>
      </c>
      <c r="AL737" s="69">
        <f>IF(tech_base!$T113&gt;AL$625,"",(1000*tech_proj!AL1077*(-PMT($J$110,tech_base!$F113,1))+1000*tech_proj!AL1357)/((1-tech_proj!AL517)*tech_proj!AL797*$L$110))</f>
        <v>85.591765461821169</v>
      </c>
      <c r="AM737" s="69">
        <f>IF(tech_base!$T113&gt;AM$625,"",(1000*tech_proj!AM1077*(-PMT($J$110,tech_base!$F113,1))+1000*tech_proj!AM1357)/((1-tech_proj!AM517)*tech_proj!AM797*$L$110))</f>
        <v>85.591765461821169</v>
      </c>
      <c r="AN737" s="69">
        <f>IF(tech_base!$T113&gt;AN$625,"",(1000*tech_proj!AN1077*(-PMT($J$110,tech_base!$F113,1))+1000*tech_proj!AN1357)/((1-tech_proj!AN517)*tech_proj!AN797*$L$110))</f>
        <v>85.591765461821169</v>
      </c>
      <c r="AO737" s="69">
        <f>IF(tech_base!$T113&gt;AO$625,"",(1000*tech_proj!AO1077*(-PMT($J$110,tech_base!$F113,1))+1000*tech_proj!AO1357)/((1-tech_proj!AO517)*tech_proj!AO797*$L$110))</f>
        <v>85.591765461821169</v>
      </c>
      <c r="AP737" s="69">
        <f>IF(tech_base!$T113&gt;AP$625,"",(1000*tech_proj!AP1077*(-PMT($J$110,tech_base!$F113,1))+1000*tech_proj!AP1357)/((1-tech_proj!AP517)*tech_proj!AP797*$L$110))</f>
        <v>85.591765461821169</v>
      </c>
      <c r="AQ737" s="69">
        <f>IF(tech_base!$T113&gt;AQ$625,"",(1000*tech_proj!AQ1077*(-PMT($J$110,tech_base!$F113,1))+1000*tech_proj!AQ1357)/((1-tech_proj!AQ517)*tech_proj!AQ797*$L$110))</f>
        <v>85.591765461821169</v>
      </c>
      <c r="AR737" s="69">
        <f>IF(tech_base!$T113&gt;AR$625,"",(1000*tech_proj!AR1077*(-PMT($J$110,tech_base!$F113,1))+1000*tech_proj!AR1357)/((1-tech_proj!AR517)*tech_proj!AR797*$L$110))</f>
        <v>85.591765461821169</v>
      </c>
      <c r="AS737" s="69">
        <f>IF(tech_base!$T113&gt;AS$625,"",(1000*tech_proj!AS1077*(-PMT($J$110,tech_base!$F113,1))+1000*tech_proj!AS1357)/((1-tech_proj!AS517)*tech_proj!AS797*$L$110))</f>
        <v>85.591765461821169</v>
      </c>
      <c r="AT737" s="69">
        <f>IF(tech_base!$T113&gt;AT$625,"",(1000*tech_proj!AT1077*(-PMT($J$110,tech_base!$F113,1))+1000*tech_proj!AT1357)/((1-tech_proj!AT517)*tech_proj!AT797*$L$110))</f>
        <v>85.591765461821169</v>
      </c>
      <c r="AU737" s="69">
        <f>IF(tech_base!$T113&gt;AU$625,"",(1000*tech_proj!AU1077*(-PMT($J$110,tech_base!$F113,1))+1000*tech_proj!AU1357)/((1-tech_proj!AU517)*tech_proj!AU797*$L$110))</f>
        <v>85.591765461821169</v>
      </c>
      <c r="AV737" s="69">
        <f>IF(tech_base!$T113&gt;AV$625,"",(1000*tech_proj!AV1077*(-PMT($J$110,tech_base!$F113,1))+1000*tech_proj!AV1357)/((1-tech_proj!AV517)*tech_proj!AV797*$L$110))</f>
        <v>85.591765461821169</v>
      </c>
      <c r="AW737" s="69">
        <f>IF(tech_base!$T113&gt;AW$625,"",(1000*tech_proj!AW1077*(-PMT($J$110,tech_base!$F113,1))+1000*tech_proj!AW1357)/((1-tech_proj!AW517)*tech_proj!AW797*$L$110))</f>
        <v>85.591765461821169</v>
      </c>
      <c r="AX737" s="235">
        <f>IF(tech_base!$T113&gt;AX$625,"",(1000*tech_proj!AX1077*(-PMT($J$110,tech_base!$F113,1))+1000*tech_proj!AX1357)/((1-tech_proj!AX517)*tech_proj!AX797*$L$110))</f>
        <v>85.591765461821169</v>
      </c>
      <c r="AY737" s="133"/>
    </row>
    <row r="738" spans="1:51" s="174" customFormat="1" x14ac:dyDescent="0.25">
      <c r="A738" s="356"/>
      <c r="B738" s="380"/>
      <c r="C738" s="381"/>
      <c r="D738" s="4" t="s">
        <v>8</v>
      </c>
      <c r="E738" s="168" t="str">
        <f>A709&amp;"/"&amp;B727&amp;"/"&amp;C737&amp;"/"&amp;D738</f>
        <v>Gas fired power plants (Natural gas, biogas)/Steam turbine/CHP with CCS/M</v>
      </c>
      <c r="F738" s="80" t="str">
        <f>A709</f>
        <v>Gas fired power plants (Natural gas, biogas)</v>
      </c>
      <c r="G738" s="80" t="str">
        <f>B727</f>
        <v>Steam turbine</v>
      </c>
      <c r="H738" s="80" t="str">
        <f>C737</f>
        <v>CHP with CCS</v>
      </c>
      <c r="I738" s="169" t="str">
        <f t="shared" si="363"/>
        <v>M</v>
      </c>
      <c r="J738" s="73" t="str">
        <f>IF(tech_base!$T114&gt;J$625,"",(1000*tech_proj!J1078*(-PMT($J$110,tech_base!$F114,1))+1000*tech_proj!J1358)/((1-tech_proj!J518)*tech_proj!J798*$L$110))</f>
        <v/>
      </c>
      <c r="K738" s="73" t="str">
        <f>IF(tech_base!$T114&gt;K$625,"",(1000*tech_proj!K1078*(-PMT($J$110,tech_base!$F114,1))+1000*tech_proj!K1358)/((1-tech_proj!K518)*tech_proj!K798*$L$110))</f>
        <v/>
      </c>
      <c r="L738" s="73" t="str">
        <f>IF(tech_base!$T114&gt;L$625,"",(1000*tech_proj!L1078*(-PMT($J$110,tech_base!$F114,1))+1000*tech_proj!L1358)/((1-tech_proj!L518)*tech_proj!L798*$L$110))</f>
        <v/>
      </c>
      <c r="M738" s="73" t="str">
        <f>IF(tech_base!$T114&gt;M$625,"",(1000*tech_proj!M1078*(-PMT($J$110,tech_base!$F114,1))+1000*tech_proj!M1358)/((1-tech_proj!M518)*tech_proj!M798*$L$110))</f>
        <v/>
      </c>
      <c r="N738" s="73" t="str">
        <f>IF(tech_base!$T114&gt;N$625,"",(1000*tech_proj!N1078*(-PMT($J$110,tech_base!$F114,1))+1000*tech_proj!N1358)/((1-tech_proj!N518)*tech_proj!N798*$L$110))</f>
        <v/>
      </c>
      <c r="O738" s="73" t="str">
        <f>IF(tech_base!$T114&gt;O$625,"",(1000*tech_proj!O1078*(-PMT($J$110,tech_base!$F114,1))+1000*tech_proj!O1358)/((1-tech_proj!O518)*tech_proj!O798*$L$110))</f>
        <v/>
      </c>
      <c r="P738" s="73" t="str">
        <f>IF(tech_base!$T114&gt;P$625,"",(1000*tech_proj!P1078*(-PMT($J$110,tech_base!$F114,1))+1000*tech_proj!P1358)/((1-tech_proj!P518)*tech_proj!P798*$L$110))</f>
        <v/>
      </c>
      <c r="Q738" s="73" t="str">
        <f>IF(tech_base!$T114&gt;Q$625,"",(1000*tech_proj!Q1078*(-PMT($J$110,tech_base!$F114,1))+1000*tech_proj!Q1358)/((1-tech_proj!Q518)*tech_proj!Q798*$L$110))</f>
        <v/>
      </c>
      <c r="R738" s="73" t="str">
        <f>IF(tech_base!$T114&gt;R$625,"",(1000*tech_proj!R1078*(-PMT($J$110,tech_base!$F114,1))+1000*tech_proj!R1358)/((1-tech_proj!R518)*tech_proj!R798*$L$110))</f>
        <v/>
      </c>
      <c r="S738" s="73" t="str">
        <f>IF(tech_base!$T114&gt;S$625,"",(1000*tech_proj!S1078*(-PMT($J$110,tech_base!$F114,1))+1000*tech_proj!S1358)/((1-tech_proj!S518)*tech_proj!S798*$L$110))</f>
        <v/>
      </c>
      <c r="T738" s="73" t="str">
        <f>IF(tech_base!$T114&gt;T$625,"",(1000*tech_proj!T1078*(-PMT($J$110,tech_base!$F114,1))+1000*tech_proj!T1358)/((1-tech_proj!T518)*tech_proj!T798*$L$110))</f>
        <v/>
      </c>
      <c r="U738" s="73" t="str">
        <f>IF(tech_base!$T114&gt;U$625,"",(1000*tech_proj!U1078*(-PMT($J$110,tech_base!$F114,1))+1000*tech_proj!U1358)/((1-tech_proj!U518)*tech_proj!U798*$L$110))</f>
        <v/>
      </c>
      <c r="V738" s="73" t="str">
        <f>IF(tech_base!$T114&gt;V$625,"",(1000*tech_proj!V1078*(-PMT($J$110,tech_base!$F114,1))+1000*tech_proj!V1358)/((1-tech_proj!V518)*tech_proj!V798*$L$110))</f>
        <v/>
      </c>
      <c r="W738" s="73" t="str">
        <f>IF(tech_base!$T114&gt;W$625,"",(1000*tech_proj!W1078*(-PMT($J$110,tech_base!$F114,1))+1000*tech_proj!W1358)/((1-tech_proj!W518)*tech_proj!W798*$L$110))</f>
        <v/>
      </c>
      <c r="X738" s="73" t="str">
        <f>IF(tech_base!$T114&gt;X$625,"",(1000*tech_proj!X1078*(-PMT($J$110,tech_base!$F114,1))+1000*tech_proj!X1358)/((1-tech_proj!X518)*tech_proj!X798*$L$110))</f>
        <v/>
      </c>
      <c r="Y738" s="73" t="str">
        <f>IF(tech_base!$T114&gt;Y$625,"",(1000*tech_proj!Y1078*(-PMT($J$110,tech_base!$F114,1))+1000*tech_proj!Y1358)/((1-tech_proj!Y518)*tech_proj!Y798*$L$110))</f>
        <v/>
      </c>
      <c r="Z738" s="73" t="str">
        <f>IF(tech_base!$T114&gt;Z$625,"",(1000*tech_proj!Z1078*(-PMT($J$110,tech_base!$F114,1))+1000*tech_proj!Z1358)/((1-tech_proj!Z518)*tech_proj!Z798*$L$110))</f>
        <v/>
      </c>
      <c r="AA738" s="73" t="str">
        <f>IF(tech_base!$T114&gt;AA$625,"",(1000*tech_proj!AA1078*(-PMT($J$110,tech_base!$F114,1))+1000*tech_proj!AA1358)/((1-tech_proj!AA518)*tech_proj!AA798*$L$110))</f>
        <v/>
      </c>
      <c r="AB738" s="73" t="str">
        <f>IF(tech_base!$T114&gt;AB$625,"",(1000*tech_proj!AB1078*(-PMT($J$110,tech_base!$F114,1))+1000*tech_proj!AB1358)/((1-tech_proj!AB518)*tech_proj!AB798*$L$110))</f>
        <v/>
      </c>
      <c r="AC738" s="73" t="str">
        <f>IF(tech_base!$T114&gt;AC$625,"",(1000*tech_proj!AC1078*(-PMT($J$110,tech_base!$F114,1))+1000*tech_proj!AC1358)/((1-tech_proj!AC518)*tech_proj!AC798*$L$110))</f>
        <v/>
      </c>
      <c r="AD738" s="73" t="str">
        <f>IF(tech_base!$T114&gt;AD$625,"",(1000*tech_proj!AD1078*(-PMT($J$110,tech_base!$F114,1))+1000*tech_proj!AD1358)/((1-tech_proj!AD518)*tech_proj!AD798*$L$110))</f>
        <v/>
      </c>
      <c r="AE738" s="73">
        <f>IF(tech_base!$T114&gt;AE$625,"",(1000*tech_proj!AE1078*(-PMT($J$110,tech_base!$F114,1))+1000*tech_proj!AE1358)/((1-tech_proj!AE518)*tech_proj!AE798*$L$110))</f>
        <v>107.60047853005749</v>
      </c>
      <c r="AF738" s="73">
        <f>IF(tech_base!$T114&gt;AF$625,"",(1000*tech_proj!AF1078*(-PMT($J$110,tech_base!$F114,1))+1000*tech_proj!AF1358)/((1-tech_proj!AF518)*tech_proj!AF798*$L$110))</f>
        <v>107.60047853005749</v>
      </c>
      <c r="AG738" s="73">
        <f>IF(tech_base!$T114&gt;AG$625,"",(1000*tech_proj!AG1078*(-PMT($J$110,tech_base!$F114,1))+1000*tech_proj!AG1358)/((1-tech_proj!AG518)*tech_proj!AG798*$L$110))</f>
        <v>107.60047853005749</v>
      </c>
      <c r="AH738" s="73">
        <f>IF(tech_base!$T114&gt;AH$625,"",(1000*tech_proj!AH1078*(-PMT($J$110,tech_base!$F114,1))+1000*tech_proj!AH1358)/((1-tech_proj!AH518)*tech_proj!AH798*$L$110))</f>
        <v>107.60047853005749</v>
      </c>
      <c r="AI738" s="73">
        <f>IF(tech_base!$T114&gt;AI$625,"",(1000*tech_proj!AI1078*(-PMT($J$110,tech_base!$F114,1))+1000*tech_proj!AI1358)/((1-tech_proj!AI518)*tech_proj!AI798*$L$110))</f>
        <v>107.60047853005749</v>
      </c>
      <c r="AJ738" s="73">
        <f>IF(tech_base!$T114&gt;AJ$625,"",(1000*tech_proj!AJ1078*(-PMT($J$110,tech_base!$F114,1))+1000*tech_proj!AJ1358)/((1-tech_proj!AJ518)*tech_proj!AJ798*$L$110))</f>
        <v>107.60047853005749</v>
      </c>
      <c r="AK738" s="73">
        <f>IF(tech_base!$T114&gt;AK$625,"",(1000*tech_proj!AK1078*(-PMT($J$110,tech_base!$F114,1))+1000*tech_proj!AK1358)/((1-tech_proj!AK518)*tech_proj!AK798*$L$110))</f>
        <v>107.60047853005749</v>
      </c>
      <c r="AL738" s="73">
        <f>IF(tech_base!$T114&gt;AL$625,"",(1000*tech_proj!AL1078*(-PMT($J$110,tech_base!$F114,1))+1000*tech_proj!AL1358)/((1-tech_proj!AL518)*tech_proj!AL798*$L$110))</f>
        <v>107.60047853005749</v>
      </c>
      <c r="AM738" s="73">
        <f>IF(tech_base!$T114&gt;AM$625,"",(1000*tech_proj!AM1078*(-PMT($J$110,tech_base!$F114,1))+1000*tech_proj!AM1358)/((1-tech_proj!AM518)*tech_proj!AM798*$L$110))</f>
        <v>107.60047853005749</v>
      </c>
      <c r="AN738" s="73">
        <f>IF(tech_base!$T114&gt;AN$625,"",(1000*tech_proj!AN1078*(-PMT($J$110,tech_base!$F114,1))+1000*tech_proj!AN1358)/((1-tech_proj!AN518)*tech_proj!AN798*$L$110))</f>
        <v>107.60047853005749</v>
      </c>
      <c r="AO738" s="73">
        <f>IF(tech_base!$T114&gt;AO$625,"",(1000*tech_proj!AO1078*(-PMT($J$110,tech_base!$F114,1))+1000*tech_proj!AO1358)/((1-tech_proj!AO518)*tech_proj!AO798*$L$110))</f>
        <v>107.60047853005749</v>
      </c>
      <c r="AP738" s="73">
        <f>IF(tech_base!$T114&gt;AP$625,"",(1000*tech_proj!AP1078*(-PMT($J$110,tech_base!$F114,1))+1000*tech_proj!AP1358)/((1-tech_proj!AP518)*tech_proj!AP798*$L$110))</f>
        <v>107.60047853005749</v>
      </c>
      <c r="AQ738" s="73">
        <f>IF(tech_base!$T114&gt;AQ$625,"",(1000*tech_proj!AQ1078*(-PMT($J$110,tech_base!$F114,1))+1000*tech_proj!AQ1358)/((1-tech_proj!AQ518)*tech_proj!AQ798*$L$110))</f>
        <v>107.60047853005749</v>
      </c>
      <c r="AR738" s="73">
        <f>IF(tech_base!$T114&gt;AR$625,"",(1000*tech_proj!AR1078*(-PMT($J$110,tech_base!$F114,1))+1000*tech_proj!AR1358)/((1-tech_proj!AR518)*tech_proj!AR798*$L$110))</f>
        <v>107.60047853005749</v>
      </c>
      <c r="AS738" s="73">
        <f>IF(tech_base!$T114&gt;AS$625,"",(1000*tech_proj!AS1078*(-PMT($J$110,tech_base!$F114,1))+1000*tech_proj!AS1358)/((1-tech_proj!AS518)*tech_proj!AS798*$L$110))</f>
        <v>107.60047853005749</v>
      </c>
      <c r="AT738" s="73">
        <f>IF(tech_base!$T114&gt;AT$625,"",(1000*tech_proj!AT1078*(-PMT($J$110,tech_base!$F114,1))+1000*tech_proj!AT1358)/((1-tech_proj!AT518)*tech_proj!AT798*$L$110))</f>
        <v>107.60047853005749</v>
      </c>
      <c r="AU738" s="73">
        <f>IF(tech_base!$T114&gt;AU$625,"",(1000*tech_proj!AU1078*(-PMT($J$110,tech_base!$F114,1))+1000*tech_proj!AU1358)/((1-tech_proj!AU518)*tech_proj!AU798*$L$110))</f>
        <v>107.60047853005749</v>
      </c>
      <c r="AV738" s="73">
        <f>IF(tech_base!$T114&gt;AV$625,"",(1000*tech_proj!AV1078*(-PMT($J$110,tech_base!$F114,1))+1000*tech_proj!AV1358)/((1-tech_proj!AV518)*tech_proj!AV798*$L$110))</f>
        <v>107.60047853005749</v>
      </c>
      <c r="AW738" s="73">
        <f>IF(tech_base!$T114&gt;AW$625,"",(1000*tech_proj!AW1078*(-PMT($J$110,tech_base!$F114,1))+1000*tech_proj!AW1358)/((1-tech_proj!AW518)*tech_proj!AW798*$L$110))</f>
        <v>107.60047853005749</v>
      </c>
      <c r="AX738" s="239">
        <f>IF(tech_base!$T114&gt;AX$625,"",(1000*tech_proj!AX1078*(-PMT($J$110,tech_base!$F114,1))+1000*tech_proj!AX1358)/((1-tech_proj!AX518)*tech_proj!AX798*$L$110))</f>
        <v>107.60047853005749</v>
      </c>
      <c r="AY738" s="133"/>
    </row>
    <row r="739" spans="1:51" s="174" customFormat="1" x14ac:dyDescent="0.25">
      <c r="A739" s="356"/>
      <c r="B739" s="358" t="s">
        <v>25</v>
      </c>
      <c r="C739" s="353" t="s">
        <v>6</v>
      </c>
      <c r="D739" s="3" t="s">
        <v>10</v>
      </c>
      <c r="E739" s="162" t="str">
        <f>A709&amp;"/"&amp;B739&amp;"/"&amp;C739&amp;"/"&amp;D739</f>
        <v>Gas fired power plants (Natural gas, biogas)/Internal combustion engine/Electricity only/S</v>
      </c>
      <c r="F739" s="77" t="str">
        <f>A709</f>
        <v>Gas fired power plants (Natural gas, biogas)</v>
      </c>
      <c r="G739" s="77" t="str">
        <f>B739</f>
        <v>Internal combustion engine</v>
      </c>
      <c r="H739" s="77" t="str">
        <f>C739</f>
        <v>Electricity only</v>
      </c>
      <c r="I739" s="163" t="str">
        <f t="shared" si="363"/>
        <v>S</v>
      </c>
      <c r="J739" s="70">
        <f>IF(tech_base!$T115&gt;J$625,"",(1000*tech_proj!J1079*(-PMT($J$110,tech_base!$F115,1))+1000*tech_proj!J1359)/((1-tech_proj!J519)*tech_proj!J799*$L$110))</f>
        <v>16.808545832384407</v>
      </c>
      <c r="K739" s="70">
        <f>IF(tech_base!$T115&gt;K$625,"",(1000*tech_proj!K1079*(-PMT($J$110,tech_base!$F115,1))+1000*tech_proj!K1359)/((1-tech_proj!K519)*tech_proj!K799*$L$110))</f>
        <v>16.806858995094622</v>
      </c>
      <c r="L739" s="70">
        <f>IF(tech_base!$T115&gt;L$625,"",(1000*tech_proj!L1079*(-PMT($J$110,tech_base!$F115,1))+1000*tech_proj!L1359)/((1-tech_proj!L519)*tech_proj!L799*$L$110))</f>
        <v>16.805092594613782</v>
      </c>
      <c r="M739" s="70">
        <f>IF(tech_base!$T115&gt;M$625,"",(1000*tech_proj!M1079*(-PMT($J$110,tech_base!$F115,1))+1000*tech_proj!M1359)/((1-tech_proj!M519)*tech_proj!M799*$L$110))</f>
        <v>16.803243234663942</v>
      </c>
      <c r="N739" s="70">
        <f>IF(tech_base!$T115&gt;N$625,"",(1000*tech_proj!N1079*(-PMT($J$110,tech_base!$F115,1))+1000*tech_proj!N1359)/((1-tech_proj!N519)*tech_proj!N799*$L$110))</f>
        <v>16.801307409793864</v>
      </c>
      <c r="O739" s="70">
        <f>IF(tech_base!$T115&gt;O$625,"",(1000*tech_proj!O1079*(-PMT($J$110,tech_base!$F115,1))+1000*tech_proj!O1359)/((1-tech_proj!O519)*tech_proj!O799*$L$110))</f>
        <v>16.799281505587746</v>
      </c>
      <c r="P739" s="70">
        <f>IF(tech_base!$T115&gt;P$625,"",(1000*tech_proj!P1079*(-PMT($J$110,tech_base!$F115,1))+1000*tech_proj!P1359)/((1-tech_proj!P519)*tech_proj!P799*$L$110))</f>
        <v>16.797161799347219</v>
      </c>
      <c r="Q739" s="70">
        <f>IF(tech_base!$T115&gt;Q$625,"",(1000*tech_proj!Q1079*(-PMT($J$110,tech_base!$F115,1))+1000*tech_proj!Q1359)/((1-tech_proj!Q519)*tech_proj!Q799*$L$110))</f>
        <v>16.794944461299263</v>
      </c>
      <c r="R739" s="70">
        <f>IF(tech_base!$T115&gt;R$625,"",(1000*tech_proj!R1079*(-PMT($J$110,tech_base!$F115,1))+1000*tech_proj!R1359)/((1-tech_proj!R519)*tech_proj!R799*$L$110))</f>
        <v>16.792625556385541</v>
      </c>
      <c r="S739" s="70">
        <f>IF(tech_base!$T115&gt;S$625,"",(1000*tech_proj!S1079*(-PMT($J$110,tech_base!$F115,1))+1000*tech_proj!S1359)/((1-tech_proj!S519)*tech_proj!S799*$L$110))</f>
        <v>16.790201046691962</v>
      </c>
      <c r="T739" s="70">
        <f>IF(tech_base!$T115&gt;T$625,"",(1000*tech_proj!T1079*(-PMT($J$110,tech_base!$F115,1))+1000*tech_proj!T1359)/((1-tech_proj!T519)*tech_proj!T799*$L$110))</f>
        <v>16.787666794579792</v>
      </c>
      <c r="U739" s="70">
        <f>IF(tech_base!$T115&gt;U$625,"",(1000*tech_proj!U1079*(-PMT($J$110,tech_base!$F115,1))+1000*tech_proj!U1359)/((1-tech_proj!U519)*tech_proj!U799*$L$110))</f>
        <v>16.785018566582501</v>
      </c>
      <c r="V739" s="70">
        <f>IF(tech_base!$T115&gt;V$625,"",(1000*tech_proj!V1079*(-PMT($J$110,tech_base!$F115,1))+1000*tech_proj!V1359)/((1-tech_proj!V519)*tech_proj!V799*$L$110))</f>
        <v>16.782252038134807</v>
      </c>
      <c r="W739" s="70">
        <f>IF(tech_base!$T115&gt;W$625,"",(1000*tech_proj!W1079*(-PMT($J$110,tech_base!$F115,1))+1000*tech_proj!W1359)/((1-tech_proj!W519)*tech_proj!W799*$L$110))</f>
        <v>16.779362799202392</v>
      </c>
      <c r="X739" s="70">
        <f>IF(tech_base!$T115&gt;X$625,"",(1000*tech_proj!X1079*(-PMT($J$110,tech_base!$F115,1))+1000*tech_proj!X1359)/((1-tech_proj!X519)*tech_proj!X799*$L$110))</f>
        <v>16.77634636088229</v>
      </c>
      <c r="Y739" s="70">
        <f>IF(tech_base!$T115&gt;Y$625,"",(1000*tech_proj!Y1079*(-PMT($J$110,tech_base!$F115,1))+1000*tech_proj!Y1359)/((1-tech_proj!Y519)*tech_proj!Y799*$L$110))</f>
        <v>16.773198163045059</v>
      </c>
      <c r="Z739" s="70">
        <f>IF(tech_base!$T115&gt;Z$625,"",(1000*tech_proj!Z1079*(-PMT($J$110,tech_base!$F115,1))+1000*tech_proj!Z1359)/((1-tech_proj!Z519)*tech_proj!Z799*$L$110))</f>
        <v>16.769913583090041</v>
      </c>
      <c r="AA739" s="70">
        <f>IF(tech_base!$T115&gt;AA$625,"",(1000*tech_proj!AA1079*(-PMT($J$110,tech_base!$F115,1))+1000*tech_proj!AA1359)/((1-tech_proj!AA519)*tech_proj!AA799*$L$110))</f>
        <v>16.76648794588478</v>
      </c>
      <c r="AB739" s="70">
        <f>IF(tech_base!$T115&gt;AB$625,"",(1000*tech_proj!AB1079*(-PMT($J$110,tech_base!$F115,1))+1000*tech_proj!AB1359)/((1-tech_proj!AB519)*tech_proj!AB799*$L$110))</f>
        <v>16.762916534958173</v>
      </c>
      <c r="AC739" s="70">
        <f>IF(tech_base!$T115&gt;AC$625,"",(1000*tech_proj!AC1079*(-PMT($J$110,tech_base!$F115,1))+1000*tech_proj!AC1359)/((1-tech_proj!AC519)*tech_proj!AC799*$L$110))</f>
        <v>16.759194605014805</v>
      </c>
      <c r="AD739" s="70">
        <f>IF(tech_base!$T115&gt;AD$625,"",(1000*tech_proj!AD1079*(-PMT($J$110,tech_base!$F115,1))+1000*tech_proj!AD1359)/((1-tech_proj!AD519)*tech_proj!AD799*$L$110))</f>
        <v>16.755317395834133</v>
      </c>
      <c r="AE739" s="70">
        <f>IF(tech_base!$T115&gt;AE$625,"",(1000*tech_proj!AE1079*(-PMT($J$110,tech_base!$F115,1))+1000*tech_proj!AE1359)/((1-tech_proj!AE519)*tech_proj!AE799*$L$110))</f>
        <v>16.751280147613638</v>
      </c>
      <c r="AF739" s="70">
        <f>IF(tech_base!$T115&gt;AF$625,"",(1000*tech_proj!AF1079*(-PMT($J$110,tech_base!$F115,1))+1000*tech_proj!AF1359)/((1-tech_proj!AF519)*tech_proj!AF799*$L$110))</f>
        <v>16.747078117808591</v>
      </c>
      <c r="AG739" s="70">
        <f>IF(tech_base!$T115&gt;AG$625,"",(1000*tech_proj!AG1079*(-PMT($J$110,tech_base!$F115,1))+1000*tech_proj!AG1359)/((1-tech_proj!AG519)*tech_proj!AG799*$L$110))</f>
        <v>16.742706599513241</v>
      </c>
      <c r="AH739" s="70">
        <f>IF(tech_base!$T115&gt;AH$625,"",(1000*tech_proj!AH1079*(-PMT($J$110,tech_base!$F115,1))+1000*tech_proj!AH1359)/((1-tech_proj!AH519)*tech_proj!AH799*$L$110))</f>
        <v>16.738160941418645</v>
      </c>
      <c r="AI739" s="70">
        <f>IF(tech_base!$T115&gt;AI$625,"",(1000*tech_proj!AI1079*(-PMT($J$110,tech_base!$F115,1))+1000*tech_proj!AI1359)/((1-tech_proj!AI519)*tech_proj!AI799*$L$110))</f>
        <v>16.733436569370873</v>
      </c>
      <c r="AJ739" s="70">
        <f>IF(tech_base!$T115&gt;AJ$625,"",(1000*tech_proj!AJ1079*(-PMT($J$110,tech_base!$F115,1))+1000*tech_proj!AJ1359)/((1-tech_proj!AJ519)*tech_proj!AJ799*$L$110))</f>
        <v>16.728529009539635</v>
      </c>
      <c r="AK739" s="70">
        <f>IF(tech_base!$T115&gt;AK$625,"",(1000*tech_proj!AK1079*(-PMT($J$110,tech_base!$F115,1))+1000*tech_proj!AK1359)/((1-tech_proj!AK519)*tech_proj!AK799*$L$110))</f>
        <v>16.723433913192153</v>
      </c>
      <c r="AL739" s="70">
        <f>IF(tech_base!$T115&gt;AL$625,"",(1000*tech_proj!AL1079*(-PMT($J$110,tech_base!$F115,1))+1000*tech_proj!AL1359)/((1-tech_proj!AL519)*tech_proj!AL799*$L$110))</f>
        <v>16.718147083049036</v>
      </c>
      <c r="AM739" s="70">
        <f>IF(tech_base!$T115&gt;AM$625,"",(1000*tech_proj!AM1079*(-PMT($J$110,tech_base!$F115,1))+1000*tech_proj!AM1359)/((1-tech_proj!AM519)*tech_proj!AM799*$L$110))</f>
        <v>16.712664501179148</v>
      </c>
      <c r="AN739" s="70">
        <f>IF(tech_base!$T115&gt;AN$625,"",(1000*tech_proj!AN1079*(-PMT($J$110,tech_base!$F115,1))+1000*tech_proj!AN1359)/((1-tech_proj!AN519)*tech_proj!AN799*$L$110))</f>
        <v>16.706982358368343</v>
      </c>
      <c r="AO739" s="70">
        <f>IF(tech_base!$T115&gt;AO$625,"",(1000*tech_proj!AO1079*(-PMT($J$110,tech_base!$F115,1))+1000*tech_proj!AO1359)/((1-tech_proj!AO519)*tech_proj!AO799*$L$110))</f>
        <v>16.70109708487259</v>
      </c>
      <c r="AP739" s="70">
        <f>IF(tech_base!$T115&gt;AP$625,"",(1000*tech_proj!AP1079*(-PMT($J$110,tech_base!$F115,1))+1000*tech_proj!AP1359)/((1-tech_proj!AP519)*tech_proj!AP799*$L$110))</f>
        <v>16.695005382439795</v>
      </c>
      <c r="AQ739" s="70">
        <f>IF(tech_base!$T115&gt;AQ$625,"",(1000*tech_proj!AQ1079*(-PMT($J$110,tech_base!$F115,1))+1000*tech_proj!AQ1359)/((1-tech_proj!AQ519)*tech_proj!AQ799*$L$110))</f>
        <v>16.688704257456465</v>
      </c>
      <c r="AR739" s="70">
        <f>IF(tech_base!$T115&gt;AR$625,"",(1000*tech_proj!AR1079*(-PMT($J$110,tech_base!$F115,1))+1000*tech_proj!AR1359)/((1-tech_proj!AR519)*tech_proj!AR799*$L$110))</f>
        <v>16.682191055045365</v>
      </c>
      <c r="AS739" s="70">
        <f>IF(tech_base!$T115&gt;AS$625,"",(1000*tech_proj!AS1079*(-PMT($J$110,tech_base!$F115,1))+1000*tech_proj!AS1359)/((1-tech_proj!AS519)*tech_proj!AS799*$L$110))</f>
        <v>16.675463493909547</v>
      </c>
      <c r="AT739" s="70">
        <f>IF(tech_base!$T115&gt;AT$625,"",(1000*tech_proj!AT1079*(-PMT($J$110,tech_base!$F115,1))+1000*tech_proj!AT1359)/((1-tech_proj!AT519)*tech_proj!AT799*$L$110))</f>
        <v>16.668519701685714</v>
      </c>
      <c r="AU739" s="70">
        <f>IF(tech_base!$T115&gt;AU$625,"",(1000*tech_proj!AU1079*(-PMT($J$110,tech_base!$F115,1))+1000*tech_proj!AU1359)/((1-tech_proj!AU519)*tech_proj!AU799*$L$110))</f>
        <v>16.661358250537706</v>
      </c>
      <c r="AV739" s="70">
        <f>IF(tech_base!$T115&gt;AV$625,"",(1000*tech_proj!AV1079*(-PMT($J$110,tech_base!$F115,1))+1000*tech_proj!AV1359)/((1-tech_proj!AV519)*tech_proj!AV799*$L$110))</f>
        <v>16.653978192688371</v>
      </c>
      <c r="AW739" s="70">
        <f>IF(tech_base!$T115&gt;AW$625,"",(1000*tech_proj!AW1079*(-PMT($J$110,tech_base!$F115,1))+1000*tech_proj!AW1359)/((1-tech_proj!AW519)*tech_proj!AW799*$L$110))</f>
        <v>16.646379095556597</v>
      </c>
      <c r="AX739" s="236">
        <f>IF(tech_base!$T115&gt;AX$625,"",(1000*tech_proj!AX1079*(-PMT($J$110,tech_base!$F115,1))+1000*tech_proj!AX1359)/((1-tech_proj!AX519)*tech_proj!AX799*$L$110))</f>
        <v>16.638561076136231</v>
      </c>
      <c r="AY739" s="133"/>
    </row>
    <row r="740" spans="1:51" s="174" customFormat="1" x14ac:dyDescent="0.25">
      <c r="A740" s="356"/>
      <c r="B740" s="376"/>
      <c r="C740" s="379"/>
      <c r="D740" s="59" t="s">
        <v>20</v>
      </c>
      <c r="E740" s="160" t="str">
        <f>A709&amp;"/"&amp;B739&amp;"/"&amp;C739&amp;"/"&amp;D740</f>
        <v>Gas fired power plants (Natural gas, biogas)/Internal combustion engine/Electricity only/XS</v>
      </c>
      <c r="F740" s="76" t="str">
        <f>A709</f>
        <v>Gas fired power plants (Natural gas, biogas)</v>
      </c>
      <c r="G740" s="76" t="str">
        <f>B739</f>
        <v>Internal combustion engine</v>
      </c>
      <c r="H740" s="76" t="str">
        <f>C739</f>
        <v>Electricity only</v>
      </c>
      <c r="I740" s="161" t="str">
        <f t="shared" si="363"/>
        <v>XS</v>
      </c>
      <c r="J740" s="69">
        <f>IF(tech_base!$T116&gt;J$625,"",(1000*tech_proj!J1080*(-PMT($J$110,tech_base!$F116,1))+1000*tech_proj!J1360)/((1-tech_proj!J520)*tech_proj!J800*$L$110))</f>
        <v>16.40850657991075</v>
      </c>
      <c r="K740" s="69">
        <f>IF(tech_base!$T116&gt;K$625,"",(1000*tech_proj!K1080*(-PMT($J$110,tech_base!$F116,1))+1000*tech_proj!K1360)/((1-tech_proj!K520)*tech_proj!K800*$L$110))</f>
        <v>16.407213512894771</v>
      </c>
      <c r="L740" s="69">
        <f>IF(tech_base!$T116&gt;L$625,"",(1000*tech_proj!L1080*(-PMT($J$110,tech_base!$F116,1))+1000*tech_proj!L1360)/((1-tech_proj!L520)*tech_proj!L800*$L$110))</f>
        <v>16.405858317763357</v>
      </c>
      <c r="M740" s="69">
        <f>IF(tech_base!$T116&gt;M$625,"",(1000*tech_proj!M1080*(-PMT($J$110,tech_base!$F116,1))+1000*tech_proj!M1360)/((1-tech_proj!M520)*tech_proj!M800*$L$110))</f>
        <v>16.404438226254332</v>
      </c>
      <c r="N740" s="69">
        <f>IF(tech_base!$T116&gt;N$625,"",(1000*tech_proj!N1080*(-PMT($J$110,tech_base!$F116,1))+1000*tech_proj!N1360)/((1-tech_proj!N520)*tech_proj!N800*$L$110))</f>
        <v>16.402950368745781</v>
      </c>
      <c r="O740" s="69">
        <f>IF(tech_base!$T116&gt;O$625,"",(1000*tech_proj!O1080*(-PMT($J$110,tech_base!$F116,1))+1000*tech_proj!O1360)/((1-tech_proj!O520)*tech_proj!O800*$L$110))</f>
        <v>16.401391772825665</v>
      </c>
      <c r="P740" s="69">
        <f>IF(tech_base!$T116&gt;P$625,"",(1000*tech_proj!P1080*(-PMT($J$110,tech_base!$F116,1))+1000*tech_proj!P1360)/((1-tech_proj!P520)*tech_proj!P800*$L$110))</f>
        <v>16.399759362110057</v>
      </c>
      <c r="Q740" s="69">
        <f>IF(tech_base!$T116&gt;Q$625,"",(1000*tech_proj!Q1080*(-PMT($J$110,tech_base!$F116,1))+1000*tech_proj!Q1360)/((1-tech_proj!Q520)*tech_proj!Q800*$L$110))</f>
        <v>16.398049955346018</v>
      </c>
      <c r="R740" s="69">
        <f>IF(tech_base!$T116&gt;R$625,"",(1000*tech_proj!R1080*(-PMT($J$110,tech_base!$F116,1))+1000*tech_proj!R1360)/((1-tech_proj!R520)*tech_proj!R800*$L$110))</f>
        <v>16.396260265838066</v>
      </c>
      <c r="S740" s="69">
        <f>IF(tech_base!$T116&gt;S$625,"",(1000*tech_proj!S1080*(-PMT($J$110,tech_base!$F116,1))+1000*tech_proj!S1360)/((1-tech_proj!S520)*tech_proj!S800*$L$110))</f>
        <v>16.394386901239951</v>
      </c>
      <c r="T740" s="69">
        <f>IF(tech_base!$T116&gt;T$625,"",(1000*tech_proj!T1080*(-PMT($J$110,tech_base!$F116,1))+1000*tech_proj!T1360)/((1-tech_proj!T520)*tech_proj!T800*$L$110))</f>
        <v>16.392426363756638</v>
      </c>
      <c r="U740" s="69">
        <f>IF(tech_base!$T116&gt;U$625,"",(1000*tech_proj!U1080*(-PMT($J$110,tech_base!$F116,1))+1000*tech_proj!U1360)/((1-tech_proj!U520)*tech_proj!U800*$L$110))</f>
        <v>16.390375050804323</v>
      </c>
      <c r="V740" s="69">
        <f>IF(tech_base!$T116&gt;V$625,"",(1000*tech_proj!V1080*(-PMT($J$110,tech_base!$F116,1))+1000*tech_proj!V1360)/((1-tech_proj!V520)*tech_proj!V800*$L$110))</f>
        <v>16.388229256179347</v>
      </c>
      <c r="W740" s="69">
        <f>IF(tech_base!$T116&gt;W$625,"",(1000*tech_proj!W1080*(-PMT($J$110,tech_base!$F116,1))+1000*tech_proj!W1360)/((1-tech_proj!W520)*tech_proj!W800*$L$110))</f>
        <v>16.385985171789841</v>
      </c>
      <c r="X740" s="69">
        <f>IF(tech_base!$T116&gt;X$625,"",(1000*tech_proj!X1080*(-PMT($J$110,tech_base!$F116,1))+1000*tech_proj!X1360)/((1-tech_proj!X520)*tech_proj!X800*$L$110))</f>
        <v>16.383638890006843</v>
      </c>
      <c r="Y740" s="69">
        <f>IF(tech_base!$T116&gt;Y$625,"",(1000*tech_proj!Y1080*(-PMT($J$110,tech_base!$F116,1))+1000*tech_proj!Y1360)/((1-tech_proj!Y520)*tech_proj!Y800*$L$110))</f>
        <v>16.381186406694418</v>
      </c>
      <c r="Z740" s="69">
        <f>IF(tech_base!$T116&gt;Z$625,"",(1000*tech_proj!Z1080*(-PMT($J$110,tech_base!$F116,1))+1000*tech_proj!Z1360)/((1-tech_proj!Z520)*tech_proj!Z800*$L$110))</f>
        <v>16.378623624980769</v>
      </c>
      <c r="AA740" s="69">
        <f>IF(tech_base!$T116&gt;AA$625,"",(1000*tech_proj!AA1080*(-PMT($J$110,tech_base!$F116,1))+1000*tech_proj!AA1360)/((1-tech_proj!AA520)*tech_proj!AA800*$L$110))</f>
        <v>16.375946359834678</v>
      </c>
      <c r="AB740" s="69">
        <f>IF(tech_base!$T116&gt;AB$625,"",(1000*tech_proj!AB1080*(-PMT($J$110,tech_base!$F116,1))+1000*tech_proj!AB1360)/((1-tech_proj!AB520)*tech_proj!AB800*$L$110))</f>
        <v>16.373150343513601</v>
      </c>
      <c r="AC740" s="69">
        <f>IF(tech_base!$T116&gt;AC$625,"",(1000*tech_proj!AC1080*(-PMT($J$110,tech_base!$F116,1))+1000*tech_proj!AC1360)/((1-tech_proj!AC520)*tech_proj!AC800*$L$110))</f>
        <v>16.370231231951067</v>
      </c>
      <c r="AD740" s="69">
        <f>IF(tech_base!$T116&gt;AD$625,"",(1000*tech_proj!AD1080*(-PMT($J$110,tech_base!$F116,1))+1000*tech_proj!AD1360)/((1-tech_proj!AD520)*tech_proj!AD800*$L$110))</f>
        <v>16.367184612152293</v>
      </c>
      <c r="AE740" s="69">
        <f>IF(tech_base!$T116&gt;AE$625,"",(1000*tech_proj!AE1080*(-PMT($J$110,tech_base!$F116,1))+1000*tech_proj!AE1360)/((1-tech_proj!AE520)*tech_proj!AE800*$L$110))</f>
        <v>16.364006010666944</v>
      </c>
      <c r="AF740" s="69">
        <f>IF(tech_base!$T116&gt;AF$625,"",(1000*tech_proj!AF1080*(-PMT($J$110,tech_base!$F116,1))+1000*tech_proj!AF1360)/((1-tech_proj!AF520)*tech_proj!AF800*$L$110))</f>
        <v>16.360690903207828</v>
      </c>
      <c r="AG740" s="69">
        <f>IF(tech_base!$T116&gt;AG$625,"",(1000*tech_proj!AG1080*(-PMT($J$110,tech_base!$F116,1))+1000*tech_proj!AG1360)/((1-tech_proj!AG520)*tech_proj!AG800*$L$110))</f>
        <v>16.357234725482954</v>
      </c>
      <c r="AH740" s="69">
        <f>IF(tech_base!$T116&gt;AH$625,"",(1000*tech_proj!AH1080*(-PMT($J$110,tech_base!$F116,1))+1000*tech_proj!AH1360)/((1-tech_proj!AH520)*tech_proj!AH800*$L$110))</f>
        <v>16.353632885306009</v>
      </c>
      <c r="AI740" s="69">
        <f>IF(tech_base!$T116&gt;AI$625,"",(1000*tech_proj!AI1080*(-PMT($J$110,tech_base!$F116,1))+1000*tech_proj!AI1360)/((1-tech_proj!AI520)*tech_proj!AI800*$L$110))</f>
        <v>16.34988077604714</v>
      </c>
      <c r="AJ740" s="69">
        <f>IF(tech_base!$T116&gt;AJ$625,"",(1000*tech_proj!AJ1080*(-PMT($J$110,tech_base!$F116,1))+1000*tech_proj!AJ1360)/((1-tech_proj!AJ520)*tech_proj!AJ800*$L$110))</f>
        <v>16.345973791481033</v>
      </c>
      <c r="AK740" s="69">
        <f>IF(tech_base!$T116&gt;AK$625,"",(1000*tech_proj!AK1080*(-PMT($J$110,tech_base!$F116,1))+1000*tech_proj!AK1360)/((1-tech_proj!AK520)*tech_proj!AK800*$L$110))</f>
        <v>16.341907342083321</v>
      </c>
      <c r="AL740" s="69">
        <f>IF(tech_base!$T116&gt;AL$625,"",(1000*tech_proj!AL1080*(-PMT($J$110,tech_base!$F116,1))+1000*tech_proj!AL1360)/((1-tech_proj!AL520)*tech_proj!AL800*$L$110))</f>
        <v>16.337676872818712</v>
      </c>
      <c r="AM740" s="69">
        <f>IF(tech_base!$T116&gt;AM$625,"",(1000*tech_proj!AM1080*(-PMT($J$110,tech_base!$F116,1))+1000*tech_proj!AM1360)/((1-tech_proj!AM520)*tech_proj!AM800*$L$110))</f>
        <v>16.333277882454876</v>
      </c>
      <c r="AN740" s="69">
        <f>IF(tech_base!$T116&gt;AN$625,"",(1000*tech_proj!AN1080*(-PMT($J$110,tech_base!$F116,1))+1000*tech_proj!AN1360)/((1-tech_proj!AN520)*tech_proj!AN800*$L$110))</f>
        <v>16.328705944425032</v>
      </c>
      <c r="AO740" s="69">
        <f>IF(tech_base!$T116&gt;AO$625,"",(1000*tech_proj!AO1080*(-PMT($J$110,tech_base!$F116,1))+1000*tech_proj!AO1360)/((1-tech_proj!AO520)*tech_proj!AO800*$L$110))</f>
        <v>16.323956729249069</v>
      </c>
      <c r="AP740" s="69">
        <f>IF(tech_base!$T116&gt;AP$625,"",(1000*tech_proj!AP1080*(-PMT($J$110,tech_base!$F116,1))+1000*tech_proj!AP1360)/((1-tech_proj!AP520)*tech_proj!AP800*$L$110))</f>
        <v>16.319026028508052</v>
      </c>
      <c r="AQ740" s="69">
        <f>IF(tech_base!$T116&gt;AQ$625,"",(1000*tech_proj!AQ1080*(-PMT($J$110,tech_base!$F116,1))+1000*tech_proj!AQ1360)/((1-tech_proj!AQ520)*tech_proj!AQ800*$L$110))</f>
        <v>16.313909780349732</v>
      </c>
      <c r="AR740" s="69">
        <f>IF(tech_base!$T116&gt;AR$625,"",(1000*tech_proj!AR1080*(-PMT($J$110,tech_base!$F116,1))+1000*tech_proj!AR1360)/((1-tech_proj!AR520)*tech_proj!AR800*$L$110))</f>
        <v>16.308604096483347</v>
      </c>
      <c r="AS740" s="69">
        <f>IF(tech_base!$T116&gt;AS$625,"",(1000*tech_proj!AS1080*(-PMT($J$110,tech_base!$F116,1))+1000*tech_proj!AS1360)/((1-tech_proj!AS520)*tech_proj!AS800*$L$110))</f>
        <v>16.303105290600779</v>
      </c>
      <c r="AT740" s="69">
        <f>IF(tech_base!$T116&gt;AT$625,"",(1000*tech_proj!AT1080*(-PMT($J$110,tech_base!$F116,1))+1000*tech_proj!AT1360)/((1-tech_proj!AT520)*tech_proj!AT800*$L$110))</f>
        <v>16.297409908137414</v>
      </c>
      <c r="AU740" s="69">
        <f>IF(tech_base!$T116&gt;AU$625,"",(1000*tech_proj!AU1080*(-PMT($J$110,tech_base!$F116,1))+1000*tech_proj!AU1360)/((1-tech_proj!AU520)*tech_proj!AU800*$L$110))</f>
        <v>16.291514757260781</v>
      </c>
      <c r="AV740" s="69">
        <f>IF(tech_base!$T116&gt;AV$625,"",(1000*tech_proj!AV1080*(-PMT($J$110,tech_base!$F116,1))+1000*tech_proj!AV1360)/((1-tech_proj!AV520)*tech_proj!AV800*$L$110))</f>
        <v>16.285416940947673</v>
      </c>
      <c r="AW740" s="69">
        <f>IF(tech_base!$T116&gt;AW$625,"",(1000*tech_proj!AW1080*(-PMT($J$110,tech_base!$F116,1))+1000*tech_proj!AW1360)/((1-tech_proj!AW520)*tech_proj!AW800*$L$110))</f>
        <v>16.279113889981687</v>
      </c>
      <c r="AX740" s="235">
        <f>IF(tech_base!$T116&gt;AX$625,"",(1000*tech_proj!AX1080*(-PMT($J$110,tech_base!$F116,1))+1000*tech_proj!AX1360)/((1-tech_proj!AX520)*tech_proj!AX800*$L$110))</f>
        <v>16.272603396672963</v>
      </c>
      <c r="AY740" s="133"/>
    </row>
    <row r="741" spans="1:51" s="174" customFormat="1" x14ac:dyDescent="0.25">
      <c r="A741" s="356"/>
      <c r="B741" s="376"/>
      <c r="C741" s="361" t="s">
        <v>14</v>
      </c>
      <c r="D741" s="2" t="s">
        <v>10</v>
      </c>
      <c r="E741" s="164" t="str">
        <f>A709&amp;"/"&amp;B739&amp;"/"&amp;C741&amp;"/"&amp;D741</f>
        <v>Gas fired power plants (Natural gas, biogas)/Internal combustion engine/CHP/S</v>
      </c>
      <c r="F741" s="78" t="str">
        <f>A709</f>
        <v>Gas fired power plants (Natural gas, biogas)</v>
      </c>
      <c r="G741" s="78" t="str">
        <f>B739</f>
        <v>Internal combustion engine</v>
      </c>
      <c r="H741" s="78" t="str">
        <f>C741</f>
        <v>CHP</v>
      </c>
      <c r="I741" s="165" t="str">
        <f t="shared" si="363"/>
        <v>S</v>
      </c>
      <c r="J741" s="71">
        <f>IF(tech_base!$T117&gt;J$625,"",(1000*tech_proj!J1081*(-PMT($J$110,tech_base!$F117,1))+1000*tech_proj!J1361)/((1-tech_proj!J521)*tech_proj!J801*$L$110))</f>
        <v>20.687263981633397</v>
      </c>
      <c r="K741" s="71">
        <f>IF(tech_base!$T117&gt;K$625,"",(1000*tech_proj!K1081*(-PMT($J$110,tech_base!$F117,1))+1000*tech_proj!K1361)/((1-tech_proj!K521)*tech_proj!K801*$L$110))</f>
        <v>20.685986095613728</v>
      </c>
      <c r="L741" s="71">
        <f>IF(tech_base!$T117&gt;L$625,"",(1000*tech_proj!L1081*(-PMT($J$110,tech_base!$F117,1))+1000*tech_proj!L1361)/((1-tech_proj!L521)*tech_proj!L801*$L$110))</f>
        <v>20.684645921436253</v>
      </c>
      <c r="M741" s="71">
        <f>IF(tech_base!$T117&gt;M$625,"",(1000*tech_proj!M1081*(-PMT($J$110,tech_base!$F117,1))+1000*tech_proj!M1361)/((1-tech_proj!M521)*tech_proj!M801*$L$110))</f>
        <v>20.68324059230622</v>
      </c>
      <c r="N741" s="71">
        <f>IF(tech_base!$T117&gt;N$625,"",(1000*tech_proj!N1081*(-PMT($J$110,tech_base!$F117,1))+1000*tech_proj!N1361)/((1-tech_proj!N521)*tech_proj!N801*$L$110))</f>
        <v>20.681767126789897</v>
      </c>
      <c r="O741" s="71">
        <f>IF(tech_base!$T117&gt;O$625,"",(1000*tech_proj!O1081*(-PMT($J$110,tech_base!$F117,1))+1000*tech_proj!O1361)/((1-tech_proj!O521)*tech_proj!O801*$L$110))</f>
        <v>20.680222426026909</v>
      </c>
      <c r="P741" s="71">
        <f>IF(tech_base!$T117&gt;P$625,"",(1000*tech_proj!P1081*(-PMT($J$110,tech_base!$F117,1))+1000*tech_proj!P1361)/((1-tech_proj!P521)*tech_proj!P801*$L$110))</f>
        <v>20.678603271077598</v>
      </c>
      <c r="Q741" s="71">
        <f>IF(tech_base!$T117&gt;Q$625,"",(1000*tech_proj!Q1081*(-PMT($J$110,tech_base!$F117,1))+1000*tech_proj!Q1361)/((1-tech_proj!Q521)*tech_proj!Q801*$L$110))</f>
        <v>20.676906320434522</v>
      </c>
      <c r="R741" s="71">
        <f>IF(tech_base!$T117&gt;R$625,"",(1000*tech_proj!R1081*(-PMT($J$110,tech_base!$F117,1))+1000*tech_proj!R1361)/((1-tech_proj!R521)*tech_proj!R801*$L$110))</f>
        <v>20.675128107730234</v>
      </c>
      <c r="S741" s="71">
        <f>IF(tech_base!$T117&gt;S$625,"",(1000*tech_proj!S1081*(-PMT($J$110,tech_base!$F117,1))+1000*tech_proj!S1361)/((1-tech_proj!S521)*tech_proj!S801*$L$110))</f>
        <v>20.673265039676483</v>
      </c>
      <c r="T741" s="71">
        <f>IF(tech_base!$T117&gt;T$625,"",(1000*tech_proj!T1081*(-PMT($J$110,tech_base!$F117,1))+1000*tech_proj!T1361)/((1-tech_proj!T521)*tech_proj!T801*$L$110))</f>
        <v>20.671313394273085</v>
      </c>
      <c r="U741" s="71">
        <f>IF(tech_base!$T117&gt;U$625,"",(1000*tech_proj!U1081*(-PMT($J$110,tech_base!$F117,1))+1000*tech_proj!U1361)/((1-tech_proj!U521)*tech_proj!U801*$L$110))</f>
        <v>20.669269319328148</v>
      </c>
      <c r="V741" s="71">
        <f>IF(tech_base!$T117&gt;V$625,"",(1000*tech_proj!V1081*(-PMT($J$110,tech_base!$F117,1))+1000*tech_proj!V1361)/((1-tech_proj!V521)*tech_proj!V801*$L$110))</f>
        <v>20.667128831334747</v>
      </c>
      <c r="W741" s="71">
        <f>IF(tech_base!$T117&gt;W$625,"",(1000*tech_proj!W1081*(-PMT($J$110,tech_base!$F117,1))+1000*tech_proj!W1361)/((1-tech_proj!W521)*tech_proj!W801*$L$110))</f>
        <v>20.664887814752692</v>
      </c>
      <c r="X741" s="71">
        <f>IF(tech_base!$T117&gt;X$625,"",(1000*tech_proj!X1081*(-PMT($J$110,tech_base!$F117,1))+1000*tech_proj!X1361)/((1-tech_proj!X521)*tech_proj!X801*$L$110))</f>
        <v>20.662542021747839</v>
      </c>
      <c r="Y741" s="71">
        <f>IF(tech_base!$T117&gt;Y$625,"",(1000*tech_proj!Y1081*(-PMT($J$110,tech_base!$F117,1))+1000*tech_proj!Y1361)/((1-tech_proj!Y521)*tech_proj!Y801*$L$110))</f>
        <v>20.660087072444991</v>
      </c>
      <c r="Z741" s="71">
        <f>IF(tech_base!$T117&gt;Z$625,"",(1000*tech_proj!Z1081*(-PMT($J$110,tech_base!$F117,1))+1000*tech_proj!Z1361)/((1-tech_proj!Z521)*tech_proj!Z801*$L$110))</f>
        <v>20.657518455754392</v>
      </c>
      <c r="AA741" s="71">
        <f>IF(tech_base!$T117&gt;AA$625,"",(1000*tech_proj!AA1081*(-PMT($J$110,tech_base!$F117,1))+1000*tech_proj!AA1361)/((1-tech_proj!AA521)*tech_proj!AA801*$L$110))</f>
        <v>20.654831530835352</v>
      </c>
      <c r="AB741" s="71">
        <f>IF(tech_base!$T117&gt;AB$625,"",(1000*tech_proj!AB1081*(-PMT($J$110,tech_base!$F117,1))+1000*tech_proj!AB1361)/((1-tech_proj!AB521)*tech_proj!AB801*$L$110))</f>
        <v>20.652021529264641</v>
      </c>
      <c r="AC741" s="71">
        <f>IF(tech_base!$T117&gt;AC$625,"",(1000*tech_proj!AC1081*(-PMT($J$110,tech_base!$F117,1))+1000*tech_proj!AC1361)/((1-tech_proj!AC521)*tech_proj!AC801*$L$110))</f>
        <v>20.649083557980504</v>
      </c>
      <c r="AD741" s="71">
        <f>IF(tech_base!$T117&gt;AD$625,"",(1000*tech_proj!AD1081*(-PMT($J$110,tech_base!$F117,1))+1000*tech_proj!AD1361)/((1-tech_proj!AD521)*tech_proj!AD801*$L$110))</f>
        <v>20.646012603076908</v>
      </c>
      <c r="AE741" s="71">
        <f>IF(tech_base!$T117&gt;AE$625,"",(1000*tech_proj!AE1081*(-PMT($J$110,tech_base!$F117,1))+1000*tech_proj!AE1361)/((1-tech_proj!AE521)*tech_proj!AE801*$L$110))</f>
        <v>20.642803534525651</v>
      </c>
      <c r="AF741" s="71">
        <f>IF(tech_base!$T117&gt;AF$625,"",(1000*tech_proj!AF1081*(-PMT($J$110,tech_base!$F117,1))+1000*tech_proj!AF1361)/((1-tech_proj!AF521)*tech_proj!AF801*$L$110))</f>
        <v>20.639451111906929</v>
      </c>
      <c r="AG741" s="71">
        <f>IF(tech_base!$T117&gt;AG$625,"",(1000*tech_proj!AG1081*(-PMT($J$110,tech_base!$F117,1))+1000*tech_proj!AG1361)/((1-tech_proj!AG521)*tech_proj!AG801*$L$110))</f>
        <v>20.6359499912313</v>
      </c>
      <c r="AH741" s="71">
        <f>IF(tech_base!$T117&gt;AH$625,"",(1000*tech_proj!AH1081*(-PMT($J$110,tech_base!$F117,1))+1000*tech_proj!AH1361)/((1-tech_proj!AH521)*tech_proj!AH801*$L$110))</f>
        <v>20.632294732937922</v>
      </c>
      <c r="AI741" s="71">
        <f>IF(tech_base!$T117&gt;AI$625,"",(1000*tech_proj!AI1081*(-PMT($J$110,tech_base!$F117,1))+1000*tech_proj!AI1361)/((1-tech_proj!AI521)*tech_proj!AI801*$L$110))</f>
        <v>20.628479811155156</v>
      </c>
      <c r="AJ741" s="71">
        <f>IF(tech_base!$T117&gt;AJ$625,"",(1000*tech_proj!AJ1081*(-PMT($J$110,tech_base!$F117,1))+1000*tech_proj!AJ1361)/((1-tech_proj!AJ521)*tech_proj!AJ801*$L$110))</f>
        <v>20.624499624310015</v>
      </c>
      <c r="AK741" s="71">
        <f>IF(tech_base!$T117&gt;AK$625,"",(1000*tech_proj!AK1081*(-PMT($J$110,tech_base!$F117,1))+1000*tech_proj!AK1361)/((1-tech_proj!AK521)*tech_proj!AK801*$L$110))</f>
        <v>20.620348507172569</v>
      </c>
      <c r="AL741" s="71">
        <f>IF(tech_base!$T117&gt;AL$625,"",(1000*tech_proj!AL1081*(-PMT($J$110,tech_base!$F117,1))+1000*tech_proj!AL1361)/((1-tech_proj!AL521)*tech_proj!AL801*$L$110))</f>
        <v>20.616020744419544</v>
      </c>
      <c r="AM741" s="71">
        <f>IF(tech_base!$T117&gt;AM$625,"",(1000*tech_proj!AM1081*(-PMT($J$110,tech_base!$F117,1))+1000*tech_proj!AM1361)/((1-tech_proj!AM521)*tech_proj!AM801*$L$110))</f>
        <v>20.61151058579896</v>
      </c>
      <c r="AN741" s="71">
        <f>IF(tech_base!$T117&gt;AN$625,"",(1000*tech_proj!AN1081*(-PMT($J$110,tech_base!$F117,1))+1000*tech_proj!AN1361)/((1-tech_proj!AN521)*tech_proj!AN801*$L$110))</f>
        <v>20.606812262972877</v>
      </c>
      <c r="AO741" s="71">
        <f>IF(tech_base!$T117&gt;AO$625,"",(1000*tech_proj!AO1081*(-PMT($J$110,tech_base!$F117,1))+1000*tech_proj!AO1361)/((1-tech_proj!AO521)*tech_proj!AO801*$L$110))</f>
        <v>20.601920008109904</v>
      </c>
      <c r="AP741" s="71">
        <f>IF(tech_base!$T117&gt;AP$625,"",(1000*tech_proj!AP1081*(-PMT($J$110,tech_base!$F117,1))+1000*tech_proj!AP1361)/((1-tech_proj!AP521)*tech_proj!AP801*$L$110))</f>
        <v>20.596828074291285</v>
      </c>
      <c r="AQ741" s="71">
        <f>IF(tech_base!$T117&gt;AQ$625,"",(1000*tech_proj!AQ1081*(-PMT($J$110,tech_base!$F117,1))+1000*tech_proj!AQ1361)/((1-tech_proj!AQ521)*tech_proj!AQ801*$L$110))</f>
        <v>20.591530757784842</v>
      </c>
      <c r="AR741" s="71">
        <f>IF(tech_base!$T117&gt;AR$625,"",(1000*tech_proj!AR1081*(-PMT($J$110,tech_base!$F117,1))+1000*tech_proj!AR1361)/((1-tech_proj!AR521)*tech_proj!AR801*$L$110))</f>
        <v>20.586022422229501</v>
      </c>
      <c r="AS741" s="71">
        <f>IF(tech_base!$T117&gt;AS$625,"",(1000*tech_proj!AS1081*(-PMT($J$110,tech_base!$F117,1))+1000*tech_proj!AS1361)/((1-tech_proj!AS521)*tech_proj!AS801*$L$110))</f>
        <v>20.580297524759015</v>
      </c>
      <c r="AT741" s="71">
        <f>IF(tech_base!$T117&gt;AT$625,"",(1000*tech_proj!AT1081*(-PMT($J$110,tech_base!$F117,1))+1000*tech_proj!AT1361)/((1-tech_proj!AT521)*tech_proj!AT801*$L$110))</f>
        <v>20.574350644077306</v>
      </c>
      <c r="AU741" s="71">
        <f>IF(tech_base!$T117&gt;AU$625,"",(1000*tech_proj!AU1081*(-PMT($J$110,tech_base!$F117,1))+1000*tech_proj!AU1361)/((1-tech_proj!AU521)*tech_proj!AU801*$L$110))</f>
        <v>20.568176510478892</v>
      </c>
      <c r="AV741" s="71">
        <f>IF(tech_base!$T117&gt;AV$625,"",(1000*tech_proj!AV1081*(-PMT($J$110,tech_base!$F117,1))+1000*tech_proj!AV1361)/((1-tech_proj!AV521)*tech_proj!AV801*$L$110))</f>
        <v>20.561770037786406</v>
      </c>
      <c r="AW741" s="71">
        <f>IF(tech_base!$T117&gt;AW$625,"",(1000*tech_proj!AW1081*(-PMT($J$110,tech_base!$F117,1))+1000*tech_proj!AW1361)/((1-tech_proj!AW521)*tech_proj!AW801*$L$110))</f>
        <v>20.555126357153036</v>
      </c>
      <c r="AX741" s="237">
        <f>IF(tech_base!$T117&gt;AX$625,"",(1000*tech_proj!AX1081*(-PMT($J$110,tech_base!$F117,1))+1000*tech_proj!AX1361)/((1-tech_proj!AX521)*tech_proj!AX801*$L$110))</f>
        <v>20.548240852650942</v>
      </c>
      <c r="AY741" s="133"/>
    </row>
    <row r="742" spans="1:51" s="174" customFormat="1" x14ac:dyDescent="0.25">
      <c r="A742" s="356"/>
      <c r="B742" s="380"/>
      <c r="C742" s="381"/>
      <c r="D742" s="4" t="s">
        <v>20</v>
      </c>
      <c r="E742" s="168" t="str">
        <f>A709&amp;"/"&amp;B739&amp;"/"&amp;C741&amp;"/"&amp;D742</f>
        <v>Gas fired power plants (Natural gas, biogas)/Internal combustion engine/CHP/XS</v>
      </c>
      <c r="F742" s="80" t="str">
        <f>A709</f>
        <v>Gas fired power plants (Natural gas, biogas)</v>
      </c>
      <c r="G742" s="80" t="str">
        <f>B739</f>
        <v>Internal combustion engine</v>
      </c>
      <c r="H742" s="80" t="str">
        <f>C741</f>
        <v>CHP</v>
      </c>
      <c r="I742" s="169" t="str">
        <f t="shared" si="363"/>
        <v>XS</v>
      </c>
      <c r="J742" s="73">
        <f>IF(tech_base!$T118&gt;J$625,"",(1000*tech_proj!J1082*(-PMT($J$110,tech_base!$F118,1))+1000*tech_proj!J1362)/((1-tech_proj!J522)*tech_proj!J802*$L$110))</f>
        <v>18.92560441924708</v>
      </c>
      <c r="K742" s="73">
        <f>IF(tech_base!$T118&gt;K$625,"",(1000*tech_proj!K1082*(-PMT($J$110,tech_base!$F118,1))+1000*tech_proj!K1362)/((1-tech_proj!K522)*tech_proj!K802*$L$110))</f>
        <v>18.924435353810367</v>
      </c>
      <c r="L742" s="73">
        <f>IF(tech_base!$T118&gt;L$625,"",(1000*tech_proj!L1082*(-PMT($J$110,tech_base!$F118,1))+1000*tech_proj!L1362)/((1-tech_proj!L522)*tech_proj!L802*$L$110))</f>
        <v>18.923209304471104</v>
      </c>
      <c r="M742" s="73">
        <f>IF(tech_base!$T118&gt;M$625,"",(1000*tech_proj!M1082*(-PMT($J$110,tech_base!$F118,1))+1000*tech_proj!M1362)/((1-tech_proj!M522)*tech_proj!M802*$L$110))</f>
        <v>18.921923648561393</v>
      </c>
      <c r="N742" s="73">
        <f>IF(tech_base!$T118&gt;N$625,"",(1000*tech_proj!N1082*(-PMT($J$110,tech_base!$F118,1))+1000*tech_proj!N1362)/((1-tech_proj!N522)*tech_proj!N802*$L$110))</f>
        <v>18.920575658536603</v>
      </c>
      <c r="O742" s="73">
        <f>IF(tech_base!$T118&gt;O$625,"",(1000*tech_proj!O1082*(-PMT($J$110,tech_base!$F118,1))+1000*tech_proj!O1362)/((1-tech_proj!O522)*tech_proj!O802*$L$110))</f>
        <v>18.919162499425163</v>
      </c>
      <c r="P742" s="73">
        <f>IF(tech_base!$T118&gt;P$625,"",(1000*tech_proj!P1082*(-PMT($J$110,tech_base!$F118,1))+1000*tech_proj!P1362)/((1-tech_proj!P522)*tech_proj!P802*$L$110))</f>
        <v>18.917681226401758</v>
      </c>
      <c r="Q742" s="73">
        <f>IF(tech_base!$T118&gt;Q$625,"",(1000*tech_proj!Q1082*(-PMT($J$110,tech_base!$F118,1))+1000*tech_proj!Q1362)/((1-tech_proj!Q522)*tech_proj!Q802*$L$110))</f>
        <v>18.916128782510754</v>
      </c>
      <c r="R742" s="73">
        <f>IF(tech_base!$T118&gt;R$625,"",(1000*tech_proj!R1082*(-PMT($J$110,tech_base!$F118,1))+1000*tech_proj!R1362)/((1-tech_proj!R522)*tech_proj!R802*$L$110))</f>
        <v>18.9145019965692</v>
      </c>
      <c r="S742" s="73">
        <f>IF(tech_base!$T118&gt;S$625,"",(1000*tech_proj!S1082*(-PMT($J$110,tech_base!$F118,1))+1000*tech_proj!S1362)/((1-tech_proj!S522)*tech_proj!S802*$L$110))</f>
        <v>18.912797581281474</v>
      </c>
      <c r="T742" s="73">
        <f>IF(tech_base!$T118&gt;T$625,"",(1000*tech_proj!T1082*(-PMT($J$110,tech_base!$F118,1))+1000*tech_proj!T1362)/((1-tech_proj!T522)*tech_proj!T802*$L$110))</f>
        <v>18.911012131600735</v>
      </c>
      <c r="U742" s="73">
        <f>IF(tech_base!$T118&gt;U$625,"",(1000*tech_proj!U1082*(-PMT($J$110,tech_base!$F118,1))+1000*tech_proj!U1362)/((1-tech_proj!U522)*tech_proj!U802*$L$110))</f>
        <v>18.909142123375126</v>
      </c>
      <c r="V742" s="73">
        <f>IF(tech_base!$T118&gt;V$625,"",(1000*tech_proj!V1082*(-PMT($J$110,tech_base!$F118,1))+1000*tech_proj!V1362)/((1-tech_proj!V522)*tech_proj!V802*$L$110))</f>
        <v>18.907183912320082</v>
      </c>
      <c r="W742" s="73">
        <f>IF(tech_base!$T118&gt;W$625,"",(1000*tech_proj!W1082*(-PMT($J$110,tech_base!$F118,1))+1000*tech_proj!W1362)/((1-tech_proj!W522)*tech_proj!W802*$L$110))</f>
        <v>18.905133733361353</v>
      </c>
      <c r="X742" s="73">
        <f>IF(tech_base!$T118&gt;X$625,"",(1000*tech_proj!X1082*(-PMT($J$110,tech_base!$F118,1))+1000*tech_proj!X1362)/((1-tech_proj!X522)*tech_proj!X802*$L$110))</f>
        <v>18.902987700396395</v>
      </c>
      <c r="Y742" s="73">
        <f>IF(tech_base!$T118&gt;Y$625,"",(1000*tech_proj!Y1082*(-PMT($J$110,tech_base!$F118,1))+1000*tech_proj!Y1362)/((1-tech_proj!Y522)*tech_proj!Y802*$L$110))</f>
        <v>18.90074180652584</v>
      </c>
      <c r="Z742" s="73">
        <f>IF(tech_base!$T118&gt;Z$625,"",(1000*tech_proj!Z1082*(-PMT($J$110,tech_base!$F118,1))+1000*tech_proj!Z1362)/((1-tech_proj!Z522)*tech_proj!Z802*$L$110))</f>
        <v>18.89839192480952</v>
      </c>
      <c r="AA742" s="73">
        <f>IF(tech_base!$T118&gt;AA$625,"",(1000*tech_proj!AA1082*(-PMT($J$110,tech_base!$F118,1))+1000*tech_proj!AA1362)/((1-tech_proj!AA522)*tech_proj!AA802*$L$110))</f>
        <v>18.895933809605545</v>
      </c>
      <c r="AB742" s="73">
        <f>IF(tech_base!$T118&gt;AB$625,"",(1000*tech_proj!AB1082*(-PMT($J$110,tech_base!$F118,1))+1000*tech_proj!AB1362)/((1-tech_proj!AB522)*tech_proj!AB802*$L$110))</f>
        <v>18.893363098553955</v>
      </c>
      <c r="AC742" s="73">
        <f>IF(tech_base!$T118&gt;AC$625,"",(1000*tech_proj!AC1082*(-PMT($J$110,tech_base!$F118,1))+1000*tech_proj!AC1362)/((1-tech_proj!AC522)*tech_proj!AC802*$L$110))</f>
        <v>18.890675315270094</v>
      </c>
      <c r="AD742" s="73">
        <f>IF(tech_base!$T118&gt;AD$625,"",(1000*tech_proj!AD1082*(-PMT($J$110,tech_base!$F118,1))+1000*tech_proj!AD1362)/((1-tech_proj!AD522)*tech_proj!AD802*$L$110))</f>
        <v>18.887865872815723</v>
      </c>
      <c r="AE742" s="73">
        <f>IF(tech_base!$T118&gt;AE$625,"",(1000*tech_proj!AE1082*(-PMT($J$110,tech_base!$F118,1))+1000*tech_proj!AE1362)/((1-tech_proj!AE522)*tech_proj!AE802*$L$110))</f>
        <v>18.884930078019011</v>
      </c>
      <c r="AF742" s="73">
        <f>IF(tech_base!$T118&gt;AF$625,"",(1000*tech_proj!AF1082*(-PMT($J$110,tech_base!$F118,1))+1000*tech_proj!AF1362)/((1-tech_proj!AF522)*tech_proj!AF802*$L$110))</f>
        <v>18.881863136717136</v>
      </c>
      <c r="AG742" s="73">
        <f>IF(tech_base!$T118&gt;AG$625,"",(1000*tech_proj!AG1082*(-PMT($J$110,tech_base!$F118,1))+1000*tech_proj!AG1362)/((1-tech_proj!AG522)*tech_proj!AG802*$L$110))</f>
        <v>18.878660159997271</v>
      </c>
      <c r="AH742" s="73">
        <f>IF(tech_base!$T118&gt;AH$625,"",(1000*tech_proj!AH1082*(-PMT($J$110,tech_base!$F118,1))+1000*tech_proj!AH1362)/((1-tech_proj!AH522)*tech_proj!AH802*$L$110))</f>
        <v>18.875316171513724</v>
      </c>
      <c r="AI742" s="73">
        <f>IF(tech_base!$T118&gt;AI$625,"",(1000*tech_proj!AI1082*(-PMT($J$110,tech_base!$F118,1))+1000*tech_proj!AI1362)/((1-tech_proj!AI522)*tech_proj!AI802*$L$110))</f>
        <v>18.871826115959973</v>
      </c>
      <c r="AJ742" s="73">
        <f>IF(tech_base!$T118&gt;AJ$625,"",(1000*tech_proj!AJ1082*(-PMT($J$110,tech_base!$F118,1))+1000*tech_proj!AJ1362)/((1-tech_proj!AJ522)*tech_proj!AJ802*$L$110))</f>
        <v>18.868184868774623</v>
      </c>
      <c r="AK742" s="73">
        <f>IF(tech_base!$T118&gt;AK$625,"",(1000*tech_proj!AK1082*(-PMT($J$110,tech_base!$F118,1))+1000*tech_proj!AK1362)/((1-tech_proj!AK522)*tech_proj!AK802*$L$110))</f>
        <v>18.864387247160128</v>
      </c>
      <c r="AL742" s="73">
        <f>IF(tech_base!$T118&gt;AL$625,"",(1000*tech_proj!AL1082*(-PMT($J$110,tech_base!$F118,1))+1000*tech_proj!AL1362)/((1-tech_proj!AL522)*tech_proj!AL802*$L$110))</f>
        <v>18.860428022491426</v>
      </c>
      <c r="AM742" s="73">
        <f>IF(tech_base!$T118&gt;AM$625,"",(1000*tech_proj!AM1082*(-PMT($J$110,tech_base!$F118,1))+1000*tech_proj!AM1362)/((1-tech_proj!AM522)*tech_proj!AM802*$L$110))</f>
        <v>18.85630193418913</v>
      </c>
      <c r="AN742" s="73">
        <f>IF(tech_base!$T118&gt;AN$625,"",(1000*tech_proj!AN1082*(-PMT($J$110,tech_base!$F118,1))+1000*tech_proj!AN1362)/((1-tech_proj!AN522)*tech_proj!AN802*$L$110))</f>
        <v>18.85200370512803</v>
      </c>
      <c r="AO742" s="73">
        <f>IF(tech_base!$T118&gt;AO$625,"",(1000*tech_proj!AO1082*(-PMT($J$110,tech_base!$F118,1))+1000*tech_proj!AO1362)/((1-tech_proj!AO522)*tech_proj!AO802*$L$110))</f>
        <v>18.847528058646365</v>
      </c>
      <c r="AP742" s="73">
        <f>IF(tech_base!$T118&gt;AP$625,"",(1000*tech_proj!AP1082*(-PMT($J$110,tech_base!$F118,1))+1000*tech_proj!AP1362)/((1-tech_proj!AP522)*tech_proj!AP802*$L$110))</f>
        <v>18.842869737214109</v>
      </c>
      <c r="AQ742" s="73">
        <f>IF(tech_base!$T118&gt;AQ$625,"",(1000*tech_proj!AQ1082*(-PMT($J$110,tech_base!$F118,1))+1000*tech_proj!AQ1362)/((1-tech_proj!AQ522)*tech_proj!AQ802*$L$110))</f>
        <v>18.838023522810239</v>
      </c>
      <c r="AR742" s="73">
        <f>IF(tech_base!$T118&gt;AR$625,"",(1000*tech_proj!AR1082*(-PMT($J$110,tech_base!$F118,1))+1000*tech_proj!AR1362)/((1-tech_proj!AR522)*tech_proj!AR802*$L$110))</f>
        <v>18.832984259047699</v>
      </c>
      <c r="AS742" s="73">
        <f>IF(tech_base!$T118&gt;AS$625,"",(1000*tech_proj!AS1082*(-PMT($J$110,tech_base!$F118,1))+1000*tech_proj!AS1362)/((1-tech_proj!AS522)*tech_proj!AS802*$L$110))</f>
        <v>18.827746875072545</v>
      </c>
      <c r="AT742" s="73">
        <f>IF(tech_base!$T118&gt;AT$625,"",(1000*tech_proj!AT1082*(-PMT($J$110,tech_base!$F118,1))+1000*tech_proj!AT1362)/((1-tech_proj!AT522)*tech_proj!AT802*$L$110))</f>
        <v>18.822306411248505</v>
      </c>
      <c r="AU742" s="73">
        <f>IF(tech_base!$T118&gt;AU$625,"",(1000*tech_proj!AU1082*(-PMT($J$110,tech_base!$F118,1))+1000*tech_proj!AU1362)/((1-tech_proj!AU522)*tech_proj!AU802*$L$110))</f>
        <v>18.816658046620926</v>
      </c>
      <c r="AV742" s="73">
        <f>IF(tech_base!$T118&gt;AV$625,"",(1000*tech_proj!AV1082*(-PMT($J$110,tech_base!$F118,1))+1000*tech_proj!AV1362)/((1-tech_proj!AV522)*tech_proj!AV802*$L$110))</f>
        <v>18.810797128134638</v>
      </c>
      <c r="AW742" s="73">
        <f>IF(tech_base!$T118&gt;AW$625,"",(1000*tech_proj!AW1082*(-PMT($J$110,tech_base!$F118,1))+1000*tech_proj!AW1362)/((1-tech_proj!AW522)*tech_proj!AW802*$L$110))</f>
        <v>18.804719201557852</v>
      </c>
      <c r="AX742" s="239">
        <f>IF(tech_base!$T118&gt;AX$625,"",(1000*tech_proj!AX1082*(-PMT($J$110,tech_base!$F118,1))+1000*tech_proj!AX1362)/((1-tech_proj!AX522)*tech_proj!AX802*$L$110))</f>
        <v>18.798420044040004</v>
      </c>
      <c r="AY742" s="133"/>
    </row>
    <row r="743" spans="1:51" s="174" customFormat="1" x14ac:dyDescent="0.25">
      <c r="A743" s="355" t="s">
        <v>26</v>
      </c>
      <c r="B743" s="358" t="s">
        <v>19</v>
      </c>
      <c r="C743" s="353" t="s">
        <v>6</v>
      </c>
      <c r="D743" s="3" t="s">
        <v>7</v>
      </c>
      <c r="E743" s="162" t="str">
        <f>A743&amp;"/"&amp;B743&amp;"/"&amp;C743&amp;"/"&amp;D743</f>
        <v>Derived gas fired power plants/Steam turbine/Electricity only/L</v>
      </c>
      <c r="F743" s="77" t="str">
        <f>A743</f>
        <v>Derived gas fired power plants</v>
      </c>
      <c r="G743" s="77" t="str">
        <f>B743</f>
        <v>Steam turbine</v>
      </c>
      <c r="H743" s="77" t="str">
        <f>C743</f>
        <v>Electricity only</v>
      </c>
      <c r="I743" s="163" t="str">
        <f t="shared" si="363"/>
        <v>L</v>
      </c>
      <c r="J743" s="70">
        <f>IF(tech_base!$T119&gt;J$625,"",(1000*tech_proj!J1083*(-PMT($J$110,tech_base!$F119,1))+1000*tech_proj!J1363)/((1-tech_proj!J523)*tech_proj!J803*$L$110))</f>
        <v>25.721727784567239</v>
      </c>
      <c r="K743" s="70">
        <f>IF(tech_base!$T119&gt;K$625,"",(1000*tech_proj!K1083*(-PMT($J$110,tech_base!$F119,1))+1000*tech_proj!K1363)/((1-tech_proj!K523)*tech_proj!K803*$L$110))</f>
        <v>25.730871191077554</v>
      </c>
      <c r="L743" s="70">
        <f>IF(tech_base!$T119&gt;L$625,"",(1000*tech_proj!L1083*(-PMT($J$110,tech_base!$F119,1))+1000*tech_proj!L1363)/((1-tech_proj!L523)*tech_proj!L803*$L$110))</f>
        <v>25.739820427612642</v>
      </c>
      <c r="M743" s="70">
        <f>IF(tech_base!$T119&gt;M$625,"",(1000*tech_proj!M1083*(-PMT($J$110,tech_base!$F119,1))+1000*tech_proj!M1363)/((1-tech_proj!M523)*tech_proj!M803*$L$110))</f>
        <v>25.748577706745145</v>
      </c>
      <c r="N743" s="70">
        <f>IF(tech_base!$T119&gt;N$625,"",(1000*tech_proj!N1083*(-PMT($J$110,tech_base!$F119,1))+1000*tech_proj!N1363)/((1-tech_proj!N523)*tech_proj!N803*$L$110))</f>
        <v>25.757145316922646</v>
      </c>
      <c r="O743" s="70">
        <f>IF(tech_base!$T119&gt;O$625,"",(1000*tech_proj!O1083*(-PMT($J$110,tech_base!$F119,1))+1000*tech_proj!O1363)/((1-tech_proj!O523)*tech_proj!O803*$L$110))</f>
        <v>25.765525616214845</v>
      </c>
      <c r="P743" s="70">
        <f>IF(tech_base!$T119&gt;P$625,"",(1000*tech_proj!P1083*(-PMT($J$110,tech_base!$F119,1))+1000*tech_proj!P1363)/((1-tech_proj!P523)*tech_proj!P803*$L$110))</f>
        <v>25.773721026233691</v>
      </c>
      <c r="Q743" s="70">
        <f>IF(tech_base!$T119&gt;Q$625,"",(1000*tech_proj!Q1083*(-PMT($J$110,tech_base!$F119,1))+1000*tech_proj!Q1363)/((1-tech_proj!Q523)*tech_proj!Q803*$L$110))</f>
        <v>25.781734026233178</v>
      </c>
      <c r="R743" s="70">
        <f>IF(tech_base!$T119&gt;R$625,"",(1000*tech_proj!R1083*(-PMT($J$110,tech_base!$F119,1))+1000*tech_proj!R1363)/((1-tech_proj!R523)*tech_proj!R803*$L$110))</f>
        <v>25.789567147394521</v>
      </c>
      <c r="S743" s="70">
        <f>IF(tech_base!$T119&gt;S$625,"",(1000*tech_proj!S1083*(-PMT($J$110,tech_base!$F119,1))+1000*tech_proj!S1363)/((1-tech_proj!S523)*tech_proj!S803*$L$110))</f>
        <v>25.797222967301366</v>
      </c>
      <c r="T743" s="70">
        <f>IF(tech_base!$T119&gt;T$625,"",(1000*tech_proj!T1083*(-PMT($J$110,tech_base!$F119,1))+1000*tech_proj!T1363)/((1-tech_proj!T523)*tech_proj!T803*$L$110))</f>
        <v>25.804704104608664</v>
      </c>
      <c r="U743" s="70">
        <f>IF(tech_base!$T119&gt;U$625,"",(1000*tech_proj!U1083*(-PMT($J$110,tech_base!$F119,1))+1000*tech_proj!U1363)/((1-tech_proj!U523)*tech_proj!U803*$L$110))</f>
        <v>25.812013213907825</v>
      </c>
      <c r="V743" s="70">
        <f>IF(tech_base!$T119&gt;V$625,"",(1000*tech_proj!V1083*(-PMT($J$110,tech_base!$F119,1))+1000*tech_proj!V1363)/((1-tech_proj!V523)*tech_proj!V803*$L$110))</f>
        <v>25.819152980790179</v>
      </c>
      <c r="W743" s="70">
        <f>IF(tech_base!$T119&gt;W$625,"",(1000*tech_proj!W1083*(-PMT($J$110,tech_base!$F119,1))+1000*tech_proj!W1363)/((1-tech_proj!W523)*tech_proj!W803*$L$110))</f>
        <v>25.826126117109581</v>
      </c>
      <c r="X743" s="70">
        <f>IF(tech_base!$T119&gt;X$625,"",(1000*tech_proj!X1083*(-PMT($J$110,tech_base!$F119,1))+1000*tech_proj!X1363)/((1-tech_proj!X523)*tech_proj!X803*$L$110))</f>
        <v>25.832935356444487</v>
      </c>
      <c r="Y743" s="70">
        <f>IF(tech_base!$T119&gt;Y$625,"",(1000*tech_proj!Y1083*(-PMT($J$110,tech_base!$F119,1))+1000*tech_proj!Y1363)/((1-tech_proj!Y523)*tech_proj!Y803*$L$110))</f>
        <v>25.839583449759175</v>
      </c>
      <c r="Z743" s="70">
        <f>IF(tech_base!$T119&gt;Z$625,"",(1000*tech_proj!Z1083*(-PMT($J$110,tech_base!$F119,1))+1000*tech_proj!Z1363)/((1-tech_proj!Z523)*tech_proj!Z803*$L$110))</f>
        <v>25.846073161262794</v>
      </c>
      <c r="AA743" s="70">
        <f>IF(tech_base!$T119&gt;AA$625,"",(1000*tech_proj!AA1083*(-PMT($J$110,tech_base!$F119,1))+1000*tech_proj!AA1363)/((1-tech_proj!AA523)*tech_proj!AA803*$L$110))</f>
        <v>25.852407264464858</v>
      </c>
      <c r="AB743" s="70">
        <f>IF(tech_base!$T119&gt;AB$625,"",(1000*tech_proj!AB1083*(-PMT($J$110,tech_base!$F119,1))+1000*tech_proj!AB1363)/((1-tech_proj!AB523)*tech_proj!AB803*$L$110))</f>
        <v>25.858588538424666</v>
      </c>
      <c r="AC743" s="70">
        <f>IF(tech_base!$T119&gt;AC$625,"",(1000*tech_proj!AC1083*(-PMT($J$110,tech_base!$F119,1))+1000*tech_proj!AC1363)/((1-tech_proj!AC523)*tech_proj!AC803*$L$110))</f>
        <v>25.864619764192259</v>
      </c>
      <c r="AD743" s="70">
        <f>IF(tech_base!$T119&gt;AD$625,"",(1000*tech_proj!AD1083*(-PMT($J$110,tech_base!$F119,1))+1000*tech_proj!AD1363)/((1-tech_proj!AD523)*tech_proj!AD803*$L$110))</f>
        <v>25.870503721437572</v>
      </c>
      <c r="AE743" s="70">
        <f>IF(tech_base!$T119&gt;AE$625,"",(1000*tech_proj!AE1083*(-PMT($J$110,tech_base!$F119,1))+1000*tech_proj!AE1363)/((1-tech_proj!AE523)*tech_proj!AE803*$L$110))</f>
        <v>25.876243185264318</v>
      </c>
      <c r="AF743" s="70">
        <f>IF(tech_base!$T119&gt;AF$625,"",(1000*tech_proj!AF1083*(-PMT($J$110,tech_base!$F119,1))+1000*tech_proj!AF1363)/((1-tech_proj!AF523)*tech_proj!AF803*$L$110))</f>
        <v>25.881840923204816</v>
      </c>
      <c r="AG743" s="70">
        <f>IF(tech_base!$T119&gt;AG$625,"",(1000*tech_proj!AG1083*(-PMT($J$110,tech_base!$F119,1))+1000*tech_proj!AG1363)/((1-tech_proj!AG523)*tech_proj!AG803*$L$110))</f>
        <v>25.887299692391476</v>
      </c>
      <c r="AH743" s="70">
        <f>IF(tech_base!$T119&gt;AH$625,"",(1000*tech_proj!AH1083*(-PMT($J$110,tech_base!$F119,1))+1000*tech_proj!AH1363)/((1-tech_proj!AH523)*tech_proj!AH803*$L$110))</f>
        <v>25.892622236900642</v>
      </c>
      <c r="AI743" s="70">
        <f>IF(tech_base!$T119&gt;AI$625,"",(1000*tech_proj!AI1083*(-PMT($J$110,tech_base!$F119,1))+1000*tech_proj!AI1363)/((1-tech_proj!AI523)*tech_proj!AI803*$L$110))</f>
        <v>25.897811285264044</v>
      </c>
      <c r="AJ743" s="70">
        <f>IF(tech_base!$T119&gt;AJ$625,"",(1000*tech_proj!AJ1083*(-PMT($J$110,tech_base!$F119,1))+1000*tech_proj!AJ1363)/((1-tech_proj!AJ523)*tech_proj!AJ803*$L$110))</f>
        <v>25.902869548143091</v>
      </c>
      <c r="AK743" s="70">
        <f>IF(tech_base!$T119&gt;AK$625,"",(1000*tech_proj!AK1083*(-PMT($J$110,tech_base!$F119,1))+1000*tech_proj!AK1363)/((1-tech_proj!AK523)*tech_proj!AK803*$L$110))</f>
        <v>25.907799716161051</v>
      </c>
      <c r="AL743" s="70">
        <f>IF(tech_base!$T119&gt;AL$625,"",(1000*tech_proj!AL1083*(-PMT($J$110,tech_base!$F119,1))+1000*tech_proj!AL1363)/((1-tech_proj!AL523)*tech_proj!AL803*$L$110))</f>
        <v>25.91260445788792</v>
      </c>
      <c r="AM743" s="70">
        <f>IF(tech_base!$T119&gt;AM$625,"",(1000*tech_proj!AM1083*(-PMT($J$110,tech_base!$F119,1))+1000*tech_proj!AM1363)/((1-tech_proj!AM523)*tech_proj!AM803*$L$110))</f>
        <v>25.917286417972864</v>
      </c>
      <c r="AN743" s="70">
        <f>IF(tech_base!$T119&gt;AN$625,"",(1000*tech_proj!AN1083*(-PMT($J$110,tech_base!$F119,1))+1000*tech_proj!AN1363)/((1-tech_proj!AN523)*tech_proj!AN803*$L$110))</f>
        <v>25.921848215419018</v>
      </c>
      <c r="AO743" s="70">
        <f>IF(tech_base!$T119&gt;AO$625,"",(1000*tech_proj!AO1083*(-PMT($J$110,tech_base!$F119,1))+1000*tech_proj!AO1363)/((1-tech_proj!AO523)*tech_proj!AO803*$L$110))</f>
        <v>25.926292441995212</v>
      </c>
      <c r="AP743" s="70">
        <f>IF(tech_base!$T119&gt;AP$625,"",(1000*tech_proj!AP1083*(-PMT($J$110,tech_base!$F119,1))+1000*tech_proj!AP1363)/((1-tech_proj!AP523)*tech_proj!AP803*$L$110))</f>
        <v>25.930621660779501</v>
      </c>
      <c r="AQ743" s="70">
        <f>IF(tech_base!$T119&gt;AQ$625,"",(1000*tech_proj!AQ1083*(-PMT($J$110,tech_base!$F119,1))+1000*tech_proj!AQ1363)/((1-tech_proj!AQ523)*tech_proj!AQ803*$L$110))</f>
        <v>25.934838404828984</v>
      </c>
      <c r="AR743" s="70">
        <f>IF(tech_base!$T119&gt;AR$625,"",(1000*tech_proj!AR1083*(-PMT($J$110,tech_base!$F119,1))+1000*tech_proj!AR1363)/((1-tech_proj!AR523)*tech_proj!AR803*$L$110))</f>
        <v>25.938945175970861</v>
      </c>
      <c r="AS743" s="70">
        <f>IF(tech_base!$T119&gt;AS$625,"",(1000*tech_proj!AS1083*(-PMT($J$110,tech_base!$F119,1))+1000*tech_proj!AS1363)/((1-tech_proj!AS523)*tech_proj!AS803*$L$110))</f>
        <v>25.942944443709347</v>
      </c>
      <c r="AT743" s="70">
        <f>IF(tech_base!$T119&gt;AT$625,"",(1000*tech_proj!AT1083*(-PMT($J$110,tech_base!$F119,1))+1000*tech_proj!AT1363)/((1-tech_proj!AT523)*tech_proj!AT803*$L$110))</f>
        <v>25.946838644243257</v>
      </c>
      <c r="AU743" s="70">
        <f>IF(tech_base!$T119&gt;AU$625,"",(1000*tech_proj!AU1083*(-PMT($J$110,tech_base!$F119,1))+1000*tech_proj!AU1363)/((1-tech_proj!AU523)*tech_proj!AU803*$L$110))</f>
        <v>25.950630179589275</v>
      </c>
      <c r="AV743" s="70">
        <f>IF(tech_base!$T119&gt;AV$625,"",(1000*tech_proj!AV1083*(-PMT($J$110,tech_base!$F119,1))+1000*tech_proj!AV1363)/((1-tech_proj!AV523)*tech_proj!AV803*$L$110))</f>
        <v>25.954321416805783</v>
      </c>
      <c r="AW743" s="70">
        <f>IF(tech_base!$T119&gt;AW$625,"",(1000*tech_proj!AW1083*(-PMT($J$110,tech_base!$F119,1))+1000*tech_proj!AW1363)/((1-tech_proj!AW523)*tech_proj!AW803*$L$110))</f>
        <v>25.957914687312321</v>
      </c>
      <c r="AX743" s="236">
        <f>IF(tech_base!$T119&gt;AX$625,"",(1000*tech_proj!AX1083*(-PMT($J$110,tech_base!$F119,1))+1000*tech_proj!AX1363)/((1-tech_proj!AX523)*tech_proj!AX803*$L$110))</f>
        <v>25.961412286299936</v>
      </c>
      <c r="AY743" s="133"/>
    </row>
    <row r="744" spans="1:51" s="174" customFormat="1" x14ac:dyDescent="0.25">
      <c r="A744" s="356"/>
      <c r="B744" s="359"/>
      <c r="C744" s="378"/>
      <c r="D744" s="2" t="s">
        <v>8</v>
      </c>
      <c r="E744" s="160" t="str">
        <f>A743&amp;"/"&amp;B743&amp;"/"&amp;C743&amp;"/"&amp;D744</f>
        <v>Derived gas fired power plants/Steam turbine/Electricity only/M</v>
      </c>
      <c r="F744" s="76" t="str">
        <f>A743</f>
        <v>Derived gas fired power plants</v>
      </c>
      <c r="G744" s="76" t="str">
        <f>B743</f>
        <v>Steam turbine</v>
      </c>
      <c r="H744" s="76" t="str">
        <f>C743</f>
        <v>Electricity only</v>
      </c>
      <c r="I744" s="161" t="str">
        <f t="shared" si="363"/>
        <v>M</v>
      </c>
      <c r="J744" s="69">
        <f>IF(tech_base!$T120&gt;J$625,"",(1000*tech_proj!J1084*(-PMT($J$110,tech_base!$F120,1))+1000*tech_proj!J1364)/((1-tech_proj!J524)*tech_proj!J804*$L$110))</f>
        <v>27.86367754604548</v>
      </c>
      <c r="K744" s="69">
        <f>IF(tech_base!$T120&gt;K$625,"",(1000*tech_proj!K1084*(-PMT($J$110,tech_base!$F120,1))+1000*tech_proj!K1364)/((1-tech_proj!K524)*tech_proj!K804*$L$110))</f>
        <v>27.871106156580794</v>
      </c>
      <c r="L744" s="69">
        <f>IF(tech_base!$T120&gt;L$625,"",(1000*tech_proj!L1084*(-PMT($J$110,tech_base!$F120,1))+1000*tech_proj!L1364)/((1-tech_proj!L524)*tech_proj!L804*$L$110))</f>
        <v>27.878377012659712</v>
      </c>
      <c r="M744" s="69">
        <f>IF(tech_base!$T120&gt;M$625,"",(1000*tech_proj!M1084*(-PMT($J$110,tech_base!$F120,1))+1000*tech_proj!M1364)/((1-tech_proj!M524)*tech_proj!M804*$L$110))</f>
        <v>27.885491911898967</v>
      </c>
      <c r="N744" s="69">
        <f>IF(tech_base!$T120&gt;N$625,"",(1000*tech_proj!N1084*(-PMT($J$110,tech_base!$F120,1))+1000*tech_proj!N1364)/((1-tech_proj!N524)*tech_proj!N804*$L$110))</f>
        <v>27.892452713560267</v>
      </c>
      <c r="O744" s="69">
        <f>IF(tech_base!$T120&gt;O$625,"",(1000*tech_proj!O1084*(-PMT($J$110,tech_base!$F120,1))+1000*tech_proj!O1364)/((1-tech_proj!O524)*tech_proj!O804*$L$110))</f>
        <v>27.899261333470246</v>
      </c>
      <c r="P744" s="69">
        <f>IF(tech_base!$T120&gt;P$625,"",(1000*tech_proj!P1084*(-PMT($J$110,tech_base!$F120,1))+1000*tech_proj!P1364)/((1-tech_proj!P524)*tech_proj!P804*$L$110))</f>
        <v>27.90591973908073</v>
      </c>
      <c r="Q744" s="69">
        <f>IF(tech_base!$T120&gt;Q$625,"",(1000*tech_proj!Q1084*(-PMT($J$110,tech_base!$F120,1))+1000*tech_proj!Q1364)/((1-tech_proj!Q524)*tech_proj!Q804*$L$110))</f>
        <v>27.912429944675164</v>
      </c>
      <c r="R744" s="69">
        <f>IF(tech_base!$T120&gt;R$625,"",(1000*tech_proj!R1084*(-PMT($J$110,tech_base!$F120,1))+1000*tech_proj!R1364)/((1-tech_proj!R524)*tech_proj!R804*$L$110))</f>
        <v>27.918794006725545</v>
      </c>
      <c r="S744" s="69">
        <f>IF(tech_base!$T120&gt;S$625,"",(1000*tech_proj!S1084*(-PMT($J$110,tech_base!$F120,1))+1000*tech_proj!S1364)/((1-tech_proj!S524)*tech_proj!S804*$L$110))</f>
        <v>27.925014019403783</v>
      </c>
      <c r="T744" s="69">
        <f>IF(tech_base!$T120&gt;T$625,"",(1000*tech_proj!T1084*(-PMT($J$110,tech_base!$F120,1))+1000*tech_proj!T1364)/((1-tech_proj!T524)*tech_proj!T804*$L$110))</f>
        <v>27.931092110250383</v>
      </c>
      <c r="U744" s="69">
        <f>IF(tech_base!$T120&gt;U$625,"",(1000*tech_proj!U1084*(-PMT($J$110,tech_base!$F120,1))+1000*tech_proj!U1364)/((1-tech_proj!U524)*tech_proj!U804*$L$110))</f>
        <v>27.93703043600264</v>
      </c>
      <c r="V744" s="69">
        <f>IF(tech_base!$T120&gt;V$625,"",(1000*tech_proj!V1084*(-PMT($J$110,tech_base!$F120,1))+1000*tech_proj!V1364)/((1-tech_proj!V524)*tech_proj!V804*$L$110))</f>
        <v>27.942831178583877</v>
      </c>
      <c r="W744" s="69">
        <f>IF(tech_base!$T120&gt;W$625,"",(1000*tech_proj!W1084*(-PMT($J$110,tech_base!$F120,1))+1000*tech_proj!W1364)/((1-tech_proj!W524)*tech_proj!W804*$L$110))</f>
        <v>27.948496541254563</v>
      </c>
      <c r="X744" s="69">
        <f>IF(tech_base!$T120&gt;X$625,"",(1000*tech_proj!X1084*(-PMT($J$110,tech_base!$F120,1))+1000*tech_proj!X1364)/((1-tech_proj!X524)*tech_proj!X804*$L$110))</f>
        <v>27.954028744925449</v>
      </c>
      <c r="Y744" s="69">
        <f>IF(tech_base!$T120&gt;Y$625,"",(1000*tech_proj!Y1084*(-PMT($J$110,tech_base!$F120,1))+1000*tech_proj!Y1364)/((1-tech_proj!Y524)*tech_proj!Y804*$L$110))</f>
        <v>27.959430024632468</v>
      </c>
      <c r="Z744" s="69">
        <f>IF(tech_base!$T120&gt;Z$625,"",(1000*tech_proj!Z1084*(-PMT($J$110,tech_base!$F120,1))+1000*tech_proj!Z1364)/((1-tech_proj!Z524)*tech_proj!Z804*$L$110))</f>
        <v>27.964702626172453</v>
      </c>
      <c r="AA744" s="69">
        <f>IF(tech_base!$T120&gt;AA$625,"",(1000*tech_proj!AA1084*(-PMT($J$110,tech_base!$F120,1))+1000*tech_proj!AA1364)/((1-tech_proj!AA524)*tech_proj!AA804*$L$110))</f>
        <v>27.969848802898326</v>
      </c>
      <c r="AB744" s="69">
        <f>IF(tech_base!$T120&gt;AB$625,"",(1000*tech_proj!AB1084*(-PMT($J$110,tech_base!$F120,1))+1000*tech_proj!AB1364)/((1-tech_proj!AB524)*tech_proj!AB804*$L$110))</f>
        <v>27.974870812671998</v>
      </c>
      <c r="AC744" s="69">
        <f>IF(tech_base!$T120&gt;AC$625,"",(1000*tech_proj!AC1084*(-PMT($J$110,tech_base!$F120,1))+1000*tech_proj!AC1364)/((1-tech_proj!AC524)*tech_proj!AC804*$L$110))</f>
        <v>27.979770914972761</v>
      </c>
      <c r="AD744" s="69">
        <f>IF(tech_base!$T120&gt;AD$625,"",(1000*tech_proj!AD1084*(-PMT($J$110,tech_base!$F120,1))+1000*tech_proj!AD1364)/((1-tech_proj!AD524)*tech_proj!AD804*$L$110))</f>
        <v>27.984551368158613</v>
      </c>
      <c r="AE744" s="69">
        <f>IF(tech_base!$T120&gt;AE$625,"",(1000*tech_proj!AE1084*(-PMT($J$110,tech_base!$F120,1))+1000*tech_proj!AE1364)/((1-tech_proj!AE524)*tech_proj!AE804*$L$110))</f>
        <v>27.989214426877744</v>
      </c>
      <c r="AF744" s="69">
        <f>IF(tech_base!$T120&gt;AF$625,"",(1000*tech_proj!AF1084*(-PMT($J$110,tech_base!$F120,1))+1000*tech_proj!AF1364)/((1-tech_proj!AF524)*tech_proj!AF804*$L$110))</f>
        <v>27.993762339626869</v>
      </c>
      <c r="AG744" s="69">
        <f>IF(tech_base!$T120&gt;AG$625,"",(1000*tech_proj!AG1084*(-PMT($J$110,tech_base!$F120,1))+1000*tech_proj!AG1364)/((1-tech_proj!AG524)*tech_proj!AG804*$L$110))</f>
        <v>27.998197346453274</v>
      </c>
      <c r="AH744" s="69">
        <f>IF(tech_base!$T120&gt;AH$625,"",(1000*tech_proj!AH1084*(-PMT($J$110,tech_base!$F120,1))+1000*tech_proj!AH1364)/((1-tech_proj!AH524)*tech_proj!AH804*$L$110))</f>
        <v>28.002521676796768</v>
      </c>
      <c r="AI744" s="69">
        <f>IF(tech_base!$T120&gt;AI$625,"",(1000*tech_proj!AI1084*(-PMT($J$110,tech_base!$F120,1))+1000*tech_proj!AI1364)/((1-tech_proj!AI524)*tech_proj!AI804*$L$110))</f>
        <v>28.006737547467853</v>
      </c>
      <c r="AJ744" s="69">
        <f>IF(tech_base!$T120&gt;AJ$625,"",(1000*tech_proj!AJ1084*(-PMT($J$110,tech_base!$F120,1))+1000*tech_proj!AJ1364)/((1-tech_proj!AJ524)*tech_proj!AJ804*$L$110))</f>
        <v>28.010847160758178</v>
      </c>
      <c r="AK744" s="69">
        <f>IF(tech_base!$T120&gt;AK$625,"",(1000*tech_proj!AK1084*(-PMT($J$110,tech_base!$F120,1))+1000*tech_proj!AK1364)/((1-tech_proj!AK524)*tech_proj!AK804*$L$110))</f>
        <v>28.01485270267932</v>
      </c>
      <c r="AL744" s="69">
        <f>IF(tech_base!$T120&gt;AL$625,"",(1000*tech_proj!AL1084*(-PMT($J$110,tech_base!$F120,1))+1000*tech_proj!AL1364)/((1-tech_proj!AL524)*tech_proj!AL804*$L$110))</f>
        <v>28.018756341325528</v>
      </c>
      <c r="AM744" s="69">
        <f>IF(tech_base!$T120&gt;AM$625,"",(1000*tech_proj!AM1084*(-PMT($J$110,tech_base!$F120,1))+1000*tech_proj!AM1364)/((1-tech_proj!AM524)*tech_proj!AM804*$L$110))</f>
        <v>28.022560225356465</v>
      </c>
      <c r="AN744" s="69">
        <f>IF(tech_base!$T120&gt;AN$625,"",(1000*tech_proj!AN1084*(-PMT($J$110,tech_base!$F120,1))+1000*tech_proj!AN1364)/((1-tech_proj!AN524)*tech_proj!AN804*$L$110))</f>
        <v>28.026266482595517</v>
      </c>
      <c r="AO744" s="69">
        <f>IF(tech_base!$T120&gt;AO$625,"",(1000*tech_proj!AO1084*(-PMT($J$110,tech_base!$F120,1))+1000*tech_proj!AO1364)/((1-tech_proj!AO524)*tech_proj!AO804*$L$110))</f>
        <v>28.029877218739433</v>
      </c>
      <c r="AP744" s="69">
        <f>IF(tech_base!$T120&gt;AP$625,"",(1000*tech_proj!AP1084*(-PMT($J$110,tech_base!$F120,1))+1000*tech_proj!AP1364)/((1-tech_proj!AP524)*tech_proj!AP804*$L$110))</f>
        <v>28.033394516174937</v>
      </c>
      <c r="AQ744" s="69">
        <f>IF(tech_base!$T120&gt;AQ$625,"",(1000*tech_proj!AQ1084*(-PMT($J$110,tech_base!$F120,1))+1000*tech_proj!AQ1364)/((1-tech_proj!AQ524)*tech_proj!AQ804*$L$110))</f>
        <v>28.036820432898146</v>
      </c>
      <c r="AR744" s="69">
        <f>IF(tech_base!$T120&gt;AR$625,"",(1000*tech_proj!AR1084*(-PMT($J$110,tech_base!$F120,1))+1000*tech_proj!AR1364)/((1-tech_proj!AR524)*tech_proj!AR804*$L$110))</f>
        <v>28.04015700153219</v>
      </c>
      <c r="AS744" s="69">
        <f>IF(tech_base!$T120&gt;AS$625,"",(1000*tech_proj!AS1084*(-PMT($J$110,tech_base!$F120,1))+1000*tech_proj!AS1364)/((1-tech_proj!AS524)*tech_proj!AS804*$L$110))</f>
        <v>28.043406228439267</v>
      </c>
      <c r="AT744" s="69">
        <f>IF(tech_base!$T120&gt;AT$625,"",(1000*tech_proj!AT1084*(-PMT($J$110,tech_base!$F120,1))+1000*tech_proj!AT1364)/((1-tech_proj!AT524)*tech_proj!AT804*$L$110))</f>
        <v>28.046570092922394</v>
      </c>
      <c r="AU744" s="69">
        <f>IF(tech_base!$T120&gt;AU$625,"",(1000*tech_proj!AU1084*(-PMT($J$110,tech_base!$F120,1))+1000*tech_proj!AU1364)/((1-tech_proj!AU524)*tech_proj!AU804*$L$110))</f>
        <v>28.049650546513156</v>
      </c>
      <c r="AV744" s="69">
        <f>IF(tech_base!$T120&gt;AV$625,"",(1000*tech_proj!AV1084*(-PMT($J$110,tech_base!$F120,1))+1000*tech_proj!AV1364)/((1-tech_proj!AV524)*tech_proj!AV804*$L$110))</f>
        <v>28.052649512341038</v>
      </c>
      <c r="AW744" s="69">
        <f>IF(tech_base!$T120&gt;AW$625,"",(1000*tech_proj!AW1084*(-PMT($J$110,tech_base!$F120,1))+1000*tech_proj!AW1364)/((1-tech_proj!AW524)*tech_proj!AW804*$L$110))</f>
        <v>28.055568884580584</v>
      </c>
      <c r="AX744" s="235">
        <f>IF(tech_base!$T120&gt;AX$625,"",(1000*tech_proj!AX1084*(-PMT($J$110,tech_base!$F120,1))+1000*tech_proj!AX1364)/((1-tech_proj!AX524)*tech_proj!AX804*$L$110))</f>
        <v>28.058410527972292</v>
      </c>
      <c r="AY744" s="133"/>
    </row>
    <row r="745" spans="1:51" s="174" customFormat="1" x14ac:dyDescent="0.25">
      <c r="A745" s="356"/>
      <c r="B745" s="359"/>
      <c r="C745" s="378"/>
      <c r="D745" s="2" t="s">
        <v>10</v>
      </c>
      <c r="E745" s="160" t="str">
        <f>A743&amp;"/"&amp;B743&amp;"/"&amp;C743&amp;"/"&amp;D745</f>
        <v>Derived gas fired power plants/Steam turbine/Electricity only/S</v>
      </c>
      <c r="F745" s="76" t="str">
        <f>A743</f>
        <v>Derived gas fired power plants</v>
      </c>
      <c r="G745" s="76" t="str">
        <f>B743</f>
        <v>Steam turbine</v>
      </c>
      <c r="H745" s="76" t="str">
        <f>C743</f>
        <v>Electricity only</v>
      </c>
      <c r="I745" s="161" t="str">
        <f t="shared" si="363"/>
        <v>S</v>
      </c>
      <c r="J745" s="69">
        <f>IF(tech_base!$T121&gt;J$625,"",(1000*tech_proj!J1085*(-PMT($J$110,tech_base!$F121,1))+1000*tech_proj!J1365)/((1-tech_proj!J525)*tech_proj!J805*$L$110))</f>
        <v>30.887679255227322</v>
      </c>
      <c r="K745" s="69">
        <f>IF(tech_base!$T121&gt;K$625,"",(1000*tech_proj!K1085*(-PMT($J$110,tech_base!$F121,1))+1000*tech_proj!K1365)/((1-tech_proj!K525)*tech_proj!K805*$L$110))</f>
        <v>30.894541610323472</v>
      </c>
      <c r="L745" s="69">
        <f>IF(tech_base!$T121&gt;L$625,"",(1000*tech_proj!L1085*(-PMT($J$110,tech_base!$F121,1))+1000*tech_proj!L1365)/((1-tech_proj!L525)*tech_proj!L805*$L$110))</f>
        <v>30.901258236000562</v>
      </c>
      <c r="M745" s="69">
        <f>IF(tech_base!$T121&gt;M$625,"",(1000*tech_proj!M1085*(-PMT($J$110,tech_base!$F121,1))+1000*tech_proj!M1365)/((1-tech_proj!M525)*tech_proj!M805*$L$110))</f>
        <v>30.907830792849644</v>
      </c>
      <c r="N745" s="69">
        <f>IF(tech_base!$T121&gt;N$625,"",(1000*tech_proj!N1085*(-PMT($J$110,tech_base!$F121,1))+1000*tech_proj!N1365)/((1-tech_proj!N525)*tech_proj!N805*$L$110))</f>
        <v>30.914260998407833</v>
      </c>
      <c r="O745" s="69">
        <f>IF(tech_base!$T121&gt;O$625,"",(1000*tech_proj!O1085*(-PMT($J$110,tech_base!$F121,1))+1000*tech_proj!O1365)/((1-tech_proj!O525)*tech_proj!O805*$L$110))</f>
        <v>30.920550622465367</v>
      </c>
      <c r="P745" s="69">
        <f>IF(tech_base!$T121&gt;P$625,"",(1000*tech_proj!P1085*(-PMT($J$110,tech_base!$F121,1))+1000*tech_proj!P1365)/((1-tech_proj!P525)*tech_proj!P805*$L$110))</f>
        <v>30.926701482502537</v>
      </c>
      <c r="Q745" s="69">
        <f>IF(tech_base!$T121&gt;Q$625,"",(1000*tech_proj!Q1085*(-PMT($J$110,tech_base!$F121,1))+1000*tech_proj!Q1365)/((1-tech_proj!Q525)*tech_proj!Q805*$L$110))</f>
        <v>30.932715439261422</v>
      </c>
      <c r="R745" s="69">
        <f>IF(tech_base!$T121&gt;R$625,"",(1000*tech_proj!R1085*(-PMT($J$110,tech_base!$F121,1))+1000*tech_proj!R1365)/((1-tech_proj!R525)*tech_proj!R805*$L$110))</f>
        <v>30.938594392456782</v>
      </c>
      <c r="S745" s="69">
        <f>IF(tech_base!$T121&gt;S$625,"",(1000*tech_proj!S1085*(-PMT($J$110,tech_base!$F121,1))+1000*tech_proj!S1365)/((1-tech_proj!S525)*tech_proj!S805*$L$110))</f>
        <v>30.944340276629564</v>
      </c>
      <c r="T745" s="69">
        <f>IF(tech_base!$T121&gt;T$625,"",(1000*tech_proj!T1085*(-PMT($J$110,tech_base!$F121,1))+1000*tech_proj!T1365)/((1-tech_proj!T525)*tech_proj!T805*$L$110))</f>
        <v>30.949955057145758</v>
      </c>
      <c r="U745" s="69">
        <f>IF(tech_base!$T121&gt;U$625,"",(1000*tech_proj!U1085*(-PMT($J$110,tech_base!$F121,1))+1000*tech_proj!U1365)/((1-tech_proj!U525)*tech_proj!U805*$L$110))</f>
        <v>30.955440726342552</v>
      </c>
      <c r="V745" s="69">
        <f>IF(tech_base!$T121&gt;V$625,"",(1000*tech_proj!V1085*(-PMT($J$110,tech_base!$F121,1))+1000*tech_proj!V1365)/((1-tech_proj!V525)*tech_proj!V805*$L$110))</f>
        <v>30.960799299823368</v>
      </c>
      <c r="W745" s="69">
        <f>IF(tech_base!$T121&gt;W$625,"",(1000*tech_proj!W1085*(-PMT($J$110,tech_base!$F121,1))+1000*tech_proj!W1365)/((1-tech_proj!W525)*tech_proj!W805*$L$110))</f>
        <v>30.966032812902284</v>
      </c>
      <c r="X745" s="69">
        <f>IF(tech_base!$T121&gt;X$625,"",(1000*tech_proj!X1085*(-PMT($J$110,tech_base!$F121,1))+1000*tech_proj!X1365)/((1-tech_proj!X525)*tech_proj!X805*$L$110))</f>
        <v>30.971143317198258</v>
      </c>
      <c r="Y745" s="69">
        <f>IF(tech_base!$T121&gt;Y$625,"",(1000*tech_proj!Y1085*(-PMT($J$110,tech_base!$F121,1))+1000*tech_proj!Y1365)/((1-tech_proj!Y525)*tech_proj!Y805*$L$110))</f>
        <v>30.976132877378731</v>
      </c>
      <c r="Z745" s="69">
        <f>IF(tech_base!$T121&gt;Z$625,"",(1000*tech_proj!Z1085*(-PMT($J$110,tech_base!$F121,1))+1000*tech_proj!Z1365)/((1-tech_proj!Z525)*tech_proj!Z805*$L$110))</f>
        <v>30.981003568051754</v>
      </c>
      <c r="AA745" s="69">
        <f>IF(tech_base!$T121&gt;AA$625,"",(1000*tech_proj!AA1085*(-PMT($J$110,tech_base!$F121,1))+1000*tech_proj!AA1365)/((1-tech_proj!AA525)*tech_proj!AA805*$L$110))</f>
        <v>30.985757470805517</v>
      </c>
      <c r="AB745" s="69">
        <f>IF(tech_base!$T121&gt;AB$625,"",(1000*tech_proj!AB1085*(-PMT($J$110,tech_base!$F121,1))+1000*tech_proj!AB1365)/((1-tech_proj!AB525)*tech_proj!AB805*$L$110))</f>
        <v>30.990396671393498</v>
      </c>
      <c r="AC745" s="69">
        <f>IF(tech_base!$T121&gt;AC$625,"",(1000*tech_proj!AC1085*(-PMT($J$110,tech_base!$F121,1))+1000*tech_proj!AC1365)/((1-tech_proj!AC525)*tech_proj!AC805*$L$110))</f>
        <v>30.994923257063245</v>
      </c>
      <c r="AD745" s="69">
        <f>IF(tech_base!$T121&gt;AD$625,"",(1000*tech_proj!AD1085*(-PMT($J$110,tech_base!$F121,1))+1000*tech_proj!AD1365)/((1-tech_proj!AD525)*tech_proj!AD805*$L$110))</f>
        <v>30.999339314026518</v>
      </c>
      <c r="AE745" s="69">
        <f>IF(tech_base!$T121&gt;AE$625,"",(1000*tech_proj!AE1085*(-PMT($J$110,tech_base!$F121,1))+1000*tech_proj!AE1365)/((1-tech_proj!AE525)*tech_proj!AE805*$L$110))</f>
        <v>31.003646925068008</v>
      </c>
      <c r="AF745" s="69">
        <f>IF(tech_base!$T121&gt;AF$625,"",(1000*tech_proj!AF1085*(-PMT($J$110,tech_base!$F121,1))+1000*tech_proj!AF1365)/((1-tech_proj!AF525)*tech_proj!AF805*$L$110))</f>
        <v>31.007848167289879</v>
      </c>
      <c r="AG745" s="69">
        <f>IF(tech_base!$T121&gt;AG$625,"",(1000*tech_proj!AG1085*(-PMT($J$110,tech_base!$F121,1))+1000*tech_proj!AG1365)/((1-tech_proj!AG525)*tech_proj!AG805*$L$110))</f>
        <v>31.011945109988925</v>
      </c>
      <c r="AH745" s="69">
        <f>IF(tech_base!$T121&gt;AH$625,"",(1000*tech_proj!AH1085*(-PMT($J$110,tech_base!$F121,1))+1000*tech_proj!AH1365)/((1-tech_proj!AH525)*tech_proj!AH805*$L$110))</f>
        <v>31.015939812663003</v>
      </c>
      <c r="AI745" s="69">
        <f>IF(tech_base!$T121&gt;AI$625,"",(1000*tech_proj!AI1085*(-PMT($J$110,tech_base!$F121,1))+1000*tech_proj!AI1365)/((1-tech_proj!AI525)*tech_proj!AI805*$L$110))</f>
        <v>31.019834323143378</v>
      </c>
      <c r="AJ745" s="69">
        <f>IF(tech_base!$T121&gt;AJ$625,"",(1000*tech_proj!AJ1085*(-PMT($J$110,tech_base!$F121,1))+1000*tech_proj!AJ1365)/((1-tech_proj!AJ525)*tech_proj!AJ805*$L$110))</f>
        <v>31.023630675849184</v>
      </c>
      <c r="AK745" s="69">
        <f>IF(tech_base!$T121&gt;AK$625,"",(1000*tech_proj!AK1085*(-PMT($J$110,tech_base!$F121,1))+1000*tech_proj!AK1365)/((1-tech_proj!AK525)*tech_proj!AK805*$L$110))</f>
        <v>31.027330890160428</v>
      </c>
      <c r="AL745" s="69">
        <f>IF(tech_base!$T121&gt;AL$625,"",(1000*tech_proj!AL1085*(-PMT($J$110,tech_base!$F121,1))+1000*tech_proj!AL1365)/((1-tech_proj!AL525)*tech_proj!AL805*$L$110))</f>
        <v>31.030936968905568</v>
      </c>
      <c r="AM745" s="69">
        <f>IF(tech_base!$T121&gt;AM$625,"",(1000*tech_proj!AM1085*(-PMT($J$110,tech_base!$F121,1))+1000*tech_proj!AM1365)/((1-tech_proj!AM525)*tech_proj!AM805*$L$110))</f>
        <v>31.03445089695991</v>
      </c>
      <c r="AN745" s="69">
        <f>IF(tech_base!$T121&gt;AN$625,"",(1000*tech_proj!AN1085*(-PMT($J$110,tech_base!$F121,1))+1000*tech_proj!AN1365)/((1-tech_proj!AN525)*tech_proj!AN805*$L$110))</f>
        <v>31.037874639950772</v>
      </c>
      <c r="AO745" s="69">
        <f>IF(tech_base!$T121&gt;AO$625,"",(1000*tech_proj!AO1085*(-PMT($J$110,tech_base!$F121,1))+1000*tech_proj!AO1365)/((1-tech_proj!AO525)*tech_proj!AO805*$L$110))</f>
        <v>31.041210143065413</v>
      </c>
      <c r="AP745" s="69">
        <f>IF(tech_base!$T121&gt;AP$625,"",(1000*tech_proj!AP1085*(-PMT($J$110,tech_base!$F121,1))+1000*tech_proj!AP1365)/((1-tech_proj!AP525)*tech_proj!AP805*$L$110))</f>
        <v>31.044459329957977</v>
      </c>
      <c r="AQ745" s="69">
        <f>IF(tech_base!$T121&gt;AQ$625,"",(1000*tech_proj!AQ1085*(-PMT($J$110,tech_base!$F121,1))+1000*tech_proj!AQ1365)/((1-tech_proj!AQ525)*tech_proj!AQ805*$L$110))</f>
        <v>31.047624101751122</v>
      </c>
      <c r="AR745" s="69">
        <f>IF(tech_base!$T121&gt;AR$625,"",(1000*tech_proj!AR1085*(-PMT($J$110,tech_base!$F121,1))+1000*tech_proj!AR1365)/((1-tech_proj!AR525)*tech_proj!AR805*$L$110))</f>
        <v>31.050706336128695</v>
      </c>
      <c r="AS745" s="69">
        <f>IF(tech_base!$T121&gt;AS$625,"",(1000*tech_proj!AS1085*(-PMT($J$110,tech_base!$F121,1))+1000*tech_proj!AS1365)/((1-tech_proj!AS525)*tech_proj!AS805*$L$110))</f>
        <v>31.053707886515312</v>
      </c>
      <c r="AT745" s="69">
        <f>IF(tech_base!$T121&gt;AT$625,"",(1000*tech_proj!AT1085*(-PMT($J$110,tech_base!$F121,1))+1000*tech_proj!AT1365)/((1-tech_proj!AT525)*tech_proj!AT805*$L$110))</f>
        <v>31.056630581339085</v>
      </c>
      <c r="AU745" s="69">
        <f>IF(tech_base!$T121&gt;AU$625,"",(1000*tech_proj!AU1085*(-PMT($J$110,tech_base!$F121,1))+1000*tech_proj!AU1365)/((1-tech_proj!AU525)*tech_proj!AU805*$L$110))</f>
        <v>31.059476223373551</v>
      </c>
      <c r="AV745" s="69">
        <f>IF(tech_base!$T121&gt;AV$625,"",(1000*tech_proj!AV1085*(-PMT($J$110,tech_base!$F121,1))+1000*tech_proj!AV1365)/((1-tech_proj!AV525)*tech_proj!AV805*$L$110))</f>
        <v>31.06224658915519</v>
      </c>
      <c r="AW745" s="69">
        <f>IF(tech_base!$T121&gt;AW$625,"",(1000*tech_proj!AW1085*(-PMT($J$110,tech_base!$F121,1))+1000*tech_proj!AW1365)/((1-tech_proj!AW525)*tech_proj!AW805*$L$110))</f>
        <v>31.064943428472631</v>
      </c>
      <c r="AX745" s="235">
        <f>IF(tech_base!$T121&gt;AX$625,"",(1000*tech_proj!AX1085*(-PMT($J$110,tech_base!$F121,1))+1000*tech_proj!AX1365)/((1-tech_proj!AX525)*tech_proj!AX805*$L$110))</f>
        <v>31.067568463924122</v>
      </c>
      <c r="AY745" s="133"/>
    </row>
    <row r="746" spans="1:51" s="174" customFormat="1" x14ac:dyDescent="0.25">
      <c r="A746" s="356"/>
      <c r="B746" s="359"/>
      <c r="C746" s="379"/>
      <c r="D746" s="2" t="s">
        <v>20</v>
      </c>
      <c r="E746" s="160" t="str">
        <f>A743&amp;"/"&amp;B743&amp;"/"&amp;C743&amp;"/"&amp;D746</f>
        <v>Derived gas fired power plants/Steam turbine/Electricity only/XS</v>
      </c>
      <c r="F746" s="76" t="str">
        <f>A743</f>
        <v>Derived gas fired power plants</v>
      </c>
      <c r="G746" s="76" t="str">
        <f>B743</f>
        <v>Steam turbine</v>
      </c>
      <c r="H746" s="76" t="str">
        <f>C743</f>
        <v>Electricity only</v>
      </c>
      <c r="I746" s="161" t="str">
        <f t="shared" si="363"/>
        <v>XS</v>
      </c>
      <c r="J746" s="69">
        <f>IF(tech_base!$T122&gt;J$625,"",(1000*tech_proj!J1086*(-PMT($J$110,tech_base!$F122,1))+1000*tech_proj!J1366)/((1-tech_proj!J526)*tech_proj!J806*$L$110))</f>
        <v>37.189906350264138</v>
      </c>
      <c r="K746" s="69">
        <f>IF(tech_base!$T122&gt;K$625,"",(1000*tech_proj!K1086*(-PMT($J$110,tech_base!$F122,1))+1000*tech_proj!K1366)/((1-tech_proj!K526)*tech_proj!K806*$L$110))</f>
        <v>37.194021402410542</v>
      </c>
      <c r="L746" s="69">
        <f>IF(tech_base!$T122&gt;L$625,"",(1000*tech_proj!L1086*(-PMT($J$110,tech_base!$F122,1))+1000*tech_proj!L1366)/((1-tech_proj!L526)*tech_proj!L806*$L$110))</f>
        <v>37.19803633296948</v>
      </c>
      <c r="M746" s="69">
        <f>IF(tech_base!$T122&gt;M$625,"",(1000*tech_proj!M1086*(-PMT($J$110,tech_base!$F122,1))+1000*tech_proj!M1366)/((1-tech_proj!M526)*tech_proj!M806*$L$110))</f>
        <v>37.201953009768779</v>
      </c>
      <c r="N746" s="69">
        <f>IF(tech_base!$T122&gt;N$625,"",(1000*tech_proj!N1086*(-PMT($J$110,tech_base!$F122,1))+1000*tech_proj!N1366)/((1-tech_proj!N526)*tech_proj!N806*$L$110))</f>
        <v>37.205773296684427</v>
      </c>
      <c r="O746" s="69">
        <f>IF(tech_base!$T122&gt;O$625,"",(1000*tech_proj!O1086*(-PMT($J$110,tech_base!$F122,1))+1000*tech_proj!O1366)/((1-tech_proj!O526)*tech_proj!O806*$L$110))</f>
        <v>37.209499051675465</v>
      </c>
      <c r="P746" s="69">
        <f>IF(tech_base!$T122&gt;P$625,"",(1000*tech_proj!P1086*(-PMT($J$110,tech_base!$F122,1))+1000*tech_proj!P1366)/((1-tech_proj!P526)*tech_proj!P806*$L$110))</f>
        <v>37.213132124935896</v>
      </c>
      <c r="Q746" s="69">
        <f>IF(tech_base!$T122&gt;Q$625,"",(1000*tech_proj!Q1086*(-PMT($J$110,tech_base!$F122,1))+1000*tech_proj!Q1366)/((1-tech_proj!Q526)*tech_proj!Q806*$L$110))</f>
        <v>37.216674357160592</v>
      </c>
      <c r="R746" s="69">
        <f>IF(tech_base!$T122&gt;R$625,"",(1000*tech_proj!R1086*(-PMT($J$110,tech_base!$F122,1))+1000*tech_proj!R1366)/((1-tech_proj!R526)*tech_proj!R806*$L$110))</f>
        <v>37.220127577922128</v>
      </c>
      <c r="S746" s="69">
        <f>IF(tech_base!$T122&gt;S$625,"",(1000*tech_proj!S1086*(-PMT($J$110,tech_base!$F122,1))+1000*tech_proj!S1366)/((1-tech_proj!S526)*tech_proj!S806*$L$110))</f>
        <v>37.223493604155244</v>
      </c>
      <c r="T746" s="69">
        <f>IF(tech_base!$T122&gt;T$625,"",(1000*tech_proj!T1086*(-PMT($J$110,tech_base!$F122,1))+1000*tech_proj!T1366)/((1-tech_proj!T526)*tech_proj!T806*$L$110))</f>
        <v>37.226774238745527</v>
      </c>
      <c r="U746" s="69">
        <f>IF(tech_base!$T122&gt;U$625,"",(1000*tech_proj!U1086*(-PMT($J$110,tech_base!$F122,1))+1000*tech_proj!U1366)/((1-tech_proj!U526)*tech_proj!U806*$L$110))</f>
        <v>37.229971269219035</v>
      </c>
      <c r="V746" s="69">
        <f>IF(tech_base!$T122&gt;V$625,"",(1000*tech_proj!V1086*(-PMT($J$110,tech_base!$F122,1))+1000*tech_proj!V1366)/((1-tech_proj!V526)*tech_proj!V806*$L$110))</f>
        <v>37.233086466529215</v>
      </c>
      <c r="W746" s="69">
        <f>IF(tech_base!$T122&gt;W$625,"",(1000*tech_proj!W1086*(-PMT($J$110,tech_base!$F122,1))+1000*tech_proj!W1366)/((1-tech_proj!W526)*tech_proj!W806*$L$110))</f>
        <v>37.236121583937845</v>
      </c>
      <c r="X746" s="69">
        <f>IF(tech_base!$T122&gt;X$625,"",(1000*tech_proj!X1086*(-PMT($J$110,tech_base!$F122,1))+1000*tech_proj!X1366)/((1-tech_proj!X526)*tech_proj!X806*$L$110))</f>
        <v>37.239078355986067</v>
      </c>
      <c r="Y746" s="69">
        <f>IF(tech_base!$T122&gt;Y$625,"",(1000*tech_proj!Y1086*(-PMT($J$110,tech_base!$F122,1))+1000*tech_proj!Y1366)/((1-tech_proj!Y526)*tech_proj!Y806*$L$110))</f>
        <v>37.241958497552446</v>
      </c>
      <c r="Z746" s="69">
        <f>IF(tech_base!$T122&gt;Z$625,"",(1000*tech_proj!Z1086*(-PMT($J$110,tech_base!$F122,1))+1000*tech_proj!Z1366)/((1-tech_proj!Z526)*tech_proj!Z806*$L$110))</f>
        <v>37.24476370299417</v>
      </c>
      <c r="AA746" s="69">
        <f>IF(tech_base!$T122&gt;AA$625,"",(1000*tech_proj!AA1086*(-PMT($J$110,tech_base!$F122,1))+1000*tech_proj!AA1366)/((1-tech_proj!AA526)*tech_proj!AA806*$L$110))</f>
        <v>37.247495645367955</v>
      </c>
      <c r="AB746" s="69">
        <f>IF(tech_base!$T122&gt;AB$625,"",(1000*tech_proj!AB1086*(-PMT($J$110,tech_base!$F122,1))+1000*tech_proj!AB1366)/((1-tech_proj!AB526)*tech_proj!AB806*$L$110))</f>
        <v>37.250155975727331</v>
      </c>
      <c r="AC746" s="69">
        <f>IF(tech_base!$T122&gt;AC$625,"",(1000*tech_proj!AC1086*(-PMT($J$110,tech_base!$F122,1))+1000*tech_proj!AC1366)/((1-tech_proj!AC526)*tech_proj!AC806*$L$110))</f>
        <v>37.252746322492676</v>
      </c>
      <c r="AD746" s="69">
        <f>IF(tech_base!$T122&gt;AD$625,"",(1000*tech_proj!AD1086*(-PMT($J$110,tech_base!$F122,1))+1000*tech_proj!AD1366)/((1-tech_proj!AD526)*tech_proj!AD806*$L$110))</f>
        <v>37.255268290890662</v>
      </c>
      <c r="AE746" s="69">
        <f>IF(tech_base!$T122&gt;AE$625,"",(1000*tech_proj!AE1086*(-PMT($J$110,tech_base!$F122,1))+1000*tech_proj!AE1366)/((1-tech_proj!AE526)*tech_proj!AE806*$L$110))</f>
        <v>37.257723462459836</v>
      </c>
      <c r="AF746" s="69">
        <f>IF(tech_base!$T122&gt;AF$625,"",(1000*tech_proj!AF1086*(-PMT($J$110,tech_base!$F122,1))+1000*tech_proj!AF1366)/((1-tech_proj!AF526)*tech_proj!AF806*$L$110))</f>
        <v>37.260113394619019</v>
      </c>
      <c r="AG746" s="69">
        <f>IF(tech_base!$T122&gt;AG$625,"",(1000*tech_proj!AG1086*(-PMT($J$110,tech_base!$F122,1))+1000*tech_proj!AG1366)/((1-tech_proj!AG526)*tech_proj!AG806*$L$110))</f>
        <v>37.262439620295339</v>
      </c>
      <c r="AH746" s="69">
        <f>IF(tech_base!$T122&gt;AH$625,"",(1000*tech_proj!AH1086*(-PMT($J$110,tech_base!$F122,1))+1000*tech_proj!AH1366)/((1-tech_proj!AH526)*tech_proj!AH806*$L$110))</f>
        <v>37.264703647608748</v>
      </c>
      <c r="AI746" s="69">
        <f>IF(tech_base!$T122&gt;AI$625,"",(1000*tech_proj!AI1086*(-PMT($J$110,tech_base!$F122,1))+1000*tech_proj!AI1366)/((1-tech_proj!AI526)*tech_proj!AI806*$L$110))</f>
        <v>37.266906959610019</v>
      </c>
      <c r="AJ746" s="69">
        <f>IF(tech_base!$T122&gt;AJ$625,"",(1000*tech_proj!AJ1086*(-PMT($J$110,tech_base!$F122,1))+1000*tech_proj!AJ1366)/((1-tech_proj!AJ526)*tech_proj!AJ806*$L$110))</f>
        <v>37.269051014069269</v>
      </c>
      <c r="AK746" s="69">
        <f>IF(tech_base!$T122&gt;AK$625,"",(1000*tech_proj!AK1086*(-PMT($J$110,tech_base!$F122,1))+1000*tech_proj!AK1366)/((1-tech_proj!AK526)*tech_proj!AK806*$L$110))</f>
        <v>37.271137243312062</v>
      </c>
      <c r="AL746" s="69">
        <f>IF(tech_base!$T122&gt;AL$625,"",(1000*tech_proj!AL1086*(-PMT($J$110,tech_base!$F122,1))+1000*tech_proj!AL1366)/((1-tech_proj!AL526)*tech_proj!AL806*$L$110))</f>
        <v>37.273167054100448</v>
      </c>
      <c r="AM746" s="69">
        <f>IF(tech_base!$T122&gt;AM$625,"",(1000*tech_proj!AM1086*(-PMT($J$110,tech_base!$F122,1))+1000*tech_proj!AM1366)/((1-tech_proj!AM526)*tech_proj!AM806*$L$110))</f>
        <v>37.275141827556062</v>
      </c>
      <c r="AN746" s="69">
        <f>IF(tech_base!$T122&gt;AN$625,"",(1000*tech_proj!AN1086*(-PMT($J$110,tech_base!$F122,1))+1000*tech_proj!AN1366)/((1-tech_proj!AN526)*tech_proj!AN806*$L$110))</f>
        <v>37.277062919122905</v>
      </c>
      <c r="AO746" s="69">
        <f>IF(tech_base!$T122&gt;AO$625,"",(1000*tech_proj!AO1086*(-PMT($J$110,tech_base!$F122,1))+1000*tech_proj!AO1366)/((1-tech_proj!AO526)*tech_proj!AO806*$L$110))</f>
        <v>37.278931658567089</v>
      </c>
      <c r="AP746" s="69">
        <f>IF(tech_base!$T122&gt;AP$625,"",(1000*tech_proj!AP1086*(-PMT($J$110,tech_base!$F122,1))+1000*tech_proj!AP1366)/((1-tech_proj!AP526)*tech_proj!AP806*$L$110))</f>
        <v>37.280749350011227</v>
      </c>
      <c r="AQ746" s="69">
        <f>IF(tech_base!$T122&gt;AQ$625,"",(1000*tech_proj!AQ1086*(-PMT($J$110,tech_base!$F122,1))+1000*tech_proj!AQ1366)/((1-tech_proj!AQ526)*tech_proj!AQ806*$L$110))</f>
        <v>37.282517272001243</v>
      </c>
      <c r="AR746" s="69">
        <f>IF(tech_base!$T122&gt;AR$625,"",(1000*tech_proj!AR1086*(-PMT($J$110,tech_base!$F122,1))+1000*tech_proj!AR1366)/((1-tech_proj!AR526)*tech_proj!AR806*$L$110))</f>
        <v>37.284236677603161</v>
      </c>
      <c r="AS746" s="69">
        <f>IF(tech_base!$T122&gt;AS$625,"",(1000*tech_proj!AS1086*(-PMT($J$110,tech_base!$F122,1))+1000*tech_proj!AS1366)/((1-tech_proj!AS526)*tech_proj!AS806*$L$110))</f>
        <v>37.285908794527899</v>
      </c>
      <c r="AT746" s="69">
        <f>IF(tech_base!$T122&gt;AT$625,"",(1000*tech_proj!AT1086*(-PMT($J$110,tech_base!$F122,1))+1000*tech_proj!AT1366)/((1-tech_proj!AT526)*tech_proj!AT806*$L$110))</f>
        <v>37.287534825282037</v>
      </c>
      <c r="AU746" s="69">
        <f>IF(tech_base!$T122&gt;AU$625,"",(1000*tech_proj!AU1086*(-PMT($J$110,tech_base!$F122,1))+1000*tech_proj!AU1366)/((1-tech_proj!AU526)*tech_proj!AU806*$L$110))</f>
        <v>37.289115947342438</v>
      </c>
      <c r="AV746" s="69">
        <f>IF(tech_base!$T122&gt;AV$625,"",(1000*tech_proj!AV1086*(-PMT($J$110,tech_base!$F122,1))+1000*tech_proj!AV1366)/((1-tech_proj!AV526)*tech_proj!AV806*$L$110))</f>
        <v>37.290653313353033</v>
      </c>
      <c r="AW746" s="69">
        <f>IF(tech_base!$T122&gt;AW$625,"",(1000*tech_proj!AW1086*(-PMT($J$110,tech_base!$F122,1))+1000*tech_proj!AW1366)/((1-tech_proj!AW526)*tech_proj!AW806*$L$110))</f>
        <v>37.292148051341897</v>
      </c>
      <c r="AX746" s="235">
        <f>IF(tech_base!$T122&gt;AX$625,"",(1000*tech_proj!AX1086*(-PMT($J$110,tech_base!$F122,1))+1000*tech_proj!AX1366)/((1-tech_proj!AX526)*tech_proj!AX806*$L$110))</f>
        <v>37.293601264956955</v>
      </c>
      <c r="AY746" s="133"/>
    </row>
    <row r="747" spans="1:51" s="174" customFormat="1" x14ac:dyDescent="0.25">
      <c r="A747" s="356"/>
      <c r="B747" s="359"/>
      <c r="C747" s="361" t="s">
        <v>14</v>
      </c>
      <c r="D747" s="58" t="s">
        <v>7</v>
      </c>
      <c r="E747" s="164" t="str">
        <f>A743&amp;"/"&amp;B743&amp;"/"&amp;C747&amp;"/"&amp;D747</f>
        <v>Derived gas fired power plants/Steam turbine/CHP/L</v>
      </c>
      <c r="F747" s="78" t="str">
        <f>A743</f>
        <v>Derived gas fired power plants</v>
      </c>
      <c r="G747" s="78" t="str">
        <f>B743</f>
        <v>Steam turbine</v>
      </c>
      <c r="H747" s="78" t="str">
        <f>C747</f>
        <v>CHP</v>
      </c>
      <c r="I747" s="165" t="str">
        <f t="shared" si="363"/>
        <v>L</v>
      </c>
      <c r="J747" s="71">
        <f>IF(tech_base!$T123&gt;J$625,"",(1000*tech_proj!J1087*(-PMT($J$110,tech_base!$F123,1))+1000*tech_proj!J1367)/((1-tech_proj!J527)*tech_proj!J807*$L$110))</f>
        <v>41.342320456454971</v>
      </c>
      <c r="K747" s="71">
        <f>IF(tech_base!$T123&gt;K$625,"",(1000*tech_proj!K1087*(-PMT($J$110,tech_base!$F123,1))+1000*tech_proj!K1367)/((1-tech_proj!K527)*tech_proj!K807*$L$110))</f>
        <v>41.34922948591371</v>
      </c>
      <c r="L747" s="71">
        <f>IF(tech_base!$T123&gt;L$625,"",(1000*tech_proj!L1087*(-PMT($J$110,tech_base!$F123,1))+1000*tech_proj!L1367)/((1-tech_proj!L527)*tech_proj!L807*$L$110))</f>
        <v>41.356029074099624</v>
      </c>
      <c r="M747" s="71">
        <f>IF(tech_base!$T123&gt;M$625,"",(1000*tech_proj!M1087*(-PMT($J$110,tech_base!$F123,1))+1000*tech_proj!M1367)/((1-tech_proj!M527)*tech_proj!M807*$L$110))</f>
        <v>41.36272047178975</v>
      </c>
      <c r="N747" s="71">
        <f>IF(tech_base!$T123&gt;N$625,"",(1000*tech_proj!N1087*(-PMT($J$110,tech_base!$F123,1))+1000*tech_proj!N1367)/((1-tech_proj!N527)*tech_proj!N807*$L$110))</f>
        <v>41.369304932953227</v>
      </c>
      <c r="O747" s="71">
        <f>IF(tech_base!$T123&gt;O$625,"",(1000*tech_proj!O1087*(-PMT($J$110,tech_base!$F123,1))+1000*tech_proj!O1367)/((1-tech_proj!O527)*tech_proj!O807*$L$110))</f>
        <v>41.375783713977185</v>
      </c>
      <c r="P747" s="71">
        <f>IF(tech_base!$T123&gt;P$625,"",(1000*tech_proj!P1087*(-PMT($J$110,tech_base!$F123,1))+1000*tech_proj!P1367)/((1-tech_proj!P527)*tech_proj!P807*$L$110))</f>
        <v>41.382158072918557</v>
      </c>
      <c r="Q747" s="71">
        <f>IF(tech_base!$T123&gt;Q$625,"",(1000*tech_proj!Q1087*(-PMT($J$110,tech_base!$F123,1))+1000*tech_proj!Q1367)/((1-tech_proj!Q527)*tech_proj!Q807*$L$110))</f>
        <v>41.388429268781586</v>
      </c>
      <c r="R747" s="71">
        <f>IF(tech_base!$T123&gt;R$625,"",(1000*tech_proj!R1087*(-PMT($J$110,tech_base!$F123,1))+1000*tech_proj!R1367)/((1-tech_proj!R527)*tech_proj!R807*$L$110))</f>
        <v>41.394598560820754</v>
      </c>
      <c r="S747" s="71">
        <f>IF(tech_base!$T123&gt;S$625,"",(1000*tech_proj!S1087*(-PMT($J$110,tech_base!$F123,1))+1000*tech_proj!S1367)/((1-tech_proj!S527)*tech_proj!S807*$L$110))</f>
        <v>41.400667207868828</v>
      </c>
      <c r="T747" s="71">
        <f>IF(tech_base!$T123&gt;T$625,"",(1000*tech_proj!T1087*(-PMT($J$110,tech_base!$F123,1))+1000*tech_proj!T1367)/((1-tech_proj!T527)*tech_proj!T807*$L$110))</f>
        <v>41.406636467689609</v>
      </c>
      <c r="U747" s="71">
        <f>IF(tech_base!$T123&gt;U$625,"",(1000*tech_proj!U1087*(-PMT($J$110,tech_base!$F123,1))+1000*tech_proj!U1367)/((1-tech_proj!U527)*tech_proj!U807*$L$110))</f>
        <v>41.41250759635529</v>
      </c>
      <c r="V747" s="71">
        <f>IF(tech_base!$T123&gt;V$625,"",(1000*tech_proj!V1087*(-PMT($J$110,tech_base!$F123,1))+1000*tech_proj!V1367)/((1-tech_proj!V527)*tech_proj!V807*$L$110))</f>
        <v>41.418281847647734</v>
      </c>
      <c r="W747" s="71">
        <f>IF(tech_base!$T123&gt;W$625,"",(1000*tech_proj!W1087*(-PMT($J$110,tech_base!$F123,1))+1000*tech_proj!W1367)/((1-tech_proj!W527)*tech_proj!W807*$L$110))</f>
        <v>41.423960472483593</v>
      </c>
      <c r="X747" s="71">
        <f>IF(tech_base!$T123&gt;X$625,"",(1000*tech_proj!X1087*(-PMT($J$110,tech_base!$F123,1))+1000*tech_proj!X1367)/((1-tech_proj!X527)*tech_proj!X807*$L$110))</f>
        <v>41.429544718362656</v>
      </c>
      <c r="Y747" s="71">
        <f>IF(tech_base!$T123&gt;Y$625,"",(1000*tech_proj!Y1087*(-PMT($J$110,tech_base!$F123,1))+1000*tech_proj!Y1367)/((1-tech_proj!Y527)*tech_proj!Y807*$L$110))</f>
        <v>41.435035828839197</v>
      </c>
      <c r="Z747" s="71">
        <f>IF(tech_base!$T123&gt;Z$625,"",(1000*tech_proj!Z1087*(-PMT($J$110,tech_base!$F123,1))+1000*tech_proj!Z1367)/((1-tech_proj!Z527)*tech_proj!Z807*$L$110))</f>
        <v>41.440435043015754</v>
      </c>
      <c r="AA747" s="71">
        <f>IF(tech_base!$T123&gt;AA$625,"",(1000*tech_proj!AA1087*(-PMT($J$110,tech_base!$F123,1))+1000*tech_proj!AA1367)/((1-tech_proj!AA527)*tech_proj!AA807*$L$110))</f>
        <v>41.445743595058957</v>
      </c>
      <c r="AB747" s="71">
        <f>IF(tech_base!$T123&gt;AB$625,"",(1000*tech_proj!AB1087*(-PMT($J$110,tech_base!$F123,1))+1000*tech_proj!AB1367)/((1-tech_proj!AB527)*tech_proj!AB807*$L$110))</f>
        <v>41.450962713737042</v>
      </c>
      <c r="AC747" s="71">
        <f>IF(tech_base!$T123&gt;AC$625,"",(1000*tech_proj!AC1087*(-PMT($J$110,tech_base!$F123,1))+1000*tech_proj!AC1367)/((1-tech_proj!AC527)*tech_proj!AC807*$L$110))</f>
        <v>41.456093621978553</v>
      </c>
      <c r="AD747" s="71">
        <f>IF(tech_base!$T123&gt;AD$625,"",(1000*tech_proj!AD1087*(-PMT($J$110,tech_base!$F123,1))+1000*tech_proj!AD1367)/((1-tech_proj!AD527)*tech_proj!AD807*$L$110))</f>
        <v>41.461137536451652</v>
      </c>
      <c r="AE747" s="71">
        <f>IF(tech_base!$T123&gt;AE$625,"",(1000*tech_proj!AE1087*(-PMT($J$110,tech_base!$F123,1))+1000*tech_proj!AE1367)/((1-tech_proj!AE527)*tech_proj!AE807*$L$110))</f>
        <v>41.466095667163842</v>
      </c>
      <c r="AF747" s="71">
        <f>IF(tech_base!$T123&gt;AF$625,"",(1000*tech_proj!AF1087*(-PMT($J$110,tech_base!$F123,1))+1000*tech_proj!AF1367)/((1-tech_proj!AF527)*tech_proj!AF807*$L$110))</f>
        <v>41.470969217081347</v>
      </c>
      <c r="AG747" s="71">
        <f>IF(tech_base!$T123&gt;AG$625,"",(1000*tech_proj!AG1087*(-PMT($J$110,tech_base!$F123,1))+1000*tech_proj!AG1367)/((1-tech_proj!AG527)*tech_proj!AG807*$L$110))</f>
        <v>41.475759381767972</v>
      </c>
      <c r="AH747" s="71">
        <f>IF(tech_base!$T123&gt;AH$625,"",(1000*tech_proj!AH1087*(-PMT($J$110,tech_base!$F123,1))+1000*tech_proj!AH1367)/((1-tech_proj!AH527)*tech_proj!AH807*$L$110))</f>
        <v>41.480467349042584</v>
      </c>
      <c r="AI747" s="71">
        <f>IF(tech_base!$T123&gt;AI$625,"",(1000*tech_proj!AI1087*(-PMT($J$110,tech_base!$F123,1))+1000*tech_proj!AI1367)/((1-tech_proj!AI527)*tech_proj!AI807*$L$110))</f>
        <v>41.485094298655348</v>
      </c>
      <c r="AJ747" s="71">
        <f>IF(tech_base!$T123&gt;AJ$625,"",(1000*tech_proj!AJ1087*(-PMT($J$110,tech_base!$F123,1))+1000*tech_proj!AJ1367)/((1-tech_proj!AJ527)*tech_proj!AJ807*$L$110))</f>
        <v>41.489641401981366</v>
      </c>
      <c r="AK747" s="71">
        <f>IF(tech_base!$T123&gt;AK$625,"",(1000*tech_proj!AK1087*(-PMT($J$110,tech_base!$F123,1))+1000*tech_proj!AK1367)/((1-tech_proj!AK527)*tech_proj!AK807*$L$110))</f>
        <v>41.494109821732259</v>
      </c>
      <c r="AL747" s="71">
        <f>IF(tech_base!$T123&gt;AL$625,"",(1000*tech_proj!AL1087*(-PMT($J$110,tech_base!$F123,1))+1000*tech_proj!AL1367)/((1-tech_proj!AL527)*tech_proj!AL807*$L$110))</f>
        <v>41.498500711684336</v>
      </c>
      <c r="AM747" s="71">
        <f>IF(tech_base!$T123&gt;AM$625,"",(1000*tech_proj!AM1087*(-PMT($J$110,tech_base!$F123,1))+1000*tech_proj!AM1367)/((1-tech_proj!AM527)*tech_proj!AM807*$L$110))</f>
        <v>41.502815216423421</v>
      </c>
      <c r="AN747" s="71">
        <f>IF(tech_base!$T123&gt;AN$625,"",(1000*tech_proj!AN1087*(-PMT($J$110,tech_base!$F123,1))+1000*tech_proj!AN1367)/((1-tech_proj!AN527)*tech_proj!AN807*$L$110))</f>
        <v>41.507054471105654</v>
      </c>
      <c r="AO747" s="71">
        <f>IF(tech_base!$T123&gt;AO$625,"",(1000*tech_proj!AO1087*(-PMT($J$110,tech_base!$F123,1))+1000*tech_proj!AO1367)/((1-tech_proj!AO527)*tech_proj!AO807*$L$110))</f>
        <v>41.511219601233826</v>
      </c>
      <c r="AP747" s="71">
        <f>IF(tech_base!$T123&gt;AP$625,"",(1000*tech_proj!AP1087*(-PMT($J$110,tech_base!$F123,1))+1000*tech_proj!AP1367)/((1-tech_proj!AP527)*tech_proj!AP807*$L$110))</f>
        <v>41.515311722448835</v>
      </c>
      <c r="AQ747" s="71">
        <f>IF(tech_base!$T123&gt;AQ$625,"",(1000*tech_proj!AQ1087*(-PMT($J$110,tech_base!$F123,1))+1000*tech_proj!AQ1367)/((1-tech_proj!AQ527)*tech_proj!AQ807*$L$110))</f>
        <v>41.519331940335697</v>
      </c>
      <c r="AR747" s="71">
        <f>IF(tech_base!$T123&gt;AR$625,"",(1000*tech_proj!AR1087*(-PMT($J$110,tech_base!$F123,1))+1000*tech_proj!AR1367)/((1-tech_proj!AR527)*tech_proj!AR807*$L$110))</f>
        <v>41.523281350243813</v>
      </c>
      <c r="AS747" s="71">
        <f>IF(tech_base!$T123&gt;AS$625,"",(1000*tech_proj!AS1087*(-PMT($J$110,tech_base!$F123,1))+1000*tech_proj!AS1367)/((1-tech_proj!AS527)*tech_proj!AS807*$L$110))</f>
        <v>41.527161037120834</v>
      </c>
      <c r="AT747" s="71">
        <f>IF(tech_base!$T123&gt;AT$625,"",(1000*tech_proj!AT1087*(-PMT($J$110,tech_base!$F123,1))+1000*tech_proj!AT1367)/((1-tech_proj!AT527)*tech_proj!AT807*$L$110))</f>
        <v>41.530972075359948</v>
      </c>
      <c r="AU747" s="71">
        <f>IF(tech_base!$T123&gt;AU$625,"",(1000*tech_proj!AU1087*(-PMT($J$110,tech_base!$F123,1))+1000*tech_proj!AU1367)/((1-tech_proj!AU527)*tech_proj!AU807*$L$110))</f>
        <v>41.534715528659873</v>
      </c>
      <c r="AV747" s="71">
        <f>IF(tech_base!$T123&gt;AV$625,"",(1000*tech_proj!AV1087*(-PMT($J$110,tech_base!$F123,1))+1000*tech_proj!AV1367)/((1-tech_proj!AV527)*tech_proj!AV807*$L$110))</f>
        <v>41.538392449897223</v>
      </c>
      <c r="AW747" s="71">
        <f>IF(tech_base!$T123&gt;AW$625,"",(1000*tech_proj!AW1087*(-PMT($J$110,tech_base!$F123,1))+1000*tech_proj!AW1367)/((1-tech_proj!AW527)*tech_proj!AW807*$L$110))</f>
        <v>41.542003881011077</v>
      </c>
      <c r="AX747" s="237">
        <f>IF(tech_base!$T123&gt;AX$625,"",(1000*tech_proj!AX1087*(-PMT($J$110,tech_base!$F123,1))+1000*tech_proj!AX1367)/((1-tech_proj!AX527)*tech_proj!AX807*$L$110))</f>
        <v>41.545550852898778</v>
      </c>
      <c r="AY747" s="133"/>
    </row>
    <row r="748" spans="1:51" s="174" customFormat="1" x14ac:dyDescent="0.25">
      <c r="A748" s="356"/>
      <c r="B748" s="359"/>
      <c r="C748" s="378"/>
      <c r="D748" s="2" t="s">
        <v>8</v>
      </c>
      <c r="E748" s="160" t="str">
        <f>A743&amp;"/"&amp;B743&amp;"/"&amp;C747&amp;"/"&amp;D748</f>
        <v>Derived gas fired power plants/Steam turbine/CHP/M</v>
      </c>
      <c r="F748" s="76" t="str">
        <f>A743</f>
        <v>Derived gas fired power plants</v>
      </c>
      <c r="G748" s="76" t="str">
        <f>B743</f>
        <v>Steam turbine</v>
      </c>
      <c r="H748" s="76" t="str">
        <f>C747</f>
        <v>CHP</v>
      </c>
      <c r="I748" s="161" t="str">
        <f t="shared" si="363"/>
        <v>M</v>
      </c>
      <c r="J748" s="69">
        <f>IF(tech_base!$T124&gt;J$625,"",(1000*tech_proj!J1088*(-PMT($J$110,tech_base!$F124,1))+1000*tech_proj!J1368)/((1-tech_proj!J528)*tech_proj!J808*$L$110))</f>
        <v>43.545616384985053</v>
      </c>
      <c r="K748" s="69">
        <f>IF(tech_base!$T124&gt;K$625,"",(1000*tech_proj!K1088*(-PMT($J$110,tech_base!$F124,1))+1000*tech_proj!K1368)/((1-tech_proj!K528)*tech_proj!K808*$L$110))</f>
        <v>43.550025665247006</v>
      </c>
      <c r="L748" s="69">
        <f>IF(tech_base!$T124&gt;L$625,"",(1000*tech_proj!L1088*(-PMT($J$110,tech_base!$F124,1))+1000*tech_proj!L1368)/((1-tech_proj!L528)*tech_proj!L808*$L$110))</f>
        <v>43.554361812725553</v>
      </c>
      <c r="M748" s="69">
        <f>IF(tech_base!$T124&gt;M$625,"",(1000*tech_proj!M1088*(-PMT($J$110,tech_base!$F124,1))+1000*tech_proj!M1368)/((1-tech_proj!M528)*tech_proj!M808*$L$110))</f>
        <v>43.558625785674629</v>
      </c>
      <c r="N748" s="69">
        <f>IF(tech_base!$T124&gt;N$625,"",(1000*tech_proj!N1088*(-PMT($J$110,tech_base!$F124,1))+1000*tech_proj!N1368)/((1-tech_proj!N528)*tech_proj!N808*$L$110))</f>
        <v>43.562818539134582</v>
      </c>
      <c r="O748" s="69">
        <f>IF(tech_base!$T124&gt;O$625,"",(1000*tech_proj!O1088*(-PMT($J$110,tech_base!$F124,1))+1000*tech_proj!O1368)/((1-tech_proj!O528)*tech_proj!O808*$L$110))</f>
        <v>43.566941024550879</v>
      </c>
      <c r="P748" s="69">
        <f>IF(tech_base!$T124&gt;P$625,"",(1000*tech_proj!P1088*(-PMT($J$110,tech_base!$F124,1))+1000*tech_proj!P1368)/((1-tech_proj!P528)*tech_proj!P808*$L$110))</f>
        <v>43.57099418940971</v>
      </c>
      <c r="Q748" s="69">
        <f>IF(tech_base!$T124&gt;Q$625,"",(1000*tech_proj!Q1088*(-PMT($J$110,tech_base!$F124,1))+1000*tech_proj!Q1368)/((1-tech_proj!Q528)*tech_proj!Q808*$L$110))</f>
        <v>43.574978976889831</v>
      </c>
      <c r="R748" s="69">
        <f>IF(tech_base!$T124&gt;R$625,"",(1000*tech_proj!R1088*(-PMT($J$110,tech_base!$F124,1))+1000*tech_proj!R1368)/((1-tech_proj!R528)*tech_proj!R808*$L$110))</f>
        <v>43.578896325530785</v>
      </c>
      <c r="S748" s="69">
        <f>IF(tech_base!$T124&gt;S$625,"",(1000*tech_proj!S1088*(-PMT($J$110,tech_base!$F124,1))+1000*tech_proj!S1368)/((1-tech_proj!S528)*tech_proj!S808*$L$110))</f>
        <v>43.58274716891669</v>
      </c>
      <c r="T748" s="69">
        <f>IF(tech_base!$T124&gt;T$625,"",(1000*tech_proj!T1088*(-PMT($J$110,tech_base!$F124,1))+1000*tech_proj!T1368)/((1-tech_proj!T528)*tech_proj!T808*$L$110))</f>
        <v>43.586532435375375</v>
      </c>
      <c r="U748" s="69">
        <f>IF(tech_base!$T124&gt;U$625,"",(1000*tech_proj!U1088*(-PMT($J$110,tech_base!$F124,1))+1000*tech_proj!U1368)/((1-tech_proj!U528)*tech_proj!U808*$L$110))</f>
        <v>43.590253047692819</v>
      </c>
      <c r="V748" s="69">
        <f>IF(tech_base!$T124&gt;V$625,"",(1000*tech_proj!V1088*(-PMT($J$110,tech_base!$F124,1))+1000*tech_proj!V1368)/((1-tech_proj!V528)*tech_proj!V808*$L$110))</f>
        <v>43.593909922841938</v>
      </c>
      <c r="W748" s="69">
        <f>IF(tech_base!$T124&gt;W$625,"",(1000*tech_proj!W1088*(-PMT($J$110,tech_base!$F124,1))+1000*tech_proj!W1368)/((1-tech_proj!W528)*tech_proj!W808*$L$110))</f>
        <v>43.597503971725892</v>
      </c>
      <c r="X748" s="69">
        <f>IF(tech_base!$T124&gt;X$625,"",(1000*tech_proj!X1088*(-PMT($J$110,tech_base!$F124,1))+1000*tech_proj!X1368)/((1-tech_proj!X528)*tech_proj!X808*$L$110))</f>
        <v>43.601036098935332</v>
      </c>
      <c r="Y748" s="69">
        <f>IF(tech_base!$T124&gt;Y$625,"",(1000*tech_proj!Y1088*(-PMT($J$110,tech_base!$F124,1))+1000*tech_proj!Y1368)/((1-tech_proj!Y528)*tech_proj!Y808*$L$110))</f>
        <v>43.604507202519166</v>
      </c>
      <c r="Z748" s="69">
        <f>IF(tech_base!$T124&gt;Z$625,"",(1000*tech_proj!Z1088*(-PMT($J$110,tech_base!$F124,1))+1000*tech_proj!Z1368)/((1-tech_proj!Z528)*tech_proj!Z808*$L$110))</f>
        <v>43.607918173768553</v>
      </c>
      <c r="AA748" s="69">
        <f>IF(tech_base!$T124&gt;AA$625,"",(1000*tech_proj!AA1088*(-PMT($J$110,tech_base!$F124,1))+1000*tech_proj!AA1368)/((1-tech_proj!AA528)*tech_proj!AA808*$L$110))</f>
        <v>43.611269897013813</v>
      </c>
      <c r="AB748" s="69">
        <f>IF(tech_base!$T124&gt;AB$625,"",(1000*tech_proj!AB1088*(-PMT($J$110,tech_base!$F124,1))+1000*tech_proj!AB1368)/((1-tech_proj!AB528)*tech_proj!AB808*$L$110))</f>
        <v>43.614563249433793</v>
      </c>
      <c r="AC748" s="69">
        <f>IF(tech_base!$T124&gt;AC$625,"",(1000*tech_proj!AC1088*(-PMT($J$110,tech_base!$F124,1))+1000*tech_proj!AC1368)/((1-tech_proj!AC528)*tech_proj!AC808*$L$110))</f>
        <v>43.617799100877427</v>
      </c>
      <c r="AD748" s="69">
        <f>IF(tech_base!$T124&gt;AD$625,"",(1000*tech_proj!AD1088*(-PMT($J$110,tech_base!$F124,1))+1000*tech_proj!AD1368)/((1-tech_proj!AD528)*tech_proj!AD808*$L$110))</f>
        <v>43.620978313696973</v>
      </c>
      <c r="AE748" s="69">
        <f>IF(tech_base!$T124&gt;AE$625,"",(1000*tech_proj!AE1088*(-PMT($J$110,tech_base!$F124,1))+1000*tech_proj!AE1368)/((1-tech_proj!AE528)*tech_proj!AE808*$L$110))</f>
        <v>43.624101742592792</v>
      </c>
      <c r="AF748" s="69">
        <f>IF(tech_base!$T124&gt;AF$625,"",(1000*tech_proj!AF1088*(-PMT($J$110,tech_base!$F124,1))+1000*tech_proj!AF1368)/((1-tech_proj!AF528)*tech_proj!AF808*$L$110))</f>
        <v>43.627170234469098</v>
      </c>
      <c r="AG748" s="69">
        <f>IF(tech_base!$T124&gt;AG$625,"",(1000*tech_proj!AG1088*(-PMT($J$110,tech_base!$F124,1))+1000*tech_proj!AG1368)/((1-tech_proj!AG528)*tech_proj!AG808*$L$110))</f>
        <v>43.630184628300569</v>
      </c>
      <c r="AH748" s="69">
        <f>IF(tech_base!$T124&gt;AH$625,"",(1000*tech_proj!AH1088*(-PMT($J$110,tech_base!$F124,1))+1000*tech_proj!AH1368)/((1-tech_proj!AH528)*tech_proj!AH808*$L$110))</f>
        <v>43.633145755009181</v>
      </c>
      <c r="AI748" s="69">
        <f>IF(tech_base!$T124&gt;AI$625,"",(1000*tech_proj!AI1088*(-PMT($J$110,tech_base!$F124,1))+1000*tech_proj!AI1368)/((1-tech_proj!AI528)*tech_proj!AI808*$L$110))</f>
        <v>43.63605443735127</v>
      </c>
      <c r="AJ748" s="69">
        <f>IF(tech_base!$T124&gt;AJ$625,"",(1000*tech_proj!AJ1088*(-PMT($J$110,tech_base!$F124,1))+1000*tech_proj!AJ1368)/((1-tech_proj!AJ528)*tech_proj!AJ808*$L$110))</f>
        <v>43.638911489814049</v>
      </c>
      <c r="AK748" s="69">
        <f>IF(tech_base!$T124&gt;AK$625,"",(1000*tech_proj!AK1088*(-PMT($J$110,tech_base!$F124,1))+1000*tech_proj!AK1368)/((1-tech_proj!AK528)*tech_proj!AK808*$L$110))</f>
        <v>43.641717718521839</v>
      </c>
      <c r="AL748" s="69">
        <f>IF(tech_base!$T124&gt;AL$625,"",(1000*tech_proj!AL1088*(-PMT($J$110,tech_base!$F124,1))+1000*tech_proj!AL1368)/((1-tech_proj!AL528)*tech_proj!AL808*$L$110))</f>
        <v>43.644473921151047</v>
      </c>
      <c r="AM748" s="69">
        <f>IF(tech_base!$T124&gt;AM$625,"",(1000*tech_proj!AM1088*(-PMT($J$110,tech_base!$F124,1))+1000*tech_proj!AM1368)/((1-tech_proj!AM528)*tech_proj!AM808*$L$110))</f>
        <v>43.647180886854038</v>
      </c>
      <c r="AN748" s="69">
        <f>IF(tech_base!$T124&gt;AN$625,"",(1000*tech_proj!AN1088*(-PMT($J$110,tech_base!$F124,1))+1000*tech_proj!AN1368)/((1-tech_proj!AN528)*tech_proj!AN808*$L$110))</f>
        <v>43.649839396191425</v>
      </c>
      <c r="AO748" s="69">
        <f>IF(tech_base!$T124&gt;AO$625,"",(1000*tech_proj!AO1088*(-PMT($J$110,tech_base!$F124,1))+1000*tech_proj!AO1368)/((1-tech_proj!AO528)*tech_proj!AO808*$L$110))</f>
        <v>43.652450221072407</v>
      </c>
      <c r="AP748" s="69">
        <f>IF(tech_base!$T124&gt;AP$625,"",(1000*tech_proj!AP1088*(-PMT($J$110,tech_base!$F124,1))+1000*tech_proj!AP1368)/((1-tech_proj!AP528)*tech_proj!AP808*$L$110))</f>
        <v>43.655014124702952</v>
      </c>
      <c r="AQ748" s="69">
        <f>IF(tech_base!$T124&gt;AQ$625,"",(1000*tech_proj!AQ1088*(-PMT($J$110,tech_base!$F124,1))+1000*tech_proj!AQ1368)/((1-tech_proj!AQ528)*tech_proj!AQ808*$L$110))</f>
        <v>43.657531861541514</v>
      </c>
      <c r="AR748" s="69">
        <f>IF(tech_base!$T124&gt;AR$625,"",(1000*tech_proj!AR1088*(-PMT($J$110,tech_base!$F124,1))+1000*tech_proj!AR1368)/((1-tech_proj!AR528)*tech_proj!AR808*$L$110))</f>
        <v>43.660004177261904</v>
      </c>
      <c r="AS748" s="69">
        <f>IF(tech_base!$T124&gt;AS$625,"",(1000*tech_proj!AS1088*(-PMT($J$110,tech_base!$F124,1))+1000*tech_proj!AS1368)/((1-tech_proj!AS528)*tech_proj!AS808*$L$110))</f>
        <v>43.66243180872317</v>
      </c>
      <c r="AT748" s="69">
        <f>IF(tech_base!$T124&gt;AT$625,"",(1000*tech_proj!AT1088*(-PMT($J$110,tech_base!$F124,1))+1000*tech_proj!AT1368)/((1-tech_proj!AT528)*tech_proj!AT808*$L$110))</f>
        <v>43.664815483946107</v>
      </c>
      <c r="AU748" s="69">
        <f>IF(tech_base!$T124&gt;AU$625,"",(1000*tech_proj!AU1088*(-PMT($J$110,tech_base!$F124,1))+1000*tech_proj!AU1368)/((1-tech_proj!AU528)*tech_proj!AU808*$L$110))</f>
        <v>43.667155922096086</v>
      </c>
      <c r="AV748" s="69">
        <f>IF(tech_base!$T124&gt;AV$625,"",(1000*tech_proj!AV1088*(-PMT($J$110,tech_base!$F124,1))+1000*tech_proj!AV1368)/((1-tech_proj!AV528)*tech_proj!AV808*$L$110))</f>
        <v>43.669453833472147</v>
      </c>
      <c r="AW748" s="69">
        <f>IF(tech_base!$T124&gt;AW$625,"",(1000*tech_proj!AW1088*(-PMT($J$110,tech_base!$F124,1))+1000*tech_proj!AW1368)/((1-tech_proj!AW528)*tech_proj!AW808*$L$110))</f>
        <v>43.671709919501843</v>
      </c>
      <c r="AX748" s="235">
        <f>IF(tech_base!$T124&gt;AX$625,"",(1000*tech_proj!AX1088*(-PMT($J$110,tech_base!$F124,1))+1000*tech_proj!AX1368)/((1-tech_proj!AX528)*tech_proj!AX808*$L$110))</f>
        <v>43.673924872741672</v>
      </c>
      <c r="AY748" s="133"/>
    </row>
    <row r="749" spans="1:51" s="174" customFormat="1" x14ac:dyDescent="0.25">
      <c r="A749" s="356"/>
      <c r="B749" s="359"/>
      <c r="C749" s="378"/>
      <c r="D749" s="2" t="s">
        <v>10</v>
      </c>
      <c r="E749" s="160" t="str">
        <f>A743&amp;"/"&amp;B743&amp;"/"&amp;C747&amp;"/"&amp;D749</f>
        <v>Derived gas fired power plants/Steam turbine/CHP/S</v>
      </c>
      <c r="F749" s="76" t="str">
        <f>A743</f>
        <v>Derived gas fired power plants</v>
      </c>
      <c r="G749" s="76" t="str">
        <f>B743</f>
        <v>Steam turbine</v>
      </c>
      <c r="H749" s="76" t="str">
        <f>C747</f>
        <v>CHP</v>
      </c>
      <c r="I749" s="161" t="str">
        <f t="shared" si="363"/>
        <v>S</v>
      </c>
      <c r="J749" s="69">
        <f>IF(tech_base!$T125&gt;J$625,"",(1000*tech_proj!J1089*(-PMT($J$110,tech_base!$F125,1))+1000*tech_proj!J1369)/((1-tech_proj!J529)*tech_proj!J809*$L$110))</f>
        <v>53.930024816593146</v>
      </c>
      <c r="K749" s="69">
        <f>IF(tech_base!$T125&gt;K$625,"",(1000*tech_proj!K1089*(-PMT($J$110,tech_base!$F125,1))+1000*tech_proj!K1369)/((1-tech_proj!K529)*tech_proj!K809*$L$110))</f>
        <v>53.933472842177622</v>
      </c>
      <c r="L749" s="69">
        <f>IF(tech_base!$T125&gt;L$625,"",(1000*tech_proj!L1089*(-PMT($J$110,tech_base!$F125,1))+1000*tech_proj!L1369)/((1-tech_proj!L529)*tech_proj!L809*$L$110))</f>
        <v>53.936861031993644</v>
      </c>
      <c r="M749" s="69">
        <f>IF(tech_base!$T125&gt;M$625,"",(1000*tech_proj!M1089*(-PMT($J$110,tech_base!$F125,1))+1000*tech_proj!M1369)/((1-tech_proj!M529)*tech_proj!M809*$L$110))</f>
        <v>53.940190269899496</v>
      </c>
      <c r="N749" s="69">
        <f>IF(tech_base!$T125&gt;N$625,"",(1000*tech_proj!N1089*(-PMT($J$110,tech_base!$F125,1))+1000*tech_proj!N1369)/((1-tech_proj!N529)*tech_proj!N809*$L$110))</f>
        <v>53.94346143244595</v>
      </c>
      <c r="O749" s="69">
        <f>IF(tech_base!$T125&gt;O$625,"",(1000*tech_proj!O1089*(-PMT($J$110,tech_base!$F125,1))+1000*tech_proj!O1369)/((1-tech_proj!O529)*tech_proj!O809*$L$110))</f>
        <v>53.94667538870501</v>
      </c>
      <c r="P749" s="69">
        <f>IF(tech_base!$T125&gt;P$625,"",(1000*tech_proj!P1089*(-PMT($J$110,tech_base!$F125,1))+1000*tech_proj!P1369)/((1-tech_proj!P529)*tech_proj!P809*$L$110))</f>
        <v>53.949833000110338</v>
      </c>
      <c r="Q749" s="69">
        <f>IF(tech_base!$T125&gt;Q$625,"",(1000*tech_proj!Q1089*(-PMT($J$110,tech_base!$F125,1))+1000*tech_proj!Q1369)/((1-tech_proj!Q529)*tech_proj!Q809*$L$110))</f>
        <v>53.952935120308787</v>
      </c>
      <c r="R749" s="69">
        <f>IF(tech_base!$T125&gt;R$625,"",(1000*tech_proj!R1089*(-PMT($J$110,tech_base!$F125,1))+1000*tech_proj!R1369)/((1-tech_proj!R529)*tech_proj!R809*$L$110))</f>
        <v>53.955982595022881</v>
      </c>
      <c r="S749" s="69">
        <f>IF(tech_base!$T125&gt;S$625,"",(1000*tech_proj!S1089*(-PMT($J$110,tech_base!$F125,1))+1000*tech_proj!S1369)/((1-tech_proj!S529)*tech_proj!S809*$L$110))</f>
        <v>53.958976261923844</v>
      </c>
      <c r="T749" s="69">
        <f>IF(tech_base!$T125&gt;T$625,"",(1000*tech_proj!T1089*(-PMT($J$110,tech_base!$F125,1))+1000*tech_proj!T1369)/((1-tech_proj!T529)*tech_proj!T809*$L$110))</f>
        <v>53.961916950514791</v>
      </c>
      <c r="U749" s="69">
        <f>IF(tech_base!$T125&gt;U$625,"",(1000*tech_proj!U1089*(-PMT($J$110,tech_base!$F125,1))+1000*tech_proj!U1369)/((1-tech_proj!U529)*tech_proj!U809*$L$110))</f>
        <v>53.964805482023785</v>
      </c>
      <c r="V749" s="69">
        <f>IF(tech_base!$T125&gt;V$625,"",(1000*tech_proj!V1089*(-PMT($J$110,tech_base!$F125,1))+1000*tech_proj!V1369)/((1-tech_proj!V529)*tech_proj!V809*$L$110))</f>
        <v>53.967642669306414</v>
      </c>
      <c r="W749" s="69">
        <f>IF(tech_base!$T125&gt;W$625,"",(1000*tech_proj!W1089*(-PMT($J$110,tech_base!$F125,1))+1000*tech_proj!W1369)/((1-tech_proj!W529)*tech_proj!W809*$L$110))</f>
        <v>53.970429316757539</v>
      </c>
      <c r="X749" s="69">
        <f>IF(tech_base!$T125&gt;X$625,"",(1000*tech_proj!X1089*(-PMT($J$110,tech_base!$F125,1))+1000*tech_proj!X1369)/((1-tech_proj!X529)*tech_proj!X809*$L$110))</f>
        <v>53.973166220231995</v>
      </c>
      <c r="Y749" s="69">
        <f>IF(tech_base!$T125&gt;Y$625,"",(1000*tech_proj!Y1089*(-PMT($J$110,tech_base!$F125,1))+1000*tech_proj!Y1369)/((1-tech_proj!Y529)*tech_proj!Y809*$L$110))</f>
        <v>53.975854166973754</v>
      </c>
      <c r="Z749" s="69">
        <f>IF(tech_base!$T125&gt;Z$625,"",(1000*tech_proj!Z1089*(-PMT($J$110,tech_base!$F125,1))+1000*tech_proj!Z1369)/((1-tech_proj!Z529)*tech_proj!Z809*$L$110))</f>
        <v>53.978493935553374</v>
      </c>
      <c r="AA749" s="69">
        <f>IF(tech_base!$T125&gt;AA$625,"",(1000*tech_proj!AA1089*(-PMT($J$110,tech_base!$F125,1))+1000*tech_proj!AA1369)/((1-tech_proj!AA529)*tech_proj!AA809*$L$110))</f>
        <v>53.981086295813427</v>
      </c>
      <c r="AB749" s="69">
        <f>IF(tech_base!$T125&gt;AB$625,"",(1000*tech_proj!AB1089*(-PMT($J$110,tech_base!$F125,1))+1000*tech_proj!AB1369)/((1-tech_proj!AB529)*tech_proj!AB809*$L$110))</f>
        <v>53.983632008821473</v>
      </c>
      <c r="AC749" s="69">
        <f>IF(tech_base!$T125&gt;AC$625,"",(1000*tech_proj!AC1089*(-PMT($J$110,tech_base!$F125,1))+1000*tech_proj!AC1369)/((1-tech_proj!AC529)*tech_proj!AC809*$L$110))</f>
        <v>53.986131826830466</v>
      </c>
      <c r="AD749" s="69">
        <f>IF(tech_base!$T125&gt;AD$625,"",(1000*tech_proj!AD1089*(-PMT($J$110,tech_base!$F125,1))+1000*tech_proj!AD1369)/((1-tech_proj!AD529)*tech_proj!AD809*$L$110))</f>
        <v>53.988586493246174</v>
      </c>
      <c r="AE749" s="69">
        <f>IF(tech_base!$T125&gt;AE$625,"",(1000*tech_proj!AE1089*(-PMT($J$110,tech_base!$F125,1))+1000*tech_proj!AE1369)/((1-tech_proj!AE529)*tech_proj!AE809*$L$110))</f>
        <v>53.990996742601375</v>
      </c>
      <c r="AF749" s="69">
        <f>IF(tech_base!$T125&gt;AF$625,"",(1000*tech_proj!AF1089*(-PMT($J$110,tech_base!$F125,1))+1000*tech_proj!AF1369)/((1-tech_proj!AF529)*tech_proj!AF809*$L$110))</f>
        <v>53.993363300536608</v>
      </c>
      <c r="AG749" s="69">
        <f>IF(tech_base!$T125&gt;AG$625,"",(1000*tech_proj!AG1089*(-PMT($J$110,tech_base!$F125,1))+1000*tech_proj!AG1369)/((1-tech_proj!AG529)*tech_proj!AG809*$L$110))</f>
        <v>53.995686883787045</v>
      </c>
      <c r="AH749" s="69">
        <f>IF(tech_base!$T125&gt;AH$625,"",(1000*tech_proj!AH1089*(-PMT($J$110,tech_base!$F125,1))+1000*tech_proj!AH1369)/((1-tech_proj!AH529)*tech_proj!AH809*$L$110))</f>
        <v>53.997968200175443</v>
      </c>
      <c r="AI749" s="69">
        <f>IF(tech_base!$T125&gt;AI$625,"",(1000*tech_proj!AI1089*(-PMT($J$110,tech_base!$F125,1))+1000*tech_proj!AI1369)/((1-tech_proj!AI529)*tech_proj!AI809*$L$110))</f>
        <v>54.0002079486108</v>
      </c>
      <c r="AJ749" s="69">
        <f>IF(tech_base!$T125&gt;AJ$625,"",(1000*tech_proj!AJ1089*(-PMT($J$110,tech_base!$F125,1))+1000*tech_proj!AJ1369)/((1-tech_proj!AJ529)*tech_proj!AJ809*$L$110))</f>
        <v>54.002406819092329</v>
      </c>
      <c r="AK749" s="69">
        <f>IF(tech_base!$T125&gt;AK$625,"",(1000*tech_proj!AK1089*(-PMT($J$110,tech_base!$F125,1))+1000*tech_proj!AK1369)/((1-tech_proj!AK529)*tech_proj!AK809*$L$110))</f>
        <v>54.004565492718925</v>
      </c>
      <c r="AL749" s="69">
        <f>IF(tech_base!$T125&gt;AL$625,"",(1000*tech_proj!AL1089*(-PMT($J$110,tech_base!$F125,1))+1000*tech_proj!AL1369)/((1-tech_proj!AL529)*tech_proj!AL809*$L$110))</f>
        <v>54.006684641703316</v>
      </c>
      <c r="AM749" s="69">
        <f>IF(tech_base!$T125&gt;AM$625,"",(1000*tech_proj!AM1089*(-PMT($J$110,tech_base!$F125,1))+1000*tech_proj!AM1369)/((1-tech_proj!AM529)*tech_proj!AM809*$L$110))</f>
        <v>54.008764929391177</v>
      </c>
      <c r="AN749" s="69">
        <f>IF(tech_base!$T125&gt;AN$625,"",(1000*tech_proj!AN1089*(-PMT($J$110,tech_base!$F125,1))+1000*tech_proj!AN1369)/((1-tech_proj!AN529)*tech_proj!AN809*$L$110))</f>
        <v>54.010807010284701</v>
      </c>
      <c r="AO749" s="69">
        <f>IF(tech_base!$T125&gt;AO$625,"",(1000*tech_proj!AO1089*(-PMT($J$110,tech_base!$F125,1))+1000*tech_proj!AO1369)/((1-tech_proj!AO529)*tech_proj!AO809*$L$110))</f>
        <v>54.012811530070465</v>
      </c>
      <c r="AP749" s="69">
        <f>IF(tech_base!$T125&gt;AP$625,"",(1000*tech_proj!AP1089*(-PMT($J$110,tech_base!$F125,1))+1000*tech_proj!AP1369)/((1-tech_proj!AP529)*tech_proj!AP809*$L$110))</f>
        <v>54.014779125651451</v>
      </c>
      <c r="AQ749" s="69">
        <f>IF(tech_base!$T125&gt;AQ$625,"",(1000*tech_proj!AQ1089*(-PMT($J$110,tech_base!$F125,1))+1000*tech_proj!AQ1369)/((1-tech_proj!AQ529)*tech_proj!AQ809*$L$110))</f>
        <v>54.016710425182815</v>
      </c>
      <c r="AR749" s="69">
        <f>IF(tech_base!$T125&gt;AR$625,"",(1000*tech_proj!AR1089*(-PMT($J$110,tech_base!$F125,1))+1000*tech_proj!AR1369)/((1-tech_proj!AR529)*tech_proj!AR809*$L$110))</f>
        <v>54.018606048111643</v>
      </c>
      <c r="AS749" s="69">
        <f>IF(tech_base!$T125&gt;AS$625,"",(1000*tech_proj!AS1089*(-PMT($J$110,tech_base!$F125,1))+1000*tech_proj!AS1369)/((1-tech_proj!AS529)*tech_proj!AS809*$L$110))</f>
        <v>54.020466605219831</v>
      </c>
      <c r="AT749" s="69">
        <f>IF(tech_base!$T125&gt;AT$625,"",(1000*tech_proj!AT1089*(-PMT($J$110,tech_base!$F125,1))+1000*tech_proj!AT1369)/((1-tech_proj!AT529)*tech_proj!AT809*$L$110))</f>
        <v>54.022292698670569</v>
      </c>
      <c r="AU749" s="69">
        <f>IF(tech_base!$T125&gt;AU$625,"",(1000*tech_proj!AU1089*(-PMT($J$110,tech_base!$F125,1))+1000*tech_proj!AU1369)/((1-tech_proj!AU529)*tech_proj!AU809*$L$110))</f>
        <v>54.024084922057838</v>
      </c>
      <c r="AV749" s="69">
        <f>IF(tech_base!$T125&gt;AV$625,"",(1000*tech_proj!AV1089*(-PMT($J$110,tech_base!$F125,1))+1000*tech_proj!AV1369)/((1-tech_proj!AV529)*tech_proj!AV809*$L$110))</f>
        <v>54.025843860458913</v>
      </c>
      <c r="AW749" s="69">
        <f>IF(tech_base!$T125&gt;AW$625,"",(1000*tech_proj!AW1089*(-PMT($J$110,tech_base!$F125,1))+1000*tech_proj!AW1369)/((1-tech_proj!AW529)*tech_proj!AW809*$L$110))</f>
        <v>54.027570090489512</v>
      </c>
      <c r="AX749" s="235">
        <f>IF(tech_base!$T125&gt;AX$625,"",(1000*tech_proj!AX1089*(-PMT($J$110,tech_base!$F125,1))+1000*tech_proj!AX1369)/((1-tech_proj!AX529)*tech_proj!AX809*$L$110))</f>
        <v>54.029264180361785</v>
      </c>
      <c r="AY749" s="133"/>
    </row>
    <row r="750" spans="1:51" s="174" customFormat="1" x14ac:dyDescent="0.25">
      <c r="A750" s="356"/>
      <c r="B750" s="359"/>
      <c r="C750" s="379"/>
      <c r="D750" s="59" t="s">
        <v>20</v>
      </c>
      <c r="E750" s="166" t="str">
        <f>A743&amp;"/"&amp;B743&amp;"/"&amp;C747&amp;"/"&amp;D750</f>
        <v>Derived gas fired power plants/Steam turbine/CHP/XS</v>
      </c>
      <c r="F750" s="79" t="str">
        <f>A743</f>
        <v>Derived gas fired power plants</v>
      </c>
      <c r="G750" s="79" t="str">
        <f>B743</f>
        <v>Steam turbine</v>
      </c>
      <c r="H750" s="79" t="str">
        <f>C747</f>
        <v>CHP</v>
      </c>
      <c r="I750" s="167" t="str">
        <f t="shared" si="363"/>
        <v>XS</v>
      </c>
      <c r="J750" s="72">
        <f>IF(tech_base!$T126&gt;J$625,"",(1000*tech_proj!J1090*(-PMT($J$110,tech_base!$F126,1))+1000*tech_proj!J1370)/((1-tech_proj!J530)*tech_proj!J810*$L$110))</f>
        <v>60.920088578524407</v>
      </c>
      <c r="K750" s="72">
        <f>IF(tech_base!$T126&gt;K$625,"",(1000*tech_proj!K1090*(-PMT($J$110,tech_base!$F126,1))+1000*tech_proj!K1370)/((1-tech_proj!K530)*tech_proj!K810*$L$110))</f>
        <v>60.922188134109952</v>
      </c>
      <c r="L750" s="72">
        <f>IF(tech_base!$T126&gt;L$625,"",(1000*tech_proj!L1090*(-PMT($J$110,tech_base!$F126,1))+1000*tech_proj!L1370)/((1-tech_proj!L530)*tech_proj!L810*$L$110))</f>
        <v>60.924249594688796</v>
      </c>
      <c r="M750" s="72">
        <f>IF(tech_base!$T126&gt;M$625,"",(1000*tech_proj!M1090*(-PMT($J$110,tech_base!$F126,1))+1000*tech_proj!M1370)/((1-tech_proj!M530)*tech_proj!M810*$L$110))</f>
        <v>60.926273586550579</v>
      </c>
      <c r="N750" s="72">
        <f>IF(tech_base!$T126&gt;N$625,"",(1000*tech_proj!N1090*(-PMT($J$110,tech_base!$F126,1))+1000*tech_proj!N1370)/((1-tech_proj!N530)*tech_proj!N810*$L$110))</f>
        <v>60.928260728142767</v>
      </c>
      <c r="O750" s="72">
        <f>IF(tech_base!$T126&gt;O$625,"",(1000*tech_proj!O1090*(-PMT($J$110,tech_base!$F126,1))+1000*tech_proj!O1370)/((1-tech_proj!O530)*tech_proj!O810*$L$110))</f>
        <v>60.930211630072122</v>
      </c>
      <c r="P750" s="72">
        <f>IF(tech_base!$T126&gt;P$625,"",(1000*tech_proj!P1090*(-PMT($J$110,tech_base!$F126,1))+1000*tech_proj!P1370)/((1-tech_proj!P530)*tech_proj!P810*$L$110))</f>
        <v>60.932126895110827</v>
      </c>
      <c r="Q750" s="72">
        <f>IF(tech_base!$T126&gt;Q$625,"",(1000*tech_proj!Q1090*(-PMT($J$110,tech_base!$F126,1))+1000*tech_proj!Q1370)/((1-tech_proj!Q530)*tech_proj!Q810*$L$110))</f>
        <v>60.934007118207241</v>
      </c>
      <c r="R750" s="72">
        <f>IF(tech_base!$T126&gt;R$625,"",(1000*tech_proj!R1090*(-PMT($J$110,tech_base!$F126,1))+1000*tech_proj!R1370)/((1-tech_proj!R530)*tech_proj!R810*$L$110))</f>
        <v>60.935852886500641</v>
      </c>
      <c r="S750" s="72">
        <f>IF(tech_base!$T126&gt;S$625,"",(1000*tech_proj!S1090*(-PMT($J$110,tech_base!$F126,1))+1000*tech_proj!S1370)/((1-tech_proj!S530)*tech_proj!S810*$L$110))</f>
        <v>60.937664779340381</v>
      </c>
      <c r="T750" s="72">
        <f>IF(tech_base!$T126&gt;T$625,"",(1000*tech_proj!T1090*(-PMT($J$110,tech_base!$F126,1))+1000*tech_proj!T1370)/((1-tech_proj!T530)*tech_proj!T810*$L$110))</f>
        <v>60.939443368308631</v>
      </c>
      <c r="U750" s="72">
        <f>IF(tech_base!$T126&gt;U$625,"",(1000*tech_proj!U1090*(-PMT($J$110,tech_base!$F126,1))+1000*tech_proj!U1370)/((1-tech_proj!U530)*tech_proj!U810*$L$110))</f>
        <v>60.941189217246972</v>
      </c>
      <c r="V750" s="72">
        <f>IF(tech_base!$T126&gt;V$625,"",(1000*tech_proj!V1090*(-PMT($J$110,tech_base!$F126,1))+1000*tech_proj!V1370)/((1-tech_proj!V530)*tech_proj!V810*$L$110))</f>
        <v>60.942902882286461</v>
      </c>
      <c r="W750" s="72">
        <f>IF(tech_base!$T126&gt;W$625,"",(1000*tech_proj!W1090*(-PMT($J$110,tech_base!$F126,1))+1000*tech_proj!W1370)/((1-tech_proj!W530)*tech_proj!W810*$L$110))</f>
        <v>60.944584911880945</v>
      </c>
      <c r="X750" s="72">
        <f>IF(tech_base!$T126&gt;X$625,"",(1000*tech_proj!X1090*(-PMT($J$110,tech_base!$F126,1))+1000*tech_proj!X1370)/((1-tech_proj!X530)*tech_proj!X810*$L$110))</f>
        <v>60.946235846843607</v>
      </c>
      <c r="Y750" s="72">
        <f>IF(tech_base!$T126&gt;Y$625,"",(1000*tech_proj!Y1090*(-PMT($J$110,tech_base!$F126,1))+1000*tech_proj!Y1370)/((1-tech_proj!Y530)*tech_proj!Y810*$L$110))</f>
        <v>60.947856220386541</v>
      </c>
      <c r="Z750" s="72">
        <f>IF(tech_base!$T126&gt;Z$625,"",(1000*tech_proj!Z1090*(-PMT($J$110,tech_base!$F126,1))+1000*tech_proj!Z1370)/((1-tech_proj!Z530)*tech_proj!Z810*$L$110))</f>
        <v>60.949446558163018</v>
      </c>
      <c r="AA750" s="72">
        <f>IF(tech_base!$T126&gt;AA$625,"",(1000*tech_proj!AA1090*(-PMT($J$110,tech_base!$F126,1))+1000*tech_proj!AA1370)/((1-tech_proj!AA530)*tech_proj!AA810*$L$110))</f>
        <v>60.951007378312511</v>
      </c>
      <c r="AB750" s="72">
        <f>IF(tech_base!$T126&gt;AB$625,"",(1000*tech_proj!AB1090*(-PMT($J$110,tech_base!$F126,1))+1000*tech_proj!AB1370)/((1-tech_proj!AB530)*tech_proj!AB810*$L$110))</f>
        <v>60.952539191508251</v>
      </c>
      <c r="AC750" s="72">
        <f>IF(tech_base!$T126&gt;AC$625,"",(1000*tech_proj!AC1090*(-PMT($J$110,tech_base!$F126,1))+1000*tech_proj!AC1370)/((1-tech_proj!AC530)*tech_proj!AC810*$L$110))</f>
        <v>60.954042501007017</v>
      </c>
      <c r="AD750" s="72">
        <f>IF(tech_base!$T126&gt;AD$625,"",(1000*tech_proj!AD1090*(-PMT($J$110,tech_base!$F126,1))+1000*tech_proj!AD1370)/((1-tech_proj!AD530)*tech_proj!AD810*$L$110))</f>
        <v>60.955517802701394</v>
      </c>
      <c r="AE750" s="72">
        <f>IF(tech_base!$T126&gt;AE$625,"",(1000*tech_proj!AE1090*(-PMT($J$110,tech_base!$F126,1))+1000*tech_proj!AE1370)/((1-tech_proj!AE530)*tech_proj!AE810*$L$110))</f>
        <v>60.956965585173869</v>
      </c>
      <c r="AF750" s="72">
        <f>IF(tech_base!$T126&gt;AF$625,"",(1000*tech_proj!AF1090*(-PMT($J$110,tech_base!$F126,1))+1000*tech_proj!AF1370)/((1-tech_proj!AF530)*tech_proj!AF810*$L$110))</f>
        <v>60.958386329753019</v>
      </c>
      <c r="AG750" s="72">
        <f>IF(tech_base!$T126&gt;AG$625,"",(1000*tech_proj!AG1090*(-PMT($J$110,tech_base!$F126,1))+1000*tech_proj!AG1370)/((1-tech_proj!AG530)*tech_proj!AG810*$L$110))</f>
        <v>60.959780510571562</v>
      </c>
      <c r="AH750" s="72">
        <f>IF(tech_base!$T126&gt;AH$625,"",(1000*tech_proj!AH1090*(-PMT($J$110,tech_base!$F126,1))+1000*tech_proj!AH1370)/((1-tech_proj!AH530)*tech_proj!AH810*$L$110))</f>
        <v>60.961148594625953</v>
      </c>
      <c r="AI750" s="72">
        <f>IF(tech_base!$T126&gt;AI$625,"",(1000*tech_proj!AI1090*(-PMT($J$110,tech_base!$F126,1))+1000*tech_proj!AI1370)/((1-tech_proj!AI530)*tech_proj!AI810*$L$110))</f>
        <v>60.962491041837737</v>
      </c>
      <c r="AJ750" s="72">
        <f>IF(tech_base!$T126&gt;AJ$625,"",(1000*tech_proj!AJ1090*(-PMT($J$110,tech_base!$F126,1))+1000*tech_proj!AJ1370)/((1-tech_proj!AJ530)*tech_proj!AJ810*$L$110))</f>
        <v>60.963808305116309</v>
      </c>
      <c r="AK750" s="72">
        <f>IF(tech_base!$T126&gt;AK$625,"",(1000*tech_proj!AK1090*(-PMT($J$110,tech_base!$F126,1))+1000*tech_proj!AK1370)/((1-tech_proj!AK530)*tech_proj!AK810*$L$110))</f>
        <v>60.965100830422983</v>
      </c>
      <c r="AL750" s="72">
        <f>IF(tech_base!$T126&gt;AL$625,"",(1000*tech_proj!AL1090*(-PMT($J$110,tech_base!$F126,1))+1000*tech_proj!AL1370)/((1-tech_proj!AL530)*tech_proj!AL810*$L$110))</f>
        <v>60.966369056836442</v>
      </c>
      <c r="AM750" s="72">
        <f>IF(tech_base!$T126&gt;AM$625,"",(1000*tech_proj!AM1090*(-PMT($J$110,tech_base!$F126,1))+1000*tech_proj!AM1370)/((1-tech_proj!AM530)*tech_proj!AM810*$L$110))</f>
        <v>60.967613416619159</v>
      </c>
      <c r="AN750" s="72">
        <f>IF(tech_base!$T126&gt;AN$625,"",(1000*tech_proj!AN1090*(-PMT($J$110,tech_base!$F126,1))+1000*tech_proj!AN1370)/((1-tech_proj!AN530)*tech_proj!AN810*$L$110))</f>
        <v>60.968834335285102</v>
      </c>
      <c r="AO750" s="72">
        <f>IF(tech_base!$T126&gt;AO$625,"",(1000*tech_proj!AO1090*(-PMT($J$110,tech_base!$F126,1))+1000*tech_proj!AO1370)/((1-tech_proj!AO530)*tech_proj!AO810*$L$110))</f>
        <v>60.970032231668171</v>
      </c>
      <c r="AP750" s="72">
        <f>IF(tech_base!$T126&gt;AP$625,"",(1000*tech_proj!AP1090*(-PMT($J$110,tech_base!$F126,1))+1000*tech_proj!AP1370)/((1-tech_proj!AP530)*tech_proj!AP810*$L$110))</f>
        <v>60.971207517991694</v>
      </c>
      <c r="AQ750" s="72">
        <f>IF(tech_base!$T126&gt;AQ$625,"",(1000*tech_proj!AQ1090*(-PMT($J$110,tech_base!$F126,1))+1000*tech_proj!AQ1370)/((1-tech_proj!AQ530)*tech_proj!AQ810*$L$110))</f>
        <v>60.972360599938575</v>
      </c>
      <c r="AR750" s="72">
        <f>IF(tech_base!$T126&gt;AR$625,"",(1000*tech_proj!AR1090*(-PMT($J$110,tech_base!$F126,1))+1000*tech_proj!AR1370)/((1-tech_proj!AR530)*tech_proj!AR810*$L$110))</f>
        <v>60.973491876722193</v>
      </c>
      <c r="AS750" s="72">
        <f>IF(tech_base!$T126&gt;AS$625,"",(1000*tech_proj!AS1090*(-PMT($J$110,tech_base!$F126,1))+1000*tech_proj!AS1370)/((1-tech_proj!AS530)*tech_proj!AS810*$L$110))</f>
        <v>60.974601741157898</v>
      </c>
      <c r="AT750" s="72">
        <f>IF(tech_base!$T126&gt;AT$625,"",(1000*tech_proj!AT1090*(-PMT($J$110,tech_base!$F126,1))+1000*tech_proj!AT1370)/((1-tech_proj!AT530)*tech_proj!AT810*$L$110))</f>
        <v>60.975690579735165</v>
      </c>
      <c r="AU750" s="72">
        <f>IF(tech_base!$T126&gt;AU$625,"",(1000*tech_proj!AU1090*(-PMT($J$110,tech_base!$F126,1))+1000*tech_proj!AU1370)/((1-tech_proj!AU530)*tech_proj!AU810*$L$110))</f>
        <v>60.976758772689976</v>
      </c>
      <c r="AV750" s="72">
        <f>IF(tech_base!$T126&gt;AV$625,"",(1000*tech_proj!AV1090*(-PMT($J$110,tech_base!$F126,1))+1000*tech_proj!AV1370)/((1-tech_proj!AV530)*tech_proj!AV810*$L$110))</f>
        <v>60.977806694077884</v>
      </c>
      <c r="AW750" s="72">
        <f>IF(tech_base!$T126&gt;AW$625,"",(1000*tech_proj!AW1090*(-PMT($J$110,tech_base!$F126,1))+1000*tech_proj!AW1370)/((1-tech_proj!AW530)*tech_proj!AW810*$L$110))</f>
        <v>60.978834711847156</v>
      </c>
      <c r="AX750" s="238">
        <f>IF(tech_base!$T126&gt;AX$625,"",(1000*tech_proj!AX1090*(-PMT($J$110,tech_base!$F126,1))+1000*tech_proj!AX1370)/((1-tech_proj!AX530)*tech_proj!AX810*$L$110))</f>
        <v>60.979843187912358</v>
      </c>
      <c r="AY750" s="133"/>
    </row>
    <row r="751" spans="1:51" s="174" customFormat="1" x14ac:dyDescent="0.25">
      <c r="A751" s="356"/>
      <c r="B751" s="359"/>
      <c r="C751" s="361" t="s">
        <v>15</v>
      </c>
      <c r="D751" s="58" t="s">
        <v>7</v>
      </c>
      <c r="E751" s="164" t="str">
        <f>A743&amp;"/"&amp;B743&amp;"/"&amp;C751&amp;"/"&amp;D751</f>
        <v>Derived gas fired power plants/Steam turbine/Electricity only with CCS/L</v>
      </c>
      <c r="F751" s="78" t="str">
        <f>A743</f>
        <v>Derived gas fired power plants</v>
      </c>
      <c r="G751" s="78" t="str">
        <f>B743</f>
        <v>Steam turbine</v>
      </c>
      <c r="H751" s="78" t="str">
        <f>C751</f>
        <v>Electricity only with CCS</v>
      </c>
      <c r="I751" s="165" t="str">
        <f t="shared" si="363"/>
        <v>L</v>
      </c>
      <c r="J751" s="71" t="str">
        <f>IF(tech_base!$T127&gt;J$625,"",(1000*tech_proj!J1091*(-PMT($J$110,tech_base!$F127,1))+1000*tech_proj!J1371)/((1-tech_proj!J531)*tech_proj!J811*$L$110))</f>
        <v/>
      </c>
      <c r="K751" s="71" t="str">
        <f>IF(tech_base!$T127&gt;K$625,"",(1000*tech_proj!K1091*(-PMT($J$110,tech_base!$F127,1))+1000*tech_proj!K1371)/((1-tech_proj!K531)*tech_proj!K811*$L$110))</f>
        <v/>
      </c>
      <c r="L751" s="71" t="str">
        <f>IF(tech_base!$T127&gt;L$625,"",(1000*tech_proj!L1091*(-PMT($J$110,tech_base!$F127,1))+1000*tech_proj!L1371)/((1-tech_proj!L531)*tech_proj!L811*$L$110))</f>
        <v/>
      </c>
      <c r="M751" s="71" t="str">
        <f>IF(tech_base!$T127&gt;M$625,"",(1000*tech_proj!M1091*(-PMT($J$110,tech_base!$F127,1))+1000*tech_proj!M1371)/((1-tech_proj!M531)*tech_proj!M811*$L$110))</f>
        <v/>
      </c>
      <c r="N751" s="71" t="str">
        <f>IF(tech_base!$T127&gt;N$625,"",(1000*tech_proj!N1091*(-PMT($J$110,tech_base!$F127,1))+1000*tech_proj!N1371)/((1-tech_proj!N531)*tech_proj!N811*$L$110))</f>
        <v/>
      </c>
      <c r="O751" s="71" t="str">
        <f>IF(tech_base!$T127&gt;O$625,"",(1000*tech_proj!O1091*(-PMT($J$110,tech_base!$F127,1))+1000*tech_proj!O1371)/((1-tech_proj!O531)*tech_proj!O811*$L$110))</f>
        <v/>
      </c>
      <c r="P751" s="71" t="str">
        <f>IF(tech_base!$T127&gt;P$625,"",(1000*tech_proj!P1091*(-PMT($J$110,tech_base!$F127,1))+1000*tech_proj!P1371)/((1-tech_proj!P531)*tech_proj!P811*$L$110))</f>
        <v/>
      </c>
      <c r="Q751" s="71" t="str">
        <f>IF(tech_base!$T127&gt;Q$625,"",(1000*tech_proj!Q1091*(-PMT($J$110,tech_base!$F127,1))+1000*tech_proj!Q1371)/((1-tech_proj!Q531)*tech_proj!Q811*$L$110))</f>
        <v/>
      </c>
      <c r="R751" s="71" t="str">
        <f>IF(tech_base!$T127&gt;R$625,"",(1000*tech_proj!R1091*(-PMT($J$110,tech_base!$F127,1))+1000*tech_proj!R1371)/((1-tech_proj!R531)*tech_proj!R811*$L$110))</f>
        <v/>
      </c>
      <c r="S751" s="71" t="str">
        <f>IF(tech_base!$T127&gt;S$625,"",(1000*tech_proj!S1091*(-PMT($J$110,tech_base!$F127,1))+1000*tech_proj!S1371)/((1-tech_proj!S531)*tech_proj!S811*$L$110))</f>
        <v/>
      </c>
      <c r="T751" s="71" t="str">
        <f>IF(tech_base!$T127&gt;T$625,"",(1000*tech_proj!T1091*(-PMT($J$110,tech_base!$F127,1))+1000*tech_proj!T1371)/((1-tech_proj!T531)*tech_proj!T811*$L$110))</f>
        <v/>
      </c>
      <c r="U751" s="71" t="str">
        <f>IF(tech_base!$T127&gt;U$625,"",(1000*tech_proj!U1091*(-PMT($J$110,tech_base!$F127,1))+1000*tech_proj!U1371)/((1-tech_proj!U531)*tech_proj!U811*$L$110))</f>
        <v/>
      </c>
      <c r="V751" s="71" t="str">
        <f>IF(tech_base!$T127&gt;V$625,"",(1000*tech_proj!V1091*(-PMT($J$110,tech_base!$F127,1))+1000*tech_proj!V1371)/((1-tech_proj!V531)*tech_proj!V811*$L$110))</f>
        <v/>
      </c>
      <c r="W751" s="71" t="str">
        <f>IF(tech_base!$T127&gt;W$625,"",(1000*tech_proj!W1091*(-PMT($J$110,tech_base!$F127,1))+1000*tech_proj!W1371)/((1-tech_proj!W531)*tech_proj!W811*$L$110))</f>
        <v/>
      </c>
      <c r="X751" s="71" t="str">
        <f>IF(tech_base!$T127&gt;X$625,"",(1000*tech_proj!X1091*(-PMT($J$110,tech_base!$F127,1))+1000*tech_proj!X1371)/((1-tech_proj!X531)*tech_proj!X811*$L$110))</f>
        <v/>
      </c>
      <c r="Y751" s="71" t="str">
        <f>IF(tech_base!$T127&gt;Y$625,"",(1000*tech_proj!Y1091*(-PMT($J$110,tech_base!$F127,1))+1000*tech_proj!Y1371)/((1-tech_proj!Y531)*tech_proj!Y811*$L$110))</f>
        <v/>
      </c>
      <c r="Z751" s="71" t="str">
        <f>IF(tech_base!$T127&gt;Z$625,"",(1000*tech_proj!Z1091*(-PMT($J$110,tech_base!$F127,1))+1000*tech_proj!Z1371)/((1-tech_proj!Z531)*tech_proj!Z811*$L$110))</f>
        <v/>
      </c>
      <c r="AA751" s="71" t="str">
        <f>IF(tech_base!$T127&gt;AA$625,"",(1000*tech_proj!AA1091*(-PMT($J$110,tech_base!$F127,1))+1000*tech_proj!AA1371)/((1-tech_proj!AA531)*tech_proj!AA811*$L$110))</f>
        <v/>
      </c>
      <c r="AB751" s="71" t="str">
        <f>IF(tech_base!$T127&gt;AB$625,"",(1000*tech_proj!AB1091*(-PMT($J$110,tech_base!$F127,1))+1000*tech_proj!AB1371)/((1-tech_proj!AB531)*tech_proj!AB811*$L$110))</f>
        <v/>
      </c>
      <c r="AC751" s="71" t="str">
        <f>IF(tech_base!$T127&gt;AC$625,"",(1000*tech_proj!AC1091*(-PMT($J$110,tech_base!$F127,1))+1000*tech_proj!AC1371)/((1-tech_proj!AC531)*tech_proj!AC811*$L$110))</f>
        <v/>
      </c>
      <c r="AD751" s="71" t="str">
        <f>IF(tech_base!$T127&gt;AD$625,"",(1000*tech_proj!AD1091*(-PMT($J$110,tech_base!$F127,1))+1000*tech_proj!AD1371)/((1-tech_proj!AD531)*tech_proj!AD811*$L$110))</f>
        <v/>
      </c>
      <c r="AE751" s="71">
        <f>IF(tech_base!$T127&gt;AE$625,"",(1000*tech_proj!AE1091*(-PMT($J$110,tech_base!$F127,1))+1000*tech_proj!AE1371)/((1-tech_proj!AE531)*tech_proj!AE811*$L$110))</f>
        <v>85.670284386952602</v>
      </c>
      <c r="AF751" s="71">
        <f>IF(tech_base!$T127&gt;AF$625,"",(1000*tech_proj!AF1091*(-PMT($J$110,tech_base!$F127,1))+1000*tech_proj!AF1371)/((1-tech_proj!AF531)*tech_proj!AF811*$L$110))</f>
        <v>85.670284386952602</v>
      </c>
      <c r="AG751" s="71">
        <f>IF(tech_base!$T127&gt;AG$625,"",(1000*tech_proj!AG1091*(-PMT($J$110,tech_base!$F127,1))+1000*tech_proj!AG1371)/((1-tech_proj!AG531)*tech_proj!AG811*$L$110))</f>
        <v>85.670284386952602</v>
      </c>
      <c r="AH751" s="71">
        <f>IF(tech_base!$T127&gt;AH$625,"",(1000*tech_proj!AH1091*(-PMT($J$110,tech_base!$F127,1))+1000*tech_proj!AH1371)/((1-tech_proj!AH531)*tech_proj!AH811*$L$110))</f>
        <v>85.670284386952602</v>
      </c>
      <c r="AI751" s="71">
        <f>IF(tech_base!$T127&gt;AI$625,"",(1000*tech_proj!AI1091*(-PMT($J$110,tech_base!$F127,1))+1000*tech_proj!AI1371)/((1-tech_proj!AI531)*tech_proj!AI811*$L$110))</f>
        <v>85.670284386952602</v>
      </c>
      <c r="AJ751" s="71">
        <f>IF(tech_base!$T127&gt;AJ$625,"",(1000*tech_proj!AJ1091*(-PMT($J$110,tech_base!$F127,1))+1000*tech_proj!AJ1371)/((1-tech_proj!AJ531)*tech_proj!AJ811*$L$110))</f>
        <v>85.670284386952602</v>
      </c>
      <c r="AK751" s="71">
        <f>IF(tech_base!$T127&gt;AK$625,"",(1000*tech_proj!AK1091*(-PMT($J$110,tech_base!$F127,1))+1000*tech_proj!AK1371)/((1-tech_proj!AK531)*tech_proj!AK811*$L$110))</f>
        <v>85.670284386952602</v>
      </c>
      <c r="AL751" s="71">
        <f>IF(tech_base!$T127&gt;AL$625,"",(1000*tech_proj!AL1091*(-PMT($J$110,tech_base!$F127,1))+1000*tech_proj!AL1371)/((1-tech_proj!AL531)*tech_proj!AL811*$L$110))</f>
        <v>85.670284386952602</v>
      </c>
      <c r="AM751" s="71">
        <f>IF(tech_base!$T127&gt;AM$625,"",(1000*tech_proj!AM1091*(-PMT($J$110,tech_base!$F127,1))+1000*tech_proj!AM1371)/((1-tech_proj!AM531)*tech_proj!AM811*$L$110))</f>
        <v>85.670284386952602</v>
      </c>
      <c r="AN751" s="71">
        <f>IF(tech_base!$T127&gt;AN$625,"",(1000*tech_proj!AN1091*(-PMT($J$110,tech_base!$F127,1))+1000*tech_proj!AN1371)/((1-tech_proj!AN531)*tech_proj!AN811*$L$110))</f>
        <v>85.670284386952602</v>
      </c>
      <c r="AO751" s="71">
        <f>IF(tech_base!$T127&gt;AO$625,"",(1000*tech_proj!AO1091*(-PMT($J$110,tech_base!$F127,1))+1000*tech_proj!AO1371)/((1-tech_proj!AO531)*tech_proj!AO811*$L$110))</f>
        <v>85.670284386952602</v>
      </c>
      <c r="AP751" s="71">
        <f>IF(tech_base!$T127&gt;AP$625,"",(1000*tech_proj!AP1091*(-PMT($J$110,tech_base!$F127,1))+1000*tech_proj!AP1371)/((1-tech_proj!AP531)*tech_proj!AP811*$L$110))</f>
        <v>85.670284386952602</v>
      </c>
      <c r="AQ751" s="71">
        <f>IF(tech_base!$T127&gt;AQ$625,"",(1000*tech_proj!AQ1091*(-PMT($J$110,tech_base!$F127,1))+1000*tech_proj!AQ1371)/((1-tech_proj!AQ531)*tech_proj!AQ811*$L$110))</f>
        <v>85.670284386952602</v>
      </c>
      <c r="AR751" s="71">
        <f>IF(tech_base!$T127&gt;AR$625,"",(1000*tech_proj!AR1091*(-PMT($J$110,tech_base!$F127,1))+1000*tech_proj!AR1371)/((1-tech_proj!AR531)*tech_proj!AR811*$L$110))</f>
        <v>85.670284386952602</v>
      </c>
      <c r="AS751" s="71">
        <f>IF(tech_base!$T127&gt;AS$625,"",(1000*tech_proj!AS1091*(-PMT($J$110,tech_base!$F127,1))+1000*tech_proj!AS1371)/((1-tech_proj!AS531)*tech_proj!AS811*$L$110))</f>
        <v>85.670284386952602</v>
      </c>
      <c r="AT751" s="71">
        <f>IF(tech_base!$T127&gt;AT$625,"",(1000*tech_proj!AT1091*(-PMT($J$110,tech_base!$F127,1))+1000*tech_proj!AT1371)/((1-tech_proj!AT531)*tech_proj!AT811*$L$110))</f>
        <v>85.670284386952602</v>
      </c>
      <c r="AU751" s="71">
        <f>IF(tech_base!$T127&gt;AU$625,"",(1000*tech_proj!AU1091*(-PMT($J$110,tech_base!$F127,1))+1000*tech_proj!AU1371)/((1-tech_proj!AU531)*tech_proj!AU811*$L$110))</f>
        <v>85.670284386952602</v>
      </c>
      <c r="AV751" s="71">
        <f>IF(tech_base!$T127&gt;AV$625,"",(1000*tech_proj!AV1091*(-PMT($J$110,tech_base!$F127,1))+1000*tech_proj!AV1371)/((1-tech_proj!AV531)*tech_proj!AV811*$L$110))</f>
        <v>85.670284386952602</v>
      </c>
      <c r="AW751" s="71">
        <f>IF(tech_base!$T127&gt;AW$625,"",(1000*tech_proj!AW1091*(-PMT($J$110,tech_base!$F127,1))+1000*tech_proj!AW1371)/((1-tech_proj!AW531)*tech_proj!AW811*$L$110))</f>
        <v>85.670284386952602</v>
      </c>
      <c r="AX751" s="237">
        <f>IF(tech_base!$T127&gt;AX$625,"",(1000*tech_proj!AX1091*(-PMT($J$110,tech_base!$F127,1))+1000*tech_proj!AX1371)/((1-tech_proj!AX531)*tech_proj!AX811*$L$110))</f>
        <v>85.670284386952602</v>
      </c>
      <c r="AY751" s="133"/>
    </row>
    <row r="752" spans="1:51" s="174" customFormat="1" x14ac:dyDescent="0.25">
      <c r="A752" s="356"/>
      <c r="B752" s="359"/>
      <c r="C752" s="379"/>
      <c r="D752" s="59" t="s">
        <v>8</v>
      </c>
      <c r="E752" s="166" t="str">
        <f>A743&amp;"/"&amp;B743&amp;"/"&amp;C751&amp;"/"&amp;D752</f>
        <v>Derived gas fired power plants/Steam turbine/Electricity only with CCS/M</v>
      </c>
      <c r="F752" s="79" t="str">
        <f>A743</f>
        <v>Derived gas fired power plants</v>
      </c>
      <c r="G752" s="79" t="str">
        <f>B743</f>
        <v>Steam turbine</v>
      </c>
      <c r="H752" s="79" t="str">
        <f>C751</f>
        <v>Electricity only with CCS</v>
      </c>
      <c r="I752" s="167" t="str">
        <f t="shared" si="363"/>
        <v>M</v>
      </c>
      <c r="J752" s="72" t="str">
        <f>IF(tech_base!$T128&gt;J$625,"",(1000*tech_proj!J1092*(-PMT($J$110,tech_base!$F128,1))+1000*tech_proj!J1372)/((1-tech_proj!J532)*tech_proj!J812*$L$110))</f>
        <v/>
      </c>
      <c r="K752" s="72" t="str">
        <f>IF(tech_base!$T128&gt;K$625,"",(1000*tech_proj!K1092*(-PMT($J$110,tech_base!$F128,1))+1000*tech_proj!K1372)/((1-tech_proj!K532)*tech_proj!K812*$L$110))</f>
        <v/>
      </c>
      <c r="L752" s="72" t="str">
        <f>IF(tech_base!$T128&gt;L$625,"",(1000*tech_proj!L1092*(-PMT($J$110,tech_base!$F128,1))+1000*tech_proj!L1372)/((1-tech_proj!L532)*tech_proj!L812*$L$110))</f>
        <v/>
      </c>
      <c r="M752" s="72" t="str">
        <f>IF(tech_base!$T128&gt;M$625,"",(1000*tech_proj!M1092*(-PMT($J$110,tech_base!$F128,1))+1000*tech_proj!M1372)/((1-tech_proj!M532)*tech_proj!M812*$L$110))</f>
        <v/>
      </c>
      <c r="N752" s="72" t="str">
        <f>IF(tech_base!$T128&gt;N$625,"",(1000*tech_proj!N1092*(-PMT($J$110,tech_base!$F128,1))+1000*tech_proj!N1372)/((1-tech_proj!N532)*tech_proj!N812*$L$110))</f>
        <v/>
      </c>
      <c r="O752" s="72" t="str">
        <f>IF(tech_base!$T128&gt;O$625,"",(1000*tech_proj!O1092*(-PMT($J$110,tech_base!$F128,1))+1000*tech_proj!O1372)/((1-tech_proj!O532)*tech_proj!O812*$L$110))</f>
        <v/>
      </c>
      <c r="P752" s="72" t="str">
        <f>IF(tech_base!$T128&gt;P$625,"",(1000*tech_proj!P1092*(-PMT($J$110,tech_base!$F128,1))+1000*tech_proj!P1372)/((1-tech_proj!P532)*tech_proj!P812*$L$110))</f>
        <v/>
      </c>
      <c r="Q752" s="72" t="str">
        <f>IF(tech_base!$T128&gt;Q$625,"",(1000*tech_proj!Q1092*(-PMT($J$110,tech_base!$F128,1))+1000*tech_proj!Q1372)/((1-tech_proj!Q532)*tech_proj!Q812*$L$110))</f>
        <v/>
      </c>
      <c r="R752" s="72" t="str">
        <f>IF(tech_base!$T128&gt;R$625,"",(1000*tech_proj!R1092*(-PMT($J$110,tech_base!$F128,1))+1000*tech_proj!R1372)/((1-tech_proj!R532)*tech_proj!R812*$L$110))</f>
        <v/>
      </c>
      <c r="S752" s="72" t="str">
        <f>IF(tech_base!$T128&gt;S$625,"",(1000*tech_proj!S1092*(-PMT($J$110,tech_base!$F128,1))+1000*tech_proj!S1372)/((1-tech_proj!S532)*tech_proj!S812*$L$110))</f>
        <v/>
      </c>
      <c r="T752" s="72" t="str">
        <f>IF(tech_base!$T128&gt;T$625,"",(1000*tech_proj!T1092*(-PMT($J$110,tech_base!$F128,1))+1000*tech_proj!T1372)/((1-tech_proj!T532)*tech_proj!T812*$L$110))</f>
        <v/>
      </c>
      <c r="U752" s="72" t="str">
        <f>IF(tech_base!$T128&gt;U$625,"",(1000*tech_proj!U1092*(-PMT($J$110,tech_base!$F128,1))+1000*tech_proj!U1372)/((1-tech_proj!U532)*tech_proj!U812*$L$110))</f>
        <v/>
      </c>
      <c r="V752" s="72" t="str">
        <f>IF(tech_base!$T128&gt;V$625,"",(1000*tech_proj!V1092*(-PMT($J$110,tech_base!$F128,1))+1000*tech_proj!V1372)/((1-tech_proj!V532)*tech_proj!V812*$L$110))</f>
        <v/>
      </c>
      <c r="W752" s="72" t="str">
        <f>IF(tech_base!$T128&gt;W$625,"",(1000*tech_proj!W1092*(-PMT($J$110,tech_base!$F128,1))+1000*tech_proj!W1372)/((1-tech_proj!W532)*tech_proj!W812*$L$110))</f>
        <v/>
      </c>
      <c r="X752" s="72" t="str">
        <f>IF(tech_base!$T128&gt;X$625,"",(1000*tech_proj!X1092*(-PMT($J$110,tech_base!$F128,1))+1000*tech_proj!X1372)/((1-tech_proj!X532)*tech_proj!X812*$L$110))</f>
        <v/>
      </c>
      <c r="Y752" s="72" t="str">
        <f>IF(tech_base!$T128&gt;Y$625,"",(1000*tech_proj!Y1092*(-PMT($J$110,tech_base!$F128,1))+1000*tech_proj!Y1372)/((1-tech_proj!Y532)*tech_proj!Y812*$L$110))</f>
        <v/>
      </c>
      <c r="Z752" s="72" t="str">
        <f>IF(tech_base!$T128&gt;Z$625,"",(1000*tech_proj!Z1092*(-PMT($J$110,tech_base!$F128,1))+1000*tech_proj!Z1372)/((1-tech_proj!Z532)*tech_proj!Z812*$L$110))</f>
        <v/>
      </c>
      <c r="AA752" s="72" t="str">
        <f>IF(tech_base!$T128&gt;AA$625,"",(1000*tech_proj!AA1092*(-PMT($J$110,tech_base!$F128,1))+1000*tech_proj!AA1372)/((1-tech_proj!AA532)*tech_proj!AA812*$L$110))</f>
        <v/>
      </c>
      <c r="AB752" s="72" t="str">
        <f>IF(tech_base!$T128&gt;AB$625,"",(1000*tech_proj!AB1092*(-PMT($J$110,tech_base!$F128,1))+1000*tech_proj!AB1372)/((1-tech_proj!AB532)*tech_proj!AB812*$L$110))</f>
        <v/>
      </c>
      <c r="AC752" s="72" t="str">
        <f>IF(tech_base!$T128&gt;AC$625,"",(1000*tech_proj!AC1092*(-PMT($J$110,tech_base!$F128,1))+1000*tech_proj!AC1372)/((1-tech_proj!AC532)*tech_proj!AC812*$L$110))</f>
        <v/>
      </c>
      <c r="AD752" s="72" t="str">
        <f>IF(tech_base!$T128&gt;AD$625,"",(1000*tech_proj!AD1092*(-PMT($J$110,tech_base!$F128,1))+1000*tech_proj!AD1372)/((1-tech_proj!AD532)*tech_proj!AD812*$L$110))</f>
        <v/>
      </c>
      <c r="AE752" s="72">
        <f>IF(tech_base!$T128&gt;AE$625,"",(1000*tech_proj!AE1092*(-PMT($J$110,tech_base!$F128,1))+1000*tech_proj!AE1372)/((1-tech_proj!AE532)*tech_proj!AE812*$L$110))</f>
        <v>111.27118424672852</v>
      </c>
      <c r="AF752" s="72">
        <f>IF(tech_base!$T128&gt;AF$625,"",(1000*tech_proj!AF1092*(-PMT($J$110,tech_base!$F128,1))+1000*tech_proj!AF1372)/((1-tech_proj!AF532)*tech_proj!AF812*$L$110))</f>
        <v>111.27118424672852</v>
      </c>
      <c r="AG752" s="72">
        <f>IF(tech_base!$T128&gt;AG$625,"",(1000*tech_proj!AG1092*(-PMT($J$110,tech_base!$F128,1))+1000*tech_proj!AG1372)/((1-tech_proj!AG532)*tech_proj!AG812*$L$110))</f>
        <v>111.27118424672852</v>
      </c>
      <c r="AH752" s="72">
        <f>IF(tech_base!$T128&gt;AH$625,"",(1000*tech_proj!AH1092*(-PMT($J$110,tech_base!$F128,1))+1000*tech_proj!AH1372)/((1-tech_proj!AH532)*tech_proj!AH812*$L$110))</f>
        <v>111.27118424672852</v>
      </c>
      <c r="AI752" s="72">
        <f>IF(tech_base!$T128&gt;AI$625,"",(1000*tech_proj!AI1092*(-PMT($J$110,tech_base!$F128,1))+1000*tech_proj!AI1372)/((1-tech_proj!AI532)*tech_proj!AI812*$L$110))</f>
        <v>111.27118424672852</v>
      </c>
      <c r="AJ752" s="72">
        <f>IF(tech_base!$T128&gt;AJ$625,"",(1000*tech_proj!AJ1092*(-PMT($J$110,tech_base!$F128,1))+1000*tech_proj!AJ1372)/((1-tech_proj!AJ532)*tech_proj!AJ812*$L$110))</f>
        <v>111.27118424672852</v>
      </c>
      <c r="AK752" s="72">
        <f>IF(tech_base!$T128&gt;AK$625,"",(1000*tech_proj!AK1092*(-PMT($J$110,tech_base!$F128,1))+1000*tech_proj!AK1372)/((1-tech_proj!AK532)*tech_proj!AK812*$L$110))</f>
        <v>111.27118424672852</v>
      </c>
      <c r="AL752" s="72">
        <f>IF(tech_base!$T128&gt;AL$625,"",(1000*tech_proj!AL1092*(-PMT($J$110,tech_base!$F128,1))+1000*tech_proj!AL1372)/((1-tech_proj!AL532)*tech_proj!AL812*$L$110))</f>
        <v>111.27118424672852</v>
      </c>
      <c r="AM752" s="72">
        <f>IF(tech_base!$T128&gt;AM$625,"",(1000*tech_proj!AM1092*(-PMT($J$110,tech_base!$F128,1))+1000*tech_proj!AM1372)/((1-tech_proj!AM532)*tech_proj!AM812*$L$110))</f>
        <v>111.27118424672852</v>
      </c>
      <c r="AN752" s="72">
        <f>IF(tech_base!$T128&gt;AN$625,"",(1000*tech_proj!AN1092*(-PMT($J$110,tech_base!$F128,1))+1000*tech_proj!AN1372)/((1-tech_proj!AN532)*tech_proj!AN812*$L$110))</f>
        <v>111.27118424672852</v>
      </c>
      <c r="AO752" s="72">
        <f>IF(tech_base!$T128&gt;AO$625,"",(1000*tech_proj!AO1092*(-PMT($J$110,tech_base!$F128,1))+1000*tech_proj!AO1372)/((1-tech_proj!AO532)*tech_proj!AO812*$L$110))</f>
        <v>111.27118424672852</v>
      </c>
      <c r="AP752" s="72">
        <f>IF(tech_base!$T128&gt;AP$625,"",(1000*tech_proj!AP1092*(-PMT($J$110,tech_base!$F128,1))+1000*tech_proj!AP1372)/((1-tech_proj!AP532)*tech_proj!AP812*$L$110))</f>
        <v>111.27118424672852</v>
      </c>
      <c r="AQ752" s="72">
        <f>IF(tech_base!$T128&gt;AQ$625,"",(1000*tech_proj!AQ1092*(-PMT($J$110,tech_base!$F128,1))+1000*tech_proj!AQ1372)/((1-tech_proj!AQ532)*tech_proj!AQ812*$L$110))</f>
        <v>111.27118424672852</v>
      </c>
      <c r="AR752" s="72">
        <f>IF(tech_base!$T128&gt;AR$625,"",(1000*tech_proj!AR1092*(-PMT($J$110,tech_base!$F128,1))+1000*tech_proj!AR1372)/((1-tech_proj!AR532)*tech_proj!AR812*$L$110))</f>
        <v>111.27118424672852</v>
      </c>
      <c r="AS752" s="72">
        <f>IF(tech_base!$T128&gt;AS$625,"",(1000*tech_proj!AS1092*(-PMT($J$110,tech_base!$F128,1))+1000*tech_proj!AS1372)/((1-tech_proj!AS532)*tech_proj!AS812*$L$110))</f>
        <v>111.27118424672852</v>
      </c>
      <c r="AT752" s="72">
        <f>IF(tech_base!$T128&gt;AT$625,"",(1000*tech_proj!AT1092*(-PMT($J$110,tech_base!$F128,1))+1000*tech_proj!AT1372)/((1-tech_proj!AT532)*tech_proj!AT812*$L$110))</f>
        <v>111.27118424672852</v>
      </c>
      <c r="AU752" s="72">
        <f>IF(tech_base!$T128&gt;AU$625,"",(1000*tech_proj!AU1092*(-PMT($J$110,tech_base!$F128,1))+1000*tech_proj!AU1372)/((1-tech_proj!AU532)*tech_proj!AU812*$L$110))</f>
        <v>111.27118424672852</v>
      </c>
      <c r="AV752" s="72">
        <f>IF(tech_base!$T128&gt;AV$625,"",(1000*tech_proj!AV1092*(-PMT($J$110,tech_base!$F128,1))+1000*tech_proj!AV1372)/((1-tech_proj!AV532)*tech_proj!AV812*$L$110))</f>
        <v>111.27118424672852</v>
      </c>
      <c r="AW752" s="72">
        <f>IF(tech_base!$T128&gt;AW$625,"",(1000*tech_proj!AW1092*(-PMT($J$110,tech_base!$F128,1))+1000*tech_proj!AW1372)/((1-tech_proj!AW532)*tech_proj!AW812*$L$110))</f>
        <v>111.27118424672852</v>
      </c>
      <c r="AX752" s="238">
        <f>IF(tech_base!$T128&gt;AX$625,"",(1000*tech_proj!AX1092*(-PMT($J$110,tech_base!$F128,1))+1000*tech_proj!AX1372)/((1-tech_proj!AX532)*tech_proj!AX812*$L$110))</f>
        <v>111.27118424672852</v>
      </c>
      <c r="AY752" s="133"/>
    </row>
    <row r="753" spans="1:51" s="174" customFormat="1" x14ac:dyDescent="0.25">
      <c r="A753" s="356"/>
      <c r="B753" s="359"/>
      <c r="C753" s="361" t="s">
        <v>16</v>
      </c>
      <c r="D753" s="2" t="s">
        <v>7</v>
      </c>
      <c r="E753" s="160" t="str">
        <f>A743&amp;"/"&amp;B743&amp;"/"&amp;C753&amp;"/"&amp;D753</f>
        <v>Derived gas fired power plants/Steam turbine/CHP with CCS/L</v>
      </c>
      <c r="F753" s="76" t="str">
        <f>A743</f>
        <v>Derived gas fired power plants</v>
      </c>
      <c r="G753" s="76" t="str">
        <f>B743</f>
        <v>Steam turbine</v>
      </c>
      <c r="H753" s="76" t="str">
        <f>C753</f>
        <v>CHP with CCS</v>
      </c>
      <c r="I753" s="161" t="str">
        <f t="shared" si="363"/>
        <v>L</v>
      </c>
      <c r="J753" s="69" t="str">
        <f>IF(tech_base!$T129&gt;J$625,"",(1000*tech_proj!J1093*(-PMT($J$110,tech_base!$F129,1))+1000*tech_proj!J1373)/((1-tech_proj!J533)*tech_proj!J813*$L$110))</f>
        <v/>
      </c>
      <c r="K753" s="69" t="str">
        <f>IF(tech_base!$T129&gt;K$625,"",(1000*tech_proj!K1093*(-PMT($J$110,tech_base!$F129,1))+1000*tech_proj!K1373)/((1-tech_proj!K533)*tech_proj!K813*$L$110))</f>
        <v/>
      </c>
      <c r="L753" s="69" t="str">
        <f>IF(tech_base!$T129&gt;L$625,"",(1000*tech_proj!L1093*(-PMT($J$110,tech_base!$F129,1))+1000*tech_proj!L1373)/((1-tech_proj!L533)*tech_proj!L813*$L$110))</f>
        <v/>
      </c>
      <c r="M753" s="69" t="str">
        <f>IF(tech_base!$T129&gt;M$625,"",(1000*tech_proj!M1093*(-PMT($J$110,tech_base!$F129,1))+1000*tech_proj!M1373)/((1-tech_proj!M533)*tech_proj!M813*$L$110))</f>
        <v/>
      </c>
      <c r="N753" s="69" t="str">
        <f>IF(tech_base!$T129&gt;N$625,"",(1000*tech_proj!N1093*(-PMT($J$110,tech_base!$F129,1))+1000*tech_proj!N1373)/((1-tech_proj!N533)*tech_proj!N813*$L$110))</f>
        <v/>
      </c>
      <c r="O753" s="69" t="str">
        <f>IF(tech_base!$T129&gt;O$625,"",(1000*tech_proj!O1093*(-PMT($J$110,tech_base!$F129,1))+1000*tech_proj!O1373)/((1-tech_proj!O533)*tech_proj!O813*$L$110))</f>
        <v/>
      </c>
      <c r="P753" s="69" t="str">
        <f>IF(tech_base!$T129&gt;P$625,"",(1000*tech_proj!P1093*(-PMT($J$110,tech_base!$F129,1))+1000*tech_proj!P1373)/((1-tech_proj!P533)*tech_proj!P813*$L$110))</f>
        <v/>
      </c>
      <c r="Q753" s="69" t="str">
        <f>IF(tech_base!$T129&gt;Q$625,"",(1000*tech_proj!Q1093*(-PMT($J$110,tech_base!$F129,1))+1000*tech_proj!Q1373)/((1-tech_proj!Q533)*tech_proj!Q813*$L$110))</f>
        <v/>
      </c>
      <c r="R753" s="69" t="str">
        <f>IF(tech_base!$T129&gt;R$625,"",(1000*tech_proj!R1093*(-PMT($J$110,tech_base!$F129,1))+1000*tech_proj!R1373)/((1-tech_proj!R533)*tech_proj!R813*$L$110))</f>
        <v/>
      </c>
      <c r="S753" s="69" t="str">
        <f>IF(tech_base!$T129&gt;S$625,"",(1000*tech_proj!S1093*(-PMT($J$110,tech_base!$F129,1))+1000*tech_proj!S1373)/((1-tech_proj!S533)*tech_proj!S813*$L$110))</f>
        <v/>
      </c>
      <c r="T753" s="69" t="str">
        <f>IF(tech_base!$T129&gt;T$625,"",(1000*tech_proj!T1093*(-PMT($J$110,tech_base!$F129,1))+1000*tech_proj!T1373)/((1-tech_proj!T533)*tech_proj!T813*$L$110))</f>
        <v/>
      </c>
      <c r="U753" s="69" t="str">
        <f>IF(tech_base!$T129&gt;U$625,"",(1000*tech_proj!U1093*(-PMT($J$110,tech_base!$F129,1))+1000*tech_proj!U1373)/((1-tech_proj!U533)*tech_proj!U813*$L$110))</f>
        <v/>
      </c>
      <c r="V753" s="69" t="str">
        <f>IF(tech_base!$T129&gt;V$625,"",(1000*tech_proj!V1093*(-PMT($J$110,tech_base!$F129,1))+1000*tech_proj!V1373)/((1-tech_proj!V533)*tech_proj!V813*$L$110))</f>
        <v/>
      </c>
      <c r="W753" s="69" t="str">
        <f>IF(tech_base!$T129&gt;W$625,"",(1000*tech_proj!W1093*(-PMT($J$110,tech_base!$F129,1))+1000*tech_proj!W1373)/((1-tech_proj!W533)*tech_proj!W813*$L$110))</f>
        <v/>
      </c>
      <c r="X753" s="69" t="str">
        <f>IF(tech_base!$T129&gt;X$625,"",(1000*tech_proj!X1093*(-PMT($J$110,tech_base!$F129,1))+1000*tech_proj!X1373)/((1-tech_proj!X533)*tech_proj!X813*$L$110))</f>
        <v/>
      </c>
      <c r="Y753" s="69" t="str">
        <f>IF(tech_base!$T129&gt;Y$625,"",(1000*tech_proj!Y1093*(-PMT($J$110,tech_base!$F129,1))+1000*tech_proj!Y1373)/((1-tech_proj!Y533)*tech_proj!Y813*$L$110))</f>
        <v/>
      </c>
      <c r="Z753" s="69" t="str">
        <f>IF(tech_base!$T129&gt;Z$625,"",(1000*tech_proj!Z1093*(-PMT($J$110,tech_base!$F129,1))+1000*tech_proj!Z1373)/((1-tech_proj!Z533)*tech_proj!Z813*$L$110))</f>
        <v/>
      </c>
      <c r="AA753" s="69" t="str">
        <f>IF(tech_base!$T129&gt;AA$625,"",(1000*tech_proj!AA1093*(-PMT($J$110,tech_base!$F129,1))+1000*tech_proj!AA1373)/((1-tech_proj!AA533)*tech_proj!AA813*$L$110))</f>
        <v/>
      </c>
      <c r="AB753" s="69" t="str">
        <f>IF(tech_base!$T129&gt;AB$625,"",(1000*tech_proj!AB1093*(-PMT($J$110,tech_base!$F129,1))+1000*tech_proj!AB1373)/((1-tech_proj!AB533)*tech_proj!AB813*$L$110))</f>
        <v/>
      </c>
      <c r="AC753" s="69" t="str">
        <f>IF(tech_base!$T129&gt;AC$625,"",(1000*tech_proj!AC1093*(-PMT($J$110,tech_base!$F129,1))+1000*tech_proj!AC1373)/((1-tech_proj!AC533)*tech_proj!AC813*$L$110))</f>
        <v/>
      </c>
      <c r="AD753" s="69" t="str">
        <f>IF(tech_base!$T129&gt;AD$625,"",(1000*tech_proj!AD1093*(-PMT($J$110,tech_base!$F129,1))+1000*tech_proj!AD1373)/((1-tech_proj!AD533)*tech_proj!AD813*$L$110))</f>
        <v/>
      </c>
      <c r="AE753" s="69">
        <f>IF(tech_base!$T129&gt;AE$625,"",(1000*tech_proj!AE1093*(-PMT($J$110,tech_base!$F129,1))+1000*tech_proj!AE1373)/((1-tech_proj!AE533)*tech_proj!AE813*$L$110))</f>
        <v>110.20226727176873</v>
      </c>
      <c r="AF753" s="69">
        <f>IF(tech_base!$T129&gt;AF$625,"",(1000*tech_proj!AF1093*(-PMT($J$110,tech_base!$F129,1))+1000*tech_proj!AF1373)/((1-tech_proj!AF533)*tech_proj!AF813*$L$110))</f>
        <v>110.20226727176873</v>
      </c>
      <c r="AG753" s="69">
        <f>IF(tech_base!$T129&gt;AG$625,"",(1000*tech_proj!AG1093*(-PMT($J$110,tech_base!$F129,1))+1000*tech_proj!AG1373)/((1-tech_proj!AG533)*tech_proj!AG813*$L$110))</f>
        <v>110.20226727176873</v>
      </c>
      <c r="AH753" s="69">
        <f>IF(tech_base!$T129&gt;AH$625,"",(1000*tech_proj!AH1093*(-PMT($J$110,tech_base!$F129,1))+1000*tech_proj!AH1373)/((1-tech_proj!AH533)*tech_proj!AH813*$L$110))</f>
        <v>110.20226727176873</v>
      </c>
      <c r="AI753" s="69">
        <f>IF(tech_base!$T129&gt;AI$625,"",(1000*tech_proj!AI1093*(-PMT($J$110,tech_base!$F129,1))+1000*tech_proj!AI1373)/((1-tech_proj!AI533)*tech_proj!AI813*$L$110))</f>
        <v>110.20226727176873</v>
      </c>
      <c r="AJ753" s="69">
        <f>IF(tech_base!$T129&gt;AJ$625,"",(1000*tech_proj!AJ1093*(-PMT($J$110,tech_base!$F129,1))+1000*tech_proj!AJ1373)/((1-tech_proj!AJ533)*tech_proj!AJ813*$L$110))</f>
        <v>110.20226727176873</v>
      </c>
      <c r="AK753" s="69">
        <f>IF(tech_base!$T129&gt;AK$625,"",(1000*tech_proj!AK1093*(-PMT($J$110,tech_base!$F129,1))+1000*tech_proj!AK1373)/((1-tech_proj!AK533)*tech_proj!AK813*$L$110))</f>
        <v>110.20226727176873</v>
      </c>
      <c r="AL753" s="69">
        <f>IF(tech_base!$T129&gt;AL$625,"",(1000*tech_proj!AL1093*(-PMT($J$110,tech_base!$F129,1))+1000*tech_proj!AL1373)/((1-tech_proj!AL533)*tech_proj!AL813*$L$110))</f>
        <v>110.20226727176873</v>
      </c>
      <c r="AM753" s="69">
        <f>IF(tech_base!$T129&gt;AM$625,"",(1000*tech_proj!AM1093*(-PMT($J$110,tech_base!$F129,1))+1000*tech_proj!AM1373)/((1-tech_proj!AM533)*tech_proj!AM813*$L$110))</f>
        <v>110.20226727176873</v>
      </c>
      <c r="AN753" s="69">
        <f>IF(tech_base!$T129&gt;AN$625,"",(1000*tech_proj!AN1093*(-PMT($J$110,tech_base!$F129,1))+1000*tech_proj!AN1373)/((1-tech_proj!AN533)*tech_proj!AN813*$L$110))</f>
        <v>110.20226727176873</v>
      </c>
      <c r="AO753" s="69">
        <f>IF(tech_base!$T129&gt;AO$625,"",(1000*tech_proj!AO1093*(-PMT($J$110,tech_base!$F129,1))+1000*tech_proj!AO1373)/((1-tech_proj!AO533)*tech_proj!AO813*$L$110))</f>
        <v>110.20226727176873</v>
      </c>
      <c r="AP753" s="69">
        <f>IF(tech_base!$T129&gt;AP$625,"",(1000*tech_proj!AP1093*(-PMT($J$110,tech_base!$F129,1))+1000*tech_proj!AP1373)/((1-tech_proj!AP533)*tech_proj!AP813*$L$110))</f>
        <v>110.20226727176873</v>
      </c>
      <c r="AQ753" s="69">
        <f>IF(tech_base!$T129&gt;AQ$625,"",(1000*tech_proj!AQ1093*(-PMT($J$110,tech_base!$F129,1))+1000*tech_proj!AQ1373)/((1-tech_proj!AQ533)*tech_proj!AQ813*$L$110))</f>
        <v>110.20226727176873</v>
      </c>
      <c r="AR753" s="69">
        <f>IF(tech_base!$T129&gt;AR$625,"",(1000*tech_proj!AR1093*(-PMT($J$110,tech_base!$F129,1))+1000*tech_proj!AR1373)/((1-tech_proj!AR533)*tech_proj!AR813*$L$110))</f>
        <v>110.20226727176873</v>
      </c>
      <c r="AS753" s="69">
        <f>IF(tech_base!$T129&gt;AS$625,"",(1000*tech_proj!AS1093*(-PMT($J$110,tech_base!$F129,1))+1000*tech_proj!AS1373)/((1-tech_proj!AS533)*tech_proj!AS813*$L$110))</f>
        <v>110.20226727176873</v>
      </c>
      <c r="AT753" s="69">
        <f>IF(tech_base!$T129&gt;AT$625,"",(1000*tech_proj!AT1093*(-PMT($J$110,tech_base!$F129,1))+1000*tech_proj!AT1373)/((1-tech_proj!AT533)*tech_proj!AT813*$L$110))</f>
        <v>110.20226727176873</v>
      </c>
      <c r="AU753" s="69">
        <f>IF(tech_base!$T129&gt;AU$625,"",(1000*tech_proj!AU1093*(-PMT($J$110,tech_base!$F129,1))+1000*tech_proj!AU1373)/((1-tech_proj!AU533)*tech_proj!AU813*$L$110))</f>
        <v>110.20226727176873</v>
      </c>
      <c r="AV753" s="69">
        <f>IF(tech_base!$T129&gt;AV$625,"",(1000*tech_proj!AV1093*(-PMT($J$110,tech_base!$F129,1))+1000*tech_proj!AV1373)/((1-tech_proj!AV533)*tech_proj!AV813*$L$110))</f>
        <v>110.20226727176873</v>
      </c>
      <c r="AW753" s="69">
        <f>IF(tech_base!$T129&gt;AW$625,"",(1000*tech_proj!AW1093*(-PMT($J$110,tech_base!$F129,1))+1000*tech_proj!AW1373)/((1-tech_proj!AW533)*tech_proj!AW813*$L$110))</f>
        <v>110.20226727176873</v>
      </c>
      <c r="AX753" s="235">
        <f>IF(tech_base!$T129&gt;AX$625,"",(1000*tech_proj!AX1093*(-PMT($J$110,tech_base!$F129,1))+1000*tech_proj!AX1373)/((1-tech_proj!AX533)*tech_proj!AX813*$L$110))</f>
        <v>110.20226727176873</v>
      </c>
      <c r="AY753" s="133"/>
    </row>
    <row r="754" spans="1:51" s="174" customFormat="1" x14ac:dyDescent="0.25">
      <c r="A754" s="357"/>
      <c r="B754" s="362"/>
      <c r="C754" s="381"/>
      <c r="D754" s="4" t="s">
        <v>8</v>
      </c>
      <c r="E754" s="168" t="str">
        <f>A743&amp;"/"&amp;B743&amp;"/"&amp;C753&amp;"/"&amp;D754</f>
        <v>Derived gas fired power plants/Steam turbine/CHP with CCS/M</v>
      </c>
      <c r="F754" s="80" t="str">
        <f>A743</f>
        <v>Derived gas fired power plants</v>
      </c>
      <c r="G754" s="80" t="str">
        <f>B743</f>
        <v>Steam turbine</v>
      </c>
      <c r="H754" s="80" t="str">
        <f>C753</f>
        <v>CHP with CCS</v>
      </c>
      <c r="I754" s="169" t="str">
        <f t="shared" si="363"/>
        <v>M</v>
      </c>
      <c r="J754" s="73" t="str">
        <f>IF(tech_base!$T130&gt;J$625,"",(1000*tech_proj!J1094*(-PMT($J$110,tech_base!$F130,1))+1000*tech_proj!J1374)/((1-tech_proj!J534)*tech_proj!J814*$L$110))</f>
        <v/>
      </c>
      <c r="K754" s="73" t="str">
        <f>IF(tech_base!$T130&gt;K$625,"",(1000*tech_proj!K1094*(-PMT($J$110,tech_base!$F130,1))+1000*tech_proj!K1374)/((1-tech_proj!K534)*tech_proj!K814*$L$110))</f>
        <v/>
      </c>
      <c r="L754" s="73" t="str">
        <f>IF(tech_base!$T130&gt;L$625,"",(1000*tech_proj!L1094*(-PMT($J$110,tech_base!$F130,1))+1000*tech_proj!L1374)/((1-tech_proj!L534)*tech_proj!L814*$L$110))</f>
        <v/>
      </c>
      <c r="M754" s="73" t="str">
        <f>IF(tech_base!$T130&gt;M$625,"",(1000*tech_proj!M1094*(-PMT($J$110,tech_base!$F130,1))+1000*tech_proj!M1374)/((1-tech_proj!M534)*tech_proj!M814*$L$110))</f>
        <v/>
      </c>
      <c r="N754" s="73" t="str">
        <f>IF(tech_base!$T130&gt;N$625,"",(1000*tech_proj!N1094*(-PMT($J$110,tech_base!$F130,1))+1000*tech_proj!N1374)/((1-tech_proj!N534)*tech_proj!N814*$L$110))</f>
        <v/>
      </c>
      <c r="O754" s="73" t="str">
        <f>IF(tech_base!$T130&gt;O$625,"",(1000*tech_proj!O1094*(-PMT($J$110,tech_base!$F130,1))+1000*tech_proj!O1374)/((1-tech_proj!O534)*tech_proj!O814*$L$110))</f>
        <v/>
      </c>
      <c r="P754" s="73" t="str">
        <f>IF(tech_base!$T130&gt;P$625,"",(1000*tech_proj!P1094*(-PMT($J$110,tech_base!$F130,1))+1000*tech_proj!P1374)/((1-tech_proj!P534)*tech_proj!P814*$L$110))</f>
        <v/>
      </c>
      <c r="Q754" s="73" t="str">
        <f>IF(tech_base!$T130&gt;Q$625,"",(1000*tech_proj!Q1094*(-PMT($J$110,tech_base!$F130,1))+1000*tech_proj!Q1374)/((1-tech_proj!Q534)*tech_proj!Q814*$L$110))</f>
        <v/>
      </c>
      <c r="R754" s="73" t="str">
        <f>IF(tech_base!$T130&gt;R$625,"",(1000*tech_proj!R1094*(-PMT($J$110,tech_base!$F130,1))+1000*tech_proj!R1374)/((1-tech_proj!R534)*tech_proj!R814*$L$110))</f>
        <v/>
      </c>
      <c r="S754" s="73" t="str">
        <f>IF(tech_base!$T130&gt;S$625,"",(1000*tech_proj!S1094*(-PMT($J$110,tech_base!$F130,1))+1000*tech_proj!S1374)/((1-tech_proj!S534)*tech_proj!S814*$L$110))</f>
        <v/>
      </c>
      <c r="T754" s="73" t="str">
        <f>IF(tech_base!$T130&gt;T$625,"",(1000*tech_proj!T1094*(-PMT($J$110,tech_base!$F130,1))+1000*tech_proj!T1374)/((1-tech_proj!T534)*tech_proj!T814*$L$110))</f>
        <v/>
      </c>
      <c r="U754" s="73" t="str">
        <f>IF(tech_base!$T130&gt;U$625,"",(1000*tech_proj!U1094*(-PMT($J$110,tech_base!$F130,1))+1000*tech_proj!U1374)/((1-tech_proj!U534)*tech_proj!U814*$L$110))</f>
        <v/>
      </c>
      <c r="V754" s="73" t="str">
        <f>IF(tech_base!$T130&gt;V$625,"",(1000*tech_proj!V1094*(-PMT($J$110,tech_base!$F130,1))+1000*tech_proj!V1374)/((1-tech_proj!V534)*tech_proj!V814*$L$110))</f>
        <v/>
      </c>
      <c r="W754" s="73" t="str">
        <f>IF(tech_base!$T130&gt;W$625,"",(1000*tech_proj!W1094*(-PMT($J$110,tech_base!$F130,1))+1000*tech_proj!W1374)/((1-tech_proj!W534)*tech_proj!W814*$L$110))</f>
        <v/>
      </c>
      <c r="X754" s="73" t="str">
        <f>IF(tech_base!$T130&gt;X$625,"",(1000*tech_proj!X1094*(-PMT($J$110,tech_base!$F130,1))+1000*tech_proj!X1374)/((1-tech_proj!X534)*tech_proj!X814*$L$110))</f>
        <v/>
      </c>
      <c r="Y754" s="73" t="str">
        <f>IF(tech_base!$T130&gt;Y$625,"",(1000*tech_proj!Y1094*(-PMT($J$110,tech_base!$F130,1))+1000*tech_proj!Y1374)/((1-tech_proj!Y534)*tech_proj!Y814*$L$110))</f>
        <v/>
      </c>
      <c r="Z754" s="73" t="str">
        <f>IF(tech_base!$T130&gt;Z$625,"",(1000*tech_proj!Z1094*(-PMT($J$110,tech_base!$F130,1))+1000*tech_proj!Z1374)/((1-tech_proj!Z534)*tech_proj!Z814*$L$110))</f>
        <v/>
      </c>
      <c r="AA754" s="73" t="str">
        <f>IF(tech_base!$T130&gt;AA$625,"",(1000*tech_proj!AA1094*(-PMT($J$110,tech_base!$F130,1))+1000*tech_proj!AA1374)/((1-tech_proj!AA534)*tech_proj!AA814*$L$110))</f>
        <v/>
      </c>
      <c r="AB754" s="73" t="str">
        <f>IF(tech_base!$T130&gt;AB$625,"",(1000*tech_proj!AB1094*(-PMT($J$110,tech_base!$F130,1))+1000*tech_proj!AB1374)/((1-tech_proj!AB534)*tech_proj!AB814*$L$110))</f>
        <v/>
      </c>
      <c r="AC754" s="73" t="str">
        <f>IF(tech_base!$T130&gt;AC$625,"",(1000*tech_proj!AC1094*(-PMT($J$110,tech_base!$F130,1))+1000*tech_proj!AC1374)/((1-tech_proj!AC534)*tech_proj!AC814*$L$110))</f>
        <v/>
      </c>
      <c r="AD754" s="73" t="str">
        <f>IF(tech_base!$T130&gt;AD$625,"",(1000*tech_proj!AD1094*(-PMT($J$110,tech_base!$F130,1))+1000*tech_proj!AD1374)/((1-tech_proj!AD534)*tech_proj!AD814*$L$110))</f>
        <v/>
      </c>
      <c r="AE754" s="73">
        <f>IF(tech_base!$T130&gt;AE$625,"",(1000*tech_proj!AE1094*(-PMT($J$110,tech_base!$F130,1))+1000*tech_proj!AE1374)/((1-tech_proj!AE534)*tech_proj!AE814*$L$110))</f>
        <v>137.54270471022747</v>
      </c>
      <c r="AF754" s="73">
        <f>IF(tech_base!$T130&gt;AF$625,"",(1000*tech_proj!AF1094*(-PMT($J$110,tech_base!$F130,1))+1000*tech_proj!AF1374)/((1-tech_proj!AF534)*tech_proj!AF814*$L$110))</f>
        <v>137.54270471022747</v>
      </c>
      <c r="AG754" s="73">
        <f>IF(tech_base!$T130&gt;AG$625,"",(1000*tech_proj!AG1094*(-PMT($J$110,tech_base!$F130,1))+1000*tech_proj!AG1374)/((1-tech_proj!AG534)*tech_proj!AG814*$L$110))</f>
        <v>137.54270471022747</v>
      </c>
      <c r="AH754" s="73">
        <f>IF(tech_base!$T130&gt;AH$625,"",(1000*tech_proj!AH1094*(-PMT($J$110,tech_base!$F130,1))+1000*tech_proj!AH1374)/((1-tech_proj!AH534)*tech_proj!AH814*$L$110))</f>
        <v>137.54270471022747</v>
      </c>
      <c r="AI754" s="73">
        <f>IF(tech_base!$T130&gt;AI$625,"",(1000*tech_proj!AI1094*(-PMT($J$110,tech_base!$F130,1))+1000*tech_proj!AI1374)/((1-tech_proj!AI534)*tech_proj!AI814*$L$110))</f>
        <v>137.54270471022747</v>
      </c>
      <c r="AJ754" s="73">
        <f>IF(tech_base!$T130&gt;AJ$625,"",(1000*tech_proj!AJ1094*(-PMT($J$110,tech_base!$F130,1))+1000*tech_proj!AJ1374)/((1-tech_proj!AJ534)*tech_proj!AJ814*$L$110))</f>
        <v>137.54270471022747</v>
      </c>
      <c r="AK754" s="73">
        <f>IF(tech_base!$T130&gt;AK$625,"",(1000*tech_proj!AK1094*(-PMT($J$110,tech_base!$F130,1))+1000*tech_proj!AK1374)/((1-tech_proj!AK534)*tech_proj!AK814*$L$110))</f>
        <v>137.54270471022747</v>
      </c>
      <c r="AL754" s="73">
        <f>IF(tech_base!$T130&gt;AL$625,"",(1000*tech_proj!AL1094*(-PMT($J$110,tech_base!$F130,1))+1000*tech_proj!AL1374)/((1-tech_proj!AL534)*tech_proj!AL814*$L$110))</f>
        <v>137.54270471022747</v>
      </c>
      <c r="AM754" s="73">
        <f>IF(tech_base!$T130&gt;AM$625,"",(1000*tech_proj!AM1094*(-PMT($J$110,tech_base!$F130,1))+1000*tech_proj!AM1374)/((1-tech_proj!AM534)*tech_proj!AM814*$L$110))</f>
        <v>137.54270471022747</v>
      </c>
      <c r="AN754" s="73">
        <f>IF(tech_base!$T130&gt;AN$625,"",(1000*tech_proj!AN1094*(-PMT($J$110,tech_base!$F130,1))+1000*tech_proj!AN1374)/((1-tech_proj!AN534)*tech_proj!AN814*$L$110))</f>
        <v>137.54270471022747</v>
      </c>
      <c r="AO754" s="73">
        <f>IF(tech_base!$T130&gt;AO$625,"",(1000*tech_proj!AO1094*(-PMT($J$110,tech_base!$F130,1))+1000*tech_proj!AO1374)/((1-tech_proj!AO534)*tech_proj!AO814*$L$110))</f>
        <v>137.54270471022747</v>
      </c>
      <c r="AP754" s="73">
        <f>IF(tech_base!$T130&gt;AP$625,"",(1000*tech_proj!AP1094*(-PMT($J$110,tech_base!$F130,1))+1000*tech_proj!AP1374)/((1-tech_proj!AP534)*tech_proj!AP814*$L$110))</f>
        <v>137.54270471022747</v>
      </c>
      <c r="AQ754" s="73">
        <f>IF(tech_base!$T130&gt;AQ$625,"",(1000*tech_proj!AQ1094*(-PMT($J$110,tech_base!$F130,1))+1000*tech_proj!AQ1374)/((1-tech_proj!AQ534)*tech_proj!AQ814*$L$110))</f>
        <v>137.54270471022747</v>
      </c>
      <c r="AR754" s="73">
        <f>IF(tech_base!$T130&gt;AR$625,"",(1000*tech_proj!AR1094*(-PMT($J$110,tech_base!$F130,1))+1000*tech_proj!AR1374)/((1-tech_proj!AR534)*tech_proj!AR814*$L$110))</f>
        <v>137.54270471022747</v>
      </c>
      <c r="AS754" s="73">
        <f>IF(tech_base!$T130&gt;AS$625,"",(1000*tech_proj!AS1094*(-PMT($J$110,tech_base!$F130,1))+1000*tech_proj!AS1374)/((1-tech_proj!AS534)*tech_proj!AS814*$L$110))</f>
        <v>137.54270471022747</v>
      </c>
      <c r="AT754" s="73">
        <f>IF(tech_base!$T130&gt;AT$625,"",(1000*tech_proj!AT1094*(-PMT($J$110,tech_base!$F130,1))+1000*tech_proj!AT1374)/((1-tech_proj!AT534)*tech_proj!AT814*$L$110))</f>
        <v>137.54270471022747</v>
      </c>
      <c r="AU754" s="73">
        <f>IF(tech_base!$T130&gt;AU$625,"",(1000*tech_proj!AU1094*(-PMT($J$110,tech_base!$F130,1))+1000*tech_proj!AU1374)/((1-tech_proj!AU534)*tech_proj!AU814*$L$110))</f>
        <v>137.54270471022747</v>
      </c>
      <c r="AV754" s="73">
        <f>IF(tech_base!$T130&gt;AV$625,"",(1000*tech_proj!AV1094*(-PMT($J$110,tech_base!$F130,1))+1000*tech_proj!AV1374)/((1-tech_proj!AV534)*tech_proj!AV814*$L$110))</f>
        <v>137.54270471022747</v>
      </c>
      <c r="AW754" s="73">
        <f>IF(tech_base!$T130&gt;AW$625,"",(1000*tech_proj!AW1094*(-PMT($J$110,tech_base!$F130,1))+1000*tech_proj!AW1374)/((1-tech_proj!AW534)*tech_proj!AW814*$L$110))</f>
        <v>137.54270471022747</v>
      </c>
      <c r="AX754" s="239">
        <f>IF(tech_base!$T130&gt;AX$625,"",(1000*tech_proj!AX1094*(-PMT($J$110,tech_base!$F130,1))+1000*tech_proj!AX1374)/((1-tech_proj!AX534)*tech_proj!AX814*$L$110))</f>
        <v>137.54270471022747</v>
      </c>
      <c r="AY754" s="133"/>
    </row>
    <row r="755" spans="1:51" s="174" customFormat="1" x14ac:dyDescent="0.25">
      <c r="A755" s="356" t="s">
        <v>27</v>
      </c>
      <c r="B755" s="365" t="s">
        <v>19</v>
      </c>
      <c r="C755" s="353" t="s">
        <v>6</v>
      </c>
      <c r="D755" s="2" t="s">
        <v>7</v>
      </c>
      <c r="E755" s="162" t="str">
        <f>A755&amp;"/"&amp;B755&amp;"/"&amp;C755&amp;"/"&amp;D755</f>
        <v>Refinery gas fired power plants/Steam turbine/Electricity only/L</v>
      </c>
      <c r="F755" s="77" t="str">
        <f>A755</f>
        <v>Refinery gas fired power plants</v>
      </c>
      <c r="G755" s="77" t="str">
        <f>B755</f>
        <v>Steam turbine</v>
      </c>
      <c r="H755" s="77" t="str">
        <f>C755</f>
        <v>Electricity only</v>
      </c>
      <c r="I755" s="163" t="str">
        <f t="shared" ref="I755:I818" si="364">D755</f>
        <v>L</v>
      </c>
      <c r="J755" s="70">
        <f>IF(tech_base!$T131&gt;J$625,"",(1000*tech_proj!J1095*(-PMT($J$110,tech_base!$F131,1))+1000*tech_proj!J1375)/((1-tech_proj!J535)*tech_proj!J815*$L$110))</f>
        <v>23.628306083809964</v>
      </c>
      <c r="K755" s="70">
        <f>IF(tech_base!$T131&gt;K$625,"",(1000*tech_proj!K1095*(-PMT($J$110,tech_base!$F131,1))+1000*tech_proj!K1375)/((1-tech_proj!K535)*tech_proj!K815*$L$110))</f>
        <v>23.636705333249338</v>
      </c>
      <c r="L755" s="70">
        <f>IF(tech_base!$T131&gt;L$625,"",(1000*tech_proj!L1095*(-PMT($J$110,tech_base!$F131,1))+1000*tech_proj!L1375)/((1-tech_proj!L535)*tech_proj!L815*$L$110))</f>
        <v>23.644926215681444</v>
      </c>
      <c r="M755" s="70">
        <f>IF(tech_base!$T131&gt;M$625,"",(1000*tech_proj!M1095*(-PMT($J$110,tech_base!$F131,1))+1000*tech_proj!M1375)/((1-tech_proj!M535)*tech_proj!M815*$L$110))</f>
        <v>23.652970763603623</v>
      </c>
      <c r="N755" s="70">
        <f>IF(tech_base!$T131&gt;N$625,"",(1000*tech_proj!N1095*(-PMT($J$110,tech_base!$F131,1))+1000*tech_proj!N1375)/((1-tech_proj!N535)*tech_proj!N815*$L$110))</f>
        <v>23.660841079212908</v>
      </c>
      <c r="O755" s="70">
        <f>IF(tech_base!$T131&gt;O$625,"",(1000*tech_proj!O1095*(-PMT($J$110,tech_base!$F131,1))+1000*tech_proj!O1375)/((1-tech_proj!O535)*tech_proj!O815*$L$110))</f>
        <v>23.66853932866211</v>
      </c>
      <c r="P755" s="70">
        <f>IF(tech_base!$T131&gt;P$625,"",(1000*tech_proj!P1095*(-PMT($J$110,tech_base!$F131,1))+1000*tech_proj!P1375)/((1-tech_proj!P535)*tech_proj!P815*$L$110))</f>
        <v>23.676067736474739</v>
      </c>
      <c r="Q755" s="70">
        <f>IF(tech_base!$T131&gt;Q$625,"",(1000*tech_proj!Q1095*(-PMT($J$110,tech_base!$F131,1))+1000*tech_proj!Q1375)/((1-tech_proj!Q535)*tech_proj!Q815*$L$110))</f>
        <v>23.683428580125025</v>
      </c>
      <c r="R755" s="70">
        <f>IF(tech_base!$T131&gt;R$625,"",(1000*tech_proj!R1095*(-PMT($J$110,tech_base!$F131,1))+1000*tech_proj!R1375)/((1-tech_proj!R535)*tech_proj!R815*$L$110))</f>
        <v>23.690624184788209</v>
      </c>
      <c r="S755" s="70">
        <f>IF(tech_base!$T131&gt;S$625,"",(1000*tech_proj!S1095*(-PMT($J$110,tech_base!$F131,1))+1000*tech_proj!S1375)/((1-tech_proj!S535)*tech_proj!S815*$L$110))</f>
        <v>23.697656918265395</v>
      </c>
      <c r="T755" s="70">
        <f>IF(tech_base!$T131&gt;T$625,"",(1000*tech_proj!T1095*(-PMT($J$110,tech_base!$F131,1))+1000*tech_proj!T1375)/((1-tech_proj!T535)*tech_proj!T815*$L$110))</f>
        <v>23.704529186086287</v>
      </c>
      <c r="U755" s="70">
        <f>IF(tech_base!$T131&gt;U$625,"",(1000*tech_proj!U1095*(-PMT($J$110,tech_base!$F131,1))+1000*tech_proj!U1375)/((1-tech_proj!U535)*tech_proj!U815*$L$110))</f>
        <v>23.711243426792322</v>
      </c>
      <c r="V755" s="70">
        <f>IF(tech_base!$T131&gt;V$625,"",(1000*tech_proj!V1095*(-PMT($J$110,tech_base!$F131,1))+1000*tech_proj!V1375)/((1-tech_proj!V535)*tech_proj!V815*$L$110))</f>
        <v>23.71780210740182</v>
      </c>
      <c r="W755" s="70">
        <f>IF(tech_base!$T131&gt;W$625,"",(1000*tech_proj!W1095*(-PMT($J$110,tech_base!$F131,1))+1000*tech_proj!W1375)/((1-tech_proj!W535)*tech_proj!W815*$L$110))</f>
        <v>23.724207719058185</v>
      </c>
      <c r="X755" s="70">
        <f>IF(tech_base!$T131&gt;X$625,"",(1000*tech_proj!X1095*(-PMT($J$110,tech_base!$F131,1))+1000*tech_proj!X1375)/((1-tech_proj!X535)*tech_proj!X815*$L$110))</f>
        <v>23.730462772861369</v>
      </c>
      <c r="Y755" s="70">
        <f>IF(tech_base!$T131&gt;Y$625,"",(1000*tech_proj!Y1095*(-PMT($J$110,tech_base!$F131,1))+1000*tech_proj!Y1375)/((1-tech_proj!Y535)*tech_proj!Y815*$L$110))</f>
        <v>23.73656979588209</v>
      </c>
      <c r="Z755" s="70">
        <f>IF(tech_base!$T131&gt;Z$625,"",(1000*tech_proj!Z1095*(-PMT($J$110,tech_base!$F131,1))+1000*tech_proj!Z1375)/((1-tech_proj!Z535)*tech_proj!Z815*$L$110))</f>
        <v>23.74253132735803</v>
      </c>
      <c r="AA755" s="70">
        <f>IF(tech_base!$T131&gt;AA$625,"",(1000*tech_proj!AA1095*(-PMT($J$110,tech_base!$F131,1))+1000*tech_proj!AA1375)/((1-tech_proj!AA535)*tech_proj!AA815*$L$110))</f>
        <v>23.748349915070264</v>
      </c>
      <c r="AB755" s="70">
        <f>IF(tech_base!$T131&gt;AB$625,"",(1000*tech_proj!AB1095*(-PMT($J$110,tech_base!$F131,1))+1000*tech_proj!AB1375)/((1-tech_proj!AB535)*tech_proj!AB815*$L$110))</f>
        <v>23.754028111898002</v>
      </c>
      <c r="AC755" s="70">
        <f>IF(tech_base!$T131&gt;AC$625,"",(1000*tech_proj!AC1095*(-PMT($J$110,tech_base!$F131,1))+1000*tech_proj!AC1375)/((1-tech_proj!AC535)*tech_proj!AC815*$L$110))</f>
        <v>23.759568472549155</v>
      </c>
      <c r="AD755" s="70">
        <f>IF(tech_base!$T131&gt;AD$625,"",(1000*tech_proj!AD1095*(-PMT($J$110,tech_base!$F131,1))+1000*tech_proj!AD1375)/((1-tech_proj!AD535)*tech_proj!AD815*$L$110))</f>
        <v>23.76497355046385</v>
      </c>
      <c r="AE755" s="70">
        <f>IF(tech_base!$T131&gt;AE$625,"",(1000*tech_proj!AE1095*(-PMT($J$110,tech_base!$F131,1))+1000*tech_proj!AE1375)/((1-tech_proj!AE535)*tech_proj!AE815*$L$110))</f>
        <v>23.770245894887648</v>
      </c>
      <c r="AF755" s="70">
        <f>IF(tech_base!$T131&gt;AF$625,"",(1000*tech_proj!AF1095*(-PMT($J$110,tech_base!$F131,1))+1000*tech_proj!AF1375)/((1-tech_proj!AF535)*tech_proj!AF815*$L$110))</f>
        <v>23.775388048110898</v>
      </c>
      <c r="AG755" s="70">
        <f>IF(tech_base!$T131&gt;AG$625,"",(1000*tech_proj!AG1095*(-PMT($J$110,tech_base!$F131,1))+1000*tech_proj!AG1375)/((1-tech_proj!AG535)*tech_proj!AG815*$L$110))</f>
        <v>23.780402542870483</v>
      </c>
      <c r="AH755" s="70">
        <f>IF(tech_base!$T131&gt;AH$625,"",(1000*tech_proj!AH1095*(-PMT($J$110,tech_base!$F131,1))+1000*tech_proj!AH1375)/((1-tech_proj!AH535)*tech_proj!AH815*$L$110))</f>
        <v>23.785291899909822</v>
      </c>
      <c r="AI755" s="70">
        <f>IF(tech_base!$T131&gt;AI$625,"",(1000*tech_proj!AI1095*(-PMT($J$110,tech_base!$F131,1))+1000*tech_proj!AI1375)/((1-tech_proj!AI535)*tech_proj!AI815*$L$110))</f>
        <v>23.790058625692822</v>
      </c>
      <c r="AJ755" s="70">
        <f>IF(tech_base!$T131&gt;AJ$625,"",(1000*tech_proj!AJ1095*(-PMT($J$110,tech_base!$F131,1))+1000*tech_proj!AJ1375)/((1-tech_proj!AJ535)*tech_proj!AJ815*$L$110))</f>
        <v>23.79470521026753</v>
      </c>
      <c r="AK755" s="70">
        <f>IF(tech_base!$T131&gt;AK$625,"",(1000*tech_proj!AK1095*(-PMT($J$110,tech_base!$F131,1))+1000*tech_proj!AK1375)/((1-tech_proj!AK535)*tech_proj!AK815*$L$110))</f>
        <v>23.799234125274669</v>
      </c>
      <c r="AL755" s="70">
        <f>IF(tech_base!$T131&gt;AL$625,"",(1000*tech_proj!AL1095*(-PMT($J$110,tech_base!$F131,1))+1000*tech_proj!AL1375)/((1-tech_proj!AL535)*tech_proj!AL815*$L$110))</f>
        <v>23.803647822096547</v>
      </c>
      <c r="AM755" s="70">
        <f>IF(tech_base!$T131&gt;AM$625,"",(1000*tech_proj!AM1095*(-PMT($J$110,tech_base!$F131,1))+1000*tech_proj!AM1375)/((1-tech_proj!AM535)*tech_proj!AM815*$L$110))</f>
        <v>23.807948730141526</v>
      </c>
      <c r="AN755" s="70">
        <f>IF(tech_base!$T131&gt;AN$625,"",(1000*tech_proj!AN1095*(-PMT($J$110,tech_base!$F131,1))+1000*tech_proj!AN1375)/((1-tech_proj!AN535)*tech_proj!AN815*$L$110))</f>
        <v>23.812139255259154</v>
      </c>
      <c r="AO755" s="70">
        <f>IF(tech_base!$T131&gt;AO$625,"",(1000*tech_proj!AO1095*(-PMT($J$110,tech_base!$F131,1))+1000*tech_proj!AO1375)/((1-tech_proj!AO535)*tech_proj!AO815*$L$110))</f>
        <v>23.816221778281236</v>
      </c>
      <c r="AP755" s="70">
        <f>IF(tech_base!$T131&gt;AP$625,"",(1000*tech_proj!AP1095*(-PMT($J$110,tech_base!$F131,1))+1000*tech_proj!AP1375)/((1-tech_proj!AP535)*tech_proj!AP815*$L$110))</f>
        <v>23.820198653683835</v>
      </c>
      <c r="AQ755" s="70">
        <f>IF(tech_base!$T131&gt;AQ$625,"",(1000*tech_proj!AQ1095*(-PMT($J$110,tech_base!$F131,1))+1000*tech_proj!AQ1375)/((1-tech_proj!AQ535)*tech_proj!AQ815*$L$110))</f>
        <v>23.824072208365411</v>
      </c>
      <c r="AR755" s="70">
        <f>IF(tech_base!$T131&gt;AR$625,"",(1000*tech_proj!AR1095*(-PMT($J$110,tech_base!$F131,1))+1000*tech_proj!AR1375)/((1-tech_proj!AR535)*tech_proj!AR815*$L$110))</f>
        <v>23.827844740536243</v>
      </c>
      <c r="AS755" s="70">
        <f>IF(tech_base!$T131&gt;AS$625,"",(1000*tech_proj!AS1095*(-PMT($J$110,tech_base!$F131,1))+1000*tech_proj!AS1375)/((1-tech_proj!AS535)*tech_proj!AS815*$L$110))</f>
        <v>23.831518518714262</v>
      </c>
      <c r="AT755" s="70">
        <f>IF(tech_base!$T131&gt;AT$625,"",(1000*tech_proj!AT1095*(-PMT($J$110,tech_base!$F131,1))+1000*tech_proj!AT1375)/((1-tech_proj!AT535)*tech_proj!AT815*$L$110))</f>
        <v>23.835095780822684</v>
      </c>
      <c r="AU755" s="70">
        <f>IF(tech_base!$T131&gt;AU$625,"",(1000*tech_proj!AU1095*(-PMT($J$110,tech_base!$F131,1))+1000*tech_proj!AU1375)/((1-tech_proj!AU535)*tech_proj!AU815*$L$110))</f>
        <v>23.838578733384573</v>
      </c>
      <c r="AV755" s="70">
        <f>IF(tech_base!$T131&gt;AV$625,"",(1000*tech_proj!AV1095*(-PMT($J$110,tech_base!$F131,1))+1000*tech_proj!AV1375)/((1-tech_proj!AV535)*tech_proj!AV815*$L$110))</f>
        <v>23.841969550809829</v>
      </c>
      <c r="AW755" s="70">
        <f>IF(tech_base!$T131&gt;AW$625,"",(1000*tech_proj!AW1095*(-PMT($J$110,tech_base!$F131,1))+1000*tech_proj!AW1375)/((1-tech_proj!AW535)*tech_proj!AW815*$L$110))</f>
        <v>23.845270374770081</v>
      </c>
      <c r="AX755" s="236">
        <f>IF(tech_base!$T131&gt;AX$625,"",(1000*tech_proj!AX1095*(-PMT($J$110,tech_base!$F131,1))+1000*tech_proj!AX1375)/((1-tech_proj!AX535)*tech_proj!AX815*$L$110))</f>
        <v>23.848483313657002</v>
      </c>
      <c r="AY755" s="133"/>
    </row>
    <row r="756" spans="1:51" s="174" customFormat="1" x14ac:dyDescent="0.25">
      <c r="A756" s="356"/>
      <c r="B756" s="366"/>
      <c r="C756" s="378"/>
      <c r="D756" s="2" t="s">
        <v>8</v>
      </c>
      <c r="E756" s="160" t="str">
        <f>A755&amp;"/"&amp;B755&amp;"/"&amp;C755&amp;"/"&amp;D756</f>
        <v>Refinery gas fired power plants/Steam turbine/Electricity only/M</v>
      </c>
      <c r="F756" s="76" t="str">
        <f>A755</f>
        <v>Refinery gas fired power plants</v>
      </c>
      <c r="G756" s="76" t="str">
        <f>B755</f>
        <v>Steam turbine</v>
      </c>
      <c r="H756" s="76" t="str">
        <f>C755</f>
        <v>Electricity only</v>
      </c>
      <c r="I756" s="161" t="str">
        <f t="shared" si="364"/>
        <v>M</v>
      </c>
      <c r="J756" s="69">
        <f>IF(tech_base!$T132&gt;J$625,"",(1000*tech_proj!J1096*(-PMT($J$110,tech_base!$F132,1))+1000*tech_proj!J1376)/((1-tech_proj!J536)*tech_proj!J816*$L$110))</f>
        <v>25.576029780575617</v>
      </c>
      <c r="K756" s="69">
        <f>IF(tech_base!$T132&gt;K$625,"",(1000*tech_proj!K1096*(-PMT($J$110,tech_base!$F132,1))+1000*tech_proj!K1376)/((1-tech_proj!K536)*tech_proj!K816*$L$110))</f>
        <v>25.58398494339621</v>
      </c>
      <c r="L756" s="69">
        <f>IF(tech_base!$T132&gt;L$625,"",(1000*tech_proj!L1096*(-PMT($J$110,tech_base!$F132,1))+1000*tech_proj!L1376)/((1-tech_proj!L536)*tech_proj!L816*$L$110))</f>
        <v>25.591771169861843</v>
      </c>
      <c r="M756" s="69">
        <f>IF(tech_base!$T132&gt;M$625,"",(1000*tech_proj!M1096*(-PMT($J$110,tech_base!$F132,1))+1000*tech_proj!M1376)/((1-tech_proj!M536)*tech_proj!M816*$L$110))</f>
        <v>25.599390385007297</v>
      </c>
      <c r="N756" s="69">
        <f>IF(tech_base!$T132&gt;N$625,"",(1000*tech_proj!N1096*(-PMT($J$110,tech_base!$F132,1))+1000*tech_proj!N1376)/((1-tech_proj!N536)*tech_proj!N816*$L$110))</f>
        <v>25.606844579881876</v>
      </c>
      <c r="O756" s="69">
        <f>IF(tech_base!$T132&gt;O$625,"",(1000*tech_proj!O1096*(-PMT($J$110,tech_base!$F132,1))+1000*tech_proj!O1376)/((1-tech_proj!O536)*tech_proj!O816*$L$110))</f>
        <v>25.614135806109164</v>
      </c>
      <c r="P756" s="69">
        <f>IF(tech_base!$T132&gt;P$625,"",(1000*tech_proj!P1096*(-PMT($J$110,tech_base!$F132,1))+1000*tech_proj!P1376)/((1-tech_proj!P536)*tech_proj!P816*$L$110))</f>
        <v>25.621266170597277</v>
      </c>
      <c r="Q756" s="69">
        <f>IF(tech_base!$T132&gt;Q$625,"",(1000*tech_proj!Q1096*(-PMT($J$110,tech_base!$F132,1))+1000*tech_proj!Q1376)/((1-tech_proj!Q536)*tech_proj!Q816*$L$110))</f>
        <v>25.6282378304054</v>
      </c>
      <c r="R756" s="69">
        <f>IF(tech_base!$T132&gt;R$625,"",(1000*tech_proj!R1096*(-PMT($J$110,tech_base!$F132,1))+1000*tech_proj!R1376)/((1-tech_proj!R536)*tech_proj!R816*$L$110))</f>
        <v>25.635052987771704</v>
      </c>
      <c r="S756" s="69">
        <f>IF(tech_base!$T132&gt;S$625,"",(1000*tech_proj!S1096*(-PMT($J$110,tech_base!$F132,1))+1000*tech_proj!S1376)/((1-tech_proj!S536)*tech_proj!S816*$L$110))</f>
        <v>25.641713885306494</v>
      </c>
      <c r="T756" s="69">
        <f>IF(tech_base!$T132&gt;T$625,"",(1000*tech_proj!T1096*(-PMT($J$110,tech_base!$F132,1))+1000*tech_proj!T1376)/((1-tech_proj!T536)*tech_proj!T816*$L$110))</f>
        <v>25.648222801353882</v>
      </c>
      <c r="U756" s="69">
        <f>IF(tech_base!$T132&gt;U$625,"",(1000*tech_proj!U1096*(-PMT($J$110,tech_base!$F132,1))+1000*tech_proj!U1376)/((1-tech_proj!U536)*tech_proj!U816*$L$110))</f>
        <v>25.654582045524286</v>
      </c>
      <c r="V756" s="69">
        <f>IF(tech_base!$T132&gt;V$625,"",(1000*tech_proj!V1096*(-PMT($J$110,tech_base!$F132,1))+1000*tech_proj!V1376)/((1-tech_proj!V536)*tech_proj!V816*$L$110))</f>
        <v>25.660793954399406</v>
      </c>
      <c r="W756" s="69">
        <f>IF(tech_base!$T132&gt;W$625,"",(1000*tech_proj!W1096*(-PMT($J$110,tech_base!$F132,1))+1000*tech_proj!W1376)/((1-tech_proj!W536)*tech_proj!W816*$L$110))</f>
        <v>25.666860887410465</v>
      </c>
      <c r="X756" s="69">
        <f>IF(tech_base!$T132&gt;X$625,"",(1000*tech_proj!X1096*(-PMT($J$110,tech_base!$F132,1))+1000*tech_proj!X1376)/((1-tech_proj!X536)*tech_proj!X816*$L$110))</f>
        <v>25.672785222890084</v>
      </c>
      <c r="Y756" s="69">
        <f>IF(tech_base!$T132&gt;Y$625,"",(1000*tech_proj!Y1096*(-PMT($J$110,tech_base!$F132,1))+1000*tech_proj!Y1376)/((1-tech_proj!Y536)*tech_proj!Y816*$L$110))</f>
        <v>25.678569354297252</v>
      </c>
      <c r="Z756" s="69">
        <f>IF(tech_base!$T132&gt;Z$625,"",(1000*tech_proj!Z1096*(-PMT($J$110,tech_base!$F132,1))+1000*tech_proj!Z1376)/((1-tech_proj!Z536)*tech_proj!Z816*$L$110))</f>
        <v>25.684215686614621</v>
      </c>
      <c r="AA756" s="69">
        <f>IF(tech_base!$T132&gt;AA$625,"",(1000*tech_proj!AA1096*(-PMT($J$110,tech_base!$F132,1))+1000*tech_proj!AA1376)/((1-tech_proj!AA536)*tech_proj!AA816*$L$110))</f>
        <v>25.689726632916525</v>
      </c>
      <c r="AB756" s="69">
        <f>IF(tech_base!$T132&gt;AB$625,"",(1000*tech_proj!AB1096*(-PMT($J$110,tech_base!$F132,1))+1000*tech_proj!AB1376)/((1-tech_proj!AB536)*tech_proj!AB816*$L$110))</f>
        <v>25.695104611105894</v>
      </c>
      <c r="AC756" s="69">
        <f>IF(tech_base!$T132&gt;AC$625,"",(1000*tech_proj!AC1096*(-PMT($J$110,tech_base!$F132,1))+1000*tech_proj!AC1376)/((1-tech_proj!AC536)*tech_proj!AC816*$L$110))</f>
        <v>25.700352040817659</v>
      </c>
      <c r="AD756" s="69">
        <f>IF(tech_base!$T132&gt;AD$625,"",(1000*tech_proj!AD1096*(-PMT($J$110,tech_base!$F132,1))+1000*tech_proj!AD1376)/((1-tech_proj!AD536)*tech_proj!AD816*$L$110))</f>
        <v>25.70547134048601</v>
      </c>
      <c r="AE756" s="69">
        <f>IF(tech_base!$T132&gt;AE$625,"",(1000*tech_proj!AE1096*(-PMT($J$110,tech_base!$F132,1))+1000*tech_proj!AE1376)/((1-tech_proj!AE536)*tech_proj!AE816*$L$110))</f>
        <v>25.710464924572328</v>
      </c>
      <c r="AF756" s="69">
        <f>IF(tech_base!$T132&gt;AF$625,"",(1000*tech_proj!AF1096*(-PMT($J$110,tech_base!$F132,1))+1000*tech_proj!AF1376)/((1-tech_proj!AF536)*tech_proj!AF816*$L$110))</f>
        <v>25.715335200950559</v>
      </c>
      <c r="AG756" s="69">
        <f>IF(tech_base!$T132&gt;AG$625,"",(1000*tech_proj!AG1096*(-PMT($J$110,tech_base!$F132,1))+1000*tech_proj!AG1376)/((1-tech_proj!AG536)*tech_proj!AG816*$L$110))</f>
        <v>25.720084568446243</v>
      </c>
      <c r="AH756" s="69">
        <f>IF(tech_base!$T132&gt;AH$625,"",(1000*tech_proj!AH1096*(-PMT($J$110,tech_base!$F132,1))+1000*tech_proj!AH1376)/((1-tech_proj!AH536)*tech_proj!AH816*$L$110))</f>
        <v>25.724715414525608</v>
      </c>
      <c r="AI756" s="69">
        <f>IF(tech_base!$T132&gt;AI$625,"",(1000*tech_proj!AI1096*(-PMT($J$110,tech_base!$F132,1))+1000*tech_proj!AI1376)/((1-tech_proj!AI536)*tech_proj!AI816*$L$110))</f>
        <v>25.729230113130356</v>
      </c>
      <c r="AJ756" s="69">
        <f>IF(tech_base!$T132&gt;AJ$625,"",(1000*tech_proj!AJ1096*(-PMT($J$110,tech_base!$F132,1))+1000*tech_proj!AJ1376)/((1-tech_proj!AJ536)*tech_proj!AJ816*$L$110))</f>
        <v>25.733631022654269</v>
      </c>
      <c r="AK756" s="69">
        <f>IF(tech_base!$T132&gt;AK$625,"",(1000*tech_proj!AK1096*(-PMT($J$110,tech_base!$F132,1))+1000*tech_proj!AK1376)/((1-tech_proj!AK536)*tech_proj!AK816*$L$110))</f>
        <v>25.737920484057025</v>
      </c>
      <c r="AL756" s="69">
        <f>IF(tech_base!$T132&gt;AL$625,"",(1000*tech_proj!AL1096*(-PMT($J$110,tech_base!$F132,1))+1000*tech_proj!AL1376)/((1-tech_proj!AL536)*tech_proj!AL816*$L$110))</f>
        <v>25.742100819111034</v>
      </c>
      <c r="AM756" s="69">
        <f>IF(tech_base!$T132&gt;AM$625,"",(1000*tech_proj!AM1096*(-PMT($J$110,tech_base!$F132,1))+1000*tech_proj!AM1376)/((1-tech_proj!AM536)*tech_proj!AM816*$L$110))</f>
        <v>25.746174328776526</v>
      </c>
      <c r="AN756" s="69">
        <f>IF(tech_base!$T132&gt;AN$625,"",(1000*tech_proj!AN1096*(-PMT($J$110,tech_base!$F132,1))+1000*tech_proj!AN1376)/((1-tech_proj!AN536)*tech_proj!AN816*$L$110))</f>
        <v>25.750143291700549</v>
      </c>
      <c r="AO756" s="69">
        <f>IF(tech_base!$T132&gt;AO$625,"",(1000*tech_proj!AO1096*(-PMT($J$110,tech_base!$F132,1))+1000*tech_proj!AO1376)/((1-tech_proj!AO536)*tech_proj!AO816*$L$110))</f>
        <v>25.754009962835145</v>
      </c>
      <c r="AP756" s="69">
        <f>IF(tech_base!$T132&gt;AP$625,"",(1000*tech_proj!AP1096*(-PMT($J$110,tech_base!$F132,1))+1000*tech_proj!AP1376)/((1-tech_proj!AP536)*tech_proj!AP816*$L$110))</f>
        <v>25.757776572170091</v>
      </c>
      <c r="AQ756" s="69">
        <f>IF(tech_base!$T132&gt;AQ$625,"",(1000*tech_proj!AQ1096*(-PMT($J$110,tech_base!$F132,1))+1000*tech_proj!AQ1376)/((1-tech_proj!AQ536)*tech_proj!AQ816*$L$110))</f>
        <v>25.761445323575654</v>
      </c>
      <c r="AR756" s="69">
        <f>IF(tech_base!$T132&gt;AR$625,"",(1000*tech_proj!AR1096*(-PMT($J$110,tech_base!$F132,1))+1000*tech_proj!AR1376)/((1-tech_proj!AR536)*tech_proj!AR816*$L$110))</f>
        <v>25.765018393750733</v>
      </c>
      <c r="AS756" s="69">
        <f>IF(tech_base!$T132&gt;AS$625,"",(1000*tech_proj!AS1096*(-PMT($J$110,tech_base!$F132,1))+1000*tech_proj!AS1376)/((1-tech_proj!AS536)*tech_proj!AS816*$L$110))</f>
        <v>25.768497931271771</v>
      </c>
      <c r="AT756" s="69">
        <f>IF(tech_base!$T132&gt;AT$625,"",(1000*tech_proj!AT1096*(-PMT($J$110,tech_base!$F132,1))+1000*tech_proj!AT1376)/((1-tech_proj!AT536)*tech_proj!AT816*$L$110))</f>
        <v>25.771886055738108</v>
      </c>
      <c r="AU756" s="69">
        <f>IF(tech_base!$T132&gt;AU$625,"",(1000*tech_proj!AU1096*(-PMT($J$110,tech_base!$F132,1))+1000*tech_proj!AU1376)/((1-tech_proj!AU536)*tech_proj!AU816*$L$110))</f>
        <v>25.77518485700913</v>
      </c>
      <c r="AV756" s="69">
        <f>IF(tech_base!$T132&gt;AV$625,"",(1000*tech_proj!AV1096*(-PMT($J$110,tech_base!$F132,1))+1000*tech_proj!AV1376)/((1-tech_proj!AV536)*tech_proj!AV816*$L$110))</f>
        <v>25.77839639452894</v>
      </c>
      <c r="AW756" s="69">
        <f>IF(tech_base!$T132&gt;AW$625,"",(1000*tech_proj!AW1096*(-PMT($J$110,tech_base!$F132,1))+1000*tech_proj!AW1376)/((1-tech_proj!AW536)*tech_proj!AW816*$L$110))</f>
        <v>25.781522696734324</v>
      </c>
      <c r="AX756" s="235">
        <f>IF(tech_base!$T132&gt;AX$625,"",(1000*tech_proj!AX1096*(-PMT($J$110,tech_base!$F132,1))+1000*tech_proj!AX1376)/((1-tech_proj!AX536)*tech_proj!AX816*$L$110))</f>
        <v>25.7845657605417</v>
      </c>
      <c r="AY756" s="133"/>
    </row>
    <row r="757" spans="1:51" s="174" customFormat="1" x14ac:dyDescent="0.25">
      <c r="A757" s="356"/>
      <c r="B757" s="366"/>
      <c r="C757" s="379"/>
      <c r="D757" s="2" t="s">
        <v>10</v>
      </c>
      <c r="E757" s="160" t="str">
        <f>A755&amp;"/"&amp;B755&amp;"/"&amp;C755&amp;"/"&amp;D757</f>
        <v>Refinery gas fired power plants/Steam turbine/Electricity only/S</v>
      </c>
      <c r="F757" s="76" t="str">
        <f>A755</f>
        <v>Refinery gas fired power plants</v>
      </c>
      <c r="G757" s="76" t="str">
        <f>B755</f>
        <v>Steam turbine</v>
      </c>
      <c r="H757" s="76" t="str">
        <f>C755</f>
        <v>Electricity only</v>
      </c>
      <c r="I757" s="161" t="str">
        <f t="shared" si="364"/>
        <v>S</v>
      </c>
      <c r="J757" s="69">
        <f>IF(tech_base!$T133&gt;J$625,"",(1000*tech_proj!J1097*(-PMT($J$110,tech_base!$F133,1))+1000*tech_proj!J1377)/((1-tech_proj!J537)*tech_proj!J817*$L$110))</f>
        <v>28.200305208765442</v>
      </c>
      <c r="K757" s="69">
        <f>IF(tech_base!$T133&gt;K$625,"",(1000*tech_proj!K1097*(-PMT($J$110,tech_base!$F133,1))+1000*tech_proj!K1377)/((1-tech_proj!K537)*tech_proj!K817*$L$110))</f>
        <v>28.207823566097371</v>
      </c>
      <c r="L757" s="69">
        <f>IF(tech_base!$T133&gt;L$625,"",(1000*tech_proj!L1097*(-PMT($J$110,tech_base!$F133,1))+1000*tech_proj!L1377)/((1-tech_proj!L537)*tech_proj!L817*$L$110))</f>
        <v>28.215182263104101</v>
      </c>
      <c r="M757" s="69">
        <f>IF(tech_base!$T133&gt;M$625,"",(1000*tech_proj!M1097*(-PMT($J$110,tech_base!$F133,1))+1000*tech_proj!M1377)/((1-tech_proj!M537)*tech_proj!M817*$L$110))</f>
        <v>28.22238311911978</v>
      </c>
      <c r="N757" s="69">
        <f>IF(tech_base!$T133&gt;N$625,"",(1000*tech_proj!N1097*(-PMT($J$110,tech_base!$F133,1))+1000*tech_proj!N1377)/((1-tech_proj!N537)*tech_proj!N817*$L$110))</f>
        <v>28.229428015868322</v>
      </c>
      <c r="O757" s="69">
        <f>IF(tech_base!$T133&gt;O$625,"",(1000*tech_proj!O1097*(-PMT($J$110,tech_base!$F133,1))+1000*tech_proj!O1377)/((1-tech_proj!O537)*tech_proj!O817*$L$110))</f>
        <v>28.236318892321886</v>
      </c>
      <c r="P757" s="69">
        <f>IF(tech_base!$T133&gt;P$625,"",(1000*tech_proj!P1097*(-PMT($J$110,tech_base!$F133,1))+1000*tech_proj!P1377)/((1-tech_proj!P537)*tech_proj!P817*$L$110))</f>
        <v>28.24305773970157</v>
      </c>
      <c r="Q757" s="69">
        <f>IF(tech_base!$T133&gt;Q$625,"",(1000*tech_proj!Q1097*(-PMT($J$110,tech_base!$F133,1))+1000*tech_proj!Q1377)/((1-tech_proj!Q537)*tech_proj!Q817*$L$110))</f>
        <v>28.249646596625833</v>
      </c>
      <c r="R757" s="69">
        <f>IF(tech_base!$T133&gt;R$625,"",(1000*tech_proj!R1097*(-PMT($J$110,tech_base!$F133,1))+1000*tech_proj!R1377)/((1-tech_proj!R537)*tech_proj!R817*$L$110))</f>
        <v>28.256087544411415</v>
      </c>
      <c r="S757" s="69">
        <f>IF(tech_base!$T133&gt;S$625,"",(1000*tech_proj!S1097*(-PMT($J$110,tech_base!$F133,1))+1000*tech_proj!S1377)/((1-tech_proj!S537)*tech_proj!S817*$L$110))</f>
        <v>28.262382702530399</v>
      </c>
      <c r="T757" s="69">
        <f>IF(tech_base!$T133&gt;T$625,"",(1000*tech_proj!T1097*(-PMT($J$110,tech_base!$F133,1))+1000*tech_proj!T1377)/((1-tech_proj!T537)*tech_proj!T817*$L$110))</f>
        <v>28.26853422422661</v>
      </c>
      <c r="U757" s="69">
        <f>IF(tech_base!$T133&gt;U$625,"",(1000*tech_proj!U1097*(-PMT($J$110,tech_base!$F133,1))+1000*tech_proj!U1377)/((1-tech_proj!U537)*tech_proj!U817*$L$110))</f>
        <v>28.274544292293388</v>
      </c>
      <c r="V757" s="69">
        <f>IF(tech_base!$T133&gt;V$625,"",(1000*tech_proj!V1097*(-PMT($J$110,tech_base!$F133,1))+1000*tech_proj!V1377)/((1-tech_proj!V537)*tech_proj!V817*$L$110))</f>
        <v>28.28041511501441</v>
      </c>
      <c r="W757" s="69">
        <f>IF(tech_base!$T133&gt;W$625,"",(1000*tech_proj!W1097*(-PMT($J$110,tech_base!$F133,1))+1000*tech_proj!W1377)/((1-tech_proj!W537)*tech_proj!W817*$L$110))</f>
        <v>28.286148922268232</v>
      </c>
      <c r="X757" s="69">
        <f>IF(tech_base!$T133&gt;X$625,"",(1000*tech_proj!X1097*(-PMT($J$110,tech_base!$F133,1))+1000*tech_proj!X1377)/((1-tech_proj!X537)*tech_proj!X817*$L$110))</f>
        <v>28.291747961796958</v>
      </c>
      <c r="Y757" s="69">
        <f>IF(tech_base!$T133&gt;Y$625,"",(1000*tech_proj!Y1097*(-PMT($J$110,tech_base!$F133,1))+1000*tech_proj!Y1377)/((1-tech_proj!Y537)*tech_proj!Y817*$L$110))</f>
        <v>28.297214495638528</v>
      </c>
      <c r="Z757" s="69">
        <f>IF(tech_base!$T133&gt;Z$625,"",(1000*tech_proj!Z1097*(-PMT($J$110,tech_base!$F133,1))+1000*tech_proj!Z1377)/((1-tech_proj!Z537)*tech_proj!Z817*$L$110))</f>
        <v>28.302550796721754</v>
      </c>
      <c r="AA757" s="69">
        <f>IF(tech_base!$T133&gt;AA$625,"",(1000*tech_proj!AA1097*(-PMT($J$110,tech_base!$F133,1))+1000*tech_proj!AA1377)/((1-tech_proj!AA537)*tech_proj!AA817*$L$110))</f>
        <v>28.30775914562286</v>
      </c>
      <c r="AB757" s="69">
        <f>IF(tech_base!$T133&gt;AB$625,"",(1000*tech_proj!AB1097*(-PMT($J$110,tech_base!$F133,1))+1000*tech_proj!AB1377)/((1-tech_proj!AB537)*tech_proj!AB817*$L$110))</f>
        <v>28.312841827481527</v>
      </c>
      <c r="AC757" s="69">
        <f>IF(tech_base!$T133&gt;AC$625,"",(1000*tech_proj!AC1097*(-PMT($J$110,tech_base!$F133,1))+1000*tech_proj!AC1377)/((1-tech_proj!AC537)*tech_proj!AC817*$L$110))</f>
        <v>28.317801129074336</v>
      </c>
      <c r="AD757" s="69">
        <f>IF(tech_base!$T133&gt;AD$625,"",(1000*tech_proj!AD1097*(-PMT($J$110,tech_base!$F133,1))+1000*tech_proj!AD1377)/((1-tech_proj!AD537)*tech_proj!AD817*$L$110))</f>
        <v>28.322639336043057</v>
      </c>
      <c r="AE757" s="69">
        <f>IF(tech_base!$T133&gt;AE$625,"",(1000*tech_proj!AE1097*(-PMT($J$110,tech_base!$F133,1))+1000*tech_proj!AE1377)/((1-tech_proj!AE537)*tech_proj!AE817*$L$110))</f>
        <v>28.327358730274792</v>
      </c>
      <c r="AF757" s="69">
        <f>IF(tech_base!$T133&gt;AF$625,"",(1000*tech_proj!AF1097*(-PMT($J$110,tech_base!$F133,1))+1000*tech_proj!AF1377)/((1-tech_proj!AF537)*tech_proj!AF817*$L$110))</f>
        <v>28.331961587430897</v>
      </c>
      <c r="AG757" s="69">
        <f>IF(tech_base!$T133&gt;AG$625,"",(1000*tech_proj!AG1097*(-PMT($J$110,tech_base!$F133,1))+1000*tech_proj!AG1377)/((1-tech_proj!AG537)*tech_proj!AG817*$L$110))</f>
        <v>28.336450174621191</v>
      </c>
      <c r="AH757" s="69">
        <f>IF(tech_base!$T133&gt;AH$625,"",(1000*tech_proj!AH1097*(-PMT($J$110,tech_base!$F133,1))+1000*tech_proj!AH1377)/((1-tech_proj!AH537)*tech_proj!AH817*$L$110))</f>
        <v>28.340826748219865</v>
      </c>
      <c r="AI757" s="69">
        <f>IF(tech_base!$T133&gt;AI$625,"",(1000*tech_proj!AI1097*(-PMT($J$110,tech_base!$F133,1))+1000*tech_proj!AI1377)/((1-tech_proj!AI537)*tech_proj!AI817*$L$110))</f>
        <v>28.345093551819232</v>
      </c>
      <c r="AJ757" s="69">
        <f>IF(tech_base!$T133&gt;AJ$625,"",(1000*tech_proj!AJ1097*(-PMT($J$110,tech_base!$F133,1))+1000*tech_proj!AJ1377)/((1-tech_proj!AJ537)*tech_proj!AJ817*$L$110))</f>
        <v>28.349252814317371</v>
      </c>
      <c r="AK757" s="69">
        <f>IF(tech_base!$T133&gt;AK$625,"",(1000*tech_proj!AK1097*(-PMT($J$110,tech_base!$F133,1))+1000*tech_proj!AK1377)/((1-tech_proj!AK537)*tech_proj!AK817*$L$110))</f>
        <v>28.353306748135541</v>
      </c>
      <c r="AL757" s="69">
        <f>IF(tech_base!$T133&gt;AL$625,"",(1000*tech_proj!AL1097*(-PMT($J$110,tech_base!$F133,1))+1000*tech_proj!AL1377)/((1-tech_proj!AL537)*tech_proj!AL817*$L$110))</f>
        <v>28.357257547561275</v>
      </c>
      <c r="AM757" s="69">
        <f>IF(tech_base!$T133&gt;AM$625,"",(1000*tech_proj!AM1097*(-PMT($J$110,tech_base!$F133,1))+1000*tech_proj!AM1377)/((1-tech_proj!AM537)*tech_proj!AM817*$L$110))</f>
        <v>28.361107387212702</v>
      </c>
      <c r="AN757" s="69">
        <f>IF(tech_base!$T133&gt;AN$625,"",(1000*tech_proj!AN1097*(-PMT($J$110,tech_base!$F133,1))+1000*tech_proj!AN1377)/((1-tech_proj!AN537)*tech_proj!AN817*$L$110))</f>
        <v>28.364858420619925</v>
      </c>
      <c r="AO757" s="69">
        <f>IF(tech_base!$T133&gt;AO$625,"",(1000*tech_proj!AO1097*(-PMT($J$110,tech_base!$F133,1))+1000*tech_proj!AO1377)/((1-tech_proj!AO537)*tech_proj!AO817*$L$110))</f>
        <v>28.368512778919129</v>
      </c>
      <c r="AP757" s="69">
        <f>IF(tech_base!$T133&gt;AP$625,"",(1000*tech_proj!AP1097*(-PMT($J$110,tech_base!$F133,1))+1000*tech_proj!AP1377)/((1-tech_proj!AP537)*tech_proj!AP817*$L$110))</f>
        <v>28.372072569654847</v>
      </c>
      <c r="AQ757" s="69">
        <f>IF(tech_base!$T133&gt;AQ$625,"",(1000*tech_proj!AQ1097*(-PMT($J$110,tech_base!$F133,1))+1000*tech_proj!AQ1377)/((1-tech_proj!AQ537)*tech_proj!AQ817*$L$110))</f>
        <v>28.375539875686307</v>
      </c>
      <c r="AR757" s="69">
        <f>IF(tech_base!$T133&gt;AR$625,"",(1000*tech_proj!AR1097*(-PMT($J$110,tech_base!$F133,1))+1000*tech_proj!AR1377)/((1-tech_proj!AR537)*tech_proj!AR817*$L$110))</f>
        <v>28.37891675419327</v>
      </c>
      <c r="AS757" s="69">
        <f>IF(tech_base!$T133&gt;AS$625,"",(1000*tech_proj!AS1097*(-PMT($J$110,tech_base!$F133,1))+1000*tech_proj!AS1377)/((1-tech_proj!AS537)*tech_proj!AS817*$L$110))</f>
        <v>28.382205235777246</v>
      </c>
      <c r="AT757" s="69">
        <f>IF(tech_base!$T133&gt;AT$625,"",(1000*tech_proj!AT1097*(-PMT($J$110,tech_base!$F133,1))+1000*tech_proj!AT1377)/((1-tech_proj!AT537)*tech_proj!AT817*$L$110))</f>
        <v>28.385407323653691</v>
      </c>
      <c r="AU757" s="69">
        <f>IF(tech_base!$T133&gt;AU$625,"",(1000*tech_proj!AU1097*(-PMT($J$110,tech_base!$F133,1))+1000*tech_proj!AU1377)/((1-tech_proj!AU537)*tech_proj!AU817*$L$110))</f>
        <v>28.388524992931099</v>
      </c>
      <c r="AV757" s="69">
        <f>IF(tech_base!$T133&gt;AV$625,"",(1000*tech_proj!AV1097*(-PMT($J$110,tech_base!$F133,1))+1000*tech_proj!AV1377)/((1-tech_proj!AV537)*tech_proj!AV817*$L$110))</f>
        <v>28.39156018997274</v>
      </c>
      <c r="AW757" s="69">
        <f>IF(tech_base!$T133&gt;AW$625,"",(1000*tech_proj!AW1097*(-PMT($J$110,tech_base!$F133,1))+1000*tech_proj!AW1377)/((1-tech_proj!AW537)*tech_proj!AW817*$L$110))</f>
        <v>28.394514831837125</v>
      </c>
      <c r="AX757" s="235">
        <f>IF(tech_base!$T133&gt;AX$625,"",(1000*tech_proj!AX1097*(-PMT($J$110,tech_base!$F133,1))+1000*tech_proj!AX1377)/((1-tech_proj!AX537)*tech_proj!AX817*$L$110))</f>
        <v>28.397390805793108</v>
      </c>
      <c r="AY757" s="133"/>
    </row>
    <row r="758" spans="1:51" s="174" customFormat="1" x14ac:dyDescent="0.25">
      <c r="A758" s="356"/>
      <c r="B758" s="366"/>
      <c r="C758" s="361" t="s">
        <v>14</v>
      </c>
      <c r="D758" s="58" t="s">
        <v>7</v>
      </c>
      <c r="E758" s="164" t="str">
        <f>A755&amp;"/"&amp;B755&amp;"/"&amp;C758&amp;"/"&amp;D758</f>
        <v>Refinery gas fired power plants/Steam turbine/CHP/L</v>
      </c>
      <c r="F758" s="78" t="str">
        <f>A755</f>
        <v>Refinery gas fired power plants</v>
      </c>
      <c r="G758" s="78" t="str">
        <f>B755</f>
        <v>Steam turbine</v>
      </c>
      <c r="H758" s="78" t="str">
        <f>C758</f>
        <v>CHP</v>
      </c>
      <c r="I758" s="165" t="str">
        <f t="shared" si="364"/>
        <v>L</v>
      </c>
      <c r="J758" s="71">
        <f>IF(tech_base!$T134&gt;J$625,"",(1000*tech_proj!J1098*(-PMT($J$110,tech_base!$F134,1))+1000*tech_proj!J1378)/((1-tech_proj!J538)*tech_proj!J818*$L$110))</f>
        <v>38.481820315777121</v>
      </c>
      <c r="K758" s="71">
        <f>IF(tech_base!$T134&gt;K$625,"",(1000*tech_proj!K1098*(-PMT($J$110,tech_base!$F134,1))+1000*tech_proj!K1378)/((1-tech_proj!K538)*tech_proj!K818*$L$110))</f>
        <v>38.49036987087873</v>
      </c>
      <c r="L758" s="71">
        <f>IF(tech_base!$T134&gt;L$625,"",(1000*tech_proj!L1098*(-PMT($J$110,tech_base!$F134,1))+1000*tech_proj!L1378)/((1-tech_proj!L538)*tech_proj!L818*$L$110))</f>
        <v>38.498737867072229</v>
      </c>
      <c r="M758" s="71">
        <f>IF(tech_base!$T134&gt;M$625,"",(1000*tech_proj!M1098*(-PMT($J$110,tech_base!$F134,1))+1000*tech_proj!M1378)/((1-tech_proj!M538)*tech_proj!M818*$L$110))</f>
        <v>38.506926373226804</v>
      </c>
      <c r="N758" s="71">
        <f>IF(tech_base!$T134&gt;N$625,"",(1000*tech_proj!N1098*(-PMT($J$110,tech_base!$F134,1))+1000*tech_proj!N1378)/((1-tech_proj!N538)*tech_proj!N818*$L$110))</f>
        <v>38.514937529158551</v>
      </c>
      <c r="O758" s="71">
        <f>IF(tech_base!$T134&gt;O$625,"",(1000*tech_proj!O1098*(-PMT($J$110,tech_base!$F134,1))+1000*tech_proj!O1378)/((1-tech_proj!O538)*tech_proj!O818*$L$110))</f>
        <v>38.522773539783891</v>
      </c>
      <c r="P758" s="71">
        <f>IF(tech_base!$T134&gt;P$625,"",(1000*tech_proj!P1098*(-PMT($J$110,tech_base!$F134,1))+1000*tech_proj!P1378)/((1-tech_proj!P538)*tech_proj!P818*$L$110))</f>
        <v>38.530436669434451</v>
      </c>
      <c r="Q758" s="71">
        <f>IF(tech_base!$T134&gt;Q$625,"",(1000*tech_proj!Q1098*(-PMT($J$110,tech_base!$F134,1))+1000*tech_proj!Q1378)/((1-tech_proj!Q538)*tech_proj!Q818*$L$110))</f>
        <v>38.537929236340169</v>
      </c>
      <c r="R758" s="71">
        <f>IF(tech_base!$T134&gt;R$625,"",(1000*tech_proj!R1098*(-PMT($J$110,tech_base!$F134,1))+1000*tech_proj!R1378)/((1-tech_proj!R538)*tech_proj!R818*$L$110))</f>
        <v>38.545253607285602</v>
      </c>
      <c r="S758" s="71">
        <f>IF(tech_base!$T134&gt;S$625,"",(1000*tech_proj!S1098*(-PMT($J$110,tech_base!$F134,1))+1000*tech_proj!S1378)/((1-tech_proj!S538)*tech_proj!S818*$L$110))</f>
        <v>38.552412192443953</v>
      </c>
      <c r="T758" s="71">
        <f>IF(tech_base!$T134&gt;T$625,"",(1000*tech_proj!T1098*(-PMT($J$110,tech_base!$F134,1))+1000*tech_proj!T1378)/((1-tech_proj!T538)*tech_proj!T818*$L$110))</f>
        <v>38.559407440392206</v>
      </c>
      <c r="U758" s="71">
        <f>IF(tech_base!$T134&gt;U$625,"",(1000*tech_proj!U1098*(-PMT($J$110,tech_base!$F134,1))+1000*tech_proj!U1378)/((1-tech_proj!U538)*tech_proj!U818*$L$110))</f>
        <v>38.566241833309803</v>
      </c>
      <c r="V758" s="71">
        <f>IF(tech_base!$T134&gt;V$625,"",(1000*tech_proj!V1098*(-PMT($J$110,tech_base!$F134,1))+1000*tech_proj!V1378)/((1-tech_proj!V538)*tech_proj!V818*$L$110))</f>
        <v>38.572917882362695</v>
      </c>
      <c r="W758" s="71">
        <f>IF(tech_base!$T134&gt;W$625,"",(1000*tech_proj!W1098*(-PMT($J$110,tech_base!$F134,1))+1000*tech_proj!W1378)/((1-tech_proj!W538)*tech_proj!W818*$L$110))</f>
        <v>38.579438123273604</v>
      </c>
      <c r="X758" s="71">
        <f>IF(tech_base!$T134&gt;X$625,"",(1000*tech_proj!X1098*(-PMT($J$110,tech_base!$F134,1))+1000*tech_proj!X1378)/((1-tech_proj!X538)*tech_proj!X818*$L$110))</f>
        <v>38.585805112078937</v>
      </c>
      <c r="Y758" s="71">
        <f>IF(tech_base!$T134&gt;Y$625,"",(1000*tech_proj!Y1098*(-PMT($J$110,tech_base!$F134,1))+1000*tech_proj!Y1378)/((1-tech_proj!Y538)*tech_proj!Y818*$L$110))</f>
        <v>38.592021421071692</v>
      </c>
      <c r="Z758" s="71">
        <f>IF(tech_base!$T134&gt;Z$625,"",(1000*tech_proj!Z1098*(-PMT($J$110,tech_base!$F134,1))+1000*tech_proj!Z1378)/((1-tech_proj!Z538)*tech_proj!Z818*$L$110))</f>
        <v>38.598089634929522</v>
      </c>
      <c r="AA758" s="71">
        <f>IF(tech_base!$T134&gt;AA$625,"",(1000*tech_proj!AA1098*(-PMT($J$110,tech_base!$F134,1))+1000*tech_proj!AA1378)/((1-tech_proj!AA538)*tech_proj!AA818*$L$110))</f>
        <v>38.604012347026391</v>
      </c>
      <c r="AB758" s="71">
        <f>IF(tech_base!$T134&gt;AB$625,"",(1000*tech_proj!AB1098*(-PMT($J$110,tech_base!$F134,1))+1000*tech_proj!AB1378)/((1-tech_proj!AB538)*tech_proj!AB818*$L$110))</f>
        <v>38.609792155925618</v>
      </c>
      <c r="AC758" s="71">
        <f>IF(tech_base!$T134&gt;AC$625,"",(1000*tech_proj!AC1098*(-PMT($J$110,tech_base!$F134,1))+1000*tech_proj!AC1378)/((1-tech_proj!AC538)*tech_proj!AC818*$L$110))</f>
        <v>38.615431662051918</v>
      </c>
      <c r="AD758" s="71">
        <f>IF(tech_base!$T134&gt;AD$625,"",(1000*tech_proj!AD1098*(-PMT($J$110,tech_base!$F134,1))+1000*tech_proj!AD1378)/((1-tech_proj!AD538)*tech_proj!AD818*$L$110))</f>
        <v>38.62093346453959</v>
      </c>
      <c r="AE758" s="71">
        <f>IF(tech_base!$T134&gt;AE$625,"",(1000*tech_proj!AE1098*(-PMT($J$110,tech_base!$F134,1))+1000*tech_proj!AE1378)/((1-tech_proj!AE538)*tech_proj!AE818*$L$110))</f>
        <v>38.626300158253265</v>
      </c>
      <c r="AF758" s="71">
        <f>IF(tech_base!$T134&gt;AF$625,"",(1000*tech_proj!AF1098*(-PMT($J$110,tech_base!$F134,1))+1000*tech_proj!AF1378)/((1-tech_proj!AF538)*tech_proj!AF818*$L$110))</f>
        <v>38.631534330977907</v>
      </c>
      <c r="AG758" s="71">
        <f>IF(tech_base!$T134&gt;AG$625,"",(1000*tech_proj!AG1098*(-PMT($J$110,tech_base!$F134,1))+1000*tech_proj!AG1378)/((1-tech_proj!AG538)*tech_proj!AG818*$L$110))</f>
        <v>38.636638560774053</v>
      </c>
      <c r="AH758" s="71">
        <f>IF(tech_base!$T134&gt;AH$625,"",(1000*tech_proj!AH1098*(-PMT($J$110,tech_base!$F134,1))+1000*tech_proj!AH1378)/((1-tech_proj!AH538)*tech_proj!AH818*$L$110))</f>
        <v>38.641615413494144</v>
      </c>
      <c r="AI758" s="71">
        <f>IF(tech_base!$T134&gt;AI$625,"",(1000*tech_proj!AI1098*(-PMT($J$110,tech_base!$F134,1))+1000*tech_proj!AI1378)/((1-tech_proj!AI538)*tech_proj!AI818*$L$110))</f>
        <v>38.646467440455631</v>
      </c>
      <c r="AJ758" s="71">
        <f>IF(tech_base!$T134&gt;AJ$625,"",(1000*tech_proj!AJ1098*(-PMT($J$110,tech_base!$F134,1))+1000*tech_proj!AJ1378)/((1-tech_proj!AJ538)*tech_proj!AJ818*$L$110))</f>
        <v>38.651197176266237</v>
      </c>
      <c r="AK758" s="71">
        <f>IF(tech_base!$T134&gt;AK$625,"",(1000*tech_proj!AK1098*(-PMT($J$110,tech_base!$F134,1))+1000*tech_proj!AK1378)/((1-tech_proj!AK538)*tech_proj!AK818*$L$110))</f>
        <v>38.655807136797051</v>
      </c>
      <c r="AL758" s="71">
        <f>IF(tech_base!$T134&gt;AL$625,"",(1000*tech_proj!AL1098*(-PMT($J$110,tech_base!$F134,1))+1000*tech_proj!AL1378)/((1-tech_proj!AL538)*tech_proj!AL818*$L$110))</f>
        <v>38.660299817298174</v>
      </c>
      <c r="AM758" s="71">
        <f>IF(tech_base!$T134&gt;AM$625,"",(1000*tech_proj!AM1098*(-PMT($J$110,tech_base!$F134,1))+1000*tech_proj!AM1378)/((1-tech_proj!AM538)*tech_proj!AM818*$L$110))</f>
        <v>38.664677690652553</v>
      </c>
      <c r="AN758" s="71">
        <f>IF(tech_base!$T134&gt;AN$625,"",(1000*tech_proj!AN1098*(-PMT($J$110,tech_base!$F134,1))+1000*tech_proj!AN1378)/((1-tech_proj!AN538)*tech_proj!AN818*$L$110))</f>
        <v>38.66894320576273</v>
      </c>
      <c r="AO758" s="71">
        <f>IF(tech_base!$T134&gt;AO$625,"",(1000*tech_proj!AO1098*(-PMT($J$110,tech_base!$F134,1))+1000*tech_proj!AO1378)/((1-tech_proj!AO538)*tech_proj!AO818*$L$110))</f>
        <v>38.6730987860658</v>
      </c>
      <c r="AP758" s="71">
        <f>IF(tech_base!$T134&gt;AP$625,"",(1000*tech_proj!AP1098*(-PMT($J$110,tech_base!$F134,1))+1000*tech_proj!AP1378)/((1-tech_proj!AP538)*tech_proj!AP818*$L$110))</f>
        <v>38.67714682817148</v>
      </c>
      <c r="AQ758" s="71">
        <f>IF(tech_base!$T134&gt;AQ$625,"",(1000*tech_proj!AQ1098*(-PMT($J$110,tech_base!$F134,1))+1000*tech_proj!AQ1378)/((1-tech_proj!AQ538)*tech_proj!AQ818*$L$110))</f>
        <v>38.681089700618386</v>
      </c>
      <c r="AR758" s="71">
        <f>IF(tech_base!$T134&gt;AR$625,"",(1000*tech_proj!AR1098*(-PMT($J$110,tech_base!$F134,1))+1000*tech_proj!AR1378)/((1-tech_proj!AR538)*tech_proj!AR818*$L$110))</f>
        <v>38.684929742743556</v>
      </c>
      <c r="AS758" s="71">
        <f>IF(tech_base!$T134&gt;AS$625,"",(1000*tech_proj!AS1098*(-PMT($J$110,tech_base!$F134,1))+1000*tech_proj!AS1378)/((1-tech_proj!AS538)*tech_proj!AS818*$L$110))</f>
        <v>38.688669263660366</v>
      </c>
      <c r="AT758" s="71">
        <f>IF(tech_base!$T134&gt;AT$625,"",(1000*tech_proj!AT1098*(-PMT($J$110,tech_base!$F134,1))+1000*tech_proj!AT1378)/((1-tech_proj!AT538)*tech_proj!AT818*$L$110))</f>
        <v>38.69231054133995</v>
      </c>
      <c r="AU758" s="71">
        <f>IF(tech_base!$T134&gt;AU$625,"",(1000*tech_proj!AU1098*(-PMT($J$110,tech_base!$F134,1))+1000*tech_proj!AU1378)/((1-tech_proj!AU538)*tech_proj!AU818*$L$110))</f>
        <v>38.695855821791376</v>
      </c>
      <c r="AV758" s="71">
        <f>IF(tech_base!$T134&gt;AV$625,"",(1000*tech_proj!AV1098*(-PMT($J$110,tech_base!$F134,1))+1000*tech_proj!AV1378)/((1-tech_proj!AV538)*tech_proj!AV818*$L$110))</f>
        <v>38.699307318335904</v>
      </c>
      <c r="AW758" s="71">
        <f>IF(tech_base!$T134&gt;AW$625,"",(1000*tech_proj!AW1098*(-PMT($J$110,tech_base!$F134,1))+1000*tech_proj!AW1378)/((1-tech_proj!AW538)*tech_proj!AW818*$L$110))</f>
        <v>38.702667210970667</v>
      </c>
      <c r="AX758" s="237">
        <f>IF(tech_base!$T134&gt;AX$625,"",(1000*tech_proj!AX1098*(-PMT($J$110,tech_base!$F134,1))+1000*tech_proj!AX1378)/((1-tech_proj!AX538)*tech_proj!AX818*$L$110))</f>
        <v>38.705937645817265</v>
      </c>
      <c r="AY758" s="133"/>
    </row>
    <row r="759" spans="1:51" s="174" customFormat="1" x14ac:dyDescent="0.25">
      <c r="A759" s="356"/>
      <c r="B759" s="366"/>
      <c r="C759" s="378"/>
      <c r="D759" s="2" t="s">
        <v>8</v>
      </c>
      <c r="E759" s="160" t="str">
        <f>A755&amp;"/"&amp;B755&amp;"/"&amp;C758&amp;"/"&amp;D759</f>
        <v>Refinery gas fired power plants/Steam turbine/CHP/M</v>
      </c>
      <c r="F759" s="76" t="str">
        <f>A755</f>
        <v>Refinery gas fired power plants</v>
      </c>
      <c r="G759" s="76" t="str">
        <f>B755</f>
        <v>Steam turbine</v>
      </c>
      <c r="H759" s="76" t="str">
        <f>C758</f>
        <v>CHP</v>
      </c>
      <c r="I759" s="161" t="str">
        <f t="shared" si="364"/>
        <v>M</v>
      </c>
      <c r="J759" s="69">
        <f>IF(tech_base!$T135&gt;J$625,"",(1000*tech_proj!J1099*(-PMT($J$110,tech_base!$F135,1))+1000*tech_proj!J1379)/((1-tech_proj!J539)*tech_proj!J819*$L$110))</f>
        <v>40.470298839100423</v>
      </c>
      <c r="K759" s="69">
        <f>IF(tech_base!$T135&gt;K$625,"",(1000*tech_proj!K1099*(-PMT($J$110,tech_base!$F135,1))+1000*tech_proj!K1379)/((1-tech_proj!K539)*tech_proj!K819*$L$110))</f>
        <v>40.47749190942951</v>
      </c>
      <c r="L759" s="69">
        <f>IF(tech_base!$T135&gt;L$625,"",(1000*tech_proj!L1099*(-PMT($J$110,tech_base!$F135,1))+1000*tech_proj!L1379)/((1-tech_proj!L539)*tech_proj!L819*$L$110))</f>
        <v>40.484532227249332</v>
      </c>
      <c r="M759" s="69">
        <f>IF(tech_base!$T135&gt;M$625,"",(1000*tech_proj!M1099*(-PMT($J$110,tech_base!$F135,1))+1000*tech_proj!M1379)/((1-tech_proj!M539)*tech_proj!M819*$L$110))</f>
        <v>40.491421533179285</v>
      </c>
      <c r="N759" s="69">
        <f>IF(tech_base!$T135&gt;N$625,"",(1000*tech_proj!N1099*(-PMT($J$110,tech_base!$F135,1))+1000*tech_proj!N1379)/((1-tech_proj!N539)*tech_proj!N819*$L$110))</f>
        <v>40.498161627529171</v>
      </c>
      <c r="O759" s="69">
        <f>IF(tech_base!$T135&gt;O$625,"",(1000*tech_proj!O1099*(-PMT($J$110,tech_base!$F135,1))+1000*tech_proj!O1379)/((1-tech_proj!O539)*tech_proj!O819*$L$110))</f>
        <v>40.504754365380158</v>
      </c>
      <c r="P759" s="69">
        <f>IF(tech_base!$T135&gt;P$625,"",(1000*tech_proj!P1099*(-PMT($J$110,tech_base!$F135,1))+1000*tech_proj!P1379)/((1-tech_proj!P539)*tech_proj!P819*$L$110))</f>
        <v>40.511201651801777</v>
      </c>
      <c r="Q759" s="69">
        <f>IF(tech_base!$T135&gt;Q$625,"",(1000*tech_proj!Q1099*(-PMT($J$110,tech_base!$F135,1))+1000*tech_proj!Q1379)/((1-tech_proj!Q539)*tech_proj!Q819*$L$110))</f>
        <v>40.517505437210232</v>
      </c>
      <c r="R759" s="69">
        <f>IF(tech_base!$T135&gt;R$625,"",(1000*tech_proj!R1099*(-PMT($J$110,tech_base!$F135,1))+1000*tech_proj!R1379)/((1-tech_proj!R539)*tech_proj!R819*$L$110))</f>
        <v>40.523667712872609</v>
      </c>
      <c r="S759" s="69">
        <f>IF(tech_base!$T135&gt;S$625,"",(1000*tech_proj!S1099*(-PMT($J$110,tech_base!$F135,1))+1000*tech_proj!S1379)/((1-tech_proj!S539)*tech_proj!S819*$L$110))</f>
        <v>40.529690506560563</v>
      </c>
      <c r="T759" s="69">
        <f>IF(tech_base!$T135&gt;T$625,"",(1000*tech_proj!T1099*(-PMT($J$110,tech_base!$F135,1))+1000*tech_proj!T1379)/((1-tech_proj!T539)*tech_proj!T819*$L$110))</f>
        <v>40.535575878356312</v>
      </c>
      <c r="U759" s="69">
        <f>IF(tech_base!$T135&gt;U$625,"",(1000*tech_proj!U1099*(-PMT($J$110,tech_base!$F135,1))+1000*tech_proj!U1379)/((1-tech_proj!U539)*tech_proj!U819*$L$110))</f>
        <v>40.541325916613118</v>
      </c>
      <c r="V759" s="69">
        <f>IF(tech_base!$T135&gt;V$625,"",(1000*tech_proj!V1099*(-PMT($J$110,tech_base!$F135,1))+1000*tech_proj!V1379)/((1-tech_proj!V539)*tech_proj!V819*$L$110))</f>
        <v>40.546942734071713</v>
      </c>
      <c r="W759" s="69">
        <f>IF(tech_base!$T135&gt;W$625,"",(1000*tech_proj!W1099*(-PMT($J$110,tech_base!$F135,1))+1000*tech_proj!W1379)/((1-tech_proj!W539)*tech_proj!W819*$L$110))</f>
        <v>40.552428464133371</v>
      </c>
      <c r="X759" s="69">
        <f>IF(tech_base!$T135&gt;X$625,"",(1000*tech_proj!X1099*(-PMT($J$110,tech_base!$F135,1))+1000*tech_proj!X1379)/((1-tech_proj!X539)*tech_proj!X819*$L$110))</f>
        <v>40.557785257290085</v>
      </c>
      <c r="Y759" s="69">
        <f>IF(tech_base!$T135&gt;Y$625,"",(1000*tech_proj!Y1099*(-PMT($J$110,tech_base!$F135,1))+1000*tech_proj!Y1379)/((1-tech_proj!Y539)*tech_proj!Y819*$L$110))</f>
        <v>40.563015277711131</v>
      </c>
      <c r="Z759" s="69">
        <f>IF(tech_base!$T135&gt;Z$625,"",(1000*tech_proj!Z1099*(-PMT($J$110,tech_base!$F135,1))+1000*tech_proj!Z1379)/((1-tech_proj!Z539)*tech_proj!Z819*$L$110))</f>
        <v>40.568120699985471</v>
      </c>
      <c r="AA759" s="69">
        <f>IF(tech_base!$T135&gt;AA$625,"",(1000*tech_proj!AA1099*(-PMT($J$110,tech_base!$F135,1))+1000*tech_proj!AA1379)/((1-tech_proj!AA539)*tech_proj!AA819*$L$110))</f>
        <v>40.573103706018571</v>
      </c>
      <c r="AB759" s="69">
        <f>IF(tech_base!$T135&gt;AB$625,"",(1000*tech_proj!AB1099*(-PMT($J$110,tech_base!$F135,1))+1000*tech_proj!AB1379)/((1-tech_proj!AB539)*tech_proj!AB819*$L$110))</f>
        <v>40.577966482081969</v>
      </c>
      <c r="AC759" s="69">
        <f>IF(tech_base!$T135&gt;AC$625,"",(1000*tech_proj!AC1099*(-PMT($J$110,tech_base!$F135,1))+1000*tech_proj!AC1379)/((1-tech_proj!AC539)*tech_proj!AC819*$L$110))</f>
        <v>40.582711216013244</v>
      </c>
      <c r="AD759" s="69">
        <f>IF(tech_base!$T135&gt;AD$625,"",(1000*tech_proj!AD1099*(-PMT($J$110,tech_base!$F135,1))+1000*tech_proj!AD1379)/((1-tech_proj!AD539)*tech_proj!AD819*$L$110))</f>
        <v>40.587340094564254</v>
      </c>
      <c r="AE759" s="69">
        <f>IF(tech_base!$T135&gt;AE$625,"",(1000*tech_proj!AE1099*(-PMT($J$110,tech_base!$F135,1))+1000*tech_proj!AE1379)/((1-tech_proj!AE539)*tech_proj!AE819*$L$110))</f>
        <v>40.591855300894679</v>
      </c>
      <c r="AF759" s="69">
        <f>IF(tech_base!$T135&gt;AF$625,"",(1000*tech_proj!AF1099*(-PMT($J$110,tech_base!$F135,1))+1000*tech_proj!AF1379)/((1-tech_proj!AF539)*tech_proj!AF819*$L$110))</f>
        <v>40.596259012207781</v>
      </c>
      <c r="AG759" s="69">
        <f>IF(tech_base!$T135&gt;AG$625,"",(1000*tech_proj!AG1099*(-PMT($J$110,tech_base!$F135,1))+1000*tech_proj!AG1379)/((1-tech_proj!AG539)*tech_proj!AG819*$L$110))</f>
        <v>40.600553397525289</v>
      </c>
      <c r="AH759" s="69">
        <f>IF(tech_base!$T135&gt;AH$625,"",(1000*tech_proj!AH1099*(-PMT($J$110,tech_base!$F135,1))+1000*tech_proj!AH1379)/((1-tech_proj!AH539)*tech_proj!AH819*$L$110))</f>
        <v>40.604740615597777</v>
      </c>
      <c r="AI759" s="69">
        <f>IF(tech_base!$T135&gt;AI$625,"",(1000*tech_proj!AI1099*(-PMT($J$110,tech_base!$F135,1))+1000*tech_proj!AI1379)/((1-tech_proj!AI539)*tech_proj!AI819*$L$110))</f>
        <v>40.608822812946954</v>
      </c>
      <c r="AJ759" s="69">
        <f>IF(tech_base!$T135&gt;AJ$625,"",(1000*tech_proj!AJ1099*(-PMT($J$110,tech_base!$F135,1))+1000*tech_proj!AJ1379)/((1-tech_proj!AJ539)*tech_proj!AJ819*$L$110))</f>
        <v>40.612802122036079</v>
      </c>
      <c r="AK759" s="69">
        <f>IF(tech_base!$T135&gt;AK$625,"",(1000*tech_proj!AK1099*(-PMT($J$110,tech_base!$F135,1))+1000*tech_proj!AK1379)/((1-tech_proj!AK539)*tech_proj!AK819*$L$110))</f>
        <v>40.616680659564445</v>
      </c>
      <c r="AL759" s="69">
        <f>IF(tech_base!$T135&gt;AL$625,"",(1000*tech_proj!AL1099*(-PMT($J$110,tech_base!$F135,1))+1000*tech_proj!AL1379)/((1-tech_proj!AL539)*tech_proj!AL819*$L$110))</f>
        <v>40.620460524882198</v>
      </c>
      <c r="AM759" s="69">
        <f>IF(tech_base!$T135&gt;AM$625,"",(1000*tech_proj!AM1099*(-PMT($J$110,tech_base!$F135,1))+1000*tech_proj!AM1379)/((1-tech_proj!AM539)*tech_proj!AM819*$L$110))</f>
        <v>40.624143798521082</v>
      </c>
      <c r="AN759" s="69">
        <f>IF(tech_base!$T135&gt;AN$625,"",(1000*tech_proj!AN1099*(-PMT($J$110,tech_base!$F135,1))+1000*tech_proj!AN1379)/((1-tech_proj!AN539)*tech_proj!AN819*$L$110))</f>
        <v>40.627732540837215</v>
      </c>
      <c r="AO759" s="69">
        <f>IF(tech_base!$T135&gt;AO$625,"",(1000*tech_proj!AO1099*(-PMT($J$110,tech_base!$F135,1))+1000*tech_proj!AO1379)/((1-tech_proj!AO539)*tech_proj!AO819*$L$110))</f>
        <v>40.631228790761675</v>
      </c>
      <c r="AP759" s="69">
        <f>IF(tech_base!$T135&gt;AP$625,"",(1000*tech_proj!AP1099*(-PMT($J$110,tech_base!$F135,1))+1000*tech_proj!AP1379)/((1-tech_proj!AP539)*tech_proj!AP819*$L$110))</f>
        <v>40.634634564654611</v>
      </c>
      <c r="AQ759" s="69">
        <f>IF(tech_base!$T135&gt;AQ$625,"",(1000*tech_proj!AQ1099*(-PMT($J$110,tech_base!$F135,1))+1000*tech_proj!AQ1379)/((1-tech_proj!AQ539)*tech_proj!AQ819*$L$110))</f>
        <v>40.637951855258883</v>
      </c>
      <c r="AR759" s="69">
        <f>IF(tech_base!$T135&gt;AR$625,"",(1000*tech_proj!AR1099*(-PMT($J$110,tech_base!$F135,1))+1000*tech_proj!AR1379)/((1-tech_proj!AR539)*tech_proj!AR819*$L$110))</f>
        <v>40.641182630748915</v>
      </c>
      <c r="AS759" s="69">
        <f>IF(tech_base!$T135&gt;AS$625,"",(1000*tech_proj!AS1099*(-PMT($J$110,tech_base!$F135,1))+1000*tech_proj!AS1379)/((1-tech_proj!AS539)*tech_proj!AS819*$L$110))</f>
        <v>40.64432883387083</v>
      </c>
      <c r="AT759" s="69">
        <f>IF(tech_base!$T135&gt;AT$625,"",(1000*tech_proj!AT1099*(-PMT($J$110,tech_base!$F135,1))+1000*tech_proj!AT1379)/((1-tech_proj!AT539)*tech_proj!AT819*$L$110))</f>
        <v>40.647392381169574</v>
      </c>
      <c r="AU759" s="69">
        <f>IF(tech_base!$T135&gt;AU$625,"",(1000*tech_proj!AU1099*(-PMT($J$110,tech_base!$F135,1))+1000*tech_proj!AU1379)/((1-tech_proj!AU539)*tech_proj!AU819*$L$110))</f>
        <v>40.650375162299156</v>
      </c>
      <c r="AV759" s="69">
        <f>IF(tech_base!$T135&gt;AV$625,"",(1000*tech_proj!AV1099*(-PMT($J$110,tech_base!$F135,1))+1000*tech_proj!AV1379)/((1-tech_proj!AV539)*tech_proj!AV819*$L$110))</f>
        <v>40.653279039412112</v>
      </c>
      <c r="AW759" s="69">
        <f>IF(tech_base!$T135&gt;AW$625,"",(1000*tech_proj!AW1099*(-PMT($J$110,tech_base!$F135,1))+1000*tech_proj!AW1379)/((1-tech_proj!AW539)*tech_proj!AW819*$L$110))</f>
        <v>40.656105846624037</v>
      </c>
      <c r="AX759" s="235">
        <f>IF(tech_base!$T135&gt;AX$625,"",(1000*tech_proj!AX1099*(-PMT($J$110,tech_base!$F135,1))+1000*tech_proj!AX1379)/((1-tech_proj!AX539)*tech_proj!AX819*$L$110))</f>
        <v>40.658857389549809</v>
      </c>
      <c r="AY759" s="133"/>
    </row>
    <row r="760" spans="1:51" s="174" customFormat="1" x14ac:dyDescent="0.25">
      <c r="A760" s="356"/>
      <c r="B760" s="366"/>
      <c r="C760" s="379"/>
      <c r="D760" s="59" t="s">
        <v>10</v>
      </c>
      <c r="E760" s="166" t="str">
        <f>A755&amp;"/"&amp;B755&amp;"/"&amp;C758&amp;"/"&amp;D760</f>
        <v>Refinery gas fired power plants/Steam turbine/CHP/S</v>
      </c>
      <c r="F760" s="79" t="str">
        <f>A755</f>
        <v>Refinery gas fired power plants</v>
      </c>
      <c r="G760" s="79" t="str">
        <f>B755</f>
        <v>Steam turbine</v>
      </c>
      <c r="H760" s="79" t="str">
        <f>C758</f>
        <v>CHP</v>
      </c>
      <c r="I760" s="167" t="str">
        <f t="shared" si="364"/>
        <v>S</v>
      </c>
      <c r="J760" s="72">
        <f>IF(tech_base!$T136&gt;J$625,"",(1000*tech_proj!J1100*(-PMT($J$110,tech_base!$F136,1))+1000*tech_proj!J1380)/((1-tech_proj!J540)*tech_proj!J820*$L$110))</f>
        <v>44.195801782509413</v>
      </c>
      <c r="K760" s="72">
        <f>IF(tech_base!$T136&gt;K$625,"",(1000*tech_proj!K1100*(-PMT($J$110,tech_base!$F136,1))+1000*tech_proj!K1380)/((1-tech_proj!K540)*tech_proj!K820*$L$110))</f>
        <v>44.201693205100618</v>
      </c>
      <c r="L760" s="72">
        <f>IF(tech_base!$T136&gt;L$625,"",(1000*tech_proj!L1100*(-PMT($J$110,tech_base!$F136,1))+1000*tech_proj!L1380)/((1-tech_proj!L540)*tech_proj!L820*$L$110))</f>
        <v>44.207459517058581</v>
      </c>
      <c r="M760" s="72">
        <f>IF(tech_base!$T136&gt;M$625,"",(1000*tech_proj!M1100*(-PMT($J$110,tech_base!$F136,1))+1000*tech_proj!M1380)/((1-tech_proj!M540)*tech_proj!M820*$L$110))</f>
        <v>44.213102144022685</v>
      </c>
      <c r="N760" s="72">
        <f>IF(tech_base!$T136&gt;N$625,"",(1000*tech_proj!N1100*(-PMT($J$110,tech_base!$F136,1))+1000*tech_proj!N1380)/((1-tech_proj!N540)*tech_proj!N820*$L$110))</f>
        <v>44.218622560521219</v>
      </c>
      <c r="O760" s="72">
        <f>IF(tech_base!$T136&gt;O$625,"",(1000*tech_proj!O1100*(-PMT($J$110,tech_base!$F136,1))+1000*tech_proj!O1380)/((1-tech_proj!O540)*tech_proj!O820*$L$110))</f>
        <v>44.224022285942539</v>
      </c>
      <c r="P760" s="72">
        <f>IF(tech_base!$T136&gt;P$625,"",(1000*tech_proj!P1100*(-PMT($J$110,tech_base!$F136,1))+1000*tech_proj!P1380)/((1-tech_proj!P540)*tech_proj!P820*$L$110))</f>
        <v>44.229302880617496</v>
      </c>
      <c r="Q760" s="72">
        <f>IF(tech_base!$T136&gt;Q$625,"",(1000*tech_proj!Q1100*(-PMT($J$110,tech_base!$F136,1))+1000*tech_proj!Q1380)/((1-tech_proj!Q540)*tech_proj!Q820*$L$110))</f>
        <v>44.234465942017756</v>
      </c>
      <c r="R760" s="72">
        <f>IF(tech_base!$T136&gt;R$625,"",(1000*tech_proj!R1100*(-PMT($J$110,tech_base!$F136,1))+1000*tech_proj!R1380)/((1-tech_proj!R540)*tech_proj!R820*$L$110))</f>
        <v>44.239513101073577</v>
      </c>
      <c r="S760" s="72">
        <f>IF(tech_base!$T136&gt;S$625,"",(1000*tech_proj!S1100*(-PMT($J$110,tech_base!$F136,1))+1000*tech_proj!S1380)/((1-tech_proj!S540)*tech_proj!S820*$L$110))</f>
        <v>44.244446018613957</v>
      </c>
      <c r="T760" s="72">
        <f>IF(tech_base!$T136&gt;T$625,"",(1000*tech_proj!T1100*(-PMT($J$110,tech_base!$F136,1))+1000*tech_proj!T1380)/((1-tech_proj!T540)*tech_proj!T820*$L$110))</f>
        <v>44.249266381931555</v>
      </c>
      <c r="U760" s="72">
        <f>IF(tech_base!$T136&gt;U$625,"",(1000*tech_proj!U1100*(-PMT($J$110,tech_base!$F136,1))+1000*tech_proj!U1380)/((1-tech_proj!U540)*tech_proj!U820*$L$110))</f>
        <v>44.253975901474199</v>
      </c>
      <c r="V760" s="72">
        <f>IF(tech_base!$T136&gt;V$625,"",(1000*tech_proj!V1100*(-PMT($J$110,tech_base!$F136,1))+1000*tech_proj!V1380)/((1-tech_proj!V540)*tech_proj!V820*$L$110))</f>
        <v>44.258576307664093</v>
      </c>
      <c r="W760" s="72">
        <f>IF(tech_base!$T136&gt;W$625,"",(1000*tech_proj!W1100*(-PMT($J$110,tech_base!$F136,1))+1000*tech_proj!W1380)/((1-tech_proj!W540)*tech_proj!W820*$L$110))</f>
        <v>44.263069347845274</v>
      </c>
      <c r="X760" s="72">
        <f>IF(tech_base!$T136&gt;X$625,"",(1000*tech_proj!X1100*(-PMT($J$110,tech_base!$F136,1))+1000*tech_proj!X1380)/((1-tech_proj!X540)*tech_proj!X820*$L$110))</f>
        <v>44.267456783359755</v>
      </c>
      <c r="Y760" s="72">
        <f>IF(tech_base!$T136&gt;Y$625,"",(1000*tech_proj!Y1100*(-PMT($J$110,tech_base!$F136,1))+1000*tech_proj!Y1380)/((1-tech_proj!Y540)*tech_proj!Y820*$L$110))</f>
        <v>44.271740386751809</v>
      </c>
      <c r="Z760" s="72">
        <f>IF(tech_base!$T136&gt;Z$625,"",(1000*tech_proj!Z1100*(-PMT($J$110,tech_base!$F136,1))+1000*tech_proj!Z1380)/((1-tech_proj!Z540)*tech_proj!Z820*$L$110))</f>
        <v>44.275921939099923</v>
      </c>
      <c r="AA760" s="72">
        <f>IF(tech_base!$T136&gt;AA$625,"",(1000*tech_proj!AA1100*(-PMT($J$110,tech_base!$F136,1))+1000*tech_proj!AA1380)/((1-tech_proj!AA540)*tech_proj!AA820*$L$110))</f>
        <v>44.280003227475063</v>
      </c>
      <c r="AB760" s="72">
        <f>IF(tech_base!$T136&gt;AB$625,"",(1000*tech_proj!AB1100*(-PMT($J$110,tech_base!$F136,1))+1000*tech_proj!AB1380)/((1-tech_proj!AB540)*tech_proj!AB820*$L$110))</f>
        <v>44.283986042524148</v>
      </c>
      <c r="AC760" s="72">
        <f>IF(tech_base!$T136&gt;AC$625,"",(1000*tech_proj!AC1100*(-PMT($J$110,tech_base!$F136,1))+1000*tech_proj!AC1380)/((1-tech_proj!AC540)*tech_proj!AC820*$L$110))</f>
        <v>44.28787217617684</v>
      </c>
      <c r="AD760" s="72">
        <f>IF(tech_base!$T136&gt;AD$625,"",(1000*tech_proj!AD1100*(-PMT($J$110,tech_base!$F136,1))+1000*tech_proj!AD1380)/((1-tech_proj!AD540)*tech_proj!AD820*$L$110))</f>
        <v>44.291663419473494</v>
      </c>
      <c r="AE760" s="72">
        <f>IF(tech_base!$T136&gt;AE$625,"",(1000*tech_proj!AE1100*(-PMT($J$110,tech_base!$F136,1))+1000*tech_proj!AE1380)/((1-tech_proj!AE540)*tech_proj!AE820*$L$110))</f>
        <v>44.295361560512305</v>
      </c>
      <c r="AF760" s="72">
        <f>IF(tech_base!$T136&gt;AF$625,"",(1000*tech_proj!AF1100*(-PMT($J$110,tech_base!$F136,1))+1000*tech_proj!AF1380)/((1-tech_proj!AF540)*tech_proj!AF820*$L$110))</f>
        <v>44.29896838251296</v>
      </c>
      <c r="AG760" s="72">
        <f>IF(tech_base!$T136&gt;AG$625,"",(1000*tech_proj!AG1100*(-PMT($J$110,tech_base!$F136,1))+1000*tech_proj!AG1380)/((1-tech_proj!AG540)*tech_proj!AG820*$L$110))</f>
        <v>44.302485661994112</v>
      </c>
      <c r="AH760" s="72">
        <f>IF(tech_base!$T136&gt;AH$625,"",(1000*tech_proj!AH1100*(-PMT($J$110,tech_base!$F136,1))+1000*tech_proj!AH1380)/((1-tech_proj!AH540)*tech_proj!AH820*$L$110))</f>
        <v>44.305915167061897</v>
      </c>
      <c r="AI760" s="72">
        <f>IF(tech_base!$T136&gt;AI$625,"",(1000*tech_proj!AI1100*(-PMT($J$110,tech_base!$F136,1))+1000*tech_proj!AI1380)/((1-tech_proj!AI540)*tech_proj!AI820*$L$110))</f>
        <v>44.309258655806552</v>
      </c>
      <c r="AJ760" s="72">
        <f>IF(tech_base!$T136&gt;AJ$625,"",(1000*tech_proj!AJ1100*(-PMT($J$110,tech_base!$F136,1))+1000*tech_proj!AJ1380)/((1-tech_proj!AJ540)*tech_proj!AJ820*$L$110))</f>
        <v>44.312517874803802</v>
      </c>
      <c r="AK760" s="72">
        <f>IF(tech_base!$T136&gt;AK$625,"",(1000*tech_proj!AK1100*(-PMT($J$110,tech_base!$F136,1))+1000*tech_proj!AK1380)/((1-tech_proj!AK540)*tech_proj!AK820*$L$110))</f>
        <v>44.315694557718061</v>
      </c>
      <c r="AL760" s="72">
        <f>IF(tech_base!$T136&gt;AL$625,"",(1000*tech_proj!AL1100*(-PMT($J$110,tech_base!$F136,1))+1000*tech_proj!AL1380)/((1-tech_proj!AL540)*tech_proj!AL820*$L$110))</f>
        <v>44.318790424004078</v>
      </c>
      <c r="AM760" s="72">
        <f>IF(tech_base!$T136&gt;AM$625,"",(1000*tech_proj!AM1100*(-PMT($J$110,tech_base!$F136,1))+1000*tech_proj!AM1380)/((1-tech_proj!AM540)*tech_proj!AM820*$L$110))</f>
        <v>44.321807177703533</v>
      </c>
      <c r="AN760" s="72">
        <f>IF(tech_base!$T136&gt;AN$625,"",(1000*tech_proj!AN1100*(-PMT($J$110,tech_base!$F136,1))+1000*tech_proj!AN1380)/((1-tech_proj!AN540)*tech_proj!AN820*$L$110))</f>
        <v>44.324746506333454</v>
      </c>
      <c r="AO760" s="72">
        <f>IF(tech_base!$T136&gt;AO$625,"",(1000*tech_proj!AO1100*(-PMT($J$110,tech_base!$F136,1))+1000*tech_proj!AO1380)/((1-tech_proj!AO540)*tech_proj!AO820*$L$110))</f>
        <v>44.327610079862851</v>
      </c>
      <c r="AP760" s="72">
        <f>IF(tech_base!$T136&gt;AP$625,"",(1000*tech_proj!AP1100*(-PMT($J$110,tech_base!$F136,1))+1000*tech_proj!AP1380)/((1-tech_proj!AP540)*tech_proj!AP820*$L$110))</f>
        <v>44.330399549774242</v>
      </c>
      <c r="AQ760" s="72">
        <f>IF(tech_base!$T136&gt;AQ$625,"",(1000*tech_proj!AQ1100*(-PMT($J$110,tech_base!$F136,1))+1000*tech_proj!AQ1380)/((1-tech_proj!AQ540)*tech_proj!AQ820*$L$110))</f>
        <v>44.333116548206547</v>
      </c>
      <c r="AR760" s="72">
        <f>IF(tech_base!$T136&gt;AR$625,"",(1000*tech_proj!AR1100*(-PMT($J$110,tech_base!$F136,1))+1000*tech_proj!AR1380)/((1-tech_proj!AR540)*tech_proj!AR820*$L$110))</f>
        <v>44.335762687176185</v>
      </c>
      <c r="AS760" s="72">
        <f>IF(tech_base!$T136&gt;AS$625,"",(1000*tech_proj!AS1100*(-PMT($J$110,tech_base!$F136,1))+1000*tech_proj!AS1380)/((1-tech_proj!AS540)*tech_proj!AS820*$L$110))</f>
        <v>44.338339557872708</v>
      </c>
      <c r="AT760" s="72">
        <f>IF(tech_base!$T136&gt;AT$625,"",(1000*tech_proj!AT1100*(-PMT($J$110,tech_base!$F136,1))+1000*tech_proj!AT1380)/((1-tech_proj!AT540)*tech_proj!AT820*$L$110))</f>
        <v>44.340848730025812</v>
      </c>
      <c r="AU760" s="72">
        <f>IF(tech_base!$T136&gt;AU$625,"",(1000*tech_proj!AU1100*(-PMT($J$110,tech_base!$F136,1))+1000*tech_proj!AU1380)/((1-tech_proj!AU540)*tech_proj!AU820*$L$110))</f>
        <v>44.343291751340423</v>
      </c>
      <c r="AV760" s="72">
        <f>IF(tech_base!$T136&gt;AV$625,"",(1000*tech_proj!AV1100*(-PMT($J$110,tech_base!$F136,1))+1000*tech_proj!AV1380)/((1-tech_proj!AV540)*tech_proj!AV820*$L$110))</f>
        <v>44.345670146996618</v>
      </c>
      <c r="AW760" s="72">
        <f>IF(tech_base!$T136&gt;AW$625,"",(1000*tech_proj!AW1100*(-PMT($J$110,tech_base!$F136,1))+1000*tech_proj!AW1380)/((1-tech_proj!AW540)*tech_proj!AW820*$L$110))</f>
        <v>44.347985419211049</v>
      </c>
      <c r="AX760" s="238">
        <f>IF(tech_base!$T136&gt;AX$625,"",(1000*tech_proj!AX1100*(-PMT($J$110,tech_base!$F136,1))+1000*tech_proj!AX1380)/((1-tech_proj!AX540)*tech_proj!AX820*$L$110))</f>
        <v>44.350239046857077</v>
      </c>
      <c r="AY760" s="133"/>
    </row>
    <row r="761" spans="1:51" s="174" customFormat="1" x14ac:dyDescent="0.25">
      <c r="A761" s="356"/>
      <c r="B761" s="366"/>
      <c r="C761" s="361" t="s">
        <v>15</v>
      </c>
      <c r="D761" s="58" t="s">
        <v>7</v>
      </c>
      <c r="E761" s="164" t="str">
        <f>A755&amp;"/"&amp;B755&amp;"/"&amp;C761&amp;"/"&amp;D761</f>
        <v>Refinery gas fired power plants/Steam turbine/Electricity only with CCS/L</v>
      </c>
      <c r="F761" s="78" t="str">
        <f>A755</f>
        <v>Refinery gas fired power plants</v>
      </c>
      <c r="G761" s="78" t="str">
        <f>B755</f>
        <v>Steam turbine</v>
      </c>
      <c r="H761" s="78" t="str">
        <f>C761</f>
        <v>Electricity only with CCS</v>
      </c>
      <c r="I761" s="165" t="str">
        <f t="shared" si="364"/>
        <v>L</v>
      </c>
      <c r="J761" s="71" t="str">
        <f>IF(tech_base!$T137&gt;J$625,"",(1000*tech_proj!J1101*(-PMT($J$110,tech_base!$F137,1))+1000*tech_proj!J1381)/((1-tech_proj!J541)*tech_proj!J821*$L$110))</f>
        <v/>
      </c>
      <c r="K761" s="71" t="str">
        <f>IF(tech_base!$T137&gt;K$625,"",(1000*tech_proj!K1101*(-PMT($J$110,tech_base!$F137,1))+1000*tech_proj!K1381)/((1-tech_proj!K541)*tech_proj!K821*$L$110))</f>
        <v/>
      </c>
      <c r="L761" s="71" t="str">
        <f>IF(tech_base!$T137&gt;L$625,"",(1000*tech_proj!L1101*(-PMT($J$110,tech_base!$F137,1))+1000*tech_proj!L1381)/((1-tech_proj!L541)*tech_proj!L821*$L$110))</f>
        <v/>
      </c>
      <c r="M761" s="71" t="str">
        <f>IF(tech_base!$T137&gt;M$625,"",(1000*tech_proj!M1101*(-PMT($J$110,tech_base!$F137,1))+1000*tech_proj!M1381)/((1-tech_proj!M541)*tech_proj!M821*$L$110))</f>
        <v/>
      </c>
      <c r="N761" s="71" t="str">
        <f>IF(tech_base!$T137&gt;N$625,"",(1000*tech_proj!N1101*(-PMT($J$110,tech_base!$F137,1))+1000*tech_proj!N1381)/((1-tech_proj!N541)*tech_proj!N821*$L$110))</f>
        <v/>
      </c>
      <c r="O761" s="71" t="str">
        <f>IF(tech_base!$T137&gt;O$625,"",(1000*tech_proj!O1101*(-PMT($J$110,tech_base!$F137,1))+1000*tech_proj!O1381)/((1-tech_proj!O541)*tech_proj!O821*$L$110))</f>
        <v/>
      </c>
      <c r="P761" s="71" t="str">
        <f>IF(tech_base!$T137&gt;P$625,"",(1000*tech_proj!P1101*(-PMT($J$110,tech_base!$F137,1))+1000*tech_proj!P1381)/((1-tech_proj!P541)*tech_proj!P821*$L$110))</f>
        <v/>
      </c>
      <c r="Q761" s="71" t="str">
        <f>IF(tech_base!$T137&gt;Q$625,"",(1000*tech_proj!Q1101*(-PMT($J$110,tech_base!$F137,1))+1000*tech_proj!Q1381)/((1-tech_proj!Q541)*tech_proj!Q821*$L$110))</f>
        <v/>
      </c>
      <c r="R761" s="71" t="str">
        <f>IF(tech_base!$T137&gt;R$625,"",(1000*tech_proj!R1101*(-PMT($J$110,tech_base!$F137,1))+1000*tech_proj!R1381)/((1-tech_proj!R541)*tech_proj!R821*$L$110))</f>
        <v/>
      </c>
      <c r="S761" s="71" t="str">
        <f>IF(tech_base!$T137&gt;S$625,"",(1000*tech_proj!S1101*(-PMT($J$110,tech_base!$F137,1))+1000*tech_proj!S1381)/((1-tech_proj!S541)*tech_proj!S821*$L$110))</f>
        <v/>
      </c>
      <c r="T761" s="71" t="str">
        <f>IF(tech_base!$T137&gt;T$625,"",(1000*tech_proj!T1101*(-PMT($J$110,tech_base!$F137,1))+1000*tech_proj!T1381)/((1-tech_proj!T541)*tech_proj!T821*$L$110))</f>
        <v/>
      </c>
      <c r="U761" s="71" t="str">
        <f>IF(tech_base!$T137&gt;U$625,"",(1000*tech_proj!U1101*(-PMT($J$110,tech_base!$F137,1))+1000*tech_proj!U1381)/((1-tech_proj!U541)*tech_proj!U821*$L$110))</f>
        <v/>
      </c>
      <c r="V761" s="71" t="str">
        <f>IF(tech_base!$T137&gt;V$625,"",(1000*tech_proj!V1101*(-PMT($J$110,tech_base!$F137,1))+1000*tech_proj!V1381)/((1-tech_proj!V541)*tech_proj!V821*$L$110))</f>
        <v/>
      </c>
      <c r="W761" s="71" t="str">
        <f>IF(tech_base!$T137&gt;W$625,"",(1000*tech_proj!W1101*(-PMT($J$110,tech_base!$F137,1))+1000*tech_proj!W1381)/((1-tech_proj!W541)*tech_proj!W821*$L$110))</f>
        <v/>
      </c>
      <c r="X761" s="71" t="str">
        <f>IF(tech_base!$T137&gt;X$625,"",(1000*tech_proj!X1101*(-PMT($J$110,tech_base!$F137,1))+1000*tech_proj!X1381)/((1-tech_proj!X541)*tech_proj!X821*$L$110))</f>
        <v/>
      </c>
      <c r="Y761" s="71" t="str">
        <f>IF(tech_base!$T137&gt;Y$625,"",(1000*tech_proj!Y1101*(-PMT($J$110,tech_base!$F137,1))+1000*tech_proj!Y1381)/((1-tech_proj!Y541)*tech_proj!Y821*$L$110))</f>
        <v/>
      </c>
      <c r="Z761" s="71" t="str">
        <f>IF(tech_base!$T137&gt;Z$625,"",(1000*tech_proj!Z1101*(-PMT($J$110,tech_base!$F137,1))+1000*tech_proj!Z1381)/((1-tech_proj!Z541)*tech_proj!Z821*$L$110))</f>
        <v/>
      </c>
      <c r="AA761" s="71" t="str">
        <f>IF(tech_base!$T137&gt;AA$625,"",(1000*tech_proj!AA1101*(-PMT($J$110,tech_base!$F137,1))+1000*tech_proj!AA1381)/((1-tech_proj!AA541)*tech_proj!AA821*$L$110))</f>
        <v/>
      </c>
      <c r="AB761" s="71" t="str">
        <f>IF(tech_base!$T137&gt;AB$625,"",(1000*tech_proj!AB1101*(-PMT($J$110,tech_base!$F137,1))+1000*tech_proj!AB1381)/((1-tech_proj!AB541)*tech_proj!AB821*$L$110))</f>
        <v/>
      </c>
      <c r="AC761" s="71" t="str">
        <f>IF(tech_base!$T137&gt;AC$625,"",(1000*tech_proj!AC1101*(-PMT($J$110,tech_base!$F137,1))+1000*tech_proj!AC1381)/((1-tech_proj!AC541)*tech_proj!AC821*$L$110))</f>
        <v/>
      </c>
      <c r="AD761" s="71" t="str">
        <f>IF(tech_base!$T137&gt;AD$625,"",(1000*tech_proj!AD1101*(-PMT($J$110,tech_base!$F137,1))+1000*tech_proj!AD1381)/((1-tech_proj!AD541)*tech_proj!AD821*$L$110))</f>
        <v/>
      </c>
      <c r="AE761" s="71">
        <f>IF(tech_base!$T137&gt;AE$625,"",(1000*tech_proj!AE1101*(-PMT($J$110,tech_base!$F137,1))+1000*tech_proj!AE1381)/((1-tech_proj!AE541)*tech_proj!AE821*$L$110))</f>
        <v>75.809652775016275</v>
      </c>
      <c r="AF761" s="71">
        <f>IF(tech_base!$T137&gt;AF$625,"",(1000*tech_proj!AF1101*(-PMT($J$110,tech_base!$F137,1))+1000*tech_proj!AF1381)/((1-tech_proj!AF541)*tech_proj!AF821*$L$110))</f>
        <v>75.809652775016275</v>
      </c>
      <c r="AG761" s="71">
        <f>IF(tech_base!$T137&gt;AG$625,"",(1000*tech_proj!AG1101*(-PMT($J$110,tech_base!$F137,1))+1000*tech_proj!AG1381)/((1-tech_proj!AG541)*tech_proj!AG821*$L$110))</f>
        <v>75.809652775016275</v>
      </c>
      <c r="AH761" s="71">
        <f>IF(tech_base!$T137&gt;AH$625,"",(1000*tech_proj!AH1101*(-PMT($J$110,tech_base!$F137,1))+1000*tech_proj!AH1381)/((1-tech_proj!AH541)*tech_proj!AH821*$L$110))</f>
        <v>75.809652775016275</v>
      </c>
      <c r="AI761" s="71">
        <f>IF(tech_base!$T137&gt;AI$625,"",(1000*tech_proj!AI1101*(-PMT($J$110,tech_base!$F137,1))+1000*tech_proj!AI1381)/((1-tech_proj!AI541)*tech_proj!AI821*$L$110))</f>
        <v>75.809652775016275</v>
      </c>
      <c r="AJ761" s="71">
        <f>IF(tech_base!$T137&gt;AJ$625,"",(1000*tech_proj!AJ1101*(-PMT($J$110,tech_base!$F137,1))+1000*tech_proj!AJ1381)/((1-tech_proj!AJ541)*tech_proj!AJ821*$L$110))</f>
        <v>75.809652775016275</v>
      </c>
      <c r="AK761" s="71">
        <f>IF(tech_base!$T137&gt;AK$625,"",(1000*tech_proj!AK1101*(-PMT($J$110,tech_base!$F137,1))+1000*tech_proj!AK1381)/((1-tech_proj!AK541)*tech_proj!AK821*$L$110))</f>
        <v>75.809652775016275</v>
      </c>
      <c r="AL761" s="71">
        <f>IF(tech_base!$T137&gt;AL$625,"",(1000*tech_proj!AL1101*(-PMT($J$110,tech_base!$F137,1))+1000*tech_proj!AL1381)/((1-tech_proj!AL541)*tech_proj!AL821*$L$110))</f>
        <v>75.809652775016275</v>
      </c>
      <c r="AM761" s="71">
        <f>IF(tech_base!$T137&gt;AM$625,"",(1000*tech_proj!AM1101*(-PMT($J$110,tech_base!$F137,1))+1000*tech_proj!AM1381)/((1-tech_proj!AM541)*tech_proj!AM821*$L$110))</f>
        <v>75.809652775016275</v>
      </c>
      <c r="AN761" s="71">
        <f>IF(tech_base!$T137&gt;AN$625,"",(1000*tech_proj!AN1101*(-PMT($J$110,tech_base!$F137,1))+1000*tech_proj!AN1381)/((1-tech_proj!AN541)*tech_proj!AN821*$L$110))</f>
        <v>75.809652775016275</v>
      </c>
      <c r="AO761" s="71">
        <f>IF(tech_base!$T137&gt;AO$625,"",(1000*tech_proj!AO1101*(-PMT($J$110,tech_base!$F137,1))+1000*tech_proj!AO1381)/((1-tech_proj!AO541)*tech_proj!AO821*$L$110))</f>
        <v>75.809652775016275</v>
      </c>
      <c r="AP761" s="71">
        <f>IF(tech_base!$T137&gt;AP$625,"",(1000*tech_proj!AP1101*(-PMT($J$110,tech_base!$F137,1))+1000*tech_proj!AP1381)/((1-tech_proj!AP541)*tech_proj!AP821*$L$110))</f>
        <v>75.809652775016275</v>
      </c>
      <c r="AQ761" s="71">
        <f>IF(tech_base!$T137&gt;AQ$625,"",(1000*tech_proj!AQ1101*(-PMT($J$110,tech_base!$F137,1))+1000*tech_proj!AQ1381)/((1-tech_proj!AQ541)*tech_proj!AQ821*$L$110))</f>
        <v>75.809652775016275</v>
      </c>
      <c r="AR761" s="71">
        <f>IF(tech_base!$T137&gt;AR$625,"",(1000*tech_proj!AR1101*(-PMT($J$110,tech_base!$F137,1))+1000*tech_proj!AR1381)/((1-tech_proj!AR541)*tech_proj!AR821*$L$110))</f>
        <v>75.809652775016275</v>
      </c>
      <c r="AS761" s="71">
        <f>IF(tech_base!$T137&gt;AS$625,"",(1000*tech_proj!AS1101*(-PMT($J$110,tech_base!$F137,1))+1000*tech_proj!AS1381)/((1-tech_proj!AS541)*tech_proj!AS821*$L$110))</f>
        <v>75.809652775016275</v>
      </c>
      <c r="AT761" s="71">
        <f>IF(tech_base!$T137&gt;AT$625,"",(1000*tech_proj!AT1101*(-PMT($J$110,tech_base!$F137,1))+1000*tech_proj!AT1381)/((1-tech_proj!AT541)*tech_proj!AT821*$L$110))</f>
        <v>75.809652775016275</v>
      </c>
      <c r="AU761" s="71">
        <f>IF(tech_base!$T137&gt;AU$625,"",(1000*tech_proj!AU1101*(-PMT($J$110,tech_base!$F137,1))+1000*tech_proj!AU1381)/((1-tech_proj!AU541)*tech_proj!AU821*$L$110))</f>
        <v>75.809652775016275</v>
      </c>
      <c r="AV761" s="71">
        <f>IF(tech_base!$T137&gt;AV$625,"",(1000*tech_proj!AV1101*(-PMT($J$110,tech_base!$F137,1))+1000*tech_proj!AV1381)/((1-tech_proj!AV541)*tech_proj!AV821*$L$110))</f>
        <v>75.809652775016275</v>
      </c>
      <c r="AW761" s="71">
        <f>IF(tech_base!$T137&gt;AW$625,"",(1000*tech_proj!AW1101*(-PMT($J$110,tech_base!$F137,1))+1000*tech_proj!AW1381)/((1-tech_proj!AW541)*tech_proj!AW821*$L$110))</f>
        <v>75.809652775016275</v>
      </c>
      <c r="AX761" s="237">
        <f>IF(tech_base!$T137&gt;AX$625,"",(1000*tech_proj!AX1101*(-PMT($J$110,tech_base!$F137,1))+1000*tech_proj!AX1381)/((1-tech_proj!AX541)*tech_proj!AX821*$L$110))</f>
        <v>75.809652775016275</v>
      </c>
      <c r="AY761" s="133"/>
    </row>
    <row r="762" spans="1:51" x14ac:dyDescent="0.25">
      <c r="A762" s="356"/>
      <c r="B762" s="366"/>
      <c r="C762" s="379"/>
      <c r="D762" s="59" t="s">
        <v>8</v>
      </c>
      <c r="E762" s="166" t="str">
        <f>A755&amp;"/"&amp;B755&amp;"/"&amp;C761&amp;"/"&amp;D762</f>
        <v>Refinery gas fired power plants/Steam turbine/Electricity only with CCS/M</v>
      </c>
      <c r="F762" s="79" t="str">
        <f>A755</f>
        <v>Refinery gas fired power plants</v>
      </c>
      <c r="G762" s="79" t="str">
        <f>B755</f>
        <v>Steam turbine</v>
      </c>
      <c r="H762" s="79" t="str">
        <f>C761</f>
        <v>Electricity only with CCS</v>
      </c>
      <c r="I762" s="167" t="str">
        <f t="shared" si="364"/>
        <v>M</v>
      </c>
      <c r="J762" s="72" t="str">
        <f>IF(tech_base!$T138&gt;J$625,"",(1000*tech_proj!J1102*(-PMT($J$110,tech_base!$F138,1))+1000*tech_proj!J1382)/((1-tech_proj!J542)*tech_proj!J822*$L$110))</f>
        <v/>
      </c>
      <c r="K762" s="72" t="str">
        <f>IF(tech_base!$T138&gt;K$625,"",(1000*tech_proj!K1102*(-PMT($J$110,tech_base!$F138,1))+1000*tech_proj!K1382)/((1-tech_proj!K542)*tech_proj!K822*$L$110))</f>
        <v/>
      </c>
      <c r="L762" s="72" t="str">
        <f>IF(tech_base!$T138&gt;L$625,"",(1000*tech_proj!L1102*(-PMT($J$110,tech_base!$F138,1))+1000*tech_proj!L1382)/((1-tech_proj!L542)*tech_proj!L822*$L$110))</f>
        <v/>
      </c>
      <c r="M762" s="72" t="str">
        <f>IF(tech_base!$T138&gt;M$625,"",(1000*tech_proj!M1102*(-PMT($J$110,tech_base!$F138,1))+1000*tech_proj!M1382)/((1-tech_proj!M542)*tech_proj!M822*$L$110))</f>
        <v/>
      </c>
      <c r="N762" s="72" t="str">
        <f>IF(tech_base!$T138&gt;N$625,"",(1000*tech_proj!N1102*(-PMT($J$110,tech_base!$F138,1))+1000*tech_proj!N1382)/((1-tech_proj!N542)*tech_proj!N822*$L$110))</f>
        <v/>
      </c>
      <c r="O762" s="72" t="str">
        <f>IF(tech_base!$T138&gt;O$625,"",(1000*tech_proj!O1102*(-PMT($J$110,tech_base!$F138,1))+1000*tech_proj!O1382)/((1-tech_proj!O542)*tech_proj!O822*$L$110))</f>
        <v/>
      </c>
      <c r="P762" s="72" t="str">
        <f>IF(tech_base!$T138&gt;P$625,"",(1000*tech_proj!P1102*(-PMT($J$110,tech_base!$F138,1))+1000*tech_proj!P1382)/((1-tech_proj!P542)*tech_proj!P822*$L$110))</f>
        <v/>
      </c>
      <c r="Q762" s="72" t="str">
        <f>IF(tech_base!$T138&gt;Q$625,"",(1000*tech_proj!Q1102*(-PMT($J$110,tech_base!$F138,1))+1000*tech_proj!Q1382)/((1-tech_proj!Q542)*tech_proj!Q822*$L$110))</f>
        <v/>
      </c>
      <c r="R762" s="72" t="str">
        <f>IF(tech_base!$T138&gt;R$625,"",(1000*tech_proj!R1102*(-PMT($J$110,tech_base!$F138,1))+1000*tech_proj!R1382)/((1-tech_proj!R542)*tech_proj!R822*$L$110))</f>
        <v/>
      </c>
      <c r="S762" s="72" t="str">
        <f>IF(tech_base!$T138&gt;S$625,"",(1000*tech_proj!S1102*(-PMT($J$110,tech_base!$F138,1))+1000*tech_proj!S1382)/((1-tech_proj!S542)*tech_proj!S822*$L$110))</f>
        <v/>
      </c>
      <c r="T762" s="72" t="str">
        <f>IF(tech_base!$T138&gt;T$625,"",(1000*tech_proj!T1102*(-PMT($J$110,tech_base!$F138,1))+1000*tech_proj!T1382)/((1-tech_proj!T542)*tech_proj!T822*$L$110))</f>
        <v/>
      </c>
      <c r="U762" s="72" t="str">
        <f>IF(tech_base!$T138&gt;U$625,"",(1000*tech_proj!U1102*(-PMT($J$110,tech_base!$F138,1))+1000*tech_proj!U1382)/((1-tech_proj!U542)*tech_proj!U822*$L$110))</f>
        <v/>
      </c>
      <c r="V762" s="72" t="str">
        <f>IF(tech_base!$T138&gt;V$625,"",(1000*tech_proj!V1102*(-PMT($J$110,tech_base!$F138,1))+1000*tech_proj!V1382)/((1-tech_proj!V542)*tech_proj!V822*$L$110))</f>
        <v/>
      </c>
      <c r="W762" s="72" t="str">
        <f>IF(tech_base!$T138&gt;W$625,"",(1000*tech_proj!W1102*(-PMT($J$110,tech_base!$F138,1))+1000*tech_proj!W1382)/((1-tech_proj!W542)*tech_proj!W822*$L$110))</f>
        <v/>
      </c>
      <c r="X762" s="72" t="str">
        <f>IF(tech_base!$T138&gt;X$625,"",(1000*tech_proj!X1102*(-PMT($J$110,tech_base!$F138,1))+1000*tech_proj!X1382)/((1-tech_proj!X542)*tech_proj!X822*$L$110))</f>
        <v/>
      </c>
      <c r="Y762" s="72" t="str">
        <f>IF(tech_base!$T138&gt;Y$625,"",(1000*tech_proj!Y1102*(-PMT($J$110,tech_base!$F138,1))+1000*tech_proj!Y1382)/((1-tech_proj!Y542)*tech_proj!Y822*$L$110))</f>
        <v/>
      </c>
      <c r="Z762" s="72" t="str">
        <f>IF(tech_base!$T138&gt;Z$625,"",(1000*tech_proj!Z1102*(-PMT($J$110,tech_base!$F138,1))+1000*tech_proj!Z1382)/((1-tech_proj!Z542)*tech_proj!Z822*$L$110))</f>
        <v/>
      </c>
      <c r="AA762" s="72" t="str">
        <f>IF(tech_base!$T138&gt;AA$625,"",(1000*tech_proj!AA1102*(-PMT($J$110,tech_base!$F138,1))+1000*tech_proj!AA1382)/((1-tech_proj!AA542)*tech_proj!AA822*$L$110))</f>
        <v/>
      </c>
      <c r="AB762" s="72" t="str">
        <f>IF(tech_base!$T138&gt;AB$625,"",(1000*tech_proj!AB1102*(-PMT($J$110,tech_base!$F138,1))+1000*tech_proj!AB1382)/((1-tech_proj!AB542)*tech_proj!AB822*$L$110))</f>
        <v/>
      </c>
      <c r="AC762" s="72" t="str">
        <f>IF(tech_base!$T138&gt;AC$625,"",(1000*tech_proj!AC1102*(-PMT($J$110,tech_base!$F138,1))+1000*tech_proj!AC1382)/((1-tech_proj!AC542)*tech_proj!AC822*$L$110))</f>
        <v/>
      </c>
      <c r="AD762" s="72" t="str">
        <f>IF(tech_base!$T138&gt;AD$625,"",(1000*tech_proj!AD1102*(-PMT($J$110,tech_base!$F138,1))+1000*tech_proj!AD1382)/((1-tech_proj!AD542)*tech_proj!AD822*$L$110))</f>
        <v/>
      </c>
      <c r="AE762" s="72">
        <f>IF(tech_base!$T138&gt;AE$625,"",(1000*tech_proj!AE1102*(-PMT($J$110,tech_base!$F138,1))+1000*tech_proj!AE1382)/((1-tech_proj!AE542)*tech_proj!AE822*$L$110))</f>
        <v>98.828428635541073</v>
      </c>
      <c r="AF762" s="72">
        <f>IF(tech_base!$T138&gt;AF$625,"",(1000*tech_proj!AF1102*(-PMT($J$110,tech_base!$F138,1))+1000*tech_proj!AF1382)/((1-tech_proj!AF542)*tech_proj!AF822*$L$110))</f>
        <v>98.828428635541073</v>
      </c>
      <c r="AG762" s="72">
        <f>IF(tech_base!$T138&gt;AG$625,"",(1000*tech_proj!AG1102*(-PMT($J$110,tech_base!$F138,1))+1000*tech_proj!AG1382)/((1-tech_proj!AG542)*tech_proj!AG822*$L$110))</f>
        <v>98.828428635541073</v>
      </c>
      <c r="AH762" s="72">
        <f>IF(tech_base!$T138&gt;AH$625,"",(1000*tech_proj!AH1102*(-PMT($J$110,tech_base!$F138,1))+1000*tech_proj!AH1382)/((1-tech_proj!AH542)*tech_proj!AH822*$L$110))</f>
        <v>98.828428635541073</v>
      </c>
      <c r="AI762" s="72">
        <f>IF(tech_base!$T138&gt;AI$625,"",(1000*tech_proj!AI1102*(-PMT($J$110,tech_base!$F138,1))+1000*tech_proj!AI1382)/((1-tech_proj!AI542)*tech_proj!AI822*$L$110))</f>
        <v>98.828428635541073</v>
      </c>
      <c r="AJ762" s="72">
        <f>IF(tech_base!$T138&gt;AJ$625,"",(1000*tech_proj!AJ1102*(-PMT($J$110,tech_base!$F138,1))+1000*tech_proj!AJ1382)/((1-tech_proj!AJ542)*tech_proj!AJ822*$L$110))</f>
        <v>98.828428635541073</v>
      </c>
      <c r="AK762" s="72">
        <f>IF(tech_base!$T138&gt;AK$625,"",(1000*tech_proj!AK1102*(-PMT($J$110,tech_base!$F138,1))+1000*tech_proj!AK1382)/((1-tech_proj!AK542)*tech_proj!AK822*$L$110))</f>
        <v>98.828428635541073</v>
      </c>
      <c r="AL762" s="72">
        <f>IF(tech_base!$T138&gt;AL$625,"",(1000*tech_proj!AL1102*(-PMT($J$110,tech_base!$F138,1))+1000*tech_proj!AL1382)/((1-tech_proj!AL542)*tech_proj!AL822*$L$110))</f>
        <v>98.828428635541073</v>
      </c>
      <c r="AM762" s="72">
        <f>IF(tech_base!$T138&gt;AM$625,"",(1000*tech_proj!AM1102*(-PMT($J$110,tech_base!$F138,1))+1000*tech_proj!AM1382)/((1-tech_proj!AM542)*tech_proj!AM822*$L$110))</f>
        <v>98.828428635541073</v>
      </c>
      <c r="AN762" s="72">
        <f>IF(tech_base!$T138&gt;AN$625,"",(1000*tech_proj!AN1102*(-PMT($J$110,tech_base!$F138,1))+1000*tech_proj!AN1382)/((1-tech_proj!AN542)*tech_proj!AN822*$L$110))</f>
        <v>98.828428635541073</v>
      </c>
      <c r="AO762" s="72">
        <f>IF(tech_base!$T138&gt;AO$625,"",(1000*tech_proj!AO1102*(-PMT($J$110,tech_base!$F138,1))+1000*tech_proj!AO1382)/((1-tech_proj!AO542)*tech_proj!AO822*$L$110))</f>
        <v>98.828428635541073</v>
      </c>
      <c r="AP762" s="72">
        <f>IF(tech_base!$T138&gt;AP$625,"",(1000*tech_proj!AP1102*(-PMT($J$110,tech_base!$F138,1))+1000*tech_proj!AP1382)/((1-tech_proj!AP542)*tech_proj!AP822*$L$110))</f>
        <v>98.828428635541073</v>
      </c>
      <c r="AQ762" s="72">
        <f>IF(tech_base!$T138&gt;AQ$625,"",(1000*tech_proj!AQ1102*(-PMT($J$110,tech_base!$F138,1))+1000*tech_proj!AQ1382)/((1-tech_proj!AQ542)*tech_proj!AQ822*$L$110))</f>
        <v>98.828428635541073</v>
      </c>
      <c r="AR762" s="72">
        <f>IF(tech_base!$T138&gt;AR$625,"",(1000*tech_proj!AR1102*(-PMT($J$110,tech_base!$F138,1))+1000*tech_proj!AR1382)/((1-tech_proj!AR542)*tech_proj!AR822*$L$110))</f>
        <v>98.828428635541073</v>
      </c>
      <c r="AS762" s="72">
        <f>IF(tech_base!$T138&gt;AS$625,"",(1000*tech_proj!AS1102*(-PMT($J$110,tech_base!$F138,1))+1000*tech_proj!AS1382)/((1-tech_proj!AS542)*tech_proj!AS822*$L$110))</f>
        <v>98.828428635541073</v>
      </c>
      <c r="AT762" s="72">
        <f>IF(tech_base!$T138&gt;AT$625,"",(1000*tech_proj!AT1102*(-PMT($J$110,tech_base!$F138,1))+1000*tech_proj!AT1382)/((1-tech_proj!AT542)*tech_proj!AT822*$L$110))</f>
        <v>98.828428635541073</v>
      </c>
      <c r="AU762" s="72">
        <f>IF(tech_base!$T138&gt;AU$625,"",(1000*tech_proj!AU1102*(-PMT($J$110,tech_base!$F138,1))+1000*tech_proj!AU1382)/((1-tech_proj!AU542)*tech_proj!AU822*$L$110))</f>
        <v>98.828428635541073</v>
      </c>
      <c r="AV762" s="72">
        <f>IF(tech_base!$T138&gt;AV$625,"",(1000*tech_proj!AV1102*(-PMT($J$110,tech_base!$F138,1))+1000*tech_proj!AV1382)/((1-tech_proj!AV542)*tech_proj!AV822*$L$110))</f>
        <v>98.828428635541073</v>
      </c>
      <c r="AW762" s="72">
        <f>IF(tech_base!$T138&gt;AW$625,"",(1000*tech_proj!AW1102*(-PMT($J$110,tech_base!$F138,1))+1000*tech_proj!AW1382)/((1-tech_proj!AW542)*tech_proj!AW822*$L$110))</f>
        <v>98.828428635541073</v>
      </c>
      <c r="AX762" s="238">
        <f>IF(tech_base!$T138&gt;AX$625,"",(1000*tech_proj!AX1102*(-PMT($J$110,tech_base!$F138,1))+1000*tech_proj!AX1382)/((1-tech_proj!AX542)*tech_proj!AX822*$L$110))</f>
        <v>98.828428635541073</v>
      </c>
    </row>
    <row r="763" spans="1:51" x14ac:dyDescent="0.25">
      <c r="A763" s="356"/>
      <c r="B763" s="366"/>
      <c r="C763" s="361" t="s">
        <v>16</v>
      </c>
      <c r="D763" s="2" t="s">
        <v>7</v>
      </c>
      <c r="E763" s="160" t="str">
        <f>A755&amp;"/"&amp;B755&amp;"/"&amp;C763&amp;"/"&amp;D763</f>
        <v>Refinery gas fired power plants/Steam turbine/CHP with CCS/L</v>
      </c>
      <c r="F763" s="76" t="str">
        <f>A755</f>
        <v>Refinery gas fired power plants</v>
      </c>
      <c r="G763" s="76" t="str">
        <f>B755</f>
        <v>Steam turbine</v>
      </c>
      <c r="H763" s="76" t="str">
        <f>C763</f>
        <v>CHP with CCS</v>
      </c>
      <c r="I763" s="161" t="str">
        <f t="shared" si="364"/>
        <v>L</v>
      </c>
      <c r="J763" s="69" t="str">
        <f>IF(tech_base!$T139&gt;J$625,"",(1000*tech_proj!J1103*(-PMT($J$110,tech_base!$F139,1))+1000*tech_proj!J1383)/((1-tech_proj!J543)*tech_proj!J823*$L$110))</f>
        <v/>
      </c>
      <c r="K763" s="69" t="str">
        <f>IF(tech_base!$T139&gt;K$625,"",(1000*tech_proj!K1103*(-PMT($J$110,tech_base!$F139,1))+1000*tech_proj!K1383)/((1-tech_proj!K543)*tech_proj!K823*$L$110))</f>
        <v/>
      </c>
      <c r="L763" s="69" t="str">
        <f>IF(tech_base!$T139&gt;L$625,"",(1000*tech_proj!L1103*(-PMT($J$110,tech_base!$F139,1))+1000*tech_proj!L1383)/((1-tech_proj!L543)*tech_proj!L823*$L$110))</f>
        <v/>
      </c>
      <c r="M763" s="69" t="str">
        <f>IF(tech_base!$T139&gt;M$625,"",(1000*tech_proj!M1103*(-PMT($J$110,tech_base!$F139,1))+1000*tech_proj!M1383)/((1-tech_proj!M543)*tech_proj!M823*$L$110))</f>
        <v/>
      </c>
      <c r="N763" s="69" t="str">
        <f>IF(tech_base!$T139&gt;N$625,"",(1000*tech_proj!N1103*(-PMT($J$110,tech_base!$F139,1))+1000*tech_proj!N1383)/((1-tech_proj!N543)*tech_proj!N823*$L$110))</f>
        <v/>
      </c>
      <c r="O763" s="69" t="str">
        <f>IF(tech_base!$T139&gt;O$625,"",(1000*tech_proj!O1103*(-PMT($J$110,tech_base!$F139,1))+1000*tech_proj!O1383)/((1-tech_proj!O543)*tech_proj!O823*$L$110))</f>
        <v/>
      </c>
      <c r="P763" s="69" t="str">
        <f>IF(tech_base!$T139&gt;P$625,"",(1000*tech_proj!P1103*(-PMT($J$110,tech_base!$F139,1))+1000*tech_proj!P1383)/((1-tech_proj!P543)*tech_proj!P823*$L$110))</f>
        <v/>
      </c>
      <c r="Q763" s="69" t="str">
        <f>IF(tech_base!$T139&gt;Q$625,"",(1000*tech_proj!Q1103*(-PMT($J$110,tech_base!$F139,1))+1000*tech_proj!Q1383)/((1-tech_proj!Q543)*tech_proj!Q823*$L$110))</f>
        <v/>
      </c>
      <c r="R763" s="69" t="str">
        <f>IF(tech_base!$T139&gt;R$625,"",(1000*tech_proj!R1103*(-PMT($J$110,tech_base!$F139,1))+1000*tech_proj!R1383)/((1-tech_proj!R543)*tech_proj!R823*$L$110))</f>
        <v/>
      </c>
      <c r="S763" s="69" t="str">
        <f>IF(tech_base!$T139&gt;S$625,"",(1000*tech_proj!S1103*(-PMT($J$110,tech_base!$F139,1))+1000*tech_proj!S1383)/((1-tech_proj!S543)*tech_proj!S823*$L$110))</f>
        <v/>
      </c>
      <c r="T763" s="69" t="str">
        <f>IF(tech_base!$T139&gt;T$625,"",(1000*tech_proj!T1103*(-PMT($J$110,tech_base!$F139,1))+1000*tech_proj!T1383)/((1-tech_proj!T543)*tech_proj!T823*$L$110))</f>
        <v/>
      </c>
      <c r="U763" s="69" t="str">
        <f>IF(tech_base!$T139&gt;U$625,"",(1000*tech_proj!U1103*(-PMT($J$110,tech_base!$F139,1))+1000*tech_proj!U1383)/((1-tech_proj!U543)*tech_proj!U823*$L$110))</f>
        <v/>
      </c>
      <c r="V763" s="69" t="str">
        <f>IF(tech_base!$T139&gt;V$625,"",(1000*tech_proj!V1103*(-PMT($J$110,tech_base!$F139,1))+1000*tech_proj!V1383)/((1-tech_proj!V543)*tech_proj!V823*$L$110))</f>
        <v/>
      </c>
      <c r="W763" s="69" t="str">
        <f>IF(tech_base!$T139&gt;W$625,"",(1000*tech_proj!W1103*(-PMT($J$110,tech_base!$F139,1))+1000*tech_proj!W1383)/((1-tech_proj!W543)*tech_proj!W823*$L$110))</f>
        <v/>
      </c>
      <c r="X763" s="69" t="str">
        <f>IF(tech_base!$T139&gt;X$625,"",(1000*tech_proj!X1103*(-PMT($J$110,tech_base!$F139,1))+1000*tech_proj!X1383)/((1-tech_proj!X543)*tech_proj!X823*$L$110))</f>
        <v/>
      </c>
      <c r="Y763" s="69" t="str">
        <f>IF(tech_base!$T139&gt;Y$625,"",(1000*tech_proj!Y1103*(-PMT($J$110,tech_base!$F139,1))+1000*tech_proj!Y1383)/((1-tech_proj!Y543)*tech_proj!Y823*$L$110))</f>
        <v/>
      </c>
      <c r="Z763" s="69" t="str">
        <f>IF(tech_base!$T139&gt;Z$625,"",(1000*tech_proj!Z1103*(-PMT($J$110,tech_base!$F139,1))+1000*tech_proj!Z1383)/((1-tech_proj!Z543)*tech_proj!Z823*$L$110))</f>
        <v/>
      </c>
      <c r="AA763" s="69" t="str">
        <f>IF(tech_base!$T139&gt;AA$625,"",(1000*tech_proj!AA1103*(-PMT($J$110,tech_base!$F139,1))+1000*tech_proj!AA1383)/((1-tech_proj!AA543)*tech_proj!AA823*$L$110))</f>
        <v/>
      </c>
      <c r="AB763" s="69" t="str">
        <f>IF(tech_base!$T139&gt;AB$625,"",(1000*tech_proj!AB1103*(-PMT($J$110,tech_base!$F139,1))+1000*tech_proj!AB1383)/((1-tech_proj!AB543)*tech_proj!AB823*$L$110))</f>
        <v/>
      </c>
      <c r="AC763" s="69" t="str">
        <f>IF(tech_base!$T139&gt;AC$625,"",(1000*tech_proj!AC1103*(-PMT($J$110,tech_base!$F139,1))+1000*tech_proj!AC1383)/((1-tech_proj!AC543)*tech_proj!AC823*$L$110))</f>
        <v/>
      </c>
      <c r="AD763" s="69" t="str">
        <f>IF(tech_base!$T139&gt;AD$625,"",(1000*tech_proj!AD1103*(-PMT($J$110,tech_base!$F139,1))+1000*tech_proj!AD1383)/((1-tech_proj!AD543)*tech_proj!AD823*$L$110))</f>
        <v/>
      </c>
      <c r="AE763" s="69">
        <f>IF(tech_base!$T139&gt;AE$625,"",(1000*tech_proj!AE1103*(-PMT($J$110,tech_base!$F139,1))+1000*tech_proj!AE1383)/((1-tech_proj!AE543)*tech_proj!AE823*$L$110))</f>
        <v>97.575361714214907</v>
      </c>
      <c r="AF763" s="69">
        <f>IF(tech_base!$T139&gt;AF$625,"",(1000*tech_proj!AF1103*(-PMT($J$110,tech_base!$F139,1))+1000*tech_proj!AF1383)/((1-tech_proj!AF543)*tech_proj!AF823*$L$110))</f>
        <v>97.575361714214907</v>
      </c>
      <c r="AG763" s="69">
        <f>IF(tech_base!$T139&gt;AG$625,"",(1000*tech_proj!AG1103*(-PMT($J$110,tech_base!$F139,1))+1000*tech_proj!AG1383)/((1-tech_proj!AG543)*tech_proj!AG823*$L$110))</f>
        <v>97.575361714214907</v>
      </c>
      <c r="AH763" s="69">
        <f>IF(tech_base!$T139&gt;AH$625,"",(1000*tech_proj!AH1103*(-PMT($J$110,tech_base!$F139,1))+1000*tech_proj!AH1383)/((1-tech_proj!AH543)*tech_proj!AH823*$L$110))</f>
        <v>97.575361714214907</v>
      </c>
      <c r="AI763" s="69">
        <f>IF(tech_base!$T139&gt;AI$625,"",(1000*tech_proj!AI1103*(-PMT($J$110,tech_base!$F139,1))+1000*tech_proj!AI1383)/((1-tech_proj!AI543)*tech_proj!AI823*$L$110))</f>
        <v>97.575361714214907</v>
      </c>
      <c r="AJ763" s="69">
        <f>IF(tech_base!$T139&gt;AJ$625,"",(1000*tech_proj!AJ1103*(-PMT($J$110,tech_base!$F139,1))+1000*tech_proj!AJ1383)/((1-tech_proj!AJ543)*tech_proj!AJ823*$L$110))</f>
        <v>97.575361714214907</v>
      </c>
      <c r="AK763" s="69">
        <f>IF(tech_base!$T139&gt;AK$625,"",(1000*tech_proj!AK1103*(-PMT($J$110,tech_base!$F139,1))+1000*tech_proj!AK1383)/((1-tech_proj!AK543)*tech_proj!AK823*$L$110))</f>
        <v>97.575361714214907</v>
      </c>
      <c r="AL763" s="69">
        <f>IF(tech_base!$T139&gt;AL$625,"",(1000*tech_proj!AL1103*(-PMT($J$110,tech_base!$F139,1))+1000*tech_proj!AL1383)/((1-tech_proj!AL543)*tech_proj!AL823*$L$110))</f>
        <v>97.575361714214907</v>
      </c>
      <c r="AM763" s="69">
        <f>IF(tech_base!$T139&gt;AM$625,"",(1000*tech_proj!AM1103*(-PMT($J$110,tech_base!$F139,1))+1000*tech_proj!AM1383)/((1-tech_proj!AM543)*tech_proj!AM823*$L$110))</f>
        <v>97.575361714214907</v>
      </c>
      <c r="AN763" s="69">
        <f>IF(tech_base!$T139&gt;AN$625,"",(1000*tech_proj!AN1103*(-PMT($J$110,tech_base!$F139,1))+1000*tech_proj!AN1383)/((1-tech_proj!AN543)*tech_proj!AN823*$L$110))</f>
        <v>97.575361714214907</v>
      </c>
      <c r="AO763" s="69">
        <f>IF(tech_base!$T139&gt;AO$625,"",(1000*tech_proj!AO1103*(-PMT($J$110,tech_base!$F139,1))+1000*tech_proj!AO1383)/((1-tech_proj!AO543)*tech_proj!AO823*$L$110))</f>
        <v>97.575361714214907</v>
      </c>
      <c r="AP763" s="69">
        <f>IF(tech_base!$T139&gt;AP$625,"",(1000*tech_proj!AP1103*(-PMT($J$110,tech_base!$F139,1))+1000*tech_proj!AP1383)/((1-tech_proj!AP543)*tech_proj!AP823*$L$110))</f>
        <v>97.575361714214907</v>
      </c>
      <c r="AQ763" s="69">
        <f>IF(tech_base!$T139&gt;AQ$625,"",(1000*tech_proj!AQ1103*(-PMT($J$110,tech_base!$F139,1))+1000*tech_proj!AQ1383)/((1-tech_proj!AQ543)*tech_proj!AQ823*$L$110))</f>
        <v>97.575361714214907</v>
      </c>
      <c r="AR763" s="69">
        <f>IF(tech_base!$T139&gt;AR$625,"",(1000*tech_proj!AR1103*(-PMT($J$110,tech_base!$F139,1))+1000*tech_proj!AR1383)/((1-tech_proj!AR543)*tech_proj!AR823*$L$110))</f>
        <v>97.575361714214907</v>
      </c>
      <c r="AS763" s="69">
        <f>IF(tech_base!$T139&gt;AS$625,"",(1000*tech_proj!AS1103*(-PMT($J$110,tech_base!$F139,1))+1000*tech_proj!AS1383)/((1-tech_proj!AS543)*tech_proj!AS823*$L$110))</f>
        <v>97.575361714214907</v>
      </c>
      <c r="AT763" s="69">
        <f>IF(tech_base!$T139&gt;AT$625,"",(1000*tech_proj!AT1103*(-PMT($J$110,tech_base!$F139,1))+1000*tech_proj!AT1383)/((1-tech_proj!AT543)*tech_proj!AT823*$L$110))</f>
        <v>97.575361714214907</v>
      </c>
      <c r="AU763" s="69">
        <f>IF(tech_base!$T139&gt;AU$625,"",(1000*tech_proj!AU1103*(-PMT($J$110,tech_base!$F139,1))+1000*tech_proj!AU1383)/((1-tech_proj!AU543)*tech_proj!AU823*$L$110))</f>
        <v>97.575361714214907</v>
      </c>
      <c r="AV763" s="69">
        <f>IF(tech_base!$T139&gt;AV$625,"",(1000*tech_proj!AV1103*(-PMT($J$110,tech_base!$F139,1))+1000*tech_proj!AV1383)/((1-tech_proj!AV543)*tech_proj!AV823*$L$110))</f>
        <v>97.575361714214907</v>
      </c>
      <c r="AW763" s="69">
        <f>IF(tech_base!$T139&gt;AW$625,"",(1000*tech_proj!AW1103*(-PMT($J$110,tech_base!$F139,1))+1000*tech_proj!AW1383)/((1-tech_proj!AW543)*tech_proj!AW823*$L$110))</f>
        <v>97.575361714214907</v>
      </c>
      <c r="AX763" s="235">
        <f>IF(tech_base!$T139&gt;AX$625,"",(1000*tech_proj!AX1103*(-PMT($J$110,tech_base!$F139,1))+1000*tech_proj!AX1383)/((1-tech_proj!AX543)*tech_proj!AX823*$L$110))</f>
        <v>97.575361714214907</v>
      </c>
    </row>
    <row r="764" spans="1:51" x14ac:dyDescent="0.25">
      <c r="A764" s="357"/>
      <c r="B764" s="367"/>
      <c r="C764" s="381"/>
      <c r="D764" s="4" t="s">
        <v>8</v>
      </c>
      <c r="E764" s="168" t="str">
        <f>A755&amp;"/"&amp;B755&amp;"/"&amp;C763&amp;"/"&amp;D764</f>
        <v>Refinery gas fired power plants/Steam turbine/CHP with CCS/M</v>
      </c>
      <c r="F764" s="80" t="str">
        <f>A755</f>
        <v>Refinery gas fired power plants</v>
      </c>
      <c r="G764" s="80" t="str">
        <f>B755</f>
        <v>Steam turbine</v>
      </c>
      <c r="H764" s="80" t="str">
        <f>C763</f>
        <v>CHP with CCS</v>
      </c>
      <c r="I764" s="169" t="str">
        <f t="shared" si="364"/>
        <v>M</v>
      </c>
      <c r="J764" s="73" t="str">
        <f>IF(tech_base!$T140&gt;J$625,"",(1000*tech_proj!J1104*(-PMT($J$110,tech_base!$F140,1))+1000*tech_proj!J1384)/((1-tech_proj!J544)*tech_proj!J824*$L$110))</f>
        <v/>
      </c>
      <c r="K764" s="73" t="str">
        <f>IF(tech_base!$T140&gt;K$625,"",(1000*tech_proj!K1104*(-PMT($J$110,tech_base!$F140,1))+1000*tech_proj!K1384)/((1-tech_proj!K544)*tech_proj!K824*$L$110))</f>
        <v/>
      </c>
      <c r="L764" s="73" t="str">
        <f>IF(tech_base!$T140&gt;L$625,"",(1000*tech_proj!L1104*(-PMT($J$110,tech_base!$F140,1))+1000*tech_proj!L1384)/((1-tech_proj!L544)*tech_proj!L824*$L$110))</f>
        <v/>
      </c>
      <c r="M764" s="73" t="str">
        <f>IF(tech_base!$T140&gt;M$625,"",(1000*tech_proj!M1104*(-PMT($J$110,tech_base!$F140,1))+1000*tech_proj!M1384)/((1-tech_proj!M544)*tech_proj!M824*$L$110))</f>
        <v/>
      </c>
      <c r="N764" s="73" t="str">
        <f>IF(tech_base!$T140&gt;N$625,"",(1000*tech_proj!N1104*(-PMT($J$110,tech_base!$F140,1))+1000*tech_proj!N1384)/((1-tech_proj!N544)*tech_proj!N824*$L$110))</f>
        <v/>
      </c>
      <c r="O764" s="73" t="str">
        <f>IF(tech_base!$T140&gt;O$625,"",(1000*tech_proj!O1104*(-PMT($J$110,tech_base!$F140,1))+1000*tech_proj!O1384)/((1-tech_proj!O544)*tech_proj!O824*$L$110))</f>
        <v/>
      </c>
      <c r="P764" s="73" t="str">
        <f>IF(tech_base!$T140&gt;P$625,"",(1000*tech_proj!P1104*(-PMT($J$110,tech_base!$F140,1))+1000*tech_proj!P1384)/((1-tech_proj!P544)*tech_proj!P824*$L$110))</f>
        <v/>
      </c>
      <c r="Q764" s="73" t="str">
        <f>IF(tech_base!$T140&gt;Q$625,"",(1000*tech_proj!Q1104*(-PMT($J$110,tech_base!$F140,1))+1000*tech_proj!Q1384)/((1-tech_proj!Q544)*tech_proj!Q824*$L$110))</f>
        <v/>
      </c>
      <c r="R764" s="73" t="str">
        <f>IF(tech_base!$T140&gt;R$625,"",(1000*tech_proj!R1104*(-PMT($J$110,tech_base!$F140,1))+1000*tech_proj!R1384)/((1-tech_proj!R544)*tech_proj!R824*$L$110))</f>
        <v/>
      </c>
      <c r="S764" s="73" t="str">
        <f>IF(tech_base!$T140&gt;S$625,"",(1000*tech_proj!S1104*(-PMT($J$110,tech_base!$F140,1))+1000*tech_proj!S1384)/((1-tech_proj!S544)*tech_proj!S824*$L$110))</f>
        <v/>
      </c>
      <c r="T764" s="73" t="str">
        <f>IF(tech_base!$T140&gt;T$625,"",(1000*tech_proj!T1104*(-PMT($J$110,tech_base!$F140,1))+1000*tech_proj!T1384)/((1-tech_proj!T544)*tech_proj!T824*$L$110))</f>
        <v/>
      </c>
      <c r="U764" s="73" t="str">
        <f>IF(tech_base!$T140&gt;U$625,"",(1000*tech_proj!U1104*(-PMT($J$110,tech_base!$F140,1))+1000*tech_proj!U1384)/((1-tech_proj!U544)*tech_proj!U824*$L$110))</f>
        <v/>
      </c>
      <c r="V764" s="73" t="str">
        <f>IF(tech_base!$T140&gt;V$625,"",(1000*tech_proj!V1104*(-PMT($J$110,tech_base!$F140,1))+1000*tech_proj!V1384)/((1-tech_proj!V544)*tech_proj!V824*$L$110))</f>
        <v/>
      </c>
      <c r="W764" s="73" t="str">
        <f>IF(tech_base!$T140&gt;W$625,"",(1000*tech_proj!W1104*(-PMT($J$110,tech_base!$F140,1))+1000*tech_proj!W1384)/((1-tech_proj!W544)*tech_proj!W824*$L$110))</f>
        <v/>
      </c>
      <c r="X764" s="73" t="str">
        <f>IF(tech_base!$T140&gt;X$625,"",(1000*tech_proj!X1104*(-PMT($J$110,tech_base!$F140,1))+1000*tech_proj!X1384)/((1-tech_proj!X544)*tech_proj!X824*$L$110))</f>
        <v/>
      </c>
      <c r="Y764" s="73" t="str">
        <f>IF(tech_base!$T140&gt;Y$625,"",(1000*tech_proj!Y1104*(-PMT($J$110,tech_base!$F140,1))+1000*tech_proj!Y1384)/((1-tech_proj!Y544)*tech_proj!Y824*$L$110))</f>
        <v/>
      </c>
      <c r="Z764" s="73" t="str">
        <f>IF(tech_base!$T140&gt;Z$625,"",(1000*tech_proj!Z1104*(-PMT($J$110,tech_base!$F140,1))+1000*tech_proj!Z1384)/((1-tech_proj!Z544)*tech_proj!Z824*$L$110))</f>
        <v/>
      </c>
      <c r="AA764" s="73" t="str">
        <f>IF(tech_base!$T140&gt;AA$625,"",(1000*tech_proj!AA1104*(-PMT($J$110,tech_base!$F140,1))+1000*tech_proj!AA1384)/((1-tech_proj!AA544)*tech_proj!AA824*$L$110))</f>
        <v/>
      </c>
      <c r="AB764" s="73" t="str">
        <f>IF(tech_base!$T140&gt;AB$625,"",(1000*tech_proj!AB1104*(-PMT($J$110,tech_base!$F140,1))+1000*tech_proj!AB1384)/((1-tech_proj!AB544)*tech_proj!AB824*$L$110))</f>
        <v/>
      </c>
      <c r="AC764" s="73" t="str">
        <f>IF(tech_base!$T140&gt;AC$625,"",(1000*tech_proj!AC1104*(-PMT($J$110,tech_base!$F140,1))+1000*tech_proj!AC1384)/((1-tech_proj!AC544)*tech_proj!AC824*$L$110))</f>
        <v/>
      </c>
      <c r="AD764" s="73" t="str">
        <f>IF(tech_base!$T140&gt;AD$625,"",(1000*tech_proj!AD1104*(-PMT($J$110,tech_base!$F140,1))+1000*tech_proj!AD1384)/((1-tech_proj!AD544)*tech_proj!AD824*$L$110))</f>
        <v/>
      </c>
      <c r="AE764" s="73">
        <f>IF(tech_base!$T140&gt;AE$625,"",(1000*tech_proj!AE1104*(-PMT($J$110,tech_base!$F140,1))+1000*tech_proj!AE1384)/((1-tech_proj!AE544)*tech_proj!AE824*$L$110))</f>
        <v>121.84294110878422</v>
      </c>
      <c r="AF764" s="73">
        <f>IF(tech_base!$T140&gt;AF$625,"",(1000*tech_proj!AF1104*(-PMT($J$110,tech_base!$F140,1))+1000*tech_proj!AF1384)/((1-tech_proj!AF544)*tech_proj!AF824*$L$110))</f>
        <v>121.84294110878422</v>
      </c>
      <c r="AG764" s="73">
        <f>IF(tech_base!$T140&gt;AG$625,"",(1000*tech_proj!AG1104*(-PMT($J$110,tech_base!$F140,1))+1000*tech_proj!AG1384)/((1-tech_proj!AG544)*tech_proj!AG824*$L$110))</f>
        <v>121.84294110878422</v>
      </c>
      <c r="AH764" s="73">
        <f>IF(tech_base!$T140&gt;AH$625,"",(1000*tech_proj!AH1104*(-PMT($J$110,tech_base!$F140,1))+1000*tech_proj!AH1384)/((1-tech_proj!AH544)*tech_proj!AH824*$L$110))</f>
        <v>121.84294110878422</v>
      </c>
      <c r="AI764" s="73">
        <f>IF(tech_base!$T140&gt;AI$625,"",(1000*tech_proj!AI1104*(-PMT($J$110,tech_base!$F140,1))+1000*tech_proj!AI1384)/((1-tech_proj!AI544)*tech_proj!AI824*$L$110))</f>
        <v>121.84294110878422</v>
      </c>
      <c r="AJ764" s="73">
        <f>IF(tech_base!$T140&gt;AJ$625,"",(1000*tech_proj!AJ1104*(-PMT($J$110,tech_base!$F140,1))+1000*tech_proj!AJ1384)/((1-tech_proj!AJ544)*tech_proj!AJ824*$L$110))</f>
        <v>121.84294110878422</v>
      </c>
      <c r="AK764" s="73">
        <f>IF(tech_base!$T140&gt;AK$625,"",(1000*tech_proj!AK1104*(-PMT($J$110,tech_base!$F140,1))+1000*tech_proj!AK1384)/((1-tech_proj!AK544)*tech_proj!AK824*$L$110))</f>
        <v>121.84294110878422</v>
      </c>
      <c r="AL764" s="73">
        <f>IF(tech_base!$T140&gt;AL$625,"",(1000*tech_proj!AL1104*(-PMT($J$110,tech_base!$F140,1))+1000*tech_proj!AL1384)/((1-tech_proj!AL544)*tech_proj!AL824*$L$110))</f>
        <v>121.84294110878422</v>
      </c>
      <c r="AM764" s="73">
        <f>IF(tech_base!$T140&gt;AM$625,"",(1000*tech_proj!AM1104*(-PMT($J$110,tech_base!$F140,1))+1000*tech_proj!AM1384)/((1-tech_proj!AM544)*tech_proj!AM824*$L$110))</f>
        <v>121.84294110878422</v>
      </c>
      <c r="AN764" s="73">
        <f>IF(tech_base!$T140&gt;AN$625,"",(1000*tech_proj!AN1104*(-PMT($J$110,tech_base!$F140,1))+1000*tech_proj!AN1384)/((1-tech_proj!AN544)*tech_proj!AN824*$L$110))</f>
        <v>121.84294110878422</v>
      </c>
      <c r="AO764" s="73">
        <f>IF(tech_base!$T140&gt;AO$625,"",(1000*tech_proj!AO1104*(-PMT($J$110,tech_base!$F140,1))+1000*tech_proj!AO1384)/((1-tech_proj!AO544)*tech_proj!AO824*$L$110))</f>
        <v>121.84294110878422</v>
      </c>
      <c r="AP764" s="73">
        <f>IF(tech_base!$T140&gt;AP$625,"",(1000*tech_proj!AP1104*(-PMT($J$110,tech_base!$F140,1))+1000*tech_proj!AP1384)/((1-tech_proj!AP544)*tech_proj!AP824*$L$110))</f>
        <v>121.84294110878422</v>
      </c>
      <c r="AQ764" s="73">
        <f>IF(tech_base!$T140&gt;AQ$625,"",(1000*tech_proj!AQ1104*(-PMT($J$110,tech_base!$F140,1))+1000*tech_proj!AQ1384)/((1-tech_proj!AQ544)*tech_proj!AQ824*$L$110))</f>
        <v>121.84294110878422</v>
      </c>
      <c r="AR764" s="73">
        <f>IF(tech_base!$T140&gt;AR$625,"",(1000*tech_proj!AR1104*(-PMT($J$110,tech_base!$F140,1))+1000*tech_proj!AR1384)/((1-tech_proj!AR544)*tech_proj!AR824*$L$110))</f>
        <v>121.84294110878422</v>
      </c>
      <c r="AS764" s="73">
        <f>IF(tech_base!$T140&gt;AS$625,"",(1000*tech_proj!AS1104*(-PMT($J$110,tech_base!$F140,1))+1000*tech_proj!AS1384)/((1-tech_proj!AS544)*tech_proj!AS824*$L$110))</f>
        <v>121.84294110878422</v>
      </c>
      <c r="AT764" s="73">
        <f>IF(tech_base!$T140&gt;AT$625,"",(1000*tech_proj!AT1104*(-PMT($J$110,tech_base!$F140,1))+1000*tech_proj!AT1384)/((1-tech_proj!AT544)*tech_proj!AT824*$L$110))</f>
        <v>121.84294110878422</v>
      </c>
      <c r="AU764" s="73">
        <f>IF(tech_base!$T140&gt;AU$625,"",(1000*tech_proj!AU1104*(-PMT($J$110,tech_base!$F140,1))+1000*tech_proj!AU1384)/((1-tech_proj!AU544)*tech_proj!AU824*$L$110))</f>
        <v>121.84294110878422</v>
      </c>
      <c r="AV764" s="73">
        <f>IF(tech_base!$T140&gt;AV$625,"",(1000*tech_proj!AV1104*(-PMT($J$110,tech_base!$F140,1))+1000*tech_proj!AV1384)/((1-tech_proj!AV544)*tech_proj!AV824*$L$110))</f>
        <v>121.84294110878422</v>
      </c>
      <c r="AW764" s="73">
        <f>IF(tech_base!$T140&gt;AW$625,"",(1000*tech_proj!AW1104*(-PMT($J$110,tech_base!$F140,1))+1000*tech_proj!AW1384)/((1-tech_proj!AW544)*tech_proj!AW824*$L$110))</f>
        <v>121.84294110878422</v>
      </c>
      <c r="AX764" s="239">
        <f>IF(tech_base!$T140&gt;AX$625,"",(1000*tech_proj!AX1104*(-PMT($J$110,tech_base!$F140,1))+1000*tech_proj!AX1384)/((1-tech_proj!AX544)*tech_proj!AX824*$L$110))</f>
        <v>121.84294110878422</v>
      </c>
    </row>
    <row r="765" spans="1:51" x14ac:dyDescent="0.25">
      <c r="A765" s="355" t="s">
        <v>28</v>
      </c>
      <c r="B765" s="358" t="s">
        <v>23</v>
      </c>
      <c r="C765" s="353" t="s">
        <v>6</v>
      </c>
      <c r="D765" s="3" t="s">
        <v>7</v>
      </c>
      <c r="E765" s="162" t="str">
        <f>A765&amp;"/"&amp;B765&amp;"/"&amp;C765&amp;"/"&amp;D765</f>
        <v>Diesel oil fired power plants/Gas turbine combined cycle/Electricity only/L</v>
      </c>
      <c r="F765" s="77" t="str">
        <f>A765</f>
        <v>Diesel oil fired power plants</v>
      </c>
      <c r="G765" s="77" t="str">
        <f>B765</f>
        <v>Gas turbine combined cycle</v>
      </c>
      <c r="H765" s="77" t="str">
        <f>C765</f>
        <v>Electricity only</v>
      </c>
      <c r="I765" s="163" t="str">
        <f t="shared" si="364"/>
        <v>L</v>
      </c>
      <c r="J765" s="70">
        <f>IF(tech_base!$T141&gt;J$625,"",(1000*tech_proj!J1105*(-PMT($J$110,tech_base!$F141,1))+1000*tech_proj!J1385)/((1-tech_proj!J545)*tech_proj!J825*$L$110))</f>
        <v>30.985929552956655</v>
      </c>
      <c r="K765" s="70">
        <f>IF(tech_base!$T141&gt;K$625,"",(1000*tech_proj!K1105*(-PMT($J$110,tech_base!$F141,1))+1000*tech_proj!K1385)/((1-tech_proj!K545)*tech_proj!K825*$L$110))</f>
        <v>30.963972884781288</v>
      </c>
      <c r="L765" s="70">
        <f>IF(tech_base!$T141&gt;L$625,"",(1000*tech_proj!L1105*(-PMT($J$110,tech_base!$F141,1))+1000*tech_proj!L1385)/((1-tech_proj!L545)*tech_proj!L825*$L$110))</f>
        <v>30.937532221902245</v>
      </c>
      <c r="M765" s="70">
        <f>IF(tech_base!$T141&gt;M$625,"",(1000*tech_proj!M1105*(-PMT($J$110,tech_base!$F141,1))+1000*tech_proj!M1385)/((1-tech_proj!M545)*tech_proj!M825*$L$110))</f>
        <v>30.905787710098437</v>
      </c>
      <c r="N765" s="70">
        <f>IF(tech_base!$T141&gt;N$625,"",(1000*tech_proj!N1105*(-PMT($J$110,tech_base!$F141,1))+1000*tech_proj!N1385)/((1-tech_proj!N545)*tech_proj!N825*$L$110))</f>
        <v>30.867813379722968</v>
      </c>
      <c r="O765" s="70">
        <f>IF(tech_base!$T141&gt;O$625,"",(1000*tech_proj!O1105*(-PMT($J$110,tech_base!$F141,1))+1000*tech_proj!O1385)/((1-tech_proj!O545)*tech_proj!O825*$L$110))</f>
        <v>30.822583653060981</v>
      </c>
      <c r="P765" s="70">
        <f>IF(tech_base!$T141&gt;P$625,"",(1000*tech_proj!P1105*(-PMT($J$110,tech_base!$F141,1))+1000*tech_proj!P1385)/((1-tech_proj!P545)*tech_proj!P825*$L$110))</f>
        <v>30.768991142289611</v>
      </c>
      <c r="Q765" s="70">
        <f>IF(tech_base!$T141&gt;Q$625,"",(1000*tech_proj!Q1105*(-PMT($J$110,tech_base!$F141,1))+1000*tech_proj!Q1385)/((1-tech_proj!Q545)*tech_proj!Q825*$L$110))</f>
        <v>30.705879999832014</v>
      </c>
      <c r="R765" s="70">
        <f>IF(tech_base!$T141&gt;R$625,"",(1000*tech_proj!R1105*(-PMT($J$110,tech_base!$F141,1))+1000*tech_proj!R1385)/((1-tech_proj!R545)*tech_proj!R825*$L$110))</f>
        <v>30.632099274128379</v>
      </c>
      <c r="S765" s="70">
        <f>IF(tech_base!$T141&gt;S$625,"",(1000*tech_proj!S1105*(-PMT($J$110,tech_base!$F141,1))+1000*tech_proj!S1385)/((1-tech_proj!S545)*tech_proj!S825*$L$110))</f>
        <v>30.546580041444951</v>
      </c>
      <c r="T765" s="70">
        <f>IF(tech_base!$T141&gt;T$625,"",(1000*tech_proj!T1105*(-PMT($J$110,tech_base!$F141,1))+1000*tech_proj!T1385)/((1-tech_proj!T545)*tech_proj!T825*$L$110))</f>
        <v>30.448437985493953</v>
      </c>
      <c r="U765" s="70">
        <f>IF(tech_base!$T141&gt;U$625,"",(1000*tech_proj!U1105*(-PMT($J$110,tech_base!$F141,1))+1000*tech_proj!U1385)/((1-tech_proj!U545)*tech_proj!U825*$L$110))</f>
        <v>30.337099067401006</v>
      </c>
      <c r="V765" s="70">
        <f>IF(tech_base!$T141&gt;V$625,"",(1000*tech_proj!V1105*(-PMT($J$110,tech_base!$F141,1))+1000*tech_proj!V1385)/((1-tech_proj!V545)*tech_proj!V825*$L$110))</f>
        <v>30.212439761947881</v>
      </c>
      <c r="W765" s="70">
        <f>IF(tech_base!$T141&gt;W$625,"",(1000*tech_proj!W1105*(-PMT($J$110,tech_base!$F141,1))+1000*tech_proj!W1385)/((1-tech_proj!W545)*tech_proj!W825*$L$110))</f>
        <v>30.074925541809208</v>
      </c>
      <c r="X765" s="70">
        <f>IF(tech_base!$T141&gt;X$625,"",(1000*tech_proj!X1105*(-PMT($J$110,tech_base!$F141,1))+1000*tech_proj!X1385)/((1-tech_proj!X545)*tech_proj!X825*$L$110))</f>
        <v>29.925723503522715</v>
      </c>
      <c r="Y765" s="70">
        <f>IF(tech_base!$T141&gt;Y$625,"",(1000*tech_proj!Y1105*(-PMT($J$110,tech_base!$F141,1))+1000*tech_proj!Y1385)/((1-tech_proj!Y545)*tech_proj!Y825*$L$110))</f>
        <v>29.766760108168029</v>
      </c>
      <c r="Z765" s="70">
        <f>IF(tech_base!$T141&gt;Z$625,"",(1000*tech_proj!Z1105*(-PMT($J$110,tech_base!$F141,1))+1000*tech_proj!Z1385)/((1-tech_proj!Z545)*tech_proj!Z825*$L$110))</f>
        <v>29.600696451312697</v>
      </c>
      <c r="AA765" s="70">
        <f>IF(tech_base!$T141&gt;AA$625,"",(1000*tech_proj!AA1105*(-PMT($J$110,tech_base!$F141,1))+1000*tech_proj!AA1385)/((1-tech_proj!AA545)*tech_proj!AA825*$L$110))</f>
        <v>29.430803921757448</v>
      </c>
      <c r="AB765" s="70">
        <f>IF(tech_base!$T141&gt;AB$625,"",(1000*tech_proj!AB1105*(-PMT($J$110,tech_base!$F141,1))+1000*tech_proj!AB1385)/((1-tech_proj!AB545)*tech_proj!AB825*$L$110))</f>
        <v>29.260742359804819</v>
      </c>
      <c r="AC765" s="70">
        <f>IF(tech_base!$T141&gt;AC$625,"",(1000*tech_proj!AC1105*(-PMT($J$110,tech_base!$F141,1))+1000*tech_proj!AC1385)/((1-tech_proj!AC545)*tech_proj!AC825*$L$110))</f>
        <v>29.094266526841238</v>
      </c>
      <c r="AD765" s="70">
        <f>IF(tech_base!$T141&gt;AD$625,"",(1000*tech_proj!AD1105*(-PMT($J$110,tech_base!$F141,1))+1000*tech_proj!AD1385)/((1-tech_proj!AD545)*tech_proj!AD825*$L$110))</f>
        <v>28.934907054016705</v>
      </c>
      <c r="AE765" s="70">
        <f>IF(tech_base!$T141&gt;AE$625,"",(1000*tech_proj!AE1105*(-PMT($J$110,tech_base!$F141,1))+1000*tech_proj!AE1385)/((1-tech_proj!AE545)*tech_proj!AE825*$L$110))</f>
        <v>28.785680983236603</v>
      </c>
      <c r="AF765" s="70">
        <f>IF(tech_base!$T141&gt;AF$625,"",(1000*tech_proj!AF1105*(-PMT($J$110,tech_base!$F141,1))+1000*tech_proj!AF1385)/((1-tech_proj!AF545)*tech_proj!AF825*$L$110))</f>
        <v>28.648880381399838</v>
      </c>
      <c r="AG765" s="70">
        <f>IF(tech_base!$T141&gt;AG$625,"",(1000*tech_proj!AG1105*(-PMT($J$110,tech_base!$F141,1))+1000*tech_proj!AG1385)/((1-tech_proj!AG545)*tech_proj!AG825*$L$110))</f>
        <v>28.525967526342697</v>
      </c>
      <c r="AH765" s="70">
        <f>IF(tech_base!$T141&gt;AH$625,"",(1000*tech_proj!AH1105*(-PMT($J$110,tech_base!$F141,1))+1000*tech_proj!AH1385)/((1-tech_proj!AH545)*tech_proj!AH825*$L$110))</f>
        <v>28.417579420839623</v>
      </c>
      <c r="AI765" s="70">
        <f>IF(tech_base!$T141&gt;AI$625,"",(1000*tech_proj!AI1105*(-PMT($J$110,tech_base!$F141,1))+1000*tech_proj!AI1385)/((1-tech_proj!AI545)*tech_proj!AI825*$L$110))</f>
        <v>28.323621903879282</v>
      </c>
      <c r="AJ765" s="70">
        <f>IF(tech_base!$T141&gt;AJ$625,"",(1000*tech_proj!AJ1105*(-PMT($J$110,tech_base!$F141,1))+1000*tech_proj!AJ1385)/((1-tech_proj!AJ545)*tech_proj!AJ825*$L$110))</f>
        <v>28.243420621521036</v>
      </c>
      <c r="AK765" s="70">
        <f>IF(tech_base!$T141&gt;AK$625,"",(1000*tech_proj!AK1105*(-PMT($J$110,tech_base!$F141,1))+1000*tech_proj!AK1385)/((1-tech_proj!AK545)*tech_proj!AK825*$L$110))</f>
        <v>28.175894016568201</v>
      </c>
      <c r="AL765" s="70">
        <f>IF(tech_base!$T141&gt;AL$625,"",(1000*tech_proj!AL1105*(-PMT($J$110,tech_base!$F141,1))+1000*tech_proj!AL1385)/((1-tech_proj!AL545)*tech_proj!AL825*$L$110))</f>
        <v>28.119719681321168</v>
      </c>
      <c r="AM765" s="70">
        <f>IF(tech_base!$T141&gt;AM$625,"",(1000*tech_proj!AM1105*(-PMT($J$110,tech_base!$F141,1))+1000*tech_proj!AM1385)/((1-tech_proj!AM545)*tech_proj!AM825*$L$110))</f>
        <v>28.073475541691344</v>
      </c>
      <c r="AN765" s="70">
        <f>IF(tech_base!$T141&gt;AN$625,"",(1000*tech_proj!AN1105*(-PMT($J$110,tech_base!$F141,1))+1000*tech_proj!AN1385)/((1-tech_proj!AN545)*tech_proj!AN825*$L$110))</f>
        <v>28.035747502531379</v>
      </c>
      <c r="AO765" s="70">
        <f>IF(tech_base!$T141&gt;AO$625,"",(1000*tech_proj!AO1105*(-PMT($J$110,tech_base!$F141,1))+1000*tech_proj!AO1385)/((1-tech_proj!AO545)*tech_proj!AO825*$L$110))</f>
        <v>28.005203043227134</v>
      </c>
      <c r="AP765" s="70">
        <f>IF(tech_base!$T141&gt;AP$625,"",(1000*tech_proj!AP1105*(-PMT($J$110,tech_base!$F141,1))+1000*tech_proj!AP1385)/((1-tech_proj!AP545)*tech_proj!AP825*$L$110))</f>
        <v>27.980635076073288</v>
      </c>
      <c r="AQ765" s="70">
        <f>IF(tech_base!$T141&gt;AQ$625,"",(1000*tech_proj!AQ1105*(-PMT($J$110,tech_base!$F141,1))+1000*tech_proj!AQ1385)/((1-tech_proj!AQ545)*tech_proj!AQ825*$L$110))</f>
        <v>27.960982510268781</v>
      </c>
      <c r="AR765" s="70">
        <f>IF(tech_base!$T141&gt;AR$625,"",(1000*tech_proj!AR1105*(-PMT($J$110,tech_base!$F141,1))+1000*tech_proj!AR1385)/((1-tech_proj!AR545)*tech_proj!AR825*$L$110))</f>
        <v>27.945334204401206</v>
      </c>
      <c r="AS765" s="70">
        <f>IF(tech_base!$T141&gt;AS$625,"",(1000*tech_proj!AS1105*(-PMT($J$110,tech_base!$F141,1))+1000*tech_proj!AS1385)/((1-tech_proj!AS545)*tech_proj!AS825*$L$110))</f>
        <v>27.932922165327561</v>
      </c>
      <c r="AT765" s="70">
        <f>IF(tech_base!$T141&gt;AT$625,"",(1000*tech_proj!AT1105*(-PMT($J$110,tech_base!$F141,1))+1000*tech_proj!AT1385)/((1-tech_proj!AT545)*tech_proj!AT825*$L$110))</f>
        <v>27.923108597302996</v>
      </c>
      <c r="AU765" s="70">
        <f>IF(tech_base!$T141&gt;AU$625,"",(1000*tech_proj!AU1105*(-PMT($J$110,tech_base!$F141,1))+1000*tech_proj!AU1385)/((1-tech_proj!AU545)*tech_proj!AU825*$L$110))</f>
        <v>27.91537012249734</v>
      </c>
      <c r="AV765" s="70">
        <f>IF(tech_base!$T141&gt;AV$625,"",(1000*tech_proj!AV1105*(-PMT($J$110,tech_base!$F141,1))+1000*tech_proj!AV1385)/((1-tech_proj!AV545)*tech_proj!AV825*$L$110))</f>
        <v>27.909281386348603</v>
      </c>
      <c r="AW765" s="70">
        <f>IF(tech_base!$T141&gt;AW$625,"",(1000*tech_proj!AW1105*(-PMT($J$110,tech_base!$F141,1))+1000*tech_proj!AW1385)/((1-tech_proj!AW545)*tech_proj!AW825*$L$110))</f>
        <v>27.904499399303418</v>
      </c>
      <c r="AX765" s="236">
        <f>IF(tech_base!$T141&gt;AX$625,"",(1000*tech_proj!AX1105*(-PMT($J$110,tech_base!$F141,1))+1000*tech_proj!AX1385)/((1-tech_proj!AX545)*tech_proj!AX825*$L$110))</f>
        <v>27.900749346010102</v>
      </c>
    </row>
    <row r="766" spans="1:51" x14ac:dyDescent="0.25">
      <c r="A766" s="356"/>
      <c r="B766" s="376"/>
      <c r="C766" s="379"/>
      <c r="D766" s="2" t="s">
        <v>8</v>
      </c>
      <c r="E766" s="160" t="str">
        <f>A765&amp;"/"&amp;B765&amp;"/"&amp;C765&amp;"/"&amp;D766</f>
        <v>Diesel oil fired power plants/Gas turbine combined cycle/Electricity only/M</v>
      </c>
      <c r="F766" s="76" t="str">
        <f>A765</f>
        <v>Diesel oil fired power plants</v>
      </c>
      <c r="G766" s="76" t="str">
        <f>B765</f>
        <v>Gas turbine combined cycle</v>
      </c>
      <c r="H766" s="76" t="str">
        <f>C765</f>
        <v>Electricity only</v>
      </c>
      <c r="I766" s="161" t="str">
        <f t="shared" si="364"/>
        <v>M</v>
      </c>
      <c r="J766" s="69">
        <f>IF(tech_base!$T142&gt;J$625,"",(1000*tech_proj!J1106*(-PMT($J$110,tech_base!$F142,1))+1000*tech_proj!J1386)/((1-tech_proj!J546)*tech_proj!J826*$L$110))</f>
        <v>32.278719991258825</v>
      </c>
      <c r="K766" s="69">
        <f>IF(tech_base!$T142&gt;K$625,"",(1000*tech_proj!K1106*(-PMT($J$110,tech_base!$F142,1))+1000*tech_proj!K1386)/((1-tech_proj!K546)*tech_proj!K826*$L$110))</f>
        <v>32.271913687231375</v>
      </c>
      <c r="L766" s="69">
        <f>IF(tech_base!$T142&gt;L$625,"",(1000*tech_proj!L1106*(-PMT($J$110,tech_base!$F142,1))+1000*tech_proj!L1386)/((1-tech_proj!L546)*tech_proj!L826*$L$110))</f>
        <v>32.263203309868238</v>
      </c>
      <c r="M766" s="69">
        <f>IF(tech_base!$T142&gt;M$625,"",(1000*tech_proj!M1106*(-PMT($J$110,tech_base!$F142,1))+1000*tech_proj!M1386)/((1-tech_proj!M546)*tech_proj!M826*$L$110))</f>
        <v>32.252066661123486</v>
      </c>
      <c r="N766" s="69">
        <f>IF(tech_base!$T142&gt;N$625,"",(1000*tech_proj!N1106*(-PMT($J$110,tech_base!$F142,1))+1000*tech_proj!N1386)/((1-tech_proj!N546)*tech_proj!N826*$L$110))</f>
        <v>32.237845005908675</v>
      </c>
      <c r="O766" s="69">
        <f>IF(tech_base!$T142&gt;O$625,"",(1000*tech_proj!O1106*(-PMT($J$110,tech_base!$F142,1))+1000*tech_proj!O1386)/((1-tech_proj!O546)*tech_proj!O826*$L$110))</f>
        <v>32.219711617786437</v>
      </c>
      <c r="P766" s="69">
        <f>IF(tech_base!$T142&gt;P$625,"",(1000*tech_proj!P1106*(-PMT($J$110,tech_base!$F142,1))+1000*tech_proj!P1386)/((1-tech_proj!P546)*tech_proj!P826*$L$110))</f>
        <v>32.196635802630588</v>
      </c>
      <c r="Q766" s="69">
        <f>IF(tech_base!$T142&gt;Q$625,"",(1000*tech_proj!Q1106*(-PMT($J$110,tech_base!$F142,1))+1000*tech_proj!Q1386)/((1-tech_proj!Q546)*tech_proj!Q826*$L$110))</f>
        <v>32.167343619088463</v>
      </c>
      <c r="R766" s="69">
        <f>IF(tech_base!$T142&gt;R$625,"",(1000*tech_proj!R1106*(-PMT($J$110,tech_base!$F142,1))+1000*tech_proj!R1386)/((1-tech_proj!R546)*tech_proj!R826*$L$110))</f>
        <v>32.130278118930967</v>
      </c>
      <c r="S766" s="69">
        <f>IF(tech_base!$T142&gt;S$625,"",(1000*tech_proj!S1106*(-PMT($J$110,tech_base!$F142,1))+1000*tech_proj!S1386)/((1-tech_proj!S546)*tech_proj!S826*$L$110))</f>
        <v>32.083564453037773</v>
      </c>
      <c r="T766" s="69">
        <f>IF(tech_base!$T142&gt;T$625,"",(1000*tech_proj!T1106*(-PMT($J$110,tech_base!$F142,1))+1000*tech_proj!T1386)/((1-tech_proj!T546)*tech_proj!T826*$L$110))</f>
        <v>32.024988880019606</v>
      </c>
      <c r="U766" s="69">
        <f>IF(tech_base!$T142&gt;U$625,"",(1000*tech_proj!U1106*(-PMT($J$110,tech_base!$F142,1))+1000*tech_proj!U1386)/((1-tech_proj!U546)*tech_proj!U826*$L$110))</f>
        <v>31.952005661097179</v>
      </c>
      <c r="V766" s="69">
        <f>IF(tech_base!$T142&gt;V$625,"",(1000*tech_proj!V1106*(-PMT($J$110,tech_base!$F142,1))+1000*tech_proj!V1386)/((1-tech_proj!V546)*tech_proj!V826*$L$110))</f>
        <v>31.861791652356853</v>
      </c>
      <c r="W766" s="69">
        <f>IF(tech_base!$T142&gt;W$625,"",(1000*tech_proj!W1106*(-PMT($J$110,tech_base!$F142,1))+1000*tech_proj!W1386)/((1-tech_proj!W546)*tech_proj!W826*$L$110))</f>
        <v>31.751373789591</v>
      </c>
      <c r="X766" s="69">
        <f>IF(tech_base!$T142&gt;X$625,"",(1000*tech_proj!X1106*(-PMT($J$110,tech_base!$F142,1))+1000*tech_proj!X1386)/((1-tech_proj!X546)*tech_proj!X826*$L$110))</f>
        <v>31.617856709209612</v>
      </c>
      <c r="Y766" s="69">
        <f>IF(tech_base!$T142&gt;Y$625,"",(1000*tech_proj!Y1106*(-PMT($J$110,tech_base!$F142,1))+1000*tech_proj!Y1386)/((1-tech_proj!Y546)*tech_proj!Y826*$L$110))</f>
        <v>31.458771584841642</v>
      </c>
      <c r="Z766" s="69">
        <f>IF(tech_base!$T142&gt;Z$625,"",(1000*tech_proj!Z1106*(-PMT($J$110,tech_base!$F142,1))+1000*tech_proj!Z1386)/((1-tech_proj!Z546)*tech_proj!Z826*$L$110))</f>
        <v>31.272546609736033</v>
      </c>
      <c r="AA766" s="69">
        <f>IF(tech_base!$T142&gt;AA$625,"",(1000*tech_proj!AA1106*(-PMT($J$110,tech_base!$F142,1))+1000*tech_proj!AA1386)/((1-tech_proj!AA546)*tech_proj!AA826*$L$110))</f>
        <v>31.059059565059126</v>
      </c>
      <c r="AB766" s="69">
        <f>IF(tech_base!$T142&gt;AB$625,"",(1000*tech_proj!AB1106*(-PMT($J$110,tech_base!$F142,1))+1000*tech_proj!AB1386)/((1-tech_proj!AB546)*tech_proj!AB826*$L$110))</f>
        <v>30.820175998903633</v>
      </c>
      <c r="AC766" s="69">
        <f>IF(tech_base!$T142&gt;AC$625,"",(1000*tech_proj!AC1106*(-PMT($J$110,tech_base!$F142,1))+1000*tech_proj!AC1386)/((1-tech_proj!AC546)*tech_proj!AC826*$L$110))</f>
        <v>30.560119569670444</v>
      </c>
      <c r="AD766" s="69">
        <f>IF(tech_base!$T142&gt;AD$625,"",(1000*tech_proj!AD1106*(-PMT($J$110,tech_base!$F142,1))+1000*tech_proj!AD1386)/((1-tech_proj!AD546)*tech_proj!AD826*$L$110))</f>
        <v>30.285497492841422</v>
      </c>
      <c r="AE766" s="69">
        <f>IF(tech_base!$T142&gt;AE$625,"",(1000*tech_proj!AE1106*(-PMT($J$110,tech_base!$F142,1))+1000*tech_proj!AE1386)/((1-tech_proj!AE546)*tech_proj!AE826*$L$110))</f>
        <v>30.004851357510152</v>
      </c>
      <c r="AF766" s="69">
        <f>IF(tech_base!$T142&gt;AF$625,"",(1000*tech_proj!AF1106*(-PMT($J$110,tech_base!$F142,1))+1000*tech_proj!AF1386)/((1-tech_proj!AF546)*tech_proj!AF826*$L$110))</f>
        <v>29.727734583410296</v>
      </c>
      <c r="AG766" s="69">
        <f>IF(tech_base!$T142&gt;AG$625,"",(1000*tech_proj!AG1106*(-PMT($J$110,tech_base!$F142,1))+1000*tech_proj!AG1386)/((1-tech_proj!AG546)*tech_proj!AG826*$L$110))</f>
        <v>29.463492484790017</v>
      </c>
      <c r="AH766" s="69">
        <f>IF(tech_base!$T142&gt;AH$625,"",(1000*tech_proj!AH1106*(-PMT($J$110,tech_base!$F142,1))+1000*tech_proj!AH1386)/((1-tech_proj!AH546)*tech_proj!AH826*$L$110))</f>
        <v>29.22005265542743</v>
      </c>
      <c r="AI766" s="69">
        <f>IF(tech_base!$T142&gt;AI$625,"",(1000*tech_proj!AI1106*(-PMT($J$110,tech_base!$F142,1))+1000*tech_proj!AI1386)/((1-tech_proj!AI546)*tech_proj!AI826*$L$110))</f>
        <v>29.003041988822652</v>
      </c>
      <c r="AJ766" s="69">
        <f>IF(tech_base!$T142&gt;AJ$625,"",(1000*tech_proj!AJ1106*(-PMT($J$110,tech_base!$F142,1))+1000*tech_proj!AJ1386)/((1-tech_proj!AJ546)*tech_proj!AJ826*$L$110))</f>
        <v>28.815421199666044</v>
      </c>
      <c r="AK766" s="69">
        <f>IF(tech_base!$T142&gt;AK$625,"",(1000*tech_proj!AK1106*(-PMT($J$110,tech_base!$F142,1))+1000*tech_proj!AK1386)/((1-tech_proj!AK546)*tech_proj!AK826*$L$110))</f>
        <v>28.657638795991801</v>
      </c>
      <c r="AL766" s="69">
        <f>IF(tech_base!$T142&gt;AL$625,"",(1000*tech_proj!AL1106*(-PMT($J$110,tech_base!$F142,1))+1000*tech_proj!AL1386)/((1-tech_proj!AL546)*tech_proj!AL826*$L$110))</f>
        <v>28.528152708142709</v>
      </c>
      <c r="AM766" s="69">
        <f>IF(tech_base!$T142&gt;AM$625,"",(1000*tech_proj!AM1106*(-PMT($J$110,tech_base!$F142,1))+1000*tech_proj!AM1386)/((1-tech_proj!AM546)*tech_proj!AM826*$L$110))</f>
        <v>28.42410809836986</v>
      </c>
      <c r="AN766" s="69">
        <f>IF(tech_base!$T142&gt;AN$625,"",(1000*tech_proj!AN1106*(-PMT($J$110,tech_base!$F142,1))+1000*tech_proj!AN1386)/((1-tech_proj!AN546)*tech_proj!AN826*$L$110))</f>
        <v>28.341989051531918</v>
      </c>
      <c r="AO766" s="69">
        <f>IF(tech_base!$T142&gt;AO$625,"",(1000*tech_proj!AO1106*(-PMT($J$110,tech_base!$F142,1))+1000*tech_proj!AO1386)/((1-tech_proj!AO546)*tech_proj!AO826*$L$110))</f>
        <v>28.278135632558779</v>
      </c>
      <c r="AP766" s="69">
        <f>IF(tech_base!$T142&gt;AP$625,"",(1000*tech_proj!AP1106*(-PMT($J$110,tech_base!$F142,1))+1000*tech_proj!AP1386)/((1-tech_proj!AP546)*tech_proj!AP826*$L$110))</f>
        <v>28.229091494931307</v>
      </c>
      <c r="AQ766" s="69">
        <f>IF(tech_base!$T142&gt;AQ$625,"",(1000*tech_proj!AQ1106*(-PMT($J$110,tech_base!$F142,1))+1000*tech_proj!AQ1386)/((1-tech_proj!AQ546)*tech_proj!AQ826*$L$110))</f>
        <v>28.191796965835053</v>
      </c>
      <c r="AR766" s="69">
        <f>IF(tech_base!$T142&gt;AR$625,"",(1000*tech_proj!AR1106*(-PMT($J$110,tech_base!$F142,1))+1000*tech_proj!AR1386)/((1-tech_proj!AR546)*tech_proj!AR826*$L$110))</f>
        <v>28.163665135491719</v>
      </c>
      <c r="AS766" s="69">
        <f>IF(tech_base!$T142&gt;AS$625,"",(1000*tech_proj!AS1106*(-PMT($J$110,tech_base!$F142,1))+1000*tech_proj!AS1386)/((1-tech_proj!AS546)*tech_proj!AS826*$L$110))</f>
        <v>28.142581583406788</v>
      </c>
      <c r="AT766" s="69">
        <f>IF(tech_base!$T142&gt;AT$625,"",(1000*tech_proj!AT1106*(-PMT($J$110,tech_base!$F142,1))+1000*tech_proj!AT1386)/((1-tech_proj!AT546)*tech_proj!AT826*$L$110))</f>
        <v>28.126861503784973</v>
      </c>
      <c r="AU766" s="69">
        <f>IF(tech_base!$T142&gt;AU$625,"",(1000*tech_proj!AU1106*(-PMT($J$110,tech_base!$F142,1))+1000*tech_proj!AU1386)/((1-tech_proj!AU546)*tech_proj!AU826*$L$110))</f>
        <v>28.115188173346386</v>
      </c>
      <c r="AV766" s="69">
        <f>IF(tech_base!$T142&gt;AV$625,"",(1000*tech_proj!AV1106*(-PMT($J$110,tech_base!$F142,1))+1000*tech_proj!AV1386)/((1-tech_proj!AV546)*tech_proj!AV826*$L$110))</f>
        <v>28.106547716247597</v>
      </c>
      <c r="AW766" s="69">
        <f>IF(tech_base!$T142&gt;AW$625,"",(1000*tech_proj!AW1106*(-PMT($J$110,tech_base!$F142,1))+1000*tech_proj!AW1386)/((1-tech_proj!AW546)*tech_proj!AW826*$L$110))</f>
        <v>28.100168341206832</v>
      </c>
      <c r="AX766" s="235">
        <f>IF(tech_base!$T142&gt;AX$625,"",(1000*tech_proj!AX1106*(-PMT($J$110,tech_base!$F142,1))+1000*tech_proj!AX1386)/((1-tech_proj!AX546)*tech_proj!AX826*$L$110))</f>
        <v>28.09546771979587</v>
      </c>
    </row>
    <row r="767" spans="1:51" x14ac:dyDescent="0.25">
      <c r="A767" s="356"/>
      <c r="B767" s="376"/>
      <c r="C767" s="361" t="s">
        <v>14</v>
      </c>
      <c r="D767" s="58" t="s">
        <v>7</v>
      </c>
      <c r="E767" s="164" t="str">
        <f>A765&amp;"/"&amp;B765&amp;"/"&amp;C767&amp;"/"&amp;D767</f>
        <v>Diesel oil fired power plants/Gas turbine combined cycle/CHP/L</v>
      </c>
      <c r="F767" s="78" t="str">
        <f>A765</f>
        <v>Diesel oil fired power plants</v>
      </c>
      <c r="G767" s="78" t="str">
        <f>B765</f>
        <v>Gas turbine combined cycle</v>
      </c>
      <c r="H767" s="78" t="str">
        <f>C767</f>
        <v>CHP</v>
      </c>
      <c r="I767" s="165" t="str">
        <f t="shared" si="364"/>
        <v>L</v>
      </c>
      <c r="J767" s="71">
        <f>IF(tech_base!$T143&gt;J$625,"",(1000*tech_proj!J1107*(-PMT($J$110,tech_base!$F143,1))+1000*tech_proj!J1387)/((1-tech_proj!J547)*tech_proj!J827*$L$110))</f>
        <v>41.032746818702627</v>
      </c>
      <c r="K767" s="71">
        <f>IF(tech_base!$T143&gt;K$625,"",(1000*tech_proj!K1107*(-PMT($J$110,tech_base!$F143,1))+1000*tech_proj!K1387)/((1-tech_proj!K547)*tech_proj!K827*$L$110))</f>
        <v>41.009486134405719</v>
      </c>
      <c r="L767" s="71">
        <f>IF(tech_base!$T143&gt;L$625,"",(1000*tech_proj!L1107*(-PMT($J$110,tech_base!$F143,1))+1000*tech_proj!L1387)/((1-tech_proj!L547)*tech_proj!L827*$L$110))</f>
        <v>40.981475148999436</v>
      </c>
      <c r="M767" s="71">
        <f>IF(tech_base!$T143&gt;M$625,"",(1000*tech_proj!M1107*(-PMT($J$110,tech_base!$F143,1))+1000*tech_proj!M1387)/((1-tech_proj!M547)*tech_proj!M827*$L$110))</f>
        <v>40.947845316762127</v>
      </c>
      <c r="N767" s="71">
        <f>IF(tech_base!$T143&gt;N$625,"",(1000*tech_proj!N1107*(-PMT($J$110,tech_base!$F143,1))+1000*tech_proj!N1387)/((1-tech_proj!N547)*tech_proj!N827*$L$110))</f>
        <v>40.907615674304751</v>
      </c>
      <c r="O767" s="71">
        <f>IF(tech_base!$T143&gt;O$625,"",(1000*tech_proj!O1107*(-PMT($J$110,tech_base!$F143,1))+1000*tech_proj!O1387)/((1-tech_proj!O547)*tech_proj!O827*$L$110))</f>
        <v>40.85969973440362</v>
      </c>
      <c r="P767" s="71">
        <f>IF(tech_base!$T143&gt;P$625,"",(1000*tech_proj!P1107*(-PMT($J$110,tech_base!$F143,1))+1000*tech_proj!P1387)/((1-tech_proj!P547)*tech_proj!P827*$L$110))</f>
        <v>40.802924340988938</v>
      </c>
      <c r="Q767" s="71">
        <f>IF(tech_base!$T143&gt;Q$625,"",(1000*tech_proj!Q1107*(-PMT($J$110,tech_base!$F143,1))+1000*tech_proj!Q1387)/((1-tech_proj!Q547)*tech_proj!Q827*$L$110))</f>
        <v>40.736065000191033</v>
      </c>
      <c r="R767" s="71">
        <f>IF(tech_base!$T143&gt;R$625,"",(1000*tech_proj!R1107*(-PMT($J$110,tech_base!$F143,1))+1000*tech_proj!R1387)/((1-tech_proj!R547)*tech_proj!R827*$L$110))</f>
        <v>40.657902404933765</v>
      </c>
      <c r="S767" s="71">
        <f>IF(tech_base!$T143&gt;S$625,"",(1000*tech_proj!S1107*(-PMT($J$110,tech_base!$F143,1))+1000*tech_proj!S1387)/((1-tech_proj!S547)*tech_proj!S827*$L$110))</f>
        <v>40.567304147635554</v>
      </c>
      <c r="T767" s="71">
        <f>IF(tech_base!$T143&gt;T$625,"",(1000*tech_proj!T1107*(-PMT($J$110,tech_base!$F143,1))+1000*tech_proj!T1387)/((1-tech_proj!T547)*tech_proj!T827*$L$110))</f>
        <v>40.463333392077701</v>
      </c>
      <c r="U767" s="71">
        <f>IF(tech_base!$T143&gt;U$625,"",(1000*tech_proj!U1107*(-PMT($J$110,tech_base!$F143,1))+1000*tech_proj!U1387)/((1-tech_proj!U547)*tech_proj!U827*$L$110))</f>
        <v>40.345382006966119</v>
      </c>
      <c r="V767" s="71">
        <f>IF(tech_base!$T143&gt;V$625,"",(1000*tech_proj!V1107*(-PMT($J$110,tech_base!$F143,1))+1000*tech_proj!V1387)/((1-tech_proj!V547)*tech_proj!V827*$L$110))</f>
        <v>40.213319130865891</v>
      </c>
      <c r="W767" s="71">
        <f>IF(tech_base!$T143&gt;W$625,"",(1000*tech_proj!W1107*(-PMT($J$110,tech_base!$F143,1))+1000*tech_proj!W1387)/((1-tech_proj!W547)*tech_proj!W827*$L$110))</f>
        <v>40.06763788107726</v>
      </c>
      <c r="X767" s="71">
        <f>IF(tech_base!$T143&gt;X$625,"",(1000*tech_proj!X1107*(-PMT($J$110,tech_base!$F143,1))+1000*tech_proj!X1387)/((1-tech_proj!X547)*tech_proj!X827*$L$110))</f>
        <v>39.909574668511553</v>
      </c>
      <c r="Y767" s="71">
        <f>IF(tech_base!$T143&gt;Y$625,"",(1000*tech_proj!Y1107*(-PMT($J$110,tech_base!$F143,1))+1000*tech_proj!Y1387)/((1-tech_proj!Y547)*tech_proj!Y827*$L$110))</f>
        <v>39.74117036761406</v>
      </c>
      <c r="Z767" s="71">
        <f>IF(tech_base!$T143&gt;Z$625,"",(1000*tech_proj!Z1107*(-PMT($J$110,tech_base!$F143,1))+1000*tech_proj!Z1387)/((1-tech_proj!Z547)*tech_proj!Z827*$L$110))</f>
        <v>39.565244117581457</v>
      </c>
      <c r="AA767" s="71">
        <f>IF(tech_base!$T143&gt;AA$625,"",(1000*tech_proj!AA1107*(-PMT($J$110,tech_base!$F143,1))+1000*tech_proj!AA1387)/((1-tech_proj!AA547)*tech_proj!AA827*$L$110))</f>
        <v>39.385261596425451</v>
      </c>
      <c r="AB767" s="71">
        <f>IF(tech_base!$T143&gt;AB$625,"",(1000*tech_proj!AB1107*(-PMT($J$110,tech_base!$F143,1))+1000*tech_proj!AB1387)/((1-tech_proj!AB547)*tech_proj!AB827*$L$110))</f>
        <v>39.205100003964091</v>
      </c>
      <c r="AC767" s="71">
        <f>IF(tech_base!$T143&gt;AC$625,"",(1000*tech_proj!AC1107*(-PMT($J$110,tech_base!$F143,1))+1000*tech_proj!AC1387)/((1-tech_proj!AC547)*tech_proj!AC827*$L$110))</f>
        <v>39.028737098503981</v>
      </c>
      <c r="AD767" s="71">
        <f>IF(tech_base!$T143&gt;AD$625,"",(1000*tech_proj!AD1107*(-PMT($J$110,tech_base!$F143,1))+1000*tech_proj!AD1387)/((1-tech_proj!AD547)*tech_proj!AD827*$L$110))</f>
        <v>38.859913196922577</v>
      </c>
      <c r="AE767" s="71">
        <f>IF(tech_base!$T143&gt;AE$625,"",(1000*tech_proj!AE1107*(-PMT($J$110,tech_base!$F143,1))+1000*tech_proj!AE1387)/((1-tech_proj!AE547)*tech_proj!AE827*$L$110))</f>
        <v>38.701824524562944</v>
      </c>
      <c r="AF767" s="71">
        <f>IF(tech_base!$T143&gt;AF$625,"",(1000*tech_proj!AF1107*(-PMT($J$110,tech_base!$F143,1))+1000*tech_proj!AF1387)/((1-tech_proj!AF547)*tech_proj!AF827*$L$110))</f>
        <v>38.556899275179127</v>
      </c>
      <c r="AG767" s="71">
        <f>IF(tech_base!$T143&gt;AG$625,"",(1000*tech_proj!AG1107*(-PMT($J$110,tech_base!$F143,1))+1000*tech_proj!AG1387)/((1-tech_proj!AG547)*tech_proj!AG827*$L$110))</f>
        <v>38.426686571927384</v>
      </c>
      <c r="AH767" s="71">
        <f>IF(tech_base!$T143&gt;AH$625,"",(1000*tech_proj!AH1107*(-PMT($J$110,tech_base!$F143,1))+1000*tech_proj!AH1387)/((1-tech_proj!AH547)*tech_proj!AH827*$L$110))</f>
        <v>38.311861249455376</v>
      </c>
      <c r="AI767" s="71">
        <f>IF(tech_base!$T143&gt;AI$625,"",(1000*tech_proj!AI1107*(-PMT($J$110,tech_base!$F143,1))+1000*tech_proj!AI1387)/((1-tech_proj!AI547)*tech_proj!AI827*$L$110))</f>
        <v>38.212323554488151</v>
      </c>
      <c r="AJ767" s="71">
        <f>IF(tech_base!$T143&gt;AJ$625,"",(1000*tech_proj!AJ1107*(-PMT($J$110,tech_base!$F143,1))+1000*tech_proj!AJ1387)/((1-tech_proj!AJ547)*tech_proj!AJ827*$L$110))</f>
        <v>38.127359082909734</v>
      </c>
      <c r="AK767" s="71">
        <f>IF(tech_base!$T143&gt;AK$625,"",(1000*tech_proj!AK1107*(-PMT($J$110,tech_base!$F143,1))+1000*tech_proj!AK1387)/((1-tech_proj!AK547)*tech_proj!AK827*$L$110))</f>
        <v>38.055822043368714</v>
      </c>
      <c r="AL767" s="71">
        <f>IF(tech_base!$T143&gt;AL$625,"",(1000*tech_proj!AL1107*(-PMT($J$110,tech_base!$F143,1))+1000*tech_proj!AL1387)/((1-tech_proj!AL547)*tech_proj!AL827*$L$110))</f>
        <v>37.99631148979411</v>
      </c>
      <c r="AM767" s="71">
        <f>IF(tech_base!$T143&gt;AM$625,"",(1000*tech_proj!AM1107*(-PMT($J$110,tech_base!$F143,1))+1000*tech_proj!AM1387)/((1-tech_proj!AM547)*tech_proj!AM827*$L$110))</f>
        <v>37.947320890495519</v>
      </c>
      <c r="AN767" s="71">
        <f>IF(tech_base!$T143&gt;AN$625,"",(1000*tech_proj!AN1107*(-PMT($J$110,tech_base!$F143,1))+1000*tech_proj!AN1387)/((1-tech_proj!AN547)*tech_proj!AN827*$L$110))</f>
        <v>37.907352166596596</v>
      </c>
      <c r="AO767" s="71">
        <f>IF(tech_base!$T143&gt;AO$625,"",(1000*tech_proj!AO1107*(-PMT($J$110,tech_base!$F143,1))+1000*tech_proj!AO1387)/((1-tech_proj!AO547)*tech_proj!AO827*$L$110))</f>
        <v>37.87499365850141</v>
      </c>
      <c r="AP767" s="71">
        <f>IF(tech_base!$T143&gt;AP$625,"",(1000*tech_proj!AP1107*(-PMT($J$110,tech_base!$F143,1))+1000*tech_proj!AP1387)/((1-tech_proj!AP547)*tech_proj!AP827*$L$110))</f>
        <v>37.848966589038127</v>
      </c>
      <c r="AQ767" s="71">
        <f>IF(tech_base!$T143&gt;AQ$625,"",(1000*tech_proj!AQ1107*(-PMT($J$110,tech_base!$F143,1))+1000*tech_proj!AQ1387)/((1-tech_proj!AQ547)*tech_proj!AQ827*$L$110))</f>
        <v>37.82814684875914</v>
      </c>
      <c r="AR767" s="71">
        <f>IF(tech_base!$T143&gt;AR$625,"",(1000*tech_proj!AR1107*(-PMT($J$110,tech_base!$F143,1))+1000*tech_proj!AR1387)/((1-tech_proj!AR547)*tech_proj!AR827*$L$110))</f>
        <v>37.811569183165254</v>
      </c>
      <c r="AS767" s="71">
        <f>IF(tech_base!$T143&gt;AS$625,"",(1000*tech_proj!AS1107*(-PMT($J$110,tech_base!$F143,1))+1000*tech_proj!AS1387)/((1-tech_proj!AS547)*tech_proj!AS827*$L$110))</f>
        <v>37.798419987664971</v>
      </c>
      <c r="AT767" s="71">
        <f>IF(tech_base!$T143&gt;AT$625,"",(1000*tech_proj!AT1107*(-PMT($J$110,tech_base!$F143,1))+1000*tech_proj!AT1387)/((1-tech_proj!AT547)*tech_proj!AT827*$L$110))</f>
        <v>37.788023587545304</v>
      </c>
      <c r="AU767" s="71">
        <f>IF(tech_base!$T143&gt;AU$625,"",(1000*tech_proj!AU1107*(-PMT($J$110,tech_base!$F143,1))+1000*tech_proj!AU1387)/((1-tech_proj!AU547)*tech_proj!AU827*$L$110))</f>
        <v>37.779825521337983</v>
      </c>
      <c r="AV767" s="71">
        <f>IF(tech_base!$T143&gt;AV$625,"",(1000*tech_proj!AV1107*(-PMT($J$110,tech_base!$F143,1))+1000*tech_proj!AV1387)/((1-tech_proj!AV547)*tech_proj!AV827*$L$110))</f>
        <v>37.773375172487604</v>
      </c>
      <c r="AW767" s="71">
        <f>IF(tech_base!$T143&gt;AW$625,"",(1000*tech_proj!AW1107*(-PMT($J$110,tech_base!$F143,1))+1000*tech_proj!AW1387)/((1-tech_proj!AW547)*tech_proj!AW827*$L$110))</f>
        <v>37.768309181141305</v>
      </c>
      <c r="AX767" s="237">
        <f>IF(tech_base!$T143&gt;AX$625,"",(1000*tech_proj!AX1107*(-PMT($J$110,tech_base!$F143,1))+1000*tech_proj!AX1387)/((1-tech_proj!AX547)*tech_proj!AX827*$L$110))</f>
        <v>37.764336410543528</v>
      </c>
    </row>
    <row r="768" spans="1:51" x14ac:dyDescent="0.25">
      <c r="A768" s="356"/>
      <c r="B768" s="376"/>
      <c r="C768" s="379"/>
      <c r="D768" s="59" t="s">
        <v>8</v>
      </c>
      <c r="E768" s="166" t="str">
        <f>A765&amp;"/"&amp;B765&amp;"/"&amp;C767&amp;"/"&amp;D768</f>
        <v>Diesel oil fired power plants/Gas turbine combined cycle/CHP/M</v>
      </c>
      <c r="F768" s="79" t="str">
        <f>A765</f>
        <v>Diesel oil fired power plants</v>
      </c>
      <c r="G768" s="79" t="str">
        <f>B765</f>
        <v>Gas turbine combined cycle</v>
      </c>
      <c r="H768" s="79" t="str">
        <f>C767</f>
        <v>CHP</v>
      </c>
      <c r="I768" s="167" t="str">
        <f t="shared" si="364"/>
        <v>M</v>
      </c>
      <c r="J768" s="72">
        <f>IF(tech_base!$T144&gt;J$625,"",(1000*tech_proj!J1108*(-PMT($J$110,tech_base!$F144,1))+1000*tech_proj!J1388)/((1-tech_proj!J548)*tech_proj!J828*$L$110))</f>
        <v>44.377598558240663</v>
      </c>
      <c r="K768" s="72">
        <f>IF(tech_base!$T144&gt;K$625,"",(1000*tech_proj!K1108*(-PMT($J$110,tech_base!$F144,1))+1000*tech_proj!K1388)/((1-tech_proj!K548)*tech_proj!K828*$L$110))</f>
        <v>44.370400497868694</v>
      </c>
      <c r="L768" s="72">
        <f>IF(tech_base!$T144&gt;L$625,"",(1000*tech_proj!L1108*(-PMT($J$110,tech_base!$F144,1))+1000*tech_proj!L1388)/((1-tech_proj!L548)*tech_proj!L828*$L$110))</f>
        <v>44.361188769760496</v>
      </c>
      <c r="M768" s="72">
        <f>IF(tech_base!$T144&gt;M$625,"",(1000*tech_proj!M1108*(-PMT($J$110,tech_base!$F144,1))+1000*tech_proj!M1388)/((1-tech_proj!M548)*tech_proj!M828*$L$110))</f>
        <v>44.349411119264289</v>
      </c>
      <c r="N768" s="72">
        <f>IF(tech_base!$T144&gt;N$625,"",(1000*tech_proj!N1108*(-PMT($J$110,tech_base!$F144,1))+1000*tech_proj!N1388)/((1-tech_proj!N548)*tech_proj!N828*$L$110))</f>
        <v>44.334370895904755</v>
      </c>
      <c r="O768" s="72">
        <f>IF(tech_base!$T144&gt;O$625,"",(1000*tech_proj!O1108*(-PMT($J$110,tech_base!$F144,1))+1000*tech_proj!O1388)/((1-tech_proj!O548)*tech_proj!O828*$L$110))</f>
        <v>44.315193788633906</v>
      </c>
      <c r="P768" s="72">
        <f>IF(tech_base!$T144&gt;P$625,"",(1000*tech_proj!P1108*(-PMT($J$110,tech_base!$F144,1))+1000*tech_proj!P1388)/((1-tech_proj!P548)*tech_proj!P828*$L$110))</f>
        <v>44.290789778769728</v>
      </c>
      <c r="Q768" s="72">
        <f>IF(tech_base!$T144&gt;Q$625,"",(1000*tech_proj!Q1108*(-PMT($J$110,tech_base!$F144,1))+1000*tech_proj!Q1388)/((1-tech_proj!Q548)*tech_proj!Q828*$L$110))</f>
        <v>44.259811599612149</v>
      </c>
      <c r="R768" s="72">
        <f>IF(tech_base!$T144&gt;R$625,"",(1000*tech_proj!R1108*(-PMT($J$110,tech_base!$F144,1))+1000*tech_proj!R1388)/((1-tech_proj!R548)*tech_proj!R828*$L$110))</f>
        <v>44.220612688312386</v>
      </c>
      <c r="S768" s="72">
        <f>IF(tech_base!$T144&gt;S$625,"",(1000*tech_proj!S1108*(-PMT($J$110,tech_base!$F144,1))+1000*tech_proj!S1388)/((1-tech_proj!S548)*tech_proj!S828*$L$110))</f>
        <v>44.171210283433076</v>
      </c>
      <c r="T768" s="72">
        <f>IF(tech_base!$T144&gt;T$625,"",(1000*tech_proj!T1108*(-PMT($J$110,tech_base!$F144,1))+1000*tech_proj!T1388)/((1-tech_proj!T548)*tech_proj!T828*$L$110))</f>
        <v>44.109263225351675</v>
      </c>
      <c r="U768" s="72">
        <f>IF(tech_base!$T144&gt;U$625,"",(1000*tech_proj!U1108*(-PMT($J$110,tech_base!$F144,1))+1000*tech_proj!U1388)/((1-tech_proj!U548)*tech_proj!U828*$L$110))</f>
        <v>44.03207924799387</v>
      </c>
      <c r="V768" s="72">
        <f>IF(tech_base!$T144&gt;V$625,"",(1000*tech_proj!V1108*(-PMT($J$110,tech_base!$F144,1))+1000*tech_proj!V1388)/((1-tech_proj!V548)*tech_proj!V828*$L$110))</f>
        <v>43.936672713303047</v>
      </c>
      <c r="W768" s="72">
        <f>IF(tech_base!$T144&gt;W$625,"",(1000*tech_proj!W1108*(-PMT($J$110,tech_base!$F144,1))+1000*tech_proj!W1388)/((1-tech_proj!W548)*tech_proj!W828*$L$110))</f>
        <v>43.81989943383622</v>
      </c>
      <c r="X768" s="72">
        <f>IF(tech_base!$T144&gt;X$625,"",(1000*tech_proj!X1108*(-PMT($J$110,tech_base!$F144,1))+1000*tech_proj!X1388)/((1-tech_proj!X548)*tech_proj!X828*$L$110))</f>
        <v>43.678697395049852</v>
      </c>
      <c r="Y768" s="72">
        <f>IF(tech_base!$T144&gt;Y$625,"",(1000*tech_proj!Y1108*(-PMT($J$110,tech_base!$F144,1))+1000*tech_proj!Y1388)/((1-tech_proj!Y548)*tech_proj!Y828*$L$110))</f>
        <v>43.510455670192087</v>
      </c>
      <c r="Z768" s="72">
        <f>IF(tech_base!$T144&gt;Z$625,"",(1000*tech_proj!Z1108*(-PMT($J$110,tech_base!$F144,1))+1000*tech_proj!Z1388)/((1-tech_proj!Z548)*tech_proj!Z828*$L$110))</f>
        <v>43.313511982667343</v>
      </c>
      <c r="AA768" s="72">
        <f>IF(tech_base!$T144&gt;AA$625,"",(1000*tech_proj!AA1108*(-PMT($J$110,tech_base!$F144,1))+1000*tech_proj!AA1388)/((1-tech_proj!AA548)*tech_proj!AA828*$L$110))</f>
        <v>43.087737078986507</v>
      </c>
      <c r="AB768" s="72">
        <f>IF(tech_base!$T144&gt;AB$625,"",(1000*tech_proj!AB1108*(-PMT($J$110,tech_base!$F144,1))+1000*tech_proj!AB1388)/((1-tech_proj!AB548)*tech_proj!AB828*$L$110))</f>
        <v>42.835103884212018</v>
      </c>
      <c r="AC768" s="72">
        <f>IF(tech_base!$T144&gt;AC$625,"",(1000*tech_proj!AC1108*(-PMT($J$110,tech_base!$F144,1))+1000*tech_proj!AC1388)/((1-tech_proj!AC548)*tech_proj!AC828*$L$110))</f>
        <v>42.560079161514857</v>
      </c>
      <c r="AD768" s="72">
        <f>IF(tech_base!$T144&gt;AD$625,"",(1000*tech_proj!AD1108*(-PMT($J$110,tech_base!$F144,1))+1000*tech_proj!AD1388)/((1-tech_proj!AD548)*tech_proj!AD828*$L$110))</f>
        <v>42.269650423609299</v>
      </c>
      <c r="AE768" s="72">
        <f>IF(tech_base!$T144&gt;AE$625,"",(1000*tech_proj!AE1108*(-PMT($J$110,tech_base!$F144,1))+1000*tech_proj!AE1388)/((1-tech_proj!AE548)*tech_proj!AE828*$L$110))</f>
        <v>41.972850895241159</v>
      </c>
      <c r="AF768" s="72">
        <f>IF(tech_base!$T144&gt;AF$625,"",(1000*tech_proj!AF1108*(-PMT($J$110,tech_base!$F144,1))+1000*tech_proj!AF1388)/((1-tech_proj!AF548)*tech_proj!AF828*$L$110))</f>
        <v>41.679783870610109</v>
      </c>
      <c r="AG768" s="72">
        <f>IF(tech_base!$T144&gt;AG$625,"",(1000*tech_proj!AG1108*(-PMT($J$110,tech_base!$F144,1))+1000*tech_proj!AG1388)/((1-tech_proj!AG548)*tech_proj!AG828*$L$110))</f>
        <v>41.40033256032239</v>
      </c>
      <c r="AH768" s="72">
        <f>IF(tech_base!$T144&gt;AH$625,"",(1000*tech_proj!AH1108*(-PMT($J$110,tech_base!$F144,1))+1000*tech_proj!AH1388)/((1-tech_proj!AH548)*tech_proj!AH828*$L$110))</f>
        <v>41.142880853547418</v>
      </c>
      <c r="AI768" s="72">
        <f>IF(tech_base!$T144&gt;AI$625,"",(1000*tech_proj!AI1108*(-PMT($J$110,tech_base!$F144,1))+1000*tech_proj!AI1388)/((1-tech_proj!AI548)*tech_proj!AI828*$L$110))</f>
        <v>40.913379515775119</v>
      </c>
      <c r="AJ768" s="72">
        <f>IF(tech_base!$T144&gt;AJ$625,"",(1000*tech_proj!AJ1108*(-PMT($J$110,tech_base!$F144,1))+1000*tech_proj!AJ1388)/((1-tech_proj!AJ548)*tech_proj!AJ828*$L$110))</f>
        <v>40.714959674119328</v>
      </c>
      <c r="AK768" s="72">
        <f>IF(tech_base!$T144&gt;AK$625,"",(1000*tech_proj!AK1108*(-PMT($J$110,tech_base!$F144,1))+1000*tech_proj!AK1388)/((1-tech_proj!AK548)*tech_proj!AK828*$L$110))</f>
        <v>40.548095651780194</v>
      </c>
      <c r="AL768" s="72">
        <f>IF(tech_base!$T144&gt;AL$625,"",(1000*tech_proj!AL1108*(-PMT($J$110,tech_base!$F144,1))+1000*tech_proj!AL1388)/((1-tech_proj!AL548)*tech_proj!AL828*$L$110))</f>
        <v>40.4111566208597</v>
      </c>
      <c r="AM768" s="72">
        <f>IF(tech_base!$T144&gt;AM$625,"",(1000*tech_proj!AM1108*(-PMT($J$110,tech_base!$F144,1))+1000*tech_proj!AM1388)/((1-tech_proj!AM548)*tech_proj!AM828*$L$110))</f>
        <v>40.301123425236398</v>
      </c>
      <c r="AN768" s="72">
        <f>IF(tech_base!$T144&gt;AN$625,"",(1000*tech_proj!AN1108*(-PMT($J$110,tech_base!$F144,1))+1000*tech_proj!AN1388)/((1-tech_proj!AN548)*tech_proj!AN828*$L$110))</f>
        <v>40.214277781191555</v>
      </c>
      <c r="AO768" s="72">
        <f>IF(tech_base!$T144&gt;AO$625,"",(1000*tech_proj!AO1108*(-PMT($J$110,tech_base!$F144,1))+1000*tech_proj!AO1388)/((1-tech_proj!AO548)*tech_proj!AO828*$L$110))</f>
        <v>40.146749095597684</v>
      </c>
      <c r="AP768" s="72">
        <f>IF(tech_base!$T144&gt;AP$625,"",(1000*tech_proj!AP1108*(-PMT($J$110,tech_base!$F144,1))+1000*tech_proj!AP1388)/((1-tech_proj!AP548)*tech_proj!AP828*$L$110))</f>
        <v>40.094882082001085</v>
      </c>
      <c r="AQ768" s="72">
        <f>IF(tech_base!$T144&gt;AQ$625,"",(1000*tech_proj!AQ1108*(-PMT($J$110,tech_base!$F144,1))+1000*tech_proj!AQ1388)/((1-tech_proj!AQ548)*tech_proj!AQ828*$L$110))</f>
        <v>40.055440959345276</v>
      </c>
      <c r="AR768" s="72">
        <f>IF(tech_base!$T144&gt;AR$625,"",(1000*tech_proj!AR1108*(-PMT($J$110,tech_base!$F144,1))+1000*tech_proj!AR1388)/((1-tech_proj!AR548)*tech_proj!AR828*$L$110))</f>
        <v>40.025689920842012</v>
      </c>
      <c r="AS768" s="72">
        <f>IF(tech_base!$T144&gt;AS$625,"",(1000*tech_proj!AS1108*(-PMT($J$110,tech_base!$F144,1))+1000*tech_proj!AS1388)/((1-tech_proj!AS548)*tech_proj!AS828*$L$110))</f>
        <v>40.003392844462361</v>
      </c>
      <c r="AT768" s="72">
        <f>IF(tech_base!$T144&gt;AT$625,"",(1000*tech_proj!AT1108*(-PMT($J$110,tech_base!$F144,1))+1000*tech_proj!AT1388)/((1-tech_proj!AT548)*tech_proj!AT828*$L$110))</f>
        <v>39.986767950582546</v>
      </c>
      <c r="AU768" s="72">
        <f>IF(tech_base!$T144&gt;AU$625,"",(1000*tech_proj!AU1108*(-PMT($J$110,tech_base!$F144,1))+1000*tech_proj!AU1388)/((1-tech_proj!AU548)*tech_proj!AU828*$L$110))</f>
        <v>39.974422728138748</v>
      </c>
      <c r="AV768" s="72">
        <f>IF(tech_base!$T144&gt;AV$625,"",(1000*tech_proj!AV1108*(-PMT($J$110,tech_base!$F144,1))+1000*tech_proj!AV1388)/((1-tech_proj!AV548)*tech_proj!AV828*$L$110))</f>
        <v>39.965284944756213</v>
      </c>
      <c r="AW768" s="72">
        <f>IF(tech_base!$T144&gt;AW$625,"",(1000*tech_proj!AW1108*(-PMT($J$110,tech_base!$F144,1))+1000*tech_proj!AW1388)/((1-tech_proj!AW548)*tech_proj!AW828*$L$110))</f>
        <v>39.958538386492897</v>
      </c>
      <c r="AX768" s="238">
        <f>IF(tech_base!$T144&gt;AX$625,"",(1000*tech_proj!AX1108*(-PMT($J$110,tech_base!$F144,1))+1000*tech_proj!AX1388)/((1-tech_proj!AX548)*tech_proj!AX828*$L$110))</f>
        <v>39.953567207338182</v>
      </c>
    </row>
    <row r="769" spans="1:50" x14ac:dyDescent="0.25">
      <c r="A769" s="356"/>
      <c r="B769" s="376"/>
      <c r="C769" s="361" t="s">
        <v>15</v>
      </c>
      <c r="D769" s="58" t="s">
        <v>7</v>
      </c>
      <c r="E769" s="164" t="str">
        <f>A765&amp;"/"&amp;B765&amp;"/"&amp;C769&amp;"/"&amp;D769</f>
        <v>Diesel oil fired power plants/Gas turbine combined cycle/Electricity only with CCS/L</v>
      </c>
      <c r="F769" s="78" t="str">
        <f>A765</f>
        <v>Diesel oil fired power plants</v>
      </c>
      <c r="G769" s="78" t="str">
        <f>B765</f>
        <v>Gas turbine combined cycle</v>
      </c>
      <c r="H769" s="78" t="str">
        <f>C769</f>
        <v>Electricity only with CCS</v>
      </c>
      <c r="I769" s="165" t="str">
        <f t="shared" si="364"/>
        <v>L</v>
      </c>
      <c r="J769" s="71" t="str">
        <f>IF(tech_base!$T145&gt;J$625,"",(1000*tech_proj!J1109*(-PMT($J$110,tech_base!$F145,1))+1000*tech_proj!J1389)/((1-tech_proj!J549)*tech_proj!J829*$L$110))</f>
        <v/>
      </c>
      <c r="K769" s="71" t="str">
        <f>IF(tech_base!$T145&gt;K$625,"",(1000*tech_proj!K1109*(-PMT($J$110,tech_base!$F145,1))+1000*tech_proj!K1389)/((1-tech_proj!K549)*tech_proj!K829*$L$110))</f>
        <v/>
      </c>
      <c r="L769" s="71" t="str">
        <f>IF(tech_base!$T145&gt;L$625,"",(1000*tech_proj!L1109*(-PMT($J$110,tech_base!$F145,1))+1000*tech_proj!L1389)/((1-tech_proj!L549)*tech_proj!L829*$L$110))</f>
        <v/>
      </c>
      <c r="M769" s="71" t="str">
        <f>IF(tech_base!$T145&gt;M$625,"",(1000*tech_proj!M1109*(-PMT($J$110,tech_base!$F145,1))+1000*tech_proj!M1389)/((1-tech_proj!M549)*tech_proj!M829*$L$110))</f>
        <v/>
      </c>
      <c r="N769" s="71" t="str">
        <f>IF(tech_base!$T145&gt;N$625,"",(1000*tech_proj!N1109*(-PMT($J$110,tech_base!$F145,1))+1000*tech_proj!N1389)/((1-tech_proj!N549)*tech_proj!N829*$L$110))</f>
        <v/>
      </c>
      <c r="O769" s="71" t="str">
        <f>IF(tech_base!$T145&gt;O$625,"",(1000*tech_proj!O1109*(-PMT($J$110,tech_base!$F145,1))+1000*tech_proj!O1389)/((1-tech_proj!O549)*tech_proj!O829*$L$110))</f>
        <v/>
      </c>
      <c r="P769" s="71" t="str">
        <f>IF(tech_base!$T145&gt;P$625,"",(1000*tech_proj!P1109*(-PMT($J$110,tech_base!$F145,1))+1000*tech_proj!P1389)/((1-tech_proj!P549)*tech_proj!P829*$L$110))</f>
        <v/>
      </c>
      <c r="Q769" s="71" t="str">
        <f>IF(tech_base!$T145&gt;Q$625,"",(1000*tech_proj!Q1109*(-PMT($J$110,tech_base!$F145,1))+1000*tech_proj!Q1389)/((1-tech_proj!Q549)*tech_proj!Q829*$L$110))</f>
        <v/>
      </c>
      <c r="R769" s="71" t="str">
        <f>IF(tech_base!$T145&gt;R$625,"",(1000*tech_proj!R1109*(-PMT($J$110,tech_base!$F145,1))+1000*tech_proj!R1389)/((1-tech_proj!R549)*tech_proj!R829*$L$110))</f>
        <v/>
      </c>
      <c r="S769" s="71" t="str">
        <f>IF(tech_base!$T145&gt;S$625,"",(1000*tech_proj!S1109*(-PMT($J$110,tech_base!$F145,1))+1000*tech_proj!S1389)/((1-tech_proj!S549)*tech_proj!S829*$L$110))</f>
        <v/>
      </c>
      <c r="T769" s="71" t="str">
        <f>IF(tech_base!$T145&gt;T$625,"",(1000*tech_proj!T1109*(-PMT($J$110,tech_base!$F145,1))+1000*tech_proj!T1389)/((1-tech_proj!T549)*tech_proj!T829*$L$110))</f>
        <v/>
      </c>
      <c r="U769" s="71" t="str">
        <f>IF(tech_base!$T145&gt;U$625,"",(1000*tech_proj!U1109*(-PMT($J$110,tech_base!$F145,1))+1000*tech_proj!U1389)/((1-tech_proj!U549)*tech_proj!U829*$L$110))</f>
        <v/>
      </c>
      <c r="V769" s="71" t="str">
        <f>IF(tech_base!$T145&gt;V$625,"",(1000*tech_proj!V1109*(-PMT($J$110,tech_base!$F145,1))+1000*tech_proj!V1389)/((1-tech_proj!V549)*tech_proj!V829*$L$110))</f>
        <v/>
      </c>
      <c r="W769" s="71" t="str">
        <f>IF(tech_base!$T145&gt;W$625,"",(1000*tech_proj!W1109*(-PMT($J$110,tech_base!$F145,1))+1000*tech_proj!W1389)/((1-tech_proj!W549)*tech_proj!W829*$L$110))</f>
        <v/>
      </c>
      <c r="X769" s="71" t="str">
        <f>IF(tech_base!$T145&gt;X$625,"",(1000*tech_proj!X1109*(-PMT($J$110,tech_base!$F145,1))+1000*tech_proj!X1389)/((1-tech_proj!X549)*tech_proj!X829*$L$110))</f>
        <v/>
      </c>
      <c r="Y769" s="71" t="str">
        <f>IF(tech_base!$T145&gt;Y$625,"",(1000*tech_proj!Y1109*(-PMT($J$110,tech_base!$F145,1))+1000*tech_proj!Y1389)/((1-tech_proj!Y549)*tech_proj!Y829*$L$110))</f>
        <v/>
      </c>
      <c r="Z769" s="71" t="str">
        <f>IF(tech_base!$T145&gt;Z$625,"",(1000*tech_proj!Z1109*(-PMT($J$110,tech_base!$F145,1))+1000*tech_proj!Z1389)/((1-tech_proj!Z549)*tech_proj!Z829*$L$110))</f>
        <v/>
      </c>
      <c r="AA769" s="71" t="str">
        <f>IF(tech_base!$T145&gt;AA$625,"",(1000*tech_proj!AA1109*(-PMT($J$110,tech_base!$F145,1))+1000*tech_proj!AA1389)/((1-tech_proj!AA549)*tech_proj!AA829*$L$110))</f>
        <v/>
      </c>
      <c r="AB769" s="71" t="str">
        <f>IF(tech_base!$T145&gt;AB$625,"",(1000*tech_proj!AB1109*(-PMT($J$110,tech_base!$F145,1))+1000*tech_proj!AB1389)/((1-tech_proj!AB549)*tech_proj!AB829*$L$110))</f>
        <v/>
      </c>
      <c r="AC769" s="71" t="str">
        <f>IF(tech_base!$T145&gt;AC$625,"",(1000*tech_proj!AC1109*(-PMT($J$110,tech_base!$F145,1))+1000*tech_proj!AC1389)/((1-tech_proj!AC549)*tech_proj!AC829*$L$110))</f>
        <v/>
      </c>
      <c r="AD769" s="71" t="str">
        <f>IF(tech_base!$T145&gt;AD$625,"",(1000*tech_proj!AD1109*(-PMT($J$110,tech_base!$F145,1))+1000*tech_proj!AD1389)/((1-tech_proj!AD549)*tech_proj!AD829*$L$110))</f>
        <v/>
      </c>
      <c r="AE769" s="71">
        <f>IF(tech_base!$T145&gt;AE$625,"",(1000*tech_proj!AE1109*(-PMT($J$110,tech_base!$F145,1))+1000*tech_proj!AE1389)/((1-tech_proj!AE549)*tech_proj!AE829*$L$110))</f>
        <v>64.177013596259712</v>
      </c>
      <c r="AF769" s="71">
        <f>IF(tech_base!$T145&gt;AF$625,"",(1000*tech_proj!AF1109*(-PMT($J$110,tech_base!$F145,1))+1000*tech_proj!AF1389)/((1-tech_proj!AF549)*tech_proj!AF829*$L$110))</f>
        <v>64.148955382569113</v>
      </c>
      <c r="AG769" s="71">
        <f>IF(tech_base!$T145&gt;AG$625,"",(1000*tech_proj!AG1109*(-PMT($J$110,tech_base!$F145,1))+1000*tech_proj!AG1389)/((1-tech_proj!AG549)*tech_proj!AG829*$L$110))</f>
        <v>64.11302409349193</v>
      </c>
      <c r="AH769" s="71">
        <f>IF(tech_base!$T145&gt;AH$625,"",(1000*tech_proj!AH1109*(-PMT($J$110,tech_base!$F145,1))+1000*tech_proj!AH1389)/((1-tech_proj!AH549)*tech_proj!AH829*$L$110))</f>
        <v>64.067045296293799</v>
      </c>
      <c r="AI769" s="71">
        <f>IF(tech_base!$T145&gt;AI$625,"",(1000*tech_proj!AI1109*(-PMT($J$110,tech_base!$F145,1))+1000*tech_proj!AI1389)/((1-tech_proj!AI549)*tech_proj!AI829*$L$110))</f>
        <v>64.008266267292399</v>
      </c>
      <c r="AJ769" s="71">
        <f>IF(tech_base!$T145&gt;AJ$625,"",(1000*tech_proj!AJ1109*(-PMT($J$110,tech_base!$F145,1))+1000*tech_proj!AJ1389)/((1-tech_proj!AJ549)*tech_proj!AJ829*$L$110))</f>
        <v>63.933216431591994</v>
      </c>
      <c r="AK769" s="71">
        <f>IF(tech_base!$T145&gt;AK$625,"",(1000*tech_proj!AK1109*(-PMT($J$110,tech_base!$F145,1))+1000*tech_proj!AK1389)/((1-tech_proj!AK549)*tech_proj!AK829*$L$110))</f>
        <v>63.837543303047234</v>
      </c>
      <c r="AL769" s="71">
        <f>IF(tech_base!$T145&gt;AL$625,"",(1000*tech_proj!AL1109*(-PMT($J$110,tech_base!$F145,1))+1000*tech_proj!AL1389)/((1-tech_proj!AL549)*tech_proj!AL829*$L$110))</f>
        <v>63.715825848211523</v>
      </c>
      <c r="AM769" s="71">
        <f>IF(tech_base!$T145&gt;AM$625,"",(1000*tech_proj!AM1109*(-PMT($J$110,tech_base!$F145,1))+1000*tech_proj!AM1389)/((1-tech_proj!AM549)*tech_proj!AM829*$L$110))</f>
        <v>63.561372526474329</v>
      </c>
      <c r="AN769" s="71">
        <f>IF(tech_base!$T145&gt;AN$625,"",(1000*tech_proj!AN1109*(-PMT($J$110,tech_base!$F145,1))+1000*tech_proj!AN1389)/((1-tech_proj!AN549)*tech_proj!AN829*$L$110))</f>
        <v>63.366020218317722</v>
      </c>
      <c r="AO769" s="71">
        <f>IF(tech_base!$T145&gt;AO$625,"",(1000*tech_proj!AO1109*(-PMT($J$110,tech_base!$F145,1))+1000*tech_proj!AO1389)/((1-tech_proj!AO549)*tech_proj!AO829*$L$110))</f>
        <v>63.119964323750565</v>
      </c>
      <c r="AP769" s="71">
        <f>IF(tech_base!$T145&gt;AP$625,"",(1000*tech_proj!AP1109*(-PMT($J$110,tech_base!$F145,1))+1000*tech_proj!AP1389)/((1-tech_proj!AP549)*tech_proj!AP829*$L$110))</f>
        <v>62.81167090933436</v>
      </c>
      <c r="AQ769" s="71">
        <f>IF(tech_base!$T145&gt;AQ$625,"",(1000*tech_proj!AQ1109*(-PMT($J$110,tech_base!$F145,1))+1000*tech_proj!AQ1389)/((1-tech_proj!AQ549)*tech_proj!AQ829*$L$110))</f>
        <v>62.427949427649999</v>
      </c>
      <c r="AR769" s="71">
        <f>IF(tech_base!$T145&gt;AR$625,"",(1000*tech_proj!AR1109*(-PMT($J$110,tech_base!$F145,1))+1000*tech_proj!AR1389)/((1-tech_proj!AR549)*tech_proj!AR829*$L$110))</f>
        <v>61.954297168892758</v>
      </c>
      <c r="AS769" s="71">
        <f>IF(tech_base!$T145&gt;AS$625,"",(1000*tech_proj!AS1109*(-PMT($J$110,tech_base!$F145,1))+1000*tech_proj!AS1389)/((1-tech_proj!AS549)*tech_proj!AS829*$L$110))</f>
        <v>61.3756567521108</v>
      </c>
      <c r="AT769" s="71">
        <f>IF(tech_base!$T145&gt;AT$625,"",(1000*tech_proj!AT1109*(-PMT($J$110,tech_base!$F145,1))+1000*tech_proj!AT1389)/((1-tech_proj!AT549)*tech_proj!AT829*$L$110))</f>
        <v>60.67773898646049</v>
      </c>
      <c r="AU769" s="71">
        <f>IF(tech_base!$T145&gt;AU$625,"",(1000*tech_proj!AU1109*(-PMT($J$110,tech_base!$F145,1))+1000*tech_proj!AU1389)/((1-tech_proj!AU549)*tech_proj!AU829*$L$110))</f>
        <v>59.849026683513436</v>
      </c>
      <c r="AV769" s="71">
        <f>IF(tech_base!$T145&gt;AV$625,"",(1000*tech_proj!AV1109*(-PMT($J$110,tech_base!$F145,1))+1000*tech_proj!AV1389)/((1-tech_proj!AV549)*tech_proj!AV829*$L$110))</f>
        <v>58.883452515446912</v>
      </c>
      <c r="AW769" s="71">
        <f>IF(tech_base!$T145&gt;AW$625,"",(1000*tech_proj!AW1109*(-PMT($J$110,tech_base!$F145,1))+1000*tech_proj!AW1389)/((1-tech_proj!AW549)*tech_proj!AW829*$L$110))</f>
        <v>57.783504502590013</v>
      </c>
      <c r="AX769" s="237">
        <f>IF(tech_base!$T145&gt;AX$625,"",(1000*tech_proj!AX1109*(-PMT($J$110,tech_base!$F145,1))+1000*tech_proj!AX1389)/((1-tech_proj!AX549)*tech_proj!AX829*$L$110))</f>
        <v>56.563167315615303</v>
      </c>
    </row>
    <row r="770" spans="1:50" x14ac:dyDescent="0.25">
      <c r="A770" s="356"/>
      <c r="B770" s="376"/>
      <c r="C770" s="379"/>
      <c r="D770" s="59" t="s">
        <v>8</v>
      </c>
      <c r="E770" s="166" t="str">
        <f>A765&amp;"/"&amp;B765&amp;"/"&amp;C769&amp;"/"&amp;D770</f>
        <v>Diesel oil fired power plants/Gas turbine combined cycle/Electricity only with CCS/M</v>
      </c>
      <c r="F770" s="79" t="str">
        <f>A765</f>
        <v>Diesel oil fired power plants</v>
      </c>
      <c r="G770" s="79" t="str">
        <f>B765</f>
        <v>Gas turbine combined cycle</v>
      </c>
      <c r="H770" s="79" t="str">
        <f>C769</f>
        <v>Electricity only with CCS</v>
      </c>
      <c r="I770" s="167" t="str">
        <f t="shared" si="364"/>
        <v>M</v>
      </c>
      <c r="J770" s="72" t="str">
        <f>IF(tech_base!$T146&gt;J$625,"",(1000*tech_proj!J1110*(-PMT($J$110,tech_base!$F146,1))+1000*tech_proj!J1390)/((1-tech_proj!J550)*tech_proj!J830*$L$110))</f>
        <v/>
      </c>
      <c r="K770" s="72" t="str">
        <f>IF(tech_base!$T146&gt;K$625,"",(1000*tech_proj!K1110*(-PMT($J$110,tech_base!$F146,1))+1000*tech_proj!K1390)/((1-tech_proj!K550)*tech_proj!K830*$L$110))</f>
        <v/>
      </c>
      <c r="L770" s="72" t="str">
        <f>IF(tech_base!$T146&gt;L$625,"",(1000*tech_proj!L1110*(-PMT($J$110,tech_base!$F146,1))+1000*tech_proj!L1390)/((1-tech_proj!L550)*tech_proj!L830*$L$110))</f>
        <v/>
      </c>
      <c r="M770" s="72" t="str">
        <f>IF(tech_base!$T146&gt;M$625,"",(1000*tech_proj!M1110*(-PMT($J$110,tech_base!$F146,1))+1000*tech_proj!M1390)/((1-tech_proj!M550)*tech_proj!M830*$L$110))</f>
        <v/>
      </c>
      <c r="N770" s="72" t="str">
        <f>IF(tech_base!$T146&gt;N$625,"",(1000*tech_proj!N1110*(-PMT($J$110,tech_base!$F146,1))+1000*tech_proj!N1390)/((1-tech_proj!N550)*tech_proj!N830*$L$110))</f>
        <v/>
      </c>
      <c r="O770" s="72" t="str">
        <f>IF(tech_base!$T146&gt;O$625,"",(1000*tech_proj!O1110*(-PMT($J$110,tech_base!$F146,1))+1000*tech_proj!O1390)/((1-tech_proj!O550)*tech_proj!O830*$L$110))</f>
        <v/>
      </c>
      <c r="P770" s="72" t="str">
        <f>IF(tech_base!$T146&gt;P$625,"",(1000*tech_proj!P1110*(-PMT($J$110,tech_base!$F146,1))+1000*tech_proj!P1390)/((1-tech_proj!P550)*tech_proj!P830*$L$110))</f>
        <v/>
      </c>
      <c r="Q770" s="72" t="str">
        <f>IF(tech_base!$T146&gt;Q$625,"",(1000*tech_proj!Q1110*(-PMT($J$110,tech_base!$F146,1))+1000*tech_proj!Q1390)/((1-tech_proj!Q550)*tech_proj!Q830*$L$110))</f>
        <v/>
      </c>
      <c r="R770" s="72" t="str">
        <f>IF(tech_base!$T146&gt;R$625,"",(1000*tech_proj!R1110*(-PMT($J$110,tech_base!$F146,1))+1000*tech_proj!R1390)/((1-tech_proj!R550)*tech_proj!R830*$L$110))</f>
        <v/>
      </c>
      <c r="S770" s="72" t="str">
        <f>IF(tech_base!$T146&gt;S$625,"",(1000*tech_proj!S1110*(-PMT($J$110,tech_base!$F146,1))+1000*tech_proj!S1390)/((1-tech_proj!S550)*tech_proj!S830*$L$110))</f>
        <v/>
      </c>
      <c r="T770" s="72" t="str">
        <f>IF(tech_base!$T146&gt;T$625,"",(1000*tech_proj!T1110*(-PMT($J$110,tech_base!$F146,1))+1000*tech_proj!T1390)/((1-tech_proj!T550)*tech_proj!T830*$L$110))</f>
        <v/>
      </c>
      <c r="U770" s="72" t="str">
        <f>IF(tech_base!$T146&gt;U$625,"",(1000*tech_proj!U1110*(-PMT($J$110,tech_base!$F146,1))+1000*tech_proj!U1390)/((1-tech_proj!U550)*tech_proj!U830*$L$110))</f>
        <v/>
      </c>
      <c r="V770" s="72" t="str">
        <f>IF(tech_base!$T146&gt;V$625,"",(1000*tech_proj!V1110*(-PMT($J$110,tech_base!$F146,1))+1000*tech_proj!V1390)/((1-tech_proj!V550)*tech_proj!V830*$L$110))</f>
        <v/>
      </c>
      <c r="W770" s="72" t="str">
        <f>IF(tech_base!$T146&gt;W$625,"",(1000*tech_proj!W1110*(-PMT($J$110,tech_base!$F146,1))+1000*tech_proj!W1390)/((1-tech_proj!W550)*tech_proj!W830*$L$110))</f>
        <v/>
      </c>
      <c r="X770" s="72" t="str">
        <f>IF(tech_base!$T146&gt;X$625,"",(1000*tech_proj!X1110*(-PMT($J$110,tech_base!$F146,1))+1000*tech_proj!X1390)/((1-tech_proj!X550)*tech_proj!X830*$L$110))</f>
        <v/>
      </c>
      <c r="Y770" s="72" t="str">
        <f>IF(tech_base!$T146&gt;Y$625,"",(1000*tech_proj!Y1110*(-PMT($J$110,tech_base!$F146,1))+1000*tech_proj!Y1390)/((1-tech_proj!Y550)*tech_proj!Y830*$L$110))</f>
        <v/>
      </c>
      <c r="Z770" s="72" t="str">
        <f>IF(tech_base!$T146&gt;Z$625,"",(1000*tech_proj!Z1110*(-PMT($J$110,tech_base!$F146,1))+1000*tech_proj!Z1390)/((1-tech_proj!Z550)*tech_proj!Z830*$L$110))</f>
        <v/>
      </c>
      <c r="AA770" s="72" t="str">
        <f>IF(tech_base!$T146&gt;AA$625,"",(1000*tech_proj!AA1110*(-PMT($J$110,tech_base!$F146,1))+1000*tech_proj!AA1390)/((1-tech_proj!AA550)*tech_proj!AA830*$L$110))</f>
        <v/>
      </c>
      <c r="AB770" s="72" t="str">
        <f>IF(tech_base!$T146&gt;AB$625,"",(1000*tech_proj!AB1110*(-PMT($J$110,tech_base!$F146,1))+1000*tech_proj!AB1390)/((1-tech_proj!AB550)*tech_proj!AB830*$L$110))</f>
        <v/>
      </c>
      <c r="AC770" s="72" t="str">
        <f>IF(tech_base!$T146&gt;AC$625,"",(1000*tech_proj!AC1110*(-PMT($J$110,tech_base!$F146,1))+1000*tech_proj!AC1390)/((1-tech_proj!AC550)*tech_proj!AC830*$L$110))</f>
        <v/>
      </c>
      <c r="AD770" s="72" t="str">
        <f>IF(tech_base!$T146&gt;AD$625,"",(1000*tech_proj!AD1110*(-PMT($J$110,tech_base!$F146,1))+1000*tech_proj!AD1390)/((1-tech_proj!AD550)*tech_proj!AD830*$L$110))</f>
        <v/>
      </c>
      <c r="AE770" s="72">
        <f>IF(tech_base!$T146&gt;AE$625,"",(1000*tech_proj!AE1110*(-PMT($J$110,tech_base!$F146,1))+1000*tech_proj!AE1390)/((1-tech_proj!AE550)*tech_proj!AE830*$L$110))</f>
        <v>67.448177154498339</v>
      </c>
      <c r="AF770" s="72">
        <f>IF(tech_base!$T146&gt;AF$625,"",(1000*tech_proj!AF1110*(-PMT($J$110,tech_base!$F146,1))+1000*tech_proj!AF1390)/((1-tech_proj!AF550)*tech_proj!AF830*$L$110))</f>
        <v>67.421149636263365</v>
      </c>
      <c r="AG770" s="72">
        <f>IF(tech_base!$T146&gt;AG$625,"",(1000*tech_proj!AG1110*(-PMT($J$110,tech_base!$F146,1))+1000*tech_proj!AG1390)/((1-tech_proj!AG550)*tech_proj!AG830*$L$110))</f>
        <v>67.386538253605551</v>
      </c>
      <c r="AH770" s="72">
        <f>IF(tech_base!$T146&gt;AH$625,"",(1000*tech_proj!AH1110*(-PMT($J$110,tech_base!$F146,1))+1000*tech_proj!AH1390)/((1-tech_proj!AH550)*tech_proj!AH830*$L$110))</f>
        <v>67.342248449792706</v>
      </c>
      <c r="AI770" s="72">
        <f>IF(tech_base!$T146&gt;AI$625,"",(1000*tech_proj!AI1110*(-PMT($J$110,tech_base!$F146,1))+1000*tech_proj!AI1390)/((1-tech_proj!AI550)*tech_proj!AI830*$L$110))</f>
        <v>67.28562862018812</v>
      </c>
      <c r="AJ770" s="72">
        <f>IF(tech_base!$T146&gt;AJ$625,"",(1000*tech_proj!AJ1110*(-PMT($J$110,tech_base!$F146,1))+1000*tech_proj!AJ1390)/((1-tech_proj!AJ550)*tech_proj!AJ830*$L$110))</f>
        <v>67.213335678616957</v>
      </c>
      <c r="AK770" s="72">
        <f>IF(tech_base!$T146&gt;AK$625,"",(1000*tech_proj!AK1110*(-PMT($J$110,tech_base!$F146,1))+1000*tech_proj!AK1390)/((1-tech_proj!AK550)*tech_proj!AK830*$L$110))</f>
        <v>67.12117702394076</v>
      </c>
      <c r="AL770" s="72">
        <f>IF(tech_base!$T146&gt;AL$625,"",(1000*tech_proj!AL1110*(-PMT($J$110,tech_base!$F146,1))+1000*tech_proj!AL1390)/((1-tech_proj!AL550)*tech_proj!AL830*$L$110))</f>
        <v>67.00393075992821</v>
      </c>
      <c r="AM770" s="72">
        <f>IF(tech_base!$T146&gt;AM$625,"",(1000*tech_proj!AM1110*(-PMT($J$110,tech_base!$F146,1))+1000*tech_proj!AM1390)/((1-tech_proj!AM550)*tech_proj!AM830*$L$110))</f>
        <v>66.855151154222028</v>
      </c>
      <c r="AN770" s="72">
        <f>IF(tech_base!$T146&gt;AN$625,"",(1000*tech_proj!AN1110*(-PMT($J$110,tech_base!$F146,1))+1000*tech_proj!AN1390)/((1-tech_proj!AN550)*tech_proj!AN830*$L$110))</f>
        <v>66.666974952801212</v>
      </c>
      <c r="AO770" s="72">
        <f>IF(tech_base!$T146&gt;AO$625,"",(1000*tech_proj!AO1110*(-PMT($J$110,tech_base!$F146,1))+1000*tech_proj!AO1390)/((1-tech_proj!AO550)*tech_proj!AO830*$L$110))</f>
        <v>66.429957719609718</v>
      </c>
      <c r="AP770" s="72">
        <f>IF(tech_base!$T146&gt;AP$625,"",(1000*tech_proj!AP1110*(-PMT($J$110,tech_base!$F146,1))+1000*tech_proj!AP1390)/((1-tech_proj!AP550)*tech_proj!AP830*$L$110))</f>
        <v>66.13298921078929</v>
      </c>
      <c r="AQ770" s="72">
        <f>IF(tech_base!$T146&gt;AQ$625,"",(1000*tech_proj!AQ1110*(-PMT($J$110,tech_base!$F146,1))+1000*tech_proj!AQ1390)/((1-tech_proj!AQ550)*tech_proj!AQ830*$L$110))</f>
        <v>65.763363422856216</v>
      </c>
      <c r="AR770" s="72">
        <f>IF(tech_base!$T146&gt;AR$625,"",(1000*tech_proj!AR1110*(-PMT($J$110,tech_base!$F146,1))+1000*tech_proj!AR1390)/((1-tech_proj!AR550)*tech_proj!AR830*$L$110))</f>
        <v>65.307110391149649</v>
      </c>
      <c r="AS770" s="72">
        <f>IF(tech_base!$T146&gt;AS$625,"",(1000*tech_proj!AS1110*(-PMT($J$110,tech_base!$F146,1))+1000*tech_proj!AS1390)/((1-tech_proj!AS550)*tech_proj!AS830*$L$110))</f>
        <v>64.749725855251057</v>
      </c>
      <c r="AT770" s="72">
        <f>IF(tech_base!$T146&gt;AT$625,"",(1000*tech_proj!AT1110*(-PMT($J$110,tech_base!$F146,1))+1000*tech_proj!AT1390)/((1-tech_proj!AT550)*tech_proj!AT830*$L$110))</f>
        <v>64.077445526016888</v>
      </c>
      <c r="AU770" s="72">
        <f>IF(tech_base!$T146&gt;AU$625,"",(1000*tech_proj!AU1110*(-PMT($J$110,tech_base!$F146,1))+1000*tech_proj!AU1390)/((1-tech_proj!AU550)*tech_proj!AU830*$L$110))</f>
        <v>63.279175289484741</v>
      </c>
      <c r="AV770" s="72">
        <f>IF(tech_base!$T146&gt;AV$625,"",(1000*tech_proj!AV1110*(-PMT($J$110,tech_base!$F146,1))+1000*tech_proj!AV1390)/((1-tech_proj!AV550)*tech_proj!AV830*$L$110))</f>
        <v>62.349070696140664</v>
      </c>
      <c r="AW770" s="72">
        <f>IF(tech_base!$T146&gt;AW$625,"",(1000*tech_proj!AW1110*(-PMT($J$110,tech_base!$F146,1))+1000*tech_proj!AW1390)/((1-tech_proj!AW550)*tech_proj!AW830*$L$110))</f>
        <v>61.289528370928629</v>
      </c>
      <c r="AX770" s="238">
        <f>IF(tech_base!$T146&gt;AX$625,"",(1000*tech_proj!AX1110*(-PMT($J$110,tech_base!$F146,1))+1000*tech_proj!AX1390)/((1-tech_proj!AX550)*tech_proj!AX830*$L$110))</f>
        <v>60.114019269119744</v>
      </c>
    </row>
    <row r="771" spans="1:50" x14ac:dyDescent="0.25">
      <c r="A771" s="356"/>
      <c r="B771" s="376"/>
      <c r="C771" s="361" t="s">
        <v>16</v>
      </c>
      <c r="D771" s="2" t="s">
        <v>7</v>
      </c>
      <c r="E771" s="160" t="str">
        <f>A765&amp;"/"&amp;B765&amp;"/"&amp;C771&amp;"/"&amp;D771</f>
        <v>Diesel oil fired power plants/Gas turbine combined cycle/CHP with CCS/L</v>
      </c>
      <c r="F771" s="76" t="str">
        <f>A765</f>
        <v>Diesel oil fired power plants</v>
      </c>
      <c r="G771" s="76" t="str">
        <f>B765</f>
        <v>Gas turbine combined cycle</v>
      </c>
      <c r="H771" s="76" t="str">
        <f>C771</f>
        <v>CHP with CCS</v>
      </c>
      <c r="I771" s="161" t="str">
        <f t="shared" si="364"/>
        <v>L</v>
      </c>
      <c r="J771" s="69" t="str">
        <f>IF(tech_base!$T147&gt;J$625,"",(1000*tech_proj!J1111*(-PMT($J$110,tech_base!$F147,1))+1000*tech_proj!J1391)/((1-tech_proj!J551)*tech_proj!J831*$L$110))</f>
        <v/>
      </c>
      <c r="K771" s="69" t="str">
        <f>IF(tech_base!$T147&gt;K$625,"",(1000*tech_proj!K1111*(-PMT($J$110,tech_base!$F147,1))+1000*tech_proj!K1391)/((1-tech_proj!K551)*tech_proj!K831*$L$110))</f>
        <v/>
      </c>
      <c r="L771" s="69" t="str">
        <f>IF(tech_base!$T147&gt;L$625,"",(1000*tech_proj!L1111*(-PMT($J$110,tech_base!$F147,1))+1000*tech_proj!L1391)/((1-tech_proj!L551)*tech_proj!L831*$L$110))</f>
        <v/>
      </c>
      <c r="M771" s="69" t="str">
        <f>IF(tech_base!$T147&gt;M$625,"",(1000*tech_proj!M1111*(-PMT($J$110,tech_base!$F147,1))+1000*tech_proj!M1391)/((1-tech_proj!M551)*tech_proj!M831*$L$110))</f>
        <v/>
      </c>
      <c r="N771" s="69" t="str">
        <f>IF(tech_base!$T147&gt;N$625,"",(1000*tech_proj!N1111*(-PMT($J$110,tech_base!$F147,1))+1000*tech_proj!N1391)/((1-tech_proj!N551)*tech_proj!N831*$L$110))</f>
        <v/>
      </c>
      <c r="O771" s="69" t="str">
        <f>IF(tech_base!$T147&gt;O$625,"",(1000*tech_proj!O1111*(-PMT($J$110,tech_base!$F147,1))+1000*tech_proj!O1391)/((1-tech_proj!O551)*tech_proj!O831*$L$110))</f>
        <v/>
      </c>
      <c r="P771" s="69" t="str">
        <f>IF(tech_base!$T147&gt;P$625,"",(1000*tech_proj!P1111*(-PMT($J$110,tech_base!$F147,1))+1000*tech_proj!P1391)/((1-tech_proj!P551)*tech_proj!P831*$L$110))</f>
        <v/>
      </c>
      <c r="Q771" s="69" t="str">
        <f>IF(tech_base!$T147&gt;Q$625,"",(1000*tech_proj!Q1111*(-PMT($J$110,tech_base!$F147,1))+1000*tech_proj!Q1391)/((1-tech_proj!Q551)*tech_proj!Q831*$L$110))</f>
        <v/>
      </c>
      <c r="R771" s="69" t="str">
        <f>IF(tech_base!$T147&gt;R$625,"",(1000*tech_proj!R1111*(-PMT($J$110,tech_base!$F147,1))+1000*tech_proj!R1391)/((1-tech_proj!R551)*tech_proj!R831*$L$110))</f>
        <v/>
      </c>
      <c r="S771" s="69" t="str">
        <f>IF(tech_base!$T147&gt;S$625,"",(1000*tech_proj!S1111*(-PMT($J$110,tech_base!$F147,1))+1000*tech_proj!S1391)/((1-tech_proj!S551)*tech_proj!S831*$L$110))</f>
        <v/>
      </c>
      <c r="T771" s="69" t="str">
        <f>IF(tech_base!$T147&gt;T$625,"",(1000*tech_proj!T1111*(-PMT($J$110,tech_base!$F147,1))+1000*tech_proj!T1391)/((1-tech_proj!T551)*tech_proj!T831*$L$110))</f>
        <v/>
      </c>
      <c r="U771" s="69" t="str">
        <f>IF(tech_base!$T147&gt;U$625,"",(1000*tech_proj!U1111*(-PMT($J$110,tech_base!$F147,1))+1000*tech_proj!U1391)/((1-tech_proj!U551)*tech_proj!U831*$L$110))</f>
        <v/>
      </c>
      <c r="V771" s="69" t="str">
        <f>IF(tech_base!$T147&gt;V$625,"",(1000*tech_proj!V1111*(-PMT($J$110,tech_base!$F147,1))+1000*tech_proj!V1391)/((1-tech_proj!V551)*tech_proj!V831*$L$110))</f>
        <v/>
      </c>
      <c r="W771" s="69" t="str">
        <f>IF(tech_base!$T147&gt;W$625,"",(1000*tech_proj!W1111*(-PMT($J$110,tech_base!$F147,1))+1000*tech_proj!W1391)/((1-tech_proj!W551)*tech_proj!W831*$L$110))</f>
        <v/>
      </c>
      <c r="X771" s="69" t="str">
        <f>IF(tech_base!$T147&gt;X$625,"",(1000*tech_proj!X1111*(-PMT($J$110,tech_base!$F147,1))+1000*tech_proj!X1391)/((1-tech_proj!X551)*tech_proj!X831*$L$110))</f>
        <v/>
      </c>
      <c r="Y771" s="69" t="str">
        <f>IF(tech_base!$T147&gt;Y$625,"",(1000*tech_proj!Y1111*(-PMT($J$110,tech_base!$F147,1))+1000*tech_proj!Y1391)/((1-tech_proj!Y551)*tech_proj!Y831*$L$110))</f>
        <v/>
      </c>
      <c r="Z771" s="69" t="str">
        <f>IF(tech_base!$T147&gt;Z$625,"",(1000*tech_proj!Z1111*(-PMT($J$110,tech_base!$F147,1))+1000*tech_proj!Z1391)/((1-tech_proj!Z551)*tech_proj!Z831*$L$110))</f>
        <v/>
      </c>
      <c r="AA771" s="69" t="str">
        <f>IF(tech_base!$T147&gt;AA$625,"",(1000*tech_proj!AA1111*(-PMT($J$110,tech_base!$F147,1))+1000*tech_proj!AA1391)/((1-tech_proj!AA551)*tech_proj!AA831*$L$110))</f>
        <v/>
      </c>
      <c r="AB771" s="69" t="str">
        <f>IF(tech_base!$T147&gt;AB$625,"",(1000*tech_proj!AB1111*(-PMT($J$110,tech_base!$F147,1))+1000*tech_proj!AB1391)/((1-tech_proj!AB551)*tech_proj!AB831*$L$110))</f>
        <v/>
      </c>
      <c r="AC771" s="69" t="str">
        <f>IF(tech_base!$T147&gt;AC$625,"",(1000*tech_proj!AC1111*(-PMT($J$110,tech_base!$F147,1))+1000*tech_proj!AC1391)/((1-tech_proj!AC551)*tech_proj!AC831*$L$110))</f>
        <v/>
      </c>
      <c r="AD771" s="69" t="str">
        <f>IF(tech_base!$T147&gt;AD$625,"",(1000*tech_proj!AD1111*(-PMT($J$110,tech_base!$F147,1))+1000*tech_proj!AD1391)/((1-tech_proj!AD551)*tech_proj!AD831*$L$110))</f>
        <v/>
      </c>
      <c r="AE771" s="69">
        <f>IF(tech_base!$T147&gt;AE$625,"",(1000*tech_proj!AE1111*(-PMT($J$110,tech_base!$F147,1))+1000*tech_proj!AE1391)/((1-tech_proj!AE551)*tech_proj!AE831*$L$110))</f>
        <v>75.675965103990009</v>
      </c>
      <c r="AF771" s="69">
        <f>IF(tech_base!$T147&gt;AF$625,"",(1000*tech_proj!AF1111*(-PMT($J$110,tech_base!$F147,1))+1000*tech_proj!AF1391)/((1-tech_proj!AF551)*tech_proj!AF831*$L$110))</f>
        <v>75.650716710583524</v>
      </c>
      <c r="AG771" s="69">
        <f>IF(tech_base!$T147&gt;AG$625,"",(1000*tech_proj!AG1111*(-PMT($J$110,tech_base!$F147,1))+1000*tech_proj!AG1391)/((1-tech_proj!AG551)*tech_proj!AG831*$L$110))</f>
        <v>75.618371398221655</v>
      </c>
      <c r="AH771" s="69">
        <f>IF(tech_base!$T147&gt;AH$625,"",(1000*tech_proj!AH1111*(-PMT($J$110,tech_base!$F147,1))+1000*tech_proj!AH1391)/((1-tech_proj!AH551)*tech_proj!AH831*$L$110))</f>
        <v>75.576961191585355</v>
      </c>
      <c r="AI771" s="69">
        <f>IF(tech_base!$T147&gt;AI$625,"",(1000*tech_proj!AI1111*(-PMT($J$110,tech_base!$F147,1))+1000*tech_proj!AI1391)/((1-tech_proj!AI551)*tech_proj!AI831*$L$110))</f>
        <v>75.523989628315078</v>
      </c>
      <c r="AJ771" s="69">
        <f>IF(tech_base!$T147&gt;AJ$625,"",(1000*tech_proj!AJ1111*(-PMT($J$110,tech_base!$F147,1))+1000*tech_proj!AJ1391)/((1-tech_proj!AJ551)*tech_proj!AJ831*$L$110))</f>
        <v>75.456300875686338</v>
      </c>
      <c r="AK771" s="69">
        <f>IF(tech_base!$T147&gt;AK$625,"",(1000*tech_proj!AK1111*(-PMT($J$110,tech_base!$F147,1))+1000*tech_proj!AK1391)/((1-tech_proj!AK551)*tech_proj!AK831*$L$110))</f>
        <v>75.369923547967204</v>
      </c>
      <c r="AL771" s="69">
        <f>IF(tech_base!$T147&gt;AL$625,"",(1000*tech_proj!AL1111*(-PMT($J$110,tech_base!$F147,1))+1000*tech_proj!AL1391)/((1-tech_proj!AL551)*tech_proj!AL831*$L$110))</f>
        <v>75.259889103614029</v>
      </c>
      <c r="AM771" s="69">
        <f>IF(tech_base!$T147&gt;AM$625,"",(1000*tech_proj!AM1111*(-PMT($J$110,tech_base!$F147,1))+1000*tech_proj!AM1391)/((1-tech_proj!AM551)*tech_proj!AM831*$L$110))</f>
        <v>75.12002857760784</v>
      </c>
      <c r="AN771" s="69">
        <f>IF(tech_base!$T147&gt;AN$625,"",(1000*tech_proj!AN1111*(-PMT($J$110,tech_base!$F147,1))+1000*tech_proj!AN1391)/((1-tech_proj!AN551)*tech_proj!AN831*$L$110))</f>
        <v>74.942758233169599</v>
      </c>
      <c r="AO771" s="69">
        <f>IF(tech_base!$T147&gt;AO$625,"",(1000*tech_proj!AO1111*(-PMT($J$110,tech_base!$F147,1))+1000*tech_proj!AO1391)/((1-tech_proj!AO551)*tech_proj!AO831*$L$110))</f>
        <v>74.718875879137599</v>
      </c>
      <c r="AP771" s="69">
        <f>IF(tech_base!$T147&gt;AP$625,"",(1000*tech_proj!AP1111*(-PMT($J$110,tech_base!$F147,1))+1000*tech_proj!AP1391)/((1-tech_proj!AP551)*tech_proj!AP831*$L$110))</f>
        <v>74.437406642427831</v>
      </c>
      <c r="AQ771" s="69">
        <f>IF(tech_base!$T147&gt;AQ$625,"",(1000*tech_proj!AQ1111*(-PMT($J$110,tech_base!$F147,1))+1000*tech_proj!AQ1391)/((1-tech_proj!AQ551)*tech_proj!AQ831*$L$110))</f>
        <v>74.085561116190718</v>
      </c>
      <c r="AR771" s="69">
        <f>IF(tech_base!$T147&gt;AR$625,"",(1000*tech_proj!AR1111*(-PMT($J$110,tech_base!$F147,1))+1000*tech_proj!AR1391)/((1-tech_proj!AR551)*tech_proj!AR831*$L$110))</f>
        <v>73.648899721548915</v>
      </c>
      <c r="AS771" s="69">
        <f>IF(tech_base!$T147&gt;AS$625,"",(1000*tech_proj!AS1111*(-PMT($J$110,tech_base!$F147,1))+1000*tech_proj!AS1391)/((1-tech_proj!AS551)*tech_proj!AS831*$L$110))</f>
        <v>73.111830830148861</v>
      </c>
      <c r="AT771" s="69">
        <f>IF(tech_base!$T147&gt;AT$625,"",(1000*tech_proj!AT1111*(-PMT($J$110,tech_base!$F147,1))+1000*tech_proj!AT1391)/((1-tech_proj!AT551)*tech_proj!AT831*$L$110))</f>
        <v>72.458595677641114</v>
      </c>
      <c r="AU771" s="69">
        <f>IF(tech_base!$T147&gt;AU$625,"",(1000*tech_proj!AU1111*(-PMT($J$110,tech_base!$F147,1))+1000*tech_proj!AU1391)/((1-tech_proj!AU551)*tech_proj!AU831*$L$110))</f>
        <v>71.674888611567951</v>
      </c>
      <c r="AV771" s="69">
        <f>IF(tech_base!$T147&gt;AV$625,"",(1000*tech_proj!AV1111*(-PMT($J$110,tech_base!$F147,1))+1000*tech_proj!AV1391)/((1-tech_proj!AV551)*tech_proj!AV831*$L$110))</f>
        <v>70.750193125652714</v>
      </c>
      <c r="AW771" s="69">
        <f>IF(tech_base!$T147&gt;AW$625,"",(1000*tech_proj!AW1111*(-PMT($J$110,tech_base!$F147,1))+1000*tech_proj!AW1391)/((1-tech_proj!AW551)*tech_proj!AW831*$L$110))</f>
        <v>69.680744379317574</v>
      </c>
      <c r="AX771" s="235">
        <f>IF(tech_base!$T147&gt;AX$625,"",(1000*tech_proj!AX1111*(-PMT($J$110,tech_base!$F147,1))+1000*tech_proj!AX1391)/((1-tech_proj!AX551)*tech_proj!AX831*$L$110))</f>
        <v>68.472739098054873</v>
      </c>
    </row>
    <row r="772" spans="1:50" x14ac:dyDescent="0.25">
      <c r="A772" s="356"/>
      <c r="B772" s="380"/>
      <c r="C772" s="381"/>
      <c r="D772" s="4" t="s">
        <v>8</v>
      </c>
      <c r="E772" s="168" t="str">
        <f>A765&amp;"/"&amp;B765&amp;"/"&amp;C771&amp;"/"&amp;D772</f>
        <v>Diesel oil fired power plants/Gas turbine combined cycle/CHP with CCS/M</v>
      </c>
      <c r="F772" s="80" t="str">
        <f>A765</f>
        <v>Diesel oil fired power plants</v>
      </c>
      <c r="G772" s="80" t="str">
        <f>B765</f>
        <v>Gas turbine combined cycle</v>
      </c>
      <c r="H772" s="80" t="str">
        <f>C771</f>
        <v>CHP with CCS</v>
      </c>
      <c r="I772" s="169" t="str">
        <f t="shared" si="364"/>
        <v>M</v>
      </c>
      <c r="J772" s="73" t="str">
        <f>IF(tech_base!$T148&gt;J$625,"",(1000*tech_proj!J1112*(-PMT($J$110,tech_base!$F148,1))+1000*tech_proj!J1392)/((1-tech_proj!J552)*tech_proj!J832*$L$110))</f>
        <v/>
      </c>
      <c r="K772" s="73" t="str">
        <f>IF(tech_base!$T148&gt;K$625,"",(1000*tech_proj!K1112*(-PMT($J$110,tech_base!$F148,1))+1000*tech_proj!K1392)/((1-tech_proj!K552)*tech_proj!K832*$L$110))</f>
        <v/>
      </c>
      <c r="L772" s="73" t="str">
        <f>IF(tech_base!$T148&gt;L$625,"",(1000*tech_proj!L1112*(-PMT($J$110,tech_base!$F148,1))+1000*tech_proj!L1392)/((1-tech_proj!L552)*tech_proj!L832*$L$110))</f>
        <v/>
      </c>
      <c r="M772" s="73" t="str">
        <f>IF(tech_base!$T148&gt;M$625,"",(1000*tech_proj!M1112*(-PMT($J$110,tech_base!$F148,1))+1000*tech_proj!M1392)/((1-tech_proj!M552)*tech_proj!M832*$L$110))</f>
        <v/>
      </c>
      <c r="N772" s="73" t="str">
        <f>IF(tech_base!$T148&gt;N$625,"",(1000*tech_proj!N1112*(-PMT($J$110,tech_base!$F148,1))+1000*tech_proj!N1392)/((1-tech_proj!N552)*tech_proj!N832*$L$110))</f>
        <v/>
      </c>
      <c r="O772" s="73" t="str">
        <f>IF(tech_base!$T148&gt;O$625,"",(1000*tech_proj!O1112*(-PMT($J$110,tech_base!$F148,1))+1000*tech_proj!O1392)/((1-tech_proj!O552)*tech_proj!O832*$L$110))</f>
        <v/>
      </c>
      <c r="P772" s="73" t="str">
        <f>IF(tech_base!$T148&gt;P$625,"",(1000*tech_proj!P1112*(-PMT($J$110,tech_base!$F148,1))+1000*tech_proj!P1392)/((1-tech_proj!P552)*tech_proj!P832*$L$110))</f>
        <v/>
      </c>
      <c r="Q772" s="73" t="str">
        <f>IF(tech_base!$T148&gt;Q$625,"",(1000*tech_proj!Q1112*(-PMT($J$110,tech_base!$F148,1))+1000*tech_proj!Q1392)/((1-tech_proj!Q552)*tech_proj!Q832*$L$110))</f>
        <v/>
      </c>
      <c r="R772" s="73" t="str">
        <f>IF(tech_base!$T148&gt;R$625,"",(1000*tech_proj!R1112*(-PMT($J$110,tech_base!$F148,1))+1000*tech_proj!R1392)/((1-tech_proj!R552)*tech_proj!R832*$L$110))</f>
        <v/>
      </c>
      <c r="S772" s="73" t="str">
        <f>IF(tech_base!$T148&gt;S$625,"",(1000*tech_proj!S1112*(-PMT($J$110,tech_base!$F148,1))+1000*tech_proj!S1392)/((1-tech_proj!S552)*tech_proj!S832*$L$110))</f>
        <v/>
      </c>
      <c r="T772" s="73" t="str">
        <f>IF(tech_base!$T148&gt;T$625,"",(1000*tech_proj!T1112*(-PMT($J$110,tech_base!$F148,1))+1000*tech_proj!T1392)/((1-tech_proj!T552)*tech_proj!T832*$L$110))</f>
        <v/>
      </c>
      <c r="U772" s="73" t="str">
        <f>IF(tech_base!$T148&gt;U$625,"",(1000*tech_proj!U1112*(-PMT($J$110,tech_base!$F148,1))+1000*tech_proj!U1392)/((1-tech_proj!U552)*tech_proj!U832*$L$110))</f>
        <v/>
      </c>
      <c r="V772" s="73" t="str">
        <f>IF(tech_base!$T148&gt;V$625,"",(1000*tech_proj!V1112*(-PMT($J$110,tech_base!$F148,1))+1000*tech_proj!V1392)/((1-tech_proj!V552)*tech_proj!V832*$L$110))</f>
        <v/>
      </c>
      <c r="W772" s="73" t="str">
        <f>IF(tech_base!$T148&gt;W$625,"",(1000*tech_proj!W1112*(-PMT($J$110,tech_base!$F148,1))+1000*tech_proj!W1392)/((1-tech_proj!W552)*tech_proj!W832*$L$110))</f>
        <v/>
      </c>
      <c r="X772" s="73" t="str">
        <f>IF(tech_base!$T148&gt;X$625,"",(1000*tech_proj!X1112*(-PMT($J$110,tech_base!$F148,1))+1000*tech_proj!X1392)/((1-tech_proj!X552)*tech_proj!X832*$L$110))</f>
        <v/>
      </c>
      <c r="Y772" s="73" t="str">
        <f>IF(tech_base!$T148&gt;Y$625,"",(1000*tech_proj!Y1112*(-PMT($J$110,tech_base!$F148,1))+1000*tech_proj!Y1392)/((1-tech_proj!Y552)*tech_proj!Y832*$L$110))</f>
        <v/>
      </c>
      <c r="Z772" s="73" t="str">
        <f>IF(tech_base!$T148&gt;Z$625,"",(1000*tech_proj!Z1112*(-PMT($J$110,tech_base!$F148,1))+1000*tech_proj!Z1392)/((1-tech_proj!Z552)*tech_proj!Z832*$L$110))</f>
        <v/>
      </c>
      <c r="AA772" s="73" t="str">
        <f>IF(tech_base!$T148&gt;AA$625,"",(1000*tech_proj!AA1112*(-PMT($J$110,tech_base!$F148,1))+1000*tech_proj!AA1392)/((1-tech_proj!AA552)*tech_proj!AA832*$L$110))</f>
        <v/>
      </c>
      <c r="AB772" s="73" t="str">
        <f>IF(tech_base!$T148&gt;AB$625,"",(1000*tech_proj!AB1112*(-PMT($J$110,tech_base!$F148,1))+1000*tech_proj!AB1392)/((1-tech_proj!AB552)*tech_proj!AB832*$L$110))</f>
        <v/>
      </c>
      <c r="AC772" s="73" t="str">
        <f>IF(tech_base!$T148&gt;AC$625,"",(1000*tech_proj!AC1112*(-PMT($J$110,tech_base!$F148,1))+1000*tech_proj!AC1392)/((1-tech_proj!AC552)*tech_proj!AC832*$L$110))</f>
        <v/>
      </c>
      <c r="AD772" s="73" t="str">
        <f>IF(tech_base!$T148&gt;AD$625,"",(1000*tech_proj!AD1112*(-PMT($J$110,tech_base!$F148,1))+1000*tech_proj!AD1392)/((1-tech_proj!AD552)*tech_proj!AD832*$L$110))</f>
        <v/>
      </c>
      <c r="AE772" s="73">
        <f>IF(tech_base!$T148&gt;AE$625,"",(1000*tech_proj!AE1112*(-PMT($J$110,tech_base!$F148,1))+1000*tech_proj!AE1392)/((1-tech_proj!AE552)*tech_proj!AE832*$L$110))</f>
        <v>81.326397707645413</v>
      </c>
      <c r="AF772" s="73">
        <f>IF(tech_base!$T148&gt;AF$625,"",(1000*tech_proj!AF1112*(-PMT($J$110,tech_base!$F148,1))+1000*tech_proj!AF1392)/((1-tech_proj!AF552)*tech_proj!AF832*$L$110))</f>
        <v>81.301733436301049</v>
      </c>
      <c r="AG772" s="73">
        <f>IF(tech_base!$T148&gt;AG$625,"",(1000*tech_proj!AG1112*(-PMT($J$110,tech_base!$F148,1))+1000*tech_proj!AG1392)/((1-tech_proj!AG552)*tech_proj!AG832*$L$110))</f>
        <v>81.270136433356441</v>
      </c>
      <c r="AH772" s="73">
        <f>IF(tech_base!$T148&gt;AH$625,"",(1000*tech_proj!AH1112*(-PMT($J$110,tech_base!$F148,1))+1000*tech_proj!AH1392)/((1-tech_proj!AH552)*tech_proj!AH832*$L$110))</f>
        <v>81.229684252639018</v>
      </c>
      <c r="AI772" s="73">
        <f>IF(tech_base!$T148&gt;AI$625,"",(1000*tech_proj!AI1112*(-PMT($J$110,tech_base!$F148,1))+1000*tech_proj!AI1392)/((1-tech_proj!AI552)*tech_proj!AI832*$L$110))</f>
        <v>81.177938187493424</v>
      </c>
      <c r="AJ772" s="73">
        <f>IF(tech_base!$T148&gt;AJ$625,"",(1000*tech_proj!AJ1112*(-PMT($J$110,tech_base!$F148,1))+1000*tech_proj!AJ1392)/((1-tech_proj!AJ552)*tech_proj!AJ832*$L$110))</f>
        <v>81.111815415445363</v>
      </c>
      <c r="AK772" s="73">
        <f>IF(tech_base!$T148&gt;AK$625,"",(1000*tech_proj!AK1112*(-PMT($J$110,tech_base!$F148,1))+1000*tech_proj!AK1392)/((1-tech_proj!AK552)*tech_proj!AK832*$L$110))</f>
        <v>81.027436428847423</v>
      </c>
      <c r="AL772" s="73">
        <f>IF(tech_base!$T148&gt;AL$625,"",(1000*tech_proj!AL1112*(-PMT($J$110,tech_base!$F148,1))+1000*tech_proj!AL1392)/((1-tech_proj!AL552)*tech_proj!AL832*$L$110))</f>
        <v>80.919947633459103</v>
      </c>
      <c r="AM772" s="73">
        <f>IF(tech_base!$T148&gt;AM$625,"",(1000*tech_proj!AM1112*(-PMT($J$110,tech_base!$F148,1))+1000*tech_proj!AM1392)/((1-tech_proj!AM552)*tech_proj!AM832*$L$110))</f>
        <v>80.783322783384662</v>
      </c>
      <c r="AN772" s="73">
        <f>IF(tech_base!$T148&gt;AN$625,"",(1000*tech_proj!AN1112*(-PMT($J$110,tech_base!$F148,1))+1000*tech_proj!AN1392)/((1-tech_proj!AN552)*tech_proj!AN832*$L$110))</f>
        <v>80.610153591739731</v>
      </c>
      <c r="AO772" s="73">
        <f>IF(tech_base!$T148&gt;AO$625,"",(1000*tech_proj!AO1112*(-PMT($J$110,tech_base!$F148,1))+1000*tech_proj!AO1392)/((1-tech_proj!AO552)*tech_proj!AO832*$L$110))</f>
        <v>80.39145076023037</v>
      </c>
      <c r="AP772" s="73">
        <f>IF(tech_base!$T148&gt;AP$625,"",(1000*tech_proj!AP1112*(-PMT($J$110,tech_base!$F148,1))+1000*tech_proj!AP1392)/((1-tech_proj!AP552)*tech_proj!AP832*$L$110))</f>
        <v>80.116493319670326</v>
      </c>
      <c r="AQ772" s="73">
        <f>IF(tech_base!$T148&gt;AQ$625,"",(1000*tech_proj!AQ1112*(-PMT($J$110,tech_base!$F148,1))+1000*tech_proj!AQ1392)/((1-tech_proj!AQ552)*tech_proj!AQ832*$L$110))</f>
        <v>79.772787746380914</v>
      </c>
      <c r="AR772" s="73">
        <f>IF(tech_base!$T148&gt;AR$625,"",(1000*tech_proj!AR1112*(-PMT($J$110,tech_base!$F148,1))+1000*tech_proj!AR1392)/((1-tech_proj!AR552)*tech_proj!AR832*$L$110))</f>
        <v>79.346228521417004</v>
      </c>
      <c r="AS772" s="73">
        <f>IF(tech_base!$T148&gt;AS$625,"",(1000*tech_proj!AS1112*(-PMT($J$110,tech_base!$F148,1))+1000*tech_proj!AS1392)/((1-tech_proj!AS552)*tech_proj!AS832*$L$110))</f>
        <v>78.821584729043849</v>
      </c>
      <c r="AT772" s="73">
        <f>IF(tech_base!$T148&gt;AT$625,"",(1000*tech_proj!AT1112*(-PMT($J$110,tech_base!$F148,1))+1000*tech_proj!AT1392)/((1-tech_proj!AT552)*tech_proj!AT832*$L$110))</f>
        <v>78.183462184225235</v>
      </c>
      <c r="AU772" s="73">
        <f>IF(tech_base!$T148&gt;AU$625,"",(1000*tech_proj!AU1112*(-PMT($J$110,tech_base!$F148,1))+1000*tech_proj!AU1392)/((1-tech_proj!AU552)*tech_proj!AU832*$L$110))</f>
        <v>77.417886196045373</v>
      </c>
      <c r="AV772" s="73">
        <f>IF(tech_base!$T148&gt;AV$625,"",(1000*tech_proj!AV1112*(-PMT($J$110,tech_base!$F148,1))+1000*tech_proj!AV1392)/((1-tech_proj!AV552)*tech_proj!AV832*$L$110))</f>
        <v>76.514583557800506</v>
      </c>
      <c r="AW772" s="73">
        <f>IF(tech_base!$T148&gt;AW$625,"",(1000*tech_proj!AW1112*(-PMT($J$110,tech_base!$F148,1))+1000*tech_proj!AW1392)/((1-tech_proj!AW552)*tech_proj!AW832*$L$110))</f>
        <v>75.469876528571277</v>
      </c>
      <c r="AX772" s="239">
        <f>IF(tech_base!$T148&gt;AX$625,"",(1000*tech_proj!AX1112*(-PMT($J$110,tech_base!$F148,1))+1000*tech_proj!AX1392)/((1-tech_proj!AX552)*tech_proj!AX832*$L$110))</f>
        <v>74.289818472487781</v>
      </c>
    </row>
    <row r="773" spans="1:50" x14ac:dyDescent="0.25">
      <c r="A773" s="356"/>
      <c r="B773" s="358" t="s">
        <v>24</v>
      </c>
      <c r="C773" s="353" t="s">
        <v>6</v>
      </c>
      <c r="D773" s="3" t="s">
        <v>7</v>
      </c>
      <c r="E773" s="162" t="str">
        <f>A765&amp;"/"&amp;B773&amp;"/"&amp;C773&amp;"/"&amp;D773</f>
        <v>Diesel oil fired power plants/Gas turbine /Electricity only/L</v>
      </c>
      <c r="F773" s="77" t="str">
        <f>A765</f>
        <v>Diesel oil fired power plants</v>
      </c>
      <c r="G773" s="77" t="str">
        <f>B773</f>
        <v xml:space="preserve">Gas turbine </v>
      </c>
      <c r="H773" s="77" t="str">
        <f>C773</f>
        <v>Electricity only</v>
      </c>
      <c r="I773" s="163" t="str">
        <f t="shared" si="364"/>
        <v>L</v>
      </c>
      <c r="J773" s="70">
        <f>IF(tech_base!$T149&gt;J$625,"",(1000*tech_proj!J1113*(-PMT($J$110,tech_base!$F149,1))+1000*tech_proj!J1393)/((1-tech_proj!J553)*tech_proj!J833*$L$110))</f>
        <v>17.741550674381951</v>
      </c>
      <c r="K773" s="70">
        <f>IF(tech_base!$T149&gt;K$625,"",(1000*tech_proj!K1113*(-PMT($J$110,tech_base!$F149,1))+1000*tech_proj!K1393)/((1-tech_proj!K553)*tech_proj!K833*$L$110))</f>
        <v>17.738554734469503</v>
      </c>
      <c r="L773" s="70">
        <f>IF(tech_base!$T149&gt;L$625,"",(1000*tech_proj!L1113*(-PMT($J$110,tech_base!$F149,1))+1000*tech_proj!L1393)/((1-tech_proj!L553)*tech_proj!L833*$L$110))</f>
        <v>17.735264831957764</v>
      </c>
      <c r="M773" s="70">
        <f>IF(tech_base!$T149&gt;M$625,"",(1000*tech_proj!M1113*(-PMT($J$110,tech_base!$F149,1))+1000*tech_proj!M1393)/((1-tech_proj!M553)*tech_proj!M833*$L$110))</f>
        <v>17.731654477625092</v>
      </c>
      <c r="N773" s="70">
        <f>IF(tech_base!$T149&gt;N$625,"",(1000*tech_proj!N1113*(-PMT($J$110,tech_base!$F149,1))+1000*tech_proj!N1393)/((1-tech_proj!N553)*tech_proj!N833*$L$110))</f>
        <v>17.727695293668919</v>
      </c>
      <c r="O773" s="70">
        <f>IF(tech_base!$T149&gt;O$625,"",(1000*tech_proj!O1113*(-PMT($J$110,tech_base!$F149,1))+1000*tech_proj!O1393)/((1-tech_proj!O553)*tech_proj!O833*$L$110))</f>
        <v>17.72335698684946</v>
      </c>
      <c r="P773" s="70">
        <f>IF(tech_base!$T149&gt;P$625,"",(1000*tech_proj!P1113*(-PMT($J$110,tech_base!$F149,1))+1000*tech_proj!P1393)/((1-tech_proj!P553)*tech_proj!P833*$L$110))</f>
        <v>17.71860734838333</v>
      </c>
      <c r="Q773" s="70">
        <f>IF(tech_base!$T149&gt;Q$625,"",(1000*tech_proj!Q1113*(-PMT($J$110,tech_base!$F149,1))+1000*tech_proj!Q1393)/((1-tech_proj!Q553)*tech_proj!Q833*$L$110))</f>
        <v>17.713412287417604</v>
      </c>
      <c r="R773" s="70">
        <f>IF(tech_base!$T149&gt;R$625,"",(1000*tech_proj!R1113*(-PMT($J$110,tech_base!$F149,1))+1000*tech_proj!R1393)/((1-tech_proj!R553)*tech_proj!R833*$L$110))</f>
        <v>17.707735905822112</v>
      </c>
      <c r="S773" s="70">
        <f>IF(tech_base!$T149&gt;S$625,"",(1000*tech_proj!S1113*(-PMT($J$110,tech_base!$F149,1))+1000*tech_proj!S1393)/((1-tech_proj!S553)*tech_proj!S833*$L$110))</f>
        <v>17.701540622913946</v>
      </c>
      <c r="T773" s="70">
        <f>IF(tech_base!$T149&gt;T$625,"",(1000*tech_proj!T1113*(-PMT($J$110,tech_base!$F149,1))+1000*tech_proj!T1393)/((1-tech_proj!T553)*tech_proj!T833*$L$110))</f>
        <v>17.694787359511913</v>
      </c>
      <c r="U773" s="70">
        <f>IF(tech_base!$T149&gt;U$625,"",(1000*tech_proj!U1113*(-PMT($J$110,tech_base!$F149,1))+1000*tech_proj!U1393)/((1-tech_proj!U553)*tech_proj!U833*$L$110))</f>
        <v>17.687435791329904</v>
      </c>
      <c r="V773" s="70">
        <f>IF(tech_base!$T149&gt;V$625,"",(1000*tech_proj!V1113*(-PMT($J$110,tech_base!$F149,1))+1000*tech_proj!V1393)/((1-tech_proj!V553)*tech_proj!V833*$L$110))</f>
        <v>17.679444682055795</v>
      </c>
      <c r="W773" s="70">
        <f>IF(tech_base!$T149&gt;W$625,"",(1000*tech_proj!W1113*(-PMT($J$110,tech_base!$F149,1))+1000*tech_proj!W1393)/((1-tech_proj!W553)*tech_proj!W833*$L$110))</f>
        <v>17.670772306401378</v>
      </c>
      <c r="X773" s="70">
        <f>IF(tech_base!$T149&gt;X$625,"",(1000*tech_proj!X1113*(-PMT($J$110,tech_base!$F149,1))+1000*tech_proj!X1393)/((1-tech_proj!X553)*tech_proj!X833*$L$110))</f>
        <v>17.661376972805446</v>
      </c>
      <c r="Y773" s="70">
        <f>IF(tech_base!$T149&gt;Y$625,"",(1000*tech_proj!Y1113*(-PMT($J$110,tech_base!$F149,1))+1000*tech_proj!Y1393)/((1-tech_proj!Y553)*tech_proj!Y833*$L$110))</f>
        <v>17.651217654162572</v>
      </c>
      <c r="Z773" s="70">
        <f>IF(tech_base!$T149&gt;Z$625,"",(1000*tech_proj!Z1113*(-PMT($J$110,tech_base!$F149,1))+1000*tech_proj!Z1393)/((1-tech_proj!Z553)*tech_proj!Z833*$L$110))</f>
        <v>17.640254732763779</v>
      </c>
      <c r="AA773" s="70">
        <f>IF(tech_base!$T149&gt;AA$625,"",(1000*tech_proj!AA1113*(-PMT($J$110,tech_base!$F149,1))+1000*tech_proj!AA1393)/((1-tech_proj!AA553)*tech_proj!AA833*$L$110))</f>
        <v>17.628450862403543</v>
      </c>
      <c r="AB773" s="70">
        <f>IF(tech_base!$T149&gt;AB$625,"",(1000*tech_proj!AB1113*(-PMT($J$110,tech_base!$F149,1))+1000*tech_proj!AB1393)/((1-tech_proj!AB553)*tech_proj!AB833*$L$110))</f>
        <v>17.615771946186495</v>
      </c>
      <c r="AC773" s="70">
        <f>IF(tech_base!$T149&gt;AC$625,"",(1000*tech_proj!AC1113*(-PMT($J$110,tech_base!$F149,1))+1000*tech_proj!AC1393)/((1-tech_proj!AC553)*tech_proj!AC833*$L$110))</f>
        <v>17.60218822285934</v>
      </c>
      <c r="AD773" s="70">
        <f>IF(tech_base!$T149&gt;AD$625,"",(1000*tech_proj!AD1113*(-PMT($J$110,tech_base!$F149,1))+1000*tech_proj!AD1393)/((1-tech_proj!AD553)*tech_proj!AD833*$L$110))</f>
        <v>17.587675447484283</v>
      </c>
      <c r="AE773" s="70">
        <f>IF(tech_base!$T149&gt;AE$625,"",(1000*tech_proj!AE1113*(-PMT($J$110,tech_base!$F149,1))+1000*tech_proj!AE1393)/((1-tech_proj!AE553)*tech_proj!AE833*$L$110))</f>
        <v>17.572216144058238</v>
      </c>
      <c r="AF773" s="70">
        <f>IF(tech_base!$T149&gt;AF$625,"",(1000*tech_proj!AF1113*(-PMT($J$110,tech_base!$F149,1))+1000*tech_proj!AF1393)/((1-tech_proj!AF553)*tech_proj!AF833*$L$110))</f>
        <v>17.555800898521653</v>
      </c>
      <c r="AG773" s="70">
        <f>IF(tech_base!$T149&gt;AG$625,"",(1000*tech_proj!AG1113*(-PMT($J$110,tech_base!$F149,1))+1000*tech_proj!AG1393)/((1-tech_proj!AG553)*tech_proj!AG833*$L$110))</f>
        <v>17.538429650928425</v>
      </c>
      <c r="AH773" s="70">
        <f>IF(tech_base!$T149&gt;AH$625,"",(1000*tech_proj!AH1113*(-PMT($J$110,tech_base!$F149,1))+1000*tech_proj!AH1393)/((1-tech_proj!AH553)*tech_proj!AH833*$L$110))</f>
        <v>17.520112936007084</v>
      </c>
      <c r="AI773" s="70">
        <f>IF(tech_base!$T149&gt;AI$625,"",(1000*tech_proj!AI1113*(-PMT($J$110,tech_base!$F149,1))+1000*tech_proj!AI1393)/((1-tech_proj!AI553)*tech_proj!AI833*$L$110))</f>
        <v>17.500873012777511</v>
      </c>
      <c r="AJ773" s="70">
        <f>IF(tech_base!$T149&gt;AJ$625,"",(1000*tech_proj!AJ1113*(-PMT($J$110,tech_base!$F149,1))+1000*tech_proj!AJ1393)/((1-tech_proj!AJ553)*tech_proj!AJ833*$L$110))</f>
        <v>17.480744817311972</v>
      </c>
      <c r="AK773" s="70">
        <f>IF(tech_base!$T149&gt;AK$625,"",(1000*tech_proj!AK1113*(-PMT($J$110,tech_base!$F149,1))+1000*tech_proj!AK1393)/((1-tech_proj!AK553)*tech_proj!AK833*$L$110))</f>
        <v>17.459776669258726</v>
      </c>
      <c r="AL773" s="70">
        <f>IF(tech_base!$T149&gt;AL$625,"",(1000*tech_proj!AL1113*(-PMT($J$110,tech_base!$F149,1))+1000*tech_proj!AL1393)/((1-tech_proj!AL553)*tech_proj!AL833*$L$110))</f>
        <v>17.438030663481975</v>
      </c>
      <c r="AM773" s="70">
        <f>IF(tech_base!$T149&gt;AM$625,"",(1000*tech_proj!AM1113*(-PMT($J$110,tech_base!$F149,1))+1000*tech_proj!AM1393)/((1-tech_proj!AM553)*tech_proj!AM833*$L$110))</f>
        <v>17.415582684054094</v>
      </c>
      <c r="AN773" s="70">
        <f>IF(tech_base!$T149&gt;AN$625,"",(1000*tech_proj!AN1113*(-PMT($J$110,tech_base!$F149,1))+1000*tech_proj!AN1393)/((1-tech_proj!AN553)*tech_proj!AN833*$L$110))</f>
        <v>17.392521989468548</v>
      </c>
      <c r="AO773" s="70">
        <f>IF(tech_base!$T149&gt;AO$625,"",(1000*tech_proj!AO1113*(-PMT($J$110,tech_base!$F149,1))+1000*tech_proj!AO1393)/((1-tech_proj!AO553)*tech_proj!AO833*$L$110))</f>
        <v>17.368950335423904</v>
      </c>
      <c r="AP773" s="70">
        <f>IF(tech_base!$T149&gt;AP$625,"",(1000*tech_proj!AP1113*(-PMT($J$110,tech_base!$F149,1))+1000*tech_proj!AP1393)/((1-tech_proj!AP553)*tech_proj!AP833*$L$110))</f>
        <v>17.344980624310583</v>
      </c>
      <c r="AQ773" s="70">
        <f>IF(tech_base!$T149&gt;AQ$625,"",(1000*tech_proj!AQ1113*(-PMT($J$110,tech_base!$F149,1))+1000*tech_proj!AQ1393)/((1-tech_proj!AQ553)*tech_proj!AQ833*$L$110))</f>
        <v>17.320735097348877</v>
      </c>
      <c r="AR773" s="70">
        <f>IF(tech_base!$T149&gt;AR$625,"",(1000*tech_proj!AR1113*(-PMT($J$110,tech_base!$F149,1))+1000*tech_proj!AR1393)/((1-tech_proj!AR553)*tech_proj!AR833*$L$110))</f>
        <v>17.296343114224722</v>
      </c>
      <c r="AS773" s="70">
        <f>IF(tech_base!$T149&gt;AS$625,"",(1000*tech_proj!AS1113*(-PMT($J$110,tech_base!$F149,1))+1000*tech_proj!AS1393)/((1-tech_proj!AS553)*tech_proj!AS833*$L$110))</f>
        <v>17.271938593560119</v>
      </c>
      <c r="AT773" s="70">
        <f>IF(tech_base!$T149&gt;AT$625,"",(1000*tech_proj!AT1113*(-PMT($J$110,tech_base!$F149,1))+1000*tech_proj!AT1393)/((1-tech_proj!AT553)*tech_proj!AT833*$L$110))</f>
        <v>17.247657212870848</v>
      </c>
      <c r="AU773" s="70">
        <f>IF(tech_base!$T149&gt;AU$625,"",(1000*tech_proj!AU1113*(-PMT($J$110,tech_base!$F149,1))+1000*tech_proj!AU1393)/((1-tech_proj!AU553)*tech_proj!AU833*$L$110))</f>
        <v>17.223633486115915</v>
      </c>
      <c r="AV773" s="70">
        <f>IF(tech_base!$T149&gt;AV$625,"",(1000*tech_proj!AV1113*(-PMT($J$110,tech_base!$F149,1))+1000*tech_proj!AV1393)/((1-tech_proj!AV553)*tech_proj!AV833*$L$110))</f>
        <v>17.199997848294814</v>
      </c>
      <c r="AW773" s="70">
        <f>IF(tech_base!$T149&gt;AW$625,"",(1000*tech_proj!AW1113*(-PMT($J$110,tech_base!$F149,1))+1000*tech_proj!AW1393)/((1-tech_proj!AW553)*tech_proj!AW833*$L$110))</f>
        <v>17.176873878365768</v>
      </c>
      <c r="AX773" s="236">
        <f>IF(tech_base!$T149&gt;AX$625,"",(1000*tech_proj!AX1113*(-PMT($J$110,tech_base!$F149,1))+1000*tech_proj!AX1393)/((1-tech_proj!AX553)*tech_proj!AX833*$L$110))</f>
        <v>17.154375783645641</v>
      </c>
    </row>
    <row r="774" spans="1:50" x14ac:dyDescent="0.25">
      <c r="A774" s="356"/>
      <c r="B774" s="376"/>
      <c r="C774" s="350"/>
      <c r="D774" s="2" t="s">
        <v>8</v>
      </c>
      <c r="E774" s="160" t="str">
        <f>A765&amp;"/"&amp;B773&amp;"/"&amp;C773&amp;"/"&amp;D774</f>
        <v>Diesel oil fired power plants/Gas turbine /Electricity only/M</v>
      </c>
      <c r="F774" s="76" t="str">
        <f>A765</f>
        <v>Diesel oil fired power plants</v>
      </c>
      <c r="G774" s="76" t="str">
        <f>B773</f>
        <v xml:space="preserve">Gas turbine </v>
      </c>
      <c r="H774" s="76" t="str">
        <f>C773</f>
        <v>Electricity only</v>
      </c>
      <c r="I774" s="161" t="str">
        <f t="shared" si="364"/>
        <v>M</v>
      </c>
      <c r="J774" s="69">
        <f>IF(tech_base!$T150&gt;J$625,"",(1000*tech_proj!J1114*(-PMT($J$110,tech_base!$F150,1))+1000*tech_proj!J1394)/((1-tech_proj!J554)*tech_proj!J834*$L$110))</f>
        <v>18.567647631934392</v>
      </c>
      <c r="K774" s="69">
        <f>IF(tech_base!$T150&gt;K$625,"",(1000*tech_proj!K1114*(-PMT($J$110,tech_base!$F150,1))+1000*tech_proj!K1394)/((1-tech_proj!K554)*tech_proj!K834*$L$110))</f>
        <v>18.564483551339947</v>
      </c>
      <c r="L774" s="69">
        <f>IF(tech_base!$T150&gt;L$625,"",(1000*tech_proj!L1114*(-PMT($J$110,tech_base!$F150,1))+1000*tech_proj!L1394)/((1-tech_proj!L554)*tech_proj!L834*$L$110))</f>
        <v>18.561007970368866</v>
      </c>
      <c r="M774" s="69">
        <f>IF(tech_base!$T150&gt;M$625,"",(1000*tech_proj!M1114*(-PMT($J$110,tech_base!$F150,1))+1000*tech_proj!M1394)/((1-tech_proj!M554)*tech_proj!M834*$L$110))</f>
        <v>18.557192602928723</v>
      </c>
      <c r="N774" s="69">
        <f>IF(tech_base!$T150&gt;N$625,"",(1000*tech_proj!N1114*(-PMT($J$110,tech_base!$F150,1))+1000*tech_proj!N1394)/((1-tech_proj!N554)*tech_proj!N834*$L$110))</f>
        <v>18.553007100660857</v>
      </c>
      <c r="O774" s="69">
        <f>IF(tech_base!$T150&gt;O$625,"",(1000*tech_proj!O1114*(-PMT($J$110,tech_base!$F150,1))+1000*tech_proj!O1394)/((1-tech_proj!O554)*tech_proj!O834*$L$110))</f>
        <v>18.548419012593101</v>
      </c>
      <c r="P774" s="69">
        <f>IF(tech_base!$T150&gt;P$625,"",(1000*tech_proj!P1114*(-PMT($J$110,tech_base!$F150,1))+1000*tech_proj!P1394)/((1-tech_proj!P554)*tech_proj!P834*$L$110))</f>
        <v>18.543393771546761</v>
      </c>
      <c r="Q774" s="69">
        <f>IF(tech_base!$T150&gt;Q$625,"",(1000*tech_proj!Q1114*(-PMT($J$110,tech_base!$F150,1))+1000*tech_proj!Q1394)/((1-tech_proj!Q554)*tech_proj!Q834*$L$110))</f>
        <v>18.53789471452129</v>
      </c>
      <c r="R774" s="69">
        <f>IF(tech_base!$T150&gt;R$625,"",(1000*tech_proj!R1114*(-PMT($J$110,tech_base!$F150,1))+1000*tech_proj!R1394)/((1-tech_proj!R554)*tech_proj!R834*$L$110))</f>
        <v>18.531883145322492</v>
      </c>
      <c r="S774" s="69">
        <f>IF(tech_base!$T150&gt;S$625,"",(1000*tech_proj!S1114*(-PMT($J$110,tech_base!$F150,1))+1000*tech_proj!S1394)/((1-tech_proj!S554)*tech_proj!S834*$L$110))</f>
        <v>18.525318448742095</v>
      </c>
      <c r="T774" s="69">
        <f>IF(tech_base!$T150&gt;T$625,"",(1000*tech_proj!T1114*(-PMT($J$110,tech_base!$F150,1))+1000*tech_proj!T1394)/((1-tech_proj!T554)*tech_proj!T834*$L$110))</f>
        <v>18.518158266578542</v>
      </c>
      <c r="U774" s="69">
        <f>IF(tech_base!$T150&gt;U$625,"",(1000*tech_proj!U1114*(-PMT($J$110,tech_base!$F150,1))+1000*tech_proj!U1394)/((1-tech_proj!U554)*tech_proj!U834*$L$110))</f>
        <v>18.510358746634576</v>
      </c>
      <c r="V774" s="69">
        <f>IF(tech_base!$T150&gt;V$625,"",(1000*tech_proj!V1114*(-PMT($J$110,tech_base!$F150,1))+1000*tech_proj!V1394)/((1-tech_proj!V554)*tech_proj!V834*$L$110))</f>
        <v>18.501874876431266</v>
      </c>
      <c r="W774" s="69">
        <f>IF(tech_base!$T150&gt;W$625,"",(1000*tech_proj!W1114*(-PMT($J$110,tech_base!$F150,1))+1000*tech_proj!W1394)/((1-tech_proj!W554)*tech_proj!W834*$L$110))</f>
        <v>18.492660913614841</v>
      </c>
      <c r="X774" s="69">
        <f>IF(tech_base!$T150&gt;X$625,"",(1000*tech_proj!X1114*(-PMT($J$110,tech_base!$F150,1))+1000*tech_proj!X1394)/((1-tech_proj!X554)*tech_proj!X834*$L$110))</f>
        <v>18.482670924744077</v>
      </c>
      <c r="Y774" s="69">
        <f>IF(tech_base!$T150&gt;Y$625,"",(1000*tech_proj!Y1114*(-PMT($J$110,tech_base!$F150,1))+1000*tech_proj!Y1394)/((1-tech_proj!Y554)*tech_proj!Y834*$L$110))</f>
        <v>18.471859443153889</v>
      </c>
      <c r="Z774" s="69">
        <f>IF(tech_base!$T150&gt;Z$625,"",(1000*tech_proj!Z1114*(-PMT($J$110,tech_base!$F150,1))+1000*tech_proj!Z1394)/((1-tech_proj!Z554)*tech_proj!Z834*$L$110))</f>
        <v>18.460182254694889</v>
      </c>
      <c r="AA774" s="69">
        <f>IF(tech_base!$T150&gt;AA$625,"",(1000*tech_proj!AA1114*(-PMT($J$110,tech_base!$F150,1))+1000*tech_proj!AA1394)/((1-tech_proj!AA554)*tech_proj!AA834*$L$110))</f>
        <v>18.447597317142677</v>
      </c>
      <c r="AB774" s="69">
        <f>IF(tech_base!$T150&gt;AB$625,"",(1000*tech_proj!AB1114*(-PMT($J$110,tech_base!$F150,1))+1000*tech_proj!AB1394)/((1-tech_proj!AB554)*tech_proj!AB834*$L$110))</f>
        <v>18.434065814757489</v>
      </c>
      <c r="AC774" s="69">
        <f>IF(tech_base!$T150&gt;AC$625,"",(1000*tech_proj!AC1114*(-PMT($J$110,tech_base!$F150,1))+1000*tech_proj!AC1394)/((1-tech_proj!AC554)*tech_proj!AC834*$L$110))</f>
        <v>18.419553343692172</v>
      </c>
      <c r="AD774" s="69">
        <f>IF(tech_base!$T150&gt;AD$625,"",(1000*tech_proj!AD1114*(-PMT($J$110,tech_base!$F150,1))+1000*tech_proj!AD1394)/((1-tech_proj!AD554)*tech_proj!AD834*$L$110))</f>
        <v>18.404031216600838</v>
      </c>
      <c r="AE774" s="69">
        <f>IF(tech_base!$T150&gt;AE$625,"",(1000*tech_proj!AE1114*(-PMT($J$110,tech_base!$F150,1))+1000*tech_proj!AE1394)/((1-tech_proj!AE554)*tech_proj!AE834*$L$110))</f>
        <v>18.387477865907119</v>
      </c>
      <c r="AF774" s="69">
        <f>IF(tech_base!$T150&gt;AF$625,"",(1000*tech_proj!AF1114*(-PMT($J$110,tech_base!$F150,1))+1000*tech_proj!AF1394)/((1-tech_proj!AF554)*tech_proj!AF834*$L$110))</f>
        <v>18.369880314919349</v>
      </c>
      <c r="AG774" s="69">
        <f>IF(tech_base!$T150&gt;AG$625,"",(1000*tech_proj!AG1114*(-PMT($J$110,tech_base!$F150,1))+1000*tech_proj!AG1394)/((1-tech_proj!AG554)*tech_proj!AG834*$L$110))</f>
        <v>18.351235674698756</v>
      </c>
      <c r="AH774" s="69">
        <f>IF(tech_base!$T150&gt;AH$625,"",(1000*tech_proj!AH1114*(-PMT($J$110,tech_base!$F150,1))+1000*tech_proj!AH1394)/((1-tech_proj!AH554)*tech_proj!AH834*$L$110))</f>
        <v>18.331552612902076</v>
      </c>
      <c r="AI774" s="69">
        <f>IF(tech_base!$T150&gt;AI$625,"",(1000*tech_proj!AI1114*(-PMT($J$110,tech_base!$F150,1))+1000*tech_proj!AI1394)/((1-tech_proj!AI554)*tech_proj!AI834*$L$110))</f>
        <v>18.310852729595016</v>
      </c>
      <c r="AJ774" s="69">
        <f>IF(tech_base!$T150&gt;AJ$625,"",(1000*tech_proj!AJ1114*(-PMT($J$110,tech_base!$F150,1))+1000*tech_proj!AJ1394)/((1-tech_proj!AJ554)*tech_proj!AJ834*$L$110))</f>
        <v>18.289171765377667</v>
      </c>
      <c r="AK774" s="69">
        <f>IF(tech_base!$T150&gt;AK$625,"",(1000*tech_proj!AK1114*(-PMT($J$110,tech_base!$F150,1))+1000*tech_proj!AK1394)/((1-tech_proj!AK554)*tech_proj!AK834*$L$110))</f>
        <v>18.266560560385635</v>
      </c>
      <c r="AL774" s="69">
        <f>IF(tech_base!$T150&gt;AL$625,"",(1000*tech_proj!AL1114*(-PMT($J$110,tech_base!$F150,1))+1000*tech_proj!AL1394)/((1-tech_proj!AL554)*tech_proj!AL834*$L$110))</f>
        <v>18.243085680233513</v>
      </c>
      <c r="AM774" s="69">
        <f>IF(tech_base!$T150&gt;AM$625,"",(1000*tech_proj!AM1114*(-PMT($J$110,tech_base!$F150,1))+1000*tech_proj!AM1394)/((1-tech_proj!AM554)*tech_proj!AM834*$L$110))</f>
        <v>18.218829628096127</v>
      </c>
      <c r="AN774" s="69">
        <f>IF(tech_base!$T150&gt;AN$625,"",(1000*tech_proj!AN1114*(-PMT($J$110,tech_base!$F150,1))+1000*tech_proj!AN1394)/((1-tech_proj!AN554)*tech_proj!AN834*$L$110))</f>
        <v>18.193890571963426</v>
      </c>
      <c r="AO774" s="69">
        <f>IF(tech_base!$T150&gt;AO$625,"",(1000*tech_proj!AO1114*(-PMT($J$110,tech_base!$F150,1))+1000*tech_proj!AO1394)/((1-tech_proj!AO554)*tech_proj!AO834*$L$110))</f>
        <v>18.168381533259353</v>
      </c>
      <c r="AP774" s="69">
        <f>IF(tech_base!$T150&gt;AP$625,"",(1000*tech_proj!AP1114*(-PMT($J$110,tech_base!$F150,1))+1000*tech_proj!AP1394)/((1-tech_proj!AP554)*tech_proj!AP834*$L$110))</f>
        <v>18.142429007383804</v>
      </c>
      <c r="AQ774" s="69">
        <f>IF(tech_base!$T150&gt;AQ$625,"",(1000*tech_proj!AQ1114*(-PMT($J$110,tech_base!$F150,1))+1000*tech_proj!AQ1394)/((1-tech_proj!AQ554)*tech_proj!AQ834*$L$110))</f>
        <v>18.116171017352656</v>
      </c>
      <c r="AR774" s="69">
        <f>IF(tech_base!$T150&gt;AR$625,"",(1000*tech_proj!AR1114*(-PMT($J$110,tech_base!$F150,1))+1000*tech_proj!AR1394)/((1-tech_proj!AR554)*tech_proj!AR834*$L$110))</f>
        <v>18.089754636673366</v>
      </c>
      <c r="AS774" s="69">
        <f>IF(tech_base!$T150&gt;AS$625,"",(1000*tech_proj!AS1114*(-PMT($J$110,tech_base!$F150,1))+1000*tech_proj!AS1394)/((1-tech_proj!AS554)*tech_proj!AS834*$L$110))</f>
        <v>18.063333054145229</v>
      </c>
      <c r="AT774" s="69">
        <f>IF(tech_base!$T150&gt;AT$625,"",(1000*tech_proj!AT1114*(-PMT($J$110,tech_base!$F150,1))+1000*tech_proj!AT1394)/((1-tech_proj!AT554)*tech_proj!AT834*$L$110))</f>
        <v>18.037062288030199</v>
      </c>
      <c r="AU774" s="69">
        <f>IF(tech_base!$T150&gt;AU$625,"",(1000*tech_proj!AU1114*(-PMT($J$110,tech_base!$F150,1))+1000*tech_proj!AU1394)/((1-tech_proj!AU554)*tech_proj!AU834*$L$110))</f>
        <v>18.011097686379557</v>
      </c>
      <c r="AV774" s="69">
        <f>IF(tech_base!$T150&gt;AV$625,"",(1000*tech_proj!AV1114*(-PMT($J$110,tech_base!$F150,1))+1000*tech_proj!AV1394)/((1-tech_proj!AV554)*tech_proj!AV834*$L$110))</f>
        <v>17.985590370843468</v>
      </c>
      <c r="AW774" s="69">
        <f>IF(tech_base!$T150&gt;AW$625,"",(1000*tech_proj!AW1114*(-PMT($J$110,tech_base!$F150,1))+1000*tech_proj!AW1394)/((1-tech_proj!AW554)*tech_proj!AW834*$L$110))</f>
        <v>17.960683790407906</v>
      </c>
      <c r="AX774" s="235">
        <f>IF(tech_base!$T150&gt;AX$625,"",(1000*tech_proj!AX1114*(-PMT($J$110,tech_base!$F150,1))+1000*tech_proj!AX1394)/((1-tech_proj!AX554)*tech_proj!AX834*$L$110))</f>
        <v>17.936510547758836</v>
      </c>
    </row>
    <row r="775" spans="1:50" x14ac:dyDescent="0.25">
      <c r="A775" s="356"/>
      <c r="B775" s="376"/>
      <c r="C775" s="350"/>
      <c r="D775" s="2" t="s">
        <v>10</v>
      </c>
      <c r="E775" s="160" t="str">
        <f>A765&amp;"/"&amp;B773&amp;"/"&amp;C773&amp;"/"&amp;D775</f>
        <v>Diesel oil fired power plants/Gas turbine /Electricity only/S</v>
      </c>
      <c r="F775" s="76" t="str">
        <f>A765</f>
        <v>Diesel oil fired power plants</v>
      </c>
      <c r="G775" s="76" t="str">
        <f>B773</f>
        <v xml:space="preserve">Gas turbine </v>
      </c>
      <c r="H775" s="76" t="str">
        <f>C773</f>
        <v>Electricity only</v>
      </c>
      <c r="I775" s="161" t="str">
        <f t="shared" si="364"/>
        <v>S</v>
      </c>
      <c r="J775" s="69">
        <f>IF(tech_base!$T151&gt;J$625,"",(1000*tech_proj!J1115*(-PMT($J$110,tech_base!$F151,1))+1000*tech_proj!J1395)/((1-tech_proj!J555)*tech_proj!J835*$L$110))</f>
        <v>22.316220679526548</v>
      </c>
      <c r="K775" s="69">
        <f>IF(tech_base!$T151&gt;K$625,"",(1000*tech_proj!K1115*(-PMT($J$110,tech_base!$F151,1))+1000*tech_proj!K1395)/((1-tech_proj!K555)*tech_proj!K835*$L$110))</f>
        <v>22.313890670068336</v>
      </c>
      <c r="L775" s="69">
        <f>IF(tech_base!$T151&gt;L$625,"",(1000*tech_proj!L1115*(-PMT($J$110,tech_base!$F151,1))+1000*tech_proj!L1395)/((1-tech_proj!L555)*tech_proj!L835*$L$110))</f>
        <v>22.311325217537412</v>
      </c>
      <c r="M775" s="69">
        <f>IF(tech_base!$T151&gt;M$625,"",(1000*tech_proj!M1115*(-PMT($J$110,tech_base!$F151,1))+1000*tech_proj!M1395)/((1-tech_proj!M555)*tech_proj!M835*$L$110))</f>
        <v>22.308501622021907</v>
      </c>
      <c r="N775" s="69">
        <f>IF(tech_base!$T151&gt;N$625,"",(1000*tech_proj!N1115*(-PMT($J$110,tech_base!$F151,1))+1000*tech_proj!N1395)/((1-tech_proj!N555)*tech_proj!N835*$L$110))</f>
        <v>22.305395230666107</v>
      </c>
      <c r="O775" s="69">
        <f>IF(tech_base!$T151&gt;O$625,"",(1000*tech_proj!O1115*(-PMT($J$110,tech_base!$F151,1))+1000*tech_proj!O1395)/((1-tech_proj!O555)*tech_proj!O835*$L$110))</f>
        <v>22.301979321053533</v>
      </c>
      <c r="P775" s="69">
        <f>IF(tech_base!$T151&gt;P$625,"",(1000*tech_proj!P1115*(-PMT($J$110,tech_base!$F151,1))+1000*tech_proj!P1395)/((1-tech_proj!P555)*tech_proj!P835*$L$110))</f>
        <v>22.298224989538003</v>
      </c>
      <c r="Q775" s="69">
        <f>IF(tech_base!$T151&gt;Q$625,"",(1000*tech_proj!Q1115*(-PMT($J$110,tech_base!$F151,1))+1000*tech_proj!Q1395)/((1-tech_proj!Q555)*tech_proj!Q835*$L$110))</f>
        <v>22.294101048069063</v>
      </c>
      <c r="R775" s="69">
        <f>IF(tech_base!$T151&gt;R$625,"",(1000*tech_proj!R1115*(-PMT($J$110,tech_base!$F151,1))+1000*tech_proj!R1395)/((1-tech_proj!R555)*tech_proj!R835*$L$110))</f>
        <v>22.289573933858069</v>
      </c>
      <c r="S775" s="69">
        <f>IF(tech_base!$T151&gt;S$625,"",(1000*tech_proj!S1115*(-PMT($J$110,tech_base!$F151,1))+1000*tech_proj!S1395)/((1-tech_proj!S555)*tech_proj!S835*$L$110))</f>
        <v>22.284607637139789</v>
      </c>
      <c r="T775" s="69">
        <f>IF(tech_base!$T151&gt;T$625,"",(1000*tech_proj!T1115*(-PMT($J$110,tech_base!$F151,1))+1000*tech_proj!T1395)/((1-tech_proj!T555)*tech_proj!T835*$L$110))</f>
        <v>22.279163653298468</v>
      </c>
      <c r="U775" s="69">
        <f>IF(tech_base!$T151&gt;U$625,"",(1000*tech_proj!U1115*(-PMT($J$110,tech_base!$F151,1))+1000*tech_proj!U1395)/((1-tech_proj!U555)*tech_proj!U835*$L$110))</f>
        <v>22.273200966739058</v>
      </c>
      <c r="V775" s="69">
        <f>IF(tech_base!$T151&gt;V$625,"",(1000*tech_proj!V1115*(-PMT($J$110,tech_base!$F151,1))+1000*tech_proj!V1395)/((1-tech_proj!V555)*tech_proj!V835*$L$110))</f>
        <v>22.266676075074574</v>
      </c>
      <c r="W775" s="69">
        <f>IF(tech_base!$T151&gt;W$625,"",(1000*tech_proj!W1115*(-PMT($J$110,tech_base!$F151,1))+1000*tech_proj!W1395)/((1-tech_proj!W555)*tech_proj!W835*$L$110))</f>
        <v>22.259543063437512</v>
      </c>
      <c r="X775" s="69">
        <f>IF(tech_base!$T151&gt;X$625,"",(1000*tech_proj!X1115*(-PMT($J$110,tech_base!$F151,1))+1000*tech_proj!X1395)/((1-tech_proj!X555)*tech_proj!X835*$L$110))</f>
        <v>22.25175373995917</v>
      </c>
      <c r="Y775" s="69">
        <f>IF(tech_base!$T151&gt;Y$625,"",(1000*tech_proj!Y1115*(-PMT($J$110,tech_base!$F151,1))+1000*tech_proj!Y1395)/((1-tech_proj!Y555)*tech_proj!Y835*$L$110))</f>
        <v>22.243257844626822</v>
      </c>
      <c r="Z775" s="69">
        <f>IF(tech_base!$T151&gt;Z$625,"",(1000*tech_proj!Z1115*(-PMT($J$110,tech_base!$F151,1))+1000*tech_proj!Z1395)/((1-tech_proj!Z555)*tech_proj!Z835*$L$110))</f>
        <v>22.234003344731015</v>
      </c>
      <c r="AA775" s="69">
        <f>IF(tech_base!$T151&gt;AA$625,"",(1000*tech_proj!AA1115*(-PMT($J$110,tech_base!$F151,1))+1000*tech_proj!AA1395)/((1-tech_proj!AA555)*tech_proj!AA835*$L$110))</f>
        <v>22.22393683083315</v>
      </c>
      <c r="AB775" s="69">
        <f>IF(tech_base!$T151&gt;AB$625,"",(1000*tech_proj!AB1115*(-PMT($J$110,tech_base!$F151,1))+1000*tech_proj!AB1395)/((1-tech_proj!AB555)*tech_proj!AB835*$L$110))</f>
        <v>22.213004027463562</v>
      </c>
      <c r="AC775" s="69">
        <f>IF(tech_base!$T151&gt;AC$625,"",(1000*tech_proj!AC1115*(-PMT($J$110,tech_base!$F151,1))+1000*tech_proj!AC1395)/((1-tech_proj!AC555)*tech_proj!AC835*$L$110))</f>
        <v>22.201150432418245</v>
      </c>
      <c r="AD775" s="69">
        <f>IF(tech_base!$T151&gt;AD$625,"",(1000*tech_proj!AD1115*(-PMT($J$110,tech_base!$F151,1))+1000*tech_proj!AD1395)/((1-tech_proj!AD555)*tech_proj!AD835*$L$110))</f>
        <v>22.188322097345225</v>
      </c>
      <c r="AE775" s="69">
        <f>IF(tech_base!$T151&gt;AE$625,"",(1000*tech_proj!AE1115*(-PMT($J$110,tech_base!$F151,1))+1000*tech_proj!AE1395)/((1-tech_proj!AE555)*tech_proj!AE835*$L$110))</f>
        <v>22.174466560061713</v>
      </c>
      <c r="AF775" s="69">
        <f>IF(tech_base!$T151&gt;AF$625,"",(1000*tech_proj!AF1115*(-PMT($J$110,tech_base!$F151,1))+1000*tech_proj!AF1395)/((1-tech_proj!AF555)*tech_proj!AF835*$L$110))</f>
        <v>22.159533935476812</v>
      </c>
      <c r="AG775" s="69">
        <f>IF(tech_base!$T151&gt;AG$625,"",(1000*tech_proj!AG1115*(-PMT($J$110,tech_base!$F151,1))+1000*tech_proj!AG1395)/((1-tech_proj!AG555)*tech_proj!AG835*$L$110))</f>
        <v>22.143478166876495</v>
      </c>
      <c r="AH775" s="69">
        <f>IF(tech_base!$T151&gt;AH$625,"",(1000*tech_proj!AH1115*(-PMT($J$110,tech_base!$F151,1))+1000*tech_proj!AH1395)/((1-tech_proj!AH555)*tech_proj!AH835*$L$110))</f>
        <v>22.126258432466337</v>
      </c>
      <c r="AI775" s="69">
        <f>IF(tech_base!$T151&gt;AI$625,"",(1000*tech_proj!AI1115*(-PMT($J$110,tech_base!$F151,1))+1000*tech_proj!AI1395)/((1-tech_proj!AI555)*tech_proj!AI835*$L$110))</f>
        <v>22.107840693351431</v>
      </c>
      <c r="AJ775" s="69">
        <f>IF(tech_base!$T151&gt;AJ$625,"",(1000*tech_proj!AJ1115*(-PMT($J$110,tech_base!$F151,1))+1000*tech_proj!AJ1395)/((1-tech_proj!AJ555)*tech_proj!AJ835*$L$110))</f>
        <v>22.088199358580717</v>
      </c>
      <c r="AK775" s="69">
        <f>IF(tech_base!$T151&gt;AK$625,"",(1000*tech_proj!AK1115*(-PMT($J$110,tech_base!$F151,1))+1000*tech_proj!AK1395)/((1-tech_proj!AK555)*tech_proj!AK835*$L$110))</f>
        <v>22.067319030694794</v>
      </c>
      <c r="AL775" s="69">
        <f>IF(tech_base!$T151&gt;AL$625,"",(1000*tech_proj!AL1115*(-PMT($J$110,tech_base!$F151,1))+1000*tech_proj!AL1395)/((1-tech_proj!AL555)*tech_proj!AL835*$L$110))</f>
        <v>22.045196281830954</v>
      </c>
      <c r="AM775" s="69">
        <f>IF(tech_base!$T151&gt;AM$625,"",(1000*tech_proj!AM1115*(-PMT($J$110,tech_base!$F151,1))+1000*tech_proj!AM1395)/((1-tech_proj!AM555)*tech_proj!AM835*$L$110))</f>
        <v>22.021841396574533</v>
      </c>
      <c r="AN775" s="69">
        <f>IF(tech_base!$T151&gt;AN$625,"",(1000*tech_proj!AN1115*(-PMT($J$110,tech_base!$F151,1))+1000*tech_proj!AN1395)/((1-tech_proj!AN555)*tech_proj!AN835*$L$110))</f>
        <v>21.997280004426717</v>
      </c>
      <c r="AO775" s="69">
        <f>IF(tech_base!$T151&gt;AO$625,"",(1000*tech_proj!AO1115*(-PMT($J$110,tech_base!$F151,1))+1000*tech_proj!AO1395)/((1-tech_proj!AO555)*tech_proj!AO835*$L$110))</f>
        <v>21.971554513302657</v>
      </c>
      <c r="AP775" s="69">
        <f>IF(tech_base!$T151&gt;AP$625,"",(1000*tech_proj!AP1115*(-PMT($J$110,tech_base!$F151,1))+1000*tech_proj!AP1395)/((1-tech_proj!AP555)*tech_proj!AP835*$L$110))</f>
        <v>21.944725247431656</v>
      </c>
      <c r="AQ775" s="69">
        <f>IF(tech_base!$T151&gt;AQ$625,"",(1000*tech_proj!AQ1115*(-PMT($J$110,tech_base!$F151,1))+1000*tech_proj!AQ1395)/((1-tech_proj!AQ555)*tech_proj!AQ835*$L$110))</f>
        <v>21.916871190068804</v>
      </c>
      <c r="AR775" s="69">
        <f>IF(tech_base!$T151&gt;AR$625,"",(1000*tech_proj!AR1115*(-PMT($J$110,tech_base!$F151,1))+1000*tech_proj!AR1395)/((1-tech_proj!AR555)*tech_proj!AR835*$L$110))</f>
        <v>21.888090235139423</v>
      </c>
      <c r="AS775" s="69">
        <f>IF(tech_base!$T151&gt;AS$625,"",(1000*tech_proj!AS1115*(-PMT($J$110,tech_base!$F151,1))+1000*tech_proj!AS1395)/((1-tech_proj!AS555)*tech_proj!AS835*$L$110))</f>
        <v>21.858498863614034</v>
      </c>
      <c r="AT775" s="69">
        <f>IF(tech_base!$T151&gt;AT$625,"",(1000*tech_proj!AT1115*(-PMT($J$110,tech_base!$F151,1))+1000*tech_proj!AT1395)/((1-tech_proj!AT555)*tech_proj!AT835*$L$110))</f>
        <v>21.828231180766238</v>
      </c>
      <c r="AU775" s="69">
        <f>IF(tech_base!$T151&gt;AU$625,"",(1000*tech_proj!AU1115*(-PMT($J$110,tech_base!$F151,1))+1000*tech_proj!AU1395)/((1-tech_proj!AU555)*tech_proj!AU835*$L$110))</f>
        <v>21.797437279380421</v>
      </c>
      <c r="AV775" s="69">
        <f>IF(tech_base!$T151&gt;AV$625,"",(1000*tech_proj!AV1115*(-PMT($J$110,tech_base!$F151,1))+1000*tech_proj!AV1395)/((1-tech_proj!AV555)*tech_proj!AV835*$L$110))</f>
        <v>21.766280930303392</v>
      </c>
      <c r="AW775" s="69">
        <f>IF(tech_base!$T151&gt;AW$625,"",(1000*tech_proj!AW1115*(-PMT($J$110,tech_base!$F151,1))+1000*tech_proj!AW1395)/((1-tech_proj!AW555)*tech_proj!AW835*$L$110))</f>
        <v>21.734936643219012</v>
      </c>
      <c r="AX775" s="235">
        <f>IF(tech_base!$T151&gt;AX$625,"",(1000*tech_proj!AX1115*(-PMT($J$110,tech_base!$F151,1))+1000*tech_proj!AX1395)/((1-tech_proj!AX555)*tech_proj!AX835*$L$110))</f>
        <v>21.70358618389454</v>
      </c>
    </row>
    <row r="776" spans="1:50" x14ac:dyDescent="0.25">
      <c r="A776" s="356"/>
      <c r="B776" s="376"/>
      <c r="C776" s="360"/>
      <c r="D776" s="2" t="s">
        <v>20</v>
      </c>
      <c r="E776" s="160" t="str">
        <f>A765&amp;"/"&amp;B773&amp;"/"&amp;C773&amp;"/"&amp;D776</f>
        <v>Diesel oil fired power plants/Gas turbine /Electricity only/XS</v>
      </c>
      <c r="F776" s="76" t="str">
        <f>A765</f>
        <v>Diesel oil fired power plants</v>
      </c>
      <c r="G776" s="76" t="str">
        <f>B773</f>
        <v xml:space="preserve">Gas turbine </v>
      </c>
      <c r="H776" s="76" t="str">
        <f>C773</f>
        <v>Electricity only</v>
      </c>
      <c r="I776" s="161" t="str">
        <f t="shared" si="364"/>
        <v>XS</v>
      </c>
      <c r="J776" s="69">
        <f>IF(tech_base!$T152&gt;J$625,"",(1000*tech_proj!J1116*(-PMT($J$110,tech_base!$F152,1))+1000*tech_proj!J1396)/((1-tech_proj!J556)*tech_proj!J836*$L$110))</f>
        <v>32.412046054690848</v>
      </c>
      <c r="K776" s="69">
        <f>IF(tech_base!$T152&gt;K$625,"",(1000*tech_proj!K1116*(-PMT($J$110,tech_base!$F152,1))+1000*tech_proj!K1396)/((1-tech_proj!K556)*tech_proj!K836*$L$110))</f>
        <v>32.409980755863948</v>
      </c>
      <c r="L776" s="69">
        <f>IF(tech_base!$T152&gt;L$625,"",(1000*tech_proj!L1116*(-PMT($J$110,tech_base!$F152,1))+1000*tech_proj!L1396)/((1-tech_proj!L556)*tech_proj!L836*$L$110))</f>
        <v>32.407703447518976</v>
      </c>
      <c r="M776" s="69">
        <f>IF(tech_base!$T152&gt;M$625,"",(1000*tech_proj!M1116*(-PMT($J$110,tech_base!$F152,1))+1000*tech_proj!M1396)/((1-tech_proj!M556)*tech_proj!M836*$L$110))</f>
        <v>32.405192962187961</v>
      </c>
      <c r="N776" s="69">
        <f>IF(tech_base!$T152&gt;N$625,"",(1000*tech_proj!N1116*(-PMT($J$110,tech_base!$F152,1))+1000*tech_proj!N1396)/((1-tech_proj!N556)*tech_proj!N836*$L$110))</f>
        <v>32.402426148948052</v>
      </c>
      <c r="O776" s="69">
        <f>IF(tech_base!$T152&gt;O$625,"",(1000*tech_proj!O1116*(-PMT($J$110,tech_base!$F152,1))+1000*tech_proj!O1396)/((1-tech_proj!O556)*tech_proj!O836*$L$110))</f>
        <v>32.399377716044867</v>
      </c>
      <c r="P776" s="69">
        <f>IF(tech_base!$T152&gt;P$625,"",(1000*tech_proj!P1116*(-PMT($J$110,tech_base!$F152,1))+1000*tech_proj!P1396)/((1-tech_proj!P556)*tech_proj!P836*$L$110))</f>
        <v>32.39602006745524</v>
      </c>
      <c r="Q776" s="69">
        <f>IF(tech_base!$T152&gt;Q$625,"",(1000*tech_proj!Q1116*(-PMT($J$110,tech_base!$F152,1))+1000*tech_proj!Q1396)/((1-tech_proj!Q556)*tech_proj!Q836*$L$110))</f>
        <v>32.392323134791809</v>
      </c>
      <c r="R776" s="69">
        <f>IF(tech_base!$T152&gt;R$625,"",(1000*tech_proj!R1116*(-PMT($J$110,tech_base!$F152,1))+1000*tech_proj!R1396)/((1-tech_proj!R556)*tech_proj!R836*$L$110))</f>
        <v>32.388254206458981</v>
      </c>
      <c r="S776" s="69">
        <f>IF(tech_base!$T152&gt;S$625,"",(1000*tech_proj!S1116*(-PMT($J$110,tech_base!$F152,1))+1000*tech_proj!S1396)/((1-tech_proj!S556)*tech_proj!S836*$L$110))</f>
        <v>32.383777756581146</v>
      </c>
      <c r="T776" s="69">
        <f>IF(tech_base!$T152&gt;T$625,"",(1000*tech_proj!T1116*(-PMT($J$110,tech_base!$F152,1))+1000*tech_proj!T1396)/((1-tech_proj!T556)*tech_proj!T836*$L$110))</f>
        <v>32.378855276952358</v>
      </c>
      <c r="U776" s="69">
        <f>IF(tech_base!$T152&gt;U$625,"",(1000*tech_proj!U1116*(-PMT($J$110,tech_base!$F152,1))+1000*tech_proj!U1396)/((1-tech_proj!U556)*tech_proj!U836*$L$110))</f>
        <v>32.373445116116486</v>
      </c>
      <c r="V776" s="69">
        <f>IF(tech_base!$T152&gt;V$625,"",(1000*tech_proj!V1116*(-PMT($J$110,tech_base!$F152,1))+1000*tech_proj!V1396)/((1-tech_proj!V556)*tech_proj!V836*$L$110))</f>
        <v>32.367502330687834</v>
      </c>
      <c r="W776" s="69">
        <f>IF(tech_base!$T152&gt;W$625,"",(1000*tech_proj!W1116*(-PMT($J$110,tech_base!$F152,1))+1000*tech_proj!W1396)/((1-tech_proj!W556)*tech_proj!W836*$L$110))</f>
        <v>32.360978555176125</v>
      </c>
      <c r="X776" s="69">
        <f>IF(tech_base!$T152&gt;X$625,"",(1000*tech_proj!X1116*(-PMT($J$110,tech_base!$F152,1))+1000*tech_proj!X1396)/((1-tech_proj!X556)*tech_proj!X836*$L$110))</f>
        <v>32.353821897887471</v>
      </c>
      <c r="Y776" s="69">
        <f>IF(tech_base!$T152&gt;Y$625,"",(1000*tech_proj!Y1116*(-PMT($J$110,tech_base!$F152,1))+1000*tech_proj!Y1396)/((1-tech_proj!Y556)*tech_proj!Y836*$L$110))</f>
        <v>32.34597687193606</v>
      </c>
      <c r="Z776" s="69">
        <f>IF(tech_base!$T152&gt;Z$625,"",(1000*tech_proj!Z1116*(-PMT($J$110,tech_base!$F152,1))+1000*tech_proj!Z1396)/((1-tech_proj!Z556)*tech_proj!Z836*$L$110))</f>
        <v>32.3373843720018</v>
      </c>
      <c r="AA776" s="69">
        <f>IF(tech_base!$T152&gt;AA$625,"",(1000*tech_proj!AA1116*(-PMT($J$110,tech_base!$F152,1))+1000*tech_proj!AA1396)/((1-tech_proj!AA556)*tech_proj!AA836*$L$110))</f>
        <v>32.327981709185394</v>
      </c>
      <c r="AB776" s="69">
        <f>IF(tech_base!$T152&gt;AB$625,"",(1000*tech_proj!AB1116*(-PMT($J$110,tech_base!$F152,1))+1000*tech_proj!AB1396)/((1-tech_proj!AB556)*tech_proj!AB836*$L$110))</f>
        <v>32.317702718094395</v>
      </c>
      <c r="AC776" s="69">
        <f>IF(tech_base!$T152&gt;AC$625,"",(1000*tech_proj!AC1116*(-PMT($J$110,tech_base!$F152,1))+1000*tech_proj!AC1396)/((1-tech_proj!AC556)*tech_proj!AC836*$L$110))</f>
        <v>32.306477952075127</v>
      </c>
      <c r="AD776" s="69">
        <f>IF(tech_base!$T152&gt;AD$625,"",(1000*tech_proj!AD1116*(-PMT($J$110,tech_base!$F152,1))+1000*tech_proj!AD1396)/((1-tech_proj!AD556)*tech_proj!AD836*$L$110))</f>
        <v>32.294234984185181</v>
      </c>
      <c r="AE776" s="69">
        <f>IF(tech_base!$T152&gt;AE$625,"",(1000*tech_proj!AE1116*(-PMT($J$110,tech_base!$F152,1))+1000*tech_proj!AE1396)/((1-tech_proj!AE556)*tech_proj!AE836*$L$110))</f>
        <v>32.280898832946285</v>
      </c>
      <c r="AF776" s="69">
        <f>IF(tech_base!$T152&gt;AF$625,"",(1000*tech_proj!AF1116*(-PMT($J$110,tech_base!$F152,1))+1000*tech_proj!AF1396)/((1-tech_proj!AF556)*tech_proj!AF836*$L$110))</f>
        <v>32.266392532951507</v>
      </c>
      <c r="AG776" s="69">
        <f>IF(tech_base!$T152&gt;AG$625,"",(1000*tech_proj!AG1116*(-PMT($J$110,tech_base!$F152,1))+1000*tech_proj!AG1396)/((1-tech_proj!AG556)*tech_proj!AG836*$L$110))</f>
        <v>32.250637870804084</v>
      </c>
      <c r="AH776" s="69">
        <f>IF(tech_base!$T152&gt;AH$625,"",(1000*tech_proj!AH1116*(-PMT($J$110,tech_base!$F152,1))+1000*tech_proj!AH1396)/((1-tech_proj!AH556)*tech_proj!AH836*$L$110))</f>
        <v>32.233556306372883</v>
      </c>
      <c r="AI776" s="69">
        <f>IF(tech_base!$T152&gt;AI$625,"",(1000*tech_proj!AI1116*(-PMT($J$110,tech_base!$F152,1))+1000*tech_proj!AI1396)/((1-tech_proj!AI556)*tech_proj!AI836*$L$110))</f>
        <v>32.215070097652479</v>
      </c>
      <c r="AJ776" s="69">
        <f>IF(tech_base!$T152&gt;AJ$625,"",(1000*tech_proj!AJ1116*(-PMT($J$110,tech_base!$F152,1))+1000*tech_proj!AJ1396)/((1-tech_proj!AJ556)*tech_proj!AJ836*$L$110))</f>
        <v>32.195103644274205</v>
      </c>
      <c r="AK776" s="69">
        <f>IF(tech_base!$T152&gt;AK$625,"",(1000*tech_proj!AK1116*(-PMT($J$110,tech_base!$F152,1))+1000*tech_proj!AK1396)/((1-tech_proj!AK556)*tech_proj!AK836*$L$110))</f>
        <v>32.173585059574883</v>
      </c>
      <c r="AL776" s="69">
        <f>IF(tech_base!$T152&gt;AL$625,"",(1000*tech_proj!AL1116*(-PMT($J$110,tech_base!$F152,1))+1000*tech_proj!AL1396)/((1-tech_proj!AL556)*tech_proj!AL836*$L$110))</f>
        <v>32.150447973754908</v>
      </c>
      <c r="AM776" s="69">
        <f>IF(tech_base!$T152&gt;AM$625,"",(1000*tech_proj!AM1116*(-PMT($J$110,tech_base!$F152,1))+1000*tech_proj!AM1396)/((1-tech_proj!AM556)*tech_proj!AM836*$L$110))</f>
        <v>32.125633560769572</v>
      </c>
      <c r="AN776" s="69">
        <f>IF(tech_base!$T152&gt;AN$625,"",(1000*tech_proj!AN1116*(-PMT($J$110,tech_base!$F152,1))+1000*tech_proj!AN1396)/((1-tech_proj!AN556)*tech_proj!AN836*$L$110))</f>
        <v>32.099092769037981</v>
      </c>
      <c r="AO776" s="69">
        <f>IF(tech_base!$T152&gt;AO$625,"",(1000*tech_proj!AO1116*(-PMT($J$110,tech_base!$F152,1))+1000*tech_proj!AO1396)/((1-tech_proj!AO556)*tech_proj!AO836*$L$110))</f>
        <v>32.070788720846842</v>
      </c>
      <c r="AP776" s="69">
        <f>IF(tech_base!$T152&gt;AP$625,"",(1000*tech_proj!AP1116*(-PMT($J$110,tech_base!$F152,1))+1000*tech_proj!AP1396)/((1-tech_proj!AP556)*tech_proj!AP836*$L$110))</f>
        <v>32.040699227763568</v>
      </c>
      <c r="AQ776" s="69">
        <f>IF(tech_base!$T152&gt;AQ$625,"",(1000*tech_proj!AQ1116*(-PMT($J$110,tech_base!$F152,1))+1000*tech_proj!AQ1396)/((1-tech_proj!AQ556)*tech_proj!AQ836*$L$110))</f>
        <v>32.008819350083563</v>
      </c>
      <c r="AR776" s="69">
        <f>IF(tech_base!$T152&gt;AR$625,"",(1000*tech_proj!AR1116*(-PMT($J$110,tech_base!$F152,1))+1000*tech_proj!AR1396)/((1-tech_proj!AR556)*tech_proj!AR836*$L$110))</f>
        <v>31.975163908357576</v>
      </c>
      <c r="AS776" s="69">
        <f>IF(tech_base!$T152&gt;AS$625,"",(1000*tech_proj!AS1116*(-PMT($J$110,tech_base!$F152,1))+1000*tech_proj!AS1396)/((1-tech_proj!AS556)*tech_proj!AS836*$L$110))</f>
        <v>31.93976983585139</v>
      </c>
      <c r="AT776" s="69">
        <f>IF(tech_base!$T152&gt;AT$625,"",(1000*tech_proj!AT1116*(-PMT($J$110,tech_base!$F152,1))+1000*tech_proj!AT1396)/((1-tech_proj!AT556)*tech_proj!AT836*$L$110))</f>
        <v>31.902698244281066</v>
      </c>
      <c r="AU776" s="69">
        <f>IF(tech_base!$T152&gt;AU$625,"",(1000*tech_proj!AU1116*(-PMT($J$110,tech_base!$F152,1))+1000*tech_proj!AU1396)/((1-tech_proj!AU556)*tech_proj!AU836*$L$110))</f>
        <v>31.86403606357846</v>
      </c>
      <c r="AV776" s="69">
        <f>IF(tech_base!$T152&gt;AV$625,"",(1000*tech_proj!AV1116*(-PMT($J$110,tech_base!$F152,1))+1000*tech_proj!AV1396)/((1-tech_proj!AV556)*tech_proj!AV836*$L$110))</f>
        <v>31.823897112172151</v>
      </c>
      <c r="AW776" s="69">
        <f>IF(tech_base!$T152&gt;AW$625,"",(1000*tech_proj!AW1116*(-PMT($J$110,tech_base!$F152,1))+1000*tech_proj!AW1396)/((1-tech_proj!AW556)*tech_proj!AW836*$L$110))</f>
        <v>31.78242245961836</v>
      </c>
      <c r="AX776" s="235">
        <f>IF(tech_base!$T152&gt;AX$625,"",(1000*tech_proj!AX1116*(-PMT($J$110,tech_base!$F152,1))+1000*tech_proj!AX1396)/((1-tech_proj!AX556)*tech_proj!AX836*$L$110))</f>
        <v>31.73977996024275</v>
      </c>
    </row>
    <row r="777" spans="1:50" x14ac:dyDescent="0.25">
      <c r="A777" s="356"/>
      <c r="B777" s="376"/>
      <c r="C777" s="361" t="s">
        <v>14</v>
      </c>
      <c r="D777" s="58" t="s">
        <v>7</v>
      </c>
      <c r="E777" s="164" t="str">
        <f>A765&amp;"/"&amp;B773&amp;"/"&amp;C777&amp;"/"&amp;D777</f>
        <v>Diesel oil fired power plants/Gas turbine /CHP/L</v>
      </c>
      <c r="F777" s="78" t="str">
        <f>A765</f>
        <v>Diesel oil fired power plants</v>
      </c>
      <c r="G777" s="78" t="str">
        <f>B773</f>
        <v xml:space="preserve">Gas turbine </v>
      </c>
      <c r="H777" s="78" t="str">
        <f>C777</f>
        <v>CHP</v>
      </c>
      <c r="I777" s="165" t="str">
        <f t="shared" si="364"/>
        <v>L</v>
      </c>
      <c r="J777" s="71">
        <f>IF(tech_base!$T153&gt;J$625,"",(1000*tech_proj!J1117*(-PMT($J$110,tech_base!$F153,1))+1000*tech_proj!J1397)/((1-tech_proj!J557)*tech_proj!J837*$L$110))</f>
        <v>25.341694362156396</v>
      </c>
      <c r="K777" s="71">
        <f>IF(tech_base!$T153&gt;K$625,"",(1000*tech_proj!K1117*(-PMT($J$110,tech_base!$F153,1))+1000*tech_proj!K1397)/((1-tech_proj!K557)*tech_proj!K837*$L$110))</f>
        <v>25.338172389691778</v>
      </c>
      <c r="L777" s="71">
        <f>IF(tech_base!$T153&gt;L$625,"",(1000*tech_proj!L1117*(-PMT($J$110,tech_base!$F153,1))+1000*tech_proj!L1397)/((1-tech_proj!L557)*tech_proj!L837*$L$110))</f>
        <v>25.334300456161596</v>
      </c>
      <c r="M777" s="71">
        <f>IF(tech_base!$T153&gt;M$625,"",(1000*tech_proj!M1117*(-PMT($J$110,tech_base!$F153,1))+1000*tech_proj!M1397)/((1-tech_proj!M557)*tech_proj!M837*$L$110))</f>
        <v>25.330046083981149</v>
      </c>
      <c r="N777" s="71">
        <f>IF(tech_base!$T153&gt;N$625,"",(1000*tech_proj!N1117*(-PMT($J$110,tech_base!$F153,1))+1000*tech_proj!N1397)/((1-tech_proj!N557)*tech_proj!N837*$L$110))</f>
        <v>25.32537427141769</v>
      </c>
      <c r="O777" s="71">
        <f>IF(tech_base!$T153&gt;O$625,"",(1000*tech_proj!O1117*(-PMT($J$110,tech_base!$F153,1))+1000*tech_proj!O1397)/((1-tech_proj!O557)*tech_proj!O837*$L$110))</f>
        <v>25.320247402560724</v>
      </c>
      <c r="P777" s="71">
        <f>IF(tech_base!$T153&gt;P$625,"",(1000*tech_proj!P1117*(-PMT($J$110,tech_base!$F153,1))+1000*tech_proj!P1397)/((1-tech_proj!P557)*tech_proj!P837*$L$110))</f>
        <v>25.314625179628145</v>
      </c>
      <c r="Q777" s="71">
        <f>IF(tech_base!$T153&gt;Q$625,"",(1000*tech_proj!Q1117*(-PMT($J$110,tech_base!$F153,1))+1000*tech_proj!Q1397)/((1-tech_proj!Q557)*tech_proj!Q837*$L$110))</f>
        <v>25.308464584829078</v>
      </c>
      <c r="R777" s="71">
        <f>IF(tech_base!$T153&gt;R$625,"",(1000*tech_proj!R1117*(-PMT($J$110,tech_base!$F153,1))+1000*tech_proj!R1397)/((1-tech_proj!R557)*tech_proj!R837*$L$110))</f>
        <v>25.301719880212836</v>
      </c>
      <c r="S777" s="71">
        <f>IF(tech_base!$T153&gt;S$625,"",(1000*tech_proj!S1117*(-PMT($J$110,tech_base!$F153,1))+1000*tech_proj!S1397)/((1-tech_proj!S557)*tech_proj!S837*$L$110))</f>
        <v>25.294342655203593</v>
      </c>
      <c r="T777" s="71">
        <f>IF(tech_base!$T153&gt;T$625,"",(1000*tech_proj!T1117*(-PMT($J$110,tech_base!$F153,1))+1000*tech_proj!T1397)/((1-tech_proj!T557)*tech_proj!T837*$L$110))</f>
        <v>25.286281932808883</v>
      </c>
      <c r="U777" s="71">
        <f>IF(tech_base!$T153&gt;U$625,"",(1000*tech_proj!U1117*(-PMT($J$110,tech_base!$F153,1))+1000*tech_proj!U1397)/((1-tech_proj!U557)*tech_proj!U837*$L$110))</f>
        <v>25.277484346734148</v>
      </c>
      <c r="V777" s="71">
        <f>IF(tech_base!$T153&gt;V$625,"",(1000*tech_proj!V1117*(-PMT($J$110,tech_base!$F153,1))+1000*tech_proj!V1397)/((1-tech_proj!V557)*tech_proj!V837*$L$110))</f>
        <v>25.267894402748468</v>
      </c>
      <c r="W777" s="71">
        <f>IF(tech_base!$T153&gt;W$625,"",(1000*tech_proj!W1117*(-PMT($J$110,tech_base!$F153,1))+1000*tech_proj!W1397)/((1-tech_proj!W557)*tech_proj!W837*$L$110))</f>
        <v>25.257454838514811</v>
      </c>
      <c r="X777" s="71">
        <f>IF(tech_base!$T153&gt;X$625,"",(1000*tech_proj!X1117*(-PMT($J$110,tech_base!$F153,1))+1000*tech_proj!X1397)/((1-tech_proj!X557)*tech_proj!X837*$L$110))</f>
        <v>25.246107096577322</v>
      </c>
      <c r="Y777" s="71">
        <f>IF(tech_base!$T153&gt;Y$625,"",(1000*tech_proj!Y1117*(-PMT($J$110,tech_base!$F153,1))+1000*tech_proj!Y1397)/((1-tech_proj!Y557)*tech_proj!Y837*$L$110))</f>
        <v>25.233791925111689</v>
      </c>
      <c r="Z777" s="71">
        <f>IF(tech_base!$T153&gt;Z$625,"",(1000*tech_proj!Z1117*(-PMT($J$110,tech_base!$F153,1))+1000*tech_proj!Z1397)/((1-tech_proj!Z557)*tech_proj!Z837*$L$110))</f>
        <v>25.220450120187472</v>
      </c>
      <c r="AA777" s="71">
        <f>IF(tech_base!$T153&gt;AA$625,"",(1000*tech_proj!AA1117*(-PMT($J$110,tech_base!$F153,1))+1000*tech_proj!AA1397)/((1-tech_proj!AA557)*tech_proj!AA837*$L$110))</f>
        <v>25.206023421431951</v>
      </c>
      <c r="AB777" s="71">
        <f>IF(tech_base!$T153&gt;AB$625,"",(1000*tech_proj!AB1117*(-PMT($J$110,tech_base!$F153,1))+1000*tech_proj!AB1397)/((1-tech_proj!AB557)*tech_proj!AB837*$L$110))</f>
        <v>25.190455569880033</v>
      </c>
      <c r="AC777" s="71">
        <f>IF(tech_base!$T153&gt;AC$625,"",(1000*tech_proj!AC1117*(-PMT($J$110,tech_base!$F153,1))+1000*tech_proj!AC1397)/((1-tech_proj!AC557)*tech_proj!AC837*$L$110))</f>
        <v>25.173693532205807</v>
      </c>
      <c r="AD777" s="71">
        <f>IF(tech_base!$T153&gt;AD$625,"",(1000*tech_proj!AD1117*(-PMT($J$110,tech_base!$F153,1))+1000*tech_proj!AD1397)/((1-tech_proj!AD557)*tech_proj!AD837*$L$110))</f>
        <v>25.15568888925289</v>
      </c>
      <c r="AE777" s="71">
        <f>IF(tech_base!$T153&gt;AE$625,"",(1000*tech_proj!AE1117*(-PMT($J$110,tech_base!$F153,1))+1000*tech_proj!AE1397)/((1-tech_proj!AE557)*tech_proj!AE837*$L$110))</f>
        <v>25.136399378675655</v>
      </c>
      <c r="AF777" s="71">
        <f>IF(tech_base!$T153&gt;AF$625,"",(1000*tech_proj!AF1117*(-PMT($J$110,tech_base!$F153,1))+1000*tech_proj!AF1397)/((1-tech_proj!AF557)*tech_proj!AF837*$L$110))</f>
        <v>25.115790571549663</v>
      </c>
      <c r="AG777" s="71">
        <f>IF(tech_base!$T153&gt;AG$625,"",(1000*tech_proj!AG1117*(-PMT($J$110,tech_base!$F153,1))+1000*tech_proj!AG1397)/((1-tech_proj!AG557)*tech_proj!AG837*$L$110))</f>
        <v>25.093837651148434</v>
      </c>
      <c r="AH777" s="71">
        <f>IF(tech_base!$T153&gt;AH$625,"",(1000*tech_proj!AH1117*(-PMT($J$110,tech_base!$F153,1))+1000*tech_proj!AH1397)/((1-tech_proj!AH557)*tech_proj!AH837*$L$110))</f>
        <v>25.070527249075319</v>
      </c>
      <c r="AI777" s="71">
        <f>IF(tech_base!$T153&gt;AI$625,"",(1000*tech_proj!AI1117*(-PMT($J$110,tech_base!$F153,1))+1000*tech_proj!AI1397)/((1-tech_proj!AI557)*tech_proj!AI837*$L$110))</f>
        <v>25.045859280204109</v>
      </c>
      <c r="AJ777" s="71">
        <f>IF(tech_base!$T153&gt;AJ$625,"",(1000*tech_proj!AJ1117*(-PMT($J$110,tech_base!$F153,1))+1000*tech_proj!AJ1397)/((1-tech_proj!AJ557)*tech_proj!AJ837*$L$110))</f>
        <v>25.019848704332837</v>
      </c>
      <c r="AK777" s="71">
        <f>IF(tech_base!$T153&gt;AK$625,"",(1000*tech_proj!AK1117*(-PMT($J$110,tech_base!$F153,1))+1000*tech_proj!AK1397)/((1-tech_proj!AK557)*tech_proj!AK837*$L$110))</f>
        <v>24.992527130291339</v>
      </c>
      <c r="AL777" s="71">
        <f>IF(tech_base!$T153&gt;AL$625,"",(1000*tech_proj!AL1117*(-PMT($J$110,tech_base!$F153,1))+1000*tech_proj!AL1397)/((1-tech_proj!AL557)*tech_proj!AL837*$L$110))</f>
        <v>24.963944168905712</v>
      </c>
      <c r="AM777" s="71">
        <f>IF(tech_base!$T153&gt;AM$625,"",(1000*tech_proj!AM1117*(-PMT($J$110,tech_base!$F153,1))+1000*tech_proj!AM1397)/((1-tech_proj!AM557)*tech_proj!AM837*$L$110))</f>
        <v>24.934168436294193</v>
      </c>
      <c r="AN777" s="71">
        <f>IF(tech_base!$T153&gt;AN$625,"",(1000*tech_proj!AN1117*(-PMT($J$110,tech_base!$F153,1))+1000*tech_proj!AN1397)/((1-tech_proj!AN557)*tech_proj!AN837*$L$110))</f>
        <v>24.903288110013946</v>
      </c>
      <c r="AO777" s="71">
        <f>IF(tech_base!$T153&gt;AO$625,"",(1000*tech_proj!AO1117*(-PMT($J$110,tech_base!$F153,1))+1000*tech_proj!AO1397)/((1-tech_proj!AO557)*tech_proj!AO837*$L$110))</f>
        <v>24.871410948930567</v>
      </c>
      <c r="AP777" s="71">
        <f>IF(tech_base!$T153&gt;AP$625,"",(1000*tech_proj!AP1117*(-PMT($J$110,tech_base!$F153,1))+1000*tech_proj!AP1397)/((1-tech_proj!AP557)*tech_proj!AP837*$L$110))</f>
        <v>24.838663704201505</v>
      </c>
      <c r="AQ777" s="71">
        <f>IF(tech_base!$T153&gt;AQ$625,"",(1000*tech_proj!AQ1117*(-PMT($J$110,tech_base!$F153,1))+1000*tech_proj!AQ1397)/((1-tech_proj!AQ557)*tech_proj!AQ837*$L$110))</f>
        <v>24.805190873588987</v>
      </c>
      <c r="AR777" s="71">
        <f>IF(tech_base!$T153&gt;AR$625,"",(1000*tech_proj!AR1117*(-PMT($J$110,tech_base!$F153,1))+1000*tech_proj!AR1397)/((1-tech_proj!AR557)*tech_proj!AR837*$L$110))</f>
        <v>24.771152783669322</v>
      </c>
      <c r="AS777" s="71">
        <f>IF(tech_base!$T153&gt;AS$625,"",(1000*tech_proj!AS1117*(-PMT($J$110,tech_base!$F153,1))+1000*tech_proj!AS1397)/((1-tech_proj!AS557)*tech_proj!AS837*$L$110))</f>
        <v>24.73672302258581</v>
      </c>
      <c r="AT777" s="71">
        <f>IF(tech_base!$T153&gt;AT$625,"",(1000*tech_proj!AT1117*(-PMT($J$110,tech_base!$F153,1))+1000*tech_proj!AT1397)/((1-tech_proj!AT557)*tech_proj!AT837*$L$110))</f>
        <v>24.702085287029718</v>
      </c>
      <c r="AU777" s="71">
        <f>IF(tech_base!$T153&gt;AU$625,"",(1000*tech_proj!AU1117*(-PMT($J$110,tech_base!$F153,1))+1000*tech_proj!AU1397)/((1-tech_proj!AU557)*tech_proj!AU837*$L$110))</f>
        <v>24.667429747590742</v>
      </c>
      <c r="AV777" s="71">
        <f>IF(tech_base!$T153&gt;AV$625,"",(1000*tech_proj!AV1117*(-PMT($J$110,tech_base!$F153,1))+1000*tech_proj!AV1397)/((1-tech_proj!AV557)*tech_proj!AV837*$L$110))</f>
        <v>24.632949072568504</v>
      </c>
      <c r="AW777" s="71">
        <f>IF(tech_base!$T153&gt;AW$625,"",(1000*tech_proj!AW1117*(-PMT($J$110,tech_base!$F153,1))+1000*tech_proj!AW1397)/((1-tech_proj!AW557)*tech_proj!AW837*$L$110))</f>
        <v>24.598834277958584</v>
      </c>
      <c r="AX777" s="237">
        <f>IF(tech_base!$T153&gt;AX$625,"",(1000*tech_proj!AX1117*(-PMT($J$110,tech_base!$F153,1))+1000*tech_proj!AX1397)/((1-tech_proj!AX557)*tech_proj!AX837*$L$110))</f>
        <v>24.565270587446836</v>
      </c>
    </row>
    <row r="778" spans="1:50" x14ac:dyDescent="0.25">
      <c r="A778" s="356"/>
      <c r="B778" s="376"/>
      <c r="C778" s="378"/>
      <c r="D778" s="2" t="s">
        <v>8</v>
      </c>
      <c r="E778" s="160" t="str">
        <f>A765&amp;"/"&amp;B773&amp;"/"&amp;C777&amp;"/"&amp;D778</f>
        <v>Diesel oil fired power plants/Gas turbine /CHP/M</v>
      </c>
      <c r="F778" s="76" t="str">
        <f>A765</f>
        <v>Diesel oil fired power plants</v>
      </c>
      <c r="G778" s="76" t="str">
        <f>B773</f>
        <v xml:space="preserve">Gas turbine </v>
      </c>
      <c r="H778" s="76" t="str">
        <f>C777</f>
        <v>CHP</v>
      </c>
      <c r="I778" s="161" t="str">
        <f t="shared" si="364"/>
        <v>M</v>
      </c>
      <c r="J778" s="69">
        <f>IF(tech_base!$T154&gt;J$625,"",(1000*tech_proj!J1118*(-PMT($J$110,tech_base!$F154,1))+1000*tech_proj!J1398)/((1-tech_proj!J558)*tech_proj!J838*$L$110))</f>
        <v>26.181719664632258</v>
      </c>
      <c r="K778" s="69">
        <f>IF(tech_base!$T154&gt;K$625,"",(1000*tech_proj!K1118*(-PMT($J$110,tech_base!$F154,1))+1000*tech_proj!K1398)/((1-tech_proj!K558)*tech_proj!K838*$L$110))</f>
        <v>26.177672806959141</v>
      </c>
      <c r="L778" s="69">
        <f>IF(tech_base!$T154&gt;L$625,"",(1000*tech_proj!L1118*(-PMT($J$110,tech_base!$F154,1))+1000*tech_proj!L1398)/((1-tech_proj!L558)*tech_proj!L838*$L$110))</f>
        <v>26.173225017929511</v>
      </c>
      <c r="M778" s="69">
        <f>IF(tech_base!$T154&gt;M$625,"",(1000*tech_proj!M1118*(-PMT($J$110,tech_base!$F154,1))+1000*tech_proj!M1398)/((1-tech_proj!M558)*tech_proj!M838*$L$110))</f>
        <v>26.168339348790131</v>
      </c>
      <c r="N778" s="69">
        <f>IF(tech_base!$T154&gt;N$625,"",(1000*tech_proj!N1118*(-PMT($J$110,tech_base!$F154,1))+1000*tech_proj!N1398)/((1-tech_proj!N558)*tech_proj!N838*$L$110))</f>
        <v>26.162976037414918</v>
      </c>
      <c r="O778" s="69">
        <f>IF(tech_base!$T154&gt;O$625,"",(1000*tech_proj!O1118*(-PMT($J$110,tech_base!$F154,1))+1000*tech_proj!O1398)/((1-tech_proj!O558)*tech_proj!O838*$L$110))</f>
        <v>26.15709242272343</v>
      </c>
      <c r="P778" s="69">
        <f>IF(tech_base!$T154&gt;P$625,"",(1000*tech_proj!P1118*(-PMT($J$110,tech_base!$F154,1))+1000*tech_proj!P1398)/((1-tech_proj!P558)*tech_proj!P838*$L$110))</f>
        <v>26.150642887964235</v>
      </c>
      <c r="Q778" s="69">
        <f>IF(tech_base!$T154&gt;Q$625,"",(1000*tech_proj!Q1118*(-PMT($J$110,tech_base!$F154,1))+1000*tech_proj!Q1398)/((1-tech_proj!Q558)*tech_proj!Q838*$L$110))</f>
        <v>26.143578841607003</v>
      </c>
      <c r="R778" s="69">
        <f>IF(tech_base!$T154&gt;R$625,"",(1000*tech_proj!R1118*(-PMT($J$110,tech_base!$F154,1))+1000*tech_proj!R1398)/((1-tech_proj!R558)*tech_proj!R838*$L$110))</f>
        <v>26.1358487459975</v>
      </c>
      <c r="S778" s="69">
        <f>IF(tech_base!$T154&gt;S$625,"",(1000*tech_proj!S1118*(-PMT($J$110,tech_base!$F154,1))+1000*tech_proj!S1398)/((1-tech_proj!S558)*tech_proj!S838*$L$110))</f>
        <v>26.127398205394901</v>
      </c>
      <c r="T778" s="69">
        <f>IF(tech_base!$T154&gt;T$625,"",(1000*tech_proj!T1118*(-PMT($J$110,tech_base!$F154,1))+1000*tech_proj!T1398)/((1-tech_proj!T558)*tech_proj!T838*$L$110))</f>
        <v>26.118170126475402</v>
      </c>
      <c r="U778" s="69">
        <f>IF(tech_base!$T154&gt;U$625,"",(1000*tech_proj!U1118*(-PMT($J$110,tech_base!$F154,1))+1000*tech_proj!U1398)/((1-tech_proj!U558)*tech_proj!U838*$L$110))</f>
        <v>26.108104965767069</v>
      </c>
      <c r="V778" s="69">
        <f>IF(tech_base!$T154&gt;V$625,"",(1000*tech_proj!V1118*(-PMT($J$110,tech_base!$F154,1))+1000*tech_proj!V1398)/((1-tech_proj!V558)*tech_proj!V838*$L$110))</f>
        <v>26.09714107966882</v>
      </c>
      <c r="W778" s="69">
        <f>IF(tech_base!$T154&gt;W$625,"",(1000*tech_proj!W1118*(-PMT($J$110,tech_base!$F154,1))+1000*tech_proj!W1398)/((1-tech_proj!W558)*tech_proj!W838*$L$110))</f>
        <v>26.085215193556632</v>
      </c>
      <c r="X778" s="69">
        <f>IF(tech_base!$T154&gt;X$625,"",(1000*tech_proj!X1118*(-PMT($J$110,tech_base!$F154,1))+1000*tech_proj!X1398)/((1-tech_proj!X558)*tech_proj!X838*$L$110))</f>
        <v>26.07226300681199</v>
      </c>
      <c r="Y778" s="69">
        <f>IF(tech_base!$T154&gt;Y$625,"",(1000*tech_proj!Y1118*(-PMT($J$110,tech_base!$F154,1))+1000*tech_proj!Y1398)/((1-tech_proj!Y558)*tech_proj!Y838*$L$110))</f>
        <v>26.058219950202254</v>
      </c>
      <c r="Z778" s="69">
        <f>IF(tech_base!$T154&gt;Z$625,"",(1000*tech_proj!Z1118*(-PMT($J$110,tech_base!$F154,1))+1000*tech_proj!Z1398)/((1-tech_proj!Z558)*tech_proj!Z838*$L$110))</f>
        <v>26.043022110648057</v>
      </c>
      <c r="AA778" s="69">
        <f>IF(tech_base!$T154&gt;AA$625,"",(1000*tech_proj!AA1118*(-PMT($J$110,tech_base!$F154,1))+1000*tech_proj!AA1398)/((1-tech_proj!AA558)*tech_proj!AA838*$L$110))</f>
        <v>26.026607335747549</v>
      </c>
      <c r="AB778" s="69">
        <f>IF(tech_base!$T154&gt;AB$625,"",(1000*tech_proj!AB1118*(-PMT($J$110,tech_base!$F154,1))+1000*tech_proj!AB1398)/((1-tech_proj!AB558)*tech_proj!AB838*$L$110))</f>
        <v>26.008916526201908</v>
      </c>
      <c r="AC778" s="69">
        <f>IF(tech_base!$T154&gt;AC$625,"",(1000*tech_proj!AC1118*(-PMT($J$110,tech_base!$F154,1))+1000*tech_proj!AC1398)/((1-tech_proj!AC558)*tech_proj!AC838*$L$110))</f>
        <v>25.989895118223565</v>
      </c>
      <c r="AD778" s="69">
        <f>IF(tech_base!$T154&gt;AD$625,"",(1000*tech_proj!AD1118*(-PMT($J$110,tech_base!$F154,1))+1000*tech_proj!AD1398)/((1-tech_proj!AD558)*tech_proj!AD838*$L$110))</f>
        <v>25.969494749879441</v>
      </c>
      <c r="AE778" s="69">
        <f>IF(tech_base!$T154&gt;AE$625,"",(1000*tech_proj!AE1118*(-PMT($J$110,tech_base!$F154,1))+1000*tech_proj!AE1398)/((1-tech_proj!AE558)*tech_proj!AE838*$L$110))</f>
        <v>25.947675094996242</v>
      </c>
      <c r="AF778" s="69">
        <f>IF(tech_base!$T154&gt;AF$625,"",(1000*tech_proj!AF1118*(-PMT($J$110,tech_base!$F154,1))+1000*tech_proj!AF1398)/((1-tech_proj!AF558)*tech_proj!AF838*$L$110))</f>
        <v>25.924405835752822</v>
      </c>
      <c r="AG778" s="69">
        <f>IF(tech_base!$T154&gt;AG$625,"",(1000*tech_proj!AG1118*(-PMT($J$110,tech_base!$F154,1))+1000*tech_proj!AG1398)/((1-tech_proj!AG558)*tech_proj!AG838*$L$110))</f>
        <v>25.899668730645818</v>
      </c>
      <c r="AH778" s="69">
        <f>IF(tech_base!$T154&gt;AH$625,"",(1000*tech_proj!AH1118*(-PMT($J$110,tech_base!$F154,1))+1000*tech_proj!AH1398)/((1-tech_proj!AH558)*tech_proj!AH838*$L$110))</f>
        <v>25.873459718656605</v>
      </c>
      <c r="AI778" s="69">
        <f>IF(tech_base!$T154&gt;AI$625,"",(1000*tech_proj!AI1118*(-PMT($J$110,tech_base!$F154,1))+1000*tech_proj!AI1398)/((1-tech_proj!AI558)*tech_proj!AI838*$L$110))</f>
        <v>25.845790984022425</v>
      </c>
      <c r="AJ778" s="69">
        <f>IF(tech_base!$T154&gt;AJ$625,"",(1000*tech_proj!AJ1118*(-PMT($J$110,tech_base!$F154,1))+1000*tech_proj!AJ1398)/((1-tech_proj!AJ558)*tech_proj!AJ838*$L$110))</f>
        <v>25.816692890235093</v>
      </c>
      <c r="AK778" s="69">
        <f>IF(tech_base!$T154&gt;AK$625,"",(1000*tech_proj!AK1118*(-PMT($J$110,tech_base!$F154,1))+1000*tech_proj!AK1398)/((1-tech_proj!AK558)*tech_proj!AK838*$L$110))</f>
        <v>25.786215678318584</v>
      </c>
      <c r="AL778" s="69">
        <f>IF(tech_base!$T154&gt;AL$625,"",(1000*tech_proj!AL1118*(-PMT($J$110,tech_base!$F154,1))+1000*tech_proj!AL1398)/((1-tech_proj!AL558)*tech_proj!AL838*$L$110))</f>
        <v>25.754430814909316</v>
      </c>
      <c r="AM778" s="69">
        <f>IF(tech_base!$T154&gt;AM$625,"",(1000*tech_proj!AM1118*(-PMT($J$110,tech_base!$F154,1))+1000*tech_proj!AM1398)/((1-tech_proj!AM558)*tech_proj!AM838*$L$110))</f>
        <v>25.721431872152955</v>
      </c>
      <c r="AN778" s="69">
        <f>IF(tech_base!$T154&gt;AN$625,"",(1000*tech_proj!AN1118*(-PMT($J$110,tech_base!$F154,1))+1000*tech_proj!AN1398)/((1-tech_proj!AN558)*tech_proj!AN838*$L$110))</f>
        <v>25.687334825829836</v>
      </c>
      <c r="AO778" s="69">
        <f>IF(tech_base!$T154&gt;AO$625,"",(1000*tech_proj!AO1118*(-PMT($J$110,tech_base!$F154,1))+1000*tech_proj!AO1398)/((1-tech_proj!AO558)*tech_proj!AO838*$L$110))</f>
        <v>25.652277671953549</v>
      </c>
      <c r="AP778" s="69">
        <f>IF(tech_base!$T154&gt;AP$625,"",(1000*tech_proj!AP1118*(-PMT($J$110,tech_base!$F154,1))+1000*tech_proj!AP1398)/((1-tech_proj!AP558)*tech_proj!AP838*$L$110))</f>
        <v>25.616419286202031</v>
      </c>
      <c r="AQ778" s="69">
        <f>IF(tech_base!$T154&gt;AQ$625,"",(1000*tech_proj!AQ1118*(-PMT($J$110,tech_base!$F154,1))+1000*tech_proj!AQ1398)/((1-tech_proj!AQ558)*tech_proj!AQ838*$L$110))</f>
        <v>25.579937484795582</v>
      </c>
      <c r="AR778" s="69">
        <f>IF(tech_base!$T154&gt;AR$625,"",(1000*tech_proj!AR1118*(-PMT($J$110,tech_base!$F154,1))+1000*tech_proj!AR1398)/((1-tech_proj!AR558)*tech_proj!AR838*$L$110))</f>
        <v>25.543026288473399</v>
      </c>
      <c r="AS778" s="69">
        <f>IF(tech_base!$T154&gt;AS$625,"",(1000*tech_proj!AS1118*(-PMT($J$110,tech_base!$F154,1))+1000*tech_proj!AS1398)/((1-tech_proj!AS558)*tech_proj!AS838*$L$110))</f>
        <v>25.505892440367806</v>
      </c>
      <c r="AT778" s="69">
        <f>IF(tech_base!$T154&gt;AT$625,"",(1000*tech_proj!AT1118*(-PMT($J$110,tech_base!$F154,1))+1000*tech_proj!AT1398)/((1-tech_proj!AT558)*tech_proj!AT838*$L$110))</f>
        <v>25.468751279955995</v>
      </c>
      <c r="AU778" s="69">
        <f>IF(tech_base!$T154&gt;AU$625,"",(1000*tech_proj!AU1118*(-PMT($J$110,tech_base!$F154,1))+1000*tech_proj!AU1398)/((1-tech_proj!AU558)*tech_proj!AU838*$L$110))</f>
        <v>25.431822124127393</v>
      </c>
      <c r="AV778" s="69">
        <f>IF(tech_base!$T154&gt;AV$625,"",(1000*tech_proj!AV1118*(-PMT($J$110,tech_base!$F154,1))+1000*tech_proj!AV1398)/((1-tech_proj!AV558)*tech_proj!AV838*$L$110))</f>
        <v>25.395323347647647</v>
      </c>
      <c r="AW778" s="69">
        <f>IF(tech_base!$T154&gt;AW$625,"",(1000*tech_proj!AW1118*(-PMT($J$110,tech_base!$F154,1))+1000*tech_proj!AW1398)/((1-tech_proj!AW558)*tech_proj!AW838*$L$110))</f>
        <v>25.359467384175669</v>
      </c>
      <c r="AX778" s="235">
        <f>IF(tech_base!$T154&gt;AX$625,"",(1000*tech_proj!AX1118*(-PMT($J$110,tech_base!$F154,1))+1000*tech_proj!AX1398)/((1-tech_proj!AX558)*tech_proj!AX838*$L$110))</f>
        <v>25.32445588180703</v>
      </c>
    </row>
    <row r="779" spans="1:50" x14ac:dyDescent="0.25">
      <c r="A779" s="356"/>
      <c r="B779" s="376"/>
      <c r="C779" s="378"/>
      <c r="D779" s="2" t="s">
        <v>10</v>
      </c>
      <c r="E779" s="160" t="str">
        <f>A765&amp;"/"&amp;B773&amp;"/"&amp;C777&amp;"/"&amp;D779</f>
        <v>Diesel oil fired power plants/Gas turbine /CHP/S</v>
      </c>
      <c r="F779" s="76" t="str">
        <f>A765</f>
        <v>Diesel oil fired power plants</v>
      </c>
      <c r="G779" s="76" t="str">
        <f>B773</f>
        <v xml:space="preserve">Gas turbine </v>
      </c>
      <c r="H779" s="76" t="str">
        <f>C777</f>
        <v>CHP</v>
      </c>
      <c r="I779" s="161" t="str">
        <f t="shared" si="364"/>
        <v>S</v>
      </c>
      <c r="J779" s="69">
        <f>IF(tech_base!$T155&gt;J$625,"",(1000*tech_proj!J1119*(-PMT($J$110,tech_base!$F155,1))+1000*tech_proj!J1399)/((1-tech_proj!J559)*tech_proj!J839*$L$110))</f>
        <v>29.021748316776293</v>
      </c>
      <c r="K779" s="69">
        <f>IF(tech_base!$T155&gt;K$625,"",(1000*tech_proj!K1119*(-PMT($J$110,tech_base!$F155,1))+1000*tech_proj!K1399)/((1-tech_proj!K559)*tech_proj!K839*$L$110))</f>
        <v>29.019260391236841</v>
      </c>
      <c r="L779" s="69">
        <f>IF(tech_base!$T155&gt;L$625,"",(1000*tech_proj!L1119*(-PMT($J$110,tech_base!$F155,1))+1000*tech_proj!L1399)/((1-tech_proj!L559)*tech_proj!L839*$L$110))</f>
        <v>29.01651923257613</v>
      </c>
      <c r="M779" s="69">
        <f>IF(tech_base!$T155&gt;M$625,"",(1000*tech_proj!M1119*(-PMT($J$110,tech_base!$F155,1))+1000*tech_proj!M1399)/((1-tech_proj!M559)*tech_proj!M839*$L$110))</f>
        <v>29.013500026379575</v>
      </c>
      <c r="N779" s="69">
        <f>IF(tech_base!$T155&gt;N$625,"",(1000*tech_proj!N1119*(-PMT($J$110,tech_base!$F155,1))+1000*tech_proj!N1399)/((1-tech_proj!N559)*tech_proj!N839*$L$110))</f>
        <v>29.010175735076384</v>
      </c>
      <c r="O779" s="69">
        <f>IF(tech_base!$T155&gt;O$625,"",(1000*tech_proj!O1119*(-PMT($J$110,tech_base!$F155,1))+1000*tech_proj!O1399)/((1-tech_proj!O559)*tech_proj!O839*$L$110))</f>
        <v>29.006516944316161</v>
      </c>
      <c r="P779" s="69">
        <f>IF(tech_base!$T155&gt;P$625,"",(1000*tech_proj!P1119*(-PMT($J$110,tech_base!$F155,1))+1000*tech_proj!P1399)/((1-tech_proj!P559)*tech_proj!P839*$L$110))</f>
        <v>29.00249170914072</v>
      </c>
      <c r="Q779" s="69">
        <f>IF(tech_base!$T155&gt;Q$625,"",(1000*tech_proj!Q1119*(-PMT($J$110,tech_base!$F155,1))+1000*tech_proj!Q1399)/((1-tech_proj!Q559)*tech_proj!Q839*$L$110))</f>
        <v>28.998065402872822</v>
      </c>
      <c r="R779" s="69">
        <f>IF(tech_base!$T155&gt;R$625,"",(1000*tech_proj!R1119*(-PMT($J$110,tech_base!$F155,1))+1000*tech_proj!R1399)/((1-tech_proj!R559)*tech_proj!R839*$L$110))</f>
        <v>28.993200572416619</v>
      </c>
      <c r="S779" s="69">
        <f>IF(tech_base!$T155&gt;S$625,"",(1000*tech_proj!S1119*(-PMT($J$110,tech_base!$F155,1))+1000*tech_proj!S1399)/((1-tech_proj!S559)*tech_proj!S839*$L$110))</f>
        <v>28.987856804564814</v>
      </c>
      <c r="T779" s="69">
        <f>IF(tech_base!$T155&gt;T$625,"",(1000*tech_proj!T1119*(-PMT($J$110,tech_base!$F155,1))+1000*tech_proj!T1399)/((1-tech_proj!T559)*tech_proj!T839*$L$110))</f>
        <v>28.98199060894482</v>
      </c>
      <c r="U779" s="69">
        <f>IF(tech_base!$T155&gt;U$625,"",(1000*tech_proj!U1119*(-PMT($J$110,tech_base!$F155,1))+1000*tech_proj!U1399)/((1-tech_proj!U559)*tech_proj!U839*$L$110))</f>
        <v>28.975555324412888</v>
      </c>
      <c r="V779" s="69">
        <f>IF(tech_base!$T155&gt;V$625,"",(1000*tech_proj!V1119*(-PMT($J$110,tech_base!$F155,1))+1000*tech_proj!V1399)/((1-tech_proj!V559)*tech_proj!V839*$L$110))</f>
        <v>28.968501057019385</v>
      </c>
      <c r="W779" s="69">
        <f>IF(tech_base!$T155&gt;W$625,"",(1000*tech_proj!W1119*(-PMT($J$110,tech_base!$F155,1))+1000*tech_proj!W1399)/((1-tech_proj!W559)*tech_proj!W839*$L$110))</f>
        <v>28.960774659109383</v>
      </c>
      <c r="X779" s="69">
        <f>IF(tech_base!$T155&gt;X$625,"",(1000*tech_proj!X1119*(-PMT($J$110,tech_base!$F155,1))+1000*tech_proj!X1399)/((1-tech_proj!X559)*tech_proj!X839*$L$110))</f>
        <v>28.952319760664345</v>
      </c>
      <c r="Y779" s="69">
        <f>IF(tech_base!$T155&gt;Y$625,"",(1000*tech_proj!Y1119*(-PMT($J$110,tech_base!$F155,1))+1000*tech_proj!Y1399)/((1-tech_proj!Y559)*tech_proj!Y839*$L$110))</f>
        <v>28.943076865594218</v>
      </c>
      <c r="Z779" s="69">
        <f>IF(tech_base!$T155&gt;Z$625,"",(1000*tech_proj!Z1119*(-PMT($J$110,tech_base!$F155,1))+1000*tech_proj!Z1399)/((1-tech_proj!Z559)*tech_proj!Z839*$L$110))</f>
        <v>28.93298352729046</v>
      </c>
      <c r="AA779" s="69">
        <f>IF(tech_base!$T155&gt;AA$625,"",(1000*tech_proj!AA1119*(-PMT($J$110,tech_base!$F155,1))+1000*tech_proj!AA1399)/((1-tech_proj!AA559)*tech_proj!AA839*$L$110))</f>
        <v>28.921974619261267</v>
      </c>
      <c r="AB779" s="69">
        <f>IF(tech_base!$T155&gt;AB$625,"",(1000*tech_proj!AB1119*(-PMT($J$110,tech_base!$F155,1))+1000*tech_proj!AB1399)/((1-tech_proj!AB559)*tech_proj!AB839*$L$110))</f>
        <v>28.909982717969683</v>
      </c>
      <c r="AC779" s="69">
        <f>IF(tech_base!$T155&gt;AC$625,"",(1000*tech_proj!AC1119*(-PMT($J$110,tech_base!$F155,1))+1000*tech_proj!AC1399)/((1-tech_proj!AC559)*tech_proj!AC839*$L$110))</f>
        <v>28.896938615924995</v>
      </c>
      <c r="AD779" s="69">
        <f>IF(tech_base!$T155&gt;AD$625,"",(1000*tech_proj!AD1119*(-PMT($J$110,tech_base!$F155,1))+1000*tech_proj!AD1399)/((1-tech_proj!AD559)*tech_proj!AD839*$L$110))</f>
        <v>28.882771983440854</v>
      </c>
      <c r="AE779" s="69">
        <f>IF(tech_base!$T155&gt;AE$625,"",(1000*tech_proj!AE1119*(-PMT($J$110,tech_base!$F155,1))+1000*tech_proj!AE1399)/((1-tech_proj!AE559)*tech_proj!AE839*$L$110))</f>
        <v>28.867412197030546</v>
      </c>
      <c r="AF779" s="69">
        <f>IF(tech_base!$T155&gt;AF$625,"",(1000*tech_proj!AF1119*(-PMT($J$110,tech_base!$F155,1))+1000*tech_proj!AF1399)/((1-tech_proj!AF559)*tech_proj!AF839*$L$110))</f>
        <v>28.850789350884028</v>
      </c>
      <c r="AG779" s="69">
        <f>IF(tech_base!$T155&gt;AG$625,"",(1000*tech_proj!AG1119*(-PMT($J$110,tech_base!$F155,1))+1000*tech_proj!AG1399)/((1-tech_proj!AG559)*tech_proj!AG839*$L$110))</f>
        <v>28.832835464956489</v>
      </c>
      <c r="AH779" s="69">
        <f>IF(tech_base!$T155&gt;AH$625,"",(1000*tech_proj!AH1119*(-PMT($J$110,tech_base!$F155,1))+1000*tech_proj!AH1399)/((1-tech_proj!AH559)*tech_proj!AH839*$L$110))</f>
        <v>28.813485898576623</v>
      </c>
      <c r="AI779" s="69">
        <f>IF(tech_base!$T155&gt;AI$625,"",(1000*tech_proj!AI1119*(-PMT($J$110,tech_base!$F155,1))+1000*tech_proj!AI1399)/((1-tech_proj!AI559)*tech_proj!AI839*$L$110))</f>
        <v>28.792680971850903</v>
      </c>
      <c r="AJ779" s="69">
        <f>IF(tech_base!$T155&gt;AJ$625,"",(1000*tech_proj!AJ1119*(-PMT($J$110,tech_base!$F155,1))+1000*tech_proj!AJ1399)/((1-tech_proj!AJ559)*tech_proj!AJ839*$L$110))</f>
        <v>28.770367788249551</v>
      </c>
      <c r="AK779" s="69">
        <f>IF(tech_base!$T155&gt;AK$625,"",(1000*tech_proj!AK1119*(-PMT($J$110,tech_base!$F155,1))+1000*tech_proj!AK1399)/((1-tech_proj!AK559)*tech_proj!AK839*$L$110))</f>
        <v>28.746502240465585</v>
      </c>
      <c r="AL779" s="69">
        <f>IF(tech_base!$T155&gt;AL$625,"",(1000*tech_proj!AL1119*(-PMT($J$110,tech_base!$F155,1))+1000*tech_proj!AL1399)/((1-tech_proj!AL559)*tech_proj!AL839*$L$110))</f>
        <v>28.721051167964944</v>
      </c>
      <c r="AM779" s="69">
        <f>IF(tech_base!$T155&gt;AM$625,"",(1000*tech_proj!AM1119*(-PMT($J$110,tech_base!$F155,1))+1000*tech_proj!AM1399)/((1-tech_proj!AM559)*tech_proj!AM839*$L$110))</f>
        <v>28.693994618852308</v>
      </c>
      <c r="AN779" s="69">
        <f>IF(tech_base!$T155&gt;AN$625,"",(1000*tech_proj!AN1119*(-PMT($J$110,tech_base!$F155,1))+1000*tech_proj!AN1399)/((1-tech_proj!AN559)*tech_proj!AN839*$L$110))</f>
        <v>28.665328151332673</v>
      </c>
      <c r="AO779" s="69">
        <f>IF(tech_base!$T155&gt;AO$625,"",(1000*tech_proj!AO1119*(-PMT($J$110,tech_base!$F155,1))+1000*tech_proj!AO1399)/((1-tech_proj!AO559)*tech_proj!AO839*$L$110))</f>
        <v>28.635065092083178</v>
      </c>
      <c r="AP779" s="69">
        <f>IF(tech_base!$T155&gt;AP$625,"",(1000*tech_proj!AP1119*(-PMT($J$110,tech_base!$F155,1))+1000*tech_proj!AP1399)/((1-tech_proj!AP559)*tech_proj!AP839*$L$110))</f>
        <v>28.603238651590825</v>
      </c>
      <c r="AQ779" s="69">
        <f>IF(tech_base!$T155&gt;AQ$625,"",(1000*tech_proj!AQ1119*(-PMT($J$110,tech_base!$F155,1))+1000*tech_proj!AQ1399)/((1-tech_proj!AQ559)*tech_proj!AQ839*$L$110))</f>
        <v>28.569903781666955</v>
      </c>
      <c r="AR779" s="69">
        <f>IF(tech_base!$T155&gt;AR$625,"",(1000*tech_proj!AR1119*(-PMT($J$110,tech_base!$F155,1))+1000*tech_proj!AR1399)/((1-tech_proj!AR559)*tech_proj!AR839*$L$110))</f>
        <v>28.535138649928566</v>
      </c>
      <c r="AS779" s="69">
        <f>IF(tech_base!$T155&gt;AS$625,"",(1000*tech_proj!AS1119*(-PMT($J$110,tech_base!$F155,1))+1000*tech_proj!AS1399)/((1-tech_proj!AS559)*tech_proj!AS839*$L$110))</f>
        <v>28.499045602197622</v>
      </c>
      <c r="AT779" s="69">
        <f>IF(tech_base!$T155&gt;AT$625,"",(1000*tech_proj!AT1119*(-PMT($J$110,tech_base!$F155,1))+1000*tech_proj!AT1399)/((1-tech_proj!AT559)*tech_proj!AT839*$L$110))</f>
        <v>28.461751488579775</v>
      </c>
      <c r="AU779" s="69">
        <f>IF(tech_base!$T155&gt;AU$625,"",(1000*tech_proj!AU1119*(-PMT($J$110,tech_base!$F155,1))+1000*tech_proj!AU1399)/((1-tech_proj!AU559)*tech_proj!AU839*$L$110))</f>
        <v>28.423407244113818</v>
      </c>
      <c r="AV779" s="69">
        <f>IF(tech_base!$T155&gt;AV$625,"",(1000*tech_proj!AV1119*(-PMT($J$110,tech_base!$F155,1))+1000*tech_proj!AV1399)/((1-tech_proj!AV559)*tech_proj!AV839*$L$110))</f>
        <v>28.384186641258754</v>
      </c>
      <c r="AW779" s="69">
        <f>IF(tech_base!$T155&gt;AW$625,"",(1000*tech_proj!AW1119*(-PMT($J$110,tech_base!$F155,1))+1000*tech_proj!AW1399)/((1-tech_proj!AW559)*tech_proj!AW839*$L$110))</f>
        <v>28.344284168952424</v>
      </c>
      <c r="AX779" s="235">
        <f>IF(tech_base!$T155&gt;AX$625,"",(1000*tech_proj!AX1119*(-PMT($J$110,tech_base!$F155,1))+1000*tech_proj!AX1399)/((1-tech_proj!AX559)*tech_proj!AX839*$L$110))</f>
        <v>28.303912040048193</v>
      </c>
    </row>
    <row r="780" spans="1:50" x14ac:dyDescent="0.25">
      <c r="A780" s="356"/>
      <c r="B780" s="376"/>
      <c r="C780" s="379"/>
      <c r="D780" s="59" t="s">
        <v>20</v>
      </c>
      <c r="E780" s="166" t="str">
        <f>A765&amp;"/"&amp;B773&amp;"/"&amp;C777&amp;"/"&amp;D780</f>
        <v>Diesel oil fired power plants/Gas turbine /CHP/XS</v>
      </c>
      <c r="F780" s="79" t="str">
        <f>A765</f>
        <v>Diesel oil fired power plants</v>
      </c>
      <c r="G780" s="79" t="str">
        <f>B773</f>
        <v xml:space="preserve">Gas turbine </v>
      </c>
      <c r="H780" s="79" t="str">
        <f>C777</f>
        <v>CHP</v>
      </c>
      <c r="I780" s="167" t="str">
        <f t="shared" si="364"/>
        <v>XS</v>
      </c>
      <c r="J780" s="72">
        <f>IF(tech_base!$T156&gt;J$625,"",(1000*tech_proj!J1120*(-PMT($J$110,tech_base!$F156,1))+1000*tech_proj!J1400)/((1-tech_proj!J560)*tech_proj!J840*$L$110))</f>
        <v>37.278412501164702</v>
      </c>
      <c r="K780" s="72">
        <f>IF(tech_base!$T156&gt;K$625,"",(1000*tech_proj!K1120*(-PMT($J$110,tech_base!$F156,1))+1000*tech_proj!K1400)/((1-tech_proj!K560)*tech_proj!K840*$L$110))</f>
        <v>37.276261206379978</v>
      </c>
      <c r="L780" s="72">
        <f>IF(tech_base!$T156&gt;L$625,"",(1000*tech_proj!L1120*(-PMT($J$110,tech_base!$F156,1))+1000*tech_proj!L1400)/((1-tech_proj!L560)*tech_proj!L840*$L$110))</f>
        <v>37.273888563809194</v>
      </c>
      <c r="M780" s="72">
        <f>IF(tech_base!$T156&gt;M$625,"",(1000*tech_proj!M1120*(-PMT($J$110,tech_base!$F156,1))+1000*tech_proj!M1400)/((1-tech_proj!M560)*tech_proj!M840*$L$110))</f>
        <v>37.271272361903847</v>
      </c>
      <c r="N780" s="72">
        <f>IF(tech_base!$T156&gt;N$625,"",(1000*tech_proj!N1120*(-PMT($J$110,tech_base!$F156,1))+1000*tech_proj!N1400)/((1-tech_proj!N560)*tech_proj!N840*$L$110))</f>
        <v>37.268388283197126</v>
      </c>
      <c r="O780" s="72">
        <f>IF(tech_base!$T156&gt;O$625,"",(1000*tech_proj!O1120*(-PMT($J$110,tech_base!$F156,1))+1000*tech_proj!O1400)/((1-tech_proj!O560)*tech_proj!O840*$L$110))</f>
        <v>37.265209731603079</v>
      </c>
      <c r="P780" s="72">
        <f>IF(tech_base!$T156&gt;P$625,"",(1000*tech_proj!P1120*(-PMT($J$110,tech_base!$F156,1))+1000*tech_proj!P1400)/((1-tech_proj!P560)*tech_proj!P840*$L$110))</f>
        <v>37.261707651620256</v>
      </c>
      <c r="Q780" s="72">
        <f>IF(tech_base!$T156&gt;Q$625,"",(1000*tech_proj!Q1120*(-PMT($J$110,tech_base!$F156,1))+1000*tech_proj!Q1400)/((1-tech_proj!Q560)*tech_proj!Q840*$L$110))</f>
        <v>37.257850340572709</v>
      </c>
      <c r="R780" s="72">
        <f>IF(tech_base!$T156&gt;R$625,"",(1000*tech_proj!R1120*(-PMT($J$110,tech_base!$F156,1))+1000*tech_proj!R1400)/((1-tech_proj!R560)*tech_proj!R840*$L$110))</f>
        <v>37.253603255499925</v>
      </c>
      <c r="S780" s="72">
        <f>IF(tech_base!$T156&gt;S$625,"",(1000*tech_proj!S1120*(-PMT($J$110,tech_base!$F156,1))+1000*tech_proj!S1400)/((1-tech_proj!S560)*tech_proj!S840*$L$110))</f>
        <v>37.248928816888828</v>
      </c>
      <c r="T780" s="72">
        <f>IF(tech_base!$T156&gt;T$625,"",(1000*tech_proj!T1120*(-PMT($J$110,tech_base!$F156,1))+1000*tech_proj!T1400)/((1-tech_proj!T560)*tech_proj!T840*$L$110))</f>
        <v>37.243786212144265</v>
      </c>
      <c r="U780" s="72">
        <f>IF(tech_base!$T156&gt;U$625,"",(1000*tech_proj!U1120*(-PMT($J$110,tech_base!$F156,1))+1000*tech_proj!U1400)/((1-tech_proj!U560)*tech_proj!U840*$L$110))</f>
        <v>37.238131202530695</v>
      </c>
      <c r="V780" s="72">
        <f>IF(tech_base!$T156&gt;V$625,"",(1000*tech_proj!V1120*(-PMT($J$110,tech_base!$F156,1))+1000*tech_proj!V1400)/((1-tech_proj!V560)*tech_proj!V840*$L$110))</f>
        <v>37.2319159383051</v>
      </c>
      <c r="W780" s="72">
        <f>IF(tech_base!$T156&gt;W$625,"",(1000*tech_proj!W1120*(-PMT($J$110,tech_base!$F156,1))+1000*tech_proj!W1400)/((1-tech_proj!W560)*tech_proj!W840*$L$110))</f>
        <v>37.225088787912462</v>
      </c>
      <c r="X780" s="72">
        <f>IF(tech_base!$T156&gt;X$625,"",(1000*tech_proj!X1120*(-PMT($J$110,tech_base!$F156,1))+1000*tech_proj!X1400)/((1-tech_proj!X560)*tech_proj!X840*$L$110))</f>
        <v>37.217594188438653</v>
      </c>
      <c r="Y780" s="72">
        <f>IF(tech_base!$T156&gt;Y$625,"",(1000*tech_proj!Y1120*(-PMT($J$110,tech_base!$F156,1))+1000*tech_proj!Y1400)/((1-tech_proj!Y560)*tech_proj!Y840*$L$110))</f>
        <v>37.209372526020431</v>
      </c>
      <c r="Z780" s="72">
        <f>IF(tech_base!$T156&gt;Z$625,"",(1000*tech_proj!Z1120*(-PMT($J$110,tech_base!$F156,1))+1000*tech_proj!Z1400)/((1-tech_proj!Z560)*tech_proj!Z840*$L$110))</f>
        <v>37.200360056590462</v>
      </c>
      <c r="AA780" s="72">
        <f>IF(tech_base!$T156&gt;AA$625,"",(1000*tech_proj!AA1120*(-PMT($J$110,tech_base!$F156,1))+1000*tech_proj!AA1400)/((1-tech_proj!AA560)*tech_proj!AA840*$L$110))</f>
        <v>37.190488879176371</v>
      </c>
      <c r="AB780" s="72">
        <f>IF(tech_base!$T156&gt;AB$625,"",(1000*tech_proj!AB1120*(-PMT($J$110,tech_base!$F156,1))+1000*tech_proj!AB1400)/((1-tech_proj!AB560)*tech_proj!AB840*$L$110))</f>
        <v>37.179686975942637</v>
      </c>
      <c r="AC780" s="72">
        <f>IF(tech_base!$T156&gt;AC$625,"",(1000*tech_proj!AC1120*(-PMT($J$110,tech_base!$F156,1))+1000*tech_proj!AC1400)/((1-tech_proj!AC560)*tech_proj!AC840*$L$110))</f>
        <v>37.167878335212535</v>
      </c>
      <c r="AD780" s="72">
        <f>IF(tech_base!$T156&gt;AD$625,"",(1000*tech_proj!AD1120*(-PMT($J$110,tech_base!$F156,1))+1000*tech_proj!AD1400)/((1-tech_proj!AD560)*tech_proj!AD840*$L$110))</f>
        <v>37.154983175753046</v>
      </c>
      <c r="AE780" s="72">
        <f>IF(tech_base!$T156&gt;AE$625,"",(1000*tech_proj!AE1120*(-PMT($J$110,tech_base!$F156,1))+1000*tech_proj!AE1400)/((1-tech_proj!AE560)*tech_proj!AE840*$L$110))</f>
        <v>37.140918292536135</v>
      </c>
      <c r="AF780" s="72">
        <f>IF(tech_base!$T156&gt;AF$625,"",(1000*tech_proj!AF1120*(-PMT($J$110,tech_base!$F156,1))+1000*tech_proj!AF1400)/((1-tech_proj!AF560)*tech_proj!AF840*$L$110))</f>
        <v>37.125597545849203</v>
      </c>
      <c r="AG780" s="72">
        <f>IF(tech_base!$T156&gt;AG$625,"",(1000*tech_proj!AG1120*(-PMT($J$110,tech_base!$F156,1))+1000*tech_proj!AG1400)/((1-tech_proj!AG560)*tech_proj!AG840*$L$110))</f>
        <v>37.108932516816196</v>
      </c>
      <c r="AH780" s="72">
        <f>IF(tech_base!$T156&gt;AH$625,"",(1000*tech_proj!AH1120*(-PMT($J$110,tech_base!$F156,1))+1000*tech_proj!AH1400)/((1-tech_proj!AH560)*tech_proj!AH840*$L$110))</f>
        <v>37.090833352853892</v>
      </c>
      <c r="AI780" s="72">
        <f>IF(tech_base!$T156&gt;AI$625,"",(1000*tech_proj!AI1120*(-PMT($J$110,tech_base!$F156,1))+1000*tech_proj!AI1400)/((1-tech_proj!AI560)*tech_proj!AI840*$L$110))</f>
        <v>37.071209826022255</v>
      </c>
      <c r="AJ780" s="72">
        <f>IF(tech_base!$T156&gt;AJ$625,"",(1000*tech_proj!AJ1120*(-PMT($J$110,tech_base!$F156,1))+1000*tech_proj!AJ1400)/((1-tech_proj!AJ560)*tech_proj!AJ840*$L$110))</f>
        <v>37.049972625278677</v>
      </c>
      <c r="AK780" s="72">
        <f>IF(tech_base!$T156&gt;AK$625,"",(1000*tech_proj!AK1120*(-PMT($J$110,tech_base!$F156,1))+1000*tech_proj!AK1400)/((1-tech_proj!AK560)*tech_proj!AK840*$L$110))</f>
        <v>37.027034899921091</v>
      </c>
      <c r="AL780" s="72">
        <f>IF(tech_base!$T156&gt;AL$625,"",(1000*tech_proj!AL1120*(-PMT($J$110,tech_base!$F156,1))+1000*tech_proj!AL1400)/((1-tech_proj!AL560)*tech_proj!AL840*$L$110))</f>
        <v>37.002314065601347</v>
      </c>
      <c r="AM780" s="72">
        <f>IF(tech_base!$T156&gt;AM$625,"",(1000*tech_proj!AM1120*(-PMT($J$110,tech_base!$F156,1))+1000*tech_proj!AM1400)/((1-tech_proj!AM560)*tech_proj!AM840*$L$110))</f>
        <v>36.975733875817063</v>
      </c>
      <c r="AN780" s="72">
        <f>IF(tech_base!$T156&gt;AN$625,"",(1000*tech_proj!AN1120*(-PMT($J$110,tech_base!$F156,1))+1000*tech_proj!AN1400)/((1-tech_proj!AN560)*tech_proj!AN840*$L$110))</f>
        <v>36.947226750431092</v>
      </c>
      <c r="AO780" s="72">
        <f>IF(tech_base!$T156&gt;AO$625,"",(1000*tech_proj!AO1120*(-PMT($J$110,tech_base!$F156,1))+1000*tech_proj!AO1400)/((1-tech_proj!AO560)*tech_proj!AO840*$L$110))</f>
        <v>36.91673633833944</v>
      </c>
      <c r="AP780" s="72">
        <f>IF(tech_base!$T156&gt;AP$625,"",(1000*tech_proj!AP1120*(-PMT($J$110,tech_base!$F156,1))+1000*tech_proj!AP1400)/((1-tech_proj!AP560)*tech_proj!AP840*$L$110))</f>
        <v>36.884220273937999</v>
      </c>
      <c r="AQ780" s="72">
        <f>IF(tech_base!$T156&gt;AQ$625,"",(1000*tech_proj!AQ1120*(-PMT($J$110,tech_base!$F156,1))+1000*tech_proj!AQ1400)/((1-tech_proj!AQ560)*tech_proj!AQ840*$L$110))</f>
        <v>36.849653066862338</v>
      </c>
      <c r="AR780" s="72">
        <f>IF(tech_base!$T156&gt;AR$625,"",(1000*tech_proj!AR1120*(-PMT($J$110,tech_base!$F156,1))+1000*tech_proj!AR1400)/((1-tech_proj!AR560)*tech_proj!AR840*$L$110))</f>
        <v>36.813029042314575</v>
      </c>
      <c r="AS780" s="72">
        <f>IF(tech_base!$T156&gt;AS$625,"",(1000*tech_proj!AS1120*(-PMT($J$110,tech_base!$F156,1))+1000*tech_proj!AS1400)/((1-tech_proj!AS560)*tech_proj!AS840*$L$110))</f>
        <v>36.774365226339171</v>
      </c>
      <c r="AT780" s="72">
        <f>IF(tech_base!$T156&gt;AT$625,"",(1000*tech_proj!AT1120*(-PMT($J$110,tech_base!$F156,1))+1000*tech_proj!AT1400)/((1-tech_proj!AT560)*tech_proj!AT840*$L$110))</f>
        <v>36.733704048359655</v>
      </c>
      <c r="AU780" s="72">
        <f>IF(tech_base!$T156&gt;AU$625,"",(1000*tech_proj!AU1120*(-PMT($J$110,tech_base!$F156,1))+1000*tech_proj!AU1400)/((1-tech_proj!AU560)*tech_proj!AU840*$L$110))</f>
        <v>36.691115714322613</v>
      </c>
      <c r="AV780" s="72">
        <f>IF(tech_base!$T156&gt;AV$625,"",(1000*tech_proj!AV1120*(-PMT($J$110,tech_base!$F156,1))+1000*tech_proj!AV1400)/((1-tech_proj!AV560)*tech_proj!AV840*$L$110))</f>
        <v>36.646700090481929</v>
      </c>
      <c r="AW780" s="72">
        <f>IF(tech_base!$T156&gt;AW$625,"",(1000*tech_proj!AW1120*(-PMT($J$110,tech_base!$F156,1))+1000*tech_proj!AW1400)/((1-tech_proj!AW560)*tech_proj!AW840*$L$110))</f>
        <v>36.600587932951676</v>
      </c>
      <c r="AX780" s="238">
        <f>IF(tech_base!$T156&gt;AX$625,"",(1000*tech_proj!AX1120*(-PMT($J$110,tech_base!$F156,1))+1000*tech_proj!AX1400)/((1-tech_proj!AX560)*tech_proj!AX840*$L$110))</f>
        <v>36.55294130430125</v>
      </c>
    </row>
    <row r="781" spans="1:50" x14ac:dyDescent="0.25">
      <c r="A781" s="356"/>
      <c r="B781" s="376"/>
      <c r="C781" s="361" t="s">
        <v>15</v>
      </c>
      <c r="D781" s="58" t="s">
        <v>7</v>
      </c>
      <c r="E781" s="164" t="str">
        <f>A765&amp;"/"&amp;B773&amp;"/"&amp;C781&amp;"/"&amp;D781</f>
        <v>Diesel oil fired power plants/Gas turbine /Electricity only with CCS/L</v>
      </c>
      <c r="F781" s="78" t="str">
        <f>A765</f>
        <v>Diesel oil fired power plants</v>
      </c>
      <c r="G781" s="78" t="str">
        <f>B773</f>
        <v xml:space="preserve">Gas turbine </v>
      </c>
      <c r="H781" s="78" t="str">
        <f>C781</f>
        <v>Electricity only with CCS</v>
      </c>
      <c r="I781" s="165" t="str">
        <f t="shared" si="364"/>
        <v>L</v>
      </c>
      <c r="J781" s="71" t="str">
        <f>IF(tech_base!$T157&gt;J$625,"",(1000*tech_proj!J1121*(-PMT($J$110,tech_base!$F157,1))+1000*tech_proj!J1401)/((1-tech_proj!J561)*tech_proj!J841*$L$110))</f>
        <v/>
      </c>
      <c r="K781" s="71" t="str">
        <f>IF(tech_base!$T157&gt;K$625,"",(1000*tech_proj!K1121*(-PMT($J$110,tech_base!$F157,1))+1000*tech_proj!K1401)/((1-tech_proj!K561)*tech_proj!K841*$L$110))</f>
        <v/>
      </c>
      <c r="L781" s="71" t="str">
        <f>IF(tech_base!$T157&gt;L$625,"",(1000*tech_proj!L1121*(-PMT($J$110,tech_base!$F157,1))+1000*tech_proj!L1401)/((1-tech_proj!L561)*tech_proj!L841*$L$110))</f>
        <v/>
      </c>
      <c r="M781" s="71" t="str">
        <f>IF(tech_base!$T157&gt;M$625,"",(1000*tech_proj!M1121*(-PMT($J$110,tech_base!$F157,1))+1000*tech_proj!M1401)/((1-tech_proj!M561)*tech_proj!M841*$L$110))</f>
        <v/>
      </c>
      <c r="N781" s="71" t="str">
        <f>IF(tech_base!$T157&gt;N$625,"",(1000*tech_proj!N1121*(-PMT($J$110,tech_base!$F157,1))+1000*tech_proj!N1401)/((1-tech_proj!N561)*tech_proj!N841*$L$110))</f>
        <v/>
      </c>
      <c r="O781" s="71" t="str">
        <f>IF(tech_base!$T157&gt;O$625,"",(1000*tech_proj!O1121*(-PMT($J$110,tech_base!$F157,1))+1000*tech_proj!O1401)/((1-tech_proj!O561)*tech_proj!O841*$L$110))</f>
        <v/>
      </c>
      <c r="P781" s="71" t="str">
        <f>IF(tech_base!$T157&gt;P$625,"",(1000*tech_proj!P1121*(-PMT($J$110,tech_base!$F157,1))+1000*tech_proj!P1401)/((1-tech_proj!P561)*tech_proj!P841*$L$110))</f>
        <v/>
      </c>
      <c r="Q781" s="71" t="str">
        <f>IF(tech_base!$T157&gt;Q$625,"",(1000*tech_proj!Q1121*(-PMT($J$110,tech_base!$F157,1))+1000*tech_proj!Q1401)/((1-tech_proj!Q561)*tech_proj!Q841*$L$110))</f>
        <v/>
      </c>
      <c r="R781" s="71" t="str">
        <f>IF(tech_base!$T157&gt;R$625,"",(1000*tech_proj!R1121*(-PMT($J$110,tech_base!$F157,1))+1000*tech_proj!R1401)/((1-tech_proj!R561)*tech_proj!R841*$L$110))</f>
        <v/>
      </c>
      <c r="S781" s="71" t="str">
        <f>IF(tech_base!$T157&gt;S$625,"",(1000*tech_proj!S1121*(-PMT($J$110,tech_base!$F157,1))+1000*tech_proj!S1401)/((1-tech_proj!S561)*tech_proj!S841*$L$110))</f>
        <v/>
      </c>
      <c r="T781" s="71" t="str">
        <f>IF(tech_base!$T157&gt;T$625,"",(1000*tech_proj!T1121*(-PMT($J$110,tech_base!$F157,1))+1000*tech_proj!T1401)/((1-tech_proj!T561)*tech_proj!T841*$L$110))</f>
        <v/>
      </c>
      <c r="U781" s="71" t="str">
        <f>IF(tech_base!$T157&gt;U$625,"",(1000*tech_proj!U1121*(-PMT($J$110,tech_base!$F157,1))+1000*tech_proj!U1401)/((1-tech_proj!U561)*tech_proj!U841*$L$110))</f>
        <v/>
      </c>
      <c r="V781" s="71" t="str">
        <f>IF(tech_base!$T157&gt;V$625,"",(1000*tech_proj!V1121*(-PMT($J$110,tech_base!$F157,1))+1000*tech_proj!V1401)/((1-tech_proj!V561)*tech_proj!V841*$L$110))</f>
        <v/>
      </c>
      <c r="W781" s="71" t="str">
        <f>IF(tech_base!$T157&gt;W$625,"",(1000*tech_proj!W1121*(-PMT($J$110,tech_base!$F157,1))+1000*tech_proj!W1401)/((1-tech_proj!W561)*tech_proj!W841*$L$110))</f>
        <v/>
      </c>
      <c r="X781" s="71" t="str">
        <f>IF(tech_base!$T157&gt;X$625,"",(1000*tech_proj!X1121*(-PMT($J$110,tech_base!$F157,1))+1000*tech_proj!X1401)/((1-tech_proj!X561)*tech_proj!X841*$L$110))</f>
        <v/>
      </c>
      <c r="Y781" s="71" t="str">
        <f>IF(tech_base!$T157&gt;Y$625,"",(1000*tech_proj!Y1121*(-PMT($J$110,tech_base!$F157,1))+1000*tech_proj!Y1401)/((1-tech_proj!Y561)*tech_proj!Y841*$L$110))</f>
        <v/>
      </c>
      <c r="Z781" s="71" t="str">
        <f>IF(tech_base!$T157&gt;Z$625,"",(1000*tech_proj!Z1121*(-PMT($J$110,tech_base!$F157,1))+1000*tech_proj!Z1401)/((1-tech_proj!Z561)*tech_proj!Z841*$L$110))</f>
        <v/>
      </c>
      <c r="AA781" s="71" t="str">
        <f>IF(tech_base!$T157&gt;AA$625,"",(1000*tech_proj!AA1121*(-PMT($J$110,tech_base!$F157,1))+1000*tech_proj!AA1401)/((1-tech_proj!AA561)*tech_proj!AA841*$L$110))</f>
        <v/>
      </c>
      <c r="AB781" s="71" t="str">
        <f>IF(tech_base!$T157&gt;AB$625,"",(1000*tech_proj!AB1121*(-PMT($J$110,tech_base!$F157,1))+1000*tech_proj!AB1401)/((1-tech_proj!AB561)*tech_proj!AB841*$L$110))</f>
        <v/>
      </c>
      <c r="AC781" s="71" t="str">
        <f>IF(tech_base!$T157&gt;AC$625,"",(1000*tech_proj!AC1121*(-PMT($J$110,tech_base!$F157,1))+1000*tech_proj!AC1401)/((1-tech_proj!AC561)*tech_proj!AC841*$L$110))</f>
        <v/>
      </c>
      <c r="AD781" s="71" t="str">
        <f>IF(tech_base!$T157&gt;AD$625,"",(1000*tech_proj!AD1121*(-PMT($J$110,tech_base!$F157,1))+1000*tech_proj!AD1401)/((1-tech_proj!AD561)*tech_proj!AD841*$L$110))</f>
        <v/>
      </c>
      <c r="AE781" s="71">
        <f>IF(tech_base!$T157&gt;AE$625,"",(1000*tech_proj!AE1121*(-PMT($J$110,tech_base!$F157,1))+1000*tech_proj!AE1401)/((1-tech_proj!AE561)*tech_proj!AE841*$L$110))</f>
        <v>50.777413719470516</v>
      </c>
      <c r="AF781" s="71">
        <f>IF(tech_base!$T157&gt;AF$625,"",(1000*tech_proj!AF1121*(-PMT($J$110,tech_base!$F157,1))+1000*tech_proj!AF1401)/((1-tech_proj!AF561)*tech_proj!AF841*$L$110))</f>
        <v>50.777413719470516</v>
      </c>
      <c r="AG781" s="71">
        <f>IF(tech_base!$T157&gt;AG$625,"",(1000*tech_proj!AG1121*(-PMT($J$110,tech_base!$F157,1))+1000*tech_proj!AG1401)/((1-tech_proj!AG561)*tech_proj!AG841*$L$110))</f>
        <v>50.777413719470516</v>
      </c>
      <c r="AH781" s="71">
        <f>IF(tech_base!$T157&gt;AH$625,"",(1000*tech_proj!AH1121*(-PMT($J$110,tech_base!$F157,1))+1000*tech_proj!AH1401)/((1-tech_proj!AH561)*tech_proj!AH841*$L$110))</f>
        <v>50.777413719470516</v>
      </c>
      <c r="AI781" s="71">
        <f>IF(tech_base!$T157&gt;AI$625,"",(1000*tech_proj!AI1121*(-PMT($J$110,tech_base!$F157,1))+1000*tech_proj!AI1401)/((1-tech_proj!AI561)*tech_proj!AI841*$L$110))</f>
        <v>50.777413719470516</v>
      </c>
      <c r="AJ781" s="71">
        <f>IF(tech_base!$T157&gt;AJ$625,"",(1000*tech_proj!AJ1121*(-PMT($J$110,tech_base!$F157,1))+1000*tech_proj!AJ1401)/((1-tech_proj!AJ561)*tech_proj!AJ841*$L$110))</f>
        <v>50.777413719470516</v>
      </c>
      <c r="AK781" s="71">
        <f>IF(tech_base!$T157&gt;AK$625,"",(1000*tech_proj!AK1121*(-PMT($J$110,tech_base!$F157,1))+1000*tech_proj!AK1401)/((1-tech_proj!AK561)*tech_proj!AK841*$L$110))</f>
        <v>50.777413719470516</v>
      </c>
      <c r="AL781" s="71">
        <f>IF(tech_base!$T157&gt;AL$625,"",(1000*tech_proj!AL1121*(-PMT($J$110,tech_base!$F157,1))+1000*tech_proj!AL1401)/((1-tech_proj!AL561)*tech_proj!AL841*$L$110))</f>
        <v>50.777413719470516</v>
      </c>
      <c r="AM781" s="71">
        <f>IF(tech_base!$T157&gt;AM$625,"",(1000*tech_proj!AM1121*(-PMT($J$110,tech_base!$F157,1))+1000*tech_proj!AM1401)/((1-tech_proj!AM561)*tech_proj!AM841*$L$110))</f>
        <v>50.777413719470516</v>
      </c>
      <c r="AN781" s="71">
        <f>IF(tech_base!$T157&gt;AN$625,"",(1000*tech_proj!AN1121*(-PMT($J$110,tech_base!$F157,1))+1000*tech_proj!AN1401)/((1-tech_proj!AN561)*tech_proj!AN841*$L$110))</f>
        <v>50.777413719470516</v>
      </c>
      <c r="AO781" s="71">
        <f>IF(tech_base!$T157&gt;AO$625,"",(1000*tech_proj!AO1121*(-PMT($J$110,tech_base!$F157,1))+1000*tech_proj!AO1401)/((1-tech_proj!AO561)*tech_proj!AO841*$L$110))</f>
        <v>50.777413719470516</v>
      </c>
      <c r="AP781" s="71">
        <f>IF(tech_base!$T157&gt;AP$625,"",(1000*tech_proj!AP1121*(-PMT($J$110,tech_base!$F157,1))+1000*tech_proj!AP1401)/((1-tech_proj!AP561)*tech_proj!AP841*$L$110))</f>
        <v>50.777413719470516</v>
      </c>
      <c r="AQ781" s="71">
        <f>IF(tech_base!$T157&gt;AQ$625,"",(1000*tech_proj!AQ1121*(-PMT($J$110,tech_base!$F157,1))+1000*tech_proj!AQ1401)/((1-tech_proj!AQ561)*tech_proj!AQ841*$L$110))</f>
        <v>50.777413719470516</v>
      </c>
      <c r="AR781" s="71">
        <f>IF(tech_base!$T157&gt;AR$625,"",(1000*tech_proj!AR1121*(-PMT($J$110,tech_base!$F157,1))+1000*tech_proj!AR1401)/((1-tech_proj!AR561)*tech_proj!AR841*$L$110))</f>
        <v>50.777413719470516</v>
      </c>
      <c r="AS781" s="71">
        <f>IF(tech_base!$T157&gt;AS$625,"",(1000*tech_proj!AS1121*(-PMT($J$110,tech_base!$F157,1))+1000*tech_proj!AS1401)/((1-tech_proj!AS561)*tech_proj!AS841*$L$110))</f>
        <v>50.777413719470516</v>
      </c>
      <c r="AT781" s="71">
        <f>IF(tech_base!$T157&gt;AT$625,"",(1000*tech_proj!AT1121*(-PMT($J$110,tech_base!$F157,1))+1000*tech_proj!AT1401)/((1-tech_proj!AT561)*tech_proj!AT841*$L$110))</f>
        <v>50.777413719470516</v>
      </c>
      <c r="AU781" s="71">
        <f>IF(tech_base!$T157&gt;AU$625,"",(1000*tech_proj!AU1121*(-PMT($J$110,tech_base!$F157,1))+1000*tech_proj!AU1401)/((1-tech_proj!AU561)*tech_proj!AU841*$L$110))</f>
        <v>50.777413719470516</v>
      </c>
      <c r="AV781" s="71">
        <f>IF(tech_base!$T157&gt;AV$625,"",(1000*tech_proj!AV1121*(-PMT($J$110,tech_base!$F157,1))+1000*tech_proj!AV1401)/((1-tech_proj!AV561)*tech_proj!AV841*$L$110))</f>
        <v>50.777413719470516</v>
      </c>
      <c r="AW781" s="71">
        <f>IF(tech_base!$T157&gt;AW$625,"",(1000*tech_proj!AW1121*(-PMT($J$110,tech_base!$F157,1))+1000*tech_proj!AW1401)/((1-tech_proj!AW561)*tech_proj!AW841*$L$110))</f>
        <v>50.777413719470516</v>
      </c>
      <c r="AX781" s="237">
        <f>IF(tech_base!$T157&gt;AX$625,"",(1000*tech_proj!AX1121*(-PMT($J$110,tech_base!$F157,1))+1000*tech_proj!AX1401)/((1-tech_proj!AX561)*tech_proj!AX841*$L$110))</f>
        <v>50.777413719470516</v>
      </c>
    </row>
    <row r="782" spans="1:50" x14ac:dyDescent="0.25">
      <c r="A782" s="356"/>
      <c r="B782" s="376"/>
      <c r="C782" s="379"/>
      <c r="D782" s="59" t="s">
        <v>8</v>
      </c>
      <c r="E782" s="166" t="str">
        <f>A765&amp;"/"&amp;B773&amp;"/"&amp;C781&amp;"/"&amp;D782</f>
        <v>Diesel oil fired power plants/Gas turbine /Electricity only with CCS/M</v>
      </c>
      <c r="F782" s="79" t="str">
        <f>A765</f>
        <v>Diesel oil fired power plants</v>
      </c>
      <c r="G782" s="79" t="str">
        <f>B773</f>
        <v xml:space="preserve">Gas turbine </v>
      </c>
      <c r="H782" s="79" t="str">
        <f>C781</f>
        <v>Electricity only with CCS</v>
      </c>
      <c r="I782" s="167" t="str">
        <f t="shared" si="364"/>
        <v>M</v>
      </c>
      <c r="J782" s="72" t="str">
        <f>IF(tech_base!$T158&gt;J$625,"",(1000*tech_proj!J1122*(-PMT($J$110,tech_base!$F158,1))+1000*tech_proj!J1402)/((1-tech_proj!J562)*tech_proj!J842*$L$110))</f>
        <v/>
      </c>
      <c r="K782" s="72" t="str">
        <f>IF(tech_base!$T158&gt;K$625,"",(1000*tech_proj!K1122*(-PMT($J$110,tech_base!$F158,1))+1000*tech_proj!K1402)/((1-tech_proj!K562)*tech_proj!K842*$L$110))</f>
        <v/>
      </c>
      <c r="L782" s="72" t="str">
        <f>IF(tech_base!$T158&gt;L$625,"",(1000*tech_proj!L1122*(-PMT($J$110,tech_base!$F158,1))+1000*tech_proj!L1402)/((1-tech_proj!L562)*tech_proj!L842*$L$110))</f>
        <v/>
      </c>
      <c r="M782" s="72" t="str">
        <f>IF(tech_base!$T158&gt;M$625,"",(1000*tech_proj!M1122*(-PMT($J$110,tech_base!$F158,1))+1000*tech_proj!M1402)/((1-tech_proj!M562)*tech_proj!M842*$L$110))</f>
        <v/>
      </c>
      <c r="N782" s="72" t="str">
        <f>IF(tech_base!$T158&gt;N$625,"",(1000*tech_proj!N1122*(-PMT($J$110,tech_base!$F158,1))+1000*tech_proj!N1402)/((1-tech_proj!N562)*tech_proj!N842*$L$110))</f>
        <v/>
      </c>
      <c r="O782" s="72" t="str">
        <f>IF(tech_base!$T158&gt;O$625,"",(1000*tech_proj!O1122*(-PMT($J$110,tech_base!$F158,1))+1000*tech_proj!O1402)/((1-tech_proj!O562)*tech_proj!O842*$L$110))</f>
        <v/>
      </c>
      <c r="P782" s="72" t="str">
        <f>IF(tech_base!$T158&gt;P$625,"",(1000*tech_proj!P1122*(-PMT($J$110,tech_base!$F158,1))+1000*tech_proj!P1402)/((1-tech_proj!P562)*tech_proj!P842*$L$110))</f>
        <v/>
      </c>
      <c r="Q782" s="72" t="str">
        <f>IF(tech_base!$T158&gt;Q$625,"",(1000*tech_proj!Q1122*(-PMT($J$110,tech_base!$F158,1))+1000*tech_proj!Q1402)/((1-tech_proj!Q562)*tech_proj!Q842*$L$110))</f>
        <v/>
      </c>
      <c r="R782" s="72" t="str">
        <f>IF(tech_base!$T158&gt;R$625,"",(1000*tech_proj!R1122*(-PMT($J$110,tech_base!$F158,1))+1000*tech_proj!R1402)/((1-tech_proj!R562)*tech_proj!R842*$L$110))</f>
        <v/>
      </c>
      <c r="S782" s="72" t="str">
        <f>IF(tech_base!$T158&gt;S$625,"",(1000*tech_proj!S1122*(-PMT($J$110,tech_base!$F158,1))+1000*tech_proj!S1402)/((1-tech_proj!S562)*tech_proj!S842*$L$110))</f>
        <v/>
      </c>
      <c r="T782" s="72" t="str">
        <f>IF(tech_base!$T158&gt;T$625,"",(1000*tech_proj!T1122*(-PMT($J$110,tech_base!$F158,1))+1000*tech_proj!T1402)/((1-tech_proj!T562)*tech_proj!T842*$L$110))</f>
        <v/>
      </c>
      <c r="U782" s="72" t="str">
        <f>IF(tech_base!$T158&gt;U$625,"",(1000*tech_proj!U1122*(-PMT($J$110,tech_base!$F158,1))+1000*tech_proj!U1402)/((1-tech_proj!U562)*tech_proj!U842*$L$110))</f>
        <v/>
      </c>
      <c r="V782" s="72" t="str">
        <f>IF(tech_base!$T158&gt;V$625,"",(1000*tech_proj!V1122*(-PMT($J$110,tech_base!$F158,1))+1000*tech_proj!V1402)/((1-tech_proj!V562)*tech_proj!V842*$L$110))</f>
        <v/>
      </c>
      <c r="W782" s="72" t="str">
        <f>IF(tech_base!$T158&gt;W$625,"",(1000*tech_proj!W1122*(-PMT($J$110,tech_base!$F158,1))+1000*tech_proj!W1402)/((1-tech_proj!W562)*tech_proj!W842*$L$110))</f>
        <v/>
      </c>
      <c r="X782" s="72" t="str">
        <f>IF(tech_base!$T158&gt;X$625,"",(1000*tech_proj!X1122*(-PMT($J$110,tech_base!$F158,1))+1000*tech_proj!X1402)/((1-tech_proj!X562)*tech_proj!X842*$L$110))</f>
        <v/>
      </c>
      <c r="Y782" s="72" t="str">
        <f>IF(tech_base!$T158&gt;Y$625,"",(1000*tech_proj!Y1122*(-PMT($J$110,tech_base!$F158,1))+1000*tech_proj!Y1402)/((1-tech_proj!Y562)*tech_proj!Y842*$L$110))</f>
        <v/>
      </c>
      <c r="Z782" s="72" t="str">
        <f>IF(tech_base!$T158&gt;Z$625,"",(1000*tech_proj!Z1122*(-PMT($J$110,tech_base!$F158,1))+1000*tech_proj!Z1402)/((1-tech_proj!Z562)*tech_proj!Z842*$L$110))</f>
        <v/>
      </c>
      <c r="AA782" s="72" t="str">
        <f>IF(tech_base!$T158&gt;AA$625,"",(1000*tech_proj!AA1122*(-PMT($J$110,tech_base!$F158,1))+1000*tech_proj!AA1402)/((1-tech_proj!AA562)*tech_proj!AA842*$L$110))</f>
        <v/>
      </c>
      <c r="AB782" s="72" t="str">
        <f>IF(tech_base!$T158&gt;AB$625,"",(1000*tech_proj!AB1122*(-PMT($J$110,tech_base!$F158,1))+1000*tech_proj!AB1402)/((1-tech_proj!AB562)*tech_proj!AB842*$L$110))</f>
        <v/>
      </c>
      <c r="AC782" s="72" t="str">
        <f>IF(tech_base!$T158&gt;AC$625,"",(1000*tech_proj!AC1122*(-PMT($J$110,tech_base!$F158,1))+1000*tech_proj!AC1402)/((1-tech_proj!AC562)*tech_proj!AC842*$L$110))</f>
        <v/>
      </c>
      <c r="AD782" s="72" t="str">
        <f>IF(tech_base!$T158&gt;AD$625,"",(1000*tech_proj!AD1122*(-PMT($J$110,tech_base!$F158,1))+1000*tech_proj!AD1402)/((1-tech_proj!AD562)*tech_proj!AD842*$L$110))</f>
        <v/>
      </c>
      <c r="AE782" s="72">
        <f>IF(tech_base!$T158&gt;AE$625,"",(1000*tech_proj!AE1122*(-PMT($J$110,tech_base!$F158,1))+1000*tech_proj!AE1402)/((1-tech_proj!AE562)*tech_proj!AE842*$L$110))</f>
        <v>61.577611975726249</v>
      </c>
      <c r="AF782" s="72">
        <f>IF(tech_base!$T158&gt;AF$625,"",(1000*tech_proj!AF1122*(-PMT($J$110,tech_base!$F158,1))+1000*tech_proj!AF1402)/((1-tech_proj!AF562)*tech_proj!AF842*$L$110))</f>
        <v>61.577611975726249</v>
      </c>
      <c r="AG782" s="72">
        <f>IF(tech_base!$T158&gt;AG$625,"",(1000*tech_proj!AG1122*(-PMT($J$110,tech_base!$F158,1))+1000*tech_proj!AG1402)/((1-tech_proj!AG562)*tech_proj!AG842*$L$110))</f>
        <v>61.577611975726249</v>
      </c>
      <c r="AH782" s="72">
        <f>IF(tech_base!$T158&gt;AH$625,"",(1000*tech_proj!AH1122*(-PMT($J$110,tech_base!$F158,1))+1000*tech_proj!AH1402)/((1-tech_proj!AH562)*tech_proj!AH842*$L$110))</f>
        <v>61.577611975726249</v>
      </c>
      <c r="AI782" s="72">
        <f>IF(tech_base!$T158&gt;AI$625,"",(1000*tech_proj!AI1122*(-PMT($J$110,tech_base!$F158,1))+1000*tech_proj!AI1402)/((1-tech_proj!AI562)*tech_proj!AI842*$L$110))</f>
        <v>61.577611975726249</v>
      </c>
      <c r="AJ782" s="72">
        <f>IF(tech_base!$T158&gt;AJ$625,"",(1000*tech_proj!AJ1122*(-PMT($J$110,tech_base!$F158,1))+1000*tech_proj!AJ1402)/((1-tech_proj!AJ562)*tech_proj!AJ842*$L$110))</f>
        <v>61.577611975726249</v>
      </c>
      <c r="AK782" s="72">
        <f>IF(tech_base!$T158&gt;AK$625,"",(1000*tech_proj!AK1122*(-PMT($J$110,tech_base!$F158,1))+1000*tech_proj!AK1402)/((1-tech_proj!AK562)*tech_proj!AK842*$L$110))</f>
        <v>61.577611975726249</v>
      </c>
      <c r="AL782" s="72">
        <f>IF(tech_base!$T158&gt;AL$625,"",(1000*tech_proj!AL1122*(-PMT($J$110,tech_base!$F158,1))+1000*tech_proj!AL1402)/((1-tech_proj!AL562)*tech_proj!AL842*$L$110))</f>
        <v>61.577611975726249</v>
      </c>
      <c r="AM782" s="72">
        <f>IF(tech_base!$T158&gt;AM$625,"",(1000*tech_proj!AM1122*(-PMT($J$110,tech_base!$F158,1))+1000*tech_proj!AM1402)/((1-tech_proj!AM562)*tech_proj!AM842*$L$110))</f>
        <v>61.577611975726249</v>
      </c>
      <c r="AN782" s="72">
        <f>IF(tech_base!$T158&gt;AN$625,"",(1000*tech_proj!AN1122*(-PMT($J$110,tech_base!$F158,1))+1000*tech_proj!AN1402)/((1-tech_proj!AN562)*tech_proj!AN842*$L$110))</f>
        <v>61.577611975726249</v>
      </c>
      <c r="AO782" s="72">
        <f>IF(tech_base!$T158&gt;AO$625,"",(1000*tech_proj!AO1122*(-PMT($J$110,tech_base!$F158,1))+1000*tech_proj!AO1402)/((1-tech_proj!AO562)*tech_proj!AO842*$L$110))</f>
        <v>61.577611975726249</v>
      </c>
      <c r="AP782" s="72">
        <f>IF(tech_base!$T158&gt;AP$625,"",(1000*tech_proj!AP1122*(-PMT($J$110,tech_base!$F158,1))+1000*tech_proj!AP1402)/((1-tech_proj!AP562)*tech_proj!AP842*$L$110))</f>
        <v>61.577611975726249</v>
      </c>
      <c r="AQ782" s="72">
        <f>IF(tech_base!$T158&gt;AQ$625,"",(1000*tech_proj!AQ1122*(-PMT($J$110,tech_base!$F158,1))+1000*tech_proj!AQ1402)/((1-tech_proj!AQ562)*tech_proj!AQ842*$L$110))</f>
        <v>61.577611975726249</v>
      </c>
      <c r="AR782" s="72">
        <f>IF(tech_base!$T158&gt;AR$625,"",(1000*tech_proj!AR1122*(-PMT($J$110,tech_base!$F158,1))+1000*tech_proj!AR1402)/((1-tech_proj!AR562)*tech_proj!AR842*$L$110))</f>
        <v>61.577611975726249</v>
      </c>
      <c r="AS782" s="72">
        <f>IF(tech_base!$T158&gt;AS$625,"",(1000*tech_proj!AS1122*(-PMT($J$110,tech_base!$F158,1))+1000*tech_proj!AS1402)/((1-tech_proj!AS562)*tech_proj!AS842*$L$110))</f>
        <v>61.577611975726249</v>
      </c>
      <c r="AT782" s="72">
        <f>IF(tech_base!$T158&gt;AT$625,"",(1000*tech_proj!AT1122*(-PMT($J$110,tech_base!$F158,1))+1000*tech_proj!AT1402)/((1-tech_proj!AT562)*tech_proj!AT842*$L$110))</f>
        <v>61.577611975726249</v>
      </c>
      <c r="AU782" s="72">
        <f>IF(tech_base!$T158&gt;AU$625,"",(1000*tech_proj!AU1122*(-PMT($J$110,tech_base!$F158,1))+1000*tech_proj!AU1402)/((1-tech_proj!AU562)*tech_proj!AU842*$L$110))</f>
        <v>61.577611975726249</v>
      </c>
      <c r="AV782" s="72">
        <f>IF(tech_base!$T158&gt;AV$625,"",(1000*tech_proj!AV1122*(-PMT($J$110,tech_base!$F158,1))+1000*tech_proj!AV1402)/((1-tech_proj!AV562)*tech_proj!AV842*$L$110))</f>
        <v>61.577611975726249</v>
      </c>
      <c r="AW782" s="72">
        <f>IF(tech_base!$T158&gt;AW$625,"",(1000*tech_proj!AW1122*(-PMT($J$110,tech_base!$F158,1))+1000*tech_proj!AW1402)/((1-tech_proj!AW562)*tech_proj!AW842*$L$110))</f>
        <v>61.577611975726249</v>
      </c>
      <c r="AX782" s="238">
        <f>IF(tech_base!$T158&gt;AX$625,"",(1000*tech_proj!AX1122*(-PMT($J$110,tech_base!$F158,1))+1000*tech_proj!AX1402)/((1-tech_proj!AX562)*tech_proj!AX842*$L$110))</f>
        <v>61.577611975726249</v>
      </c>
    </row>
    <row r="783" spans="1:50" x14ac:dyDescent="0.25">
      <c r="A783" s="356"/>
      <c r="B783" s="376"/>
      <c r="C783" s="361" t="s">
        <v>16</v>
      </c>
      <c r="D783" s="2" t="s">
        <v>7</v>
      </c>
      <c r="E783" s="160" t="str">
        <f>A765&amp;"/"&amp;B773&amp;"/"&amp;C783&amp;"/"&amp;D783</f>
        <v>Diesel oil fired power plants/Gas turbine /CHP with CCS/L</v>
      </c>
      <c r="F783" s="76" t="str">
        <f>A765</f>
        <v>Diesel oil fired power plants</v>
      </c>
      <c r="G783" s="76" t="str">
        <f>B773</f>
        <v xml:space="preserve">Gas turbine </v>
      </c>
      <c r="H783" s="76" t="str">
        <f>C783</f>
        <v>CHP with CCS</v>
      </c>
      <c r="I783" s="161" t="str">
        <f t="shared" si="364"/>
        <v>L</v>
      </c>
      <c r="J783" s="69" t="str">
        <f>IF(tech_base!$T159&gt;J$625,"",(1000*tech_proj!J1123*(-PMT($J$110,tech_base!$F159,1))+1000*tech_proj!J1403)/((1-tech_proj!J563)*tech_proj!J843*$L$110))</f>
        <v/>
      </c>
      <c r="K783" s="69" t="str">
        <f>IF(tech_base!$T159&gt;K$625,"",(1000*tech_proj!K1123*(-PMT($J$110,tech_base!$F159,1))+1000*tech_proj!K1403)/((1-tech_proj!K563)*tech_proj!K843*$L$110))</f>
        <v/>
      </c>
      <c r="L783" s="69" t="str">
        <f>IF(tech_base!$T159&gt;L$625,"",(1000*tech_proj!L1123*(-PMT($J$110,tech_base!$F159,1))+1000*tech_proj!L1403)/((1-tech_proj!L563)*tech_proj!L843*$L$110))</f>
        <v/>
      </c>
      <c r="M783" s="69" t="str">
        <f>IF(tech_base!$T159&gt;M$625,"",(1000*tech_proj!M1123*(-PMT($J$110,tech_base!$F159,1))+1000*tech_proj!M1403)/((1-tech_proj!M563)*tech_proj!M843*$L$110))</f>
        <v/>
      </c>
      <c r="N783" s="69" t="str">
        <f>IF(tech_base!$T159&gt;N$625,"",(1000*tech_proj!N1123*(-PMT($J$110,tech_base!$F159,1))+1000*tech_proj!N1403)/((1-tech_proj!N563)*tech_proj!N843*$L$110))</f>
        <v/>
      </c>
      <c r="O783" s="69" t="str">
        <f>IF(tech_base!$T159&gt;O$625,"",(1000*tech_proj!O1123*(-PMT($J$110,tech_base!$F159,1))+1000*tech_proj!O1403)/((1-tech_proj!O563)*tech_proj!O843*$L$110))</f>
        <v/>
      </c>
      <c r="P783" s="69" t="str">
        <f>IF(tech_base!$T159&gt;P$625,"",(1000*tech_proj!P1123*(-PMT($J$110,tech_base!$F159,1))+1000*tech_proj!P1403)/((1-tech_proj!P563)*tech_proj!P843*$L$110))</f>
        <v/>
      </c>
      <c r="Q783" s="69" t="str">
        <f>IF(tech_base!$T159&gt;Q$625,"",(1000*tech_proj!Q1123*(-PMT($J$110,tech_base!$F159,1))+1000*tech_proj!Q1403)/((1-tech_proj!Q563)*tech_proj!Q843*$L$110))</f>
        <v/>
      </c>
      <c r="R783" s="69" t="str">
        <f>IF(tech_base!$T159&gt;R$625,"",(1000*tech_proj!R1123*(-PMT($J$110,tech_base!$F159,1))+1000*tech_proj!R1403)/((1-tech_proj!R563)*tech_proj!R843*$L$110))</f>
        <v/>
      </c>
      <c r="S783" s="69" t="str">
        <f>IF(tech_base!$T159&gt;S$625,"",(1000*tech_proj!S1123*(-PMT($J$110,tech_base!$F159,1))+1000*tech_proj!S1403)/((1-tech_proj!S563)*tech_proj!S843*$L$110))</f>
        <v/>
      </c>
      <c r="T783" s="69" t="str">
        <f>IF(tech_base!$T159&gt;T$625,"",(1000*tech_proj!T1123*(-PMT($J$110,tech_base!$F159,1))+1000*tech_proj!T1403)/((1-tech_proj!T563)*tech_proj!T843*$L$110))</f>
        <v/>
      </c>
      <c r="U783" s="69" t="str">
        <f>IF(tech_base!$T159&gt;U$625,"",(1000*tech_proj!U1123*(-PMT($J$110,tech_base!$F159,1))+1000*tech_proj!U1403)/((1-tech_proj!U563)*tech_proj!U843*$L$110))</f>
        <v/>
      </c>
      <c r="V783" s="69" t="str">
        <f>IF(tech_base!$T159&gt;V$625,"",(1000*tech_proj!V1123*(-PMT($J$110,tech_base!$F159,1))+1000*tech_proj!V1403)/((1-tech_proj!V563)*tech_proj!V843*$L$110))</f>
        <v/>
      </c>
      <c r="W783" s="69" t="str">
        <f>IF(tech_base!$T159&gt;W$625,"",(1000*tech_proj!W1123*(-PMT($J$110,tech_base!$F159,1))+1000*tech_proj!W1403)/((1-tech_proj!W563)*tech_proj!W843*$L$110))</f>
        <v/>
      </c>
      <c r="X783" s="69" t="str">
        <f>IF(tech_base!$T159&gt;X$625,"",(1000*tech_proj!X1123*(-PMT($J$110,tech_base!$F159,1))+1000*tech_proj!X1403)/((1-tech_proj!X563)*tech_proj!X843*$L$110))</f>
        <v/>
      </c>
      <c r="Y783" s="69" t="str">
        <f>IF(tech_base!$T159&gt;Y$625,"",(1000*tech_proj!Y1123*(-PMT($J$110,tech_base!$F159,1))+1000*tech_proj!Y1403)/((1-tech_proj!Y563)*tech_proj!Y843*$L$110))</f>
        <v/>
      </c>
      <c r="Z783" s="69" t="str">
        <f>IF(tech_base!$T159&gt;Z$625,"",(1000*tech_proj!Z1123*(-PMT($J$110,tech_base!$F159,1))+1000*tech_proj!Z1403)/((1-tech_proj!Z563)*tech_proj!Z843*$L$110))</f>
        <v/>
      </c>
      <c r="AA783" s="69" t="str">
        <f>IF(tech_base!$T159&gt;AA$625,"",(1000*tech_proj!AA1123*(-PMT($J$110,tech_base!$F159,1))+1000*tech_proj!AA1403)/((1-tech_proj!AA563)*tech_proj!AA843*$L$110))</f>
        <v/>
      </c>
      <c r="AB783" s="69" t="str">
        <f>IF(tech_base!$T159&gt;AB$625,"",(1000*tech_proj!AB1123*(-PMT($J$110,tech_base!$F159,1))+1000*tech_proj!AB1403)/((1-tech_proj!AB563)*tech_proj!AB843*$L$110))</f>
        <v/>
      </c>
      <c r="AC783" s="69" t="str">
        <f>IF(tech_base!$T159&gt;AC$625,"",(1000*tech_proj!AC1123*(-PMT($J$110,tech_base!$F159,1))+1000*tech_proj!AC1403)/((1-tech_proj!AC563)*tech_proj!AC843*$L$110))</f>
        <v/>
      </c>
      <c r="AD783" s="69" t="str">
        <f>IF(tech_base!$T159&gt;AD$625,"",(1000*tech_proj!AD1123*(-PMT($J$110,tech_base!$F159,1))+1000*tech_proj!AD1403)/((1-tech_proj!AD563)*tech_proj!AD843*$L$110))</f>
        <v/>
      </c>
      <c r="AE783" s="69">
        <f>IF(tech_base!$T159&gt;AE$625,"",(1000*tech_proj!AE1123*(-PMT($J$110,tech_base!$F159,1))+1000*tech_proj!AE1403)/((1-tech_proj!AE563)*tech_proj!AE843*$L$110))</f>
        <v>60.254162412300772</v>
      </c>
      <c r="AF783" s="69">
        <f>IF(tech_base!$T159&gt;AF$625,"",(1000*tech_proj!AF1123*(-PMT($J$110,tech_base!$F159,1))+1000*tech_proj!AF1403)/((1-tech_proj!AF563)*tech_proj!AF843*$L$110))</f>
        <v>60.254162412300772</v>
      </c>
      <c r="AG783" s="69">
        <f>IF(tech_base!$T159&gt;AG$625,"",(1000*tech_proj!AG1123*(-PMT($J$110,tech_base!$F159,1))+1000*tech_proj!AG1403)/((1-tech_proj!AG563)*tech_proj!AG843*$L$110))</f>
        <v>60.254162412300772</v>
      </c>
      <c r="AH783" s="69">
        <f>IF(tech_base!$T159&gt;AH$625,"",(1000*tech_proj!AH1123*(-PMT($J$110,tech_base!$F159,1))+1000*tech_proj!AH1403)/((1-tech_proj!AH563)*tech_proj!AH843*$L$110))</f>
        <v>60.254162412300772</v>
      </c>
      <c r="AI783" s="69">
        <f>IF(tech_base!$T159&gt;AI$625,"",(1000*tech_proj!AI1123*(-PMT($J$110,tech_base!$F159,1))+1000*tech_proj!AI1403)/((1-tech_proj!AI563)*tech_proj!AI843*$L$110))</f>
        <v>60.254162412300772</v>
      </c>
      <c r="AJ783" s="69">
        <f>IF(tech_base!$T159&gt;AJ$625,"",(1000*tech_proj!AJ1123*(-PMT($J$110,tech_base!$F159,1))+1000*tech_proj!AJ1403)/((1-tech_proj!AJ563)*tech_proj!AJ843*$L$110))</f>
        <v>60.254162412300772</v>
      </c>
      <c r="AK783" s="69">
        <f>IF(tech_base!$T159&gt;AK$625,"",(1000*tech_proj!AK1123*(-PMT($J$110,tech_base!$F159,1))+1000*tech_proj!AK1403)/((1-tech_proj!AK563)*tech_proj!AK843*$L$110))</f>
        <v>60.254162412300772</v>
      </c>
      <c r="AL783" s="69">
        <f>IF(tech_base!$T159&gt;AL$625,"",(1000*tech_proj!AL1123*(-PMT($J$110,tech_base!$F159,1))+1000*tech_proj!AL1403)/((1-tech_proj!AL563)*tech_proj!AL843*$L$110))</f>
        <v>60.254162412300772</v>
      </c>
      <c r="AM783" s="69">
        <f>IF(tech_base!$T159&gt;AM$625,"",(1000*tech_proj!AM1123*(-PMT($J$110,tech_base!$F159,1))+1000*tech_proj!AM1403)/((1-tech_proj!AM563)*tech_proj!AM843*$L$110))</f>
        <v>60.254162412300772</v>
      </c>
      <c r="AN783" s="69">
        <f>IF(tech_base!$T159&gt;AN$625,"",(1000*tech_proj!AN1123*(-PMT($J$110,tech_base!$F159,1))+1000*tech_proj!AN1403)/((1-tech_proj!AN563)*tech_proj!AN843*$L$110))</f>
        <v>60.254162412300772</v>
      </c>
      <c r="AO783" s="69">
        <f>IF(tech_base!$T159&gt;AO$625,"",(1000*tech_proj!AO1123*(-PMT($J$110,tech_base!$F159,1))+1000*tech_proj!AO1403)/((1-tech_proj!AO563)*tech_proj!AO843*$L$110))</f>
        <v>60.254162412300772</v>
      </c>
      <c r="AP783" s="69">
        <f>IF(tech_base!$T159&gt;AP$625,"",(1000*tech_proj!AP1123*(-PMT($J$110,tech_base!$F159,1))+1000*tech_proj!AP1403)/((1-tech_proj!AP563)*tech_proj!AP843*$L$110))</f>
        <v>60.254162412300772</v>
      </c>
      <c r="AQ783" s="69">
        <f>IF(tech_base!$T159&gt;AQ$625,"",(1000*tech_proj!AQ1123*(-PMT($J$110,tech_base!$F159,1))+1000*tech_proj!AQ1403)/((1-tech_proj!AQ563)*tech_proj!AQ843*$L$110))</f>
        <v>60.254162412300772</v>
      </c>
      <c r="AR783" s="69">
        <f>IF(tech_base!$T159&gt;AR$625,"",(1000*tech_proj!AR1123*(-PMT($J$110,tech_base!$F159,1))+1000*tech_proj!AR1403)/((1-tech_proj!AR563)*tech_proj!AR843*$L$110))</f>
        <v>60.254162412300772</v>
      </c>
      <c r="AS783" s="69">
        <f>IF(tech_base!$T159&gt;AS$625,"",(1000*tech_proj!AS1123*(-PMT($J$110,tech_base!$F159,1))+1000*tech_proj!AS1403)/((1-tech_proj!AS563)*tech_proj!AS843*$L$110))</f>
        <v>60.254162412300772</v>
      </c>
      <c r="AT783" s="69">
        <f>IF(tech_base!$T159&gt;AT$625,"",(1000*tech_proj!AT1123*(-PMT($J$110,tech_base!$F159,1))+1000*tech_proj!AT1403)/((1-tech_proj!AT563)*tech_proj!AT843*$L$110))</f>
        <v>60.254162412300772</v>
      </c>
      <c r="AU783" s="69">
        <f>IF(tech_base!$T159&gt;AU$625,"",(1000*tech_proj!AU1123*(-PMT($J$110,tech_base!$F159,1))+1000*tech_proj!AU1403)/((1-tech_proj!AU563)*tech_proj!AU843*$L$110))</f>
        <v>60.254162412300772</v>
      </c>
      <c r="AV783" s="69">
        <f>IF(tech_base!$T159&gt;AV$625,"",(1000*tech_proj!AV1123*(-PMT($J$110,tech_base!$F159,1))+1000*tech_proj!AV1403)/((1-tech_proj!AV563)*tech_proj!AV843*$L$110))</f>
        <v>60.254162412300772</v>
      </c>
      <c r="AW783" s="69">
        <f>IF(tech_base!$T159&gt;AW$625,"",(1000*tech_proj!AW1123*(-PMT($J$110,tech_base!$F159,1))+1000*tech_proj!AW1403)/((1-tech_proj!AW563)*tech_proj!AW843*$L$110))</f>
        <v>60.254162412300772</v>
      </c>
      <c r="AX783" s="235">
        <f>IF(tech_base!$T159&gt;AX$625,"",(1000*tech_proj!AX1123*(-PMT($J$110,tech_base!$F159,1))+1000*tech_proj!AX1403)/((1-tech_proj!AX563)*tech_proj!AX843*$L$110))</f>
        <v>60.254162412300772</v>
      </c>
    </row>
    <row r="784" spans="1:50" x14ac:dyDescent="0.25">
      <c r="A784" s="356"/>
      <c r="B784" s="380"/>
      <c r="C784" s="381"/>
      <c r="D784" s="4" t="s">
        <v>8</v>
      </c>
      <c r="E784" s="168" t="str">
        <f>A765&amp;"/"&amp;B773&amp;"/"&amp;C783&amp;"/"&amp;D784</f>
        <v>Diesel oil fired power plants/Gas turbine /CHP with CCS/M</v>
      </c>
      <c r="F784" s="80" t="str">
        <f>A765</f>
        <v>Diesel oil fired power plants</v>
      </c>
      <c r="G784" s="80" t="str">
        <f>B773</f>
        <v xml:space="preserve">Gas turbine </v>
      </c>
      <c r="H784" s="80" t="str">
        <f>C783</f>
        <v>CHP with CCS</v>
      </c>
      <c r="I784" s="169" t="str">
        <f t="shared" si="364"/>
        <v>M</v>
      </c>
      <c r="J784" s="73" t="str">
        <f>IF(tech_base!$T160&gt;J$625,"",(1000*tech_proj!J1124*(-PMT($J$110,tech_base!$F160,1))+1000*tech_proj!J1404)/((1-tech_proj!J564)*tech_proj!J844*$L$110))</f>
        <v/>
      </c>
      <c r="K784" s="73" t="str">
        <f>IF(tech_base!$T160&gt;K$625,"",(1000*tech_proj!K1124*(-PMT($J$110,tech_base!$F160,1))+1000*tech_proj!K1404)/((1-tech_proj!K564)*tech_proj!K844*$L$110))</f>
        <v/>
      </c>
      <c r="L784" s="73" t="str">
        <f>IF(tech_base!$T160&gt;L$625,"",(1000*tech_proj!L1124*(-PMT($J$110,tech_base!$F160,1))+1000*tech_proj!L1404)/((1-tech_proj!L564)*tech_proj!L844*$L$110))</f>
        <v/>
      </c>
      <c r="M784" s="73" t="str">
        <f>IF(tech_base!$T160&gt;M$625,"",(1000*tech_proj!M1124*(-PMT($J$110,tech_base!$F160,1))+1000*tech_proj!M1404)/((1-tech_proj!M564)*tech_proj!M844*$L$110))</f>
        <v/>
      </c>
      <c r="N784" s="73" t="str">
        <f>IF(tech_base!$T160&gt;N$625,"",(1000*tech_proj!N1124*(-PMT($J$110,tech_base!$F160,1))+1000*tech_proj!N1404)/((1-tech_proj!N564)*tech_proj!N844*$L$110))</f>
        <v/>
      </c>
      <c r="O784" s="73" t="str">
        <f>IF(tech_base!$T160&gt;O$625,"",(1000*tech_proj!O1124*(-PMT($J$110,tech_base!$F160,1))+1000*tech_proj!O1404)/((1-tech_proj!O564)*tech_proj!O844*$L$110))</f>
        <v/>
      </c>
      <c r="P784" s="73" t="str">
        <f>IF(tech_base!$T160&gt;P$625,"",(1000*tech_proj!P1124*(-PMT($J$110,tech_base!$F160,1))+1000*tech_proj!P1404)/((1-tech_proj!P564)*tech_proj!P844*$L$110))</f>
        <v/>
      </c>
      <c r="Q784" s="73" t="str">
        <f>IF(tech_base!$T160&gt;Q$625,"",(1000*tech_proj!Q1124*(-PMT($J$110,tech_base!$F160,1))+1000*tech_proj!Q1404)/((1-tech_proj!Q564)*tech_proj!Q844*$L$110))</f>
        <v/>
      </c>
      <c r="R784" s="73" t="str">
        <f>IF(tech_base!$T160&gt;R$625,"",(1000*tech_proj!R1124*(-PMT($J$110,tech_base!$F160,1))+1000*tech_proj!R1404)/((1-tech_proj!R564)*tech_proj!R844*$L$110))</f>
        <v/>
      </c>
      <c r="S784" s="73" t="str">
        <f>IF(tech_base!$T160&gt;S$625,"",(1000*tech_proj!S1124*(-PMT($J$110,tech_base!$F160,1))+1000*tech_proj!S1404)/((1-tech_proj!S564)*tech_proj!S844*$L$110))</f>
        <v/>
      </c>
      <c r="T784" s="73" t="str">
        <f>IF(tech_base!$T160&gt;T$625,"",(1000*tech_proj!T1124*(-PMT($J$110,tech_base!$F160,1))+1000*tech_proj!T1404)/((1-tech_proj!T564)*tech_proj!T844*$L$110))</f>
        <v/>
      </c>
      <c r="U784" s="73" t="str">
        <f>IF(tech_base!$T160&gt;U$625,"",(1000*tech_proj!U1124*(-PMT($J$110,tech_base!$F160,1))+1000*tech_proj!U1404)/((1-tech_proj!U564)*tech_proj!U844*$L$110))</f>
        <v/>
      </c>
      <c r="V784" s="73" t="str">
        <f>IF(tech_base!$T160&gt;V$625,"",(1000*tech_proj!V1124*(-PMT($J$110,tech_base!$F160,1))+1000*tech_proj!V1404)/((1-tech_proj!V564)*tech_proj!V844*$L$110))</f>
        <v/>
      </c>
      <c r="W784" s="73" t="str">
        <f>IF(tech_base!$T160&gt;W$625,"",(1000*tech_proj!W1124*(-PMT($J$110,tech_base!$F160,1))+1000*tech_proj!W1404)/((1-tech_proj!W564)*tech_proj!W844*$L$110))</f>
        <v/>
      </c>
      <c r="X784" s="73" t="str">
        <f>IF(tech_base!$T160&gt;X$625,"",(1000*tech_proj!X1124*(-PMT($J$110,tech_base!$F160,1))+1000*tech_proj!X1404)/((1-tech_proj!X564)*tech_proj!X844*$L$110))</f>
        <v/>
      </c>
      <c r="Y784" s="73" t="str">
        <f>IF(tech_base!$T160&gt;Y$625,"",(1000*tech_proj!Y1124*(-PMT($J$110,tech_base!$F160,1))+1000*tech_proj!Y1404)/((1-tech_proj!Y564)*tech_proj!Y844*$L$110))</f>
        <v/>
      </c>
      <c r="Z784" s="73" t="str">
        <f>IF(tech_base!$T160&gt;Z$625,"",(1000*tech_proj!Z1124*(-PMT($J$110,tech_base!$F160,1))+1000*tech_proj!Z1404)/((1-tech_proj!Z564)*tech_proj!Z844*$L$110))</f>
        <v/>
      </c>
      <c r="AA784" s="73" t="str">
        <f>IF(tech_base!$T160&gt;AA$625,"",(1000*tech_proj!AA1124*(-PMT($J$110,tech_base!$F160,1))+1000*tech_proj!AA1404)/((1-tech_proj!AA564)*tech_proj!AA844*$L$110))</f>
        <v/>
      </c>
      <c r="AB784" s="73" t="str">
        <f>IF(tech_base!$T160&gt;AB$625,"",(1000*tech_proj!AB1124*(-PMT($J$110,tech_base!$F160,1))+1000*tech_proj!AB1404)/((1-tech_proj!AB564)*tech_proj!AB844*$L$110))</f>
        <v/>
      </c>
      <c r="AC784" s="73" t="str">
        <f>IF(tech_base!$T160&gt;AC$625,"",(1000*tech_proj!AC1124*(-PMT($J$110,tech_base!$F160,1))+1000*tech_proj!AC1404)/((1-tech_proj!AC564)*tech_proj!AC844*$L$110))</f>
        <v/>
      </c>
      <c r="AD784" s="73" t="str">
        <f>IF(tech_base!$T160&gt;AD$625,"",(1000*tech_proj!AD1124*(-PMT($J$110,tech_base!$F160,1))+1000*tech_proj!AD1404)/((1-tech_proj!AD564)*tech_proj!AD844*$L$110))</f>
        <v/>
      </c>
      <c r="AE784" s="73">
        <f>IF(tech_base!$T160&gt;AE$625,"",(1000*tech_proj!AE1124*(-PMT($J$110,tech_base!$F160,1))+1000*tech_proj!AE1404)/((1-tech_proj!AE564)*tech_proj!AE844*$L$110))</f>
        <v>71.333709082948275</v>
      </c>
      <c r="AF784" s="73">
        <f>IF(tech_base!$T160&gt;AF$625,"",(1000*tech_proj!AF1124*(-PMT($J$110,tech_base!$F160,1))+1000*tech_proj!AF1404)/((1-tech_proj!AF564)*tech_proj!AF844*$L$110))</f>
        <v>71.333709082948275</v>
      </c>
      <c r="AG784" s="73">
        <f>IF(tech_base!$T160&gt;AG$625,"",(1000*tech_proj!AG1124*(-PMT($J$110,tech_base!$F160,1))+1000*tech_proj!AG1404)/((1-tech_proj!AG564)*tech_proj!AG844*$L$110))</f>
        <v>71.333709082948275</v>
      </c>
      <c r="AH784" s="73">
        <f>IF(tech_base!$T160&gt;AH$625,"",(1000*tech_proj!AH1124*(-PMT($J$110,tech_base!$F160,1))+1000*tech_proj!AH1404)/((1-tech_proj!AH564)*tech_proj!AH844*$L$110))</f>
        <v>71.333709082948275</v>
      </c>
      <c r="AI784" s="73">
        <f>IF(tech_base!$T160&gt;AI$625,"",(1000*tech_proj!AI1124*(-PMT($J$110,tech_base!$F160,1))+1000*tech_proj!AI1404)/((1-tech_proj!AI564)*tech_proj!AI844*$L$110))</f>
        <v>71.333709082948275</v>
      </c>
      <c r="AJ784" s="73">
        <f>IF(tech_base!$T160&gt;AJ$625,"",(1000*tech_proj!AJ1124*(-PMT($J$110,tech_base!$F160,1))+1000*tech_proj!AJ1404)/((1-tech_proj!AJ564)*tech_proj!AJ844*$L$110))</f>
        <v>71.333709082948275</v>
      </c>
      <c r="AK784" s="73">
        <f>IF(tech_base!$T160&gt;AK$625,"",(1000*tech_proj!AK1124*(-PMT($J$110,tech_base!$F160,1))+1000*tech_proj!AK1404)/((1-tech_proj!AK564)*tech_proj!AK844*$L$110))</f>
        <v>71.333709082948275</v>
      </c>
      <c r="AL784" s="73">
        <f>IF(tech_base!$T160&gt;AL$625,"",(1000*tech_proj!AL1124*(-PMT($J$110,tech_base!$F160,1))+1000*tech_proj!AL1404)/((1-tech_proj!AL564)*tech_proj!AL844*$L$110))</f>
        <v>71.333709082948275</v>
      </c>
      <c r="AM784" s="73">
        <f>IF(tech_base!$T160&gt;AM$625,"",(1000*tech_proj!AM1124*(-PMT($J$110,tech_base!$F160,1))+1000*tech_proj!AM1404)/((1-tech_proj!AM564)*tech_proj!AM844*$L$110))</f>
        <v>71.333709082948275</v>
      </c>
      <c r="AN784" s="73">
        <f>IF(tech_base!$T160&gt;AN$625,"",(1000*tech_proj!AN1124*(-PMT($J$110,tech_base!$F160,1))+1000*tech_proj!AN1404)/((1-tech_proj!AN564)*tech_proj!AN844*$L$110))</f>
        <v>71.333709082948275</v>
      </c>
      <c r="AO784" s="73">
        <f>IF(tech_base!$T160&gt;AO$625,"",(1000*tech_proj!AO1124*(-PMT($J$110,tech_base!$F160,1))+1000*tech_proj!AO1404)/((1-tech_proj!AO564)*tech_proj!AO844*$L$110))</f>
        <v>71.333709082948275</v>
      </c>
      <c r="AP784" s="73">
        <f>IF(tech_base!$T160&gt;AP$625,"",(1000*tech_proj!AP1124*(-PMT($J$110,tech_base!$F160,1))+1000*tech_proj!AP1404)/((1-tech_proj!AP564)*tech_proj!AP844*$L$110))</f>
        <v>71.333709082948275</v>
      </c>
      <c r="AQ784" s="73">
        <f>IF(tech_base!$T160&gt;AQ$625,"",(1000*tech_proj!AQ1124*(-PMT($J$110,tech_base!$F160,1))+1000*tech_proj!AQ1404)/((1-tech_proj!AQ564)*tech_proj!AQ844*$L$110))</f>
        <v>71.333709082948275</v>
      </c>
      <c r="AR784" s="73">
        <f>IF(tech_base!$T160&gt;AR$625,"",(1000*tech_proj!AR1124*(-PMT($J$110,tech_base!$F160,1))+1000*tech_proj!AR1404)/((1-tech_proj!AR564)*tech_proj!AR844*$L$110))</f>
        <v>71.333709082948275</v>
      </c>
      <c r="AS784" s="73">
        <f>IF(tech_base!$T160&gt;AS$625,"",(1000*tech_proj!AS1124*(-PMT($J$110,tech_base!$F160,1))+1000*tech_proj!AS1404)/((1-tech_proj!AS564)*tech_proj!AS844*$L$110))</f>
        <v>71.333709082948275</v>
      </c>
      <c r="AT784" s="73">
        <f>IF(tech_base!$T160&gt;AT$625,"",(1000*tech_proj!AT1124*(-PMT($J$110,tech_base!$F160,1))+1000*tech_proj!AT1404)/((1-tech_proj!AT564)*tech_proj!AT844*$L$110))</f>
        <v>71.333709082948275</v>
      </c>
      <c r="AU784" s="73">
        <f>IF(tech_base!$T160&gt;AU$625,"",(1000*tech_proj!AU1124*(-PMT($J$110,tech_base!$F160,1))+1000*tech_proj!AU1404)/((1-tech_proj!AU564)*tech_proj!AU844*$L$110))</f>
        <v>71.333709082948275</v>
      </c>
      <c r="AV784" s="73">
        <f>IF(tech_base!$T160&gt;AV$625,"",(1000*tech_proj!AV1124*(-PMT($J$110,tech_base!$F160,1))+1000*tech_proj!AV1404)/((1-tech_proj!AV564)*tech_proj!AV844*$L$110))</f>
        <v>71.333709082948275</v>
      </c>
      <c r="AW784" s="73">
        <f>IF(tech_base!$T160&gt;AW$625,"",(1000*tech_proj!AW1124*(-PMT($J$110,tech_base!$F160,1))+1000*tech_proj!AW1404)/((1-tech_proj!AW564)*tech_proj!AW844*$L$110))</f>
        <v>71.333709082948275</v>
      </c>
      <c r="AX784" s="239">
        <f>IF(tech_base!$T160&gt;AX$625,"",(1000*tech_proj!AX1124*(-PMT($J$110,tech_base!$F160,1))+1000*tech_proj!AX1404)/((1-tech_proj!AX564)*tech_proj!AX844*$L$110))</f>
        <v>71.333709082948275</v>
      </c>
    </row>
    <row r="785" spans="1:50" x14ac:dyDescent="0.25">
      <c r="A785" s="356"/>
      <c r="B785" s="358" t="s">
        <v>19</v>
      </c>
      <c r="C785" s="353" t="s">
        <v>6</v>
      </c>
      <c r="D785" s="3" t="s">
        <v>7</v>
      </c>
      <c r="E785" s="162" t="str">
        <f>A765&amp;"/"&amp;B785&amp;"/"&amp;C785&amp;"/"&amp;D785</f>
        <v>Diesel oil fired power plants/Steam turbine/Electricity only/L</v>
      </c>
      <c r="F785" s="77" t="str">
        <f>A765</f>
        <v>Diesel oil fired power plants</v>
      </c>
      <c r="G785" s="77" t="str">
        <f>B785</f>
        <v>Steam turbine</v>
      </c>
      <c r="H785" s="77" t="str">
        <f>C785</f>
        <v>Electricity only</v>
      </c>
      <c r="I785" s="163" t="str">
        <f t="shared" si="364"/>
        <v>L</v>
      </c>
      <c r="J785" s="70">
        <f>IF(tech_base!$T161&gt;J$625,"",(1000*tech_proj!J1125*(-PMT($J$110,tech_base!$F161,1))+1000*tech_proj!J1405)/((1-tech_proj!J565)*tech_proj!J845*$L$110))</f>
        <v>24.929371999576791</v>
      </c>
      <c r="K785" s="70">
        <f>IF(tech_base!$T161&gt;K$625,"",(1000*tech_proj!K1125*(-PMT($J$110,tech_base!$F161,1))+1000*tech_proj!K1405)/((1-tech_proj!K565)*tech_proj!K845*$L$110))</f>
        <v>24.938233744174507</v>
      </c>
      <c r="L785" s="70">
        <f>IF(tech_base!$T161&gt;L$625,"",(1000*tech_proj!L1125*(-PMT($J$110,tech_base!$F161,1))+1000*tech_proj!L1405)/((1-tech_proj!L565)*tech_proj!L845*$L$110))</f>
        <v>24.946907300187696</v>
      </c>
      <c r="M785" s="70">
        <f>IF(tech_base!$T161&gt;M$625,"",(1000*tech_proj!M1125*(-PMT($J$110,tech_base!$F161,1))+1000*tech_proj!M1405)/((1-tech_proj!M565)*tech_proj!M845*$L$110))</f>
        <v>24.955394812030864</v>
      </c>
      <c r="N785" s="70">
        <f>IF(tech_base!$T161&gt;N$625,"",(1000*tech_proj!N1125*(-PMT($J$110,tech_base!$F161,1))+1000*tech_proj!N1405)/((1-tech_proj!N565)*tech_proj!N845*$L$110))</f>
        <v>24.963698497656146</v>
      </c>
      <c r="O785" s="70">
        <f>IF(tech_base!$T161&gt;O$625,"",(1000*tech_proj!O1125*(-PMT($J$110,tech_base!$F161,1))+1000*tech_proj!O1405)/((1-tech_proj!O565)*tech_proj!O845*$L$110))</f>
        <v>24.971820642493107</v>
      </c>
      <c r="P785" s="70">
        <f>IF(tech_base!$T161&gt;P$625,"",(1000*tech_proj!P1125*(-PMT($J$110,tech_base!$F161,1))+1000*tech_proj!P1405)/((1-tech_proj!P565)*tech_proj!P845*$L$110))</f>
        <v>24.979763593556122</v>
      </c>
      <c r="Q785" s="70">
        <f>IF(tech_base!$T161&gt;Q$625,"",(1000*tech_proj!Q1125*(-PMT($J$110,tech_base!$F161,1))+1000*tech_proj!Q1405)/((1-tech_proj!Q565)*tech_proj!Q845*$L$110))</f>
        <v>24.987529753725951</v>
      </c>
      <c r="R785" s="70">
        <f>IF(tech_base!$T161&gt;R$625,"",(1000*tech_proj!R1125*(-PMT($J$110,tech_base!$F161,1))+1000*tech_proj!R1405)/((1-tech_proj!R565)*tech_proj!R845*$L$110))</f>
        <v>24.995121576210991</v>
      </c>
      <c r="S785" s="70">
        <f>IF(tech_base!$T161&gt;S$625,"",(1000*tech_proj!S1125*(-PMT($J$110,tech_base!$F161,1))+1000*tech_proj!S1405)/((1-tech_proj!S565)*tech_proj!S845*$L$110))</f>
        <v>25.002541559192622</v>
      </c>
      <c r="T785" s="70">
        <f>IF(tech_base!$T161&gt;T$625,"",(1000*tech_proj!T1125*(-PMT($J$110,tech_base!$F161,1))+1000*tech_proj!T1405)/((1-tech_proj!T565)*tech_proj!T845*$L$110))</f>
        <v>25.009792240658317</v>
      </c>
      <c r="U785" s="70">
        <f>IF(tech_base!$T161&gt;U$625,"",(1000*tech_proj!U1125*(-PMT($J$110,tech_base!$F161,1))+1000*tech_proj!U1405)/((1-tech_proj!U565)*tech_proj!U845*$L$110))</f>
        <v>25.016876193425045</v>
      </c>
      <c r="V785" s="70">
        <f>IF(tech_base!$T161&gt;V$625,"",(1000*tech_proj!V1125*(-PMT($J$110,tech_base!$F161,1))+1000*tech_proj!V1405)/((1-tech_proj!V565)*tech_proj!V845*$L$110))</f>
        <v>25.023796020354688</v>
      </c>
      <c r="W785" s="70">
        <f>IF(tech_base!$T161&gt;W$625,"",(1000*tech_proj!W1125*(-PMT($J$110,tech_base!$F161,1))+1000*tech_proj!W1405)/((1-tech_proj!W565)*tech_proj!W845*$L$110))</f>
        <v>25.030554349762646</v>
      </c>
      <c r="X785" s="70">
        <f>IF(tech_base!$T161&gt;X$625,"",(1000*tech_proj!X1125*(-PMT($J$110,tech_base!$F161,1))+1000*tech_proj!X1405)/((1-tech_proj!X565)*tech_proj!X845*$L$110))</f>
        <v>25.037153831019733</v>
      </c>
      <c r="Y785" s="70">
        <f>IF(tech_base!$T161&gt;Y$625,"",(1000*tech_proj!Y1125*(-PMT($J$110,tech_base!$F161,1))+1000*tech_proj!Y1405)/((1-tech_proj!Y565)*tech_proj!Y845*$L$110))</f>
        <v>25.043597130346967</v>
      </c>
      <c r="Z785" s="70">
        <f>IF(tech_base!$T161&gt;Z$625,"",(1000*tech_proj!Z1125*(-PMT($J$110,tech_base!$F161,1))+1000*tech_proj!Z1405)/((1-tech_proj!Z565)*tech_proj!Z845*$L$110))</f>
        <v>25.04988692680228</v>
      </c>
      <c r="AA785" s="70">
        <f>IF(tech_base!$T161&gt;AA$625,"",(1000*tech_proj!AA1125*(-PMT($J$110,tech_base!$F161,1))+1000*tech_proj!AA1405)/((1-tech_proj!AA565)*tech_proj!AA845*$L$110))</f>
        <v>25.056025908457414</v>
      </c>
      <c r="AB785" s="70">
        <f>IF(tech_base!$T161&gt;AB$625,"",(1000*tech_proj!AB1125*(-PMT($J$110,tech_base!$F161,1))+1000*tech_proj!AB1405)/((1-tech_proj!AB565)*tech_proj!AB845*$L$110))</f>
        <v>25.062016768762991</v>
      </c>
      <c r="AC785" s="70">
        <f>IF(tech_base!$T161&gt;AC$625,"",(1000*tech_proj!AC1125*(-PMT($J$110,tech_base!$F161,1))+1000*tech_proj!AC1405)/((1-tech_proj!AC565)*tech_proj!AC845*$L$110))</f>
        <v>25.067862203099011</v>
      </c>
      <c r="AD785" s="70">
        <f>IF(tech_base!$T161&gt;AD$625,"",(1000*tech_proj!AD1125*(-PMT($J$110,tech_base!$F161,1))+1000*tech_proj!AD1405)/((1-tech_proj!AD565)*tech_proj!AD845*$L$110))</f>
        <v>25.073564905507908</v>
      </c>
      <c r="AE785" s="70">
        <f>IF(tech_base!$T161&gt;AE$625,"",(1000*tech_proj!AE1125*(-PMT($J$110,tech_base!$F161,1))+1000*tech_proj!AE1405)/((1-tech_proj!AE565)*tech_proj!AE845*$L$110))</f>
        <v>25.079127565606537</v>
      </c>
      <c r="AF785" s="70">
        <f>IF(tech_base!$T161&gt;AF$625,"",(1000*tech_proj!AF1125*(-PMT($J$110,tech_base!$F161,1))+1000*tech_proj!AF1405)/((1-tech_proj!AF565)*tech_proj!AF845*$L$110))</f>
        <v>25.084552865673611</v>
      </c>
      <c r="AG785" s="70">
        <f>IF(tech_base!$T161&gt;AG$625,"",(1000*tech_proj!AG1125*(-PMT($J$110,tech_base!$F161,1))+1000*tech_proj!AG1405)/((1-tech_proj!AG565)*tech_proj!AG845*$L$110))</f>
        <v>25.089843477908289</v>
      </c>
      <c r="AH785" s="70">
        <f>IF(tech_base!$T161&gt;AH$625,"",(1000*tech_proj!AH1125*(-PMT($J$110,tech_base!$F161,1))+1000*tech_proj!AH1405)/((1-tech_proj!AH565)*tech_proj!AH845*$L$110))</f>
        <v>25.095002061855862</v>
      </c>
      <c r="AI785" s="70">
        <f>IF(tech_base!$T161&gt;AI$625,"",(1000*tech_proj!AI1125*(-PMT($J$110,tech_base!$F161,1))+1000*tech_proj!AI1405)/((1-tech_proj!AI565)*tech_proj!AI845*$L$110))</f>
        <v>25.100031261995852</v>
      </c>
      <c r="AJ785" s="70">
        <f>IF(tech_base!$T161&gt;AJ$625,"",(1000*tech_proj!AJ1125*(-PMT($J$110,tech_base!$F161,1))+1000*tech_proj!AJ1405)/((1-tech_proj!AJ565)*tech_proj!AJ845*$L$110))</f>
        <v>25.104933705487969</v>
      </c>
      <c r="AK785" s="70">
        <f>IF(tech_base!$T161&gt;AK$625,"",(1000*tech_proj!AK1125*(-PMT($J$110,tech_base!$F161,1))+1000*tech_proj!AK1405)/((1-tech_proj!AK565)*tech_proj!AK845*$L$110))</f>
        <v>25.109712000071042</v>
      </c>
      <c r="AL785" s="70">
        <f>IF(tech_base!$T161&gt;AL$625,"",(1000*tech_proj!AL1125*(-PMT($J$110,tech_base!$F161,1))+1000*tech_proj!AL1405)/((1-tech_proj!AL565)*tech_proj!AL845*$L$110))</f>
        <v>25.114368732109966</v>
      </c>
      <c r="AM785" s="70">
        <f>IF(tech_base!$T161&gt;AM$625,"",(1000*tech_proj!AM1125*(-PMT($J$110,tech_base!$F161,1))+1000*tech_proj!AM1405)/((1-tech_proj!AM565)*tech_proj!AM845*$L$110))</f>
        <v>25.118906464785717</v>
      </c>
      <c r="AN785" s="70">
        <f>IF(tech_base!$T161&gt;AN$625,"",(1000*tech_proj!AN1125*(-PMT($J$110,tech_base!$F161,1))+1000*tech_proj!AN1405)/((1-tech_proj!AN565)*tech_proj!AN845*$L$110))</f>
        <v>25.123327736423235</v>
      </c>
      <c r="AO785" s="70">
        <f>IF(tech_base!$T161&gt;AO$625,"",(1000*tech_proj!AO1125*(-PMT($J$110,tech_base!$F161,1))+1000*tech_proj!AO1405)/((1-tech_proj!AO565)*tech_proj!AO845*$L$110))</f>
        <v>25.12763505895213</v>
      </c>
      <c r="AP785" s="70">
        <f>IF(tech_base!$T161&gt;AP$625,"",(1000*tech_proj!AP1125*(-PMT($J$110,tech_base!$F161,1))+1000*tech_proj!AP1405)/((1-tech_proj!AP565)*tech_proj!AP845*$L$110))</f>
        <v>25.131830916495012</v>
      </c>
      <c r="AQ785" s="70">
        <f>IF(tech_base!$T161&gt;AQ$625,"",(1000*tech_proj!AQ1125*(-PMT($J$110,tech_base!$F161,1))+1000*tech_proj!AQ1405)/((1-tech_proj!AQ565)*tech_proj!AQ845*$L$110))</f>
        <v>25.135917764078389</v>
      </c>
      <c r="AR785" s="70">
        <f>IF(tech_base!$T161&gt;AR$625,"",(1000*tech_proj!AR1125*(-PMT($J$110,tech_base!$F161,1))+1000*tech_proj!AR1405)/((1-tech_proj!AR565)*tech_proj!AR845*$L$110))</f>
        <v>25.139898026460855</v>
      </c>
      <c r="AS785" s="70">
        <f>IF(tech_base!$T161&gt;AS$625,"",(1000*tech_proj!AS1125*(-PMT($J$110,tech_base!$F161,1))+1000*tech_proj!AS1405)/((1-tech_proj!AS565)*tech_proj!AS845*$L$110))</f>
        <v>25.143774097073745</v>
      </c>
      <c r="AT785" s="70">
        <f>IF(tech_base!$T161&gt;AT$625,"",(1000*tech_proj!AT1125*(-PMT($J$110,tech_base!$F161,1))+1000*tech_proj!AT1405)/((1-tech_proj!AT565)*tech_proj!AT845*$L$110))</f>
        <v>25.147548337068972</v>
      </c>
      <c r="AU785" s="70">
        <f>IF(tech_base!$T161&gt;AU$625,"",(1000*tech_proj!AU1125*(-PMT($J$110,tech_base!$F161,1))+1000*tech_proj!AU1405)/((1-tech_proj!AU565)*tech_proj!AU845*$L$110))</f>
        <v>25.151223074469282</v>
      </c>
      <c r="AV785" s="70">
        <f>IF(tech_base!$T161&gt;AV$625,"",(1000*tech_proj!AV1125*(-PMT($J$110,tech_base!$F161,1))+1000*tech_proj!AV1405)/((1-tech_proj!AV565)*tech_proj!AV845*$L$110))</f>
        <v>25.154800603416</v>
      </c>
      <c r="AW785" s="70">
        <f>IF(tech_base!$T161&gt;AW$625,"",(1000*tech_proj!AW1125*(-PMT($J$110,tech_base!$F161,1))+1000*tech_proj!AW1405)/((1-tech_proj!AW565)*tech_proj!AW845*$L$110))</f>
        <v>25.158283183509489</v>
      </c>
      <c r="AX785" s="236">
        <f>IF(tech_base!$T161&gt;AX$625,"",(1000*tech_proj!AX1125*(-PMT($J$110,tech_base!$F161,1))+1000*tech_proj!AX1405)/((1-tech_proj!AX565)*tech_proj!AX845*$L$110))</f>
        <v>25.161673039237606</v>
      </c>
    </row>
    <row r="786" spans="1:50" x14ac:dyDescent="0.25">
      <c r="A786" s="356"/>
      <c r="B786" s="376"/>
      <c r="C786" s="378"/>
      <c r="D786" s="2" t="s">
        <v>8</v>
      </c>
      <c r="E786" s="160" t="str">
        <f>A765&amp;"/"&amp;B785&amp;"/"&amp;C785&amp;"/"&amp;D786</f>
        <v>Diesel oil fired power plants/Steam turbine/Electricity only/M</v>
      </c>
      <c r="F786" s="76" t="str">
        <f>A765</f>
        <v>Diesel oil fired power plants</v>
      </c>
      <c r="G786" s="76" t="str">
        <f>B785</f>
        <v>Steam turbine</v>
      </c>
      <c r="H786" s="76" t="str">
        <f>C785</f>
        <v>Electricity only</v>
      </c>
      <c r="I786" s="161" t="str">
        <f t="shared" si="364"/>
        <v>M</v>
      </c>
      <c r="J786" s="69">
        <f>IF(tech_base!$T162&gt;J$625,"",(1000*tech_proj!J1126*(-PMT($J$110,tech_base!$F162,1))+1000*tech_proj!J1406)/((1-tech_proj!J566)*tech_proj!J846*$L$110))</f>
        <v>26.990277007147125</v>
      </c>
      <c r="K786" s="69">
        <f>IF(tech_base!$T162&gt;K$625,"",(1000*tech_proj!K1126*(-PMT($J$110,tech_base!$F162,1))+1000*tech_proj!K1406)/((1-tech_proj!K566)*tech_proj!K846*$L$110))</f>
        <v>26.997472764268377</v>
      </c>
      <c r="L786" s="69">
        <f>IF(tech_base!$T162&gt;L$625,"",(1000*tech_proj!L1126*(-PMT($J$110,tech_base!$F162,1))+1000*tech_proj!L1406)/((1-tech_proj!L566)*tech_proj!L846*$L$110))</f>
        <v>27.004515711823487</v>
      </c>
      <c r="M786" s="69">
        <f>IF(tech_base!$T162&gt;M$625,"",(1000*tech_proj!M1126*(-PMT($J$110,tech_base!$F162,1))+1000*tech_proj!M1406)/((1-tech_proj!M566)*tech_proj!M846*$L$110))</f>
        <v>27.011407591081984</v>
      </c>
      <c r="N786" s="69">
        <f>IF(tech_base!$T162&gt;N$625,"",(1000*tech_proj!N1126*(-PMT($J$110,tech_base!$F162,1))+1000*tech_proj!N1406)/((1-tech_proj!N566)*tech_proj!N846*$L$110))</f>
        <v>27.018150203026156</v>
      </c>
      <c r="O786" s="69">
        <f>IF(tech_base!$T162&gt;O$625,"",(1000*tech_proj!O1126*(-PMT($J$110,tech_base!$F162,1))+1000*tech_proj!O1406)/((1-tech_proj!O566)*tech_proj!O846*$L$110))</f>
        <v>27.024745403430089</v>
      </c>
      <c r="P786" s="69">
        <f>IF(tech_base!$T162&gt;P$625,"",(1000*tech_proj!P1126*(-PMT($J$110,tech_base!$F162,1))+1000*tech_proj!P1406)/((1-tech_proj!P566)*tech_proj!P846*$L$110))</f>
        <v>27.031195098074878</v>
      </c>
      <c r="Q786" s="69">
        <f>IF(tech_base!$T162&gt;Q$625,"",(1000*tech_proj!Q1126*(-PMT($J$110,tech_base!$F162,1))+1000*tech_proj!Q1406)/((1-tech_proj!Q566)*tech_proj!Q846*$L$110))</f>
        <v>27.037501238105275</v>
      </c>
      <c r="R786" s="69">
        <f>IF(tech_base!$T162&gt;R$625,"",(1000*tech_proj!R1126*(-PMT($J$110,tech_base!$F162,1))+1000*tech_proj!R1406)/((1-tech_proj!R566)*tech_proj!R846*$L$110))</f>
        <v>27.043665815532165</v>
      </c>
      <c r="S786" s="69">
        <f>IF(tech_base!$T162&gt;S$625,"",(1000*tech_proj!S1126*(-PMT($J$110,tech_base!$F162,1))+1000*tech_proj!S1406)/((1-tech_proj!S566)*tech_proj!S846*$L$110))</f>
        <v>27.049690858884613</v>
      </c>
      <c r="T786" s="69">
        <f>IF(tech_base!$T162&gt;T$625,"",(1000*tech_proj!T1126*(-PMT($J$110,tech_base!$F162,1))+1000*tech_proj!T1406)/((1-tech_proj!T566)*tech_proj!T846*$L$110))</f>
        <v>27.055578429014343</v>
      </c>
      <c r="U786" s="69">
        <f>IF(tech_base!$T162&gt;U$625,"",(1000*tech_proj!U1126*(-PMT($J$110,tech_base!$F162,1))+1000*tech_proj!U1406)/((1-tech_proj!U566)*tech_proj!U846*$L$110))</f>
        <v>27.061330615054651</v>
      </c>
      <c r="V786" s="69">
        <f>IF(tech_base!$T162&gt;V$625,"",(1000*tech_proj!V1126*(-PMT($J$110,tech_base!$F162,1))+1000*tech_proj!V1406)/((1-tech_proj!V566)*tech_proj!V846*$L$110))</f>
        <v>27.066949530535421</v>
      </c>
      <c r="W786" s="69">
        <f>IF(tech_base!$T162&gt;W$625,"",(1000*tech_proj!W1126*(-PMT($J$110,tech_base!$F162,1))+1000*tech_proj!W1406)/((1-tech_proj!W566)*tech_proj!W846*$L$110))</f>
        <v>27.072437309654852</v>
      </c>
      <c r="X786" s="69">
        <f>IF(tech_base!$T162&gt;X$625,"",(1000*tech_proj!X1126*(-PMT($J$110,tech_base!$F162,1))+1000*tech_proj!X1406)/((1-tech_proj!X566)*tech_proj!X846*$L$110))</f>
        <v>27.077796103708163</v>
      </c>
      <c r="Y786" s="69">
        <f>IF(tech_base!$T162&gt;Y$625,"",(1000*tech_proj!Y1126*(-PMT($J$110,tech_base!$F162,1))+1000*tech_proj!Y1406)/((1-tech_proj!Y566)*tech_proj!Y846*$L$110))</f>
        <v>27.083028077672999</v>
      </c>
      <c r="Z786" s="69">
        <f>IF(tech_base!$T162&gt;Z$625,"",(1000*tech_proj!Z1126*(-PMT($J$110,tech_base!$F162,1))+1000*tech_proj!Z1406)/((1-tech_proj!Z566)*tech_proj!Z846*$L$110))</f>
        <v>27.088135406950602</v>
      </c>
      <c r="AA786" s="69">
        <f>IF(tech_base!$T162&gt;AA$625,"",(1000*tech_proj!AA1126*(-PMT($J$110,tech_base!$F162,1))+1000*tech_proj!AA1406)/((1-tech_proj!AA566)*tech_proj!AA846*$L$110))</f>
        <v>27.093120274261437</v>
      </c>
      <c r="AB786" s="69">
        <f>IF(tech_base!$T162&gt;AB$625,"",(1000*tech_proj!AB1126*(-PMT($J$110,tech_base!$F162,1))+1000*tech_proj!AB1406)/((1-tech_proj!AB566)*tech_proj!AB846*$L$110))</f>
        <v>27.097984866693654</v>
      </c>
      <c r="AC786" s="69">
        <f>IF(tech_base!$T162&gt;AC$625,"",(1000*tech_proj!AC1126*(-PMT($J$110,tech_base!$F162,1))+1000*tech_proj!AC1406)/((1-tech_proj!AC566)*tech_proj!AC846*$L$110))</f>
        <v>27.102731372902042</v>
      </c>
      <c r="AD786" s="69">
        <f>IF(tech_base!$T162&gt;AD$625,"",(1000*tech_proj!AD1126*(-PMT($J$110,tech_base!$F162,1))+1000*tech_proj!AD1406)/((1-tech_proj!AD566)*tech_proj!AD846*$L$110))</f>
        <v>27.107361980455295</v>
      </c>
      <c r="AE786" s="69">
        <f>IF(tech_base!$T162&gt;AE$625,"",(1000*tech_proj!AE1126*(-PMT($J$110,tech_base!$F162,1))+1000*tech_proj!AE1406)/((1-tech_proj!AE566)*tech_proj!AE846*$L$110))</f>
        <v>27.111878873328521</v>
      </c>
      <c r="AF786" s="69">
        <f>IF(tech_base!$T162&gt;AF$625,"",(1000*tech_proj!AF1126*(-PMT($J$110,tech_base!$F162,1))+1000*tech_proj!AF1406)/((1-tech_proj!AF566)*tech_proj!AF846*$L$110))</f>
        <v>27.116284229538248</v>
      </c>
      <c r="AG786" s="69">
        <f>IF(tech_base!$T162&gt;AG$625,"",(1000*tech_proj!AG1126*(-PMT($J$110,tech_base!$F162,1))+1000*tech_proj!AG1406)/((1-tech_proj!AG566)*tech_proj!AG846*$L$110))</f>
        <v>27.120580218916373</v>
      </c>
      <c r="AH786" s="69">
        <f>IF(tech_base!$T162&gt;AH$625,"",(1000*tech_proj!AH1126*(-PMT($J$110,tech_base!$F162,1))+1000*tech_proj!AH1406)/((1-tech_proj!AH566)*tech_proj!AH846*$L$110))</f>
        <v>27.124769001019828</v>
      </c>
      <c r="AI786" s="69">
        <f>IF(tech_base!$T162&gt;AI$625,"",(1000*tech_proj!AI1126*(-PMT($J$110,tech_base!$F162,1))+1000*tech_proj!AI1406)/((1-tech_proj!AI566)*tech_proj!AI846*$L$110))</f>
        <v>27.128852723172109</v>
      </c>
      <c r="AJ786" s="69">
        <f>IF(tech_base!$T162&gt;AJ$625,"",(1000*tech_proj!AJ1126*(-PMT($J$110,tech_base!$F162,1))+1000*tech_proj!AJ1406)/((1-tech_proj!AJ566)*tech_proj!AJ846*$L$110))</f>
        <v>27.132833518632975</v>
      </c>
      <c r="AK786" s="69">
        <f>IF(tech_base!$T162&gt;AK$625,"",(1000*tech_proj!AK1126*(-PMT($J$110,tech_base!$F162,1))+1000*tech_proj!AK1406)/((1-tech_proj!AK566)*tech_proj!AK846*$L$110))</f>
        <v>27.136713504892384</v>
      </c>
      <c r="AL786" s="69">
        <f>IF(tech_base!$T162&gt;AL$625,"",(1000*tech_proj!AL1126*(-PMT($J$110,tech_base!$F162,1))+1000*tech_proj!AL1406)/((1-tech_proj!AL566)*tech_proj!AL846*$L$110))</f>
        <v>27.140494782084627</v>
      </c>
      <c r="AM786" s="69">
        <f>IF(tech_base!$T162&gt;AM$625,"",(1000*tech_proj!AM1126*(-PMT($J$110,tech_base!$F162,1))+1000*tech_proj!AM1406)/((1-tech_proj!AM566)*tech_proj!AM846*$L$110))</f>
        <v>27.144179431518587</v>
      </c>
      <c r="AN786" s="69">
        <f>IF(tech_base!$T162&gt;AN$625,"",(1000*tech_proj!AN1126*(-PMT($J$110,tech_base!$F162,1))+1000*tech_proj!AN1406)/((1-tech_proj!AN566)*tech_proj!AN846*$L$110))</f>
        <v>27.147769514319986</v>
      </c>
      <c r="AO786" s="69">
        <f>IF(tech_base!$T162&gt;AO$625,"",(1000*tech_proj!AO1126*(-PMT($J$110,tech_base!$F162,1))+1000*tech_proj!AO1406)/((1-tech_proj!AO566)*tech_proj!AO846*$L$110))</f>
        <v>27.151267070181479</v>
      </c>
      <c r="AP786" s="69">
        <f>IF(tech_base!$T162&gt;AP$625,"",(1000*tech_proj!AP1126*(-PMT($J$110,tech_base!$F162,1))+1000*tech_proj!AP1406)/((1-tech_proj!AP566)*tech_proj!AP846*$L$110))</f>
        <v>27.15467411621638</v>
      </c>
      <c r="AQ786" s="69">
        <f>IF(tech_base!$T162&gt;AQ$625,"",(1000*tech_proj!AQ1126*(-PMT($J$110,tech_base!$F162,1))+1000*tech_proj!AQ1406)/((1-tech_proj!AQ566)*tech_proj!AQ846*$L$110))</f>
        <v>27.157992645911889</v>
      </c>
      <c r="AR786" s="69">
        <f>IF(tech_base!$T162&gt;AR$625,"",(1000*tech_proj!AR1126*(-PMT($J$110,tech_base!$F162,1))+1000*tech_proj!AR1406)/((1-tech_proj!AR566)*tech_proj!AR846*$L$110))</f>
        <v>27.1612246281776</v>
      </c>
      <c r="AS786" s="69">
        <f>IF(tech_base!$T162&gt;AS$625,"",(1000*tech_proj!AS1126*(-PMT($J$110,tech_base!$F162,1))+1000*tech_proj!AS1406)/((1-tech_proj!AS566)*tech_proj!AS846*$L$110))</f>
        <v>27.164372006485294</v>
      </c>
      <c r="AT786" s="69">
        <f>IF(tech_base!$T162&gt;AT$625,"",(1000*tech_proj!AT1126*(-PMT($J$110,tech_base!$F162,1))+1000*tech_proj!AT1406)/((1-tech_proj!AT566)*tech_proj!AT846*$L$110))</f>
        <v>27.167436698095784</v>
      </c>
      <c r="AU786" s="69">
        <f>IF(tech_base!$T162&gt;AU$625,"",(1000*tech_proj!AU1126*(-PMT($J$110,tech_base!$F162,1))+1000*tech_proj!AU1406)/((1-tech_proj!AU566)*tech_proj!AU846*$L$110))</f>
        <v>27.170420593368934</v>
      </c>
      <c r="AV786" s="69">
        <f>IF(tech_base!$T162&gt;AV$625,"",(1000*tech_proj!AV1126*(-PMT($J$110,tech_base!$F162,1))+1000*tech_proj!AV1406)/((1-tech_proj!AV566)*tech_proj!AV846*$L$110))</f>
        <v>27.173325555152804</v>
      </c>
      <c r="AW786" s="69">
        <f>IF(tech_base!$T162&gt;AW$625,"",(1000*tech_proj!AW1126*(-PMT($J$110,tech_base!$F162,1))+1000*tech_proj!AW1406)/((1-tech_proj!AW566)*tech_proj!AW846*$L$110))</f>
        <v>27.176153418248131</v>
      </c>
      <c r="AX786" s="235">
        <f>IF(tech_base!$T162&gt;AX$625,"",(1000*tech_proj!AX1126*(-PMT($J$110,tech_base!$F162,1))+1000*tech_proj!AX1406)/((1-tech_proj!AX566)*tech_proj!AX846*$L$110))</f>
        <v>27.178905988944187</v>
      </c>
    </row>
    <row r="787" spans="1:50" x14ac:dyDescent="0.25">
      <c r="A787" s="356"/>
      <c r="B787" s="376"/>
      <c r="C787" s="379"/>
      <c r="D787" s="2" t="s">
        <v>10</v>
      </c>
      <c r="E787" s="160" t="str">
        <f>A765&amp;"/"&amp;B785&amp;"/"&amp;C785&amp;"/"&amp;D787</f>
        <v>Diesel oil fired power plants/Steam turbine/Electricity only/S</v>
      </c>
      <c r="F787" s="76" t="str">
        <f>A765</f>
        <v>Diesel oil fired power plants</v>
      </c>
      <c r="G787" s="76" t="str">
        <f>B785</f>
        <v>Steam turbine</v>
      </c>
      <c r="H787" s="76" t="str">
        <f>C785</f>
        <v>Electricity only</v>
      </c>
      <c r="I787" s="161" t="str">
        <f t="shared" si="364"/>
        <v>S</v>
      </c>
      <c r="J787" s="69">
        <f>IF(tech_base!$T163&gt;J$625,"",(1000*tech_proj!J1127*(-PMT($J$110,tech_base!$F163,1))+1000*tech_proj!J1407)/((1-tech_proj!J567)*tech_proj!J847*$L$110))</f>
        <v>29.766566584522348</v>
      </c>
      <c r="K787" s="69">
        <f>IF(tech_base!$T163&gt;K$625,"",(1000*tech_proj!K1127*(-PMT($J$110,tech_base!$F163,1))+1000*tech_proj!K1407)/((1-tech_proj!K567)*tech_proj!K847*$L$110))</f>
        <v>29.773179860586506</v>
      </c>
      <c r="L787" s="69">
        <f>IF(tech_base!$T163&gt;L$625,"",(1000*tech_proj!L1127*(-PMT($J$110,tech_base!$F163,1))+1000*tech_proj!L1407)/((1-tech_proj!L567)*tech_proj!L847*$L$110))</f>
        <v>29.779652696690132</v>
      </c>
      <c r="M787" s="69">
        <f>IF(tech_base!$T163&gt;M$625,"",(1000*tech_proj!M1127*(-PMT($J$110,tech_base!$F163,1))+1000*tech_proj!M1407)/((1-tech_proj!M567)*tech_proj!M847*$L$110))</f>
        <v>29.785986693150736</v>
      </c>
      <c r="N787" s="69">
        <f>IF(tech_base!$T163&gt;N$625,"",(1000*tech_proj!N1127*(-PMT($J$110,tech_base!$F163,1))+1000*tech_proj!N1407)/((1-tech_proj!N567)*tech_proj!N847*$L$110))</f>
        <v>29.79218350516495</v>
      </c>
      <c r="O787" s="69">
        <f>IF(tech_base!$T163&gt;O$625,"",(1000*tech_proj!O1127*(-PMT($J$110,tech_base!$F163,1))+1000*tech_proj!O1407)/((1-tech_proj!O567)*tech_proj!O847*$L$110))</f>
        <v>29.798244838285939</v>
      </c>
      <c r="P787" s="69">
        <f>IF(tech_base!$T163&gt;P$625,"",(1000*tech_proj!P1127*(-PMT($J$110,tech_base!$F163,1))+1000*tech_proj!P1407)/((1-tech_proj!P567)*tech_proj!P847*$L$110))</f>
        <v>29.804172444025941</v>
      </c>
      <c r="Q787" s="69">
        <f>IF(tech_base!$T163&gt;Q$625,"",(1000*tech_proj!Q1127*(-PMT($J$110,tech_base!$F163,1))+1000*tech_proj!Q1407)/((1-tech_proj!Q567)*tech_proj!Q847*$L$110))</f>
        <v>29.809968115588713</v>
      </c>
      <c r="R787" s="69">
        <f>IF(tech_base!$T163&gt;R$625,"",(1000*tech_proj!R1127*(-PMT($J$110,tech_base!$F163,1))+1000*tech_proj!R1407)/((1-tech_proj!R567)*tech_proj!R847*$L$110))</f>
        <v>29.815633683736163</v>
      </c>
      <c r="S787" s="69">
        <f>IF(tech_base!$T163&gt;S$625,"",(1000*tech_proj!S1127*(-PMT($J$110,tech_base!$F163,1))+1000*tech_proj!S1407)/((1-tech_proj!S567)*tech_proj!S847*$L$110))</f>
        <v>29.821171012792284</v>
      </c>
      <c r="T787" s="69">
        <f>IF(tech_base!$T163&gt;T$625,"",(1000*tech_proj!T1127*(-PMT($J$110,tech_base!$F163,1))+1000*tech_proj!T1407)/((1-tech_proj!T567)*tech_proj!T847*$L$110))</f>
        <v>29.826581996787283</v>
      </c>
      <c r="U787" s="69">
        <f>IF(tech_base!$T163&gt;U$625,"",(1000*tech_proj!U1127*(-PMT($J$110,tech_base!$F163,1))+1000*tech_proj!U1407)/((1-tech_proj!U567)*tech_proj!U847*$L$110))</f>
        <v>29.831868555743618</v>
      </c>
      <c r="V787" s="69">
        <f>IF(tech_base!$T163&gt;V$625,"",(1000*tech_proj!V1127*(-PMT($J$110,tech_base!$F163,1))+1000*tech_proj!V1407)/((1-tech_proj!V567)*tech_proj!V847*$L$110))</f>
        <v>29.837032632105487</v>
      </c>
      <c r="W787" s="69">
        <f>IF(tech_base!$T163&gt;W$625,"",(1000*tech_proj!W1127*(-PMT($J$110,tech_base!$F163,1))+1000*tech_proj!W1407)/((1-tech_proj!W567)*tech_proj!W847*$L$110))</f>
        <v>29.842076187312308</v>
      </c>
      <c r="X787" s="69">
        <f>IF(tech_base!$T163&gt;X$625,"",(1000*tech_proj!X1127*(-PMT($J$110,tech_base!$F163,1))+1000*tech_proj!X1407)/((1-tech_proj!X567)*tech_proj!X847*$L$110))</f>
        <v>29.847001198516601</v>
      </c>
      <c r="Y787" s="69">
        <f>IF(tech_base!$T163&gt;Y$625,"",(1000*tech_proj!Y1127*(-PMT($J$110,tech_base!$F163,1))+1000*tech_proj!Y1407)/((1-tech_proj!Y567)*tech_proj!Y847*$L$110))</f>
        <v>29.851809655445727</v>
      </c>
      <c r="Z787" s="69">
        <f>IF(tech_base!$T163&gt;Z$625,"",(1000*tech_proj!Z1127*(-PMT($J$110,tech_base!$F163,1))+1000*tech_proj!Z1407)/((1-tech_proj!Z567)*tech_proj!Z847*$L$110))</f>
        <v>29.856503557406871</v>
      </c>
      <c r="AA787" s="69">
        <f>IF(tech_base!$T163&gt;AA$625,"",(1000*tech_proj!AA1127*(-PMT($J$110,tech_base!$F163,1))+1000*tech_proj!AA1407)/((1-tech_proj!AA567)*tech_proj!AA847*$L$110))</f>
        <v>29.861084910433977</v>
      </c>
      <c r="AB787" s="69">
        <f>IF(tech_base!$T163&gt;AB$625,"",(1000*tech_proj!AB1127*(-PMT($J$110,tech_base!$F163,1))+1000*tech_proj!AB1407)/((1-tech_proj!AB567)*tech_proj!AB847*$L$110))</f>
        <v>29.865555724575113</v>
      </c>
      <c r="AC787" s="69">
        <f>IF(tech_base!$T163&gt;AC$625,"",(1000*tech_proj!AC1127*(-PMT($J$110,tech_base!$F163,1))+1000*tech_proj!AC1407)/((1-tech_proj!AC567)*tech_proj!AC847*$L$110))</f>
        <v>29.86991801131817</v>
      </c>
      <c r="AD787" s="69">
        <f>IF(tech_base!$T163&gt;AD$625,"",(1000*tech_proj!AD1127*(-PMT($J$110,tech_base!$F163,1))+1000*tech_proj!AD1407)/((1-tech_proj!AD567)*tech_proj!AD847*$L$110))</f>
        <v>29.874173781152873</v>
      </c>
      <c r="AE787" s="69">
        <f>IF(tech_base!$T163&gt;AE$625,"",(1000*tech_proj!AE1127*(-PMT($J$110,tech_base!$F163,1))+1000*tech_proj!AE1407)/((1-tech_proj!AE567)*tech_proj!AE847*$L$110))</f>
        <v>29.87832504126624</v>
      </c>
      <c r="AF787" s="69">
        <f>IF(tech_base!$T163&gt;AF$625,"",(1000*tech_proj!AF1127*(-PMT($J$110,tech_base!$F163,1))+1000*tech_proj!AF1407)/((1-tech_proj!AF567)*tech_proj!AF847*$L$110))</f>
        <v>29.882373793369041</v>
      </c>
      <c r="AG787" s="69">
        <f>IF(tech_base!$T163&gt;AG$625,"",(1000*tech_proj!AG1127*(-PMT($J$110,tech_base!$F163,1))+1000*tech_proj!AG1407)/((1-tech_proj!AG567)*tech_proj!AG847*$L$110))</f>
        <v>29.886322031649946</v>
      </c>
      <c r="AH787" s="69">
        <f>IF(tech_base!$T163&gt;AH$625,"",(1000*tech_proj!AH1127*(-PMT($J$110,tech_base!$F163,1))+1000*tech_proj!AH1407)/((1-tech_proj!AH567)*tech_proj!AH847*$L$110))</f>
        <v>29.890171740854417</v>
      </c>
      <c r="AI787" s="69">
        <f>IF(tech_base!$T163&gt;AI$625,"",(1000*tech_proj!AI1127*(-PMT($J$110,tech_base!$F163,1))+1000*tech_proj!AI1407)/((1-tech_proj!AI567)*tech_proj!AI847*$L$110))</f>
        <v>29.893924894484709</v>
      </c>
      <c r="AJ787" s="69">
        <f>IF(tech_base!$T163&gt;AJ$625,"",(1000*tech_proj!AJ1127*(-PMT($J$110,tech_base!$F163,1))+1000*tech_proj!AJ1407)/((1-tech_proj!AJ567)*tech_proj!AJ847*$L$110))</f>
        <v>29.897583453117811</v>
      </c>
      <c r="AK787" s="69">
        <f>IF(tech_base!$T163&gt;AK$625,"",(1000*tech_proj!AK1127*(-PMT($J$110,tech_base!$F163,1))+1000*tech_proj!AK1407)/((1-tech_proj!AK567)*tech_proj!AK847*$L$110))</f>
        <v>29.901149362837423</v>
      </c>
      <c r="AL787" s="69">
        <f>IF(tech_base!$T163&gt;AL$625,"",(1000*tech_proj!AL1127*(-PMT($J$110,tech_base!$F163,1))+1000*tech_proj!AL1407)/((1-tech_proj!AL567)*tech_proj!AL847*$L$110))</f>
        <v>29.904624553776479</v>
      </c>
      <c r="AM787" s="69">
        <f>IF(tech_base!$T163&gt;AM$625,"",(1000*tech_proj!AM1127*(-PMT($J$110,tech_base!$F163,1))+1000*tech_proj!AM1407)/((1-tech_proj!AM567)*tech_proj!AM847*$L$110))</f>
        <v>29.908010938766395</v>
      </c>
      <c r="AN787" s="69">
        <f>IF(tech_base!$T163&gt;AN$625,"",(1000*tech_proj!AN1127*(-PMT($J$110,tech_base!$F163,1))+1000*tech_proj!AN1407)/((1-tech_proj!AN567)*tech_proj!AN847*$L$110))</f>
        <v>29.911310412089183</v>
      </c>
      <c r="AO787" s="69">
        <f>IF(tech_base!$T163&gt;AO$625,"",(1000*tech_proj!AO1127*(-PMT($J$110,tech_base!$F163,1))+1000*tech_proj!AO1407)/((1-tech_proj!AO567)*tech_proj!AO847*$L$110))</f>
        <v>29.914524848328782</v>
      </c>
      <c r="AP787" s="69">
        <f>IF(tech_base!$T163&gt;AP$625,"",(1000*tech_proj!AP1127*(-PMT($J$110,tech_base!$F163,1))+1000*tech_proj!AP1407)/((1-tech_proj!AP567)*tech_proj!AP847*$L$110))</f>
        <v>29.917656101317515</v>
      </c>
      <c r="AQ787" s="69">
        <f>IF(tech_base!$T163&gt;AQ$625,"",(1000*tech_proj!AQ1127*(-PMT($J$110,tech_base!$F163,1))+1000*tech_proj!AQ1407)/((1-tech_proj!AQ567)*tech_proj!AQ847*$L$110))</f>
        <v>29.920706003174075</v>
      </c>
      <c r="AR787" s="69">
        <f>IF(tech_base!$T163&gt;AR$625,"",(1000*tech_proj!AR1127*(-PMT($J$110,tech_base!$F163,1))+1000*tech_proj!AR1407)/((1-tech_proj!AR567)*tech_proj!AR847*$L$110))</f>
        <v>29.923676363429085</v>
      </c>
      <c r="AS787" s="69">
        <f>IF(tech_base!$T163&gt;AS$625,"",(1000*tech_proj!AS1127*(-PMT($J$110,tech_base!$F163,1))+1000*tech_proj!AS1407)/((1-tech_proj!AS567)*tech_proj!AS847*$L$110))</f>
        <v>29.926568968234445</v>
      </c>
      <c r="AT787" s="69">
        <f>IF(tech_base!$T163&gt;AT$625,"",(1000*tech_proj!AT1127*(-PMT($J$110,tech_base!$F163,1))+1000*tech_proj!AT1407)/((1-tech_proj!AT567)*tech_proj!AT847*$L$110))</f>
        <v>29.929385579652841</v>
      </c>
      <c r="AU787" s="69">
        <f>IF(tech_base!$T163&gt;AU$625,"",(1000*tech_proj!AU1127*(-PMT($J$110,tech_base!$F163,1))+1000*tech_proj!AU1407)/((1-tech_proj!AU567)*tech_proj!AU847*$L$110))</f>
        <v>29.932127935023559</v>
      </c>
      <c r="AV787" s="69">
        <f>IF(tech_base!$T163&gt;AV$625,"",(1000*tech_proj!AV1127*(-PMT($J$110,tech_base!$F163,1))+1000*tech_proj!AV1407)/((1-tech_proj!AV567)*tech_proj!AV847*$L$110))</f>
        <v>29.934797746401141</v>
      </c>
      <c r="AW787" s="69">
        <f>IF(tech_base!$T163&gt;AW$625,"",(1000*tech_proj!AW1127*(-PMT($J$110,tech_base!$F163,1))+1000*tech_proj!AW1407)/((1-tech_proj!AW567)*tech_proj!AW847*$L$110))</f>
        <v>29.937396700063122</v>
      </c>
      <c r="AX787" s="235">
        <f>IF(tech_base!$T163&gt;AX$625,"",(1000*tech_proj!AX1127*(-PMT($J$110,tech_base!$F163,1))+1000*tech_proj!AX1407)/((1-tech_proj!AX567)*tech_proj!AX847*$L$110))</f>
        <v>29.939926456083565</v>
      </c>
    </row>
    <row r="788" spans="1:50" x14ac:dyDescent="0.25">
      <c r="A788" s="356"/>
      <c r="B788" s="376"/>
      <c r="C788" s="361" t="s">
        <v>14</v>
      </c>
      <c r="D788" s="58" t="s">
        <v>7</v>
      </c>
      <c r="E788" s="164" t="str">
        <f>A765&amp;"/"&amp;B785&amp;"/"&amp;C788&amp;"/"&amp;D788</f>
        <v>Diesel oil fired power plants/Steam turbine/CHP/L</v>
      </c>
      <c r="F788" s="78" t="str">
        <f>A765</f>
        <v>Diesel oil fired power plants</v>
      </c>
      <c r="G788" s="78" t="str">
        <f>B785</f>
        <v>Steam turbine</v>
      </c>
      <c r="H788" s="78" t="str">
        <f>C788</f>
        <v>CHP</v>
      </c>
      <c r="I788" s="165" t="str">
        <f t="shared" si="364"/>
        <v>L</v>
      </c>
      <c r="J788" s="71">
        <f>IF(tech_base!$T164&gt;J$625,"",(1000*tech_proj!J1128*(-PMT($J$110,tech_base!$F164,1))+1000*tech_proj!J1408)/((1-tech_proj!J568)*tech_proj!J848*$L$110))</f>
        <v>39.773210755742681</v>
      </c>
      <c r="K788" s="71">
        <f>IF(tech_base!$T164&gt;K$625,"",(1000*tech_proj!K1128*(-PMT($J$110,tech_base!$F164,1))+1000*tech_proj!K1408)/((1-tech_proj!K568)*tech_proj!K848*$L$110))</f>
        <v>39.779857559350845</v>
      </c>
      <c r="L788" s="71">
        <f>IF(tech_base!$T164&gt;L$625,"",(1000*tech_proj!L1128*(-PMT($J$110,tech_base!$F164,1))+1000*tech_proj!L1408)/((1-tech_proj!L568)*tech_proj!L848*$L$110))</f>
        <v>39.786399075428911</v>
      </c>
      <c r="M788" s="71">
        <f>IF(tech_base!$T164&gt;M$625,"",(1000*tech_proj!M1128*(-PMT($J$110,tech_base!$F164,1))+1000*tech_proj!M1408)/((1-tech_proj!M568)*tech_proj!M848*$L$110))</f>
        <v>39.792836507281834</v>
      </c>
      <c r="N788" s="71">
        <f>IF(tech_base!$T164&gt;N$625,"",(1000*tech_proj!N1128*(-PMT($J$110,tech_base!$F164,1))+1000*tech_proj!N1408)/((1-tech_proj!N568)*tech_proj!N848*$L$110))</f>
        <v>39.799171061285499</v>
      </c>
      <c r="O788" s="71">
        <f>IF(tech_base!$T164&gt;O$625,"",(1000*tech_proj!O1128*(-PMT($J$110,tech_base!$F164,1))+1000*tech_proj!O1408)/((1-tech_proj!O568)*tech_proj!O848*$L$110))</f>
        <v>39.805403946142022</v>
      </c>
      <c r="P788" s="71">
        <f>IF(tech_base!$T164&gt;P$625,"",(1000*tech_proj!P1128*(-PMT($J$110,tech_base!$F164,1))+1000*tech_proj!P1408)/((1-tech_proj!P568)*tech_proj!P848*$L$110))</f>
        <v>39.811536372159914</v>
      </c>
      <c r="Q788" s="71">
        <f>IF(tech_base!$T164&gt;Q$625,"",(1000*tech_proj!Q1128*(-PMT($J$110,tech_base!$F164,1))+1000*tech_proj!Q1408)/((1-tech_proj!Q568)*tech_proj!Q848*$L$110))</f>
        <v>39.817569550559114</v>
      </c>
      <c r="R788" s="71">
        <f>IF(tech_base!$T164&gt;R$625,"",(1000*tech_proj!R1128*(-PMT($J$110,tech_base!$F164,1))+1000*tech_proj!R1408)/((1-tech_proj!R568)*tech_proj!R848*$L$110))</f>
        <v>39.823504692800263</v>
      </c>
      <c r="S788" s="71">
        <f>IF(tech_base!$T164&gt;S$625,"",(1000*tech_proj!S1128*(-PMT($J$110,tech_base!$F164,1))+1000*tech_proj!S1408)/((1-tech_proj!S568)*tech_proj!S848*$L$110))</f>
        <v>39.829343009938249</v>
      </c>
      <c r="T788" s="71">
        <f>IF(tech_base!$T164&gt;T$625,"",(1000*tech_proj!T1128*(-PMT($J$110,tech_base!$F164,1))+1000*tech_proj!T1408)/((1-tech_proj!T568)*tech_proj!T848*$L$110))</f>
        <v>39.835085711999632</v>
      </c>
      <c r="U788" s="71">
        <f>IF(tech_base!$T164&gt;U$625,"",(1000*tech_proj!U1128*(-PMT($J$110,tech_base!$F164,1))+1000*tech_proj!U1408)/((1-tech_proj!U568)*tech_proj!U848*$L$110))</f>
        <v>39.840734007383539</v>
      </c>
      <c r="V788" s="71">
        <f>IF(tech_base!$T164&gt;V$625,"",(1000*tech_proj!V1128*(-PMT($J$110,tech_base!$F164,1))+1000*tech_proj!V1408)/((1-tech_proj!V568)*tech_proj!V848*$L$110))</f>
        <v>39.846289102285688</v>
      </c>
      <c r="W788" s="71">
        <f>IF(tech_base!$T164&gt;W$625,"",(1000*tech_proj!W1128*(-PMT($J$110,tech_base!$F164,1))+1000*tech_proj!W1408)/((1-tech_proj!W568)*tech_proj!W848*$L$110))</f>
        <v>39.851752200145363</v>
      </c>
      <c r="X788" s="71">
        <f>IF(tech_base!$T164&gt;X$625,"",(1000*tech_proj!X1128*(-PMT($J$110,tech_base!$F164,1))+1000*tech_proj!X1408)/((1-tech_proj!X568)*tech_proj!X848*$L$110))</f>
        <v>39.857124501114633</v>
      </c>
      <c r="Y788" s="71">
        <f>IF(tech_base!$T164&gt;Y$625,"",(1000*tech_proj!Y1128*(-PMT($J$110,tech_base!$F164,1))+1000*tech_proj!Y1408)/((1-tech_proj!Y568)*tech_proj!Y848*$L$110))</f>
        <v>39.862407201549807</v>
      </c>
      <c r="Z788" s="71">
        <f>IF(tech_base!$T164&gt;Z$625,"",(1000*tech_proj!Z1128*(-PMT($J$110,tech_base!$F164,1))+1000*tech_proj!Z1408)/((1-tech_proj!Z568)*tech_proj!Z848*$L$110))</f>
        <v>39.867601493524432</v>
      </c>
      <c r="AA788" s="71">
        <f>IF(tech_base!$T164&gt;AA$625,"",(1000*tech_proj!AA1128*(-PMT($J$110,tech_base!$F164,1))+1000*tech_proj!AA1408)/((1-tech_proj!AA568)*tech_proj!AA848*$L$110))</f>
        <v>39.872708564363492</v>
      </c>
      <c r="AB788" s="71">
        <f>IF(tech_base!$T164&gt;AB$625,"",(1000*tech_proj!AB1128*(-PMT($J$110,tech_base!$F164,1))+1000*tech_proj!AB1408)/((1-tech_proj!AB568)*tech_proj!AB848*$L$110))</f>
        <v>39.877729596198456</v>
      </c>
      <c r="AC788" s="71">
        <f>IF(tech_base!$T164&gt;AC$625,"",(1000*tech_proj!AC1128*(-PMT($J$110,tech_base!$F164,1))+1000*tech_proj!AC1408)/((1-tech_proj!AC568)*tech_proj!AC848*$L$110))</f>
        <v>39.882665765542711</v>
      </c>
      <c r="AD788" s="71">
        <f>IF(tech_base!$T164&gt;AD$625,"",(1000*tech_proj!AD1128*(-PMT($J$110,tech_base!$F164,1))+1000*tech_proj!AD1408)/((1-tech_proj!AD568)*tech_proj!AD848*$L$110))</f>
        <v>39.887518242886934</v>
      </c>
      <c r="AE788" s="71">
        <f>IF(tech_base!$T164&gt;AE$625,"",(1000*tech_proj!AE1128*(-PMT($J$110,tech_base!$F164,1))+1000*tech_proj!AE1408)/((1-tech_proj!AE568)*tech_proj!AE848*$L$110))</f>
        <v>39.892288192313899</v>
      </c>
      <c r="AF788" s="71">
        <f>IF(tech_base!$T164&gt;AF$625,"",(1000*tech_proj!AF1128*(-PMT($J$110,tech_base!$F164,1))+1000*tech_proj!AF1408)/((1-tech_proj!AF568)*tech_proj!AF848*$L$110))</f>
        <v>39.896976771132344</v>
      </c>
      <c r="AG788" s="71">
        <f>IF(tech_base!$T164&gt;AG$625,"",(1000*tech_proj!AG1128*(-PMT($J$110,tech_base!$F164,1))+1000*tech_proj!AG1408)/((1-tech_proj!AG568)*tech_proj!AG848*$L$110))</f>
        <v>39.901585129529543</v>
      </c>
      <c r="AH788" s="71">
        <f>IF(tech_base!$T164&gt;AH$625,"",(1000*tech_proj!AH1128*(-PMT($J$110,tech_base!$F164,1))+1000*tech_proj!AH1408)/((1-tech_proj!AH568)*tech_proj!AH848*$L$110))</f>
        <v>39.906114410241841</v>
      </c>
      <c r="AI788" s="71">
        <f>IF(tech_base!$T164&gt;AI$625,"",(1000*tech_proj!AI1128*(-PMT($J$110,tech_base!$F164,1))+1000*tech_proj!AI1408)/((1-tech_proj!AI568)*tech_proj!AI848*$L$110))</f>
        <v>39.910565748243009</v>
      </c>
      <c r="AJ788" s="71">
        <f>IF(tech_base!$T164&gt;AJ$625,"",(1000*tech_proj!AJ1128*(-PMT($J$110,tech_base!$F164,1))+1000*tech_proj!AJ1408)/((1-tech_proj!AJ568)*tech_proj!AJ848*$L$110))</f>
        <v>39.914940270449719</v>
      </c>
      <c r="AK788" s="71">
        <f>IF(tech_base!$T164&gt;AK$625,"",(1000*tech_proj!AK1128*(-PMT($J$110,tech_base!$F164,1))+1000*tech_proj!AK1408)/((1-tech_proj!AK568)*tech_proj!AK848*$L$110))</f>
        <v>39.919239095443949</v>
      </c>
      <c r="AL788" s="71">
        <f>IF(tech_base!$T164&gt;AL$625,"",(1000*tech_proj!AL1128*(-PMT($J$110,tech_base!$F164,1))+1000*tech_proj!AL1408)/((1-tech_proj!AL568)*tech_proj!AL848*$L$110))</f>
        <v>39.923463333211473</v>
      </c>
      <c r="AM788" s="71">
        <f>IF(tech_base!$T164&gt;AM$625,"",(1000*tech_proj!AM1128*(-PMT($J$110,tech_base!$F164,1))+1000*tech_proj!AM1408)/((1-tech_proj!AM568)*tech_proj!AM848*$L$110))</f>
        <v>39.927614084896419</v>
      </c>
      <c r="AN788" s="71">
        <f>IF(tech_base!$T164&gt;AN$625,"",(1000*tech_proj!AN1128*(-PMT($J$110,tech_base!$F164,1))+1000*tech_proj!AN1408)/((1-tech_proj!AN568)*tech_proj!AN848*$L$110))</f>
        <v>39.931692442571126</v>
      </c>
      <c r="AO788" s="71">
        <f>IF(tech_base!$T164&gt;AO$625,"",(1000*tech_proj!AO1128*(-PMT($J$110,tech_base!$F164,1))+1000*tech_proj!AO1408)/((1-tech_proj!AO568)*tech_proj!AO848*$L$110))</f>
        <v>39.935699489020962</v>
      </c>
      <c r="AP788" s="71">
        <f>IF(tech_base!$T164&gt;AP$625,"",(1000*tech_proj!AP1128*(-PMT($J$110,tech_base!$F164,1))+1000*tech_proj!AP1408)/((1-tech_proj!AP568)*tech_proj!AP848*$L$110))</f>
        <v>39.9396362975437</v>
      </c>
      <c r="AQ788" s="71">
        <f>IF(tech_base!$T164&gt;AQ$625,"",(1000*tech_proj!AQ1128*(-PMT($J$110,tech_base!$F164,1))+1000*tech_proj!AQ1408)/((1-tech_proj!AQ568)*tech_proj!AQ848*$L$110))</f>
        <v>39.943503931762883</v>
      </c>
      <c r="AR788" s="71">
        <f>IF(tech_base!$T164&gt;AR$625,"",(1000*tech_proj!AR1128*(-PMT($J$110,tech_base!$F164,1))+1000*tech_proj!AR1408)/((1-tech_proj!AR568)*tech_proj!AR848*$L$110))</f>
        <v>39.947303445454949</v>
      </c>
      <c r="AS788" s="71">
        <f>IF(tech_base!$T164&gt;AS$625,"",(1000*tech_proj!AS1128*(-PMT($J$110,tech_base!$F164,1))+1000*tech_proj!AS1408)/((1-tech_proj!AS568)*tech_proj!AS848*$L$110))</f>
        <v>39.95103588238937</v>
      </c>
      <c r="AT788" s="71">
        <f>IF(tech_base!$T164&gt;AT$625,"",(1000*tech_proj!AT1128*(-PMT($J$110,tech_base!$F164,1))+1000*tech_proj!AT1408)/((1-tech_proj!AT568)*tech_proj!AT848*$L$110))</f>
        <v>39.954702276181713</v>
      </c>
      <c r="AU788" s="71">
        <f>IF(tech_base!$T164&gt;AU$625,"",(1000*tech_proj!AU1128*(-PMT($J$110,tech_base!$F164,1))+1000*tech_proj!AU1408)/((1-tech_proj!AU568)*tech_proj!AU848*$L$110))</f>
        <v>39.958303650158975</v>
      </c>
      <c r="AV788" s="71">
        <f>IF(tech_base!$T164&gt;AV$625,"",(1000*tech_proj!AV1128*(-PMT($J$110,tech_base!$F164,1))+1000*tech_proj!AV1408)/((1-tech_proj!AV568)*tech_proj!AV848*$L$110))</f>
        <v>39.961841017236864</v>
      </c>
      <c r="AW788" s="71">
        <f>IF(tech_base!$T164&gt;AW$625,"",(1000*tech_proj!AW1128*(-PMT($J$110,tech_base!$F164,1))+1000*tech_proj!AW1408)/((1-tech_proj!AW568)*tech_proj!AW848*$L$110))</f>
        <v>39.965315379808565</v>
      </c>
      <c r="AX788" s="237">
        <f>IF(tech_base!$T164&gt;AX$625,"",(1000*tech_proj!AX1128*(-PMT($J$110,tech_base!$F164,1))+1000*tech_proj!AX1408)/((1-tech_proj!AX568)*tech_proj!AX848*$L$110))</f>
        <v>39.968727729644669</v>
      </c>
    </row>
    <row r="789" spans="1:50" x14ac:dyDescent="0.25">
      <c r="A789" s="356"/>
      <c r="B789" s="376"/>
      <c r="C789" s="378"/>
      <c r="D789" s="2" t="s">
        <v>8</v>
      </c>
      <c r="E789" s="160" t="str">
        <f>A765&amp;"/"&amp;B785&amp;"/"&amp;C788&amp;"/"&amp;D789</f>
        <v>Diesel oil fired power plants/Steam turbine/CHP/M</v>
      </c>
      <c r="F789" s="76" t="str">
        <f>A765</f>
        <v>Diesel oil fired power plants</v>
      </c>
      <c r="G789" s="76" t="str">
        <f>B785</f>
        <v>Steam turbine</v>
      </c>
      <c r="H789" s="76" t="str">
        <f>C788</f>
        <v>CHP</v>
      </c>
      <c r="I789" s="161" t="str">
        <f t="shared" si="364"/>
        <v>M</v>
      </c>
      <c r="J789" s="69">
        <f>IF(tech_base!$T165&gt;J$625,"",(1000*tech_proj!J1129*(-PMT($J$110,tech_base!$F165,1))+1000*tech_proj!J1409)/((1-tech_proj!J569)*tech_proj!J849*$L$110))</f>
        <v>41.880537360027532</v>
      </c>
      <c r="K789" s="69">
        <f>IF(tech_base!$T165&gt;K$625,"",(1000*tech_proj!K1129*(-PMT($J$110,tech_base!$F165,1))+1000*tech_proj!K1409)/((1-tech_proj!K569)*tech_proj!K849*$L$110))</f>
        <v>41.884778040079212</v>
      </c>
      <c r="L789" s="69">
        <f>IF(tech_base!$T165&gt;L$625,"",(1000*tech_proj!L1129*(-PMT($J$110,tech_base!$F165,1))+1000*tech_proj!L1409)/((1-tech_proj!L569)*tech_proj!L849*$L$110))</f>
        <v>41.888948383768188</v>
      </c>
      <c r="M789" s="69">
        <f>IF(tech_base!$T165&gt;M$625,"",(1000*tech_proj!M1129*(-PMT($J$110,tech_base!$F165,1))+1000*tech_proj!M1409)/((1-tech_proj!M569)*tech_proj!M849*$L$110))</f>
        <v>41.893049312707099</v>
      </c>
      <c r="N789" s="69">
        <f>IF(tech_base!$T165&gt;N$625,"",(1000*tech_proj!N1129*(-PMT($J$110,tech_base!$F165,1))+1000*tech_proj!N1409)/((1-tech_proj!N569)*tech_proj!N849*$L$110))</f>
        <v>41.89708174541785</v>
      </c>
      <c r="O789" s="69">
        <f>IF(tech_base!$T165&gt;O$625,"",(1000*tech_proj!O1129*(-PMT($J$110,tech_base!$F165,1))+1000*tech_proj!O1409)/((1-tech_proj!O569)*tech_proj!O849*$L$110))</f>
        <v>41.90104659696496</v>
      </c>
      <c r="P789" s="69">
        <f>IF(tech_base!$T165&gt;P$625,"",(1000*tech_proj!P1129*(-PMT($J$110,tech_base!$F165,1))+1000*tech_proj!P1409)/((1-tech_proj!P569)*tech_proj!P849*$L$110))</f>
        <v>41.904944778605007</v>
      </c>
      <c r="Q789" s="69">
        <f>IF(tech_base!$T165&gt;Q$625,"",(1000*tech_proj!Q1129*(-PMT($J$110,tech_base!$F165,1))+1000*tech_proj!Q1409)/((1-tech_proj!Q569)*tech_proj!Q849*$L$110))</f>
        <v>41.908777197451883</v>
      </c>
      <c r="R789" s="69">
        <f>IF(tech_base!$T165&gt;R$625,"",(1000*tech_proj!R1129*(-PMT($J$110,tech_base!$F165,1))+1000*tech_proj!R1409)/((1-tech_proj!R569)*tech_proj!R849*$L$110))</f>
        <v>41.912544756157679</v>
      </c>
      <c r="S789" s="69">
        <f>IF(tech_base!$T165&gt;S$625,"",(1000*tech_proj!S1129*(-PMT($J$110,tech_base!$F165,1))+1000*tech_proj!S1409)/((1-tech_proj!S569)*tech_proj!S849*$L$110))</f>
        <v>41.916248352608456</v>
      </c>
      <c r="T789" s="69">
        <f>IF(tech_base!$T165&gt;T$625,"",(1000*tech_proj!T1129*(-PMT($J$110,tech_base!$F165,1))+1000*tech_proj!T1409)/((1-tech_proj!T569)*tech_proj!T849*$L$110))</f>
        <v>41.919888879635081</v>
      </c>
      <c r="U789" s="69">
        <f>IF(tech_base!$T165&gt;U$625,"",(1000*tech_proj!U1129*(-PMT($J$110,tech_base!$F165,1))+1000*tech_proj!U1409)/((1-tech_proj!U569)*tech_proj!U849*$L$110))</f>
        <v>41.923467224738431</v>
      </c>
      <c r="V789" s="69">
        <f>IF(tech_base!$T165&gt;V$625,"",(1000*tech_proj!V1129*(-PMT($J$110,tech_base!$F165,1))+1000*tech_proj!V1409)/((1-tech_proj!V569)*tech_proj!V849*$L$110))</f>
        <v>41.926984269828552</v>
      </c>
      <c r="W789" s="69">
        <f>IF(tech_base!$T165&gt;W$625,"",(1000*tech_proj!W1129*(-PMT($J$110,tech_base!$F165,1))+1000*tech_proj!W1409)/((1-tech_proj!W569)*tech_proj!W849*$L$110))</f>
        <v>41.930440890977913</v>
      </c>
      <c r="X789" s="69">
        <f>IF(tech_base!$T165&gt;X$625,"",(1000*tech_proj!X1129*(-PMT($J$110,tech_base!$F165,1))+1000*tech_proj!X1409)/((1-tech_proj!X569)*tech_proj!X849*$L$110))</f>
        <v>41.933837958187802</v>
      </c>
      <c r="Y789" s="69">
        <f>IF(tech_base!$T165&gt;Y$625,"",(1000*tech_proj!Y1129*(-PMT($J$110,tech_base!$F165,1))+1000*tech_proj!Y1409)/((1-tech_proj!Y569)*tech_proj!Y849*$L$110))</f>
        <v>41.937176335167884</v>
      </c>
      <c r="Z789" s="69">
        <f>IF(tech_base!$T165&gt;Z$625,"",(1000*tech_proj!Z1129*(-PMT($J$110,tech_base!$F165,1))+1000*tech_proj!Z1409)/((1-tech_proj!Z569)*tech_proj!Z849*$L$110))</f>
        <v>41.940456879128504</v>
      </c>
      <c r="AA789" s="69">
        <f>IF(tech_base!$T165&gt;AA$625,"",(1000*tech_proj!AA1129*(-PMT($J$110,tech_base!$F165,1))+1000*tech_proj!AA1409)/((1-tech_proj!AA569)*tech_proj!AA849*$L$110))</f>
        <v>41.943680440585354</v>
      </c>
      <c r="AB789" s="69">
        <f>IF(tech_base!$T165&gt;AB$625,"",(1000*tech_proj!AB1129*(-PMT($J$110,tech_base!$F165,1))+1000*tech_proj!AB1409)/((1-tech_proj!AB569)*tech_proj!AB849*$L$110))</f>
        <v>41.946847863176089</v>
      </c>
      <c r="AC789" s="69">
        <f>IF(tech_base!$T165&gt;AC$625,"",(1000*tech_proj!AC1129*(-PMT($J$110,tech_base!$F165,1))+1000*tech_proj!AC1409)/((1-tech_proj!AC569)*tech_proj!AC849*$L$110))</f>
        <v>41.949959983488704</v>
      </c>
      <c r="AD789" s="69">
        <f>IF(tech_base!$T165&gt;AD$625,"",(1000*tech_proj!AD1129*(-PMT($J$110,tech_base!$F165,1))+1000*tech_proj!AD1409)/((1-tech_proj!AD569)*tech_proj!AD849*$L$110))</f>
        <v>41.953017630901179</v>
      </c>
      <c r="AE789" s="69">
        <f>IF(tech_base!$T165&gt;AE$625,"",(1000*tech_proj!AE1129*(-PMT($J$110,tech_base!$F165,1))+1000*tech_proj!AE1409)/((1-tech_proj!AE569)*tech_proj!AE849*$L$110))</f>
        <v>41.956021627432214</v>
      </c>
      <c r="AF789" s="69">
        <f>IF(tech_base!$T165&gt;AF$625,"",(1000*tech_proj!AF1129*(-PMT($J$110,tech_base!$F165,1))+1000*tech_proj!AF1409)/((1-tech_proj!AF569)*tech_proj!AF849*$L$110))</f>
        <v>41.95897278760247</v>
      </c>
      <c r="AG789" s="69">
        <f>IF(tech_base!$T165&gt;AG$625,"",(1000*tech_proj!AG1129*(-PMT($J$110,tech_base!$F165,1))+1000*tech_proj!AG1409)/((1-tech_proj!AG569)*tech_proj!AG849*$L$110))</f>
        <v>41.961871918306251</v>
      </c>
      <c r="AH789" s="69">
        <f>IF(tech_base!$T165&gt;AH$625,"",(1000*tech_proj!AH1129*(-PMT($J$110,tech_base!$F165,1))+1000*tech_proj!AH1409)/((1-tech_proj!AH569)*tech_proj!AH849*$L$110))</f>
        <v>41.964719818693091</v>
      </c>
      <c r="AI789" s="69">
        <f>IF(tech_base!$T165&gt;AI$625,"",(1000*tech_proj!AI1129*(-PMT($J$110,tech_base!$F165,1))+1000*tech_proj!AI1409)/((1-tech_proj!AI569)*tech_proj!AI849*$L$110))</f>
        <v>41.967517280059099</v>
      </c>
      <c r="AJ789" s="69">
        <f>IF(tech_base!$T165&gt;AJ$625,"",(1000*tech_proj!AJ1129*(-PMT($J$110,tech_base!$F165,1))+1000*tech_proj!AJ1409)/((1-tech_proj!AJ569)*tech_proj!AJ849*$L$110))</f>
        <v>41.970265085747499</v>
      </c>
      <c r="AK789" s="69">
        <f>IF(tech_base!$T165&gt;AK$625,"",(1000*tech_proj!AK1129*(-PMT($J$110,tech_base!$F165,1))+1000*tech_proj!AK1409)/((1-tech_proj!AK569)*tech_proj!AK849*$L$110))</f>
        <v>41.972964011058323</v>
      </c>
      <c r="AL789" s="69">
        <f>IF(tech_base!$T165&gt;AL$625,"",(1000*tech_proj!AL1129*(-PMT($J$110,tech_base!$F165,1))+1000*tech_proj!AL1409)/((1-tech_proj!AL569)*tech_proj!AL849*$L$110))</f>
        <v>41.975614823166801</v>
      </c>
      <c r="AM789" s="69">
        <f>IF(tech_base!$T165&gt;AM$625,"",(1000*tech_proj!AM1129*(-PMT($J$110,tech_base!$F165,1))+1000*tech_proj!AM1409)/((1-tech_proj!AM569)*tech_proj!AM849*$L$110))</f>
        <v>41.978218281050005</v>
      </c>
      <c r="AN789" s="69">
        <f>IF(tech_base!$T165&gt;AN$625,"",(1000*tech_proj!AN1129*(-PMT($J$110,tech_base!$F165,1))+1000*tech_proj!AN1409)/((1-tech_proj!AN569)*tech_proj!AN849*$L$110))</f>
        <v>41.980775135421801</v>
      </c>
      <c r="AO789" s="69">
        <f>IF(tech_base!$T165&gt;AO$625,"",(1000*tech_proj!AO1129*(-PMT($J$110,tech_base!$F165,1))+1000*tech_proj!AO1409)/((1-tech_proj!AO569)*tech_proj!AO849*$L$110))</f>
        <v>41.983286128675445</v>
      </c>
      <c r="AP789" s="69">
        <f>IF(tech_base!$T165&gt;AP$625,"",(1000*tech_proj!AP1129*(-PMT($J$110,tech_base!$F165,1))+1000*tech_proj!AP1409)/((1-tech_proj!AP569)*tech_proj!AP849*$L$110))</f>
        <v>41.985751994833763</v>
      </c>
      <c r="AQ789" s="69">
        <f>IF(tech_base!$T165&gt;AQ$625,"",(1000*tech_proj!AQ1129*(-PMT($J$110,tech_base!$F165,1))+1000*tech_proj!AQ1409)/((1-tech_proj!AQ569)*tech_proj!AQ849*$L$110))</f>
        <v>41.988173459506527</v>
      </c>
      <c r="AR789" s="69">
        <f>IF(tech_base!$T165&gt;AR$625,"",(1000*tech_proj!AR1129*(-PMT($J$110,tech_base!$F165,1))+1000*tech_proj!AR1409)/((1-tech_proj!AR569)*tech_proj!AR849*$L$110))</f>
        <v>41.990551239854803</v>
      </c>
      <c r="AS789" s="69">
        <f>IF(tech_base!$T165&gt;AS$625,"",(1000*tech_proj!AS1129*(-PMT($J$110,tech_base!$F165,1))+1000*tech_proj!AS1409)/((1-tech_proj!AS569)*tech_proj!AS849*$L$110))</f>
        <v>41.992886044561914</v>
      </c>
      <c r="AT789" s="69">
        <f>IF(tech_base!$T165&gt;AT$625,"",(1000*tech_proj!AT1129*(-PMT($J$110,tech_base!$F165,1))+1000*tech_proj!AT1409)/((1-tech_proj!AT569)*tech_proj!AT849*$L$110))</f>
        <v>41.995178573810897</v>
      </c>
      <c r="AU789" s="69">
        <f>IF(tech_base!$T165&gt;AU$625,"",(1000*tech_proj!AU1129*(-PMT($J$110,tech_base!$F165,1))+1000*tech_proj!AU1409)/((1-tech_proj!AU569)*tech_proj!AU849*$L$110))</f>
        <v>41.997429519268032</v>
      </c>
      <c r="AV789" s="69">
        <f>IF(tech_base!$T165&gt;AV$625,"",(1000*tech_proj!AV1129*(-PMT($J$110,tech_base!$F165,1))+1000*tech_proj!AV1409)/((1-tech_proj!AV569)*tech_proj!AV849*$L$110))</f>
        <v>41.999639564072183</v>
      </c>
      <c r="AW789" s="69">
        <f>IF(tech_base!$T165&gt;AW$625,"",(1000*tech_proj!AW1129*(-PMT($J$110,tech_base!$F165,1))+1000*tech_proj!AW1409)/((1-tech_proj!AW569)*tech_proj!AW849*$L$110))</f>
        <v>42.001809382830018</v>
      </c>
      <c r="AX789" s="235">
        <f>IF(tech_base!$T165&gt;AX$625,"",(1000*tech_proj!AX1129*(-PMT($J$110,tech_base!$F165,1))+1000*tech_proj!AX1409)/((1-tech_proj!AX569)*tech_proj!AX849*$L$110))</f>
        <v>42.003939641616377</v>
      </c>
    </row>
    <row r="790" spans="1:50" x14ac:dyDescent="0.25">
      <c r="A790" s="356"/>
      <c r="B790" s="376"/>
      <c r="C790" s="379"/>
      <c r="D790" s="59" t="s">
        <v>10</v>
      </c>
      <c r="E790" s="166" t="str">
        <f>A765&amp;"/"&amp;B785&amp;"/"&amp;C788&amp;"/"&amp;D790</f>
        <v>Diesel oil fired power plants/Steam turbine/CHP/S</v>
      </c>
      <c r="F790" s="79" t="str">
        <f>A765</f>
        <v>Diesel oil fired power plants</v>
      </c>
      <c r="G790" s="79" t="str">
        <f>B785</f>
        <v>Steam turbine</v>
      </c>
      <c r="H790" s="79" t="str">
        <f>C788</f>
        <v>CHP</v>
      </c>
      <c r="I790" s="167" t="str">
        <f t="shared" si="364"/>
        <v>S</v>
      </c>
      <c r="J790" s="72">
        <f>IF(tech_base!$T166&gt;J$625,"",(1000*tech_proj!J1130*(-PMT($J$110,tech_base!$F166,1))+1000*tech_proj!J1410)/((1-tech_proj!J570)*tech_proj!J850*$L$110))</f>
        <v>45.763490915482265</v>
      </c>
      <c r="K790" s="72">
        <f>IF(tech_base!$T166&gt;K$625,"",(1000*tech_proj!K1130*(-PMT($J$110,tech_base!$F166,1))+1000*tech_proj!K1410)/((1-tech_proj!K570)*tech_proj!K850*$L$110))</f>
        <v>45.766416812291105</v>
      </c>
      <c r="L790" s="72">
        <f>IF(tech_base!$T166&gt;L$625,"",(1000*tech_proj!L1130*(-PMT($J$110,tech_base!$F166,1))+1000*tech_proj!L1410)/((1-tech_proj!L570)*tech_proj!L850*$L$110))</f>
        <v>45.769291934162318</v>
      </c>
      <c r="M790" s="72">
        <f>IF(tech_base!$T166&gt;M$625,"",(1000*tech_proj!M1130*(-PMT($J$110,tech_base!$F166,1))+1000*tech_proj!M1410)/((1-tech_proj!M570)*tech_proj!M850*$L$110))</f>
        <v>45.772117031113012</v>
      </c>
      <c r="N790" s="72">
        <f>IF(tech_base!$T166&gt;N$625,"",(1000*tech_proj!N1130*(-PMT($J$110,tech_base!$F166,1))+1000*tech_proj!N1410)/((1-tech_proj!N570)*tech_proj!N850*$L$110))</f>
        <v>45.774892846959318</v>
      </c>
      <c r="O790" s="72">
        <f>IF(tech_base!$T166&gt;O$625,"",(1000*tech_proj!O1130*(-PMT($J$110,tech_base!$F166,1))+1000*tech_proj!O1410)/((1-tech_proj!O570)*tech_proj!O850*$L$110))</f>
        <v>45.777620119171125</v>
      </c>
      <c r="P790" s="72">
        <f>IF(tech_base!$T166&gt;P$625,"",(1000*tech_proj!P1130*(-PMT($J$110,tech_base!$F166,1))+1000*tech_proj!P1410)/((1-tech_proj!P570)*tech_proj!P850*$L$110))</f>
        <v>45.780299578736624</v>
      </c>
      <c r="Q790" s="72">
        <f>IF(tech_base!$T166&gt;Q$625,"",(1000*tech_proj!Q1130*(-PMT($J$110,tech_base!$F166,1))+1000*tech_proj!Q1410)/((1-tech_proj!Q570)*tech_proj!Q850*$L$110))</f>
        <v>45.782931950036335</v>
      </c>
      <c r="R790" s="72">
        <f>IF(tech_base!$T166&gt;R$625,"",(1000*tech_proj!R1130*(-PMT($J$110,tech_base!$F166,1))+1000*tech_proj!R1410)/((1-tech_proj!R570)*tech_proj!R850*$L$110))</f>
        <v>45.785517950726451</v>
      </c>
      <c r="S790" s="72">
        <f>IF(tech_base!$T166&gt;S$625,"",(1000*tech_proj!S1130*(-PMT($J$110,tech_base!$F166,1))+1000*tech_proj!S1410)/((1-tech_proj!S570)*tech_proj!S850*$L$110))</f>
        <v>45.788058291631025</v>
      </c>
      <c r="T790" s="72">
        <f>IF(tech_base!$T166&gt;T$625,"",(1000*tech_proj!T1130*(-PMT($J$110,tech_base!$F166,1))+1000*tech_proj!T1410)/((1-tech_proj!T570)*tech_proj!T850*$L$110))</f>
        <v>45.790553676642894</v>
      </c>
      <c r="U790" s="72">
        <f>IF(tech_base!$T166&gt;U$625,"",(1000*tech_proj!U1130*(-PMT($J$110,tech_base!$F166,1))+1000*tech_proj!U1410)/((1-tech_proj!U570)*tech_proj!U850*$L$110))</f>
        <v>45.793004802632929</v>
      </c>
      <c r="V790" s="72">
        <f>IF(tech_base!$T166&gt;V$625,"",(1000*tech_proj!V1130*(-PMT($J$110,tech_base!$F166,1))+1000*tech_proj!V1410)/((1-tech_proj!V570)*tech_proj!V850*$L$110))</f>
        <v>45.79541235936734</v>
      </c>
      <c r="W790" s="72">
        <f>IF(tech_base!$T166&gt;W$625,"",(1000*tech_proj!W1130*(-PMT($J$110,tech_base!$F166,1))+1000*tech_proj!W1410)/((1-tech_proj!W570)*tech_proj!W850*$L$110))</f>
        <v>45.797777029432815</v>
      </c>
      <c r="X790" s="72">
        <f>IF(tech_base!$T166&gt;X$625,"",(1000*tech_proj!X1130*(-PMT($J$110,tech_base!$F166,1))+1000*tech_proj!X1410)/((1-tech_proj!X570)*tech_proj!X850*$L$110))</f>
        <v>45.800099488169224</v>
      </c>
      <c r="Y790" s="72">
        <f>IF(tech_base!$T166&gt;Y$625,"",(1000*tech_proj!Y1130*(-PMT($J$110,tech_base!$F166,1))+1000*tech_proj!Y1410)/((1-tech_proj!Y570)*tech_proj!Y850*$L$110))</f>
        <v>45.802380403609476</v>
      </c>
      <c r="Z790" s="72">
        <f>IF(tech_base!$T166&gt;Z$625,"",(1000*tech_proj!Z1130*(-PMT($J$110,tech_base!$F166,1))+1000*tech_proj!Z1410)/((1-tech_proj!Z570)*tech_proj!Z850*$L$110))</f>
        <v>45.804620436426511</v>
      </c>
      <c r="AA790" s="72">
        <f>IF(tech_base!$T166&gt;AA$625,"",(1000*tech_proj!AA1130*(-PMT($J$110,tech_base!$F166,1))+1000*tech_proj!AA1410)/((1-tech_proj!AA570)*tech_proj!AA850*$L$110))</f>
        <v>45.806820239886896</v>
      </c>
      <c r="AB790" s="72">
        <f>IF(tech_base!$T166&gt;AB$625,"",(1000*tech_proj!AB1130*(-PMT($J$110,tech_base!$F166,1))+1000*tech_proj!AB1410)/((1-tech_proj!AB570)*tech_proj!AB850*$L$110))</f>
        <v>45.808980459811018</v>
      </c>
      <c r="AC790" s="72">
        <f>IF(tech_base!$T166&gt;AC$625,"",(1000*tech_proj!AC1130*(-PMT($J$110,tech_base!$F166,1))+1000*tech_proj!AC1410)/((1-tech_proj!AC570)*tech_proj!AC850*$L$110))</f>
        <v>45.811101734539399</v>
      </c>
      <c r="AD790" s="72">
        <f>IF(tech_base!$T166&gt;AD$625,"",(1000*tech_proj!AD1130*(-PMT($J$110,tech_base!$F166,1))+1000*tech_proj!AD1410)/((1-tech_proj!AD570)*tech_proj!AD850*$L$110))</f>
        <v>45.813184694905146</v>
      </c>
      <c r="AE790" s="72">
        <f>IF(tech_base!$T166&gt;AE$625,"",(1000*tech_proj!AE1130*(-PMT($J$110,tech_base!$F166,1))+1000*tech_proj!AE1410)/((1-tech_proj!AE570)*tech_proj!AE850*$L$110))</f>
        <v>45.815229964211916</v>
      </c>
      <c r="AF790" s="72">
        <f>IF(tech_base!$T166&gt;AF$625,"",(1000*tech_proj!AF1130*(-PMT($J$110,tech_base!$F166,1))+1000*tech_proj!AF1410)/((1-tech_proj!AF570)*tech_proj!AF850*$L$110))</f>
        <v>45.817238158217734</v>
      </c>
      <c r="AG790" s="72">
        <f>IF(tech_base!$T166&gt;AG$625,"",(1000*tech_proj!AG1130*(-PMT($J$110,tech_base!$F166,1))+1000*tech_proj!AG1410)/((1-tech_proj!AG570)*tech_proj!AG850*$L$110))</f>
        <v>45.819209885123733</v>
      </c>
      <c r="AH790" s="72">
        <f>IF(tech_base!$T166&gt;AH$625,"",(1000*tech_proj!AH1130*(-PMT($J$110,tech_base!$F166,1))+1000*tech_proj!AH1410)/((1-tech_proj!AH570)*tech_proj!AH850*$L$110))</f>
        <v>45.821145745568288</v>
      </c>
      <c r="AI790" s="72">
        <f>IF(tech_base!$T166&gt;AI$625,"",(1000*tech_proj!AI1130*(-PMT($J$110,tech_base!$F166,1))+1000*tech_proj!AI1410)/((1-tech_proj!AI570)*tech_proj!AI850*$L$110))</f>
        <v>45.823046332625722</v>
      </c>
      <c r="AJ790" s="72">
        <f>IF(tech_base!$T166&gt;AJ$625,"",(1000*tech_proj!AJ1130*(-PMT($J$110,tech_base!$F166,1))+1000*tech_proj!AJ1410)/((1-tech_proj!AJ570)*tech_proj!AJ850*$L$110))</f>
        <v>45.824912231809869</v>
      </c>
      <c r="AK790" s="72">
        <f>IF(tech_base!$T166&gt;AK$625,"",(1000*tech_proj!AK1130*(-PMT($J$110,tech_base!$F166,1))+1000*tech_proj!AK1410)/((1-tech_proj!AK570)*tech_proj!AK850*$L$110))</f>
        <v>45.826744021081915</v>
      </c>
      <c r="AL790" s="72">
        <f>IF(tech_base!$T166&gt;AL$625,"",(1000*tech_proj!AL1130*(-PMT($J$110,tech_base!$F166,1))+1000*tech_proj!AL1410)/((1-tech_proj!AL570)*tech_proj!AL850*$L$110))</f>
        <v>45.828542270862542</v>
      </c>
      <c r="AM790" s="72">
        <f>IF(tech_base!$T166&gt;AM$625,"",(1000*tech_proj!AM1130*(-PMT($J$110,tech_base!$F166,1))+1000*tech_proj!AM1410)/((1-tech_proj!AM570)*tech_proj!AM850*$L$110))</f>
        <v>45.830307544048097</v>
      </c>
      <c r="AN790" s="72">
        <f>IF(tech_base!$T166&gt;AN$625,"",(1000*tech_proj!AN1130*(-PMT($J$110,tech_base!$F166,1))+1000*tech_proj!AN1410)/((1-tech_proj!AN570)*tech_proj!AN850*$L$110))</f>
        <v>45.8320403960306</v>
      </c>
      <c r="AO790" s="72">
        <f>IF(tech_base!$T166&gt;AO$625,"",(1000*tech_proj!AO1130*(-PMT($J$110,tech_base!$F166,1))+1000*tech_proj!AO1410)/((1-tech_proj!AO570)*tech_proj!AO850*$L$110))</f>
        <v>45.83374137472137</v>
      </c>
      <c r="AP790" s="72">
        <f>IF(tech_base!$T166&gt;AP$625,"",(1000*tech_proj!AP1130*(-PMT($J$110,tech_base!$F166,1))+1000*tech_proj!AP1410)/((1-tech_proj!AP570)*tech_proj!AP850*$L$110))</f>
        <v>45.835411020578221</v>
      </c>
      <c r="AQ790" s="72">
        <f>IF(tech_base!$T166&gt;AQ$625,"",(1000*tech_proj!AQ1130*(-PMT($J$110,tech_base!$F166,1))+1000*tech_proj!AQ1410)/((1-tech_proj!AQ570)*tech_proj!AQ850*$L$110))</f>
        <v>45.837049866635873</v>
      </c>
      <c r="AR790" s="72">
        <f>IF(tech_base!$T166&gt;AR$625,"",(1000*tech_proj!AR1130*(-PMT($J$110,tech_base!$F166,1))+1000*tech_proj!AR1410)/((1-tech_proj!AR570)*tech_proj!AR850*$L$110))</f>
        <v>45.838658438539511</v>
      </c>
      <c r="AS790" s="72">
        <f>IF(tech_base!$T166&gt;AS$625,"",(1000*tech_proj!AS1130*(-PMT($J$110,tech_base!$F166,1))+1000*tech_proj!AS1410)/((1-tech_proj!AS570)*tech_proj!AS850*$L$110))</f>
        <v>45.840237254581361</v>
      </c>
      <c r="AT790" s="72">
        <f>IF(tech_base!$T166&gt;AT$625,"",(1000*tech_proj!AT1130*(-PMT($J$110,tech_base!$F166,1))+1000*tech_proj!AT1410)/((1-tech_proj!AT570)*tech_proj!AT850*$L$110))</f>
        <v>45.841786825740058</v>
      </c>
      <c r="AU790" s="72">
        <f>IF(tech_base!$T166&gt;AU$625,"",(1000*tech_proj!AU1130*(-PMT($J$110,tech_base!$F166,1))+1000*tech_proj!AU1410)/((1-tech_proj!AU570)*tech_proj!AU850*$L$110))</f>
        <v>45.84330765572264</v>
      </c>
      <c r="AV790" s="72">
        <f>IF(tech_base!$T166&gt;AV$625,"",(1000*tech_proj!AV1130*(-PMT($J$110,tech_base!$F166,1))+1000*tech_proj!AV1410)/((1-tech_proj!AV570)*tech_proj!AV850*$L$110))</f>
        <v>45.844800241009068</v>
      </c>
      <c r="AW790" s="72">
        <f>IF(tech_base!$T166&gt;AW$625,"",(1000*tech_proj!AW1130*(-PMT($J$110,tech_base!$F166,1))+1000*tech_proj!AW1410)/((1-tech_proj!AW570)*tech_proj!AW850*$L$110))</f>
        <v>45.846265070899136</v>
      </c>
      <c r="AX790" s="238">
        <f>IF(tech_base!$T166&gt;AX$625,"",(1000*tech_proj!AX1130*(-PMT($J$110,tech_base!$F166,1))+1000*tech_proj!AX1410)/((1-tech_proj!AX570)*tech_proj!AX850*$L$110))</f>
        <v>45.847702627561567</v>
      </c>
    </row>
    <row r="791" spans="1:50" x14ac:dyDescent="0.25">
      <c r="A791" s="356"/>
      <c r="B791" s="376"/>
      <c r="C791" s="361" t="s">
        <v>15</v>
      </c>
      <c r="D791" s="58" t="s">
        <v>7</v>
      </c>
      <c r="E791" s="164" t="str">
        <f>A765&amp;"/"&amp;B785&amp;"/"&amp;C791&amp;"/"&amp;D791</f>
        <v>Diesel oil fired power plants/Steam turbine/Electricity only with CCS/L</v>
      </c>
      <c r="F791" s="78" t="str">
        <f>A765</f>
        <v>Diesel oil fired power plants</v>
      </c>
      <c r="G791" s="78" t="str">
        <f>B785</f>
        <v>Steam turbine</v>
      </c>
      <c r="H791" s="78" t="str">
        <f>C791</f>
        <v>Electricity only with CCS</v>
      </c>
      <c r="I791" s="165" t="str">
        <f t="shared" si="364"/>
        <v>L</v>
      </c>
      <c r="J791" s="71" t="str">
        <f>IF(tech_base!$T167&gt;J$625,"",(1000*tech_proj!J1131*(-PMT($J$110,tech_base!$F167,1))+1000*tech_proj!J1411)/((1-tech_proj!J571)*tech_proj!J851*$L$110))</f>
        <v/>
      </c>
      <c r="K791" s="71" t="str">
        <f>IF(tech_base!$T167&gt;K$625,"",(1000*tech_proj!K1131*(-PMT($J$110,tech_base!$F167,1))+1000*tech_proj!K1411)/((1-tech_proj!K571)*tech_proj!K851*$L$110))</f>
        <v/>
      </c>
      <c r="L791" s="71" t="str">
        <f>IF(tech_base!$T167&gt;L$625,"",(1000*tech_proj!L1131*(-PMT($J$110,tech_base!$F167,1))+1000*tech_proj!L1411)/((1-tech_proj!L571)*tech_proj!L851*$L$110))</f>
        <v/>
      </c>
      <c r="M791" s="71" t="str">
        <f>IF(tech_base!$T167&gt;M$625,"",(1000*tech_proj!M1131*(-PMT($J$110,tech_base!$F167,1))+1000*tech_proj!M1411)/((1-tech_proj!M571)*tech_proj!M851*$L$110))</f>
        <v/>
      </c>
      <c r="N791" s="71" t="str">
        <f>IF(tech_base!$T167&gt;N$625,"",(1000*tech_proj!N1131*(-PMT($J$110,tech_base!$F167,1))+1000*tech_proj!N1411)/((1-tech_proj!N571)*tech_proj!N851*$L$110))</f>
        <v/>
      </c>
      <c r="O791" s="71" t="str">
        <f>IF(tech_base!$T167&gt;O$625,"",(1000*tech_proj!O1131*(-PMT($J$110,tech_base!$F167,1))+1000*tech_proj!O1411)/((1-tech_proj!O571)*tech_proj!O851*$L$110))</f>
        <v/>
      </c>
      <c r="P791" s="71" t="str">
        <f>IF(tech_base!$T167&gt;P$625,"",(1000*tech_proj!P1131*(-PMT($J$110,tech_base!$F167,1))+1000*tech_proj!P1411)/((1-tech_proj!P571)*tech_proj!P851*$L$110))</f>
        <v/>
      </c>
      <c r="Q791" s="71" t="str">
        <f>IF(tech_base!$T167&gt;Q$625,"",(1000*tech_proj!Q1131*(-PMT($J$110,tech_base!$F167,1))+1000*tech_proj!Q1411)/((1-tech_proj!Q571)*tech_proj!Q851*$L$110))</f>
        <v/>
      </c>
      <c r="R791" s="71" t="str">
        <f>IF(tech_base!$T167&gt;R$625,"",(1000*tech_proj!R1131*(-PMT($J$110,tech_base!$F167,1))+1000*tech_proj!R1411)/((1-tech_proj!R571)*tech_proj!R851*$L$110))</f>
        <v/>
      </c>
      <c r="S791" s="71" t="str">
        <f>IF(tech_base!$T167&gt;S$625,"",(1000*tech_proj!S1131*(-PMT($J$110,tech_base!$F167,1))+1000*tech_proj!S1411)/((1-tech_proj!S571)*tech_proj!S851*$L$110))</f>
        <v/>
      </c>
      <c r="T791" s="71" t="str">
        <f>IF(tech_base!$T167&gt;T$625,"",(1000*tech_proj!T1131*(-PMT($J$110,tech_base!$F167,1))+1000*tech_proj!T1411)/((1-tech_proj!T571)*tech_proj!T851*$L$110))</f>
        <v/>
      </c>
      <c r="U791" s="71" t="str">
        <f>IF(tech_base!$T167&gt;U$625,"",(1000*tech_proj!U1131*(-PMT($J$110,tech_base!$F167,1))+1000*tech_proj!U1411)/((1-tech_proj!U571)*tech_proj!U851*$L$110))</f>
        <v/>
      </c>
      <c r="V791" s="71" t="str">
        <f>IF(tech_base!$T167&gt;V$625,"",(1000*tech_proj!V1131*(-PMT($J$110,tech_base!$F167,1))+1000*tech_proj!V1411)/((1-tech_proj!V571)*tech_proj!V851*$L$110))</f>
        <v/>
      </c>
      <c r="W791" s="71" t="str">
        <f>IF(tech_base!$T167&gt;W$625,"",(1000*tech_proj!W1131*(-PMT($J$110,tech_base!$F167,1))+1000*tech_proj!W1411)/((1-tech_proj!W571)*tech_proj!W851*$L$110))</f>
        <v/>
      </c>
      <c r="X791" s="71" t="str">
        <f>IF(tech_base!$T167&gt;X$625,"",(1000*tech_proj!X1131*(-PMT($J$110,tech_base!$F167,1))+1000*tech_proj!X1411)/((1-tech_proj!X571)*tech_proj!X851*$L$110))</f>
        <v/>
      </c>
      <c r="Y791" s="71" t="str">
        <f>IF(tech_base!$T167&gt;Y$625,"",(1000*tech_proj!Y1131*(-PMT($J$110,tech_base!$F167,1))+1000*tech_proj!Y1411)/((1-tech_proj!Y571)*tech_proj!Y851*$L$110))</f>
        <v/>
      </c>
      <c r="Z791" s="71" t="str">
        <f>IF(tech_base!$T167&gt;Z$625,"",(1000*tech_proj!Z1131*(-PMT($J$110,tech_base!$F167,1))+1000*tech_proj!Z1411)/((1-tech_proj!Z571)*tech_proj!Z851*$L$110))</f>
        <v/>
      </c>
      <c r="AA791" s="71" t="str">
        <f>IF(tech_base!$T167&gt;AA$625,"",(1000*tech_proj!AA1131*(-PMT($J$110,tech_base!$F167,1))+1000*tech_proj!AA1411)/((1-tech_proj!AA571)*tech_proj!AA851*$L$110))</f>
        <v/>
      </c>
      <c r="AB791" s="71" t="str">
        <f>IF(tech_base!$T167&gt;AB$625,"",(1000*tech_proj!AB1131*(-PMT($J$110,tech_base!$F167,1))+1000*tech_proj!AB1411)/((1-tech_proj!AB571)*tech_proj!AB851*$L$110))</f>
        <v/>
      </c>
      <c r="AC791" s="71" t="str">
        <f>IF(tech_base!$T167&gt;AC$625,"",(1000*tech_proj!AC1131*(-PMT($J$110,tech_base!$F167,1))+1000*tech_proj!AC1411)/((1-tech_proj!AC571)*tech_proj!AC851*$L$110))</f>
        <v/>
      </c>
      <c r="AD791" s="71" t="str">
        <f>IF(tech_base!$T167&gt;AD$625,"",(1000*tech_proj!AD1131*(-PMT($J$110,tech_base!$F167,1))+1000*tech_proj!AD1411)/((1-tech_proj!AD571)*tech_proj!AD851*$L$110))</f>
        <v/>
      </c>
      <c r="AE791" s="71">
        <f>IF(tech_base!$T167&gt;AE$625,"",(1000*tech_proj!AE1131*(-PMT($J$110,tech_base!$F167,1))+1000*tech_proj!AE1411)/((1-tech_proj!AE571)*tech_proj!AE851*$L$110))</f>
        <v>82.139137563429401</v>
      </c>
      <c r="AF791" s="71">
        <f>IF(tech_base!$T167&gt;AF$625,"",(1000*tech_proj!AF1131*(-PMT($J$110,tech_base!$F167,1))+1000*tech_proj!AF1411)/((1-tech_proj!AF571)*tech_proj!AF851*$L$110))</f>
        <v>82.139137563429401</v>
      </c>
      <c r="AG791" s="71">
        <f>IF(tech_base!$T167&gt;AG$625,"",(1000*tech_proj!AG1131*(-PMT($J$110,tech_base!$F167,1))+1000*tech_proj!AG1411)/((1-tech_proj!AG571)*tech_proj!AG851*$L$110))</f>
        <v>82.139137563429401</v>
      </c>
      <c r="AH791" s="71">
        <f>IF(tech_base!$T167&gt;AH$625,"",(1000*tech_proj!AH1131*(-PMT($J$110,tech_base!$F167,1))+1000*tech_proj!AH1411)/((1-tech_proj!AH571)*tech_proj!AH851*$L$110))</f>
        <v>82.139137563429401</v>
      </c>
      <c r="AI791" s="71">
        <f>IF(tech_base!$T167&gt;AI$625,"",(1000*tech_proj!AI1131*(-PMT($J$110,tech_base!$F167,1))+1000*tech_proj!AI1411)/((1-tech_proj!AI571)*tech_proj!AI851*$L$110))</f>
        <v>82.139137563429401</v>
      </c>
      <c r="AJ791" s="71">
        <f>IF(tech_base!$T167&gt;AJ$625,"",(1000*tech_proj!AJ1131*(-PMT($J$110,tech_base!$F167,1))+1000*tech_proj!AJ1411)/((1-tech_proj!AJ571)*tech_proj!AJ851*$L$110))</f>
        <v>82.139137563429401</v>
      </c>
      <c r="AK791" s="71">
        <f>IF(tech_base!$T167&gt;AK$625,"",(1000*tech_proj!AK1131*(-PMT($J$110,tech_base!$F167,1))+1000*tech_proj!AK1411)/((1-tech_proj!AK571)*tech_proj!AK851*$L$110))</f>
        <v>82.139137563429401</v>
      </c>
      <c r="AL791" s="71">
        <f>IF(tech_base!$T167&gt;AL$625,"",(1000*tech_proj!AL1131*(-PMT($J$110,tech_base!$F167,1))+1000*tech_proj!AL1411)/((1-tech_proj!AL571)*tech_proj!AL851*$L$110))</f>
        <v>82.139137563429401</v>
      </c>
      <c r="AM791" s="71">
        <f>IF(tech_base!$T167&gt;AM$625,"",(1000*tech_proj!AM1131*(-PMT($J$110,tech_base!$F167,1))+1000*tech_proj!AM1411)/((1-tech_proj!AM571)*tech_proj!AM851*$L$110))</f>
        <v>82.139137563429401</v>
      </c>
      <c r="AN791" s="71">
        <f>IF(tech_base!$T167&gt;AN$625,"",(1000*tech_proj!AN1131*(-PMT($J$110,tech_base!$F167,1))+1000*tech_proj!AN1411)/((1-tech_proj!AN571)*tech_proj!AN851*$L$110))</f>
        <v>82.139137563429401</v>
      </c>
      <c r="AO791" s="71">
        <f>IF(tech_base!$T167&gt;AO$625,"",(1000*tech_proj!AO1131*(-PMT($J$110,tech_base!$F167,1))+1000*tech_proj!AO1411)/((1-tech_proj!AO571)*tech_proj!AO851*$L$110))</f>
        <v>82.139137563429401</v>
      </c>
      <c r="AP791" s="71">
        <f>IF(tech_base!$T167&gt;AP$625,"",(1000*tech_proj!AP1131*(-PMT($J$110,tech_base!$F167,1))+1000*tech_proj!AP1411)/((1-tech_proj!AP571)*tech_proj!AP851*$L$110))</f>
        <v>82.139137563429401</v>
      </c>
      <c r="AQ791" s="71">
        <f>IF(tech_base!$T167&gt;AQ$625,"",(1000*tech_proj!AQ1131*(-PMT($J$110,tech_base!$F167,1))+1000*tech_proj!AQ1411)/((1-tech_proj!AQ571)*tech_proj!AQ851*$L$110))</f>
        <v>82.139137563429401</v>
      </c>
      <c r="AR791" s="71">
        <f>IF(tech_base!$T167&gt;AR$625,"",(1000*tech_proj!AR1131*(-PMT($J$110,tech_base!$F167,1))+1000*tech_proj!AR1411)/((1-tech_proj!AR571)*tech_proj!AR851*$L$110))</f>
        <v>82.139137563429401</v>
      </c>
      <c r="AS791" s="71">
        <f>IF(tech_base!$T167&gt;AS$625,"",(1000*tech_proj!AS1131*(-PMT($J$110,tech_base!$F167,1))+1000*tech_proj!AS1411)/((1-tech_proj!AS571)*tech_proj!AS851*$L$110))</f>
        <v>82.139137563429401</v>
      </c>
      <c r="AT791" s="71">
        <f>IF(tech_base!$T167&gt;AT$625,"",(1000*tech_proj!AT1131*(-PMT($J$110,tech_base!$F167,1))+1000*tech_proj!AT1411)/((1-tech_proj!AT571)*tech_proj!AT851*$L$110))</f>
        <v>82.139137563429401</v>
      </c>
      <c r="AU791" s="71">
        <f>IF(tech_base!$T167&gt;AU$625,"",(1000*tech_proj!AU1131*(-PMT($J$110,tech_base!$F167,1))+1000*tech_proj!AU1411)/((1-tech_proj!AU571)*tech_proj!AU851*$L$110))</f>
        <v>82.139137563429401</v>
      </c>
      <c r="AV791" s="71">
        <f>IF(tech_base!$T167&gt;AV$625,"",(1000*tech_proj!AV1131*(-PMT($J$110,tech_base!$F167,1))+1000*tech_proj!AV1411)/((1-tech_proj!AV571)*tech_proj!AV851*$L$110))</f>
        <v>82.139137563429401</v>
      </c>
      <c r="AW791" s="71">
        <f>IF(tech_base!$T167&gt;AW$625,"",(1000*tech_proj!AW1131*(-PMT($J$110,tech_base!$F167,1))+1000*tech_proj!AW1411)/((1-tech_proj!AW571)*tech_proj!AW851*$L$110))</f>
        <v>82.139137563429401</v>
      </c>
      <c r="AX791" s="237">
        <f>IF(tech_base!$T167&gt;AX$625,"",(1000*tech_proj!AX1131*(-PMT($J$110,tech_base!$F167,1))+1000*tech_proj!AX1411)/((1-tech_proj!AX571)*tech_proj!AX851*$L$110))</f>
        <v>82.139137563429401</v>
      </c>
    </row>
    <row r="792" spans="1:50" x14ac:dyDescent="0.25">
      <c r="A792" s="356"/>
      <c r="B792" s="376"/>
      <c r="C792" s="379"/>
      <c r="D792" s="59" t="s">
        <v>8</v>
      </c>
      <c r="E792" s="166" t="str">
        <f>A765&amp;"/"&amp;B785&amp;"/"&amp;C791&amp;"/"&amp;D792</f>
        <v>Diesel oil fired power plants/Steam turbine/Electricity only with CCS/M</v>
      </c>
      <c r="F792" s="79" t="str">
        <f>A765</f>
        <v>Diesel oil fired power plants</v>
      </c>
      <c r="G792" s="79" t="str">
        <f>B785</f>
        <v>Steam turbine</v>
      </c>
      <c r="H792" s="79" t="str">
        <f>C791</f>
        <v>Electricity only with CCS</v>
      </c>
      <c r="I792" s="167" t="str">
        <f t="shared" si="364"/>
        <v>M</v>
      </c>
      <c r="J792" s="72" t="str">
        <f>IF(tech_base!$T168&gt;J$625,"",(1000*tech_proj!J1132*(-PMT($J$110,tech_base!$F168,1))+1000*tech_proj!J1412)/((1-tech_proj!J572)*tech_proj!J852*$L$110))</f>
        <v/>
      </c>
      <c r="K792" s="72" t="str">
        <f>IF(tech_base!$T168&gt;K$625,"",(1000*tech_proj!K1132*(-PMT($J$110,tech_base!$F168,1))+1000*tech_proj!K1412)/((1-tech_proj!K572)*tech_proj!K852*$L$110))</f>
        <v/>
      </c>
      <c r="L792" s="72" t="str">
        <f>IF(tech_base!$T168&gt;L$625,"",(1000*tech_proj!L1132*(-PMT($J$110,tech_base!$F168,1))+1000*tech_proj!L1412)/((1-tech_proj!L572)*tech_proj!L852*$L$110))</f>
        <v/>
      </c>
      <c r="M792" s="72" t="str">
        <f>IF(tech_base!$T168&gt;M$625,"",(1000*tech_proj!M1132*(-PMT($J$110,tech_base!$F168,1))+1000*tech_proj!M1412)/((1-tech_proj!M572)*tech_proj!M852*$L$110))</f>
        <v/>
      </c>
      <c r="N792" s="72" t="str">
        <f>IF(tech_base!$T168&gt;N$625,"",(1000*tech_proj!N1132*(-PMT($J$110,tech_base!$F168,1))+1000*tech_proj!N1412)/((1-tech_proj!N572)*tech_proj!N852*$L$110))</f>
        <v/>
      </c>
      <c r="O792" s="72" t="str">
        <f>IF(tech_base!$T168&gt;O$625,"",(1000*tech_proj!O1132*(-PMT($J$110,tech_base!$F168,1))+1000*tech_proj!O1412)/((1-tech_proj!O572)*tech_proj!O852*$L$110))</f>
        <v/>
      </c>
      <c r="P792" s="72" t="str">
        <f>IF(tech_base!$T168&gt;P$625,"",(1000*tech_proj!P1132*(-PMT($J$110,tech_base!$F168,1))+1000*tech_proj!P1412)/((1-tech_proj!P572)*tech_proj!P852*$L$110))</f>
        <v/>
      </c>
      <c r="Q792" s="72" t="str">
        <f>IF(tech_base!$T168&gt;Q$625,"",(1000*tech_proj!Q1132*(-PMT($J$110,tech_base!$F168,1))+1000*tech_proj!Q1412)/((1-tech_proj!Q572)*tech_proj!Q852*$L$110))</f>
        <v/>
      </c>
      <c r="R792" s="72" t="str">
        <f>IF(tech_base!$T168&gt;R$625,"",(1000*tech_proj!R1132*(-PMT($J$110,tech_base!$F168,1))+1000*tech_proj!R1412)/((1-tech_proj!R572)*tech_proj!R852*$L$110))</f>
        <v/>
      </c>
      <c r="S792" s="72" t="str">
        <f>IF(tech_base!$T168&gt;S$625,"",(1000*tech_proj!S1132*(-PMT($J$110,tech_base!$F168,1))+1000*tech_proj!S1412)/((1-tech_proj!S572)*tech_proj!S852*$L$110))</f>
        <v/>
      </c>
      <c r="T792" s="72" t="str">
        <f>IF(tech_base!$T168&gt;T$625,"",(1000*tech_proj!T1132*(-PMT($J$110,tech_base!$F168,1))+1000*tech_proj!T1412)/((1-tech_proj!T572)*tech_proj!T852*$L$110))</f>
        <v/>
      </c>
      <c r="U792" s="72" t="str">
        <f>IF(tech_base!$T168&gt;U$625,"",(1000*tech_proj!U1132*(-PMT($J$110,tech_base!$F168,1))+1000*tech_proj!U1412)/((1-tech_proj!U572)*tech_proj!U852*$L$110))</f>
        <v/>
      </c>
      <c r="V792" s="72" t="str">
        <f>IF(tech_base!$T168&gt;V$625,"",(1000*tech_proj!V1132*(-PMT($J$110,tech_base!$F168,1))+1000*tech_proj!V1412)/((1-tech_proj!V572)*tech_proj!V852*$L$110))</f>
        <v/>
      </c>
      <c r="W792" s="72" t="str">
        <f>IF(tech_base!$T168&gt;W$625,"",(1000*tech_proj!W1132*(-PMT($J$110,tech_base!$F168,1))+1000*tech_proj!W1412)/((1-tech_proj!W572)*tech_proj!W852*$L$110))</f>
        <v/>
      </c>
      <c r="X792" s="72" t="str">
        <f>IF(tech_base!$T168&gt;X$625,"",(1000*tech_proj!X1132*(-PMT($J$110,tech_base!$F168,1))+1000*tech_proj!X1412)/((1-tech_proj!X572)*tech_proj!X852*$L$110))</f>
        <v/>
      </c>
      <c r="Y792" s="72" t="str">
        <f>IF(tech_base!$T168&gt;Y$625,"",(1000*tech_proj!Y1132*(-PMT($J$110,tech_base!$F168,1))+1000*tech_proj!Y1412)/((1-tech_proj!Y572)*tech_proj!Y852*$L$110))</f>
        <v/>
      </c>
      <c r="Z792" s="72" t="str">
        <f>IF(tech_base!$T168&gt;Z$625,"",(1000*tech_proj!Z1132*(-PMT($J$110,tech_base!$F168,1))+1000*tech_proj!Z1412)/((1-tech_proj!Z572)*tech_proj!Z852*$L$110))</f>
        <v/>
      </c>
      <c r="AA792" s="72" t="str">
        <f>IF(tech_base!$T168&gt;AA$625,"",(1000*tech_proj!AA1132*(-PMT($J$110,tech_base!$F168,1))+1000*tech_proj!AA1412)/((1-tech_proj!AA572)*tech_proj!AA852*$L$110))</f>
        <v/>
      </c>
      <c r="AB792" s="72" t="str">
        <f>IF(tech_base!$T168&gt;AB$625,"",(1000*tech_proj!AB1132*(-PMT($J$110,tech_base!$F168,1))+1000*tech_proj!AB1412)/((1-tech_proj!AB572)*tech_proj!AB852*$L$110))</f>
        <v/>
      </c>
      <c r="AC792" s="72" t="str">
        <f>IF(tech_base!$T168&gt;AC$625,"",(1000*tech_proj!AC1132*(-PMT($J$110,tech_base!$F168,1))+1000*tech_proj!AC1412)/((1-tech_proj!AC572)*tech_proj!AC852*$L$110))</f>
        <v/>
      </c>
      <c r="AD792" s="72" t="str">
        <f>IF(tech_base!$T168&gt;AD$625,"",(1000*tech_proj!AD1132*(-PMT($J$110,tech_base!$F168,1))+1000*tech_proj!AD1412)/((1-tech_proj!AD572)*tech_proj!AD852*$L$110))</f>
        <v/>
      </c>
      <c r="AE792" s="72">
        <f>IF(tech_base!$T168&gt;AE$625,"",(1000*tech_proj!AE1132*(-PMT($J$110,tech_base!$F168,1))+1000*tech_proj!AE1412)/((1-tech_proj!AE572)*tech_proj!AE852*$L$110))</f>
        <v>106.16374250246429</v>
      </c>
      <c r="AF792" s="72">
        <f>IF(tech_base!$T168&gt;AF$625,"",(1000*tech_proj!AF1132*(-PMT($J$110,tech_base!$F168,1))+1000*tech_proj!AF1412)/((1-tech_proj!AF572)*tech_proj!AF852*$L$110))</f>
        <v>106.16374250246429</v>
      </c>
      <c r="AG792" s="72">
        <f>IF(tech_base!$T168&gt;AG$625,"",(1000*tech_proj!AG1132*(-PMT($J$110,tech_base!$F168,1))+1000*tech_proj!AG1412)/((1-tech_proj!AG572)*tech_proj!AG852*$L$110))</f>
        <v>106.16374250246429</v>
      </c>
      <c r="AH792" s="72">
        <f>IF(tech_base!$T168&gt;AH$625,"",(1000*tech_proj!AH1132*(-PMT($J$110,tech_base!$F168,1))+1000*tech_proj!AH1412)/((1-tech_proj!AH572)*tech_proj!AH852*$L$110))</f>
        <v>106.16374250246429</v>
      </c>
      <c r="AI792" s="72">
        <f>IF(tech_base!$T168&gt;AI$625,"",(1000*tech_proj!AI1132*(-PMT($J$110,tech_base!$F168,1))+1000*tech_proj!AI1412)/((1-tech_proj!AI572)*tech_proj!AI852*$L$110))</f>
        <v>106.16374250246429</v>
      </c>
      <c r="AJ792" s="72">
        <f>IF(tech_base!$T168&gt;AJ$625,"",(1000*tech_proj!AJ1132*(-PMT($J$110,tech_base!$F168,1))+1000*tech_proj!AJ1412)/((1-tech_proj!AJ572)*tech_proj!AJ852*$L$110))</f>
        <v>106.16374250246429</v>
      </c>
      <c r="AK792" s="72">
        <f>IF(tech_base!$T168&gt;AK$625,"",(1000*tech_proj!AK1132*(-PMT($J$110,tech_base!$F168,1))+1000*tech_proj!AK1412)/((1-tech_proj!AK572)*tech_proj!AK852*$L$110))</f>
        <v>106.16374250246429</v>
      </c>
      <c r="AL792" s="72">
        <f>IF(tech_base!$T168&gt;AL$625,"",(1000*tech_proj!AL1132*(-PMT($J$110,tech_base!$F168,1))+1000*tech_proj!AL1412)/((1-tech_proj!AL572)*tech_proj!AL852*$L$110))</f>
        <v>106.16374250246429</v>
      </c>
      <c r="AM792" s="72">
        <f>IF(tech_base!$T168&gt;AM$625,"",(1000*tech_proj!AM1132*(-PMT($J$110,tech_base!$F168,1))+1000*tech_proj!AM1412)/((1-tech_proj!AM572)*tech_proj!AM852*$L$110))</f>
        <v>106.16374250246429</v>
      </c>
      <c r="AN792" s="72">
        <f>IF(tech_base!$T168&gt;AN$625,"",(1000*tech_proj!AN1132*(-PMT($J$110,tech_base!$F168,1))+1000*tech_proj!AN1412)/((1-tech_proj!AN572)*tech_proj!AN852*$L$110))</f>
        <v>106.16374250246429</v>
      </c>
      <c r="AO792" s="72">
        <f>IF(tech_base!$T168&gt;AO$625,"",(1000*tech_proj!AO1132*(-PMT($J$110,tech_base!$F168,1))+1000*tech_proj!AO1412)/((1-tech_proj!AO572)*tech_proj!AO852*$L$110))</f>
        <v>106.16374250246429</v>
      </c>
      <c r="AP792" s="72">
        <f>IF(tech_base!$T168&gt;AP$625,"",(1000*tech_proj!AP1132*(-PMT($J$110,tech_base!$F168,1))+1000*tech_proj!AP1412)/((1-tech_proj!AP572)*tech_proj!AP852*$L$110))</f>
        <v>106.16374250246429</v>
      </c>
      <c r="AQ792" s="72">
        <f>IF(tech_base!$T168&gt;AQ$625,"",(1000*tech_proj!AQ1132*(-PMT($J$110,tech_base!$F168,1))+1000*tech_proj!AQ1412)/((1-tech_proj!AQ572)*tech_proj!AQ852*$L$110))</f>
        <v>106.16374250246429</v>
      </c>
      <c r="AR792" s="72">
        <f>IF(tech_base!$T168&gt;AR$625,"",(1000*tech_proj!AR1132*(-PMT($J$110,tech_base!$F168,1))+1000*tech_proj!AR1412)/((1-tech_proj!AR572)*tech_proj!AR852*$L$110))</f>
        <v>106.16374250246429</v>
      </c>
      <c r="AS792" s="72">
        <f>IF(tech_base!$T168&gt;AS$625,"",(1000*tech_proj!AS1132*(-PMT($J$110,tech_base!$F168,1))+1000*tech_proj!AS1412)/((1-tech_proj!AS572)*tech_proj!AS852*$L$110))</f>
        <v>106.16374250246429</v>
      </c>
      <c r="AT792" s="72">
        <f>IF(tech_base!$T168&gt;AT$625,"",(1000*tech_proj!AT1132*(-PMT($J$110,tech_base!$F168,1))+1000*tech_proj!AT1412)/((1-tech_proj!AT572)*tech_proj!AT852*$L$110))</f>
        <v>106.16374250246429</v>
      </c>
      <c r="AU792" s="72">
        <f>IF(tech_base!$T168&gt;AU$625,"",(1000*tech_proj!AU1132*(-PMT($J$110,tech_base!$F168,1))+1000*tech_proj!AU1412)/((1-tech_proj!AU572)*tech_proj!AU852*$L$110))</f>
        <v>106.16374250246429</v>
      </c>
      <c r="AV792" s="72">
        <f>IF(tech_base!$T168&gt;AV$625,"",(1000*tech_proj!AV1132*(-PMT($J$110,tech_base!$F168,1))+1000*tech_proj!AV1412)/((1-tech_proj!AV572)*tech_proj!AV852*$L$110))</f>
        <v>106.16374250246429</v>
      </c>
      <c r="AW792" s="72">
        <f>IF(tech_base!$T168&gt;AW$625,"",(1000*tech_proj!AW1132*(-PMT($J$110,tech_base!$F168,1))+1000*tech_proj!AW1412)/((1-tech_proj!AW572)*tech_proj!AW852*$L$110))</f>
        <v>106.16374250246429</v>
      </c>
      <c r="AX792" s="238">
        <f>IF(tech_base!$T168&gt;AX$625,"",(1000*tech_proj!AX1132*(-PMT($J$110,tech_base!$F168,1))+1000*tech_proj!AX1412)/((1-tech_proj!AX572)*tech_proj!AX852*$L$110))</f>
        <v>106.16374250246429</v>
      </c>
    </row>
    <row r="793" spans="1:50" x14ac:dyDescent="0.25">
      <c r="A793" s="356"/>
      <c r="B793" s="376"/>
      <c r="C793" s="361" t="s">
        <v>16</v>
      </c>
      <c r="D793" s="2" t="s">
        <v>7</v>
      </c>
      <c r="E793" s="160" t="str">
        <f>A765&amp;"/"&amp;B785&amp;"/"&amp;C793&amp;"/"&amp;D793</f>
        <v>Diesel oil fired power plants/Steam turbine/CHP with CCS/L</v>
      </c>
      <c r="F793" s="76" t="str">
        <f>A765</f>
        <v>Diesel oil fired power plants</v>
      </c>
      <c r="G793" s="76" t="str">
        <f>B785</f>
        <v>Steam turbine</v>
      </c>
      <c r="H793" s="76" t="str">
        <f>C793</f>
        <v>CHP with CCS</v>
      </c>
      <c r="I793" s="161" t="str">
        <f t="shared" si="364"/>
        <v>L</v>
      </c>
      <c r="J793" s="69" t="str">
        <f>IF(tech_base!$T169&gt;J$625,"",(1000*tech_proj!J1133*(-PMT($J$110,tech_base!$F169,1))+1000*tech_proj!J1413)/((1-tech_proj!J573)*tech_proj!J853*$L$110))</f>
        <v/>
      </c>
      <c r="K793" s="69" t="str">
        <f>IF(tech_base!$T169&gt;K$625,"",(1000*tech_proj!K1133*(-PMT($J$110,tech_base!$F169,1))+1000*tech_proj!K1413)/((1-tech_proj!K573)*tech_proj!K853*$L$110))</f>
        <v/>
      </c>
      <c r="L793" s="69" t="str">
        <f>IF(tech_base!$T169&gt;L$625,"",(1000*tech_proj!L1133*(-PMT($J$110,tech_base!$F169,1))+1000*tech_proj!L1413)/((1-tech_proj!L573)*tech_proj!L853*$L$110))</f>
        <v/>
      </c>
      <c r="M793" s="69" t="str">
        <f>IF(tech_base!$T169&gt;M$625,"",(1000*tech_proj!M1133*(-PMT($J$110,tech_base!$F169,1))+1000*tech_proj!M1413)/((1-tech_proj!M573)*tech_proj!M853*$L$110))</f>
        <v/>
      </c>
      <c r="N793" s="69" t="str">
        <f>IF(tech_base!$T169&gt;N$625,"",(1000*tech_proj!N1133*(-PMT($J$110,tech_base!$F169,1))+1000*tech_proj!N1413)/((1-tech_proj!N573)*tech_proj!N853*$L$110))</f>
        <v/>
      </c>
      <c r="O793" s="69" t="str">
        <f>IF(tech_base!$T169&gt;O$625,"",(1000*tech_proj!O1133*(-PMT($J$110,tech_base!$F169,1))+1000*tech_proj!O1413)/((1-tech_proj!O573)*tech_proj!O853*$L$110))</f>
        <v/>
      </c>
      <c r="P793" s="69" t="str">
        <f>IF(tech_base!$T169&gt;P$625,"",(1000*tech_proj!P1133*(-PMT($J$110,tech_base!$F169,1))+1000*tech_proj!P1413)/((1-tech_proj!P573)*tech_proj!P853*$L$110))</f>
        <v/>
      </c>
      <c r="Q793" s="69" t="str">
        <f>IF(tech_base!$T169&gt;Q$625,"",(1000*tech_proj!Q1133*(-PMT($J$110,tech_base!$F169,1))+1000*tech_proj!Q1413)/((1-tech_proj!Q573)*tech_proj!Q853*$L$110))</f>
        <v/>
      </c>
      <c r="R793" s="69" t="str">
        <f>IF(tech_base!$T169&gt;R$625,"",(1000*tech_proj!R1133*(-PMT($J$110,tech_base!$F169,1))+1000*tech_proj!R1413)/((1-tech_proj!R573)*tech_proj!R853*$L$110))</f>
        <v/>
      </c>
      <c r="S793" s="69" t="str">
        <f>IF(tech_base!$T169&gt;S$625,"",(1000*tech_proj!S1133*(-PMT($J$110,tech_base!$F169,1))+1000*tech_proj!S1413)/((1-tech_proj!S573)*tech_proj!S853*$L$110))</f>
        <v/>
      </c>
      <c r="T793" s="69" t="str">
        <f>IF(tech_base!$T169&gt;T$625,"",(1000*tech_proj!T1133*(-PMT($J$110,tech_base!$F169,1))+1000*tech_proj!T1413)/((1-tech_proj!T573)*tech_proj!T853*$L$110))</f>
        <v/>
      </c>
      <c r="U793" s="69" t="str">
        <f>IF(tech_base!$T169&gt;U$625,"",(1000*tech_proj!U1133*(-PMT($J$110,tech_base!$F169,1))+1000*tech_proj!U1413)/((1-tech_proj!U573)*tech_proj!U853*$L$110))</f>
        <v/>
      </c>
      <c r="V793" s="69" t="str">
        <f>IF(tech_base!$T169&gt;V$625,"",(1000*tech_proj!V1133*(-PMT($J$110,tech_base!$F169,1))+1000*tech_proj!V1413)/((1-tech_proj!V573)*tech_proj!V853*$L$110))</f>
        <v/>
      </c>
      <c r="W793" s="69" t="str">
        <f>IF(tech_base!$T169&gt;W$625,"",(1000*tech_proj!W1133*(-PMT($J$110,tech_base!$F169,1))+1000*tech_proj!W1413)/((1-tech_proj!W573)*tech_proj!W853*$L$110))</f>
        <v/>
      </c>
      <c r="X793" s="69" t="str">
        <f>IF(tech_base!$T169&gt;X$625,"",(1000*tech_proj!X1133*(-PMT($J$110,tech_base!$F169,1))+1000*tech_proj!X1413)/((1-tech_proj!X573)*tech_proj!X853*$L$110))</f>
        <v/>
      </c>
      <c r="Y793" s="69" t="str">
        <f>IF(tech_base!$T169&gt;Y$625,"",(1000*tech_proj!Y1133*(-PMT($J$110,tech_base!$F169,1))+1000*tech_proj!Y1413)/((1-tech_proj!Y573)*tech_proj!Y853*$L$110))</f>
        <v/>
      </c>
      <c r="Z793" s="69" t="str">
        <f>IF(tech_base!$T169&gt;Z$625,"",(1000*tech_proj!Z1133*(-PMT($J$110,tech_base!$F169,1))+1000*tech_proj!Z1413)/((1-tech_proj!Z573)*tech_proj!Z853*$L$110))</f>
        <v/>
      </c>
      <c r="AA793" s="69" t="str">
        <f>IF(tech_base!$T169&gt;AA$625,"",(1000*tech_proj!AA1133*(-PMT($J$110,tech_base!$F169,1))+1000*tech_proj!AA1413)/((1-tech_proj!AA573)*tech_proj!AA853*$L$110))</f>
        <v/>
      </c>
      <c r="AB793" s="69" t="str">
        <f>IF(tech_base!$T169&gt;AB$625,"",(1000*tech_proj!AB1133*(-PMT($J$110,tech_base!$F169,1))+1000*tech_proj!AB1413)/((1-tech_proj!AB573)*tech_proj!AB853*$L$110))</f>
        <v/>
      </c>
      <c r="AC793" s="69" t="str">
        <f>IF(tech_base!$T169&gt;AC$625,"",(1000*tech_proj!AC1133*(-PMT($J$110,tech_base!$F169,1))+1000*tech_proj!AC1413)/((1-tech_proj!AC573)*tech_proj!AC853*$L$110))</f>
        <v/>
      </c>
      <c r="AD793" s="69" t="str">
        <f>IF(tech_base!$T169&gt;AD$625,"",(1000*tech_proj!AD1133*(-PMT($J$110,tech_base!$F169,1))+1000*tech_proj!AD1413)/((1-tech_proj!AD573)*tech_proj!AD853*$L$110))</f>
        <v/>
      </c>
      <c r="AE793" s="69">
        <f>IF(tech_base!$T169&gt;AE$625,"",(1000*tech_proj!AE1133*(-PMT($J$110,tech_base!$F169,1))+1000*tech_proj!AE1413)/((1-tech_proj!AE573)*tech_proj!AE853*$L$110))</f>
        <v>105.03903375758594</v>
      </c>
      <c r="AF793" s="69">
        <f>IF(tech_base!$T169&gt;AF$625,"",(1000*tech_proj!AF1133*(-PMT($J$110,tech_base!$F169,1))+1000*tech_proj!AF1413)/((1-tech_proj!AF573)*tech_proj!AF853*$L$110))</f>
        <v>105.03903375758594</v>
      </c>
      <c r="AG793" s="69">
        <f>IF(tech_base!$T169&gt;AG$625,"",(1000*tech_proj!AG1133*(-PMT($J$110,tech_base!$F169,1))+1000*tech_proj!AG1413)/((1-tech_proj!AG573)*tech_proj!AG853*$L$110))</f>
        <v>105.03903375758594</v>
      </c>
      <c r="AH793" s="69">
        <f>IF(tech_base!$T169&gt;AH$625,"",(1000*tech_proj!AH1133*(-PMT($J$110,tech_base!$F169,1))+1000*tech_proj!AH1413)/((1-tech_proj!AH573)*tech_proj!AH853*$L$110))</f>
        <v>105.03903375758594</v>
      </c>
      <c r="AI793" s="69">
        <f>IF(tech_base!$T169&gt;AI$625,"",(1000*tech_proj!AI1133*(-PMT($J$110,tech_base!$F169,1))+1000*tech_proj!AI1413)/((1-tech_proj!AI573)*tech_proj!AI853*$L$110))</f>
        <v>105.03903375758594</v>
      </c>
      <c r="AJ793" s="69">
        <f>IF(tech_base!$T169&gt;AJ$625,"",(1000*tech_proj!AJ1133*(-PMT($J$110,tech_base!$F169,1))+1000*tech_proj!AJ1413)/((1-tech_proj!AJ573)*tech_proj!AJ853*$L$110))</f>
        <v>105.03903375758594</v>
      </c>
      <c r="AK793" s="69">
        <f>IF(tech_base!$T169&gt;AK$625,"",(1000*tech_proj!AK1133*(-PMT($J$110,tech_base!$F169,1))+1000*tech_proj!AK1413)/((1-tech_proj!AK573)*tech_proj!AK853*$L$110))</f>
        <v>105.03903375758594</v>
      </c>
      <c r="AL793" s="69">
        <f>IF(tech_base!$T169&gt;AL$625,"",(1000*tech_proj!AL1133*(-PMT($J$110,tech_base!$F169,1))+1000*tech_proj!AL1413)/((1-tech_proj!AL573)*tech_proj!AL853*$L$110))</f>
        <v>105.03903375758594</v>
      </c>
      <c r="AM793" s="69">
        <f>IF(tech_base!$T169&gt;AM$625,"",(1000*tech_proj!AM1133*(-PMT($J$110,tech_base!$F169,1))+1000*tech_proj!AM1413)/((1-tech_proj!AM573)*tech_proj!AM853*$L$110))</f>
        <v>105.03903375758594</v>
      </c>
      <c r="AN793" s="69">
        <f>IF(tech_base!$T169&gt;AN$625,"",(1000*tech_proj!AN1133*(-PMT($J$110,tech_base!$F169,1))+1000*tech_proj!AN1413)/((1-tech_proj!AN573)*tech_proj!AN853*$L$110))</f>
        <v>105.03903375758594</v>
      </c>
      <c r="AO793" s="69">
        <f>IF(tech_base!$T169&gt;AO$625,"",(1000*tech_proj!AO1133*(-PMT($J$110,tech_base!$F169,1))+1000*tech_proj!AO1413)/((1-tech_proj!AO573)*tech_proj!AO853*$L$110))</f>
        <v>105.03903375758594</v>
      </c>
      <c r="AP793" s="69">
        <f>IF(tech_base!$T169&gt;AP$625,"",(1000*tech_proj!AP1133*(-PMT($J$110,tech_base!$F169,1))+1000*tech_proj!AP1413)/((1-tech_proj!AP573)*tech_proj!AP853*$L$110))</f>
        <v>105.03903375758594</v>
      </c>
      <c r="AQ793" s="69">
        <f>IF(tech_base!$T169&gt;AQ$625,"",(1000*tech_proj!AQ1133*(-PMT($J$110,tech_base!$F169,1))+1000*tech_proj!AQ1413)/((1-tech_proj!AQ573)*tech_proj!AQ853*$L$110))</f>
        <v>105.03903375758594</v>
      </c>
      <c r="AR793" s="69">
        <f>IF(tech_base!$T169&gt;AR$625,"",(1000*tech_proj!AR1133*(-PMT($J$110,tech_base!$F169,1))+1000*tech_proj!AR1413)/((1-tech_proj!AR573)*tech_proj!AR853*$L$110))</f>
        <v>105.03903375758594</v>
      </c>
      <c r="AS793" s="69">
        <f>IF(tech_base!$T169&gt;AS$625,"",(1000*tech_proj!AS1133*(-PMT($J$110,tech_base!$F169,1))+1000*tech_proj!AS1413)/((1-tech_proj!AS573)*tech_proj!AS853*$L$110))</f>
        <v>105.03903375758594</v>
      </c>
      <c r="AT793" s="69">
        <f>IF(tech_base!$T169&gt;AT$625,"",(1000*tech_proj!AT1133*(-PMT($J$110,tech_base!$F169,1))+1000*tech_proj!AT1413)/((1-tech_proj!AT573)*tech_proj!AT853*$L$110))</f>
        <v>105.03903375758594</v>
      </c>
      <c r="AU793" s="69">
        <f>IF(tech_base!$T169&gt;AU$625,"",(1000*tech_proj!AU1133*(-PMT($J$110,tech_base!$F169,1))+1000*tech_proj!AU1413)/((1-tech_proj!AU573)*tech_proj!AU853*$L$110))</f>
        <v>105.03903375758594</v>
      </c>
      <c r="AV793" s="69">
        <f>IF(tech_base!$T169&gt;AV$625,"",(1000*tech_proj!AV1133*(-PMT($J$110,tech_base!$F169,1))+1000*tech_proj!AV1413)/((1-tech_proj!AV573)*tech_proj!AV853*$L$110))</f>
        <v>105.03903375758594</v>
      </c>
      <c r="AW793" s="69">
        <f>IF(tech_base!$T169&gt;AW$625,"",(1000*tech_proj!AW1133*(-PMT($J$110,tech_base!$F169,1))+1000*tech_proj!AW1413)/((1-tech_proj!AW573)*tech_proj!AW853*$L$110))</f>
        <v>105.03903375758594</v>
      </c>
      <c r="AX793" s="235">
        <f>IF(tech_base!$T169&gt;AX$625,"",(1000*tech_proj!AX1133*(-PMT($J$110,tech_base!$F169,1))+1000*tech_proj!AX1413)/((1-tech_proj!AX573)*tech_proj!AX853*$L$110))</f>
        <v>105.03903375758594</v>
      </c>
    </row>
    <row r="794" spans="1:50" x14ac:dyDescent="0.25">
      <c r="A794" s="356"/>
      <c r="B794" s="380"/>
      <c r="C794" s="381"/>
      <c r="D794" s="4" t="s">
        <v>8</v>
      </c>
      <c r="E794" s="168" t="str">
        <f>A765&amp;"/"&amp;B785&amp;"/"&amp;C793&amp;"/"&amp;D794</f>
        <v>Diesel oil fired power plants/Steam turbine/CHP with CCS/M</v>
      </c>
      <c r="F794" s="80" t="str">
        <f>A765</f>
        <v>Diesel oil fired power plants</v>
      </c>
      <c r="G794" s="80" t="str">
        <f>B785</f>
        <v>Steam turbine</v>
      </c>
      <c r="H794" s="80" t="str">
        <f>C793</f>
        <v>CHP with CCS</v>
      </c>
      <c r="I794" s="169" t="str">
        <f t="shared" si="364"/>
        <v>M</v>
      </c>
      <c r="J794" s="73" t="str">
        <f>IF(tech_base!$T170&gt;J$625,"",(1000*tech_proj!J1134*(-PMT($J$110,tech_base!$F170,1))+1000*tech_proj!J1414)/((1-tech_proj!J574)*tech_proj!J854*$L$110))</f>
        <v/>
      </c>
      <c r="K794" s="73" t="str">
        <f>IF(tech_base!$T170&gt;K$625,"",(1000*tech_proj!K1134*(-PMT($J$110,tech_base!$F170,1))+1000*tech_proj!K1414)/((1-tech_proj!K574)*tech_proj!K854*$L$110))</f>
        <v/>
      </c>
      <c r="L794" s="73" t="str">
        <f>IF(tech_base!$T170&gt;L$625,"",(1000*tech_proj!L1134*(-PMT($J$110,tech_base!$F170,1))+1000*tech_proj!L1414)/((1-tech_proj!L574)*tech_proj!L854*$L$110))</f>
        <v/>
      </c>
      <c r="M794" s="73" t="str">
        <f>IF(tech_base!$T170&gt;M$625,"",(1000*tech_proj!M1134*(-PMT($J$110,tech_base!$F170,1))+1000*tech_proj!M1414)/((1-tech_proj!M574)*tech_proj!M854*$L$110))</f>
        <v/>
      </c>
      <c r="N794" s="73" t="str">
        <f>IF(tech_base!$T170&gt;N$625,"",(1000*tech_proj!N1134*(-PMT($J$110,tech_base!$F170,1))+1000*tech_proj!N1414)/((1-tech_proj!N574)*tech_proj!N854*$L$110))</f>
        <v/>
      </c>
      <c r="O794" s="73" t="str">
        <f>IF(tech_base!$T170&gt;O$625,"",(1000*tech_proj!O1134*(-PMT($J$110,tech_base!$F170,1))+1000*tech_proj!O1414)/((1-tech_proj!O574)*tech_proj!O854*$L$110))</f>
        <v/>
      </c>
      <c r="P794" s="73" t="str">
        <f>IF(tech_base!$T170&gt;P$625,"",(1000*tech_proj!P1134*(-PMT($J$110,tech_base!$F170,1))+1000*tech_proj!P1414)/((1-tech_proj!P574)*tech_proj!P854*$L$110))</f>
        <v/>
      </c>
      <c r="Q794" s="73" t="str">
        <f>IF(tech_base!$T170&gt;Q$625,"",(1000*tech_proj!Q1134*(-PMT($J$110,tech_base!$F170,1))+1000*tech_proj!Q1414)/((1-tech_proj!Q574)*tech_proj!Q854*$L$110))</f>
        <v/>
      </c>
      <c r="R794" s="73" t="str">
        <f>IF(tech_base!$T170&gt;R$625,"",(1000*tech_proj!R1134*(-PMT($J$110,tech_base!$F170,1))+1000*tech_proj!R1414)/((1-tech_proj!R574)*tech_proj!R854*$L$110))</f>
        <v/>
      </c>
      <c r="S794" s="73" t="str">
        <f>IF(tech_base!$T170&gt;S$625,"",(1000*tech_proj!S1134*(-PMT($J$110,tech_base!$F170,1))+1000*tech_proj!S1414)/((1-tech_proj!S574)*tech_proj!S854*$L$110))</f>
        <v/>
      </c>
      <c r="T794" s="73" t="str">
        <f>IF(tech_base!$T170&gt;T$625,"",(1000*tech_proj!T1134*(-PMT($J$110,tech_base!$F170,1))+1000*tech_proj!T1414)/((1-tech_proj!T574)*tech_proj!T854*$L$110))</f>
        <v/>
      </c>
      <c r="U794" s="73" t="str">
        <f>IF(tech_base!$T170&gt;U$625,"",(1000*tech_proj!U1134*(-PMT($J$110,tech_base!$F170,1))+1000*tech_proj!U1414)/((1-tech_proj!U574)*tech_proj!U854*$L$110))</f>
        <v/>
      </c>
      <c r="V794" s="73" t="str">
        <f>IF(tech_base!$T170&gt;V$625,"",(1000*tech_proj!V1134*(-PMT($J$110,tech_base!$F170,1))+1000*tech_proj!V1414)/((1-tech_proj!V574)*tech_proj!V854*$L$110))</f>
        <v/>
      </c>
      <c r="W794" s="73" t="str">
        <f>IF(tech_base!$T170&gt;W$625,"",(1000*tech_proj!W1134*(-PMT($J$110,tech_base!$F170,1))+1000*tech_proj!W1414)/((1-tech_proj!W574)*tech_proj!W854*$L$110))</f>
        <v/>
      </c>
      <c r="X794" s="73" t="str">
        <f>IF(tech_base!$T170&gt;X$625,"",(1000*tech_proj!X1134*(-PMT($J$110,tech_base!$F170,1))+1000*tech_proj!X1414)/((1-tech_proj!X574)*tech_proj!X854*$L$110))</f>
        <v/>
      </c>
      <c r="Y794" s="73" t="str">
        <f>IF(tech_base!$T170&gt;Y$625,"",(1000*tech_proj!Y1134*(-PMT($J$110,tech_base!$F170,1))+1000*tech_proj!Y1414)/((1-tech_proj!Y574)*tech_proj!Y854*$L$110))</f>
        <v/>
      </c>
      <c r="Z794" s="73" t="str">
        <f>IF(tech_base!$T170&gt;Z$625,"",(1000*tech_proj!Z1134*(-PMT($J$110,tech_base!$F170,1))+1000*tech_proj!Z1414)/((1-tech_proj!Z574)*tech_proj!Z854*$L$110))</f>
        <v/>
      </c>
      <c r="AA794" s="73" t="str">
        <f>IF(tech_base!$T170&gt;AA$625,"",(1000*tech_proj!AA1134*(-PMT($J$110,tech_base!$F170,1))+1000*tech_proj!AA1414)/((1-tech_proj!AA574)*tech_proj!AA854*$L$110))</f>
        <v/>
      </c>
      <c r="AB794" s="73" t="str">
        <f>IF(tech_base!$T170&gt;AB$625,"",(1000*tech_proj!AB1134*(-PMT($J$110,tech_base!$F170,1))+1000*tech_proj!AB1414)/((1-tech_proj!AB574)*tech_proj!AB854*$L$110))</f>
        <v/>
      </c>
      <c r="AC794" s="73" t="str">
        <f>IF(tech_base!$T170&gt;AC$625,"",(1000*tech_proj!AC1134*(-PMT($J$110,tech_base!$F170,1))+1000*tech_proj!AC1414)/((1-tech_proj!AC574)*tech_proj!AC854*$L$110))</f>
        <v/>
      </c>
      <c r="AD794" s="73" t="str">
        <f>IF(tech_base!$T170&gt;AD$625,"",(1000*tech_proj!AD1134*(-PMT($J$110,tech_base!$F170,1))+1000*tech_proj!AD1414)/((1-tech_proj!AD574)*tech_proj!AD854*$L$110))</f>
        <v/>
      </c>
      <c r="AE794" s="73">
        <f>IF(tech_base!$T170&gt;AE$625,"",(1000*tech_proj!AE1134*(-PMT($J$110,tech_base!$F170,1))+1000*tech_proj!AE1414)/((1-tech_proj!AE574)*tech_proj!AE854*$L$110))</f>
        <v>130.57641943278304</v>
      </c>
      <c r="AF794" s="73">
        <f>IF(tech_base!$T170&gt;AF$625,"",(1000*tech_proj!AF1134*(-PMT($J$110,tech_base!$F170,1))+1000*tech_proj!AF1414)/((1-tech_proj!AF574)*tech_proj!AF854*$L$110))</f>
        <v>130.57641943278304</v>
      </c>
      <c r="AG794" s="73">
        <f>IF(tech_base!$T170&gt;AG$625,"",(1000*tech_proj!AG1134*(-PMT($J$110,tech_base!$F170,1))+1000*tech_proj!AG1414)/((1-tech_proj!AG574)*tech_proj!AG854*$L$110))</f>
        <v>130.57641943278304</v>
      </c>
      <c r="AH794" s="73">
        <f>IF(tech_base!$T170&gt;AH$625,"",(1000*tech_proj!AH1134*(-PMT($J$110,tech_base!$F170,1))+1000*tech_proj!AH1414)/((1-tech_proj!AH574)*tech_proj!AH854*$L$110))</f>
        <v>130.57641943278304</v>
      </c>
      <c r="AI794" s="73">
        <f>IF(tech_base!$T170&gt;AI$625,"",(1000*tech_proj!AI1134*(-PMT($J$110,tech_base!$F170,1))+1000*tech_proj!AI1414)/((1-tech_proj!AI574)*tech_proj!AI854*$L$110))</f>
        <v>130.57641943278304</v>
      </c>
      <c r="AJ794" s="73">
        <f>IF(tech_base!$T170&gt;AJ$625,"",(1000*tech_proj!AJ1134*(-PMT($J$110,tech_base!$F170,1))+1000*tech_proj!AJ1414)/((1-tech_proj!AJ574)*tech_proj!AJ854*$L$110))</f>
        <v>130.57641943278304</v>
      </c>
      <c r="AK794" s="73">
        <f>IF(tech_base!$T170&gt;AK$625,"",(1000*tech_proj!AK1134*(-PMT($J$110,tech_base!$F170,1))+1000*tech_proj!AK1414)/((1-tech_proj!AK574)*tech_proj!AK854*$L$110))</f>
        <v>130.57641943278304</v>
      </c>
      <c r="AL794" s="73">
        <f>IF(tech_base!$T170&gt;AL$625,"",(1000*tech_proj!AL1134*(-PMT($J$110,tech_base!$F170,1))+1000*tech_proj!AL1414)/((1-tech_proj!AL574)*tech_proj!AL854*$L$110))</f>
        <v>130.57641943278304</v>
      </c>
      <c r="AM794" s="73">
        <f>IF(tech_base!$T170&gt;AM$625,"",(1000*tech_proj!AM1134*(-PMT($J$110,tech_base!$F170,1))+1000*tech_proj!AM1414)/((1-tech_proj!AM574)*tech_proj!AM854*$L$110))</f>
        <v>130.57641943278304</v>
      </c>
      <c r="AN794" s="73">
        <f>IF(tech_base!$T170&gt;AN$625,"",(1000*tech_proj!AN1134*(-PMT($J$110,tech_base!$F170,1))+1000*tech_proj!AN1414)/((1-tech_proj!AN574)*tech_proj!AN854*$L$110))</f>
        <v>130.57641943278304</v>
      </c>
      <c r="AO794" s="73">
        <f>IF(tech_base!$T170&gt;AO$625,"",(1000*tech_proj!AO1134*(-PMT($J$110,tech_base!$F170,1))+1000*tech_proj!AO1414)/((1-tech_proj!AO574)*tech_proj!AO854*$L$110))</f>
        <v>130.57641943278304</v>
      </c>
      <c r="AP794" s="73">
        <f>IF(tech_base!$T170&gt;AP$625,"",(1000*tech_proj!AP1134*(-PMT($J$110,tech_base!$F170,1))+1000*tech_proj!AP1414)/((1-tech_proj!AP574)*tech_proj!AP854*$L$110))</f>
        <v>130.57641943278304</v>
      </c>
      <c r="AQ794" s="73">
        <f>IF(tech_base!$T170&gt;AQ$625,"",(1000*tech_proj!AQ1134*(-PMT($J$110,tech_base!$F170,1))+1000*tech_proj!AQ1414)/((1-tech_proj!AQ574)*tech_proj!AQ854*$L$110))</f>
        <v>130.57641943278304</v>
      </c>
      <c r="AR794" s="73">
        <f>IF(tech_base!$T170&gt;AR$625,"",(1000*tech_proj!AR1134*(-PMT($J$110,tech_base!$F170,1))+1000*tech_proj!AR1414)/((1-tech_proj!AR574)*tech_proj!AR854*$L$110))</f>
        <v>130.57641943278304</v>
      </c>
      <c r="AS794" s="73">
        <f>IF(tech_base!$T170&gt;AS$625,"",(1000*tech_proj!AS1134*(-PMT($J$110,tech_base!$F170,1))+1000*tech_proj!AS1414)/((1-tech_proj!AS574)*tech_proj!AS854*$L$110))</f>
        <v>130.57641943278304</v>
      </c>
      <c r="AT794" s="73">
        <f>IF(tech_base!$T170&gt;AT$625,"",(1000*tech_proj!AT1134*(-PMT($J$110,tech_base!$F170,1))+1000*tech_proj!AT1414)/((1-tech_proj!AT574)*tech_proj!AT854*$L$110))</f>
        <v>130.57641943278304</v>
      </c>
      <c r="AU794" s="73">
        <f>IF(tech_base!$T170&gt;AU$625,"",(1000*tech_proj!AU1134*(-PMT($J$110,tech_base!$F170,1))+1000*tech_proj!AU1414)/((1-tech_proj!AU574)*tech_proj!AU854*$L$110))</f>
        <v>130.57641943278304</v>
      </c>
      <c r="AV794" s="73">
        <f>IF(tech_base!$T170&gt;AV$625,"",(1000*tech_proj!AV1134*(-PMT($J$110,tech_base!$F170,1))+1000*tech_proj!AV1414)/((1-tech_proj!AV574)*tech_proj!AV854*$L$110))</f>
        <v>130.57641943278304</v>
      </c>
      <c r="AW794" s="73">
        <f>IF(tech_base!$T170&gt;AW$625,"",(1000*tech_proj!AW1134*(-PMT($J$110,tech_base!$F170,1))+1000*tech_proj!AW1414)/((1-tech_proj!AW574)*tech_proj!AW854*$L$110))</f>
        <v>130.57641943278304</v>
      </c>
      <c r="AX794" s="239">
        <f>IF(tech_base!$T170&gt;AX$625,"",(1000*tech_proj!AX1134*(-PMT($J$110,tech_base!$F170,1))+1000*tech_proj!AX1414)/((1-tech_proj!AX574)*tech_proj!AX854*$L$110))</f>
        <v>130.57641943278304</v>
      </c>
    </row>
    <row r="795" spans="1:50" x14ac:dyDescent="0.25">
      <c r="A795" s="356"/>
      <c r="B795" s="358" t="s">
        <v>25</v>
      </c>
      <c r="C795" s="353" t="s">
        <v>6</v>
      </c>
      <c r="D795" s="3" t="s">
        <v>10</v>
      </c>
      <c r="E795" s="162" t="str">
        <f>A765&amp;"/"&amp;B795&amp;"/"&amp;C795&amp;"/"&amp;D795</f>
        <v>Diesel oil fired power plants/Internal combustion engine/Electricity only/S</v>
      </c>
      <c r="F795" s="77" t="str">
        <f>A765</f>
        <v>Diesel oil fired power plants</v>
      </c>
      <c r="G795" s="77" t="str">
        <f>B795</f>
        <v>Internal combustion engine</v>
      </c>
      <c r="H795" s="77" t="str">
        <f>C795</f>
        <v>Electricity only</v>
      </c>
      <c r="I795" s="163" t="str">
        <f t="shared" si="364"/>
        <v>S</v>
      </c>
      <c r="J795" s="70">
        <f>IF(tech_base!$T171&gt;J$625,"",(1000*tech_proj!J1135*(-PMT($J$110,tech_base!$F171,1))+1000*tech_proj!J1415)/((1-tech_proj!J575)*tech_proj!J855*$L$110))</f>
        <v>14.546279350183704</v>
      </c>
      <c r="K795" s="70">
        <f>IF(tech_base!$T171&gt;K$625,"",(1000*tech_proj!K1135*(-PMT($J$110,tech_base!$F171,1))+1000*tech_proj!K1415)/((1-tech_proj!K575)*tech_proj!K855*$L$110))</f>
        <v>14.544819544756146</v>
      </c>
      <c r="L795" s="70">
        <f>IF(tech_base!$T171&gt;L$625,"",(1000*tech_proj!L1135*(-PMT($J$110,tech_base!$F171,1))+1000*tech_proj!L1415)/((1-tech_proj!L575)*tech_proj!L855*$L$110))</f>
        <v>14.543290884567762</v>
      </c>
      <c r="M795" s="70">
        <f>IF(tech_base!$T171&gt;M$625,"",(1000*tech_proj!M1135*(-PMT($J$110,tech_base!$F171,1))+1000*tech_proj!M1415)/((1-tech_proj!M575)*tech_proj!M855*$L$110))</f>
        <v>14.541690430446526</v>
      </c>
      <c r="N795" s="70">
        <f>IF(tech_base!$T171&gt;N$625,"",(1000*tech_proj!N1135*(-PMT($J$110,tech_base!$F171,1))+1000*tech_proj!N1415)/((1-tech_proj!N575)*tech_proj!N855*$L$110))</f>
        <v>14.54001514874078</v>
      </c>
      <c r="O795" s="70">
        <f>IF(tech_base!$T171&gt;O$625,"",(1000*tech_proj!O1135*(-PMT($J$110,tech_base!$F171,1))+1000*tech_proj!O1415)/((1-tech_proj!O575)*tech_proj!O855*$L$110))</f>
        <v>14.538261911499866</v>
      </c>
      <c r="P795" s="70">
        <f>IF(tech_base!$T171&gt;P$625,"",(1000*tech_proj!P1135*(-PMT($J$110,tech_base!$F171,1))+1000*tech_proj!P1415)/((1-tech_proj!P575)*tech_proj!P855*$L$110))</f>
        <v>14.53642749706435</v>
      </c>
      <c r="Q795" s="70">
        <f>IF(tech_base!$T171&gt;Q$625,"",(1000*tech_proj!Q1135*(-PMT($J$110,tech_base!$F171,1))+1000*tech_proj!Q1415)/((1-tech_proj!Q575)*tech_proj!Q855*$L$110))</f>
        <v>14.534508591111326</v>
      </c>
      <c r="R795" s="70">
        <f>IF(tech_base!$T171&gt;R$625,"",(1000*tech_proj!R1135*(-PMT($J$110,tech_base!$F171,1))+1000*tech_proj!R1415)/((1-tech_proj!R575)*tech_proj!R855*$L$110))</f>
        <v>14.53250178820298</v>
      </c>
      <c r="S795" s="70">
        <f>IF(tech_base!$T171&gt;S$625,"",(1000*tech_proj!S1135*(-PMT($J$110,tech_base!$F171,1))+1000*tech_proj!S1415)/((1-tech_proj!S575)*tech_proj!S855*$L$110))</f>
        <v>14.530403593889103</v>
      </c>
      <c r="T795" s="70">
        <f>IF(tech_base!$T171&gt;T$625,"",(1000*tech_proj!T1135*(-PMT($J$110,tech_base!$F171,1))+1000*tech_proj!T1415)/((1-tech_proj!T575)*tech_proj!T855*$L$110))</f>
        <v>14.52821042741682</v>
      </c>
      <c r="U795" s="70">
        <f>IF(tech_base!$T171&gt;U$625,"",(1000*tech_proj!U1135*(-PMT($J$110,tech_base!$F171,1))+1000*tech_proj!U1415)/((1-tech_proj!U575)*tech_proj!U855*$L$110))</f>
        <v>14.525918625102944</v>
      </c>
      <c r="V795" s="70">
        <f>IF(tech_base!$T171&gt;V$625,"",(1000*tech_proj!V1135*(-PMT($J$110,tech_base!$F171,1))+1000*tech_proj!V1415)/((1-tech_proj!V575)*tech_proj!V855*$L$110))</f>
        <v>14.523524444426538</v>
      </c>
      <c r="W795" s="70">
        <f>IF(tech_base!$T171&gt;W$625,"",(1000*tech_proj!W1135*(-PMT($J$110,tech_base!$F171,1))+1000*tech_proj!W1415)/((1-tech_proj!W575)*tech_proj!W855*$L$110))</f>
        <v>14.52102406890093</v>
      </c>
      <c r="X795" s="70">
        <f>IF(tech_base!$T171&gt;X$625,"",(1000*tech_proj!X1135*(-PMT($J$110,tech_base!$F171,1))+1000*tech_proj!X1415)/((1-tech_proj!X575)*tech_proj!X855*$L$110))</f>
        <v>14.518413613785755</v>
      </c>
      <c r="Y795" s="70">
        <f>IF(tech_base!$T171&gt;Y$625,"",(1000*tech_proj!Y1135*(-PMT($J$110,tech_base!$F171,1))+1000*tech_proj!Y1415)/((1-tech_proj!Y575)*tech_proj!Y855*$L$110))</f>
        <v>14.515689132700556</v>
      </c>
      <c r="Z795" s="70">
        <f>IF(tech_base!$T171&gt;Z$625,"",(1000*tech_proj!Z1135*(-PMT($J$110,tech_base!$F171,1))+1000*tech_proj!Z1415)/((1-tech_proj!Z575)*tech_proj!Z855*$L$110))</f>
        <v>14.512846625201686</v>
      </c>
      <c r="AA795" s="70">
        <f>IF(tech_base!$T171&gt;AA$625,"",(1000*tech_proj!AA1135*(-PMT($J$110,tech_base!$F171,1))+1000*tech_proj!AA1415)/((1-tech_proj!AA575)*tech_proj!AA855*$L$110))</f>
        <v>14.509882045383954</v>
      </c>
      <c r="AB795" s="70">
        <f>IF(tech_base!$T171&gt;AB$625,"",(1000*tech_proj!AB1135*(-PMT($J$110,tech_base!$F171,1))+1000*tech_proj!AB1415)/((1-tech_proj!AB575)*tech_proj!AB855*$L$110))</f>
        <v>14.506791311567314</v>
      </c>
      <c r="AC795" s="70">
        <f>IF(tech_base!$T171&gt;AC$625,"",(1000*tech_proj!AC1135*(-PMT($J$110,tech_base!$F171,1))+1000*tech_proj!AC1415)/((1-tech_proj!AC575)*tech_proj!AC855*$L$110))</f>
        <v>14.503570317126867</v>
      </c>
      <c r="AD795" s="70">
        <f>IF(tech_base!$T171&gt;AD$625,"",(1000*tech_proj!AD1135*(-PMT($J$110,tech_base!$F171,1))+1000*tech_proj!AD1415)/((1-tech_proj!AD575)*tech_proj!AD855*$L$110))</f>
        <v>14.500214942521382</v>
      </c>
      <c r="AE795" s="70">
        <f>IF(tech_base!$T171&gt;AE$625,"",(1000*tech_proj!AE1135*(-PMT($J$110,tech_base!$F171,1))+1000*tech_proj!AE1415)/((1-tech_proj!AE575)*tech_proj!AE855*$L$110))</f>
        <v>14.496721068571372</v>
      </c>
      <c r="AF795" s="70">
        <f>IF(tech_base!$T171&gt;AF$625,"",(1000*tech_proj!AF1135*(-PMT($J$110,tech_base!$F171,1))+1000*tech_proj!AF1415)/((1-tech_proj!AF575)*tech_proj!AF855*$L$110))</f>
        <v>14.493084591032414</v>
      </c>
      <c r="AG795" s="70">
        <f>IF(tech_base!$T171&gt;AG$625,"",(1000*tech_proj!AG1135*(-PMT($J$110,tech_base!$F171,1))+1000*tech_proj!AG1415)/((1-tech_proj!AG575)*tech_proj!AG855*$L$110))</f>
        <v>14.489301436502405</v>
      </c>
      <c r="AH795" s="70">
        <f>IF(tech_base!$T171&gt;AH$625,"",(1000*tech_proj!AH1135*(-PMT($J$110,tech_base!$F171,1))+1000*tech_proj!AH1415)/((1-tech_proj!AH575)*tech_proj!AH855*$L$110))</f>
        <v>14.485367579693273</v>
      </c>
      <c r="AI795" s="70">
        <f>IF(tech_base!$T171&gt;AI$625,"",(1000*tech_proj!AI1135*(-PMT($J$110,tech_base!$F171,1))+1000*tech_proj!AI1415)/((1-tech_proj!AI575)*tech_proj!AI855*$L$110))</f>
        <v>14.481279062087618</v>
      </c>
      <c r="AJ795" s="70">
        <f>IF(tech_base!$T171&gt;AJ$625,"",(1000*tech_proj!AJ1135*(-PMT($J$110,tech_base!$F171,1))+1000*tech_proj!AJ1415)/((1-tech_proj!AJ575)*tech_proj!AJ855*$L$110))</f>
        <v>14.477032011989124</v>
      </c>
      <c r="AK795" s="70">
        <f>IF(tech_base!$T171&gt;AK$625,"",(1000*tech_proj!AK1135*(-PMT($J$110,tech_base!$F171,1))+1000*tech_proj!AK1415)/((1-tech_proj!AK575)*tech_proj!AK855*$L$110))</f>
        <v>14.472622665962071</v>
      </c>
      <c r="AL795" s="70">
        <f>IF(tech_base!$T171&gt;AL$625,"",(1000*tech_proj!AL1135*(-PMT($J$110,tech_base!$F171,1))+1000*tech_proj!AL1415)/((1-tech_proj!AL575)*tech_proj!AL855*$L$110))</f>
        <v>14.468047391639972</v>
      </c>
      <c r="AM795" s="70">
        <f>IF(tech_base!$T171&gt;AM$625,"",(1000*tech_proj!AM1135*(-PMT($J$110,tech_base!$F171,1))+1000*tech_proj!AM1415)/((1-tech_proj!AM575)*tech_proj!AM855*$L$110))</f>
        <v>14.463302711866071</v>
      </c>
      <c r="AN795" s="70">
        <f>IF(tech_base!$T171&gt;AN$625,"",(1000*tech_proj!AN1135*(-PMT($J$110,tech_base!$F171,1))+1000*tech_proj!AN1415)/((1-tech_proj!AN575)*tech_proj!AN855*$L$110))</f>
        <v>14.458385330109325</v>
      </c>
      <c r="AO795" s="70">
        <f>IF(tech_base!$T171&gt;AO$625,"",(1000*tech_proj!AO1135*(-PMT($J$110,tech_base!$F171,1))+1000*tech_proj!AO1415)/((1-tech_proj!AO575)*tech_proj!AO855*$L$110))</f>
        <v>14.453292157078463</v>
      </c>
      <c r="AP795" s="70">
        <f>IF(tech_base!$T171&gt;AP$625,"",(1000*tech_proj!AP1135*(-PMT($J$110,tech_base!$F171,1))+1000*tech_proj!AP1415)/((1-tech_proj!AP575)*tech_proj!AP855*$L$110))</f>
        <v>14.448020338433992</v>
      </c>
      <c r="AQ795" s="70">
        <f>IF(tech_base!$T171&gt;AQ$625,"",(1000*tech_proj!AQ1135*(-PMT($J$110,tech_base!$F171,1))+1000*tech_proj!AQ1415)/((1-tech_proj!AQ575)*tech_proj!AQ855*$L$110))</f>
        <v>14.442567283473615</v>
      </c>
      <c r="AR795" s="70">
        <f>IF(tech_base!$T171&gt;AR$625,"",(1000*tech_proj!AR1135*(-PMT($J$110,tech_base!$F171,1))+1000*tech_proj!AR1415)/((1-tech_proj!AR575)*tech_proj!AR855*$L$110))</f>
        <v>14.436930694640715</v>
      </c>
      <c r="AS795" s="70">
        <f>IF(tech_base!$T171&gt;AS$625,"",(1000*tech_proj!AS1135*(-PMT($J$110,tech_base!$F171,1))+1000*tech_proj!AS1415)/((1-tech_proj!AS575)*tech_proj!AS855*$L$110))</f>
        <v>14.431108597678673</v>
      </c>
      <c r="AT795" s="70">
        <f>IF(tech_base!$T171&gt;AT$625,"",(1000*tech_proj!AT1135*(-PMT($J$110,tech_base!$F171,1))+1000*tech_proj!AT1415)/((1-tech_proj!AT575)*tech_proj!AT855*$L$110))</f>
        <v>14.425099372226052</v>
      </c>
      <c r="AU795" s="70">
        <f>IF(tech_base!$T171&gt;AU$625,"",(1000*tech_proj!AU1135*(-PMT($J$110,tech_base!$F171,1))+1000*tech_proj!AU1415)/((1-tech_proj!AU575)*tech_proj!AU855*$L$110))</f>
        <v>14.418901782619525</v>
      </c>
      <c r="AV795" s="70">
        <f>IF(tech_base!$T171&gt;AV$625,"",(1000*tech_proj!AV1135*(-PMT($J$110,tech_base!$F171,1))+1000*tech_proj!AV1415)/((1-tech_proj!AV575)*tech_proj!AV855*$L$110))</f>
        <v>14.412515008643512</v>
      </c>
      <c r="AW795" s="70">
        <f>IF(tech_base!$T171&gt;AW$625,"",(1000*tech_proj!AW1135*(-PMT($J$110,tech_base!$F171,1))+1000*tech_proj!AW1415)/((1-tech_proj!AW575)*tech_proj!AW855*$L$110))</f>
        <v>14.405938675938097</v>
      </c>
      <c r="AX795" s="236">
        <f>IF(tech_base!$T171&gt;AX$625,"",(1000*tech_proj!AX1135*(-PMT($J$110,tech_base!$F171,1))+1000*tech_proj!AX1415)/((1-tech_proj!AX575)*tech_proj!AX855*$L$110))</f>
        <v>14.399172885750898</v>
      </c>
    </row>
    <row r="796" spans="1:50" x14ac:dyDescent="0.25">
      <c r="A796" s="356"/>
      <c r="B796" s="376"/>
      <c r="C796" s="379"/>
      <c r="D796" s="59" t="s">
        <v>20</v>
      </c>
      <c r="E796" s="160" t="str">
        <f>A765&amp;"/"&amp;B795&amp;"/"&amp;C795&amp;"/"&amp;D796</f>
        <v>Diesel oil fired power plants/Internal combustion engine/Electricity only/XS</v>
      </c>
      <c r="F796" s="76" t="str">
        <f>A765</f>
        <v>Diesel oil fired power plants</v>
      </c>
      <c r="G796" s="76" t="str">
        <f>B795</f>
        <v>Internal combustion engine</v>
      </c>
      <c r="H796" s="76" t="str">
        <f>C795</f>
        <v>Electricity only</v>
      </c>
      <c r="I796" s="161" t="str">
        <f t="shared" si="364"/>
        <v>XS</v>
      </c>
      <c r="J796" s="69">
        <f>IF(tech_base!$T172&gt;J$625,"",(1000*tech_proj!J1136*(-PMT($J$110,tech_base!$F172,1))+1000*tech_proj!J1416)/((1-tech_proj!J576)*tech_proj!J856*$L$110))</f>
        <v>13.473291231158639</v>
      </c>
      <c r="K796" s="69">
        <f>IF(tech_base!$T172&gt;K$625,"",(1000*tech_proj!K1136*(-PMT($J$110,tech_base!$F172,1))+1000*tech_proj!K1416)/((1-tech_proj!K576)*tech_proj!K856*$L$110))</f>
        <v>13.472229472832074</v>
      </c>
      <c r="L796" s="69">
        <f>IF(tech_base!$T172&gt;L$625,"",(1000*tech_proj!L1136*(-PMT($J$110,tech_base!$F172,1))+1000*tech_proj!L1416)/((1-tech_proj!L576)*tech_proj!L856*$L$110))</f>
        <v>13.471116700100952</v>
      </c>
      <c r="M796" s="69">
        <f>IF(tech_base!$T172&gt;M$625,"",(1000*tech_proj!M1136*(-PMT($J$110,tech_base!$F172,1))+1000*tech_proj!M1416)/((1-tech_proj!M576)*tech_proj!M856*$L$110))</f>
        <v>13.469950639900235</v>
      </c>
      <c r="N796" s="69">
        <f>IF(tech_base!$T172&gt;N$625,"",(1000*tech_proj!N1136*(-PMT($J$110,tech_base!$F172,1))+1000*tech_proj!N1416)/((1-tech_proj!N576)*tech_proj!N856*$L$110))</f>
        <v>13.468728935936774</v>
      </c>
      <c r="O796" s="69">
        <f>IF(tech_base!$T172&gt;O$625,"",(1000*tech_proj!O1136*(-PMT($J$110,tech_base!$F172,1))+1000*tech_proj!O1416)/((1-tech_proj!O576)*tech_proj!O856*$L$110))</f>
        <v>13.467449147514767</v>
      </c>
      <c r="P796" s="69">
        <f>IF(tech_base!$T172&gt;P$625,"",(1000*tech_proj!P1136*(-PMT($J$110,tech_base!$F172,1))+1000*tech_proj!P1416)/((1-tech_proj!P576)*tech_proj!P856*$L$110))</f>
        <v>13.466108748565405</v>
      </c>
      <c r="Q796" s="69">
        <f>IF(tech_base!$T172&gt;Q$625,"",(1000*tech_proj!Q1136*(-PMT($J$110,tech_base!$F172,1))+1000*tech_proj!Q1416)/((1-tech_proj!Q576)*tech_proj!Q856*$L$110))</f>
        <v>13.464705126910246</v>
      </c>
      <c r="R796" s="69">
        <f>IF(tech_base!$T172&gt;R$625,"",(1000*tech_proj!R1136*(-PMT($J$110,tech_base!$F172,1))+1000*tech_proj!R1416)/((1-tech_proj!R576)*tech_proj!R856*$L$110))</f>
        <v>13.463235583790247</v>
      </c>
      <c r="S796" s="69">
        <f>IF(tech_base!$T172&gt;S$625,"",(1000*tech_proj!S1136*(-PMT($J$110,tech_base!$F172,1))+1000*tech_proj!S1416)/((1-tech_proj!S576)*tech_proj!S856*$L$110))</f>
        <v>13.461697333694806</v>
      </c>
      <c r="T796" s="69">
        <f>IF(tech_base!$T172&gt;T$625,"",(1000*tech_proj!T1136*(-PMT($J$110,tech_base!$F172,1))+1000*tech_proj!T1416)/((1-tech_proj!T576)*tech_proj!T856*$L$110))</f>
        <v>13.460087504527623</v>
      </c>
      <c r="U796" s="69">
        <f>IF(tech_base!$T172&gt;U$625,"",(1000*tech_proj!U1136*(-PMT($J$110,tech_base!$F172,1))+1000*tech_proj!U1416)/((1-tech_proj!U576)*tech_proj!U856*$L$110))</f>
        <v>13.458403138148626</v>
      </c>
      <c r="V796" s="69">
        <f>IF(tech_base!$T172&gt;V$625,"",(1000*tech_proj!V1136*(-PMT($J$110,tech_base!$F172,1))+1000*tech_proj!V1416)/((1-tech_proj!V576)*tech_proj!V856*$L$110))</f>
        <v>13.456641191333798</v>
      </c>
      <c r="W796" s="69">
        <f>IF(tech_base!$T172&gt;W$625,"",(1000*tech_proj!W1136*(-PMT($J$110,tech_base!$F172,1))+1000*tech_proj!W1416)/((1-tech_proj!W576)*tech_proj!W856*$L$110))</f>
        <v>13.45479853719706</v>
      </c>
      <c r="X796" s="69">
        <f>IF(tech_base!$T172&gt;X$625,"",(1000*tech_proj!X1136*(-PMT($J$110,tech_base!$F172,1))+1000*tech_proj!X1416)/((1-tech_proj!X576)*tech_proj!X856*$L$110))</f>
        <v>13.452871967120817</v>
      </c>
      <c r="Y796" s="69">
        <f>IF(tech_base!$T172&gt;Y$625,"",(1000*tech_proj!Y1136*(-PMT($J$110,tech_base!$F172,1))+1000*tech_proj!Y1416)/((1-tech_proj!Y576)*tech_proj!Y856*$L$110))</f>
        <v>13.450858193244022</v>
      </c>
      <c r="Z796" s="69">
        <f>IF(tech_base!$T172&gt;Z$625,"",(1000*tech_proj!Z1136*(-PMT($J$110,tech_base!$F172,1))+1000*tech_proj!Z1416)/((1-tech_proj!Z576)*tech_proj!Z856*$L$110))</f>
        <v>13.448753851558704</v>
      </c>
      <c r="AA796" s="69">
        <f>IF(tech_base!$T172&gt;AA$625,"",(1000*tech_proj!AA1136*(-PMT($J$110,tech_base!$F172,1))+1000*tech_proj!AA1416)/((1-tech_proj!AA576)*tech_proj!AA856*$L$110))</f>
        <v>13.446555505667773</v>
      </c>
      <c r="AB796" s="69">
        <f>IF(tech_base!$T172&gt;AB$625,"",(1000*tech_proj!AB1136*(-PMT($J$110,tech_base!$F172,1))+1000*tech_proj!AB1416)/((1-tech_proj!AB576)*tech_proj!AB856*$L$110))</f>
        <v>13.444259651258507</v>
      </c>
      <c r="AC796" s="69">
        <f>IF(tech_base!$T172&gt;AC$625,"",(1000*tech_proj!AC1136*(-PMT($J$110,tech_base!$F172,1))+1000*tech_proj!AC1416)/((1-tech_proj!AC576)*tech_proj!AC856*$L$110))</f>
        <v>13.441862721347382</v>
      </c>
      <c r="AD796" s="69">
        <f>IF(tech_base!$T172&gt;AD$625,"",(1000*tech_proj!AD1136*(-PMT($J$110,tech_base!$F172,1))+1000*tech_proj!AD1416)/((1-tech_proj!AD576)*tech_proj!AD856*$L$110))</f>
        <v>13.439361092352719</v>
      </c>
      <c r="AE796" s="69">
        <f>IF(tech_base!$T172&gt;AE$625,"",(1000*tech_proj!AE1136*(-PMT($J$110,tech_base!$F172,1))+1000*tech_proj!AE1416)/((1-tech_proj!AE576)*tech_proj!AE856*$L$110))</f>
        <v>13.436751091051786</v>
      </c>
      <c r="AF796" s="69">
        <f>IF(tech_base!$T172&gt;AF$625,"",(1000*tech_proj!AF1136*(-PMT($J$110,tech_base!$F172,1))+1000*tech_proj!AF1416)/((1-tech_proj!AF576)*tech_proj!AF856*$L$110))</f>
        <v>13.434029002478905</v>
      </c>
      <c r="AG796" s="69">
        <f>IF(tech_base!$T172&gt;AG$625,"",(1000*tech_proj!AG1136*(-PMT($J$110,tech_base!$F172,1))+1000*tech_proj!AG1416)/((1-tech_proj!AG576)*tech_proj!AG856*$L$110))</f>
        <v>13.431191078819788</v>
      </c>
      <c r="AH796" s="69">
        <f>IF(tech_base!$T172&gt;AH$625,"",(1000*tech_proj!AH1136*(-PMT($J$110,tech_base!$F172,1))+1000*tech_proj!AH1416)/((1-tech_proj!AH576)*tech_proj!AH856*$L$110))</f>
        <v>13.42823354935568</v>
      </c>
      <c r="AI796" s="69">
        <f>IF(tech_base!$T172&gt;AI$625,"",(1000*tech_proj!AI1136*(-PMT($J$110,tech_base!$F172,1))+1000*tech_proj!AI1416)/((1-tech_proj!AI576)*tech_proj!AI856*$L$110))</f>
        <v>13.425152631508</v>
      </c>
      <c r="AJ796" s="69">
        <f>IF(tech_base!$T172&gt;AJ$625,"",(1000*tech_proj!AJ1136*(-PMT($J$110,tech_base!$F172,1))+1000*tech_proj!AJ1416)/((1-tech_proj!AJ576)*tech_proj!AJ856*$L$110))</f>
        <v>13.421944543030328</v>
      </c>
      <c r="AK796" s="69">
        <f>IF(tech_base!$T172&gt;AK$625,"",(1000*tech_proj!AK1136*(-PMT($J$110,tech_base!$F172,1))+1000*tech_proj!AK1416)/((1-tech_proj!AK576)*tech_proj!AK856*$L$110))</f>
        <v>13.418605515389675</v>
      </c>
      <c r="AL796" s="69">
        <f>IF(tech_base!$T172&gt;AL$625,"",(1000*tech_proj!AL1136*(-PMT($J$110,tech_base!$F172,1))+1000*tech_proj!AL1416)/((1-tech_proj!AL576)*tech_proj!AL856*$L$110))</f>
        <v>13.415131808372589</v>
      </c>
      <c r="AM796" s="69">
        <f>IF(tech_base!$T172&gt;AM$625,"",(1000*tech_proj!AM1136*(-PMT($J$110,tech_base!$F172,1))+1000*tech_proj!AM1416)/((1-tech_proj!AM576)*tech_proj!AM856*$L$110))</f>
        <v>13.4115197259441</v>
      </c>
      <c r="AN796" s="69">
        <f>IF(tech_base!$T172&gt;AN$625,"",(1000*tech_proj!AN1136*(-PMT($J$110,tech_base!$F172,1))+1000*tech_proj!AN1416)/((1-tech_proj!AN576)*tech_proj!AN856*$L$110))</f>
        <v>13.407765633378338</v>
      </c>
      <c r="AO796" s="69">
        <f>IF(tech_base!$T172&gt;AO$625,"",(1000*tech_proj!AO1136*(-PMT($J$110,tech_base!$F172,1))+1000*tech_proj!AO1416)/((1-tech_proj!AO576)*tech_proj!AO856*$L$110))</f>
        <v>13.403865975668868</v>
      </c>
      <c r="AP796" s="69">
        <f>IF(tech_base!$T172&gt;AP$625,"",(1000*tech_proj!AP1136*(-PMT($J$110,tech_base!$F172,1))+1000*tech_proj!AP1416)/((1-tech_proj!AP576)*tech_proj!AP856*$L$110))</f>
        <v>13.399817297214566</v>
      </c>
      <c r="AQ796" s="69">
        <f>IF(tech_base!$T172&gt;AQ$625,"",(1000*tech_proj!AQ1136*(-PMT($J$110,tech_base!$F172,1))+1000*tech_proj!AQ1416)/((1-tech_proj!AQ576)*tech_proj!AQ856*$L$110))</f>
        <v>13.395616262762573</v>
      </c>
      <c r="AR796" s="69">
        <f>IF(tech_base!$T172&gt;AR$625,"",(1000*tech_proj!AR1136*(-PMT($J$110,tech_base!$F172,1))+1000*tech_proj!AR1416)/((1-tech_proj!AR576)*tech_proj!AR856*$L$110))</f>
        <v>13.391259679574206</v>
      </c>
      <c r="AS796" s="69">
        <f>IF(tech_base!$T172&gt;AS$625,"",(1000*tech_proj!AS1136*(-PMT($J$110,tech_base!$F172,1))+1000*tech_proj!AS1416)/((1-tech_proj!AS576)*tech_proj!AS856*$L$110))</f>
        <v>13.386744520762001</v>
      </c>
      <c r="AT796" s="69">
        <f>IF(tech_base!$T172&gt;AT$625,"",(1000*tech_proj!AT1136*(-PMT($J$110,tech_base!$F172,1))+1000*tech_proj!AT1416)/((1-tech_proj!AT576)*tech_proj!AT856*$L$110))</f>
        <v>13.382067949726849</v>
      </c>
      <c r="AU796" s="69">
        <f>IF(tech_base!$T172&gt;AU$625,"",(1000*tech_proj!AU1136*(-PMT($J$110,tech_base!$F172,1))+1000*tech_proj!AU1416)/((1-tech_proj!AU576)*tech_proj!AU856*$L$110))</f>
        <v>13.37722734560327</v>
      </c>
      <c r="AV796" s="69">
        <f>IF(tech_base!$T172&gt;AV$625,"",(1000*tech_proj!AV1136*(-PMT($J$110,tech_base!$F172,1))+1000*tech_proj!AV1416)/((1-tech_proj!AV576)*tech_proj!AV856*$L$110))</f>
        <v>13.372220329598457</v>
      </c>
      <c r="AW796" s="69">
        <f>IF(tech_base!$T172&gt;AW$625,"",(1000*tech_proj!AW1136*(-PMT($J$110,tech_base!$F172,1))+1000*tech_proj!AW1416)/((1-tech_proj!AW576)*tech_proj!AW856*$L$110))</f>
        <v>13.36704479208711</v>
      </c>
      <c r="AX796" s="235">
        <f>IF(tech_base!$T172&gt;AX$625,"",(1000*tech_proj!AX1136*(-PMT($J$110,tech_base!$F172,1))+1000*tech_proj!AX1416)/((1-tech_proj!AX576)*tech_proj!AX856*$L$110))</f>
        <v>13.361698920299217</v>
      </c>
    </row>
    <row r="797" spans="1:50" x14ac:dyDescent="0.25">
      <c r="A797" s="356"/>
      <c r="B797" s="376"/>
      <c r="C797" s="350" t="s">
        <v>14</v>
      </c>
      <c r="D797" s="2" t="s">
        <v>10</v>
      </c>
      <c r="E797" s="164" t="str">
        <f>A765&amp;"/"&amp;B795&amp;"/"&amp;C797&amp;"/"&amp;D797</f>
        <v>Diesel oil fired power plants/Internal combustion engine/CHP/S</v>
      </c>
      <c r="F797" s="78" t="str">
        <f>A765</f>
        <v>Diesel oil fired power plants</v>
      </c>
      <c r="G797" s="78" t="str">
        <f>B795</f>
        <v>Internal combustion engine</v>
      </c>
      <c r="H797" s="78" t="str">
        <f>C797</f>
        <v>CHP</v>
      </c>
      <c r="I797" s="165" t="str">
        <f t="shared" si="364"/>
        <v>S</v>
      </c>
      <c r="J797" s="71">
        <f>IF(tech_base!$T173&gt;J$625,"",(1000*tech_proj!J1137*(-PMT($J$110,tech_base!$F173,1))+1000*tech_proj!J1417)/((1-tech_proj!J577)*tech_proj!J857*$L$110))</f>
        <v>18.447264906583516</v>
      </c>
      <c r="K797" s="71">
        <f>IF(tech_base!$T173&gt;K$625,"",(1000*tech_proj!K1137*(-PMT($J$110,tech_base!$F173,1))+1000*tech_proj!K1417)/((1-tech_proj!K577)*tech_proj!K857*$L$110))</f>
        <v>18.446125388958265</v>
      </c>
      <c r="L797" s="71">
        <f>IF(tech_base!$T173&gt;L$625,"",(1000*tech_proj!L1137*(-PMT($J$110,tech_base!$F173,1))+1000*tech_proj!L1417)/((1-tech_proj!L577)*tech_proj!L857*$L$110))</f>
        <v>18.444930327683135</v>
      </c>
      <c r="M797" s="71">
        <f>IF(tech_base!$T173&gt;M$625,"",(1000*tech_proj!M1137*(-PMT($J$110,tech_base!$F173,1))+1000*tech_proj!M1417)/((1-tech_proj!M577)*tech_proj!M857*$L$110))</f>
        <v>18.443677166377434</v>
      </c>
      <c r="N797" s="71">
        <f>IF(tech_base!$T173&gt;N$625,"",(1000*tech_proj!N1137*(-PMT($J$110,tech_base!$F173,1))+1000*tech_proj!N1417)/((1-tech_proj!N577)*tech_proj!N857*$L$110))</f>
        <v>18.442363246434489</v>
      </c>
      <c r="O797" s="71">
        <f>IF(tech_base!$T173&gt;O$625,"",(1000*tech_proj!O1137*(-PMT($J$110,tech_base!$F173,1))+1000*tech_proj!O1417)/((1-tech_proj!O577)*tech_proj!O857*$L$110))</f>
        <v>18.440985804535867</v>
      </c>
      <c r="P797" s="71">
        <f>IF(tech_base!$T173&gt;P$625,"",(1000*tech_proj!P1137*(-PMT($J$110,tech_base!$F173,1))+1000*tech_proj!P1417)/((1-tech_proj!P577)*tech_proj!P857*$L$110))</f>
        <v>18.439541970285905</v>
      </c>
      <c r="Q797" s="71">
        <f>IF(tech_base!$T173&gt;Q$625,"",(1000*tech_proj!Q1137*(-PMT($J$110,tech_base!$F173,1))+1000*tech_proj!Q1417)/((1-tech_proj!Q577)*tech_proj!Q857*$L$110))</f>
        <v>18.438028763992694</v>
      </c>
      <c r="R797" s="71">
        <f>IF(tech_base!$T173&gt;R$625,"",(1000*tech_proj!R1137*(-PMT($J$110,tech_base!$F173,1))+1000*tech_proj!R1417)/((1-tech_proj!R577)*tech_proj!R857*$L$110))</f>
        <v>18.436443094624078</v>
      </c>
      <c r="S797" s="71">
        <f>IF(tech_base!$T173&gt;S$625,"",(1000*tech_proj!S1137*(-PMT($J$110,tech_base!$F173,1))+1000*tech_proj!S1417)/((1-tech_proj!S577)*tech_proj!S857*$L$110))</f>
        <v>18.43478175796994</v>
      </c>
      <c r="T797" s="71">
        <f>IF(tech_base!$T173&gt;T$625,"",(1000*tech_proj!T1137*(-PMT($J$110,tech_base!$F173,1))+1000*tech_proj!T1417)/((1-tech_proj!T577)*tech_proj!T857*$L$110))</f>
        <v>18.433041435045062</v>
      </c>
      <c r="U797" s="71">
        <f>IF(tech_base!$T173&gt;U$625,"",(1000*tech_proj!U1137*(-PMT($J$110,tech_base!$F173,1))+1000*tech_proj!U1417)/((1-tech_proj!U577)*tech_proj!U857*$L$110))</f>
        <v>18.431218690769569</v>
      </c>
      <c r="V797" s="71">
        <f>IF(tech_base!$T173&gt;V$625,"",(1000*tech_proj!V1137*(-PMT($J$110,tech_base!$F173,1))+1000*tech_proj!V1417)/((1-tech_proj!V577)*tech_proj!V857*$L$110))</f>
        <v>18.429309972967225</v>
      </c>
      <c r="W797" s="71">
        <f>IF(tech_base!$T173&gt;W$625,"",(1000*tech_proj!W1137*(-PMT($J$110,tech_base!$F173,1))+1000*tech_proj!W1417)/((1-tech_proj!W577)*tech_proj!W857*$L$110))</f>
        <v>18.427311611724967</v>
      </c>
      <c r="X797" s="71">
        <f>IF(tech_base!$T173&gt;X$625,"",(1000*tech_proj!X1137*(-PMT($J$110,tech_base!$F173,1))+1000*tech_proj!X1417)/((1-tech_proj!X577)*tech_proj!X857*$L$110))</f>
        <v>18.425219819160464</v>
      </c>
      <c r="Y797" s="71">
        <f>IF(tech_base!$T173&gt;Y$625,"",(1000*tech_proj!Y1137*(-PMT($J$110,tech_base!$F173,1))+1000*tech_proj!Y1417)/((1-tech_proj!Y577)*tech_proj!Y857*$L$110))</f>
        <v>18.423030689647643</v>
      </c>
      <c r="Z797" s="71">
        <f>IF(tech_base!$T173&gt;Z$625,"",(1000*tech_proj!Z1137*(-PMT($J$110,tech_base!$F173,1))+1000*tech_proj!Z1417)/((1-tech_proj!Z577)*tech_proj!Z857*$L$110))</f>
        <v>18.420740200553617</v>
      </c>
      <c r="AA797" s="71">
        <f>IF(tech_base!$T173&gt;AA$625,"",(1000*tech_proj!AA1137*(-PMT($J$110,tech_base!$F173,1))+1000*tech_proj!AA1417)/((1-tech_proj!AA577)*tech_proj!AA857*$L$110))</f>
        <v>18.41834421354395</v>
      </c>
      <c r="AB797" s="71">
        <f>IF(tech_base!$T173&gt;AB$625,"",(1000*tech_proj!AB1137*(-PMT($J$110,tech_base!$F173,1))+1000*tech_proj!AB1417)/((1-tech_proj!AB577)*tech_proj!AB857*$L$110))</f>
        <v>18.415838476516139</v>
      </c>
      <c r="AC797" s="71">
        <f>IF(tech_base!$T173&gt;AC$625,"",(1000*tech_proj!AC1137*(-PMT($J$110,tech_base!$F173,1))+1000*tech_proj!AC1417)/((1-tech_proj!AC577)*tech_proj!AC857*$L$110))</f>
        <v>18.41321862622495</v>
      </c>
      <c r="AD797" s="71">
        <f>IF(tech_base!$T173&gt;AD$625,"",(1000*tech_proj!AD1137*(-PMT($J$110,tech_base!$F173,1))+1000*tech_proj!AD1417)/((1-tech_proj!AD577)*tech_proj!AD857*$L$110))</f>
        <v>18.410480191665734</v>
      </c>
      <c r="AE797" s="71">
        <f>IF(tech_base!$T173&gt;AE$625,"",(1000*tech_proj!AE1137*(-PMT($J$110,tech_base!$F173,1))+1000*tech_proj!AE1417)/((1-tech_proj!AE577)*tech_proj!AE857*$L$110))</f>
        <v>18.407618598285332</v>
      </c>
      <c r="AF797" s="71">
        <f>IF(tech_base!$T173&gt;AF$625,"",(1000*tech_proj!AF1137*(-PMT($J$110,tech_base!$F173,1))+1000*tech_proj!AF1417)/((1-tech_proj!AF577)*tech_proj!AF857*$L$110))</f>
        <v>18.404629173092069</v>
      </c>
      <c r="AG797" s="71">
        <f>IF(tech_base!$T173&gt;AG$625,"",(1000*tech_proj!AG1137*(-PMT($J$110,tech_base!$F173,1))+1000*tech_proj!AG1417)/((1-tech_proj!AG577)*tech_proj!AG857*$L$110))</f>
        <v>18.401507150739061</v>
      </c>
      <c r="AH797" s="71">
        <f>IF(tech_base!$T173&gt;AH$625,"",(1000*tech_proj!AH1137*(-PMT($J$110,tech_base!$F173,1))+1000*tech_proj!AH1417)/((1-tech_proj!AH577)*tech_proj!AH857*$L$110))</f>
        <v>18.398247680656418</v>
      </c>
      <c r="AI797" s="71">
        <f>IF(tech_base!$T173&gt;AI$625,"",(1000*tech_proj!AI1137*(-PMT($J$110,tech_base!$F173,1))+1000*tech_proj!AI1417)/((1-tech_proj!AI577)*tech_proj!AI857*$L$110))</f>
        <v>18.394845835309102</v>
      </c>
      <c r="AJ797" s="71">
        <f>IF(tech_base!$T173&gt;AJ$625,"",(1000*tech_proj!AJ1137*(-PMT($J$110,tech_base!$F173,1))+1000*tech_proj!AJ1417)/((1-tech_proj!AJ577)*tech_proj!AJ857*$L$110))</f>
        <v>18.391296619657624</v>
      </c>
      <c r="AK797" s="71">
        <f>IF(tech_base!$T173&gt;AK$625,"",(1000*tech_proj!AK1137*(-PMT($J$110,tech_base!$F173,1))+1000*tech_proj!AK1417)/((1-tech_proj!AK577)*tech_proj!AK857*$L$110))</f>
        <v>18.387594981898232</v>
      </c>
      <c r="AL797" s="71">
        <f>IF(tech_base!$T173&gt;AL$625,"",(1000*tech_proj!AL1137*(-PMT($J$110,tech_base!$F173,1))+1000*tech_proj!AL1417)/((1-tech_proj!AL577)*tech_proj!AL857*$L$110))</f>
        <v>18.383735825557952</v>
      </c>
      <c r="AM797" s="71">
        <f>IF(tech_base!$T173&gt;AM$625,"",(1000*tech_proj!AM1137*(-PMT($J$110,tech_base!$F173,1))+1000*tech_proj!AM1417)/((1-tech_proj!AM577)*tech_proj!AM857*$L$110))</f>
        <v>18.379714023017097</v>
      </c>
      <c r="AN797" s="71">
        <f>IF(tech_base!$T173&gt;AN$625,"",(1000*tech_proj!AN1137*(-PMT($J$110,tech_base!$F173,1))+1000*tech_proj!AN1417)/((1-tech_proj!AN577)*tech_proj!AN857*$L$110))</f>
        <v>18.375524430528387</v>
      </c>
      <c r="AO797" s="71">
        <f>IF(tech_base!$T173&gt;AO$625,"",(1000*tech_proj!AO1137*(-PMT($J$110,tech_base!$F173,1))+1000*tech_proj!AO1417)/((1-tech_proj!AO577)*tech_proj!AO857*$L$110))</f>
        <v>18.371161904796228</v>
      </c>
      <c r="AP797" s="71">
        <f>IF(tech_base!$T173&gt;AP$625,"",(1000*tech_proj!AP1137*(-PMT($J$110,tech_base!$F173,1))+1000*tech_proj!AP1417)/((1-tech_proj!AP577)*tech_proj!AP857*$L$110))</f>
        <v>18.366621321173266</v>
      </c>
      <c r="AQ797" s="71">
        <f>IF(tech_base!$T173&gt;AQ$625,"",(1000*tech_proj!AQ1137*(-PMT($J$110,tech_base!$F173,1))+1000*tech_proj!AQ1417)/((1-tech_proj!AQ577)*tech_proj!AQ857*$L$110))</f>
        <v>18.361897593522517</v>
      </c>
      <c r="AR797" s="71">
        <f>IF(tech_base!$T173&gt;AR$625,"",(1000*tech_proj!AR1137*(-PMT($J$110,tech_base!$F173,1))+1000*tech_proj!AR1417)/((1-tech_proj!AR577)*tech_proj!AR857*$L$110))</f>
        <v>18.356985695783223</v>
      </c>
      <c r="AS797" s="71">
        <f>IF(tech_base!$T173&gt;AS$625,"",(1000*tech_proj!AS1137*(-PMT($J$110,tech_base!$F173,1))+1000*tech_proj!AS1417)/((1-tech_proj!AS577)*tech_proj!AS857*$L$110))</f>
        <v>18.35188068526589</v>
      </c>
      <c r="AT797" s="71">
        <f>IF(tech_base!$T173&gt;AT$625,"",(1000*tech_proj!AT1137*(-PMT($J$110,tech_base!$F173,1))+1000*tech_proj!AT1417)/((1-tech_proj!AT577)*tech_proj!AT857*$L$110))</f>
        <v>18.346577727687698</v>
      </c>
      <c r="AU797" s="71">
        <f>IF(tech_base!$T173&gt;AU$625,"",(1000*tech_proj!AU1137*(-PMT($J$110,tech_base!$F173,1))+1000*tech_proj!AU1417)/((1-tech_proj!AU577)*tech_proj!AU857*$L$110))</f>
        <v>18.341072123942336</v>
      </c>
      <c r="AV797" s="71">
        <f>IF(tech_base!$T173&gt;AV$625,"",(1000*tech_proj!AV1137*(-PMT($J$110,tech_base!$F173,1))+1000*tech_proj!AV1417)/((1-tech_proj!AV577)*tech_proj!AV857*$L$110))</f>
        <v>18.335359338579323</v>
      </c>
      <c r="AW797" s="71">
        <f>IF(tech_base!$T173&gt;AW$625,"",(1000*tech_proj!AW1137*(-PMT($J$110,tech_base!$F173,1))+1000*tech_proj!AW1417)/((1-tech_proj!AW577)*tech_proj!AW857*$L$110))</f>
        <v>18.329435029946367</v>
      </c>
      <c r="AX797" s="237">
        <f>IF(tech_base!$T173&gt;AX$625,"",(1000*tech_proj!AX1137*(-PMT($J$110,tech_base!$F173,1))+1000*tech_proj!AX1417)/((1-tech_proj!AX577)*tech_proj!AX857*$L$110))</f>
        <v>18.323295081924325</v>
      </c>
    </row>
    <row r="798" spans="1:50" x14ac:dyDescent="0.25">
      <c r="A798" s="357"/>
      <c r="B798" s="380"/>
      <c r="C798" s="381"/>
      <c r="D798" s="4" t="s">
        <v>20</v>
      </c>
      <c r="E798" s="168" t="str">
        <f>A765&amp;"/"&amp;B795&amp;"/"&amp;C797&amp;"/"&amp;D798</f>
        <v>Diesel oil fired power plants/Internal combustion engine/CHP/XS</v>
      </c>
      <c r="F798" s="80" t="str">
        <f>A765</f>
        <v>Diesel oil fired power plants</v>
      </c>
      <c r="G798" s="80" t="str">
        <f>B795</f>
        <v>Internal combustion engine</v>
      </c>
      <c r="H798" s="80" t="str">
        <f>C797</f>
        <v>CHP</v>
      </c>
      <c r="I798" s="169" t="str">
        <f t="shared" si="364"/>
        <v>XS</v>
      </c>
      <c r="J798" s="73">
        <f>IF(tech_base!$T174&gt;J$625,"",(1000*tech_proj!J1138*(-PMT($J$110,tech_base!$F174,1))+1000*tech_proj!J1418)/((1-tech_proj!J578)*tech_proj!J858*$L$110))</f>
        <v>16.012472052560859</v>
      </c>
      <c r="K798" s="73">
        <f>IF(tech_base!$T174&gt;K$625,"",(1000*tech_proj!K1138*(-PMT($J$110,tech_base!$F174,1))+1000*tech_proj!K1418)/((1-tech_proj!K578)*tech_proj!K858*$L$110))</f>
        <v>16.011482936059299</v>
      </c>
      <c r="L798" s="73">
        <f>IF(tech_base!$T174&gt;L$625,"",(1000*tech_proj!L1138*(-PMT($J$110,tech_base!$F174,1))+1000*tech_proj!L1418)/((1-tech_proj!L578)*tech_proj!L858*$L$110))</f>
        <v>16.010445606928617</v>
      </c>
      <c r="M798" s="73">
        <f>IF(tech_base!$T174&gt;M$625,"",(1000*tech_proj!M1138*(-PMT($J$110,tech_base!$F174,1))+1000*tech_proj!M1418)/((1-tech_proj!M578)*tech_proj!M858*$L$110))</f>
        <v>16.009357846196249</v>
      </c>
      <c r="N798" s="73">
        <f>IF(tech_base!$T174&gt;N$625,"",(1000*tech_proj!N1138*(-PMT($J$110,tech_base!$F174,1))+1000*tech_proj!N1418)/((1-tech_proj!N578)*tech_proj!N858*$L$110))</f>
        <v>16.008217346156147</v>
      </c>
      <c r="O798" s="73">
        <f>IF(tech_base!$T174&gt;O$625,"",(1000*tech_proj!O1138*(-PMT($J$110,tech_base!$F174,1))+1000*tech_proj!O1418)/((1-tech_proj!O578)*tech_proj!O858*$L$110))</f>
        <v>16.007021708211045</v>
      </c>
      <c r="P798" s="73">
        <f>IF(tech_base!$T174&gt;P$625,"",(1000*tech_proj!P1138*(-PMT($J$110,tech_base!$F174,1))+1000*tech_proj!P1418)/((1-tech_proj!P578)*tech_proj!P858*$L$110))</f>
        <v>16.005768440819203</v>
      </c>
      <c r="Q798" s="73">
        <f>IF(tech_base!$T174&gt;Q$625,"",(1000*tech_proj!Q1138*(-PMT($J$110,tech_base!$F174,1))+1000*tech_proj!Q1418)/((1-tech_proj!Q578)*tech_proj!Q858*$L$110))</f>
        <v>16.004454957568303</v>
      </c>
      <c r="R798" s="73">
        <f>IF(tech_base!$T174&gt;R$625,"",(1000*tech_proj!R1138*(-PMT($J$110,tech_base!$F174,1))+1000*tech_proj!R1418)/((1-tech_proj!R578)*tech_proj!R858*$L$110))</f>
        <v>16.00307857540118</v>
      </c>
      <c r="S798" s="73">
        <f>IF(tech_base!$T174&gt;S$625,"",(1000*tech_proj!S1138*(-PMT($J$110,tech_base!$F174,1))+1000*tech_proj!S1418)/((1-tech_proj!S578)*tech_proj!S858*$L$110))</f>
        <v>16.00163651302071</v>
      </c>
      <c r="T798" s="73">
        <f>IF(tech_base!$T174&gt;T$625,"",(1000*tech_proj!T1138*(-PMT($J$110,tech_base!$F174,1))+1000*tech_proj!T1418)/((1-tech_proj!T578)*tech_proj!T858*$L$110))</f>
        <v>16.000125889503447</v>
      </c>
      <c r="U798" s="73">
        <f>IF(tech_base!$T174&gt;U$625,"",(1000*tech_proj!U1138*(-PMT($J$110,tech_base!$F174,1))+1000*tech_proj!U1418)/((1-tech_proj!U578)*tech_proj!U858*$L$110))</f>
        <v>15.998543723154237</v>
      </c>
      <c r="V798" s="73">
        <f>IF(tech_base!$T174&gt;V$625,"",(1000*tech_proj!V1138*(-PMT($J$110,tech_base!$F174,1))+1000*tech_proj!V1418)/((1-tech_proj!V578)*tech_proj!V858*$L$110))</f>
        <v>15.996886930636691</v>
      </c>
      <c r="W798" s="73">
        <f>IF(tech_base!$T174&gt;W$625,"",(1000*tech_proj!W1138*(-PMT($J$110,tech_base!$F174,1))+1000*tech_proj!W1418)/((1-tech_proj!W578)*tech_proj!W858*$L$110))</f>
        <v>15.995152326417337</v>
      </c>
      <c r="X798" s="73">
        <f>IF(tech_base!$T174&gt;X$625,"",(1000*tech_proj!X1138*(-PMT($J$110,tech_base!$F174,1))+1000*tech_proj!X1418)/((1-tech_proj!X578)*tech_proj!X858*$L$110))</f>
        <v>15.993336622563762</v>
      </c>
      <c r="Y798" s="73">
        <f>IF(tech_base!$T174&gt;Y$625,"",(1000*tech_proj!Y1138*(-PMT($J$110,tech_base!$F174,1))+1000*tech_proj!Y1418)/((1-tech_proj!Y578)*tech_proj!Y858*$L$110))</f>
        <v>15.991436428940421</v>
      </c>
      <c r="Z798" s="73">
        <f>IF(tech_base!$T174&gt;Z$625,"",(1000*tech_proj!Z1138*(-PMT($J$110,tech_base!$F174,1))+1000*tech_proj!Z1418)/((1-tech_proj!Z578)*tech_proj!Z858*$L$110))</f>
        <v>15.989448253848316</v>
      </c>
      <c r="AA798" s="73">
        <f>IF(tech_base!$T174&gt;AA$625,"",(1000*tech_proj!AA1138*(-PMT($J$110,tech_base!$F174,1))+1000*tech_proj!AA1418)/((1-tech_proj!AA578)*tech_proj!AA858*$L$110))</f>
        <v>15.987368505157935</v>
      </c>
      <c r="AB798" s="73">
        <f>IF(tech_base!$T174&gt;AB$625,"",(1000*tech_proj!AB1138*(-PMT($J$110,tech_base!$F174,1))+1000*tech_proj!AB1418)/((1-tech_proj!AB578)*tech_proj!AB858*$L$110))</f>
        <v>15.985193491987578</v>
      </c>
      <c r="AC798" s="73">
        <f>IF(tech_base!$T174&gt;AC$625,"",(1000*tech_proj!AC1138*(-PMT($J$110,tech_base!$F174,1))+1000*tech_proj!AC1418)/((1-tech_proj!AC578)*tech_proj!AC858*$L$110))</f>
        <v>15.982919426982162</v>
      </c>
      <c r="AD798" s="73">
        <f>IF(tech_base!$T174&gt;AD$625,"",(1000*tech_proj!AD1138*(-PMT($J$110,tech_base!$F174,1))+1000*tech_proj!AD1418)/((1-tech_proj!AD578)*tech_proj!AD858*$L$110))</f>
        <v>15.980542429250022</v>
      </c>
      <c r="AE798" s="73">
        <f>IF(tech_base!$T174&gt;AE$625,"",(1000*tech_proj!AE1138*(-PMT($J$110,tech_base!$F174,1))+1000*tech_proj!AE1418)/((1-tech_proj!AE578)*tech_proj!AE858*$L$110))</f>
        <v>15.978058528017971</v>
      </c>
      <c r="AF798" s="73">
        <f>IF(tech_base!$T174&gt;AF$625,"",(1000*tech_proj!AF1138*(-PMT($J$110,tech_base!$F174,1))+1000*tech_proj!AF1418)/((1-tech_proj!AF578)*tech_proj!AF858*$L$110))</f>
        <v>15.975463667066888</v>
      </c>
      <c r="AG798" s="73">
        <f>IF(tech_base!$T174&gt;AG$625,"",(1000*tech_proj!AG1138*(-PMT($J$110,tech_base!$F174,1))+1000*tech_proj!AG1418)/((1-tech_proj!AG578)*tech_proj!AG858*$L$110))</f>
        <v>15.97275371001211</v>
      </c>
      <c r="AH798" s="73">
        <f>IF(tech_base!$T174&gt;AH$625,"",(1000*tech_proj!AH1138*(-PMT($J$110,tech_base!$F174,1))+1000*tech_proj!AH1418)/((1-tech_proj!AH578)*tech_proj!AH858*$L$110))</f>
        <v>15.969924446494243</v>
      </c>
      <c r="AI798" s="73">
        <f>IF(tech_base!$T174&gt;AI$625,"",(1000*tech_proj!AI1138*(-PMT($J$110,tech_base!$F174,1))+1000*tech_proj!AI1418)/((1-tech_proj!AI578)*tech_proj!AI858*$L$110))</f>
        <v>15.966971599347158</v>
      </c>
      <c r="AJ798" s="73">
        <f>IF(tech_base!$T174&gt;AJ$625,"",(1000*tech_proj!AJ1138*(-PMT($J$110,tech_base!$F174,1))+1000*tech_proj!AJ1418)/((1-tech_proj!AJ578)*tech_proj!AJ858*$L$110))</f>
        <v>15.963890832809916</v>
      </c>
      <c r="AK798" s="73">
        <f>IF(tech_base!$T174&gt;AK$625,"",(1000*tech_proj!AK1138*(-PMT($J$110,tech_base!$F174,1))+1000*tech_proj!AK1418)/((1-tech_proj!AK578)*tech_proj!AK858*$L$110))</f>
        <v>15.960677761849475</v>
      </c>
      <c r="AL798" s="73">
        <f>IF(tech_base!$T174&gt;AL$625,"",(1000*tech_proj!AL1138*(-PMT($J$110,tech_base!$F174,1))+1000*tech_proj!AL1418)/((1-tech_proj!AL578)*tech_proj!AL858*$L$110))</f>
        <v>15.957327962659289</v>
      </c>
      <c r="AM798" s="73">
        <f>IF(tech_base!$T174&gt;AM$625,"",(1000*tech_proj!AM1138*(-PMT($J$110,tech_base!$F174,1))+1000*tech_proj!AM1418)/((1-tech_proj!AM578)*tech_proj!AM858*$L$110))</f>
        <v>15.953836984397066</v>
      </c>
      <c r="AN798" s="73">
        <f>IF(tech_base!$T174&gt;AN$625,"",(1000*tech_proj!AN1138*(-PMT($J$110,tech_base!$F174,1))+1000*tech_proj!AN1418)/((1-tech_proj!AN578)*tech_proj!AN858*$L$110))</f>
        <v>15.950200362221537</v>
      </c>
      <c r="AO798" s="73">
        <f>IF(tech_base!$T174&gt;AO$625,"",(1000*tech_proj!AO1138*(-PMT($J$110,tech_base!$F174,1))+1000*tech_proj!AO1418)/((1-tech_proj!AO578)*tech_proj!AO858*$L$110))</f>
        <v>15.946413631683514</v>
      </c>
      <c r="AP798" s="73">
        <f>IF(tech_base!$T174&gt;AP$625,"",(1000*tech_proj!AP1138*(-PMT($J$110,tech_base!$F174,1))+1000*tech_proj!AP1418)/((1-tech_proj!AP578)*tech_proj!AP858*$L$110))</f>
        <v>15.942472344520722</v>
      </c>
      <c r="AQ798" s="73">
        <f>IF(tech_base!$T174&gt;AQ$625,"",(1000*tech_proj!AQ1138*(-PMT($J$110,tech_base!$F174,1))+1000*tech_proj!AQ1418)/((1-tech_proj!AQ578)*tech_proj!AQ858*$L$110))</f>
        <v>15.938372085898395</v>
      </c>
      <c r="AR798" s="73">
        <f>IF(tech_base!$T174&gt;AR$625,"",(1000*tech_proj!AR1138*(-PMT($J$110,tech_base!$F174,1))+1000*tech_proj!AR1418)/((1-tech_proj!AR578)*tech_proj!AR858*$L$110))</f>
        <v>15.934108493128743</v>
      </c>
      <c r="AS798" s="73">
        <f>IF(tech_base!$T174&gt;AS$625,"",(1000*tech_proj!AS1138*(-PMT($J$110,tech_base!$F174,1))+1000*tech_proj!AS1418)/((1-tech_proj!AS578)*tech_proj!AS858*$L$110))</f>
        <v>15.929677275891352</v>
      </c>
      <c r="AT798" s="73">
        <f>IF(tech_base!$T174&gt;AT$625,"",(1000*tech_proj!AT1138*(-PMT($J$110,tech_base!$F174,1))+1000*tech_proj!AT1418)/((1-tech_proj!AT578)*tech_proj!AT858*$L$110))</f>
        <v>15.925074237964234</v>
      </c>
      <c r="AU798" s="73">
        <f>IF(tech_base!$T174&gt;AU$625,"",(1000*tech_proj!AU1138*(-PMT($J$110,tech_base!$F174,1))+1000*tech_proj!AU1418)/((1-tech_proj!AU578)*tech_proj!AU858*$L$110))</f>
        <v>15.920295300460403</v>
      </c>
      <c r="AV798" s="73">
        <f>IF(tech_base!$T174&gt;AV$625,"",(1000*tech_proj!AV1138*(-PMT($J$110,tech_base!$F174,1))+1000*tech_proj!AV1418)/((1-tech_proj!AV578)*tech_proj!AV858*$L$110))</f>
        <v>15.915336526548346</v>
      </c>
      <c r="AW798" s="73">
        <f>IF(tech_base!$T174&gt;AW$625,"",(1000*tech_proj!AW1138*(-PMT($J$110,tech_base!$F174,1))+1000*tech_proj!AW1418)/((1-tech_proj!AW578)*tech_proj!AW858*$L$110))</f>
        <v>15.910194147615957</v>
      </c>
      <c r="AX798" s="239">
        <f>IF(tech_base!$T174&gt;AX$625,"",(1000*tech_proj!AX1138*(-PMT($J$110,tech_base!$F174,1))+1000*tech_proj!AX1418)/((1-tech_proj!AX578)*tech_proj!AX858*$L$110))</f>
        <v>15.904864590816883</v>
      </c>
    </row>
    <row r="799" spans="1:50" x14ac:dyDescent="0.25">
      <c r="A799" s="355" t="s">
        <v>29</v>
      </c>
      <c r="B799" s="358" t="s">
        <v>13</v>
      </c>
      <c r="C799" s="353" t="s">
        <v>6</v>
      </c>
      <c r="D799" s="3" t="s">
        <v>7</v>
      </c>
      <c r="E799" s="162" t="str">
        <f>A799&amp;"/"&amp;B799&amp;"/"&amp;C799&amp;"/"&amp;D799</f>
        <v>Fuel oil fired power plants/Integrated gasification combined cycle/Electricity only/L</v>
      </c>
      <c r="F799" s="77" t="str">
        <f>A799</f>
        <v>Fuel oil fired power plants</v>
      </c>
      <c r="G799" s="77" t="str">
        <f>B799</f>
        <v>Integrated gasification combined cycle</v>
      </c>
      <c r="H799" s="77" t="str">
        <f>C799</f>
        <v>Electricity only</v>
      </c>
      <c r="I799" s="163" t="str">
        <f t="shared" si="364"/>
        <v>L</v>
      </c>
      <c r="J799" s="70">
        <f>IF(tech_base!$T175&gt;J$625,"",(1000*tech_proj!J1139*(-PMT($J$110,tech_base!$F175,1))+1000*tech_proj!J1419)/((1-tech_proj!J579)*tech_proj!J859*$L$110))</f>
        <v>75.519686255487571</v>
      </c>
      <c r="K799" s="70">
        <f>IF(tech_base!$T175&gt;K$625,"",(1000*tech_proj!K1139*(-PMT($J$110,tech_base!$F175,1))+1000*tech_proj!K1419)/((1-tech_proj!K579)*tech_proj!K859*$L$110))</f>
        <v>75.519686255487571</v>
      </c>
      <c r="L799" s="70">
        <f>IF(tech_base!$T175&gt;L$625,"",(1000*tech_proj!L1139*(-PMT($J$110,tech_base!$F175,1))+1000*tech_proj!L1419)/((1-tech_proj!L579)*tech_proj!L859*$L$110))</f>
        <v>75.519686255487571</v>
      </c>
      <c r="M799" s="70">
        <f>IF(tech_base!$T175&gt;M$625,"",(1000*tech_proj!M1139*(-PMT($J$110,tech_base!$F175,1))+1000*tech_proj!M1419)/((1-tech_proj!M579)*tech_proj!M859*$L$110))</f>
        <v>75.519686255487571</v>
      </c>
      <c r="N799" s="70">
        <f>IF(tech_base!$T175&gt;N$625,"",(1000*tech_proj!N1139*(-PMT($J$110,tech_base!$F175,1))+1000*tech_proj!N1419)/((1-tech_proj!N579)*tech_proj!N859*$L$110))</f>
        <v>75.519686255487571</v>
      </c>
      <c r="O799" s="70">
        <f>IF(tech_base!$T175&gt;O$625,"",(1000*tech_proj!O1139*(-PMT($J$110,tech_base!$F175,1))+1000*tech_proj!O1419)/((1-tech_proj!O579)*tech_proj!O859*$L$110))</f>
        <v>75.519686255487571</v>
      </c>
      <c r="P799" s="70">
        <f>IF(tech_base!$T175&gt;P$625,"",(1000*tech_proj!P1139*(-PMT($J$110,tech_base!$F175,1))+1000*tech_proj!P1419)/((1-tech_proj!P579)*tech_proj!P859*$L$110))</f>
        <v>75.519686255487571</v>
      </c>
      <c r="Q799" s="70">
        <f>IF(tech_base!$T175&gt;Q$625,"",(1000*tech_proj!Q1139*(-PMT($J$110,tech_base!$F175,1))+1000*tech_proj!Q1419)/((1-tech_proj!Q579)*tech_proj!Q859*$L$110))</f>
        <v>75.519686255487571</v>
      </c>
      <c r="R799" s="70">
        <f>IF(tech_base!$T175&gt;R$625,"",(1000*tech_proj!R1139*(-PMT($J$110,tech_base!$F175,1))+1000*tech_proj!R1419)/((1-tech_proj!R579)*tech_proj!R859*$L$110))</f>
        <v>75.519686255487571</v>
      </c>
      <c r="S799" s="70">
        <f>IF(tech_base!$T175&gt;S$625,"",(1000*tech_proj!S1139*(-PMT($J$110,tech_base!$F175,1))+1000*tech_proj!S1419)/((1-tech_proj!S579)*tech_proj!S859*$L$110))</f>
        <v>75.519686255487571</v>
      </c>
      <c r="T799" s="70">
        <f>IF(tech_base!$T175&gt;T$625,"",(1000*tech_proj!T1139*(-PMT($J$110,tech_base!$F175,1))+1000*tech_proj!T1419)/((1-tech_proj!T579)*tech_proj!T859*$L$110))</f>
        <v>75.519686255487571</v>
      </c>
      <c r="U799" s="70">
        <f>IF(tech_base!$T175&gt;U$625,"",(1000*tech_proj!U1139*(-PMT($J$110,tech_base!$F175,1))+1000*tech_proj!U1419)/((1-tech_proj!U579)*tech_proj!U859*$L$110))</f>
        <v>75.519686255487571</v>
      </c>
      <c r="V799" s="70">
        <f>IF(tech_base!$T175&gt;V$625,"",(1000*tech_proj!V1139*(-PMT($J$110,tech_base!$F175,1))+1000*tech_proj!V1419)/((1-tech_proj!V579)*tech_proj!V859*$L$110))</f>
        <v>75.519686255487571</v>
      </c>
      <c r="W799" s="70">
        <f>IF(tech_base!$T175&gt;W$625,"",(1000*tech_proj!W1139*(-PMT($J$110,tech_base!$F175,1))+1000*tech_proj!W1419)/((1-tech_proj!W579)*tech_proj!W859*$L$110))</f>
        <v>75.519686255487571</v>
      </c>
      <c r="X799" s="70">
        <f>IF(tech_base!$T175&gt;X$625,"",(1000*tech_proj!X1139*(-PMT($J$110,tech_base!$F175,1))+1000*tech_proj!X1419)/((1-tech_proj!X579)*tech_proj!X859*$L$110))</f>
        <v>75.519686255487571</v>
      </c>
      <c r="Y799" s="70">
        <f>IF(tech_base!$T175&gt;Y$625,"",(1000*tech_proj!Y1139*(-PMT($J$110,tech_base!$F175,1))+1000*tech_proj!Y1419)/((1-tech_proj!Y579)*tech_proj!Y859*$L$110))</f>
        <v>75.519686255487571</v>
      </c>
      <c r="Z799" s="70">
        <f>IF(tech_base!$T175&gt;Z$625,"",(1000*tech_proj!Z1139*(-PMT($J$110,tech_base!$F175,1))+1000*tech_proj!Z1419)/((1-tech_proj!Z579)*tech_proj!Z859*$L$110))</f>
        <v>75.519686255487571</v>
      </c>
      <c r="AA799" s="70">
        <f>IF(tech_base!$T175&gt;AA$625,"",(1000*tech_proj!AA1139*(-PMT($J$110,tech_base!$F175,1))+1000*tech_proj!AA1419)/((1-tech_proj!AA579)*tech_proj!AA859*$L$110))</f>
        <v>75.519686255487571</v>
      </c>
      <c r="AB799" s="70">
        <f>IF(tech_base!$T175&gt;AB$625,"",(1000*tech_proj!AB1139*(-PMT($J$110,tech_base!$F175,1))+1000*tech_proj!AB1419)/((1-tech_proj!AB579)*tech_proj!AB859*$L$110))</f>
        <v>75.519686255487571</v>
      </c>
      <c r="AC799" s="70">
        <f>IF(tech_base!$T175&gt;AC$625,"",(1000*tech_proj!AC1139*(-PMT($J$110,tech_base!$F175,1))+1000*tech_proj!AC1419)/((1-tech_proj!AC579)*tech_proj!AC859*$L$110))</f>
        <v>75.519686255487571</v>
      </c>
      <c r="AD799" s="70">
        <f>IF(tech_base!$T175&gt;AD$625,"",(1000*tech_proj!AD1139*(-PMT($J$110,tech_base!$F175,1))+1000*tech_proj!AD1419)/((1-tech_proj!AD579)*tech_proj!AD859*$L$110))</f>
        <v>75.519686255487571</v>
      </c>
      <c r="AE799" s="70">
        <f>IF(tech_base!$T175&gt;AE$625,"",(1000*tech_proj!AE1139*(-PMT($J$110,tech_base!$F175,1))+1000*tech_proj!AE1419)/((1-tech_proj!AE579)*tech_proj!AE859*$L$110))</f>
        <v>75.519686255487571</v>
      </c>
      <c r="AF799" s="70">
        <f>IF(tech_base!$T175&gt;AF$625,"",(1000*tech_proj!AF1139*(-PMT($J$110,tech_base!$F175,1))+1000*tech_proj!AF1419)/((1-tech_proj!AF579)*tech_proj!AF859*$L$110))</f>
        <v>75.519686255487571</v>
      </c>
      <c r="AG799" s="70">
        <f>IF(tech_base!$T175&gt;AG$625,"",(1000*tech_proj!AG1139*(-PMT($J$110,tech_base!$F175,1))+1000*tech_proj!AG1419)/((1-tech_proj!AG579)*tech_proj!AG859*$L$110))</f>
        <v>75.519686255487571</v>
      </c>
      <c r="AH799" s="70">
        <f>IF(tech_base!$T175&gt;AH$625,"",(1000*tech_proj!AH1139*(-PMT($J$110,tech_base!$F175,1))+1000*tech_proj!AH1419)/((1-tech_proj!AH579)*tech_proj!AH859*$L$110))</f>
        <v>75.519686255487571</v>
      </c>
      <c r="AI799" s="70">
        <f>IF(tech_base!$T175&gt;AI$625,"",(1000*tech_proj!AI1139*(-PMT($J$110,tech_base!$F175,1))+1000*tech_proj!AI1419)/((1-tech_proj!AI579)*tech_proj!AI859*$L$110))</f>
        <v>75.519686255487571</v>
      </c>
      <c r="AJ799" s="70">
        <f>IF(tech_base!$T175&gt;AJ$625,"",(1000*tech_proj!AJ1139*(-PMT($J$110,tech_base!$F175,1))+1000*tech_proj!AJ1419)/((1-tech_proj!AJ579)*tech_proj!AJ859*$L$110))</f>
        <v>75.519686255487571</v>
      </c>
      <c r="AK799" s="70">
        <f>IF(tech_base!$T175&gt;AK$625,"",(1000*tech_proj!AK1139*(-PMT($J$110,tech_base!$F175,1))+1000*tech_proj!AK1419)/((1-tech_proj!AK579)*tech_proj!AK859*$L$110))</f>
        <v>75.519686255487571</v>
      </c>
      <c r="AL799" s="70">
        <f>IF(tech_base!$T175&gt;AL$625,"",(1000*tech_proj!AL1139*(-PMT($J$110,tech_base!$F175,1))+1000*tech_proj!AL1419)/((1-tech_proj!AL579)*tech_proj!AL859*$L$110))</f>
        <v>75.519686255487571</v>
      </c>
      <c r="AM799" s="70">
        <f>IF(tech_base!$T175&gt;AM$625,"",(1000*tech_proj!AM1139*(-PMT($J$110,tech_base!$F175,1))+1000*tech_proj!AM1419)/((1-tech_proj!AM579)*tech_proj!AM859*$L$110))</f>
        <v>75.519686255487571</v>
      </c>
      <c r="AN799" s="70">
        <f>IF(tech_base!$T175&gt;AN$625,"",(1000*tech_proj!AN1139*(-PMT($J$110,tech_base!$F175,1))+1000*tech_proj!AN1419)/((1-tech_proj!AN579)*tech_proj!AN859*$L$110))</f>
        <v>75.499017527938264</v>
      </c>
      <c r="AO799" s="70">
        <f>IF(tech_base!$T175&gt;AO$625,"",(1000*tech_proj!AO1139*(-PMT($J$110,tech_base!$F175,1))+1000*tech_proj!AO1419)/((1-tech_proj!AO579)*tech_proj!AO859*$L$110))</f>
        <v>75.49183706795435</v>
      </c>
      <c r="AP799" s="70">
        <f>IF(tech_base!$T175&gt;AP$625,"",(1000*tech_proj!AP1139*(-PMT($J$110,tech_base!$F175,1))+1000*tech_proj!AP1419)/((1-tech_proj!AP579)*tech_proj!AP859*$L$110))</f>
        <v>75.482185736503439</v>
      </c>
      <c r="AQ799" s="70">
        <f>IF(tech_base!$T175&gt;AQ$625,"",(1000*tech_proj!AQ1139*(-PMT($J$110,tech_base!$F175,1))+1000*tech_proj!AQ1419)/((1-tech_proj!AQ579)*tech_proj!AQ859*$L$110))</f>
        <v>75.469232454079744</v>
      </c>
      <c r="AR799" s="70">
        <f>IF(tech_base!$T175&gt;AR$625,"",(1000*tech_proj!AR1139*(-PMT($J$110,tech_base!$F175,1))+1000*tech_proj!AR1419)/((1-tech_proj!AR579)*tech_proj!AR859*$L$110))</f>
        <v>75.451882023326533</v>
      </c>
      <c r="AS799" s="70">
        <f>IF(tech_base!$T175&gt;AS$625,"",(1000*tech_proj!AS1139*(-PMT($J$110,tech_base!$F175,1))+1000*tech_proj!AS1419)/((1-tech_proj!AS579)*tech_proj!AS859*$L$110))</f>
        <v>75.428703501293029</v>
      </c>
      <c r="AT799" s="70">
        <f>IF(tech_base!$T175&gt;AT$625,"",(1000*tech_proj!AT1139*(-PMT($J$110,tech_base!$F175,1))+1000*tech_proj!AT1419)/((1-tech_proj!AT579)*tech_proj!AT859*$L$110))</f>
        <v>75.397849027811333</v>
      </c>
      <c r="AU799" s="70">
        <f>IF(tech_base!$T175&gt;AU$625,"",(1000*tech_proj!AU1139*(-PMT($J$110,tech_base!$F175,1))+1000*tech_proj!AU1419)/((1-tech_proj!AU579)*tech_proj!AU859*$L$110))</f>
        <v>75.356970419239644</v>
      </c>
      <c r="AV799" s="70">
        <f>IF(tech_base!$T175&gt;AV$625,"",(1000*tech_proj!AV1139*(-PMT($J$110,tech_base!$F175,1))+1000*tech_proj!AV1419)/((1-tech_proj!AV579)*tech_proj!AV859*$L$110))</f>
        <v>75.303149448304353</v>
      </c>
      <c r="AW799" s="70">
        <f>IF(tech_base!$T175&gt;AW$625,"",(1000*tech_proj!AW1139*(-PMT($J$110,tech_base!$F175,1))+1000*tech_proj!AW1419)/((1-tech_proj!AW579)*tech_proj!AW859*$L$110))</f>
        <v>75.232871159909834</v>
      </c>
      <c r="AX799" s="236">
        <f>IF(tech_base!$T175&gt;AX$625,"",(1000*tech_proj!AX1139*(-PMT($J$110,tech_base!$F175,1))+1000*tech_proj!AX1419)/((1-tech_proj!AX579)*tech_proj!AX859*$L$110))</f>
        <v>75.142087824210122</v>
      </c>
    </row>
    <row r="800" spans="1:50" x14ac:dyDescent="0.25">
      <c r="A800" s="356"/>
      <c r="B800" s="376"/>
      <c r="C800" s="379"/>
      <c r="D800" s="2" t="s">
        <v>8</v>
      </c>
      <c r="E800" s="160" t="str">
        <f>A799&amp;"/"&amp;B799&amp;"/"&amp;C799&amp;"/"&amp;D800</f>
        <v>Fuel oil fired power plants/Integrated gasification combined cycle/Electricity only/M</v>
      </c>
      <c r="F800" s="76" t="str">
        <f>A799</f>
        <v>Fuel oil fired power plants</v>
      </c>
      <c r="G800" s="76" t="str">
        <f>B799</f>
        <v>Integrated gasification combined cycle</v>
      </c>
      <c r="H800" s="76" t="str">
        <f>C799</f>
        <v>Electricity only</v>
      </c>
      <c r="I800" s="161" t="str">
        <f t="shared" si="364"/>
        <v>M</v>
      </c>
      <c r="J800" s="69">
        <f>IF(tech_base!$T176&gt;J$625,"",(1000*tech_proj!J1140*(-PMT($J$110,tech_base!$F176,1))+1000*tech_proj!J1420)/((1-tech_proj!J580)*tech_proj!J860*$L$110))</f>
        <v>81.438970869244528</v>
      </c>
      <c r="K800" s="69">
        <f>IF(tech_base!$T176&gt;K$625,"",(1000*tech_proj!K1140*(-PMT($J$110,tech_base!$F176,1))+1000*tech_proj!K1420)/((1-tech_proj!K580)*tech_proj!K860*$L$110))</f>
        <v>81.438970869244528</v>
      </c>
      <c r="L800" s="69">
        <f>IF(tech_base!$T176&gt;L$625,"",(1000*tech_proj!L1140*(-PMT($J$110,tech_base!$F176,1))+1000*tech_proj!L1420)/((1-tech_proj!L580)*tech_proj!L860*$L$110))</f>
        <v>81.438970869244528</v>
      </c>
      <c r="M800" s="69">
        <f>IF(tech_base!$T176&gt;M$625,"",(1000*tech_proj!M1140*(-PMT($J$110,tech_base!$F176,1))+1000*tech_proj!M1420)/((1-tech_proj!M580)*tech_proj!M860*$L$110))</f>
        <v>81.438970869244528</v>
      </c>
      <c r="N800" s="69">
        <f>IF(tech_base!$T176&gt;N$625,"",(1000*tech_proj!N1140*(-PMT($J$110,tech_base!$F176,1))+1000*tech_proj!N1420)/((1-tech_proj!N580)*tech_proj!N860*$L$110))</f>
        <v>81.438970869244528</v>
      </c>
      <c r="O800" s="69">
        <f>IF(tech_base!$T176&gt;O$625,"",(1000*tech_proj!O1140*(-PMT($J$110,tech_base!$F176,1))+1000*tech_proj!O1420)/((1-tech_proj!O580)*tech_proj!O860*$L$110))</f>
        <v>81.438970869244528</v>
      </c>
      <c r="P800" s="69">
        <f>IF(tech_base!$T176&gt;P$625,"",(1000*tech_proj!P1140*(-PMT($J$110,tech_base!$F176,1))+1000*tech_proj!P1420)/((1-tech_proj!P580)*tech_proj!P860*$L$110))</f>
        <v>81.438970869244528</v>
      </c>
      <c r="Q800" s="69">
        <f>IF(tech_base!$T176&gt;Q$625,"",(1000*tech_proj!Q1140*(-PMT($J$110,tech_base!$F176,1))+1000*tech_proj!Q1420)/((1-tech_proj!Q580)*tech_proj!Q860*$L$110))</f>
        <v>81.438970869244528</v>
      </c>
      <c r="R800" s="69">
        <f>IF(tech_base!$T176&gt;R$625,"",(1000*tech_proj!R1140*(-PMT($J$110,tech_base!$F176,1))+1000*tech_proj!R1420)/((1-tech_proj!R580)*tech_proj!R860*$L$110))</f>
        <v>81.438970869244528</v>
      </c>
      <c r="S800" s="69">
        <f>IF(tech_base!$T176&gt;S$625,"",(1000*tech_proj!S1140*(-PMT($J$110,tech_base!$F176,1))+1000*tech_proj!S1420)/((1-tech_proj!S580)*tech_proj!S860*$L$110))</f>
        <v>81.438970869244528</v>
      </c>
      <c r="T800" s="69">
        <f>IF(tech_base!$T176&gt;T$625,"",(1000*tech_proj!T1140*(-PMT($J$110,tech_base!$F176,1))+1000*tech_proj!T1420)/((1-tech_proj!T580)*tech_proj!T860*$L$110))</f>
        <v>81.438970869244528</v>
      </c>
      <c r="U800" s="69">
        <f>IF(tech_base!$T176&gt;U$625,"",(1000*tech_proj!U1140*(-PMT($J$110,tech_base!$F176,1))+1000*tech_proj!U1420)/((1-tech_proj!U580)*tech_proj!U860*$L$110))</f>
        <v>81.438970869244528</v>
      </c>
      <c r="V800" s="69">
        <f>IF(tech_base!$T176&gt;V$625,"",(1000*tech_proj!V1140*(-PMT($J$110,tech_base!$F176,1))+1000*tech_proj!V1420)/((1-tech_proj!V580)*tech_proj!V860*$L$110))</f>
        <v>81.438970869244528</v>
      </c>
      <c r="W800" s="69">
        <f>IF(tech_base!$T176&gt;W$625,"",(1000*tech_proj!W1140*(-PMT($J$110,tech_base!$F176,1))+1000*tech_proj!W1420)/((1-tech_proj!W580)*tech_proj!W860*$L$110))</f>
        <v>81.438970869244528</v>
      </c>
      <c r="X800" s="69">
        <f>IF(tech_base!$T176&gt;X$625,"",(1000*tech_proj!X1140*(-PMT($J$110,tech_base!$F176,1))+1000*tech_proj!X1420)/((1-tech_proj!X580)*tech_proj!X860*$L$110))</f>
        <v>81.438970869244528</v>
      </c>
      <c r="Y800" s="69">
        <f>IF(tech_base!$T176&gt;Y$625,"",(1000*tech_proj!Y1140*(-PMT($J$110,tech_base!$F176,1))+1000*tech_proj!Y1420)/((1-tech_proj!Y580)*tech_proj!Y860*$L$110))</f>
        <v>81.438970869244528</v>
      </c>
      <c r="Z800" s="69">
        <f>IF(tech_base!$T176&gt;Z$625,"",(1000*tech_proj!Z1140*(-PMT($J$110,tech_base!$F176,1))+1000*tech_proj!Z1420)/((1-tech_proj!Z580)*tech_proj!Z860*$L$110))</f>
        <v>81.438970869244528</v>
      </c>
      <c r="AA800" s="69">
        <f>IF(tech_base!$T176&gt;AA$625,"",(1000*tech_proj!AA1140*(-PMT($J$110,tech_base!$F176,1))+1000*tech_proj!AA1420)/((1-tech_proj!AA580)*tech_proj!AA860*$L$110))</f>
        <v>81.438970869244528</v>
      </c>
      <c r="AB800" s="69">
        <f>IF(tech_base!$T176&gt;AB$625,"",(1000*tech_proj!AB1140*(-PMT($J$110,tech_base!$F176,1))+1000*tech_proj!AB1420)/((1-tech_proj!AB580)*tech_proj!AB860*$L$110))</f>
        <v>81.438970869244528</v>
      </c>
      <c r="AC800" s="69">
        <f>IF(tech_base!$T176&gt;AC$625,"",(1000*tech_proj!AC1140*(-PMT($J$110,tech_base!$F176,1))+1000*tech_proj!AC1420)/((1-tech_proj!AC580)*tech_proj!AC860*$L$110))</f>
        <v>81.438970869244528</v>
      </c>
      <c r="AD800" s="69">
        <f>IF(tech_base!$T176&gt;AD$625,"",(1000*tech_proj!AD1140*(-PMT($J$110,tech_base!$F176,1))+1000*tech_proj!AD1420)/((1-tech_proj!AD580)*tech_proj!AD860*$L$110))</f>
        <v>81.438970869244528</v>
      </c>
      <c r="AE800" s="69">
        <f>IF(tech_base!$T176&gt;AE$625,"",(1000*tech_proj!AE1140*(-PMT($J$110,tech_base!$F176,1))+1000*tech_proj!AE1420)/((1-tech_proj!AE580)*tech_proj!AE860*$L$110))</f>
        <v>81.438970869244528</v>
      </c>
      <c r="AF800" s="69">
        <f>IF(tech_base!$T176&gt;AF$625,"",(1000*tech_proj!AF1140*(-PMT($J$110,tech_base!$F176,1))+1000*tech_proj!AF1420)/((1-tech_proj!AF580)*tech_proj!AF860*$L$110))</f>
        <v>81.438970869244528</v>
      </c>
      <c r="AG800" s="69">
        <f>IF(tech_base!$T176&gt;AG$625,"",(1000*tech_proj!AG1140*(-PMT($J$110,tech_base!$F176,1))+1000*tech_proj!AG1420)/((1-tech_proj!AG580)*tech_proj!AG860*$L$110))</f>
        <v>81.438970869244528</v>
      </c>
      <c r="AH800" s="69">
        <f>IF(tech_base!$T176&gt;AH$625,"",(1000*tech_proj!AH1140*(-PMT($J$110,tech_base!$F176,1))+1000*tech_proj!AH1420)/((1-tech_proj!AH580)*tech_proj!AH860*$L$110))</f>
        <v>81.438970869244528</v>
      </c>
      <c r="AI800" s="69">
        <f>IF(tech_base!$T176&gt;AI$625,"",(1000*tech_proj!AI1140*(-PMT($J$110,tech_base!$F176,1))+1000*tech_proj!AI1420)/((1-tech_proj!AI580)*tech_proj!AI860*$L$110))</f>
        <v>81.438970869244528</v>
      </c>
      <c r="AJ800" s="69">
        <f>IF(tech_base!$T176&gt;AJ$625,"",(1000*tech_proj!AJ1140*(-PMT($J$110,tech_base!$F176,1))+1000*tech_proj!AJ1420)/((1-tech_proj!AJ580)*tech_proj!AJ860*$L$110))</f>
        <v>81.438970869244528</v>
      </c>
      <c r="AK800" s="69">
        <f>IF(tech_base!$T176&gt;AK$625,"",(1000*tech_proj!AK1140*(-PMT($J$110,tech_base!$F176,1))+1000*tech_proj!AK1420)/((1-tech_proj!AK580)*tech_proj!AK860*$L$110))</f>
        <v>81.438970869244528</v>
      </c>
      <c r="AL800" s="69">
        <f>IF(tech_base!$T176&gt;AL$625,"",(1000*tech_proj!AL1140*(-PMT($J$110,tech_base!$F176,1))+1000*tech_proj!AL1420)/((1-tech_proj!AL580)*tech_proj!AL860*$L$110))</f>
        <v>81.438970869244528</v>
      </c>
      <c r="AM800" s="69">
        <f>IF(tech_base!$T176&gt;AM$625,"",(1000*tech_proj!AM1140*(-PMT($J$110,tech_base!$F176,1))+1000*tech_proj!AM1420)/((1-tech_proj!AM580)*tech_proj!AM860*$L$110))</f>
        <v>81.438970869244528</v>
      </c>
      <c r="AN800" s="69">
        <f>IF(tech_base!$T176&gt;AN$625,"",(1000*tech_proj!AN1140*(-PMT($J$110,tech_base!$F176,1))+1000*tech_proj!AN1420)/((1-tech_proj!AN580)*tech_proj!AN860*$L$110))</f>
        <v>81.416682112706312</v>
      </c>
      <c r="AO800" s="69">
        <f>IF(tech_base!$T176&gt;AO$625,"",(1000*tech_proj!AO1140*(-PMT($J$110,tech_base!$F176,1))+1000*tech_proj!AO1420)/((1-tech_proj!AO580)*tech_proj!AO860*$L$110))</f>
        <v>81.408938843362208</v>
      </c>
      <c r="AP800" s="69">
        <f>IF(tech_base!$T176&gt;AP$625,"",(1000*tech_proj!AP1140*(-PMT($J$110,tech_base!$F176,1))+1000*tech_proj!AP1420)/((1-tech_proj!AP580)*tech_proj!AP860*$L$110))</f>
        <v>81.398531033957099</v>
      </c>
      <c r="AQ800" s="69">
        <f>IF(tech_base!$T176&gt;AQ$625,"",(1000*tech_proj!AQ1140*(-PMT($J$110,tech_base!$F176,1))+1000*tech_proj!AQ1420)/((1-tech_proj!AQ580)*tech_proj!AQ860*$L$110))</f>
        <v>81.384562464405633</v>
      </c>
      <c r="AR800" s="69">
        <f>IF(tech_base!$T176&gt;AR$625,"",(1000*tech_proj!AR1140*(-PMT($J$110,tech_base!$F176,1))+1000*tech_proj!AR1420)/((1-tech_proj!AR580)*tech_proj!AR860*$L$110))</f>
        <v>81.365852095033873</v>
      </c>
      <c r="AS800" s="69">
        <f>IF(tech_base!$T176&gt;AS$625,"",(1000*tech_proj!AS1140*(-PMT($J$110,tech_base!$F176,1))+1000*tech_proj!AS1420)/((1-tech_proj!AS580)*tech_proj!AS860*$L$110))</f>
        <v>81.340856824604771</v>
      </c>
      <c r="AT800" s="69">
        <f>IF(tech_base!$T176&gt;AT$625,"",(1000*tech_proj!AT1140*(-PMT($J$110,tech_base!$F176,1))+1000*tech_proj!AT1420)/((1-tech_proj!AT580)*tech_proj!AT860*$L$110))</f>
        <v>81.307583956407697</v>
      </c>
      <c r="AU800" s="69">
        <f>IF(tech_base!$T176&gt;AU$625,"",(1000*tech_proj!AU1140*(-PMT($J$110,tech_base!$F176,1))+1000*tech_proj!AU1420)/((1-tech_proj!AU580)*tech_proj!AU860*$L$110))</f>
        <v>81.26350125456247</v>
      </c>
      <c r="AV800" s="69">
        <f>IF(tech_base!$T176&gt;AV$625,"",(1000*tech_proj!AV1140*(-PMT($J$110,tech_base!$F176,1))+1000*tech_proj!AV1420)/((1-tech_proj!AV580)*tech_proj!AV860*$L$110))</f>
        <v>81.205461759147681</v>
      </c>
      <c r="AW800" s="69">
        <f>IF(tech_base!$T176&gt;AW$625,"",(1000*tech_proj!AW1140*(-PMT($J$110,tech_base!$F176,1))+1000*tech_proj!AW1420)/((1-tech_proj!AW580)*tech_proj!AW860*$L$110))</f>
        <v>81.129675010485343</v>
      </c>
      <c r="AX800" s="235">
        <f>IF(tech_base!$T176&gt;AX$625,"",(1000*tech_proj!AX1140*(-PMT($J$110,tech_base!$F176,1))+1000*tech_proj!AX1420)/((1-tech_proj!AX580)*tech_proj!AX860*$L$110))</f>
        <v>81.031776014898298</v>
      </c>
    </row>
    <row r="801" spans="1:50" x14ac:dyDescent="0.25">
      <c r="A801" s="356"/>
      <c r="B801" s="376"/>
      <c r="C801" s="361" t="s">
        <v>14</v>
      </c>
      <c r="D801" s="58" t="s">
        <v>7</v>
      </c>
      <c r="E801" s="164" t="str">
        <f>A799&amp;"/"&amp;B799&amp;"/"&amp;C801&amp;"/"&amp;D801</f>
        <v>Fuel oil fired power plants/Integrated gasification combined cycle/CHP/L</v>
      </c>
      <c r="F801" s="78" t="str">
        <f>A799</f>
        <v>Fuel oil fired power plants</v>
      </c>
      <c r="G801" s="78" t="str">
        <f>B799</f>
        <v>Integrated gasification combined cycle</v>
      </c>
      <c r="H801" s="78" t="str">
        <f>C801</f>
        <v>CHP</v>
      </c>
      <c r="I801" s="165" t="str">
        <f t="shared" si="364"/>
        <v>L</v>
      </c>
      <c r="J801" s="71">
        <f>IF(tech_base!$T177&gt;J$625,"",(1000*tech_proj!J1141*(-PMT($J$110,tech_base!$F177,1))+1000*tech_proj!J1421)/((1-tech_proj!J581)*tech_proj!J861*$L$110))</f>
        <v>87.267565675019341</v>
      </c>
      <c r="K801" s="71">
        <f>IF(tech_base!$T177&gt;K$625,"",(1000*tech_proj!K1141*(-PMT($J$110,tech_base!$F177,1))+1000*tech_proj!K1421)/((1-tech_proj!K581)*tech_proj!K861*$L$110))</f>
        <v>87.267565675019341</v>
      </c>
      <c r="L801" s="71">
        <f>IF(tech_base!$T177&gt;L$625,"",(1000*tech_proj!L1141*(-PMT($J$110,tech_base!$F177,1))+1000*tech_proj!L1421)/((1-tech_proj!L581)*tech_proj!L861*$L$110))</f>
        <v>87.267565675019341</v>
      </c>
      <c r="M801" s="71">
        <f>IF(tech_base!$T177&gt;M$625,"",(1000*tech_proj!M1141*(-PMT($J$110,tech_base!$F177,1))+1000*tech_proj!M1421)/((1-tech_proj!M581)*tech_proj!M861*$L$110))</f>
        <v>87.267565675019341</v>
      </c>
      <c r="N801" s="71">
        <f>IF(tech_base!$T177&gt;N$625,"",(1000*tech_proj!N1141*(-PMT($J$110,tech_base!$F177,1))+1000*tech_proj!N1421)/((1-tech_proj!N581)*tech_proj!N861*$L$110))</f>
        <v>87.267565675019341</v>
      </c>
      <c r="O801" s="71">
        <f>IF(tech_base!$T177&gt;O$625,"",(1000*tech_proj!O1141*(-PMT($J$110,tech_base!$F177,1))+1000*tech_proj!O1421)/((1-tech_proj!O581)*tech_proj!O861*$L$110))</f>
        <v>87.267565675019341</v>
      </c>
      <c r="P801" s="71">
        <f>IF(tech_base!$T177&gt;P$625,"",(1000*tech_proj!P1141*(-PMT($J$110,tech_base!$F177,1))+1000*tech_proj!P1421)/((1-tech_proj!P581)*tech_proj!P861*$L$110))</f>
        <v>87.267565675019341</v>
      </c>
      <c r="Q801" s="71">
        <f>IF(tech_base!$T177&gt;Q$625,"",(1000*tech_proj!Q1141*(-PMT($J$110,tech_base!$F177,1))+1000*tech_proj!Q1421)/((1-tech_proj!Q581)*tech_proj!Q861*$L$110))</f>
        <v>87.267565675019341</v>
      </c>
      <c r="R801" s="71">
        <f>IF(tech_base!$T177&gt;R$625,"",(1000*tech_proj!R1141*(-PMT($J$110,tech_base!$F177,1))+1000*tech_proj!R1421)/((1-tech_proj!R581)*tech_proj!R861*$L$110))</f>
        <v>87.267565675019341</v>
      </c>
      <c r="S801" s="71">
        <f>IF(tech_base!$T177&gt;S$625,"",(1000*tech_proj!S1141*(-PMT($J$110,tech_base!$F177,1))+1000*tech_proj!S1421)/((1-tech_proj!S581)*tech_proj!S861*$L$110))</f>
        <v>87.267565675019341</v>
      </c>
      <c r="T801" s="71">
        <f>IF(tech_base!$T177&gt;T$625,"",(1000*tech_proj!T1141*(-PMT($J$110,tech_base!$F177,1))+1000*tech_proj!T1421)/((1-tech_proj!T581)*tech_proj!T861*$L$110))</f>
        <v>87.267565675019341</v>
      </c>
      <c r="U801" s="71">
        <f>IF(tech_base!$T177&gt;U$625,"",(1000*tech_proj!U1141*(-PMT($J$110,tech_base!$F177,1))+1000*tech_proj!U1421)/((1-tech_proj!U581)*tech_proj!U861*$L$110))</f>
        <v>87.267565675019341</v>
      </c>
      <c r="V801" s="71">
        <f>IF(tech_base!$T177&gt;V$625,"",(1000*tech_proj!V1141*(-PMT($J$110,tech_base!$F177,1))+1000*tech_proj!V1421)/((1-tech_proj!V581)*tech_proj!V861*$L$110))</f>
        <v>87.267565675019341</v>
      </c>
      <c r="W801" s="71">
        <f>IF(tech_base!$T177&gt;W$625,"",(1000*tech_proj!W1141*(-PMT($J$110,tech_base!$F177,1))+1000*tech_proj!W1421)/((1-tech_proj!W581)*tech_proj!W861*$L$110))</f>
        <v>87.267565675019341</v>
      </c>
      <c r="X801" s="71">
        <f>IF(tech_base!$T177&gt;X$625,"",(1000*tech_proj!X1141*(-PMT($J$110,tech_base!$F177,1))+1000*tech_proj!X1421)/((1-tech_proj!X581)*tech_proj!X861*$L$110))</f>
        <v>87.267565675019341</v>
      </c>
      <c r="Y801" s="71">
        <f>IF(tech_base!$T177&gt;Y$625,"",(1000*tech_proj!Y1141*(-PMT($J$110,tech_base!$F177,1))+1000*tech_proj!Y1421)/((1-tech_proj!Y581)*tech_proj!Y861*$L$110))</f>
        <v>87.267565675019341</v>
      </c>
      <c r="Z801" s="71">
        <f>IF(tech_base!$T177&gt;Z$625,"",(1000*tech_proj!Z1141*(-PMT($J$110,tech_base!$F177,1))+1000*tech_proj!Z1421)/((1-tech_proj!Z581)*tech_proj!Z861*$L$110))</f>
        <v>87.267565675019341</v>
      </c>
      <c r="AA801" s="71">
        <f>IF(tech_base!$T177&gt;AA$625,"",(1000*tech_proj!AA1141*(-PMT($J$110,tech_base!$F177,1))+1000*tech_proj!AA1421)/((1-tech_proj!AA581)*tech_proj!AA861*$L$110))</f>
        <v>87.267565675019341</v>
      </c>
      <c r="AB801" s="71">
        <f>IF(tech_base!$T177&gt;AB$625,"",(1000*tech_proj!AB1141*(-PMT($J$110,tech_base!$F177,1))+1000*tech_proj!AB1421)/((1-tech_proj!AB581)*tech_proj!AB861*$L$110))</f>
        <v>87.267565675019341</v>
      </c>
      <c r="AC801" s="71">
        <f>IF(tech_base!$T177&gt;AC$625,"",(1000*tech_proj!AC1141*(-PMT($J$110,tech_base!$F177,1))+1000*tech_proj!AC1421)/((1-tech_proj!AC581)*tech_proj!AC861*$L$110))</f>
        <v>87.267565675019341</v>
      </c>
      <c r="AD801" s="71">
        <f>IF(tech_base!$T177&gt;AD$625,"",(1000*tech_proj!AD1141*(-PMT($J$110,tech_base!$F177,1))+1000*tech_proj!AD1421)/((1-tech_proj!AD581)*tech_proj!AD861*$L$110))</f>
        <v>87.267565675019341</v>
      </c>
      <c r="AE801" s="71">
        <f>IF(tech_base!$T177&gt;AE$625,"",(1000*tech_proj!AE1141*(-PMT($J$110,tech_base!$F177,1))+1000*tech_proj!AE1421)/((1-tech_proj!AE581)*tech_proj!AE861*$L$110))</f>
        <v>87.267565675019341</v>
      </c>
      <c r="AF801" s="71">
        <f>IF(tech_base!$T177&gt;AF$625,"",(1000*tech_proj!AF1141*(-PMT($J$110,tech_base!$F177,1))+1000*tech_proj!AF1421)/((1-tech_proj!AF581)*tech_proj!AF861*$L$110))</f>
        <v>87.267565675019341</v>
      </c>
      <c r="AG801" s="71">
        <f>IF(tech_base!$T177&gt;AG$625,"",(1000*tech_proj!AG1141*(-PMT($J$110,tech_base!$F177,1))+1000*tech_proj!AG1421)/((1-tech_proj!AG581)*tech_proj!AG861*$L$110))</f>
        <v>87.267565675019341</v>
      </c>
      <c r="AH801" s="71">
        <f>IF(tech_base!$T177&gt;AH$625,"",(1000*tech_proj!AH1141*(-PMT($J$110,tech_base!$F177,1))+1000*tech_proj!AH1421)/((1-tech_proj!AH581)*tech_proj!AH861*$L$110))</f>
        <v>87.267565675019341</v>
      </c>
      <c r="AI801" s="71">
        <f>IF(tech_base!$T177&gt;AI$625,"",(1000*tech_proj!AI1141*(-PMT($J$110,tech_base!$F177,1))+1000*tech_proj!AI1421)/((1-tech_proj!AI581)*tech_proj!AI861*$L$110))</f>
        <v>87.267565675019341</v>
      </c>
      <c r="AJ801" s="71">
        <f>IF(tech_base!$T177&gt;AJ$625,"",(1000*tech_proj!AJ1141*(-PMT($J$110,tech_base!$F177,1))+1000*tech_proj!AJ1421)/((1-tech_proj!AJ581)*tech_proj!AJ861*$L$110))</f>
        <v>87.267565675019341</v>
      </c>
      <c r="AK801" s="71">
        <f>IF(tech_base!$T177&gt;AK$625,"",(1000*tech_proj!AK1141*(-PMT($J$110,tech_base!$F177,1))+1000*tech_proj!AK1421)/((1-tech_proj!AK581)*tech_proj!AK861*$L$110))</f>
        <v>87.267565675019341</v>
      </c>
      <c r="AL801" s="71">
        <f>IF(tech_base!$T177&gt;AL$625,"",(1000*tech_proj!AL1141*(-PMT($J$110,tech_base!$F177,1))+1000*tech_proj!AL1421)/((1-tech_proj!AL581)*tech_proj!AL861*$L$110))</f>
        <v>87.267565675019341</v>
      </c>
      <c r="AM801" s="71">
        <f>IF(tech_base!$T177&gt;AM$625,"",(1000*tech_proj!AM1141*(-PMT($J$110,tech_base!$F177,1))+1000*tech_proj!AM1421)/((1-tech_proj!AM581)*tech_proj!AM861*$L$110))</f>
        <v>87.267565675019341</v>
      </c>
      <c r="AN801" s="71">
        <f>IF(tech_base!$T177&gt;AN$625,"",(1000*tech_proj!AN1141*(-PMT($J$110,tech_base!$F177,1))+1000*tech_proj!AN1421)/((1-tech_proj!AN581)*tech_proj!AN861*$L$110))</f>
        <v>87.243681710079059</v>
      </c>
      <c r="AO801" s="71">
        <f>IF(tech_base!$T177&gt;AO$625,"",(1000*tech_proj!AO1141*(-PMT($J$110,tech_base!$F177,1))+1000*tech_proj!AO1421)/((1-tech_proj!AO581)*tech_proj!AO861*$L$110))</f>
        <v>87.235384254219611</v>
      </c>
      <c r="AP801" s="71">
        <f>IF(tech_base!$T177&gt;AP$625,"",(1000*tech_proj!AP1141*(-PMT($J$110,tech_base!$F177,1))+1000*tech_proj!AP1421)/((1-tech_proj!AP581)*tech_proj!AP861*$L$110))</f>
        <v>87.224231556916365</v>
      </c>
      <c r="AQ801" s="71">
        <f>IF(tech_base!$T177&gt;AQ$625,"",(1000*tech_proj!AQ1141*(-PMT($J$110,tech_base!$F177,1))+1000*tech_proj!AQ1421)/((1-tech_proj!AQ581)*tech_proj!AQ861*$L$110))</f>
        <v>87.209263255528128</v>
      </c>
      <c r="AR801" s="71">
        <f>IF(tech_base!$T177&gt;AR$625,"",(1000*tech_proj!AR1141*(-PMT($J$110,tech_base!$F177,1))+1000*tech_proj!AR1421)/((1-tech_proj!AR581)*tech_proj!AR861*$L$110))</f>
        <v>87.189213783260413</v>
      </c>
      <c r="AS801" s="71">
        <f>IF(tech_base!$T177&gt;AS$625,"",(1000*tech_proj!AS1141*(-PMT($J$110,tech_base!$F177,1))+1000*tech_proj!AS1421)/((1-tech_proj!AS581)*tech_proj!AS861*$L$110))</f>
        <v>87.162429598975493</v>
      </c>
      <c r="AT801" s="71">
        <f>IF(tech_base!$T177&gt;AT$625,"",(1000*tech_proj!AT1141*(-PMT($J$110,tech_base!$F177,1))+1000*tech_proj!AT1421)/((1-tech_proj!AT581)*tech_proj!AT861*$L$110))</f>
        <v>87.1267753884717</v>
      </c>
      <c r="AU801" s="71">
        <f>IF(tech_base!$T177&gt;AU$625,"",(1000*tech_proj!AU1141*(-PMT($J$110,tech_base!$F177,1))+1000*tech_proj!AU1421)/((1-tech_proj!AU581)*tech_proj!AU861*$L$110))</f>
        <v>87.079537683508704</v>
      </c>
      <c r="AV801" s="71">
        <f>IF(tech_base!$T177&gt;AV$625,"",(1000*tech_proj!AV1141*(-PMT($J$110,tech_base!$F177,1))+1000*tech_proj!AV1421)/((1-tech_proj!AV581)*tech_proj!AV861*$L$110))</f>
        <v>87.01734429594751</v>
      </c>
      <c r="AW801" s="71">
        <f>IF(tech_base!$T177&gt;AW$625,"",(1000*tech_proj!AW1141*(-PMT($J$110,tech_base!$F177,1))+1000*tech_proj!AW1421)/((1-tech_proj!AW581)*tech_proj!AW861*$L$110))</f>
        <v>86.936133482554467</v>
      </c>
      <c r="AX801" s="237">
        <f>IF(tech_base!$T177&gt;AX$625,"",(1000*tech_proj!AX1141*(-PMT($J$110,tech_base!$F177,1))+1000*tech_proj!AX1421)/((1-tech_proj!AX581)*tech_proj!AX861*$L$110))</f>
        <v>86.831227846644239</v>
      </c>
    </row>
    <row r="802" spans="1:50" x14ac:dyDescent="0.25">
      <c r="A802" s="356"/>
      <c r="B802" s="376"/>
      <c r="C802" s="379"/>
      <c r="D802" s="59" t="s">
        <v>8</v>
      </c>
      <c r="E802" s="166" t="str">
        <f>A799&amp;"/"&amp;B799&amp;"/"&amp;C801&amp;"/"&amp;D802</f>
        <v>Fuel oil fired power plants/Integrated gasification combined cycle/CHP/M</v>
      </c>
      <c r="F802" s="79" t="str">
        <f>A799</f>
        <v>Fuel oil fired power plants</v>
      </c>
      <c r="G802" s="79" t="str">
        <f>B799</f>
        <v>Integrated gasification combined cycle</v>
      </c>
      <c r="H802" s="79" t="str">
        <f>C801</f>
        <v>CHP</v>
      </c>
      <c r="I802" s="167" t="str">
        <f t="shared" si="364"/>
        <v>M</v>
      </c>
      <c r="J802" s="72">
        <f>IF(tech_base!$T178&gt;J$625,"",(1000*tech_proj!J1142*(-PMT($J$110,tech_base!$F178,1))+1000*tech_proj!J1422)/((1-tech_proj!J582)*tech_proj!J862*$L$110))</f>
        <v>93.255641349097104</v>
      </c>
      <c r="K802" s="72">
        <f>IF(tech_base!$T178&gt;K$625,"",(1000*tech_proj!K1142*(-PMT($J$110,tech_base!$F178,1))+1000*tech_proj!K1422)/((1-tech_proj!K582)*tech_proj!K862*$L$110))</f>
        <v>93.255641349097104</v>
      </c>
      <c r="L802" s="72">
        <f>IF(tech_base!$T178&gt;L$625,"",(1000*tech_proj!L1142*(-PMT($J$110,tech_base!$F178,1))+1000*tech_proj!L1422)/((1-tech_proj!L582)*tech_proj!L862*$L$110))</f>
        <v>93.255641349097104</v>
      </c>
      <c r="M802" s="72">
        <f>IF(tech_base!$T178&gt;M$625,"",(1000*tech_proj!M1142*(-PMT($J$110,tech_base!$F178,1))+1000*tech_proj!M1422)/((1-tech_proj!M582)*tech_proj!M862*$L$110))</f>
        <v>93.255641349097104</v>
      </c>
      <c r="N802" s="72">
        <f>IF(tech_base!$T178&gt;N$625,"",(1000*tech_proj!N1142*(-PMT($J$110,tech_base!$F178,1))+1000*tech_proj!N1422)/((1-tech_proj!N582)*tech_proj!N862*$L$110))</f>
        <v>93.255641349097104</v>
      </c>
      <c r="O802" s="72">
        <f>IF(tech_base!$T178&gt;O$625,"",(1000*tech_proj!O1142*(-PMT($J$110,tech_base!$F178,1))+1000*tech_proj!O1422)/((1-tech_proj!O582)*tech_proj!O862*$L$110))</f>
        <v>93.255641349097104</v>
      </c>
      <c r="P802" s="72">
        <f>IF(tech_base!$T178&gt;P$625,"",(1000*tech_proj!P1142*(-PMT($J$110,tech_base!$F178,1))+1000*tech_proj!P1422)/((1-tech_proj!P582)*tech_proj!P862*$L$110))</f>
        <v>93.255641349097104</v>
      </c>
      <c r="Q802" s="72">
        <f>IF(tech_base!$T178&gt;Q$625,"",(1000*tech_proj!Q1142*(-PMT($J$110,tech_base!$F178,1))+1000*tech_proj!Q1422)/((1-tech_proj!Q582)*tech_proj!Q862*$L$110))</f>
        <v>93.255641349097104</v>
      </c>
      <c r="R802" s="72">
        <f>IF(tech_base!$T178&gt;R$625,"",(1000*tech_proj!R1142*(-PMT($J$110,tech_base!$F178,1))+1000*tech_proj!R1422)/((1-tech_proj!R582)*tech_proj!R862*$L$110))</f>
        <v>93.255641349097104</v>
      </c>
      <c r="S802" s="72">
        <f>IF(tech_base!$T178&gt;S$625,"",(1000*tech_proj!S1142*(-PMT($J$110,tech_base!$F178,1))+1000*tech_proj!S1422)/((1-tech_proj!S582)*tech_proj!S862*$L$110))</f>
        <v>93.255641349097104</v>
      </c>
      <c r="T802" s="72">
        <f>IF(tech_base!$T178&gt;T$625,"",(1000*tech_proj!T1142*(-PMT($J$110,tech_base!$F178,1))+1000*tech_proj!T1422)/((1-tech_proj!T582)*tech_proj!T862*$L$110))</f>
        <v>93.255641349097104</v>
      </c>
      <c r="U802" s="72">
        <f>IF(tech_base!$T178&gt;U$625,"",(1000*tech_proj!U1142*(-PMT($J$110,tech_base!$F178,1))+1000*tech_proj!U1422)/((1-tech_proj!U582)*tech_proj!U862*$L$110))</f>
        <v>93.255641349097104</v>
      </c>
      <c r="V802" s="72">
        <f>IF(tech_base!$T178&gt;V$625,"",(1000*tech_proj!V1142*(-PMT($J$110,tech_base!$F178,1))+1000*tech_proj!V1422)/((1-tech_proj!V582)*tech_proj!V862*$L$110))</f>
        <v>93.255641349097104</v>
      </c>
      <c r="W802" s="72">
        <f>IF(tech_base!$T178&gt;W$625,"",(1000*tech_proj!W1142*(-PMT($J$110,tech_base!$F178,1))+1000*tech_proj!W1422)/((1-tech_proj!W582)*tech_proj!W862*$L$110))</f>
        <v>93.255641349097104</v>
      </c>
      <c r="X802" s="72">
        <f>IF(tech_base!$T178&gt;X$625,"",(1000*tech_proj!X1142*(-PMT($J$110,tech_base!$F178,1))+1000*tech_proj!X1422)/((1-tech_proj!X582)*tech_proj!X862*$L$110))</f>
        <v>93.255641349097104</v>
      </c>
      <c r="Y802" s="72">
        <f>IF(tech_base!$T178&gt;Y$625,"",(1000*tech_proj!Y1142*(-PMT($J$110,tech_base!$F178,1))+1000*tech_proj!Y1422)/((1-tech_proj!Y582)*tech_proj!Y862*$L$110))</f>
        <v>93.255641349097104</v>
      </c>
      <c r="Z802" s="72">
        <f>IF(tech_base!$T178&gt;Z$625,"",(1000*tech_proj!Z1142*(-PMT($J$110,tech_base!$F178,1))+1000*tech_proj!Z1422)/((1-tech_proj!Z582)*tech_proj!Z862*$L$110))</f>
        <v>93.255641349097104</v>
      </c>
      <c r="AA802" s="72">
        <f>IF(tech_base!$T178&gt;AA$625,"",(1000*tech_proj!AA1142*(-PMT($J$110,tech_base!$F178,1))+1000*tech_proj!AA1422)/((1-tech_proj!AA582)*tech_proj!AA862*$L$110))</f>
        <v>93.255641349097104</v>
      </c>
      <c r="AB802" s="72">
        <f>IF(tech_base!$T178&gt;AB$625,"",(1000*tech_proj!AB1142*(-PMT($J$110,tech_base!$F178,1))+1000*tech_proj!AB1422)/((1-tech_proj!AB582)*tech_proj!AB862*$L$110))</f>
        <v>93.255641349097104</v>
      </c>
      <c r="AC802" s="72">
        <f>IF(tech_base!$T178&gt;AC$625,"",(1000*tech_proj!AC1142*(-PMT($J$110,tech_base!$F178,1))+1000*tech_proj!AC1422)/((1-tech_proj!AC582)*tech_proj!AC862*$L$110))</f>
        <v>93.255641349097104</v>
      </c>
      <c r="AD802" s="72">
        <f>IF(tech_base!$T178&gt;AD$625,"",(1000*tech_proj!AD1142*(-PMT($J$110,tech_base!$F178,1))+1000*tech_proj!AD1422)/((1-tech_proj!AD582)*tech_proj!AD862*$L$110))</f>
        <v>93.255641349097104</v>
      </c>
      <c r="AE802" s="72">
        <f>IF(tech_base!$T178&gt;AE$625,"",(1000*tech_proj!AE1142*(-PMT($J$110,tech_base!$F178,1))+1000*tech_proj!AE1422)/((1-tech_proj!AE582)*tech_proj!AE862*$L$110))</f>
        <v>93.255641349097104</v>
      </c>
      <c r="AF802" s="72">
        <f>IF(tech_base!$T178&gt;AF$625,"",(1000*tech_proj!AF1142*(-PMT($J$110,tech_base!$F178,1))+1000*tech_proj!AF1422)/((1-tech_proj!AF582)*tech_proj!AF862*$L$110))</f>
        <v>93.255641349097104</v>
      </c>
      <c r="AG802" s="72">
        <f>IF(tech_base!$T178&gt;AG$625,"",(1000*tech_proj!AG1142*(-PMT($J$110,tech_base!$F178,1))+1000*tech_proj!AG1422)/((1-tech_proj!AG582)*tech_proj!AG862*$L$110))</f>
        <v>93.255641349097104</v>
      </c>
      <c r="AH802" s="72">
        <f>IF(tech_base!$T178&gt;AH$625,"",(1000*tech_proj!AH1142*(-PMT($J$110,tech_base!$F178,1))+1000*tech_proj!AH1422)/((1-tech_proj!AH582)*tech_proj!AH862*$L$110))</f>
        <v>93.255641349097104</v>
      </c>
      <c r="AI802" s="72">
        <f>IF(tech_base!$T178&gt;AI$625,"",(1000*tech_proj!AI1142*(-PMT($J$110,tech_base!$F178,1))+1000*tech_proj!AI1422)/((1-tech_proj!AI582)*tech_proj!AI862*$L$110))</f>
        <v>93.255641349097104</v>
      </c>
      <c r="AJ802" s="72">
        <f>IF(tech_base!$T178&gt;AJ$625,"",(1000*tech_proj!AJ1142*(-PMT($J$110,tech_base!$F178,1))+1000*tech_proj!AJ1422)/((1-tech_proj!AJ582)*tech_proj!AJ862*$L$110))</f>
        <v>93.255641349097104</v>
      </c>
      <c r="AK802" s="72">
        <f>IF(tech_base!$T178&gt;AK$625,"",(1000*tech_proj!AK1142*(-PMT($J$110,tech_base!$F178,1))+1000*tech_proj!AK1422)/((1-tech_proj!AK582)*tech_proj!AK862*$L$110))</f>
        <v>93.255641349097104</v>
      </c>
      <c r="AL802" s="72">
        <f>IF(tech_base!$T178&gt;AL$625,"",(1000*tech_proj!AL1142*(-PMT($J$110,tech_base!$F178,1))+1000*tech_proj!AL1422)/((1-tech_proj!AL582)*tech_proj!AL862*$L$110))</f>
        <v>93.255641349097104</v>
      </c>
      <c r="AM802" s="72">
        <f>IF(tech_base!$T178&gt;AM$625,"",(1000*tech_proj!AM1142*(-PMT($J$110,tech_base!$F178,1))+1000*tech_proj!AM1422)/((1-tech_proj!AM582)*tech_proj!AM862*$L$110))</f>
        <v>93.255641349097104</v>
      </c>
      <c r="AN802" s="72">
        <f>IF(tech_base!$T178&gt;AN$625,"",(1000*tech_proj!AN1142*(-PMT($J$110,tech_base!$F178,1))+1000*tech_proj!AN1422)/((1-tech_proj!AN582)*tech_proj!AN862*$L$110))</f>
        <v>93.230118527975222</v>
      </c>
      <c r="AO802" s="72">
        <f>IF(tech_base!$T178&gt;AO$625,"",(1000*tech_proj!AO1142*(-PMT($J$110,tech_base!$F178,1))+1000*tech_proj!AO1422)/((1-tech_proj!AO582)*tech_proj!AO862*$L$110))</f>
        <v>93.221251722057673</v>
      </c>
      <c r="AP802" s="72">
        <f>IF(tech_base!$T178&gt;AP$625,"",(1000*tech_proj!AP1142*(-PMT($J$110,tech_base!$F178,1))+1000*tech_proj!AP1422)/((1-tech_proj!AP582)*tech_proj!AP862*$L$110))</f>
        <v>93.209333755379646</v>
      </c>
      <c r="AQ802" s="72">
        <f>IF(tech_base!$T178&gt;AQ$625,"",(1000*tech_proj!AQ1142*(-PMT($J$110,tech_base!$F178,1))+1000*tech_proj!AQ1422)/((1-tech_proj!AQ582)*tech_proj!AQ862*$L$110))</f>
        <v>93.193338367688142</v>
      </c>
      <c r="AR802" s="72">
        <f>IF(tech_base!$T178&gt;AR$625,"",(1000*tech_proj!AR1142*(-PMT($J$110,tech_base!$F178,1))+1000*tech_proj!AR1422)/((1-tech_proj!AR582)*tech_proj!AR862*$L$110))</f>
        <v>93.17191315225358</v>
      </c>
      <c r="AS802" s="72">
        <f>IF(tech_base!$T178&gt;AS$625,"",(1000*tech_proj!AS1142*(-PMT($J$110,tech_base!$F178,1))+1000*tech_proj!AS1422)/((1-tech_proj!AS582)*tech_proj!AS862*$L$110))</f>
        <v>93.143291106202653</v>
      </c>
      <c r="AT802" s="72">
        <f>IF(tech_base!$T178&gt;AT$625,"",(1000*tech_proj!AT1142*(-PMT($J$110,tech_base!$F178,1))+1000*tech_proj!AT1422)/((1-tech_proj!AT582)*tech_proj!AT862*$L$110))</f>
        <v>93.105190395570844</v>
      </c>
      <c r="AU802" s="72">
        <f>IF(tech_base!$T178&gt;AU$625,"",(1000*tech_proj!AU1142*(-PMT($J$110,tech_base!$F178,1))+1000*tech_proj!AU1422)/((1-tech_proj!AU582)*tech_proj!AU862*$L$110))</f>
        <v>93.054711360913373</v>
      </c>
      <c r="AV802" s="72">
        <f>IF(tech_base!$T178&gt;AV$625,"",(1000*tech_proj!AV1142*(-PMT($J$110,tech_base!$F178,1))+1000*tech_proj!AV1422)/((1-tech_proj!AV582)*tech_proj!AV862*$L$110))</f>
        <v>92.988250423223292</v>
      </c>
      <c r="AW802" s="72">
        <f>IF(tech_base!$T178&gt;AW$625,"",(1000*tech_proj!AW1142*(-PMT($J$110,tech_base!$F178,1))+1000*tech_proj!AW1422)/((1-tech_proj!AW582)*tech_proj!AW862*$L$110))</f>
        <v>92.901467132903761</v>
      </c>
      <c r="AX802" s="238">
        <f>IF(tech_base!$T178&gt;AX$625,"",(1000*tech_proj!AX1142*(-PMT($J$110,tech_base!$F178,1))+1000*tech_proj!AX1422)/((1-tech_proj!AX582)*tech_proj!AX862*$L$110))</f>
        <v>92.789363142351633</v>
      </c>
    </row>
    <row r="803" spans="1:50" x14ac:dyDescent="0.25">
      <c r="A803" s="356"/>
      <c r="B803" s="376"/>
      <c r="C803" s="361" t="s">
        <v>15</v>
      </c>
      <c r="D803" s="58" t="s">
        <v>7</v>
      </c>
      <c r="E803" s="164" t="str">
        <f>A799&amp;"/"&amp;B799&amp;"/"&amp;C803&amp;"/"&amp;D803</f>
        <v>Fuel oil fired power plants/Integrated gasification combined cycle/Electricity only with CCS/L</v>
      </c>
      <c r="F803" s="78" t="str">
        <f>A799</f>
        <v>Fuel oil fired power plants</v>
      </c>
      <c r="G803" s="78" t="str">
        <f>B799</f>
        <v>Integrated gasification combined cycle</v>
      </c>
      <c r="H803" s="78" t="str">
        <f>C803</f>
        <v>Electricity only with CCS</v>
      </c>
      <c r="I803" s="165" t="str">
        <f t="shared" si="364"/>
        <v>L</v>
      </c>
      <c r="J803" s="71" t="str">
        <f>IF(tech_base!$T179&gt;J$625,"",(1000*tech_proj!J1143*(-PMT($J$110,tech_base!$F179,1))+1000*tech_proj!J1423)/((1-tech_proj!J583)*tech_proj!J863*$L$110))</f>
        <v/>
      </c>
      <c r="K803" s="71" t="str">
        <f>IF(tech_base!$T179&gt;K$625,"",(1000*tech_proj!K1143*(-PMT($J$110,tech_base!$F179,1))+1000*tech_proj!K1423)/((1-tech_proj!K583)*tech_proj!K863*$L$110))</f>
        <v/>
      </c>
      <c r="L803" s="71" t="str">
        <f>IF(tech_base!$T179&gt;L$625,"",(1000*tech_proj!L1143*(-PMT($J$110,tech_base!$F179,1))+1000*tech_proj!L1423)/((1-tech_proj!L583)*tech_proj!L863*$L$110))</f>
        <v/>
      </c>
      <c r="M803" s="71" t="str">
        <f>IF(tech_base!$T179&gt;M$625,"",(1000*tech_proj!M1143*(-PMT($J$110,tech_base!$F179,1))+1000*tech_proj!M1423)/((1-tech_proj!M583)*tech_proj!M863*$L$110))</f>
        <v/>
      </c>
      <c r="N803" s="71" t="str">
        <f>IF(tech_base!$T179&gt;N$625,"",(1000*tech_proj!N1143*(-PMT($J$110,tech_base!$F179,1))+1000*tech_proj!N1423)/((1-tech_proj!N583)*tech_proj!N863*$L$110))</f>
        <v/>
      </c>
      <c r="O803" s="71" t="str">
        <f>IF(tech_base!$T179&gt;O$625,"",(1000*tech_proj!O1143*(-PMT($J$110,tech_base!$F179,1))+1000*tech_proj!O1423)/((1-tech_proj!O583)*tech_proj!O863*$L$110))</f>
        <v/>
      </c>
      <c r="P803" s="71" t="str">
        <f>IF(tech_base!$T179&gt;P$625,"",(1000*tech_proj!P1143*(-PMT($J$110,tech_base!$F179,1))+1000*tech_proj!P1423)/((1-tech_proj!P583)*tech_proj!P863*$L$110))</f>
        <v/>
      </c>
      <c r="Q803" s="71" t="str">
        <f>IF(tech_base!$T179&gt;Q$625,"",(1000*tech_proj!Q1143*(-PMT($J$110,tech_base!$F179,1))+1000*tech_proj!Q1423)/((1-tech_proj!Q583)*tech_proj!Q863*$L$110))</f>
        <v/>
      </c>
      <c r="R803" s="71" t="str">
        <f>IF(tech_base!$T179&gt;R$625,"",(1000*tech_proj!R1143*(-PMT($J$110,tech_base!$F179,1))+1000*tech_proj!R1423)/((1-tech_proj!R583)*tech_proj!R863*$L$110))</f>
        <v/>
      </c>
      <c r="S803" s="71" t="str">
        <f>IF(tech_base!$T179&gt;S$625,"",(1000*tech_proj!S1143*(-PMT($J$110,tech_base!$F179,1))+1000*tech_proj!S1423)/((1-tech_proj!S583)*tech_proj!S863*$L$110))</f>
        <v/>
      </c>
      <c r="T803" s="71" t="str">
        <f>IF(tech_base!$T179&gt;T$625,"",(1000*tech_proj!T1143*(-PMT($J$110,tech_base!$F179,1))+1000*tech_proj!T1423)/((1-tech_proj!T583)*tech_proj!T863*$L$110))</f>
        <v/>
      </c>
      <c r="U803" s="71" t="str">
        <f>IF(tech_base!$T179&gt;U$625,"",(1000*tech_proj!U1143*(-PMT($J$110,tech_base!$F179,1))+1000*tech_proj!U1423)/((1-tech_proj!U583)*tech_proj!U863*$L$110))</f>
        <v/>
      </c>
      <c r="V803" s="71" t="str">
        <f>IF(tech_base!$T179&gt;V$625,"",(1000*tech_proj!V1143*(-PMT($J$110,tech_base!$F179,1))+1000*tech_proj!V1423)/((1-tech_proj!V583)*tech_proj!V863*$L$110))</f>
        <v/>
      </c>
      <c r="W803" s="71" t="str">
        <f>IF(tech_base!$T179&gt;W$625,"",(1000*tech_proj!W1143*(-PMT($J$110,tech_base!$F179,1))+1000*tech_proj!W1423)/((1-tech_proj!W583)*tech_proj!W863*$L$110))</f>
        <v/>
      </c>
      <c r="X803" s="71" t="str">
        <f>IF(tech_base!$T179&gt;X$625,"",(1000*tech_proj!X1143*(-PMT($J$110,tech_base!$F179,1))+1000*tech_proj!X1423)/((1-tech_proj!X583)*tech_proj!X863*$L$110))</f>
        <v/>
      </c>
      <c r="Y803" s="71" t="str">
        <f>IF(tech_base!$T179&gt;Y$625,"",(1000*tech_proj!Y1143*(-PMT($J$110,tech_base!$F179,1))+1000*tech_proj!Y1423)/((1-tech_proj!Y583)*tech_proj!Y863*$L$110))</f>
        <v/>
      </c>
      <c r="Z803" s="71" t="str">
        <f>IF(tech_base!$T179&gt;Z$625,"",(1000*tech_proj!Z1143*(-PMT($J$110,tech_base!$F179,1))+1000*tech_proj!Z1423)/((1-tech_proj!Z583)*tech_proj!Z863*$L$110))</f>
        <v/>
      </c>
      <c r="AA803" s="71" t="str">
        <f>IF(tech_base!$T179&gt;AA$625,"",(1000*tech_proj!AA1143*(-PMT($J$110,tech_base!$F179,1))+1000*tech_proj!AA1423)/((1-tech_proj!AA583)*tech_proj!AA863*$L$110))</f>
        <v/>
      </c>
      <c r="AB803" s="71" t="str">
        <f>IF(tech_base!$T179&gt;AB$625,"",(1000*tech_proj!AB1143*(-PMT($J$110,tech_base!$F179,1))+1000*tech_proj!AB1423)/((1-tech_proj!AB583)*tech_proj!AB863*$L$110))</f>
        <v/>
      </c>
      <c r="AC803" s="71" t="str">
        <f>IF(tech_base!$T179&gt;AC$625,"",(1000*tech_proj!AC1143*(-PMT($J$110,tech_base!$F179,1))+1000*tech_proj!AC1423)/((1-tech_proj!AC583)*tech_proj!AC863*$L$110))</f>
        <v/>
      </c>
      <c r="AD803" s="71" t="str">
        <f>IF(tech_base!$T179&gt;AD$625,"",(1000*tech_proj!AD1143*(-PMT($J$110,tech_base!$F179,1))+1000*tech_proj!AD1423)/((1-tech_proj!AD583)*tech_proj!AD863*$L$110))</f>
        <v/>
      </c>
      <c r="AE803" s="71">
        <f>IF(tech_base!$T179&gt;AE$625,"",(1000*tech_proj!AE1143*(-PMT($J$110,tech_base!$F179,1))+1000*tech_proj!AE1423)/((1-tech_proj!AE583)*tech_proj!AE863*$L$110))</f>
        <v>133.24458048530158</v>
      </c>
      <c r="AF803" s="71">
        <f>IF(tech_base!$T179&gt;AF$625,"",(1000*tech_proj!AF1143*(-PMT($J$110,tech_base!$F179,1))+1000*tech_proj!AF1423)/((1-tech_proj!AF583)*tech_proj!AF863*$L$110))</f>
        <v>133.24458048530158</v>
      </c>
      <c r="AG803" s="71">
        <f>IF(tech_base!$T179&gt;AG$625,"",(1000*tech_proj!AG1143*(-PMT($J$110,tech_base!$F179,1))+1000*tech_proj!AG1423)/((1-tech_proj!AG583)*tech_proj!AG863*$L$110))</f>
        <v>133.24458048530158</v>
      </c>
      <c r="AH803" s="71">
        <f>IF(tech_base!$T179&gt;AH$625,"",(1000*tech_proj!AH1143*(-PMT($J$110,tech_base!$F179,1))+1000*tech_proj!AH1423)/((1-tech_proj!AH583)*tech_proj!AH863*$L$110))</f>
        <v>133.24458048530158</v>
      </c>
      <c r="AI803" s="71">
        <f>IF(tech_base!$T179&gt;AI$625,"",(1000*tech_proj!AI1143*(-PMT($J$110,tech_base!$F179,1))+1000*tech_proj!AI1423)/((1-tech_proj!AI583)*tech_proj!AI863*$L$110))</f>
        <v>133.24458048530158</v>
      </c>
      <c r="AJ803" s="71">
        <f>IF(tech_base!$T179&gt;AJ$625,"",(1000*tech_proj!AJ1143*(-PMT($J$110,tech_base!$F179,1))+1000*tech_proj!AJ1423)/((1-tech_proj!AJ583)*tech_proj!AJ863*$L$110))</f>
        <v>133.24458048530158</v>
      </c>
      <c r="AK803" s="71">
        <f>IF(tech_base!$T179&gt;AK$625,"",(1000*tech_proj!AK1143*(-PMT($J$110,tech_base!$F179,1))+1000*tech_proj!AK1423)/((1-tech_proj!AK583)*tech_proj!AK863*$L$110))</f>
        <v>133.24458048530158</v>
      </c>
      <c r="AL803" s="71">
        <f>IF(tech_base!$T179&gt;AL$625,"",(1000*tech_proj!AL1143*(-PMT($J$110,tech_base!$F179,1))+1000*tech_proj!AL1423)/((1-tech_proj!AL583)*tech_proj!AL863*$L$110))</f>
        <v>133.24458048530158</v>
      </c>
      <c r="AM803" s="71">
        <f>IF(tech_base!$T179&gt;AM$625,"",(1000*tech_proj!AM1143*(-PMT($J$110,tech_base!$F179,1))+1000*tech_proj!AM1423)/((1-tech_proj!AM583)*tech_proj!AM863*$L$110))</f>
        <v>133.24458048530158</v>
      </c>
      <c r="AN803" s="71">
        <f>IF(tech_base!$T179&gt;AN$625,"",(1000*tech_proj!AN1143*(-PMT($J$110,tech_base!$F179,1))+1000*tech_proj!AN1423)/((1-tech_proj!AN583)*tech_proj!AN863*$L$110))</f>
        <v>133.24458048530158</v>
      </c>
      <c r="AO803" s="71">
        <f>IF(tech_base!$T179&gt;AO$625,"",(1000*tech_proj!AO1143*(-PMT($J$110,tech_base!$F179,1))+1000*tech_proj!AO1423)/((1-tech_proj!AO583)*tech_proj!AO863*$L$110))</f>
        <v>133.24458048530158</v>
      </c>
      <c r="AP803" s="71">
        <f>IF(tech_base!$T179&gt;AP$625,"",(1000*tech_proj!AP1143*(-PMT($J$110,tech_base!$F179,1))+1000*tech_proj!AP1423)/((1-tech_proj!AP583)*tech_proj!AP863*$L$110))</f>
        <v>133.24458048530158</v>
      </c>
      <c r="AQ803" s="71">
        <f>IF(tech_base!$T179&gt;AQ$625,"",(1000*tech_proj!AQ1143*(-PMT($J$110,tech_base!$F179,1))+1000*tech_proj!AQ1423)/((1-tech_proj!AQ583)*tech_proj!AQ863*$L$110))</f>
        <v>133.24458048530158</v>
      </c>
      <c r="AR803" s="71">
        <f>IF(tech_base!$T179&gt;AR$625,"",(1000*tech_proj!AR1143*(-PMT($J$110,tech_base!$F179,1))+1000*tech_proj!AR1423)/((1-tech_proj!AR583)*tech_proj!AR863*$L$110))</f>
        <v>133.24458048530158</v>
      </c>
      <c r="AS803" s="71">
        <f>IF(tech_base!$T179&gt;AS$625,"",(1000*tech_proj!AS1143*(-PMT($J$110,tech_base!$F179,1))+1000*tech_proj!AS1423)/((1-tech_proj!AS583)*tech_proj!AS863*$L$110))</f>
        <v>133.18465832936434</v>
      </c>
      <c r="AT803" s="71">
        <f>IF(tech_base!$T179&gt;AT$625,"",(1000*tech_proj!AT1143*(-PMT($J$110,tech_base!$F179,1))+1000*tech_proj!AT1423)/((1-tech_proj!AT583)*tech_proj!AT863*$L$110))</f>
        <v>133.14633037483964</v>
      </c>
      <c r="AU803" s="71">
        <f>IF(tech_base!$T179&gt;AU$625,"",(1000*tech_proj!AU1143*(-PMT($J$110,tech_base!$F179,1))+1000*tech_proj!AU1423)/((1-tech_proj!AU583)*tech_proj!AU863*$L$110))</f>
        <v>133.0840533497275</v>
      </c>
      <c r="AV803" s="71">
        <f>IF(tech_base!$T179&gt;AV$625,"",(1000*tech_proj!AV1143*(-PMT($J$110,tech_base!$F179,1))+1000*tech_proj!AV1423)/((1-tech_proj!AV583)*tech_proj!AV863*$L$110))</f>
        <v>132.9837926636761</v>
      </c>
      <c r="AW803" s="71">
        <f>IF(tech_base!$T179&gt;AW$625,"",(1000*tech_proj!AW1143*(-PMT($J$110,tech_base!$F179,1))+1000*tech_proj!AW1423)/((1-tech_proj!AW583)*tech_proj!AW863*$L$110))</f>
        <v>132.8247593550166</v>
      </c>
      <c r="AX803" s="237">
        <f>IF(tech_base!$T179&gt;AX$625,"",(1000*tech_proj!AX1143*(-PMT($J$110,tech_base!$F179,1))+1000*tech_proj!AX1423)/((1-tech_proj!AX583)*tech_proj!AX863*$L$110))</f>
        <v>132.57835758287507</v>
      </c>
    </row>
    <row r="804" spans="1:50" x14ac:dyDescent="0.25">
      <c r="A804" s="356"/>
      <c r="B804" s="376"/>
      <c r="C804" s="379"/>
      <c r="D804" s="59" t="s">
        <v>8</v>
      </c>
      <c r="E804" s="166" t="str">
        <f>A799&amp;"/"&amp;B799&amp;"/"&amp;C803&amp;"/"&amp;D804</f>
        <v>Fuel oil fired power plants/Integrated gasification combined cycle/Electricity only with CCS/M</v>
      </c>
      <c r="F804" s="79" t="str">
        <f>A799</f>
        <v>Fuel oil fired power plants</v>
      </c>
      <c r="G804" s="79" t="str">
        <f>B799</f>
        <v>Integrated gasification combined cycle</v>
      </c>
      <c r="H804" s="79" t="str">
        <f>C803</f>
        <v>Electricity only with CCS</v>
      </c>
      <c r="I804" s="167" t="str">
        <f t="shared" si="364"/>
        <v>M</v>
      </c>
      <c r="J804" s="72" t="str">
        <f>IF(tech_base!$T180&gt;J$625,"",(1000*tech_proj!J1144*(-PMT($J$110,tech_base!$F180,1))+1000*tech_proj!J1424)/((1-tech_proj!J584)*tech_proj!J864*$L$110))</f>
        <v/>
      </c>
      <c r="K804" s="72" t="str">
        <f>IF(tech_base!$T180&gt;K$625,"",(1000*tech_proj!K1144*(-PMT($J$110,tech_base!$F180,1))+1000*tech_proj!K1424)/((1-tech_proj!K584)*tech_proj!K864*$L$110))</f>
        <v/>
      </c>
      <c r="L804" s="72" t="str">
        <f>IF(tech_base!$T180&gt;L$625,"",(1000*tech_proj!L1144*(-PMT($J$110,tech_base!$F180,1))+1000*tech_proj!L1424)/((1-tech_proj!L584)*tech_proj!L864*$L$110))</f>
        <v/>
      </c>
      <c r="M804" s="72" t="str">
        <f>IF(tech_base!$T180&gt;M$625,"",(1000*tech_proj!M1144*(-PMT($J$110,tech_base!$F180,1))+1000*tech_proj!M1424)/((1-tech_proj!M584)*tech_proj!M864*$L$110))</f>
        <v/>
      </c>
      <c r="N804" s="72" t="str">
        <f>IF(tech_base!$T180&gt;N$625,"",(1000*tech_proj!N1144*(-PMT($J$110,tech_base!$F180,1))+1000*tech_proj!N1424)/((1-tech_proj!N584)*tech_proj!N864*$L$110))</f>
        <v/>
      </c>
      <c r="O804" s="72" t="str">
        <f>IF(tech_base!$T180&gt;O$625,"",(1000*tech_proj!O1144*(-PMT($J$110,tech_base!$F180,1))+1000*tech_proj!O1424)/((1-tech_proj!O584)*tech_proj!O864*$L$110))</f>
        <v/>
      </c>
      <c r="P804" s="72" t="str">
        <f>IF(tech_base!$T180&gt;P$625,"",(1000*tech_proj!P1144*(-PMT($J$110,tech_base!$F180,1))+1000*tech_proj!P1424)/((1-tech_proj!P584)*tech_proj!P864*$L$110))</f>
        <v/>
      </c>
      <c r="Q804" s="72" t="str">
        <f>IF(tech_base!$T180&gt;Q$625,"",(1000*tech_proj!Q1144*(-PMT($J$110,tech_base!$F180,1))+1000*tech_proj!Q1424)/((1-tech_proj!Q584)*tech_proj!Q864*$L$110))</f>
        <v/>
      </c>
      <c r="R804" s="72" t="str">
        <f>IF(tech_base!$T180&gt;R$625,"",(1000*tech_proj!R1144*(-PMT($J$110,tech_base!$F180,1))+1000*tech_proj!R1424)/((1-tech_proj!R584)*tech_proj!R864*$L$110))</f>
        <v/>
      </c>
      <c r="S804" s="72" t="str">
        <f>IF(tech_base!$T180&gt;S$625,"",(1000*tech_proj!S1144*(-PMT($J$110,tech_base!$F180,1))+1000*tech_proj!S1424)/((1-tech_proj!S584)*tech_proj!S864*$L$110))</f>
        <v/>
      </c>
      <c r="T804" s="72" t="str">
        <f>IF(tech_base!$T180&gt;T$625,"",(1000*tech_proj!T1144*(-PMT($J$110,tech_base!$F180,1))+1000*tech_proj!T1424)/((1-tech_proj!T584)*tech_proj!T864*$L$110))</f>
        <v/>
      </c>
      <c r="U804" s="72" t="str">
        <f>IF(tech_base!$T180&gt;U$625,"",(1000*tech_proj!U1144*(-PMT($J$110,tech_base!$F180,1))+1000*tech_proj!U1424)/((1-tech_proj!U584)*tech_proj!U864*$L$110))</f>
        <v/>
      </c>
      <c r="V804" s="72" t="str">
        <f>IF(tech_base!$T180&gt;V$625,"",(1000*tech_proj!V1144*(-PMT($J$110,tech_base!$F180,1))+1000*tech_proj!V1424)/((1-tech_proj!V584)*tech_proj!V864*$L$110))</f>
        <v/>
      </c>
      <c r="W804" s="72" t="str">
        <f>IF(tech_base!$T180&gt;W$625,"",(1000*tech_proj!W1144*(-PMT($J$110,tech_base!$F180,1))+1000*tech_proj!W1424)/((1-tech_proj!W584)*tech_proj!W864*$L$110))</f>
        <v/>
      </c>
      <c r="X804" s="72" t="str">
        <f>IF(tech_base!$T180&gt;X$625,"",(1000*tech_proj!X1144*(-PMT($J$110,tech_base!$F180,1))+1000*tech_proj!X1424)/((1-tech_proj!X584)*tech_proj!X864*$L$110))</f>
        <v/>
      </c>
      <c r="Y804" s="72" t="str">
        <f>IF(tech_base!$T180&gt;Y$625,"",(1000*tech_proj!Y1144*(-PMT($J$110,tech_base!$F180,1))+1000*tech_proj!Y1424)/((1-tech_proj!Y584)*tech_proj!Y864*$L$110))</f>
        <v/>
      </c>
      <c r="Z804" s="72" t="str">
        <f>IF(tech_base!$T180&gt;Z$625,"",(1000*tech_proj!Z1144*(-PMT($J$110,tech_base!$F180,1))+1000*tech_proj!Z1424)/((1-tech_proj!Z584)*tech_proj!Z864*$L$110))</f>
        <v/>
      </c>
      <c r="AA804" s="72" t="str">
        <f>IF(tech_base!$T180&gt;AA$625,"",(1000*tech_proj!AA1144*(-PMT($J$110,tech_base!$F180,1))+1000*tech_proj!AA1424)/((1-tech_proj!AA584)*tech_proj!AA864*$L$110))</f>
        <v/>
      </c>
      <c r="AB804" s="72" t="str">
        <f>IF(tech_base!$T180&gt;AB$625,"",(1000*tech_proj!AB1144*(-PMT($J$110,tech_base!$F180,1))+1000*tech_proj!AB1424)/((1-tech_proj!AB584)*tech_proj!AB864*$L$110))</f>
        <v/>
      </c>
      <c r="AC804" s="72" t="str">
        <f>IF(tech_base!$T180&gt;AC$625,"",(1000*tech_proj!AC1144*(-PMT($J$110,tech_base!$F180,1))+1000*tech_proj!AC1424)/((1-tech_proj!AC584)*tech_proj!AC864*$L$110))</f>
        <v/>
      </c>
      <c r="AD804" s="72" t="str">
        <f>IF(tech_base!$T180&gt;AD$625,"",(1000*tech_proj!AD1144*(-PMT($J$110,tech_base!$F180,1))+1000*tech_proj!AD1424)/((1-tech_proj!AD584)*tech_proj!AD864*$L$110))</f>
        <v/>
      </c>
      <c r="AE804" s="72">
        <f>IF(tech_base!$T180&gt;AE$625,"",(1000*tech_proj!AE1144*(-PMT($J$110,tech_base!$F180,1))+1000*tech_proj!AE1424)/((1-tech_proj!AE584)*tech_proj!AE864*$L$110))</f>
        <v>143.83371489508357</v>
      </c>
      <c r="AF804" s="72">
        <f>IF(tech_base!$T180&gt;AF$625,"",(1000*tech_proj!AF1144*(-PMT($J$110,tech_base!$F180,1))+1000*tech_proj!AF1424)/((1-tech_proj!AF584)*tech_proj!AF864*$L$110))</f>
        <v>143.83371489508357</v>
      </c>
      <c r="AG804" s="72">
        <f>IF(tech_base!$T180&gt;AG$625,"",(1000*tech_proj!AG1144*(-PMT($J$110,tech_base!$F180,1))+1000*tech_proj!AG1424)/((1-tech_proj!AG584)*tech_proj!AG864*$L$110))</f>
        <v>143.83371489508357</v>
      </c>
      <c r="AH804" s="72">
        <f>IF(tech_base!$T180&gt;AH$625,"",(1000*tech_proj!AH1144*(-PMT($J$110,tech_base!$F180,1))+1000*tech_proj!AH1424)/((1-tech_proj!AH584)*tech_proj!AH864*$L$110))</f>
        <v>143.83371489508357</v>
      </c>
      <c r="AI804" s="72">
        <f>IF(tech_base!$T180&gt;AI$625,"",(1000*tech_proj!AI1144*(-PMT($J$110,tech_base!$F180,1))+1000*tech_proj!AI1424)/((1-tech_proj!AI584)*tech_proj!AI864*$L$110))</f>
        <v>143.83371489508357</v>
      </c>
      <c r="AJ804" s="72">
        <f>IF(tech_base!$T180&gt;AJ$625,"",(1000*tech_proj!AJ1144*(-PMT($J$110,tech_base!$F180,1))+1000*tech_proj!AJ1424)/((1-tech_proj!AJ584)*tech_proj!AJ864*$L$110))</f>
        <v>143.83371489508357</v>
      </c>
      <c r="AK804" s="72">
        <f>IF(tech_base!$T180&gt;AK$625,"",(1000*tech_proj!AK1144*(-PMT($J$110,tech_base!$F180,1))+1000*tech_proj!AK1424)/((1-tech_proj!AK584)*tech_proj!AK864*$L$110))</f>
        <v>143.83371489508357</v>
      </c>
      <c r="AL804" s="72">
        <f>IF(tech_base!$T180&gt;AL$625,"",(1000*tech_proj!AL1144*(-PMT($J$110,tech_base!$F180,1))+1000*tech_proj!AL1424)/((1-tech_proj!AL584)*tech_proj!AL864*$L$110))</f>
        <v>143.83371489508357</v>
      </c>
      <c r="AM804" s="72">
        <f>IF(tech_base!$T180&gt;AM$625,"",(1000*tech_proj!AM1144*(-PMT($J$110,tech_base!$F180,1))+1000*tech_proj!AM1424)/((1-tech_proj!AM584)*tech_proj!AM864*$L$110))</f>
        <v>143.83371489508357</v>
      </c>
      <c r="AN804" s="72">
        <f>IF(tech_base!$T180&gt;AN$625,"",(1000*tech_proj!AN1144*(-PMT($J$110,tech_base!$F180,1))+1000*tech_proj!AN1424)/((1-tech_proj!AN584)*tech_proj!AN864*$L$110))</f>
        <v>143.83371489508357</v>
      </c>
      <c r="AO804" s="72">
        <f>IF(tech_base!$T180&gt;AO$625,"",(1000*tech_proj!AO1144*(-PMT($J$110,tech_base!$F180,1))+1000*tech_proj!AO1424)/((1-tech_proj!AO584)*tech_proj!AO864*$L$110))</f>
        <v>143.83371489508357</v>
      </c>
      <c r="AP804" s="72">
        <f>IF(tech_base!$T180&gt;AP$625,"",(1000*tech_proj!AP1144*(-PMT($J$110,tech_base!$F180,1))+1000*tech_proj!AP1424)/((1-tech_proj!AP584)*tech_proj!AP864*$L$110))</f>
        <v>143.83371489508357</v>
      </c>
      <c r="AQ804" s="72">
        <f>IF(tech_base!$T180&gt;AQ$625,"",(1000*tech_proj!AQ1144*(-PMT($J$110,tech_base!$F180,1))+1000*tech_proj!AQ1424)/((1-tech_proj!AQ584)*tech_proj!AQ864*$L$110))</f>
        <v>143.83371489508357</v>
      </c>
      <c r="AR804" s="72">
        <f>IF(tech_base!$T180&gt;AR$625,"",(1000*tech_proj!AR1144*(-PMT($J$110,tech_base!$F180,1))+1000*tech_proj!AR1424)/((1-tech_proj!AR584)*tech_proj!AR864*$L$110))</f>
        <v>143.83371489508357</v>
      </c>
      <c r="AS804" s="72">
        <f>IF(tech_base!$T180&gt;AS$625,"",(1000*tech_proj!AS1144*(-PMT($J$110,tech_base!$F180,1))+1000*tech_proj!AS1424)/((1-tech_proj!AS584)*tech_proj!AS864*$L$110))</f>
        <v>143.76903064104798</v>
      </c>
      <c r="AT804" s="72">
        <f>IF(tech_base!$T180&gt;AT$625,"",(1000*tech_proj!AT1144*(-PMT($J$110,tech_base!$F180,1))+1000*tech_proj!AT1424)/((1-tech_proj!AT584)*tech_proj!AT864*$L$110))</f>
        <v>143.72765671001423</v>
      </c>
      <c r="AU804" s="72">
        <f>IF(tech_base!$T180&gt;AU$625,"",(1000*tech_proj!AU1144*(-PMT($J$110,tech_base!$F180,1))+1000*tech_proj!AU1424)/((1-tech_proj!AU584)*tech_proj!AU864*$L$110))</f>
        <v>143.66043044203496</v>
      </c>
      <c r="AV804" s="72">
        <f>IF(tech_base!$T180&gt;AV$625,"",(1000*tech_proj!AV1144*(-PMT($J$110,tech_base!$F180,1))+1000*tech_proj!AV1424)/((1-tech_proj!AV584)*tech_proj!AV864*$L$110))</f>
        <v>143.55220189810333</v>
      </c>
      <c r="AW804" s="72">
        <f>IF(tech_base!$T180&gt;AW$625,"",(1000*tech_proj!AW1144*(-PMT($J$110,tech_base!$F180,1))+1000*tech_proj!AW1424)/((1-tech_proj!AW584)*tech_proj!AW864*$L$110))</f>
        <v>143.38052998849741</v>
      </c>
      <c r="AX804" s="238">
        <f>IF(tech_base!$T180&gt;AX$625,"",(1000*tech_proj!AX1144*(-PMT($J$110,tech_base!$F180,1))+1000*tech_proj!AX1424)/((1-tech_proj!AX584)*tech_proj!AX864*$L$110))</f>
        <v>143.11454632060816</v>
      </c>
    </row>
    <row r="805" spans="1:50" x14ac:dyDescent="0.25">
      <c r="A805" s="356"/>
      <c r="B805" s="376"/>
      <c r="C805" s="361" t="s">
        <v>16</v>
      </c>
      <c r="D805" s="2" t="s">
        <v>7</v>
      </c>
      <c r="E805" s="160" t="str">
        <f>A799&amp;"/"&amp;B799&amp;"/"&amp;C805&amp;"/"&amp;D805</f>
        <v>Fuel oil fired power plants/Integrated gasification combined cycle/CHP with CCS/L</v>
      </c>
      <c r="F805" s="76" t="str">
        <f>A799</f>
        <v>Fuel oil fired power plants</v>
      </c>
      <c r="G805" s="76" t="str">
        <f>B799</f>
        <v>Integrated gasification combined cycle</v>
      </c>
      <c r="H805" s="76" t="str">
        <f>C805</f>
        <v>CHP with CCS</v>
      </c>
      <c r="I805" s="161" t="str">
        <f t="shared" si="364"/>
        <v>L</v>
      </c>
      <c r="J805" s="69" t="str">
        <f>IF(tech_base!$T181&gt;J$625,"",(1000*tech_proj!J1145*(-PMT($J$110,tech_base!$F181,1))+1000*tech_proj!J1425)/((1-tech_proj!J585)*tech_proj!J865*$L$110))</f>
        <v/>
      </c>
      <c r="K805" s="69" t="str">
        <f>IF(tech_base!$T181&gt;K$625,"",(1000*tech_proj!K1145*(-PMT($J$110,tech_base!$F181,1))+1000*tech_proj!K1425)/((1-tech_proj!K585)*tech_proj!K865*$L$110))</f>
        <v/>
      </c>
      <c r="L805" s="69" t="str">
        <f>IF(tech_base!$T181&gt;L$625,"",(1000*tech_proj!L1145*(-PMT($J$110,tech_base!$F181,1))+1000*tech_proj!L1425)/((1-tech_proj!L585)*tech_proj!L865*$L$110))</f>
        <v/>
      </c>
      <c r="M805" s="69" t="str">
        <f>IF(tech_base!$T181&gt;M$625,"",(1000*tech_proj!M1145*(-PMT($J$110,tech_base!$F181,1))+1000*tech_proj!M1425)/((1-tech_proj!M585)*tech_proj!M865*$L$110))</f>
        <v/>
      </c>
      <c r="N805" s="69" t="str">
        <f>IF(tech_base!$T181&gt;N$625,"",(1000*tech_proj!N1145*(-PMT($J$110,tech_base!$F181,1))+1000*tech_proj!N1425)/((1-tech_proj!N585)*tech_proj!N865*$L$110))</f>
        <v/>
      </c>
      <c r="O805" s="69" t="str">
        <f>IF(tech_base!$T181&gt;O$625,"",(1000*tech_proj!O1145*(-PMT($J$110,tech_base!$F181,1))+1000*tech_proj!O1425)/((1-tech_proj!O585)*tech_proj!O865*$L$110))</f>
        <v/>
      </c>
      <c r="P805" s="69" t="str">
        <f>IF(tech_base!$T181&gt;P$625,"",(1000*tech_proj!P1145*(-PMT($J$110,tech_base!$F181,1))+1000*tech_proj!P1425)/((1-tech_proj!P585)*tech_proj!P865*$L$110))</f>
        <v/>
      </c>
      <c r="Q805" s="69" t="str">
        <f>IF(tech_base!$T181&gt;Q$625,"",(1000*tech_proj!Q1145*(-PMT($J$110,tech_base!$F181,1))+1000*tech_proj!Q1425)/((1-tech_proj!Q585)*tech_proj!Q865*$L$110))</f>
        <v/>
      </c>
      <c r="R805" s="69" t="str">
        <f>IF(tech_base!$T181&gt;R$625,"",(1000*tech_proj!R1145*(-PMT($J$110,tech_base!$F181,1))+1000*tech_proj!R1425)/((1-tech_proj!R585)*tech_proj!R865*$L$110))</f>
        <v/>
      </c>
      <c r="S805" s="69" t="str">
        <f>IF(tech_base!$T181&gt;S$625,"",(1000*tech_proj!S1145*(-PMT($J$110,tech_base!$F181,1))+1000*tech_proj!S1425)/((1-tech_proj!S585)*tech_proj!S865*$L$110))</f>
        <v/>
      </c>
      <c r="T805" s="69" t="str">
        <f>IF(tech_base!$T181&gt;T$625,"",(1000*tech_proj!T1145*(-PMT($J$110,tech_base!$F181,1))+1000*tech_proj!T1425)/((1-tech_proj!T585)*tech_proj!T865*$L$110))</f>
        <v/>
      </c>
      <c r="U805" s="69" t="str">
        <f>IF(tech_base!$T181&gt;U$625,"",(1000*tech_proj!U1145*(-PMT($J$110,tech_base!$F181,1))+1000*tech_proj!U1425)/((1-tech_proj!U585)*tech_proj!U865*$L$110))</f>
        <v/>
      </c>
      <c r="V805" s="69" t="str">
        <f>IF(tech_base!$T181&gt;V$625,"",(1000*tech_proj!V1145*(-PMT($J$110,tech_base!$F181,1))+1000*tech_proj!V1425)/((1-tech_proj!V585)*tech_proj!V865*$L$110))</f>
        <v/>
      </c>
      <c r="W805" s="69" t="str">
        <f>IF(tech_base!$T181&gt;W$625,"",(1000*tech_proj!W1145*(-PMT($J$110,tech_base!$F181,1))+1000*tech_proj!W1425)/((1-tech_proj!W585)*tech_proj!W865*$L$110))</f>
        <v/>
      </c>
      <c r="X805" s="69" t="str">
        <f>IF(tech_base!$T181&gt;X$625,"",(1000*tech_proj!X1145*(-PMT($J$110,tech_base!$F181,1))+1000*tech_proj!X1425)/((1-tech_proj!X585)*tech_proj!X865*$L$110))</f>
        <v/>
      </c>
      <c r="Y805" s="69" t="str">
        <f>IF(tech_base!$T181&gt;Y$625,"",(1000*tech_proj!Y1145*(-PMT($J$110,tech_base!$F181,1))+1000*tech_proj!Y1425)/((1-tech_proj!Y585)*tech_proj!Y865*$L$110))</f>
        <v/>
      </c>
      <c r="Z805" s="69" t="str">
        <f>IF(tech_base!$T181&gt;Z$625,"",(1000*tech_proj!Z1145*(-PMT($J$110,tech_base!$F181,1))+1000*tech_proj!Z1425)/((1-tech_proj!Z585)*tech_proj!Z865*$L$110))</f>
        <v/>
      </c>
      <c r="AA805" s="69" t="str">
        <f>IF(tech_base!$T181&gt;AA$625,"",(1000*tech_proj!AA1145*(-PMT($J$110,tech_base!$F181,1))+1000*tech_proj!AA1425)/((1-tech_proj!AA585)*tech_proj!AA865*$L$110))</f>
        <v/>
      </c>
      <c r="AB805" s="69" t="str">
        <f>IF(tech_base!$T181&gt;AB$625,"",(1000*tech_proj!AB1145*(-PMT($J$110,tech_base!$F181,1))+1000*tech_proj!AB1425)/((1-tech_proj!AB585)*tech_proj!AB865*$L$110))</f>
        <v/>
      </c>
      <c r="AC805" s="69" t="str">
        <f>IF(tech_base!$T181&gt;AC$625,"",(1000*tech_proj!AC1145*(-PMT($J$110,tech_base!$F181,1))+1000*tech_proj!AC1425)/((1-tech_proj!AC585)*tech_proj!AC865*$L$110))</f>
        <v/>
      </c>
      <c r="AD805" s="69" t="str">
        <f>IF(tech_base!$T181&gt;AD$625,"",(1000*tech_proj!AD1145*(-PMT($J$110,tech_base!$F181,1))+1000*tech_proj!AD1425)/((1-tech_proj!AD585)*tech_proj!AD865*$L$110))</f>
        <v/>
      </c>
      <c r="AE805" s="69">
        <f>IF(tech_base!$T181&gt;AE$625,"",(1000*tech_proj!AE1145*(-PMT($J$110,tech_base!$F181,1))+1000*tech_proj!AE1425)/((1-tech_proj!AE585)*tech_proj!AE865*$L$110))</f>
        <v>149.65945767644871</v>
      </c>
      <c r="AF805" s="69">
        <f>IF(tech_base!$T181&gt;AF$625,"",(1000*tech_proj!AF1145*(-PMT($J$110,tech_base!$F181,1))+1000*tech_proj!AF1425)/((1-tech_proj!AF585)*tech_proj!AF865*$L$110))</f>
        <v>149.65945767644871</v>
      </c>
      <c r="AG805" s="69">
        <f>IF(tech_base!$T181&gt;AG$625,"",(1000*tech_proj!AG1145*(-PMT($J$110,tech_base!$F181,1))+1000*tech_proj!AG1425)/((1-tech_proj!AG585)*tech_proj!AG865*$L$110))</f>
        <v>149.65945767644871</v>
      </c>
      <c r="AH805" s="69">
        <f>IF(tech_base!$T181&gt;AH$625,"",(1000*tech_proj!AH1145*(-PMT($J$110,tech_base!$F181,1))+1000*tech_proj!AH1425)/((1-tech_proj!AH585)*tech_proj!AH865*$L$110))</f>
        <v>149.65945767644871</v>
      </c>
      <c r="AI805" s="69">
        <f>IF(tech_base!$T181&gt;AI$625,"",(1000*tech_proj!AI1145*(-PMT($J$110,tech_base!$F181,1))+1000*tech_proj!AI1425)/((1-tech_proj!AI585)*tech_proj!AI865*$L$110))</f>
        <v>149.65945767644871</v>
      </c>
      <c r="AJ805" s="69">
        <f>IF(tech_base!$T181&gt;AJ$625,"",(1000*tech_proj!AJ1145*(-PMT($J$110,tech_base!$F181,1))+1000*tech_proj!AJ1425)/((1-tech_proj!AJ585)*tech_proj!AJ865*$L$110))</f>
        <v>149.65945767644871</v>
      </c>
      <c r="AK805" s="69">
        <f>IF(tech_base!$T181&gt;AK$625,"",(1000*tech_proj!AK1145*(-PMT($J$110,tech_base!$F181,1))+1000*tech_proj!AK1425)/((1-tech_proj!AK585)*tech_proj!AK865*$L$110))</f>
        <v>149.65945767644871</v>
      </c>
      <c r="AL805" s="69">
        <f>IF(tech_base!$T181&gt;AL$625,"",(1000*tech_proj!AL1145*(-PMT($J$110,tech_base!$F181,1))+1000*tech_proj!AL1425)/((1-tech_proj!AL585)*tech_proj!AL865*$L$110))</f>
        <v>149.65945767644871</v>
      </c>
      <c r="AM805" s="69">
        <f>IF(tech_base!$T181&gt;AM$625,"",(1000*tech_proj!AM1145*(-PMT($J$110,tech_base!$F181,1))+1000*tech_proj!AM1425)/((1-tech_proj!AM585)*tech_proj!AM865*$L$110))</f>
        <v>149.65945767644871</v>
      </c>
      <c r="AN805" s="69">
        <f>IF(tech_base!$T181&gt;AN$625,"",(1000*tech_proj!AN1145*(-PMT($J$110,tech_base!$F181,1))+1000*tech_proj!AN1425)/((1-tech_proj!AN585)*tech_proj!AN865*$L$110))</f>
        <v>149.65945767644871</v>
      </c>
      <c r="AO805" s="69">
        <f>IF(tech_base!$T181&gt;AO$625,"",(1000*tech_proj!AO1145*(-PMT($J$110,tech_base!$F181,1))+1000*tech_proj!AO1425)/((1-tech_proj!AO585)*tech_proj!AO865*$L$110))</f>
        <v>149.65945767644871</v>
      </c>
      <c r="AP805" s="69">
        <f>IF(tech_base!$T181&gt;AP$625,"",(1000*tech_proj!AP1145*(-PMT($J$110,tech_base!$F181,1))+1000*tech_proj!AP1425)/((1-tech_proj!AP585)*tech_proj!AP865*$L$110))</f>
        <v>149.65945767644871</v>
      </c>
      <c r="AQ805" s="69">
        <f>IF(tech_base!$T181&gt;AQ$625,"",(1000*tech_proj!AQ1145*(-PMT($J$110,tech_base!$F181,1))+1000*tech_proj!AQ1425)/((1-tech_proj!AQ585)*tech_proj!AQ865*$L$110))</f>
        <v>149.65945767644871</v>
      </c>
      <c r="AR805" s="69">
        <f>IF(tech_base!$T181&gt;AR$625,"",(1000*tech_proj!AR1145*(-PMT($J$110,tech_base!$F181,1))+1000*tech_proj!AR1425)/((1-tech_proj!AR585)*tech_proj!AR865*$L$110))</f>
        <v>149.65945767644871</v>
      </c>
      <c r="AS805" s="69">
        <f>IF(tech_base!$T181&gt;AS$625,"",(1000*tech_proj!AS1145*(-PMT($J$110,tech_base!$F181,1))+1000*tech_proj!AS1425)/((1-tech_proj!AS585)*tech_proj!AS865*$L$110))</f>
        <v>149.59215349546284</v>
      </c>
      <c r="AT805" s="69">
        <f>IF(tech_base!$T181&gt;AT$625,"",(1000*tech_proj!AT1145*(-PMT($J$110,tech_base!$F181,1))+1000*tech_proj!AT1425)/((1-tech_proj!AT585)*tech_proj!AT865*$L$110))</f>
        <v>149.54910378291825</v>
      </c>
      <c r="AU805" s="69">
        <f>IF(tech_base!$T181&gt;AU$625,"",(1000*tech_proj!AU1145*(-PMT($J$110,tech_base!$F181,1))+1000*tech_proj!AU1425)/((1-tech_proj!AU585)*tech_proj!AU865*$L$110))</f>
        <v>149.47915462798798</v>
      </c>
      <c r="AV805" s="69">
        <f>IF(tech_base!$T181&gt;AV$625,"",(1000*tech_proj!AV1145*(-PMT($J$110,tech_base!$F181,1))+1000*tech_proj!AV1425)/((1-tech_proj!AV585)*tech_proj!AV865*$L$110))</f>
        <v>149.36654246885871</v>
      </c>
      <c r="AW805" s="69">
        <f>IF(tech_base!$T181&gt;AW$625,"",(1000*tech_proj!AW1145*(-PMT($J$110,tech_base!$F181,1))+1000*tech_proj!AW1425)/((1-tech_proj!AW585)*tech_proj!AW865*$L$110))</f>
        <v>149.18791727720151</v>
      </c>
      <c r="AX805" s="235">
        <f>IF(tech_base!$T181&gt;AX$625,"",(1000*tech_proj!AX1145*(-PMT($J$110,tech_base!$F181,1))+1000*tech_proj!AX1425)/((1-tech_proj!AX585)*tech_proj!AX865*$L$110))</f>
        <v>148.91116038806649</v>
      </c>
    </row>
    <row r="806" spans="1:50" x14ac:dyDescent="0.25">
      <c r="A806" s="356"/>
      <c r="B806" s="380"/>
      <c r="C806" s="354"/>
      <c r="D806" s="4" t="s">
        <v>8</v>
      </c>
      <c r="E806" s="168" t="str">
        <f>A799&amp;"/"&amp;B799&amp;"/"&amp;C805&amp;"/"&amp;D806</f>
        <v>Fuel oil fired power plants/Integrated gasification combined cycle/CHP with CCS/M</v>
      </c>
      <c r="F806" s="80" t="str">
        <f>A799</f>
        <v>Fuel oil fired power plants</v>
      </c>
      <c r="G806" s="80" t="str">
        <f>B799</f>
        <v>Integrated gasification combined cycle</v>
      </c>
      <c r="H806" s="80" t="str">
        <f>C805</f>
        <v>CHP with CCS</v>
      </c>
      <c r="I806" s="169" t="str">
        <f t="shared" si="364"/>
        <v>M</v>
      </c>
      <c r="J806" s="73" t="str">
        <f>IF(tech_base!$T182&gt;J$625,"",(1000*tech_proj!J1146*(-PMT($J$110,tech_base!$F182,1))+1000*tech_proj!J1426)/((1-tech_proj!J586)*tech_proj!J866*$L$110))</f>
        <v/>
      </c>
      <c r="K806" s="73" t="str">
        <f>IF(tech_base!$T182&gt;K$625,"",(1000*tech_proj!K1146*(-PMT($J$110,tech_base!$F182,1))+1000*tech_proj!K1426)/((1-tech_proj!K586)*tech_proj!K866*$L$110))</f>
        <v/>
      </c>
      <c r="L806" s="73" t="str">
        <f>IF(tech_base!$T182&gt;L$625,"",(1000*tech_proj!L1146*(-PMT($J$110,tech_base!$F182,1))+1000*tech_proj!L1426)/((1-tech_proj!L586)*tech_proj!L866*$L$110))</f>
        <v/>
      </c>
      <c r="M806" s="73" t="str">
        <f>IF(tech_base!$T182&gt;M$625,"",(1000*tech_proj!M1146*(-PMT($J$110,tech_base!$F182,1))+1000*tech_proj!M1426)/((1-tech_proj!M586)*tech_proj!M866*$L$110))</f>
        <v/>
      </c>
      <c r="N806" s="73" t="str">
        <f>IF(tech_base!$T182&gt;N$625,"",(1000*tech_proj!N1146*(-PMT($J$110,tech_base!$F182,1))+1000*tech_proj!N1426)/((1-tech_proj!N586)*tech_proj!N866*$L$110))</f>
        <v/>
      </c>
      <c r="O806" s="73" t="str">
        <f>IF(tech_base!$T182&gt;O$625,"",(1000*tech_proj!O1146*(-PMT($J$110,tech_base!$F182,1))+1000*tech_proj!O1426)/((1-tech_proj!O586)*tech_proj!O866*$L$110))</f>
        <v/>
      </c>
      <c r="P806" s="73" t="str">
        <f>IF(tech_base!$T182&gt;P$625,"",(1000*tech_proj!P1146*(-PMT($J$110,tech_base!$F182,1))+1000*tech_proj!P1426)/((1-tech_proj!P586)*tech_proj!P866*$L$110))</f>
        <v/>
      </c>
      <c r="Q806" s="73" t="str">
        <f>IF(tech_base!$T182&gt;Q$625,"",(1000*tech_proj!Q1146*(-PMT($J$110,tech_base!$F182,1))+1000*tech_proj!Q1426)/((1-tech_proj!Q586)*tech_proj!Q866*$L$110))</f>
        <v/>
      </c>
      <c r="R806" s="73" t="str">
        <f>IF(tech_base!$T182&gt;R$625,"",(1000*tech_proj!R1146*(-PMT($J$110,tech_base!$F182,1))+1000*tech_proj!R1426)/((1-tech_proj!R586)*tech_proj!R866*$L$110))</f>
        <v/>
      </c>
      <c r="S806" s="73" t="str">
        <f>IF(tech_base!$T182&gt;S$625,"",(1000*tech_proj!S1146*(-PMT($J$110,tech_base!$F182,1))+1000*tech_proj!S1426)/((1-tech_proj!S586)*tech_proj!S866*$L$110))</f>
        <v/>
      </c>
      <c r="T806" s="73" t="str">
        <f>IF(tech_base!$T182&gt;T$625,"",(1000*tech_proj!T1146*(-PMT($J$110,tech_base!$F182,1))+1000*tech_proj!T1426)/((1-tech_proj!T586)*tech_proj!T866*$L$110))</f>
        <v/>
      </c>
      <c r="U806" s="73" t="str">
        <f>IF(tech_base!$T182&gt;U$625,"",(1000*tech_proj!U1146*(-PMT($J$110,tech_base!$F182,1))+1000*tech_proj!U1426)/((1-tech_proj!U586)*tech_proj!U866*$L$110))</f>
        <v/>
      </c>
      <c r="V806" s="73" t="str">
        <f>IF(tech_base!$T182&gt;V$625,"",(1000*tech_proj!V1146*(-PMT($J$110,tech_base!$F182,1))+1000*tech_proj!V1426)/((1-tech_proj!V586)*tech_proj!V866*$L$110))</f>
        <v/>
      </c>
      <c r="W806" s="73" t="str">
        <f>IF(tech_base!$T182&gt;W$625,"",(1000*tech_proj!W1146*(-PMT($J$110,tech_base!$F182,1))+1000*tech_proj!W1426)/((1-tech_proj!W586)*tech_proj!W866*$L$110))</f>
        <v/>
      </c>
      <c r="X806" s="73" t="str">
        <f>IF(tech_base!$T182&gt;X$625,"",(1000*tech_proj!X1146*(-PMT($J$110,tech_base!$F182,1))+1000*tech_proj!X1426)/((1-tech_proj!X586)*tech_proj!X866*$L$110))</f>
        <v/>
      </c>
      <c r="Y806" s="73" t="str">
        <f>IF(tech_base!$T182&gt;Y$625,"",(1000*tech_proj!Y1146*(-PMT($J$110,tech_base!$F182,1))+1000*tech_proj!Y1426)/((1-tech_proj!Y586)*tech_proj!Y866*$L$110))</f>
        <v/>
      </c>
      <c r="Z806" s="73" t="str">
        <f>IF(tech_base!$T182&gt;Z$625,"",(1000*tech_proj!Z1146*(-PMT($J$110,tech_base!$F182,1))+1000*tech_proj!Z1426)/((1-tech_proj!Z586)*tech_proj!Z866*$L$110))</f>
        <v/>
      </c>
      <c r="AA806" s="73" t="str">
        <f>IF(tech_base!$T182&gt;AA$625,"",(1000*tech_proj!AA1146*(-PMT($J$110,tech_base!$F182,1))+1000*tech_proj!AA1426)/((1-tech_proj!AA586)*tech_proj!AA866*$L$110))</f>
        <v/>
      </c>
      <c r="AB806" s="73" t="str">
        <f>IF(tech_base!$T182&gt;AB$625,"",(1000*tech_proj!AB1146*(-PMT($J$110,tech_base!$F182,1))+1000*tech_proj!AB1426)/((1-tech_proj!AB586)*tech_proj!AB866*$L$110))</f>
        <v/>
      </c>
      <c r="AC806" s="73" t="str">
        <f>IF(tech_base!$T182&gt;AC$625,"",(1000*tech_proj!AC1146*(-PMT($J$110,tech_base!$F182,1))+1000*tech_proj!AC1426)/((1-tech_proj!AC586)*tech_proj!AC866*$L$110))</f>
        <v/>
      </c>
      <c r="AD806" s="73" t="str">
        <f>IF(tech_base!$T182&gt;AD$625,"",(1000*tech_proj!AD1146*(-PMT($J$110,tech_base!$F182,1))+1000*tech_proj!AD1426)/((1-tech_proj!AD586)*tech_proj!AD866*$L$110))</f>
        <v/>
      </c>
      <c r="AE806" s="73">
        <f>IF(tech_base!$T182&gt;AE$625,"",(1000*tech_proj!AE1146*(-PMT($J$110,tech_base!$F182,1))+1000*tech_proj!AE1426)/((1-tech_proj!AE586)*tech_proj!AE866*$L$110))</f>
        <v>160.84960911210177</v>
      </c>
      <c r="AF806" s="73">
        <f>IF(tech_base!$T182&gt;AF$625,"",(1000*tech_proj!AF1146*(-PMT($J$110,tech_base!$F182,1))+1000*tech_proj!AF1426)/((1-tech_proj!AF586)*tech_proj!AF866*$L$110))</f>
        <v>160.84960911210177</v>
      </c>
      <c r="AG806" s="73">
        <f>IF(tech_base!$T182&gt;AG$625,"",(1000*tech_proj!AG1146*(-PMT($J$110,tech_base!$F182,1))+1000*tech_proj!AG1426)/((1-tech_proj!AG586)*tech_proj!AG866*$L$110))</f>
        <v>160.84960911210177</v>
      </c>
      <c r="AH806" s="73">
        <f>IF(tech_base!$T182&gt;AH$625,"",(1000*tech_proj!AH1146*(-PMT($J$110,tech_base!$F182,1))+1000*tech_proj!AH1426)/((1-tech_proj!AH586)*tech_proj!AH866*$L$110))</f>
        <v>160.84960911210177</v>
      </c>
      <c r="AI806" s="73">
        <f>IF(tech_base!$T182&gt;AI$625,"",(1000*tech_proj!AI1146*(-PMT($J$110,tech_base!$F182,1))+1000*tech_proj!AI1426)/((1-tech_proj!AI586)*tech_proj!AI866*$L$110))</f>
        <v>160.84960911210177</v>
      </c>
      <c r="AJ806" s="73">
        <f>IF(tech_base!$T182&gt;AJ$625,"",(1000*tech_proj!AJ1146*(-PMT($J$110,tech_base!$F182,1))+1000*tech_proj!AJ1426)/((1-tech_proj!AJ586)*tech_proj!AJ866*$L$110))</f>
        <v>160.84960911210177</v>
      </c>
      <c r="AK806" s="73">
        <f>IF(tech_base!$T182&gt;AK$625,"",(1000*tech_proj!AK1146*(-PMT($J$110,tech_base!$F182,1))+1000*tech_proj!AK1426)/((1-tech_proj!AK586)*tech_proj!AK866*$L$110))</f>
        <v>160.84960911210177</v>
      </c>
      <c r="AL806" s="73">
        <f>IF(tech_base!$T182&gt;AL$625,"",(1000*tech_proj!AL1146*(-PMT($J$110,tech_base!$F182,1))+1000*tech_proj!AL1426)/((1-tech_proj!AL586)*tech_proj!AL866*$L$110))</f>
        <v>160.84960911210177</v>
      </c>
      <c r="AM806" s="73">
        <f>IF(tech_base!$T182&gt;AM$625,"",(1000*tech_proj!AM1146*(-PMT($J$110,tech_base!$F182,1))+1000*tech_proj!AM1426)/((1-tech_proj!AM586)*tech_proj!AM866*$L$110))</f>
        <v>160.84960911210177</v>
      </c>
      <c r="AN806" s="73">
        <f>IF(tech_base!$T182&gt;AN$625,"",(1000*tech_proj!AN1146*(-PMT($J$110,tech_base!$F182,1))+1000*tech_proj!AN1426)/((1-tech_proj!AN586)*tech_proj!AN866*$L$110))</f>
        <v>160.84960911210177</v>
      </c>
      <c r="AO806" s="73">
        <f>IF(tech_base!$T182&gt;AO$625,"",(1000*tech_proj!AO1146*(-PMT($J$110,tech_base!$F182,1))+1000*tech_proj!AO1426)/((1-tech_proj!AO586)*tech_proj!AO866*$L$110))</f>
        <v>160.84960911210177</v>
      </c>
      <c r="AP806" s="73">
        <f>IF(tech_base!$T182&gt;AP$625,"",(1000*tech_proj!AP1146*(-PMT($J$110,tech_base!$F182,1))+1000*tech_proj!AP1426)/((1-tech_proj!AP586)*tech_proj!AP866*$L$110))</f>
        <v>160.84960911210177</v>
      </c>
      <c r="AQ806" s="73">
        <f>IF(tech_base!$T182&gt;AQ$625,"",(1000*tech_proj!AQ1146*(-PMT($J$110,tech_base!$F182,1))+1000*tech_proj!AQ1426)/((1-tech_proj!AQ586)*tech_proj!AQ866*$L$110))</f>
        <v>160.84960911210177</v>
      </c>
      <c r="AR806" s="73">
        <f>IF(tech_base!$T182&gt;AR$625,"",(1000*tech_proj!AR1146*(-PMT($J$110,tech_base!$F182,1))+1000*tech_proj!AR1426)/((1-tech_proj!AR586)*tech_proj!AR866*$L$110))</f>
        <v>160.84960911210177</v>
      </c>
      <c r="AS806" s="73">
        <f>IF(tech_base!$T182&gt;AS$625,"",(1000*tech_proj!AS1146*(-PMT($J$110,tech_base!$F182,1))+1000*tech_proj!AS1426)/((1-tech_proj!AS586)*tech_proj!AS866*$L$110))</f>
        <v>160.77727254633263</v>
      </c>
      <c r="AT806" s="73">
        <f>IF(tech_base!$T182&gt;AT$625,"",(1000*tech_proj!AT1146*(-PMT($J$110,tech_base!$F182,1))+1000*tech_proj!AT1426)/((1-tech_proj!AT586)*tech_proj!AT866*$L$110))</f>
        <v>160.73100397405062</v>
      </c>
      <c r="AU806" s="73">
        <f>IF(tech_base!$T182&gt;AU$625,"",(1000*tech_proj!AU1146*(-PMT($J$110,tech_base!$F182,1))+1000*tech_proj!AU1426)/((1-tech_proj!AU586)*tech_proj!AU866*$L$110))</f>
        <v>160.65582466762433</v>
      </c>
      <c r="AV806" s="73">
        <f>IF(tech_base!$T182&gt;AV$625,"",(1000*tech_proj!AV1146*(-PMT($J$110,tech_base!$F182,1))+1000*tech_proj!AV1426)/((1-tech_proj!AV586)*tech_proj!AV866*$L$110))</f>
        <v>160.53479241173861</v>
      </c>
      <c r="AW806" s="73">
        <f>IF(tech_base!$T182&gt;AW$625,"",(1000*tech_proj!AW1146*(-PMT($J$110,tech_base!$F182,1))+1000*tech_proj!AW1426)/((1-tech_proj!AW586)*tech_proj!AW866*$L$110))</f>
        <v>160.34281127869355</v>
      </c>
      <c r="AX806" s="239">
        <f>IF(tech_base!$T182&gt;AX$625,"",(1000*tech_proj!AX1146*(-PMT($J$110,tech_base!$F182,1))+1000*tech_proj!AX1426)/((1-tech_proj!AX586)*tech_proj!AX866*$L$110))</f>
        <v>160.04536106654126</v>
      </c>
    </row>
    <row r="807" spans="1:50" x14ac:dyDescent="0.25">
      <c r="A807" s="356"/>
      <c r="B807" s="358" t="s">
        <v>17</v>
      </c>
      <c r="C807" s="353" t="s">
        <v>6</v>
      </c>
      <c r="D807" s="3" t="s">
        <v>7</v>
      </c>
      <c r="E807" s="162" t="str">
        <f>A799&amp;"/"&amp;B807&amp;"/"&amp;C807&amp;"/"&amp;D807</f>
        <v>Fuel oil fired power plants/Supercritical steam turbine/Electricity only/L</v>
      </c>
      <c r="F807" s="77" t="str">
        <f>A799</f>
        <v>Fuel oil fired power plants</v>
      </c>
      <c r="G807" s="77" t="str">
        <f>B807</f>
        <v>Supercritical steam turbine</v>
      </c>
      <c r="H807" s="77" t="str">
        <f>C807</f>
        <v>Electricity only</v>
      </c>
      <c r="I807" s="163" t="str">
        <f t="shared" si="364"/>
        <v>L</v>
      </c>
      <c r="J807" s="70">
        <f>IF(tech_base!$T183&gt;J$625,"",(1000*tech_proj!J1147*(-PMT($J$110,tech_base!$F183,1))+1000*tech_proj!J1427)/((1-tech_proj!J587)*tech_proj!J867*$L$110))</f>
        <v>51.2028973037432</v>
      </c>
      <c r="K807" s="70">
        <f>IF(tech_base!$T183&gt;K$625,"",(1000*tech_proj!K1147*(-PMT($J$110,tech_base!$F183,1))+1000*tech_proj!K1427)/((1-tech_proj!K587)*tech_proj!K867*$L$110))</f>
        <v>51.2028973037432</v>
      </c>
      <c r="L807" s="70">
        <f>IF(tech_base!$T183&gt;L$625,"",(1000*tech_proj!L1147*(-PMT($J$110,tech_base!$F183,1))+1000*tech_proj!L1427)/((1-tech_proj!L587)*tech_proj!L867*$L$110))</f>
        <v>51.2028973037432</v>
      </c>
      <c r="M807" s="70">
        <f>IF(tech_base!$T183&gt;M$625,"",(1000*tech_proj!M1147*(-PMT($J$110,tech_base!$F183,1))+1000*tech_proj!M1427)/((1-tech_proj!M587)*tech_proj!M867*$L$110))</f>
        <v>51.2028973037432</v>
      </c>
      <c r="N807" s="70">
        <f>IF(tech_base!$T183&gt;N$625,"",(1000*tech_proj!N1147*(-PMT($J$110,tech_base!$F183,1))+1000*tech_proj!N1427)/((1-tech_proj!N587)*tech_proj!N867*$L$110))</f>
        <v>51.2028973037432</v>
      </c>
      <c r="O807" s="70">
        <f>IF(tech_base!$T183&gt;O$625,"",(1000*tech_proj!O1147*(-PMT($J$110,tech_base!$F183,1))+1000*tech_proj!O1427)/((1-tech_proj!O587)*tech_proj!O867*$L$110))</f>
        <v>51.2028973037432</v>
      </c>
      <c r="P807" s="70">
        <f>IF(tech_base!$T183&gt;P$625,"",(1000*tech_proj!P1147*(-PMT($J$110,tech_base!$F183,1))+1000*tech_proj!P1427)/((1-tech_proj!P587)*tech_proj!P867*$L$110))</f>
        <v>51.2028973037432</v>
      </c>
      <c r="Q807" s="70">
        <f>IF(tech_base!$T183&gt;Q$625,"",(1000*tech_proj!Q1147*(-PMT($J$110,tech_base!$F183,1))+1000*tech_proj!Q1427)/((1-tech_proj!Q587)*tech_proj!Q867*$L$110))</f>
        <v>51.2028973037432</v>
      </c>
      <c r="R807" s="70">
        <f>IF(tech_base!$T183&gt;R$625,"",(1000*tech_proj!R1147*(-PMT($J$110,tech_base!$F183,1))+1000*tech_proj!R1427)/((1-tech_proj!R587)*tech_proj!R867*$L$110))</f>
        <v>51.2028973037432</v>
      </c>
      <c r="S807" s="70">
        <f>IF(tech_base!$T183&gt;S$625,"",(1000*tech_proj!S1147*(-PMT($J$110,tech_base!$F183,1))+1000*tech_proj!S1427)/((1-tech_proj!S587)*tech_proj!S867*$L$110))</f>
        <v>51.2028973037432</v>
      </c>
      <c r="T807" s="70">
        <f>IF(tech_base!$T183&gt;T$625,"",(1000*tech_proj!T1147*(-PMT($J$110,tech_base!$F183,1))+1000*tech_proj!T1427)/((1-tech_proj!T587)*tech_proj!T867*$L$110))</f>
        <v>51.2028973037432</v>
      </c>
      <c r="U807" s="70">
        <f>IF(tech_base!$T183&gt;U$625,"",(1000*tech_proj!U1147*(-PMT($J$110,tech_base!$F183,1))+1000*tech_proj!U1427)/((1-tech_proj!U587)*tech_proj!U867*$L$110))</f>
        <v>51.2028973037432</v>
      </c>
      <c r="V807" s="70">
        <f>IF(tech_base!$T183&gt;V$625,"",(1000*tech_proj!V1147*(-PMT($J$110,tech_base!$F183,1))+1000*tech_proj!V1427)/((1-tech_proj!V587)*tech_proj!V867*$L$110))</f>
        <v>51.2028973037432</v>
      </c>
      <c r="W807" s="70">
        <f>IF(tech_base!$T183&gt;W$625,"",(1000*tech_proj!W1147*(-PMT($J$110,tech_base!$F183,1))+1000*tech_proj!W1427)/((1-tech_proj!W587)*tech_proj!W867*$L$110))</f>
        <v>51.2028973037432</v>
      </c>
      <c r="X807" s="70">
        <f>IF(tech_base!$T183&gt;X$625,"",(1000*tech_proj!X1147*(-PMT($J$110,tech_base!$F183,1))+1000*tech_proj!X1427)/((1-tech_proj!X587)*tech_proj!X867*$L$110))</f>
        <v>51.2028973037432</v>
      </c>
      <c r="Y807" s="70">
        <f>IF(tech_base!$T183&gt;Y$625,"",(1000*tech_proj!Y1147*(-PMT($J$110,tech_base!$F183,1))+1000*tech_proj!Y1427)/((1-tech_proj!Y587)*tech_proj!Y867*$L$110))</f>
        <v>51.2028973037432</v>
      </c>
      <c r="Z807" s="70">
        <f>IF(tech_base!$T183&gt;Z$625,"",(1000*tech_proj!Z1147*(-PMT($J$110,tech_base!$F183,1))+1000*tech_proj!Z1427)/((1-tech_proj!Z587)*tech_proj!Z867*$L$110))</f>
        <v>51.2028973037432</v>
      </c>
      <c r="AA807" s="70">
        <f>IF(tech_base!$T183&gt;AA$625,"",(1000*tech_proj!AA1147*(-PMT($J$110,tech_base!$F183,1))+1000*tech_proj!AA1427)/((1-tech_proj!AA587)*tech_proj!AA867*$L$110))</f>
        <v>51.2028973037432</v>
      </c>
      <c r="AB807" s="70">
        <f>IF(tech_base!$T183&gt;AB$625,"",(1000*tech_proj!AB1147*(-PMT($J$110,tech_base!$F183,1))+1000*tech_proj!AB1427)/((1-tech_proj!AB587)*tech_proj!AB867*$L$110))</f>
        <v>51.2028973037432</v>
      </c>
      <c r="AC807" s="70">
        <f>IF(tech_base!$T183&gt;AC$625,"",(1000*tech_proj!AC1147*(-PMT($J$110,tech_base!$F183,1))+1000*tech_proj!AC1427)/((1-tech_proj!AC587)*tech_proj!AC867*$L$110))</f>
        <v>51.2028973037432</v>
      </c>
      <c r="AD807" s="70">
        <f>IF(tech_base!$T183&gt;AD$625,"",(1000*tech_proj!AD1147*(-PMT($J$110,tech_base!$F183,1))+1000*tech_proj!AD1427)/((1-tech_proj!AD587)*tech_proj!AD867*$L$110))</f>
        <v>51.2028973037432</v>
      </c>
      <c r="AE807" s="70">
        <f>IF(tech_base!$T183&gt;AE$625,"",(1000*tech_proj!AE1147*(-PMT($J$110,tech_base!$F183,1))+1000*tech_proj!AE1427)/((1-tech_proj!AE587)*tech_proj!AE867*$L$110))</f>
        <v>51.2028973037432</v>
      </c>
      <c r="AF807" s="70">
        <f>IF(tech_base!$T183&gt;AF$625,"",(1000*tech_proj!AF1147*(-PMT($J$110,tech_base!$F183,1))+1000*tech_proj!AF1427)/((1-tech_proj!AF587)*tech_proj!AF867*$L$110))</f>
        <v>51.2028973037432</v>
      </c>
      <c r="AG807" s="70">
        <f>IF(tech_base!$T183&gt;AG$625,"",(1000*tech_proj!AG1147*(-PMT($J$110,tech_base!$F183,1))+1000*tech_proj!AG1427)/((1-tech_proj!AG587)*tech_proj!AG867*$L$110))</f>
        <v>51.2028973037432</v>
      </c>
      <c r="AH807" s="70">
        <f>IF(tech_base!$T183&gt;AH$625,"",(1000*tech_proj!AH1147*(-PMT($J$110,tech_base!$F183,1))+1000*tech_proj!AH1427)/((1-tech_proj!AH587)*tech_proj!AH867*$L$110))</f>
        <v>51.2028973037432</v>
      </c>
      <c r="AI807" s="70">
        <f>IF(tech_base!$T183&gt;AI$625,"",(1000*tech_proj!AI1147*(-PMT($J$110,tech_base!$F183,1))+1000*tech_proj!AI1427)/((1-tech_proj!AI587)*tech_proj!AI867*$L$110))</f>
        <v>51.2028973037432</v>
      </c>
      <c r="AJ807" s="70">
        <f>IF(tech_base!$T183&gt;AJ$625,"",(1000*tech_proj!AJ1147*(-PMT($J$110,tech_base!$F183,1))+1000*tech_proj!AJ1427)/((1-tech_proj!AJ587)*tech_proj!AJ867*$L$110))</f>
        <v>51.2028973037432</v>
      </c>
      <c r="AK807" s="70">
        <f>IF(tech_base!$T183&gt;AK$625,"",(1000*tech_proj!AK1147*(-PMT($J$110,tech_base!$F183,1))+1000*tech_proj!AK1427)/((1-tech_proj!AK587)*tech_proj!AK867*$L$110))</f>
        <v>51.2028973037432</v>
      </c>
      <c r="AL807" s="70">
        <f>IF(tech_base!$T183&gt;AL$625,"",(1000*tech_proj!AL1147*(-PMT($J$110,tech_base!$F183,1))+1000*tech_proj!AL1427)/((1-tech_proj!AL587)*tech_proj!AL867*$L$110))</f>
        <v>51.2028973037432</v>
      </c>
      <c r="AM807" s="70">
        <f>IF(tech_base!$T183&gt;AM$625,"",(1000*tech_proj!AM1147*(-PMT($J$110,tech_base!$F183,1))+1000*tech_proj!AM1427)/((1-tech_proj!AM587)*tech_proj!AM867*$L$110))</f>
        <v>51.2028973037432</v>
      </c>
      <c r="AN807" s="70">
        <f>IF(tech_base!$T183&gt;AN$625,"",(1000*tech_proj!AN1147*(-PMT($J$110,tech_base!$F183,1))+1000*tech_proj!AN1427)/((1-tech_proj!AN587)*tech_proj!AN867*$L$110))</f>
        <v>51.188883755930974</v>
      </c>
      <c r="AO807" s="70">
        <f>IF(tech_base!$T183&gt;AO$625,"",(1000*tech_proj!AO1147*(-PMT($J$110,tech_base!$F183,1))+1000*tech_proj!AO1427)/((1-tech_proj!AO587)*tech_proj!AO867*$L$110))</f>
        <v>51.184015351765375</v>
      </c>
      <c r="AP807" s="70">
        <f>IF(tech_base!$T183&gt;AP$625,"",(1000*tech_proj!AP1147*(-PMT($J$110,tech_base!$F183,1))+1000*tech_proj!AP1427)/((1-tech_proj!AP587)*tech_proj!AP867*$L$110))</f>
        <v>51.177471678749399</v>
      </c>
      <c r="AQ807" s="70">
        <f>IF(tech_base!$T183&gt;AQ$625,"",(1000*tech_proj!AQ1147*(-PMT($J$110,tech_base!$F183,1))+1000*tech_proj!AQ1427)/((1-tech_proj!AQ587)*tech_proj!AQ867*$L$110))</f>
        <v>51.168689258925212</v>
      </c>
      <c r="AR807" s="70">
        <f>IF(tech_base!$T183&gt;AR$625,"",(1000*tech_proj!AR1147*(-PMT($J$110,tech_base!$F183,1))+1000*tech_proj!AR1427)/((1-tech_proj!AR587)*tech_proj!AR867*$L$110))</f>
        <v>51.156925540508432</v>
      </c>
      <c r="AS807" s="70">
        <f>IF(tech_base!$T183&gt;AS$625,"",(1000*tech_proj!AS1147*(-PMT($J$110,tech_base!$F183,1))+1000*tech_proj!AS1427)/((1-tech_proj!AS587)*tech_proj!AS867*$L$110))</f>
        <v>51.141210333756675</v>
      </c>
      <c r="AT807" s="70">
        <f>IF(tech_base!$T183&gt;AT$625,"",(1000*tech_proj!AT1147*(-PMT($J$110,tech_base!$F183,1))+1000*tech_proj!AT1427)/((1-tech_proj!AT587)*tech_proj!AT867*$L$110))</f>
        <v>51.120290776017782</v>
      </c>
      <c r="AU807" s="70">
        <f>IF(tech_base!$T183&gt;AU$625,"",(1000*tech_proj!AU1147*(-PMT($J$110,tech_base!$F183,1))+1000*tech_proj!AU1427)/((1-tech_proj!AU587)*tech_proj!AU867*$L$110))</f>
        <v>51.092574781680412</v>
      </c>
      <c r="AV807" s="70">
        <f>IF(tech_base!$T183&gt;AV$625,"",(1000*tech_proj!AV1147*(-PMT($J$110,tech_base!$F183,1))+1000*tech_proj!AV1427)/((1-tech_proj!AV587)*tech_proj!AV867*$L$110))</f>
        <v>51.056083771399152</v>
      </c>
      <c r="AW807" s="70">
        <f>IF(tech_base!$T183&gt;AW$625,"",(1000*tech_proj!AW1147*(-PMT($J$110,tech_base!$F183,1))+1000*tech_proj!AW1427)/((1-tech_proj!AW587)*tech_proj!AW867*$L$110))</f>
        <v>51.00843458001912</v>
      </c>
      <c r="AX807" s="236">
        <f>IF(tech_base!$T183&gt;AX$625,"",(1000*tech_proj!AX1147*(-PMT($J$110,tech_base!$F183,1))+1000*tech_proj!AX1427)/((1-tech_proj!AX587)*tech_proj!AX867*$L$110))</f>
        <v>50.946882817224484</v>
      </c>
    </row>
    <row r="808" spans="1:50" x14ac:dyDescent="0.25">
      <c r="A808" s="356"/>
      <c r="B808" s="376"/>
      <c r="C808" s="379"/>
      <c r="D808" s="2" t="s">
        <v>8</v>
      </c>
      <c r="E808" s="160" t="str">
        <f>A799&amp;"/"&amp;B807&amp;"/"&amp;C807&amp;"/"&amp;D808</f>
        <v>Fuel oil fired power plants/Supercritical steam turbine/Electricity only/M</v>
      </c>
      <c r="F808" s="76" t="str">
        <f>A799</f>
        <v>Fuel oil fired power plants</v>
      </c>
      <c r="G808" s="76" t="str">
        <f>B807</f>
        <v>Supercritical steam turbine</v>
      </c>
      <c r="H808" s="76" t="str">
        <f>C807</f>
        <v>Electricity only</v>
      </c>
      <c r="I808" s="161" t="str">
        <f t="shared" si="364"/>
        <v>M</v>
      </c>
      <c r="J808" s="69">
        <f>IF(tech_base!$T184&gt;J$625,"",(1000*tech_proj!J1148*(-PMT($J$110,tech_base!$F184,1))+1000*tech_proj!J1428)/((1-tech_proj!J588)*tech_proj!J868*$L$110))</f>
        <v>55.961528871007452</v>
      </c>
      <c r="K808" s="69">
        <f>IF(tech_base!$T184&gt;K$625,"",(1000*tech_proj!K1148*(-PMT($J$110,tech_base!$F184,1))+1000*tech_proj!K1428)/((1-tech_proj!K588)*tech_proj!K868*$L$110))</f>
        <v>55.961528871007452</v>
      </c>
      <c r="L808" s="69">
        <f>IF(tech_base!$T184&gt;L$625,"",(1000*tech_proj!L1148*(-PMT($J$110,tech_base!$F184,1))+1000*tech_proj!L1428)/((1-tech_proj!L588)*tech_proj!L868*$L$110))</f>
        <v>55.961528871007452</v>
      </c>
      <c r="M808" s="69">
        <f>IF(tech_base!$T184&gt;M$625,"",(1000*tech_proj!M1148*(-PMT($J$110,tech_base!$F184,1))+1000*tech_proj!M1428)/((1-tech_proj!M588)*tech_proj!M868*$L$110))</f>
        <v>55.961528871007452</v>
      </c>
      <c r="N808" s="69">
        <f>IF(tech_base!$T184&gt;N$625,"",(1000*tech_proj!N1148*(-PMT($J$110,tech_base!$F184,1))+1000*tech_proj!N1428)/((1-tech_proj!N588)*tech_proj!N868*$L$110))</f>
        <v>55.961528871007452</v>
      </c>
      <c r="O808" s="69">
        <f>IF(tech_base!$T184&gt;O$625,"",(1000*tech_proj!O1148*(-PMT($J$110,tech_base!$F184,1))+1000*tech_proj!O1428)/((1-tech_proj!O588)*tech_proj!O868*$L$110))</f>
        <v>55.961528871007452</v>
      </c>
      <c r="P808" s="69">
        <f>IF(tech_base!$T184&gt;P$625,"",(1000*tech_proj!P1148*(-PMT($J$110,tech_base!$F184,1))+1000*tech_proj!P1428)/((1-tech_proj!P588)*tech_proj!P868*$L$110))</f>
        <v>55.961528871007452</v>
      </c>
      <c r="Q808" s="69">
        <f>IF(tech_base!$T184&gt;Q$625,"",(1000*tech_proj!Q1148*(-PMT($J$110,tech_base!$F184,1))+1000*tech_proj!Q1428)/((1-tech_proj!Q588)*tech_proj!Q868*$L$110))</f>
        <v>55.961528871007452</v>
      </c>
      <c r="R808" s="69">
        <f>IF(tech_base!$T184&gt;R$625,"",(1000*tech_proj!R1148*(-PMT($J$110,tech_base!$F184,1))+1000*tech_proj!R1428)/((1-tech_proj!R588)*tech_proj!R868*$L$110))</f>
        <v>55.961528871007452</v>
      </c>
      <c r="S808" s="69">
        <f>IF(tech_base!$T184&gt;S$625,"",(1000*tech_proj!S1148*(-PMT($J$110,tech_base!$F184,1))+1000*tech_proj!S1428)/((1-tech_proj!S588)*tech_proj!S868*$L$110))</f>
        <v>55.961528871007452</v>
      </c>
      <c r="T808" s="69">
        <f>IF(tech_base!$T184&gt;T$625,"",(1000*tech_proj!T1148*(-PMT($J$110,tech_base!$F184,1))+1000*tech_proj!T1428)/((1-tech_proj!T588)*tech_proj!T868*$L$110))</f>
        <v>55.961528871007452</v>
      </c>
      <c r="U808" s="69">
        <f>IF(tech_base!$T184&gt;U$625,"",(1000*tech_proj!U1148*(-PMT($J$110,tech_base!$F184,1))+1000*tech_proj!U1428)/((1-tech_proj!U588)*tech_proj!U868*$L$110))</f>
        <v>55.961528871007452</v>
      </c>
      <c r="V808" s="69">
        <f>IF(tech_base!$T184&gt;V$625,"",(1000*tech_proj!V1148*(-PMT($J$110,tech_base!$F184,1))+1000*tech_proj!V1428)/((1-tech_proj!V588)*tech_proj!V868*$L$110))</f>
        <v>55.961528871007452</v>
      </c>
      <c r="W808" s="69">
        <f>IF(tech_base!$T184&gt;W$625,"",(1000*tech_proj!W1148*(-PMT($J$110,tech_base!$F184,1))+1000*tech_proj!W1428)/((1-tech_proj!W588)*tech_proj!W868*$L$110))</f>
        <v>55.961528871007452</v>
      </c>
      <c r="X808" s="69">
        <f>IF(tech_base!$T184&gt;X$625,"",(1000*tech_proj!X1148*(-PMT($J$110,tech_base!$F184,1))+1000*tech_proj!X1428)/((1-tech_proj!X588)*tech_proj!X868*$L$110))</f>
        <v>55.961528871007452</v>
      </c>
      <c r="Y808" s="69">
        <f>IF(tech_base!$T184&gt;Y$625,"",(1000*tech_proj!Y1148*(-PMT($J$110,tech_base!$F184,1))+1000*tech_proj!Y1428)/((1-tech_proj!Y588)*tech_proj!Y868*$L$110))</f>
        <v>55.961528871007452</v>
      </c>
      <c r="Z808" s="69">
        <f>IF(tech_base!$T184&gt;Z$625,"",(1000*tech_proj!Z1148*(-PMT($J$110,tech_base!$F184,1))+1000*tech_proj!Z1428)/((1-tech_proj!Z588)*tech_proj!Z868*$L$110))</f>
        <v>55.961528871007452</v>
      </c>
      <c r="AA808" s="69">
        <f>IF(tech_base!$T184&gt;AA$625,"",(1000*tech_proj!AA1148*(-PMT($J$110,tech_base!$F184,1))+1000*tech_proj!AA1428)/((1-tech_proj!AA588)*tech_proj!AA868*$L$110))</f>
        <v>55.961528871007452</v>
      </c>
      <c r="AB808" s="69">
        <f>IF(tech_base!$T184&gt;AB$625,"",(1000*tech_proj!AB1148*(-PMT($J$110,tech_base!$F184,1))+1000*tech_proj!AB1428)/((1-tech_proj!AB588)*tech_proj!AB868*$L$110))</f>
        <v>55.961528871007452</v>
      </c>
      <c r="AC808" s="69">
        <f>IF(tech_base!$T184&gt;AC$625,"",(1000*tech_proj!AC1148*(-PMT($J$110,tech_base!$F184,1))+1000*tech_proj!AC1428)/((1-tech_proj!AC588)*tech_proj!AC868*$L$110))</f>
        <v>55.961528871007452</v>
      </c>
      <c r="AD808" s="69">
        <f>IF(tech_base!$T184&gt;AD$625,"",(1000*tech_proj!AD1148*(-PMT($J$110,tech_base!$F184,1))+1000*tech_proj!AD1428)/((1-tech_proj!AD588)*tech_proj!AD868*$L$110))</f>
        <v>55.961528871007452</v>
      </c>
      <c r="AE808" s="69">
        <f>IF(tech_base!$T184&gt;AE$625,"",(1000*tech_proj!AE1148*(-PMT($J$110,tech_base!$F184,1))+1000*tech_proj!AE1428)/((1-tech_proj!AE588)*tech_proj!AE868*$L$110))</f>
        <v>55.961528871007452</v>
      </c>
      <c r="AF808" s="69">
        <f>IF(tech_base!$T184&gt;AF$625,"",(1000*tech_proj!AF1148*(-PMT($J$110,tech_base!$F184,1))+1000*tech_proj!AF1428)/((1-tech_proj!AF588)*tech_proj!AF868*$L$110))</f>
        <v>55.961528871007452</v>
      </c>
      <c r="AG808" s="69">
        <f>IF(tech_base!$T184&gt;AG$625,"",(1000*tech_proj!AG1148*(-PMT($J$110,tech_base!$F184,1))+1000*tech_proj!AG1428)/((1-tech_proj!AG588)*tech_proj!AG868*$L$110))</f>
        <v>55.961528871007452</v>
      </c>
      <c r="AH808" s="69">
        <f>IF(tech_base!$T184&gt;AH$625,"",(1000*tech_proj!AH1148*(-PMT($J$110,tech_base!$F184,1))+1000*tech_proj!AH1428)/((1-tech_proj!AH588)*tech_proj!AH868*$L$110))</f>
        <v>55.961528871007452</v>
      </c>
      <c r="AI808" s="69">
        <f>IF(tech_base!$T184&gt;AI$625,"",(1000*tech_proj!AI1148*(-PMT($J$110,tech_base!$F184,1))+1000*tech_proj!AI1428)/((1-tech_proj!AI588)*tech_proj!AI868*$L$110))</f>
        <v>55.961528871007452</v>
      </c>
      <c r="AJ808" s="69">
        <f>IF(tech_base!$T184&gt;AJ$625,"",(1000*tech_proj!AJ1148*(-PMT($J$110,tech_base!$F184,1))+1000*tech_proj!AJ1428)/((1-tech_proj!AJ588)*tech_proj!AJ868*$L$110))</f>
        <v>55.961528871007452</v>
      </c>
      <c r="AK808" s="69">
        <f>IF(tech_base!$T184&gt;AK$625,"",(1000*tech_proj!AK1148*(-PMT($J$110,tech_base!$F184,1))+1000*tech_proj!AK1428)/((1-tech_proj!AK588)*tech_proj!AK868*$L$110))</f>
        <v>55.961528871007452</v>
      </c>
      <c r="AL808" s="69">
        <f>IF(tech_base!$T184&gt;AL$625,"",(1000*tech_proj!AL1148*(-PMT($J$110,tech_base!$F184,1))+1000*tech_proj!AL1428)/((1-tech_proj!AL588)*tech_proj!AL868*$L$110))</f>
        <v>55.961528871007452</v>
      </c>
      <c r="AM808" s="69">
        <f>IF(tech_base!$T184&gt;AM$625,"",(1000*tech_proj!AM1148*(-PMT($J$110,tech_base!$F184,1))+1000*tech_proj!AM1428)/((1-tech_proj!AM588)*tech_proj!AM868*$L$110))</f>
        <v>55.961528871007452</v>
      </c>
      <c r="AN808" s="69">
        <f>IF(tech_base!$T184&gt;AN$625,"",(1000*tech_proj!AN1148*(-PMT($J$110,tech_base!$F184,1))+1000*tech_proj!AN1428)/((1-tech_proj!AN588)*tech_proj!AN868*$L$110))</f>
        <v>55.946212949413649</v>
      </c>
      <c r="AO808" s="69">
        <f>IF(tech_base!$T184&gt;AO$625,"",(1000*tech_proj!AO1148*(-PMT($J$110,tech_base!$F184,1))+1000*tech_proj!AO1428)/((1-tech_proj!AO588)*tech_proj!AO868*$L$110))</f>
        <v>55.940892091520546</v>
      </c>
      <c r="AP808" s="69">
        <f>IF(tech_base!$T184&gt;AP$625,"",(1000*tech_proj!AP1148*(-PMT($J$110,tech_base!$F184,1))+1000*tech_proj!AP1428)/((1-tech_proj!AP588)*tech_proj!AP868*$L$110))</f>
        <v>55.933740270711766</v>
      </c>
      <c r="AQ808" s="69">
        <f>IF(tech_base!$T184&gt;AQ$625,"",(1000*tech_proj!AQ1148*(-PMT($J$110,tech_base!$F184,1))+1000*tech_proj!AQ1428)/((1-tech_proj!AQ588)*tech_proj!AQ868*$L$110))</f>
        <v>55.924141641211705</v>
      </c>
      <c r="AR808" s="69">
        <f>IF(tech_base!$T184&gt;AR$625,"",(1000*tech_proj!AR1148*(-PMT($J$110,tech_base!$F184,1))+1000*tech_proj!AR1428)/((1-tech_proj!AR588)*tech_proj!AR868*$L$110))</f>
        <v>55.911284640876239</v>
      </c>
      <c r="AS808" s="69">
        <f>IF(tech_base!$T184&gt;AS$625,"",(1000*tech_proj!AS1148*(-PMT($J$110,tech_base!$F184,1))+1000*tech_proj!AS1428)/((1-tech_proj!AS588)*tech_proj!AS868*$L$110))</f>
        <v>55.894108913668155</v>
      </c>
      <c r="AT808" s="69">
        <f>IF(tech_base!$T184&gt;AT$625,"",(1000*tech_proj!AT1148*(-PMT($J$110,tech_base!$F184,1))+1000*tech_proj!AT1428)/((1-tech_proj!AT588)*tech_proj!AT868*$L$110))</f>
        <v>55.871245159935064</v>
      </c>
      <c r="AU808" s="69">
        <f>IF(tech_base!$T184&gt;AU$625,"",(1000*tech_proj!AU1148*(-PMT($J$110,tech_base!$F184,1))+1000*tech_proj!AU1428)/((1-tech_proj!AU588)*tech_proj!AU868*$L$110))</f>
        <v>55.840953330781375</v>
      </c>
      <c r="AV808" s="69">
        <f>IF(tech_base!$T184&gt;AV$625,"",(1000*tech_proj!AV1148*(-PMT($J$110,tech_base!$F184,1))+1000*tech_proj!AV1428)/((1-tech_proj!AV588)*tech_proj!AV868*$L$110))</f>
        <v>55.801070964100575</v>
      </c>
      <c r="AW808" s="69">
        <f>IF(tech_base!$T184&gt;AW$625,"",(1000*tech_proj!AW1148*(-PMT($J$110,tech_base!$F184,1))+1000*tech_proj!AW1428)/((1-tech_proj!AW588)*tech_proj!AW868*$L$110))</f>
        <v>55.748993411080946</v>
      </c>
      <c r="AX808" s="235">
        <f>IF(tech_base!$T184&gt;AX$625,"",(1000*tech_proj!AX1148*(-PMT($J$110,tech_base!$F184,1))+1000*tech_proj!AX1428)/((1-tech_proj!AX588)*tech_proj!AX868*$L$110))</f>
        <v>55.681721226652392</v>
      </c>
    </row>
    <row r="809" spans="1:50" x14ac:dyDescent="0.25">
      <c r="A809" s="356"/>
      <c r="B809" s="376"/>
      <c r="C809" s="361" t="s">
        <v>14</v>
      </c>
      <c r="D809" s="58" t="s">
        <v>7</v>
      </c>
      <c r="E809" s="164" t="str">
        <f>A799&amp;"/"&amp;B807&amp;"/"&amp;C809&amp;"/"&amp;D809</f>
        <v>Fuel oil fired power plants/Supercritical steam turbine/CHP/L</v>
      </c>
      <c r="F809" s="78" t="str">
        <f>A799</f>
        <v>Fuel oil fired power plants</v>
      </c>
      <c r="G809" s="78" t="str">
        <f>B807</f>
        <v>Supercritical steam turbine</v>
      </c>
      <c r="H809" s="78" t="str">
        <f>C809</f>
        <v>CHP</v>
      </c>
      <c r="I809" s="165" t="str">
        <f t="shared" si="364"/>
        <v>L</v>
      </c>
      <c r="J809" s="71">
        <f>IF(tech_base!$T185&gt;J$625,"",(1000*tech_proj!J1149*(-PMT($J$110,tech_base!$F185,1))+1000*tech_proj!J1429)/((1-tech_proj!J589)*tech_proj!J869*$L$110))</f>
        <v>63.186956313016672</v>
      </c>
      <c r="K809" s="71">
        <f>IF(tech_base!$T185&gt;K$625,"",(1000*tech_proj!K1149*(-PMT($J$110,tech_base!$F185,1))+1000*tech_proj!K1429)/((1-tech_proj!K589)*tech_proj!K869*$L$110))</f>
        <v>63.186956313016672</v>
      </c>
      <c r="L809" s="71">
        <f>IF(tech_base!$T185&gt;L$625,"",(1000*tech_proj!L1149*(-PMT($J$110,tech_base!$F185,1))+1000*tech_proj!L1429)/((1-tech_proj!L589)*tech_proj!L869*$L$110))</f>
        <v>63.186956313016672</v>
      </c>
      <c r="M809" s="71">
        <f>IF(tech_base!$T185&gt;M$625,"",(1000*tech_proj!M1149*(-PMT($J$110,tech_base!$F185,1))+1000*tech_proj!M1429)/((1-tech_proj!M589)*tech_proj!M869*$L$110))</f>
        <v>63.186956313016672</v>
      </c>
      <c r="N809" s="71">
        <f>IF(tech_base!$T185&gt;N$625,"",(1000*tech_proj!N1149*(-PMT($J$110,tech_base!$F185,1))+1000*tech_proj!N1429)/((1-tech_proj!N589)*tech_proj!N869*$L$110))</f>
        <v>63.186956313016672</v>
      </c>
      <c r="O809" s="71">
        <f>IF(tech_base!$T185&gt;O$625,"",(1000*tech_proj!O1149*(-PMT($J$110,tech_base!$F185,1))+1000*tech_proj!O1429)/((1-tech_proj!O589)*tech_proj!O869*$L$110))</f>
        <v>63.186956313016672</v>
      </c>
      <c r="P809" s="71">
        <f>IF(tech_base!$T185&gt;P$625,"",(1000*tech_proj!P1149*(-PMT($J$110,tech_base!$F185,1))+1000*tech_proj!P1429)/((1-tech_proj!P589)*tech_proj!P869*$L$110))</f>
        <v>63.186956313016672</v>
      </c>
      <c r="Q809" s="71">
        <f>IF(tech_base!$T185&gt;Q$625,"",(1000*tech_proj!Q1149*(-PMT($J$110,tech_base!$F185,1))+1000*tech_proj!Q1429)/((1-tech_proj!Q589)*tech_proj!Q869*$L$110))</f>
        <v>63.186956313016672</v>
      </c>
      <c r="R809" s="71">
        <f>IF(tech_base!$T185&gt;R$625,"",(1000*tech_proj!R1149*(-PMT($J$110,tech_base!$F185,1))+1000*tech_proj!R1429)/((1-tech_proj!R589)*tech_proj!R869*$L$110))</f>
        <v>63.186956313016672</v>
      </c>
      <c r="S809" s="71">
        <f>IF(tech_base!$T185&gt;S$625,"",(1000*tech_proj!S1149*(-PMT($J$110,tech_base!$F185,1))+1000*tech_proj!S1429)/((1-tech_proj!S589)*tech_proj!S869*$L$110))</f>
        <v>63.186956313016672</v>
      </c>
      <c r="T809" s="71">
        <f>IF(tech_base!$T185&gt;T$625,"",(1000*tech_proj!T1149*(-PMT($J$110,tech_base!$F185,1))+1000*tech_proj!T1429)/((1-tech_proj!T589)*tech_proj!T869*$L$110))</f>
        <v>63.186956313016672</v>
      </c>
      <c r="U809" s="71">
        <f>IF(tech_base!$T185&gt;U$625,"",(1000*tech_proj!U1149*(-PMT($J$110,tech_base!$F185,1))+1000*tech_proj!U1429)/((1-tech_proj!U589)*tech_proj!U869*$L$110))</f>
        <v>63.186956313016672</v>
      </c>
      <c r="V809" s="71">
        <f>IF(tech_base!$T185&gt;V$625,"",(1000*tech_proj!V1149*(-PMT($J$110,tech_base!$F185,1))+1000*tech_proj!V1429)/((1-tech_proj!V589)*tech_proj!V869*$L$110))</f>
        <v>63.186956313016672</v>
      </c>
      <c r="W809" s="71">
        <f>IF(tech_base!$T185&gt;W$625,"",(1000*tech_proj!W1149*(-PMT($J$110,tech_base!$F185,1))+1000*tech_proj!W1429)/((1-tech_proj!W589)*tech_proj!W869*$L$110))</f>
        <v>63.186956313016672</v>
      </c>
      <c r="X809" s="71">
        <f>IF(tech_base!$T185&gt;X$625,"",(1000*tech_proj!X1149*(-PMT($J$110,tech_base!$F185,1))+1000*tech_proj!X1429)/((1-tech_proj!X589)*tech_proj!X869*$L$110))</f>
        <v>63.186956313016672</v>
      </c>
      <c r="Y809" s="71">
        <f>IF(tech_base!$T185&gt;Y$625,"",(1000*tech_proj!Y1149*(-PMT($J$110,tech_base!$F185,1))+1000*tech_proj!Y1429)/((1-tech_proj!Y589)*tech_proj!Y869*$L$110))</f>
        <v>63.186956313016672</v>
      </c>
      <c r="Z809" s="71">
        <f>IF(tech_base!$T185&gt;Z$625,"",(1000*tech_proj!Z1149*(-PMT($J$110,tech_base!$F185,1))+1000*tech_proj!Z1429)/((1-tech_proj!Z589)*tech_proj!Z869*$L$110))</f>
        <v>63.186956313016672</v>
      </c>
      <c r="AA809" s="71">
        <f>IF(tech_base!$T185&gt;AA$625,"",(1000*tech_proj!AA1149*(-PMT($J$110,tech_base!$F185,1))+1000*tech_proj!AA1429)/((1-tech_proj!AA589)*tech_proj!AA869*$L$110))</f>
        <v>63.186956313016672</v>
      </c>
      <c r="AB809" s="71">
        <f>IF(tech_base!$T185&gt;AB$625,"",(1000*tech_proj!AB1149*(-PMT($J$110,tech_base!$F185,1))+1000*tech_proj!AB1429)/((1-tech_proj!AB589)*tech_proj!AB869*$L$110))</f>
        <v>63.186956313016672</v>
      </c>
      <c r="AC809" s="71">
        <f>IF(tech_base!$T185&gt;AC$625,"",(1000*tech_proj!AC1149*(-PMT($J$110,tech_base!$F185,1))+1000*tech_proj!AC1429)/((1-tech_proj!AC589)*tech_proj!AC869*$L$110))</f>
        <v>63.186956313016672</v>
      </c>
      <c r="AD809" s="71">
        <f>IF(tech_base!$T185&gt;AD$625,"",(1000*tech_proj!AD1149*(-PMT($J$110,tech_base!$F185,1))+1000*tech_proj!AD1429)/((1-tech_proj!AD589)*tech_proj!AD869*$L$110))</f>
        <v>63.186956313016672</v>
      </c>
      <c r="AE809" s="71">
        <f>IF(tech_base!$T185&gt;AE$625,"",(1000*tech_proj!AE1149*(-PMT($J$110,tech_base!$F185,1))+1000*tech_proj!AE1429)/((1-tech_proj!AE589)*tech_proj!AE869*$L$110))</f>
        <v>63.186956313016672</v>
      </c>
      <c r="AF809" s="71">
        <f>IF(tech_base!$T185&gt;AF$625,"",(1000*tech_proj!AF1149*(-PMT($J$110,tech_base!$F185,1))+1000*tech_proj!AF1429)/((1-tech_proj!AF589)*tech_proj!AF869*$L$110))</f>
        <v>63.186956313016672</v>
      </c>
      <c r="AG809" s="71">
        <f>IF(tech_base!$T185&gt;AG$625,"",(1000*tech_proj!AG1149*(-PMT($J$110,tech_base!$F185,1))+1000*tech_proj!AG1429)/((1-tech_proj!AG589)*tech_proj!AG869*$L$110))</f>
        <v>63.186956313016672</v>
      </c>
      <c r="AH809" s="71">
        <f>IF(tech_base!$T185&gt;AH$625,"",(1000*tech_proj!AH1149*(-PMT($J$110,tech_base!$F185,1))+1000*tech_proj!AH1429)/((1-tech_proj!AH589)*tech_proj!AH869*$L$110))</f>
        <v>63.186956313016672</v>
      </c>
      <c r="AI809" s="71">
        <f>IF(tech_base!$T185&gt;AI$625,"",(1000*tech_proj!AI1149*(-PMT($J$110,tech_base!$F185,1))+1000*tech_proj!AI1429)/((1-tech_proj!AI589)*tech_proj!AI869*$L$110))</f>
        <v>63.186956313016672</v>
      </c>
      <c r="AJ809" s="71">
        <f>IF(tech_base!$T185&gt;AJ$625,"",(1000*tech_proj!AJ1149*(-PMT($J$110,tech_base!$F185,1))+1000*tech_proj!AJ1429)/((1-tech_proj!AJ589)*tech_proj!AJ869*$L$110))</f>
        <v>63.186956313016672</v>
      </c>
      <c r="AK809" s="71">
        <f>IF(tech_base!$T185&gt;AK$625,"",(1000*tech_proj!AK1149*(-PMT($J$110,tech_base!$F185,1))+1000*tech_proj!AK1429)/((1-tech_proj!AK589)*tech_proj!AK869*$L$110))</f>
        <v>63.186956313016672</v>
      </c>
      <c r="AL809" s="71">
        <f>IF(tech_base!$T185&gt;AL$625,"",(1000*tech_proj!AL1149*(-PMT($J$110,tech_base!$F185,1))+1000*tech_proj!AL1429)/((1-tech_proj!AL589)*tech_proj!AL869*$L$110))</f>
        <v>63.186956313016672</v>
      </c>
      <c r="AM809" s="71">
        <f>IF(tech_base!$T185&gt;AM$625,"",(1000*tech_proj!AM1149*(-PMT($J$110,tech_base!$F185,1))+1000*tech_proj!AM1429)/((1-tech_proj!AM589)*tech_proj!AM869*$L$110))</f>
        <v>63.186956313016672</v>
      </c>
      <c r="AN809" s="71">
        <f>IF(tech_base!$T185&gt;AN$625,"",(1000*tech_proj!AN1149*(-PMT($J$110,tech_base!$F185,1))+1000*tech_proj!AN1429)/((1-tech_proj!AN589)*tech_proj!AN869*$L$110))</f>
        <v>63.16966288862023</v>
      </c>
      <c r="AO809" s="71">
        <f>IF(tech_base!$T185&gt;AO$625,"",(1000*tech_proj!AO1149*(-PMT($J$110,tech_base!$F185,1))+1000*tech_proj!AO1429)/((1-tech_proj!AO589)*tech_proj!AO869*$L$110))</f>
        <v>63.163655032472946</v>
      </c>
      <c r="AP809" s="71">
        <f>IF(tech_base!$T185&gt;AP$625,"",(1000*tech_proj!AP1149*(-PMT($J$110,tech_base!$F185,1))+1000*tech_proj!AP1429)/((1-tech_proj!AP589)*tech_proj!AP869*$L$110))</f>
        <v>63.155579810117167</v>
      </c>
      <c r="AQ809" s="71">
        <f>IF(tech_base!$T185&gt;AQ$625,"",(1000*tech_proj!AQ1149*(-PMT($J$110,tech_base!$F185,1))+1000*tech_proj!AQ1429)/((1-tech_proj!AQ589)*tech_proj!AQ869*$L$110))</f>
        <v>63.144741861349125</v>
      </c>
      <c r="AR809" s="71">
        <f>IF(tech_base!$T185&gt;AR$625,"",(1000*tech_proj!AR1149*(-PMT($J$110,tech_base!$F185,1))+1000*tech_proj!AR1429)/((1-tech_proj!AR589)*tech_proj!AR869*$L$110))</f>
        <v>63.130224839836259</v>
      </c>
      <c r="AS809" s="71">
        <f>IF(tech_base!$T185&gt;AS$625,"",(1000*tech_proj!AS1149*(-PMT($J$110,tech_base!$F185,1))+1000*tech_proj!AS1429)/((1-tech_proj!AS589)*tech_proj!AS869*$L$110))</f>
        <v>63.110831482531054</v>
      </c>
      <c r="AT809" s="71">
        <f>IF(tech_base!$T185&gt;AT$625,"",(1000*tech_proj!AT1149*(-PMT($J$110,tech_base!$F185,1))+1000*tech_proj!AT1429)/((1-tech_proj!AT589)*tech_proj!AT869*$L$110))</f>
        <v>63.085015693766323</v>
      </c>
      <c r="AU809" s="71">
        <f>IF(tech_base!$T185&gt;AU$625,"",(1000*tech_proj!AU1149*(-PMT($J$110,tech_base!$F185,1))+1000*tech_proj!AU1429)/((1-tech_proj!AU589)*tech_proj!AU869*$L$110))</f>
        <v>63.050812759643719</v>
      </c>
      <c r="AV809" s="71">
        <f>IF(tech_base!$T185&gt;AV$625,"",(1000*tech_proj!AV1149*(-PMT($J$110,tech_base!$F185,1))+1000*tech_proj!AV1429)/((1-tech_proj!AV589)*tech_proj!AV869*$L$110))</f>
        <v>63.005781013514543</v>
      </c>
      <c r="AW809" s="71">
        <f>IF(tech_base!$T185&gt;AW$625,"",(1000*tech_proj!AW1149*(-PMT($J$110,tech_base!$F185,1))+1000*tech_proj!AW1429)/((1-tech_proj!AW589)*tech_proj!AW869*$L$110))</f>
        <v>62.946979509446919</v>
      </c>
      <c r="AX809" s="237">
        <f>IF(tech_base!$T185&gt;AX$625,"",(1000*tech_proj!AX1149*(-PMT($J$110,tech_base!$F185,1))+1000*tech_proj!AX1429)/((1-tech_proj!AX589)*tech_proj!AX869*$L$110))</f>
        <v>62.871021531451596</v>
      </c>
    </row>
    <row r="810" spans="1:50" x14ac:dyDescent="0.25">
      <c r="A810" s="356"/>
      <c r="B810" s="376"/>
      <c r="C810" s="379"/>
      <c r="D810" s="59" t="s">
        <v>8</v>
      </c>
      <c r="E810" s="166" t="str">
        <f>A799&amp;"/"&amp;B807&amp;"/"&amp;C809&amp;"/"&amp;D810</f>
        <v>Fuel oil fired power plants/Supercritical steam turbine/CHP/M</v>
      </c>
      <c r="F810" s="79" t="str">
        <f>A799</f>
        <v>Fuel oil fired power plants</v>
      </c>
      <c r="G810" s="79" t="str">
        <f>B807</f>
        <v>Supercritical steam turbine</v>
      </c>
      <c r="H810" s="79" t="str">
        <f>C809</f>
        <v>CHP</v>
      </c>
      <c r="I810" s="167" t="str">
        <f t="shared" si="364"/>
        <v>M</v>
      </c>
      <c r="J810" s="72">
        <f>IF(tech_base!$T186&gt;J$625,"",(1000*tech_proj!J1150*(-PMT($J$110,tech_base!$F186,1))+1000*tech_proj!J1430)/((1-tech_proj!J590)*tech_proj!J870*$L$110))</f>
        <v>68.604132653232298</v>
      </c>
      <c r="K810" s="72">
        <f>IF(tech_base!$T186&gt;K$625,"",(1000*tech_proj!K1150*(-PMT($J$110,tech_base!$F186,1))+1000*tech_proj!K1430)/((1-tech_proj!K590)*tech_proj!K870*$L$110))</f>
        <v>68.604132653232298</v>
      </c>
      <c r="L810" s="72">
        <f>IF(tech_base!$T186&gt;L$625,"",(1000*tech_proj!L1150*(-PMT($J$110,tech_base!$F186,1))+1000*tech_proj!L1430)/((1-tech_proj!L590)*tech_proj!L870*$L$110))</f>
        <v>68.604132653232298</v>
      </c>
      <c r="M810" s="72">
        <f>IF(tech_base!$T186&gt;M$625,"",(1000*tech_proj!M1150*(-PMT($J$110,tech_base!$F186,1))+1000*tech_proj!M1430)/((1-tech_proj!M590)*tech_proj!M870*$L$110))</f>
        <v>68.604132653232298</v>
      </c>
      <c r="N810" s="72">
        <f>IF(tech_base!$T186&gt;N$625,"",(1000*tech_proj!N1150*(-PMT($J$110,tech_base!$F186,1))+1000*tech_proj!N1430)/((1-tech_proj!N590)*tech_proj!N870*$L$110))</f>
        <v>68.604132653232298</v>
      </c>
      <c r="O810" s="72">
        <f>IF(tech_base!$T186&gt;O$625,"",(1000*tech_proj!O1150*(-PMT($J$110,tech_base!$F186,1))+1000*tech_proj!O1430)/((1-tech_proj!O590)*tech_proj!O870*$L$110))</f>
        <v>68.604132653232298</v>
      </c>
      <c r="P810" s="72">
        <f>IF(tech_base!$T186&gt;P$625,"",(1000*tech_proj!P1150*(-PMT($J$110,tech_base!$F186,1))+1000*tech_proj!P1430)/((1-tech_proj!P590)*tech_proj!P870*$L$110))</f>
        <v>68.604132653232298</v>
      </c>
      <c r="Q810" s="72">
        <f>IF(tech_base!$T186&gt;Q$625,"",(1000*tech_proj!Q1150*(-PMT($J$110,tech_base!$F186,1))+1000*tech_proj!Q1430)/((1-tech_proj!Q590)*tech_proj!Q870*$L$110))</f>
        <v>68.604132653232298</v>
      </c>
      <c r="R810" s="72">
        <f>IF(tech_base!$T186&gt;R$625,"",(1000*tech_proj!R1150*(-PMT($J$110,tech_base!$F186,1))+1000*tech_proj!R1430)/((1-tech_proj!R590)*tech_proj!R870*$L$110))</f>
        <v>68.604132653232298</v>
      </c>
      <c r="S810" s="72">
        <f>IF(tech_base!$T186&gt;S$625,"",(1000*tech_proj!S1150*(-PMT($J$110,tech_base!$F186,1))+1000*tech_proj!S1430)/((1-tech_proj!S590)*tech_proj!S870*$L$110))</f>
        <v>68.604132653232298</v>
      </c>
      <c r="T810" s="72">
        <f>IF(tech_base!$T186&gt;T$625,"",(1000*tech_proj!T1150*(-PMT($J$110,tech_base!$F186,1))+1000*tech_proj!T1430)/((1-tech_proj!T590)*tech_proj!T870*$L$110))</f>
        <v>68.604132653232298</v>
      </c>
      <c r="U810" s="72">
        <f>IF(tech_base!$T186&gt;U$625,"",(1000*tech_proj!U1150*(-PMT($J$110,tech_base!$F186,1))+1000*tech_proj!U1430)/((1-tech_proj!U590)*tech_proj!U870*$L$110))</f>
        <v>68.604132653232298</v>
      </c>
      <c r="V810" s="72">
        <f>IF(tech_base!$T186&gt;V$625,"",(1000*tech_proj!V1150*(-PMT($J$110,tech_base!$F186,1))+1000*tech_proj!V1430)/((1-tech_proj!V590)*tech_proj!V870*$L$110))</f>
        <v>68.604132653232298</v>
      </c>
      <c r="W810" s="72">
        <f>IF(tech_base!$T186&gt;W$625,"",(1000*tech_proj!W1150*(-PMT($J$110,tech_base!$F186,1))+1000*tech_proj!W1430)/((1-tech_proj!W590)*tech_proj!W870*$L$110))</f>
        <v>68.604132653232298</v>
      </c>
      <c r="X810" s="72">
        <f>IF(tech_base!$T186&gt;X$625,"",(1000*tech_proj!X1150*(-PMT($J$110,tech_base!$F186,1))+1000*tech_proj!X1430)/((1-tech_proj!X590)*tech_proj!X870*$L$110))</f>
        <v>68.604132653232298</v>
      </c>
      <c r="Y810" s="72">
        <f>IF(tech_base!$T186&gt;Y$625,"",(1000*tech_proj!Y1150*(-PMT($J$110,tech_base!$F186,1))+1000*tech_proj!Y1430)/((1-tech_proj!Y590)*tech_proj!Y870*$L$110))</f>
        <v>68.604132653232298</v>
      </c>
      <c r="Z810" s="72">
        <f>IF(tech_base!$T186&gt;Z$625,"",(1000*tech_proj!Z1150*(-PMT($J$110,tech_base!$F186,1))+1000*tech_proj!Z1430)/((1-tech_proj!Z590)*tech_proj!Z870*$L$110))</f>
        <v>68.604132653232298</v>
      </c>
      <c r="AA810" s="72">
        <f>IF(tech_base!$T186&gt;AA$625,"",(1000*tech_proj!AA1150*(-PMT($J$110,tech_base!$F186,1))+1000*tech_proj!AA1430)/((1-tech_proj!AA590)*tech_proj!AA870*$L$110))</f>
        <v>68.604132653232298</v>
      </c>
      <c r="AB810" s="72">
        <f>IF(tech_base!$T186&gt;AB$625,"",(1000*tech_proj!AB1150*(-PMT($J$110,tech_base!$F186,1))+1000*tech_proj!AB1430)/((1-tech_proj!AB590)*tech_proj!AB870*$L$110))</f>
        <v>68.604132653232298</v>
      </c>
      <c r="AC810" s="72">
        <f>IF(tech_base!$T186&gt;AC$625,"",(1000*tech_proj!AC1150*(-PMT($J$110,tech_base!$F186,1))+1000*tech_proj!AC1430)/((1-tech_proj!AC590)*tech_proj!AC870*$L$110))</f>
        <v>68.604132653232298</v>
      </c>
      <c r="AD810" s="72">
        <f>IF(tech_base!$T186&gt;AD$625,"",(1000*tech_proj!AD1150*(-PMT($J$110,tech_base!$F186,1))+1000*tech_proj!AD1430)/((1-tech_proj!AD590)*tech_proj!AD870*$L$110))</f>
        <v>68.604132653232298</v>
      </c>
      <c r="AE810" s="72">
        <f>IF(tech_base!$T186&gt;AE$625,"",(1000*tech_proj!AE1150*(-PMT($J$110,tech_base!$F186,1))+1000*tech_proj!AE1430)/((1-tech_proj!AE590)*tech_proj!AE870*$L$110))</f>
        <v>68.604132653232298</v>
      </c>
      <c r="AF810" s="72">
        <f>IF(tech_base!$T186&gt;AF$625,"",(1000*tech_proj!AF1150*(-PMT($J$110,tech_base!$F186,1))+1000*tech_proj!AF1430)/((1-tech_proj!AF590)*tech_proj!AF870*$L$110))</f>
        <v>68.604132653232298</v>
      </c>
      <c r="AG810" s="72">
        <f>IF(tech_base!$T186&gt;AG$625,"",(1000*tech_proj!AG1150*(-PMT($J$110,tech_base!$F186,1))+1000*tech_proj!AG1430)/((1-tech_proj!AG590)*tech_proj!AG870*$L$110))</f>
        <v>68.604132653232298</v>
      </c>
      <c r="AH810" s="72">
        <f>IF(tech_base!$T186&gt;AH$625,"",(1000*tech_proj!AH1150*(-PMT($J$110,tech_base!$F186,1))+1000*tech_proj!AH1430)/((1-tech_proj!AH590)*tech_proj!AH870*$L$110))</f>
        <v>68.604132653232298</v>
      </c>
      <c r="AI810" s="72">
        <f>IF(tech_base!$T186&gt;AI$625,"",(1000*tech_proj!AI1150*(-PMT($J$110,tech_base!$F186,1))+1000*tech_proj!AI1430)/((1-tech_proj!AI590)*tech_proj!AI870*$L$110))</f>
        <v>68.604132653232298</v>
      </c>
      <c r="AJ810" s="72">
        <f>IF(tech_base!$T186&gt;AJ$625,"",(1000*tech_proj!AJ1150*(-PMT($J$110,tech_base!$F186,1))+1000*tech_proj!AJ1430)/((1-tech_proj!AJ590)*tech_proj!AJ870*$L$110))</f>
        <v>68.604132653232298</v>
      </c>
      <c r="AK810" s="72">
        <f>IF(tech_base!$T186&gt;AK$625,"",(1000*tech_proj!AK1150*(-PMT($J$110,tech_base!$F186,1))+1000*tech_proj!AK1430)/((1-tech_proj!AK590)*tech_proj!AK870*$L$110))</f>
        <v>68.604132653232298</v>
      </c>
      <c r="AL810" s="72">
        <f>IF(tech_base!$T186&gt;AL$625,"",(1000*tech_proj!AL1150*(-PMT($J$110,tech_base!$F186,1))+1000*tech_proj!AL1430)/((1-tech_proj!AL590)*tech_proj!AL870*$L$110))</f>
        <v>68.604132653232298</v>
      </c>
      <c r="AM810" s="72">
        <f>IF(tech_base!$T186&gt;AM$625,"",(1000*tech_proj!AM1150*(-PMT($J$110,tech_base!$F186,1))+1000*tech_proj!AM1430)/((1-tech_proj!AM590)*tech_proj!AM870*$L$110))</f>
        <v>68.604132653232298</v>
      </c>
      <c r="AN810" s="72">
        <f>IF(tech_base!$T186&gt;AN$625,"",(1000*tech_proj!AN1150*(-PMT($J$110,tech_base!$F186,1))+1000*tech_proj!AN1430)/((1-tech_proj!AN590)*tech_proj!AN870*$L$110))</f>
        <v>68.585356620162358</v>
      </c>
      <c r="AO810" s="72">
        <f>IF(tech_base!$T186&gt;AO$625,"",(1000*tech_proj!AO1150*(-PMT($J$110,tech_base!$F186,1))+1000*tech_proj!AO1430)/((1-tech_proj!AO590)*tech_proj!AO870*$L$110))</f>
        <v>68.578833695430077</v>
      </c>
      <c r="AP810" s="72">
        <f>IF(tech_base!$T186&gt;AP$625,"",(1000*tech_proj!AP1150*(-PMT($J$110,tech_base!$F186,1))+1000*tech_proj!AP1430)/((1-tech_proj!AP590)*tech_proj!AP870*$L$110))</f>
        <v>68.570066163995975</v>
      </c>
      <c r="AQ810" s="72">
        <f>IF(tech_base!$T186&gt;AQ$625,"",(1000*tech_proj!AQ1150*(-PMT($J$110,tech_base!$F186,1))+1000*tech_proj!AQ1430)/((1-tech_proj!AQ590)*tech_proj!AQ870*$L$110))</f>
        <v>68.558299050680887</v>
      </c>
      <c r="AR810" s="72">
        <f>IF(tech_base!$T186&gt;AR$625,"",(1000*tech_proj!AR1150*(-PMT($J$110,tech_base!$F186,1))+1000*tech_proj!AR1430)/((1-tech_proj!AR590)*tech_proj!AR870*$L$110))</f>
        <v>68.542537448481454</v>
      </c>
      <c r="AS810" s="72">
        <f>IF(tech_base!$T186&gt;AS$625,"",(1000*tech_proj!AS1150*(-PMT($J$110,tech_base!$F186,1))+1000*tech_proj!AS1430)/((1-tech_proj!AS590)*tech_proj!AS870*$L$110))</f>
        <v>68.521481449984449</v>
      </c>
      <c r="AT810" s="72">
        <f>IF(tech_base!$T186&gt;AT$625,"",(1000*tech_proj!AT1150*(-PMT($J$110,tech_base!$F186,1))+1000*tech_proj!AT1430)/((1-tech_proj!AT590)*tech_proj!AT870*$L$110))</f>
        <v>68.493452408860989</v>
      </c>
      <c r="AU810" s="72">
        <f>IF(tech_base!$T186&gt;AU$625,"",(1000*tech_proj!AU1150*(-PMT($J$110,tech_base!$F186,1))+1000*tech_proj!AU1430)/((1-tech_proj!AU590)*tech_proj!AU870*$L$110))</f>
        <v>68.456317171359544</v>
      </c>
      <c r="AV810" s="72">
        <f>IF(tech_base!$T186&gt;AV$625,"",(1000*tech_proj!AV1150*(-PMT($J$110,tech_base!$F186,1))+1000*tech_proj!AV1430)/((1-tech_proj!AV590)*tech_proj!AV870*$L$110))</f>
        <v>68.407424740621977</v>
      </c>
      <c r="AW810" s="72">
        <f>IF(tech_base!$T186&gt;AW$625,"",(1000*tech_proj!AW1150*(-PMT($J$110,tech_base!$F186,1))+1000*tech_proj!AW1430)/((1-tech_proj!AW590)*tech_proj!AW870*$L$110))</f>
        <v>68.343582036040942</v>
      </c>
      <c r="AX810" s="238">
        <f>IF(tech_base!$T186&gt;AX$625,"",(1000*tech_proj!AX1150*(-PMT($J$110,tech_base!$F186,1))+1000*tech_proj!AX1430)/((1-tech_proj!AX590)*tech_proj!AX870*$L$110))</f>
        <v>68.261111989966139</v>
      </c>
    </row>
    <row r="811" spans="1:50" x14ac:dyDescent="0.25">
      <c r="A811" s="356"/>
      <c r="B811" s="376"/>
      <c r="C811" s="361" t="s">
        <v>15</v>
      </c>
      <c r="D811" s="58" t="s">
        <v>7</v>
      </c>
      <c r="E811" s="164" t="str">
        <f>A799&amp;"/"&amp;B807&amp;"/"&amp;C811&amp;"/"&amp;D811</f>
        <v>Fuel oil fired power plants/Supercritical steam turbine/Electricity only with CCS/L</v>
      </c>
      <c r="F811" s="78" t="str">
        <f>A799</f>
        <v>Fuel oil fired power plants</v>
      </c>
      <c r="G811" s="78" t="str">
        <f>B807</f>
        <v>Supercritical steam turbine</v>
      </c>
      <c r="H811" s="78" t="str">
        <f>C811</f>
        <v>Electricity only with CCS</v>
      </c>
      <c r="I811" s="165" t="str">
        <f t="shared" si="364"/>
        <v>L</v>
      </c>
      <c r="J811" s="71" t="str">
        <f>IF(tech_base!$T187&gt;J$625,"",(1000*tech_proj!J1151*(-PMT($J$110,tech_base!$F187,1))+1000*tech_proj!J1431)/((1-tech_proj!J591)*tech_proj!J871*$L$110))</f>
        <v/>
      </c>
      <c r="K811" s="71" t="str">
        <f>IF(tech_base!$T187&gt;K$625,"",(1000*tech_proj!K1151*(-PMT($J$110,tech_base!$F187,1))+1000*tech_proj!K1431)/((1-tech_proj!K591)*tech_proj!K871*$L$110))</f>
        <v/>
      </c>
      <c r="L811" s="71" t="str">
        <f>IF(tech_base!$T187&gt;L$625,"",(1000*tech_proj!L1151*(-PMT($J$110,tech_base!$F187,1))+1000*tech_proj!L1431)/((1-tech_proj!L591)*tech_proj!L871*$L$110))</f>
        <v/>
      </c>
      <c r="M811" s="71" t="str">
        <f>IF(tech_base!$T187&gt;M$625,"",(1000*tech_proj!M1151*(-PMT($J$110,tech_base!$F187,1))+1000*tech_proj!M1431)/((1-tech_proj!M591)*tech_proj!M871*$L$110))</f>
        <v/>
      </c>
      <c r="N811" s="71" t="str">
        <f>IF(tech_base!$T187&gt;N$625,"",(1000*tech_proj!N1151*(-PMT($J$110,tech_base!$F187,1))+1000*tech_proj!N1431)/((1-tech_proj!N591)*tech_proj!N871*$L$110))</f>
        <v/>
      </c>
      <c r="O811" s="71" t="str">
        <f>IF(tech_base!$T187&gt;O$625,"",(1000*tech_proj!O1151*(-PMT($J$110,tech_base!$F187,1))+1000*tech_proj!O1431)/((1-tech_proj!O591)*tech_proj!O871*$L$110))</f>
        <v/>
      </c>
      <c r="P811" s="71" t="str">
        <f>IF(tech_base!$T187&gt;P$625,"",(1000*tech_proj!P1151*(-PMT($J$110,tech_base!$F187,1))+1000*tech_proj!P1431)/((1-tech_proj!P591)*tech_proj!P871*$L$110))</f>
        <v/>
      </c>
      <c r="Q811" s="71" t="str">
        <f>IF(tech_base!$T187&gt;Q$625,"",(1000*tech_proj!Q1151*(-PMT($J$110,tech_base!$F187,1))+1000*tech_proj!Q1431)/((1-tech_proj!Q591)*tech_proj!Q871*$L$110))</f>
        <v/>
      </c>
      <c r="R811" s="71" t="str">
        <f>IF(tech_base!$T187&gt;R$625,"",(1000*tech_proj!R1151*(-PMT($J$110,tech_base!$F187,1))+1000*tech_proj!R1431)/((1-tech_proj!R591)*tech_proj!R871*$L$110))</f>
        <v/>
      </c>
      <c r="S811" s="71" t="str">
        <f>IF(tech_base!$T187&gt;S$625,"",(1000*tech_proj!S1151*(-PMT($J$110,tech_base!$F187,1))+1000*tech_proj!S1431)/((1-tech_proj!S591)*tech_proj!S871*$L$110))</f>
        <v/>
      </c>
      <c r="T811" s="71" t="str">
        <f>IF(tech_base!$T187&gt;T$625,"",(1000*tech_proj!T1151*(-PMT($J$110,tech_base!$F187,1))+1000*tech_proj!T1431)/((1-tech_proj!T591)*tech_proj!T871*$L$110))</f>
        <v/>
      </c>
      <c r="U811" s="71" t="str">
        <f>IF(tech_base!$T187&gt;U$625,"",(1000*tech_proj!U1151*(-PMT($J$110,tech_base!$F187,1))+1000*tech_proj!U1431)/((1-tech_proj!U591)*tech_proj!U871*$L$110))</f>
        <v/>
      </c>
      <c r="V811" s="71" t="str">
        <f>IF(tech_base!$T187&gt;V$625,"",(1000*tech_proj!V1151*(-PMT($J$110,tech_base!$F187,1))+1000*tech_proj!V1431)/((1-tech_proj!V591)*tech_proj!V871*$L$110))</f>
        <v/>
      </c>
      <c r="W811" s="71" t="str">
        <f>IF(tech_base!$T187&gt;W$625,"",(1000*tech_proj!W1151*(-PMT($J$110,tech_base!$F187,1))+1000*tech_proj!W1431)/((1-tech_proj!W591)*tech_proj!W871*$L$110))</f>
        <v/>
      </c>
      <c r="X811" s="71" t="str">
        <f>IF(tech_base!$T187&gt;X$625,"",(1000*tech_proj!X1151*(-PMT($J$110,tech_base!$F187,1))+1000*tech_proj!X1431)/((1-tech_proj!X591)*tech_proj!X871*$L$110))</f>
        <v/>
      </c>
      <c r="Y811" s="71" t="str">
        <f>IF(tech_base!$T187&gt;Y$625,"",(1000*tech_proj!Y1151*(-PMT($J$110,tech_base!$F187,1))+1000*tech_proj!Y1431)/((1-tech_proj!Y591)*tech_proj!Y871*$L$110))</f>
        <v/>
      </c>
      <c r="Z811" s="71" t="str">
        <f>IF(tech_base!$T187&gt;Z$625,"",(1000*tech_proj!Z1151*(-PMT($J$110,tech_base!$F187,1))+1000*tech_proj!Z1431)/((1-tech_proj!Z591)*tech_proj!Z871*$L$110))</f>
        <v/>
      </c>
      <c r="AA811" s="71" t="str">
        <f>IF(tech_base!$T187&gt;AA$625,"",(1000*tech_proj!AA1151*(-PMT($J$110,tech_base!$F187,1))+1000*tech_proj!AA1431)/((1-tech_proj!AA591)*tech_proj!AA871*$L$110))</f>
        <v/>
      </c>
      <c r="AB811" s="71" t="str">
        <f>IF(tech_base!$T187&gt;AB$625,"",(1000*tech_proj!AB1151*(-PMT($J$110,tech_base!$F187,1))+1000*tech_proj!AB1431)/((1-tech_proj!AB591)*tech_proj!AB871*$L$110))</f>
        <v/>
      </c>
      <c r="AC811" s="71" t="str">
        <f>IF(tech_base!$T187&gt;AC$625,"",(1000*tech_proj!AC1151*(-PMT($J$110,tech_base!$F187,1))+1000*tech_proj!AC1431)/((1-tech_proj!AC591)*tech_proj!AC871*$L$110))</f>
        <v/>
      </c>
      <c r="AD811" s="71" t="str">
        <f>IF(tech_base!$T187&gt;AD$625,"",(1000*tech_proj!AD1151*(-PMT($J$110,tech_base!$F187,1))+1000*tech_proj!AD1431)/((1-tech_proj!AD591)*tech_proj!AD871*$L$110))</f>
        <v/>
      </c>
      <c r="AE811" s="71">
        <f>IF(tech_base!$T187&gt;AE$625,"",(1000*tech_proj!AE1151*(-PMT($J$110,tech_base!$F187,1))+1000*tech_proj!AE1431)/((1-tech_proj!AE591)*tech_proj!AE871*$L$110))</f>
        <v>116.07452048861373</v>
      </c>
      <c r="AF811" s="71">
        <f>IF(tech_base!$T187&gt;AF$625,"",(1000*tech_proj!AF1151*(-PMT($J$110,tech_base!$F187,1))+1000*tech_proj!AF1431)/((1-tech_proj!AF591)*tech_proj!AF871*$L$110))</f>
        <v>116.07452048861373</v>
      </c>
      <c r="AG811" s="71">
        <f>IF(tech_base!$T187&gt;AG$625,"",(1000*tech_proj!AG1151*(-PMT($J$110,tech_base!$F187,1))+1000*tech_proj!AG1431)/((1-tech_proj!AG591)*tech_proj!AG871*$L$110))</f>
        <v>116.07452048861373</v>
      </c>
      <c r="AH811" s="71">
        <f>IF(tech_base!$T187&gt;AH$625,"",(1000*tech_proj!AH1151*(-PMT($J$110,tech_base!$F187,1))+1000*tech_proj!AH1431)/((1-tech_proj!AH591)*tech_proj!AH871*$L$110))</f>
        <v>116.07452048861373</v>
      </c>
      <c r="AI811" s="71">
        <f>IF(tech_base!$T187&gt;AI$625,"",(1000*tech_proj!AI1151*(-PMT($J$110,tech_base!$F187,1))+1000*tech_proj!AI1431)/((1-tech_proj!AI591)*tech_proj!AI871*$L$110))</f>
        <v>116.07452048861373</v>
      </c>
      <c r="AJ811" s="71">
        <f>IF(tech_base!$T187&gt;AJ$625,"",(1000*tech_proj!AJ1151*(-PMT($J$110,tech_base!$F187,1))+1000*tech_proj!AJ1431)/((1-tech_proj!AJ591)*tech_proj!AJ871*$L$110))</f>
        <v>116.07452048861373</v>
      </c>
      <c r="AK811" s="71">
        <f>IF(tech_base!$T187&gt;AK$625,"",(1000*tech_proj!AK1151*(-PMT($J$110,tech_base!$F187,1))+1000*tech_proj!AK1431)/((1-tech_proj!AK591)*tech_proj!AK871*$L$110))</f>
        <v>116.07452048861373</v>
      </c>
      <c r="AL811" s="71">
        <f>IF(tech_base!$T187&gt;AL$625,"",(1000*tech_proj!AL1151*(-PMT($J$110,tech_base!$F187,1))+1000*tech_proj!AL1431)/((1-tech_proj!AL591)*tech_proj!AL871*$L$110))</f>
        <v>116.07452048861373</v>
      </c>
      <c r="AM811" s="71">
        <f>IF(tech_base!$T187&gt;AM$625,"",(1000*tech_proj!AM1151*(-PMT($J$110,tech_base!$F187,1))+1000*tech_proj!AM1431)/((1-tech_proj!AM591)*tech_proj!AM871*$L$110))</f>
        <v>116.07452048861373</v>
      </c>
      <c r="AN811" s="71">
        <f>IF(tech_base!$T187&gt;AN$625,"",(1000*tech_proj!AN1151*(-PMT($J$110,tech_base!$F187,1))+1000*tech_proj!AN1431)/((1-tech_proj!AN591)*tech_proj!AN871*$L$110))</f>
        <v>116.07452048861373</v>
      </c>
      <c r="AO811" s="71">
        <f>IF(tech_base!$T187&gt;AO$625,"",(1000*tech_proj!AO1151*(-PMT($J$110,tech_base!$F187,1))+1000*tech_proj!AO1431)/((1-tech_proj!AO591)*tech_proj!AO871*$L$110))</f>
        <v>116.07452048861373</v>
      </c>
      <c r="AP811" s="71">
        <f>IF(tech_base!$T187&gt;AP$625,"",(1000*tech_proj!AP1151*(-PMT($J$110,tech_base!$F187,1))+1000*tech_proj!AP1431)/((1-tech_proj!AP591)*tech_proj!AP871*$L$110))</f>
        <v>116.07452048861373</v>
      </c>
      <c r="AQ811" s="71">
        <f>IF(tech_base!$T187&gt;AQ$625,"",(1000*tech_proj!AQ1151*(-PMT($J$110,tech_base!$F187,1))+1000*tech_proj!AQ1431)/((1-tech_proj!AQ591)*tech_proj!AQ871*$L$110))</f>
        <v>116.07452048861373</v>
      </c>
      <c r="AR811" s="71">
        <f>IF(tech_base!$T187&gt;AR$625,"",(1000*tech_proj!AR1151*(-PMT($J$110,tech_base!$F187,1))+1000*tech_proj!AR1431)/((1-tech_proj!AR591)*tech_proj!AR871*$L$110))</f>
        <v>116.07452048861373</v>
      </c>
      <c r="AS811" s="71">
        <f>IF(tech_base!$T187&gt;AS$625,"",(1000*tech_proj!AS1151*(-PMT($J$110,tech_base!$F187,1))+1000*tech_proj!AS1431)/((1-tech_proj!AS591)*tech_proj!AS871*$L$110))</f>
        <v>116.02231997515401</v>
      </c>
      <c r="AT811" s="71">
        <f>IF(tech_base!$T187&gt;AT$625,"",(1000*tech_proj!AT1151*(-PMT($J$110,tech_base!$F187,1))+1000*tech_proj!AT1431)/((1-tech_proj!AT591)*tech_proj!AT871*$L$110))</f>
        <v>115.9889310078387</v>
      </c>
      <c r="AU811" s="71">
        <f>IF(tech_base!$T187&gt;AU$625,"",(1000*tech_proj!AU1151*(-PMT($J$110,tech_base!$F187,1))+1000*tech_proj!AU1431)/((1-tech_proj!AU591)*tech_proj!AU871*$L$110))</f>
        <v>115.93467907653299</v>
      </c>
      <c r="AV811" s="71">
        <f>IF(tech_base!$T187&gt;AV$625,"",(1000*tech_proj!AV1151*(-PMT($J$110,tech_base!$F187,1))+1000*tech_proj!AV1431)/((1-tech_proj!AV591)*tech_proj!AV871*$L$110))</f>
        <v>115.84733810540386</v>
      </c>
      <c r="AW811" s="71">
        <f>IF(tech_base!$T187&gt;AW$625,"",(1000*tech_proj!AW1151*(-PMT($J$110,tech_base!$F187,1))+1000*tech_proj!AW1431)/((1-tech_proj!AW591)*tech_proj!AW871*$L$110))</f>
        <v>115.7087980238701</v>
      </c>
      <c r="AX811" s="237">
        <f>IF(tech_base!$T187&gt;AX$625,"",(1000*tech_proj!AX1151*(-PMT($J$110,tech_base!$F187,1))+1000*tech_proj!AX1431)/((1-tech_proj!AX591)*tech_proj!AX871*$L$110))</f>
        <v>115.49414788617068</v>
      </c>
    </row>
    <row r="812" spans="1:50" x14ac:dyDescent="0.25">
      <c r="A812" s="356"/>
      <c r="B812" s="376"/>
      <c r="C812" s="379"/>
      <c r="D812" s="59" t="s">
        <v>8</v>
      </c>
      <c r="E812" s="166" t="str">
        <f>A799&amp;"/"&amp;B807&amp;"/"&amp;C811&amp;"/"&amp;D812</f>
        <v>Fuel oil fired power plants/Supercritical steam turbine/Electricity only with CCS/M</v>
      </c>
      <c r="F812" s="79" t="str">
        <f>A799</f>
        <v>Fuel oil fired power plants</v>
      </c>
      <c r="G812" s="79" t="str">
        <f>B807</f>
        <v>Supercritical steam turbine</v>
      </c>
      <c r="H812" s="79" t="str">
        <f>C811</f>
        <v>Electricity only with CCS</v>
      </c>
      <c r="I812" s="167" t="str">
        <f t="shared" si="364"/>
        <v>M</v>
      </c>
      <c r="J812" s="72" t="str">
        <f>IF(tech_base!$T188&gt;J$625,"",(1000*tech_proj!J1152*(-PMT($J$110,tech_base!$F188,1))+1000*tech_proj!J1432)/((1-tech_proj!J592)*tech_proj!J872*$L$110))</f>
        <v/>
      </c>
      <c r="K812" s="72" t="str">
        <f>IF(tech_base!$T188&gt;K$625,"",(1000*tech_proj!K1152*(-PMT($J$110,tech_base!$F188,1))+1000*tech_proj!K1432)/((1-tech_proj!K592)*tech_proj!K872*$L$110))</f>
        <v/>
      </c>
      <c r="L812" s="72" t="str">
        <f>IF(tech_base!$T188&gt;L$625,"",(1000*tech_proj!L1152*(-PMT($J$110,tech_base!$F188,1))+1000*tech_proj!L1432)/((1-tech_proj!L592)*tech_proj!L872*$L$110))</f>
        <v/>
      </c>
      <c r="M812" s="72" t="str">
        <f>IF(tech_base!$T188&gt;M$625,"",(1000*tech_proj!M1152*(-PMT($J$110,tech_base!$F188,1))+1000*tech_proj!M1432)/((1-tech_proj!M592)*tech_proj!M872*$L$110))</f>
        <v/>
      </c>
      <c r="N812" s="72" t="str">
        <f>IF(tech_base!$T188&gt;N$625,"",(1000*tech_proj!N1152*(-PMT($J$110,tech_base!$F188,1))+1000*tech_proj!N1432)/((1-tech_proj!N592)*tech_proj!N872*$L$110))</f>
        <v/>
      </c>
      <c r="O812" s="72" t="str">
        <f>IF(tech_base!$T188&gt;O$625,"",(1000*tech_proj!O1152*(-PMT($J$110,tech_base!$F188,1))+1000*tech_proj!O1432)/((1-tech_proj!O592)*tech_proj!O872*$L$110))</f>
        <v/>
      </c>
      <c r="P812" s="72" t="str">
        <f>IF(tech_base!$T188&gt;P$625,"",(1000*tech_proj!P1152*(-PMT($J$110,tech_base!$F188,1))+1000*tech_proj!P1432)/((1-tech_proj!P592)*tech_proj!P872*$L$110))</f>
        <v/>
      </c>
      <c r="Q812" s="72" t="str">
        <f>IF(tech_base!$T188&gt;Q$625,"",(1000*tech_proj!Q1152*(-PMT($J$110,tech_base!$F188,1))+1000*tech_proj!Q1432)/((1-tech_proj!Q592)*tech_proj!Q872*$L$110))</f>
        <v/>
      </c>
      <c r="R812" s="72" t="str">
        <f>IF(tech_base!$T188&gt;R$625,"",(1000*tech_proj!R1152*(-PMT($J$110,tech_base!$F188,1))+1000*tech_proj!R1432)/((1-tech_proj!R592)*tech_proj!R872*$L$110))</f>
        <v/>
      </c>
      <c r="S812" s="72" t="str">
        <f>IF(tech_base!$T188&gt;S$625,"",(1000*tech_proj!S1152*(-PMT($J$110,tech_base!$F188,1))+1000*tech_proj!S1432)/((1-tech_proj!S592)*tech_proj!S872*$L$110))</f>
        <v/>
      </c>
      <c r="T812" s="72" t="str">
        <f>IF(tech_base!$T188&gt;T$625,"",(1000*tech_proj!T1152*(-PMT($J$110,tech_base!$F188,1))+1000*tech_proj!T1432)/((1-tech_proj!T592)*tech_proj!T872*$L$110))</f>
        <v/>
      </c>
      <c r="U812" s="72" t="str">
        <f>IF(tech_base!$T188&gt;U$625,"",(1000*tech_proj!U1152*(-PMT($J$110,tech_base!$F188,1))+1000*tech_proj!U1432)/((1-tech_proj!U592)*tech_proj!U872*$L$110))</f>
        <v/>
      </c>
      <c r="V812" s="72" t="str">
        <f>IF(tech_base!$T188&gt;V$625,"",(1000*tech_proj!V1152*(-PMT($J$110,tech_base!$F188,1))+1000*tech_proj!V1432)/((1-tech_proj!V592)*tech_proj!V872*$L$110))</f>
        <v/>
      </c>
      <c r="W812" s="72" t="str">
        <f>IF(tech_base!$T188&gt;W$625,"",(1000*tech_proj!W1152*(-PMT($J$110,tech_base!$F188,1))+1000*tech_proj!W1432)/((1-tech_proj!W592)*tech_proj!W872*$L$110))</f>
        <v/>
      </c>
      <c r="X812" s="72" t="str">
        <f>IF(tech_base!$T188&gt;X$625,"",(1000*tech_proj!X1152*(-PMT($J$110,tech_base!$F188,1))+1000*tech_proj!X1432)/((1-tech_proj!X592)*tech_proj!X872*$L$110))</f>
        <v/>
      </c>
      <c r="Y812" s="72" t="str">
        <f>IF(tech_base!$T188&gt;Y$625,"",(1000*tech_proj!Y1152*(-PMT($J$110,tech_base!$F188,1))+1000*tech_proj!Y1432)/((1-tech_proj!Y592)*tech_proj!Y872*$L$110))</f>
        <v/>
      </c>
      <c r="Z812" s="72" t="str">
        <f>IF(tech_base!$T188&gt;Z$625,"",(1000*tech_proj!Z1152*(-PMT($J$110,tech_base!$F188,1))+1000*tech_proj!Z1432)/((1-tech_proj!Z592)*tech_proj!Z872*$L$110))</f>
        <v/>
      </c>
      <c r="AA812" s="72" t="str">
        <f>IF(tech_base!$T188&gt;AA$625,"",(1000*tech_proj!AA1152*(-PMT($J$110,tech_base!$F188,1))+1000*tech_proj!AA1432)/((1-tech_proj!AA592)*tech_proj!AA872*$L$110))</f>
        <v/>
      </c>
      <c r="AB812" s="72" t="str">
        <f>IF(tech_base!$T188&gt;AB$625,"",(1000*tech_proj!AB1152*(-PMT($J$110,tech_base!$F188,1))+1000*tech_proj!AB1432)/((1-tech_proj!AB592)*tech_proj!AB872*$L$110))</f>
        <v/>
      </c>
      <c r="AC812" s="72" t="str">
        <f>IF(tech_base!$T188&gt;AC$625,"",(1000*tech_proj!AC1152*(-PMT($J$110,tech_base!$F188,1))+1000*tech_proj!AC1432)/((1-tech_proj!AC592)*tech_proj!AC872*$L$110))</f>
        <v/>
      </c>
      <c r="AD812" s="72" t="str">
        <f>IF(tech_base!$T188&gt;AD$625,"",(1000*tech_proj!AD1152*(-PMT($J$110,tech_base!$F188,1))+1000*tech_proj!AD1432)/((1-tech_proj!AD592)*tech_proj!AD872*$L$110))</f>
        <v/>
      </c>
      <c r="AE812" s="72">
        <f>IF(tech_base!$T188&gt;AE$625,"",(1000*tech_proj!AE1152*(-PMT($J$110,tech_base!$F188,1))+1000*tech_proj!AE1432)/((1-tech_proj!AE592)*tech_proj!AE872*$L$110))</f>
        <v>125.85943698849533</v>
      </c>
      <c r="AF812" s="72">
        <f>IF(tech_base!$T188&gt;AF$625,"",(1000*tech_proj!AF1152*(-PMT($J$110,tech_base!$F188,1))+1000*tech_proj!AF1432)/((1-tech_proj!AF592)*tech_proj!AF872*$L$110))</f>
        <v>125.85943698849533</v>
      </c>
      <c r="AG812" s="72">
        <f>IF(tech_base!$T188&gt;AG$625,"",(1000*tech_proj!AG1152*(-PMT($J$110,tech_base!$F188,1))+1000*tech_proj!AG1432)/((1-tech_proj!AG592)*tech_proj!AG872*$L$110))</f>
        <v>125.85943698849533</v>
      </c>
      <c r="AH812" s="72">
        <f>IF(tech_base!$T188&gt;AH$625,"",(1000*tech_proj!AH1152*(-PMT($J$110,tech_base!$F188,1))+1000*tech_proj!AH1432)/((1-tech_proj!AH592)*tech_proj!AH872*$L$110))</f>
        <v>125.85943698849533</v>
      </c>
      <c r="AI812" s="72">
        <f>IF(tech_base!$T188&gt;AI$625,"",(1000*tech_proj!AI1152*(-PMT($J$110,tech_base!$F188,1))+1000*tech_proj!AI1432)/((1-tech_proj!AI592)*tech_proj!AI872*$L$110))</f>
        <v>125.85943698849533</v>
      </c>
      <c r="AJ812" s="72">
        <f>IF(tech_base!$T188&gt;AJ$625,"",(1000*tech_proj!AJ1152*(-PMT($J$110,tech_base!$F188,1))+1000*tech_proj!AJ1432)/((1-tech_proj!AJ592)*tech_proj!AJ872*$L$110))</f>
        <v>125.85943698849533</v>
      </c>
      <c r="AK812" s="72">
        <f>IF(tech_base!$T188&gt;AK$625,"",(1000*tech_proj!AK1152*(-PMT($J$110,tech_base!$F188,1))+1000*tech_proj!AK1432)/((1-tech_proj!AK592)*tech_proj!AK872*$L$110))</f>
        <v>125.85943698849533</v>
      </c>
      <c r="AL812" s="72">
        <f>IF(tech_base!$T188&gt;AL$625,"",(1000*tech_proj!AL1152*(-PMT($J$110,tech_base!$F188,1))+1000*tech_proj!AL1432)/((1-tech_proj!AL592)*tech_proj!AL872*$L$110))</f>
        <v>125.85943698849533</v>
      </c>
      <c r="AM812" s="72">
        <f>IF(tech_base!$T188&gt;AM$625,"",(1000*tech_proj!AM1152*(-PMT($J$110,tech_base!$F188,1))+1000*tech_proj!AM1432)/((1-tech_proj!AM592)*tech_proj!AM872*$L$110))</f>
        <v>125.85943698849533</v>
      </c>
      <c r="AN812" s="72">
        <f>IF(tech_base!$T188&gt;AN$625,"",(1000*tech_proj!AN1152*(-PMT($J$110,tech_base!$F188,1))+1000*tech_proj!AN1432)/((1-tech_proj!AN592)*tech_proj!AN872*$L$110))</f>
        <v>125.85943698849533</v>
      </c>
      <c r="AO812" s="72">
        <f>IF(tech_base!$T188&gt;AO$625,"",(1000*tech_proj!AO1152*(-PMT($J$110,tech_base!$F188,1))+1000*tech_proj!AO1432)/((1-tech_proj!AO592)*tech_proj!AO872*$L$110))</f>
        <v>125.85943698849533</v>
      </c>
      <c r="AP812" s="72">
        <f>IF(tech_base!$T188&gt;AP$625,"",(1000*tech_proj!AP1152*(-PMT($J$110,tech_base!$F188,1))+1000*tech_proj!AP1432)/((1-tech_proj!AP592)*tech_proj!AP872*$L$110))</f>
        <v>125.85943698849533</v>
      </c>
      <c r="AQ812" s="72">
        <f>IF(tech_base!$T188&gt;AQ$625,"",(1000*tech_proj!AQ1152*(-PMT($J$110,tech_base!$F188,1))+1000*tech_proj!AQ1432)/((1-tech_proj!AQ592)*tech_proj!AQ872*$L$110))</f>
        <v>125.85943698849533</v>
      </c>
      <c r="AR812" s="72">
        <f>IF(tech_base!$T188&gt;AR$625,"",(1000*tech_proj!AR1152*(-PMT($J$110,tech_base!$F188,1))+1000*tech_proj!AR1432)/((1-tech_proj!AR592)*tech_proj!AR872*$L$110))</f>
        <v>125.85943698849533</v>
      </c>
      <c r="AS812" s="72">
        <f>IF(tech_base!$T188&gt;AS$625,"",(1000*tech_proj!AS1152*(-PMT($J$110,tech_base!$F188,1))+1000*tech_proj!AS1432)/((1-tech_proj!AS592)*tech_proj!AS872*$L$110))</f>
        <v>125.80283604621364</v>
      </c>
      <c r="AT812" s="72">
        <f>IF(tech_base!$T188&gt;AT$625,"",(1000*tech_proj!AT1152*(-PMT($J$110,tech_base!$F188,1))+1000*tech_proj!AT1432)/((1-tech_proj!AT592)*tech_proj!AT872*$L$110))</f>
        <v>125.76663243658214</v>
      </c>
      <c r="AU812" s="72">
        <f>IF(tech_base!$T188&gt;AU$625,"",(1000*tech_proj!AU1152*(-PMT($J$110,tech_base!$F188,1))+1000*tech_proj!AU1432)/((1-tech_proj!AU592)*tech_proj!AU872*$L$110))</f>
        <v>125.70780714485633</v>
      </c>
      <c r="AV812" s="72">
        <f>IF(tech_base!$T188&gt;AV$625,"",(1000*tech_proj!AV1152*(-PMT($J$110,tech_base!$F188,1))+1000*tech_proj!AV1432)/((1-tech_proj!AV592)*tech_proj!AV872*$L$110))</f>
        <v>125.61310345445068</v>
      </c>
      <c r="AW812" s="72">
        <f>IF(tech_base!$T188&gt;AW$625,"",(1000*tech_proj!AW1152*(-PMT($J$110,tech_base!$F188,1))+1000*tech_proj!AW1432)/((1-tech_proj!AW592)*tech_proj!AW872*$L$110))</f>
        <v>125.46288464166749</v>
      </c>
      <c r="AX812" s="238">
        <f>IF(tech_base!$T188&gt;AX$625,"",(1000*tech_proj!AX1152*(-PMT($J$110,tech_base!$F188,1))+1000*tech_proj!AX1432)/((1-tech_proj!AX592)*tech_proj!AX872*$L$110))</f>
        <v>125.23013980355286</v>
      </c>
    </row>
    <row r="813" spans="1:50" x14ac:dyDescent="0.25">
      <c r="A813" s="356"/>
      <c r="B813" s="376"/>
      <c r="C813" s="361" t="s">
        <v>16</v>
      </c>
      <c r="D813" s="2" t="s">
        <v>7</v>
      </c>
      <c r="E813" s="160" t="str">
        <f>A799&amp;"/"&amp;B807&amp;"/"&amp;C813&amp;"/"&amp;D813</f>
        <v>Fuel oil fired power plants/Supercritical steam turbine/CHP with CCS/L</v>
      </c>
      <c r="F813" s="76" t="str">
        <f>A799</f>
        <v>Fuel oil fired power plants</v>
      </c>
      <c r="G813" s="76" t="str">
        <f>B807</f>
        <v>Supercritical steam turbine</v>
      </c>
      <c r="H813" s="76" t="str">
        <f>C813</f>
        <v>CHP with CCS</v>
      </c>
      <c r="I813" s="161" t="str">
        <f t="shared" si="364"/>
        <v>L</v>
      </c>
      <c r="J813" s="69" t="str">
        <f>IF(tech_base!$T189&gt;J$625,"",(1000*tech_proj!J1153*(-PMT($J$110,tech_base!$F189,1))+1000*tech_proj!J1433)/((1-tech_proj!J593)*tech_proj!J873*$L$110))</f>
        <v/>
      </c>
      <c r="K813" s="69" t="str">
        <f>IF(tech_base!$T189&gt;K$625,"",(1000*tech_proj!K1153*(-PMT($J$110,tech_base!$F189,1))+1000*tech_proj!K1433)/((1-tech_proj!K593)*tech_proj!K873*$L$110))</f>
        <v/>
      </c>
      <c r="L813" s="69" t="str">
        <f>IF(tech_base!$T189&gt;L$625,"",(1000*tech_proj!L1153*(-PMT($J$110,tech_base!$F189,1))+1000*tech_proj!L1433)/((1-tech_proj!L593)*tech_proj!L873*$L$110))</f>
        <v/>
      </c>
      <c r="M813" s="69" t="str">
        <f>IF(tech_base!$T189&gt;M$625,"",(1000*tech_proj!M1153*(-PMT($J$110,tech_base!$F189,1))+1000*tech_proj!M1433)/((1-tech_proj!M593)*tech_proj!M873*$L$110))</f>
        <v/>
      </c>
      <c r="N813" s="69" t="str">
        <f>IF(tech_base!$T189&gt;N$625,"",(1000*tech_proj!N1153*(-PMT($J$110,tech_base!$F189,1))+1000*tech_proj!N1433)/((1-tech_proj!N593)*tech_proj!N873*$L$110))</f>
        <v/>
      </c>
      <c r="O813" s="69" t="str">
        <f>IF(tech_base!$T189&gt;O$625,"",(1000*tech_proj!O1153*(-PMT($J$110,tech_base!$F189,1))+1000*tech_proj!O1433)/((1-tech_proj!O593)*tech_proj!O873*$L$110))</f>
        <v/>
      </c>
      <c r="P813" s="69" t="str">
        <f>IF(tech_base!$T189&gt;P$625,"",(1000*tech_proj!P1153*(-PMT($J$110,tech_base!$F189,1))+1000*tech_proj!P1433)/((1-tech_proj!P593)*tech_proj!P873*$L$110))</f>
        <v/>
      </c>
      <c r="Q813" s="69" t="str">
        <f>IF(tech_base!$T189&gt;Q$625,"",(1000*tech_proj!Q1153*(-PMT($J$110,tech_base!$F189,1))+1000*tech_proj!Q1433)/((1-tech_proj!Q593)*tech_proj!Q873*$L$110))</f>
        <v/>
      </c>
      <c r="R813" s="69" t="str">
        <f>IF(tech_base!$T189&gt;R$625,"",(1000*tech_proj!R1153*(-PMT($J$110,tech_base!$F189,1))+1000*tech_proj!R1433)/((1-tech_proj!R593)*tech_proj!R873*$L$110))</f>
        <v/>
      </c>
      <c r="S813" s="69" t="str">
        <f>IF(tech_base!$T189&gt;S$625,"",(1000*tech_proj!S1153*(-PMT($J$110,tech_base!$F189,1))+1000*tech_proj!S1433)/((1-tech_proj!S593)*tech_proj!S873*$L$110))</f>
        <v/>
      </c>
      <c r="T813" s="69" t="str">
        <f>IF(tech_base!$T189&gt;T$625,"",(1000*tech_proj!T1153*(-PMT($J$110,tech_base!$F189,1))+1000*tech_proj!T1433)/((1-tech_proj!T593)*tech_proj!T873*$L$110))</f>
        <v/>
      </c>
      <c r="U813" s="69" t="str">
        <f>IF(tech_base!$T189&gt;U$625,"",(1000*tech_proj!U1153*(-PMT($J$110,tech_base!$F189,1))+1000*tech_proj!U1433)/((1-tech_proj!U593)*tech_proj!U873*$L$110))</f>
        <v/>
      </c>
      <c r="V813" s="69" t="str">
        <f>IF(tech_base!$T189&gt;V$625,"",(1000*tech_proj!V1153*(-PMT($J$110,tech_base!$F189,1))+1000*tech_proj!V1433)/((1-tech_proj!V593)*tech_proj!V873*$L$110))</f>
        <v/>
      </c>
      <c r="W813" s="69" t="str">
        <f>IF(tech_base!$T189&gt;W$625,"",(1000*tech_proj!W1153*(-PMT($J$110,tech_base!$F189,1))+1000*tech_proj!W1433)/((1-tech_proj!W593)*tech_proj!W873*$L$110))</f>
        <v/>
      </c>
      <c r="X813" s="69" t="str">
        <f>IF(tech_base!$T189&gt;X$625,"",(1000*tech_proj!X1153*(-PMT($J$110,tech_base!$F189,1))+1000*tech_proj!X1433)/((1-tech_proj!X593)*tech_proj!X873*$L$110))</f>
        <v/>
      </c>
      <c r="Y813" s="69" t="str">
        <f>IF(tech_base!$T189&gt;Y$625,"",(1000*tech_proj!Y1153*(-PMT($J$110,tech_base!$F189,1))+1000*tech_proj!Y1433)/((1-tech_proj!Y593)*tech_proj!Y873*$L$110))</f>
        <v/>
      </c>
      <c r="Z813" s="69" t="str">
        <f>IF(tech_base!$T189&gt;Z$625,"",(1000*tech_proj!Z1153*(-PMT($J$110,tech_base!$F189,1))+1000*tech_proj!Z1433)/((1-tech_proj!Z593)*tech_proj!Z873*$L$110))</f>
        <v/>
      </c>
      <c r="AA813" s="69" t="str">
        <f>IF(tech_base!$T189&gt;AA$625,"",(1000*tech_proj!AA1153*(-PMT($J$110,tech_base!$F189,1))+1000*tech_proj!AA1433)/((1-tech_proj!AA593)*tech_proj!AA873*$L$110))</f>
        <v/>
      </c>
      <c r="AB813" s="69" t="str">
        <f>IF(tech_base!$T189&gt;AB$625,"",(1000*tech_proj!AB1153*(-PMT($J$110,tech_base!$F189,1))+1000*tech_proj!AB1433)/((1-tech_proj!AB593)*tech_proj!AB873*$L$110))</f>
        <v/>
      </c>
      <c r="AC813" s="69" t="str">
        <f>IF(tech_base!$T189&gt;AC$625,"",(1000*tech_proj!AC1153*(-PMT($J$110,tech_base!$F189,1))+1000*tech_proj!AC1433)/((1-tech_proj!AC593)*tech_proj!AC873*$L$110))</f>
        <v/>
      </c>
      <c r="AD813" s="69" t="str">
        <f>IF(tech_base!$T189&gt;AD$625,"",(1000*tech_proj!AD1153*(-PMT($J$110,tech_base!$F189,1))+1000*tech_proj!AD1433)/((1-tech_proj!AD593)*tech_proj!AD873*$L$110))</f>
        <v/>
      </c>
      <c r="AE813" s="69">
        <f>IF(tech_base!$T189&gt;AE$625,"",(1000*tech_proj!AE1153*(-PMT($J$110,tech_base!$F189,1))+1000*tech_proj!AE1433)/((1-tech_proj!AE593)*tech_proj!AE873*$L$110))</f>
        <v>132.83881713907195</v>
      </c>
      <c r="AF813" s="69">
        <f>IF(tech_base!$T189&gt;AF$625,"",(1000*tech_proj!AF1153*(-PMT($J$110,tech_base!$F189,1))+1000*tech_proj!AF1433)/((1-tech_proj!AF593)*tech_proj!AF873*$L$110))</f>
        <v>132.83881713907195</v>
      </c>
      <c r="AG813" s="69">
        <f>IF(tech_base!$T189&gt;AG$625,"",(1000*tech_proj!AG1153*(-PMT($J$110,tech_base!$F189,1))+1000*tech_proj!AG1433)/((1-tech_proj!AG593)*tech_proj!AG873*$L$110))</f>
        <v>132.83881713907195</v>
      </c>
      <c r="AH813" s="69">
        <f>IF(tech_base!$T189&gt;AH$625,"",(1000*tech_proj!AH1153*(-PMT($J$110,tech_base!$F189,1))+1000*tech_proj!AH1433)/((1-tech_proj!AH593)*tech_proj!AH873*$L$110))</f>
        <v>132.83881713907195</v>
      </c>
      <c r="AI813" s="69">
        <f>IF(tech_base!$T189&gt;AI$625,"",(1000*tech_proj!AI1153*(-PMT($J$110,tech_base!$F189,1))+1000*tech_proj!AI1433)/((1-tech_proj!AI593)*tech_proj!AI873*$L$110))</f>
        <v>132.83881713907195</v>
      </c>
      <c r="AJ813" s="69">
        <f>IF(tech_base!$T189&gt;AJ$625,"",(1000*tech_proj!AJ1153*(-PMT($J$110,tech_base!$F189,1))+1000*tech_proj!AJ1433)/((1-tech_proj!AJ593)*tech_proj!AJ873*$L$110))</f>
        <v>132.83881713907195</v>
      </c>
      <c r="AK813" s="69">
        <f>IF(tech_base!$T189&gt;AK$625,"",(1000*tech_proj!AK1153*(-PMT($J$110,tech_base!$F189,1))+1000*tech_proj!AK1433)/((1-tech_proj!AK593)*tech_proj!AK873*$L$110))</f>
        <v>132.83881713907195</v>
      </c>
      <c r="AL813" s="69">
        <f>IF(tech_base!$T189&gt;AL$625,"",(1000*tech_proj!AL1153*(-PMT($J$110,tech_base!$F189,1))+1000*tech_proj!AL1433)/((1-tech_proj!AL593)*tech_proj!AL873*$L$110))</f>
        <v>132.83881713907195</v>
      </c>
      <c r="AM813" s="69">
        <f>IF(tech_base!$T189&gt;AM$625,"",(1000*tech_proj!AM1153*(-PMT($J$110,tech_base!$F189,1))+1000*tech_proj!AM1433)/((1-tech_proj!AM593)*tech_proj!AM873*$L$110))</f>
        <v>132.83881713907195</v>
      </c>
      <c r="AN813" s="69">
        <f>IF(tech_base!$T189&gt;AN$625,"",(1000*tech_proj!AN1153*(-PMT($J$110,tech_base!$F189,1))+1000*tech_proj!AN1433)/((1-tech_proj!AN593)*tech_proj!AN873*$L$110))</f>
        <v>132.83881713907195</v>
      </c>
      <c r="AO813" s="69">
        <f>IF(tech_base!$T189&gt;AO$625,"",(1000*tech_proj!AO1153*(-PMT($J$110,tech_base!$F189,1))+1000*tech_proj!AO1433)/((1-tech_proj!AO593)*tech_proj!AO873*$L$110))</f>
        <v>132.83881713907195</v>
      </c>
      <c r="AP813" s="69">
        <f>IF(tech_base!$T189&gt;AP$625,"",(1000*tech_proj!AP1153*(-PMT($J$110,tech_base!$F189,1))+1000*tech_proj!AP1433)/((1-tech_proj!AP593)*tech_proj!AP873*$L$110))</f>
        <v>132.83881713907195</v>
      </c>
      <c r="AQ813" s="69">
        <f>IF(tech_base!$T189&gt;AQ$625,"",(1000*tech_proj!AQ1153*(-PMT($J$110,tech_base!$F189,1))+1000*tech_proj!AQ1433)/((1-tech_proj!AQ593)*tech_proj!AQ873*$L$110))</f>
        <v>132.83881713907195</v>
      </c>
      <c r="AR813" s="69">
        <f>IF(tech_base!$T189&gt;AR$625,"",(1000*tech_proj!AR1153*(-PMT($J$110,tech_base!$F189,1))+1000*tech_proj!AR1433)/((1-tech_proj!AR593)*tech_proj!AR873*$L$110))</f>
        <v>132.83881713907195</v>
      </c>
      <c r="AS813" s="69">
        <f>IF(tech_base!$T189&gt;AS$625,"",(1000*tech_proj!AS1153*(-PMT($J$110,tech_base!$F189,1))+1000*tech_proj!AS1433)/((1-tech_proj!AS593)*tech_proj!AS873*$L$110))</f>
        <v>132.7790774612094</v>
      </c>
      <c r="AT813" s="69">
        <f>IF(tech_base!$T189&gt;AT$625,"",(1000*tech_proj!AT1153*(-PMT($J$110,tech_base!$F189,1))+1000*tech_proj!AT1433)/((1-tech_proj!AT593)*tech_proj!AT873*$L$110))</f>
        <v>132.74086622497089</v>
      </c>
      <c r="AU813" s="69">
        <f>IF(tech_base!$T189&gt;AU$625,"",(1000*tech_proj!AU1153*(-PMT($J$110,tech_base!$F189,1))+1000*tech_proj!AU1433)/((1-tech_proj!AU593)*tech_proj!AU873*$L$110))</f>
        <v>132.67877884910385</v>
      </c>
      <c r="AV813" s="69">
        <f>IF(tech_base!$T189&gt;AV$625,"",(1000*tech_proj!AV1153*(-PMT($J$110,tech_base!$F189,1))+1000*tech_proj!AV1433)/((1-tech_proj!AV593)*tech_proj!AV873*$L$110))</f>
        <v>132.578823482123</v>
      </c>
      <c r="AW813" s="69">
        <f>IF(tech_base!$T189&gt;AW$625,"",(1000*tech_proj!AW1153*(-PMT($J$110,tech_base!$F189,1))+1000*tech_proj!AW1433)/((1-tech_proj!AW593)*tech_proj!AW873*$L$110))</f>
        <v>132.42027446998983</v>
      </c>
      <c r="AX813" s="235">
        <f>IF(tech_base!$T189&gt;AX$625,"",(1000*tech_proj!AX1153*(-PMT($J$110,tech_base!$F189,1))+1000*tech_proj!AX1433)/((1-tech_proj!AX593)*tech_proj!AX873*$L$110))</f>
        <v>132.17462305337659</v>
      </c>
    </row>
    <row r="814" spans="1:50" x14ac:dyDescent="0.25">
      <c r="A814" s="356"/>
      <c r="B814" s="380"/>
      <c r="C814" s="381"/>
      <c r="D814" s="4" t="s">
        <v>8</v>
      </c>
      <c r="E814" s="168" t="str">
        <f>A799&amp;"/"&amp;B807&amp;"/"&amp;C813&amp;"/"&amp;D814</f>
        <v>Fuel oil fired power plants/Supercritical steam turbine/CHP with CCS/M</v>
      </c>
      <c r="F814" s="80" t="str">
        <f>A799</f>
        <v>Fuel oil fired power plants</v>
      </c>
      <c r="G814" s="80" t="str">
        <f>B807</f>
        <v>Supercritical steam turbine</v>
      </c>
      <c r="H814" s="80" t="str">
        <f>C813</f>
        <v>CHP with CCS</v>
      </c>
      <c r="I814" s="169" t="str">
        <f t="shared" si="364"/>
        <v>M</v>
      </c>
      <c r="J814" s="73" t="str">
        <f>IF(tech_base!$T190&gt;J$625,"",(1000*tech_proj!J1154*(-PMT($J$110,tech_base!$F190,1))+1000*tech_proj!J1434)/((1-tech_proj!J594)*tech_proj!J874*$L$110))</f>
        <v/>
      </c>
      <c r="K814" s="73" t="str">
        <f>IF(tech_base!$T190&gt;K$625,"",(1000*tech_proj!K1154*(-PMT($J$110,tech_base!$F190,1))+1000*tech_proj!K1434)/((1-tech_proj!K594)*tech_proj!K874*$L$110))</f>
        <v/>
      </c>
      <c r="L814" s="73" t="str">
        <f>IF(tech_base!$T190&gt;L$625,"",(1000*tech_proj!L1154*(-PMT($J$110,tech_base!$F190,1))+1000*tech_proj!L1434)/((1-tech_proj!L594)*tech_proj!L874*$L$110))</f>
        <v/>
      </c>
      <c r="M814" s="73" t="str">
        <f>IF(tech_base!$T190&gt;M$625,"",(1000*tech_proj!M1154*(-PMT($J$110,tech_base!$F190,1))+1000*tech_proj!M1434)/((1-tech_proj!M594)*tech_proj!M874*$L$110))</f>
        <v/>
      </c>
      <c r="N814" s="73" t="str">
        <f>IF(tech_base!$T190&gt;N$625,"",(1000*tech_proj!N1154*(-PMT($J$110,tech_base!$F190,1))+1000*tech_proj!N1434)/((1-tech_proj!N594)*tech_proj!N874*$L$110))</f>
        <v/>
      </c>
      <c r="O814" s="73" t="str">
        <f>IF(tech_base!$T190&gt;O$625,"",(1000*tech_proj!O1154*(-PMT($J$110,tech_base!$F190,1))+1000*tech_proj!O1434)/((1-tech_proj!O594)*tech_proj!O874*$L$110))</f>
        <v/>
      </c>
      <c r="P814" s="73" t="str">
        <f>IF(tech_base!$T190&gt;P$625,"",(1000*tech_proj!P1154*(-PMT($J$110,tech_base!$F190,1))+1000*tech_proj!P1434)/((1-tech_proj!P594)*tech_proj!P874*$L$110))</f>
        <v/>
      </c>
      <c r="Q814" s="73" t="str">
        <f>IF(tech_base!$T190&gt;Q$625,"",(1000*tech_proj!Q1154*(-PMT($J$110,tech_base!$F190,1))+1000*tech_proj!Q1434)/((1-tech_proj!Q594)*tech_proj!Q874*$L$110))</f>
        <v/>
      </c>
      <c r="R814" s="73" t="str">
        <f>IF(tech_base!$T190&gt;R$625,"",(1000*tech_proj!R1154*(-PMT($J$110,tech_base!$F190,1))+1000*tech_proj!R1434)/((1-tech_proj!R594)*tech_proj!R874*$L$110))</f>
        <v/>
      </c>
      <c r="S814" s="73" t="str">
        <f>IF(tech_base!$T190&gt;S$625,"",(1000*tech_proj!S1154*(-PMT($J$110,tech_base!$F190,1))+1000*tech_proj!S1434)/((1-tech_proj!S594)*tech_proj!S874*$L$110))</f>
        <v/>
      </c>
      <c r="T814" s="73" t="str">
        <f>IF(tech_base!$T190&gt;T$625,"",(1000*tech_proj!T1154*(-PMT($J$110,tech_base!$F190,1))+1000*tech_proj!T1434)/((1-tech_proj!T594)*tech_proj!T874*$L$110))</f>
        <v/>
      </c>
      <c r="U814" s="73" t="str">
        <f>IF(tech_base!$T190&gt;U$625,"",(1000*tech_proj!U1154*(-PMT($J$110,tech_base!$F190,1))+1000*tech_proj!U1434)/((1-tech_proj!U594)*tech_proj!U874*$L$110))</f>
        <v/>
      </c>
      <c r="V814" s="73" t="str">
        <f>IF(tech_base!$T190&gt;V$625,"",(1000*tech_proj!V1154*(-PMT($J$110,tech_base!$F190,1))+1000*tech_proj!V1434)/((1-tech_proj!V594)*tech_proj!V874*$L$110))</f>
        <v/>
      </c>
      <c r="W814" s="73" t="str">
        <f>IF(tech_base!$T190&gt;W$625,"",(1000*tech_proj!W1154*(-PMT($J$110,tech_base!$F190,1))+1000*tech_proj!W1434)/((1-tech_proj!W594)*tech_proj!W874*$L$110))</f>
        <v/>
      </c>
      <c r="X814" s="73" t="str">
        <f>IF(tech_base!$T190&gt;X$625,"",(1000*tech_proj!X1154*(-PMT($J$110,tech_base!$F190,1))+1000*tech_proj!X1434)/((1-tech_proj!X594)*tech_proj!X874*$L$110))</f>
        <v/>
      </c>
      <c r="Y814" s="73" t="str">
        <f>IF(tech_base!$T190&gt;Y$625,"",(1000*tech_proj!Y1154*(-PMT($J$110,tech_base!$F190,1))+1000*tech_proj!Y1434)/((1-tech_proj!Y594)*tech_proj!Y874*$L$110))</f>
        <v/>
      </c>
      <c r="Z814" s="73" t="str">
        <f>IF(tech_base!$T190&gt;Z$625,"",(1000*tech_proj!Z1154*(-PMT($J$110,tech_base!$F190,1))+1000*tech_proj!Z1434)/((1-tech_proj!Z594)*tech_proj!Z874*$L$110))</f>
        <v/>
      </c>
      <c r="AA814" s="73" t="str">
        <f>IF(tech_base!$T190&gt;AA$625,"",(1000*tech_proj!AA1154*(-PMT($J$110,tech_base!$F190,1))+1000*tech_proj!AA1434)/((1-tech_proj!AA594)*tech_proj!AA874*$L$110))</f>
        <v/>
      </c>
      <c r="AB814" s="73" t="str">
        <f>IF(tech_base!$T190&gt;AB$625,"",(1000*tech_proj!AB1154*(-PMT($J$110,tech_base!$F190,1))+1000*tech_proj!AB1434)/((1-tech_proj!AB594)*tech_proj!AB874*$L$110))</f>
        <v/>
      </c>
      <c r="AC814" s="73" t="str">
        <f>IF(tech_base!$T190&gt;AC$625,"",(1000*tech_proj!AC1154*(-PMT($J$110,tech_base!$F190,1))+1000*tech_proj!AC1434)/((1-tech_proj!AC594)*tech_proj!AC874*$L$110))</f>
        <v/>
      </c>
      <c r="AD814" s="73" t="str">
        <f>IF(tech_base!$T190&gt;AD$625,"",(1000*tech_proj!AD1154*(-PMT($J$110,tech_base!$F190,1))+1000*tech_proj!AD1434)/((1-tech_proj!AD594)*tech_proj!AD874*$L$110))</f>
        <v/>
      </c>
      <c r="AE814" s="73">
        <f>IF(tech_base!$T190&gt;AE$625,"",(1000*tech_proj!AE1154*(-PMT($J$110,tech_base!$F190,1))+1000*tech_proj!AE1434)/((1-tech_proj!AE594)*tech_proj!AE874*$L$110))</f>
        <v>143.96163028842102</v>
      </c>
      <c r="AF814" s="73">
        <f>IF(tech_base!$T190&gt;AF$625,"",(1000*tech_proj!AF1154*(-PMT($J$110,tech_base!$F190,1))+1000*tech_proj!AF1434)/((1-tech_proj!AF594)*tech_proj!AF874*$L$110))</f>
        <v>143.96163028842102</v>
      </c>
      <c r="AG814" s="73">
        <f>IF(tech_base!$T190&gt;AG$625,"",(1000*tech_proj!AG1154*(-PMT($J$110,tech_base!$F190,1))+1000*tech_proj!AG1434)/((1-tech_proj!AG594)*tech_proj!AG874*$L$110))</f>
        <v>143.96163028842102</v>
      </c>
      <c r="AH814" s="73">
        <f>IF(tech_base!$T190&gt;AH$625,"",(1000*tech_proj!AH1154*(-PMT($J$110,tech_base!$F190,1))+1000*tech_proj!AH1434)/((1-tech_proj!AH594)*tech_proj!AH874*$L$110))</f>
        <v>143.96163028842102</v>
      </c>
      <c r="AI814" s="73">
        <f>IF(tech_base!$T190&gt;AI$625,"",(1000*tech_proj!AI1154*(-PMT($J$110,tech_base!$F190,1))+1000*tech_proj!AI1434)/((1-tech_proj!AI594)*tech_proj!AI874*$L$110))</f>
        <v>143.96163028842102</v>
      </c>
      <c r="AJ814" s="73">
        <f>IF(tech_base!$T190&gt;AJ$625,"",(1000*tech_proj!AJ1154*(-PMT($J$110,tech_base!$F190,1))+1000*tech_proj!AJ1434)/((1-tech_proj!AJ594)*tech_proj!AJ874*$L$110))</f>
        <v>143.96163028842102</v>
      </c>
      <c r="AK814" s="73">
        <f>IF(tech_base!$T190&gt;AK$625,"",(1000*tech_proj!AK1154*(-PMT($J$110,tech_base!$F190,1))+1000*tech_proj!AK1434)/((1-tech_proj!AK594)*tech_proj!AK874*$L$110))</f>
        <v>143.96163028842102</v>
      </c>
      <c r="AL814" s="73">
        <f>IF(tech_base!$T190&gt;AL$625,"",(1000*tech_proj!AL1154*(-PMT($J$110,tech_base!$F190,1))+1000*tech_proj!AL1434)/((1-tech_proj!AL594)*tech_proj!AL874*$L$110))</f>
        <v>143.96163028842102</v>
      </c>
      <c r="AM814" s="73">
        <f>IF(tech_base!$T190&gt;AM$625,"",(1000*tech_proj!AM1154*(-PMT($J$110,tech_base!$F190,1))+1000*tech_proj!AM1434)/((1-tech_proj!AM594)*tech_proj!AM874*$L$110))</f>
        <v>143.96163028842102</v>
      </c>
      <c r="AN814" s="73">
        <f>IF(tech_base!$T190&gt;AN$625,"",(1000*tech_proj!AN1154*(-PMT($J$110,tech_base!$F190,1))+1000*tech_proj!AN1434)/((1-tech_proj!AN594)*tech_proj!AN874*$L$110))</f>
        <v>143.96163028842102</v>
      </c>
      <c r="AO814" s="73">
        <f>IF(tech_base!$T190&gt;AO$625,"",(1000*tech_proj!AO1154*(-PMT($J$110,tech_base!$F190,1))+1000*tech_proj!AO1434)/((1-tech_proj!AO594)*tech_proj!AO874*$L$110))</f>
        <v>143.96163028842102</v>
      </c>
      <c r="AP814" s="73">
        <f>IF(tech_base!$T190&gt;AP$625,"",(1000*tech_proj!AP1154*(-PMT($J$110,tech_base!$F190,1))+1000*tech_proj!AP1434)/((1-tech_proj!AP594)*tech_proj!AP874*$L$110))</f>
        <v>143.96163028842102</v>
      </c>
      <c r="AQ814" s="73">
        <f>IF(tech_base!$T190&gt;AQ$625,"",(1000*tech_proj!AQ1154*(-PMT($J$110,tech_base!$F190,1))+1000*tech_proj!AQ1434)/((1-tech_proj!AQ594)*tech_proj!AQ874*$L$110))</f>
        <v>143.96163028842102</v>
      </c>
      <c r="AR814" s="73">
        <f>IF(tech_base!$T190&gt;AR$625,"",(1000*tech_proj!AR1154*(-PMT($J$110,tech_base!$F190,1))+1000*tech_proj!AR1434)/((1-tech_proj!AR594)*tech_proj!AR874*$L$110))</f>
        <v>143.96163028842102</v>
      </c>
      <c r="AS814" s="73">
        <f>IF(tech_base!$T190&gt;AS$625,"",(1000*tech_proj!AS1154*(-PMT($J$110,tech_base!$F190,1))+1000*tech_proj!AS1434)/((1-tech_proj!AS594)*tech_proj!AS874*$L$110))</f>
        <v>143.8968885088477</v>
      </c>
      <c r="AT814" s="73">
        <f>IF(tech_base!$T190&gt;AT$625,"",(1000*tech_proj!AT1154*(-PMT($J$110,tech_base!$F190,1))+1000*tech_proj!AT1434)/((1-tech_proj!AT594)*tech_proj!AT874*$L$110))</f>
        <v>143.85547778280613</v>
      </c>
      <c r="AU814" s="73">
        <f>IF(tech_base!$T190&gt;AU$625,"",(1000*tech_proj!AU1154*(-PMT($J$110,tech_base!$F190,1))+1000*tech_proj!AU1434)/((1-tech_proj!AU594)*tech_proj!AU874*$L$110))</f>
        <v>143.78819172860415</v>
      </c>
      <c r="AV814" s="73">
        <f>IF(tech_base!$T190&gt;AV$625,"",(1000*tech_proj!AV1154*(-PMT($J$110,tech_base!$F190,1))+1000*tech_proj!AV1434)/((1-tech_proj!AV594)*tech_proj!AV874*$L$110))</f>
        <v>143.6798669339654</v>
      </c>
      <c r="AW814" s="73">
        <f>IF(tech_base!$T190&gt;AW$625,"",(1000*tech_proj!AW1154*(-PMT($J$110,tech_base!$F190,1))+1000*tech_proj!AW1434)/((1-tech_proj!AW594)*tech_proj!AW874*$L$110))</f>
        <v>143.50804235167175</v>
      </c>
      <c r="AX814" s="239">
        <f>IF(tech_base!$T190&gt;AX$625,"",(1000*tech_proj!AX1154*(-PMT($J$110,tech_base!$F190,1))+1000*tech_proj!AX1434)/((1-tech_proj!AX594)*tech_proj!AX874*$L$110))</f>
        <v>143.24182213697893</v>
      </c>
    </row>
    <row r="815" spans="1:50" x14ac:dyDescent="0.25">
      <c r="A815" s="356"/>
      <c r="B815" s="358" t="s">
        <v>19</v>
      </c>
      <c r="C815" s="353" t="s">
        <v>6</v>
      </c>
      <c r="D815" s="3" t="s">
        <v>7</v>
      </c>
      <c r="E815" s="162" t="str">
        <f>A799&amp;"/"&amp;B815&amp;"/"&amp;C815&amp;"/"&amp;D815</f>
        <v>Fuel oil fired power plants/Steam turbine/Electricity only/L</v>
      </c>
      <c r="F815" s="77" t="str">
        <f>A799</f>
        <v>Fuel oil fired power plants</v>
      </c>
      <c r="G815" s="77" t="str">
        <f>B815</f>
        <v>Steam turbine</v>
      </c>
      <c r="H815" s="77" t="str">
        <f>C815</f>
        <v>Electricity only</v>
      </c>
      <c r="I815" s="163" t="str">
        <f t="shared" si="364"/>
        <v>L</v>
      </c>
      <c r="J815" s="70">
        <f>IF(tech_base!$T191&gt;J$625,"",(1000*tech_proj!J1155*(-PMT($J$110,tech_base!$F191,1))+1000*tech_proj!J1435)/((1-tech_proj!J595)*tech_proj!J875*$L$110))</f>
        <v>38.224638889901833</v>
      </c>
      <c r="K815" s="70">
        <f>IF(tech_base!$T191&gt;K$625,"",(1000*tech_proj!K1155*(-PMT($J$110,tech_base!$F191,1))+1000*tech_proj!K1435)/((1-tech_proj!K595)*tech_proj!K875*$L$110))</f>
        <v>38.269490148958724</v>
      </c>
      <c r="L815" s="70">
        <f>IF(tech_base!$T191&gt;L$625,"",(1000*tech_proj!L1155*(-PMT($J$110,tech_base!$F191,1))+1000*tech_proj!L1435)/((1-tech_proj!L595)*tech_proj!L875*$L$110))</f>
        <v>38.314047849462042</v>
      </c>
      <c r="M815" s="70">
        <f>IF(tech_base!$T191&gt;M$625,"",(1000*tech_proj!M1155*(-PMT($J$110,tech_base!$F191,1))+1000*tech_proj!M1435)/((1-tech_proj!M595)*tech_proj!M875*$L$110))</f>
        <v>38.358257645455595</v>
      </c>
      <c r="N815" s="70">
        <f>IF(tech_base!$T191&gt;N$625,"",(1000*tech_proj!N1155*(-PMT($J$110,tech_base!$F191,1))+1000*tech_proj!N1435)/((1-tech_proj!N595)*tech_proj!N875*$L$110))</f>
        <v>38.402067053598216</v>
      </c>
      <c r="O815" s="70">
        <f>IF(tech_base!$T191&gt;O$625,"",(1000*tech_proj!O1155*(-PMT($J$110,tech_base!$F191,1))+1000*tech_proj!O1435)/((1-tech_proj!O595)*tech_proj!O875*$L$110))</f>
        <v>38.445425679446295</v>
      </c>
      <c r="P815" s="70">
        <f>IF(tech_base!$T191&gt;P$625,"",(1000*tech_proj!P1155*(-PMT($J$110,tech_base!$F191,1))+1000*tech_proj!P1435)/((1-tech_proj!P595)*tech_proj!P875*$L$110))</f>
        <v>38.488285422029534</v>
      </c>
      <c r="Q815" s="70">
        <f>IF(tech_base!$T191&gt;Q$625,"",(1000*tech_proj!Q1155*(-PMT($J$110,tech_base!$F191,1))+1000*tech_proj!Q1435)/((1-tech_proj!Q595)*tech_proj!Q875*$L$110))</f>
        <v>38.530600655276579</v>
      </c>
      <c r="R815" s="70">
        <f>IF(tech_base!$T191&gt;R$625,"",(1000*tech_proj!R1155*(-PMT($J$110,tech_base!$F191,1))+1000*tech_proj!R1435)/((1-tech_proj!R595)*tech_proj!R875*$L$110))</f>
        <v>38.572328385223777</v>
      </c>
      <c r="S815" s="70">
        <f>IF(tech_base!$T191&gt;S$625,"",(1000*tech_proj!S1155*(-PMT($J$110,tech_base!$F191,1))+1000*tech_proj!S1435)/((1-tech_proj!S595)*tech_proj!S875*$L$110))</f>
        <v>38.613428382319192</v>
      </c>
      <c r="T815" s="70">
        <f>IF(tech_base!$T191&gt;T$625,"",(1000*tech_proj!T1155*(-PMT($J$110,tech_base!$F191,1))+1000*tech_proj!T1435)/((1-tech_proj!T595)*tech_proj!T875*$L$110))</f>
        <v>38.653863288505157</v>
      </c>
      <c r="U815" s="70">
        <f>IF(tech_base!$T191&gt;U$625,"",(1000*tech_proj!U1155*(-PMT($J$110,tech_base!$F191,1))+1000*tech_proj!U1435)/((1-tech_proj!U595)*tech_proj!U875*$L$110))</f>
        <v>38.693598699120791</v>
      </c>
      <c r="V815" s="70">
        <f>IF(tech_base!$T191&gt;V$625,"",(1000*tech_proj!V1155*(-PMT($J$110,tech_base!$F191,1))+1000*tech_proj!V1435)/((1-tech_proj!V595)*tech_proj!V875*$L$110))</f>
        <v>38.732603220001323</v>
      </c>
      <c r="W815" s="70">
        <f>IF(tech_base!$T191&gt;W$625,"",(1000*tech_proj!W1155*(-PMT($J$110,tech_base!$F191,1))+1000*tech_proj!W1435)/((1-tech_proj!W595)*tech_proj!W875*$L$110))</f>
        <v>38.770848500460431</v>
      </c>
      <c r="X815" s="70">
        <f>IF(tech_base!$T191&gt;X$625,"",(1000*tech_proj!X1155*(-PMT($J$110,tech_base!$F191,1))+1000*tech_proj!X1435)/((1-tech_proj!X595)*tech_proj!X875*$L$110))</f>
        <v>38.808309243119474</v>
      </c>
      <c r="Y815" s="70">
        <f>IF(tech_base!$T191&gt;Y$625,"",(1000*tech_proj!Y1155*(-PMT($J$110,tech_base!$F191,1))+1000*tech_proj!Y1435)/((1-tech_proj!Y595)*tech_proj!Y875*$L$110))</f>
        <v>38.844963191789411</v>
      </c>
      <c r="Z815" s="70">
        <f>IF(tech_base!$T191&gt;Z$625,"",(1000*tech_proj!Z1155*(-PMT($J$110,tech_base!$F191,1))+1000*tech_proj!Z1435)/((1-tech_proj!Z595)*tech_proj!Z875*$L$110))</f>
        <v>38.880791098816758</v>
      </c>
      <c r="AA815" s="70">
        <f>IF(tech_base!$T191&gt;AA$625,"",(1000*tech_proj!AA1155*(-PMT($J$110,tech_base!$F191,1))+1000*tech_proj!AA1435)/((1-tech_proj!AA595)*tech_proj!AA875*$L$110))</f>
        <v>38.915776673470553</v>
      </c>
      <c r="AB815" s="70">
        <f>IF(tech_base!$T191&gt;AB$625,"",(1000*tech_proj!AB1155*(-PMT($J$110,tech_base!$F191,1))+1000*tech_proj!AB1435)/((1-tech_proj!AB595)*tech_proj!AB875*$L$110))</f>
        <v>38.949906513075888</v>
      </c>
      <c r="AC815" s="70">
        <f>IF(tech_base!$T191&gt;AC$625,"",(1000*tech_proj!AC1155*(-PMT($J$110,tech_base!$F191,1))+1000*tech_proj!AC1435)/((1-tech_proj!AC595)*tech_proj!AC875*$L$110))</f>
        <v>38.983170018688597</v>
      </c>
      <c r="AD815" s="70">
        <f>IF(tech_base!$T191&gt;AD$625,"",(1000*tech_proj!AD1155*(-PMT($J$110,tech_base!$F191,1))+1000*tech_proj!AD1435)/((1-tech_proj!AD595)*tech_proj!AD875*$L$110))</f>
        <v>39.015559297160202</v>
      </c>
      <c r="AE815" s="70">
        <f>IF(tech_base!$T191&gt;AE$625,"",(1000*tech_proj!AE1155*(-PMT($J$110,tech_base!$F191,1))+1000*tech_proj!AE1435)/((1-tech_proj!AE595)*tech_proj!AE875*$L$110))</f>
        <v>39.047069051461676</v>
      </c>
      <c r="AF815" s="70">
        <f>IF(tech_base!$T191&gt;AF$625,"",(1000*tech_proj!AF1155*(-PMT($J$110,tech_base!$F191,1))+1000*tech_proj!AF1435)/((1-tech_proj!AF595)*tech_proj!AF875*$L$110))</f>
        <v>39.077696461123956</v>
      </c>
      <c r="AG815" s="70">
        <f>IF(tech_base!$T191&gt;AG$625,"",(1000*tech_proj!AG1155*(-PMT($J$110,tech_base!$F191,1))+1000*tech_proj!AG1435)/((1-tech_proj!AG595)*tech_proj!AG875*$L$110))</f>
        <v>39.10744105461491</v>
      </c>
      <c r="AH815" s="70">
        <f>IF(tech_base!$T191&gt;AH$625,"",(1000*tech_proj!AH1155*(-PMT($J$110,tech_base!$F191,1))+1000*tech_proj!AH1435)/((1-tech_proj!AH595)*tech_proj!AH875*$L$110))</f>
        <v>39.13630457540993</v>
      </c>
      <c r="AI815" s="70">
        <f>IF(tech_base!$T191&gt;AI$625,"",(1000*tech_proj!AI1155*(-PMT($J$110,tech_base!$F191,1))+1000*tech_proj!AI1435)/((1-tech_proj!AI595)*tech_proj!AI875*$L$110))</f>
        <v>39.164290843431139</v>
      </c>
      <c r="AJ815" s="70">
        <f>IF(tech_base!$T191&gt;AJ$625,"",(1000*tech_proj!AJ1155*(-PMT($J$110,tech_base!$F191,1))+1000*tech_proj!AJ1435)/((1-tech_proj!AJ595)*tech_proj!AJ875*$L$110))</f>
        <v>39.191405613431023</v>
      </c>
      <c r="AK815" s="70">
        <f>IF(tech_base!$T191&gt;AK$625,"",(1000*tech_proj!AK1155*(-PMT($J$110,tech_base!$F191,1))+1000*tech_proj!AK1435)/((1-tech_proj!AK595)*tech_proj!AK875*$L$110))</f>
        <v>39.217656431784697</v>
      </c>
      <c r="AL815" s="70">
        <f>IF(tech_base!$T191&gt;AL$625,"",(1000*tech_proj!AL1155*(-PMT($J$110,tech_base!$F191,1))+1000*tech_proj!AL1435)/((1-tech_proj!AL595)*tech_proj!AL875*$L$110))</f>
        <v>39.243052493033979</v>
      </c>
      <c r="AM815" s="70">
        <f>IF(tech_base!$T191&gt;AM$625,"",(1000*tech_proj!AM1155*(-PMT($J$110,tech_base!$F191,1))+1000*tech_proj!AM1435)/((1-tech_proj!AM595)*tech_proj!AM875*$L$110))</f>
        <v>39.267604497399034</v>
      </c>
      <c r="AN815" s="70">
        <f>IF(tech_base!$T191&gt;AN$625,"",(1000*tech_proj!AN1155*(-PMT($J$110,tech_base!$F191,1))+1000*tech_proj!AN1435)/((1-tech_proj!AN595)*tech_proj!AN875*$L$110))</f>
        <v>39.291324510343117</v>
      </c>
      <c r="AO815" s="70">
        <f>IF(tech_base!$T191&gt;AO$625,"",(1000*tech_proj!AO1155*(-PMT($J$110,tech_base!$F191,1))+1000*tech_proj!AO1435)/((1-tech_proj!AO595)*tech_proj!AO875*$L$110))</f>
        <v>39.314225825145165</v>
      </c>
      <c r="AP815" s="70">
        <f>IF(tech_base!$T191&gt;AP$625,"",(1000*tech_proj!AP1155*(-PMT($J$110,tech_base!$F191,1))+1000*tech_proj!AP1435)/((1-tech_proj!AP595)*tech_proj!AP875*$L$110))</f>
        <v>39.336322829305544</v>
      </c>
      <c r="AQ815" s="70">
        <f>IF(tech_base!$T191&gt;AQ$625,"",(1000*tech_proj!AQ1155*(-PMT($J$110,tech_base!$F191,1))+1000*tech_proj!AQ1435)/((1-tech_proj!AQ595)*tech_proj!AQ875*$L$110))</f>
        <v>39.357630875485277</v>
      </c>
      <c r="AR815" s="70">
        <f>IF(tech_base!$T191&gt;AR$625,"",(1000*tech_proj!AR1155*(-PMT($J$110,tech_base!$F191,1))+1000*tech_proj!AR1435)/((1-tech_proj!AR595)*tech_proj!AR875*$L$110))</f>
        <v>39.378166157558546</v>
      </c>
      <c r="AS815" s="70">
        <f>IF(tech_base!$T191&gt;AS$625,"",(1000*tech_proj!AS1155*(-PMT($J$110,tech_base!$F191,1))+1000*tech_proj!AS1435)/((1-tech_proj!AS595)*tech_proj!AS875*$L$110))</f>
        <v>39.397945592244959</v>
      </c>
      <c r="AT815" s="70">
        <f>IF(tech_base!$T191&gt;AT$625,"",(1000*tech_proj!AT1155*(-PMT($J$110,tech_base!$F191,1))+1000*tech_proj!AT1435)/((1-tech_proj!AT595)*tech_proj!AT875*$L$110))</f>
        <v>39.416986706681982</v>
      </c>
      <c r="AU815" s="70">
        <f>IF(tech_base!$T191&gt;AU$625,"",(1000*tech_proj!AU1155*(-PMT($J$110,tech_base!$F191,1))+1000*tech_proj!AU1435)/((1-tech_proj!AU595)*tech_proj!AU875*$L$110))</f>
        <v>39.435307532200248</v>
      </c>
      <c r="AV815" s="70">
        <f>IF(tech_base!$T191&gt;AV$625,"",(1000*tech_proj!AV1155*(-PMT($J$110,tech_base!$F191,1))+1000*tech_proj!AV1435)/((1-tech_proj!AV595)*tech_proj!AV875*$L$110))</f>
        <v>39.452926504475009</v>
      </c>
      <c r="AW815" s="70">
        <f>IF(tech_base!$T191&gt;AW$625,"",(1000*tech_proj!AW1155*(-PMT($J$110,tech_base!$F191,1))+1000*tech_proj!AW1435)/((1-tech_proj!AW595)*tech_proj!AW875*$L$110))</f>
        <v>39.469862370147034</v>
      </c>
      <c r="AX815" s="236">
        <f>IF(tech_base!$T191&gt;AX$625,"",(1000*tech_proj!AX1155*(-PMT($J$110,tech_base!$F191,1))+1000*tech_proj!AX1435)/((1-tech_proj!AX595)*tech_proj!AX875*$L$110))</f>
        <v>39.486134099934546</v>
      </c>
    </row>
    <row r="816" spans="1:50" x14ac:dyDescent="0.25">
      <c r="A816" s="356"/>
      <c r="B816" s="376"/>
      <c r="C816" s="378"/>
      <c r="D816" s="2" t="s">
        <v>8</v>
      </c>
      <c r="E816" s="160" t="str">
        <f>A799&amp;"/"&amp;B815&amp;"/"&amp;C815&amp;"/"&amp;D816</f>
        <v>Fuel oil fired power plants/Steam turbine/Electricity only/M</v>
      </c>
      <c r="F816" s="76" t="str">
        <f>A799</f>
        <v>Fuel oil fired power plants</v>
      </c>
      <c r="G816" s="76" t="str">
        <f>B815</f>
        <v>Steam turbine</v>
      </c>
      <c r="H816" s="76" t="str">
        <f>C815</f>
        <v>Electricity only</v>
      </c>
      <c r="I816" s="161" t="str">
        <f t="shared" si="364"/>
        <v>M</v>
      </c>
      <c r="J816" s="69">
        <f>IF(tech_base!$T192&gt;J$625,"",(1000*tech_proj!J1156*(-PMT($J$110,tech_base!$F192,1))+1000*tech_proj!J1436)/((1-tech_proj!J596)*tech_proj!J876*$L$110))</f>
        <v>41.386946841871811</v>
      </c>
      <c r="K816" s="69">
        <f>IF(tech_base!$T192&gt;K$625,"",(1000*tech_proj!K1156*(-PMT($J$110,tech_base!$F192,1))+1000*tech_proj!K1436)/((1-tech_proj!K596)*tech_proj!K876*$L$110))</f>
        <v>41.435508626319923</v>
      </c>
      <c r="L816" s="69">
        <f>IF(tech_base!$T192&gt;L$625,"",(1000*tech_proj!L1156*(-PMT($J$110,tech_base!$F192,1))+1000*tech_proj!L1436)/((1-tech_proj!L596)*tech_proj!L876*$L$110))</f>
        <v>41.483752566241463</v>
      </c>
      <c r="M816" s="69">
        <f>IF(tech_base!$T192&gt;M$625,"",(1000*tech_proj!M1156*(-PMT($J$110,tech_base!$F192,1))+1000*tech_proj!M1436)/((1-tech_proj!M596)*tech_proj!M876*$L$110))</f>
        <v>41.531619819662623</v>
      </c>
      <c r="N816" s="69">
        <f>IF(tech_base!$T192&gt;N$625,"",(1000*tech_proj!N1156*(-PMT($J$110,tech_base!$F192,1))+1000*tech_proj!N1436)/((1-tech_proj!N596)*tech_proj!N876*$L$110))</f>
        <v>41.57905356131797</v>
      </c>
      <c r="O816" s="69">
        <f>IF(tech_base!$T192&gt;O$625,"",(1000*tech_proj!O1156*(-PMT($J$110,tech_base!$F192,1))+1000*tech_proj!O1436)/((1-tech_proj!O596)*tech_proj!O876*$L$110))</f>
        <v>41.625999227653224</v>
      </c>
      <c r="P816" s="69">
        <f>IF(tech_base!$T192&gt;P$625,"",(1000*tech_proj!P1156*(-PMT($J$110,tech_base!$F192,1))+1000*tech_proj!P1436)/((1-tech_proj!P596)*tech_proj!P876*$L$110))</f>
        <v>41.672404738325497</v>
      </c>
      <c r="Q816" s="69">
        <f>IF(tech_base!$T192&gt;Q$625,"",(1000*tech_proj!Q1156*(-PMT($J$110,tech_base!$F192,1))+1000*tech_proj!Q1436)/((1-tech_proj!Q596)*tech_proj!Q876*$L$110))</f>
        <v>41.718220692638113</v>
      </c>
      <c r="R816" s="69">
        <f>IF(tech_base!$T192&gt;R$625,"",(1000*tech_proj!R1156*(-PMT($J$110,tech_base!$F192,1))+1000*tech_proj!R1436)/((1-tech_proj!R596)*tech_proj!R876*$L$110))</f>
        <v>41.763400539755359</v>
      </c>
      <c r="S816" s="69">
        <f>IF(tech_base!$T192&gt;S$625,"",(1000*tech_proj!S1156*(-PMT($J$110,tech_base!$F192,1))+1000*tech_proj!S1436)/((1-tech_proj!S596)*tech_proj!S876*$L$110))</f>
        <v>41.807900721951654</v>
      </c>
      <c r="T816" s="69">
        <f>IF(tech_base!$T192&gt;T$625,"",(1000*tech_proj!T1156*(-PMT($J$110,tech_base!$F192,1))+1000*tech_proj!T1436)/((1-tech_proj!T596)*tech_proj!T876*$L$110))</f>
        <v>41.851680790553345</v>
      </c>
      <c r="U816" s="69">
        <f>IF(tech_base!$T192&gt;U$625,"",(1000*tech_proj!U1156*(-PMT($J$110,tech_base!$F192,1))+1000*tech_proj!U1436)/((1-tech_proj!U596)*tech_proj!U876*$L$110))</f>
        <v>41.894703494616714</v>
      </c>
      <c r="V816" s="69">
        <f>IF(tech_base!$T192&gt;V$625,"",(1000*tech_proj!V1156*(-PMT($J$110,tech_base!$F192,1))+1000*tech_proj!V1436)/((1-tech_proj!V596)*tech_proj!V876*$L$110))</f>
        <v>41.936934842751228</v>
      </c>
      <c r="W816" s="69">
        <f>IF(tech_base!$T192&gt;W$625,"",(1000*tech_proj!W1156*(-PMT($J$110,tech_base!$F192,1))+1000*tech_proj!W1436)/((1-tech_proj!W596)*tech_proj!W876*$L$110))</f>
        <v>41.978344138830465</v>
      </c>
      <c r="X816" s="69">
        <f>IF(tech_base!$T192&gt;X$625,"",(1000*tech_proj!X1156*(-PMT($J$110,tech_base!$F192,1))+1000*tech_proj!X1436)/((1-tech_proj!X596)*tech_proj!X876*$L$110))</f>
        <v>42.018903992634492</v>
      </c>
      <c r="Y816" s="69">
        <f>IF(tech_base!$T192&gt;Y$625,"",(1000*tech_proj!Y1156*(-PMT($J$110,tech_base!$F192,1))+1000*tech_proj!Y1436)/((1-tech_proj!Y596)*tech_proj!Y876*$L$110))</f>
        <v>42.058590306729364</v>
      </c>
      <c r="Z816" s="69">
        <f>IF(tech_base!$T192&gt;Z$625,"",(1000*tech_proj!Z1156*(-PMT($J$110,tech_base!$F192,1))+1000*tech_proj!Z1436)/((1-tech_proj!Z596)*tech_proj!Z876*$L$110))</f>
        <v>42.097382241111447</v>
      </c>
      <c r="AA816" s="69">
        <f>IF(tech_base!$T192&gt;AA$625,"",(1000*tech_proj!AA1156*(-PMT($J$110,tech_base!$F192,1))+1000*tech_proj!AA1436)/((1-tech_proj!AA596)*tech_proj!AA876*$L$110))</f>
        <v>42.135262157324654</v>
      </c>
      <c r="AB816" s="69">
        <f>IF(tech_base!$T192&gt;AB$625,"",(1000*tech_proj!AB1156*(-PMT($J$110,tech_base!$F192,1))+1000*tech_proj!AB1436)/((1-tech_proj!AB596)*tech_proj!AB876*$L$110))</f>
        <v>42.172215543896485</v>
      </c>
      <c r="AC816" s="69">
        <f>IF(tech_base!$T192&gt;AC$625,"",(1000*tech_proj!AC1156*(-PMT($J$110,tech_base!$F192,1))+1000*tech_proj!AC1436)/((1-tech_proj!AC596)*tech_proj!AC876*$L$110))</f>
        <v>42.208230925036723</v>
      </c>
      <c r="AD816" s="69">
        <f>IF(tech_base!$T192&gt;AD$625,"",(1000*tech_proj!AD1156*(-PMT($J$110,tech_base!$F192,1))+1000*tech_proj!AD1436)/((1-tech_proj!AD596)*tech_proj!AD876*$L$110))</f>
        <v>42.243299754600073</v>
      </c>
      <c r="AE816" s="69">
        <f>IF(tech_base!$T192&gt;AE$625,"",(1000*tech_proj!AE1156*(-PMT($J$110,tech_base!$F192,1))+1000*tech_proj!AE1436)/((1-tech_proj!AE596)*tech_proj!AE876*$L$110))</f>
        <v>42.277416297336607</v>
      </c>
      <c r="AF816" s="69">
        <f>IF(tech_base!$T192&gt;AF$625,"",(1000*tech_proj!AF1156*(-PMT($J$110,tech_base!$F192,1))+1000*tech_proj!AF1436)/((1-tech_proj!AF596)*tech_proj!AF876*$L$110))</f>
        <v>42.310577499441031</v>
      </c>
      <c r="AG816" s="69">
        <f>IF(tech_base!$T192&gt;AG$625,"",(1000*tech_proj!AG1156*(-PMT($J$110,tech_base!$F192,1))+1000*tech_proj!AG1436)/((1-tech_proj!AG596)*tech_proj!AG876*$L$110))</f>
        <v>42.342782850371584</v>
      </c>
      <c r="AH816" s="69">
        <f>IF(tech_base!$T192&gt;AH$625,"",(1000*tech_proj!AH1156*(-PMT($J$110,tech_base!$F192,1))+1000*tech_proj!AH1436)/((1-tech_proj!AH596)*tech_proj!AH876*$L$110))</f>
        <v>42.37403423784064</v>
      </c>
      <c r="AI816" s="69">
        <f>IF(tech_base!$T192&gt;AI$625,"",(1000*tech_proj!AI1156*(-PMT($J$110,tech_base!$F192,1))+1000*tech_proj!AI1436)/((1-tech_proj!AI596)*tech_proj!AI876*$L$110))</f>
        <v>42.404335797790822</v>
      </c>
      <c r="AJ816" s="69">
        <f>IF(tech_base!$T192&gt;AJ$625,"",(1000*tech_proj!AJ1156*(-PMT($J$110,tech_base!$F192,1))+1000*tech_proj!AJ1436)/((1-tech_proj!AJ596)*tech_proj!AJ876*$L$110))</f>
        <v>42.433693761062806</v>
      </c>
      <c r="AK816" s="69">
        <f>IF(tech_base!$T192&gt;AK$625,"",(1000*tech_proj!AK1156*(-PMT($J$110,tech_base!$F192,1))+1000*tech_proj!AK1436)/((1-tech_proj!AK596)*tech_proj!AK876*$L$110))</f>
        <v>42.462116298340099</v>
      </c>
      <c r="AL816" s="69">
        <f>IF(tech_base!$T192&gt;AL$625,"",(1000*tech_proj!AL1156*(-PMT($J$110,tech_base!$F192,1))+1000*tech_proj!AL1436)/((1-tech_proj!AL596)*tech_proj!AL876*$L$110))</f>
        <v>42.489613364824983</v>
      </c>
      <c r="AM816" s="69">
        <f>IF(tech_base!$T192&gt;AM$625,"",(1000*tech_proj!AM1156*(-PMT($J$110,tech_base!$F192,1))+1000*tech_proj!AM1436)/((1-tech_proj!AM596)*tech_proj!AM876*$L$110))</f>
        <v>42.516196545962288</v>
      </c>
      <c r="AN816" s="69">
        <f>IF(tech_base!$T192&gt;AN$625,"",(1000*tech_proj!AN1156*(-PMT($J$110,tech_base!$F192,1))+1000*tech_proj!AN1436)/((1-tech_proj!AN596)*tech_proj!AN876*$L$110))</f>
        <v>42.541878905385822</v>
      </c>
      <c r="AO816" s="69">
        <f>IF(tech_base!$T192&gt;AO$625,"",(1000*tech_proj!AO1156*(-PMT($J$110,tech_base!$F192,1))+1000*tech_proj!AO1436)/((1-tech_proj!AO596)*tech_proj!AO876*$L$110))</f>
        <v>42.566674836121798</v>
      </c>
      <c r="AP816" s="69">
        <f>IF(tech_base!$T192&gt;AP$625,"",(1000*tech_proj!AP1156*(-PMT($J$110,tech_base!$F192,1))+1000*tech_proj!AP1436)/((1-tech_proj!AP596)*tech_proj!AP876*$L$110))</f>
        <v>42.590599915942285</v>
      </c>
      <c r="AQ816" s="69">
        <f>IF(tech_base!$T192&gt;AQ$625,"",(1000*tech_proj!AQ1156*(-PMT($J$110,tech_base!$F192,1))+1000*tech_proj!AQ1436)/((1-tech_proj!AQ596)*tech_proj!AQ876*$L$110))</f>
        <v>42.613670767627369</v>
      </c>
      <c r="AR816" s="69">
        <f>IF(tech_base!$T192&gt;AR$625,"",(1000*tech_proj!AR1156*(-PMT($J$110,tech_base!$F192,1))+1000*tech_proj!AR1436)/((1-tech_proj!AR596)*tech_proj!AR876*$L$110))</f>
        <v>42.63590492476348</v>
      </c>
      <c r="AS816" s="69">
        <f>IF(tech_base!$T192&gt;AS$625,"",(1000*tech_proj!AS1156*(-PMT($J$110,tech_base!$F192,1))+1000*tech_proj!AS1436)/((1-tech_proj!AS596)*tech_proj!AS876*$L$110))</f>
        <v>42.65732070358316</v>
      </c>
      <c r="AT816" s="69">
        <f>IF(tech_base!$T192&gt;AT$625,"",(1000*tech_proj!AT1156*(-PMT($J$110,tech_base!$F192,1))+1000*tech_proj!AT1436)/((1-tech_proj!AT596)*tech_proj!AT876*$L$110))</f>
        <v>42.677937081236458</v>
      </c>
      <c r="AU816" s="69">
        <f>IF(tech_base!$T192&gt;AU$625,"",(1000*tech_proj!AU1156*(-PMT($J$110,tech_base!$F192,1))+1000*tech_proj!AU1436)/((1-tech_proj!AU596)*tech_proj!AU876*$L$110))</f>
        <v>42.697773580778239</v>
      </c>
      <c r="AV816" s="69">
        <f>IF(tech_base!$T192&gt;AV$625,"",(1000*tech_proj!AV1156*(-PMT($J$110,tech_base!$F192,1))+1000*tech_proj!AV1436)/((1-tech_proj!AV596)*tech_proj!AV876*$L$110))</f>
        <v>42.71685016305922</v>
      </c>
      <c r="AW816" s="69">
        <f>IF(tech_base!$T192&gt;AW$625,"",(1000*tech_proj!AW1156*(-PMT($J$110,tech_base!$F192,1))+1000*tech_proj!AW1436)/((1-tech_proj!AW596)*tech_proj!AW876*$L$110))</f>
        <v>42.7351871256217</v>
      </c>
      <c r="AX816" s="235">
        <f>IF(tech_base!$T192&gt;AX$625,"",(1000*tech_proj!AX1156*(-PMT($J$110,tech_base!$F192,1))+1000*tech_proj!AX1436)/((1-tech_proj!AX596)*tech_proj!AX876*$L$110))</f>
        <v>42.752805008623312</v>
      </c>
    </row>
    <row r="817" spans="1:50" x14ac:dyDescent="0.25">
      <c r="A817" s="356"/>
      <c r="B817" s="376"/>
      <c r="C817" s="378"/>
      <c r="D817" s="2" t="s">
        <v>10</v>
      </c>
      <c r="E817" s="160" t="str">
        <f>A799&amp;"/"&amp;B815&amp;"/"&amp;C815&amp;"/"&amp;D817</f>
        <v>Fuel oil fired power plants/Steam turbine/Electricity only/S</v>
      </c>
      <c r="F817" s="76" t="str">
        <f>A799</f>
        <v>Fuel oil fired power plants</v>
      </c>
      <c r="G817" s="76" t="str">
        <f>B815</f>
        <v>Steam turbine</v>
      </c>
      <c r="H817" s="76" t="str">
        <f>C815</f>
        <v>Electricity only</v>
      </c>
      <c r="I817" s="161" t="str">
        <f t="shared" si="364"/>
        <v>S</v>
      </c>
      <c r="J817" s="69">
        <f>IF(tech_base!$T193&gt;J$625,"",(1000*tech_proj!J1157*(-PMT($J$110,tech_base!$F193,1))+1000*tech_proj!J1437)/((1-tech_proj!J597)*tech_proj!J877*$L$110))</f>
        <v>45.854261959655801</v>
      </c>
      <c r="K817" s="69">
        <f>IF(tech_base!$T193&gt;K$625,"",(1000*tech_proj!K1157*(-PMT($J$110,tech_base!$F193,1))+1000*tech_proj!K1437)/((1-tech_proj!K597)*tech_proj!K877*$L$110))</f>
        <v>45.90806551259292</v>
      </c>
      <c r="L817" s="69">
        <f>IF(tech_base!$T193&gt;L$625,"",(1000*tech_proj!L1157*(-PMT($J$110,tech_base!$F193,1))+1000*tech_proj!L1437)/((1-tech_proj!L597)*tech_proj!L877*$L$110))</f>
        <v>45.961516912803241</v>
      </c>
      <c r="M817" s="69">
        <f>IF(tech_base!$T193&gt;M$625,"",(1000*tech_proj!M1157*(-PMT($J$110,tech_base!$F193,1))+1000*tech_proj!M1437)/((1-tech_proj!M597)*tech_proj!M877*$L$110))</f>
        <v>46.014550966898817</v>
      </c>
      <c r="N817" s="69">
        <f>IF(tech_base!$T193&gt;N$625,"",(1000*tech_proj!N1157*(-PMT($J$110,tech_base!$F193,1))+1000*tech_proj!N1437)/((1-tech_proj!N597)*tech_proj!N877*$L$110))</f>
        <v>46.067104715884007</v>
      </c>
      <c r="O817" s="69">
        <f>IF(tech_base!$T193&gt;O$625,"",(1000*tech_proj!O1157*(-PMT($J$110,tech_base!$F193,1))+1000*tech_proj!O1437)/((1-tech_proj!O597)*tech_proj!O877*$L$110))</f>
        <v>46.119117706603824</v>
      </c>
      <c r="P817" s="69">
        <f>IF(tech_base!$T193&gt;P$625,"",(1000*tech_proj!P1157*(-PMT($J$110,tech_base!$F193,1))+1000*tech_proj!P1437)/((1-tech_proj!P597)*tech_proj!P877*$L$110))</f>
        <v>46.170532237152976</v>
      </c>
      <c r="Q817" s="69">
        <f>IF(tech_base!$T193&gt;Q$625,"",(1000*tech_proj!Q1157*(-PMT($J$110,tech_base!$F193,1))+1000*tech_proj!Q1437)/((1-tech_proj!Q597)*tech_proj!Q877*$L$110))</f>
        <v>46.221293574513993</v>
      </c>
      <c r="R817" s="69">
        <f>IF(tech_base!$T193&gt;R$625,"",(1000*tech_proj!R1157*(-PMT($J$110,tech_base!$F193,1))+1000*tech_proj!R1437)/((1-tech_proj!R597)*tech_proj!R877*$L$110))</f>
        <v>46.271350143144829</v>
      </c>
      <c r="S817" s="69">
        <f>IF(tech_base!$T193&gt;S$625,"",(1000*tech_proj!S1157*(-PMT($J$110,tech_base!$F193,1))+1000*tech_proj!S1437)/((1-tech_proj!S597)*tech_proj!S877*$L$110))</f>
        <v>46.320653683690558</v>
      </c>
      <c r="T817" s="69">
        <f>IF(tech_base!$T193&gt;T$625,"",(1000*tech_proj!T1157*(-PMT($J$110,tech_base!$F193,1))+1000*tech_proj!T1437)/((1-tech_proj!T597)*tech_proj!T877*$L$110))</f>
        <v>46.369159381439729</v>
      </c>
      <c r="U817" s="69">
        <f>IF(tech_base!$T193&gt;U$625,"",(1000*tech_proj!U1157*(-PMT($J$110,tech_base!$F193,1))+1000*tech_proj!U1437)/((1-tech_proj!U597)*tech_proj!U877*$L$110))</f>
        <v>46.416825964574564</v>
      </c>
      <c r="V817" s="69">
        <f>IF(tech_base!$T193&gt;V$625,"",(1000*tech_proj!V1157*(-PMT($J$110,tech_base!$F193,1))+1000*tech_proj!V1437)/((1-tech_proj!V597)*tech_proj!V877*$L$110))</f>
        <v>46.46361577266714</v>
      </c>
      <c r="W817" s="69">
        <f>IF(tech_base!$T193&gt;W$625,"",(1000*tech_proj!W1157*(-PMT($J$110,tech_base!$F193,1))+1000*tech_proj!W1437)/((1-tech_proj!W597)*tech_proj!W877*$L$110))</f>
        <v>46.509494796245207</v>
      </c>
      <c r="X817" s="69">
        <f>IF(tech_base!$T193&gt;X$625,"",(1000*tech_proj!X1157*(-PMT($J$110,tech_base!$F193,1))+1000*tech_proj!X1437)/((1-tech_proj!X597)*tech_proj!X877*$L$110))</f>
        <v>46.554432688583127</v>
      </c>
      <c r="Y817" s="69">
        <f>IF(tech_base!$T193&gt;Y$625,"",(1000*tech_proj!Y1157*(-PMT($J$110,tech_base!$F193,1))+1000*tech_proj!Y1437)/((1-tech_proj!Y597)*tech_proj!Y877*$L$110))</f>
        <v>46.598402751165224</v>
      </c>
      <c r="Z817" s="69">
        <f>IF(tech_base!$T193&gt;Z$625,"",(1000*tech_proj!Z1157*(-PMT($J$110,tech_base!$F193,1))+1000*tech_proj!Z1437)/((1-tech_proj!Z597)*tech_proj!Z877*$L$110))</f>
        <v>46.641381894513842</v>
      </c>
      <c r="AA817" s="69">
        <f>IF(tech_base!$T193&gt;AA$625,"",(1000*tech_proj!AA1157*(-PMT($J$110,tech_base!$F193,1))+1000*tech_proj!AA1437)/((1-tech_proj!AA597)*tech_proj!AA877*$L$110))</f>
        <v>46.683350576274457</v>
      </c>
      <c r="AB817" s="69">
        <f>IF(tech_base!$T193&gt;AB$625,"",(1000*tech_proj!AB1157*(-PMT($J$110,tech_base!$F193,1))+1000*tech_proj!AB1437)/((1-tech_proj!AB597)*tech_proj!AB877*$L$110))</f>
        <v>46.724292718603415</v>
      </c>
      <c r="AC817" s="69">
        <f>IF(tech_base!$T193&gt;AC$625,"",(1000*tech_proj!AC1157*(-PMT($J$110,tech_base!$F193,1))+1000*tech_proj!AC1437)/((1-tech_proj!AC597)*tech_proj!AC877*$L$110))</f>
        <v>46.764195607011473</v>
      </c>
      <c r="AD817" s="69">
        <f>IF(tech_base!$T193&gt;AD$625,"",(1000*tech_proj!AD1157*(-PMT($J$110,tech_base!$F193,1))+1000*tech_proj!AD1437)/((1-tech_proj!AD597)*tech_proj!AD877*$L$110))</f>
        <v>46.803049772880755</v>
      </c>
      <c r="AE817" s="69">
        <f>IF(tech_base!$T193&gt;AE$625,"",(1000*tech_proj!AE1157*(-PMT($J$110,tech_base!$F193,1))+1000*tech_proj!AE1437)/((1-tech_proj!AE597)*tech_proj!AE877*$L$110))</f>
        <v>46.840848861897271</v>
      </c>
      <c r="AF817" s="69">
        <f>IF(tech_base!$T193&gt;AF$625,"",(1000*tech_proj!AF1157*(-PMT($J$110,tech_base!$F193,1))+1000*tech_proj!AF1437)/((1-tech_proj!AF597)*tech_proj!AF877*$L$110))</f>
        <v>46.877589490627471</v>
      </c>
      <c r="AG817" s="69">
        <f>IF(tech_base!$T193&gt;AG$625,"",(1000*tech_proj!AG1157*(-PMT($J$110,tech_base!$F193,1))+1000*tech_proj!AG1437)/((1-tech_proj!AG597)*tech_proj!AG877*$L$110))</f>
        <v>46.913271093421585</v>
      </c>
      <c r="AH817" s="69">
        <f>IF(tech_base!$T193&gt;AH$625,"",(1000*tech_proj!AH1157*(-PMT($J$110,tech_base!$F193,1))+1000*tech_proj!AH1437)/((1-tech_proj!AH597)*tech_proj!AH877*$L$110))</f>
        <v>46.947895761752008</v>
      </c>
      <c r="AI817" s="69">
        <f>IF(tech_base!$T193&gt;AI$625,"",(1000*tech_proj!AI1157*(-PMT($J$110,tech_base!$F193,1))+1000*tech_proj!AI1437)/((1-tech_proj!AI597)*tech_proj!AI877*$L$110))</f>
        <v>46.981468077995828</v>
      </c>
      <c r="AJ817" s="69">
        <f>IF(tech_base!$T193&gt;AJ$625,"",(1000*tech_proj!AJ1157*(-PMT($J$110,tech_base!$F193,1))+1000*tech_proj!AJ1437)/((1-tech_proj!AJ597)*tech_proj!AJ877*$L$110))</f>
        <v>47.0139949455519</v>
      </c>
      <c r="AK817" s="69">
        <f>IF(tech_base!$T193&gt;AK$625,"",(1000*tech_proj!AK1157*(-PMT($J$110,tech_base!$F193,1))+1000*tech_proj!AK1437)/((1-tech_proj!AK597)*tech_proj!AK877*$L$110))</f>
        <v>47.045485417048866</v>
      </c>
      <c r="AL817" s="69">
        <f>IF(tech_base!$T193&gt;AL$625,"",(1000*tech_proj!AL1157*(-PMT($J$110,tech_base!$F193,1))+1000*tech_proj!AL1437)/((1-tech_proj!AL597)*tech_proj!AL877*$L$110))</f>
        <v>47.075950522255539</v>
      </c>
      <c r="AM817" s="69">
        <f>IF(tech_base!$T193&gt;AM$625,"",(1000*tech_proj!AM1157*(-PMT($J$110,tech_base!$F193,1))+1000*tech_proj!AM1437)/((1-tech_proj!AM597)*tech_proj!AM877*$L$110))</f>
        <v>47.105403097151871</v>
      </c>
      <c r="AN817" s="69">
        <f>IF(tech_base!$T193&gt;AN$625,"",(1000*tech_proj!AN1157*(-PMT($J$110,tech_base!$F193,1))+1000*tech_proj!AN1437)/((1-tech_proj!AN597)*tech_proj!AN877*$L$110))</f>
        <v>47.133857615462887</v>
      </c>
      <c r="AO817" s="69">
        <f>IF(tech_base!$T193&gt;AO$625,"",(1000*tech_proj!AO1157*(-PMT($J$110,tech_base!$F193,1))+1000*tech_proj!AO1437)/((1-tech_proj!AO597)*tech_proj!AO877*$L$110))</f>
        <v>47.161330023800815</v>
      </c>
      <c r="AP817" s="69">
        <f>IF(tech_base!$T193&gt;AP$625,"",(1000*tech_proj!AP1157*(-PMT($J$110,tech_base!$F193,1))+1000*tech_proj!AP1437)/((1-tech_proj!AP597)*tech_proj!AP877*$L$110))</f>
        <v>47.187837581405546</v>
      </c>
      <c r="AQ817" s="69">
        <f>IF(tech_base!$T193&gt;AQ$625,"",(1000*tech_proj!AQ1157*(-PMT($J$110,tech_base!$F193,1))+1000*tech_proj!AQ1437)/((1-tech_proj!AQ597)*tech_proj!AQ877*$L$110))</f>
        <v>47.213398705323243</v>
      </c>
      <c r="AR817" s="69">
        <f>IF(tech_base!$T193&gt;AR$625,"",(1000*tech_proj!AR1157*(-PMT($J$110,tech_base!$F193,1))+1000*tech_proj!AR1437)/((1-tech_proj!AR597)*tech_proj!AR877*$L$110))</f>
        <v>47.238032821719081</v>
      </c>
      <c r="AS817" s="69">
        <f>IF(tech_base!$T193&gt;AS$625,"",(1000*tech_proj!AS1157*(-PMT($J$110,tech_base!$F193,1))+1000*tech_proj!AS1437)/((1-tech_proj!AS597)*tech_proj!AS877*$L$110))</f>
        <v>47.261760223883336</v>
      </c>
      <c r="AT817" s="69">
        <f>IF(tech_base!$T193&gt;AT$625,"",(1000*tech_proj!AT1157*(-PMT($J$110,tech_base!$F193,1))+1000*tech_proj!AT1437)/((1-tech_proj!AT597)*tech_proj!AT877*$L$110))</f>
        <v>47.284601937363334</v>
      </c>
      <c r="AU817" s="69">
        <f>IF(tech_base!$T193&gt;AU$625,"",(1000*tech_proj!AU1157*(-PMT($J$110,tech_base!$F193,1))+1000*tech_proj!AU1437)/((1-tech_proj!AU597)*tech_proj!AU877*$L$110))</f>
        <v>47.306579592536259</v>
      </c>
      <c r="AV817" s="69">
        <f>IF(tech_base!$T193&gt;AV$625,"",(1000*tech_proj!AV1157*(-PMT($J$110,tech_base!$F193,1))+1000*tech_proj!AV1437)/((1-tech_proj!AV597)*tech_proj!AV877*$L$110))</f>
        <v>47.327715304830988</v>
      </c>
      <c r="AW817" s="69">
        <f>IF(tech_base!$T193&gt;AW$625,"",(1000*tech_proj!AW1157*(-PMT($J$110,tech_base!$F193,1))+1000*tech_proj!AW1437)/((1-tech_proj!AW597)*tech_proj!AW877*$L$110))</f>
        <v>47.348031562710489</v>
      </c>
      <c r="AX817" s="235">
        <f>IF(tech_base!$T193&gt;AX$625,"",(1000*tech_proj!AX1157*(-PMT($J$110,tech_base!$F193,1))+1000*tech_proj!AX1437)/((1-tech_proj!AX597)*tech_proj!AX877*$L$110))</f>
        <v>47.367551123441011</v>
      </c>
    </row>
    <row r="818" spans="1:50" x14ac:dyDescent="0.25">
      <c r="A818" s="356"/>
      <c r="B818" s="376"/>
      <c r="C818" s="379"/>
      <c r="D818" s="2" t="s">
        <v>20</v>
      </c>
      <c r="E818" s="160" t="str">
        <f>A799&amp;"/"&amp;B815&amp;"/"&amp;C815&amp;"/"&amp;D818</f>
        <v>Fuel oil fired power plants/Steam turbine/Electricity only/XS</v>
      </c>
      <c r="F818" s="76" t="str">
        <f>A799</f>
        <v>Fuel oil fired power plants</v>
      </c>
      <c r="G818" s="76" t="str">
        <f>B815</f>
        <v>Steam turbine</v>
      </c>
      <c r="H818" s="76" t="str">
        <f>C815</f>
        <v>Electricity only</v>
      </c>
      <c r="I818" s="161" t="str">
        <f t="shared" si="364"/>
        <v>XS</v>
      </c>
      <c r="J818" s="69">
        <f>IF(tech_base!$T194&gt;J$625,"",(1000*tech_proj!J1158*(-PMT($J$110,tech_base!$F194,1))+1000*tech_proj!J1438)/((1-tech_proj!J598)*tech_proj!J878*$L$110))</f>
        <v>55.179277006229107</v>
      </c>
      <c r="K818" s="69">
        <f>IF(tech_base!$T194&gt;K$625,"",(1000*tech_proj!K1158*(-PMT($J$110,tech_base!$F194,1))+1000*tech_proj!K1438)/((1-tech_proj!K598)*tech_proj!K878*$L$110))</f>
        <v>55.244022158033054</v>
      </c>
      <c r="L818" s="69">
        <f>IF(tech_base!$T194&gt;L$625,"",(1000*tech_proj!L1158*(-PMT($J$110,tech_base!$F194,1))+1000*tech_proj!L1438)/((1-tech_proj!L598)*tech_proj!L878*$L$110))</f>
        <v>55.308343542622609</v>
      </c>
      <c r="M818" s="69">
        <f>IF(tech_base!$T194&gt;M$625,"",(1000*tech_proj!M1158*(-PMT($J$110,tech_base!$F194,1))+1000*tech_proj!M1438)/((1-tech_proj!M598)*tech_proj!M878*$L$110))</f>
        <v>55.372162708751105</v>
      </c>
      <c r="N818" s="69">
        <f>IF(tech_base!$T194&gt;N$625,"",(1000*tech_proj!N1158*(-PMT($J$110,tech_base!$F194,1))+1000*tech_proj!N1438)/((1-tech_proj!N598)*tech_proj!N878*$L$110))</f>
        <v>55.435403893954799</v>
      </c>
      <c r="O818" s="69">
        <f>IF(tech_base!$T194&gt;O$625,"",(1000*tech_proj!O1158*(-PMT($J$110,tech_base!$F194,1))+1000*tech_proj!O1438)/((1-tech_proj!O598)*tech_proj!O878*$L$110))</f>
        <v>55.497994351203381</v>
      </c>
      <c r="P818" s="69">
        <f>IF(tech_base!$T194&gt;P$625,"",(1000*tech_proj!P1158*(-PMT($J$110,tech_base!$F194,1))+1000*tech_proj!P1438)/((1-tech_proj!P598)*tech_proj!P878*$L$110))</f>
        <v>55.559864644215907</v>
      </c>
      <c r="Q818" s="69">
        <f>IF(tech_base!$T194&gt;Q$625,"",(1000*tech_proj!Q1158*(-PMT($J$110,tech_base!$F194,1))+1000*tech_proj!Q1438)/((1-tech_proj!Q598)*tech_proj!Q878*$L$110))</f>
        <v>55.620948909358255</v>
      </c>
      <c r="R818" s="69">
        <f>IF(tech_base!$T194&gt;R$625,"",(1000*tech_proj!R1158*(-PMT($J$110,tech_base!$F194,1))+1000*tech_proj!R1438)/((1-tech_proj!R598)*tech_proj!R878*$L$110))</f>
        <v>55.681185082582289</v>
      </c>
      <c r="S818" s="69">
        <f>IF(tech_base!$T194&gt;S$625,"",(1000*tech_proj!S1158*(-PMT($J$110,tech_base!$F194,1))+1000*tech_proj!S1438)/((1-tech_proj!S598)*tech_proj!S878*$L$110))</f>
        <v>55.740515090413496</v>
      </c>
      <c r="T818" s="69">
        <f>IF(tech_base!$T194&gt;T$625,"",(1000*tech_proj!T1158*(-PMT($J$110,tech_base!$F194,1))+1000*tech_proj!T1438)/((1-tech_proj!T598)*tech_proj!T878*$L$110))</f>
        <v>55.798885004530476</v>
      </c>
      <c r="U818" s="69">
        <f>IF(tech_base!$T194&gt;U$625,"",(1000*tech_proj!U1158*(-PMT($J$110,tech_base!$F194,1))+1000*tech_proj!U1438)/((1-tech_proj!U598)*tech_proj!U878*$L$110))</f>
        <v>55.856245159995439</v>
      </c>
      <c r="V818" s="69">
        <f>IF(tech_base!$T194&gt;V$625,"",(1000*tech_proj!V1158*(-PMT($J$110,tech_base!$F194,1))+1000*tech_proj!V1438)/((1-tech_proj!V598)*tech_proj!V878*$L$110))</f>
        <v>55.912550237680051</v>
      </c>
      <c r="W818" s="69">
        <f>IF(tech_base!$T194&gt;W$625,"",(1000*tech_proj!W1158*(-PMT($J$110,tech_base!$F194,1))+1000*tech_proj!W1438)/((1-tech_proj!W598)*tech_proj!W878*$L$110))</f>
        <v>55.967759311877259</v>
      </c>
      <c r="X818" s="69">
        <f>IF(tech_base!$T194&gt;X$625,"",(1000*tech_proj!X1158*(-PMT($J$110,tech_base!$F194,1))+1000*tech_proj!X1438)/((1-tech_proj!X598)*tech_proj!X878*$L$110))</f>
        <v>56.021835864490228</v>
      </c>
      <c r="Y818" s="69">
        <f>IF(tech_base!$T194&gt;Y$625,"",(1000*tech_proj!Y1158*(-PMT($J$110,tech_base!$F194,1))+1000*tech_proj!Y1438)/((1-tech_proj!Y598)*tech_proj!Y878*$L$110))</f>
        <v>56.074747767539371</v>
      </c>
      <c r="Z818" s="69">
        <f>IF(tech_base!$T194&gt;Z$625,"",(1000*tech_proj!Z1158*(-PMT($J$110,tech_base!$F194,1))+1000*tech_proj!Z1438)/((1-tech_proj!Z598)*tech_proj!Z878*$L$110))</f>
        <v>56.126467236024325</v>
      </c>
      <c r="AA818" s="69">
        <f>IF(tech_base!$T194&gt;AA$625,"",(1000*tech_proj!AA1158*(-PMT($J$110,tech_base!$F194,1))+1000*tech_proj!AA1438)/((1-tech_proj!AA598)*tech_proj!AA878*$L$110))</f>
        <v>56.17697075341804</v>
      </c>
      <c r="AB818" s="69">
        <f>IF(tech_base!$T194&gt;AB$625,"",(1000*tech_proj!AB1158*(-PMT($J$110,tech_base!$F194,1))+1000*tech_proj!AB1438)/((1-tech_proj!AB598)*tech_proj!AB878*$L$110))</f>
        <v>56.226238972254194</v>
      </c>
      <c r="AC818" s="69">
        <f>IF(tech_base!$T194&gt;AC$625,"",(1000*tech_proj!AC1158*(-PMT($J$110,tech_base!$F194,1))+1000*tech_proj!AC1438)/((1-tech_proj!AC598)*tech_proj!AC878*$L$110))</f>
        <v>56.274256592399368</v>
      </c>
      <c r="AD818" s="69">
        <f>IF(tech_base!$T194&gt;AD$625,"",(1000*tech_proj!AD1158*(-PMT($J$110,tech_base!$F194,1))+1000*tech_proj!AD1438)/((1-tech_proj!AD598)*tech_proj!AD878*$L$110))</f>
        <v>56.321012219678536</v>
      </c>
      <c r="AE818" s="69">
        <f>IF(tech_base!$T194&gt;AE$625,"",(1000*tech_proj!AE1158*(-PMT($J$110,tech_base!$F194,1))+1000*tech_proj!AE1438)/((1-tech_proj!AE598)*tech_proj!AE878*$L$110))</f>
        <v>56.366498207551615</v>
      </c>
      <c r="AF818" s="69">
        <f>IF(tech_base!$T194&gt;AF$625,"",(1000*tech_proj!AF1158*(-PMT($J$110,tech_base!$F194,1))+1000*tech_proj!AF1438)/((1-tech_proj!AF598)*tech_proj!AF878*$L$110))</f>
        <v>56.410710484523172</v>
      </c>
      <c r="AG818" s="69">
        <f>IF(tech_base!$T194&gt;AG$625,"",(1000*tech_proj!AG1158*(-PMT($J$110,tech_base!$F194,1))+1000*tech_proj!AG1438)/((1-tech_proj!AG598)*tech_proj!AG878*$L$110))</f>
        <v>56.453648369911768</v>
      </c>
      <c r="AH818" s="69">
        <f>IF(tech_base!$T194&gt;AH$625,"",(1000*tech_proj!AH1158*(-PMT($J$110,tech_base!$F194,1))+1000*tech_proj!AH1438)/((1-tech_proj!AH598)*tech_proj!AH878*$L$110))</f>
        <v>56.495314380515843</v>
      </c>
      <c r="AI818" s="69">
        <f>IF(tech_base!$T194&gt;AI$625,"",(1000*tech_proj!AI1158*(-PMT($J$110,tech_base!$F194,1))+1000*tech_proj!AI1438)/((1-tech_proj!AI598)*tech_proj!AI878*$L$110))</f>
        <v>56.53571403059393</v>
      </c>
      <c r="AJ818" s="69">
        <f>IF(tech_base!$T194&gt;AJ$625,"",(1000*tech_proj!AJ1158*(-PMT($J$110,tech_base!$F194,1))+1000*tech_proj!AJ1438)/((1-tech_proj!AJ598)*tech_proj!AJ878*$L$110))</f>
        <v>56.574855627433941</v>
      </c>
      <c r="AK818" s="69">
        <f>IF(tech_base!$T194&gt;AK$625,"",(1000*tech_proj!AK1158*(-PMT($J$110,tech_base!$F194,1))+1000*tech_proj!AK1438)/((1-tech_proj!AK598)*tech_proj!AK878*$L$110))</f>
        <v>56.612750064625338</v>
      </c>
      <c r="AL818" s="69">
        <f>IF(tech_base!$T194&gt;AL$625,"",(1000*tech_proj!AL1158*(-PMT($J$110,tech_base!$F194,1))+1000*tech_proj!AL1438)/((1-tech_proj!AL598)*tech_proj!AL878*$L$110))</f>
        <v>56.649410614972922</v>
      </c>
      <c r="AM818" s="69">
        <f>IF(tech_base!$T194&gt;AM$625,"",(1000*tech_proj!AM1158*(-PMT($J$110,tech_base!$F194,1))+1000*tech_proj!AM1438)/((1-tech_proj!AM598)*tech_proj!AM878*$L$110))</f>
        <v>56.684852724807349</v>
      </c>
      <c r="AN818" s="69">
        <f>IF(tech_base!$T194&gt;AN$625,"",(1000*tech_proj!AN1158*(-PMT($J$110,tech_base!$F194,1))+1000*tech_proj!AN1438)/((1-tech_proj!AN598)*tech_proj!AN878*$L$110))</f>
        <v>56.719093811259548</v>
      </c>
      <c r="AO818" s="69">
        <f>IF(tech_base!$T194&gt;AO$625,"",(1000*tech_proj!AO1158*(-PMT($J$110,tech_base!$F194,1))+1000*tech_proj!AO1438)/((1-tech_proj!AO598)*tech_proj!AO878*$L$110))</f>
        <v>56.752153063876918</v>
      </c>
      <c r="AP818" s="69">
        <f>IF(tech_base!$T194&gt;AP$625,"",(1000*tech_proj!AP1158*(-PMT($J$110,tech_base!$F194,1))+1000*tech_proj!AP1438)/((1-tech_proj!AP598)*tech_proj!AP878*$L$110))</f>
        <v>56.784051251773107</v>
      </c>
      <c r="AQ818" s="69">
        <f>IF(tech_base!$T194&gt;AQ$625,"",(1000*tech_proj!AQ1158*(-PMT($J$110,tech_base!$F194,1))+1000*tech_proj!AQ1438)/((1-tech_proj!AQ598)*tech_proj!AQ878*$L$110))</f>
        <v>56.814810537321861</v>
      </c>
      <c r="AR818" s="69">
        <f>IF(tech_base!$T194&gt;AR$625,"",(1000*tech_proj!AR1158*(-PMT($J$110,tech_base!$F194,1))+1000*tech_proj!AR1438)/((1-tech_proj!AR598)*tech_proj!AR878*$L$110))</f>
        <v>56.844454297232474</v>
      </c>
      <c r="AS818" s="69">
        <f>IF(tech_base!$T194&gt;AS$625,"",(1000*tech_proj!AS1158*(-PMT($J$110,tech_base!$F194,1))+1000*tech_proj!AS1438)/((1-tech_proj!AS598)*tech_proj!AS878*$L$110))</f>
        <v>56.873006951679542</v>
      </c>
      <c r="AT818" s="69">
        <f>IF(tech_base!$T194&gt;AT$625,"",(1000*tech_proj!AT1158*(-PMT($J$110,tech_base!$F194,1))+1000*tech_proj!AT1438)/((1-tech_proj!AT598)*tech_proj!AT878*$L$110))</f>
        <v>56.90049380200805</v>
      </c>
      <c r="AU818" s="69">
        <f>IF(tech_base!$T194&gt;AU$625,"",(1000*tech_proj!AU1158*(-PMT($J$110,tech_base!$F194,1))+1000*tech_proj!AU1438)/((1-tech_proj!AU598)*tech_proj!AU878*$L$110))</f>
        <v>56.926940877392269</v>
      </c>
      <c r="AV818" s="69">
        <f>IF(tech_base!$T194&gt;AV$625,"",(1000*tech_proj!AV1158*(-PMT($J$110,tech_base!$F194,1))+1000*tech_proj!AV1438)/((1-tech_proj!AV598)*tech_proj!AV878*$L$110))</f>
        <v>56.952374790699189</v>
      </c>
      <c r="AW818" s="69">
        <f>IF(tech_base!$T194&gt;AW$625,"",(1000*tech_proj!AW1158*(-PMT($J$110,tech_base!$F194,1))+1000*tech_proj!AW1438)/((1-tech_proj!AW598)*tech_proj!AW878*$L$110))</f>
        <v>56.976822603690913</v>
      </c>
      <c r="AX818" s="235">
        <f>IF(tech_base!$T194&gt;AX$625,"",(1000*tech_proj!AX1158*(-PMT($J$110,tech_base!$F194,1))+1000*tech_proj!AX1438)/((1-tech_proj!AX598)*tech_proj!AX878*$L$110))</f>
        <v>57.000311701597155</v>
      </c>
    </row>
    <row r="819" spans="1:50" x14ac:dyDescent="0.25">
      <c r="A819" s="356"/>
      <c r="B819" s="376"/>
      <c r="C819" s="361" t="s">
        <v>14</v>
      </c>
      <c r="D819" s="58" t="s">
        <v>7</v>
      </c>
      <c r="E819" s="164" t="str">
        <f>A799&amp;"/"&amp;B815&amp;"/"&amp;C819&amp;"/"&amp;D819</f>
        <v>Fuel oil fired power plants/Steam turbine/CHP/L</v>
      </c>
      <c r="F819" s="78" t="str">
        <f>A799</f>
        <v>Fuel oil fired power plants</v>
      </c>
      <c r="G819" s="78" t="str">
        <f>B815</f>
        <v>Steam turbine</v>
      </c>
      <c r="H819" s="78" t="str">
        <f>C819</f>
        <v>CHP</v>
      </c>
      <c r="I819" s="165" t="str">
        <f t="shared" ref="I819:I882" si="365">D819</f>
        <v>L</v>
      </c>
      <c r="J819" s="71">
        <f>IF(tech_base!$T195&gt;J$625,"",(1000*tech_proj!J1159*(-PMT($J$110,tech_base!$F195,1))+1000*tech_proj!J1439)/((1-tech_proj!J599)*tech_proj!J879*$L$110))</f>
        <v>52.254351864550983</v>
      </c>
      <c r="K819" s="71">
        <f>IF(tech_base!$T195&gt;K$625,"",(1000*tech_proj!K1159*(-PMT($J$110,tech_base!$F195,1))+1000*tech_proj!K1439)/((1-tech_proj!K599)*tech_proj!K879*$L$110))</f>
        <v>52.334925178637697</v>
      </c>
      <c r="L819" s="71">
        <f>IF(tech_base!$T195&gt;L$625,"",(1000*tech_proj!L1159*(-PMT($J$110,tech_base!$F195,1))+1000*tech_proj!L1439)/((1-tech_proj!L599)*tech_proj!L879*$L$110))</f>
        <v>52.415943645326699</v>
      </c>
      <c r="M819" s="71">
        <f>IF(tech_base!$T195&gt;M$625,"",(1000*tech_proj!M1159*(-PMT($J$110,tech_base!$F195,1))+1000*tech_proj!M1439)/((1-tech_proj!M599)*tech_proj!M879*$L$110))</f>
        <v>52.497299017865764</v>
      </c>
      <c r="N819" s="71">
        <f>IF(tech_base!$T195&gt;N$625,"",(1000*tech_proj!N1159*(-PMT($J$110,tech_base!$F195,1))+1000*tech_proj!N1439)/((1-tech_proj!N599)*tech_proj!N879*$L$110))</f>
        <v>52.578881708498578</v>
      </c>
      <c r="O819" s="71">
        <f>IF(tech_base!$T195&gt;O$625,"",(1000*tech_proj!O1159*(-PMT($J$110,tech_base!$F195,1))+1000*tech_proj!O1439)/((1-tech_proj!O599)*tech_proj!O879*$L$110))</f>
        <v>52.66058137000924</v>
      </c>
      <c r="P819" s="71">
        <f>IF(tech_base!$T195&gt;P$625,"",(1000*tech_proj!P1159*(-PMT($J$110,tech_base!$F195,1))+1000*tech_proj!P1439)/((1-tech_proj!P599)*tech_proj!P879*$L$110))</f>
        <v>52.7422874824017</v>
      </c>
      <c r="Q819" s="71">
        <f>IF(tech_base!$T195&gt;Q$625,"",(1000*tech_proj!Q1159*(-PMT($J$110,tech_base!$F195,1))+1000*tech_proj!Q1439)/((1-tech_proj!Q599)*tech_proj!Q879*$L$110))</f>
        <v>52.823889938189062</v>
      </c>
      <c r="R819" s="71">
        <f>IF(tech_base!$T195&gt;R$625,"",(1000*tech_proj!R1159*(-PMT($J$110,tech_base!$F195,1))+1000*tech_proj!R1439)/((1-tech_proj!R599)*tech_proj!R879*$L$110))</f>
        <v>52.905279619835852</v>
      </c>
      <c r="S819" s="71">
        <f>IF(tech_base!$T195&gt;S$625,"",(1000*tech_proj!S1159*(-PMT($J$110,tech_base!$F195,1))+1000*tech_proj!S1439)/((1-tech_proj!S599)*tech_proj!S879*$L$110))</f>
        <v>52.986348963085966</v>
      </c>
      <c r="T819" s="71">
        <f>IF(tech_base!$T195&gt;T$625,"",(1000*tech_proj!T1159*(-PMT($J$110,tech_base!$F195,1))+1000*tech_proj!T1439)/((1-tech_proj!T599)*tech_proj!T879*$L$110))</f>
        <v>53.066992500211541</v>
      </c>
      <c r="U819" s="71">
        <f>IF(tech_base!$T195&gt;U$625,"",(1000*tech_proj!U1159*(-PMT($J$110,tech_base!$F195,1))+1000*tech_proj!U1439)/((1-tech_proj!U599)*tech_proj!U879*$L$110))</f>
        <v>53.147107377625545</v>
      </c>
      <c r="V819" s="71">
        <f>IF(tech_base!$T195&gt;V$625,"",(1000*tech_proj!V1159*(-PMT($J$110,tech_base!$F195,1))+1000*tech_proj!V1439)/((1-tech_proj!V599)*tech_proj!V879*$L$110))</f>
        <v>53.226593842801172</v>
      </c>
      <c r="W819" s="71">
        <f>IF(tech_base!$T195&gt;W$625,"",(1000*tech_proj!W1159*(-PMT($J$110,tech_base!$F195,1))+1000*tech_proj!W1439)/((1-tech_proj!W599)*tech_proj!W879*$L$110))</f>
        <v>53.305355696019511</v>
      </c>
      <c r="X819" s="71">
        <f>IF(tech_base!$T195&gt;X$625,"",(1000*tech_proj!X1159*(-PMT($J$110,tech_base!$F195,1))+1000*tech_proj!X1439)/((1-tech_proj!X599)*tech_proj!X879*$L$110))</f>
        <v>53.383300703108496</v>
      </c>
      <c r="Y819" s="71">
        <f>IF(tech_base!$T195&gt;Y$625,"",(1000*tech_proj!Y1159*(-PMT($J$110,tech_base!$F195,1))+1000*tech_proj!Y1439)/((1-tech_proj!Y599)*tech_proj!Y879*$L$110))</f>
        <v>53.460340966022869</v>
      </c>
      <c r="Z819" s="71">
        <f>IF(tech_base!$T195&gt;Z$625,"",(1000*tech_proj!Z1159*(-PMT($J$110,tech_base!$F195,1))+1000*tech_proj!Z1439)/((1-tech_proj!Z599)*tech_proj!Z879*$L$110))</f>
        <v>53.536393248829569</v>
      </c>
      <c r="AA819" s="71">
        <f>IF(tech_base!$T195&gt;AA$625,"",(1000*tech_proj!AA1159*(-PMT($J$110,tech_base!$F195,1))+1000*tech_proj!AA1439)/((1-tech_proj!AA599)*tech_proj!AA879*$L$110))</f>
        <v>53.6113792573898</v>
      </c>
      <c r="AB819" s="71">
        <f>IF(tech_base!$T195&gt;AB$625,"",(1000*tech_proj!AB1159*(-PMT($J$110,tech_base!$F195,1))+1000*tech_proj!AB1439)/((1-tech_proj!AB599)*tech_proj!AB879*$L$110))</f>
        <v>53.685225871748266</v>
      </c>
      <c r="AC819" s="71">
        <f>IF(tech_base!$T195&gt;AC$625,"",(1000*tech_proj!AC1159*(-PMT($J$110,tech_base!$F195,1))+1000*tech_proj!AC1439)/((1-tech_proj!AC599)*tech_proj!AC879*$L$110))</f>
        <v>53.757865330939808</v>
      </c>
      <c r="AD819" s="71">
        <f>IF(tech_base!$T195&gt;AD$625,"",(1000*tech_proj!AD1159*(-PMT($J$110,tech_base!$F195,1))+1000*tech_proj!AD1439)/((1-tech_proj!AD599)*tech_proj!AD879*$L$110))</f>
        <v>53.829235370587384</v>
      </c>
      <c r="AE819" s="71">
        <f>IF(tech_base!$T195&gt;AE$625,"",(1000*tech_proj!AE1159*(-PMT($J$110,tech_base!$F195,1))+1000*tech_proj!AE1439)/((1-tech_proj!AE599)*tech_proj!AE879*$L$110))</f>
        <v>53.899279314282033</v>
      </c>
      <c r="AF819" s="71">
        <f>IF(tech_base!$T195&gt;AF$625,"",(1000*tech_proj!AF1159*(-PMT($J$110,tech_base!$F195,1))+1000*tech_proj!AF1439)/((1-tech_proj!AF599)*tech_proj!AF879*$L$110))</f>
        <v>53.967946120295466</v>
      </c>
      <c r="AG819" s="71">
        <f>IF(tech_base!$T195&gt;AG$625,"",(1000*tech_proj!AG1159*(-PMT($J$110,tech_base!$F195,1))+1000*tech_proj!AG1439)/((1-tech_proj!AG599)*tech_proj!AG879*$L$110))</f>
        <v>54.035190385671129</v>
      </c>
      <c r="AH819" s="71">
        <f>IF(tech_base!$T195&gt;AH$625,"",(1000*tech_proj!AH1159*(-PMT($J$110,tech_base!$F195,1))+1000*tech_proj!AH1439)/((1-tech_proj!AH599)*tech_proj!AH879*$L$110))</f>
        <v>54.100972310164572</v>
      </c>
      <c r="AI819" s="71">
        <f>IF(tech_base!$T195&gt;AI$625,"",(1000*tech_proj!AI1159*(-PMT($J$110,tech_base!$F195,1))+1000*tech_proj!AI1439)/((1-tech_proj!AI599)*tech_proj!AI879*$L$110))</f>
        <v>54.165257622856224</v>
      </c>
      <c r="AJ819" s="71">
        <f>IF(tech_base!$T195&gt;AJ$625,"",(1000*tech_proj!AJ1159*(-PMT($J$110,tech_base!$F195,1))+1000*tech_proj!AJ1439)/((1-tech_proj!AJ599)*tech_proj!AJ879*$L$110))</f>
        <v>54.22801747453758</v>
      </c>
      <c r="AK819" s="71">
        <f>IF(tech_base!$T195&gt;AK$625,"",(1000*tech_proj!AK1159*(-PMT($J$110,tech_base!$F195,1))+1000*tech_proj!AK1439)/((1-tech_proj!AK599)*tech_proj!AK879*$L$110))</f>
        <v>54.289228299176536</v>
      </c>
      <c r="AL819" s="71">
        <f>IF(tech_base!$T195&gt;AL$625,"",(1000*tech_proj!AL1159*(-PMT($J$110,tech_base!$F195,1))+1000*tech_proj!AL1439)/((1-tech_proj!AL599)*tech_proj!AL879*$L$110))</f>
        <v>54.348871647901994</v>
      </c>
      <c r="AM819" s="71">
        <f>IF(tech_base!$T195&gt;AM$625,"",(1000*tech_proj!AM1159*(-PMT($J$110,tech_base!$F195,1))+1000*tech_proj!AM1439)/((1-tech_proj!AM599)*tech_proj!AM879*$L$110))</f>
        <v>54.406933999015131</v>
      </c>
      <c r="AN819" s="71">
        <f>IF(tech_base!$T195&gt;AN$625,"",(1000*tech_proj!AN1159*(-PMT($J$110,tech_base!$F195,1))+1000*tech_proj!AN1439)/((1-tech_proj!AN599)*tech_proj!AN879*$L$110))</f>
        <v>54.463406547541616</v>
      </c>
      <c r="AO819" s="71">
        <f>IF(tech_base!$T195&gt;AO$625,"",(1000*tech_proj!AO1159*(-PMT($J$110,tech_base!$F195,1))+1000*tech_proj!AO1439)/((1-tech_proj!AO599)*tech_proj!AO879*$L$110))</f>
        <v>54.518284977789904</v>
      </c>
      <c r="AP819" s="71">
        <f>IF(tech_base!$T195&gt;AP$625,"",(1000*tech_proj!AP1159*(-PMT($J$110,tech_base!$F195,1))+1000*tech_proj!AP1439)/((1-tech_proj!AP599)*tech_proj!AP879*$L$110))</f>
        <v>54.571569222283529</v>
      </c>
      <c r="AQ819" s="71">
        <f>IF(tech_base!$T195&gt;AQ$625,"",(1000*tech_proj!AQ1159*(-PMT($J$110,tech_base!$F195,1))+1000*tech_proj!AQ1439)/((1-tech_proj!AQ599)*tech_proj!AQ879*$L$110))</f>
        <v>54.623263210296685</v>
      </c>
      <c r="AR819" s="71">
        <f>IF(tech_base!$T195&gt;AR$625,"",(1000*tech_proj!AR1159*(-PMT($J$110,tech_base!$F195,1))+1000*tech_proj!AR1439)/((1-tech_proj!AR599)*tech_proj!AR879*$L$110))</f>
        <v>54.673374609048864</v>
      </c>
      <c r="AS819" s="71">
        <f>IF(tech_base!$T195&gt;AS$625,"",(1000*tech_proj!AS1159*(-PMT($J$110,tech_base!$F195,1))+1000*tech_proj!AS1439)/((1-tech_proj!AS599)*tech_proj!AS879*$L$110))</f>
        <v>54.721914560414575</v>
      </c>
      <c r="AT819" s="71">
        <f>IF(tech_base!$T195&gt;AT$625,"",(1000*tech_proj!AT1159*(-PMT($J$110,tech_base!$F195,1))+1000*tech_proj!AT1439)/((1-tech_proj!AT599)*tech_proj!AT879*$L$110))</f>
        <v>54.768897415782916</v>
      </c>
      <c r="AU819" s="71">
        <f>IF(tech_base!$T195&gt;AU$625,"",(1000*tech_proj!AU1159*(-PMT($J$110,tech_base!$F195,1))+1000*tech_proj!AU1439)/((1-tech_proj!AU599)*tech_proj!AU879*$L$110))</f>
        <v>54.814340471466387</v>
      </c>
      <c r="AV819" s="71">
        <f>IF(tech_base!$T195&gt;AV$625,"",(1000*tech_proj!AV1159*(-PMT($J$110,tech_base!$F195,1))+1000*tech_proj!AV1439)/((1-tech_proj!AV599)*tech_proj!AV879*$L$110))</f>
        <v>54.858263706816253</v>
      </c>
      <c r="AW819" s="71">
        <f>IF(tech_base!$T195&gt;AW$625,"",(1000*tech_proj!AW1159*(-PMT($J$110,tech_base!$F195,1))+1000*tech_proj!AW1439)/((1-tech_proj!AW599)*tech_proj!AW879*$L$110))</f>
        <v>54.900689526953798</v>
      </c>
      <c r="AX819" s="237">
        <f>IF(tech_base!$T195&gt;AX$625,"",(1000*tech_proj!AX1159*(-PMT($J$110,tech_base!$F195,1))+1000*tech_proj!AX1439)/((1-tech_proj!AX599)*tech_proj!AX879*$L$110))</f>
        <v>54.941642511783542</v>
      </c>
    </row>
    <row r="820" spans="1:50" x14ac:dyDescent="0.25">
      <c r="A820" s="356"/>
      <c r="B820" s="376"/>
      <c r="C820" s="378"/>
      <c r="D820" s="2" t="s">
        <v>8</v>
      </c>
      <c r="E820" s="160" t="str">
        <f>A799&amp;"/"&amp;B815&amp;"/"&amp;C819&amp;"/"&amp;D820</f>
        <v>Fuel oil fired power plants/Steam turbine/CHP/M</v>
      </c>
      <c r="F820" s="76" t="str">
        <f>A799</f>
        <v>Fuel oil fired power plants</v>
      </c>
      <c r="G820" s="76" t="str">
        <f>B815</f>
        <v>Steam turbine</v>
      </c>
      <c r="H820" s="76" t="str">
        <f>C819</f>
        <v>CHP</v>
      </c>
      <c r="I820" s="161" t="str">
        <f t="shared" si="365"/>
        <v>M</v>
      </c>
      <c r="J820" s="69">
        <f>IF(tech_base!$T196&gt;J$625,"",(1000*tech_proj!J1160*(-PMT($J$110,tech_base!$F196,1))+1000*tech_proj!J1440)/((1-tech_proj!J600)*tech_proj!J880*$L$110))</f>
        <v>55.467740781534538</v>
      </c>
      <c r="K820" s="69">
        <f>IF(tech_base!$T196&gt;K$625,"",(1000*tech_proj!K1160*(-PMT($J$110,tech_base!$F196,1))+1000*tech_proj!K1440)/((1-tech_proj!K600)*tech_proj!K880*$L$110))</f>
        <v>55.553268963211266</v>
      </c>
      <c r="L820" s="69">
        <f>IF(tech_base!$T196&gt;L$625,"",(1000*tech_proj!L1160*(-PMT($J$110,tech_base!$F196,1))+1000*tech_proj!L1440)/((1-tech_proj!L600)*tech_proj!L880*$L$110))</f>
        <v>55.639269672213878</v>
      </c>
      <c r="M820" s="69">
        <f>IF(tech_base!$T196&gt;M$625,"",(1000*tech_proj!M1160*(-PMT($J$110,tech_base!$F196,1))+1000*tech_proj!M1440)/((1-tech_proj!M600)*tech_proj!M880*$L$110))</f>
        <v>55.725628005140472</v>
      </c>
      <c r="N820" s="69">
        <f>IF(tech_base!$T196&gt;N$625,"",(1000*tech_proj!N1160*(-PMT($J$110,tech_base!$F196,1))+1000*tech_proj!N1440)/((1-tech_proj!N600)*tech_proj!N880*$L$110))</f>
        <v>55.812227635119825</v>
      </c>
      <c r="O820" s="69">
        <f>IF(tech_base!$T196&gt;O$625,"",(1000*tech_proj!O1160*(-PMT($J$110,tech_base!$F196,1))+1000*tech_proj!O1440)/((1-tech_proj!O600)*tech_proj!O880*$L$110))</f>
        <v>55.89895142911805</v>
      </c>
      <c r="P820" s="69">
        <f>IF(tech_base!$T196&gt;P$625,"",(1000*tech_proj!P1160*(-PMT($J$110,tech_base!$F196,1))+1000*tech_proj!P1440)/((1-tech_proj!P600)*tech_proj!P880*$L$110))</f>
        <v>55.985682070695994</v>
      </c>
      <c r="Q820" s="69">
        <f>IF(tech_base!$T196&gt;Q$625,"",(1000*tech_proj!Q1160*(-PMT($J$110,tech_base!$F196,1))+1000*tech_proj!Q1440)/((1-tech_proj!Q600)*tech_proj!Q880*$L$110))</f>
        <v>56.072302681290935</v>
      </c>
      <c r="R820" s="69">
        <f>IF(tech_base!$T196&gt;R$625,"",(1000*tech_proj!R1160*(-PMT($J$110,tech_base!$F196,1))+1000*tech_proj!R1440)/((1-tech_proj!R600)*tech_proj!R880*$L$110))</f>
        <v>56.158697433168783</v>
      </c>
      <c r="S820" s="69">
        <f>IF(tech_base!$T196&gt;S$625,"",(1000*tech_proj!S1160*(-PMT($J$110,tech_base!$F196,1))+1000*tech_proj!S1440)/((1-tech_proj!S600)*tech_proj!S880*$L$110))</f>
        <v>56.24475214739396</v>
      </c>
      <c r="T820" s="69">
        <f>IF(tech_base!$T196&gt;T$625,"",(1000*tech_proj!T1160*(-PMT($J$110,tech_base!$F196,1))+1000*tech_proj!T1440)/((1-tech_proj!T600)*tech_proj!T880*$L$110))</f>
        <v>56.330354870485472</v>
      </c>
      <c r="U820" s="69">
        <f>IF(tech_base!$T196&gt;U$625,"",(1000*tech_proj!U1160*(-PMT($J$110,tech_base!$F196,1))+1000*tech_proj!U1440)/((1-tech_proj!U600)*tech_proj!U880*$L$110))</f>
        <v>56.415396423860081</v>
      </c>
      <c r="V820" s="69">
        <f>IF(tech_base!$T196&gt;V$625,"",(1000*tech_proj!V1160*(-PMT($J$110,tech_base!$F196,1))+1000*tech_proj!V1440)/((1-tech_proj!V600)*tech_proj!V880*$L$110))</f>
        <v>56.499770920694914</v>
      </c>
      <c r="W820" s="69">
        <f>IF(tech_base!$T196&gt;W$625,"",(1000*tech_proj!W1160*(-PMT($J$110,tech_base!$F196,1))+1000*tech_proj!W1440)/((1-tech_proj!W600)*tech_proj!W880*$L$110))</f>
        <v>56.583376245455476</v>
      </c>
      <c r="X820" s="69">
        <f>IF(tech_base!$T196&gt;X$625,"",(1000*tech_proj!X1160*(-PMT($J$110,tech_base!$F196,1))+1000*tech_proj!X1440)/((1-tech_proj!X600)*tech_proj!X880*$L$110))</f>
        <v>56.66611449201595</v>
      </c>
      <c r="Y820" s="69">
        <f>IF(tech_base!$T196&gt;Y$625,"",(1000*tech_proj!Y1160*(-PMT($J$110,tech_base!$F196,1))+1000*tech_proj!Y1440)/((1-tech_proj!Y600)*tech_proj!Y880*$L$110))</f>
        <v>56.747892357028071</v>
      </c>
      <c r="Z820" s="69">
        <f>IF(tech_base!$T196&gt;Z$625,"",(1000*tech_proj!Z1160*(-PMT($J$110,tech_base!$F196,1))+1000*tech_proj!Z1440)/((1-tech_proj!Z600)*tech_proj!Z880*$L$110))</f>
        <v>56.828621485953079</v>
      </c>
      <c r="AA820" s="69">
        <f>IF(tech_base!$T196&gt;AA$625,"",(1000*tech_proj!AA1160*(-PMT($J$110,tech_base!$F196,1))+1000*tech_proj!AA1440)/((1-tech_proj!AA600)*tech_proj!AA880*$L$110))</f>
        <v>56.908218769942785</v>
      </c>
      <c r="AB820" s="69">
        <f>IF(tech_base!$T196&gt;AB$625,"",(1000*tech_proj!AB1160*(-PMT($J$110,tech_base!$F196,1))+1000*tech_proj!AB1440)/((1-tech_proj!AB600)*tech_proj!AB880*$L$110))</f>
        <v>56.986606592519692</v>
      </c>
      <c r="AC820" s="69">
        <f>IF(tech_base!$T196&gt;AC$625,"",(1000*tech_proj!AC1160*(-PMT($J$110,tech_base!$F196,1))+1000*tech_proj!AC1440)/((1-tech_proj!AC600)*tech_proj!AC880*$L$110))</f>
        <v>57.063713025748292</v>
      </c>
      <c r="AD820" s="69">
        <f>IF(tech_base!$T196&gt;AD$625,"",(1000*tech_proj!AD1160*(-PMT($J$110,tech_base!$F196,1))+1000*tech_proj!AD1440)/((1-tech_proj!AD600)*tech_proj!AD880*$L$110))</f>
        <v>57.139471976294672</v>
      </c>
      <c r="AE820" s="69">
        <f>IF(tech_base!$T196&gt;AE$625,"",(1000*tech_proj!AE1160*(-PMT($J$110,tech_base!$F196,1))+1000*tech_proj!AE1440)/((1-tech_proj!AE600)*tech_proj!AE880*$L$110))</f>
        <v>57.213823282425921</v>
      </c>
      <c r="AF820" s="69">
        <f>IF(tech_base!$T196&gt;AF$625,"",(1000*tech_proj!AF1160*(-PMT($J$110,tech_base!$F196,1))+1000*tech_proj!AF1440)/((1-tech_proj!AF600)*tech_proj!AF880*$L$110))</f>
        <v>57.286712763595283</v>
      </c>
      <c r="AG820" s="69">
        <f>IF(tech_base!$T196&gt;AG$625,"",(1000*tech_proj!AG1160*(-PMT($J$110,tech_base!$F196,1))+1000*tech_proj!AG1440)/((1-tech_proj!AG600)*tech_proj!AG880*$L$110))</f>
        <v>57.358092224784855</v>
      </c>
      <c r="AH820" s="69">
        <f>IF(tech_base!$T196&gt;AH$625,"",(1000*tech_proj!AH1160*(-PMT($J$110,tech_base!$F196,1))+1000*tech_proj!AH1440)/((1-tech_proj!AH600)*tech_proj!AH880*$L$110))</f>
        <v>57.427919418228399</v>
      </c>
      <c r="AI820" s="69">
        <f>IF(tech_base!$T196&gt;AI$625,"",(1000*tech_proj!AI1160*(-PMT($J$110,tech_base!$F196,1))+1000*tech_proj!AI1440)/((1-tech_proj!AI600)*tech_proj!AI880*$L$110))</f>
        <v>57.496157965511188</v>
      </c>
      <c r="AJ820" s="69">
        <f>IF(tech_base!$T196&gt;AJ$625,"",(1000*tech_proj!AJ1160*(-PMT($J$110,tech_base!$F196,1))+1000*tech_proj!AJ1440)/((1-tech_proj!AJ600)*tech_proj!AJ880*$L$110))</f>
        <v>57.562777243338459</v>
      </c>
      <c r="AK820" s="69">
        <f>IF(tech_base!$T196&gt;AK$625,"",(1000*tech_proj!AK1160*(-PMT($J$110,tech_base!$F196,1))+1000*tech_proj!AK1440)/((1-tech_proj!AK600)*tech_proj!AK880*$L$110))</f>
        <v>57.627752236481591</v>
      </c>
      <c r="AL820" s="69">
        <f>IF(tech_base!$T196&gt;AL$625,"",(1000*tech_proj!AL1160*(-PMT($J$110,tech_base!$F196,1))+1000*tech_proj!AL1440)/((1-tech_proj!AL600)*tech_proj!AL880*$L$110))</f>
        <v>57.691063361553468</v>
      </c>
      <c r="AM820" s="69">
        <f>IF(tech_base!$T196&gt;AM$625,"",(1000*tech_proj!AM1160*(-PMT($J$110,tech_base!$F196,1))+1000*tech_proj!AM1440)/((1-tech_proj!AM600)*tech_proj!AM880*$L$110))</f>
        <v>57.752696265336446</v>
      </c>
      <c r="AN820" s="69">
        <f>IF(tech_base!$T196&gt;AN$625,"",(1000*tech_proj!AN1160*(-PMT($J$110,tech_base!$F196,1))+1000*tech_proj!AN1440)/((1-tech_proj!AN600)*tech_proj!AN880*$L$110))</f>
        <v>57.812641601393025</v>
      </c>
      <c r="AO820" s="69">
        <f>IF(tech_base!$T196&gt;AO$625,"",(1000*tech_proj!AO1160*(-PMT($J$110,tech_base!$F196,1))+1000*tech_proj!AO1440)/((1-tech_proj!AO600)*tech_proj!AO880*$L$110))</f>
        <v>57.870894788637592</v>
      </c>
      <c r="AP820" s="69">
        <f>IF(tech_base!$T196&gt;AP$625,"",(1000*tech_proj!AP1160*(-PMT($J$110,tech_base!$F196,1))+1000*tech_proj!AP1440)/((1-tech_proj!AP600)*tech_proj!AP880*$L$110))</f>
        <v>57.927455755444221</v>
      </c>
      <c r="AQ820" s="69">
        <f>IF(tech_base!$T196&gt;AQ$625,"",(1000*tech_proj!AQ1160*(-PMT($J$110,tech_base!$F196,1))+1000*tech_proj!AQ1440)/((1-tech_proj!AQ600)*tech_proj!AQ880*$L$110))</f>
        <v>57.982328672718367</v>
      </c>
      <c r="AR820" s="69">
        <f>IF(tech_base!$T196&gt;AR$625,"",(1000*tech_proj!AR1160*(-PMT($J$110,tech_base!$F196,1))+1000*tech_proj!AR1440)/((1-tech_proj!AR600)*tech_proj!AR880*$L$110))</f>
        <v>58.035521679176284</v>
      </c>
      <c r="AS820" s="69">
        <f>IF(tech_base!$T196&gt;AS$625,"",(1000*tech_proj!AS1160*(-PMT($J$110,tech_base!$F196,1))+1000*tech_proj!AS1440)/((1-tech_proj!AS600)*tech_proj!AS880*$L$110))</f>
        <v>58.087046601863712</v>
      </c>
      <c r="AT820" s="69">
        <f>IF(tech_base!$T196&gt;AT$625,"",(1000*tech_proj!AT1160*(-PMT($J$110,tech_base!$F196,1))+1000*tech_proj!AT1440)/((1-tech_proj!AT600)*tech_proj!AT880*$L$110))</f>
        <v>58.136918674710429</v>
      </c>
      <c r="AU820" s="69">
        <f>IF(tech_base!$T196&gt;AU$625,"",(1000*tech_proj!AU1160*(-PMT($J$110,tech_base!$F196,1))+1000*tech_proj!AU1440)/((1-tech_proj!AU600)*tech_proj!AU880*$L$110))</f>
        <v>58.185156257668226</v>
      </c>
      <c r="AV820" s="69">
        <f>IF(tech_base!$T196&gt;AV$625,"",(1000*tech_proj!AV1160*(-PMT($J$110,tech_base!$F196,1))+1000*tech_proj!AV1440)/((1-tech_proj!AV600)*tech_proj!AV880*$L$110))</f>
        <v>58.231780558721411</v>
      </c>
      <c r="AW820" s="69">
        <f>IF(tech_base!$T196&gt;AW$625,"",(1000*tech_proj!AW1160*(-PMT($J$110,tech_base!$F196,1))+1000*tech_proj!AW1440)/((1-tech_proj!AW600)*tech_proj!AW880*$L$110))</f>
        <v>58.276815360797492</v>
      </c>
      <c r="AX820" s="235">
        <f>IF(tech_base!$T196&gt;AX$625,"",(1000*tech_proj!AX1160*(-PMT($J$110,tech_base!$F196,1))+1000*tech_proj!AX1440)/((1-tech_proj!AX600)*tech_proj!AX880*$L$110))</f>
        <v>58.32028675534572</v>
      </c>
    </row>
    <row r="821" spans="1:50" x14ac:dyDescent="0.25">
      <c r="A821" s="356"/>
      <c r="B821" s="376"/>
      <c r="C821" s="378"/>
      <c r="D821" s="2" t="s">
        <v>10</v>
      </c>
      <c r="E821" s="160" t="str">
        <f>A799&amp;"/"&amp;B815&amp;"/"&amp;C819&amp;"/"&amp;D821</f>
        <v>Fuel oil fired power plants/Steam turbine/CHP/S</v>
      </c>
      <c r="F821" s="76" t="str">
        <f>A799</f>
        <v>Fuel oil fired power plants</v>
      </c>
      <c r="G821" s="76" t="str">
        <f>B815</f>
        <v>Steam turbine</v>
      </c>
      <c r="H821" s="76" t="str">
        <f>C819</f>
        <v>CHP</v>
      </c>
      <c r="I821" s="161" t="str">
        <f t="shared" si="365"/>
        <v>S</v>
      </c>
      <c r="J821" s="69">
        <f>IF(tech_base!$T197&gt;J$625,"",(1000*tech_proj!J1161*(-PMT($J$110,tech_base!$F197,1))+1000*tech_proj!J1441)/((1-tech_proj!J601)*tech_proj!J881*$L$110))</f>
        <v>70.167071160068232</v>
      </c>
      <c r="K821" s="69">
        <f>IF(tech_base!$T197&gt;K$625,"",(1000*tech_proj!K1161*(-PMT($J$110,tech_base!$F197,1))+1000*tech_proj!K1441)/((1-tech_proj!K601)*tech_proj!K881*$L$110))</f>
        <v>70.275264894396415</v>
      </c>
      <c r="L821" s="69">
        <f>IF(tech_base!$T197&gt;L$625,"",(1000*tech_proj!L1161*(-PMT($J$110,tech_base!$F197,1))+1000*tech_proj!L1441)/((1-tech_proj!L601)*tech_proj!L881*$L$110))</f>
        <v>70.384056379021132</v>
      </c>
      <c r="M821" s="69">
        <f>IF(tech_base!$T197&gt;M$625,"",(1000*tech_proj!M1161*(-PMT($J$110,tech_base!$F197,1))+1000*tech_proj!M1441)/((1-tech_proj!M601)*tech_proj!M881*$L$110))</f>
        <v>70.49330026035372</v>
      </c>
      <c r="N821" s="69">
        <f>IF(tech_base!$T197&gt;N$625,"",(1000*tech_proj!N1161*(-PMT($J$110,tech_base!$F197,1))+1000*tech_proj!N1441)/((1-tech_proj!N601)*tech_proj!N881*$L$110))</f>
        <v>70.602849384107131</v>
      </c>
      <c r="O821" s="69">
        <f>IF(tech_base!$T197&gt;O$625,"",(1000*tech_proj!O1161*(-PMT($J$110,tech_base!$F197,1))+1000*tech_proj!O1441)/((1-tech_proj!O601)*tech_proj!O881*$L$110))</f>
        <v>70.712555576192926</v>
      </c>
      <c r="P821" s="69">
        <f>IF(tech_base!$T197&gt;P$625,"",(1000*tech_proj!P1161*(-PMT($J$110,tech_base!$F197,1))+1000*tech_proj!P1441)/((1-tech_proj!P601)*tech_proj!P881*$L$110))</f>
        <v>70.822270430513854</v>
      </c>
      <c r="Q821" s="69">
        <f>IF(tech_base!$T197&gt;Q$625,"",(1000*tech_proj!Q1161*(-PMT($J$110,tech_base!$F197,1))+1000*tech_proj!Q1441)/((1-tech_proj!Q601)*tech_proj!Q881*$L$110))</f>
        <v>70.931846094889337</v>
      </c>
      <c r="R821" s="69">
        <f>IF(tech_base!$T197&gt;R$625,"",(1000*tech_proj!R1161*(-PMT($J$110,tech_base!$F197,1))+1000*tech_proj!R1441)/((1-tech_proj!R601)*tech_proj!R881*$L$110))</f>
        <v>71.041136046444166</v>
      </c>
      <c r="S821" s="69">
        <f>IF(tech_base!$T197&gt;S$625,"",(1000*tech_proj!S1161*(-PMT($J$110,tech_base!$F197,1))+1000*tech_proj!S1441)/((1-tech_proj!S601)*tech_proj!S881*$L$110))</f>
        <v>71.149995848044526</v>
      </c>
      <c r="T821" s="69">
        <f>IF(tech_base!$T197&gt;T$625,"",(1000*tech_proj!T1161*(-PMT($J$110,tech_base!$F197,1))+1000*tech_proj!T1441)/((1-tech_proj!T601)*tech_proj!T881*$L$110))</f>
        <v>71.258283877771831</v>
      </c>
      <c r="U821" s="69">
        <f>IF(tech_base!$T197&gt;U$625,"",(1000*tech_proj!U1161*(-PMT($J$110,tech_base!$F197,1))+1000*tech_proj!U1441)/((1-tech_proj!U601)*tech_proj!U881*$L$110))</f>
        <v>71.365862023972184</v>
      </c>
      <c r="V821" s="69">
        <f>IF(tech_base!$T197&gt;V$625,"",(1000*tech_proj!V1161*(-PMT($J$110,tech_base!$F197,1))+1000*tech_proj!V1441)/((1-tech_proj!V601)*tech_proj!V881*$L$110))</f>
        <v>71.472596339091012</v>
      </c>
      <c r="W821" s="69">
        <f>IF(tech_base!$T197&gt;W$625,"",(1000*tech_proj!W1161*(-PMT($J$110,tech_base!$F197,1))+1000*tech_proj!W1441)/((1-tech_proj!W601)*tech_proj!W881*$L$110))</f>
        <v>71.578357646279258</v>
      </c>
      <c r="X821" s="69">
        <f>IF(tech_base!$T197&gt;X$625,"",(1000*tech_proj!X1161*(-PMT($J$110,tech_base!$F197,1))+1000*tech_proj!X1441)/((1-tech_proj!X601)*tech_proj!X881*$L$110))</f>
        <v>71.683022093618732</v>
      </c>
      <c r="Y821" s="69">
        <f>IF(tech_base!$T197&gt;Y$625,"",(1000*tech_proj!Y1161*(-PMT($J$110,tech_base!$F197,1))+1000*tech_proj!Y1441)/((1-tech_proj!Y601)*tech_proj!Y881*$L$110))</f>
        <v>71.786471651736193</v>
      </c>
      <c r="Z821" s="69">
        <f>IF(tech_base!$T197&gt;Z$625,"",(1000*tech_proj!Z1161*(-PMT($J$110,tech_base!$F197,1))+1000*tech_proj!Z1441)/((1-tech_proj!Z601)*tech_proj!Z881*$L$110))</f>
        <v>71.888594551536301</v>
      </c>
      <c r="AA821" s="69">
        <f>IF(tech_base!$T197&gt;AA$625,"",(1000*tech_proj!AA1161*(-PMT($J$110,tech_base!$F197,1))+1000*tech_proj!AA1441)/((1-tech_proj!AA601)*tech_proj!AA881*$L$110))</f>
        <v>71.989285659758139</v>
      </c>
      <c r="AB821" s="69">
        <f>IF(tech_base!$T197&gt;AB$625,"",(1000*tech_proj!AB1161*(-PMT($J$110,tech_base!$F197,1))+1000*tech_proj!AB1441)/((1-tech_proj!AB601)*tech_proj!AB881*$L$110))</f>
        <v>72.088446791027209</v>
      </c>
      <c r="AC821" s="69">
        <f>IF(tech_base!$T197&gt;AC$625,"",(1000*tech_proj!AC1161*(-PMT($J$110,tech_base!$F197,1))+1000*tech_proj!AC1441)/((1-tech_proj!AC601)*tech_proj!AC881*$L$110))</f>
        <v>72.185986956013537</v>
      </c>
      <c r="AD821" s="69">
        <f>IF(tech_base!$T197&gt;AD$625,"",(1000*tech_proj!AD1161*(-PMT($J$110,tech_base!$F197,1))+1000*tech_proj!AD1441)/((1-tech_proj!AD601)*tech_proj!AD881*$L$110))</f>
        <v>72.281822546198057</v>
      </c>
      <c r="AE821" s="69">
        <f>IF(tech_base!$T197&gt;AE$625,"",(1000*tech_proj!AE1161*(-PMT($J$110,tech_base!$F197,1))+1000*tech_proj!AE1441)/((1-tech_proj!AE601)*tech_proj!AE881*$L$110))</f>
        <v>72.375877456577442</v>
      </c>
      <c r="AF821" s="69">
        <f>IF(tech_base!$T197&gt;AF$625,"",(1000*tech_proj!AF1161*(-PMT($J$110,tech_base!$F197,1))+1000*tech_proj!AF1441)/((1-tech_proj!AF601)*tech_proj!AF881*$L$110))</f>
        <v>72.468083148389837</v>
      </c>
      <c r="AG821" s="69">
        <f>IF(tech_base!$T197&gt;AG$625,"",(1000*tech_proj!AG1161*(-PMT($J$110,tech_base!$F197,1))+1000*tech_proj!AG1441)/((1-tech_proj!AG601)*tech_proj!AG881*$L$110))</f>
        <v>72.558378654608163</v>
      </c>
      <c r="AH821" s="69">
        <f>IF(tech_base!$T197&gt;AH$625,"",(1000*tech_proj!AH1161*(-PMT($J$110,tech_base!$F197,1))+1000*tech_proj!AH1441)/((1-tech_proj!AH601)*tech_proj!AH881*$L$110))</f>
        <v>72.646710531519446</v>
      </c>
      <c r="AI821" s="69">
        <f>IF(tech_base!$T197&gt;AI$625,"",(1000*tech_proj!AI1161*(-PMT($J$110,tech_base!$F197,1))+1000*tech_proj!AI1441)/((1-tech_proj!AI601)*tech_proj!AI881*$L$110))</f>
        <v>72.733032760180421</v>
      </c>
      <c r="AJ821" s="69">
        <f>IF(tech_base!$T197&gt;AJ$625,"",(1000*tech_proj!AJ1161*(-PMT($J$110,tech_base!$F197,1))+1000*tech_proj!AJ1441)/((1-tech_proj!AJ601)*tech_proj!AJ881*$L$110))</f>
        <v>72.817306601913941</v>
      </c>
      <c r="AK821" s="69">
        <f>IF(tech_base!$T197&gt;AK$625,"",(1000*tech_proj!AK1161*(-PMT($J$110,tech_base!$F197,1))+1000*tech_proj!AK1441)/((1-tech_proj!AK601)*tech_proj!AK881*$L$110))</f>
        <v>72.899500412284809</v>
      </c>
      <c r="AL821" s="69">
        <f>IF(tech_base!$T197&gt;AL$625,"",(1000*tech_proj!AL1161*(-PMT($J$110,tech_base!$F197,1))+1000*tech_proj!AL1441)/((1-tech_proj!AL601)*tech_proj!AL881*$L$110))</f>
        <v>72.979589418174541</v>
      </c>
      <c r="AM821" s="69">
        <f>IF(tech_base!$T197&gt;AM$625,"",(1000*tech_proj!AM1161*(-PMT($J$110,tech_base!$F197,1))+1000*tech_proj!AM1441)/((1-tech_proj!AM601)*tech_proj!AM881*$L$110))</f>
        <v>73.057555462664709</v>
      </c>
      <c r="AN821" s="69">
        <f>IF(tech_base!$T197&gt;AN$625,"",(1000*tech_proj!AN1161*(-PMT($J$110,tech_base!$F197,1))+1000*tech_proj!AN1441)/((1-tech_proj!AN601)*tech_proj!AN881*$L$110))</f>
        <v>73.133386722447995</v>
      </c>
      <c r="AO821" s="69">
        <f>IF(tech_base!$T197&gt;AO$625,"",(1000*tech_proj!AO1161*(-PMT($J$110,tech_base!$F197,1))+1000*tech_proj!AO1441)/((1-tech_proj!AO601)*tech_proj!AO881*$L$110))</f>
        <v>73.207077402419785</v>
      </c>
      <c r="AP821" s="69">
        <f>IF(tech_base!$T197&gt;AP$625,"",(1000*tech_proj!AP1161*(-PMT($J$110,tech_base!$F197,1))+1000*tech_proj!AP1441)/((1-tech_proj!AP601)*tech_proj!AP881*$L$110))</f>
        <v>73.278627411972806</v>
      </c>
      <c r="AQ821" s="69">
        <f>IF(tech_base!$T197&gt;AQ$625,"",(1000*tech_proj!AQ1161*(-PMT($J$110,tech_base!$F197,1))+1000*tech_proj!AQ1441)/((1-tech_proj!AQ601)*tech_proj!AQ881*$L$110))</f>
        <v>73.348042027330948</v>
      </c>
      <c r="AR821" s="69">
        <f>IF(tech_base!$T197&gt;AR$625,"",(1000*tech_proj!AR1161*(-PMT($J$110,tech_base!$F197,1))+1000*tech_proj!AR1441)/((1-tech_proj!AR601)*tech_proj!AR881*$L$110))</f>
        <v>73.415331544025889</v>
      </c>
      <c r="AS821" s="69">
        <f>IF(tech_base!$T197&gt;AS$625,"",(1000*tech_proj!AS1161*(-PMT($J$110,tech_base!$F197,1))+1000*tech_proj!AS1441)/((1-tech_proj!AS601)*tech_proj!AS881*$L$110))</f>
        <v>73.48051092335136</v>
      </c>
      <c r="AT821" s="69">
        <f>IF(tech_base!$T197&gt;AT$625,"",(1000*tech_proj!AT1161*(-PMT($J$110,tech_base!$F197,1))+1000*tech_proj!AT1441)/((1-tech_proj!AT601)*tech_proj!AT881*$L$110))</f>
        <v>73.543599436332599</v>
      </c>
      <c r="AU821" s="69">
        <f>IF(tech_base!$T197&gt;AU$625,"",(1000*tech_proj!AU1161*(-PMT($J$110,tech_base!$F197,1))+1000*tech_proj!AU1441)/((1-tech_proj!AU601)*tech_proj!AU881*$L$110))</f>
        <v>73.604620308434093</v>
      </c>
      <c r="AV821" s="69">
        <f>IF(tech_base!$T197&gt;AV$625,"",(1000*tech_proj!AV1161*(-PMT($J$110,tech_base!$F197,1))+1000*tech_proj!AV1441)/((1-tech_proj!AV601)*tech_proj!AV881*$L$110))</f>
        <v>73.663600367900969</v>
      </c>
      <c r="AW821" s="69">
        <f>IF(tech_base!$T197&gt;AW$625,"",(1000*tech_proj!AW1161*(-PMT($J$110,tech_base!$F197,1))+1000*tech_proj!AW1441)/((1-tech_proj!AW601)*tech_proj!AW881*$L$110))</f>
        <v>73.720569700298995</v>
      </c>
      <c r="AX821" s="235">
        <f>IF(tech_base!$T197&gt;AX$625,"",(1000*tech_proj!AX1161*(-PMT($J$110,tech_base!$F197,1))+1000*tech_proj!AX1441)/((1-tech_proj!AX601)*tech_proj!AX881*$L$110))</f>
        <v>73.775561311489881</v>
      </c>
    </row>
    <row r="822" spans="1:50" x14ac:dyDescent="0.25">
      <c r="A822" s="356"/>
      <c r="B822" s="376"/>
      <c r="C822" s="379"/>
      <c r="D822" s="59" t="s">
        <v>20</v>
      </c>
      <c r="E822" s="166" t="str">
        <f>A799&amp;"/"&amp;B815&amp;"/"&amp;C819&amp;"/"&amp;D822</f>
        <v>Fuel oil fired power plants/Steam turbine/CHP/XS</v>
      </c>
      <c r="F822" s="79" t="str">
        <f>A799</f>
        <v>Fuel oil fired power plants</v>
      </c>
      <c r="G822" s="79" t="str">
        <f>B815</f>
        <v>Steam turbine</v>
      </c>
      <c r="H822" s="79" t="str">
        <f>C819</f>
        <v>CHP</v>
      </c>
      <c r="I822" s="167" t="str">
        <f t="shared" si="365"/>
        <v>XS</v>
      </c>
      <c r="J822" s="72">
        <f>IF(tech_base!$T198&gt;J$625,"",(1000*tech_proj!J1162*(-PMT($J$110,tech_base!$F198,1))+1000*tech_proj!J1442)/((1-tech_proj!J602)*tech_proj!J882*$L$110))</f>
        <v>69.861476896664371</v>
      </c>
      <c r="K822" s="72">
        <f>IF(tech_base!$T198&gt;K$625,"",(1000*tech_proj!K1162*(-PMT($J$110,tech_base!$F198,1))+1000*tech_proj!K1442)/((1-tech_proj!K602)*tech_proj!K882*$L$110))</f>
        <v>69.96919942157767</v>
      </c>
      <c r="L822" s="72">
        <f>IF(tech_base!$T198&gt;L$625,"",(1000*tech_proj!L1162*(-PMT($J$110,tech_base!$F198,1))+1000*tech_proj!L1442)/((1-tech_proj!L602)*tech_proj!L882*$L$110))</f>
        <v>70.077517093442935</v>
      </c>
      <c r="M822" s="72">
        <f>IF(tech_base!$T198&gt;M$625,"",(1000*tech_proj!M1162*(-PMT($J$110,tech_base!$F198,1))+1000*tech_proj!M1442)/((1-tech_proj!M602)*tech_proj!M882*$L$110))</f>
        <v>70.186285191720941</v>
      </c>
      <c r="N822" s="72">
        <f>IF(tech_base!$T198&gt;N$625,"",(1000*tech_proj!N1162*(-PMT($J$110,tech_base!$F198,1))+1000*tech_proj!N1442)/((1-tech_proj!N602)*tech_proj!N882*$L$110))</f>
        <v>70.295357203016508</v>
      </c>
      <c r="O822" s="72">
        <f>IF(tech_base!$T198&gt;O$625,"",(1000*tech_proj!O1162*(-PMT($J$110,tech_base!$F198,1))+1000*tech_proj!O1442)/((1-tech_proj!O602)*tech_proj!O882*$L$110))</f>
        <v>70.404585598574585</v>
      </c>
      <c r="P822" s="72">
        <f>IF(tech_base!$T198&gt;P$625,"",(1000*tech_proj!P1162*(-PMT($J$110,tech_base!$F198,1))+1000*tech_proj!P1442)/((1-tech_proj!P602)*tech_proj!P882*$L$110))</f>
        <v>70.513822618641697</v>
      </c>
      <c r="Q822" s="72">
        <f>IF(tech_base!$T198&gt;Q$625,"",(1000*tech_proj!Q1162*(-PMT($J$110,tech_base!$F198,1))+1000*tech_proj!Q1442)/((1-tech_proj!Q602)*tech_proj!Q882*$L$110))</f>
        <v>70.622921054968643</v>
      </c>
      <c r="R822" s="72">
        <f>IF(tech_base!$T198&gt;R$625,"",(1000*tech_proj!R1162*(-PMT($J$110,tech_base!$F198,1))+1000*tech_proj!R1442)/((1-tech_proj!R602)*tech_proj!R882*$L$110))</f>
        <v>70.731735022822136</v>
      </c>
      <c r="S822" s="72">
        <f>IF(tech_base!$T198&gt;S$625,"",(1000*tech_proj!S1162*(-PMT($J$110,tech_base!$F198,1))+1000*tech_proj!S1442)/((1-tech_proj!S602)*tech_proj!S882*$L$110))</f>
        <v>70.840120714126371</v>
      </c>
      <c r="T822" s="72">
        <f>IF(tech_base!$T198&gt;T$625,"",(1000*tech_proj!T1162*(-PMT($J$110,tech_base!$F198,1))+1000*tech_proj!T1442)/((1-tech_proj!T602)*tech_proj!T882*$L$110))</f>
        <v>70.947937123759928</v>
      </c>
      <c r="U822" s="72">
        <f>IF(tech_base!$T198&gt;U$625,"",(1000*tech_proj!U1162*(-PMT($J$110,tech_base!$F198,1))+1000*tech_proj!U1442)/((1-tech_proj!U602)*tech_proj!U882*$L$110))</f>
        <v>71.055046741577897</v>
      </c>
      <c r="V822" s="72">
        <f>IF(tech_base!$T198&gt;V$625,"",(1000*tech_proj!V1162*(-PMT($J$110,tech_base!$F198,1))+1000*tech_proj!V1442)/((1-tech_proj!V602)*tech_proj!V882*$L$110))</f>
        <v>71.161316203399153</v>
      </c>
      <c r="W822" s="72">
        <f>IF(tech_base!$T198&gt;W$625,"",(1000*tech_proj!W1162*(-PMT($J$110,tech_base!$F198,1))+1000*tech_proj!W1442)/((1-tech_proj!W602)*tech_proj!W882*$L$110))</f>
        <v>71.266616894970525</v>
      </c>
      <c r="X822" s="72">
        <f>IF(tech_base!$T198&gt;X$625,"",(1000*tech_proj!X1162*(-PMT($J$110,tech_base!$F198,1))+1000*tech_proj!X1442)/((1-tech_proj!X602)*tech_proj!X882*$L$110))</f>
        <v>71.370825503778349</v>
      </c>
      <c r="Y822" s="72">
        <f>IF(tech_base!$T198&gt;Y$625,"",(1000*tech_proj!Y1162*(-PMT($J$110,tech_base!$F198,1))+1000*tech_proj!Y1442)/((1-tech_proj!Y602)*tech_proj!Y882*$L$110))</f>
        <v>71.473824514495291</v>
      </c>
      <c r="Z822" s="72">
        <f>IF(tech_base!$T198&gt;Z$625,"",(1000*tech_proj!Z1162*(-PMT($J$110,tech_base!$F198,1))+1000*tech_proj!Z1442)/((1-tech_proj!Z602)*tech_proj!Z882*$L$110))</f>
        <v>71.575502644807031</v>
      </c>
      <c r="AA822" s="72">
        <f>IF(tech_base!$T198&gt;AA$625,"",(1000*tech_proj!AA1162*(-PMT($J$110,tech_base!$F198,1))+1000*tech_proj!AA1442)/((1-tech_proj!AA602)*tech_proj!AA882*$L$110))</f>
        <v>71.675755219332927</v>
      </c>
      <c r="AB822" s="72">
        <f>IF(tech_base!$T198&gt;AB$625,"",(1000*tech_proj!AB1162*(-PMT($J$110,tech_base!$F198,1))+1000*tech_proj!AB1442)/((1-tech_proj!AB602)*tech_proj!AB882*$L$110))</f>
        <v>71.774484480319131</v>
      </c>
      <c r="AC822" s="72">
        <f>IF(tech_base!$T198&gt;AC$625,"",(1000*tech_proj!AC1162*(-PMT($J$110,tech_base!$F198,1))+1000*tech_proj!AC1442)/((1-tech_proj!AC602)*tech_proj!AC882*$L$110))</f>
        <v>71.871599834715852</v>
      </c>
      <c r="AD822" s="72">
        <f>IF(tech_base!$T198&gt;AD$625,"",(1000*tech_proj!AD1162*(-PMT($J$110,tech_base!$F198,1))+1000*tech_proj!AD1442)/((1-tech_proj!AD602)*tech_proj!AD882*$L$110))</f>
        <v>71.967018038138946</v>
      </c>
      <c r="AE822" s="72">
        <f>IF(tech_base!$T198&gt;AE$625,"",(1000*tech_proj!AE1162*(-PMT($J$110,tech_base!$F198,1))+1000*tech_proj!AE1442)/((1-tech_proj!AE602)*tech_proj!AE882*$L$110))</f>
        <v>72.060663317040479</v>
      </c>
      <c r="AF822" s="72">
        <f>IF(tech_base!$T198&gt;AF$625,"",(1000*tech_proj!AF1162*(-PMT($J$110,tech_base!$F198,1))+1000*tech_proj!AF1442)/((1-tech_proj!AF602)*tech_proj!AF882*$L$110))</f>
        <v>72.152467431161142</v>
      </c>
      <c r="AG822" s="72">
        <f>IF(tech_base!$T198&gt;AG$625,"",(1000*tech_proj!AG1162*(-PMT($J$110,tech_base!$F198,1))+1000*tech_proj!AG1442)/((1-tech_proj!AG602)*tech_proj!AG882*$L$110))</f>
        <v>72.242369678999793</v>
      </c>
      <c r="AH822" s="72">
        <f>IF(tech_base!$T198&gt;AH$625,"",(1000*tech_proj!AH1162*(-PMT($J$110,tech_base!$F198,1))+1000*tech_proj!AH1442)/((1-tech_proj!AH602)*tech_proj!AH882*$L$110))</f>
        <v>72.330316849603491</v>
      </c>
      <c r="AI822" s="72">
        <f>IF(tech_base!$T198&gt;AI$625,"",(1000*tech_proj!AI1162*(-PMT($J$110,tech_base!$F198,1))+1000*tech_proj!AI1442)/((1-tech_proj!AI602)*tech_proj!AI882*$L$110))</f>
        <v>72.416263124452428</v>
      </c>
      <c r="AJ822" s="72">
        <f>IF(tech_base!$T198&gt;AJ$625,"",(1000*tech_proj!AJ1162*(-PMT($J$110,tech_base!$F198,1))+1000*tech_proj!AJ1442)/((1-tech_proj!AJ602)*tech_proj!AJ882*$L$110))</f>
        <v>72.500169933585539</v>
      </c>
      <c r="AK822" s="72">
        <f>IF(tech_base!$T198&gt;AK$625,"",(1000*tech_proj!AK1162*(-PMT($J$110,tech_base!$F198,1))+1000*tech_proj!AK1442)/((1-tech_proj!AK602)*tech_proj!AK882*$L$110))</f>
        <v>72.582005770386758</v>
      </c>
      <c r="AL822" s="72">
        <f>IF(tech_base!$T198&gt;AL$625,"",(1000*tech_proj!AL1162*(-PMT($J$110,tech_base!$F198,1))+1000*tech_proj!AL1442)/((1-tech_proj!AL602)*tech_proj!AL882*$L$110))</f>
        <v>72.661745969630346</v>
      </c>
      <c r="AM822" s="72">
        <f>IF(tech_base!$T198&gt;AM$625,"",(1000*tech_proj!AM1162*(-PMT($J$110,tech_base!$F198,1))+1000*tech_proj!AM1442)/((1-tech_proj!AM602)*tech_proj!AM882*$L$110))</f>
        <v>72.739372453475568</v>
      </c>
      <c r="AN822" s="72">
        <f>IF(tech_base!$T198&gt;AN$625,"",(1000*tech_proj!AN1162*(-PMT($J$110,tech_base!$F198,1))+1000*tech_proj!AN1442)/((1-tech_proj!AN602)*tech_proj!AN882*$L$110))</f>
        <v>72.81487345010845</v>
      </c>
      <c r="AO822" s="72">
        <f>IF(tech_base!$T198&gt;AO$625,"",(1000*tech_proj!AO1162*(-PMT($J$110,tech_base!$F198,1))+1000*tech_proj!AO1442)/((1-tech_proj!AO602)*tech_proj!AO882*$L$110))</f>
        <v>72.888243189663413</v>
      </c>
      <c r="AP822" s="72">
        <f>IF(tech_base!$T198&gt;AP$625,"",(1000*tech_proj!AP1162*(-PMT($J$110,tech_base!$F198,1))+1000*tech_proj!AP1442)/((1-tech_proj!AP602)*tech_proj!AP882*$L$110))</f>
        <v>72.959481581927804</v>
      </c>
      <c r="AQ822" s="72">
        <f>IF(tech_base!$T198&gt;AQ$625,"",(1000*tech_proj!AQ1162*(-PMT($J$110,tech_base!$F198,1))+1000*tech_proj!AQ1442)/((1-tech_proj!AQ602)*tech_proj!AQ882*$L$110))</f>
        <v>73.028593880146303</v>
      </c>
      <c r="AR822" s="72">
        <f>IF(tech_base!$T198&gt;AR$625,"",(1000*tech_proj!AR1162*(-PMT($J$110,tech_base!$F198,1))+1000*tech_proj!AR1442)/((1-tech_proj!AR602)*tech_proj!AR882*$L$110))</f>
        <v>73.095590335011124</v>
      </c>
      <c r="AS822" s="72">
        <f>IF(tech_base!$T198&gt;AS$625,"",(1000*tech_proj!AS1162*(-PMT($J$110,tech_base!$F198,1))+1000*tech_proj!AS1442)/((1-tech_proj!AS602)*tech_proj!AS882*$L$110))</f>
        <v>73.160485842655959</v>
      </c>
      <c r="AT822" s="72">
        <f>IF(tech_base!$T198&gt;AT$625,"",(1000*tech_proj!AT1162*(-PMT($J$110,tech_base!$F198,1))+1000*tech_proj!AT1442)/((1-tech_proj!AT602)*tech_proj!AT882*$L$110))</f>
        <v>73.223299590176211</v>
      </c>
      <c r="AU822" s="72">
        <f>IF(tech_base!$T198&gt;AU$625,"",(1000*tech_proj!AU1162*(-PMT($J$110,tech_base!$F198,1))+1000*tech_proj!AU1442)/((1-tech_proj!AU602)*tech_proj!AU882*$L$110))</f>
        <v>73.284054701883946</v>
      </c>
      <c r="AV822" s="72">
        <f>IF(tech_base!$T198&gt;AV$625,"",(1000*tech_proj!AV1162*(-PMT($J$110,tech_base!$F198,1))+1000*tech_proj!AV1442)/((1-tech_proj!AV602)*tech_proj!AV882*$L$110))</f>
        <v>73.342777889180837</v>
      </c>
      <c r="AW822" s="72">
        <f>IF(tech_base!$T198&gt;AW$625,"",(1000*tech_proj!AW1162*(-PMT($J$110,tech_base!$F198,1))+1000*tech_proj!AW1442)/((1-tech_proj!AW602)*tech_proj!AW882*$L$110))</f>
        <v>73.399499106602974</v>
      </c>
      <c r="AX822" s="238">
        <f>IF(tech_base!$T198&gt;AX$625,"",(1000*tech_proj!AX1162*(-PMT($J$110,tech_base!$F198,1))+1000*tech_proj!AX1442)/((1-tech_proj!AX602)*tech_proj!AX882*$L$110))</f>
        <v>73.454251216263586</v>
      </c>
    </row>
    <row r="823" spans="1:50" x14ac:dyDescent="0.25">
      <c r="A823" s="356"/>
      <c r="B823" s="376"/>
      <c r="C823" s="361" t="s">
        <v>15</v>
      </c>
      <c r="D823" s="58" t="s">
        <v>7</v>
      </c>
      <c r="E823" s="164" t="str">
        <f>A799&amp;"/"&amp;B815&amp;"/"&amp;C823&amp;"/"&amp;D823</f>
        <v>Fuel oil fired power plants/Steam turbine/Electricity only with CCS/L</v>
      </c>
      <c r="F823" s="78" t="str">
        <f>A799</f>
        <v>Fuel oil fired power plants</v>
      </c>
      <c r="G823" s="78" t="str">
        <f>B815</f>
        <v>Steam turbine</v>
      </c>
      <c r="H823" s="78" t="str">
        <f>C823</f>
        <v>Electricity only with CCS</v>
      </c>
      <c r="I823" s="165" t="str">
        <f t="shared" si="365"/>
        <v>L</v>
      </c>
      <c r="J823" s="71" t="str">
        <f>IF(tech_base!$T199&gt;J$625,"",(1000*tech_proj!J1163*(-PMT($J$110,tech_base!$F199,1))+1000*tech_proj!J1443)/((1-tech_proj!J603)*tech_proj!J883*$L$110))</f>
        <v/>
      </c>
      <c r="K823" s="71" t="str">
        <f>IF(tech_base!$T199&gt;K$625,"",(1000*tech_proj!K1163*(-PMT($J$110,tech_base!$F199,1))+1000*tech_proj!K1443)/((1-tech_proj!K603)*tech_proj!K883*$L$110))</f>
        <v/>
      </c>
      <c r="L823" s="71" t="str">
        <f>IF(tech_base!$T199&gt;L$625,"",(1000*tech_proj!L1163*(-PMT($J$110,tech_base!$F199,1))+1000*tech_proj!L1443)/((1-tech_proj!L603)*tech_proj!L883*$L$110))</f>
        <v/>
      </c>
      <c r="M823" s="71" t="str">
        <f>IF(tech_base!$T199&gt;M$625,"",(1000*tech_proj!M1163*(-PMT($J$110,tech_base!$F199,1))+1000*tech_proj!M1443)/((1-tech_proj!M603)*tech_proj!M883*$L$110))</f>
        <v/>
      </c>
      <c r="N823" s="71" t="str">
        <f>IF(tech_base!$T199&gt;N$625,"",(1000*tech_proj!N1163*(-PMT($J$110,tech_base!$F199,1))+1000*tech_proj!N1443)/((1-tech_proj!N603)*tech_proj!N883*$L$110))</f>
        <v/>
      </c>
      <c r="O823" s="71" t="str">
        <f>IF(tech_base!$T199&gt;O$625,"",(1000*tech_proj!O1163*(-PMT($J$110,tech_base!$F199,1))+1000*tech_proj!O1443)/((1-tech_proj!O603)*tech_proj!O883*$L$110))</f>
        <v/>
      </c>
      <c r="P823" s="71" t="str">
        <f>IF(tech_base!$T199&gt;P$625,"",(1000*tech_proj!P1163*(-PMT($J$110,tech_base!$F199,1))+1000*tech_proj!P1443)/((1-tech_proj!P603)*tech_proj!P883*$L$110))</f>
        <v/>
      </c>
      <c r="Q823" s="71" t="str">
        <f>IF(tech_base!$T199&gt;Q$625,"",(1000*tech_proj!Q1163*(-PMT($J$110,tech_base!$F199,1))+1000*tech_proj!Q1443)/((1-tech_proj!Q603)*tech_proj!Q883*$L$110))</f>
        <v/>
      </c>
      <c r="R823" s="71" t="str">
        <f>IF(tech_base!$T199&gt;R$625,"",(1000*tech_proj!R1163*(-PMT($J$110,tech_base!$F199,1))+1000*tech_proj!R1443)/((1-tech_proj!R603)*tech_proj!R883*$L$110))</f>
        <v/>
      </c>
      <c r="S823" s="71" t="str">
        <f>IF(tech_base!$T199&gt;S$625,"",(1000*tech_proj!S1163*(-PMT($J$110,tech_base!$F199,1))+1000*tech_proj!S1443)/((1-tech_proj!S603)*tech_proj!S883*$L$110))</f>
        <v/>
      </c>
      <c r="T823" s="71" t="str">
        <f>IF(tech_base!$T199&gt;T$625,"",(1000*tech_proj!T1163*(-PMT($J$110,tech_base!$F199,1))+1000*tech_proj!T1443)/((1-tech_proj!T603)*tech_proj!T883*$L$110))</f>
        <v/>
      </c>
      <c r="U823" s="71" t="str">
        <f>IF(tech_base!$T199&gt;U$625,"",(1000*tech_proj!U1163*(-PMT($J$110,tech_base!$F199,1))+1000*tech_proj!U1443)/((1-tech_proj!U603)*tech_proj!U883*$L$110))</f>
        <v/>
      </c>
      <c r="V823" s="71" t="str">
        <f>IF(tech_base!$T199&gt;V$625,"",(1000*tech_proj!V1163*(-PMT($J$110,tech_base!$F199,1))+1000*tech_proj!V1443)/((1-tech_proj!V603)*tech_proj!V883*$L$110))</f>
        <v/>
      </c>
      <c r="W823" s="71" t="str">
        <f>IF(tech_base!$T199&gt;W$625,"",(1000*tech_proj!W1163*(-PMT($J$110,tech_base!$F199,1))+1000*tech_proj!W1443)/((1-tech_proj!W603)*tech_proj!W883*$L$110))</f>
        <v/>
      </c>
      <c r="X823" s="71" t="str">
        <f>IF(tech_base!$T199&gt;X$625,"",(1000*tech_proj!X1163*(-PMT($J$110,tech_base!$F199,1))+1000*tech_proj!X1443)/((1-tech_proj!X603)*tech_proj!X883*$L$110))</f>
        <v/>
      </c>
      <c r="Y823" s="71" t="str">
        <f>IF(tech_base!$T199&gt;Y$625,"",(1000*tech_proj!Y1163*(-PMT($J$110,tech_base!$F199,1))+1000*tech_proj!Y1443)/((1-tech_proj!Y603)*tech_proj!Y883*$L$110))</f>
        <v/>
      </c>
      <c r="Z823" s="71" t="str">
        <f>IF(tech_base!$T199&gt;Z$625,"",(1000*tech_proj!Z1163*(-PMT($J$110,tech_base!$F199,1))+1000*tech_proj!Z1443)/((1-tech_proj!Z603)*tech_proj!Z883*$L$110))</f>
        <v/>
      </c>
      <c r="AA823" s="71" t="str">
        <f>IF(tech_base!$T199&gt;AA$625,"",(1000*tech_proj!AA1163*(-PMT($J$110,tech_base!$F199,1))+1000*tech_proj!AA1443)/((1-tech_proj!AA603)*tech_proj!AA883*$L$110))</f>
        <v/>
      </c>
      <c r="AB823" s="71" t="str">
        <f>IF(tech_base!$T199&gt;AB$625,"",(1000*tech_proj!AB1163*(-PMT($J$110,tech_base!$F199,1))+1000*tech_proj!AB1443)/((1-tech_proj!AB603)*tech_proj!AB883*$L$110))</f>
        <v/>
      </c>
      <c r="AC823" s="71" t="str">
        <f>IF(tech_base!$T199&gt;AC$625,"",(1000*tech_proj!AC1163*(-PMT($J$110,tech_base!$F199,1))+1000*tech_proj!AC1443)/((1-tech_proj!AC603)*tech_proj!AC883*$L$110))</f>
        <v/>
      </c>
      <c r="AD823" s="71" t="str">
        <f>IF(tech_base!$T199&gt;AD$625,"",(1000*tech_proj!AD1163*(-PMT($J$110,tech_base!$F199,1))+1000*tech_proj!AD1443)/((1-tech_proj!AD603)*tech_proj!AD883*$L$110))</f>
        <v/>
      </c>
      <c r="AE823" s="71">
        <f>IF(tech_base!$T199&gt;AE$625,"",(1000*tech_proj!AE1163*(-PMT($J$110,tech_base!$F199,1))+1000*tech_proj!AE1443)/((1-tech_proj!AE603)*tech_proj!AE883*$L$110))</f>
        <v>120.65614378181915</v>
      </c>
      <c r="AF823" s="71">
        <f>IF(tech_base!$T199&gt;AF$625,"",(1000*tech_proj!AF1163*(-PMT($J$110,tech_base!$F199,1))+1000*tech_proj!AF1443)/((1-tech_proj!AF603)*tech_proj!AF883*$L$110))</f>
        <v>120.65614378181915</v>
      </c>
      <c r="AG823" s="71">
        <f>IF(tech_base!$T199&gt;AG$625,"",(1000*tech_proj!AG1163*(-PMT($J$110,tech_base!$F199,1))+1000*tech_proj!AG1443)/((1-tech_proj!AG603)*tech_proj!AG883*$L$110))</f>
        <v>120.65614378181915</v>
      </c>
      <c r="AH823" s="71">
        <f>IF(tech_base!$T199&gt;AH$625,"",(1000*tech_proj!AH1163*(-PMT($J$110,tech_base!$F199,1))+1000*tech_proj!AH1443)/((1-tech_proj!AH603)*tech_proj!AH883*$L$110))</f>
        <v>120.65614378181915</v>
      </c>
      <c r="AI823" s="71">
        <f>IF(tech_base!$T199&gt;AI$625,"",(1000*tech_proj!AI1163*(-PMT($J$110,tech_base!$F199,1))+1000*tech_proj!AI1443)/((1-tech_proj!AI603)*tech_proj!AI883*$L$110))</f>
        <v>120.65614378181915</v>
      </c>
      <c r="AJ823" s="71">
        <f>IF(tech_base!$T199&gt;AJ$625,"",(1000*tech_proj!AJ1163*(-PMT($J$110,tech_base!$F199,1))+1000*tech_proj!AJ1443)/((1-tech_proj!AJ603)*tech_proj!AJ883*$L$110))</f>
        <v>120.65614378181915</v>
      </c>
      <c r="AK823" s="71">
        <f>IF(tech_base!$T199&gt;AK$625,"",(1000*tech_proj!AK1163*(-PMT($J$110,tech_base!$F199,1))+1000*tech_proj!AK1443)/((1-tech_proj!AK603)*tech_proj!AK883*$L$110))</f>
        <v>120.65614378181915</v>
      </c>
      <c r="AL823" s="71">
        <f>IF(tech_base!$T199&gt;AL$625,"",(1000*tech_proj!AL1163*(-PMT($J$110,tech_base!$F199,1))+1000*tech_proj!AL1443)/((1-tech_proj!AL603)*tech_proj!AL883*$L$110))</f>
        <v>120.65614378181915</v>
      </c>
      <c r="AM823" s="71">
        <f>IF(tech_base!$T199&gt;AM$625,"",(1000*tech_proj!AM1163*(-PMT($J$110,tech_base!$F199,1))+1000*tech_proj!AM1443)/((1-tech_proj!AM603)*tech_proj!AM883*$L$110))</f>
        <v>120.65614378181915</v>
      </c>
      <c r="AN823" s="71">
        <f>IF(tech_base!$T199&gt;AN$625,"",(1000*tech_proj!AN1163*(-PMT($J$110,tech_base!$F199,1))+1000*tech_proj!AN1443)/((1-tech_proj!AN603)*tech_proj!AN883*$L$110))</f>
        <v>120.65614378181915</v>
      </c>
      <c r="AO823" s="71">
        <f>IF(tech_base!$T199&gt;AO$625,"",(1000*tech_proj!AO1163*(-PMT($J$110,tech_base!$F199,1))+1000*tech_proj!AO1443)/((1-tech_proj!AO603)*tech_proj!AO883*$L$110))</f>
        <v>120.65614378181915</v>
      </c>
      <c r="AP823" s="71">
        <f>IF(tech_base!$T199&gt;AP$625,"",(1000*tech_proj!AP1163*(-PMT($J$110,tech_base!$F199,1))+1000*tech_proj!AP1443)/((1-tech_proj!AP603)*tech_proj!AP883*$L$110))</f>
        <v>120.65614378181915</v>
      </c>
      <c r="AQ823" s="71">
        <f>IF(tech_base!$T199&gt;AQ$625,"",(1000*tech_proj!AQ1163*(-PMT($J$110,tech_base!$F199,1))+1000*tech_proj!AQ1443)/((1-tech_proj!AQ603)*tech_proj!AQ883*$L$110))</f>
        <v>120.65614378181915</v>
      </c>
      <c r="AR823" s="71">
        <f>IF(tech_base!$T199&gt;AR$625,"",(1000*tech_proj!AR1163*(-PMT($J$110,tech_base!$F199,1))+1000*tech_proj!AR1443)/((1-tech_proj!AR603)*tech_proj!AR883*$L$110))</f>
        <v>120.65614378181915</v>
      </c>
      <c r="AS823" s="71">
        <f>IF(tech_base!$T199&gt;AS$625,"",(1000*tech_proj!AS1163*(-PMT($J$110,tech_base!$F199,1))+1000*tech_proj!AS1443)/((1-tech_proj!AS603)*tech_proj!AS883*$L$110))</f>
        <v>120.65614378181915</v>
      </c>
      <c r="AT823" s="71">
        <f>IF(tech_base!$T199&gt;AT$625,"",(1000*tech_proj!AT1163*(-PMT($J$110,tech_base!$F199,1))+1000*tech_proj!AT1443)/((1-tech_proj!AT603)*tech_proj!AT883*$L$110))</f>
        <v>120.65614378181915</v>
      </c>
      <c r="AU823" s="71">
        <f>IF(tech_base!$T199&gt;AU$625,"",(1000*tech_proj!AU1163*(-PMT($J$110,tech_base!$F199,1))+1000*tech_proj!AU1443)/((1-tech_proj!AU603)*tech_proj!AU883*$L$110))</f>
        <v>120.65614378181915</v>
      </c>
      <c r="AV823" s="71">
        <f>IF(tech_base!$T199&gt;AV$625,"",(1000*tech_proj!AV1163*(-PMT($J$110,tech_base!$F199,1))+1000*tech_proj!AV1443)/((1-tech_proj!AV603)*tech_proj!AV883*$L$110))</f>
        <v>120.65614378181915</v>
      </c>
      <c r="AW823" s="71">
        <f>IF(tech_base!$T199&gt;AW$625,"",(1000*tech_proj!AW1163*(-PMT($J$110,tech_base!$F199,1))+1000*tech_proj!AW1443)/((1-tech_proj!AW603)*tech_proj!AW883*$L$110))</f>
        <v>120.65614378181915</v>
      </c>
      <c r="AX823" s="237">
        <f>IF(tech_base!$T199&gt;AX$625,"",(1000*tech_proj!AX1163*(-PMT($J$110,tech_base!$F199,1))+1000*tech_proj!AX1443)/((1-tech_proj!AX603)*tech_proj!AX883*$L$110))</f>
        <v>120.65614378181915</v>
      </c>
    </row>
    <row r="824" spans="1:50" x14ac:dyDescent="0.25">
      <c r="A824" s="356"/>
      <c r="B824" s="376"/>
      <c r="C824" s="379"/>
      <c r="D824" s="59" t="s">
        <v>8</v>
      </c>
      <c r="E824" s="166" t="str">
        <f>A799&amp;"/"&amp;B815&amp;"/"&amp;C823&amp;"/"&amp;D824</f>
        <v>Fuel oil fired power plants/Steam turbine/Electricity only with CCS/M</v>
      </c>
      <c r="F824" s="79" t="str">
        <f>A799</f>
        <v>Fuel oil fired power plants</v>
      </c>
      <c r="G824" s="79" t="str">
        <f>B815</f>
        <v>Steam turbine</v>
      </c>
      <c r="H824" s="79" t="str">
        <f>C823</f>
        <v>Electricity only with CCS</v>
      </c>
      <c r="I824" s="167" t="str">
        <f t="shared" si="365"/>
        <v>M</v>
      </c>
      <c r="J824" s="72" t="str">
        <f>IF(tech_base!$T200&gt;J$625,"",(1000*tech_proj!J1164*(-PMT($J$110,tech_base!$F200,1))+1000*tech_proj!J1444)/((1-tech_proj!J604)*tech_proj!J884*$L$110))</f>
        <v/>
      </c>
      <c r="K824" s="72" t="str">
        <f>IF(tech_base!$T200&gt;K$625,"",(1000*tech_proj!K1164*(-PMT($J$110,tech_base!$F200,1))+1000*tech_proj!K1444)/((1-tech_proj!K604)*tech_proj!K884*$L$110))</f>
        <v/>
      </c>
      <c r="L824" s="72" t="str">
        <f>IF(tech_base!$T200&gt;L$625,"",(1000*tech_proj!L1164*(-PMT($J$110,tech_base!$F200,1))+1000*tech_proj!L1444)/((1-tech_proj!L604)*tech_proj!L884*$L$110))</f>
        <v/>
      </c>
      <c r="M824" s="72" t="str">
        <f>IF(tech_base!$T200&gt;M$625,"",(1000*tech_proj!M1164*(-PMT($J$110,tech_base!$F200,1))+1000*tech_proj!M1444)/((1-tech_proj!M604)*tech_proj!M884*$L$110))</f>
        <v/>
      </c>
      <c r="N824" s="72" t="str">
        <f>IF(tech_base!$T200&gt;N$625,"",(1000*tech_proj!N1164*(-PMT($J$110,tech_base!$F200,1))+1000*tech_proj!N1444)/((1-tech_proj!N604)*tech_proj!N884*$L$110))</f>
        <v/>
      </c>
      <c r="O824" s="72" t="str">
        <f>IF(tech_base!$T200&gt;O$625,"",(1000*tech_proj!O1164*(-PMT($J$110,tech_base!$F200,1))+1000*tech_proj!O1444)/((1-tech_proj!O604)*tech_proj!O884*$L$110))</f>
        <v/>
      </c>
      <c r="P824" s="72" t="str">
        <f>IF(tech_base!$T200&gt;P$625,"",(1000*tech_proj!P1164*(-PMT($J$110,tech_base!$F200,1))+1000*tech_proj!P1444)/((1-tech_proj!P604)*tech_proj!P884*$L$110))</f>
        <v/>
      </c>
      <c r="Q824" s="72" t="str">
        <f>IF(tech_base!$T200&gt;Q$625,"",(1000*tech_proj!Q1164*(-PMT($J$110,tech_base!$F200,1))+1000*tech_proj!Q1444)/((1-tech_proj!Q604)*tech_proj!Q884*$L$110))</f>
        <v/>
      </c>
      <c r="R824" s="72" t="str">
        <f>IF(tech_base!$T200&gt;R$625,"",(1000*tech_proj!R1164*(-PMT($J$110,tech_base!$F200,1))+1000*tech_proj!R1444)/((1-tech_proj!R604)*tech_proj!R884*$L$110))</f>
        <v/>
      </c>
      <c r="S824" s="72" t="str">
        <f>IF(tech_base!$T200&gt;S$625,"",(1000*tech_proj!S1164*(-PMT($J$110,tech_base!$F200,1))+1000*tech_proj!S1444)/((1-tech_proj!S604)*tech_proj!S884*$L$110))</f>
        <v/>
      </c>
      <c r="T824" s="72" t="str">
        <f>IF(tech_base!$T200&gt;T$625,"",(1000*tech_proj!T1164*(-PMT($J$110,tech_base!$F200,1))+1000*tech_proj!T1444)/((1-tech_proj!T604)*tech_proj!T884*$L$110))</f>
        <v/>
      </c>
      <c r="U824" s="72" t="str">
        <f>IF(tech_base!$T200&gt;U$625,"",(1000*tech_proj!U1164*(-PMT($J$110,tech_base!$F200,1))+1000*tech_proj!U1444)/((1-tech_proj!U604)*tech_proj!U884*$L$110))</f>
        <v/>
      </c>
      <c r="V824" s="72" t="str">
        <f>IF(tech_base!$T200&gt;V$625,"",(1000*tech_proj!V1164*(-PMT($J$110,tech_base!$F200,1))+1000*tech_proj!V1444)/((1-tech_proj!V604)*tech_proj!V884*$L$110))</f>
        <v/>
      </c>
      <c r="W824" s="72" t="str">
        <f>IF(tech_base!$T200&gt;W$625,"",(1000*tech_proj!W1164*(-PMT($J$110,tech_base!$F200,1))+1000*tech_proj!W1444)/((1-tech_proj!W604)*tech_proj!W884*$L$110))</f>
        <v/>
      </c>
      <c r="X824" s="72" t="str">
        <f>IF(tech_base!$T200&gt;X$625,"",(1000*tech_proj!X1164*(-PMT($J$110,tech_base!$F200,1))+1000*tech_proj!X1444)/((1-tech_proj!X604)*tech_proj!X884*$L$110))</f>
        <v/>
      </c>
      <c r="Y824" s="72" t="str">
        <f>IF(tech_base!$T200&gt;Y$625,"",(1000*tech_proj!Y1164*(-PMT($J$110,tech_base!$F200,1))+1000*tech_proj!Y1444)/((1-tech_proj!Y604)*tech_proj!Y884*$L$110))</f>
        <v/>
      </c>
      <c r="Z824" s="72" t="str">
        <f>IF(tech_base!$T200&gt;Z$625,"",(1000*tech_proj!Z1164*(-PMT($J$110,tech_base!$F200,1))+1000*tech_proj!Z1444)/((1-tech_proj!Z604)*tech_proj!Z884*$L$110))</f>
        <v/>
      </c>
      <c r="AA824" s="72" t="str">
        <f>IF(tech_base!$T200&gt;AA$625,"",(1000*tech_proj!AA1164*(-PMT($J$110,tech_base!$F200,1))+1000*tech_proj!AA1444)/((1-tech_proj!AA604)*tech_proj!AA884*$L$110))</f>
        <v/>
      </c>
      <c r="AB824" s="72" t="str">
        <f>IF(tech_base!$T200&gt;AB$625,"",(1000*tech_proj!AB1164*(-PMT($J$110,tech_base!$F200,1))+1000*tech_proj!AB1444)/((1-tech_proj!AB604)*tech_proj!AB884*$L$110))</f>
        <v/>
      </c>
      <c r="AC824" s="72" t="str">
        <f>IF(tech_base!$T200&gt;AC$625,"",(1000*tech_proj!AC1164*(-PMT($J$110,tech_base!$F200,1))+1000*tech_proj!AC1444)/((1-tech_proj!AC604)*tech_proj!AC884*$L$110))</f>
        <v/>
      </c>
      <c r="AD824" s="72" t="str">
        <f>IF(tech_base!$T200&gt;AD$625,"",(1000*tech_proj!AD1164*(-PMT($J$110,tech_base!$F200,1))+1000*tech_proj!AD1444)/((1-tech_proj!AD604)*tech_proj!AD884*$L$110))</f>
        <v/>
      </c>
      <c r="AE824" s="72">
        <f>IF(tech_base!$T200&gt;AE$625,"",(1000*tech_proj!AE1164*(-PMT($J$110,tech_base!$F200,1))+1000*tech_proj!AE1444)/((1-tech_proj!AE604)*tech_proj!AE884*$L$110))</f>
        <v>144.24968918799661</v>
      </c>
      <c r="AF824" s="72">
        <f>IF(tech_base!$T200&gt;AF$625,"",(1000*tech_proj!AF1164*(-PMT($J$110,tech_base!$F200,1))+1000*tech_proj!AF1444)/((1-tech_proj!AF604)*tech_proj!AF884*$L$110))</f>
        <v>144.24968918799661</v>
      </c>
      <c r="AG824" s="72">
        <f>IF(tech_base!$T200&gt;AG$625,"",(1000*tech_proj!AG1164*(-PMT($J$110,tech_base!$F200,1))+1000*tech_proj!AG1444)/((1-tech_proj!AG604)*tech_proj!AG884*$L$110))</f>
        <v>144.24968918799661</v>
      </c>
      <c r="AH824" s="72">
        <f>IF(tech_base!$T200&gt;AH$625,"",(1000*tech_proj!AH1164*(-PMT($J$110,tech_base!$F200,1))+1000*tech_proj!AH1444)/((1-tech_proj!AH604)*tech_proj!AH884*$L$110))</f>
        <v>144.24968918799661</v>
      </c>
      <c r="AI824" s="72">
        <f>IF(tech_base!$T200&gt;AI$625,"",(1000*tech_proj!AI1164*(-PMT($J$110,tech_base!$F200,1))+1000*tech_proj!AI1444)/((1-tech_proj!AI604)*tech_proj!AI884*$L$110))</f>
        <v>144.24968918799661</v>
      </c>
      <c r="AJ824" s="72">
        <f>IF(tech_base!$T200&gt;AJ$625,"",(1000*tech_proj!AJ1164*(-PMT($J$110,tech_base!$F200,1))+1000*tech_proj!AJ1444)/((1-tech_proj!AJ604)*tech_proj!AJ884*$L$110))</f>
        <v>144.24968918799661</v>
      </c>
      <c r="AK824" s="72">
        <f>IF(tech_base!$T200&gt;AK$625,"",(1000*tech_proj!AK1164*(-PMT($J$110,tech_base!$F200,1))+1000*tech_proj!AK1444)/((1-tech_proj!AK604)*tech_proj!AK884*$L$110))</f>
        <v>144.24968918799661</v>
      </c>
      <c r="AL824" s="72">
        <f>IF(tech_base!$T200&gt;AL$625,"",(1000*tech_proj!AL1164*(-PMT($J$110,tech_base!$F200,1))+1000*tech_proj!AL1444)/((1-tech_proj!AL604)*tech_proj!AL884*$L$110))</f>
        <v>144.24968918799661</v>
      </c>
      <c r="AM824" s="72">
        <f>IF(tech_base!$T200&gt;AM$625,"",(1000*tech_proj!AM1164*(-PMT($J$110,tech_base!$F200,1))+1000*tech_proj!AM1444)/((1-tech_proj!AM604)*tech_proj!AM884*$L$110))</f>
        <v>144.24968918799661</v>
      </c>
      <c r="AN824" s="72">
        <f>IF(tech_base!$T200&gt;AN$625,"",(1000*tech_proj!AN1164*(-PMT($J$110,tech_base!$F200,1))+1000*tech_proj!AN1444)/((1-tech_proj!AN604)*tech_proj!AN884*$L$110))</f>
        <v>144.24968918799661</v>
      </c>
      <c r="AO824" s="72">
        <f>IF(tech_base!$T200&gt;AO$625,"",(1000*tech_proj!AO1164*(-PMT($J$110,tech_base!$F200,1))+1000*tech_proj!AO1444)/((1-tech_proj!AO604)*tech_proj!AO884*$L$110))</f>
        <v>144.24968918799661</v>
      </c>
      <c r="AP824" s="72">
        <f>IF(tech_base!$T200&gt;AP$625,"",(1000*tech_proj!AP1164*(-PMT($J$110,tech_base!$F200,1))+1000*tech_proj!AP1444)/((1-tech_proj!AP604)*tech_proj!AP884*$L$110))</f>
        <v>144.24968918799661</v>
      </c>
      <c r="AQ824" s="72">
        <f>IF(tech_base!$T200&gt;AQ$625,"",(1000*tech_proj!AQ1164*(-PMT($J$110,tech_base!$F200,1))+1000*tech_proj!AQ1444)/((1-tech_proj!AQ604)*tech_proj!AQ884*$L$110))</f>
        <v>144.24968918799661</v>
      </c>
      <c r="AR824" s="72">
        <f>IF(tech_base!$T200&gt;AR$625,"",(1000*tech_proj!AR1164*(-PMT($J$110,tech_base!$F200,1))+1000*tech_proj!AR1444)/((1-tech_proj!AR604)*tech_proj!AR884*$L$110))</f>
        <v>144.24968918799661</v>
      </c>
      <c r="AS824" s="72">
        <f>IF(tech_base!$T200&gt;AS$625,"",(1000*tech_proj!AS1164*(-PMT($J$110,tech_base!$F200,1))+1000*tech_proj!AS1444)/((1-tech_proj!AS604)*tech_proj!AS884*$L$110))</f>
        <v>144.24968918799661</v>
      </c>
      <c r="AT824" s="72">
        <f>IF(tech_base!$T200&gt;AT$625,"",(1000*tech_proj!AT1164*(-PMT($J$110,tech_base!$F200,1))+1000*tech_proj!AT1444)/((1-tech_proj!AT604)*tech_proj!AT884*$L$110))</f>
        <v>144.24968918799661</v>
      </c>
      <c r="AU824" s="72">
        <f>IF(tech_base!$T200&gt;AU$625,"",(1000*tech_proj!AU1164*(-PMT($J$110,tech_base!$F200,1))+1000*tech_proj!AU1444)/((1-tech_proj!AU604)*tech_proj!AU884*$L$110))</f>
        <v>144.24968918799661</v>
      </c>
      <c r="AV824" s="72">
        <f>IF(tech_base!$T200&gt;AV$625,"",(1000*tech_proj!AV1164*(-PMT($J$110,tech_base!$F200,1))+1000*tech_proj!AV1444)/((1-tech_proj!AV604)*tech_proj!AV884*$L$110))</f>
        <v>144.24968918799661</v>
      </c>
      <c r="AW824" s="72">
        <f>IF(tech_base!$T200&gt;AW$625,"",(1000*tech_proj!AW1164*(-PMT($J$110,tech_base!$F200,1))+1000*tech_proj!AW1444)/((1-tech_proj!AW604)*tech_proj!AW884*$L$110))</f>
        <v>144.24968918799661</v>
      </c>
      <c r="AX824" s="238">
        <f>IF(tech_base!$T200&gt;AX$625,"",(1000*tech_proj!AX1164*(-PMT($J$110,tech_base!$F200,1))+1000*tech_proj!AX1444)/((1-tech_proj!AX604)*tech_proj!AX884*$L$110))</f>
        <v>144.24968918799661</v>
      </c>
    </row>
    <row r="825" spans="1:50" x14ac:dyDescent="0.25">
      <c r="A825" s="356"/>
      <c r="B825" s="376"/>
      <c r="C825" s="361" t="s">
        <v>16</v>
      </c>
      <c r="D825" s="2" t="s">
        <v>7</v>
      </c>
      <c r="E825" s="160" t="str">
        <f>A799&amp;"/"&amp;B815&amp;"/"&amp;C825&amp;"/"&amp;D825</f>
        <v>Fuel oil fired power plants/Steam turbine/CHP with CCS/L</v>
      </c>
      <c r="F825" s="76" t="str">
        <f>A799</f>
        <v>Fuel oil fired power plants</v>
      </c>
      <c r="G825" s="76" t="str">
        <f>B815</f>
        <v>Steam turbine</v>
      </c>
      <c r="H825" s="76" t="str">
        <f>C825</f>
        <v>CHP with CCS</v>
      </c>
      <c r="I825" s="161" t="str">
        <f t="shared" si="365"/>
        <v>L</v>
      </c>
      <c r="J825" s="69" t="str">
        <f>IF(tech_base!$T201&gt;J$625,"",(1000*tech_proj!J1165*(-PMT($J$110,tech_base!$F201,1))+1000*tech_proj!J1445)/((1-tech_proj!J605)*tech_proj!J885*$L$110))</f>
        <v/>
      </c>
      <c r="K825" s="69" t="str">
        <f>IF(tech_base!$T201&gt;K$625,"",(1000*tech_proj!K1165*(-PMT($J$110,tech_base!$F201,1))+1000*tech_proj!K1445)/((1-tech_proj!K605)*tech_proj!K885*$L$110))</f>
        <v/>
      </c>
      <c r="L825" s="69" t="str">
        <f>IF(tech_base!$T201&gt;L$625,"",(1000*tech_proj!L1165*(-PMT($J$110,tech_base!$F201,1))+1000*tech_proj!L1445)/((1-tech_proj!L605)*tech_proj!L885*$L$110))</f>
        <v/>
      </c>
      <c r="M825" s="69" t="str">
        <f>IF(tech_base!$T201&gt;M$625,"",(1000*tech_proj!M1165*(-PMT($J$110,tech_base!$F201,1))+1000*tech_proj!M1445)/((1-tech_proj!M605)*tech_proj!M885*$L$110))</f>
        <v/>
      </c>
      <c r="N825" s="69" t="str">
        <f>IF(tech_base!$T201&gt;N$625,"",(1000*tech_proj!N1165*(-PMT($J$110,tech_base!$F201,1))+1000*tech_proj!N1445)/((1-tech_proj!N605)*tech_proj!N885*$L$110))</f>
        <v/>
      </c>
      <c r="O825" s="69" t="str">
        <f>IF(tech_base!$T201&gt;O$625,"",(1000*tech_proj!O1165*(-PMT($J$110,tech_base!$F201,1))+1000*tech_proj!O1445)/((1-tech_proj!O605)*tech_proj!O885*$L$110))</f>
        <v/>
      </c>
      <c r="P825" s="69" t="str">
        <f>IF(tech_base!$T201&gt;P$625,"",(1000*tech_proj!P1165*(-PMT($J$110,tech_base!$F201,1))+1000*tech_proj!P1445)/((1-tech_proj!P605)*tech_proj!P885*$L$110))</f>
        <v/>
      </c>
      <c r="Q825" s="69" t="str">
        <f>IF(tech_base!$T201&gt;Q$625,"",(1000*tech_proj!Q1165*(-PMT($J$110,tech_base!$F201,1))+1000*tech_proj!Q1445)/((1-tech_proj!Q605)*tech_proj!Q885*$L$110))</f>
        <v/>
      </c>
      <c r="R825" s="69" t="str">
        <f>IF(tech_base!$T201&gt;R$625,"",(1000*tech_proj!R1165*(-PMT($J$110,tech_base!$F201,1))+1000*tech_proj!R1445)/((1-tech_proj!R605)*tech_proj!R885*$L$110))</f>
        <v/>
      </c>
      <c r="S825" s="69" t="str">
        <f>IF(tech_base!$T201&gt;S$625,"",(1000*tech_proj!S1165*(-PMT($J$110,tech_base!$F201,1))+1000*tech_proj!S1445)/((1-tech_proj!S605)*tech_proj!S885*$L$110))</f>
        <v/>
      </c>
      <c r="T825" s="69" t="str">
        <f>IF(tech_base!$T201&gt;T$625,"",(1000*tech_proj!T1165*(-PMT($J$110,tech_base!$F201,1))+1000*tech_proj!T1445)/((1-tech_proj!T605)*tech_proj!T885*$L$110))</f>
        <v/>
      </c>
      <c r="U825" s="69" t="str">
        <f>IF(tech_base!$T201&gt;U$625,"",(1000*tech_proj!U1165*(-PMT($J$110,tech_base!$F201,1))+1000*tech_proj!U1445)/((1-tech_proj!U605)*tech_proj!U885*$L$110))</f>
        <v/>
      </c>
      <c r="V825" s="69" t="str">
        <f>IF(tech_base!$T201&gt;V$625,"",(1000*tech_proj!V1165*(-PMT($J$110,tech_base!$F201,1))+1000*tech_proj!V1445)/((1-tech_proj!V605)*tech_proj!V885*$L$110))</f>
        <v/>
      </c>
      <c r="W825" s="69" t="str">
        <f>IF(tech_base!$T201&gt;W$625,"",(1000*tech_proj!W1165*(-PMT($J$110,tech_base!$F201,1))+1000*tech_proj!W1445)/((1-tech_proj!W605)*tech_proj!W885*$L$110))</f>
        <v/>
      </c>
      <c r="X825" s="69" t="str">
        <f>IF(tech_base!$T201&gt;X$625,"",(1000*tech_proj!X1165*(-PMT($J$110,tech_base!$F201,1))+1000*tech_proj!X1445)/((1-tech_proj!X605)*tech_proj!X885*$L$110))</f>
        <v/>
      </c>
      <c r="Y825" s="69" t="str">
        <f>IF(tech_base!$T201&gt;Y$625,"",(1000*tech_proj!Y1165*(-PMT($J$110,tech_base!$F201,1))+1000*tech_proj!Y1445)/((1-tech_proj!Y605)*tech_proj!Y885*$L$110))</f>
        <v/>
      </c>
      <c r="Z825" s="69" t="str">
        <f>IF(tech_base!$T201&gt;Z$625,"",(1000*tech_proj!Z1165*(-PMT($J$110,tech_base!$F201,1))+1000*tech_proj!Z1445)/((1-tech_proj!Z605)*tech_proj!Z885*$L$110))</f>
        <v/>
      </c>
      <c r="AA825" s="69" t="str">
        <f>IF(tech_base!$T201&gt;AA$625,"",(1000*tech_proj!AA1165*(-PMT($J$110,tech_base!$F201,1))+1000*tech_proj!AA1445)/((1-tech_proj!AA605)*tech_proj!AA885*$L$110))</f>
        <v/>
      </c>
      <c r="AB825" s="69" t="str">
        <f>IF(tech_base!$T201&gt;AB$625,"",(1000*tech_proj!AB1165*(-PMT($J$110,tech_base!$F201,1))+1000*tech_proj!AB1445)/((1-tech_proj!AB605)*tech_proj!AB885*$L$110))</f>
        <v/>
      </c>
      <c r="AC825" s="69" t="str">
        <f>IF(tech_base!$T201&gt;AC$625,"",(1000*tech_proj!AC1165*(-PMT($J$110,tech_base!$F201,1))+1000*tech_proj!AC1445)/((1-tech_proj!AC605)*tech_proj!AC885*$L$110))</f>
        <v/>
      </c>
      <c r="AD825" s="69" t="str">
        <f>IF(tech_base!$T201&gt;AD$625,"",(1000*tech_proj!AD1165*(-PMT($J$110,tech_base!$F201,1))+1000*tech_proj!AD1445)/((1-tech_proj!AD605)*tech_proj!AD885*$L$110))</f>
        <v/>
      </c>
      <c r="AE825" s="69">
        <f>IF(tech_base!$T201&gt;AE$625,"",(1000*tech_proj!AE1165*(-PMT($J$110,tech_base!$F201,1))+1000*tech_proj!AE1445)/((1-tech_proj!AE605)*tech_proj!AE885*$L$110))</f>
        <v>142.15321887201279</v>
      </c>
      <c r="AF825" s="69">
        <f>IF(tech_base!$T201&gt;AF$625,"",(1000*tech_proj!AF1165*(-PMT($J$110,tech_base!$F201,1))+1000*tech_proj!AF1445)/((1-tech_proj!AF605)*tech_proj!AF885*$L$110))</f>
        <v>142.15321887201279</v>
      </c>
      <c r="AG825" s="69">
        <f>IF(tech_base!$T201&gt;AG$625,"",(1000*tech_proj!AG1165*(-PMT($J$110,tech_base!$F201,1))+1000*tech_proj!AG1445)/((1-tech_proj!AG605)*tech_proj!AG885*$L$110))</f>
        <v>142.15321887201279</v>
      </c>
      <c r="AH825" s="69">
        <f>IF(tech_base!$T201&gt;AH$625,"",(1000*tech_proj!AH1165*(-PMT($J$110,tech_base!$F201,1))+1000*tech_proj!AH1445)/((1-tech_proj!AH605)*tech_proj!AH885*$L$110))</f>
        <v>142.15321887201279</v>
      </c>
      <c r="AI825" s="69">
        <f>IF(tech_base!$T201&gt;AI$625,"",(1000*tech_proj!AI1165*(-PMT($J$110,tech_base!$F201,1))+1000*tech_proj!AI1445)/((1-tech_proj!AI605)*tech_proj!AI885*$L$110))</f>
        <v>142.15321887201279</v>
      </c>
      <c r="AJ825" s="69">
        <f>IF(tech_base!$T201&gt;AJ$625,"",(1000*tech_proj!AJ1165*(-PMT($J$110,tech_base!$F201,1))+1000*tech_proj!AJ1445)/((1-tech_proj!AJ605)*tech_proj!AJ885*$L$110))</f>
        <v>142.15321887201279</v>
      </c>
      <c r="AK825" s="69">
        <f>IF(tech_base!$T201&gt;AK$625,"",(1000*tech_proj!AK1165*(-PMT($J$110,tech_base!$F201,1))+1000*tech_proj!AK1445)/((1-tech_proj!AK605)*tech_proj!AK885*$L$110))</f>
        <v>142.15321887201279</v>
      </c>
      <c r="AL825" s="69">
        <f>IF(tech_base!$T201&gt;AL$625,"",(1000*tech_proj!AL1165*(-PMT($J$110,tech_base!$F201,1))+1000*tech_proj!AL1445)/((1-tech_proj!AL605)*tech_proj!AL885*$L$110))</f>
        <v>142.15321887201279</v>
      </c>
      <c r="AM825" s="69">
        <f>IF(tech_base!$T201&gt;AM$625,"",(1000*tech_proj!AM1165*(-PMT($J$110,tech_base!$F201,1))+1000*tech_proj!AM1445)/((1-tech_proj!AM605)*tech_proj!AM885*$L$110))</f>
        <v>142.15321887201279</v>
      </c>
      <c r="AN825" s="69">
        <f>IF(tech_base!$T201&gt;AN$625,"",(1000*tech_proj!AN1165*(-PMT($J$110,tech_base!$F201,1))+1000*tech_proj!AN1445)/((1-tech_proj!AN605)*tech_proj!AN885*$L$110))</f>
        <v>142.15321887201279</v>
      </c>
      <c r="AO825" s="69">
        <f>IF(tech_base!$T201&gt;AO$625,"",(1000*tech_proj!AO1165*(-PMT($J$110,tech_base!$F201,1))+1000*tech_proj!AO1445)/((1-tech_proj!AO605)*tech_proj!AO885*$L$110))</f>
        <v>142.15321887201279</v>
      </c>
      <c r="AP825" s="69">
        <f>IF(tech_base!$T201&gt;AP$625,"",(1000*tech_proj!AP1165*(-PMT($J$110,tech_base!$F201,1))+1000*tech_proj!AP1445)/((1-tech_proj!AP605)*tech_proj!AP885*$L$110))</f>
        <v>142.15321887201279</v>
      </c>
      <c r="AQ825" s="69">
        <f>IF(tech_base!$T201&gt;AQ$625,"",(1000*tech_proj!AQ1165*(-PMT($J$110,tech_base!$F201,1))+1000*tech_proj!AQ1445)/((1-tech_proj!AQ605)*tech_proj!AQ885*$L$110))</f>
        <v>142.15321887201279</v>
      </c>
      <c r="AR825" s="69">
        <f>IF(tech_base!$T201&gt;AR$625,"",(1000*tech_proj!AR1165*(-PMT($J$110,tech_base!$F201,1))+1000*tech_proj!AR1445)/((1-tech_proj!AR605)*tech_proj!AR885*$L$110))</f>
        <v>142.15321887201279</v>
      </c>
      <c r="AS825" s="69">
        <f>IF(tech_base!$T201&gt;AS$625,"",(1000*tech_proj!AS1165*(-PMT($J$110,tech_base!$F201,1))+1000*tech_proj!AS1445)/((1-tech_proj!AS605)*tech_proj!AS885*$L$110))</f>
        <v>142.15321887201279</v>
      </c>
      <c r="AT825" s="69">
        <f>IF(tech_base!$T201&gt;AT$625,"",(1000*tech_proj!AT1165*(-PMT($J$110,tech_base!$F201,1))+1000*tech_proj!AT1445)/((1-tech_proj!AT605)*tech_proj!AT885*$L$110))</f>
        <v>142.15321887201279</v>
      </c>
      <c r="AU825" s="69">
        <f>IF(tech_base!$T201&gt;AU$625,"",(1000*tech_proj!AU1165*(-PMT($J$110,tech_base!$F201,1))+1000*tech_proj!AU1445)/((1-tech_proj!AU605)*tech_proj!AU885*$L$110))</f>
        <v>142.15321887201279</v>
      </c>
      <c r="AV825" s="69">
        <f>IF(tech_base!$T201&gt;AV$625,"",(1000*tech_proj!AV1165*(-PMT($J$110,tech_base!$F201,1))+1000*tech_proj!AV1445)/((1-tech_proj!AV605)*tech_proj!AV885*$L$110))</f>
        <v>142.15321887201279</v>
      </c>
      <c r="AW825" s="69">
        <f>IF(tech_base!$T201&gt;AW$625,"",(1000*tech_proj!AW1165*(-PMT($J$110,tech_base!$F201,1))+1000*tech_proj!AW1445)/((1-tech_proj!AW605)*tech_proj!AW885*$L$110))</f>
        <v>142.15321887201279</v>
      </c>
      <c r="AX825" s="235">
        <f>IF(tech_base!$T201&gt;AX$625,"",(1000*tech_proj!AX1165*(-PMT($J$110,tech_base!$F201,1))+1000*tech_proj!AX1445)/((1-tech_proj!AX605)*tech_proj!AX885*$L$110))</f>
        <v>142.15321887201279</v>
      </c>
    </row>
    <row r="826" spans="1:50" x14ac:dyDescent="0.25">
      <c r="A826" s="357"/>
      <c r="B826" s="380"/>
      <c r="C826" s="381"/>
      <c r="D826" s="4" t="s">
        <v>8</v>
      </c>
      <c r="E826" s="168" t="str">
        <f>A799&amp;"/"&amp;B815&amp;"/"&amp;C825&amp;"/"&amp;D826</f>
        <v>Fuel oil fired power plants/Steam turbine/CHP with CCS/M</v>
      </c>
      <c r="F826" s="80" t="str">
        <f>A799</f>
        <v>Fuel oil fired power plants</v>
      </c>
      <c r="G826" s="80" t="str">
        <f>B815</f>
        <v>Steam turbine</v>
      </c>
      <c r="H826" s="80" t="str">
        <f>C825</f>
        <v>CHP with CCS</v>
      </c>
      <c r="I826" s="169" t="str">
        <f t="shared" si="365"/>
        <v>M</v>
      </c>
      <c r="J826" s="73" t="str">
        <f>IF(tech_base!$T202&gt;J$625,"",(1000*tech_proj!J1166*(-PMT($J$110,tech_base!$F202,1))+1000*tech_proj!J1446)/((1-tech_proj!J606)*tech_proj!J886*$L$110))</f>
        <v/>
      </c>
      <c r="K826" s="73" t="str">
        <f>IF(tech_base!$T202&gt;K$625,"",(1000*tech_proj!K1166*(-PMT($J$110,tech_base!$F202,1))+1000*tech_proj!K1446)/((1-tech_proj!K606)*tech_proj!K886*$L$110))</f>
        <v/>
      </c>
      <c r="L826" s="73" t="str">
        <f>IF(tech_base!$T202&gt;L$625,"",(1000*tech_proj!L1166*(-PMT($J$110,tech_base!$F202,1))+1000*tech_proj!L1446)/((1-tech_proj!L606)*tech_proj!L886*$L$110))</f>
        <v/>
      </c>
      <c r="M826" s="73" t="str">
        <f>IF(tech_base!$T202&gt;M$625,"",(1000*tech_proj!M1166*(-PMT($J$110,tech_base!$F202,1))+1000*tech_proj!M1446)/((1-tech_proj!M606)*tech_proj!M886*$L$110))</f>
        <v/>
      </c>
      <c r="N826" s="73" t="str">
        <f>IF(tech_base!$T202&gt;N$625,"",(1000*tech_proj!N1166*(-PMT($J$110,tech_base!$F202,1))+1000*tech_proj!N1446)/((1-tech_proj!N606)*tech_proj!N886*$L$110))</f>
        <v/>
      </c>
      <c r="O826" s="73" t="str">
        <f>IF(tech_base!$T202&gt;O$625,"",(1000*tech_proj!O1166*(-PMT($J$110,tech_base!$F202,1))+1000*tech_proj!O1446)/((1-tech_proj!O606)*tech_proj!O886*$L$110))</f>
        <v/>
      </c>
      <c r="P826" s="73" t="str">
        <f>IF(tech_base!$T202&gt;P$625,"",(1000*tech_proj!P1166*(-PMT($J$110,tech_base!$F202,1))+1000*tech_proj!P1446)/((1-tech_proj!P606)*tech_proj!P886*$L$110))</f>
        <v/>
      </c>
      <c r="Q826" s="73" t="str">
        <f>IF(tech_base!$T202&gt;Q$625,"",(1000*tech_proj!Q1166*(-PMT($J$110,tech_base!$F202,1))+1000*tech_proj!Q1446)/((1-tech_proj!Q606)*tech_proj!Q886*$L$110))</f>
        <v/>
      </c>
      <c r="R826" s="73" t="str">
        <f>IF(tech_base!$T202&gt;R$625,"",(1000*tech_proj!R1166*(-PMT($J$110,tech_base!$F202,1))+1000*tech_proj!R1446)/((1-tech_proj!R606)*tech_proj!R886*$L$110))</f>
        <v/>
      </c>
      <c r="S826" s="73" t="str">
        <f>IF(tech_base!$T202&gt;S$625,"",(1000*tech_proj!S1166*(-PMT($J$110,tech_base!$F202,1))+1000*tech_proj!S1446)/((1-tech_proj!S606)*tech_proj!S886*$L$110))</f>
        <v/>
      </c>
      <c r="T826" s="73" t="str">
        <f>IF(tech_base!$T202&gt;T$625,"",(1000*tech_proj!T1166*(-PMT($J$110,tech_base!$F202,1))+1000*tech_proj!T1446)/((1-tech_proj!T606)*tech_proj!T886*$L$110))</f>
        <v/>
      </c>
      <c r="U826" s="73" t="str">
        <f>IF(tech_base!$T202&gt;U$625,"",(1000*tech_proj!U1166*(-PMT($J$110,tech_base!$F202,1))+1000*tech_proj!U1446)/((1-tech_proj!U606)*tech_proj!U886*$L$110))</f>
        <v/>
      </c>
      <c r="V826" s="73" t="str">
        <f>IF(tech_base!$T202&gt;V$625,"",(1000*tech_proj!V1166*(-PMT($J$110,tech_base!$F202,1))+1000*tech_proj!V1446)/((1-tech_proj!V606)*tech_proj!V886*$L$110))</f>
        <v/>
      </c>
      <c r="W826" s="73" t="str">
        <f>IF(tech_base!$T202&gt;W$625,"",(1000*tech_proj!W1166*(-PMT($J$110,tech_base!$F202,1))+1000*tech_proj!W1446)/((1-tech_proj!W606)*tech_proj!W886*$L$110))</f>
        <v/>
      </c>
      <c r="X826" s="73" t="str">
        <f>IF(tech_base!$T202&gt;X$625,"",(1000*tech_proj!X1166*(-PMT($J$110,tech_base!$F202,1))+1000*tech_proj!X1446)/((1-tech_proj!X606)*tech_proj!X886*$L$110))</f>
        <v/>
      </c>
      <c r="Y826" s="73" t="str">
        <f>IF(tech_base!$T202&gt;Y$625,"",(1000*tech_proj!Y1166*(-PMT($J$110,tech_base!$F202,1))+1000*tech_proj!Y1446)/((1-tech_proj!Y606)*tech_proj!Y886*$L$110))</f>
        <v/>
      </c>
      <c r="Z826" s="73" t="str">
        <f>IF(tech_base!$T202&gt;Z$625,"",(1000*tech_proj!Z1166*(-PMT($J$110,tech_base!$F202,1))+1000*tech_proj!Z1446)/((1-tech_proj!Z606)*tech_proj!Z886*$L$110))</f>
        <v/>
      </c>
      <c r="AA826" s="73" t="str">
        <f>IF(tech_base!$T202&gt;AA$625,"",(1000*tech_proj!AA1166*(-PMT($J$110,tech_base!$F202,1))+1000*tech_proj!AA1446)/((1-tech_proj!AA606)*tech_proj!AA886*$L$110))</f>
        <v/>
      </c>
      <c r="AB826" s="73" t="str">
        <f>IF(tech_base!$T202&gt;AB$625,"",(1000*tech_proj!AB1166*(-PMT($J$110,tech_base!$F202,1))+1000*tech_proj!AB1446)/((1-tech_proj!AB606)*tech_proj!AB886*$L$110))</f>
        <v/>
      </c>
      <c r="AC826" s="73" t="str">
        <f>IF(tech_base!$T202&gt;AC$625,"",(1000*tech_proj!AC1166*(-PMT($J$110,tech_base!$F202,1))+1000*tech_proj!AC1446)/((1-tech_proj!AC606)*tech_proj!AC886*$L$110))</f>
        <v/>
      </c>
      <c r="AD826" s="73" t="str">
        <f>IF(tech_base!$T202&gt;AD$625,"",(1000*tech_proj!AD1166*(-PMT($J$110,tech_base!$F202,1))+1000*tech_proj!AD1446)/((1-tech_proj!AD606)*tech_proj!AD886*$L$110))</f>
        <v/>
      </c>
      <c r="AE826" s="73">
        <f>IF(tech_base!$T202&gt;AE$625,"",(1000*tech_proj!AE1166*(-PMT($J$110,tech_base!$F202,1))+1000*tech_proj!AE1446)/((1-tech_proj!AE606)*tech_proj!AE886*$L$110))</f>
        <v>167.05075115125274</v>
      </c>
      <c r="AF826" s="73">
        <f>IF(tech_base!$T202&gt;AF$625,"",(1000*tech_proj!AF1166*(-PMT($J$110,tech_base!$F202,1))+1000*tech_proj!AF1446)/((1-tech_proj!AF606)*tech_proj!AF886*$L$110))</f>
        <v>167.05075115125274</v>
      </c>
      <c r="AG826" s="73">
        <f>IF(tech_base!$T202&gt;AG$625,"",(1000*tech_proj!AG1166*(-PMT($J$110,tech_base!$F202,1))+1000*tech_proj!AG1446)/((1-tech_proj!AG606)*tech_proj!AG886*$L$110))</f>
        <v>167.05075115125274</v>
      </c>
      <c r="AH826" s="73">
        <f>IF(tech_base!$T202&gt;AH$625,"",(1000*tech_proj!AH1166*(-PMT($J$110,tech_base!$F202,1))+1000*tech_proj!AH1446)/((1-tech_proj!AH606)*tech_proj!AH886*$L$110))</f>
        <v>167.05075115125274</v>
      </c>
      <c r="AI826" s="73">
        <f>IF(tech_base!$T202&gt;AI$625,"",(1000*tech_proj!AI1166*(-PMT($J$110,tech_base!$F202,1))+1000*tech_proj!AI1446)/((1-tech_proj!AI606)*tech_proj!AI886*$L$110))</f>
        <v>167.05075115125274</v>
      </c>
      <c r="AJ826" s="73">
        <f>IF(tech_base!$T202&gt;AJ$625,"",(1000*tech_proj!AJ1166*(-PMT($J$110,tech_base!$F202,1))+1000*tech_proj!AJ1446)/((1-tech_proj!AJ606)*tech_proj!AJ886*$L$110))</f>
        <v>167.05075115125274</v>
      </c>
      <c r="AK826" s="73">
        <f>IF(tech_base!$T202&gt;AK$625,"",(1000*tech_proj!AK1166*(-PMT($J$110,tech_base!$F202,1))+1000*tech_proj!AK1446)/((1-tech_proj!AK606)*tech_proj!AK886*$L$110))</f>
        <v>167.05075115125274</v>
      </c>
      <c r="AL826" s="73">
        <f>IF(tech_base!$T202&gt;AL$625,"",(1000*tech_proj!AL1166*(-PMT($J$110,tech_base!$F202,1))+1000*tech_proj!AL1446)/((1-tech_proj!AL606)*tech_proj!AL886*$L$110))</f>
        <v>167.05075115125274</v>
      </c>
      <c r="AM826" s="73">
        <f>IF(tech_base!$T202&gt;AM$625,"",(1000*tech_proj!AM1166*(-PMT($J$110,tech_base!$F202,1))+1000*tech_proj!AM1446)/((1-tech_proj!AM606)*tech_proj!AM886*$L$110))</f>
        <v>167.05075115125274</v>
      </c>
      <c r="AN826" s="73">
        <f>IF(tech_base!$T202&gt;AN$625,"",(1000*tech_proj!AN1166*(-PMT($J$110,tech_base!$F202,1))+1000*tech_proj!AN1446)/((1-tech_proj!AN606)*tech_proj!AN886*$L$110))</f>
        <v>167.05075115125274</v>
      </c>
      <c r="AO826" s="73">
        <f>IF(tech_base!$T202&gt;AO$625,"",(1000*tech_proj!AO1166*(-PMT($J$110,tech_base!$F202,1))+1000*tech_proj!AO1446)/((1-tech_proj!AO606)*tech_proj!AO886*$L$110))</f>
        <v>167.05075115125274</v>
      </c>
      <c r="AP826" s="73">
        <f>IF(tech_base!$T202&gt;AP$625,"",(1000*tech_proj!AP1166*(-PMT($J$110,tech_base!$F202,1))+1000*tech_proj!AP1446)/((1-tech_proj!AP606)*tech_proj!AP886*$L$110))</f>
        <v>167.05075115125274</v>
      </c>
      <c r="AQ826" s="73">
        <f>IF(tech_base!$T202&gt;AQ$625,"",(1000*tech_proj!AQ1166*(-PMT($J$110,tech_base!$F202,1))+1000*tech_proj!AQ1446)/((1-tech_proj!AQ606)*tech_proj!AQ886*$L$110))</f>
        <v>167.05075115125274</v>
      </c>
      <c r="AR826" s="73">
        <f>IF(tech_base!$T202&gt;AR$625,"",(1000*tech_proj!AR1166*(-PMT($J$110,tech_base!$F202,1))+1000*tech_proj!AR1446)/((1-tech_proj!AR606)*tech_proj!AR886*$L$110))</f>
        <v>167.05075115125274</v>
      </c>
      <c r="AS826" s="73">
        <f>IF(tech_base!$T202&gt;AS$625,"",(1000*tech_proj!AS1166*(-PMT($J$110,tech_base!$F202,1))+1000*tech_proj!AS1446)/((1-tech_proj!AS606)*tech_proj!AS886*$L$110))</f>
        <v>167.05075115125274</v>
      </c>
      <c r="AT826" s="73">
        <f>IF(tech_base!$T202&gt;AT$625,"",(1000*tech_proj!AT1166*(-PMT($J$110,tech_base!$F202,1))+1000*tech_proj!AT1446)/((1-tech_proj!AT606)*tech_proj!AT886*$L$110))</f>
        <v>167.05075115125274</v>
      </c>
      <c r="AU826" s="73">
        <f>IF(tech_base!$T202&gt;AU$625,"",(1000*tech_proj!AU1166*(-PMT($J$110,tech_base!$F202,1))+1000*tech_proj!AU1446)/((1-tech_proj!AU606)*tech_proj!AU886*$L$110))</f>
        <v>167.05075115125274</v>
      </c>
      <c r="AV826" s="73">
        <f>IF(tech_base!$T202&gt;AV$625,"",(1000*tech_proj!AV1166*(-PMT($J$110,tech_base!$F202,1))+1000*tech_proj!AV1446)/((1-tech_proj!AV606)*tech_proj!AV886*$L$110))</f>
        <v>167.05075115125274</v>
      </c>
      <c r="AW826" s="73">
        <f>IF(tech_base!$T202&gt;AW$625,"",(1000*tech_proj!AW1166*(-PMT($J$110,tech_base!$F202,1))+1000*tech_proj!AW1446)/((1-tech_proj!AW606)*tech_proj!AW886*$L$110))</f>
        <v>167.05075115125274</v>
      </c>
      <c r="AX826" s="239">
        <f>IF(tech_base!$T202&gt;AX$625,"",(1000*tech_proj!AX1166*(-PMT($J$110,tech_base!$F202,1))+1000*tech_proj!AX1446)/((1-tech_proj!AX606)*tech_proj!AX886*$L$110))</f>
        <v>167.05075115125274</v>
      </c>
    </row>
    <row r="827" spans="1:50" x14ac:dyDescent="0.25">
      <c r="A827" s="355" t="s">
        <v>30</v>
      </c>
      <c r="B827" s="358" t="s">
        <v>13</v>
      </c>
      <c r="C827" s="353" t="s">
        <v>6</v>
      </c>
      <c r="D827" s="3" t="s">
        <v>7</v>
      </c>
      <c r="E827" s="162" t="str">
        <f>A827&amp;"/"&amp;B827&amp;"/"&amp;C827&amp;"/"&amp;D827</f>
        <v>Biomass and waste fired power plants/Integrated gasification combined cycle/Electricity only/L</v>
      </c>
      <c r="F827" s="77" t="str">
        <f>A827</f>
        <v>Biomass and waste fired power plants</v>
      </c>
      <c r="G827" s="77" t="str">
        <f>B827</f>
        <v>Integrated gasification combined cycle</v>
      </c>
      <c r="H827" s="77" t="str">
        <f>C827</f>
        <v>Electricity only</v>
      </c>
      <c r="I827" s="163" t="str">
        <f t="shared" si="365"/>
        <v>L</v>
      </c>
      <c r="J827" s="70">
        <f>IF(tech_base!$T203&gt;J$625,"",(1000*tech_proj!J1167*(-PMT($J$110,tech_base!$F203,1))+1000*tech_proj!J1447)/((1-tech_proj!J607)*tech_proj!J887*$L$110))</f>
        <v>114.75168082718092</v>
      </c>
      <c r="K827" s="70">
        <f>IF(tech_base!$T203&gt;K$625,"",(1000*tech_proj!K1167*(-PMT($J$110,tech_base!$F203,1))+1000*tech_proj!K1447)/((1-tech_proj!K607)*tech_proj!K887*$L$110))</f>
        <v>114.75087821688798</v>
      </c>
      <c r="L827" s="70">
        <f>IF(tech_base!$T203&gt;L$625,"",(1000*tech_proj!L1167*(-PMT($J$110,tech_base!$F203,1))+1000*tech_proj!L1447)/((1-tech_proj!L607)*tech_proj!L887*$L$110))</f>
        <v>114.74984769552829</v>
      </c>
      <c r="M827" s="70">
        <f>IF(tech_base!$T203&gt;M$625,"",(1000*tech_proj!M1167*(-PMT($J$110,tech_base!$F203,1))+1000*tech_proj!M1447)/((1-tech_proj!M607)*tech_proj!M887*$L$110))</f>
        <v>114.74852456342138</v>
      </c>
      <c r="N827" s="70">
        <f>IF(tech_base!$T203&gt;N$625,"",(1000*tech_proj!N1167*(-PMT($J$110,tech_base!$F203,1))+1000*tech_proj!N1447)/((1-tech_proj!N607)*tech_proj!N887*$L$110))</f>
        <v>114.74682576583979</v>
      </c>
      <c r="O827" s="70">
        <f>IF(tech_base!$T203&gt;O$625,"",(1000*tech_proj!O1167*(-PMT($J$110,tech_base!$F203,1))+1000*tech_proj!O1447)/((1-tech_proj!O607)*tech_proj!O887*$L$110))</f>
        <v>114.74464469352301</v>
      </c>
      <c r="P827" s="70">
        <f>IF(tech_base!$T203&gt;P$625,"",(1000*tech_proj!P1167*(-PMT($J$110,tech_base!$F203,1))+1000*tech_proj!P1447)/((1-tech_proj!P607)*tech_proj!P887*$L$110))</f>
        <v>114.74184451535812</v>
      </c>
      <c r="Q827" s="70">
        <f>IF(tech_base!$T203&gt;Q$625,"",(1000*tech_proj!Q1167*(-PMT($J$110,tech_base!$F203,1))+1000*tech_proj!Q1447)/((1-tech_proj!Q607)*tech_proj!Q887*$L$110))</f>
        <v>114.73824963212174</v>
      </c>
      <c r="R827" s="70">
        <f>IF(tech_base!$T203&gt;R$625,"",(1000*tech_proj!R1167*(-PMT($J$110,tech_base!$F203,1))+1000*tech_proj!R1447)/((1-tech_proj!R607)*tech_proj!R887*$L$110))</f>
        <v>114.73363472716501</v>
      </c>
      <c r="S827" s="70">
        <f>IF(tech_base!$T203&gt;S$625,"",(1000*tech_proj!S1167*(-PMT($J$110,tech_base!$F203,1))+1000*tech_proj!S1447)/((1-tech_proj!S607)*tech_proj!S887*$L$110))</f>
        <v>114.72771074722931</v>
      </c>
      <c r="T827" s="70">
        <f>IF(tech_base!$T203&gt;T$625,"",(1000*tech_proj!T1167*(-PMT($J$110,tech_base!$F203,1))+1000*tech_proj!T1447)/((1-tech_proj!T607)*tech_proj!T887*$L$110))</f>
        <v>114.72010696733436</v>
      </c>
      <c r="U827" s="70">
        <f>IF(tech_base!$T203&gt;U$625,"",(1000*tech_proj!U1167*(-PMT($J$110,tech_base!$F203,1))+1000*tech_proj!U1447)/((1-tech_proj!U607)*tech_proj!U887*$L$110))</f>
        <v>114.71034807005088</v>
      </c>
      <c r="V827" s="70">
        <f>IF(tech_base!$T203&gt;V$625,"",(1000*tech_proj!V1167*(-PMT($J$110,tech_base!$F203,1))+1000*tech_proj!V1447)/((1-tech_proj!V607)*tech_proj!V887*$L$110))</f>
        <v>114.69782489301927</v>
      </c>
      <c r="W827" s="70">
        <f>IF(tech_base!$T203&gt;W$625,"",(1000*tech_proj!W1167*(-PMT($J$110,tech_base!$F203,1))+1000*tech_proj!W1447)/((1-tech_proj!W607)*tech_proj!W887*$L$110))</f>
        <v>114.68175716111307</v>
      </c>
      <c r="X827" s="70">
        <f>IF(tech_base!$T203&gt;X$625,"",(1000*tech_proj!X1167*(-PMT($J$110,tech_base!$F203,1))+1000*tech_proj!X1447)/((1-tech_proj!X607)*tech_proj!X887*$L$110))</f>
        <v>114.66114611492004</v>
      </c>
      <c r="Y827" s="70">
        <f>IF(tech_base!$T203&gt;Y$625,"",(1000*tech_proj!Y1167*(-PMT($J$110,tech_base!$F203,1))+1000*tech_proj!Y1447)/((1-tech_proj!Y607)*tech_proj!Y887*$L$110))</f>
        <v>114.63471447408396</v>
      </c>
      <c r="Z827" s="70">
        <f>IF(tech_base!$T203&gt;Z$625,"",(1000*tech_proj!Z1167*(-PMT($J$110,tech_base!$F203,1))+1000*tech_proj!Z1447)/((1-tech_proj!Z607)*tech_proj!Z887*$L$110))</f>
        <v>114.6008306420639</v>
      </c>
      <c r="AA827" s="70">
        <f>IF(tech_base!$T203&gt;AA$625,"",(1000*tech_proj!AA1167*(-PMT($J$110,tech_base!$F203,1))+1000*tech_proj!AA1447)/((1-tech_proj!AA607)*tech_proj!AA887*$L$110))</f>
        <v>114.55741349774853</v>
      </c>
      <c r="AB827" s="70">
        <f>IF(tech_base!$T203&gt;AB$625,"",(1000*tech_proj!AB1167*(-PMT($J$110,tech_base!$F203,1))+1000*tech_proj!AB1447)/((1-tech_proj!AB607)*tech_proj!AB887*$L$110))</f>
        <v>114.50181359461477</v>
      </c>
      <c r="AC827" s="70">
        <f>IF(tech_base!$T203&gt;AC$625,"",(1000*tech_proj!AC1167*(-PMT($J$110,tech_base!$F203,1))+1000*tech_proj!AC1447)/((1-tech_proj!AC607)*tech_proj!AC887*$L$110))</f>
        <v>114.43066622595427</v>
      </c>
      <c r="AD827" s="70">
        <f>IF(tech_base!$T203&gt;AD$625,"",(1000*tech_proj!AD1167*(-PMT($J$110,tech_base!$F203,1))+1000*tech_proj!AD1447)/((1-tech_proj!AD607)*tech_proj!AD887*$L$110))</f>
        <v>114.33971184043938</v>
      </c>
      <c r="AE827" s="70">
        <f>IF(tech_base!$T203&gt;AE$625,"",(1000*tech_proj!AE1167*(-PMT($J$110,tech_base!$F203,1))+1000*tech_proj!AE1447)/((1-tech_proj!AE607)*tech_proj!AE887*$L$110))</f>
        <v>114.22358008724285</v>
      </c>
      <c r="AF827" s="70">
        <f>IF(tech_base!$T203&gt;AF$625,"",(1000*tech_proj!AF1167*(-PMT($J$110,tech_base!$F203,1))+1000*tech_proj!AF1447)/((1-tech_proj!AF607)*tech_proj!AF887*$L$110))</f>
        <v>114.07553595033019</v>
      </c>
      <c r="AG827" s="70">
        <f>IF(tech_base!$T203&gt;AG$625,"",(1000*tech_proj!AG1167*(-PMT($J$110,tech_base!$F203,1))+1000*tech_proj!AG1447)/((1-tech_proj!AG607)*tech_proj!AG887*$L$110))</f>
        <v>113.88719094873531</v>
      </c>
      <c r="AH827" s="70">
        <f>IF(tech_base!$T203&gt;AH$625,"",(1000*tech_proj!AH1167*(-PMT($J$110,tech_base!$F203,1))+1000*tech_proj!AH1447)/((1-tech_proj!AH607)*tech_proj!AH887*$L$110))</f>
        <v>113.6481906248442</v>
      </c>
      <c r="AI827" s="70">
        <f>IF(tech_base!$T203&gt;AI$625,"",(1000*tech_proj!AI1167*(-PMT($J$110,tech_base!$F203,1))+1000*tech_proj!AI1447)/((1-tech_proj!AI607)*tech_proj!AI887*$L$110))</f>
        <v>113.34590340695097</v>
      </c>
      <c r="AJ827" s="70">
        <f>IF(tech_base!$T203&gt;AJ$625,"",(1000*tech_proj!AJ1167*(-PMT($J$110,tech_base!$F203,1))+1000*tech_proj!AJ1447)/((1-tech_proj!AJ607)*tech_proj!AJ887*$L$110))</f>
        <v>112.96515770439545</v>
      </c>
      <c r="AK827" s="70">
        <f>IF(tech_base!$T203&gt;AK$625,"",(1000*tech_proj!AK1167*(-PMT($J$110,tech_base!$F203,1))+1000*tech_proj!AK1447)/((1-tech_proj!AK607)*tech_proj!AK887*$L$110))</f>
        <v>112.48810596429539</v>
      </c>
      <c r="AL827" s="70">
        <f>IF(tech_base!$T203&gt;AL$625,"",(1000*tech_proj!AL1167*(-PMT($J$110,tech_base!$F203,1))+1000*tech_proj!AL1447)/((1-tech_proj!AL607)*tech_proj!AL887*$L$110))</f>
        <v>111.89433719729807</v>
      </c>
      <c r="AM827" s="70">
        <f>IF(tech_base!$T203&gt;AM$625,"",(1000*tech_proj!AM1167*(-PMT($J$110,tech_base!$F203,1))+1000*tech_proj!AM1447)/((1-tech_proj!AM607)*tech_proj!AM887*$L$110))</f>
        <v>111.16140998031443</v>
      </c>
      <c r="AN827" s="70">
        <f>IF(tech_base!$T203&gt;AN$625,"",(1000*tech_proj!AN1167*(-PMT($J$110,tech_base!$F203,1))+1000*tech_proj!AN1447)/((1-tech_proj!AN607)*tech_proj!AN887*$L$110))</f>
        <v>110.26602459480176</v>
      </c>
      <c r="AO827" s="70">
        <f>IF(tech_base!$T203&gt;AO$625,"",(1000*tech_proj!AO1167*(-PMT($J$110,tech_base!$F203,1))+1000*tech_proj!AO1447)/((1-tech_proj!AO607)*tech_proj!AO887*$L$110))</f>
        <v>109.18607001587996</v>
      </c>
      <c r="AP827" s="70">
        <f>IF(tech_base!$T203&gt;AP$625,"",(1000*tech_proj!AP1167*(-PMT($J$110,tech_base!$F203,1))+1000*tech_proj!AP1447)/((1-tech_proj!AP607)*tech_proj!AP887*$L$110))</f>
        <v>107.90372460181443</v>
      </c>
      <c r="AQ827" s="70">
        <f>IF(tech_base!$T203&gt;AQ$625,"",(1000*tech_proj!AQ1167*(-PMT($J$110,tech_base!$F203,1))+1000*tech_proj!AQ1447)/((1-tech_proj!AQ607)*tech_proj!AQ887*$L$110))</f>
        <v>106.40959979884362</v>
      </c>
      <c r="AR827" s="70">
        <f>IF(tech_base!$T203&gt;AR$625,"",(1000*tech_proj!AR1167*(-PMT($J$110,tech_base!$F203,1))+1000*tech_proj!AR1447)/((1-tech_proj!AR607)*tech_proj!AR887*$L$110))</f>
        <v>104.70754555760516</v>
      </c>
      <c r="AS827" s="70">
        <f>IF(tech_base!$T203&gt;AS$625,"",(1000*tech_proj!AS1167*(-PMT($J$110,tech_base!$F203,1))+1000*tech_proj!AS1447)/((1-tech_proj!AS607)*tech_proj!AS887*$L$110))</f>
        <v>102.8192016899377</v>
      </c>
      <c r="AT827" s="70">
        <f>IF(tech_base!$T203&gt;AT$625,"",(1000*tech_proj!AT1167*(-PMT($J$110,tech_base!$F203,1))+1000*tech_proj!AT1447)/((1-tech_proj!AT607)*tech_proj!AT887*$L$110))</f>
        <v>100.78683789375671</v>
      </c>
      <c r="AU827" s="70">
        <f>IF(tech_base!$T203&gt;AU$625,"",(1000*tech_proj!AU1167*(-PMT($J$110,tech_base!$F203,1))+1000*tech_proj!AU1447)/((1-tech_proj!AU607)*tech_proj!AU887*$L$110))</f>
        <v>98.672805489672058</v>
      </c>
      <c r="AV827" s="70">
        <f>IF(tech_base!$T203&gt;AV$625,"",(1000*tech_proj!AV1167*(-PMT($J$110,tech_base!$F203,1))+1000*tech_proj!AV1447)/((1-tech_proj!AV607)*tech_proj!AV887*$L$110))</f>
        <v>96.554416550612942</v>
      </c>
      <c r="AW827" s="70">
        <f>IF(tech_base!$T203&gt;AW$625,"",(1000*tech_proj!AW1167*(-PMT($J$110,tech_base!$F203,1))+1000*tech_proj!AW1447)/((1-tech_proj!AW607)*tech_proj!AW887*$L$110))</f>
        <v>94.514423506547899</v>
      </c>
      <c r="AX827" s="236">
        <f>IF(tech_base!$T203&gt;AX$625,"",(1000*tech_proj!AX1167*(-PMT($J$110,tech_base!$F203,1))+1000*tech_proj!AX1447)/((1-tech_proj!AX607)*tech_proj!AX887*$L$110))</f>
        <v>92.629084064678892</v>
      </c>
    </row>
    <row r="828" spans="1:50" x14ac:dyDescent="0.25">
      <c r="A828" s="356"/>
      <c r="B828" s="376"/>
      <c r="C828" s="379"/>
      <c r="D828" s="2" t="s">
        <v>8</v>
      </c>
      <c r="E828" s="160" t="str">
        <f>A827&amp;"/"&amp;B827&amp;"/"&amp;C827&amp;"/"&amp;D828</f>
        <v>Biomass and waste fired power plants/Integrated gasification combined cycle/Electricity only/M</v>
      </c>
      <c r="F828" s="76" t="str">
        <f>A827</f>
        <v>Biomass and waste fired power plants</v>
      </c>
      <c r="G828" s="76" t="str">
        <f>B827</f>
        <v>Integrated gasification combined cycle</v>
      </c>
      <c r="H828" s="76" t="str">
        <f>C827</f>
        <v>Electricity only</v>
      </c>
      <c r="I828" s="161" t="str">
        <f t="shared" si="365"/>
        <v>M</v>
      </c>
      <c r="J828" s="69">
        <f>IF(tech_base!$T204&gt;J$625,"",(1000*tech_proj!J1168*(-PMT($J$110,tech_base!$F204,1))+1000*tech_proj!J1448)/((1-tech_proj!J608)*tech_proj!J888*$L$110))</f>
        <v>123.76709526375858</v>
      </c>
      <c r="K828" s="69">
        <f>IF(tech_base!$T204&gt;K$625,"",(1000*tech_proj!K1168*(-PMT($J$110,tech_base!$F204,1))+1000*tech_proj!K1448)/((1-tech_proj!K608)*tech_proj!K888*$L$110))</f>
        <v>123.76246686808746</v>
      </c>
      <c r="L828" s="69">
        <f>IF(tech_base!$T204&gt;L$625,"",(1000*tech_proj!L1168*(-PMT($J$110,tech_base!$F204,1))+1000*tech_proj!L1448)/((1-tech_proj!L608)*tech_proj!L888*$L$110))</f>
        <v>123.75681494464709</v>
      </c>
      <c r="M828" s="69">
        <f>IF(tech_base!$T204&gt;M$625,"",(1000*tech_proj!M1168*(-PMT($J$110,tech_base!$F204,1))+1000*tech_proj!M1448)/((1-tech_proj!M608)*tech_proj!M888*$L$110))</f>
        <v>123.74991347696499</v>
      </c>
      <c r="N828" s="69">
        <f>IF(tech_base!$T204&gt;N$625,"",(1000*tech_proj!N1168*(-PMT($J$110,tech_base!$F204,1))+1000*tech_proj!N1448)/((1-tech_proj!N608)*tech_proj!N888*$L$110))</f>
        <v>123.74148670024228</v>
      </c>
      <c r="O828" s="69">
        <f>IF(tech_base!$T204&gt;O$625,"",(1000*tech_proj!O1168*(-PMT($J$110,tech_base!$F204,1))+1000*tech_proj!O1448)/((1-tech_proj!O608)*tech_proj!O888*$L$110))</f>
        <v>123.73119823031897</v>
      </c>
      <c r="P828" s="69">
        <f>IF(tech_base!$T204&gt;P$625,"",(1000*tech_proj!P1168*(-PMT($J$110,tech_base!$F204,1))+1000*tech_proj!P1448)/((1-tech_proj!P608)*tech_proj!P888*$L$110))</f>
        <v>123.71863785595252</v>
      </c>
      <c r="Q828" s="69">
        <f>IF(tech_base!$T204&gt;Q$625,"",(1000*tech_proj!Q1168*(-PMT($J$110,tech_base!$F204,1))+1000*tech_proj!Q1448)/((1-tech_proj!Q608)*tech_proj!Q888*$L$110))</f>
        <v>123.70330551131319</v>
      </c>
      <c r="R828" s="69">
        <f>IF(tech_base!$T204&gt;R$625,"",(1000*tech_proj!R1168*(-PMT($J$110,tech_base!$F204,1))+1000*tech_proj!R1448)/((1-tech_proj!R608)*tech_proj!R888*$L$110))</f>
        <v>123.68459185526699</v>
      </c>
      <c r="S828" s="69">
        <f>IF(tech_base!$T204&gt;S$625,"",(1000*tech_proj!S1168*(-PMT($J$110,tech_base!$F204,1))+1000*tech_proj!S1448)/((1-tech_proj!S608)*tech_proj!S888*$L$110))</f>
        <v>123.66175478168284</v>
      </c>
      <c r="T828" s="69">
        <f>IF(tech_base!$T204&gt;T$625,"",(1000*tech_proj!T1168*(-PMT($J$110,tech_base!$F204,1))+1000*tech_proj!T1448)/((1-tech_proj!T608)*tech_proj!T888*$L$110))</f>
        <v>123.63389107179178</v>
      </c>
      <c r="U828" s="69">
        <f>IF(tech_base!$T204&gt;U$625,"",(1000*tech_proj!U1168*(-PMT($J$110,tech_base!$F204,1))+1000*tech_proj!U1448)/((1-tech_proj!U608)*tech_proj!U888*$L$110))</f>
        <v>123.59990227867522</v>
      </c>
      <c r="V828" s="69">
        <f>IF(tech_base!$T204&gt;V$625,"",(1000*tech_proj!V1168*(-PMT($J$110,tech_base!$F204,1))+1000*tech_proj!V1448)/((1-tech_proj!V608)*tech_proj!V888*$L$110))</f>
        <v>123.55845381158336</v>
      </c>
      <c r="W828" s="69">
        <f>IF(tech_base!$T204&gt;W$625,"",(1000*tech_proj!W1168*(-PMT($J$110,tech_base!$F204,1))+1000*tech_proj!W1448)/((1-tech_proj!W608)*tech_proj!W888*$L$110))</f>
        <v>123.50792607529257</v>
      </c>
      <c r="X828" s="69">
        <f>IF(tech_base!$T204&gt;X$625,"",(1000*tech_proj!X1168*(-PMT($J$110,tech_base!$F204,1))+1000*tech_proj!X1448)/((1-tech_proj!X608)*tech_proj!X888*$L$110))</f>
        <v>123.44635643592677</v>
      </c>
      <c r="Y828" s="69">
        <f>IF(tech_base!$T204&gt;Y$625,"",(1000*tech_proj!Y1168*(-PMT($J$110,tech_base!$F204,1))+1000*tech_proj!Y1448)/((1-tech_proj!Y608)*tech_proj!Y888*$L$110))</f>
        <v>123.37137075956669</v>
      </c>
      <c r="Z828" s="69">
        <f>IF(tech_base!$T204&gt;Z$625,"",(1000*tech_proj!Z1168*(-PMT($J$110,tech_base!$F204,1))+1000*tech_proj!Z1448)/((1-tech_proj!Z608)*tech_proj!Z888*$L$110))</f>
        <v>123.2801033495995</v>
      </c>
      <c r="AA828" s="69">
        <f>IF(tech_base!$T204&gt;AA$625,"",(1000*tech_proj!AA1168*(-PMT($J$110,tech_base!$F204,1))+1000*tech_proj!AA1448)/((1-tech_proj!AA608)*tech_proj!AA888*$L$110))</f>
        <v>123.16910436182512</v>
      </c>
      <c r="AB828" s="69">
        <f>IF(tech_base!$T204&gt;AB$625,"",(1000*tech_proj!AB1168*(-PMT($J$110,tech_base!$F204,1))+1000*tech_proj!AB1448)/((1-tech_proj!AB608)*tech_proj!AB888*$L$110))</f>
        <v>123.03423430243126</v>
      </c>
      <c r="AC828" s="69">
        <f>IF(tech_base!$T204&gt;AC$625,"",(1000*tech_proj!AC1168*(-PMT($J$110,tech_base!$F204,1))+1000*tech_proj!AC1448)/((1-tech_proj!AC608)*tech_proj!AC888*$L$110))</f>
        <v>122.87054615326613</v>
      </c>
      <c r="AD828" s="69">
        <f>IF(tech_base!$T204&gt;AD$625,"",(1000*tech_proj!AD1168*(-PMT($J$110,tech_base!$F204,1))+1000*tech_proj!AD1448)/((1-tech_proj!AD608)*tech_proj!AD888*$L$110))</f>
        <v>122.67215721193809</v>
      </c>
      <c r="AE828" s="69">
        <f>IF(tech_base!$T204&gt;AE$625,"",(1000*tech_proj!AE1168*(-PMT($J$110,tech_base!$F204,1))+1000*tech_proj!AE1448)/((1-tech_proj!AE608)*tech_proj!AE888*$L$110))</f>
        <v>122.43211512911012</v>
      </c>
      <c r="AF828" s="69">
        <f>IF(tech_base!$T204&gt;AF$625,"",(1000*tech_proj!AF1168*(-PMT($J$110,tech_base!$F204,1))+1000*tech_proj!AF1448)/((1-tech_proj!AF608)*tech_proj!AF888*$L$110))</f>
        <v>122.14226617545225</v>
      </c>
      <c r="AG828" s="69">
        <f>IF(tech_base!$T204&gt;AG$625,"",(1000*tech_proj!AG1168*(-PMT($J$110,tech_base!$F204,1))+1000*tech_proj!AG1448)/((1-tech_proj!AG608)*tech_proj!AG888*$L$110))</f>
        <v>121.79313881360518</v>
      </c>
      <c r="AH828" s="69">
        <f>IF(tech_base!$T204&gt;AH$625,"",(1000*tech_proj!AH1168*(-PMT($J$110,tech_base!$F204,1))+1000*tech_proj!AH1448)/((1-tech_proj!AH608)*tech_proj!AH888*$L$110))</f>
        <v>121.37386249859708</v>
      </c>
      <c r="AI828" s="69">
        <f>IF(tech_base!$T204&gt;AI$625,"",(1000*tech_proj!AI1168*(-PMT($J$110,tech_base!$F204,1))+1000*tech_proj!AI1448)/((1-tech_proj!AI608)*tech_proj!AI888*$L$110))</f>
        <v>120.87215044730661</v>
      </c>
      <c r="AJ828" s="69">
        <f>IF(tech_base!$T204&gt;AJ$625,"",(1000*tech_proj!AJ1168*(-PMT($J$110,tech_base!$F204,1))+1000*tech_proj!AJ1448)/((1-tech_proj!AJ608)*tech_proj!AJ888*$L$110))</f>
        <v>120.27438569723763</v>
      </c>
      <c r="AK828" s="69">
        <f>IF(tech_base!$T204&gt;AK$625,"",(1000*tech_proj!AK1168*(-PMT($J$110,tech_base!$F204,1))+1000*tech_proj!AK1448)/((1-tech_proj!AK608)*tech_proj!AK888*$L$110))</f>
        <v>119.56586118645401</v>
      </c>
      <c r="AL828" s="69">
        <f>IF(tech_base!$T204&gt;AL$625,"",(1000*tech_proj!AL1168*(-PMT($J$110,tech_base!$F204,1))+1000*tech_proj!AL1448)/((1-tech_proj!AL608)*tech_proj!AL888*$L$110))</f>
        <v>118.73123468081918</v>
      </c>
      <c r="AM828" s="69">
        <f>IF(tech_base!$T204&gt;AM$625,"",(1000*tech_proj!AM1168*(-PMT($J$110,tech_base!$F204,1))+1000*tech_proj!AM1448)/((1-tech_proj!AM608)*tech_proj!AM888*$L$110))</f>
        <v>117.75526421218954</v>
      </c>
      <c r="AN828" s="69">
        <f>IF(tech_base!$T204&gt;AN$625,"",(1000*tech_proj!AN1168*(-PMT($J$110,tech_base!$F204,1))+1000*tech_proj!AN1448)/((1-tech_proj!AN608)*tech_proj!AN888*$L$110))</f>
        <v>116.62388310807596</v>
      </c>
      <c r="AO828" s="69">
        <f>IF(tech_base!$T204&gt;AO$625,"",(1000*tech_proj!AO1168*(-PMT($J$110,tech_base!$F204,1))+1000*tech_proj!AO1448)/((1-tech_proj!AO608)*tech_proj!AO888*$L$110))</f>
        <v>115.32564746337147</v>
      </c>
      <c r="AP828" s="69">
        <f>IF(tech_base!$T204&gt;AP$625,"",(1000*tech_proj!AP1168*(-PMT($J$110,tech_base!$F204,1))+1000*tech_proj!AP1448)/((1-tech_proj!AP608)*tech_proj!AP888*$L$110))</f>
        <v>113.85353423737051</v>
      </c>
      <c r="AQ828" s="69">
        <f>IF(tech_base!$T204&gt;AQ$625,"",(1000*tech_proj!AQ1168*(-PMT($J$110,tech_base!$F204,1))+1000*tech_proj!AQ1448)/((1-tech_proj!AQ608)*tech_proj!AQ888*$L$110))</f>
        <v>112.20697938216877</v>
      </c>
      <c r="AR828" s="69">
        <f>IF(tech_base!$T204&gt;AR$625,"",(1000*tech_proj!AR1168*(-PMT($J$110,tech_base!$F204,1))+1000*tech_proj!AR1448)/((1-tech_proj!AR608)*tech_proj!AR888*$L$110))</f>
        <v>110.39392619998684</v>
      </c>
      <c r="AS828" s="69">
        <f>IF(tech_base!$T204&gt;AS$625,"",(1000*tech_proj!AS1168*(-PMT($J$110,tech_base!$F204,1))+1000*tech_proj!AS1448)/((1-tech_proj!AS608)*tech_proj!AS888*$L$110))</f>
        <v>108.43252505358168</v>
      </c>
      <c r="AT828" s="69">
        <f>IF(tech_base!$T204&gt;AT$625,"",(1000*tech_proj!AT1168*(-PMT($J$110,tech_base!$F204,1))+1000*tech_proj!AT1448)/((1-tech_proj!AT608)*tech_proj!AT888*$L$110))</f>
        <v>106.35202883440458</v>
      </c>
      <c r="AU828" s="69">
        <f>IF(tech_base!$T204&gt;AU$625,"",(1000*tech_proj!AU1168*(-PMT($J$110,tech_base!$F204,1))+1000*tech_proj!AU1448)/((1-tech_proj!AU608)*tech_proj!AU888*$L$110))</f>
        <v>104.1924232320559</v>
      </c>
      <c r="AV828" s="69">
        <f>IF(tech_base!$T204&gt;AV$625,"",(1000*tech_proj!AV1168*(-PMT($J$110,tech_base!$F204,1))+1000*tech_proj!AV1448)/((1-tech_proj!AV608)*tech_proj!AV888*$L$110))</f>
        <v>102.00247188489237</v>
      </c>
      <c r="AW828" s="69">
        <f>IF(tech_base!$T204&gt;AW$625,"",(1000*tech_proj!AW1168*(-PMT($J$110,tech_base!$F204,1))+1000*tech_proj!AW1448)/((1-tech_proj!AW608)*tech_proj!AW888*$L$110))</f>
        <v>99.836159968606452</v>
      </c>
      <c r="AX828" s="235">
        <f>IF(tech_base!$T204&gt;AX$625,"",(1000*tech_proj!AX1168*(-PMT($J$110,tech_base!$F204,1))+1000*tech_proj!AX1448)/((1-tech_proj!AX608)*tech_proj!AX888*$L$110))</f>
        <v>97.747929710826384</v>
      </c>
    </row>
    <row r="829" spans="1:50" x14ac:dyDescent="0.25">
      <c r="A829" s="356"/>
      <c r="B829" s="376"/>
      <c r="C829" s="361" t="s">
        <v>14</v>
      </c>
      <c r="D829" s="58" t="s">
        <v>7</v>
      </c>
      <c r="E829" s="164" t="str">
        <f>A827&amp;"/"&amp;B827&amp;"/"&amp;C829&amp;"/"&amp;D829</f>
        <v>Biomass and waste fired power plants/Integrated gasification combined cycle/CHP/L</v>
      </c>
      <c r="F829" s="78" t="str">
        <f>A827</f>
        <v>Biomass and waste fired power plants</v>
      </c>
      <c r="G829" s="78" t="str">
        <f>B827</f>
        <v>Integrated gasification combined cycle</v>
      </c>
      <c r="H829" s="78" t="str">
        <f>C829</f>
        <v>CHP</v>
      </c>
      <c r="I829" s="165" t="str">
        <f t="shared" si="365"/>
        <v>L</v>
      </c>
      <c r="J829" s="71">
        <f>IF(tech_base!$T205&gt;J$625,"",(1000*tech_proj!J1169*(-PMT($J$110,tech_base!$F205,1))+1000*tech_proj!J1449)/((1-tech_proj!J609)*tech_proj!J889*$L$110))</f>
        <v>127.06802814919854</v>
      </c>
      <c r="K829" s="71">
        <f>IF(tech_base!$T205&gt;K$625,"",(1000*tech_proj!K1169*(-PMT($J$110,tech_base!$F205,1))+1000*tech_proj!K1449)/((1-tech_proj!K609)*tech_proj!K889*$L$110))</f>
        <v>127.06720776015116</v>
      </c>
      <c r="L829" s="71">
        <f>IF(tech_base!$T205&gt;L$625,"",(1000*tech_proj!L1169*(-PMT($J$110,tech_base!$F205,1))+1000*tech_proj!L1449)/((1-tech_proj!L609)*tech_proj!L889*$L$110))</f>
        <v>127.06615441154095</v>
      </c>
      <c r="M829" s="71">
        <f>IF(tech_base!$T205&gt;M$625,"",(1000*tech_proj!M1169*(-PMT($J$110,tech_base!$F205,1))+1000*tech_proj!M1449)/((1-tech_proj!M609)*tech_proj!M889*$L$110))</f>
        <v>127.06480197051411</v>
      </c>
      <c r="N829" s="71">
        <f>IF(tech_base!$T205&gt;N$625,"",(1000*tech_proj!N1169*(-PMT($J$110,tech_base!$F205,1))+1000*tech_proj!N1449)/((1-tech_proj!N609)*tech_proj!N889*$L$110))</f>
        <v>127.06306554258396</v>
      </c>
      <c r="O829" s="71">
        <f>IF(tech_base!$T205&gt;O$625,"",(1000*tech_proj!O1169*(-PMT($J$110,tech_base!$F205,1))+1000*tech_proj!O1449)/((1-tech_proj!O609)*tech_proj!O889*$L$110))</f>
        <v>127.06083615697059</v>
      </c>
      <c r="P829" s="71">
        <f>IF(tech_base!$T205&gt;P$625,"",(1000*tech_proj!P1169*(-PMT($J$110,tech_base!$F205,1))+1000*tech_proj!P1449)/((1-tech_proj!P609)*tech_proj!P889*$L$110))</f>
        <v>127.05797395159222</v>
      </c>
      <c r="Q829" s="71">
        <f>IF(tech_base!$T205&gt;Q$625,"",(1000*tech_proj!Q1169*(-PMT($J$110,tech_base!$F205,1))+1000*tech_proj!Q1449)/((1-tech_proj!Q609)*tech_proj!Q889*$L$110))</f>
        <v>127.05429943749775</v>
      </c>
      <c r="R829" s="71">
        <f>IF(tech_base!$T205&gt;R$625,"",(1000*tech_proj!R1169*(-PMT($J$110,tech_base!$F205,1))+1000*tech_proj!R1449)/((1-tech_proj!R609)*tech_proj!R889*$L$110))</f>
        <v>127.04958230701175</v>
      </c>
      <c r="S829" s="71">
        <f>IF(tech_base!$T205&gt;S$625,"",(1000*tech_proj!S1169*(-PMT($J$110,tech_base!$F205,1))+1000*tech_proj!S1449)/((1-tech_proj!S609)*tech_proj!S889*$L$110))</f>
        <v>127.04352710400859</v>
      </c>
      <c r="T829" s="71">
        <f>IF(tech_base!$T205&gt;T$625,"",(1000*tech_proj!T1169*(-PMT($J$110,tech_base!$F205,1))+1000*tech_proj!T1449)/((1-tech_proj!T609)*tech_proj!T889*$L$110))</f>
        <v>127.03575489151717</v>
      </c>
      <c r="U829" s="71">
        <f>IF(tech_base!$T205&gt;U$625,"",(1000*tech_proj!U1169*(-PMT($J$110,tech_base!$F205,1))+1000*tech_proj!U1449)/((1-tech_proj!U609)*tech_proj!U889*$L$110))</f>
        <v>127.02577982327254</v>
      </c>
      <c r="V829" s="71">
        <f>IF(tech_base!$T205&gt;V$625,"",(1000*tech_proj!V1169*(-PMT($J$110,tech_base!$F205,1))+1000*tech_proj!V1449)/((1-tech_proj!V609)*tech_proj!V889*$L$110))</f>
        <v>127.01297924325816</v>
      </c>
      <c r="W829" s="71">
        <f>IF(tech_base!$T205&gt;W$625,"",(1000*tech_proj!W1169*(-PMT($J$110,tech_base!$F205,1))+1000*tech_proj!W1449)/((1-tech_proj!W609)*tech_proj!W889*$L$110))</f>
        <v>126.99655559234297</v>
      </c>
      <c r="X829" s="71">
        <f>IF(tech_base!$T205&gt;X$625,"",(1000*tech_proj!X1169*(-PMT($J$110,tech_base!$F205,1))+1000*tech_proj!X1449)/((1-tech_proj!X609)*tech_proj!X889*$L$110))</f>
        <v>126.97548798742859</v>
      </c>
      <c r="Y829" s="71">
        <f>IF(tech_base!$T205&gt;Y$625,"",(1000*tech_proj!Y1169*(-PMT($J$110,tech_base!$F205,1))+1000*tech_proj!Y1449)/((1-tech_proj!Y609)*tech_proj!Y889*$L$110))</f>
        <v>126.94847085490855</v>
      </c>
      <c r="Z829" s="71">
        <f>IF(tech_base!$T205&gt;Z$625,"",(1000*tech_proj!Z1169*(-PMT($J$110,tech_base!$F205,1))+1000*tech_proj!Z1449)/((1-tech_proj!Z609)*tech_proj!Z889*$L$110))</f>
        <v>126.91383645647487</v>
      </c>
      <c r="AA829" s="71">
        <f>IF(tech_base!$T205&gt;AA$625,"",(1000*tech_proj!AA1169*(-PMT($J$110,tech_base!$F205,1))+1000*tech_proj!AA1449)/((1-tech_proj!AA609)*tech_proj!AA889*$L$110))</f>
        <v>126.86945757175542</v>
      </c>
      <c r="AB829" s="71">
        <f>IF(tech_base!$T205&gt;AB$625,"",(1000*tech_proj!AB1169*(-PMT($J$110,tech_base!$F205,1))+1000*tech_proj!AB1449)/((1-tech_proj!AB609)*tech_proj!AB889*$L$110))</f>
        <v>126.81262606589543</v>
      </c>
      <c r="AC829" s="71">
        <f>IF(tech_base!$T205&gt;AC$625,"",(1000*tech_proj!AC1169*(-PMT($J$110,tech_base!$F205,1))+1000*tech_proj!AC1449)/((1-tech_proj!AC609)*tech_proj!AC889*$L$110))</f>
        <v>126.73990270000702</v>
      </c>
      <c r="AD829" s="71">
        <f>IF(tech_base!$T205&gt;AD$625,"",(1000*tech_proj!AD1169*(-PMT($J$110,tech_base!$F205,1))+1000*tech_proj!AD1449)/((1-tech_proj!AD609)*tech_proj!AD889*$L$110))</f>
        <v>126.64693356873083</v>
      </c>
      <c r="AE829" s="71">
        <f>IF(tech_base!$T205&gt;AE$625,"",(1000*tech_proj!AE1169*(-PMT($J$110,tech_base!$F205,1))+1000*tech_proj!AE1449)/((1-tech_proj!AE609)*tech_proj!AE889*$L$110))</f>
        <v>126.5282293617029</v>
      </c>
      <c r="AF829" s="71">
        <f>IF(tech_base!$T205&gt;AF$625,"",(1000*tech_proj!AF1169*(-PMT($J$110,tech_base!$F205,1))+1000*tech_proj!AF1449)/((1-tech_proj!AF609)*tech_proj!AF889*$L$110))</f>
        <v>126.37690587442533</v>
      </c>
      <c r="AG829" s="71">
        <f>IF(tech_base!$T205&gt;AG$625,"",(1000*tech_proj!AG1169*(-PMT($J$110,tech_base!$F205,1))+1000*tech_proj!AG1449)/((1-tech_proj!AG609)*tech_proj!AG889*$L$110))</f>
        <v>126.18438881129129</v>
      </c>
      <c r="AH829" s="71">
        <f>IF(tech_base!$T205&gt;AH$625,"",(1000*tech_proj!AH1169*(-PMT($J$110,tech_base!$F205,1))+1000*tech_proj!AH1449)/((1-tech_proj!AH609)*tech_proj!AH889*$L$110))</f>
        <v>125.9400943513695</v>
      </c>
      <c r="AI829" s="71">
        <f>IF(tech_base!$T205&gt;AI$625,"",(1000*tech_proj!AI1169*(-PMT($J$110,tech_base!$F205,1))+1000*tech_proj!AI1449)/((1-tech_proj!AI609)*tech_proj!AI889*$L$110))</f>
        <v>125.63111111890265</v>
      </c>
      <c r="AJ829" s="71">
        <f>IF(tech_base!$T205&gt;AJ$625,"",(1000*tech_proj!AJ1169*(-PMT($J$110,tech_base!$F205,1))+1000*tech_proj!AJ1449)/((1-tech_proj!AJ609)*tech_proj!AJ889*$L$110))</f>
        <v>125.24193145479592</v>
      </c>
      <c r="AK829" s="71">
        <f>IF(tech_base!$T205&gt;AK$625,"",(1000*tech_proj!AK1169*(-PMT($J$110,tech_base!$F205,1))+1000*tech_proj!AK1449)/((1-tech_proj!AK609)*tech_proj!AK889*$L$110))</f>
        <v>124.75431246204673</v>
      </c>
      <c r="AL829" s="71">
        <f>IF(tech_base!$T205&gt;AL$625,"",(1000*tech_proj!AL1169*(-PMT($J$110,tech_base!$F205,1))+1000*tech_proj!AL1449)/((1-tech_proj!AL609)*tech_proj!AL889*$L$110))</f>
        <v>124.14739102407354</v>
      </c>
      <c r="AM829" s="71">
        <f>IF(tech_base!$T205&gt;AM$625,"",(1000*tech_proj!AM1169*(-PMT($J$110,tech_base!$F205,1))+1000*tech_proj!AM1449)/((1-tech_proj!AM609)*tech_proj!AM889*$L$110))</f>
        <v>123.39822861408199</v>
      </c>
      <c r="AN829" s="71">
        <f>IF(tech_base!$T205&gt;AN$625,"",(1000*tech_proj!AN1169*(-PMT($J$110,tech_base!$F205,1))+1000*tech_proj!AN1449)/((1-tech_proj!AN609)*tech_proj!AN889*$L$110))</f>
        <v>122.48300939757853</v>
      </c>
      <c r="AO829" s="71">
        <f>IF(tech_base!$T205&gt;AO$625,"",(1000*tech_proj!AO1169*(-PMT($J$110,tech_base!$F205,1))+1000*tech_proj!AO1449)/((1-tech_proj!AO609)*tech_proj!AO889*$L$110))</f>
        <v>121.3791325646835</v>
      </c>
      <c r="AP829" s="71">
        <f>IF(tech_base!$T205&gt;AP$625,"",(1000*tech_proj!AP1169*(-PMT($J$110,tech_base!$F205,1))+1000*tech_proj!AP1449)/((1-tech_proj!AP609)*tech_proj!AP889*$L$110))</f>
        <v>120.06838170350441</v>
      </c>
      <c r="AQ829" s="71">
        <f>IF(tech_base!$T205&gt;AQ$625,"",(1000*tech_proj!AQ1169*(-PMT($J$110,tech_base!$F205,1))+1000*tech_proj!AQ1449)/((1-tech_proj!AQ609)*tech_proj!AQ889*$L$110))</f>
        <v>118.54116029285966</v>
      </c>
      <c r="AR829" s="71">
        <f>IF(tech_base!$T205&gt;AR$625,"",(1000*tech_proj!AR1169*(-PMT($J$110,tech_base!$F205,1))+1000*tech_proj!AR1449)/((1-tech_proj!AR609)*tech_proj!AR889*$L$110))</f>
        <v>116.80140356428538</v>
      </c>
      <c r="AS829" s="71">
        <f>IF(tech_base!$T205&gt;AS$625,"",(1000*tech_proj!AS1169*(-PMT($J$110,tech_base!$F205,1))+1000*tech_proj!AS1449)/((1-tech_proj!AS609)*tech_proj!AS889*$L$110))</f>
        <v>114.87123067670107</v>
      </c>
      <c r="AT829" s="71">
        <f>IF(tech_base!$T205&gt;AT$625,"",(1000*tech_proj!AT1169*(-PMT($J$110,tech_base!$F205,1))+1000*tech_proj!AT1449)/((1-tech_proj!AT609)*tech_proj!AT889*$L$110))</f>
        <v>112.79384765114962</v>
      </c>
      <c r="AU829" s="71">
        <f>IF(tech_base!$T205&gt;AU$625,"",(1000*tech_proj!AU1169*(-PMT($J$110,tech_base!$F205,1))+1000*tech_proj!AU1449)/((1-tech_proj!AU609)*tech_proj!AU889*$L$110))</f>
        <v>110.63298696274164</v>
      </c>
      <c r="AV829" s="71">
        <f>IF(tech_base!$T205&gt;AV$625,"",(1000*tech_proj!AV1169*(-PMT($J$110,tech_base!$F205,1))+1000*tech_proj!AV1449)/((1-tech_proj!AV609)*tech_proj!AV889*$L$110))</f>
        <v>108.46767323702643</v>
      </c>
      <c r="AW829" s="71">
        <f>IF(tech_base!$T205&gt;AW$625,"",(1000*tech_proj!AW1169*(-PMT($J$110,tech_base!$F205,1))+1000*tech_proj!AW1449)/((1-tech_proj!AW609)*tech_proj!AW889*$L$110))</f>
        <v>106.3824919668488</v>
      </c>
      <c r="AX829" s="237">
        <f>IF(tech_base!$T205&gt;AX$625,"",(1000*tech_proj!AX1169*(-PMT($J$110,tech_base!$F205,1))+1000*tech_proj!AX1449)/((1-tech_proj!AX609)*tech_proj!AX889*$L$110))</f>
        <v>104.4553900565998</v>
      </c>
    </row>
    <row r="830" spans="1:50" x14ac:dyDescent="0.25">
      <c r="A830" s="356"/>
      <c r="B830" s="376"/>
      <c r="C830" s="379"/>
      <c r="D830" s="59" t="s">
        <v>8</v>
      </c>
      <c r="E830" s="166" t="str">
        <f>A827&amp;"/"&amp;B827&amp;"/"&amp;C829&amp;"/"&amp;D830</f>
        <v>Biomass and waste fired power plants/Integrated gasification combined cycle/CHP/M</v>
      </c>
      <c r="F830" s="79" t="str">
        <f>A827</f>
        <v>Biomass and waste fired power plants</v>
      </c>
      <c r="G830" s="79" t="str">
        <f>B827</f>
        <v>Integrated gasification combined cycle</v>
      </c>
      <c r="H830" s="79" t="str">
        <f>C829</f>
        <v>CHP</v>
      </c>
      <c r="I830" s="167" t="str">
        <f t="shared" si="365"/>
        <v>M</v>
      </c>
      <c r="J830" s="72">
        <f>IF(tech_base!$T206&gt;J$625,"",(1000*tech_proj!J1170*(-PMT($J$110,tech_base!$F206,1))+1000*tech_proj!J1450)/((1-tech_proj!J610)*tech_proj!J890*$L$110))</f>
        <v>136.17339546784504</v>
      </c>
      <c r="K830" s="72">
        <f>IF(tech_base!$T206&gt;K$625,"",(1000*tech_proj!K1170*(-PMT($J$110,tech_base!$F206,1))+1000*tech_proj!K1450)/((1-tech_proj!K610)*tech_proj!K890*$L$110))</f>
        <v>136.16863166421484</v>
      </c>
      <c r="L830" s="72">
        <f>IF(tech_base!$T206&gt;L$625,"",(1000*tech_proj!L1170*(-PMT($J$110,tech_base!$F206,1))+1000*tech_proj!L1450)/((1-tech_proj!L610)*tech_proj!L890*$L$110))</f>
        <v>136.16281438857214</v>
      </c>
      <c r="M830" s="72">
        <f>IF(tech_base!$T206&gt;M$625,"",(1000*tech_proj!M1170*(-PMT($J$110,tech_base!$F206,1))+1000*tech_proj!M1450)/((1-tech_proj!M610)*tech_proj!M890*$L$110))</f>
        <v>136.15571101212518</v>
      </c>
      <c r="N830" s="72">
        <f>IF(tech_base!$T206&gt;N$625,"",(1000*tech_proj!N1170*(-PMT($J$110,tech_base!$F206,1))+1000*tech_proj!N1450)/((1-tech_proj!N610)*tech_proj!N890*$L$110))</f>
        <v>136.1470377023231</v>
      </c>
      <c r="O830" s="72">
        <f>IF(tech_base!$T206&gt;O$625,"",(1000*tech_proj!O1170*(-PMT($J$110,tech_base!$F206,1))+1000*tech_proj!O1450)/((1-tech_proj!O610)*tech_proj!O890*$L$110))</f>
        <v>136.13644823377894</v>
      </c>
      <c r="P830" s="72">
        <f>IF(tech_base!$T206&gt;P$625,"",(1000*tech_proj!P1170*(-PMT($J$110,tech_base!$F206,1))+1000*tech_proj!P1450)/((1-tech_proj!P610)*tech_proj!P890*$L$110))</f>
        <v>136.12352039414407</v>
      </c>
      <c r="Q830" s="72">
        <f>IF(tech_base!$T206&gt;Q$625,"",(1000*tech_proj!Q1170*(-PMT($J$110,tech_base!$F206,1))+1000*tech_proj!Q1450)/((1-tech_proj!Q610)*tech_proj!Q890*$L$110))</f>
        <v>136.10773948770435</v>
      </c>
      <c r="R830" s="72">
        <f>IF(tech_base!$T206&gt;R$625,"",(1000*tech_proj!R1170*(-PMT($J$110,tech_base!$F206,1))+1000*tech_proj!R1450)/((1-tech_proj!R610)*tech_proj!R890*$L$110))</f>
        <v>136.08847834649239</v>
      </c>
      <c r="S830" s="72">
        <f>IF(tech_base!$T206&gt;S$625,"",(1000*tech_proj!S1170*(-PMT($J$110,tech_base!$F206,1))+1000*tech_proj!S1450)/((1-tech_proj!S610)*tech_proj!S890*$L$110))</f>
        <v>136.06497315338174</v>
      </c>
      <c r="T830" s="72">
        <f>IF(tech_base!$T206&gt;T$625,"",(1000*tech_proj!T1170*(-PMT($J$110,tech_base!$F206,1))+1000*tech_proj!T1450)/((1-tech_proj!T610)*tech_proj!T890*$L$110))</f>
        <v>136.0362942651102</v>
      </c>
      <c r="U830" s="72">
        <f>IF(tech_base!$T206&gt;U$625,"",(1000*tech_proj!U1170*(-PMT($J$110,tech_base!$F206,1))+1000*tech_proj!U1450)/((1-tech_proj!U610)*tech_proj!U890*$L$110))</f>
        <v>136.00131109868738</v>
      </c>
      <c r="V830" s="72">
        <f>IF(tech_base!$T206&gt;V$625,"",(1000*tech_proj!V1170*(-PMT($J$110,tech_base!$F206,1))+1000*tech_proj!V1450)/((1-tech_proj!V610)*tech_proj!V890*$L$110))</f>
        <v>135.95865001868759</v>
      </c>
      <c r="W830" s="72">
        <f>IF(tech_base!$T206&gt;W$625,"",(1000*tech_proj!W1170*(-PMT($J$110,tech_base!$F206,1))+1000*tech_proj!W1450)/((1-tech_proj!W610)*tech_proj!W890*$L$110))</f>
        <v>135.90664404714377</v>
      </c>
      <c r="X830" s="72">
        <f>IF(tech_base!$T206&gt;X$625,"",(1000*tech_proj!X1170*(-PMT($J$110,tech_base!$F206,1))+1000*tech_proj!X1450)/((1-tech_proj!X610)*tech_proj!X890*$L$110))</f>
        <v>135.84327313152653</v>
      </c>
      <c r="Y830" s="72">
        <f>IF(tech_base!$T206&gt;Y$625,"",(1000*tech_proj!Y1170*(-PMT($J$110,tech_base!$F206,1))+1000*tech_proj!Y1450)/((1-tech_proj!Y610)*tech_proj!Y890*$L$110))</f>
        <v>135.76609368045175</v>
      </c>
      <c r="Z830" s="72">
        <f>IF(tech_base!$T206&gt;Z$625,"",(1000*tech_proj!Z1170*(-PMT($J$110,tech_base!$F206,1))+1000*tech_proj!Z1450)/((1-tech_proj!Z610)*tech_proj!Z890*$L$110))</f>
        <v>135.67215615872482</v>
      </c>
      <c r="AA830" s="72">
        <f>IF(tech_base!$T206&gt;AA$625,"",(1000*tech_proj!AA1170*(-PMT($J$110,tech_base!$F206,1))+1000*tech_proj!AA1450)/((1-tech_proj!AA610)*tech_proj!AA890*$L$110))</f>
        <v>135.55790979379057</v>
      </c>
      <c r="AB830" s="72">
        <f>IF(tech_base!$T206&gt;AB$625,"",(1000*tech_proj!AB1170*(-PMT($J$110,tech_base!$F206,1))+1000*tech_proj!AB1450)/((1-tech_proj!AB610)*tech_proj!AB890*$L$110))</f>
        <v>135.41909398714969</v>
      </c>
      <c r="AC830" s="72">
        <f>IF(tech_base!$T206&gt;AC$625,"",(1000*tech_proj!AC1170*(-PMT($J$110,tech_base!$F206,1))+1000*tech_proj!AC1450)/((1-tech_proj!AC610)*tech_proj!AC890*$L$110))</f>
        <v>135.25061699109858</v>
      </c>
      <c r="AD830" s="72">
        <f>IF(tech_base!$T206&gt;AD$625,"",(1000*tech_proj!AD1170*(-PMT($J$110,tech_base!$F206,1))+1000*tech_proj!AD1450)/((1-tech_proj!AD610)*tech_proj!AD890*$L$110))</f>
        <v>135.04642399939345</v>
      </c>
      <c r="AE830" s="72">
        <f>IF(tech_base!$T206&gt;AE$625,"",(1000*tech_proj!AE1170*(-PMT($J$110,tech_base!$F206,1))+1000*tech_proj!AE1450)/((1-tech_proj!AE610)*tech_proj!AE890*$L$110))</f>
        <v>134.79935926534293</v>
      </c>
      <c r="AF830" s="72">
        <f>IF(tech_base!$T206&gt;AF$625,"",(1000*tech_proj!AF1170*(-PMT($J$110,tech_base!$F206,1))+1000*tech_proj!AF1450)/((1-tech_proj!AF610)*tech_proj!AF890*$L$110))</f>
        <v>134.50103051478953</v>
      </c>
      <c r="AG830" s="72">
        <f>IF(tech_base!$T206&gt;AG$625,"",(1000*tech_proj!AG1170*(-PMT($J$110,tech_base!$F206,1))+1000*tech_proj!AG1450)/((1-tech_proj!AG610)*tech_proj!AG890*$L$110))</f>
        <v>134.14168911186428</v>
      </c>
      <c r="AH830" s="72">
        <f>IF(tech_base!$T206&gt;AH$625,"",(1000*tech_proj!AH1170*(-PMT($J$110,tech_base!$F206,1))+1000*tech_proj!AH1450)/((1-tech_proj!AH610)*tech_proj!AH890*$L$110))</f>
        <v>133.71014648383522</v>
      </c>
      <c r="AI830" s="72">
        <f>IF(tech_base!$T206&gt;AI$625,"",(1000*tech_proj!AI1170*(-PMT($J$110,tech_base!$F206,1))+1000*tech_proj!AI1450)/((1-tech_proj!AI610)*tech_proj!AI890*$L$110))</f>
        <v>133.19375638647529</v>
      </c>
      <c r="AJ830" s="72">
        <f>IF(tech_base!$T206&gt;AJ$625,"",(1000*tech_proj!AJ1170*(-PMT($J$110,tech_base!$F206,1))+1000*tech_proj!AJ1450)/((1-tech_proj!AJ610)*tech_proj!AJ890*$L$110))</f>
        <v>132.57850348056539</v>
      </c>
      <c r="AK830" s="72">
        <f>IF(tech_base!$T206&gt;AK$625,"",(1000*tech_proj!AK1170*(-PMT($J$110,tech_base!$F206,1))+1000*tech_proj!AK1450)/((1-tech_proj!AK610)*tech_proj!AK890*$L$110))</f>
        <v>131.849250435588</v>
      </c>
      <c r="AL830" s="72">
        <f>IF(tech_base!$T206&gt;AL$625,"",(1000*tech_proj!AL1170*(-PMT($J$110,tech_base!$F206,1))+1000*tech_proj!AL1450)/((1-tech_proj!AL610)*tech_proj!AL890*$L$110))</f>
        <v>130.99020616627976</v>
      </c>
      <c r="AM830" s="72">
        <f>IF(tech_base!$T206&gt;AM$625,"",(1000*tech_proj!AM1170*(-PMT($J$110,tech_base!$F206,1))+1000*tech_proj!AM1450)/((1-tech_proj!AM610)*tech_proj!AM890*$L$110))</f>
        <v>129.98568278674406</v>
      </c>
      <c r="AN830" s="72">
        <f>IF(tech_base!$T206&gt;AN$625,"",(1000*tech_proj!AN1170*(-PMT($J$110,tech_base!$F206,1))+1000*tech_proj!AN1450)/((1-tech_proj!AN610)*tech_proj!AN890*$L$110))</f>
        <v>128.82120209109073</v>
      </c>
      <c r="AO830" s="72">
        <f>IF(tech_base!$T206&gt;AO$625,"",(1000*tech_proj!AO1170*(-PMT($J$110,tech_base!$F206,1))+1000*tech_proj!AO1450)/((1-tech_proj!AO610)*tech_proj!AO890*$L$110))</f>
        <v>127.48498537227613</v>
      </c>
      <c r="AP830" s="72">
        <f>IF(tech_base!$T206&gt;AP$625,"",(1000*tech_proj!AP1170*(-PMT($J$110,tech_base!$F206,1))+1000*tech_proj!AP1450)/((1-tech_proj!AP610)*tech_proj!AP890*$L$110))</f>
        <v>125.96980412409962</v>
      </c>
      <c r="AQ830" s="72">
        <f>IF(tech_base!$T206&gt;AQ$625,"",(1000*tech_proj!AQ1170*(-PMT($J$110,tech_base!$F206,1))+1000*tech_proj!AQ1450)/((1-tech_proj!AQ610)*tech_proj!AQ890*$L$110))</f>
        <v>124.2750777969183</v>
      </c>
      <c r="AR830" s="72">
        <f>IF(tech_base!$T206&gt;AR$625,"",(1000*tech_proj!AR1170*(-PMT($J$110,tech_base!$F206,1))+1000*tech_proj!AR1450)/((1-tech_proj!AR610)*tech_proj!AR890*$L$110))</f>
        <v>122.40898208154226</v>
      </c>
      <c r="AS830" s="72">
        <f>IF(tech_base!$T206&gt;AS$625,"",(1000*tech_proj!AS1170*(-PMT($J$110,tech_base!$F206,1))+1000*tech_proj!AS1450)/((1-tech_proj!AS610)*tech_proj!AS890*$L$110))</f>
        <v>120.39019834623261</v>
      </c>
      <c r="AT830" s="72">
        <f>IF(tech_base!$T206&gt;AT$625,"",(1000*tech_proj!AT1170*(-PMT($J$110,tech_base!$F206,1))+1000*tech_proj!AT1450)/((1-tech_proj!AT610)*tech_proj!AT890*$L$110))</f>
        <v>118.24883530260136</v>
      </c>
      <c r="AU830" s="72">
        <f>IF(tech_base!$T206&gt;AU$625,"",(1000*tech_proj!AU1170*(-PMT($J$110,tech_base!$F206,1))+1000*tech_proj!AU1450)/((1-tech_proj!AU610)*tech_proj!AU890*$L$110))</f>
        <v>116.02604845826016</v>
      </c>
      <c r="AV830" s="72">
        <f>IF(tech_base!$T206&gt;AV$625,"",(1000*tech_proj!AV1170*(-PMT($J$110,tech_base!$F206,1))+1000*tech_proj!AV1450)/((1-tech_proj!AV610)*tech_proj!AV890*$L$110))</f>
        <v>113.77202807651621</v>
      </c>
      <c r="AW830" s="72">
        <f>IF(tech_base!$T206&gt;AW$625,"",(1000*tech_proj!AW1170*(-PMT($J$110,tech_base!$F206,1))+1000*tech_proj!AW1450)/((1-tech_proj!AW610)*tech_proj!AW890*$L$110))</f>
        <v>111.54233871887467</v>
      </c>
      <c r="AX830" s="238">
        <f>IF(tech_base!$T206&gt;AX$625,"",(1000*tech_proj!AX1170*(-PMT($J$110,tech_base!$F206,1))+1000*tech_proj!AX1450)/((1-tech_proj!AX610)*tech_proj!AX890*$L$110))</f>
        <v>109.39301537024991</v>
      </c>
    </row>
    <row r="831" spans="1:50" x14ac:dyDescent="0.25">
      <c r="A831" s="356"/>
      <c r="B831" s="376"/>
      <c r="C831" s="361" t="s">
        <v>15</v>
      </c>
      <c r="D831" s="58" t="s">
        <v>7</v>
      </c>
      <c r="E831" s="164" t="str">
        <f>A827&amp;"/"&amp;B827&amp;"/"&amp;C831&amp;"/"&amp;D831</f>
        <v>Biomass and waste fired power plants/Integrated gasification combined cycle/Electricity only with CCS/L</v>
      </c>
      <c r="F831" s="78" t="str">
        <f>A827</f>
        <v>Biomass and waste fired power plants</v>
      </c>
      <c r="G831" s="78" t="str">
        <f>B827</f>
        <v>Integrated gasification combined cycle</v>
      </c>
      <c r="H831" s="78" t="str">
        <f>C831</f>
        <v>Electricity only with CCS</v>
      </c>
      <c r="I831" s="165" t="str">
        <f t="shared" si="365"/>
        <v>L</v>
      </c>
      <c r="J831" s="71" t="str">
        <f>IF(tech_base!$T207&gt;J$625,"",(1000*tech_proj!J1171*(-PMT($J$110,tech_base!$F207,1))+1000*tech_proj!J1451)/((1-tech_proj!J611)*tech_proj!J891*$L$110))</f>
        <v/>
      </c>
      <c r="K831" s="71" t="str">
        <f>IF(tech_base!$T207&gt;K$625,"",(1000*tech_proj!K1171*(-PMT($J$110,tech_base!$F207,1))+1000*tech_proj!K1451)/((1-tech_proj!K611)*tech_proj!K891*$L$110))</f>
        <v/>
      </c>
      <c r="L831" s="71" t="str">
        <f>IF(tech_base!$T207&gt;L$625,"",(1000*tech_proj!L1171*(-PMT($J$110,tech_base!$F207,1))+1000*tech_proj!L1451)/((1-tech_proj!L611)*tech_proj!L891*$L$110))</f>
        <v/>
      </c>
      <c r="M831" s="71" t="str">
        <f>IF(tech_base!$T207&gt;M$625,"",(1000*tech_proj!M1171*(-PMT($J$110,tech_base!$F207,1))+1000*tech_proj!M1451)/((1-tech_proj!M611)*tech_proj!M891*$L$110))</f>
        <v/>
      </c>
      <c r="N831" s="71" t="str">
        <f>IF(tech_base!$T207&gt;N$625,"",(1000*tech_proj!N1171*(-PMT($J$110,tech_base!$F207,1))+1000*tech_proj!N1451)/((1-tech_proj!N611)*tech_proj!N891*$L$110))</f>
        <v/>
      </c>
      <c r="O831" s="71" t="str">
        <f>IF(tech_base!$T207&gt;O$625,"",(1000*tech_proj!O1171*(-PMT($J$110,tech_base!$F207,1))+1000*tech_proj!O1451)/((1-tech_proj!O611)*tech_proj!O891*$L$110))</f>
        <v/>
      </c>
      <c r="P831" s="71" t="str">
        <f>IF(tech_base!$T207&gt;P$625,"",(1000*tech_proj!P1171*(-PMT($J$110,tech_base!$F207,1))+1000*tech_proj!P1451)/((1-tech_proj!P611)*tech_proj!P891*$L$110))</f>
        <v/>
      </c>
      <c r="Q831" s="71" t="str">
        <f>IF(tech_base!$T207&gt;Q$625,"",(1000*tech_proj!Q1171*(-PMT($J$110,tech_base!$F207,1))+1000*tech_proj!Q1451)/((1-tech_proj!Q611)*tech_proj!Q891*$L$110))</f>
        <v/>
      </c>
      <c r="R831" s="71" t="str">
        <f>IF(tech_base!$T207&gt;R$625,"",(1000*tech_proj!R1171*(-PMT($J$110,tech_base!$F207,1))+1000*tech_proj!R1451)/((1-tech_proj!R611)*tech_proj!R891*$L$110))</f>
        <v/>
      </c>
      <c r="S831" s="71" t="str">
        <f>IF(tech_base!$T207&gt;S$625,"",(1000*tech_proj!S1171*(-PMT($J$110,tech_base!$F207,1))+1000*tech_proj!S1451)/((1-tech_proj!S611)*tech_proj!S891*$L$110))</f>
        <v/>
      </c>
      <c r="T831" s="71" t="str">
        <f>IF(tech_base!$T207&gt;T$625,"",(1000*tech_proj!T1171*(-PMT($J$110,tech_base!$F207,1))+1000*tech_proj!T1451)/((1-tech_proj!T611)*tech_proj!T891*$L$110))</f>
        <v/>
      </c>
      <c r="U831" s="71" t="str">
        <f>IF(tech_base!$T207&gt;U$625,"",(1000*tech_proj!U1171*(-PMT($J$110,tech_base!$F207,1))+1000*tech_proj!U1451)/((1-tech_proj!U611)*tech_proj!U891*$L$110))</f>
        <v/>
      </c>
      <c r="V831" s="71" t="str">
        <f>IF(tech_base!$T207&gt;V$625,"",(1000*tech_proj!V1171*(-PMT($J$110,tech_base!$F207,1))+1000*tech_proj!V1451)/((1-tech_proj!V611)*tech_proj!V891*$L$110))</f>
        <v/>
      </c>
      <c r="W831" s="71" t="str">
        <f>IF(tech_base!$T207&gt;W$625,"",(1000*tech_proj!W1171*(-PMT($J$110,tech_base!$F207,1))+1000*tech_proj!W1451)/((1-tech_proj!W611)*tech_proj!W891*$L$110))</f>
        <v/>
      </c>
      <c r="X831" s="71" t="str">
        <f>IF(tech_base!$T207&gt;X$625,"",(1000*tech_proj!X1171*(-PMT($J$110,tech_base!$F207,1))+1000*tech_proj!X1451)/((1-tech_proj!X611)*tech_proj!X891*$L$110))</f>
        <v/>
      </c>
      <c r="Y831" s="71" t="str">
        <f>IF(tech_base!$T207&gt;Y$625,"",(1000*tech_proj!Y1171*(-PMT($J$110,tech_base!$F207,1))+1000*tech_proj!Y1451)/((1-tech_proj!Y611)*tech_proj!Y891*$L$110))</f>
        <v/>
      </c>
      <c r="Z831" s="71" t="str">
        <f>IF(tech_base!$T207&gt;Z$625,"",(1000*tech_proj!Z1171*(-PMT($J$110,tech_base!$F207,1))+1000*tech_proj!Z1451)/((1-tech_proj!Z611)*tech_proj!Z891*$L$110))</f>
        <v/>
      </c>
      <c r="AA831" s="71" t="str">
        <f>IF(tech_base!$T207&gt;AA$625,"",(1000*tech_proj!AA1171*(-PMT($J$110,tech_base!$F207,1))+1000*tech_proj!AA1451)/((1-tech_proj!AA611)*tech_proj!AA891*$L$110))</f>
        <v/>
      </c>
      <c r="AB831" s="71" t="str">
        <f>IF(tech_base!$T207&gt;AB$625,"",(1000*tech_proj!AB1171*(-PMT($J$110,tech_base!$F207,1))+1000*tech_proj!AB1451)/((1-tech_proj!AB611)*tech_proj!AB891*$L$110))</f>
        <v/>
      </c>
      <c r="AC831" s="71" t="str">
        <f>IF(tech_base!$T207&gt;AC$625,"",(1000*tech_proj!AC1171*(-PMT($J$110,tech_base!$F207,1))+1000*tech_proj!AC1451)/((1-tech_proj!AC611)*tech_proj!AC891*$L$110))</f>
        <v/>
      </c>
      <c r="AD831" s="71" t="str">
        <f>IF(tech_base!$T207&gt;AD$625,"",(1000*tech_proj!AD1171*(-PMT($J$110,tech_base!$F207,1))+1000*tech_proj!AD1451)/((1-tech_proj!AD611)*tech_proj!AD891*$L$110))</f>
        <v/>
      </c>
      <c r="AE831" s="71">
        <f>IF(tech_base!$T207&gt;AE$625,"",(1000*tech_proj!AE1171*(-PMT($J$110,tech_base!$F207,1))+1000*tech_proj!AE1451)/((1-tech_proj!AE611)*tech_proj!AE891*$L$110))</f>
        <v>180.57834452028507</v>
      </c>
      <c r="AF831" s="71">
        <f>IF(tech_base!$T207&gt;AF$625,"",(1000*tech_proj!AF1171*(-PMT($J$110,tech_base!$F207,1))+1000*tech_proj!AF1451)/((1-tech_proj!AF611)*tech_proj!AF891*$L$110))</f>
        <v>180.55185554461377</v>
      </c>
      <c r="AG831" s="71">
        <f>IF(tech_base!$T207&gt;AG$625,"",(1000*tech_proj!AG1171*(-PMT($J$110,tech_base!$F207,1))+1000*tech_proj!AG1451)/((1-tech_proj!AG611)*tech_proj!AG891*$L$110))</f>
        <v>180.51613297833268</v>
      </c>
      <c r="AH831" s="71">
        <f>IF(tech_base!$T207&gt;AH$625,"",(1000*tech_proj!AH1171*(-PMT($J$110,tech_base!$F207,1))+1000*tech_proj!AH1451)/((1-tech_proj!AH611)*tech_proj!AH891*$L$110))</f>
        <v>180.46797406768005</v>
      </c>
      <c r="AI831" s="71">
        <f>IF(tech_base!$T207&gt;AI$625,"",(1000*tech_proj!AI1171*(-PMT($J$110,tech_base!$F207,1))+1000*tech_proj!AI1451)/((1-tech_proj!AI611)*tech_proj!AI891*$L$110))</f>
        <v>180.40307817793408</v>
      </c>
      <c r="AJ831" s="71">
        <f>IF(tech_base!$T207&gt;AJ$625,"",(1000*tech_proj!AJ1171*(-PMT($J$110,tech_base!$F207,1))+1000*tech_proj!AJ1451)/((1-tech_proj!AJ611)*tech_proj!AJ891*$L$110))</f>
        <v>180.3156810901099</v>
      </c>
      <c r="AK831" s="71">
        <f>IF(tech_base!$T207&gt;AK$625,"",(1000*tech_proj!AK1171*(-PMT($J$110,tech_base!$F207,1))+1000*tech_proj!AK1451)/((1-tech_proj!AK611)*tech_proj!AK891*$L$110))</f>
        <v>180.19807618391411</v>
      </c>
      <c r="AL831" s="71">
        <f>IF(tech_base!$T207&gt;AL$625,"",(1000*tech_proj!AL1171*(-PMT($J$110,tech_base!$F207,1))+1000*tech_proj!AL1451)/((1-tech_proj!AL611)*tech_proj!AL891*$L$110))</f>
        <v>180.0399947004982</v>
      </c>
      <c r="AM831" s="71">
        <f>IF(tech_base!$T207&gt;AM$625,"",(1000*tech_proj!AM1171*(-PMT($J$110,tech_base!$F207,1))+1000*tech_proj!AM1451)/((1-tech_proj!AM611)*tech_proj!AM891*$L$110))</f>
        <v>179.8278166198152</v>
      </c>
      <c r="AN831" s="71">
        <f>IF(tech_base!$T207&gt;AN$625,"",(1000*tech_proj!AN1171*(-PMT($J$110,tech_base!$F207,1))+1000*tech_proj!AN1451)/((1-tech_proj!AN611)*tech_proj!AN891*$L$110))</f>
        <v>179.54358940853541</v>
      </c>
      <c r="AO831" s="71">
        <f>IF(tech_base!$T207&gt;AO$625,"",(1000*tech_proj!AO1171*(-PMT($J$110,tech_base!$F207,1))+1000*tech_proj!AO1451)/((1-tech_proj!AO611)*tech_proj!AO891*$L$110))</f>
        <v>179.16385050882795</v>
      </c>
      <c r="AP831" s="71">
        <f>IF(tech_base!$T207&gt;AP$625,"",(1000*tech_proj!AP1171*(-PMT($J$110,tech_base!$F207,1))+1000*tech_proj!AP1451)/((1-tech_proj!AP611)*tech_proj!AP891*$L$110))</f>
        <v>178.65829175249158</v>
      </c>
      <c r="AQ831" s="71">
        <f>IF(tech_base!$T207&gt;AQ$625,"",(1000*tech_proj!AQ1171*(-PMT($J$110,tech_base!$F207,1))+1000*tech_proj!AQ1451)/((1-tech_proj!AQ611)*tech_proj!AQ891*$L$110))</f>
        <v>177.98838633806523</v>
      </c>
      <c r="AR831" s="71">
        <f>IF(tech_base!$T207&gt;AR$625,"",(1000*tech_proj!AR1171*(-PMT($J$110,tech_base!$F207,1))+1000*tech_proj!AR1451)/((1-tech_proj!AR611)*tech_proj!AR891*$L$110))</f>
        <v>177.10624345409454</v>
      </c>
      <c r="AS831" s="71">
        <f>IF(tech_base!$T207&gt;AS$625,"",(1000*tech_proj!AS1171*(-PMT($J$110,tech_base!$F207,1))+1000*tech_proj!AS1451)/((1-tech_proj!AS611)*tech_proj!AS891*$L$110))</f>
        <v>175.95418401445687</v>
      </c>
      <c r="AT831" s="71">
        <f>IF(tech_base!$T207&gt;AT$625,"",(1000*tech_proj!AT1171*(-PMT($J$110,tech_base!$F207,1))+1000*tech_proj!AT1451)/((1-tech_proj!AT611)*tech_proj!AT891*$L$110))</f>
        <v>174.46584800521984</v>
      </c>
      <c r="AU831" s="71">
        <f>IF(tech_base!$T207&gt;AU$625,"",(1000*tech_proj!AU1171*(-PMT($J$110,tech_base!$F207,1))+1000*tech_proj!AU1451)/((1-tech_proj!AU611)*tech_proj!AU891*$L$110))</f>
        <v>172.56999796654719</v>
      </c>
      <c r="AV831" s="71">
        <f>IF(tech_base!$T207&gt;AV$625,"",(1000*tech_proj!AV1171*(-PMT($J$110,tech_base!$F207,1))+1000*tech_proj!AV1451)/((1-tech_proj!AV611)*tech_proj!AV891*$L$110))</f>
        <v>170.19839996782525</v>
      </c>
      <c r="AW831" s="71">
        <f>IF(tech_base!$T207&gt;AW$625,"",(1000*tech_proj!AW1171*(-PMT($J$110,tech_base!$F207,1))+1000*tech_proj!AW1451)/((1-tech_proj!AW611)*tech_proj!AW891*$L$110))</f>
        <v>167.2988771226222</v>
      </c>
      <c r="AX831" s="237">
        <f>IF(tech_base!$T207&gt;AX$625,"",(1000*tech_proj!AX1171*(-PMT($J$110,tech_base!$F207,1))+1000*tech_proj!AX1451)/((1-tech_proj!AX611)*tech_proj!AX891*$L$110))</f>
        <v>163.85330844333328</v>
      </c>
    </row>
    <row r="832" spans="1:50" x14ac:dyDescent="0.25">
      <c r="A832" s="356"/>
      <c r="B832" s="376"/>
      <c r="C832" s="379"/>
      <c r="D832" s="59" t="s">
        <v>8</v>
      </c>
      <c r="E832" s="166" t="str">
        <f>A827&amp;"/"&amp;B827&amp;"/"&amp;C831&amp;"/"&amp;D832</f>
        <v>Biomass and waste fired power plants/Integrated gasification combined cycle/Electricity only with CCS/M</v>
      </c>
      <c r="F832" s="79" t="str">
        <f>A827</f>
        <v>Biomass and waste fired power plants</v>
      </c>
      <c r="G832" s="79" t="str">
        <f>B827</f>
        <v>Integrated gasification combined cycle</v>
      </c>
      <c r="H832" s="79" t="str">
        <f>C831</f>
        <v>Electricity only with CCS</v>
      </c>
      <c r="I832" s="167" t="str">
        <f t="shared" si="365"/>
        <v>M</v>
      </c>
      <c r="J832" s="72" t="str">
        <f>IF(tech_base!$T208&gt;J$625,"",(1000*tech_proj!J1172*(-PMT($J$110,tech_base!$F208,1))+1000*tech_proj!J1452)/((1-tech_proj!J612)*tech_proj!J892*$L$110))</f>
        <v/>
      </c>
      <c r="K832" s="72" t="str">
        <f>IF(tech_base!$T208&gt;K$625,"",(1000*tech_proj!K1172*(-PMT($J$110,tech_base!$F208,1))+1000*tech_proj!K1452)/((1-tech_proj!K612)*tech_proj!K892*$L$110))</f>
        <v/>
      </c>
      <c r="L832" s="72" t="str">
        <f>IF(tech_base!$T208&gt;L$625,"",(1000*tech_proj!L1172*(-PMT($J$110,tech_base!$F208,1))+1000*tech_proj!L1452)/((1-tech_proj!L612)*tech_proj!L892*$L$110))</f>
        <v/>
      </c>
      <c r="M832" s="72" t="str">
        <f>IF(tech_base!$T208&gt;M$625,"",(1000*tech_proj!M1172*(-PMT($J$110,tech_base!$F208,1))+1000*tech_proj!M1452)/((1-tech_proj!M612)*tech_proj!M892*$L$110))</f>
        <v/>
      </c>
      <c r="N832" s="72" t="str">
        <f>IF(tech_base!$T208&gt;N$625,"",(1000*tech_proj!N1172*(-PMT($J$110,tech_base!$F208,1))+1000*tech_proj!N1452)/((1-tech_proj!N612)*tech_proj!N892*$L$110))</f>
        <v/>
      </c>
      <c r="O832" s="72" t="str">
        <f>IF(tech_base!$T208&gt;O$625,"",(1000*tech_proj!O1172*(-PMT($J$110,tech_base!$F208,1))+1000*tech_proj!O1452)/((1-tech_proj!O612)*tech_proj!O892*$L$110))</f>
        <v/>
      </c>
      <c r="P832" s="72" t="str">
        <f>IF(tech_base!$T208&gt;P$625,"",(1000*tech_proj!P1172*(-PMT($J$110,tech_base!$F208,1))+1000*tech_proj!P1452)/((1-tech_proj!P612)*tech_proj!P892*$L$110))</f>
        <v/>
      </c>
      <c r="Q832" s="72" t="str">
        <f>IF(tech_base!$T208&gt;Q$625,"",(1000*tech_proj!Q1172*(-PMT($J$110,tech_base!$F208,1))+1000*tech_proj!Q1452)/((1-tech_proj!Q612)*tech_proj!Q892*$L$110))</f>
        <v/>
      </c>
      <c r="R832" s="72" t="str">
        <f>IF(tech_base!$T208&gt;R$625,"",(1000*tech_proj!R1172*(-PMT($J$110,tech_base!$F208,1))+1000*tech_proj!R1452)/((1-tech_proj!R612)*tech_proj!R892*$L$110))</f>
        <v/>
      </c>
      <c r="S832" s="72" t="str">
        <f>IF(tech_base!$T208&gt;S$625,"",(1000*tech_proj!S1172*(-PMT($J$110,tech_base!$F208,1))+1000*tech_proj!S1452)/((1-tech_proj!S612)*tech_proj!S892*$L$110))</f>
        <v/>
      </c>
      <c r="T832" s="72" t="str">
        <f>IF(tech_base!$T208&gt;T$625,"",(1000*tech_proj!T1172*(-PMT($J$110,tech_base!$F208,1))+1000*tech_proj!T1452)/((1-tech_proj!T612)*tech_proj!T892*$L$110))</f>
        <v/>
      </c>
      <c r="U832" s="72" t="str">
        <f>IF(tech_base!$T208&gt;U$625,"",(1000*tech_proj!U1172*(-PMT($J$110,tech_base!$F208,1))+1000*tech_proj!U1452)/((1-tech_proj!U612)*tech_proj!U892*$L$110))</f>
        <v/>
      </c>
      <c r="V832" s="72" t="str">
        <f>IF(tech_base!$T208&gt;V$625,"",(1000*tech_proj!V1172*(-PMT($J$110,tech_base!$F208,1))+1000*tech_proj!V1452)/((1-tech_proj!V612)*tech_proj!V892*$L$110))</f>
        <v/>
      </c>
      <c r="W832" s="72" t="str">
        <f>IF(tech_base!$T208&gt;W$625,"",(1000*tech_proj!W1172*(-PMT($J$110,tech_base!$F208,1))+1000*tech_proj!W1452)/((1-tech_proj!W612)*tech_proj!W892*$L$110))</f>
        <v/>
      </c>
      <c r="X832" s="72" t="str">
        <f>IF(tech_base!$T208&gt;X$625,"",(1000*tech_proj!X1172*(-PMT($J$110,tech_base!$F208,1))+1000*tech_proj!X1452)/((1-tech_proj!X612)*tech_proj!X892*$L$110))</f>
        <v/>
      </c>
      <c r="Y832" s="72" t="str">
        <f>IF(tech_base!$T208&gt;Y$625,"",(1000*tech_proj!Y1172*(-PMT($J$110,tech_base!$F208,1))+1000*tech_proj!Y1452)/((1-tech_proj!Y612)*tech_proj!Y892*$L$110))</f>
        <v/>
      </c>
      <c r="Z832" s="72" t="str">
        <f>IF(tech_base!$T208&gt;Z$625,"",(1000*tech_proj!Z1172*(-PMT($J$110,tech_base!$F208,1))+1000*tech_proj!Z1452)/((1-tech_proj!Z612)*tech_proj!Z892*$L$110))</f>
        <v/>
      </c>
      <c r="AA832" s="72" t="str">
        <f>IF(tech_base!$T208&gt;AA$625,"",(1000*tech_proj!AA1172*(-PMT($J$110,tech_base!$F208,1))+1000*tech_proj!AA1452)/((1-tech_proj!AA612)*tech_proj!AA892*$L$110))</f>
        <v/>
      </c>
      <c r="AB832" s="72" t="str">
        <f>IF(tech_base!$T208&gt;AB$625,"",(1000*tech_proj!AB1172*(-PMT($J$110,tech_base!$F208,1))+1000*tech_proj!AB1452)/((1-tech_proj!AB612)*tech_proj!AB892*$L$110))</f>
        <v/>
      </c>
      <c r="AC832" s="72" t="str">
        <f>IF(tech_base!$T208&gt;AC$625,"",(1000*tech_proj!AC1172*(-PMT($J$110,tech_base!$F208,1))+1000*tech_proj!AC1452)/((1-tech_proj!AC612)*tech_proj!AC892*$L$110))</f>
        <v/>
      </c>
      <c r="AD832" s="72" t="str">
        <f>IF(tech_base!$T208&gt;AD$625,"",(1000*tech_proj!AD1172*(-PMT($J$110,tech_base!$F208,1))+1000*tech_proj!AD1452)/((1-tech_proj!AD612)*tech_proj!AD892*$L$110))</f>
        <v/>
      </c>
      <c r="AE832" s="72">
        <f>IF(tech_base!$T208&gt;AE$625,"",(1000*tech_proj!AE1172*(-PMT($J$110,tech_base!$F208,1))+1000*tech_proj!AE1452)/((1-tech_proj!AE612)*tech_proj!AE892*$L$110))</f>
        <v>195.83918434445891</v>
      </c>
      <c r="AF832" s="72">
        <f>IF(tech_base!$T208&gt;AF$625,"",(1000*tech_proj!AF1172*(-PMT($J$110,tech_base!$F208,1))+1000*tech_proj!AF1452)/((1-tech_proj!AF612)*tech_proj!AF892*$L$110))</f>
        <v>195.8241383544582</v>
      </c>
      <c r="AG832" s="72">
        <f>IF(tech_base!$T208&gt;AG$625,"",(1000*tech_proj!AG1172*(-PMT($J$110,tech_base!$F208,1))+1000*tech_proj!AG1452)/((1-tech_proj!AG612)*tech_proj!AG892*$L$110))</f>
        <v>195.80279671644806</v>
      </c>
      <c r="AH832" s="72">
        <f>IF(tech_base!$T208&gt;AH$625,"",(1000*tech_proj!AH1172*(-PMT($J$110,tech_base!$F208,1))+1000*tech_proj!AH1452)/((1-tech_proj!AH612)*tech_proj!AH892*$L$110))</f>
        <v>195.77253088423183</v>
      </c>
      <c r="AI832" s="72">
        <f>IF(tech_base!$T208&gt;AI$625,"",(1000*tech_proj!AI1172*(-PMT($J$110,tech_base!$F208,1))+1000*tech_proj!AI1452)/((1-tech_proj!AI612)*tech_proj!AI892*$L$110))</f>
        <v>195.72962063494165</v>
      </c>
      <c r="AJ832" s="72">
        <f>IF(tech_base!$T208&gt;AJ$625,"",(1000*tech_proj!AJ1172*(-PMT($J$110,tech_base!$F208,1))+1000*tech_proj!AJ1452)/((1-tech_proj!AJ612)*tech_proj!AJ892*$L$110))</f>
        <v>195.6688065282739</v>
      </c>
      <c r="AK832" s="72">
        <f>IF(tech_base!$T208&gt;AK$625,"",(1000*tech_proj!AK1172*(-PMT($J$110,tech_base!$F208,1))+1000*tech_proj!AK1452)/((1-tech_proj!AK612)*tech_proj!AK892*$L$110))</f>
        <v>195.58266480234181</v>
      </c>
      <c r="AL832" s="72">
        <f>IF(tech_base!$T208&gt;AL$625,"",(1000*tech_proj!AL1172*(-PMT($J$110,tech_base!$F208,1))+1000*tech_proj!AL1452)/((1-tech_proj!AL612)*tech_proj!AL892*$L$110))</f>
        <v>195.4607402423176</v>
      </c>
      <c r="AM832" s="72">
        <f>IF(tech_base!$T208&gt;AM$625,"",(1000*tech_proj!AM1172*(-PMT($J$110,tech_base!$F208,1))+1000*tech_proj!AM1452)/((1-tech_proj!AM612)*tech_proj!AM892*$L$110))</f>
        <v>195.28835530395182</v>
      </c>
      <c r="AN832" s="72">
        <f>IF(tech_base!$T208&gt;AN$625,"",(1000*tech_proj!AN1172*(-PMT($J$110,tech_base!$F208,1))+1000*tech_proj!AN1452)/((1-tech_proj!AN612)*tech_proj!AN892*$L$110))</f>
        <v>195.0449985971635</v>
      </c>
      <c r="AO832" s="72">
        <f>IF(tech_base!$T208&gt;AO$625,"",(1000*tech_proj!AO1172*(-PMT($J$110,tech_base!$F208,1))+1000*tech_proj!AO1452)/((1-tech_proj!AO612)*tech_proj!AO892*$L$110))</f>
        <v>194.70219199193696</v>
      </c>
      <c r="AP832" s="72">
        <f>IF(tech_base!$T208&gt;AP$625,"",(1000*tech_proj!AP1172*(-PMT($J$110,tech_base!$F208,1))+1000*tech_proj!AP1452)/((1-tech_proj!AP612)*tech_proj!AP892*$L$110))</f>
        <v>194.22076290850254</v>
      </c>
      <c r="AQ832" s="72">
        <f>IF(tech_base!$T208&gt;AQ$625,"",(1000*tech_proj!AQ1172*(-PMT($J$110,tech_base!$F208,1))+1000*tech_proj!AQ1452)/((1-tech_proj!AQ612)*tech_proj!AQ892*$L$110))</f>
        <v>193.54754529512175</v>
      </c>
      <c r="AR832" s="72">
        <f>IF(tech_base!$T208&gt;AR$625,"",(1000*tech_proj!AR1172*(-PMT($J$110,tech_base!$F208,1))+1000*tech_proj!AR1452)/((1-tech_proj!AR612)*tech_proj!AR892*$L$110))</f>
        <v>192.61176719810061</v>
      </c>
      <c r="AS832" s="72">
        <f>IF(tech_base!$T208&gt;AS$625,"",(1000*tech_proj!AS1172*(-PMT($J$110,tech_base!$F208,1))+1000*tech_proj!AS1452)/((1-tech_proj!AS612)*tech_proj!AS892*$L$110))</f>
        <v>191.3218589442437</v>
      </c>
      <c r="AT832" s="72">
        <f>IF(tech_base!$T208&gt;AT$625,"",(1000*tech_proj!AT1172*(-PMT($J$110,tech_base!$F208,1))+1000*tech_proj!AT1452)/((1-tech_proj!AT612)*tech_proj!AT892*$L$110))</f>
        <v>189.56425734870919</v>
      </c>
      <c r="AU832" s="72">
        <f>IF(tech_base!$T208&gt;AU$625,"",(1000*tech_proj!AU1172*(-PMT($J$110,tech_base!$F208,1))+1000*tech_proj!AU1452)/((1-tech_proj!AU612)*tech_proj!AU892*$L$110))</f>
        <v>187.20703910628865</v>
      </c>
      <c r="AV832" s="72">
        <f>IF(tech_base!$T208&gt;AV$625,"",(1000*tech_proj!AV1172*(-PMT($J$110,tech_base!$F208,1))+1000*tech_proj!AV1452)/((1-tech_proj!AV612)*tech_proj!AV892*$L$110))</f>
        <v>184.11261761623294</v>
      </c>
      <c r="AW832" s="72">
        <f>IF(tech_base!$T208&gt;AW$625,"",(1000*tech_proj!AW1172*(-PMT($J$110,tech_base!$F208,1))+1000*tech_proj!AW1452)/((1-tech_proj!AW612)*tech_proj!AW892*$L$110))</f>
        <v>180.16422402943934</v>
      </c>
      <c r="AX832" s="238">
        <f>IF(tech_base!$T208&gt;AX$625,"",(1000*tech_proj!AX1172*(-PMT($J$110,tech_base!$F208,1))+1000*tech_proj!AX1452)/((1-tech_proj!AX612)*tech_proj!AX892*$L$110))</f>
        <v>175.30821943535207</v>
      </c>
    </row>
    <row r="833" spans="1:50" x14ac:dyDescent="0.25">
      <c r="A833" s="356"/>
      <c r="B833" s="376"/>
      <c r="C833" s="361" t="s">
        <v>16</v>
      </c>
      <c r="D833" s="2" t="s">
        <v>7</v>
      </c>
      <c r="E833" s="160" t="str">
        <f>A827&amp;"/"&amp;B827&amp;"/"&amp;C833&amp;"/"&amp;D833</f>
        <v>Biomass and waste fired power plants/Integrated gasification combined cycle/CHP with CCS/L</v>
      </c>
      <c r="F833" s="76" t="str">
        <f>A827</f>
        <v>Biomass and waste fired power plants</v>
      </c>
      <c r="G833" s="76" t="str">
        <f>B827</f>
        <v>Integrated gasification combined cycle</v>
      </c>
      <c r="H833" s="76" t="str">
        <f>C833</f>
        <v>CHP with CCS</v>
      </c>
      <c r="I833" s="161" t="str">
        <f t="shared" si="365"/>
        <v>L</v>
      </c>
      <c r="J833" s="69" t="str">
        <f>IF(tech_base!$T209&gt;J$625,"",(1000*tech_proj!J1173*(-PMT($J$110,tech_base!$F209,1))+1000*tech_proj!J1453)/((1-tech_proj!J613)*tech_proj!J893*$L$110))</f>
        <v/>
      </c>
      <c r="K833" s="69" t="str">
        <f>IF(tech_base!$T209&gt;K$625,"",(1000*tech_proj!K1173*(-PMT($J$110,tech_base!$F209,1))+1000*tech_proj!K1453)/((1-tech_proj!K613)*tech_proj!K893*$L$110))</f>
        <v/>
      </c>
      <c r="L833" s="69" t="str">
        <f>IF(tech_base!$T209&gt;L$625,"",(1000*tech_proj!L1173*(-PMT($J$110,tech_base!$F209,1))+1000*tech_proj!L1453)/((1-tech_proj!L613)*tech_proj!L893*$L$110))</f>
        <v/>
      </c>
      <c r="M833" s="69" t="str">
        <f>IF(tech_base!$T209&gt;M$625,"",(1000*tech_proj!M1173*(-PMT($J$110,tech_base!$F209,1))+1000*tech_proj!M1453)/((1-tech_proj!M613)*tech_proj!M893*$L$110))</f>
        <v/>
      </c>
      <c r="N833" s="69" t="str">
        <f>IF(tech_base!$T209&gt;N$625,"",(1000*tech_proj!N1173*(-PMT($J$110,tech_base!$F209,1))+1000*tech_proj!N1453)/((1-tech_proj!N613)*tech_proj!N893*$L$110))</f>
        <v/>
      </c>
      <c r="O833" s="69" t="str">
        <f>IF(tech_base!$T209&gt;O$625,"",(1000*tech_proj!O1173*(-PMT($J$110,tech_base!$F209,1))+1000*tech_proj!O1453)/((1-tech_proj!O613)*tech_proj!O893*$L$110))</f>
        <v/>
      </c>
      <c r="P833" s="69" t="str">
        <f>IF(tech_base!$T209&gt;P$625,"",(1000*tech_proj!P1173*(-PMT($J$110,tech_base!$F209,1))+1000*tech_proj!P1453)/((1-tech_proj!P613)*tech_proj!P893*$L$110))</f>
        <v/>
      </c>
      <c r="Q833" s="69" t="str">
        <f>IF(tech_base!$T209&gt;Q$625,"",(1000*tech_proj!Q1173*(-PMT($J$110,tech_base!$F209,1))+1000*tech_proj!Q1453)/((1-tech_proj!Q613)*tech_proj!Q893*$L$110))</f>
        <v/>
      </c>
      <c r="R833" s="69" t="str">
        <f>IF(tech_base!$T209&gt;R$625,"",(1000*tech_proj!R1173*(-PMT($J$110,tech_base!$F209,1))+1000*tech_proj!R1453)/((1-tech_proj!R613)*tech_proj!R893*$L$110))</f>
        <v/>
      </c>
      <c r="S833" s="69" t="str">
        <f>IF(tech_base!$T209&gt;S$625,"",(1000*tech_proj!S1173*(-PMT($J$110,tech_base!$F209,1))+1000*tech_proj!S1453)/((1-tech_proj!S613)*tech_proj!S893*$L$110))</f>
        <v/>
      </c>
      <c r="T833" s="69" t="str">
        <f>IF(tech_base!$T209&gt;T$625,"",(1000*tech_proj!T1173*(-PMT($J$110,tech_base!$F209,1))+1000*tech_proj!T1453)/((1-tech_proj!T613)*tech_proj!T893*$L$110))</f>
        <v/>
      </c>
      <c r="U833" s="69" t="str">
        <f>IF(tech_base!$T209&gt;U$625,"",(1000*tech_proj!U1173*(-PMT($J$110,tech_base!$F209,1))+1000*tech_proj!U1453)/((1-tech_proj!U613)*tech_proj!U893*$L$110))</f>
        <v/>
      </c>
      <c r="V833" s="69" t="str">
        <f>IF(tech_base!$T209&gt;V$625,"",(1000*tech_proj!V1173*(-PMT($J$110,tech_base!$F209,1))+1000*tech_proj!V1453)/((1-tech_proj!V613)*tech_proj!V893*$L$110))</f>
        <v/>
      </c>
      <c r="W833" s="69" t="str">
        <f>IF(tech_base!$T209&gt;W$625,"",(1000*tech_proj!W1173*(-PMT($J$110,tech_base!$F209,1))+1000*tech_proj!W1453)/((1-tech_proj!W613)*tech_proj!W893*$L$110))</f>
        <v/>
      </c>
      <c r="X833" s="69" t="str">
        <f>IF(tech_base!$T209&gt;X$625,"",(1000*tech_proj!X1173*(-PMT($J$110,tech_base!$F209,1))+1000*tech_proj!X1453)/((1-tech_proj!X613)*tech_proj!X893*$L$110))</f>
        <v/>
      </c>
      <c r="Y833" s="69" t="str">
        <f>IF(tech_base!$T209&gt;Y$625,"",(1000*tech_proj!Y1173*(-PMT($J$110,tech_base!$F209,1))+1000*tech_proj!Y1453)/((1-tech_proj!Y613)*tech_proj!Y893*$L$110))</f>
        <v/>
      </c>
      <c r="Z833" s="69" t="str">
        <f>IF(tech_base!$T209&gt;Z$625,"",(1000*tech_proj!Z1173*(-PMT($J$110,tech_base!$F209,1))+1000*tech_proj!Z1453)/((1-tech_proj!Z613)*tech_proj!Z893*$L$110))</f>
        <v/>
      </c>
      <c r="AA833" s="69" t="str">
        <f>IF(tech_base!$T209&gt;AA$625,"",(1000*tech_proj!AA1173*(-PMT($J$110,tech_base!$F209,1))+1000*tech_proj!AA1453)/((1-tech_proj!AA613)*tech_proj!AA893*$L$110))</f>
        <v/>
      </c>
      <c r="AB833" s="69" t="str">
        <f>IF(tech_base!$T209&gt;AB$625,"",(1000*tech_proj!AB1173*(-PMT($J$110,tech_base!$F209,1))+1000*tech_proj!AB1453)/((1-tech_proj!AB613)*tech_proj!AB893*$L$110))</f>
        <v/>
      </c>
      <c r="AC833" s="69" t="str">
        <f>IF(tech_base!$T209&gt;AC$625,"",(1000*tech_proj!AC1173*(-PMT($J$110,tech_base!$F209,1))+1000*tech_proj!AC1453)/((1-tech_proj!AC613)*tech_proj!AC893*$L$110))</f>
        <v/>
      </c>
      <c r="AD833" s="69" t="str">
        <f>IF(tech_base!$T209&gt;AD$625,"",(1000*tech_proj!AD1173*(-PMT($J$110,tech_base!$F209,1))+1000*tech_proj!AD1453)/((1-tech_proj!AD613)*tech_proj!AD893*$L$110))</f>
        <v/>
      </c>
      <c r="AE833" s="69">
        <f>IF(tech_base!$T209&gt;AE$625,"",(1000*tech_proj!AE1173*(-PMT($J$110,tech_base!$F209,1))+1000*tech_proj!AE1453)/((1-tech_proj!AE613)*tech_proj!AE893*$L$110))</f>
        <v>199.68821669423451</v>
      </c>
      <c r="AF833" s="69">
        <f>IF(tech_base!$T209&gt;AF$625,"",(1000*tech_proj!AF1173*(-PMT($J$110,tech_base!$F209,1))+1000*tech_proj!AF1453)/((1-tech_proj!AF613)*tech_proj!AF893*$L$110))</f>
        <v>199.66081505807338</v>
      </c>
      <c r="AG833" s="69">
        <f>IF(tech_base!$T209&gt;AG$625,"",(1000*tech_proj!AG1173*(-PMT($J$110,tech_base!$F209,1))+1000*tech_proj!AG1453)/((1-tech_proj!AG613)*tech_proj!AG893*$L$110))</f>
        <v>199.62386169392212</v>
      </c>
      <c r="AH833" s="69">
        <f>IF(tech_base!$T209&gt;AH$625,"",(1000*tech_proj!AH1173*(-PMT($J$110,tech_base!$F209,1))+1000*tech_proj!AH1453)/((1-tech_proj!AH613)*tech_proj!AH893*$L$110))</f>
        <v>199.57404349921373</v>
      </c>
      <c r="AI833" s="69">
        <f>IF(tech_base!$T209&gt;AI$625,"",(1000*tech_proj!AI1173*(-PMT($J$110,tech_base!$F209,1))+1000*tech_proj!AI1453)/((1-tech_proj!AI613)*tech_proj!AI893*$L$110))</f>
        <v>199.50691166364419</v>
      </c>
      <c r="AJ833" s="69">
        <f>IF(tech_base!$T209&gt;AJ$625,"",(1000*tech_proj!AJ1173*(-PMT($J$110,tech_base!$F209,1))+1000*tech_proj!AJ1453)/((1-tech_proj!AJ613)*tech_proj!AJ893*$L$110))</f>
        <v>199.41650336579923</v>
      </c>
      <c r="AK833" s="69">
        <f>IF(tech_base!$T209&gt;AK$625,"",(1000*tech_proj!AK1173*(-PMT($J$110,tech_base!$F209,1))+1000*tech_proj!AK1453)/((1-tech_proj!AK613)*tech_proj!AK893*$L$110))</f>
        <v>199.29484645877767</v>
      </c>
      <c r="AL833" s="69">
        <f>IF(tech_base!$T209&gt;AL$625,"",(1000*tech_proj!AL1173*(-PMT($J$110,tech_base!$F209,1))+1000*tech_proj!AL1453)/((1-tech_proj!AL613)*tech_proj!AL893*$L$110))</f>
        <v>199.13131838029994</v>
      </c>
      <c r="AM833" s="69">
        <f>IF(tech_base!$T209&gt;AM$625,"",(1000*tech_proj!AM1173*(-PMT($J$110,tech_base!$F209,1))+1000*tech_proj!AM1453)/((1-tech_proj!AM613)*tech_proj!AM893*$L$110))</f>
        <v>198.91182984135506</v>
      </c>
      <c r="AN833" s="69">
        <f>IF(tech_base!$T209&gt;AN$625,"",(1000*tech_proj!AN1173*(-PMT($J$110,tech_base!$F209,1))+1000*tech_proj!AN1453)/((1-tech_proj!AN613)*tech_proj!AN893*$L$110))</f>
        <v>198.61780976571234</v>
      </c>
      <c r="AO833" s="69">
        <f>IF(tech_base!$T209&gt;AO$625,"",(1000*tech_proj!AO1173*(-PMT($J$110,tech_base!$F209,1))+1000*tech_proj!AO1453)/((1-tech_proj!AO613)*tech_proj!AO893*$L$110))</f>
        <v>198.22498720831609</v>
      </c>
      <c r="AP833" s="69">
        <f>IF(tech_base!$T209&gt;AP$625,"",(1000*tech_proj!AP1173*(-PMT($J$110,tech_base!$F209,1))+1000*tech_proj!AP1453)/((1-tech_proj!AP613)*tech_proj!AP893*$L$110))</f>
        <v>197.70200975267201</v>
      </c>
      <c r="AQ833" s="69">
        <f>IF(tech_base!$T209&gt;AQ$625,"",(1000*tech_proj!AQ1173*(-PMT($J$110,tech_base!$F209,1))+1000*tech_proj!AQ1453)/((1-tech_proj!AQ613)*tech_proj!AQ893*$L$110))</f>
        <v>197.00902318134308</v>
      </c>
      <c r="AR833" s="69">
        <f>IF(tech_base!$T209&gt;AR$625,"",(1000*tech_proj!AR1173*(-PMT($J$110,tech_base!$F209,1))+1000*tech_proj!AR1453)/((1-tech_proj!AR613)*tech_proj!AR893*$L$110))</f>
        <v>196.09648663600316</v>
      </c>
      <c r="AS833" s="69">
        <f>IF(tech_base!$T209&gt;AS$625,"",(1000*tech_proj!AS1173*(-PMT($J$110,tech_base!$F209,1))+1000*tech_proj!AS1453)/((1-tech_proj!AS613)*tech_proj!AS893*$L$110))</f>
        <v>194.90473373499802</v>
      </c>
      <c r="AT833" s="69">
        <f>IF(tech_base!$T209&gt;AT$625,"",(1000*tech_proj!AT1173*(-PMT($J$110,tech_base!$F209,1))+1000*tech_proj!AT1453)/((1-tech_proj!AT613)*tech_proj!AT893*$L$110))</f>
        <v>193.36511807312158</v>
      </c>
      <c r="AU833" s="69">
        <f>IF(tech_base!$T209&gt;AU$625,"",(1000*tech_proj!AU1173*(-PMT($J$110,tech_base!$F209,1))+1000*tech_proj!AU1453)/((1-tech_proj!AU613)*tech_proj!AU893*$L$110))</f>
        <v>191.40394775002653</v>
      </c>
      <c r="AV833" s="69">
        <f>IF(tech_base!$T209&gt;AV$625,"",(1000*tech_proj!AV1173*(-PMT($J$110,tech_base!$F209,1))+1000*tech_proj!AV1453)/((1-tech_proj!AV613)*tech_proj!AV893*$L$110))</f>
        <v>188.95063787924076</v>
      </c>
      <c r="AW833" s="69">
        <f>IF(tech_base!$T209&gt;AW$625,"",(1000*tech_proj!AW1173*(-PMT($J$110,tech_base!$F209,1))+1000*tech_proj!AW1453)/((1-tech_proj!AW613)*tech_proj!AW893*$L$110))</f>
        <v>185.95121385352533</v>
      </c>
      <c r="AX833" s="235">
        <f>IF(tech_base!$T209&gt;AX$625,"",(1000*tech_proj!AX1173*(-PMT($J$110,tech_base!$F209,1))+1000*tech_proj!AX1453)/((1-tech_proj!AX613)*tech_proj!AX893*$L$110))</f>
        <v>182.38693033839118</v>
      </c>
    </row>
    <row r="834" spans="1:50" x14ac:dyDescent="0.25">
      <c r="A834" s="356"/>
      <c r="B834" s="380"/>
      <c r="C834" s="381"/>
      <c r="D834" s="4" t="s">
        <v>8</v>
      </c>
      <c r="E834" s="168" t="str">
        <f>A827&amp;"/"&amp;B827&amp;"/"&amp;C833&amp;"/"&amp;D834</f>
        <v>Biomass and waste fired power plants/Integrated gasification combined cycle/CHP with CCS/M</v>
      </c>
      <c r="F834" s="80" t="str">
        <f>A827</f>
        <v>Biomass and waste fired power plants</v>
      </c>
      <c r="G834" s="80" t="str">
        <f>B827</f>
        <v>Integrated gasification combined cycle</v>
      </c>
      <c r="H834" s="80" t="str">
        <f>C833</f>
        <v>CHP with CCS</v>
      </c>
      <c r="I834" s="169" t="str">
        <f t="shared" si="365"/>
        <v>M</v>
      </c>
      <c r="J834" s="73" t="str">
        <f>IF(tech_base!$T210&gt;J$625,"",(1000*tech_proj!J1174*(-PMT($J$110,tech_base!$F210,1))+1000*tech_proj!J1454)/((1-tech_proj!J614)*tech_proj!J894*$L$110))</f>
        <v/>
      </c>
      <c r="K834" s="73" t="str">
        <f>IF(tech_base!$T210&gt;K$625,"",(1000*tech_proj!K1174*(-PMT($J$110,tech_base!$F210,1))+1000*tech_proj!K1454)/((1-tech_proj!K614)*tech_proj!K894*$L$110))</f>
        <v/>
      </c>
      <c r="L834" s="73" t="str">
        <f>IF(tech_base!$T210&gt;L$625,"",(1000*tech_proj!L1174*(-PMT($J$110,tech_base!$F210,1))+1000*tech_proj!L1454)/((1-tech_proj!L614)*tech_proj!L894*$L$110))</f>
        <v/>
      </c>
      <c r="M834" s="73" t="str">
        <f>IF(tech_base!$T210&gt;M$625,"",(1000*tech_proj!M1174*(-PMT($J$110,tech_base!$F210,1))+1000*tech_proj!M1454)/((1-tech_proj!M614)*tech_proj!M894*$L$110))</f>
        <v/>
      </c>
      <c r="N834" s="73" t="str">
        <f>IF(tech_base!$T210&gt;N$625,"",(1000*tech_proj!N1174*(-PMT($J$110,tech_base!$F210,1))+1000*tech_proj!N1454)/((1-tech_proj!N614)*tech_proj!N894*$L$110))</f>
        <v/>
      </c>
      <c r="O834" s="73" t="str">
        <f>IF(tech_base!$T210&gt;O$625,"",(1000*tech_proj!O1174*(-PMT($J$110,tech_base!$F210,1))+1000*tech_proj!O1454)/((1-tech_proj!O614)*tech_proj!O894*$L$110))</f>
        <v/>
      </c>
      <c r="P834" s="73" t="str">
        <f>IF(tech_base!$T210&gt;P$625,"",(1000*tech_proj!P1174*(-PMT($J$110,tech_base!$F210,1))+1000*tech_proj!P1454)/((1-tech_proj!P614)*tech_proj!P894*$L$110))</f>
        <v/>
      </c>
      <c r="Q834" s="73" t="str">
        <f>IF(tech_base!$T210&gt;Q$625,"",(1000*tech_proj!Q1174*(-PMT($J$110,tech_base!$F210,1))+1000*tech_proj!Q1454)/((1-tech_proj!Q614)*tech_proj!Q894*$L$110))</f>
        <v/>
      </c>
      <c r="R834" s="73" t="str">
        <f>IF(tech_base!$T210&gt;R$625,"",(1000*tech_proj!R1174*(-PMT($J$110,tech_base!$F210,1))+1000*tech_proj!R1454)/((1-tech_proj!R614)*tech_proj!R894*$L$110))</f>
        <v/>
      </c>
      <c r="S834" s="73" t="str">
        <f>IF(tech_base!$T210&gt;S$625,"",(1000*tech_proj!S1174*(-PMT($J$110,tech_base!$F210,1))+1000*tech_proj!S1454)/((1-tech_proj!S614)*tech_proj!S894*$L$110))</f>
        <v/>
      </c>
      <c r="T834" s="73" t="str">
        <f>IF(tech_base!$T210&gt;T$625,"",(1000*tech_proj!T1174*(-PMT($J$110,tech_base!$F210,1))+1000*tech_proj!T1454)/((1-tech_proj!T614)*tech_proj!T894*$L$110))</f>
        <v/>
      </c>
      <c r="U834" s="73" t="str">
        <f>IF(tech_base!$T210&gt;U$625,"",(1000*tech_proj!U1174*(-PMT($J$110,tech_base!$F210,1))+1000*tech_proj!U1454)/((1-tech_proj!U614)*tech_proj!U894*$L$110))</f>
        <v/>
      </c>
      <c r="V834" s="73" t="str">
        <f>IF(tech_base!$T210&gt;V$625,"",(1000*tech_proj!V1174*(-PMT($J$110,tech_base!$F210,1))+1000*tech_proj!V1454)/((1-tech_proj!V614)*tech_proj!V894*$L$110))</f>
        <v/>
      </c>
      <c r="W834" s="73" t="str">
        <f>IF(tech_base!$T210&gt;W$625,"",(1000*tech_proj!W1174*(-PMT($J$110,tech_base!$F210,1))+1000*tech_proj!W1454)/((1-tech_proj!W614)*tech_proj!W894*$L$110))</f>
        <v/>
      </c>
      <c r="X834" s="73" t="str">
        <f>IF(tech_base!$T210&gt;X$625,"",(1000*tech_proj!X1174*(-PMT($J$110,tech_base!$F210,1))+1000*tech_proj!X1454)/((1-tech_proj!X614)*tech_proj!X894*$L$110))</f>
        <v/>
      </c>
      <c r="Y834" s="73" t="str">
        <f>IF(tech_base!$T210&gt;Y$625,"",(1000*tech_proj!Y1174*(-PMT($J$110,tech_base!$F210,1))+1000*tech_proj!Y1454)/((1-tech_proj!Y614)*tech_proj!Y894*$L$110))</f>
        <v/>
      </c>
      <c r="Z834" s="73" t="str">
        <f>IF(tech_base!$T210&gt;Z$625,"",(1000*tech_proj!Z1174*(-PMT($J$110,tech_base!$F210,1))+1000*tech_proj!Z1454)/((1-tech_proj!Z614)*tech_proj!Z894*$L$110))</f>
        <v/>
      </c>
      <c r="AA834" s="73" t="str">
        <f>IF(tech_base!$T210&gt;AA$625,"",(1000*tech_proj!AA1174*(-PMT($J$110,tech_base!$F210,1))+1000*tech_proj!AA1454)/((1-tech_proj!AA614)*tech_proj!AA894*$L$110))</f>
        <v/>
      </c>
      <c r="AB834" s="73" t="str">
        <f>IF(tech_base!$T210&gt;AB$625,"",(1000*tech_proj!AB1174*(-PMT($J$110,tech_base!$F210,1))+1000*tech_proj!AB1454)/((1-tech_proj!AB614)*tech_proj!AB894*$L$110))</f>
        <v/>
      </c>
      <c r="AC834" s="73" t="str">
        <f>IF(tech_base!$T210&gt;AC$625,"",(1000*tech_proj!AC1174*(-PMT($J$110,tech_base!$F210,1))+1000*tech_proj!AC1454)/((1-tech_proj!AC614)*tech_proj!AC894*$L$110))</f>
        <v/>
      </c>
      <c r="AD834" s="73" t="str">
        <f>IF(tech_base!$T210&gt;AD$625,"",(1000*tech_proj!AD1174*(-PMT($J$110,tech_base!$F210,1))+1000*tech_proj!AD1454)/((1-tech_proj!AD614)*tech_proj!AD894*$L$110))</f>
        <v/>
      </c>
      <c r="AE834" s="73">
        <f>IF(tech_base!$T210&gt;AE$625,"",(1000*tech_proj!AE1174*(-PMT($J$110,tech_base!$F210,1))+1000*tech_proj!AE1454)/((1-tech_proj!AE614)*tech_proj!AE894*$L$110))</f>
        <v>215.8925917867241</v>
      </c>
      <c r="AF834" s="73">
        <f>IF(tech_base!$T210&gt;AF$625,"",(1000*tech_proj!AF1174*(-PMT($J$110,tech_base!$F210,1))+1000*tech_proj!AF1454)/((1-tech_proj!AF614)*tech_proj!AF894*$L$110))</f>
        <v>215.87790105366022</v>
      </c>
      <c r="AG834" s="73">
        <f>IF(tech_base!$T210&gt;AG$625,"",(1000*tech_proj!AG1174*(-PMT($J$110,tech_base!$F210,1))+1000*tech_proj!AG1454)/((1-tech_proj!AG614)*tech_proj!AG894*$L$110))</f>
        <v>215.85706332167058</v>
      </c>
      <c r="AH834" s="73">
        <f>IF(tech_base!$T210&gt;AH$625,"",(1000*tech_proj!AH1174*(-PMT($J$110,tech_base!$F210,1))+1000*tech_proj!AH1454)/((1-tech_proj!AH614)*tech_proj!AH894*$L$110))</f>
        <v>215.82751210822269</v>
      </c>
      <c r="AI834" s="73">
        <f>IF(tech_base!$T210&gt;AI$625,"",(1000*tech_proj!AI1174*(-PMT($J$110,tech_base!$F210,1))+1000*tech_proj!AI1454)/((1-tech_proj!AI614)*tech_proj!AI894*$L$110))</f>
        <v>215.78561503013097</v>
      </c>
      <c r="AJ834" s="73">
        <f>IF(tech_base!$T210&gt;AJ$625,"",(1000*tech_proj!AJ1174*(-PMT($J$110,tech_base!$F210,1))+1000*tech_proj!AJ1454)/((1-tech_proj!AJ614)*tech_proj!AJ894*$L$110))</f>
        <v>215.72623682985744</v>
      </c>
      <c r="AK834" s="73">
        <f>IF(tech_base!$T210&gt;AK$625,"",(1000*tech_proj!AK1174*(-PMT($J$110,tech_base!$F210,1))+1000*tech_proj!AK1454)/((1-tech_proj!AK614)*tech_proj!AK894*$L$110))</f>
        <v>215.6421290309508</v>
      </c>
      <c r="AL834" s="73">
        <f>IF(tech_base!$T210&gt;AL$625,"",(1000*tech_proj!AL1174*(-PMT($J$110,tech_base!$F210,1))+1000*tech_proj!AL1454)/((1-tech_proj!AL614)*tech_proj!AL894*$L$110))</f>
        <v>215.52308328087611</v>
      </c>
      <c r="AM834" s="73">
        <f>IF(tech_base!$T210&gt;AM$625,"",(1000*tech_proj!AM1174*(-PMT($J$110,tech_base!$F210,1))+1000*tech_proj!AM1454)/((1-tech_proj!AM614)*tech_proj!AM894*$L$110))</f>
        <v>215.35476859279979</v>
      </c>
      <c r="AN834" s="73">
        <f>IF(tech_base!$T210&gt;AN$625,"",(1000*tech_proj!AN1174*(-PMT($J$110,tech_base!$F210,1))+1000*tech_proj!AN1454)/((1-tech_proj!AN614)*tech_proj!AN894*$L$110))</f>
        <v>215.11715787934267</v>
      </c>
      <c r="AO834" s="73">
        <f>IF(tech_base!$T210&gt;AO$625,"",(1000*tech_proj!AO1174*(-PMT($J$110,tech_base!$F210,1))+1000*tech_proj!AO1454)/((1-tech_proj!AO614)*tech_proj!AO894*$L$110))</f>
        <v>214.78244541909996</v>
      </c>
      <c r="AP834" s="73">
        <f>IF(tech_base!$T210&gt;AP$625,"",(1000*tech_proj!AP1174*(-PMT($J$110,tech_base!$F210,1))+1000*tech_proj!AP1454)/((1-tech_proj!AP614)*tech_proj!AP894*$L$110))</f>
        <v>214.31238355187816</v>
      </c>
      <c r="AQ834" s="73">
        <f>IF(tech_base!$T210&gt;AQ$625,"",(1000*tech_proj!AQ1174*(-PMT($J$110,tech_base!$F210,1))+1000*tech_proj!AQ1454)/((1-tech_proj!AQ614)*tech_proj!AQ894*$L$110))</f>
        <v>213.65506155102423</v>
      </c>
      <c r="AR834" s="73">
        <f>IF(tech_base!$T210&gt;AR$625,"",(1000*tech_proj!AR1174*(-PMT($J$110,tech_base!$F210,1))+1000*tech_proj!AR1454)/((1-tech_proj!AR614)*tech_proj!AR894*$L$110))</f>
        <v>212.74137848797992</v>
      </c>
      <c r="AS834" s="73">
        <f>IF(tech_base!$T210&gt;AS$625,"",(1000*tech_proj!AS1174*(-PMT($J$110,tech_base!$F210,1))+1000*tech_proj!AS1454)/((1-tech_proj!AS614)*tech_proj!AS894*$L$110))</f>
        <v>211.48192677802646</v>
      </c>
      <c r="AT834" s="73">
        <f>IF(tech_base!$T210&gt;AT$625,"",(1000*tech_proj!AT1174*(-PMT($J$110,tech_base!$F210,1))+1000*tech_proj!AT1454)/((1-tech_proj!AT614)*tech_proj!AT894*$L$110))</f>
        <v>209.76582462247092</v>
      </c>
      <c r="AU834" s="73">
        <f>IF(tech_base!$T210&gt;AU$625,"",(1000*tech_proj!AU1174*(-PMT($J$110,tech_base!$F210,1))+1000*tech_proj!AU1454)/((1-tech_proj!AU614)*tech_proj!AU894*$L$110))</f>
        <v>207.4642636104586</v>
      </c>
      <c r="AV834" s="73">
        <f>IF(tech_base!$T210&gt;AV$625,"",(1000*tech_proj!AV1174*(-PMT($J$110,tech_base!$F210,1))+1000*tech_proj!AV1454)/((1-tech_proj!AV614)*tech_proj!AV894*$L$110))</f>
        <v>204.44290575394905</v>
      </c>
      <c r="AW834" s="73">
        <f>IF(tech_base!$T210&gt;AW$625,"",(1000*tech_proj!AW1174*(-PMT($J$110,tech_base!$F210,1))+1000*tech_proj!AW1454)/((1-tech_proj!AW614)*tech_proj!AW894*$L$110))</f>
        <v>200.58773928021944</v>
      </c>
      <c r="AX834" s="239">
        <f>IF(tech_base!$T210&gt;AX$625,"",(1000*tech_proj!AX1174*(-PMT($J$110,tech_base!$F210,1))+1000*tech_proj!AX1454)/((1-tech_proj!AX614)*tech_proj!AX894*$L$110))</f>
        <v>195.8463917686598</v>
      </c>
    </row>
    <row r="835" spans="1:50" x14ac:dyDescent="0.25">
      <c r="A835" s="356"/>
      <c r="B835" s="358" t="s">
        <v>18</v>
      </c>
      <c r="C835" s="353" t="s">
        <v>6</v>
      </c>
      <c r="D835" s="3" t="s">
        <v>7</v>
      </c>
      <c r="E835" s="162" t="str">
        <f>A827&amp;"/"&amp;B835&amp;"/"&amp;C835&amp;"/"&amp;D835</f>
        <v>Biomass and waste fired power plants/Fluidized bed combustion/Electricity only/L</v>
      </c>
      <c r="F835" s="77" t="str">
        <f>A827</f>
        <v>Biomass and waste fired power plants</v>
      </c>
      <c r="G835" s="77" t="str">
        <f>B835</f>
        <v>Fluidized bed combustion</v>
      </c>
      <c r="H835" s="77" t="str">
        <f>C835</f>
        <v>Electricity only</v>
      </c>
      <c r="I835" s="163" t="str">
        <f t="shared" si="365"/>
        <v>L</v>
      </c>
      <c r="J835" s="70">
        <f>IF(tech_base!$T211&gt;J$625,"",(1000*tech_proj!J1175*(-PMT($J$110,tech_base!$F211,1))+1000*tech_proj!J1455)/((1-tech_proj!J615)*tech_proj!J895*$L$110))</f>
        <v>83.589110873376669</v>
      </c>
      <c r="K835" s="70">
        <f>IF(tech_base!$T211&gt;K$625,"",(1000*tech_proj!K1175*(-PMT($J$110,tech_base!$F211,1))+1000*tech_proj!K1455)/((1-tech_proj!K615)*tech_proj!K895*$L$110))</f>
        <v>83.586124132142416</v>
      </c>
      <c r="L835" s="70">
        <f>IF(tech_base!$T211&gt;L$625,"",(1000*tech_proj!L1175*(-PMT($J$110,tech_base!$F211,1))+1000*tech_proj!L1455)/((1-tech_proj!L615)*tech_proj!L895*$L$110))</f>
        <v>83.582477384815235</v>
      </c>
      <c r="M835" s="70">
        <f>IF(tech_base!$T211&gt;M$625,"",(1000*tech_proj!M1175*(-PMT($J$110,tech_base!$F211,1))+1000*tech_proj!M1455)/((1-tech_proj!M615)*tech_proj!M895*$L$110))</f>
        <v>83.578025126257586</v>
      </c>
      <c r="N835" s="70">
        <f>IF(tech_base!$T211&gt;N$625,"",(1000*tech_proj!N1175*(-PMT($J$110,tech_base!$F211,1))+1000*tech_proj!N1455)/((1-tech_proj!N615)*tech_proj!N895*$L$110))</f>
        <v>83.572589941252389</v>
      </c>
      <c r="O835" s="70">
        <f>IF(tech_base!$T211&gt;O$625,"",(1000*tech_proj!O1175*(-PMT($J$110,tech_base!$F211,1))+1000*tech_proj!O1455)/((1-tech_proj!O615)*tech_proj!O895*$L$110))</f>
        <v>83.565955588974973</v>
      </c>
      <c r="P835" s="70">
        <f>IF(tech_base!$T211&gt;P$625,"",(1000*tech_proj!P1175*(-PMT($J$110,tech_base!$F211,1))+1000*tech_proj!P1455)/((1-tech_proj!P615)*tech_proj!P895*$L$110))</f>
        <v>83.557858629334248</v>
      </c>
      <c r="Q835" s="70">
        <f>IF(tech_base!$T211&gt;Q$625,"",(1000*tech_proj!Q1175*(-PMT($J$110,tech_base!$F211,1))+1000*tech_proj!Q1455)/((1-tech_proj!Q615)*tech_proj!Q895*$L$110))</f>
        <v>83.547978303819477</v>
      </c>
      <c r="R835" s="70">
        <f>IF(tech_base!$T211&gt;R$625,"",(1000*tech_proj!R1175*(-PMT($J$110,tech_base!$F211,1))+1000*tech_proj!R1455)/((1-tech_proj!R615)*tech_proj!R895*$L$110))</f>
        <v>83.535924336968478</v>
      </c>
      <c r="S835" s="70">
        <f>IF(tech_base!$T211&gt;S$625,"",(1000*tech_proj!S1175*(-PMT($J$110,tech_base!$F211,1))+1000*tech_proj!S1455)/((1-tech_proj!S615)*tech_proj!S895*$L$110))</f>
        <v>83.521222275875871</v>
      </c>
      <c r="T835" s="70">
        <f>IF(tech_base!$T211&gt;T$625,"",(1000*tech_proj!T1175*(-PMT($J$110,tech_base!$F211,1))+1000*tech_proj!T1455)/((1-tech_proj!T615)*tech_proj!T895*$L$110))</f>
        <v>83.503295937585875</v>
      </c>
      <c r="U835" s="70">
        <f>IF(tech_base!$T211&gt;U$625,"",(1000*tech_proj!U1175*(-PMT($J$110,tech_base!$F211,1))+1000*tech_proj!U1455)/((1-tech_proj!U615)*tech_proj!U895*$L$110))</f>
        <v>83.481446493442789</v>
      </c>
      <c r="V835" s="70">
        <f>IF(tech_base!$T211&gt;V$625,"",(1000*tech_proj!V1175*(-PMT($J$110,tech_base!$F211,1))+1000*tech_proj!V1455)/((1-tech_proj!V615)*tech_proj!V895*$L$110))</f>
        <v>83.45482769481255</v>
      </c>
      <c r="W835" s="70">
        <f>IF(tech_base!$T211&gt;W$625,"",(1000*tech_proj!W1175*(-PMT($J$110,tech_base!$F211,1))+1000*tech_proj!W1455)/((1-tech_proj!W615)*tech_proj!W895*$L$110))</f>
        <v>83.422416750640849</v>
      </c>
      <c r="X835" s="70">
        <f>IF(tech_base!$T211&gt;X$625,"",(1000*tech_proj!X1175*(-PMT($J$110,tech_base!$F211,1))+1000*tech_proj!X1455)/((1-tech_proj!X615)*tech_proj!X895*$L$110))</f>
        <v>83.382980426320032</v>
      </c>
      <c r="Y835" s="70">
        <f>IF(tech_base!$T211&gt;Y$625,"",(1000*tech_proj!Y1175*(-PMT($J$110,tech_base!$F211,1))+1000*tech_proj!Y1455)/((1-tech_proj!Y615)*tech_proj!Y895*$L$110))</f>
        <v>83.335036078216277</v>
      </c>
      <c r="Z835" s="70">
        <f>IF(tech_base!$T211&gt;Z$625,"",(1000*tech_proj!Z1175*(-PMT($J$110,tech_base!$F211,1))+1000*tech_proj!Z1455)/((1-tech_proj!Z615)*tech_proj!Z895*$L$110))</f>
        <v>83.276807616403332</v>
      </c>
      <c r="AA835" s="70">
        <f>IF(tech_base!$T211&gt;AA$625,"",(1000*tech_proj!AA1175*(-PMT($J$110,tech_base!$F211,1))+1000*tech_proj!AA1455)/((1-tech_proj!AA615)*tech_proj!AA895*$L$110))</f>
        <v>83.206176866003943</v>
      </c>
      <c r="AB835" s="70">
        <f>IF(tech_base!$T211&gt;AB$625,"",(1000*tech_proj!AB1175*(-PMT($J$110,tech_base!$F211,1))+1000*tech_proj!AB1455)/((1-tech_proj!AB615)*tech_proj!AB895*$L$110))</f>
        <v>83.120631564676358</v>
      </c>
      <c r="AC835" s="70">
        <f>IF(tech_base!$T211&gt;AC$625,"",(1000*tech_proj!AC1175*(-PMT($J$110,tech_base!$F211,1))+1000*tech_proj!AC1455)/((1-tech_proj!AC615)*tech_proj!AC895*$L$110))</f>
        <v>83.017212405828673</v>
      </c>
      <c r="AD835" s="70">
        <f>IF(tech_base!$T211&gt;AD$625,"",(1000*tech_proj!AD1175*(-PMT($J$110,tech_base!$F211,1))+1000*tech_proj!AD1455)/((1-tech_proj!AD615)*tech_proj!AD895*$L$110))</f>
        <v>82.892463253921576</v>
      </c>
      <c r="AE835" s="70">
        <f>IF(tech_base!$T211&gt;AE$625,"",(1000*tech_proj!AE1175*(-PMT($J$110,tech_base!$F211,1))+1000*tech_proj!AE1455)/((1-tech_proj!AE615)*tech_proj!AE895*$L$110))</f>
        <v>82.742391071809394</v>
      </c>
      <c r="AF835" s="70">
        <f>IF(tech_base!$T211&gt;AF$625,"",(1000*tech_proj!AF1175*(-PMT($J$110,tech_base!$F211,1))+1000*tech_proj!AF1455)/((1-tech_proj!AF615)*tech_proj!AF895*$L$110))</f>
        <v>82.562445343829197</v>
      </c>
      <c r="AG835" s="70">
        <f>IF(tech_base!$T211&gt;AG$625,"",(1000*tech_proj!AG1175*(-PMT($J$110,tech_base!$F211,1))+1000*tech_proj!AG1455)/((1-tech_proj!AG615)*tech_proj!AG895*$L$110))</f>
        <v>82.347530903446781</v>
      </c>
      <c r="AH835" s="70">
        <f>IF(tech_base!$T211&gt;AH$625,"",(1000*tech_proj!AH1175*(-PMT($J$110,tech_base!$F211,1))+1000*tech_proj!AH1455)/((1-tech_proj!AH615)*tech_proj!AH895*$L$110))</f>
        <v>82.092072936434747</v>
      </c>
      <c r="AI835" s="70">
        <f>IF(tech_base!$T211&gt;AI$625,"",(1000*tech_proj!AI1175*(-PMT($J$110,tech_base!$F211,1))+1000*tech_proj!AI1455)/((1-tech_proj!AI615)*tech_proj!AI895*$L$110))</f>
        <v>81.790158010073938</v>
      </c>
      <c r="AJ835" s="70">
        <f>IF(tech_base!$T211&gt;AJ$625,"",(1000*tech_proj!AJ1175*(-PMT($J$110,tech_base!$F211,1))+1000*tech_proj!AJ1455)/((1-tech_proj!AJ615)*tech_proj!AJ895*$L$110))</f>
        <v>81.435779129186471</v>
      </c>
      <c r="AK835" s="70">
        <f>IF(tech_base!$T211&gt;AK$625,"",(1000*tech_proj!AK1175*(-PMT($J$110,tech_base!$F211,1))+1000*tech_proj!AK1455)/((1-tech_proj!AK615)*tech_proj!AK895*$L$110))</f>
        <v>81.0232139779108</v>
      </c>
      <c r="AL835" s="70">
        <f>IF(tech_base!$T211&gt;AL$625,"",(1000*tech_proj!AL1175*(-PMT($J$110,tech_base!$F211,1))+1000*tech_proj!AL1455)/((1-tech_proj!AL615)*tech_proj!AL895*$L$110))</f>
        <v>80.547560478015924</v>
      </c>
      <c r="AM835" s="70">
        <f>IF(tech_base!$T211&gt;AM$625,"",(1000*tech_proj!AM1175*(-PMT($J$110,tech_base!$F211,1))+1000*tech_proj!AM1455)/((1-tech_proj!AM615)*tech_proj!AM895*$L$110))</f>
        <v>80.005438362165506</v>
      </c>
      <c r="AN835" s="70">
        <f>IF(tech_base!$T211&gt;AN$625,"",(1000*tech_proj!AN1175*(-PMT($J$110,tech_base!$F211,1))+1000*tech_proj!AN1455)/((1-tech_proj!AN615)*tech_proj!AN895*$L$110))</f>
        <v>79.395835217217467</v>
      </c>
      <c r="AO835" s="70">
        <f>IF(tech_base!$T211&gt;AO$625,"",(1000*tech_proj!AO1175*(-PMT($J$110,tech_base!$F211,1))+1000*tech_proj!AO1455)/((1-tech_proj!AO615)*tech_proj!AO895*$L$110))</f>
        <v>78.721027852510105</v>
      </c>
      <c r="AP835" s="70">
        <f>IF(tech_base!$T211&gt;AP$625,"",(1000*tech_proj!AP1175*(-PMT($J$110,tech_base!$F211,1))+1000*tech_proj!AP1455)/((1-tech_proj!AP615)*tech_proj!AP895*$L$110))</f>
        <v>77.987447708368137</v>
      </c>
      <c r="AQ835" s="70">
        <f>IF(tech_base!$T211&gt;AQ$625,"",(1000*tech_proj!AQ1175*(-PMT($J$110,tech_base!$F211,1))+1000*tech_proj!AQ1455)/((1-tech_proj!AQ615)*tech_proj!AQ895*$L$110))</f>
        <v>77.206294808742157</v>
      </c>
      <c r="AR835" s="70">
        <f>IF(tech_base!$T211&gt;AR$625,"",(1000*tech_proj!AR1175*(-PMT($J$110,tech_base!$F211,1))+1000*tech_proj!AR1455)/((1-tech_proj!AR615)*tech_proj!AR895*$L$110))</f>
        <v>76.393663295665633</v>
      </c>
      <c r="AS835" s="70">
        <f>IF(tech_base!$T211&gt;AS$625,"",(1000*tech_proj!AS1175*(-PMT($J$110,tech_base!$F211,1))+1000*tech_proj!AS1455)/((1-tech_proj!AS615)*tech_proj!AS895*$L$110))</f>
        <v>75.569956919215173</v>
      </c>
      <c r="AT835" s="70">
        <f>IF(tech_base!$T211&gt;AT$625,"",(1000*tech_proj!AT1175*(-PMT($J$110,tech_base!$F211,1))+1000*tech_proj!AT1455)/((1-tech_proj!AT615)*tech_proj!AT895*$L$110))</f>
        <v>74.75847524324216</v>
      </c>
      <c r="AU835" s="70">
        <f>IF(tech_base!$T211&gt;AU$625,"",(1000*tech_proj!AU1175*(-PMT($J$110,tech_base!$F211,1))+1000*tech_proj!AU1455)/((1-tech_proj!AU615)*tech_proj!AU895*$L$110))</f>
        <v>73.98324489003511</v>
      </c>
      <c r="AV835" s="70">
        <f>IF(tech_base!$T211&gt;AV$625,"",(1000*tech_proj!AV1175*(-PMT($J$110,tech_base!$F211,1))+1000*tech_proj!AV1455)/((1-tech_proj!AV615)*tech_proj!AV895*$L$110))</f>
        <v>73.26641193354402</v>
      </c>
      <c r="AW835" s="70">
        <f>IF(tech_base!$T211&gt;AW$625,"",(1000*tech_proj!AW1175*(-PMT($J$110,tech_base!$F211,1))+1000*tech_proj!AW1455)/((1-tech_proj!AW615)*tech_proj!AW895*$L$110))</f>
        <v>72.625711301129328</v>
      </c>
      <c r="AX835" s="236">
        <f>IF(tech_base!$T211&gt;AX$625,"",(1000*tech_proj!AX1175*(-PMT($J$110,tech_base!$F211,1))+1000*tech_proj!AX1455)/((1-tech_proj!AX615)*tech_proj!AX895*$L$110))</f>
        <v>72.072584273434728</v>
      </c>
    </row>
    <row r="836" spans="1:50" x14ac:dyDescent="0.25">
      <c r="A836" s="356"/>
      <c r="B836" s="376"/>
      <c r="C836" s="378"/>
      <c r="D836" s="2" t="s">
        <v>8</v>
      </c>
      <c r="E836" s="160" t="str">
        <f>A827&amp;"/"&amp;B835&amp;"/"&amp;C835&amp;"/"&amp;D836</f>
        <v>Biomass and waste fired power plants/Fluidized bed combustion/Electricity only/M</v>
      </c>
      <c r="F836" s="76" t="str">
        <f>A827</f>
        <v>Biomass and waste fired power plants</v>
      </c>
      <c r="G836" s="76" t="str">
        <f>B835</f>
        <v>Fluidized bed combustion</v>
      </c>
      <c r="H836" s="76" t="str">
        <f>C835</f>
        <v>Electricity only</v>
      </c>
      <c r="I836" s="161" t="str">
        <f t="shared" si="365"/>
        <v>M</v>
      </c>
      <c r="J836" s="69">
        <f>IF(tech_base!$T212&gt;J$625,"",(1000*tech_proj!J1176*(-PMT($J$110,tech_base!$F212,1))+1000*tech_proj!J1456)/((1-tech_proj!J616)*tech_proj!J896*$L$110))</f>
        <v>90.606779496775829</v>
      </c>
      <c r="K836" s="69">
        <f>IF(tech_base!$T212&gt;K$625,"",(1000*tech_proj!K1176*(-PMT($J$110,tech_base!$F212,1))+1000*tech_proj!K1456)/((1-tech_proj!K616)*tech_proj!K896*$L$110))</f>
        <v>90.60023199550443</v>
      </c>
      <c r="L836" s="69">
        <f>IF(tech_base!$T212&gt;L$625,"",(1000*tech_proj!L1176*(-PMT($J$110,tech_base!$F212,1))+1000*tech_proj!L1456)/((1-tech_proj!L616)*tech_proj!L896*$L$110))</f>
        <v>90.592437282737919</v>
      </c>
      <c r="M836" s="69">
        <f>IF(tech_base!$T212&gt;M$625,"",(1000*tech_proj!M1176*(-PMT($J$110,tech_base!$F212,1))+1000*tech_proj!M1456)/((1-tech_proj!M616)*tech_proj!M896*$L$110))</f>
        <v>90.583158911691413</v>
      </c>
      <c r="N836" s="69">
        <f>IF(tech_base!$T212&gt;N$625,"",(1000*tech_proj!N1176*(-PMT($J$110,tech_base!$F212,1))+1000*tech_proj!N1456)/((1-tech_proj!N616)*tech_proj!N896*$L$110))</f>
        <v>90.572116082264387</v>
      </c>
      <c r="O836" s="69">
        <f>IF(tech_base!$T212&gt;O$625,"",(1000*tech_proj!O1176*(-PMT($J$110,tech_base!$F212,1))+1000*tech_proj!O1456)/((1-tech_proj!O616)*tech_proj!O896*$L$110))</f>
        <v>90.558975518585015</v>
      </c>
      <c r="P836" s="69">
        <f>IF(tech_base!$T212&gt;P$625,"",(1000*tech_proj!P1176*(-PMT($J$110,tech_base!$F212,1))+1000*tech_proj!P1456)/((1-tech_proj!P616)*tech_proj!P896*$L$110))</f>
        <v>90.543341941906974</v>
      </c>
      <c r="Q836" s="69">
        <f>IF(tech_base!$T212&gt;Q$625,"",(1000*tech_proj!Q1176*(-PMT($J$110,tech_base!$F212,1))+1000*tech_proj!Q1456)/((1-tech_proj!Q616)*tech_proj!Q896*$L$110))</f>
        <v>90.52474693112066</v>
      </c>
      <c r="R836" s="69">
        <f>IF(tech_base!$T212&gt;R$625,"",(1000*tech_proj!R1176*(-PMT($J$110,tech_base!$F212,1))+1000*tech_proj!R1456)/((1-tech_proj!R616)*tech_proj!R896*$L$110))</f>
        <v>90.502635947953621</v>
      </c>
      <c r="S836" s="69">
        <f>IF(tech_base!$T212&gt;S$625,"",(1000*tech_proj!S1176*(-PMT($J$110,tech_base!$F212,1))+1000*tech_proj!S1456)/((1-tech_proj!S616)*tech_proj!S896*$L$110))</f>
        <v>90.476353295465472</v>
      </c>
      <c r="T836" s="69">
        <f>IF(tech_base!$T212&gt;T$625,"",(1000*tech_proj!T1176*(-PMT($J$110,tech_base!$F212,1))+1000*tech_proj!T1456)/((1-tech_proj!T616)*tech_proj!T896*$L$110))</f>
        <v>90.445124781568879</v>
      </c>
      <c r="U836" s="69">
        <f>IF(tech_base!$T212&gt;U$625,"",(1000*tech_proj!U1176*(-PMT($J$110,tech_base!$F212,1))+1000*tech_proj!U1456)/((1-tech_proj!U616)*tech_proj!U896*$L$110))</f>
        <v>90.408037881048401</v>
      </c>
      <c r="V836" s="69">
        <f>IF(tech_base!$T212&gt;V$625,"",(1000*tech_proj!V1176*(-PMT($J$110,tech_base!$F212,1))+1000*tech_proj!V1456)/((1-tech_proj!V616)*tech_proj!V896*$L$110))</f>
        <v>90.364019239802147</v>
      </c>
      <c r="W836" s="69">
        <f>IF(tech_base!$T212&gt;W$625,"",(1000*tech_proj!W1176*(-PMT($J$110,tech_base!$F212,1))+1000*tech_proj!W1456)/((1-tech_proj!W616)*tech_proj!W896*$L$110))</f>
        <v>90.311809457464165</v>
      </c>
      <c r="X836" s="69">
        <f>IF(tech_base!$T212&gt;X$625,"",(1000*tech_proj!X1176*(-PMT($J$110,tech_base!$F212,1))+1000*tech_proj!X1456)/((1-tech_proj!X616)*tech_proj!X896*$L$110))</f>
        <v>90.249935237619184</v>
      </c>
      <c r="Y836" s="69">
        <f>IF(tech_base!$T212&gt;Y$625,"",(1000*tech_proj!Y1176*(-PMT($J$110,tech_base!$F212,1))+1000*tech_proj!Y1456)/((1-tech_proj!Y616)*tech_proj!Y896*$L$110))</f>
        <v>90.17667923278924</v>
      </c>
      <c r="Z836" s="69">
        <f>IF(tech_base!$T212&gt;Z$625,"",(1000*tech_proj!Z1176*(-PMT($J$110,tech_base!$F212,1))+1000*tech_proj!Z1456)/((1-tech_proj!Z616)*tech_proj!Z896*$L$110))</f>
        <v>90.090048265236661</v>
      </c>
      <c r="AA836" s="69">
        <f>IF(tech_base!$T212&gt;AA$625,"",(1000*tech_proj!AA1176*(-PMT($J$110,tech_base!$F212,1))+1000*tech_proj!AA1456)/((1-tech_proj!AA616)*tech_proj!AA896*$L$110))</f>
        <v>89.987741112382849</v>
      </c>
      <c r="AB836" s="69">
        <f>IF(tech_base!$T212&gt;AB$625,"",(1000*tech_proj!AB1176*(-PMT($J$110,tech_base!$F212,1))+1000*tech_proj!AB1456)/((1-tech_proj!AB616)*tech_proj!AB896*$L$110))</f>
        <v>89.867117751260679</v>
      </c>
      <c r="AC836" s="69">
        <f>IF(tech_base!$T212&gt;AC$625,"",(1000*tech_proj!AC1176*(-PMT($J$110,tech_base!$F212,1))+1000*tech_proj!AC1456)/((1-tech_proj!AC616)*tech_proj!AC896*$L$110))</f>
        <v>89.725172906398043</v>
      </c>
      <c r="AD836" s="69">
        <f>IF(tech_base!$T212&gt;AD$625,"",(1000*tech_proj!AD1176*(-PMT($J$110,tech_base!$F212,1))+1000*tech_proj!AD1456)/((1-tech_proj!AD616)*tech_proj!AD896*$L$110))</f>
        <v>89.558517981233692</v>
      </c>
      <c r="AE836" s="69">
        <f>IF(tech_base!$T212&gt;AE$625,"",(1000*tech_proj!AE1176*(-PMT($J$110,tech_base!$F212,1))+1000*tech_proj!AE1456)/((1-tech_proj!AE616)*tech_proj!AE896*$L$110))</f>
        <v>89.363376996477186</v>
      </c>
      <c r="AF836" s="69">
        <f>IF(tech_base!$T212&gt;AF$625,"",(1000*tech_proj!AF1176*(-PMT($J$110,tech_base!$F212,1))+1000*tech_proj!AF1456)/((1-tech_proj!AF616)*tech_proj!AF896*$L$110))</f>
        <v>89.135603988115292</v>
      </c>
      <c r="AG836" s="69">
        <f>IF(tech_base!$T212&gt;AG$625,"",(1000*tech_proj!AG1176*(-PMT($J$110,tech_base!$F212,1))+1000*tech_proj!AG1456)/((1-tech_proj!AG616)*tech_proj!AG896*$L$110))</f>
        <v>88.870731330940927</v>
      </c>
      <c r="AH836" s="69">
        <f>IF(tech_base!$T212&gt;AH$625,"",(1000*tech_proj!AH1176*(-PMT($J$110,tech_base!$F212,1))+1000*tech_proj!AH1456)/((1-tech_proj!AH616)*tech_proj!AH896*$L$110))</f>
        <v>88.56406041632691</v>
      </c>
      <c r="AI836" s="69">
        <f>IF(tech_base!$T212&gt;AI$625,"",(1000*tech_proj!AI1176*(-PMT($J$110,tech_base!$F212,1))+1000*tech_proj!AI1456)/((1-tech_proj!AI616)*tech_proj!AI896*$L$110))</f>
        <v>88.210807595022231</v>
      </c>
      <c r="AJ836" s="69">
        <f>IF(tech_base!$T212&gt;AJ$625,"",(1000*tech_proj!AJ1176*(-PMT($J$110,tech_base!$F212,1))+1000*tech_proj!AJ1456)/((1-tech_proj!AJ616)*tech_proj!AJ896*$L$110))</f>
        <v>87.806318604939975</v>
      </c>
      <c r="AK836" s="69">
        <f>IF(tech_base!$T212&gt;AK$625,"",(1000*tech_proj!AK1176*(-PMT($J$110,tech_base!$F212,1))+1000*tech_proj!AK1456)/((1-tech_proj!AK616)*tech_proj!AK896*$L$110))</f>
        <v>87.346362846826949</v>
      </c>
      <c r="AL836" s="69">
        <f>IF(tech_base!$T212&gt;AL$625,"",(1000*tech_proj!AL1176*(-PMT($J$110,tech_base!$F212,1))+1000*tech_proj!AL1456)/((1-tech_proj!AL616)*tech_proj!AL896*$L$110))</f>
        <v>86.827513588130117</v>
      </c>
      <c r="AM836" s="69">
        <f>IF(tech_base!$T212&gt;AM$625,"",(1000*tech_proj!AM1176*(-PMT($J$110,tech_base!$F212,1))+1000*tech_proj!AM1456)/((1-tech_proj!AM616)*tech_proj!AM896*$L$110))</f>
        <v>86.247610127426228</v>
      </c>
      <c r="AN836" s="69">
        <f>IF(tech_base!$T212&gt;AN$625,"",(1000*tech_proj!AN1176*(-PMT($J$110,tech_base!$F212,1))+1000*tech_proj!AN1456)/((1-tech_proj!AN616)*tech_proj!AN896*$L$110))</f>
        <v>85.606282139091036</v>
      </c>
      <c r="AO836" s="69">
        <f>IF(tech_base!$T212&gt;AO$625,"",(1000*tech_proj!AO1176*(-PMT($J$110,tech_base!$F212,1))+1000*tech_proj!AO1456)/((1-tech_proj!AO616)*tech_proj!AO896*$L$110))</f>
        <v>84.905494894626599</v>
      </c>
      <c r="AP836" s="69">
        <f>IF(tech_base!$T212&gt;AP$625,"",(1000*tech_proj!AP1176*(-PMT($J$110,tech_base!$F212,1))+1000*tech_proj!AP1456)/((1-tech_proj!AP616)*tech_proj!AP896*$L$110))</f>
        <v>84.150048878212147</v>
      </c>
      <c r="AQ836" s="69">
        <f>IF(tech_base!$T212&gt;AQ$625,"",(1000*tech_proj!AQ1176*(-PMT($J$110,tech_base!$F212,1))+1000*tech_proj!AQ1456)/((1-tech_proj!AQ616)*tech_proj!AQ896*$L$110))</f>
        <v>83.34794343390638</v>
      </c>
      <c r="AR836" s="69">
        <f>IF(tech_base!$T212&gt;AR$625,"",(1000*tech_proj!AR1176*(-PMT($J$110,tech_base!$F212,1))+1000*tech_proj!AR1456)/((1-tech_proj!AR616)*tech_proj!AR896*$L$110))</f>
        <v>82.510499618222696</v>
      </c>
      <c r="AS836" s="69">
        <f>IF(tech_base!$T212&gt;AS$625,"",(1000*tech_proj!AS1176*(-PMT($J$110,tech_base!$F212,1))+1000*tech_proj!AS1456)/((1-tech_proj!AS616)*tech_proj!AS896*$L$110))</f>
        <v>81.652142493936495</v>
      </c>
      <c r="AT836" s="69">
        <f>IF(tech_base!$T212&gt;AT$625,"",(1000*tech_proj!AT1176*(-PMT($J$110,tech_base!$F212,1))+1000*tech_proj!AT1456)/((1-tech_proj!AT616)*tech_proj!AT896*$L$110))</f>
        <v>80.789776564410161</v>
      </c>
      <c r="AU836" s="69">
        <f>IF(tech_base!$T212&gt;AU$625,"",(1000*tech_proj!AU1176*(-PMT($J$110,tech_base!$F212,1))+1000*tech_proj!AU1456)/((1-tech_proj!AU616)*tech_proj!AU896*$L$110))</f>
        <v>79.941752553561898</v>
      </c>
      <c r="AV836" s="69">
        <f>IF(tech_base!$T212&gt;AV$625,"",(1000*tech_proj!AV1176*(-PMT($J$110,tech_base!$F212,1))+1000*tech_proj!AV1456)/((1-tech_proj!AV616)*tech_proj!AV896*$L$110))</f>
        <v>79.12651075821509</v>
      </c>
      <c r="AW836" s="69">
        <f>IF(tech_base!$T212&gt;AW$625,"",(1000*tech_proj!AW1176*(-PMT($J$110,tech_base!$F212,1))+1000*tech_proj!AW1456)/((1-tech_proj!AW616)*tech_proj!AW896*$L$110))</f>
        <v>78.361074432691225</v>
      </c>
      <c r="AX836" s="235">
        <f>IF(tech_base!$T212&gt;AX$625,"",(1000*tech_proj!AX1176*(-PMT($J$110,tech_base!$F212,1))+1000*tech_proj!AX1456)/((1-tech_proj!AX616)*tech_proj!AX896*$L$110))</f>
        <v>77.659626785016229</v>
      </c>
    </row>
    <row r="837" spans="1:50" x14ac:dyDescent="0.25">
      <c r="A837" s="356"/>
      <c r="B837" s="376"/>
      <c r="C837" s="378"/>
      <c r="D837" s="2" t="s">
        <v>10</v>
      </c>
      <c r="E837" s="160" t="str">
        <f>A827&amp;"/"&amp;B835&amp;"/"&amp;C835&amp;"/"&amp;D837</f>
        <v>Biomass and waste fired power plants/Fluidized bed combustion/Electricity only/S</v>
      </c>
      <c r="F837" s="76" t="str">
        <f>A827</f>
        <v>Biomass and waste fired power plants</v>
      </c>
      <c r="G837" s="76" t="str">
        <f>B835</f>
        <v>Fluidized bed combustion</v>
      </c>
      <c r="H837" s="76" t="str">
        <f>C835</f>
        <v>Electricity only</v>
      </c>
      <c r="I837" s="161" t="str">
        <f t="shared" si="365"/>
        <v>S</v>
      </c>
      <c r="J837" s="69">
        <f>IF(tech_base!$T213&gt;J$625,"",(1000*tech_proj!J1177*(-PMT($J$110,tech_base!$F213,1))+1000*tech_proj!J1457)/((1-tech_proj!J617)*tech_proj!J897*$L$110))</f>
        <v>100.50688978949887</v>
      </c>
      <c r="K837" s="69">
        <f>IF(tech_base!$T213&gt;K$625,"",(1000*tech_proj!K1177*(-PMT($J$110,tech_base!$F213,1))+1000*tech_proj!K1457)/((1-tech_proj!K617)*tech_proj!K897*$L$110))</f>
        <v>100.49053481241401</v>
      </c>
      <c r="L837" s="69">
        <f>IF(tech_base!$T213&gt;L$625,"",(1000*tech_proj!L1177*(-PMT($J$110,tech_base!$F213,1))+1000*tech_proj!L1457)/((1-tech_proj!L617)*tech_proj!L897*$L$110))</f>
        <v>100.47155726051587</v>
      </c>
      <c r="M837" s="69">
        <f>IF(tech_base!$T213&gt;M$625,"",(1000*tech_proj!M1177*(-PMT($J$110,tech_base!$F213,1))+1000*tech_proj!M1457)/((1-tech_proj!M617)*tech_proj!M897*$L$110))</f>
        <v>100.44954112605227</v>
      </c>
      <c r="N837" s="69">
        <f>IF(tech_base!$T213&gt;N$625,"",(1000*tech_proj!N1177*(-PMT($J$110,tech_base!$F213,1))+1000*tech_proj!N1457)/((1-tech_proj!N617)*tech_proj!N897*$L$110))</f>
        <v>100.42400598754794</v>
      </c>
      <c r="O837" s="69">
        <f>IF(tech_base!$T213&gt;O$625,"",(1000*tech_proj!O1177*(-PMT($J$110,tech_base!$F213,1))+1000*tech_proj!O1457)/((1-tech_proj!O617)*tech_proj!O897*$L$110))</f>
        <v>100.3943975849708</v>
      </c>
      <c r="P837" s="69">
        <f>IF(tech_base!$T213&gt;P$625,"",(1000*tech_proj!P1177*(-PMT($J$110,tech_base!$F213,1))+1000*tech_proj!P1457)/((1-tech_proj!P617)*tech_proj!P897*$L$110))</f>
        <v>100.36007720880309</v>
      </c>
      <c r="Q837" s="69">
        <f>IF(tech_base!$T213&gt;Q$625,"",(1000*tech_proj!Q1177*(-PMT($J$110,tech_base!$F213,1))+1000*tech_proj!Q1457)/((1-tech_proj!Q617)*tech_proj!Q897*$L$110))</f>
        <v>100.32030982386762</v>
      </c>
      <c r="R837" s="69">
        <f>IF(tech_base!$T213&gt;R$625,"",(1000*tech_proj!R1177*(-PMT($J$110,tech_base!$F213,1))+1000*tech_proj!R1457)/((1-tech_proj!R617)*tech_proj!R897*$L$110))</f>
        <v>100.27425087218326</v>
      </c>
      <c r="S837" s="69">
        <f>IF(tech_base!$T213&gt;S$625,"",(1000*tech_proj!S1177*(-PMT($J$110,tech_base!$F213,1))+1000*tech_proj!S1457)/((1-tech_proj!S617)*tech_proj!S897*$L$110))</f>
        <v>100.22093173725652</v>
      </c>
      <c r="T837" s="69">
        <f>IF(tech_base!$T213&gt;T$625,"",(1000*tech_proj!T1177*(-PMT($J$110,tech_base!$F213,1))+1000*tech_proj!T1457)/((1-tech_proj!T617)*tech_proj!T897*$L$110))</f>
        <v>100.15924391032198</v>
      </c>
      <c r="U837" s="69">
        <f>IF(tech_base!$T213&gt;U$625,"",(1000*tech_proj!U1177*(-PMT($J$110,tech_base!$F213,1))+1000*tech_proj!U1457)/((1-tech_proj!U617)*tech_proj!U897*$L$110))</f>
        <v>100.08792198376341</v>
      </c>
      <c r="V837" s="69">
        <f>IF(tech_base!$T213&gt;V$625,"",(1000*tech_proj!V1177*(-PMT($J$110,tech_base!$F213,1))+1000*tech_proj!V1457)/((1-tech_proj!V617)*tech_proj!V897*$L$110))</f>
        <v>100.00552571647194</v>
      </c>
      <c r="W837" s="69">
        <f>IF(tech_base!$T213&gt;W$625,"",(1000*tech_proj!W1177*(-PMT($J$110,tech_base!$F213,1))+1000*tech_proj!W1457)/((1-tech_proj!W617)*tech_proj!W897*$L$110))</f>
        <v>99.910421580033741</v>
      </c>
      <c r="X837" s="69">
        <f>IF(tech_base!$T213&gt;X$625,"",(1000*tech_proj!X1177*(-PMT($J$110,tech_base!$F213,1))+1000*tech_proj!X1457)/((1-tech_proj!X617)*tech_proj!X897*$L$110))</f>
        <v>99.800764414701433</v>
      </c>
      <c r="Y837" s="69">
        <f>IF(tech_base!$T213&gt;Y$625,"",(1000*tech_proj!Y1177*(-PMT($J$110,tech_base!$F213,1))+1000*tech_proj!Y1457)/((1-tech_proj!Y617)*tech_proj!Y897*$L$110))</f>
        <v>99.674480112434139</v>
      </c>
      <c r="Z837" s="69">
        <f>IF(tech_base!$T213&gt;Z$625,"",(1000*tech_proj!Z1177*(-PMT($J$110,tech_base!$F213,1))+1000*tech_proj!Z1457)/((1-tech_proj!Z617)*tech_proj!Z897*$L$110))</f>
        <v>99.529250613226296</v>
      </c>
      <c r="AA837" s="69">
        <f>IF(tech_base!$T213&gt;AA$625,"",(1000*tech_proj!AA1177*(-PMT($J$110,tech_base!$F213,1))+1000*tech_proj!AA1457)/((1-tech_proj!AA617)*tech_proj!AA897*$L$110))</f>
        <v>99.362502960924289</v>
      </c>
      <c r="AB837" s="69">
        <f>IF(tech_base!$T213&gt;AB$625,"",(1000*tech_proj!AB1177*(-PMT($J$110,tech_base!$F213,1))+1000*tech_proj!AB1457)/((1-tech_proj!AB617)*tech_proj!AB897*$L$110))</f>
        <v>99.171404721088706</v>
      </c>
      <c r="AC837" s="69">
        <f>IF(tech_base!$T213&gt;AC$625,"",(1000*tech_proj!AC1177*(-PMT($J$110,tech_base!$F213,1))+1000*tech_proj!AC1457)/((1-tech_proj!AC617)*tech_proj!AC897*$L$110))</f>
        <v>98.952868711549755</v>
      </c>
      <c r="AD837" s="69">
        <f>IF(tech_base!$T213&gt;AD$625,"",(1000*tech_proj!AD1177*(-PMT($J$110,tech_base!$F213,1))+1000*tech_proj!AD1457)/((1-tech_proj!AD617)*tech_proj!AD897*$L$110))</f>
        <v>98.703570714346966</v>
      </c>
      <c r="AE837" s="69">
        <f>IF(tech_base!$T213&gt;AE$625,"",(1000*tech_proj!AE1177*(-PMT($J$110,tech_base!$F213,1))+1000*tech_proj!AE1457)/((1-tech_proj!AE617)*tech_proj!AE897*$L$110))</f>
        <v>98.419984577196459</v>
      </c>
      <c r="AF837" s="69">
        <f>IF(tech_base!$T213&gt;AF$625,"",(1000*tech_proj!AF1177*(-PMT($J$110,tech_base!$F213,1))+1000*tech_proj!AF1457)/((1-tech_proj!AF617)*tech_proj!AF897*$L$110))</f>
        <v>98.09843978608292</v>
      </c>
      <c r="AG837" s="69">
        <f>IF(tech_base!$T213&gt;AG$625,"",(1000*tech_proj!AG1177*(-PMT($J$110,tech_base!$F213,1))+1000*tech_proj!AG1457)/((1-tech_proj!AG617)*tech_proj!AG897*$L$110))</f>
        <v>97.735207058289632</v>
      </c>
      <c r="AH837" s="69">
        <f>IF(tech_base!$T213&gt;AH$625,"",(1000*tech_proj!AH1177*(-PMT($J$110,tech_base!$F213,1))+1000*tech_proj!AH1457)/((1-tech_proj!AH617)*tech_proj!AH897*$L$110))</f>
        <v>97.326617562713011</v>
      </c>
      <c r="AI837" s="69">
        <f>IF(tech_base!$T213&gt;AI$625,"",(1000*tech_proj!AI1177*(-PMT($J$110,tech_base!$F213,1))+1000*tech_proj!AI1457)/((1-tech_proj!AI617)*tech_proj!AI897*$L$110))</f>
        <v>96.869220746341114</v>
      </c>
      <c r="AJ837" s="69">
        <f>IF(tech_base!$T213&gt;AJ$625,"",(1000*tech_proj!AJ1177*(-PMT($J$110,tech_base!$F213,1))+1000*tech_proj!AJ1457)/((1-tech_proj!AJ617)*tech_proj!AJ897*$L$110))</f>
        <v>96.359984094106537</v>
      </c>
      <c r="AK837" s="69">
        <f>IF(tech_base!$T213&gt;AK$625,"",(1000*tech_proj!AK1177*(-PMT($J$110,tech_base!$F213,1))+1000*tech_proj!AK1457)/((1-tech_proj!AK617)*tech_proj!AK897*$L$110))</f>
        <v>95.796535106487497</v>
      </c>
      <c r="AL837" s="69">
        <f>IF(tech_base!$T213&gt;AL$625,"",(1000*tech_proj!AL1177*(-PMT($J$110,tech_base!$F213,1))+1000*tech_proj!AL1457)/((1-tech_proj!AL617)*tech_proj!AL897*$L$110))</f>
        <v>95.177441020890797</v>
      </c>
      <c r="AM837" s="69">
        <f>IF(tech_base!$T213&gt;AM$625,"",(1000*tech_proj!AM1177*(-PMT($J$110,tech_base!$F213,1))+1000*tech_proj!AM1457)/((1-tech_proj!AM617)*tech_proj!AM897*$L$110))</f>
        <v>94.502515169877</v>
      </c>
      <c r="AN837" s="69">
        <f>IF(tech_base!$T213&gt;AN$625,"",(1000*tech_proj!AN1177*(-PMT($J$110,tech_base!$F213,1))+1000*tech_proj!AN1457)/((1-tech_proj!AN617)*tech_proj!AN897*$L$110))</f>
        <v>93.773130540019054</v>
      </c>
      <c r="AO837" s="69">
        <f>IF(tech_base!$T213&gt;AO$625,"",(1000*tech_proj!AO1177*(-PMT($J$110,tech_base!$F213,1))+1000*tech_proj!AO1457)/((1-tech_proj!AO617)*tech_proj!AO897*$L$110))</f>
        <v>92.99251178583566</v>
      </c>
      <c r="AP837" s="69">
        <f>IF(tech_base!$T213&gt;AP$625,"",(1000*tech_proj!AP1177*(-PMT($J$110,tech_base!$F213,1))+1000*tech_proj!AP1457)/((1-tech_proj!AP617)*tech_proj!AP897*$L$110))</f>
        <v>92.165968089338648</v>
      </c>
      <c r="AQ837" s="69">
        <f>IF(tech_base!$T213&gt;AQ$625,"",(1000*tech_proj!AQ1177*(-PMT($J$110,tech_base!$F213,1))+1000*tech_proj!AQ1457)/((1-tech_proj!AQ617)*tech_proj!AQ897*$L$110))</f>
        <v>91.301023016170021</v>
      </c>
      <c r="AR837" s="69">
        <f>IF(tech_base!$T213&gt;AR$625,"",(1000*tech_proj!AR1177*(-PMT($J$110,tech_base!$F213,1))+1000*tech_proj!AR1457)/((1-tech_proj!AR617)*tech_proj!AR897*$L$110))</f>
        <v>90.40739662779022</v>
      </c>
      <c r="AS837" s="69">
        <f>IF(tech_base!$T213&gt;AS$625,"",(1000*tech_proj!AS1177*(-PMT($J$110,tech_base!$F213,1))+1000*tech_proj!AS1457)/((1-tech_proj!AS617)*tech_proj!AS897*$L$110))</f>
        <v>89.496802267630855</v>
      </c>
      <c r="AT837" s="69">
        <f>IF(tech_base!$T213&gt;AT$625,"",(1000*tech_proj!AT1177*(-PMT($J$110,tech_base!$F213,1))+1000*tech_proj!AT1457)/((1-tech_proj!AT617)*tech_proj!AT897*$L$110))</f>
        <v>88.58253739885815</v>
      </c>
      <c r="AU837" s="69">
        <f>IF(tech_base!$T213&gt;AU$625,"",(1000*tech_proj!AU1177*(-PMT($J$110,tech_base!$F213,1))+1000*tech_proj!AU1457)/((1-tech_proj!AU617)*tech_proj!AU897*$L$110))</f>
        <v>87.678874328464886</v>
      </c>
      <c r="AV837" s="69">
        <f>IF(tech_base!$T213&gt;AV$625,"",(1000*tech_proj!AV1177*(-PMT($J$110,tech_base!$F213,1))+1000*tech_proj!AV1457)/((1-tech_proj!AV617)*tech_proj!AV897*$L$110))</f>
        <v>86.800289380262683</v>
      </c>
      <c r="AW837" s="69">
        <f>IF(tech_base!$T213&gt;AW$625,"",(1000*tech_proj!AW1177*(-PMT($J$110,tech_base!$F213,1))+1000*tech_proj!AW1457)/((1-tech_proj!AW617)*tech_proj!AW897*$L$110))</f>
        <v>85.960601845783685</v>
      </c>
      <c r="AX837" s="235">
        <f>IF(tech_base!$T213&gt;AX$625,"",(1000*tech_proj!AX1177*(-PMT($J$110,tech_base!$F213,1))+1000*tech_proj!AX1457)/((1-tech_proj!AX617)*tech_proj!AX897*$L$110))</f>
        <v>85.172118736889388</v>
      </c>
    </row>
    <row r="838" spans="1:50" x14ac:dyDescent="0.25">
      <c r="A838" s="356"/>
      <c r="B838" s="376"/>
      <c r="C838" s="379"/>
      <c r="D838" s="2" t="s">
        <v>20</v>
      </c>
      <c r="E838" s="160" t="str">
        <f>A827&amp;"/"&amp;B835&amp;"/"&amp;C835&amp;"/"&amp;D838</f>
        <v>Biomass and waste fired power plants/Fluidized bed combustion/Electricity only/XS</v>
      </c>
      <c r="F838" s="76" t="str">
        <f>A827</f>
        <v>Biomass and waste fired power plants</v>
      </c>
      <c r="G838" s="76" t="str">
        <f>B835</f>
        <v>Fluidized bed combustion</v>
      </c>
      <c r="H838" s="76" t="str">
        <f>C835</f>
        <v>Electricity only</v>
      </c>
      <c r="I838" s="161" t="str">
        <f t="shared" si="365"/>
        <v>XS</v>
      </c>
      <c r="J838" s="69">
        <f>IF(tech_base!$T214&gt;J$625,"",(1000*tech_proj!J1178*(-PMT($J$110,tech_base!$F214,1))+1000*tech_proj!J1458)/((1-tech_proj!J618)*tech_proj!J898*$L$110))</f>
        <v>121.09899733618464</v>
      </c>
      <c r="K838" s="69">
        <f>IF(tech_base!$T214&gt;K$625,"",(1000*tech_proj!K1178*(-PMT($J$110,tech_base!$F214,1))+1000*tech_proj!K1458)/((1-tech_proj!K618)*tech_proj!K898*$L$110))</f>
        <v>121.07516640897038</v>
      </c>
      <c r="L838" s="69">
        <f>IF(tech_base!$T214&gt;L$625,"",(1000*tech_proj!L1178*(-PMT($J$110,tech_base!$F214,1))+1000*tech_proj!L1458)/((1-tech_proj!L618)*tech_proj!L898*$L$110))</f>
        <v>121.04751806670011</v>
      </c>
      <c r="M838" s="69">
        <f>IF(tech_base!$T214&gt;M$625,"",(1000*tech_proj!M1178*(-PMT($J$110,tech_base!$F214,1))+1000*tech_proj!M1458)/((1-tech_proj!M618)*tech_proj!M898*$L$110))</f>
        <v>121.01544814661673</v>
      </c>
      <c r="N838" s="69">
        <f>IF(tech_base!$T214&gt;N$625,"",(1000*tech_proj!N1178*(-PMT($J$110,tech_base!$F214,1))+1000*tech_proj!N1458)/((1-tech_proj!N618)*tech_proj!N898*$L$110))</f>
        <v>120.97825941986203</v>
      </c>
      <c r="O838" s="69">
        <f>IF(tech_base!$T214&gt;O$625,"",(1000*tech_proj!O1178*(-PMT($J$110,tech_base!$F214,1))+1000*tech_proj!O1458)/((1-tech_proj!O618)*tech_proj!O898*$L$110))</f>
        <v>120.93514814421683</v>
      </c>
      <c r="P838" s="69">
        <f>IF(tech_base!$T214&gt;P$625,"",(1000*tech_proj!P1178*(-PMT($J$110,tech_base!$F214,1))+1000*tech_proj!P1458)/((1-tech_proj!P618)*tech_proj!P898*$L$110))</f>
        <v>120.88518898673486</v>
      </c>
      <c r="Q838" s="69">
        <f>IF(tech_base!$T214&gt;Q$625,"",(1000*tech_proj!Q1178*(-PMT($J$110,tech_base!$F214,1))+1000*tech_proj!Q1458)/((1-tech_proj!Q618)*tech_proj!Q898*$L$110))</f>
        <v>120.82731823321356</v>
      </c>
      <c r="R838" s="69">
        <f>IF(tech_base!$T214&gt;R$625,"",(1000*tech_proj!R1178*(-PMT($J$110,tech_base!$F214,1))+1000*tech_proj!R1458)/((1-tech_proj!R618)*tech_proj!R898*$L$110))</f>
        <v>120.76031524556073</v>
      </c>
      <c r="S838" s="69">
        <f>IF(tech_base!$T214&gt;S$625,"",(1000*tech_proj!S1178*(-PMT($J$110,tech_base!$F214,1))+1000*tech_proj!S1458)/((1-tech_proj!S618)*tech_proj!S898*$L$110))</f>
        <v>120.68278219643803</v>
      </c>
      <c r="T838" s="69">
        <f>IF(tech_base!$T214&gt;T$625,"",(1000*tech_proj!T1178*(-PMT($J$110,tech_base!$F214,1))+1000*tech_proj!T1458)/((1-tech_proj!T618)*tech_proj!T898*$L$110))</f>
        <v>120.59312221133361</v>
      </c>
      <c r="U838" s="69">
        <f>IF(tech_base!$T214&gt;U$625,"",(1000*tech_proj!U1178*(-PMT($J$110,tech_base!$F214,1))+1000*tech_proj!U1458)/((1-tech_proj!U618)*tech_proj!U898*$L$110))</f>
        <v>120.48951619172288</v>
      </c>
      <c r="V838" s="69">
        <f>IF(tech_base!$T214&gt;V$625,"",(1000*tech_proj!V1178*(-PMT($J$110,tech_base!$F214,1))+1000*tech_proj!V1458)/((1-tech_proj!V618)*tech_proj!V898*$L$110))</f>
        <v>120.3698987916702</v>
      </c>
      <c r="W838" s="69">
        <f>IF(tech_base!$T214&gt;W$625,"",(1000*tech_proj!W1178*(-PMT($J$110,tech_base!$F214,1))+1000*tech_proj!W1458)/((1-tech_proj!W618)*tech_proj!W898*$L$110))</f>
        <v>120.23193428870563</v>
      </c>
      <c r="X838" s="69">
        <f>IF(tech_base!$T214&gt;X$625,"",(1000*tech_proj!X1178*(-PMT($J$110,tech_base!$F214,1))+1000*tech_proj!X1458)/((1-tech_proj!X618)*tech_proj!X898*$L$110))</f>
        <v>120.07299344440081</v>
      </c>
      <c r="Y838" s="69">
        <f>IF(tech_base!$T214&gt;Y$625,"",(1000*tech_proj!Y1178*(-PMT($J$110,tech_base!$F214,1))+1000*tech_proj!Y1458)/((1-tech_proj!Y618)*tech_proj!Y898*$L$110))</f>
        <v>119.89013290772459</v>
      </c>
      <c r="Z838" s="69">
        <f>IF(tech_base!$T214&gt;Z$625,"",(1000*tech_proj!Z1178*(-PMT($J$110,tech_base!$F214,1))+1000*tech_proj!Z1458)/((1-tech_proj!Z618)*tech_proj!Z898*$L$110))</f>
        <v>119.68007929051727</v>
      </c>
      <c r="AA838" s="69">
        <f>IF(tech_base!$T214&gt;AA$625,"",(1000*tech_proj!AA1178*(-PMT($J$110,tech_base!$F214,1))+1000*tech_proj!AA1458)/((1-tech_proj!AA618)*tech_proj!AA898*$L$110))</f>
        <v>119.43922074976145</v>
      </c>
      <c r="AB838" s="69">
        <f>IF(tech_base!$T214&gt;AB$625,"",(1000*tech_proj!AB1178*(-PMT($J$110,tech_base!$F214,1))+1000*tech_proj!AB1458)/((1-tech_proj!AB618)*tech_proj!AB898*$L$110))</f>
        <v>119.16360974546139</v>
      </c>
      <c r="AC838" s="69">
        <f>IF(tech_base!$T214&gt;AC$625,"",(1000*tech_proj!AC1178*(-PMT($J$110,tech_base!$F214,1))+1000*tech_proj!AC1458)/((1-tech_proj!AC618)*tech_proj!AC898*$L$110))</f>
        <v>118.84898158624887</v>
      </c>
      <c r="AD838" s="69">
        <f>IF(tech_base!$T214&gt;AD$625,"",(1000*tech_proj!AD1178*(-PMT($J$110,tech_base!$F214,1))+1000*tech_proj!AD1458)/((1-tech_proj!AD618)*tech_proj!AD898*$L$110))</f>
        <v>118.49079437641664</v>
      </c>
      <c r="AE838" s="69">
        <f>IF(tech_base!$T214&gt;AE$625,"",(1000*tech_proj!AE1178*(-PMT($J$110,tech_base!$F214,1))+1000*tech_proj!AE1458)/((1-tech_proj!AE618)*tech_proj!AE898*$L$110))</f>
        <v>118.08429694023123</v>
      </c>
      <c r="AF838" s="69">
        <f>IF(tech_base!$T214&gt;AF$625,"",(1000*tech_proj!AF1178*(-PMT($J$110,tech_base!$F214,1))+1000*tech_proj!AF1458)/((1-tech_proj!AF618)*tech_proj!AF898*$L$110))</f>
        <v>117.62463205920527</v>
      </c>
      <c r="AG838" s="69">
        <f>IF(tech_base!$T214&gt;AG$625,"",(1000*tech_proj!AG1178*(-PMT($J$110,tech_base!$F214,1))+1000*tech_proj!AG1458)/((1-tech_proj!AG618)*tech_proj!AG898*$L$110))</f>
        <v>117.10698266876511</v>
      </c>
      <c r="AH838" s="69">
        <f>IF(tech_base!$T214&gt;AH$625,"",(1000*tech_proj!AH1178*(-PMT($J$110,tech_base!$F214,1))+1000*tech_proj!AH1458)/((1-tech_proj!AH618)*tech_proj!AH898*$L$110))</f>
        <v>116.52676817821599</v>
      </c>
      <c r="AI838" s="69">
        <f>IF(tech_base!$T214&gt;AI$625,"",(1000*tech_proj!AI1178*(-PMT($J$110,tech_base!$F214,1))+1000*tech_proj!AI1458)/((1-tech_proj!AI618)*tech_proj!AI898*$L$110))</f>
        <v>115.87989636135049</v>
      </c>
      <c r="AJ838" s="69">
        <f>IF(tech_base!$T214&gt;AJ$625,"",(1000*tech_proj!AJ1178*(-PMT($J$110,tech_base!$F214,1))+1000*tech_proj!AJ1458)/((1-tech_proj!AJ618)*tech_proj!AJ898*$L$110))</f>
        <v>115.16307280697495</v>
      </c>
      <c r="AK838" s="69">
        <f>IF(tech_base!$T214&gt;AK$625,"",(1000*tech_proj!AK1178*(-PMT($J$110,tech_base!$F214,1))+1000*tech_proj!AK1458)/((1-tech_proj!AK618)*tech_proj!AK898*$L$110))</f>
        <v>114.37416422176531</v>
      </c>
      <c r="AL838" s="69">
        <f>IF(tech_base!$T214&gt;AL$625,"",(1000*tech_proj!AL1178*(-PMT($J$110,tech_base!$F214,1))+1000*tech_proj!AL1458)/((1-tech_proj!AL618)*tech_proj!AL898*$L$110))</f>
        <v>113.51260359783109</v>
      </c>
      <c r="AM838" s="69">
        <f>IF(tech_base!$T214&gt;AM$625,"",(1000*tech_proj!AM1178*(-PMT($J$110,tech_base!$F214,1))+1000*tech_proj!AM1458)/((1-tech_proj!AM618)*tech_proj!AM898*$L$110))</f>
        <v>112.57981442087686</v>
      </c>
      <c r="AN838" s="69">
        <f>IF(tech_base!$T214&gt;AN$625,"",(1000*tech_proj!AN1178*(-PMT($J$110,tech_base!$F214,1))+1000*tech_proj!AN1458)/((1-tech_proj!AN618)*tech_proj!AN898*$L$110))</f>
        <v>111.57961837909886</v>
      </c>
      <c r="AO838" s="69">
        <f>IF(tech_base!$T214&gt;AO$625,"",(1000*tech_proj!AO1178*(-PMT($J$110,tech_base!$F214,1))+1000*tech_proj!AO1458)/((1-tech_proj!AO618)*tech_proj!AO898*$L$110))</f>
        <v>110.51857804836935</v>
      </c>
      <c r="AP838" s="69">
        <f>IF(tech_base!$T214&gt;AP$625,"",(1000*tech_proj!AP1178*(-PMT($J$110,tech_base!$F214,1))+1000*tech_proj!AP1458)/((1-tech_proj!AP618)*tech_proj!AP898*$L$110))</f>
        <v>109.40621548803382</v>
      </c>
      <c r="AQ838" s="69">
        <f>IF(tech_base!$T214&gt;AQ$625,"",(1000*tech_proj!AQ1178*(-PMT($J$110,tech_base!$F214,1))+1000*tech_proj!AQ1458)/((1-tech_proj!AQ618)*tech_proj!AQ898*$L$110))</f>
        <v>108.25504327828092</v>
      </c>
      <c r="AR838" s="69">
        <f>IF(tech_base!$T214&gt;AR$625,"",(1000*tech_proj!AR1178*(-PMT($J$110,tech_base!$F214,1))+1000*tech_proj!AR1458)/((1-tech_proj!AR618)*tech_proj!AR898*$L$110))</f>
        <v>107.08035034853357</v>
      </c>
      <c r="AS838" s="69">
        <f>IF(tech_base!$T214&gt;AS$625,"",(1000*tech_proj!AS1178*(-PMT($J$110,tech_base!$F214,1))+1000*tech_proj!AS1458)/((1-tech_proj!AS618)*tech_proj!AS898*$L$110))</f>
        <v>105.89970429717987</v>
      </c>
      <c r="AT838" s="69">
        <f>IF(tech_base!$T214&gt;AT$625,"",(1000*tech_proj!AT1178*(-PMT($J$110,tech_base!$F214,1))+1000*tech_proj!AT1458)/((1-tech_proj!AT618)*tech_proj!AT898*$L$110))</f>
        <v>104.73216572266742</v>
      </c>
      <c r="AU838" s="69">
        <f>IF(tech_base!$T214&gt;AU$625,"",(1000*tech_proj!AU1178*(-PMT($J$110,tech_base!$F214,1))+1000*tech_proj!AU1458)/((1-tech_proj!AU618)*tech_proj!AU898*$L$110))</f>
        <v>103.59725537308813</v>
      </c>
      <c r="AV838" s="69">
        <f>IF(tech_base!$T214&gt;AV$625,"",(1000*tech_proj!AV1178*(-PMT($J$110,tech_base!$F214,1))+1000*tech_proj!AV1458)/((1-tech_proj!AV618)*tech_proj!AV898*$L$110))</f>
        <v>102.51376399405764</v>
      </c>
      <c r="AW838" s="69">
        <f>IF(tech_base!$T214&gt;AW$625,"",(1000*tech_proj!AW1178*(-PMT($J$110,tech_base!$F214,1))+1000*tech_proj!AW1458)/((1-tech_proj!AW618)*tech_proj!AW898*$L$110))</f>
        <v>101.49853614516856</v>
      </c>
      <c r="AX838" s="235">
        <f>IF(tech_base!$T214&gt;AX$625,"",(1000*tech_proj!AX1178*(-PMT($J$110,tech_base!$F214,1))+1000*tech_proj!AX1458)/((1-tech_proj!AX618)*tech_proj!AX898*$L$110))</f>
        <v>100.56538058688119</v>
      </c>
    </row>
    <row r="839" spans="1:50" x14ac:dyDescent="0.25">
      <c r="A839" s="356"/>
      <c r="B839" s="376"/>
      <c r="C839" s="361" t="s">
        <v>14</v>
      </c>
      <c r="D839" s="58" t="s">
        <v>7</v>
      </c>
      <c r="E839" s="164" t="str">
        <f>A827&amp;"/"&amp;B835&amp;"/"&amp;C839&amp;"/"&amp;D839</f>
        <v>Biomass and waste fired power plants/Fluidized bed combustion/CHP/L</v>
      </c>
      <c r="F839" s="78" t="str">
        <f>A827</f>
        <v>Biomass and waste fired power plants</v>
      </c>
      <c r="G839" s="78" t="str">
        <f>B835</f>
        <v>Fluidized bed combustion</v>
      </c>
      <c r="H839" s="78" t="str">
        <f>C839</f>
        <v>CHP</v>
      </c>
      <c r="I839" s="165" t="str">
        <f t="shared" si="365"/>
        <v>L</v>
      </c>
      <c r="J839" s="71">
        <f>IF(tech_base!$T215&gt;J$625,"",(1000*tech_proj!J1179*(-PMT($J$110,tech_base!$F215,1))+1000*tech_proj!J1459)/((1-tech_proj!J619)*tech_proj!J899*$L$110))</f>
        <v>96.017715823944101</v>
      </c>
      <c r="K839" s="71">
        <f>IF(tech_base!$T215&gt;K$625,"",(1000*tech_proj!K1179*(-PMT($J$110,tech_base!$F215,1))+1000*tech_proj!K1459)/((1-tech_proj!K619)*tech_proj!K899*$L$110))</f>
        <v>96.016611067512443</v>
      </c>
      <c r="L839" s="71">
        <f>IF(tech_base!$T215&gt;L$625,"",(1000*tech_proj!L1179*(-PMT($J$110,tech_base!$F215,1))+1000*tech_proj!L1459)/((1-tech_proj!L619)*tech_proj!L899*$L$110))</f>
        <v>96.015261887392114</v>
      </c>
      <c r="M839" s="71">
        <f>IF(tech_base!$T215&gt;M$625,"",(1000*tech_proj!M1179*(-PMT($J$110,tech_base!$F215,1))+1000*tech_proj!M1459)/((1-tech_proj!M619)*tech_proj!M899*$L$110))</f>
        <v>96.013614252263721</v>
      </c>
      <c r="N839" s="71">
        <f>IF(tech_base!$T215&gt;N$625,"",(1000*tech_proj!N1179*(-PMT($J$110,tech_base!$F215,1))+1000*tech_proj!N1459)/((1-tech_proj!N619)*tech_proj!N899*$L$110))</f>
        <v>96.011602209772789</v>
      </c>
      <c r="O839" s="71">
        <f>IF(tech_base!$T215&gt;O$625,"",(1000*tech_proj!O1179*(-PMT($J$110,tech_base!$F215,1))+1000*tech_proj!O1459)/((1-tech_proj!O619)*tech_proj!O899*$L$110))</f>
        <v>96.009145267631524</v>
      </c>
      <c r="P839" s="71">
        <f>IF(tech_base!$T215&gt;P$625,"",(1000*tech_proj!P1179*(-PMT($J$110,tech_base!$F215,1))+1000*tech_proj!P1459)/((1-tech_proj!P619)*tech_proj!P899*$L$110))</f>
        <v>96.006145204921751</v>
      </c>
      <c r="Q839" s="71">
        <f>IF(tech_base!$T215&gt;Q$625,"",(1000*tech_proj!Q1179*(-PMT($J$110,tech_base!$F215,1))+1000*tech_proj!Q1459)/((1-tech_proj!Q619)*tech_proj!Q899*$L$110))</f>
        <v>96.002482192357135</v>
      </c>
      <c r="R839" s="71">
        <f>IF(tech_base!$T215&gt;R$625,"",(1000*tech_proj!R1179*(-PMT($J$110,tech_base!$F215,1))+1000*tech_proj!R1459)/((1-tech_proj!R619)*tech_proj!R899*$L$110))</f>
        <v>95.998010075817604</v>
      </c>
      <c r="S839" s="71">
        <f>IF(tech_base!$T215&gt;S$625,"",(1000*tech_proj!S1179*(-PMT($J$110,tech_base!$F215,1))+1000*tech_proj!S1459)/((1-tech_proj!S619)*tech_proj!S899*$L$110))</f>
        <v>95.992550648777907</v>
      </c>
      <c r="T839" s="71">
        <f>IF(tech_base!$T215&gt;T$625,"",(1000*tech_proj!T1179*(-PMT($J$110,tech_base!$F215,1))+1000*tech_proj!T1459)/((1-tech_proj!T619)*tech_proj!T899*$L$110))</f>
        <v>95.985886705935229</v>
      </c>
      <c r="U839" s="71">
        <f>IF(tech_base!$T215&gt;U$625,"",(1000*tech_proj!U1179*(-PMT($J$110,tech_base!$F215,1))+1000*tech_proj!U1459)/((1-tech_proj!U619)*tech_proj!U899*$L$110))</f>
        <v>95.977753632201868</v>
      </c>
      <c r="V839" s="71">
        <f>IF(tech_base!$T215&gt;V$625,"",(1000*tech_proj!V1179*(-PMT($J$110,tech_base!$F215,1))+1000*tech_proj!V1459)/((1-tech_proj!V619)*tech_proj!V899*$L$110))</f>
        <v>95.967829238418659</v>
      </c>
      <c r="W839" s="71">
        <f>IF(tech_base!$T215&gt;W$625,"",(1000*tech_proj!W1179*(-PMT($J$110,tech_base!$F215,1))+1000*tech_proj!W1459)/((1-tech_proj!W619)*tech_proj!W899*$L$110))</f>
        <v>95.955721508415195</v>
      </c>
      <c r="X839" s="71">
        <f>IF(tech_base!$T215&gt;X$625,"",(1000*tech_proj!X1179*(-PMT($J$110,tech_base!$F215,1))+1000*tech_proj!X1459)/((1-tech_proj!X619)*tech_proj!X899*$L$110))</f>
        <v>95.940953873129317</v>
      </c>
      <c r="Y839" s="71">
        <f>IF(tech_base!$T215&gt;Y$625,"",(1000*tech_proj!Y1179*(-PMT($J$110,tech_base!$F215,1))+1000*tech_proj!Y1459)/((1-tech_proj!Y619)*tech_proj!Y899*$L$110))</f>
        <v>95.922947579711646</v>
      </c>
      <c r="Z839" s="71">
        <f>IF(tech_base!$T215&gt;Z$625,"",(1000*tech_proj!Z1179*(-PMT($J$110,tech_base!$F215,1))+1000*tech_proj!Z1459)/((1-tech_proj!Z619)*tech_proj!Z899*$L$110))</f>
        <v>95.901000682588091</v>
      </c>
      <c r="AA839" s="71">
        <f>IF(tech_base!$T215&gt;AA$625,"",(1000*tech_proj!AA1179*(-PMT($J$110,tech_base!$F215,1))+1000*tech_proj!AA1459)/((1-tech_proj!AA619)*tech_proj!AA899*$L$110))</f>
        <v>95.874263158682865</v>
      </c>
      <c r="AB839" s="71">
        <f>IF(tech_base!$T215&gt;AB$625,"",(1000*tech_proj!AB1179*(-PMT($J$110,tech_base!$F215,1))+1000*tech_proj!AB1459)/((1-tech_proj!AB619)*tech_proj!AB899*$L$110))</f>
        <v>95.841707655084875</v>
      </c>
      <c r="AC839" s="71">
        <f>IF(tech_base!$T215&gt;AC$625,"",(1000*tech_proj!AC1179*(-PMT($J$110,tech_base!$F215,1))+1000*tech_proj!AC1459)/((1-tech_proj!AC619)*tech_proj!AC899*$L$110))</f>
        <v>95.802095436708328</v>
      </c>
      <c r="AD839" s="71">
        <f>IF(tech_base!$T215&gt;AD$625,"",(1000*tech_proj!AD1179*(-PMT($J$110,tech_base!$F215,1))+1000*tech_proj!AD1459)/((1-tech_proj!AD619)*tech_proj!AD899*$L$110))</f>
        <v>95.753937247026258</v>
      </c>
      <c r="AE839" s="71">
        <f>IF(tech_base!$T215&gt;AE$625,"",(1000*tech_proj!AE1179*(-PMT($J$110,tech_base!$F215,1))+1000*tech_proj!AE1459)/((1-tech_proj!AE619)*tech_proj!AE899*$L$110))</f>
        <v>95.695449074388776</v>
      </c>
      <c r="AF839" s="71">
        <f>IF(tech_base!$T215&gt;AF$625,"",(1000*tech_proj!AF1179*(-PMT($J$110,tech_base!$F215,1))+1000*tech_proj!AF1459)/((1-tech_proj!AF619)*tech_proj!AF899*$L$110))</f>
        <v>95.624503296426383</v>
      </c>
      <c r="AG839" s="71">
        <f>IF(tech_base!$T215&gt;AG$625,"",(1000*tech_proj!AG1179*(-PMT($J$110,tech_base!$F215,1))+1000*tech_proj!AG1459)/((1-tech_proj!AG619)*tech_proj!AG899*$L$110))</f>
        <v>95.538576445594501</v>
      </c>
      <c r="AH839" s="71">
        <f>IF(tech_base!$T215&gt;AH$625,"",(1000*tech_proj!AH1179*(-PMT($J$110,tech_base!$F215,1))+1000*tech_proj!AH1459)/((1-tech_proj!AH619)*tech_proj!AH899*$L$110))</f>
        <v>95.434696016189733</v>
      </c>
      <c r="AI839" s="71">
        <f>IF(tech_base!$T215&gt;AI$625,"",(1000*tech_proj!AI1179*(-PMT($J$110,tech_base!$F215,1))+1000*tech_proj!AI1459)/((1-tech_proj!AI619)*tech_proj!AI899*$L$110))</f>
        <v>95.309390457602959</v>
      </c>
      <c r="AJ839" s="71">
        <f>IF(tech_base!$T215&gt;AJ$625,"",(1000*tech_proj!AJ1179*(-PMT($J$110,tech_base!$F215,1))+1000*tech_proj!AJ1459)/((1-tech_proj!AJ619)*tech_proj!AJ899*$L$110))</f>
        <v>95.158648922927782</v>
      </c>
      <c r="AK839" s="71">
        <f>IF(tech_base!$T215&gt;AK$625,"",(1000*tech_proj!AK1179*(-PMT($J$110,tech_base!$F215,1))+1000*tech_proj!AK1459)/((1-tech_proj!AK619)*tech_proj!AK899*$L$110))</f>
        <v>94.977900600272605</v>
      </c>
      <c r="AL839" s="71">
        <f>IF(tech_base!$T215&gt;AL$625,"",(1000*tech_proj!AL1179*(-PMT($J$110,tech_base!$F215,1))+1000*tech_proj!AL1459)/((1-tech_proj!AL619)*tech_proj!AL899*$L$110))</f>
        <v>94.762027597620531</v>
      </c>
      <c r="AM839" s="71">
        <f>IF(tech_base!$T215&gt;AM$625,"",(1000*tech_proj!AM1179*(-PMT($J$110,tech_base!$F215,1))+1000*tech_proj!AM1459)/((1-tech_proj!AM619)*tech_proj!AM899*$L$110))</f>
        <v>94.505430235934853</v>
      </c>
      <c r="AN839" s="71">
        <f>IF(tech_base!$T215&gt;AN$625,"",(1000*tech_proj!AN1179*(-PMT($J$110,tech_base!$F215,1))+1000*tech_proj!AN1459)/((1-tech_proj!AN619)*tech_proj!AN899*$L$110))</f>
        <v>94.202168707379514</v>
      </c>
      <c r="AO839" s="71">
        <f>IF(tech_base!$T215&gt;AO$625,"",(1000*tech_proj!AO1179*(-PMT($J$110,tech_base!$F215,1))+1000*tech_proj!AO1459)/((1-tech_proj!AO619)*tech_proj!AO899*$L$110))</f>
        <v>93.846209224352066</v>
      </c>
      <c r="AP839" s="71">
        <f>IF(tech_base!$T215&gt;AP$625,"",(1000*tech_proj!AP1179*(-PMT($J$110,tech_base!$F215,1))+1000*tech_proj!AP1459)/((1-tech_proj!AP619)*tech_proj!AP899*$L$110))</f>
        <v>93.431803948294288</v>
      </c>
      <c r="AQ839" s="71">
        <f>IF(tech_base!$T215&gt;AQ$625,"",(1000*tech_proj!AQ1179*(-PMT($J$110,tech_base!$F215,1))+1000*tech_proj!AQ1459)/((1-tech_proj!AQ619)*tech_proj!AQ899*$L$110))</f>
        <v>92.95402893670564</v>
      </c>
      <c r="AR839" s="71">
        <f>IF(tech_base!$T215&gt;AR$625,"",(1000*tech_proj!AR1179*(-PMT($J$110,tech_base!$F215,1))+1000*tech_proj!AR1459)/((1-tech_proj!AR619)*tech_proj!AR899*$L$110))</f>
        <v>92.40948884556758</v>
      </c>
      <c r="AS839" s="71">
        <f>IF(tech_base!$T215&gt;AS$625,"",(1000*tech_proj!AS1179*(-PMT($J$110,tech_base!$F215,1))+1000*tech_proj!AS1459)/((1-tech_proj!AS619)*tech_proj!AS899*$L$110))</f>
        <v>91.79716674616877</v>
      </c>
      <c r="AT839" s="71">
        <f>IF(tech_base!$T215&gt;AT$625,"",(1000*tech_proj!AT1179*(-PMT($J$110,tech_base!$F215,1))+1000*tech_proj!AT1459)/((1-tech_proj!AT619)*tech_proj!AT899*$L$110))</f>
        <v>91.119349602881869</v>
      </c>
      <c r="AU839" s="71">
        <f>IF(tech_base!$T215&gt;AU$625,"",(1000*tech_proj!AU1179*(-PMT($J$110,tech_base!$F215,1))+1000*tech_proj!AU1459)/((1-tech_proj!AU619)*tech_proj!AU899*$L$110))</f>
        <v>90.382497541568199</v>
      </c>
      <c r="AV839" s="71">
        <f>IF(tech_base!$T215&gt;AV$625,"",(1000*tech_proj!AV1179*(-PMT($J$110,tech_base!$F215,1))+1000*tech_proj!AV1459)/((1-tech_proj!AV619)*tech_proj!AV899*$L$110))</f>
        <v>89.597860540571062</v>
      </c>
      <c r="AW839" s="71">
        <f>IF(tech_base!$T215&gt;AW$625,"",(1000*tech_proj!AW1179*(-PMT($J$110,tech_base!$F215,1))+1000*tech_proj!AW1459)/((1-tech_proj!AW619)*tech_proj!AW899*$L$110))</f>
        <v>88.781604525082415</v>
      </c>
      <c r="AX839" s="237">
        <f>IF(tech_base!$T215&gt;AX$625,"",(1000*tech_proj!AX1179*(-PMT($J$110,tech_base!$F215,1))+1000*tech_proj!AX1459)/((1-tech_proj!AX619)*tech_proj!AX899*$L$110))</f>
        <v>87.954224250068734</v>
      </c>
    </row>
    <row r="840" spans="1:50" x14ac:dyDescent="0.25">
      <c r="A840" s="356"/>
      <c r="B840" s="376"/>
      <c r="C840" s="378"/>
      <c r="D840" s="2" t="s">
        <v>8</v>
      </c>
      <c r="E840" s="160" t="str">
        <f>A827&amp;"/"&amp;B835&amp;"/"&amp;C839&amp;"/"&amp;D840</f>
        <v>Biomass and waste fired power plants/Fluidized bed combustion/CHP/M</v>
      </c>
      <c r="F840" s="76" t="str">
        <f>A827</f>
        <v>Biomass and waste fired power plants</v>
      </c>
      <c r="G840" s="76" t="str">
        <f>B835</f>
        <v>Fluidized bed combustion</v>
      </c>
      <c r="H840" s="76" t="str">
        <f>C839</f>
        <v>CHP</v>
      </c>
      <c r="I840" s="161" t="str">
        <f t="shared" si="365"/>
        <v>M</v>
      </c>
      <c r="J840" s="69">
        <f>IF(tech_base!$T216&gt;J$625,"",(1000*tech_proj!J1180*(-PMT($J$110,tech_base!$F216,1))+1000*tech_proj!J1460)/((1-tech_proj!J620)*tech_proj!J900*$L$110))</f>
        <v>103.12989430776403</v>
      </c>
      <c r="K840" s="69">
        <f>IF(tech_base!$T216&gt;K$625,"",(1000*tech_proj!K1180*(-PMT($J$110,tech_base!$F216,1))+1000*tech_proj!K1460)/((1-tech_proj!K620)*tech_proj!K900*$L$110))</f>
        <v>103.12713085315713</v>
      </c>
      <c r="L840" s="69">
        <f>IF(tech_base!$T216&gt;L$625,"",(1000*tech_proj!L1180*(-PMT($J$110,tech_base!$F216,1))+1000*tech_proj!L1460)/((1-tech_proj!L620)*tech_proj!L900*$L$110))</f>
        <v>103.1238397740803</v>
      </c>
      <c r="M840" s="69">
        <f>IF(tech_base!$T216&gt;M$625,"",(1000*tech_proj!M1180*(-PMT($J$110,tech_base!$F216,1))+1000*tech_proj!M1460)/((1-tech_proj!M620)*tech_proj!M900*$L$110))</f>
        <v>103.11992053088026</v>
      </c>
      <c r="N840" s="69">
        <f>IF(tech_base!$T216&gt;N$625,"",(1000*tech_proj!N1180*(-PMT($J$110,tech_base!$F216,1))+1000*tech_proj!N1460)/((1-tech_proj!N620)*tech_proj!N900*$L$110))</f>
        <v>103.11525350934822</v>
      </c>
      <c r="O840" s="69">
        <f>IF(tech_base!$T216&gt;O$625,"",(1000*tech_proj!O1180*(-PMT($J$110,tech_base!$F216,1))+1000*tech_proj!O1460)/((1-tech_proj!O620)*tech_proj!O900*$L$110))</f>
        <v>103.10969643678898</v>
      </c>
      <c r="P840" s="69">
        <f>IF(tech_base!$T216&gt;P$625,"",(1000*tech_proj!P1180*(-PMT($J$110,tech_base!$F216,1))+1000*tech_proj!P1460)/((1-tech_proj!P620)*tech_proj!P900*$L$110))</f>
        <v>103.10308013934358</v>
      </c>
      <c r="Q840" s="69">
        <f>IF(tech_base!$T216&gt;Q$625,"",(1000*tech_proj!Q1180*(-PMT($J$110,tech_base!$F216,1))+1000*tech_proj!Q1460)/((1-tech_proj!Q620)*tech_proj!Q900*$L$110))</f>
        <v>103.09520352565121</v>
      </c>
      <c r="R840" s="69">
        <f>IF(tech_base!$T216&gt;R$625,"",(1000*tech_proj!R1180*(-PMT($J$110,tech_base!$F216,1))+1000*tech_proj!R1460)/((1-tech_proj!R620)*tech_proj!R900*$L$110))</f>
        <v>103.08582766452376</v>
      </c>
      <c r="S840" s="69">
        <f>IF(tech_base!$T216&gt;S$625,"",(1000*tech_proj!S1180*(-PMT($J$110,tech_base!$F216,1))+1000*tech_proj!S1460)/((1-tech_proj!S620)*tech_proj!S900*$L$110))</f>
        <v>103.07466880542626</v>
      </c>
      <c r="T840" s="69">
        <f>IF(tech_base!$T216&gt;T$625,"",(1000*tech_proj!T1180*(-PMT($J$110,tech_base!$F216,1))+1000*tech_proj!T1460)/((1-tech_proj!T620)*tech_proj!T900*$L$110))</f>
        <v>103.06139017067699</v>
      </c>
      <c r="U840" s="69">
        <f>IF(tech_base!$T216&gt;U$625,"",(1000*tech_proj!U1180*(-PMT($J$110,tech_base!$F216,1))+1000*tech_proj!U1460)/((1-tech_proj!U620)*tech_proj!U900*$L$110))</f>
        <v>103.04559232824059</v>
      </c>
      <c r="V840" s="69">
        <f>IF(tech_base!$T216&gt;V$625,"",(1000*tech_proj!V1180*(-PMT($J$110,tech_base!$F216,1))+1000*tech_proj!V1460)/((1-tech_proj!V620)*tech_proj!V900*$L$110))</f>
        <v>103.02680193519394</v>
      </c>
      <c r="W840" s="69">
        <f>IF(tech_base!$T216&gt;W$625,"",(1000*tech_proj!W1180*(-PMT($J$110,tech_base!$F216,1))+1000*tech_proj!W1460)/((1-tech_proj!W620)*tech_proj!W900*$L$110))</f>
        <v>103.0044586265973</v>
      </c>
      <c r="X840" s="69">
        <f>IF(tech_base!$T216&gt;X$625,"",(1000*tech_proj!X1180*(-PMT($J$110,tech_base!$F216,1))+1000*tech_proj!X1460)/((1-tech_proj!X620)*tech_proj!X900*$L$110))</f>
        <v>102.97789981594445</v>
      </c>
      <c r="Y840" s="69">
        <f>IF(tech_base!$T216&gt;Y$625,"",(1000*tech_proj!Y1180*(-PMT($J$110,tech_base!$F216,1))+1000*tech_proj!Y1460)/((1-tech_proj!Y620)*tech_proj!Y900*$L$110))</f>
        <v>102.94634317652526</v>
      </c>
      <c r="Z840" s="69">
        <f>IF(tech_base!$T216&gt;Z$625,"",(1000*tech_proj!Z1180*(-PMT($J$110,tech_base!$F216,1))+1000*tech_proj!Z1460)/((1-tech_proj!Z620)*tech_proj!Z900*$L$110))</f>
        <v>102.90886659500185</v>
      </c>
      <c r="AA840" s="69">
        <f>IF(tech_base!$T216&gt;AA$625,"",(1000*tech_proj!AA1180*(-PMT($J$110,tech_base!$F216,1))+1000*tech_proj!AA1460)/((1-tech_proj!AA620)*tech_proj!AA900*$L$110))</f>
        <v>102.86438543928212</v>
      </c>
      <c r="AB840" s="69">
        <f>IF(tech_base!$T216&gt;AB$625,"",(1000*tech_proj!AB1180*(-PMT($J$110,tech_base!$F216,1))+1000*tech_proj!AB1460)/((1-tech_proj!AB620)*tech_proj!AB900*$L$110))</f>
        <v>102.81162707617682</v>
      </c>
      <c r="AC840" s="69">
        <f>IF(tech_base!$T216&gt;AC$625,"",(1000*tech_proj!AC1180*(-PMT($J$110,tech_base!$F216,1))+1000*tech_proj!AC1460)/((1-tech_proj!AC620)*tech_proj!AC900*$L$110))</f>
        <v>102.7491027289902</v>
      </c>
      <c r="AD840" s="69">
        <f>IF(tech_base!$T216&gt;AD$625,"",(1000*tech_proj!AD1180*(-PMT($J$110,tech_base!$F216,1))+1000*tech_proj!AD1460)/((1-tech_proj!AD620)*tech_proj!AD900*$L$110))</f>
        <v>102.67507700566041</v>
      </c>
      <c r="AE840" s="69">
        <f>IF(tech_base!$T216&gt;AE$625,"",(1000*tech_proj!AE1180*(-PMT($J$110,tech_base!$F216,1))+1000*tech_proj!AE1460)/((1-tech_proj!AE620)*tech_proj!AE900*$L$110))</f>
        <v>102.58753578565086</v>
      </c>
      <c r="AF840" s="69">
        <f>IF(tech_base!$T216&gt;AF$625,"",(1000*tech_proj!AF1180*(-PMT($J$110,tech_base!$F216,1))+1000*tech_proj!AF1460)/((1-tech_proj!AF620)*tech_proj!AF900*$L$110))</f>
        <v>102.48415366688265</v>
      </c>
      <c r="AG840" s="69">
        <f>IF(tech_base!$T216&gt;AG$625,"",(1000*tech_proj!AG1180*(-PMT($J$110,tech_base!$F216,1))+1000*tech_proj!AG1460)/((1-tech_proj!AG620)*tech_proj!AG900*$L$110))</f>
        <v>102.36226288703098</v>
      </c>
      <c r="AH840" s="69">
        <f>IF(tech_base!$T216&gt;AH$625,"",(1000*tech_proj!AH1180*(-PMT($J$110,tech_base!$F216,1))+1000*tech_proj!AH1460)/((1-tech_proj!AH620)*tech_proj!AH900*$L$110))</f>
        <v>102.21882659347001</v>
      </c>
      <c r="AI840" s="69">
        <f>IF(tech_base!$T216&gt;AI$625,"",(1000*tech_proj!AI1180*(-PMT($J$110,tech_base!$F216,1))+1000*tech_proj!AI1460)/((1-tech_proj!AI620)*tech_proj!AI900*$L$110))</f>
        <v>102.05042058483767</v>
      </c>
      <c r="AJ840" s="69">
        <f>IF(tech_base!$T216&gt;AJ$625,"",(1000*tech_proj!AJ1180*(-PMT($J$110,tech_base!$F216,1))+1000*tech_proj!AJ1460)/((1-tech_proj!AJ620)*tech_proj!AJ900*$L$110))</f>
        <v>101.85322920671896</v>
      </c>
      <c r="AK840" s="69">
        <f>IF(tech_base!$T216&gt;AK$625,"",(1000*tech_proj!AK1180*(-PMT($J$110,tech_base!$F216,1))+1000*tech_proj!AK1460)/((1-tech_proj!AK620)*tech_proj!AK900*$L$110))</f>
        <v>101.62306293245743</v>
      </c>
      <c r="AL840" s="69">
        <f>IF(tech_base!$T216&gt;AL$625,"",(1000*tech_proj!AL1180*(-PMT($J$110,tech_base!$F216,1))+1000*tech_proj!AL1460)/((1-tech_proj!AL620)*tech_proj!AL900*$L$110))</f>
        <v>101.35540719443115</v>
      </c>
      <c r="AM840" s="69">
        <f>IF(tech_base!$T216&gt;AM$625,"",(1000*tech_proj!AM1180*(-PMT($J$110,tech_base!$F216,1))+1000*tech_proj!AM1460)/((1-tech_proj!AM620)*tech_proj!AM900*$L$110))</f>
        <v>101.04551401459953</v>
      </c>
      <c r="AN840" s="69">
        <f>IF(tech_base!$T216&gt;AN$625,"",(1000*tech_proj!AN1180*(-PMT($J$110,tech_base!$F216,1))+1000*tech_proj!AN1460)/((1-tech_proj!AN620)*tech_proj!AN900*$L$110))</f>
        <v>100.68854948075592</v>
      </c>
      <c r="AO840" s="69">
        <f>IF(tech_base!$T216&gt;AO$625,"",(1000*tech_proj!AO1180*(-PMT($J$110,tech_base!$F216,1))+1000*tech_proj!AO1460)/((1-tech_proj!AO620)*tech_proj!AO900*$L$110))</f>
        <v>100.27981042735976</v>
      </c>
      <c r="AP840" s="69">
        <f>IF(tech_base!$T216&gt;AP$625,"",(1000*tech_proj!AP1180*(-PMT($J$110,tech_base!$F216,1))+1000*tech_proj!AP1460)/((1-tech_proj!AP620)*tech_proj!AP900*$L$110))</f>
        <v>99.815021803231858</v>
      </c>
      <c r="AQ840" s="69">
        <f>IF(tech_base!$T216&gt;AQ$625,"",(1000*tech_proj!AQ1180*(-PMT($J$110,tech_base!$F216,1))+1000*tech_proj!AQ1460)/((1-tech_proj!AQ620)*tech_proj!AQ900*$L$110))</f>
        <v>99.290720870314217</v>
      </c>
      <c r="AR840" s="69">
        <f>IF(tech_base!$T216&gt;AR$625,"",(1000*tech_proj!AR1180*(-PMT($J$110,tech_base!$F216,1))+1000*tech_proj!AR1460)/((1-tech_proj!AR620)*tech_proj!AR900*$L$110))</f>
        <v>98.704724224172978</v>
      </c>
      <c r="AS840" s="69">
        <f>IF(tech_base!$T216&gt;AS$625,"",(1000*tech_proj!AS1180*(-PMT($J$110,tech_base!$F216,1))+1000*tech_proj!AS1460)/((1-tech_proj!AS620)*tech_proj!AS900*$L$110))</f>
        <v>98.056657648083302</v>
      </c>
      <c r="AT840" s="69">
        <f>IF(tech_base!$T216&gt;AT$625,"",(1000*tech_proj!AT1180*(-PMT($J$110,tech_base!$F216,1))+1000*tech_proj!AT1460)/((1-tech_proj!AT620)*tech_proj!AT900*$L$110))</f>
        <v>97.348507063128551</v>
      </c>
      <c r="AU840" s="69">
        <f>IF(tech_base!$T216&gt;AU$625,"",(1000*tech_proj!AU1180*(-PMT($J$110,tech_base!$F216,1))+1000*tech_proj!AU1460)/((1-tech_proj!AU620)*tech_proj!AU900*$L$110))</f>
        <v>96.585123393332424</v>
      </c>
      <c r="AV840" s="69">
        <f>IF(tech_base!$T216&gt;AV$625,"",(1000*tech_proj!AV1180*(-PMT($J$110,tech_base!$F216,1))+1000*tech_proj!AV1460)/((1-tech_proj!AV620)*tech_proj!AV900*$L$110))</f>
        <v>95.774590033789622</v>
      </c>
      <c r="AW840" s="69">
        <f>IF(tech_base!$T216&gt;AW$625,"",(1000*tech_proj!AW1180*(-PMT($J$110,tech_base!$F216,1))+1000*tech_proj!AW1460)/((1-tech_proj!AW620)*tech_proj!AW900*$L$110))</f>
        <v>94.928346994083157</v>
      </c>
      <c r="AX840" s="235">
        <f>IF(tech_base!$T216&gt;AX$625,"",(1000*tech_proj!AX1180*(-PMT($J$110,tech_base!$F216,1))+1000*tech_proj!AX1460)/((1-tech_proj!AX620)*tech_proj!AX900*$L$110))</f>
        <v>94.060970904599884</v>
      </c>
    </row>
    <row r="841" spans="1:50" x14ac:dyDescent="0.25">
      <c r="A841" s="356"/>
      <c r="B841" s="376"/>
      <c r="C841" s="378"/>
      <c r="D841" s="2" t="s">
        <v>10</v>
      </c>
      <c r="E841" s="160" t="str">
        <f>A827&amp;"/"&amp;B835&amp;"/"&amp;C839&amp;"/"&amp;D841</f>
        <v>Biomass and waste fired power plants/Fluidized bed combustion/CHP/S</v>
      </c>
      <c r="F841" s="76" t="str">
        <f>A827</f>
        <v>Biomass and waste fired power plants</v>
      </c>
      <c r="G841" s="76" t="str">
        <f>B835</f>
        <v>Fluidized bed combustion</v>
      </c>
      <c r="H841" s="76" t="str">
        <f>C839</f>
        <v>CHP</v>
      </c>
      <c r="I841" s="161" t="str">
        <f t="shared" si="365"/>
        <v>S</v>
      </c>
      <c r="J841" s="69">
        <f>IF(tech_base!$T217&gt;J$625,"",(1000*tech_proj!J1181*(-PMT($J$110,tech_base!$F217,1))+1000*tech_proj!J1461)/((1-tech_proj!J621)*tech_proj!J901*$L$110))</f>
        <v>114.44954155779408</v>
      </c>
      <c r="K841" s="69">
        <f>IF(tech_base!$T217&gt;K$625,"",(1000*tech_proj!K1181*(-PMT($J$110,tech_base!$F217,1))+1000*tech_proj!K1461)/((1-tech_proj!K621)*tech_proj!K901*$L$110))</f>
        <v>114.44161209237429</v>
      </c>
      <c r="L841" s="69">
        <f>IF(tech_base!$T217&gt;L$625,"",(1000*tech_proj!L1181*(-PMT($J$110,tech_base!$F217,1))+1000*tech_proj!L1461)/((1-tech_proj!L621)*tech_proj!L901*$L$110))</f>
        <v>114.43240492457861</v>
      </c>
      <c r="M841" s="69">
        <f>IF(tech_base!$T217&gt;M$625,"",(1000*tech_proj!M1181*(-PMT($J$110,tech_base!$F217,1))+1000*tech_proj!M1461)/((1-tech_proj!M621)*tech_proj!M901*$L$110))</f>
        <v>114.4217152160374</v>
      </c>
      <c r="N841" s="69">
        <f>IF(tech_base!$T217&gt;N$625,"",(1000*tech_proj!N1181*(-PMT($J$110,tech_base!$F217,1))+1000*tech_proj!N1461)/((1-tech_proj!N621)*tech_proj!N901*$L$110))</f>
        <v>114.40930565277831</v>
      </c>
      <c r="O841" s="69">
        <f>IF(tech_base!$T217&gt;O$625,"",(1000*tech_proj!O1181*(-PMT($J$110,tech_base!$F217,1))+1000*tech_proj!O1461)/((1-tech_proj!O621)*tech_proj!O901*$L$110))</f>
        <v>114.39490142340082</v>
      </c>
      <c r="P841" s="69">
        <f>IF(tech_base!$T217&gt;P$625,"",(1000*tech_proj!P1181*(-PMT($J$110,tech_base!$F217,1))+1000*tech_proj!P1461)/((1-tech_proj!P621)*tech_proj!P901*$L$110))</f>
        <v>114.37818446519641</v>
      </c>
      <c r="Q841" s="69">
        <f>IF(tech_base!$T217&gt;Q$625,"",(1000*tech_proj!Q1181*(-PMT($J$110,tech_base!$F217,1))+1000*tech_proj!Q1461)/((1-tech_proj!Q621)*tech_proj!Q901*$L$110))</f>
        <v>114.35878688730577</v>
      </c>
      <c r="R841" s="69">
        <f>IF(tech_base!$T217&gt;R$625,"",(1000*tech_proj!R1181*(-PMT($J$110,tech_base!$F217,1))+1000*tech_proj!R1461)/((1-tech_proj!R621)*tech_proj!R901*$L$110))</f>
        <v>114.33628347456843</v>
      </c>
      <c r="S841" s="69">
        <f>IF(tech_base!$T217&gt;S$625,"",(1000*tech_proj!S1181*(-PMT($J$110,tech_base!$F217,1))+1000*tech_proj!S1461)/((1-tech_proj!S621)*tech_proj!S901*$L$110))</f>
        <v>114.31018317244597</v>
      </c>
      <c r="T841" s="69">
        <f>IF(tech_base!$T217&gt;T$625,"",(1000*tech_proj!T1181*(-PMT($J$110,tech_base!$F217,1))+1000*tech_proj!T1461)/((1-tech_proj!T621)*tech_proj!T901*$L$110))</f>
        <v>114.27991945359068</v>
      </c>
      <c r="U841" s="69">
        <f>IF(tech_base!$T217&gt;U$625,"",(1000*tech_proj!U1181*(-PMT($J$110,tech_base!$F217,1))+1000*tech_proj!U1461)/((1-tech_proj!U621)*tech_proj!U901*$L$110))</f>
        <v>114.2448394720671</v>
      </c>
      <c r="V841" s="69">
        <f>IF(tech_base!$T217&gt;V$625,"",(1000*tech_proj!V1181*(-PMT($J$110,tech_base!$F217,1))+1000*tech_proj!V1461)/((1-tech_proj!V621)*tech_proj!V901*$L$110))</f>
        <v>114.20419192432581</v>
      </c>
      <c r="W841" s="69">
        <f>IF(tech_base!$T217&gt;W$625,"",(1000*tech_proj!W1181*(-PMT($J$110,tech_base!$F217,1))+1000*tech_proj!W1461)/((1-tech_proj!W621)*tech_proj!W901*$L$110))</f>
        <v>114.1571135599691</v>
      </c>
      <c r="X841" s="69">
        <f>IF(tech_base!$T217&gt;X$625,"",(1000*tech_proj!X1181*(-PMT($J$110,tech_base!$F217,1))+1000*tech_proj!X1461)/((1-tech_proj!X621)*tech_proj!X901*$L$110))</f>
        <v>114.10261432432723</v>
      </c>
      <c r="Y841" s="69">
        <f>IF(tech_base!$T217&gt;Y$625,"",(1000*tech_proj!Y1181*(-PMT($J$110,tech_base!$F217,1))+1000*tech_proj!Y1461)/((1-tech_proj!Y621)*tech_proj!Y901*$L$110))</f>
        <v>114.03956117425344</v>
      </c>
      <c r="Z841" s="69">
        <f>IF(tech_base!$T217&gt;Z$625,"",(1000*tech_proj!Z1181*(-PMT($J$110,tech_base!$F217,1))+1000*tech_proj!Z1461)/((1-tech_proj!Z621)*tech_proj!Z901*$L$110))</f>
        <v>113.96666069514232</v>
      </c>
      <c r="AA841" s="69">
        <f>IF(tech_base!$T217&gt;AA$625,"",(1000*tech_proj!AA1181*(-PMT($J$110,tech_base!$F217,1))+1000*tech_proj!AA1461)/((1-tech_proj!AA621)*tech_proj!AA901*$L$110))</f>
        <v>113.88244076934463</v>
      </c>
      <c r="AB841" s="69">
        <f>IF(tech_base!$T217&gt;AB$625,"",(1000*tech_proj!AB1181*(-PMT($J$110,tech_base!$F217,1))+1000*tech_proj!AB1461)/((1-tech_proj!AB621)*tech_proj!AB901*$L$110))</f>
        <v>113.78523171392041</v>
      </c>
      <c r="AC841" s="69">
        <f>IF(tech_base!$T217&gt;AC$625,"",(1000*tech_proj!AC1181*(-PMT($J$110,tech_base!$F217,1))+1000*tech_proj!AC1461)/((1-tech_proj!AC621)*tech_proj!AC901*$L$110))</f>
        <v>113.67314753060656</v>
      </c>
      <c r="AD841" s="69">
        <f>IF(tech_base!$T217&gt;AD$625,"",(1000*tech_proj!AD1181*(-PMT($J$110,tech_base!$F217,1))+1000*tech_proj!AD1461)/((1-tech_proj!AD621)*tech_proj!AD901*$L$110))</f>
        <v>113.5440682055839</v>
      </c>
      <c r="AE841" s="69">
        <f>IF(tech_base!$T217&gt;AE$625,"",(1000*tech_proj!AE1181*(-PMT($J$110,tech_base!$F217,1))+1000*tech_proj!AE1461)/((1-tech_proj!AE621)*tech_proj!AE901*$L$110))</f>
        <v>113.39562437373336</v>
      </c>
      <c r="AF841" s="69">
        <f>IF(tech_base!$T217&gt;AF$625,"",(1000*tech_proj!AF1181*(-PMT($J$110,tech_base!$F217,1))+1000*tech_proj!AF1461)/((1-tech_proj!AF621)*tech_proj!AF901*$L$110))</f>
        <v>113.22518613222729</v>
      </c>
      <c r="AG841" s="69">
        <f>IF(tech_base!$T217&gt;AG$625,"",(1000*tech_proj!AG1181*(-PMT($J$110,tech_base!$F217,1))+1000*tech_proj!AG1461)/((1-tech_proj!AG621)*tech_proj!AG901*$L$110))</f>
        <v>113.02985835697631</v>
      </c>
      <c r="AH841" s="69">
        <f>IF(tech_base!$T217&gt;AH$625,"",(1000*tech_proj!AH1181*(-PMT($J$110,tech_base!$F217,1))+1000*tech_proj!AH1461)/((1-tech_proj!AH621)*tech_proj!AH901*$L$110))</f>
        <v>112.80648553788491</v>
      </c>
      <c r="AI841" s="69">
        <f>IF(tech_base!$T217&gt;AI$625,"",(1000*tech_proj!AI1181*(-PMT($J$110,tech_base!$F217,1))+1000*tech_proj!AI1461)/((1-tech_proj!AI621)*tech_proj!AI901*$L$110))</f>
        <v>112.55166988280588</v>
      </c>
      <c r="AJ841" s="69">
        <f>IF(tech_base!$T217&gt;AJ$625,"",(1000*tech_proj!AJ1181*(-PMT($J$110,tech_base!$F217,1))+1000*tech_proj!AJ1461)/((1-tech_proj!AJ621)*tech_proj!AJ901*$L$110))</f>
        <v>112.26180719590047</v>
      </c>
      <c r="AK841" s="69">
        <f>IF(tech_base!$T217&gt;AK$625,"",(1000*tech_proj!AK1181*(-PMT($J$110,tech_base!$F217,1))+1000*tech_proj!AK1461)/((1-tech_proj!AK621)*tech_proj!AK901*$L$110))</f>
        <v>111.93314572447197</v>
      </c>
      <c r="AL841" s="69">
        <f>IF(tech_base!$T217&gt;AL$625,"",(1000*tech_proj!AL1181*(-PMT($J$110,tech_base!$F217,1))+1000*tech_proj!AL1461)/((1-tech_proj!AL621)*tech_proj!AL901*$L$110))</f>
        <v>111.56187364640751</v>
      </c>
      <c r="AM841" s="69">
        <f>IF(tech_base!$T217&gt;AM$625,"",(1000*tech_proj!AM1181*(-PMT($J$110,tech_base!$F217,1))+1000*tech_proj!AM1461)/((1-tech_proj!AM621)*tech_proj!AM901*$L$110))</f>
        <v>111.14424092916963</v>
      </c>
      <c r="AN841" s="69">
        <f>IF(tech_base!$T217&gt;AN$625,"",(1000*tech_proj!AN1181*(-PMT($J$110,tech_base!$F217,1))+1000*tech_proj!AN1461)/((1-tech_proj!AN621)*tech_proj!AN901*$L$110))</f>
        <v>110.67672064941361</v>
      </c>
      <c r="AO841" s="69">
        <f>IF(tech_base!$T217&gt;AO$625,"",(1000*tech_proj!AO1181*(-PMT($J$110,tech_base!$F217,1))+1000*tech_proj!AO1461)/((1-tech_proj!AO621)*tech_proj!AO901*$L$110))</f>
        <v>110.1562131740814</v>
      </c>
      <c r="AP841" s="69">
        <f>IF(tech_base!$T217&gt;AP$625,"",(1000*tech_proj!AP1181*(-PMT($J$110,tech_base!$F217,1))+1000*tech_proj!AP1461)/((1-tech_proj!AP621)*tech_proj!AP901*$L$110))</f>
        <v>109.58029349363983</v>
      </c>
      <c r="AQ841" s="69">
        <f>IF(tech_base!$T217&gt;AQ$625,"",(1000*tech_proj!AQ1181*(-PMT($J$110,tech_base!$F217,1))+1000*tech_proj!AQ1461)/((1-tech_proj!AQ621)*tech_proj!AQ901*$L$110))</f>
        <v>108.94749713447555</v>
      </c>
      <c r="AR841" s="69">
        <f>IF(tech_base!$T217&gt;AR$625,"",(1000*tech_proj!AR1181*(-PMT($J$110,tech_base!$F217,1))+1000*tech_proj!AR1461)/((1-tech_proj!AR621)*tech_proj!AR901*$L$110))</f>
        <v>108.25763329767966</v>
      </c>
      <c r="AS841" s="69">
        <f>IF(tech_base!$T217&gt;AS$625,"",(1000*tech_proj!AS1181*(-PMT($J$110,tech_base!$F217,1))+1000*tech_proj!AS1461)/((1-tech_proj!AS621)*tech_proj!AS901*$L$110))</f>
        <v>107.51210535783569</v>
      </c>
      <c r="AT841" s="69">
        <f>IF(tech_base!$T217&gt;AT$625,"",(1000*tech_proj!AT1181*(-PMT($J$110,tech_base!$F217,1))+1000*tech_proj!AT1461)/((1-tech_proj!AT621)*tech_proj!AT901*$L$110))</f>
        <v>106.71420934003329</v>
      </c>
      <c r="AU841" s="69">
        <f>IF(tech_base!$T217&gt;AU$625,"",(1000*tech_proj!AU1181*(-PMT($J$110,tech_base!$F217,1))+1000*tech_proj!AU1461)/((1-tech_proj!AU621)*tech_proj!AU901*$L$110))</f>
        <v>105.86937193324501</v>
      </c>
      <c r="AV841" s="69">
        <f>IF(tech_base!$T217&gt;AV$625,"",(1000*tech_proj!AV1181*(-PMT($J$110,tech_base!$F217,1))+1000*tech_proj!AV1461)/((1-tech_proj!AV621)*tech_proj!AV901*$L$110))</f>
        <v>104.98528322054042</v>
      </c>
      <c r="AW841" s="69">
        <f>IF(tech_base!$T217&gt;AW$625,"",(1000*tech_proj!AW1181*(-PMT($J$110,tech_base!$F217,1))+1000*tech_proj!AW1461)/((1-tech_proj!AW621)*tech_proj!AW901*$L$110))</f>
        <v>104.07187839536783</v>
      </c>
      <c r="AX841" s="235">
        <f>IF(tech_base!$T217&gt;AX$625,"",(1000*tech_proj!AX1181*(-PMT($J$110,tech_base!$F217,1))+1000*tech_proj!AX1461)/((1-tech_proj!AX621)*tech_proj!AX901*$L$110))</f>
        <v>103.14113005001902</v>
      </c>
    </row>
    <row r="842" spans="1:50" x14ac:dyDescent="0.25">
      <c r="A842" s="356"/>
      <c r="B842" s="376"/>
      <c r="C842" s="379"/>
      <c r="D842" s="59" t="s">
        <v>20</v>
      </c>
      <c r="E842" s="166" t="str">
        <f>A827&amp;"/"&amp;B835&amp;"/"&amp;C839&amp;"/"&amp;D842</f>
        <v>Biomass and waste fired power plants/Fluidized bed combustion/CHP/XS</v>
      </c>
      <c r="F842" s="79" t="str">
        <f>A827</f>
        <v>Biomass and waste fired power plants</v>
      </c>
      <c r="G842" s="79" t="str">
        <f>B835</f>
        <v>Fluidized bed combustion</v>
      </c>
      <c r="H842" s="79" t="str">
        <f>C839</f>
        <v>CHP</v>
      </c>
      <c r="I842" s="167" t="str">
        <f t="shared" si="365"/>
        <v>XS</v>
      </c>
      <c r="J842" s="72">
        <f>IF(tech_base!$T218&gt;J$625,"",(1000*tech_proj!J1182*(-PMT($J$110,tech_base!$F218,1))+1000*tech_proj!J1462)/((1-tech_proj!J622)*tech_proj!J902*$L$110))</f>
        <v>136.84229047186938</v>
      </c>
      <c r="K842" s="72">
        <f>IF(tech_base!$T218&gt;K$625,"",(1000*tech_proj!K1182*(-PMT($J$110,tech_base!$F218,1))+1000*tech_proj!K1462)/((1-tech_proj!K622)*tech_proj!K902*$L$110))</f>
        <v>136.83076348529667</v>
      </c>
      <c r="L842" s="72">
        <f>IF(tech_base!$T218&gt;L$625,"",(1000*tech_proj!L1182*(-PMT($J$110,tech_base!$F218,1))+1000*tech_proj!L1462)/((1-tech_proj!L622)*tech_proj!L902*$L$110))</f>
        <v>136.81738002068732</v>
      </c>
      <c r="M842" s="72">
        <f>IF(tech_base!$T218&gt;M$625,"",(1000*tech_proj!M1182*(-PMT($J$110,tech_base!$F218,1))+1000*tech_proj!M1462)/((1-tech_proj!M622)*tech_proj!M902*$L$110))</f>
        <v>136.80184276782106</v>
      </c>
      <c r="N842" s="72">
        <f>IF(tech_base!$T218&gt;N$625,"",(1000*tech_proj!N1182*(-PMT($J$110,tech_base!$F218,1))+1000*tech_proj!N1462)/((1-tech_proj!N622)*tech_proj!N902*$L$110))</f>
        <v>136.78380739067282</v>
      </c>
      <c r="O842" s="72">
        <f>IF(tech_base!$T218&gt;O$625,"",(1000*tech_proj!O1182*(-PMT($J$110,tech_base!$F218,1))+1000*tech_proj!O1462)/((1-tech_proj!O622)*tech_proj!O902*$L$110))</f>
        <v>136.76287529445622</v>
      </c>
      <c r="P842" s="72">
        <f>IF(tech_base!$T218&gt;P$625,"",(1000*tech_proj!P1182*(-PMT($J$110,tech_base!$F218,1))+1000*tech_proj!P1462)/((1-tech_proj!P622)*tech_proj!P902*$L$110))</f>
        <v>136.7385853521285</v>
      </c>
      <c r="Q842" s="72">
        <f>IF(tech_base!$T218&gt;Q$625,"",(1000*tech_proj!Q1182*(-PMT($J$110,tech_base!$F218,1))+1000*tech_proj!Q1462)/((1-tech_proj!Q622)*tech_proj!Q902*$L$110))</f>
        <v>136.71040446629209</v>
      </c>
      <c r="R842" s="72">
        <f>IF(tech_base!$T218&gt;R$625,"",(1000*tech_proj!R1182*(-PMT($J$110,tech_base!$F218,1))+1000*tech_proj!R1462)/((1-tech_proj!R622)*tech_proj!R902*$L$110))</f>
        <v>136.67771683721764</v>
      </c>
      <c r="S842" s="72">
        <f>IF(tech_base!$T218&gt;S$625,"",(1000*tech_proj!S1182*(-PMT($J$110,tech_base!$F218,1))+1000*tech_proj!S1462)/((1-tech_proj!S622)*tech_proj!S902*$L$110))</f>
        <v>136.6398118064989</v>
      </c>
      <c r="T842" s="72">
        <f>IF(tech_base!$T218&gt;T$625,"",(1000*tech_proj!T1182*(-PMT($J$110,tech_base!$F218,1))+1000*tech_proj!T1462)/((1-tech_proj!T622)*tech_proj!T902*$L$110))</f>
        <v>136.59587015078063</v>
      </c>
      <c r="U842" s="72">
        <f>IF(tech_base!$T218&gt;U$625,"",(1000*tech_proj!U1182*(-PMT($J$110,tech_base!$F218,1))+1000*tech_proj!U1462)/((1-tech_proj!U622)*tech_proj!U902*$L$110))</f>
        <v>136.54494871398271</v>
      </c>
      <c r="V842" s="72">
        <f>IF(tech_base!$T218&gt;V$625,"",(1000*tech_proj!V1182*(-PMT($J$110,tech_base!$F218,1))+1000*tech_proj!V1462)/((1-tech_proj!V622)*tech_proj!V902*$L$110))</f>
        <v>136.48596329336286</v>
      </c>
      <c r="W842" s="72">
        <f>IF(tech_base!$T218&gt;W$625,"",(1000*tech_proj!W1182*(-PMT($J$110,tech_base!$F218,1))+1000*tech_proj!W1462)/((1-tech_proj!W622)*tech_proj!W902*$L$110))</f>
        <v>136.41766973972818</v>
      </c>
      <c r="X842" s="72">
        <f>IF(tech_base!$T218&gt;X$625,"",(1000*tech_proj!X1182*(-PMT($J$110,tech_base!$F218,1))+1000*tech_proj!X1462)/((1-tech_proj!X622)*tech_proj!X902*$L$110))</f>
        <v>136.33864330174072</v>
      </c>
      <c r="Y842" s="72">
        <f>IF(tech_base!$T218&gt;Y$625,"",(1000*tech_proj!Y1182*(-PMT($J$110,tech_base!$F218,1))+1000*tech_proj!Y1462)/((1-tech_proj!Y622)*tech_proj!Y902*$L$110))</f>
        <v>136.24725634697771</v>
      </c>
      <c r="Z842" s="72">
        <f>IF(tech_base!$T218&gt;Z$625,"",(1000*tech_proj!Z1182*(-PMT($J$110,tech_base!$F218,1))+1000*tech_proj!Z1462)/((1-tech_proj!Z622)*tech_proj!Z902*$L$110))</f>
        <v>136.14165473867598</v>
      </c>
      <c r="AA842" s="72">
        <f>IF(tech_base!$T218&gt;AA$625,"",(1000*tech_proj!AA1182*(-PMT($J$110,tech_base!$F218,1))+1000*tech_proj!AA1462)/((1-tech_proj!AA622)*tech_proj!AA902*$L$110))</f>
        <v>136.01973334961093</v>
      </c>
      <c r="AB842" s="72">
        <f>IF(tech_base!$T218&gt;AB$625,"",(1000*tech_proj!AB1182*(-PMT($J$110,tech_base!$F218,1))+1000*tech_proj!AB1462)/((1-tech_proj!AB622)*tech_proj!AB902*$L$110))</f>
        <v>135.87911146821494</v>
      </c>
      <c r="AC842" s="72">
        <f>IF(tech_base!$T218&gt;AC$625,"",(1000*tech_proj!AC1182*(-PMT($J$110,tech_base!$F218,1))+1000*tech_proj!AC1462)/((1-tech_proj!AC622)*tech_proj!AC902*$L$110))</f>
        <v>135.71710921345704</v>
      </c>
      <c r="AD842" s="72">
        <f>IF(tech_base!$T218&gt;AD$625,"",(1000*tech_proj!AD1182*(-PMT($J$110,tech_base!$F218,1))+1000*tech_proj!AD1462)/((1-tech_proj!AD622)*tech_proj!AD902*$L$110))</f>
        <v>135.53072654148022</v>
      </c>
      <c r="AE842" s="72">
        <f>IF(tech_base!$T218&gt;AE$625,"",(1000*tech_proj!AE1182*(-PMT($J$110,tech_base!$F218,1))+1000*tech_proj!AE1462)/((1-tech_proj!AE622)*tech_proj!AE902*$L$110))</f>
        <v>135.31662701434811</v>
      </c>
      <c r="AF842" s="72">
        <f>IF(tech_base!$T218&gt;AF$625,"",(1000*tech_proj!AF1182*(-PMT($J$110,tech_base!$F218,1))+1000*tech_proj!AF1462)/((1-tech_proj!AF622)*tech_proj!AF902*$L$110))</f>
        <v>135.07112922017947</v>
      </c>
      <c r="AG842" s="72">
        <f>IF(tech_base!$T218&gt;AG$625,"",(1000*tech_proj!AG1182*(-PMT($J$110,tech_base!$F218,1))+1000*tech_proj!AG1462)/((1-tech_proj!AG622)*tech_proj!AG902*$L$110))</f>
        <v>134.7902095841477</v>
      </c>
      <c r="AH842" s="72">
        <f>IF(tech_base!$T218&gt;AH$625,"",(1000*tech_proj!AH1182*(-PMT($J$110,tech_base!$F218,1))+1000*tech_proj!AH1462)/((1-tech_proj!AH622)*tech_proj!AH902*$L$110))</f>
        <v>134.46952127129967</v>
      </c>
      <c r="AI842" s="72">
        <f>IF(tech_base!$T218&gt;AI$625,"",(1000*tech_proj!AI1182*(-PMT($J$110,tech_base!$F218,1))+1000*tech_proj!AI1462)/((1-tech_proj!AI622)*tech_proj!AI902*$L$110))</f>
        <v>134.10443490302183</v>
      </c>
      <c r="AJ842" s="72">
        <f>IF(tech_base!$T218&gt;AJ$625,"",(1000*tech_proj!AJ1182*(-PMT($J$110,tech_base!$F218,1))+1000*tech_proj!AJ1462)/((1-tech_proj!AJ622)*tech_proj!AJ902*$L$110))</f>
        <v>133.69010778966484</v>
      </c>
      <c r="AK842" s="72">
        <f>IF(tech_base!$T218&gt;AK$625,"",(1000*tech_proj!AK1182*(-PMT($J$110,tech_base!$F218,1))+1000*tech_proj!AK1462)/((1-tech_proj!AK622)*tech_proj!AK902*$L$110))</f>
        <v>133.22158915630206</v>
      </c>
      <c r="AL842" s="72">
        <f>IF(tech_base!$T218&gt;AL$625,"",(1000*tech_proj!AL1182*(-PMT($J$110,tech_base!$F218,1))+1000*tech_proj!AL1462)/((1-tech_proj!AL622)*tech_proj!AL902*$L$110))</f>
        <v>132.6939691553379</v>
      </c>
      <c r="AM842" s="72">
        <f>IF(tech_base!$T218&gt;AM$625,"",(1000*tech_proj!AM1182*(-PMT($J$110,tech_base!$F218,1))+1000*tech_proj!AM1462)/((1-tech_proj!AM622)*tech_proj!AM902*$L$110))</f>
        <v>132.10257896785473</v>
      </c>
      <c r="AN842" s="72">
        <f>IF(tech_base!$T218&gt;AN$625,"",(1000*tech_proj!AN1182*(-PMT($J$110,tech_base!$F218,1))+1000*tech_proj!AN1462)/((1-tech_proj!AN622)*tech_proj!AN902*$L$110))</f>
        <v>131.44324754596693</v>
      </c>
      <c r="AO842" s="72">
        <f>IF(tech_base!$T218&gt;AO$625,"",(1000*tech_proj!AO1182*(-PMT($J$110,tech_base!$F218,1))+1000*tech_proj!AO1462)/((1-tech_proj!AO622)*tech_proj!AO902*$L$110))</f>
        <v>130.71261702377282</v>
      </c>
      <c r="AP842" s="72">
        <f>IF(tech_base!$T218&gt;AP$625,"",(1000*tech_proj!AP1182*(-PMT($J$110,tech_base!$F218,1))+1000*tech_proj!AP1462)/((1-tech_proj!AP622)*tech_proj!AP902*$L$110))</f>
        <v>129.90851301790312</v>
      </c>
      <c r="AQ842" s="72">
        <f>IF(tech_base!$T218&gt;AQ$625,"",(1000*tech_proj!AQ1182*(-PMT($J$110,tech_base!$F218,1))+1000*tech_proj!AQ1462)/((1-tech_proj!AQ622)*tech_proj!AQ902*$L$110))</f>
        <v>129.03035759914695</v>
      </c>
      <c r="AR842" s="72">
        <f>IF(tech_base!$T218&gt;AR$625,"",(1000*tech_proj!AR1182*(-PMT($J$110,tech_base!$F218,1))+1000*tech_proj!AR1462)/((1-tech_proj!AR622)*tech_proj!AR902*$L$110))</f>
        <v>128.07960167142247</v>
      </c>
      <c r="AS842" s="72">
        <f>IF(tech_base!$T218&gt;AS$625,"",(1000*tech_proj!AS1182*(-PMT($J$110,tech_base!$F218,1))+1000*tech_proj!AS1462)/((1-tech_proj!AS622)*tech_proj!AS902*$L$110))</f>
        <v>127.06014053368492</v>
      </c>
      <c r="AT842" s="72">
        <f>IF(tech_base!$T218&gt;AT$625,"",(1000*tech_proj!AT1182*(-PMT($J$110,tech_base!$F218,1))+1000*tech_proj!AT1462)/((1-tech_proj!AT622)*tech_proj!AT902*$L$110))</f>
        <v>125.9786631656801</v>
      </c>
      <c r="AU842" s="72">
        <f>IF(tech_base!$T218&gt;AU$625,"",(1000*tech_proj!AU1182*(-PMT($J$110,tech_base!$F218,1))+1000*tech_proj!AU1462)/((1-tech_proj!AU622)*tech_proj!AU902*$L$110))</f>
        <v>124.84487503418502</v>
      </c>
      <c r="AV842" s="72">
        <f>IF(tech_base!$T218&gt;AV$625,"",(1000*tech_proj!AV1182*(-PMT($J$110,tech_base!$F218,1))+1000*tech_proj!AV1462)/((1-tech_proj!AV622)*tech_proj!AV902*$L$110))</f>
        <v>123.67152972819852</v>
      </c>
      <c r="AW842" s="72">
        <f>IF(tech_base!$T218&gt;AW$625,"",(1000*tech_proj!AW1182*(-PMT($J$110,tech_base!$F218,1))+1000*tech_proj!AW1462)/((1-tech_proj!AW622)*tech_proj!AW902*$L$110))</f>
        <v>122.47421066210462</v>
      </c>
      <c r="AX842" s="238">
        <f>IF(tech_base!$T218&gt;AX$625,"",(1000*tech_proj!AX1182*(-PMT($J$110,tech_base!$F218,1))+1000*tech_proj!AX1462)/((1-tech_proj!AX622)*tech_proj!AX902*$L$110))</f>
        <v>121.27082380942447</v>
      </c>
    </row>
    <row r="843" spans="1:50" x14ac:dyDescent="0.25">
      <c r="A843" s="356"/>
      <c r="B843" s="376"/>
      <c r="C843" s="361" t="s">
        <v>15</v>
      </c>
      <c r="D843" s="58" t="s">
        <v>7</v>
      </c>
      <c r="E843" s="164" t="str">
        <f>A827&amp;"/"&amp;B835&amp;"/"&amp;C843&amp;"/"&amp;D843</f>
        <v>Biomass and waste fired power plants/Fluidized bed combustion/Electricity only with CCS/L</v>
      </c>
      <c r="F843" s="78" t="str">
        <f>A827</f>
        <v>Biomass and waste fired power plants</v>
      </c>
      <c r="G843" s="78" t="str">
        <f>B835</f>
        <v>Fluidized bed combustion</v>
      </c>
      <c r="H843" s="78" t="str">
        <f>C843</f>
        <v>Electricity only with CCS</v>
      </c>
      <c r="I843" s="165" t="str">
        <f t="shared" si="365"/>
        <v>L</v>
      </c>
      <c r="J843" s="71" t="str">
        <f>IF(tech_base!$T219&gt;J$625,"",(1000*tech_proj!J1183*(-PMT($J$110,tech_base!$F219,1))+1000*tech_proj!J1463)/((1-tech_proj!J623)*tech_proj!J903*$L$110))</f>
        <v/>
      </c>
      <c r="K843" s="71" t="str">
        <f>IF(tech_base!$T219&gt;K$625,"",(1000*tech_proj!K1183*(-PMT($J$110,tech_base!$F219,1))+1000*tech_proj!K1463)/((1-tech_proj!K623)*tech_proj!K903*$L$110))</f>
        <v/>
      </c>
      <c r="L843" s="71" t="str">
        <f>IF(tech_base!$T219&gt;L$625,"",(1000*tech_proj!L1183*(-PMT($J$110,tech_base!$F219,1))+1000*tech_proj!L1463)/((1-tech_proj!L623)*tech_proj!L903*$L$110))</f>
        <v/>
      </c>
      <c r="M843" s="71" t="str">
        <f>IF(tech_base!$T219&gt;M$625,"",(1000*tech_proj!M1183*(-PMT($J$110,tech_base!$F219,1))+1000*tech_proj!M1463)/((1-tech_proj!M623)*tech_proj!M903*$L$110))</f>
        <v/>
      </c>
      <c r="N843" s="71" t="str">
        <f>IF(tech_base!$T219&gt;N$625,"",(1000*tech_proj!N1183*(-PMT($J$110,tech_base!$F219,1))+1000*tech_proj!N1463)/((1-tech_proj!N623)*tech_proj!N903*$L$110))</f>
        <v/>
      </c>
      <c r="O843" s="71" t="str">
        <f>IF(tech_base!$T219&gt;O$625,"",(1000*tech_proj!O1183*(-PMT($J$110,tech_base!$F219,1))+1000*tech_proj!O1463)/((1-tech_proj!O623)*tech_proj!O903*$L$110))</f>
        <v/>
      </c>
      <c r="P843" s="71" t="str">
        <f>IF(tech_base!$T219&gt;P$625,"",(1000*tech_proj!P1183*(-PMT($J$110,tech_base!$F219,1))+1000*tech_proj!P1463)/((1-tech_proj!P623)*tech_proj!P903*$L$110))</f>
        <v/>
      </c>
      <c r="Q843" s="71" t="str">
        <f>IF(tech_base!$T219&gt;Q$625,"",(1000*tech_proj!Q1183*(-PMT($J$110,tech_base!$F219,1))+1000*tech_proj!Q1463)/((1-tech_proj!Q623)*tech_proj!Q903*$L$110))</f>
        <v/>
      </c>
      <c r="R843" s="71" t="str">
        <f>IF(tech_base!$T219&gt;R$625,"",(1000*tech_proj!R1183*(-PMT($J$110,tech_base!$F219,1))+1000*tech_proj!R1463)/((1-tech_proj!R623)*tech_proj!R903*$L$110))</f>
        <v/>
      </c>
      <c r="S843" s="71" t="str">
        <f>IF(tech_base!$T219&gt;S$625,"",(1000*tech_proj!S1183*(-PMT($J$110,tech_base!$F219,1))+1000*tech_proj!S1463)/((1-tech_proj!S623)*tech_proj!S903*$L$110))</f>
        <v/>
      </c>
      <c r="T843" s="71" t="str">
        <f>IF(tech_base!$T219&gt;T$625,"",(1000*tech_proj!T1183*(-PMT($J$110,tech_base!$F219,1))+1000*tech_proj!T1463)/((1-tech_proj!T623)*tech_proj!T903*$L$110))</f>
        <v/>
      </c>
      <c r="U843" s="71" t="str">
        <f>IF(tech_base!$T219&gt;U$625,"",(1000*tech_proj!U1183*(-PMT($J$110,tech_base!$F219,1))+1000*tech_proj!U1463)/((1-tech_proj!U623)*tech_proj!U903*$L$110))</f>
        <v/>
      </c>
      <c r="V843" s="71" t="str">
        <f>IF(tech_base!$T219&gt;V$625,"",(1000*tech_proj!V1183*(-PMT($J$110,tech_base!$F219,1))+1000*tech_proj!V1463)/((1-tech_proj!V623)*tech_proj!V903*$L$110))</f>
        <v/>
      </c>
      <c r="W843" s="71" t="str">
        <f>IF(tech_base!$T219&gt;W$625,"",(1000*tech_proj!W1183*(-PMT($J$110,tech_base!$F219,1))+1000*tech_proj!W1463)/((1-tech_proj!W623)*tech_proj!W903*$L$110))</f>
        <v/>
      </c>
      <c r="X843" s="71" t="str">
        <f>IF(tech_base!$T219&gt;X$625,"",(1000*tech_proj!X1183*(-PMT($J$110,tech_base!$F219,1))+1000*tech_proj!X1463)/((1-tech_proj!X623)*tech_proj!X903*$L$110))</f>
        <v/>
      </c>
      <c r="Y843" s="71" t="str">
        <f>IF(tech_base!$T219&gt;Y$625,"",(1000*tech_proj!Y1183*(-PMT($J$110,tech_base!$F219,1))+1000*tech_proj!Y1463)/((1-tech_proj!Y623)*tech_proj!Y903*$L$110))</f>
        <v/>
      </c>
      <c r="Z843" s="71" t="str">
        <f>IF(tech_base!$T219&gt;Z$625,"",(1000*tech_proj!Z1183*(-PMT($J$110,tech_base!$F219,1))+1000*tech_proj!Z1463)/((1-tech_proj!Z623)*tech_proj!Z903*$L$110))</f>
        <v/>
      </c>
      <c r="AA843" s="71" t="str">
        <f>IF(tech_base!$T219&gt;AA$625,"",(1000*tech_proj!AA1183*(-PMT($J$110,tech_base!$F219,1))+1000*tech_proj!AA1463)/((1-tech_proj!AA623)*tech_proj!AA903*$L$110))</f>
        <v/>
      </c>
      <c r="AB843" s="71" t="str">
        <f>IF(tech_base!$T219&gt;AB$625,"",(1000*tech_proj!AB1183*(-PMT($J$110,tech_base!$F219,1))+1000*tech_proj!AB1463)/((1-tech_proj!AB623)*tech_proj!AB903*$L$110))</f>
        <v/>
      </c>
      <c r="AC843" s="71" t="str">
        <f>IF(tech_base!$T219&gt;AC$625,"",(1000*tech_proj!AC1183*(-PMT($J$110,tech_base!$F219,1))+1000*tech_proj!AC1463)/((1-tech_proj!AC623)*tech_proj!AC903*$L$110))</f>
        <v/>
      </c>
      <c r="AD843" s="71" t="str">
        <f>IF(tech_base!$T219&gt;AD$625,"",(1000*tech_proj!AD1183*(-PMT($J$110,tech_base!$F219,1))+1000*tech_proj!AD1463)/((1-tech_proj!AD623)*tech_proj!AD903*$L$110))</f>
        <v/>
      </c>
      <c r="AE843" s="71">
        <f>IF(tech_base!$T219&gt;AE$625,"",(1000*tech_proj!AE1183*(-PMT($J$110,tech_base!$F219,1))+1000*tech_proj!AE1463)/((1-tech_proj!AE623)*tech_proj!AE903*$L$110))</f>
        <v>208.44780690331243</v>
      </c>
      <c r="AF843" s="71">
        <f>IF(tech_base!$T219&gt;AF$625,"",(1000*tech_proj!AF1183*(-PMT($J$110,tech_base!$F219,1))+1000*tech_proj!AF1463)/((1-tech_proj!AF623)*tech_proj!AF903*$L$110))</f>
        <v>208.398700628689</v>
      </c>
      <c r="AG843" s="71">
        <f>IF(tech_base!$T219&gt;AG$625,"",(1000*tech_proj!AG1183*(-PMT($J$110,tech_base!$F219,1))+1000*tech_proj!AG1463)/((1-tech_proj!AG623)*tech_proj!AG903*$L$110))</f>
        <v>208.33574599458308</v>
      </c>
      <c r="AH843" s="71">
        <f>IF(tech_base!$T219&gt;AH$625,"",(1000*tech_proj!AH1183*(-PMT($J$110,tech_base!$F219,1))+1000*tech_proj!AH1463)/((1-tech_proj!AH623)*tech_proj!AH903*$L$110))</f>
        <v>208.2550735637102</v>
      </c>
      <c r="AI843" s="71">
        <f>IF(tech_base!$T219&gt;AI$625,"",(1000*tech_proj!AI1183*(-PMT($J$110,tech_base!$F219,1))+1000*tech_proj!AI1463)/((1-tech_proj!AI623)*tech_proj!AI903*$L$110))</f>
        <v>208.15175583412002</v>
      </c>
      <c r="AJ843" s="71">
        <f>IF(tech_base!$T219&gt;AJ$625,"",(1000*tech_proj!AJ1183*(-PMT($J$110,tech_base!$F219,1))+1000*tech_proj!AJ1463)/((1-tech_proj!AJ623)*tech_proj!AJ903*$L$110))</f>
        <v>208.01953277469096</v>
      </c>
      <c r="AK843" s="71">
        <f>IF(tech_base!$T219&gt;AK$625,"",(1000*tech_proj!AK1183*(-PMT($J$110,tech_base!$F219,1))+1000*tech_proj!AK1463)/((1-tech_proj!AK623)*tech_proj!AK903*$L$110))</f>
        <v>207.85047574148359</v>
      </c>
      <c r="AL843" s="71">
        <f>IF(tech_base!$T219&gt;AL$625,"",(1000*tech_proj!AL1183*(-PMT($J$110,tech_base!$F219,1))+1000*tech_proj!AL1463)/((1-tech_proj!AL623)*tech_proj!AL903*$L$110))</f>
        <v>207.63458225628523</v>
      </c>
      <c r="AM843" s="71">
        <f>IF(tech_base!$T219&gt;AM$625,"",(1000*tech_proj!AM1183*(-PMT($J$110,tech_base!$F219,1))+1000*tech_proj!AM1463)/((1-tech_proj!AM623)*tech_proj!AM903*$L$110))</f>
        <v>207.35929781065977</v>
      </c>
      <c r="AN843" s="71">
        <f>IF(tech_base!$T219&gt;AN$625,"",(1000*tech_proj!AN1183*(-PMT($J$110,tech_base!$F219,1))+1000*tech_proj!AN1463)/((1-tech_proj!AN623)*tech_proj!AN903*$L$110))</f>
        <v>207.00896867119923</v>
      </c>
      <c r="AO843" s="71">
        <f>IF(tech_base!$T219&gt;AO$625,"",(1000*tech_proj!AO1183*(-PMT($J$110,tech_base!$F219,1))+1000*tech_proj!AO1463)/((1-tech_proj!AO623)*tech_proj!AO903*$L$110))</f>
        <v>206.56424408382958</v>
      </c>
      <c r="AP843" s="71">
        <f>IF(tech_base!$T219&gt;AP$625,"",(1000*tech_proj!AP1183*(-PMT($J$110,tech_base!$F219,1))+1000*tech_proj!AP1463)/((1-tech_proj!AP623)*tech_proj!AP903*$L$110))</f>
        <v>206.00147068070308</v>
      </c>
      <c r="AQ843" s="71">
        <f>IF(tech_base!$T219&gt;AQ$625,"",(1000*tech_proj!AQ1183*(-PMT($J$110,tech_base!$F219,1))+1000*tech_proj!AQ1463)/((1-tech_proj!AQ623)*tech_proj!AQ903*$L$110))</f>
        <v>205.29216037434441</v>
      </c>
      <c r="AR843" s="71">
        <f>IF(tech_base!$T219&gt;AR$625,"",(1000*tech_proj!AR1183*(-PMT($J$110,tech_base!$F219,1))+1000*tech_proj!AR1463)/((1-tech_proj!AR623)*tech_proj!AR903*$L$110))</f>
        <v>204.40266952479627</v>
      </c>
      <c r="AS843" s="71">
        <f>IF(tech_base!$T219&gt;AS$625,"",(1000*tech_proj!AS1183*(-PMT($J$110,tech_base!$F219,1))+1000*tech_proj!AS1463)/((1-tech_proj!AS623)*tech_proj!AS903*$L$110))</f>
        <v>203.29430324731931</v>
      </c>
      <c r="AT843" s="71">
        <f>IF(tech_base!$T219&gt;AT$625,"",(1000*tech_proj!AT1183*(-PMT($J$110,tech_base!$F219,1))+1000*tech_proj!AT1463)/((1-tech_proj!AT623)*tech_proj!AT903*$L$110))</f>
        <v>201.92414904486148</v>
      </c>
      <c r="AU843" s="71">
        <f>IF(tech_base!$T219&gt;AU$625,"",(1000*tech_proj!AU1183*(-PMT($J$110,tech_base!$F219,1))+1000*tech_proj!AU1463)/((1-tech_proj!AU623)*tech_proj!AU903*$L$110))</f>
        <v>200.24702872035698</v>
      </c>
      <c r="AV843" s="71">
        <f>IF(tech_base!$T219&gt;AV$625,"",(1000*tech_proj!AV1183*(-PMT($J$110,tech_base!$F219,1))+1000*tech_proj!AV1463)/((1-tech_proj!AV623)*tech_proj!AV903*$L$110))</f>
        <v>198.2189927779425</v>
      </c>
      <c r="AW843" s="71">
        <f>IF(tech_base!$T219&gt;AW$625,"",(1000*tech_proj!AW1183*(-PMT($J$110,tech_base!$F219,1))+1000*tech_proj!AW1463)/((1-tech_proj!AW623)*tech_proj!AW903*$L$110))</f>
        <v>195.80269198251932</v>
      </c>
      <c r="AX843" s="237">
        <f>IF(tech_base!$T219&gt;AX$625,"",(1000*tech_proj!AX1183*(-PMT($J$110,tech_base!$F219,1))+1000*tech_proj!AX1463)/((1-tech_proj!AX623)*tech_proj!AX903*$L$110))</f>
        <v>192.97464754337662</v>
      </c>
    </row>
    <row r="844" spans="1:50" x14ac:dyDescent="0.25">
      <c r="A844" s="356"/>
      <c r="B844" s="376"/>
      <c r="C844" s="379"/>
      <c r="D844" s="59" t="s">
        <v>8</v>
      </c>
      <c r="E844" s="166" t="str">
        <f>A827&amp;"/"&amp;B835&amp;"/"&amp;C843&amp;"/"&amp;D844</f>
        <v>Biomass and waste fired power plants/Fluidized bed combustion/Electricity only with CCS/M</v>
      </c>
      <c r="F844" s="79" t="str">
        <f>A827</f>
        <v>Biomass and waste fired power plants</v>
      </c>
      <c r="G844" s="79" t="str">
        <f>B835</f>
        <v>Fluidized bed combustion</v>
      </c>
      <c r="H844" s="79" t="str">
        <f>C843</f>
        <v>Electricity only with CCS</v>
      </c>
      <c r="I844" s="167" t="str">
        <f t="shared" si="365"/>
        <v>M</v>
      </c>
      <c r="J844" s="72" t="str">
        <f>IF(tech_base!$T220&gt;J$625,"",(1000*tech_proj!J1184*(-PMT($J$110,tech_base!$F220,1))+1000*tech_proj!J1464)/((1-tech_proj!J624)*tech_proj!J904*$L$110))</f>
        <v/>
      </c>
      <c r="K844" s="72" t="str">
        <f>IF(tech_base!$T220&gt;K$625,"",(1000*tech_proj!K1184*(-PMT($J$110,tech_base!$F220,1))+1000*tech_proj!K1464)/((1-tech_proj!K624)*tech_proj!K904*$L$110))</f>
        <v/>
      </c>
      <c r="L844" s="72" t="str">
        <f>IF(tech_base!$T220&gt;L$625,"",(1000*tech_proj!L1184*(-PMT($J$110,tech_base!$F220,1))+1000*tech_proj!L1464)/((1-tech_proj!L624)*tech_proj!L904*$L$110))</f>
        <v/>
      </c>
      <c r="M844" s="72" t="str">
        <f>IF(tech_base!$T220&gt;M$625,"",(1000*tech_proj!M1184*(-PMT($J$110,tech_base!$F220,1))+1000*tech_proj!M1464)/((1-tech_proj!M624)*tech_proj!M904*$L$110))</f>
        <v/>
      </c>
      <c r="N844" s="72" t="str">
        <f>IF(tech_base!$T220&gt;N$625,"",(1000*tech_proj!N1184*(-PMT($J$110,tech_base!$F220,1))+1000*tech_proj!N1464)/((1-tech_proj!N624)*tech_proj!N904*$L$110))</f>
        <v/>
      </c>
      <c r="O844" s="72" t="str">
        <f>IF(tech_base!$T220&gt;O$625,"",(1000*tech_proj!O1184*(-PMT($J$110,tech_base!$F220,1))+1000*tech_proj!O1464)/((1-tech_proj!O624)*tech_proj!O904*$L$110))</f>
        <v/>
      </c>
      <c r="P844" s="72" t="str">
        <f>IF(tech_base!$T220&gt;P$625,"",(1000*tech_proj!P1184*(-PMT($J$110,tech_base!$F220,1))+1000*tech_proj!P1464)/((1-tech_proj!P624)*tech_proj!P904*$L$110))</f>
        <v/>
      </c>
      <c r="Q844" s="72" t="str">
        <f>IF(tech_base!$T220&gt;Q$625,"",(1000*tech_proj!Q1184*(-PMT($J$110,tech_base!$F220,1))+1000*tech_proj!Q1464)/((1-tech_proj!Q624)*tech_proj!Q904*$L$110))</f>
        <v/>
      </c>
      <c r="R844" s="72" t="str">
        <f>IF(tech_base!$T220&gt;R$625,"",(1000*tech_proj!R1184*(-PMT($J$110,tech_base!$F220,1))+1000*tech_proj!R1464)/((1-tech_proj!R624)*tech_proj!R904*$L$110))</f>
        <v/>
      </c>
      <c r="S844" s="72" t="str">
        <f>IF(tech_base!$T220&gt;S$625,"",(1000*tech_proj!S1184*(-PMT($J$110,tech_base!$F220,1))+1000*tech_proj!S1464)/((1-tech_proj!S624)*tech_proj!S904*$L$110))</f>
        <v/>
      </c>
      <c r="T844" s="72" t="str">
        <f>IF(tech_base!$T220&gt;T$625,"",(1000*tech_proj!T1184*(-PMT($J$110,tech_base!$F220,1))+1000*tech_proj!T1464)/((1-tech_proj!T624)*tech_proj!T904*$L$110))</f>
        <v/>
      </c>
      <c r="U844" s="72" t="str">
        <f>IF(tech_base!$T220&gt;U$625,"",(1000*tech_proj!U1184*(-PMT($J$110,tech_base!$F220,1))+1000*tech_proj!U1464)/((1-tech_proj!U624)*tech_proj!U904*$L$110))</f>
        <v/>
      </c>
      <c r="V844" s="72" t="str">
        <f>IF(tech_base!$T220&gt;V$625,"",(1000*tech_proj!V1184*(-PMT($J$110,tech_base!$F220,1))+1000*tech_proj!V1464)/((1-tech_proj!V624)*tech_proj!V904*$L$110))</f>
        <v/>
      </c>
      <c r="W844" s="72" t="str">
        <f>IF(tech_base!$T220&gt;W$625,"",(1000*tech_proj!W1184*(-PMT($J$110,tech_base!$F220,1))+1000*tech_proj!W1464)/((1-tech_proj!W624)*tech_proj!W904*$L$110))</f>
        <v/>
      </c>
      <c r="X844" s="72" t="str">
        <f>IF(tech_base!$T220&gt;X$625,"",(1000*tech_proj!X1184*(-PMT($J$110,tech_base!$F220,1))+1000*tech_proj!X1464)/((1-tech_proj!X624)*tech_proj!X904*$L$110))</f>
        <v/>
      </c>
      <c r="Y844" s="72" t="str">
        <f>IF(tech_base!$T220&gt;Y$625,"",(1000*tech_proj!Y1184*(-PMT($J$110,tech_base!$F220,1))+1000*tech_proj!Y1464)/((1-tech_proj!Y624)*tech_proj!Y904*$L$110))</f>
        <v/>
      </c>
      <c r="Z844" s="72" t="str">
        <f>IF(tech_base!$T220&gt;Z$625,"",(1000*tech_proj!Z1184*(-PMT($J$110,tech_base!$F220,1))+1000*tech_proj!Z1464)/((1-tech_proj!Z624)*tech_proj!Z904*$L$110))</f>
        <v/>
      </c>
      <c r="AA844" s="72" t="str">
        <f>IF(tech_base!$T220&gt;AA$625,"",(1000*tech_proj!AA1184*(-PMT($J$110,tech_base!$F220,1))+1000*tech_proj!AA1464)/((1-tech_proj!AA624)*tech_proj!AA904*$L$110))</f>
        <v/>
      </c>
      <c r="AB844" s="72" t="str">
        <f>IF(tech_base!$T220&gt;AB$625,"",(1000*tech_proj!AB1184*(-PMT($J$110,tech_base!$F220,1))+1000*tech_proj!AB1464)/((1-tech_proj!AB624)*tech_proj!AB904*$L$110))</f>
        <v/>
      </c>
      <c r="AC844" s="72" t="str">
        <f>IF(tech_base!$T220&gt;AC$625,"",(1000*tech_proj!AC1184*(-PMT($J$110,tech_base!$F220,1))+1000*tech_proj!AC1464)/((1-tech_proj!AC624)*tech_proj!AC904*$L$110))</f>
        <v/>
      </c>
      <c r="AD844" s="72" t="str">
        <f>IF(tech_base!$T220&gt;AD$625,"",(1000*tech_proj!AD1184*(-PMT($J$110,tech_base!$F220,1))+1000*tech_proj!AD1464)/((1-tech_proj!AD624)*tech_proj!AD904*$L$110))</f>
        <v/>
      </c>
      <c r="AE844" s="72">
        <f>IF(tech_base!$T220&gt;AE$625,"",(1000*tech_proj!AE1184*(-PMT($J$110,tech_base!$F220,1))+1000*tech_proj!AE1464)/((1-tech_proj!AE624)*tech_proj!AE904*$L$110))</f>
        <v>233.11500121388187</v>
      </c>
      <c r="AF844" s="72">
        <f>IF(tech_base!$T220&gt;AF$625,"",(1000*tech_proj!AF1184*(-PMT($J$110,tech_base!$F220,1))+1000*tech_proj!AF1464)/((1-tech_proj!AF624)*tech_proj!AF904*$L$110))</f>
        <v>233.0564194163332</v>
      </c>
      <c r="AG844" s="72">
        <f>IF(tech_base!$T220&gt;AG$625,"",(1000*tech_proj!AG1184*(-PMT($J$110,tech_base!$F220,1))+1000*tech_proj!AG1464)/((1-tech_proj!AG624)*tech_proj!AG904*$L$110))</f>
        <v>232.98131708657542</v>
      </c>
      <c r="AH844" s="72">
        <f>IF(tech_base!$T220&gt;AH$625,"",(1000*tech_proj!AH1184*(-PMT($J$110,tech_base!$F220,1))+1000*tech_proj!AH1464)/((1-tech_proj!AH624)*tech_proj!AH904*$L$110))</f>
        <v>232.8850781425831</v>
      </c>
      <c r="AI844" s="72">
        <f>IF(tech_base!$T220&gt;AI$625,"",(1000*tech_proj!AI1184*(-PMT($J$110,tech_base!$F220,1))+1000*tech_proj!AI1464)/((1-tech_proj!AI624)*tech_proj!AI904*$L$110))</f>
        <v>232.76182427402037</v>
      </c>
      <c r="AJ844" s="72">
        <f>IF(tech_base!$T220&gt;AJ$625,"",(1000*tech_proj!AJ1184*(-PMT($J$110,tech_base!$F220,1))+1000*tech_proj!AJ1464)/((1-tech_proj!AJ624)*tech_proj!AJ904*$L$110))</f>
        <v>232.60408751719768</v>
      </c>
      <c r="AK844" s="72">
        <f>IF(tech_base!$T220&gt;AK$625,"",(1000*tech_proj!AK1184*(-PMT($J$110,tech_base!$F220,1))+1000*tech_proj!AK1464)/((1-tech_proj!AK624)*tech_proj!AK904*$L$110))</f>
        <v>232.40240932088818</v>
      </c>
      <c r="AL844" s="72">
        <f>IF(tech_base!$T220&gt;AL$625,"",(1000*tech_proj!AL1184*(-PMT($J$110,tech_base!$F220,1))+1000*tech_proj!AL1464)/((1-tech_proj!AL624)*tech_proj!AL904*$L$110))</f>
        <v>232.14485713353614</v>
      </c>
      <c r="AM844" s="72">
        <f>IF(tech_base!$T220&gt;AM$625,"",(1000*tech_proj!AM1184*(-PMT($J$110,tech_base!$F220,1))+1000*tech_proj!AM1464)/((1-tech_proj!AM624)*tech_proj!AM904*$L$110))</f>
        <v>231.81645393484922</v>
      </c>
      <c r="AN844" s="72">
        <f>IF(tech_base!$T220&gt;AN$625,"",(1000*tech_proj!AN1184*(-PMT($J$110,tech_base!$F220,1))+1000*tech_proj!AN1464)/((1-tech_proj!AN624)*tech_proj!AN904*$L$110))</f>
        <v>231.39852545461596</v>
      </c>
      <c r="AO844" s="72">
        <f>IF(tech_base!$T220&gt;AO$625,"",(1000*tech_proj!AO1184*(-PMT($J$110,tech_base!$F220,1))+1000*tech_proj!AO1464)/((1-tech_proj!AO624)*tech_proj!AO904*$L$110))</f>
        <v>230.86798702664527</v>
      </c>
      <c r="AP844" s="72">
        <f>IF(tech_base!$T220&gt;AP$625,"",(1000*tech_proj!AP1184*(-PMT($J$110,tech_base!$F220,1))+1000*tech_proj!AP1464)/((1-tech_proj!AP624)*tech_proj!AP904*$L$110))</f>
        <v>230.19662114070584</v>
      </c>
      <c r="AQ844" s="72">
        <f>IF(tech_base!$T220&gt;AQ$625,"",(1000*tech_proj!AQ1184*(-PMT($J$110,tech_base!$F220,1))+1000*tech_proj!AQ1464)/((1-tech_proj!AQ624)*tech_proj!AQ904*$L$110))</f>
        <v>229.35044266178551</v>
      </c>
      <c r="AR844" s="72">
        <f>IF(tech_base!$T220&gt;AR$625,"",(1000*tech_proj!AR1184*(-PMT($J$110,tech_base!$F220,1))+1000*tech_proj!AR1464)/((1-tech_proj!AR624)*tech_proj!AR904*$L$110))</f>
        <v>228.2893160894842</v>
      </c>
      <c r="AS844" s="72">
        <f>IF(tech_base!$T220&gt;AS$625,"",(1000*tech_proj!AS1184*(-PMT($J$110,tech_base!$F220,1))+1000*tech_proj!AS1464)/((1-tech_proj!AS624)*tech_proj!AS904*$L$110))</f>
        <v>226.96707999287813</v>
      </c>
      <c r="AT844" s="72">
        <f>IF(tech_base!$T220&gt;AT$625,"",(1000*tech_proj!AT1184*(-PMT($J$110,tech_base!$F220,1))+1000*tech_proj!AT1464)/((1-tech_proj!AT624)*tech_proj!AT904*$L$110))</f>
        <v>225.3325415003049</v>
      </c>
      <c r="AU844" s="72">
        <f>IF(tech_base!$T220&gt;AU$625,"",(1000*tech_proj!AU1184*(-PMT($J$110,tech_base!$F220,1))+1000*tech_proj!AU1464)/((1-tech_proj!AU624)*tech_proj!AU904*$L$110))</f>
        <v>223.33180485171306</v>
      </c>
      <c r="AV844" s="72">
        <f>IF(tech_base!$T220&gt;AV$625,"",(1000*tech_proj!AV1184*(-PMT($J$110,tech_base!$F220,1))+1000*tech_proj!AV1464)/((1-tech_proj!AV624)*tech_proj!AV904*$L$110))</f>
        <v>220.91244007784138</v>
      </c>
      <c r="AW844" s="72">
        <f>IF(tech_base!$T220&gt;AW$625,"",(1000*tech_proj!AW1184*(-PMT($J$110,tech_base!$F220,1))+1000*tech_proj!AW1464)/((1-tech_proj!AW624)*tech_proj!AW904*$L$110))</f>
        <v>218.02989105330835</v>
      </c>
      <c r="AX844" s="238">
        <f>IF(tech_base!$T220&gt;AX$625,"",(1000*tech_proj!AX1184*(-PMT($J$110,tech_base!$F220,1))+1000*tech_proj!AX1464)/((1-tech_proj!AX624)*tech_proj!AX904*$L$110))</f>
        <v>214.65614853133937</v>
      </c>
    </row>
    <row r="845" spans="1:50" x14ac:dyDescent="0.25">
      <c r="A845" s="356"/>
      <c r="B845" s="376"/>
      <c r="C845" s="361" t="s">
        <v>16</v>
      </c>
      <c r="D845" s="2" t="s">
        <v>7</v>
      </c>
      <c r="E845" s="160" t="str">
        <f>A827&amp;"/"&amp;B835&amp;"/"&amp;C845&amp;"/"&amp;D845</f>
        <v>Biomass and waste fired power plants/Fluidized bed combustion/CHP with CCS/L</v>
      </c>
      <c r="F845" s="76" t="str">
        <f>A827</f>
        <v>Biomass and waste fired power plants</v>
      </c>
      <c r="G845" s="76" t="str">
        <f>B835</f>
        <v>Fluidized bed combustion</v>
      </c>
      <c r="H845" s="76" t="str">
        <f>C845</f>
        <v>CHP with CCS</v>
      </c>
      <c r="I845" s="161" t="str">
        <f t="shared" si="365"/>
        <v>L</v>
      </c>
      <c r="J845" s="69" t="str">
        <f>IF(tech_base!$T221&gt;J$625,"",(1000*tech_proj!J1185*(-PMT($J$110,tech_base!$F221,1))+1000*tech_proj!J1465)/((1-tech_proj!J625)*tech_proj!J905*$L$110))</f>
        <v/>
      </c>
      <c r="K845" s="69" t="str">
        <f>IF(tech_base!$T221&gt;K$625,"",(1000*tech_proj!K1185*(-PMT($J$110,tech_base!$F221,1))+1000*tech_proj!K1465)/((1-tech_proj!K625)*tech_proj!K905*$L$110))</f>
        <v/>
      </c>
      <c r="L845" s="69" t="str">
        <f>IF(tech_base!$T221&gt;L$625,"",(1000*tech_proj!L1185*(-PMT($J$110,tech_base!$F221,1))+1000*tech_proj!L1465)/((1-tech_proj!L625)*tech_proj!L905*$L$110))</f>
        <v/>
      </c>
      <c r="M845" s="69" t="str">
        <f>IF(tech_base!$T221&gt;M$625,"",(1000*tech_proj!M1185*(-PMT($J$110,tech_base!$F221,1))+1000*tech_proj!M1465)/((1-tech_proj!M625)*tech_proj!M905*$L$110))</f>
        <v/>
      </c>
      <c r="N845" s="69" t="str">
        <f>IF(tech_base!$T221&gt;N$625,"",(1000*tech_proj!N1185*(-PMT($J$110,tech_base!$F221,1))+1000*tech_proj!N1465)/((1-tech_proj!N625)*tech_proj!N905*$L$110))</f>
        <v/>
      </c>
      <c r="O845" s="69" t="str">
        <f>IF(tech_base!$T221&gt;O$625,"",(1000*tech_proj!O1185*(-PMT($J$110,tech_base!$F221,1))+1000*tech_proj!O1465)/((1-tech_proj!O625)*tech_proj!O905*$L$110))</f>
        <v/>
      </c>
      <c r="P845" s="69" t="str">
        <f>IF(tech_base!$T221&gt;P$625,"",(1000*tech_proj!P1185*(-PMT($J$110,tech_base!$F221,1))+1000*tech_proj!P1465)/((1-tech_proj!P625)*tech_proj!P905*$L$110))</f>
        <v/>
      </c>
      <c r="Q845" s="69" t="str">
        <f>IF(tech_base!$T221&gt;Q$625,"",(1000*tech_proj!Q1185*(-PMT($J$110,tech_base!$F221,1))+1000*tech_proj!Q1465)/((1-tech_proj!Q625)*tech_proj!Q905*$L$110))</f>
        <v/>
      </c>
      <c r="R845" s="69" t="str">
        <f>IF(tech_base!$T221&gt;R$625,"",(1000*tech_proj!R1185*(-PMT($J$110,tech_base!$F221,1))+1000*tech_proj!R1465)/((1-tech_proj!R625)*tech_proj!R905*$L$110))</f>
        <v/>
      </c>
      <c r="S845" s="69" t="str">
        <f>IF(tech_base!$T221&gt;S$625,"",(1000*tech_proj!S1185*(-PMT($J$110,tech_base!$F221,1))+1000*tech_proj!S1465)/((1-tech_proj!S625)*tech_proj!S905*$L$110))</f>
        <v/>
      </c>
      <c r="T845" s="69" t="str">
        <f>IF(tech_base!$T221&gt;T$625,"",(1000*tech_proj!T1185*(-PMT($J$110,tech_base!$F221,1))+1000*tech_proj!T1465)/((1-tech_proj!T625)*tech_proj!T905*$L$110))</f>
        <v/>
      </c>
      <c r="U845" s="69" t="str">
        <f>IF(tech_base!$T221&gt;U$625,"",(1000*tech_proj!U1185*(-PMT($J$110,tech_base!$F221,1))+1000*tech_proj!U1465)/((1-tech_proj!U625)*tech_proj!U905*$L$110))</f>
        <v/>
      </c>
      <c r="V845" s="69" t="str">
        <f>IF(tech_base!$T221&gt;V$625,"",(1000*tech_proj!V1185*(-PMT($J$110,tech_base!$F221,1))+1000*tech_proj!V1465)/((1-tech_proj!V625)*tech_proj!V905*$L$110))</f>
        <v/>
      </c>
      <c r="W845" s="69" t="str">
        <f>IF(tech_base!$T221&gt;W$625,"",(1000*tech_proj!W1185*(-PMT($J$110,tech_base!$F221,1))+1000*tech_proj!W1465)/((1-tech_proj!W625)*tech_proj!W905*$L$110))</f>
        <v/>
      </c>
      <c r="X845" s="69" t="str">
        <f>IF(tech_base!$T221&gt;X$625,"",(1000*tech_proj!X1185*(-PMT($J$110,tech_base!$F221,1))+1000*tech_proj!X1465)/((1-tech_proj!X625)*tech_proj!X905*$L$110))</f>
        <v/>
      </c>
      <c r="Y845" s="69" t="str">
        <f>IF(tech_base!$T221&gt;Y$625,"",(1000*tech_proj!Y1185*(-PMT($J$110,tech_base!$F221,1))+1000*tech_proj!Y1465)/((1-tech_proj!Y625)*tech_proj!Y905*$L$110))</f>
        <v/>
      </c>
      <c r="Z845" s="69" t="str">
        <f>IF(tech_base!$T221&gt;Z$625,"",(1000*tech_proj!Z1185*(-PMT($J$110,tech_base!$F221,1))+1000*tech_proj!Z1465)/((1-tech_proj!Z625)*tech_proj!Z905*$L$110))</f>
        <v/>
      </c>
      <c r="AA845" s="69" t="str">
        <f>IF(tech_base!$T221&gt;AA$625,"",(1000*tech_proj!AA1185*(-PMT($J$110,tech_base!$F221,1))+1000*tech_proj!AA1465)/((1-tech_proj!AA625)*tech_proj!AA905*$L$110))</f>
        <v/>
      </c>
      <c r="AB845" s="69" t="str">
        <f>IF(tech_base!$T221&gt;AB$625,"",(1000*tech_proj!AB1185*(-PMT($J$110,tech_base!$F221,1))+1000*tech_proj!AB1465)/((1-tech_proj!AB625)*tech_proj!AB905*$L$110))</f>
        <v/>
      </c>
      <c r="AC845" s="69" t="str">
        <f>IF(tech_base!$T221&gt;AC$625,"",(1000*tech_proj!AC1185*(-PMT($J$110,tech_base!$F221,1))+1000*tech_proj!AC1465)/((1-tech_proj!AC625)*tech_proj!AC905*$L$110))</f>
        <v/>
      </c>
      <c r="AD845" s="69" t="str">
        <f>IF(tech_base!$T221&gt;AD$625,"",(1000*tech_proj!AD1185*(-PMT($J$110,tech_base!$F221,1))+1000*tech_proj!AD1465)/((1-tech_proj!AD625)*tech_proj!AD905*$L$110))</f>
        <v/>
      </c>
      <c r="AE845" s="69">
        <f>IF(tech_base!$T221&gt;AE$625,"",(1000*tech_proj!AE1185*(-PMT($J$110,tech_base!$F221,1))+1000*tech_proj!AE1465)/((1-tech_proj!AE625)*tech_proj!AE905*$L$110))</f>
        <v>230.50295284104877</v>
      </c>
      <c r="AF845" s="69">
        <f>IF(tech_base!$T221&gt;AF$625,"",(1000*tech_proj!AF1185*(-PMT($J$110,tech_base!$F221,1))+1000*tech_proj!AF1465)/((1-tech_proj!AF625)*tech_proj!AF905*$L$110))</f>
        <v>230.45951843615046</v>
      </c>
      <c r="AG845" s="69">
        <f>IF(tech_base!$T221&gt;AG$625,"",(1000*tech_proj!AG1185*(-PMT($J$110,tech_base!$F221,1))+1000*tech_proj!AG1465)/((1-tech_proj!AG625)*tech_proj!AG905*$L$110))</f>
        <v>230.40383518408228</v>
      </c>
      <c r="AH845" s="69">
        <f>IF(tech_base!$T221&gt;AH$625,"",(1000*tech_proj!AH1185*(-PMT($J$110,tech_base!$F221,1))+1000*tech_proj!AH1465)/((1-tech_proj!AH625)*tech_proj!AH905*$L$110))</f>
        <v>230.3324805750525</v>
      </c>
      <c r="AI845" s="69">
        <f>IF(tech_base!$T221&gt;AI$625,"",(1000*tech_proj!AI1185*(-PMT($J$110,tech_base!$F221,1))+1000*tech_proj!AI1465)/((1-tech_proj!AI625)*tech_proj!AI905*$L$110))</f>
        <v>230.24109624311924</v>
      </c>
      <c r="AJ845" s="69">
        <f>IF(tech_base!$T221&gt;AJ$625,"",(1000*tech_proj!AJ1185*(-PMT($J$110,tech_base!$F221,1))+1000*tech_proj!AJ1465)/((1-tech_proj!AJ625)*tech_proj!AJ905*$L$110))</f>
        <v>230.12414520286657</v>
      </c>
      <c r="AK845" s="69">
        <f>IF(tech_base!$T221&gt;AK$625,"",(1000*tech_proj!AK1185*(-PMT($J$110,tech_base!$F221,1))+1000*tech_proj!AK1465)/((1-tech_proj!AK625)*tech_proj!AK905*$L$110))</f>
        <v>229.97461458407008</v>
      </c>
      <c r="AL845" s="69">
        <f>IF(tech_base!$T221&gt;AL$625,"",(1000*tech_proj!AL1185*(-PMT($J$110,tech_base!$F221,1))+1000*tech_proj!AL1465)/((1-tech_proj!AL625)*tech_proj!AL905*$L$110))</f>
        <v>229.78365721410199</v>
      </c>
      <c r="AM845" s="69">
        <f>IF(tech_base!$T221&gt;AM$625,"",(1000*tech_proj!AM1185*(-PMT($J$110,tech_base!$F221,1))+1000*tech_proj!AM1465)/((1-tech_proj!AM625)*tech_proj!AM905*$L$110))</f>
        <v>229.54016865454017</v>
      </c>
      <c r="AN845" s="69">
        <f>IF(tech_base!$T221&gt;AN$625,"",(1000*tech_proj!AN1185*(-PMT($J$110,tech_base!$F221,1))+1000*tech_proj!AN1465)/((1-tech_proj!AN625)*tech_proj!AN905*$L$110))</f>
        <v>229.23030320847033</v>
      </c>
      <c r="AO845" s="69">
        <f>IF(tech_base!$T221&gt;AO$625,"",(1000*tech_proj!AO1185*(-PMT($J$110,tech_base!$F221,1))+1000*tech_proj!AO1465)/((1-tech_proj!AO625)*tech_proj!AO905*$L$110))</f>
        <v>228.83694517135228</v>
      </c>
      <c r="AP845" s="69">
        <f>IF(tech_base!$T221&gt;AP$625,"",(1000*tech_proj!AP1185*(-PMT($J$110,tech_base!$F221,1))+1000*tech_proj!AP1465)/((1-tech_proj!AP625)*tech_proj!AP905*$L$110))</f>
        <v>228.33917318508668</v>
      </c>
      <c r="AQ845" s="69">
        <f>IF(tech_base!$T221&gt;AQ$625,"",(1000*tech_proj!AQ1185*(-PMT($J$110,tech_base!$F221,1))+1000*tech_proj!AQ1465)/((1-tech_proj!AQ625)*tech_proj!AQ905*$L$110))</f>
        <v>227.71178959141776</v>
      </c>
      <c r="AR845" s="69">
        <f>IF(tech_base!$T221&gt;AR$625,"",(1000*tech_proj!AR1185*(-PMT($J$110,tech_base!$F221,1))+1000*tech_proj!AR1465)/((1-tech_proj!AR625)*tech_proj!AR905*$L$110))</f>
        <v>226.92503665589371</v>
      </c>
      <c r="AS845" s="69">
        <f>IF(tech_base!$T221&gt;AS$625,"",(1000*tech_proj!AS1185*(-PMT($J$110,tech_base!$F221,1))+1000*tech_proj!AS1465)/((1-tech_proj!AS625)*tech_proj!AS905*$L$110))</f>
        <v>225.94468882782567</v>
      </c>
      <c r="AT845" s="69">
        <f>IF(tech_base!$T221&gt;AT$625,"",(1000*tech_proj!AT1185*(-PMT($J$110,tech_base!$F221,1))+1000*tech_proj!AT1465)/((1-tech_proj!AT625)*tech_proj!AT905*$L$110))</f>
        <v>224.73279008659424</v>
      </c>
      <c r="AU845" s="69">
        <f>IF(tech_base!$T221&gt;AU$625,"",(1000*tech_proj!AU1185*(-PMT($J$110,tech_base!$F221,1))+1000*tech_proj!AU1465)/((1-tech_proj!AU625)*tech_proj!AU905*$L$110))</f>
        <v>223.24938040430104</v>
      </c>
      <c r="AV845" s="69">
        <f>IF(tech_base!$T221&gt;AV$625,"",(1000*tech_proj!AV1185*(-PMT($J$110,tech_base!$F221,1))+1000*tech_proj!AV1465)/((1-tech_proj!AV625)*tech_proj!AV905*$L$110))</f>
        <v>221.45558653688417</v>
      </c>
      <c r="AW845" s="69">
        <f>IF(tech_base!$T221&gt;AW$625,"",(1000*tech_proj!AW1185*(-PMT($J$110,tech_base!$F221,1))+1000*tech_proj!AW1465)/((1-tech_proj!AW625)*tech_proj!AW905*$L$110))</f>
        <v>219.31837315815852</v>
      </c>
      <c r="AX845" s="235">
        <f>IF(tech_base!$T221&gt;AX$625,"",(1000*tech_proj!AX1185*(-PMT($J$110,tech_base!$F221,1))+1000*tech_proj!AX1465)/((1-tech_proj!AX625)*tech_proj!AX905*$L$110))</f>
        <v>216.816973323165</v>
      </c>
    </row>
    <row r="846" spans="1:50" x14ac:dyDescent="0.25">
      <c r="A846" s="356"/>
      <c r="B846" s="380"/>
      <c r="C846" s="381"/>
      <c r="D846" s="4" t="s">
        <v>8</v>
      </c>
      <c r="E846" s="168" t="str">
        <f>A827&amp;"/"&amp;B835&amp;"/"&amp;C845&amp;"/"&amp;D846</f>
        <v>Biomass and waste fired power plants/Fluidized bed combustion/CHP with CCS/M</v>
      </c>
      <c r="F846" s="80" t="str">
        <f>A827</f>
        <v>Biomass and waste fired power plants</v>
      </c>
      <c r="G846" s="80" t="str">
        <f>B835</f>
        <v>Fluidized bed combustion</v>
      </c>
      <c r="H846" s="80" t="str">
        <f>C845</f>
        <v>CHP with CCS</v>
      </c>
      <c r="I846" s="169" t="str">
        <f t="shared" si="365"/>
        <v>M</v>
      </c>
      <c r="J846" s="73" t="str">
        <f>IF(tech_base!$T222&gt;J$625,"",(1000*tech_proj!J1186*(-PMT($J$110,tech_base!$F222,1))+1000*tech_proj!J1466)/((1-tech_proj!J626)*tech_proj!J906*$L$110))</f>
        <v/>
      </c>
      <c r="K846" s="73" t="str">
        <f>IF(tech_base!$T222&gt;K$625,"",(1000*tech_proj!K1186*(-PMT($J$110,tech_base!$F222,1))+1000*tech_proj!K1466)/((1-tech_proj!K626)*tech_proj!K906*$L$110))</f>
        <v/>
      </c>
      <c r="L846" s="73" t="str">
        <f>IF(tech_base!$T222&gt;L$625,"",(1000*tech_proj!L1186*(-PMT($J$110,tech_base!$F222,1))+1000*tech_proj!L1466)/((1-tech_proj!L626)*tech_proj!L906*$L$110))</f>
        <v/>
      </c>
      <c r="M846" s="73" t="str">
        <f>IF(tech_base!$T222&gt;M$625,"",(1000*tech_proj!M1186*(-PMT($J$110,tech_base!$F222,1))+1000*tech_proj!M1466)/((1-tech_proj!M626)*tech_proj!M906*$L$110))</f>
        <v/>
      </c>
      <c r="N846" s="73" t="str">
        <f>IF(tech_base!$T222&gt;N$625,"",(1000*tech_proj!N1186*(-PMT($J$110,tech_base!$F222,1))+1000*tech_proj!N1466)/((1-tech_proj!N626)*tech_proj!N906*$L$110))</f>
        <v/>
      </c>
      <c r="O846" s="73" t="str">
        <f>IF(tech_base!$T222&gt;O$625,"",(1000*tech_proj!O1186*(-PMT($J$110,tech_base!$F222,1))+1000*tech_proj!O1466)/((1-tech_proj!O626)*tech_proj!O906*$L$110))</f>
        <v/>
      </c>
      <c r="P846" s="73" t="str">
        <f>IF(tech_base!$T222&gt;P$625,"",(1000*tech_proj!P1186*(-PMT($J$110,tech_base!$F222,1))+1000*tech_proj!P1466)/((1-tech_proj!P626)*tech_proj!P906*$L$110))</f>
        <v/>
      </c>
      <c r="Q846" s="73" t="str">
        <f>IF(tech_base!$T222&gt;Q$625,"",(1000*tech_proj!Q1186*(-PMT($J$110,tech_base!$F222,1))+1000*tech_proj!Q1466)/((1-tech_proj!Q626)*tech_proj!Q906*$L$110))</f>
        <v/>
      </c>
      <c r="R846" s="73" t="str">
        <f>IF(tech_base!$T222&gt;R$625,"",(1000*tech_proj!R1186*(-PMT($J$110,tech_base!$F222,1))+1000*tech_proj!R1466)/((1-tech_proj!R626)*tech_proj!R906*$L$110))</f>
        <v/>
      </c>
      <c r="S846" s="73" t="str">
        <f>IF(tech_base!$T222&gt;S$625,"",(1000*tech_proj!S1186*(-PMT($J$110,tech_base!$F222,1))+1000*tech_proj!S1466)/((1-tech_proj!S626)*tech_proj!S906*$L$110))</f>
        <v/>
      </c>
      <c r="T846" s="73" t="str">
        <f>IF(tech_base!$T222&gt;T$625,"",(1000*tech_proj!T1186*(-PMT($J$110,tech_base!$F222,1))+1000*tech_proj!T1466)/((1-tech_proj!T626)*tech_proj!T906*$L$110))</f>
        <v/>
      </c>
      <c r="U846" s="73" t="str">
        <f>IF(tech_base!$T222&gt;U$625,"",(1000*tech_proj!U1186*(-PMT($J$110,tech_base!$F222,1))+1000*tech_proj!U1466)/((1-tech_proj!U626)*tech_proj!U906*$L$110))</f>
        <v/>
      </c>
      <c r="V846" s="73" t="str">
        <f>IF(tech_base!$T222&gt;V$625,"",(1000*tech_proj!V1186*(-PMT($J$110,tech_base!$F222,1))+1000*tech_proj!V1466)/((1-tech_proj!V626)*tech_proj!V906*$L$110))</f>
        <v/>
      </c>
      <c r="W846" s="73" t="str">
        <f>IF(tech_base!$T222&gt;W$625,"",(1000*tech_proj!W1186*(-PMT($J$110,tech_base!$F222,1))+1000*tech_proj!W1466)/((1-tech_proj!W626)*tech_proj!W906*$L$110))</f>
        <v/>
      </c>
      <c r="X846" s="73" t="str">
        <f>IF(tech_base!$T222&gt;X$625,"",(1000*tech_proj!X1186*(-PMT($J$110,tech_base!$F222,1))+1000*tech_proj!X1466)/((1-tech_proj!X626)*tech_proj!X906*$L$110))</f>
        <v/>
      </c>
      <c r="Y846" s="73" t="str">
        <f>IF(tech_base!$T222&gt;Y$625,"",(1000*tech_proj!Y1186*(-PMT($J$110,tech_base!$F222,1))+1000*tech_proj!Y1466)/((1-tech_proj!Y626)*tech_proj!Y906*$L$110))</f>
        <v/>
      </c>
      <c r="Z846" s="73" t="str">
        <f>IF(tech_base!$T222&gt;Z$625,"",(1000*tech_proj!Z1186*(-PMT($J$110,tech_base!$F222,1))+1000*tech_proj!Z1466)/((1-tech_proj!Z626)*tech_proj!Z906*$L$110))</f>
        <v/>
      </c>
      <c r="AA846" s="73" t="str">
        <f>IF(tech_base!$T222&gt;AA$625,"",(1000*tech_proj!AA1186*(-PMT($J$110,tech_base!$F222,1))+1000*tech_proj!AA1466)/((1-tech_proj!AA626)*tech_proj!AA906*$L$110))</f>
        <v/>
      </c>
      <c r="AB846" s="73" t="str">
        <f>IF(tech_base!$T222&gt;AB$625,"",(1000*tech_proj!AB1186*(-PMT($J$110,tech_base!$F222,1))+1000*tech_proj!AB1466)/((1-tech_proj!AB626)*tech_proj!AB906*$L$110))</f>
        <v/>
      </c>
      <c r="AC846" s="73" t="str">
        <f>IF(tech_base!$T222&gt;AC$625,"",(1000*tech_proj!AC1186*(-PMT($J$110,tech_base!$F222,1))+1000*tech_proj!AC1466)/((1-tech_proj!AC626)*tech_proj!AC906*$L$110))</f>
        <v/>
      </c>
      <c r="AD846" s="73" t="str">
        <f>IF(tech_base!$T222&gt;AD$625,"",(1000*tech_proj!AD1186*(-PMT($J$110,tech_base!$F222,1))+1000*tech_proj!AD1466)/((1-tech_proj!AD626)*tech_proj!AD906*$L$110))</f>
        <v/>
      </c>
      <c r="AE846" s="73">
        <f>IF(tech_base!$T222&gt;AE$625,"",(1000*tech_proj!AE1186*(-PMT($J$110,tech_base!$F222,1))+1000*tech_proj!AE1466)/((1-tech_proj!AE626)*tech_proj!AE906*$L$110))</f>
        <v>256.77901022856821</v>
      </c>
      <c r="AF846" s="73">
        <f>IF(tech_base!$T222&gt;AF$625,"",(1000*tech_proj!AF1186*(-PMT($J$110,tech_base!$F222,1))+1000*tech_proj!AF1466)/((1-tech_proj!AF626)*tech_proj!AF906*$L$110))</f>
        <v>256.72457180315445</v>
      </c>
      <c r="AG846" s="73">
        <f>IF(tech_base!$T222&gt;AG$625,"",(1000*tech_proj!AG1186*(-PMT($J$110,tech_base!$F222,1))+1000*tech_proj!AG1466)/((1-tech_proj!AG626)*tech_proj!AG906*$L$110))</f>
        <v>256.65478130938345</v>
      </c>
      <c r="AH846" s="73">
        <f>IF(tech_base!$T222&gt;AH$625,"",(1000*tech_proj!AH1186*(-PMT($J$110,tech_base!$F222,1))+1000*tech_proj!AH1466)/((1-tech_proj!AH626)*tech_proj!AH906*$L$110))</f>
        <v>256.56534915138127</v>
      </c>
      <c r="AI846" s="73">
        <f>IF(tech_base!$T222&gt;AI$625,"",(1000*tech_proj!AI1186*(-PMT($J$110,tech_base!$F222,1))+1000*tech_proj!AI1466)/((1-tech_proj!AI626)*tech_proj!AI906*$L$110))</f>
        <v>256.45081277982098</v>
      </c>
      <c r="AJ846" s="73">
        <f>IF(tech_base!$T222&gt;AJ$625,"",(1000*tech_proj!AJ1186*(-PMT($J$110,tech_base!$F222,1))+1000*tech_proj!AJ1466)/((1-tech_proj!AJ626)*tech_proj!AJ906*$L$110))</f>
        <v>256.3042324249904</v>
      </c>
      <c r="AK846" s="73">
        <f>IF(tech_base!$T222&gt;AK$625,"",(1000*tech_proj!AK1186*(-PMT($J$110,tech_base!$F222,1))+1000*tech_proj!AK1466)/((1-tech_proj!AK626)*tech_proj!AK906*$L$110))</f>
        <v>256.11681851987328</v>
      </c>
      <c r="AL846" s="73">
        <f>IF(tech_base!$T222&gt;AL$625,"",(1000*tech_proj!AL1186*(-PMT($J$110,tech_base!$F222,1))+1000*tech_proj!AL1466)/((1-tech_proj!AL626)*tech_proj!AL906*$L$110))</f>
        <v>255.87748247816756</v>
      </c>
      <c r="AM846" s="73">
        <f>IF(tech_base!$T222&gt;AM$625,"",(1000*tech_proj!AM1186*(-PMT($J$110,tech_base!$F222,1))+1000*tech_proj!AM1466)/((1-tech_proj!AM626)*tech_proj!AM906*$L$110))</f>
        <v>255.57230657395434</v>
      </c>
      <c r="AN846" s="73">
        <f>IF(tech_base!$T222&gt;AN$625,"",(1000*tech_proj!AN1186*(-PMT($J$110,tech_base!$F222,1))+1000*tech_proj!AN1466)/((1-tech_proj!AN626)*tech_proj!AN906*$L$110))</f>
        <v>255.18393733040983</v>
      </c>
      <c r="AO846" s="73">
        <f>IF(tech_base!$T222&gt;AO$625,"",(1000*tech_proj!AO1186*(-PMT($J$110,tech_base!$F222,1))+1000*tech_proj!AO1466)/((1-tech_proj!AO626)*tech_proj!AO906*$L$110))</f>
        <v>254.69092281312382</v>
      </c>
      <c r="AP846" s="73">
        <f>IF(tech_base!$T222&gt;AP$625,"",(1000*tech_proj!AP1186*(-PMT($J$110,tech_base!$F222,1))+1000*tech_proj!AP1466)/((1-tech_proj!AP626)*tech_proj!AP906*$L$110))</f>
        <v>254.06704127933034</v>
      </c>
      <c r="AQ846" s="73">
        <f>IF(tech_base!$T222&gt;AQ$625,"",(1000*tech_proj!AQ1186*(-PMT($J$110,tech_base!$F222,1))+1000*tech_proj!AQ1466)/((1-tech_proj!AQ626)*tech_proj!AQ906*$L$110))</f>
        <v>253.28071129392575</v>
      </c>
      <c r="AR846" s="73">
        <f>IF(tech_base!$T222&gt;AR$625,"",(1000*tech_proj!AR1186*(-PMT($J$110,tech_base!$F222,1))+1000*tech_proj!AR1466)/((1-tech_proj!AR626)*tech_proj!AR906*$L$110))</f>
        <v>252.29463605933154</v>
      </c>
      <c r="AS846" s="73">
        <f>IF(tech_base!$T222&gt;AS$625,"",(1000*tech_proj!AS1186*(-PMT($J$110,tech_base!$F222,1))+1000*tech_proj!AS1466)/((1-tech_proj!AS626)*tech_proj!AS906*$L$110))</f>
        <v>251.06591904933123</v>
      </c>
      <c r="AT846" s="73">
        <f>IF(tech_base!$T222&gt;AT$625,"",(1000*tech_proj!AT1186*(-PMT($J$110,tech_base!$F222,1))+1000*tech_proj!AT1466)/((1-tech_proj!AT626)*tech_proj!AT906*$L$110))</f>
        <v>249.54698816060412</v>
      </c>
      <c r="AU846" s="73">
        <f>IF(tech_base!$T222&gt;AU$625,"",(1000*tech_proj!AU1186*(-PMT($J$110,tech_base!$F222,1))+1000*tech_proj!AU1466)/((1-tech_proj!AU626)*tech_proj!AU906*$L$110))</f>
        <v>247.68775957127292</v>
      </c>
      <c r="AV846" s="73">
        <f>IF(tech_base!$T222&gt;AV$625,"",(1000*tech_proj!AV1186*(-PMT($J$110,tech_base!$F222,1))+1000*tech_proj!AV1466)/((1-tech_proj!AV626)*tech_proj!AV906*$L$110))</f>
        <v>245.43951157783064</v>
      </c>
      <c r="AW846" s="73">
        <f>IF(tech_base!$T222&gt;AW$625,"",(1000*tech_proj!AW1186*(-PMT($J$110,tech_base!$F222,1))+1000*tech_proj!AW1466)/((1-tech_proj!AW626)*tech_proj!AW906*$L$110))</f>
        <v>242.76083941958697</v>
      </c>
      <c r="AX846" s="239">
        <f>IF(tech_base!$T222&gt;AX$625,"",(1000*tech_proj!AX1186*(-PMT($J$110,tech_base!$F222,1))+1000*tech_proj!AX1466)/((1-tech_proj!AX626)*tech_proj!AX906*$L$110))</f>
        <v>239.62571488717936</v>
      </c>
    </row>
    <row r="847" spans="1:50" x14ac:dyDescent="0.25">
      <c r="A847" s="356"/>
      <c r="B847" s="358" t="s">
        <v>19</v>
      </c>
      <c r="C847" s="353" t="s">
        <v>6</v>
      </c>
      <c r="D847" s="3" t="s">
        <v>7</v>
      </c>
      <c r="E847" s="162" t="str">
        <f>A827&amp;"/"&amp;B847&amp;"/"&amp;C847&amp;"/"&amp;D847</f>
        <v>Biomass and waste fired power plants/Steam turbine/Electricity only/L</v>
      </c>
      <c r="F847" s="77" t="str">
        <f>A827</f>
        <v>Biomass and waste fired power plants</v>
      </c>
      <c r="G847" s="77" t="str">
        <f>B847</f>
        <v>Steam turbine</v>
      </c>
      <c r="H847" s="77" t="str">
        <f>C847</f>
        <v>Electricity only</v>
      </c>
      <c r="I847" s="163" t="str">
        <f t="shared" si="365"/>
        <v>L</v>
      </c>
      <c r="J847" s="70">
        <f>IF(tech_base!$T223&gt;J$625,"",(1000*tech_proj!J1187*(-PMT($J$110,tech_base!$F223,1))+1000*tech_proj!J1467)/((1-tech_proj!J627)*tech_proj!J907*$L$110))</f>
        <v>72.128570287289435</v>
      </c>
      <c r="K847" s="70">
        <f>IF(tech_base!$T223&gt;K$625,"",(1000*tech_proj!K1187*(-PMT($J$110,tech_base!$F223,1))+1000*tech_proj!K1467)/((1-tech_proj!K627)*tech_proj!K907*$L$110))</f>
        <v>72.231165500971883</v>
      </c>
      <c r="L847" s="70">
        <f>IF(tech_base!$T223&gt;L$625,"",(1000*tech_proj!L1187*(-PMT($J$110,tech_base!$F223,1))+1000*tech_proj!L1467)/((1-tech_proj!L627)*tech_proj!L907*$L$110))</f>
        <v>72.333820543763849</v>
      </c>
      <c r="M847" s="70">
        <f>IF(tech_base!$T223&gt;M$625,"",(1000*tech_proj!M1187*(-PMT($J$110,tech_base!$F223,1))+1000*tech_proj!M1467)/((1-tech_proj!M627)*tech_proj!M907*$L$110))</f>
        <v>72.436482506169625</v>
      </c>
      <c r="N847" s="70">
        <f>IF(tech_base!$T223&gt;N$625,"",(1000*tech_proj!N1187*(-PMT($J$110,tech_base!$F223,1))+1000*tech_proj!N1467)/((1-tech_proj!N627)*tech_proj!N907*$L$110))</f>
        <v>72.539098691157292</v>
      </c>
      <c r="O847" s="70">
        <f>IF(tech_base!$T223&gt;O$625,"",(1000*tech_proj!O1187*(-PMT($J$110,tech_base!$F223,1))+1000*tech_proj!O1467)/((1-tech_proj!O627)*tech_proj!O907*$L$110))</f>
        <v>72.641616717239344</v>
      </c>
      <c r="P847" s="70">
        <f>IF(tech_base!$T223&gt;P$625,"",(1000*tech_proj!P1187*(-PMT($J$110,tech_base!$F223,1))+1000*tech_proj!P1467)/((1-tech_proj!P627)*tech_proj!P907*$L$110))</f>
        <v>72.743984619645445</v>
      </c>
      <c r="Q847" s="70">
        <f>IF(tech_base!$T223&gt;Q$625,"",(1000*tech_proj!Q1187*(-PMT($J$110,tech_base!$F223,1))+1000*tech_proj!Q1467)/((1-tech_proj!Q627)*tech_proj!Q907*$L$110))</f>
        <v>72.846150949195831</v>
      </c>
      <c r="R847" s="70">
        <f>IF(tech_base!$T223&gt;R$625,"",(1000*tech_proj!R1187*(-PMT($J$110,tech_base!$F223,1))+1000*tech_proj!R1467)/((1-tech_proj!R627)*tech_proj!R907*$L$110))</f>
        <v>72.948064868503138</v>
      </c>
      <c r="S847" s="70">
        <f>IF(tech_base!$T223&gt;S$625,"",(1000*tech_proj!S1187*(-PMT($J$110,tech_base!$F223,1))+1000*tech_proj!S1467)/((1-tech_proj!S627)*tech_proj!S907*$L$110))</f>
        <v>73.049676245150451</v>
      </c>
      <c r="T847" s="70">
        <f>IF(tech_base!$T223&gt;T$625,"",(1000*tech_proj!T1187*(-PMT($J$110,tech_base!$F223,1))+1000*tech_proj!T1467)/((1-tech_proj!T627)*tech_proj!T907*$L$110))</f>
        <v>73.150935741516236</v>
      </c>
      <c r="U847" s="70">
        <f>IF(tech_base!$T223&gt;U$625,"",(1000*tech_proj!U1187*(-PMT($J$110,tech_base!$F223,1))+1000*tech_proj!U1467)/((1-tech_proj!U627)*tech_proj!U907*$L$110))</f>
        <v>73.25179490094088</v>
      </c>
      <c r="V847" s="70">
        <f>IF(tech_base!$T223&gt;V$625,"",(1000*tech_proj!V1187*(-PMT($J$110,tech_base!$F223,1))+1000*tech_proj!V1467)/((1-tech_proj!V627)*tech_proj!V907*$L$110))</f>
        <v>73.352206229955712</v>
      </c>
      <c r="W847" s="70">
        <f>IF(tech_base!$T223&gt;W$625,"",(1000*tech_proj!W1187*(-PMT($J$110,tech_base!$F223,1))+1000*tech_proj!W1467)/((1-tech_proj!W627)*tech_proj!W907*$L$110))</f>
        <v>73.45212327632261</v>
      </c>
      <c r="X847" s="70">
        <f>IF(tech_base!$T223&gt;X$625,"",(1000*tech_proj!X1187*(-PMT($J$110,tech_base!$F223,1))+1000*tech_proj!X1467)/((1-tech_proj!X627)*tech_proj!X907*$L$110))</f>
        <v>73.551500702659865</v>
      </c>
      <c r="Y847" s="70">
        <f>IF(tech_base!$T223&gt;Y$625,"",(1000*tech_proj!Y1187*(-PMT($J$110,tech_base!$F223,1))+1000*tech_proj!Y1467)/((1-tech_proj!Y627)*tech_proj!Y907*$L$110))</f>
        <v>73.65029435545955</v>
      </c>
      <c r="Z847" s="70">
        <f>IF(tech_base!$T223&gt;Z$625,"",(1000*tech_proj!Z1187*(-PMT($J$110,tech_base!$F223,1))+1000*tech_proj!Z1467)/((1-tech_proj!Z627)*tech_proj!Z907*$L$110))</f>
        <v>73.748461329330411</v>
      </c>
      <c r="AA847" s="70">
        <f>IF(tech_base!$T223&gt;AA$625,"",(1000*tech_proj!AA1187*(-PMT($J$110,tech_base!$F223,1))+1000*tech_proj!AA1467)/((1-tech_proj!AA627)*tech_proj!AA907*$L$110))</f>
        <v>73.845960026329919</v>
      </c>
      <c r="AB847" s="70">
        <f>IF(tech_base!$T223&gt;AB$625,"",(1000*tech_proj!AB1187*(-PMT($J$110,tech_base!$F223,1))+1000*tech_proj!AB1467)/((1-tech_proj!AB627)*tech_proj!AB907*$L$110))</f>
        <v>73.942750210279101</v>
      </c>
      <c r="AC847" s="70">
        <f>IF(tech_base!$T223&gt;AC$625,"",(1000*tech_proj!AC1187*(-PMT($J$110,tech_base!$F223,1))+1000*tech_proj!AC1467)/((1-tech_proj!AC627)*tech_proj!AC907*$L$110))</f>
        <v>74.038793055982353</v>
      </c>
      <c r="AD847" s="70">
        <f>IF(tech_base!$T223&gt;AD$625,"",(1000*tech_proj!AD1187*(-PMT($J$110,tech_base!$F223,1))+1000*tech_proj!AD1467)/((1-tech_proj!AD627)*tech_proj!AD907*$L$110))</f>
        <v>74.134051193303165</v>
      </c>
      <c r="AE847" s="70">
        <f>IF(tech_base!$T223&gt;AE$625,"",(1000*tech_proj!AE1187*(-PMT($J$110,tech_base!$F223,1))+1000*tech_proj!AE1467)/((1-tech_proj!AE627)*tech_proj!AE907*$L$110))</f>
        <v>74.228488746075286</v>
      </c>
      <c r="AF847" s="70">
        <f>IF(tech_base!$T223&gt;AF$625,"",(1000*tech_proj!AF1187*(-PMT($J$110,tech_base!$F223,1))+1000*tech_proj!AF1467)/((1-tech_proj!AF627)*tech_proj!AF907*$L$110))</f>
        <v>74.322071365855138</v>
      </c>
      <c r="AG847" s="70">
        <f>IF(tech_base!$T223&gt;AG$625,"",(1000*tech_proj!AG1187*(-PMT($J$110,tech_base!$F223,1))+1000*tech_proj!AG1467)/((1-tech_proj!AG627)*tech_proj!AG907*$L$110))</f>
        <v>74.414766260547793</v>
      </c>
      <c r="AH847" s="70">
        <f>IF(tech_base!$T223&gt;AH$625,"",(1000*tech_proj!AH1187*(-PMT($J$110,tech_base!$F223,1))+1000*tech_proj!AH1467)/((1-tech_proj!AH627)*tech_proj!AH907*$L$110))</f>
        <v>74.506542217963158</v>
      </c>
      <c r="AI847" s="70">
        <f>IF(tech_base!$T223&gt;AI$625,"",(1000*tech_proj!AI1187*(-PMT($J$110,tech_base!$F223,1))+1000*tech_proj!AI1467)/((1-tech_proj!AI627)*tech_proj!AI907*$L$110))</f>
        <v>74.597369624382381</v>
      </c>
      <c r="AJ847" s="70">
        <f>IF(tech_base!$T223&gt;AJ$625,"",(1000*tech_proj!AJ1187*(-PMT($J$110,tech_base!$F223,1))+1000*tech_proj!AJ1467)/((1-tech_proj!AJ627)*tech_proj!AJ907*$L$110))</f>
        <v>74.687220478236739</v>
      </c>
      <c r="AK847" s="70">
        <f>IF(tech_base!$T223&gt;AK$625,"",(1000*tech_proj!AK1187*(-PMT($J$110,tech_base!$F223,1))+1000*tech_proj!AK1467)/((1-tech_proj!AK627)*tech_proj!AK907*$L$110))</f>
        <v>74.77606839902036</v>
      </c>
      <c r="AL847" s="70">
        <f>IF(tech_base!$T223&gt;AL$625,"",(1000*tech_proj!AL1187*(-PMT($J$110,tech_base!$F223,1))+1000*tech_proj!AL1467)/((1-tech_proj!AL627)*tech_proj!AL907*$L$110))</f>
        <v>74.86388863157795</v>
      </c>
      <c r="AM847" s="70">
        <f>IF(tech_base!$T223&gt;AM$625,"",(1000*tech_proj!AM1187*(-PMT($J$110,tech_base!$F223,1))+1000*tech_proj!AM1467)/((1-tech_proj!AM627)*tech_proj!AM907*$L$110))</f>
        <v>74.950658045924172</v>
      </c>
      <c r="AN847" s="70">
        <f>IF(tech_base!$T223&gt;AN$625,"",(1000*tech_proj!AN1187*(-PMT($J$110,tech_base!$F223,1))+1000*tech_proj!AN1467)/((1-tech_proj!AN627)*tech_proj!AN907*$L$110))</f>
        <v>75.03635513276727</v>
      </c>
      <c r="AO847" s="70">
        <f>IF(tech_base!$T223&gt;AO$625,"",(1000*tech_proj!AO1187*(-PMT($J$110,tech_base!$F223,1))+1000*tech_proj!AO1467)/((1-tech_proj!AO627)*tech_proj!AO907*$L$110))</f>
        <v>75.120959994921947</v>
      </c>
      <c r="AP847" s="70">
        <f>IF(tech_base!$T223&gt;AP$625,"",(1000*tech_proj!AP1187*(-PMT($J$110,tech_base!$F223,1))+1000*tech_proj!AP1467)/((1-tech_proj!AP627)*tech_proj!AP907*$L$110))</f>
        <v>75.204454334808247</v>
      </c>
      <c r="AQ847" s="70">
        <f>IF(tech_base!$T223&gt;AQ$625,"",(1000*tech_proj!AQ1187*(-PMT($J$110,tech_base!$F223,1))+1000*tech_proj!AQ1467)/((1-tech_proj!AQ627)*tech_proj!AQ907*$L$110))</f>
        <v>75.28682143824264</v>
      </c>
      <c r="AR847" s="70">
        <f>IF(tech_base!$T223&gt;AR$625,"",(1000*tech_proj!AR1187*(-PMT($J$110,tech_base!$F223,1))+1000*tech_proj!AR1467)/((1-tech_proj!AR627)*tech_proj!AR907*$L$110))</f>
        <v>75.368046154735197</v>
      </c>
      <c r="AS847" s="70">
        <f>IF(tech_base!$T223&gt;AS$625,"",(1000*tech_proj!AS1187*(-PMT($J$110,tech_base!$F223,1))+1000*tech_proj!AS1467)/((1-tech_proj!AS627)*tech_proj!AS907*$L$110))</f>
        <v>75.448114874512925</v>
      </c>
      <c r="AT847" s="70">
        <f>IF(tech_base!$T223&gt;AT$625,"",(1000*tech_proj!AT1187*(-PMT($J$110,tech_base!$F223,1))+1000*tech_proj!AT1467)/((1-tech_proj!AT627)*tech_proj!AT907*$L$110))</f>
        <v>75.527015502494038</v>
      </c>
      <c r="AU847" s="70">
        <f>IF(tech_base!$T223&gt;AU$625,"",(1000*tech_proj!AU1187*(-PMT($J$110,tech_base!$F223,1))+1000*tech_proj!AU1467)/((1-tech_proj!AU627)*tech_proj!AU907*$L$110))</f>
        <v>75.604737429439808</v>
      </c>
      <c r="AV847" s="70">
        <f>IF(tech_base!$T223&gt;AV$625,"",(1000*tech_proj!AV1187*(-PMT($J$110,tech_base!$F223,1))+1000*tech_proj!AV1467)/((1-tech_proj!AV627)*tech_proj!AV907*$L$110))</f>
        <v>75.681271500513731</v>
      </c>
      <c r="AW847" s="70">
        <f>IF(tech_base!$T223&gt;AW$625,"",(1000*tech_proj!AW1187*(-PMT($J$110,tech_base!$F223,1))+1000*tech_proj!AW1467)/((1-tech_proj!AW627)*tech_proj!AW907*$L$110))</f>
        <v>75.756609981475563</v>
      </c>
      <c r="AX847" s="236">
        <f>IF(tech_base!$T223&gt;AX$625,"",(1000*tech_proj!AX1187*(-PMT($J$110,tech_base!$F223,1))+1000*tech_proj!AX1467)/((1-tech_proj!AX627)*tech_proj!AX907*$L$110))</f>
        <v>75.830746522738295</v>
      </c>
    </row>
    <row r="848" spans="1:50" x14ac:dyDescent="0.25">
      <c r="A848" s="356"/>
      <c r="B848" s="376"/>
      <c r="C848" s="378"/>
      <c r="D848" s="2" t="s">
        <v>8</v>
      </c>
      <c r="E848" s="160" t="str">
        <f>A827&amp;"/"&amp;B847&amp;"/"&amp;C847&amp;"/"&amp;D848</f>
        <v>Biomass and waste fired power plants/Steam turbine/Electricity only/M</v>
      </c>
      <c r="F848" s="76" t="str">
        <f>A827</f>
        <v>Biomass and waste fired power plants</v>
      </c>
      <c r="G848" s="76" t="str">
        <f>B847</f>
        <v>Steam turbine</v>
      </c>
      <c r="H848" s="76" t="str">
        <f>C847</f>
        <v>Electricity only</v>
      </c>
      <c r="I848" s="161" t="str">
        <f t="shared" si="365"/>
        <v>M</v>
      </c>
      <c r="J848" s="69">
        <f>IF(tech_base!$T224&gt;J$625,"",(1000*tech_proj!J1188*(-PMT($J$110,tech_base!$F224,1))+1000*tech_proj!J1468)/((1-tech_proj!J628)*tech_proj!J908*$L$110))</f>
        <v>78.193131134974095</v>
      </c>
      <c r="K848" s="69">
        <f>IF(tech_base!$T224&gt;K$625,"",(1000*tech_proj!K1188*(-PMT($J$110,tech_base!$F224,1))+1000*tech_proj!K1468)/((1-tech_proj!K628)*tech_proj!K908*$L$110))</f>
        <v>78.27654718944467</v>
      </c>
      <c r="L848" s="69">
        <f>IF(tech_base!$T224&gt;L$625,"",(1000*tech_proj!L1188*(-PMT($J$110,tech_base!$F224,1))+1000*tech_proj!L1468)/((1-tech_proj!L628)*tech_proj!L908*$L$110))</f>
        <v>78.360011888565225</v>
      </c>
      <c r="M848" s="69">
        <f>IF(tech_base!$T224&gt;M$625,"",(1000*tech_proj!M1188*(-PMT($J$110,tech_base!$F224,1))+1000*tech_proj!M1468)/((1-tech_proj!M628)*tech_proj!M908*$L$110))</f>
        <v>78.443482213746321</v>
      </c>
      <c r="N848" s="69">
        <f>IF(tech_base!$T224&gt;N$625,"",(1000*tech_proj!N1188*(-PMT($J$110,tech_base!$F224,1))+1000*tech_proj!N1468)/((1-tech_proj!N628)*tech_proj!N908*$L$110))</f>
        <v>78.526915319144265</v>
      </c>
      <c r="O848" s="69">
        <f>IF(tech_base!$T224&gt;O$625,"",(1000*tech_proj!O1188*(-PMT($J$110,tech_base!$F224,1))+1000*tech_proj!O1468)/((1-tech_proj!O628)*tech_proj!O908*$L$110))</f>
        <v>78.610268615471966</v>
      </c>
      <c r="P848" s="69">
        <f>IF(tech_base!$T224&gt;P$625,"",(1000*tech_proj!P1188*(-PMT($J$110,tech_base!$F224,1))+1000*tech_proj!P1468)/((1-tech_proj!P628)*tech_proj!P908*$L$110))</f>
        <v>78.693499852258284</v>
      </c>
      <c r="Q848" s="69">
        <f>IF(tech_base!$T224&gt;Q$625,"",(1000*tech_proj!Q1188*(-PMT($J$110,tech_base!$F224,1))+1000*tech_proj!Q1468)/((1-tech_proj!Q628)*tech_proj!Q908*$L$110))</f>
        <v>78.776567198238098</v>
      </c>
      <c r="R848" s="69">
        <f>IF(tech_base!$T224&gt;R$625,"",(1000*tech_proj!R1188*(-PMT($J$110,tech_base!$F224,1))+1000*tech_proj!R1468)/((1-tech_proj!R628)*tech_proj!R908*$L$110))</f>
        <v>78.859429319570197</v>
      </c>
      <c r="S848" s="69">
        <f>IF(tech_base!$T224&gt;S$625,"",(1000*tech_proj!S1188*(-PMT($J$110,tech_base!$F224,1))+1000*tech_proj!S1468)/((1-tech_proj!S628)*tech_proj!S908*$L$110))</f>
        <v>78.942045455596556</v>
      </c>
      <c r="T848" s="69">
        <f>IF(tech_base!$T224&gt;T$625,"",(1000*tech_proj!T1188*(-PMT($J$110,tech_base!$F224,1))+1000*tech_proj!T1468)/((1-tech_proj!T628)*tech_proj!T908*$L$110))</f>
        <v>79.024375491875418</v>
      </c>
      <c r="U848" s="69">
        <f>IF(tech_base!$T224&gt;U$625,"",(1000*tech_proj!U1188*(-PMT($J$110,tech_base!$F224,1))+1000*tech_proj!U1468)/((1-tech_proj!U628)*tech_proj!U908*$L$110))</f>
        <v>79.106380030239762</v>
      </c>
      <c r="V848" s="69">
        <f>IF(tech_base!$T224&gt;V$625,"",(1000*tech_proj!V1188*(-PMT($J$110,tech_base!$F224,1))+1000*tech_proj!V1468)/((1-tech_proj!V628)*tech_proj!V908*$L$110))</f>
        <v>79.188020455654637</v>
      </c>
      <c r="W848" s="69">
        <f>IF(tech_base!$T224&gt;W$625,"",(1000*tech_proj!W1188*(-PMT($J$110,tech_base!$F224,1))+1000*tech_proj!W1468)/((1-tech_proj!W628)*tech_proj!W908*$L$110))</f>
        <v>79.269258999667784</v>
      </c>
      <c r="X848" s="69">
        <f>IF(tech_base!$T224&gt;X$625,"",(1000*tech_proj!X1188*(-PMT($J$110,tech_base!$F224,1))+1000*tech_proj!X1468)/((1-tech_proj!X628)*tech_proj!X908*$L$110))</f>
        <v>79.350058800272052</v>
      </c>
      <c r="Y848" s="69">
        <f>IF(tech_base!$T224&gt;Y$625,"",(1000*tech_proj!Y1188*(-PMT($J$110,tech_base!$F224,1))+1000*tech_proj!Y1468)/((1-tech_proj!Y628)*tech_proj!Y908*$L$110))</f>
        <v>79.430383958020599</v>
      </c>
      <c r="Z848" s="69">
        <f>IF(tech_base!$T224&gt;Z$625,"",(1000*tech_proj!Z1188*(-PMT($J$110,tech_base!$F224,1))+1000*tech_proj!Z1468)/((1-tech_proj!Z628)*tech_proj!Z908*$L$110))</f>
        <v>79.510199588260093</v>
      </c>
      <c r="AA848" s="69">
        <f>IF(tech_base!$T224&gt;AA$625,"",(1000*tech_proj!AA1188*(-PMT($J$110,tech_base!$F224,1))+1000*tech_proj!AA1468)/((1-tech_proj!AA628)*tech_proj!AA908*$L$110))</f>
        <v>79.589471869371508</v>
      </c>
      <c r="AB848" s="69">
        <f>IF(tech_base!$T224&gt;AB$625,"",(1000*tech_proj!AB1188*(-PMT($J$110,tech_base!$F224,1))+1000*tech_proj!AB1468)/((1-tech_proj!AB628)*tech_proj!AB908*$L$110))</f>
        <v>79.668168086931061</v>
      </c>
      <c r="AC848" s="69">
        <f>IF(tech_base!$T224&gt;AC$625,"",(1000*tech_proj!AC1188*(-PMT($J$110,tech_base!$F224,1))+1000*tech_proj!AC1468)/((1-tech_proj!AC628)*tech_proj!AC908*$L$110))</f>
        <v>79.746256673728965</v>
      </c>
      <c r="AD848" s="69">
        <f>IF(tech_base!$T224&gt;AD$625,"",(1000*tech_proj!AD1188*(-PMT($J$110,tech_base!$F224,1))+1000*tech_proj!AD1468)/((1-tech_proj!AD628)*tech_proj!AD908*$L$110))</f>
        <v>79.823707245605689</v>
      </c>
      <c r="AE848" s="69">
        <f>IF(tech_base!$T224&gt;AE$625,"",(1000*tech_proj!AE1188*(-PMT($J$110,tech_base!$F224,1))+1000*tech_proj!AE1468)/((1-tech_proj!AE628)*tech_proj!AE908*$L$110))</f>
        <v>79.900490633088921</v>
      </c>
      <c r="AF848" s="69">
        <f>IF(tech_base!$T224&gt;AF$625,"",(1000*tech_proj!AF1188*(-PMT($J$110,tech_base!$F224,1))+1000*tech_proj!AF1468)/((1-tech_proj!AF628)*tech_proj!AF908*$L$110))</f>
        <v>79.976578908836544</v>
      </c>
      <c r="AG848" s="69">
        <f>IF(tech_base!$T224&gt;AG$625,"",(1000*tech_proj!AG1188*(-PMT($J$110,tech_base!$F224,1))+1000*tech_proj!AG1468)/((1-tech_proj!AG628)*tech_proj!AG908*$L$110))</f>
        <v>80.051945410911003</v>
      </c>
      <c r="AH848" s="69">
        <f>IF(tech_base!$T224&gt;AH$625,"",(1000*tech_proj!AH1188*(-PMT($J$110,tech_base!$F224,1))+1000*tech_proj!AH1468)/((1-tech_proj!AH628)*tech_proj!AH908*$L$110))</f>
        <v>80.126564761932016</v>
      </c>
      <c r="AI848" s="69">
        <f>IF(tech_base!$T224&gt;AI$625,"",(1000*tech_proj!AI1188*(-PMT($J$110,tech_base!$F224,1))+1000*tech_proj!AI1468)/((1-tech_proj!AI628)*tech_proj!AI908*$L$110))</f>
        <v>80.200412884172295</v>
      </c>
      <c r="AJ848" s="69">
        <f>IF(tech_base!$T224&gt;AJ$625,"",(1000*tech_proj!AJ1188*(-PMT($J$110,tech_base!$F224,1))+1000*tech_proj!AJ1468)/((1-tech_proj!AJ628)*tech_proj!AJ908*$L$110))</f>
        <v>80.273467010679013</v>
      </c>
      <c r="AK848" s="69">
        <f>IF(tech_base!$T224&gt;AK$625,"",(1000*tech_proj!AK1188*(-PMT($J$110,tech_base!$F224,1))+1000*tech_proj!AK1468)/((1-tech_proj!AK628)*tech_proj!AK908*$L$110))</f>
        <v>80.345705692520681</v>
      </c>
      <c r="AL848" s="69">
        <f>IF(tech_base!$T224&gt;AL$625,"",(1000*tech_proj!AL1188*(-PMT($J$110,tech_base!$F224,1))+1000*tech_proj!AL1468)/((1-tech_proj!AL628)*tech_proj!AL908*$L$110))</f>
        <v>80.417108802273134</v>
      </c>
      <c r="AM848" s="69">
        <f>IF(tech_base!$T224&gt;AM$625,"",(1000*tech_proj!AM1188*(-PMT($J$110,tech_base!$F224,1))+1000*tech_proj!AM1468)/((1-tech_proj!AM628)*tech_proj!AM908*$L$110))</f>
        <v>80.487657533872706</v>
      </c>
      <c r="AN848" s="69">
        <f>IF(tech_base!$T224&gt;AN$625,"",(1000*tech_proj!AN1188*(-PMT($J$110,tech_base!$F224,1))+1000*tech_proj!AN1468)/((1-tech_proj!AN628)*tech_proj!AN908*$L$110))</f>
        <v>80.557334398976778</v>
      </c>
      <c r="AO848" s="69">
        <f>IF(tech_base!$T224&gt;AO$625,"",(1000*tech_proj!AO1188*(-PMT($J$110,tech_base!$F224,1))+1000*tech_proj!AO1468)/((1-tech_proj!AO628)*tech_proj!AO908*$L$110))</f>
        <v>80.62612321998175</v>
      </c>
      <c r="AP848" s="69">
        <f>IF(tech_base!$T224&gt;AP$625,"",(1000*tech_proj!AP1188*(-PMT($J$110,tech_base!$F224,1))+1000*tech_proj!AP1468)/((1-tech_proj!AP628)*tech_proj!AP908*$L$110))</f>
        <v>80.694009119859061</v>
      </c>
      <c r="AQ848" s="69">
        <f>IF(tech_base!$T224&gt;AQ$625,"",(1000*tech_proj!AQ1188*(-PMT($J$110,tech_base!$F224,1))+1000*tech_proj!AQ1468)/((1-tech_proj!AQ628)*tech_proj!AQ908*$L$110))</f>
        <v>80.760978508976294</v>
      </c>
      <c r="AR848" s="69">
        <f>IF(tech_base!$T224&gt;AR$625,"",(1000*tech_proj!AR1188*(-PMT($J$110,tech_base!$F224,1))+1000*tech_proj!AR1468)/((1-tech_proj!AR628)*tech_proj!AR908*$L$110))</f>
        <v>80.827019069077593</v>
      </c>
      <c r="AS848" s="69">
        <f>IF(tech_base!$T224&gt;AS$625,"",(1000*tech_proj!AS1188*(-PMT($J$110,tech_base!$F224,1))+1000*tech_proj!AS1468)/((1-tech_proj!AS628)*tech_proj!AS908*$L$110))</f>
        <v>80.892119734602261</v>
      </c>
      <c r="AT848" s="69">
        <f>IF(tech_base!$T224&gt;AT$625,"",(1000*tech_proj!AT1188*(-PMT($J$110,tech_base!$F224,1))+1000*tech_proj!AT1468)/((1-tech_proj!AT628)*tech_proj!AT908*$L$110))</f>
        <v>80.956270671524166</v>
      </c>
      <c r="AU848" s="69">
        <f>IF(tech_base!$T224&gt;AU$625,"",(1000*tech_proj!AU1188*(-PMT($J$110,tech_base!$F224,1))+1000*tech_proj!AU1468)/((1-tech_proj!AU628)*tech_proj!AU908*$L$110))</f>
        <v>81.019463253896802</v>
      </c>
      <c r="AV848" s="69">
        <f>IF(tech_base!$T224&gt;AV$625,"",(1000*tech_proj!AV1188*(-PMT($J$110,tech_base!$F224,1))+1000*tech_proj!AV1468)/((1-tech_proj!AV628)*tech_proj!AV908*$L$110))</f>
        <v>81.081690038289651</v>
      </c>
      <c r="AW848" s="69">
        <f>IF(tech_base!$T224&gt;AW$625,"",(1000*tech_proj!AW1188*(-PMT($J$110,tech_base!$F224,1))+1000*tech_proj!AW1468)/((1-tech_proj!AW628)*tech_proj!AW908*$L$110))</f>
        <v>81.142944736302141</v>
      </c>
      <c r="AX848" s="235">
        <f>IF(tech_base!$T224&gt;AX$625,"",(1000*tech_proj!AX1188*(-PMT($J$110,tech_base!$F224,1))+1000*tech_proj!AX1468)/((1-tech_proj!AX628)*tech_proj!AX908*$L$110))</f>
        <v>81.203222185339598</v>
      </c>
    </row>
    <row r="849" spans="1:50" x14ac:dyDescent="0.25">
      <c r="A849" s="356"/>
      <c r="B849" s="376"/>
      <c r="C849" s="378"/>
      <c r="D849" s="2" t="s">
        <v>10</v>
      </c>
      <c r="E849" s="160" t="str">
        <f>A827&amp;"/"&amp;B847&amp;"/"&amp;C847&amp;"/"&amp;D849</f>
        <v>Biomass and waste fired power plants/Steam turbine/Electricity only/S</v>
      </c>
      <c r="F849" s="76" t="str">
        <f>A827</f>
        <v>Biomass and waste fired power plants</v>
      </c>
      <c r="G849" s="76" t="str">
        <f>B847</f>
        <v>Steam turbine</v>
      </c>
      <c r="H849" s="76" t="str">
        <f>C847</f>
        <v>Electricity only</v>
      </c>
      <c r="I849" s="161" t="str">
        <f t="shared" si="365"/>
        <v>S</v>
      </c>
      <c r="J849" s="69">
        <f>IF(tech_base!$T225&gt;J$625,"",(1000*tech_proj!J1189*(-PMT($J$110,tech_base!$F225,1))+1000*tech_proj!J1469)/((1-tech_proj!J629)*tech_proj!J909*$L$110))</f>
        <v>86.747497387036134</v>
      </c>
      <c r="K849" s="69">
        <f>IF(tech_base!$T225&gt;K$625,"",(1000*tech_proj!K1189*(-PMT($J$110,tech_base!$F225,1))+1000*tech_proj!K1469)/((1-tech_proj!K629)*tech_proj!K909*$L$110))</f>
        <v>86.824615562914573</v>
      </c>
      <c r="L849" s="69">
        <f>IF(tech_base!$T225&gt;L$625,"",(1000*tech_proj!L1189*(-PMT($J$110,tech_base!$F225,1))+1000*tech_proj!L1469)/((1-tech_proj!L629)*tech_proj!L909*$L$110))</f>
        <v>86.901778710791461</v>
      </c>
      <c r="M849" s="69">
        <f>IF(tech_base!$T225&gt;M$625,"",(1000*tech_proj!M1189*(-PMT($J$110,tech_base!$F225,1))+1000*tech_proj!M1469)/((1-tech_proj!M629)*tech_proj!M909*$L$110))</f>
        <v>86.978947059963573</v>
      </c>
      <c r="N849" s="69">
        <f>IF(tech_base!$T225&gt;N$625,"",(1000*tech_proj!N1189*(-PMT($J$110,tech_base!$F225,1))+1000*tech_proj!N1469)/((1-tech_proj!N629)*tech_proj!N909*$L$110))</f>
        <v>87.056080999431217</v>
      </c>
      <c r="O849" s="69">
        <f>IF(tech_base!$T225&gt;O$625,"",(1000*tech_proj!O1189*(-PMT($J$110,tech_base!$F225,1))+1000*tech_proj!O1469)/((1-tech_proj!O629)*tech_proj!O909*$L$110))</f>
        <v>87.133141155381352</v>
      </c>
      <c r="P849" s="69">
        <f>IF(tech_base!$T225&gt;P$625,"",(1000*tech_proj!P1189*(-PMT($J$110,tech_base!$F225,1))+1000*tech_proj!P1469)/((1-tech_proj!P629)*tech_proj!P909*$L$110))</f>
        <v>87.210088467236417</v>
      </c>
      <c r="Q849" s="69">
        <f>IF(tech_base!$T225&gt;Q$625,"",(1000*tech_proj!Q1189*(-PMT($J$110,tech_base!$F225,1))+1000*tech_proj!Q1469)/((1-tech_proj!Q629)*tech_proj!Q909*$L$110))</f>
        <v>87.286884261975018</v>
      </c>
      <c r="R849" s="69">
        <f>IF(tech_base!$T225&gt;R$625,"",(1000*tech_proj!R1189*(-PMT($J$110,tech_base!$F225,1))+1000*tech_proj!R1469)/((1-tech_proj!R629)*tech_proj!R909*$L$110))</f>
        <v>87.363490326444335</v>
      </c>
      <c r="S849" s="69">
        <f>IF(tech_base!$T225&gt;S$625,"",(1000*tech_proj!S1189*(-PMT($J$110,tech_base!$F225,1))+1000*tech_proj!S1469)/((1-tech_proj!S629)*tech_proj!S909*$L$110))</f>
        <v>87.439868977399669</v>
      </c>
      <c r="T849" s="69">
        <f>IF(tech_base!$T225&gt;T$625,"",(1000*tech_proj!T1189*(-PMT($J$110,tech_base!$F225,1))+1000*tech_proj!T1469)/((1-tech_proj!T629)*tech_proj!T909*$L$110))</f>
        <v>87.515983129023425</v>
      </c>
      <c r="U849" s="69">
        <f>IF(tech_base!$T225&gt;U$625,"",(1000*tech_proj!U1189*(-PMT($J$110,tech_base!$F225,1))+1000*tech_proj!U1469)/((1-tech_proj!U629)*tech_proj!U909*$L$110))</f>
        <v>87.591796357694463</v>
      </c>
      <c r="V849" s="69">
        <f>IF(tech_base!$T225&gt;V$625,"",(1000*tech_proj!V1189*(-PMT($J$110,tech_base!$F225,1))+1000*tech_proj!V1469)/((1-tech_proj!V629)*tech_proj!V909*$L$110))</f>
        <v>87.667272963797359</v>
      </c>
      <c r="W849" s="69">
        <f>IF(tech_base!$T225&gt;W$625,"",(1000*tech_proj!W1189*(-PMT($J$110,tech_base!$F225,1))+1000*tech_proj!W1469)/((1-tech_proj!W629)*tech_proj!W909*$L$110))</f>
        <v>87.742378030382881</v>
      </c>
      <c r="X849" s="69">
        <f>IF(tech_base!$T225&gt;X$625,"",(1000*tech_proj!X1189*(-PMT($J$110,tech_base!$F225,1))+1000*tech_proj!X1469)/((1-tech_proj!X629)*tech_proj!X909*$L$110))</f>
        <v>87.817077478510598</v>
      </c>
      <c r="Y849" s="69">
        <f>IF(tech_base!$T225&gt;Y$625,"",(1000*tech_proj!Y1189*(-PMT($J$110,tech_base!$F225,1))+1000*tech_proj!Y1469)/((1-tech_proj!Y629)*tech_proj!Y909*$L$110))</f>
        <v>87.89133811912744</v>
      </c>
      <c r="Z849" s="69">
        <f>IF(tech_base!$T225&gt;Z$625,"",(1000*tech_proj!Z1189*(-PMT($J$110,tech_base!$F225,1))+1000*tech_proj!Z1469)/((1-tech_proj!Z629)*tech_proj!Z909*$L$110))</f>
        <v>87.96512770135746</v>
      </c>
      <c r="AA849" s="69">
        <f>IF(tech_base!$T225&gt;AA$625,"",(1000*tech_proj!AA1189*(-PMT($J$110,tech_base!$F225,1))+1000*tech_proj!AA1469)/((1-tech_proj!AA629)*tech_proj!AA909*$L$110))</f>
        <v>88.038414957100159</v>
      </c>
      <c r="AB849" s="69">
        <f>IF(tech_base!$T225&gt;AB$625,"",(1000*tech_proj!AB1189*(-PMT($J$110,tech_base!$F225,1))+1000*tech_proj!AB1469)/((1-tech_proj!AB629)*tech_proj!AB909*$L$110))</f>
        <v>88.111169641857714</v>
      </c>
      <c r="AC849" s="69">
        <f>IF(tech_base!$T225&gt;AC$625,"",(1000*tech_proj!AC1189*(-PMT($J$110,tech_base!$F225,1))+1000*tech_proj!AC1469)/((1-tech_proj!AC629)*tech_proj!AC909*$L$110))</f>
        <v>88.183362571731962</v>
      </c>
      <c r="AD849" s="69">
        <f>IF(tech_base!$T225&gt;AD$625,"",(1000*tech_proj!AD1189*(-PMT($J$110,tech_base!$F225,1))+1000*tech_proj!AD1469)/((1-tech_proj!AD629)*tech_proj!AD909*$L$110))</f>
        <v>88.254965656555157</v>
      </c>
      <c r="AE849" s="69">
        <f>IF(tech_base!$T225&gt;AE$625,"",(1000*tech_proj!AE1189*(-PMT($J$110,tech_base!$F225,1))+1000*tech_proj!AE1469)/((1-tech_proj!AE629)*tech_proj!AE909*$L$110))</f>
        <v>88.325951929138498</v>
      </c>
      <c r="AF849" s="69">
        <f>IF(tech_base!$T225&gt;AF$625,"",(1000*tech_proj!AF1189*(-PMT($J$110,tech_base!$F225,1))+1000*tech_proj!AF1469)/((1-tech_proj!AF629)*tech_proj!AF909*$L$110))</f>
        <v>88.39629557064292</v>
      </c>
      <c r="AG849" s="69">
        <f>IF(tech_base!$T225&gt;AG$625,"",(1000*tech_proj!AG1189*(-PMT($J$110,tech_base!$F225,1))+1000*tech_proj!AG1469)/((1-tech_proj!AG629)*tech_proj!AG909*$L$110))</f>
        <v>88.465971932096465</v>
      </c>
      <c r="AH849" s="69">
        <f>IF(tech_base!$T225&gt;AH$625,"",(1000*tech_proj!AH1189*(-PMT($J$110,tech_base!$F225,1))+1000*tech_proj!AH1469)/((1-tech_proj!AH629)*tech_proj!AH909*$L$110))</f>
        <v>88.534957552100877</v>
      </c>
      <c r="AI849" s="69">
        <f>IF(tech_base!$T225&gt;AI$625,"",(1000*tech_proj!AI1189*(-PMT($J$110,tech_base!$F225,1))+1000*tech_proj!AI1469)/((1-tech_proj!AI629)*tech_proj!AI909*$L$110))</f>
        <v>88.603230170787569</v>
      </c>
      <c r="AJ849" s="69">
        <f>IF(tech_base!$T225&gt;AJ$625,"",(1000*tech_proj!AJ1189*(-PMT($J$110,tech_base!$F225,1))+1000*tech_proj!AJ1469)/((1-tech_proj!AJ629)*tech_proj!AJ909*$L$110))</f>
        <v>88.670768740099518</v>
      </c>
      <c r="AK849" s="69">
        <f>IF(tech_base!$T225&gt;AK$625,"",(1000*tech_proj!AK1189*(-PMT($J$110,tech_base!$F225,1))+1000*tech_proj!AK1469)/((1-tech_proj!AK629)*tech_proj!AK909*$L$110))</f>
        <v>88.737553430490976</v>
      </c>
      <c r="AL849" s="69">
        <f>IF(tech_base!$T225&gt;AL$625,"",(1000*tech_proj!AL1189*(-PMT($J$110,tech_base!$F225,1))+1000*tech_proj!AL1469)/((1-tech_proj!AL629)*tech_proj!AL909*$L$110))</f>
        <v>88.803565634150132</v>
      </c>
      <c r="AM849" s="69">
        <f>IF(tech_base!$T225&gt;AM$625,"",(1000*tech_proj!AM1189*(-PMT($J$110,tech_base!$F225,1))+1000*tech_proj!AM1469)/((1-tech_proj!AM629)*tech_proj!AM909*$L$110))</f>
        <v>88.868787964863657</v>
      </c>
      <c r="AN849" s="69">
        <f>IF(tech_base!$T225&gt;AN$625,"",(1000*tech_proj!AN1189*(-PMT($J$110,tech_base!$F225,1))+1000*tech_proj!AN1469)/((1-tech_proj!AN629)*tech_proj!AN909*$L$110))</f>
        <v>88.933204254651713</v>
      </c>
      <c r="AO849" s="69">
        <f>IF(tech_base!$T225&gt;AO$625,"",(1000*tech_proj!AO1189*(-PMT($J$110,tech_base!$F225,1))+1000*tech_proj!AO1469)/((1-tech_proj!AO629)*tech_proj!AO909*$L$110))</f>
        <v>88.996799547313287</v>
      </c>
      <c r="AP849" s="69">
        <f>IF(tech_base!$T225&gt;AP$625,"",(1000*tech_proj!AP1189*(-PMT($J$110,tech_base!$F225,1))+1000*tech_proj!AP1469)/((1-tech_proj!AP629)*tech_proj!AP909*$L$110))</f>
        <v>89.059560089029574</v>
      </c>
      <c r="AQ849" s="69">
        <f>IF(tech_base!$T225&gt;AQ$625,"",(1000*tech_proj!AQ1189*(-PMT($J$110,tech_base!$F225,1))+1000*tech_proj!AQ1469)/((1-tech_proj!AQ629)*tech_proj!AQ909*$L$110))</f>
        <v>89.121473316179816</v>
      </c>
      <c r="AR849" s="69">
        <f>IF(tech_base!$T225&gt;AR$625,"",(1000*tech_proj!AR1189*(-PMT($J$110,tech_base!$F225,1))+1000*tech_proj!AR1469)/((1-tech_proj!AR629)*tech_proj!AR909*$L$110))</f>
        <v>89.182527840531563</v>
      </c>
      <c r="AS849" s="69">
        <f>IF(tech_base!$T225&gt;AS$625,"",(1000*tech_proj!AS1189*(-PMT($J$110,tech_base!$F225,1))+1000*tech_proj!AS1469)/((1-tech_proj!AS629)*tech_proj!AS909*$L$110))</f>
        <v>89.242713431969548</v>
      </c>
      <c r="AT849" s="69">
        <f>IF(tech_base!$T225&gt;AT$625,"",(1000*tech_proj!AT1189*(-PMT($J$110,tech_base!$F225,1))+1000*tech_proj!AT1469)/((1-tech_proj!AT629)*tech_proj!AT909*$L$110))</f>
        <v>89.302020998932633</v>
      </c>
      <c r="AU849" s="69">
        <f>IF(tech_base!$T225&gt;AU$625,"",(1000*tech_proj!AU1189*(-PMT($J$110,tech_base!$F225,1))+1000*tech_proj!AU1469)/((1-tech_proj!AU629)*tech_proj!AU909*$L$110))</f>
        <v>89.360442566729816</v>
      </c>
      <c r="AV849" s="69">
        <f>IF(tech_base!$T225&gt;AV$625,"",(1000*tech_proj!AV1189*(-PMT($J$110,tech_base!$F225,1))+1000*tech_proj!AV1469)/((1-tech_proj!AV629)*tech_proj!AV909*$L$110))</f>
        <v>89.417971253906572</v>
      </c>
      <c r="AW849" s="69">
        <f>IF(tech_base!$T225&gt;AW$625,"",(1000*tech_proj!AW1189*(-PMT($J$110,tech_base!$F225,1))+1000*tech_proj!AW1469)/((1-tech_proj!AW629)*tech_proj!AW909*$L$110))</f>
        <v>89.474601246834055</v>
      </c>
      <c r="AX849" s="235">
        <f>IF(tech_base!$T225&gt;AX$625,"",(1000*tech_proj!AX1189*(-PMT($J$110,tech_base!$F225,1))+1000*tech_proj!AX1469)/((1-tech_proj!AX629)*tech_proj!AX909*$L$110))</f>
        <v>89.530327772691422</v>
      </c>
    </row>
    <row r="850" spans="1:50" x14ac:dyDescent="0.25">
      <c r="A850" s="356"/>
      <c r="B850" s="376"/>
      <c r="C850" s="379"/>
      <c r="D850" s="2" t="s">
        <v>20</v>
      </c>
      <c r="E850" s="160" t="str">
        <f>A827&amp;"/"&amp;B847&amp;"/"&amp;C847&amp;"/"&amp;D850</f>
        <v>Biomass and waste fired power plants/Steam turbine/Electricity only/XS</v>
      </c>
      <c r="F850" s="76" t="str">
        <f>A827</f>
        <v>Biomass and waste fired power plants</v>
      </c>
      <c r="G850" s="76" t="str">
        <f>B847</f>
        <v>Steam turbine</v>
      </c>
      <c r="H850" s="76" t="str">
        <f>C847</f>
        <v>Electricity only</v>
      </c>
      <c r="I850" s="161" t="str">
        <f t="shared" si="365"/>
        <v>XS</v>
      </c>
      <c r="J850" s="69">
        <f>IF(tech_base!$T226&gt;J$625,"",(1000*tech_proj!J1190*(-PMT($J$110,tech_base!$F226,1))+1000*tech_proj!J1470)/((1-tech_proj!J630)*tech_proj!J910*$L$110))</f>
        <v>104.53410136817314</v>
      </c>
      <c r="K850" s="69">
        <f>IF(tech_base!$T226&gt;K$625,"",(1000*tech_proj!K1190*(-PMT($J$110,tech_base!$F226,1))+1000*tech_proj!K1470)/((1-tech_proj!K630)*tech_proj!K910*$L$110))</f>
        <v>104.59569643814891</v>
      </c>
      <c r="L850" s="69">
        <f>IF(tech_base!$T226&gt;L$625,"",(1000*tech_proj!L1190*(-PMT($J$110,tech_base!$F226,1))+1000*tech_proj!L1470)/((1-tech_proj!L630)*tech_proj!L910*$L$110))</f>
        <v>104.65705064914499</v>
      </c>
      <c r="M850" s="69">
        <f>IF(tech_base!$T226&gt;M$625,"",(1000*tech_proj!M1190*(-PMT($J$110,tech_base!$F226,1))+1000*tech_proj!M1470)/((1-tech_proj!M630)*tech_proj!M910*$L$110))</f>
        <v>104.71813571200981</v>
      </c>
      <c r="N850" s="69">
        <f>IF(tech_base!$T226&gt;N$625,"",(1000*tech_proj!N1190*(-PMT($J$110,tech_base!$F226,1))+1000*tech_proj!N1470)/((1-tech_proj!N630)*tech_proj!N910*$L$110))</f>
        <v>104.77892392837661</v>
      </c>
      <c r="O850" s="69">
        <f>IF(tech_base!$T226&gt;O$625,"",(1000*tech_proj!O1190*(-PMT($J$110,tech_base!$F226,1))+1000*tech_proj!O1470)/((1-tech_proj!O630)*tech_proj!O910*$L$110))</f>
        <v>104.83938823490436</v>
      </c>
      <c r="P850" s="69">
        <f>IF(tech_base!$T226&gt;P$625,"",(1000*tech_proj!P1190*(-PMT($J$110,tech_base!$F226,1))+1000*tech_proj!P1470)/((1-tech_proj!P630)*tech_proj!P910*$L$110))</f>
        <v>104.89950224495168</v>
      </c>
      <c r="Q850" s="69">
        <f>IF(tech_base!$T226&gt;Q$625,"",(1000*tech_proj!Q1190*(-PMT($J$110,tech_base!$F226,1))+1000*tech_proj!Q1470)/((1-tech_proj!Q630)*tech_proj!Q910*$L$110))</f>
        <v>104.95924028757568</v>
      </c>
      <c r="R850" s="69">
        <f>IF(tech_base!$T226&gt;R$625,"",(1000*tech_proj!R1190*(-PMT($J$110,tech_base!$F226,1))+1000*tech_proj!R1470)/((1-tech_proj!R630)*tech_proj!R910*$L$110))</f>
        <v>105.01857744376363</v>
      </c>
      <c r="S850" s="69">
        <f>IF(tech_base!$T226&gt;S$625,"",(1000*tech_proj!S1190*(-PMT($J$110,tech_base!$F226,1))+1000*tech_proj!S1470)/((1-tech_proj!S630)*tech_proj!S910*$L$110))</f>
        <v>105.07748957982183</v>
      </c>
      <c r="T850" s="69">
        <f>IF(tech_base!$T226&gt;T$625,"",(1000*tech_proj!T1190*(-PMT($J$110,tech_base!$F226,1))+1000*tech_proj!T1470)/((1-tech_proj!T630)*tech_proj!T910*$L$110))</f>
        <v>105.13595337786272</v>
      </c>
      <c r="U850" s="69">
        <f>IF(tech_base!$T226&gt;U$625,"",(1000*tech_proj!U1190*(-PMT($J$110,tech_base!$F226,1))+1000*tech_proj!U1470)/((1-tech_proj!U630)*tech_proj!U910*$L$110))</f>
        <v>105.19394636334876</v>
      </c>
      <c r="V850" s="69">
        <f>IF(tech_base!$T226&gt;V$625,"",(1000*tech_proj!V1190*(-PMT($J$110,tech_base!$F226,1))+1000*tech_proj!V1470)/((1-tech_proj!V630)*tech_proj!V910*$L$110))</f>
        <v>105.25144692966616</v>
      </c>
      <c r="W850" s="69">
        <f>IF(tech_base!$T226&gt;W$625,"",(1000*tech_proj!W1190*(-PMT($J$110,tech_base!$F226,1))+1000*tech_proj!W1470)/((1-tech_proj!W630)*tech_proj!W910*$L$110))</f>
        <v>105.30843435971946</v>
      </c>
      <c r="X850" s="69">
        <f>IF(tech_base!$T226&gt;X$625,"",(1000*tech_proj!X1190*(-PMT($J$110,tech_base!$F226,1))+1000*tech_proj!X1470)/((1-tech_proj!X630)*tech_proj!X910*$L$110))</f>
        <v>105.36488884455096</v>
      </c>
      <c r="Y850" s="69">
        <f>IF(tech_base!$T226&gt;Y$625,"",(1000*tech_proj!Y1190*(-PMT($J$110,tech_base!$F226,1))+1000*tech_proj!Y1470)/((1-tech_proj!Y630)*tech_proj!Y910*$L$110))</f>
        <v>105.42079149900606</v>
      </c>
      <c r="Z850" s="69">
        <f>IF(tech_base!$T226&gt;Z$625,"",(1000*tech_proj!Z1190*(-PMT($J$110,tech_base!$F226,1))+1000*tech_proj!Z1470)/((1-tech_proj!Z630)*tech_proj!Z910*$L$110))</f>
        <v>105.47612437447765</v>
      </c>
      <c r="AA850" s="69">
        <f>IF(tech_base!$T226&gt;AA$625,"",(1000*tech_proj!AA1190*(-PMT($J$110,tech_base!$F226,1))+1000*tech_proj!AA1470)/((1-tech_proj!AA630)*tech_proj!AA910*$L$110))</f>
        <v>105.53087046877734</v>
      </c>
      <c r="AB850" s="69">
        <f>IF(tech_base!$T226&gt;AB$625,"",(1000*tech_proj!AB1190*(-PMT($J$110,tech_base!$F226,1))+1000*tech_proj!AB1470)/((1-tech_proj!AB630)*tech_proj!AB910*$L$110))</f>
        <v>105.58501373319271</v>
      </c>
      <c r="AC850" s="69">
        <f>IF(tech_base!$T226&gt;AC$625,"",(1000*tech_proj!AC1190*(-PMT($J$110,tech_base!$F226,1))+1000*tech_proj!AC1470)/((1-tech_proj!AC630)*tech_proj!AC910*$L$110))</f>
        <v>105.63853907680199</v>
      </c>
      <c r="AD850" s="69">
        <f>IF(tech_base!$T226&gt;AD$625,"",(1000*tech_proj!AD1190*(-PMT($J$110,tech_base!$F226,1))+1000*tech_proj!AD1470)/((1-tech_proj!AD630)*tech_proj!AD910*$L$110))</f>
        <v>105.69143236812725</v>
      </c>
      <c r="AE850" s="69">
        <f>IF(tech_base!$T226&gt;AE$625,"",(1000*tech_proj!AE1190*(-PMT($J$110,tech_base!$F226,1))+1000*tech_proj!AE1470)/((1-tech_proj!AE630)*tech_proj!AE910*$L$110))</f>
        <v>105.74368043421794</v>
      </c>
      <c r="AF850" s="69">
        <f>IF(tech_base!$T226&gt;AF$625,"",(1000*tech_proj!AF1190*(-PMT($J$110,tech_base!$F226,1))+1000*tech_proj!AF1470)/((1-tech_proj!AF630)*tech_proj!AF910*$L$110))</f>
        <v>105.79527105726356</v>
      </c>
      <c r="AG850" s="69">
        <f>IF(tech_base!$T226&gt;AG$625,"",(1000*tech_proj!AG1190*(-PMT($J$110,tech_base!$F226,1))+1000*tech_proj!AG1470)/((1-tech_proj!AG630)*tech_proj!AG910*$L$110))</f>
        <v>105.84619296884354</v>
      </c>
      <c r="AH850" s="69">
        <f>IF(tech_base!$T226&gt;AH$625,"",(1000*tech_proj!AH1190*(-PMT($J$110,tech_base!$F226,1))+1000*tech_proj!AH1470)/((1-tech_proj!AH630)*tech_proj!AH910*$L$110))</f>
        <v>105.89643584192694</v>
      </c>
      <c r="AI850" s="69">
        <f>IF(tech_base!$T226&gt;AI$625,"",(1000*tech_proj!AI1190*(-PMT($J$110,tech_base!$F226,1))+1000*tech_proj!AI1470)/((1-tech_proj!AI630)*tech_proj!AI910*$L$110))</f>
        <v>105.94599028074227</v>
      </c>
      <c r="AJ850" s="69">
        <f>IF(tech_base!$T226&gt;AJ$625,"",(1000*tech_proj!AJ1190*(-PMT($J$110,tech_base!$F226,1))+1000*tech_proj!AJ1470)/((1-tech_proj!AJ630)*tech_proj!AJ910*$L$110))</f>
        <v>105.99484780863973</v>
      </c>
      <c r="AK850" s="69">
        <f>IF(tech_base!$T226&gt;AK$625,"",(1000*tech_proj!AK1190*(-PMT($J$110,tech_base!$F226,1))+1000*tech_proj!AK1470)/((1-tech_proj!AK630)*tech_proj!AK910*$L$110))</f>
        <v>106.04300085407394</v>
      </c>
      <c r="AL850" s="69">
        <f>IF(tech_base!$T226&gt;AL$625,"",(1000*tech_proj!AL1190*(-PMT($J$110,tech_base!$F226,1))+1000*tech_proj!AL1470)/((1-tech_proj!AL630)*tech_proj!AL910*$L$110))</f>
        <v>106.09044273483629</v>
      </c>
      <c r="AM850" s="69">
        <f>IF(tech_base!$T226&gt;AM$625,"",(1000*tech_proj!AM1190*(-PMT($J$110,tech_base!$F226,1))+1000*tech_proj!AM1470)/((1-tech_proj!AM630)*tech_proj!AM910*$L$110))</f>
        <v>106.13716764066828</v>
      </c>
      <c r="AN850" s="69">
        <f>IF(tech_base!$T226&gt;AN$625,"",(1000*tech_proj!AN1190*(-PMT($J$110,tech_base!$F226,1))+1000*tech_proj!AN1470)/((1-tech_proj!AN630)*tech_proj!AN910*$L$110))</f>
        <v>106.18317061438805</v>
      </c>
      <c r="AO850" s="69">
        <f>IF(tech_base!$T226&gt;AO$625,"",(1000*tech_proj!AO1190*(-PMT($J$110,tech_base!$F226,1))+1000*tech_proj!AO1470)/((1-tech_proj!AO630)*tech_proj!AO910*$L$110))</f>
        <v>106.22844753166187</v>
      </c>
      <c r="AP850" s="69">
        <f>IF(tech_base!$T226&gt;AP$625,"",(1000*tech_proj!AP1190*(-PMT($J$110,tech_base!$F226,1))+1000*tech_proj!AP1470)/((1-tech_proj!AP630)*tech_proj!AP910*$L$110))</f>
        <v>106.27299507955222</v>
      </c>
      <c r="AQ850" s="69">
        <f>IF(tech_base!$T226&gt;AQ$625,"",(1000*tech_proj!AQ1190*(-PMT($J$110,tech_base!$F226,1))+1000*tech_proj!AQ1470)/((1-tech_proj!AQ630)*tech_proj!AQ910*$L$110))</f>
        <v>106.31681073397185</v>
      </c>
      <c r="AR850" s="69">
        <f>IF(tech_base!$T226&gt;AR$625,"",(1000*tech_proj!AR1190*(-PMT($J$110,tech_base!$F226,1))+1000*tech_proj!AR1470)/((1-tech_proj!AR630)*tech_proj!AR910*$L$110))</f>
        <v>106.35989273617196</v>
      </c>
      <c r="AS850" s="69">
        <f>IF(tech_base!$T226&gt;AS$625,"",(1000*tech_proj!AS1190*(-PMT($J$110,tech_base!$F226,1))+1000*tech_proj!AS1470)/((1-tech_proj!AS630)*tech_proj!AS910*$L$110))</f>
        <v>106.40224006838869</v>
      </c>
      <c r="AT850" s="69">
        <f>IF(tech_base!$T226&gt;AT$625,"",(1000*tech_proj!AT1190*(-PMT($J$110,tech_base!$F226,1))+1000*tech_proj!AT1470)/((1-tech_proj!AT630)*tech_proj!AT910*$L$110))</f>
        <v>106.44385242877067</v>
      </c>
      <c r="AU850" s="69">
        <f>IF(tech_base!$T226&gt;AU$625,"",(1000*tech_proj!AU1190*(-PMT($J$110,tech_base!$F226,1))+1000*tech_proj!AU1470)/((1-tech_proj!AU630)*tech_proj!AU910*$L$110))</f>
        <v>106.48473020570421</v>
      </c>
      <c r="AV850" s="69">
        <f>IF(tech_base!$T226&gt;AV$625,"",(1000*tech_proj!AV1190*(-PMT($J$110,tech_base!$F226,1))+1000*tech_proj!AV1470)/((1-tech_proj!AV630)*tech_proj!AV910*$L$110))</f>
        <v>106.52487445165121</v>
      </c>
      <c r="AW850" s="69">
        <f>IF(tech_base!$T226&gt;AW$625,"",(1000*tech_proj!AW1190*(-PMT($J$110,tech_base!$F226,1))+1000*tech_proj!AW1470)/((1-tech_proj!AW630)*tech_proj!AW910*$L$110))</f>
        <v>106.56428685660833</v>
      </c>
      <c r="AX850" s="235">
        <f>IF(tech_base!$T226&gt;AX$625,"",(1000*tech_proj!AX1190*(-PMT($J$110,tech_base!$F226,1))+1000*tech_proj!AX1470)/((1-tech_proj!AX630)*tech_proj!AX910*$L$110))</f>
        <v>106.60296972129211</v>
      </c>
    </row>
    <row r="851" spans="1:50" x14ac:dyDescent="0.25">
      <c r="A851" s="356"/>
      <c r="B851" s="376"/>
      <c r="C851" s="361" t="s">
        <v>14</v>
      </c>
      <c r="D851" s="58" t="s">
        <v>7</v>
      </c>
      <c r="E851" s="164" t="str">
        <f>A827&amp;"/"&amp;B847&amp;"/"&amp;C851&amp;"/"&amp;D851</f>
        <v>Biomass and waste fired power plants/Steam turbine/CHP/L</v>
      </c>
      <c r="F851" s="78" t="str">
        <f>A827</f>
        <v>Biomass and waste fired power plants</v>
      </c>
      <c r="G851" s="78" t="str">
        <f>B847</f>
        <v>Steam turbine</v>
      </c>
      <c r="H851" s="78" t="str">
        <f>C851</f>
        <v>CHP</v>
      </c>
      <c r="I851" s="165" t="str">
        <f t="shared" si="365"/>
        <v>L</v>
      </c>
      <c r="J851" s="71">
        <f>IF(tech_base!$T227&gt;J$625,"",(1000*tech_proj!J1191*(-PMT($J$110,tech_base!$F227,1))+1000*tech_proj!J1471)/((1-tech_proj!J631)*tech_proj!J911*$L$110))</f>
        <v>84.173921824007593</v>
      </c>
      <c r="K851" s="71">
        <f>IF(tech_base!$T227&gt;K$625,"",(1000*tech_proj!K1191*(-PMT($J$110,tech_base!$F227,1))+1000*tech_proj!K1471)/((1-tech_proj!K631)*tech_proj!K911*$L$110))</f>
        <v>84.248321330298324</v>
      </c>
      <c r="L851" s="71">
        <f>IF(tech_base!$T227&gt;L$625,"",(1000*tech_proj!L1191*(-PMT($J$110,tech_base!$F227,1))+1000*tech_proj!L1471)/((1-tech_proj!L631)*tech_proj!L911*$L$110))</f>
        <v>84.322614124858816</v>
      </c>
      <c r="M851" s="71">
        <f>IF(tech_base!$T227&gt;M$625,"",(1000*tech_proj!M1191*(-PMT($J$110,tech_base!$F227,1))+1000*tech_proj!M1471)/((1-tech_proj!M631)*tech_proj!M911*$L$110))</f>
        <v>84.396783387002671</v>
      </c>
      <c r="N851" s="71">
        <f>IF(tech_base!$T227&gt;N$625,"",(1000*tech_proj!N1191*(-PMT($J$110,tech_base!$F227,1))+1000*tech_proj!N1471)/((1-tech_proj!N631)*tech_proj!N911*$L$110))</f>
        <v>84.470812463285213</v>
      </c>
      <c r="O851" s="71">
        <f>IF(tech_base!$T227&gt;O$625,"",(1000*tech_proj!O1191*(-PMT($J$110,tech_base!$F227,1))+1000*tech_proj!O1471)/((1-tech_proj!O631)*tech_proj!O911*$L$110))</f>
        <v>84.544684880864196</v>
      </c>
      <c r="P851" s="71">
        <f>IF(tech_base!$T227&gt;P$625,"",(1000*tech_proj!P1191*(-PMT($J$110,tech_base!$F227,1))+1000*tech_proj!P1471)/((1-tech_proj!P631)*tech_proj!P911*$L$110))</f>
        <v>84.618384360473954</v>
      </c>
      <c r="Q851" s="71">
        <f>IF(tech_base!$T227&gt;Q$625,"",(1000*tech_proj!Q1191*(-PMT($J$110,tech_base!$F227,1))+1000*tech_proj!Q1471)/((1-tech_proj!Q631)*tech_proj!Q911*$L$110))</f>
        <v>84.691894828995558</v>
      </c>
      <c r="R851" s="71">
        <f>IF(tech_base!$T227&gt;R$625,"",(1000*tech_proj!R1191*(-PMT($J$110,tech_base!$F227,1))+1000*tech_proj!R1471)/((1-tech_proj!R631)*tech_proj!R911*$L$110))</f>
        <v>84.765200431605038</v>
      </c>
      <c r="S851" s="71">
        <f>IF(tech_base!$T227&gt;S$625,"",(1000*tech_proj!S1191*(-PMT($J$110,tech_base!$F227,1))+1000*tech_proj!S1471)/((1-tech_proj!S631)*tech_proj!S911*$L$110))</f>
        <v>84.838285543484275</v>
      </c>
      <c r="T851" s="71">
        <f>IF(tech_base!$T227&gt;T$625,"",(1000*tech_proj!T1191*(-PMT($J$110,tech_base!$F227,1))+1000*tech_proj!T1471)/((1-tech_proj!T631)*tech_proj!T911*$L$110))</f>
        <v>84.911134781079454</v>
      </c>
      <c r="U851" s="71">
        <f>IF(tech_base!$T227&gt;U$625,"",(1000*tech_proj!U1191*(-PMT($J$110,tech_base!$F227,1))+1000*tech_proj!U1471)/((1-tech_proj!U631)*tech_proj!U911*$L$110))</f>
        <v>84.98373301289439</v>
      </c>
      <c r="V851" s="71">
        <f>IF(tech_base!$T227&gt;V$625,"",(1000*tech_proj!V1191*(-PMT($J$110,tech_base!$F227,1))+1000*tech_proj!V1471)/((1-tech_proj!V631)*tech_proj!V911*$L$110))</f>
        <v>85.056065369806731</v>
      </c>
      <c r="W851" s="71">
        <f>IF(tech_base!$T227&gt;W$625,"",(1000*tech_proj!W1191*(-PMT($J$110,tech_base!$F227,1))+1000*tech_proj!W1471)/((1-tech_proj!W631)*tech_proj!W911*$L$110))</f>
        <v>85.128117254896239</v>
      </c>
      <c r="X851" s="71">
        <f>IF(tech_base!$T227&gt;X$625,"",(1000*tech_proj!X1191*(-PMT($J$110,tech_base!$F227,1))+1000*tech_proj!X1471)/((1-tech_proj!X631)*tech_proj!X911*$L$110))</f>
        <v>85.199874352776177</v>
      </c>
      <c r="Y851" s="71">
        <f>IF(tech_base!$T227&gt;Y$625,"",(1000*tech_proj!Y1191*(-PMT($J$110,tech_base!$F227,1))+1000*tech_proj!Y1471)/((1-tech_proj!Y631)*tech_proj!Y911*$L$110))</f>
        <v>85.271322638420244</v>
      </c>
      <c r="Z851" s="71">
        <f>IF(tech_base!$T227&gt;Z$625,"",(1000*tech_proj!Z1191*(-PMT($J$110,tech_base!$F227,1))+1000*tech_proj!Z1471)/((1-tech_proj!Z631)*tech_proj!Z911*$L$110))</f>
        <v>85.342448385478164</v>
      </c>
      <c r="AA851" s="71">
        <f>IF(tech_base!$T227&gt;AA$625,"",(1000*tech_proj!AA1191*(-PMT($J$110,tech_base!$F227,1))+1000*tech_proj!AA1471)/((1-tech_proj!AA631)*tech_proj!AA911*$L$110))</f>
        <v>85.413238174075147</v>
      </c>
      <c r="AB851" s="71">
        <f>IF(tech_base!$T227&gt;AB$625,"",(1000*tech_proj!AB1191*(-PMT($J$110,tech_base!$F227,1))+1000*tech_proj!AB1471)/((1-tech_proj!AB631)*tech_proj!AB911*$L$110))</f>
        <v>85.483678898091384</v>
      </c>
      <c r="AC851" s="71">
        <f>IF(tech_base!$T227&gt;AC$625,"",(1000*tech_proj!AC1191*(-PMT($J$110,tech_base!$F227,1))+1000*tech_proj!AC1471)/((1-tech_proj!AC631)*tech_proj!AC911*$L$110))</f>
        <v>85.55375777191901</v>
      </c>
      <c r="AD851" s="71">
        <f>IF(tech_base!$T227&gt;AD$625,"",(1000*tech_proj!AD1191*(-PMT($J$110,tech_base!$F227,1))+1000*tech_proj!AD1471)/((1-tech_proj!AD631)*tech_proj!AD911*$L$110))</f>
        <v>85.623462336695241</v>
      </c>
      <c r="AE851" s="71">
        <f>IF(tech_base!$T227&gt;AE$625,"",(1000*tech_proj!AE1191*(-PMT($J$110,tech_base!$F227,1))+1000*tech_proj!AE1471)/((1-tech_proj!AE631)*tech_proj!AE911*$L$110))</f>
        <v>85.692780466011968</v>
      </c>
      <c r="AF851" s="71">
        <f>IF(tech_base!$T227&gt;AF$625,"",(1000*tech_proj!AF1191*(-PMT($J$110,tech_base!$F227,1))+1000*tech_proj!AF1471)/((1-tech_proj!AF631)*tech_proj!AF911*$L$110))</f>
        <v>85.761700371102833</v>
      </c>
      <c r="AG851" s="71">
        <f>IF(tech_base!$T227&gt;AG$625,"",(1000*tech_proj!AG1191*(-PMT($J$110,tech_base!$F227,1))+1000*tech_proj!AG1471)/((1-tech_proj!AG631)*tech_proj!AG911*$L$110))</f>
        <v>85.830210605509976</v>
      </c>
      <c r="AH851" s="71">
        <f>IF(tech_base!$T227&gt;AH$625,"",(1000*tech_proj!AH1191*(-PMT($J$110,tech_base!$F227,1))+1000*tech_proj!AH1471)/((1-tech_proj!AH631)*tech_proj!AH911*$L$110))</f>
        <v>85.898300069234693</v>
      </c>
      <c r="AI851" s="71">
        <f>IF(tech_base!$T227&gt;AI$625,"",(1000*tech_proj!AI1191*(-PMT($J$110,tech_base!$F227,1))+1000*tech_proj!AI1471)/((1-tech_proj!AI631)*tech_proj!AI911*$L$110))</f>
        <v>85.965958012375665</v>
      </c>
      <c r="AJ851" s="71">
        <f>IF(tech_base!$T227&gt;AJ$625,"",(1000*tech_proj!AJ1191*(-PMT($J$110,tech_base!$F227,1))+1000*tech_proj!AJ1471)/((1-tech_proj!AJ631)*tech_proj!AJ911*$L$110))</f>
        <v>86.033174038261151</v>
      </c>
      <c r="AK851" s="71">
        <f>IF(tech_base!$T227&gt;AK$625,"",(1000*tech_proj!AK1191*(-PMT($J$110,tech_base!$F227,1))+1000*tech_proj!AK1471)/((1-tech_proj!AK631)*tech_proj!AK911*$L$110))</f>
        <v>86.099938106081396</v>
      </c>
      <c r="AL851" s="71">
        <f>IF(tech_base!$T227&gt;AL$625,"",(1000*tech_proj!AL1191*(-PMT($J$110,tech_base!$F227,1))+1000*tech_proj!AL1471)/((1-tech_proj!AL631)*tech_proj!AL911*$L$110))</f>
        <v>86.16624053302904</v>
      </c>
      <c r="AM851" s="71">
        <f>IF(tech_base!$T227&gt;AM$625,"",(1000*tech_proj!AM1191*(-PMT($J$110,tech_base!$F227,1))+1000*tech_proj!AM1471)/((1-tech_proj!AM631)*tech_proj!AM911*$L$110))</f>
        <v>86.232071995955863</v>
      </c>
      <c r="AN851" s="71">
        <f>IF(tech_base!$T227&gt;AN$625,"",(1000*tech_proj!AN1191*(-PMT($J$110,tech_base!$F227,1))+1000*tech_proj!AN1471)/((1-tech_proj!AN631)*tech_proj!AN911*$L$110))</f>
        <v>86.297423532555186</v>
      </c>
      <c r="AO851" s="71">
        <f>IF(tech_base!$T227&gt;AO$625,"",(1000*tech_proj!AO1191*(-PMT($J$110,tech_base!$F227,1))+1000*tech_proj!AO1471)/((1-tech_proj!AO631)*tech_proj!AO911*$L$110))</f>
        <v>86.362286542080284</v>
      </c>
      <c r="AP851" s="71">
        <f>IF(tech_base!$T227&gt;AP$625,"",(1000*tech_proj!AP1191*(-PMT($J$110,tech_base!$F227,1))+1000*tech_proj!AP1471)/((1-tech_proj!AP631)*tech_proj!AP911*$L$110))</f>
        <v>86.426652785609079</v>
      </c>
      <c r="AQ851" s="71">
        <f>IF(tech_base!$T227&gt;AQ$625,"",(1000*tech_proj!AQ1191*(-PMT($J$110,tech_base!$F227,1))+1000*tech_proj!AQ1471)/((1-tech_proj!AQ631)*tech_proj!AQ911*$L$110))</f>
        <v>86.490514385867471</v>
      </c>
      <c r="AR851" s="71">
        <f>IF(tech_base!$T227&gt;AR$625,"",(1000*tech_proj!AR1191*(-PMT($J$110,tech_base!$F227,1))+1000*tech_proj!AR1471)/((1-tech_proj!AR631)*tech_proj!AR911*$L$110))</f>
        <v>86.553863826622447</v>
      </c>
      <c r="AS851" s="71">
        <f>IF(tech_base!$T227&gt;AS$625,"",(1000*tech_proj!AS1191*(-PMT($J$110,tech_base!$F227,1))+1000*tech_proj!AS1471)/((1-tech_proj!AS631)*tech_proj!AS911*$L$110))</f>
        <v>86.616693951658561</v>
      </c>
      <c r="AT851" s="71">
        <f>IF(tech_base!$T227&gt;AT$625,"",(1000*tech_proj!AT1191*(-PMT($J$110,tech_base!$F227,1))+1000*tech_proj!AT1471)/((1-tech_proj!AT631)*tech_proj!AT911*$L$110))</f>
        <v>86.678997963350199</v>
      </c>
      <c r="AU851" s="71">
        <f>IF(tech_base!$T227&gt;AU$625,"",(1000*tech_proj!AU1191*(-PMT($J$110,tech_base!$F227,1))+1000*tech_proj!AU1471)/((1-tech_proj!AU631)*tech_proj!AU911*$L$110))</f>
        <v>86.740769420844146</v>
      </c>
      <c r="AV851" s="71">
        <f>IF(tech_base!$T227&gt;AV$625,"",(1000*tech_proj!AV1191*(-PMT($J$110,tech_base!$F227,1))+1000*tech_proj!AV1471)/((1-tech_proj!AV631)*tech_proj!AV911*$L$110))</f>
        <v>86.802002237865707</v>
      </c>
      <c r="AW851" s="71">
        <f>IF(tech_base!$T227&gt;AW$625,"",(1000*tech_proj!AW1191*(-PMT($J$110,tech_base!$F227,1))+1000*tech_proj!AW1471)/((1-tech_proj!AW631)*tech_proj!AW911*$L$110))</f>
        <v>86.862690680163141</v>
      </c>
      <c r="AX851" s="237">
        <f>IF(tech_base!$T227&gt;AX$625,"",(1000*tech_proj!AX1191*(-PMT($J$110,tech_base!$F227,1))+1000*tech_proj!AX1471)/((1-tech_proj!AX631)*tech_proj!AX911*$L$110))</f>
        <v>86.922829362605299</v>
      </c>
    </row>
    <row r="852" spans="1:50" x14ac:dyDescent="0.25">
      <c r="A852" s="356"/>
      <c r="B852" s="376"/>
      <c r="C852" s="378"/>
      <c r="D852" s="2" t="s">
        <v>8</v>
      </c>
      <c r="E852" s="160" t="str">
        <f>A827&amp;"/"&amp;B847&amp;"/"&amp;C851&amp;"/"&amp;D852</f>
        <v>Biomass and waste fired power plants/Steam turbine/CHP/M</v>
      </c>
      <c r="F852" s="76" t="str">
        <f>A827</f>
        <v>Biomass and waste fired power plants</v>
      </c>
      <c r="G852" s="76" t="str">
        <f>B847</f>
        <v>Steam turbine</v>
      </c>
      <c r="H852" s="76" t="str">
        <f>C851</f>
        <v>CHP</v>
      </c>
      <c r="I852" s="161" t="str">
        <f t="shared" si="365"/>
        <v>M</v>
      </c>
      <c r="J852" s="69">
        <f>IF(tech_base!$T228&gt;J$625,"",(1000*tech_proj!J1192*(-PMT($J$110,tech_base!$F228,1))+1000*tech_proj!J1472)/((1-tech_proj!J632)*tech_proj!J912*$L$110))</f>
        <v>90.334827862607511</v>
      </c>
      <c r="K852" s="69">
        <f>IF(tech_base!$T228&gt;K$625,"",(1000*tech_proj!K1192*(-PMT($J$110,tech_base!$F228,1))+1000*tech_proj!K1472)/((1-tech_proj!K632)*tech_proj!K912*$L$110))</f>
        <v>90.385164812207336</v>
      </c>
      <c r="L852" s="69">
        <f>IF(tech_base!$T228&gt;L$625,"",(1000*tech_proj!L1192*(-PMT($J$110,tech_base!$F228,1))+1000*tech_proj!L1472)/((1-tech_proj!L632)*tech_proj!L912*$L$110))</f>
        <v>90.43530442732299</v>
      </c>
      <c r="M852" s="69">
        <f>IF(tech_base!$T228&gt;M$625,"",(1000*tech_proj!M1192*(-PMT($J$110,tech_base!$F228,1))+1000*tech_proj!M1472)/((1-tech_proj!M632)*tech_proj!M912*$L$110))</f>
        <v>90.485236991190874</v>
      </c>
      <c r="N852" s="69">
        <f>IF(tech_base!$T228&gt;N$625,"",(1000*tech_proj!N1192*(-PMT($J$110,tech_base!$F228,1))+1000*tech_proj!N1472)/((1-tech_proj!N632)*tech_proj!N912*$L$110))</f>
        <v>90.534952980636135</v>
      </c>
      <c r="O852" s="69">
        <f>IF(tech_base!$T228&gt;O$625,"",(1000*tech_proj!O1192*(-PMT($J$110,tech_base!$F228,1))+1000*tech_proj!O1472)/((1-tech_proj!O632)*tech_proj!O912*$L$110))</f>
        <v>90.584443071765719</v>
      </c>
      <c r="P852" s="69">
        <f>IF(tech_base!$T228&gt;P$625,"",(1000*tech_proj!P1192*(-PMT($J$110,tech_base!$F228,1))+1000*tech_proj!P1472)/((1-tech_proj!P632)*tech_proj!P912*$L$110))</f>
        <v>90.633698145324118</v>
      </c>
      <c r="Q852" s="69">
        <f>IF(tech_base!$T228&gt;Q$625,"",(1000*tech_proj!Q1192*(-PMT($J$110,tech_base!$F228,1))+1000*tech_proj!Q1472)/((1-tech_proj!Q632)*tech_proj!Q912*$L$110))</f>
        <v>90.682709291708704</v>
      </c>
      <c r="R852" s="69">
        <f>IF(tech_base!$T228&gt;R$625,"",(1000*tech_proj!R1192*(-PMT($J$110,tech_base!$F228,1))+1000*tech_proj!R1472)/((1-tech_proj!R632)*tech_proj!R912*$L$110))</f>
        <v>90.731467815642233</v>
      </c>
      <c r="S852" s="69">
        <f>IF(tech_base!$T228&gt;S$625,"",(1000*tech_proj!S1192*(-PMT($J$110,tech_base!$F228,1))+1000*tech_proj!S1472)/((1-tech_proj!S632)*tech_proj!S912*$L$110))</f>
        <v>90.779965240500985</v>
      </c>
      <c r="T852" s="69">
        <f>IF(tech_base!$T228&gt;T$625,"",(1000*tech_proj!T1192*(-PMT($J$110,tech_base!$F228,1))+1000*tech_proj!T1472)/((1-tech_proj!T632)*tech_proj!T912*$L$110))</f>
        <v>90.828193312297913</v>
      </c>
      <c r="U852" s="69">
        <f>IF(tech_base!$T228&gt;U$625,"",(1000*tech_proj!U1192*(-PMT($J$110,tech_base!$F228,1))+1000*tech_proj!U1472)/((1-tech_proj!U632)*tech_proj!U912*$L$110))</f>
        <v>90.876144003320618</v>
      </c>
      <c r="V852" s="69">
        <f>IF(tech_base!$T228&gt;V$625,"",(1000*tech_proj!V1192*(-PMT($J$110,tech_base!$F228,1))+1000*tech_proj!V1472)/((1-tech_proj!V632)*tech_proj!V912*$L$110))</f>
        <v>90.923809515425404</v>
      </c>
      <c r="W852" s="69">
        <f>IF(tech_base!$T228&gt;W$625,"",(1000*tech_proj!W1192*(-PMT($J$110,tech_base!$F228,1))+1000*tech_proj!W1472)/((1-tech_proj!W632)*tech_proj!W912*$L$110))</f>
        <v>90.971182282988664</v>
      </c>
      <c r="X852" s="69">
        <f>IF(tech_base!$T228&gt;X$625,"",(1000*tech_proj!X1192*(-PMT($J$110,tech_base!$F228,1))+1000*tech_proj!X1472)/((1-tech_proj!X632)*tech_proj!X912*$L$110))</f>
        <v>91.018254975518175</v>
      </c>
      <c r="Y852" s="69">
        <f>IF(tech_base!$T228&gt;Y$625,"",(1000*tech_proj!Y1192*(-PMT($J$110,tech_base!$F228,1))+1000*tech_proj!Y1472)/((1-tech_proj!Y632)*tech_proj!Y912*$L$110))</f>
        <v>91.065020499927471</v>
      </c>
      <c r="Z852" s="69">
        <f>IF(tech_base!$T228&gt;Z$625,"",(1000*tech_proj!Z1192*(-PMT($J$110,tech_base!$F228,1))+1000*tech_proj!Z1472)/((1-tech_proj!Z632)*tech_proj!Z912*$L$110))</f>
        <v>91.111472002476461</v>
      </c>
      <c r="AA852" s="69">
        <f>IF(tech_base!$T228&gt;AA$625,"",(1000*tech_proj!AA1192*(-PMT($J$110,tech_base!$F228,1))+1000*tech_proj!AA1472)/((1-tech_proj!AA632)*tech_proj!AA912*$L$110))</f>
        <v>91.15760287038367</v>
      </c>
      <c r="AB852" s="69">
        <f>IF(tech_base!$T228&gt;AB$625,"",(1000*tech_proj!AB1192*(-PMT($J$110,tech_base!$F228,1))+1000*tech_proj!AB1472)/((1-tech_proj!AB632)*tech_proj!AB912*$L$110))</f>
        <v>91.203406733113965</v>
      </c>
      <c r="AC852" s="69">
        <f>IF(tech_base!$T228&gt;AC$625,"",(1000*tech_proj!AC1192*(-PMT($J$110,tech_base!$F228,1))+1000*tech_proj!AC1472)/((1-tech_proj!AC632)*tech_proj!AC912*$L$110))</f>
        <v>91.24887746334835</v>
      </c>
      <c r="AD852" s="69">
        <f>IF(tech_base!$T228&gt;AD$625,"",(1000*tech_proj!AD1192*(-PMT($J$110,tech_base!$F228,1))+1000*tech_proj!AD1472)/((1-tech_proj!AD632)*tech_proj!AD912*$L$110))</f>
        <v>91.294009177641328</v>
      </c>
      <c r="AE852" s="69">
        <f>IF(tech_base!$T228&gt;AE$625,"",(1000*tech_proj!AE1192*(-PMT($J$110,tech_base!$F228,1))+1000*tech_proj!AE1472)/((1-tech_proj!AE632)*tech_proj!AE912*$L$110))</f>
        <v>91.338796236772708</v>
      </c>
      <c r="AF852" s="69">
        <f>IF(tech_base!$T228&gt;AF$625,"",(1000*tech_proj!AF1192*(-PMT($J$110,tech_base!$F228,1))+1000*tech_proj!AF1472)/((1-tech_proj!AF632)*tech_proj!AF912*$L$110))</f>
        <v>91.383233245800966</v>
      </c>
      <c r="AG852" s="69">
        <f>IF(tech_base!$T228&gt;AG$625,"",(1000*tech_proj!AG1192*(-PMT($J$110,tech_base!$F228,1))+1000*tech_proj!AG1472)/((1-tech_proj!AG632)*tech_proj!AG912*$L$110))</f>
        <v>91.427315053825765</v>
      </c>
      <c r="AH852" s="69">
        <f>IF(tech_base!$T228&gt;AH$625,"",(1000*tech_proj!AH1192*(-PMT($J$110,tech_base!$F228,1))+1000*tech_proj!AH1472)/((1-tech_proj!AH632)*tech_proj!AH912*$L$110))</f>
        <v>91.471036753467487</v>
      </c>
      <c r="AI852" s="69">
        <f>IF(tech_base!$T228&gt;AI$625,"",(1000*tech_proj!AI1192*(-PMT($J$110,tech_base!$F228,1))+1000*tech_proj!AI1472)/((1-tech_proj!AI632)*tech_proj!AI912*$L$110))</f>
        <v>91.514393680072345</v>
      </c>
      <c r="AJ852" s="69">
        <f>IF(tech_base!$T228&gt;AJ$625,"",(1000*tech_proj!AJ1192*(-PMT($J$110,tech_base!$F228,1))+1000*tech_proj!AJ1472)/((1-tech_proj!AJ632)*tech_proj!AJ912*$L$110))</f>
        <v>91.557381410651487</v>
      </c>
      <c r="AK852" s="69">
        <f>IF(tech_base!$T228&gt;AK$625,"",(1000*tech_proj!AK1192*(-PMT($J$110,tech_base!$F228,1))+1000*tech_proj!AK1472)/((1-tech_proj!AK632)*tech_proj!AK912*$L$110))</f>
        <v>91.59999576256331</v>
      </c>
      <c r="AL852" s="69">
        <f>IF(tech_base!$T228&gt;AL$625,"",(1000*tech_proj!AL1192*(-PMT($J$110,tech_base!$F228,1))+1000*tech_proj!AL1472)/((1-tech_proj!AL632)*tech_proj!AL912*$L$110))</f>
        <v>91.642232791948089</v>
      </c>
      <c r="AM852" s="69">
        <f>IF(tech_base!$T228&gt;AM$625,"",(1000*tech_proj!AM1192*(-PMT($J$110,tech_base!$F228,1))+1000*tech_proj!AM1472)/((1-tech_proj!AM632)*tech_proj!AM912*$L$110))</f>
        <v>91.684088791924552</v>
      </c>
      <c r="AN852" s="69">
        <f>IF(tech_base!$T228&gt;AN$625,"",(1000*tech_proj!AN1192*(-PMT($J$110,tech_base!$F228,1))+1000*tech_proj!AN1472)/((1-tech_proj!AN632)*tech_proj!AN912*$L$110))</f>
        <v>91.725560290557809</v>
      </c>
      <c r="AO852" s="69">
        <f>IF(tech_base!$T228&gt;AO$625,"",(1000*tech_proj!AO1192*(-PMT($J$110,tech_base!$F228,1))+1000*tech_proj!AO1472)/((1-tech_proj!AO632)*tech_proj!AO912*$L$110))</f>
        <v>91.766644048608953</v>
      </c>
      <c r="AP852" s="69">
        <f>IF(tech_base!$T228&gt;AP$625,"",(1000*tech_proj!AP1192*(-PMT($J$110,tech_base!$F228,1))+1000*tech_proj!AP1472)/((1-tech_proj!AP632)*tech_proj!AP912*$L$110))</f>
        <v>91.807337057075685</v>
      </c>
      <c r="AQ852" s="69">
        <f>IF(tech_base!$T228&gt;AQ$625,"",(1000*tech_proj!AQ1192*(-PMT($J$110,tech_base!$F228,1))+1000*tech_proj!AQ1472)/((1-tech_proj!AQ632)*tech_proj!AQ912*$L$110))</f>
        <v>91.847636534534757</v>
      </c>
      <c r="AR852" s="69">
        <f>IF(tech_base!$T228&gt;AR$625,"",(1000*tech_proj!AR1192*(-PMT($J$110,tech_base!$F228,1))+1000*tech_proj!AR1472)/((1-tech_proj!AR632)*tech_proj!AR912*$L$110))</f>
        <v>91.887539924295538</v>
      </c>
      <c r="AS852" s="69">
        <f>IF(tech_base!$T228&gt;AS$625,"",(1000*tech_proj!AS1192*(-PMT($J$110,tech_base!$F228,1))+1000*tech_proj!AS1472)/((1-tech_proj!AS632)*tech_proj!AS912*$L$110))</f>
        <v>91.927044891375758</v>
      </c>
      <c r="AT852" s="69">
        <f>IF(tech_base!$T228&gt;AT$625,"",(1000*tech_proj!AT1192*(-PMT($J$110,tech_base!$F228,1))+1000*tech_proj!AT1472)/((1-tech_proj!AT632)*tech_proj!AT912*$L$110))</f>
        <v>91.966149319308954</v>
      </c>
      <c r="AU852" s="69">
        <f>IF(tech_base!$T228&gt;AU$625,"",(1000*tech_proj!AU1192*(-PMT($J$110,tech_base!$F228,1))+1000*tech_proj!AU1472)/((1-tech_proj!AU632)*tech_proj!AU912*$L$110))</f>
        <v>92.004851306794222</v>
      </c>
      <c r="AV852" s="69">
        <f>IF(tech_base!$T228&gt;AV$625,"",(1000*tech_proj!AV1192*(-PMT($J$110,tech_base!$F228,1))+1000*tech_proj!AV1472)/((1-tech_proj!AV632)*tech_proj!AV912*$L$110))</f>
        <v>92.043149164197999</v>
      </c>
      <c r="AW852" s="69">
        <f>IF(tech_base!$T228&gt;AW$625,"",(1000*tech_proj!AW1192*(-PMT($J$110,tech_base!$F228,1))+1000*tech_proj!AW1472)/((1-tech_proj!AW632)*tech_proj!AW912*$L$110))</f>
        <v>92.081041409918612</v>
      </c>
      <c r="AX852" s="235">
        <f>IF(tech_base!$T228&gt;AX$625,"",(1000*tech_proj!AX1192*(-PMT($J$110,tech_base!$F228,1))+1000*tech_proj!AX1472)/((1-tech_proj!AX632)*tech_proj!AX912*$L$110))</f>
        <v>92.118526766622637</v>
      </c>
    </row>
    <row r="853" spans="1:50" x14ac:dyDescent="0.25">
      <c r="A853" s="356"/>
      <c r="B853" s="376"/>
      <c r="C853" s="378"/>
      <c r="D853" s="2" t="s">
        <v>10</v>
      </c>
      <c r="E853" s="160" t="str">
        <f>A827&amp;"/"&amp;B847&amp;"/"&amp;C851&amp;"/"&amp;D853</f>
        <v>Biomass and waste fired power plants/Steam turbine/CHP/S</v>
      </c>
      <c r="F853" s="76" t="str">
        <f>A827</f>
        <v>Biomass and waste fired power plants</v>
      </c>
      <c r="G853" s="76" t="str">
        <f>B847</f>
        <v>Steam turbine</v>
      </c>
      <c r="H853" s="76" t="str">
        <f>C851</f>
        <v>CHP</v>
      </c>
      <c r="I853" s="161" t="str">
        <f t="shared" si="365"/>
        <v>S</v>
      </c>
      <c r="J853" s="69">
        <f>IF(tech_base!$T229&gt;J$625,"",(1000*tech_proj!J1193*(-PMT($J$110,tech_base!$F229,1))+1000*tech_proj!J1473)/((1-tech_proj!J633)*tech_proj!J913*$L$110))</f>
        <v>99.310614827179833</v>
      </c>
      <c r="K853" s="69">
        <f>IF(tech_base!$T229&gt;K$625,"",(1000*tech_proj!K1193*(-PMT($J$110,tech_base!$F229,1))+1000*tech_proj!K1473)/((1-tech_proj!K633)*tech_proj!K913*$L$110))</f>
        <v>99.348122662602691</v>
      </c>
      <c r="L853" s="69">
        <f>IF(tech_base!$T229&gt;L$625,"",(1000*tech_proj!L1193*(-PMT($J$110,tech_base!$F229,1))+1000*tech_proj!L1473)/((1-tech_proj!L633)*tech_proj!L913*$L$110))</f>
        <v>99.385385666759149</v>
      </c>
      <c r="M853" s="69">
        <f>IF(tech_base!$T229&gt;M$625,"",(1000*tech_proj!M1193*(-PMT($J$110,tech_base!$F229,1))+1000*tech_proj!M1473)/((1-tech_proj!M633)*tech_proj!M913*$L$110))</f>
        <v>99.422398484609616</v>
      </c>
      <c r="N853" s="69">
        <f>IF(tech_base!$T229&gt;N$625,"",(1000*tech_proj!N1193*(-PMT($J$110,tech_base!$F229,1))+1000*tech_proj!N1473)/((1-tech_proj!N633)*tech_proj!N913*$L$110))</f>
        <v>99.459155947186829</v>
      </c>
      <c r="O853" s="69">
        <f>IF(tech_base!$T229&gt;O$625,"",(1000*tech_proj!O1193*(-PMT($J$110,tech_base!$F229,1))+1000*tech_proj!O1473)/((1-tech_proj!O633)*tech_proj!O913*$L$110))</f>
        <v>99.495653072706304</v>
      </c>
      <c r="P853" s="69">
        <f>IF(tech_base!$T229&gt;P$625,"",(1000*tech_proj!P1193*(-PMT($J$110,tech_base!$F229,1))+1000*tech_proj!P1473)/((1-tech_proj!P633)*tech_proj!P913*$L$110))</f>
        <v>99.531885067432157</v>
      </c>
      <c r="Q853" s="69">
        <f>IF(tech_base!$T229&gt;Q$625,"",(1000*tech_proj!Q1193*(-PMT($J$110,tech_base!$F229,1))+1000*tech_proj!Q1473)/((1-tech_proj!Q633)*tech_proj!Q913*$L$110))</f>
        <v>99.567847326302498</v>
      </c>
      <c r="R853" s="69">
        <f>IF(tech_base!$T229&gt;R$625,"",(1000*tech_proj!R1193*(-PMT($J$110,tech_base!$F229,1))+1000*tech_proj!R1473)/((1-tech_proj!R633)*tech_proj!R913*$L$110))</f>
        <v>99.603535433318712</v>
      </c>
      <c r="S853" s="69">
        <f>IF(tech_base!$T229&gt;S$625,"",(1000*tech_proj!S1193*(-PMT($J$110,tech_base!$F229,1))+1000*tech_proj!S1473)/((1-tech_proj!S633)*tech_proj!S913*$L$110))</f>
        <v>99.638945161704441</v>
      </c>
      <c r="T853" s="69">
        <f>IF(tech_base!$T229&gt;T$625,"",(1000*tech_proj!T1193*(-PMT($J$110,tech_base!$F229,1))+1000*tech_proj!T1473)/((1-tech_proj!T633)*tech_proj!T913*$L$110))</f>
        <v>99.674072473838848</v>
      </c>
      <c r="U853" s="69">
        <f>IF(tech_base!$T229&gt;U$625,"",(1000*tech_proj!U1193*(-PMT($J$110,tech_base!$F229,1))+1000*tech_proj!U1473)/((1-tech_proj!U633)*tech_proj!U913*$L$110))</f>
        <v>99.708913520970526</v>
      </c>
      <c r="V853" s="69">
        <f>IF(tech_base!$T229&gt;V$625,"",(1000*tech_proj!V1193*(-PMT($J$110,tech_base!$F229,1))+1000*tech_proj!V1473)/((1-tech_proj!V633)*tech_proj!V913*$L$110))</f>
        <v>99.743464642717996</v>
      </c>
      <c r="W853" s="69">
        <f>IF(tech_base!$T229&gt;W$625,"",(1000*tech_proj!W1193*(-PMT($J$110,tech_base!$F229,1))+1000*tech_proj!W1473)/((1-tech_proj!W633)*tech_proj!W913*$L$110))</f>
        <v>99.777722366362525</v>
      </c>
      <c r="X853" s="69">
        <f>IF(tech_base!$T229&gt;X$625,"",(1000*tech_proj!X1193*(-PMT($J$110,tech_base!$F229,1))+1000*tech_proj!X1473)/((1-tech_proj!X633)*tech_proj!X913*$L$110))</f>
        <v>99.81168340594111</v>
      </c>
      <c r="Y853" s="69">
        <f>IF(tech_base!$T229&gt;Y$625,"",(1000*tech_proj!Y1193*(-PMT($J$110,tech_base!$F229,1))+1000*tech_proj!Y1473)/((1-tech_proj!Y633)*tech_proj!Y913*$L$110))</f>
        <v>99.845344661145006</v>
      </c>
      <c r="Z853" s="69">
        <f>IF(tech_base!$T229&gt;Z$625,"",(1000*tech_proj!Z1193*(-PMT($J$110,tech_base!$F229,1))+1000*tech_proj!Z1473)/((1-tech_proj!Z633)*tech_proj!Z913*$L$110))</f>
        <v>99.878703216031909</v>
      </c>
      <c r="AA853" s="69">
        <f>IF(tech_base!$T229&gt;AA$625,"",(1000*tech_proj!AA1193*(-PMT($J$110,tech_base!$F229,1))+1000*tech_proj!AA1473)/((1-tech_proj!AA633)*tech_proj!AA913*$L$110))</f>
        <v>99.911756337558359</v>
      </c>
      <c r="AB853" s="69">
        <f>IF(tech_base!$T229&gt;AB$625,"",(1000*tech_proj!AB1193*(-PMT($J$110,tech_base!$F229,1))+1000*tech_proj!AB1473)/((1-tech_proj!AB633)*tech_proj!AB913*$L$110))</f>
        <v>99.94450147394015</v>
      </c>
      <c r="AC853" s="69">
        <f>IF(tech_base!$T229&gt;AC$625,"",(1000*tech_proj!AC1193*(-PMT($J$110,tech_base!$F229,1))+1000*tech_proj!AC1473)/((1-tech_proj!AC633)*tech_proj!AC913*$L$110))</f>
        <v>99.976936252847622</v>
      </c>
      <c r="AD853" s="69">
        <f>IF(tech_base!$T229&gt;AD$625,"",(1000*tech_proj!AD1193*(-PMT($J$110,tech_base!$F229,1))+1000*tech_proj!AD1473)/((1-tech_proj!AD633)*tech_proj!AD913*$L$110))</f>
        <v>100.00905847944405</v>
      </c>
      <c r="AE853" s="69">
        <f>IF(tech_base!$T229&gt;AE$625,"",(1000*tech_proj!AE1193*(-PMT($J$110,tech_base!$F229,1))+1000*tech_proj!AE1473)/((1-tech_proj!AE633)*tech_proj!AE913*$L$110))</f>
        <v>100.0408661342743</v>
      </c>
      <c r="AF853" s="69">
        <f>IF(tech_base!$T229&gt;AF$625,"",(1000*tech_proj!AF1193*(-PMT($J$110,tech_base!$F229,1))+1000*tech_proj!AF1473)/((1-tech_proj!AF633)*tech_proj!AF913*$L$110))</f>
        <v>100.07235737101173</v>
      </c>
      <c r="AG853" s="69">
        <f>IF(tech_base!$T229&gt;AG$625,"",(1000*tech_proj!AG1193*(-PMT($J$110,tech_base!$F229,1))+1000*tech_proj!AG1473)/((1-tech_proj!AG633)*tech_proj!AG913*$L$110))</f>
        <v>100.10353051407077</v>
      </c>
      <c r="AH853" s="69">
        <f>IF(tech_base!$T229&gt;AH$625,"",(1000*tech_proj!AH1193*(-PMT($J$110,tech_base!$F229,1))+1000*tech_proj!AH1473)/((1-tech_proj!AH633)*tech_proj!AH913*$L$110))</f>
        <v>100.13438405609318</v>
      </c>
      <c r="AI853" s="69">
        <f>IF(tech_base!$T229&gt;AI$625,"",(1000*tech_proj!AI1193*(-PMT($J$110,tech_base!$F229,1))+1000*tech_proj!AI1473)/((1-tech_proj!AI633)*tech_proj!AI913*$L$110))</f>
        <v>100.16491665531542</v>
      </c>
      <c r="AJ853" s="69">
        <f>IF(tech_base!$T229&gt;AJ$625,"",(1000*tech_proj!AJ1193*(-PMT($J$110,tech_base!$F229,1))+1000*tech_proj!AJ1473)/((1-tech_proj!AJ633)*tech_proj!AJ913*$L$110))</f>
        <v>100.19512713282541</v>
      </c>
      <c r="AK853" s="69">
        <f>IF(tech_base!$T229&gt;AK$625,"",(1000*tech_proj!AK1193*(-PMT($J$110,tech_base!$F229,1))+1000*tech_proj!AK1473)/((1-tech_proj!AK633)*tech_proj!AK913*$L$110))</f>
        <v>100.22501446971525</v>
      </c>
      <c r="AL853" s="69">
        <f>IF(tech_base!$T229&gt;AL$625,"",(1000*tech_proj!AL1193*(-PMT($J$110,tech_base!$F229,1))+1000*tech_proj!AL1473)/((1-tech_proj!AL633)*tech_proj!AL913*$L$110))</f>
        <v>100.25457780413869</v>
      </c>
      <c r="AM853" s="69">
        <f>IF(tech_base!$T229&gt;AM$625,"",(1000*tech_proj!AM1193*(-PMT($J$110,tech_base!$F229,1))+1000*tech_proj!AM1473)/((1-tech_proj!AM633)*tech_proj!AM913*$L$110))</f>
        <v>100.28381642827996</v>
      </c>
      <c r="AN853" s="69">
        <f>IF(tech_base!$T229&gt;AN$625,"",(1000*tech_proj!AN1193*(-PMT($J$110,tech_base!$F229,1))+1000*tech_proj!AN1473)/((1-tech_proj!AN633)*tech_proj!AN913*$L$110))</f>
        <v>100.31272978524173</v>
      </c>
      <c r="AO853" s="69">
        <f>IF(tech_base!$T229&gt;AO$625,"",(1000*tech_proj!AO1193*(-PMT($J$110,tech_base!$F229,1))+1000*tech_proj!AO1473)/((1-tech_proj!AO633)*tech_proj!AO913*$L$110))</f>
        <v>100.34131746585931</v>
      </c>
      <c r="AP853" s="69">
        <f>IF(tech_base!$T229&gt;AP$625,"",(1000*tech_proj!AP1193*(-PMT($J$110,tech_base!$F229,1))+1000*tech_proj!AP1473)/((1-tech_proj!AP633)*tech_proj!AP913*$L$110))</f>
        <v>100.36957920544847</v>
      </c>
      <c r="AQ853" s="69">
        <f>IF(tech_base!$T229&gt;AQ$625,"",(1000*tech_proj!AQ1193*(-PMT($J$110,tech_base!$F229,1))+1000*tech_proj!AQ1473)/((1-tech_proj!AQ633)*tech_proj!AQ913*$L$110))</f>
        <v>100.39751488049359</v>
      </c>
      <c r="AR853" s="69">
        <f>IF(tech_base!$T229&gt;AR$625,"",(1000*tech_proj!AR1193*(-PMT($J$110,tech_base!$F229,1))+1000*tech_proj!AR1473)/((1-tech_proj!AR633)*tech_proj!AR913*$L$110))</f>
        <v>100.42512450528326</v>
      </c>
      <c r="AS853" s="69">
        <f>IF(tech_base!$T229&gt;AS$625,"",(1000*tech_proj!AS1193*(-PMT($J$110,tech_base!$F229,1))+1000*tech_proj!AS1473)/((1-tech_proj!AS633)*tech_proj!AS913*$L$110))</f>
        <v>100.45240822849978</v>
      </c>
      <c r="AT853" s="69">
        <f>IF(tech_base!$T229&gt;AT$625,"",(1000*tech_proj!AT1193*(-PMT($J$110,tech_base!$F229,1))+1000*tech_proj!AT1473)/((1-tech_proj!AT633)*tech_proj!AT913*$L$110))</f>
        <v>100.47936632976912</v>
      </c>
      <c r="AU853" s="69">
        <f>IF(tech_base!$T229&gt;AU$625,"",(1000*tech_proj!AU1193*(-PMT($J$110,tech_base!$F229,1))+1000*tech_proj!AU1473)/((1-tech_proj!AU633)*tech_proj!AU913*$L$110))</f>
        <v>100.50599921617828</v>
      </c>
      <c r="AV853" s="69">
        <f>IF(tech_base!$T229&gt;AV$625,"",(1000*tech_proj!AV1193*(-PMT($J$110,tech_base!$F229,1))+1000*tech_proj!AV1473)/((1-tech_proj!AV633)*tech_proj!AV913*$L$110))</f>
        <v>100.53230741876497</v>
      </c>
      <c r="AW853" s="69">
        <f>IF(tech_base!$T229&gt;AW$625,"",(1000*tech_proj!AW1193*(-PMT($J$110,tech_base!$F229,1))+1000*tech_proj!AW1473)/((1-tech_proj!AW633)*tech_proj!AW913*$L$110))</f>
        <v>100.55829158898679</v>
      </c>
      <c r="AX853" s="235">
        <f>IF(tech_base!$T229&gt;AX$625,"",(1000*tech_proj!AX1193*(-PMT($J$110,tech_base!$F229,1))+1000*tech_proj!AX1473)/((1-tech_proj!AX633)*tech_proj!AX913*$L$110))</f>
        <v>100.58395249517494</v>
      </c>
    </row>
    <row r="854" spans="1:50" x14ac:dyDescent="0.25">
      <c r="A854" s="356"/>
      <c r="B854" s="376"/>
      <c r="C854" s="379"/>
      <c r="D854" s="59" t="s">
        <v>20</v>
      </c>
      <c r="E854" s="166" t="str">
        <f>A827&amp;"/"&amp;B847&amp;"/"&amp;C851&amp;"/"&amp;D854</f>
        <v>Biomass and waste fired power plants/Steam turbine/CHP/XS</v>
      </c>
      <c r="F854" s="79" t="str">
        <f>A827</f>
        <v>Biomass and waste fired power plants</v>
      </c>
      <c r="G854" s="79" t="str">
        <f>B847</f>
        <v>Steam turbine</v>
      </c>
      <c r="H854" s="79" t="str">
        <f>C851</f>
        <v>CHP</v>
      </c>
      <c r="I854" s="167" t="str">
        <f t="shared" si="365"/>
        <v>XS</v>
      </c>
      <c r="J854" s="72">
        <f>IF(tech_base!$T230&gt;J$625,"",(1000*tech_proj!J1194*(-PMT($J$110,tech_base!$F230,1))+1000*tech_proj!J1474)/((1-tech_proj!J634)*tech_proj!J914*$L$110))</f>
        <v>118.49415158566801</v>
      </c>
      <c r="K854" s="72">
        <f>IF(tech_base!$T230&gt;K$625,"",(1000*tech_proj!K1194*(-PMT($J$110,tech_base!$F230,1))+1000*tech_proj!K1474)/((1-tech_proj!K634)*tech_proj!K914*$L$110))</f>
        <v>118.52167549026304</v>
      </c>
      <c r="L854" s="72">
        <f>IF(tech_base!$T230&gt;L$625,"",(1000*tech_proj!L1194*(-PMT($J$110,tech_base!$F230,1))+1000*tech_proj!L1474)/((1-tech_proj!L634)*tech_proj!L914*$L$110))</f>
        <v>118.54894274266098</v>
      </c>
      <c r="M854" s="72">
        <f>IF(tech_base!$T230&gt;M$625,"",(1000*tech_proj!M1194*(-PMT($J$110,tech_base!$F230,1))+1000*tech_proj!M1474)/((1-tech_proj!M634)*tech_proj!M914*$L$110))</f>
        <v>118.57595141781302</v>
      </c>
      <c r="N854" s="72">
        <f>IF(tech_base!$T230&gt;N$625,"",(1000*tech_proj!N1194*(-PMT($J$110,tech_base!$F230,1))+1000*tech_proj!N1474)/((1-tech_proj!N634)*tech_proj!N914*$L$110))</f>
        <v>118.60269973534898</v>
      </c>
      <c r="O854" s="72">
        <f>IF(tech_base!$T230&gt;O$625,"",(1000*tech_proj!O1194*(-PMT($J$110,tech_base!$F230,1))+1000*tech_proj!O1474)/((1-tech_proj!O634)*tech_proj!O914*$L$110))</f>
        <v>118.62918605790868</v>
      </c>
      <c r="P854" s="72">
        <f>IF(tech_base!$T230&gt;P$625,"",(1000*tech_proj!P1194*(-PMT($J$110,tech_base!$F230,1))+1000*tech_proj!P1474)/((1-tech_proj!P634)*tech_proj!P914*$L$110))</f>
        <v>118.65540888935641</v>
      </c>
      <c r="Q854" s="72">
        <f>IF(tech_base!$T230&gt;Q$625,"",(1000*tech_proj!Q1194*(-PMT($J$110,tech_base!$F230,1))+1000*tech_proj!Q1474)/((1-tech_proj!Q634)*tech_proj!Q914*$L$110))</f>
        <v>118.68136687288514</v>
      </c>
      <c r="R854" s="72">
        <f>IF(tech_base!$T230&gt;R$625,"",(1000*tech_proj!R1194*(-PMT($J$110,tech_base!$F230,1))+1000*tech_proj!R1474)/((1-tech_proj!R634)*tech_proj!R914*$L$110))</f>
        <v>118.70705878901609</v>
      </c>
      <c r="S854" s="72">
        <f>IF(tech_base!$T230&gt;S$625,"",(1000*tech_proj!S1194*(-PMT($J$110,tech_base!$F230,1))+1000*tech_proj!S1474)/((1-tech_proj!S634)*tech_proj!S914*$L$110))</f>
        <v>118.73248355350036</v>
      </c>
      <c r="T854" s="72">
        <f>IF(tech_base!$T230&gt;T$625,"",(1000*tech_proj!T1194*(-PMT($J$110,tech_base!$F230,1))+1000*tech_proj!T1474)/((1-tech_proj!T634)*tech_proj!T914*$L$110))</f>
        <v>118.75764021512818</v>
      </c>
      <c r="U854" s="72">
        <f>IF(tech_base!$T230&gt;U$625,"",(1000*tech_proj!U1194*(-PMT($J$110,tech_base!$F230,1))+1000*tech_proj!U1474)/((1-tech_proj!U634)*tech_proj!U914*$L$110))</f>
        <v>118.78252795345242</v>
      </c>
      <c r="V854" s="72">
        <f>IF(tech_base!$T230&gt;V$625,"",(1000*tech_proj!V1194*(-PMT($J$110,tech_base!$F230,1))+1000*tech_proj!V1474)/((1-tech_proj!V634)*tech_proj!V914*$L$110))</f>
        <v>118.80714607643208</v>
      </c>
      <c r="W854" s="72">
        <f>IF(tech_base!$T230&gt;W$625,"",(1000*tech_proj!W1194*(-PMT($J$110,tech_base!$F230,1))+1000*tech_proj!W1474)/((1-tech_proj!W634)*tech_proj!W914*$L$110))</f>
        <v>118.83149401800196</v>
      </c>
      <c r="X854" s="72">
        <f>IF(tech_base!$T230&gt;X$625,"",(1000*tech_proj!X1194*(-PMT($J$110,tech_base!$F230,1))+1000*tech_proj!X1474)/((1-tech_proj!X634)*tech_proj!X914*$L$110))</f>
        <v>118.8555713355743</v>
      </c>
      <c r="Y854" s="72">
        <f>IF(tech_base!$T230&gt;Y$625,"",(1000*tech_proj!Y1194*(-PMT($J$110,tech_base!$F230,1))+1000*tech_proj!Y1474)/((1-tech_proj!Y634)*tech_proj!Y914*$L$110))</f>
        <v>118.87937770747824</v>
      </c>
      <c r="Z854" s="72">
        <f>IF(tech_base!$T230&gt;Z$625,"",(1000*tech_proj!Z1194*(-PMT($J$110,tech_base!$F230,1))+1000*tech_proj!Z1474)/((1-tech_proj!Z634)*tech_proj!Z914*$L$110))</f>
        <v>118.90291293034336</v>
      </c>
      <c r="AA854" s="72">
        <f>IF(tech_base!$T230&gt;AA$625,"",(1000*tech_proj!AA1194*(-PMT($J$110,tech_base!$F230,1))+1000*tech_proj!AA1474)/((1-tech_proj!AA634)*tech_proj!AA914*$L$110))</f>
        <v>118.926176916432</v>
      </c>
      <c r="AB854" s="72">
        <f>IF(tech_base!$T230&gt;AB$625,"",(1000*tech_proj!AB1194*(-PMT($J$110,tech_base!$F230,1))+1000*tech_proj!AB1474)/((1-tech_proj!AB634)*tech_proj!AB914*$L$110))</f>
        <v>118.94916969092692</v>
      </c>
      <c r="AC854" s="72">
        <f>IF(tech_base!$T230&gt;AC$625,"",(1000*tech_proj!AC1194*(-PMT($J$110,tech_base!$F230,1))+1000*tech_proj!AC1474)/((1-tech_proj!AC634)*tech_proj!AC914*$L$110))</f>
        <v>118.97189138917912</v>
      </c>
      <c r="AD854" s="72">
        <f>IF(tech_base!$T230&gt;AD$625,"",(1000*tech_proj!AD1194*(-PMT($J$110,tech_base!$F230,1))+1000*tech_proj!AD1474)/((1-tech_proj!AD634)*tech_proj!AD914*$L$110))</f>
        <v>118.99434225392122</v>
      </c>
      <c r="AE854" s="72">
        <f>IF(tech_base!$T230&gt;AE$625,"",(1000*tech_proj!AE1194*(-PMT($J$110,tech_base!$F230,1))+1000*tech_proj!AE1474)/((1-tech_proj!AE634)*tech_proj!AE914*$L$110))</f>
        <v>119.01652263245172</v>
      </c>
      <c r="AF854" s="72">
        <f>IF(tech_base!$T230&gt;AF$625,"",(1000*tech_proj!AF1194*(-PMT($J$110,tech_base!$F230,1))+1000*tech_proj!AF1474)/((1-tech_proj!AF634)*tech_proj!AF914*$L$110))</f>
        <v>119.03843297379517</v>
      </c>
      <c r="AG854" s="72">
        <f>IF(tech_base!$T230&gt;AG$625,"",(1000*tech_proj!AG1194*(-PMT($J$110,tech_base!$F230,1))+1000*tech_proj!AG1474)/((1-tech_proj!AG634)*tech_proj!AG914*$L$110))</f>
        <v>119.06007382584271</v>
      </c>
      <c r="AH854" s="72">
        <f>IF(tech_base!$T230&gt;AH$625,"",(1000*tech_proj!AH1194*(-PMT($J$110,tech_base!$F230,1))+1000*tech_proj!AH1474)/((1-tech_proj!AH634)*tech_proj!AH914*$L$110))</f>
        <v>119.08144583247838</v>
      </c>
      <c r="AI854" s="72">
        <f>IF(tech_base!$T230&gt;AI$625,"",(1000*tech_proj!AI1194*(-PMT($J$110,tech_base!$F230,1))+1000*tech_proj!AI1474)/((1-tech_proj!AI634)*tech_proj!AI914*$L$110))</f>
        <v>119.10254973069499</v>
      </c>
      <c r="AJ854" s="72">
        <f>IF(tech_base!$T230&gt;AJ$625,"",(1000*tech_proj!AJ1194*(-PMT($J$110,tech_base!$F230,1))+1000*tech_proj!AJ1474)/((1-tech_proj!AJ634)*tech_proj!AJ914*$L$110))</f>
        <v>119.12338634770465</v>
      </c>
      <c r="AK854" s="72">
        <f>IF(tech_base!$T230&gt;AK$625,"",(1000*tech_proj!AK1194*(-PMT($J$110,tech_base!$F230,1))+1000*tech_proj!AK1474)/((1-tech_proj!AK634)*tech_proj!AK914*$L$110))</f>
        <v>119.14395659804774</v>
      </c>
      <c r="AL854" s="72">
        <f>IF(tech_base!$T230&gt;AL$625,"",(1000*tech_proj!AL1194*(-PMT($J$110,tech_base!$F230,1))+1000*tech_proj!AL1474)/((1-tech_proj!AL634)*tech_proj!AL914*$L$110))</f>
        <v>119.1642614807044</v>
      </c>
      <c r="AM854" s="72">
        <f>IF(tech_base!$T230&gt;AM$625,"",(1000*tech_proj!AM1194*(-PMT($J$110,tech_base!$F230,1))+1000*tech_proj!AM1474)/((1-tech_proj!AM634)*tech_proj!AM914*$L$110))</f>
        <v>119.18430207621267</v>
      </c>
      <c r="AN854" s="72">
        <f>IF(tech_base!$T230&gt;AN$625,"",(1000*tech_proj!AN1194*(-PMT($J$110,tech_base!$F230,1))+1000*tech_proj!AN1474)/((1-tech_proj!AN634)*tech_proj!AN914*$L$110))</f>
        <v>119.20407954379679</v>
      </c>
      <c r="AO854" s="72">
        <f>IF(tech_base!$T230&gt;AO$625,"",(1000*tech_proj!AO1194*(-PMT($J$110,tech_base!$F230,1))+1000*tech_proj!AO1474)/((1-tech_proj!AO634)*tech_proj!AO914*$L$110))</f>
        <v>119.22359511850918</v>
      </c>
      <c r="AP854" s="72">
        <f>IF(tech_base!$T230&gt;AP$625,"",(1000*tech_proj!AP1194*(-PMT($J$110,tech_base!$F230,1))+1000*tech_proj!AP1474)/((1-tech_proj!AP634)*tech_proj!AP914*$L$110))</f>
        <v>119.24285010838967</v>
      </c>
      <c r="AQ854" s="72">
        <f>IF(tech_base!$T230&gt;AQ$625,"",(1000*tech_proj!AQ1194*(-PMT($J$110,tech_base!$F230,1))+1000*tech_proj!AQ1474)/((1-tech_proj!AQ634)*tech_proj!AQ914*$L$110))</f>
        <v>119.261845891645</v>
      </c>
      <c r="AR854" s="72">
        <f>IF(tech_base!$T230&gt;AR$625,"",(1000*tech_proj!AR1194*(-PMT($J$110,tech_base!$F230,1))+1000*tech_proj!AR1474)/((1-tech_proj!AR634)*tech_proj!AR914*$L$110))</f>
        <v>119.28058391385161</v>
      </c>
      <c r="AS854" s="72">
        <f>IF(tech_base!$T230&gt;AS$625,"",(1000*tech_proj!AS1194*(-PMT($J$110,tech_base!$F230,1))+1000*tech_proj!AS1474)/((1-tech_proj!AS634)*tech_proj!AS914*$L$110))</f>
        <v>119.29906568518476</v>
      </c>
      <c r="AT854" s="72">
        <f>IF(tech_base!$T230&gt;AT$625,"",(1000*tech_proj!AT1194*(-PMT($J$110,tech_base!$F230,1))+1000*tech_proj!AT1474)/((1-tech_proj!AT634)*tech_proj!AT914*$L$110))</f>
        <v>119.31729277767644</v>
      </c>
      <c r="AU854" s="72">
        <f>IF(tech_base!$T230&gt;AU$625,"",(1000*tech_proj!AU1194*(-PMT($J$110,tech_base!$F230,1))+1000*tech_proj!AU1474)/((1-tech_proj!AU634)*tech_proj!AU914*$L$110))</f>
        <v>119.33526682250465</v>
      </c>
      <c r="AV854" s="72">
        <f>IF(tech_base!$T230&gt;AV$625,"",(1000*tech_proj!AV1194*(-PMT($J$110,tech_base!$F230,1))+1000*tech_proj!AV1474)/((1-tech_proj!AV634)*tech_proj!AV914*$L$110))</f>
        <v>119.35298950731658</v>
      </c>
      <c r="AW854" s="72">
        <f>IF(tech_base!$T230&gt;AW$625,"",(1000*tech_proj!AW1194*(-PMT($J$110,tech_base!$F230,1))+1000*tech_proj!AW1474)/((1-tech_proj!AW634)*tech_proj!AW914*$L$110))</f>
        <v>119.37046257358773</v>
      </c>
      <c r="AX854" s="238">
        <f>IF(tech_base!$T230&gt;AX$625,"",(1000*tech_proj!AX1194*(-PMT($J$110,tech_base!$F230,1))+1000*tech_proj!AX1474)/((1-tech_proj!AX634)*tech_proj!AX914*$L$110))</f>
        <v>119.38768781401888</v>
      </c>
    </row>
    <row r="855" spans="1:50" x14ac:dyDescent="0.25">
      <c r="A855" s="356"/>
      <c r="B855" s="376"/>
      <c r="C855" s="361" t="s">
        <v>15</v>
      </c>
      <c r="D855" s="58" t="s">
        <v>7</v>
      </c>
      <c r="E855" s="164" t="str">
        <f>A827&amp;"/"&amp;B847&amp;"/"&amp;C855&amp;"/"&amp;D855</f>
        <v>Biomass and waste fired power plants/Steam turbine/Electricity only with CCS/L</v>
      </c>
      <c r="F855" s="78" t="str">
        <f>A827</f>
        <v>Biomass and waste fired power plants</v>
      </c>
      <c r="G855" s="78" t="str">
        <f>B847</f>
        <v>Steam turbine</v>
      </c>
      <c r="H855" s="78" t="str">
        <f>C855</f>
        <v>Electricity only with CCS</v>
      </c>
      <c r="I855" s="165" t="str">
        <f t="shared" si="365"/>
        <v>L</v>
      </c>
      <c r="J855" s="71" t="str">
        <f>IF(tech_base!$T231&gt;J$625,"",(1000*tech_proj!J1195*(-PMT($J$110,tech_base!$F231,1))+1000*tech_proj!J1475)/((1-tech_proj!J635)*tech_proj!J915*$L$110))</f>
        <v/>
      </c>
      <c r="K855" s="71" t="str">
        <f>IF(tech_base!$T231&gt;K$625,"",(1000*tech_proj!K1195*(-PMT($J$110,tech_base!$F231,1))+1000*tech_proj!K1475)/((1-tech_proj!K635)*tech_proj!K915*$L$110))</f>
        <v/>
      </c>
      <c r="L855" s="71" t="str">
        <f>IF(tech_base!$T231&gt;L$625,"",(1000*tech_proj!L1195*(-PMT($J$110,tech_base!$F231,1))+1000*tech_proj!L1475)/((1-tech_proj!L635)*tech_proj!L915*$L$110))</f>
        <v/>
      </c>
      <c r="M855" s="71" t="str">
        <f>IF(tech_base!$T231&gt;M$625,"",(1000*tech_proj!M1195*(-PMT($J$110,tech_base!$F231,1))+1000*tech_proj!M1475)/((1-tech_proj!M635)*tech_proj!M915*$L$110))</f>
        <v/>
      </c>
      <c r="N855" s="71" t="str">
        <f>IF(tech_base!$T231&gt;N$625,"",(1000*tech_proj!N1195*(-PMT($J$110,tech_base!$F231,1))+1000*tech_proj!N1475)/((1-tech_proj!N635)*tech_proj!N915*$L$110))</f>
        <v/>
      </c>
      <c r="O855" s="71" t="str">
        <f>IF(tech_base!$T231&gt;O$625,"",(1000*tech_proj!O1195*(-PMT($J$110,tech_base!$F231,1))+1000*tech_proj!O1475)/((1-tech_proj!O635)*tech_proj!O915*$L$110))</f>
        <v/>
      </c>
      <c r="P855" s="71" t="str">
        <f>IF(tech_base!$T231&gt;P$625,"",(1000*tech_proj!P1195*(-PMT($J$110,tech_base!$F231,1))+1000*tech_proj!P1475)/((1-tech_proj!P635)*tech_proj!P915*$L$110))</f>
        <v/>
      </c>
      <c r="Q855" s="71" t="str">
        <f>IF(tech_base!$T231&gt;Q$625,"",(1000*tech_proj!Q1195*(-PMT($J$110,tech_base!$F231,1))+1000*tech_proj!Q1475)/((1-tech_proj!Q635)*tech_proj!Q915*$L$110))</f>
        <v/>
      </c>
      <c r="R855" s="71" t="str">
        <f>IF(tech_base!$T231&gt;R$625,"",(1000*tech_proj!R1195*(-PMT($J$110,tech_base!$F231,1))+1000*tech_proj!R1475)/((1-tech_proj!R635)*tech_proj!R915*$L$110))</f>
        <v/>
      </c>
      <c r="S855" s="71" t="str">
        <f>IF(tech_base!$T231&gt;S$625,"",(1000*tech_proj!S1195*(-PMT($J$110,tech_base!$F231,1))+1000*tech_proj!S1475)/((1-tech_proj!S635)*tech_proj!S915*$L$110))</f>
        <v/>
      </c>
      <c r="T855" s="71" t="str">
        <f>IF(tech_base!$T231&gt;T$625,"",(1000*tech_proj!T1195*(-PMT($J$110,tech_base!$F231,1))+1000*tech_proj!T1475)/((1-tech_proj!T635)*tech_proj!T915*$L$110))</f>
        <v/>
      </c>
      <c r="U855" s="71" t="str">
        <f>IF(tech_base!$T231&gt;U$625,"",(1000*tech_proj!U1195*(-PMT($J$110,tech_base!$F231,1))+1000*tech_proj!U1475)/((1-tech_proj!U635)*tech_proj!U915*$L$110))</f>
        <v/>
      </c>
      <c r="V855" s="71" t="str">
        <f>IF(tech_base!$T231&gt;V$625,"",(1000*tech_proj!V1195*(-PMT($J$110,tech_base!$F231,1))+1000*tech_proj!V1475)/((1-tech_proj!V635)*tech_proj!V915*$L$110))</f>
        <v/>
      </c>
      <c r="W855" s="71" t="str">
        <f>IF(tech_base!$T231&gt;W$625,"",(1000*tech_proj!W1195*(-PMT($J$110,tech_base!$F231,1))+1000*tech_proj!W1475)/((1-tech_proj!W635)*tech_proj!W915*$L$110))</f>
        <v/>
      </c>
      <c r="X855" s="71" t="str">
        <f>IF(tech_base!$T231&gt;X$625,"",(1000*tech_proj!X1195*(-PMT($J$110,tech_base!$F231,1))+1000*tech_proj!X1475)/((1-tech_proj!X635)*tech_proj!X915*$L$110))</f>
        <v/>
      </c>
      <c r="Y855" s="71" t="str">
        <f>IF(tech_base!$T231&gt;Y$625,"",(1000*tech_proj!Y1195*(-PMT($J$110,tech_base!$F231,1))+1000*tech_proj!Y1475)/((1-tech_proj!Y635)*tech_proj!Y915*$L$110))</f>
        <v/>
      </c>
      <c r="Z855" s="71" t="str">
        <f>IF(tech_base!$T231&gt;Z$625,"",(1000*tech_proj!Z1195*(-PMT($J$110,tech_base!$F231,1))+1000*tech_proj!Z1475)/((1-tech_proj!Z635)*tech_proj!Z915*$L$110))</f>
        <v/>
      </c>
      <c r="AA855" s="71" t="str">
        <f>IF(tech_base!$T231&gt;AA$625,"",(1000*tech_proj!AA1195*(-PMT($J$110,tech_base!$F231,1))+1000*tech_proj!AA1475)/((1-tech_proj!AA635)*tech_proj!AA915*$L$110))</f>
        <v/>
      </c>
      <c r="AB855" s="71" t="str">
        <f>IF(tech_base!$T231&gt;AB$625,"",(1000*tech_proj!AB1195*(-PMT($J$110,tech_base!$F231,1))+1000*tech_proj!AB1475)/((1-tech_proj!AB635)*tech_proj!AB915*$L$110))</f>
        <v/>
      </c>
      <c r="AC855" s="71" t="str">
        <f>IF(tech_base!$T231&gt;AC$625,"",(1000*tech_proj!AC1195*(-PMT($J$110,tech_base!$F231,1))+1000*tech_proj!AC1475)/((1-tech_proj!AC635)*tech_proj!AC915*$L$110))</f>
        <v/>
      </c>
      <c r="AD855" s="71" t="str">
        <f>IF(tech_base!$T231&gt;AD$625,"",(1000*tech_proj!AD1195*(-PMT($J$110,tech_base!$F231,1))+1000*tech_proj!AD1475)/((1-tech_proj!AD635)*tech_proj!AD915*$L$110))</f>
        <v/>
      </c>
      <c r="AE855" s="71">
        <f>IF(tech_base!$T231&gt;AE$625,"",(1000*tech_proj!AE1195*(-PMT($J$110,tech_base!$F231,1))+1000*tech_proj!AE1475)/((1-tech_proj!AE635)*tech_proj!AE915*$L$110))</f>
        <v>210.99302224511834</v>
      </c>
      <c r="AF855" s="71">
        <f>IF(tech_base!$T231&gt;AF$625,"",(1000*tech_proj!AF1195*(-PMT($J$110,tech_base!$F231,1))+1000*tech_proj!AF1475)/((1-tech_proj!AF635)*tech_proj!AF915*$L$110))</f>
        <v>210.99302224511834</v>
      </c>
      <c r="AG855" s="71">
        <f>IF(tech_base!$T231&gt;AG$625,"",(1000*tech_proj!AG1195*(-PMT($J$110,tech_base!$F231,1))+1000*tech_proj!AG1475)/((1-tech_proj!AG635)*tech_proj!AG915*$L$110))</f>
        <v>210.99302224511834</v>
      </c>
      <c r="AH855" s="71">
        <f>IF(tech_base!$T231&gt;AH$625,"",(1000*tech_proj!AH1195*(-PMT($J$110,tech_base!$F231,1))+1000*tech_proj!AH1475)/((1-tech_proj!AH635)*tech_proj!AH915*$L$110))</f>
        <v>210.99302224511834</v>
      </c>
      <c r="AI855" s="71">
        <f>IF(tech_base!$T231&gt;AI$625,"",(1000*tech_proj!AI1195*(-PMT($J$110,tech_base!$F231,1))+1000*tech_proj!AI1475)/((1-tech_proj!AI635)*tech_proj!AI915*$L$110))</f>
        <v>210.99302224511834</v>
      </c>
      <c r="AJ855" s="71">
        <f>IF(tech_base!$T231&gt;AJ$625,"",(1000*tech_proj!AJ1195*(-PMT($J$110,tech_base!$F231,1))+1000*tech_proj!AJ1475)/((1-tech_proj!AJ635)*tech_proj!AJ915*$L$110))</f>
        <v>210.99302224511834</v>
      </c>
      <c r="AK855" s="71">
        <f>IF(tech_base!$T231&gt;AK$625,"",(1000*tech_proj!AK1195*(-PMT($J$110,tech_base!$F231,1))+1000*tech_proj!AK1475)/((1-tech_proj!AK635)*tech_proj!AK915*$L$110))</f>
        <v>210.99302224511834</v>
      </c>
      <c r="AL855" s="71">
        <f>IF(tech_base!$T231&gt;AL$625,"",(1000*tech_proj!AL1195*(-PMT($J$110,tech_base!$F231,1))+1000*tech_proj!AL1475)/((1-tech_proj!AL635)*tech_proj!AL915*$L$110))</f>
        <v>210.99302224511834</v>
      </c>
      <c r="AM855" s="71">
        <f>IF(tech_base!$T231&gt;AM$625,"",(1000*tech_proj!AM1195*(-PMT($J$110,tech_base!$F231,1))+1000*tech_proj!AM1475)/((1-tech_proj!AM635)*tech_proj!AM915*$L$110))</f>
        <v>210.99302224511834</v>
      </c>
      <c r="AN855" s="71">
        <f>IF(tech_base!$T231&gt;AN$625,"",(1000*tech_proj!AN1195*(-PMT($J$110,tech_base!$F231,1))+1000*tech_proj!AN1475)/((1-tech_proj!AN635)*tech_proj!AN915*$L$110))</f>
        <v>210.99302224511834</v>
      </c>
      <c r="AO855" s="71">
        <f>IF(tech_base!$T231&gt;AO$625,"",(1000*tech_proj!AO1195*(-PMT($J$110,tech_base!$F231,1))+1000*tech_proj!AO1475)/((1-tech_proj!AO635)*tech_proj!AO915*$L$110))</f>
        <v>210.99302224511834</v>
      </c>
      <c r="AP855" s="71">
        <f>IF(tech_base!$T231&gt;AP$625,"",(1000*tech_proj!AP1195*(-PMT($J$110,tech_base!$F231,1))+1000*tech_proj!AP1475)/((1-tech_proj!AP635)*tech_proj!AP915*$L$110))</f>
        <v>210.99302224511834</v>
      </c>
      <c r="AQ855" s="71">
        <f>IF(tech_base!$T231&gt;AQ$625,"",(1000*tech_proj!AQ1195*(-PMT($J$110,tech_base!$F231,1))+1000*tech_proj!AQ1475)/((1-tech_proj!AQ635)*tech_proj!AQ915*$L$110))</f>
        <v>210.99302224511834</v>
      </c>
      <c r="AR855" s="71">
        <f>IF(tech_base!$T231&gt;AR$625,"",(1000*tech_proj!AR1195*(-PMT($J$110,tech_base!$F231,1))+1000*tech_proj!AR1475)/((1-tech_proj!AR635)*tech_proj!AR915*$L$110))</f>
        <v>210.99302224511834</v>
      </c>
      <c r="AS855" s="71">
        <f>IF(tech_base!$T231&gt;AS$625,"",(1000*tech_proj!AS1195*(-PMT($J$110,tech_base!$F231,1))+1000*tech_proj!AS1475)/((1-tech_proj!AS635)*tech_proj!AS915*$L$110))</f>
        <v>210.99302224511834</v>
      </c>
      <c r="AT855" s="71">
        <f>IF(tech_base!$T231&gt;AT$625,"",(1000*tech_proj!AT1195*(-PMT($J$110,tech_base!$F231,1))+1000*tech_proj!AT1475)/((1-tech_proj!AT635)*tech_proj!AT915*$L$110))</f>
        <v>210.99302224511834</v>
      </c>
      <c r="AU855" s="71">
        <f>IF(tech_base!$T231&gt;AU$625,"",(1000*tech_proj!AU1195*(-PMT($J$110,tech_base!$F231,1))+1000*tech_proj!AU1475)/((1-tech_proj!AU635)*tech_proj!AU915*$L$110))</f>
        <v>210.99302224511834</v>
      </c>
      <c r="AV855" s="71">
        <f>IF(tech_base!$T231&gt;AV$625,"",(1000*tech_proj!AV1195*(-PMT($J$110,tech_base!$F231,1))+1000*tech_proj!AV1475)/((1-tech_proj!AV635)*tech_proj!AV915*$L$110))</f>
        <v>210.99302224511834</v>
      </c>
      <c r="AW855" s="71">
        <f>IF(tech_base!$T231&gt;AW$625,"",(1000*tech_proj!AW1195*(-PMT($J$110,tech_base!$F231,1))+1000*tech_proj!AW1475)/((1-tech_proj!AW635)*tech_proj!AW915*$L$110))</f>
        <v>210.99302224511834</v>
      </c>
      <c r="AX855" s="237">
        <f>IF(tech_base!$T231&gt;AX$625,"",(1000*tech_proj!AX1195*(-PMT($J$110,tech_base!$F231,1))+1000*tech_proj!AX1475)/((1-tech_proj!AX635)*tech_proj!AX915*$L$110))</f>
        <v>210.99302224511834</v>
      </c>
    </row>
    <row r="856" spans="1:50" x14ac:dyDescent="0.25">
      <c r="A856" s="356"/>
      <c r="B856" s="376"/>
      <c r="C856" s="379"/>
      <c r="D856" s="59" t="s">
        <v>8</v>
      </c>
      <c r="E856" s="166" t="str">
        <f>A827&amp;"/"&amp;B847&amp;"/"&amp;C855&amp;"/"&amp;D856</f>
        <v>Biomass and waste fired power plants/Steam turbine/Electricity only with CCS/M</v>
      </c>
      <c r="F856" s="79" t="str">
        <f>A827</f>
        <v>Biomass and waste fired power plants</v>
      </c>
      <c r="G856" s="79" t="str">
        <f>B847</f>
        <v>Steam turbine</v>
      </c>
      <c r="H856" s="79" t="str">
        <f>C855</f>
        <v>Electricity only with CCS</v>
      </c>
      <c r="I856" s="167" t="str">
        <f t="shared" si="365"/>
        <v>M</v>
      </c>
      <c r="J856" s="72" t="str">
        <f>IF(tech_base!$T232&gt;J$625,"",(1000*tech_proj!J1196*(-PMT($J$110,tech_base!$F232,1))+1000*tech_proj!J1476)/((1-tech_proj!J636)*tech_proj!J916*$L$110))</f>
        <v/>
      </c>
      <c r="K856" s="72" t="str">
        <f>IF(tech_base!$T232&gt;K$625,"",(1000*tech_proj!K1196*(-PMT($J$110,tech_base!$F232,1))+1000*tech_proj!K1476)/((1-tech_proj!K636)*tech_proj!K916*$L$110))</f>
        <v/>
      </c>
      <c r="L856" s="72" t="str">
        <f>IF(tech_base!$T232&gt;L$625,"",(1000*tech_proj!L1196*(-PMT($J$110,tech_base!$F232,1))+1000*tech_proj!L1476)/((1-tech_proj!L636)*tech_proj!L916*$L$110))</f>
        <v/>
      </c>
      <c r="M856" s="72" t="str">
        <f>IF(tech_base!$T232&gt;M$625,"",(1000*tech_proj!M1196*(-PMT($J$110,tech_base!$F232,1))+1000*tech_proj!M1476)/((1-tech_proj!M636)*tech_proj!M916*$L$110))</f>
        <v/>
      </c>
      <c r="N856" s="72" t="str">
        <f>IF(tech_base!$T232&gt;N$625,"",(1000*tech_proj!N1196*(-PMT($J$110,tech_base!$F232,1))+1000*tech_proj!N1476)/((1-tech_proj!N636)*tech_proj!N916*$L$110))</f>
        <v/>
      </c>
      <c r="O856" s="72" t="str">
        <f>IF(tech_base!$T232&gt;O$625,"",(1000*tech_proj!O1196*(-PMT($J$110,tech_base!$F232,1))+1000*tech_proj!O1476)/((1-tech_proj!O636)*tech_proj!O916*$L$110))</f>
        <v/>
      </c>
      <c r="P856" s="72" t="str">
        <f>IF(tech_base!$T232&gt;P$625,"",(1000*tech_proj!P1196*(-PMT($J$110,tech_base!$F232,1))+1000*tech_proj!P1476)/((1-tech_proj!P636)*tech_proj!P916*$L$110))</f>
        <v/>
      </c>
      <c r="Q856" s="72" t="str">
        <f>IF(tech_base!$T232&gt;Q$625,"",(1000*tech_proj!Q1196*(-PMT($J$110,tech_base!$F232,1))+1000*tech_proj!Q1476)/((1-tech_proj!Q636)*tech_proj!Q916*$L$110))</f>
        <v/>
      </c>
      <c r="R856" s="72" t="str">
        <f>IF(tech_base!$T232&gt;R$625,"",(1000*tech_proj!R1196*(-PMT($J$110,tech_base!$F232,1))+1000*tech_proj!R1476)/((1-tech_proj!R636)*tech_proj!R916*$L$110))</f>
        <v/>
      </c>
      <c r="S856" s="72" t="str">
        <f>IF(tech_base!$T232&gt;S$625,"",(1000*tech_proj!S1196*(-PMT($J$110,tech_base!$F232,1))+1000*tech_proj!S1476)/((1-tech_proj!S636)*tech_proj!S916*$L$110))</f>
        <v/>
      </c>
      <c r="T856" s="72" t="str">
        <f>IF(tech_base!$T232&gt;T$625,"",(1000*tech_proj!T1196*(-PMT($J$110,tech_base!$F232,1))+1000*tech_proj!T1476)/((1-tech_proj!T636)*tech_proj!T916*$L$110))</f>
        <v/>
      </c>
      <c r="U856" s="72" t="str">
        <f>IF(tech_base!$T232&gt;U$625,"",(1000*tech_proj!U1196*(-PMT($J$110,tech_base!$F232,1))+1000*tech_proj!U1476)/((1-tech_proj!U636)*tech_proj!U916*$L$110))</f>
        <v/>
      </c>
      <c r="V856" s="72" t="str">
        <f>IF(tech_base!$T232&gt;V$625,"",(1000*tech_proj!V1196*(-PMT($J$110,tech_base!$F232,1))+1000*tech_proj!V1476)/((1-tech_proj!V636)*tech_proj!V916*$L$110))</f>
        <v/>
      </c>
      <c r="W856" s="72" t="str">
        <f>IF(tech_base!$T232&gt;W$625,"",(1000*tech_proj!W1196*(-PMT($J$110,tech_base!$F232,1))+1000*tech_proj!W1476)/((1-tech_proj!W636)*tech_proj!W916*$L$110))</f>
        <v/>
      </c>
      <c r="X856" s="72" t="str">
        <f>IF(tech_base!$T232&gt;X$625,"",(1000*tech_proj!X1196*(-PMT($J$110,tech_base!$F232,1))+1000*tech_proj!X1476)/((1-tech_proj!X636)*tech_proj!X916*$L$110))</f>
        <v/>
      </c>
      <c r="Y856" s="72" t="str">
        <f>IF(tech_base!$T232&gt;Y$625,"",(1000*tech_proj!Y1196*(-PMT($J$110,tech_base!$F232,1))+1000*tech_proj!Y1476)/((1-tech_proj!Y636)*tech_proj!Y916*$L$110))</f>
        <v/>
      </c>
      <c r="Z856" s="72" t="str">
        <f>IF(tech_base!$T232&gt;Z$625,"",(1000*tech_proj!Z1196*(-PMT($J$110,tech_base!$F232,1))+1000*tech_proj!Z1476)/((1-tech_proj!Z636)*tech_proj!Z916*$L$110))</f>
        <v/>
      </c>
      <c r="AA856" s="72" t="str">
        <f>IF(tech_base!$T232&gt;AA$625,"",(1000*tech_proj!AA1196*(-PMT($J$110,tech_base!$F232,1))+1000*tech_proj!AA1476)/((1-tech_proj!AA636)*tech_proj!AA916*$L$110))</f>
        <v/>
      </c>
      <c r="AB856" s="72" t="str">
        <f>IF(tech_base!$T232&gt;AB$625,"",(1000*tech_proj!AB1196*(-PMT($J$110,tech_base!$F232,1))+1000*tech_proj!AB1476)/((1-tech_proj!AB636)*tech_proj!AB916*$L$110))</f>
        <v/>
      </c>
      <c r="AC856" s="72" t="str">
        <f>IF(tech_base!$T232&gt;AC$625,"",(1000*tech_proj!AC1196*(-PMT($J$110,tech_base!$F232,1))+1000*tech_proj!AC1476)/((1-tech_proj!AC636)*tech_proj!AC916*$L$110))</f>
        <v/>
      </c>
      <c r="AD856" s="72" t="str">
        <f>IF(tech_base!$T232&gt;AD$625,"",(1000*tech_proj!AD1196*(-PMT($J$110,tech_base!$F232,1))+1000*tech_proj!AD1476)/((1-tech_proj!AD636)*tech_proj!AD916*$L$110))</f>
        <v/>
      </c>
      <c r="AE856" s="72">
        <f>IF(tech_base!$T232&gt;AE$625,"",(1000*tech_proj!AE1196*(-PMT($J$110,tech_base!$F232,1))+1000*tech_proj!AE1476)/((1-tech_proj!AE636)*tech_proj!AE916*$L$110))</f>
        <v>236.2238856409241</v>
      </c>
      <c r="AF856" s="72">
        <f>IF(tech_base!$T232&gt;AF$625,"",(1000*tech_proj!AF1196*(-PMT($J$110,tech_base!$F232,1))+1000*tech_proj!AF1476)/((1-tech_proj!AF636)*tech_proj!AF916*$L$110))</f>
        <v>236.2238856409241</v>
      </c>
      <c r="AG856" s="72">
        <f>IF(tech_base!$T232&gt;AG$625,"",(1000*tech_proj!AG1196*(-PMT($J$110,tech_base!$F232,1))+1000*tech_proj!AG1476)/((1-tech_proj!AG636)*tech_proj!AG916*$L$110))</f>
        <v>236.2238856409241</v>
      </c>
      <c r="AH856" s="72">
        <f>IF(tech_base!$T232&gt;AH$625,"",(1000*tech_proj!AH1196*(-PMT($J$110,tech_base!$F232,1))+1000*tech_proj!AH1476)/((1-tech_proj!AH636)*tech_proj!AH916*$L$110))</f>
        <v>236.2238856409241</v>
      </c>
      <c r="AI856" s="72">
        <f>IF(tech_base!$T232&gt;AI$625,"",(1000*tech_proj!AI1196*(-PMT($J$110,tech_base!$F232,1))+1000*tech_proj!AI1476)/((1-tech_proj!AI636)*tech_proj!AI916*$L$110))</f>
        <v>236.2238856409241</v>
      </c>
      <c r="AJ856" s="72">
        <f>IF(tech_base!$T232&gt;AJ$625,"",(1000*tech_proj!AJ1196*(-PMT($J$110,tech_base!$F232,1))+1000*tech_proj!AJ1476)/((1-tech_proj!AJ636)*tech_proj!AJ916*$L$110))</f>
        <v>236.2238856409241</v>
      </c>
      <c r="AK856" s="72">
        <f>IF(tech_base!$T232&gt;AK$625,"",(1000*tech_proj!AK1196*(-PMT($J$110,tech_base!$F232,1))+1000*tech_proj!AK1476)/((1-tech_proj!AK636)*tech_proj!AK916*$L$110))</f>
        <v>236.2238856409241</v>
      </c>
      <c r="AL856" s="72">
        <f>IF(tech_base!$T232&gt;AL$625,"",(1000*tech_proj!AL1196*(-PMT($J$110,tech_base!$F232,1))+1000*tech_proj!AL1476)/((1-tech_proj!AL636)*tech_proj!AL916*$L$110))</f>
        <v>236.2238856409241</v>
      </c>
      <c r="AM856" s="72">
        <f>IF(tech_base!$T232&gt;AM$625,"",(1000*tech_proj!AM1196*(-PMT($J$110,tech_base!$F232,1))+1000*tech_proj!AM1476)/((1-tech_proj!AM636)*tech_proj!AM916*$L$110))</f>
        <v>236.2238856409241</v>
      </c>
      <c r="AN856" s="72">
        <f>IF(tech_base!$T232&gt;AN$625,"",(1000*tech_proj!AN1196*(-PMT($J$110,tech_base!$F232,1))+1000*tech_proj!AN1476)/((1-tech_proj!AN636)*tech_proj!AN916*$L$110))</f>
        <v>236.2238856409241</v>
      </c>
      <c r="AO856" s="72">
        <f>IF(tech_base!$T232&gt;AO$625,"",(1000*tech_proj!AO1196*(-PMT($J$110,tech_base!$F232,1))+1000*tech_proj!AO1476)/((1-tech_proj!AO636)*tech_proj!AO916*$L$110))</f>
        <v>236.2238856409241</v>
      </c>
      <c r="AP856" s="72">
        <f>IF(tech_base!$T232&gt;AP$625,"",(1000*tech_proj!AP1196*(-PMT($J$110,tech_base!$F232,1))+1000*tech_proj!AP1476)/((1-tech_proj!AP636)*tech_proj!AP916*$L$110))</f>
        <v>236.2238856409241</v>
      </c>
      <c r="AQ856" s="72">
        <f>IF(tech_base!$T232&gt;AQ$625,"",(1000*tech_proj!AQ1196*(-PMT($J$110,tech_base!$F232,1))+1000*tech_proj!AQ1476)/((1-tech_proj!AQ636)*tech_proj!AQ916*$L$110))</f>
        <v>236.2238856409241</v>
      </c>
      <c r="AR856" s="72">
        <f>IF(tech_base!$T232&gt;AR$625,"",(1000*tech_proj!AR1196*(-PMT($J$110,tech_base!$F232,1))+1000*tech_proj!AR1476)/((1-tech_proj!AR636)*tech_proj!AR916*$L$110))</f>
        <v>236.2238856409241</v>
      </c>
      <c r="AS856" s="72">
        <f>IF(tech_base!$T232&gt;AS$625,"",(1000*tech_proj!AS1196*(-PMT($J$110,tech_base!$F232,1))+1000*tech_proj!AS1476)/((1-tech_proj!AS636)*tech_proj!AS916*$L$110))</f>
        <v>236.2238856409241</v>
      </c>
      <c r="AT856" s="72">
        <f>IF(tech_base!$T232&gt;AT$625,"",(1000*tech_proj!AT1196*(-PMT($J$110,tech_base!$F232,1))+1000*tech_proj!AT1476)/((1-tech_proj!AT636)*tech_proj!AT916*$L$110))</f>
        <v>236.2238856409241</v>
      </c>
      <c r="AU856" s="72">
        <f>IF(tech_base!$T232&gt;AU$625,"",(1000*tech_proj!AU1196*(-PMT($J$110,tech_base!$F232,1))+1000*tech_proj!AU1476)/((1-tech_proj!AU636)*tech_proj!AU916*$L$110))</f>
        <v>236.2238856409241</v>
      </c>
      <c r="AV856" s="72">
        <f>IF(tech_base!$T232&gt;AV$625,"",(1000*tech_proj!AV1196*(-PMT($J$110,tech_base!$F232,1))+1000*tech_proj!AV1476)/((1-tech_proj!AV636)*tech_proj!AV916*$L$110))</f>
        <v>236.2238856409241</v>
      </c>
      <c r="AW856" s="72">
        <f>IF(tech_base!$T232&gt;AW$625,"",(1000*tech_proj!AW1196*(-PMT($J$110,tech_base!$F232,1))+1000*tech_proj!AW1476)/((1-tech_proj!AW636)*tech_proj!AW916*$L$110))</f>
        <v>236.2238856409241</v>
      </c>
      <c r="AX856" s="238">
        <f>IF(tech_base!$T232&gt;AX$625,"",(1000*tech_proj!AX1196*(-PMT($J$110,tech_base!$F232,1))+1000*tech_proj!AX1476)/((1-tech_proj!AX636)*tech_proj!AX916*$L$110))</f>
        <v>236.2238856409241</v>
      </c>
    </row>
    <row r="857" spans="1:50" x14ac:dyDescent="0.25">
      <c r="A857" s="356"/>
      <c r="B857" s="376"/>
      <c r="C857" s="361" t="s">
        <v>16</v>
      </c>
      <c r="D857" s="2" t="s">
        <v>7</v>
      </c>
      <c r="E857" s="160" t="str">
        <f>A827&amp;"/"&amp;B847&amp;"/"&amp;C857&amp;"/"&amp;D857</f>
        <v>Biomass and waste fired power plants/Steam turbine/CHP with CCS/L</v>
      </c>
      <c r="F857" s="76" t="str">
        <f>A827</f>
        <v>Biomass and waste fired power plants</v>
      </c>
      <c r="G857" s="76" t="str">
        <f>B847</f>
        <v>Steam turbine</v>
      </c>
      <c r="H857" s="76" t="str">
        <f>C857</f>
        <v>CHP with CCS</v>
      </c>
      <c r="I857" s="161" t="str">
        <f t="shared" si="365"/>
        <v>L</v>
      </c>
      <c r="J857" s="69" t="str">
        <f>IF(tech_base!$T233&gt;J$625,"",(1000*tech_proj!J1197*(-PMT($J$110,tech_base!$F233,1))+1000*tech_proj!J1477)/((1-tech_proj!J637)*tech_proj!J917*$L$110))</f>
        <v/>
      </c>
      <c r="K857" s="69" t="str">
        <f>IF(tech_base!$T233&gt;K$625,"",(1000*tech_proj!K1197*(-PMT($J$110,tech_base!$F233,1))+1000*tech_proj!K1477)/((1-tech_proj!K637)*tech_proj!K917*$L$110))</f>
        <v/>
      </c>
      <c r="L857" s="69" t="str">
        <f>IF(tech_base!$T233&gt;L$625,"",(1000*tech_proj!L1197*(-PMT($J$110,tech_base!$F233,1))+1000*tech_proj!L1477)/((1-tech_proj!L637)*tech_proj!L917*$L$110))</f>
        <v/>
      </c>
      <c r="M857" s="69" t="str">
        <f>IF(tech_base!$T233&gt;M$625,"",(1000*tech_proj!M1197*(-PMT($J$110,tech_base!$F233,1))+1000*tech_proj!M1477)/((1-tech_proj!M637)*tech_proj!M917*$L$110))</f>
        <v/>
      </c>
      <c r="N857" s="69" t="str">
        <f>IF(tech_base!$T233&gt;N$625,"",(1000*tech_proj!N1197*(-PMT($J$110,tech_base!$F233,1))+1000*tech_proj!N1477)/((1-tech_proj!N637)*tech_proj!N917*$L$110))</f>
        <v/>
      </c>
      <c r="O857" s="69" t="str">
        <f>IF(tech_base!$T233&gt;O$625,"",(1000*tech_proj!O1197*(-PMT($J$110,tech_base!$F233,1))+1000*tech_proj!O1477)/((1-tech_proj!O637)*tech_proj!O917*$L$110))</f>
        <v/>
      </c>
      <c r="P857" s="69" t="str">
        <f>IF(tech_base!$T233&gt;P$625,"",(1000*tech_proj!P1197*(-PMT($J$110,tech_base!$F233,1))+1000*tech_proj!P1477)/((1-tech_proj!P637)*tech_proj!P917*$L$110))</f>
        <v/>
      </c>
      <c r="Q857" s="69" t="str">
        <f>IF(tech_base!$T233&gt;Q$625,"",(1000*tech_proj!Q1197*(-PMT($J$110,tech_base!$F233,1))+1000*tech_proj!Q1477)/((1-tech_proj!Q637)*tech_proj!Q917*$L$110))</f>
        <v/>
      </c>
      <c r="R857" s="69" t="str">
        <f>IF(tech_base!$T233&gt;R$625,"",(1000*tech_proj!R1197*(-PMT($J$110,tech_base!$F233,1))+1000*tech_proj!R1477)/((1-tech_proj!R637)*tech_proj!R917*$L$110))</f>
        <v/>
      </c>
      <c r="S857" s="69" t="str">
        <f>IF(tech_base!$T233&gt;S$625,"",(1000*tech_proj!S1197*(-PMT($J$110,tech_base!$F233,1))+1000*tech_proj!S1477)/((1-tech_proj!S637)*tech_proj!S917*$L$110))</f>
        <v/>
      </c>
      <c r="T857" s="69" t="str">
        <f>IF(tech_base!$T233&gt;T$625,"",(1000*tech_proj!T1197*(-PMT($J$110,tech_base!$F233,1))+1000*tech_proj!T1477)/((1-tech_proj!T637)*tech_proj!T917*$L$110))</f>
        <v/>
      </c>
      <c r="U857" s="69" t="str">
        <f>IF(tech_base!$T233&gt;U$625,"",(1000*tech_proj!U1197*(-PMT($J$110,tech_base!$F233,1))+1000*tech_proj!U1477)/((1-tech_proj!U637)*tech_proj!U917*$L$110))</f>
        <v/>
      </c>
      <c r="V857" s="69" t="str">
        <f>IF(tech_base!$T233&gt;V$625,"",(1000*tech_proj!V1197*(-PMT($J$110,tech_base!$F233,1))+1000*tech_proj!V1477)/((1-tech_proj!V637)*tech_proj!V917*$L$110))</f>
        <v/>
      </c>
      <c r="W857" s="69" t="str">
        <f>IF(tech_base!$T233&gt;W$625,"",(1000*tech_proj!W1197*(-PMT($J$110,tech_base!$F233,1))+1000*tech_proj!W1477)/((1-tech_proj!W637)*tech_proj!W917*$L$110))</f>
        <v/>
      </c>
      <c r="X857" s="69" t="str">
        <f>IF(tech_base!$T233&gt;X$625,"",(1000*tech_proj!X1197*(-PMT($J$110,tech_base!$F233,1))+1000*tech_proj!X1477)/((1-tech_proj!X637)*tech_proj!X917*$L$110))</f>
        <v/>
      </c>
      <c r="Y857" s="69" t="str">
        <f>IF(tech_base!$T233&gt;Y$625,"",(1000*tech_proj!Y1197*(-PMT($J$110,tech_base!$F233,1))+1000*tech_proj!Y1477)/((1-tech_proj!Y637)*tech_proj!Y917*$L$110))</f>
        <v/>
      </c>
      <c r="Z857" s="69" t="str">
        <f>IF(tech_base!$T233&gt;Z$625,"",(1000*tech_proj!Z1197*(-PMT($J$110,tech_base!$F233,1))+1000*tech_proj!Z1477)/((1-tech_proj!Z637)*tech_proj!Z917*$L$110))</f>
        <v/>
      </c>
      <c r="AA857" s="69" t="str">
        <f>IF(tech_base!$T233&gt;AA$625,"",(1000*tech_proj!AA1197*(-PMT($J$110,tech_base!$F233,1))+1000*tech_proj!AA1477)/((1-tech_proj!AA637)*tech_proj!AA917*$L$110))</f>
        <v/>
      </c>
      <c r="AB857" s="69" t="str">
        <f>IF(tech_base!$T233&gt;AB$625,"",(1000*tech_proj!AB1197*(-PMT($J$110,tech_base!$F233,1))+1000*tech_proj!AB1477)/((1-tech_proj!AB637)*tech_proj!AB917*$L$110))</f>
        <v/>
      </c>
      <c r="AC857" s="69" t="str">
        <f>IF(tech_base!$T233&gt;AC$625,"",(1000*tech_proj!AC1197*(-PMT($J$110,tech_base!$F233,1))+1000*tech_proj!AC1477)/((1-tech_proj!AC637)*tech_proj!AC917*$L$110))</f>
        <v/>
      </c>
      <c r="AD857" s="69" t="str">
        <f>IF(tech_base!$T233&gt;AD$625,"",(1000*tech_proj!AD1197*(-PMT($J$110,tech_base!$F233,1))+1000*tech_proj!AD1477)/((1-tech_proj!AD637)*tech_proj!AD917*$L$110))</f>
        <v/>
      </c>
      <c r="AE857" s="69">
        <f>IF(tech_base!$T233&gt;AE$625,"",(1000*tech_proj!AE1197*(-PMT($J$110,tech_base!$F233,1))+1000*tech_proj!AE1477)/((1-tech_proj!AE637)*tech_proj!AE917*$L$110))</f>
        <v>233.14330321610072</v>
      </c>
      <c r="AF857" s="69">
        <f>IF(tech_base!$T233&gt;AF$625,"",(1000*tech_proj!AF1197*(-PMT($J$110,tech_base!$F233,1))+1000*tech_proj!AF1477)/((1-tech_proj!AF637)*tech_proj!AF917*$L$110))</f>
        <v>233.14330321610072</v>
      </c>
      <c r="AG857" s="69">
        <f>IF(tech_base!$T233&gt;AG$625,"",(1000*tech_proj!AG1197*(-PMT($J$110,tech_base!$F233,1))+1000*tech_proj!AG1477)/((1-tech_proj!AG637)*tech_proj!AG917*$L$110))</f>
        <v>233.14330321610072</v>
      </c>
      <c r="AH857" s="69">
        <f>IF(tech_base!$T233&gt;AH$625,"",(1000*tech_proj!AH1197*(-PMT($J$110,tech_base!$F233,1))+1000*tech_proj!AH1477)/((1-tech_proj!AH637)*tech_proj!AH917*$L$110))</f>
        <v>233.14330321610072</v>
      </c>
      <c r="AI857" s="69">
        <f>IF(tech_base!$T233&gt;AI$625,"",(1000*tech_proj!AI1197*(-PMT($J$110,tech_base!$F233,1))+1000*tech_proj!AI1477)/((1-tech_proj!AI637)*tech_proj!AI917*$L$110))</f>
        <v>233.14330321610072</v>
      </c>
      <c r="AJ857" s="69">
        <f>IF(tech_base!$T233&gt;AJ$625,"",(1000*tech_proj!AJ1197*(-PMT($J$110,tech_base!$F233,1))+1000*tech_proj!AJ1477)/((1-tech_proj!AJ637)*tech_proj!AJ917*$L$110))</f>
        <v>233.14330321610072</v>
      </c>
      <c r="AK857" s="69">
        <f>IF(tech_base!$T233&gt;AK$625,"",(1000*tech_proj!AK1197*(-PMT($J$110,tech_base!$F233,1))+1000*tech_proj!AK1477)/((1-tech_proj!AK637)*tech_proj!AK917*$L$110))</f>
        <v>233.14330321610072</v>
      </c>
      <c r="AL857" s="69">
        <f>IF(tech_base!$T233&gt;AL$625,"",(1000*tech_proj!AL1197*(-PMT($J$110,tech_base!$F233,1))+1000*tech_proj!AL1477)/((1-tech_proj!AL637)*tech_proj!AL917*$L$110))</f>
        <v>233.14330321610072</v>
      </c>
      <c r="AM857" s="69">
        <f>IF(tech_base!$T233&gt;AM$625,"",(1000*tech_proj!AM1197*(-PMT($J$110,tech_base!$F233,1))+1000*tech_proj!AM1477)/((1-tech_proj!AM637)*tech_proj!AM917*$L$110))</f>
        <v>233.14330321610072</v>
      </c>
      <c r="AN857" s="69">
        <f>IF(tech_base!$T233&gt;AN$625,"",(1000*tech_proj!AN1197*(-PMT($J$110,tech_base!$F233,1))+1000*tech_proj!AN1477)/((1-tech_proj!AN637)*tech_proj!AN917*$L$110))</f>
        <v>233.14330321610072</v>
      </c>
      <c r="AO857" s="69">
        <f>IF(tech_base!$T233&gt;AO$625,"",(1000*tech_proj!AO1197*(-PMT($J$110,tech_base!$F233,1))+1000*tech_proj!AO1477)/((1-tech_proj!AO637)*tech_proj!AO917*$L$110))</f>
        <v>233.14330321610072</v>
      </c>
      <c r="AP857" s="69">
        <f>IF(tech_base!$T233&gt;AP$625,"",(1000*tech_proj!AP1197*(-PMT($J$110,tech_base!$F233,1))+1000*tech_proj!AP1477)/((1-tech_proj!AP637)*tech_proj!AP917*$L$110))</f>
        <v>233.14330321610072</v>
      </c>
      <c r="AQ857" s="69">
        <f>IF(tech_base!$T233&gt;AQ$625,"",(1000*tech_proj!AQ1197*(-PMT($J$110,tech_base!$F233,1))+1000*tech_proj!AQ1477)/((1-tech_proj!AQ637)*tech_proj!AQ917*$L$110))</f>
        <v>233.14330321610072</v>
      </c>
      <c r="AR857" s="69">
        <f>IF(tech_base!$T233&gt;AR$625,"",(1000*tech_proj!AR1197*(-PMT($J$110,tech_base!$F233,1))+1000*tech_proj!AR1477)/((1-tech_proj!AR637)*tech_proj!AR917*$L$110))</f>
        <v>233.14330321610072</v>
      </c>
      <c r="AS857" s="69">
        <f>IF(tech_base!$T233&gt;AS$625,"",(1000*tech_proj!AS1197*(-PMT($J$110,tech_base!$F233,1))+1000*tech_proj!AS1477)/((1-tech_proj!AS637)*tech_proj!AS917*$L$110))</f>
        <v>233.14330321610072</v>
      </c>
      <c r="AT857" s="69">
        <f>IF(tech_base!$T233&gt;AT$625,"",(1000*tech_proj!AT1197*(-PMT($J$110,tech_base!$F233,1))+1000*tech_proj!AT1477)/((1-tech_proj!AT637)*tech_proj!AT917*$L$110))</f>
        <v>233.14330321610072</v>
      </c>
      <c r="AU857" s="69">
        <f>IF(tech_base!$T233&gt;AU$625,"",(1000*tech_proj!AU1197*(-PMT($J$110,tech_base!$F233,1))+1000*tech_proj!AU1477)/((1-tech_proj!AU637)*tech_proj!AU917*$L$110))</f>
        <v>233.14330321610072</v>
      </c>
      <c r="AV857" s="69">
        <f>IF(tech_base!$T233&gt;AV$625,"",(1000*tech_proj!AV1197*(-PMT($J$110,tech_base!$F233,1))+1000*tech_proj!AV1477)/((1-tech_proj!AV637)*tech_proj!AV917*$L$110))</f>
        <v>233.14330321610072</v>
      </c>
      <c r="AW857" s="69">
        <f>IF(tech_base!$T233&gt;AW$625,"",(1000*tech_proj!AW1197*(-PMT($J$110,tech_base!$F233,1))+1000*tech_proj!AW1477)/((1-tech_proj!AW637)*tech_proj!AW917*$L$110))</f>
        <v>233.14330321610072</v>
      </c>
      <c r="AX857" s="235">
        <f>IF(tech_base!$T233&gt;AX$625,"",(1000*tech_proj!AX1197*(-PMT($J$110,tech_base!$F233,1))+1000*tech_proj!AX1477)/((1-tech_proj!AX637)*tech_proj!AX917*$L$110))</f>
        <v>233.14330321610072</v>
      </c>
    </row>
    <row r="858" spans="1:50" x14ac:dyDescent="0.25">
      <c r="A858" s="357"/>
      <c r="B858" s="380"/>
      <c r="C858" s="381"/>
      <c r="D858" s="4" t="s">
        <v>8</v>
      </c>
      <c r="E858" s="168" t="str">
        <f>A827&amp;"/"&amp;B847&amp;"/"&amp;C857&amp;"/"&amp;D858</f>
        <v>Biomass and waste fired power plants/Steam turbine/CHP with CCS/M</v>
      </c>
      <c r="F858" s="80" t="str">
        <f>A827</f>
        <v>Biomass and waste fired power plants</v>
      </c>
      <c r="G858" s="80" t="str">
        <f>B847</f>
        <v>Steam turbine</v>
      </c>
      <c r="H858" s="80" t="str">
        <f>C857</f>
        <v>CHP with CCS</v>
      </c>
      <c r="I858" s="169" t="str">
        <f t="shared" si="365"/>
        <v>M</v>
      </c>
      <c r="J858" s="73" t="str">
        <f>IF(tech_base!$T234&gt;J$625,"",(1000*tech_proj!J1198*(-PMT($J$110,tech_base!$F234,1))+1000*tech_proj!J1478)/((1-tech_proj!J638)*tech_proj!J918*$L$110))</f>
        <v/>
      </c>
      <c r="K858" s="73" t="str">
        <f>IF(tech_base!$T234&gt;K$625,"",(1000*tech_proj!K1198*(-PMT($J$110,tech_base!$F234,1))+1000*tech_proj!K1478)/((1-tech_proj!K638)*tech_proj!K918*$L$110))</f>
        <v/>
      </c>
      <c r="L858" s="73" t="str">
        <f>IF(tech_base!$T234&gt;L$625,"",(1000*tech_proj!L1198*(-PMT($J$110,tech_base!$F234,1))+1000*tech_proj!L1478)/((1-tech_proj!L638)*tech_proj!L918*$L$110))</f>
        <v/>
      </c>
      <c r="M858" s="73" t="str">
        <f>IF(tech_base!$T234&gt;M$625,"",(1000*tech_proj!M1198*(-PMT($J$110,tech_base!$F234,1))+1000*tech_proj!M1478)/((1-tech_proj!M638)*tech_proj!M918*$L$110))</f>
        <v/>
      </c>
      <c r="N858" s="73" t="str">
        <f>IF(tech_base!$T234&gt;N$625,"",(1000*tech_proj!N1198*(-PMT($J$110,tech_base!$F234,1))+1000*tech_proj!N1478)/((1-tech_proj!N638)*tech_proj!N918*$L$110))</f>
        <v/>
      </c>
      <c r="O858" s="73" t="str">
        <f>IF(tech_base!$T234&gt;O$625,"",(1000*tech_proj!O1198*(-PMT($J$110,tech_base!$F234,1))+1000*tech_proj!O1478)/((1-tech_proj!O638)*tech_proj!O918*$L$110))</f>
        <v/>
      </c>
      <c r="P858" s="73" t="str">
        <f>IF(tech_base!$T234&gt;P$625,"",(1000*tech_proj!P1198*(-PMT($J$110,tech_base!$F234,1))+1000*tech_proj!P1478)/((1-tech_proj!P638)*tech_proj!P918*$L$110))</f>
        <v/>
      </c>
      <c r="Q858" s="73" t="str">
        <f>IF(tech_base!$T234&gt;Q$625,"",(1000*tech_proj!Q1198*(-PMT($J$110,tech_base!$F234,1))+1000*tech_proj!Q1478)/((1-tech_proj!Q638)*tech_proj!Q918*$L$110))</f>
        <v/>
      </c>
      <c r="R858" s="73" t="str">
        <f>IF(tech_base!$T234&gt;R$625,"",(1000*tech_proj!R1198*(-PMT($J$110,tech_base!$F234,1))+1000*tech_proj!R1478)/((1-tech_proj!R638)*tech_proj!R918*$L$110))</f>
        <v/>
      </c>
      <c r="S858" s="73" t="str">
        <f>IF(tech_base!$T234&gt;S$625,"",(1000*tech_proj!S1198*(-PMT($J$110,tech_base!$F234,1))+1000*tech_proj!S1478)/((1-tech_proj!S638)*tech_proj!S918*$L$110))</f>
        <v/>
      </c>
      <c r="T858" s="73" t="str">
        <f>IF(tech_base!$T234&gt;T$625,"",(1000*tech_proj!T1198*(-PMT($J$110,tech_base!$F234,1))+1000*tech_proj!T1478)/((1-tech_proj!T638)*tech_proj!T918*$L$110))</f>
        <v/>
      </c>
      <c r="U858" s="73" t="str">
        <f>IF(tech_base!$T234&gt;U$625,"",(1000*tech_proj!U1198*(-PMT($J$110,tech_base!$F234,1))+1000*tech_proj!U1478)/((1-tech_proj!U638)*tech_proj!U918*$L$110))</f>
        <v/>
      </c>
      <c r="V858" s="73" t="str">
        <f>IF(tech_base!$T234&gt;V$625,"",(1000*tech_proj!V1198*(-PMT($J$110,tech_base!$F234,1))+1000*tech_proj!V1478)/((1-tech_proj!V638)*tech_proj!V918*$L$110))</f>
        <v/>
      </c>
      <c r="W858" s="73" t="str">
        <f>IF(tech_base!$T234&gt;W$625,"",(1000*tech_proj!W1198*(-PMT($J$110,tech_base!$F234,1))+1000*tech_proj!W1478)/((1-tech_proj!W638)*tech_proj!W918*$L$110))</f>
        <v/>
      </c>
      <c r="X858" s="73" t="str">
        <f>IF(tech_base!$T234&gt;X$625,"",(1000*tech_proj!X1198*(-PMT($J$110,tech_base!$F234,1))+1000*tech_proj!X1478)/((1-tech_proj!X638)*tech_proj!X918*$L$110))</f>
        <v/>
      </c>
      <c r="Y858" s="73" t="str">
        <f>IF(tech_base!$T234&gt;Y$625,"",(1000*tech_proj!Y1198*(-PMT($J$110,tech_base!$F234,1))+1000*tech_proj!Y1478)/((1-tech_proj!Y638)*tech_proj!Y918*$L$110))</f>
        <v/>
      </c>
      <c r="Z858" s="73" t="str">
        <f>IF(tech_base!$T234&gt;Z$625,"",(1000*tech_proj!Z1198*(-PMT($J$110,tech_base!$F234,1))+1000*tech_proj!Z1478)/((1-tech_proj!Z638)*tech_proj!Z918*$L$110))</f>
        <v/>
      </c>
      <c r="AA858" s="73" t="str">
        <f>IF(tech_base!$T234&gt;AA$625,"",(1000*tech_proj!AA1198*(-PMT($J$110,tech_base!$F234,1))+1000*tech_proj!AA1478)/((1-tech_proj!AA638)*tech_proj!AA918*$L$110))</f>
        <v/>
      </c>
      <c r="AB858" s="73" t="str">
        <f>IF(tech_base!$T234&gt;AB$625,"",(1000*tech_proj!AB1198*(-PMT($J$110,tech_base!$F234,1))+1000*tech_proj!AB1478)/((1-tech_proj!AB638)*tech_proj!AB918*$L$110))</f>
        <v/>
      </c>
      <c r="AC858" s="73" t="str">
        <f>IF(tech_base!$T234&gt;AC$625,"",(1000*tech_proj!AC1198*(-PMT($J$110,tech_base!$F234,1))+1000*tech_proj!AC1478)/((1-tech_proj!AC638)*tech_proj!AC918*$L$110))</f>
        <v/>
      </c>
      <c r="AD858" s="73" t="str">
        <f>IF(tech_base!$T234&gt;AD$625,"",(1000*tech_proj!AD1198*(-PMT($J$110,tech_base!$F234,1))+1000*tech_proj!AD1478)/((1-tech_proj!AD638)*tech_proj!AD918*$L$110))</f>
        <v/>
      </c>
      <c r="AE858" s="73">
        <f>IF(tech_base!$T234&gt;AE$625,"",(1000*tech_proj!AE1198*(-PMT($J$110,tech_base!$F234,1))+1000*tech_proj!AE1478)/((1-tech_proj!AE638)*tech_proj!AE918*$L$110))</f>
        <v>260.10921231054868</v>
      </c>
      <c r="AF858" s="73">
        <f>IF(tech_base!$T234&gt;AF$625,"",(1000*tech_proj!AF1198*(-PMT($J$110,tech_base!$F234,1))+1000*tech_proj!AF1478)/((1-tech_proj!AF638)*tech_proj!AF918*$L$110))</f>
        <v>260.10921231054868</v>
      </c>
      <c r="AG858" s="73">
        <f>IF(tech_base!$T234&gt;AG$625,"",(1000*tech_proj!AG1198*(-PMT($J$110,tech_base!$F234,1))+1000*tech_proj!AG1478)/((1-tech_proj!AG638)*tech_proj!AG918*$L$110))</f>
        <v>260.10921231054868</v>
      </c>
      <c r="AH858" s="73">
        <f>IF(tech_base!$T234&gt;AH$625,"",(1000*tech_proj!AH1198*(-PMT($J$110,tech_base!$F234,1))+1000*tech_proj!AH1478)/((1-tech_proj!AH638)*tech_proj!AH918*$L$110))</f>
        <v>260.10921231054868</v>
      </c>
      <c r="AI858" s="73">
        <f>IF(tech_base!$T234&gt;AI$625,"",(1000*tech_proj!AI1198*(-PMT($J$110,tech_base!$F234,1))+1000*tech_proj!AI1478)/((1-tech_proj!AI638)*tech_proj!AI918*$L$110))</f>
        <v>260.10921231054868</v>
      </c>
      <c r="AJ858" s="73">
        <f>IF(tech_base!$T234&gt;AJ$625,"",(1000*tech_proj!AJ1198*(-PMT($J$110,tech_base!$F234,1))+1000*tech_proj!AJ1478)/((1-tech_proj!AJ638)*tech_proj!AJ918*$L$110))</f>
        <v>260.10921231054868</v>
      </c>
      <c r="AK858" s="73">
        <f>IF(tech_base!$T234&gt;AK$625,"",(1000*tech_proj!AK1198*(-PMT($J$110,tech_base!$F234,1))+1000*tech_proj!AK1478)/((1-tech_proj!AK638)*tech_proj!AK918*$L$110))</f>
        <v>260.10921231054868</v>
      </c>
      <c r="AL858" s="73">
        <f>IF(tech_base!$T234&gt;AL$625,"",(1000*tech_proj!AL1198*(-PMT($J$110,tech_base!$F234,1))+1000*tech_proj!AL1478)/((1-tech_proj!AL638)*tech_proj!AL918*$L$110))</f>
        <v>260.10921231054868</v>
      </c>
      <c r="AM858" s="73">
        <f>IF(tech_base!$T234&gt;AM$625,"",(1000*tech_proj!AM1198*(-PMT($J$110,tech_base!$F234,1))+1000*tech_proj!AM1478)/((1-tech_proj!AM638)*tech_proj!AM918*$L$110))</f>
        <v>260.10921231054868</v>
      </c>
      <c r="AN858" s="73">
        <f>IF(tech_base!$T234&gt;AN$625,"",(1000*tech_proj!AN1198*(-PMT($J$110,tech_base!$F234,1))+1000*tech_proj!AN1478)/((1-tech_proj!AN638)*tech_proj!AN918*$L$110))</f>
        <v>260.10921231054868</v>
      </c>
      <c r="AO858" s="73">
        <f>IF(tech_base!$T234&gt;AO$625,"",(1000*tech_proj!AO1198*(-PMT($J$110,tech_base!$F234,1))+1000*tech_proj!AO1478)/((1-tech_proj!AO638)*tech_proj!AO918*$L$110))</f>
        <v>260.10921231054868</v>
      </c>
      <c r="AP858" s="73">
        <f>IF(tech_base!$T234&gt;AP$625,"",(1000*tech_proj!AP1198*(-PMT($J$110,tech_base!$F234,1))+1000*tech_proj!AP1478)/((1-tech_proj!AP638)*tech_proj!AP918*$L$110))</f>
        <v>260.10921231054868</v>
      </c>
      <c r="AQ858" s="73">
        <f>IF(tech_base!$T234&gt;AQ$625,"",(1000*tech_proj!AQ1198*(-PMT($J$110,tech_base!$F234,1))+1000*tech_proj!AQ1478)/((1-tech_proj!AQ638)*tech_proj!AQ918*$L$110))</f>
        <v>260.10921231054868</v>
      </c>
      <c r="AR858" s="73">
        <f>IF(tech_base!$T234&gt;AR$625,"",(1000*tech_proj!AR1198*(-PMT($J$110,tech_base!$F234,1))+1000*tech_proj!AR1478)/((1-tech_proj!AR638)*tech_proj!AR918*$L$110))</f>
        <v>260.10921231054868</v>
      </c>
      <c r="AS858" s="73">
        <f>IF(tech_base!$T234&gt;AS$625,"",(1000*tech_proj!AS1198*(-PMT($J$110,tech_base!$F234,1))+1000*tech_proj!AS1478)/((1-tech_proj!AS638)*tech_proj!AS918*$L$110))</f>
        <v>260.10921231054868</v>
      </c>
      <c r="AT858" s="73">
        <f>IF(tech_base!$T234&gt;AT$625,"",(1000*tech_proj!AT1198*(-PMT($J$110,tech_base!$F234,1))+1000*tech_proj!AT1478)/((1-tech_proj!AT638)*tech_proj!AT918*$L$110))</f>
        <v>260.10921231054868</v>
      </c>
      <c r="AU858" s="73">
        <f>IF(tech_base!$T234&gt;AU$625,"",(1000*tech_proj!AU1198*(-PMT($J$110,tech_base!$F234,1))+1000*tech_proj!AU1478)/((1-tech_proj!AU638)*tech_proj!AU918*$L$110))</f>
        <v>260.10921231054868</v>
      </c>
      <c r="AV858" s="73">
        <f>IF(tech_base!$T234&gt;AV$625,"",(1000*tech_proj!AV1198*(-PMT($J$110,tech_base!$F234,1))+1000*tech_proj!AV1478)/((1-tech_proj!AV638)*tech_proj!AV918*$L$110))</f>
        <v>260.10921231054868</v>
      </c>
      <c r="AW858" s="73">
        <f>IF(tech_base!$T234&gt;AW$625,"",(1000*tech_proj!AW1198*(-PMT($J$110,tech_base!$F234,1))+1000*tech_proj!AW1478)/((1-tech_proj!AW638)*tech_proj!AW918*$L$110))</f>
        <v>260.10921231054868</v>
      </c>
      <c r="AX858" s="239">
        <f>IF(tech_base!$T234&gt;AX$625,"",(1000*tech_proj!AX1198*(-PMT($J$110,tech_base!$F234,1))+1000*tech_proj!AX1478)/((1-tech_proj!AX638)*tech_proj!AX918*$L$110))</f>
        <v>260.10921231054868</v>
      </c>
    </row>
    <row r="859" spans="1:50" x14ac:dyDescent="0.25">
      <c r="A859" s="355" t="s">
        <v>31</v>
      </c>
      <c r="B859" s="358" t="s">
        <v>32</v>
      </c>
      <c r="C859" s="353" t="s">
        <v>6</v>
      </c>
      <c r="D859" s="3" t="s">
        <v>8</v>
      </c>
      <c r="E859" s="162" t="str">
        <f>A859&amp;"/"&amp;B859&amp;"/"&amp;C859&amp;"/"&amp;D859</f>
        <v>Fuel cells/Natural gas fuel cell power plant/Electricity only/M</v>
      </c>
      <c r="F859" s="77" t="str">
        <f>A859</f>
        <v>Fuel cells</v>
      </c>
      <c r="G859" s="77" t="str">
        <f>B859</f>
        <v>Natural gas fuel cell power plant</v>
      </c>
      <c r="H859" s="77" t="str">
        <f>C859</f>
        <v>Electricity only</v>
      </c>
      <c r="I859" s="163" t="str">
        <f t="shared" si="365"/>
        <v>M</v>
      </c>
      <c r="J859" s="70" t="str">
        <f>IF(tech_base!$T235&gt;J$625,"",(1000*tech_proj!J1199*(-PMT($J$110,tech_base!$F235,1))+1000*tech_proj!J1479)/((1-tech_proj!J639)*tech_proj!J919*$L$110))</f>
        <v/>
      </c>
      <c r="K859" s="70" t="str">
        <f>IF(tech_base!$T235&gt;K$625,"",(1000*tech_proj!K1199*(-PMT($J$110,tech_base!$F235,1))+1000*tech_proj!K1479)/((1-tech_proj!K639)*tech_proj!K919*$L$110))</f>
        <v/>
      </c>
      <c r="L859" s="70" t="str">
        <f>IF(tech_base!$T235&gt;L$625,"",(1000*tech_proj!L1199*(-PMT($J$110,tech_base!$F235,1))+1000*tech_proj!L1479)/((1-tech_proj!L639)*tech_proj!L919*$L$110))</f>
        <v/>
      </c>
      <c r="M859" s="70" t="str">
        <f>IF(tech_base!$T235&gt;M$625,"",(1000*tech_proj!M1199*(-PMT($J$110,tech_base!$F235,1))+1000*tech_proj!M1479)/((1-tech_proj!M639)*tech_proj!M919*$L$110))</f>
        <v/>
      </c>
      <c r="N859" s="70" t="str">
        <f>IF(tech_base!$T235&gt;N$625,"",(1000*tech_proj!N1199*(-PMT($J$110,tech_base!$F235,1))+1000*tech_proj!N1479)/((1-tech_proj!N639)*tech_proj!N919*$L$110))</f>
        <v/>
      </c>
      <c r="O859" s="70" t="str">
        <f>IF(tech_base!$T235&gt;O$625,"",(1000*tech_proj!O1199*(-PMT($J$110,tech_base!$F235,1))+1000*tech_proj!O1479)/((1-tech_proj!O639)*tech_proj!O919*$L$110))</f>
        <v/>
      </c>
      <c r="P859" s="70" t="str">
        <f>IF(tech_base!$T235&gt;P$625,"",(1000*tech_proj!P1199*(-PMT($J$110,tech_base!$F235,1))+1000*tech_proj!P1479)/((1-tech_proj!P639)*tech_proj!P919*$L$110))</f>
        <v/>
      </c>
      <c r="Q859" s="70" t="str">
        <f>IF(tech_base!$T235&gt;Q$625,"",(1000*tech_proj!Q1199*(-PMT($J$110,tech_base!$F235,1))+1000*tech_proj!Q1479)/((1-tech_proj!Q639)*tech_proj!Q919*$L$110))</f>
        <v/>
      </c>
      <c r="R859" s="70" t="str">
        <f>IF(tech_base!$T235&gt;R$625,"",(1000*tech_proj!R1199*(-PMT($J$110,tech_base!$F235,1))+1000*tech_proj!R1479)/((1-tech_proj!R639)*tech_proj!R919*$L$110))</f>
        <v/>
      </c>
      <c r="S859" s="70" t="str">
        <f>IF(tech_base!$T235&gt;S$625,"",(1000*tech_proj!S1199*(-PMT($J$110,tech_base!$F235,1))+1000*tech_proj!S1479)/((1-tech_proj!S639)*tech_proj!S919*$L$110))</f>
        <v/>
      </c>
      <c r="T859" s="70" t="str">
        <f>IF(tech_base!$T235&gt;T$625,"",(1000*tech_proj!T1199*(-PMT($J$110,tech_base!$F235,1))+1000*tech_proj!T1479)/((1-tech_proj!T639)*tech_proj!T919*$L$110))</f>
        <v/>
      </c>
      <c r="U859" s="70" t="str">
        <f>IF(tech_base!$T235&gt;U$625,"",(1000*tech_proj!U1199*(-PMT($J$110,tech_base!$F235,1))+1000*tech_proj!U1479)/((1-tech_proj!U639)*tech_proj!U919*$L$110))</f>
        <v/>
      </c>
      <c r="V859" s="70" t="str">
        <f>IF(tech_base!$T235&gt;V$625,"",(1000*tech_proj!V1199*(-PMT($J$110,tech_base!$F235,1))+1000*tech_proj!V1479)/((1-tech_proj!V639)*tech_proj!V919*$L$110))</f>
        <v/>
      </c>
      <c r="W859" s="70" t="str">
        <f>IF(tech_base!$T235&gt;W$625,"",(1000*tech_proj!W1199*(-PMT($J$110,tech_base!$F235,1))+1000*tech_proj!W1479)/((1-tech_proj!W639)*tech_proj!W919*$L$110))</f>
        <v/>
      </c>
      <c r="X859" s="70" t="str">
        <f>IF(tech_base!$T235&gt;X$625,"",(1000*tech_proj!X1199*(-PMT($J$110,tech_base!$F235,1))+1000*tech_proj!X1479)/((1-tech_proj!X639)*tech_proj!X919*$L$110))</f>
        <v/>
      </c>
      <c r="Y859" s="70" t="str">
        <f>IF(tech_base!$T235&gt;Y$625,"",(1000*tech_proj!Y1199*(-PMT($J$110,tech_base!$F235,1))+1000*tech_proj!Y1479)/((1-tech_proj!Y639)*tech_proj!Y919*$L$110))</f>
        <v/>
      </c>
      <c r="Z859" s="70" t="str">
        <f>IF(tech_base!$T235&gt;Z$625,"",(1000*tech_proj!Z1199*(-PMT($J$110,tech_base!$F235,1))+1000*tech_proj!Z1479)/((1-tech_proj!Z639)*tech_proj!Z919*$L$110))</f>
        <v/>
      </c>
      <c r="AA859" s="70" t="str">
        <f>IF(tech_base!$T235&gt;AA$625,"",(1000*tech_proj!AA1199*(-PMT($J$110,tech_base!$F235,1))+1000*tech_proj!AA1479)/((1-tech_proj!AA639)*tech_proj!AA919*$L$110))</f>
        <v/>
      </c>
      <c r="AB859" s="70" t="str">
        <f>IF(tech_base!$T235&gt;AB$625,"",(1000*tech_proj!AB1199*(-PMT($J$110,tech_base!$F235,1))+1000*tech_proj!AB1479)/((1-tech_proj!AB639)*tech_proj!AB919*$L$110))</f>
        <v/>
      </c>
      <c r="AC859" s="70" t="str">
        <f>IF(tech_base!$T235&gt;AC$625,"",(1000*tech_proj!AC1199*(-PMT($J$110,tech_base!$F235,1))+1000*tech_proj!AC1479)/((1-tech_proj!AC639)*tech_proj!AC919*$L$110))</f>
        <v/>
      </c>
      <c r="AD859" s="70" t="str">
        <f>IF(tech_base!$T235&gt;AD$625,"",(1000*tech_proj!AD1199*(-PMT($J$110,tech_base!$F235,1))+1000*tech_proj!AD1479)/((1-tech_proj!AD639)*tech_proj!AD919*$L$110))</f>
        <v/>
      </c>
      <c r="AE859" s="70">
        <f>IF(tech_base!$T235&gt;AE$625,"",(1000*tech_proj!AE1199*(-PMT($J$110,tech_base!$F235,1))+1000*tech_proj!AE1479)/((1-tech_proj!AE639)*tech_proj!AE919*$L$110))</f>
        <v>153.68612718449992</v>
      </c>
      <c r="AF859" s="70">
        <f>IF(tech_base!$T235&gt;AF$625,"",(1000*tech_proj!AF1199*(-PMT($J$110,tech_base!$F235,1))+1000*tech_proj!AF1479)/((1-tech_proj!AF639)*tech_proj!AF919*$L$110))</f>
        <v>153.68612718449992</v>
      </c>
      <c r="AG859" s="70">
        <f>IF(tech_base!$T235&gt;AG$625,"",(1000*tech_proj!AG1199*(-PMT($J$110,tech_base!$F235,1))+1000*tech_proj!AG1479)/((1-tech_proj!AG639)*tech_proj!AG919*$L$110))</f>
        <v>153.68612718449992</v>
      </c>
      <c r="AH859" s="70">
        <f>IF(tech_base!$T235&gt;AH$625,"",(1000*tech_proj!AH1199*(-PMT($J$110,tech_base!$F235,1))+1000*tech_proj!AH1479)/((1-tech_proj!AH639)*tech_proj!AH919*$L$110))</f>
        <v>153.68612718449992</v>
      </c>
      <c r="AI859" s="70">
        <f>IF(tech_base!$T235&gt;AI$625,"",(1000*tech_proj!AI1199*(-PMT($J$110,tech_base!$F235,1))+1000*tech_proj!AI1479)/((1-tech_proj!AI639)*tech_proj!AI919*$L$110))</f>
        <v>152.46107718883985</v>
      </c>
      <c r="AJ859" s="70">
        <f>IF(tech_base!$T235&gt;AJ$625,"",(1000*tech_proj!AJ1199*(-PMT($J$110,tech_base!$F235,1))+1000*tech_proj!AJ1479)/((1-tech_proj!AJ639)*tech_proj!AJ919*$L$110))</f>
        <v>152.03848228932449</v>
      </c>
      <c r="AK859" s="70">
        <f>IF(tech_base!$T235&gt;AK$625,"",(1000*tech_proj!AK1199*(-PMT($J$110,tech_base!$F235,1))+1000*tech_proj!AK1479)/((1-tech_proj!AK639)*tech_proj!AK919*$L$110))</f>
        <v>151.4728949306014</v>
      </c>
      <c r="AL859" s="70">
        <f>IF(tech_base!$T235&gt;AL$625,"",(1000*tech_proj!AL1199*(-PMT($J$110,tech_base!$F235,1))+1000*tech_proj!AL1479)/((1-tech_proj!AL639)*tech_proj!AL919*$L$110))</f>
        <v>150.71817088981902</v>
      </c>
      <c r="AM859" s="70">
        <f>IF(tech_base!$T235&gt;AM$625,"",(1000*tech_proj!AM1199*(-PMT($J$110,tech_base!$F235,1))+1000*tech_proj!AM1479)/((1-tech_proj!AM639)*tech_proj!AM919*$L$110))</f>
        <v>149.71505932469853</v>
      </c>
      <c r="AN859" s="70">
        <f>IF(tech_base!$T235&gt;AN$625,"",(1000*tech_proj!AN1199*(-PMT($J$110,tech_base!$F235,1))+1000*tech_proj!AN1479)/((1-tech_proj!AN639)*tech_proj!AN919*$L$110))</f>
        <v>148.38889875747466</v>
      </c>
      <c r="AO859" s="70">
        <f>IF(tech_base!$T235&gt;AO$625,"",(1000*tech_proj!AO1199*(-PMT($J$110,tech_base!$F235,1))+1000*tech_proj!AO1479)/((1-tech_proj!AO639)*tech_proj!AO919*$L$110))</f>
        <v>146.64809098786029</v>
      </c>
      <c r="AP859" s="70">
        <f>IF(tech_base!$T235&gt;AP$625,"",(1000*tech_proj!AP1199*(-PMT($J$110,tech_base!$F235,1))+1000*tech_proj!AP1479)/((1-tech_proj!AP639)*tech_proj!AP919*$L$110))</f>
        <v>144.38455119058099</v>
      </c>
      <c r="AQ859" s="70">
        <f>IF(tech_base!$T235&gt;AQ$625,"",(1000*tech_proj!AQ1199*(-PMT($J$110,tech_base!$F235,1))+1000*tech_proj!AQ1479)/((1-tech_proj!AQ639)*tech_proj!AQ919*$L$110))</f>
        <v>141.47806584067794</v>
      </c>
      <c r="AR859" s="70">
        <f>IF(tech_base!$T235&gt;AR$625,"",(1000*tech_proj!AR1199*(-PMT($J$110,tech_base!$F235,1))+1000*tech_proj!AR1479)/((1-tech_proj!AR639)*tech_proj!AR919*$L$110))</f>
        <v>137.80728234420576</v>
      </c>
      <c r="AS859" s="70">
        <f>IF(tech_base!$T235&gt;AS$625,"",(1000*tech_proj!AS1199*(-PMT($J$110,tech_base!$F235,1))+1000*tech_proj!AS1479)/((1-tech_proj!AS639)*tech_proj!AS919*$L$110))</f>
        <v>133.27044033727591</v>
      </c>
      <c r="AT859" s="70">
        <f>IF(tech_base!$T235&gt;AT$625,"",(1000*tech_proj!AT1199*(-PMT($J$110,tech_base!$F235,1))+1000*tech_proj!AT1479)/((1-tech_proj!AT639)*tech_proj!AT919*$L$110))</f>
        <v>127.81793267632879</v>
      </c>
      <c r="AU859" s="70">
        <f>IF(tech_base!$T235&gt;AU$625,"",(1000*tech_proj!AU1199*(-PMT($J$110,tech_base!$F235,1))+1000*tech_proj!AU1479)/((1-tech_proj!AU639)*tech_proj!AU919*$L$110))</f>
        <v>121.49483197638736</v>
      </c>
      <c r="AV859" s="70">
        <f>IF(tech_base!$T235&gt;AV$625,"",(1000*tech_proj!AV1199*(-PMT($J$110,tech_base!$F235,1))+1000*tech_proj!AV1479)/((1-tech_proj!AV639)*tech_proj!AV919*$L$110))</f>
        <v>114.48344928325288</v>
      </c>
      <c r="AW859" s="70">
        <f>IF(tech_base!$T235&gt;AW$625,"",(1000*tech_proj!AW1199*(-PMT($J$110,tech_base!$F235,1))+1000*tech_proj!AW1479)/((1-tech_proj!AW639)*tech_proj!AW919*$L$110))</f>
        <v>107.12531645641138</v>
      </c>
      <c r="AX859" s="236">
        <f>IF(tech_base!$T235&gt;AX$625,"",(1000*tech_proj!AX1199*(-PMT($J$110,tech_base!$F235,1))+1000*tech_proj!AX1479)/((1-tech_proj!AX639)*tech_proj!AX919*$L$110))</f>
        <v>99.895982669924962</v>
      </c>
    </row>
    <row r="860" spans="1:50" x14ac:dyDescent="0.25">
      <c r="A860" s="356"/>
      <c r="B860" s="376"/>
      <c r="C860" s="378"/>
      <c r="D860" s="2" t="s">
        <v>10</v>
      </c>
      <c r="E860" s="160" t="str">
        <f>A859&amp;"/"&amp;B859&amp;"/"&amp;C859&amp;"/"&amp;D860</f>
        <v>Fuel cells/Natural gas fuel cell power plant/Electricity only/S</v>
      </c>
      <c r="F860" s="76" t="str">
        <f>A859</f>
        <v>Fuel cells</v>
      </c>
      <c r="G860" s="76" t="str">
        <f>B859</f>
        <v>Natural gas fuel cell power plant</v>
      </c>
      <c r="H860" s="76" t="str">
        <f>C859</f>
        <v>Electricity only</v>
      </c>
      <c r="I860" s="161" t="str">
        <f t="shared" si="365"/>
        <v>S</v>
      </c>
      <c r="J860" s="69" t="str">
        <f>IF(tech_base!$T236&gt;J$625,"",(1000*tech_proj!J1200*(-PMT($J$110,tech_base!$F236,1))+1000*tech_proj!J1480)/((1-tech_proj!J640)*tech_proj!J920*$L$110))</f>
        <v/>
      </c>
      <c r="K860" s="69" t="str">
        <f>IF(tech_base!$T236&gt;K$625,"",(1000*tech_proj!K1200*(-PMT($J$110,tech_base!$F236,1))+1000*tech_proj!K1480)/((1-tech_proj!K640)*tech_proj!K920*$L$110))</f>
        <v/>
      </c>
      <c r="L860" s="69" t="str">
        <f>IF(tech_base!$T236&gt;L$625,"",(1000*tech_proj!L1200*(-PMT($J$110,tech_base!$F236,1))+1000*tech_proj!L1480)/((1-tech_proj!L640)*tech_proj!L920*$L$110))</f>
        <v/>
      </c>
      <c r="M860" s="69" t="str">
        <f>IF(tech_base!$T236&gt;M$625,"",(1000*tech_proj!M1200*(-PMT($J$110,tech_base!$F236,1))+1000*tech_proj!M1480)/((1-tech_proj!M640)*tech_proj!M920*$L$110))</f>
        <v/>
      </c>
      <c r="N860" s="69" t="str">
        <f>IF(tech_base!$T236&gt;N$625,"",(1000*tech_proj!N1200*(-PMT($J$110,tech_base!$F236,1))+1000*tech_proj!N1480)/((1-tech_proj!N640)*tech_proj!N920*$L$110))</f>
        <v/>
      </c>
      <c r="O860" s="69" t="str">
        <f>IF(tech_base!$T236&gt;O$625,"",(1000*tech_proj!O1200*(-PMT($J$110,tech_base!$F236,1))+1000*tech_proj!O1480)/((1-tech_proj!O640)*tech_proj!O920*$L$110))</f>
        <v/>
      </c>
      <c r="P860" s="69" t="str">
        <f>IF(tech_base!$T236&gt;P$625,"",(1000*tech_proj!P1200*(-PMT($J$110,tech_base!$F236,1))+1000*tech_proj!P1480)/((1-tech_proj!P640)*tech_proj!P920*$L$110))</f>
        <v/>
      </c>
      <c r="Q860" s="69" t="str">
        <f>IF(tech_base!$T236&gt;Q$625,"",(1000*tech_proj!Q1200*(-PMT($J$110,tech_base!$F236,1))+1000*tech_proj!Q1480)/((1-tech_proj!Q640)*tech_proj!Q920*$L$110))</f>
        <v/>
      </c>
      <c r="R860" s="69" t="str">
        <f>IF(tech_base!$T236&gt;R$625,"",(1000*tech_proj!R1200*(-PMT($J$110,tech_base!$F236,1))+1000*tech_proj!R1480)/((1-tech_proj!R640)*tech_proj!R920*$L$110))</f>
        <v/>
      </c>
      <c r="S860" s="69" t="str">
        <f>IF(tech_base!$T236&gt;S$625,"",(1000*tech_proj!S1200*(-PMT($J$110,tech_base!$F236,1))+1000*tech_proj!S1480)/((1-tech_proj!S640)*tech_proj!S920*$L$110))</f>
        <v/>
      </c>
      <c r="T860" s="69" t="str">
        <f>IF(tech_base!$T236&gt;T$625,"",(1000*tech_proj!T1200*(-PMT($J$110,tech_base!$F236,1))+1000*tech_proj!T1480)/((1-tech_proj!T640)*tech_proj!T920*$L$110))</f>
        <v/>
      </c>
      <c r="U860" s="69" t="str">
        <f>IF(tech_base!$T236&gt;U$625,"",(1000*tech_proj!U1200*(-PMT($J$110,tech_base!$F236,1))+1000*tech_proj!U1480)/((1-tech_proj!U640)*tech_proj!U920*$L$110))</f>
        <v/>
      </c>
      <c r="V860" s="69" t="str">
        <f>IF(tech_base!$T236&gt;V$625,"",(1000*tech_proj!V1200*(-PMT($J$110,tech_base!$F236,1))+1000*tech_proj!V1480)/((1-tech_proj!V640)*tech_proj!V920*$L$110))</f>
        <v/>
      </c>
      <c r="W860" s="69" t="str">
        <f>IF(tech_base!$T236&gt;W$625,"",(1000*tech_proj!W1200*(-PMT($J$110,tech_base!$F236,1))+1000*tech_proj!W1480)/((1-tech_proj!W640)*tech_proj!W920*$L$110))</f>
        <v/>
      </c>
      <c r="X860" s="69" t="str">
        <f>IF(tech_base!$T236&gt;X$625,"",(1000*tech_proj!X1200*(-PMT($J$110,tech_base!$F236,1))+1000*tech_proj!X1480)/((1-tech_proj!X640)*tech_proj!X920*$L$110))</f>
        <v/>
      </c>
      <c r="Y860" s="69" t="str">
        <f>IF(tech_base!$T236&gt;Y$625,"",(1000*tech_proj!Y1200*(-PMT($J$110,tech_base!$F236,1))+1000*tech_proj!Y1480)/((1-tech_proj!Y640)*tech_proj!Y920*$L$110))</f>
        <v/>
      </c>
      <c r="Z860" s="69" t="str">
        <f>IF(tech_base!$T236&gt;Z$625,"",(1000*tech_proj!Z1200*(-PMT($J$110,tech_base!$F236,1))+1000*tech_proj!Z1480)/((1-tech_proj!Z640)*tech_proj!Z920*$L$110))</f>
        <v/>
      </c>
      <c r="AA860" s="69" t="str">
        <f>IF(tech_base!$T236&gt;AA$625,"",(1000*tech_proj!AA1200*(-PMT($J$110,tech_base!$F236,1))+1000*tech_proj!AA1480)/((1-tech_proj!AA640)*tech_proj!AA920*$L$110))</f>
        <v/>
      </c>
      <c r="AB860" s="69" t="str">
        <f>IF(tech_base!$T236&gt;AB$625,"",(1000*tech_proj!AB1200*(-PMT($J$110,tech_base!$F236,1))+1000*tech_proj!AB1480)/((1-tech_proj!AB640)*tech_proj!AB920*$L$110))</f>
        <v/>
      </c>
      <c r="AC860" s="69">
        <f>IF(tech_base!$T236&gt;AC$625,"",(1000*tech_proj!AC1200*(-PMT($J$110,tech_base!$F236,1))+1000*tech_proj!AC1480)/((1-tech_proj!AC640)*tech_proj!AC920*$L$110))</f>
        <v>186.1042231135113</v>
      </c>
      <c r="AD860" s="69">
        <f>IF(tech_base!$T236&gt;AD$625,"",(1000*tech_proj!AD1200*(-PMT($J$110,tech_base!$F236,1))+1000*tech_proj!AD1480)/((1-tech_proj!AD640)*tech_proj!AD920*$L$110))</f>
        <v>186.1042231135113</v>
      </c>
      <c r="AE860" s="69">
        <f>IF(tech_base!$T236&gt;AE$625,"",(1000*tech_proj!AE1200*(-PMT($J$110,tech_base!$F236,1))+1000*tech_proj!AE1480)/((1-tech_proj!AE640)*tech_proj!AE920*$L$110))</f>
        <v>186.1042231135113</v>
      </c>
      <c r="AF860" s="69">
        <f>IF(tech_base!$T236&gt;AF$625,"",(1000*tech_proj!AF1200*(-PMT($J$110,tech_base!$F236,1))+1000*tech_proj!AF1480)/((1-tech_proj!AF640)*tech_proj!AF920*$L$110))</f>
        <v>186.1042231135113</v>
      </c>
      <c r="AG860" s="69">
        <f>IF(tech_base!$T236&gt;AG$625,"",(1000*tech_proj!AG1200*(-PMT($J$110,tech_base!$F236,1))+1000*tech_proj!AG1480)/((1-tech_proj!AG640)*tech_proj!AG920*$L$110))</f>
        <v>186.1042231135113</v>
      </c>
      <c r="AH860" s="69">
        <f>IF(tech_base!$T236&gt;AH$625,"",(1000*tech_proj!AH1200*(-PMT($J$110,tech_base!$F236,1))+1000*tech_proj!AH1480)/((1-tech_proj!AH640)*tech_proj!AH920*$L$110))</f>
        <v>186.1042231135113</v>
      </c>
      <c r="AI860" s="69">
        <f>IF(tech_base!$T236&gt;AI$625,"",(1000*tech_proj!AI1200*(-PMT($J$110,tech_base!$F236,1))+1000*tech_proj!AI1480)/((1-tech_proj!AI640)*tech_proj!AI920*$L$110))</f>
        <v>184.93507497721163</v>
      </c>
      <c r="AJ860" s="69">
        <f>IF(tech_base!$T236&gt;AJ$625,"",(1000*tech_proj!AJ1200*(-PMT($J$110,tech_base!$F236,1))+1000*tech_proj!AJ1480)/((1-tech_proj!AJ640)*tech_proj!AJ920*$L$110))</f>
        <v>184.53124258802617</v>
      </c>
      <c r="AK860" s="69">
        <f>IF(tech_base!$T236&gt;AK$625,"",(1000*tech_proj!AK1200*(-PMT($J$110,tech_base!$F236,1))+1000*tech_proj!AK1480)/((1-tech_proj!AK640)*tech_proj!AK920*$L$110))</f>
        <v>183.99034294002567</v>
      </c>
      <c r="AL860" s="69">
        <f>IF(tech_base!$T236&gt;AL$625,"",(1000*tech_proj!AL1200*(-PMT($J$110,tech_base!$F236,1))+1000*tech_proj!AL1480)/((1-tech_proj!AL640)*tech_proj!AL920*$L$110))</f>
        <v>183.2678004858407</v>
      </c>
      <c r="AM860" s="69">
        <f>IF(tech_base!$T236&gt;AM$625,"",(1000*tech_proj!AM1200*(-PMT($J$110,tech_base!$F236,1))+1000*tech_proj!AM1480)/((1-tech_proj!AM640)*tech_proj!AM920*$L$110))</f>
        <v>182.30609688480141</v>
      </c>
      <c r="AN860" s="69">
        <f>IF(tech_base!$T236&gt;AN$625,"",(1000*tech_proj!AN1200*(-PMT($J$110,tech_base!$F236,1))+1000*tech_proj!AN1480)/((1-tech_proj!AN640)*tech_proj!AN920*$L$110))</f>
        <v>181.03224854033132</v>
      </c>
      <c r="AO860" s="69">
        <f>IF(tech_base!$T236&gt;AO$625,"",(1000*tech_proj!AO1200*(-PMT($J$110,tech_base!$F236,1))+1000*tech_proj!AO1480)/((1-tech_proj!AO640)*tech_proj!AO920*$L$110))</f>
        <v>179.35581298899729</v>
      </c>
      <c r="AP860" s="69">
        <f>IF(tech_base!$T236&gt;AP$625,"",(1000*tech_proj!AP1200*(-PMT($J$110,tech_base!$F236,1))+1000*tech_proj!AP1480)/((1-tech_proj!AP640)*tech_proj!AP920*$L$110))</f>
        <v>177.16846075689327</v>
      </c>
      <c r="AQ860" s="69">
        <f>IF(tech_base!$T236&gt;AQ$625,"",(1000*tech_proj!AQ1200*(-PMT($J$110,tech_base!$F236,1))+1000*tech_proj!AQ1480)/((1-tech_proj!AQ640)*tech_proj!AQ920*$L$110))</f>
        <v>174.34684019552566</v>
      </c>
      <c r="AR860" s="69">
        <f>IF(tech_base!$T236&gt;AR$625,"",(1000*tech_proj!AR1200*(-PMT($J$110,tech_base!$F236,1))+1000*tech_proj!AR1480)/((1-tech_proj!AR640)*tech_proj!AR920*$L$110))</f>
        <v>170.76127589256558</v>
      </c>
      <c r="AS860" s="69">
        <f>IF(tech_base!$T236&gt;AS$625,"",(1000*tech_proj!AS1200*(-PMT($J$110,tech_base!$F236,1))+1000*tech_proj!AS1480)/((1-tech_proj!AS640)*tech_proj!AS920*$L$110))</f>
        <v>166.29342409688655</v>
      </c>
      <c r="AT860" s="69">
        <f>IF(tech_base!$T236&gt;AT$625,"",(1000*tech_proj!AT1200*(-PMT($J$110,tech_base!$F236,1))+1000*tech_proj!AT1480)/((1-tech_proj!AT640)*tech_proj!AT920*$L$110))</f>
        <v>160.86553252354159</v>
      </c>
      <c r="AU860" s="69">
        <f>IF(tech_base!$T236&gt;AU$625,"",(1000*tech_proj!AU1200*(-PMT($J$110,tech_base!$F236,1))+1000*tech_proj!AU1480)/((1-tech_proj!AU640)*tech_proj!AU920*$L$110))</f>
        <v>154.48103509604869</v>
      </c>
      <c r="AV860" s="69">
        <f>IF(tech_base!$T236&gt;AV$625,"",(1000*tech_proj!AV1200*(-PMT($J$110,tech_base!$F236,1))+1000*tech_proj!AV1480)/((1-tech_proj!AV640)*tech_proj!AV920*$L$110))</f>
        <v>147.26947261238192</v>
      </c>
      <c r="AW860" s="69">
        <f>IF(tech_base!$T236&gt;AW$625,"",(1000*tech_proj!AW1200*(-PMT($J$110,tech_base!$F236,1))+1000*tech_proj!AW1480)/((1-tech_proj!AW640)*tech_proj!AW920*$L$110))</f>
        <v>139.51864592230726</v>
      </c>
      <c r="AX860" s="235">
        <f>IF(tech_base!$T236&gt;AX$625,"",(1000*tech_proj!AX1200*(-PMT($J$110,tech_base!$F236,1))+1000*tech_proj!AX1480)/((1-tech_proj!AX640)*tech_proj!AX920*$L$110))</f>
        <v>131.66873785280924</v>
      </c>
    </row>
    <row r="861" spans="1:50" x14ac:dyDescent="0.25">
      <c r="A861" s="356"/>
      <c r="B861" s="377"/>
      <c r="C861" s="379"/>
      <c r="D861" s="59" t="s">
        <v>20</v>
      </c>
      <c r="E861" s="166" t="str">
        <f>A859&amp;"/"&amp;B859&amp;"/"&amp;C859&amp;"/"&amp;D861</f>
        <v>Fuel cells/Natural gas fuel cell power plant/Electricity only/XS</v>
      </c>
      <c r="F861" s="79" t="str">
        <f>A859</f>
        <v>Fuel cells</v>
      </c>
      <c r="G861" s="79" t="str">
        <f>B859</f>
        <v>Natural gas fuel cell power plant</v>
      </c>
      <c r="H861" s="79" t="str">
        <f>C859</f>
        <v>Electricity only</v>
      </c>
      <c r="I861" s="167" t="str">
        <f t="shared" si="365"/>
        <v>XS</v>
      </c>
      <c r="J861" s="72" t="str">
        <f>IF(tech_base!$T237&gt;J$625,"",(1000*tech_proj!J1201*(-PMT($J$110,tech_base!$F237,1))+1000*tech_proj!J1481)/((1-tech_proj!J641)*tech_proj!J921*$L$110))</f>
        <v/>
      </c>
      <c r="K861" s="72" t="str">
        <f>IF(tech_base!$T237&gt;K$625,"",(1000*tech_proj!K1201*(-PMT($J$110,tech_base!$F237,1))+1000*tech_proj!K1481)/((1-tech_proj!K641)*tech_proj!K921*$L$110))</f>
        <v/>
      </c>
      <c r="L861" s="72" t="str">
        <f>IF(tech_base!$T237&gt;L$625,"",(1000*tech_proj!L1201*(-PMT($J$110,tech_base!$F237,1))+1000*tech_proj!L1481)/((1-tech_proj!L641)*tech_proj!L921*$L$110))</f>
        <v/>
      </c>
      <c r="M861" s="72" t="str">
        <f>IF(tech_base!$T237&gt;M$625,"",(1000*tech_proj!M1201*(-PMT($J$110,tech_base!$F237,1))+1000*tech_proj!M1481)/((1-tech_proj!M641)*tech_proj!M921*$L$110))</f>
        <v/>
      </c>
      <c r="N861" s="72" t="str">
        <f>IF(tech_base!$T237&gt;N$625,"",(1000*tech_proj!N1201*(-PMT($J$110,tech_base!$F237,1))+1000*tech_proj!N1481)/((1-tech_proj!N641)*tech_proj!N921*$L$110))</f>
        <v/>
      </c>
      <c r="O861" s="72" t="str">
        <f>IF(tech_base!$T237&gt;O$625,"",(1000*tech_proj!O1201*(-PMT($J$110,tech_base!$F237,1))+1000*tech_proj!O1481)/((1-tech_proj!O641)*tech_proj!O921*$L$110))</f>
        <v/>
      </c>
      <c r="P861" s="72" t="str">
        <f>IF(tech_base!$T237&gt;P$625,"",(1000*tech_proj!P1201*(-PMT($J$110,tech_base!$F237,1))+1000*tech_proj!P1481)/((1-tech_proj!P641)*tech_proj!P921*$L$110))</f>
        <v/>
      </c>
      <c r="Q861" s="72" t="str">
        <f>IF(tech_base!$T237&gt;Q$625,"",(1000*tech_proj!Q1201*(-PMT($J$110,tech_base!$F237,1))+1000*tech_proj!Q1481)/((1-tech_proj!Q641)*tech_proj!Q921*$L$110))</f>
        <v/>
      </c>
      <c r="R861" s="72" t="str">
        <f>IF(tech_base!$T237&gt;R$625,"",(1000*tech_proj!R1201*(-PMT($J$110,tech_base!$F237,1))+1000*tech_proj!R1481)/((1-tech_proj!R641)*tech_proj!R921*$L$110))</f>
        <v/>
      </c>
      <c r="S861" s="72" t="str">
        <f>IF(tech_base!$T237&gt;S$625,"",(1000*tech_proj!S1201*(-PMT($J$110,tech_base!$F237,1))+1000*tech_proj!S1481)/((1-tech_proj!S641)*tech_proj!S921*$L$110))</f>
        <v/>
      </c>
      <c r="T861" s="72" t="str">
        <f>IF(tech_base!$T237&gt;T$625,"",(1000*tech_proj!T1201*(-PMT($J$110,tech_base!$F237,1))+1000*tech_proj!T1481)/((1-tech_proj!T641)*tech_proj!T921*$L$110))</f>
        <v/>
      </c>
      <c r="U861" s="72" t="str">
        <f>IF(tech_base!$T237&gt;U$625,"",(1000*tech_proj!U1201*(-PMT($J$110,tech_base!$F237,1))+1000*tech_proj!U1481)/((1-tech_proj!U641)*tech_proj!U921*$L$110))</f>
        <v/>
      </c>
      <c r="V861" s="72" t="str">
        <f>IF(tech_base!$T237&gt;V$625,"",(1000*tech_proj!V1201*(-PMT($J$110,tech_base!$F237,1))+1000*tech_proj!V1481)/((1-tech_proj!V641)*tech_proj!V921*$L$110))</f>
        <v/>
      </c>
      <c r="W861" s="72" t="str">
        <f>IF(tech_base!$T237&gt;W$625,"",(1000*tech_proj!W1201*(-PMT($J$110,tech_base!$F237,1))+1000*tech_proj!W1481)/((1-tech_proj!W641)*tech_proj!W921*$L$110))</f>
        <v/>
      </c>
      <c r="X861" s="72" t="str">
        <f>IF(tech_base!$T237&gt;X$625,"",(1000*tech_proj!X1201*(-PMT($J$110,tech_base!$F237,1))+1000*tech_proj!X1481)/((1-tech_proj!X641)*tech_proj!X921*$L$110))</f>
        <v/>
      </c>
      <c r="Y861" s="72" t="str">
        <f>IF(tech_base!$T237&gt;Y$625,"",(1000*tech_proj!Y1201*(-PMT($J$110,tech_base!$F237,1))+1000*tech_proj!Y1481)/((1-tech_proj!Y641)*tech_proj!Y921*$L$110))</f>
        <v/>
      </c>
      <c r="Z861" s="72">
        <f>IF(tech_base!$T237&gt;Z$625,"",(1000*tech_proj!Z1201*(-PMT($J$110,tech_base!$F237,1))+1000*tech_proj!Z1481)/((1-tech_proj!Z641)*tech_proj!Z921*$L$110))</f>
        <v>281.85364737959753</v>
      </c>
      <c r="AA861" s="72">
        <f>IF(tech_base!$T237&gt;AA$625,"",(1000*tech_proj!AA1201*(-PMT($J$110,tech_base!$F237,1))+1000*tech_proj!AA1481)/((1-tech_proj!AA641)*tech_proj!AA921*$L$110))</f>
        <v>281.85364737959753</v>
      </c>
      <c r="AB861" s="72">
        <f>IF(tech_base!$T237&gt;AB$625,"",(1000*tech_proj!AB1201*(-PMT($J$110,tech_base!$F237,1))+1000*tech_proj!AB1481)/((1-tech_proj!AB641)*tech_proj!AB921*$L$110))</f>
        <v>281.85364737959753</v>
      </c>
      <c r="AC861" s="72">
        <f>IF(tech_base!$T237&gt;AC$625,"",(1000*tech_proj!AC1201*(-PMT($J$110,tech_base!$F237,1))+1000*tech_proj!AC1481)/((1-tech_proj!AC641)*tech_proj!AC921*$L$110))</f>
        <v>281.85364737959753</v>
      </c>
      <c r="AD861" s="72">
        <f>IF(tech_base!$T237&gt;AD$625,"",(1000*tech_proj!AD1201*(-PMT($J$110,tech_base!$F237,1))+1000*tech_proj!AD1481)/((1-tech_proj!AD641)*tech_proj!AD921*$L$110))</f>
        <v>281.85364737959753</v>
      </c>
      <c r="AE861" s="72">
        <f>IF(tech_base!$T237&gt;AE$625,"",(1000*tech_proj!AE1201*(-PMT($J$110,tech_base!$F237,1))+1000*tech_proj!AE1481)/((1-tech_proj!AE641)*tech_proj!AE921*$L$110))</f>
        <v>281.85364737959753</v>
      </c>
      <c r="AF861" s="72">
        <f>IF(tech_base!$T237&gt;AF$625,"",(1000*tech_proj!AF1201*(-PMT($J$110,tech_base!$F237,1))+1000*tech_proj!AF1481)/((1-tech_proj!AF641)*tech_proj!AF921*$L$110))</f>
        <v>281.85364737959753</v>
      </c>
      <c r="AG861" s="72">
        <f>IF(tech_base!$T237&gt;AG$625,"",(1000*tech_proj!AG1201*(-PMT($J$110,tech_base!$F237,1))+1000*tech_proj!AG1481)/((1-tech_proj!AG641)*tech_proj!AG921*$L$110))</f>
        <v>281.85364737959753</v>
      </c>
      <c r="AH861" s="72">
        <f>IF(tech_base!$T237&gt;AH$625,"",(1000*tech_proj!AH1201*(-PMT($J$110,tech_base!$F237,1))+1000*tech_proj!AH1481)/((1-tech_proj!AH641)*tech_proj!AH921*$L$110))</f>
        <v>281.85364737959753</v>
      </c>
      <c r="AI861" s="72">
        <f>IF(tech_base!$T237&gt;AI$625,"",(1000*tech_proj!AI1201*(-PMT($J$110,tech_base!$F237,1))+1000*tech_proj!AI1481)/((1-tech_proj!AI641)*tech_proj!AI921*$L$110))</f>
        <v>280.47934705514359</v>
      </c>
      <c r="AJ861" s="72">
        <f>IF(tech_base!$T237&gt;AJ$625,"",(1000*tech_proj!AJ1201*(-PMT($J$110,tech_base!$F237,1))+1000*tech_proj!AJ1481)/((1-tech_proj!AJ641)*tech_proj!AJ921*$L$110))</f>
        <v>280.00407340960879</v>
      </c>
      <c r="AK861" s="72">
        <f>IF(tech_base!$T237&gt;AK$625,"",(1000*tech_proj!AK1201*(-PMT($J$110,tech_base!$F237,1))+1000*tech_proj!AK1481)/((1-tech_proj!AK641)*tech_proj!AK921*$L$110))</f>
        <v>279.36701298295799</v>
      </c>
      <c r="AL861" s="72">
        <f>IF(tech_base!$T237&gt;AL$625,"",(1000*tech_proj!AL1201*(-PMT($J$110,tech_base!$F237,1))+1000*tech_proj!AL1481)/((1-tech_proj!AL641)*tech_proj!AL921*$L$110))</f>
        <v>278.51516920636305</v>
      </c>
      <c r="AM861" s="72">
        <f>IF(tech_base!$T237&gt;AM$625,"",(1000*tech_proj!AM1201*(-PMT($J$110,tech_base!$F237,1))+1000*tech_proj!AM1481)/((1-tech_proj!AM641)*tech_proj!AM921*$L$110))</f>
        <v>277.37984516749691</v>
      </c>
      <c r="AN861" s="72">
        <f>IF(tech_base!$T237&gt;AN$625,"",(1000*tech_proj!AN1201*(-PMT($J$110,tech_base!$F237,1))+1000*tech_proj!AN1481)/((1-tech_proj!AN641)*tech_proj!AN921*$L$110))</f>
        <v>275.87331338168491</v>
      </c>
      <c r="AO861" s="72">
        <f>IF(tech_base!$T237&gt;AO$625,"",(1000*tech_proj!AO1201*(-PMT($J$110,tech_base!$F237,1))+1000*tech_proj!AO1481)/((1-tech_proj!AO641)*tech_proj!AO921*$L$110))</f>
        <v>273.88586237539931</v>
      </c>
      <c r="AP861" s="72">
        <f>IF(tech_base!$T237&gt;AP$625,"",(1000*tech_proj!AP1201*(-PMT($J$110,tech_base!$F237,1))+1000*tech_proj!AP1481)/((1-tech_proj!AP641)*tech_proj!AP921*$L$110))</f>
        <v>271.28431039070421</v>
      </c>
      <c r="AQ861" s="72">
        <f>IF(tech_base!$T237&gt;AQ$625,"",(1000*tech_proj!AQ1201*(-PMT($J$110,tech_base!$F237,1))+1000*tech_proj!AQ1481)/((1-tech_proj!AQ641)*tech_proj!AQ921*$L$110))</f>
        <v>267.91386840465526</v>
      </c>
      <c r="AR861" s="72">
        <f>IF(tech_base!$T237&gt;AR$625,"",(1000*tech_proj!AR1201*(-PMT($J$110,tech_base!$F237,1))+1000*tech_proj!AR1481)/((1-tech_proj!AR641)*tech_proj!AR921*$L$110))</f>
        <v>263.60623509297756</v>
      </c>
      <c r="AS861" s="72">
        <f>IF(tech_base!$T237&gt;AS$625,"",(1000*tech_proj!AS1201*(-PMT($J$110,tech_base!$F237,1))+1000*tech_proj!AS1481)/((1-tech_proj!AS641)*tech_proj!AS921*$L$110))</f>
        <v>258.19770069575304</v>
      </c>
      <c r="AT861" s="72">
        <f>IF(tech_base!$T237&gt;AT$625,"",(1000*tech_proj!AT1201*(-PMT($J$110,tech_base!$F237,1))+1000*tech_proj!AT1481)/((1-tech_proj!AT641)*tech_proj!AT921*$L$110))</f>
        <v>251.5610003913456</v>
      </c>
      <c r="AU861" s="72">
        <f>IF(tech_base!$T237&gt;AU$625,"",(1000*tech_proj!AU1201*(-PMT($J$110,tech_base!$F237,1))+1000*tech_proj!AU1481)/((1-tech_proj!AU641)*tech_proj!AU921*$L$110))</f>
        <v>243.65218211172075</v>
      </c>
      <c r="AV861" s="72">
        <f>IF(tech_base!$T237&gt;AV$625,"",(1000*tech_proj!AV1201*(-PMT($J$110,tech_base!$F237,1))+1000*tech_proj!AV1481)/((1-tech_proj!AV641)*tech_proj!AV921*$L$110))</f>
        <v>234.56702831760359</v>
      </c>
      <c r="AW861" s="72">
        <f>IF(tech_base!$T237&gt;AW$625,"",(1000*tech_proj!AW1201*(-PMT($J$110,tech_base!$F237,1))+1000*tech_proj!AW1481)/((1-tech_proj!AW641)*tech_proj!AW921*$L$110))</f>
        <v>224.59021936018755</v>
      </c>
      <c r="AX861" s="238">
        <f>IF(tech_base!$T237&gt;AX$625,"",(1000*tech_proj!AX1201*(-PMT($J$110,tech_base!$F237,1))+1000*tech_proj!AX1481)/((1-tech_proj!AX641)*tech_proj!AX921*$L$110))</f>
        <v>214.20877200849412</v>
      </c>
    </row>
    <row r="862" spans="1:50" x14ac:dyDescent="0.25">
      <c r="A862" s="356"/>
      <c r="B862" s="359" t="s">
        <v>33</v>
      </c>
      <c r="C862" s="350" t="s">
        <v>6</v>
      </c>
      <c r="D862" s="2" t="s">
        <v>8</v>
      </c>
      <c r="E862" s="160" t="str">
        <f>A859&amp;"/"&amp;B862&amp;"/"&amp;C862&amp;"/"&amp;D862</f>
        <v>Fuel cells/Hydrogen fuel cell power plant/Electricity only/M</v>
      </c>
      <c r="F862" s="76" t="str">
        <f>A859</f>
        <v>Fuel cells</v>
      </c>
      <c r="G862" s="76" t="str">
        <f>B862</f>
        <v>Hydrogen fuel cell power plant</v>
      </c>
      <c r="H862" s="76" t="str">
        <f>C862</f>
        <v>Electricity only</v>
      </c>
      <c r="I862" s="161" t="str">
        <f t="shared" si="365"/>
        <v>M</v>
      </c>
      <c r="J862" s="69" t="str">
        <f>IF(tech_base!$T238&gt;J$625,"",(1000*tech_proj!J1202*(-PMT($J$110,tech_base!$F238,1))+1000*tech_proj!J1482)/((1-tech_proj!J642)*tech_proj!J922*$L$110))</f>
        <v/>
      </c>
      <c r="K862" s="69" t="str">
        <f>IF(tech_base!$T238&gt;K$625,"",(1000*tech_proj!K1202*(-PMT($J$110,tech_base!$F238,1))+1000*tech_proj!K1482)/((1-tech_proj!K642)*tech_proj!K922*$L$110))</f>
        <v/>
      </c>
      <c r="L862" s="69" t="str">
        <f>IF(tech_base!$T238&gt;L$625,"",(1000*tech_proj!L1202*(-PMT($J$110,tech_base!$F238,1))+1000*tech_proj!L1482)/((1-tech_proj!L642)*tech_proj!L922*$L$110))</f>
        <v/>
      </c>
      <c r="M862" s="69" t="str">
        <f>IF(tech_base!$T238&gt;M$625,"",(1000*tech_proj!M1202*(-PMT($J$110,tech_base!$F238,1))+1000*tech_proj!M1482)/((1-tech_proj!M642)*tech_proj!M922*$L$110))</f>
        <v/>
      </c>
      <c r="N862" s="69" t="str">
        <f>IF(tech_base!$T238&gt;N$625,"",(1000*tech_proj!N1202*(-PMT($J$110,tech_base!$F238,1))+1000*tech_proj!N1482)/((1-tech_proj!N642)*tech_proj!N922*$L$110))</f>
        <v/>
      </c>
      <c r="O862" s="69" t="str">
        <f>IF(tech_base!$T238&gt;O$625,"",(1000*tech_proj!O1202*(-PMT($J$110,tech_base!$F238,1))+1000*tech_proj!O1482)/((1-tech_proj!O642)*tech_proj!O922*$L$110))</f>
        <v/>
      </c>
      <c r="P862" s="69" t="str">
        <f>IF(tech_base!$T238&gt;P$625,"",(1000*tech_proj!P1202*(-PMT($J$110,tech_base!$F238,1))+1000*tech_proj!P1482)/((1-tech_proj!P642)*tech_proj!P922*$L$110))</f>
        <v/>
      </c>
      <c r="Q862" s="69" t="str">
        <f>IF(tech_base!$T238&gt;Q$625,"",(1000*tech_proj!Q1202*(-PMT($J$110,tech_base!$F238,1))+1000*tech_proj!Q1482)/((1-tech_proj!Q642)*tech_proj!Q922*$L$110))</f>
        <v/>
      </c>
      <c r="R862" s="69" t="str">
        <f>IF(tech_base!$T238&gt;R$625,"",(1000*tech_proj!R1202*(-PMT($J$110,tech_base!$F238,1))+1000*tech_proj!R1482)/((1-tech_proj!R642)*tech_proj!R922*$L$110))</f>
        <v/>
      </c>
      <c r="S862" s="69" t="str">
        <f>IF(tech_base!$T238&gt;S$625,"",(1000*tech_proj!S1202*(-PMT($J$110,tech_base!$F238,1))+1000*tech_proj!S1482)/((1-tech_proj!S642)*tech_proj!S922*$L$110))</f>
        <v/>
      </c>
      <c r="T862" s="69" t="str">
        <f>IF(tech_base!$T238&gt;T$625,"",(1000*tech_proj!T1202*(-PMT($J$110,tech_base!$F238,1))+1000*tech_proj!T1482)/((1-tech_proj!T642)*tech_proj!T922*$L$110))</f>
        <v/>
      </c>
      <c r="U862" s="69" t="str">
        <f>IF(tech_base!$T238&gt;U$625,"",(1000*tech_proj!U1202*(-PMT($J$110,tech_base!$F238,1))+1000*tech_proj!U1482)/((1-tech_proj!U642)*tech_proj!U922*$L$110))</f>
        <v/>
      </c>
      <c r="V862" s="69" t="str">
        <f>IF(tech_base!$T238&gt;V$625,"",(1000*tech_proj!V1202*(-PMT($J$110,tech_base!$F238,1))+1000*tech_proj!V1482)/((1-tech_proj!V642)*tech_proj!V922*$L$110))</f>
        <v/>
      </c>
      <c r="W862" s="69" t="str">
        <f>IF(tech_base!$T238&gt;W$625,"",(1000*tech_proj!W1202*(-PMT($J$110,tech_base!$F238,1))+1000*tech_proj!W1482)/((1-tech_proj!W642)*tech_proj!W922*$L$110))</f>
        <v/>
      </c>
      <c r="X862" s="69" t="str">
        <f>IF(tech_base!$T238&gt;X$625,"",(1000*tech_proj!X1202*(-PMT($J$110,tech_base!$F238,1))+1000*tech_proj!X1482)/((1-tech_proj!X642)*tech_proj!X922*$L$110))</f>
        <v/>
      </c>
      <c r="Y862" s="69" t="str">
        <f>IF(tech_base!$T238&gt;Y$625,"",(1000*tech_proj!Y1202*(-PMT($J$110,tech_base!$F238,1))+1000*tech_proj!Y1482)/((1-tech_proj!Y642)*tech_proj!Y922*$L$110))</f>
        <v/>
      </c>
      <c r="Z862" s="69" t="str">
        <f>IF(tech_base!$T238&gt;Z$625,"",(1000*tech_proj!Z1202*(-PMT($J$110,tech_base!$F238,1))+1000*tech_proj!Z1482)/((1-tech_proj!Z642)*tech_proj!Z922*$L$110))</f>
        <v/>
      </c>
      <c r="AA862" s="69" t="str">
        <f>IF(tech_base!$T238&gt;AA$625,"",(1000*tech_proj!AA1202*(-PMT($J$110,tech_base!$F238,1))+1000*tech_proj!AA1482)/((1-tech_proj!AA642)*tech_proj!AA922*$L$110))</f>
        <v/>
      </c>
      <c r="AB862" s="69" t="str">
        <f>IF(tech_base!$T238&gt;AB$625,"",(1000*tech_proj!AB1202*(-PMT($J$110,tech_base!$F238,1))+1000*tech_proj!AB1482)/((1-tech_proj!AB642)*tech_proj!AB922*$L$110))</f>
        <v/>
      </c>
      <c r="AC862" s="69" t="str">
        <f>IF(tech_base!$T238&gt;AC$625,"",(1000*tech_proj!AC1202*(-PMT($J$110,tech_base!$F238,1))+1000*tech_proj!AC1482)/((1-tech_proj!AC642)*tech_proj!AC922*$L$110))</f>
        <v/>
      </c>
      <c r="AD862" s="69" t="str">
        <f>IF(tech_base!$T238&gt;AD$625,"",(1000*tech_proj!AD1202*(-PMT($J$110,tech_base!$F238,1))+1000*tech_proj!AD1482)/((1-tech_proj!AD642)*tech_proj!AD922*$L$110))</f>
        <v/>
      </c>
      <c r="AE862" s="69" t="str">
        <f>IF(tech_base!$T238&gt;AE$625,"",(1000*tech_proj!AE1202*(-PMT($J$110,tech_base!$F238,1))+1000*tech_proj!AE1482)/((1-tech_proj!AE642)*tech_proj!AE922*$L$110))</f>
        <v/>
      </c>
      <c r="AF862" s="69" t="str">
        <f>IF(tech_base!$T238&gt;AF$625,"",(1000*tech_proj!AF1202*(-PMT($J$110,tech_base!$F238,1))+1000*tech_proj!AF1482)/((1-tech_proj!AF642)*tech_proj!AF922*$L$110))</f>
        <v/>
      </c>
      <c r="AG862" s="69">
        <f>IF(tech_base!$T238&gt;AG$625,"",(1000*tech_proj!AG1202*(-PMT($J$110,tech_base!$F238,1))+1000*tech_proj!AG1482)/((1-tech_proj!AG642)*tech_proj!AG922*$L$110))</f>
        <v>111.79331791805825</v>
      </c>
      <c r="AH862" s="69">
        <f>IF(tech_base!$T238&gt;AH$625,"",(1000*tech_proj!AH1202*(-PMT($J$110,tech_base!$F238,1))+1000*tech_proj!AH1482)/((1-tech_proj!AH642)*tech_proj!AH922*$L$110))</f>
        <v>111.79331791805825</v>
      </c>
      <c r="AI862" s="69">
        <f>IF(tech_base!$T238&gt;AI$625,"",(1000*tech_proj!AI1202*(-PMT($J$110,tech_base!$F238,1))+1000*tech_proj!AI1482)/((1-tech_proj!AI642)*tech_proj!AI922*$L$110))</f>
        <v>111.79331791805825</v>
      </c>
      <c r="AJ862" s="69">
        <f>IF(tech_base!$T238&gt;AJ$625,"",(1000*tech_proj!AJ1202*(-PMT($J$110,tech_base!$F238,1))+1000*tech_proj!AJ1482)/((1-tech_proj!AJ642)*tech_proj!AJ922*$L$110))</f>
        <v>111.79331791805825</v>
      </c>
      <c r="AK862" s="69">
        <f>IF(tech_base!$T238&gt;AK$625,"",(1000*tech_proj!AK1202*(-PMT($J$110,tech_base!$F238,1))+1000*tech_proj!AK1482)/((1-tech_proj!AK642)*tech_proj!AK922*$L$110))</f>
        <v>111.79331791805825</v>
      </c>
      <c r="AL862" s="69">
        <f>IF(tech_base!$T238&gt;AL$625,"",(1000*tech_proj!AL1202*(-PMT($J$110,tech_base!$F238,1))+1000*tech_proj!AL1482)/((1-tech_proj!AL642)*tech_proj!AL922*$L$110))</f>
        <v>111.79331791805825</v>
      </c>
      <c r="AM862" s="69">
        <f>IF(tech_base!$T238&gt;AM$625,"",(1000*tech_proj!AM1202*(-PMT($J$110,tech_base!$F238,1))+1000*tech_proj!AM1482)/((1-tech_proj!AM642)*tech_proj!AM922*$L$110))</f>
        <v>111.79331791805825</v>
      </c>
      <c r="AN862" s="69">
        <f>IF(tech_base!$T238&gt;AN$625,"",(1000*tech_proj!AN1202*(-PMT($J$110,tech_base!$F238,1))+1000*tech_proj!AN1482)/((1-tech_proj!AN642)*tech_proj!AN922*$L$110))</f>
        <v>108.32537141417845</v>
      </c>
      <c r="AO862" s="69">
        <f>IF(tech_base!$T238&gt;AO$625,"",(1000*tech_proj!AO1202*(-PMT($J$110,tech_base!$F238,1))+1000*tech_proj!AO1482)/((1-tech_proj!AO642)*tech_proj!AO922*$L$110))</f>
        <v>107.18571351538722</v>
      </c>
      <c r="AP862" s="69">
        <f>IF(tech_base!$T238&gt;AP$625,"",(1000*tech_proj!AP1202*(-PMT($J$110,tech_base!$F238,1))+1000*tech_proj!AP1482)/((1-tech_proj!AP642)*tech_proj!AP922*$L$110))</f>
        <v>105.70383765624558</v>
      </c>
      <c r="AQ862" s="69">
        <f>IF(tech_base!$T238&gt;AQ$625,"",(1000*tech_proj!AQ1202*(-PMT($J$110,tech_base!$F238,1))+1000*tech_proj!AQ1482)/((1-tech_proj!AQ642)*tech_proj!AQ922*$L$110))</f>
        <v>103.80104342212299</v>
      </c>
      <c r="AR862" s="69">
        <f>IF(tech_base!$T238&gt;AR$625,"",(1000*tech_proj!AR1202*(-PMT($J$110,tech_base!$F238,1))+1000*tech_proj!AR1482)/((1-tech_proj!AR642)*tech_proj!AR922*$L$110))</f>
        <v>101.39788468195154</v>
      </c>
      <c r="AS862" s="69">
        <f>IF(tech_base!$T238&gt;AS$625,"",(1000*tech_proj!AS1202*(-PMT($J$110,tech_base!$F238,1))+1000*tech_proj!AS1482)/((1-tech_proj!AS642)*tech_proj!AS922*$L$110))</f>
        <v>98.427741786788033</v>
      </c>
      <c r="AT862" s="69">
        <f>IF(tech_base!$T238&gt;AT$625,"",(1000*tech_proj!AT1202*(-PMT($J$110,tech_base!$F238,1))+1000*tech_proj!AT1482)/((1-tech_proj!AT642)*tech_proj!AT922*$L$110))</f>
        <v>94.858138334595964</v>
      </c>
      <c r="AU862" s="69">
        <f>IF(tech_base!$T238&gt;AU$625,"",(1000*tech_proj!AU1202*(-PMT($J$110,tech_base!$F238,1))+1000*tech_proj!AU1482)/((1-tech_proj!AU642)*tech_proj!AU922*$L$110))</f>
        <v>90.718582099080635</v>
      </c>
      <c r="AV862" s="69">
        <f>IF(tech_base!$T238&gt;AV$625,"",(1000*tech_proj!AV1202*(-PMT($J$110,tech_base!$F238,1))+1000*tech_proj!AV1482)/((1-tech_proj!AV642)*tech_proj!AV922*$L$110))</f>
        <v>86.128426995712076</v>
      </c>
      <c r="AW862" s="69">
        <f>IF(tech_base!$T238&gt;AW$625,"",(1000*tech_proj!AW1202*(-PMT($J$110,tech_base!$F238,1))+1000*tech_proj!AW1482)/((1-tech_proj!AW642)*tech_proj!AW922*$L$110))</f>
        <v>81.311264329714334</v>
      </c>
      <c r="AX862" s="235">
        <f>IF(tech_base!$T238&gt;AX$625,"",(1000*tech_proj!AX1202*(-PMT($J$110,tech_base!$F238,1))+1000*tech_proj!AX1482)/((1-tech_proj!AX642)*tech_proj!AX922*$L$110))</f>
        <v>76.578422773869903</v>
      </c>
    </row>
    <row r="863" spans="1:50" x14ac:dyDescent="0.25">
      <c r="A863" s="356"/>
      <c r="B863" s="376"/>
      <c r="C863" s="378"/>
      <c r="D863" s="2" t="s">
        <v>10</v>
      </c>
      <c r="E863" s="160" t="str">
        <f>A859&amp;"/"&amp;B862&amp;"/"&amp;C862&amp;"/"&amp;D863</f>
        <v>Fuel cells/Hydrogen fuel cell power plant/Electricity only/S</v>
      </c>
      <c r="F863" s="76" t="str">
        <f>A859</f>
        <v>Fuel cells</v>
      </c>
      <c r="G863" s="76" t="str">
        <f>B862</f>
        <v>Hydrogen fuel cell power plant</v>
      </c>
      <c r="H863" s="76" t="str">
        <f>C862</f>
        <v>Electricity only</v>
      </c>
      <c r="I863" s="161" t="str">
        <f t="shared" si="365"/>
        <v>S</v>
      </c>
      <c r="J863" s="69" t="str">
        <f>IF(tech_base!$T239&gt;J$625,"",(1000*tech_proj!J1203*(-PMT($J$110,tech_base!$F239,1))+1000*tech_proj!J1483)/((1-tech_proj!J643)*tech_proj!J923*$L$110))</f>
        <v/>
      </c>
      <c r="K863" s="69" t="str">
        <f>IF(tech_base!$T239&gt;K$625,"",(1000*tech_proj!K1203*(-PMT($J$110,tech_base!$F239,1))+1000*tech_proj!K1483)/((1-tech_proj!K643)*tech_proj!K923*$L$110))</f>
        <v/>
      </c>
      <c r="L863" s="69" t="str">
        <f>IF(tech_base!$T239&gt;L$625,"",(1000*tech_proj!L1203*(-PMT($J$110,tech_base!$F239,1))+1000*tech_proj!L1483)/((1-tech_proj!L643)*tech_proj!L923*$L$110))</f>
        <v/>
      </c>
      <c r="M863" s="69" t="str">
        <f>IF(tech_base!$T239&gt;M$625,"",(1000*tech_proj!M1203*(-PMT($J$110,tech_base!$F239,1))+1000*tech_proj!M1483)/((1-tech_proj!M643)*tech_proj!M923*$L$110))</f>
        <v/>
      </c>
      <c r="N863" s="69" t="str">
        <f>IF(tech_base!$T239&gt;N$625,"",(1000*tech_proj!N1203*(-PMT($J$110,tech_base!$F239,1))+1000*tech_proj!N1483)/((1-tech_proj!N643)*tech_proj!N923*$L$110))</f>
        <v/>
      </c>
      <c r="O863" s="69" t="str">
        <f>IF(tech_base!$T239&gt;O$625,"",(1000*tech_proj!O1203*(-PMT($J$110,tech_base!$F239,1))+1000*tech_proj!O1483)/((1-tech_proj!O643)*tech_proj!O923*$L$110))</f>
        <v/>
      </c>
      <c r="P863" s="69" t="str">
        <f>IF(tech_base!$T239&gt;P$625,"",(1000*tech_proj!P1203*(-PMT($J$110,tech_base!$F239,1))+1000*tech_proj!P1483)/((1-tech_proj!P643)*tech_proj!P923*$L$110))</f>
        <v/>
      </c>
      <c r="Q863" s="69" t="str">
        <f>IF(tech_base!$T239&gt;Q$625,"",(1000*tech_proj!Q1203*(-PMT($J$110,tech_base!$F239,1))+1000*tech_proj!Q1483)/((1-tech_proj!Q643)*tech_proj!Q923*$L$110))</f>
        <v/>
      </c>
      <c r="R863" s="69" t="str">
        <f>IF(tech_base!$T239&gt;R$625,"",(1000*tech_proj!R1203*(-PMT($J$110,tech_base!$F239,1))+1000*tech_proj!R1483)/((1-tech_proj!R643)*tech_proj!R923*$L$110))</f>
        <v/>
      </c>
      <c r="S863" s="69" t="str">
        <f>IF(tech_base!$T239&gt;S$625,"",(1000*tech_proj!S1203*(-PMT($J$110,tech_base!$F239,1))+1000*tech_proj!S1483)/((1-tech_proj!S643)*tech_proj!S923*$L$110))</f>
        <v/>
      </c>
      <c r="T863" s="69" t="str">
        <f>IF(tech_base!$T239&gt;T$625,"",(1000*tech_proj!T1203*(-PMT($J$110,tech_base!$F239,1))+1000*tech_proj!T1483)/((1-tech_proj!T643)*tech_proj!T923*$L$110))</f>
        <v/>
      </c>
      <c r="U863" s="69" t="str">
        <f>IF(tech_base!$T239&gt;U$625,"",(1000*tech_proj!U1203*(-PMT($J$110,tech_base!$F239,1))+1000*tech_proj!U1483)/((1-tech_proj!U643)*tech_proj!U923*$L$110))</f>
        <v/>
      </c>
      <c r="V863" s="69" t="str">
        <f>IF(tech_base!$T239&gt;V$625,"",(1000*tech_proj!V1203*(-PMT($J$110,tech_base!$F239,1))+1000*tech_proj!V1483)/((1-tech_proj!V643)*tech_proj!V923*$L$110))</f>
        <v/>
      </c>
      <c r="W863" s="69" t="str">
        <f>IF(tech_base!$T239&gt;W$625,"",(1000*tech_proj!W1203*(-PMT($J$110,tech_base!$F239,1))+1000*tech_proj!W1483)/((1-tech_proj!W643)*tech_proj!W923*$L$110))</f>
        <v/>
      </c>
      <c r="X863" s="69" t="str">
        <f>IF(tech_base!$T239&gt;X$625,"",(1000*tech_proj!X1203*(-PMT($J$110,tech_base!$F239,1))+1000*tech_proj!X1483)/((1-tech_proj!X643)*tech_proj!X923*$L$110))</f>
        <v/>
      </c>
      <c r="Y863" s="69" t="str">
        <f>IF(tech_base!$T239&gt;Y$625,"",(1000*tech_proj!Y1203*(-PMT($J$110,tech_base!$F239,1))+1000*tech_proj!Y1483)/((1-tech_proj!Y643)*tech_proj!Y923*$L$110))</f>
        <v/>
      </c>
      <c r="Z863" s="69" t="str">
        <f>IF(tech_base!$T239&gt;Z$625,"",(1000*tech_proj!Z1203*(-PMT($J$110,tech_base!$F239,1))+1000*tech_proj!Z1483)/((1-tech_proj!Z643)*tech_proj!Z923*$L$110))</f>
        <v/>
      </c>
      <c r="AA863" s="69" t="str">
        <f>IF(tech_base!$T239&gt;AA$625,"",(1000*tech_proj!AA1203*(-PMT($J$110,tech_base!$F239,1))+1000*tech_proj!AA1483)/((1-tech_proj!AA643)*tech_proj!AA923*$L$110))</f>
        <v/>
      </c>
      <c r="AB863" s="69" t="str">
        <f>IF(tech_base!$T239&gt;AB$625,"",(1000*tech_proj!AB1203*(-PMT($J$110,tech_base!$F239,1))+1000*tech_proj!AB1483)/((1-tech_proj!AB643)*tech_proj!AB923*$L$110))</f>
        <v/>
      </c>
      <c r="AC863" s="69" t="str">
        <f>IF(tech_base!$T239&gt;AC$625,"",(1000*tech_proj!AC1203*(-PMT($J$110,tech_base!$F239,1))+1000*tech_proj!AC1483)/((1-tech_proj!AC643)*tech_proj!AC923*$L$110))</f>
        <v/>
      </c>
      <c r="AD863" s="69" t="str">
        <f>IF(tech_base!$T239&gt;AD$625,"",(1000*tech_proj!AD1203*(-PMT($J$110,tech_base!$F239,1))+1000*tech_proj!AD1483)/((1-tech_proj!AD643)*tech_proj!AD923*$L$110))</f>
        <v/>
      </c>
      <c r="AE863" s="69">
        <f>IF(tech_base!$T239&gt;AE$625,"",(1000*tech_proj!AE1203*(-PMT($J$110,tech_base!$F239,1))+1000*tech_proj!AE1483)/((1-tech_proj!AE643)*tech_proj!AE923*$L$110))</f>
        <v>123.209344712687</v>
      </c>
      <c r="AF863" s="69">
        <f>IF(tech_base!$T239&gt;AF$625,"",(1000*tech_proj!AF1203*(-PMT($J$110,tech_base!$F239,1))+1000*tech_proj!AF1483)/((1-tech_proj!AF643)*tech_proj!AF923*$L$110))</f>
        <v>123.209344712687</v>
      </c>
      <c r="AG863" s="69">
        <f>IF(tech_base!$T239&gt;AG$625,"",(1000*tech_proj!AG1203*(-PMT($J$110,tech_base!$F239,1))+1000*tech_proj!AG1483)/((1-tech_proj!AG643)*tech_proj!AG923*$L$110))</f>
        <v>123.209344712687</v>
      </c>
      <c r="AH863" s="69">
        <f>IF(tech_base!$T239&gt;AH$625,"",(1000*tech_proj!AH1203*(-PMT($J$110,tech_base!$F239,1))+1000*tech_proj!AH1483)/((1-tech_proj!AH643)*tech_proj!AH923*$L$110))</f>
        <v>123.209344712687</v>
      </c>
      <c r="AI863" s="69">
        <f>IF(tech_base!$T239&gt;AI$625,"",(1000*tech_proj!AI1203*(-PMT($J$110,tech_base!$F239,1))+1000*tech_proj!AI1483)/((1-tech_proj!AI643)*tech_proj!AI923*$L$110))</f>
        <v>123.209344712687</v>
      </c>
      <c r="AJ863" s="69">
        <f>IF(tech_base!$T239&gt;AJ$625,"",(1000*tech_proj!AJ1203*(-PMT($J$110,tech_base!$F239,1))+1000*tech_proj!AJ1483)/((1-tech_proj!AJ643)*tech_proj!AJ923*$L$110))</f>
        <v>123.209344712687</v>
      </c>
      <c r="AK863" s="69">
        <f>IF(tech_base!$T239&gt;AK$625,"",(1000*tech_proj!AK1203*(-PMT($J$110,tech_base!$F239,1))+1000*tech_proj!AK1483)/((1-tech_proj!AK643)*tech_proj!AK923*$L$110))</f>
        <v>123.209344712687</v>
      </c>
      <c r="AL863" s="69">
        <f>IF(tech_base!$T239&gt;AL$625,"",(1000*tech_proj!AL1203*(-PMT($J$110,tech_base!$F239,1))+1000*tech_proj!AL1483)/((1-tech_proj!AL643)*tech_proj!AL923*$L$110))</f>
        <v>123.209344712687</v>
      </c>
      <c r="AM863" s="69">
        <f>IF(tech_base!$T239&gt;AM$625,"",(1000*tech_proj!AM1203*(-PMT($J$110,tech_base!$F239,1))+1000*tech_proj!AM1483)/((1-tech_proj!AM643)*tech_proj!AM923*$L$110))</f>
        <v>123.209344712687</v>
      </c>
      <c r="AN863" s="69">
        <f>IF(tech_base!$T239&gt;AN$625,"",(1000*tech_proj!AN1203*(-PMT($J$110,tech_base!$F239,1))+1000*tech_proj!AN1483)/((1-tech_proj!AN643)*tech_proj!AN923*$L$110))</f>
        <v>120.59510487617548</v>
      </c>
      <c r="AO863" s="69">
        <f>IF(tech_base!$T239&gt;AO$625,"",(1000*tech_proj!AO1203*(-PMT($J$110,tech_base!$F239,1))+1000*tech_proj!AO1483)/((1-tech_proj!AO643)*tech_proj!AO923*$L$110))</f>
        <v>119.7263116623583</v>
      </c>
      <c r="AP863" s="69">
        <f>IF(tech_base!$T239&gt;AP$625,"",(1000*tech_proj!AP1203*(-PMT($J$110,tech_base!$F239,1))+1000*tech_proj!AP1483)/((1-tech_proj!AP643)*tech_proj!AP923*$L$110))</f>
        <v>118.5890706926199</v>
      </c>
      <c r="AQ863" s="69">
        <f>IF(tech_base!$T239&gt;AQ$625,"",(1000*tech_proj!AQ1203*(-PMT($J$110,tech_base!$F239,1))+1000*tech_proj!AQ1483)/((1-tech_proj!AQ643)*tech_proj!AQ923*$L$110))</f>
        <v>117.11571758062722</v>
      </c>
      <c r="AR863" s="69">
        <f>IF(tech_base!$T239&gt;AR$625,"",(1000*tech_proj!AR1203*(-PMT($J$110,tech_base!$F239,1))+1000*tech_proj!AR1483)/((1-tech_proj!AR643)*tech_proj!AR923*$L$110))</f>
        <v>115.23268118025184</v>
      </c>
      <c r="AS863" s="69">
        <f>IF(tech_base!$T239&gt;AS$625,"",(1000*tech_proj!AS1203*(-PMT($J$110,tech_base!$F239,1))+1000*tech_proj!AS1483)/((1-tech_proj!AS643)*tech_proj!AS923*$L$110))</f>
        <v>112.86839749922292</v>
      </c>
      <c r="AT863" s="69">
        <f>IF(tech_base!$T239&gt;AT$625,"",(1000*tech_proj!AT1203*(-PMT($J$110,tech_base!$F239,1))+1000*tech_proj!AT1483)/((1-tech_proj!AT643)*tech_proj!AT923*$L$110))</f>
        <v>109.96723406506923</v>
      </c>
      <c r="AU863" s="69">
        <f>IF(tech_base!$T239&gt;AU$625,"",(1000*tech_proj!AU1203*(-PMT($J$110,tech_base!$F239,1))+1000*tech_proj!AU1483)/((1-tech_proj!AU643)*tech_proj!AU923*$L$110))</f>
        <v>106.50997769551824</v>
      </c>
      <c r="AV863" s="69">
        <f>IF(tech_base!$T239&gt;AV$625,"",(1000*tech_proj!AV1203*(-PMT($J$110,tech_base!$F239,1))+1000*tech_proj!AV1483)/((1-tech_proj!AV643)*tech_proj!AV923*$L$110))</f>
        <v>102.5384986815192</v>
      </c>
      <c r="AW863" s="69">
        <f>IF(tech_base!$T239&gt;AW$625,"",(1000*tech_proj!AW1203*(-PMT($J$110,tech_base!$F239,1))+1000*tech_proj!AW1483)/((1-tech_proj!AW643)*tech_proj!AW923*$L$110))</f>
        <v>98.177242031498352</v>
      </c>
      <c r="AX863" s="235">
        <f>IF(tech_base!$T239&gt;AX$625,"",(1000*tech_proj!AX1203*(-PMT($J$110,tech_base!$F239,1))+1000*tech_proj!AX1483)/((1-tech_proj!AX643)*tech_proj!AX923*$L$110))</f>
        <v>93.639101981642128</v>
      </c>
    </row>
    <row r="864" spans="1:50" x14ac:dyDescent="0.25">
      <c r="A864" s="357"/>
      <c r="B864" s="380"/>
      <c r="C864" s="381"/>
      <c r="D864" s="4" t="s">
        <v>20</v>
      </c>
      <c r="E864" s="160" t="str">
        <f>A859&amp;"/"&amp;B862&amp;"/"&amp;C862&amp;"/"&amp;D864</f>
        <v>Fuel cells/Hydrogen fuel cell power plant/Electricity only/XS</v>
      </c>
      <c r="F864" s="76" t="str">
        <f>A859</f>
        <v>Fuel cells</v>
      </c>
      <c r="G864" s="76" t="str">
        <f>B862</f>
        <v>Hydrogen fuel cell power plant</v>
      </c>
      <c r="H864" s="76" t="str">
        <f>C862</f>
        <v>Electricity only</v>
      </c>
      <c r="I864" s="161" t="str">
        <f t="shared" si="365"/>
        <v>XS</v>
      </c>
      <c r="J864" s="69" t="str">
        <f>IF(tech_base!$T240&gt;J$625,"",(1000*tech_proj!J1204*(-PMT($J$110,tech_base!$F240,1))+1000*tech_proj!J1484)/((1-tech_proj!J644)*tech_proj!J924*$L$110))</f>
        <v/>
      </c>
      <c r="K864" s="69" t="str">
        <f>IF(tech_base!$T240&gt;K$625,"",(1000*tech_proj!K1204*(-PMT($J$110,tech_base!$F240,1))+1000*tech_proj!K1484)/((1-tech_proj!K644)*tech_proj!K924*$L$110))</f>
        <v/>
      </c>
      <c r="L864" s="69" t="str">
        <f>IF(tech_base!$T240&gt;L$625,"",(1000*tech_proj!L1204*(-PMT($J$110,tech_base!$F240,1))+1000*tech_proj!L1484)/((1-tech_proj!L644)*tech_proj!L924*$L$110))</f>
        <v/>
      </c>
      <c r="M864" s="69" t="str">
        <f>IF(tech_base!$T240&gt;M$625,"",(1000*tech_proj!M1204*(-PMT($J$110,tech_base!$F240,1))+1000*tech_proj!M1484)/((1-tech_proj!M644)*tech_proj!M924*$L$110))</f>
        <v/>
      </c>
      <c r="N864" s="69" t="str">
        <f>IF(tech_base!$T240&gt;N$625,"",(1000*tech_proj!N1204*(-PMT($J$110,tech_base!$F240,1))+1000*tech_proj!N1484)/((1-tech_proj!N644)*tech_proj!N924*$L$110))</f>
        <v/>
      </c>
      <c r="O864" s="69" t="str">
        <f>IF(tech_base!$T240&gt;O$625,"",(1000*tech_proj!O1204*(-PMT($J$110,tech_base!$F240,1))+1000*tech_proj!O1484)/((1-tech_proj!O644)*tech_proj!O924*$L$110))</f>
        <v/>
      </c>
      <c r="P864" s="69" t="str">
        <f>IF(tech_base!$T240&gt;P$625,"",(1000*tech_proj!P1204*(-PMT($J$110,tech_base!$F240,1))+1000*tech_proj!P1484)/((1-tech_proj!P644)*tech_proj!P924*$L$110))</f>
        <v/>
      </c>
      <c r="Q864" s="69" t="str">
        <f>IF(tech_base!$T240&gt;Q$625,"",(1000*tech_proj!Q1204*(-PMT($J$110,tech_base!$F240,1))+1000*tech_proj!Q1484)/((1-tech_proj!Q644)*tech_proj!Q924*$L$110))</f>
        <v/>
      </c>
      <c r="R864" s="69" t="str">
        <f>IF(tech_base!$T240&gt;R$625,"",(1000*tech_proj!R1204*(-PMT($J$110,tech_base!$F240,1))+1000*tech_proj!R1484)/((1-tech_proj!R644)*tech_proj!R924*$L$110))</f>
        <v/>
      </c>
      <c r="S864" s="69" t="str">
        <f>IF(tech_base!$T240&gt;S$625,"",(1000*tech_proj!S1204*(-PMT($J$110,tech_base!$F240,1))+1000*tech_proj!S1484)/((1-tech_proj!S644)*tech_proj!S924*$L$110))</f>
        <v/>
      </c>
      <c r="T864" s="69" t="str">
        <f>IF(tech_base!$T240&gt;T$625,"",(1000*tech_proj!T1204*(-PMT($J$110,tech_base!$F240,1))+1000*tech_proj!T1484)/((1-tech_proj!T644)*tech_proj!T924*$L$110))</f>
        <v/>
      </c>
      <c r="U864" s="69" t="str">
        <f>IF(tech_base!$T240&gt;U$625,"",(1000*tech_proj!U1204*(-PMT($J$110,tech_base!$F240,1))+1000*tech_proj!U1484)/((1-tech_proj!U644)*tech_proj!U924*$L$110))</f>
        <v/>
      </c>
      <c r="V864" s="69" t="str">
        <f>IF(tech_base!$T240&gt;V$625,"",(1000*tech_proj!V1204*(-PMT($J$110,tech_base!$F240,1))+1000*tech_proj!V1484)/((1-tech_proj!V644)*tech_proj!V924*$L$110))</f>
        <v/>
      </c>
      <c r="W864" s="69" t="str">
        <f>IF(tech_base!$T240&gt;W$625,"",(1000*tech_proj!W1204*(-PMT($J$110,tech_base!$F240,1))+1000*tech_proj!W1484)/((1-tech_proj!W644)*tech_proj!W924*$L$110))</f>
        <v/>
      </c>
      <c r="X864" s="69" t="str">
        <f>IF(tech_base!$T240&gt;X$625,"",(1000*tech_proj!X1204*(-PMT($J$110,tech_base!$F240,1))+1000*tech_proj!X1484)/((1-tech_proj!X644)*tech_proj!X924*$L$110))</f>
        <v/>
      </c>
      <c r="Y864" s="69" t="str">
        <f>IF(tech_base!$T240&gt;Y$625,"",(1000*tech_proj!Y1204*(-PMT($J$110,tech_base!$F240,1))+1000*tech_proj!Y1484)/((1-tech_proj!Y644)*tech_proj!Y924*$L$110))</f>
        <v/>
      </c>
      <c r="Z864" s="69" t="str">
        <f>IF(tech_base!$T240&gt;Z$625,"",(1000*tech_proj!Z1204*(-PMT($J$110,tech_base!$F240,1))+1000*tech_proj!Z1484)/((1-tech_proj!Z644)*tech_proj!Z924*$L$110))</f>
        <v/>
      </c>
      <c r="AA864" s="69" t="str">
        <f>IF(tech_base!$T240&gt;AA$625,"",(1000*tech_proj!AA1204*(-PMT($J$110,tech_base!$F240,1))+1000*tech_proj!AA1484)/((1-tech_proj!AA644)*tech_proj!AA924*$L$110))</f>
        <v/>
      </c>
      <c r="AB864" s="69">
        <f>IF(tech_base!$T240&gt;AB$625,"",(1000*tech_proj!AB1204*(-PMT($J$110,tech_base!$F240,1))+1000*tech_proj!AB1484)/((1-tech_proj!AB644)*tech_proj!AB924*$L$110))</f>
        <v>166.6694570833827</v>
      </c>
      <c r="AC864" s="69">
        <f>IF(tech_base!$T240&gt;AC$625,"",(1000*tech_proj!AC1204*(-PMT($J$110,tech_base!$F240,1))+1000*tech_proj!AC1484)/((1-tech_proj!AC644)*tech_proj!AC924*$L$110))</f>
        <v>166.6694570833827</v>
      </c>
      <c r="AD864" s="69">
        <f>IF(tech_base!$T240&gt;AD$625,"",(1000*tech_proj!AD1204*(-PMT($J$110,tech_base!$F240,1))+1000*tech_proj!AD1484)/((1-tech_proj!AD644)*tech_proj!AD924*$L$110))</f>
        <v>166.6694570833827</v>
      </c>
      <c r="AE864" s="69">
        <f>IF(tech_base!$T240&gt;AE$625,"",(1000*tech_proj!AE1204*(-PMT($J$110,tech_base!$F240,1))+1000*tech_proj!AE1484)/((1-tech_proj!AE644)*tech_proj!AE924*$L$110))</f>
        <v>166.6694570833827</v>
      </c>
      <c r="AF864" s="69">
        <f>IF(tech_base!$T240&gt;AF$625,"",(1000*tech_proj!AF1204*(-PMT($J$110,tech_base!$F240,1))+1000*tech_proj!AF1484)/((1-tech_proj!AF644)*tech_proj!AF924*$L$110))</f>
        <v>166.6694570833827</v>
      </c>
      <c r="AG864" s="69">
        <f>IF(tech_base!$T240&gt;AG$625,"",(1000*tech_proj!AG1204*(-PMT($J$110,tech_base!$F240,1))+1000*tech_proj!AG1484)/((1-tech_proj!AG644)*tech_proj!AG924*$L$110))</f>
        <v>166.6694570833827</v>
      </c>
      <c r="AH864" s="69">
        <f>IF(tech_base!$T240&gt;AH$625,"",(1000*tech_proj!AH1204*(-PMT($J$110,tech_base!$F240,1))+1000*tech_proj!AH1484)/((1-tech_proj!AH644)*tech_proj!AH924*$L$110))</f>
        <v>166.6694570833827</v>
      </c>
      <c r="AI864" s="69">
        <f>IF(tech_base!$T240&gt;AI$625,"",(1000*tech_proj!AI1204*(-PMT($J$110,tech_base!$F240,1))+1000*tech_proj!AI1484)/((1-tech_proj!AI644)*tech_proj!AI924*$L$110))</f>
        <v>166.6694570833827</v>
      </c>
      <c r="AJ864" s="69">
        <f>IF(tech_base!$T240&gt;AJ$625,"",(1000*tech_proj!AJ1204*(-PMT($J$110,tech_base!$F240,1))+1000*tech_proj!AJ1484)/((1-tech_proj!AJ644)*tech_proj!AJ924*$L$110))</f>
        <v>166.6694570833827</v>
      </c>
      <c r="AK864" s="69">
        <f>IF(tech_base!$T240&gt;AK$625,"",(1000*tech_proj!AK1204*(-PMT($J$110,tech_base!$F240,1))+1000*tech_proj!AK1484)/((1-tech_proj!AK644)*tech_proj!AK924*$L$110))</f>
        <v>166.6694570833827</v>
      </c>
      <c r="AL864" s="69">
        <f>IF(tech_base!$T240&gt;AL$625,"",(1000*tech_proj!AL1204*(-PMT($J$110,tech_base!$F240,1))+1000*tech_proj!AL1484)/((1-tech_proj!AL644)*tech_proj!AL924*$L$110))</f>
        <v>166.6694570833827</v>
      </c>
      <c r="AM864" s="69">
        <f>IF(tech_base!$T240&gt;AM$625,"",(1000*tech_proj!AM1204*(-PMT($J$110,tech_base!$F240,1))+1000*tech_proj!AM1484)/((1-tech_proj!AM644)*tech_proj!AM924*$L$110))</f>
        <v>166.6694570833827</v>
      </c>
      <c r="AN864" s="69">
        <f>IF(tech_base!$T240&gt;AN$625,"",(1000*tech_proj!AN1204*(-PMT($J$110,tech_base!$F240,1))+1000*tech_proj!AN1484)/((1-tech_proj!AN644)*tech_proj!AN924*$L$110))</f>
        <v>163.57513259568634</v>
      </c>
      <c r="AO864" s="69">
        <f>IF(tech_base!$T240&gt;AO$625,"",(1000*tech_proj!AO1204*(-PMT($J$110,tech_base!$F240,1))+1000*tech_proj!AO1484)/((1-tech_proj!AO644)*tech_proj!AO924*$L$110))</f>
        <v>162.54679231920804</v>
      </c>
      <c r="AP864" s="69">
        <f>IF(tech_base!$T240&gt;AP$625,"",(1000*tech_proj!AP1204*(-PMT($J$110,tech_base!$F240,1))+1000*tech_proj!AP1484)/((1-tech_proj!AP644)*tech_proj!AP924*$L$110))</f>
        <v>161.20070596097671</v>
      </c>
      <c r="AQ864" s="69">
        <f>IF(tech_base!$T240&gt;AQ$625,"",(1000*tech_proj!AQ1204*(-PMT($J$110,tech_base!$F240,1))+1000*tech_proj!AQ1484)/((1-tech_proj!AQ644)*tech_proj!AQ924*$L$110))</f>
        <v>159.45678310057605</v>
      </c>
      <c r="AR864" s="69">
        <f>IF(tech_base!$T240&gt;AR$625,"",(1000*tech_proj!AR1204*(-PMT($J$110,tech_base!$F240,1))+1000*tech_proj!AR1484)/((1-tech_proj!AR644)*tech_proj!AR924*$L$110))</f>
        <v>157.22794182766503</v>
      </c>
      <c r="AS864" s="69">
        <f>IF(tech_base!$T240&gt;AS$625,"",(1000*tech_proj!AS1204*(-PMT($J$110,tech_base!$F240,1))+1000*tech_proj!AS1484)/((1-tech_proj!AS644)*tech_proj!AS924*$L$110))</f>
        <v>154.42947598383066</v>
      </c>
      <c r="AT864" s="69">
        <f>IF(tech_base!$T240&gt;AT$625,"",(1000*tech_proj!AT1204*(-PMT($J$110,tech_base!$F240,1))+1000*tech_proj!AT1484)/((1-tech_proj!AT644)*tech_proj!AT924*$L$110))</f>
        <v>150.9955366291729</v>
      </c>
      <c r="AU864" s="69">
        <f>IF(tech_base!$T240&gt;AU$625,"",(1000*tech_proj!AU1204*(-PMT($J$110,tech_base!$F240,1))+1000*tech_proj!AU1484)/((1-tech_proj!AU644)*tech_proj!AU924*$L$110))</f>
        <v>146.90338223112002</v>
      </c>
      <c r="AV864" s="69">
        <f>IF(tech_base!$T240&gt;AV$625,"",(1000*tech_proj!AV1204*(-PMT($J$110,tech_base!$F240,1))+1000*tech_proj!AV1484)/((1-tech_proj!AV644)*tech_proj!AV924*$L$110))</f>
        <v>142.20257223130454</v>
      </c>
      <c r="AW864" s="69">
        <f>IF(tech_base!$T240&gt;AW$625,"",(1000*tech_proj!AW1204*(-PMT($J$110,tech_base!$F240,1))+1000*tech_proj!AW1484)/((1-tech_proj!AW644)*tech_proj!AW924*$L$110))</f>
        <v>137.04040498834183</v>
      </c>
      <c r="AX864" s="235">
        <f>IF(tech_base!$T240&gt;AX$625,"",(1000*tech_proj!AX1204*(-PMT($J$110,tech_base!$F240,1))+1000*tech_proj!AX1484)/((1-tech_proj!AX644)*tech_proj!AX924*$L$110))</f>
        <v>131.66887109587233</v>
      </c>
    </row>
    <row r="865" spans="1:50" x14ac:dyDescent="0.25">
      <c r="A865" s="355" t="s">
        <v>34</v>
      </c>
      <c r="B865" s="358" t="s">
        <v>35</v>
      </c>
      <c r="C865" s="353" t="s">
        <v>6</v>
      </c>
      <c r="D865" s="3" t="s">
        <v>7</v>
      </c>
      <c r="E865" s="162" t="str">
        <f>A865&amp;"/"&amp;B865&amp;"/"&amp;C865&amp;"/"&amp;D865</f>
        <v>Wind power plants/Onshore/Electricity only/L</v>
      </c>
      <c r="F865" s="77" t="str">
        <f>A865</f>
        <v>Wind power plants</v>
      </c>
      <c r="G865" s="77" t="str">
        <f>B865</f>
        <v>Onshore</v>
      </c>
      <c r="H865" s="77" t="str">
        <f>C865</f>
        <v>Electricity only</v>
      </c>
      <c r="I865" s="163" t="str">
        <f t="shared" si="365"/>
        <v>L</v>
      </c>
      <c r="J865" s="70">
        <f>IF(tech_base!$T241&gt;J$625,"",(1000*tech_proj!J1205*(-PMT($J$110,tech_base!$F241,1))+1000*tech_proj!J1485)/((1-tech_proj!J645)*tech_proj!J925*$L$110))</f>
        <v>36.224153749520958</v>
      </c>
      <c r="K865" s="70">
        <f>IF(tech_base!$T241&gt;K$625,"",(1000*tech_proj!K1205*(-PMT($J$110,tech_base!$F241,1))+1000*tech_proj!K1485)/((1-tech_proj!K645)*tech_proj!K925*$L$110))</f>
        <v>34.46392820435905</v>
      </c>
      <c r="L865" s="70">
        <f>IF(tech_base!$T241&gt;L$625,"",(1000*tech_proj!L1205*(-PMT($J$110,tech_base!$F241,1))+1000*tech_proj!L1485)/((1-tech_proj!L645)*tech_proj!L925*$L$110))</f>
        <v>33.308780190346553</v>
      </c>
      <c r="M865" s="70">
        <f>IF(tech_base!$T241&gt;M$625,"",(1000*tech_proj!M1205*(-PMT($J$110,tech_base!$F241,1))+1000*tech_proj!M1485)/((1-tech_proj!M645)*tech_proj!M925*$L$110))</f>
        <v>32.566185038481372</v>
      </c>
      <c r="N865" s="70">
        <f>IF(tech_base!$T241&gt;N$625,"",(1000*tech_proj!N1205*(-PMT($J$110,tech_base!$F241,1))+1000*tech_proj!N1485)/((1-tech_proj!N645)*tech_proj!N925*$L$110))</f>
        <v>32.141825785482354</v>
      </c>
      <c r="O865" s="70">
        <f>IF(tech_base!$T241&gt;O$625,"",(1000*tech_proj!O1205*(-PMT($J$110,tech_base!$F241,1))+1000*tech_proj!O1485)/((1-tech_proj!O645)*tech_proj!O925*$L$110))</f>
        <v>31.823589886616187</v>
      </c>
      <c r="P865" s="70">
        <f>IF(tech_base!$T241&gt;P$625,"",(1000*tech_proj!P1205*(-PMT($J$110,tech_base!$F241,1))+1000*tech_proj!P1485)/((1-tech_proj!P645)*tech_proj!P925*$L$110))</f>
        <v>31.311063229533524</v>
      </c>
      <c r="Q865" s="70">
        <f>IF(tech_base!$T241&gt;Q$625,"",(1000*tech_proj!Q1205*(-PMT($J$110,tech_base!$F241,1))+1000*tech_proj!Q1485)/((1-tech_proj!Q645)*tech_proj!Q925*$L$110))</f>
        <v>30.974717610823024</v>
      </c>
      <c r="R865" s="70">
        <f>IF(tech_base!$T241&gt;R$625,"",(1000*tech_proj!R1205*(-PMT($J$110,tech_base!$F241,1))+1000*tech_proj!R1485)/((1-tech_proj!R645)*tech_proj!R925*$L$110))</f>
        <v>30.758495427366277</v>
      </c>
      <c r="S865" s="70">
        <f>IF(tech_base!$T241&gt;S$625,"",(1000*tech_proj!S1205*(-PMT($J$110,tech_base!$F241,1))+1000*tech_proj!S1485)/((1-tech_proj!S645)*tech_proj!S925*$L$110))</f>
        <v>30.596328789773715</v>
      </c>
      <c r="T865" s="70">
        <f>IF(tech_base!$T241&gt;T$625,"",(1000*tech_proj!T1205*(-PMT($J$110,tech_base!$F241,1))+1000*tech_proj!T1485)/((1-tech_proj!T645)*tech_proj!T925*$L$110))</f>
        <v>30.542273243909523</v>
      </c>
      <c r="U865" s="70">
        <f>IF(tech_base!$T241&gt;U$625,"",(1000*tech_proj!U1205*(-PMT($J$110,tech_base!$F241,1))+1000*tech_proj!U1485)/((1-tech_proj!U645)*tech_proj!U925*$L$110))</f>
        <v>30.273865030162643</v>
      </c>
      <c r="V865" s="70">
        <f>IF(tech_base!$T241&gt;V$625,"",(1000*tech_proj!V1205*(-PMT($J$110,tech_base!$F241,1))+1000*tech_proj!V1485)/((1-tech_proj!V645)*tech_proj!V925*$L$110))</f>
        <v>30.000457021724216</v>
      </c>
      <c r="W865" s="70">
        <f>IF(tech_base!$T241&gt;W$625,"",(1000*tech_proj!W1205*(-PMT($J$110,tech_base!$F241,1))+1000*tech_proj!W1485)/((1-tech_proj!W645)*tech_proj!W925*$L$110))</f>
        <v>29.72232162734619</v>
      </c>
      <c r="X865" s="70">
        <f>IF(tech_base!$T241&gt;X$625,"",(1000*tech_proj!X1205*(-PMT($J$110,tech_base!$F241,1))+1000*tech_proj!X1485)/((1-tech_proj!X645)*tech_proj!X925*$L$110))</f>
        <v>29.439760248168401</v>
      </c>
      <c r="Y865" s="70">
        <f>IF(tech_base!$T241&gt;Y$625,"",(1000*tech_proj!Y1205*(-PMT($J$110,tech_base!$F241,1))+1000*tech_proj!Y1485)/((1-tech_proj!Y645)*tech_proj!Y925*$L$110))</f>
        <v>29.153103167491263</v>
      </c>
      <c r="Z865" s="70">
        <f>IF(tech_base!$T241&gt;Z$625,"",(1000*tech_proj!Z1205*(-PMT($J$110,tech_base!$F241,1))+1000*tech_proj!Z1485)/((1-tech_proj!Z645)*tech_proj!Z925*$L$110))</f>
        <v>28.862709176116809</v>
      </c>
      <c r="AA865" s="70">
        <f>IF(tech_base!$T241&gt;AA$625,"",(1000*tech_proj!AA1205*(-PMT($J$110,tech_base!$F241,1))+1000*tech_proj!AA1485)/((1-tech_proj!AA645)*tech_proj!AA925*$L$110))</f>
        <v>28.568964915466445</v>
      </c>
      <c r="AB865" s="70">
        <f>IF(tech_base!$T241&gt;AB$625,"",(1000*tech_proj!AB1205*(-PMT($J$110,tech_base!$F241,1))+1000*tech_proj!AB1485)/((1-tech_proj!AB645)*tech_proj!AB925*$L$110))</f>
        <v>28.272283923533116</v>
      </c>
      <c r="AC865" s="70">
        <f>IF(tech_base!$T241&gt;AC$625,"",(1000*tech_proj!AC1205*(-PMT($J$110,tech_base!$F241,1))+1000*tech_proj!AC1485)/((1-tech_proj!AC645)*tech_proj!AC925*$L$110))</f>
        <v>27.973105372196652</v>
      </c>
      <c r="AD865" s="70">
        <f>IF(tech_base!$T241&gt;AD$625,"",(1000*tech_proj!AD1205*(-PMT($J$110,tech_base!$F241,1))+1000*tech_proj!AD1485)/((1-tech_proj!AD645)*tech_proj!AD925*$L$110))</f>
        <v>27.671892488511521</v>
      </c>
      <c r="AE865" s="70">
        <f>IF(tech_base!$T241&gt;AE$625,"",(1000*tech_proj!AE1205*(-PMT($J$110,tech_base!$F241,1))+1000*tech_proj!AE1485)/((1-tech_proj!AE645)*tech_proj!AE925*$L$110))</f>
        <v>27.369130657230222</v>
      </c>
      <c r="AF865" s="70">
        <f>IF(tech_base!$T241&gt;AF$625,"",(1000*tech_proj!AF1205*(-PMT($J$110,tech_base!$F241,1))+1000*tech_proj!AF1485)/((1-tech_proj!AF645)*tech_proj!AF925*$L$110))</f>
        <v>27.065325206998224</v>
      </c>
      <c r="AG865" s="70">
        <f>IF(tech_base!$T241&gt;AG$625,"",(1000*tech_proj!AG1205*(-PMT($J$110,tech_base!$F241,1))+1000*tech_proj!AG1485)/((1-tech_proj!AG645)*tech_proj!AG925*$L$110))</f>
        <v>26.760998888264215</v>
      </c>
      <c r="AH865" s="70">
        <f>IF(tech_base!$T241&gt;AH$625,"",(1000*tech_proj!AH1205*(-PMT($J$110,tech_base!$F241,1))+1000*tech_proj!AH1485)/((1-tech_proj!AH645)*tech_proj!AH925*$L$110))</f>
        <v>26.456689056891701</v>
      </c>
      <c r="AI865" s="70">
        <f>IF(tech_base!$T241&gt;AI$625,"",(1000*tech_proj!AI1205*(-PMT($J$110,tech_base!$F241,1))+1000*tech_proj!AI1485)/((1-tech_proj!AI645)*tech_proj!AI925*$L$110))</f>
        <v>26.152944583604757</v>
      </c>
      <c r="AJ865" s="70">
        <f>IF(tech_base!$T241&gt;AJ$625,"",(1000*tech_proj!AJ1205*(-PMT($J$110,tech_base!$F241,1))+1000*tech_proj!AJ1485)/((1-tech_proj!AJ645)*tech_proj!AJ925*$L$110))</f>
        <v>25.850322515606209</v>
      </c>
      <c r="AK865" s="70">
        <f>IF(tech_base!$T241&gt;AK$625,"",(1000*tech_proj!AK1205*(-PMT($J$110,tech_base!$F241,1))+1000*tech_proj!AK1485)/((1-tech_proj!AK645)*tech_proj!AK925*$L$110))</f>
        <v>25.549384522805667</v>
      </c>
      <c r="AL865" s="70">
        <f>IF(tech_base!$T241&gt;AL$625,"",(1000*tech_proj!AL1205*(-PMT($J$110,tech_base!$F241,1))+1000*tech_proj!AL1485)/((1-tech_proj!AL645)*tech_proj!AL925*$L$110))</f>
        <v>25.250693166909485</v>
      </c>
      <c r="AM865" s="70">
        <f>IF(tech_base!$T241&gt;AM$625,"",(1000*tech_proj!AM1205*(-PMT($J$110,tech_base!$F241,1))+1000*tech_proj!AM1485)/((1-tech_proj!AM645)*tech_proj!AM925*$L$110))</f>
        <v>24.954808036970906</v>
      </c>
      <c r="AN865" s="70">
        <f>IF(tech_base!$T241&gt;AN$625,"",(1000*tech_proj!AN1205*(-PMT($J$110,tech_base!$F241,1))+1000*tech_proj!AN1485)/((1-tech_proj!AN645)*tech_proj!AN925*$L$110))</f>
        <v>24.662281799691407</v>
      </c>
      <c r="AO865" s="70">
        <f>IF(tech_base!$T241&gt;AO$625,"",(1000*tech_proj!AO1205*(-PMT($J$110,tech_base!$F241,1))+1000*tech_proj!AO1485)/((1-tech_proj!AO645)*tech_proj!AO925*$L$110))</f>
        <v>24.373656216624873</v>
      </c>
      <c r="AP865" s="70">
        <f>IF(tech_base!$T241&gt;AP$625,"",(1000*tech_proj!AP1205*(-PMT($J$110,tech_base!$F241,1))+1000*tech_proj!AP1485)/((1-tech_proj!AP645)*tech_proj!AP925*$L$110))</f>
        <v>24.089458183302238</v>
      </c>
      <c r="AQ865" s="70">
        <f>IF(tech_base!$T241&gt;AQ$625,"",(1000*tech_proj!AQ1205*(-PMT($J$110,tech_base!$F241,1))+1000*tech_proj!AQ1485)/((1-tech_proj!AQ645)*tech_proj!AQ925*$L$110))</f>
        <v>23.81019584702398</v>
      </c>
      <c r="AR865" s="70">
        <f>IF(tech_base!$T241&gt;AR$625,"",(1000*tech_proj!AR1205*(-PMT($J$110,tech_base!$F241,1))+1000*tech_proj!AR1485)/((1-tech_proj!AR645)*tech_proj!AR925*$L$110))</f>
        <v>23.536354860551384</v>
      </c>
      <c r="AS865" s="70">
        <f>IF(tech_base!$T241&gt;AS$625,"",(1000*tech_proj!AS1205*(-PMT($J$110,tech_base!$F241,1))+1000*tech_proj!AS1485)/((1-tech_proj!AS645)*tech_proj!AS925*$L$110))</f>
        <v>23.268394828089459</v>
      </c>
      <c r="AT865" s="70">
        <f>IF(tech_base!$T241&gt;AT$625,"",(1000*tech_proj!AT1205*(-PMT($J$110,tech_base!$F241,1))+1000*tech_proj!AT1485)/((1-tech_proj!AT645)*tech_proj!AT925*$L$110))</f>
        <v>23.006745997763488</v>
      </c>
      <c r="AU865" s="70">
        <f>IF(tech_base!$T241&gt;AU$625,"",(1000*tech_proj!AU1205*(-PMT($J$110,tech_base!$F241,1))+1000*tech_proj!AU1485)/((1-tech_proj!AU645)*tech_proj!AU925*$L$110))</f>
        <v>22.751806251259254</v>
      </c>
      <c r="AV865" s="70">
        <f>IF(tech_base!$T241&gt;AV$625,"",(1000*tech_proj!AV1205*(-PMT($J$110,tech_base!$F241,1))+1000*tech_proj!AV1485)/((1-tech_proj!AV645)*tech_proj!AV925*$L$110))</f>
        <v>22.503938436485143</v>
      </c>
      <c r="AW865" s="70">
        <f>IF(tech_base!$T241&gt;AW$625,"",(1000*tech_proj!AW1205*(-PMT($J$110,tech_base!$F241,1))+1000*tech_proj!AW1485)/((1-tech_proj!AW645)*tech_proj!AW925*$L$110))</f>
        <v>22.263468083129258</v>
      </c>
      <c r="AX865" s="236">
        <f>IF(tech_base!$T241&gt;AX$625,"",(1000*tech_proj!AX1205*(-PMT($J$110,tech_base!$F241,1))+1000*tech_proj!AX1485)/((1-tech_proj!AX645)*tech_proj!AX925*$L$110))</f>
        <v>22.030681533976622</v>
      </c>
    </row>
    <row r="866" spans="1:50" x14ac:dyDescent="0.25">
      <c r="A866" s="356"/>
      <c r="B866" s="376"/>
      <c r="C866" s="378"/>
      <c r="D866" s="2" t="s">
        <v>8</v>
      </c>
      <c r="E866" s="160" t="str">
        <f>A865&amp;"/"&amp;B865&amp;"/"&amp;C865&amp;"/"&amp;D866</f>
        <v>Wind power plants/Onshore/Electricity only/M</v>
      </c>
      <c r="F866" s="76" t="str">
        <f>A865</f>
        <v>Wind power plants</v>
      </c>
      <c r="G866" s="76" t="str">
        <f>B865</f>
        <v>Onshore</v>
      </c>
      <c r="H866" s="76" t="str">
        <f>C865</f>
        <v>Electricity only</v>
      </c>
      <c r="I866" s="161" t="str">
        <f t="shared" si="365"/>
        <v>M</v>
      </c>
      <c r="J866" s="69">
        <f>IF(tech_base!$T242&gt;J$625,"",(1000*tech_proj!J1206*(-PMT($J$110,tech_base!$F242,1))+1000*tech_proj!J1486)/((1-tech_proj!J646)*tech_proj!J926*$L$110))</f>
        <v>39.354636172319061</v>
      </c>
      <c r="K866" s="69">
        <f>IF(tech_base!$T242&gt;K$625,"",(1000*tech_proj!K1206*(-PMT($J$110,tech_base!$F242,1))+1000*tech_proj!K1486)/((1-tech_proj!K646)*tech_proj!K926*$L$110))</f>
        <v>38.387108404846259</v>
      </c>
      <c r="L866" s="69">
        <f>IF(tech_base!$T242&gt;L$625,"",(1000*tech_proj!L1206*(-PMT($J$110,tech_base!$F242,1))+1000*tech_proj!L1486)/((1-tech_proj!L646)*tech_proj!L926*$L$110))</f>
        <v>37.709830992338667</v>
      </c>
      <c r="M866" s="69">
        <f>IF(tech_base!$T242&gt;M$625,"",(1000*tech_proj!M1206*(-PMT($J$110,tech_base!$F242,1))+1000*tech_proj!M1486)/((1-tech_proj!M646)*tech_proj!M926*$L$110))</f>
        <v>37.216213256657156</v>
      </c>
      <c r="N866" s="69">
        <f>IF(tech_base!$T242&gt;N$625,"",(1000*tech_proj!N1206*(-PMT($J$110,tech_base!$F242,1))+1000*tech_proj!N1486)/((1-tech_proj!N646)*tech_proj!N926*$L$110))</f>
        <v>36.708952183162793</v>
      </c>
      <c r="O866" s="69">
        <f>IF(tech_base!$T242&gt;O$625,"",(1000*tech_proj!O1206*(-PMT($J$110,tech_base!$F242,1))+1000*tech_proj!O1486)/((1-tech_proj!O646)*tech_proj!O926*$L$110))</f>
        <v>35.985640803022058</v>
      </c>
      <c r="P866" s="69">
        <f>IF(tech_base!$T242&gt;P$625,"",(1000*tech_proj!P1206*(-PMT($J$110,tech_base!$F242,1))+1000*tech_proj!P1486)/((1-tech_proj!P646)*tech_proj!P926*$L$110))</f>
        <v>35.321973642654505</v>
      </c>
      <c r="Q866" s="69">
        <f>IF(tech_base!$T242&gt;Q$625,"",(1000*tech_proj!Q1206*(-PMT($J$110,tech_base!$F242,1))+1000*tech_proj!Q1486)/((1-tech_proj!Q646)*tech_proj!Q926*$L$110))</f>
        <v>34.896120548085321</v>
      </c>
      <c r="R866" s="69">
        <f>IF(tech_base!$T242&gt;R$625,"",(1000*tech_proj!R1206*(-PMT($J$110,tech_base!$F242,1))+1000*tech_proj!R1486)/((1-tech_proj!R646)*tech_proj!R926*$L$110))</f>
        <v>34.452262615526323</v>
      </c>
      <c r="S866" s="69">
        <f>IF(tech_base!$T242&gt;S$625,"",(1000*tech_proj!S1206*(-PMT($J$110,tech_base!$F242,1))+1000*tech_proj!S1486)/((1-tech_proj!S646)*tech_proj!S926*$L$110))</f>
        <v>34.1111511044815</v>
      </c>
      <c r="T866" s="69">
        <f>IF(tech_base!$T242&gt;T$625,"",(1000*tech_proj!T1206*(-PMT($J$110,tech_base!$F242,1))+1000*tech_proj!T1486)/((1-tech_proj!T646)*tech_proj!T926*$L$110))</f>
        <v>33.7734169351302</v>
      </c>
      <c r="U866" s="69">
        <f>IF(tech_base!$T242&gt;U$625,"",(1000*tech_proj!U1206*(-PMT($J$110,tech_base!$F242,1))+1000*tech_proj!U1486)/((1-tech_proj!U646)*tech_proj!U926*$L$110))</f>
        <v>33.512702586108546</v>
      </c>
      <c r="V866" s="69">
        <f>IF(tech_base!$T242&gt;V$625,"",(1000*tech_proj!V1206*(-PMT($J$110,tech_base!$F242,1))+1000*tech_proj!V1486)/((1-tech_proj!V646)*tech_proj!V926*$L$110))</f>
        <v>33.245041708364134</v>
      </c>
      <c r="W866" s="69">
        <f>IF(tech_base!$T242&gt;W$625,"",(1000*tech_proj!W1206*(-PMT($J$110,tech_base!$F242,1))+1000*tech_proj!W1486)/((1-tech_proj!W646)*tech_proj!W926*$L$110))</f>
        <v>32.970724765835577</v>
      </c>
      <c r="X866" s="69">
        <f>IF(tech_base!$T242&gt;X$625,"",(1000*tech_proj!X1206*(-PMT($J$110,tech_base!$F242,1))+1000*tech_proj!X1486)/((1-tech_proj!X646)*tech_proj!X926*$L$110))</f>
        <v>32.690092468570676</v>
      </c>
      <c r="Y866" s="69">
        <f>IF(tech_base!$T242&gt;Y$625,"",(1000*tech_proj!Y1206*(-PMT($J$110,tech_base!$F242,1))+1000*tech_proj!Y1486)/((1-tech_proj!Y646)*tech_proj!Y926*$L$110))</f>
        <v>32.403536752205007</v>
      </c>
      <c r="Z866" s="69">
        <f>IF(tech_base!$T242&gt;Z$625,"",(1000*tech_proj!Z1206*(-PMT($J$110,tech_base!$F242,1))+1000*tech_proj!Z1486)/((1-tech_proj!Z646)*tech_proj!Z926*$L$110))</f>
        <v>32.111501208770257</v>
      </c>
      <c r="AA866" s="69">
        <f>IF(tech_base!$T242&gt;AA$625,"",(1000*tech_proj!AA1206*(-PMT($J$110,tech_base!$F242,1))+1000*tech_proj!AA1486)/((1-tech_proj!AA646)*tech_proj!AA926*$L$110))</f>
        <v>31.814480901138932</v>
      </c>
      <c r="AB866" s="69">
        <f>IF(tech_base!$T242&gt;AB$625,"",(1000*tech_proj!AB1206*(-PMT($J$110,tech_base!$F242,1))+1000*tech_proj!AB1486)/((1-tech_proj!AB646)*tech_proj!AB926*$L$110))</f>
        <v>31.51302149905294</v>
      </c>
      <c r="AC866" s="69">
        <f>IF(tech_base!$T242&gt;AC$625,"",(1000*tech_proj!AC1206*(-PMT($J$110,tech_base!$F242,1))+1000*tech_proj!AC1486)/((1-tech_proj!AC646)*tech_proj!AC926*$L$110))</f>
        <v>31.207717682947113</v>
      </c>
      <c r="AD866" s="69">
        <f>IF(tech_base!$T242&gt;AD$625,"",(1000*tech_proj!AD1206*(-PMT($J$110,tech_base!$F242,1))+1000*tech_proj!AD1486)/((1-tech_proj!AD646)*tech_proj!AD926*$L$110))</f>
        <v>30.899210772776421</v>
      </c>
      <c r="AE866" s="69">
        <f>IF(tech_base!$T242&gt;AE$625,"",(1000*tech_proj!AE1206*(-PMT($J$110,tech_base!$F242,1))+1000*tech_proj!AE1486)/((1-tech_proj!AE646)*tech_proj!AE926*$L$110))</f>
        <v>30.588185552790524</v>
      </c>
      <c r="AF866" s="69">
        <f>IF(tech_base!$T242&gt;AF$625,"",(1000*tech_proj!AF1206*(-PMT($J$110,tech_base!$F242,1))+1000*tech_proj!AF1486)/((1-tech_proj!AF646)*tech_proj!AF926*$L$110))</f>
        <v>30.275366279556323</v>
      </c>
      <c r="AG866" s="69">
        <f>IF(tech_base!$T242&gt;AG$625,"",(1000*tech_proj!AG1206*(-PMT($J$110,tech_base!$F242,1))+1000*tech_proj!AG1486)/((1-tech_proj!AG646)*tech_proj!AG926*$L$110))</f>
        <v>29.961511879251159</v>
      </c>
      <c r="AH866" s="69">
        <f>IF(tech_base!$T242&gt;AH$625,"",(1000*tech_proj!AH1206*(-PMT($J$110,tech_base!$F242,1))+1000*tech_proj!AH1486)/((1-tech_proj!AH646)*tech_proj!AH926*$L$110))</f>
        <v>29.647410360933208</v>
      </c>
      <c r="AI866" s="69">
        <f>IF(tech_base!$T242&gt;AI$625,"",(1000*tech_proj!AI1206*(-PMT($J$110,tech_base!$F242,1))+1000*tech_proj!AI1486)/((1-tech_proj!AI646)*tech_proj!AI926*$L$110))</f>
        <v>29.333872494587382</v>
      </c>
      <c r="AJ866" s="69">
        <f>IF(tech_base!$T242&gt;AJ$625,"",(1000*tech_proj!AJ1206*(-PMT($J$110,tech_base!$F242,1))+1000*tech_proj!AJ1486)/((1-tech_proj!AJ646)*tech_proj!AJ926*$L$110))</f>
        <v>29.021724825547768</v>
      </c>
      <c r="AK866" s="69">
        <f>IF(tech_base!$T242&gt;AK$625,"",(1000*tech_proj!AK1206*(-PMT($J$110,tech_base!$F242,1))+1000*tech_proj!AK1486)/((1-tech_proj!AK646)*tech_proj!AK926*$L$110))</f>
        <v>28.711802119590665</v>
      </c>
      <c r="AL866" s="69">
        <f>IF(tech_base!$T242&gt;AL$625,"",(1000*tech_proj!AL1206*(-PMT($J$110,tech_base!$F242,1))+1000*tech_proj!AL1486)/((1-tech_proj!AL646)*tech_proj!AL926*$L$110))</f>
        <v>28.404939354659369</v>
      </c>
      <c r="AM866" s="69">
        <f>IF(tech_base!$T242&gt;AM$625,"",(1000*tech_proj!AM1206*(-PMT($J$110,tech_base!$F242,1))+1000*tech_proj!AM1486)/((1-tech_proj!AM646)*tech_proj!AM926*$L$110))</f>
        <v>28.101963394850429</v>
      </c>
      <c r="AN866" s="69">
        <f>IF(tech_base!$T242&gt;AN$625,"",(1000*tech_proj!AN1206*(-PMT($J$110,tech_base!$F242,1))+1000*tech_proj!AN1486)/((1-tech_proj!AN646)*tech_proj!AN926*$L$110))</f>
        <v>27.80368449898468</v>
      </c>
      <c r="AO866" s="69">
        <f>IF(tech_base!$T242&gt;AO$625,"",(1000*tech_proj!AO1206*(-PMT($J$110,tech_base!$F242,1))+1000*tech_proj!AO1486)/((1-tech_proj!AO646)*tech_proj!AO926*$L$110))</f>
        <v>27.510887828875102</v>
      </c>
      <c r="AP866" s="69">
        <f>IF(tech_base!$T242&gt;AP$625,"",(1000*tech_proj!AP1206*(-PMT($J$110,tech_base!$F242,1))+1000*tech_proj!AP1486)/((1-tech_proj!AP646)*tech_proj!AP926*$L$110))</f>
        <v>27.224325130469804</v>
      </c>
      <c r="AQ866" s="69">
        <f>IF(tech_base!$T242&gt;AQ$625,"",(1000*tech_proj!AQ1206*(-PMT($J$110,tech_base!$F242,1))+1000*tech_proj!AQ1486)/((1-tech_proj!AQ646)*tech_proj!AQ926*$L$110))</f>
        <v>26.944706763739298</v>
      </c>
      <c r="AR866" s="69">
        <f>IF(tech_base!$T242&gt;AR$625,"",(1000*tech_proj!AR1206*(-PMT($J$110,tech_base!$F242,1))+1000*tech_proj!AR1486)/((1-tech_proj!AR646)*tech_proj!AR926*$L$110))</f>
        <v>26.672694254062012</v>
      </c>
      <c r="AS866" s="69">
        <f>IF(tech_base!$T242&gt;AS$625,"",(1000*tech_proj!AS1206*(-PMT($J$110,tech_base!$F242,1))+1000*tech_proj!AS1486)/((1-tech_proj!AS646)*tech_proj!AS926*$L$110))</f>
        <v>26.408893528770246</v>
      </c>
      <c r="AT866" s="69">
        <f>IF(tech_base!$T242&gt;AT$625,"",(1000*tech_proj!AT1206*(-PMT($J$110,tech_base!$F242,1))+1000*tech_proj!AT1486)/((1-tech_proj!AT646)*tech_proj!AT926*$L$110))</f>
        <v>26.153848987572211</v>
      </c>
      <c r="AU866" s="69">
        <f>IF(tech_base!$T242&gt;AU$625,"",(1000*tech_proj!AU1206*(-PMT($J$110,tech_base!$F242,1))+1000*tech_proj!AU1486)/((1-tech_proj!AU646)*tech_proj!AU926*$L$110))</f>
        <v>25.908038535183113</v>
      </c>
      <c r="AV866" s="69">
        <f>IF(tech_base!$T242&gt;AV$625,"",(1000*tech_proj!AV1206*(-PMT($J$110,tech_base!$F242,1))+1000*tech_proj!AV1486)/((1-tech_proj!AV646)*tech_proj!AV926*$L$110))</f>
        <v>25.67186967938817</v>
      </c>
      <c r="AW866" s="69">
        <f>IF(tech_base!$T242&gt;AW$625,"",(1000*tech_proj!AW1206*(-PMT($J$110,tech_base!$F242,1))+1000*tech_proj!AW1486)/((1-tech_proj!AW646)*tech_proj!AW926*$L$110))</f>
        <v>25.445676768887648</v>
      </c>
      <c r="AX866" s="235">
        <f>IF(tech_base!$T242&gt;AX$625,"",(1000*tech_proj!AX1206*(-PMT($J$110,tech_base!$F242,1))+1000*tech_proj!AX1486)/((1-tech_proj!AX646)*tech_proj!AX926*$L$110))</f>
        <v>25.22971941381147</v>
      </c>
    </row>
    <row r="867" spans="1:50" x14ac:dyDescent="0.25">
      <c r="A867" s="356"/>
      <c r="B867" s="376"/>
      <c r="C867" s="378"/>
      <c r="D867" s="2" t="s">
        <v>10</v>
      </c>
      <c r="E867" s="160" t="str">
        <f>A865&amp;"/"&amp;B865&amp;"/"&amp;C865&amp;"/"&amp;D867</f>
        <v>Wind power plants/Onshore/Electricity only/S</v>
      </c>
      <c r="F867" s="76" t="str">
        <f>A865</f>
        <v>Wind power plants</v>
      </c>
      <c r="G867" s="76" t="str">
        <f>B865</f>
        <v>Onshore</v>
      </c>
      <c r="H867" s="76" t="str">
        <f>C865</f>
        <v>Electricity only</v>
      </c>
      <c r="I867" s="161" t="str">
        <f t="shared" si="365"/>
        <v>S</v>
      </c>
      <c r="J867" s="69">
        <f>IF(tech_base!$T243&gt;J$625,"",(1000*tech_proj!J1207*(-PMT($J$110,tech_base!$F243,1))+1000*tech_proj!J1487)/((1-tech_proj!J647)*tech_proj!J927*$L$110))</f>
        <v>42.485118595117171</v>
      </c>
      <c r="K867" s="69">
        <f>IF(tech_base!$T243&gt;K$625,"",(1000*tech_proj!K1207*(-PMT($J$110,tech_base!$F243,1))+1000*tech_proj!K1487)/((1-tech_proj!K647)*tech_proj!K927*$L$110))</f>
        <v>41.821283562979133</v>
      </c>
      <c r="L867" s="69">
        <f>IF(tech_base!$T243&gt;L$625,"",(1000*tech_proj!L1207*(-PMT($J$110,tech_base!$F243,1))+1000*tech_proj!L1487)/((1-tech_proj!L647)*tech_proj!L927*$L$110))</f>
        <v>41.407211448494188</v>
      </c>
      <c r="M867" s="69">
        <f>IF(tech_base!$T243&gt;M$625,"",(1000*tech_proj!M1207*(-PMT($J$110,tech_base!$F243,1))+1000*tech_proj!M1487)/((1-tech_proj!M647)*tech_proj!M927*$L$110))</f>
        <v>40.997239057915039</v>
      </c>
      <c r="N867" s="69">
        <f>IF(tech_base!$T243&gt;N$625,"",(1000*tech_proj!N1207*(-PMT($J$110,tech_base!$F243,1))+1000*tech_proj!N1487)/((1-tech_proj!N647)*tech_proj!N927*$L$110))</f>
        <v>40.591325799915879</v>
      </c>
      <c r="O867" s="69">
        <f>IF(tech_base!$T243&gt;O$625,"",(1000*tech_proj!O1207*(-PMT($J$110,tech_base!$F243,1))+1000*tech_proj!O1487)/((1-tech_proj!O647)*tech_proj!O927*$L$110))</f>
        <v>40.189431485065228</v>
      </c>
      <c r="P867" s="69">
        <f>IF(tech_base!$T243&gt;P$625,"",(1000*tech_proj!P1207*(-PMT($J$110,tech_base!$F243,1))+1000*tech_proj!P1487)/((1-tech_proj!P647)*tech_proj!P927*$L$110))</f>
        <v>39.540814153170984</v>
      </c>
      <c r="Q867" s="69">
        <f>IF(tech_base!$T243&gt;Q$625,"",(1000*tech_proj!Q1207*(-PMT($J$110,tech_base!$F243,1))+1000*tech_proj!Q1487)/((1-tech_proj!Q647)*tech_proj!Q927*$L$110))</f>
        <v>38.924627687871457</v>
      </c>
      <c r="R867" s="69">
        <f>IF(tech_base!$T243&gt;R$625,"",(1000*tech_proj!R1207*(-PMT($J$110,tech_base!$F243,1))+1000*tech_proj!R1487)/((1-tech_proj!R647)*tech_proj!R927*$L$110))</f>
        <v>38.349520320258556</v>
      </c>
      <c r="S867" s="69">
        <f>IF(tech_base!$T243&gt;S$625,"",(1000*tech_proj!S1207*(-PMT($J$110,tech_base!$F243,1))+1000*tech_proj!S1487)/((1-tech_proj!S647)*tech_proj!S927*$L$110))</f>
        <v>37.861727861527605</v>
      </c>
      <c r="T867" s="69">
        <f>IF(tech_base!$T243&gt;T$625,"",(1000*tech_proj!T1207*(-PMT($J$110,tech_base!$F243,1))+1000*tech_proj!T1487)/((1-tech_proj!T647)*tech_proj!T927*$L$110))</f>
        <v>37.486859268839204</v>
      </c>
      <c r="U867" s="69">
        <f>IF(tech_base!$T243&gt;U$625,"",(1000*tech_proj!U1207*(-PMT($J$110,tech_base!$F243,1))+1000*tech_proj!U1487)/((1-tech_proj!U647)*tech_proj!U927*$L$110))</f>
        <v>37.210426047396567</v>
      </c>
      <c r="V867" s="69">
        <f>IF(tech_base!$T243&gt;V$625,"",(1000*tech_proj!V1207*(-PMT($J$110,tech_base!$F243,1))+1000*tech_proj!V1487)/((1-tech_proj!V647)*tech_proj!V927*$L$110))</f>
        <v>36.924123983388888</v>
      </c>
      <c r="W867" s="69">
        <f>IF(tech_base!$T243&gt;W$625,"",(1000*tech_proj!W1207*(-PMT($J$110,tech_base!$F243,1))+1000*tech_proj!W1487)/((1-tech_proj!W647)*tech_proj!W927*$L$110))</f>
        <v>36.628237109675155</v>
      </c>
      <c r="X867" s="69">
        <f>IF(tech_base!$T243&gt;X$625,"",(1000*tech_proj!X1207*(-PMT($J$110,tech_base!$F243,1))+1000*tech_proj!X1487)/((1-tech_proj!X647)*tech_proj!X927*$L$110))</f>
        <v>36.323133563295741</v>
      </c>
      <c r="Y867" s="69">
        <f>IF(tech_base!$T243&gt;Y$625,"",(1000*tech_proj!Y1207*(-PMT($J$110,tech_base!$F243,1))+1000*tech_proj!Y1487)/((1-tech_proj!Y647)*tech_proj!Y927*$L$110))</f>
        <v>36.00926956488081</v>
      </c>
      <c r="Z867" s="69">
        <f>IF(tech_base!$T243&gt;Z$625,"",(1000*tech_proj!Z1207*(-PMT($J$110,tech_base!$F243,1))+1000*tech_proj!Z1487)/((1-tech_proj!Z647)*tech_proj!Z927*$L$110))</f>
        <v>35.687192400059466</v>
      </c>
      <c r="AA867" s="69">
        <f>IF(tech_base!$T243&gt;AA$625,"",(1000*tech_proj!AA1207*(-PMT($J$110,tech_base!$F243,1))+1000*tech_proj!AA1487)/((1-tech_proj!AA647)*tech_proj!AA927*$L$110))</f>
        <v>35.357542197167213</v>
      </c>
      <c r="AB867" s="69">
        <f>IF(tech_base!$T243&gt;AB$625,"",(1000*tech_proj!AB1207*(-PMT($J$110,tech_base!$F243,1))+1000*tech_proj!AB1487)/((1-tech_proj!AB647)*tech_proj!AB927*$L$110))</f>
        <v>35.021052300247014</v>
      </c>
      <c r="AC867" s="69">
        <f>IF(tech_base!$T243&gt;AC$625,"",(1000*tech_proj!AC1207*(-PMT($J$110,tech_base!$F243,1))+1000*tech_proj!AC1487)/((1-tech_proj!AC647)*tech_proj!AC927*$L$110))</f>
        <v>34.678548049795943</v>
      </c>
      <c r="AD867" s="69">
        <f>IF(tech_base!$T243&gt;AD$625,"",(1000*tech_proj!AD1207*(-PMT($J$110,tech_base!$F243,1))+1000*tech_proj!AD1487)/((1-tech_proj!AD647)*tech_proj!AD927*$L$110))</f>
        <v>34.330943806971952</v>
      </c>
      <c r="AE867" s="69">
        <f>IF(tech_base!$T243&gt;AE$625,"",(1000*tech_proj!AE1207*(-PMT($J$110,tech_base!$F243,1))+1000*tech_proj!AE1487)/((1-tech_proj!AE647)*tech_proj!AE927*$L$110))</f>
        <v>33.979238090724401</v>
      </c>
      <c r="AF867" s="69">
        <f>IF(tech_base!$T243&gt;AF$625,"",(1000*tech_proj!AF1207*(-PMT($J$110,tech_base!$F243,1))+1000*tech_proj!AF1487)/((1-tech_proj!AF647)*tech_proj!AF927*$L$110))</f>
        <v>33.624506741726066</v>
      </c>
      <c r="AG867" s="69">
        <f>IF(tech_base!$T243&gt;AG$625,"",(1000*tech_proj!AG1207*(-PMT($J$110,tech_base!$F243,1))+1000*tech_proj!AG1487)/((1-tech_proj!AG647)*tech_proj!AG927*$L$110))</f>
        <v>33.267894081617875</v>
      </c>
      <c r="AH867" s="69">
        <f>IF(tech_base!$T243&gt;AH$625,"",(1000*tech_proj!AH1207*(-PMT($J$110,tech_base!$F243,1))+1000*tech_proj!AH1487)/((1-tech_proj!AH647)*tech_proj!AH927*$L$110))</f>
        <v>32.910602099758002</v>
      </c>
      <c r="AI867" s="69">
        <f>IF(tech_base!$T243&gt;AI$625,"",(1000*tech_proj!AI1207*(-PMT($J$110,tech_base!$F243,1))+1000*tech_proj!AI1487)/((1-tech_proj!AI647)*tech_proj!AI927*$L$110))</f>
        <v>32.553877770442028</v>
      </c>
      <c r="AJ867" s="69">
        <f>IF(tech_base!$T243&gt;AJ$625,"",(1000*tech_proj!AJ1207*(-PMT($J$110,tech_base!$F243,1))+1000*tech_proj!AJ1487)/((1-tech_proj!AJ647)*tech_proj!AJ927*$L$110))</f>
        <v>32.198998678689733</v>
      </c>
      <c r="AK867" s="69">
        <f>IF(tech_base!$T243&gt;AK$625,"",(1000*tech_proj!AK1207*(-PMT($J$110,tech_base!$F243,1))+1000*tech_proj!AK1487)/((1-tech_proj!AK647)*tech_proj!AK927*$L$110))</f>
        <v>31.847257208726507</v>
      </c>
      <c r="AL867" s="69">
        <f>IF(tech_base!$T243&gt;AL$625,"",(1000*tech_proj!AL1207*(-PMT($J$110,tech_base!$F243,1))+1000*tech_proj!AL1487)/((1-tech_proj!AL647)*tech_proj!AL927*$L$110))</f>
        <v>31.49994362219795</v>
      </c>
      <c r="AM867" s="69">
        <f>IF(tech_base!$T243&gt;AM$625,"",(1000*tech_proj!AM1207*(-PMT($J$110,tech_base!$F243,1))+1000*tech_proj!AM1487)/((1-tech_proj!AM647)*tech_proj!AM927*$L$110))</f>
        <v>31.158328418582229</v>
      </c>
      <c r="AN867" s="69">
        <f>IF(tech_base!$T243&gt;AN$625,"",(1000*tech_proj!AN1207*(-PMT($J$110,tech_base!$F243,1))+1000*tech_proj!AN1487)/((1-tech_proj!AN647)*tech_proj!AN927*$L$110))</f>
        <v>30.823644423788362</v>
      </c>
      <c r="AO867" s="69">
        <f>IF(tech_base!$T243&gt;AO$625,"",(1000*tech_proj!AO1207*(-PMT($J$110,tech_base!$F243,1))+1000*tech_proj!AO1487)/((1-tech_proj!AO647)*tech_proj!AO927*$L$110))</f>
        <v>30.497069090427388</v>
      </c>
      <c r="AP867" s="69">
        <f>IF(tech_base!$T243&gt;AP$625,"",(1000*tech_proj!AP1207*(-PMT($J$110,tech_base!$F243,1))+1000*tech_proj!AP1487)/((1-tech_proj!AP647)*tech_proj!AP927*$L$110))</f>
        <v>30.179707511251227</v>
      </c>
      <c r="AQ867" s="69">
        <f>IF(tech_base!$T243&gt;AQ$625,"",(1000*tech_proj!AQ1207*(-PMT($J$110,tech_base!$F243,1))+1000*tech_proj!AQ1487)/((1-tech_proj!AQ647)*tech_proj!AQ927*$L$110))</f>
        <v>29.872576643308477</v>
      </c>
      <c r="AR867" s="69">
        <f>IF(tech_base!$T243&gt;AR$625,"",(1000*tech_proj!AR1207*(-PMT($J$110,tech_base!$F243,1))+1000*tech_proj!AR1487)/((1-tech_proj!AR647)*tech_proj!AR927*$L$110))</f>
        <v>29.576591213303157</v>
      </c>
      <c r="AS867" s="69">
        <f>IF(tech_base!$T243&gt;AS$625,"",(1000*tech_proj!AS1207*(-PMT($J$110,tech_base!$F243,1))+1000*tech_proj!AS1487)/((1-tech_proj!AS647)*tech_proj!AS927*$L$110))</f>
        <v>29.292551724793316</v>
      </c>
      <c r="AT867" s="69">
        <f>IF(tech_base!$T243&gt;AT$625,"",(1000*tech_proj!AT1207*(-PMT($J$110,tech_base!$F243,1))+1000*tech_proj!AT1487)/((1-tech_proj!AT647)*tech_proj!AT927*$L$110))</f>
        <v>29.021134917136333</v>
      </c>
      <c r="AU867" s="69">
        <f>IF(tech_base!$T243&gt;AU$625,"",(1000*tech_proj!AU1207*(-PMT($J$110,tech_base!$F243,1))+1000*tech_proj!AU1487)/((1-tech_proj!AU647)*tech_proj!AU927*$L$110))</f>
        <v>28.76288693788478</v>
      </c>
      <c r="AV867" s="69">
        <f>IF(tech_base!$T243&gt;AV$625,"",(1000*tech_proj!AV1207*(-PMT($J$110,tech_base!$F243,1))+1000*tech_proj!AV1487)/((1-tech_proj!AV647)*tech_proj!AV927*$L$110))</f>
        <v>28.51821938936326</v>
      </c>
      <c r="AW867" s="69">
        <f>IF(tech_base!$T243&gt;AW$625,"",(1000*tech_proj!AW1207*(-PMT($J$110,tech_base!$F243,1))+1000*tech_proj!AW1487)/((1-tech_proj!AW647)*tech_proj!AW927*$L$110))</f>
        <v>28.287408302063234</v>
      </c>
      <c r="AX867" s="235">
        <f>IF(tech_base!$T243&gt;AX$625,"",(1000*tech_proj!AX1207*(-PMT($J$110,tech_base!$F243,1))+1000*tech_proj!AX1487)/((1-tech_proj!AX647)*tech_proj!AX927*$L$110))</f>
        <v>28.070595978441006</v>
      </c>
    </row>
    <row r="868" spans="1:50" x14ac:dyDescent="0.25">
      <c r="A868" s="356"/>
      <c r="B868" s="377"/>
      <c r="C868" s="379"/>
      <c r="D868" s="59" t="s">
        <v>20</v>
      </c>
      <c r="E868" s="166" t="str">
        <f>A865&amp;"/"&amp;B865&amp;"/"&amp;C865&amp;"/"&amp;D868</f>
        <v>Wind power plants/Onshore/Electricity only/XS</v>
      </c>
      <c r="F868" s="79" t="str">
        <f>A865</f>
        <v>Wind power plants</v>
      </c>
      <c r="G868" s="79" t="str">
        <f>B865</f>
        <v>Onshore</v>
      </c>
      <c r="H868" s="79" t="str">
        <f>C865</f>
        <v>Electricity only</v>
      </c>
      <c r="I868" s="167" t="str">
        <f t="shared" si="365"/>
        <v>XS</v>
      </c>
      <c r="J868" s="72">
        <f>IF(tech_base!$T244&gt;J$625,"",(1000*tech_proj!J1208*(-PMT($J$110,tech_base!$F244,1))+1000*tech_proj!J1488)/((1-tech_proj!J648)*tech_proj!J928*$L$110))</f>
        <v>51.011956432452969</v>
      </c>
      <c r="K868" s="72">
        <f>IF(tech_base!$T244&gt;K$625,"",(1000*tech_proj!K1208*(-PMT($J$110,tech_base!$F244,1))+1000*tech_proj!K1488)/((1-tech_proj!K648)*tech_proj!K928*$L$110))</f>
        <v>50.540234397808874</v>
      </c>
      <c r="L868" s="72">
        <f>IF(tech_base!$T244&gt;L$625,"",(1000*tech_proj!L1208*(-PMT($J$110,tech_base!$F244,1))+1000*tech_proj!L1488)/((1-tech_proj!L648)*tech_proj!L928*$L$110))</f>
        <v>50.139121426397686</v>
      </c>
      <c r="M868" s="72">
        <f>IF(tech_base!$T244&gt;M$625,"",(1000*tech_proj!M1208*(-PMT($J$110,tech_base!$F244,1))+1000*tech_proj!M1488)/((1-tech_proj!M648)*tech_proj!M928*$L$110))</f>
        <v>49.74119189126754</v>
      </c>
      <c r="N868" s="72">
        <f>IF(tech_base!$T244&gt;N$625,"",(1000*tech_proj!N1208*(-PMT($J$110,tech_base!$F244,1))+1000*tech_proj!N1488)/((1-tech_proj!N648)*tech_proj!N928*$L$110))</f>
        <v>49.34642052705113</v>
      </c>
      <c r="O868" s="72">
        <f>IF(tech_base!$T244&gt;O$625,"",(1000*tech_proj!O1208*(-PMT($J$110,tech_base!$F244,1))+1000*tech_proj!O1488)/((1-tech_proj!O648)*tech_proj!O928*$L$110))</f>
        <v>48.954782268899926</v>
      </c>
      <c r="P868" s="72">
        <f>IF(tech_base!$T244&gt;P$625,"",(1000*tech_proj!P1208*(-PMT($J$110,tech_base!$F244,1))+1000*tech_proj!P1488)/((1-tech_proj!P648)*tech_proj!P928*$L$110))</f>
        <v>48.575905689819123</v>
      </c>
      <c r="Q868" s="72">
        <f>IF(tech_base!$T244&gt;Q$625,"",(1000*tech_proj!Q1208*(-PMT($J$110,tech_base!$F244,1))+1000*tech_proj!Q1488)/((1-tech_proj!Q648)*tech_proj!Q928*$L$110))</f>
        <v>48.094956128533774</v>
      </c>
      <c r="R868" s="72">
        <f>IF(tech_base!$T244&gt;R$625,"",(1000*tech_proj!R1208*(-PMT($J$110,tech_base!$F244,1))+1000*tech_proj!R1488)/((1-tech_proj!R648)*tech_proj!R928*$L$110))</f>
        <v>47.618768444092851</v>
      </c>
      <c r="S868" s="72">
        <f>IF(tech_base!$T244&gt;S$625,"",(1000*tech_proj!S1208*(-PMT($J$110,tech_base!$F244,1))+1000*tech_proj!S1488)/((1-tech_proj!S648)*tech_proj!S928*$L$110))</f>
        <v>47.147295489200836</v>
      </c>
      <c r="T868" s="72">
        <f>IF(tech_base!$T244&gt;T$625,"",(1000*tech_proj!T1208*(-PMT($J$110,tech_base!$F244,1))+1000*tech_proj!T1488)/((1-tech_proj!T648)*tech_proj!T928*$L$110))</f>
        <v>46.680490583367174</v>
      </c>
      <c r="U868" s="72">
        <f>IF(tech_base!$T244&gt;U$625,"",(1000*tech_proj!U1208*(-PMT($J$110,tech_base!$F244,1))+1000*tech_proj!U1488)/((1-tech_proj!U648)*tech_proj!U928*$L$110))</f>
        <v>46.442332731047351</v>
      </c>
      <c r="V868" s="72">
        <f>IF(tech_base!$T244&gt;V$625,"",(1000*tech_proj!V1208*(-PMT($J$110,tech_base!$F244,1))+1000*tech_proj!V1488)/((1-tech_proj!V648)*tech_proj!V928*$L$110))</f>
        <v>46.195672491286892</v>
      </c>
      <c r="W868" s="72">
        <f>IF(tech_base!$T244&gt;W$625,"",(1000*tech_proj!W1208*(-PMT($J$110,tech_base!$F244,1))+1000*tech_proj!W1488)/((1-tech_proj!W648)*tech_proj!W928*$L$110))</f>
        <v>45.940754569318138</v>
      </c>
      <c r="X868" s="72">
        <f>IF(tech_base!$T244&gt;X$625,"",(1000*tech_proj!X1208*(-PMT($J$110,tech_base!$F244,1))+1000*tech_proj!X1488)/((1-tech_proj!X648)*tech_proj!X928*$L$110))</f>
        <v>45.677896129360491</v>
      </c>
      <c r="Y868" s="72">
        <f>IF(tech_base!$T244&gt;Y$625,"",(1000*tech_proj!Y1208*(-PMT($J$110,tech_base!$F244,1))+1000*tech_proj!Y1488)/((1-tech_proj!Y648)*tech_proj!Y928*$L$110))</f>
        <v>45.407490223033783</v>
      </c>
      <c r="Z868" s="72">
        <f>IF(tech_base!$T244&gt;Z$625,"",(1000*tech_proj!Z1208*(-PMT($J$110,tech_base!$F244,1))+1000*tech_proj!Z1488)/((1-tech_proj!Z648)*tech_proj!Z928*$L$110))</f>
        <v>45.130008357956925</v>
      </c>
      <c r="AA868" s="72">
        <f>IF(tech_base!$T244&gt;AA$625,"",(1000*tech_proj!AA1208*(-PMT($J$110,tech_base!$F244,1))+1000*tech_proj!AA1488)/((1-tech_proj!AA648)*tech_proj!AA928*$L$110))</f>
        <v>44.846002029311293</v>
      </c>
      <c r="AB868" s="72">
        <f>IF(tech_base!$T244&gt;AB$625,"",(1000*tech_proj!AB1208*(-PMT($J$110,tech_base!$F244,1))+1000*tech_proj!AB1488)/((1-tech_proj!AB648)*tech_proj!AB928*$L$110))</f>
        <v>44.556103041195442</v>
      </c>
      <c r="AC868" s="72">
        <f>IF(tech_base!$T244&gt;AC$625,"",(1000*tech_proj!AC1208*(-PMT($J$110,tech_base!$F244,1))+1000*tech_proj!AC1488)/((1-tech_proj!AC648)*tech_proj!AC928*$L$110))</f>
        <v>44.261022456191434</v>
      </c>
      <c r="AD868" s="72">
        <f>IF(tech_base!$T244&gt;AD$625,"",(1000*tech_proj!AD1208*(-PMT($J$110,tech_base!$F244,1))+1000*tech_proj!AD1488)/((1-tech_proj!AD648)*tech_proj!AD928*$L$110))</f>
        <v>43.9615480316046</v>
      </c>
      <c r="AE868" s="72">
        <f>IF(tech_base!$T244&gt;AE$625,"",(1000*tech_proj!AE1208*(-PMT($J$110,tech_base!$F244,1))+1000*tech_proj!AE1488)/((1-tech_proj!AE648)*tech_proj!AE928*$L$110))</f>
        <v>43.658540029914398</v>
      </c>
      <c r="AF868" s="72">
        <f>IF(tech_base!$T244&gt;AF$625,"",(1000*tech_proj!AF1208*(-PMT($J$110,tech_base!$F244,1))+1000*tech_proj!AF1488)/((1-tech_proj!AF648)*tech_proj!AF928*$L$110))</f>
        <v>43.352925329238928</v>
      </c>
      <c r="AG868" s="72">
        <f>IF(tech_base!$T244&gt;AG$625,"",(1000*tech_proj!AG1208*(-PMT($J$110,tech_base!$F244,1))+1000*tech_proj!AG1488)/((1-tech_proj!AG648)*tech_proj!AG928*$L$110))</f>
        <v>43.045689806684173</v>
      </c>
      <c r="AH868" s="72">
        <f>IF(tech_base!$T244&gt;AH$625,"",(1000*tech_proj!AH1208*(-PMT($J$110,tech_base!$F244,1))+1000*tech_proj!AH1488)/((1-tech_proj!AH648)*tech_proj!AH928*$L$110))</f>
        <v>42.737869022312587</v>
      </c>
      <c r="AI868" s="72">
        <f>IF(tech_base!$T244&gt;AI$625,"",(1000*tech_proj!AI1208*(-PMT($J$110,tech_base!$F244,1))+1000*tech_proj!AI1488)/((1-tech_proj!AI648)*tech_proj!AI928*$L$110))</f>
        <v>42.430537292440363</v>
      </c>
      <c r="AJ868" s="72">
        <f>IF(tech_base!$T244&gt;AJ$625,"",(1000*tech_proj!AJ1208*(-PMT($J$110,tech_base!$F244,1))+1000*tech_proj!AJ1488)/((1-tech_proj!AJ648)*tech_proj!AJ928*$L$110))</f>
        <v>42.124795305699926</v>
      </c>
      <c r="AK868" s="72">
        <f>IF(tech_base!$T244&gt;AK$625,"",(1000*tech_proj!AK1208*(-PMT($J$110,tech_base!$F244,1))+1000*tech_proj!AK1488)/((1-tech_proj!AK648)*tech_proj!AK928*$L$110))</f>
        <v>41.821756500808533</v>
      </c>
      <c r="AL868" s="72">
        <f>IF(tech_base!$T244&gt;AL$625,"",(1000*tech_proj!AL1208*(-PMT($J$110,tech_base!$F244,1))+1000*tech_proj!AL1488)/((1-tech_proj!AL648)*tech_proj!AL928*$L$110))</f>
        <v>41.522532487799317</v>
      </c>
      <c r="AM868" s="72">
        <f>IF(tech_base!$T244&gt;AM$625,"",(1000*tech_proj!AM1208*(-PMT($J$110,tech_base!$F244,1))+1000*tech_proj!AM1488)/((1-tech_proj!AM648)*tech_proj!AM928*$L$110))</f>
        <v>41.228217850838078</v>
      </c>
      <c r="AN868" s="72">
        <f>IF(tech_base!$T244&gt;AN$625,"",(1000*tech_proj!AN1208*(-PMT($J$110,tech_base!$F244,1))+1000*tech_proj!AN1488)/((1-tech_proj!AN648)*tech_proj!AN928*$L$110))</f>
        <v>40.939874716861823</v>
      </c>
      <c r="AO868" s="72">
        <f>IF(tech_base!$T244&gt;AO$625,"",(1000*tech_proj!AO1208*(-PMT($J$110,tech_base!$F244,1))+1000*tech_proj!AO1488)/((1-tech_proj!AO648)*tech_proj!AO928*$L$110))</f>
        <v>40.658517506581596</v>
      </c>
      <c r="AP868" s="72">
        <f>IF(tech_base!$T244&gt;AP$625,"",(1000*tech_proj!AP1208*(-PMT($J$110,tech_base!$F244,1))+1000*tech_proj!AP1488)/((1-tech_proj!AP648)*tech_proj!AP928*$L$110))</f>
        <v>40.385098299906744</v>
      </c>
      <c r="AQ868" s="72">
        <f>IF(tech_base!$T244&gt;AQ$625,"",(1000*tech_proj!AQ1208*(-PMT($J$110,tech_base!$F244,1))+1000*tech_proj!AQ1488)/((1-tech_proj!AQ648)*tech_proj!AQ928*$L$110))</f>
        <v>40.120493244448383</v>
      </c>
      <c r="AR868" s="72">
        <f>IF(tech_base!$T244&gt;AR$625,"",(1000*tech_proj!AR1208*(-PMT($J$110,tech_base!$F244,1))+1000*tech_proj!AR1488)/((1-tech_proj!AR648)*tech_proj!AR928*$L$110))</f>
        <v>39.865490412443798</v>
      </c>
      <c r="AS868" s="72">
        <f>IF(tech_base!$T244&gt;AS$625,"",(1000*tech_proj!AS1208*(-PMT($J$110,tech_base!$F244,1))+1000*tech_proj!AS1488)/((1-tech_proj!AS648)*tech_proj!AS928*$L$110))</f>
        <v>39.620779468496856</v>
      </c>
      <c r="AT868" s="72">
        <f>IF(tech_base!$T244&gt;AT$625,"",(1000*tech_proj!AT1208*(-PMT($J$110,tech_base!$F244,1))+1000*tech_proj!AT1488)/((1-tech_proj!AT648)*tech_proj!AT928*$L$110))</f>
        <v>39.38694344959238</v>
      </c>
      <c r="AU868" s="72">
        <f>IF(tech_base!$T244&gt;AU$625,"",(1000*tech_proj!AU1208*(-PMT($J$110,tech_base!$F244,1))+1000*tech_proj!AU1488)/((1-tech_proj!AU648)*tech_proj!AU928*$L$110))</f>
        <v>39.164452882852579</v>
      </c>
      <c r="AV868" s="72">
        <f>IF(tech_base!$T244&gt;AV$625,"",(1000*tech_proj!AV1208*(-PMT($J$110,tech_base!$F244,1))+1000*tech_proj!AV1488)/((1-tech_proj!AV648)*tech_proj!AV928*$L$110))</f>
        <v>38.953662379510966</v>
      </c>
      <c r="AW868" s="72">
        <f>IF(tech_base!$T244&gt;AW$625,"",(1000*tech_proj!AW1208*(-PMT($J$110,tech_base!$F244,1))+1000*tech_proj!AW1488)/((1-tech_proj!AW648)*tech_proj!AW928*$L$110))</f>
        <v>38.75480975045248</v>
      </c>
      <c r="AX868" s="238">
        <f>IF(tech_base!$T244&gt;AX$625,"",(1000*tech_proj!AX1208*(-PMT($J$110,tech_base!$F244,1))+1000*tech_proj!AX1488)/((1-tech_proj!AX648)*tech_proj!AX928*$L$110))</f>
        <v>38.568017594716409</v>
      </c>
    </row>
    <row r="869" spans="1:50" x14ac:dyDescent="0.25">
      <c r="A869" s="356"/>
      <c r="B869" s="359" t="s">
        <v>36</v>
      </c>
      <c r="C869" s="361" t="s">
        <v>6</v>
      </c>
      <c r="D869" s="2" t="s">
        <v>7</v>
      </c>
      <c r="E869" s="160" t="str">
        <f>A865&amp;"/"&amp;B869&amp;"/"&amp;C869&amp;"/"&amp;D869</f>
        <v>Wind power plants/Offshore/Electricity only/L</v>
      </c>
      <c r="F869" s="76" t="str">
        <f>A865</f>
        <v>Wind power plants</v>
      </c>
      <c r="G869" s="76" t="str">
        <f>B869</f>
        <v>Offshore</v>
      </c>
      <c r="H869" s="76" t="str">
        <f>C869</f>
        <v>Electricity only</v>
      </c>
      <c r="I869" s="161" t="str">
        <f t="shared" si="365"/>
        <v>L</v>
      </c>
      <c r="J869" s="69">
        <f>IF(tech_base!$T245&gt;J$625,"",(1000*tech_proj!J1209*(-PMT($J$110,tech_base!$F245,1))+1000*tech_proj!J1489)/((1-tech_proj!J649)*tech_proj!J929*$L$110))</f>
        <v>95.365090255094614</v>
      </c>
      <c r="K869" s="69">
        <f>IF(tech_base!$T245&gt;K$625,"",(1000*tech_proj!K1209*(-PMT($J$110,tech_base!$F245,1))+1000*tech_proj!K1489)/((1-tech_proj!K649)*tech_proj!K929*$L$110))</f>
        <v>93.698621980968227</v>
      </c>
      <c r="L869" s="69">
        <f>IF(tech_base!$T245&gt;L$625,"",(1000*tech_proj!L1209*(-PMT($J$110,tech_base!$F245,1))+1000*tech_proj!L1489)/((1-tech_proj!L649)*tech_proj!L929*$L$110))</f>
        <v>92.770912852443786</v>
      </c>
      <c r="M869" s="69">
        <f>IF(tech_base!$T245&gt;M$625,"",(1000*tech_proj!M1209*(-PMT($J$110,tech_base!$F245,1))+1000*tech_proj!M1489)/((1-tech_proj!M649)*tech_proj!M929*$L$110))</f>
        <v>91.852388962815652</v>
      </c>
      <c r="N869" s="69">
        <f>IF(tech_base!$T245&gt;N$625,"",(1000*tech_proj!N1209*(-PMT($J$110,tech_base!$F245,1))+1000*tech_proj!N1489)/((1-tech_proj!N649)*tech_proj!N929*$L$110))</f>
        <v>90.942959369124395</v>
      </c>
      <c r="O869" s="69">
        <f>IF(tech_base!$T245&gt;O$625,"",(1000*tech_proj!O1209*(-PMT($J$110,tech_base!$F245,1))+1000*tech_proj!O1489)/((1-tech_proj!O649)*tech_proj!O929*$L$110))</f>
        <v>90.04253402883603</v>
      </c>
      <c r="P869" s="69">
        <f>IF(tech_base!$T245&gt;P$625,"",(1000*tech_proj!P1209*(-PMT($J$110,tech_base!$F245,1))+1000*tech_proj!P1489)/((1-tech_proj!P649)*tech_proj!P929*$L$110))</f>
        <v>88.468371619678933</v>
      </c>
      <c r="Q869" s="69">
        <f>IF(tech_base!$T245&gt;Q$625,"",(1000*tech_proj!Q1209*(-PMT($J$110,tech_base!$F245,1))+1000*tech_proj!Q1489)/((1-tech_proj!Q649)*tech_proj!Q929*$L$110))</f>
        <v>87.592447148196953</v>
      </c>
      <c r="R869" s="69">
        <f>IF(tech_base!$T245&gt;R$625,"",(1000*tech_proj!R1209*(-PMT($J$110,tech_base!$F245,1))+1000*tech_proj!R1489)/((1-tech_proj!R649)*tech_proj!R929*$L$110))</f>
        <v>86.725195196234623</v>
      </c>
      <c r="S869" s="69">
        <f>IF(tech_base!$T245&gt;S$625,"",(1000*tech_proj!S1209*(-PMT($J$110,tech_base!$F245,1))+1000*tech_proj!S1489)/((1-tech_proj!S649)*tech_proj!S929*$L$110))</f>
        <v>85.866529897261998</v>
      </c>
      <c r="T869" s="69">
        <f>IF(tech_base!$T245&gt;T$625,"",(1000*tech_proj!T1209*(-PMT($J$110,tech_base!$F245,1))+1000*tech_proj!T1489)/((1-tech_proj!T649)*tech_proj!T929*$L$110))</f>
        <v>85.01636623491288</v>
      </c>
      <c r="U869" s="69">
        <f>IF(tech_base!$T245&gt;U$625,"",(1000*tech_proj!U1209*(-PMT($J$110,tech_base!$F245,1))+1000*tech_proj!U1489)/((1-tech_proj!U649)*tech_proj!U929*$L$110))</f>
        <v>83.53998788326065</v>
      </c>
      <c r="V869" s="69">
        <f>IF(tech_base!$T245&gt;V$625,"",(1000*tech_proj!V1209*(-PMT($J$110,tech_base!$F245,1))+1000*tech_proj!V1489)/((1-tech_proj!V649)*tech_proj!V929*$L$110))</f>
        <v>81.999501408300716</v>
      </c>
      <c r="W869" s="69">
        <f>IF(tech_base!$T245&gt;W$625,"",(1000*tech_proj!W1209*(-PMT($J$110,tech_base!$F245,1))+1000*tech_proj!W1489)/((1-tech_proj!W649)*tech_proj!W929*$L$110))</f>
        <v>80.405190834694437</v>
      </c>
      <c r="X869" s="69">
        <f>IF(tech_base!$T245&gt;X$625,"",(1000*tech_proj!X1209*(-PMT($J$110,tech_base!$F245,1))+1000*tech_proj!X1489)/((1-tech_proj!X649)*tech_proj!X929*$L$110))</f>
        <v>78.769201947858193</v>
      </c>
      <c r="Y869" s="69">
        <f>IF(tech_base!$T245&gt;Y$625,"",(1000*tech_proj!Y1209*(-PMT($J$110,tech_base!$F245,1))+1000*tech_proj!Y1489)/((1-tech_proj!Y649)*tech_proj!Y929*$L$110))</f>
        <v>77.105254865982999</v>
      </c>
      <c r="Z869" s="69">
        <f>IF(tech_base!$T245&gt;Z$625,"",(1000*tech_proj!Z1209*(-PMT($J$110,tech_base!$F245,1))+1000*tech_proj!Z1489)/((1-tech_proj!Z649)*tech_proj!Z929*$L$110))</f>
        <v>75.428244859746741</v>
      </c>
      <c r="AA869" s="69">
        <f>IF(tech_base!$T245&gt;AA$625,"",(1000*tech_proj!AA1209*(-PMT($J$110,tech_base!$F245,1))+1000*tech_proj!AA1489)/((1-tech_proj!AA649)*tech_proj!AA929*$L$110))</f>
        <v>73.753751443561669</v>
      </c>
      <c r="AB869" s="69">
        <f>IF(tech_base!$T245&gt;AB$625,"",(1000*tech_proj!AB1209*(-PMT($J$110,tech_base!$F245,1))+1000*tech_proj!AB1489)/((1-tech_proj!AB649)*tech_proj!AB929*$L$110))</f>
        <v>72.097486945308134</v>
      </c>
      <c r="AC869" s="69">
        <f>IF(tech_base!$T245&gt;AC$625,"",(1000*tech_proj!AC1209*(-PMT($J$110,tech_base!$F245,1))+1000*tech_proj!AC1489)/((1-tech_proj!AC649)*tech_proj!AC929*$L$110))</f>
        <v>70.474723929441978</v>
      </c>
      <c r="AD869" s="69">
        <f>IF(tech_base!$T245&gt;AD$625,"",(1000*tech_proj!AD1209*(-PMT($J$110,tech_base!$F245,1))+1000*tech_proj!AD1489)/((1-tech_proj!AD649)*tech_proj!AD929*$L$110))</f>
        <v>68.899744443601463</v>
      </c>
      <c r="AE869" s="69">
        <f>IF(tech_base!$T245&gt;AE$625,"",(1000*tech_proj!AE1209*(-PMT($J$110,tech_base!$F245,1))+1000*tech_proj!AE1489)/((1-tech_proj!AE649)*tech_proj!AE929*$L$110))</f>
        <v>67.385352290171667</v>
      </c>
      <c r="AF869" s="69">
        <f>IF(tech_base!$T245&gt;AF$625,"",(1000*tech_proj!AF1209*(-PMT($J$110,tech_base!$F245,1))+1000*tech_proj!AF1489)/((1-tech_proj!AF649)*tech_proj!AF929*$L$110))</f>
        <v>65.942482591882595</v>
      </c>
      <c r="AG869" s="69">
        <f>IF(tech_base!$T245&gt;AG$625,"",(1000*tech_proj!AG1209*(-PMT($J$110,tech_base!$F245,1))+1000*tech_proj!AG1489)/((1-tech_proj!AG649)*tech_proj!AG929*$L$110))</f>
        <v>64.57993198949265</v>
      </c>
      <c r="AH869" s="69">
        <f>IF(tech_base!$T245&gt;AH$625,"",(1000*tech_proj!AH1209*(-PMT($J$110,tech_base!$F245,1))+1000*tech_proj!AH1489)/((1-tech_proj!AH649)*tech_proj!AH929*$L$110))</f>
        <v>63.304219734062038</v>
      </c>
      <c r="AI869" s="69">
        <f>IF(tech_base!$T245&gt;AI$625,"",(1000*tech_proj!AI1209*(-PMT($J$110,tech_base!$F245,1))+1000*tech_proj!AI1489)/((1-tech_proj!AI649)*tech_proj!AI929*$L$110))</f>
        <v>62.119576821193277</v>
      </c>
      <c r="AJ869" s="69">
        <f>IF(tech_base!$T245&gt;AJ$625,"",(1000*tech_proj!AJ1209*(-PMT($J$110,tech_base!$F245,1))+1000*tech_proj!AJ1489)/((1-tech_proj!AJ649)*tech_proj!AJ929*$L$110))</f>
        <v>61.028049051335607</v>
      </c>
      <c r="AK869" s="69">
        <f>IF(tech_base!$T245&gt;AK$625,"",(1000*tech_proj!AK1209*(-PMT($J$110,tech_base!$F245,1))+1000*tech_proj!AK1489)/((1-tech_proj!AK649)*tech_proj!AK929*$L$110))</f>
        <v>60.029691808805524</v>
      </c>
      <c r="AL869" s="69">
        <f>IF(tech_base!$T245&gt;AL$625,"",(1000*tech_proj!AL1209*(-PMT($J$110,tech_base!$F245,1))+1000*tech_proj!AL1489)/((1-tech_proj!AL649)*tech_proj!AL929*$L$110))</f>
        <v>59.122830011273663</v>
      </c>
      <c r="AM869" s="69">
        <f>IF(tech_base!$T245&gt;AM$625,"",(1000*tech_proj!AM1209*(-PMT($J$110,tech_base!$F245,1))+1000*tech_proj!AM1489)/((1-tech_proj!AM649)*tech_proj!AM929*$L$110))</f>
        <v>58.304355957777695</v>
      </c>
      <c r="AN869" s="69">
        <f>IF(tech_base!$T245&gt;AN$625,"",(1000*tech_proj!AN1209*(-PMT($J$110,tech_base!$F245,1))+1000*tech_proj!AN1489)/((1-tech_proj!AN649)*tech_proj!AN929*$L$110))</f>
        <v>57.570040030105666</v>
      </c>
      <c r="AO869" s="69">
        <f>IF(tech_base!$T245&gt;AO$625,"",(1000*tech_proj!AO1209*(-PMT($J$110,tech_base!$F245,1))+1000*tech_proj!AO1489)/((1-tech_proj!AO649)*tech_proj!AO929*$L$110))</f>
        <v>56.914833427542149</v>
      </c>
      <c r="AP869" s="69">
        <f>IF(tech_base!$T245&gt;AP$625,"",(1000*tech_proj!AP1209*(-PMT($J$110,tech_base!$F245,1))+1000*tech_proj!AP1489)/((1-tech_proj!AP649)*tech_proj!AP929*$L$110))</f>
        <v>56.333147340901945</v>
      </c>
      <c r="AQ869" s="69">
        <f>IF(tech_base!$T245&gt;AQ$625,"",(1000*tech_proj!AQ1209*(-PMT($J$110,tech_base!$F245,1))+1000*tech_proj!AQ1489)/((1-tech_proj!AQ649)*tech_proj!AQ929*$L$110))</f>
        <v>55.819098334783064</v>
      </c>
      <c r="AR869" s="69">
        <f>IF(tech_base!$T245&gt;AR$625,"",(1000*tech_proj!AR1209*(-PMT($J$110,tech_base!$F245,1))+1000*tech_proj!AR1489)/((1-tech_proj!AR649)*tech_proj!AR929*$L$110))</f>
        <v>55.366714575678969</v>
      </c>
      <c r="AS869" s="69">
        <f>IF(tech_base!$T245&gt;AS$625,"",(1000*tech_proj!AS1209*(-PMT($J$110,tech_base!$F245,1))+1000*tech_proj!AS1489)/((1-tech_proj!AS649)*tech_proj!AS929*$L$110))</f>
        <v>54.970101542870736</v>
      </c>
      <c r="AT869" s="69">
        <f>IF(tech_base!$T245&gt;AT$625,"",(1000*tech_proj!AT1209*(-PMT($J$110,tech_base!$F245,1))+1000*tech_proj!AT1489)/((1-tech_proj!AT649)*tech_proj!AT929*$L$110))</f>
        <v>54.623568840850062</v>
      </c>
      <c r="AU869" s="69">
        <f>IF(tech_base!$T245&gt;AU$625,"",(1000*tech_proj!AU1209*(-PMT($J$110,tech_base!$F245,1))+1000*tech_proj!AU1489)/((1-tech_proj!AU649)*tech_proj!AU929*$L$110))</f>
        <v>54.321721718582687</v>
      </c>
      <c r="AV869" s="69">
        <f>IF(tech_base!$T245&gt;AV$625,"",(1000*tech_proj!AV1209*(-PMT($J$110,tech_base!$F245,1))+1000*tech_proj!AV1489)/((1-tech_proj!AV649)*tech_proj!AV929*$L$110))</f>
        <v>54.059522021233242</v>
      </c>
      <c r="AW869" s="69">
        <f>IF(tech_base!$T245&gt;AW$625,"",(1000*tech_proj!AW1209*(-PMT($J$110,tech_base!$F245,1))+1000*tech_proj!AW1489)/((1-tech_proj!AW649)*tech_proj!AW929*$L$110))</f>
        <v>53.832323734064396</v>
      </c>
      <c r="AX869" s="235">
        <f>IF(tech_base!$T245&gt;AX$625,"",(1000*tech_proj!AX1209*(-PMT($J$110,tech_base!$F245,1))+1000*tech_proj!AX1489)/((1-tech_proj!AX649)*tech_proj!AX929*$L$110))</f>
        <v>53.635888215419406</v>
      </c>
    </row>
    <row r="870" spans="1:50" x14ac:dyDescent="0.25">
      <c r="A870" s="356"/>
      <c r="B870" s="376"/>
      <c r="C870" s="378"/>
      <c r="D870" s="2" t="s">
        <v>8</v>
      </c>
      <c r="E870" s="160" t="str">
        <f>A865&amp;"/"&amp;B869&amp;"/"&amp;C869&amp;"/"&amp;D870</f>
        <v>Wind power plants/Offshore/Electricity only/M</v>
      </c>
      <c r="F870" s="76" t="str">
        <f>A865</f>
        <v>Wind power plants</v>
      </c>
      <c r="G870" s="76" t="str">
        <f>B869</f>
        <v>Offshore</v>
      </c>
      <c r="H870" s="76" t="str">
        <f>C869</f>
        <v>Electricity only</v>
      </c>
      <c r="I870" s="161" t="str">
        <f t="shared" si="365"/>
        <v>M</v>
      </c>
      <c r="J870" s="69">
        <f>IF(tech_base!$T246&gt;J$625,"",(1000*tech_proj!J1210*(-PMT($J$110,tech_base!$F246,1))+1000*tech_proj!J1490)/((1-tech_proj!J650)*tech_proj!J930*$L$110))</f>
        <v>104.90789816371208</v>
      </c>
      <c r="K870" s="69">
        <f>IF(tech_base!$T246&gt;K$625,"",(1000*tech_proj!K1210*(-PMT($J$110,tech_base!$F246,1))+1000*tech_proj!K1490)/((1-tech_proj!K650)*tech_proj!K930*$L$110))</f>
        <v>103.82554544795642</v>
      </c>
      <c r="L870" s="69">
        <f>IF(tech_base!$T246&gt;L$625,"",(1000*tech_proj!L1210*(-PMT($J$110,tech_base!$F246,1))+1000*tech_proj!L1490)/((1-tech_proj!L650)*tech_proj!L930*$L$110))</f>
        <v>102.79756975045188</v>
      </c>
      <c r="M870" s="69">
        <f>IF(tech_base!$T246&gt;M$625,"",(1000*tech_proj!M1210*(-PMT($J$110,tech_base!$F246,1))+1000*tech_proj!M1490)/((1-tech_proj!M650)*tech_proj!M930*$L$110))</f>
        <v>101.77977203015038</v>
      </c>
      <c r="N870" s="69">
        <f>IF(tech_base!$T246&gt;N$625,"",(1000*tech_proj!N1210*(-PMT($J$110,tech_base!$F246,1))+1000*tech_proj!N1490)/((1-tech_proj!N650)*tech_proj!N930*$L$110))</f>
        <v>100.77205151500038</v>
      </c>
      <c r="O870" s="69">
        <f>IF(tech_base!$T246&gt;O$625,"",(1000*tech_proj!O1210*(-PMT($J$110,tech_base!$F246,1))+1000*tech_proj!O1490)/((1-tech_proj!O650)*tech_proj!O930*$L$110))</f>
        <v>99.774308430693438</v>
      </c>
      <c r="P870" s="69">
        <f>IF(tech_base!$T246&gt;P$625,"",(1000*tech_proj!P1210*(-PMT($J$110,tech_base!$F246,1))+1000*tech_proj!P1490)/((1-tech_proj!P650)*tech_proj!P930*$L$110))</f>
        <v>98.1052302751295</v>
      </c>
      <c r="Q870" s="69">
        <f>IF(tech_base!$T246&gt;Q$625,"",(1000*tech_proj!Q1210*(-PMT($J$110,tech_base!$F246,1))+1000*tech_proj!Q1490)/((1-tech_proj!Q650)*tech_proj!Q930*$L$110))</f>
        <v>97.133891361514358</v>
      </c>
      <c r="R870" s="69">
        <f>IF(tech_base!$T246&gt;R$625,"",(1000*tech_proj!R1210*(-PMT($J$110,tech_base!$F246,1))+1000*tech_proj!R1490)/((1-tech_proj!R650)*tech_proj!R930*$L$110))</f>
        <v>96.172169664865692</v>
      </c>
      <c r="S870" s="69">
        <f>IF(tech_base!$T246&gt;S$625,"",(1000*tech_proj!S1210*(-PMT($J$110,tech_base!$F246,1))+1000*tech_proj!S1490)/((1-tech_proj!S650)*tech_proj!S930*$L$110))</f>
        <v>95.219969965213565</v>
      </c>
      <c r="T870" s="69">
        <f>IF(tech_base!$T246&gt;T$625,"",(1000*tech_proj!T1210*(-PMT($J$110,tech_base!$F246,1))+1000*tech_proj!T1490)/((1-tech_proj!T650)*tech_proj!T930*$L$110))</f>
        <v>94.277197985359976</v>
      </c>
      <c r="U870" s="69">
        <f>IF(tech_base!$T246&gt;U$625,"",(1000*tech_proj!U1210*(-PMT($J$110,tech_base!$F246,1))+1000*tech_proj!U1490)/((1-tech_proj!U650)*tech_proj!U930*$L$110))</f>
        <v>92.761449544330347</v>
      </c>
      <c r="V870" s="69">
        <f>IF(tech_base!$T246&gt;V$625,"",(1000*tech_proj!V1210*(-PMT($J$110,tech_base!$F246,1))+1000*tech_proj!V1490)/((1-tech_proj!V650)*tech_proj!V930*$L$110))</f>
        <v>91.179883430038132</v>
      </c>
      <c r="W870" s="69">
        <f>IF(tech_base!$T246&gt;W$625,"",(1000*tech_proj!W1210*(-PMT($J$110,tech_base!$F246,1))+1000*tech_proj!W1490)/((1-tech_proj!W650)*tech_proj!W930*$L$110))</f>
        <v>89.543057907802364</v>
      </c>
      <c r="X870" s="69">
        <f>IF(tech_base!$T246&gt;X$625,"",(1000*tech_proj!X1210*(-PMT($J$110,tech_base!$F246,1))+1000*tech_proj!X1490)/((1-tech_proj!X650)*tech_proj!X930*$L$110))</f>
        <v>87.863442650650484</v>
      </c>
      <c r="Y870" s="69">
        <f>IF(tech_base!$T246&gt;Y$625,"",(1000*tech_proj!Y1210*(-PMT($J$110,tech_base!$F246,1))+1000*tech_proj!Y1490)/((1-tech_proj!Y650)*tech_proj!Y930*$L$110))</f>
        <v>86.155123646591946</v>
      </c>
      <c r="Z870" s="69">
        <f>IF(tech_base!$T246&gt;Z$625,"",(1000*tech_proj!Z1210*(-PMT($J$110,tech_base!$F246,1))+1000*tech_proj!Z1490)/((1-tech_proj!Z650)*tech_proj!Z930*$L$110))</f>
        <v>84.433393373522733</v>
      </c>
      <c r="AA870" s="69">
        <f>IF(tech_base!$T246&gt;AA$625,"",(1000*tech_proj!AA1210*(-PMT($J$110,tech_base!$F246,1))+1000*tech_proj!AA1490)/((1-tech_proj!AA650)*tech_proj!AA930*$L$110))</f>
        <v>82.714246799572692</v>
      </c>
      <c r="AB870" s="69">
        <f>IF(tech_base!$T246&gt;AB$625,"",(1000*tech_proj!AB1210*(-PMT($J$110,tech_base!$F246,1))+1000*tech_proj!AB1490)/((1-tech_proj!AB650)*tech_proj!AB930*$L$110))</f>
        <v>81.013815248032429</v>
      </c>
      <c r="AC870" s="69">
        <f>IF(tech_base!$T246&gt;AC$625,"",(1000*tech_proj!AC1210*(-PMT($J$110,tech_base!$F246,1))+1000*tech_proj!AC1490)/((1-tech_proj!AC650)*tech_proj!AC930*$L$110))</f>
        <v>79.347778551743161</v>
      </c>
      <c r="AD870" s="69">
        <f>IF(tech_base!$T246&gt;AD$625,"",(1000*tech_proj!AD1210*(-PMT($J$110,tech_base!$F246,1))+1000*tech_proj!AD1490)/((1-tech_proj!AD650)*tech_proj!AD930*$L$110))</f>
        <v>77.730799612946896</v>
      </c>
      <c r="AE870" s="69">
        <f>IF(tech_base!$T246&gt;AE$625,"",(1000*tech_proj!AE1210*(-PMT($J$110,tech_base!$F246,1))+1000*tech_proj!AE1490)/((1-tech_proj!AE650)*tech_proj!AE930*$L$110))</f>
        <v>76.176023668758958</v>
      </c>
      <c r="AF870" s="69">
        <f>IF(tech_base!$T246&gt;AF$625,"",(1000*tech_proj!AF1210*(-PMT($J$110,tech_base!$F246,1))+1000*tech_proj!AF1490)/((1-tech_proj!AF650)*tech_proj!AF930*$L$110))</f>
        <v>74.694677445182194</v>
      </c>
      <c r="AG870" s="69">
        <f>IF(tech_base!$T246&gt;AG$625,"",(1000*tech_proj!AG1210*(-PMT($J$110,tech_base!$F246,1))+1000*tech_proj!AG1490)/((1-tech_proj!AG650)*tech_proj!AG930*$L$110))</f>
        <v>73.295792160061822</v>
      </c>
      <c r="AH870" s="69">
        <f>IF(tech_base!$T246&gt;AH$625,"",(1000*tech_proj!AH1210*(-PMT($J$110,tech_base!$F246,1))+1000*tech_proj!AH1490)/((1-tech_proj!AH650)*tech_proj!AH930*$L$110))</f>
        <v>71.986060911153075</v>
      </c>
      <c r="AI870" s="69">
        <f>IF(tech_base!$T246&gt;AI$625,"",(1000*tech_proj!AI1210*(-PMT($J$110,tech_base!$F246,1))+1000*tech_proj!AI1490)/((1-tech_proj!AI650)*tech_proj!AI930*$L$110))</f>
        <v>70.769827520607834</v>
      </c>
      <c r="AJ870" s="69">
        <f>IF(tech_base!$T246&gt;AJ$625,"",(1000*tech_proj!AJ1210*(-PMT($J$110,tech_base!$F246,1))+1000*tech_proj!AJ1490)/((1-tech_proj!AJ650)*tech_proj!AJ930*$L$110))</f>
        <v>69.649192343553935</v>
      </c>
      <c r="AK870" s="69">
        <f>IF(tech_base!$T246&gt;AK$625,"",(1000*tech_proj!AK1210*(-PMT($J$110,tech_base!$F246,1))+1000*tech_proj!AK1490)/((1-tech_proj!AK650)*tech_proj!AK930*$L$110))</f>
        <v>68.624212241223063</v>
      </c>
      <c r="AL870" s="69">
        <f>IF(tech_base!$T246&gt;AL$625,"",(1000*tech_proj!AL1210*(-PMT($J$110,tech_base!$F246,1))+1000*tech_proj!AL1490)/((1-tech_proj!AL650)*tech_proj!AL930*$L$110))</f>
        <v>67.693167462423688</v>
      </c>
      <c r="AM870" s="69">
        <f>IF(tech_base!$T246&gt;AM$625,"",(1000*tech_proj!AM1210*(-PMT($J$110,tech_base!$F246,1))+1000*tech_proj!AM1490)/((1-tech_proj!AM650)*tech_proj!AM930*$L$110))</f>
        <v>66.85286743416782</v>
      </c>
      <c r="AN870" s="69">
        <f>IF(tech_base!$T246&gt;AN$625,"",(1000*tech_proj!AN1210*(-PMT($J$110,tech_base!$F246,1))+1000*tech_proj!AN1490)/((1-tech_proj!AN650)*tech_proj!AN930*$L$110))</f>
        <v>66.098969748424537</v>
      </c>
      <c r="AO870" s="69">
        <f>IF(tech_base!$T246&gt;AO$625,"",(1000*tech_proj!AO1210*(-PMT($J$110,tech_base!$F246,1))+1000*tech_proj!AO1490)/((1-tech_proj!AO650)*tech_proj!AO930*$L$110))</f>
        <v>65.42629096979266</v>
      </c>
      <c r="AP870" s="69">
        <f>IF(tech_base!$T246&gt;AP$625,"",(1000*tech_proj!AP1210*(-PMT($J$110,tech_base!$F246,1))+1000*tech_proj!AP1490)/((1-tech_proj!AP650)*tech_proj!AP930*$L$110))</f>
        <v>64.82909325417539</v>
      </c>
      <c r="AQ870" s="69">
        <f>IF(tech_base!$T246&gt;AQ$625,"",(1000*tech_proj!AQ1210*(-PMT($J$110,tech_base!$F246,1))+1000*tech_proj!AQ1490)/((1-tech_proj!AQ650)*tech_proj!AQ930*$L$110))</f>
        <v>64.301336274560001</v>
      </c>
      <c r="AR870" s="69">
        <f>IF(tech_base!$T246&gt;AR$625,"",(1000*tech_proj!AR1210*(-PMT($J$110,tech_base!$F246,1))+1000*tech_proj!AR1490)/((1-tech_proj!AR650)*tech_proj!AR930*$L$110))</f>
        <v>63.836888948546459</v>
      </c>
      <c r="AS870" s="69">
        <f>IF(tech_base!$T246&gt;AS$625,"",(1000*tech_proj!AS1210*(-PMT($J$110,tech_base!$F246,1))+1000*tech_proj!AS1490)/((1-tech_proj!AS650)*tech_proj!AS930*$L$110))</f>
        <v>63.429699568196682</v>
      </c>
      <c r="AT870" s="69">
        <f>IF(tech_base!$T246&gt;AT$625,"",(1000*tech_proj!AT1210*(-PMT($J$110,tech_base!$F246,1))+1000*tech_proj!AT1490)/((1-tech_proj!AT650)*tech_proj!AT930*$L$110))</f>
        <v>63.073925994122121</v>
      </c>
      <c r="AU870" s="69">
        <f>IF(tech_base!$T246&gt;AU$625,"",(1000*tech_proj!AU1210*(-PMT($J$110,tech_base!$F246,1))+1000*tech_proj!AU1490)/((1-tech_proj!AU650)*tech_proj!AU930*$L$110))</f>
        <v>62.764029615260938</v>
      </c>
      <c r="AV870" s="69">
        <f>IF(tech_base!$T246&gt;AV$625,"",(1000*tech_proj!AV1210*(-PMT($J$110,tech_base!$F246,1))+1000*tech_proj!AV1490)/((1-tech_proj!AV650)*tech_proj!AV930*$L$110))</f>
        <v>62.494837925982175</v>
      </c>
      <c r="AW870" s="69">
        <f>IF(tech_base!$T246&gt;AW$625,"",(1000*tech_proj!AW1210*(-PMT($J$110,tech_base!$F246,1))+1000*tech_proj!AW1490)/((1-tech_proj!AW650)*tech_proj!AW930*$L$110))</f>
        <v>62.261581017822166</v>
      </c>
      <c r="AX870" s="235">
        <f>IF(tech_base!$T246&gt;AX$625,"",(1000*tech_proj!AX1210*(-PMT($J$110,tech_base!$F246,1))+1000*tech_proj!AX1490)/((1-tech_proj!AX650)*tech_proj!AX930*$L$110))</f>
        <v>62.059907218679975</v>
      </c>
    </row>
    <row r="871" spans="1:50" x14ac:dyDescent="0.25">
      <c r="A871" s="356"/>
      <c r="B871" s="376"/>
      <c r="C871" s="378"/>
      <c r="D871" s="2" t="s">
        <v>10</v>
      </c>
      <c r="E871" s="160" t="str">
        <f>A865&amp;"/"&amp;B869&amp;"/"&amp;C869&amp;"/"&amp;D871</f>
        <v>Wind power plants/Offshore/Electricity only/S</v>
      </c>
      <c r="F871" s="76" t="str">
        <f>A865</f>
        <v>Wind power plants</v>
      </c>
      <c r="G871" s="76" t="str">
        <f>B869</f>
        <v>Offshore</v>
      </c>
      <c r="H871" s="76" t="str">
        <f>C869</f>
        <v>Electricity only</v>
      </c>
      <c r="I871" s="161" t="str">
        <f t="shared" si="365"/>
        <v>S</v>
      </c>
      <c r="J871" s="69">
        <f>IF(tech_base!$T247&gt;J$625,"",(1000*tech_proj!J1211*(-PMT($J$110,tech_base!$F247,1))+1000*tech_proj!J1491)/((1-tech_proj!J651)*tech_proj!J931*$L$110))</f>
        <v>120.65510593370789</v>
      </c>
      <c r="K871" s="69">
        <f>IF(tech_base!$T247&gt;K$625,"",(1000*tech_proj!K1211*(-PMT($J$110,tech_base!$F247,1))+1000*tech_proj!K1491)/((1-tech_proj!K651)*tech_proj!K931*$L$110))</f>
        <v>120.14660656951015</v>
      </c>
      <c r="L871" s="69">
        <f>IF(tech_base!$T247&gt;L$625,"",(1000*tech_proj!L1211*(-PMT($J$110,tech_base!$F247,1))+1000*tech_proj!L1491)/((1-tech_proj!L651)*tech_proj!L931*$L$110))</f>
        <v>118.95703620743578</v>
      </c>
      <c r="M871" s="69">
        <f>IF(tech_base!$T247&gt;M$625,"",(1000*tech_proj!M1211*(-PMT($J$110,tech_base!$F247,1))+1000*tech_proj!M1491)/((1-tech_proj!M651)*tech_proj!M931*$L$110))</f>
        <v>117.77924376973841</v>
      </c>
      <c r="N871" s="69">
        <f>IF(tech_base!$T247&gt;N$625,"",(1000*tech_proj!N1211*(-PMT($J$110,tech_base!$F247,1))+1000*tech_proj!N1491)/((1-tech_proj!N651)*tech_proj!N931*$L$110))</f>
        <v>116.61311264330537</v>
      </c>
      <c r="O871" s="69">
        <f>IF(tech_base!$T247&gt;O$625,"",(1000*tech_proj!O1211*(-PMT($J$110,tech_base!$F247,1))+1000*tech_proj!O1491)/((1-tech_proj!O651)*tech_proj!O931*$L$110))</f>
        <v>115.45852736960927</v>
      </c>
      <c r="P871" s="69">
        <f>IF(tech_base!$T247&gt;P$625,"",(1000*tech_proj!P1211*(-PMT($J$110,tech_base!$F247,1))+1000*tech_proj!P1491)/((1-tech_proj!P651)*tech_proj!P931*$L$110))</f>
        <v>113.42669796140225</v>
      </c>
      <c r="Q871" s="69">
        <f>IF(tech_base!$T247&gt;Q$625,"",(1000*tech_proj!Q1211*(-PMT($J$110,tech_base!$F247,1))+1000*tech_proj!Q1491)/((1-tech_proj!Q651)*tech_proj!Q931*$L$110))</f>
        <v>112.303661347923</v>
      </c>
      <c r="R871" s="69">
        <f>IF(tech_base!$T247&gt;R$625,"",(1000*tech_proj!R1211*(-PMT($J$110,tech_base!$F247,1))+1000*tech_proj!R1491)/((1-tech_proj!R651)*tech_proj!R931*$L$110))</f>
        <v>111.19174390883467</v>
      </c>
      <c r="S871" s="69">
        <f>IF(tech_base!$T247&gt;S$625,"",(1000*tech_proj!S1211*(-PMT($J$110,tech_base!$F247,1))+1000*tech_proj!S1491)/((1-tech_proj!S651)*tech_proj!S931*$L$110))</f>
        <v>110.09083555330164</v>
      </c>
      <c r="T871" s="69">
        <f>IF(tech_base!$T247&gt;T$625,"",(1000*tech_proj!T1211*(-PMT($J$110,tech_base!$F247,1))+1000*tech_proj!T1491)/((1-tech_proj!T651)*tech_proj!T931*$L$110))</f>
        <v>109.00082728049669</v>
      </c>
      <c r="U871" s="69">
        <f>IF(tech_base!$T247&gt;U$625,"",(1000*tech_proj!U1211*(-PMT($J$110,tech_base!$F247,1))+1000*tech_proj!U1491)/((1-tech_proj!U651)*tech_proj!U931*$L$110))</f>
        <v>107.34072184508332</v>
      </c>
      <c r="V871" s="69">
        <f>IF(tech_base!$T247&gt;V$625,"",(1000*tech_proj!V1211*(-PMT($J$110,tech_base!$F247,1))+1000*tech_proj!V1491)/((1-tech_proj!V651)*tech_proj!V931*$L$110))</f>
        <v>105.6085303865728</v>
      </c>
      <c r="W871" s="69">
        <f>IF(tech_base!$T247&gt;W$625,"",(1000*tech_proj!W1211*(-PMT($J$110,tech_base!$F247,1))+1000*tech_proj!W1491)/((1-tech_proj!W651)*tech_proj!W931*$L$110))</f>
        <v>103.81581671936218</v>
      </c>
      <c r="X871" s="69">
        <f>IF(tech_base!$T247&gt;X$625,"",(1000*tech_proj!X1211*(-PMT($J$110,tech_base!$F247,1))+1000*tech_proj!X1491)/((1-tech_proj!X651)*tech_proj!X931*$L$110))</f>
        <v>101.97623810438633</v>
      </c>
      <c r="Y871" s="69">
        <f>IF(tech_base!$T247&gt;Y$625,"",(1000*tech_proj!Y1211*(-PMT($J$110,tech_base!$F247,1))+1000*tech_proj!Y1491)/((1-tech_proj!Y651)*tech_proj!Y931*$L$110))</f>
        <v>100.10522205232222</v>
      </c>
      <c r="Z871" s="69">
        <f>IF(tech_base!$T247&gt;Z$625,"",(1000*tech_proj!Z1211*(-PMT($J$110,tech_base!$F247,1))+1000*tech_proj!Z1491)/((1-tech_proj!Z651)*tech_proj!Z931*$L$110))</f>
        <v>98.219517467532114</v>
      </c>
      <c r="AA871" s="69">
        <f>IF(tech_base!$T247&gt;AA$625,"",(1000*tech_proj!AA1211*(-PMT($J$110,tech_base!$F247,1))+1000*tech_proj!AA1491)/((1-tech_proj!AA651)*tech_proj!AA931*$L$110))</f>
        <v>96.336642648443998</v>
      </c>
      <c r="AB871" s="69">
        <f>IF(tech_base!$T247&gt;AB$625,"",(1000*tech_proj!AB1211*(-PMT($J$110,tech_base!$F247,1))+1000*tech_proj!AB1491)/((1-tech_proj!AB651)*tech_proj!AB931*$L$110))</f>
        <v>94.47426523485224</v>
      </c>
      <c r="AC871" s="69">
        <f>IF(tech_base!$T247&gt;AC$625,"",(1000*tech_proj!AC1211*(-PMT($J$110,tech_base!$F247,1))+1000*tech_proj!AC1491)/((1-tech_proj!AC651)*tech_proj!AC931*$L$110))</f>
        <v>92.64955837701163</v>
      </c>
      <c r="AD871" s="69">
        <f>IF(tech_base!$T247&gt;AD$625,"",(1000*tech_proj!AD1211*(-PMT($J$110,tech_base!$F247,1))+1000*tech_proj!AD1491)/((1-tech_proj!AD651)*tech_proj!AD931*$L$110))</f>
        <v>90.878581444044315</v>
      </c>
      <c r="AE871" s="69">
        <f>IF(tech_base!$T247&gt;AE$625,"",(1000*tech_proj!AE1211*(-PMT($J$110,tech_base!$F247,1))+1000*tech_proj!AE1491)/((1-tech_proj!AE651)*tech_proj!AE931*$L$110))</f>
        <v>89.17573160040989</v>
      </c>
      <c r="AF871" s="69">
        <f>IF(tech_base!$T247&gt;AF$625,"",(1000*tech_proj!AF1211*(-PMT($J$110,tech_base!$F247,1))+1000*tech_proj!AF1491)/((1-tech_proj!AF651)*tech_proj!AF931*$L$110))</f>
        <v>87.553304784111546</v>
      </c>
      <c r="AG871" s="69">
        <f>IF(tech_base!$T247&gt;AG$625,"",(1000*tech_proj!AG1211*(-PMT($J$110,tech_base!$F247,1))+1000*tech_proj!AG1491)/((1-tech_proj!AG651)*tech_proj!AG931*$L$110))</f>
        <v>86.021192328979708</v>
      </c>
      <c r="AH871" s="69">
        <f>IF(tech_base!$T247&gt;AH$625,"",(1000*tech_proj!AH1211*(-PMT($J$110,tech_base!$F247,1))+1000*tech_proj!AH1491)/((1-tech_proj!AH651)*tech_proj!AH931*$L$110))</f>
        <v>84.586724770651074</v>
      </c>
      <c r="AI871" s="69">
        <f>IF(tech_base!$T247&gt;AI$625,"",(1000*tech_proj!AI1211*(-PMT($J$110,tech_base!$F247,1))+1000*tech_proj!AI1491)/((1-tech_proj!AI651)*tech_proj!AI931*$L$110))</f>
        <v>83.254659628625305</v>
      </c>
      <c r="AJ871" s="69">
        <f>IF(tech_base!$T247&gt;AJ$625,"",(1000*tech_proj!AJ1211*(-PMT($J$110,tech_base!$F247,1))+1000*tech_proj!AJ1491)/((1-tech_proj!AJ651)*tech_proj!AJ931*$L$110))</f>
        <v>82.027297291852008</v>
      </c>
      <c r="AK871" s="69">
        <f>IF(tech_base!$T247&gt;AK$625,"",(1000*tech_proj!AK1211*(-PMT($J$110,tech_base!$F247,1))+1000*tech_proj!AK1491)/((1-tech_proj!AK651)*tech_proj!AK931*$L$110))</f>
        <v>80.904700036918186</v>
      </c>
      <c r="AL871" s="69">
        <f>IF(tech_base!$T247&gt;AL$625,"",(1000*tech_proj!AL1211*(-PMT($J$110,tech_base!$F247,1))+1000*tech_proj!AL1491)/((1-tech_proj!AL651)*tech_proj!AL931*$L$110))</f>
        <v>79.884984326804584</v>
      </c>
      <c r="AM871" s="69">
        <f>IF(tech_base!$T247&gt;AM$625,"",(1000*tech_proj!AM1211*(-PMT($J$110,tech_base!$F247,1))+1000*tech_proj!AM1491)/((1-tech_proj!AM651)*tech_proj!AM931*$L$110))</f>
        <v>78.964655724429122</v>
      </c>
      <c r="AN871" s="69">
        <f>IF(tech_base!$T247&gt;AN$625,"",(1000*tech_proj!AN1211*(-PMT($J$110,tech_base!$F247,1))+1000*tech_proj!AN1491)/((1-tech_proj!AN651)*tech_proj!AN931*$L$110))</f>
        <v>78.138958259091226</v>
      </c>
      <c r="AO871" s="69">
        <f>IF(tech_base!$T247&gt;AO$625,"",(1000*tech_proj!AO1211*(-PMT($J$110,tech_base!$F247,1))+1000*tech_proj!AO1491)/((1-tech_proj!AO651)*tech_proj!AO931*$L$110))</f>
        <v>77.40221483487538</v>
      </c>
      <c r="AP871" s="69">
        <f>IF(tech_base!$T247&gt;AP$625,"",(1000*tech_proj!AP1211*(-PMT($J$110,tech_base!$F247,1))+1000*tech_proj!AP1491)/((1-tech_proj!AP651)*tech_proj!AP931*$L$110))</f>
        <v>76.748141146342178</v>
      </c>
      <c r="AQ871" s="69">
        <f>IF(tech_base!$T247&gt;AQ$625,"",(1000*tech_proj!AQ1211*(-PMT($J$110,tech_base!$F247,1))+1000*tech_proj!AQ1491)/((1-tech_proj!AQ651)*tech_proj!AQ931*$L$110))</f>
        <v>76.1701215972396</v>
      </c>
      <c r="AR871" s="69">
        <f>IF(tech_base!$T247&gt;AR$625,"",(1000*tech_proj!AR1211*(-PMT($J$110,tech_base!$F247,1))+1000*tech_proj!AR1491)/((1-tech_proj!AR651)*tech_proj!AR931*$L$110))</f>
        <v>75.661441192558115</v>
      </c>
      <c r="AS871" s="69">
        <f>IF(tech_base!$T247&gt;AS$625,"",(1000*tech_proj!AS1211*(-PMT($J$110,tech_base!$F247,1))+1000*tech_proj!AS1491)/((1-tech_proj!AS651)*tech_proj!AS931*$L$110))</f>
        <v>75.215471871222618</v>
      </c>
      <c r="AT871" s="69">
        <f>IF(tech_base!$T247&gt;AT$625,"",(1000*tech_proj!AT1211*(-PMT($J$110,tech_base!$F247,1))+1000*tech_proj!AT1491)/((1-tech_proj!AT651)*tech_proj!AT931*$L$110))</f>
        <v>74.825815099617159</v>
      </c>
      <c r="AU871" s="69">
        <f>IF(tech_base!$T247&gt;AU$625,"",(1000*tech_proj!AU1211*(-PMT($J$110,tech_base!$F247,1))+1000*tech_proj!AU1491)/((1-tech_proj!AU651)*tech_proj!AU931*$L$110))</f>
        <v>74.486404779912064</v>
      </c>
      <c r="AV871" s="69">
        <f>IF(tech_base!$T247&gt;AV$625,"",(1000*tech_proj!AV1211*(-PMT($J$110,tech_base!$F247,1))+1000*tech_proj!AV1491)/((1-tech_proj!AV651)*tech_proj!AV931*$L$110))</f>
        <v>74.191575786892471</v>
      </c>
      <c r="AW871" s="69">
        <f>IF(tech_base!$T247&gt;AW$625,"",(1000*tech_proj!AW1211*(-PMT($J$110,tech_base!$F247,1))+1000*tech_proj!AW1491)/((1-tech_proj!AW651)*tech_proj!AW931*$L$110))</f>
        <v>73.936103935098174</v>
      </c>
      <c r="AX871" s="235">
        <f>IF(tech_base!$T247&gt;AX$625,"",(1000*tech_proj!AX1211*(-PMT($J$110,tech_base!$F247,1))+1000*tech_proj!AX1491)/((1-tech_proj!AX651)*tech_proj!AX931*$L$110))</f>
        <v>73.715223107466258</v>
      </c>
    </row>
    <row r="872" spans="1:50" x14ac:dyDescent="0.25">
      <c r="A872" s="357"/>
      <c r="B872" s="380"/>
      <c r="C872" s="381"/>
      <c r="D872" s="4" t="s">
        <v>20</v>
      </c>
      <c r="E872" s="168" t="str">
        <f>A865&amp;"/"&amp;B869&amp;"/"&amp;C869&amp;"/"&amp;D872</f>
        <v>Wind power plants/Offshore/Electricity only/XS</v>
      </c>
      <c r="F872" s="80" t="str">
        <f>A865</f>
        <v>Wind power plants</v>
      </c>
      <c r="G872" s="80" t="str">
        <f>B869</f>
        <v>Offshore</v>
      </c>
      <c r="H872" s="80" t="str">
        <f>C869</f>
        <v>Electricity only</v>
      </c>
      <c r="I872" s="169" t="str">
        <f t="shared" si="365"/>
        <v>XS</v>
      </c>
      <c r="J872" s="73">
        <f>IF(tech_base!$T248&gt;J$625,"",(1000*tech_proj!J1212*(-PMT($J$110,tech_base!$F248,1))+1000*tech_proj!J1492)/((1-tech_proj!J652)*tech_proj!J932*$L$110))</f>
        <v>144.77982823734146</v>
      </c>
      <c r="K872" s="73">
        <f>IF(tech_base!$T248&gt;K$625,"",(1000*tech_proj!K1212*(-PMT($J$110,tech_base!$F248,1))+1000*tech_proj!K1492)/((1-tech_proj!K652)*tech_proj!K932*$L$110))</f>
        <v>144.77982823734146</v>
      </c>
      <c r="L872" s="73">
        <f>IF(tech_base!$T248&gt;L$625,"",(1000*tech_proj!L1212*(-PMT($J$110,tech_base!$F248,1))+1000*tech_proj!L1492)/((1-tech_proj!L652)*tech_proj!L932*$L$110))</f>
        <v>143.5531718989896</v>
      </c>
      <c r="M872" s="73">
        <f>IF(tech_base!$T248&gt;M$625,"",(1000*tech_proj!M1212*(-PMT($J$110,tech_base!$F248,1))+1000*tech_proj!M1492)/((1-tech_proj!M652)*tech_proj!M932*$L$110))</f>
        <v>142.13185336533627</v>
      </c>
      <c r="N872" s="73">
        <f>IF(tech_base!$T248&gt;N$625,"",(1000*tech_proj!N1212*(-PMT($J$110,tech_base!$F248,1))+1000*tech_proj!N1492)/((1-tech_proj!N652)*tech_proj!N932*$L$110))</f>
        <v>140.72460729241212</v>
      </c>
      <c r="O872" s="73">
        <f>IF(tech_base!$T248&gt;O$625,"",(1000*tech_proj!O1212*(-PMT($J$110,tech_base!$F248,1))+1000*tech_proj!O1492)/((1-tech_proj!O652)*tech_proj!O932*$L$110))</f>
        <v>139.33129434892291</v>
      </c>
      <c r="P872" s="73">
        <f>IF(tech_base!$T248&gt;P$625,"",(1000*tech_proj!P1212*(-PMT($J$110,tech_base!$F248,1))+1000*tech_proj!P1492)/((1-tech_proj!P652)*tech_proj!P932*$L$110))</f>
        <v>137.20226721468873</v>
      </c>
      <c r="Q872" s="73">
        <f>IF(tech_base!$T248&gt;Q$625,"",(1000*tech_proj!Q1212*(-PMT($J$110,tech_base!$F248,1))+1000*tech_proj!Q1492)/((1-tech_proj!Q652)*tech_proj!Q932*$L$110))</f>
        <v>135.84382892543437</v>
      </c>
      <c r="R872" s="73">
        <f>IF(tech_base!$T248&gt;R$625,"",(1000*tech_proj!R1212*(-PMT($J$110,tech_base!$F248,1))+1000*tech_proj!R1492)/((1-tech_proj!R652)*tech_proj!R932*$L$110))</f>
        <v>134.49884052023208</v>
      </c>
      <c r="S872" s="73">
        <f>IF(tech_base!$T248&gt;S$625,"",(1000*tech_proj!S1212*(-PMT($J$110,tech_base!$F248,1))+1000*tech_proj!S1492)/((1-tech_proj!S652)*tech_proj!S932*$L$110))</f>
        <v>133.16716883191296</v>
      </c>
      <c r="T872" s="73">
        <f>IF(tech_base!$T248&gt;T$625,"",(1000*tech_proj!T1212*(-PMT($J$110,tech_base!$F248,1))+1000*tech_proj!T1492)/((1-tech_proj!T652)*tech_proj!T932*$L$110))</f>
        <v>131.84868201179501</v>
      </c>
      <c r="U872" s="73">
        <f>IF(tech_base!$T248&gt;U$625,"",(1000*tech_proj!U1212*(-PMT($J$110,tech_base!$F248,1))+1000*tech_proj!U1492)/((1-tech_proj!U652)*tech_proj!U932*$L$110))</f>
        <v>130.00596497848619</v>
      </c>
      <c r="V872" s="73">
        <f>IF(tech_base!$T248&gt;V$625,"",(1000*tech_proj!V1212*(-PMT($J$110,tech_base!$F248,1))+1000*tech_proj!V1492)/((1-tech_proj!V652)*tech_proj!V932*$L$110))</f>
        <v>128.08323245953946</v>
      </c>
      <c r="W872" s="73">
        <f>IF(tech_base!$T248&gt;W$625,"",(1000*tech_proj!W1212*(-PMT($J$110,tech_base!$F248,1))+1000*tech_proj!W1492)/((1-tech_proj!W652)*tech_proj!W932*$L$110))</f>
        <v>126.09332028893569</v>
      </c>
      <c r="X872" s="73">
        <f>IF(tech_base!$T248&gt;X$625,"",(1000*tech_proj!X1212*(-PMT($J$110,tech_base!$F248,1))+1000*tech_proj!X1492)/((1-tech_proj!X652)*tech_proj!X932*$L$110))</f>
        <v>124.05138802631247</v>
      </c>
      <c r="Y872" s="73">
        <f>IF(tech_base!$T248&gt;Y$625,"",(1000*tech_proj!Y1212*(-PMT($J$110,tech_base!$F248,1))+1000*tech_proj!Y1492)/((1-tech_proj!Y652)*tech_proj!Y932*$L$110))</f>
        <v>121.97456020852132</v>
      </c>
      <c r="Z872" s="73">
        <f>IF(tech_base!$T248&gt;Z$625,"",(1000*tech_proj!Z1212*(-PMT($J$110,tech_base!$F248,1))+1000*tech_proj!Z1492)/((1-tech_proj!Z652)*tech_proj!Z932*$L$110))</f>
        <v>119.88142811940432</v>
      </c>
      <c r="AA872" s="73">
        <f>IF(tech_base!$T248&gt;AA$625,"",(1000*tech_proj!AA1212*(-PMT($J$110,tech_base!$F248,1))+1000*tech_proj!AA1492)/((1-tech_proj!AA652)*tech_proj!AA932*$L$110))</f>
        <v>117.79143707021647</v>
      </c>
      <c r="AB872" s="73">
        <f>IF(tech_base!$T248&gt;AB$625,"",(1000*tech_proj!AB1212*(-PMT($J$110,tech_base!$F248,1))+1000*tech_proj!AB1492)/((1-tech_proj!AB652)*tech_proj!AB932*$L$110))</f>
        <v>115.72419814112966</v>
      </c>
      <c r="AC872" s="73">
        <f>IF(tech_base!$T248&gt;AC$625,"",(1000*tech_proj!AC1212*(-PMT($J$110,tech_base!$F248,1))+1000*tech_proj!AC1492)/((1-tech_proj!AC652)*tech_proj!AC932*$L$110))</f>
        <v>113.69877352892658</v>
      </c>
      <c r="AD872" s="73">
        <f>IF(tech_base!$T248&gt;AD$625,"",(1000*tech_proj!AD1212*(-PMT($J$110,tech_base!$F248,1))+1000*tech_proj!AD1492)/((1-tech_proj!AD652)*tech_proj!AD932*$L$110))</f>
        <v>111.73298913333285</v>
      </c>
      <c r="AE872" s="73">
        <f>IF(tech_base!$T248&gt;AE$625,"",(1000*tech_proj!AE1212*(-PMT($J$110,tech_base!$F248,1))+1000*tech_proj!AE1492)/((1-tech_proj!AE652)*tech_proj!AE932*$L$110))</f>
        <v>109.84282580689865</v>
      </c>
      <c r="AF872" s="73">
        <f>IF(tech_base!$T248&gt;AF$625,"",(1000*tech_proj!AF1212*(-PMT($J$110,tech_base!$F248,1))+1000*tech_proj!AF1492)/((1-tech_proj!AF652)*tech_proj!AF932*$L$110))</f>
        <v>108.04193204080747</v>
      </c>
      <c r="AG872" s="73">
        <f>IF(tech_base!$T248&gt;AG$625,"",(1000*tech_proj!AG1212*(-PMT($J$110,tech_base!$F248,1))+1000*tech_proj!AG1492)/((1-tech_proj!AG652)*tech_proj!AG932*$L$110))</f>
        <v>106.34128721561116</v>
      </c>
      <c r="AH872" s="73">
        <f>IF(tech_base!$T248&gt;AH$625,"",(1000*tech_proj!AH1212*(-PMT($J$110,tech_base!$F248,1))+1000*tech_proj!AH1492)/((1-tech_proj!AH652)*tech_proj!AH932*$L$110))</f>
        <v>104.74902822586637</v>
      </c>
      <c r="AI872" s="73">
        <f>IF(tech_base!$T248&gt;AI$625,"",(1000*tech_proj!AI1212*(-PMT($J$110,tech_base!$F248,1))+1000*tech_proj!AI1492)/((1-tech_proj!AI652)*tech_proj!AI932*$L$110))</f>
        <v>103.27043591821777</v>
      </c>
      <c r="AJ872" s="73">
        <f>IF(tech_base!$T248&gt;AJ$625,"",(1000*tech_proj!AJ1212*(-PMT($J$110,tech_base!$F248,1))+1000*tech_proj!AJ1492)/((1-tech_proj!AJ652)*tech_proj!AJ932*$L$110))</f>
        <v>101.90806372439941</v>
      </c>
      <c r="AK872" s="73">
        <f>IF(tech_base!$T248&gt;AK$625,"",(1000*tech_proj!AK1212*(-PMT($J$110,tech_base!$F248,1))+1000*tech_proj!AK1492)/((1-tech_proj!AK652)*tech_proj!AK932*$L$110))</f>
        <v>100.66198077142288</v>
      </c>
      <c r="AL872" s="73">
        <f>IF(tech_base!$T248&gt;AL$625,"",(1000*tech_proj!AL1212*(-PMT($J$110,tech_base!$F248,1))+1000*tech_proj!AL1492)/((1-tech_proj!AL652)*tech_proj!AL932*$L$110))</f>
        <v>99.530096333196767</v>
      </c>
      <c r="AM872" s="73">
        <f>IF(tech_base!$T248&gt;AM$625,"",(1000*tech_proj!AM1212*(-PMT($J$110,tech_base!$F248,1))+1000*tech_proj!AM1492)/((1-tech_proj!AM652)*tech_proj!AM932*$L$110))</f>
        <v>98.508531584559989</v>
      </c>
      <c r="AN872" s="73">
        <f>IF(tech_base!$T248&gt;AN$625,"",(1000*tech_proj!AN1212*(-PMT($J$110,tech_base!$F248,1))+1000*tech_proj!AN1492)/((1-tech_proj!AN652)*tech_proj!AN932*$L$110))</f>
        <v>97.592007398034937</v>
      </c>
      <c r="AO872" s="73">
        <f>IF(tech_base!$T248&gt;AO$625,"",(1000*tech_proj!AO1212*(-PMT($J$110,tech_base!$F248,1))+1000*tech_proj!AO1492)/((1-tech_proj!AO652)*tech_proj!AO932*$L$110))</f>
        <v>96.774222197155311</v>
      </c>
      <c r="AP872" s="73">
        <f>IF(tech_base!$T248&gt;AP$625,"",(1000*tech_proj!AP1212*(-PMT($J$110,tech_base!$F248,1))+1000*tech_proj!AP1492)/((1-tech_proj!AP652)*tech_proj!AP932*$L$110))</f>
        <v>96.048200402883495</v>
      </c>
      <c r="AQ872" s="73">
        <f>IF(tech_base!$T248&gt;AQ$625,"",(1000*tech_proj!AQ1212*(-PMT($J$110,tech_base!$F248,1))+1000*tech_proj!AQ1492)/((1-tech_proj!AQ652)*tech_proj!AQ932*$L$110))</f>
        <v>95.406598703379629</v>
      </c>
      <c r="AR872" s="73">
        <f>IF(tech_base!$T248&gt;AR$625,"",(1000*tech_proj!AR1212*(-PMT($J$110,tech_base!$F248,1))+1000*tech_proj!AR1492)/((1-tech_proj!AR652)*tech_proj!AR932*$L$110))</f>
        <v>94.841963454183158</v>
      </c>
      <c r="AS872" s="73">
        <f>IF(tech_base!$T248&gt;AS$625,"",(1000*tech_proj!AS1212*(-PMT($J$110,tech_base!$F248,1))+1000*tech_proj!AS1492)/((1-tech_proj!AS652)*tech_proj!AS932*$L$110))</f>
        <v>94.346937507500783</v>
      </c>
      <c r="AT872" s="73">
        <f>IF(tech_base!$T248&gt;AT$625,"",(1000*tech_proj!AT1212*(-PMT($J$110,tech_base!$F248,1))+1000*tech_proj!AT1492)/((1-tech_proj!AT652)*tech_proj!AT932*$L$110))</f>
        <v>93.914418491018708</v>
      </c>
      <c r="AU872" s="73">
        <f>IF(tech_base!$T248&gt;AU$625,"",(1000*tech_proj!AU1212*(-PMT($J$110,tech_base!$F248,1))+1000*tech_proj!AU1492)/((1-tech_proj!AU652)*tech_proj!AU932*$L$110))</f>
        <v>93.537673036146046</v>
      </c>
      <c r="AV872" s="73">
        <f>IF(tech_base!$T248&gt;AV$625,"",(1000*tech_proj!AV1212*(-PMT($J$110,tech_base!$F248,1))+1000*tech_proj!AV1492)/((1-tech_proj!AV652)*tech_proj!AV932*$L$110))</f>
        <v>93.210412853894312</v>
      </c>
      <c r="AW872" s="73">
        <f>IF(tech_base!$T248&gt;AW$625,"",(1000*tech_proj!AW1212*(-PMT($J$110,tech_base!$F248,1))+1000*tech_proj!AW1492)/((1-tech_proj!AW652)*tech_proj!AW932*$L$110))</f>
        <v>92.926839098402624</v>
      </c>
      <c r="AX872" s="239">
        <f>IF(tech_base!$T248&gt;AX$625,"",(1000*tech_proj!AX1212*(-PMT($J$110,tech_base!$F248,1))+1000*tech_proj!AX1492)/((1-tech_proj!AX652)*tech_proj!AX932*$L$110))</f>
        <v>92.68166137973121</v>
      </c>
    </row>
    <row r="873" spans="1:50" x14ac:dyDescent="0.25">
      <c r="A873" s="355" t="s">
        <v>37</v>
      </c>
      <c r="B873" s="358" t="s">
        <v>37</v>
      </c>
      <c r="C873" s="353" t="s">
        <v>6</v>
      </c>
      <c r="D873" s="3" t="s">
        <v>7</v>
      </c>
      <c r="E873" s="162" t="str">
        <f>A873&amp;"/"&amp;B873&amp;"/"&amp;C873&amp;"/"&amp;D873</f>
        <v>Solar PV power plants/Solar PV power plants/Electricity only/L</v>
      </c>
      <c r="F873" s="77" t="str">
        <f>A873</f>
        <v>Solar PV power plants</v>
      </c>
      <c r="G873" s="77" t="str">
        <f>B873</f>
        <v>Solar PV power plants</v>
      </c>
      <c r="H873" s="77" t="str">
        <f>C873</f>
        <v>Electricity only</v>
      </c>
      <c r="I873" s="163" t="str">
        <f t="shared" si="365"/>
        <v>L</v>
      </c>
      <c r="J873" s="70">
        <f>IF(tech_base!$T249&gt;J$625,"",(1000*tech_proj!J1213*(-PMT($J$110,tech_base!$F249,1))+1000*tech_proj!J1493)/((1-tech_proj!J653)*tech_proj!J933*$L$110))</f>
        <v>51.80974285916048</v>
      </c>
      <c r="K873" s="70">
        <f>IF(tech_base!$T249&gt;K$625,"",(1000*tech_proj!K1213*(-PMT($J$110,tech_base!$F249,1))+1000*tech_proj!K1493)/((1-tech_proj!K653)*tech_proj!K933*$L$110))</f>
        <v>40.847580964444511</v>
      </c>
      <c r="L873" s="70">
        <f>IF(tech_base!$T249&gt;L$625,"",(1000*tech_proj!L1213*(-PMT($J$110,tech_base!$F249,1))+1000*tech_proj!L1493)/((1-tech_proj!L653)*tech_proj!L933*$L$110))</f>
        <v>35.366500017086523</v>
      </c>
      <c r="M873" s="70">
        <f>IF(tech_base!$T249&gt;M$625,"",(1000*tech_proj!M1213*(-PMT($J$110,tech_base!$F249,1))+1000*tech_proj!M1493)/((1-tech_proj!M653)*tech_proj!M933*$L$110))</f>
        <v>32.625959543407532</v>
      </c>
      <c r="N873" s="70">
        <f>IF(tech_base!$T249&gt;N$625,"",(1000*tech_proj!N1213*(-PMT($J$110,tech_base!$F249,1))+1000*tech_proj!N1493)/((1-tech_proj!N653)*tech_proj!N933*$L$110))</f>
        <v>29.885419069728538</v>
      </c>
      <c r="O873" s="70">
        <f>IF(tech_base!$T249&gt;O$625,"",(1000*tech_proj!O1213*(-PMT($J$110,tech_base!$F249,1))+1000*tech_proj!O1493)/((1-tech_proj!O653)*tech_proj!O933*$L$110))</f>
        <v>29.546654936106858</v>
      </c>
      <c r="P873" s="70">
        <f>IF(tech_base!$T249&gt;P$625,"",(1000*tech_proj!P1213*(-PMT($J$110,tech_base!$F249,1))+1000*tech_proj!P1493)/((1-tech_proj!P653)*tech_proj!P933*$L$110))</f>
        <v>27.273511031344345</v>
      </c>
      <c r="Q873" s="70">
        <f>IF(tech_base!$T249&gt;Q$625,"",(1000*tech_proj!Q1213*(-PMT($J$110,tech_base!$F249,1))+1000*tech_proj!Q1493)/((1-tech_proj!Q653)*tech_proj!Q933*$L$110))</f>
        <v>22.402889885501413</v>
      </c>
      <c r="R873" s="70">
        <f>IF(tech_base!$T249&gt;R$625,"",(1000*tech_proj!R1213*(-PMT($J$110,tech_base!$F249,1))+1000*tech_proj!R1493)/((1-tech_proj!R653)*tech_proj!R933*$L$110))</f>
        <v>21.628187553585818</v>
      </c>
      <c r="S873" s="70">
        <f>IF(tech_base!$T249&gt;S$625,"",(1000*tech_proj!S1213*(-PMT($J$110,tech_base!$F249,1))+1000*tech_proj!S1493)/((1-tech_proj!S653)*tech_proj!S933*$L$110))</f>
        <v>20.892309451422502</v>
      </c>
      <c r="T873" s="70">
        <f>IF(tech_base!$T249&gt;T$625,"",(1000*tech_proj!T1213*(-PMT($J$110,tech_base!$F249,1))+1000*tech_proj!T1493)/((1-tech_proj!T653)*tech_proj!T933*$L$110))</f>
        <v>20.195619052463226</v>
      </c>
      <c r="U873" s="70">
        <f>IF(tech_base!$T249&gt;U$625,"",(1000*tech_proj!U1213*(-PMT($J$110,tech_base!$F249,1))+1000*tech_proj!U1493)/((1-tech_proj!U653)*tech_proj!U933*$L$110))</f>
        <v>19.538276848832897</v>
      </c>
      <c r="V873" s="70">
        <f>IF(tech_base!$T249&gt;V$625,"",(1000*tech_proj!V1213*(-PMT($J$110,tech_base!$F249,1))+1000*tech_proj!V1493)/((1-tech_proj!V653)*tech_proj!V933*$L$110))</f>
        <v>18.920239324732993</v>
      </c>
      <c r="W873" s="70">
        <f>IF(tech_base!$T249&gt;W$625,"",(1000*tech_proj!W1213*(-PMT($J$110,tech_base!$F249,1))+1000*tech_proj!W1493)/((1-tech_proj!W653)*tech_proj!W933*$L$110))</f>
        <v>18.341260346958293</v>
      </c>
      <c r="X873" s="70">
        <f>IF(tech_base!$T249&gt;X$625,"",(1000*tech_proj!X1213*(-PMT($J$110,tech_base!$F249,1))+1000*tech_proj!X1493)/((1-tech_proj!X653)*tech_proj!X933*$L$110))</f>
        <v>17.800895023346708</v>
      </c>
      <c r="Y873" s="70">
        <f>IF(tech_base!$T249&gt;Y$625,"",(1000*tech_proj!Y1213*(-PMT($J$110,tech_base!$F249,1))+1000*tech_proj!Y1493)/((1-tech_proj!Y653)*tech_proj!Y933*$L$110))</f>
        <v>17.298506031075064</v>
      </c>
      <c r="Z873" s="70">
        <f>IF(tech_base!$T249&gt;Z$625,"",(1000*tech_proj!Z1213*(-PMT($J$110,tech_base!$F249,1))+1000*tech_proj!Z1493)/((1-tech_proj!Z653)*tech_proj!Z933*$L$110))</f>
        <v>16.833272364767737</v>
      </c>
      <c r="AA873" s="70">
        <f>IF(tech_base!$T249&gt;AA$625,"",(1000*tech_proj!AA1213*(-PMT($J$110,tech_base!$F249,1))+1000*tech_proj!AA1493)/((1-tech_proj!AA653)*tech_proj!AA933*$L$110))</f>
        <v>16.404200400804541</v>
      </c>
      <c r="AB873" s="70">
        <f>IF(tech_base!$T249&gt;AB$625,"",(1000*tech_proj!AB1213*(-PMT($J$110,tech_base!$F249,1))+1000*tech_proj!AB1493)/((1-tech_proj!AB653)*tech_proj!AB933*$L$110))</f>
        <v>16.01013712059649</v>
      </c>
      <c r="AC873" s="70">
        <f>IF(tech_base!$T249&gt;AC$625,"",(1000*tech_proj!AC1213*(-PMT($J$110,tech_base!$F249,1))+1000*tech_proj!AC1493)/((1-tech_proj!AC653)*tech_proj!AC933*$L$110))</f>
        <v>15.649785283675248</v>
      </c>
      <c r="AD873" s="70">
        <f>IF(tech_base!$T249&gt;AD$625,"",(1000*tech_proj!AD1213*(-PMT($J$110,tech_base!$F249,1))+1000*tech_proj!AD1493)/((1-tech_proj!AD653)*tech_proj!AD933*$L$110))</f>
        <v>15.321720293027068</v>
      </c>
      <c r="AE873" s="70">
        <f>IF(tech_base!$T249&gt;AE$625,"",(1000*tech_proj!AE1213*(-PMT($J$110,tech_base!$F249,1))+1000*tech_proj!AE1493)/((1-tech_proj!AE653)*tech_proj!AE933*$L$110))</f>
        <v>15.024408452003108</v>
      </c>
      <c r="AF873" s="70">
        <f>IF(tech_base!$T249&gt;AF$625,"",(1000*tech_proj!AF1213*(-PMT($J$110,tech_base!$F249,1))+1000*tech_proj!AF1493)/((1-tech_proj!AF653)*tech_proj!AF933*$L$110))</f>
        <v>14.756226276084858</v>
      </c>
      <c r="AG873" s="70">
        <f>IF(tech_base!$T249&gt;AG$625,"",(1000*tech_proj!AG1213*(-PMT($J$110,tech_base!$F249,1))+1000*tech_proj!AG1493)/((1-tech_proj!AG653)*tech_proj!AG933*$L$110))</f>
        <v>14.515480495332723</v>
      </c>
      <c r="AH873" s="70">
        <f>IF(tech_base!$T249&gt;AH$625,"",(1000*tech_proj!AH1213*(-PMT($J$110,tech_base!$F249,1))+1000*tech_proj!AH1493)/((1-tech_proj!AH653)*tech_proj!AH933*$L$110))</f>
        <v>14.300428365799188</v>
      </c>
      <c r="AI873" s="70">
        <f>IF(tech_base!$T249&gt;AI$625,"",(1000*tech_proj!AI1213*(-PMT($J$110,tech_base!$F249,1))+1000*tech_proj!AI1493)/((1-tech_proj!AI653)*tech_proj!AI933*$L$110))</f>
        <v>14.109297901508882</v>
      </c>
      <c r="AJ873" s="70">
        <f>IF(tech_base!$T249&gt;AJ$625,"",(1000*tech_proj!AJ1213*(-PMT($J$110,tech_base!$F249,1))+1000*tech_proj!AJ1493)/((1-tech_proj!AJ653)*tech_proj!AJ933*$L$110))</f>
        <v>13.940307643352948</v>
      </c>
      <c r="AK873" s="70">
        <f>IF(tech_base!$T249&gt;AK$625,"",(1000*tech_proj!AK1213*(-PMT($J$110,tech_base!$F249,1))+1000*tech_proj!AK1493)/((1-tech_proj!AK653)*tech_proj!AK933*$L$110))</f>
        <v>13.791685597513762</v>
      </c>
      <c r="AL873" s="70">
        <f>IF(tech_base!$T249&gt;AL$625,"",(1000*tech_proj!AL1213*(-PMT($J$110,tech_base!$F249,1))+1000*tech_proj!AL1493)/((1-tech_proj!AL653)*tech_proj!AL933*$L$110))</f>
        <v>13.661687003438166</v>
      </c>
      <c r="AM873" s="70">
        <f>IF(tech_base!$T249&gt;AM$625,"",(1000*tech_proj!AM1213*(-PMT($J$110,tech_base!$F249,1))+1000*tech_proj!AM1493)/((1-tech_proj!AM653)*tech_proj!AM933*$L$110))</f>
        <v>13.548610629032813</v>
      </c>
      <c r="AN873" s="70">
        <f>IF(tech_base!$T249&gt;AN$625,"",(1000*tech_proj!AN1213*(-PMT($J$110,tech_base!$F249,1))+1000*tech_proj!AN1493)/((1-tech_proj!AN653)*tech_proj!AN933*$L$110))</f>
        <v>13.450813337314974</v>
      </c>
      <c r="AO873" s="70">
        <f>IF(tech_base!$T249&gt;AO$625,"",(1000*tech_proj!AO1213*(-PMT($J$110,tech_base!$F249,1))+1000*tech_proj!AO1493)/((1-tech_proj!AO653)*tech_proj!AO933*$L$110))</f>
        <v>13.36672272245392</v>
      </c>
      <c r="AP873" s="70">
        <f>IF(tech_base!$T249&gt;AP$625,"",(1000*tech_proj!AP1213*(-PMT($J$110,tech_base!$F249,1))+1000*tech_proj!AP1493)/((1-tech_proj!AP653)*tech_proj!AP933*$L$110))</f>
        <v>13.294847671883547</v>
      </c>
      <c r="AQ873" s="70">
        <f>IF(tech_base!$T249&gt;AQ$625,"",(1000*tech_proj!AQ1213*(-PMT($J$110,tech_base!$F249,1))+1000*tech_proj!AQ1493)/((1-tech_proj!AQ653)*tech_proj!AQ933*$L$110))</f>
        <v>13.233786772626685</v>
      </c>
      <c r="AR873" s="70">
        <f>IF(tech_base!$T249&gt;AR$625,"",(1000*tech_proj!AR1213*(-PMT($J$110,tech_base!$F249,1))+1000*tech_proj!AR1493)/((1-tech_proj!AR653)*tech_proj!AR933*$L$110))</f>
        <v>13.182234541702446</v>
      </c>
      <c r="AS873" s="70">
        <f>IF(tech_base!$T249&gt;AS$625,"",(1000*tech_proj!AS1213*(-PMT($J$110,tech_base!$F249,1))+1000*tech_proj!AS1493)/((1-tech_proj!AS653)*tech_proj!AS933*$L$110))</f>
        <v>13.138985520064079</v>
      </c>
      <c r="AT873" s="70">
        <f>IF(tech_base!$T249&gt;AT$625,"",(1000*tech_proj!AT1213*(-PMT($J$110,tech_base!$F249,1))+1000*tech_proj!AT1493)/((1-tech_proj!AT653)*tech_proj!AT933*$L$110))</f>
        <v>13.102936324655841</v>
      </c>
      <c r="AU873" s="70">
        <f>IF(tech_base!$T249&gt;AU$625,"",(1000*tech_proj!AU1213*(-PMT($J$110,tech_base!$F249,1))+1000*tech_proj!AU1493)/((1-tech_proj!AU653)*tech_proj!AU933*$L$110))</f>
        <v>13.073085801872658</v>
      </c>
      <c r="AV873" s="70">
        <f>IF(tech_base!$T249&gt;AV$625,"",(1000*tech_proj!AV1213*(-PMT($J$110,tech_base!$F249,1))+1000*tech_proj!AV1493)/((1-tech_proj!AV653)*tech_proj!AV933*$L$110))</f>
        <v>13.048533466316714</v>
      </c>
      <c r="AW873" s="70">
        <f>IF(tech_base!$T249&gt;AW$625,"",(1000*tech_proj!AW1213*(-PMT($J$110,tech_base!$F249,1))+1000*tech_proj!AW1493)/((1-tech_proj!AW653)*tech_proj!AW933*$L$110))</f>
        <v>13.028476440087836</v>
      </c>
      <c r="AX873" s="236">
        <f>IF(tech_base!$T249&gt;AX$625,"",(1000*tech_proj!AX1213*(-PMT($J$110,tech_base!$F249,1))+1000*tech_proj!AX1493)/((1-tech_proj!AX653)*tech_proj!AX933*$L$110))</f>
        <v>13.012205129238815</v>
      </c>
    </row>
    <row r="874" spans="1:50" x14ac:dyDescent="0.25">
      <c r="A874" s="356"/>
      <c r="B874" s="376"/>
      <c r="C874" s="378"/>
      <c r="D874" s="2" t="s">
        <v>8</v>
      </c>
      <c r="E874" s="160" t="str">
        <f>A873&amp;"/"&amp;B873&amp;"/"&amp;C873&amp;"/"&amp;D874</f>
        <v>Solar PV power plants/Solar PV power plants/Electricity only/M</v>
      </c>
      <c r="F874" s="76" t="str">
        <f>A873</f>
        <v>Solar PV power plants</v>
      </c>
      <c r="G874" s="76" t="str">
        <f>B873</f>
        <v>Solar PV power plants</v>
      </c>
      <c r="H874" s="76" t="str">
        <f>C873</f>
        <v>Electricity only</v>
      </c>
      <c r="I874" s="161" t="str">
        <f t="shared" si="365"/>
        <v>M</v>
      </c>
      <c r="J874" s="69">
        <f>IF(tech_base!$T250&gt;J$625,"",(1000*tech_proj!J1214*(-PMT($J$110,tech_base!$F250,1))+1000*tech_proj!J1494)/((1-tech_proj!J654)*tech_proj!J934*$L$110))</f>
        <v>54.842257570162928</v>
      </c>
      <c r="K874" s="69">
        <f>IF(tech_base!$T250&gt;K$625,"",(1000*tech_proj!K1214*(-PMT($J$110,tech_base!$F250,1))+1000*tech_proj!K1494)/((1-tech_proj!K654)*tech_proj!K934*$L$110))</f>
        <v>44.398840836536202</v>
      </c>
      <c r="L874" s="69">
        <f>IF(tech_base!$T250&gt;L$625,"",(1000*tech_proj!L1214*(-PMT($J$110,tech_base!$F250,1))+1000*tech_proj!L1494)/((1-tech_proj!L654)*tech_proj!L934*$L$110))</f>
        <v>38.670614576052301</v>
      </c>
      <c r="M874" s="69">
        <f>IF(tech_base!$T250&gt;M$625,"",(1000*tech_proj!M1214*(-PMT($J$110,tech_base!$F250,1))+1000*tech_proj!M1494)/((1-tech_proj!M654)*tech_proj!M934*$L$110))</f>
        <v>35.536761690012511</v>
      </c>
      <c r="N874" s="69">
        <f>IF(tech_base!$T250&gt;N$625,"",(1000*tech_proj!N1214*(-PMT($J$110,tech_base!$F250,1))+1000*tech_proj!N1494)/((1-tech_proj!N654)*tech_proj!N934*$L$110))</f>
        <v>32.124000031765341</v>
      </c>
      <c r="O874" s="69">
        <f>IF(tech_base!$T250&gt;O$625,"",(1000*tech_proj!O1214*(-PMT($J$110,tech_base!$F250,1))+1000*tech_proj!O1494)/((1-tech_proj!O654)*tech_proj!O934*$L$110))</f>
        <v>31.276072238914701</v>
      </c>
      <c r="P874" s="69">
        <f>IF(tech_base!$T250&gt;P$625,"",(1000*tech_proj!P1214*(-PMT($J$110,tech_base!$F250,1))+1000*tech_proj!P1494)/((1-tech_proj!P654)*tech_proj!P934*$L$110))</f>
        <v>29.101921465402395</v>
      </c>
      <c r="Q874" s="69">
        <f>IF(tech_base!$T250&gt;Q$625,"",(1000*tech_proj!Q1214*(-PMT($J$110,tech_base!$F250,1))+1000*tech_proj!Q1494)/((1-tech_proj!Q654)*tech_proj!Q934*$L$110))</f>
        <v>25.861842404626607</v>
      </c>
      <c r="R874" s="69">
        <f>IF(tech_base!$T250&gt;R$625,"",(1000*tech_proj!R1214*(-PMT($J$110,tech_base!$F250,1))+1000*tech_proj!R1494)/((1-tech_proj!R654)*tech_proj!R934*$L$110))</f>
        <v>24.865739652137506</v>
      </c>
      <c r="S874" s="69">
        <f>IF(tech_base!$T250&gt;S$625,"",(1000*tech_proj!S1214*(-PMT($J$110,tech_base!$F250,1))+1000*tech_proj!S1494)/((1-tech_proj!S654)*tech_proj!S934*$L$110))</f>
        <v>23.91955661787604</v>
      </c>
      <c r="T874" s="69">
        <f>IF(tech_base!$T250&gt;T$625,"",(1000*tech_proj!T1214*(-PMT($J$110,tech_base!$F250,1))+1000*tech_proj!T1494)/((1-tech_proj!T654)*tech_proj!T934*$L$110))</f>
        <v>23.02376065154651</v>
      </c>
      <c r="U874" s="69">
        <f>IF(tech_base!$T250&gt;U$625,"",(1000*tech_proj!U1214*(-PMT($J$110,tech_base!$F250,1))+1000*tech_proj!U1494)/((1-tech_proj!U654)*tech_proj!U934*$L$110))</f>
        <v>22.178558111953851</v>
      </c>
      <c r="V874" s="69">
        <f>IF(tech_base!$T250&gt;V$625,"",(1000*tech_proj!V1214*(-PMT($J$110,tech_base!$F250,1))+1000*tech_proj!V1494)/((1-tech_proj!V654)*tech_proj!V934*$L$110))</f>
        <v>21.383893047018255</v>
      </c>
      <c r="W874" s="69">
        <f>IF(tech_base!$T250&gt;W$625,"",(1000*tech_proj!W1214*(-PMT($J$110,tech_base!$F250,1))+1000*tech_proj!W1494)/((1-tech_proj!W654)*tech_proj!W934*$L$110))</f>
        <v>20.639448981684598</v>
      </c>
      <c r="X874" s="69">
        <f>IF(tech_base!$T250&gt;X$625,"",(1000*tech_proj!X1214*(-PMT($J$110,tech_base!$F250,1))+1000*tech_proj!X1494)/((1-tech_proj!X654)*tech_proj!X934*$L$110))</f>
        <v>19.944653879069872</v>
      </c>
      <c r="Y874" s="69">
        <f>IF(tech_base!$T250&gt;Y$625,"",(1000*tech_proj!Y1214*(-PMT($J$110,tech_base!$F250,1))+1000*tech_proj!Y1494)/((1-tech_proj!Y654)*tech_proj!Y934*$L$110))</f>
        <v>19.29868827730823</v>
      </c>
      <c r="Z874" s="69">
        <f>IF(tech_base!$T250&gt;Z$625,"",(1000*tech_proj!Z1214*(-PMT($J$110,tech_base!$F250,1))+1000*tech_proj!Z1494)/((1-tech_proj!Z654)*tech_proj!Z934*$L$110))</f>
        <v>18.700496537761715</v>
      </c>
      <c r="AA874" s="69">
        <f>IF(tech_base!$T250&gt;AA$625,"",(1000*tech_proj!AA1214*(-PMT($J$110,tech_base!$F250,1))+1000*tech_proj!AA1494)/((1-tech_proj!AA654)*tech_proj!AA934*$L$110))</f>
        <v>18.148801071371654</v>
      </c>
      <c r="AB874" s="69">
        <f>IF(tech_base!$T250&gt;AB$625,"",(1000*tech_proj!AB1214*(-PMT($J$110,tech_base!$F250,1))+1000*tech_proj!AB1494)/((1-tech_proj!AB654)*tech_proj!AB934*$L$110))</f>
        <v>17.642119340984291</v>
      </c>
      <c r="AC874" s="69">
        <f>IF(tech_base!$T250&gt;AC$625,"",(1000*tech_proj!AC1214*(-PMT($J$110,tech_base!$F250,1))+1000*tech_proj!AC1494)/((1-tech_proj!AC654)*tech_proj!AC934*$L$110))</f>
        <v>17.178783370723053</v>
      </c>
      <c r="AD874" s="69">
        <f>IF(tech_base!$T250&gt;AD$625,"",(1000*tech_proj!AD1214*(-PMT($J$110,tech_base!$F250,1))+1000*tech_proj!AD1494)/((1-tech_proj!AD654)*tech_proj!AD934*$L$110))</f>
        <v>16.756961431228014</v>
      </c>
      <c r="AE874" s="69">
        <f>IF(tech_base!$T250&gt;AE$625,"",(1000*tech_proj!AE1214*(-PMT($J$110,tech_base!$F250,1))+1000*tech_proj!AE1494)/((1-tech_proj!AE654)*tech_proj!AE934*$L$110))</f>
        <v>16.374681514167133</v>
      </c>
      <c r="AF874" s="69">
        <f>IF(tech_base!$T250&gt;AF$625,"",(1000*tech_proj!AF1214*(-PMT($J$110,tech_base!$F250,1))+1000*tech_proj!AF1494)/((1-tech_proj!AF654)*tech_proj!AF934*$L$110))</f>
        <v>16.029856163067265</v>
      </c>
      <c r="AG874" s="69">
        <f>IF(tech_base!$T250&gt;AG$625,"",(1000*tech_proj!AG1214*(-PMT($J$110,tech_base!$F250,1))+1000*tech_proj!AG1494)/((1-tech_proj!AG654)*tech_proj!AG934*$L$110))</f>
        <v>15.720308192217123</v>
      </c>
      <c r="AH874" s="69">
        <f>IF(tech_base!$T250&gt;AH$625,"",(1000*tech_proj!AH1214*(-PMT($J$110,tech_base!$F250,1))+1000*tech_proj!AH1494)/((1-tech_proj!AH654)*tech_proj!AH934*$L$110))</f>
        <v>15.443796802833139</v>
      </c>
      <c r="AI874" s="69">
        <f>IF(tech_base!$T250&gt;AI$625,"",(1000*tech_proj!AI1214*(-PMT($J$110,tech_base!$F250,1))+1000*tech_proj!AI1494)/((1-tech_proj!AI654)*tech_proj!AI934*$L$110))</f>
        <v>15.198043597091091</v>
      </c>
      <c r="AJ874" s="69">
        <f>IF(tech_base!$T250&gt;AJ$625,"",(1000*tech_proj!AJ1214*(-PMT($J$110,tech_base!$F250,1))+1000*tech_proj!AJ1494)/((1-tech_proj!AJ654)*tech_proj!AJ934*$L$110))</f>
        <v>14.980757996728</v>
      </c>
      <c r="AK874" s="69">
        <f>IF(tech_base!$T250&gt;AK$625,"",(1000*tech_proj!AK1214*(-PMT($J$110,tech_base!$F250,1))+1000*tech_proj!AK1494)/((1-tech_proj!AK654)*tech_proj!AK934*$L$110))</f>
        <v>14.789661593836176</v>
      </c>
      <c r="AL874" s="69">
        <f>IF(tech_base!$T250&gt;AL$625,"",(1000*tech_proj!AL1214*(-PMT($J$110,tech_base!$F250,1))+1000*tech_proj!AL1494)/((1-tech_proj!AL654)*tech_proj!AL934*$L$110))</f>
        <v>14.622510996705254</v>
      </c>
      <c r="AM874" s="69">
        <f>IF(tech_base!$T250&gt;AM$625,"",(1000*tech_proj!AM1214*(-PMT($J$110,tech_base!$F250,1))+1000*tech_proj!AM1494)/((1-tech_proj!AM654)*tech_proj!AM934*$L$110))</f>
        <v>14.477118781984343</v>
      </c>
      <c r="AN874" s="69">
        <f>IF(tech_base!$T250&gt;AN$625,"",(1000*tech_proj!AN1214*(-PMT($J$110,tech_base!$F250,1))+1000*tech_proj!AN1494)/((1-tech_proj!AN654)*tech_proj!AN934*$L$110))</f>
        <v>14.351372224302972</v>
      </c>
      <c r="AO874" s="69">
        <f>IF(tech_base!$T250&gt;AO$625,"",(1000*tech_proj!AO1214*(-PMT($J$110,tech_base!$F250,1))+1000*tech_proj!AO1494)/((1-tech_proj!AO654)*tech_proj!AO934*$L$110))</f>
        <v>14.243249543537987</v>
      </c>
      <c r="AP874" s="69">
        <f>IF(tech_base!$T250&gt;AP$625,"",(1000*tech_proj!AP1214*(-PMT($J$110,tech_base!$F250,1))+1000*tech_proj!AP1494)/((1-tech_proj!AP654)*tech_proj!AP934*$L$110))</f>
        <v>14.150833485448411</v>
      </c>
      <c r="AQ874" s="69">
        <f>IF(tech_base!$T250&gt;AQ$625,"",(1000*tech_proj!AQ1214*(-PMT($J$110,tech_base!$F250,1))+1000*tech_proj!AQ1494)/((1-tech_proj!AQ654)*tech_proj!AQ934*$L$110))</f>
        <v>14.072322130424054</v>
      </c>
      <c r="AR874" s="69">
        <f>IF(tech_base!$T250&gt;AR$625,"",(1000*tech_proj!AR1214*(-PMT($J$110,tech_base!$F250,1))+1000*tech_proj!AR1494)/((1-tech_proj!AR654)*tech_proj!AR934*$L$110))</f>
        <v>14.006036904466871</v>
      </c>
      <c r="AS874" s="69">
        <f>IF(tech_base!$T250&gt;AS$625,"",(1000*tech_proj!AS1214*(-PMT($J$110,tech_base!$F250,1))+1000*tech_proj!AS1494)/((1-tech_proj!AS654)*tech_proj!AS934*$L$110))</f>
        <v>13.950427843125958</v>
      </c>
      <c r="AT874" s="69">
        <f>IF(tech_base!$T250&gt;AT$625,"",(1000*tech_proj!AT1214*(-PMT($J$110,tech_base!$F250,1))+1000*tech_proj!AT1494)/((1-tech_proj!AT654)*tech_proj!AT934*$L$110))</f>
        <v>13.904076230007187</v>
      </c>
      <c r="AU874" s="69">
        <f>IF(tech_base!$T250&gt;AU$625,"",(1000*tech_proj!AU1214*(-PMT($J$110,tech_base!$F250,1))+1000*tech_proj!AU1494)/((1-tech_proj!AU654)*tech_proj!AU934*$L$110))</f>
        <v>13.865694794089666</v>
      </c>
      <c r="AV874" s="69">
        <f>IF(tech_base!$T250&gt;AV$625,"",(1000*tech_proj!AV1214*(-PMT($J$110,tech_base!$F250,1))+1000*tech_proj!AV1494)/((1-tech_proj!AV654)*tech_proj!AV934*$L$110))</f>
        <v>13.834125702298197</v>
      </c>
      <c r="AW874" s="69">
        <f>IF(tech_base!$T250&gt;AW$625,"",(1000*tech_proj!AW1214*(-PMT($J$110,tech_base!$F250,1))+1000*tech_proj!AW1494)/((1-tech_proj!AW654)*tech_proj!AW934*$L$110))</f>
        <v>13.808336624080335</v>
      </c>
      <c r="AX874" s="235">
        <f>IF(tech_base!$T250&gt;AX$625,"",(1000*tech_proj!AX1214*(-PMT($J$110,tech_base!$F250,1))+1000*tech_proj!AX1494)/((1-tech_proj!AX654)*tech_proj!AX934*$L$110))</f>
        <v>13.787415172245748</v>
      </c>
    </row>
    <row r="875" spans="1:50" x14ac:dyDescent="0.25">
      <c r="A875" s="356"/>
      <c r="B875" s="376"/>
      <c r="C875" s="378"/>
      <c r="D875" s="2" t="s">
        <v>10</v>
      </c>
      <c r="E875" s="160" t="str">
        <f>A873&amp;"/"&amp;B873&amp;"/"&amp;C873&amp;"/"&amp;D875</f>
        <v>Solar PV power plants/Solar PV power plants/Electricity only/S</v>
      </c>
      <c r="F875" s="76" t="str">
        <f>A873</f>
        <v>Solar PV power plants</v>
      </c>
      <c r="G875" s="76" t="str">
        <f>B873</f>
        <v>Solar PV power plants</v>
      </c>
      <c r="H875" s="76" t="str">
        <f>C873</f>
        <v>Electricity only</v>
      </c>
      <c r="I875" s="161" t="str">
        <f t="shared" si="365"/>
        <v>S</v>
      </c>
      <c r="J875" s="69">
        <f>IF(tech_base!$T251&gt;J$625,"",(1000*tech_proj!J1215*(-PMT($J$110,tech_base!$F251,1))+1000*tech_proj!J1495)/((1-tech_proj!J655)*tech_proj!J935*$L$110))</f>
        <v>66.274022922253806</v>
      </c>
      <c r="K875" s="69">
        <f>IF(tech_base!$T251&gt;K$625,"",(1000*tech_proj!K1215*(-PMT($J$110,tech_base!$F251,1))+1000*tech_proj!K1495)/((1-tech_proj!K655)*tech_proj!K935*$L$110))</f>
        <v>55.280787681087219</v>
      </c>
      <c r="L875" s="69">
        <f>IF(tech_base!$T251&gt;L$625,"",(1000*tech_proj!L1215*(-PMT($J$110,tech_base!$F251,1))+1000*tech_proj!L1495)/((1-tech_proj!L655)*tech_proj!L935*$L$110))</f>
        <v>44.585215424912214</v>
      </c>
      <c r="M875" s="69">
        <f>IF(tech_base!$T251&gt;M$625,"",(1000*tech_proj!M1215*(-PMT($J$110,tech_base!$F251,1))+1000*tech_proj!M1495)/((1-tech_proj!M655)*tech_proj!M935*$L$110))</f>
        <v>39.501253412477027</v>
      </c>
      <c r="N875" s="69">
        <f>IF(tech_base!$T251&gt;N$625,"",(1000*tech_proj!N1215*(-PMT($J$110,tech_base!$F251,1))+1000*tech_proj!N1495)/((1-tech_proj!N655)*tech_proj!N935*$L$110))</f>
        <v>34.587272564718475</v>
      </c>
      <c r="O875" s="69">
        <f>IF(tech_base!$T251&gt;O$625,"",(1000*tech_proj!O1215*(-PMT($J$110,tech_base!$F251,1))+1000*tech_proj!O1495)/((1-tech_proj!O655)*tech_proj!O935*$L$110))</f>
        <v>34.059414156930458</v>
      </c>
      <c r="P875" s="69">
        <f>IF(tech_base!$T251&gt;P$625,"",(1000*tech_proj!P1215*(-PMT($J$110,tech_base!$F251,1))+1000*tech_proj!P1495)/((1-tech_proj!P655)*tech_proj!P935*$L$110))</f>
        <v>29.332361560112293</v>
      </c>
      <c r="Q875" s="69">
        <f>IF(tech_base!$T251&gt;Q$625,"",(1000*tech_proj!Q1215*(-PMT($J$110,tech_base!$F251,1))+1000*tech_proj!Q1495)/((1-tech_proj!Q655)*tech_proj!Q935*$L$110))</f>
        <v>28.378862399595835</v>
      </c>
      <c r="R875" s="69">
        <f>IF(tech_base!$T251&gt;R$625,"",(1000*tech_proj!R1215*(-PMT($J$110,tech_base!$F251,1))+1000*tech_proj!R1495)/((1-tech_proj!R655)*tech_proj!R935*$L$110))</f>
        <v>27.528861071151379</v>
      </c>
      <c r="S875" s="69">
        <f>IF(tech_base!$T251&gt;S$625,"",(1000*tech_proj!S1215*(-PMT($J$110,tech_base!$F251,1))+1000*tech_proj!S1495)/((1-tech_proj!S655)*tech_proj!S935*$L$110))</f>
        <v>26.698914399733667</v>
      </c>
      <c r="T875" s="69">
        <f>IF(tech_base!$T251&gt;T$625,"",(1000*tech_proj!T1215*(-PMT($J$110,tech_base!$F251,1))+1000*tech_proj!T1495)/((1-tech_proj!T655)*tech_proj!T935*$L$110))</f>
        <v>25.891262030949814</v>
      </c>
      <c r="U875" s="69">
        <f>IF(tech_base!$T251&gt;U$625,"",(1000*tech_proj!U1215*(-PMT($J$110,tech_base!$F251,1))+1000*tech_proj!U1495)/((1-tech_proj!U655)*tech_proj!U935*$L$110))</f>
        <v>25.108039361454317</v>
      </c>
      <c r="V875" s="69">
        <f>IF(tech_base!$T251&gt;V$625,"",(1000*tech_proj!V1215*(-PMT($J$110,tech_base!$F251,1))+1000*tech_proj!V1495)/((1-tech_proj!V655)*tech_proj!V935*$L$110))</f>
        <v>24.351251982041173</v>
      </c>
      <c r="W875" s="69">
        <f>IF(tech_base!$T251&gt;W$625,"",(1000*tech_proj!W1215*(-PMT($J$110,tech_base!$F251,1))+1000*tech_proj!W1495)/((1-tech_proj!W655)*tech_proj!W935*$L$110))</f>
        <v>23.622750682666247</v>
      </c>
      <c r="X875" s="69">
        <f>IF(tech_base!$T251&gt;X$625,"",(1000*tech_proj!X1215*(-PMT($J$110,tech_base!$F251,1))+1000*tech_proj!X1495)/((1-tech_proj!X655)*tech_proj!X935*$L$110))</f>
        <v>22.924207570946812</v>
      </c>
      <c r="Y875" s="69">
        <f>IF(tech_base!$T251&gt;Y$625,"",(1000*tech_proj!Y1215*(-PMT($J$110,tech_base!$F251,1))+1000*tech_proj!Y1495)/((1-tech_proj!Y655)*tech_proj!Y935*$L$110))</f>
        <v>22.257093877049368</v>
      </c>
      <c r="Z875" s="69">
        <f>IF(tech_base!$T251&gt;Z$625,"",(1000*tech_proj!Z1215*(-PMT($J$110,tech_base!$F251,1))+1000*tech_proj!Z1495)/((1-tech_proj!Z655)*tech_proj!Z935*$L$110))</f>
        <v>21.622660022517422</v>
      </c>
      <c r="AA875" s="69">
        <f>IF(tech_base!$T251&gt;AA$625,"",(1000*tech_proj!AA1215*(-PMT($J$110,tech_base!$F251,1))+1000*tech_proj!AA1495)/((1-tech_proj!AA655)*tech_proj!AA935*$L$110))</f>
        <v>21.021918516156735</v>
      </c>
      <c r="AB875" s="69">
        <f>IF(tech_base!$T251&gt;AB$625,"",(1000*tech_proj!AB1215*(-PMT($J$110,tech_base!$F251,1))+1000*tech_proj!AB1495)/((1-tech_proj!AB655)*tech_proj!AB935*$L$110))</f>
        <v>20.455630204823926</v>
      </c>
      <c r="AC875" s="69">
        <f>IF(tech_base!$T251&gt;AC$625,"",(1000*tech_proj!AC1215*(-PMT($J$110,tech_base!$F251,1))+1000*tech_proj!AC1495)/((1-tech_proj!AC655)*tech_proj!AC935*$L$110))</f>
        <v>19.924294349883926</v>
      </c>
      <c r="AD875" s="69">
        <f>IF(tech_base!$T251&gt;AD$625,"",(1000*tech_proj!AD1215*(-PMT($J$110,tech_base!$F251,1))+1000*tech_proj!AD1495)/((1-tech_proj!AD655)*tech_proj!AD935*$L$110))</f>
        <v>19.428142921207691</v>
      </c>
      <c r="AE875" s="69">
        <f>IF(tech_base!$T251&gt;AE$625,"",(1000*tech_proj!AE1215*(-PMT($J$110,tech_base!$F251,1))+1000*tech_proj!AE1495)/((1-tech_proj!AE655)*tech_proj!AE935*$L$110))</f>
        <v>18.967139400992689</v>
      </c>
      <c r="AF875" s="69">
        <f>IF(tech_base!$T251&gt;AF$625,"",(1000*tech_proj!AF1215*(-PMT($J$110,tech_base!$F251,1))+1000*tech_proj!AF1495)/((1-tech_proj!AF655)*tech_proj!AF935*$L$110))</f>
        <v>18.540982271731767</v>
      </c>
      <c r="AG875" s="69">
        <f>IF(tech_base!$T251&gt;AG$625,"",(1000*tech_proj!AG1215*(-PMT($J$110,tech_base!$F251,1))+1000*tech_proj!AG1495)/((1-tech_proj!AG655)*tech_proj!AG935*$L$110))</f>
        <v>18.149113229901857</v>
      </c>
      <c r="AH875" s="69">
        <f>IF(tech_base!$T251&gt;AH$625,"",(1000*tech_proj!AH1215*(-PMT($J$110,tech_base!$F251,1))+1000*tech_proj!AH1495)/((1-tech_proj!AH655)*tech_proj!AH935*$L$110))</f>
        <v>17.790730024137336</v>
      </c>
      <c r="AI875" s="69">
        <f>IF(tech_base!$T251&gt;AI$625,"",(1000*tech_proj!AI1215*(-PMT($J$110,tech_base!$F251,1))+1000*tech_proj!AI1495)/((1-tech_proj!AI655)*tech_proj!AI935*$L$110))</f>
        <v>17.464803669566066</v>
      </c>
      <c r="AJ875" s="69">
        <f>IF(tech_base!$T251&gt;AJ$625,"",(1000*tech_proj!AJ1215*(-PMT($J$110,tech_base!$F251,1))+1000*tech_proj!AJ1495)/((1-tech_proj!AJ655)*tech_proj!AJ935*$L$110))</f>
        <v>17.170099645164463</v>
      </c>
      <c r="AK875" s="69">
        <f>IF(tech_base!$T251&gt;AK$625,"",(1000*tech_proj!AK1215*(-PMT($J$110,tech_base!$F251,1))+1000*tech_proj!AK1495)/((1-tech_proj!AK655)*tech_proj!AK935*$L$110))</f>
        <v>16.905202545412195</v>
      </c>
      <c r="AL875" s="69">
        <f>IF(tech_base!$T251&gt;AL$625,"",(1000*tech_proj!AL1215*(-PMT($J$110,tech_base!$F251,1))+1000*tech_proj!AL1495)/((1-tech_proj!AL655)*tech_proj!AL935*$L$110))</f>
        <v>16.668543538197625</v>
      </c>
      <c r="AM875" s="69">
        <f>IF(tech_base!$T251&gt;AM$625,"",(1000*tech_proj!AM1215*(-PMT($J$110,tech_base!$F251,1))+1000*tech_proj!AM1495)/((1-tech_proj!AM655)*tech_proj!AM935*$L$110))</f>
        <v>16.458429884402179</v>
      </c>
      <c r="AN875" s="69">
        <f>IF(tech_base!$T251&gt;AN$625,"",(1000*tech_proj!AN1215*(-PMT($J$110,tech_base!$F251,1))+1000*tech_proj!AN1495)/((1-tech_proj!AN655)*tech_proj!AN935*$L$110))</f>
        <v>16.273075706518647</v>
      </c>
      <c r="AO875" s="69">
        <f>IF(tech_base!$T251&gt;AO$625,"",(1000*tech_proj!AO1215*(-PMT($J$110,tech_base!$F251,1))+1000*tech_proj!AO1495)/((1-tech_proj!AO655)*tech_proj!AO935*$L$110))</f>
        <v>16.110633158312528</v>
      </c>
      <c r="AP875" s="69">
        <f>IF(tech_base!$T251&gt;AP$625,"",(1000*tech_proj!AP1215*(-PMT($J$110,tech_base!$F251,1))+1000*tech_proj!AP1495)/((1-tech_proj!AP655)*tech_proj!AP935*$L$110))</f>
        <v>15.969223147450197</v>
      </c>
      <c r="AQ875" s="69">
        <f>IF(tech_base!$T251&gt;AQ$625,"",(1000*tech_proj!AQ1215*(-PMT($J$110,tech_base!$F251,1))+1000*tech_proj!AQ1495)/((1-tech_proj!AQ655)*tech_proj!AQ935*$L$110))</f>
        <v>15.846964798710669</v>
      </c>
      <c r="AR875" s="69">
        <f>IF(tech_base!$T251&gt;AR$625,"",(1000*tech_proj!AR1215*(-PMT($J$110,tech_base!$F251,1))+1000*tech_proj!AR1495)/((1-tech_proj!AR655)*tech_proj!AR935*$L$110))</f>
        <v>15.742002915246895</v>
      </c>
      <c r="AS875" s="69">
        <f>IF(tech_base!$T251&gt;AS$625,"",(1000*tech_proj!AS1215*(-PMT($J$110,tech_base!$F251,1))+1000*tech_proj!AS1495)/((1-tech_proj!AS655)*tech_proj!AS935*$L$110))</f>
        <v>15.652532795645561</v>
      </c>
      <c r="AT875" s="69">
        <f>IF(tech_base!$T251&gt;AT$625,"",(1000*tech_proj!AT1215*(-PMT($J$110,tech_base!$F251,1))+1000*tech_proj!AT1495)/((1-tech_proj!AT655)*tech_proj!AT935*$L$110))</f>
        <v>15.576821889639975</v>
      </c>
      <c r="AU875" s="69">
        <f>IF(tech_base!$T251&gt;AU$625,"",(1000*tech_proj!AU1215*(-PMT($J$110,tech_base!$F251,1))+1000*tech_proj!AU1495)/((1-tech_proj!AU655)*tech_proj!AU935*$L$110))</f>
        <v>15.513227918136071</v>
      </c>
      <c r="AV875" s="69">
        <f>IF(tech_base!$T251&gt;AV$625,"",(1000*tech_proj!AV1215*(-PMT($J$110,tech_base!$F251,1))+1000*tech_proj!AV1495)/((1-tech_proj!AV655)*tech_proj!AV935*$L$110))</f>
        <v>15.460213235587656</v>
      </c>
      <c r="AW875" s="69">
        <f>IF(tech_base!$T251&gt;AW$625,"",(1000*tech_proj!AW1215*(-PMT($J$110,tech_base!$F251,1))+1000*tech_proj!AW1495)/((1-tech_proj!AW655)*tech_proj!AW935*$L$110))</f>
        <v>15.41635536616783</v>
      </c>
      <c r="AX875" s="235">
        <f>IF(tech_base!$T251&gt;AX$625,"",(1000*tech_proj!AX1215*(-PMT($J$110,tech_base!$F251,1))+1000*tech_proj!AX1495)/((1-tech_proj!AX655)*tech_proj!AX935*$L$110))</f>
        <v>15.380353791318059</v>
      </c>
    </row>
    <row r="876" spans="1:50" x14ac:dyDescent="0.25">
      <c r="A876" s="357"/>
      <c r="B876" s="380"/>
      <c r="C876" s="381"/>
      <c r="D876" s="4" t="s">
        <v>20</v>
      </c>
      <c r="E876" s="168" t="str">
        <f>A873&amp;"/"&amp;B873&amp;"/"&amp;C873&amp;"/"&amp;D876</f>
        <v>Solar PV power plants/Solar PV power plants/Electricity only/XS</v>
      </c>
      <c r="F876" s="80" t="str">
        <f>A873</f>
        <v>Solar PV power plants</v>
      </c>
      <c r="G876" s="80" t="str">
        <f>B873</f>
        <v>Solar PV power plants</v>
      </c>
      <c r="H876" s="80" t="str">
        <f>C873</f>
        <v>Electricity only</v>
      </c>
      <c r="I876" s="169" t="str">
        <f t="shared" si="365"/>
        <v>XS</v>
      </c>
      <c r="J876" s="73">
        <f>IF(tech_base!$T252&gt;J$625,"",(1000*tech_proj!J1216*(-PMT($J$110,tech_base!$F252,1))+1000*tech_proj!J1496)/((1-tech_proj!J656)*tech_proj!J936*$L$110))</f>
        <v>70.504279704525331</v>
      </c>
      <c r="K876" s="73">
        <f>IF(tech_base!$T252&gt;K$625,"",(1000*tech_proj!K1216*(-PMT($J$110,tech_base!$F252,1))+1000*tech_proj!K1496)/((1-tech_proj!K656)*tech_proj!K936*$L$110))</f>
        <v>59.015201965513519</v>
      </c>
      <c r="L876" s="73">
        <f>IF(tech_base!$T252&gt;L$625,"",(1000*tech_proj!L1216*(-PMT($J$110,tech_base!$F252,1))+1000*tech_proj!L1496)/((1-tech_proj!L656)*tech_proj!L936*$L$110))</f>
        <v>47.561475234929432</v>
      </c>
      <c r="M876" s="73">
        <f>IF(tech_base!$T252&gt;M$625,"",(1000*tech_proj!M1216*(-PMT($J$110,tech_base!$F252,1))+1000*tech_proj!M1496)/((1-tech_proj!M656)*tech_proj!M936*$L$110))</f>
        <v>41.853701414188372</v>
      </c>
      <c r="N876" s="73">
        <f>IF(tech_base!$T252&gt;N$625,"",(1000*tech_proj!N1216*(-PMT($J$110,tech_base!$F252,1))+1000*tech_proj!N1496)/((1-tech_proj!N656)*tech_proj!N936*$L$110))</f>
        <v>36.091331496031522</v>
      </c>
      <c r="O876" s="73">
        <f>IF(tech_base!$T252&gt;O$625,"",(1000*tech_proj!O1216*(-PMT($J$110,tech_base!$F252,1))+1000*tech_proj!O1496)/((1-tech_proj!O656)*tech_proj!O936*$L$110))</f>
        <v>35.15327127679668</v>
      </c>
      <c r="P876" s="73">
        <f>IF(tech_base!$T252&gt;P$625,"",(1000*tech_proj!P1216*(-PMT($J$110,tech_base!$F252,1))+1000*tech_proj!P1496)/((1-tech_proj!P656)*tech_proj!P936*$L$110))</f>
        <v>30.037261186195938</v>
      </c>
      <c r="Q876" s="73">
        <f>IF(tech_base!$T252&gt;Q$625,"",(1000*tech_proj!Q1216*(-PMT($J$110,tech_base!$F252,1))+1000*tech_proj!Q1496)/((1-tech_proj!Q656)*tech_proj!Q936*$L$110))</f>
        <v>29.010346273847357</v>
      </c>
      <c r="R876" s="73">
        <f>IF(tech_base!$T252&gt;R$625,"",(1000*tech_proj!R1216*(-PMT($J$110,tech_base!$F252,1))+1000*tech_proj!R1496)/((1-tech_proj!R656)*tech_proj!R936*$L$110))</f>
        <v>28.182441318754233</v>
      </c>
      <c r="S876" s="73">
        <f>IF(tech_base!$T252&gt;S$625,"",(1000*tech_proj!S1216*(-PMT($J$110,tech_base!$F252,1))+1000*tech_proj!S1496)/((1-tech_proj!S656)*tech_proj!S936*$L$110))</f>
        <v>27.374069685986061</v>
      </c>
      <c r="T876" s="73">
        <f>IF(tech_base!$T252&gt;T$625,"",(1000*tech_proj!T1216*(-PMT($J$110,tech_base!$F252,1))+1000*tech_proj!T1496)/((1-tech_proj!T656)*tech_proj!T936*$L$110))</f>
        <v>26.587412800010931</v>
      </c>
      <c r="U876" s="73">
        <f>IF(tech_base!$T252&gt;U$625,"",(1000*tech_proj!U1216*(-PMT($J$110,tech_base!$F252,1))+1000*tech_proj!U1496)/((1-tech_proj!U656)*tech_proj!U936*$L$110))</f>
        <v>25.824550546368041</v>
      </c>
      <c r="V876" s="73">
        <f>IF(tech_base!$T252&gt;V$625,"",(1000*tech_proj!V1216*(-PMT($J$110,tech_base!$F252,1))+1000*tech_proj!V1496)/((1-tech_proj!V656)*tech_proj!V936*$L$110))</f>
        <v>25.087436379129393</v>
      </c>
      <c r="W876" s="73">
        <f>IF(tech_base!$T252&gt;W$625,"",(1000*tech_proj!W1216*(-PMT($J$110,tech_base!$F252,1))+1000*tech_proj!W1496)/((1-tech_proj!W656)*tech_proj!W936*$L$110))</f>
        <v>24.377872975683854</v>
      </c>
      <c r="X876" s="73">
        <f>IF(tech_base!$T252&gt;X$625,"",(1000*tech_proj!X1216*(-PMT($J$110,tech_base!$F252,1))+1000*tech_proj!X1496)/((1-tech_proj!X656)*tech_proj!X936*$L$110))</f>
        <v>23.697488976052878</v>
      </c>
      <c r="Y876" s="73">
        <f>IF(tech_base!$T252&gt;Y$625,"",(1000*tech_proj!Y1216*(-PMT($J$110,tech_base!$F252,1))+1000*tech_proj!Y1496)/((1-tech_proj!Y656)*tech_proj!Y936*$L$110))</f>
        <v>23.047717364755616</v>
      </c>
      <c r="Z876" s="73">
        <f>IF(tech_base!$T252&gt;Z$625,"",(1000*tech_proj!Z1216*(-PMT($J$110,tech_base!$F252,1))+1000*tech_proj!Z1496)/((1-tech_proj!Z656)*tech_proj!Z936*$L$110))</f>
        <v>22.429776057761359</v>
      </c>
      <c r="AA876" s="73">
        <f>IF(tech_base!$T252&gt;AA$625,"",(1000*tech_proj!AA1216*(-PMT($J$110,tech_base!$F252,1))+1000*tech_proj!AA1496)/((1-tech_proj!AA656)*tech_proj!AA936*$L$110))</f>
        <v>21.844651243008062</v>
      </c>
      <c r="AB876" s="73">
        <f>IF(tech_base!$T252&gt;AB$625,"",(1000*tech_proj!AB1216*(-PMT($J$110,tech_base!$F252,1))+1000*tech_proj!AB1496)/((1-tech_proj!AB656)*tech_proj!AB936*$L$110))</f>
        <v>21.293083988611251</v>
      </c>
      <c r="AC876" s="73">
        <f>IF(tech_base!$T252&gt;AC$625,"",(1000*tech_proj!AC1216*(-PMT($J$110,tech_base!$F252,1))+1000*tech_proj!AC1496)/((1-tech_proj!AC656)*tech_proj!AC936*$L$110))</f>
        <v>20.775560577290829</v>
      </c>
      <c r="AD876" s="73">
        <f>IF(tech_base!$T252&gt;AD$625,"",(1000*tech_proj!AD1216*(-PMT($J$110,tech_base!$F252,1))+1000*tech_proj!AD1496)/((1-tech_proj!AD656)*tech_proj!AD936*$L$110))</f>
        <v>20.292306948700261</v>
      </c>
      <c r="AE876" s="73">
        <f>IF(tech_base!$T252&gt;AE$625,"",(1000*tech_proj!AE1216*(-PMT($J$110,tech_base!$F252,1))+1000*tech_proj!AE1496)/((1-tech_proj!AE656)*tech_proj!AE936*$L$110))</f>
        <v>19.843287534342601</v>
      </c>
      <c r="AF876" s="73">
        <f>IF(tech_base!$T252&gt;AF$625,"",(1000*tech_proj!AF1216*(-PMT($J$110,tech_base!$F252,1))+1000*tech_proj!AF1496)/((1-tech_proj!AF656)*tech_proj!AF936*$L$110))</f>
        <v>19.428208654867138</v>
      </c>
      <c r="AG876" s="73">
        <f>IF(tech_base!$T252&gt;AG$625,"",(1000*tech_proj!AG1216*(-PMT($J$110,tech_base!$F252,1))+1000*tech_proj!AG1496)/((1-tech_proj!AG656)*tech_proj!AG936*$L$110))</f>
        <v>19.046526520237659</v>
      </c>
      <c r="AH876" s="73">
        <f>IF(tech_base!$T252&gt;AH$625,"",(1000*tech_proj!AH1216*(-PMT($J$110,tech_base!$F252,1))+1000*tech_proj!AH1496)/((1-tech_proj!AH656)*tech_proj!AH936*$L$110))</f>
        <v>18.697459734168522</v>
      </c>
      <c r="AI876" s="73">
        <f>IF(tech_base!$T252&gt;AI$625,"",(1000*tech_proj!AI1216*(-PMT($J$110,tech_base!$F252,1))+1000*tech_proj!AI1496)/((1-tech_proj!AI656)*tech_proj!AI936*$L$110))</f>
        <v>18.380006060962149</v>
      </c>
      <c r="AJ876" s="73">
        <f>IF(tech_base!$T252&gt;AJ$625,"",(1000*tech_proj!AJ1216*(-PMT($J$110,tech_base!$F252,1))+1000*tech_proj!AJ1496)/((1-tech_proj!AJ656)*tech_proj!AJ936*$L$110))</f>
        <v>18.092963071824141</v>
      </c>
      <c r="AK876" s="73">
        <f>IF(tech_base!$T252&gt;AK$625,"",(1000*tech_proj!AK1216*(-PMT($J$110,tech_base!$F252,1))+1000*tech_proj!AK1496)/((1-tech_proj!AK656)*tech_proj!AK936*$L$110))</f>
        <v>17.834952155681169</v>
      </c>
      <c r="AL876" s="73">
        <f>IF(tech_base!$T252&gt;AL$625,"",(1000*tech_proj!AL1216*(-PMT($J$110,tech_base!$F252,1))+1000*tech_proj!AL1496)/((1-tech_proj!AL656)*tech_proj!AL936*$L$110))</f>
        <v>17.604445263299098</v>
      </c>
      <c r="AM876" s="73">
        <f>IF(tech_base!$T252&gt;AM$625,"",(1000*tech_proj!AM1216*(-PMT($J$110,tech_base!$F252,1))+1000*tech_proj!AM1496)/((1-tech_proj!AM656)*tech_proj!AM936*$L$110))</f>
        <v>17.399793659485361</v>
      </c>
      <c r="AN876" s="73">
        <f>IF(tech_base!$T252&gt;AN$625,"",(1000*tech_proj!AN1216*(-PMT($J$110,tech_base!$F252,1))+1000*tech_proj!AN1496)/((1-tech_proj!AN656)*tech_proj!AN936*$L$110))</f>
        <v>17.219257891855655</v>
      </c>
      <c r="AO876" s="73">
        <f>IF(tech_base!$T252&gt;AO$625,"",(1000*tech_proj!AO1216*(-PMT($J$110,tech_base!$F252,1))+1000*tech_proj!AO1496)/((1-tech_proj!AO656)*tech_proj!AO936*$L$110))</f>
        <v>17.061038150218405</v>
      </c>
      <c r="AP876" s="73">
        <f>IF(tech_base!$T252&gt;AP$625,"",(1000*tech_proj!AP1216*(-PMT($J$110,tech_base!$F252,1))+1000*tech_proj!AP1496)/((1-tech_proj!AP656)*tech_proj!AP936*$L$110))</f>
        <v>16.923304190546901</v>
      </c>
      <c r="AQ876" s="73">
        <f>IF(tech_base!$T252&gt;AQ$625,"",(1000*tech_proj!AQ1216*(-PMT($J$110,tech_base!$F252,1))+1000*tech_proj!AQ1496)/((1-tech_proj!AQ656)*tech_proj!AQ936*$L$110))</f>
        <v>16.804224032274455</v>
      </c>
      <c r="AR876" s="73">
        <f>IF(tech_base!$T252&gt;AR$625,"",(1000*tech_proj!AR1216*(-PMT($J$110,tech_base!$F252,1))+1000*tech_proj!AR1496)/((1-tech_proj!AR656)*tech_proj!AR936*$L$110))</f>
        <v>16.701990705681194</v>
      </c>
      <c r="AS876" s="73">
        <f>IF(tech_base!$T252&gt;AS$625,"",(1000*tech_proj!AS1216*(-PMT($J$110,tech_base!$F252,1))+1000*tech_proj!AS1496)/((1-tech_proj!AS656)*tech_proj!AS936*$L$110))</f>
        <v>16.61484642381722</v>
      </c>
      <c r="AT876" s="73">
        <f>IF(tech_base!$T252&gt;AT$625,"",(1000*tech_proj!AT1216*(-PMT($J$110,tech_base!$F252,1))+1000*tech_proj!AT1496)/((1-tech_proj!AT656)*tech_proj!AT936*$L$110))</f>
        <v>16.541103675260192</v>
      </c>
      <c r="AU876" s="73">
        <f>IF(tech_base!$T252&gt;AU$625,"",(1000*tech_proj!AU1216*(-PMT($J$110,tech_base!$F252,1))+1000*tech_proj!AU1496)/((1-tech_proj!AU656)*tech_proj!AU936*$L$110))</f>
        <v>16.479162873098762</v>
      </c>
      <c r="AV876" s="73">
        <f>IF(tech_base!$T252&gt;AV$625,"",(1000*tech_proj!AV1216*(-PMT($J$110,tech_base!$F252,1))+1000*tech_proj!AV1496)/((1-tech_proj!AV656)*tech_proj!AV936*$L$110))</f>
        <v>16.427526343947871</v>
      </c>
      <c r="AW876" s="73">
        <f>IF(tech_base!$T252&gt;AW$625,"",(1000*tech_proj!AW1216*(-PMT($J$110,tech_base!$F252,1))+1000*tech_proj!AW1496)/((1-tech_proj!AW656)*tech_proj!AW936*$L$110))</f>
        <v>16.384808590225116</v>
      </c>
      <c r="AX876" s="239">
        <f>IF(tech_base!$T252&gt;AX$625,"",(1000*tech_proj!AX1216*(-PMT($J$110,tech_base!$F252,1))+1000*tech_proj!AX1496)/((1-tech_proj!AX656)*tech_proj!AX936*$L$110))</f>
        <v>16.349742901252814</v>
      </c>
    </row>
    <row r="877" spans="1:50" x14ac:dyDescent="0.25">
      <c r="A877" s="355" t="s">
        <v>38</v>
      </c>
      <c r="B877" s="358" t="s">
        <v>38</v>
      </c>
      <c r="C877" s="353" t="s">
        <v>6</v>
      </c>
      <c r="D877" s="3" t="s">
        <v>7</v>
      </c>
      <c r="E877" s="162" t="str">
        <f>A877&amp;"/"&amp;B877&amp;"/"&amp;C877&amp;"/"&amp;D877</f>
        <v>Solar thermal power plants/Solar thermal power plants/Electricity only/L</v>
      </c>
      <c r="F877" s="77" t="str">
        <f>A877</f>
        <v>Solar thermal power plants</v>
      </c>
      <c r="G877" s="77" t="str">
        <f>B877</f>
        <v>Solar thermal power plants</v>
      </c>
      <c r="H877" s="77" t="str">
        <f>C877</f>
        <v>Electricity only</v>
      </c>
      <c r="I877" s="163" t="str">
        <f t="shared" si="365"/>
        <v>L</v>
      </c>
      <c r="J877" s="70">
        <f>IF(tech_base!$T253&gt;J$625,"",(1000*tech_proj!J1217*(-PMT($J$110,tech_base!$F253,1))+1000*tech_proj!J1497)/((1-tech_proj!J657)*tech_proj!J937*$L$110))</f>
        <v>151.50710548788766</v>
      </c>
      <c r="K877" s="70">
        <f>IF(tech_base!$T253&gt;K$625,"",(1000*tech_proj!K1217*(-PMT($J$110,tech_base!$F253,1))+1000*tech_proj!K1497)/((1-tech_proj!K657)*tech_proj!K937*$L$110))</f>
        <v>151.47056556904931</v>
      </c>
      <c r="L877" s="70">
        <f>IF(tech_base!$T253&gt;L$625,"",(1000*tech_proj!L1217*(-PMT($J$110,tech_base!$F253,1))+1000*tech_proj!L1497)/((1-tech_proj!L657)*tech_proj!L937*$L$110))</f>
        <v>151.42598639431748</v>
      </c>
      <c r="M877" s="70">
        <f>IF(tech_base!$T253&gt;M$625,"",(1000*tech_proj!M1217*(-PMT($J$110,tech_base!$F253,1))+1000*tech_proj!M1497)/((1-tech_proj!M657)*tech_proj!M937*$L$110))</f>
        <v>151.37161289102607</v>
      </c>
      <c r="N877" s="70">
        <f>IF(tech_base!$T253&gt;N$625,"",(1000*tech_proj!N1217*(-PMT($J$110,tech_base!$F253,1))+1000*tech_proj!N1497)/((1-tech_proj!N657)*tech_proj!N937*$L$110))</f>
        <v>151.3053135150945</v>
      </c>
      <c r="O877" s="70">
        <f>IF(tech_base!$T253&gt;O$625,"",(1000*tech_proj!O1217*(-PMT($J$110,tech_base!$F253,1))+1000*tech_proj!O1497)/((1-tech_proj!O657)*tech_proj!O937*$L$110))</f>
        <v>151.22450276319807</v>
      </c>
      <c r="P877" s="70">
        <f>IF(tech_base!$T253&gt;P$625,"",(1000*tech_proj!P1217*(-PMT($J$110,tech_base!$F253,1))+1000*tech_proj!P1497)/((1-tech_proj!P657)*tech_proj!P937*$L$110))</f>
        <v>151.12604933967219</v>
      </c>
      <c r="Q877" s="70">
        <f>IF(tech_base!$T253&gt;Q$625,"",(1000*tech_proj!Q1217*(-PMT($J$110,tech_base!$F253,1))+1000*tech_proj!Q1497)/((1-tech_proj!Q657)*tech_proj!Q937*$L$110))</f>
        <v>151.00616812534906</v>
      </c>
      <c r="R877" s="70">
        <f>IF(tech_base!$T253&gt;R$625,"",(1000*tech_proj!R1217*(-PMT($J$110,tech_base!$F253,1))+1000*tech_proj!R1497)/((1-tech_proj!R657)*tech_proj!R937*$L$110))</f>
        <v>150.86029428890259</v>
      </c>
      <c r="S877" s="70">
        <f>IF(tech_base!$T253&gt;S$625,"",(1000*tech_proj!S1217*(-PMT($J$110,tech_base!$F253,1))+1000*tech_proj!S1497)/((1-tech_proj!S657)*tech_proj!S937*$L$110))</f>
        <v>150.6829383771456</v>
      </c>
      <c r="T877" s="70">
        <f>IF(tech_base!$T253&gt;T$625,"",(1000*tech_proj!T1217*(-PMT($J$110,tech_base!$F253,1))+1000*tech_proj!T1497)/((1-tech_proj!T657)*tech_proj!T937*$L$110))</f>
        <v>150.46752218513754</v>
      </c>
      <c r="U877" s="70">
        <f>IF(tech_base!$T253&gt;U$625,"",(1000*tech_proj!U1217*(-PMT($J$110,tech_base!$F253,1))+1000*tech_proj!U1497)/((1-tech_proj!U657)*tech_proj!U937*$L$110))</f>
        <v>150.20619687020678</v>
      </c>
      <c r="V877" s="70">
        <f>IF(tech_base!$T253&gt;V$625,"",(1000*tech_proj!V1217*(-PMT($J$110,tech_base!$F253,1))+1000*tech_proj!V1497)/((1-tech_proj!V657)*tech_proj!V937*$L$110))</f>
        <v>149.88964744338747</v>
      </c>
      <c r="W877" s="70">
        <f>IF(tech_base!$T253&gt;W$625,"",(1000*tech_proj!W1217*(-PMT($J$110,tech_base!$F253,1))+1000*tech_proj!W1497)/((1-tech_proj!W657)*tech_proj!W937*$L$110))</f>
        <v>149.50689183725927</v>
      </c>
      <c r="X877" s="70">
        <f>IF(tech_base!$T253&gt;X$625,"",(1000*tech_proj!X1217*(-PMT($J$110,tech_base!$F253,1))+1000*tech_proj!X1497)/((1-tech_proj!X657)*tech_proj!X937*$L$110))</f>
        <v>149.04508867035526</v>
      </c>
      <c r="Y877" s="70">
        <f>IF(tech_base!$T253&gt;Y$625,"",(1000*tech_proj!Y1217*(-PMT($J$110,tech_base!$F253,1))+1000*tech_proj!Y1497)/((1-tech_proj!Y657)*tech_proj!Y937*$L$110))</f>
        <v>148.48937608351653</v>
      </c>
      <c r="Z877" s="70">
        <f>IF(tech_base!$T253&gt;Z$625,"",(1000*tech_proj!Z1217*(-PMT($J$110,tech_base!$F253,1))+1000*tech_proj!Z1497)/((1-tech_proj!Z657)*tech_proj!Z937*$L$110))</f>
        <v>147.82277499064338</v>
      </c>
      <c r="AA877" s="70">
        <f>IF(tech_base!$T253&gt;AA$625,"",(1000*tech_proj!AA1217*(-PMT($J$110,tech_base!$F253,1))+1000*tech_proj!AA1497)/((1-tech_proj!AA657)*tech_proj!AA937*$L$110))</f>
        <v>147.02620381264487</v>
      </c>
      <c r="AB877" s="70">
        <f>IF(tech_base!$T253&gt;AB$625,"",(1000*tech_proj!AB1217*(-PMT($J$110,tech_base!$F253,1))+1000*tech_proj!AB1497)/((1-tech_proj!AB657)*tech_proj!AB937*$L$110))</f>
        <v>146.07866757736525</v>
      </c>
      <c r="AC877" s="70">
        <f>IF(tech_base!$T253&gt;AC$625,"",(1000*tech_proj!AC1217*(-PMT($J$110,tech_base!$F253,1))+1000*tech_proj!AC1497)/((1-tech_proj!AC657)*tech_proj!AC937*$L$110))</f>
        <v>144.95770019769373</v>
      </c>
      <c r="AD877" s="70">
        <f>IF(tech_base!$T253&gt;AD$625,"",(1000*tech_proj!AD1217*(-PMT($J$110,tech_base!$F253,1))+1000*tech_proj!AD1497)/((1-tech_proj!AD657)*tech_proj!AD937*$L$110))</f>
        <v>143.64015076608112</v>
      </c>
      <c r="AE877" s="70">
        <f>IF(tech_base!$T253&gt;AE$625,"",(1000*tech_proj!AE1217*(-PMT($J$110,tech_base!$F253,1))+1000*tech_proj!AE1497)/((1-tech_proj!AE657)*tech_proj!AE937*$L$110))</f>
        <v>142.10340602508833</v>
      </c>
      <c r="AF877" s="70">
        <f>IF(tech_base!$T253&gt;AF$625,"",(1000*tech_proj!AF1217*(-PMT($J$110,tech_base!$F253,1))+1000*tech_proj!AF1497)/((1-tech_proj!AF657)*tech_proj!AF937*$L$110))</f>
        <v>140.32712192299908</v>
      </c>
      <c r="AG877" s="70">
        <f>IF(tech_base!$T253&gt;AG$625,"",(1000*tech_proj!AG1217*(-PMT($J$110,tech_base!$F253,1))+1000*tech_proj!AG1497)/((1-tech_proj!AG657)*tech_proj!AG937*$L$110))</f>
        <v>138.2954853805856</v>
      </c>
      <c r="AH877" s="70">
        <f>IF(tech_base!$T253&gt;AH$625,"",(1000*tech_proj!AH1217*(-PMT($J$110,tech_base!$F253,1))+1000*tech_proj!AH1497)/((1-tech_proj!AH657)*tech_proj!AH937*$L$110))</f>
        <v>135.99993235626394</v>
      </c>
      <c r="AI877" s="70">
        <f>IF(tech_base!$T253&gt;AI$625,"",(1000*tech_proj!AI1217*(-PMT($J$110,tech_base!$F253,1))+1000*tech_proj!AI1497)/((1-tech_proj!AI657)*tech_proj!AI937*$L$110))</f>
        <v>133.44210710693119</v>
      </c>
      <c r="AJ877" s="70">
        <f>IF(tech_base!$T253&gt;AJ$625,"",(1000*tech_proj!AJ1217*(-PMT($J$110,tech_base!$F253,1))+1000*tech_proj!AJ1497)/((1-tech_proj!AJ657)*tech_proj!AJ937*$L$110))</f>
        <v>130.63667455463855</v>
      </c>
      <c r="AK877" s="70">
        <f>IF(tech_base!$T253&gt;AK$625,"",(1000*tech_proj!AK1217*(-PMT($J$110,tech_base!$F253,1))+1000*tech_proj!AK1497)/((1-tech_proj!AK657)*tech_proj!AK937*$L$110))</f>
        <v>127.61343334549272</v>
      </c>
      <c r="AL877" s="70">
        <f>IF(tech_base!$T253&gt;AL$625,"",(1000*tech_proj!AL1217*(-PMT($J$110,tech_base!$F253,1))+1000*tech_proj!AL1497)/((1-tech_proj!AL657)*tech_proj!AL937*$L$110))</f>
        <v>124.41808911235776</v>
      </c>
      <c r="AM877" s="70">
        <f>IF(tech_base!$T253&gt;AM$625,"",(1000*tech_proj!AM1217*(-PMT($J$110,tech_base!$F253,1))+1000*tech_proj!AM1497)/((1-tech_proj!AM657)*tech_proj!AM937*$L$110))</f>
        <v>121.11111445947436</v>
      </c>
      <c r="AN877" s="70">
        <f>IF(tech_base!$T253&gt;AN$625,"",(1000*tech_proj!AN1217*(-PMT($J$110,tech_base!$F253,1))+1000*tech_proj!AN1497)/((1-tech_proj!AN657)*tech_proj!AN937*$L$110))</f>
        <v>117.7643977683545</v>
      </c>
      <c r="AO877" s="70">
        <f>IF(tech_base!$T253&gt;AO$625,"",(1000*tech_proj!AO1217*(-PMT($J$110,tech_base!$F253,1))+1000*tech_proj!AO1497)/((1-tech_proj!AO657)*tech_proj!AO937*$L$110))</f>
        <v>114.45584901748934</v>
      </c>
      <c r="AP877" s="70">
        <f>IF(tech_base!$T253&gt;AP$625,"",(1000*tech_proj!AP1217*(-PMT($J$110,tech_base!$F253,1))+1000*tech_proj!AP1497)/((1-tech_proj!AP657)*tech_proj!AP937*$L$110))</f>
        <v>111.2626709146476</v>
      </c>
      <c r="AQ877" s="70">
        <f>IF(tech_base!$T253&gt;AQ$625,"",(1000*tech_proj!AQ1217*(-PMT($J$110,tech_base!$F253,1))+1000*tech_proj!AQ1497)/((1-tech_proj!AQ657)*tech_proj!AQ937*$L$110))</f>
        <v>108.25442756926419</v>
      </c>
      <c r="AR877" s="70">
        <f>IF(tech_base!$T253&gt;AR$625,"",(1000*tech_proj!AR1217*(-PMT($J$110,tech_base!$F253,1))+1000*tech_proj!AR1497)/((1-tech_proj!AR657)*tech_proj!AR937*$L$110))</f>
        <v>105.48716905644727</v>
      </c>
      <c r="AS877" s="70">
        <f>IF(tech_base!$T253&gt;AS$625,"",(1000*tech_proj!AS1217*(-PMT($J$110,tech_base!$F253,1))+1000*tech_proj!AS1497)/((1-tech_proj!AS657)*tech_proj!AS937*$L$110))</f>
        <v>102.99962503224154</v>
      </c>
      <c r="AT877" s="70">
        <f>IF(tech_base!$T253&gt;AT$625,"",(1000*tech_proj!AT1217*(-PMT($J$110,tech_base!$F253,1))+1000*tech_proj!AT1497)/((1-tech_proj!AT657)*tech_proj!AT937*$L$110))</f>
        <v>100.8119486494693</v>
      </c>
      <c r="AU877" s="70">
        <f>IF(tech_base!$T253&gt;AU$625,"",(1000*tech_proj!AU1217*(-PMT($J$110,tech_base!$F253,1))+1000*tech_proj!AU1497)/((1-tech_proj!AU657)*tech_proj!AU937*$L$110))</f>
        <v>98.926876130022151</v>
      </c>
      <c r="AV877" s="70">
        <f>IF(tech_base!$T253&gt;AV$625,"",(1000*tech_proj!AV1217*(-PMT($J$110,tech_base!$F253,1))+1000*tech_proj!AV1497)/((1-tech_proj!AV657)*tech_proj!AV937*$L$110))</f>
        <v>97.332682801372556</v>
      </c>
      <c r="AW877" s="70">
        <f>IF(tech_base!$T253&gt;AW$625,"",(1000*tech_proj!AW1217*(-PMT($J$110,tech_base!$F253,1))+1000*tech_proj!AW1497)/((1-tech_proj!AW657)*tech_proj!AW937*$L$110))</f>
        <v>96.007090799427928</v>
      </c>
      <c r="AX877" s="236">
        <f>IF(tech_base!$T253&gt;AX$625,"",(1000*tech_proj!AX1217*(-PMT($J$110,tech_base!$F253,1))+1000*tech_proj!AX1497)/((1-tech_proj!AX657)*tech_proj!AX937*$L$110))</f>
        <v>94.921320370063498</v>
      </c>
    </row>
    <row r="878" spans="1:50" x14ac:dyDescent="0.25">
      <c r="A878" s="382"/>
      <c r="B878" s="376"/>
      <c r="C878" s="378"/>
      <c r="D878" s="2" t="s">
        <v>8</v>
      </c>
      <c r="E878" s="160" t="str">
        <f>A877&amp;"/"&amp;B877&amp;"/"&amp;C877&amp;"/"&amp;D878</f>
        <v>Solar thermal power plants/Solar thermal power plants/Electricity only/M</v>
      </c>
      <c r="F878" s="76" t="str">
        <f>A877</f>
        <v>Solar thermal power plants</v>
      </c>
      <c r="G878" s="76" t="str">
        <f>B877</f>
        <v>Solar thermal power plants</v>
      </c>
      <c r="H878" s="76" t="str">
        <f>C877</f>
        <v>Electricity only</v>
      </c>
      <c r="I878" s="161" t="str">
        <f t="shared" si="365"/>
        <v>M</v>
      </c>
      <c r="J878" s="69">
        <f>IF(tech_base!$T254&gt;J$625,"",(1000*tech_proj!J1218*(-PMT($J$110,tech_base!$F254,1))+1000*tech_proj!J1498)/((1-tech_proj!J658)*tech_proj!J938*$L$110))</f>
        <v>161.92321899017989</v>
      </c>
      <c r="K878" s="69">
        <f>IF(tech_base!$T254&gt;K$625,"",(1000*tech_proj!K1218*(-PMT($J$110,tech_base!$F254,1))+1000*tech_proj!K1498)/((1-tech_proj!K658)*tech_proj!K938*$L$110))</f>
        <v>161.89612899561453</v>
      </c>
      <c r="L878" s="69">
        <f>IF(tech_base!$T254&gt;L$625,"",(1000*tech_proj!L1218*(-PMT($J$110,tech_base!$F254,1))+1000*tech_proj!L1498)/((1-tech_proj!L658)*tech_proj!L938*$L$110))</f>
        <v>161.86307193000553</v>
      </c>
      <c r="M878" s="69">
        <f>IF(tech_base!$T254&gt;M$625,"",(1000*tech_proj!M1218*(-PMT($J$110,tech_base!$F254,1))+1000*tech_proj!M1498)/((1-tech_proj!M658)*tech_proj!M938*$L$110))</f>
        <v>161.8227417126495</v>
      </c>
      <c r="N878" s="69">
        <f>IF(tech_base!$T254&gt;N$625,"",(1000*tech_proj!N1218*(-PMT($J$110,tech_base!$F254,1))+1000*tech_proj!N1498)/((1-tech_proj!N658)*tech_proj!N938*$L$110))</f>
        <v>161.77355043719126</v>
      </c>
      <c r="O878" s="69">
        <f>IF(tech_base!$T254&gt;O$625,"",(1000*tech_proj!O1218*(-PMT($J$110,tech_base!$F254,1))+1000*tech_proj!O1498)/((1-tech_proj!O658)*tech_proj!O938*$L$110))</f>
        <v>161.71356954147384</v>
      </c>
      <c r="P878" s="69">
        <f>IF(tech_base!$T254&gt;P$625,"",(1000*tech_proj!P1218*(-PMT($J$110,tech_base!$F254,1))+1000*tech_proj!P1498)/((1-tech_proj!P658)*tech_proj!P938*$L$110))</f>
        <v>161.64045966968246</v>
      </c>
      <c r="Q878" s="69">
        <f>IF(tech_base!$T254&gt;Q$625,"",(1000*tech_proj!Q1218*(-PMT($J$110,tech_base!$F254,1))+1000*tech_proj!Q1498)/((1-tech_proj!Q658)*tech_proj!Q938*$L$110))</f>
        <v>161.55138753813199</v>
      </c>
      <c r="R878" s="69">
        <f>IF(tech_base!$T254&gt;R$625,"",(1000*tech_proj!R1218*(-PMT($J$110,tech_base!$F254,1))+1000*tech_proj!R1498)/((1-tech_proj!R658)*tech_proj!R938*$L$110))</f>
        <v>161.4429281190595</v>
      </c>
      <c r="S878" s="69">
        <f>IF(tech_base!$T254&gt;S$625,"",(1000*tech_proj!S1218*(-PMT($J$110,tech_base!$F254,1))+1000*tech_proj!S1498)/((1-tech_proj!S658)*tech_proj!S938*$L$110))</f>
        <v>161.31095062686003</v>
      </c>
      <c r="T878" s="69">
        <f>IF(tech_base!$T254&gt;T$625,"",(1000*tech_proj!T1218*(-PMT($J$110,tech_base!$F254,1))+1000*tech_proj!T1498)/((1-tech_proj!T658)*tech_proj!T938*$L$110))</f>
        <v>161.15048723240105</v>
      </c>
      <c r="U878" s="69">
        <f>IF(tech_base!$T254&gt;U$625,"",(1000*tech_proj!U1218*(-PMT($J$110,tech_base!$F254,1))+1000*tech_proj!U1498)/((1-tech_proj!U658)*tech_proj!U938*$L$110))</f>
        <v>160.95558429227512</v>
      </c>
      <c r="V878" s="69">
        <f>IF(tech_base!$T254&gt;V$625,"",(1000*tech_proj!V1218*(-PMT($J$110,tech_base!$F254,1))+1000*tech_proj!V1498)/((1-tech_proj!V658)*tech_proj!V938*$L$110))</f>
        <v>160.71913736743514</v>
      </c>
      <c r="W878" s="69">
        <f>IF(tech_base!$T254&gt;W$625,"",(1000*tech_proj!W1218*(-PMT($J$110,tech_base!$F254,1))+1000*tech_proj!W1498)/((1-tech_proj!W658)*tech_proj!W938*$L$110))</f>
        <v>160.43271369466319</v>
      </c>
      <c r="X878" s="69">
        <f>IF(tech_base!$T254&gt;X$625,"",(1000*tech_proj!X1218*(-PMT($J$110,tech_base!$F254,1))+1000*tech_proj!X1498)/((1-tech_proj!X658)*tech_proj!X938*$L$110))</f>
        <v>160.08636941317693</v>
      </c>
      <c r="Y878" s="69">
        <f>IF(tech_base!$T254&gt;Y$625,"",(1000*tech_proj!Y1218*(-PMT($J$110,tech_base!$F254,1))+1000*tech_proj!Y1498)/((1-tech_proj!Y658)*tech_proj!Y938*$L$110))</f>
        <v>159.66847414704682</v>
      </c>
      <c r="Z878" s="69">
        <f>IF(tech_base!$T254&gt;Z$625,"",(1000*tech_proj!Z1218*(-PMT($J$110,tech_base!$F254,1))+1000*tech_proj!Z1498)/((1-tech_proj!Z658)*tech_proj!Z938*$L$110))</f>
        <v>159.16556292651066</v>
      </c>
      <c r="AA878" s="69">
        <f>IF(tech_base!$T254&gt;AA$625,"",(1000*tech_proj!AA1218*(-PMT($J$110,tech_base!$F254,1))+1000*tech_proj!AA1498)/((1-tech_proj!AA658)*tech_proj!AA938*$L$110))</f>
        <v>158.56224522947966</v>
      </c>
      <c r="AB878" s="69">
        <f>IF(tech_base!$T254&gt;AB$625,"",(1000*tech_proj!AB1218*(-PMT($J$110,tech_base!$F254,1))+1000*tech_proj!AB1498)/((1-tech_proj!AB658)*tech_proj!AB938*$L$110))</f>
        <v>157.84121317122546</v>
      </c>
      <c r="AC878" s="69">
        <f>IF(tech_base!$T254&gt;AC$625,"",(1000*tech_proj!AC1218*(-PMT($J$110,tech_base!$F254,1))+1000*tech_proj!AC1498)/((1-tech_proj!AC658)*tech_proj!AC938*$L$110))</f>
        <v>156.98340495222899</v>
      </c>
      <c r="AD878" s="69">
        <f>IF(tech_base!$T254&gt;AD$625,"",(1000*tech_proj!AD1218*(-PMT($J$110,tech_base!$F254,1))+1000*tech_proj!AD1498)/((1-tech_proj!AD658)*tech_proj!AD938*$L$110))</f>
        <v>155.96839381704169</v>
      </c>
      <c r="AE878" s="69">
        <f>IF(tech_base!$T254&gt;AE$625,"",(1000*tech_proj!AE1218*(-PMT($J$110,tech_base!$F254,1))+1000*tech_proj!AE1498)/((1-tech_proj!AE658)*tech_proj!AE938*$L$110))</f>
        <v>154.77508339027594</v>
      </c>
      <c r="AF878" s="69">
        <f>IF(tech_base!$T254&gt;AF$625,"",(1000*tech_proj!AF1218*(-PMT($J$110,tech_base!$F254,1))+1000*tech_proj!AF1498)/((1-tech_proj!AF658)*tech_proj!AF938*$L$110))</f>
        <v>153.38279130009496</v>
      </c>
      <c r="AG878" s="69">
        <f>IF(tech_base!$T254&gt;AG$625,"",(1000*tech_proj!AG1218*(-PMT($J$110,tech_base!$F254,1))+1000*tech_proj!AG1498)/((1-tech_proj!AG658)*tech_proj!AG938*$L$110))</f>
        <v>151.77278577252829</v>
      </c>
      <c r="AH878" s="69">
        <f>IF(tech_base!$T254&gt;AH$625,"",(1000*tech_proj!AH1218*(-PMT($J$110,tech_base!$F254,1))+1000*tech_proj!AH1498)/((1-tech_proj!AH658)*tech_proj!AH938*$L$110))</f>
        <v>149.93029393217921</v>
      </c>
      <c r="AI878" s="69">
        <f>IF(tech_base!$T254&gt;AI$625,"",(1000*tech_proj!AI1218*(-PMT($J$110,tech_base!$F254,1))+1000*tech_proj!AI1498)/((1-tech_proj!AI658)*tech_proj!AI938*$L$110))</f>
        <v>147.84691667432418</v>
      </c>
      <c r="AJ878" s="69">
        <f>IF(tech_base!$T254&gt;AJ$625,"",(1000*tech_proj!AJ1218*(-PMT($J$110,tech_base!$F254,1))+1000*tech_proj!AJ1498)/((1-tech_proj!AJ658)*tech_proj!AJ938*$L$110))</f>
        <v>145.52326103497222</v>
      </c>
      <c r="AK878" s="69">
        <f>IF(tech_base!$T254&gt;AK$625,"",(1000*tech_proj!AK1218*(-PMT($J$110,tech_base!$F254,1))+1000*tech_proj!AK1498)/((1-tech_proj!AK658)*tech_proj!AK938*$L$110))</f>
        <v>142.97145003257131</v>
      </c>
      <c r="AL878" s="69">
        <f>IF(tech_base!$T254&gt;AL$625,"",(1000*tech_proj!AL1218*(-PMT($J$110,tech_base!$F254,1))+1000*tech_proj!AL1498)/((1-tech_proj!AL658)*tech_proj!AL938*$L$110))</f>
        <v>140.21702763694111</v>
      </c>
      <c r="AM878" s="69">
        <f>IF(tech_base!$T254&gt;AM$625,"",(1000*tech_proj!AM1218*(-PMT($J$110,tech_base!$F254,1))+1000*tech_proj!AM1498)/((1-tech_proj!AM658)*tech_proj!AM938*$L$110))</f>
        <v>137.29970140363315</v>
      </c>
      <c r="AN878" s="69">
        <f>IF(tech_base!$T254&gt;AN$625,"",(1000*tech_proj!AN1218*(-PMT($J$110,tech_base!$F254,1))+1000*tech_proj!AN1498)/((1-tech_proj!AN658)*tech_proj!AN938*$L$110))</f>
        <v>134.27242456207173</v>
      </c>
      <c r="AO878" s="69">
        <f>IF(tech_base!$T254&gt;AO$625,"",(1000*tech_proj!AO1218*(-PMT($J$110,tech_base!$F254,1))+1000*tech_proj!AO1498)/((1-tech_proj!AO658)*tech_proj!AO938*$L$110))</f>
        <v>131.19855713489196</v>
      </c>
      <c r="AP878" s="69">
        <f>IF(tech_base!$T254&gt;AP$625,"",(1000*tech_proj!AP1218*(-PMT($J$110,tech_base!$F254,1))+1000*tech_proj!AP1498)/((1-tech_proj!AP658)*tech_proj!AP938*$L$110))</f>
        <v>128.1472444919163</v>
      </c>
      <c r="AQ878" s="69">
        <f>IF(tech_base!$T254&gt;AQ$625,"",(1000*tech_proj!AQ1218*(-PMT($J$110,tech_base!$F254,1))+1000*tech_proj!AQ1498)/((1-tech_proj!AQ658)*tech_proj!AQ938*$L$110))</f>
        <v>125.18761140480061</v>
      </c>
      <c r="AR878" s="69">
        <f>IF(tech_base!$T254&gt;AR$625,"",(1000*tech_proj!AR1218*(-PMT($J$110,tech_base!$F254,1))+1000*tech_proj!AR1498)/((1-tech_proj!AR658)*tech_proj!AR938*$L$110))</f>
        <v>122.382730033339</v>
      </c>
      <c r="AS878" s="69">
        <f>IF(tech_base!$T254&gt;AS$625,"",(1000*tech_proj!AS1218*(-PMT($J$110,tech_base!$F254,1))+1000*tech_proj!AS1498)/((1-tech_proj!AS658)*tech_proj!AS938*$L$110))</f>
        <v>119.7844307638637</v>
      </c>
      <c r="AT878" s="69">
        <f>IF(tech_base!$T254&gt;AT$625,"",(1000*tech_proj!AT1218*(-PMT($J$110,tech_base!$F254,1))+1000*tech_proj!AT1498)/((1-tech_proj!AT658)*tech_proj!AT938*$L$110))</f>
        <v>117.42982584681596</v>
      </c>
      <c r="AU878" s="69">
        <f>IF(tech_base!$T254&gt;AU$625,"",(1000*tech_proj!AU1218*(-PMT($J$110,tech_base!$F254,1))+1000*tech_proj!AU1498)/((1-tech_proj!AU658)*tech_proj!AU938*$L$110))</f>
        <v>115.33997768423852</v>
      </c>
      <c r="AV878" s="69">
        <f>IF(tech_base!$T254&gt;AV$625,"",(1000*tech_proj!AV1218*(-PMT($J$110,tech_base!$F254,1))+1000*tech_proj!AV1498)/((1-tech_proj!AV658)*tech_proj!AV938*$L$110))</f>
        <v>113.52063238067242</v>
      </c>
      <c r="AW878" s="69">
        <f>IF(tech_base!$T254&gt;AW$625,"",(1000*tech_proj!AW1218*(-PMT($J$110,tech_base!$F254,1))+1000*tech_proj!AW1498)/((1-tech_proj!AW658)*tech_proj!AW938*$L$110))</f>
        <v>111.96453062448535</v>
      </c>
      <c r="AX878" s="235">
        <f>IF(tech_base!$T254&gt;AX$625,"",(1000*tech_proj!AX1218*(-PMT($J$110,tech_base!$F254,1))+1000*tech_proj!AX1498)/((1-tech_proj!AX658)*tech_proj!AX938*$L$110))</f>
        <v>110.6546075549381</v>
      </c>
    </row>
    <row r="879" spans="1:50" x14ac:dyDescent="0.25">
      <c r="A879" s="382"/>
      <c r="B879" s="376"/>
      <c r="C879" s="378"/>
      <c r="D879" s="2" t="s">
        <v>10</v>
      </c>
      <c r="E879" s="160" t="str">
        <f>A877&amp;"/"&amp;B877&amp;"/"&amp;C877&amp;"/"&amp;D879</f>
        <v>Solar thermal power plants/Solar thermal power plants/Electricity only/S</v>
      </c>
      <c r="F879" s="76" t="str">
        <f>A877</f>
        <v>Solar thermal power plants</v>
      </c>
      <c r="G879" s="76" t="str">
        <f>B877</f>
        <v>Solar thermal power plants</v>
      </c>
      <c r="H879" s="76" t="str">
        <f>C877</f>
        <v>Electricity only</v>
      </c>
      <c r="I879" s="161" t="str">
        <f t="shared" si="365"/>
        <v>S</v>
      </c>
      <c r="J879" s="69">
        <f>IF(tech_base!$T255&gt;J$625,"",(1000*tech_proj!J1219*(-PMT($J$110,tech_base!$F255,1))+1000*tech_proj!J1499)/((1-tech_proj!J659)*tech_proj!J939*$L$110))</f>
        <v>184.29199357232847</v>
      </c>
      <c r="K879" s="69">
        <f>IF(tech_base!$T255&gt;K$625,"",(1000*tech_proj!K1219*(-PMT($J$110,tech_base!$F255,1))+1000*tech_proj!K1499)/((1-tech_proj!K659)*tech_proj!K939*$L$110))</f>
        <v>184.26986557517336</v>
      </c>
      <c r="L879" s="69">
        <f>IF(tech_base!$T255&gt;L$625,"",(1000*tech_proj!L1219*(-PMT($J$110,tech_base!$F255,1))+1000*tech_proj!L1499)/((1-tech_proj!L659)*tech_proj!L939*$L$110))</f>
        <v>184.24285803173044</v>
      </c>
      <c r="M879" s="69">
        <f>IF(tech_base!$T255&gt;M$625,"",(1000*tech_proj!M1219*(-PMT($J$110,tech_base!$F255,1))+1000*tech_proj!M1499)/((1-tech_proj!M659)*tech_proj!M939*$L$110))</f>
        <v>184.20990022867551</v>
      </c>
      <c r="N879" s="69">
        <f>IF(tech_base!$T255&gt;N$625,"",(1000*tech_proj!N1219*(-PMT($J$110,tech_base!$F255,1))+1000*tech_proj!N1499)/((1-tech_proj!N659)*tech_proj!N939*$L$110))</f>
        <v>184.1696891028067</v>
      </c>
      <c r="O879" s="69">
        <f>IF(tech_base!$T255&gt;O$625,"",(1000*tech_proj!O1219*(-PMT($J$110,tech_base!$F255,1))+1000*tech_proj!O1499)/((1-tech_proj!O659)*tech_proj!O939*$L$110))</f>
        <v>184.1206400911791</v>
      </c>
      <c r="P879" s="69">
        <f>IF(tech_base!$T255&gt;P$625,"",(1000*tech_proj!P1219*(-PMT($J$110,tech_base!$F255,1))+1000*tech_proj!P1499)/((1-tech_proj!P659)*tech_proj!P939*$L$110))</f>
        <v>184.06082820837443</v>
      </c>
      <c r="Q879" s="69">
        <f>IF(tech_base!$T255&gt;Q$625,"",(1000*tech_proj!Q1219*(-PMT($J$110,tech_base!$F255,1))+1000*tech_proj!Q1499)/((1-tech_proj!Q659)*tech_proj!Q939*$L$110))</f>
        <v>183.98791771742691</v>
      </c>
      <c r="R879" s="69">
        <f>IF(tech_base!$T255&gt;R$625,"",(1000*tech_proj!R1219*(-PMT($J$110,tech_base!$F255,1))+1000*tech_proj!R1499)/((1-tech_proj!R659)*tech_proj!R939*$L$110))</f>
        <v>183.89907864780105</v>
      </c>
      <c r="S879" s="69">
        <f>IF(tech_base!$T255&gt;S$625,"",(1000*tech_proj!S1219*(-PMT($J$110,tech_base!$F255,1))+1000*tech_proj!S1499)/((1-tech_proj!S659)*tech_proj!S939*$L$110))</f>
        <v>183.79088838808542</v>
      </c>
      <c r="T879" s="69">
        <f>IF(tech_base!$T255&gt;T$625,"",(1000*tech_proj!T1219*(-PMT($J$110,tech_base!$F255,1))+1000*tech_proj!T1499)/((1-tech_proj!T659)*tech_proj!T939*$L$110))</f>
        <v>183.65921670965176</v>
      </c>
      <c r="U879" s="69">
        <f>IF(tech_base!$T255&gt;U$625,"",(1000*tech_proj!U1219*(-PMT($J$110,tech_base!$F255,1))+1000*tech_proj!U1499)/((1-tech_proj!U659)*tech_proj!U939*$L$110))</f>
        <v>183.49909295963627</v>
      </c>
      <c r="V879" s="69">
        <f>IF(tech_base!$T255&gt;V$625,"",(1000*tech_proj!V1219*(-PMT($J$110,tech_base!$F255,1))+1000*tech_proj!V1499)/((1-tech_proj!V659)*tech_proj!V939*$L$110))</f>
        <v>183.30455494001686</v>
      </c>
      <c r="W879" s="69">
        <f>IF(tech_base!$T255&gt;W$625,"",(1000*tech_proj!W1219*(-PMT($J$110,tech_base!$F255,1))+1000*tech_proj!W1499)/((1-tech_proj!W659)*tech_proj!W939*$L$110))</f>
        <v>183.06848036342129</v>
      </c>
      <c r="X879" s="69">
        <f>IF(tech_base!$T255&gt;X$625,"",(1000*tech_proj!X1219*(-PMT($J$110,tech_base!$F255,1))+1000*tech_proj!X1499)/((1-tech_proj!X659)*tech_proj!X939*$L$110))</f>
        <v>182.78240401316583</v>
      </c>
      <c r="Y879" s="69">
        <f>IF(tech_base!$T255&gt;Y$625,"",(1000*tech_proj!Y1219*(-PMT($J$110,tech_base!$F255,1))+1000*tech_proj!Y1499)/((1-tech_proj!Y659)*tech_proj!Y939*$L$110))</f>
        <v>182.43632717746198</v>
      </c>
      <c r="Z879" s="69">
        <f>IF(tech_base!$T255&gt;Z$625,"",(1000*tech_proj!Z1219*(-PMT($J$110,tech_base!$F255,1))+1000*tech_proj!Z1499)/((1-tech_proj!Z659)*tech_proj!Z939*$L$110))</f>
        <v>182.01853098513155</v>
      </c>
      <c r="AA879" s="69">
        <f>IF(tech_base!$T255&gt;AA$625,"",(1000*tech_proj!AA1219*(-PMT($J$110,tech_base!$F255,1))+1000*tech_proj!AA1499)/((1-tech_proj!AA659)*tech_proj!AA939*$L$110))</f>
        <v>181.51541237964327</v>
      </c>
      <c r="AB879" s="69">
        <f>IF(tech_base!$T255&gt;AB$625,"",(1000*tech_proj!AB1219*(-PMT($J$110,tech_base!$F255,1))+1000*tech_proj!AB1499)/((1-tech_proj!AB659)*tech_proj!AB939*$L$110))</f>
        <v>180.91137099899802</v>
      </c>
      <c r="AC879" s="69">
        <f>IF(tech_base!$T255&gt;AC$625,"",(1000*tech_proj!AC1219*(-PMT($J$110,tech_base!$F255,1))+1000*tech_proj!AC1499)/((1-tech_proj!AC659)*tech_proj!AC939*$L$110))</f>
        <v>180.18878729410935</v>
      </c>
      <c r="AD879" s="69">
        <f>IF(tech_base!$T255&gt;AD$625,"",(1000*tech_proj!AD1219*(-PMT($J$110,tech_base!$F255,1))+1000*tech_proj!AD1499)/((1-tech_proj!AD659)*tech_proj!AD939*$L$110))</f>
        <v>179.32814635220527</v>
      </c>
      <c r="AE879" s="69">
        <f>IF(tech_base!$T255&gt;AE$625,"",(1000*tech_proj!AE1219*(-PMT($J$110,tech_base!$F255,1))+1000*tech_proj!AE1499)/((1-tech_proj!AE659)*tech_proj!AE939*$L$110))</f>
        <v>178.30837656022806</v>
      </c>
      <c r="AF879" s="69">
        <f>IF(tech_base!$T255&gt;AF$625,"",(1000*tech_proj!AF1219*(-PMT($J$110,tech_base!$F255,1))+1000*tech_proj!AF1499)/((1-tech_proj!AF659)*tech_proj!AF939*$L$110))</f>
        <v>177.10748420252563</v>
      </c>
      <c r="AG879" s="69">
        <f>IF(tech_base!$T255&gt;AG$625,"",(1000*tech_proj!AG1219*(-PMT($J$110,tech_base!$F255,1))+1000*tech_proj!AG1499)/((1-tech_proj!AG659)*tech_proj!AG939*$L$110))</f>
        <v>175.70356872590816</v>
      </c>
      <c r="AH879" s="69">
        <f>IF(tech_base!$T255&gt;AH$625,"",(1000*tech_proj!AH1219*(-PMT($J$110,tech_base!$F255,1))+1000*tech_proj!AH1499)/((1-tech_proj!AH659)*tech_proj!AH939*$L$110))</f>
        <v>174.07629042025684</v>
      </c>
      <c r="AI879" s="69">
        <f>IF(tech_base!$T255&gt;AI$625,"",(1000*tech_proj!AI1219*(-PMT($J$110,tech_base!$F255,1))+1000*tech_proj!AI1499)/((1-tech_proj!AI659)*tech_proj!AI939*$L$110))</f>
        <v>172.20882232553888</v>
      </c>
      <c r="AJ879" s="69">
        <f>IF(tech_base!$T255&gt;AJ$625,"",(1000*tech_proj!AJ1219*(-PMT($J$110,tech_base!$F255,1))+1000*tech_proj!AJ1499)/((1-tech_proj!AJ659)*tech_proj!AJ939*$L$110))</f>
        <v>170.09024150690587</v>
      </c>
      <c r="AK879" s="69">
        <f>IF(tech_base!$T255&gt;AK$625,"",(1000*tech_proj!AK1219*(-PMT($J$110,tech_base!$F255,1))+1000*tech_proj!AK1499)/((1-tech_proj!AK659)*tech_proj!AK939*$L$110))</f>
        <v>167.71819750000589</v>
      </c>
      <c r="AL879" s="69">
        <f>IF(tech_base!$T255&gt;AL$625,"",(1000*tech_proj!AL1219*(-PMT($J$110,tech_base!$F255,1))+1000*tech_proj!AL1499)/((1-tech_proj!AL659)*tech_proj!AL939*$L$110))</f>
        <v>165.10154741874803</v>
      </c>
      <c r="AM879" s="69">
        <f>IF(tech_base!$T255&gt;AM$625,"",(1000*tech_proj!AM1219*(-PMT($J$110,tech_base!$F255,1))+1000*tech_proj!AM1499)/((1-tech_proj!AM659)*tech_proj!AM939*$L$110))</f>
        <v>162.26249902642559</v>
      </c>
      <c r="AN879" s="69">
        <f>IF(tech_base!$T255&gt;AN$625,"",(1000*tech_proj!AN1219*(-PMT($J$110,tech_base!$F255,1))+1000*tech_proj!AN1499)/((1-tech_proj!AN659)*tech_proj!AN939*$L$110))</f>
        <v>159.23770943773857</v>
      </c>
      <c r="AO879" s="69">
        <f>IF(tech_base!$T255&gt;AO$625,"",(1000*tech_proj!AO1219*(-PMT($J$110,tech_base!$F255,1))+1000*tech_proj!AO1499)/((1-tech_proj!AO659)*tech_proj!AO939*$L$110))</f>
        <v>156.07781455002223</v>
      </c>
      <c r="AP879" s="69">
        <f>IF(tech_base!$T255&gt;AP$625,"",(1000*tech_proj!AP1219*(-PMT($J$110,tech_base!$F255,1))+1000*tech_proj!AP1499)/((1-tech_proj!AP659)*tech_proj!AP939*$L$110))</f>
        <v>152.84506305117691</v>
      </c>
      <c r="AQ879" s="69">
        <f>IF(tech_base!$T255&gt;AQ$625,"",(1000*tech_proj!AQ1219*(-PMT($J$110,tech_base!$F255,1))+1000*tech_proj!AQ1499)/((1-tech_proj!AQ659)*tech_proj!AQ939*$L$110))</f>
        <v>149.60909516761225</v>
      </c>
      <c r="AR879" s="69">
        <f>IF(tech_base!$T255&gt;AR$625,"",(1000*tech_proj!AR1219*(-PMT($J$110,tech_base!$F255,1))+1000*tech_proj!AR1499)/((1-tech_proj!AR659)*tech_proj!AR939*$L$110))</f>
        <v>146.44135730448551</v>
      </c>
      <c r="AS879" s="69">
        <f>IF(tech_base!$T255&gt;AS$625,"",(1000*tech_proj!AS1219*(-PMT($J$110,tech_base!$F255,1))+1000*tech_proj!AS1499)/((1-tech_proj!AS659)*tech_proj!AS939*$L$110))</f>
        <v>143.40903106873319</v>
      </c>
      <c r="AT879" s="69">
        <f>IF(tech_base!$T255&gt;AT$625,"",(1000*tech_proj!AT1219*(-PMT($J$110,tech_base!$F255,1))+1000*tech_proj!AT1499)/((1-tech_proj!AT659)*tech_proj!AT939*$L$110))</f>
        <v>140.56952538096655</v>
      </c>
      <c r="AU879" s="69">
        <f>IF(tech_base!$T255&gt;AU$625,"",(1000*tech_proj!AU1219*(-PMT($J$110,tech_base!$F255,1))+1000*tech_proj!AU1499)/((1-tech_proj!AU659)*tech_proj!AU939*$L$110))</f>
        <v>137.96645418184747</v>
      </c>
      <c r="AV879" s="69">
        <f>IF(tech_base!$T255&gt;AV$625,"",(1000*tech_proj!AV1219*(-PMT($J$110,tech_base!$F255,1))+1000*tech_proj!AV1499)/((1-tech_proj!AV659)*tech_proj!AV939*$L$110))</f>
        <v>135.62764200774242</v>
      </c>
      <c r="AW879" s="69">
        <f>IF(tech_base!$T255&gt;AW$625,"",(1000*tech_proj!AW1219*(-PMT($J$110,tech_base!$F255,1))+1000*tech_proj!AW1499)/((1-tech_proj!AW659)*tech_proj!AW939*$L$110))</f>
        <v>133.56520988409736</v>
      </c>
      <c r="AX879" s="235">
        <f>IF(tech_base!$T255&gt;AX$625,"",(1000*tech_proj!AX1219*(-PMT($J$110,tech_base!$F255,1))+1000*tech_proj!AX1499)/((1-tech_proj!AX659)*tech_proj!AX939*$L$110))</f>
        <v>131.77736609498848</v>
      </c>
    </row>
    <row r="880" spans="1:50" x14ac:dyDescent="0.25">
      <c r="A880" s="375"/>
      <c r="B880" s="380"/>
      <c r="C880" s="381"/>
      <c r="D880" s="4" t="s">
        <v>20</v>
      </c>
      <c r="E880" s="168" t="str">
        <f>A877&amp;"/"&amp;B877&amp;"/"&amp;C877&amp;"/"&amp;D880</f>
        <v>Solar thermal power plants/Solar thermal power plants/Electricity only/XS</v>
      </c>
      <c r="F880" s="80" t="str">
        <f>A877</f>
        <v>Solar thermal power plants</v>
      </c>
      <c r="G880" s="80" t="str">
        <f>B877</f>
        <v>Solar thermal power plants</v>
      </c>
      <c r="H880" s="80" t="str">
        <f>C877</f>
        <v>Electricity only</v>
      </c>
      <c r="I880" s="169" t="str">
        <f t="shared" si="365"/>
        <v>XS</v>
      </c>
      <c r="J880" s="73">
        <f>IF(tech_base!$T256&gt;J$625,"",(1000*tech_proj!J1220*(-PMT($J$110,tech_base!$F256,1))+1000*tech_proj!J1500)/((1-tech_proj!J660)*tech_proj!J940*$L$110))</f>
        <v>228.01432878209005</v>
      </c>
      <c r="K880" s="73">
        <f>IF(tech_base!$T256&gt;K$625,"",(1000*tech_proj!K1220*(-PMT($J$110,tech_base!$F256,1))+1000*tech_proj!K1500)/((1-tech_proj!K660)*tech_proj!K940*$L$110))</f>
        <v>227.99656634370351</v>
      </c>
      <c r="L880" s="73">
        <f>IF(tech_base!$T256&gt;L$625,"",(1000*tech_proj!L1220*(-PMT($J$110,tech_base!$F256,1))+1000*tech_proj!L1500)/((1-tech_proj!L660)*tech_proj!L940*$L$110))</f>
        <v>227.97488282507882</v>
      </c>
      <c r="M880" s="73">
        <f>IF(tech_base!$T256&gt;M$625,"",(1000*tech_proj!M1220*(-PMT($J$110,tech_base!$F256,1))+1000*tech_proj!M1500)/((1-tech_proj!M660)*tech_proj!M940*$L$110))</f>
        <v>227.94841576495975</v>
      </c>
      <c r="N880" s="73">
        <f>IF(tech_base!$T256&gt;N$625,"",(1000*tech_proj!N1220*(-PMT($J$110,tech_base!$F256,1))+1000*tech_proj!N1500)/((1-tech_proj!N660)*tech_proj!N940*$L$110))</f>
        <v>227.91611453046809</v>
      </c>
      <c r="O880" s="73">
        <f>IF(tech_base!$T256&gt;O$625,"",(1000*tech_proj!O1220*(-PMT($J$110,tech_base!$F256,1))+1000*tech_proj!O1500)/((1-tech_proj!O660)*tech_proj!O940*$L$110))</f>
        <v>227.87670001245252</v>
      </c>
      <c r="P880" s="73">
        <f>IF(tech_base!$T256&gt;P$625,"",(1000*tech_proj!P1220*(-PMT($J$110,tech_base!$F256,1))+1000*tech_proj!P1500)/((1-tech_proj!P660)*tech_proj!P940*$L$110))</f>
        <v>227.82861605650675</v>
      </c>
      <c r="Q880" s="73">
        <f>IF(tech_base!$T256&gt;Q$625,"",(1000*tech_proj!Q1220*(-PMT($J$110,tech_base!$F256,1))+1000*tech_proj!Q1500)/((1-tech_proj!Q660)*tech_proj!Q940*$L$110))</f>
        <v>227.76997111744922</v>
      </c>
      <c r="R880" s="73">
        <f>IF(tech_base!$T256&gt;R$625,"",(1000*tech_proj!R1220*(-PMT($J$110,tech_base!$F256,1))+1000*tech_proj!R1500)/((1-tech_proj!R660)*tech_proj!R940*$L$110))</f>
        <v>227.69846844100417</v>
      </c>
      <c r="S880" s="73">
        <f>IF(tech_base!$T256&gt;S$625,"",(1000*tech_proj!S1220*(-PMT($J$110,tech_base!$F256,1))+1000*tech_proj!S1500)/((1-tech_proj!S660)*tech_proj!S940*$L$110))</f>
        <v>227.61132292140366</v>
      </c>
      <c r="T880" s="73">
        <f>IF(tech_base!$T256&gt;T$625,"",(1000*tech_proj!T1220*(-PMT($J$110,tech_base!$F256,1))+1000*tech_proj!T1500)/((1-tech_proj!T660)*tech_proj!T940*$L$110))</f>
        <v>227.50516269490922</v>
      </c>
      <c r="U880" s="73">
        <f>IF(tech_base!$T256&gt;U$625,"",(1000*tech_proj!U1220*(-PMT($J$110,tech_base!$F256,1))+1000*tech_proj!U1500)/((1-tech_proj!U660)*tech_proj!U940*$L$110))</f>
        <v>227.37591356481204</v>
      </c>
      <c r="V880" s="73">
        <f>IF(tech_base!$T256&gt;V$625,"",(1000*tech_proj!V1220*(-PMT($J$110,tech_base!$F256,1))+1000*tech_proj!V1500)/((1-tech_proj!V660)*tech_proj!V940*$L$110))</f>
        <v>227.21866460059312</v>
      </c>
      <c r="W880" s="73">
        <f>IF(tech_base!$T256&gt;W$625,"",(1000*tech_proj!W1220*(-PMT($J$110,tech_base!$F256,1))+1000*tech_proj!W1500)/((1-tech_proj!W660)*tech_proj!W940*$L$110))</f>
        <v>227.02751384023298</v>
      </c>
      <c r="X880" s="73">
        <f>IF(tech_base!$T256&gt;X$625,"",(1000*tech_proj!X1220*(-PMT($J$110,tech_base!$F256,1))+1000*tech_proj!X1500)/((1-tech_proj!X660)*tech_proj!X940*$L$110))</f>
        <v>226.79539413113616</v>
      </c>
      <c r="Y880" s="73">
        <f>IF(tech_base!$T256&gt;Y$625,"",(1000*tech_proj!Y1220*(-PMT($J$110,tech_base!$F256,1))+1000*tech_proj!Y1500)/((1-tech_proj!Y660)*tech_proj!Y940*$L$110))</f>
        <v>226.51388101994036</v>
      </c>
      <c r="Z880" s="73">
        <f>IF(tech_base!$T256&gt;Z$625,"",(1000*tech_proj!Z1220*(-PMT($J$110,tech_base!$F256,1))+1000*tech_proj!Z1500)/((1-tech_proj!Z660)*tech_proj!Z940*$L$110))</f>
        <v>226.17298757086041</v>
      </c>
      <c r="AA880" s="73">
        <f>IF(tech_base!$T256&gt;AA$625,"",(1000*tech_proj!AA1220*(-PMT($J$110,tech_base!$F256,1))+1000*tech_proj!AA1500)/((1-tech_proj!AA660)*tech_proj!AA940*$L$110))</f>
        <v>225.76095546151384</v>
      </c>
      <c r="AB880" s="73">
        <f>IF(tech_base!$T256&gt;AB$625,"",(1000*tech_proj!AB1220*(-PMT($J$110,tech_base!$F256,1))+1000*tech_proj!AB1500)/((1-tech_proj!AB660)*tech_proj!AB940*$L$110))</f>
        <v>225.26405813658445</v>
      </c>
      <c r="AC880" s="73">
        <f>IF(tech_base!$T256&gt;AC$625,"",(1000*tech_proj!AC1220*(-PMT($J$110,tech_base!$F256,1))+1000*tech_proj!AC1500)/((1-tech_proj!AC660)*tech_proj!AC940*$L$110))</f>
        <v>224.66644064497331</v>
      </c>
      <c r="AD880" s="73">
        <f>IF(tech_base!$T256&gt;AD$625,"",(1000*tech_proj!AD1220*(-PMT($J$110,tech_base!$F256,1))+1000*tech_proj!AD1500)/((1-tech_proj!AD660)*tech_proj!AD940*$L$110))</f>
        <v>223.95003234162269</v>
      </c>
      <c r="AE880" s="73">
        <f>IF(tech_base!$T256&gt;AE$625,"",(1000*tech_proj!AE1220*(-PMT($J$110,tech_base!$F256,1))+1000*tech_proj!AE1500)/((1-tech_proj!AE660)*tech_proj!AE940*$L$110))</f>
        <v>223.09458277659655</v>
      </c>
      <c r="AF880" s="73">
        <f>IF(tech_base!$T256&gt;AF$625,"",(1000*tech_proj!AF1220*(-PMT($J$110,tech_base!$F256,1))+1000*tech_proj!AF1500)/((1-tech_proj!AF660)*tech_proj!AF940*$L$110))</f>
        <v>222.0778868481934</v>
      </c>
      <c r="AG880" s="73">
        <f>IF(tech_base!$T256&gt;AG$625,"",(1000*tech_proj!AG1220*(-PMT($J$110,tech_base!$F256,1))+1000*tech_proj!AG1500)/((1-tech_proj!AG660)*tech_proj!AG940*$L$110))</f>
        <v>220.87628023616389</v>
      </c>
      <c r="AH880" s="73">
        <f>IF(tech_base!$T256&gt;AH$625,"",(1000*tech_proj!AH1220*(-PMT($J$110,tech_base!$F256,1))+1000*tech_proj!AH1500)/((1-tech_proj!AH660)*tech_proj!AH940*$L$110))</f>
        <v>219.46549565808408</v>
      </c>
      <c r="AI880" s="73">
        <f>IF(tech_base!$T256&gt;AI$625,"",(1000*tech_proj!AI1220*(-PMT($J$110,tech_base!$F256,1))+1000*tech_proj!AI1500)/((1-tech_proj!AI660)*tech_proj!AI940*$L$110))</f>
        <v>217.82196725829598</v>
      </c>
      <c r="AJ880" s="73">
        <f>IF(tech_base!$T256&gt;AJ$625,"",(1000*tech_proj!AJ1220*(-PMT($J$110,tech_base!$F256,1))+1000*tech_proj!AJ1500)/((1-tech_proj!AJ660)*tech_proj!AJ940*$L$110))</f>
        <v>215.92464442248843</v>
      </c>
      <c r="AK880" s="73">
        <f>IF(tech_base!$T256&gt;AK$625,"",(1000*tech_proj!AK1220*(-PMT($J$110,tech_base!$F256,1))+1000*tech_proj!AK1500)/((1-tech_proj!AK660)*tech_proj!AK940*$L$110))</f>
        <v>213.75731639788458</v>
      </c>
      <c r="AL880" s="73">
        <f>IF(tech_base!$T256&gt;AL$625,"",(1000*tech_proj!AL1220*(-PMT($J$110,tech_base!$F256,1))+1000*tech_proj!AL1500)/((1-tech_proj!AL660)*tech_proj!AL940*$L$110))</f>
        <v>211.31134714529568</v>
      </c>
      <c r="AM880" s="73">
        <f>IF(tech_base!$T256&gt;AM$625,"",(1000*tech_proj!AM1220*(-PMT($J$110,tech_base!$F256,1))+1000*tech_proj!AM1500)/((1-tech_proj!AM660)*tech_proj!AM940*$L$110))</f>
        <v>208.58857766957604</v>
      </c>
      <c r="AN880" s="73">
        <f>IF(tech_base!$T256&gt;AN$625,"",(1000*tech_proj!AN1220*(-PMT($J$110,tech_base!$F256,1))+1000*tech_proj!AN1500)/((1-tech_proj!AN660)*tech_proj!AN940*$L$110))</f>
        <v>205.60399105769108</v>
      </c>
      <c r="AO880" s="73">
        <f>IF(tech_base!$T256&gt;AO$625,"",(1000*tech_proj!AO1220*(-PMT($J$110,tech_base!$F256,1))+1000*tech_proj!AO1500)/((1-tech_proj!AO660)*tech_proj!AO940*$L$110))</f>
        <v>202.38759847832978</v>
      </c>
      <c r="AP880" s="73">
        <f>IF(tech_base!$T256&gt;AP$625,"",(1000*tech_proj!AP1220*(-PMT($J$110,tech_base!$F256,1))+1000*tech_proj!AP1500)/((1-tech_proj!AP660)*tech_proj!AP940*$L$110))</f>
        <v>198.98495781769333</v>
      </c>
      <c r="AQ880" s="73">
        <f>IF(tech_base!$T256&gt;AQ$625,"",(1000*tech_proj!AQ1220*(-PMT($J$110,tech_base!$F256,1))+1000*tech_proj!AQ1500)/((1-tech_proj!AQ660)*tech_proj!AQ940*$L$110))</f>
        <v>195.45584569343558</v>
      </c>
      <c r="AR880" s="73">
        <f>IF(tech_base!$T256&gt;AR$625,"",(1000*tech_proj!AR1220*(-PMT($J$110,tech_base!$F256,1))+1000*tech_proj!AR1500)/((1-tech_proj!AR660)*tech_proj!AR940*$L$110))</f>
        <v>191.87089755263366</v>
      </c>
      <c r="AS880" s="73">
        <f>IF(tech_base!$T256&gt;AS$625,"",(1000*tech_proj!AS1220*(-PMT($J$110,tech_base!$F256,1))+1000*tech_proj!AS1500)/((1-tech_proj!AS660)*tech_proj!AS940*$L$110))</f>
        <v>188.30646708208286</v>
      </c>
      <c r="AT880" s="73">
        <f>IF(tech_base!$T256&gt;AT$625,"",(1000*tech_proj!AT1220*(-PMT($J$110,tech_base!$F256,1))+1000*tech_proj!AT1500)/((1-tech_proj!AT660)*tech_proj!AT940*$L$110))</f>
        <v>184.83841286777982</v>
      </c>
      <c r="AU880" s="73">
        <f>IF(tech_base!$T256&gt;AU$625,"",(1000*tech_proj!AU1220*(-PMT($J$110,tech_base!$F256,1))+1000*tech_proj!AU1500)/((1-tech_proj!AU660)*tech_proj!AU940*$L$110))</f>
        <v>181.53583337200288</v>
      </c>
      <c r="AV880" s="73">
        <f>IF(tech_base!$T256&gt;AV$625,"",(1000*tech_proj!AV1220*(-PMT($J$110,tech_base!$F256,1))+1000*tech_proj!AV1500)/((1-tech_proj!AV660)*tech_proj!AV940*$L$110))</f>
        <v>178.45581173580746</v>
      </c>
      <c r="AW880" s="73">
        <f>IF(tech_base!$T256&gt;AW$625,"",(1000*tech_proj!AW1220*(-PMT($J$110,tech_base!$F256,1))+1000*tech_proj!AW1500)/((1-tech_proj!AW660)*tech_proj!AW940*$L$110))</f>
        <v>175.63997554077724</v>
      </c>
      <c r="AX880" s="239">
        <f>IF(tech_base!$T256&gt;AX$625,"",(1000*tech_proj!AX1220*(-PMT($J$110,tech_base!$F256,1))+1000*tech_proj!AX1500)/((1-tech_proj!AX660)*tech_proj!AX940*$L$110))</f>
        <v>173.11322080040031</v>
      </c>
    </row>
    <row r="881" spans="1:50" x14ac:dyDescent="0.25">
      <c r="A881" s="355" t="s">
        <v>39</v>
      </c>
      <c r="B881" s="358" t="s">
        <v>39</v>
      </c>
      <c r="C881" s="353" t="s">
        <v>6</v>
      </c>
      <c r="D881" s="3" t="s">
        <v>7</v>
      </c>
      <c r="E881" s="162" t="str">
        <f>A881&amp;"/"&amp;B881&amp;"/"&amp;C881&amp;"/"&amp;D881</f>
        <v>Geothermal power plants/Geothermal power plants/Electricity only/L</v>
      </c>
      <c r="F881" s="77" t="str">
        <f>A881</f>
        <v>Geothermal power plants</v>
      </c>
      <c r="G881" s="77" t="str">
        <f>B881</f>
        <v>Geothermal power plants</v>
      </c>
      <c r="H881" s="77" t="str">
        <f>C881</f>
        <v>Electricity only</v>
      </c>
      <c r="I881" s="163" t="str">
        <f t="shared" si="365"/>
        <v>L</v>
      </c>
      <c r="J881" s="70">
        <f>IF(tech_base!$T257&gt;J$625,"",(1000*tech_proj!J1221*(-PMT($J$110,tech_base!$F257,1))+1000*tech_proj!J1501)/((1-tech_proj!J661)*tech_proj!J941*$L$110))</f>
        <v>154.49923969511391</v>
      </c>
      <c r="K881" s="70">
        <f>IF(tech_base!$T257&gt;K$625,"",(1000*tech_proj!K1221*(-PMT($J$110,tech_base!$F257,1))+1000*tech_proj!K1501)/((1-tech_proj!K661)*tech_proj!K941*$L$110))</f>
        <v>154.38484143827736</v>
      </c>
      <c r="L881" s="70">
        <f>IF(tech_base!$T257&gt;L$625,"",(1000*tech_proj!L1221*(-PMT($J$110,tech_base!$F257,1))+1000*tech_proj!L1501)/((1-tech_proj!L661)*tech_proj!L941*$L$110))</f>
        <v>154.25224847107489</v>
      </c>
      <c r="M881" s="70">
        <f>IF(tech_base!$T257&gt;M$625,"",(1000*tech_proj!M1221*(-PMT($J$110,tech_base!$F257,1))+1000*tech_proj!M1501)/((1-tech_proj!M661)*tech_proj!M941*$L$110))</f>
        <v>154.09862632776245</v>
      </c>
      <c r="N881" s="70">
        <f>IF(tech_base!$T257&gt;N$625,"",(1000*tech_proj!N1221*(-PMT($J$110,tech_base!$F257,1))+1000*tech_proj!N1501)/((1-tech_proj!N661)*tech_proj!N941*$L$110))</f>
        <v>153.92071949951804</v>
      </c>
      <c r="O881" s="70">
        <f>IF(tech_base!$T257&gt;O$625,"",(1000*tech_proj!O1221*(-PMT($J$110,tech_base!$F257,1))+1000*tech_proj!O1501)/((1-tech_proj!O661)*tech_proj!O941*$L$110))</f>
        <v>153.7147960087224</v>
      </c>
      <c r="P881" s="70">
        <f>IF(tech_base!$T257&gt;P$625,"",(1000*tech_proj!P1221*(-PMT($J$110,tech_base!$F257,1))+1000*tech_proj!P1501)/((1-tech_proj!P661)*tech_proj!P941*$L$110))</f>
        <v>153.47658720376609</v>
      </c>
      <c r="Q881" s="70">
        <f>IF(tech_base!$T257&gt;Q$625,"",(1000*tech_proj!Q1221*(-PMT($J$110,tech_base!$F257,1))+1000*tech_proj!Q1501)/((1-tech_proj!Q661)*tech_proj!Q941*$L$110))</f>
        <v>153.2012233262551</v>
      </c>
      <c r="R881" s="70">
        <f>IF(tech_base!$T257&gt;R$625,"",(1000*tech_proj!R1221*(-PMT($J$110,tech_base!$F257,1))+1000*tech_proj!R1501)/((1-tech_proj!R661)*tech_proj!R941*$L$110))</f>
        <v>152.88316588010898</v>
      </c>
      <c r="S881" s="70">
        <f>IF(tech_base!$T257&gt;S$625,"",(1000*tech_proj!S1221*(-PMT($J$110,tech_base!$F257,1))+1000*tech_proj!S1501)/((1-tech_proj!S661)*tech_proj!S941*$L$110))</f>
        <v>152.51613848355294</v>
      </c>
      <c r="T881" s="70">
        <f>IF(tech_base!$T257&gt;T$625,"",(1000*tech_proj!T1221*(-PMT($J$110,tech_base!$F257,1))+1000*tech_proj!T1501)/((1-tech_proj!T661)*tech_proj!T941*$L$110))</f>
        <v>152.09305875278775</v>
      </c>
      <c r="U881" s="70">
        <f>IF(tech_base!$T257&gt;U$625,"",(1000*tech_proj!U1221*(-PMT($J$110,tech_base!$F257,1))+1000*tech_proj!U1501)/((1-tech_proj!U661)*tech_proj!U941*$L$110))</f>
        <v>151.60597489533995</v>
      </c>
      <c r="V881" s="70">
        <f>IF(tech_base!$T257&gt;V$625,"",(1000*tech_proj!V1221*(-PMT($J$110,tech_base!$F257,1))+1000*tech_proj!V1501)/((1-tech_proj!V661)*tech_proj!V941*$L$110))</f>
        <v>151.04601212513361</v>
      </c>
      <c r="W881" s="70">
        <f>IF(tech_base!$T257&gt;W$625,"",(1000*tech_proj!W1221*(-PMT($J$110,tech_base!$F257,1))+1000*tech_proj!W1501)/((1-tech_proj!W661)*tech_proj!W941*$L$110))</f>
        <v>150.40333578357183</v>
      </c>
      <c r="X881" s="70">
        <f>IF(tech_base!$T257&gt;X$625,"",(1000*tech_proj!X1221*(-PMT($J$110,tech_base!$F257,1))+1000*tech_proj!X1501)/((1-tech_proj!X661)*tech_proj!X941*$L$110))</f>
        <v>149.66714017159512</v>
      </c>
      <c r="Y881" s="70">
        <f>IF(tech_base!$T257&gt;Y$625,"",(1000*tech_proj!Y1221*(-PMT($J$110,tech_base!$F257,1))+1000*tech_proj!Y1501)/((1-tech_proj!Y661)*tech_proj!Y941*$L$110))</f>
        <v>148.82567453388782</v>
      </c>
      <c r="Z881" s="70">
        <f>IF(tech_base!$T257&gt;Z$625,"",(1000*tech_proj!Z1221*(-PMT($J$110,tech_base!$F257,1))+1000*tech_proj!Z1501)/((1-tech_proj!Z661)*tech_proj!Z941*$L$110))</f>
        <v>147.8663202838641</v>
      </c>
      <c r="AA881" s="70">
        <f>IF(tech_base!$T257&gt;AA$625,"",(1000*tech_proj!AA1221*(-PMT($J$110,tech_base!$F257,1))+1000*tech_proj!AA1501)/((1-tech_proj!AA661)*tech_proj!AA941*$L$110))</f>
        <v>146.77573620396876</v>
      </c>
      <c r="AB881" s="70">
        <f>IF(tech_base!$T257&gt;AB$625,"",(1000*tech_proj!AB1221*(-PMT($J$110,tech_base!$F257,1))+1000*tech_proj!AB1501)/((1-tech_proj!AB661)*tech_proj!AB941*$L$110))</f>
        <v>145.5400906339471</v>
      </c>
      <c r="AC881" s="70">
        <f>IF(tech_base!$T257&gt;AC$625,"",(1000*tech_proj!AC1221*(-PMT($J$110,tech_base!$F257,1))+1000*tech_proj!AC1501)/((1-tech_proj!AC661)*tech_proj!AC941*$L$110))</f>
        <v>144.14540100324484</v>
      </c>
      <c r="AD881" s="70">
        <f>IF(tech_base!$T257&gt;AD$625,"",(1000*tech_proj!AD1221*(-PMT($J$110,tech_base!$F257,1))+1000*tech_proj!AD1501)/((1-tech_proj!AD661)*tech_proj!AD941*$L$110))</f>
        <v>142.57800066732148</v>
      </c>
      <c r="AE881" s="70">
        <f>IF(tech_base!$T257&gt;AE$625,"",(1000*tech_proj!AE1221*(-PMT($J$110,tech_base!$F257,1))+1000*tech_proj!AE1501)/((1-tech_proj!AE661)*tech_proj!AE941*$L$110))</f>
        <v>140.82514982033882</v>
      </c>
      <c r="AF881" s="70">
        <f>IF(tech_base!$T257&gt;AF$625,"",(1000*tech_proj!AF1221*(-PMT($J$110,tech_base!$F257,1))+1000*tech_proj!AF1501)/((1-tech_proj!AF661)*tech_proj!AF941*$L$110))</f>
        <v>138.8758000368658</v>
      </c>
      <c r="AG881" s="70">
        <f>IF(tech_base!$T257&gt;AG$625,"",(1000*tech_proj!AG1221*(-PMT($J$110,tech_base!$F257,1))+1000*tech_proj!AG1501)/((1-tech_proj!AG661)*tech_proj!AG941*$L$110))</f>
        <v>136.72150947117174</v>
      </c>
      <c r="AH881" s="70">
        <f>IF(tech_base!$T257&gt;AH$625,"",(1000*tech_proj!AH1221*(-PMT($J$110,tech_base!$F257,1))+1000*tech_proj!AH1501)/((1-tech_proj!AH661)*tech_proj!AH941*$L$110))</f>
        <v>134.35748692171944</v>
      </c>
      <c r="AI881" s="70">
        <f>IF(tech_base!$T257&gt;AI$625,"",(1000*tech_proj!AI1221*(-PMT($J$110,tech_base!$F257,1))+1000*tech_proj!AI1501)/((1-tech_proj!AI661)*tech_proj!AI941*$L$110))</f>
        <v>131.78371762219169</v>
      </c>
      <c r="AJ881" s="70">
        <f>IF(tech_base!$T257&gt;AJ$625,"",(1000*tech_proj!AJ1221*(-PMT($J$110,tech_base!$F257,1))+1000*tech_proj!AJ1501)/((1-tech_proj!AJ661)*tech_proj!AJ941*$L$110))</f>
        <v>129.0060929221992</v>
      </c>
      <c r="AK881" s="70">
        <f>IF(tech_base!$T257&gt;AK$625,"",(1000*tech_proj!AK1221*(-PMT($J$110,tech_base!$F257,1))+1000*tech_proj!AK1501)/((1-tech_proj!AK661)*tech_proj!AK941*$L$110))</f>
        <v>126.03743321934601</v>
      </c>
      <c r="AL881" s="70">
        <f>IF(tech_base!$T257&gt;AL$625,"",(1000*tech_proj!AL1221*(-PMT($J$110,tech_base!$F257,1))+1000*tech_proj!AL1501)/((1-tech_proj!AL661)*tech_proj!AL941*$L$110))</f>
        <v>122.89826438641798</v>
      </c>
      <c r="AM881" s="70">
        <f>IF(tech_base!$T257&gt;AM$625,"",(1000*tech_proj!AM1221*(-PMT($J$110,tech_base!$F257,1))+1000*tech_proj!AM1501)/((1-tech_proj!AM661)*tech_proj!AM941*$L$110))</f>
        <v>119.61719070752702</v>
      </c>
      <c r="AN881" s="70">
        <f>IF(tech_base!$T257&gt;AN$625,"",(1000*tech_proj!AN1221*(-PMT($J$110,tech_base!$F257,1))+1000*tech_proj!AN1501)/((1-tech_proj!AN661)*tech_proj!AN941*$L$110))</f>
        <v>116.2307115007026</v>
      </c>
      <c r="AO881" s="70">
        <f>IF(tech_base!$T257&gt;AO$625,"",(1000*tech_proj!AO1221*(-PMT($J$110,tech_base!$F257,1))+1000*tech_proj!AO1501)/((1-tech_proj!AO661)*tech_proj!AO941*$L$110))</f>
        <v>112.782362608048</v>
      </c>
      <c r="AP881" s="70">
        <f>IF(tech_base!$T257&gt;AP$625,"",(1000*tech_proj!AP1221*(-PMT($J$110,tech_base!$F257,1))+1000*tech_proj!AP1501)/((1-tech_proj!AP661)*tech_proj!AP941*$L$110))</f>
        <v>109.32113176649069</v>
      </c>
      <c r="AQ881" s="70">
        <f>IF(tech_base!$T257&gt;AQ$625,"",(1000*tech_proj!AQ1221*(-PMT($J$110,tech_base!$F257,1))+1000*tech_proj!AQ1501)/((1-tech_proj!AQ661)*tech_proj!AQ941*$L$110))</f>
        <v>105.89919452796165</v>
      </c>
      <c r="AR881" s="70">
        <f>IF(tech_base!$T257&gt;AR$625,"",(1000*tech_proj!AR1221*(-PMT($J$110,tech_base!$F257,1))+1000*tech_proj!AR1501)/((1-tech_proj!AR661)*tech_proj!AR941*$L$110))</f>
        <v>102.56913077690724</v>
      </c>
      <c r="AS881" s="70">
        <f>IF(tech_base!$T257&gt;AS$625,"",(1000*tech_proj!AS1221*(-PMT($J$110,tech_base!$F257,1))+1000*tech_proj!AS1501)/((1-tech_proj!AS661)*tech_proj!AS941*$L$110))</f>
        <v>99.380887844284089</v>
      </c>
      <c r="AT881" s="70">
        <f>IF(tech_base!$T257&gt;AT$625,"",(1000*tech_proj!AT1221*(-PMT($J$110,tech_base!$F257,1))+1000*tech_proj!AT1501)/((1-tech_proj!AT661)*tech_proj!AT941*$L$110))</f>
        <v>96.378827644776777</v>
      </c>
      <c r="AU881" s="70">
        <f>IF(tech_base!$T257&gt;AU$625,"",(1000*tech_proj!AU1221*(-PMT($J$110,tech_base!$F257,1))+1000*tech_proj!AU1501)/((1-tech_proj!AU661)*tech_proj!AU941*$L$110))</f>
        <v>93.599209432729594</v>
      </c>
      <c r="AV881" s="70">
        <f>IF(tech_base!$T257&gt;AV$625,"",(1000*tech_proj!AV1221*(-PMT($J$110,tech_base!$F257,1))+1000*tech_proj!AV1501)/((1-tech_proj!AV661)*tech_proj!AV941*$L$110))</f>
        <v>91.068406943081513</v>
      </c>
      <c r="AW881" s="70">
        <f>IF(tech_base!$T257&gt;AW$625,"",(1000*tech_proj!AW1221*(-PMT($J$110,tech_base!$F257,1))+1000*tech_proj!AW1501)/((1-tech_proj!AW661)*tech_proj!AW941*$L$110))</f>
        <v>88.802047209421218</v>
      </c>
      <c r="AX881" s="236">
        <f>IF(tech_base!$T257&gt;AX$625,"",(1000*tech_proj!AX1221*(-PMT($J$110,tech_base!$F257,1))+1000*tech_proj!AX1501)/((1-tech_proj!AX661)*tech_proj!AX941*$L$110))</f>
        <v>86.80511335991855</v>
      </c>
    </row>
    <row r="882" spans="1:50" x14ac:dyDescent="0.25">
      <c r="A882" s="356"/>
      <c r="B882" s="376"/>
      <c r="C882" s="378"/>
      <c r="D882" s="2" t="s">
        <v>8</v>
      </c>
      <c r="E882" s="160" t="str">
        <f>A881&amp;"/"&amp;B881&amp;"/"&amp;C881&amp;"/"&amp;D882</f>
        <v>Geothermal power plants/Geothermal power plants/Electricity only/M</v>
      </c>
      <c r="F882" s="76" t="str">
        <f>A881</f>
        <v>Geothermal power plants</v>
      </c>
      <c r="G882" s="76" t="str">
        <f>B881</f>
        <v>Geothermal power plants</v>
      </c>
      <c r="H882" s="76" t="str">
        <f>C881</f>
        <v>Electricity only</v>
      </c>
      <c r="I882" s="161" t="str">
        <f t="shared" si="365"/>
        <v>M</v>
      </c>
      <c r="J882" s="69">
        <f>IF(tech_base!$T258&gt;J$625,"",(1000*tech_proj!J1222*(-PMT($J$110,tech_base!$F258,1))+1000*tech_proj!J1502)/((1-tech_proj!J662)*tech_proj!J942*$L$110))</f>
        <v>180.52451269188441</v>
      </c>
      <c r="K882" s="69">
        <f>IF(tech_base!$T258&gt;K$625,"",(1000*tech_proj!K1222*(-PMT($J$110,tech_base!$F258,1))+1000*tech_proj!K1502)/((1-tech_proj!K662)*tech_proj!K942*$L$110))</f>
        <v>180.36178594656957</v>
      </c>
      <c r="L882" s="69">
        <f>IF(tech_base!$T258&gt;L$625,"",(1000*tech_proj!L1222*(-PMT($J$110,tech_base!$F258,1))+1000*tech_proj!L1502)/((1-tech_proj!L662)*tech_proj!L942*$L$110))</f>
        <v>180.17323273582949</v>
      </c>
      <c r="M882" s="69">
        <f>IF(tech_base!$T258&gt;M$625,"",(1000*tech_proj!M1222*(-PMT($J$110,tech_base!$F258,1))+1000*tech_proj!M1502)/((1-tech_proj!M662)*tech_proj!M942*$L$110))</f>
        <v>179.95484866965302</v>
      </c>
      <c r="N882" s="69">
        <f>IF(tech_base!$T258&gt;N$625,"",(1000*tech_proj!N1222*(-PMT($J$110,tech_base!$F258,1))+1000*tech_proj!N1502)/((1-tech_proj!N662)*tech_proj!N942*$L$110))</f>
        <v>179.70204114658773</v>
      </c>
      <c r="O882" s="69">
        <f>IF(tech_base!$T258&gt;O$625,"",(1000*tech_proj!O1222*(-PMT($J$110,tech_base!$F258,1))+1000*tech_proj!O1502)/((1-tech_proj!O662)*tech_proj!O942*$L$110))</f>
        <v>179.40955427949882</v>
      </c>
      <c r="P882" s="69">
        <f>IF(tech_base!$T258&gt;P$625,"",(1000*tech_proj!P1222*(-PMT($J$110,tech_base!$F258,1))+1000*tech_proj!P1502)/((1-tech_proj!P662)*tech_proj!P942*$L$110))</f>
        <v>179.07138826052093</v>
      </c>
      <c r="Q882" s="69">
        <f>IF(tech_base!$T258&gt;Q$625,"",(1000*tech_proj!Q1222*(-PMT($J$110,tech_base!$F258,1))+1000*tech_proj!Q1502)/((1-tech_proj!Q662)*tech_proj!Q942*$L$110))</f>
        <v>178.68071432568675</v>
      </c>
      <c r="R882" s="69">
        <f>IF(tech_base!$T258&gt;R$625,"",(1000*tech_proj!R1222*(-PMT($J$110,tech_base!$F258,1))+1000*tech_proj!R1502)/((1-tech_proj!R662)*tech_proj!R942*$L$110))</f>
        <v>178.22978725796051</v>
      </c>
      <c r="S882" s="69">
        <f>IF(tech_base!$T258&gt;S$625,"",(1000*tech_proj!S1222*(-PMT($J$110,tech_base!$F258,1))+1000*tech_proj!S1502)/((1-tech_proj!S662)*tech_proj!S942*$L$110))</f>
        <v>177.70985841080065</v>
      </c>
      <c r="T882" s="69">
        <f>IF(tech_base!$T258&gt;T$625,"",(1000*tech_proj!T1222*(-PMT($J$110,tech_base!$F258,1))+1000*tech_proj!T1502)/((1-tech_proj!T662)*tech_proj!T942*$L$110))</f>
        <v>177.11109360146719</v>
      </c>
      <c r="U882" s="69">
        <f>IF(tech_base!$T258&gt;U$625,"",(1000*tech_proj!U1222*(-PMT($J$110,tech_base!$F258,1))+1000*tech_proj!U1502)/((1-tech_proj!U662)*tech_proj!U942*$L$110))</f>
        <v>176.42250197256689</v>
      </c>
      <c r="V882" s="69">
        <f>IF(tech_base!$T258&gt;V$625,"",(1000*tech_proj!V1222*(-PMT($J$110,tech_base!$F258,1))+1000*tech_proj!V1502)/((1-tech_proj!V662)*tech_proj!V942*$L$110))</f>
        <v>175.63188410126503</v>
      </c>
      <c r="W882" s="69">
        <f>IF(tech_base!$T258&gt;W$625,"",(1000*tech_proj!W1222*(-PMT($J$110,tech_base!$F258,1))+1000*tech_proj!W1502)/((1-tech_proj!W662)*tech_proj!W942*$L$110))</f>
        <v>174.72581027352274</v>
      </c>
      <c r="X882" s="69">
        <f>IF(tech_base!$T258&gt;X$625,"",(1000*tech_proj!X1222*(-PMT($J$110,tech_base!$F258,1))+1000*tech_proj!X1502)/((1-tech_proj!X662)*tech_proj!X942*$L$110))</f>
        <v>173.6896429135675</v>
      </c>
      <c r="Y882" s="69">
        <f>IF(tech_base!$T258&gt;Y$625,"",(1000*tech_proj!Y1222*(-PMT($J$110,tech_base!$F258,1))+1000*tech_proj!Y1502)/((1-tech_proj!Y662)*tech_proj!Y942*$L$110))</f>
        <v>172.50762056334409</v>
      </c>
      <c r="Z882" s="69">
        <f>IF(tech_base!$T258&gt;Z$625,"",(1000*tech_proj!Z1222*(-PMT($J$110,tech_base!$F258,1))+1000*tech_proj!Z1502)/((1-tech_proj!Z662)*tech_proj!Z942*$L$110))</f>
        <v>171.16302431272592</v>
      </c>
      <c r="AA882" s="69">
        <f>IF(tech_base!$T258&gt;AA$625,"",(1000*tech_proj!AA1222*(-PMT($J$110,tech_base!$F258,1))+1000*tech_proj!AA1502)/((1-tech_proj!AA662)*tech_proj!AA942*$L$110))</f>
        <v>169.63845077439535</v>
      </c>
      <c r="AB882" s="69">
        <f>IF(tech_base!$T258&gt;AB$625,"",(1000*tech_proj!AB1222*(-PMT($J$110,tech_base!$F258,1))+1000*tech_proj!AB1502)/((1-tech_proj!AB662)*tech_proj!AB942*$L$110))</f>
        <v>167.9162179149188</v>
      </c>
      <c r="AC882" s="69">
        <f>IF(tech_base!$T258&gt;AC$625,"",(1000*tech_proj!AC1222*(-PMT($J$110,tech_base!$F258,1))+1000*tech_proj!AC1502)/((1-tech_proj!AC662)*tech_proj!AC942*$L$110))</f>
        <v>165.97893032634155</v>
      </c>
      <c r="AD882" s="69">
        <f>IF(tech_base!$T258&gt;AD$625,"",(1000*tech_proj!AD1222*(-PMT($J$110,tech_base!$F258,1))+1000*tech_proj!AD1502)/((1-tech_proj!AD662)*tech_proj!AD942*$L$110))</f>
        <v>163.81022754517616</v>
      </c>
      <c r="AE882" s="69">
        <f>IF(tech_base!$T258&gt;AE$625,"",(1000*tech_proj!AE1222*(-PMT($J$110,tech_base!$F258,1))+1000*tech_proj!AE1502)/((1-tech_proj!AE662)*tech_proj!AE942*$L$110))</f>
        <v>161.3957311944306</v>
      </c>
      <c r="AF882" s="69">
        <f>IF(tech_base!$T258&gt;AF$625,"",(1000*tech_proj!AF1222*(-PMT($J$110,tech_base!$F258,1))+1000*tech_proj!AF1502)/((1-tech_proj!AF662)*tech_proj!AF942*$L$110))</f>
        <v>158.7241922970091</v>
      </c>
      <c r="AG882" s="69">
        <f>IF(tech_base!$T258&gt;AG$625,"",(1000*tech_proj!AG1222*(-PMT($J$110,tech_base!$F258,1))+1000*tech_proj!AG1502)/((1-tech_proj!AG662)*tech_proj!AG942*$L$110))</f>
        <v>155.78881754760323</v>
      </c>
      <c r="AH882" s="69">
        <f>IF(tech_base!$T258&gt;AH$625,"",(1000*tech_proj!AH1222*(-PMT($J$110,tech_base!$F258,1))+1000*tech_proj!AH1502)/((1-tech_proj!AH662)*tech_proj!AH942*$L$110))</f>
        <v>152.58872188059721</v>
      </c>
      <c r="AI882" s="69">
        <f>IF(tech_base!$T258&gt;AI$625,"",(1000*tech_proj!AI1222*(-PMT($J$110,tech_base!$F258,1))+1000*tech_proj!AI1502)/((1-tech_proj!AI662)*tech_proj!AI942*$L$110))</f>
        <v>149.13041517907826</v>
      </c>
      <c r="AJ882" s="69">
        <f>IF(tech_base!$T258&gt;AJ$625,"",(1000*tech_proj!AJ1222*(-PMT($J$110,tech_base!$F258,1))+1000*tech_proj!AJ1502)/((1-tech_proj!AJ662)*tech_proj!AJ942*$L$110))</f>
        <v>145.42918683066966</v>
      </c>
      <c r="AK882" s="69">
        <f>IF(tech_base!$T258&gt;AK$625,"",(1000*tech_proj!AK1222*(-PMT($J$110,tech_base!$F258,1))+1000*tech_proj!AK1502)/((1-tech_proj!AK662)*tech_proj!AK942*$L$110))</f>
        <v>141.51020980855938</v>
      </c>
      <c r="AL882" s="69">
        <f>IF(tech_base!$T258&gt;AL$625,"",(1000*tech_proj!AL1222*(-PMT($J$110,tech_base!$F258,1))+1000*tech_proj!AL1502)/((1-tech_proj!AL662)*tech_proj!AL942*$L$110))</f>
        <v>137.40915637181857</v>
      </c>
      <c r="AM882" s="69">
        <f>IF(tech_base!$T258&gt;AM$625,"",(1000*tech_proj!AM1222*(-PMT($J$110,tech_base!$F258,1))+1000*tech_proj!AM1502)/((1-tech_proj!AM662)*tech_proj!AM942*$L$110))</f>
        <v>133.17211325207288</v>
      </c>
      <c r="AN882" s="69">
        <f>IF(tech_base!$T258&gt;AN$625,"",(1000*tech_proj!AN1222*(-PMT($J$110,tech_base!$F258,1))+1000*tech_proj!AN1502)/((1-tech_proj!AN662)*tech_proj!AN942*$L$110))</f>
        <v>128.85461813469192</v>
      </c>
      <c r="AO882" s="69">
        <f>IF(tech_base!$T258&gt;AO$625,"",(1000*tech_proj!AO1222*(-PMT($J$110,tech_base!$F258,1))+1000*tech_proj!AO1502)/((1-tech_proj!AO662)*tech_proj!AO942*$L$110))</f>
        <v>124.51971965560601</v>
      </c>
      <c r="AP882" s="69">
        <f>IF(tech_base!$T258&gt;AP$625,"",(1000*tech_proj!AP1222*(-PMT($J$110,tech_base!$F258,1))+1000*tech_proj!AP1502)/((1-tech_proj!AP662)*tech_proj!AP942*$L$110))</f>
        <v>120.23508857849546</v>
      </c>
      <c r="AQ882" s="69">
        <f>IF(tech_base!$T258&gt;AQ$625,"",(1000*tech_proj!AQ1222*(-PMT($J$110,tech_base!$F258,1))+1000*tech_proj!AQ1502)/((1-tech_proj!AQ662)*tech_proj!AQ942*$L$110))</f>
        <v>116.06936299306192</v>
      </c>
      <c r="AR882" s="69">
        <f>IF(tech_base!$T258&gt;AR$625,"",(1000*tech_proj!AR1222*(-PMT($J$110,tech_base!$F258,1))+1000*tech_proj!AR1502)/((1-tech_proj!AR662)*tech_proj!AR942*$L$110))</f>
        <v>112.08806573397909</v>
      </c>
      <c r="AS882" s="69">
        <f>IF(tech_base!$T258&gt;AS$625,"",(1000*tech_proj!AS1222*(-PMT($J$110,tech_base!$F258,1))+1000*tech_proj!AS1502)/((1-tech_proj!AS662)*tech_proj!AS942*$L$110))</f>
        <v>108.34954930807827</v>
      </c>
      <c r="AT882" s="69">
        <f>IF(tech_base!$T258&gt;AT$625,"",(1000*tech_proj!AT1222*(-PMT($J$110,tech_base!$F258,1))+1000*tech_proj!AT1502)/((1-tech_proj!AT662)*tech_proj!AT942*$L$110))</f>
        <v>104.90146603260514</v>
      </c>
      <c r="AU882" s="69">
        <f>IF(tech_base!$T258&gt;AU$625,"",(1000*tech_proj!AU1222*(-PMT($J$110,tech_base!$F258,1))+1000*tech_proj!AU1502)/((1-tech_proj!AU662)*tech_proj!AU942*$L$110))</f>
        <v>101.77820780346936</v>
      </c>
      <c r="AV882" s="69">
        <f>IF(tech_base!$T258&gt;AV$625,"",(1000*tech_proj!AV1222*(-PMT($J$110,tech_base!$F258,1))+1000*tech_proj!AV1502)/((1-tech_proj!AV662)*tech_proj!AV942*$L$110))</f>
        <v>98.999615345794524</v>
      </c>
      <c r="AW882" s="69">
        <f>IF(tech_base!$T258&gt;AW$625,"",(1000*tech_proj!AW1222*(-PMT($J$110,tech_base!$F258,1))+1000*tech_proj!AW1502)/((1-tech_proj!AW662)*tech_proj!AW942*$L$110))</f>
        <v>96.571052253333136</v>
      </c>
      <c r="AX882" s="235">
        <f>IF(tech_base!$T258&gt;AX$625,"",(1000*tech_proj!AX1222*(-PMT($J$110,tech_base!$F258,1))+1000*tech_proj!AX1502)/((1-tech_proj!AX662)*tech_proj!AX942*$L$110))</f>
        <v>94.484723737669427</v>
      </c>
    </row>
    <row r="883" spans="1:50" x14ac:dyDescent="0.25">
      <c r="A883" s="357"/>
      <c r="B883" s="380"/>
      <c r="C883" s="381"/>
      <c r="D883" s="4" t="s">
        <v>10</v>
      </c>
      <c r="E883" s="168" t="str">
        <f>A881&amp;"/"&amp;B881&amp;"/"&amp;C881&amp;"/"&amp;D883</f>
        <v>Geothermal power plants/Geothermal power plants/Electricity only/S</v>
      </c>
      <c r="F883" s="80" t="str">
        <f>A881</f>
        <v>Geothermal power plants</v>
      </c>
      <c r="G883" s="80" t="str">
        <f>B881</f>
        <v>Geothermal power plants</v>
      </c>
      <c r="H883" s="80" t="str">
        <f>C881</f>
        <v>Electricity only</v>
      </c>
      <c r="I883" s="169" t="str">
        <f t="shared" ref="I883:I897" si="366">D883</f>
        <v>S</v>
      </c>
      <c r="J883" s="73">
        <f>IF(tech_base!$T259&gt;J$625,"",(1000*tech_proj!J1223*(-PMT($J$110,tech_base!$F259,1))+1000*tech_proj!J1503)/((1-tech_proj!J663)*tech_proj!J943*$L$110))</f>
        <v>241.12917052415995</v>
      </c>
      <c r="K883" s="73">
        <f>IF(tech_base!$T259&gt;K$625,"",(1000*tech_proj!K1223*(-PMT($J$110,tech_base!$F259,1))+1000*tech_proj!K1503)/((1-tech_proj!K663)*tech_proj!K943*$L$110))</f>
        <v>241.00489272897073</v>
      </c>
      <c r="L883" s="73">
        <f>IF(tech_base!$T259&gt;L$625,"",(1000*tech_proj!L1223*(-PMT($J$110,tech_base!$F259,1))+1000*tech_proj!L1503)/((1-tech_proj!L663)*tech_proj!L943*$L$110))</f>
        <v>240.8607071927938</v>
      </c>
      <c r="M883" s="73">
        <f>IF(tech_base!$T259&gt;M$625,"",(1000*tech_proj!M1223*(-PMT($J$110,tech_base!$F259,1))+1000*tech_proj!M1503)/((1-tech_proj!M663)*tech_proj!M943*$L$110))</f>
        <v>240.69346321927884</v>
      </c>
      <c r="N883" s="73">
        <f>IF(tech_base!$T259&gt;N$625,"",(1000*tech_proj!N1223*(-PMT($J$110,tech_base!$F259,1))+1000*tech_proj!N1503)/((1-tech_proj!N663)*tech_proj!N943*$L$110))</f>
        <v>240.49952477427362</v>
      </c>
      <c r="O883" s="73">
        <f>IF(tech_base!$T259&gt;O$625,"",(1000*tech_proj!O1223*(-PMT($J$110,tech_base!$F259,1))+1000*tech_proj!O1503)/((1-tech_proj!O663)*tech_proj!O943*$L$110))</f>
        <v>240.27470035863882</v>
      </c>
      <c r="P883" s="73">
        <f>IF(tech_base!$T259&gt;P$625,"",(1000*tech_proj!P1223*(-PMT($J$110,tech_base!$F259,1))+1000*tech_proj!P1503)/((1-tech_proj!P663)*tech_proj!P943*$L$110))</f>
        <v>240.01416438009545</v>
      </c>
      <c r="Q883" s="73">
        <f>IF(tech_base!$T259&gt;Q$625,"",(1000*tech_proj!Q1223*(-PMT($J$110,tech_base!$F259,1))+1000*tech_proj!Q1503)/((1-tech_proj!Q663)*tech_proj!Q943*$L$110))</f>
        <v>239.71236959095847</v>
      </c>
      <c r="R883" s="73">
        <f>IF(tech_base!$T259&gt;R$625,"",(1000*tech_proj!R1223*(-PMT($J$110,tech_base!$F259,1))+1000*tech_proj!R1503)/((1-tech_proj!R663)*tech_proj!R943*$L$110))</f>
        <v>239.36295038868758</v>
      </c>
      <c r="S883" s="73">
        <f>IF(tech_base!$T259&gt;S$625,"",(1000*tech_proj!S1223*(-PMT($J$110,tech_base!$F259,1))+1000*tech_proj!S1503)/((1-tech_proj!S663)*tech_proj!S943*$L$110))</f>
        <v>238.95861713246845</v>
      </c>
      <c r="T883" s="73">
        <f>IF(tech_base!$T259&gt;T$625,"",(1000*tech_proj!T1223*(-PMT($J$110,tech_base!$F259,1))+1000*tech_proj!T1503)/((1-tech_proj!T663)*tech_proj!T943*$L$110))</f>
        <v>238.49104215457137</v>
      </c>
      <c r="U883" s="73">
        <f>IF(tech_base!$T259&gt;U$625,"",(1000*tech_proj!U1223*(-PMT($J$110,tech_base!$F259,1))+1000*tech_proj!U1503)/((1-tech_proj!U663)*tech_proj!U943*$L$110))</f>
        <v>237.95073889361223</v>
      </c>
      <c r="V883" s="73">
        <f>IF(tech_base!$T259&gt;V$625,"",(1000*tech_proj!V1223*(-PMT($J$110,tech_base!$F259,1))+1000*tech_proj!V1503)/((1-tech_proj!V663)*tech_proj!V943*$L$110))</f>
        <v>237.32693661302301</v>
      </c>
      <c r="W883" s="73">
        <f>IF(tech_base!$T259&gt;W$625,"",(1000*tech_proj!W1223*(-PMT($J$110,tech_base!$F259,1))+1000*tech_proj!W1503)/((1-tech_proj!W663)*tech_proj!W943*$L$110))</f>
        <v>236.60745456817219</v>
      </c>
      <c r="X883" s="73">
        <f>IF(tech_base!$T259&gt;X$625,"",(1000*tech_proj!X1223*(-PMT($J$110,tech_base!$F259,1))+1000*tech_proj!X1503)/((1-tech_proj!X663)*tech_proj!X943*$L$110))</f>
        <v>235.77858133474254</v>
      </c>
      <c r="Y883" s="73">
        <f>IF(tech_base!$T259&gt;Y$625,"",(1000*tech_proj!Y1223*(-PMT($J$110,tech_base!$F259,1))+1000*tech_proj!Y1503)/((1-tech_proj!Y663)*tech_proj!Y943*$L$110))</f>
        <v>234.82496739765537</v>
      </c>
      <c r="Z883" s="73">
        <f>IF(tech_base!$T259&gt;Z$625,"",(1000*tech_proj!Z1223*(-PMT($J$110,tech_base!$F259,1))+1000*tech_proj!Z1503)/((1-tech_proj!Z663)*tech_proj!Z943*$L$110))</f>
        <v>233.7295421049954</v>
      </c>
      <c r="AA883" s="73">
        <f>IF(tech_base!$T259&gt;AA$625,"",(1000*tech_proj!AA1223*(-PMT($J$110,tech_base!$F259,1))+1000*tech_proj!AA1503)/((1-tech_proj!AA663)*tech_proj!AA943*$L$110))</f>
        <v>232.47346976972742</v>
      </c>
      <c r="AB883" s="73">
        <f>IF(tech_base!$T259&gt;AB$625,"",(1000*tech_proj!AB1223*(-PMT($J$110,tech_base!$F259,1))+1000*tech_proj!AB1503)/((1-tech_proj!AB663)*tech_proj!AB943*$L$110))</f>
        <v>231.03616405197971</v>
      </c>
      <c r="AC883" s="73">
        <f>IF(tech_base!$T259&gt;AC$625,"",(1000*tech_proj!AC1223*(-PMT($J$110,tech_base!$F259,1))+1000*tech_proj!AC1503)/((1-tech_proj!AC663)*tech_proj!AC943*$L$110))</f>
        <v>229.39538467399714</v>
      </c>
      <c r="AD883" s="73">
        <f>IF(tech_base!$T259&gt;AD$625,"",(1000*tech_proj!AD1223*(-PMT($J$110,tech_base!$F259,1))+1000*tech_proj!AD1503)/((1-tech_proj!AD663)*tech_proj!AD943*$L$110))</f>
        <v>227.52744574309907</v>
      </c>
      <c r="AE883" s="73">
        <f>IF(tech_base!$T259&gt;AE$625,"",(1000*tech_proj!AE1223*(-PMT($J$110,tech_base!$F259,1))+1000*tech_proj!AE1503)/((1-tech_proj!AE663)*tech_proj!AE943*$L$110))</f>
        <v>225.40756997557338</v>
      </c>
      <c r="AF883" s="73">
        <f>IF(tech_base!$T259&gt;AF$625,"",(1000*tech_proj!AF1223*(-PMT($J$110,tech_base!$F259,1))+1000*tech_proj!AF1503)/((1-tech_proj!AF663)*tech_proj!AF943*$L$110))</f>
        <v>223.01042707692787</v>
      </c>
      <c r="AG883" s="73">
        <f>IF(tech_base!$T259&gt;AG$625,"",(1000*tech_proj!AG1223*(-PMT($J$110,tech_base!$F259,1))+1000*tech_proj!AG1503)/((1-tech_proj!AG663)*tech_proj!AG943*$L$110))</f>
        <v>220.31089615450409</v>
      </c>
      <c r="AH883" s="73">
        <f>IF(tech_base!$T259&gt;AH$625,"",(1000*tech_proj!AH1223*(-PMT($J$110,tech_base!$F259,1))+1000*tech_proj!AH1503)/((1-tech_proj!AH663)*tech_proj!AH943*$L$110))</f>
        <v>217.28508952205752</v>
      </c>
      <c r="AI883" s="73">
        <f>IF(tech_base!$T259&gt;AI$625,"",(1000*tech_proj!AI1223*(-PMT($J$110,tech_base!$F259,1))+1000*tech_proj!AI1503)/((1-tech_proj!AI663)*tech_proj!AI943*$L$110))</f>
        <v>213.91166630409904</v>
      </c>
      <c r="AJ883" s="73">
        <f>IF(tech_base!$T259&gt;AJ$625,"",(1000*tech_proj!AJ1223*(-PMT($J$110,tech_base!$F259,1))+1000*tech_proj!AJ1503)/((1-tech_proj!AJ663)*tech_proj!AJ943*$L$110))</f>
        <v>210.17344621402401</v>
      </c>
      <c r="AK883" s="73">
        <f>IF(tech_base!$T259&gt;AK$625,"",(1000*tech_proj!AK1223*(-PMT($J$110,tech_base!$F259,1))+1000*tech_proj!AK1503)/((1-tech_proj!AK663)*tech_proj!AK943*$L$110))</f>
        <v>206.05930417103204</v>
      </c>
      <c r="AL883" s="73">
        <f>IF(tech_base!$T259&gt;AL$625,"",(1000*tech_proj!AL1223*(-PMT($J$110,tech_base!$F259,1))+1000*tech_proj!AL1503)/((1-tech_proj!AL663)*tech_proj!AL943*$L$110))</f>
        <v>201.56628324063843</v>
      </c>
      <c r="AM883" s="73">
        <f>IF(tech_base!$T259&gt;AM$625,"",(1000*tech_proj!AM1223*(-PMT($J$110,tech_base!$F259,1))+1000*tech_proj!AM1503)/((1-tech_proj!AM663)*tech_proj!AM943*$L$110))</f>
        <v>196.7018068715094</v>
      </c>
      <c r="AN883" s="73">
        <f>IF(tech_base!$T259&gt;AN$625,"",(1000*tech_proj!AN1223*(-PMT($J$110,tech_base!$F259,1))+1000*tech_proj!AN1503)/((1-tech_proj!AN663)*tech_proj!AN943*$L$110))</f>
        <v>191.48580508897138</v>
      </c>
      <c r="AO883" s="73">
        <f>IF(tech_base!$T259&gt;AO$625,"",(1000*tech_proj!AO1223*(-PMT($J$110,tech_base!$F259,1))+1000*tech_proj!AO1503)/((1-tech_proj!AO663)*tech_proj!AO943*$L$110))</f>
        <v>185.95250159119732</v>
      </c>
      <c r="AP883" s="73">
        <f>IF(tech_base!$T259&gt;AP$625,"",(1000*tech_proj!AP1223*(-PMT($J$110,tech_base!$F259,1))+1000*tech_proj!AP1503)/((1-tech_proj!AP663)*tech_proj!AP943*$L$110))</f>
        <v>180.15155372179311</v>
      </c>
      <c r="AQ883" s="73">
        <f>IF(tech_base!$T259&gt;AQ$625,"",(1000*tech_proj!AQ1223*(-PMT($J$110,tech_base!$F259,1))+1000*tech_proj!AQ1503)/((1-tech_proj!AQ663)*tech_proj!AQ943*$L$110))</f>
        <v>174.1482143290423</v>
      </c>
      <c r="AR883" s="73">
        <f>IF(tech_base!$T259&gt;AR$625,"",(1000*tech_proj!AR1223*(-PMT($J$110,tech_base!$F259,1))+1000*tech_proj!AR1503)/((1-tech_proj!AR663)*tech_proj!AR943*$L$110))</f>
        <v>168.02221486537226</v>
      </c>
      <c r="AS883" s="73">
        <f>IF(tech_base!$T259&gt;AS$625,"",(1000*tech_proj!AS1223*(-PMT($J$110,tech_base!$F259,1))+1000*tech_proj!AS1503)/((1-tech_proj!AS663)*tech_proj!AS943*$L$110))</f>
        <v>161.86516999498835</v>
      </c>
      <c r="AT883" s="73">
        <f>IF(tech_base!$T259&gt;AT$625,"",(1000*tech_proj!AT1223*(-PMT($J$110,tech_base!$F259,1))+1000*tech_proj!AT1503)/((1-tech_proj!AT663)*tech_proj!AT943*$L$110))</f>
        <v>155.77648034669386</v>
      </c>
      <c r="AU883" s="73">
        <f>IF(tech_base!$T259&gt;AU$625,"",(1000*tech_proj!AU1223*(-PMT($J$110,tech_base!$F259,1))+1000*tech_proj!AU1503)/((1-tech_proj!AU663)*tech_proj!AU943*$L$110))</f>
        <v>149.85794622022075</v>
      </c>
      <c r="AV883" s="73">
        <f>IF(tech_base!$T259&gt;AV$625,"",(1000*tech_proj!AV1223*(-PMT($J$110,tech_base!$F259,1))+1000*tech_proj!AV1503)/((1-tech_proj!AV663)*tech_proj!AV943*$L$110))</f>
        <v>144.20756096740448</v>
      </c>
      <c r="AW883" s="73">
        <f>IF(tech_base!$T259&gt;AW$625,"",(1000*tech_proj!AW1223*(-PMT($J$110,tech_base!$F259,1))+1000*tech_proj!AW1503)/((1-tech_proj!AW663)*tech_proj!AW943*$L$110))</f>
        <v>138.91316862000605</v>
      </c>
      <c r="AX883" s="239">
        <f>IF(tech_base!$T259&gt;AX$625,"",(1000*tech_proj!AX1223*(-PMT($J$110,tech_base!$F259,1))+1000*tech_proj!AX1503)/((1-tech_proj!AX663)*tech_proj!AX943*$L$110))</f>
        <v>134.04678157976161</v>
      </c>
    </row>
    <row r="884" spans="1:50" x14ac:dyDescent="0.25">
      <c r="A884" s="355" t="s">
        <v>40</v>
      </c>
      <c r="B884" s="5" t="s">
        <v>41</v>
      </c>
      <c r="C884" s="6" t="s">
        <v>6</v>
      </c>
      <c r="D884" s="60" t="s">
        <v>8</v>
      </c>
      <c r="E884" s="170" t="str">
        <f>A884&amp;"/"&amp;B884&amp;"/"&amp;C884&amp;"/"&amp;D884</f>
        <v>Tide, wave and ocean power plants/Tidal/Electricity only/M</v>
      </c>
      <c r="F884" s="81" t="str">
        <f>A884</f>
        <v>Tide, wave and ocean power plants</v>
      </c>
      <c r="G884" s="81" t="str">
        <f>B884</f>
        <v>Tidal</v>
      </c>
      <c r="H884" s="81" t="str">
        <f>C884</f>
        <v>Electricity only</v>
      </c>
      <c r="I884" s="171" t="str">
        <f t="shared" si="366"/>
        <v>M</v>
      </c>
      <c r="J884" s="74">
        <f>IF(tech_base!$T260&gt;J$625,"",(1000*tech_proj!J1224*(-PMT($J$110,tech_base!$F260,1))+1000*tech_proj!J1504)/((1-tech_proj!J664)*tech_proj!J944*$L$110))</f>
        <v>238.80309679072627</v>
      </c>
      <c r="K884" s="74">
        <f>IF(tech_base!$T260&gt;K$625,"",(1000*tech_proj!K1224*(-PMT($J$110,tech_base!$F260,1))+1000*tech_proj!K1504)/((1-tech_proj!K664)*tech_proj!K944*$L$110))</f>
        <v>237.99902505223218</v>
      </c>
      <c r="L884" s="74">
        <f>IF(tech_base!$T260&gt;L$625,"",(1000*tech_proj!L1224*(-PMT($J$110,tech_base!$F260,1))+1000*tech_proj!L1504)/((1-tech_proj!L664)*tech_proj!L944*$L$110))</f>
        <v>237.11643552690492</v>
      </c>
      <c r="M884" s="74">
        <f>IF(tech_base!$T260&gt;M$625,"",(1000*tech_proj!M1224*(-PMT($J$110,tech_base!$F260,1))+1000*tech_proj!M1504)/((1-tech_proj!M664)*tech_proj!M944*$L$110))</f>
        <v>236.14834585912274</v>
      </c>
      <c r="N884" s="74">
        <f>IF(tech_base!$T260&gt;N$625,"",(1000*tech_proj!N1224*(-PMT($J$110,tech_base!$F260,1))+1000*tech_proj!N1504)/((1-tech_proj!N664)*tech_proj!N944*$L$110))</f>
        <v>235.08730044810756</v>
      </c>
      <c r="O884" s="74">
        <f>IF(tech_base!$T260&gt;O$625,"",(1000*tech_proj!O1224*(-PMT($J$110,tech_base!$F260,1))+1000*tech_proj!O1504)/((1-tech_proj!O664)*tech_proj!O944*$L$110))</f>
        <v>233.92537146247878</v>
      </c>
      <c r="P884" s="74">
        <f>IF(tech_base!$T260&gt;P$625,"",(1000*tech_proj!P1224*(-PMT($J$110,tech_base!$F260,1))+1000*tech_proj!P1504)/((1-tech_proj!P664)*tech_proj!P944*$L$110))</f>
        <v>232.65416894861281</v>
      </c>
      <c r="Q884" s="74">
        <f>IF(tech_base!$T260&gt;Q$625,"",(1000*tech_proj!Q1224*(-PMT($J$110,tech_base!$F260,1))+1000*tech_proj!Q1504)/((1-tech_proj!Q664)*tech_proj!Q944*$L$110))</f>
        <v>231.26486228075277</v>
      </c>
      <c r="R884" s="74">
        <f>IF(tech_base!$T260&gt;R$625,"",(1000*tech_proj!R1224*(-PMT($J$110,tech_base!$F260,1))+1000*tech_proj!R1504)/((1-tech_proj!R664)*tech_proj!R944*$L$110))</f>
        <v>229.74821551986679</v>
      </c>
      <c r="S884" s="74">
        <f>IF(tech_base!$T260&gt;S$625,"",(1000*tech_proj!S1224*(-PMT($J$110,tech_base!$F260,1))+1000*tech_proj!S1504)/((1-tech_proj!S664)*tech_proj!S944*$L$110))</f>
        <v>228.09463956577727</v>
      </c>
      <c r="T884" s="74">
        <f>IF(tech_base!$T260&gt;T$625,"",(1000*tech_proj!T1224*(-PMT($J$110,tech_base!$F260,1))+1000*tech_proj!T1504)/((1-tech_proj!T664)*tech_proj!T944*$L$110))</f>
        <v>226.29426428378602</v>
      </c>
      <c r="U884" s="74">
        <f>IF(tech_base!$T260&gt;U$625,"",(1000*tech_proj!U1224*(-PMT($J$110,tech_base!$F260,1))+1000*tech_proj!U1504)/((1-tech_proj!U664)*tech_proj!U944*$L$110))</f>
        <v>224.33703403624193</v>
      </c>
      <c r="V884" s="74">
        <f>IF(tech_base!$T260&gt;V$625,"",(1000*tech_proj!V1224*(-PMT($J$110,tech_base!$F260,1))+1000*tech_proj!V1504)/((1-tech_proj!V664)*tech_proj!V944*$L$110))</f>
        <v>222.2128302156502</v>
      </c>
      <c r="W884" s="74">
        <f>IF(tech_base!$T260&gt;W$625,"",(1000*tech_proj!W1224*(-PMT($J$110,tech_base!$F260,1))+1000*tech_proj!W1504)/((1-tech_proj!W664)*tech_proj!W944*$L$110))</f>
        <v>219.91162441339836</v>
      </c>
      <c r="X884" s="74">
        <f>IF(tech_base!$T260&gt;X$625,"",(1000*tech_proj!X1224*(-PMT($J$110,tech_base!$F260,1))+1000*tech_proj!X1504)/((1-tech_proj!X664)*tech_proj!X944*$L$110))</f>
        <v>217.42366571026079</v>
      </c>
      <c r="Y884" s="74">
        <f>IF(tech_base!$T260&gt;Y$625,"",(1000*tech_proj!Y1224*(-PMT($J$110,tech_base!$F260,1))+1000*tech_proj!Y1504)/((1-tech_proj!Y664)*tech_proj!Y944*$L$110))</f>
        <v>214.73970517381721</v>
      </c>
      <c r="Z884" s="74">
        <f>IF(tech_base!$T260&gt;Z$625,"",(1000*tech_proj!Z1224*(-PMT($J$110,tech_base!$F260,1))+1000*tech_proj!Z1504)/((1-tech_proj!Z664)*tech_proj!Z944*$L$110))</f>
        <v>211.85125991606432</v>
      </c>
      <c r="AA884" s="74">
        <f>IF(tech_base!$T260&gt;AA$625,"",(1000*tech_proj!AA1224*(-PMT($J$110,tech_base!$F260,1))+1000*tech_proj!AA1504)/((1-tech_proj!AA664)*tech_proj!AA944*$L$110))</f>
        <v>208.75091791722542</v>
      </c>
      <c r="AB884" s="74">
        <f>IF(tech_base!$T260&gt;AB$625,"",(1000*tech_proj!AB1224*(-PMT($J$110,tech_base!$F260,1))+1000*tech_proj!AB1504)/((1-tech_proj!AB664)*tech_proj!AB944*$L$110))</f>
        <v>205.43268317332206</v>
      </c>
      <c r="AC884" s="74">
        <f>IF(tech_base!$T260&gt;AC$625,"",(1000*tech_proj!AC1224*(-PMT($J$110,tech_base!$F260,1))+1000*tech_proj!AC1504)/((1-tech_proj!AC664)*tech_proj!AC944*$L$110))</f>
        <v>201.89235849755403</v>
      </c>
      <c r="AD884" s="74">
        <f>IF(tech_base!$T260&gt;AD$625,"",(1000*tech_proj!AD1224*(-PMT($J$110,tech_base!$F260,1))+1000*tech_proj!AD1504)/((1-tech_proj!AD664)*tech_proj!AD944*$L$110))</f>
        <v>198.12796044218979</v>
      </c>
      <c r="AE884" s="74">
        <f>IF(tech_base!$T260&gt;AE$625,"",(1000*tech_proj!AE1224*(-PMT($J$110,tech_base!$F260,1))+1000*tech_proj!AE1504)/((1-tech_proj!AE664)*tech_proj!AE944*$L$110))</f>
        <v>194.14015729046397</v>
      </c>
      <c r="AF884" s="74">
        <f>IF(tech_base!$T260&gt;AF$625,"",(1000*tech_proj!AF1224*(-PMT($J$110,tech_base!$F260,1))+1000*tech_proj!AF1504)/((1-tech_proj!AF664)*tech_proj!AF944*$L$110))</f>
        <v>189.93271693973088</v>
      </c>
      <c r="AG884" s="74">
        <f>IF(tech_base!$T260&gt;AG$625,"",(1000*tech_proj!AG1224*(-PMT($J$110,tech_base!$F260,1))+1000*tech_proj!AG1504)/((1-tech_proj!AG664)*tech_proj!AG944*$L$110))</f>
        <v>185.51294688660741</v>
      </c>
      <c r="AH884" s="74">
        <f>IF(tech_base!$T260&gt;AH$625,"",(1000*tech_proj!AH1224*(-PMT($J$110,tech_base!$F260,1))+1000*tech_proj!AH1504)/((1-tech_proj!AH664)*tech_proj!AH944*$L$110))</f>
        <v>180.89210367262848</v>
      </c>
      <c r="AI884" s="74">
        <f>IF(tech_base!$T260&gt;AI$625,"",(1000*tech_proj!AI1224*(-PMT($J$110,tech_base!$F260,1))+1000*tech_proj!AI1504)/((1-tech_proj!AI664)*tech_proj!AI944*$L$110))</f>
        <v>176.08574442940656</v>
      </c>
      <c r="AJ884" s="74">
        <f>IF(tech_base!$T260&gt;AJ$625,"",(1000*tech_proj!AJ1224*(-PMT($J$110,tech_base!$F260,1))+1000*tech_proj!AJ1504)/((1-tech_proj!AJ664)*tech_proj!AJ944*$L$110))</f>
        <v>171.11398909558827</v>
      </c>
      <c r="AK884" s="74">
        <f>IF(tech_base!$T260&gt;AK$625,"",(1000*tech_proj!AK1224*(-PMT($J$110,tech_base!$F260,1))+1000*tech_proj!AK1504)/((1-tech_proj!AK664)*tech_proj!AK944*$L$110))</f>
        <v>166.00165912352597</v>
      </c>
      <c r="AL884" s="74">
        <f>IF(tech_base!$T260&gt;AL$625,"",(1000*tech_proj!AL1224*(-PMT($J$110,tech_base!$F260,1))+1000*tech_proj!AL1504)/((1-tech_proj!AL664)*tech_proj!AL944*$L$110))</f>
        <v>160.77825781664635</v>
      </c>
      <c r="AM884" s="74">
        <f>IF(tech_base!$T260&gt;AM$625,"",(1000*tech_proj!AM1224*(-PMT($J$110,tech_base!$F260,1))+1000*tech_proj!AM1504)/((1-tech_proj!AM664)*tech_proj!AM944*$L$110))</f>
        <v>155.47775964023961</v>
      </c>
      <c r="AN884" s="74">
        <f>IF(tech_base!$T260&gt;AN$625,"",(1000*tech_proj!AN1224*(-PMT($J$110,tech_base!$F260,1))+1000*tech_proj!AN1504)/((1-tech_proj!AN664)*tech_proj!AN944*$L$110))</f>
        <v>150.13818165636926</v>
      </c>
      <c r="AO884" s="74">
        <f>IF(tech_base!$T260&gt;AO$625,"",(1000*tech_proj!AO1224*(-PMT($J$110,tech_base!$F260,1))+1000*tech_proj!AO1504)/((1-tech_proj!AO664)*tech_proj!AO944*$L$110))</f>
        <v>144.80092015400956</v>
      </c>
      <c r="AP884" s="74">
        <f>IF(tech_base!$T260&gt;AP$625,"",(1000*tech_proj!AP1224*(-PMT($J$110,tech_base!$F260,1))+1000*tech_proj!AP1504)/((1-tech_proj!AP664)*tech_proj!AP944*$L$110))</f>
        <v>139.50984969100739</v>
      </c>
      <c r="AQ884" s="74">
        <f>IF(tech_base!$T260&gt;AQ$625,"",(1000*tech_proj!AQ1224*(-PMT($J$110,tech_base!$F260,1))+1000*tech_proj!AQ1504)/((1-tech_proj!AQ664)*tech_proj!AQ944*$L$110))</f>
        <v>134.31019968414012</v>
      </c>
      <c r="AR884" s="74">
        <f>IF(tech_base!$T260&gt;AR$625,"",(1000*tech_proj!AR1224*(-PMT($J$110,tech_base!$F260,1))+1000*tech_proj!AR1504)/((1-tech_proj!AR664)*tech_proj!AR944*$L$110))</f>
        <v>129.24724423503551</v>
      </c>
      <c r="AS884" s="74">
        <f>IF(tech_base!$T260&gt;AS$625,"",(1000*tech_proj!AS1224*(-PMT($J$110,tech_base!$F260,1))+1000*tech_proj!AS1504)/((1-tech_proj!AS664)*tech_proj!AS944*$L$110))</f>
        <v>124.36486219132006</v>
      </c>
      <c r="AT884" s="74">
        <f>IF(tech_base!$T260&gt;AT$625,"",(1000*tech_proj!AT1224*(-PMT($J$110,tech_base!$F260,1))+1000*tech_proj!AT1504)/((1-tech_proj!AT664)*tech_proj!AT944*$L$110))</f>
        <v>119.70404401135566</v>
      </c>
      <c r="AU884" s="74">
        <f>IF(tech_base!$T260&gt;AU$625,"",(1000*tech_proj!AU1224*(-PMT($J$110,tech_base!$F260,1))+1000*tech_proj!AU1504)/((1-tech_proj!AU664)*tech_proj!AU944*$L$110))</f>
        <v>115.30143695674296</v>
      </c>
      <c r="AV884" s="74">
        <f>IF(tech_base!$T260&gt;AV$625,"",(1000*tech_proj!AV1224*(-PMT($J$110,tech_base!$F260,1))+1000*tech_proj!AV1504)/((1-tech_proj!AV664)*tech_proj!AV944*$L$110))</f>
        <v>111.18802766399193</v>
      </c>
      <c r="AW884" s="74">
        <f>IF(tech_base!$T260&gt;AW$625,"",(1000*tech_proj!AW1224*(-PMT($J$110,tech_base!$F260,1))+1000*tech_proj!AW1504)/((1-tech_proj!AW664)*tech_proj!AW944*$L$110))</f>
        <v>107.38805901631244</v>
      </c>
      <c r="AX884" s="240">
        <f>IF(tech_base!$T260&gt;AX$625,"",(1000*tech_proj!AX1224*(-PMT($J$110,tech_base!$F260,1))+1000*tech_proj!AX1504)/((1-tech_proj!AX664)*tech_proj!AX944*$L$110))</f>
        <v>103.91826534576644</v>
      </c>
    </row>
    <row r="885" spans="1:50" x14ac:dyDescent="0.25">
      <c r="A885" s="375"/>
      <c r="B885" s="279" t="s">
        <v>42</v>
      </c>
      <c r="C885" s="7" t="s">
        <v>6</v>
      </c>
      <c r="D885" s="4" t="s">
        <v>8</v>
      </c>
      <c r="E885" s="168" t="str">
        <f>A884&amp;"/"&amp;B885&amp;"/"&amp;C885&amp;"/"&amp;D885</f>
        <v>Tide, wave and ocean power plants/Wave/Electricity only/M</v>
      </c>
      <c r="F885" s="80" t="str">
        <f>A884</f>
        <v>Tide, wave and ocean power plants</v>
      </c>
      <c r="G885" s="80" t="str">
        <f>B885</f>
        <v>Wave</v>
      </c>
      <c r="H885" s="80" t="str">
        <f>C885</f>
        <v>Electricity only</v>
      </c>
      <c r="I885" s="169" t="str">
        <f t="shared" si="366"/>
        <v>M</v>
      </c>
      <c r="J885" s="73">
        <f>IF(tech_base!$T261&gt;J$625,"",(1000*tech_proj!J1225*(-PMT($J$110,tech_base!$F261,1))+1000*tech_proj!J1505)/((1-tech_proj!J665)*tech_proj!J945*$L$110))</f>
        <v>263.84111551027473</v>
      </c>
      <c r="K885" s="73">
        <f>IF(tech_base!$T261&gt;K$625,"",(1000*tech_proj!K1225*(-PMT($J$110,tech_base!$F261,1))+1000*tech_proj!K1505)/((1-tech_proj!K665)*tech_proj!K945*$L$110))</f>
        <v>263.00404514089877</v>
      </c>
      <c r="L885" s="73">
        <f>IF(tech_base!$T261&gt;L$625,"",(1000*tech_proj!L1225*(-PMT($J$110,tech_base!$F261,1))+1000*tech_proj!L1505)/((1-tech_proj!L665)*tech_proj!L945*$L$110))</f>
        <v>262.08466744394025</v>
      </c>
      <c r="M885" s="73">
        <f>IF(tech_base!$T261&gt;M$625,"",(1000*tech_proj!M1225*(-PMT($J$110,tech_base!$F261,1))+1000*tech_proj!M1505)/((1-tech_proj!M665)*tech_proj!M945*$L$110))</f>
        <v>261.07553823810514</v>
      </c>
      <c r="N885" s="73">
        <f>IF(tech_base!$T261&gt;N$625,"",(1000*tech_proj!N1225*(-PMT($J$110,tech_base!$F261,1))+1000*tech_proj!N1505)/((1-tech_proj!N665)*tech_proj!N945*$L$110))</f>
        <v>259.96867994731565</v>
      </c>
      <c r="O885" s="73">
        <f>IF(tech_base!$T261&gt;O$625,"",(1000*tech_proj!O1225*(-PMT($J$110,tech_base!$F261,1))+1000*tech_proj!O1505)/((1-tech_proj!O665)*tech_proj!O945*$L$110))</f>
        <v>258.75557450804467</v>
      </c>
      <c r="P885" s="73">
        <f>IF(tech_base!$T261&gt;P$625,"",(1000*tech_proj!P1225*(-PMT($J$110,tech_base!$F261,1))+1000*tech_proj!P1505)/((1-tech_proj!P665)*tech_proj!P945*$L$110))</f>
        <v>257.42716436578974</v>
      </c>
      <c r="Q885" s="73">
        <f>IF(tech_base!$T261&gt;Q$625,"",(1000*tech_proj!Q1225*(-PMT($J$110,tech_base!$F261,1))+1000*tech_proj!Q1505)/((1-tech_proj!Q665)*tech_proj!Q945*$L$110))</f>
        <v>255.97386373992126</v>
      </c>
      <c r="R885" s="73">
        <f>IF(tech_base!$T261&gt;R$625,"",(1000*tech_proj!R1225*(-PMT($J$110,tech_base!$F261,1))+1000*tech_proj!R1505)/((1-tech_proj!R665)*tech_proj!R945*$L$110))</f>
        <v>254.38558267462207</v>
      </c>
      <c r="S885" s="73">
        <f>IF(tech_base!$T261&gt;S$625,"",(1000*tech_proj!S1225*(-PMT($J$110,tech_base!$F261,1))+1000*tech_proj!S1505)/((1-tech_proj!S665)*tech_proj!S945*$L$110))</f>
        <v>252.65176674240203</v>
      </c>
      <c r="T885" s="73">
        <f>IF(tech_base!$T261&gt;T$625,"",(1000*tech_proj!T1225*(-PMT($J$110,tech_base!$F261,1))+1000*tech_proj!T1505)/((1-tech_proj!T665)*tech_proj!T945*$L$110))</f>
        <v>250.7614556101374</v>
      </c>
      <c r="U885" s="73">
        <f>IF(tech_base!$T261&gt;U$625,"",(1000*tech_proj!U1225*(-PMT($J$110,tech_base!$F261,1))+1000*tech_proj!U1505)/((1-tech_proj!U665)*tech_proj!U945*$L$110))</f>
        <v>248.70336399350433</v>
      </c>
      <c r="V885" s="73">
        <f>IF(tech_base!$T261&gt;V$625,"",(1000*tech_proj!V1225*(-PMT($J$110,tech_base!$F261,1))+1000*tech_proj!V1505)/((1-tech_proj!V665)*tech_proj!V945*$L$110))</f>
        <v>246.46598878353365</v>
      </c>
      <c r="W885" s="73">
        <f>IF(tech_base!$T261&gt;W$625,"",(1000*tech_proj!W1225*(-PMT($J$110,tech_base!$F261,1))+1000*tech_proj!W1505)/((1-tech_proj!W665)*tech_proj!W945*$L$110))</f>
        <v>244.03774628869749</v>
      </c>
      <c r="X885" s="73">
        <f>IF(tech_base!$T261&gt;X$625,"",(1000*tech_proj!X1225*(-PMT($J$110,tech_base!$F261,1))+1000*tech_proj!X1505)/((1-tech_proj!X665)*tech_proj!X945*$L$110))</f>
        <v>241.40714354645732</v>
      </c>
      <c r="Y885" s="73">
        <f>IF(tech_base!$T261&gt;Y$625,"",(1000*tech_proj!Y1225*(-PMT($J$110,tech_base!$F261,1))+1000*tech_proj!Y1505)/((1-tech_proj!Y665)*tech_proj!Y945*$L$110))</f>
        <v>238.56298745702225</v>
      </c>
      <c r="Z885" s="73">
        <f>IF(tech_base!$T261&gt;Z$625,"",(1000*tech_proj!Z1225*(-PMT($J$110,tech_base!$F261,1))+1000*tech_proj!Z1505)/((1-tech_proj!Z665)*tech_proj!Z945*$L$110))</f>
        <v>235.49463500544186</v>
      </c>
      <c r="AA885" s="73">
        <f>IF(tech_base!$T261&gt;AA$625,"",(1000*tech_proj!AA1225*(-PMT($J$110,tech_base!$F261,1))+1000*tech_proj!AA1505)/((1-tech_proj!AA665)*tech_proj!AA945*$L$110))</f>
        <v>232.19228698282913</v>
      </c>
      <c r="AB885" s="73">
        <f>IF(tech_base!$T261&gt;AB$625,"",(1000*tech_proj!AB1225*(-PMT($J$110,tech_base!$F261,1))+1000*tech_proj!AB1505)/((1-tech_proj!AB665)*tech_proj!AB945*$L$110))</f>
        <v>228.6473263047148</v>
      </c>
      <c r="AC885" s="73">
        <f>IF(tech_base!$T261&gt;AC$625,"",(1000*tech_proj!AC1225*(-PMT($J$110,tech_base!$F261,1))+1000*tech_proj!AC1505)/((1-tech_proj!AC665)*tech_proj!AC945*$L$110))</f>
        <v>224.85270016686471</v>
      </c>
      <c r="AD885" s="73">
        <f>IF(tech_base!$T261&gt;AD$625,"",(1000*tech_proj!AD1225*(-PMT($J$110,tech_base!$F261,1))+1000*tech_proj!AD1505)/((1-tech_proj!AD665)*tech_proj!AD945*$L$110))</f>
        <v>220.80334280078196</v>
      </c>
      <c r="AE885" s="73">
        <f>IF(tech_base!$T261&gt;AE$625,"",(1000*tech_proj!AE1225*(-PMT($J$110,tech_base!$F261,1))+1000*tech_proj!AE1505)/((1-tech_proj!AE665)*tech_proj!AE945*$L$110))</f>
        <v>216.49663244367864</v>
      </c>
      <c r="AF885" s="73">
        <f>IF(tech_base!$T261&gt;AF$625,"",(1000*tech_proj!AF1225*(-PMT($J$110,tech_base!$F261,1))+1000*tech_proj!AF1505)/((1-tech_proj!AF665)*tech_proj!AF945*$L$110))</f>
        <v>211.93287231788869</v>
      </c>
      <c r="AG885" s="73">
        <f>IF(tech_base!$T261&gt;AG$625,"",(1000*tech_proj!AG1225*(-PMT($J$110,tech_base!$F261,1))+1000*tech_proj!AG1505)/((1-tech_proj!AG665)*tech_proj!AG945*$L$110))</f>
        <v>207.11578098843361</v>
      </c>
      <c r="AH885" s="73">
        <f>IF(tech_base!$T261&gt;AH$625,"",(1000*tech_proj!AH1225*(-PMT($J$110,tech_base!$F261,1))+1000*tech_proj!AH1505)/((1-tech_proj!AH665)*tech_proj!AH945*$L$110))</f>
        <v>202.0529725949566</v>
      </c>
      <c r="AI885" s="73">
        <f>IF(tech_base!$T261&gt;AI$625,"",(1000*tech_proj!AI1225*(-PMT($J$110,tech_base!$F261,1))+1000*tech_proj!AI1505)/((1-tech_proj!AI665)*tech_proj!AI945*$L$110))</f>
        <v>196.7564024145143</v>
      </c>
      <c r="AJ885" s="73">
        <f>IF(tech_base!$T261&gt;AJ$625,"",(1000*tech_proj!AJ1225*(-PMT($J$110,tech_base!$F261,1))+1000*tech_proj!AJ1505)/((1-tech_proj!AJ665)*tech_proj!AJ945*$L$110))</f>
        <v>191.24274842104458</v>
      </c>
      <c r="AK885" s="73">
        <f>IF(tech_base!$T261&gt;AK$625,"",(1000*tech_proj!AK1225*(-PMT($J$110,tech_base!$F261,1))+1000*tech_proj!AK1505)/((1-tech_proj!AK665)*tech_proj!AK945*$L$110))</f>
        <v>185.53369552527991</v>
      </c>
      <c r="AL885" s="73">
        <f>IF(tech_base!$T261&gt;AL$625,"",(1000*tech_proj!AL1225*(-PMT($J$110,tech_base!$F261,1))+1000*tech_proj!AL1505)/((1-tech_proj!AL665)*tech_proj!AL945*$L$110))</f>
        <v>179.65608669329404</v>
      </c>
      <c r="AM885" s="73">
        <f>IF(tech_base!$T261&gt;AM$625,"",(1000*tech_proj!AM1225*(-PMT($J$110,tech_base!$F261,1))+1000*tech_proj!AM1505)/((1-tech_proj!AM665)*tech_proj!AM945*$L$110))</f>
        <v>173.64190492481771</v>
      </c>
      <c r="AN885" s="73">
        <f>IF(tech_base!$T261&gt;AN$625,"",(1000*tech_proj!AN1225*(-PMT($J$110,tech_base!$F261,1))+1000*tech_proj!AN1505)/((1-tech_proj!AN665)*tech_proj!AN945*$L$110))</f>
        <v>167.52805290036687</v>
      </c>
      <c r="AO885" s="73">
        <f>IF(tech_base!$T261&gt;AO$625,"",(1000*tech_proj!AO1225*(-PMT($J$110,tech_base!$F261,1))+1000*tech_proj!AO1505)/((1-tech_proj!AO665)*tech_proj!AO945*$L$110))</f>
        <v>161.35590364260023</v>
      </c>
      <c r="AP885" s="73">
        <f>IF(tech_base!$T261&gt;AP$625,"",(1000*tech_proj!AP1225*(-PMT($J$110,tech_base!$F261,1))+1000*tech_proj!AP1505)/((1-tech_proj!AP665)*tech_proj!AP945*$L$110))</f>
        <v>155.17060618419958</v>
      </c>
      <c r="AQ885" s="73">
        <f>IF(tech_base!$T261&gt;AQ$625,"",(1000*tech_proj!AQ1225*(-PMT($J$110,tech_base!$F261,1))+1000*tech_proj!AQ1505)/((1-tech_proj!AQ665)*tech_proj!AQ945*$L$110))</f>
        <v>149.02014496985569</v>
      </c>
      <c r="AR885" s="73">
        <f>IF(tech_base!$T261&gt;AR$625,"",(1000*tech_proj!AR1225*(-PMT($J$110,tech_base!$F261,1))+1000*tech_proj!AR1505)/((1-tech_proj!AR665)*tech_proj!AR945*$L$110))</f>
        <v>142.95416994986635</v>
      </c>
      <c r="AS885" s="73">
        <f>IF(tech_base!$T261&gt;AS$625,"",(1000*tech_proj!AS1225*(-PMT($J$110,tech_base!$F261,1))+1000*tech_proj!AS1505)/((1-tech_proj!AS665)*tech_proj!AS945*$L$110))</f>
        <v>137.02263478869608</v>
      </c>
      <c r="AT885" s="73">
        <f>IF(tech_base!$T261&gt;AT$625,"",(1000*tech_proj!AT1225*(-PMT($J$110,tech_base!$F261,1))+1000*tech_proj!AT1505)/((1-tech_proj!AT665)*tech_proj!AT945*$L$110))</f>
        <v>131.27430139382957</v>
      </c>
      <c r="AU885" s="73">
        <f>IF(tech_base!$T261&gt;AU$625,"",(1000*tech_proj!AU1225*(-PMT($J$110,tech_base!$F261,1))+1000*tech_proj!AU1505)/((1-tech_proj!AU665)*tech_proj!AU945*$L$110))</f>
        <v>125.75518762405484</v>
      </c>
      <c r="AV885" s="73">
        <f>IF(tech_base!$T261&gt;AV$625,"",(1000*tech_proj!AV1225*(-PMT($J$110,tech_base!$F261,1))+1000*tech_proj!AV1505)/((1-tech_proj!AV665)*tech_proj!AV945*$L$110))</f>
        <v>120.50704887656077</v>
      </c>
      <c r="AW885" s="73">
        <f>IF(tech_base!$T261&gt;AW$625,"",(1000*tech_proj!AW1225*(-PMT($J$110,tech_base!$F261,1))+1000*tech_proj!AW1505)/((1-tech_proj!AW665)*tech_proj!AW945*$L$110))</f>
        <v>115.56599076359004</v>
      </c>
      <c r="AX885" s="239">
        <f>IF(tech_base!$T261&gt;AX$625,"",(1000*tech_proj!AX1225*(-PMT($J$110,tech_base!$F261,1))+1000*tech_proj!AX1505)/((1-tech_proj!AX665)*tech_proj!AX945*$L$110))</f>
        <v>110.96130740498562</v>
      </c>
    </row>
    <row r="886" spans="1:50" x14ac:dyDescent="0.25">
      <c r="A886" s="355" t="s">
        <v>43</v>
      </c>
      <c r="B886" s="358" t="s">
        <v>44</v>
      </c>
      <c r="C886" s="353" t="s">
        <v>6</v>
      </c>
      <c r="D886" s="3" t="s">
        <v>7</v>
      </c>
      <c r="E886" s="162" t="str">
        <f>A886&amp;"/"&amp;B886&amp;"/"&amp;C886&amp;"/"&amp;D886</f>
        <v>Hydro plants/Run-of-river/Electricity only/L</v>
      </c>
      <c r="F886" s="77" t="str">
        <f>A886</f>
        <v>Hydro plants</v>
      </c>
      <c r="G886" s="77" t="str">
        <f>B886</f>
        <v>Run-of-river</v>
      </c>
      <c r="H886" s="77" t="str">
        <f>C886</f>
        <v>Electricity only</v>
      </c>
      <c r="I886" s="163" t="str">
        <f t="shared" si="366"/>
        <v>L</v>
      </c>
      <c r="J886" s="70">
        <f>IF(tech_base!$T262&gt;J$625,"",(1000*tech_proj!J1226*(-PMT($J$110,tech_base!$F262,1))+1000*tech_proj!J1506)/((1-tech_proj!J666)*tech_proj!J946*$L$110))</f>
        <v>55.860522900564419</v>
      </c>
      <c r="K886" s="70">
        <f>IF(tech_base!$T262&gt;K$625,"",(1000*tech_proj!K1226*(-PMT($J$110,tech_base!$F262,1))+1000*tech_proj!K1506)/((1-tech_proj!K666)*tech_proj!K946*$L$110))</f>
        <v>55.83685696067225</v>
      </c>
      <c r="L886" s="70">
        <f>IF(tech_base!$T262&gt;L$625,"",(1000*tech_proj!L1226*(-PMT($J$110,tech_base!$F262,1))+1000*tech_proj!L1506)/((1-tech_proj!L666)*tech_proj!L946*$L$110))</f>
        <v>55.810876583183649</v>
      </c>
      <c r="M886" s="70">
        <f>IF(tech_base!$T262&gt;M$625,"",(1000*tech_proj!M1226*(-PMT($J$110,tech_base!$F262,1))+1000*tech_proj!M1506)/((1-tech_proj!M666)*tech_proj!M946*$L$110))</f>
        <v>55.782375005468232</v>
      </c>
      <c r="N886" s="70">
        <f>IF(tech_base!$T262&gt;N$625,"",(1000*tech_proj!N1226*(-PMT($J$110,tech_base!$F262,1))+1000*tech_proj!N1506)/((1-tech_proj!N666)*tech_proj!N946*$L$110))</f>
        <v>55.751131169507119</v>
      </c>
      <c r="O886" s="70">
        <f>IF(tech_base!$T262&gt;O$625,"",(1000*tech_proj!O1226*(-PMT($J$110,tech_base!$F262,1))+1000*tech_proj!O1506)/((1-tech_proj!O666)*tech_proj!O946*$L$110))</f>
        <v>55.716909651022426</v>
      </c>
      <c r="P886" s="70">
        <f>IF(tech_base!$T262&gt;P$625,"",(1000*tech_proj!P1226*(-PMT($J$110,tech_base!$F262,1))+1000*tech_proj!P1506)/((1-tech_proj!P666)*tech_proj!P946*$L$110))</f>
        <v>55.679460829604245</v>
      </c>
      <c r="Q886" s="70">
        <f>IF(tech_base!$T262&gt;Q$625,"",(1000*tech_proj!Q1226*(-PMT($J$110,tech_base!$F262,1))+1000*tech_proj!Q1506)/((1-tech_proj!Q666)*tech_proj!Q946*$L$110))</f>
        <v>55.638521359370728</v>
      </c>
      <c r="R886" s="70">
        <f>IF(tech_base!$T262&gt;R$625,"",(1000*tech_proj!R1226*(-PMT($J$110,tech_base!$F262,1))+1000*tech_proj!R1506)/((1-tech_proj!R666)*tech_proj!R946*$L$110))</f>
        <v>55.593815007658833</v>
      </c>
      <c r="S886" s="70">
        <f>IF(tech_base!$T262&gt;S$625,"",(1000*tech_proj!S1226*(-PMT($J$110,tech_base!$F262,1))+1000*tech_proj!S1506)/((1-tech_proj!S666)*tech_proj!S946*$L$110))</f>
        <v>55.545053936962987</v>
      </c>
      <c r="T886" s="70">
        <f>IF(tech_base!$T262&gt;T$625,"",(1000*tech_proj!T1226*(-PMT($J$110,tech_base!$F262,1))+1000*tech_proj!T1506)/((1-tech_proj!T666)*tech_proj!T946*$L$110))</f>
        <v>55.491940512273942</v>
      </c>
      <c r="U886" s="70">
        <f>IF(tech_base!$T262&gt;U$625,"",(1000*tech_proj!U1226*(-PMT($J$110,tech_base!$F262,1))+1000*tech_proj!U1506)/((1-tech_proj!U666)*tech_proj!U946*$L$110))</f>
        <v>55.434169721402462</v>
      </c>
      <c r="V886" s="70">
        <f>IF(tech_base!$T262&gt;V$625,"",(1000*tech_proj!V1226*(-PMT($J$110,tech_base!$F262,1))+1000*tech_proj!V1506)/((1-tech_proj!V666)*tech_proj!V946*$L$110))</f>
        <v>55.371432298871618</v>
      </c>
      <c r="W886" s="70">
        <f>IF(tech_base!$T262&gt;W$625,"",(1000*tech_proj!W1226*(-PMT($J$110,tech_base!$F262,1))+1000*tech_proj!W1506)/((1-tech_proj!W666)*tech_proj!W946*$L$110))</f>
        <v>55.303418643379608</v>
      </c>
      <c r="X886" s="70">
        <f>IF(tech_base!$T262&gt;X$625,"",(1000*tech_proj!X1226*(-PMT($J$110,tech_base!$F262,1))+1000*tech_proj!X1506)/((1-tech_proj!X666)*tech_proj!X946*$L$110))</f>
        <v>55.229823613294386</v>
      </c>
      <c r="Y886" s="70">
        <f>IF(tech_base!$T262&gt;Y$625,"",(1000*tech_proj!Y1226*(-PMT($J$110,tech_base!$F262,1))+1000*tech_proj!Y1506)/((1-tech_proj!Y666)*tech_proj!Y946*$L$110))</f>
        <v>55.150352272573343</v>
      </c>
      <c r="Z886" s="70">
        <f>IF(tech_base!$T262&gt;Z$625,"",(1000*tech_proj!Z1226*(-PMT($J$110,tech_base!$F262,1))+1000*tech_proj!Z1506)/((1-tech_proj!Z666)*tech_proj!Z946*$L$110))</f>
        <v>55.064726639191143</v>
      </c>
      <c r="AA886" s="70">
        <f>IF(tech_base!$T262&gt;AA$625,"",(1000*tech_proj!AA1226*(-PMT($J$110,tech_base!$F262,1))+1000*tech_proj!AA1506)/((1-tech_proj!AA666)*tech_proj!AA946*$L$110))</f>
        <v>54.972693457874257</v>
      </c>
      <c r="AB886" s="70">
        <f>IF(tech_base!$T262&gt;AB$625,"",(1000*tech_proj!AB1226*(-PMT($J$110,tech_base!$F262,1))+1000*tech_proj!AB1506)/((1-tech_proj!AB666)*tech_proj!AB946*$L$110))</f>
        <v>54.874032977087843</v>
      </c>
      <c r="AC886" s="70">
        <f>IF(tech_base!$T262&gt;AC$625,"",(1000*tech_proj!AC1226*(-PMT($J$110,tech_base!$F262,1))+1000*tech_proj!AC1506)/((1-tech_proj!AC666)*tech_proj!AC946*$L$110))</f>
        <v>54.768568655600582</v>
      </c>
      <c r="AD886" s="70">
        <f>IF(tech_base!$T262&gt;AD$625,"",(1000*tech_proj!AD1226*(-PMT($J$110,tech_base!$F262,1))+1000*tech_proj!AD1506)/((1-tech_proj!AD666)*tech_proj!AD946*$L$110))</f>
        <v>54.656177656070689</v>
      </c>
      <c r="AE886" s="70">
        <f>IF(tech_base!$T262&gt;AE$625,"",(1000*tech_proj!AE1226*(-PMT($J$110,tech_base!$F262,1))+1000*tech_proj!AE1506)/((1-tech_proj!AE666)*tech_proj!AE946*$L$110))</f>
        <v>54.536801902550835</v>
      </c>
      <c r="AF886" s="70">
        <f>IF(tech_base!$T262&gt;AF$625,"",(1000*tech_proj!AF1226*(-PMT($J$110,tech_base!$F262,1))+1000*tech_proj!AF1506)/((1-tech_proj!AF666)*tech_proj!AF946*$L$110))</f>
        <v>54.410459387713431</v>
      </c>
      <c r="AG886" s="70">
        <f>IF(tech_base!$T262&gt;AG$625,"",(1000*tech_proj!AG1226*(-PMT($J$110,tech_base!$F262,1))+1000*tech_proj!AG1506)/((1-tech_proj!AG666)*tech_proj!AG946*$L$110))</f>
        <v>54.27725531799063</v>
      </c>
      <c r="AH886" s="70">
        <f>IF(tech_base!$T262&gt;AH$625,"",(1000*tech_proj!AH1226*(-PMT($J$110,tech_base!$F262,1))+1000*tech_proj!AH1506)/((1-tech_proj!AH666)*tech_proj!AH946*$L$110))</f>
        <v>54.137392587007952</v>
      </c>
      <c r="AI886" s="70">
        <f>IF(tech_base!$T262&gt;AI$625,"",(1000*tech_proj!AI1226*(-PMT($J$110,tech_base!$F262,1))+1000*tech_proj!AI1506)/((1-tech_proj!AI666)*tech_proj!AI946*$L$110))</f>
        <v>53.991180978360269</v>
      </c>
      <c r="AJ886" s="70">
        <f>IF(tech_base!$T262&gt;AJ$625,"",(1000*tech_proj!AJ1226*(-PMT($J$110,tech_base!$F262,1))+1000*tech_proj!AJ1506)/((1-tech_proj!AJ666)*tech_proj!AJ946*$L$110))</f>
        <v>53.839044428872732</v>
      </c>
      <c r="AK886" s="70">
        <f>IF(tech_base!$T262&gt;AK$625,"",(1000*tech_proj!AK1226*(-PMT($J$110,tech_base!$F262,1))+1000*tech_proj!AK1506)/((1-tech_proj!AK666)*tech_proj!AK946*$L$110))</f>
        <v>53.681525645581388</v>
      </c>
      <c r="AL886" s="70">
        <f>IF(tech_base!$T262&gt;AL$625,"",(1000*tech_proj!AL1226*(-PMT($J$110,tech_base!$F262,1))+1000*tech_proj!AL1506)/((1-tech_proj!AL666)*tech_proj!AL946*$L$110))</f>
        <v>53.519287376876306</v>
      </c>
      <c r="AM886" s="70">
        <f>IF(tech_base!$T262&gt;AM$625,"",(1000*tech_proj!AM1226*(-PMT($J$110,tech_base!$F262,1))+1000*tech_proj!AM1506)/((1-tech_proj!AM666)*tech_proj!AM946*$L$110))</f>
        <v>53.353109702580653</v>
      </c>
      <c r="AN886" s="70">
        <f>IF(tech_base!$T262&gt;AN$625,"",(1000*tech_proj!AN1226*(-PMT($J$110,tech_base!$F262,1))+1000*tech_proj!AN1506)/((1-tech_proj!AN666)*tech_proj!AN946*$L$110))</f>
        <v>53.183882837993636</v>
      </c>
      <c r="AO886" s="70">
        <f>IF(tech_base!$T262&gt;AO$625,"",(1000*tech_proj!AO1226*(-PMT($J$110,tech_base!$F262,1))+1000*tech_proj!AO1506)/((1-tech_proj!AO666)*tech_proj!AO946*$L$110))</f>
        <v>53.012595146372853</v>
      </c>
      <c r="AP886" s="70">
        <f>IF(tech_base!$T262&gt;AP$625,"",(1000*tech_proj!AP1226*(-PMT($J$110,tech_base!$F262,1))+1000*tech_proj!AP1506)/((1-tech_proj!AP666)*tech_proj!AP946*$L$110))</f>
        <v>52.840316318544453</v>
      </c>
      <c r="AQ886" s="70">
        <f>IF(tech_base!$T262&gt;AQ$625,"",(1000*tech_proj!AQ1226*(-PMT($J$110,tech_base!$F262,1))+1000*tech_proj!AQ1506)/((1-tech_proj!AQ666)*tech_proj!AQ946*$L$110))</f>
        <v>52.668175993650266</v>
      </c>
      <c r="AR886" s="70">
        <f>IF(tech_base!$T262&gt;AR$625,"",(1000*tech_proj!AR1226*(-PMT($J$110,tech_base!$F262,1))+1000*tech_proj!AR1506)/((1-tech_proj!AR666)*tech_proj!AR946*$L$110))</f>
        <v>52.497338438242679</v>
      </c>
      <c r="AS886" s="70">
        <f>IF(tech_base!$T262&gt;AS$625,"",(1000*tech_proj!AS1226*(-PMT($J$110,tech_base!$F262,1))+1000*tech_proj!AS1506)/((1-tech_proj!AS666)*tech_proj!AS946*$L$110))</f>
        <v>52.328974240473833</v>
      </c>
      <c r="AT886" s="70">
        <f>IF(tech_base!$T262&gt;AT$625,"",(1000*tech_proj!AT1226*(-PMT($J$110,tech_base!$F262,1))+1000*tech_proj!AT1506)/((1-tech_proj!AT666)*tech_proj!AT946*$L$110))</f>
        <v>52.164230275200786</v>
      </c>
      <c r="AU886" s="70">
        <f>IF(tech_base!$T262&gt;AU$625,"",(1000*tech_proj!AU1226*(-PMT($J$110,tech_base!$F262,1))+1000*tech_proj!AU1506)/((1-tech_proj!AU666)*tech_proj!AU946*$L$110))</f>
        <v>52.004199417061372</v>
      </c>
      <c r="AV886" s="70">
        <f>IF(tech_base!$T262&gt;AV$625,"",(1000*tech_proj!AV1226*(-PMT($J$110,tech_base!$F262,1))+1000*tech_proj!AV1506)/((1-tech_proj!AV666)*tech_proj!AV946*$L$110))</f>
        <v>51.849891589679409</v>
      </c>
      <c r="AW886" s="70">
        <f>IF(tech_base!$T262&gt;AW$625,"",(1000*tech_proj!AW1226*(-PMT($J$110,tech_base!$F262,1))+1000*tech_proj!AW1506)/((1-tech_proj!AW666)*tech_proj!AW946*$L$110))</f>
        <v>51.702207718605457</v>
      </c>
      <c r="AX886" s="236">
        <f>IF(tech_base!$T262&gt;AX$625,"",(1000*tech_proj!AX1226*(-PMT($J$110,tech_base!$F262,1))+1000*tech_proj!AX1506)/((1-tech_proj!AX666)*tech_proj!AX946*$L$110))</f>
        <v>51.561917997114627</v>
      </c>
    </row>
    <row r="887" spans="1:50" x14ac:dyDescent="0.25">
      <c r="A887" s="356"/>
      <c r="B887" s="376"/>
      <c r="C887" s="378"/>
      <c r="D887" s="2" t="s">
        <v>8</v>
      </c>
      <c r="E887" s="160" t="str">
        <f>A886&amp;"/"&amp;B886&amp;"/"&amp;C886&amp;"/"&amp;D887</f>
        <v>Hydro plants/Run-of-river/Electricity only/M</v>
      </c>
      <c r="F887" s="76" t="str">
        <f>A886</f>
        <v>Hydro plants</v>
      </c>
      <c r="G887" s="76" t="str">
        <f>B886</f>
        <v>Run-of-river</v>
      </c>
      <c r="H887" s="76" t="str">
        <f>C886</f>
        <v>Electricity only</v>
      </c>
      <c r="I887" s="161" t="str">
        <f t="shared" si="366"/>
        <v>M</v>
      </c>
      <c r="J887" s="69">
        <f>IF(tech_base!$T263&gt;J$625,"",(1000*tech_proj!J1227*(-PMT($J$110,tech_base!$F263,1))+1000*tech_proj!J1507)/((1-tech_proj!J667)*tech_proj!J947*$L$110))</f>
        <v>58.653549045592634</v>
      </c>
      <c r="K887" s="69">
        <f>IF(tech_base!$T263&gt;K$625,"",(1000*tech_proj!K1227*(-PMT($J$110,tech_base!$F263,1))+1000*tech_proj!K1507)/((1-tech_proj!K667)*tech_proj!K947*$L$110))</f>
        <v>58.633117840515965</v>
      </c>
      <c r="L887" s="69">
        <f>IF(tech_base!$T263&gt;L$625,"",(1000*tech_proj!L1227*(-PMT($J$110,tech_base!$F263,1))+1000*tech_proj!L1507)/((1-tech_proj!L667)*tech_proj!L947*$L$110))</f>
        <v>58.610661806409269</v>
      </c>
      <c r="M887" s="69">
        <f>IF(tech_base!$T263&gt;M$625,"",(1000*tech_proj!M1227*(-PMT($J$110,tech_base!$F263,1))+1000*tech_proj!M1507)/((1-tech_proj!M667)*tech_proj!M947*$L$110))</f>
        <v>58.585994266143288</v>
      </c>
      <c r="N887" s="69">
        <f>IF(tech_base!$T263&gt;N$625,"",(1000*tech_proj!N1227*(-PMT($J$110,tech_base!$F263,1))+1000*tech_proj!N1507)/((1-tech_proj!N667)*tech_proj!N947*$L$110))</f>
        <v>58.558914335629403</v>
      </c>
      <c r="O887" s="69">
        <f>IF(tech_base!$T263&gt;O$625,"",(1000*tech_proj!O1227*(-PMT($J$110,tech_base!$F263,1))+1000*tech_proj!O1507)/((1-tech_proj!O667)*tech_proj!O947*$L$110))</f>
        <v>58.529206501537764</v>
      </c>
      <c r="P887" s="69">
        <f>IF(tech_base!$T263&gt;P$625,"",(1000*tech_proj!P1227*(-PMT($J$110,tech_base!$F263,1))+1000*tech_proj!P1507)/((1-tech_proj!P667)*tech_proj!P947*$L$110))</f>
        <v>58.49664035013425</v>
      </c>
      <c r="Q887" s="69">
        <f>IF(tech_base!$T263&gt;Q$625,"",(1000*tech_proj!Q1227*(-PMT($J$110,tech_base!$F263,1))+1000*tech_proj!Q1507)/((1-tech_proj!Q667)*tech_proj!Q947*$L$110))</f>
        <v>58.460970493410585</v>
      </c>
      <c r="R887" s="69">
        <f>IF(tech_base!$T263&gt;R$625,"",(1000*tech_proj!R1227*(-PMT($J$110,tech_base!$F263,1))+1000*tech_proj!R1507)/((1-tech_proj!R667)*tech_proj!R947*$L$110))</f>
        <v>58.421936746411497</v>
      </c>
      <c r="S887" s="69">
        <f>IF(tech_base!$T263&gt;S$625,"",(1000*tech_proj!S1227*(-PMT($J$110,tech_base!$F263,1))+1000*tech_proj!S1507)/((1-tech_proj!S667)*tech_proj!S947*$L$110))</f>
        <v>58.379264617814243</v>
      </c>
      <c r="T887" s="69">
        <f>IF(tech_base!$T263&gt;T$625,"",(1000*tech_proj!T1227*(-PMT($J$110,tech_base!$F263,1))+1000*tech_proj!T1507)/((1-tech_proj!T667)*tech_proj!T947*$L$110))</f>
        <v>58.332666184114856</v>
      </c>
      <c r="U887" s="69">
        <f>IF(tech_base!$T263&gt;U$625,"",(1000*tech_proj!U1227*(-PMT($J$110,tech_base!$F263,1))+1000*tech_proj!U1507)/((1-tech_proj!U667)*tech_proj!U947*$L$110))</f>
        <v>58.28184142582159</v>
      </c>
      <c r="V887" s="69">
        <f>IF(tech_base!$T263&gt;V$625,"",(1000*tech_proj!V1227*(-PMT($J$110,tech_base!$F263,1))+1000*tech_proj!V1507)/((1-tech_proj!V667)*tech_proj!V947*$L$110))</f>
        <v>58.226480111284715</v>
      </c>
      <c r="W887" s="69">
        <f>IF(tech_base!$T263&gt;W$625,"",(1000*tech_proj!W1227*(-PMT($J$110,tech_base!$F263,1))+1000*tech_proj!W1507)/((1-tech_proj!W667)*tech_proj!W947*$L$110))</f>
        <v>58.166264319454193</v>
      </c>
      <c r="X887" s="69">
        <f>IF(tech_base!$T263&gt;X$625,"",(1000*tech_proj!X1227*(-PMT($J$110,tech_base!$F263,1))+1000*tech_proj!X1507)/((1-tech_proj!X667)*tech_proj!X947*$L$110))</f>
        <v>58.100871695982867</v>
      </c>
      <c r="Y887" s="69">
        <f>IF(tech_base!$T263&gt;Y$625,"",(1000*tech_proj!Y1227*(-PMT($J$110,tech_base!$F263,1))+1000*tech_proj!Y1507)/((1-tech_proj!Y667)*tech_proj!Y947*$L$110))</f>
        <v>58.029979536485691</v>
      </c>
      <c r="Z887" s="69">
        <f>IF(tech_base!$T263&gt;Z$625,"",(1000*tech_proj!Z1227*(-PMT($J$110,tech_base!$F263,1))+1000*tech_proj!Z1507)/((1-tech_proj!Z667)*tech_proj!Z947*$L$110))</f>
        <v>57.953269784991527</v>
      </c>
      <c r="AA887" s="69">
        <f>IF(tech_base!$T263&gt;AA$625,"",(1000*tech_proj!AA1227*(-PMT($J$110,tech_base!$F263,1))+1000*tech_proj!AA1507)/((1-tech_proj!AA667)*tech_proj!AA947*$L$110))</f>
        <v>57.870435023044166</v>
      </c>
      <c r="AB887" s="69">
        <f>IF(tech_base!$T263&gt;AB$625,"",(1000*tech_proj!AB1227*(-PMT($J$110,tech_base!$F263,1))+1000*tech_proj!AB1507)/((1-tech_proj!AB667)*tech_proj!AB947*$L$110))</f>
        <v>57.781185503740069</v>
      </c>
      <c r="AC887" s="69">
        <f>IF(tech_base!$T263&gt;AC$625,"",(1000*tech_proj!AC1227*(-PMT($J$110,tech_base!$F263,1))+1000*tech_proj!AC1507)/((1-tech_proj!AC667)*tech_proj!AC947*$L$110))</f>
        <v>57.685257253423977</v>
      </c>
      <c r="AD887" s="69">
        <f>IF(tech_base!$T263&gt;AD$625,"",(1000*tech_proj!AD1227*(-PMT($J$110,tech_base!$F263,1))+1000*tech_proj!AD1507)/((1-tech_proj!AD667)*tech_proj!AD947*$L$110))</f>
        <v>57.582421220139452</v>
      </c>
      <c r="AE887" s="69">
        <f>IF(tech_base!$T263&gt;AE$625,"",(1000*tech_proj!AE1227*(-PMT($J$110,tech_base!$F263,1))+1000*tech_proj!AE1507)/((1-tech_proj!AE667)*tech_proj!AE947*$L$110))</f>
        <v>57.472493390999105</v>
      </c>
      <c r="AF887" s="69">
        <f>IF(tech_base!$T263&gt;AF$625,"",(1000*tech_proj!AF1227*(-PMT($J$110,tech_base!$F263,1))+1000*tech_proj!AF1507)/((1-tech_proj!AF667)*tech_proj!AF947*$L$110))</f>
        <v>57.355345729884839</v>
      </c>
      <c r="AG887" s="69">
        <f>IF(tech_base!$T263&gt;AG$625,"",(1000*tech_proj!AG1227*(-PMT($J$110,tech_base!$F263,1))+1000*tech_proj!AG1507)/((1-tech_proj!AG667)*tech_proj!AG947*$L$110))</f>
        <v>57.230917702933425</v>
      </c>
      <c r="AH887" s="69">
        <f>IF(tech_base!$T263&gt;AH$625,"",(1000*tech_proj!AH1227*(-PMT($J$110,tech_base!$F263,1))+1000*tech_proj!AH1507)/((1-tech_proj!AH667)*tech_proj!AH947*$L$110))</f>
        <v>57.099228064311056</v>
      </c>
      <c r="AI887" s="69">
        <f>IF(tech_base!$T263&gt;AI$625,"",(1000*tech_proj!AI1227*(-PMT($J$110,tech_base!$F263,1))+1000*tech_proj!AI1507)/((1-tech_proj!AI667)*tech_proj!AI947*$L$110))</f>
        <v>56.960386473043108</v>
      </c>
      <c r="AJ887" s="69">
        <f>IF(tech_base!$T263&gt;AJ$625,"",(1000*tech_proj!AJ1227*(-PMT($J$110,tech_base!$F263,1))+1000*tech_proj!AJ1507)/((1-tech_proj!AJ667)*tech_proj!AJ947*$L$110))</f>
        <v>56.814604409708792</v>
      </c>
      <c r="AK887" s="69">
        <f>IF(tech_base!$T263&gt;AK$625,"",(1000*tech_proj!AK1227*(-PMT($J$110,tech_base!$F263,1))+1000*tech_proj!AK1507)/((1-tech_proj!AK667)*tech_proj!AK947*$L$110))</f>
        <v>56.662204768701287</v>
      </c>
      <c r="AL887" s="69">
        <f>IF(tech_base!$T263&gt;AL$625,"",(1000*tech_proj!AL1227*(-PMT($J$110,tech_base!$F263,1))+1000*tech_proj!AL1507)/((1-tech_proj!AL667)*tech_proj!AL947*$L$110))</f>
        <v>56.50362942888755</v>
      </c>
      <c r="AM887" s="69">
        <f>IF(tech_base!$T263&gt;AM$625,"",(1000*tech_proj!AM1227*(-PMT($J$110,tech_base!$F263,1))+1000*tech_proj!AM1507)/((1-tech_proj!AM667)*tech_proj!AM947*$L$110))</f>
        <v>56.33944406599079</v>
      </c>
      <c r="AN887" s="69">
        <f>IF(tech_base!$T263&gt;AN$625,"",(1000*tech_proj!AN1227*(-PMT($J$110,tech_base!$F263,1))+1000*tech_proj!AN1507)/((1-tech_proj!AN667)*tech_proj!AN947*$L$110))</f>
        <v>56.170339477531527</v>
      </c>
      <c r="AO887" s="69">
        <f>IF(tech_base!$T263&gt;AO$625,"",(1000*tech_proj!AO1227*(-PMT($J$110,tech_base!$F263,1))+1000*tech_proj!AO1507)/((1-tech_proj!AO667)*tech_proj!AO947*$L$110))</f>
        <v>55.997128758216178</v>
      </c>
      <c r="AP887" s="69">
        <f>IF(tech_base!$T263&gt;AP$625,"",(1000*tech_proj!AP1227*(-PMT($J$110,tech_base!$F263,1))+1000*tech_proj!AP1507)/((1-tech_proj!AP667)*tech_proj!AP947*$L$110))</f>
        <v>55.820739799429511</v>
      </c>
      <c r="AQ887" s="69">
        <f>IF(tech_base!$T263&gt;AQ$625,"",(1000*tech_proj!AQ1227*(-PMT($J$110,tech_base!$F263,1))+1000*tech_proj!AQ1507)/((1-tech_proj!AQ667)*tech_proj!AQ947*$L$110))</f>
        <v>55.64220279437604</v>
      </c>
      <c r="AR887" s="69">
        <f>IF(tech_base!$T263&gt;AR$625,"",(1000*tech_proj!AR1227*(-PMT($J$110,tech_base!$F263,1))+1000*tech_proj!AR1507)/((1-tech_proj!AR667)*tech_proj!AR947*$L$110))</f>
        <v>55.462632705810016</v>
      </c>
      <c r="AS887" s="69">
        <f>IF(tech_base!$T263&gt;AS$625,"",(1000*tech_proj!AS1227*(-PMT($J$110,tech_base!$F263,1))+1000*tech_proj!AS1507)/((1-tech_proj!AS667)*tech_proj!AS947*$L$110))</f>
        <v>55.283206981960682</v>
      </c>
      <c r="AT887" s="69">
        <f>IF(tech_base!$T263&gt;AT$625,"",(1000*tech_proj!AT1227*(-PMT($J$110,tech_base!$F263,1))+1000*tech_proj!AT1507)/((1-tech_proj!AT667)*tech_proj!AT947*$L$110))</f>
        <v>55.105139163984262</v>
      </c>
      <c r="AU887" s="69">
        <f>IF(tech_base!$T263&gt;AU$625,"",(1000*tech_proj!AU1227*(-PMT($J$110,tech_base!$F263,1))+1000*tech_proj!AU1507)/((1-tech_proj!AU667)*tech_proj!AU947*$L$110))</f>
        <v>54.929649382182355</v>
      </c>
      <c r="AV887" s="69">
        <f>IF(tech_base!$T263&gt;AV$625,"",(1000*tech_proj!AV1227*(-PMT($J$110,tech_base!$F263,1))+1000*tech_proj!AV1507)/((1-tech_proj!AV667)*tech_proj!AV947*$L$110))</f>
        <v>54.75793304995689</v>
      </c>
      <c r="AW887" s="69">
        <f>IF(tech_base!$T263&gt;AW$625,"",(1000*tech_proj!AW1227*(-PMT($J$110,tech_base!$F263,1))+1000*tech_proj!AW1507)/((1-tech_proj!AW667)*tech_proj!AW947*$L$110))</f>
        <v>54.591129295069443</v>
      </c>
      <c r="AX887" s="235">
        <f>IF(tech_base!$T263&gt;AX$625,"",(1000*tech_proj!AX1227*(-PMT($J$110,tech_base!$F263,1))+1000*tech_proj!AX1507)/((1-tech_proj!AX667)*tech_proj!AX947*$L$110))</f>
        <v>54.430290783578009</v>
      </c>
    </row>
    <row r="888" spans="1:50" x14ac:dyDescent="0.25">
      <c r="A888" s="356"/>
      <c r="B888" s="376"/>
      <c r="C888" s="378"/>
      <c r="D888" s="2" t="s">
        <v>10</v>
      </c>
      <c r="E888" s="160" t="str">
        <f>A886&amp;"/"&amp;B886&amp;"/"&amp;C886&amp;"/"&amp;D888</f>
        <v>Hydro plants/Run-of-river/Electricity only/S</v>
      </c>
      <c r="F888" s="76" t="str">
        <f>A886</f>
        <v>Hydro plants</v>
      </c>
      <c r="G888" s="76" t="str">
        <f>B886</f>
        <v>Run-of-river</v>
      </c>
      <c r="H888" s="76" t="str">
        <f>C886</f>
        <v>Electricity only</v>
      </c>
      <c r="I888" s="161" t="str">
        <f t="shared" si="366"/>
        <v>S</v>
      </c>
      <c r="J888" s="69">
        <f>IF(tech_base!$T264&gt;J$625,"",(1000*tech_proj!J1228*(-PMT($J$110,tech_base!$F264,1))+1000*tech_proj!J1508)/((1-tech_proj!J668)*tech_proj!J948*$L$110))</f>
        <v>64.518903950151909</v>
      </c>
      <c r="K888" s="69">
        <f>IF(tech_base!$T264&gt;K$625,"",(1000*tech_proj!K1228*(-PMT($J$110,tech_base!$F264,1))+1000*tech_proj!K1508)/((1-tech_proj!K668)*tech_proj!K948*$L$110))</f>
        <v>64.500439350619686</v>
      </c>
      <c r="L888" s="69">
        <f>IF(tech_base!$T264&gt;L$625,"",(1000*tech_proj!L1228*(-PMT($J$110,tech_base!$F264,1))+1000*tech_proj!L1508)/((1-tech_proj!L668)*tech_proj!L948*$L$110))</f>
        <v>64.480124870460926</v>
      </c>
      <c r="M888" s="69">
        <f>IF(tech_base!$T264&gt;M$625,"",(1000*tech_proj!M1228*(-PMT($J$110,tech_base!$F264,1))+1000*tech_proj!M1508)/((1-tech_proj!M668)*tech_proj!M948*$L$110))</f>
        <v>64.457785626784286</v>
      </c>
      <c r="N888" s="69">
        <f>IF(tech_base!$T264&gt;N$625,"",(1000*tech_proj!N1228*(-PMT($J$110,tech_base!$F264,1))+1000*tech_proj!N1508)/((1-tech_proj!N668)*tech_proj!N948*$L$110))</f>
        <v>64.433232458430396</v>
      </c>
      <c r="O888" s="69">
        <f>IF(tech_base!$T264&gt;O$625,"",(1000*tech_proj!O1228*(-PMT($J$110,tech_base!$F264,1))+1000*tech_proj!O1508)/((1-tech_proj!O668)*tech_proj!O948*$L$110))</f>
        <v>64.406261254782009</v>
      </c>
      <c r="P888" s="69">
        <f>IF(tech_base!$T264&gt;P$625,"",(1000*tech_proj!P1228*(-PMT($J$110,tech_base!$F264,1))+1000*tech_proj!P1508)/((1-tech_proj!P668)*tech_proj!P948*$L$110))</f>
        <v>64.376652371496576</v>
      </c>
      <c r="Q888" s="69">
        <f>IF(tech_base!$T264&gt;Q$625,"",(1000*tech_proj!Q1228*(-PMT($J$110,tech_base!$F264,1))+1000*tech_proj!Q1508)/((1-tech_proj!Q668)*tech_proj!Q948*$L$110))</f>
        <v>64.344170168788125</v>
      </c>
      <c r="R888" s="69">
        <f>IF(tech_base!$T264&gt;R$625,"",(1000*tech_proj!R1228*(-PMT($J$110,tech_base!$F264,1))+1000*tech_proj!R1508)/((1-tech_proj!R668)*tech_proj!R948*$L$110))</f>
        <v>64.308562714940777</v>
      </c>
      <c r="S888" s="69">
        <f>IF(tech_base!$T264&gt;S$625,"",(1000*tech_proj!S1228*(-PMT($J$110,tech_base!$F264,1))+1000*tech_proj!S1508)/((1-tech_proj!S668)*tech_proj!S948*$L$110))</f>
        <v>64.26956170554017</v>
      </c>
      <c r="T888" s="69">
        <f>IF(tech_base!$T264&gt;T$625,"",(1000*tech_proj!T1228*(-PMT($J$110,tech_base!$F264,1))+1000*tech_proj!T1508)/((1-tech_proj!T668)*tech_proj!T948*$L$110))</f>
        <v>64.22688265736106</v>
      </c>
      <c r="U888" s="69">
        <f>IF(tech_base!$T264&gt;U$625,"",(1000*tech_proj!U1228*(-PMT($J$110,tech_base!$F264,1))+1000*tech_proj!U1508)/((1-tech_proj!U668)*tech_proj!U948*$L$110))</f>
        <v>64.18022544476112</v>
      </c>
      <c r="V888" s="69">
        <f>IF(tech_base!$T264&gt;V$625,"",(1000*tech_proj!V1228*(-PMT($J$110,tech_base!$F264,1))+1000*tech_proj!V1508)/((1-tech_proj!V668)*tech_proj!V948*$L$110))</f>
        <v>64.129275255506329</v>
      </c>
      <c r="W888" s="69">
        <f>IF(tech_base!$T264&gt;W$625,"",(1000*tech_proj!W1228*(-PMT($J$110,tech_base!$F264,1))+1000*tech_proj!W1508)/((1-tech_proj!W668)*tech_proj!W948*$L$110))</f>
        <v>64.073704051749189</v>
      </c>
      <c r="X888" s="69">
        <f>IF(tech_base!$T264&gt;X$625,"",(1000*tech_proj!X1228*(-PMT($J$110,tech_base!$F264,1))+1000*tech_proj!X1508)/((1-tech_proj!X668)*tech_proj!X948*$L$110))</f>
        <v>64.013172629786695</v>
      </c>
      <c r="Y888" s="69">
        <f>IF(tech_base!$T264&gt;Y$625,"",(1000*tech_proj!Y1228*(-PMT($J$110,tech_base!$F264,1))+1000*tech_proj!Y1508)/((1-tech_proj!Y668)*tech_proj!Y948*$L$110))</f>
        <v>63.947333378414314</v>
      </c>
      <c r="Z888" s="69">
        <f>IF(tech_base!$T264&gt;Z$625,"",(1000*tech_proj!Z1228*(-PMT($J$110,tech_base!$F264,1))+1000*tech_proj!Z1508)/((1-tech_proj!Z668)*tech_proj!Z948*$L$110))</f>
        <v>63.875833839111628</v>
      </c>
      <c r="AA888" s="69">
        <f>IF(tech_base!$T264&gt;AA$625,"",(1000*tech_proj!AA1228*(-PMT($J$110,tech_base!$F264,1))+1000*tech_proj!AA1508)/((1-tech_proj!AA668)*tech_proj!AA948*$L$110))</f>
        <v>63.798321170630871</v>
      </c>
      <c r="AB888" s="69">
        <f>IF(tech_base!$T264&gt;AB$625,"",(1000*tech_proj!AB1228*(-PMT($J$110,tech_base!$F264,1))+1000*tech_proj!AB1508)/((1-tech_proj!AB668)*tech_proj!AB948*$L$110))</f>
        <v>63.714447614246339</v>
      </c>
      <c r="AC888" s="69">
        <f>IF(tech_base!$T264&gt;AC$625,"",(1000*tech_proj!AC1228*(-PMT($J$110,tech_base!$F264,1))+1000*tech_proj!AC1508)/((1-tech_proj!AC668)*tech_proj!AC948*$L$110))</f>
        <v>63.62387704216826</v>
      </c>
      <c r="AD888" s="69">
        <f>IF(tech_base!$T264&gt;AD$625,"",(1000*tech_proj!AD1228*(-PMT($J$110,tech_base!$F264,1))+1000*tech_proj!AD1508)/((1-tech_proj!AD668)*tech_proj!AD948*$L$110))</f>
        <v>63.526292648478538</v>
      </c>
      <c r="AE888" s="69">
        <f>IF(tech_base!$T264&gt;AE$625,"",(1000*tech_proj!AE1228*(-PMT($J$110,tech_base!$F264,1))+1000*tech_proj!AE1508)/((1-tech_proj!AE668)*tech_proj!AE948*$L$110))</f>
        <v>63.4214058074311</v>
      </c>
      <c r="AF888" s="69">
        <f>IF(tech_base!$T264&gt;AF$625,"",(1000*tech_proj!AF1228*(-PMT($J$110,tech_base!$F264,1))+1000*tech_proj!AF1508)/((1-tech_proj!AF668)*tech_proj!AF948*$L$110))</f>
        <v>63.308966076261996</v>
      </c>
      <c r="AG888" s="69">
        <f>IF(tech_base!$T264&gt;AG$625,"",(1000*tech_proj!AG1228*(-PMT($J$110,tech_base!$F264,1))+1000*tech_proj!AG1508)/((1-tech_proj!AG668)*tech_proj!AG948*$L$110))</f>
        <v>63.188772257405276</v>
      </c>
      <c r="AH888" s="69">
        <f>IF(tech_base!$T264&gt;AH$625,"",(1000*tech_proj!AH1228*(-PMT($J$110,tech_base!$F264,1))+1000*tech_proj!AH1508)/((1-tech_proj!AH668)*tech_proj!AH948*$L$110))</f>
        <v>63.06068435764805</v>
      </c>
      <c r="AI888" s="69">
        <f>IF(tech_base!$T264&gt;AI$625,"",(1000*tech_proj!AI1228*(-PMT($J$110,tech_base!$F264,1))+1000*tech_proj!AI1508)/((1-tech_proj!AI668)*tech_proj!AI948*$L$110))</f>
        <v>62.924636189963394</v>
      </c>
      <c r="AJ888" s="69">
        <f>IF(tech_base!$T264&gt;AJ$625,"",(1000*tech_proj!AJ1228*(-PMT($J$110,tech_base!$F264,1))+1000*tech_proj!AJ1508)/((1-tech_proj!AJ668)*tech_proj!AJ948*$L$110))</f>
        <v>62.780648259939987</v>
      </c>
      <c r="AK888" s="69">
        <f>IF(tech_base!$T264&gt;AK$625,"",(1000*tech_proj!AK1228*(-PMT($J$110,tech_base!$F264,1))+1000*tech_proj!AK1508)/((1-tech_proj!AK668)*tech_proj!AK948*$L$110))</f>
        <v>62.628840467489795</v>
      </c>
      <c r="AL888" s="69">
        <f>IF(tech_base!$T264&gt;AL$625,"",(1000*tech_proj!AL1228*(-PMT($J$110,tech_base!$F264,1))+1000*tech_proj!AL1508)/((1-tech_proj!AL668)*tech_proj!AL948*$L$110))</f>
        <v>62.469444043035764</v>
      </c>
      <c r="AM888" s="69">
        <f>IF(tech_base!$T264&gt;AM$625,"",(1000*tech_proj!AM1228*(-PMT($J$110,tech_base!$F264,1))+1000*tech_proj!AM1508)/((1-tech_proj!AM668)*tech_proj!AM948*$L$110))</f>
        <v>62.302812035578413</v>
      </c>
      <c r="AN888" s="69">
        <f>IF(tech_base!$T264&gt;AN$625,"",(1000*tech_proj!AN1228*(-PMT($J$110,tech_base!$F264,1))+1000*tech_proj!AN1508)/((1-tech_proj!AN668)*tech_proj!AN948*$L$110))</f>
        <v>62.129427590367719</v>
      </c>
      <c r="AO888" s="69">
        <f>IF(tech_base!$T264&gt;AO$625,"",(1000*tech_proj!AO1228*(-PMT($J$110,tech_base!$F264,1))+1000*tech_proj!AO1508)/((1-tech_proj!AO668)*tech_proj!AO948*$L$110))</f>
        <v>61.949909210706593</v>
      </c>
      <c r="AP888" s="69">
        <f>IF(tech_base!$T264&gt;AP$625,"",(1000*tech_proj!AP1228*(-PMT($J$110,tech_base!$F264,1))+1000*tech_proj!AP1508)/((1-tech_proj!AP668)*tech_proj!AP948*$L$110))</f>
        <v>61.765012206626189</v>
      </c>
      <c r="AQ888" s="69">
        <f>IF(tech_base!$T264&gt;AQ$625,"",(1000*tech_proj!AQ1228*(-PMT($J$110,tech_base!$F264,1))+1000*tech_proj!AQ1508)/((1-tech_proj!AQ668)*tech_proj!AQ948*$L$110))</f>
        <v>61.575625606488273</v>
      </c>
      <c r="AR888" s="69">
        <f>IF(tech_base!$T264&gt;AR$625,"",(1000*tech_proj!AR1228*(-PMT($J$110,tech_base!$F264,1))+1000*tech_proj!AR1508)/((1-tech_proj!AR668)*tech_proj!AR948*$L$110))</f>
        <v>61.382763956017016</v>
      </c>
      <c r="AS888" s="69">
        <f>IF(tech_base!$T264&gt;AS$625,"",(1000*tech_proj!AS1228*(-PMT($J$110,tech_base!$F264,1))+1000*tech_proj!AS1508)/((1-tech_proj!AS668)*tech_proj!AS948*$L$110))</f>
        <v>61.187553656564795</v>
      </c>
      <c r="AT888" s="69">
        <f>IF(tech_base!$T264&gt;AT$625,"",(1000*tech_proj!AT1228*(-PMT($J$110,tech_base!$F264,1))+1000*tech_proj!AT1508)/((1-tech_proj!AT668)*tech_proj!AT948*$L$110))</f>
        <v>60.991213795530761</v>
      </c>
      <c r="AU888" s="69">
        <f>IF(tech_base!$T264&gt;AU$625,"",(1000*tech_proj!AU1228*(-PMT($J$110,tech_base!$F264,1))+1000*tech_proj!AU1508)/((1-tech_proj!AU668)*tech_proj!AU948*$L$110))</f>
        <v>60.795031781210703</v>
      </c>
      <c r="AV888" s="69">
        <f>IF(tech_base!$T264&gt;AV$625,"",(1000*tech_proj!AV1228*(-PMT($J$110,tech_base!$F264,1))+1000*tech_proj!AV1508)/((1-tech_proj!AV668)*tech_proj!AV948*$L$110))</f>
        <v>60.600334485490045</v>
      </c>
      <c r="AW888" s="69">
        <f>IF(tech_base!$T264&gt;AW$625,"",(1000*tech_proj!AW1228*(-PMT($J$110,tech_base!$F264,1))+1000*tech_proj!AW1508)/((1-tech_proj!AW668)*tech_proj!AW948*$L$110))</f>
        <v>60.408455984749565</v>
      </c>
      <c r="AX888" s="235">
        <f>IF(tech_base!$T264&gt;AX$625,"",(1000*tech_proj!AX1228*(-PMT($J$110,tech_base!$F264,1))+1000*tech_proj!AX1508)/((1-tech_proj!AX668)*tech_proj!AX948*$L$110))</f>
        <v>60.22070333019748</v>
      </c>
    </row>
    <row r="889" spans="1:50" x14ac:dyDescent="0.25">
      <c r="A889" s="356"/>
      <c r="B889" s="377"/>
      <c r="C889" s="379"/>
      <c r="D889" s="59" t="s">
        <v>20</v>
      </c>
      <c r="E889" s="166" t="str">
        <f>A886&amp;"/"&amp;B886&amp;"/"&amp;C886&amp;"/"&amp;D889</f>
        <v>Hydro plants/Run-of-river/Electricity only/XS</v>
      </c>
      <c r="F889" s="79" t="str">
        <f>A886</f>
        <v>Hydro plants</v>
      </c>
      <c r="G889" s="79" t="str">
        <f>B886</f>
        <v>Run-of-river</v>
      </c>
      <c r="H889" s="79" t="str">
        <f>C886</f>
        <v>Electricity only</v>
      </c>
      <c r="I889" s="167" t="str">
        <f t="shared" si="366"/>
        <v>XS</v>
      </c>
      <c r="J889" s="72">
        <f>IF(tech_base!$T265&gt;J$625,"",(1000*tech_proj!J1229*(-PMT($J$110,tech_base!$F265,1))+1000*tech_proj!J1509)/((1-tech_proj!J669)*tech_proj!J949*$L$110))</f>
        <v>77.422684740182277</v>
      </c>
      <c r="K889" s="72">
        <f>IF(tech_base!$T265&gt;K$625,"",(1000*tech_proj!K1229*(-PMT($J$110,tech_base!$F265,1))+1000*tech_proj!K1509)/((1-tech_proj!K669)*tech_proj!K949*$L$110))</f>
        <v>77.404491746079756</v>
      </c>
      <c r="L889" s="72">
        <f>IF(tech_base!$T265&gt;L$625,"",(1000*tech_proj!L1229*(-PMT($J$110,tech_base!$F265,1))+1000*tech_proj!L1509)/((1-tech_proj!L669)*tech_proj!L949*$L$110))</f>
        <v>77.384459874729274</v>
      </c>
      <c r="M889" s="72">
        <f>IF(tech_base!$T265&gt;M$625,"",(1000*tech_proj!M1229*(-PMT($J$110,tech_base!$F265,1))+1000*tech_proj!M1509)/((1-tech_proj!M669)*tech_proj!M949*$L$110))</f>
        <v>77.362411750644469</v>
      </c>
      <c r="N889" s="72">
        <f>IF(tech_base!$T265&gt;N$625,"",(1000*tech_proj!N1229*(-PMT($J$110,tech_base!$F265,1))+1000*tech_proj!N1509)/((1-tech_proj!N669)*tech_proj!N949*$L$110))</f>
        <v>77.338154729609329</v>
      </c>
      <c r="O889" s="72">
        <f>IF(tech_base!$T265&gt;O$625,"",(1000*tech_proj!O1229*(-PMT($J$110,tech_base!$F265,1))+1000*tech_proj!O1509)/((1-tech_proj!O669)*tech_proj!O949*$L$110))</f>
        <v>77.311479988265276</v>
      </c>
      <c r="P889" s="72">
        <f>IF(tech_base!$T265&gt;P$625,"",(1000*tech_proj!P1229*(-PMT($J$110,tech_base!$F265,1))+1000*tech_proj!P1509)/((1-tech_proj!P669)*tech_proj!P949*$L$110))</f>
        <v>77.282161653925144</v>
      </c>
      <c r="Q889" s="72">
        <f>IF(tech_base!$T265&gt;Q$625,"",(1000*tech_proj!Q1229*(-PMT($J$110,tech_base!$F265,1))+1000*tech_proj!Q1509)/((1-tech_proj!Q669)*tech_proj!Q949*$L$110))</f>
        <v>77.249956003121881</v>
      </c>
      <c r="R889" s="72">
        <f>IF(tech_base!$T265&gt;R$625,"",(1000*tech_proj!R1229*(-PMT($J$110,tech_base!$F265,1))+1000*tech_proj!R1509)/((1-tech_proj!R669)*tech_proj!R949*$L$110))</f>
        <v>77.214600763949178</v>
      </c>
      <c r="S889" s="72">
        <f>IF(tech_base!$T265&gt;S$625,"",(1000*tech_proj!S1229*(-PMT($J$110,tech_base!$F265,1))+1000*tech_proj!S1509)/((1-tech_proj!S669)*tech_proj!S949*$L$110))</f>
        <v>77.175814564735148</v>
      </c>
      <c r="T889" s="72">
        <f>IF(tech_base!$T265&gt;T$625,"",(1000*tech_proj!T1229*(-PMT($J$110,tech_base!$F265,1))+1000*tech_proj!T1509)/((1-tech_proj!T669)*tech_proj!T949*$L$110))</f>
        <v>77.133296580015212</v>
      </c>
      <c r="U889" s="72">
        <f>IF(tech_base!$T265&gt;U$625,"",(1000*tech_proj!U1229*(-PMT($J$110,tech_base!$F265,1))+1000*tech_proj!U1509)/((1-tech_proj!U669)*tech_proj!U949*$L$110))</f>
        <v>77.086726434088305</v>
      </c>
      <c r="V889" s="72">
        <f>IF(tech_base!$T265&gt;V$625,"",(1000*tech_proj!V1229*(-PMT($J$110,tech_base!$F265,1))+1000*tech_proj!V1509)/((1-tech_proj!V669)*tech_proj!V949*$L$110))</f>
        <v>77.035764432533227</v>
      </c>
      <c r="W889" s="72">
        <f>IF(tech_base!$T265&gt;W$625,"",(1000*tech_proj!W1229*(-PMT($J$110,tech_base!$F265,1))+1000*tech_proj!W1509)/((1-tech_proj!W669)*tech_proj!W949*$L$110))</f>
        <v>76.980052202703405</v>
      </c>
      <c r="X889" s="72">
        <f>IF(tech_base!$T265&gt;X$625,"",(1000*tech_proj!X1229*(-PMT($J$110,tech_base!$F265,1))+1000*tech_proj!X1509)/((1-tech_proj!X669)*tech_proj!X949*$L$110))</f>
        <v>76.919213835054308</v>
      </c>
      <c r="Y889" s="72">
        <f>IF(tech_base!$T265&gt;Y$625,"",(1000*tech_proj!Y1229*(-PMT($J$110,tech_base!$F265,1))+1000*tech_proj!Y1509)/((1-tech_proj!Y669)*tech_proj!Y949*$L$110))</f>
        <v>76.852857627661777</v>
      </c>
      <c r="Z889" s="72">
        <f>IF(tech_base!$T265&gt;Z$625,"",(1000*tech_proj!Z1229*(-PMT($J$110,tech_base!$F265,1))+1000*tech_proj!Z1509)/((1-tech_proj!Z669)*tech_proj!Z949*$L$110))</f>
        <v>76.780578545728218</v>
      </c>
      <c r="AA889" s="72">
        <f>IF(tech_base!$T265&gt;AA$625,"",(1000*tech_proj!AA1229*(-PMT($J$110,tech_base!$F265,1))+1000*tech_proj!AA1509)/((1-tech_proj!AA669)*tech_proj!AA949*$L$110))</f>
        <v>76.701961515265324</v>
      </c>
      <c r="AB889" s="72">
        <f>IF(tech_base!$T265&gt;AB$625,"",(1000*tech_proj!AB1229*(-PMT($J$110,tech_base!$F265,1))+1000*tech_proj!AB1509)/((1-tech_proj!AB669)*tech_proj!AB949*$L$110))</f>
        <v>76.616585674224112</v>
      </c>
      <c r="AC889" s="72">
        <f>IF(tech_base!$T265&gt;AC$625,"",(1000*tech_proj!AC1229*(-PMT($J$110,tech_base!$F265,1))+1000*tech_proj!AC1509)/((1-tech_proj!AC669)*tech_proj!AC949*$L$110))</f>
        <v>76.524029703550241</v>
      </c>
      <c r="AD889" s="72">
        <f>IF(tech_base!$T265&gt;AD$625,"",(1000*tech_proj!AD1229*(-PMT($J$110,tech_base!$F265,1))+1000*tech_proj!AD1509)/((1-tech_proj!AD669)*tech_proj!AD949*$L$110))</f>
        <v>76.423878353104016</v>
      </c>
      <c r="AE889" s="72">
        <f>IF(tech_base!$T265&gt;AE$625,"",(1000*tech_proj!AE1229*(-PMT($J$110,tech_base!$F265,1))+1000*tech_proj!AE1509)/((1-tech_proj!AE669)*tech_proj!AE949*$L$110))</f>
        <v>76.315730260960152</v>
      </c>
      <c r="AF889" s="72">
        <f>IF(tech_base!$T265&gt;AF$625,"",(1000*tech_proj!AF1229*(-PMT($J$110,tech_base!$F265,1))+1000*tech_proj!AF1509)/((1-tech_proj!AF669)*tech_proj!AF949*$L$110))</f>
        <v>76.1992071369651</v>
      </c>
      <c r="AG889" s="72">
        <f>IF(tech_base!$T265&gt;AG$625,"",(1000*tech_proj!AG1229*(-PMT($J$110,tech_base!$F265,1))+1000*tech_proj!AG1509)/((1-tech_proj!AG669)*tech_proj!AG949*$L$110))</f>
        <v>76.073964340215397</v>
      </c>
      <c r="AH889" s="72">
        <f>IF(tech_base!$T265&gt;AH$625,"",(1000*tech_proj!AH1229*(-PMT($J$110,tech_base!$F265,1))+1000*tech_proj!AH1509)/((1-tech_proj!AH669)*tech_proj!AH949*$L$110))</f>
        <v>75.939702823167394</v>
      </c>
      <c r="AI889" s="72">
        <f>IF(tech_base!$T265&gt;AI$625,"",(1000*tech_proj!AI1229*(-PMT($J$110,tech_base!$F265,1))+1000*tech_proj!AI1509)/((1-tech_proj!AI669)*tech_proj!AI949*$L$110))</f>
        <v>75.796182340756914</v>
      </c>
      <c r="AJ889" s="72">
        <f>IF(tech_base!$T265&gt;AJ$625,"",(1000*tech_proj!AJ1229*(-PMT($J$110,tech_base!$F265,1))+1000*tech_proj!AJ1509)/((1-tech_proj!AJ669)*tech_proj!AJ949*$L$110))</f>
        <v>75.643235730532183</v>
      </c>
      <c r="AK889" s="72">
        <f>IF(tech_base!$T265&gt;AK$625,"",(1000*tech_proj!AK1229*(-PMT($J$110,tech_base!$F265,1))+1000*tech_proj!AK1509)/((1-tech_proj!AK669)*tech_proj!AK949*$L$110))</f>
        <v>75.480783960192454</v>
      </c>
      <c r="AL889" s="72">
        <f>IF(tech_base!$T265&gt;AL$625,"",(1000*tech_proj!AL1229*(-PMT($J$110,tech_base!$F265,1))+1000*tech_proj!AL1509)/((1-tech_proj!AL669)*tech_proj!AL949*$L$110))</f>
        <v>75.308851514956828</v>
      </c>
      <c r="AM889" s="72">
        <f>IF(tech_base!$T265&gt;AM$625,"",(1000*tech_proj!AM1229*(-PMT($J$110,tech_base!$F265,1))+1000*tech_proj!AM1509)/((1-tech_proj!AM669)*tech_proj!AM949*$L$110))</f>
        <v>75.127581564360625</v>
      </c>
      <c r="AN889" s="72">
        <f>IF(tech_base!$T265&gt;AN$625,"",(1000*tech_proj!AN1229*(-PMT($J$110,tech_base!$F265,1))+1000*tech_proj!AN1509)/((1-tech_proj!AN669)*tech_proj!AN949*$L$110))</f>
        <v>74.937250214963882</v>
      </c>
      <c r="AO889" s="72">
        <f>IF(tech_base!$T265&gt;AO$625,"",(1000*tech_proj!AO1229*(-PMT($J$110,tech_base!$F265,1))+1000*tech_proj!AO1509)/((1-tech_proj!AO669)*tech_proj!AO949*$L$110))</f>
        <v>74.738279033893278</v>
      </c>
      <c r="AP889" s="72">
        <f>IF(tech_base!$T265&gt;AP$625,"",(1000*tech_proj!AP1229*(-PMT($J$110,tech_base!$F265,1))+1000*tech_proj!AP1509)/((1-tech_proj!AP669)*tech_proj!AP949*$L$110))</f>
        <v>74.531244933006803</v>
      </c>
      <c r="AQ889" s="72">
        <f>IF(tech_base!$T265&gt;AQ$625,"",(1000*tech_proj!AQ1229*(-PMT($J$110,tech_base!$F265,1))+1000*tech_proj!AQ1509)/((1-tech_proj!AQ669)*tech_proj!AQ949*$L$110))</f>
        <v>74.31688645188369</v>
      </c>
      <c r="AR889" s="72">
        <f>IF(tech_base!$T265&gt;AR$625,"",(1000*tech_proj!AR1229*(-PMT($J$110,tech_base!$F265,1))+1000*tech_proj!AR1509)/((1-tech_proj!AR669)*tech_proj!AR949*$L$110))</f>
        <v>74.096105487652011</v>
      </c>
      <c r="AS889" s="72">
        <f>IF(tech_base!$T265&gt;AS$625,"",(1000*tech_proj!AS1229*(-PMT($J$110,tech_base!$F265,1))+1000*tech_proj!AS1509)/((1-tech_proj!AS669)*tech_proj!AS949*$L$110))</f>
        <v>73.869963607209073</v>
      </c>
      <c r="AT889" s="72">
        <f>IF(tech_base!$T265&gt;AT$625,"",(1000*tech_proj!AT1229*(-PMT($J$110,tech_base!$F265,1))+1000*tech_proj!AT1509)/((1-tech_proj!AT669)*tech_proj!AT949*$L$110))</f>
        <v>73.63967225464701</v>
      </c>
      <c r="AU889" s="72">
        <f>IF(tech_base!$T265&gt;AU$625,"",(1000*tech_proj!AU1229*(-PMT($J$110,tech_base!$F265,1))+1000*tech_proj!AU1509)/((1-tech_proj!AU669)*tech_proj!AU949*$L$110))</f>
        <v>73.406576438111898</v>
      </c>
      <c r="AV889" s="72">
        <f>IF(tech_base!$T265&gt;AV$625,"",(1000*tech_proj!AV1229*(-PMT($J$110,tech_base!$F265,1))+1000*tech_proj!AV1509)/((1-tech_proj!AV669)*tech_proj!AV949*$L$110))</f>
        <v>73.172131839878432</v>
      </c>
      <c r="AW889" s="72">
        <f>IF(tech_base!$T265&gt;AW$625,"",(1000*tech_proj!AW1229*(-PMT($J$110,tech_base!$F265,1))+1000*tech_proj!AW1509)/((1-tech_proj!AW669)*tech_proj!AW949*$L$110))</f>
        <v>72.937875722523174</v>
      </c>
      <c r="AX889" s="238">
        <f>IF(tech_base!$T265&gt;AX$625,"",(1000*tech_proj!AX1229*(-PMT($J$110,tech_base!$F265,1))+1000*tech_proj!AX1509)/((1-tech_proj!AX669)*tech_proj!AX949*$L$110))</f>
        <v>72.705392471124384</v>
      </c>
    </row>
    <row r="890" spans="1:50" x14ac:dyDescent="0.25">
      <c r="A890" s="356"/>
      <c r="B890" s="359" t="s">
        <v>45</v>
      </c>
      <c r="C890" s="350" t="s">
        <v>6</v>
      </c>
      <c r="D890" s="2" t="s">
        <v>7</v>
      </c>
      <c r="E890" s="160" t="str">
        <f>A886&amp;"/"&amp;B890&amp;"/"&amp;C890&amp;"/"&amp;D890</f>
        <v>Hydro plants/Reservoirs (dams)/Electricity only/L</v>
      </c>
      <c r="F890" s="76" t="str">
        <f>A886</f>
        <v>Hydro plants</v>
      </c>
      <c r="G890" s="76" t="str">
        <f>B890</f>
        <v>Reservoirs (dams)</v>
      </c>
      <c r="H890" s="76" t="str">
        <f>C890</f>
        <v>Electricity only</v>
      </c>
      <c r="I890" s="161" t="str">
        <f t="shared" si="366"/>
        <v>L</v>
      </c>
      <c r="J890" s="69">
        <f>IF(tech_base!$T266&gt;J$625,"",(1000*tech_proj!J1230*(-PMT($J$110,tech_base!$F266,1))+1000*tech_proj!J1510)/((1-tech_proj!J670)*tech_proj!J950*$L$110))</f>
        <v>69.746005243760379</v>
      </c>
      <c r="K890" s="69">
        <f>IF(tech_base!$T266&gt;K$625,"",(1000*tech_proj!K1230*(-PMT($J$110,tech_base!$F266,1))+1000*tech_proj!K1510)/((1-tech_proj!K670)*tech_proj!K950*$L$110))</f>
        <v>69.74502058787381</v>
      </c>
      <c r="L890" s="69">
        <f>IF(tech_base!$T266&gt;L$625,"",(1000*tech_proj!L1230*(-PMT($J$110,tech_base!$F266,1))+1000*tech_proj!L1510)/((1-tech_proj!L670)*tech_proj!L950*$L$110))</f>
        <v>69.743985744329009</v>
      </c>
      <c r="M890" s="69">
        <f>IF(tech_base!$T266&gt;M$625,"",(1000*tech_proj!M1230*(-PMT($J$110,tech_base!$F266,1))+1000*tech_proj!M1510)/((1-tech_proj!M670)*tech_proj!M950*$L$110))</f>
        <v>69.742898171012769</v>
      </c>
      <c r="N890" s="69">
        <f>IF(tech_base!$T266&gt;N$625,"",(1000*tech_proj!N1230*(-PMT($J$110,tech_base!$F266,1))+1000*tech_proj!N1510)/((1-tech_proj!N670)*tech_proj!N950*$L$110))</f>
        <v>69.741755198718678</v>
      </c>
      <c r="O890" s="69">
        <f>IF(tech_base!$T266&gt;O$625,"",(1000*tech_proj!O1230*(-PMT($J$110,tech_base!$F266,1))+1000*tech_proj!O1510)/((1-tech_proj!O670)*tech_proj!O950*$L$110))</f>
        <v>69.740554024968304</v>
      </c>
      <c r="P890" s="69">
        <f>IF(tech_base!$T266&gt;P$625,"",(1000*tech_proj!P1230*(-PMT($J$110,tech_base!$F266,1))+1000*tech_proj!P1510)/((1-tech_proj!P670)*tech_proj!P950*$L$110))</f>
        <v>69.739291707550493</v>
      </c>
      <c r="Q890" s="69">
        <f>IF(tech_base!$T266&gt;Q$625,"",(1000*tech_proj!Q1230*(-PMT($J$110,tech_base!$F266,1))+1000*tech_proj!Q1510)/((1-tech_proj!Q670)*tech_proj!Q950*$L$110))</f>
        <v>69.737965157767803</v>
      </c>
      <c r="R890" s="69">
        <f>IF(tech_base!$T266&gt;R$625,"",(1000*tech_proj!R1230*(-PMT($J$110,tech_base!$F266,1))+1000*tech_proj!R1510)/((1-tech_proj!R670)*tech_proj!R950*$L$110))</f>
        <v>69.736571133379258</v>
      </c>
      <c r="S890" s="69">
        <f>IF(tech_base!$T266&gt;S$625,"",(1000*tech_proj!S1230*(-PMT($J$110,tech_base!$F266,1))+1000*tech_proj!S1510)/((1-tech_proj!S670)*tech_proj!S950*$L$110))</f>
        <v>69.735106231227704</v>
      </c>
      <c r="T890" s="69">
        <f>IF(tech_base!$T266&gt;T$625,"",(1000*tech_proj!T1230*(-PMT($J$110,tech_base!$F266,1))+1000*tech_proj!T1510)/((1-tech_proj!T670)*tech_proj!T950*$L$110))</f>
        <v>69.733566879540973</v>
      </c>
      <c r="U890" s="69">
        <f>IF(tech_base!$T266&gt;U$625,"",(1000*tech_proj!U1230*(-PMT($J$110,tech_base!$F266,1))+1000*tech_proj!U1510)/((1-tech_proj!U670)*tech_proj!U950*$L$110))</f>
        <v>69.731949329894817</v>
      </c>
      <c r="V890" s="69">
        <f>IF(tech_base!$T266&gt;V$625,"",(1000*tech_proj!V1230*(-PMT($J$110,tech_base!$F266,1))+1000*tech_proj!V1510)/((1-tech_proj!V670)*tech_proj!V950*$L$110))</f>
        <v>69.730249648826245</v>
      </c>
      <c r="W890" s="69">
        <f>IF(tech_base!$T266&gt;W$625,"",(1000*tech_proj!W1230*(-PMT($J$110,tech_base!$F266,1))+1000*tech_proj!W1510)/((1-tech_proj!W670)*tech_proj!W950*$L$110))</f>
        <v>69.728463709085929</v>
      </c>
      <c r="X890" s="69">
        <f>IF(tech_base!$T266&gt;X$625,"",(1000*tech_proj!X1230*(-PMT($J$110,tech_base!$F266,1))+1000*tech_proj!X1510)/((1-tech_proj!X670)*tech_proj!X950*$L$110))</f>
        <v>69.726587180517711</v>
      </c>
      <c r="Y890" s="69">
        <f>IF(tech_base!$T266&gt;Y$625,"",(1000*tech_proj!Y1230*(-PMT($J$110,tech_base!$F266,1))+1000*tech_proj!Y1510)/((1-tech_proj!Y670)*tech_proj!Y950*$L$110))</f>
        <v>69.724615520553925</v>
      </c>
      <c r="Z890" s="69">
        <f>IF(tech_base!$T266&gt;Z$625,"",(1000*tech_proj!Z1230*(-PMT($J$110,tech_base!$F266,1))+1000*tech_proj!Z1510)/((1-tech_proj!Z670)*tech_proj!Z950*$L$110))</f>
        <v>69.722543964315477</v>
      </c>
      <c r="AA890" s="69">
        <f>IF(tech_base!$T266&gt;AA$625,"",(1000*tech_proj!AA1230*(-PMT($J$110,tech_base!$F266,1))+1000*tech_proj!AA1510)/((1-tech_proj!AA670)*tech_proj!AA950*$L$110))</f>
        <v>69.720367514305323</v>
      </c>
      <c r="AB890" s="69">
        <f>IF(tech_base!$T266&gt;AB$625,"",(1000*tech_proj!AB1230*(-PMT($J$110,tech_base!$F266,1))+1000*tech_proj!AB1510)/((1-tech_proj!AB670)*tech_proj!AB950*$L$110))</f>
        <v>69.718080929684803</v>
      </c>
      <c r="AC890" s="69">
        <f>IF(tech_base!$T266&gt;AC$625,"",(1000*tech_proj!AC1230*(-PMT($J$110,tech_base!$F266,1))+1000*tech_proj!AC1510)/((1-tech_proj!AC670)*tech_proj!AC950*$L$110))</f>
        <v>69.715678715122579</v>
      </c>
      <c r="AD890" s="69">
        <f>IF(tech_base!$T266&gt;AD$625,"",(1000*tech_proj!AD1230*(-PMT($J$110,tech_base!$F266,1))+1000*tech_proj!AD1510)/((1-tech_proj!AD670)*tech_proj!AD950*$L$110))</f>
        <v>69.713155109206511</v>
      </c>
      <c r="AE890" s="69">
        <f>IF(tech_base!$T266&gt;AE$625,"",(1000*tech_proj!AE1230*(-PMT($J$110,tech_base!$F266,1))+1000*tech_proj!AE1510)/((1-tech_proj!AE670)*tech_proj!AE950*$L$110))</f>
        <v>69.710504072409449</v>
      </c>
      <c r="AF890" s="69">
        <f>IF(tech_base!$T266&gt;AF$625,"",(1000*tech_proj!AF1230*(-PMT($J$110,tech_base!$F266,1))+1000*tech_proj!AF1510)/((1-tech_proj!AF670)*tech_proj!AF950*$L$110))</f>
        <v>69.707719274600635</v>
      </c>
      <c r="AG890" s="69">
        <f>IF(tech_base!$T266&gt;AG$625,"",(1000*tech_proj!AG1230*(-PMT($J$110,tech_base!$F266,1))+1000*tech_proj!AG1510)/((1-tech_proj!AG670)*tech_proj!AG950*$L$110))</f>
        <v>69.70479408209593</v>
      </c>
      <c r="AH890" s="69">
        <f>IF(tech_base!$T266&gt;AH$625,"",(1000*tech_proj!AH1230*(-PMT($J$110,tech_base!$F266,1))+1000*tech_proj!AH1510)/((1-tech_proj!AH670)*tech_proj!AH950*$L$110))</f>
        <v>69.701721544240215</v>
      </c>
      <c r="AI890" s="69">
        <f>IF(tech_base!$T266&gt;AI$625,"",(1000*tech_proj!AI1230*(-PMT($J$110,tech_base!$F266,1))+1000*tech_proj!AI1510)/((1-tech_proj!AI670)*tech_proj!AI950*$L$110))</f>
        <v>69.698494379517996</v>
      </c>
      <c r="AJ890" s="69">
        <f>IF(tech_base!$T266&gt;AJ$625,"",(1000*tech_proj!AJ1230*(-PMT($J$110,tech_base!$F266,1))+1000*tech_proj!AJ1510)/((1-tech_proj!AJ670)*tech_proj!AJ950*$L$110))</f>
        <v>69.695104961188733</v>
      </c>
      <c r="AK890" s="69">
        <f>IF(tech_base!$T266&gt;AK$625,"",(1000*tech_proj!AK1230*(-PMT($J$110,tech_base!$F266,1))+1000*tech_proj!AK1510)/((1-tech_proj!AK670)*tech_proj!AK950*$L$110))</f>
        <v>69.691545302445732</v>
      </c>
      <c r="AL890" s="69">
        <f>IF(tech_base!$T266&gt;AL$625,"",(1000*tech_proj!AL1230*(-PMT($J$110,tech_base!$F266,1))+1000*tech_proj!AL1510)/((1-tech_proj!AL670)*tech_proj!AL950*$L$110))</f>
        <v>69.687807041099504</v>
      </c>
      <c r="AM890" s="69">
        <f>IF(tech_base!$T266&gt;AM$625,"",(1000*tech_proj!AM1230*(-PMT($J$110,tech_base!$F266,1))+1000*tech_proj!AM1510)/((1-tech_proj!AM670)*tech_proj!AM950*$L$110))</f>
        <v>69.683881423788918</v>
      </c>
      <c r="AN890" s="69">
        <f>IF(tech_base!$T266&gt;AN$625,"",(1000*tech_proj!AN1230*(-PMT($J$110,tech_base!$F266,1))+1000*tech_proj!AN1510)/((1-tech_proj!AN670)*tech_proj!AN950*$L$110))</f>
        <v>69.679759289725695</v>
      </c>
      <c r="AO890" s="69">
        <f>IF(tech_base!$T266&gt;AO$625,"",(1000*tech_proj!AO1230*(-PMT($J$110,tech_base!$F266,1))+1000*tech_proj!AO1510)/((1-tech_proj!AO670)*tech_proj!AO950*$L$110))</f>
        <v>69.675431053981896</v>
      </c>
      <c r="AP890" s="69">
        <f>IF(tech_base!$T266&gt;AP$625,"",(1000*tech_proj!AP1230*(-PMT($J$110,tech_base!$F266,1))+1000*tech_proj!AP1510)/((1-tech_proj!AP670)*tech_proj!AP950*$L$110))</f>
        <v>69.670886690332154</v>
      </c>
      <c r="AQ890" s="69">
        <f>IF(tech_base!$T266&gt;AQ$625,"",(1000*tech_proj!AQ1230*(-PMT($J$110,tech_base!$F266,1))+1000*tech_proj!AQ1510)/((1-tech_proj!AQ670)*tech_proj!AQ950*$L$110))</f>
        <v>69.666115713667168</v>
      </c>
      <c r="AR890" s="69">
        <f>IF(tech_base!$T266&gt;AR$625,"",(1000*tech_proj!AR1230*(-PMT($J$110,tech_base!$F266,1))+1000*tech_proj!AR1510)/((1-tech_proj!AR670)*tech_proj!AR950*$L$110))</f>
        <v>69.661107161999198</v>
      </c>
      <c r="AS890" s="69">
        <f>IF(tech_base!$T266&gt;AS$625,"",(1000*tech_proj!AS1230*(-PMT($J$110,tech_base!$F266,1))+1000*tech_proj!AS1510)/((1-tech_proj!AS670)*tech_proj!AS950*$L$110))</f>
        <v>69.655849578084542</v>
      </c>
      <c r="AT890" s="69">
        <f>IF(tech_base!$T266&gt;AT$625,"",(1000*tech_proj!AT1230*(-PMT($J$110,tech_base!$F266,1))+1000*tech_proj!AT1510)/((1-tech_proj!AT670)*tech_proj!AT950*$L$110))</f>
        <v>69.650330990693931</v>
      </c>
      <c r="AU890" s="69">
        <f>IF(tech_base!$T266&gt;AU$625,"",(1000*tech_proj!AU1230*(-PMT($J$110,tech_base!$F266,1))+1000*tech_proj!AU1510)/((1-tech_proj!AU670)*tech_proj!AU950*$L$110))</f>
        <v>69.644538895567152</v>
      </c>
      <c r="AV890" s="69">
        <f>IF(tech_base!$T266&gt;AV$625,"",(1000*tech_proj!AV1230*(-PMT($J$110,tech_base!$F266,1))+1000*tech_proj!AV1510)/((1-tech_proj!AV670)*tech_proj!AV950*$L$110))</f>
        <v>69.638460236094986</v>
      </c>
      <c r="AW890" s="69">
        <f>IF(tech_base!$T266&gt;AW$625,"",(1000*tech_proj!AW1230*(-PMT($J$110,tech_base!$F266,1))+1000*tech_proj!AW1510)/((1-tech_proj!AW670)*tech_proj!AW950*$L$110))</f>
        <v>69.632081383778555</v>
      </c>
      <c r="AX890" s="235">
        <f>IF(tech_base!$T266&gt;AX$625,"",(1000*tech_proj!AX1230*(-PMT($J$110,tech_base!$F266,1))+1000*tech_proj!AX1510)/((1-tech_proj!AX670)*tech_proj!AX950*$L$110))</f>
        <v>69.625388118524128</v>
      </c>
    </row>
    <row r="891" spans="1:50" x14ac:dyDescent="0.25">
      <c r="A891" s="356"/>
      <c r="B891" s="376"/>
      <c r="C891" s="378"/>
      <c r="D891" s="2" t="s">
        <v>8</v>
      </c>
      <c r="E891" s="160" t="str">
        <f>A886&amp;"/"&amp;B890&amp;"/"&amp;C890&amp;"/"&amp;D891</f>
        <v>Hydro plants/Reservoirs (dams)/Electricity only/M</v>
      </c>
      <c r="F891" s="76" t="str">
        <f>A886</f>
        <v>Hydro plants</v>
      </c>
      <c r="G891" s="76" t="str">
        <f>B890</f>
        <v>Reservoirs (dams)</v>
      </c>
      <c r="H891" s="76" t="str">
        <f>C890</f>
        <v>Electricity only</v>
      </c>
      <c r="I891" s="161" t="str">
        <f t="shared" si="366"/>
        <v>M</v>
      </c>
      <c r="J891" s="69">
        <f>IF(tech_base!$T267&gt;J$625,"",(1000*tech_proj!J1231*(-PMT($J$110,tech_base!$F267,1))+1000*tech_proj!J1511)/((1-tech_proj!J671)*tech_proj!J951*$L$110))</f>
        <v>80.207906030324423</v>
      </c>
      <c r="K891" s="69">
        <f>IF(tech_base!$T267&gt;K$625,"",(1000*tech_proj!K1231*(-PMT($J$110,tech_base!$F267,1))+1000*tech_proj!K1511)/((1-tech_proj!K671)*tech_proj!K951*$L$110))</f>
        <v>80.207263320658228</v>
      </c>
      <c r="L891" s="69">
        <f>IF(tech_base!$T267&gt;L$625,"",(1000*tech_proj!L1231*(-PMT($J$110,tech_base!$F267,1))+1000*tech_proj!L1511)/((1-tech_proj!L671)*tech_proj!L951*$L$110))</f>
        <v>80.206553134039993</v>
      </c>
      <c r="M891" s="69">
        <f>IF(tech_base!$T267&gt;M$625,"",(1000*tech_proj!M1231*(-PMT($J$110,tech_base!$F267,1))+1000*tech_proj!M1511)/((1-tech_proj!M671)*tech_proj!M951*$L$110))</f>
        <v>80.205768399815199</v>
      </c>
      <c r="N891" s="69">
        <f>IF(tech_base!$T267&gt;N$625,"",(1000*tech_proj!N1231*(-PMT($J$110,tech_base!$F267,1))+1000*tech_proj!N1511)/((1-tech_proj!N671)*tech_proj!N951*$L$110))</f>
        <v>80.204901309436394</v>
      </c>
      <c r="O891" s="69">
        <f>IF(tech_base!$T267&gt;O$625,"",(1000*tech_proj!O1231*(-PMT($J$110,tech_base!$F267,1))+1000*tech_proj!O1511)/((1-tech_proj!O671)*tech_proj!O951*$L$110))</f>
        <v>80.203943240123408</v>
      </c>
      <c r="P891" s="69">
        <f>IF(tech_base!$T267&gt;P$625,"",(1000*tech_proj!P1231*(-PMT($J$110,tech_base!$F267,1))+1000*tech_proj!P1511)/((1-tech_proj!P671)*tech_proj!P951*$L$110))</f>
        <v>80.202884670773159</v>
      </c>
      <c r="Q891" s="69">
        <f>IF(tech_base!$T267&gt;Q$625,"",(1000*tech_proj!Q1231*(-PMT($J$110,tech_base!$F267,1))+1000*tech_proj!Q1511)/((1-tech_proj!Q671)*tech_proj!Q951*$L$110))</f>
        <v>80.201715089365521</v>
      </c>
      <c r="R891" s="69">
        <f>IF(tech_base!$T267&gt;R$625,"",(1000*tech_proj!R1231*(-PMT($J$110,tech_base!$F267,1))+1000*tech_proj!R1511)/((1-tech_proj!R671)*tech_proj!R951*$L$110))</f>
        <v>80.200422891044809</v>
      </c>
      <c r="S891" s="69">
        <f>IF(tech_base!$T267&gt;S$625,"",(1000*tech_proj!S1231*(-PMT($J$110,tech_base!$F267,1))+1000*tech_proj!S1511)/((1-tech_proj!S671)*tech_proj!S951*$L$110))</f>
        <v>80.198995265987222</v>
      </c>
      <c r="T891" s="69">
        <f>IF(tech_base!$T267&gt;T$625,"",(1000*tech_proj!T1231*(-PMT($J$110,tech_base!$F267,1))+1000*tech_proj!T1511)/((1-tech_proj!T671)*tech_proj!T951*$L$110))</f>
        <v>80.197418076090344</v>
      </c>
      <c r="U891" s="69">
        <f>IF(tech_base!$T267&gt;U$625,"",(1000*tech_proj!U1231*(-PMT($J$110,tech_base!$F267,1))+1000*tech_proj!U1511)/((1-tech_proj!U671)*tech_proj!U951*$L$110))</f>
        <v>80.195675719443372</v>
      </c>
      <c r="V891" s="69">
        <f>IF(tech_base!$T267&gt;V$625,"",(1000*tech_proj!V1231*(-PMT($J$110,tech_base!$F267,1))+1000*tech_proj!V1511)/((1-tech_proj!V671)*tech_proj!V951*$L$110))</f>
        <v>80.193750981456688</v>
      </c>
      <c r="W891" s="69">
        <f>IF(tech_base!$T267&gt;W$625,"",(1000*tech_proj!W1231*(-PMT($J$110,tech_base!$F267,1))+1000*tech_proj!W1511)/((1-tech_proj!W671)*tech_proj!W951*$L$110))</f>
        <v>80.19162487144628</v>
      </c>
      <c r="X891" s="69">
        <f>IF(tech_base!$T267&gt;X$625,"",(1000*tech_proj!X1231*(-PMT($J$110,tech_base!$F267,1))+1000*tech_proj!X1511)/((1-tech_proj!X671)*tech_proj!X951*$L$110))</f>
        <v>80.189276443385239</v>
      </c>
      <c r="Y891" s="69">
        <f>IF(tech_base!$T267&gt;Y$625,"",(1000*tech_proj!Y1231*(-PMT($J$110,tech_base!$F267,1))+1000*tech_proj!Y1511)/((1-tech_proj!Y671)*tech_proj!Y951*$L$110))</f>
        <v>80.18668259945062</v>
      </c>
      <c r="Z891" s="69">
        <f>IF(tech_base!$T267&gt;Z$625,"",(1000*tech_proj!Z1231*(-PMT($J$110,tech_base!$F267,1))+1000*tech_proj!Z1511)/((1-tech_proj!Z671)*tech_proj!Z951*$L$110))</f>
        <v>80.183817874913359</v>
      </c>
      <c r="AA891" s="69">
        <f>IF(tech_base!$T267&gt;AA$625,"",(1000*tech_proj!AA1231*(-PMT($J$110,tech_base!$F267,1))+1000*tech_proj!AA1511)/((1-tech_proj!AA671)*tech_proj!AA951*$L$110))</f>
        <v>80.180654202841055</v>
      </c>
      <c r="AB891" s="69">
        <f>IF(tech_base!$T267&gt;AB$625,"",(1000*tech_proj!AB1231*(-PMT($J$110,tech_base!$F267,1))+1000*tech_proj!AB1511)/((1-tech_proj!AB671)*tech_proj!AB951*$L$110))</f>
        <v>80.177160657016614</v>
      </c>
      <c r="AC891" s="69">
        <f>IF(tech_base!$T267&gt;AC$625,"",(1000*tech_proj!AC1231*(-PMT($J$110,tech_base!$F267,1))+1000*tech_proj!AC1511)/((1-tech_proj!AC671)*tech_proj!AC951*$L$110))</f>
        <v>80.173303171416649</v>
      </c>
      <c r="AD891" s="69">
        <f>IF(tech_base!$T267&gt;AD$625,"",(1000*tech_proj!AD1231*(-PMT($J$110,tech_base!$F267,1))+1000*tech_proj!AD1511)/((1-tech_proj!AD671)*tech_proj!AD951*$L$110))</f>
        <v>80.169044234555841</v>
      </c>
      <c r="AE891" s="69">
        <f>IF(tech_base!$T267&gt;AE$625,"",(1000*tech_proj!AE1231*(-PMT($J$110,tech_base!$F267,1))+1000*tech_proj!AE1511)/((1-tech_proj!AE671)*tech_proj!AE951*$L$110))</f>
        <v>80.164342556984465</v>
      </c>
      <c r="AF891" s="69">
        <f>IF(tech_base!$T267&gt;AF$625,"",(1000*tech_proj!AF1231*(-PMT($J$110,tech_base!$F267,1))+1000*tech_proj!AF1511)/((1-tech_proj!AF671)*tech_proj!AF951*$L$110))</f>
        <v>80.159152710242935</v>
      </c>
      <c r="AG891" s="69">
        <f>IF(tech_base!$T267&gt;AG$625,"",(1000*tech_proj!AG1231*(-PMT($J$110,tech_base!$F267,1))+1000*tech_proj!AG1511)/((1-tech_proj!AG671)*tech_proj!AG951*$L$110))</f>
        <v>80.153424735629287</v>
      </c>
      <c r="AH891" s="69">
        <f>IF(tech_base!$T267&gt;AH$625,"",(1000*tech_proj!AH1231*(-PMT($J$110,tech_base!$F267,1))+1000*tech_proj!AH1511)/((1-tech_proj!AH671)*tech_proj!AH951*$L$110))</f>
        <v>80.147103721244449</v>
      </c>
      <c r="AI891" s="69">
        <f>IF(tech_base!$T267&gt;AI$625,"",(1000*tech_proj!AI1231*(-PMT($J$110,tech_base!$F267,1))+1000*tech_proj!AI1511)/((1-tech_proj!AI671)*tech_proj!AI951*$L$110))</f>
        <v>80.140129345950484</v>
      </c>
      <c r="AJ891" s="69">
        <f>IF(tech_base!$T267&gt;AJ$625,"",(1000*tech_proj!AJ1231*(-PMT($J$110,tech_base!$F267,1))+1000*tech_proj!AJ1511)/((1-tech_proj!AJ671)*tech_proj!AJ951*$L$110))</f>
        <v>80.132435389132766</v>
      </c>
      <c r="AK891" s="69">
        <f>IF(tech_base!$T267&gt;AK$625,"",(1000*tech_proj!AK1231*(-PMT($J$110,tech_base!$F267,1))+1000*tech_proj!AK1511)/((1-tech_proj!AK671)*tech_proj!AK951*$L$110))</f>
        <v>80.123949205513497</v>
      </c>
      <c r="AL891" s="69">
        <f>IF(tech_base!$T267&gt;AL$625,"",(1000*tech_proj!AL1231*(-PMT($J$110,tech_base!$F267,1))+1000*tech_proj!AL1511)/((1-tech_proj!AL671)*tech_proj!AL951*$L$110))</f>
        <v>80.114591164745207</v>
      </c>
      <c r="AM891" s="69">
        <f>IF(tech_base!$T267&gt;AM$625,"",(1000*tech_proj!AM1231*(-PMT($J$110,tech_base!$F267,1))+1000*tech_proj!AM1511)/((1-tech_proj!AM671)*tech_proj!AM951*$L$110))</f>
        <v>80.104274056148398</v>
      </c>
      <c r="AN891" s="69">
        <f>IF(tech_base!$T267&gt;AN$625,"",(1000*tech_proj!AN1231*(-PMT($J$110,tech_base!$F267,1))+1000*tech_proj!AN1511)/((1-tech_proj!AN671)*tech_proj!AN951*$L$110))</f>
        <v>80.092902459773626</v>
      </c>
      <c r="AO891" s="69">
        <f>IF(tech_base!$T267&gt;AO$625,"",(1000*tech_proj!AO1231*(-PMT($J$110,tech_base!$F267,1))+1000*tech_proj!AO1511)/((1-tech_proj!AO671)*tech_proj!AO951*$L$110))</f>
        <v>80.080372086006875</v>
      </c>
      <c r="AP891" s="69">
        <f>IF(tech_base!$T267&gt;AP$625,"",(1000*tech_proj!AP1231*(-PMT($J$110,tech_base!$F267,1))+1000*tech_proj!AP1511)/((1-tech_proj!AP671)*tech_proj!AP951*$L$110))</f>
        <v>80.066569087232082</v>
      </c>
      <c r="AQ891" s="69">
        <f>IF(tech_base!$T267&gt;AQ$625,"",(1000*tech_proj!AQ1231*(-PMT($J$110,tech_base!$F267,1))+1000*tech_proj!AQ1511)/((1-tech_proj!AQ671)*tech_proj!AQ951*$L$110))</f>
        <v>80.051369346666164</v>
      </c>
      <c r="AR891" s="69">
        <f>IF(tech_base!$T267&gt;AR$625,"",(1000*tech_proj!AR1231*(-PMT($J$110,tech_base!$F267,1))+1000*tech_proj!AR1511)/((1-tech_proj!AR671)*tech_proj!AR951*$L$110))</f>
        <v>80.034637751432982</v>
      </c>
      <c r="AS891" s="69">
        <f>IF(tech_base!$T267&gt;AS$625,"",(1000*tech_proj!AS1231*(-PMT($J$110,tech_base!$F267,1))+1000*tech_proj!AS1511)/((1-tech_proj!AS671)*tech_proj!AS951*$L$110))</f>
        <v>80.016227459299358</v>
      </c>
      <c r="AT891" s="69">
        <f>IF(tech_base!$T267&gt;AT$625,"",(1000*tech_proj!AT1231*(-PMT($J$110,tech_base!$F267,1))+1000*tech_proj!AT1511)/((1-tech_proj!AT671)*tech_proj!AT951*$L$110))</f>
        <v>79.995979171305834</v>
      </c>
      <c r="AU891" s="69">
        <f>IF(tech_base!$T267&gt;AU$625,"",(1000*tech_proj!AU1231*(-PMT($J$110,tech_base!$F267,1))+1000*tech_proj!AU1511)/((1-tech_proj!AU671)*tech_proj!AU951*$L$110))</f>
        <v>79.973720425841165</v>
      </c>
      <c r="AV891" s="69">
        <f>IF(tech_base!$T267&gt;AV$625,"",(1000*tech_proj!AV1231*(-PMT($J$110,tech_base!$F267,1))+1000*tech_proj!AV1511)/((1-tech_proj!AV671)*tech_proj!AV951*$L$110))</f>
        <v>79.94926493357525</v>
      </c>
      <c r="AW891" s="69">
        <f>IF(tech_base!$T267&gt;AW$625,"",(1000*tech_proj!AW1231*(-PMT($J$110,tech_base!$F267,1))+1000*tech_proj!AW1511)/((1-tech_proj!AW671)*tech_proj!AW951*$L$110))</f>
        <v>79.922411977115161</v>
      </c>
      <c r="AX891" s="235">
        <f>IF(tech_base!$T267&gt;AX$625,"",(1000*tech_proj!AX1231*(-PMT($J$110,tech_base!$F267,1))+1000*tech_proj!AX1511)/((1-tech_proj!AX671)*tech_proj!AX951*$L$110))</f>
        <v>79.892945904298529</v>
      </c>
    </row>
    <row r="892" spans="1:50" x14ac:dyDescent="0.25">
      <c r="A892" s="356"/>
      <c r="B892" s="376"/>
      <c r="C892" s="378"/>
      <c r="D892" s="2" t="s">
        <v>10</v>
      </c>
      <c r="E892" s="160" t="str">
        <f>A886&amp;"/"&amp;B890&amp;"/"&amp;C890&amp;"/"&amp;D892</f>
        <v>Hydro plants/Reservoirs (dams)/Electricity only/S</v>
      </c>
      <c r="F892" s="76" t="str">
        <f>A886</f>
        <v>Hydro plants</v>
      </c>
      <c r="G892" s="76" t="str">
        <f>B890</f>
        <v>Reservoirs (dams)</v>
      </c>
      <c r="H892" s="76" t="str">
        <f>C890</f>
        <v>Electricity only</v>
      </c>
      <c r="I892" s="161" t="str">
        <f t="shared" si="366"/>
        <v>S</v>
      </c>
      <c r="J892" s="69">
        <f>IF(tech_base!$T268&gt;J$625,"",(1000*tech_proj!J1232*(-PMT($J$110,tech_base!$F268,1))+1000*tech_proj!J1512)/((1-tech_proj!J672)*tech_proj!J952*$L$110))</f>
        <v>100.25988253790553</v>
      </c>
      <c r="K892" s="69">
        <f>IF(tech_base!$T268&gt;K$625,"",(1000*tech_proj!K1232*(-PMT($J$110,tech_base!$F268,1))+1000*tech_proj!K1512)/((1-tech_proj!K672)*tech_proj!K952*$L$110))</f>
        <v>100.25962634643929</v>
      </c>
      <c r="L892" s="69">
        <f>IF(tech_base!$T268&gt;L$625,"",(1000*tech_proj!L1232*(-PMT($J$110,tech_base!$F268,1))+1000*tech_proj!L1512)/((1-tech_proj!L672)*tech_proj!L952*$L$110))</f>
        <v>100.25932871036986</v>
      </c>
      <c r="M892" s="69">
        <f>IF(tech_base!$T268&gt;M$625,"",(1000*tech_proj!M1232*(-PMT($J$110,tech_base!$F268,1))+1000*tech_proj!M1512)/((1-tech_proj!M672)*tech_proj!M952*$L$110))</f>
        <v>100.25898292811937</v>
      </c>
      <c r="N892" s="69">
        <f>IF(tech_base!$T268&gt;N$625,"",(1000*tech_proj!N1232*(-PMT($J$110,tech_base!$F268,1))+1000*tech_proj!N1512)/((1-tech_proj!N672)*tech_proj!N952*$L$110))</f>
        <v>100.25858121551542</v>
      </c>
      <c r="O892" s="69">
        <f>IF(tech_base!$T268&gt;O$625,"",(1000*tech_proj!O1232*(-PMT($J$110,tech_base!$F268,1))+1000*tech_proj!O1512)/((1-tech_proj!O672)*tech_proj!O952*$L$110))</f>
        <v>100.25811453127227</v>
      </c>
      <c r="P892" s="69">
        <f>IF(tech_base!$T268&gt;P$625,"",(1000*tech_proj!P1232*(-PMT($J$110,tech_base!$F268,1))+1000*tech_proj!P1512)/((1-tech_proj!P672)*tech_proj!P952*$L$110))</f>
        <v>100.25757237446683</v>
      </c>
      <c r="Q892" s="69">
        <f>IF(tech_base!$T268&gt;Q$625,"",(1000*tech_proj!Q1232*(-PMT($J$110,tech_base!$F268,1))+1000*tech_proj!Q1512)/((1-tech_proj!Q672)*tech_proj!Q952*$L$110))</f>
        <v>100.25694254956042</v>
      </c>
      <c r="R892" s="69">
        <f>IF(tech_base!$T268&gt;R$625,"",(1000*tech_proj!R1232*(-PMT($J$110,tech_base!$F268,1))+1000*tech_proj!R1512)/((1-tech_proj!R672)*tech_proj!R952*$L$110))</f>
        <v>100.25621089382702</v>
      </c>
      <c r="S892" s="69">
        <f>IF(tech_base!$T268&gt;S$625,"",(1000*tech_proj!S1232*(-PMT($J$110,tech_base!$F268,1))+1000*tech_proj!S1512)/((1-tech_proj!S672)*tech_proj!S952*$L$110))</f>
        <v>100.25536096125403</v>
      </c>
      <c r="T892" s="69">
        <f>IF(tech_base!$T268&gt;T$625,"",(1000*tech_proj!T1232*(-PMT($J$110,tech_base!$F268,1))+1000*tech_proj!T1512)/((1-tech_proj!T672)*tech_proj!T952*$L$110))</f>
        <v>100.25437365607633</v>
      </c>
      <c r="U892" s="69">
        <f>IF(tech_base!$T268&gt;U$625,"",(1000*tech_proj!U1232*(-PMT($J$110,tech_base!$F268,1))+1000*tech_proj!U1512)/((1-tech_proj!U672)*tech_proj!U952*$L$110))</f>
        <v>100.25322680806627</v>
      </c>
      <c r="V892" s="69">
        <f>IF(tech_base!$T268&gt;V$625,"",(1000*tech_proj!V1232*(-PMT($J$110,tech_base!$F268,1))+1000*tech_proj!V1512)/((1-tech_proj!V672)*tech_proj!V952*$L$110))</f>
        <v>100.2518946805244</v>
      </c>
      <c r="W892" s="69">
        <f>IF(tech_base!$T268&gt;W$625,"",(1000*tech_proj!W1232*(-PMT($J$110,tech_base!$F268,1))+1000*tech_proj!W1512)/((1-tech_proj!W672)*tech_proj!W952*$L$110))</f>
        <v>100.25034740057801</v>
      </c>
      <c r="X892" s="69">
        <f>IF(tech_base!$T268&gt;X$625,"",(1000*tech_proj!X1232*(-PMT($J$110,tech_base!$F268,1))+1000*tech_proj!X1512)/((1-tech_proj!X672)*tech_proj!X952*$L$110))</f>
        <v>100.24855029988539</v>
      </c>
      <c r="Y892" s="69">
        <f>IF(tech_base!$T268&gt;Y$625,"",(1000*tech_proj!Y1232*(-PMT($J$110,tech_base!$F268,1))+1000*tech_proj!Y1512)/((1-tech_proj!Y672)*tech_proj!Y952*$L$110))</f>
        <v>100.24646315215026</v>
      </c>
      <c r="Z892" s="69">
        <f>IF(tech_base!$T268&gt;Z$625,"",(1000*tech_proj!Z1232*(-PMT($J$110,tech_base!$F268,1))+1000*tech_proj!Z1512)/((1-tech_proj!Z672)*tech_proj!Z952*$L$110))</f>
        <v>100.24403929196278</v>
      </c>
      <c r="AA892" s="69">
        <f>IF(tech_base!$T268&gt;AA$625,"",(1000*tech_proj!AA1232*(-PMT($J$110,tech_base!$F268,1))+1000*tech_proj!AA1512)/((1-tech_proj!AA672)*tech_proj!AA952*$L$110))</f>
        <v>100.24122459739662</v>
      </c>
      <c r="AB892" s="69">
        <f>IF(tech_base!$T268&gt;AB$625,"",(1000*tech_proj!AB1232*(-PMT($J$110,tech_base!$F268,1))+1000*tech_proj!AB1512)/((1-tech_proj!AB672)*tech_proj!AB952*$L$110))</f>
        <v>100.23795631651039</v>
      </c>
      <c r="AC892" s="69">
        <f>IF(tech_base!$T268&gt;AC$625,"",(1000*tech_proj!AC1232*(-PMT($J$110,tech_base!$F268,1))+1000*tech_proj!AC1512)/((1-tech_proj!AC672)*tech_proj!AC952*$L$110))</f>
        <v>100.23416171544366</v>
      </c>
      <c r="AD892" s="69">
        <f>IF(tech_base!$T268&gt;AD$625,"",(1000*tech_proj!AD1232*(-PMT($J$110,tech_base!$F268,1))+1000*tech_proj!AD1512)/((1-tech_proj!AD672)*tech_proj!AD952*$L$110))</f>
        <v>100.22975652319465</v>
      </c>
      <c r="AE892" s="69">
        <f>IF(tech_base!$T268&gt;AE$625,"",(1000*tech_proj!AE1232*(-PMT($J$110,tech_base!$F268,1))+1000*tech_proj!AE1512)/((1-tech_proj!AE672)*tech_proj!AE952*$L$110))</f>
        <v>100.22464314548465</v>
      </c>
      <c r="AF892" s="69">
        <f>IF(tech_base!$T268&gt;AF$625,"",(1000*tech_proj!AF1232*(-PMT($J$110,tech_base!$F268,1))+1000*tech_proj!AF1512)/((1-tech_proj!AF672)*tech_proj!AF952*$L$110))</f>
        <v>100.21870861744752</v>
      </c>
      <c r="AG892" s="69">
        <f>IF(tech_base!$T268&gt;AG$625,"",(1000*tech_proj!AG1232*(-PMT($J$110,tech_base!$F268,1))+1000*tech_proj!AG1512)/((1-tech_proj!AG672)*tech_proj!AG952*$L$110))</f>
        <v>100.21182226238237</v>
      </c>
      <c r="AH892" s="69">
        <f>IF(tech_base!$T268&gt;AH$625,"",(1000*tech_proj!AH1232*(-PMT($J$110,tech_base!$F268,1))+1000*tech_proj!AH1512)/((1-tech_proj!AH672)*tech_proj!AH952*$L$110))</f>
        <v>100.20383302169127</v>
      </c>
      <c r="AI892" s="69">
        <f>IF(tech_base!$T268&gt;AI$625,"",(1000*tech_proj!AI1232*(-PMT($J$110,tech_base!$F268,1))+1000*tech_proj!AI1512)/((1-tech_proj!AI672)*tech_proj!AI952*$L$110))</f>
        <v>100.19456641970275</v>
      </c>
      <c r="AJ892" s="69">
        <f>IF(tech_base!$T268&gt;AJ$625,"",(1000*tech_proj!AJ1232*(-PMT($J$110,tech_base!$F268,1))+1000*tech_proj!AJ1512)/((1-tech_proj!AJ672)*tech_proj!AJ952*$L$110))</f>
        <v>100.18382112678682</v>
      </c>
      <c r="AK892" s="69">
        <f>IF(tech_base!$T268&gt;AK$625,"",(1000*tech_proj!AK1232*(-PMT($J$110,tech_base!$F268,1))+1000*tech_proj!AK1512)/((1-tech_proj!AK672)*tech_proj!AK952*$L$110))</f>
        <v>100.17136508559351</v>
      </c>
      <c r="AL892" s="69">
        <f>IF(tech_base!$T268&gt;AL$625,"",(1000*tech_proj!AL1232*(-PMT($J$110,tech_base!$F268,1))+1000*tech_proj!AL1512)/((1-tech_proj!AL672)*tech_proj!AL952*$L$110))</f>
        <v>100.15693116918601</v>
      </c>
      <c r="AM892" s="69">
        <f>IF(tech_base!$T268&gt;AM$625,"",(1000*tech_proj!AM1232*(-PMT($J$110,tech_base!$F268,1))+1000*tech_proj!AM1512)/((1-tech_proj!AM672)*tech_proj!AM952*$L$110))</f>
        <v>100.14021234734955</v>
      </c>
      <c r="AN892" s="69">
        <f>IF(tech_base!$T268&gt;AN$625,"",(1000*tech_proj!AN1232*(-PMT($J$110,tech_base!$F268,1))+1000*tech_proj!AN1512)/((1-tech_proj!AN672)*tech_proj!AN952*$L$110))</f>
        <v>100.12085634980153</v>
      </c>
      <c r="AO892" s="69">
        <f>IF(tech_base!$T268&gt;AO$625,"",(1000*tech_proj!AO1232*(-PMT($J$110,tech_base!$F268,1))+1000*tech_proj!AO1512)/((1-tech_proj!AO672)*tech_proj!AO952*$L$110))</f>
        <v>100.09845983415843</v>
      </c>
      <c r="AP892" s="69">
        <f>IF(tech_base!$T268&gt;AP$625,"",(1000*tech_proj!AP1232*(-PMT($J$110,tech_base!$F268,1))+1000*tech_proj!AP1512)/((1-tech_proj!AP672)*tech_proj!AP952*$L$110))</f>
        <v>100.07256209451037</v>
      </c>
      <c r="AQ892" s="69">
        <f>IF(tech_base!$T268&gt;AQ$625,"",(1000*tech_proj!AQ1232*(-PMT($J$110,tech_base!$F268,1))+1000*tech_proj!AQ1512)/((1-tech_proj!AQ672)*tech_proj!AQ952*$L$110))</f>
        <v>100.04263838597049</v>
      </c>
      <c r="AR892" s="69">
        <f>IF(tech_base!$T268&gt;AR$625,"",(1000*tech_proj!AR1232*(-PMT($J$110,tech_base!$F268,1))+1000*tech_proj!AR1512)/((1-tech_proj!AR672)*tech_proj!AR952*$L$110))</f>
        <v>100.00809299473215</v>
      </c>
      <c r="AS892" s="69">
        <f>IF(tech_base!$T268&gt;AS$625,"",(1000*tech_proj!AS1232*(-PMT($J$110,tech_base!$F268,1))+1000*tech_proj!AS1512)/((1-tech_proj!AS672)*tech_proj!AS952*$L$110))</f>
        <v>99.968252255500673</v>
      </c>
      <c r="AT892" s="69">
        <f>IF(tech_base!$T268&gt;AT$625,"",(1000*tech_proj!AT1232*(-PMT($J$110,tech_base!$F268,1))+1000*tech_proj!AT1512)/((1-tech_proj!AT672)*tech_proj!AT952*$L$110))</f>
        <v>99.922357812378849</v>
      </c>
      <c r="AU892" s="69">
        <f>IF(tech_base!$T268&gt;AU$625,"",(1000*tech_proj!AU1232*(-PMT($J$110,tech_base!$F268,1))+1000*tech_proj!AU1512)/((1-tech_proj!AU672)*tech_proj!AU952*$L$110))</f>
        <v>99.869560538870545</v>
      </c>
      <c r="AV892" s="69">
        <f>IF(tech_base!$T268&gt;AV$625,"",(1000*tech_proj!AV1232*(-PMT($J$110,tech_base!$F268,1))+1000*tech_proj!AV1512)/((1-tech_proj!AV672)*tech_proj!AV952*$L$110))</f>
        <v>99.808915680210163</v>
      </c>
      <c r="AW892" s="69">
        <f>IF(tech_base!$T268&gt;AW$625,"",(1000*tech_proj!AW1232*(-PMT($J$110,tech_base!$F268,1))+1000*tech_proj!AW1512)/((1-tech_proj!AW672)*tech_proj!AW952*$L$110))</f>
        <v>99.739379957306241</v>
      </c>
      <c r="AX892" s="235">
        <f>IF(tech_base!$T268&gt;AX$625,"",(1000*tech_proj!AX1232*(-PMT($J$110,tech_base!$F268,1))+1000*tech_proj!AX1512)/((1-tech_proj!AX672)*tech_proj!AX952*$L$110))</f>
        <v>99.659811573171268</v>
      </c>
    </row>
    <row r="893" spans="1:50" x14ac:dyDescent="0.25">
      <c r="A893" s="357"/>
      <c r="B893" s="380"/>
      <c r="C893" s="381"/>
      <c r="D893" s="4" t="s">
        <v>20</v>
      </c>
      <c r="E893" s="168" t="str">
        <f>A886&amp;"/"&amp;B890&amp;"/"&amp;C890&amp;"/"&amp;D893</f>
        <v>Hydro plants/Reservoirs (dams)/Electricity only/XS</v>
      </c>
      <c r="F893" s="80" t="str">
        <f>A886</f>
        <v>Hydro plants</v>
      </c>
      <c r="G893" s="80" t="str">
        <f>B890</f>
        <v>Reservoirs (dams)</v>
      </c>
      <c r="H893" s="80" t="str">
        <f>C890</f>
        <v>Electricity only</v>
      </c>
      <c r="I893" s="169" t="str">
        <f t="shared" si="366"/>
        <v>XS</v>
      </c>
      <c r="J893" s="73">
        <f>IF(tech_base!$T269&gt;J$625,"",(1000*tech_proj!J1233*(-PMT($J$110,tech_base!$F269,1))+1000*tech_proj!J1513)/((1-tech_proj!J673)*tech_proj!J953*$L$110))</f>
        <v>135.35084142617248</v>
      </c>
      <c r="K893" s="73">
        <f>IF(tech_base!$T269&gt;K$625,"",(1000*tech_proj!K1233*(-PMT($J$110,tech_base!$F269,1))+1000*tech_proj!K1513)/((1-tech_proj!K673)*tech_proj!K953*$L$110))</f>
        <v>135.35075430811506</v>
      </c>
      <c r="L893" s="73">
        <f>IF(tech_base!$T269&gt;L$625,"",(1000*tech_proj!L1233*(-PMT($J$110,tech_base!$F269,1))+1000*tech_proj!L1513)/((1-tech_proj!L673)*tech_proj!L953*$L$110))</f>
        <v>135.35064790333996</v>
      </c>
      <c r="M893" s="73">
        <f>IF(tech_base!$T269&gt;M$625,"",(1000*tech_proj!M1233*(-PMT($J$110,tech_base!$F269,1))+1000*tech_proj!M1513)/((1-tech_proj!M673)*tech_proj!M953*$L$110))</f>
        <v>135.35051794243299</v>
      </c>
      <c r="N893" s="73">
        <f>IF(tech_base!$T269&gt;N$625,"",(1000*tech_proj!N1233*(-PMT($J$110,tech_base!$F269,1))+1000*tech_proj!N1513)/((1-tech_proj!N673)*tech_proj!N953*$L$110))</f>
        <v>135.35035921107303</v>
      </c>
      <c r="O893" s="73">
        <f>IF(tech_base!$T269&gt;O$625,"",(1000*tech_proj!O1233*(-PMT($J$110,tech_base!$F269,1))+1000*tech_proj!O1513)/((1-tech_proj!O673)*tech_proj!O953*$L$110))</f>
        <v>135.35016534100095</v>
      </c>
      <c r="P893" s="73">
        <f>IF(tech_base!$T269&gt;P$625,"",(1000*tech_proj!P1233*(-PMT($J$110,tech_base!$F269,1))+1000*tech_proj!P1513)/((1-tech_proj!P673)*tech_proj!P953*$L$110))</f>
        <v>135.34992855479325</v>
      </c>
      <c r="Q893" s="73">
        <f>IF(tech_base!$T269&gt;Q$625,"",(1000*tech_proj!Q1233*(-PMT($J$110,tech_base!$F269,1))+1000*tech_proj!Q1513)/((1-tech_proj!Q673)*tech_proj!Q953*$L$110))</f>
        <v>135.34963935425611</v>
      </c>
      <c r="R893" s="73">
        <f>IF(tech_base!$T269&gt;R$625,"",(1000*tech_proj!R1233*(-PMT($J$110,tech_base!$F269,1))+1000*tech_proj!R1513)/((1-tech_proj!R673)*tech_proj!R953*$L$110))</f>
        <v>135.34928614001822</v>
      </c>
      <c r="S893" s="73">
        <f>IF(tech_base!$T269&gt;S$625,"",(1000*tech_proj!S1233*(-PMT($J$110,tech_base!$F269,1))+1000*tech_proj!S1513)/((1-tech_proj!S673)*tech_proj!S953*$L$110))</f>
        <v>135.34885474718422</v>
      </c>
      <c r="T893" s="73">
        <f>IF(tech_base!$T269&gt;T$625,"",(1000*tech_proj!T1233*(-PMT($J$110,tech_base!$F269,1))+1000*tech_proj!T1513)/((1-tech_proj!T673)*tech_proj!T953*$L$110))</f>
        <v>135.34832787860287</v>
      </c>
      <c r="U893" s="73">
        <f>IF(tech_base!$T269&gt;U$625,"",(1000*tech_proj!U1233*(-PMT($J$110,tech_base!$F269,1))+1000*tech_proj!U1513)/((1-tech_proj!U673)*tech_proj!U953*$L$110))</f>
        <v>135.34768441328958</v>
      </c>
      <c r="V893" s="73">
        <f>IF(tech_base!$T269&gt;V$625,"",(1000*tech_proj!V1233*(-PMT($J$110,tech_base!$F269,1))+1000*tech_proj!V1513)/((1-tech_proj!V673)*tech_proj!V953*$L$110))</f>
        <v>135.34689856267116</v>
      </c>
      <c r="W893" s="73">
        <f>IF(tech_base!$T269&gt;W$625,"",(1000*tech_proj!W1233*(-PMT($J$110,tech_base!$F269,1))+1000*tech_proj!W1513)/((1-tech_proj!W673)*tech_proj!W953*$L$110))</f>
        <v>135.34593884142203</v>
      </c>
      <c r="X893" s="73">
        <f>IF(tech_base!$T269&gt;X$625,"",(1000*tech_proj!X1233*(-PMT($J$110,tech_base!$F269,1))+1000*tech_proj!X1513)/((1-tech_proj!X673)*tech_proj!X953*$L$110))</f>
        <v>135.34476681252897</v>
      </c>
      <c r="Y893" s="73">
        <f>IF(tech_base!$T269&gt;Y$625,"",(1000*tech_proj!Y1233*(-PMT($J$110,tech_base!$F269,1))+1000*tech_proj!Y1513)/((1-tech_proj!Y673)*tech_proj!Y953*$L$110))</f>
        <v>135.34333555762242</v>
      </c>
      <c r="Z893" s="73">
        <f>IF(tech_base!$T269&gt;Z$625,"",(1000*tech_proj!Z1233*(-PMT($J$110,tech_base!$F269,1))+1000*tech_proj!Z1513)/((1-tech_proj!Z673)*tech_proj!Z953*$L$110))</f>
        <v>135.3415878132744</v>
      </c>
      <c r="AA893" s="73">
        <f>IF(tech_base!$T269&gt;AA$625,"",(1000*tech_proj!AA1233*(-PMT($J$110,tech_base!$F269,1))+1000*tech_proj!AA1513)/((1-tech_proj!AA673)*tech_proj!AA953*$L$110))</f>
        <v>135.33945370157824</v>
      </c>
      <c r="AB893" s="73">
        <f>IF(tech_base!$T269&gt;AB$625,"",(1000*tech_proj!AB1233*(-PMT($J$110,tech_base!$F269,1))+1000*tech_proj!AB1513)/((1-tech_proj!AB673)*tech_proj!AB953*$L$110))</f>
        <v>135.33684796856696</v>
      </c>
      <c r="AC893" s="73">
        <f>IF(tech_base!$T269&gt;AC$625,"",(1000*tech_proj!AC1233*(-PMT($J$110,tech_base!$F269,1))+1000*tech_proj!AC1513)/((1-tech_proj!AC673)*tech_proj!AC953*$L$110))</f>
        <v>135.33366662653668</v>
      </c>
      <c r="AD893" s="73">
        <f>IF(tech_base!$T269&gt;AD$625,"",(1000*tech_proj!AD1233*(-PMT($J$110,tech_base!$F269,1))+1000*tech_proj!AD1513)/((1-tech_proj!AD673)*tech_proj!AD953*$L$110))</f>
        <v>135.3297828757822</v>
      </c>
      <c r="AE893" s="73">
        <f>IF(tech_base!$T269&gt;AE$625,"",(1000*tech_proj!AE1233*(-PMT($J$110,tech_base!$F269,1))+1000*tech_proj!AE1513)/((1-tech_proj!AE673)*tech_proj!AE953*$L$110))</f>
        <v>135.32504215732376</v>
      </c>
      <c r="AF893" s="73">
        <f>IF(tech_base!$T269&gt;AF$625,"",(1000*tech_proj!AF1233*(-PMT($J$110,tech_base!$F269,1))+1000*tech_proj!AF1513)/((1-tech_proj!AF673)*tech_proj!AF953*$L$110))</f>
        <v>135.3192561607336</v>
      </c>
      <c r="AG893" s="73">
        <f>IF(tech_base!$T269&gt;AG$625,"",(1000*tech_proj!AG1233*(-PMT($J$110,tech_base!$F269,1))+1000*tech_proj!AG1513)/((1-tech_proj!AG673)*tech_proj!AG953*$L$110))</f>
        <v>135.31219558019805</v>
      </c>
      <c r="AH893" s="73">
        <f>IF(tech_base!$T269&gt;AH$625,"",(1000*tech_proj!AH1233*(-PMT($J$110,tech_base!$F269,1))+1000*tech_proj!AH1513)/((1-tech_proj!AH673)*tech_proj!AH953*$L$110))</f>
        <v>135.30358137792595</v>
      </c>
      <c r="AI893" s="73">
        <f>IF(tech_base!$T269&gt;AI$625,"",(1000*tech_proj!AI1233*(-PMT($J$110,tech_base!$F269,1))+1000*tech_proj!AI1513)/((1-tech_proj!AI673)*tech_proj!AI953*$L$110))</f>
        <v>135.2930742780307</v>
      </c>
      <c r="AJ893" s="73">
        <f>IF(tech_base!$T269&gt;AJ$625,"",(1000*tech_proj!AJ1233*(-PMT($J$110,tech_base!$F269,1))+1000*tech_proj!AJ1513)/((1-tech_proj!AJ673)*tech_proj!AJ953*$L$110))</f>
        <v>135.2802621782028</v>
      </c>
      <c r="AK893" s="73">
        <f>IF(tech_base!$T269&gt;AK$625,"",(1000*tech_proj!AK1233*(-PMT($J$110,tech_base!$F269,1))+1000*tech_proj!AK1513)/((1-tech_proj!AK673)*tech_proj!AK953*$L$110))</f>
        <v>135.26464513459237</v>
      </c>
      <c r="AL893" s="73">
        <f>IF(tech_base!$T269&gt;AL$625,"",(1000*tech_proj!AL1233*(-PMT($J$110,tech_base!$F269,1))+1000*tech_proj!AL1513)/((1-tech_proj!AL673)*tech_proj!AL953*$L$110))</f>
        <v>135.2456175534513</v>
      </c>
      <c r="AM893" s="73">
        <f>IF(tech_base!$T269&gt;AM$625,"",(1000*tech_proj!AM1233*(-PMT($J$110,tech_base!$F269,1))+1000*tech_proj!AM1513)/((1-tech_proj!AM673)*tech_proj!AM953*$L$110))</f>
        <v>135.22244722088601</v>
      </c>
      <c r="AN893" s="73">
        <f>IF(tech_base!$T269&gt;AN$625,"",(1000*tech_proj!AN1233*(-PMT($J$110,tech_base!$F269,1))+1000*tech_proj!AN1513)/((1-tech_proj!AN673)*tech_proj!AN953*$L$110))</f>
        <v>135.1942508341626</v>
      </c>
      <c r="AO893" s="73">
        <f>IF(tech_base!$T269&gt;AO$625,"",(1000*tech_proj!AO1233*(-PMT($J$110,tech_base!$F269,1))+1000*tech_proj!AO1513)/((1-tech_proj!AO673)*tech_proj!AO953*$L$110))</f>
        <v>135.15996578595542</v>
      </c>
      <c r="AP893" s="73">
        <f>IF(tech_base!$T269&gt;AP$625,"",(1000*tech_proj!AP1233*(-PMT($J$110,tech_base!$F269,1))+1000*tech_proj!AP1513)/((1-tech_proj!AP673)*tech_proj!AP953*$L$110))</f>
        <v>135.11831812757245</v>
      </c>
      <c r="AQ893" s="73">
        <f>IF(tech_base!$T269&gt;AQ$625,"",(1000*tech_proj!AQ1233*(-PMT($J$110,tech_base!$F269,1))+1000*tech_proj!AQ1513)/((1-tech_proj!AQ673)*tech_proj!AQ953*$L$110))</f>
        <v>135.06778694120197</v>
      </c>
      <c r="AR893" s="73">
        <f>IF(tech_base!$T269&gt;AR$625,"",(1000*tech_proj!AR1233*(-PMT($J$110,tech_base!$F269,1))+1000*tech_proj!AR1513)/((1-tech_proj!AR673)*tech_proj!AR953*$L$110))</f>
        <v>135.00656584139236</v>
      </c>
      <c r="AS893" s="73">
        <f>IF(tech_base!$T269&gt;AS$625,"",(1000*tech_proj!AS1233*(-PMT($J$110,tech_base!$F269,1))+1000*tech_proj!AS1513)/((1-tech_proj!AS673)*tech_proj!AS953*$L$110))</f>
        <v>134.93252307401406</v>
      </c>
      <c r="AT893" s="73">
        <f>IF(tech_base!$T269&gt;AT$625,"",(1000*tech_proj!AT1233*(-PMT($J$110,tech_base!$F269,1))+1000*tech_proj!AT1513)/((1-tech_proj!AT673)*tech_proj!AT953*$L$110))</f>
        <v>134.84316277080771</v>
      </c>
      <c r="AU893" s="73">
        <f>IF(tech_base!$T269&gt;AU$625,"",(1000*tech_proj!AU1233*(-PMT($J$110,tech_base!$F269,1))+1000*tech_proj!AU1513)/((1-tech_proj!AU673)*tech_proj!AU953*$L$110))</f>
        <v>134.73559143563227</v>
      </c>
      <c r="AV893" s="73">
        <f>IF(tech_base!$T269&gt;AV$625,"",(1000*tech_proj!AV1233*(-PMT($J$110,tech_base!$F269,1))+1000*tech_proj!AV1513)/((1-tech_proj!AV673)*tech_proj!AV953*$L$110))</f>
        <v>134.60649575098256</v>
      </c>
      <c r="AW893" s="73">
        <f>IF(tech_base!$T269&gt;AW$625,"",(1000*tech_proj!AW1233*(-PMT($J$110,tech_base!$F269,1))+1000*tech_proj!AW1513)/((1-tech_proj!AW673)*tech_proj!AW953*$L$110))</f>
        <v>134.45214030400064</v>
      </c>
      <c r="AX893" s="239">
        <f>IF(tech_base!$T269&gt;AX$625,"",(1000*tech_proj!AX1233*(-PMT($J$110,tech_base!$F269,1))+1000*tech_proj!AX1513)/((1-tech_proj!AX673)*tech_proj!AX953*$L$110))</f>
        <v>134.26839671078153</v>
      </c>
    </row>
    <row r="894" spans="1:50" x14ac:dyDescent="0.25">
      <c r="A894" s="356" t="s">
        <v>46</v>
      </c>
      <c r="B894" s="359" t="s">
        <v>46</v>
      </c>
      <c r="C894" s="353" t="s">
        <v>6</v>
      </c>
      <c r="D894" s="2" t="s">
        <v>7</v>
      </c>
      <c r="E894" s="160" t="str">
        <f>A894&amp;"/"&amp;B894&amp;"/"&amp;C894&amp;"/"&amp;D894</f>
        <v>Pump storage/Pump storage/Electricity only/L</v>
      </c>
      <c r="F894" s="76" t="str">
        <f>A894</f>
        <v>Pump storage</v>
      </c>
      <c r="G894" s="76" t="str">
        <f>B894</f>
        <v>Pump storage</v>
      </c>
      <c r="H894" s="76" t="str">
        <f>C894</f>
        <v>Electricity only</v>
      </c>
      <c r="I894" s="161" t="str">
        <f t="shared" si="366"/>
        <v>L</v>
      </c>
      <c r="J894" s="69">
        <f>IF(tech_base!$T270&gt;J$625,"",(1000*tech_proj!J1234*(-PMT($J$110,tech_base!$F270,1))+1000*tech_proj!J1514)/((1-tech_proj!J674)*tech_proj!J954*$L$110))</f>
        <v>80.0246526718539</v>
      </c>
      <c r="K894" s="69">
        <f>IF(tech_base!$T270&gt;K$625,"",(1000*tech_proj!K1234*(-PMT($J$110,tech_base!$F270,1))+1000*tech_proj!K1514)/((1-tech_proj!K674)*tech_proj!K954*$L$110))</f>
        <v>80.023522904707391</v>
      </c>
      <c r="L894" s="69">
        <f>IF(tech_base!$T270&gt;L$625,"",(1000*tech_proj!L1234*(-PMT($J$110,tech_base!$F270,1))+1000*tech_proj!L1514)/((1-tech_proj!L674)*tech_proj!L954*$L$110))</f>
        <v>80.02233555361893</v>
      </c>
      <c r="M894" s="69">
        <f>IF(tech_base!$T270&gt;M$625,"",(1000*tech_proj!M1234*(-PMT($J$110,tech_base!$F270,1))+1000*tech_proj!M1514)/((1-tech_proj!M674)*tech_proj!M954*$L$110))</f>
        <v>80.021087701837544</v>
      </c>
      <c r="N894" s="69">
        <f>IF(tech_base!$T270&gt;N$625,"",(1000*tech_proj!N1234*(-PMT($J$110,tech_base!$F270,1))+1000*tech_proj!N1514)/((1-tech_proj!N674)*tech_proj!N954*$L$110))</f>
        <v>80.019776286789082</v>
      </c>
      <c r="O894" s="69">
        <f>IF(tech_base!$T270&gt;O$625,"",(1000*tech_proj!O1234*(-PMT($J$110,tech_base!$F270,1))+1000*tech_proj!O1514)/((1-tech_proj!O674)*tech_proj!O954*$L$110))</f>
        <v>80.018398092986629</v>
      </c>
      <c r="P894" s="69">
        <f>IF(tech_base!$T270&gt;P$625,"",(1000*tech_proj!P1234*(-PMT($J$110,tech_base!$F270,1))+1000*tech_proj!P1514)/((1-tech_proj!P674)*tech_proj!P954*$L$110))</f>
        <v>80.016949744617875</v>
      </c>
      <c r="Q894" s="69">
        <f>IF(tech_base!$T270&gt;Q$625,"",(1000*tech_proj!Q1234*(-PMT($J$110,tech_base!$F270,1))+1000*tech_proj!Q1514)/((1-tech_proj!Q674)*tech_proj!Q954*$L$110))</f>
        <v>80.015427697796113</v>
      </c>
      <c r="R894" s="69">
        <f>IF(tech_base!$T270&gt;R$625,"",(1000*tech_proj!R1234*(-PMT($J$110,tech_base!$F270,1))+1000*tech_proj!R1514)/((1-tech_proj!R674)*tech_proj!R954*$L$110))</f>
        <v>80.013828232463013</v>
      </c>
      <c r="S894" s="69">
        <f>IF(tech_base!$T270&gt;S$625,"",(1000*tech_proj!S1234*(-PMT($J$110,tech_base!$F270,1))+1000*tech_proj!S1514)/((1-tech_proj!S674)*tech_proj!S954*$L$110))</f>
        <v>80.012147443929422</v>
      </c>
      <c r="T894" s="69">
        <f>IF(tech_base!$T270&gt;T$625,"",(1000*tech_proj!T1234*(-PMT($J$110,tech_base!$F270,1))+1000*tech_proj!T1514)/((1-tech_proj!T674)*tech_proj!T954*$L$110))</f>
        <v>80.010381234042001</v>
      </c>
      <c r="U894" s="69">
        <f>IF(tech_base!$T270&gt;U$625,"",(1000*tech_proj!U1234*(-PMT($J$110,tech_base!$F270,1))+1000*tech_proj!U1514)/((1-tech_proj!U674)*tech_proj!U954*$L$110))</f>
        <v>80.008525301961569</v>
      </c>
      <c r="V894" s="69">
        <f>IF(tech_base!$T270&gt;V$625,"",(1000*tech_proj!V1234*(-PMT($J$110,tech_base!$F270,1))+1000*tech_proj!V1514)/((1-tech_proj!V674)*tech_proj!V954*$L$110))</f>
        <v>80.006575134540682</v>
      </c>
      <c r="W894" s="69">
        <f>IF(tech_base!$T270&gt;W$625,"",(1000*tech_proj!W1234*(-PMT($J$110,tech_base!$F270,1))+1000*tech_proj!W1514)/((1-tech_proj!W674)*tech_proj!W954*$L$110))</f>
        <v>80.004525996286645</v>
      </c>
      <c r="X894" s="69">
        <f>IF(tech_base!$T270&gt;X$625,"",(1000*tech_proj!X1234*(-PMT($J$110,tech_base!$F270,1))+1000*tech_proj!X1514)/((1-tech_proj!X674)*tech_proj!X954*$L$110))</f>
        <v>80.002372918897109</v>
      </c>
      <c r="Y894" s="69">
        <f>IF(tech_base!$T270&gt;Y$625,"",(1000*tech_proj!Y1234*(-PMT($J$110,tech_base!$F270,1))+1000*tech_proj!Y1514)/((1-tech_proj!Y674)*tech_proj!Y954*$L$110))</f>
        <v>80.000110690354575</v>
      </c>
      <c r="Z894" s="69">
        <f>IF(tech_base!$T270&gt;Z$625,"",(1000*tech_proj!Z1234*(-PMT($J$110,tech_base!$F270,1))+1000*tech_proj!Z1514)/((1-tech_proj!Z674)*tech_proj!Z954*$L$110))</f>
        <v>79.997733843567559</v>
      </c>
      <c r="AA894" s="69">
        <f>IF(tech_base!$T270&gt;AA$625,"",(1000*tech_proj!AA1234*(-PMT($J$110,tech_base!$F270,1))+1000*tech_proj!AA1514)/((1-tech_proj!AA674)*tech_proj!AA954*$L$110))</f>
        <v>79.995236644545017</v>
      </c>
      <c r="AB894" s="69">
        <f>IF(tech_base!$T270&gt;AB$625,"",(1000*tech_proj!AB1234*(-PMT($J$110,tech_base!$F270,1))+1000*tech_proj!AB1514)/((1-tech_proj!AB674)*tech_proj!AB954*$L$110))</f>
        <v>79.992613080092511</v>
      </c>
      <c r="AC894" s="69">
        <f>IF(tech_base!$T270&gt;AC$625,"",(1000*tech_proj!AC1234*(-PMT($J$110,tech_base!$F270,1))+1000*tech_proj!AC1514)/((1-tech_proj!AC674)*tech_proj!AC954*$L$110))</f>
        <v>79.989856845017627</v>
      </c>
      <c r="AD894" s="69">
        <f>IF(tech_base!$T270&gt;AD$625,"",(1000*tech_proj!AD1234*(-PMT($J$110,tech_base!$F270,1))+1000*tech_proj!AD1514)/((1-tech_proj!AD674)*tech_proj!AD954*$L$110))</f>
        <v>79.986961328834198</v>
      </c>
      <c r="AE894" s="69">
        <f>IF(tech_base!$T270&gt;AE$625,"",(1000*tech_proj!AE1234*(-PMT($J$110,tech_base!$F270,1))+1000*tech_proj!AE1514)/((1-tech_proj!AE674)*tech_proj!AE954*$L$110))</f>
        <v>79.98391960195444</v>
      </c>
      <c r="AF894" s="69">
        <f>IF(tech_base!$T270&gt;AF$625,"",(1000*tech_proj!AF1234*(-PMT($J$110,tech_base!$F270,1))+1000*tech_proj!AF1514)/((1-tech_proj!AF674)*tech_proj!AF954*$L$110))</f>
        <v>79.980724401360064</v>
      </c>
      <c r="AG894" s="69">
        <f>IF(tech_base!$T270&gt;AG$625,"",(1000*tech_proj!AG1234*(-PMT($J$110,tech_base!$F270,1))+1000*tech_proj!AG1514)/((1-tech_proj!AG674)*tech_proj!AG954*$L$110))</f>
        <v>79.977368115743843</v>
      </c>
      <c r="AH894" s="69">
        <f>IF(tech_base!$T270&gt;AH$625,"",(1000*tech_proj!AH1234*(-PMT($J$110,tech_base!$F270,1))+1000*tech_proj!AH1514)/((1-tech_proj!AH674)*tech_proj!AH954*$L$110))</f>
        <v>79.973842770114857</v>
      </c>
      <c r="AI894" s="69">
        <f>IF(tech_base!$T270&gt;AI$625,"",(1000*tech_proj!AI1234*(-PMT($J$110,tech_base!$F270,1))+1000*tech_proj!AI1514)/((1-tech_proj!AI674)*tech_proj!AI954*$L$110))</f>
        <v>79.970140009862021</v>
      </c>
      <c r="AJ894" s="69">
        <f>IF(tech_base!$T270&gt;AJ$625,"",(1000*tech_proj!AJ1234*(-PMT($J$110,tech_base!$F270,1))+1000*tech_proj!AJ1514)/((1-tech_proj!AJ674)*tech_proj!AJ954*$L$110))</f>
        <v>79.966251084272514</v>
      </c>
      <c r="AK894" s="69">
        <f>IF(tech_base!$T270&gt;AK$625,"",(1000*tech_proj!AK1234*(-PMT($J$110,tech_base!$F270,1))+1000*tech_proj!AK1514)/((1-tech_proj!AK674)*tech_proj!AK954*$L$110))</f>
        <v>79.962166829503474</v>
      </c>
      <c r="AL894" s="69">
        <f>IF(tech_base!$T270&gt;AL$625,"",(1000*tech_proj!AL1234*(-PMT($J$110,tech_base!$F270,1))+1000*tech_proj!AL1514)/((1-tech_proj!AL674)*tech_proj!AL954*$L$110))</f>
        <v>79.957877651008118</v>
      </c>
      <c r="AM894" s="69">
        <f>IF(tech_base!$T270&gt;AM$625,"",(1000*tech_proj!AM1234*(-PMT($J$110,tech_base!$F270,1))+1000*tech_proj!AM1514)/((1-tech_proj!AM674)*tech_proj!AM954*$L$110))</f>
        <v>79.953373505420046</v>
      </c>
      <c r="AN894" s="69">
        <f>IF(tech_base!$T270&gt;AN$625,"",(1000*tech_proj!AN1234*(-PMT($J$110,tech_base!$F270,1))+1000*tech_proj!AN1514)/((1-tech_proj!AN674)*tech_proj!AN954*$L$110))</f>
        <v>79.9486438819022</v>
      </c>
      <c r="AO894" s="69">
        <f>IF(tech_base!$T270&gt;AO$625,"",(1000*tech_proj!AO1234*(-PMT($J$110,tech_base!$F270,1))+1000*tech_proj!AO1514)/((1-tech_proj!AO674)*tech_proj!AO954*$L$110))</f>
        <v>79.943677782971292</v>
      </c>
      <c r="AP894" s="69">
        <f>IF(tech_base!$T270&gt;AP$625,"",(1000*tech_proj!AP1234*(-PMT($J$110,tech_base!$F270,1))+1000*tech_proj!AP1514)/((1-tech_proj!AP674)*tech_proj!AP954*$L$110))</f>
        <v>79.938463704811326</v>
      </c>
      <c r="AQ894" s="69">
        <f>IF(tech_base!$T270&gt;AQ$625,"",(1000*tech_proj!AQ1234*(-PMT($J$110,tech_base!$F270,1))+1000*tech_proj!AQ1514)/((1-tech_proj!AQ674)*tech_proj!AQ954*$L$110))</f>
        <v>79.932989617095686</v>
      </c>
      <c r="AR894" s="69">
        <f>IF(tech_base!$T270&gt;AR$625,"",(1000*tech_proj!AR1234*(-PMT($J$110,tech_base!$F270,1))+1000*tech_proj!AR1514)/((1-tech_proj!AR674)*tech_proj!AR954*$L$110))</f>
        <v>79.927242942340357</v>
      </c>
      <c r="AS894" s="69">
        <f>IF(tech_base!$T270&gt;AS$625,"",(1000*tech_proj!AS1234*(-PMT($J$110,tech_base!$F270,1))+1000*tech_proj!AS1514)/((1-tech_proj!AS674)*tech_proj!AS954*$L$110))</f>
        <v>79.921210534818343</v>
      </c>
      <c r="AT894" s="69">
        <f>IF(tech_base!$T270&gt;AT$625,"",(1000*tech_proj!AT1234*(-PMT($J$110,tech_base!$F270,1))+1000*tech_proj!AT1514)/((1-tech_proj!AT674)*tech_proj!AT954*$L$110))</f>
        <v>79.914878659069629</v>
      </c>
      <c r="AU894" s="69">
        <f>IF(tech_base!$T270&gt;AU$625,"",(1000*tech_proj!AU1234*(-PMT($J$110,tech_base!$F270,1))+1000*tech_proj!AU1514)/((1-tech_proj!AU674)*tech_proj!AU954*$L$110))</f>
        <v>79.908232968049148</v>
      </c>
      <c r="AV894" s="69">
        <f>IF(tech_base!$T270&gt;AV$625,"",(1000*tech_proj!AV1234*(-PMT($J$110,tech_base!$F270,1))+1000*tech_proj!AV1514)/((1-tech_proj!AV674)*tech_proj!AV954*$L$110))</f>
        <v>79.901258480961715</v>
      </c>
      <c r="AW894" s="69">
        <f>IF(tech_base!$T270&gt;AW$625,"",(1000*tech_proj!AW1234*(-PMT($J$110,tech_base!$F270,1))+1000*tech_proj!AW1514)/((1-tech_proj!AW674)*tech_proj!AW954*$L$110))</f>
        <v>79.893939560841744</v>
      </c>
      <c r="AX894" s="235">
        <f>IF(tech_base!$T270&gt;AX$625,"",(1000*tech_proj!AX1234*(-PMT($J$110,tech_base!$F270,1))+1000*tech_proj!AX1514)/((1-tech_proj!AX674)*tech_proj!AX954*$L$110))</f>
        <v>79.886259891943808</v>
      </c>
    </row>
    <row r="895" spans="1:50" x14ac:dyDescent="0.25">
      <c r="A895" s="382"/>
      <c r="B895" s="376"/>
      <c r="C895" s="378"/>
      <c r="D895" s="2" t="s">
        <v>8</v>
      </c>
      <c r="E895" s="160" t="str">
        <f>A894&amp;"/"&amp;B894&amp;"/"&amp;C894&amp;"/"&amp;D895</f>
        <v>Pump storage/Pump storage/Electricity only/M</v>
      </c>
      <c r="F895" s="76" t="str">
        <f>A894</f>
        <v>Pump storage</v>
      </c>
      <c r="G895" s="76" t="str">
        <f>B894</f>
        <v>Pump storage</v>
      </c>
      <c r="H895" s="76" t="str">
        <f>C894</f>
        <v>Electricity only</v>
      </c>
      <c r="I895" s="161" t="str">
        <f t="shared" si="366"/>
        <v>M</v>
      </c>
      <c r="J895" s="69">
        <f>IF(tech_base!$T271&gt;J$625,"",(1000*tech_proj!J1235*(-PMT($J$110,tech_base!$F271,1))+1000*tech_proj!J1515)/((1-tech_proj!J675)*tech_proj!J955*$L$110))</f>
        <v>92.028350572631965</v>
      </c>
      <c r="K895" s="69">
        <f>IF(tech_base!$T271&gt;K$625,"",(1000*tech_proj!K1235*(-PMT($J$110,tech_base!$F271,1))+1000*tech_proj!K1515)/((1-tech_proj!K675)*tech_proj!K955*$L$110))</f>
        <v>92.027613145196156</v>
      </c>
      <c r="L895" s="69">
        <f>IF(tech_base!$T271&gt;L$625,"",(1000*tech_proj!L1235*(-PMT($J$110,tech_base!$F271,1))+1000*tech_proj!L1515)/((1-tech_proj!L675)*tech_proj!L955*$L$110))</f>
        <v>92.026798296557033</v>
      </c>
      <c r="M895" s="69">
        <f>IF(tech_base!$T271&gt;M$625,"",(1000*tech_proj!M1235*(-PMT($J$110,tech_base!$F271,1))+1000*tech_proj!M1515)/((1-tech_proj!M675)*tech_proj!M955*$L$110))</f>
        <v>92.025897914039632</v>
      </c>
      <c r="N895" s="69">
        <f>IF(tech_base!$T271&gt;N$625,"",(1000*tech_proj!N1235*(-PMT($J$110,tech_base!$F271,1))+1000*tech_proj!N1515)/((1-tech_proj!N675)*tech_proj!N955*$L$110))</f>
        <v>92.024903038330919</v>
      </c>
      <c r="O895" s="69">
        <f>IF(tech_base!$T271&gt;O$625,"",(1000*tech_proj!O1235*(-PMT($J$110,tech_base!$F271,1))+1000*tech_proj!O1515)/((1-tech_proj!O675)*tech_proj!O955*$L$110))</f>
        <v>92.023803775889434</v>
      </c>
      <c r="P895" s="69">
        <f>IF(tech_base!$T271&gt;P$625,"",(1000*tech_proj!P1235*(-PMT($J$110,tech_base!$F271,1))+1000*tech_proj!P1515)/((1-tech_proj!P675)*tech_proj!P955*$L$110))</f>
        <v>92.022589202462797</v>
      </c>
      <c r="Q895" s="69">
        <f>IF(tech_base!$T271&gt;Q$625,"",(1000*tech_proj!Q1235*(-PMT($J$110,tech_base!$F271,1))+1000*tech_proj!Q1515)/((1-tech_proj!Q675)*tech_proj!Q955*$L$110))</f>
        <v>92.021247256847545</v>
      </c>
      <c r="R895" s="69">
        <f>IF(tech_base!$T271&gt;R$625,"",(1000*tech_proj!R1235*(-PMT($J$110,tech_base!$F271,1))+1000*tech_proj!R1515)/((1-tech_proj!R675)*tech_proj!R955*$L$110))</f>
        <v>92.019764623950707</v>
      </c>
      <c r="S895" s="69">
        <f>IF(tech_base!$T271&gt;S$625,"",(1000*tech_proj!S1235*(-PMT($J$110,tech_base!$F271,1))+1000*tech_proj!S1515)/((1-tech_proj!S675)*tech_proj!S955*$L$110))</f>
        <v>92.018126606131929</v>
      </c>
      <c r="T895" s="69">
        <f>IF(tech_base!$T271&gt;T$625,"",(1000*tech_proj!T1235*(-PMT($J$110,tech_base!$F271,1))+1000*tech_proj!T1515)/((1-tech_proj!T675)*tech_proj!T955*$L$110))</f>
        <v>92.016316981720379</v>
      </c>
      <c r="U895" s="69">
        <f>IF(tech_base!$T271&gt;U$625,"",(1000*tech_proj!U1235*(-PMT($J$110,tech_base!$F271,1))+1000*tech_proj!U1515)/((1-tech_proj!U675)*tech_proj!U955*$L$110))</f>
        <v>92.014317849511784</v>
      </c>
      <c r="V895" s="69">
        <f>IF(tech_base!$T271&gt;V$625,"",(1000*tech_proj!V1235*(-PMT($J$110,tech_base!$F271,1))+1000*tech_proj!V1515)/((1-tech_proj!V675)*tech_proj!V955*$L$110))</f>
        <v>92.012109457958303</v>
      </c>
      <c r="W895" s="69">
        <f>IF(tech_base!$T271&gt;W$625,"",(1000*tech_proj!W1235*(-PMT($J$110,tech_base!$F271,1))+1000*tech_proj!W1515)/((1-tech_proj!W675)*tech_proj!W955*$L$110))</f>
        <v>92.009670017670217</v>
      </c>
      <c r="X895" s="69">
        <f>IF(tech_base!$T271&gt;X$625,"",(1000*tech_proj!X1235*(-PMT($J$110,tech_base!$F271,1))+1000*tech_proj!X1515)/((1-tech_proj!X675)*tech_proj!X955*$L$110))</f>
        <v>92.006975495750936</v>
      </c>
      <c r="Y895" s="69">
        <f>IF(tech_base!$T271&gt;Y$625,"",(1000*tech_proj!Y1235*(-PMT($J$110,tech_base!$F271,1))+1000*tech_proj!Y1515)/((1-tech_proj!Y675)*tech_proj!Y955*$L$110))</f>
        <v>92.003999390392309</v>
      </c>
      <c r="Z895" s="69">
        <f>IF(tech_base!$T271&gt;Z$625,"",(1000*tech_proj!Z1235*(-PMT($J$110,tech_base!$F271,1))+1000*tech_proj!Z1515)/((1-tech_proj!Z675)*tech_proj!Z955*$L$110))</f>
        <v>92.00071248406276</v>
      </c>
      <c r="AA895" s="69">
        <f>IF(tech_base!$T271&gt;AA$625,"",(1000*tech_proj!AA1235*(-PMT($J$110,tech_base!$F271,1))+1000*tech_proj!AA1515)/((1-tech_proj!AA675)*tech_proj!AA955*$L$110))</f>
        <v>91.997082573534314</v>
      </c>
      <c r="AB895" s="69">
        <f>IF(tech_base!$T271&gt;AB$625,"",(1000*tech_proj!AB1235*(-PMT($J$110,tech_base!$F271,1))+1000*tech_proj!AB1515)/((1-tech_proj!AB675)*tech_proj!AB955*$L$110))</f>
        <v>91.993074174913929</v>
      </c>
      <c r="AC895" s="69">
        <f>IF(tech_base!$T271&gt;AC$625,"",(1000*tech_proj!AC1235*(-PMT($J$110,tech_base!$F271,1))+1000*tech_proj!AC1515)/((1-tech_proj!AC675)*tech_proj!AC955*$L$110))</f>
        <v>91.988648201781217</v>
      </c>
      <c r="AD895" s="69">
        <f>IF(tech_base!$T271&gt;AD$625,"",(1000*tech_proj!AD1235*(-PMT($J$110,tech_base!$F271,1))+1000*tech_proj!AD1515)/((1-tech_proj!AD675)*tech_proj!AD955*$L$110))</f>
        <v>91.983761614487079</v>
      </c>
      <c r="AE895" s="69">
        <f>IF(tech_base!$T271&gt;AE$625,"",(1000*tech_proj!AE1235*(-PMT($J$110,tech_base!$F271,1))+1000*tech_proj!AE1515)/((1-tech_proj!AE675)*tech_proj!AE955*$L$110))</f>
        <v>91.978367038649978</v>
      </c>
      <c r="AF895" s="69">
        <f>IF(tech_base!$T271&gt;AF$625,"",(1000*tech_proj!AF1235*(-PMT($J$110,tech_base!$F271,1))+1000*tech_proj!AF1515)/((1-tech_proj!AF675)*tech_proj!AF955*$L$110))</f>
        <v>91.972412350901777</v>
      </c>
      <c r="AG895" s="69">
        <f>IF(tech_base!$T271&gt;AG$625,"",(1000*tech_proj!AG1235*(-PMT($J$110,tech_base!$F271,1))+1000*tech_proj!AG1515)/((1-tech_proj!AG675)*tech_proj!AG955*$L$110))</f>
        <v>91.965840229998662</v>
      </c>
      <c r="AH895" s="69">
        <f>IF(tech_base!$T271&gt;AH$625,"",(1000*tech_proj!AH1235*(-PMT($J$110,tech_base!$F271,1))+1000*tech_proj!AH1515)/((1-tech_proj!AH675)*tech_proj!AH955*$L$110))</f>
        <v>91.958587671534389</v>
      </c>
      <c r="AI895" s="69">
        <f>IF(tech_base!$T271&gt;AI$625,"",(1000*tech_proj!AI1235*(-PMT($J$110,tech_base!$F271,1))+1000*tech_proj!AI1515)/((1-tech_proj!AI675)*tech_proj!AI955*$L$110))</f>
        <v>91.950585464690377</v>
      </c>
      <c r="AJ895" s="69">
        <f>IF(tech_base!$T271&gt;AJ$625,"",(1000*tech_proj!AJ1235*(-PMT($J$110,tech_base!$F271,1))+1000*tech_proj!AJ1515)/((1-tech_proj!AJ675)*tech_proj!AJ955*$L$110))</f>
        <v>91.941757629750512</v>
      </c>
      <c r="AK895" s="69">
        <f>IF(tech_base!$T271&gt;AK$625,"",(1000*tech_proj!AK1235*(-PMT($J$110,tech_base!$F271,1))+1000*tech_proj!AK1515)/((1-tech_proj!AK675)*tech_proj!AK955*$L$110))</f>
        <v>91.932020815516196</v>
      </c>
      <c r="AL895" s="69">
        <f>IF(tech_base!$T271&gt;AL$625,"",(1000*tech_proj!AL1235*(-PMT($J$110,tech_base!$F271,1))+1000*tech_proj!AL1515)/((1-tech_proj!AL675)*tech_proj!AL955*$L$110))</f>
        <v>91.921283656311815</v>
      </c>
      <c r="AM895" s="69">
        <f>IF(tech_base!$T271&gt;AM$625,"",(1000*tech_proj!AM1235*(-PMT($J$110,tech_base!$F271,1))+1000*tech_proj!AM1515)/((1-tech_proj!AM675)*tech_proj!AM955*$L$110))</f>
        <v>91.909446088996646</v>
      </c>
      <c r="AN895" s="69">
        <f>IF(tech_base!$T271&gt;AN$625,"",(1000*tech_proj!AN1235*(-PMT($J$110,tech_base!$F271,1))+1000*tech_proj!AN1515)/((1-tech_proj!AN675)*tech_proj!AN955*$L$110))</f>
        <v>91.896398631338911</v>
      </c>
      <c r="AO895" s="69">
        <f>IF(tech_base!$T271&gt;AO$625,"",(1000*tech_proj!AO1235*(-PMT($J$110,tech_base!$F271,1))+1000*tech_proj!AO1515)/((1-tech_proj!AO675)*tech_proj!AO955*$L$110))</f>
        <v>91.882021624297025</v>
      </c>
      <c r="AP895" s="69">
        <f>IF(tech_base!$T271&gt;AP$625,"",(1000*tech_proj!AP1235*(-PMT($J$110,tech_base!$F271,1))+1000*tech_proj!AP1515)/((1-tech_proj!AP675)*tech_proj!AP955*$L$110))</f>
        <v>91.866184442240183</v>
      </c>
      <c r="AQ895" s="69">
        <f>IF(tech_base!$T271&gt;AQ$625,"",(1000*tech_proj!AQ1235*(-PMT($J$110,tech_base!$F271,1))+1000*tech_proj!AQ1515)/((1-tech_proj!AQ675)*tech_proj!AQ955*$L$110))</f>
        <v>91.848744676977077</v>
      </c>
      <c r="AR895" s="69">
        <f>IF(tech_base!$T271&gt;AR$625,"",(1000*tech_proj!AR1235*(-PMT($J$110,tech_base!$F271,1))+1000*tech_proj!AR1515)/((1-tech_proj!AR675)*tech_proj!AR955*$L$110))</f>
        <v>91.829547303700991</v>
      </c>
      <c r="AS895" s="69">
        <f>IF(tech_base!$T271&gt;AS$625,"",(1000*tech_proj!AS1235*(-PMT($J$110,tech_base!$F271,1))+1000*tech_proj!AS1515)/((1-tech_proj!AS675)*tech_proj!AS955*$L$110))</f>
        <v>91.808423839662694</v>
      </c>
      <c r="AT895" s="69">
        <f>IF(tech_base!$T271&gt;AT$625,"",(1000*tech_proj!AT1235*(-PMT($J$110,tech_base!$F271,1))+1000*tech_proj!AT1515)/((1-tech_proj!AT675)*tech_proj!AT955*$L$110))</f>
        <v>91.785191509607131</v>
      </c>
      <c r="AU895" s="69">
        <f>IF(tech_base!$T271&gt;AU$625,"",(1000*tech_proj!AU1235*(-PMT($J$110,tech_base!$F271,1))+1000*tech_proj!AU1515)/((1-tech_proj!AU675)*tech_proj!AU955*$L$110))</f>
        <v>91.759652435813635</v>
      </c>
      <c r="AV895" s="69">
        <f>IF(tech_base!$T271&gt;AV$625,"",(1000*tech_proj!AV1235*(-PMT($J$110,tech_base!$F271,1))+1000*tech_proj!AV1515)/((1-tech_proj!AV675)*tech_proj!AV955*$L$110))</f>
        <v>91.731592875016446</v>
      </c>
      <c r="AW895" s="69">
        <f>IF(tech_base!$T271&gt;AW$625,"",(1000*tech_proj!AW1235*(-PMT($J$110,tech_base!$F271,1))+1000*tech_proj!AW1515)/((1-tech_proj!AW675)*tech_proj!AW955*$L$110))</f>
        <v>91.70078252958632</v>
      </c>
      <c r="AX895" s="235">
        <f>IF(tech_base!$T271&gt;AX$625,"",(1000*tech_proj!AX1235*(-PMT($J$110,tech_base!$F271,1))+1000*tech_proj!AX1515)/((1-tech_proj!AX675)*tech_proj!AX955*$L$110))</f>
        <v>91.666973966149413</v>
      </c>
    </row>
    <row r="896" spans="1:50" x14ac:dyDescent="0.25">
      <c r="A896" s="382"/>
      <c r="B896" s="376"/>
      <c r="C896" s="378"/>
      <c r="D896" s="2" t="s">
        <v>10</v>
      </c>
      <c r="E896" s="160" t="str">
        <f>A894&amp;"/"&amp;B894&amp;"/"&amp;C894&amp;"/"&amp;D896</f>
        <v>Pump storage/Pump storage/Electricity only/S</v>
      </c>
      <c r="F896" s="76" t="str">
        <f>A894</f>
        <v>Pump storage</v>
      </c>
      <c r="G896" s="76" t="str">
        <f>B894</f>
        <v>Pump storage</v>
      </c>
      <c r="H896" s="76" t="str">
        <f>C894</f>
        <v>Electricity only</v>
      </c>
      <c r="I896" s="161" t="str">
        <f t="shared" si="366"/>
        <v>S</v>
      </c>
      <c r="J896" s="69">
        <f>IF(tech_base!$T272&gt;J$625,"",(1000*tech_proj!J1236*(-PMT($J$110,tech_base!$F272,1))+1000*tech_proj!J1516)/((1-tech_proj!J676)*tech_proj!J956*$L$110))</f>
        <v>115.03543821578997</v>
      </c>
      <c r="K896" s="69">
        <f>IF(tech_base!$T272&gt;K$625,"",(1000*tech_proj!K1236*(-PMT($J$110,tech_base!$F272,1))+1000*tech_proj!K1516)/((1-tech_proj!K676)*tech_proj!K956*$L$110))</f>
        <v>115.03514426873114</v>
      </c>
      <c r="L896" s="69">
        <f>IF(tech_base!$T272&gt;L$625,"",(1000*tech_proj!L1236*(-PMT($J$110,tech_base!$F272,1))+1000*tech_proj!L1516)/((1-tech_proj!L676)*tech_proj!L956*$L$110))</f>
        <v>115.03480276927189</v>
      </c>
      <c r="M896" s="69">
        <f>IF(tech_base!$T272&gt;M$625,"",(1000*tech_proj!M1236*(-PMT($J$110,tech_base!$F272,1))+1000*tech_proj!M1516)/((1-tech_proj!M676)*tech_proj!M956*$L$110))</f>
        <v>115.03440602820551</v>
      </c>
      <c r="N896" s="69">
        <f>IF(tech_base!$T272&gt;N$625,"",(1000*tech_proj!N1236*(-PMT($J$110,tech_base!$F272,1))+1000*tech_proj!N1516)/((1-tech_proj!N676)*tech_proj!N956*$L$110))</f>
        <v>115.03394511418624</v>
      </c>
      <c r="O896" s="69">
        <f>IF(tech_base!$T272&gt;O$625,"",(1000*tech_proj!O1236*(-PMT($J$110,tech_base!$F272,1))+1000*tech_proj!O1516)/((1-tech_proj!O676)*tech_proj!O956*$L$110))</f>
        <v>115.03340965349091</v>
      </c>
      <c r="P896" s="69">
        <f>IF(tech_base!$T272&gt;P$625,"",(1000*tech_proj!P1236*(-PMT($J$110,tech_base!$F272,1))+1000*tech_proj!P1516)/((1-tech_proj!P676)*tech_proj!P956*$L$110))</f>
        <v>115.03278759764845</v>
      </c>
      <c r="Q896" s="69">
        <f>IF(tech_base!$T272&gt;Q$625,"",(1000*tech_proj!Q1236*(-PMT($J$110,tech_base!$F272,1))+1000*tech_proj!Q1516)/((1-tech_proj!Q676)*tech_proj!Q956*$L$110))</f>
        <v>115.03206495383247</v>
      </c>
      <c r="R896" s="69">
        <f>IF(tech_base!$T272&gt;R$625,"",(1000*tech_proj!R1236*(-PMT($J$110,tech_base!$F272,1))+1000*tech_proj!R1516)/((1-tech_proj!R676)*tech_proj!R956*$L$110))</f>
        <v>115.03122547211969</v>
      </c>
      <c r="S896" s="69">
        <f>IF(tech_base!$T272&gt;S$625,"",(1000*tech_proj!S1236*(-PMT($J$110,tech_base!$F272,1))+1000*tech_proj!S1516)/((1-tech_proj!S676)*tech_proj!S956*$L$110))</f>
        <v>115.03025028280655</v>
      </c>
      <c r="T896" s="69">
        <f>IF(tech_base!$T272&gt;T$625,"",(1000*tech_proj!T1236*(-PMT($J$110,tech_base!$F272,1))+1000*tech_proj!T1516)/((1-tech_proj!T676)*tech_proj!T956*$L$110))</f>
        <v>115.02911747593609</v>
      </c>
      <c r="U896" s="69">
        <f>IF(tech_base!$T272&gt;U$625,"",(1000*tech_proj!U1236*(-PMT($J$110,tech_base!$F272,1))+1000*tech_proj!U1516)/((1-tech_proj!U676)*tech_proj!U956*$L$110))</f>
        <v>115.02780161399745</v>
      </c>
      <c r="V896" s="69">
        <f>IF(tech_base!$T272&gt;V$625,"",(1000*tech_proj!V1236*(-PMT($J$110,tech_base!$F272,1))+1000*tech_proj!V1516)/((1-tech_proj!V676)*tech_proj!V956*$L$110))</f>
        <v>115.02627316740789</v>
      </c>
      <c r="W896" s="69">
        <f>IF(tech_base!$T272&gt;W$625,"",(1000*tech_proj!W1236*(-PMT($J$110,tech_base!$F272,1))+1000*tech_proj!W1516)/((1-tech_proj!W676)*tech_proj!W956*$L$110))</f>
        <v>115.02449786085286</v>
      </c>
      <c r="X896" s="69">
        <f>IF(tech_base!$T272&gt;X$625,"",(1000*tech_proj!X1236*(-PMT($J$110,tech_base!$F272,1))+1000*tech_proj!X1516)/((1-tech_proj!X676)*tech_proj!X956*$L$110))</f>
        <v>115.02243591682837</v>
      </c>
      <c r="Y896" s="69">
        <f>IF(tech_base!$T272&gt;Y$625,"",(1000*tech_proj!Y1236*(-PMT($J$110,tech_base!$F272,1))+1000*tech_proj!Y1516)/((1-tech_proj!Y676)*tech_proj!Y956*$L$110))</f>
        <v>115.02004118078584</v>
      </c>
      <c r="Z896" s="69">
        <f>IF(tech_base!$T272&gt;Z$625,"",(1000*tech_proj!Z1236*(-PMT($J$110,tech_base!$F272,1))+1000*tech_proj!Z1516)/((1-tech_proj!Z676)*tech_proj!Z956*$L$110))</f>
        <v>115.01726011011446</v>
      </c>
      <c r="AA896" s="69">
        <f>IF(tech_base!$T272&gt;AA$625,"",(1000*tech_proj!AA1236*(-PMT($J$110,tech_base!$F272,1))+1000*tech_proj!AA1516)/((1-tech_proj!AA676)*tech_proj!AA956*$L$110))</f>
        <v>115.01403060680101</v>
      </c>
      <c r="AB896" s="69">
        <f>IF(tech_base!$T272&gt;AB$625,"",(1000*tech_proj!AB1236*(-PMT($J$110,tech_base!$F272,1))+1000*tech_proj!AB1516)/((1-tech_proj!AB676)*tech_proj!AB956*$L$110))</f>
        <v>115.0102806709898</v>
      </c>
      <c r="AC896" s="69">
        <f>IF(tech_base!$T272&gt;AC$625,"",(1000*tech_proj!AC1236*(-PMT($J$110,tech_base!$F272,1))+1000*tech_proj!AC1516)/((1-tech_proj!AC676)*tech_proj!AC956*$L$110))</f>
        <v>115.00592684984503</v>
      </c>
      <c r="AD896" s="69">
        <f>IF(tech_base!$T272&gt;AD$625,"",(1000*tech_proj!AD1236*(-PMT($J$110,tech_base!$F272,1))+1000*tech_proj!AD1516)/((1-tech_proj!AD676)*tech_proj!AD956*$L$110))</f>
        <v>115.00087245313158</v>
      </c>
      <c r="AE896" s="69">
        <f>IF(tech_base!$T272&gt;AE$625,"",(1000*tech_proj!AE1236*(-PMT($J$110,tech_base!$F272,1))+1000*tech_proj!AE1516)/((1-tech_proj!AE676)*tech_proj!AE956*$L$110))</f>
        <v>114.99500550385194</v>
      </c>
      <c r="AF896" s="69">
        <f>IF(tech_base!$T272&gt;AF$625,"",(1000*tech_proj!AF1236*(-PMT($J$110,tech_base!$F272,1))+1000*tech_proj!AF1516)/((1-tech_proj!AF676)*tech_proj!AF956*$L$110))</f>
        <v>114.98819638921833</v>
      </c>
      <c r="AG896" s="69">
        <f>IF(tech_base!$T272&gt;AG$625,"",(1000*tech_proj!AG1236*(-PMT($J$110,tech_base!$F272,1))+1000*tech_proj!AG1516)/((1-tech_proj!AG676)*tech_proj!AG956*$L$110))</f>
        <v>114.98029517436969</v>
      </c>
      <c r="AH896" s="69">
        <f>IF(tech_base!$T272&gt;AH$625,"",(1000*tech_proj!AH1236*(-PMT($J$110,tech_base!$F272,1))+1000*tech_proj!AH1516)/((1-tech_proj!AH676)*tech_proj!AH956*$L$110))</f>
        <v>114.97112853881571</v>
      </c>
      <c r="AI896" s="69">
        <f>IF(tech_base!$T272&gt;AI$625,"",(1000*tech_proj!AI1236*(-PMT($J$110,tech_base!$F272,1))+1000*tech_proj!AI1516)/((1-tech_proj!AI676)*tech_proj!AI956*$L$110))</f>
        <v>114.96049629395827</v>
      </c>
      <c r="AJ896" s="69">
        <f>IF(tech_base!$T272&gt;AJ$625,"",(1000*tech_proj!AJ1236*(-PMT($J$110,tech_base!$F272,1))+1000*tech_proj!AJ1516)/((1-tech_proj!AJ676)*tech_proj!AJ956*$L$110))</f>
        <v>114.94816743970421</v>
      </c>
      <c r="AK896" s="69">
        <f>IF(tech_base!$T272&gt;AK$625,"",(1000*tech_proj!AK1236*(-PMT($J$110,tech_base!$F272,1))+1000*tech_proj!AK1516)/((1-tech_proj!AK676)*tech_proj!AK956*$L$110))</f>
        <v>114.93387571981748</v>
      </c>
      <c r="AL896" s="69">
        <f>IF(tech_base!$T272&gt;AL$625,"",(1000*tech_proj!AL1236*(-PMT($J$110,tech_base!$F272,1))+1000*tech_proj!AL1516)/((1-tech_proj!AL676)*tech_proj!AL956*$L$110))</f>
        <v>114.91731464018048</v>
      </c>
      <c r="AM896" s="69">
        <f>IF(tech_base!$T272&gt;AM$625,"",(1000*tech_proj!AM1236*(-PMT($J$110,tech_base!$F272,1))+1000*tech_proj!AM1516)/((1-tech_proj!AM676)*tech_proj!AM956*$L$110))</f>
        <v>114.89813192274927</v>
      </c>
      <c r="AN896" s="69">
        <f>IF(tech_base!$T272&gt;AN$625,"",(1000*tech_proj!AN1236*(-PMT($J$110,tech_base!$F272,1))+1000*tech_proj!AN1516)/((1-tech_proj!AN676)*tech_proj!AN956*$L$110))</f>
        <v>114.87592338226753</v>
      </c>
      <c r="AO896" s="69">
        <f>IF(tech_base!$T272&gt;AO$625,"",(1000*tech_proj!AO1236*(-PMT($J$110,tech_base!$F272,1))+1000*tech_proj!AO1516)/((1-tech_proj!AO676)*tech_proj!AO956*$L$110))</f>
        <v>114.85022623475156</v>
      </c>
      <c r="AP896" s="69">
        <f>IF(tech_base!$T272&gt;AP$625,"",(1000*tech_proj!AP1236*(-PMT($J$110,tech_base!$F272,1))+1000*tech_proj!AP1516)/((1-tech_proj!AP676)*tech_proj!AP956*$L$110))</f>
        <v>114.82051187888156</v>
      </c>
      <c r="AQ896" s="69">
        <f>IF(tech_base!$T272&gt;AQ$625,"",(1000*tech_proj!AQ1236*(-PMT($J$110,tech_base!$F272,1))+1000*tech_proj!AQ1516)/((1-tech_proj!AQ676)*tech_proj!AQ956*$L$110))</f>
        <v>114.78617823677277</v>
      </c>
      <c r="AR896" s="69">
        <f>IF(tech_base!$T272&gt;AR$625,"",(1000*tech_proj!AR1236*(-PMT($J$110,tech_base!$F272,1))+1000*tech_proj!AR1516)/((1-tech_proj!AR676)*tech_proj!AR956*$L$110))</f>
        <v>114.74654180274905</v>
      </c>
      <c r="AS896" s="69">
        <f>IF(tech_base!$T272&gt;AS$625,"",(1000*tech_proj!AS1236*(-PMT($J$110,tech_base!$F272,1))+1000*tech_proj!AS1516)/((1-tech_proj!AS676)*tech_proj!AS956*$L$110))</f>
        <v>114.70082963173589</v>
      </c>
      <c r="AT896" s="69">
        <f>IF(tech_base!$T272&gt;AT$625,"",(1000*tech_proj!AT1236*(-PMT($J$110,tech_base!$F272,1))+1000*tech_proj!AT1516)/((1-tech_proj!AT676)*tech_proj!AT956*$L$110))</f>
        <v>114.64817160698514</v>
      </c>
      <c r="AU896" s="69">
        <f>IF(tech_base!$T272&gt;AU$625,"",(1000*tech_proj!AU1236*(-PMT($J$110,tech_base!$F272,1))+1000*tech_proj!AU1516)/((1-tech_proj!AU676)*tech_proj!AU956*$L$110))</f>
        <v>114.58759346405414</v>
      </c>
      <c r="AV896" s="69">
        <f>IF(tech_base!$T272&gt;AV$625,"",(1000*tech_proj!AV1236*(-PMT($J$110,tech_base!$F272,1))+1000*tech_proj!AV1516)/((1-tech_proj!AV676)*tech_proj!AV956*$L$110))</f>
        <v>114.51801121724773</v>
      </c>
      <c r="AW896" s="69">
        <f>IF(tech_base!$T272&gt;AW$625,"",(1000*tech_proj!AW1236*(-PMT($J$110,tech_base!$F272,1))+1000*tech_proj!AW1516)/((1-tech_proj!AW676)*tech_proj!AW956*$L$110))</f>
        <v>114.43822783676275</v>
      </c>
      <c r="AX896" s="235">
        <f>IF(tech_base!$T272&gt;AX$625,"",(1000*tech_proj!AX1236*(-PMT($J$110,tech_base!$F272,1))+1000*tech_proj!AX1516)/((1-tech_proj!AX676)*tech_proj!AX956*$L$110))</f>
        <v>114.34693325606511</v>
      </c>
    </row>
    <row r="897" spans="1:52" ht="11" thickBot="1" x14ac:dyDescent="0.3">
      <c r="A897" s="383"/>
      <c r="B897" s="384"/>
      <c r="C897" s="385"/>
      <c r="D897" s="158" t="s">
        <v>20</v>
      </c>
      <c r="E897" s="172" t="str">
        <f>A894&amp;"/"&amp;B894&amp;"/"&amp;C894&amp;"/"&amp;D897</f>
        <v>Pump storage/Pump storage/Electricity only/XS</v>
      </c>
      <c r="F897" s="82" t="str">
        <f>A894</f>
        <v>Pump storage</v>
      </c>
      <c r="G897" s="82" t="str">
        <f>B894</f>
        <v>Pump storage</v>
      </c>
      <c r="H897" s="82" t="str">
        <f>C894</f>
        <v>Electricity only</v>
      </c>
      <c r="I897" s="173" t="str">
        <f t="shared" si="366"/>
        <v>XS</v>
      </c>
      <c r="J897" s="75">
        <f>IF(tech_base!$T273&gt;J$625,"",(1000*tech_proj!J1237*(-PMT($J$110,tech_base!$F273,1))+1000*tech_proj!J1517)/((1-tech_proj!J677)*tech_proj!J957*$L$110))</f>
        <v>155.29784159131646</v>
      </c>
      <c r="K897" s="75">
        <f>IF(tech_base!$T273&gt;K$625,"",(1000*tech_proj!K1237*(-PMT($J$110,tech_base!$F273,1))+1000*tech_proj!K1517)/((1-tech_proj!K677)*tech_proj!K957*$L$110))</f>
        <v>155.29774163444779</v>
      </c>
      <c r="L897" s="75">
        <f>IF(tech_base!$T273&gt;L$625,"",(1000*tech_proj!L1237*(-PMT($J$110,tech_base!$F273,1))+1000*tech_proj!L1517)/((1-tech_proj!L677)*tech_proj!L957*$L$110))</f>
        <v>155.29761954852844</v>
      </c>
      <c r="M897" s="75">
        <f>IF(tech_base!$T273&gt;M$625,"",(1000*tech_proj!M1237*(-PMT($J$110,tech_base!$F273,1))+1000*tech_proj!M1517)/((1-tech_proj!M677)*tech_proj!M957*$L$110))</f>
        <v>155.29747043494976</v>
      </c>
      <c r="N897" s="75">
        <f>IF(tech_base!$T273&gt;N$625,"",(1000*tech_proj!N1237*(-PMT($J$110,tech_base!$F273,1))+1000*tech_proj!N1517)/((1-tech_proj!N677)*tech_proj!N957*$L$110))</f>
        <v>155.29728831094275</v>
      </c>
      <c r="O897" s="75">
        <f>IF(tech_base!$T273&gt;O$625,"",(1000*tech_proj!O1237*(-PMT($J$110,tech_base!$F273,1))+1000*tech_proj!O1517)/((1-tech_proj!O677)*tech_proj!O957*$L$110))</f>
        <v>155.29706586974157</v>
      </c>
      <c r="P897" s="75">
        <f>IF(tech_base!$T273&gt;P$625,"",(1000*tech_proj!P1237*(-PMT($J$110,tech_base!$F273,1))+1000*tech_proj!P1517)/((1-tech_proj!P677)*tech_proj!P957*$L$110))</f>
        <v>155.29679418774398</v>
      </c>
      <c r="Q897" s="75">
        <f>IF(tech_base!$T273&gt;Q$625,"",(1000*tech_proj!Q1237*(-PMT($J$110,tech_base!$F273,1))+1000*tech_proj!Q1517)/((1-tech_proj!Q677)*tech_proj!Q957*$L$110))</f>
        <v>155.29646236698301</v>
      </c>
      <c r="R897" s="75">
        <f>IF(tech_base!$T273&gt;R$625,"",(1000*tech_proj!R1237*(-PMT($J$110,tech_base!$F273,1))+1000*tech_proj!R1517)/((1-tech_proj!R677)*tech_proj!R957*$L$110))</f>
        <v>155.29605709865822</v>
      </c>
      <c r="S897" s="75">
        <f>IF(tech_base!$T273&gt;S$625,"",(1000*tech_proj!S1237*(-PMT($J$110,tech_base!$F273,1))+1000*tech_proj!S1517)/((1-tech_proj!S677)*tech_proj!S957*$L$110))</f>
        <v>155.29556213035735</v>
      </c>
      <c r="T897" s="75">
        <f>IF(tech_base!$T273&gt;T$625,"",(1000*tech_proj!T1237*(-PMT($J$110,tech_base!$F273,1))+1000*tech_proj!T1517)/((1-tech_proj!T677)*tech_proj!T957*$L$110))</f>
        <v>155.29495761580372</v>
      </c>
      <c r="U897" s="75">
        <f>IF(tech_base!$T273&gt;U$625,"",(1000*tech_proj!U1237*(-PMT($J$110,tech_base!$F273,1))+1000*tech_proj!U1517)/((1-tech_proj!U677)*tech_proj!U957*$L$110))</f>
        <v>155.29421932135918</v>
      </c>
      <c r="V897" s="75">
        <f>IF(tech_base!$T273&gt;V$625,"",(1000*tech_proj!V1237*(-PMT($J$110,tech_base!$F273,1))+1000*tech_proj!V1517)/((1-tech_proj!V677)*tech_proj!V957*$L$110))</f>
        <v>155.29331765792239</v>
      </c>
      <c r="W897" s="75">
        <f>IF(tech_base!$T273&gt;W$625,"",(1000*tech_proj!W1237*(-PMT($J$110,tech_base!$F273,1))+1000*tech_proj!W1517)/((1-tech_proj!W677)*tech_proj!W957*$L$110))</f>
        <v>155.29221650009472</v>
      </c>
      <c r="X897" s="75">
        <f>IF(tech_base!$T273&gt;X$625,"",(1000*tech_proj!X1237*(-PMT($J$110,tech_base!$F273,1))+1000*tech_proj!X1517)/((1-tech_proj!X677)*tech_proj!X957*$L$110))</f>
        <v>155.29087174630186</v>
      </c>
      <c r="Y897" s="75">
        <f>IF(tech_base!$T273&gt;Y$625,"",(1000*tech_proj!Y1237*(-PMT($J$110,tech_base!$F273,1))+1000*tech_proj!Y1517)/((1-tech_proj!Y677)*tech_proj!Y957*$L$110))</f>
        <v>155.28922956369394</v>
      </c>
      <c r="Z897" s="75">
        <f>IF(tech_base!$T273&gt;Z$625,"",(1000*tech_proj!Z1237*(-PMT($J$110,tech_base!$F273,1))+1000*tech_proj!Z1517)/((1-tech_proj!Z677)*tech_proj!Z957*$L$110))</f>
        <v>155.28722424978497</v>
      </c>
      <c r="AA897" s="75">
        <f>IF(tech_base!$T273&gt;AA$625,"",(1000*tech_proj!AA1237*(-PMT($J$110,tech_base!$F273,1))+1000*tech_proj!AA1517)/((1-tech_proj!AA677)*tech_proj!AA957*$L$110))</f>
        <v>155.2847756285822</v>
      </c>
      <c r="AB897" s="75">
        <f>IF(tech_base!$T273&gt;AB$625,"",(1000*tech_proj!AB1237*(-PMT($J$110,tech_base!$F273,1))+1000*tech_proj!AB1517)/((1-tech_proj!AB677)*tech_proj!AB957*$L$110))</f>
        <v>155.28178588202314</v>
      </c>
      <c r="AC897" s="75">
        <f>IF(tech_base!$T273&gt;AC$625,"",(1000*tech_proj!AC1237*(-PMT($J$110,tech_base!$F273,1))+1000*tech_proj!AC1517)/((1-tech_proj!AC677)*tech_proj!AC957*$L$110))</f>
        <v>155.27813569746982</v>
      </c>
      <c r="AD897" s="75">
        <f>IF(tech_base!$T273&gt;AD$625,"",(1000*tech_proj!AD1237*(-PMT($J$110,tech_base!$F273,1))+1000*tech_proj!AD1517)/((1-tech_proj!AD677)*tech_proj!AD957*$L$110))</f>
        <v>155.27367958841944</v>
      </c>
      <c r="AE897" s="75">
        <f>IF(tech_base!$T273&gt;AE$625,"",(1000*tech_proj!AE1237*(-PMT($J$110,tech_base!$F273,1))+1000*tech_proj!AE1517)/((1-tech_proj!AE677)*tech_proj!AE957*$L$110))</f>
        <v>155.26824021813968</v>
      </c>
      <c r="AF897" s="75">
        <f>IF(tech_base!$T273&gt;AF$625,"",(1000*tech_proj!AF1237*(-PMT($J$110,tech_base!$F273,1))+1000*tech_proj!AF1517)/((1-tech_proj!AF677)*tech_proj!AF957*$L$110))</f>
        <v>155.26160152441284</v>
      </c>
      <c r="AG897" s="75">
        <f>IF(tech_base!$T273&gt;AG$625,"",(1000*tech_proj!AG1237*(-PMT($J$110,tech_base!$F273,1))+1000*tech_proj!AG1517)/((1-tech_proj!AG677)*tech_proj!AG957*$L$110))</f>
        <v>155.25350040803997</v>
      </c>
      <c r="AH897" s="75">
        <f>IF(tech_base!$T273&gt;AH$625,"",(1000*tech_proj!AH1237*(-PMT($J$110,tech_base!$F273,1))+1000*tech_proj!AH1517)/((1-tech_proj!AH677)*tech_proj!AH957*$L$110))</f>
        <v>155.24361670871613</v>
      </c>
      <c r="AI897" s="75">
        <f>IF(tech_base!$T273&gt;AI$625,"",(1000*tech_proj!AI1237*(-PMT($J$110,tech_base!$F273,1))+1000*tech_proj!AI1517)/((1-tech_proj!AI677)*tech_proj!AI957*$L$110))</f>
        <v>155.23156115059822</v>
      </c>
      <c r="AJ897" s="75">
        <f>IF(tech_base!$T273&gt;AJ$625,"",(1000*tech_proj!AJ1237*(-PMT($J$110,tech_base!$F273,1))+1000*tech_proj!AJ1517)/((1-tech_proj!AJ677)*tech_proj!AJ957*$L$110))</f>
        <v>155.21686089880404</v>
      </c>
      <c r="AK897" s="75">
        <f>IF(tech_base!$T273&gt;AK$625,"",(1000*tech_proj!AK1237*(-PMT($J$110,tech_base!$F273,1))+1000*tech_proj!AK1517)/((1-tech_proj!AK677)*tech_proj!AK957*$L$110))</f>
        <v>155.19894233147798</v>
      </c>
      <c r="AL897" s="75">
        <f>IF(tech_base!$T273&gt;AL$625,"",(1000*tech_proj!AL1237*(-PMT($J$110,tech_base!$F273,1))+1000*tech_proj!AL1517)/((1-tech_proj!AL677)*tech_proj!AL957*$L$110))</f>
        <v>155.17711060697016</v>
      </c>
      <c r="AM897" s="75">
        <f>IF(tech_base!$T273&gt;AM$625,"",(1000*tech_proj!AM1237*(-PMT($J$110,tech_base!$F273,1))+1000*tech_proj!AM1517)/((1-tech_proj!AM677)*tech_proj!AM957*$L$110))</f>
        <v>155.1505256031503</v>
      </c>
      <c r="AN897" s="75">
        <f>IF(tech_base!$T273&gt;AN$625,"",(1000*tech_proj!AN1237*(-PMT($J$110,tech_base!$F273,1))+1000*tech_proj!AN1517)/((1-tech_proj!AN677)*tech_proj!AN957*$L$110))</f>
        <v>155.11817384269804</v>
      </c>
      <c r="AO897" s="75">
        <f>IF(tech_base!$T273&gt;AO$625,"",(1000*tech_proj!AO1237*(-PMT($J$110,tech_base!$F273,1))+1000*tech_proj!AO1517)/((1-tech_proj!AO677)*tech_proj!AO957*$L$110))</f>
        <v>155.07883611912482</v>
      </c>
      <c r="AP897" s="75">
        <f>IF(tech_base!$T273&gt;AP$625,"",(1000*tech_proj!AP1237*(-PMT($J$110,tech_base!$F273,1))+1000*tech_proj!AP1517)/((1-tech_proj!AP677)*tech_proj!AP957*$L$110))</f>
        <v>155.03105073865689</v>
      </c>
      <c r="AQ897" s="75">
        <f>IF(tech_base!$T273&gt;AQ$625,"",(1000*tech_proj!AQ1237*(-PMT($J$110,tech_base!$F273,1))+1000*tech_proj!AQ1517)/((1-tech_proj!AQ677)*tech_proj!AQ957*$L$110))</f>
        <v>154.97307264192921</v>
      </c>
      <c r="AR897" s="75">
        <f>IF(tech_base!$T273&gt;AR$625,"",(1000*tech_proj!AR1237*(-PMT($J$110,tech_base!$F273,1))+1000*tech_proj!AR1517)/((1-tech_proj!AR677)*tech_proj!AR957*$L$110))</f>
        <v>154.90282923183949</v>
      </c>
      <c r="AS897" s="75">
        <f>IF(tech_base!$T273&gt;AS$625,"",(1000*tech_proj!AS1237*(-PMT($J$110,tech_base!$F273,1))+1000*tech_proj!AS1517)/((1-tech_proj!AS677)*tech_proj!AS957*$L$110))</f>
        <v>154.81787459219237</v>
      </c>
      <c r="AT897" s="75">
        <f>IF(tech_base!$T273&gt;AT$625,"",(1000*tech_proj!AT1237*(-PMT($J$110,tech_base!$F273,1))+1000*tech_proj!AT1517)/((1-tech_proj!AT677)*tech_proj!AT957*$L$110))</f>
        <v>154.71534503223052</v>
      </c>
      <c r="AU897" s="75">
        <f>IF(tech_base!$T273&gt;AU$625,"",(1000*tech_proj!AU1237*(-PMT($J$110,tech_base!$F273,1))+1000*tech_proj!AU1517)/((1-tech_proj!AU677)*tech_proj!AU957*$L$110))</f>
        <v>154.59192063387573</v>
      </c>
      <c r="AV897" s="75">
        <f>IF(tech_base!$T273&gt;AV$625,"",(1000*tech_proj!AV1237*(-PMT($J$110,tech_base!$F273,1))+1000*tech_proj!AV1517)/((1-tech_proj!AV677)*tech_proj!AV957*$L$110))</f>
        <v>154.44379978753591</v>
      </c>
      <c r="AW897" s="75">
        <f>IF(tech_base!$T273&gt;AW$625,"",(1000*tech_proj!AW1237*(-PMT($J$110,tech_base!$F273,1))+1000*tech_proj!AW1517)/((1-tech_proj!AW677)*tech_proj!AW957*$L$110))</f>
        <v>154.26669658299298</v>
      </c>
      <c r="AX897" s="241">
        <f>IF(tech_base!$T273&gt;AX$625,"",(1000*tech_proj!AX1237*(-PMT($J$110,tech_base!$F273,1))+1000*tech_proj!AX1517)/((1-tech_proj!AX677)*tech_proj!AX957*$L$110))</f>
        <v>154.05587422583221</v>
      </c>
    </row>
    <row r="898" spans="1:52" ht="14.5" x14ac:dyDescent="0.35">
      <c r="A898"/>
      <c r="B898"/>
      <c r="C898"/>
      <c r="D898"/>
      <c r="E898"/>
      <c r="F898"/>
      <c r="G898"/>
      <c r="H898"/>
      <c r="I898"/>
      <c r="J898"/>
      <c r="K898"/>
      <c r="L898"/>
      <c r="M898"/>
      <c r="N898"/>
      <c r="O898"/>
      <c r="P898"/>
      <c r="Q898"/>
      <c r="R898"/>
      <c r="S898"/>
      <c r="T898"/>
      <c r="U898"/>
      <c r="V898"/>
      <c r="W898"/>
      <c r="X898"/>
      <c r="Y898"/>
      <c r="Z898"/>
      <c r="AA898"/>
      <c r="AB898"/>
      <c r="AC898"/>
      <c r="AD898"/>
      <c r="AE898"/>
      <c r="AF898"/>
      <c r="AG898"/>
      <c r="AH898"/>
      <c r="AI898"/>
      <c r="AJ898"/>
      <c r="AK898"/>
      <c r="AL898"/>
      <c r="AM898"/>
      <c r="AN898"/>
      <c r="AO898"/>
      <c r="AP898"/>
      <c r="AQ898"/>
      <c r="AR898"/>
      <c r="AS898"/>
      <c r="AT898"/>
      <c r="AU898"/>
      <c r="AV898"/>
      <c r="AW898"/>
      <c r="AX898"/>
    </row>
    <row r="899" spans="1:52" ht="14.5" x14ac:dyDescent="0.35">
      <c r="A899"/>
      <c r="B899"/>
      <c r="C899"/>
      <c r="D899"/>
      <c r="E899"/>
      <c r="F899"/>
      <c r="G899"/>
      <c r="H899"/>
      <c r="I899"/>
      <c r="J899"/>
      <c r="K899"/>
      <c r="L899"/>
      <c r="M899"/>
      <c r="N899"/>
      <c r="O899"/>
      <c r="P899"/>
      <c r="Q899"/>
      <c r="R899"/>
      <c r="S899"/>
      <c r="T899"/>
      <c r="U899"/>
      <c r="V899"/>
      <c r="W899"/>
      <c r="X899"/>
      <c r="Y899"/>
      <c r="Z899"/>
      <c r="AA899"/>
      <c r="AB899"/>
      <c r="AC899"/>
      <c r="AD899"/>
      <c r="AE899"/>
      <c r="AF899"/>
      <c r="AG899"/>
      <c r="AH899"/>
      <c r="AI899"/>
      <c r="AJ899"/>
      <c r="AK899"/>
      <c r="AL899"/>
      <c r="AM899"/>
      <c r="AN899"/>
      <c r="AO899"/>
      <c r="AP899"/>
      <c r="AQ899"/>
      <c r="AR899"/>
      <c r="AS899"/>
      <c r="AT899"/>
      <c r="AU899"/>
      <c r="AV899"/>
      <c r="AW899"/>
      <c r="AX899"/>
    </row>
    <row r="900" spans="1:52" ht="14.5" x14ac:dyDescent="0.35">
      <c r="A900"/>
      <c r="B900"/>
      <c r="C900"/>
      <c r="D900"/>
      <c r="E900"/>
      <c r="F900"/>
      <c r="G900"/>
      <c r="H900"/>
      <c r="I900"/>
      <c r="J900"/>
      <c r="K900"/>
      <c r="L900"/>
      <c r="M900"/>
      <c r="N900"/>
      <c r="O900"/>
      <c r="P900"/>
      <c r="Q900"/>
      <c r="R900"/>
      <c r="S900"/>
      <c r="T900"/>
      <c r="U900"/>
      <c r="V900"/>
      <c r="W900"/>
      <c r="X900"/>
      <c r="Y900"/>
      <c r="Z900"/>
      <c r="AA900"/>
      <c r="AB900"/>
      <c r="AC900"/>
      <c r="AD900"/>
      <c r="AE900"/>
      <c r="AF900"/>
      <c r="AG900"/>
      <c r="AH900"/>
      <c r="AI900"/>
      <c r="AJ900"/>
      <c r="AK900"/>
      <c r="AL900"/>
      <c r="AM900"/>
      <c r="AN900"/>
      <c r="AO900"/>
      <c r="AP900"/>
      <c r="AQ900"/>
      <c r="AR900"/>
      <c r="AS900"/>
      <c r="AT900"/>
      <c r="AU900"/>
      <c r="AV900"/>
      <c r="AW900"/>
      <c r="AX900"/>
    </row>
    <row r="901" spans="1:52" ht="14.5" x14ac:dyDescent="0.35">
      <c r="A901"/>
      <c r="B901"/>
      <c r="C901"/>
      <c r="D901"/>
      <c r="E901"/>
      <c r="F901"/>
      <c r="G901"/>
      <c r="H901"/>
      <c r="I901"/>
      <c r="J901"/>
      <c r="K901"/>
      <c r="L901"/>
      <c r="M901"/>
      <c r="N901"/>
      <c r="O901"/>
      <c r="P901"/>
      <c r="Q901"/>
      <c r="R901"/>
      <c r="S901"/>
      <c r="T901"/>
      <c r="U901"/>
      <c r="V901"/>
      <c r="W901"/>
      <c r="X901"/>
      <c r="Y901"/>
      <c r="Z901"/>
      <c r="AA901"/>
      <c r="AB901"/>
      <c r="AC901"/>
      <c r="AD901"/>
      <c r="AE901"/>
      <c r="AF901"/>
      <c r="AG901"/>
      <c r="AH901"/>
      <c r="AI901"/>
      <c r="AJ901"/>
      <c r="AK901"/>
      <c r="AL901"/>
      <c r="AM901"/>
      <c r="AN901"/>
      <c r="AO901"/>
      <c r="AP901"/>
      <c r="AQ901"/>
      <c r="AR901"/>
      <c r="AS901"/>
      <c r="AT901"/>
      <c r="AU901"/>
      <c r="AV901"/>
      <c r="AW901"/>
      <c r="AX901"/>
    </row>
    <row r="902" spans="1:52" ht="14.5" x14ac:dyDescent="0.35">
      <c r="A902"/>
      <c r="B902"/>
      <c r="C902"/>
      <c r="D902"/>
      <c r="E902"/>
      <c r="F902"/>
      <c r="G902"/>
      <c r="H902"/>
      <c r="I902"/>
      <c r="J902"/>
      <c r="K902"/>
      <c r="L902"/>
      <c r="M902"/>
      <c r="N902"/>
      <c r="O902"/>
      <c r="P902"/>
      <c r="Q902"/>
      <c r="R902"/>
      <c r="S902"/>
      <c r="T902"/>
      <c r="U902"/>
      <c r="V902"/>
      <c r="W902"/>
      <c r="X902"/>
      <c r="Y902"/>
      <c r="Z902"/>
      <c r="AA902"/>
      <c r="AB902"/>
      <c r="AC902"/>
      <c r="AD902"/>
      <c r="AE902"/>
      <c r="AF902"/>
      <c r="AG902"/>
      <c r="AH902"/>
      <c r="AI902"/>
      <c r="AJ902"/>
      <c r="AK902"/>
      <c r="AL902"/>
      <c r="AM902"/>
      <c r="AN902"/>
      <c r="AO902"/>
      <c r="AP902"/>
      <c r="AQ902"/>
      <c r="AR902"/>
      <c r="AS902"/>
      <c r="AT902"/>
      <c r="AU902"/>
      <c r="AV902"/>
      <c r="AW902"/>
      <c r="AX902"/>
    </row>
    <row r="903" spans="1:52" ht="15" thickBot="1" x14ac:dyDescent="0.4">
      <c r="A903"/>
      <c r="B903"/>
      <c r="C903"/>
      <c r="D903"/>
      <c r="E903"/>
      <c r="F903"/>
      <c r="G903"/>
      <c r="H903"/>
      <c r="I903"/>
      <c r="J903"/>
      <c r="K903"/>
      <c r="L903"/>
      <c r="M903"/>
      <c r="N903"/>
      <c r="O903"/>
      <c r="P903"/>
      <c r="Q903"/>
      <c r="R903"/>
      <c r="S903"/>
      <c r="T903"/>
      <c r="U903"/>
      <c r="V903"/>
      <c r="W903"/>
      <c r="X903"/>
      <c r="Y903"/>
      <c r="Z903"/>
      <c r="AA903"/>
      <c r="AB903"/>
      <c r="AC903"/>
      <c r="AD903"/>
      <c r="AE903"/>
      <c r="AF903"/>
      <c r="AG903"/>
      <c r="AH903"/>
      <c r="AI903"/>
      <c r="AJ903"/>
      <c r="AK903"/>
      <c r="AL903"/>
      <c r="AM903"/>
      <c r="AN903"/>
      <c r="AO903"/>
      <c r="AP903"/>
      <c r="AQ903"/>
      <c r="AR903"/>
      <c r="AS903"/>
      <c r="AT903"/>
      <c r="AU903"/>
      <c r="AV903"/>
      <c r="AW903"/>
      <c r="AX903"/>
    </row>
    <row r="904" spans="1:52" x14ac:dyDescent="0.25">
      <c r="A904" s="343" t="s">
        <v>49</v>
      </c>
      <c r="B904" s="345" t="s">
        <v>50</v>
      </c>
      <c r="C904" s="345" t="s">
        <v>51</v>
      </c>
      <c r="D904" s="345" t="s">
        <v>52</v>
      </c>
      <c r="E904" s="290"/>
      <c r="F904" s="290"/>
      <c r="G904" s="290"/>
      <c r="H904" s="290"/>
      <c r="I904" s="290"/>
      <c r="J904" s="280" t="s">
        <v>78</v>
      </c>
      <c r="K904" s="280"/>
      <c r="L904" s="280"/>
      <c r="M904" s="280"/>
      <c r="N904" s="280"/>
      <c r="O904" s="280"/>
      <c r="P904" s="289"/>
      <c r="Q904" s="289"/>
      <c r="R904" s="289"/>
      <c r="S904" s="289"/>
      <c r="T904" s="289"/>
      <c r="U904" s="289"/>
      <c r="V904" s="289"/>
      <c r="W904" s="289"/>
      <c r="X904" s="289"/>
      <c r="Y904" s="289"/>
      <c r="Z904" s="289"/>
      <c r="AA904" s="289"/>
      <c r="AB904" s="289"/>
      <c r="AC904" s="289"/>
      <c r="AD904" s="289"/>
      <c r="AE904" s="289"/>
      <c r="AF904" s="289"/>
      <c r="AG904" s="289"/>
      <c r="AH904" s="289"/>
      <c r="AI904" s="289"/>
      <c r="AJ904" s="289"/>
      <c r="AK904" s="289"/>
      <c r="AL904" s="289"/>
      <c r="AM904" s="289"/>
      <c r="AN904" s="289"/>
      <c r="AO904" s="289"/>
      <c r="AP904" s="289"/>
      <c r="AQ904" s="289"/>
      <c r="AR904" s="289"/>
      <c r="AS904" s="289"/>
      <c r="AT904" s="289"/>
      <c r="AU904" s="289"/>
      <c r="AV904" s="289"/>
      <c r="AW904" s="289"/>
      <c r="AX904" s="301" t="s">
        <v>77</v>
      </c>
    </row>
    <row r="905" spans="1:52" ht="11" thickBot="1" x14ac:dyDescent="0.3">
      <c r="A905" s="344"/>
      <c r="B905" s="346"/>
      <c r="C905" s="346"/>
      <c r="D905" s="346"/>
      <c r="E905" s="291"/>
      <c r="F905" s="291"/>
      <c r="G905" s="291"/>
      <c r="H905" s="291"/>
      <c r="I905" s="291"/>
      <c r="J905" s="68">
        <v>2010</v>
      </c>
      <c r="K905" s="68">
        <v>2011</v>
      </c>
      <c r="L905" s="68">
        <v>2012</v>
      </c>
      <c r="M905" s="68">
        <v>2013</v>
      </c>
      <c r="N905" s="68">
        <v>2014</v>
      </c>
      <c r="O905" s="68">
        <v>2015</v>
      </c>
      <c r="P905" s="68">
        <v>2016</v>
      </c>
      <c r="Q905" s="68">
        <v>2017</v>
      </c>
      <c r="R905" s="68">
        <v>2018</v>
      </c>
      <c r="S905" s="68">
        <v>2019</v>
      </c>
      <c r="T905" s="68">
        <v>2020</v>
      </c>
      <c r="U905" s="68">
        <v>2021</v>
      </c>
      <c r="V905" s="68">
        <v>2022</v>
      </c>
      <c r="W905" s="68">
        <v>2023</v>
      </c>
      <c r="X905" s="68">
        <v>2024</v>
      </c>
      <c r="Y905" s="68">
        <v>2025</v>
      </c>
      <c r="Z905" s="68">
        <v>2026</v>
      </c>
      <c r="AA905" s="68">
        <v>2027</v>
      </c>
      <c r="AB905" s="68">
        <v>2028</v>
      </c>
      <c r="AC905" s="68">
        <v>2029</v>
      </c>
      <c r="AD905" s="68">
        <v>2030</v>
      </c>
      <c r="AE905" s="68">
        <v>2031</v>
      </c>
      <c r="AF905" s="68">
        <v>2032</v>
      </c>
      <c r="AG905" s="68">
        <v>2033</v>
      </c>
      <c r="AH905" s="68">
        <v>2034</v>
      </c>
      <c r="AI905" s="68">
        <v>2035</v>
      </c>
      <c r="AJ905" s="68">
        <v>2036</v>
      </c>
      <c r="AK905" s="68">
        <v>2037</v>
      </c>
      <c r="AL905" s="68">
        <v>2038</v>
      </c>
      <c r="AM905" s="68">
        <v>2039</v>
      </c>
      <c r="AN905" s="68">
        <v>2040</v>
      </c>
      <c r="AO905" s="68">
        <v>2041</v>
      </c>
      <c r="AP905" s="68">
        <v>2042</v>
      </c>
      <c r="AQ905" s="68">
        <v>2043</v>
      </c>
      <c r="AR905" s="68">
        <v>2044</v>
      </c>
      <c r="AS905" s="68">
        <v>2045</v>
      </c>
      <c r="AT905" s="68">
        <v>2046</v>
      </c>
      <c r="AU905" s="68">
        <v>2047</v>
      </c>
      <c r="AV905" s="68">
        <v>2048</v>
      </c>
      <c r="AW905" s="68">
        <v>2049</v>
      </c>
      <c r="AX905" s="83">
        <v>2050</v>
      </c>
    </row>
    <row r="906" spans="1:52" x14ac:dyDescent="0.25">
      <c r="A906" s="347" t="s">
        <v>4</v>
      </c>
      <c r="B906" s="349" t="s">
        <v>5</v>
      </c>
      <c r="C906" s="350" t="s">
        <v>6</v>
      </c>
      <c r="D906" s="2" t="s">
        <v>7</v>
      </c>
      <c r="E906" s="160" t="str">
        <f>A906&amp;"/"&amp;B906&amp;"/"&amp;C906&amp;"/"&amp;D906</f>
        <v>Nuclear power plants/Nuclear - current/Electricity only/L</v>
      </c>
      <c r="F906" s="76" t="str">
        <f>A906</f>
        <v>Nuclear power plants</v>
      </c>
      <c r="G906" s="76" t="str">
        <f>B906</f>
        <v>Nuclear - current</v>
      </c>
      <c r="H906" s="76" t="str">
        <f>C906</f>
        <v>Electricity only</v>
      </c>
      <c r="I906" s="161" t="str">
        <f>D906</f>
        <v>L</v>
      </c>
      <c r="J906" s="105">
        <f>IF(tech_base!$T2&gt;J$905,"",J2026+tech_proj!J1526/(1-tech_proj!J406))</f>
        <v>17.439648520849378</v>
      </c>
      <c r="K906" s="105">
        <f>IF(tech_base!$T2&gt;K$905,"",K2026+tech_proj!K1526/(1-tech_proj!K406))</f>
        <v>17.439648520849378</v>
      </c>
      <c r="L906" s="105">
        <f>IF(tech_base!$T2&gt;L$905,"",L2026+tech_proj!L1526/(1-tech_proj!L406))</f>
        <v>17.439648520849378</v>
      </c>
      <c r="M906" s="105">
        <f>IF(tech_base!$T2&gt;M$905,"",M2026+tech_proj!M1526/(1-tech_proj!M406))</f>
        <v>17.439648520849378</v>
      </c>
      <c r="N906" s="105">
        <f>IF(tech_base!$T2&gt;N$905,"",N2026+tech_proj!N1526/(1-tech_proj!N406))</f>
        <v>17.439648520849378</v>
      </c>
      <c r="O906" s="105">
        <f>IF(tech_base!$T2&gt;O$905,"",O2026+tech_proj!O1526/(1-tech_proj!O406))</f>
        <v>17.439648520849378</v>
      </c>
      <c r="P906" s="105">
        <f>IF(tech_base!$T2&gt;P$905,"",P2026+tech_proj!P1526/(1-tech_proj!P406))</f>
        <v>17.439648520849378</v>
      </c>
      <c r="Q906" s="105">
        <f>IF(tech_base!$T2&gt;Q$905,"",Q2026+tech_proj!Q1526/(1-tech_proj!Q406))</f>
        <v>17.439648520849378</v>
      </c>
      <c r="R906" s="105">
        <f>IF(tech_base!$T2&gt;R$905,"",R2026+tech_proj!R1526/(1-tech_proj!R406))</f>
        <v>17.439648520849378</v>
      </c>
      <c r="S906" s="105">
        <f>IF(tech_base!$T2&gt;S$905,"",S2026+tech_proj!S1526/(1-tech_proj!S406))</f>
        <v>17.439648520849378</v>
      </c>
      <c r="T906" s="105">
        <f>IF(tech_base!$T2&gt;T$905,"",T2026+tech_proj!T1526/(1-tech_proj!T406))</f>
        <v>17.439648520849378</v>
      </c>
      <c r="U906" s="105">
        <f>IF(tech_base!$T2&gt;U$905,"",U2026+tech_proj!U1526/(1-tech_proj!U406))</f>
        <v>17.439648520849378</v>
      </c>
      <c r="V906" s="105">
        <f>IF(tech_base!$T2&gt;V$905,"",V2026+tech_proj!V1526/(1-tech_proj!V406))</f>
        <v>17.439648520849378</v>
      </c>
      <c r="W906" s="105">
        <f>IF(tech_base!$T2&gt;W$905,"",W2026+tech_proj!W1526/(1-tech_proj!W406))</f>
        <v>17.439648520849378</v>
      </c>
      <c r="X906" s="105">
        <f>IF(tech_base!$T2&gt;X$905,"",X2026+tech_proj!X1526/(1-tech_proj!X406))</f>
        <v>17.439648520849378</v>
      </c>
      <c r="Y906" s="105">
        <f>IF(tech_base!$T2&gt;Y$905,"",Y2026+tech_proj!Y1526/(1-tech_proj!Y406))</f>
        <v>17.439648520849378</v>
      </c>
      <c r="Z906" s="105">
        <f>IF(tech_base!$T2&gt;Z$905,"",Z2026+tech_proj!Z1526/(1-tech_proj!Z406))</f>
        <v>17.439648520849378</v>
      </c>
      <c r="AA906" s="105">
        <f>IF(tech_base!$T2&gt;AA$905,"",AA2026+tech_proj!AA1526/(1-tech_proj!AA406))</f>
        <v>17.439648520849378</v>
      </c>
      <c r="AB906" s="105">
        <f>IF(tech_base!$T2&gt;AB$905,"",AB2026+tech_proj!AB1526/(1-tech_proj!AB406))</f>
        <v>17.439648520849378</v>
      </c>
      <c r="AC906" s="105">
        <f>IF(tech_base!$T2&gt;AC$905,"",AC2026+tech_proj!AC1526/(1-tech_proj!AC406))</f>
        <v>17.439648520849378</v>
      </c>
      <c r="AD906" s="105">
        <f>IF(tech_base!$T2&gt;AD$905,"",AD2026+tech_proj!AD1526/(1-tech_proj!AD406))</f>
        <v>17.439648520849378</v>
      </c>
      <c r="AE906" s="105">
        <f>IF(tech_base!$T2&gt;AE$905,"",AE2026+tech_proj!AE1526/(1-tech_proj!AE406))</f>
        <v>17.439648520849378</v>
      </c>
      <c r="AF906" s="105">
        <f>IF(tech_base!$T2&gt;AF$905,"",AF2026+tech_proj!AF1526/(1-tech_proj!AF406))</f>
        <v>17.439648520849378</v>
      </c>
      <c r="AG906" s="105">
        <f>IF(tech_base!$T2&gt;AG$905,"",AG2026+tech_proj!AG1526/(1-tech_proj!AG406))</f>
        <v>17.439648520849378</v>
      </c>
      <c r="AH906" s="105">
        <f>IF(tech_base!$T2&gt;AH$905,"",AH2026+tech_proj!AH1526/(1-tech_proj!AH406))</f>
        <v>17.439648520849378</v>
      </c>
      <c r="AI906" s="105">
        <f>IF(tech_base!$T2&gt;AI$905,"",AI2026+tech_proj!AI1526/(1-tech_proj!AI406))</f>
        <v>17.439648520849378</v>
      </c>
      <c r="AJ906" s="105">
        <f>IF(tech_base!$T2&gt;AJ$905,"",AJ2026+tech_proj!AJ1526/(1-tech_proj!AJ406))</f>
        <v>17.439648520849378</v>
      </c>
      <c r="AK906" s="105">
        <f>IF(tech_base!$T2&gt;AK$905,"",AK2026+tech_proj!AK1526/(1-tech_proj!AK406))</f>
        <v>17.439648520849378</v>
      </c>
      <c r="AL906" s="105">
        <f>IF(tech_base!$T2&gt;AL$905,"",AL2026+tech_proj!AL1526/(1-tech_proj!AL406))</f>
        <v>17.439648520849378</v>
      </c>
      <c r="AM906" s="105">
        <f>IF(tech_base!$T2&gt;AM$905,"",AM2026+tech_proj!AM1526/(1-tech_proj!AM406))</f>
        <v>17.439648520849378</v>
      </c>
      <c r="AN906" s="105">
        <f>IF(tech_base!$T2&gt;AN$905,"",AN2026+tech_proj!AN1526/(1-tech_proj!AN406))</f>
        <v>17.439648520849378</v>
      </c>
      <c r="AO906" s="105">
        <f>IF(tech_base!$T2&gt;AO$905,"",AO2026+tech_proj!AO1526/(1-tech_proj!AO406))</f>
        <v>17.439648520849378</v>
      </c>
      <c r="AP906" s="105">
        <f>IF(tech_base!$T2&gt;AP$905,"",AP2026+tech_proj!AP1526/(1-tech_proj!AP406))</f>
        <v>17.439648520849378</v>
      </c>
      <c r="AQ906" s="105">
        <f>IF(tech_base!$T2&gt;AQ$905,"",AQ2026+tech_proj!AQ1526/(1-tech_proj!AQ406))</f>
        <v>17.439648520849378</v>
      </c>
      <c r="AR906" s="105">
        <f>IF(tech_base!$T2&gt;AR$905,"",AR2026+tech_proj!AR1526/(1-tech_proj!AR406))</f>
        <v>17.439648520849378</v>
      </c>
      <c r="AS906" s="105">
        <f>IF(tech_base!$T2&gt;AS$905,"",AS2026+tech_proj!AS1526/(1-tech_proj!AS406))</f>
        <v>17.439648520849378</v>
      </c>
      <c r="AT906" s="105">
        <f>IF(tech_base!$T2&gt;AT$905,"",AT2026+tech_proj!AT1526/(1-tech_proj!AT406))</f>
        <v>17.439648520849378</v>
      </c>
      <c r="AU906" s="105">
        <f>IF(tech_base!$T2&gt;AU$905,"",AU2026+tech_proj!AU1526/(1-tech_proj!AU406))</f>
        <v>17.439648520849378</v>
      </c>
      <c r="AV906" s="105">
        <f>IF(tech_base!$T2&gt;AV$905,"",AV2026+tech_proj!AV1526/(1-tech_proj!AV406))</f>
        <v>17.439648520849378</v>
      </c>
      <c r="AW906" s="105">
        <f>IF(tech_base!$T2&gt;AW$905,"",AW2026+tech_proj!AW1526/(1-tech_proj!AW406))</f>
        <v>17.439648520849378</v>
      </c>
      <c r="AX906" s="106">
        <f>IF(tech_base!$T2&gt;AX$905,"",AX2026+tech_proj!AX1526/(1-tech_proj!AX406))</f>
        <v>17.439648520849378</v>
      </c>
    </row>
    <row r="907" spans="1:52" x14ac:dyDescent="0.25">
      <c r="A907" s="347"/>
      <c r="B907" s="349"/>
      <c r="C907" s="350"/>
      <c r="D907" s="4" t="s">
        <v>8</v>
      </c>
      <c r="E907" s="168" t="str">
        <f>A906&amp;"/"&amp;B906&amp;"/"&amp;C906&amp;"/"&amp;D907</f>
        <v>Nuclear power plants/Nuclear - current/Electricity only/M</v>
      </c>
      <c r="F907" s="80" t="str">
        <f>A906</f>
        <v>Nuclear power plants</v>
      </c>
      <c r="G907" s="80" t="str">
        <f>B906</f>
        <v>Nuclear - current</v>
      </c>
      <c r="H907" s="80" t="str">
        <f>C906</f>
        <v>Electricity only</v>
      </c>
      <c r="I907" s="169" t="str">
        <f t="shared" ref="I907:I970" si="367">D907</f>
        <v>M</v>
      </c>
      <c r="J907" s="113">
        <f>IF(tech_base!$T3&gt;J$905,"",J2027+tech_proj!J1527/(1-tech_proj!J407))</f>
        <v>18.280957371765105</v>
      </c>
      <c r="K907" s="113">
        <f>IF(tech_base!$T3&gt;K$905,"",K2027+tech_proj!K1527/(1-tech_proj!K407))</f>
        <v>18.280957371765105</v>
      </c>
      <c r="L907" s="113">
        <f>IF(tech_base!$T3&gt;L$905,"",L2027+tech_proj!L1527/(1-tech_proj!L407))</f>
        <v>18.280957371765105</v>
      </c>
      <c r="M907" s="113">
        <f>IF(tech_base!$T3&gt;M$905,"",M2027+tech_proj!M1527/(1-tech_proj!M407))</f>
        <v>18.280957371765105</v>
      </c>
      <c r="N907" s="113">
        <f>IF(tech_base!$T3&gt;N$905,"",N2027+tech_proj!N1527/(1-tech_proj!N407))</f>
        <v>18.280957371765105</v>
      </c>
      <c r="O907" s="113">
        <f>IF(tech_base!$T3&gt;O$905,"",O2027+tech_proj!O1527/(1-tech_proj!O407))</f>
        <v>18.280957371765105</v>
      </c>
      <c r="P907" s="113">
        <f>IF(tech_base!$T3&gt;P$905,"",P2027+tech_proj!P1527/(1-tech_proj!P407))</f>
        <v>18.280957371765105</v>
      </c>
      <c r="Q907" s="113">
        <f>IF(tech_base!$T3&gt;Q$905,"",Q2027+tech_proj!Q1527/(1-tech_proj!Q407))</f>
        <v>18.280957371765105</v>
      </c>
      <c r="R907" s="113">
        <f>IF(tech_base!$T3&gt;R$905,"",R2027+tech_proj!R1527/(1-tech_proj!R407))</f>
        <v>18.280957371765105</v>
      </c>
      <c r="S907" s="113">
        <f>IF(tech_base!$T3&gt;S$905,"",S2027+tech_proj!S1527/(1-tech_proj!S407))</f>
        <v>18.280957371765105</v>
      </c>
      <c r="T907" s="113">
        <f>IF(tech_base!$T3&gt;T$905,"",T2027+tech_proj!T1527/(1-tech_proj!T407))</f>
        <v>18.280957371765105</v>
      </c>
      <c r="U907" s="113">
        <f>IF(tech_base!$T3&gt;U$905,"",U2027+tech_proj!U1527/(1-tech_proj!U407))</f>
        <v>18.280957371765105</v>
      </c>
      <c r="V907" s="113">
        <f>IF(tech_base!$T3&gt;V$905,"",V2027+tech_proj!V1527/(1-tech_proj!V407))</f>
        <v>18.280957371765105</v>
      </c>
      <c r="W907" s="113">
        <f>IF(tech_base!$T3&gt;W$905,"",W2027+tech_proj!W1527/(1-tech_proj!W407))</f>
        <v>18.280957371765105</v>
      </c>
      <c r="X907" s="113">
        <f>IF(tech_base!$T3&gt;X$905,"",X2027+tech_proj!X1527/(1-tech_proj!X407))</f>
        <v>18.280957371765105</v>
      </c>
      <c r="Y907" s="113">
        <f>IF(tech_base!$T3&gt;Y$905,"",Y2027+tech_proj!Y1527/(1-tech_proj!Y407))</f>
        <v>18.280957371765105</v>
      </c>
      <c r="Z907" s="113">
        <f>IF(tech_base!$T3&gt;Z$905,"",Z2027+tech_proj!Z1527/(1-tech_proj!Z407))</f>
        <v>18.280957371765105</v>
      </c>
      <c r="AA907" s="113">
        <f>IF(tech_base!$T3&gt;AA$905,"",AA2027+tech_proj!AA1527/(1-tech_proj!AA407))</f>
        <v>18.280957371765105</v>
      </c>
      <c r="AB907" s="113">
        <f>IF(tech_base!$T3&gt;AB$905,"",AB2027+tech_proj!AB1527/(1-tech_proj!AB407))</f>
        <v>18.280957371765105</v>
      </c>
      <c r="AC907" s="113">
        <f>IF(tech_base!$T3&gt;AC$905,"",AC2027+tech_proj!AC1527/(1-tech_proj!AC407))</f>
        <v>18.280957371765105</v>
      </c>
      <c r="AD907" s="113">
        <f>IF(tech_base!$T3&gt;AD$905,"",AD2027+tech_proj!AD1527/(1-tech_proj!AD407))</f>
        <v>18.280957371765105</v>
      </c>
      <c r="AE907" s="113">
        <f>IF(tech_base!$T3&gt;AE$905,"",AE2027+tech_proj!AE1527/(1-tech_proj!AE407))</f>
        <v>18.280957371765105</v>
      </c>
      <c r="AF907" s="113">
        <f>IF(tech_base!$T3&gt;AF$905,"",AF2027+tech_proj!AF1527/(1-tech_proj!AF407))</f>
        <v>18.280957371765105</v>
      </c>
      <c r="AG907" s="113">
        <f>IF(tech_base!$T3&gt;AG$905,"",AG2027+tech_proj!AG1527/(1-tech_proj!AG407))</f>
        <v>18.280957371765105</v>
      </c>
      <c r="AH907" s="113">
        <f>IF(tech_base!$T3&gt;AH$905,"",AH2027+tech_proj!AH1527/(1-tech_proj!AH407))</f>
        <v>18.280957371765105</v>
      </c>
      <c r="AI907" s="113">
        <f>IF(tech_base!$T3&gt;AI$905,"",AI2027+tech_proj!AI1527/(1-tech_proj!AI407))</f>
        <v>18.280957371765105</v>
      </c>
      <c r="AJ907" s="113">
        <f>IF(tech_base!$T3&gt;AJ$905,"",AJ2027+tech_proj!AJ1527/(1-tech_proj!AJ407))</f>
        <v>18.280957371765105</v>
      </c>
      <c r="AK907" s="113">
        <f>IF(tech_base!$T3&gt;AK$905,"",AK2027+tech_proj!AK1527/(1-tech_proj!AK407))</f>
        <v>18.280957371765105</v>
      </c>
      <c r="AL907" s="113">
        <f>IF(tech_base!$T3&gt;AL$905,"",AL2027+tech_proj!AL1527/(1-tech_proj!AL407))</f>
        <v>18.280957371765105</v>
      </c>
      <c r="AM907" s="113">
        <f>IF(tech_base!$T3&gt;AM$905,"",AM2027+tech_proj!AM1527/(1-tech_proj!AM407))</f>
        <v>18.280957371765105</v>
      </c>
      <c r="AN907" s="113">
        <f>IF(tech_base!$T3&gt;AN$905,"",AN2027+tech_proj!AN1527/(1-tech_proj!AN407))</f>
        <v>18.280957371765105</v>
      </c>
      <c r="AO907" s="113">
        <f>IF(tech_base!$T3&gt;AO$905,"",AO2027+tech_proj!AO1527/(1-tech_proj!AO407))</f>
        <v>18.280957371765105</v>
      </c>
      <c r="AP907" s="113">
        <f>IF(tech_base!$T3&gt;AP$905,"",AP2027+tech_proj!AP1527/(1-tech_proj!AP407))</f>
        <v>18.280957371765105</v>
      </c>
      <c r="AQ907" s="113">
        <f>IF(tech_base!$T3&gt;AQ$905,"",AQ2027+tech_proj!AQ1527/(1-tech_proj!AQ407))</f>
        <v>18.280957371765105</v>
      </c>
      <c r="AR907" s="113">
        <f>IF(tech_base!$T3&gt;AR$905,"",AR2027+tech_proj!AR1527/(1-tech_proj!AR407))</f>
        <v>18.280957371765105</v>
      </c>
      <c r="AS907" s="113">
        <f>IF(tech_base!$T3&gt;AS$905,"",AS2027+tech_proj!AS1527/(1-tech_proj!AS407))</f>
        <v>18.280957371765105</v>
      </c>
      <c r="AT907" s="113">
        <f>IF(tech_base!$T3&gt;AT$905,"",AT2027+tech_proj!AT1527/(1-tech_proj!AT407))</f>
        <v>18.280957371765105</v>
      </c>
      <c r="AU907" s="113">
        <f>IF(tech_base!$T3&gt;AU$905,"",AU2027+tech_proj!AU1527/(1-tech_proj!AU407))</f>
        <v>18.280957371765105</v>
      </c>
      <c r="AV907" s="113">
        <f>IF(tech_base!$T3&gt;AV$905,"",AV2027+tech_proj!AV1527/(1-tech_proj!AV407))</f>
        <v>18.280957371765105</v>
      </c>
      <c r="AW907" s="113">
        <f>IF(tech_base!$T3&gt;AW$905,"",AW2027+tech_proj!AW1527/(1-tech_proj!AW407))</f>
        <v>18.280957371765105</v>
      </c>
      <c r="AX907" s="114">
        <f>IF(tech_base!$T3&gt;AX$905,"",AX2027+tech_proj!AX1527/(1-tech_proj!AX407))</f>
        <v>18.280957371765105</v>
      </c>
    </row>
    <row r="908" spans="1:52" x14ac:dyDescent="0.25">
      <c r="A908" s="347"/>
      <c r="B908" s="351" t="s">
        <v>9</v>
      </c>
      <c r="C908" s="353" t="s">
        <v>6</v>
      </c>
      <c r="D908" s="2" t="s">
        <v>7</v>
      </c>
      <c r="E908" s="160" t="str">
        <f>A906&amp;"/"&amp;B908&amp;"/"&amp;C908&amp;"/"&amp;D908</f>
        <v>Nuclear power plants/Nuclear III/Electricity only/L</v>
      </c>
      <c r="F908" s="76" t="str">
        <f>A906</f>
        <v>Nuclear power plants</v>
      </c>
      <c r="G908" s="76" t="str">
        <f>B908</f>
        <v>Nuclear III</v>
      </c>
      <c r="H908" s="76" t="str">
        <f>C908</f>
        <v>Electricity only</v>
      </c>
      <c r="I908" s="161" t="str">
        <f t="shared" si="367"/>
        <v>L</v>
      </c>
      <c r="J908" s="105">
        <f>IF(tech_base!$T4&gt;J$905,"",J2028+tech_proj!J1528/(1-tech_proj!J408))</f>
        <v>14.159651337978486</v>
      </c>
      <c r="K908" s="105">
        <f>IF(tech_base!$T4&gt;K$905,"",K2028+tech_proj!K1528/(1-tech_proj!K408))</f>
        <v>14.156736131552428</v>
      </c>
      <c r="L908" s="105">
        <f>IF(tech_base!$T4&gt;L$905,"",L2028+tech_proj!L1528/(1-tech_proj!L408))</f>
        <v>14.153186290280606</v>
      </c>
      <c r="M908" s="105">
        <f>IF(tech_base!$T4&gt;M$905,"",M2028+tech_proj!M1528/(1-tech_proj!M408))</f>
        <v>14.148866539098302</v>
      </c>
      <c r="N908" s="105">
        <f>IF(tech_base!$T4&gt;N$905,"",N2028+tech_proj!N1528/(1-tech_proj!N408))</f>
        <v>14.143614165103456</v>
      </c>
      <c r="O908" s="105">
        <f>IF(tech_base!$T4&gt;O$905,"",O2028+tech_proj!O1528/(1-tech_proj!O408))</f>
        <v>14.137234128454768</v>
      </c>
      <c r="P908" s="105">
        <f>IF(tech_base!$T4&gt;P$905,"",P2028+tech_proj!P1528/(1-tech_proj!P408))</f>
        <v>14.129493634279878</v>
      </c>
      <c r="Q908" s="105">
        <f>IF(tech_base!$T4&gt;Q$905,"",Q2028+tech_proj!Q1528/(1-tech_proj!Q408))</f>
        <v>14.12011628256454</v>
      </c>
      <c r="R908" s="105">
        <f>IF(tech_base!$T4&gt;R$905,"",R2028+tech_proj!R1528/(1-tech_proj!R408))</f>
        <v>14.108776031555717</v>
      </c>
      <c r="S908" s="105">
        <f>IF(tech_base!$T4&gt;S$905,"",S2028+tech_proj!S1528/(1-tech_proj!S408))</f>
        <v>14.095091383430134</v>
      </c>
      <c r="T908" s="105">
        <f>IF(tech_base!$T4&gt;T$905,"",T2028+tech_proj!T1528/(1-tech_proj!T408))</f>
        <v>14.078620443258318</v>
      </c>
      <c r="U908" s="105">
        <f>IF(tech_base!$T4&gt;U$905,"",U2028+tech_proj!U1528/(1-tech_proj!U408))</f>
        <v>14.058857825371401</v>
      </c>
      <c r="V908" s="105">
        <f>IF(tech_base!$T4&gt;V$905,"",V2028+tech_proj!V1528/(1-tech_proj!V408))</f>
        <v>14.035234787583901</v>
      </c>
      <c r="W908" s="105">
        <f>IF(tech_base!$T4&gt;W$905,"",W2028+tech_proj!W1528/(1-tech_proj!W408))</f>
        <v>14.007124445275272</v>
      </c>
      <c r="X908" s="105">
        <f>IF(tech_base!$T4&gt;X$905,"",X2028+tech_proj!X1528/(1-tech_proj!X408))</f>
        <v>13.973854398488228</v>
      </c>
      <c r="Y908" s="105">
        <f>IF(tech_base!$T4&gt;Y$905,"",Y2028+tech_proj!Y1528/(1-tech_proj!Y408))</f>
        <v>13.934729480730088</v>
      </c>
      <c r="Z908" s="105">
        <f>IF(tech_base!$T4&gt;Z$905,"",Z2028+tech_proj!Z1528/(1-tech_proj!Z408))</f>
        <v>13.889067410826463</v>
      </c>
      <c r="AA908" s="105">
        <f>IF(tech_base!$T4&gt;AA$905,"",AA2028+tech_proj!AA1528/(1-tech_proj!AA408))</f>
        <v>13.836249609591286</v>
      </c>
      <c r="AB908" s="105">
        <f>IF(tech_base!$T4&gt;AB$905,"",AB2028+tech_proj!AB1528/(1-tech_proj!AB408))</f>
        <v>13.775787975067377</v>
      </c>
      <c r="AC908" s="105">
        <f>IF(tech_base!$T4&gt;AC$905,"",AC2028+tech_proj!AC1528/(1-tech_proj!AC408))</f>
        <v>13.707405664020946</v>
      </c>
      <c r="AD908" s="105">
        <f>IF(tech_base!$T4&gt;AD$905,"",AD2028+tech_proj!AD1528/(1-tech_proj!AD408))</f>
        <v>13.631125789762216</v>
      </c>
      <c r="AE908" s="105">
        <f>IF(tech_base!$T4&gt;AE$905,"",AE2028+tech_proj!AE1528/(1-tech_proj!AE408))</f>
        <v>13.547356797359067</v>
      </c>
      <c r="AF908" s="105">
        <f>IF(tech_base!$T4&gt;AF$905,"",AF2028+tech_proj!AF1528/(1-tech_proj!AF408))</f>
        <v>13.456958262882747</v>
      </c>
      <c r="AG908" s="105">
        <f>IF(tech_base!$T4&gt;AG$905,"",AG2028+tech_proj!AG1528/(1-tech_proj!AG408))</f>
        <v>13.361267953468406</v>
      </c>
      <c r="AH908" s="105">
        <f>IF(tech_base!$T4&gt;AH$905,"",AH2028+tech_proj!AH1528/(1-tech_proj!AH408))</f>
        <v>13.262072546704267</v>
      </c>
      <c r="AI908" s="105">
        <f>IF(tech_base!$T4&gt;AI$905,"",AI2028+tech_proj!AI1528/(1-tech_proj!AI408))</f>
        <v>13.161512156869826</v>
      </c>
      <c r="AJ908" s="105">
        <f>IF(tech_base!$T4&gt;AJ$905,"",AJ2028+tech_proj!AJ1528/(1-tech_proj!AJ408))</f>
        <v>13.061922432566341</v>
      </c>
      <c r="AK908" s="105">
        <f>IF(tech_base!$T4&gt;AK$905,"",AK2028+tech_proj!AK1528/(1-tech_proj!AK408))</f>
        <v>12.965634228796731</v>
      </c>
      <c r="AL908" s="105">
        <f>IF(tech_base!$T4&gt;AL$905,"",AL2028+tech_proj!AL1528/(1-tech_proj!AL408))</f>
        <v>12.874764125883441</v>
      </c>
      <c r="AM908" s="105">
        <f>IF(tech_base!$T4&gt;AM$905,"",AM2028+tech_proj!AM1528/(1-tech_proj!AM408))</f>
        <v>12.79103377019004</v>
      </c>
      <c r="AN908" s="105">
        <f>IF(tech_base!$T4&gt;AN$905,"",AN2028+tech_proj!AN1528/(1-tech_proj!AN408))</f>
        <v>12.715649556388797</v>
      </c>
      <c r="AO908" s="105">
        <f>IF(tech_base!$T4&gt;AO$905,"",AO2028+tech_proj!AO1528/(1-tech_proj!AO408))</f>
        <v>12.649258683218054</v>
      </c>
      <c r="AP908" s="105">
        <f>IF(tech_base!$T4&gt;AP$905,"",AP2028+tech_proj!AP1528/(1-tech_proj!AP408))</f>
        <v>12.591978990206643</v>
      </c>
      <c r="AQ908" s="105">
        <f>IF(tech_base!$T4&gt;AQ$905,"",AQ2028+tech_proj!AQ1528/(1-tech_proj!AQ408))</f>
        <v>12.543484821797829</v>
      </c>
      <c r="AR908" s="105">
        <f>IF(tech_base!$T4&gt;AR$905,"",AR2028+tech_proj!AR1528/(1-tech_proj!AR408))</f>
        <v>12.503123639758105</v>
      </c>
      <c r="AS908" s="105">
        <f>IF(tech_base!$T4&gt;AS$905,"",AS2028+tech_proj!AS1528/(1-tech_proj!AS408))</f>
        <v>12.470038637883224</v>
      </c>
      <c r="AT908" s="105">
        <f>IF(tech_base!$T4&gt;AT$905,"",AT2028+tech_proj!AT1528/(1-tech_proj!AT408))</f>
        <v>12.443278710446521</v>
      </c>
      <c r="AU908" s="105">
        <f>IF(tech_base!$T4&gt;AU$905,"",AU2028+tech_proj!AU1528/(1-tech_proj!AU408))</f>
        <v>12.421885290614235</v>
      </c>
      <c r="AV908" s="105">
        <f>IF(tech_base!$T4&gt;AV$905,"",AV2028+tech_proj!AV1528/(1-tech_proj!AV408))</f>
        <v>12.404952965581538</v>
      </c>
      <c r="AW908" s="105">
        <f>IF(tech_base!$T4&gt;AW$905,"",AW2028+tech_proj!AW1528/(1-tech_proj!AW408))</f>
        <v>12.391665924038591</v>
      </c>
      <c r="AX908" s="106">
        <f>IF(tech_base!$T4&gt;AX$905,"",AX2028+tech_proj!AX1528/(1-tech_proj!AX408))</f>
        <v>12.381314979556191</v>
      </c>
      <c r="AZ908" s="174"/>
    </row>
    <row r="909" spans="1:52" x14ac:dyDescent="0.25">
      <c r="A909" s="347"/>
      <c r="B909" s="349"/>
      <c r="C909" s="350"/>
      <c r="D909" s="2" t="s">
        <v>8</v>
      </c>
      <c r="E909" s="160" t="str">
        <f>A906&amp;"/"&amp;B908&amp;"/"&amp;C908&amp;"/"&amp;D909</f>
        <v>Nuclear power plants/Nuclear III/Electricity only/M</v>
      </c>
      <c r="F909" s="76" t="str">
        <f>A906</f>
        <v>Nuclear power plants</v>
      </c>
      <c r="G909" s="76" t="str">
        <f>B908</f>
        <v>Nuclear III</v>
      </c>
      <c r="H909" s="76" t="str">
        <f>C908</f>
        <v>Electricity only</v>
      </c>
      <c r="I909" s="161" t="str">
        <f t="shared" si="367"/>
        <v>M</v>
      </c>
      <c r="J909" s="105">
        <f>IF(tech_base!$T5&gt;J$905,"",J2029+tech_proj!J1529/(1-tech_proj!J409))</f>
        <v>14.769105979595976</v>
      </c>
      <c r="K909" s="105">
        <f>IF(tech_base!$T5&gt;K$905,"",K2029+tech_proj!K1529/(1-tech_proj!K409))</f>
        <v>14.764708075141629</v>
      </c>
      <c r="L909" s="105">
        <f>IF(tech_base!$T5&gt;L$905,"",L2029+tech_proj!L1529/(1-tech_proj!L409))</f>
        <v>14.759617472744429</v>
      </c>
      <c r="M909" s="105">
        <f>IF(tech_base!$T5&gt;M$905,"",M2029+tech_proj!M1529/(1-tech_proj!M409))</f>
        <v>14.75372857954993</v>
      </c>
      <c r="N909" s="105">
        <f>IF(tech_base!$T5&gt;N$905,"",N2029+tech_proj!N1529/(1-tech_proj!N409))</f>
        <v>14.746920908407786</v>
      </c>
      <c r="O909" s="105">
        <f>IF(tech_base!$T5&gt;O$905,"",O2029+tech_proj!O1529/(1-tech_proj!O409))</f>
        <v>14.739057389454516</v>
      </c>
      <c r="P909" s="105">
        <f>IF(tech_base!$T5&gt;P$905,"",P2029+tech_proj!P1529/(1-tech_proj!P409))</f>
        <v>14.729982636319351</v>
      </c>
      <c r="Q909" s="105">
        <f>IF(tech_base!$T5&gt;Q$905,"",Q2029+tech_proj!Q1529/(1-tech_proj!Q409))</f>
        <v>14.719521226247929</v>
      </c>
      <c r="R909" s="105">
        <f>IF(tech_base!$T5&gt;R$905,"",R2029+tech_proj!R1529/(1-tech_proj!R409))</f>
        <v>14.707476079662333</v>
      </c>
      <c r="S909" s="105">
        <f>IF(tech_base!$T5&gt;S$905,"",S2029+tech_proj!S1529/(1-tech_proj!S409))</f>
        <v>14.693627057725203</v>
      </c>
      <c r="T909" s="105">
        <f>IF(tech_base!$T5&gt;T$905,"",T2029+tech_proj!T1529/(1-tech_proj!T409))</f>
        <v>14.677729936930866</v>
      </c>
      <c r="U909" s="105">
        <f>IF(tech_base!$T5&gt;U$905,"",U2029+tech_proj!U1529/(1-tech_proj!U409))</f>
        <v>14.659515967571789</v>
      </c>
      <c r="V909" s="105">
        <f>IF(tech_base!$T5&gt;V$905,"",V2029+tech_proj!V1529/(1-tech_proj!V409))</f>
        <v>14.638692277008792</v>
      </c>
      <c r="W909" s="105">
        <f>IF(tech_base!$T5&gt;W$905,"",W2029+tech_proj!W1529/(1-tech_proj!W409))</f>
        <v>14.61494343618457</v>
      </c>
      <c r="X909" s="105">
        <f>IF(tech_base!$T5&gt;X$905,"",X2029+tech_proj!X1529/(1-tech_proj!X409))</f>
        <v>14.587934563442943</v>
      </c>
      <c r="Y909" s="105">
        <f>IF(tech_base!$T5&gt;Y$905,"",Y2029+tech_proj!Y1529/(1-tech_proj!Y409))</f>
        <v>14.557316384761524</v>
      </c>
      <c r="Z909" s="105">
        <f>IF(tech_base!$T5&gt;Z$905,"",Z2029+tech_proj!Z1529/(1-tech_proj!Z409))</f>
        <v>14.522732691104133</v>
      </c>
      <c r="AA909" s="105">
        <f>IF(tech_base!$T5&gt;AA$905,"",AA2029+tech_proj!AA1529/(1-tech_proj!AA409))</f>
        <v>14.483830614276462</v>
      </c>
      <c r="AB909" s="105">
        <f>IF(tech_base!$T5&gt;AB$905,"",AB2029+tech_proj!AB1529/(1-tech_proj!AB409))</f>
        <v>14.440274060775462</v>
      </c>
      <c r="AC909" s="105">
        <f>IF(tech_base!$T5&gt;AC$905,"",AC2029+tech_proj!AC1529/(1-tech_proj!AC409))</f>
        <v>14.39176047479291</v>
      </c>
      <c r="AD909" s="105">
        <f>IF(tech_base!$T5&gt;AD$905,"",AD2029+tech_proj!AD1529/(1-tech_proj!AD409))</f>
        <v>14.338040824886884</v>
      </c>
      <c r="AE909" s="105">
        <f>IF(tech_base!$T5&gt;AE$905,"",AE2029+tech_proj!AE1529/(1-tech_proj!AE409))</f>
        <v>14.278942310982298</v>
      </c>
      <c r="AF909" s="105">
        <f>IF(tech_base!$T5&gt;AF$905,"",AF2029+tech_proj!AF1529/(1-tech_proj!AF409))</f>
        <v>14.214392775105793</v>
      </c>
      <c r="AG909" s="105">
        <f>IF(tech_base!$T5&gt;AG$905,"",AG2029+tech_proj!AG1529/(1-tech_proj!AG409))</f>
        <v>14.144445206150188</v>
      </c>
      <c r="AH909" s="105">
        <f>IF(tech_base!$T5&gt;AH$905,"",AH2029+tech_proj!AH1529/(1-tech_proj!AH409))</f>
        <v>14.069300130540377</v>
      </c>
      <c r="AI909" s="105">
        <f>IF(tech_base!$T5&gt;AI$905,"",AI2029+tech_proj!AI1529/(1-tech_proj!AI409))</f>
        <v>13.989323192848577</v>
      </c>
      <c r="AJ909" s="105">
        <f>IF(tech_base!$T5&gt;AJ$905,"",AJ2029+tech_proj!AJ1529/(1-tech_proj!AJ409))</f>
        <v>13.905055000013231</v>
      </c>
      <c r="AK909" s="105">
        <f>IF(tech_base!$T5&gt;AK$905,"",AK2029+tech_proj!AK1529/(1-tech_proj!AK409))</f>
        <v>13.817210479883418</v>
      </c>
      <c r="AL909" s="105">
        <f>IF(tech_base!$T5&gt;AL$905,"",AL2029+tech_proj!AL1529/(1-tech_proj!AL409))</f>
        <v>13.726665698345679</v>
      </c>
      <c r="AM909" s="105">
        <f>IF(tech_base!$T5&gt;AM$905,"",AM2029+tech_proj!AM1529/(1-tech_proj!AM409))</f>
        <v>13.634431305832685</v>
      </c>
      <c r="AN909" s="105">
        <f>IF(tech_base!$T5&gt;AN$905,"",AN2029+tech_proj!AN1529/(1-tech_proj!AN409))</f>
        <v>13.541613427172559</v>
      </c>
      <c r="AO909" s="105">
        <f>IF(tech_base!$T5&gt;AO$905,"",AO2029+tech_proj!AO1529/(1-tech_proj!AO409))</f>
        <v>13.44936461184834</v>
      </c>
      <c r="AP909" s="105">
        <f>IF(tech_base!$T5&gt;AP$905,"",AP2029+tech_proj!AP1529/(1-tech_proj!AP409))</f>
        <v>13.35882906933902</v>
      </c>
      <c r="AQ909" s="105">
        <f>IF(tech_base!$T5&gt;AQ$905,"",AQ2029+tech_proj!AQ1529/(1-tech_proj!AQ409))</f>
        <v>13.27108746021956</v>
      </c>
      <c r="AR909" s="105">
        <f>IF(tech_base!$T5&gt;AR$905,"",AR2029+tech_proj!AR1529/(1-tech_proj!AR409))</f>
        <v>13.187106731060071</v>
      </c>
      <c r="AS909" s="105">
        <f>IF(tech_base!$T5&gt;AS$905,"",AS2029+tech_proj!AS1529/(1-tech_proj!AS409))</f>
        <v>13.107699792007704</v>
      </c>
      <c r="AT909" s="105">
        <f>IF(tech_base!$T5&gt;AT$905,"",AT2029+tech_proj!AT1529/(1-tech_proj!AT409))</f>
        <v>13.033498383611963</v>
      </c>
      <c r="AU909" s="105">
        <f>IF(tech_base!$T5&gt;AU$905,"",AU2029+tech_proj!AU1529/(1-tech_proj!AU409))</f>
        <v>12.964940586693778</v>
      </c>
      <c r="AV909" s="105">
        <f>IF(tech_base!$T5&gt;AV$905,"",AV2029+tech_proj!AV1529/(1-tech_proj!AV409))</f>
        <v>12.902272498381706</v>
      </c>
      <c r="AW909" s="105">
        <f>IF(tech_base!$T5&gt;AW$905,"",AW2029+tech_proj!AW1529/(1-tech_proj!AW409))</f>
        <v>12.845561994130296</v>
      </c>
      <c r="AX909" s="106">
        <f>IF(tech_base!$T5&gt;AX$905,"",AX2029+tech_proj!AX1529/(1-tech_proj!AX409))</f>
        <v>12.794721457083179</v>
      </c>
    </row>
    <row r="910" spans="1:52" x14ac:dyDescent="0.25">
      <c r="A910" s="347"/>
      <c r="B910" s="352"/>
      <c r="C910" s="381"/>
      <c r="D910" s="4" t="s">
        <v>10</v>
      </c>
      <c r="E910" s="168" t="str">
        <f>A906&amp;"/"&amp;B908&amp;"/"&amp;C908&amp;"/"&amp;D910</f>
        <v>Nuclear power plants/Nuclear III/Electricity only/S</v>
      </c>
      <c r="F910" s="80" t="str">
        <f>A906</f>
        <v>Nuclear power plants</v>
      </c>
      <c r="G910" s="80" t="str">
        <f>B908</f>
        <v>Nuclear III</v>
      </c>
      <c r="H910" s="80" t="str">
        <f>C908</f>
        <v>Electricity only</v>
      </c>
      <c r="I910" s="169" t="str">
        <f t="shared" si="367"/>
        <v>S</v>
      </c>
      <c r="J910" s="113" t="str">
        <f>IF(tech_base!$T6&gt;J$905,"",J2030+tech_proj!J1530/(1-tech_proj!J410))</f>
        <v/>
      </c>
      <c r="K910" s="113" t="str">
        <f>IF(tech_base!$T6&gt;K$905,"",K2030+tech_proj!K1530/(1-tech_proj!K410))</f>
        <v/>
      </c>
      <c r="L910" s="113" t="str">
        <f>IF(tech_base!$T6&gt;L$905,"",L2030+tech_proj!L1530/(1-tech_proj!L410))</f>
        <v/>
      </c>
      <c r="M910" s="113" t="str">
        <f>IF(tech_base!$T6&gt;M$905,"",M2030+tech_proj!M1530/(1-tech_proj!M410))</f>
        <v/>
      </c>
      <c r="N910" s="113" t="str">
        <f>IF(tech_base!$T6&gt;N$905,"",N2030+tech_proj!N1530/(1-tech_proj!N410))</f>
        <v/>
      </c>
      <c r="O910" s="113" t="str">
        <f>IF(tech_base!$T6&gt;O$905,"",O2030+tech_proj!O1530/(1-tech_proj!O410))</f>
        <v/>
      </c>
      <c r="P910" s="113" t="str">
        <f>IF(tech_base!$T6&gt;P$905,"",P2030+tech_proj!P1530/(1-tech_proj!P410))</f>
        <v/>
      </c>
      <c r="Q910" s="113" t="str">
        <f>IF(tech_base!$T6&gt;Q$905,"",Q2030+tech_proj!Q1530/(1-tech_proj!Q410))</f>
        <v/>
      </c>
      <c r="R910" s="113" t="str">
        <f>IF(tech_base!$T6&gt;R$905,"",R2030+tech_proj!R1530/(1-tech_proj!R410))</f>
        <v/>
      </c>
      <c r="S910" s="113" t="str">
        <f>IF(tech_base!$T6&gt;S$905,"",S2030+tech_proj!S1530/(1-tech_proj!S410))</f>
        <v/>
      </c>
      <c r="T910" s="113" t="str">
        <f>IF(tech_base!$T6&gt;T$905,"",T2030+tech_proj!T1530/(1-tech_proj!T410))</f>
        <v/>
      </c>
      <c r="U910" s="113" t="str">
        <f>IF(tech_base!$T6&gt;U$905,"",U2030+tech_proj!U1530/(1-tech_proj!U410))</f>
        <v/>
      </c>
      <c r="V910" s="113" t="str">
        <f>IF(tech_base!$T6&gt;V$905,"",V2030+tech_proj!V1530/(1-tech_proj!V410))</f>
        <v/>
      </c>
      <c r="W910" s="113" t="str">
        <f>IF(tech_base!$T6&gt;W$905,"",W2030+tech_proj!W1530/(1-tech_proj!W410))</f>
        <v/>
      </c>
      <c r="X910" s="113" t="str">
        <f>IF(tech_base!$T6&gt;X$905,"",X2030+tech_proj!X1530/(1-tech_proj!X410))</f>
        <v/>
      </c>
      <c r="Y910" s="113">
        <f>IF(tech_base!$T6&gt;Y$905,"",Y2030+tech_proj!Y1530/(1-tech_proj!Y410))</f>
        <v>15.179683314148122</v>
      </c>
      <c r="Z910" s="113">
        <f>IF(tech_base!$T6&gt;Z$905,"",Z2030+tech_proj!Z1530/(1-tech_proj!Z410))</f>
        <v>15.144350740516016</v>
      </c>
      <c r="AA910" s="113">
        <f>IF(tech_base!$T6&gt;AA$905,"",AA2030+tech_proj!AA1530/(1-tech_proj!AA410))</f>
        <v>15.106294600142803</v>
      </c>
      <c r="AB910" s="113">
        <f>IF(tech_base!$T6&gt;AB$905,"",AB2030+tech_proj!AB1530/(1-tech_proj!AB410))</f>
        <v>15.065401818473291</v>
      </c>
      <c r="AC910" s="113">
        <f>IF(tech_base!$T6&gt;AC$905,"",AC2030+tech_proj!AC1530/(1-tech_proj!AC410))</f>
        <v>15.021572853387141</v>
      </c>
      <c r="AD910" s="113">
        <f>IF(tech_base!$T6&gt;AD$905,"",AD2030+tech_proj!AD1530/(1-tech_proj!AD410))</f>
        <v>14.974725490752014</v>
      </c>
      <c r="AE910" s="113">
        <f>IF(tech_base!$T6&gt;AE$905,"",AE2030+tech_proj!AE1530/(1-tech_proj!AE410))</f>
        <v>14.92479888650551</v>
      </c>
      <c r="AF910" s="113">
        <f>IF(tech_base!$T6&gt;AF$905,"",AF2030+tech_proj!AF1530/(1-tech_proj!AF410))</f>
        <v>14.871757757575786</v>
      </c>
      <c r="AG910" s="113">
        <f>IF(tech_base!$T6&gt;AG$905,"",AG2030+tech_proj!AG1530/(1-tech_proj!AG410))</f>
        <v>14.815596592803594</v>
      </c>
      <c r="AH910" s="113">
        <f>IF(tech_base!$T6&gt;AH$905,"",AH2030+tech_proj!AH1530/(1-tech_proj!AH410))</f>
        <v>14.756343723968545</v>
      </c>
      <c r="AI910" s="113">
        <f>IF(tech_base!$T6&gt;AI$905,"",AI2030+tech_proj!AI1530/(1-tech_proj!AI410))</f>
        <v>14.694065068680704</v>
      </c>
      <c r="AJ910" s="113">
        <f>IF(tech_base!$T6&gt;AJ$905,"",AJ2030+tech_proj!AJ1530/(1-tech_proj!AJ410))</f>
        <v>14.62886733447157</v>
      </c>
      <c r="AK910" s="113">
        <f>IF(tech_base!$T6&gt;AK$905,"",AK2030+tech_proj!AK1530/(1-tech_proj!AK410))</f>
        <v>14.560900460460585</v>
      </c>
      <c r="AL910" s="113">
        <f>IF(tech_base!$T6&gt;AL$905,"",AL2030+tech_proj!AL1530/(1-tech_proj!AL410))</f>
        <v>14.490359073054051</v>
      </c>
      <c r="AM910" s="113">
        <f>IF(tech_base!$T6&gt;AM$905,"",AM2030+tech_proj!AM1530/(1-tech_proj!AM410))</f>
        <v>14.417482748378294</v>
      </c>
      <c r="AN910" s="113">
        <f>IF(tech_base!$T6&gt;AN$905,"",AN2030+tech_proj!AN1530/(1-tech_proj!AN410))</f>
        <v>14.342554908691573</v>
      </c>
      <c r="AO910" s="113">
        <f>IF(tech_base!$T6&gt;AO$905,"",AO2030+tech_proj!AO1530/(1-tech_proj!AO410))</f>
        <v>14.265900233450285</v>
      </c>
      <c r="AP910" s="113">
        <f>IF(tech_base!$T6&gt;AP$905,"",AP2030+tech_proj!AP1530/(1-tech_proj!AP410))</f>
        <v>14.187880536603739</v>
      </c>
      <c r="AQ910" s="113">
        <f>IF(tech_base!$T6&gt;AQ$905,"",AQ2030+tech_proj!AQ1530/(1-tech_proj!AQ410))</f>
        <v>14.108889146366415</v>
      </c>
      <c r="AR910" s="113">
        <f>IF(tech_base!$T6&gt;AR$905,"",AR2030+tech_proj!AR1530/(1-tech_proj!AR410))</f>
        <v>14.029343916244969</v>
      </c>
      <c r="AS910" s="113">
        <f>IF(tech_base!$T6&gt;AS$905,"",AS2030+tech_proj!AS1530/(1-tech_proj!AS410))</f>
        <v>13.949679088742023</v>
      </c>
      <c r="AT910" s="113">
        <f>IF(tech_base!$T6&gt;AT$905,"",AT2030+tech_proj!AT1530/(1-tech_proj!AT410))</f>
        <v>13.87033631714997</v>
      </c>
      <c r="AU910" s="113">
        <f>IF(tech_base!$T6&gt;AU$905,"",AU2030+tech_proj!AU1530/(1-tech_proj!AU410))</f>
        <v>13.791755217456249</v>
      </c>
      <c r="AV910" s="113">
        <f>IF(tech_base!$T6&gt;AV$905,"",AV2030+tech_proj!AV1530/(1-tech_proj!AV410))</f>
        <v>13.714363864122312</v>
      </c>
      <c r="AW910" s="113">
        <f>IF(tech_base!$T6&gt;AW$905,"",AW2030+tech_proj!AW1530/(1-tech_proj!AW410))</f>
        <v>13.63856965525747</v>
      </c>
      <c r="AX910" s="114">
        <f>IF(tech_base!$T6&gt;AX$905,"",AX2030+tech_proj!AX1530/(1-tech_proj!AX410))</f>
        <v>13.564750952575002</v>
      </c>
    </row>
    <row r="911" spans="1:52" x14ac:dyDescent="0.25">
      <c r="A911" s="347"/>
      <c r="B911" s="349" t="s">
        <v>11</v>
      </c>
      <c r="C911" s="363" t="s">
        <v>6</v>
      </c>
      <c r="D911" s="2" t="s">
        <v>7</v>
      </c>
      <c r="E911" s="160" t="str">
        <f>A906&amp;"/"&amp;B911&amp;"/"&amp;C911&amp;"/"&amp;D911</f>
        <v>Nuclear power plants/Nuclear IV/Electricity only/L</v>
      </c>
      <c r="F911" s="76" t="str">
        <f>A906</f>
        <v>Nuclear power plants</v>
      </c>
      <c r="G911" s="76" t="str">
        <f>B911</f>
        <v>Nuclear IV</v>
      </c>
      <c r="H911" s="76" t="str">
        <f>C911</f>
        <v>Electricity only</v>
      </c>
      <c r="I911" s="161" t="str">
        <f t="shared" si="367"/>
        <v>L</v>
      </c>
      <c r="J911" s="105" t="str">
        <f>IF(tech_base!$T7&gt;J$905,"",J2031+tech_proj!J1531/(1-tech_proj!J411))</f>
        <v/>
      </c>
      <c r="K911" s="105" t="str">
        <f>IF(tech_base!$T7&gt;K$905,"",K2031+tech_proj!K1531/(1-tech_proj!K411))</f>
        <v/>
      </c>
      <c r="L911" s="105" t="str">
        <f>IF(tech_base!$T7&gt;L$905,"",L2031+tech_proj!L1531/(1-tech_proj!L411))</f>
        <v/>
      </c>
      <c r="M911" s="105" t="str">
        <f>IF(tech_base!$T7&gt;M$905,"",M2031+tech_proj!M1531/(1-tech_proj!M411))</f>
        <v/>
      </c>
      <c r="N911" s="105" t="str">
        <f>IF(tech_base!$T7&gt;N$905,"",N2031+tech_proj!N1531/(1-tech_proj!N411))</f>
        <v/>
      </c>
      <c r="O911" s="105" t="str">
        <f>IF(tech_base!$T7&gt;O$905,"",O2031+tech_proj!O1531/(1-tech_proj!O411))</f>
        <v/>
      </c>
      <c r="P911" s="105" t="str">
        <f>IF(tech_base!$T7&gt;P$905,"",P2031+tech_proj!P1531/(1-tech_proj!P411))</f>
        <v/>
      </c>
      <c r="Q911" s="105" t="str">
        <f>IF(tech_base!$T7&gt;Q$905,"",Q2031+tech_proj!Q1531/(1-tech_proj!Q411))</f>
        <v/>
      </c>
      <c r="R911" s="105" t="str">
        <f>IF(tech_base!$T7&gt;R$905,"",R2031+tech_proj!R1531/(1-tech_proj!R411))</f>
        <v/>
      </c>
      <c r="S911" s="105" t="str">
        <f>IF(tech_base!$T7&gt;S$905,"",S2031+tech_proj!S1531/(1-tech_proj!S411))</f>
        <v/>
      </c>
      <c r="T911" s="105" t="str">
        <f>IF(tech_base!$T7&gt;T$905,"",T2031+tech_proj!T1531/(1-tech_proj!T411))</f>
        <v/>
      </c>
      <c r="U911" s="105" t="str">
        <f>IF(tech_base!$T7&gt;U$905,"",U2031+tech_proj!U1531/(1-tech_proj!U411))</f>
        <v/>
      </c>
      <c r="V911" s="105" t="str">
        <f>IF(tech_base!$T7&gt;V$905,"",V2031+tech_proj!V1531/(1-tech_proj!V411))</f>
        <v/>
      </c>
      <c r="W911" s="105" t="str">
        <f>IF(tech_base!$T7&gt;W$905,"",W2031+tech_proj!W1531/(1-tech_proj!W411))</f>
        <v/>
      </c>
      <c r="X911" s="105" t="str">
        <f>IF(tech_base!$T7&gt;X$905,"",X2031+tech_proj!X1531/(1-tech_proj!X411))</f>
        <v/>
      </c>
      <c r="Y911" s="105" t="str">
        <f>IF(tech_base!$T7&gt;Y$905,"",Y2031+tech_proj!Y1531/(1-tech_proj!Y411))</f>
        <v/>
      </c>
      <c r="Z911" s="105" t="str">
        <f>IF(tech_base!$T7&gt;Z$905,"",Z2031+tech_proj!Z1531/(1-tech_proj!Z411))</f>
        <v/>
      </c>
      <c r="AA911" s="105" t="str">
        <f>IF(tech_base!$T7&gt;AA$905,"",AA2031+tech_proj!AA1531/(1-tech_proj!AA411))</f>
        <v/>
      </c>
      <c r="AB911" s="105" t="str">
        <f>IF(tech_base!$T7&gt;AB$905,"",AB2031+tech_proj!AB1531/(1-tech_proj!AB411))</f>
        <v/>
      </c>
      <c r="AC911" s="105" t="str">
        <f>IF(tech_base!$T7&gt;AC$905,"",AC2031+tech_proj!AC1531/(1-tech_proj!AC411))</f>
        <v/>
      </c>
      <c r="AD911" s="105" t="str">
        <f>IF(tech_base!$T7&gt;AD$905,"",AD2031+tech_proj!AD1531/(1-tech_proj!AD411))</f>
        <v/>
      </c>
      <c r="AE911" s="105" t="str">
        <f>IF(tech_base!$T7&gt;AE$905,"",AE2031+tech_proj!AE1531/(1-tech_proj!AE411))</f>
        <v/>
      </c>
      <c r="AF911" s="105" t="str">
        <f>IF(tech_base!$T7&gt;AF$905,"",AF2031+tech_proj!AF1531/(1-tech_proj!AF411))</f>
        <v/>
      </c>
      <c r="AG911" s="105" t="str">
        <f>IF(tech_base!$T7&gt;AG$905,"",AG2031+tech_proj!AG1531/(1-tech_proj!AG411))</f>
        <v/>
      </c>
      <c r="AH911" s="105" t="str">
        <f>IF(tech_base!$T7&gt;AH$905,"",AH2031+tech_proj!AH1531/(1-tech_proj!AH411))</f>
        <v/>
      </c>
      <c r="AI911" s="105">
        <f>IF(tech_base!$T7&gt;AI$905,"",AI2031+tech_proj!AI1531/(1-tech_proj!AI411))</f>
        <v>13.075707572538748</v>
      </c>
      <c r="AJ911" s="105">
        <f>IF(tech_base!$T7&gt;AJ$905,"",AJ2031+tech_proj!AJ1531/(1-tech_proj!AJ411))</f>
        <v>13.049752899940248</v>
      </c>
      <c r="AK911" s="105">
        <f>IF(tech_base!$T7&gt;AK$905,"",AK2031+tech_proj!AK1531/(1-tech_proj!AK411))</f>
        <v>13.0186176734746</v>
      </c>
      <c r="AL911" s="105">
        <f>IF(tech_base!$T7&gt;AL$905,"",AL2031+tech_proj!AL1531/(1-tech_proj!AL411))</f>
        <v>12.981411790923033</v>
      </c>
      <c r="AM911" s="105">
        <f>IF(tech_base!$T7&gt;AM$905,"",AM2031+tech_proj!AM1531/(1-tech_proj!AM411))</f>
        <v>12.937158151108456</v>
      </c>
      <c r="AN911" s="105">
        <f>IF(tech_base!$T7&gt;AN$905,"",AN2031+tech_proj!AN1531/(1-tech_proj!AN411))</f>
        <v>12.884815664497411</v>
      </c>
      <c r="AO911" s="105">
        <f>IF(tech_base!$T7&gt;AO$905,"",AO2031+tech_proj!AO1531/(1-tech_proj!AO411))</f>
        <v>12.823320037967415</v>
      </c>
      <c r="AP911" s="105">
        <f>IF(tech_base!$T7&gt;AP$905,"",AP2031+tech_proj!AP1531/(1-tech_proj!AP411))</f>
        <v>12.751647530375486</v>
      </c>
      <c r="AQ911" s="105">
        <f>IF(tech_base!$T7&gt;AQ$905,"",AQ2031+tech_proj!AQ1531/(1-tech_proj!AQ411))</f>
        <v>12.6689061732101</v>
      </c>
      <c r="AR911" s="105">
        <f>IF(tech_base!$T7&gt;AR$905,"",AR2031+tech_proj!AR1531/(1-tech_proj!AR411))</f>
        <v>12.574456511993516</v>
      </c>
      <c r="AS911" s="105">
        <f>IF(tech_base!$T7&gt;AS$905,"",AS2031+tech_proj!AS1531/(1-tech_proj!AS411))</f>
        <v>12.468058955222428</v>
      </c>
      <c r="AT911" s="105">
        <f>IF(tech_base!$T7&gt;AT$905,"",AT2031+tech_proj!AT1531/(1-tech_proj!AT411))</f>
        <v>12.350036785744972</v>
      </c>
      <c r="AU911" s="105">
        <f>IF(tech_base!$T7&gt;AU$905,"",AU2031+tech_proj!AU1531/(1-tech_proj!AU411))</f>
        <v>12.221433107319802</v>
      </c>
      <c r="AV911" s="105">
        <f>IF(tech_base!$T7&gt;AV$905,"",AV2031+tech_proj!AV1531/(1-tech_proj!AV411))</f>
        <v>12.084128382504868</v>
      </c>
      <c r="AW911" s="105">
        <f>IF(tech_base!$T7&gt;AW$905,"",AW2031+tech_proj!AW1531/(1-tech_proj!AW411))</f>
        <v>11.940876852613918</v>
      </c>
      <c r="AX911" s="106">
        <f>IF(tech_base!$T7&gt;AX$905,"",AX2031+tech_proj!AX1531/(1-tech_proj!AX411))</f>
        <v>11.795220945931174</v>
      </c>
    </row>
    <row r="912" spans="1:52" x14ac:dyDescent="0.25">
      <c r="A912" s="348"/>
      <c r="B912" s="352"/>
      <c r="C912" s="364"/>
      <c r="D912" s="4" t="s">
        <v>8</v>
      </c>
      <c r="E912" s="160" t="str">
        <f>A906&amp;"/"&amp;B911&amp;"/"&amp;C911&amp;"/"&amp;D912</f>
        <v>Nuclear power plants/Nuclear IV/Electricity only/M</v>
      </c>
      <c r="F912" s="76" t="str">
        <f>A906</f>
        <v>Nuclear power plants</v>
      </c>
      <c r="G912" s="76" t="str">
        <f>B911</f>
        <v>Nuclear IV</v>
      </c>
      <c r="H912" s="76" t="str">
        <f>C911</f>
        <v>Electricity only</v>
      </c>
      <c r="I912" s="161" t="str">
        <f t="shared" si="367"/>
        <v>M</v>
      </c>
      <c r="J912" s="105" t="str">
        <f>IF(tech_base!$T8&gt;J$905,"",J2032+tech_proj!J1532/(1-tech_proj!J412))</f>
        <v/>
      </c>
      <c r="K912" s="105" t="str">
        <f>IF(tech_base!$T8&gt;K$905,"",K2032+tech_proj!K1532/(1-tech_proj!K412))</f>
        <v/>
      </c>
      <c r="L912" s="105" t="str">
        <f>IF(tech_base!$T8&gt;L$905,"",L2032+tech_proj!L1532/(1-tech_proj!L412))</f>
        <v/>
      </c>
      <c r="M912" s="105" t="str">
        <f>IF(tech_base!$T8&gt;M$905,"",M2032+tech_proj!M1532/(1-tech_proj!M412))</f>
        <v/>
      </c>
      <c r="N912" s="105" t="str">
        <f>IF(tech_base!$T8&gt;N$905,"",N2032+tech_proj!N1532/(1-tech_proj!N412))</f>
        <v/>
      </c>
      <c r="O912" s="105" t="str">
        <f>IF(tech_base!$T8&gt;O$905,"",O2032+tech_proj!O1532/(1-tech_proj!O412))</f>
        <v/>
      </c>
      <c r="P912" s="105" t="str">
        <f>IF(tech_base!$T8&gt;P$905,"",P2032+tech_proj!P1532/(1-tech_proj!P412))</f>
        <v/>
      </c>
      <c r="Q912" s="105" t="str">
        <f>IF(tech_base!$T8&gt;Q$905,"",Q2032+tech_proj!Q1532/(1-tech_proj!Q412))</f>
        <v/>
      </c>
      <c r="R912" s="105" t="str">
        <f>IF(tech_base!$T8&gt;R$905,"",R2032+tech_proj!R1532/(1-tech_proj!R412))</f>
        <v/>
      </c>
      <c r="S912" s="105" t="str">
        <f>IF(tech_base!$T8&gt;S$905,"",S2032+tech_proj!S1532/(1-tech_proj!S412))</f>
        <v/>
      </c>
      <c r="T912" s="105" t="str">
        <f>IF(tech_base!$T8&gt;T$905,"",T2032+tech_proj!T1532/(1-tech_proj!T412))</f>
        <v/>
      </c>
      <c r="U912" s="105" t="str">
        <f>IF(tech_base!$T8&gt;U$905,"",U2032+tech_proj!U1532/(1-tech_proj!U412))</f>
        <v/>
      </c>
      <c r="V912" s="105" t="str">
        <f>IF(tech_base!$T8&gt;V$905,"",V2032+tech_proj!V1532/(1-tech_proj!V412))</f>
        <v/>
      </c>
      <c r="W912" s="105" t="str">
        <f>IF(tech_base!$T8&gt;W$905,"",W2032+tech_proj!W1532/(1-tech_proj!W412))</f>
        <v/>
      </c>
      <c r="X912" s="105" t="str">
        <f>IF(tech_base!$T8&gt;X$905,"",X2032+tech_proj!X1532/(1-tech_proj!X412))</f>
        <v/>
      </c>
      <c r="Y912" s="105" t="str">
        <f>IF(tech_base!$T8&gt;Y$905,"",Y2032+tech_proj!Y1532/(1-tech_proj!Y412))</f>
        <v/>
      </c>
      <c r="Z912" s="105" t="str">
        <f>IF(tech_base!$T8&gt;Z$905,"",Z2032+tech_proj!Z1532/(1-tech_proj!Z412))</f>
        <v/>
      </c>
      <c r="AA912" s="105" t="str">
        <f>IF(tech_base!$T8&gt;AA$905,"",AA2032+tech_proj!AA1532/(1-tech_proj!AA412))</f>
        <v/>
      </c>
      <c r="AB912" s="105" t="str">
        <f>IF(tech_base!$T8&gt;AB$905,"",AB2032+tech_proj!AB1532/(1-tech_proj!AB412))</f>
        <v/>
      </c>
      <c r="AC912" s="105" t="str">
        <f>IF(tech_base!$T8&gt;AC$905,"",AC2032+tech_proj!AC1532/(1-tech_proj!AC412))</f>
        <v/>
      </c>
      <c r="AD912" s="105" t="str">
        <f>IF(tech_base!$T8&gt;AD$905,"",AD2032+tech_proj!AD1532/(1-tech_proj!AD412))</f>
        <v/>
      </c>
      <c r="AE912" s="105" t="str">
        <f>IF(tech_base!$T8&gt;AE$905,"",AE2032+tech_proj!AE1532/(1-tech_proj!AE412))</f>
        <v/>
      </c>
      <c r="AF912" s="105" t="str">
        <f>IF(tech_base!$T8&gt;AF$905,"",AF2032+tech_proj!AF1532/(1-tech_proj!AF412))</f>
        <v/>
      </c>
      <c r="AG912" s="105" t="str">
        <f>IF(tech_base!$T8&gt;AG$905,"",AG2032+tech_proj!AG1532/(1-tech_proj!AG412))</f>
        <v/>
      </c>
      <c r="AH912" s="105" t="str">
        <f>IF(tech_base!$T8&gt;AH$905,"",AH2032+tech_proj!AH1532/(1-tech_proj!AH412))</f>
        <v/>
      </c>
      <c r="AI912" s="105">
        <f>IF(tech_base!$T8&gt;AI$905,"",AI2032+tech_proj!AI1532/(1-tech_proj!AI412))</f>
        <v>13.715439517165631</v>
      </c>
      <c r="AJ912" s="105">
        <f>IF(tech_base!$T8&gt;AJ$905,"",AJ2032+tech_proj!AJ1532/(1-tech_proj!AJ412))</f>
        <v>13.706075791305015</v>
      </c>
      <c r="AK912" s="105">
        <f>IF(tech_base!$T8&gt;AK$905,"",AK2032+tech_proj!AK1532/(1-tech_proj!AK412))</f>
        <v>13.694127401346151</v>
      </c>
      <c r="AL912" s="105">
        <f>IF(tech_base!$T8&gt;AL$905,"",AL2032+tech_proj!AL1532/(1-tech_proj!AL412))</f>
        <v>13.678907654411294</v>
      </c>
      <c r="AM912" s="105">
        <f>IF(tech_base!$T8&gt;AM$905,"",AM2032+tech_proj!AM1532/(1-tech_proj!AM412))</f>
        <v>13.659564323973404</v>
      </c>
      <c r="AN912" s="105">
        <f>IF(tech_base!$T8&gt;AN$905,"",AN2032+tech_proj!AN1532/(1-tech_proj!AN412))</f>
        <v>13.63505042555231</v>
      </c>
      <c r="AO912" s="105">
        <f>IF(tech_base!$T8&gt;AO$905,"",AO2032+tech_proj!AO1532/(1-tech_proj!AO412))</f>
        <v>13.604096816429156</v>
      </c>
      <c r="AP912" s="105">
        <f>IF(tech_base!$T8&gt;AP$905,"",AP2032+tech_proj!AP1532/(1-tech_proj!AP412))</f>
        <v>13.56519226663541</v>
      </c>
      <c r="AQ912" s="105">
        <f>IF(tech_base!$T8&gt;AQ$905,"",AQ2032+tech_proj!AQ1532/(1-tech_proj!AQ412))</f>
        <v>13.516580199139309</v>
      </c>
      <c r="AR912" s="105">
        <f>IF(tech_base!$T8&gt;AR$905,"",AR2032+tech_proj!AR1532/(1-tech_proj!AR412))</f>
        <v>13.456285917242074</v>
      </c>
      <c r="AS912" s="105">
        <f>IF(tech_base!$T8&gt;AS$905,"",AS2032+tech_proj!AS1532/(1-tech_proj!AS412))</f>
        <v>13.382193306461103</v>
      </c>
      <c r="AT912" s="105">
        <f>IF(tech_base!$T8&gt;AT$905,"",AT2032+tech_proj!AT1532/(1-tech_proj!AT412))</f>
        <v>13.292194155536475</v>
      </c>
      <c r="AU912" s="105">
        <f>IF(tech_base!$T8&gt;AU$905,"",AU2032+tech_proj!AU1532/(1-tech_proj!AU412))</f>
        <v>13.184433141263339</v>
      </c>
      <c r="AV912" s="105">
        <f>IF(tech_base!$T8&gt;AV$905,"",AV2032+tech_proj!AV1532/(1-tech_proj!AV412))</f>
        <v>13.05766185190171</v>
      </c>
      <c r="AW912" s="105">
        <f>IF(tech_base!$T8&gt;AW$905,"",AW2032+tech_proj!AW1532/(1-tech_proj!AW412))</f>
        <v>12.911689414435646</v>
      </c>
      <c r="AX912" s="106">
        <f>IF(tech_base!$T8&gt;AX$905,"",AX2032+tech_proj!AX1532/(1-tech_proj!AX412))</f>
        <v>12.747870982939229</v>
      </c>
    </row>
    <row r="913" spans="1:50" x14ac:dyDescent="0.25">
      <c r="A913" s="355" t="s">
        <v>12</v>
      </c>
      <c r="B913" s="358" t="s">
        <v>13</v>
      </c>
      <c r="C913" s="353" t="s">
        <v>6</v>
      </c>
      <c r="D913" s="3" t="s">
        <v>7</v>
      </c>
      <c r="E913" s="162" t="str">
        <f>A913&amp;"/"&amp;B913&amp;"/"&amp;C913&amp;"/"&amp;D913</f>
        <v>Coal fired power plants/Integrated gasification combined cycle/Electricity only/L</v>
      </c>
      <c r="F913" s="77" t="str">
        <f>A913</f>
        <v>Coal fired power plants</v>
      </c>
      <c r="G913" s="77" t="str">
        <f>B913</f>
        <v>Integrated gasification combined cycle</v>
      </c>
      <c r="H913" s="77" t="str">
        <f>C913</f>
        <v>Electricity only</v>
      </c>
      <c r="I913" s="163" t="str">
        <f t="shared" si="367"/>
        <v>L</v>
      </c>
      <c r="J913" s="107">
        <f>IF(tech_base!$T9&gt;J$905,"",J2033+tech_proj!J1533/(1-tech_proj!J413))</f>
        <v>30.438139012473876</v>
      </c>
      <c r="K913" s="107">
        <f>IF(tech_base!$T9&gt;K$905,"",K2033+tech_proj!K1533/(1-tech_proj!K413))</f>
        <v>36.689470913111656</v>
      </c>
      <c r="L913" s="107">
        <f>IF(tech_base!$T9&gt;L$905,"",L2033+tech_proj!L1533/(1-tech_proj!L413))</f>
        <v>32.003867437875058</v>
      </c>
      <c r="M913" s="107">
        <f>IF(tech_base!$T9&gt;M$905,"",M2033+tech_proj!M1533/(1-tech_proj!M413))</f>
        <v>29.403364699089</v>
      </c>
      <c r="N913" s="107">
        <f>IF(tech_base!$T9&gt;N$905,"",N2033+tech_proj!N1533/(1-tech_proj!N413))</f>
        <v>28.439316588350724</v>
      </c>
      <c r="O913" s="107">
        <f>IF(tech_base!$T9&gt;O$905,"",O2033+tech_proj!O1533/(1-tech_proj!O413))</f>
        <v>27.044280486473667</v>
      </c>
      <c r="P913" s="107">
        <f>IF(tech_base!$T9&gt;P$905,"",P2033+tech_proj!P1533/(1-tech_proj!P413))</f>
        <v>28.273506718791126</v>
      </c>
      <c r="Q913" s="107">
        <f>IF(tech_base!$T9&gt;Q$905,"",Q2033+tech_proj!Q1533/(1-tech_proj!Q413))</f>
        <v>34.513412752203685</v>
      </c>
      <c r="R913" s="107">
        <f>IF(tech_base!$T9&gt;R$905,"",R2033+tech_proj!R1533/(1-tech_proj!R413))</f>
        <v>34.680598648874167</v>
      </c>
      <c r="S913" s="107">
        <f>IF(tech_base!$T9&gt;S$905,"",S2033+tech_proj!S1533/(1-tech_proj!S413))</f>
        <v>34.845984284715101</v>
      </c>
      <c r="T913" s="107">
        <f>IF(tech_base!$T9&gt;T$905,"",T2033+tech_proj!T1533/(1-tech_proj!T413))</f>
        <v>35.009552220841869</v>
      </c>
      <c r="U913" s="107">
        <f>IF(tech_base!$T9&gt;U$905,"",U2033+tech_proj!U1533/(1-tech_proj!U413))</f>
        <v>35.682971545548021</v>
      </c>
      <c r="V913" s="107">
        <f>IF(tech_base!$T9&gt;V$905,"",V2033+tech_proj!V1533/(1-tech_proj!V413))</f>
        <v>35.704095392481811</v>
      </c>
      <c r="W913" s="107">
        <f>IF(tech_base!$T9&gt;W$905,"",W2033+tech_proj!W1533/(1-tech_proj!W413))</f>
        <v>35.683489850182653</v>
      </c>
      <c r="X913" s="107">
        <f>IF(tech_base!$T9&gt;X$905,"",X2033+tech_proj!X1533/(1-tech_proj!X413))</f>
        <v>35.859690549638287</v>
      </c>
      <c r="Y913" s="107">
        <f>IF(tech_base!$T9&gt;Y$905,"",Y2033+tech_proj!Y1533/(1-tech_proj!Y413))</f>
        <v>36.066386243030124</v>
      </c>
      <c r="Z913" s="107">
        <f>IF(tech_base!$T9&gt;Z$905,"",Z2033+tech_proj!Z1533/(1-tech_proj!Z413))</f>
        <v>37.038316141376569</v>
      </c>
      <c r="AA913" s="107">
        <f>IF(tech_base!$T9&gt;AA$905,"",AA2033+tech_proj!AA1533/(1-tech_proj!AA413))</f>
        <v>38.007246220686028</v>
      </c>
      <c r="AB913" s="107">
        <f>IF(tech_base!$T9&gt;AB$905,"",AB2033+tech_proj!AB1533/(1-tech_proj!AB413))</f>
        <v>39.007823276719286</v>
      </c>
      <c r="AC913" s="107">
        <f>IF(tech_base!$T9&gt;AC$905,"",AC2033+tech_proj!AC1533/(1-tech_proj!AC413))</f>
        <v>40.015022876197193</v>
      </c>
      <c r="AD913" s="107">
        <f>IF(tech_base!$T9&gt;AD$905,"",AD2033+tech_proj!AD1533/(1-tech_proj!AD413))</f>
        <v>41.116050479315092</v>
      </c>
      <c r="AE913" s="107">
        <f>IF(tech_base!$T9&gt;AE$905,"",AE2033+tech_proj!AE1533/(1-tech_proj!AE413))</f>
        <v>41.417820754917116</v>
      </c>
      <c r="AF913" s="107">
        <f>IF(tech_base!$T9&gt;AF$905,"",AF2033+tech_proj!AF1533/(1-tech_proj!AF413))</f>
        <v>41.82817925529195</v>
      </c>
      <c r="AG913" s="107">
        <f>IF(tech_base!$T9&gt;AG$905,"",AG2033+tech_proj!AG1533/(1-tech_proj!AG413))</f>
        <v>42.250580276184607</v>
      </c>
      <c r="AH913" s="107">
        <f>IF(tech_base!$T9&gt;AH$905,"",AH2033+tech_proj!AH1533/(1-tech_proj!AH413))</f>
        <v>42.632055877965975</v>
      </c>
      <c r="AI913" s="107">
        <f>IF(tech_base!$T9&gt;AI$905,"",AI2033+tech_proj!AI1533/(1-tech_proj!AI413))</f>
        <v>42.96202091325528</v>
      </c>
      <c r="AJ913" s="107">
        <f>IF(tech_base!$T9&gt;AJ$905,"",AJ2033+tech_proj!AJ1533/(1-tech_proj!AJ413))</f>
        <v>43.166198131814753</v>
      </c>
      <c r="AK913" s="107">
        <f>IF(tech_base!$T9&gt;AK$905,"",AK2033+tech_proj!AK1533/(1-tech_proj!AK413))</f>
        <v>43.40220159766325</v>
      </c>
      <c r="AL913" s="107">
        <f>IF(tech_base!$T9&gt;AL$905,"",AL2033+tech_proj!AL1533/(1-tech_proj!AL413))</f>
        <v>43.652587157956404</v>
      </c>
      <c r="AM913" s="107">
        <f>IF(tech_base!$T9&gt;AM$905,"",AM2033+tech_proj!AM1533/(1-tech_proj!AM413))</f>
        <v>43.906662987622525</v>
      </c>
      <c r="AN913" s="107">
        <f>IF(tech_base!$T9&gt;AN$905,"",AN2033+tech_proj!AN1533/(1-tech_proj!AN413))</f>
        <v>44.042120355832381</v>
      </c>
      <c r="AO913" s="107">
        <f>IF(tech_base!$T9&gt;AO$905,"",AO2033+tech_proj!AO1533/(1-tech_proj!AO413))</f>
        <v>44.137230093584982</v>
      </c>
      <c r="AP913" s="107">
        <f>IF(tech_base!$T9&gt;AP$905,"",AP2033+tech_proj!AP1533/(1-tech_proj!AP413))</f>
        <v>44.187946378774839</v>
      </c>
      <c r="AQ913" s="107">
        <f>IF(tech_base!$T9&gt;AQ$905,"",AQ2033+tech_proj!AQ1533/(1-tech_proj!AQ413))</f>
        <v>44.195394206230183</v>
      </c>
      <c r="AR913" s="107">
        <f>IF(tech_base!$T9&gt;AR$905,"",AR2033+tech_proj!AR1533/(1-tech_proj!AR413))</f>
        <v>44.187833973200277</v>
      </c>
      <c r="AS913" s="107">
        <f>IF(tech_base!$T9&gt;AS$905,"",AS2033+tech_proj!AS1533/(1-tech_proj!AS413))</f>
        <v>44.145947735193019</v>
      </c>
      <c r="AT913" s="107">
        <f>IF(tech_base!$T9&gt;AT$905,"",AT2033+tech_proj!AT1533/(1-tech_proj!AT413))</f>
        <v>43.959303251680566</v>
      </c>
      <c r="AU913" s="107">
        <f>IF(tech_base!$T9&gt;AU$905,"",AU2033+tech_proj!AU1533/(1-tech_proj!AU413))</f>
        <v>43.840747458076137</v>
      </c>
      <c r="AV913" s="107">
        <f>IF(tech_base!$T9&gt;AV$905,"",AV2033+tech_proj!AV1533/(1-tech_proj!AV413))</f>
        <v>43.661675620386298</v>
      </c>
      <c r="AW913" s="107">
        <f>IF(tech_base!$T9&gt;AW$905,"",AW2033+tech_proj!AW1533/(1-tech_proj!AW413))</f>
        <v>43.462840515309388</v>
      </c>
      <c r="AX913" s="108">
        <f>IF(tech_base!$T9&gt;AX$905,"",AX2033+tech_proj!AX1533/(1-tech_proj!AX413))</f>
        <v>43.35369407037058</v>
      </c>
    </row>
    <row r="914" spans="1:50" x14ac:dyDescent="0.25">
      <c r="A914" s="356"/>
      <c r="B914" s="359"/>
      <c r="C914" s="360"/>
      <c r="D914" s="2" t="s">
        <v>8</v>
      </c>
      <c r="E914" s="160" t="str">
        <f>A913&amp;"/"&amp;B913&amp;"/"&amp;C913&amp;"/"&amp;D914</f>
        <v>Coal fired power plants/Integrated gasification combined cycle/Electricity only/M</v>
      </c>
      <c r="F914" s="76" t="str">
        <f>A913</f>
        <v>Coal fired power plants</v>
      </c>
      <c r="G914" s="76" t="str">
        <f>B913</f>
        <v>Integrated gasification combined cycle</v>
      </c>
      <c r="H914" s="76" t="str">
        <f>C913</f>
        <v>Electricity only</v>
      </c>
      <c r="I914" s="161" t="str">
        <f t="shared" si="367"/>
        <v>M</v>
      </c>
      <c r="J914" s="105">
        <f>IF(tech_base!$T10&gt;J$905,"",J2034+tech_proj!J1534/(1-tech_proj!J414))</f>
        <v>32.195352667547404</v>
      </c>
      <c r="K914" s="105">
        <f>IF(tech_base!$T10&gt;K$905,"",K2034+tech_proj!K1534/(1-tech_proj!K414))</f>
        <v>38.77973175582266</v>
      </c>
      <c r="L914" s="105">
        <f>IF(tech_base!$T10&gt;L$905,"",L2034+tech_proj!L1534/(1-tech_proj!L414))</f>
        <v>33.843562067839628</v>
      </c>
      <c r="M914" s="105">
        <f>IF(tech_base!$T10&gt;M$905,"",M2034+tech_proj!M1534/(1-tech_proj!M414))</f>
        <v>31.103689860645076</v>
      </c>
      <c r="N914" s="105">
        <f>IF(tech_base!$T10&gt;N$905,"",N2034+tech_proj!N1534/(1-tech_proj!N414))</f>
        <v>30.087455098815962</v>
      </c>
      <c r="O914" s="105">
        <f>IF(tech_base!$T10&gt;O$905,"",O2034+tech_proj!O1534/(1-tech_proj!O414))</f>
        <v>28.617150347839967</v>
      </c>
      <c r="P914" s="105">
        <f>IF(tech_base!$T10&gt;P$905,"",P2034+tech_proj!P1534/(1-tech_proj!P414))</f>
        <v>29.910745017849543</v>
      </c>
      <c r="Q914" s="105">
        <f>IF(tech_base!$T10&gt;Q$905,"",Q2034+tech_proj!Q1534/(1-tech_proj!Q414))</f>
        <v>36.481391008534608</v>
      </c>
      <c r="R914" s="105">
        <f>IF(tech_base!$T10&gt;R$905,"",R2034+tech_proj!R1534/(1-tech_proj!R414))</f>
        <v>36.655602728193017</v>
      </c>
      <c r="S914" s="105">
        <f>IF(tech_base!$T10&gt;S$905,"",S2034+tech_proj!S1534/(1-tech_proj!S414))</f>
        <v>36.827535012803672</v>
      </c>
      <c r="T914" s="105">
        <f>IF(tech_base!$T10&gt;T$905,"",T2034+tech_proj!T1534/(1-tech_proj!T414))</f>
        <v>36.997096996963357</v>
      </c>
      <c r="U914" s="105">
        <f>IF(tech_base!$T10&gt;U$905,"",U2034+tech_proj!U1534/(1-tech_proj!U414))</f>
        <v>37.702997130435399</v>
      </c>
      <c r="V914" s="105">
        <f>IF(tech_base!$T10&gt;V$905,"",V2034+tech_proj!V1534/(1-tech_proj!V414))</f>
        <v>37.721354047048038</v>
      </c>
      <c r="W914" s="105">
        <f>IF(tech_base!$T10&gt;W$905,"",W2034+tech_proj!W1534/(1-tech_proj!W414))</f>
        <v>37.695042543346801</v>
      </c>
      <c r="X914" s="105">
        <f>IF(tech_base!$T10&gt;X$905,"",X2034+tech_proj!X1534/(1-tech_proj!X414))</f>
        <v>37.875064641519607</v>
      </c>
      <c r="Y914" s="105">
        <f>IF(tech_base!$T10&gt;Y$905,"",Y2034+tech_proj!Y1534/(1-tech_proj!Y414))</f>
        <v>38.08614676201524</v>
      </c>
      <c r="Z914" s="105">
        <f>IF(tech_base!$T10&gt;Z$905,"",Z2034+tech_proj!Z1534/(1-tech_proj!Z414))</f>
        <v>39.101373199980543</v>
      </c>
      <c r="AA914" s="105">
        <f>IF(tech_base!$T10&gt;AA$905,"",AA2034+tech_proj!AA1534/(1-tech_proj!AA414))</f>
        <v>40.111762016019242</v>
      </c>
      <c r="AB914" s="105">
        <f>IF(tech_base!$T10&gt;AB$905,"",AB2034+tech_proj!AB1534/(1-tech_proj!AB414))</f>
        <v>41.153494127637799</v>
      </c>
      <c r="AC914" s="105">
        <f>IF(tech_base!$T10&gt;AC$905,"",AC2034+tech_proj!AC1534/(1-tech_proj!AC414))</f>
        <v>42.199933913649076</v>
      </c>
      <c r="AD914" s="105">
        <f>IF(tech_base!$T10&gt;AD$905,"",AD2034+tech_proj!AD1534/(1-tech_proj!AD414))</f>
        <v>43.342464856257209</v>
      </c>
      <c r="AE914" s="105">
        <f>IF(tech_base!$T10&gt;AE$905,"",AE2034+tech_proj!AE1534/(1-tech_proj!AE414))</f>
        <v>43.641899361571646</v>
      </c>
      <c r="AF914" s="105">
        <f>IF(tech_base!$T10&gt;AF$905,"",AF2034+tech_proj!AF1534/(1-tech_proj!AF414))</f>
        <v>44.052802856430304</v>
      </c>
      <c r="AG914" s="105">
        <f>IF(tech_base!$T10&gt;AG$905,"",AG2034+tech_proj!AG1534/(1-tech_proj!AG414))</f>
        <v>44.473503022916624</v>
      </c>
      <c r="AH914" s="105">
        <f>IF(tech_base!$T10&gt;AH$905,"",AH2034+tech_proj!AH1534/(1-tech_proj!AH414))</f>
        <v>44.848334846229456</v>
      </c>
      <c r="AI914" s="105">
        <f>IF(tech_base!$T10&gt;AI$905,"",AI2034+tech_proj!AI1534/(1-tech_proj!AI414))</f>
        <v>45.166372884414166</v>
      </c>
      <c r="AJ914" s="105">
        <f>IF(tech_base!$T10&gt;AJ$905,"",AJ2034+tech_proj!AJ1534/(1-tech_proj!AJ414))</f>
        <v>45.350142773158112</v>
      </c>
      <c r="AK914" s="105">
        <f>IF(tech_base!$T10&gt;AK$905,"",AK2034+tech_proj!AK1534/(1-tech_proj!AK414))</f>
        <v>45.565733257323323</v>
      </c>
      <c r="AL914" s="105">
        <f>IF(tech_base!$T10&gt;AL$905,"",AL2034+tech_proj!AL1534/(1-tech_proj!AL414))</f>
        <v>45.795826165546018</v>
      </c>
      <c r="AM914" s="105">
        <f>IF(tech_base!$T10&gt;AM$905,"",AM2034+tech_proj!AM1534/(1-tech_proj!AM414))</f>
        <v>46.030617903763265</v>
      </c>
      <c r="AN914" s="105">
        <f>IF(tech_base!$T10&gt;AN$905,"",AN2034+tech_proj!AN1534/(1-tech_proj!AN414))</f>
        <v>46.143909209011873</v>
      </c>
      <c r="AO914" s="105">
        <f>IF(tech_base!$T10&gt;AO$905,"",AO2034+tech_proj!AO1534/(1-tech_proj!AO414))</f>
        <v>46.219885763217341</v>
      </c>
      <c r="AP914" s="105">
        <f>IF(tech_base!$T10&gt;AP$905,"",AP2034+tech_proj!AP1534/(1-tech_proj!AP414))</f>
        <v>46.256560609540067</v>
      </c>
      <c r="AQ914" s="105">
        <f>IF(tech_base!$T10&gt;AQ$905,"",AQ2034+tech_proj!AQ1534/(1-tech_proj!AQ414))</f>
        <v>46.257028629577775</v>
      </c>
      <c r="AR914" s="105">
        <f>IF(tech_base!$T10&gt;AR$905,"",AR2034+tech_proj!AR1534/(1-tech_proj!AR414))</f>
        <v>46.251882424413786</v>
      </c>
      <c r="AS914" s="105">
        <f>IF(tech_base!$T10&gt;AS$905,"",AS2034+tech_proj!AS1534/(1-tech_proj!AS414))</f>
        <v>46.220452740164028</v>
      </c>
      <c r="AT914" s="105">
        <f>IF(tech_base!$T10&gt;AT$905,"",AT2034+tech_proj!AT1534/(1-tech_proj!AT414))</f>
        <v>46.044662474371286</v>
      </c>
      <c r="AU914" s="105">
        <f>IF(tech_base!$T10&gt;AU$905,"",AU2034+tech_proj!AU1534/(1-tech_proj!AU414))</f>
        <v>45.942476691653759</v>
      </c>
      <c r="AV914" s="105">
        <f>IF(tech_base!$T10&gt;AV$905,"",AV2034+tech_proj!AV1534/(1-tech_proj!AV414))</f>
        <v>45.772803291644621</v>
      </c>
      <c r="AW914" s="105">
        <f>IF(tech_base!$T10&gt;AW$905,"",AW2034+tech_proj!AW1534/(1-tech_proj!AW414))</f>
        <v>45.571149995484248</v>
      </c>
      <c r="AX914" s="106">
        <f>IF(tech_base!$T10&gt;AX$905,"",AX2034+tech_proj!AX1534/(1-tech_proj!AX414))</f>
        <v>45.446000752831218</v>
      </c>
    </row>
    <row r="915" spans="1:50" x14ac:dyDescent="0.25">
      <c r="A915" s="356"/>
      <c r="B915" s="359"/>
      <c r="C915" s="361" t="s">
        <v>14</v>
      </c>
      <c r="D915" s="58" t="s">
        <v>7</v>
      </c>
      <c r="E915" s="164" t="str">
        <f>A913&amp;"/"&amp;B913&amp;"/"&amp;C915&amp;"/"&amp;D915</f>
        <v>Coal fired power plants/Integrated gasification combined cycle/CHP/L</v>
      </c>
      <c r="F915" s="78" t="str">
        <f>A913</f>
        <v>Coal fired power plants</v>
      </c>
      <c r="G915" s="78" t="str">
        <f>B913</f>
        <v>Integrated gasification combined cycle</v>
      </c>
      <c r="H915" s="78" t="str">
        <f>C915</f>
        <v>CHP</v>
      </c>
      <c r="I915" s="165" t="str">
        <f t="shared" si="367"/>
        <v>L</v>
      </c>
      <c r="J915" s="109">
        <f>IF(tech_base!$T11&gt;J$905,"",J2035+tech_proj!J1535/(1-tech_proj!J415))</f>
        <v>33.992955567762444</v>
      </c>
      <c r="K915" s="109">
        <f>IF(tech_base!$T11&gt;K$905,"",K2035+tech_proj!K1535/(1-tech_proj!K415))</f>
        <v>40.913601490231855</v>
      </c>
      <c r="L915" s="109">
        <f>IF(tech_base!$T11&gt;L$905,"",L2035+tech_proj!L1535/(1-tech_proj!L415))</f>
        <v>35.726333889523552</v>
      </c>
      <c r="M915" s="109">
        <f>IF(tech_base!$T11&gt;M$905,"",M2035+tech_proj!M1535/(1-tech_proj!M415))</f>
        <v>32.847412303851591</v>
      </c>
      <c r="N915" s="109">
        <f>IF(tech_base!$T11&gt;N$905,"",N2035+tech_proj!N1535/(1-tech_proj!N415))</f>
        <v>31.780157091522948</v>
      </c>
      <c r="O915" s="109">
        <f>IF(tech_base!$T11&gt;O$905,"",O2035+tech_proj!O1535/(1-tech_proj!O415))</f>
        <v>30.235771098894777</v>
      </c>
      <c r="P915" s="109">
        <f>IF(tech_base!$T11&gt;P$905,"",P2035+tech_proj!P1535/(1-tech_proj!P415))</f>
        <v>31.596625626745073</v>
      </c>
      <c r="Q915" s="109">
        <f>IF(tech_base!$T11&gt;Q$905,"",Q2035+tech_proj!Q1535/(1-tech_proj!Q415))</f>
        <v>38.504657031366555</v>
      </c>
      <c r="R915" s="109">
        <f>IF(tech_base!$T11&gt;R$905,"",R2035+tech_proj!R1535/(1-tech_proj!R415))</f>
        <v>38.689778955371473</v>
      </c>
      <c r="S915" s="109">
        <f>IF(tech_base!$T11&gt;S$905,"",S2035+tech_proj!S1535/(1-tech_proj!S415))</f>
        <v>38.87291833960348</v>
      </c>
      <c r="T915" s="109">
        <f>IF(tech_base!$T11&gt;T$905,"",T2035+tech_proj!T1535/(1-tech_proj!T415))</f>
        <v>39.054058902030775</v>
      </c>
      <c r="U915" s="109">
        <f>IF(tech_base!$T11&gt;U$905,"",U2035+tech_proj!U1535/(1-tech_proj!U415))</f>
        <v>39.799660893430762</v>
      </c>
      <c r="V915" s="109">
        <f>IF(tech_base!$T11&gt;V$905,"",V2035+tech_proj!V1535/(1-tech_proj!V415))</f>
        <v>39.823145944053685</v>
      </c>
      <c r="W915" s="109">
        <f>IF(tech_base!$T11&gt;W$905,"",W2035+tech_proj!W1535/(1-tech_proj!W415))</f>
        <v>39.800461432845175</v>
      </c>
      <c r="X915" s="109">
        <f>IF(tech_base!$T11&gt;X$905,"",X2035+tech_proj!X1535/(1-tech_proj!X415))</f>
        <v>39.995694391391694</v>
      </c>
      <c r="Y915" s="109">
        <f>IF(tech_base!$T11&gt;Y$905,"",Y2035+tech_proj!Y1535/(1-tech_proj!Y415))</f>
        <v>40.224736485177374</v>
      </c>
      <c r="Z915" s="109">
        <f>IF(tech_base!$T11&gt;Z$905,"",Z2035+tech_proj!Z1535/(1-tech_proj!Z415))</f>
        <v>41.301032115166876</v>
      </c>
      <c r="AA915" s="109">
        <f>IF(tech_base!$T11&gt;AA$905,"",AA2035+tech_proj!AA1535/(1-tech_proj!AA415))</f>
        <v>42.374102271517948</v>
      </c>
      <c r="AB915" s="109">
        <f>IF(tech_base!$T11&gt;AB$905,"",AB2035+tech_proj!AB1535/(1-tech_proj!AB415))</f>
        <v>43.482334564367044</v>
      </c>
      <c r="AC915" s="109">
        <f>IF(tech_base!$T11&gt;AC$905,"",AC2035+tech_proj!AC1535/(1-tech_proj!AC415))</f>
        <v>44.598063344201286</v>
      </c>
      <c r="AD915" s="109">
        <f>IF(tech_base!$T11&gt;AD$905,"",AD2035+tech_proj!AD1535/(1-tech_proj!AD415))</f>
        <v>45.817889488630762</v>
      </c>
      <c r="AE915" s="109">
        <f>IF(tech_base!$T11&gt;AE$905,"",AE2035+tech_proj!AE1535/(1-tech_proj!AE415))</f>
        <v>46.15307520996133</v>
      </c>
      <c r="AF915" s="109">
        <f>IF(tech_base!$T11&gt;AF$905,"",AF2035+tech_proj!AF1535/(1-tech_proj!AF415))</f>
        <v>46.608809593596959</v>
      </c>
      <c r="AG915" s="109">
        <f>IF(tech_base!$T11&gt;AG$905,"",AG2035+tech_proj!AG1535/(1-tech_proj!AG415))</f>
        <v>47.078294147570595</v>
      </c>
      <c r="AH915" s="109">
        <f>IF(tech_base!$T11&gt;AH$905,"",AH2035+tech_proj!AH1535/(1-tech_proj!AH415))</f>
        <v>47.502994644683746</v>
      </c>
      <c r="AI915" s="109">
        <f>IF(tech_base!$T11&gt;AI$905,"",AI2035+tech_proj!AI1535/(1-tech_proj!AI415))</f>
        <v>47.871327065126643</v>
      </c>
      <c r="AJ915" s="109">
        <f>IF(tech_base!$T11&gt;AJ$905,"",AJ2035+tech_proj!AJ1535/(1-tech_proj!AJ415))</f>
        <v>48.101197852372678</v>
      </c>
      <c r="AK915" s="109">
        <f>IF(tech_base!$T11&gt;AK$905,"",AK2035+tech_proj!AK1535/(1-tech_proj!AK415))</f>
        <v>48.367353281339092</v>
      </c>
      <c r="AL915" s="109">
        <f>IF(tech_base!$T11&gt;AL$905,"",AL2035+tech_proj!AL1535/(1-tech_proj!AL415))</f>
        <v>48.650735332169482</v>
      </c>
      <c r="AM915" s="109">
        <f>IF(tech_base!$T11&gt;AM$905,"",AM2035+tech_proj!AM1535/(1-tech_proj!AM415))</f>
        <v>48.939805884001856</v>
      </c>
      <c r="AN915" s="109">
        <f>IF(tech_base!$T11&gt;AN$905,"",AN2035+tech_proj!AN1535/(1-tech_proj!AN415))</f>
        <v>49.099379969701104</v>
      </c>
      <c r="AO915" s="109">
        <f>IF(tech_base!$T11&gt;AO$905,"",AO2035+tech_proj!AO1535/(1-tech_proj!AO415))</f>
        <v>49.216493882718531</v>
      </c>
      <c r="AP915" s="109">
        <f>IF(tech_base!$T11&gt;AP$905,"",AP2035+tech_proj!AP1535/(1-tech_proj!AP415))</f>
        <v>49.286989392486717</v>
      </c>
      <c r="AQ915" s="109">
        <f>IF(tech_base!$T11&gt;AQ$905,"",AQ2035+tech_proj!AQ1535/(1-tech_proj!AQ415))</f>
        <v>49.312387775179005</v>
      </c>
      <c r="AR915" s="109">
        <f>IF(tech_base!$T11&gt;AR$905,"",AR2035+tech_proj!AR1535/(1-tech_proj!AR415))</f>
        <v>49.32420877862355</v>
      </c>
      <c r="AS915" s="109">
        <f>IF(tech_base!$T11&gt;AS$905,"",AS2035+tech_proj!AS1535/(1-tech_proj!AS415))</f>
        <v>49.301028707346916</v>
      </c>
      <c r="AT915" s="109">
        <f>IF(tech_base!$T11&gt;AT$905,"",AT2035+tech_proj!AT1535/(1-tech_proj!AT415))</f>
        <v>49.119923220863249</v>
      </c>
      <c r="AU915" s="109">
        <f>IF(tech_base!$T11&gt;AU$905,"",AU2035+tech_proj!AU1535/(1-tech_proj!AU415))</f>
        <v>49.016619697173581</v>
      </c>
      <c r="AV915" s="109">
        <f>IF(tech_base!$T11&gt;AV$905,"",AV2035+tech_proj!AV1535/(1-tech_proj!AV415))</f>
        <v>48.847367844040669</v>
      </c>
      <c r="AW915" s="109">
        <f>IF(tech_base!$T11&gt;AW$905,"",AW2035+tech_proj!AW1535/(1-tech_proj!AW415))</f>
        <v>48.656244797871203</v>
      </c>
      <c r="AX915" s="110">
        <f>IF(tech_base!$T11&gt;AX$905,"",AX2035+tech_proj!AX1535/(1-tech_proj!AX415))</f>
        <v>48.563803925345375</v>
      </c>
    </row>
    <row r="916" spans="1:50" x14ac:dyDescent="0.25">
      <c r="A916" s="356"/>
      <c r="B916" s="359"/>
      <c r="C916" s="379"/>
      <c r="D916" s="59" t="s">
        <v>8</v>
      </c>
      <c r="E916" s="166" t="str">
        <f>A913&amp;"/"&amp;B913&amp;"/"&amp;C915&amp;"/"&amp;D916</f>
        <v>Coal fired power plants/Integrated gasification combined cycle/CHP/M</v>
      </c>
      <c r="F916" s="79" t="str">
        <f>A913</f>
        <v>Coal fired power plants</v>
      </c>
      <c r="G916" s="79" t="str">
        <f>B913</f>
        <v>Integrated gasification combined cycle</v>
      </c>
      <c r="H916" s="79" t="str">
        <f>C915</f>
        <v>CHP</v>
      </c>
      <c r="I916" s="167" t="str">
        <f t="shared" si="367"/>
        <v>M</v>
      </c>
      <c r="J916" s="111">
        <f>IF(tech_base!$T12&gt;J$905,"",J2036+tech_proj!J1536/(1-tech_proj!J416))</f>
        <v>35.895116789726764</v>
      </c>
      <c r="K916" s="111">
        <f>IF(tech_base!$T12&gt;K$905,"",K2036+tech_proj!K1536/(1-tech_proj!K416))</f>
        <v>43.186993335018869</v>
      </c>
      <c r="L916" s="111">
        <f>IF(tech_base!$T12&gt;L$905,"",L2036+tech_proj!L1536/(1-tech_proj!L416))</f>
        <v>37.720482460240063</v>
      </c>
      <c r="M916" s="111">
        <f>IF(tech_base!$T12&gt;M$905,"",M2036+tech_proj!M1536/(1-tech_proj!M416))</f>
        <v>34.686255898409975</v>
      </c>
      <c r="N916" s="111">
        <f>IF(tech_base!$T12&gt;N$905,"",N2036+tech_proj!N1536/(1-tech_proj!N416))</f>
        <v>33.560873709691876</v>
      </c>
      <c r="O916" s="111">
        <f>IF(tech_base!$T12&gt;O$905,"",O2036+tech_proj!O1536/(1-tech_proj!O416))</f>
        <v>31.932637568990099</v>
      </c>
      <c r="P916" s="111">
        <f>IF(tech_base!$T12&gt;P$905,"",P2036+tech_proj!P1536/(1-tech_proj!P416))</f>
        <v>33.365300021181071</v>
      </c>
      <c r="Q916" s="111">
        <f>IF(tech_base!$T12&gt;Q$905,"",Q2036+tech_proj!Q1536/(1-tech_proj!Q416))</f>
        <v>40.64209154039478</v>
      </c>
      <c r="R916" s="111">
        <f>IF(tech_base!$T12&gt;R$905,"",R2036+tech_proj!R1536/(1-tech_proj!R416))</f>
        <v>40.83514702378568</v>
      </c>
      <c r="S916" s="111">
        <f>IF(tech_base!$T12&gt;S$905,"",S2036+tech_proj!S1536/(1-tech_proj!S416))</f>
        <v>41.025706632796378</v>
      </c>
      <c r="T916" s="111">
        <f>IF(tech_base!$T12&gt;T$905,"",T2036+tech_proj!T1536/(1-tech_proj!T416))</f>
        <v>41.213676131568143</v>
      </c>
      <c r="U916" s="111">
        <f>IF(tech_base!$T12&gt;U$905,"",U2036+tech_proj!U1536/(1-tech_proj!U416))</f>
        <v>41.995669480221999</v>
      </c>
      <c r="V916" s="111">
        <f>IF(tech_base!$T12&gt;V$905,"",V2036+tech_proj!V1536/(1-tech_proj!V416))</f>
        <v>42.016281028459048</v>
      </c>
      <c r="W916" s="111">
        <f>IF(tech_base!$T12&gt;W$905,"",W2036+tech_proj!W1536/(1-tech_proj!W416))</f>
        <v>41.987484981754413</v>
      </c>
      <c r="X916" s="111">
        <f>IF(tech_base!$T12&gt;X$905,"",X2036+tech_proj!X1536/(1-tech_proj!X416))</f>
        <v>42.187278706864234</v>
      </c>
      <c r="Y916" s="111">
        <f>IF(tech_base!$T12&gt;Y$905,"",Y2036+tech_proj!Y1536/(1-tech_proj!Y416))</f>
        <v>42.421568464040028</v>
      </c>
      <c r="Z916" s="111">
        <f>IF(tech_base!$T12&gt;Z$905,"",Z2036+tech_proj!Z1536/(1-tech_proj!Z416))</f>
        <v>43.546591810101823</v>
      </c>
      <c r="AA916" s="111">
        <f>IF(tech_base!$T12&gt;AA$905,"",AA2036+tech_proj!AA1536/(1-tech_proj!AA416))</f>
        <v>44.666433967547448</v>
      </c>
      <c r="AB916" s="111">
        <f>IF(tech_base!$T12&gt;AB$905,"",AB2036+tech_proj!AB1536/(1-tech_proj!AB416))</f>
        <v>45.821209962039575</v>
      </c>
      <c r="AC916" s="111">
        <f>IF(tech_base!$T12&gt;AC$905,"",AC2036+tech_proj!AC1536/(1-tech_proj!AC416))</f>
        <v>46.981472804472212</v>
      </c>
      <c r="AD916" s="111">
        <f>IF(tech_base!$T12&gt;AD$905,"",AD2036+tech_proj!AD1536/(1-tech_proj!AD416))</f>
        <v>48.248507094838089</v>
      </c>
      <c r="AE916" s="111">
        <f>IF(tech_base!$T12&gt;AE$905,"",AE2036+tech_proj!AE1536/(1-tech_proj!AE416))</f>
        <v>48.582084529522362</v>
      </c>
      <c r="AF916" s="111">
        <f>IF(tech_base!$T12&gt;AF$905,"",AF2036+tech_proj!AF1536/(1-tech_proj!AF416))</f>
        <v>49.039575470366202</v>
      </c>
      <c r="AG916" s="111">
        <f>IF(tech_base!$T12&gt;AG$905,"",AG2036+tech_proj!AG1536/(1-tech_proj!AG416))</f>
        <v>49.508460743388227</v>
      </c>
      <c r="AH916" s="111">
        <f>IF(tech_base!$T12&gt;AH$905,"",AH2036+tech_proj!AH1536/(1-tech_proj!AH416))</f>
        <v>49.927186542689874</v>
      </c>
      <c r="AI916" s="111">
        <f>IF(tech_base!$T12&gt;AI$905,"",AI2036+tech_proj!AI1536/(1-tech_proj!AI416))</f>
        <v>50.283769944978985</v>
      </c>
      <c r="AJ916" s="111">
        <f>IF(tech_base!$T12&gt;AJ$905,"",AJ2036+tech_proj!AJ1536/(1-tech_proj!AJ416))</f>
        <v>50.492500065866075</v>
      </c>
      <c r="AK916" s="111">
        <f>IF(tech_base!$T12&gt;AK$905,"",AK2036+tech_proj!AK1536/(1-tech_proj!AK416))</f>
        <v>50.737558652893085</v>
      </c>
      <c r="AL916" s="111">
        <f>IF(tech_base!$T12&gt;AL$905,"",AL2036+tech_proj!AL1536/(1-tech_proj!AL416))</f>
        <v>50.999953695547255</v>
      </c>
      <c r="AM916" s="111">
        <f>IF(tech_base!$T12&gt;AM$905,"",AM2036+tech_proj!AM1536/(1-tech_proj!AM416))</f>
        <v>51.269035405194387</v>
      </c>
      <c r="AN916" s="111">
        <f>IF(tech_base!$T12&gt;AN$905,"",AN2036+tech_proj!AN1536/(1-tech_proj!AN416))</f>
        <v>51.405107555723461</v>
      </c>
      <c r="AO916" s="111">
        <f>IF(tech_base!$T12&gt;AO$905,"",AO2036+tech_proj!AO1536/(1-tech_proj!AO416))</f>
        <v>51.501673069610547</v>
      </c>
      <c r="AP916" s="111">
        <f>IF(tech_base!$T12&gt;AP$905,"",AP2036+tech_proj!AP1536/(1-tech_proj!AP416))</f>
        <v>51.556704446973853</v>
      </c>
      <c r="AQ916" s="111">
        <f>IF(tech_base!$T12&gt;AQ$905,"",AQ2036+tech_proj!AQ1536/(1-tech_proj!AQ416))</f>
        <v>51.573771173414158</v>
      </c>
      <c r="AR916" s="111">
        <f>IF(tech_base!$T12&gt;AR$905,"",AR2036+tech_proj!AR1536/(1-tech_proj!AR416))</f>
        <v>51.586905284745662</v>
      </c>
      <c r="AS916" s="111">
        <f>IF(tech_base!$T12&gt;AS$905,"",AS2036+tech_proj!AS1536/(1-tech_proj!AS416))</f>
        <v>51.573168796168318</v>
      </c>
      <c r="AT916" s="111">
        <f>IF(tech_base!$T12&gt;AT$905,"",AT2036+tech_proj!AT1536/(1-tech_proj!AT416))</f>
        <v>51.401240473040993</v>
      </c>
      <c r="AU916" s="111">
        <f>IF(tech_base!$T12&gt;AU$905,"",AU2036+tech_proj!AU1536/(1-tech_proj!AU416))</f>
        <v>51.312920846100241</v>
      </c>
      <c r="AV916" s="111">
        <f>IF(tech_base!$T12&gt;AV$905,"",AV2036+tech_proj!AV1536/(1-tech_proj!AV416))</f>
        <v>51.150998516115024</v>
      </c>
      <c r="AW916" s="111">
        <f>IF(tech_base!$T12&gt;AW$905,"",AW2036+tech_proj!AW1536/(1-tech_proj!AW416))</f>
        <v>50.954290137982497</v>
      </c>
      <c r="AX916" s="112">
        <f>IF(tech_base!$T12&gt;AX$905,"",AX2036+tech_proj!AX1536/(1-tech_proj!AX416))</f>
        <v>50.842815377923444</v>
      </c>
    </row>
    <row r="917" spans="1:50" x14ac:dyDescent="0.25">
      <c r="A917" s="356"/>
      <c r="B917" s="359"/>
      <c r="C917" s="361" t="s">
        <v>15</v>
      </c>
      <c r="D917" s="58" t="s">
        <v>7</v>
      </c>
      <c r="E917" s="164" t="str">
        <f>A913&amp;"/"&amp;B913&amp;"/"&amp;C917&amp;"/"&amp;D917</f>
        <v>Coal fired power plants/Integrated gasification combined cycle/Electricity only with CCS/L</v>
      </c>
      <c r="F917" s="78" t="str">
        <f>A913</f>
        <v>Coal fired power plants</v>
      </c>
      <c r="G917" s="78" t="str">
        <f>B913</f>
        <v>Integrated gasification combined cycle</v>
      </c>
      <c r="H917" s="78" t="str">
        <f>C917</f>
        <v>Electricity only with CCS</v>
      </c>
      <c r="I917" s="165" t="str">
        <f t="shared" si="367"/>
        <v>L</v>
      </c>
      <c r="J917" s="109" t="str">
        <f>IF(tech_base!$T13&gt;J$905,"",J2037+tech_proj!J1537/(1-tech_proj!J417))</f>
        <v/>
      </c>
      <c r="K917" s="109" t="str">
        <f>IF(tech_base!$T13&gt;K$905,"",K2037+tech_proj!K1537/(1-tech_proj!K417))</f>
        <v/>
      </c>
      <c r="L917" s="109" t="str">
        <f>IF(tech_base!$T13&gt;L$905,"",L2037+tech_proj!L1537/(1-tech_proj!L417))</f>
        <v/>
      </c>
      <c r="M917" s="109" t="str">
        <f>IF(tech_base!$T13&gt;M$905,"",M2037+tech_proj!M1537/(1-tech_proj!M417))</f>
        <v/>
      </c>
      <c r="N917" s="109" t="str">
        <f>IF(tech_base!$T13&gt;N$905,"",N2037+tech_proj!N1537/(1-tech_proj!N417))</f>
        <v/>
      </c>
      <c r="O917" s="109" t="str">
        <f>IF(tech_base!$T13&gt;O$905,"",O2037+tech_proj!O1537/(1-tech_proj!O417))</f>
        <v/>
      </c>
      <c r="P917" s="109" t="str">
        <f>IF(tech_base!$T13&gt;P$905,"",P2037+tech_proj!P1537/(1-tech_proj!P417))</f>
        <v/>
      </c>
      <c r="Q917" s="109" t="str">
        <f>IF(tech_base!$T13&gt;Q$905,"",Q2037+tech_proj!Q1537/(1-tech_proj!Q417))</f>
        <v/>
      </c>
      <c r="R917" s="109" t="str">
        <f>IF(tech_base!$T13&gt;R$905,"",R2037+tech_proj!R1537/(1-tech_proj!R417))</f>
        <v/>
      </c>
      <c r="S917" s="109" t="str">
        <f>IF(tech_base!$T13&gt;S$905,"",S2037+tech_proj!S1537/(1-tech_proj!S417))</f>
        <v/>
      </c>
      <c r="T917" s="109" t="str">
        <f>IF(tech_base!$T13&gt;T$905,"",T2037+tech_proj!T1537/(1-tech_proj!T417))</f>
        <v/>
      </c>
      <c r="U917" s="109" t="str">
        <f>IF(tech_base!$T13&gt;U$905,"",U2037+tech_proj!U1537/(1-tech_proj!U417))</f>
        <v/>
      </c>
      <c r="V917" s="109" t="str">
        <f>IF(tech_base!$T13&gt;V$905,"",V2037+tech_proj!V1537/(1-tech_proj!V417))</f>
        <v/>
      </c>
      <c r="W917" s="109" t="str">
        <f>IF(tech_base!$T13&gt;W$905,"",W2037+tech_proj!W1537/(1-tech_proj!W417))</f>
        <v/>
      </c>
      <c r="X917" s="109" t="str">
        <f>IF(tech_base!$T13&gt;X$905,"",X2037+tech_proj!X1537/(1-tech_proj!X417))</f>
        <v/>
      </c>
      <c r="Y917" s="109" t="str">
        <f>IF(tech_base!$T13&gt;Y$905,"",Y2037+tech_proj!Y1537/(1-tech_proj!Y417))</f>
        <v/>
      </c>
      <c r="Z917" s="109" t="str">
        <f>IF(tech_base!$T13&gt;Z$905,"",Z2037+tech_proj!Z1537/(1-tech_proj!Z417))</f>
        <v/>
      </c>
      <c r="AA917" s="109" t="str">
        <f>IF(tech_base!$T13&gt;AA$905,"",AA2037+tech_proj!AA1537/(1-tech_proj!AA417))</f>
        <v/>
      </c>
      <c r="AB917" s="109" t="str">
        <f>IF(tech_base!$T13&gt;AB$905,"",AB2037+tech_proj!AB1537/(1-tech_proj!AB417))</f>
        <v/>
      </c>
      <c r="AC917" s="109" t="str">
        <f>IF(tech_base!$T13&gt;AC$905,"",AC2037+tech_proj!AC1537/(1-tech_proj!AC417))</f>
        <v/>
      </c>
      <c r="AD917" s="109" t="str">
        <f>IF(tech_base!$T13&gt;AD$905,"",AD2037+tech_proj!AD1537/(1-tech_proj!AD417))</f>
        <v/>
      </c>
      <c r="AE917" s="109">
        <f>IF(tech_base!$T13&gt;AE$905,"",AE2037+tech_proj!AE1537/(1-tech_proj!AE417))</f>
        <v>52.600571817746477</v>
      </c>
      <c r="AF917" s="109">
        <f>IF(tech_base!$T13&gt;AF$905,"",AF2037+tech_proj!AF1537/(1-tech_proj!AF417))</f>
        <v>53.140944487618754</v>
      </c>
      <c r="AG917" s="109">
        <f>IF(tech_base!$T13&gt;AG$905,"",AG2037+tech_proj!AG1537/(1-tech_proj!AG417))</f>
        <v>53.703995139841552</v>
      </c>
      <c r="AH917" s="109">
        <f>IF(tech_base!$T13&gt;AH$905,"",AH2037+tech_proj!AH1537/(1-tech_proj!AH417))</f>
        <v>54.225331914222075</v>
      </c>
      <c r="AI917" s="109">
        <f>IF(tech_base!$T13&gt;AI$905,"",AI2037+tech_proj!AI1537/(1-tech_proj!AI417))</f>
        <v>54.693942349777465</v>
      </c>
      <c r="AJ917" s="109">
        <f>IF(tech_base!$T13&gt;AJ$905,"",AJ2037+tech_proj!AJ1537/(1-tech_proj!AJ417))</f>
        <v>55.019209367884088</v>
      </c>
      <c r="AK917" s="109">
        <f>IF(tech_base!$T13&gt;AK$905,"",AK2037+tech_proj!AK1537/(1-tech_proj!AK417))</f>
        <v>55.401902052237126</v>
      </c>
      <c r="AL917" s="109">
        <f>IF(tech_base!$T13&gt;AL$905,"",AL2037+tech_proj!AL1537/(1-tech_proj!AL417))</f>
        <v>55.823762125363807</v>
      </c>
      <c r="AM917" s="109">
        <f>IF(tech_base!$T13&gt;AM$905,"",AM2037+tech_proj!AM1537/(1-tech_proj!AM417))</f>
        <v>56.275187053388208</v>
      </c>
      <c r="AN917" s="109">
        <f>IF(tech_base!$T13&gt;AN$905,"",AN2037+tech_proj!AN1537/(1-tech_proj!AN417))</f>
        <v>56.605309389960311</v>
      </c>
      <c r="AO917" s="109">
        <f>IF(tech_base!$T13&gt;AO$905,"",AO2037+tech_proj!AO1537/(1-tech_proj!AO417))</f>
        <v>56.915215935287506</v>
      </c>
      <c r="AP917" s="109">
        <f>IF(tech_base!$T13&gt;AP$905,"",AP2037+tech_proj!AP1537/(1-tech_proj!AP417))</f>
        <v>57.200685262412669</v>
      </c>
      <c r="AQ917" s="109">
        <f>IF(tech_base!$T13&gt;AQ$905,"",AQ2037+tech_proj!AQ1537/(1-tech_proj!AQ417))</f>
        <v>57.461215270886399</v>
      </c>
      <c r="AR917" s="109">
        <f>IF(tech_base!$T13&gt;AR$905,"",AR2037+tech_proj!AR1537/(1-tech_proj!AR417))</f>
        <v>57.726840500293676</v>
      </c>
      <c r="AS917" s="109">
        <f>IF(tech_base!$T13&gt;AS$905,"",AS2037+tech_proj!AS1537/(1-tech_proj!AS417))</f>
        <v>57.961256417949592</v>
      </c>
      <c r="AT917" s="109">
        <f>IF(tech_base!$T13&gt;AT$905,"",AT2037+tech_proj!AT1537/(1-tech_proj!AT417))</f>
        <v>58.003197578129175</v>
      </c>
      <c r="AU917" s="109">
        <f>IF(tech_base!$T13&gt;AU$905,"",AU2037+tech_proj!AU1537/(1-tech_proj!AU417))</f>
        <v>58.101540341466745</v>
      </c>
      <c r="AV917" s="109">
        <f>IF(tech_base!$T13&gt;AV$905,"",AV2037+tech_proj!AV1537/(1-tech_proj!AV417))</f>
        <v>58.059673654398374</v>
      </c>
      <c r="AW917" s="109">
        <f>IF(tech_base!$T13&gt;AW$905,"",AW2037+tech_proj!AW1537/(1-tech_proj!AW417))</f>
        <v>57.898379891456131</v>
      </c>
      <c r="AX917" s="110">
        <f>IF(tech_base!$T13&gt;AX$905,"",AX2037+tech_proj!AX1537/(1-tech_proj!AX417))</f>
        <v>57.732986941865008</v>
      </c>
    </row>
    <row r="918" spans="1:50" x14ac:dyDescent="0.25">
      <c r="A918" s="356"/>
      <c r="B918" s="359"/>
      <c r="C918" s="379"/>
      <c r="D918" s="59" t="s">
        <v>8</v>
      </c>
      <c r="E918" s="166" t="str">
        <f>A913&amp;"/"&amp;B913&amp;"/"&amp;C917&amp;"/"&amp;D918</f>
        <v>Coal fired power plants/Integrated gasification combined cycle/Electricity only with CCS/M</v>
      </c>
      <c r="F918" s="79" t="str">
        <f>A913</f>
        <v>Coal fired power plants</v>
      </c>
      <c r="G918" s="79" t="str">
        <f>B913</f>
        <v>Integrated gasification combined cycle</v>
      </c>
      <c r="H918" s="79" t="str">
        <f>C917</f>
        <v>Electricity only with CCS</v>
      </c>
      <c r="I918" s="167" t="str">
        <f t="shared" si="367"/>
        <v>M</v>
      </c>
      <c r="J918" s="111" t="str">
        <f>IF(tech_base!$T14&gt;J$905,"",J2038+tech_proj!J1538/(1-tech_proj!J418))</f>
        <v/>
      </c>
      <c r="K918" s="111" t="str">
        <f>IF(tech_base!$T14&gt;K$905,"",K2038+tech_proj!K1538/(1-tech_proj!K418))</f>
        <v/>
      </c>
      <c r="L918" s="111" t="str">
        <f>IF(tech_base!$T14&gt;L$905,"",L2038+tech_proj!L1538/(1-tech_proj!L418))</f>
        <v/>
      </c>
      <c r="M918" s="111" t="str">
        <f>IF(tech_base!$T14&gt;M$905,"",M2038+tech_proj!M1538/(1-tech_proj!M418))</f>
        <v/>
      </c>
      <c r="N918" s="111" t="str">
        <f>IF(tech_base!$T14&gt;N$905,"",N2038+tech_proj!N1538/(1-tech_proj!N418))</f>
        <v/>
      </c>
      <c r="O918" s="111" t="str">
        <f>IF(tech_base!$T14&gt;O$905,"",O2038+tech_proj!O1538/(1-tech_proj!O418))</f>
        <v/>
      </c>
      <c r="P918" s="111" t="str">
        <f>IF(tech_base!$T14&gt;P$905,"",P2038+tech_proj!P1538/(1-tech_proj!P418))</f>
        <v/>
      </c>
      <c r="Q918" s="111" t="str">
        <f>IF(tech_base!$T14&gt;Q$905,"",Q2038+tech_proj!Q1538/(1-tech_proj!Q418))</f>
        <v/>
      </c>
      <c r="R918" s="111" t="str">
        <f>IF(tech_base!$T14&gt;R$905,"",R2038+tech_proj!R1538/(1-tech_proj!R418))</f>
        <v/>
      </c>
      <c r="S918" s="111" t="str">
        <f>IF(tech_base!$T14&gt;S$905,"",S2038+tech_proj!S1538/(1-tech_proj!S418))</f>
        <v/>
      </c>
      <c r="T918" s="111" t="str">
        <f>IF(tech_base!$T14&gt;T$905,"",T2038+tech_proj!T1538/(1-tech_proj!T418))</f>
        <v/>
      </c>
      <c r="U918" s="111" t="str">
        <f>IF(tech_base!$T14&gt;U$905,"",U2038+tech_proj!U1538/(1-tech_proj!U418))</f>
        <v/>
      </c>
      <c r="V918" s="111" t="str">
        <f>IF(tech_base!$T14&gt;V$905,"",V2038+tech_proj!V1538/(1-tech_proj!V418))</f>
        <v/>
      </c>
      <c r="W918" s="111" t="str">
        <f>IF(tech_base!$T14&gt;W$905,"",W2038+tech_proj!W1538/(1-tech_proj!W418))</f>
        <v/>
      </c>
      <c r="X918" s="111" t="str">
        <f>IF(tech_base!$T14&gt;X$905,"",X2038+tech_proj!X1538/(1-tech_proj!X418))</f>
        <v/>
      </c>
      <c r="Y918" s="111" t="str">
        <f>IF(tech_base!$T14&gt;Y$905,"",Y2038+tech_proj!Y1538/(1-tech_proj!Y418))</f>
        <v/>
      </c>
      <c r="Z918" s="111" t="str">
        <f>IF(tech_base!$T14&gt;Z$905,"",Z2038+tech_proj!Z1538/(1-tech_proj!Z418))</f>
        <v/>
      </c>
      <c r="AA918" s="111" t="str">
        <f>IF(tech_base!$T14&gt;AA$905,"",AA2038+tech_proj!AA1538/(1-tech_proj!AA418))</f>
        <v/>
      </c>
      <c r="AB918" s="111" t="str">
        <f>IF(tech_base!$T14&gt;AB$905,"",AB2038+tech_proj!AB1538/(1-tech_proj!AB418))</f>
        <v/>
      </c>
      <c r="AC918" s="111" t="str">
        <f>IF(tech_base!$T14&gt;AC$905,"",AC2038+tech_proj!AC1538/(1-tech_proj!AC418))</f>
        <v/>
      </c>
      <c r="AD918" s="111" t="str">
        <f>IF(tech_base!$T14&gt;AD$905,"",AD2038+tech_proj!AD1538/(1-tech_proj!AD418))</f>
        <v/>
      </c>
      <c r="AE918" s="111">
        <f>IF(tech_base!$T14&gt;AE$905,"",AE2038+tech_proj!AE1538/(1-tech_proj!AE418))</f>
        <v>56.109707787559252</v>
      </c>
      <c r="AF918" s="111">
        <f>IF(tech_base!$T14&gt;AF$905,"",AF2038+tech_proj!AF1538/(1-tech_proj!AF418))</f>
        <v>56.686650619240865</v>
      </c>
      <c r="AG918" s="111">
        <f>IF(tech_base!$T14&gt;AG$905,"",AG2038+tech_proj!AG1538/(1-tech_proj!AG418))</f>
        <v>57.288281588158895</v>
      </c>
      <c r="AH918" s="111">
        <f>IF(tech_base!$T14&gt;AH$905,"",AH2038+tech_proj!AH1538/(1-tech_proj!AH418))</f>
        <v>57.846208665861056</v>
      </c>
      <c r="AI918" s="111">
        <f>IF(tech_base!$T14&gt;AI$905,"",AI2038+tech_proj!AI1538/(1-tech_proj!AI418))</f>
        <v>58.348868007299316</v>
      </c>
      <c r="AJ918" s="111">
        <f>IF(tech_base!$T14&gt;AJ$905,"",AJ2038+tech_proj!AJ1538/(1-tech_proj!AJ418))</f>
        <v>58.699974922295468</v>
      </c>
      <c r="AK918" s="111">
        <f>IF(tech_base!$T14&gt;AK$905,"",AK2038+tech_proj!AK1538/(1-tech_proj!AK418))</f>
        <v>59.113414261366522</v>
      </c>
      <c r="AL918" s="111">
        <f>IF(tech_base!$T14&gt;AL$905,"",AL2038+tech_proj!AL1538/(1-tech_proj!AL418))</f>
        <v>59.569942603715695</v>
      </c>
      <c r="AM918" s="111">
        <f>IF(tech_base!$T14&gt;AM$905,"",AM2038+tech_proj!AM1538/(1-tech_proj!AM418))</f>
        <v>60.059484453477182</v>
      </c>
      <c r="AN918" s="111">
        <f>IF(tech_base!$T14&gt;AN$905,"",AN2038+tech_proj!AN1538/(1-tech_proj!AN418))</f>
        <v>60.421418723900857</v>
      </c>
      <c r="AO918" s="111">
        <f>IF(tech_base!$T14&gt;AO$905,"",AO2038+tech_proj!AO1538/(1-tech_proj!AO418))</f>
        <v>60.763165493364419</v>
      </c>
      <c r="AP918" s="111">
        <f>IF(tech_base!$T14&gt;AP$905,"",AP2038+tech_proj!AP1538/(1-tech_proj!AP418))</f>
        <v>61.079647340258973</v>
      </c>
      <c r="AQ918" s="111">
        <f>IF(tech_base!$T14&gt;AQ$905,"",AQ2038+tech_proj!AQ1538/(1-tech_proj!AQ418))</f>
        <v>61.369129231585056</v>
      </c>
      <c r="AR918" s="111">
        <f>IF(tech_base!$T14&gt;AR$905,"",AR2038+tech_proj!AR1538/(1-tech_proj!AR418))</f>
        <v>61.661468456335591</v>
      </c>
      <c r="AS918" s="111">
        <f>IF(tech_base!$T14&gt;AS$905,"",AS2038+tech_proj!AS1538/(1-tech_proj!AS418))</f>
        <v>61.914481710478618</v>
      </c>
      <c r="AT918" s="111">
        <f>IF(tech_base!$T14&gt;AT$905,"",AT2038+tech_proj!AT1538/(1-tech_proj!AT418))</f>
        <v>61.951038463203609</v>
      </c>
      <c r="AU918" s="111">
        <f>IF(tech_base!$T14&gt;AU$905,"",AU2038+tech_proj!AU1538/(1-tech_proj!AU418))</f>
        <v>62.029035916202325</v>
      </c>
      <c r="AV918" s="111">
        <f>IF(tech_base!$T14&gt;AV$905,"",AV2038+tech_proj!AV1538/(1-tech_proj!AV418))</f>
        <v>61.929964736661312</v>
      </c>
      <c r="AW918" s="111">
        <f>IF(tech_base!$T14&gt;AW$905,"",AW2038+tech_proj!AW1538/(1-tech_proj!AW418))</f>
        <v>61.666617150276018</v>
      </c>
      <c r="AX918" s="112">
        <f>IF(tech_base!$T14&gt;AX$905,"",AX2038+tech_proj!AX1538/(1-tech_proj!AX418))</f>
        <v>61.354574188434313</v>
      </c>
    </row>
    <row r="919" spans="1:50" x14ac:dyDescent="0.25">
      <c r="A919" s="356"/>
      <c r="B919" s="359"/>
      <c r="C919" s="361" t="s">
        <v>16</v>
      </c>
      <c r="D919" s="2" t="s">
        <v>7</v>
      </c>
      <c r="E919" s="160" t="str">
        <f>A913&amp;"/"&amp;B913&amp;"/"&amp;C919&amp;"/"&amp;D919</f>
        <v>Coal fired power plants/Integrated gasification combined cycle/CHP with CCS/L</v>
      </c>
      <c r="F919" s="76" t="str">
        <f>A913</f>
        <v>Coal fired power plants</v>
      </c>
      <c r="G919" s="76" t="str">
        <f>B913</f>
        <v>Integrated gasification combined cycle</v>
      </c>
      <c r="H919" s="76" t="str">
        <f>C919</f>
        <v>CHP with CCS</v>
      </c>
      <c r="I919" s="161" t="str">
        <f t="shared" si="367"/>
        <v>L</v>
      </c>
      <c r="J919" s="105" t="str">
        <f>IF(tech_base!$T15&gt;J$905,"",J2039+tech_proj!J1539/(1-tech_proj!J419))</f>
        <v/>
      </c>
      <c r="K919" s="105" t="str">
        <f>IF(tech_base!$T15&gt;K$905,"",K2039+tech_proj!K1539/(1-tech_proj!K419))</f>
        <v/>
      </c>
      <c r="L919" s="105" t="str">
        <f>IF(tech_base!$T15&gt;L$905,"",L2039+tech_proj!L1539/(1-tech_proj!L419))</f>
        <v/>
      </c>
      <c r="M919" s="105" t="str">
        <f>IF(tech_base!$T15&gt;M$905,"",M2039+tech_proj!M1539/(1-tech_proj!M419))</f>
        <v/>
      </c>
      <c r="N919" s="105" t="str">
        <f>IF(tech_base!$T15&gt;N$905,"",N2039+tech_proj!N1539/(1-tech_proj!N419))</f>
        <v/>
      </c>
      <c r="O919" s="105" t="str">
        <f>IF(tech_base!$T15&gt;O$905,"",O2039+tech_proj!O1539/(1-tech_proj!O419))</f>
        <v/>
      </c>
      <c r="P919" s="105" t="str">
        <f>IF(tech_base!$T15&gt;P$905,"",P2039+tech_proj!P1539/(1-tech_proj!P419))</f>
        <v/>
      </c>
      <c r="Q919" s="105" t="str">
        <f>IF(tech_base!$T15&gt;Q$905,"",Q2039+tech_proj!Q1539/(1-tech_proj!Q419))</f>
        <v/>
      </c>
      <c r="R919" s="105" t="str">
        <f>IF(tech_base!$T15&gt;R$905,"",R2039+tech_proj!R1539/(1-tech_proj!R419))</f>
        <v/>
      </c>
      <c r="S919" s="105" t="str">
        <f>IF(tech_base!$T15&gt;S$905,"",S2039+tech_proj!S1539/(1-tech_proj!S419))</f>
        <v/>
      </c>
      <c r="T919" s="105" t="str">
        <f>IF(tech_base!$T15&gt;T$905,"",T2039+tech_proj!T1539/(1-tech_proj!T419))</f>
        <v/>
      </c>
      <c r="U919" s="105" t="str">
        <f>IF(tech_base!$T15&gt;U$905,"",U2039+tech_proj!U1539/(1-tech_proj!U419))</f>
        <v/>
      </c>
      <c r="V919" s="105" t="str">
        <f>IF(tech_base!$T15&gt;V$905,"",V2039+tech_proj!V1539/(1-tech_proj!V419))</f>
        <v/>
      </c>
      <c r="W919" s="105" t="str">
        <f>IF(tech_base!$T15&gt;W$905,"",W2039+tech_proj!W1539/(1-tech_proj!W419))</f>
        <v/>
      </c>
      <c r="X919" s="105" t="str">
        <f>IF(tech_base!$T15&gt;X$905,"",X2039+tech_proj!X1539/(1-tech_proj!X419))</f>
        <v/>
      </c>
      <c r="Y919" s="105" t="str">
        <f>IF(tech_base!$T15&gt;Y$905,"",Y2039+tech_proj!Y1539/(1-tech_proj!Y419))</f>
        <v/>
      </c>
      <c r="Z919" s="105" t="str">
        <f>IF(tech_base!$T15&gt;Z$905,"",Z2039+tech_proj!Z1539/(1-tech_proj!Z419))</f>
        <v/>
      </c>
      <c r="AA919" s="105" t="str">
        <f>IF(tech_base!$T15&gt;AA$905,"",AA2039+tech_proj!AA1539/(1-tech_proj!AA419))</f>
        <v/>
      </c>
      <c r="AB919" s="105" t="str">
        <f>IF(tech_base!$T15&gt;AB$905,"",AB2039+tech_proj!AB1539/(1-tech_proj!AB419))</f>
        <v/>
      </c>
      <c r="AC919" s="105" t="str">
        <f>IF(tech_base!$T15&gt;AC$905,"",AC2039+tech_proj!AC1539/(1-tech_proj!AC419))</f>
        <v/>
      </c>
      <c r="AD919" s="105" t="str">
        <f>IF(tech_base!$T15&gt;AD$905,"",AD2039+tech_proj!AD1539/(1-tech_proj!AD419))</f>
        <v/>
      </c>
      <c r="AE919" s="105">
        <f>IF(tech_base!$T15&gt;AE$905,"",AE2039+tech_proj!AE1539/(1-tech_proj!AE419))</f>
        <v>59.402438962589166</v>
      </c>
      <c r="AF919" s="105">
        <f>IF(tech_base!$T15&gt;AF$905,"",AF2039+tech_proj!AF1539/(1-tech_proj!AF419))</f>
        <v>60.013318044017581</v>
      </c>
      <c r="AG919" s="105">
        <f>IF(tech_base!$T15&gt;AG$905,"",AG2039+tech_proj!AG1539/(1-tech_proj!AG419))</f>
        <v>60.649909516220092</v>
      </c>
      <c r="AH919" s="105">
        <f>IF(tech_base!$T15&gt;AH$905,"",AH2039+tech_proj!AH1539/(1-tech_proj!AH419))</f>
        <v>61.239477391783218</v>
      </c>
      <c r="AI919" s="105">
        <f>IF(tech_base!$T15&gt;AI$905,"",AI2039+tech_proj!AI1539/(1-tech_proj!AI419))</f>
        <v>61.769617128512408</v>
      </c>
      <c r="AJ919" s="105">
        <f>IF(tech_base!$T15&gt;AJ$905,"",AJ2039+tech_proj!AJ1539/(1-tech_proj!AJ419))</f>
        <v>62.137978015775033</v>
      </c>
      <c r="AK919" s="105">
        <f>IF(tech_base!$T15&gt;AK$905,"",AK2039+tech_proj!AK1539/(1-tech_proj!AK419))</f>
        <v>62.571516293785479</v>
      </c>
      <c r="AL919" s="105">
        <f>IF(tech_base!$T15&gt;AL$905,"",AL2039+tech_proj!AL1539/(1-tech_proj!AL419))</f>
        <v>63.049699342306511</v>
      </c>
      <c r="AM919" s="105">
        <f>IF(tech_base!$T15&gt;AM$905,"",AM2039+tech_proj!AM1539/(1-tech_proj!AM419))</f>
        <v>63.561810401764014</v>
      </c>
      <c r="AN919" s="105">
        <f>IF(tech_base!$T15&gt;AN$905,"",AN2039+tech_proj!AN1539/(1-tech_proj!AN419))</f>
        <v>63.937523814022931</v>
      </c>
      <c r="AO919" s="105">
        <f>IF(tech_base!$T15&gt;AO$905,"",AO2039+tech_proj!AO1539/(1-tech_proj!AO419))</f>
        <v>64.291310149055946</v>
      </c>
      <c r="AP919" s="105">
        <f>IF(tech_base!$T15&gt;AP$905,"",AP2039+tech_proj!AP1539/(1-tech_proj!AP419))</f>
        <v>64.618701056004326</v>
      </c>
      <c r="AQ919" s="105">
        <f>IF(tech_base!$T15&gt;AQ$905,"",AQ2039+tech_proj!AQ1539/(1-tech_proj!AQ419))</f>
        <v>64.919521137383015</v>
      </c>
      <c r="AR919" s="105">
        <f>IF(tech_base!$T15&gt;AR$905,"",AR2039+tech_proj!AR1539/(1-tech_proj!AR419))</f>
        <v>65.228224374514411</v>
      </c>
      <c r="AS919" s="105">
        <f>IF(tech_base!$T15&gt;AS$905,"",AS2039+tech_proj!AS1539/(1-tech_proj!AS419))</f>
        <v>65.504402953854395</v>
      </c>
      <c r="AT919" s="105">
        <f>IF(tech_base!$T15&gt;AT$905,"",AT2039+tech_proj!AT1539/(1-tech_proj!AT419))</f>
        <v>65.566454867842552</v>
      </c>
      <c r="AU919" s="105">
        <f>IF(tech_base!$T15&gt;AU$905,"",AU2039+tech_proj!AU1539/(1-tech_proj!AU419))</f>
        <v>65.696637377806709</v>
      </c>
      <c r="AV919" s="105">
        <f>IF(tech_base!$T15&gt;AV$905,"",AV2039+tech_proj!AV1539/(1-tech_proj!AV419))</f>
        <v>65.673516873248545</v>
      </c>
      <c r="AW919" s="105">
        <f>IF(tech_base!$T15&gt;AW$905,"",AW2039+tech_proj!AW1539/(1-tech_proj!AW419))</f>
        <v>65.521400323863134</v>
      </c>
      <c r="AX919" s="106">
        <f>IF(tech_base!$T15&gt;AX$905,"",AX2039+tech_proj!AX1539/(1-tech_proj!AX419))</f>
        <v>65.37143469192398</v>
      </c>
    </row>
    <row r="920" spans="1:50" x14ac:dyDescent="0.25">
      <c r="A920" s="356"/>
      <c r="B920" s="362"/>
      <c r="C920" s="381"/>
      <c r="D920" s="4" t="s">
        <v>8</v>
      </c>
      <c r="E920" s="168" t="str">
        <f>A913&amp;"/"&amp;B913&amp;"/"&amp;C919&amp;"/"&amp;D920</f>
        <v>Coal fired power plants/Integrated gasification combined cycle/CHP with CCS/M</v>
      </c>
      <c r="F920" s="80" t="str">
        <f>A913</f>
        <v>Coal fired power plants</v>
      </c>
      <c r="G920" s="80" t="str">
        <f>B913</f>
        <v>Integrated gasification combined cycle</v>
      </c>
      <c r="H920" s="80" t="str">
        <f>C919</f>
        <v>CHP with CCS</v>
      </c>
      <c r="I920" s="169" t="str">
        <f t="shared" si="367"/>
        <v>M</v>
      </c>
      <c r="J920" s="113" t="str">
        <f>IF(tech_base!$T16&gt;J$905,"",J2040+tech_proj!J1540/(1-tech_proj!J420))</f>
        <v/>
      </c>
      <c r="K920" s="113" t="str">
        <f>IF(tech_base!$T16&gt;K$905,"",K2040+tech_proj!K1540/(1-tech_proj!K420))</f>
        <v/>
      </c>
      <c r="L920" s="113" t="str">
        <f>IF(tech_base!$T16&gt;L$905,"",L2040+tech_proj!L1540/(1-tech_proj!L420))</f>
        <v/>
      </c>
      <c r="M920" s="113" t="str">
        <f>IF(tech_base!$T16&gt;M$905,"",M2040+tech_proj!M1540/(1-tech_proj!M420))</f>
        <v/>
      </c>
      <c r="N920" s="113" t="str">
        <f>IF(tech_base!$T16&gt;N$905,"",N2040+tech_proj!N1540/(1-tech_proj!N420))</f>
        <v/>
      </c>
      <c r="O920" s="113" t="str">
        <f>IF(tech_base!$T16&gt;O$905,"",O2040+tech_proj!O1540/(1-tech_proj!O420))</f>
        <v/>
      </c>
      <c r="P920" s="113" t="str">
        <f>IF(tech_base!$T16&gt;P$905,"",P2040+tech_proj!P1540/(1-tech_proj!P420))</f>
        <v/>
      </c>
      <c r="Q920" s="113" t="str">
        <f>IF(tech_base!$T16&gt;Q$905,"",Q2040+tech_proj!Q1540/(1-tech_proj!Q420))</f>
        <v/>
      </c>
      <c r="R920" s="113" t="str">
        <f>IF(tech_base!$T16&gt;R$905,"",R2040+tech_proj!R1540/(1-tech_proj!R420))</f>
        <v/>
      </c>
      <c r="S920" s="113" t="str">
        <f>IF(tech_base!$T16&gt;S$905,"",S2040+tech_proj!S1540/(1-tech_proj!S420))</f>
        <v/>
      </c>
      <c r="T920" s="113" t="str">
        <f>IF(tech_base!$T16&gt;T$905,"",T2040+tech_proj!T1540/(1-tech_proj!T420))</f>
        <v/>
      </c>
      <c r="U920" s="113" t="str">
        <f>IF(tech_base!$T16&gt;U$905,"",U2040+tech_proj!U1540/(1-tech_proj!U420))</f>
        <v/>
      </c>
      <c r="V920" s="113" t="str">
        <f>IF(tech_base!$T16&gt;V$905,"",V2040+tech_proj!V1540/(1-tech_proj!V420))</f>
        <v/>
      </c>
      <c r="W920" s="113" t="str">
        <f>IF(tech_base!$T16&gt;W$905,"",W2040+tech_proj!W1540/(1-tech_proj!W420))</f>
        <v/>
      </c>
      <c r="X920" s="113" t="str">
        <f>IF(tech_base!$T16&gt;X$905,"",X2040+tech_proj!X1540/(1-tech_proj!X420))</f>
        <v/>
      </c>
      <c r="Y920" s="113" t="str">
        <f>IF(tech_base!$T16&gt;Y$905,"",Y2040+tech_proj!Y1540/(1-tech_proj!Y420))</f>
        <v/>
      </c>
      <c r="Z920" s="113" t="str">
        <f>IF(tech_base!$T16&gt;Z$905,"",Z2040+tech_proj!Z1540/(1-tech_proj!Z420))</f>
        <v/>
      </c>
      <c r="AA920" s="113" t="str">
        <f>IF(tech_base!$T16&gt;AA$905,"",AA2040+tech_proj!AA1540/(1-tech_proj!AA420))</f>
        <v/>
      </c>
      <c r="AB920" s="113" t="str">
        <f>IF(tech_base!$T16&gt;AB$905,"",AB2040+tech_proj!AB1540/(1-tech_proj!AB420))</f>
        <v/>
      </c>
      <c r="AC920" s="113" t="str">
        <f>IF(tech_base!$T16&gt;AC$905,"",AC2040+tech_proj!AC1540/(1-tech_proj!AC420))</f>
        <v/>
      </c>
      <c r="AD920" s="113" t="str">
        <f>IF(tech_base!$T16&gt;AD$905,"",AD2040+tech_proj!AD1540/(1-tech_proj!AD420))</f>
        <v/>
      </c>
      <c r="AE920" s="113">
        <f>IF(tech_base!$T16&gt;AE$905,"",AE2040+tech_proj!AE1540/(1-tech_proj!AE420))</f>
        <v>63.406338110803759</v>
      </c>
      <c r="AF920" s="113">
        <f>IF(tech_base!$T16&gt;AF$905,"",AF2040+tech_proj!AF1540/(1-tech_proj!AF420))</f>
        <v>64.059601554919865</v>
      </c>
      <c r="AG920" s="113">
        <f>IF(tech_base!$T16&gt;AG$905,"",AG2040+tech_proj!AG1540/(1-tech_proj!AG420))</f>
        <v>64.740877686778944</v>
      </c>
      <c r="AH920" s="113">
        <f>IF(tech_base!$T16&gt;AH$905,"",AH2040+tech_proj!AH1540/(1-tech_proj!AH420))</f>
        <v>65.372772430521877</v>
      </c>
      <c r="AI920" s="113">
        <f>IF(tech_base!$T16&gt;AI$905,"",AI2040+tech_proj!AI1540/(1-tech_proj!AI420))</f>
        <v>65.942234104039755</v>
      </c>
      <c r="AJ920" s="113">
        <f>IF(tech_base!$T16&gt;AJ$905,"",AJ2040+tech_proj!AJ1540/(1-tech_proj!AJ420))</f>
        <v>66.340318983293841</v>
      </c>
      <c r="AK920" s="113">
        <f>IF(tech_base!$T16&gt;AK$905,"",AK2040+tech_proj!AK1540/(1-tech_proj!AK420))</f>
        <v>66.809232003098685</v>
      </c>
      <c r="AL920" s="113">
        <f>IF(tech_base!$T16&gt;AL$905,"",AL2040+tech_proj!AL1540/(1-tech_proj!AL420))</f>
        <v>67.32730219324587</v>
      </c>
      <c r="AM920" s="113">
        <f>IF(tech_base!$T16&gt;AM$905,"",AM2040+tech_proj!AM1540/(1-tech_proj!AM420))</f>
        <v>67.883284339267959</v>
      </c>
      <c r="AN920" s="113">
        <f>IF(tech_base!$T16&gt;AN$905,"",AN2040+tech_proj!AN1540/(1-tech_proj!AN420))</f>
        <v>68.295563016481537</v>
      </c>
      <c r="AO920" s="113">
        <f>IF(tech_base!$T16&gt;AO$905,"",AO2040+tech_proj!AO1540/(1-tech_proj!AO420))</f>
        <v>68.686056597956167</v>
      </c>
      <c r="AP920" s="113">
        <f>IF(tech_base!$T16&gt;AP$905,"",AP2040+tech_proj!AP1540/(1-tech_proj!AP420))</f>
        <v>69.049449287928354</v>
      </c>
      <c r="AQ920" s="113">
        <f>IF(tech_base!$T16&gt;AQ$905,"",AQ2040+tech_proj!AQ1540/(1-tech_proj!AQ420))</f>
        <v>69.384372614833055</v>
      </c>
      <c r="AR920" s="113">
        <f>IF(tech_base!$T16&gt;AR$905,"",AR2040+tech_proj!AR1540/(1-tech_proj!AR420))</f>
        <v>69.725448553037751</v>
      </c>
      <c r="AS920" s="113">
        <f>IF(tech_base!$T16&gt;AS$905,"",AS2040+tech_proj!AS1540/(1-tech_proj!AS420))</f>
        <v>70.025997231573285</v>
      </c>
      <c r="AT920" s="113">
        <f>IF(tech_base!$T16&gt;AT$905,"",AT2040+tech_proj!AT1540/(1-tech_proj!AT420))</f>
        <v>70.086761776922856</v>
      </c>
      <c r="AU920" s="113">
        <f>IF(tech_base!$T16&gt;AU$905,"",AU2040+tech_proj!AU1540/(1-tech_proj!AU420))</f>
        <v>70.20155321705829</v>
      </c>
      <c r="AV920" s="113">
        <f>IF(tech_base!$T16&gt;AV$905,"",AV2040+tech_proj!AV1540/(1-tech_proj!AV420))</f>
        <v>70.124753037590807</v>
      </c>
      <c r="AW920" s="113">
        <f>IF(tech_base!$T16&gt;AW$905,"",AW2040+tech_proj!AW1540/(1-tech_proj!AW420))</f>
        <v>69.872723063228619</v>
      </c>
      <c r="AX920" s="114">
        <f>IF(tech_base!$T16&gt;AX$905,"",AX2040+tech_proj!AX1540/(1-tech_proj!AX420))</f>
        <v>69.578062867546336</v>
      </c>
    </row>
    <row r="921" spans="1:50" x14ac:dyDescent="0.25">
      <c r="A921" s="356"/>
      <c r="B921" s="358" t="s">
        <v>17</v>
      </c>
      <c r="C921" s="353" t="s">
        <v>6</v>
      </c>
      <c r="D921" s="3" t="s">
        <v>7</v>
      </c>
      <c r="E921" s="162" t="str">
        <f>A913&amp;"/"&amp;B921&amp;"/"&amp;C921&amp;"/"&amp;D921</f>
        <v>Coal fired power plants/Supercritical steam turbine/Electricity only/L</v>
      </c>
      <c r="F921" s="77" t="str">
        <f>A913</f>
        <v>Coal fired power plants</v>
      </c>
      <c r="G921" s="77" t="str">
        <f>B921</f>
        <v>Supercritical steam turbine</v>
      </c>
      <c r="H921" s="77" t="str">
        <f>C921</f>
        <v>Electricity only</v>
      </c>
      <c r="I921" s="163" t="str">
        <f t="shared" si="367"/>
        <v>L</v>
      </c>
      <c r="J921" s="107">
        <f>IF(tech_base!$T17&gt;J$905,"",J2041+tech_proj!J1541/(1-tech_proj!J421))</f>
        <v>29.246378399133039</v>
      </c>
      <c r="K921" s="107">
        <f>IF(tech_base!$T17&gt;K$905,"",K2041+tech_proj!K1541/(1-tech_proj!K421))</f>
        <v>35.582095428410554</v>
      </c>
      <c r="L921" s="107">
        <f>IF(tech_base!$T17&gt;L$905,"",L2041+tech_proj!L1541/(1-tech_proj!L421))</f>
        <v>30.832067571791836</v>
      </c>
      <c r="M921" s="107">
        <f>IF(tech_base!$T17&gt;M$905,"",M2041+tech_proj!M1541/(1-tech_proj!M421))</f>
        <v>28.195431613206633</v>
      </c>
      <c r="N921" s="107">
        <f>IF(tech_base!$T17&gt;N$905,"",N2041+tech_proj!N1541/(1-tech_proj!N421))</f>
        <v>27.217337895719776</v>
      </c>
      <c r="O921" s="107">
        <f>IF(tech_base!$T17&gt;O$905,"",O2041+tech_proj!O1541/(1-tech_proj!O421))</f>
        <v>25.802293829707651</v>
      </c>
      <c r="P921" s="107">
        <f>IF(tech_base!$T17&gt;P$905,"",P2041+tech_proj!P1541/(1-tech_proj!P421))</f>
        <v>27.046691112235891</v>
      </c>
      <c r="Q921" s="107">
        <f>IF(tech_base!$T17&gt;Q$905,"",Q2041+tech_proj!Q1541/(1-tech_proj!Q421))</f>
        <v>33.368575562141075</v>
      </c>
      <c r="R921" s="107">
        <f>IF(tech_base!$T17&gt;R$905,"",R2041+tech_proj!R1541/(1-tech_proj!R421))</f>
        <v>33.535601064293289</v>
      </c>
      <c r="S921" s="107">
        <f>IF(tech_base!$T17&gt;S$905,"",S2041+tech_proj!S1541/(1-tech_proj!S421))</f>
        <v>33.700302250705072</v>
      </c>
      <c r="T921" s="107">
        <f>IF(tech_base!$T17&gt;T$905,"",T2041+tech_proj!T1541/(1-tech_proj!T421))</f>
        <v>33.862566245441222</v>
      </c>
      <c r="U921" s="107">
        <f>IF(tech_base!$T17&gt;U$905,"",U2041+tech_proj!U1541/(1-tech_proj!U421))</f>
        <v>34.540661973910794</v>
      </c>
      <c r="V921" s="107">
        <f>IF(tech_base!$T17&gt;V$905,"",V2041+tech_proj!V1541/(1-tech_proj!V421))</f>
        <v>34.557031453048047</v>
      </c>
      <c r="W921" s="107">
        <f>IF(tech_base!$T17&gt;W$905,"",W2041+tech_proj!W1541/(1-tech_proj!W421))</f>
        <v>34.530182191605199</v>
      </c>
      <c r="X921" s="107">
        <f>IF(tech_base!$T17&gt;X$905,"",X2041+tech_proj!X1541/(1-tech_proj!X421))</f>
        <v>34.701546327208348</v>
      </c>
      <c r="Y921" s="107">
        <f>IF(tech_base!$T17&gt;Y$905,"",Y2041+tech_proj!Y1541/(1-tech_proj!Y421))</f>
        <v>34.902454673611182</v>
      </c>
      <c r="Z921" s="107">
        <f>IF(tech_base!$T17&gt;Z$905,"",Z2041+tech_proj!Z1541/(1-tech_proj!Z421))</f>
        <v>35.876465360637233</v>
      </c>
      <c r="AA921" s="107">
        <f>IF(tech_base!$T17&gt;AA$905,"",AA2041+tech_proj!AA1541/(1-tech_proj!AA421))</f>
        <v>36.845302260518572</v>
      </c>
      <c r="AB921" s="107">
        <f>IF(tech_base!$T17&gt;AB$905,"",AB2041+tech_proj!AB1541/(1-tech_proj!AB421))</f>
        <v>37.843734486881047</v>
      </c>
      <c r="AC921" s="107">
        <f>IF(tech_base!$T17&gt;AC$905,"",AC2041+tech_proj!AC1541/(1-tech_proj!AC421))</f>
        <v>38.846153618834883</v>
      </c>
      <c r="AD921" s="107">
        <f>IF(tech_base!$T17&gt;AD$905,"",AD2041+tech_proj!AD1541/(1-tech_proj!AD421))</f>
        <v>39.940502701034497</v>
      </c>
      <c r="AE921" s="107">
        <f>IF(tech_base!$T17&gt;AE$905,"",AE2041+tech_proj!AE1541/(1-tech_proj!AE421))</f>
        <v>40.224059622578551</v>
      </c>
      <c r="AF921" s="107">
        <f>IF(tech_base!$T17&gt;AF$905,"",AF2041+tech_proj!AF1541/(1-tech_proj!AF421))</f>
        <v>40.615056499795244</v>
      </c>
      <c r="AG921" s="107">
        <f>IF(tech_base!$T17&gt;AG$905,"",AG2041+tech_proj!AG1541/(1-tech_proj!AG421))</f>
        <v>41.016351272492884</v>
      </c>
      <c r="AH921" s="107">
        <f>IF(tech_base!$T17&gt;AH$905,"",AH2041+tech_proj!AH1541/(1-tech_proj!AH421))</f>
        <v>41.37539529624128</v>
      </c>
      <c r="AI921" s="107">
        <f>IF(tech_base!$T17&gt;AI$905,"",AI2041+tech_proj!AI1541/(1-tech_proj!AI421))</f>
        <v>41.68309490523955</v>
      </c>
      <c r="AJ921" s="107">
        <f>IF(tech_base!$T17&gt;AJ$905,"",AJ2041+tech_proj!AJ1541/(1-tech_proj!AJ421))</f>
        <v>41.866962247866475</v>
      </c>
      <c r="AK921" s="107">
        <f>IF(tech_base!$T17&gt;AK$905,"",AK2041+tech_proj!AK1541/(1-tech_proj!AK421))</f>
        <v>42.089229291802148</v>
      </c>
      <c r="AL921" s="107">
        <f>IF(tech_base!$T17&gt;AL$905,"",AL2041+tech_proj!AL1541/(1-tech_proj!AL421))</f>
        <v>42.336670216243185</v>
      </c>
      <c r="AM921" s="107">
        <f>IF(tech_base!$T17&gt;AM$905,"",AM2041+tech_proj!AM1541/(1-tech_proj!AM421))</f>
        <v>42.604116873719221</v>
      </c>
      <c r="AN921" s="107">
        <f>IF(tech_base!$T17&gt;AN$905,"",AN2041+tech_proj!AN1541/(1-tech_proj!AN421))</f>
        <v>42.775077037146445</v>
      </c>
      <c r="AO921" s="107">
        <f>IF(tech_base!$T17&gt;AO$905,"",AO2041+tech_proj!AO1541/(1-tech_proj!AO421))</f>
        <v>42.935839867329939</v>
      </c>
      <c r="AP921" s="107">
        <f>IF(tech_base!$T17&gt;AP$905,"",AP2041+tech_proj!AP1541/(1-tech_proj!AP421))</f>
        <v>43.089860364737099</v>
      </c>
      <c r="AQ921" s="107">
        <f>IF(tech_base!$T17&gt;AQ$905,"",AQ2041+tech_proj!AQ1541/(1-tech_proj!AQ421))</f>
        <v>43.24490937136612</v>
      </c>
      <c r="AR921" s="107">
        <f>IF(tech_base!$T17&gt;AR$905,"",AR2041+tech_proj!AR1541/(1-tech_proj!AR421))</f>
        <v>43.434175540283064</v>
      </c>
      <c r="AS921" s="107">
        <f>IF(tech_base!$T17&gt;AS$905,"",AS2041+tech_proj!AS1541/(1-tech_proj!AS421))</f>
        <v>43.639173332762923</v>
      </c>
      <c r="AT921" s="107">
        <f>IF(tech_base!$T17&gt;AT$905,"",AT2041+tech_proj!AT1541/(1-tech_proj!AT421))</f>
        <v>43.74282332574851</v>
      </c>
      <c r="AU921" s="107">
        <f>IF(tech_base!$T17&gt;AU$905,"",AU2041+tech_proj!AU1541/(1-tech_proj!AU421))</f>
        <v>43.95368076600748</v>
      </c>
      <c r="AV921" s="107">
        <f>IF(tech_base!$T17&gt;AV$905,"",AV2041+tech_proj!AV1541/(1-tech_proj!AV421))</f>
        <v>44.125682749127989</v>
      </c>
      <c r="AW921" s="107">
        <f>IF(tech_base!$T17&gt;AW$905,"",AW2041+tech_proj!AW1541/(1-tech_proj!AW421))</f>
        <v>44.283071031141972</v>
      </c>
      <c r="AX921" s="108">
        <f>IF(tech_base!$T17&gt;AX$905,"",AX2041+tech_proj!AX1541/(1-tech_proj!AX421))</f>
        <v>44.52249960536961</v>
      </c>
    </row>
    <row r="922" spans="1:50" x14ac:dyDescent="0.25">
      <c r="A922" s="356"/>
      <c r="B922" s="376"/>
      <c r="C922" s="379"/>
      <c r="D922" s="2" t="s">
        <v>8</v>
      </c>
      <c r="E922" s="160" t="str">
        <f>A913&amp;"/"&amp;B921&amp;"/"&amp;C921&amp;"/"&amp;D922</f>
        <v>Coal fired power plants/Supercritical steam turbine/Electricity only/M</v>
      </c>
      <c r="F922" s="76" t="str">
        <f>A913</f>
        <v>Coal fired power plants</v>
      </c>
      <c r="G922" s="76" t="str">
        <f>B921</f>
        <v>Supercritical steam turbine</v>
      </c>
      <c r="H922" s="76" t="str">
        <f>C921</f>
        <v>Electricity only</v>
      </c>
      <c r="I922" s="161" t="str">
        <f t="shared" si="367"/>
        <v>M</v>
      </c>
      <c r="J922" s="105">
        <f>IF(tech_base!$T18&gt;J$905,"",J2042+tech_proj!J1542/(1-tech_proj!J422))</f>
        <v>30.940857965243676</v>
      </c>
      <c r="K922" s="105">
        <f>IF(tech_base!$T18&gt;K$905,"",K2042+tech_proj!K1542/(1-tech_proj!K422))</f>
        <v>37.610258822356286</v>
      </c>
      <c r="L922" s="105">
        <f>IF(tech_base!$T18&gt;L$905,"",L2042+tech_proj!L1542/(1-tech_proj!L422))</f>
        <v>32.608954850218488</v>
      </c>
      <c r="M922" s="105">
        <f>IF(tech_base!$T18&gt;M$905,"",M2042+tech_proj!M1542/(1-tech_proj!M422))</f>
        <v>29.83252619033907</v>
      </c>
      <c r="N922" s="105">
        <f>IF(tech_base!$T18&gt;N$905,"",N2042+tech_proj!N1542/(1-tech_proj!N422))</f>
        <v>28.802044073681117</v>
      </c>
      <c r="O922" s="105">
        <f>IF(tech_base!$T18&gt;O$905,"",O2042+tech_proj!O1542/(1-tech_proj!O422))</f>
        <v>27.311519303559045</v>
      </c>
      <c r="P922" s="105">
        <f>IF(tech_base!$T18&gt;P$905,"",P2042+tech_proj!P1542/(1-tech_proj!P422))</f>
        <v>28.620408036334243</v>
      </c>
      <c r="Q922" s="105">
        <f>IF(tech_base!$T18&gt;Q$905,"",Q2042+tech_proj!Q1542/(1-tech_proj!Q422))</f>
        <v>35.273760915254933</v>
      </c>
      <c r="R922" s="105">
        <f>IF(tech_base!$T18&gt;R$905,"",R2042+tech_proj!R1542/(1-tech_proj!R422))</f>
        <v>35.447991370878327</v>
      </c>
      <c r="S922" s="105">
        <f>IF(tech_base!$T18&gt;S$905,"",S2042+tech_proj!S1542/(1-tech_proj!S422))</f>
        <v>35.61956502662801</v>
      </c>
      <c r="T922" s="105">
        <f>IF(tech_base!$T18&gt;T$905,"",T2042+tech_proj!T1542/(1-tech_proj!T422))</f>
        <v>35.788346696866789</v>
      </c>
      <c r="U922" s="105">
        <f>IF(tech_base!$T18&gt;U$905,"",U2042+tech_proj!U1542/(1-tech_proj!U422))</f>
        <v>36.49977977732631</v>
      </c>
      <c r="V922" s="105">
        <f>IF(tech_base!$T18&gt;V$905,"",V2042+tech_proj!V1542/(1-tech_proj!V422))</f>
        <v>36.514500691023507</v>
      </c>
      <c r="W922" s="105">
        <f>IF(tech_base!$T18&gt;W$905,"",W2042+tech_proj!W1542/(1-tech_proj!W422))</f>
        <v>36.483496704188141</v>
      </c>
      <c r="X922" s="105">
        <f>IF(tech_base!$T18&gt;X$905,"",X2042+tech_proj!X1542/(1-tech_proj!X422))</f>
        <v>36.660836419649186</v>
      </c>
      <c r="Y922" s="105">
        <f>IF(tech_base!$T18&gt;Y$905,"",Y2042+tech_proj!Y1542/(1-tech_proj!Y422))</f>
        <v>36.869017491041028</v>
      </c>
      <c r="Z922" s="105">
        <f>IF(tech_base!$T18&gt;Z$905,"",Z2042+tech_proj!Z1542/(1-tech_proj!Z422))</f>
        <v>37.890396608423202</v>
      </c>
      <c r="AA922" s="105">
        <f>IF(tech_base!$T18&gt;AA$905,"",AA2042+tech_proj!AA1542/(1-tech_proj!AA422))</f>
        <v>38.906036653148526</v>
      </c>
      <c r="AB922" s="105">
        <f>IF(tech_base!$T18&gt;AB$905,"",AB2042+tech_proj!AB1542/(1-tech_proj!AB422))</f>
        <v>39.952572459389415</v>
      </c>
      <c r="AC922" s="105">
        <f>IF(tech_base!$T18&gt;AC$905,"",AC2042+tech_proj!AC1542/(1-tech_proj!AC422))</f>
        <v>41.003140797180485</v>
      </c>
      <c r="AD922" s="105">
        <f>IF(tech_base!$T18&gt;AD$905,"",AD2042+tech_proj!AD1542/(1-tech_proj!AD422))</f>
        <v>42.150352987829741</v>
      </c>
      <c r="AE922" s="105">
        <f>IF(tech_base!$T18&gt;AE$905,"",AE2042+tech_proj!AE1542/(1-tech_proj!AE422))</f>
        <v>42.444836747165198</v>
      </c>
      <c r="AF922" s="105">
        <f>IF(tech_base!$T18&gt;AF$905,"",AF2042+tech_proj!AF1542/(1-tech_proj!AF422))</f>
        <v>42.852620915200767</v>
      </c>
      <c r="AG922" s="105">
        <f>IF(tech_base!$T18&gt;AG$905,"",AG2042+tech_proj!AG1542/(1-tech_proj!AG422))</f>
        <v>43.271638970683703</v>
      </c>
      <c r="AH922" s="105">
        <f>IF(tech_base!$T18&gt;AH$905,"",AH2042+tech_proj!AH1542/(1-tech_proj!AH422))</f>
        <v>43.646696641331125</v>
      </c>
      <c r="AI922" s="105">
        <f>IF(tech_base!$T18&gt;AI$905,"",AI2042+tech_proj!AI1542/(1-tech_proj!AI422))</f>
        <v>43.968214609000647</v>
      </c>
      <c r="AJ922" s="105">
        <f>IF(tech_base!$T18&gt;AJ$905,"",AJ2042+tech_proj!AJ1542/(1-tech_proj!AJ422))</f>
        <v>44.15979886985351</v>
      </c>
      <c r="AK922" s="105">
        <f>IF(tech_base!$T18&gt;AK$905,"",AK2042+tech_proj!AK1542/(1-tech_proj!AK422))</f>
        <v>44.391682942919381</v>
      </c>
      <c r="AL922" s="105">
        <f>IF(tech_base!$T18&gt;AL$905,"",AL2042+tech_proj!AL1542/(1-tech_proj!AL422))</f>
        <v>44.649316224784954</v>
      </c>
      <c r="AM922" s="105">
        <f>IF(tech_base!$T18&gt;AM$905,"",AM2042+tech_proj!AM1542/(1-tech_proj!AM422))</f>
        <v>44.926322034153785</v>
      </c>
      <c r="AN922" s="105">
        <f>IF(tech_base!$T18&gt;AN$905,"",AN2042+tech_proj!AN1542/(1-tech_proj!AN422))</f>
        <v>45.09898325183601</v>
      </c>
      <c r="AO922" s="105">
        <f>IF(tech_base!$T18&gt;AO$905,"",AO2042+tech_proj!AO1542/(1-tech_proj!AO422))</f>
        <v>45.25661499334106</v>
      </c>
      <c r="AP922" s="105">
        <f>IF(tech_base!$T18&gt;AP$905,"",AP2042+tech_proj!AP1542/(1-tech_proj!AP422))</f>
        <v>45.401377101643781</v>
      </c>
      <c r="AQ922" s="105">
        <f>IF(tech_base!$T18&gt;AQ$905,"",AQ2042+tech_proj!AQ1542/(1-tech_proj!AQ422))</f>
        <v>45.540136010579836</v>
      </c>
      <c r="AR922" s="105">
        <f>IF(tech_base!$T18&gt;AR$905,"",AR2042+tech_proj!AR1542/(1-tech_proj!AR422))</f>
        <v>45.706858069269039</v>
      </c>
      <c r="AS922" s="105">
        <f>IF(tech_base!$T18&gt;AS$905,"",AS2042+tech_proj!AS1542/(1-tech_proj!AS422))</f>
        <v>45.881846058501779</v>
      </c>
      <c r="AT922" s="105">
        <f>IF(tech_base!$T18&gt;AT$905,"",AT2042+tech_proj!AT1542/(1-tech_proj!AT422))</f>
        <v>45.942860214353153</v>
      </c>
      <c r="AU922" s="105">
        <f>IF(tech_base!$T18&gt;AU$905,"",AU2042+tech_proj!AU1542/(1-tech_proj!AU422))</f>
        <v>46.109931152239454</v>
      </c>
      <c r="AV922" s="105">
        <f>IF(tech_base!$T18&gt;AV$905,"",AV2042+tech_proj!AV1542/(1-tech_proj!AV422))</f>
        <v>46.231841997030131</v>
      </c>
      <c r="AW922" s="105">
        <f>IF(tech_base!$T18&gt;AW$905,"",AW2042+tech_proj!AW1542/(1-tech_proj!AW422))</f>
        <v>46.33632753434992</v>
      </c>
      <c r="AX922" s="106">
        <f>IF(tech_base!$T18&gt;AX$905,"",AX2042+tech_proj!AX1542/(1-tech_proj!AX422))</f>
        <v>46.526663198090148</v>
      </c>
    </row>
    <row r="923" spans="1:50" x14ac:dyDescent="0.25">
      <c r="A923" s="356"/>
      <c r="B923" s="376"/>
      <c r="C923" s="361" t="s">
        <v>14</v>
      </c>
      <c r="D923" s="58" t="s">
        <v>7</v>
      </c>
      <c r="E923" s="164" t="str">
        <f>A913&amp;"/"&amp;B921&amp;"/"&amp;C923&amp;"/"&amp;D923</f>
        <v>Coal fired power plants/Supercritical steam turbine/CHP/L</v>
      </c>
      <c r="F923" s="78" t="str">
        <f>A913</f>
        <v>Coal fired power plants</v>
      </c>
      <c r="G923" s="78" t="str">
        <f>B921</f>
        <v>Supercritical steam turbine</v>
      </c>
      <c r="H923" s="78" t="str">
        <f>C923</f>
        <v>CHP</v>
      </c>
      <c r="I923" s="165" t="str">
        <f t="shared" si="367"/>
        <v>L</v>
      </c>
      <c r="J923" s="109">
        <f>IF(tech_base!$T19&gt;J$905,"",J2043+tech_proj!J1543/(1-tech_proj!J423))</f>
        <v>32.935484584916836</v>
      </c>
      <c r="K923" s="109">
        <f>IF(tech_base!$T19&gt;K$905,"",K2043+tech_proj!K1543/(1-tech_proj!K423))</f>
        <v>39.941730495058913</v>
      </c>
      <c r="L923" s="109">
        <f>IF(tech_base!$T19&gt;L$905,"",L2043+tech_proj!L1543/(1-tech_proj!L423))</f>
        <v>34.689128576158254</v>
      </c>
      <c r="M923" s="109">
        <f>IF(tech_base!$T19&gt;M$905,"",M2043+tech_proj!M1543/(1-tech_proj!M423))</f>
        <v>31.773564307027343</v>
      </c>
      <c r="N923" s="109">
        <f>IF(tech_base!$T19&gt;N$905,"",N2043+tech_proj!N1543/(1-tech_proj!N423))</f>
        <v>30.692071555336085</v>
      </c>
      <c r="O923" s="109">
        <f>IF(tech_base!$T19&gt;O$905,"",O2043+tech_proj!O1543/(1-tech_proj!O423))</f>
        <v>29.127396576447538</v>
      </c>
      <c r="P923" s="109">
        <f>IF(tech_base!$T19&gt;P$905,"",P2043+tech_proj!P1543/(1-tech_proj!P423))</f>
        <v>30.503665919946137</v>
      </c>
      <c r="Q923" s="109">
        <f>IF(tech_base!$T19&gt;Q$905,"",Q2043+tech_proj!Q1543/(1-tech_proj!Q423))</f>
        <v>37.494953037364361</v>
      </c>
      <c r="R923" s="109">
        <f>IF(tech_base!$T19&gt;R$905,"",R2043+tech_proj!R1543/(1-tech_proj!R423))</f>
        <v>37.679970639466745</v>
      </c>
      <c r="S923" s="109">
        <f>IF(tech_base!$T19&gt;S$905,"",S2043+tech_proj!S1543/(1-tech_proj!S423))</f>
        <v>37.862489658561223</v>
      </c>
      <c r="T923" s="109">
        <f>IF(tech_base!$T19&gt;T$905,"",T2043+tech_proj!T1543/(1-tech_proj!T423))</f>
        <v>38.042401049207854</v>
      </c>
      <c r="U923" s="109">
        <f>IF(tech_base!$T19&gt;U$905,"",U2043+tech_proj!U1543/(1-tech_proj!U423))</f>
        <v>38.792882832433378</v>
      </c>
      <c r="V923" s="109">
        <f>IF(tech_base!$T19&gt;V$905,"",V2043+tech_proj!V1543/(1-tech_proj!V423))</f>
        <v>38.811693053617262</v>
      </c>
      <c r="W923" s="109">
        <f>IF(tech_base!$T19&gt;W$905,"",W2043+tech_proj!W1543/(1-tech_proj!W423))</f>
        <v>38.782857815000128</v>
      </c>
      <c r="X923" s="109">
        <f>IF(tech_base!$T19&gt;X$905,"",X2043+tech_proj!X1543/(1-tech_proj!X423))</f>
        <v>38.973426554177159</v>
      </c>
      <c r="Y923" s="109">
        <f>IF(tech_base!$T19&gt;Y$905,"",Y2043+tech_proj!Y1543/(1-tech_proj!Y423))</f>
        <v>39.196906103372434</v>
      </c>
      <c r="Z923" s="109">
        <f>IF(tech_base!$T19&gt;Z$905,"",Z2043+tech_proj!Z1543/(1-tech_proj!Z423))</f>
        <v>40.275783250258577</v>
      </c>
      <c r="AA923" s="109">
        <f>IF(tech_base!$T19&gt;AA$905,"",AA2043+tech_proj!AA1543/(1-tech_proj!AA423))</f>
        <v>41.34936950356817</v>
      </c>
      <c r="AB923" s="109">
        <f>IF(tech_base!$T19&gt;AB$905,"",AB2043+tech_proj!AB1543/(1-tech_proj!AB423))</f>
        <v>42.456220263367705</v>
      </c>
      <c r="AC923" s="109">
        <f>IF(tech_base!$T19&gt;AC$905,"",AC2043+tech_proj!AC1543/(1-tech_proj!AC423))</f>
        <v>43.568123960030249</v>
      </c>
      <c r="AD923" s="109">
        <f>IF(tech_base!$T19&gt;AD$905,"",AD2043+tech_proj!AD1543/(1-tech_proj!AD423))</f>
        <v>44.782511934535904</v>
      </c>
      <c r="AE923" s="109">
        <f>IF(tech_base!$T19&gt;AE$905,"",AE2043+tech_proj!AE1543/(1-tech_proj!AE423))</f>
        <v>45.100697330604667</v>
      </c>
      <c r="AF923" s="109">
        <f>IF(tech_base!$T19&gt;AF$905,"",AF2043+tech_proj!AF1543/(1-tech_proj!AF423))</f>
        <v>45.538672379345755</v>
      </c>
      <c r="AG923" s="109">
        <f>IF(tech_base!$T19&gt;AG$905,"",AG2043+tech_proj!AG1543/(1-tech_proj!AG423))</f>
        <v>45.989100649609625</v>
      </c>
      <c r="AH923" s="109">
        <f>IF(tech_base!$T19&gt;AH$905,"",AH2043+tech_proj!AH1543/(1-tech_proj!AH423))</f>
        <v>46.39395311908234</v>
      </c>
      <c r="AI923" s="109">
        <f>IF(tech_base!$T19&gt;AI$905,"",AI2043+tech_proj!AI1543/(1-tech_proj!AI423))</f>
        <v>46.743261118497308</v>
      </c>
      <c r="AJ923" s="109">
        <f>IF(tech_base!$T19&gt;AJ$905,"",AJ2043+tech_proj!AJ1543/(1-tech_proj!AJ423))</f>
        <v>46.956808100667018</v>
      </c>
      <c r="AK923" s="109">
        <f>IF(tech_base!$T19&gt;AK$905,"",AK2043+tech_proj!AK1543/(1-tech_proj!AK423))</f>
        <v>47.21425875857085</v>
      </c>
      <c r="AL923" s="109">
        <f>IF(tech_base!$T19&gt;AL$905,"",AL2043+tech_proj!AL1543/(1-tech_proj!AL423))</f>
        <v>47.500978444287114</v>
      </c>
      <c r="AM923" s="109">
        <f>IF(tech_base!$T19&gt;AM$905,"",AM2043+tech_proj!AM1543/(1-tech_proj!AM423))</f>
        <v>47.811174254487227</v>
      </c>
      <c r="AN923" s="109">
        <f>IF(tech_base!$T19&gt;AN$905,"",AN2043+tech_proj!AN1543/(1-tech_proj!AN423))</f>
        <v>48.015521558785359</v>
      </c>
      <c r="AO923" s="109">
        <f>IF(tech_base!$T19&gt;AO$905,"",AO2043+tech_proj!AO1543/(1-tech_proj!AO423))</f>
        <v>48.209340226392406</v>
      </c>
      <c r="AP923" s="109">
        <f>IF(tech_base!$T19&gt;AP$905,"",AP2043+tech_proj!AP1543/(1-tech_proj!AP423))</f>
        <v>48.396079699333612</v>
      </c>
      <c r="AQ923" s="109">
        <f>IF(tech_base!$T19&gt;AQ$905,"",AQ2043+tech_proj!AQ1543/(1-tech_proj!AQ423))</f>
        <v>48.583922616890426</v>
      </c>
      <c r="AR923" s="109">
        <f>IF(tech_base!$T19&gt;AR$905,"",AR2043+tech_proj!AR1543/(1-tech_proj!AR423))</f>
        <v>48.80926350219584</v>
      </c>
      <c r="AS923" s="109">
        <f>IF(tech_base!$T19&gt;AS$905,"",AS2043+tech_proj!AS1543/(1-tech_proj!AS423))</f>
        <v>49.051177247563622</v>
      </c>
      <c r="AT923" s="109">
        <f>IF(tech_base!$T19&gt;AT$905,"",AT2043+tech_proj!AT1543/(1-tech_proj!AT423))</f>
        <v>49.179248941610638</v>
      </c>
      <c r="AU923" s="109">
        <f>IF(tech_base!$T19&gt;AU$905,"",AU2043+tech_proj!AU1543/(1-tech_proj!AU423))</f>
        <v>49.424901738104772</v>
      </c>
      <c r="AV923" s="109">
        <f>IF(tech_base!$T19&gt;AV$905,"",AV2043+tech_proj!AV1543/(1-tech_proj!AV423))</f>
        <v>49.62575378820052</v>
      </c>
      <c r="AW923" s="109">
        <f>IF(tech_base!$T19&gt;AW$905,"",AW2043+tech_proj!AW1543/(1-tech_proj!AW423))</f>
        <v>49.808728777700701</v>
      </c>
      <c r="AX923" s="110">
        <f>IF(tech_base!$T19&gt;AX$905,"",AX2043+tech_proj!AX1543/(1-tech_proj!AX423))</f>
        <v>50.081382286206939</v>
      </c>
    </row>
    <row r="924" spans="1:50" x14ac:dyDescent="0.25">
      <c r="A924" s="356"/>
      <c r="B924" s="376"/>
      <c r="C924" s="379"/>
      <c r="D924" s="59" t="s">
        <v>8</v>
      </c>
      <c r="E924" s="166" t="str">
        <f>A913&amp;"/"&amp;B921&amp;"/"&amp;C923&amp;"/"&amp;D924</f>
        <v>Coal fired power plants/Supercritical steam turbine/CHP/M</v>
      </c>
      <c r="F924" s="79" t="str">
        <f>A913</f>
        <v>Coal fired power plants</v>
      </c>
      <c r="G924" s="79" t="str">
        <f>B921</f>
        <v>Supercritical steam turbine</v>
      </c>
      <c r="H924" s="79" t="str">
        <f>C923</f>
        <v>CHP</v>
      </c>
      <c r="I924" s="167" t="str">
        <f t="shared" si="367"/>
        <v>M</v>
      </c>
      <c r="J924" s="111">
        <f>IF(tech_base!$T20&gt;J$905,"",J2044+tech_proj!J1544/(1-tech_proj!J424))</f>
        <v>34.771191158211316</v>
      </c>
      <c r="K924" s="111">
        <f>IF(tech_base!$T20&gt;K$905,"",K2044+tech_proj!K1544/(1-tech_proj!K424))</f>
        <v>42.148515017620724</v>
      </c>
      <c r="L924" s="111">
        <f>IF(tech_base!$T20&gt;L$905,"",L2044+tech_proj!L1544/(1-tech_proj!L424))</f>
        <v>36.616518449613764</v>
      </c>
      <c r="M924" s="111">
        <f>IF(tech_base!$T20&gt;M$905,"",M2044+tech_proj!M1544/(1-tech_proj!M424))</f>
        <v>33.545524638591175</v>
      </c>
      <c r="N924" s="111">
        <f>IF(tech_base!$T20&gt;N$905,"",N2044+tech_proj!N1544/(1-tech_proj!N424))</f>
        <v>32.405796656500605</v>
      </c>
      <c r="O924" s="111">
        <f>IF(tech_base!$T20&gt;O$905,"",O2044+tech_proj!O1544/(1-tech_proj!O424))</f>
        <v>30.757203223597653</v>
      </c>
      <c r="P924" s="111">
        <f>IF(tech_base!$T20&gt;P$905,"",P2044+tech_proj!P1544/(1-tech_proj!P424))</f>
        <v>32.205217696418877</v>
      </c>
      <c r="Q924" s="111">
        <f>IF(tech_base!$T20&gt;Q$905,"",Q2044+tech_proj!Q1544/(1-tech_proj!Q424))</f>
        <v>39.565177400911644</v>
      </c>
      <c r="R924" s="111">
        <f>IF(tech_base!$T20&gt;R$905,"",R2044+tech_proj!R1544/(1-tech_proj!R424))</f>
        <v>39.758241027331721</v>
      </c>
      <c r="S924" s="111">
        <f>IF(tech_base!$T20&gt;S$905,"",S2044+tech_proj!S1544/(1-tech_proj!S424))</f>
        <v>39.948433031729962</v>
      </c>
      <c r="T924" s="111">
        <f>IF(tech_base!$T20&gt;T$905,"",T2044+tech_proj!T1544/(1-tech_proj!T424))</f>
        <v>40.135616616038376</v>
      </c>
      <c r="U924" s="111">
        <f>IF(tech_base!$T20&gt;U$905,"",U2044+tech_proj!U1544/(1-tech_proj!U424))</f>
        <v>40.923192248428606</v>
      </c>
      <c r="V924" s="111">
        <f>IF(tech_base!$T20&gt;V$905,"",V2044+tech_proj!V1544/(1-tech_proj!V424))</f>
        <v>40.940166257455367</v>
      </c>
      <c r="W924" s="111">
        <f>IF(tech_base!$T20&gt;W$905,"",W2044+tech_proj!W1544/(1-tech_proj!W424))</f>
        <v>40.906684177076876</v>
      </c>
      <c r="X924" s="111">
        <f>IF(tech_base!$T20&gt;X$905,"",X2044+tech_proj!X1544/(1-tech_proj!X424))</f>
        <v>41.103842936698612</v>
      </c>
      <c r="Y924" s="111">
        <f>IF(tech_base!$T20&gt;Y$905,"",Y2044+tech_proj!Y1544/(1-tech_proj!Y424))</f>
        <v>41.335312398097415</v>
      </c>
      <c r="Z924" s="111">
        <f>IF(tech_base!$T20&gt;Z$905,"",Z2044+tech_proj!Z1544/(1-tech_proj!Z424))</f>
        <v>42.466721095341697</v>
      </c>
      <c r="AA924" s="111">
        <f>IF(tech_base!$T20&gt;AA$905,"",AA2044+tech_proj!AA1544/(1-tech_proj!AA424))</f>
        <v>43.592128899905305</v>
      </c>
      <c r="AB924" s="111">
        <f>IF(tech_base!$T20&gt;AB$905,"",AB2044+tech_proj!AB1544/(1-tech_proj!AB424))</f>
        <v>44.752138936429645</v>
      </c>
      <c r="AC924" s="111">
        <f>IF(tech_base!$T20&gt;AC$905,"",AC2044+tech_proj!AC1544/(1-tech_proj!AC424))</f>
        <v>45.917110119951076</v>
      </c>
      <c r="AD924" s="111">
        <f>IF(tech_base!$T20&gt;AD$905,"",AD2044+tech_proj!AD1544/(1-tech_proj!AD424))</f>
        <v>47.189623267306743</v>
      </c>
      <c r="AE924" s="111">
        <f>IF(tech_base!$T20&gt;AE$905,"",AE2044+tech_proj!AE1544/(1-tech_proj!AE424))</f>
        <v>47.519093303153007</v>
      </c>
      <c r="AF924" s="111">
        <f>IF(tech_base!$T20&gt;AF$905,"",AF2044+tech_proj!AF1544/(1-tech_proj!AF424))</f>
        <v>47.974614429296167</v>
      </c>
      <c r="AG924" s="111">
        <f>IF(tech_base!$T20&gt;AG$905,"",AG2044+tech_proj!AG1544/(1-tech_proj!AG424))</f>
        <v>48.44333202565484</v>
      </c>
      <c r="AH924" s="111">
        <f>IF(tech_base!$T20&gt;AH$905,"",AH2044+tech_proj!AH1544/(1-tech_proj!AH424))</f>
        <v>48.864241357636061</v>
      </c>
      <c r="AI924" s="111">
        <f>IF(tech_base!$T20&gt;AI$905,"",AI2044+tech_proj!AI1544/(1-tech_proj!AI424))</f>
        <v>49.226811975394369</v>
      </c>
      <c r="AJ924" s="111">
        <f>IF(tech_base!$T20&gt;AJ$905,"",AJ2044+tech_proj!AJ1544/(1-tech_proj!AJ424))</f>
        <v>49.446498132430925</v>
      </c>
      <c r="AK924" s="111">
        <f>IF(tech_base!$T20&gt;AK$905,"",AK2044+tech_proj!AK1544/(1-tech_proj!AK424))</f>
        <v>49.711861809953085</v>
      </c>
      <c r="AL924" s="111">
        <f>IF(tech_base!$T20&gt;AL$905,"",AL2044+tech_proj!AL1544/(1-tech_proj!AL424))</f>
        <v>50.006856375259737</v>
      </c>
      <c r="AM924" s="111">
        <f>IF(tech_base!$T20&gt;AM$905,"",AM2044+tech_proj!AM1544/(1-tech_proj!AM424))</f>
        <v>50.324453969607816</v>
      </c>
      <c r="AN924" s="111">
        <f>IF(tech_base!$T20&gt;AN$905,"",AN2044+tech_proj!AN1544/(1-tech_proj!AN424))</f>
        <v>50.527509508974532</v>
      </c>
      <c r="AO924" s="111">
        <f>IF(tech_base!$T20&gt;AO$905,"",AO2044+tech_proj!AO1544/(1-tech_proj!AO424))</f>
        <v>50.714892755770386</v>
      </c>
      <c r="AP924" s="111">
        <f>IF(tech_base!$T20&gt;AP$905,"",AP2044+tech_proj!AP1544/(1-tech_proj!AP424))</f>
        <v>50.888855263838131</v>
      </c>
      <c r="AQ924" s="111">
        <f>IF(tech_base!$T20&gt;AQ$905,"",AQ2044+tech_proj!AQ1544/(1-tech_proj!AQ424))</f>
        <v>51.056816190037736</v>
      </c>
      <c r="AR924" s="111">
        <f>IF(tech_base!$T20&gt;AR$905,"",AR2044+tech_proj!AR1544/(1-tech_proj!AR424))</f>
        <v>51.256229206904401</v>
      </c>
      <c r="AS924" s="111">
        <f>IF(tech_base!$T20&gt;AS$905,"",AS2044+tech_proj!AS1544/(1-tech_proj!AS424))</f>
        <v>51.464979351402214</v>
      </c>
      <c r="AT924" s="111">
        <f>IF(tech_base!$T20&gt;AT$905,"",AT2044+tech_proj!AT1544/(1-tech_proj!AT424))</f>
        <v>51.547025825339681</v>
      </c>
      <c r="AU924" s="111">
        <f>IF(tech_base!$T20&gt;AU$905,"",AU2044+tech_proj!AU1544/(1-tech_proj!AU424))</f>
        <v>51.746382617982121</v>
      </c>
      <c r="AV924" s="111">
        <f>IF(tech_base!$T20&gt;AV$905,"",AV2044+tech_proj!AV1544/(1-tech_proj!AV424))</f>
        <v>51.89485426603926</v>
      </c>
      <c r="AW924" s="111">
        <f>IF(tech_base!$T20&gt;AW$905,"",AW2044+tech_proj!AW1544/(1-tech_proj!AW424))</f>
        <v>52.023002487585842</v>
      </c>
      <c r="AX924" s="112">
        <f>IF(tech_base!$T20&gt;AX$905,"",AX2044+tech_proj!AX1544/(1-tech_proj!AX424))</f>
        <v>52.245465035980324</v>
      </c>
    </row>
    <row r="925" spans="1:50" x14ac:dyDescent="0.25">
      <c r="A925" s="356"/>
      <c r="B925" s="376"/>
      <c r="C925" s="361" t="s">
        <v>15</v>
      </c>
      <c r="D925" s="58" t="s">
        <v>7</v>
      </c>
      <c r="E925" s="164" t="str">
        <f>A913&amp;"/"&amp;B921&amp;"/"&amp;C925&amp;"/"&amp;D925</f>
        <v>Coal fired power plants/Supercritical steam turbine/Electricity only with CCS/L</v>
      </c>
      <c r="F925" s="78" t="str">
        <f>A913</f>
        <v>Coal fired power plants</v>
      </c>
      <c r="G925" s="78" t="str">
        <f>B921</f>
        <v>Supercritical steam turbine</v>
      </c>
      <c r="H925" s="78" t="str">
        <f>C925</f>
        <v>Electricity only with CCS</v>
      </c>
      <c r="I925" s="165" t="str">
        <f t="shared" si="367"/>
        <v>L</v>
      </c>
      <c r="J925" s="109" t="str">
        <f>IF(tech_base!$T21&gt;J$905,"",J2045+tech_proj!J1545/(1-tech_proj!J425))</f>
        <v/>
      </c>
      <c r="K925" s="109" t="str">
        <f>IF(tech_base!$T21&gt;K$905,"",K2045+tech_proj!K1545/(1-tech_proj!K425))</f>
        <v/>
      </c>
      <c r="L925" s="109" t="str">
        <f>IF(tech_base!$T21&gt;L$905,"",L2045+tech_proj!L1545/(1-tech_proj!L425))</f>
        <v/>
      </c>
      <c r="M925" s="109" t="str">
        <f>IF(tech_base!$T21&gt;M$905,"",M2045+tech_proj!M1545/(1-tech_proj!M425))</f>
        <v/>
      </c>
      <c r="N925" s="109" t="str">
        <f>IF(tech_base!$T21&gt;N$905,"",N2045+tech_proj!N1545/(1-tech_proj!N425))</f>
        <v/>
      </c>
      <c r="O925" s="109" t="str">
        <f>IF(tech_base!$T21&gt;O$905,"",O2045+tech_proj!O1545/(1-tech_proj!O425))</f>
        <v/>
      </c>
      <c r="P925" s="109" t="str">
        <f>IF(tech_base!$T21&gt;P$905,"",P2045+tech_proj!P1545/(1-tech_proj!P425))</f>
        <v/>
      </c>
      <c r="Q925" s="109" t="str">
        <f>IF(tech_base!$T21&gt;Q$905,"",Q2045+tech_proj!Q1545/(1-tech_proj!Q425))</f>
        <v/>
      </c>
      <c r="R925" s="109" t="str">
        <f>IF(tech_base!$T21&gt;R$905,"",R2045+tech_proj!R1545/(1-tech_proj!R425))</f>
        <v/>
      </c>
      <c r="S925" s="109" t="str">
        <f>IF(tech_base!$T21&gt;S$905,"",S2045+tech_proj!S1545/(1-tech_proj!S425))</f>
        <v/>
      </c>
      <c r="T925" s="109" t="str">
        <f>IF(tech_base!$T21&gt;T$905,"",T2045+tech_proj!T1545/(1-tech_proj!T425))</f>
        <v/>
      </c>
      <c r="U925" s="109" t="str">
        <f>IF(tech_base!$T21&gt;U$905,"",U2045+tech_proj!U1545/(1-tech_proj!U425))</f>
        <v/>
      </c>
      <c r="V925" s="109" t="str">
        <f>IF(tech_base!$T21&gt;V$905,"",V2045+tech_proj!V1545/(1-tech_proj!V425))</f>
        <v/>
      </c>
      <c r="W925" s="109" t="str">
        <f>IF(tech_base!$T21&gt;W$905,"",W2045+tech_proj!W1545/(1-tech_proj!W425))</f>
        <v/>
      </c>
      <c r="X925" s="109" t="str">
        <f>IF(tech_base!$T21&gt;X$905,"",X2045+tech_proj!X1545/(1-tech_proj!X425))</f>
        <v/>
      </c>
      <c r="Y925" s="109" t="str">
        <f>IF(tech_base!$T21&gt;Y$905,"",Y2045+tech_proj!Y1545/(1-tech_proj!Y425))</f>
        <v/>
      </c>
      <c r="Z925" s="109" t="str">
        <f>IF(tech_base!$T21&gt;Z$905,"",Z2045+tech_proj!Z1545/(1-tech_proj!Z425))</f>
        <v/>
      </c>
      <c r="AA925" s="109" t="str">
        <f>IF(tech_base!$T21&gt;AA$905,"",AA2045+tech_proj!AA1545/(1-tech_proj!AA425))</f>
        <v/>
      </c>
      <c r="AB925" s="109" t="str">
        <f>IF(tech_base!$T21&gt;AB$905,"",AB2045+tech_proj!AB1545/(1-tech_proj!AB425))</f>
        <v/>
      </c>
      <c r="AC925" s="109" t="str">
        <f>IF(tech_base!$T21&gt;AC$905,"",AC2045+tech_proj!AC1545/(1-tech_proj!AC425))</f>
        <v/>
      </c>
      <c r="AD925" s="109" t="str">
        <f>IF(tech_base!$T21&gt;AD$905,"",AD2045+tech_proj!AD1545/(1-tech_proj!AD425))</f>
        <v/>
      </c>
      <c r="AE925" s="109">
        <f>IF(tech_base!$T21&gt;AE$905,"",AE2045+tech_proj!AE1545/(1-tech_proj!AE425))</f>
        <v>55.413548191351197</v>
      </c>
      <c r="AF925" s="109">
        <f>IF(tech_base!$T21&gt;AF$905,"",AF2045+tech_proj!AF1545/(1-tech_proj!AF425))</f>
        <v>55.962463962559909</v>
      </c>
      <c r="AG925" s="109">
        <f>IF(tech_base!$T21&gt;AG$905,"",AG2045+tech_proj!AG1545/(1-tech_proj!AG425))</f>
        <v>56.533714797473422</v>
      </c>
      <c r="AH925" s="109">
        <f>IF(tech_base!$T21&gt;AH$905,"",AH2045+tech_proj!AH1545/(1-tech_proj!AH425))</f>
        <v>57.061130215697354</v>
      </c>
      <c r="AI925" s="109">
        <f>IF(tech_base!$T21&gt;AI$905,"",AI2045+tech_proj!AI1545/(1-tech_proj!AI425))</f>
        <v>57.533437641403665</v>
      </c>
      <c r="AJ925" s="109">
        <f>IF(tech_base!$T21&gt;AJ$905,"",AJ2045+tech_proj!AJ1545/(1-tech_proj!AJ425))</f>
        <v>57.857726783403521</v>
      </c>
      <c r="AK925" s="109">
        <f>IF(tech_base!$T21&gt;AK$905,"",AK2045+tech_proj!AK1545/(1-tech_proj!AK425))</f>
        <v>58.240440526449262</v>
      </c>
      <c r="AL925" s="109">
        <f>IF(tech_base!$T21&gt;AL$905,"",AL2045+tech_proj!AL1545/(1-tech_proj!AL425))</f>
        <v>58.663304365912396</v>
      </c>
      <c r="AM925" s="109">
        <f>IF(tech_base!$T21&gt;AM$905,"",AM2045+tech_proj!AM1545/(1-tech_proj!AM425))</f>
        <v>59.11725479204388</v>
      </c>
      <c r="AN925" s="109">
        <f>IF(tech_base!$T21&gt;AN$905,"",AN2045+tech_proj!AN1545/(1-tech_proj!AN425))</f>
        <v>59.448671511453938</v>
      </c>
      <c r="AO925" s="109">
        <f>IF(tech_base!$T21&gt;AO$905,"",AO2045+tech_proj!AO1545/(1-tech_proj!AO425))</f>
        <v>59.763195047130267</v>
      </c>
      <c r="AP925" s="109">
        <f>IF(tech_base!$T21&gt;AP$905,"",AP2045+tech_proj!AP1545/(1-tech_proj!AP425))</f>
        <v>60.059168890712357</v>
      </c>
      <c r="AQ925" s="109">
        <f>IF(tech_base!$T21&gt;AQ$905,"",AQ2045+tech_proj!AQ1545/(1-tech_proj!AQ425))</f>
        <v>60.33980660818748</v>
      </c>
      <c r="AR925" s="109">
        <f>IF(tech_base!$T21&gt;AR$905,"",AR2045+tech_proj!AR1545/(1-tech_proj!AR425))</f>
        <v>60.641000207638029</v>
      </c>
      <c r="AS925" s="109">
        <f>IF(tech_base!$T21&gt;AS$905,"",AS2045+tech_proj!AS1545/(1-tech_proj!AS425))</f>
        <v>60.932025619541271</v>
      </c>
      <c r="AT925" s="109">
        <f>IF(tech_base!$T21&gt;AT$905,"",AT2045+tech_proj!AT1545/(1-tech_proj!AT425))</f>
        <v>61.054950189215866</v>
      </c>
      <c r="AU925" s="109">
        <f>IF(tech_base!$T21&gt;AU$905,"",AU2045+tech_proj!AU1545/(1-tech_proj!AU425))</f>
        <v>61.275099833497734</v>
      </c>
      <c r="AV925" s="109">
        <f>IF(tech_base!$T21&gt;AV$905,"",AV2045+tech_proj!AV1545/(1-tech_proj!AV425))</f>
        <v>61.399579372401668</v>
      </c>
      <c r="AW925" s="109">
        <f>IF(tech_base!$T21&gt;AW$905,"",AW2045+tech_proj!AW1545/(1-tech_proj!AW425))</f>
        <v>61.45785676554263</v>
      </c>
      <c r="AX925" s="110">
        <f>IF(tech_base!$T21&gt;AX$905,"",AX2045+tech_proj!AX1545/(1-tech_proj!AX425))</f>
        <v>61.574351025048905</v>
      </c>
    </row>
    <row r="926" spans="1:50" x14ac:dyDescent="0.25">
      <c r="A926" s="356"/>
      <c r="B926" s="376"/>
      <c r="C926" s="379"/>
      <c r="D926" s="59" t="s">
        <v>8</v>
      </c>
      <c r="E926" s="166" t="str">
        <f>A913&amp;"/"&amp;B921&amp;"/"&amp;C925&amp;"/"&amp;D926</f>
        <v>Coal fired power plants/Supercritical steam turbine/Electricity only with CCS/M</v>
      </c>
      <c r="F926" s="79" t="str">
        <f>A913</f>
        <v>Coal fired power plants</v>
      </c>
      <c r="G926" s="79" t="str">
        <f>B921</f>
        <v>Supercritical steam turbine</v>
      </c>
      <c r="H926" s="79" t="str">
        <f>C925</f>
        <v>Electricity only with CCS</v>
      </c>
      <c r="I926" s="167" t="str">
        <f t="shared" si="367"/>
        <v>M</v>
      </c>
      <c r="J926" s="111" t="str">
        <f>IF(tech_base!$T22&gt;J$905,"",J2046+tech_proj!J1546/(1-tech_proj!J426))</f>
        <v/>
      </c>
      <c r="K926" s="111" t="str">
        <f>IF(tech_base!$T22&gt;K$905,"",K2046+tech_proj!K1546/(1-tech_proj!K426))</f>
        <v/>
      </c>
      <c r="L926" s="111" t="str">
        <f>IF(tech_base!$T22&gt;L$905,"",L2046+tech_proj!L1546/(1-tech_proj!L426))</f>
        <v/>
      </c>
      <c r="M926" s="111" t="str">
        <f>IF(tech_base!$T22&gt;M$905,"",M2046+tech_proj!M1546/(1-tech_proj!M426))</f>
        <v/>
      </c>
      <c r="N926" s="111" t="str">
        <f>IF(tech_base!$T22&gt;N$905,"",N2046+tech_proj!N1546/(1-tech_proj!N426))</f>
        <v/>
      </c>
      <c r="O926" s="111" t="str">
        <f>IF(tech_base!$T22&gt;O$905,"",O2046+tech_proj!O1546/(1-tech_proj!O426))</f>
        <v/>
      </c>
      <c r="P926" s="111" t="str">
        <f>IF(tech_base!$T22&gt;P$905,"",P2046+tech_proj!P1546/(1-tech_proj!P426))</f>
        <v/>
      </c>
      <c r="Q926" s="111" t="str">
        <f>IF(tech_base!$T22&gt;Q$905,"",Q2046+tech_proj!Q1546/(1-tech_proj!Q426))</f>
        <v/>
      </c>
      <c r="R926" s="111" t="str">
        <f>IF(tech_base!$T22&gt;R$905,"",R2046+tech_proj!R1546/(1-tech_proj!R426))</f>
        <v/>
      </c>
      <c r="S926" s="111" t="str">
        <f>IF(tech_base!$T22&gt;S$905,"",S2046+tech_proj!S1546/(1-tech_proj!S426))</f>
        <v/>
      </c>
      <c r="T926" s="111" t="str">
        <f>IF(tech_base!$T22&gt;T$905,"",T2046+tech_proj!T1546/(1-tech_proj!T426))</f>
        <v/>
      </c>
      <c r="U926" s="111" t="str">
        <f>IF(tech_base!$T22&gt;U$905,"",U2046+tech_proj!U1546/(1-tech_proj!U426))</f>
        <v/>
      </c>
      <c r="V926" s="111" t="str">
        <f>IF(tech_base!$T22&gt;V$905,"",V2046+tech_proj!V1546/(1-tech_proj!V426))</f>
        <v/>
      </c>
      <c r="W926" s="111" t="str">
        <f>IF(tech_base!$T22&gt;W$905,"",W2046+tech_proj!W1546/(1-tech_proj!W426))</f>
        <v/>
      </c>
      <c r="X926" s="111" t="str">
        <f>IF(tech_base!$T22&gt;X$905,"",X2046+tech_proj!X1546/(1-tech_proj!X426))</f>
        <v/>
      </c>
      <c r="Y926" s="111" t="str">
        <f>IF(tech_base!$T22&gt;Y$905,"",Y2046+tech_proj!Y1546/(1-tech_proj!Y426))</f>
        <v/>
      </c>
      <c r="Z926" s="111" t="str">
        <f>IF(tech_base!$T22&gt;Z$905,"",Z2046+tech_proj!Z1546/(1-tech_proj!Z426))</f>
        <v/>
      </c>
      <c r="AA926" s="111" t="str">
        <f>IF(tech_base!$T22&gt;AA$905,"",AA2046+tech_proj!AA1546/(1-tech_proj!AA426))</f>
        <v/>
      </c>
      <c r="AB926" s="111" t="str">
        <f>IF(tech_base!$T22&gt;AB$905,"",AB2046+tech_proj!AB1546/(1-tech_proj!AB426))</f>
        <v/>
      </c>
      <c r="AC926" s="111" t="str">
        <f>IF(tech_base!$T22&gt;AC$905,"",AC2046+tech_proj!AC1546/(1-tech_proj!AC426))</f>
        <v/>
      </c>
      <c r="AD926" s="111" t="str">
        <f>IF(tech_base!$T22&gt;AD$905,"",AD2046+tech_proj!AD1546/(1-tech_proj!AD426))</f>
        <v/>
      </c>
      <c r="AE926" s="111">
        <f>IF(tech_base!$T22&gt;AE$905,"",AE2046+tech_proj!AE1546/(1-tech_proj!AE426))</f>
        <v>59.209274312130454</v>
      </c>
      <c r="AF926" s="111">
        <f>IF(tech_base!$T22&gt;AF$905,"",AF2046+tech_proj!AF1546/(1-tech_proj!AF426))</f>
        <v>59.798416134785413</v>
      </c>
      <c r="AG926" s="111">
        <f>IF(tech_base!$T22&gt;AG$905,"",AG2046+tech_proj!AG1546/(1-tech_proj!AG426))</f>
        <v>60.412072603345834</v>
      </c>
      <c r="AH926" s="111">
        <f>IF(tech_base!$T22&gt;AH$905,"",AH2046+tech_proj!AH1546/(1-tech_proj!AH426))</f>
        <v>60.979835014920639</v>
      </c>
      <c r="AI926" s="111">
        <f>IF(tech_base!$T22&gt;AI$905,"",AI2046+tech_proj!AI1546/(1-tech_proj!AI426))</f>
        <v>61.489715240368561</v>
      </c>
      <c r="AJ926" s="111">
        <f>IF(tech_base!$T22&gt;AJ$905,"",AJ2046+tech_proj!AJ1546/(1-tech_proj!AJ426))</f>
        <v>61.842730617464611</v>
      </c>
      <c r="AK926" s="111">
        <f>IF(tech_base!$T22&gt;AK$905,"",AK2046+tech_proj!AK1546/(1-tech_proj!AK426))</f>
        <v>62.258659313120162</v>
      </c>
      <c r="AL926" s="111">
        <f>IF(tech_base!$T22&gt;AL$905,"",AL2046+tech_proj!AL1546/(1-tech_proj!AL426))</f>
        <v>62.717888536861295</v>
      </c>
      <c r="AM926" s="111">
        <f>IF(tech_base!$T22&gt;AM$905,"",AM2046+tech_proj!AM1546/(1-tech_proj!AM426))</f>
        <v>63.210487323705507</v>
      </c>
      <c r="AN926" s="111">
        <f>IF(tech_base!$T22&gt;AN$905,"",AN2046+tech_proj!AN1546/(1-tech_proj!AN426))</f>
        <v>63.572323749332291</v>
      </c>
      <c r="AO926" s="111">
        <f>IF(tech_base!$T22&gt;AO$905,"",AO2046+tech_proj!AO1546/(1-tech_proj!AO426))</f>
        <v>63.915234145645904</v>
      </c>
      <c r="AP926" s="111">
        <f>IF(tech_base!$T22&gt;AP$905,"",AP2046+tech_proj!AP1546/(1-tech_proj!AP426))</f>
        <v>64.23645220496752</v>
      </c>
      <c r="AQ926" s="111">
        <f>IF(tech_base!$T22&gt;AQ$905,"",AQ2046+tech_proj!AQ1546/(1-tech_proj!AQ426))</f>
        <v>64.53802307681147</v>
      </c>
      <c r="AR926" s="111">
        <f>IF(tech_base!$T22&gt;AR$905,"",AR2046+tech_proj!AR1546/(1-tech_proj!AR426))</f>
        <v>64.856362989255956</v>
      </c>
      <c r="AS926" s="111">
        <f>IF(tech_base!$T22&gt;AS$905,"",AS2046+tech_proj!AS1546/(1-tech_proj!AS426))</f>
        <v>65.156375486014838</v>
      </c>
      <c r="AT926" s="111">
        <f>IF(tech_base!$T22&gt;AT$905,"",AT2046+tech_proj!AT1546/(1-tech_proj!AT426))</f>
        <v>65.26691238399043</v>
      </c>
      <c r="AU926" s="111">
        <f>IF(tech_base!$T22&gt;AU$905,"",AU2046+tech_proj!AU1546/(1-tech_proj!AU426))</f>
        <v>65.467350461284028</v>
      </c>
      <c r="AV926" s="111">
        <f>IF(tech_base!$T22&gt;AV$905,"",AV2046+tech_proj!AV1546/(1-tech_proj!AV426))</f>
        <v>65.548623901413009</v>
      </c>
      <c r="AW926" s="111">
        <f>IF(tech_base!$T22&gt;AW$905,"",AW2046+tech_proj!AW1546/(1-tech_proj!AW426))</f>
        <v>65.538759664408104</v>
      </c>
      <c r="AX926" s="112">
        <f>IF(tech_base!$T22&gt;AX$905,"",AX2046+tech_proj!AX1546/(1-tech_proj!AX426))</f>
        <v>65.567375249100138</v>
      </c>
    </row>
    <row r="927" spans="1:50" x14ac:dyDescent="0.25">
      <c r="A927" s="356"/>
      <c r="B927" s="376"/>
      <c r="C927" s="361" t="s">
        <v>16</v>
      </c>
      <c r="D927" s="2" t="s">
        <v>7</v>
      </c>
      <c r="E927" s="160" t="str">
        <f>A913&amp;"/"&amp;B921&amp;"/"&amp;C927&amp;"/"&amp;D927</f>
        <v>Coal fired power plants/Supercritical steam turbine/CHP with CCS/L</v>
      </c>
      <c r="F927" s="76" t="str">
        <f>A913</f>
        <v>Coal fired power plants</v>
      </c>
      <c r="G927" s="76" t="str">
        <f>B921</f>
        <v>Supercritical steam turbine</v>
      </c>
      <c r="H927" s="76" t="str">
        <f>C927</f>
        <v>CHP with CCS</v>
      </c>
      <c r="I927" s="161" t="str">
        <f t="shared" si="367"/>
        <v>L</v>
      </c>
      <c r="J927" s="105" t="str">
        <f>IF(tech_base!$T23&gt;J$905,"",J2047+tech_proj!J1547/(1-tech_proj!J427))</f>
        <v/>
      </c>
      <c r="K927" s="105" t="str">
        <f>IF(tech_base!$T23&gt;K$905,"",K2047+tech_proj!K1547/(1-tech_proj!K427))</f>
        <v/>
      </c>
      <c r="L927" s="105" t="str">
        <f>IF(tech_base!$T23&gt;L$905,"",L2047+tech_proj!L1547/(1-tech_proj!L427))</f>
        <v/>
      </c>
      <c r="M927" s="105" t="str">
        <f>IF(tech_base!$T23&gt;M$905,"",M2047+tech_proj!M1547/(1-tech_proj!M427))</f>
        <v/>
      </c>
      <c r="N927" s="105" t="str">
        <f>IF(tech_base!$T23&gt;N$905,"",N2047+tech_proj!N1547/(1-tech_proj!N427))</f>
        <v/>
      </c>
      <c r="O927" s="105" t="str">
        <f>IF(tech_base!$T23&gt;O$905,"",O2047+tech_proj!O1547/(1-tech_proj!O427))</f>
        <v/>
      </c>
      <c r="P927" s="105" t="str">
        <f>IF(tech_base!$T23&gt;P$905,"",P2047+tech_proj!P1547/(1-tech_proj!P427))</f>
        <v/>
      </c>
      <c r="Q927" s="105" t="str">
        <f>IF(tech_base!$T23&gt;Q$905,"",Q2047+tech_proj!Q1547/(1-tech_proj!Q427))</f>
        <v/>
      </c>
      <c r="R927" s="105" t="str">
        <f>IF(tech_base!$T23&gt;R$905,"",R2047+tech_proj!R1547/(1-tech_proj!R427))</f>
        <v/>
      </c>
      <c r="S927" s="105" t="str">
        <f>IF(tech_base!$T23&gt;S$905,"",S2047+tech_proj!S1547/(1-tech_proj!S427))</f>
        <v/>
      </c>
      <c r="T927" s="105" t="str">
        <f>IF(tech_base!$T23&gt;T$905,"",T2047+tech_proj!T1547/(1-tech_proj!T427))</f>
        <v/>
      </c>
      <c r="U927" s="105" t="str">
        <f>IF(tech_base!$T23&gt;U$905,"",U2047+tech_proj!U1547/(1-tech_proj!U427))</f>
        <v/>
      </c>
      <c r="V927" s="105" t="str">
        <f>IF(tech_base!$T23&gt;V$905,"",V2047+tech_proj!V1547/(1-tech_proj!V427))</f>
        <v/>
      </c>
      <c r="W927" s="105" t="str">
        <f>IF(tech_base!$T23&gt;W$905,"",W2047+tech_proj!W1547/(1-tech_proj!W427))</f>
        <v/>
      </c>
      <c r="X927" s="105" t="str">
        <f>IF(tech_base!$T23&gt;X$905,"",X2047+tech_proj!X1547/(1-tech_proj!X427))</f>
        <v/>
      </c>
      <c r="Y927" s="105" t="str">
        <f>IF(tech_base!$T23&gt;Y$905,"",Y2047+tech_proj!Y1547/(1-tech_proj!Y427))</f>
        <v/>
      </c>
      <c r="Z927" s="105" t="str">
        <f>IF(tech_base!$T23&gt;Z$905,"",Z2047+tech_proj!Z1547/(1-tech_proj!Z427))</f>
        <v/>
      </c>
      <c r="AA927" s="105" t="str">
        <f>IF(tech_base!$T23&gt;AA$905,"",AA2047+tech_proj!AA1547/(1-tech_proj!AA427))</f>
        <v/>
      </c>
      <c r="AB927" s="105" t="str">
        <f>IF(tech_base!$T23&gt;AB$905,"",AB2047+tech_proj!AB1547/(1-tech_proj!AB427))</f>
        <v/>
      </c>
      <c r="AC927" s="105" t="str">
        <f>IF(tech_base!$T23&gt;AC$905,"",AC2047+tech_proj!AC1547/(1-tech_proj!AC427))</f>
        <v/>
      </c>
      <c r="AD927" s="105" t="str">
        <f>IF(tech_base!$T23&gt;AD$905,"",AD2047+tech_proj!AD1547/(1-tech_proj!AD427))</f>
        <v/>
      </c>
      <c r="AE927" s="105">
        <f>IF(tech_base!$T23&gt;AE$905,"",AE2047+tech_proj!AE1547/(1-tech_proj!AE427))</f>
        <v>62.876278141906596</v>
      </c>
      <c r="AF927" s="105">
        <f>IF(tech_base!$T23&gt;AF$905,"",AF2047+tech_proj!AF1547/(1-tech_proj!AF427))</f>
        <v>63.498641376162411</v>
      </c>
      <c r="AG927" s="105">
        <f>IF(tech_base!$T23&gt;AG$905,"",AG2047+tech_proj!AG1547/(1-tech_proj!AG427))</f>
        <v>64.14666857018517</v>
      </c>
      <c r="AH927" s="105">
        <f>IF(tech_base!$T23&gt;AH$905,"",AH2047+tech_proj!AH1547/(1-tech_proj!AH427))</f>
        <v>64.745635324855144</v>
      </c>
      <c r="AI927" s="105">
        <f>IF(tech_base!$T23&gt;AI$905,"",AI2047+tech_proj!AI1547/(1-tech_proj!AI427))</f>
        <v>65.282901967310806</v>
      </c>
      <c r="AJ927" s="105">
        <f>IF(tech_base!$T23&gt;AJ$905,"",AJ2047+tech_proj!AJ1547/(1-tech_proj!AJ427))</f>
        <v>65.653533932787738</v>
      </c>
      <c r="AK927" s="105">
        <f>IF(tech_base!$T23&gt;AK$905,"",AK2047+tech_proj!AK1547/(1-tech_proj!AK427))</f>
        <v>66.091118983156477</v>
      </c>
      <c r="AL927" s="105">
        <f>IF(tech_base!$T23&gt;AL$905,"",AL2047+tech_proj!AL1547/(1-tech_proj!AL427))</f>
        <v>66.575190639363328</v>
      </c>
      <c r="AM927" s="105">
        <f>IF(tech_base!$T23&gt;AM$905,"",AM2047+tech_proj!AM1547/(1-tech_proj!AM427))</f>
        <v>67.095735587881705</v>
      </c>
      <c r="AN927" s="105">
        <f>IF(tech_base!$T23&gt;AN$905,"",AN2047+tech_proj!AN1547/(1-tech_proj!AN427))</f>
        <v>67.479275169478598</v>
      </c>
      <c r="AO927" s="105">
        <f>IF(tech_base!$T23&gt;AO$905,"",AO2047+tech_proj!AO1547/(1-tech_proj!AO427))</f>
        <v>67.845589456250465</v>
      </c>
      <c r="AP927" s="105">
        <f>IF(tech_base!$T23&gt;AP$905,"",AP2047+tech_proj!AP1547/(1-tech_proj!AP427))</f>
        <v>68.193165227178213</v>
      </c>
      <c r="AQ927" s="105">
        <f>IF(tech_base!$T23&gt;AQ$905,"",AQ2047+tech_proj!AQ1547/(1-tech_proj!AQ427))</f>
        <v>68.526053038578254</v>
      </c>
      <c r="AR927" s="105">
        <f>IF(tech_base!$T23&gt;AR$905,"",AR2047+tech_proj!AR1547/(1-tech_proj!AR427))</f>
        <v>68.885346499626607</v>
      </c>
      <c r="AS927" s="105">
        <f>IF(tech_base!$T23&gt;AS$905,"",AS2047+tech_proj!AS1547/(1-tech_proj!AS427))</f>
        <v>69.236816570984317</v>
      </c>
      <c r="AT927" s="105">
        <f>IF(tech_base!$T23&gt;AT$905,"",AT2047+tech_proj!AT1547/(1-tech_proj!AT427))</f>
        <v>69.402201638841532</v>
      </c>
      <c r="AU927" s="105">
        <f>IF(tech_base!$T23&gt;AU$905,"",AU2047+tech_proj!AU1547/(1-tech_proj!AU427))</f>
        <v>69.682483224562191</v>
      </c>
      <c r="AV927" s="105">
        <f>IF(tech_base!$T23&gt;AV$905,"",AV2047+tech_proj!AV1547/(1-tech_proj!AV427))</f>
        <v>69.859797847063334</v>
      </c>
      <c r="AW927" s="105">
        <f>IF(tech_base!$T23&gt;AW$905,"",AW2047+tech_proj!AW1547/(1-tech_proj!AW427))</f>
        <v>69.967989502211395</v>
      </c>
      <c r="AX927" s="106">
        <f>IF(tech_base!$T23&gt;AX$905,"",AX2047+tech_proj!AX1547/(1-tech_proj!AX427))</f>
        <v>70.148546577706327</v>
      </c>
    </row>
    <row r="928" spans="1:50" x14ac:dyDescent="0.25">
      <c r="A928" s="356"/>
      <c r="B928" s="380"/>
      <c r="C928" s="381"/>
      <c r="D928" s="4" t="s">
        <v>8</v>
      </c>
      <c r="E928" s="168" t="str">
        <f>A913&amp;"/"&amp;B921&amp;"/"&amp;C927&amp;"/"&amp;D928</f>
        <v>Coal fired power plants/Supercritical steam turbine/CHP with CCS/M</v>
      </c>
      <c r="F928" s="80" t="str">
        <f>A913</f>
        <v>Coal fired power plants</v>
      </c>
      <c r="G928" s="80" t="str">
        <f>B921</f>
        <v>Supercritical steam turbine</v>
      </c>
      <c r="H928" s="80" t="str">
        <f>C927</f>
        <v>CHP with CCS</v>
      </c>
      <c r="I928" s="169" t="str">
        <f t="shared" si="367"/>
        <v>M</v>
      </c>
      <c r="J928" s="113" t="str">
        <f>IF(tech_base!$T24&gt;J$905,"",J2048+tech_proj!J1548/(1-tech_proj!J428))</f>
        <v/>
      </c>
      <c r="K928" s="113" t="str">
        <f>IF(tech_base!$T24&gt;K$905,"",K2048+tech_proj!K1548/(1-tech_proj!K428))</f>
        <v/>
      </c>
      <c r="L928" s="113" t="str">
        <f>IF(tech_base!$T24&gt;L$905,"",L2048+tech_proj!L1548/(1-tech_proj!L428))</f>
        <v/>
      </c>
      <c r="M928" s="113" t="str">
        <f>IF(tech_base!$T24&gt;M$905,"",M2048+tech_proj!M1548/(1-tech_proj!M428))</f>
        <v/>
      </c>
      <c r="N928" s="113" t="str">
        <f>IF(tech_base!$T24&gt;N$905,"",N2048+tech_proj!N1548/(1-tech_proj!N428))</f>
        <v/>
      </c>
      <c r="O928" s="113" t="str">
        <f>IF(tech_base!$T24&gt;O$905,"",O2048+tech_proj!O1548/(1-tech_proj!O428))</f>
        <v/>
      </c>
      <c r="P928" s="113" t="str">
        <f>IF(tech_base!$T24&gt;P$905,"",P2048+tech_proj!P1548/(1-tech_proj!P428))</f>
        <v/>
      </c>
      <c r="Q928" s="113" t="str">
        <f>IF(tech_base!$T24&gt;Q$905,"",Q2048+tech_proj!Q1548/(1-tech_proj!Q428))</f>
        <v/>
      </c>
      <c r="R928" s="113" t="str">
        <f>IF(tech_base!$T24&gt;R$905,"",R2048+tech_proj!R1548/(1-tech_proj!R428))</f>
        <v/>
      </c>
      <c r="S928" s="113" t="str">
        <f>IF(tech_base!$T24&gt;S$905,"",S2048+tech_proj!S1548/(1-tech_proj!S428))</f>
        <v/>
      </c>
      <c r="T928" s="113" t="str">
        <f>IF(tech_base!$T24&gt;T$905,"",T2048+tech_proj!T1548/(1-tech_proj!T428))</f>
        <v/>
      </c>
      <c r="U928" s="113" t="str">
        <f>IF(tech_base!$T24&gt;U$905,"",U2048+tech_proj!U1548/(1-tech_proj!U428))</f>
        <v/>
      </c>
      <c r="V928" s="113" t="str">
        <f>IF(tech_base!$T24&gt;V$905,"",V2048+tech_proj!V1548/(1-tech_proj!V428))</f>
        <v/>
      </c>
      <c r="W928" s="113" t="str">
        <f>IF(tech_base!$T24&gt;W$905,"",W2048+tech_proj!W1548/(1-tech_proj!W428))</f>
        <v/>
      </c>
      <c r="X928" s="113" t="str">
        <f>IF(tech_base!$T24&gt;X$905,"",X2048+tech_proj!X1548/(1-tech_proj!X428))</f>
        <v/>
      </c>
      <c r="Y928" s="113" t="str">
        <f>IF(tech_base!$T24&gt;Y$905,"",Y2048+tech_proj!Y1548/(1-tech_proj!Y428))</f>
        <v/>
      </c>
      <c r="Z928" s="113" t="str">
        <f>IF(tech_base!$T24&gt;Z$905,"",Z2048+tech_proj!Z1548/(1-tech_proj!Z428))</f>
        <v/>
      </c>
      <c r="AA928" s="113" t="str">
        <f>IF(tech_base!$T24&gt;AA$905,"",AA2048+tech_proj!AA1548/(1-tech_proj!AA428))</f>
        <v/>
      </c>
      <c r="AB928" s="113" t="str">
        <f>IF(tech_base!$T24&gt;AB$905,"",AB2048+tech_proj!AB1548/(1-tech_proj!AB428))</f>
        <v/>
      </c>
      <c r="AC928" s="113" t="str">
        <f>IF(tech_base!$T24&gt;AC$905,"",AC2048+tech_proj!AC1548/(1-tech_proj!AC428))</f>
        <v/>
      </c>
      <c r="AD928" s="113" t="str">
        <f>IF(tech_base!$T24&gt;AD$905,"",AD2048+tech_proj!AD1548/(1-tech_proj!AD428))</f>
        <v/>
      </c>
      <c r="AE928" s="113">
        <f>IF(tech_base!$T24&gt;AE$905,"",AE2048+tech_proj!AE1548/(1-tech_proj!AE428))</f>
        <v>67.191445712757769</v>
      </c>
      <c r="AF928" s="113">
        <f>IF(tech_base!$T24&gt;AF$905,"",AF2048+tech_proj!AF1548/(1-tech_proj!AF428))</f>
        <v>67.859650156706934</v>
      </c>
      <c r="AG928" s="113">
        <f>IF(tech_base!$T24&gt;AG$905,"",AG2048+tech_proj!AG1548/(1-tech_proj!AG428))</f>
        <v>68.555906480235024</v>
      </c>
      <c r="AH928" s="113">
        <f>IF(tech_base!$T24&gt;AH$905,"",AH2048+tech_proj!AH1548/(1-tech_proj!AH428))</f>
        <v>69.200553282203558</v>
      </c>
      <c r="AI928" s="113">
        <f>IF(tech_base!$T24&gt;AI$905,"",AI2048+tech_proj!AI1548/(1-tech_proj!AI428))</f>
        <v>69.780115980884673</v>
      </c>
      <c r="AJ928" s="113">
        <f>IF(tech_base!$T24&gt;AJ$905,"",AJ2048+tech_proj!AJ1548/(1-tech_proj!AJ428))</f>
        <v>70.182611365312198</v>
      </c>
      <c r="AK928" s="113">
        <f>IF(tech_base!$T24&gt;AK$905,"",AK2048+tech_proj!AK1548/(1-tech_proj!AK428))</f>
        <v>70.657137095287013</v>
      </c>
      <c r="AL928" s="113">
        <f>IF(tech_base!$T24&gt;AL$905,"",AL2048+tech_proj!AL1548/(1-tech_proj!AL428))</f>
        <v>71.181700965057843</v>
      </c>
      <c r="AM928" s="113">
        <f>IF(tech_base!$T24&gt;AM$905,"",AM2048+tech_proj!AM1548/(1-tech_proj!AM428))</f>
        <v>71.745336252521469</v>
      </c>
      <c r="AN928" s="113">
        <f>IF(tech_base!$T24&gt;AN$905,"",AN2048+tech_proj!AN1548/(1-tech_proj!AN428))</f>
        <v>72.162456346247211</v>
      </c>
      <c r="AO928" s="113">
        <f>IF(tech_base!$T24&gt;AO$905,"",AO2048+tech_proj!AO1548/(1-tech_proj!AO428))</f>
        <v>72.56017236624244</v>
      </c>
      <c r="AP928" s="113">
        <f>IF(tech_base!$T24&gt;AP$905,"",AP2048+tech_proj!AP1548/(1-tech_proj!AP428))</f>
        <v>72.935881022157204</v>
      </c>
      <c r="AQ928" s="113">
        <f>IF(tech_base!$T24&gt;AQ$905,"",AQ2048+tech_proj!AQ1548/(1-tech_proj!AQ428))</f>
        <v>73.292550523247883</v>
      </c>
      <c r="AR928" s="113">
        <f>IF(tech_base!$T24&gt;AR$905,"",AR2048+tech_proj!AR1548/(1-tech_proj!AR428))</f>
        <v>73.672246329381395</v>
      </c>
      <c r="AS928" s="113">
        <f>IF(tech_base!$T24&gt;AS$905,"",AS2048+tech_proj!AS1548/(1-tech_proj!AS428))</f>
        <v>74.036140791791425</v>
      </c>
      <c r="AT928" s="113">
        <f>IF(tech_base!$T24&gt;AT$905,"",AT2048+tech_proj!AT1548/(1-tech_proj!AT428))</f>
        <v>74.191226177120797</v>
      </c>
      <c r="AU928" s="113">
        <f>IF(tech_base!$T24&gt;AU$905,"",AU2048+tech_proj!AU1548/(1-tech_proj!AU428))</f>
        <v>74.455466643612127</v>
      </c>
      <c r="AV928" s="113">
        <f>IF(tech_base!$T24&gt;AV$905,"",AV2048+tech_proj!AV1548/(1-tech_proj!AV428))</f>
        <v>74.592987829310886</v>
      </c>
      <c r="AW928" s="113">
        <f>IF(tech_base!$T24&gt;AW$905,"",AW2048+tech_proj!AW1548/(1-tech_proj!AW428))</f>
        <v>74.636699696388476</v>
      </c>
      <c r="AX928" s="114">
        <f>IF(tech_base!$T24&gt;AX$905,"",AX2048+tech_proj!AX1548/(1-tech_proj!AX428))</f>
        <v>74.734803728585433</v>
      </c>
    </row>
    <row r="929" spans="1:50" x14ac:dyDescent="0.25">
      <c r="A929" s="356"/>
      <c r="B929" s="358" t="s">
        <v>18</v>
      </c>
      <c r="C929" s="353" t="s">
        <v>6</v>
      </c>
      <c r="D929" s="3" t="s">
        <v>7</v>
      </c>
      <c r="E929" s="162" t="str">
        <f>A913&amp;"/"&amp;B929&amp;"/"&amp;C929&amp;"/"&amp;D929</f>
        <v>Coal fired power plants/Fluidized bed combustion/Electricity only/L</v>
      </c>
      <c r="F929" s="77" t="str">
        <f>A913</f>
        <v>Coal fired power plants</v>
      </c>
      <c r="G929" s="77" t="str">
        <f>B929</f>
        <v>Fluidized bed combustion</v>
      </c>
      <c r="H929" s="77" t="str">
        <f>C929</f>
        <v>Electricity only</v>
      </c>
      <c r="I929" s="163" t="str">
        <f t="shared" si="367"/>
        <v>L</v>
      </c>
      <c r="J929" s="107">
        <f>IF(tech_base!$T25&gt;J$905,"",J2049+tech_proj!J1549/(1-tech_proj!J429))</f>
        <v>31.85377421195194</v>
      </c>
      <c r="K929" s="107">
        <f>IF(tech_base!$T25&gt;K$905,"",K2049+tech_proj!K1549/(1-tech_proj!K429))</f>
        <v>38.921686071608818</v>
      </c>
      <c r="L929" s="107">
        <f>IF(tech_base!$T25&gt;L$905,"",L2049+tech_proj!L1549/(1-tech_proj!L429))</f>
        <v>33.623188151527387</v>
      </c>
      <c r="M929" s="107">
        <f>IF(tech_base!$T25&gt;M$905,"",M2049+tech_proj!M1549/(1-tech_proj!M429))</f>
        <v>30.682276000771935</v>
      </c>
      <c r="N929" s="107">
        <f>IF(tech_base!$T25&gt;N$905,"",N2049+tech_proj!N1549/(1-tech_proj!N429))</f>
        <v>29.591586190711411</v>
      </c>
      <c r="O929" s="107">
        <f>IF(tech_base!$T25&gt;O$905,"",O2049+tech_proj!O1549/(1-tech_proj!O429))</f>
        <v>28.013527823761802</v>
      </c>
      <c r="P929" s="107">
        <f>IF(tech_base!$T25&gt;P$905,"",P2049+tech_proj!P1549/(1-tech_proj!P429))</f>
        <v>29.402332790527396</v>
      </c>
      <c r="Q929" s="107">
        <f>IF(tech_base!$T25&gt;Q$905,"",Q2049+tech_proj!Q1549/(1-tech_proj!Q429))</f>
        <v>36.45564291024472</v>
      </c>
      <c r="R929" s="107">
        <f>IF(tech_base!$T25&gt;R$905,"",R2049+tech_proj!R1549/(1-tech_proj!R429))</f>
        <v>36.642977959665139</v>
      </c>
      <c r="S929" s="107">
        <f>IF(tech_base!$T25&gt;S$905,"",S2049+tech_proj!S1549/(1-tech_proj!S429))</f>
        <v>36.827940154056833</v>
      </c>
      <c r="T929" s="107">
        <f>IF(tech_base!$T25&gt;T$905,"",T2049+tech_proj!T1549/(1-tech_proj!T429))</f>
        <v>37.010448810725094</v>
      </c>
      <c r="U929" s="107">
        <f>IF(tech_base!$T25&gt;U$905,"",U2049+tech_proj!U1549/(1-tech_proj!U429))</f>
        <v>37.768772745541206</v>
      </c>
      <c r="V929" s="107">
        <f>IF(tech_base!$T25&gt;V$905,"",V2049+tech_proj!V1549/(1-tech_proj!V429))</f>
        <v>37.789224904598989</v>
      </c>
      <c r="W929" s="107">
        <f>IF(tech_base!$T25&gt;W$905,"",W2049+tech_proj!W1549/(1-tech_proj!W429))</f>
        <v>37.761902033905017</v>
      </c>
      <c r="X929" s="107">
        <f>IF(tech_base!$T25&gt;X$905,"",X2049+tech_proj!X1549/(1-tech_proj!X429))</f>
        <v>37.956265079812539</v>
      </c>
      <c r="Y929" s="107">
        <f>IF(tech_base!$T25&gt;Y$905,"",Y2049+tech_proj!Y1549/(1-tech_proj!Y429))</f>
        <v>38.184226650112379</v>
      </c>
      <c r="Z929" s="107">
        <f>IF(tech_base!$T25&gt;Z$905,"",Z2049+tech_proj!Z1549/(1-tech_proj!Z429))</f>
        <v>39.275639718135338</v>
      </c>
      <c r="AA929" s="107">
        <f>IF(tech_base!$T25&gt;AA$905,"",AA2049+tech_proj!AA1549/(1-tech_proj!AA429))</f>
        <v>40.362240955216656</v>
      </c>
      <c r="AB929" s="107">
        <f>IF(tech_base!$T25&gt;AB$905,"",AB2049+tech_proj!AB1549/(1-tech_proj!AB429))</f>
        <v>41.482963130285817</v>
      </c>
      <c r="AC929" s="107">
        <f>IF(tech_base!$T25&gt;AC$905,"",AC2049+tech_proj!AC1549/(1-tech_proj!AC429))</f>
        <v>42.609345652240393</v>
      </c>
      <c r="AD929" s="107">
        <f>IF(tech_base!$T25&gt;AD$905,"",AD2049+tech_proj!AD1549/(1-tech_proj!AD429))</f>
        <v>43.839639003931055</v>
      </c>
      <c r="AE929" s="107">
        <f>IF(tech_base!$T25&gt;AE$905,"",AE2049+tech_proj!AE1549/(1-tech_proj!AE429))</f>
        <v>44.166066270129413</v>
      </c>
      <c r="AF929" s="107">
        <f>IF(tech_base!$T25&gt;AF$905,"",AF2049+tech_proj!AF1549/(1-tech_proj!AF429))</f>
        <v>44.613460576155454</v>
      </c>
      <c r="AG929" s="107">
        <f>IF(tech_base!$T25&gt;AG$905,"",AG2049+tech_proj!AG1549/(1-tech_proj!AG429))</f>
        <v>45.07309907739873</v>
      </c>
      <c r="AH929" s="107">
        <f>IF(tech_base!$T25&gt;AH$905,"",AH2049+tech_proj!AH1549/(1-tech_proj!AH429))</f>
        <v>45.485774546648337</v>
      </c>
      <c r="AI929" s="107">
        <f>IF(tech_base!$T25&gt;AI$905,"",AI2049+tech_proj!AI1549/(1-tech_proj!AI429))</f>
        <v>45.840472660334427</v>
      </c>
      <c r="AJ929" s="107">
        <f>IF(tech_base!$T25&gt;AJ$905,"",AJ2049+tech_proj!AJ1549/(1-tech_proj!AJ429))</f>
        <v>46.054977819432644</v>
      </c>
      <c r="AK929" s="107">
        <f>IF(tech_base!$T25&gt;AK$905,"",AK2049+tech_proj!AK1549/(1-tech_proj!AK429))</f>
        <v>46.308775990233094</v>
      </c>
      <c r="AL929" s="107">
        <f>IF(tech_base!$T25&gt;AL$905,"",AL2049+tech_proj!AL1549/(1-tech_proj!AL429))</f>
        <v>46.584887874430791</v>
      </c>
      <c r="AM929" s="107">
        <f>IF(tech_base!$T25&gt;AM$905,"",AM2049+tech_proj!AM1549/(1-tech_proj!AM429))</f>
        <v>46.874853464336198</v>
      </c>
      <c r="AN929" s="107">
        <f>IF(tech_base!$T25&gt;AN$905,"",AN2049+tech_proj!AN1549/(1-tech_proj!AN429))</f>
        <v>47.04569264180828</v>
      </c>
      <c r="AO929" s="107">
        <f>IF(tech_base!$T25&gt;AO$905,"",AO2049+tech_proj!AO1549/(1-tech_proj!AO429))</f>
        <v>47.190824528801073</v>
      </c>
      <c r="AP929" s="107">
        <f>IF(tech_base!$T25&gt;AP$905,"",AP2049+tech_proj!AP1549/(1-tech_proj!AP429))</f>
        <v>47.311610587956558</v>
      </c>
      <c r="AQ929" s="107">
        <f>IF(tech_base!$T25&gt;AQ$905,"",AQ2049+tech_proj!AQ1549/(1-tech_proj!AQ429))</f>
        <v>47.415166047369567</v>
      </c>
      <c r="AR929" s="107">
        <f>IF(tech_base!$T25&gt;AR$905,"",AR2049+tech_proj!AR1549/(1-tech_proj!AR429))</f>
        <v>47.538246123903868</v>
      </c>
      <c r="AS929" s="107">
        <f>IF(tech_base!$T25&gt;AS$905,"",AS2049+tech_proj!AS1549/(1-tech_proj!AS429))</f>
        <v>47.661924222600398</v>
      </c>
      <c r="AT929" s="107">
        <f>IF(tech_base!$T25&gt;AT$905,"",AT2049+tech_proj!AT1549/(1-tech_proj!AT429))</f>
        <v>47.660396095250938</v>
      </c>
      <c r="AU929" s="107">
        <f>IF(tech_base!$T25&gt;AU$905,"",AU2049+tech_proj!AU1549/(1-tech_proj!AU429))</f>
        <v>47.769625893781352</v>
      </c>
      <c r="AV929" s="107">
        <f>IF(tech_base!$T25&gt;AV$905,"",AV2049+tech_proj!AV1549/(1-tech_proj!AV429))</f>
        <v>47.834354815508348</v>
      </c>
      <c r="AW929" s="107">
        <f>IF(tech_base!$T25&gt;AW$905,"",AW2049+tech_proj!AW1549/(1-tech_proj!AW429))</f>
        <v>47.88767455192145</v>
      </c>
      <c r="AX929" s="108">
        <f>IF(tech_base!$T25&gt;AX$905,"",AX2049+tech_proj!AX1549/(1-tech_proj!AX429))</f>
        <v>48.040786100448273</v>
      </c>
    </row>
    <row r="930" spans="1:50" x14ac:dyDescent="0.25">
      <c r="A930" s="356"/>
      <c r="B930" s="376"/>
      <c r="C930" s="378"/>
      <c r="D930" s="2" t="s">
        <v>8</v>
      </c>
      <c r="E930" s="160" t="str">
        <f>A913&amp;"/"&amp;B929&amp;"/"&amp;C929&amp;"/"&amp;D930</f>
        <v>Coal fired power plants/Fluidized bed combustion/Electricity only/M</v>
      </c>
      <c r="F930" s="76" t="str">
        <f>A913</f>
        <v>Coal fired power plants</v>
      </c>
      <c r="G930" s="76" t="str">
        <f>B929</f>
        <v>Fluidized bed combustion</v>
      </c>
      <c r="H930" s="76" t="str">
        <f>C929</f>
        <v>Electricity only</v>
      </c>
      <c r="I930" s="161" t="str">
        <f t="shared" si="367"/>
        <v>M</v>
      </c>
      <c r="J930" s="105">
        <f>IF(tech_base!$T26&gt;J$905,"",J2050+tech_proj!J1550/(1-tech_proj!J430))</f>
        <v>33.64957653562513</v>
      </c>
      <c r="K930" s="105">
        <f>IF(tech_base!$T26&gt;K$905,"",K2050+tech_proj!K1550/(1-tech_proj!K430))</f>
        <v>41.088571749888331</v>
      </c>
      <c r="L930" s="105">
        <f>IF(tech_base!$T26&gt;L$905,"",L2050+tech_proj!L1550/(1-tech_proj!L430))</f>
        <v>35.510791108812988</v>
      </c>
      <c r="M930" s="105">
        <f>IF(tech_base!$T26&gt;M$905,"",M2050+tech_proj!M1550/(1-tech_proj!M430))</f>
        <v>32.414556509080668</v>
      </c>
      <c r="N930" s="105">
        <f>IF(tech_base!$T26&gt;N$905,"",N2050+tech_proj!N1550/(1-tech_proj!N430))</f>
        <v>31.265731971651629</v>
      </c>
      <c r="O930" s="105">
        <f>IF(tech_base!$T26&gt;O$905,"",O2050+tech_proj!O1550/(1-tech_proj!O430))</f>
        <v>29.603874937160761</v>
      </c>
      <c r="P930" s="105">
        <f>IF(tech_base!$T26&gt;P$905,"",P2050+tech_proj!P1550/(1-tech_proj!P430))</f>
        <v>31.064506708588024</v>
      </c>
      <c r="Q930" s="105">
        <f>IF(tech_base!$T26&gt;Q$905,"",Q2050+tech_proj!Q1550/(1-tech_proj!Q430))</f>
        <v>38.486444985072112</v>
      </c>
      <c r="R930" s="105">
        <f>IF(tech_base!$T26&gt;R$905,"",R2050+tech_proj!R1550/(1-tech_proj!R430))</f>
        <v>38.681901524066902</v>
      </c>
      <c r="S930" s="105">
        <f>IF(tech_base!$T26&gt;S$905,"",S2050+tech_proj!S1550/(1-tech_proj!S430))</f>
        <v>38.874602896272087</v>
      </c>
      <c r="T930" s="105">
        <f>IF(tech_base!$T26&gt;T$905,"",T2050+tech_proj!T1550/(1-tech_proj!T430))</f>
        <v>39.064433832880809</v>
      </c>
      <c r="U930" s="105">
        <f>IF(tech_base!$T26&gt;U$905,"",U2050+tech_proj!U1550/(1-tech_proj!U430))</f>
        <v>39.859850040202616</v>
      </c>
      <c r="V930" s="105">
        <f>IF(tech_base!$T26&gt;V$905,"",V2050+tech_proj!V1550/(1-tech_proj!V430))</f>
        <v>39.878457357125392</v>
      </c>
      <c r="W930" s="105">
        <f>IF(tech_base!$T26&gt;W$905,"",W2050+tech_proj!W1550/(1-tech_proj!W430))</f>
        <v>39.84643339861347</v>
      </c>
      <c r="X930" s="105">
        <f>IF(tech_base!$T26&gt;X$905,"",X2050+tech_proj!X1550/(1-tech_proj!X430))</f>
        <v>40.047249618307156</v>
      </c>
      <c r="Y930" s="105">
        <f>IF(tech_base!$T26&gt;Y$905,"",Y2050+tech_proj!Y1550/(1-tech_proj!Y430))</f>
        <v>40.28296931786582</v>
      </c>
      <c r="Z930" s="105">
        <f>IF(tech_base!$T26&gt;Z$905,"",Z2050+tech_proj!Z1550/(1-tech_proj!Z430))</f>
        <v>41.426460497904337</v>
      </c>
      <c r="AA930" s="105">
        <f>IF(tech_base!$T26&gt;AA$905,"",AA2050+tech_proj!AA1550/(1-tech_proj!AA430))</f>
        <v>42.564244244344223</v>
      </c>
      <c r="AB930" s="105">
        <f>IF(tech_base!$T26&gt;AB$905,"",AB2050+tech_proj!AB1550/(1-tech_proj!AB430))</f>
        <v>43.737258844917378</v>
      </c>
      <c r="AC930" s="105">
        <f>IF(tech_base!$T26&gt;AC$905,"",AC2050+tech_proj!AC1550/(1-tech_proj!AC430))</f>
        <v>44.915586617242099</v>
      </c>
      <c r="AD930" s="105">
        <f>IF(tech_base!$T26&gt;AD$905,"",AD2050+tech_proj!AD1550/(1-tech_proj!AD430))</f>
        <v>46.20258730542804</v>
      </c>
      <c r="AE930" s="105">
        <f>IF(tech_base!$T26&gt;AE$905,"",AE2050+tech_proj!AE1550/(1-tech_proj!AE430))</f>
        <v>46.538880227911363</v>
      </c>
      <c r="AF930" s="105">
        <f>IF(tech_base!$T26&gt;AF$905,"",AF2050+tech_proj!AF1550/(1-tech_proj!AF430))</f>
        <v>47.002245735674521</v>
      </c>
      <c r="AG930" s="105">
        <f>IF(tech_base!$T26&gt;AG$905,"",AG2050+tech_proj!AG1550/(1-tech_proj!AG430))</f>
        <v>47.478620288085899</v>
      </c>
      <c r="AH930" s="105">
        <f>IF(tech_base!$T26&gt;AH$905,"",AH2050+tech_proj!AH1550/(1-tech_proj!AH430))</f>
        <v>47.906110406442252</v>
      </c>
      <c r="AI930" s="105">
        <f>IF(tech_base!$T26&gt;AI$905,"",AI2050+tech_proj!AI1550/(1-tech_proj!AI430))</f>
        <v>48.273571628950961</v>
      </c>
      <c r="AJ930" s="105">
        <f>IF(tech_base!$T26&gt;AJ$905,"",AJ2050+tech_proj!AJ1550/(1-tech_proj!AJ430))</f>
        <v>48.495116165298718</v>
      </c>
      <c r="AK930" s="105">
        <f>IF(tech_base!$T26&gt;AK$905,"",AK2050+tech_proj!AK1550/(1-tech_proj!AK430))</f>
        <v>48.759888846100054</v>
      </c>
      <c r="AL930" s="105">
        <f>IF(tech_base!$T26&gt;AL$905,"",AL2050+tech_proj!AL1550/(1-tech_proj!AL430))</f>
        <v>49.050581245717979</v>
      </c>
      <c r="AM930" s="105">
        <f>IF(tech_base!$T26&gt;AM$905,"",AM2050+tech_proj!AM1550/(1-tech_proj!AM430))</f>
        <v>49.358779285674139</v>
      </c>
      <c r="AN930" s="105">
        <f>IF(tech_base!$T26&gt;AN$905,"",AN2050+tech_proj!AN1550/(1-tech_proj!AN430))</f>
        <v>49.545037582686106</v>
      </c>
      <c r="AO930" s="105">
        <f>IF(tech_base!$T26&gt;AO$905,"",AO2050+tech_proj!AO1550/(1-tech_proj!AO430))</f>
        <v>49.70750727054569</v>
      </c>
      <c r="AP930" s="105">
        <f>IF(tech_base!$T26&gt;AP$905,"",AP2050+tech_proj!AP1550/(1-tech_proj!AP430))</f>
        <v>49.847172039192316</v>
      </c>
      <c r="AQ930" s="105">
        <f>IF(tech_base!$T26&gt;AQ$905,"",AQ2050+tech_proj!AQ1550/(1-tech_proj!AQ430))</f>
        <v>49.970518489962174</v>
      </c>
      <c r="AR930" s="105">
        <f>IF(tech_base!$T26&gt;AR$905,"",AR2050+tech_proj!AR1550/(1-tech_proj!AR430))</f>
        <v>50.114625641123659</v>
      </c>
      <c r="AS930" s="105">
        <f>IF(tech_base!$T26&gt;AS$905,"",AS2050+tech_proj!AS1550/(1-tech_proj!AS430))</f>
        <v>50.25748431078366</v>
      </c>
      <c r="AT930" s="105">
        <f>IF(tech_base!$T26&gt;AT$905,"",AT2050+tech_proj!AT1550/(1-tech_proj!AT430))</f>
        <v>50.264250167016172</v>
      </c>
      <c r="AU930" s="105">
        <f>IF(tech_base!$T26&gt;AU$905,"",AU2050+tech_proj!AU1550/(1-tech_proj!AU430))</f>
        <v>50.380840588406016</v>
      </c>
      <c r="AV930" s="105">
        <f>IF(tech_base!$T26&gt;AV$905,"",AV2050+tech_proj!AV1550/(1-tech_proj!AV430))</f>
        <v>50.441936899762517</v>
      </c>
      <c r="AW930" s="105">
        <f>IF(tech_base!$T26&gt;AW$905,"",AW2050+tech_proj!AW1550/(1-tech_proj!AW430))</f>
        <v>50.481356527238106</v>
      </c>
      <c r="AX930" s="106">
        <f>IF(tech_base!$T26&gt;AX$905,"",AX2050+tech_proj!AX1550/(1-tech_proj!AX430))</f>
        <v>50.616224273669616</v>
      </c>
    </row>
    <row r="931" spans="1:50" x14ac:dyDescent="0.25">
      <c r="A931" s="356"/>
      <c r="B931" s="376"/>
      <c r="C931" s="379"/>
      <c r="D931" s="2" t="s">
        <v>10</v>
      </c>
      <c r="E931" s="160" t="str">
        <f>A913&amp;"/"&amp;B929&amp;"/"&amp;C929&amp;"/"&amp;D931</f>
        <v>Coal fired power plants/Fluidized bed combustion/Electricity only/S</v>
      </c>
      <c r="F931" s="76" t="str">
        <f>A913</f>
        <v>Coal fired power plants</v>
      </c>
      <c r="G931" s="76" t="str">
        <f>B929</f>
        <v>Fluidized bed combustion</v>
      </c>
      <c r="H931" s="76" t="str">
        <f>C929</f>
        <v>Electricity only</v>
      </c>
      <c r="I931" s="161" t="str">
        <f t="shared" si="367"/>
        <v>S</v>
      </c>
      <c r="J931" s="105">
        <f>IF(tech_base!$T27&gt;J$905,"",J2051+tech_proj!J1551/(1-tech_proj!J431))</f>
        <v>35.7421715809053</v>
      </c>
      <c r="K931" s="105">
        <f>IF(tech_base!$T27&gt;K$905,"",K2051+tech_proj!K1551/(1-tech_proj!K431))</f>
        <v>43.571698977724168</v>
      </c>
      <c r="L931" s="105">
        <f>IF(tech_base!$T27&gt;L$905,"",L2051+tech_proj!L1551/(1-tech_proj!L431))</f>
        <v>37.698207997577029</v>
      </c>
      <c r="M931" s="105">
        <f>IF(tech_base!$T27&gt;M$905,"",M2051+tech_proj!M1551/(1-tech_proj!M431))</f>
        <v>34.437051535511301</v>
      </c>
      <c r="N931" s="105">
        <f>IF(tech_base!$T27&gt;N$905,"",N2051+tech_proj!N1551/(1-tech_proj!N431))</f>
        <v>33.225712318238621</v>
      </c>
      <c r="O931" s="105">
        <f>IF(tech_base!$T27&gt;O$905,"",O2051+tech_proj!O1551/(1-tech_proj!O431))</f>
        <v>31.474247820438286</v>
      </c>
      <c r="P931" s="105">
        <f>IF(tech_base!$T27&gt;P$905,"",P2051+tech_proj!P1551/(1-tech_proj!P431))</f>
        <v>33.008947107971366</v>
      </c>
      <c r="Q931" s="105">
        <f>IF(tech_base!$T27&gt;Q$905,"",Q2051+tech_proj!Q1551/(1-tech_proj!Q431))</f>
        <v>40.816660092361246</v>
      </c>
      <c r="R931" s="105">
        <f>IF(tech_base!$T27&gt;R$905,"",R2051+tech_proj!R1551/(1-tech_proj!R431))</f>
        <v>41.018401646953144</v>
      </c>
      <c r="S931" s="105">
        <f>IF(tech_base!$T27&gt;S$905,"",S2051+tech_proj!S1551/(1-tech_proj!S431))</f>
        <v>41.216723860684958</v>
      </c>
      <c r="T931" s="105">
        <f>IF(tech_base!$T27&gt;T$905,"",T2051+tech_proj!T1551/(1-tech_proj!T431))</f>
        <v>41.411452669261273</v>
      </c>
      <c r="U931" s="105">
        <f>IF(tech_base!$T27&gt;U$905,"",U2051+tech_proj!U1551/(1-tech_proj!U431))</f>
        <v>42.242627027953183</v>
      </c>
      <c r="V931" s="105">
        <f>IF(tech_base!$T27&gt;V$905,"",V2051+tech_proj!V1551/(1-tech_proj!V431))</f>
        <v>42.255862706324749</v>
      </c>
      <c r="W931" s="105">
        <f>IF(tech_base!$T27&gt;W$905,"",W2051+tech_proj!W1551/(1-tech_proj!W431))</f>
        <v>42.215147197958771</v>
      </c>
      <c r="X931" s="105">
        <f>IF(tech_base!$T27&gt;X$905,"",X2051+tech_proj!X1551/(1-tech_proj!X431))</f>
        <v>42.418551956917788</v>
      </c>
      <c r="Y931" s="105">
        <f>IF(tech_base!$T27&gt;Y$905,"",Y2051+tech_proj!Y1551/(1-tech_proj!Y431))</f>
        <v>42.657809980645595</v>
      </c>
      <c r="Z931" s="105">
        <f>IF(tech_base!$T27&gt;Z$905,"",Z2051+tech_proj!Z1551/(1-tech_proj!Z431))</f>
        <v>43.850453920974424</v>
      </c>
      <c r="AA931" s="105">
        <f>IF(tech_base!$T27&gt;AA$905,"",AA2051+tech_proj!AA1551/(1-tech_proj!AA431))</f>
        <v>45.0358215177068</v>
      </c>
      <c r="AB931" s="105">
        <f>IF(tech_base!$T27&gt;AB$905,"",AB2051+tech_proj!AB1551/(1-tech_proj!AB431))</f>
        <v>46.256889719652889</v>
      </c>
      <c r="AC931" s="105">
        <f>IF(tech_base!$T27&gt;AC$905,"",AC2051+tech_proj!AC1551/(1-tech_proj!AC431))</f>
        <v>47.482187647380442</v>
      </c>
      <c r="AD931" s="105">
        <f>IF(tech_base!$T27&gt;AD$905,"",AD2051+tech_proj!AD1551/(1-tech_proj!AD431))</f>
        <v>48.820300409657825</v>
      </c>
      <c r="AE931" s="105">
        <f>IF(tech_base!$T27&gt;AE$905,"",AE2051+tech_proj!AE1551/(1-tech_proj!AE431))</f>
        <v>49.15875926637672</v>
      </c>
      <c r="AF931" s="105">
        <f>IF(tech_base!$T27&gt;AF$905,"",AF2051+tech_proj!AF1551/(1-tech_proj!AF431))</f>
        <v>49.629950077911559</v>
      </c>
      <c r="AG931" s="105">
        <f>IF(tech_base!$T27&gt;AG$905,"",AG2051+tech_proj!AG1551/(1-tech_proj!AG431))</f>
        <v>50.114288480426843</v>
      </c>
      <c r="AH931" s="105">
        <f>IF(tech_base!$T27&gt;AH$905,"",AH2051+tech_proj!AH1551/(1-tech_proj!AH431))</f>
        <v>50.547129397940189</v>
      </c>
      <c r="AI931" s="105">
        <f>IF(tech_base!$T27&gt;AI$905,"",AI2051+tech_proj!AI1551/(1-tech_proj!AI431))</f>
        <v>50.917213435683443</v>
      </c>
      <c r="AJ931" s="105">
        <f>IF(tech_base!$T27&gt;AJ$905,"",AJ2051+tech_proj!AJ1551/(1-tech_proj!AJ431))</f>
        <v>51.134972873961964</v>
      </c>
      <c r="AK931" s="105">
        <f>IF(tech_base!$T27&gt;AK$905,"",AK2051+tech_proj!AK1551/(1-tech_proj!AK431))</f>
        <v>51.399385036764663</v>
      </c>
      <c r="AL931" s="105">
        <f>IF(tech_base!$T27&gt;AL$905,"",AL2051+tech_proj!AL1551/(1-tech_proj!AL431))</f>
        <v>51.692847581567221</v>
      </c>
      <c r="AM931" s="105">
        <f>IF(tech_base!$T27&gt;AM$905,"",AM2051+tech_proj!AM1551/(1-tech_proj!AM431))</f>
        <v>52.007098775188503</v>
      </c>
      <c r="AN931" s="105">
        <f>IF(tech_base!$T27&gt;AN$905,"",AN2051+tech_proj!AN1551/(1-tech_proj!AN431))</f>
        <v>52.196462713022683</v>
      </c>
      <c r="AO931" s="105">
        <f>IF(tech_base!$T27&gt;AO$905,"",AO2051+tech_proj!AO1551/(1-tech_proj!AO431))</f>
        <v>52.364213466792094</v>
      </c>
      <c r="AP931" s="105">
        <f>IF(tech_base!$T27&gt;AP$905,"",AP2051+tech_proj!AP1551/(1-tech_proj!AP431))</f>
        <v>52.511514061178623</v>
      </c>
      <c r="AQ931" s="105">
        <f>IF(tech_base!$T27&gt;AQ$905,"",AQ2051+tech_proj!AQ1551/(1-tech_proj!AQ431))</f>
        <v>52.644985002104647</v>
      </c>
      <c r="AR931" s="105">
        <f>IF(tech_base!$T27&gt;AR$905,"",AR2051+tech_proj!AR1551/(1-tech_proj!AR431))</f>
        <v>52.802958744738682</v>
      </c>
      <c r="AS931" s="105">
        <f>IF(tech_base!$T27&gt;AS$905,"",AS2051+tech_proj!AS1551/(1-tech_proj!AS431))</f>
        <v>52.96142798054565</v>
      </c>
      <c r="AT931" s="105">
        <f>IF(tech_base!$T27&gt;AT$905,"",AT2051+tech_proj!AT1551/(1-tech_proj!AT431))</f>
        <v>52.977640727302131</v>
      </c>
      <c r="AU931" s="105">
        <f>IF(tech_base!$T27&gt;AU$905,"",AU2051+tech_proj!AU1551/(1-tech_proj!AU431))</f>
        <v>53.108024147726418</v>
      </c>
      <c r="AV931" s="105">
        <f>IF(tech_base!$T27&gt;AV$905,"",AV2051+tech_proj!AV1551/(1-tech_proj!AV431))</f>
        <v>53.17755032923305</v>
      </c>
      <c r="AW931" s="105">
        <f>IF(tech_base!$T27&gt;AW$905,"",AW2051+tech_proj!AW1551/(1-tech_proj!AW431))</f>
        <v>53.220252512405906</v>
      </c>
      <c r="AX931" s="106">
        <f>IF(tech_base!$T27&gt;AX$905,"",AX2051+tech_proj!AX1551/(1-tech_proj!AX431))</f>
        <v>53.357992779030589</v>
      </c>
    </row>
    <row r="932" spans="1:50" x14ac:dyDescent="0.25">
      <c r="A932" s="356"/>
      <c r="B932" s="376"/>
      <c r="C932" s="361" t="s">
        <v>14</v>
      </c>
      <c r="D932" s="58" t="s">
        <v>7</v>
      </c>
      <c r="E932" s="164" t="str">
        <f>A913&amp;"/"&amp;B929&amp;"/"&amp;C932&amp;"/"&amp;D932</f>
        <v>Coal fired power plants/Fluidized bed combustion/CHP/L</v>
      </c>
      <c r="F932" s="78" t="str">
        <f>A913</f>
        <v>Coal fired power plants</v>
      </c>
      <c r="G932" s="78" t="str">
        <f>B929</f>
        <v>Fluidized bed combustion</v>
      </c>
      <c r="H932" s="78" t="str">
        <f>C932</f>
        <v>CHP</v>
      </c>
      <c r="I932" s="165" t="str">
        <f t="shared" si="367"/>
        <v>L</v>
      </c>
      <c r="J932" s="109">
        <f>IF(tech_base!$T28&gt;J$905,"",J2052+tech_proj!J1552/(1-tech_proj!J432))</f>
        <v>35.553080354518229</v>
      </c>
      <c r="K932" s="109">
        <f>IF(tech_base!$T28&gt;K$905,"",K2052+tech_proj!K1552/(1-tech_proj!K432))</f>
        <v>43.366776563623361</v>
      </c>
      <c r="L932" s="109">
        <f>IF(tech_base!$T28&gt;L$905,"",L2052+tech_proj!L1552/(1-tech_proj!L432))</f>
        <v>37.509987087097244</v>
      </c>
      <c r="M932" s="109">
        <f>IF(tech_base!$T28&gt;M$905,"",M2052+tech_proj!M1552/(1-tech_proj!M432))</f>
        <v>34.259449376976832</v>
      </c>
      <c r="N932" s="109">
        <f>IF(tech_base!$T28&gt;N$905,"",N2052+tech_proj!N1552/(1-tech_proj!N432))</f>
        <v>33.054372760025998</v>
      </c>
      <c r="O932" s="109">
        <f>IF(tech_base!$T28&gt;O$905,"",O2052+tech_proj!O1552/(1-tech_proj!O432))</f>
        <v>31.310600011375605</v>
      </c>
      <c r="P932" s="109">
        <f>IF(tech_base!$T28&gt;P$905,"",P2052+tech_proj!P1552/(1-tech_proj!P432))</f>
        <v>32.84695439855907</v>
      </c>
      <c r="Q932" s="109">
        <f>IF(tech_base!$T28&gt;Q$905,"",Q2052+tech_proj!Q1552/(1-tech_proj!Q432))</f>
        <v>40.646220039541554</v>
      </c>
      <c r="R932" s="109">
        <f>IF(tech_base!$T28&gt;R$905,"",R2052+tech_proj!R1552/(1-tech_proj!R432))</f>
        <v>40.855099233211256</v>
      </c>
      <c r="S932" s="109">
        <f>IF(tech_base!$T28&gt;S$905,"",S2052+tech_proj!S1552/(1-tech_proj!S432))</f>
        <v>41.061758486903095</v>
      </c>
      <c r="T932" s="109">
        <f>IF(tech_base!$T28&gt;T$905,"",T2052+tech_proj!T1552/(1-tech_proj!T432))</f>
        <v>41.266197817098266</v>
      </c>
      <c r="U932" s="109">
        <f>IF(tech_base!$T28&gt;U$905,"",U2052+tech_proj!U1552/(1-tech_proj!U432))</f>
        <v>42.107980419346212</v>
      </c>
      <c r="V932" s="109">
        <f>IF(tech_base!$T28&gt;V$905,"",V2052+tech_proj!V1552/(1-tech_proj!V432))</f>
        <v>42.13458836113108</v>
      </c>
      <c r="W932" s="109">
        <f>IF(tech_base!$T28&gt;W$905,"",W2052+tech_proj!W1552/(1-tech_proj!W432))</f>
        <v>42.109227373764043</v>
      </c>
      <c r="X932" s="109">
        <f>IF(tech_base!$T28&gt;X$905,"",X2052+tech_proj!X1552/(1-tech_proj!X432))</f>
        <v>42.330123650492638</v>
      </c>
      <c r="Y932" s="109">
        <f>IF(tech_base!$T28&gt;Y$905,"",Y2052+tech_proj!Y1552/(1-tech_proj!Y432))</f>
        <v>42.589520506184272</v>
      </c>
      <c r="Z932" s="109">
        <f>IF(tech_base!$T28&gt;Z$905,"",Z2052+tech_proj!Z1552/(1-tech_proj!Z432))</f>
        <v>43.805940412966443</v>
      </c>
      <c r="AA932" s="109">
        <f>IF(tech_base!$T28&gt;AA$905,"",AA2052+tech_proj!AA1552/(1-tech_proj!AA432))</f>
        <v>45.0194051692323</v>
      </c>
      <c r="AB932" s="109">
        <f>IF(tech_base!$T28&gt;AB$905,"",AB2052+tech_proj!AB1552/(1-tech_proj!AB432))</f>
        <v>46.273541320055855</v>
      </c>
      <c r="AC932" s="109">
        <f>IF(tech_base!$T28&gt;AC$905,"",AC2052+tech_proj!AC1552/(1-tech_proj!AC432))</f>
        <v>47.537504343061165</v>
      </c>
      <c r="AD932" s="109">
        <f>IF(tech_base!$T28&gt;AD$905,"",AD2052+tech_proj!AD1552/(1-tech_proj!AD432))</f>
        <v>48.920900476878089</v>
      </c>
      <c r="AE932" s="109">
        <f>IF(tech_base!$T28&gt;AE$905,"",AE2052+tech_proj!AE1552/(1-tech_proj!AE432))</f>
        <v>49.307912878153289</v>
      </c>
      <c r="AF932" s="109">
        <f>IF(tech_base!$T28&gt;AF$905,"",AF2052+tech_proj!AF1552/(1-tech_proj!AF432))</f>
        <v>49.834379406492786</v>
      </c>
      <c r="AG932" s="109">
        <f>IF(tech_base!$T28&gt;AG$905,"",AG2052+tech_proj!AG1552/(1-tech_proj!AG432))</f>
        <v>50.380826845100465</v>
      </c>
      <c r="AH932" s="109">
        <f>IF(tech_base!$T28&gt;AH$905,"",AH2052+tech_proj!AH1552/(1-tech_proj!AH432))</f>
        <v>50.882562964650582</v>
      </c>
      <c r="AI932" s="109">
        <f>IF(tech_base!$T28&gt;AI$905,"",AI2052+tech_proj!AI1552/(1-tech_proj!AI432))</f>
        <v>51.328270366347326</v>
      </c>
      <c r="AJ932" s="109">
        <f>IF(tech_base!$T28&gt;AJ$905,"",AJ2052+tech_proj!AJ1552/(1-tech_proj!AJ432))</f>
        <v>51.627294812015272</v>
      </c>
      <c r="AK932" s="109">
        <f>IF(tech_base!$T28&gt;AK$905,"",AK2052+tech_proj!AK1552/(1-tech_proj!AK432))</f>
        <v>51.979836721302206</v>
      </c>
      <c r="AL932" s="109">
        <f>IF(tech_base!$T28&gt;AL$905,"",AL2052+tech_proj!AL1552/(1-tech_proj!AL432))</f>
        <v>52.367612974162391</v>
      </c>
      <c r="AM932" s="109">
        <f>IF(tech_base!$T28&gt;AM$905,"",AM2052+tech_proj!AM1552/(1-tech_proj!AM432))</f>
        <v>52.781303270576743</v>
      </c>
      <c r="AN932" s="109">
        <f>IF(tech_base!$T28&gt;AN$905,"",AN2052+tech_proj!AN1552/(1-tech_proj!AN432))</f>
        <v>53.071512135645762</v>
      </c>
      <c r="AO932" s="109">
        <f>IF(tech_base!$T28&gt;AO$905,"",AO2052+tech_proj!AO1552/(1-tech_proj!AO432))</f>
        <v>53.340574485320239</v>
      </c>
      <c r="AP932" s="109">
        <f>IF(tech_base!$T28&gt;AP$905,"",AP2052+tech_proj!AP1552/(1-tech_proj!AP432))</f>
        <v>53.586936837723798</v>
      </c>
      <c r="AQ932" s="109">
        <f>IF(tech_base!$T28&gt;AQ$905,"",AQ2052+tech_proj!AQ1552/(1-tech_proj!AQ432))</f>
        <v>53.814162063318747</v>
      </c>
      <c r="AR932" s="109">
        <f>IF(tech_base!$T28&gt;AR$905,"",AR2052+tech_proj!AR1552/(1-tech_proj!AR432))</f>
        <v>54.05793815014362</v>
      </c>
      <c r="AS932" s="109">
        <f>IF(tech_base!$T28&gt;AS$905,"",AS2052+tech_proj!AS1552/(1-tech_proj!AS432))</f>
        <v>54.290315940337287</v>
      </c>
      <c r="AT932" s="109">
        <f>IF(tech_base!$T28&gt;AT$905,"",AT2052+tech_proj!AT1552/(1-tech_proj!AT432))</f>
        <v>54.361939696261025</v>
      </c>
      <c r="AU932" s="109">
        <f>IF(tech_base!$T28&gt;AU$905,"",AU2052+tech_proj!AU1552/(1-tech_proj!AU432))</f>
        <v>54.532620363066563</v>
      </c>
      <c r="AV932" s="109">
        <f>IF(tech_base!$T28&gt;AV$905,"",AV2052+tech_proj!AV1552/(1-tech_proj!AV432))</f>
        <v>54.62182321801513</v>
      </c>
      <c r="AW932" s="109">
        <f>IF(tech_base!$T28&gt;AW$905,"",AW2052+tech_proj!AW1552/(1-tech_proj!AW432))</f>
        <v>54.66447125069994</v>
      </c>
      <c r="AX932" s="110">
        <f>IF(tech_base!$T28&gt;AX$905,"",AX2052+tech_proj!AX1552/(1-tech_proj!AX432))</f>
        <v>54.787189593254467</v>
      </c>
    </row>
    <row r="933" spans="1:50" x14ac:dyDescent="0.25">
      <c r="A933" s="356"/>
      <c r="B933" s="376"/>
      <c r="C933" s="378"/>
      <c r="D933" s="2" t="s">
        <v>8</v>
      </c>
      <c r="E933" s="160" t="str">
        <f>A913&amp;"/"&amp;B929&amp;"/"&amp;C932&amp;"/"&amp;D933</f>
        <v>Coal fired power plants/Fluidized bed combustion/CHP/M</v>
      </c>
      <c r="F933" s="76" t="str">
        <f>A913</f>
        <v>Coal fired power plants</v>
      </c>
      <c r="G933" s="76" t="str">
        <f>B929</f>
        <v>Fluidized bed combustion</v>
      </c>
      <c r="H933" s="76" t="str">
        <f>C932</f>
        <v>CHP</v>
      </c>
      <c r="I933" s="161" t="str">
        <f t="shared" si="367"/>
        <v>M</v>
      </c>
      <c r="J933" s="105">
        <f>IF(tech_base!$T29&gt;J$905,"",J2053+tech_proj!J1553/(1-tech_proj!J433))</f>
        <v>37.507122914680409</v>
      </c>
      <c r="K933" s="105">
        <f>IF(tech_base!$T29&gt;K$905,"",K2053+tech_proj!K1553/(1-tech_proj!K433))</f>
        <v>45.733613978939779</v>
      </c>
      <c r="L933" s="105">
        <f>IF(tech_base!$T29&gt;L$905,"",L2053+tech_proj!L1553/(1-tech_proj!L433))</f>
        <v>39.566882287059912</v>
      </c>
      <c r="M933" s="105">
        <f>IF(tech_base!$T29&gt;M$905,"",M2053+tech_proj!M1553/(1-tech_proj!M433))</f>
        <v>36.144173694752936</v>
      </c>
      <c r="N933" s="105">
        <f>IF(tech_base!$T29&gt;N$905,"",N2053+tech_proj!N1553/(1-tech_proj!N433))</f>
        <v>34.875005879612537</v>
      </c>
      <c r="O933" s="105">
        <f>IF(tech_base!$T29&gt;O$905,"",O2053+tech_proj!O1553/(1-tech_proj!O433))</f>
        <v>33.038641573485663</v>
      </c>
      <c r="P933" s="105">
        <f>IF(tech_base!$T29&gt;P$905,"",P2053+tech_proj!P1553/(1-tech_proj!P433))</f>
        <v>34.655616669084424</v>
      </c>
      <c r="Q933" s="105">
        <f>IF(tech_base!$T29&gt;Q$905,"",Q2053+tech_proj!Q1553/(1-tech_proj!Q433))</f>
        <v>42.866065997280174</v>
      </c>
      <c r="R933" s="105">
        <f>IF(tech_base!$T29&gt;R$905,"",R2053+tech_proj!R1553/(1-tech_proj!R433))</f>
        <v>43.085107910479636</v>
      </c>
      <c r="S933" s="105">
        <f>IF(tech_base!$T29&gt;S$905,"",S2053+tech_proj!S1553/(1-tech_proj!S433))</f>
        <v>43.301669422087009</v>
      </c>
      <c r="T933" s="105">
        <f>IF(tech_base!$T29&gt;T$905,"",T2053+tech_proj!T1553/(1-tech_proj!T433))</f>
        <v>43.515729763630411</v>
      </c>
      <c r="U933" s="105">
        <f>IF(tech_base!$T29&gt;U$905,"",U2053+tech_proj!U1553/(1-tech_proj!U433))</f>
        <v>44.40054432541077</v>
      </c>
      <c r="V933" s="105">
        <f>IF(tech_base!$T29&gt;V$905,"",V2053+tech_proj!V1553/(1-tech_proj!V433))</f>
        <v>44.426984340307555</v>
      </c>
      <c r="W933" s="105">
        <f>IF(tech_base!$T29&gt;W$905,"",W2053+tech_proj!W1553/(1-tech_proj!W433))</f>
        <v>44.3984871752453</v>
      </c>
      <c r="X933" s="105">
        <f>IF(tech_base!$T29&gt;X$905,"",X2053+tech_proj!X1553/(1-tech_proj!X433))</f>
        <v>44.628947258748411</v>
      </c>
      <c r="Y933" s="105">
        <f>IF(tech_base!$T29&gt;Y$905,"",Y2053+tech_proj!Y1553/(1-tech_proj!Y433))</f>
        <v>44.89962440435032</v>
      </c>
      <c r="Z933" s="105">
        <f>IF(tech_base!$T29&gt;Z$905,"",Z2053+tech_proj!Z1553/(1-tech_proj!Z433))</f>
        <v>46.177238518951889</v>
      </c>
      <c r="AA933" s="105">
        <f>IF(tech_base!$T29&gt;AA$905,"",AA2053+tech_proj!AA1553/(1-tech_proj!AA433))</f>
        <v>47.451250513208876</v>
      </c>
      <c r="AB933" s="105">
        <f>IF(tech_base!$T29&gt;AB$905,"",AB2053+tech_proj!AB1553/(1-tech_proj!AB433))</f>
        <v>48.767517157549477</v>
      </c>
      <c r="AC933" s="105">
        <f>IF(tech_base!$T29&gt;AC$905,"",AC2053+tech_proj!AC1553/(1-tech_proj!AC433))</f>
        <v>50.093515614401682</v>
      </c>
      <c r="AD933" s="105">
        <f>IF(tech_base!$T29&gt;AD$905,"",AD2053+tech_proj!AD1553/(1-tech_proj!AD433))</f>
        <v>51.544522658676435</v>
      </c>
      <c r="AE933" s="105">
        <f>IF(tech_base!$T29&gt;AE$905,"",AE2053+tech_proj!AE1553/(1-tech_proj!AE433))</f>
        <v>51.946450767731847</v>
      </c>
      <c r="AF933" s="105">
        <f>IF(tech_base!$T29&gt;AF$905,"",AF2053+tech_proj!AF1553/(1-tech_proj!AF433))</f>
        <v>52.494520060521502</v>
      </c>
      <c r="AG933" s="105">
        <f>IF(tech_base!$T29&gt;AG$905,"",AG2053+tech_proj!AG1553/(1-tech_proj!AG433))</f>
        <v>53.063016779922641</v>
      </c>
      <c r="AH933" s="105">
        <f>IF(tech_base!$T29&gt;AH$905,"",AH2053+tech_proj!AH1553/(1-tech_proj!AH433))</f>
        <v>53.583923833047052</v>
      </c>
      <c r="AI933" s="105">
        <f>IF(tech_base!$T29&gt;AI$905,"",AI2053+tech_proj!AI1553/(1-tech_proj!AI433))</f>
        <v>54.045427870708323</v>
      </c>
      <c r="AJ933" s="105">
        <f>IF(tech_base!$T29&gt;AJ$905,"",AJ2053+tech_proj!AJ1553/(1-tech_proj!AJ433))</f>
        <v>54.352341388650274</v>
      </c>
      <c r="AK933" s="105">
        <f>IF(tech_base!$T29&gt;AK$905,"",AK2053+tech_proj!AK1553/(1-tech_proj!AK433))</f>
        <v>54.715410055171276</v>
      </c>
      <c r="AL933" s="105">
        <f>IF(tech_base!$T29&gt;AL$905,"",AL2053+tech_proj!AL1553/(1-tech_proj!AL433))</f>
        <v>55.115649382509531</v>
      </c>
      <c r="AM933" s="105">
        <f>IF(tech_base!$T29&gt;AM$905,"",AM2053+tech_proj!AM1553/(1-tech_proj!AM433))</f>
        <v>55.543586223320297</v>
      </c>
      <c r="AN933" s="105">
        <f>IF(tech_base!$T29&gt;AN$905,"",AN2053+tech_proj!AN1553/(1-tech_proj!AN433))</f>
        <v>55.842595235629545</v>
      </c>
      <c r="AO933" s="105">
        <f>IF(tech_base!$T29&gt;AO$905,"",AO2053+tech_proj!AO1553/(1-tech_proj!AO433))</f>
        <v>56.12076290470592</v>
      </c>
      <c r="AP933" s="105">
        <f>IF(tech_base!$T29&gt;AP$905,"",AP2053+tech_proj!AP1553/(1-tech_proj!AP433))</f>
        <v>56.376998258929078</v>
      </c>
      <c r="AQ933" s="105">
        <f>IF(tech_base!$T29&gt;AQ$905,"",AQ2053+tech_proj!AQ1553/(1-tech_proj!AQ433))</f>
        <v>56.615586557761709</v>
      </c>
      <c r="AR933" s="105">
        <f>IF(tech_base!$T29&gt;AR$905,"",AR2053+tech_proj!AR1553/(1-tech_proj!AR433))</f>
        <v>56.874503695653999</v>
      </c>
      <c r="AS933" s="105">
        <f>IF(tech_base!$T29&gt;AS$905,"",AS2053+tech_proj!AS1553/(1-tech_proj!AS433))</f>
        <v>57.124664072325089</v>
      </c>
      <c r="AT933" s="105">
        <f>IF(tech_base!$T29&gt;AT$905,"",AT2053+tech_proj!AT1553/(1-tech_proj!AT433))</f>
        <v>57.209025715489034</v>
      </c>
      <c r="AU933" s="105">
        <f>IF(tech_base!$T29&gt;AU$905,"",AU2053+tech_proj!AU1553/(1-tech_proj!AU433))</f>
        <v>57.40024322137419</v>
      </c>
      <c r="AV933" s="105">
        <f>IF(tech_base!$T29&gt;AV$905,"",AV2053+tech_proj!AV1553/(1-tech_proj!AV433))</f>
        <v>57.507474354014001</v>
      </c>
      <c r="AW933" s="105">
        <f>IF(tech_base!$T29&gt;AW$905,"",AW2053+tech_proj!AW1553/(1-tech_proj!AW433))</f>
        <v>57.565781240629093</v>
      </c>
      <c r="AX933" s="106">
        <f>IF(tech_base!$T29&gt;AX$905,"",AX2053+tech_proj!AX1553/(1-tech_proj!AX433))</f>
        <v>57.706217044273238</v>
      </c>
    </row>
    <row r="934" spans="1:50" x14ac:dyDescent="0.25">
      <c r="A934" s="356"/>
      <c r="B934" s="376"/>
      <c r="C934" s="379"/>
      <c r="D934" s="59" t="s">
        <v>10</v>
      </c>
      <c r="E934" s="166" t="str">
        <f>A913&amp;"/"&amp;B929&amp;"/"&amp;C932&amp;"/"&amp;D934</f>
        <v>Coal fired power plants/Fluidized bed combustion/CHP/S</v>
      </c>
      <c r="F934" s="79" t="str">
        <f>A913</f>
        <v>Coal fired power plants</v>
      </c>
      <c r="G934" s="79" t="str">
        <f>B929</f>
        <v>Fluidized bed combustion</v>
      </c>
      <c r="H934" s="79" t="str">
        <f>C932</f>
        <v>CHP</v>
      </c>
      <c r="I934" s="167" t="str">
        <f t="shared" si="367"/>
        <v>S</v>
      </c>
      <c r="J934" s="111">
        <f>IF(tech_base!$T30&gt;J$905,"",J2054+tech_proj!J1554/(1-tech_proj!J434))</f>
        <v>39.873317499073814</v>
      </c>
      <c r="K934" s="111">
        <f>IF(tech_base!$T30&gt;K$905,"",K2054+tech_proj!K1554/(1-tech_proj!K434))</f>
        <v>48.535056888444949</v>
      </c>
      <c r="L934" s="111">
        <f>IF(tech_base!$T30&gt;L$905,"",L2054+tech_proj!L1554/(1-tech_proj!L434))</f>
        <v>42.040492721861334</v>
      </c>
      <c r="M934" s="111">
        <f>IF(tech_base!$T30&gt;M$905,"",M2054+tech_proj!M1554/(1-tech_proj!M434))</f>
        <v>38.435401132474666</v>
      </c>
      <c r="N934" s="111">
        <f>IF(tech_base!$T30&gt;N$905,"",N2054+tech_proj!N1554/(1-tech_proj!N434))</f>
        <v>37.097874780981329</v>
      </c>
      <c r="O934" s="111">
        <f>IF(tech_base!$T30&gt;O$905,"",O2054+tech_proj!O1554/(1-tech_proj!O434))</f>
        <v>35.163045381012708</v>
      </c>
      <c r="P934" s="111">
        <f>IF(tech_base!$T30&gt;P$905,"",P2054+tech_proj!P1554/(1-tech_proj!P434))</f>
        <v>36.864117314777801</v>
      </c>
      <c r="Q934" s="111">
        <f>IF(tech_base!$T30&gt;Q$905,"",Q2054+tech_proj!Q1554/(1-tech_proj!Q434))</f>
        <v>45.506812189697087</v>
      </c>
      <c r="R934" s="111">
        <f>IF(tech_base!$T30&gt;R$905,"",R2054+tech_proj!R1554/(1-tech_proj!R434))</f>
        <v>45.735199452677954</v>
      </c>
      <c r="S934" s="111">
        <f>IF(tech_base!$T30&gt;S$905,"",S2054+tech_proj!S1554/(1-tech_proj!S434))</f>
        <v>45.96065767593754</v>
      </c>
      <c r="T934" s="111">
        <f>IF(tech_base!$T30&gt;T$905,"",T2054+tech_proj!T1554/(1-tech_proj!T434))</f>
        <v>46.183125728560519</v>
      </c>
      <c r="U934" s="111">
        <f>IF(tech_base!$T30&gt;U$905,"",U2054+tech_proj!U1554/(1-tech_proj!U434))</f>
        <v>47.111265560307643</v>
      </c>
      <c r="V934" s="111">
        <f>IF(tech_base!$T30&gt;V$905,"",V2054+tech_proj!V1554/(1-tech_proj!V434))</f>
        <v>47.13535502720498</v>
      </c>
      <c r="W934" s="111">
        <f>IF(tech_base!$T30&gt;W$905,"",W2054+tech_proj!W1554/(1-tech_proj!W434))</f>
        <v>47.101146074147195</v>
      </c>
      <c r="X934" s="111">
        <f>IF(tech_base!$T30&gt;X$905,"",X2054+tech_proj!X1554/(1-tech_proj!X434))</f>
        <v>47.338955108180556</v>
      </c>
      <c r="Y934" s="111">
        <f>IF(tech_base!$T30&gt;Y$905,"",Y2054+tech_proj!Y1554/(1-tech_proj!Y434))</f>
        <v>47.618470710788962</v>
      </c>
      <c r="Z934" s="111">
        <f>IF(tech_base!$T30&gt;Z$905,"",Z2054+tech_proj!Z1554/(1-tech_proj!Z434))</f>
        <v>48.956838338247159</v>
      </c>
      <c r="AA934" s="111">
        <f>IF(tech_base!$T30&gt;AA$905,"",AA2054+tech_proj!AA1554/(1-tech_proj!AA434))</f>
        <v>50.290438136829174</v>
      </c>
      <c r="AB934" s="111">
        <f>IF(tech_base!$T30&gt;AB$905,"",AB2054+tech_proj!AB1554/(1-tech_proj!AB434))</f>
        <v>51.66741266534747</v>
      </c>
      <c r="AC934" s="111">
        <f>IF(tech_base!$T30&gt;AC$905,"",AC2054+tech_proj!AC1554/(1-tech_proj!AC434))</f>
        <v>53.053434777281339</v>
      </c>
      <c r="AD934" s="111">
        <f>IF(tech_base!$T30&gt;AD$905,"",AD2054+tech_proj!AD1554/(1-tech_proj!AD434))</f>
        <v>54.569638102343291</v>
      </c>
      <c r="AE934" s="111">
        <f>IF(tech_base!$T30&gt;AE$905,"",AE2054+tech_proj!AE1554/(1-tech_proj!AE434))</f>
        <v>54.98127922583263</v>
      </c>
      <c r="AF934" s="111">
        <f>IF(tech_base!$T30&gt;AF$905,"",AF2054+tech_proj!AF1554/(1-tech_proj!AF434))</f>
        <v>55.54544555377926</v>
      </c>
      <c r="AG934" s="111">
        <f>IF(tech_base!$T30&gt;AG$905,"",AG2054+tech_proj!AG1554/(1-tech_proj!AG434))</f>
        <v>56.129893355328704</v>
      </c>
      <c r="AH934" s="111">
        <f>IF(tech_base!$T30&gt;AH$905,"",AH2054+tech_proj!AH1554/(1-tech_proj!AH434))</f>
        <v>56.663139641864994</v>
      </c>
      <c r="AI934" s="111">
        <f>IF(tech_base!$T30&gt;AI$905,"",AI2054+tech_proj!AI1554/(1-tech_proj!AI434))</f>
        <v>57.132855834497619</v>
      </c>
      <c r="AJ934" s="111">
        <f>IF(tech_base!$T30&gt;AJ$905,"",AJ2054+tech_proj!AJ1554/(1-tech_proj!AJ434))</f>
        <v>57.43919616684834</v>
      </c>
      <c r="AK934" s="111">
        <f>IF(tech_base!$T30&gt;AK$905,"",AK2054+tech_proj!AK1554/(1-tech_proj!AK434))</f>
        <v>57.803776327732933</v>
      </c>
      <c r="AL934" s="111">
        <f>IF(tech_base!$T30&gt;AL$905,"",AL2054+tech_proj!AL1554/(1-tech_proj!AL434))</f>
        <v>58.206866188013194</v>
      </c>
      <c r="AM934" s="111">
        <f>IF(tech_base!$T30&gt;AM$905,"",AM2054+tech_proj!AM1554/(1-tech_proj!AM434))</f>
        <v>58.638817956724196</v>
      </c>
      <c r="AN934" s="111">
        <f>IF(tech_base!$T30&gt;AN$905,"",AN2054+tech_proj!AN1554/(1-tech_proj!AN434))</f>
        <v>58.935638457373202</v>
      </c>
      <c r="AO934" s="111">
        <f>IF(tech_base!$T30&gt;AO$905,"",AO2054+tech_proj!AO1554/(1-tech_proj!AO434))</f>
        <v>59.211319836418014</v>
      </c>
      <c r="AP934" s="111">
        <f>IF(tech_base!$T30&gt;AP$905,"",AP2054+tech_proj!AP1554/(1-tech_proj!AP434))</f>
        <v>59.465282869015105</v>
      </c>
      <c r="AQ934" s="111">
        <f>IF(tech_base!$T30&gt;AQ$905,"",AQ2054+tech_proj!AQ1554/(1-tech_proj!AQ434))</f>
        <v>59.702623922809039</v>
      </c>
      <c r="AR934" s="111">
        <f>IF(tech_base!$T30&gt;AR$905,"",AR2054+tech_proj!AR1554/(1-tech_proj!AR434))</f>
        <v>59.963763332195128</v>
      </c>
      <c r="AS934" s="111">
        <f>IF(tech_base!$T30&gt;AS$905,"",AS2054+tech_proj!AS1554/(1-tech_proj!AS434))</f>
        <v>60.218707568906652</v>
      </c>
      <c r="AT934" s="111">
        <f>IF(tech_base!$T30&gt;AT$905,"",AT2054+tech_proj!AT1554/(1-tech_proj!AT434))</f>
        <v>60.303134242693595</v>
      </c>
      <c r="AU934" s="111">
        <f>IF(tech_base!$T30&gt;AU$905,"",AU2054+tech_proj!AU1554/(1-tech_proj!AU434))</f>
        <v>60.503121970104743</v>
      </c>
      <c r="AV934" s="111">
        <f>IF(tech_base!$T30&gt;AV$905,"",AV2054+tech_proj!AV1554/(1-tech_proj!AV434))</f>
        <v>60.618330772753453</v>
      </c>
      <c r="AW934" s="111">
        <f>IF(tech_base!$T30&gt;AW$905,"",AW2054+tech_proj!AW1554/(1-tech_proj!AW434))</f>
        <v>60.684946855354944</v>
      </c>
      <c r="AX934" s="112">
        <f>IF(tech_base!$T30&gt;AX$905,"",AX2054+tech_proj!AX1554/(1-tech_proj!AX434))</f>
        <v>60.839474559765371</v>
      </c>
    </row>
    <row r="935" spans="1:50" x14ac:dyDescent="0.25">
      <c r="A935" s="356"/>
      <c r="B935" s="376"/>
      <c r="C935" s="361" t="s">
        <v>15</v>
      </c>
      <c r="D935" s="58" t="s">
        <v>7</v>
      </c>
      <c r="E935" s="164" t="str">
        <f>A913&amp;"/"&amp;B929&amp;"/"&amp;C935&amp;"/"&amp;D935</f>
        <v>Coal fired power plants/Fluidized bed combustion/Electricity only with CCS/L</v>
      </c>
      <c r="F935" s="78" t="str">
        <f>A913</f>
        <v>Coal fired power plants</v>
      </c>
      <c r="G935" s="78" t="str">
        <f>B929</f>
        <v>Fluidized bed combustion</v>
      </c>
      <c r="H935" s="78" t="str">
        <f>C935</f>
        <v>Electricity only with CCS</v>
      </c>
      <c r="I935" s="165" t="str">
        <f t="shared" si="367"/>
        <v>L</v>
      </c>
      <c r="J935" s="109" t="str">
        <f>IF(tech_base!$T31&gt;J$905,"",J2055+tech_proj!J1555/(1-tech_proj!J435))</f>
        <v/>
      </c>
      <c r="K935" s="109" t="str">
        <f>IF(tech_base!$T31&gt;K$905,"",K2055+tech_proj!K1555/(1-tech_proj!K435))</f>
        <v/>
      </c>
      <c r="L935" s="109" t="str">
        <f>IF(tech_base!$T31&gt;L$905,"",L2055+tech_proj!L1555/(1-tech_proj!L435))</f>
        <v/>
      </c>
      <c r="M935" s="109" t="str">
        <f>IF(tech_base!$T31&gt;M$905,"",M2055+tech_proj!M1555/(1-tech_proj!M435))</f>
        <v/>
      </c>
      <c r="N935" s="109" t="str">
        <f>IF(tech_base!$T31&gt;N$905,"",N2055+tech_proj!N1555/(1-tech_proj!N435))</f>
        <v/>
      </c>
      <c r="O935" s="109" t="str">
        <f>IF(tech_base!$T31&gt;O$905,"",O2055+tech_proj!O1555/(1-tech_proj!O435))</f>
        <v/>
      </c>
      <c r="P935" s="109" t="str">
        <f>IF(tech_base!$T31&gt;P$905,"",P2055+tech_proj!P1555/(1-tech_proj!P435))</f>
        <v/>
      </c>
      <c r="Q935" s="109" t="str">
        <f>IF(tech_base!$T31&gt;Q$905,"",Q2055+tech_proj!Q1555/(1-tech_proj!Q435))</f>
        <v/>
      </c>
      <c r="R935" s="109" t="str">
        <f>IF(tech_base!$T31&gt;R$905,"",R2055+tech_proj!R1555/(1-tech_proj!R435))</f>
        <v/>
      </c>
      <c r="S935" s="109" t="str">
        <f>IF(tech_base!$T31&gt;S$905,"",S2055+tech_proj!S1555/(1-tech_proj!S435))</f>
        <v/>
      </c>
      <c r="T935" s="109" t="str">
        <f>IF(tech_base!$T31&gt;T$905,"",T2055+tech_proj!T1555/(1-tech_proj!T435))</f>
        <v/>
      </c>
      <c r="U935" s="109" t="str">
        <f>IF(tech_base!$T31&gt;U$905,"",U2055+tech_proj!U1555/(1-tech_proj!U435))</f>
        <v/>
      </c>
      <c r="V935" s="109" t="str">
        <f>IF(tech_base!$T31&gt;V$905,"",V2055+tech_proj!V1555/(1-tech_proj!V435))</f>
        <v/>
      </c>
      <c r="W935" s="109" t="str">
        <f>IF(tech_base!$T31&gt;W$905,"",W2055+tech_proj!W1555/(1-tech_proj!W435))</f>
        <v/>
      </c>
      <c r="X935" s="109" t="str">
        <f>IF(tech_base!$T31&gt;X$905,"",X2055+tech_proj!X1555/(1-tech_proj!X435))</f>
        <v/>
      </c>
      <c r="Y935" s="109" t="str">
        <f>IF(tech_base!$T31&gt;Y$905,"",Y2055+tech_proj!Y1555/(1-tech_proj!Y435))</f>
        <v/>
      </c>
      <c r="Z935" s="109" t="str">
        <f>IF(tech_base!$T31&gt;Z$905,"",Z2055+tech_proj!Z1555/(1-tech_proj!Z435))</f>
        <v/>
      </c>
      <c r="AA935" s="109" t="str">
        <f>IF(tech_base!$T31&gt;AA$905,"",AA2055+tech_proj!AA1555/(1-tech_proj!AA435))</f>
        <v/>
      </c>
      <c r="AB935" s="109" t="str">
        <f>IF(tech_base!$T31&gt;AB$905,"",AB2055+tech_proj!AB1555/(1-tech_proj!AB435))</f>
        <v/>
      </c>
      <c r="AC935" s="109" t="str">
        <f>IF(tech_base!$T31&gt;AC$905,"",AC2055+tech_proj!AC1555/(1-tech_proj!AC435))</f>
        <v/>
      </c>
      <c r="AD935" s="109" t="str">
        <f>IF(tech_base!$T31&gt;AD$905,"",AD2055+tech_proj!AD1555/(1-tech_proj!AD435))</f>
        <v/>
      </c>
      <c r="AE935" s="109">
        <f>IF(tech_base!$T31&gt;AE$905,"",AE2055+tech_proj!AE1555/(1-tech_proj!AE435))</f>
        <v>62.5022686744909</v>
      </c>
      <c r="AF935" s="109">
        <f>IF(tech_base!$T31&gt;AF$905,"",AF2055+tech_proj!AF1555/(1-tech_proj!AF435))</f>
        <v>63.129178981553075</v>
      </c>
      <c r="AG935" s="109">
        <f>IF(tech_base!$T31&gt;AG$905,"",AG2055+tech_proj!AG1555/(1-tech_proj!AG435))</f>
        <v>63.781898716212083</v>
      </c>
      <c r="AH935" s="109">
        <f>IF(tech_base!$T31&gt;AH$905,"",AH2055+tech_proj!AH1555/(1-tech_proj!AH435))</f>
        <v>64.385291334123835</v>
      </c>
      <c r="AI935" s="109">
        <f>IF(tech_base!$T31&gt;AI$905,"",AI2055+tech_proj!AI1555/(1-tech_proj!AI435))</f>
        <v>64.926464785308141</v>
      </c>
      <c r="AJ935" s="109">
        <f>IF(tech_base!$T31&gt;AJ$905,"",AJ2055+tech_proj!AJ1555/(1-tech_proj!AJ435))</f>
        <v>65.299788863001652</v>
      </c>
      <c r="AK935" s="109">
        <f>IF(tech_base!$T31&gt;AK$905,"",AK2055+tech_proj!AK1555/(1-tech_proj!AK435))</f>
        <v>65.739299186964402</v>
      </c>
      <c r="AL935" s="109">
        <f>IF(tech_base!$T31&gt;AL$905,"",AL2055+tech_proj!AL1555/(1-tech_proj!AL435))</f>
        <v>66.223838831700448</v>
      </c>
      <c r="AM935" s="109">
        <f>IF(tech_base!$T31&gt;AM$905,"",AM2055+tech_proj!AM1555/(1-tech_proj!AM435))</f>
        <v>66.742499794590657</v>
      </c>
      <c r="AN935" s="109">
        <f>IF(tech_base!$T31&gt;AN$905,"",AN2055+tech_proj!AN1555/(1-tech_proj!AN435))</f>
        <v>67.12002155966772</v>
      </c>
      <c r="AO935" s="109">
        <f>IF(tech_base!$T31&gt;AO$905,"",AO2055+tech_proj!AO1555/(1-tech_proj!AO435))</f>
        <v>67.475082788186356</v>
      </c>
      <c r="AP935" s="109">
        <f>IF(tech_base!$T31&gt;AP$905,"",AP2055+tech_proj!AP1555/(1-tech_proj!AP435))</f>
        <v>67.804132877773924</v>
      </c>
      <c r="AQ935" s="109">
        <f>IF(tech_base!$T31&gt;AQ$905,"",AQ2055+tech_proj!AQ1555/(1-tech_proj!AQ435))</f>
        <v>68.108607135303643</v>
      </c>
      <c r="AR935" s="109">
        <f>IF(tech_base!$T31&gt;AR$905,"",AR2055+tech_proj!AR1555/(1-tech_proj!AR435))</f>
        <v>68.426357747610481</v>
      </c>
      <c r="AS935" s="109">
        <f>IF(tech_base!$T31&gt;AS$905,"",AS2055+tech_proj!AS1555/(1-tech_proj!AS435))</f>
        <v>68.71892601148636</v>
      </c>
      <c r="AT935" s="109">
        <f>IF(tech_base!$T31&gt;AT$905,"",AT2055+tech_proj!AT1555/(1-tech_proj!AT435))</f>
        <v>68.80308957391415</v>
      </c>
      <c r="AU935" s="109">
        <f>IF(tech_base!$T31&gt;AU$905,"",AU2055+tech_proj!AU1555/(1-tech_proj!AU435))</f>
        <v>68.974613849562573</v>
      </c>
      <c r="AV935" s="109">
        <f>IF(tech_base!$T31&gt;AV$905,"",AV2055+tech_proj!AV1555/(1-tech_proj!AV435))</f>
        <v>69.00982842213709</v>
      </c>
      <c r="AW935" s="109">
        <f>IF(tech_base!$T31&gt;AW$905,"",AW2055+tech_proj!AW1555/(1-tech_proj!AW435))</f>
        <v>68.937281863903422</v>
      </c>
      <c r="AX935" s="110">
        <f>IF(tech_base!$T31&gt;AX$905,"",AX2055+tech_proj!AX1555/(1-tech_proj!AX435))</f>
        <v>68.893284248968541</v>
      </c>
    </row>
    <row r="936" spans="1:50" x14ac:dyDescent="0.25">
      <c r="A936" s="356"/>
      <c r="B936" s="376"/>
      <c r="C936" s="379"/>
      <c r="D936" s="59" t="s">
        <v>8</v>
      </c>
      <c r="E936" s="166" t="str">
        <f>A913&amp;"/"&amp;B929&amp;"/"&amp;C935&amp;"/"&amp;D936</f>
        <v>Coal fired power plants/Fluidized bed combustion/Electricity only with CCS/M</v>
      </c>
      <c r="F936" s="79" t="str">
        <f>A913</f>
        <v>Coal fired power plants</v>
      </c>
      <c r="G936" s="79" t="str">
        <f>B929</f>
        <v>Fluidized bed combustion</v>
      </c>
      <c r="H936" s="79" t="str">
        <f>C935</f>
        <v>Electricity only with CCS</v>
      </c>
      <c r="I936" s="167" t="str">
        <f t="shared" si="367"/>
        <v>M</v>
      </c>
      <c r="J936" s="111" t="str">
        <f>IF(tech_base!$T32&gt;J$905,"",J2056+tech_proj!J1556/(1-tech_proj!J436))</f>
        <v/>
      </c>
      <c r="K936" s="111" t="str">
        <f>IF(tech_base!$T32&gt;K$905,"",K2056+tech_proj!K1556/(1-tech_proj!K436))</f>
        <v/>
      </c>
      <c r="L936" s="111" t="str">
        <f>IF(tech_base!$T32&gt;L$905,"",L2056+tech_proj!L1556/(1-tech_proj!L436))</f>
        <v/>
      </c>
      <c r="M936" s="111" t="str">
        <f>IF(tech_base!$T32&gt;M$905,"",M2056+tech_proj!M1556/(1-tech_proj!M436))</f>
        <v/>
      </c>
      <c r="N936" s="111" t="str">
        <f>IF(tech_base!$T32&gt;N$905,"",N2056+tech_proj!N1556/(1-tech_proj!N436))</f>
        <v/>
      </c>
      <c r="O936" s="111" t="str">
        <f>IF(tech_base!$T32&gt;O$905,"",O2056+tech_proj!O1556/(1-tech_proj!O436))</f>
        <v/>
      </c>
      <c r="P936" s="111" t="str">
        <f>IF(tech_base!$T32&gt;P$905,"",P2056+tech_proj!P1556/(1-tech_proj!P436))</f>
        <v/>
      </c>
      <c r="Q936" s="111" t="str">
        <f>IF(tech_base!$T32&gt;Q$905,"",Q2056+tech_proj!Q1556/(1-tech_proj!Q436))</f>
        <v/>
      </c>
      <c r="R936" s="111" t="str">
        <f>IF(tech_base!$T32&gt;R$905,"",R2056+tech_proj!R1556/(1-tech_proj!R436))</f>
        <v/>
      </c>
      <c r="S936" s="111" t="str">
        <f>IF(tech_base!$T32&gt;S$905,"",S2056+tech_proj!S1556/(1-tech_proj!S436))</f>
        <v/>
      </c>
      <c r="T936" s="111" t="str">
        <f>IF(tech_base!$T32&gt;T$905,"",T2056+tech_proj!T1556/(1-tech_proj!T436))</f>
        <v/>
      </c>
      <c r="U936" s="111" t="str">
        <f>IF(tech_base!$T32&gt;U$905,"",U2056+tech_proj!U1556/(1-tech_proj!U436))</f>
        <v/>
      </c>
      <c r="V936" s="111" t="str">
        <f>IF(tech_base!$T32&gt;V$905,"",V2056+tech_proj!V1556/(1-tech_proj!V436))</f>
        <v/>
      </c>
      <c r="W936" s="111" t="str">
        <f>IF(tech_base!$T32&gt;W$905,"",W2056+tech_proj!W1556/(1-tech_proj!W436))</f>
        <v/>
      </c>
      <c r="X936" s="111" t="str">
        <f>IF(tech_base!$T32&gt;X$905,"",X2056+tech_proj!X1556/(1-tech_proj!X436))</f>
        <v/>
      </c>
      <c r="Y936" s="111" t="str">
        <f>IF(tech_base!$T32&gt;Y$905,"",Y2056+tech_proj!Y1556/(1-tech_proj!Y436))</f>
        <v/>
      </c>
      <c r="Z936" s="111" t="str">
        <f>IF(tech_base!$T32&gt;Z$905,"",Z2056+tech_proj!Z1556/(1-tech_proj!Z436))</f>
        <v/>
      </c>
      <c r="AA936" s="111" t="str">
        <f>IF(tech_base!$T32&gt;AA$905,"",AA2056+tech_proj!AA1556/(1-tech_proj!AA436))</f>
        <v/>
      </c>
      <c r="AB936" s="111" t="str">
        <f>IF(tech_base!$T32&gt;AB$905,"",AB2056+tech_proj!AB1556/(1-tech_proj!AB436))</f>
        <v/>
      </c>
      <c r="AC936" s="111" t="str">
        <f>IF(tech_base!$T32&gt;AC$905,"",AC2056+tech_proj!AC1556/(1-tech_proj!AC436))</f>
        <v/>
      </c>
      <c r="AD936" s="111" t="str">
        <f>IF(tech_base!$T32&gt;AD$905,"",AD2056+tech_proj!AD1556/(1-tech_proj!AD436))</f>
        <v/>
      </c>
      <c r="AE936" s="111">
        <f>IF(tech_base!$T32&gt;AE$905,"",AE2056+tech_proj!AE1556/(1-tech_proj!AE436))</f>
        <v>67.260454283234296</v>
      </c>
      <c r="AF936" s="111">
        <f>IF(tech_base!$T32&gt;AF$905,"",AF2056+tech_proj!AF1556/(1-tech_proj!AF436))</f>
        <v>67.927554135185531</v>
      </c>
      <c r="AG936" s="111">
        <f>IF(tech_base!$T32&gt;AG$905,"",AG2056+tech_proj!AG1556/(1-tech_proj!AG436))</f>
        <v>68.621930164177684</v>
      </c>
      <c r="AH936" s="111">
        <f>IF(tech_base!$T32&gt;AH$905,"",AH2056+tech_proj!AH1556/(1-tech_proj!AH436))</f>
        <v>69.263478875514821</v>
      </c>
      <c r="AI936" s="111">
        <f>IF(tech_base!$T32&gt;AI$905,"",AI2056+tech_proj!AI1556/(1-tech_proj!AI436))</f>
        <v>69.838388535208608</v>
      </c>
      <c r="AJ936" s="111">
        <f>IF(tech_base!$T32&gt;AJ$905,"",AJ2056+tech_proj!AJ1556/(1-tech_proj!AJ436))</f>
        <v>70.23403915141752</v>
      </c>
      <c r="AK936" s="111">
        <f>IF(tech_base!$T32&gt;AK$905,"",AK2056+tech_proj!AK1556/(1-tech_proj!AK436))</f>
        <v>70.699608917678859</v>
      </c>
      <c r="AL936" s="111">
        <f>IF(tech_base!$T32&gt;AL$905,"",AL2056+tech_proj!AL1556/(1-tech_proj!AL436))</f>
        <v>71.212393990234162</v>
      </c>
      <c r="AM936" s="111">
        <f>IF(tech_base!$T32&gt;AM$905,"",AM2056+tech_proj!AM1556/(1-tech_proj!AM436))</f>
        <v>71.760563885934801</v>
      </c>
      <c r="AN936" s="111">
        <f>IF(tech_base!$T32&gt;AN$905,"",AN2056+tech_proj!AN1556/(1-tech_proj!AN436))</f>
        <v>72.157181369983476</v>
      </c>
      <c r="AO936" s="111">
        <f>IF(tech_base!$T32&gt;AO$905,"",AO2056+tech_proj!AO1556/(1-tech_proj!AO436))</f>
        <v>72.528338927543615</v>
      </c>
      <c r="AP936" s="111">
        <f>IF(tech_base!$T32&gt;AP$905,"",AP2056+tech_proj!AP1556/(1-tech_proj!AP436))</f>
        <v>72.869856618852197</v>
      </c>
      <c r="AQ936" s="111">
        <f>IF(tech_base!$T32&gt;AQ$905,"",AQ2056+tech_proj!AQ1556/(1-tech_proj!AQ436))</f>
        <v>73.182775719316425</v>
      </c>
      <c r="AR936" s="111">
        <f>IF(tech_base!$T32&gt;AR$905,"",AR2056+tech_proj!AR1556/(1-tech_proj!AR436))</f>
        <v>73.506811554289087</v>
      </c>
      <c r="AS936" s="111">
        <f>IF(tech_base!$T32&gt;AS$905,"",AS2056+tech_proj!AS1556/(1-tech_proj!AS436))</f>
        <v>73.800307816684906</v>
      </c>
      <c r="AT936" s="111">
        <f>IF(tech_base!$T32&gt;AT$905,"",AT2056+tech_proj!AT1556/(1-tech_proj!AT436))</f>
        <v>73.8674324620319</v>
      </c>
      <c r="AU936" s="111">
        <f>IF(tech_base!$T32&gt;AU$905,"",AU2056+tech_proj!AU1556/(1-tech_proj!AU436))</f>
        <v>74.022165189293261</v>
      </c>
      <c r="AV936" s="111">
        <f>IF(tech_base!$T32&gt;AV$905,"",AV2056+tech_proj!AV1556/(1-tech_proj!AV436))</f>
        <v>74.025524227620821</v>
      </c>
      <c r="AW936" s="111">
        <f>IF(tech_base!$T32&gt;AW$905,"",AW2056+tech_proj!AW1556/(1-tech_proj!AW436))</f>
        <v>73.907068990740072</v>
      </c>
      <c r="AX936" s="112">
        <f>IF(tech_base!$T32&gt;AX$905,"",AX2056+tech_proj!AX1556/(1-tech_proj!AX436))</f>
        <v>73.811048129863735</v>
      </c>
    </row>
    <row r="937" spans="1:50" x14ac:dyDescent="0.25">
      <c r="A937" s="356"/>
      <c r="B937" s="376"/>
      <c r="C937" s="361" t="s">
        <v>16</v>
      </c>
      <c r="D937" s="2" t="s">
        <v>7</v>
      </c>
      <c r="E937" s="160" t="str">
        <f>A913&amp;"/"&amp;B929&amp;"/"&amp;C937&amp;"/"&amp;D937</f>
        <v>Coal fired power plants/Fluidized bed combustion/CHP with CCS/L</v>
      </c>
      <c r="F937" s="76" t="str">
        <f>A913</f>
        <v>Coal fired power plants</v>
      </c>
      <c r="G937" s="76" t="str">
        <f>B929</f>
        <v>Fluidized bed combustion</v>
      </c>
      <c r="H937" s="76" t="str">
        <f>C937</f>
        <v>CHP with CCS</v>
      </c>
      <c r="I937" s="161" t="str">
        <f t="shared" si="367"/>
        <v>L</v>
      </c>
      <c r="J937" s="105" t="str">
        <f>IF(tech_base!$T33&gt;J$905,"",J2057+tech_proj!J1557/(1-tech_proj!J437))</f>
        <v/>
      </c>
      <c r="K937" s="105" t="str">
        <f>IF(tech_base!$T33&gt;K$905,"",K2057+tech_proj!K1557/(1-tech_proj!K437))</f>
        <v/>
      </c>
      <c r="L937" s="105" t="str">
        <f>IF(tech_base!$T33&gt;L$905,"",L2057+tech_proj!L1557/(1-tech_proj!L437))</f>
        <v/>
      </c>
      <c r="M937" s="105" t="str">
        <f>IF(tech_base!$T33&gt;M$905,"",M2057+tech_proj!M1557/(1-tech_proj!M437))</f>
        <v/>
      </c>
      <c r="N937" s="105" t="str">
        <f>IF(tech_base!$T33&gt;N$905,"",N2057+tech_proj!N1557/(1-tech_proj!N437))</f>
        <v/>
      </c>
      <c r="O937" s="105" t="str">
        <f>IF(tech_base!$T33&gt;O$905,"",O2057+tech_proj!O1557/(1-tech_proj!O437))</f>
        <v/>
      </c>
      <c r="P937" s="105" t="str">
        <f>IF(tech_base!$T33&gt;P$905,"",P2057+tech_proj!P1557/(1-tech_proj!P437))</f>
        <v/>
      </c>
      <c r="Q937" s="105" t="str">
        <f>IF(tech_base!$T33&gt;Q$905,"",Q2057+tech_proj!Q1557/(1-tech_proj!Q437))</f>
        <v/>
      </c>
      <c r="R937" s="105" t="str">
        <f>IF(tech_base!$T33&gt;R$905,"",R2057+tech_proj!R1557/(1-tech_proj!R437))</f>
        <v/>
      </c>
      <c r="S937" s="105" t="str">
        <f>IF(tech_base!$T33&gt;S$905,"",S2057+tech_proj!S1557/(1-tech_proj!S437))</f>
        <v/>
      </c>
      <c r="T937" s="105" t="str">
        <f>IF(tech_base!$T33&gt;T$905,"",T2057+tech_proj!T1557/(1-tech_proj!T437))</f>
        <v/>
      </c>
      <c r="U937" s="105" t="str">
        <f>IF(tech_base!$T33&gt;U$905,"",U2057+tech_proj!U1557/(1-tech_proj!U437))</f>
        <v/>
      </c>
      <c r="V937" s="105" t="str">
        <f>IF(tech_base!$T33&gt;V$905,"",V2057+tech_proj!V1557/(1-tech_proj!V437))</f>
        <v/>
      </c>
      <c r="W937" s="105" t="str">
        <f>IF(tech_base!$T33&gt;W$905,"",W2057+tech_proj!W1557/(1-tech_proj!W437))</f>
        <v/>
      </c>
      <c r="X937" s="105" t="str">
        <f>IF(tech_base!$T33&gt;X$905,"",X2057+tech_proj!X1557/(1-tech_proj!X437))</f>
        <v/>
      </c>
      <c r="Y937" s="105" t="str">
        <f>IF(tech_base!$T33&gt;Y$905,"",Y2057+tech_proj!Y1557/(1-tech_proj!Y437))</f>
        <v/>
      </c>
      <c r="Z937" s="105" t="str">
        <f>IF(tech_base!$T33&gt;Z$905,"",Z2057+tech_proj!Z1557/(1-tech_proj!Z437))</f>
        <v/>
      </c>
      <c r="AA937" s="105" t="str">
        <f>IF(tech_base!$T33&gt;AA$905,"",AA2057+tech_proj!AA1557/(1-tech_proj!AA437))</f>
        <v/>
      </c>
      <c r="AB937" s="105" t="str">
        <f>IF(tech_base!$T33&gt;AB$905,"",AB2057+tech_proj!AB1557/(1-tech_proj!AB437))</f>
        <v/>
      </c>
      <c r="AC937" s="105" t="str">
        <f>IF(tech_base!$T33&gt;AC$905,"",AC2057+tech_proj!AC1557/(1-tech_proj!AC437))</f>
        <v/>
      </c>
      <c r="AD937" s="105" t="str">
        <f>IF(tech_base!$T33&gt;AD$905,"",AD2057+tech_proj!AD1557/(1-tech_proj!AD437))</f>
        <v/>
      </c>
      <c r="AE937" s="105">
        <f>IF(tech_base!$T33&gt;AE$905,"",AE2057+tech_proj!AE1557/(1-tech_proj!AE437))</f>
        <v>70.540002881238891</v>
      </c>
      <c r="AF937" s="105">
        <f>IF(tech_base!$T33&gt;AF$905,"",AF2057+tech_proj!AF1557/(1-tech_proj!AF437))</f>
        <v>71.251247520696211</v>
      </c>
      <c r="AG937" s="105">
        <f>IF(tech_base!$T33&gt;AG$905,"",AG2057+tech_proj!AG1557/(1-tech_proj!AG437))</f>
        <v>71.992084820593433</v>
      </c>
      <c r="AH937" s="105">
        <f>IF(tech_base!$T33&gt;AH$905,"",AH2057+tech_proj!AH1557/(1-tech_proj!AH437))</f>
        <v>72.677517157409412</v>
      </c>
      <c r="AI937" s="105">
        <f>IF(tech_base!$T33&gt;AI$905,"",AI2057+tech_proj!AI1557/(1-tech_proj!AI437))</f>
        <v>73.293072095156305</v>
      </c>
      <c r="AJ937" s="105">
        <f>IF(tech_base!$T33&gt;AJ$905,"",AJ2057+tech_proj!AJ1557/(1-tech_proj!AJ437))</f>
        <v>73.719265075110812</v>
      </c>
      <c r="AK937" s="105">
        <f>IF(tech_base!$T33&gt;AK$905,"",AK2057+tech_proj!AK1557/(1-tech_proj!AK437))</f>
        <v>74.221396389299315</v>
      </c>
      <c r="AL937" s="105">
        <f>IF(tech_base!$T33&gt;AL$905,"",AL2057+tech_proj!AL1557/(1-tech_proj!AL437))</f>
        <v>74.775781086866317</v>
      </c>
      <c r="AM937" s="105">
        <f>IF(tech_base!$T33&gt;AM$905,"",AM2057+tech_proj!AM1557/(1-tech_proj!AM437))</f>
        <v>75.370417891032162</v>
      </c>
      <c r="AN937" s="105">
        <f>IF(tech_base!$T33&gt;AN$905,"",AN2057+tech_proj!AN1557/(1-tech_proj!AN437))</f>
        <v>75.807188000418975</v>
      </c>
      <c r="AO937" s="105">
        <f>IF(tech_base!$T33&gt;AO$905,"",AO2057+tech_proj!AO1557/(1-tech_proj!AO437))</f>
        <v>76.221071878494826</v>
      </c>
      <c r="AP937" s="105">
        <f>IF(tech_base!$T33&gt;AP$905,"",AP2057+tech_proj!AP1557/(1-tech_proj!AP437))</f>
        <v>76.608714556138978</v>
      </c>
      <c r="AQ937" s="105">
        <f>IF(tech_base!$T33&gt;AQ$905,"",AQ2057+tech_proj!AQ1557/(1-tech_proj!AQ437))</f>
        <v>76.972562257408811</v>
      </c>
      <c r="AR937" s="105">
        <f>IF(tech_base!$T33&gt;AR$905,"",AR2057+tech_proj!AR1557/(1-tech_proj!AR437))</f>
        <v>77.356521819013594</v>
      </c>
      <c r="AS937" s="105">
        <f>IF(tech_base!$T33&gt;AS$905,"",AS2057+tech_proj!AS1557/(1-tech_proj!AS437))</f>
        <v>77.718196112613001</v>
      </c>
      <c r="AT937" s="105">
        <f>IF(tech_base!$T33&gt;AT$905,"",AT2057+tech_proj!AT1557/(1-tech_proj!AT437))</f>
        <v>77.851109257586515</v>
      </c>
      <c r="AU937" s="105">
        <f>IF(tech_base!$T33&gt;AU$905,"",AU2057+tech_proj!AU1557/(1-tech_proj!AU437))</f>
        <v>78.092210639796264</v>
      </c>
      <c r="AV937" s="105">
        <f>IF(tech_base!$T33&gt;AV$905,"",AV2057+tech_proj!AV1557/(1-tech_proj!AV437))</f>
        <v>78.189314642059315</v>
      </c>
      <c r="AW937" s="105">
        <f>IF(tech_base!$T33&gt;AW$905,"",AW2057+tech_proj!AW1557/(1-tech_proj!AW437))</f>
        <v>78.176238228883889</v>
      </c>
      <c r="AX937" s="106">
        <f>IF(tech_base!$T33&gt;AX$905,"",AX2057+tech_proj!AX1557/(1-tech_proj!AX437))</f>
        <v>78.209158270025128</v>
      </c>
    </row>
    <row r="938" spans="1:50" x14ac:dyDescent="0.25">
      <c r="A938" s="356"/>
      <c r="B938" s="380"/>
      <c r="C938" s="381"/>
      <c r="D938" s="4" t="s">
        <v>8</v>
      </c>
      <c r="E938" s="168" t="str">
        <f>A913&amp;"/"&amp;B929&amp;"/"&amp;C937&amp;"/"&amp;D938</f>
        <v>Coal fired power plants/Fluidized bed combustion/CHP with CCS/M</v>
      </c>
      <c r="F938" s="80" t="str">
        <f>A913</f>
        <v>Coal fired power plants</v>
      </c>
      <c r="G938" s="80" t="str">
        <f>B929</f>
        <v>Fluidized bed combustion</v>
      </c>
      <c r="H938" s="80" t="str">
        <f>C937</f>
        <v>CHP with CCS</v>
      </c>
      <c r="I938" s="169" t="str">
        <f t="shared" si="367"/>
        <v>M</v>
      </c>
      <c r="J938" s="113" t="str">
        <f>IF(tech_base!$T34&gt;J$905,"",J2058+tech_proj!J1558/(1-tech_proj!J438))</f>
        <v/>
      </c>
      <c r="K938" s="113" t="str">
        <f>IF(tech_base!$T34&gt;K$905,"",K2058+tech_proj!K1558/(1-tech_proj!K438))</f>
        <v/>
      </c>
      <c r="L938" s="113" t="str">
        <f>IF(tech_base!$T34&gt;L$905,"",L2058+tech_proj!L1558/(1-tech_proj!L438))</f>
        <v/>
      </c>
      <c r="M938" s="113" t="str">
        <f>IF(tech_base!$T34&gt;M$905,"",M2058+tech_proj!M1558/(1-tech_proj!M438))</f>
        <v/>
      </c>
      <c r="N938" s="113" t="str">
        <f>IF(tech_base!$T34&gt;N$905,"",N2058+tech_proj!N1558/(1-tech_proj!N438))</f>
        <v/>
      </c>
      <c r="O938" s="113" t="str">
        <f>IF(tech_base!$T34&gt;O$905,"",O2058+tech_proj!O1558/(1-tech_proj!O438))</f>
        <v/>
      </c>
      <c r="P938" s="113" t="str">
        <f>IF(tech_base!$T34&gt;P$905,"",P2058+tech_proj!P1558/(1-tech_proj!P438))</f>
        <v/>
      </c>
      <c r="Q938" s="113" t="str">
        <f>IF(tech_base!$T34&gt;Q$905,"",Q2058+tech_proj!Q1558/(1-tech_proj!Q438))</f>
        <v/>
      </c>
      <c r="R938" s="113" t="str">
        <f>IF(tech_base!$T34&gt;R$905,"",R2058+tech_proj!R1558/(1-tech_proj!R438))</f>
        <v/>
      </c>
      <c r="S938" s="113" t="str">
        <f>IF(tech_base!$T34&gt;S$905,"",S2058+tech_proj!S1558/(1-tech_proj!S438))</f>
        <v/>
      </c>
      <c r="T938" s="113" t="str">
        <f>IF(tech_base!$T34&gt;T$905,"",T2058+tech_proj!T1558/(1-tech_proj!T438))</f>
        <v/>
      </c>
      <c r="U938" s="113" t="str">
        <f>IF(tech_base!$T34&gt;U$905,"",U2058+tech_proj!U1558/(1-tech_proj!U438))</f>
        <v/>
      </c>
      <c r="V938" s="113" t="str">
        <f>IF(tech_base!$T34&gt;V$905,"",V2058+tech_proj!V1558/(1-tech_proj!V438))</f>
        <v/>
      </c>
      <c r="W938" s="113" t="str">
        <f>IF(tech_base!$T34&gt;W$905,"",W2058+tech_proj!W1558/(1-tech_proj!W438))</f>
        <v/>
      </c>
      <c r="X938" s="113" t="str">
        <f>IF(tech_base!$T34&gt;X$905,"",X2058+tech_proj!X1558/(1-tech_proj!X438))</f>
        <v/>
      </c>
      <c r="Y938" s="113" t="str">
        <f>IF(tech_base!$T34&gt;Y$905,"",Y2058+tech_proj!Y1558/(1-tech_proj!Y438))</f>
        <v/>
      </c>
      <c r="Z938" s="113" t="str">
        <f>IF(tech_base!$T34&gt;Z$905,"",Z2058+tech_proj!Z1558/(1-tech_proj!Z438))</f>
        <v/>
      </c>
      <c r="AA938" s="113" t="str">
        <f>IF(tech_base!$T34&gt;AA$905,"",AA2058+tech_proj!AA1558/(1-tech_proj!AA438))</f>
        <v/>
      </c>
      <c r="AB938" s="113" t="str">
        <f>IF(tech_base!$T34&gt;AB$905,"",AB2058+tech_proj!AB1558/(1-tech_proj!AB438))</f>
        <v/>
      </c>
      <c r="AC938" s="113" t="str">
        <f>IF(tech_base!$T34&gt;AC$905,"",AC2058+tech_proj!AC1558/(1-tech_proj!AC438))</f>
        <v/>
      </c>
      <c r="AD938" s="113" t="str">
        <f>IF(tech_base!$T34&gt;AD$905,"",AD2058+tech_proj!AD1558/(1-tech_proj!AD438))</f>
        <v/>
      </c>
      <c r="AE938" s="113">
        <f>IF(tech_base!$T34&gt;AE$905,"",AE2058+tech_proj!AE1558/(1-tech_proj!AE438))</f>
        <v>75.904865219375992</v>
      </c>
      <c r="AF938" s="113">
        <f>IF(tech_base!$T34&gt;AF$905,"",AF2058+tech_proj!AF1558/(1-tech_proj!AF438))</f>
        <v>76.663248002221508</v>
      </c>
      <c r="AG938" s="113">
        <f>IF(tech_base!$T34&gt;AG$905,"",AG2058+tech_proj!AG1558/(1-tech_proj!AG438))</f>
        <v>77.452990052090016</v>
      </c>
      <c r="AH938" s="113">
        <f>IF(tech_base!$T34&gt;AH$905,"",AH2058+tech_proj!AH1558/(1-tech_proj!AH438))</f>
        <v>78.183305326219369</v>
      </c>
      <c r="AI938" s="113">
        <f>IF(tech_base!$T34&gt;AI$905,"",AI2058+tech_proj!AI1558/(1-tech_proj!AI438))</f>
        <v>78.83866575686659</v>
      </c>
      <c r="AJ938" s="113">
        <f>IF(tech_base!$T34&gt;AJ$905,"",AJ2058+tech_proj!AJ1558/(1-tech_proj!AJ438))</f>
        <v>79.291443087393986</v>
      </c>
      <c r="AK938" s="113">
        <f>IF(tech_base!$T34&gt;AK$905,"",AK2058+tech_proj!AK1558/(1-tech_proj!AK438))</f>
        <v>79.824662468519591</v>
      </c>
      <c r="AL938" s="113">
        <f>IF(tech_base!$T34&gt;AL$905,"",AL2058+tech_proj!AL1558/(1-tech_proj!AL438))</f>
        <v>80.412871378548289</v>
      </c>
      <c r="AM938" s="113">
        <f>IF(tech_base!$T34&gt;AM$905,"",AM2058+tech_proj!AM1558/(1-tech_proj!AM438))</f>
        <v>81.043041241688996</v>
      </c>
      <c r="AN938" s="113">
        <f>IF(tech_base!$T34&gt;AN$905,"",AN2058+tech_proj!AN1558/(1-tech_proj!AN438))</f>
        <v>81.503468566157821</v>
      </c>
      <c r="AO938" s="113">
        <f>IF(tech_base!$T34&gt;AO$905,"",AO2058+tech_proj!AO1558/(1-tech_proj!AO438))</f>
        <v>81.937876121391255</v>
      </c>
      <c r="AP938" s="113">
        <f>IF(tech_base!$T34&gt;AP$905,"",AP2058+tech_proj!AP1558/(1-tech_proj!AP438))</f>
        <v>82.342269997827628</v>
      </c>
      <c r="AQ938" s="113">
        <f>IF(tech_base!$T34&gt;AQ$905,"",AQ2058+tech_proj!AQ1558/(1-tech_proj!AQ438))</f>
        <v>82.718754395809697</v>
      </c>
      <c r="AR938" s="113">
        <f>IF(tech_base!$T34&gt;AR$905,"",AR2058+tech_proj!AR1558/(1-tech_proj!AR438))</f>
        <v>83.113559679695413</v>
      </c>
      <c r="AS938" s="113">
        <f>IF(tech_base!$T34&gt;AS$905,"",AS2058+tech_proj!AS1558/(1-tech_proj!AS438))</f>
        <v>83.480720985814656</v>
      </c>
      <c r="AT938" s="113">
        <f>IF(tech_base!$T34&gt;AT$905,"",AT2058+tech_proj!AT1558/(1-tech_proj!AT438))</f>
        <v>83.599198453374527</v>
      </c>
      <c r="AU938" s="113">
        <f>IF(tech_base!$T34&gt;AU$905,"",AU2058+tech_proj!AU1558/(1-tech_proj!AU438))</f>
        <v>83.827480140985926</v>
      </c>
      <c r="AV938" s="113">
        <f>IF(tech_base!$T34&gt;AV$905,"",AV2058+tech_proj!AV1558/(1-tech_proj!AV438))</f>
        <v>83.89568462866032</v>
      </c>
      <c r="AW938" s="113">
        <f>IF(tech_base!$T34&gt;AW$905,"",AW2058+tech_proj!AW1558/(1-tech_proj!AW438))</f>
        <v>83.839033028766266</v>
      </c>
      <c r="AX938" s="114">
        <f>IF(tech_base!$T34&gt;AX$905,"",AX2058+tech_proj!AX1558/(1-tech_proj!AX438))</f>
        <v>83.823220025691626</v>
      </c>
    </row>
    <row r="939" spans="1:50" x14ac:dyDescent="0.25">
      <c r="A939" s="356"/>
      <c r="B939" s="358" t="s">
        <v>19</v>
      </c>
      <c r="C939" s="353" t="s">
        <v>6</v>
      </c>
      <c r="D939" s="3" t="s">
        <v>7</v>
      </c>
      <c r="E939" s="162" t="str">
        <f>A913&amp;"/"&amp;B939&amp;"/"&amp;C939&amp;"/"&amp;D939</f>
        <v>Coal fired power plants/Steam turbine/Electricity only/L</v>
      </c>
      <c r="F939" s="77" t="str">
        <f>A913</f>
        <v>Coal fired power plants</v>
      </c>
      <c r="G939" s="77" t="str">
        <f>B939</f>
        <v>Steam turbine</v>
      </c>
      <c r="H939" s="77" t="str">
        <f>C939</f>
        <v>Electricity only</v>
      </c>
      <c r="I939" s="163" t="str">
        <f t="shared" si="367"/>
        <v>L</v>
      </c>
      <c r="J939" s="107">
        <f>IF(tech_base!$T35&gt;J$905,"",J2059+tech_proj!J1559/(1-tech_proj!J439))</f>
        <v>29.83975725526011</v>
      </c>
      <c r="K939" s="107">
        <f>IF(tech_base!$T35&gt;K$905,"",K2059+tech_proj!K1559/(1-tech_proj!K439))</f>
        <v>36.678434170818434</v>
      </c>
      <c r="L939" s="107">
        <f>IF(tech_base!$T35&gt;L$905,"",L2059+tech_proj!L1559/(1-tech_proj!L439))</f>
        <v>31.542316494367565</v>
      </c>
      <c r="M939" s="107">
        <f>IF(tech_base!$T35&gt;M$905,"",M2059+tech_proj!M1559/(1-tech_proj!M439))</f>
        <v>28.691121881105065</v>
      </c>
      <c r="N939" s="107">
        <f>IF(tech_base!$T35&gt;N$905,"",N2059+tech_proj!N1559/(1-tech_proj!N439))</f>
        <v>27.63177082724965</v>
      </c>
      <c r="O939" s="107">
        <f>IF(tech_base!$T35&gt;O$905,"",O2059+tech_proj!O1559/(1-tech_proj!O439))</f>
        <v>26.102033751172062</v>
      </c>
      <c r="P939" s="107">
        <f>IF(tech_base!$T35&gt;P$905,"",P2059+tech_proj!P1559/(1-tech_proj!P439))</f>
        <v>27.441617471670675</v>
      </c>
      <c r="Q939" s="107">
        <f>IF(tech_base!$T35&gt;Q$905,"",Q2059+tech_proj!Q1559/(1-tech_proj!Q439))</f>
        <v>34.254942690644313</v>
      </c>
      <c r="R939" s="107">
        <f>IF(tech_base!$T35&gt;R$905,"",R2059+tech_proj!R1559/(1-tech_proj!R439))</f>
        <v>34.431213295982289</v>
      </c>
      <c r="S939" s="107">
        <f>IF(tech_base!$T35&gt;S$905,"",S2059+tech_proj!S1559/(1-tech_proj!S439))</f>
        <v>34.605643883707636</v>
      </c>
      <c r="T939" s="107">
        <f>IF(tech_base!$T35&gt;T$905,"",T2059+tech_proj!T1559/(1-tech_proj!T439))</f>
        <v>34.778281302062616</v>
      </c>
      <c r="U939" s="107">
        <f>IF(tech_base!$T35&gt;U$905,"",U2059+tech_proj!U1559/(1-tech_proj!U439))</f>
        <v>35.507517247474397</v>
      </c>
      <c r="V939" s="107">
        <f>IF(tech_base!$T35&gt;V$905,"",V2059+tech_proj!V1559/(1-tech_proj!V439))</f>
        <v>35.525254322454167</v>
      </c>
      <c r="W939" s="107">
        <f>IF(tech_base!$T35&gt;W$905,"",W2059+tech_proj!W1559/(1-tech_proj!W439))</f>
        <v>35.498090247722075</v>
      </c>
      <c r="X939" s="107">
        <f>IF(tech_base!$T35&gt;X$905,"",X2059+tech_proj!X1559/(1-tech_proj!X439))</f>
        <v>35.686276933827315</v>
      </c>
      <c r="Y939" s="107">
        <f>IF(tech_base!$T35&gt;Y$905,"",Y2059+tech_proj!Y1559/(1-tech_proj!Y439))</f>
        <v>35.908586684466961</v>
      </c>
      <c r="Z939" s="107">
        <f>IF(tech_base!$T35&gt;Z$905,"",Z2059+tech_proj!Z1559/(1-tech_proj!Z439))</f>
        <v>36.96590163727695</v>
      </c>
      <c r="AA939" s="107">
        <f>IF(tech_base!$T35&gt;AA$905,"",AA2059+tech_proj!AA1559/(1-tech_proj!AA439))</f>
        <v>38.021119420778568</v>
      </c>
      <c r="AB939" s="107">
        <f>IF(tech_base!$T35&gt;AB$905,"",AB2059+tech_proj!AB1559/(1-tech_proj!AB439))</f>
        <v>39.112534186491089</v>
      </c>
      <c r="AC939" s="107">
        <f>IF(tech_base!$T35&gt;AC$905,"",AC2059+tech_proj!AC1559/(1-tech_proj!AC439))</f>
        <v>40.213589351935369</v>
      </c>
      <c r="AD939" s="107">
        <f>IF(tech_base!$T35&gt;AD$905,"",AD2059+tech_proj!AD1559/(1-tech_proj!AD439))</f>
        <v>41.420181890230005</v>
      </c>
      <c r="AE939" s="107">
        <f>IF(tech_base!$T35&gt;AE$905,"",AE2059+tech_proj!AE1559/(1-tech_proj!AE439))</f>
        <v>41.760785769227596</v>
      </c>
      <c r="AF939" s="107">
        <f>IF(tech_base!$T35&gt;AF$905,"",AF2059+tech_proj!AF1559/(1-tech_proj!AF439))</f>
        <v>42.225517147070342</v>
      </c>
      <c r="AG939" s="107">
        <f>IF(tech_base!$T35&gt;AG$905,"",AG2059+tech_proj!AG1559/(1-tech_proj!AG439))</f>
        <v>42.710907086621184</v>
      </c>
      <c r="AH939" s="107">
        <f>IF(tech_base!$T35&gt;AH$905,"",AH2059+tech_proj!AH1559/(1-tech_proj!AH439))</f>
        <v>43.161334599042952</v>
      </c>
      <c r="AI939" s="107">
        <f>IF(tech_base!$T35&gt;AI$905,"",AI2059+tech_proj!AI1559/(1-tech_proj!AI439))</f>
        <v>43.567789236972111</v>
      </c>
      <c r="AJ939" s="107">
        <f>IF(tech_base!$T35&gt;AJ$905,"",AJ2059+tech_proj!AJ1559/(1-tech_proj!AJ439))</f>
        <v>43.852221203057859</v>
      </c>
      <c r="AK939" s="107">
        <f>IF(tech_base!$T35&gt;AK$905,"",AK2059+tech_proj!AK1559/(1-tech_proj!AK439))</f>
        <v>44.19021317177517</v>
      </c>
      <c r="AL939" s="107">
        <f>IF(tech_base!$T35&gt;AL$905,"",AL2059+tech_proj!AL1559/(1-tech_proj!AL439))</f>
        <v>44.567172116711788</v>
      </c>
      <c r="AM939" s="107">
        <f>IF(tech_base!$T35&gt;AM$905,"",AM2059+tech_proj!AM1559/(1-tech_proj!AM439))</f>
        <v>44.976487905751632</v>
      </c>
      <c r="AN939" s="107">
        <f>IF(tech_base!$T35&gt;AN$905,"",AN2059+tech_proj!AN1559/(1-tech_proj!AN439))</f>
        <v>45.289261239538327</v>
      </c>
      <c r="AO939" s="107">
        <f>IF(tech_base!$T35&gt;AO$905,"",AO2059+tech_proj!AO1559/(1-tech_proj!AO439))</f>
        <v>45.596402675264827</v>
      </c>
      <c r="AP939" s="107">
        <f>IF(tech_base!$T35&gt;AP$905,"",AP2059+tech_proj!AP1559/(1-tech_proj!AP439))</f>
        <v>45.898163680295035</v>
      </c>
      <c r="AQ939" s="107">
        <f>IF(tech_base!$T35&gt;AQ$905,"",AQ2059+tech_proj!AQ1559/(1-tech_proj!AQ439))</f>
        <v>46.199158064283431</v>
      </c>
      <c r="AR939" s="107">
        <f>IF(tech_base!$T35&gt;AR$905,"",AR2059+tech_proj!AR1559/(1-tech_proj!AR439))</f>
        <v>46.531998843098734</v>
      </c>
      <c r="AS939" s="107">
        <f>IF(tech_base!$T35&gt;AS$905,"",AS2059+tech_proj!AS1559/(1-tech_proj!AS439))</f>
        <v>46.872990241424546</v>
      </c>
      <c r="AT939" s="107">
        <f>IF(tech_base!$T35&gt;AT$905,"",AT2059+tech_proj!AT1559/(1-tech_proj!AT439))</f>
        <v>47.090163634253891</v>
      </c>
      <c r="AU939" s="107">
        <f>IF(tech_base!$T35&gt;AU$905,"",AU2059+tech_proj!AU1559/(1-tech_proj!AU439))</f>
        <v>47.411800193096106</v>
      </c>
      <c r="AV939" s="107">
        <f>IF(tech_base!$T35&gt;AV$905,"",AV2059+tech_proj!AV1559/(1-tech_proj!AV439))</f>
        <v>47.675999696822934</v>
      </c>
      <c r="AW939" s="107">
        <f>IF(tech_base!$T35&gt;AW$905,"",AW2059+tech_proj!AW1559/(1-tech_proj!AW439))</f>
        <v>47.909762775226717</v>
      </c>
      <c r="AX939" s="108">
        <f>IF(tech_base!$T35&gt;AX$905,"",AX2059+tech_proj!AX1559/(1-tech_proj!AX439))</f>
        <v>48.221268855023553</v>
      </c>
    </row>
    <row r="940" spans="1:50" x14ac:dyDescent="0.25">
      <c r="A940" s="356"/>
      <c r="B940" s="376"/>
      <c r="C940" s="378"/>
      <c r="D940" s="2" t="s">
        <v>8</v>
      </c>
      <c r="E940" s="160" t="str">
        <f>A913&amp;"/"&amp;B939&amp;"/"&amp;C939&amp;"/"&amp;D940</f>
        <v>Coal fired power plants/Steam turbine/Electricity only/M</v>
      </c>
      <c r="F940" s="76" t="str">
        <f>A913</f>
        <v>Coal fired power plants</v>
      </c>
      <c r="G940" s="76" t="str">
        <f>B939</f>
        <v>Steam turbine</v>
      </c>
      <c r="H940" s="76" t="str">
        <f>C939</f>
        <v>Electricity only</v>
      </c>
      <c r="I940" s="161" t="str">
        <f t="shared" si="367"/>
        <v>M</v>
      </c>
      <c r="J940" s="105">
        <f>IF(tech_base!$T36&gt;J$905,"",J2060+tech_proj!J1560/(1-tech_proj!J440))</f>
        <v>31.49801745492103</v>
      </c>
      <c r="K940" s="105">
        <f>IF(tech_base!$T36&gt;K$905,"",K2060+tech_proj!K1560/(1-tech_proj!K440))</f>
        <v>38.702606132922462</v>
      </c>
      <c r="L940" s="105">
        <f>IF(tech_base!$T36&gt;L$905,"",L2060+tech_proj!L1560/(1-tech_proj!L440))</f>
        <v>33.294057758953301</v>
      </c>
      <c r="M940" s="105">
        <f>IF(tech_base!$T36&gt;M$905,"",M2060+tech_proj!M1560/(1-tech_proj!M440))</f>
        <v>30.291826217172318</v>
      </c>
      <c r="N940" s="105">
        <f>IF(tech_base!$T36&gt;N$905,"",N2060+tech_proj!N1560/(1-tech_proj!N440))</f>
        <v>29.1769435538355</v>
      </c>
      <c r="O940" s="105">
        <f>IF(tech_base!$T36&gt;O$905,"",O2060+tech_proj!O1560/(1-tech_proj!O440))</f>
        <v>27.566291350690747</v>
      </c>
      <c r="P940" s="105">
        <f>IF(tech_base!$T36&gt;P$905,"",P2060+tech_proj!P1560/(1-tech_proj!P440))</f>
        <v>28.978774156332442</v>
      </c>
      <c r="Q940" s="105">
        <f>IF(tech_base!$T36&gt;Q$905,"",Q2060+tech_proj!Q1560/(1-tech_proj!Q440))</f>
        <v>36.159458636461601</v>
      </c>
      <c r="R940" s="105">
        <f>IF(tech_base!$T36&gt;R$905,"",R2060+tech_proj!R1560/(1-tech_proj!R440))</f>
        <v>36.346774970844137</v>
      </c>
      <c r="S940" s="105">
        <f>IF(tech_base!$T36&gt;S$905,"",S2060+tech_proj!S1560/(1-tech_proj!S440))</f>
        <v>36.532165285082996</v>
      </c>
      <c r="T940" s="105">
        <f>IF(tech_base!$T36&gt;T$905,"",T2060+tech_proj!T1560/(1-tech_proj!T440))</f>
        <v>36.715677670749727</v>
      </c>
      <c r="U940" s="105">
        <f>IF(tech_base!$T36&gt;U$905,"",U2060+tech_proj!U1560/(1-tech_proj!U440))</f>
        <v>37.485882926208589</v>
      </c>
      <c r="V940" s="105">
        <f>IF(tech_base!$T36&gt;V$905,"",V2060+tech_proj!V1560/(1-tech_proj!V440))</f>
        <v>37.506172140392486</v>
      </c>
      <c r="W940" s="105">
        <f>IF(tech_base!$T36&gt;W$905,"",W2060+tech_proj!W1560/(1-tech_proj!W440))</f>
        <v>37.479114126066008</v>
      </c>
      <c r="X940" s="105">
        <f>IF(tech_base!$T36&gt;X$905,"",X2060+tech_proj!X1560/(1-tech_proj!X440))</f>
        <v>37.679071908335828</v>
      </c>
      <c r="Y940" s="105">
        <f>IF(tech_base!$T36&gt;Y$905,"",Y2060+tech_proj!Y1560/(1-tech_proj!Y440))</f>
        <v>37.915016088587684</v>
      </c>
      <c r="Z940" s="105">
        <f>IF(tech_base!$T36&gt;Z$905,"",Z2060+tech_proj!Z1560/(1-tech_proj!Z440))</f>
        <v>39.031400252119347</v>
      </c>
      <c r="AA940" s="105">
        <f>IF(tech_base!$T36&gt;AA$905,"",AA2060+tech_proj!AA1560/(1-tech_proj!AA440))</f>
        <v>40.145698444506209</v>
      </c>
      <c r="AB940" s="105">
        <f>IF(tech_base!$T36&gt;AB$905,"",AB2060+tech_proj!AB1560/(1-tech_proj!AB440))</f>
        <v>41.298290000593404</v>
      </c>
      <c r="AC940" s="105">
        <f>IF(tech_base!$T36&gt;AC$905,"",AC2060+tech_proj!AC1560/(1-tech_proj!AC440))</f>
        <v>42.461172926367851</v>
      </c>
      <c r="AD940" s="105">
        <f>IF(tech_base!$T36&gt;AD$905,"",AD2060+tech_proj!AD1560/(1-tech_proj!AD440))</f>
        <v>43.735485314380924</v>
      </c>
      <c r="AE940" s="105">
        <f>IF(tech_base!$T36&gt;AE$905,"",AE2060+tech_proj!AE1560/(1-tech_proj!AE440))</f>
        <v>44.096549017182781</v>
      </c>
      <c r="AF940" s="105">
        <f>IF(tech_base!$T36&gt;AF$905,"",AF2060+tech_proj!AF1560/(1-tech_proj!AF440))</f>
        <v>44.588561165007128</v>
      </c>
      <c r="AG940" s="105">
        <f>IF(tech_base!$T36&gt;AG$905,"",AG2060+tech_proj!AG1560/(1-tech_proj!AG440))</f>
        <v>45.102399362549527</v>
      </c>
      <c r="AH940" s="105">
        <f>IF(tech_base!$T36&gt;AH$905,"",AH2060+tech_proj!AH1560/(1-tech_proj!AH440))</f>
        <v>45.579390432569582</v>
      </c>
      <c r="AI940" s="105">
        <f>IF(tech_base!$T36&gt;AI$905,"",AI2060+tech_proj!AI1560/(1-tech_proj!AI440))</f>
        <v>46.010020555120704</v>
      </c>
      <c r="AJ940" s="105">
        <f>IF(tech_base!$T36&gt;AJ$905,"",AJ2060+tech_proj!AJ1560/(1-tech_proj!AJ440))</f>
        <v>46.311934595669527</v>
      </c>
      <c r="AK940" s="105">
        <f>IF(tech_base!$T36&gt;AK$905,"",AK2060+tech_proj!AK1560/(1-tech_proj!AK440))</f>
        <v>46.670366651797259</v>
      </c>
      <c r="AL940" s="105">
        <f>IF(tech_base!$T36&gt;AL$905,"",AL2060+tech_proj!AL1560/(1-tech_proj!AL440))</f>
        <v>47.069927295538655</v>
      </c>
      <c r="AM940" s="105">
        <f>IF(tech_base!$T36&gt;AM$905,"",AM2060+tech_proj!AM1560/(1-tech_proj!AM440))</f>
        <v>47.503647137599607</v>
      </c>
      <c r="AN940" s="105">
        <f>IF(tech_base!$T36&gt;AN$905,"",AN2060+tech_proj!AN1560/(1-tech_proj!AN440))</f>
        <v>47.835506347310293</v>
      </c>
      <c r="AO940" s="105">
        <f>IF(tech_base!$T36&gt;AO$905,"",AO2060+tech_proj!AO1560/(1-tech_proj!AO440))</f>
        <v>48.16142813877314</v>
      </c>
      <c r="AP940" s="105">
        <f>IF(tech_base!$T36&gt;AP$905,"",AP2060+tech_proj!AP1560/(1-tech_proj!AP440))</f>
        <v>48.481676029797867</v>
      </c>
      <c r="AQ940" s="105">
        <f>IF(tech_base!$T36&gt;AQ$905,"",AQ2060+tech_proj!AQ1560/(1-tech_proj!AQ440))</f>
        <v>48.80111785078121</v>
      </c>
      <c r="AR940" s="105">
        <f>IF(tech_base!$T36&gt;AR$905,"",AR2060+tech_proj!AR1560/(1-tech_proj!AR440))</f>
        <v>49.154175542255985</v>
      </c>
      <c r="AS940" s="105">
        <f>IF(tech_base!$T36&gt;AS$905,"",AS2060+tech_proj!AS1560/(1-tech_proj!AS440))</f>
        <v>49.515841285503399</v>
      </c>
      <c r="AT940" s="105">
        <f>IF(tech_base!$T36&gt;AT$905,"",AT2060+tech_proj!AT1560/(1-tech_proj!AT440))</f>
        <v>49.746809197098088</v>
      </c>
      <c r="AU940" s="105">
        <f>IF(tech_base!$T36&gt;AU$905,"",AU2060+tech_proj!AU1560/(1-tech_proj!AU440))</f>
        <v>50.088045008509908</v>
      </c>
      <c r="AV940" s="105">
        <f>IF(tech_base!$T36&gt;AV$905,"",AV2060+tech_proj!AV1560/(1-tech_proj!AV440))</f>
        <v>50.368645421979757</v>
      </c>
      <c r="AW940" s="105">
        <f>IF(tech_base!$T36&gt;AW$905,"",AW2060+tech_proj!AW1560/(1-tech_proj!AW440))</f>
        <v>50.617107132323127</v>
      </c>
      <c r="AX940" s="106">
        <f>IF(tech_base!$T36&gt;AX$905,"",AX2060+tech_proj!AX1560/(1-tech_proj!AX440))</f>
        <v>50.947641073435591</v>
      </c>
    </row>
    <row r="941" spans="1:50" x14ac:dyDescent="0.25">
      <c r="A941" s="356"/>
      <c r="B941" s="376"/>
      <c r="C941" s="378"/>
      <c r="D941" s="2" t="s">
        <v>10</v>
      </c>
      <c r="E941" s="160" t="str">
        <f>A913&amp;"/"&amp;B939&amp;"/"&amp;C939&amp;"/"&amp;D941</f>
        <v>Coal fired power plants/Steam turbine/Electricity only/S</v>
      </c>
      <c r="F941" s="76" t="str">
        <f>A913</f>
        <v>Coal fired power plants</v>
      </c>
      <c r="G941" s="76" t="str">
        <f>B939</f>
        <v>Steam turbine</v>
      </c>
      <c r="H941" s="76" t="str">
        <f>C939</f>
        <v>Electricity only</v>
      </c>
      <c r="I941" s="161" t="str">
        <f t="shared" si="367"/>
        <v>S</v>
      </c>
      <c r="J941" s="105">
        <f>IF(tech_base!$T37&gt;J$905,"",J2061+tech_proj!J1561/(1-tech_proj!J441))</f>
        <v>33.318598263109038</v>
      </c>
      <c r="K941" s="105">
        <f>IF(tech_base!$T37&gt;K$905,"",K2061+tech_proj!K1561/(1-tech_proj!K441))</f>
        <v>40.909943186404071</v>
      </c>
      <c r="L941" s="105">
        <f>IF(tech_base!$T37&gt;L$905,"",L2061+tech_proj!L1561/(1-tech_proj!L441))</f>
        <v>35.213597323587379</v>
      </c>
      <c r="M941" s="105">
        <f>IF(tech_base!$T37&gt;M$905,"",M2061+tech_proj!M1561/(1-tech_proj!M441))</f>
        <v>32.051829438587845</v>
      </c>
      <c r="N941" s="105">
        <f>IF(tech_base!$T37&gt;N$905,"",N2061+tech_proj!N1561/(1-tech_proj!N441))</f>
        <v>30.878334624611067</v>
      </c>
      <c r="O941" s="105">
        <f>IF(tech_base!$T37&gt;O$905,"",O2061+tech_proj!O1561/(1-tech_proj!O441))</f>
        <v>29.182231968139597</v>
      </c>
      <c r="P941" s="105">
        <f>IF(tech_base!$T37&gt;P$905,"",P2061+tech_proj!P1561/(1-tech_proj!P441))</f>
        <v>30.671851279345372</v>
      </c>
      <c r="Q941" s="105">
        <f>IF(tech_base!$T37&gt;Q$905,"",Q2061+tech_proj!Q1561/(1-tech_proj!Q441))</f>
        <v>38.240982273897977</v>
      </c>
      <c r="R941" s="105">
        <f>IF(tech_base!$T37&gt;R$905,"",R2061+tech_proj!R1561/(1-tech_proj!R441))</f>
        <v>38.440086452114535</v>
      </c>
      <c r="S941" s="105">
        <f>IF(tech_base!$T37&gt;S$905,"",S2061+tech_proj!S1561/(1-tech_proj!S441))</f>
        <v>38.637176396679067</v>
      </c>
      <c r="T941" s="105">
        <f>IF(tech_base!$T37&gt;T$905,"",T2061+tech_proj!T1561/(1-tech_proj!T441))</f>
        <v>38.832301425715784</v>
      </c>
      <c r="U941" s="105">
        <f>IF(tech_base!$T37&gt;U$905,"",U2061+tech_proj!U1561/(1-tech_proj!U441))</f>
        <v>39.645946327541189</v>
      </c>
      <c r="V941" s="105">
        <f>IF(tech_base!$T37&gt;V$905,"",V2061+tech_proj!V1561/(1-tech_proj!V441))</f>
        <v>39.669053607984765</v>
      </c>
      <c r="W941" s="105">
        <f>IF(tech_base!$T37&gt;W$905,"",W2061+tech_proj!W1561/(1-tech_proj!W441))</f>
        <v>39.642227685498696</v>
      </c>
      <c r="X941" s="105">
        <f>IF(tech_base!$T37&gt;X$905,"",X2061+tech_proj!X1561/(1-tech_proj!X441))</f>
        <v>39.854756581710454</v>
      </c>
      <c r="Y941" s="105">
        <f>IF(tech_base!$T37&gt;Y$905,"",Y2061+tech_proj!Y1561/(1-tech_proj!Y441))</f>
        <v>40.105245293386716</v>
      </c>
      <c r="Z941" s="105">
        <f>IF(tech_base!$T37&gt;Z$905,"",Z2061+tech_proj!Z1561/(1-tech_proj!Z441))</f>
        <v>41.284241158188081</v>
      </c>
      <c r="AA941" s="105">
        <f>IF(tech_base!$T37&gt;AA$905,"",AA2061+tech_proj!AA1561/(1-tech_proj!AA441))</f>
        <v>42.461172551583665</v>
      </c>
      <c r="AB941" s="105">
        <f>IF(tech_base!$T37&gt;AB$905,"",AB2061+tech_proj!AB1561/(1-tech_proj!AB441))</f>
        <v>43.678624928123511</v>
      </c>
      <c r="AC941" s="105">
        <f>IF(tech_base!$T37&gt;AC$905,"",AC2061+tech_proj!AC1561/(1-tech_proj!AC441))</f>
        <v>44.907067276002749</v>
      </c>
      <c r="AD941" s="105">
        <f>IF(tech_base!$T37&gt;AD$905,"",AD2061+tech_proj!AD1561/(1-tech_proj!AD441))</f>
        <v>46.253183860802054</v>
      </c>
      <c r="AE941" s="105">
        <f>IF(tech_base!$T37&gt;AE$905,"",AE2061+tech_proj!AE1561/(1-tech_proj!AE441))</f>
        <v>46.636048294967217</v>
      </c>
      <c r="AF941" s="105">
        <f>IF(tech_base!$T37&gt;AF$905,"",AF2061+tech_proj!AF1561/(1-tech_proj!AF441))</f>
        <v>47.157083197390051</v>
      </c>
      <c r="AG941" s="105">
        <f>IF(tech_base!$T37&gt;AG$905,"",AG2061+tech_proj!AG1561/(1-tech_proj!AG441))</f>
        <v>47.701183864409394</v>
      </c>
      <c r="AH941" s="105">
        <f>IF(tech_base!$T37&gt;AH$905,"",AH2061+tech_proj!AH1561/(1-tech_proj!AH441))</f>
        <v>48.206446503591117</v>
      </c>
      <c r="AI941" s="105">
        <f>IF(tech_base!$T37&gt;AI$905,"",AI2061+tech_proj!AI1561/(1-tech_proj!AI441))</f>
        <v>48.662823869115165</v>
      </c>
      <c r="AJ941" s="105">
        <f>IF(tech_base!$T37&gt;AJ$905,"",AJ2061+tech_proj!AJ1561/(1-tech_proj!AJ441))</f>
        <v>48.983402248584568</v>
      </c>
      <c r="AK941" s="105">
        <f>IF(tech_base!$T37&gt;AK$905,"",AK2061+tech_proj!AK1561/(1-tech_proj!AK441))</f>
        <v>49.363632418317358</v>
      </c>
      <c r="AL941" s="105">
        <f>IF(tech_base!$T37&gt;AL$905,"",AL2061+tech_proj!AL1561/(1-tech_proj!AL441))</f>
        <v>49.7872822681054</v>
      </c>
      <c r="AM941" s="105">
        <f>IF(tech_base!$T37&gt;AM$905,"",AM2061+tech_proj!AM1561/(1-tech_proj!AM441))</f>
        <v>50.247002365055096</v>
      </c>
      <c r="AN941" s="105">
        <f>IF(tech_base!$T37&gt;AN$905,"",AN2061+tech_proj!AN1561/(1-tech_proj!AN441))</f>
        <v>50.599232756722543</v>
      </c>
      <c r="AO941" s="105">
        <f>IF(tech_base!$T37&gt;AO$905,"",AO2061+tech_proj!AO1561/(1-tech_proj!AO441))</f>
        <v>50.945203950210391</v>
      </c>
      <c r="AP941" s="105">
        <f>IF(tech_base!$T37&gt;AP$905,"",AP2061+tech_proj!AP1561/(1-tech_proj!AP441))</f>
        <v>51.285192041294344</v>
      </c>
      <c r="AQ941" s="105">
        <f>IF(tech_base!$T37&gt;AQ$905,"",AQ2061+tech_proj!AQ1561/(1-tech_proj!AQ441))</f>
        <v>51.624333736220628</v>
      </c>
      <c r="AR941" s="105">
        <f>IF(tech_base!$T37&gt;AR$905,"",AR2061+tech_proj!AR1561/(1-tech_proj!AR441))</f>
        <v>51.998966977020928</v>
      </c>
      <c r="AS941" s="105">
        <f>IF(tech_base!$T37&gt;AS$905,"",AS2061+tech_proj!AS1561/(1-tech_proj!AS441))</f>
        <v>52.382694323960052</v>
      </c>
      <c r="AT941" s="105">
        <f>IF(tech_base!$T37&gt;AT$905,"",AT2061+tech_proj!AT1561/(1-tech_proj!AT441))</f>
        <v>52.628436753571478</v>
      </c>
      <c r="AU941" s="105">
        <f>IF(tech_base!$T37&gt;AU$905,"",AU2061+tech_proj!AU1561/(1-tech_proj!AU441))</f>
        <v>52.990597401406895</v>
      </c>
      <c r="AV941" s="105">
        <f>IF(tech_base!$T37&gt;AV$905,"",AV2061+tech_proj!AV1561/(1-tech_proj!AV441))</f>
        <v>53.288734927179817</v>
      </c>
      <c r="AW941" s="105">
        <f>IF(tech_base!$T37&gt;AW$905,"",AW2061+tech_proj!AW1561/(1-tech_proj!AW441))</f>
        <v>53.55293050841621</v>
      </c>
      <c r="AX941" s="106">
        <f>IF(tech_base!$T37&gt;AX$905,"",AX2061+tech_proj!AX1561/(1-tech_proj!AX441))</f>
        <v>53.903786110776579</v>
      </c>
    </row>
    <row r="942" spans="1:50" x14ac:dyDescent="0.25">
      <c r="A942" s="356"/>
      <c r="B942" s="376"/>
      <c r="C942" s="379"/>
      <c r="D942" s="2" t="s">
        <v>20</v>
      </c>
      <c r="E942" s="160" t="str">
        <f>A913&amp;"/"&amp;B939&amp;"/"&amp;C939&amp;"/"&amp;D942</f>
        <v>Coal fired power plants/Steam turbine/Electricity only/XS</v>
      </c>
      <c r="F942" s="76" t="str">
        <f>A913</f>
        <v>Coal fired power plants</v>
      </c>
      <c r="G942" s="76" t="str">
        <f>B939</f>
        <v>Steam turbine</v>
      </c>
      <c r="H942" s="76" t="str">
        <f>C939</f>
        <v>Electricity only</v>
      </c>
      <c r="I942" s="161" t="str">
        <f t="shared" si="367"/>
        <v>XS</v>
      </c>
      <c r="J942" s="105">
        <f>IF(tech_base!$T38&gt;J$905,"",J2062+tech_proj!J1562/(1-tech_proj!J442))</f>
        <v>35.522022392878547</v>
      </c>
      <c r="K942" s="105">
        <f>IF(tech_base!$T38&gt;K$905,"",K2062+tech_proj!K1562/(1-tech_proj!K442))</f>
        <v>43.521556758370714</v>
      </c>
      <c r="L942" s="105">
        <f>IF(tech_base!$T38&gt;L$905,"",L2062+tech_proj!L1562/(1-tech_proj!L442))</f>
        <v>37.520769931842764</v>
      </c>
      <c r="M942" s="105">
        <f>IF(tech_base!$T38&gt;M$905,"",M2062+tech_proj!M1562/(1-tech_proj!M442))</f>
        <v>34.190269050774489</v>
      </c>
      <c r="N942" s="105">
        <f>IF(tech_base!$T38&gt;N$905,"",N2062+tech_proj!N1562/(1-tech_proj!N442))</f>
        <v>32.954677997372329</v>
      </c>
      <c r="O942" s="105">
        <f>IF(tech_base!$T38&gt;O$905,"",O2062+tech_proj!O1562/(1-tech_proj!O442))</f>
        <v>31.168273366386313</v>
      </c>
      <c r="P942" s="105">
        <f>IF(tech_base!$T38&gt;P$905,"",P2062+tech_proj!P1562/(1-tech_proj!P442))</f>
        <v>32.738975844854906</v>
      </c>
      <c r="Q942" s="105">
        <f>IF(tech_base!$T38&gt;Q$905,"",Q2062+tech_proj!Q1562/(1-tech_proj!Q442))</f>
        <v>40.716907477656605</v>
      </c>
      <c r="R942" s="105">
        <f>IF(tech_base!$T38&gt;R$905,"",R2062+tech_proj!R1562/(1-tech_proj!R442))</f>
        <v>40.928029005632133</v>
      </c>
      <c r="S942" s="105">
        <f>IF(tech_base!$T38&gt;S$905,"",S2062+tech_proj!S1562/(1-tech_proj!S442))</f>
        <v>41.137052699738824</v>
      </c>
      <c r="T942" s="105">
        <f>IF(tech_base!$T38&gt;T$905,"",T2062+tech_proj!T1562/(1-tech_proj!T442))</f>
        <v>41.344029608084952</v>
      </c>
      <c r="U942" s="105">
        <f>IF(tech_base!$T38&gt;U$905,"",U2062+tech_proj!U1562/(1-tech_proj!U442))</f>
        <v>42.202986885543126</v>
      </c>
      <c r="V942" s="105">
        <f>IF(tech_base!$T38&gt;V$905,"",V2062+tech_proj!V1562/(1-tech_proj!V442))</f>
        <v>42.228713026816344</v>
      </c>
      <c r="W942" s="105">
        <f>IF(tech_base!$T38&gt;W$905,"",W2062+tech_proj!W1562/(1-tech_proj!W442))</f>
        <v>42.201808504255105</v>
      </c>
      <c r="X942" s="105">
        <f>IF(tech_base!$T38&gt;X$905,"",X2062+tech_proj!X1562/(1-tech_proj!X442))</f>
        <v>42.427231914140563</v>
      </c>
      <c r="Y942" s="105">
        <f>IF(tech_base!$T38&gt;Y$905,"",Y2062+tech_proj!Y1562/(1-tech_proj!Y442))</f>
        <v>42.692696199111779</v>
      </c>
      <c r="Z942" s="105">
        <f>IF(tech_base!$T38&gt;Z$905,"",Z2062+tech_proj!Z1562/(1-tech_proj!Z442))</f>
        <v>43.937100472915496</v>
      </c>
      <c r="AA942" s="105">
        <f>IF(tech_base!$T38&gt;AA$905,"",AA2062+tech_proj!AA1562/(1-tech_proj!AA442))</f>
        <v>45.179438843414474</v>
      </c>
      <c r="AB942" s="105">
        <f>IF(tech_base!$T38&gt;AB$905,"",AB2062+tech_proj!AB1562/(1-tech_proj!AB442))</f>
        <v>46.464612110207021</v>
      </c>
      <c r="AC942" s="105">
        <f>IF(tech_base!$T38&gt;AC$905,"",AC2062+tech_proj!AC1562/(1-tech_proj!AC442))</f>
        <v>47.761487152419235</v>
      </c>
      <c r="AD942" s="105">
        <f>IF(tech_base!$T38&gt;AD$905,"",AD2062+tech_proj!AD1562/(1-tech_proj!AD442))</f>
        <v>49.182561077896239</v>
      </c>
      <c r="AE942" s="105">
        <f>IF(tech_base!$T38&gt;AE$905,"",AE2062+tech_proj!AE1562/(1-tech_proj!AE442))</f>
        <v>49.587986247165624</v>
      </c>
      <c r="AF942" s="105">
        <f>IF(tech_base!$T38&gt;AF$905,"",AF2062+tech_proj!AF1562/(1-tech_proj!AF442))</f>
        <v>50.139154483407374</v>
      </c>
      <c r="AG942" s="105">
        <f>IF(tech_base!$T38&gt;AG$905,"",AG2062+tech_proj!AG1562/(1-tech_proj!AG442))</f>
        <v>50.714692682863557</v>
      </c>
      <c r="AH942" s="105">
        <f>IF(tech_base!$T38&gt;AH$905,"",AH2062+tech_proj!AH1562/(1-tech_proj!AH442))</f>
        <v>51.249315140252016</v>
      </c>
      <c r="AI942" s="105">
        <f>IF(tech_base!$T38&gt;AI$905,"",AI2062+tech_proj!AI1562/(1-tech_proj!AI442))</f>
        <v>51.732418225225651</v>
      </c>
      <c r="AJ942" s="105">
        <f>IF(tech_base!$T38&gt;AJ$905,"",AJ2062+tech_proj!AJ1562/(1-tech_proj!AJ442))</f>
        <v>52.072320635507765</v>
      </c>
      <c r="AK942" s="105">
        <f>IF(tech_base!$T38&gt;AK$905,"",AK2062+tech_proj!AK1562/(1-tech_proj!AK442))</f>
        <v>52.475165088838139</v>
      </c>
      <c r="AL942" s="105">
        <f>IF(tech_base!$T38&gt;AL$905,"",AL2062+tech_proj!AL1562/(1-tech_proj!AL442))</f>
        <v>52.923836302165533</v>
      </c>
      <c r="AM942" s="105">
        <f>IF(tech_base!$T38&gt;AM$905,"",AM2062+tech_proj!AM1562/(1-tech_proj!AM442))</f>
        <v>53.410586244811824</v>
      </c>
      <c r="AN942" s="105">
        <f>IF(tech_base!$T38&gt;AN$905,"",AN2062+tech_proj!AN1562/(1-tech_proj!AN442))</f>
        <v>53.783970418776754</v>
      </c>
      <c r="AO942" s="105">
        <f>IF(tech_base!$T38&gt;AO$905,"",AO2062+tech_proj!AO1562/(1-tech_proj!AO442))</f>
        <v>54.150770287413991</v>
      </c>
      <c r="AP942" s="105">
        <f>IF(tech_base!$T38&gt;AP$905,"",AP2062+tech_proj!AP1562/(1-tech_proj!AP442))</f>
        <v>54.511275110452289</v>
      </c>
      <c r="AQ942" s="105">
        <f>IF(tech_base!$T38&gt;AQ$905,"",AQ2062+tech_proj!AQ1562/(1-tech_proj!AQ442))</f>
        <v>54.870902577387156</v>
      </c>
      <c r="AR942" s="105">
        <f>IF(tech_base!$T38&gt;AR$905,"",AR2062+tech_proj!AR1562/(1-tech_proj!AR442))</f>
        <v>55.267992730972928</v>
      </c>
      <c r="AS942" s="105">
        <f>IF(tech_base!$T38&gt;AS$905,"",AS2062+tech_proj!AS1562/(1-tech_proj!AS442))</f>
        <v>55.674695276601426</v>
      </c>
      <c r="AT942" s="105">
        <f>IF(tech_base!$T38&gt;AT$905,"",AT2062+tech_proj!AT1562/(1-tech_proj!AT442))</f>
        <v>55.935809412925494</v>
      </c>
      <c r="AU942" s="105">
        <f>IF(tech_base!$T38&gt;AU$905,"",AU2062+tech_proj!AU1562/(1-tech_proj!AU442))</f>
        <v>56.319778440132445</v>
      </c>
      <c r="AV942" s="105">
        <f>IF(tech_base!$T38&gt;AV$905,"",AV2062+tech_proj!AV1562/(1-tech_proj!AV442))</f>
        <v>56.636195327581682</v>
      </c>
      <c r="AW942" s="105">
        <f>IF(tech_base!$T38&gt;AW$905,"",AW2062+tech_proj!AW1562/(1-tech_proj!AW442))</f>
        <v>56.916796889685884</v>
      </c>
      <c r="AX942" s="106">
        <f>IF(tech_base!$T38&gt;AX$905,"",AX2062+tech_proj!AX1562/(1-tech_proj!AX442))</f>
        <v>57.28886050539063</v>
      </c>
    </row>
    <row r="943" spans="1:50" x14ac:dyDescent="0.25">
      <c r="A943" s="356"/>
      <c r="B943" s="376"/>
      <c r="C943" s="361" t="s">
        <v>14</v>
      </c>
      <c r="D943" s="58" t="s">
        <v>7</v>
      </c>
      <c r="E943" s="164" t="str">
        <f>A913&amp;"/"&amp;B939&amp;"/"&amp;C943&amp;"/"&amp;D943</f>
        <v>Coal fired power plants/Steam turbine/CHP/L</v>
      </c>
      <c r="F943" s="78" t="str">
        <f>A913</f>
        <v>Coal fired power plants</v>
      </c>
      <c r="G943" s="78" t="str">
        <f>B939</f>
        <v>Steam turbine</v>
      </c>
      <c r="H943" s="78" t="str">
        <f>C943</f>
        <v>CHP</v>
      </c>
      <c r="I943" s="165" t="str">
        <f t="shared" si="367"/>
        <v>L</v>
      </c>
      <c r="J943" s="109">
        <f>IF(tech_base!$T39&gt;J$905,"",J2063+tech_proj!J1563/(1-tech_proj!J443))</f>
        <v>33.465060958908786</v>
      </c>
      <c r="K943" s="109">
        <f>IF(tech_base!$T39&gt;K$905,"",K2063+tech_proj!K1563/(1-tech_proj!K443))</f>
        <v>41.038085964096695</v>
      </c>
      <c r="L943" s="109">
        <f>IF(tech_base!$T39&gt;L$905,"",L2063+tech_proj!L1563/(1-tech_proj!L443))</f>
        <v>35.355699112438636</v>
      </c>
      <c r="M943" s="109">
        <f>IF(tech_base!$T39&gt;M$905,"",M2063+tech_proj!M1563/(1-tech_proj!M443))</f>
        <v>32.201782977548504</v>
      </c>
      <c r="N943" s="109">
        <f>IF(tech_base!$T39&gt;N$905,"",N2063+tech_proj!N1563/(1-tech_proj!N443))</f>
        <v>31.031315154143751</v>
      </c>
      <c r="O943" s="109">
        <f>IF(tech_base!$T39&gt;O$905,"",O2063+tech_proj!O1563/(1-tech_proj!O443))</f>
        <v>29.339541313589979</v>
      </c>
      <c r="P943" s="109">
        <f>IF(tech_base!$T39&gt;P$905,"",P2063+tech_proj!P1563/(1-tech_proj!P443))</f>
        <v>30.825668926616871</v>
      </c>
      <c r="Q943" s="109">
        <f>IF(tech_base!$T39&gt;Q$905,"",Q2063+tech_proj!Q1563/(1-tech_proj!Q443))</f>
        <v>38.376289811930171</v>
      </c>
      <c r="R943" s="109">
        <f>IF(tech_base!$T39&gt;R$905,"",R2063+tech_proj!R1563/(1-tech_proj!R443))</f>
        <v>38.575028088935063</v>
      </c>
      <c r="S943" s="109">
        <f>IF(tech_base!$T39&gt;S$905,"",S2063+tech_proj!S1563/(1-tech_proj!S443))</f>
        <v>38.771755139189764</v>
      </c>
      <c r="T943" s="109">
        <f>IF(tech_base!$T39&gt;T$905,"",T2063+tech_proj!T1563/(1-tech_proj!T443))</f>
        <v>38.966518918853076</v>
      </c>
      <c r="U943" s="109">
        <f>IF(tech_base!$T39&gt;U$905,"",U2063+tech_proj!U1563/(1-tech_proj!U443))</f>
        <v>39.778257700052968</v>
      </c>
      <c r="V943" s="109">
        <f>IF(tech_base!$T39&gt;V$905,"",V2063+tech_proj!V1563/(1-tech_proj!V443))</f>
        <v>39.801419226037609</v>
      </c>
      <c r="W943" s="109">
        <f>IF(tech_base!$T39&gt;W$905,"",W2063+tech_proj!W1563/(1-tech_proj!W443))</f>
        <v>39.774767377281719</v>
      </c>
      <c r="X943" s="109">
        <f>IF(tech_base!$T39&gt;X$905,"",X2063+tech_proj!X1563/(1-tech_proj!X443))</f>
        <v>39.986864214261772</v>
      </c>
      <c r="Y943" s="109">
        <f>IF(tech_base!$T39&gt;Y$905,"",Y2063+tech_proj!Y1563/(1-tech_proj!Y443))</f>
        <v>40.236815443878342</v>
      </c>
      <c r="Z943" s="109">
        <f>IF(tech_base!$T39&gt;Z$905,"",Z2063+tech_proj!Z1563/(1-tech_proj!Z443))</f>
        <v>41.412920393471197</v>
      </c>
      <c r="AA943" s="109">
        <f>IF(tech_base!$T39&gt;AA$905,"",AA2063+tech_proj!AA1563/(1-tech_proj!AA443))</f>
        <v>42.586939544718341</v>
      </c>
      <c r="AB943" s="109">
        <f>IF(tech_base!$T39&gt;AB$905,"",AB2063+tech_proj!AB1563/(1-tech_proj!AB443))</f>
        <v>43.801347885939961</v>
      </c>
      <c r="AC943" s="109">
        <f>IF(tech_base!$T39&gt;AC$905,"",AC2063+tech_proj!AC1563/(1-tech_proj!AC443))</f>
        <v>45.026685956831969</v>
      </c>
      <c r="AD943" s="109">
        <f>IF(tech_base!$T39&gt;AD$905,"",AD2063+tech_proj!AD1563/(1-tech_proj!AD443))</f>
        <v>46.369362512631398</v>
      </c>
      <c r="AE943" s="109">
        <f>IF(tech_base!$T39&gt;AE$905,"",AE2063+tech_proj!AE1563/(1-tech_proj!AE443))</f>
        <v>46.751215057727876</v>
      </c>
      <c r="AF943" s="109">
        <f>IF(tech_base!$T39&gt;AF$905,"",AF2063+tech_proj!AF1563/(1-tech_proj!AF443))</f>
        <v>47.270857714224945</v>
      </c>
      <c r="AG943" s="109">
        <f>IF(tech_base!$T39&gt;AG$905,"",AG2063+tech_proj!AG1563/(1-tech_proj!AG443))</f>
        <v>47.813477159908203</v>
      </c>
      <c r="AH943" s="109">
        <f>IF(tech_base!$T39&gt;AH$905,"",AH2063+tech_proj!AH1563/(1-tech_proj!AH443))</f>
        <v>48.317327533150156</v>
      </c>
      <c r="AI943" s="109">
        <f>IF(tech_base!$T39&gt;AI$905,"",AI2063+tech_proj!AI1563/(1-tech_proj!AI443))</f>
        <v>48.77238721293395</v>
      </c>
      <c r="AJ943" s="109">
        <f>IF(tech_base!$T39&gt;AJ$905,"",AJ2063+tech_proj!AJ1563/(1-tech_proj!AJ443))</f>
        <v>49.091969964127209</v>
      </c>
      <c r="AK943" s="109">
        <f>IF(tech_base!$T39&gt;AK$905,"",AK2063+tech_proj!AK1563/(1-tech_proj!AK443))</f>
        <v>49.471016072723359</v>
      </c>
      <c r="AL943" s="109">
        <f>IF(tech_base!$T39&gt;AL$905,"",AL2063+tech_proj!AL1563/(1-tech_proj!AL443))</f>
        <v>49.893332559523202</v>
      </c>
      <c r="AM943" s="109">
        <f>IF(tech_base!$T39&gt;AM$905,"",AM2063+tech_proj!AM1563/(1-tech_proj!AM443))</f>
        <v>50.35158623005703</v>
      </c>
      <c r="AN943" s="109">
        <f>IF(tech_base!$T39&gt;AN$905,"",AN2063+tech_proj!AN1563/(1-tech_proj!AN443))</f>
        <v>50.702597824001884</v>
      </c>
      <c r="AO943" s="109">
        <f>IF(tech_base!$T39&gt;AO$905,"",AO2063+tech_proj!AO1563/(1-tech_proj!AO443))</f>
        <v>51.047329225763484</v>
      </c>
      <c r="AP943" s="109">
        <f>IF(tech_base!$T39&gt;AP$905,"",AP2063+tech_proj!AP1563/(1-tech_proj!AP443))</f>
        <v>51.386054893308092</v>
      </c>
      <c r="AQ943" s="109">
        <f>IF(tech_base!$T39&gt;AQ$905,"",AQ2063+tech_proj!AQ1563/(1-tech_proj!AQ443))</f>
        <v>51.72389672554425</v>
      </c>
      <c r="AR943" s="109">
        <f>IF(tech_base!$T39&gt;AR$905,"",AR2063+tech_proj!AR1563/(1-tech_proj!AR443))</f>
        <v>52.097092021211921</v>
      </c>
      <c r="AS943" s="109">
        <f>IF(tech_base!$T39&gt;AS$905,"",AS2063+tech_proj!AS1563/(1-tech_proj!AS443))</f>
        <v>52.479313198580705</v>
      </c>
      <c r="AT943" s="109">
        <f>IF(tech_base!$T39&gt;AT$905,"",AT2063+tech_proj!AT1563/(1-tech_proj!AT443))</f>
        <v>52.723888679022309</v>
      </c>
      <c r="AU943" s="109">
        <f>IF(tech_base!$T39&gt;AU$905,"",AU2063+tech_proj!AU1563/(1-tech_proj!AU443))</f>
        <v>53.084516476197223</v>
      </c>
      <c r="AV943" s="109">
        <f>IF(tech_base!$T39&gt;AV$905,"",AV2063+tech_proj!AV1563/(1-tech_proj!AV443))</f>
        <v>53.38125655781527</v>
      </c>
      <c r="AW943" s="109">
        <f>IF(tech_base!$T39&gt;AW$905,"",AW2063+tech_proj!AW1563/(1-tech_proj!AW443))</f>
        <v>53.6441080056129</v>
      </c>
      <c r="AX943" s="110">
        <f>IF(tech_base!$T39&gt;AX$905,"",AX2063+tech_proj!AX1563/(1-tech_proj!AX443))</f>
        <v>53.993328631422109</v>
      </c>
    </row>
    <row r="944" spans="1:50" x14ac:dyDescent="0.25">
      <c r="A944" s="356"/>
      <c r="B944" s="376"/>
      <c r="C944" s="378"/>
      <c r="D944" s="2" t="s">
        <v>8</v>
      </c>
      <c r="E944" s="160" t="str">
        <f>A913&amp;"/"&amp;B939&amp;"/"&amp;C943&amp;"/"&amp;D944</f>
        <v>Coal fired power plants/Steam turbine/CHP/M</v>
      </c>
      <c r="F944" s="76" t="str">
        <f>A913</f>
        <v>Coal fired power plants</v>
      </c>
      <c r="G944" s="76" t="str">
        <f>B939</f>
        <v>Steam turbine</v>
      </c>
      <c r="H944" s="76" t="str">
        <f>C943</f>
        <v>CHP</v>
      </c>
      <c r="I944" s="161" t="str">
        <f t="shared" si="367"/>
        <v>M</v>
      </c>
      <c r="J944" s="105">
        <f>IF(tech_base!$T40&gt;J$905,"",J2064+tech_proj!J1564/(1-tech_proj!J444))</f>
        <v>35.286221158533486</v>
      </c>
      <c r="K944" s="105">
        <f>IF(tech_base!$T40&gt;K$905,"",K2064+tech_proj!K1564/(1-tech_proj!K444))</f>
        <v>43.266861439504936</v>
      </c>
      <c r="L944" s="105">
        <f>IF(tech_base!$T40&gt;L$905,"",L2064+tech_proj!L1564/(1-tech_proj!L444))</f>
        <v>37.280866485608975</v>
      </c>
      <c r="M944" s="105">
        <f>IF(tech_base!$T40&gt;M$905,"",M2064+tech_proj!M1564/(1-tech_proj!M444))</f>
        <v>33.958553262642965</v>
      </c>
      <c r="N944" s="105">
        <f>IF(tech_base!$T40&gt;N$905,"",N2064+tech_proj!N1564/(1-tech_proj!N444))</f>
        <v>32.72610357746283</v>
      </c>
      <c r="O944" s="105">
        <f>IF(tech_base!$T40&gt;O$905,"",O2064+tech_proj!O1564/(1-tech_proj!O444))</f>
        <v>30.944030989078566</v>
      </c>
      <c r="P944" s="105">
        <f>IF(tech_base!$T40&gt;P$905,"",P2064+tech_proj!P1564/(1-tech_proj!P444))</f>
        <v>32.511360413641555</v>
      </c>
      <c r="Q944" s="105">
        <f>IF(tech_base!$T40&gt;Q$905,"",Q2064+tech_proj!Q1564/(1-tech_proj!Q444))</f>
        <v>40.471653104143535</v>
      </c>
      <c r="R944" s="105">
        <f>IF(tech_base!$T40&gt;R$905,"",R2064+tech_proj!R1564/(1-tech_proj!R444))</f>
        <v>40.682730633368998</v>
      </c>
      <c r="S944" s="105">
        <f>IF(tech_base!$T40&gt;S$905,"",S2064+tech_proj!S1564/(1-tech_proj!S444))</f>
        <v>40.891715540512848</v>
      </c>
      <c r="T944" s="105">
        <f>IF(tech_base!$T40&gt;T$905,"",T2064+tech_proj!T1564/(1-tech_proj!T444))</f>
        <v>41.098657491130361</v>
      </c>
      <c r="U944" s="105">
        <f>IF(tech_base!$T40&gt;U$905,"",U2064+tech_proj!U1564/(1-tech_proj!U444))</f>
        <v>41.956184145091527</v>
      </c>
      <c r="V944" s="105">
        <f>IF(tech_base!$T40&gt;V$905,"",V2064+tech_proj!V1564/(1-tech_proj!V444))</f>
        <v>41.982269341577556</v>
      </c>
      <c r="W944" s="105">
        <f>IF(tech_base!$T40&gt;W$905,"",W2064+tech_proj!W1564/(1-tech_proj!W444))</f>
        <v>41.955821138935065</v>
      </c>
      <c r="X944" s="105">
        <f>IF(tech_base!$T40&gt;X$905,"",X2064+tech_proj!X1564/(1-tech_proj!X444))</f>
        <v>42.18116308478394</v>
      </c>
      <c r="Y944" s="105">
        <f>IF(tech_base!$T40&gt;Y$905,"",Y2064+tech_proj!Y1564/(1-tech_proj!Y444))</f>
        <v>42.446458530106966</v>
      </c>
      <c r="Z944" s="105">
        <f>IF(tech_base!$T40&gt;Z$905,"",Z2064+tech_proj!Z1564/(1-tech_proj!Z444))</f>
        <v>43.688706307629005</v>
      </c>
      <c r="AA944" s="105">
        <f>IF(tech_base!$T40&gt;AA$905,"",AA2064+tech_proj!AA1564/(1-tech_proj!AA444))</f>
        <v>44.928926181575946</v>
      </c>
      <c r="AB944" s="105">
        <f>IF(tech_base!$T40&gt;AB$905,"",AB2064+tech_proj!AB1564/(1-tech_proj!AB444))</f>
        <v>46.211926269739934</v>
      </c>
      <c r="AC944" s="105">
        <f>IF(tech_base!$T40&gt;AC$905,"",AC2064+tech_proj!AC1564/(1-tech_proj!AC444))</f>
        <v>47.506633629253813</v>
      </c>
      <c r="AD944" s="105">
        <f>IF(tech_base!$T40&gt;AD$905,"",AD2064+tech_proj!AD1564/(1-tech_proj!AD444))</f>
        <v>48.925323119557312</v>
      </c>
      <c r="AE944" s="105">
        <f>IF(tech_base!$T40&gt;AE$905,"",AE2064+tech_proj!AE1564/(1-tech_proj!AE444))</f>
        <v>49.330351796955007</v>
      </c>
      <c r="AF944" s="105">
        <f>IF(tech_base!$T40&gt;AF$905,"",AF2064+tech_proj!AF1564/(1-tech_proj!AF444))</f>
        <v>49.880833177944901</v>
      </c>
      <c r="AG944" s="105">
        <f>IF(tech_base!$T40&gt;AG$905,"",AG2064+tech_proj!AG1564/(1-tech_proj!AG444))</f>
        <v>50.455630088470159</v>
      </c>
      <c r="AH944" s="105">
        <f>IF(tech_base!$T40&gt;AH$905,"",AH2064+tech_proj!AH1564/(1-tech_proj!AH444))</f>
        <v>50.989579218302602</v>
      </c>
      <c r="AI944" s="105">
        <f>IF(tech_base!$T40&gt;AI$905,"",AI2064+tech_proj!AI1564/(1-tech_proj!AI444))</f>
        <v>51.472093309818696</v>
      </c>
      <c r="AJ944" s="105">
        <f>IF(tech_base!$T40&gt;AJ$905,"",AJ2064+tech_proj!AJ1564/(1-tech_proj!AJ444))</f>
        <v>51.811657921311962</v>
      </c>
      <c r="AK944" s="105">
        <f>IF(tech_base!$T40&gt;AK$905,"",AK2064+tech_proj!AK1564/(1-tech_proj!AK444))</f>
        <v>52.214028320241347</v>
      </c>
      <c r="AL944" s="105">
        <f>IF(tech_base!$T40&gt;AL$905,"",AL2064+tech_proj!AL1564/(1-tech_proj!AL444))</f>
        <v>52.662121660965802</v>
      </c>
      <c r="AM944" s="105">
        <f>IF(tech_base!$T40&gt;AM$905,"",AM2064+tech_proj!AM1564/(1-tech_proj!AM444))</f>
        <v>53.148204257153367</v>
      </c>
      <c r="AN944" s="105">
        <f>IF(tech_base!$T40&gt;AN$905,"",AN2064+tech_proj!AN1564/(1-tech_proj!AN444))</f>
        <v>53.521106716760649</v>
      </c>
      <c r="AO944" s="105">
        <f>IF(tech_base!$T40&gt;AO$905,"",AO2064+tech_proj!AO1564/(1-tech_proj!AO444))</f>
        <v>53.887413176998848</v>
      </c>
      <c r="AP944" s="105">
        <f>IF(tech_base!$T40&gt;AP$905,"",AP2064+tech_proj!AP1564/(1-tech_proj!AP444))</f>
        <v>54.247411290863774</v>
      </c>
      <c r="AQ944" s="105">
        <f>IF(tech_base!$T40&gt;AQ$905,"",AQ2064+tech_proj!AQ1564/(1-tech_proj!AQ444))</f>
        <v>54.606508023169184</v>
      </c>
      <c r="AR944" s="105">
        <f>IF(tech_base!$T40&gt;AR$905,"",AR2064+tech_proj!AR1564/(1-tech_proj!AR444))</f>
        <v>55.002973922391689</v>
      </c>
      <c r="AS944" s="105">
        <f>IF(tech_base!$T40&gt;AS$905,"",AS2064+tech_proj!AS1564/(1-tech_proj!AS444))</f>
        <v>55.4090082050311</v>
      </c>
      <c r="AT944" s="105">
        <f>IF(tech_base!$T40&gt;AT$905,"",AT2064+tech_proj!AT1564/(1-tech_proj!AT444))</f>
        <v>55.669686146618773</v>
      </c>
      <c r="AU944" s="105">
        <f>IF(tech_base!$T40&gt;AU$905,"",AU2064+tech_proj!AU1564/(1-tech_proj!AU444))</f>
        <v>56.052971117176519</v>
      </c>
      <c r="AV944" s="105">
        <f>IF(tech_base!$T40&gt;AV$905,"",AV2064+tech_proj!AV1564/(1-tech_proj!AV444))</f>
        <v>56.368795124999224</v>
      </c>
      <c r="AW944" s="105">
        <f>IF(tech_base!$T40&gt;AW$905,"",AW2064+tech_proj!AW1564/(1-tech_proj!AW444))</f>
        <v>56.648837776629328</v>
      </c>
      <c r="AX944" s="106">
        <f>IF(tech_base!$T40&gt;AX$905,"",AX2064+tech_proj!AX1564/(1-tech_proj!AX444))</f>
        <v>57.02014976318447</v>
      </c>
    </row>
    <row r="945" spans="1:50" x14ac:dyDescent="0.25">
      <c r="A945" s="356"/>
      <c r="B945" s="376"/>
      <c r="C945" s="378"/>
      <c r="D945" s="2" t="s">
        <v>10</v>
      </c>
      <c r="E945" s="160" t="str">
        <f>A913&amp;"/"&amp;B939&amp;"/"&amp;C943&amp;"/"&amp;D945</f>
        <v>Coal fired power plants/Steam turbine/CHP/S</v>
      </c>
      <c r="F945" s="76" t="str">
        <f>A913</f>
        <v>Coal fired power plants</v>
      </c>
      <c r="G945" s="76" t="str">
        <f>B939</f>
        <v>Steam turbine</v>
      </c>
      <c r="H945" s="76" t="str">
        <f>C943</f>
        <v>CHP</v>
      </c>
      <c r="I945" s="161" t="str">
        <f t="shared" si="367"/>
        <v>S</v>
      </c>
      <c r="J945" s="105">
        <f>IF(tech_base!$T41&gt;J$905,"",J2065+tech_proj!J1565/(1-tech_proj!J445))</f>
        <v>38.019101264470855</v>
      </c>
      <c r="K945" s="105">
        <f>IF(tech_base!$T41&gt;K$905,"",K2065+tech_proj!K1565/(1-tech_proj!K445))</f>
        <v>46.430817720865107</v>
      </c>
      <c r="L945" s="105">
        <f>IF(tech_base!$T41&gt;L$905,"",L2065+tech_proj!L1565/(1-tech_proj!L445))</f>
        <v>40.123994746802303</v>
      </c>
      <c r="M945" s="105">
        <f>IF(tech_base!$T41&gt;M$905,"",M2065+tech_proj!M1565/(1-tech_proj!M445))</f>
        <v>36.623866910111012</v>
      </c>
      <c r="N945" s="105">
        <f>IF(tech_base!$T41&gt;N$905,"",N2065+tech_proj!N1565/(1-tech_proj!N445))</f>
        <v>35.326101589445628</v>
      </c>
      <c r="O945" s="105">
        <f>IF(tech_base!$T41&gt;O$905,"",O2065+tech_proj!O1565/(1-tech_proj!O445))</f>
        <v>33.448830474565263</v>
      </c>
      <c r="P945" s="105">
        <f>IF(tech_base!$T41&gt;P$905,"",P2065+tech_proj!P1565/(1-tech_proj!P445))</f>
        <v>35.102103424537006</v>
      </c>
      <c r="Q945" s="105">
        <f>IF(tech_base!$T41&gt;Q$905,"",Q2065+tech_proj!Q1565/(1-tech_proj!Q445))</f>
        <v>43.495076407373595</v>
      </c>
      <c r="R945" s="105">
        <f>IF(tech_base!$T41&gt;R$905,"",R2065+tech_proj!R1565/(1-tech_proj!R445))</f>
        <v>43.719247441146059</v>
      </c>
      <c r="S945" s="105">
        <f>IF(tech_base!$T41&gt;S$905,"",S2065+tech_proj!S1565/(1-tech_proj!S445))</f>
        <v>43.941229908183523</v>
      </c>
      <c r="T945" s="105">
        <f>IF(tech_base!$T41&gt;T$905,"",T2065+tech_proj!T1565/(1-tech_proj!T445))</f>
        <v>44.161075357560392</v>
      </c>
      <c r="U945" s="105">
        <f>IF(tech_base!$T41&gt;U$905,"",U2065+tech_proj!U1565/(1-tech_proj!U445))</f>
        <v>45.066945303308209</v>
      </c>
      <c r="V945" s="105">
        <f>IF(tech_base!$T41&gt;V$905,"",V2065+tech_proj!V1565/(1-tech_proj!V445))</f>
        <v>45.096146853018531</v>
      </c>
      <c r="W945" s="105">
        <f>IF(tech_base!$T41&gt;W$905,"",W2065+tech_proj!W1565/(1-tech_proj!W445))</f>
        <v>45.069942261795262</v>
      </c>
      <c r="X945" s="105">
        <f>IF(tech_base!$T41&gt;X$905,"",X2065+tech_proj!X1565/(1-tech_proj!X445))</f>
        <v>45.309269577578178</v>
      </c>
      <c r="Y945" s="105">
        <f>IF(tech_base!$T41&gt;Y$905,"",Y2065+tech_proj!Y1565/(1-tech_proj!Y445))</f>
        <v>45.590751942791044</v>
      </c>
      <c r="Z945" s="105">
        <f>IF(tech_base!$T41&gt;Z$905,"",Z2065+tech_proj!Z1565/(1-tech_proj!Z445))</f>
        <v>46.90268975121883</v>
      </c>
      <c r="AA945" s="105">
        <f>IF(tech_base!$T41&gt;AA$905,"",AA2065+tech_proj!AA1565/(1-tech_proj!AA445))</f>
        <v>48.212622816663412</v>
      </c>
      <c r="AB945" s="105">
        <f>IF(tech_base!$T41&gt;AB$905,"",AB2065+tech_proj!AB1565/(1-tech_proj!AB445))</f>
        <v>49.567815745660901</v>
      </c>
      <c r="AC945" s="105">
        <f>IF(tech_base!$T41&gt;AC$905,"",AC2065+tech_proj!AC1565/(1-tech_proj!AC445))</f>
        <v>50.935495150324208</v>
      </c>
      <c r="AD945" s="105">
        <f>IF(tech_base!$T41&gt;AD$905,"",AD2065+tech_proj!AD1565/(1-tech_proj!AD445))</f>
        <v>52.434108784178918</v>
      </c>
      <c r="AE945" s="105">
        <f>IF(tech_base!$T41&gt;AE$905,"",AE2065+tech_proj!AE1565/(1-tech_proj!AE445))</f>
        <v>52.863426108975155</v>
      </c>
      <c r="AF945" s="105">
        <f>IF(tech_base!$T41&gt;AF$905,"",AF2065+tech_proj!AF1565/(1-tech_proj!AF445))</f>
        <v>53.446241005690666</v>
      </c>
      <c r="AG945" s="105">
        <f>IF(tech_base!$T41&gt;AG$905,"",AG2065+tech_proj!AG1565/(1-tech_proj!AG445))</f>
        <v>54.054760020707938</v>
      </c>
      <c r="AH945" s="105">
        <f>IF(tech_base!$T41&gt;AH$905,"",AH2065+tech_proj!AH1565/(1-tech_proj!AH445))</f>
        <v>54.620225939938408</v>
      </c>
      <c r="AI945" s="105">
        <f>IF(tech_base!$T41&gt;AI$905,"",AI2065+tech_proj!AI1565/(1-tech_proj!AI445))</f>
        <v>55.131458751761542</v>
      </c>
      <c r="AJ945" s="105">
        <f>IF(tech_base!$T41&gt;AJ$905,"",AJ2065+tech_proj!AJ1565/(1-tech_proj!AJ445))</f>
        <v>55.491872693000374</v>
      </c>
      <c r="AK945" s="105">
        <f>IF(tech_base!$T41&gt;AK$905,"",AK2065+tech_proj!AK1565/(1-tech_proj!AK445))</f>
        <v>55.918590845971352</v>
      </c>
      <c r="AL945" s="105">
        <f>IF(tech_base!$T41&gt;AL$905,"",AL2065+tech_proj!AL1565/(1-tech_proj!AL445))</f>
        <v>56.393593224457419</v>
      </c>
      <c r="AM945" s="105">
        <f>IF(tech_base!$T41&gt;AM$905,"",AM2065+tech_proj!AM1565/(1-tech_proj!AM445))</f>
        <v>56.908723810530724</v>
      </c>
      <c r="AN945" s="105">
        <f>IF(tech_base!$T41&gt;AN$905,"",AN2065+tech_proj!AN1565/(1-tech_proj!AN445))</f>
        <v>57.304424087366044</v>
      </c>
      <c r="AO945" s="105">
        <f>IF(tech_base!$T41&gt;AO$905,"",AO2065+tech_proj!AO1565/(1-tech_proj!AO445))</f>
        <v>57.693183575382143</v>
      </c>
      <c r="AP945" s="105">
        <f>IF(tech_base!$T41&gt;AP$905,"",AP2065+tech_proj!AP1565/(1-tech_proj!AP445))</f>
        <v>58.075304196628608</v>
      </c>
      <c r="AQ945" s="105">
        <f>IF(tech_base!$T41&gt;AQ$905,"",AQ2065+tech_proj!AQ1565/(1-tech_proj!AQ445))</f>
        <v>58.456492354699854</v>
      </c>
      <c r="AR945" s="105">
        <f>IF(tech_base!$T41&gt;AR$905,"",AR2065+tech_proj!AR1565/(1-tech_proj!AR445))</f>
        <v>58.877151037529487</v>
      </c>
      <c r="AS945" s="105">
        <f>IF(tech_base!$T41&gt;AS$905,"",AS2065+tech_proj!AS1565/(1-tech_proj!AS445))</f>
        <v>59.307933509029652</v>
      </c>
      <c r="AT945" s="105">
        <f>IF(tech_base!$T41&gt;AT$905,"",AT2065+tech_proj!AT1565/(1-tech_proj!AT445))</f>
        <v>59.585264190449919</v>
      </c>
      <c r="AU945" s="105">
        <f>IF(tech_base!$T41&gt;AU$905,"",AU2065+tech_proj!AU1565/(1-tech_proj!AU445))</f>
        <v>59.992061358070792</v>
      </c>
      <c r="AV945" s="105">
        <f>IF(tech_base!$T41&gt;AV$905,"",AV2065+tech_proj!AV1565/(1-tech_proj!AV445))</f>
        <v>60.327641642413035</v>
      </c>
      <c r="AW945" s="105">
        <f>IF(tech_base!$T41&gt;AW$905,"",AW2065+tech_proj!AW1565/(1-tech_proj!AW445))</f>
        <v>60.625447787544431</v>
      </c>
      <c r="AX945" s="106">
        <f>IF(tech_base!$T41&gt;AX$905,"",AX2065+tech_proj!AX1565/(1-tech_proj!AX445))</f>
        <v>61.019645080523659</v>
      </c>
    </row>
    <row r="946" spans="1:50" x14ac:dyDescent="0.25">
      <c r="A946" s="356"/>
      <c r="B946" s="376"/>
      <c r="C946" s="379"/>
      <c r="D946" s="59" t="s">
        <v>20</v>
      </c>
      <c r="E946" s="166" t="str">
        <f>A913&amp;"/"&amp;B939&amp;"/"&amp;C943&amp;"/"&amp;D946</f>
        <v>Coal fired power plants/Steam turbine/CHP/XS</v>
      </c>
      <c r="F946" s="79" t="str">
        <f>A913</f>
        <v>Coal fired power plants</v>
      </c>
      <c r="G946" s="79" t="str">
        <f>B939</f>
        <v>Steam turbine</v>
      </c>
      <c r="H946" s="79" t="str">
        <f>C943</f>
        <v>CHP</v>
      </c>
      <c r="I946" s="167" t="str">
        <f t="shared" si="367"/>
        <v>XS</v>
      </c>
      <c r="J946" s="111">
        <f>IF(tech_base!$T42&gt;J$905,"",J2066+tech_proj!J1566/(1-tech_proj!J446))</f>
        <v>39.753676029195276</v>
      </c>
      <c r="K946" s="111">
        <f>IF(tech_base!$T42&gt;K$905,"",K2066+tech_proj!K1566/(1-tech_proj!K446))</f>
        <v>48.619877671628842</v>
      </c>
      <c r="L946" s="111">
        <f>IF(tech_base!$T42&gt;L$905,"",L2066+tech_proj!L1566/(1-tech_proj!L446))</f>
        <v>41.9726482064737</v>
      </c>
      <c r="M946" s="111">
        <f>IF(tech_base!$T42&gt;M$905,"",M2066+tech_proj!M1566/(1-tech_proj!M446))</f>
        <v>38.283547907357836</v>
      </c>
      <c r="N946" s="111">
        <f>IF(tech_base!$T42&gt;N$905,"",N2066+tech_proj!N1566/(1-tech_proj!N446))</f>
        <v>36.915750494150572</v>
      </c>
      <c r="O946" s="111">
        <f>IF(tech_base!$T42&gt;O$905,"",O2066+tech_proj!O1566/(1-tech_proj!O446))</f>
        <v>34.937040338585064</v>
      </c>
      <c r="P946" s="111">
        <f>IF(tech_base!$T42&gt;P$905,"",P2066+tech_proj!P1566/(1-tech_proj!P446))</f>
        <v>36.679865690113473</v>
      </c>
      <c r="Q946" s="111">
        <f>IF(tech_base!$T42&gt;Q$905,"",Q2066+tech_proj!Q1566/(1-tech_proj!Q446))</f>
        <v>45.527369635577415</v>
      </c>
      <c r="R946" s="111">
        <f>IF(tech_base!$T42&gt;R$905,"",R2066+tech_proj!R1566/(1-tech_proj!R446))</f>
        <v>45.763984136029606</v>
      </c>
      <c r="S946" s="111">
        <f>IF(tech_base!$T42&gt;S$905,"",S2066+tech_proj!S1566/(1-tech_proj!S446))</f>
        <v>45.998301888923052</v>
      </c>
      <c r="T946" s="111">
        <f>IF(tech_base!$T42&gt;T$905,"",T2066+tech_proj!T1566/(1-tech_proj!T446))</f>
        <v>46.230376952602697</v>
      </c>
      <c r="U946" s="111">
        <f>IF(tech_base!$T42&gt;U$905,"",U2066+tech_proj!U1566/(1-tech_proj!U446))</f>
        <v>47.185690454315925</v>
      </c>
      <c r="V946" s="111">
        <f>IF(tech_base!$T42&gt;V$905,"",V2066+tech_proj!V1566/(1-tech_proj!V446))</f>
        <v>47.216813437709362</v>
      </c>
      <c r="W946" s="111">
        <f>IF(tech_base!$T42&gt;W$905,"",W2066+tech_proj!W1566/(1-tech_proj!W446))</f>
        <v>47.189524271510855</v>
      </c>
      <c r="X946" s="111">
        <f>IF(tech_base!$T42&gt;X$905,"",X2066+tech_proj!X1566/(1-tech_proj!X446))</f>
        <v>47.442183362994029</v>
      </c>
      <c r="Y946" s="111">
        <f>IF(tech_base!$T42&gt;Y$905,"",Y2066+tech_proj!Y1566/(1-tech_proj!Y446))</f>
        <v>47.739297517732687</v>
      </c>
      <c r="Z946" s="111">
        <f>IF(tech_base!$T42&gt;Z$905,"",Z2066+tech_proj!Z1566/(1-tech_proj!Z446))</f>
        <v>49.122875437540962</v>
      </c>
      <c r="AA946" s="111">
        <f>IF(tech_base!$T42&gt;AA$905,"",AA2066+tech_proj!AA1566/(1-tech_proj!AA446))</f>
        <v>50.504396352976499</v>
      </c>
      <c r="AB946" s="111">
        <f>IF(tech_base!$T42&gt;AB$905,"",AB2066+tech_proj!AB1566/(1-tech_proj!AB446))</f>
        <v>51.933694822535422</v>
      </c>
      <c r="AC946" s="111">
        <f>IF(tech_base!$T42&gt;AC$905,"",AC2066+tech_proj!AC1566/(1-tech_proj!AC446))</f>
        <v>53.376216873293927</v>
      </c>
      <c r="AD946" s="111">
        <f>IF(tech_base!$T42&gt;AD$905,"",AD2066+tech_proj!AD1566/(1-tech_proj!AD446))</f>
        <v>54.956857519600732</v>
      </c>
      <c r="AE946" s="111">
        <f>IF(tech_base!$T42&gt;AE$905,"",AE2066+tech_proj!AE1566/(1-tech_proj!AE446))</f>
        <v>55.41004166197709</v>
      </c>
      <c r="AF946" s="111">
        <f>IF(tech_base!$T42&gt;AF$905,"",AF2066+tech_proj!AF1566/(1-tech_proj!AF446))</f>
        <v>56.025101153889295</v>
      </c>
      <c r="AG946" s="111">
        <f>IF(tech_base!$T42&gt;AG$905,"",AG2066+tech_proj!AG1566/(1-tech_proj!AG446))</f>
        <v>56.667288279247984</v>
      </c>
      <c r="AH946" s="111">
        <f>IF(tech_base!$T42&gt;AH$905,"",AH2066+tech_proj!AH1566/(1-tech_proj!AH446))</f>
        <v>57.264098908863318</v>
      </c>
      <c r="AI946" s="111">
        <f>IF(tech_base!$T42&gt;AI$905,"",AI2066+tech_proj!AI1566/(1-tech_proj!AI446))</f>
        <v>57.803740261886993</v>
      </c>
      <c r="AJ946" s="111">
        <f>IF(tech_base!$T42&gt;AJ$905,"",AJ2066+tech_proj!AJ1566/(1-tech_proj!AJ446))</f>
        <v>58.184353490157683</v>
      </c>
      <c r="AK946" s="111">
        <f>IF(tech_base!$T42&gt;AK$905,"",AK2066+tech_proj!AK1566/(1-tech_proj!AK446))</f>
        <v>58.634901823314863</v>
      </c>
      <c r="AL946" s="111">
        <f>IF(tech_base!$T42&gt;AL$905,"",AL2066+tech_proj!AL1566/(1-tech_proj!AL446))</f>
        <v>59.136385286798003</v>
      </c>
      <c r="AM946" s="111">
        <f>IF(tech_base!$T42&gt;AM$905,"",AM2066+tech_proj!AM1566/(1-tech_proj!AM446))</f>
        <v>59.680205088193553</v>
      </c>
      <c r="AN946" s="111">
        <f>IF(tech_base!$T42&gt;AN$905,"",AN2066+tech_proj!AN1566/(1-tech_proj!AN446))</f>
        <v>60.098086783474542</v>
      </c>
      <c r="AO946" s="111">
        <f>IF(tech_base!$T42&gt;AO$905,"",AO2066+tech_proj!AO1566/(1-tech_proj!AO446))</f>
        <v>60.508660846882243</v>
      </c>
      <c r="AP946" s="111">
        <f>IF(tech_base!$T42&gt;AP$905,"",AP2066+tech_proj!AP1566/(1-tech_proj!AP446))</f>
        <v>60.912245003460271</v>
      </c>
      <c r="AQ946" s="111">
        <f>IF(tech_base!$T42&gt;AQ$905,"",AQ2066+tech_proj!AQ1566/(1-tech_proj!AQ446))</f>
        <v>61.314857111002958</v>
      </c>
      <c r="AR946" s="111">
        <f>IF(tech_base!$T42&gt;AR$905,"",AR2066+tech_proj!AR1566/(1-tech_proj!AR446))</f>
        <v>61.759110642312386</v>
      </c>
      <c r="AS946" s="111">
        <f>IF(tech_base!$T42&gt;AS$905,"",AS2066+tech_proj!AS1566/(1-tech_proj!AS446))</f>
        <v>62.214054509341288</v>
      </c>
      <c r="AT946" s="111">
        <f>IF(tech_base!$T42&gt;AT$905,"",AT2066+tech_proj!AT1566/(1-tech_proj!AT446))</f>
        <v>62.507156263907525</v>
      </c>
      <c r="AU946" s="111">
        <f>IF(tech_base!$T42&gt;AU$905,"",AU2066+tech_proj!AU1566/(1-tech_proj!AU446))</f>
        <v>62.936822634854934</v>
      </c>
      <c r="AV946" s="111">
        <f>IF(tech_base!$T42&gt;AV$905,"",AV2066+tech_proj!AV1566/(1-tech_proj!AV446))</f>
        <v>63.291380605922512</v>
      </c>
      <c r="AW946" s="111">
        <f>IF(tech_base!$T42&gt;AW$905,"",AW2066+tech_proj!AW1566/(1-tech_proj!AW446))</f>
        <v>63.606101759964581</v>
      </c>
      <c r="AX946" s="112">
        <f>IF(tech_base!$T42&gt;AX$905,"",AX2066+tech_proj!AX1566/(1-tech_proj!AX446))</f>
        <v>64.022505983169296</v>
      </c>
    </row>
    <row r="947" spans="1:50" x14ac:dyDescent="0.25">
      <c r="A947" s="356"/>
      <c r="B947" s="376"/>
      <c r="C947" s="361" t="s">
        <v>15</v>
      </c>
      <c r="D947" s="58" t="s">
        <v>7</v>
      </c>
      <c r="E947" s="164" t="str">
        <f>A913&amp;"/"&amp;B939&amp;"/"&amp;C947&amp;"/"&amp;D947</f>
        <v>Coal fired power plants/Steam turbine/Electricity only with CCS/L</v>
      </c>
      <c r="F947" s="78" t="str">
        <f>A913</f>
        <v>Coal fired power plants</v>
      </c>
      <c r="G947" s="78" t="str">
        <f>B939</f>
        <v>Steam turbine</v>
      </c>
      <c r="H947" s="78" t="str">
        <f>C947</f>
        <v>Electricity only with CCS</v>
      </c>
      <c r="I947" s="165" t="str">
        <f t="shared" si="367"/>
        <v>L</v>
      </c>
      <c r="J947" s="109" t="str">
        <f>IF(tech_base!$T43&gt;J$905,"",J2067+tech_proj!J1567/(1-tech_proj!J447))</f>
        <v/>
      </c>
      <c r="K947" s="109" t="str">
        <f>IF(tech_base!$T43&gt;K$905,"",K2067+tech_proj!K1567/(1-tech_proj!K447))</f>
        <v/>
      </c>
      <c r="L947" s="109" t="str">
        <f>IF(tech_base!$T43&gt;L$905,"",L2067+tech_proj!L1567/(1-tech_proj!L447))</f>
        <v/>
      </c>
      <c r="M947" s="109" t="str">
        <f>IF(tech_base!$T43&gt;M$905,"",M2067+tech_proj!M1567/(1-tech_proj!M447))</f>
        <v/>
      </c>
      <c r="N947" s="109" t="str">
        <f>IF(tech_base!$T43&gt;N$905,"",N2067+tech_proj!N1567/(1-tech_proj!N447))</f>
        <v/>
      </c>
      <c r="O947" s="109" t="str">
        <f>IF(tech_base!$T43&gt;O$905,"",O2067+tech_proj!O1567/(1-tech_proj!O447))</f>
        <v/>
      </c>
      <c r="P947" s="109" t="str">
        <f>IF(tech_base!$T43&gt;P$905,"",P2067+tech_proj!P1567/(1-tech_proj!P447))</f>
        <v/>
      </c>
      <c r="Q947" s="109" t="str">
        <f>IF(tech_base!$T43&gt;Q$905,"",Q2067+tech_proj!Q1567/(1-tech_proj!Q447))</f>
        <v/>
      </c>
      <c r="R947" s="109" t="str">
        <f>IF(tech_base!$T43&gt;R$905,"",R2067+tech_proj!R1567/(1-tech_proj!R447))</f>
        <v/>
      </c>
      <c r="S947" s="109" t="str">
        <f>IF(tech_base!$T43&gt;S$905,"",S2067+tech_proj!S1567/(1-tech_proj!S447))</f>
        <v/>
      </c>
      <c r="T947" s="109" t="str">
        <f>IF(tech_base!$T43&gt;T$905,"",T2067+tech_proj!T1567/(1-tech_proj!T447))</f>
        <v/>
      </c>
      <c r="U947" s="109" t="str">
        <f>IF(tech_base!$T43&gt;U$905,"",U2067+tech_proj!U1567/(1-tech_proj!U447))</f>
        <v/>
      </c>
      <c r="V947" s="109" t="str">
        <f>IF(tech_base!$T43&gt;V$905,"",V2067+tech_proj!V1567/(1-tech_proj!V447))</f>
        <v/>
      </c>
      <c r="W947" s="109" t="str">
        <f>IF(tech_base!$T43&gt;W$905,"",W2067+tech_proj!W1567/(1-tech_proj!W447))</f>
        <v/>
      </c>
      <c r="X947" s="109" t="str">
        <f>IF(tech_base!$T43&gt;X$905,"",X2067+tech_proj!X1567/(1-tech_proj!X447))</f>
        <v/>
      </c>
      <c r="Y947" s="109" t="str">
        <f>IF(tech_base!$T43&gt;Y$905,"",Y2067+tech_proj!Y1567/(1-tech_proj!Y447))</f>
        <v/>
      </c>
      <c r="Z947" s="109" t="str">
        <f>IF(tech_base!$T43&gt;Z$905,"",Z2067+tech_proj!Z1567/(1-tech_proj!Z447))</f>
        <v/>
      </c>
      <c r="AA947" s="109" t="str">
        <f>IF(tech_base!$T43&gt;AA$905,"",AA2067+tech_proj!AA1567/(1-tech_proj!AA447))</f>
        <v/>
      </c>
      <c r="AB947" s="109" t="str">
        <f>IF(tech_base!$T43&gt;AB$905,"",AB2067+tech_proj!AB1567/(1-tech_proj!AB447))</f>
        <v/>
      </c>
      <c r="AC947" s="109" t="str">
        <f>IF(tech_base!$T43&gt;AC$905,"",AC2067+tech_proj!AC1567/(1-tech_proj!AC447))</f>
        <v/>
      </c>
      <c r="AD947" s="109" t="str">
        <f>IF(tech_base!$T43&gt;AD$905,"",AD2067+tech_proj!AD1567/(1-tech_proj!AD447))</f>
        <v/>
      </c>
      <c r="AE947" s="109">
        <f>IF(tech_base!$T43&gt;AE$905,"",AE2067+tech_proj!AE1567/(1-tech_proj!AE447))</f>
        <v>58.07199649229117</v>
      </c>
      <c r="AF947" s="109">
        <f>IF(tech_base!$T43&gt;AF$905,"",AF2067+tech_proj!AF1567/(1-tech_proj!AF447))</f>
        <v>58.683802347736531</v>
      </c>
      <c r="AG947" s="109">
        <f>IF(tech_base!$T43&gt;AG$905,"",AG2067+tech_proj!AG1567/(1-tech_proj!AG447))</f>
        <v>59.322564943454786</v>
      </c>
      <c r="AH947" s="109">
        <f>IF(tech_base!$T43&gt;AH$905,"",AH2067+tech_proj!AH1567/(1-tech_proj!AH447))</f>
        <v>59.916356605078811</v>
      </c>
      <c r="AI947" s="109">
        <f>IF(tech_base!$T43&gt;AI$905,"",AI2067+tech_proj!AI1567/(1-tech_proj!AI447))</f>
        <v>60.453468791533851</v>
      </c>
      <c r="AJ947" s="109">
        <f>IF(tech_base!$T43&gt;AJ$905,"",AJ2067+tech_proj!AJ1567/(1-tech_proj!AJ447))</f>
        <v>60.832827390448138</v>
      </c>
      <c r="AK947" s="109">
        <f>IF(tech_base!$T43&gt;AK$905,"",AK2067+tech_proj!AK1567/(1-tech_proj!AK447))</f>
        <v>61.281595415999078</v>
      </c>
      <c r="AL947" s="109">
        <f>IF(tech_base!$T43&gt;AL$905,"",AL2067+tech_proj!AL1567/(1-tech_proj!AL447))</f>
        <v>61.780929162901302</v>
      </c>
      <c r="AM947" s="109">
        <f>IF(tech_base!$T43&gt;AM$905,"",AM2067+tech_proj!AM1567/(1-tech_proj!AM447))</f>
        <v>62.322302466981256</v>
      </c>
      <c r="AN947" s="109">
        <f>IF(tech_base!$T43&gt;AN$905,"",AN2067+tech_proj!AN1567/(1-tech_proj!AN447))</f>
        <v>62.738725412474267</v>
      </c>
      <c r="AO947" s="109">
        <f>IF(tech_base!$T43&gt;AO$905,"",AO2067+tech_proj!AO1567/(1-tech_proj!AO447))</f>
        <v>63.147913153287412</v>
      </c>
      <c r="AP947" s="109">
        <f>IF(tech_base!$T43&gt;AP$905,"",AP2067+tech_proj!AP1567/(1-tech_proj!AP447))</f>
        <v>63.550179292995509</v>
      </c>
      <c r="AQ947" s="109">
        <f>IF(tech_base!$T43&gt;AQ$905,"",AQ2067+tech_proj!AQ1567/(1-tech_proj!AQ447))</f>
        <v>63.951495158389797</v>
      </c>
      <c r="AR947" s="109">
        <f>IF(tech_base!$T43&gt;AR$905,"",AR2067+tech_proj!AR1567/(1-tech_proj!AR447))</f>
        <v>64.394157637837225</v>
      </c>
      <c r="AS947" s="109">
        <f>IF(tech_base!$T43&gt;AS$905,"",AS2067+tech_proj!AS1567/(1-tech_proj!AS447))</f>
        <v>64.847448726597364</v>
      </c>
      <c r="AT947" s="109">
        <f>IF(tech_base!$T43&gt;AT$905,"",AT2067+tech_proj!AT1567/(1-tech_proj!AT447))</f>
        <v>65.140099646743664</v>
      </c>
      <c r="AU947" s="109">
        <f>IF(tech_base!$T43&gt;AU$905,"",AU2067+tech_proj!AU1567/(1-tech_proj!AU447))</f>
        <v>65.568323784686655</v>
      </c>
      <c r="AV947" s="109">
        <f>IF(tech_base!$T43&gt;AV$905,"",AV2067+tech_proj!AV1567/(1-tech_proj!AV447))</f>
        <v>65.921996418683506</v>
      </c>
      <c r="AW947" s="109">
        <f>IF(tech_base!$T43&gt;AW$905,"",AW2067+tech_proj!AW1567/(1-tech_proj!AW447))</f>
        <v>66.236125201271548</v>
      </c>
      <c r="AX947" s="110">
        <f>IF(tech_base!$T43&gt;AX$905,"",AX2067+tech_proj!AX1567/(1-tech_proj!AX447))</f>
        <v>66.651213302325402</v>
      </c>
    </row>
    <row r="948" spans="1:50" x14ac:dyDescent="0.25">
      <c r="A948" s="356"/>
      <c r="B948" s="376"/>
      <c r="C948" s="379"/>
      <c r="D948" s="59" t="s">
        <v>8</v>
      </c>
      <c r="E948" s="166" t="str">
        <f>A913&amp;"/"&amp;B939&amp;"/"&amp;C947&amp;"/"&amp;D948</f>
        <v>Coal fired power plants/Steam turbine/Electricity only with CCS/M</v>
      </c>
      <c r="F948" s="79" t="str">
        <f>A913</f>
        <v>Coal fired power plants</v>
      </c>
      <c r="G948" s="79" t="str">
        <f>B939</f>
        <v>Steam turbine</v>
      </c>
      <c r="H948" s="79" t="str">
        <f>C947</f>
        <v>Electricity only with CCS</v>
      </c>
      <c r="I948" s="167" t="str">
        <f t="shared" si="367"/>
        <v>M</v>
      </c>
      <c r="J948" s="111" t="str">
        <f>IF(tech_base!$T44&gt;J$905,"",J2068+tech_proj!J1568/(1-tech_proj!J448))</f>
        <v/>
      </c>
      <c r="K948" s="111" t="str">
        <f>IF(tech_base!$T44&gt;K$905,"",K2068+tech_proj!K1568/(1-tech_proj!K448))</f>
        <v/>
      </c>
      <c r="L948" s="111" t="str">
        <f>IF(tech_base!$T44&gt;L$905,"",L2068+tech_proj!L1568/(1-tech_proj!L448))</f>
        <v/>
      </c>
      <c r="M948" s="111" t="str">
        <f>IF(tech_base!$T44&gt;M$905,"",M2068+tech_proj!M1568/(1-tech_proj!M448))</f>
        <v/>
      </c>
      <c r="N948" s="111" t="str">
        <f>IF(tech_base!$T44&gt;N$905,"",N2068+tech_proj!N1568/(1-tech_proj!N448))</f>
        <v/>
      </c>
      <c r="O948" s="111" t="str">
        <f>IF(tech_base!$T44&gt;O$905,"",O2068+tech_proj!O1568/(1-tech_proj!O448))</f>
        <v/>
      </c>
      <c r="P948" s="111" t="str">
        <f>IF(tech_base!$T44&gt;P$905,"",P2068+tech_proj!P1568/(1-tech_proj!P448))</f>
        <v/>
      </c>
      <c r="Q948" s="111" t="str">
        <f>IF(tech_base!$T44&gt;Q$905,"",Q2068+tech_proj!Q1568/(1-tech_proj!Q448))</f>
        <v/>
      </c>
      <c r="R948" s="111" t="str">
        <f>IF(tech_base!$T44&gt;R$905,"",R2068+tech_proj!R1568/(1-tech_proj!R448))</f>
        <v/>
      </c>
      <c r="S948" s="111" t="str">
        <f>IF(tech_base!$T44&gt;S$905,"",S2068+tech_proj!S1568/(1-tech_proj!S448))</f>
        <v/>
      </c>
      <c r="T948" s="111" t="str">
        <f>IF(tech_base!$T44&gt;T$905,"",T2068+tech_proj!T1568/(1-tech_proj!T448))</f>
        <v/>
      </c>
      <c r="U948" s="111" t="str">
        <f>IF(tech_base!$T44&gt;U$905,"",U2068+tech_proj!U1568/(1-tech_proj!U448))</f>
        <v/>
      </c>
      <c r="V948" s="111" t="str">
        <f>IF(tech_base!$T44&gt;V$905,"",V2068+tech_proj!V1568/(1-tech_proj!V448))</f>
        <v/>
      </c>
      <c r="W948" s="111" t="str">
        <f>IF(tech_base!$T44&gt;W$905,"",W2068+tech_proj!W1568/(1-tech_proj!W448))</f>
        <v/>
      </c>
      <c r="X948" s="111" t="str">
        <f>IF(tech_base!$T44&gt;X$905,"",X2068+tech_proj!X1568/(1-tech_proj!X448))</f>
        <v/>
      </c>
      <c r="Y948" s="111" t="str">
        <f>IF(tech_base!$T44&gt;Y$905,"",Y2068+tech_proj!Y1568/(1-tech_proj!Y448))</f>
        <v/>
      </c>
      <c r="Z948" s="111" t="str">
        <f>IF(tech_base!$T44&gt;Z$905,"",Z2068+tech_proj!Z1568/(1-tech_proj!Z448))</f>
        <v/>
      </c>
      <c r="AA948" s="111" t="str">
        <f>IF(tech_base!$T44&gt;AA$905,"",AA2068+tech_proj!AA1568/(1-tech_proj!AA448))</f>
        <v/>
      </c>
      <c r="AB948" s="111" t="str">
        <f>IF(tech_base!$T44&gt;AB$905,"",AB2068+tech_proj!AB1568/(1-tech_proj!AB448))</f>
        <v/>
      </c>
      <c r="AC948" s="111" t="str">
        <f>IF(tech_base!$T44&gt;AC$905,"",AC2068+tech_proj!AC1568/(1-tech_proj!AC448))</f>
        <v/>
      </c>
      <c r="AD948" s="111" t="str">
        <f>IF(tech_base!$T44&gt;AD$905,"",AD2068+tech_proj!AD1568/(1-tech_proj!AD448))</f>
        <v/>
      </c>
      <c r="AE948" s="111">
        <f>IF(tech_base!$T44&gt;AE$905,"",AE2068+tech_proj!AE1568/(1-tech_proj!AE448))</f>
        <v>62.618153439912177</v>
      </c>
      <c r="AF948" s="111">
        <f>IF(tech_base!$T44&gt;AF$905,"",AF2068+tech_proj!AF1568/(1-tech_proj!AF448))</f>
        <v>63.270239095438207</v>
      </c>
      <c r="AG948" s="111">
        <f>IF(tech_base!$T44&gt;AG$905,"",AG2068+tech_proj!AG1568/(1-tech_proj!AG448))</f>
        <v>63.951056257038005</v>
      </c>
      <c r="AH948" s="111">
        <f>IF(tech_base!$T44&gt;AH$905,"",AH2068+tech_proj!AH1568/(1-tech_proj!AH448))</f>
        <v>64.583941708312636</v>
      </c>
      <c r="AI948" s="111">
        <f>IF(tech_base!$T44&gt;AI$905,"",AI2068+tech_proj!AI1568/(1-tech_proj!AI448))</f>
        <v>65.156416046500524</v>
      </c>
      <c r="AJ948" s="111">
        <f>IF(tech_base!$T44&gt;AJ$905,"",AJ2068+tech_proj!AJ1568/(1-tech_proj!AJ448))</f>
        <v>65.560750687058004</v>
      </c>
      <c r="AK948" s="111">
        <f>IF(tech_base!$T44&gt;AK$905,"",AK2068+tech_proj!AK1568/(1-tech_proj!AK448))</f>
        <v>66.039064501016995</v>
      </c>
      <c r="AL948" s="111">
        <f>IF(tech_base!$T44&gt;AL$905,"",AL2068+tech_proj!AL1568/(1-tech_proj!AL448))</f>
        <v>66.571273159657537</v>
      </c>
      <c r="AM948" s="111">
        <f>IF(tech_base!$T44&gt;AM$905,"",AM2068+tech_proj!AM1568/(1-tech_proj!AM448))</f>
        <v>67.148289157025346</v>
      </c>
      <c r="AN948" s="111">
        <f>IF(tech_base!$T44&gt;AN$905,"",AN2068+tech_proj!AN1568/(1-tech_proj!AN448))</f>
        <v>67.592128370022465</v>
      </c>
      <c r="AO948" s="111">
        <f>IF(tech_base!$T44&gt;AO$905,"",AO2068+tech_proj!AO1568/(1-tech_proj!AO448))</f>
        <v>68.028256030172287</v>
      </c>
      <c r="AP948" s="111">
        <f>IF(tech_base!$T44&gt;AP$905,"",AP2068+tech_proj!AP1568/(1-tech_proj!AP448))</f>
        <v>68.457006387941476</v>
      </c>
      <c r="AQ948" s="111">
        <f>IF(tech_base!$T44&gt;AQ$905,"",AQ2068+tech_proj!AQ1568/(1-tech_proj!AQ448))</f>
        <v>68.884743907661914</v>
      </c>
      <c r="AR948" s="111">
        <f>IF(tech_base!$T44&gt;AR$905,"",AR2068+tech_proj!AR1568/(1-tech_proj!AR448))</f>
        <v>69.356550201305708</v>
      </c>
      <c r="AS948" s="111">
        <f>IF(tech_base!$T44&gt;AS$905,"",AS2068+tech_proj!AS1568/(1-tech_proj!AS448))</f>
        <v>69.839684865885047</v>
      </c>
      <c r="AT948" s="111">
        <f>IF(tech_base!$T44&gt;AT$905,"",AT2068+tech_proj!AT1568/(1-tech_proj!AT448))</f>
        <v>70.151603206328161</v>
      </c>
      <c r="AU948" s="111">
        <f>IF(tech_base!$T44&gt;AU$905,"",AU2068+tech_proj!AU1568/(1-tech_proj!AU448))</f>
        <v>70.608020573401859</v>
      </c>
      <c r="AV948" s="111">
        <f>IF(tech_base!$T44&gt;AV$905,"",AV2068+tech_proj!AV1568/(1-tech_proj!AV448))</f>
        <v>70.984978147980101</v>
      </c>
      <c r="AW948" s="111">
        <f>IF(tech_base!$T44&gt;AW$905,"",AW2068+tech_proj!AW1568/(1-tech_proj!AW448))</f>
        <v>71.319788400759393</v>
      </c>
      <c r="AX948" s="112">
        <f>IF(tech_base!$T44&gt;AX$905,"",AX2068+tech_proj!AX1568/(1-tech_proj!AX448))</f>
        <v>71.762204886426616</v>
      </c>
    </row>
    <row r="949" spans="1:50" x14ac:dyDescent="0.25">
      <c r="A949" s="356"/>
      <c r="B949" s="376"/>
      <c r="C949" s="361" t="s">
        <v>16</v>
      </c>
      <c r="D949" s="2" t="s">
        <v>7</v>
      </c>
      <c r="E949" s="160" t="str">
        <f>A913&amp;"/"&amp;B939&amp;"/"&amp;C949&amp;"/"&amp;D949</f>
        <v>Coal fired power plants/Steam turbine/CHP with CCS/L</v>
      </c>
      <c r="F949" s="76" t="str">
        <f>A913</f>
        <v>Coal fired power plants</v>
      </c>
      <c r="G949" s="76" t="str">
        <f>B939</f>
        <v>Steam turbine</v>
      </c>
      <c r="H949" s="76" t="str">
        <f>C949</f>
        <v>CHP with CCS</v>
      </c>
      <c r="I949" s="161" t="str">
        <f t="shared" si="367"/>
        <v>L</v>
      </c>
      <c r="J949" s="105" t="str">
        <f>IF(tech_base!$T45&gt;J$905,"",J2069+tech_proj!J1569/(1-tech_proj!J449))</f>
        <v/>
      </c>
      <c r="K949" s="105" t="str">
        <f>IF(tech_base!$T45&gt;K$905,"",K2069+tech_proj!K1569/(1-tech_proj!K449))</f>
        <v/>
      </c>
      <c r="L949" s="105" t="str">
        <f>IF(tech_base!$T45&gt;L$905,"",L2069+tech_proj!L1569/(1-tech_proj!L449))</f>
        <v/>
      </c>
      <c r="M949" s="105" t="str">
        <f>IF(tech_base!$T45&gt;M$905,"",M2069+tech_proj!M1569/(1-tech_proj!M449))</f>
        <v/>
      </c>
      <c r="N949" s="105" t="str">
        <f>IF(tech_base!$T45&gt;N$905,"",N2069+tech_proj!N1569/(1-tech_proj!N449))</f>
        <v/>
      </c>
      <c r="O949" s="105" t="str">
        <f>IF(tech_base!$T45&gt;O$905,"",O2069+tech_proj!O1569/(1-tech_proj!O449))</f>
        <v/>
      </c>
      <c r="P949" s="105" t="str">
        <f>IF(tech_base!$T45&gt;P$905,"",P2069+tech_proj!P1569/(1-tech_proj!P449))</f>
        <v/>
      </c>
      <c r="Q949" s="105" t="str">
        <f>IF(tech_base!$T45&gt;Q$905,"",Q2069+tech_proj!Q1569/(1-tech_proj!Q449))</f>
        <v/>
      </c>
      <c r="R949" s="105" t="str">
        <f>IF(tech_base!$T45&gt;R$905,"",R2069+tech_proj!R1569/(1-tech_proj!R449))</f>
        <v/>
      </c>
      <c r="S949" s="105" t="str">
        <f>IF(tech_base!$T45&gt;S$905,"",S2069+tech_proj!S1569/(1-tech_proj!S449))</f>
        <v/>
      </c>
      <c r="T949" s="105" t="str">
        <f>IF(tech_base!$T45&gt;T$905,"",T2069+tech_proj!T1569/(1-tech_proj!T449))</f>
        <v/>
      </c>
      <c r="U949" s="105" t="str">
        <f>IF(tech_base!$T45&gt;U$905,"",U2069+tech_proj!U1569/(1-tech_proj!U449))</f>
        <v/>
      </c>
      <c r="V949" s="105" t="str">
        <f>IF(tech_base!$T45&gt;V$905,"",V2069+tech_proj!V1569/(1-tech_proj!V449))</f>
        <v/>
      </c>
      <c r="W949" s="105" t="str">
        <f>IF(tech_base!$T45&gt;W$905,"",W2069+tech_proj!W1569/(1-tech_proj!W449))</f>
        <v/>
      </c>
      <c r="X949" s="105" t="str">
        <f>IF(tech_base!$T45&gt;X$905,"",X2069+tech_proj!X1569/(1-tech_proj!X449))</f>
        <v/>
      </c>
      <c r="Y949" s="105" t="str">
        <f>IF(tech_base!$T45&gt;Y$905,"",Y2069+tech_proj!Y1569/(1-tech_proj!Y449))</f>
        <v/>
      </c>
      <c r="Z949" s="105" t="str">
        <f>IF(tech_base!$T45&gt;Z$905,"",Z2069+tech_proj!Z1569/(1-tech_proj!Z449))</f>
        <v/>
      </c>
      <c r="AA949" s="105" t="str">
        <f>IF(tech_base!$T45&gt;AA$905,"",AA2069+tech_proj!AA1569/(1-tech_proj!AA449))</f>
        <v/>
      </c>
      <c r="AB949" s="105" t="str">
        <f>IF(tech_base!$T45&gt;AB$905,"",AB2069+tech_proj!AB1569/(1-tech_proj!AB449))</f>
        <v/>
      </c>
      <c r="AC949" s="105" t="str">
        <f>IF(tech_base!$T45&gt;AC$905,"",AC2069+tech_proj!AC1569/(1-tech_proj!AC449))</f>
        <v/>
      </c>
      <c r="AD949" s="105" t="str">
        <f>IF(tech_base!$T45&gt;AD$905,"",AD2069+tech_proj!AD1569/(1-tech_proj!AD449))</f>
        <v/>
      </c>
      <c r="AE949" s="105">
        <f>IF(tech_base!$T45&gt;AE$905,"",AE2069+tech_proj!AE1569/(1-tech_proj!AE449))</f>
        <v>65.923351457340402</v>
      </c>
      <c r="AF949" s="105">
        <f>IF(tech_base!$T45&gt;AF$905,"",AF2069+tech_proj!AF1569/(1-tech_proj!AF449))</f>
        <v>66.616950632943158</v>
      </c>
      <c r="AG949" s="105">
        <f>IF(tech_base!$T45&gt;AG$905,"",AG2069+tech_proj!AG1569/(1-tech_proj!AG449))</f>
        <v>67.34111043928165</v>
      </c>
      <c r="AH949" s="105">
        <f>IF(tech_base!$T45&gt;AH$905,"",AH2069+tech_proj!AH1569/(1-tech_proj!AH449))</f>
        <v>68.01428707418394</v>
      </c>
      <c r="AI949" s="105">
        <f>IF(tech_base!$T45&gt;AI$905,"",AI2069+tech_proj!AI1569/(1-tech_proj!AI449))</f>
        <v>68.623206662670427</v>
      </c>
      <c r="AJ949" s="105">
        <f>IF(tech_base!$T45&gt;AJ$905,"",AJ2069+tech_proj!AJ1569/(1-tech_proj!AJ449))</f>
        <v>69.053282329849566</v>
      </c>
      <c r="AK949" s="105">
        <f>IF(tech_base!$T45&gt;AK$905,"",AK2069+tech_proj!AK1569/(1-tech_proj!AK449))</f>
        <v>69.562046882834153</v>
      </c>
      <c r="AL949" s="105">
        <f>IF(tech_base!$T45&gt;AL$905,"",AL2069+tech_proj!AL1569/(1-tech_proj!AL449))</f>
        <v>70.128137370722513</v>
      </c>
      <c r="AM949" s="105">
        <f>IF(tech_base!$T45&gt;AM$905,"",AM2069+tech_proj!AM1569/(1-tech_proj!AM449))</f>
        <v>70.741887752581576</v>
      </c>
      <c r="AN949" s="105">
        <f>IF(tech_base!$T45&gt;AN$905,"",AN2069+tech_proj!AN1569/(1-tech_proj!AN449))</f>
        <v>71.21398295913329</v>
      </c>
      <c r="AO949" s="105">
        <f>IF(tech_base!$T45&gt;AO$905,"",AO2069+tech_proj!AO1569/(1-tech_proj!AO449))</f>
        <v>71.677875674720582</v>
      </c>
      <c r="AP949" s="105">
        <f>IF(tech_base!$T45&gt;AP$905,"",AP2069+tech_proj!AP1569/(1-tech_proj!AP449))</f>
        <v>72.133921429090378</v>
      </c>
      <c r="AQ949" s="105">
        <f>IF(tech_base!$T45&gt;AQ$905,"",AQ2069+tech_proj!AQ1569/(1-tech_proj!AQ449))</f>
        <v>72.588889865427376</v>
      </c>
      <c r="AR949" s="105">
        <f>IF(tech_base!$T45&gt;AR$905,"",AR2069+tech_proj!AR1569/(1-tech_proj!AR449))</f>
        <v>73.090732611916792</v>
      </c>
      <c r="AS949" s="105">
        <f>IF(tech_base!$T45&gt;AS$905,"",AS2069+tech_proj!AS1569/(1-tech_proj!AS449))</f>
        <v>73.604624923789558</v>
      </c>
      <c r="AT949" s="105">
        <f>IF(tech_base!$T45&gt;AT$905,"",AT2069+tech_proj!AT1569/(1-tech_proj!AT449))</f>
        <v>73.936400821562074</v>
      </c>
      <c r="AU949" s="105">
        <f>IF(tech_base!$T45&gt;AU$905,"",AU2069+tech_proj!AU1569/(1-tech_proj!AU449))</f>
        <v>74.421874941181699</v>
      </c>
      <c r="AV949" s="105">
        <f>IF(tech_base!$T45&gt;AV$905,"",AV2069+tech_proj!AV1569/(1-tech_proj!AV449))</f>
        <v>74.822830645005268</v>
      </c>
      <c r="AW949" s="105">
        <f>IF(tech_base!$T45&gt;AW$905,"",AW2069+tech_proj!AW1569/(1-tech_proj!AW449))</f>
        <v>75.17895581559155</v>
      </c>
      <c r="AX949" s="106">
        <f>IF(tech_base!$T45&gt;AX$905,"",AX2069+tech_proj!AX1569/(1-tech_proj!AX449))</f>
        <v>75.649537720179381</v>
      </c>
    </row>
    <row r="950" spans="1:50" x14ac:dyDescent="0.25">
      <c r="A950" s="357"/>
      <c r="B950" s="380"/>
      <c r="C950" s="381"/>
      <c r="D950" s="4" t="s">
        <v>8</v>
      </c>
      <c r="E950" s="168" t="str">
        <f>A913&amp;"/"&amp;B939&amp;"/"&amp;C949&amp;"/"&amp;D950</f>
        <v>Coal fired power plants/Steam turbine/CHP with CCS/M</v>
      </c>
      <c r="F950" s="80" t="str">
        <f>A913</f>
        <v>Coal fired power plants</v>
      </c>
      <c r="G950" s="80" t="str">
        <f>B939</f>
        <v>Steam turbine</v>
      </c>
      <c r="H950" s="80" t="str">
        <f>C949</f>
        <v>CHP with CCS</v>
      </c>
      <c r="I950" s="169" t="str">
        <f t="shared" si="367"/>
        <v>M</v>
      </c>
      <c r="J950" s="113" t="str">
        <f>IF(tech_base!$T46&gt;J$905,"",J2070+tech_proj!J1570/(1-tech_proj!J450))</f>
        <v/>
      </c>
      <c r="K950" s="113" t="str">
        <f>IF(tech_base!$T46&gt;K$905,"",K2070+tech_proj!K1570/(1-tech_proj!K450))</f>
        <v/>
      </c>
      <c r="L950" s="113" t="str">
        <f>IF(tech_base!$T46&gt;L$905,"",L2070+tech_proj!L1570/(1-tech_proj!L450))</f>
        <v/>
      </c>
      <c r="M950" s="113" t="str">
        <f>IF(tech_base!$T46&gt;M$905,"",M2070+tech_proj!M1570/(1-tech_proj!M450))</f>
        <v/>
      </c>
      <c r="N950" s="113" t="str">
        <f>IF(tech_base!$T46&gt;N$905,"",N2070+tech_proj!N1570/(1-tech_proj!N450))</f>
        <v/>
      </c>
      <c r="O950" s="113" t="str">
        <f>IF(tech_base!$T46&gt;O$905,"",O2070+tech_proj!O1570/(1-tech_proj!O450))</f>
        <v/>
      </c>
      <c r="P950" s="113" t="str">
        <f>IF(tech_base!$T46&gt;P$905,"",P2070+tech_proj!P1570/(1-tech_proj!P450))</f>
        <v/>
      </c>
      <c r="Q950" s="113" t="str">
        <f>IF(tech_base!$T46&gt;Q$905,"",Q2070+tech_proj!Q1570/(1-tech_proj!Q450))</f>
        <v/>
      </c>
      <c r="R950" s="113" t="str">
        <f>IF(tech_base!$T46&gt;R$905,"",R2070+tech_proj!R1570/(1-tech_proj!R450))</f>
        <v/>
      </c>
      <c r="S950" s="113" t="str">
        <f>IF(tech_base!$T46&gt;S$905,"",S2070+tech_proj!S1570/(1-tech_proj!S450))</f>
        <v/>
      </c>
      <c r="T950" s="113" t="str">
        <f>IF(tech_base!$T46&gt;T$905,"",T2070+tech_proj!T1570/(1-tech_proj!T450))</f>
        <v/>
      </c>
      <c r="U950" s="113" t="str">
        <f>IF(tech_base!$T46&gt;U$905,"",U2070+tech_proj!U1570/(1-tech_proj!U450))</f>
        <v/>
      </c>
      <c r="V950" s="113" t="str">
        <f>IF(tech_base!$T46&gt;V$905,"",V2070+tech_proj!V1570/(1-tech_proj!V450))</f>
        <v/>
      </c>
      <c r="W950" s="113" t="str">
        <f>IF(tech_base!$T46&gt;W$905,"",W2070+tech_proj!W1570/(1-tech_proj!W450))</f>
        <v/>
      </c>
      <c r="X950" s="113" t="str">
        <f>IF(tech_base!$T46&gt;X$905,"",X2070+tech_proj!X1570/(1-tech_proj!X450))</f>
        <v/>
      </c>
      <c r="Y950" s="113" t="str">
        <f>IF(tech_base!$T46&gt;Y$905,"",Y2070+tech_proj!Y1570/(1-tech_proj!Y450))</f>
        <v/>
      </c>
      <c r="Z950" s="113" t="str">
        <f>IF(tech_base!$T46&gt;Z$905,"",Z2070+tech_proj!Z1570/(1-tech_proj!Z450))</f>
        <v/>
      </c>
      <c r="AA950" s="113" t="str">
        <f>IF(tech_base!$T46&gt;AA$905,"",AA2070+tech_proj!AA1570/(1-tech_proj!AA450))</f>
        <v/>
      </c>
      <c r="AB950" s="113" t="str">
        <f>IF(tech_base!$T46&gt;AB$905,"",AB2070+tech_proj!AB1570/(1-tech_proj!AB450))</f>
        <v/>
      </c>
      <c r="AC950" s="113" t="str">
        <f>IF(tech_base!$T46&gt;AC$905,"",AC2070+tech_proj!AC1570/(1-tech_proj!AC450))</f>
        <v/>
      </c>
      <c r="AD950" s="113" t="str">
        <f>IF(tech_base!$T46&gt;AD$905,"",AD2070+tech_proj!AD1570/(1-tech_proj!AD450))</f>
        <v/>
      </c>
      <c r="AE950" s="113">
        <f>IF(tech_base!$T46&gt;AE$905,"",AE2070+tech_proj!AE1570/(1-tech_proj!AE450))</f>
        <v>71.065779530305676</v>
      </c>
      <c r="AF950" s="113">
        <f>IF(tech_base!$T46&gt;AF$905,"",AF2070+tech_proj!AF1570/(1-tech_proj!AF450))</f>
        <v>71.806537332432399</v>
      </c>
      <c r="AG950" s="113">
        <f>IF(tech_base!$T46&gt;AG$905,"",AG2070+tech_proj!AG1570/(1-tech_proj!AG450))</f>
        <v>72.579933618645725</v>
      </c>
      <c r="AH950" s="113">
        <f>IF(tech_base!$T46&gt;AH$905,"",AH2070+tech_proj!AH1570/(1-tech_proj!AH450))</f>
        <v>73.298880327427383</v>
      </c>
      <c r="AI950" s="113">
        <f>IF(tech_base!$T46&gt;AI$905,"",AI2070+tech_proj!AI1570/(1-tech_proj!AI450))</f>
        <v>73.94920107737228</v>
      </c>
      <c r="AJ950" s="113">
        <f>IF(tech_base!$T46&gt;AJ$905,"",AJ2070+tech_proj!AJ1570/(1-tech_proj!AJ450))</f>
        <v>74.408518096731413</v>
      </c>
      <c r="AK950" s="113">
        <f>IF(tech_base!$T46&gt;AK$905,"",AK2070+tech_proj!AK1570/(1-tech_proj!AK450))</f>
        <v>74.951874152109255</v>
      </c>
      <c r="AL950" s="113">
        <f>IF(tech_base!$T46&gt;AL$905,"",AL2070+tech_proj!AL1570/(1-tech_proj!AL450))</f>
        <v>75.556453800360131</v>
      </c>
      <c r="AM950" s="113">
        <f>IF(tech_base!$T46&gt;AM$905,"",AM2070+tech_proj!AM1570/(1-tech_proj!AM450))</f>
        <v>76.211933795020244</v>
      </c>
      <c r="AN950" s="113">
        <f>IF(tech_base!$T46&gt;AN$905,"",AN2070+tech_proj!AN1570/(1-tech_proj!AN450))</f>
        <v>76.716127311824664</v>
      </c>
      <c r="AO950" s="113">
        <f>IF(tech_base!$T46&gt;AO$905,"",AO2070+tech_proj!AO1570/(1-tech_proj!AO450))</f>
        <v>77.211560640623546</v>
      </c>
      <c r="AP950" s="113">
        <f>IF(tech_base!$T46&gt;AP$905,"",AP2070+tech_proj!AP1570/(1-tech_proj!AP450))</f>
        <v>77.69861348405091</v>
      </c>
      <c r="AQ950" s="113">
        <f>IF(tech_base!$T46&gt;AQ$905,"",AQ2070+tech_proj!AQ1570/(1-tech_proj!AQ450))</f>
        <v>78.184515761320966</v>
      </c>
      <c r="AR950" s="113">
        <f>IF(tech_base!$T46&gt;AR$905,"",AR2070+tech_proj!AR1570/(1-tech_proj!AR450))</f>
        <v>78.720479388411022</v>
      </c>
      <c r="AS950" s="113">
        <f>IF(tech_base!$T46&gt;AS$905,"",AS2070+tech_proj!AS1570/(1-tech_proj!AS450))</f>
        <v>79.269311845055569</v>
      </c>
      <c r="AT950" s="113">
        <f>IF(tech_base!$T46&gt;AT$905,"",AT2070+tech_proj!AT1570/(1-tech_proj!AT450))</f>
        <v>79.623645577674267</v>
      </c>
      <c r="AU950" s="113">
        <f>IF(tech_base!$T46&gt;AU$905,"",AU2070+tech_proj!AU1570/(1-tech_proj!AU450))</f>
        <v>80.14212765563569</v>
      </c>
      <c r="AV950" s="113">
        <f>IF(tech_base!$T46&gt;AV$905,"",AV2070+tech_proj!AV1570/(1-tech_proj!AV450))</f>
        <v>80.570344810963761</v>
      </c>
      <c r="AW950" s="113">
        <f>IF(tech_base!$T46&gt;AW$905,"",AW2070+tech_proj!AW1570/(1-tech_proj!AW450))</f>
        <v>80.950683352191461</v>
      </c>
      <c r="AX950" s="114">
        <f>IF(tech_base!$T46&gt;AX$905,"",AX2070+tech_proj!AX1570/(1-tech_proj!AX450))</f>
        <v>81.453260675845527</v>
      </c>
    </row>
    <row r="951" spans="1:50" x14ac:dyDescent="0.25">
      <c r="A951" s="355" t="s">
        <v>21</v>
      </c>
      <c r="B951" s="358" t="s">
        <v>13</v>
      </c>
      <c r="C951" s="353" t="s">
        <v>6</v>
      </c>
      <c r="D951" s="3" t="s">
        <v>7</v>
      </c>
      <c r="E951" s="162" t="str">
        <f>A951&amp;"/"&amp;B951&amp;"/"&amp;C951&amp;"/"&amp;D951</f>
        <v>Lignite fired power plants/Integrated gasification combined cycle/Electricity only/L</v>
      </c>
      <c r="F951" s="77" t="str">
        <f>A951</f>
        <v>Lignite fired power plants</v>
      </c>
      <c r="G951" s="77" t="str">
        <f>B951</f>
        <v>Integrated gasification combined cycle</v>
      </c>
      <c r="H951" s="77" t="str">
        <f>C951</f>
        <v>Electricity only</v>
      </c>
      <c r="I951" s="163" t="str">
        <f t="shared" si="367"/>
        <v>L</v>
      </c>
      <c r="J951" s="107">
        <f>IF(tech_base!$T47&gt;J$905,"",J2071+tech_proj!J1571/(1-tech_proj!J451))</f>
        <v>23.423352616679779</v>
      </c>
      <c r="K951" s="107">
        <f>IF(tech_base!$T47&gt;K$905,"",K2071+tech_proj!K1571/(1-tech_proj!K451))</f>
        <v>23.436000281219922</v>
      </c>
      <c r="L951" s="107">
        <f>IF(tech_base!$T47&gt;L$905,"",L2071+tech_proj!L1571/(1-tech_proj!L451))</f>
        <v>23.448627480850149</v>
      </c>
      <c r="M951" s="107">
        <f>IF(tech_base!$T47&gt;M$905,"",M2071+tech_proj!M1571/(1-tech_proj!M451))</f>
        <v>23.461228398826442</v>
      </c>
      <c r="N951" s="107">
        <f>IF(tech_base!$T47&gt;N$905,"",N2071+tech_proj!N1571/(1-tech_proj!N451))</f>
        <v>23.473795566133354</v>
      </c>
      <c r="O951" s="107">
        <f>IF(tech_base!$T47&gt;O$905,"",O2071+tech_proj!O1571/(1-tech_proj!O451))</f>
        <v>23.48631939281173</v>
      </c>
      <c r="P951" s="107">
        <f>IF(tech_base!$T47&gt;P$905,"",P2071+tech_proj!P1571/(1-tech_proj!P451))</f>
        <v>23.555713971590546</v>
      </c>
      <c r="Q951" s="107">
        <f>IF(tech_base!$T47&gt;Q$905,"",Q2071+tech_proj!Q1571/(1-tech_proj!Q451))</f>
        <v>23.62503632426429</v>
      </c>
      <c r="R951" s="107">
        <f>IF(tech_base!$T47&gt;R$905,"",R2071+tech_proj!R1571/(1-tech_proj!R451))</f>
        <v>23.694265837672297</v>
      </c>
      <c r="S951" s="107">
        <f>IF(tech_base!$T47&gt;S$905,"",S2071+tech_proj!S1571/(1-tech_proj!S451))</f>
        <v>23.763376028460549</v>
      </c>
      <c r="T951" s="107">
        <f>IF(tech_base!$T47&gt;T$905,"",T2071+tech_proj!T1571/(1-tech_proj!T451))</f>
        <v>23.832332879577926</v>
      </c>
      <c r="U951" s="107">
        <f>IF(tech_base!$T47&gt;U$905,"",U2071+tech_proj!U1571/(1-tech_proj!U451))</f>
        <v>23.902485543287764</v>
      </c>
      <c r="V951" s="107">
        <f>IF(tech_base!$T47&gt;V$905,"",V2071+tech_proj!V1571/(1-tech_proj!V451))</f>
        <v>23.972385054993715</v>
      </c>
      <c r="W951" s="107">
        <f>IF(tech_base!$T47&gt;W$905,"",W2071+tech_proj!W1571/(1-tech_proj!W451))</f>
        <v>24.041959458626685</v>
      </c>
      <c r="X951" s="107">
        <f>IF(tech_base!$T47&gt;X$905,"",X2071+tech_proj!X1571/(1-tech_proj!X451))</f>
        <v>24.111116498715823</v>
      </c>
      <c r="Y951" s="107">
        <f>IF(tech_base!$T47&gt;Y$905,"",Y2071+tech_proj!Y1571/(1-tech_proj!Y451))</f>
        <v>24.179737992998447</v>
      </c>
      <c r="Z951" s="107">
        <f>IF(tech_base!$T47&gt;Z$905,"",Z2071+tech_proj!Z1571/(1-tech_proj!Z451))</f>
        <v>24.249093106376286</v>
      </c>
      <c r="AA951" s="107">
        <f>IF(tech_base!$T47&gt;AA$905,"",AA2071+tech_proj!AA1571/(1-tech_proj!AA451))</f>
        <v>24.317567953948199</v>
      </c>
      <c r="AB951" s="107">
        <f>IF(tech_base!$T47&gt;AB$905,"",AB2071+tech_proj!AB1571/(1-tech_proj!AB451))</f>
        <v>24.384915921025083</v>
      </c>
      <c r="AC951" s="107">
        <f>IF(tech_base!$T47&gt;AC$905,"",AC2071+tech_proj!AC1571/(1-tech_proj!AC451))</f>
        <v>24.45082313973198</v>
      </c>
      <c r="AD951" s="107">
        <f>IF(tech_base!$T47&gt;AD$905,"",AD2071+tech_proj!AD1571/(1-tech_proj!AD451))</f>
        <v>24.514891331536411</v>
      </c>
      <c r="AE951" s="107">
        <f>IF(tech_base!$T47&gt;AE$905,"",AE2071+tech_proj!AE1571/(1-tech_proj!AE451))</f>
        <v>24.578064814123035</v>
      </c>
      <c r="AF951" s="107">
        <f>IF(tech_base!$T47&gt;AF$905,"",AF2071+tech_proj!AF1571/(1-tech_proj!AF451))</f>
        <v>24.638261733481485</v>
      </c>
      <c r="AG951" s="107">
        <f>IF(tech_base!$T47&gt;AG$905,"",AG2071+tech_proj!AG1571/(1-tech_proj!AG451))</f>
        <v>24.694690313083385</v>
      </c>
      <c r="AH951" s="107">
        <f>IF(tech_base!$T47&gt;AH$905,"",AH2071+tech_proj!AH1571/(1-tech_proj!AH451))</f>
        <v>24.74636922221838</v>
      </c>
      <c r="AI951" s="107">
        <f>IF(tech_base!$T47&gt;AI$905,"",AI2071+tech_proj!AI1571/(1-tech_proj!AI451))</f>
        <v>24.79209543977823</v>
      </c>
      <c r="AJ951" s="107">
        <f>IF(tech_base!$T47&gt;AJ$905,"",AJ2071+tech_proj!AJ1571/(1-tech_proj!AJ451))</f>
        <v>24.831888499813765</v>
      </c>
      <c r="AK951" s="107">
        <f>IF(tech_base!$T47&gt;AK$905,"",AK2071+tech_proj!AK1571/(1-tech_proj!AK451))</f>
        <v>24.862549334837261</v>
      </c>
      <c r="AL951" s="107">
        <f>IF(tech_base!$T47&gt;AL$905,"",AL2071+tech_proj!AL1571/(1-tech_proj!AL451))</f>
        <v>24.882086557279244</v>
      </c>
      <c r="AM951" s="107">
        <f>IF(tech_base!$T47&gt;AM$905,"",AM2071+tech_proj!AM1571/(1-tech_proj!AM451))</f>
        <v>24.888280693556808</v>
      </c>
      <c r="AN951" s="107">
        <f>IF(tech_base!$T47&gt;AN$905,"",AN2071+tech_proj!AN1571/(1-tech_proj!AN451))</f>
        <v>24.878781708806773</v>
      </c>
      <c r="AO951" s="107">
        <f>IF(tech_base!$T47&gt;AO$905,"",AO2071+tech_proj!AO1571/(1-tech_proj!AO451))</f>
        <v>24.852780364460333</v>
      </c>
      <c r="AP951" s="107">
        <f>IF(tech_base!$T47&gt;AP$905,"",AP2071+tech_proj!AP1571/(1-tech_proj!AP451))</f>
        <v>24.806808292477839</v>
      </c>
      <c r="AQ951" s="107">
        <f>IF(tech_base!$T47&gt;AQ$905,"",AQ2071+tech_proj!AQ1571/(1-tech_proj!AQ451))</f>
        <v>24.739617901157231</v>
      </c>
      <c r="AR951" s="107">
        <f>IF(tech_base!$T47&gt;AR$905,"",AR2071+tech_proj!AR1571/(1-tech_proj!AR451))</f>
        <v>24.651159388955737</v>
      </c>
      <c r="AS951" s="107">
        <f>IF(tech_base!$T47&gt;AS$905,"",AS2071+tech_proj!AS1571/(1-tech_proj!AS451))</f>
        <v>24.543061049823926</v>
      </c>
      <c r="AT951" s="107">
        <f>IF(tech_base!$T47&gt;AT$905,"",AT2071+tech_proj!AT1571/(1-tech_proj!AT451))</f>
        <v>24.420476366518646</v>
      </c>
      <c r="AU951" s="107">
        <f>IF(tech_base!$T47&gt;AU$905,"",AU2071+tech_proj!AU1571/(1-tech_proj!AU451))</f>
        <v>24.287637686695952</v>
      </c>
      <c r="AV951" s="107">
        <f>IF(tech_base!$T47&gt;AV$905,"",AV2071+tech_proj!AV1571/(1-tech_proj!AV451))</f>
        <v>24.151981216167645</v>
      </c>
      <c r="AW951" s="107">
        <f>IF(tech_base!$T47&gt;AW$905,"",AW2071+tech_proj!AW1571/(1-tech_proj!AW451))</f>
        <v>24.021782220942477</v>
      </c>
      <c r="AX951" s="108">
        <f>IF(tech_base!$T47&gt;AX$905,"",AX2071+tech_proj!AX1571/(1-tech_proj!AX451))</f>
        <v>23.904981308261821</v>
      </c>
    </row>
    <row r="952" spans="1:50" x14ac:dyDescent="0.25">
      <c r="A952" s="356"/>
      <c r="B952" s="376"/>
      <c r="C952" s="379"/>
      <c r="D952" s="2" t="s">
        <v>8</v>
      </c>
      <c r="E952" s="160" t="str">
        <f>A951&amp;"/"&amp;B951&amp;"/"&amp;C951&amp;"/"&amp;D952</f>
        <v>Lignite fired power plants/Integrated gasification combined cycle/Electricity only/M</v>
      </c>
      <c r="F952" s="76" t="str">
        <f>A951</f>
        <v>Lignite fired power plants</v>
      </c>
      <c r="G952" s="76" t="str">
        <f>B951</f>
        <v>Integrated gasification combined cycle</v>
      </c>
      <c r="H952" s="76" t="str">
        <f>C951</f>
        <v>Electricity only</v>
      </c>
      <c r="I952" s="161" t="str">
        <f t="shared" si="367"/>
        <v>M</v>
      </c>
      <c r="J952" s="105">
        <f>IF(tech_base!$T48&gt;J$905,"",J2072+tech_proj!J1572/(1-tech_proj!J452))</f>
        <v>24.854462926414467</v>
      </c>
      <c r="K952" s="105">
        <f>IF(tech_base!$T48&gt;K$905,"",K2072+tech_proj!K1572/(1-tech_proj!K452))</f>
        <v>24.867469916461687</v>
      </c>
      <c r="L952" s="105">
        <f>IF(tech_base!$T48&gt;L$905,"",L2072+tech_proj!L1572/(1-tech_proj!L452))</f>
        <v>24.880386683216951</v>
      </c>
      <c r="M952" s="105">
        <f>IF(tech_base!$T48&gt;M$905,"",M2072+tech_proj!M1572/(1-tech_proj!M452))</f>
        <v>24.893193271463453</v>
      </c>
      <c r="N952" s="105">
        <f>IF(tech_base!$T48&gt;N$905,"",N2072+tech_proj!N1572/(1-tech_proj!N452))</f>
        <v>24.905865325706884</v>
      </c>
      <c r="O952" s="105">
        <f>IF(tech_base!$T48&gt;O$905,"",O2072+tech_proj!O1572/(1-tech_proj!O452))</f>
        <v>24.918373126434673</v>
      </c>
      <c r="P952" s="105">
        <f>IF(tech_base!$T48&gt;P$905,"",P2072+tech_proj!P1572/(1-tech_proj!P452))</f>
        <v>24.990710263169017</v>
      </c>
      <c r="Q952" s="105">
        <f>IF(tech_base!$T48&gt;Q$905,"",Q2072+tech_proj!Q1572/(1-tech_proj!Q452))</f>
        <v>25.062799509833305</v>
      </c>
      <c r="R952" s="105">
        <f>IF(tech_base!$T48&gt;R$905,"",R2072+tech_proj!R1572/(1-tech_proj!R452))</f>
        <v>25.134585920838063</v>
      </c>
      <c r="S952" s="105">
        <f>IF(tech_base!$T48&gt;S$905,"",S2072+tech_proj!S1572/(1-tech_proj!S452))</f>
        <v>25.206002471236211</v>
      </c>
      <c r="T952" s="105">
        <f>IF(tech_base!$T48&gt;T$905,"",T2072+tech_proj!T1572/(1-tech_proj!T452))</f>
        <v>25.276967449958725</v>
      </c>
      <c r="U952" s="105">
        <f>IF(tech_base!$T48&gt;U$905,"",U2072+tech_proj!U1572/(1-tech_proj!U452))</f>
        <v>25.348849866369662</v>
      </c>
      <c r="V952" s="105">
        <f>IF(tech_base!$T48&gt;V$905,"",V2072+tech_proj!V1572/(1-tech_proj!V452))</f>
        <v>25.420059801849877</v>
      </c>
      <c r="W952" s="105">
        <f>IF(tech_base!$T48&gt;W$905,"",W2072+tech_proj!W1572/(1-tech_proj!W452))</f>
        <v>25.49044988327465</v>
      </c>
      <c r="X952" s="105">
        <f>IF(tech_base!$T48&gt;X$905,"",X2072+tech_proj!X1572/(1-tech_proj!X452))</f>
        <v>25.559841166742871</v>
      </c>
      <c r="Y952" s="105">
        <f>IF(tech_base!$T48&gt;Y$905,"",Y2072+tech_proj!Y1572/(1-tech_proj!Y452))</f>
        <v>25.628016729548442</v>
      </c>
      <c r="Z952" s="105">
        <f>IF(tech_base!$T48&gt;Z$905,"",Z2072+tech_proj!Z1572/(1-tech_proj!Z452))</f>
        <v>25.696211233221526</v>
      </c>
      <c r="AA952" s="105">
        <f>IF(tech_base!$T48&gt;AA$905,"",AA2072+tech_proj!AA1572/(1-tech_proj!AA452))</f>
        <v>25.762610290386224</v>
      </c>
      <c r="AB952" s="105">
        <f>IF(tech_base!$T48&gt;AB$905,"",AB2072+tech_proj!AB1572/(1-tech_proj!AB452))</f>
        <v>25.826832644321577</v>
      </c>
      <c r="AC952" s="105">
        <f>IF(tech_base!$T48&gt;AC$905,"",AC2072+tech_proj!AC1572/(1-tech_proj!AC452))</f>
        <v>25.888421258785062</v>
      </c>
      <c r="AD952" s="105">
        <f>IF(tech_base!$T48&gt;AD$905,"",AD2072+tech_proj!AD1572/(1-tech_proj!AD452))</f>
        <v>25.946830763455694</v>
      </c>
      <c r="AE952" s="105">
        <f>IF(tech_base!$T48&gt;AE$905,"",AE2072+tech_proj!AE1572/(1-tech_proj!AE452))</f>
        <v>26.002938856503029</v>
      </c>
      <c r="AF952" s="105">
        <f>IF(tech_base!$T48&gt;AF$905,"",AF2072+tech_proj!AF1572/(1-tech_proj!AF452))</f>
        <v>26.054456786187927</v>
      </c>
      <c r="AG952" s="105">
        <f>IF(tech_base!$T48&gt;AG$905,"",AG2072+tech_proj!AG1572/(1-tech_proj!AG452))</f>
        <v>26.100493623964894</v>
      </c>
      <c r="AH952" s="105">
        <f>IF(tech_base!$T48&gt;AH$905,"",AH2072+tech_proj!AH1572/(1-tech_proj!AH452))</f>
        <v>26.140020145061772</v>
      </c>
      <c r="AI952" s="105">
        <f>IF(tech_base!$T48&gt;AI$905,"",AI2072+tech_proj!AI1572/(1-tech_proj!AI452))</f>
        <v>26.171863735321189</v>
      </c>
      <c r="AJ952" s="105">
        <f>IF(tech_base!$T48&gt;AJ$905,"",AJ2072+tech_proj!AJ1572/(1-tech_proj!AJ452))</f>
        <v>26.196261276073233</v>
      </c>
      <c r="AK952" s="105">
        <f>IF(tech_base!$T48&gt;AK$905,"",AK2072+tech_proj!AK1572/(1-tech_proj!AK452))</f>
        <v>26.210223705949971</v>
      </c>
      <c r="AL952" s="105">
        <f>IF(tech_base!$T48&gt;AL$905,"",AL2072+tech_proj!AL1572/(1-tech_proj!AL452))</f>
        <v>26.212226610329978</v>
      </c>
      <c r="AM952" s="105">
        <f>IF(tech_base!$T48&gt;AM$905,"",AM2072+tech_proj!AM1572/(1-tech_proj!AM452))</f>
        <v>26.200718905043576</v>
      </c>
      <c r="AN952" s="105">
        <f>IF(tech_base!$T48&gt;AN$905,"",AN2072+tech_proj!AN1572/(1-tech_proj!AN452))</f>
        <v>26.174215829612024</v>
      </c>
      <c r="AO952" s="105">
        <f>IF(tech_base!$T48&gt;AO$905,"",AO2072+tech_proj!AO1572/(1-tech_proj!AO452))</f>
        <v>26.132994802278525</v>
      </c>
      <c r="AP952" s="105">
        <f>IF(tech_base!$T48&gt;AP$905,"",AP2072+tech_proj!AP1572/(1-tech_proj!AP452))</f>
        <v>26.074554624802531</v>
      </c>
      <c r="AQ952" s="105">
        <f>IF(tech_base!$T48&gt;AQ$905,"",AQ2072+tech_proj!AQ1572/(1-tech_proj!AQ452))</f>
        <v>25.998526457592483</v>
      </c>
      <c r="AR952" s="105">
        <f>IF(tech_base!$T48&gt;AR$905,"",AR2072+tech_proj!AR1572/(1-tech_proj!AR452))</f>
        <v>25.905309437097326</v>
      </c>
      <c r="AS952" s="105">
        <f>IF(tech_base!$T48&gt;AS$905,"",AS2072+tech_proj!AS1572/(1-tech_proj!AS452))</f>
        <v>25.796260924625468</v>
      </c>
      <c r="AT952" s="105">
        <f>IF(tech_base!$T48&gt;AT$905,"",AT2072+tech_proj!AT1572/(1-tech_proj!AT452))</f>
        <v>25.675395684940611</v>
      </c>
      <c r="AU952" s="105">
        <f>IF(tech_base!$T48&gt;AU$905,"",AU2072+tech_proj!AU1572/(1-tech_proj!AU452))</f>
        <v>25.544682164042204</v>
      </c>
      <c r="AV952" s="105">
        <f>IF(tech_base!$T48&gt;AV$905,"",AV2072+tech_proj!AV1572/(1-tech_proj!AV452))</f>
        <v>25.408651248777623</v>
      </c>
      <c r="AW952" s="105">
        <f>IF(tech_base!$T48&gt;AW$905,"",AW2072+tech_proj!AW1572/(1-tech_proj!AW452))</f>
        <v>25.272520227383374</v>
      </c>
      <c r="AX952" s="106">
        <f>IF(tech_base!$T48&gt;AX$905,"",AX2072+tech_proj!AX1572/(1-tech_proj!AX452))</f>
        <v>25.141756269146747</v>
      </c>
    </row>
    <row r="953" spans="1:50" x14ac:dyDescent="0.25">
      <c r="A953" s="356"/>
      <c r="B953" s="376"/>
      <c r="C953" s="361" t="s">
        <v>14</v>
      </c>
      <c r="D953" s="58" t="s">
        <v>7</v>
      </c>
      <c r="E953" s="164" t="str">
        <f>A951&amp;"/"&amp;B951&amp;"/"&amp;C953&amp;"/"&amp;D953</f>
        <v>Lignite fired power plants/Integrated gasification combined cycle/CHP/L</v>
      </c>
      <c r="F953" s="78" t="str">
        <f>A951</f>
        <v>Lignite fired power plants</v>
      </c>
      <c r="G953" s="78" t="str">
        <f>B951</f>
        <v>Integrated gasification combined cycle</v>
      </c>
      <c r="H953" s="78" t="str">
        <f>C953</f>
        <v>CHP</v>
      </c>
      <c r="I953" s="165" t="str">
        <f t="shared" si="367"/>
        <v>L</v>
      </c>
      <c r="J953" s="109" t="str">
        <f>IF(tech_base!$T49&gt;J$905,"",J2073+tech_proj!J1573/(1-tech_proj!J453))</f>
        <v/>
      </c>
      <c r="K953" s="109" t="str">
        <f>IF(tech_base!$T49&gt;K$905,"",K2073+tech_proj!K1573/(1-tech_proj!K453))</f>
        <v/>
      </c>
      <c r="L953" s="109" t="str">
        <f>IF(tech_base!$T49&gt;L$905,"",L2073+tech_proj!L1573/(1-tech_proj!L453))</f>
        <v/>
      </c>
      <c r="M953" s="109" t="str">
        <f>IF(tech_base!$T49&gt;M$905,"",M2073+tech_proj!M1573/(1-tech_proj!M453))</f>
        <v/>
      </c>
      <c r="N953" s="109" t="str">
        <f>IF(tech_base!$T49&gt;N$905,"",N2073+tech_proj!N1573/(1-tech_proj!N453))</f>
        <v/>
      </c>
      <c r="O953" s="109" t="str">
        <f>IF(tech_base!$T49&gt;O$905,"",O2073+tech_proj!O1573/(1-tech_proj!O453))</f>
        <v/>
      </c>
      <c r="P953" s="109" t="str">
        <f>IF(tech_base!$T49&gt;P$905,"",P2073+tech_proj!P1573/(1-tech_proj!P453))</f>
        <v/>
      </c>
      <c r="Q953" s="109" t="str">
        <f>IF(tech_base!$T49&gt;Q$905,"",Q2073+tech_proj!Q1573/(1-tech_proj!Q453))</f>
        <v/>
      </c>
      <c r="R953" s="109" t="str">
        <f>IF(tech_base!$T49&gt;R$905,"",R2073+tech_proj!R1573/(1-tech_proj!R453))</f>
        <v/>
      </c>
      <c r="S953" s="109" t="str">
        <f>IF(tech_base!$T49&gt;S$905,"",S2073+tech_proj!S1573/(1-tech_proj!S453))</f>
        <v/>
      </c>
      <c r="T953" s="109">
        <f>IF(tech_base!$T49&gt;T$905,"",T2073+tech_proj!T1573/(1-tech_proj!T453))</f>
        <v>26.546164657976043</v>
      </c>
      <c r="U953" s="109">
        <f>IF(tech_base!$T49&gt;U$905,"",U2073+tech_proj!U1573/(1-tech_proj!U453))</f>
        <v>26.624071293550408</v>
      </c>
      <c r="V953" s="109">
        <f>IF(tech_base!$T49&gt;V$905,"",V2073+tech_proj!V1573/(1-tech_proj!V453))</f>
        <v>26.701714669241401</v>
      </c>
      <c r="W953" s="109">
        <f>IF(tech_base!$T49&gt;W$905,"",W2073+tech_proj!W1573/(1-tech_proj!W453))</f>
        <v>26.779019962398166</v>
      </c>
      <c r="X953" s="109">
        <f>IF(tech_base!$T49&gt;X$905,"",X2073+tech_proj!X1573/(1-tech_proj!X453))</f>
        <v>26.855891244841587</v>
      </c>
      <c r="Y953" s="109">
        <f>IF(tech_base!$T49&gt;Y$905,"",Y2073+tech_proj!Y1573/(1-tech_proj!Y453))</f>
        <v>26.932205633203985</v>
      </c>
      <c r="Z953" s="109">
        <f>IF(tech_base!$T49&gt;Z$905,"",Z2073+tech_proj!Z1573/(1-tech_proj!Z453))</f>
        <v>27.009382059406505</v>
      </c>
      <c r="AA953" s="109">
        <f>IF(tech_base!$T49&gt;AA$905,"",AA2073+tech_proj!AA1573/(1-tech_proj!AA453))</f>
        <v>27.085643182486947</v>
      </c>
      <c r="AB953" s="109">
        <f>IF(tech_base!$T49&gt;AB$905,"",AB2073+tech_proj!AB1573/(1-tech_proj!AB453))</f>
        <v>27.160732611565265</v>
      </c>
      <c r="AC953" s="109">
        <f>IF(tech_base!$T49&gt;AC$905,"",AC2073+tech_proj!AC1573/(1-tech_proj!AC453))</f>
        <v>27.234324056674133</v>
      </c>
      <c r="AD953" s="109">
        <f>IF(tech_base!$T49&gt;AD$905,"",AD2073+tech_proj!AD1573/(1-tech_proj!AD453))</f>
        <v>27.306003507860833</v>
      </c>
      <c r="AE953" s="109">
        <f>IF(tech_base!$T49&gt;AE$905,"",AE2073+tech_proj!AE1573/(1-tech_proj!AE453))</f>
        <v>27.376854308098295</v>
      </c>
      <c r="AF953" s="109">
        <f>IF(tech_base!$T49&gt;AF$905,"",AF2073+tech_proj!AF1573/(1-tech_proj!AF453))</f>
        <v>27.444610844779653</v>
      </c>
      <c r="AG953" s="109">
        <f>IF(tech_base!$T49&gt;AG$905,"",AG2073+tech_proj!AG1573/(1-tech_proj!AG453))</f>
        <v>27.508450370871888</v>
      </c>
      <c r="AH953" s="109">
        <f>IF(tech_base!$T49&gt;AH$905,"",AH2073+tech_proj!AH1573/(1-tech_proj!AH453))</f>
        <v>27.567353369432897</v>
      </c>
      <c r="AI953" s="109">
        <f>IF(tech_base!$T49&gt;AI$905,"",AI2073+tech_proj!AI1573/(1-tech_proj!AI453))</f>
        <v>27.620070322869616</v>
      </c>
      <c r="AJ953" s="109">
        <f>IF(tech_base!$T49&gt;AJ$905,"",AJ2073+tech_proj!AJ1573/(1-tech_proj!AJ453))</f>
        <v>27.666727017787537</v>
      </c>
      <c r="AK953" s="109">
        <f>IF(tech_base!$T49&gt;AK$905,"",AK2073+tech_proj!AK1573/(1-tech_proj!AK453))</f>
        <v>27.703897165518558</v>
      </c>
      <c r="AL953" s="109">
        <f>IF(tech_base!$T49&gt;AL$905,"",AL2073+tech_proj!AL1573/(1-tech_proj!AL453))</f>
        <v>27.729515285062714</v>
      </c>
      <c r="AM953" s="109">
        <f>IF(tech_base!$T49&gt;AM$905,"",AM2073+tech_proj!AM1573/(1-tech_proj!AM453))</f>
        <v>27.741281294240707</v>
      </c>
      <c r="AN953" s="109">
        <f>IF(tech_base!$T49&gt;AN$905,"",AN2073+tech_proj!AN1573/(1-tech_proj!AN453))</f>
        <v>27.736762892042051</v>
      </c>
      <c r="AO953" s="109">
        <f>IF(tech_base!$T49&gt;AO$905,"",AO2073+tech_proj!AO1573/(1-tech_proj!AO453))</f>
        <v>27.715240003578902</v>
      </c>
      <c r="AP953" s="109">
        <f>IF(tech_base!$T49&gt;AP$905,"",AP2073+tech_proj!AP1573/(1-tech_proj!AP453))</f>
        <v>27.673022226361745</v>
      </c>
      <c r="AQ953" s="109">
        <f>IF(tech_base!$T49&gt;AQ$905,"",AQ2073+tech_proj!AQ1573/(1-tech_proj!AQ453))</f>
        <v>27.608839508801058</v>
      </c>
      <c r="AR953" s="109">
        <f>IF(tech_base!$T49&gt;AR$905,"",AR2073+tech_proj!AR1573/(1-tech_proj!AR453))</f>
        <v>27.522671798446858</v>
      </c>
      <c r="AS953" s="109">
        <f>IF(tech_base!$T49&gt;AS$905,"",AS2073+tech_proj!AS1573/(1-tech_proj!AS453))</f>
        <v>27.4162448671837</v>
      </c>
      <c r="AT953" s="109">
        <f>IF(tech_base!$T49&gt;AT$905,"",AT2073+tech_proj!AT1573/(1-tech_proj!AT453))</f>
        <v>27.295052393406081</v>
      </c>
      <c r="AU953" s="109">
        <f>IF(tech_base!$T49&gt;AU$905,"",AU2073+tech_proj!AU1573/(1-tech_proj!AU453))</f>
        <v>27.163399992794474</v>
      </c>
      <c r="AV953" s="109">
        <f>IF(tech_base!$T49&gt;AV$905,"",AV2073+tech_proj!AV1573/(1-tech_proj!AV453))</f>
        <v>27.029008938592845</v>
      </c>
      <c r="AW953" s="109">
        <f>IF(tech_base!$T49&gt;AW$905,"",AW2073+tech_proj!AW1573/(1-tech_proj!AW453))</f>
        <v>26.900444323307923</v>
      </c>
      <c r="AX953" s="110">
        <f>IF(tech_base!$T49&gt;AX$905,"",AX2073+tech_proj!AX1573/(1-tech_proj!AX453))</f>
        <v>26.785897170780054</v>
      </c>
    </row>
    <row r="954" spans="1:50" x14ac:dyDescent="0.25">
      <c r="A954" s="356"/>
      <c r="B954" s="376"/>
      <c r="C954" s="379"/>
      <c r="D954" s="59" t="s">
        <v>8</v>
      </c>
      <c r="E954" s="166" t="str">
        <f>A951&amp;"/"&amp;B951&amp;"/"&amp;C953&amp;"/"&amp;D954</f>
        <v>Lignite fired power plants/Integrated gasification combined cycle/CHP/M</v>
      </c>
      <c r="F954" s="79" t="str">
        <f>A951</f>
        <v>Lignite fired power plants</v>
      </c>
      <c r="G954" s="79" t="str">
        <f>B951</f>
        <v>Integrated gasification combined cycle</v>
      </c>
      <c r="H954" s="79" t="str">
        <f>C953</f>
        <v>CHP</v>
      </c>
      <c r="I954" s="167" t="str">
        <f t="shared" si="367"/>
        <v>M</v>
      </c>
      <c r="J954" s="111" t="str">
        <f>IF(tech_base!$T50&gt;J$905,"",J2074+tech_proj!J1574/(1-tech_proj!J454))</f>
        <v/>
      </c>
      <c r="K954" s="111" t="str">
        <f>IF(tech_base!$T50&gt;K$905,"",K2074+tech_proj!K1574/(1-tech_proj!K454))</f>
        <v/>
      </c>
      <c r="L954" s="111" t="str">
        <f>IF(tech_base!$T50&gt;L$905,"",L2074+tech_proj!L1574/(1-tech_proj!L454))</f>
        <v/>
      </c>
      <c r="M954" s="111" t="str">
        <f>IF(tech_base!$T50&gt;M$905,"",M2074+tech_proj!M1574/(1-tech_proj!M454))</f>
        <v/>
      </c>
      <c r="N954" s="111" t="str">
        <f>IF(tech_base!$T50&gt;N$905,"",N2074+tech_proj!N1574/(1-tech_proj!N454))</f>
        <v/>
      </c>
      <c r="O954" s="111" t="str">
        <f>IF(tech_base!$T50&gt;O$905,"",O2074+tech_proj!O1574/(1-tech_proj!O454))</f>
        <v/>
      </c>
      <c r="P954" s="111" t="str">
        <f>IF(tech_base!$T50&gt;P$905,"",P2074+tech_proj!P1574/(1-tech_proj!P454))</f>
        <v/>
      </c>
      <c r="Q954" s="111" t="str">
        <f>IF(tech_base!$T50&gt;Q$905,"",Q2074+tech_proj!Q1574/(1-tech_proj!Q454))</f>
        <v/>
      </c>
      <c r="R954" s="111" t="str">
        <f>IF(tech_base!$T50&gt;R$905,"",R2074+tech_proj!R1574/(1-tech_proj!R454))</f>
        <v/>
      </c>
      <c r="S954" s="111" t="str">
        <f>IF(tech_base!$T50&gt;S$905,"",S2074+tech_proj!S1574/(1-tech_proj!S454))</f>
        <v/>
      </c>
      <c r="T954" s="111">
        <f>IF(tech_base!$T50&gt;T$905,"",T2074+tech_proj!T1574/(1-tech_proj!T454))</f>
        <v>28.099275634116211</v>
      </c>
      <c r="U954" s="111">
        <f>IF(tech_base!$T50&gt;U$905,"",U2074+tech_proj!U1574/(1-tech_proj!U454))</f>
        <v>28.179272374158437</v>
      </c>
      <c r="V954" s="111">
        <f>IF(tech_base!$T50&gt;V$905,"",V2074+tech_proj!V1574/(1-tech_proj!V454))</f>
        <v>28.25856562340546</v>
      </c>
      <c r="W954" s="111">
        <f>IF(tech_base!$T50&gt;W$905,"",W2074+tech_proj!W1574/(1-tech_proj!W454))</f>
        <v>28.337001228653037</v>
      </c>
      <c r="X954" s="111">
        <f>IF(tech_base!$T50&gt;X$905,"",X2074+tech_proj!X1574/(1-tech_proj!X454))</f>
        <v>28.414392020188739</v>
      </c>
      <c r="Y954" s="111">
        <f>IF(tech_base!$T50&gt;Y$905,"",Y2074+tech_proj!Y1574/(1-tech_proj!Y454))</f>
        <v>28.490511113450545</v>
      </c>
      <c r="Z954" s="111">
        <f>IF(tech_base!$T50&gt;Z$905,"",Z2074+tech_proj!Z1574/(1-tech_proj!Z454))</f>
        <v>28.566746168217108</v>
      </c>
      <c r="AA954" s="111">
        <f>IF(tech_base!$T50&gt;AA$905,"",AA2074+tech_proj!AA1574/(1-tech_proj!AA454))</f>
        <v>28.641103230211659</v>
      </c>
      <c r="AB954" s="111">
        <f>IF(tech_base!$T50&gt;AB$905,"",AB2074+tech_proj!AB1574/(1-tech_proj!AB454))</f>
        <v>28.7131836114565</v>
      </c>
      <c r="AC954" s="111">
        <f>IF(tech_base!$T50&gt;AC$905,"",AC2074+tech_proj!AC1574/(1-tech_proj!AC454))</f>
        <v>28.782509425003056</v>
      </c>
      <c r="AD954" s="111">
        <f>IF(tech_base!$T50&gt;AD$905,"",AD2074+tech_proj!AD1574/(1-tech_proj!AD454))</f>
        <v>28.848510486306999</v>
      </c>
      <c r="AE954" s="111">
        <f>IF(tech_base!$T50&gt;AE$905,"",AE2074+tech_proj!AE1574/(1-tech_proj!AE454))</f>
        <v>28.912203389540938</v>
      </c>
      <c r="AF954" s="111">
        <f>IF(tech_base!$T50&gt;AF$905,"",AF2074+tech_proj!AF1574/(1-tech_proj!AF454))</f>
        <v>28.971096644710531</v>
      </c>
      <c r="AG954" s="111">
        <f>IF(tech_base!$T50&gt;AG$905,"",AG2074+tech_proj!AG1574/(1-tech_proj!AG454))</f>
        <v>29.024259298637869</v>
      </c>
      <c r="AH954" s="111">
        <f>IF(tech_base!$T50&gt;AH$905,"",AH2074+tech_proj!AH1574/(1-tech_proj!AH454))</f>
        <v>29.070616195176392</v>
      </c>
      <c r="AI954" s="111">
        <f>IF(tech_base!$T50&gt;AI$905,"",AI2074+tech_proj!AI1574/(1-tech_proj!AI454))</f>
        <v>29.108942835815071</v>
      </c>
      <c r="AJ954" s="111">
        <f>IF(tech_base!$T50&gt;AJ$905,"",AJ2074+tech_proj!AJ1574/(1-tech_proj!AJ454))</f>
        <v>29.13959003506967</v>
      </c>
      <c r="AK954" s="111">
        <f>IF(tech_base!$T50&gt;AK$905,"",AK2074+tech_proj!AK1574/(1-tech_proj!AK454))</f>
        <v>29.159335332171199</v>
      </c>
      <c r="AL954" s="111">
        <f>IF(tech_base!$T50&gt;AL$905,"",AL2074+tech_proj!AL1574/(1-tech_proj!AL454))</f>
        <v>29.16658997775615</v>
      </c>
      <c r="AM954" s="111">
        <f>IF(tech_base!$T50&gt;AM$905,"",AM2074+tech_proj!AM1574/(1-tech_proj!AM454))</f>
        <v>29.159739404499902</v>
      </c>
      <c r="AN954" s="111">
        <f>IF(tech_base!$T50&gt;AN$905,"",AN2074+tech_proj!AN1574/(1-tech_proj!AN454))</f>
        <v>29.137240981036619</v>
      </c>
      <c r="AO954" s="111">
        <f>IF(tech_base!$T50&gt;AO$905,"",AO2074+tech_proj!AO1574/(1-tech_proj!AO454))</f>
        <v>29.099500467033842</v>
      </c>
      <c r="AP954" s="111">
        <f>IF(tech_base!$T50&gt;AP$905,"",AP2074+tech_proj!AP1574/(1-tech_proj!AP454))</f>
        <v>29.043816100276246</v>
      </c>
      <c r="AQ954" s="111">
        <f>IF(tech_base!$T50&gt;AQ$905,"",AQ2074+tech_proj!AQ1574/(1-tech_proj!AQ454))</f>
        <v>28.969821675898064</v>
      </c>
      <c r="AR954" s="111">
        <f>IF(tech_base!$T50&gt;AR$905,"",AR2074+tech_proj!AR1574/(1-tech_proj!AR454))</f>
        <v>28.877956379071428</v>
      </c>
      <c r="AS954" s="111">
        <f>IF(tech_base!$T50&gt;AS$905,"",AS2074+tech_proj!AS1574/(1-tech_proj!AS454))</f>
        <v>28.76966194957609</v>
      </c>
      <c r="AT954" s="111">
        <f>IF(tech_base!$T50&gt;AT$905,"",AT2074+tech_proj!AT1574/(1-tech_proj!AT454))</f>
        <v>28.649261593725864</v>
      </c>
      <c r="AU954" s="111">
        <f>IF(tech_base!$T50&gt;AU$905,"",AU2074+tech_proj!AU1574/(1-tech_proj!AU454))</f>
        <v>28.518722821656961</v>
      </c>
      <c r="AV954" s="111">
        <f>IF(tech_base!$T50&gt;AV$905,"",AV2074+tech_proj!AV1574/(1-tech_proj!AV454))</f>
        <v>28.382787170469499</v>
      </c>
      <c r="AW954" s="111">
        <f>IF(tech_base!$T50&gt;AW$905,"",AW2074+tech_proj!AW1574/(1-tech_proj!AW454))</f>
        <v>28.246900054685533</v>
      </c>
      <c r="AX954" s="112">
        <f>IF(tech_base!$T50&gt;AX$905,"",AX2074+tech_proj!AX1574/(1-tech_proj!AX454))</f>
        <v>28.116752622957701</v>
      </c>
    </row>
    <row r="955" spans="1:50" x14ac:dyDescent="0.25">
      <c r="A955" s="356"/>
      <c r="B955" s="376"/>
      <c r="C955" s="361" t="s">
        <v>15</v>
      </c>
      <c r="D955" s="58" t="s">
        <v>7</v>
      </c>
      <c r="E955" s="164" t="str">
        <f>A951&amp;"/"&amp;B951&amp;"/"&amp;C955&amp;"/"&amp;D955</f>
        <v>Lignite fired power plants/Integrated gasification combined cycle/Electricity only with CCS/L</v>
      </c>
      <c r="F955" s="78" t="str">
        <f>A951</f>
        <v>Lignite fired power plants</v>
      </c>
      <c r="G955" s="78" t="str">
        <f>B951</f>
        <v>Integrated gasification combined cycle</v>
      </c>
      <c r="H955" s="78" t="str">
        <f>C955</f>
        <v>Electricity only with CCS</v>
      </c>
      <c r="I955" s="165" t="str">
        <f t="shared" si="367"/>
        <v>L</v>
      </c>
      <c r="J955" s="109" t="str">
        <f>IF(tech_base!$T51&gt;J$905,"",J2075+tech_proj!J1575/(1-tech_proj!J455))</f>
        <v/>
      </c>
      <c r="K955" s="109" t="str">
        <f>IF(tech_base!$T51&gt;K$905,"",K2075+tech_proj!K1575/(1-tech_proj!K455))</f>
        <v/>
      </c>
      <c r="L955" s="109" t="str">
        <f>IF(tech_base!$T51&gt;L$905,"",L2075+tech_proj!L1575/(1-tech_proj!L455))</f>
        <v/>
      </c>
      <c r="M955" s="109" t="str">
        <f>IF(tech_base!$T51&gt;M$905,"",M2075+tech_proj!M1575/(1-tech_proj!M455))</f>
        <v/>
      </c>
      <c r="N955" s="109" t="str">
        <f>IF(tech_base!$T51&gt;N$905,"",N2075+tech_proj!N1575/(1-tech_proj!N455))</f>
        <v/>
      </c>
      <c r="O955" s="109" t="str">
        <f>IF(tech_base!$T51&gt;O$905,"",O2075+tech_proj!O1575/(1-tech_proj!O455))</f>
        <v/>
      </c>
      <c r="P955" s="109" t="str">
        <f>IF(tech_base!$T51&gt;P$905,"",P2075+tech_proj!P1575/(1-tech_proj!P455))</f>
        <v/>
      </c>
      <c r="Q955" s="109" t="str">
        <f>IF(tech_base!$T51&gt;Q$905,"",Q2075+tech_proj!Q1575/(1-tech_proj!Q455))</f>
        <v/>
      </c>
      <c r="R955" s="109" t="str">
        <f>IF(tech_base!$T51&gt;R$905,"",R2075+tech_proj!R1575/(1-tech_proj!R455))</f>
        <v/>
      </c>
      <c r="S955" s="109" t="str">
        <f>IF(tech_base!$T51&gt;S$905,"",S2075+tech_proj!S1575/(1-tech_proj!S455))</f>
        <v/>
      </c>
      <c r="T955" s="109" t="str">
        <f>IF(tech_base!$T51&gt;T$905,"",T2075+tech_proj!T1575/(1-tech_proj!T455))</f>
        <v/>
      </c>
      <c r="U955" s="109" t="str">
        <f>IF(tech_base!$T51&gt;U$905,"",U2075+tech_proj!U1575/(1-tech_proj!U455))</f>
        <v/>
      </c>
      <c r="V955" s="109" t="str">
        <f>IF(tech_base!$T51&gt;V$905,"",V2075+tech_proj!V1575/(1-tech_proj!V455))</f>
        <v/>
      </c>
      <c r="W955" s="109" t="str">
        <f>IF(tech_base!$T51&gt;W$905,"",W2075+tech_proj!W1575/(1-tech_proj!W455))</f>
        <v/>
      </c>
      <c r="X955" s="109" t="str">
        <f>IF(tech_base!$T51&gt;X$905,"",X2075+tech_proj!X1575/(1-tech_proj!X455))</f>
        <v/>
      </c>
      <c r="Y955" s="109" t="str">
        <f>IF(tech_base!$T51&gt;Y$905,"",Y2075+tech_proj!Y1575/(1-tech_proj!Y455))</f>
        <v/>
      </c>
      <c r="Z955" s="109" t="str">
        <f>IF(tech_base!$T51&gt;Z$905,"",Z2075+tech_proj!Z1575/(1-tech_proj!Z455))</f>
        <v/>
      </c>
      <c r="AA955" s="109" t="str">
        <f>IF(tech_base!$T51&gt;AA$905,"",AA2075+tech_proj!AA1575/(1-tech_proj!AA455))</f>
        <v/>
      </c>
      <c r="AB955" s="109" t="str">
        <f>IF(tech_base!$T51&gt;AB$905,"",AB2075+tech_proj!AB1575/(1-tech_proj!AB455))</f>
        <v/>
      </c>
      <c r="AC955" s="109" t="str">
        <f>IF(tech_base!$T51&gt;AC$905,"",AC2075+tech_proj!AC1575/(1-tech_proj!AC455))</f>
        <v/>
      </c>
      <c r="AD955" s="109" t="str">
        <f>IF(tech_base!$T51&gt;AD$905,"",AD2075+tech_proj!AD1575/(1-tech_proj!AD455))</f>
        <v/>
      </c>
      <c r="AE955" s="109">
        <f>IF(tech_base!$T51&gt;AE$905,"",AE2075+tech_proj!AE1575/(1-tech_proj!AE455))</f>
        <v>32.708205165216818</v>
      </c>
      <c r="AF955" s="109">
        <f>IF(tech_base!$T51&gt;AF$905,"",AF2075+tech_proj!AF1575/(1-tech_proj!AF455))</f>
        <v>32.802593426450358</v>
      </c>
      <c r="AG955" s="109">
        <f>IF(tech_base!$T51&gt;AG$905,"",AG2075+tech_proj!AG1575/(1-tech_proj!AG455))</f>
        <v>32.896247451161862</v>
      </c>
      <c r="AH955" s="109">
        <f>IF(tech_base!$T51&gt;AH$905,"",AH2075+tech_proj!AH1575/(1-tech_proj!AH455))</f>
        <v>32.988911011617731</v>
      </c>
      <c r="AI955" s="109">
        <f>IF(tech_base!$T51&gt;AI$905,"",AI2075+tech_proj!AI1575/(1-tech_proj!AI455))</f>
        <v>33.080239440474244</v>
      </c>
      <c r="AJ955" s="109">
        <f>IF(tech_base!$T51&gt;AJ$905,"",AJ2075+tech_proj!AJ1575/(1-tech_proj!AJ455))</f>
        <v>33.171698783854723</v>
      </c>
      <c r="AK955" s="109">
        <f>IF(tech_base!$T51&gt;AK$905,"",AK2075+tech_proj!AK1575/(1-tech_proj!AK455))</f>
        <v>33.260739563251228</v>
      </c>
      <c r="AL955" s="109">
        <f>IF(tech_base!$T51&gt;AL$905,"",AL2075+tech_proj!AL1575/(1-tech_proj!AL455))</f>
        <v>33.346533417467455</v>
      </c>
      <c r="AM955" s="109">
        <f>IF(tech_base!$T51&gt;AM$905,"",AM2075+tech_proj!AM1575/(1-tech_proj!AM455))</f>
        <v>33.427978780429896</v>
      </c>
      <c r="AN955" s="109">
        <f>IF(tech_base!$T51&gt;AN$905,"",AN2075+tech_proj!AN1575/(1-tech_proj!AN455))</f>
        <v>33.503619275261933</v>
      </c>
      <c r="AO955" s="109">
        <f>IF(tech_base!$T51&gt;AO$905,"",AO2075+tech_proj!AO1575/(1-tech_proj!AO455))</f>
        <v>33.573509407159719</v>
      </c>
      <c r="AP955" s="109">
        <f>IF(tech_base!$T51&gt;AP$905,"",AP2075+tech_proj!AP1575/(1-tech_proj!AP455))</f>
        <v>33.633203424879184</v>
      </c>
      <c r="AQ955" s="109">
        <f>IF(tech_base!$T51&gt;AQ$905,"",AQ2075+tech_proj!AQ1575/(1-tech_proj!AQ455))</f>
        <v>33.679531671533766</v>
      </c>
      <c r="AR955" s="109">
        <f>IF(tech_base!$T51&gt;AR$905,"",AR2075+tech_proj!AR1575/(1-tech_proj!AR455))</f>
        <v>33.708524937634074</v>
      </c>
      <c r="AS955" s="109">
        <f>IF(tech_base!$T51&gt;AS$905,"",AS2075+tech_proj!AS1575/(1-tech_proj!AS455))</f>
        <v>33.71535490929373</v>
      </c>
      <c r="AT955" s="109">
        <f>IF(tech_base!$T51&gt;AT$905,"",AT2075+tech_proj!AT1575/(1-tech_proj!AT455))</f>
        <v>33.696380592468529</v>
      </c>
      <c r="AU955" s="109">
        <f>IF(tech_base!$T51&gt;AU$905,"",AU2075+tech_proj!AU1575/(1-tech_proj!AU455))</f>
        <v>33.643422140152204</v>
      </c>
      <c r="AV955" s="109">
        <f>IF(tech_base!$T51&gt;AV$905,"",AV2075+tech_proj!AV1575/(1-tech_proj!AV455))</f>
        <v>33.550341426806725</v>
      </c>
      <c r="AW955" s="109">
        <f>IF(tech_base!$T51&gt;AW$905,"",AW2075+tech_proj!AW1575/(1-tech_proj!AW455))</f>
        <v>33.41206430111778</v>
      </c>
      <c r="AX955" s="110">
        <f>IF(tech_base!$T51&gt;AX$905,"",AX2075+tech_proj!AX1575/(1-tech_proj!AX455))</f>
        <v>33.226054819753671</v>
      </c>
    </row>
    <row r="956" spans="1:50" x14ac:dyDescent="0.25">
      <c r="A956" s="356"/>
      <c r="B956" s="376"/>
      <c r="C956" s="379"/>
      <c r="D956" s="59" t="s">
        <v>8</v>
      </c>
      <c r="E956" s="166" t="str">
        <f>A951&amp;"/"&amp;B951&amp;"/"&amp;C955&amp;"/"&amp;D956</f>
        <v>Lignite fired power plants/Integrated gasification combined cycle/Electricity only with CCS/M</v>
      </c>
      <c r="F956" s="79" t="str">
        <f>A951</f>
        <v>Lignite fired power plants</v>
      </c>
      <c r="G956" s="79" t="str">
        <f>B951</f>
        <v>Integrated gasification combined cycle</v>
      </c>
      <c r="H956" s="79" t="str">
        <f>C955</f>
        <v>Electricity only with CCS</v>
      </c>
      <c r="I956" s="167" t="str">
        <f t="shared" si="367"/>
        <v>M</v>
      </c>
      <c r="J956" s="111" t="str">
        <f>IF(tech_base!$T52&gt;J$905,"",J2076+tech_proj!J1576/(1-tech_proj!J456))</f>
        <v/>
      </c>
      <c r="K956" s="111" t="str">
        <f>IF(tech_base!$T52&gt;K$905,"",K2076+tech_proj!K1576/(1-tech_proj!K456))</f>
        <v/>
      </c>
      <c r="L956" s="111" t="str">
        <f>IF(tech_base!$T52&gt;L$905,"",L2076+tech_proj!L1576/(1-tech_proj!L456))</f>
        <v/>
      </c>
      <c r="M956" s="111" t="str">
        <f>IF(tech_base!$T52&gt;M$905,"",M2076+tech_proj!M1576/(1-tech_proj!M456))</f>
        <v/>
      </c>
      <c r="N956" s="111" t="str">
        <f>IF(tech_base!$T52&gt;N$905,"",N2076+tech_proj!N1576/(1-tech_proj!N456))</f>
        <v/>
      </c>
      <c r="O956" s="111" t="str">
        <f>IF(tech_base!$T52&gt;O$905,"",O2076+tech_proj!O1576/(1-tech_proj!O456))</f>
        <v/>
      </c>
      <c r="P956" s="111" t="str">
        <f>IF(tech_base!$T52&gt;P$905,"",P2076+tech_proj!P1576/(1-tech_proj!P456))</f>
        <v/>
      </c>
      <c r="Q956" s="111" t="str">
        <f>IF(tech_base!$T52&gt;Q$905,"",Q2076+tech_proj!Q1576/(1-tech_proj!Q456))</f>
        <v/>
      </c>
      <c r="R956" s="111" t="str">
        <f>IF(tech_base!$T52&gt;R$905,"",R2076+tech_proj!R1576/(1-tech_proj!R456))</f>
        <v/>
      </c>
      <c r="S956" s="111" t="str">
        <f>IF(tech_base!$T52&gt;S$905,"",S2076+tech_proj!S1576/(1-tech_proj!S456))</f>
        <v/>
      </c>
      <c r="T956" s="111" t="str">
        <f>IF(tech_base!$T52&gt;T$905,"",T2076+tech_proj!T1576/(1-tech_proj!T456))</f>
        <v/>
      </c>
      <c r="U956" s="111" t="str">
        <f>IF(tech_base!$T52&gt;U$905,"",U2076+tech_proj!U1576/(1-tech_proj!U456))</f>
        <v/>
      </c>
      <c r="V956" s="111" t="str">
        <f>IF(tech_base!$T52&gt;V$905,"",V2076+tech_proj!V1576/(1-tech_proj!V456))</f>
        <v/>
      </c>
      <c r="W956" s="111" t="str">
        <f>IF(tech_base!$T52&gt;W$905,"",W2076+tech_proj!W1576/(1-tech_proj!W456))</f>
        <v/>
      </c>
      <c r="X956" s="111" t="str">
        <f>IF(tech_base!$T52&gt;X$905,"",X2076+tech_proj!X1576/(1-tech_proj!X456))</f>
        <v/>
      </c>
      <c r="Y956" s="111" t="str">
        <f>IF(tech_base!$T52&gt;Y$905,"",Y2076+tech_proj!Y1576/(1-tech_proj!Y456))</f>
        <v/>
      </c>
      <c r="Z956" s="111" t="str">
        <f>IF(tech_base!$T52&gt;Z$905,"",Z2076+tech_proj!Z1576/(1-tech_proj!Z456))</f>
        <v/>
      </c>
      <c r="AA956" s="111" t="str">
        <f>IF(tech_base!$T52&gt;AA$905,"",AA2076+tech_proj!AA1576/(1-tech_proj!AA456))</f>
        <v/>
      </c>
      <c r="AB956" s="111" t="str">
        <f>IF(tech_base!$T52&gt;AB$905,"",AB2076+tech_proj!AB1576/(1-tech_proj!AB456))</f>
        <v/>
      </c>
      <c r="AC956" s="111" t="str">
        <f>IF(tech_base!$T52&gt;AC$905,"",AC2076+tech_proj!AC1576/(1-tech_proj!AC456))</f>
        <v/>
      </c>
      <c r="AD956" s="111" t="str">
        <f>IF(tech_base!$T52&gt;AD$905,"",AD2076+tech_proj!AD1576/(1-tech_proj!AD456))</f>
        <v/>
      </c>
      <c r="AE956" s="111">
        <f>IF(tech_base!$T52&gt;AE$905,"",AE2076+tech_proj!AE1576/(1-tech_proj!AE456))</f>
        <v>35.105617673375249</v>
      </c>
      <c r="AF956" s="111">
        <f>IF(tech_base!$T52&gt;AF$905,"",AF2076+tech_proj!AF1576/(1-tech_proj!AF456))</f>
        <v>35.207624108464479</v>
      </c>
      <c r="AG956" s="111">
        <f>IF(tech_base!$T52&gt;AG$905,"",AG2076+tech_proj!AG1576/(1-tech_proj!AG456))</f>
        <v>35.309163076093242</v>
      </c>
      <c r="AH956" s="111">
        <f>IF(tech_base!$T52&gt;AH$905,"",AH2076+tech_proj!AH1576/(1-tech_proj!AH456))</f>
        <v>35.410038413993675</v>
      </c>
      <c r="AI956" s="111">
        <f>IF(tech_base!$T52&gt;AI$905,"",AI2076+tech_proj!AI1576/(1-tech_proj!AI456))</f>
        <v>35.509972049967665</v>
      </c>
      <c r="AJ956" s="111">
        <f>IF(tech_base!$T52&gt;AJ$905,"",AJ2076+tech_proj!AJ1576/(1-tech_proj!AJ456))</f>
        <v>35.610632137431125</v>
      </c>
      <c r="AK956" s="111">
        <f>IF(tech_base!$T52&gt;AK$905,"",AK2076+tech_proj!AK1576/(1-tech_proj!AK456))</f>
        <v>35.70939958577766</v>
      </c>
      <c r="AL956" s="111">
        <f>IF(tech_base!$T52&gt;AL$905,"",AL2076+tech_proj!AL1576/(1-tech_proj!AL456))</f>
        <v>35.805488502733539</v>
      </c>
      <c r="AM956" s="111">
        <f>IF(tech_base!$T52&gt;AM$905,"",AM2076+tech_proj!AM1576/(1-tech_proj!AM456))</f>
        <v>35.897793231898767</v>
      </c>
      <c r="AN956" s="111">
        <f>IF(tech_base!$T52&gt;AN$905,"",AN2076+tech_proj!AN1576/(1-tech_proj!AN456))</f>
        <v>35.98476483649884</v>
      </c>
      <c r="AO956" s="111">
        <f>IF(tech_base!$T52&gt;AO$905,"",AO2076+tech_proj!AO1576/(1-tech_proj!AO456))</f>
        <v>36.066347564727579</v>
      </c>
      <c r="AP956" s="111">
        <f>IF(tech_base!$T52&gt;AP$905,"",AP2076+tech_proj!AP1576/(1-tech_proj!AP456))</f>
        <v>36.137460833325108</v>
      </c>
      <c r="AQ956" s="111">
        <f>IF(tech_base!$T52&gt;AQ$905,"",AQ2076+tech_proj!AQ1576/(1-tech_proj!AQ456))</f>
        <v>36.194043983705761</v>
      </c>
      <c r="AR956" s="111">
        <f>IF(tech_base!$T52&gt;AR$905,"",AR2076+tech_proj!AR1576/(1-tech_proj!AR456))</f>
        <v>36.230659060061406</v>
      </c>
      <c r="AS956" s="111">
        <f>IF(tech_base!$T52&gt;AS$905,"",AS2076+tech_proj!AS1576/(1-tech_proj!AS456))</f>
        <v>36.240211905173069</v>
      </c>
      <c r="AT956" s="111">
        <f>IF(tech_base!$T52&gt;AT$905,"",AT2076+tech_proj!AT1576/(1-tech_proj!AT456))</f>
        <v>36.215931874291144</v>
      </c>
      <c r="AU956" s="111">
        <f>IF(tech_base!$T52&gt;AU$905,"",AU2076+tech_proj!AU1576/(1-tech_proj!AU456))</f>
        <v>36.145148131496626</v>
      </c>
      <c r="AV956" s="111">
        <f>IF(tech_base!$T52&gt;AV$905,"",AV2076+tech_proj!AV1576/(1-tech_proj!AV456))</f>
        <v>36.016539751832426</v>
      </c>
      <c r="AW956" s="111">
        <f>IF(tech_base!$T52&gt;AW$905,"",AW2076+tech_proj!AW1576/(1-tech_proj!AW456))</f>
        <v>35.819883379659423</v>
      </c>
      <c r="AX956" s="112">
        <f>IF(tech_base!$T52&gt;AX$905,"",AX2076+tech_proj!AX1576/(1-tech_proj!AX456))</f>
        <v>35.549233254420521</v>
      </c>
    </row>
    <row r="957" spans="1:50" x14ac:dyDescent="0.25">
      <c r="A957" s="356"/>
      <c r="B957" s="376"/>
      <c r="C957" s="361" t="s">
        <v>16</v>
      </c>
      <c r="D957" s="2" t="s">
        <v>7</v>
      </c>
      <c r="E957" s="160" t="str">
        <f>A951&amp;"/"&amp;B951&amp;"/"&amp;C957&amp;"/"&amp;D957</f>
        <v>Lignite fired power plants/Integrated gasification combined cycle/CHP with CCS/L</v>
      </c>
      <c r="F957" s="76" t="str">
        <f>A951</f>
        <v>Lignite fired power plants</v>
      </c>
      <c r="G957" s="76" t="str">
        <f>B951</f>
        <v>Integrated gasification combined cycle</v>
      </c>
      <c r="H957" s="76" t="str">
        <f>C957</f>
        <v>CHP with CCS</v>
      </c>
      <c r="I957" s="161" t="str">
        <f t="shared" si="367"/>
        <v>L</v>
      </c>
      <c r="J957" s="105" t="str">
        <f>IF(tech_base!$T53&gt;J$905,"",J2077+tech_proj!J1577/(1-tech_proj!J457))</f>
        <v/>
      </c>
      <c r="K957" s="105" t="str">
        <f>IF(tech_base!$T53&gt;K$905,"",K2077+tech_proj!K1577/(1-tech_proj!K457))</f>
        <v/>
      </c>
      <c r="L957" s="105" t="str">
        <f>IF(tech_base!$T53&gt;L$905,"",L2077+tech_proj!L1577/(1-tech_proj!L457))</f>
        <v/>
      </c>
      <c r="M957" s="105" t="str">
        <f>IF(tech_base!$T53&gt;M$905,"",M2077+tech_proj!M1577/(1-tech_proj!M457))</f>
        <v/>
      </c>
      <c r="N957" s="105" t="str">
        <f>IF(tech_base!$T53&gt;N$905,"",N2077+tech_proj!N1577/(1-tech_proj!N457))</f>
        <v/>
      </c>
      <c r="O957" s="105" t="str">
        <f>IF(tech_base!$T53&gt;O$905,"",O2077+tech_proj!O1577/(1-tech_proj!O457))</f>
        <v/>
      </c>
      <c r="P957" s="105" t="str">
        <f>IF(tech_base!$T53&gt;P$905,"",P2077+tech_proj!P1577/(1-tech_proj!P457))</f>
        <v/>
      </c>
      <c r="Q957" s="105" t="str">
        <f>IF(tech_base!$T53&gt;Q$905,"",Q2077+tech_proj!Q1577/(1-tech_proj!Q457))</f>
        <v/>
      </c>
      <c r="R957" s="105" t="str">
        <f>IF(tech_base!$T53&gt;R$905,"",R2077+tech_proj!R1577/(1-tech_proj!R457))</f>
        <v/>
      </c>
      <c r="S957" s="105" t="str">
        <f>IF(tech_base!$T53&gt;S$905,"",S2077+tech_proj!S1577/(1-tech_proj!S457))</f>
        <v/>
      </c>
      <c r="T957" s="105" t="str">
        <f>IF(tech_base!$T53&gt;T$905,"",T2077+tech_proj!T1577/(1-tech_proj!T457))</f>
        <v/>
      </c>
      <c r="U957" s="105" t="str">
        <f>IF(tech_base!$T53&gt;U$905,"",U2077+tech_proj!U1577/(1-tech_proj!U457))</f>
        <v/>
      </c>
      <c r="V957" s="105" t="str">
        <f>IF(tech_base!$T53&gt;V$905,"",V2077+tech_proj!V1577/(1-tech_proj!V457))</f>
        <v/>
      </c>
      <c r="W957" s="105" t="str">
        <f>IF(tech_base!$T53&gt;W$905,"",W2077+tech_proj!W1577/(1-tech_proj!W457))</f>
        <v/>
      </c>
      <c r="X957" s="105" t="str">
        <f>IF(tech_base!$T53&gt;X$905,"",X2077+tech_proj!X1577/(1-tech_proj!X457))</f>
        <v/>
      </c>
      <c r="Y957" s="105" t="str">
        <f>IF(tech_base!$T53&gt;Y$905,"",Y2077+tech_proj!Y1577/(1-tech_proj!Y457))</f>
        <v/>
      </c>
      <c r="Z957" s="105" t="str">
        <f>IF(tech_base!$T53&gt;Z$905,"",Z2077+tech_proj!Z1577/(1-tech_proj!Z457))</f>
        <v/>
      </c>
      <c r="AA957" s="105" t="str">
        <f>IF(tech_base!$T53&gt;AA$905,"",AA2077+tech_proj!AA1577/(1-tech_proj!AA457))</f>
        <v/>
      </c>
      <c r="AB957" s="105" t="str">
        <f>IF(tech_base!$T53&gt;AB$905,"",AB2077+tech_proj!AB1577/(1-tech_proj!AB457))</f>
        <v/>
      </c>
      <c r="AC957" s="105" t="str">
        <f>IF(tech_base!$T53&gt;AC$905,"",AC2077+tech_proj!AC1577/(1-tech_proj!AC457))</f>
        <v/>
      </c>
      <c r="AD957" s="105" t="str">
        <f>IF(tech_base!$T53&gt;AD$905,"",AD2077+tech_proj!AD1577/(1-tech_proj!AD457))</f>
        <v/>
      </c>
      <c r="AE957" s="105">
        <f>IF(tech_base!$T53&gt;AE$905,"",AE2077+tech_proj!AE1577/(1-tech_proj!AE457))</f>
        <v>36.978300059092319</v>
      </c>
      <c r="AF957" s="105">
        <f>IF(tech_base!$T53&gt;AF$905,"",AF2077+tech_proj!AF1577/(1-tech_proj!AF457))</f>
        <v>37.086098349730072</v>
      </c>
      <c r="AG957" s="105">
        <f>IF(tech_base!$T53&gt;AG$905,"",AG2077+tech_proj!AG1577/(1-tech_proj!AG457))</f>
        <v>37.193126236088816</v>
      </c>
      <c r="AH957" s="105">
        <f>IF(tech_base!$T53&gt;AH$905,"",AH2077+tech_proj!AH1577/(1-tech_proj!AH457))</f>
        <v>37.299114843489221</v>
      </c>
      <c r="AI957" s="105">
        <f>IF(tech_base!$T53&gt;AI$905,"",AI2077+tech_proj!AI1577/(1-tech_proj!AI457))</f>
        <v>37.403702486138037</v>
      </c>
      <c r="AJ957" s="105">
        <f>IF(tech_base!$T53&gt;AJ$905,"",AJ2077+tech_proj!AJ1577/(1-tech_proj!AJ457))</f>
        <v>37.508602555233821</v>
      </c>
      <c r="AK957" s="105">
        <f>IF(tech_base!$T53&gt;AK$905,"",AK2077+tech_proj!AK1577/(1-tech_proj!AK457))</f>
        <v>37.610964700204917</v>
      </c>
      <c r="AL957" s="105">
        <f>IF(tech_base!$T53&gt;AL$905,"",AL2077+tech_proj!AL1577/(1-tech_proj!AL457))</f>
        <v>37.709919635709241</v>
      </c>
      <c r="AM957" s="105">
        <f>IF(tech_base!$T53&gt;AM$905,"",AM2077+tech_proj!AM1577/(1-tech_proj!AM457))</f>
        <v>37.804311387383507</v>
      </c>
      <c r="AN957" s="105">
        <f>IF(tech_base!$T53&gt;AN$905,"",AN2077+tech_proj!AN1577/(1-tech_proj!AN457))</f>
        <v>37.892611686167569</v>
      </c>
      <c r="AO957" s="105">
        <f>IF(tech_base!$T53&gt;AO$905,"",AO2077+tech_proj!AO1577/(1-tech_proj!AO457))</f>
        <v>37.975056254544469</v>
      </c>
      <c r="AP957" s="105">
        <f>IF(tech_base!$T53&gt;AP$905,"",AP2077+tech_proj!AP1577/(1-tech_proj!AP457))</f>
        <v>38.046801730699848</v>
      </c>
      <c r="AQ957" s="105">
        <f>IF(tech_base!$T53&gt;AQ$905,"",AQ2077+tech_proj!AQ1577/(1-tech_proj!AQ457))</f>
        <v>38.104522791673787</v>
      </c>
      <c r="AR957" s="105">
        <f>IF(tech_base!$T53&gt;AR$905,"",AR2077+tech_proj!AR1577/(1-tech_proj!AR457))</f>
        <v>38.144056062697928</v>
      </c>
      <c r="AS957" s="105">
        <f>IF(tech_base!$T53&gt;AS$905,"",AS2077+tech_proj!AS1577/(1-tech_proj!AS457))</f>
        <v>38.16033846351722</v>
      </c>
      <c r="AT957" s="105">
        <f>IF(tech_base!$T53&gt;AT$905,"",AT2077+tech_proj!AT1577/(1-tech_proj!AT457))</f>
        <v>38.149737789837815</v>
      </c>
      <c r="AU957" s="105">
        <f>IF(tech_base!$T53&gt;AU$905,"",AU2077+tech_proj!AU1577/(1-tech_proj!AU457))</f>
        <v>38.10350045714452</v>
      </c>
      <c r="AV957" s="105">
        <f>IF(tech_base!$T53&gt;AV$905,"",AV2077+tech_proj!AV1577/(1-tech_proj!AV457))</f>
        <v>38.015205285820322</v>
      </c>
      <c r="AW957" s="105">
        <f>IF(tech_base!$T53&gt;AW$905,"",AW2077+tech_proj!AW1577/(1-tech_proj!AW457))</f>
        <v>37.879558601692537</v>
      </c>
      <c r="AX957" s="106">
        <f>IF(tech_base!$T53&gt;AX$905,"",AX2077+tech_proj!AX1577/(1-tech_proj!AX457))</f>
        <v>37.693943123182216</v>
      </c>
    </row>
    <row r="958" spans="1:50" x14ac:dyDescent="0.25">
      <c r="A958" s="356"/>
      <c r="B958" s="376"/>
      <c r="C958" s="381"/>
      <c r="D958" s="2" t="s">
        <v>8</v>
      </c>
      <c r="E958" s="168" t="str">
        <f>A951&amp;"/"&amp;B951&amp;"/"&amp;C957&amp;"/"&amp;D958</f>
        <v>Lignite fired power plants/Integrated gasification combined cycle/CHP with CCS/M</v>
      </c>
      <c r="F958" s="80" t="str">
        <f>A951</f>
        <v>Lignite fired power plants</v>
      </c>
      <c r="G958" s="80" t="str">
        <f>B951</f>
        <v>Integrated gasification combined cycle</v>
      </c>
      <c r="H958" s="80" t="str">
        <f>C957</f>
        <v>CHP with CCS</v>
      </c>
      <c r="I958" s="169" t="str">
        <f t="shared" si="367"/>
        <v>M</v>
      </c>
      <c r="J958" s="113" t="str">
        <f>IF(tech_base!$T54&gt;J$905,"",J2078+tech_proj!J1578/(1-tech_proj!J458))</f>
        <v/>
      </c>
      <c r="K958" s="113" t="str">
        <f>IF(tech_base!$T54&gt;K$905,"",K2078+tech_proj!K1578/(1-tech_proj!K458))</f>
        <v/>
      </c>
      <c r="L958" s="113" t="str">
        <f>IF(tech_base!$T54&gt;L$905,"",L2078+tech_proj!L1578/(1-tech_proj!L458))</f>
        <v/>
      </c>
      <c r="M958" s="113" t="str">
        <f>IF(tech_base!$T54&gt;M$905,"",M2078+tech_proj!M1578/(1-tech_proj!M458))</f>
        <v/>
      </c>
      <c r="N958" s="113" t="str">
        <f>IF(tech_base!$T54&gt;N$905,"",N2078+tech_proj!N1578/(1-tech_proj!N458))</f>
        <v/>
      </c>
      <c r="O958" s="113" t="str">
        <f>IF(tech_base!$T54&gt;O$905,"",O2078+tech_proj!O1578/(1-tech_proj!O458))</f>
        <v/>
      </c>
      <c r="P958" s="113" t="str">
        <f>IF(tech_base!$T54&gt;P$905,"",P2078+tech_proj!P1578/(1-tech_proj!P458))</f>
        <v/>
      </c>
      <c r="Q958" s="113" t="str">
        <f>IF(tech_base!$T54&gt;Q$905,"",Q2078+tech_proj!Q1578/(1-tech_proj!Q458))</f>
        <v/>
      </c>
      <c r="R958" s="113" t="str">
        <f>IF(tech_base!$T54&gt;R$905,"",R2078+tech_proj!R1578/(1-tech_proj!R458))</f>
        <v/>
      </c>
      <c r="S958" s="113" t="str">
        <f>IF(tech_base!$T54&gt;S$905,"",S2078+tech_proj!S1578/(1-tech_proj!S458))</f>
        <v/>
      </c>
      <c r="T958" s="113" t="str">
        <f>IF(tech_base!$T54&gt;T$905,"",T2078+tech_proj!T1578/(1-tech_proj!T458))</f>
        <v/>
      </c>
      <c r="U958" s="113" t="str">
        <f>IF(tech_base!$T54&gt;U$905,"",U2078+tech_proj!U1578/(1-tech_proj!U458))</f>
        <v/>
      </c>
      <c r="V958" s="113" t="str">
        <f>IF(tech_base!$T54&gt;V$905,"",V2078+tech_proj!V1578/(1-tech_proj!V458))</f>
        <v/>
      </c>
      <c r="W958" s="113" t="str">
        <f>IF(tech_base!$T54&gt;W$905,"",W2078+tech_proj!W1578/(1-tech_proj!W458))</f>
        <v/>
      </c>
      <c r="X958" s="113" t="str">
        <f>IF(tech_base!$T54&gt;X$905,"",X2078+tech_proj!X1578/(1-tech_proj!X458))</f>
        <v/>
      </c>
      <c r="Y958" s="113" t="str">
        <f>IF(tech_base!$T54&gt;Y$905,"",Y2078+tech_proj!Y1578/(1-tech_proj!Y458))</f>
        <v/>
      </c>
      <c r="Z958" s="113" t="str">
        <f>IF(tech_base!$T54&gt;Z$905,"",Z2078+tech_proj!Z1578/(1-tech_proj!Z458))</f>
        <v/>
      </c>
      <c r="AA958" s="113" t="str">
        <f>IF(tech_base!$T54&gt;AA$905,"",AA2078+tech_proj!AA1578/(1-tech_proj!AA458))</f>
        <v/>
      </c>
      <c r="AB958" s="113" t="str">
        <f>IF(tech_base!$T54&gt;AB$905,"",AB2078+tech_proj!AB1578/(1-tech_proj!AB458))</f>
        <v/>
      </c>
      <c r="AC958" s="113" t="str">
        <f>IF(tech_base!$T54&gt;AC$905,"",AC2078+tech_proj!AC1578/(1-tech_proj!AC458))</f>
        <v/>
      </c>
      <c r="AD958" s="113" t="str">
        <f>IF(tech_base!$T54&gt;AD$905,"",AD2078+tech_proj!AD1578/(1-tech_proj!AD458))</f>
        <v/>
      </c>
      <c r="AE958" s="113">
        <f>IF(tech_base!$T54&gt;AE$905,"",AE2078+tech_proj!AE1578/(1-tech_proj!AE458))</f>
        <v>39.722441637155299</v>
      </c>
      <c r="AF958" s="113">
        <f>IF(tech_base!$T54&gt;AF$905,"",AF2078+tech_proj!AF1578/(1-tech_proj!AF458))</f>
        <v>39.839128296328418</v>
      </c>
      <c r="AG958" s="113">
        <f>IF(tech_base!$T54&gt;AG$905,"",AG2078+tech_proj!AG1578/(1-tech_proj!AG458))</f>
        <v>39.955323354623651</v>
      </c>
      <c r="AH958" s="113">
        <f>IF(tech_base!$T54&gt;AH$905,"",AH2078+tech_proj!AH1578/(1-tech_proj!AH458))</f>
        <v>40.070820499792667</v>
      </c>
      <c r="AI958" s="113">
        <f>IF(tech_base!$T54&gt;AI$905,"",AI2078+tech_proj!AI1578/(1-tech_proj!AI458))</f>
        <v>40.185327262760396</v>
      </c>
      <c r="AJ958" s="113">
        <f>IF(tech_base!$T54&gt;AJ$905,"",AJ2078+tech_proj!AJ1578/(1-tech_proj!AJ458))</f>
        <v>40.30078611428381</v>
      </c>
      <c r="AK958" s="113">
        <f>IF(tech_base!$T54&gt;AK$905,"",AK2078+tech_proj!AK1578/(1-tech_proj!AK458))</f>
        <v>40.414254361932549</v>
      </c>
      <c r="AL958" s="113">
        <f>IF(tech_base!$T54&gt;AL$905,"",AL2078+tech_proj!AL1578/(1-tech_proj!AL458))</f>
        <v>40.524905360289317</v>
      </c>
      <c r="AM958" s="113">
        <f>IF(tech_base!$T54&gt;AM$905,"",AM2078+tech_proj!AM1578/(1-tech_proj!AM458))</f>
        <v>40.631576102215909</v>
      </c>
      <c r="AN958" s="113">
        <f>IF(tech_base!$T54&gt;AN$905,"",AN2078+tech_proj!AN1578/(1-tech_proj!AN458))</f>
        <v>40.732637300061114</v>
      </c>
      <c r="AO958" s="113">
        <f>IF(tech_base!$T54&gt;AO$905,"",AO2078+tech_proj!AO1578/(1-tech_proj!AO458))</f>
        <v>40.828221786482409</v>
      </c>
      <c r="AP958" s="113">
        <f>IF(tech_base!$T54&gt;AP$905,"",AP2078+tech_proj!AP1578/(1-tech_proj!AP458))</f>
        <v>40.912794035995965</v>
      </c>
      <c r="AQ958" s="113">
        <f>IF(tech_base!$T54&gt;AQ$905,"",AQ2078+tech_proj!AQ1578/(1-tech_proj!AQ458))</f>
        <v>40.982083128680259</v>
      </c>
      <c r="AR958" s="113">
        <f>IF(tech_base!$T54&gt;AR$905,"",AR2078+tech_proj!AR1578/(1-tech_proj!AR458))</f>
        <v>41.030370120543267</v>
      </c>
      <c r="AS958" s="113">
        <f>IF(tech_base!$T54&gt;AS$905,"",AS2078+tech_proj!AS1578/(1-tech_proj!AS458))</f>
        <v>41.050195581368172</v>
      </c>
      <c r="AT958" s="113">
        <f>IF(tech_base!$T54&gt;AT$905,"",AT2078+tech_proj!AT1578/(1-tech_proj!AT458))</f>
        <v>41.034638774635347</v>
      </c>
      <c r="AU958" s="113">
        <f>IF(tech_base!$T54&gt;AU$905,"",AU2078+tech_proj!AU1578/(1-tech_proj!AU458))</f>
        <v>40.970189000381183</v>
      </c>
      <c r="AV958" s="113">
        <f>IF(tech_base!$T54&gt;AV$905,"",AV2078+tech_proj!AV1578/(1-tech_proj!AV458))</f>
        <v>40.844962243934702</v>
      </c>
      <c r="AW958" s="113">
        <f>IF(tech_base!$T54&gt;AW$905,"",AW2078+tech_proj!AW1578/(1-tech_proj!AW458))</f>
        <v>40.648247326052747</v>
      </c>
      <c r="AX958" s="114">
        <f>IF(tech_base!$T54&gt;AX$905,"",AX2078+tech_proj!AX1578/(1-tech_proj!AX458))</f>
        <v>40.373857035193851</v>
      </c>
    </row>
    <row r="959" spans="1:50" x14ac:dyDescent="0.25">
      <c r="A959" s="356"/>
      <c r="B959" s="358" t="s">
        <v>17</v>
      </c>
      <c r="C959" s="353" t="s">
        <v>6</v>
      </c>
      <c r="D959" s="3" t="s">
        <v>7</v>
      </c>
      <c r="E959" s="162" t="str">
        <f>A951&amp;"/"&amp;B959&amp;"/"&amp;C959&amp;"/"&amp;D959</f>
        <v>Lignite fired power plants/Supercritical steam turbine/Electricity only/L</v>
      </c>
      <c r="F959" s="77" t="str">
        <f>A951</f>
        <v>Lignite fired power plants</v>
      </c>
      <c r="G959" s="77" t="str">
        <f>B959</f>
        <v>Supercritical steam turbine</v>
      </c>
      <c r="H959" s="77" t="str">
        <f>C959</f>
        <v>Electricity only</v>
      </c>
      <c r="I959" s="163" t="str">
        <f t="shared" si="367"/>
        <v>L</v>
      </c>
      <c r="J959" s="107">
        <f>IF(tech_base!$T55&gt;J$905,"",J2079+tech_proj!J1579/(1-tech_proj!J459))</f>
        <v>21.705886561530832</v>
      </c>
      <c r="K959" s="107">
        <f>IF(tech_base!$T55&gt;K$905,"",K2079+tech_proj!K1579/(1-tech_proj!K459))</f>
        <v>21.718351746594159</v>
      </c>
      <c r="L959" s="107">
        <f>IF(tech_base!$T55&gt;L$905,"",L2079+tech_proj!L1579/(1-tech_proj!L459))</f>
        <v>21.730728280305218</v>
      </c>
      <c r="M959" s="107">
        <f>IF(tech_base!$T55&gt;M$905,"",M2079+tech_proj!M1579/(1-tech_proj!M459))</f>
        <v>21.742996680943143</v>
      </c>
      <c r="N959" s="107">
        <f>IF(tech_base!$T55&gt;N$905,"",N2079+tech_proj!N1579/(1-tech_proj!N459))</f>
        <v>21.755133233203306</v>
      </c>
      <c r="O959" s="107">
        <f>IF(tech_base!$T55&gt;O$905,"",O2079+tech_proj!O1579/(1-tech_proj!O459))</f>
        <v>21.76710909157341</v>
      </c>
      <c r="P959" s="107">
        <f>IF(tech_base!$T55&gt;P$905,"",P2079+tech_proj!P1579/(1-tech_proj!P459))</f>
        <v>21.83646698946578</v>
      </c>
      <c r="Q959" s="107">
        <f>IF(tech_base!$T55&gt;Q$905,"",Q2079+tech_proj!Q1579/(1-tech_proj!Q459))</f>
        <v>21.905583243035466</v>
      </c>
      <c r="R959" s="107">
        <f>IF(tech_base!$T55&gt;R$905,"",R2079+tech_proj!R1579/(1-tech_proj!R459))</f>
        <v>21.974405199941042</v>
      </c>
      <c r="S959" s="107">
        <f>IF(tech_base!$T55&gt;S$905,"",S2079+tech_proj!S1579/(1-tech_proj!S459))</f>
        <v>22.042869085401978</v>
      </c>
      <c r="T959" s="107">
        <f>IF(tech_base!$T55&gt;T$905,"",T2079+tech_proj!T1579/(1-tech_proj!T459))</f>
        <v>22.110897823906736</v>
      </c>
      <c r="U959" s="107">
        <f>IF(tech_base!$T55&gt;U$905,"",U2079+tech_proj!U1579/(1-tech_proj!U459))</f>
        <v>22.179807055456411</v>
      </c>
      <c r="V959" s="107">
        <f>IF(tech_base!$T55&gt;V$905,"",V2079+tech_proj!V1579/(1-tech_proj!V459))</f>
        <v>22.248076434061883</v>
      </c>
      <c r="W959" s="107">
        <f>IF(tech_base!$T55&gt;W$905,"",W2079+tech_proj!W1579/(1-tech_proj!W459))</f>
        <v>22.31557239803778</v>
      </c>
      <c r="X959" s="107">
        <f>IF(tech_base!$T55&gt;X$905,"",X2079+tech_proj!X1579/(1-tech_proj!X459))</f>
        <v>22.382135981639035</v>
      </c>
      <c r="Y959" s="107">
        <f>IF(tech_base!$T55&gt;Y$905,"",Y2079+tech_proj!Y1579/(1-tech_proj!Y459))</f>
        <v>22.447579179617748</v>
      </c>
      <c r="Z959" s="107">
        <f>IF(tech_base!$T55&gt;Z$905,"",Z2079+tech_proj!Z1579/(1-tech_proj!Z459))</f>
        <v>22.513117246915357</v>
      </c>
      <c r="AA959" s="107">
        <f>IF(tech_base!$T55&gt;AA$905,"",AA2079+tech_proj!AA1579/(1-tech_proj!AA459))</f>
        <v>22.577057452785773</v>
      </c>
      <c r="AB959" s="107">
        <f>IF(tech_base!$T55&gt;AB$905,"",AB2079+tech_proj!AB1579/(1-tech_proj!AB459))</f>
        <v>22.639105548304926</v>
      </c>
      <c r="AC959" s="107">
        <f>IF(tech_base!$T55&gt;AC$905,"",AC2079+tech_proj!AC1579/(1-tech_proj!AC459))</f>
        <v>22.698929225537125</v>
      </c>
      <c r="AD959" s="107">
        <f>IF(tech_base!$T55&gt;AD$905,"",AD2079+tech_proj!AD1579/(1-tech_proj!AD459))</f>
        <v>22.75616083707704</v>
      </c>
      <c r="AE959" s="107">
        <f>IF(tech_base!$T55&gt;AE$905,"",AE2079+tech_proj!AE1579/(1-tech_proj!AE459))</f>
        <v>22.811866923425093</v>
      </c>
      <c r="AF959" s="107">
        <f>IF(tech_base!$T55&gt;AF$905,"",AF2079+tech_proj!AF1579/(1-tech_proj!AF459))</f>
        <v>22.86417293858258</v>
      </c>
      <c r="AG959" s="107">
        <f>IF(tech_base!$T55&gt;AG$905,"",AG2079+tech_proj!AG1579/(1-tech_proj!AG459))</f>
        <v>22.912674241202978</v>
      </c>
      <c r="AH959" s="107">
        <f>IF(tech_base!$T55&gt;AH$905,"",AH2079+tech_proj!AH1579/(1-tech_proj!AH459))</f>
        <v>22.957003698465797</v>
      </c>
      <c r="AI959" s="107">
        <f>IF(tech_base!$T55&gt;AI$905,"",AI2079+tech_proj!AI1579/(1-tech_proj!AI459))</f>
        <v>22.996873437914488</v>
      </c>
      <c r="AJ959" s="107">
        <f>IF(tech_base!$T55&gt;AJ$905,"",AJ2079+tech_proj!AJ1579/(1-tech_proj!AJ459))</f>
        <v>23.03361322131191</v>
      </c>
      <c r="AK959" s="107">
        <f>IF(tech_base!$T55&gt;AK$905,"",AK2079+tech_proj!AK1579/(1-tech_proj!AK459))</f>
        <v>23.065765701035417</v>
      </c>
      <c r="AL959" s="107">
        <f>IF(tech_base!$T55&gt;AL$905,"",AL2079+tech_proj!AL1579/(1-tech_proj!AL459))</f>
        <v>23.093609456180822</v>
      </c>
      <c r="AM959" s="107">
        <f>IF(tech_base!$T55&gt;AM$905,"",AM2079+tech_proj!AM1579/(1-tech_proj!AM459))</f>
        <v>23.117716150701529</v>
      </c>
      <c r="AN959" s="107">
        <f>IF(tech_base!$T55&gt;AN$905,"",AN2079+tech_proj!AN1579/(1-tech_proj!AN459))</f>
        <v>23.138971413897231</v>
      </c>
      <c r="AO959" s="107">
        <f>IF(tech_base!$T55&gt;AO$905,"",AO2079+tech_proj!AO1579/(1-tech_proj!AO459))</f>
        <v>23.160064416026223</v>
      </c>
      <c r="AP959" s="107">
        <f>IF(tech_base!$T55&gt;AP$905,"",AP2079+tech_proj!AP1579/(1-tech_proj!AP459))</f>
        <v>23.180893180729768</v>
      </c>
      <c r="AQ959" s="107">
        <f>IF(tech_base!$T55&gt;AQ$905,"",AQ2079+tech_proj!AQ1579/(1-tech_proj!AQ459))</f>
        <v>23.202981493386389</v>
      </c>
      <c r="AR959" s="107">
        <f>IF(tech_base!$T55&gt;AR$905,"",AR2079+tech_proj!AR1579/(1-tech_proj!AR459))</f>
        <v>23.227818884300873</v>
      </c>
      <c r="AS959" s="107">
        <f>IF(tech_base!$T55&gt;AS$905,"",AS2079+tech_proj!AS1579/(1-tech_proj!AS459))</f>
        <v>23.25670502466329</v>
      </c>
      <c r="AT959" s="107">
        <f>IF(tech_base!$T55&gt;AT$905,"",AT2079+tech_proj!AT1579/(1-tech_proj!AT459))</f>
        <v>23.292148292939544</v>
      </c>
      <c r="AU959" s="107">
        <f>IF(tech_base!$T55&gt;AU$905,"",AU2079+tech_proj!AU1579/(1-tech_proj!AU459))</f>
        <v>23.333195887222018</v>
      </c>
      <c r="AV959" s="107">
        <f>IF(tech_base!$T55&gt;AV$905,"",AV2079+tech_proj!AV1579/(1-tech_proj!AV459))</f>
        <v>23.380014294258338</v>
      </c>
      <c r="AW959" s="107">
        <f>IF(tech_base!$T55&gt;AW$905,"",AW2079+tech_proj!AW1579/(1-tech_proj!AW459))</f>
        <v>23.432403861594846</v>
      </c>
      <c r="AX959" s="108">
        <f>IF(tech_base!$T55&gt;AX$905,"",AX2079+tech_proj!AX1579/(1-tech_proj!AX459))</f>
        <v>23.489887997729316</v>
      </c>
    </row>
    <row r="960" spans="1:50" x14ac:dyDescent="0.25">
      <c r="A960" s="356"/>
      <c r="B960" s="376"/>
      <c r="C960" s="379"/>
      <c r="D960" s="2" t="s">
        <v>8</v>
      </c>
      <c r="E960" s="160" t="str">
        <f>A951&amp;"/"&amp;B959&amp;"/"&amp;C959&amp;"/"&amp;D960</f>
        <v>Lignite fired power plants/Supercritical steam turbine/Electricity only/M</v>
      </c>
      <c r="F960" s="76" t="str">
        <f>A951</f>
        <v>Lignite fired power plants</v>
      </c>
      <c r="G960" s="76" t="str">
        <f>B959</f>
        <v>Supercritical steam turbine</v>
      </c>
      <c r="H960" s="76" t="str">
        <f>C959</f>
        <v>Electricity only</v>
      </c>
      <c r="I960" s="161" t="str">
        <f t="shared" si="367"/>
        <v>M</v>
      </c>
      <c r="J960" s="105">
        <f>IF(tech_base!$T56&gt;J$905,"",J2080+tech_proj!J1580/(1-tech_proj!J460))</f>
        <v>23.032309793154774</v>
      </c>
      <c r="K960" s="105">
        <f>IF(tech_base!$T56&gt;K$905,"",K2080+tech_proj!K1580/(1-tech_proj!K460))</f>
        <v>23.045074438791218</v>
      </c>
      <c r="L960" s="105">
        <f>IF(tech_base!$T56&gt;L$905,"",L2080+tech_proj!L1580/(1-tech_proj!L460))</f>
        <v>23.057688707755105</v>
      </c>
      <c r="M960" s="105">
        <f>IF(tech_base!$T56&gt;M$905,"",M2080+tech_proj!M1580/(1-tech_proj!M460))</f>
        <v>23.070124188094777</v>
      </c>
      <c r="N960" s="105">
        <f>IF(tech_base!$T56&gt;N$905,"",N2080+tech_proj!N1580/(1-tech_proj!N460))</f>
        <v>23.082347189763684</v>
      </c>
      <c r="O960" s="105">
        <f>IF(tech_base!$T56&gt;O$905,"",O2080+tech_proj!O1580/(1-tech_proj!O460))</f>
        <v>23.094317801682593</v>
      </c>
      <c r="P960" s="105">
        <f>IF(tech_base!$T56&gt;P$905,"",P2080+tech_proj!P1580/(1-tech_proj!P460))</f>
        <v>23.166638606429977</v>
      </c>
      <c r="Q960" s="105">
        <f>IF(tech_base!$T56&gt;Q$905,"",Q2080+tech_proj!Q1580/(1-tech_proj!Q460))</f>
        <v>23.238598431981693</v>
      </c>
      <c r="R960" s="105">
        <f>IF(tech_base!$T56&gt;R$905,"",R2080+tech_proj!R1580/(1-tech_proj!R460))</f>
        <v>23.310129865058617</v>
      </c>
      <c r="S960" s="105">
        <f>IF(tech_base!$T56&gt;S$905,"",S2080+tech_proj!S1580/(1-tech_proj!S460))</f>
        <v>23.381153415174772</v>
      </c>
      <c r="T960" s="105">
        <f>IF(tech_base!$T56&gt;T$905,"",T2080+tech_proj!T1580/(1-tech_proj!T460))</f>
        <v>23.451575564060576</v>
      </c>
      <c r="U960" s="105">
        <f>IF(tech_base!$T56&gt;U$905,"",U2080+tech_proj!U1580/(1-tech_proj!U460))</f>
        <v>23.52277011891254</v>
      </c>
      <c r="V960" s="105">
        <f>IF(tech_base!$T56&gt;V$905,"",V2080+tech_proj!V1580/(1-tech_proj!V460))</f>
        <v>23.593124919672167</v>
      </c>
      <c r="W960" s="105">
        <f>IF(tech_base!$T56&gt;W$905,"",W2080+tech_proj!W1580/(1-tech_proj!W460))</f>
        <v>23.662490417424593</v>
      </c>
      <c r="X960" s="105">
        <f>IF(tech_base!$T56&gt;X$905,"",X2080+tech_proj!X1580/(1-tech_proj!X460))</f>
        <v>23.730693232882871</v>
      </c>
      <c r="Y960" s="105">
        <f>IF(tech_base!$T56&gt;Y$905,"",Y2080+tech_proj!Y1580/(1-tech_proj!Y460))</f>
        <v>23.797533510372705</v>
      </c>
      <c r="Z960" s="105">
        <f>IF(tech_base!$T56&gt;Z$905,"",Z2080+tech_proj!Z1580/(1-tech_proj!Z460))</f>
        <v>23.864294504587022</v>
      </c>
      <c r="AA960" s="105">
        <f>IF(tech_base!$T56&gt;AA$905,"",AA2080+tech_proj!AA1580/(1-tech_proj!AA460))</f>
        <v>23.929203778208013</v>
      </c>
      <c r="AB960" s="105">
        <f>IF(tech_base!$T56&gt;AB$905,"",AB2080+tech_proj!AB1580/(1-tech_proj!AB460))</f>
        <v>23.991969476430874</v>
      </c>
      <c r="AC960" s="105">
        <f>IF(tech_base!$T56&gt;AC$905,"",AC2080+tech_proj!AC1580/(1-tech_proj!AC460))</f>
        <v>24.052267963274048</v>
      </c>
      <c r="AD960" s="105">
        <f>IF(tech_base!$T56&gt;AD$905,"",AD2080+tech_proj!AD1580/(1-tech_proj!AD460))</f>
        <v>24.109746105465113</v>
      </c>
      <c r="AE960" s="105">
        <f>IF(tech_base!$T56&gt;AE$905,"",AE2080+tech_proj!AE1580/(1-tech_proj!AE460))</f>
        <v>24.165566007760585</v>
      </c>
      <c r="AF960" s="105">
        <f>IF(tech_base!$T56&gt;AF$905,"",AF2080+tech_proj!AF1580/(1-tech_proj!AF460))</f>
        <v>24.217793487864025</v>
      </c>
      <c r="AG960" s="105">
        <f>IF(tech_base!$T56&gt;AG$905,"",AG2080+tech_proj!AG1580/(1-tech_proj!AG460))</f>
        <v>24.266033514667303</v>
      </c>
      <c r="AH960" s="105">
        <f>IF(tech_base!$T56&gt;AH$905,"",AH2080+tech_proj!AH1580/(1-tech_proj!AH460))</f>
        <v>24.309908742756949</v>
      </c>
      <c r="AI960" s="105">
        <f>IF(tech_base!$T56&gt;AI$905,"",AI2080+tech_proj!AI1580/(1-tech_proj!AI460))</f>
        <v>24.349085347235469</v>
      </c>
      <c r="AJ960" s="105">
        <f>IF(tech_base!$T56&gt;AJ$905,"",AJ2080+tech_proj!AJ1580/(1-tech_proj!AJ460))</f>
        <v>24.384870131494832</v>
      </c>
      <c r="AK960" s="105">
        <f>IF(tech_base!$T56&gt;AK$905,"",AK2080+tech_proj!AK1580/(1-tech_proj!AK460))</f>
        <v>24.415550571593787</v>
      </c>
      <c r="AL960" s="105">
        <f>IF(tech_base!$T56&gt;AL$905,"",AL2080+tech_proj!AL1580/(1-tech_proj!AL460))</f>
        <v>24.441136008218145</v>
      </c>
      <c r="AM960" s="105">
        <f>IF(tech_base!$T56&gt;AM$905,"",AM2080+tech_proj!AM1580/(1-tech_proj!AM460))</f>
        <v>24.461830119060895</v>
      </c>
      <c r="AN960" s="105">
        <f>IF(tech_base!$T56&gt;AN$905,"",AN2080+tech_proj!AN1580/(1-tech_proj!AN460))</f>
        <v>24.478064223089191</v>
      </c>
      <c r="AO960" s="105">
        <f>IF(tech_base!$T56&gt;AO$905,"",AO2080+tech_proj!AO1580/(1-tech_proj!AO460))</f>
        <v>24.492103481417942</v>
      </c>
      <c r="AP960" s="105">
        <f>IF(tech_base!$T56&gt;AP$905,"",AP2080+tech_proj!AP1580/(1-tech_proj!AP460))</f>
        <v>24.503281312176718</v>
      </c>
      <c r="AQ960" s="105">
        <f>IF(tech_base!$T56&gt;AQ$905,"",AQ2080+tech_proj!AQ1580/(1-tech_proj!AQ460))</f>
        <v>24.512740436699115</v>
      </c>
      <c r="AR960" s="105">
        <f>IF(tech_base!$T56&gt;AR$905,"",AR2080+tech_proj!AR1580/(1-tech_proj!AR460))</f>
        <v>24.521785773406798</v>
      </c>
      <c r="AS960" s="105">
        <f>IF(tech_base!$T56&gt;AS$905,"",AS2080+tech_proj!AS1580/(1-tech_proj!AS460))</f>
        <v>24.531802692209332</v>
      </c>
      <c r="AT960" s="105">
        <f>IF(tech_base!$T56&gt;AT$905,"",AT2080+tech_proj!AT1580/(1-tech_proj!AT460))</f>
        <v>24.545764990431859</v>
      </c>
      <c r="AU960" s="105">
        <f>IF(tech_base!$T56&gt;AU$905,"",AU2080+tech_proj!AU1580/(1-tech_proj!AU460))</f>
        <v>24.563309390537597</v>
      </c>
      <c r="AV960" s="105">
        <f>IF(tech_base!$T56&gt;AV$905,"",AV2080+tech_proj!AV1580/(1-tech_proj!AV460))</f>
        <v>24.585474159143914</v>
      </c>
      <c r="AW960" s="105">
        <f>IF(tech_base!$T56&gt;AW$905,"",AW2080+tech_proj!AW1580/(1-tech_proj!AW460))</f>
        <v>24.61302321780504</v>
      </c>
      <c r="AX960" s="106">
        <f>IF(tech_base!$T56&gt;AX$905,"",AX2080+tech_proj!AX1580/(1-tech_proj!AX460))</f>
        <v>24.646414909882242</v>
      </c>
    </row>
    <row r="961" spans="1:50" x14ac:dyDescent="0.25">
      <c r="A961" s="356"/>
      <c r="B961" s="376"/>
      <c r="C961" s="361" t="s">
        <v>14</v>
      </c>
      <c r="D961" s="58" t="s">
        <v>7</v>
      </c>
      <c r="E961" s="164" t="str">
        <f>A951&amp;"/"&amp;B959&amp;"/"&amp;C961&amp;"/"&amp;D961</f>
        <v>Lignite fired power plants/Supercritical steam turbine/CHP/L</v>
      </c>
      <c r="F961" s="78" t="str">
        <f>A951</f>
        <v>Lignite fired power plants</v>
      </c>
      <c r="G961" s="78" t="str">
        <f>B959</f>
        <v>Supercritical steam turbine</v>
      </c>
      <c r="H961" s="78" t="str">
        <f>C961</f>
        <v>CHP</v>
      </c>
      <c r="I961" s="165" t="str">
        <f t="shared" si="367"/>
        <v>L</v>
      </c>
      <c r="J961" s="109">
        <f>IF(tech_base!$T57&gt;J$905,"",J2081+tech_proj!J1581/(1-tech_proj!J461))</f>
        <v>24.551200083857296</v>
      </c>
      <c r="K961" s="109">
        <f>IF(tech_base!$T57&gt;K$905,"",K2081+tech_proj!K1581/(1-tech_proj!K461))</f>
        <v>24.565043831625758</v>
      </c>
      <c r="L961" s="109">
        <f>IF(tech_base!$T57&gt;L$905,"",L2081+tech_proj!L1581/(1-tech_proj!L461))</f>
        <v>24.578798817087037</v>
      </c>
      <c r="M961" s="109">
        <f>IF(tech_base!$T57&gt;M$905,"",M2081+tech_proj!M1581/(1-tech_proj!M461))</f>
        <v>24.592445537213823</v>
      </c>
      <c r="N961" s="109">
        <f>IF(tech_base!$T57&gt;N$905,"",N2081+tech_proj!N1581/(1-tech_proj!N461))</f>
        <v>24.60596025174279</v>
      </c>
      <c r="O961" s="109">
        <f>IF(tech_base!$T57&gt;O$905,"",O2081+tech_proj!O1581/(1-tech_proj!O461))</f>
        <v>24.619314086141614</v>
      </c>
      <c r="P961" s="109">
        <f>IF(tech_base!$T57&gt;P$905,"",P2081+tech_proj!P1581/(1-tech_proj!P461))</f>
        <v>24.696222561753515</v>
      </c>
      <c r="Q961" s="109">
        <f>IF(tech_base!$T57&gt;Q$905,"",Q2081+tech_proj!Q1581/(1-tech_proj!Q461))</f>
        <v>24.772889347901369</v>
      </c>
      <c r="R961" s="109">
        <f>IF(tech_base!$T57&gt;R$905,"",R2081+tech_proj!R1581/(1-tech_proj!R461))</f>
        <v>24.849261819654078</v>
      </c>
      <c r="S961" s="109">
        <f>IF(tech_base!$T57&gt;S$905,"",S2081+tech_proj!S1581/(1-tech_proj!S461))</f>
        <v>24.925276245978285</v>
      </c>
      <c r="T961" s="109">
        <f>IF(tech_base!$T57&gt;T$905,"",T2081+tech_proj!T1581/(1-tech_proj!T461))</f>
        <v>25.000855618199129</v>
      </c>
      <c r="U961" s="109">
        <f>IF(tech_base!$T57&gt;U$905,"",U2081+tech_proj!U1581/(1-tech_proj!U461))</f>
        <v>25.077466736489889</v>
      </c>
      <c r="V961" s="109">
        <f>IF(tech_base!$T57&gt;V$905,"",V2081+tech_proj!V1581/(1-tech_proj!V461))</f>
        <v>25.153438352153099</v>
      </c>
      <c r="W961" s="109">
        <f>IF(tech_base!$T57&gt;W$905,"",W2081+tech_proj!W1581/(1-tech_proj!W461))</f>
        <v>25.228637114804819</v>
      </c>
      <c r="X961" s="109">
        <f>IF(tech_base!$T57&gt;X$905,"",X2081+tech_proj!X1581/(1-tech_proj!X461))</f>
        <v>25.302904357320045</v>
      </c>
      <c r="Y961" s="109">
        <f>IF(tech_base!$T57&gt;Y$905,"",Y2081+tech_proj!Y1581/(1-tech_proj!Y461))</f>
        <v>25.376052492486032</v>
      </c>
      <c r="Z961" s="109">
        <f>IF(tech_base!$T57&gt;Z$905,"",Z2081+tech_proj!Z1581/(1-tech_proj!Z461))</f>
        <v>25.449451491946814</v>
      </c>
      <c r="AA961" s="109">
        <f>IF(tech_base!$T57&gt;AA$905,"",AA2081+tech_proj!AA1581/(1-tech_proj!AA461))</f>
        <v>25.5212553244444</v>
      </c>
      <c r="AB961" s="109">
        <f>IF(tech_base!$T57&gt;AB$905,"",AB2081+tech_proj!AB1581/(1-tech_proj!AB461))</f>
        <v>25.591170842712664</v>
      </c>
      <c r="AC961" s="109">
        <f>IF(tech_base!$T57&gt;AC$905,"",AC2081+tech_proj!AC1581/(1-tech_proj!AC461))</f>
        <v>25.658867226626445</v>
      </c>
      <c r="AD961" s="109">
        <f>IF(tech_base!$T57&gt;AD$905,"",AD2081+tech_proj!AD1581/(1-tech_proj!AD461))</f>
        <v>25.723978815177603</v>
      </c>
      <c r="AE961" s="109">
        <f>IF(tech_base!$T57&gt;AE$905,"",AE2081+tech_proj!AE1581/(1-tech_proj!AE461))</f>
        <v>25.787732123892944</v>
      </c>
      <c r="AF961" s="109">
        <f>IF(tech_base!$T57&gt;AF$905,"",AF2081+tech_proj!AF1581/(1-tech_proj!AF461))</f>
        <v>25.848098721504385</v>
      </c>
      <c r="AG961" s="109">
        <f>IF(tech_base!$T57&gt;AG$905,"",AG2081+tech_proj!AG1581/(1-tech_proj!AG461))</f>
        <v>25.90467826894719</v>
      </c>
      <c r="AH961" s="109">
        <f>IF(tech_base!$T57&gt;AH$905,"",AH2081+tech_proj!AH1581/(1-tech_proj!AH461))</f>
        <v>25.957108917949654</v>
      </c>
      <c r="AI961" s="109">
        <f>IF(tech_base!$T57&gt;AI$905,"",AI2081+tech_proj!AI1581/(1-tech_proj!AI461))</f>
        <v>26.005109047100753</v>
      </c>
      <c r="AJ961" s="109">
        <f>IF(tech_base!$T57&gt;AJ$905,"",AJ2081+tech_proj!AJ1581/(1-tech_proj!AJ461))</f>
        <v>26.050176284786144</v>
      </c>
      <c r="AK961" s="109">
        <f>IF(tech_base!$T57&gt;AK$905,"",AK2081+tech_proj!AK1581/(1-tech_proj!AK461))</f>
        <v>26.090700014734811</v>
      </c>
      <c r="AL961" s="109">
        <f>IF(tech_base!$T57&gt;AL$905,"",AL2081+tech_proj!AL1581/(1-tech_proj!AL461))</f>
        <v>26.126965807492692</v>
      </c>
      <c r="AM961" s="109">
        <f>IF(tech_base!$T57&gt;AM$905,"",AM2081+tech_proj!AM1581/(1-tech_proj!AM461))</f>
        <v>26.159550816182346</v>
      </c>
      <c r="AN961" s="109">
        <f>IF(tech_base!$T57&gt;AN$905,"",AN2081+tech_proj!AN1581/(1-tech_proj!AN461))</f>
        <v>26.18934333544604</v>
      </c>
      <c r="AO961" s="109">
        <f>IF(tech_base!$T57&gt;AO$905,"",AO2081+tech_proj!AO1581/(1-tech_proj!AO461))</f>
        <v>26.219195705064941</v>
      </c>
      <c r="AP961" s="109">
        <f>IF(tech_base!$T57&gt;AP$905,"",AP2081+tech_proj!AP1581/(1-tech_proj!AP461))</f>
        <v>26.248835018624284</v>
      </c>
      <c r="AQ961" s="109">
        <f>IF(tech_base!$T57&gt;AQ$905,"",AQ2081+tech_proj!AQ1581/(1-tech_proj!AQ461))</f>
        <v>26.279773247025865</v>
      </c>
      <c r="AR961" s="109">
        <f>IF(tech_base!$T57&gt;AR$905,"",AR2081+tech_proj!AR1581/(1-tech_proj!AR461))</f>
        <v>26.313483723262372</v>
      </c>
      <c r="AS961" s="109">
        <f>IF(tech_base!$T57&gt;AS$905,"",AS2081+tech_proj!AS1581/(1-tech_proj!AS461))</f>
        <v>26.351247445913643</v>
      </c>
      <c r="AT961" s="109">
        <f>IF(tech_base!$T57&gt;AT$905,"",AT2081+tech_proj!AT1581/(1-tech_proj!AT461))</f>
        <v>26.395722771704008</v>
      </c>
      <c r="AU961" s="109">
        <f>IF(tech_base!$T57&gt;AU$905,"",AU2081+tech_proj!AU1581/(1-tech_proj!AU461))</f>
        <v>26.445772472661293</v>
      </c>
      <c r="AV961" s="109">
        <f>IF(tech_base!$T57&gt;AV$905,"",AV2081+tech_proj!AV1581/(1-tech_proj!AV461))</f>
        <v>26.501551380934355</v>
      </c>
      <c r="AW961" s="109">
        <f>IF(tech_base!$T57&gt;AW$905,"",AW2081+tech_proj!AW1581/(1-tech_proj!AW461))</f>
        <v>26.562853411268343</v>
      </c>
      <c r="AX961" s="110">
        <f>IF(tech_base!$T57&gt;AX$905,"",AX2081+tech_proj!AX1581/(1-tech_proj!AX461))</f>
        <v>26.629200502825935</v>
      </c>
    </row>
    <row r="962" spans="1:50" x14ac:dyDescent="0.25">
      <c r="A962" s="356"/>
      <c r="B962" s="376"/>
      <c r="C962" s="379"/>
      <c r="D962" s="59" t="s">
        <v>8</v>
      </c>
      <c r="E962" s="166" t="str">
        <f>A951&amp;"/"&amp;B959&amp;"/"&amp;C961&amp;"/"&amp;D962</f>
        <v>Lignite fired power plants/Supercritical steam turbine/CHP/M</v>
      </c>
      <c r="F962" s="79" t="str">
        <f>A951</f>
        <v>Lignite fired power plants</v>
      </c>
      <c r="G962" s="79" t="str">
        <f>B959</f>
        <v>Supercritical steam turbine</v>
      </c>
      <c r="H962" s="79" t="str">
        <f>C961</f>
        <v>CHP</v>
      </c>
      <c r="I962" s="167" t="str">
        <f t="shared" si="367"/>
        <v>M</v>
      </c>
      <c r="J962" s="111">
        <f>IF(tech_base!$T58&gt;J$905,"",J2082+tech_proj!J1582/(1-tech_proj!J462))</f>
        <v>26.033252975400686</v>
      </c>
      <c r="K962" s="111">
        <f>IF(tech_base!$T58&gt;K$905,"",K2082+tech_proj!K1582/(1-tech_proj!K462))</f>
        <v>26.047437810839252</v>
      </c>
      <c r="L962" s="111">
        <f>IF(tech_base!$T58&gt;L$905,"",L2082+tech_proj!L1582/(1-tech_proj!L462))</f>
        <v>26.061465084673902</v>
      </c>
      <c r="M962" s="111">
        <f>IF(tech_base!$T58&gt;M$905,"",M2082+tech_proj!M1582/(1-tech_proj!M462))</f>
        <v>26.075305033202479</v>
      </c>
      <c r="N962" s="111">
        <f>IF(tech_base!$T58&gt;N$905,"",N2082+tech_proj!N1582/(1-tech_proj!N462))</f>
        <v>26.088922365209815</v>
      </c>
      <c r="O962" s="111">
        <f>IF(tech_base!$T58&gt;O$905,"",O2082+tech_proj!O1582/(1-tech_proj!O462))</f>
        <v>26.102275275049994</v>
      </c>
      <c r="P962" s="111">
        <f>IF(tech_base!$T58&gt;P$905,"",P2082+tech_proj!P1582/(1-tech_proj!P462))</f>
        <v>26.182489951416965</v>
      </c>
      <c r="Q962" s="111">
        <f>IF(tech_base!$T58&gt;Q$905,"",Q2082+tech_proj!Q1582/(1-tech_proj!Q462))</f>
        <v>26.262326822288767</v>
      </c>
      <c r="R962" s="111">
        <f>IF(tech_base!$T58&gt;R$905,"",R2082+tech_proj!R1582/(1-tech_proj!R462))</f>
        <v>26.341715388009948</v>
      </c>
      <c r="S962" s="111">
        <f>IF(tech_base!$T58&gt;S$905,"",S2082+tech_proj!S1582/(1-tech_proj!S462))</f>
        <v>26.420572533109251</v>
      </c>
      <c r="T962" s="111">
        <f>IF(tech_base!$T58&gt;T$905,"",T2082+tech_proj!T1582/(1-tech_proj!T462))</f>
        <v>26.498800493123014</v>
      </c>
      <c r="U962" s="111">
        <f>IF(tech_base!$T58&gt;U$905,"",U2082+tech_proj!U1582/(1-tech_proj!U462))</f>
        <v>26.577927804041828</v>
      </c>
      <c r="V962" s="111">
        <f>IF(tech_base!$T58&gt;V$905,"",V2082+tech_proj!V1582/(1-tech_proj!V462))</f>
        <v>26.656176857810003</v>
      </c>
      <c r="W962" s="111">
        <f>IF(tech_base!$T58&gt;W$905,"",W2082+tech_proj!W1582/(1-tech_proj!W462))</f>
        <v>26.733391431499825</v>
      </c>
      <c r="X962" s="111">
        <f>IF(tech_base!$T58&gt;X$905,"",X2082+tech_proj!X1582/(1-tech_proj!X462))</f>
        <v>26.809390463506784</v>
      </c>
      <c r="Y962" s="111">
        <f>IF(tech_base!$T58&gt;Y$905,"",Y2082+tech_proj!Y1582/(1-tech_proj!Y462))</f>
        <v>26.883965315967053</v>
      </c>
      <c r="Z962" s="111">
        <f>IF(tech_base!$T58&gt;Z$905,"",Z2082+tech_proj!Z1582/(1-tech_proj!Z462))</f>
        <v>26.958552187401011</v>
      </c>
      <c r="AA962" s="111">
        <f>IF(tech_base!$T58&gt;AA$905,"",AA2082+tech_proj!AA1582/(1-tech_proj!AA462))</f>
        <v>27.031204584666227</v>
      </c>
      <c r="AB962" s="111">
        <f>IF(tech_base!$T58&gt;AB$905,"",AB2082+tech_proj!AB1582/(1-tech_proj!AB462))</f>
        <v>27.101618285887248</v>
      </c>
      <c r="AC962" s="111">
        <f>IF(tech_base!$T58&gt;AC$905,"",AC2082+tech_proj!AC1582/(1-tech_proj!AC462))</f>
        <v>27.169456176956729</v>
      </c>
      <c r="AD962" s="111">
        <f>IF(tech_base!$T58&gt;AD$905,"",AD2082+tech_proj!AD1582/(1-tech_proj!AD462))</f>
        <v>27.234350734395321</v>
      </c>
      <c r="AE962" s="111">
        <f>IF(tech_base!$T58&gt;AE$905,"",AE2082+tech_proj!AE1582/(1-tech_proj!AE462))</f>
        <v>27.297615307205788</v>
      </c>
      <c r="AF962" s="111">
        <f>IF(tech_base!$T58&gt;AF$905,"",AF2082+tech_proj!AF1582/(1-tech_proj!AF462))</f>
        <v>27.357134544030359</v>
      </c>
      <c r="AG962" s="111">
        <f>IF(tech_base!$T58&gt;AG$905,"",AG2082+tech_proj!AG1582/(1-tech_proj!AG462))</f>
        <v>27.412499138487483</v>
      </c>
      <c r="AH962" s="111">
        <f>IF(tech_base!$T58&gt;AH$905,"",AH2082+tech_proj!AH1582/(1-tech_proj!AH462))</f>
        <v>27.463319183512986</v>
      </c>
      <c r="AI962" s="111">
        <f>IF(tech_base!$T58&gt;AI$905,"",AI2082+tech_proj!AI1582/(1-tech_proj!AI462))</f>
        <v>27.509251256953668</v>
      </c>
      <c r="AJ962" s="111">
        <f>IF(tech_base!$T58&gt;AJ$905,"",AJ2082+tech_proj!AJ1582/(1-tech_proj!AJ462))</f>
        <v>27.551766625295336</v>
      </c>
      <c r="AK962" s="111">
        <f>IF(tech_base!$T58&gt;AK$905,"",AK2082+tech_proj!AK1582/(1-tech_proj!AK462))</f>
        <v>27.588984059873219</v>
      </c>
      <c r="AL962" s="111">
        <f>IF(tech_base!$T58&gt;AL$905,"",AL2082+tech_proj!AL1582/(1-tech_proj!AL462))</f>
        <v>27.620921366842275</v>
      </c>
      <c r="AM962" s="111">
        <f>IF(tech_base!$T58&gt;AM$905,"",AM2082+tech_proj!AM1582/(1-tech_proj!AM462))</f>
        <v>27.647799587558517</v>
      </c>
      <c r="AN962" s="111">
        <f>IF(tech_base!$T58&gt;AN$905,"",AN2082+tech_proj!AN1582/(1-tech_proj!AN462))</f>
        <v>27.670077069968791</v>
      </c>
      <c r="AO962" s="111">
        <f>IF(tech_base!$T58&gt;AO$905,"",AO2082+tech_proj!AO1582/(1-tech_proj!AO462))</f>
        <v>27.690228835410803</v>
      </c>
      <c r="AP962" s="111">
        <f>IF(tech_base!$T58&gt;AP$905,"",AP2082+tech_proj!AP1582/(1-tech_proj!AP462))</f>
        <v>27.70746030427755</v>
      </c>
      <c r="AQ962" s="111">
        <f>IF(tech_base!$T58&gt;AQ$905,"",AQ2082+tech_proj!AQ1582/(1-tech_proj!AQ462))</f>
        <v>27.72296555416148</v>
      </c>
      <c r="AR962" s="111">
        <f>IF(tech_base!$T58&gt;AR$905,"",AR2082+tech_proj!AR1582/(1-tech_proj!AR462))</f>
        <v>27.738103808586324</v>
      </c>
      <c r="AS962" s="111">
        <f>IF(tech_base!$T58&gt;AS$905,"",AS2082+tech_proj!AS1582/(1-tech_proj!AS462))</f>
        <v>27.75431376795953</v>
      </c>
      <c r="AT962" s="111">
        <f>IF(tech_base!$T58&gt;AT$905,"",AT2082+tech_proj!AT1582/(1-tech_proj!AT462))</f>
        <v>27.774794565013245</v>
      </c>
      <c r="AU962" s="111">
        <f>IF(tech_base!$T58&gt;AU$905,"",AU2082+tech_proj!AU1582/(1-tech_proj!AU462))</f>
        <v>27.799045888119785</v>
      </c>
      <c r="AV962" s="111">
        <f>IF(tech_base!$T58&gt;AV$905,"",AV2082+tech_proj!AV1582/(1-tech_proj!AV462))</f>
        <v>27.828134887354658</v>
      </c>
      <c r="AW962" s="111">
        <f>IF(tech_base!$T58&gt;AW$905,"",AW2082+tech_proj!AW1582/(1-tech_proj!AW462))</f>
        <v>27.862842318133399</v>
      </c>
      <c r="AX962" s="112">
        <f>IF(tech_base!$T58&gt;AX$905,"",AX2082+tech_proj!AX1582/(1-tech_proj!AX462))</f>
        <v>27.903631587702712</v>
      </c>
    </row>
    <row r="963" spans="1:50" x14ac:dyDescent="0.25">
      <c r="A963" s="356"/>
      <c r="B963" s="376"/>
      <c r="C963" s="361" t="s">
        <v>15</v>
      </c>
      <c r="D963" s="58" t="s">
        <v>7</v>
      </c>
      <c r="E963" s="164" t="str">
        <f>A951&amp;"/"&amp;B959&amp;"/"&amp;C963&amp;"/"&amp;D963</f>
        <v>Lignite fired power plants/Supercritical steam turbine/Electricity only with CCS/L</v>
      </c>
      <c r="F963" s="78" t="str">
        <f>A951</f>
        <v>Lignite fired power plants</v>
      </c>
      <c r="G963" s="78" t="str">
        <f>B959</f>
        <v>Supercritical steam turbine</v>
      </c>
      <c r="H963" s="78" t="str">
        <f>C963</f>
        <v>Electricity only with CCS</v>
      </c>
      <c r="I963" s="165" t="str">
        <f t="shared" si="367"/>
        <v>L</v>
      </c>
      <c r="J963" s="109" t="str">
        <f>IF(tech_base!$T59&gt;J$905,"",J2083+tech_proj!J1583/(1-tech_proj!J463))</f>
        <v/>
      </c>
      <c r="K963" s="109" t="str">
        <f>IF(tech_base!$T59&gt;K$905,"",K2083+tech_proj!K1583/(1-tech_proj!K463))</f>
        <v/>
      </c>
      <c r="L963" s="109" t="str">
        <f>IF(tech_base!$T59&gt;L$905,"",L2083+tech_proj!L1583/(1-tech_proj!L463))</f>
        <v/>
      </c>
      <c r="M963" s="109" t="str">
        <f>IF(tech_base!$T59&gt;M$905,"",M2083+tech_proj!M1583/(1-tech_proj!M463))</f>
        <v/>
      </c>
      <c r="N963" s="109" t="str">
        <f>IF(tech_base!$T59&gt;N$905,"",N2083+tech_proj!N1583/(1-tech_proj!N463))</f>
        <v/>
      </c>
      <c r="O963" s="109" t="str">
        <f>IF(tech_base!$T59&gt;O$905,"",O2083+tech_proj!O1583/(1-tech_proj!O463))</f>
        <v/>
      </c>
      <c r="P963" s="109" t="str">
        <f>IF(tech_base!$T59&gt;P$905,"",P2083+tech_proj!P1583/(1-tech_proj!P463))</f>
        <v/>
      </c>
      <c r="Q963" s="109" t="str">
        <f>IF(tech_base!$T59&gt;Q$905,"",Q2083+tech_proj!Q1583/(1-tech_proj!Q463))</f>
        <v/>
      </c>
      <c r="R963" s="109" t="str">
        <f>IF(tech_base!$T59&gt;R$905,"",R2083+tech_proj!R1583/(1-tech_proj!R463))</f>
        <v/>
      </c>
      <c r="S963" s="109" t="str">
        <f>IF(tech_base!$T59&gt;S$905,"",S2083+tech_proj!S1583/(1-tech_proj!S463))</f>
        <v/>
      </c>
      <c r="T963" s="109" t="str">
        <f>IF(tech_base!$T59&gt;T$905,"",T2083+tech_proj!T1583/(1-tech_proj!T463))</f>
        <v/>
      </c>
      <c r="U963" s="109" t="str">
        <f>IF(tech_base!$T59&gt;U$905,"",U2083+tech_proj!U1583/(1-tech_proj!U463))</f>
        <v/>
      </c>
      <c r="V963" s="109" t="str">
        <f>IF(tech_base!$T59&gt;V$905,"",V2083+tech_proj!V1583/(1-tech_proj!V463))</f>
        <v/>
      </c>
      <c r="W963" s="109" t="str">
        <f>IF(tech_base!$T59&gt;W$905,"",W2083+tech_proj!W1583/(1-tech_proj!W463))</f>
        <v/>
      </c>
      <c r="X963" s="109" t="str">
        <f>IF(tech_base!$T59&gt;X$905,"",X2083+tech_proj!X1583/(1-tech_proj!X463))</f>
        <v/>
      </c>
      <c r="Y963" s="109" t="str">
        <f>IF(tech_base!$T59&gt;Y$905,"",Y2083+tech_proj!Y1583/(1-tech_proj!Y463))</f>
        <v/>
      </c>
      <c r="Z963" s="109" t="str">
        <f>IF(tech_base!$T59&gt;Z$905,"",Z2083+tech_proj!Z1583/(1-tech_proj!Z463))</f>
        <v/>
      </c>
      <c r="AA963" s="109" t="str">
        <f>IF(tech_base!$T59&gt;AA$905,"",AA2083+tech_proj!AA1583/(1-tech_proj!AA463))</f>
        <v/>
      </c>
      <c r="AB963" s="109" t="str">
        <f>IF(tech_base!$T59&gt;AB$905,"",AB2083+tech_proj!AB1583/(1-tech_proj!AB463))</f>
        <v/>
      </c>
      <c r="AC963" s="109" t="str">
        <f>IF(tech_base!$T59&gt;AC$905,"",AC2083+tech_proj!AC1583/(1-tech_proj!AC463))</f>
        <v/>
      </c>
      <c r="AD963" s="109" t="str">
        <f>IF(tech_base!$T59&gt;AD$905,"",AD2083+tech_proj!AD1583/(1-tech_proj!AD463))</f>
        <v/>
      </c>
      <c r="AE963" s="109">
        <f>IF(tech_base!$T59&gt;AE$905,"",AE2083+tech_proj!AE1583/(1-tech_proj!AE463))</f>
        <v>35.833684035836519</v>
      </c>
      <c r="AF963" s="109">
        <f>IF(tech_base!$T59&gt;AF$905,"",AF2083+tech_proj!AF1583/(1-tech_proj!AF463))</f>
        <v>35.929238966807361</v>
      </c>
      <c r="AG963" s="109">
        <f>IF(tech_base!$T59&gt;AG$905,"",AG2083+tech_proj!AG1583/(1-tech_proj!AG463))</f>
        <v>36.023469389302704</v>
      </c>
      <c r="AH963" s="109">
        <f>IF(tech_base!$T59&gt;AH$905,"",AH2083+tech_proj!AH1583/(1-tech_proj!AH463))</f>
        <v>36.116090929090703</v>
      </c>
      <c r="AI963" s="109">
        <f>IF(tech_base!$T59&gt;AI$905,"",AI2083+tech_proj!AI1583/(1-tech_proj!AI463))</f>
        <v>36.206760985235277</v>
      </c>
      <c r="AJ963" s="109">
        <f>IF(tech_base!$T59&gt;AJ$905,"",AJ2083+tech_proj!AJ1583/(1-tech_proj!AJ463))</f>
        <v>36.297098598102096</v>
      </c>
      <c r="AK963" s="109">
        <f>IF(tech_base!$T59&gt;AK$905,"",AK2083+tech_proj!AK1583/(1-tech_proj!AK463))</f>
        <v>36.384580720097325</v>
      </c>
      <c r="AL963" s="109">
        <f>IF(tech_base!$T59&gt;AL$905,"",AL2083+tech_proj!AL1583/(1-tech_proj!AL463))</f>
        <v>36.468621814061557</v>
      </c>
      <c r="AM963" s="109">
        <f>IF(tech_base!$T59&gt;AM$905,"",AM2083+tech_proj!AM1583/(1-tech_proj!AM463))</f>
        <v>36.548529518673128</v>
      </c>
      <c r="AN963" s="109">
        <f>IF(tech_base!$T59&gt;AN$905,"",AN2083+tech_proj!AN1583/(1-tech_proj!AN463))</f>
        <v>36.623491474365039</v>
      </c>
      <c r="AO963" s="109">
        <f>IF(tech_base!$T59&gt;AO$905,"",AO2083+tech_proj!AO1583/(1-tech_proj!AO463))</f>
        <v>36.694632035432903</v>
      </c>
      <c r="AP963" s="109">
        <f>IF(tech_base!$T59&gt;AP$905,"",AP2083+tech_proj!AP1583/(1-tech_proj!AP463))</f>
        <v>36.758797236279307</v>
      </c>
      <c r="AQ963" s="109">
        <f>IF(tech_base!$T59&gt;AQ$905,"",AQ2083+tech_proj!AQ1583/(1-tech_proj!AQ463))</f>
        <v>36.814761115860229</v>
      </c>
      <c r="AR963" s="109">
        <f>IF(tech_base!$T59&gt;AR$905,"",AR2083+tech_proj!AR1583/(1-tech_proj!AR463))</f>
        <v>36.861164283786771</v>
      </c>
      <c r="AS963" s="109">
        <f>IF(tech_base!$T59&gt;AS$905,"",AS2083+tech_proj!AS1583/(1-tech_proj!AS463))</f>
        <v>36.896537240312952</v>
      </c>
      <c r="AT963" s="109">
        <f>IF(tech_base!$T59&gt;AT$905,"",AT2083+tech_proj!AT1583/(1-tech_proj!AT463))</f>
        <v>36.921447430863189</v>
      </c>
      <c r="AU963" s="109">
        <f>IF(tech_base!$T59&gt;AU$905,"",AU2083+tech_proj!AU1583/(1-tech_proj!AU463))</f>
        <v>36.932256897641913</v>
      </c>
      <c r="AV963" s="109">
        <f>IF(tech_base!$T59&gt;AV$905,"",AV2083+tech_proj!AV1583/(1-tech_proj!AV463))</f>
        <v>36.927541683886041</v>
      </c>
      <c r="AW963" s="109">
        <f>IF(tech_base!$T59&gt;AW$905,"",AW2083+tech_proj!AW1583/(1-tech_proj!AW463))</f>
        <v>36.906122772242909</v>
      </c>
      <c r="AX963" s="110">
        <f>IF(tech_base!$T59&gt;AX$905,"",AX2083+tech_proj!AX1583/(1-tech_proj!AX463))</f>
        <v>36.867234891930458</v>
      </c>
    </row>
    <row r="964" spans="1:50" x14ac:dyDescent="0.25">
      <c r="A964" s="356"/>
      <c r="B964" s="376"/>
      <c r="C964" s="379"/>
      <c r="D964" s="59" t="s">
        <v>8</v>
      </c>
      <c r="E964" s="166" t="str">
        <f>A951&amp;"/"&amp;B959&amp;"/"&amp;C963&amp;"/"&amp;D964</f>
        <v>Lignite fired power plants/Supercritical steam turbine/Electricity only with CCS/M</v>
      </c>
      <c r="F964" s="79" t="str">
        <f>A951</f>
        <v>Lignite fired power plants</v>
      </c>
      <c r="G964" s="79" t="str">
        <f>B959</f>
        <v>Supercritical steam turbine</v>
      </c>
      <c r="H964" s="79" t="str">
        <f>C963</f>
        <v>Electricity only with CCS</v>
      </c>
      <c r="I964" s="167" t="str">
        <f t="shared" si="367"/>
        <v>M</v>
      </c>
      <c r="J964" s="111" t="str">
        <f>IF(tech_base!$T60&gt;J$905,"",J2084+tech_proj!J1584/(1-tech_proj!J464))</f>
        <v/>
      </c>
      <c r="K964" s="111" t="str">
        <f>IF(tech_base!$T60&gt;K$905,"",K2084+tech_proj!K1584/(1-tech_proj!K464))</f>
        <v/>
      </c>
      <c r="L964" s="111" t="str">
        <f>IF(tech_base!$T60&gt;L$905,"",L2084+tech_proj!L1584/(1-tech_proj!L464))</f>
        <v/>
      </c>
      <c r="M964" s="111" t="str">
        <f>IF(tech_base!$T60&gt;M$905,"",M2084+tech_proj!M1584/(1-tech_proj!M464))</f>
        <v/>
      </c>
      <c r="N964" s="111" t="str">
        <f>IF(tech_base!$T60&gt;N$905,"",N2084+tech_proj!N1584/(1-tech_proj!N464))</f>
        <v/>
      </c>
      <c r="O964" s="111" t="str">
        <f>IF(tech_base!$T60&gt;O$905,"",O2084+tech_proj!O1584/(1-tech_proj!O464))</f>
        <v/>
      </c>
      <c r="P964" s="111" t="str">
        <f>IF(tech_base!$T60&gt;P$905,"",P2084+tech_proj!P1584/(1-tech_proj!P464))</f>
        <v/>
      </c>
      <c r="Q964" s="111" t="str">
        <f>IF(tech_base!$T60&gt;Q$905,"",Q2084+tech_proj!Q1584/(1-tech_proj!Q464))</f>
        <v/>
      </c>
      <c r="R964" s="111" t="str">
        <f>IF(tech_base!$T60&gt;R$905,"",R2084+tech_proj!R1584/(1-tech_proj!R464))</f>
        <v/>
      </c>
      <c r="S964" s="111" t="str">
        <f>IF(tech_base!$T60&gt;S$905,"",S2084+tech_proj!S1584/(1-tech_proj!S464))</f>
        <v/>
      </c>
      <c r="T964" s="111" t="str">
        <f>IF(tech_base!$T60&gt;T$905,"",T2084+tech_proj!T1584/(1-tech_proj!T464))</f>
        <v/>
      </c>
      <c r="U964" s="111" t="str">
        <f>IF(tech_base!$T60&gt;U$905,"",U2084+tech_proj!U1584/(1-tech_proj!U464))</f>
        <v/>
      </c>
      <c r="V964" s="111" t="str">
        <f>IF(tech_base!$T60&gt;V$905,"",V2084+tech_proj!V1584/(1-tech_proj!V464))</f>
        <v/>
      </c>
      <c r="W964" s="111" t="str">
        <f>IF(tech_base!$T60&gt;W$905,"",W2084+tech_proj!W1584/(1-tech_proj!W464))</f>
        <v/>
      </c>
      <c r="X964" s="111" t="str">
        <f>IF(tech_base!$T60&gt;X$905,"",X2084+tech_proj!X1584/(1-tech_proj!X464))</f>
        <v/>
      </c>
      <c r="Y964" s="111" t="str">
        <f>IF(tech_base!$T60&gt;Y$905,"",Y2084+tech_proj!Y1584/(1-tech_proj!Y464))</f>
        <v/>
      </c>
      <c r="Z964" s="111" t="str">
        <f>IF(tech_base!$T60&gt;Z$905,"",Z2084+tech_proj!Z1584/(1-tech_proj!Z464))</f>
        <v/>
      </c>
      <c r="AA964" s="111" t="str">
        <f>IF(tech_base!$T60&gt;AA$905,"",AA2084+tech_proj!AA1584/(1-tech_proj!AA464))</f>
        <v/>
      </c>
      <c r="AB964" s="111" t="str">
        <f>IF(tech_base!$T60&gt;AB$905,"",AB2084+tech_proj!AB1584/(1-tech_proj!AB464))</f>
        <v/>
      </c>
      <c r="AC964" s="111" t="str">
        <f>IF(tech_base!$T60&gt;AC$905,"",AC2084+tech_proj!AC1584/(1-tech_proj!AC464))</f>
        <v/>
      </c>
      <c r="AD964" s="111" t="str">
        <f>IF(tech_base!$T60&gt;AD$905,"",AD2084+tech_proj!AD1584/(1-tech_proj!AD464))</f>
        <v/>
      </c>
      <c r="AE964" s="111">
        <f>IF(tech_base!$T60&gt;AE$905,"",AE2084+tech_proj!AE1584/(1-tech_proj!AE464))</f>
        <v>38.589645334340389</v>
      </c>
      <c r="AF964" s="111">
        <f>IF(tech_base!$T60&gt;AF$905,"",AF2084+tech_proj!AF1584/(1-tech_proj!AF464))</f>
        <v>38.694738579201939</v>
      </c>
      <c r="AG964" s="111">
        <f>IF(tech_base!$T60&gt;AG$905,"",AG2084+tech_proj!AG1584/(1-tech_proj!AG464))</f>
        <v>38.798798985501541</v>
      </c>
      <c r="AH964" s="111">
        <f>IF(tech_base!$T60&gt;AH$905,"",AH2084+tech_proj!AH1584/(1-tech_proj!AH464))</f>
        <v>38.90153636828525</v>
      </c>
      <c r="AI964" s="111">
        <f>IF(tech_base!$T60&gt;AI$905,"",AI2084+tech_proj!AI1584/(1-tech_proj!AI464))</f>
        <v>39.002580665874575</v>
      </c>
      <c r="AJ964" s="111">
        <f>IF(tech_base!$T60&gt;AJ$905,"",AJ2084+tech_proj!AJ1584/(1-tech_proj!AJ464))</f>
        <v>39.103634818482163</v>
      </c>
      <c r="AK964" s="111">
        <f>IF(tech_base!$T60&gt;AK$905,"",AK2084+tech_proj!AK1584/(1-tech_proj!AK464))</f>
        <v>39.201927120038697</v>
      </c>
      <c r="AL964" s="111">
        <f>IF(tech_base!$T60&gt;AL$905,"",AL2084+tech_proj!AL1584/(1-tech_proj!AL464))</f>
        <v>39.296702308679983</v>
      </c>
      <c r="AM964" s="111">
        <f>IF(tech_base!$T60&gt;AM$905,"",AM2084+tech_proj!AM1584/(1-tech_proj!AM464))</f>
        <v>39.387010384806445</v>
      </c>
      <c r="AN964" s="111">
        <f>IF(tech_base!$T60&gt;AN$905,"",AN2084+tech_proj!AN1584/(1-tech_proj!AN464))</f>
        <v>39.471663887280556</v>
      </c>
      <c r="AO964" s="111">
        <f>IF(tech_base!$T60&gt;AO$905,"",AO2084+tech_proj!AO1584/(1-tech_proj!AO464))</f>
        <v>39.551405552394797</v>
      </c>
      <c r="AP964" s="111">
        <f>IF(tech_base!$T60&gt;AP$905,"",AP2084+tech_proj!AP1584/(1-tech_proj!AP464))</f>
        <v>39.622212732647334</v>
      </c>
      <c r="AQ964" s="111">
        <f>IF(tech_base!$T60&gt;AQ$905,"",AQ2084+tech_proj!AQ1584/(1-tech_proj!AQ464))</f>
        <v>39.681900256434432</v>
      </c>
      <c r="AR964" s="111">
        <f>IF(tech_base!$T60&gt;AR$905,"",AR2084+tech_proj!AR1584/(1-tech_proj!AR464))</f>
        <v>39.727873250791234</v>
      </c>
      <c r="AS964" s="111">
        <f>IF(tech_base!$T60&gt;AS$905,"",AS2084+tech_proj!AS1584/(1-tech_proj!AS464))</f>
        <v>39.757125810217197</v>
      </c>
      <c r="AT964" s="111">
        <f>IF(tech_base!$T60&gt;AT$905,"",AT2084+tech_proj!AT1584/(1-tech_proj!AT464))</f>
        <v>39.768543560762225</v>
      </c>
      <c r="AU964" s="111">
        <f>IF(tech_base!$T60&gt;AU$905,"",AU2084+tech_proj!AU1584/(1-tech_proj!AU464))</f>
        <v>39.75627647237134</v>
      </c>
      <c r="AV964" s="111">
        <f>IF(tech_base!$T60&gt;AV$905,"",AV2084+tech_proj!AV1584/(1-tech_proj!AV464))</f>
        <v>39.716751916244732</v>
      </c>
      <c r="AW964" s="111">
        <f>IF(tech_base!$T60&gt;AW$905,"",AW2084+tech_proj!AW1584/(1-tech_proj!AW464))</f>
        <v>39.646813100220726</v>
      </c>
      <c r="AX964" s="112">
        <f>IF(tech_base!$T60&gt;AX$905,"",AX2084+tech_proj!AX1584/(1-tech_proj!AX464))</f>
        <v>39.544267001436218</v>
      </c>
    </row>
    <row r="965" spans="1:50" x14ac:dyDescent="0.25">
      <c r="A965" s="356"/>
      <c r="B965" s="376"/>
      <c r="C965" s="361" t="s">
        <v>16</v>
      </c>
      <c r="D965" s="2" t="s">
        <v>7</v>
      </c>
      <c r="E965" s="160" t="str">
        <f>A951&amp;"/"&amp;B959&amp;"/"&amp;C965&amp;"/"&amp;D965</f>
        <v>Lignite fired power plants/Supercritical steam turbine/CHP with CCS/L</v>
      </c>
      <c r="F965" s="76" t="str">
        <f>A951</f>
        <v>Lignite fired power plants</v>
      </c>
      <c r="G965" s="76" t="str">
        <f>B959</f>
        <v>Supercritical steam turbine</v>
      </c>
      <c r="H965" s="76" t="str">
        <f>C965</f>
        <v>CHP with CCS</v>
      </c>
      <c r="I965" s="161" t="str">
        <f t="shared" si="367"/>
        <v>L</v>
      </c>
      <c r="J965" s="105" t="str">
        <f>IF(tech_base!$T61&gt;J$905,"",J2085+tech_proj!J1585/(1-tech_proj!J465))</f>
        <v/>
      </c>
      <c r="K965" s="105" t="str">
        <f>IF(tech_base!$T61&gt;K$905,"",K2085+tech_proj!K1585/(1-tech_proj!K465))</f>
        <v/>
      </c>
      <c r="L965" s="105" t="str">
        <f>IF(tech_base!$T61&gt;L$905,"",L2085+tech_proj!L1585/(1-tech_proj!L465))</f>
        <v/>
      </c>
      <c r="M965" s="105" t="str">
        <f>IF(tech_base!$T61&gt;M$905,"",M2085+tech_proj!M1585/(1-tech_proj!M465))</f>
        <v/>
      </c>
      <c r="N965" s="105" t="str">
        <f>IF(tech_base!$T61&gt;N$905,"",N2085+tech_proj!N1585/(1-tech_proj!N465))</f>
        <v/>
      </c>
      <c r="O965" s="105" t="str">
        <f>IF(tech_base!$T61&gt;O$905,"",O2085+tech_proj!O1585/(1-tech_proj!O465))</f>
        <v/>
      </c>
      <c r="P965" s="105" t="str">
        <f>IF(tech_base!$T61&gt;P$905,"",P2085+tech_proj!P1585/(1-tech_proj!P465))</f>
        <v/>
      </c>
      <c r="Q965" s="105" t="str">
        <f>IF(tech_base!$T61&gt;Q$905,"",Q2085+tech_proj!Q1585/(1-tech_proj!Q465))</f>
        <v/>
      </c>
      <c r="R965" s="105" t="str">
        <f>IF(tech_base!$T61&gt;R$905,"",R2085+tech_proj!R1585/(1-tech_proj!R465))</f>
        <v/>
      </c>
      <c r="S965" s="105" t="str">
        <f>IF(tech_base!$T61&gt;S$905,"",S2085+tech_proj!S1585/(1-tech_proj!S465))</f>
        <v/>
      </c>
      <c r="T965" s="105" t="str">
        <f>IF(tech_base!$T61&gt;T$905,"",T2085+tech_proj!T1585/(1-tech_proj!T465))</f>
        <v/>
      </c>
      <c r="U965" s="105" t="str">
        <f>IF(tech_base!$T61&gt;U$905,"",U2085+tech_proj!U1585/(1-tech_proj!U465))</f>
        <v/>
      </c>
      <c r="V965" s="105" t="str">
        <f>IF(tech_base!$T61&gt;V$905,"",V2085+tech_proj!V1585/(1-tech_proj!V465))</f>
        <v/>
      </c>
      <c r="W965" s="105" t="str">
        <f>IF(tech_base!$T61&gt;W$905,"",W2085+tech_proj!W1585/(1-tech_proj!W465))</f>
        <v/>
      </c>
      <c r="X965" s="105" t="str">
        <f>IF(tech_base!$T61&gt;X$905,"",X2085+tech_proj!X1585/(1-tech_proj!X465))</f>
        <v/>
      </c>
      <c r="Y965" s="105" t="str">
        <f>IF(tech_base!$T61&gt;Y$905,"",Y2085+tech_proj!Y1585/(1-tech_proj!Y465))</f>
        <v/>
      </c>
      <c r="Z965" s="105" t="str">
        <f>IF(tech_base!$T61&gt;Z$905,"",Z2085+tech_proj!Z1585/(1-tech_proj!Z465))</f>
        <v/>
      </c>
      <c r="AA965" s="105" t="str">
        <f>IF(tech_base!$T61&gt;AA$905,"",AA2085+tech_proj!AA1585/(1-tech_proj!AA465))</f>
        <v/>
      </c>
      <c r="AB965" s="105" t="str">
        <f>IF(tech_base!$T61&gt;AB$905,"",AB2085+tech_proj!AB1585/(1-tech_proj!AB465))</f>
        <v/>
      </c>
      <c r="AC965" s="105" t="str">
        <f>IF(tech_base!$T61&gt;AC$905,"",AC2085+tech_proj!AC1585/(1-tech_proj!AC465))</f>
        <v/>
      </c>
      <c r="AD965" s="105" t="str">
        <f>IF(tech_base!$T61&gt;AD$905,"",AD2085+tech_proj!AD1585/(1-tech_proj!AD465))</f>
        <v/>
      </c>
      <c r="AE965" s="105">
        <f>IF(tech_base!$T61&gt;AE$905,"",AE2085+tech_proj!AE1585/(1-tech_proj!AE465))</f>
        <v>40.957191635260287</v>
      </c>
      <c r="AF965" s="105">
        <f>IF(tech_base!$T61&gt;AF$905,"",AF2085+tech_proj!AF1585/(1-tech_proj!AF465))</f>
        <v>41.067593071446012</v>
      </c>
      <c r="AG965" s="105">
        <f>IF(tech_base!$T61&gt;AG$905,"",AG2085+tech_proj!AG1585/(1-tech_proj!AG465))</f>
        <v>41.176734025918272</v>
      </c>
      <c r="AH965" s="105">
        <f>IF(tech_base!$T61&gt;AH$905,"",AH2085+tech_proj!AH1585/(1-tech_proj!AH465))</f>
        <v>41.284343933107124</v>
      </c>
      <c r="AI965" s="105">
        <f>IF(tech_base!$T61&gt;AI$905,"",AI2085+tech_proj!AI1585/(1-tech_proj!AI465))</f>
        <v>41.390096859189924</v>
      </c>
      <c r="AJ965" s="105">
        <f>IF(tech_base!$T61&gt;AJ$905,"",AJ2085+tech_proj!AJ1585/(1-tech_proj!AJ465))</f>
        <v>41.495923075988983</v>
      </c>
      <c r="AK965" s="105">
        <f>IF(tech_base!$T61&gt;AK$905,"",AK2085+tech_proj!AK1585/(1-tech_proj!AK465))</f>
        <v>41.599032452984801</v>
      </c>
      <c r="AL965" s="105">
        <f>IF(tech_base!$T61&gt;AL$905,"",AL2085+tech_proj!AL1585/(1-tech_proj!AL465))</f>
        <v>41.698868187708975</v>
      </c>
      <c r="AM965" s="105">
        <f>IF(tech_base!$T61&gt;AM$905,"",AM2085+tech_proj!AM1585/(1-tech_proj!AM465))</f>
        <v>41.794772045898711</v>
      </c>
      <c r="AN965" s="105">
        <f>IF(tech_base!$T61&gt;AN$905,"",AN2085+tech_proj!AN1585/(1-tech_proj!AN465))</f>
        <v>41.885971930731486</v>
      </c>
      <c r="AO965" s="105">
        <f>IF(tech_base!$T61&gt;AO$905,"",AO2085+tech_proj!AO1585/(1-tech_proj!AO465))</f>
        <v>41.973936433079345</v>
      </c>
      <c r="AP965" s="105">
        <f>IF(tech_base!$T61&gt;AP$905,"",AP2085+tech_proj!AP1585/(1-tech_proj!AP465))</f>
        <v>42.055269112406364</v>
      </c>
      <c r="AQ965" s="105">
        <f>IF(tech_base!$T61&gt;AQ$905,"",AQ2085+tech_proj!AQ1585/(1-tech_proj!AQ465))</f>
        <v>42.128806414695319</v>
      </c>
      <c r="AR965" s="105">
        <f>IF(tech_base!$T61&gt;AR$905,"",AR2085+tech_proj!AR1585/(1-tech_proj!AR465))</f>
        <v>42.193259146734178</v>
      </c>
      <c r="AS965" s="105">
        <f>IF(tech_base!$T61&gt;AS$905,"",AS2085+tech_proj!AS1585/(1-tech_proj!AS465))</f>
        <v>42.247235132599585</v>
      </c>
      <c r="AT965" s="105">
        <f>IF(tech_base!$T61&gt;AT$905,"",AT2085+tech_proj!AT1585/(1-tech_proj!AT465))</f>
        <v>42.291688102024189</v>
      </c>
      <c r="AU965" s="105">
        <f>IF(tech_base!$T61&gt;AU$905,"",AU2085+tech_proj!AU1585/(1-tech_proj!AU465))</f>
        <v>42.322762528357266</v>
      </c>
      <c r="AV965" s="105">
        <f>IF(tech_base!$T61&gt;AV$905,"",AV2085+tech_proj!AV1585/(1-tech_proj!AV465))</f>
        <v>42.339118494989449</v>
      </c>
      <c r="AW965" s="105">
        <f>IF(tech_base!$T61&gt;AW$905,"",AW2085+tech_proj!AW1585/(1-tech_proj!AW465))</f>
        <v>42.339653206490127</v>
      </c>
      <c r="AX965" s="106">
        <f>IF(tech_base!$T61&gt;AX$905,"",AX2085+tech_proj!AX1585/(1-tech_proj!AX465))</f>
        <v>42.323661712150169</v>
      </c>
    </row>
    <row r="966" spans="1:50" x14ac:dyDescent="0.25">
      <c r="A966" s="356"/>
      <c r="B966" s="380"/>
      <c r="C966" s="381"/>
      <c r="D966" s="4" t="s">
        <v>8</v>
      </c>
      <c r="E966" s="168" t="str">
        <f>A951&amp;"/"&amp;B959&amp;"/"&amp;C965&amp;"/"&amp;D966</f>
        <v>Lignite fired power plants/Supercritical steam turbine/CHP with CCS/M</v>
      </c>
      <c r="F966" s="80" t="str">
        <f>A951</f>
        <v>Lignite fired power plants</v>
      </c>
      <c r="G966" s="80" t="str">
        <f>B959</f>
        <v>Supercritical steam turbine</v>
      </c>
      <c r="H966" s="80" t="str">
        <f>C965</f>
        <v>CHP with CCS</v>
      </c>
      <c r="I966" s="169" t="str">
        <f t="shared" si="367"/>
        <v>M</v>
      </c>
      <c r="J966" s="113" t="str">
        <f>IF(tech_base!$T62&gt;J$905,"",J2086+tech_proj!J1586/(1-tech_proj!J466))</f>
        <v/>
      </c>
      <c r="K966" s="113" t="str">
        <f>IF(tech_base!$T62&gt;K$905,"",K2086+tech_proj!K1586/(1-tech_proj!K466))</f>
        <v/>
      </c>
      <c r="L966" s="113" t="str">
        <f>IF(tech_base!$T62&gt;L$905,"",L2086+tech_proj!L1586/(1-tech_proj!L466))</f>
        <v/>
      </c>
      <c r="M966" s="113" t="str">
        <f>IF(tech_base!$T62&gt;M$905,"",M2086+tech_proj!M1586/(1-tech_proj!M466))</f>
        <v/>
      </c>
      <c r="N966" s="113" t="str">
        <f>IF(tech_base!$T62&gt;N$905,"",N2086+tech_proj!N1586/(1-tech_proj!N466))</f>
        <v/>
      </c>
      <c r="O966" s="113" t="str">
        <f>IF(tech_base!$T62&gt;O$905,"",O2086+tech_proj!O1586/(1-tech_proj!O466))</f>
        <v/>
      </c>
      <c r="P966" s="113" t="str">
        <f>IF(tech_base!$T62&gt;P$905,"",P2086+tech_proj!P1586/(1-tech_proj!P466))</f>
        <v/>
      </c>
      <c r="Q966" s="113" t="str">
        <f>IF(tech_base!$T62&gt;Q$905,"",Q2086+tech_proj!Q1586/(1-tech_proj!Q466))</f>
        <v/>
      </c>
      <c r="R966" s="113" t="str">
        <f>IF(tech_base!$T62&gt;R$905,"",R2086+tech_proj!R1586/(1-tech_proj!R466))</f>
        <v/>
      </c>
      <c r="S966" s="113" t="str">
        <f>IF(tech_base!$T62&gt;S$905,"",S2086+tech_proj!S1586/(1-tech_proj!S466))</f>
        <v/>
      </c>
      <c r="T966" s="113" t="str">
        <f>IF(tech_base!$T62&gt;T$905,"",T2086+tech_proj!T1586/(1-tech_proj!T466))</f>
        <v/>
      </c>
      <c r="U966" s="113" t="str">
        <f>IF(tech_base!$T62&gt;U$905,"",U2086+tech_proj!U1586/(1-tech_proj!U466))</f>
        <v/>
      </c>
      <c r="V966" s="113" t="str">
        <f>IF(tech_base!$T62&gt;V$905,"",V2086+tech_proj!V1586/(1-tech_proj!V466))</f>
        <v/>
      </c>
      <c r="W966" s="113" t="str">
        <f>IF(tech_base!$T62&gt;W$905,"",W2086+tech_proj!W1586/(1-tech_proj!W466))</f>
        <v/>
      </c>
      <c r="X966" s="113" t="str">
        <f>IF(tech_base!$T62&gt;X$905,"",X2086+tech_proj!X1586/(1-tech_proj!X466))</f>
        <v/>
      </c>
      <c r="Y966" s="113" t="str">
        <f>IF(tech_base!$T62&gt;Y$905,"",Y2086+tech_proj!Y1586/(1-tech_proj!Y466))</f>
        <v/>
      </c>
      <c r="Z966" s="113" t="str">
        <f>IF(tech_base!$T62&gt;Z$905,"",Z2086+tech_proj!Z1586/(1-tech_proj!Z466))</f>
        <v/>
      </c>
      <c r="AA966" s="113" t="str">
        <f>IF(tech_base!$T62&gt;AA$905,"",AA2086+tech_proj!AA1586/(1-tech_proj!AA466))</f>
        <v/>
      </c>
      <c r="AB966" s="113" t="str">
        <f>IF(tech_base!$T62&gt;AB$905,"",AB2086+tech_proj!AB1586/(1-tech_proj!AB466))</f>
        <v/>
      </c>
      <c r="AC966" s="113" t="str">
        <f>IF(tech_base!$T62&gt;AC$905,"",AC2086+tech_proj!AC1586/(1-tech_proj!AC466))</f>
        <v/>
      </c>
      <c r="AD966" s="113" t="str">
        <f>IF(tech_base!$T62&gt;AD$905,"",AD2086+tech_proj!AD1586/(1-tech_proj!AD466))</f>
        <v/>
      </c>
      <c r="AE966" s="113">
        <f>IF(tech_base!$T62&gt;AE$905,"",AE2086+tech_proj!AE1586/(1-tech_proj!AE466))</f>
        <v>44.195039711530058</v>
      </c>
      <c r="AF966" s="113">
        <f>IF(tech_base!$T62&gt;AF$905,"",AF2086+tech_proj!AF1586/(1-tech_proj!AF466))</f>
        <v>44.316226717339809</v>
      </c>
      <c r="AG966" s="113">
        <f>IF(tech_base!$T62&gt;AG$905,"",AG2086+tech_proj!AG1586/(1-tech_proj!AG466))</f>
        <v>44.436429707401857</v>
      </c>
      <c r="AH966" s="113">
        <f>IF(tech_base!$T62&gt;AH$905,"",AH2086+tech_proj!AH1586/(1-tech_proj!AH466))</f>
        <v>44.555372240014051</v>
      </c>
      <c r="AI966" s="113">
        <f>IF(tech_base!$T62&gt;AI$905,"",AI2086+tech_proj!AI1586/(1-tech_proj!AI466))</f>
        <v>44.672701798060402</v>
      </c>
      <c r="AJ966" s="113">
        <f>IF(tech_base!$T62&gt;AJ$905,"",AJ2086+tech_proj!AJ1586/(1-tech_proj!AJ466))</f>
        <v>44.790462150519389</v>
      </c>
      <c r="AK966" s="113">
        <f>IF(tech_base!$T62&gt;AK$905,"",AK2086+tech_proj!AK1586/(1-tech_proj!AK466))</f>
        <v>44.905591551338709</v>
      </c>
      <c r="AL966" s="113">
        <f>IF(tech_base!$T62&gt;AL$905,"",AL2086+tech_proj!AL1586/(1-tech_proj!AL466))</f>
        <v>45.017370742008566</v>
      </c>
      <c r="AM966" s="113">
        <f>IF(tech_base!$T62&gt;AM$905,"",AM2086+tech_proj!AM1586/(1-tech_proj!AM466))</f>
        <v>45.124895147583793</v>
      </c>
      <c r="AN966" s="113">
        <f>IF(tech_base!$T62&gt;AN$905,"",AN2086+tech_proj!AN1586/(1-tech_proj!AN466))</f>
        <v>45.22703431256771</v>
      </c>
      <c r="AO966" s="113">
        <f>IF(tech_base!$T62&gt;AO$905,"",AO2086+tech_proj!AO1586/(1-tech_proj!AO466))</f>
        <v>45.324926969227761</v>
      </c>
      <c r="AP966" s="113">
        <f>IF(tech_base!$T62&gt;AP$905,"",AP2086+tech_proj!AP1586/(1-tech_proj!AP466))</f>
        <v>45.414313353330392</v>
      </c>
      <c r="AQ966" s="113">
        <f>IF(tech_base!$T62&gt;AQ$905,"",AQ2086+tech_proj!AQ1586/(1-tech_proj!AQ466))</f>
        <v>45.493115445033091</v>
      </c>
      <c r="AR966" s="113">
        <f>IF(tech_base!$T62&gt;AR$905,"",AR2086+tech_proj!AR1586/(1-tech_proj!AR466))</f>
        <v>45.558867175562682</v>
      </c>
      <c r="AS966" s="113">
        <f>IF(tech_base!$T62&gt;AS$905,"",AS2086+tech_proj!AS1586/(1-tech_proj!AS466))</f>
        <v>45.608714337681924</v>
      </c>
      <c r="AT966" s="113">
        <f>IF(tech_base!$T62&gt;AT$905,"",AT2086+tech_proj!AT1586/(1-tech_proj!AT466))</f>
        <v>45.642048184919432</v>
      </c>
      <c r="AU966" s="113">
        <f>IF(tech_base!$T62&gt;AU$905,"",AU2086+tech_proj!AU1586/(1-tech_proj!AU466))</f>
        <v>45.652878897237223</v>
      </c>
      <c r="AV966" s="113">
        <f>IF(tech_base!$T62&gt;AV$905,"",AV2086+tech_proj!AV1586/(1-tech_proj!AV466))</f>
        <v>45.63783431869328</v>
      </c>
      <c r="AW966" s="113">
        <f>IF(tech_base!$T62&gt;AW$905,"",AW2086+tech_proj!AW1586/(1-tech_proj!AW466))</f>
        <v>45.59395051865495</v>
      </c>
      <c r="AX966" s="114">
        <f>IF(tech_base!$T62&gt;AX$905,"",AX2086+tech_proj!AX1586/(1-tech_proj!AX466))</f>
        <v>45.519195178302411</v>
      </c>
    </row>
    <row r="967" spans="1:50" x14ac:dyDescent="0.25">
      <c r="A967" s="356"/>
      <c r="B967" s="358" t="s">
        <v>18</v>
      </c>
      <c r="C967" s="353" t="s">
        <v>6</v>
      </c>
      <c r="D967" s="3" t="s">
        <v>7</v>
      </c>
      <c r="E967" s="162" t="str">
        <f>A951&amp;"/"&amp;B967&amp;"/"&amp;C967&amp;"/"&amp;D967</f>
        <v>Lignite fired power plants/Fluidized bed combustion/Electricity only/L</v>
      </c>
      <c r="F967" s="77" t="str">
        <f>A951</f>
        <v>Lignite fired power plants</v>
      </c>
      <c r="G967" s="77" t="str">
        <f>B967</f>
        <v>Fluidized bed combustion</v>
      </c>
      <c r="H967" s="77" t="str">
        <f>C967</f>
        <v>Electricity only</v>
      </c>
      <c r="I967" s="163" t="str">
        <f t="shared" si="367"/>
        <v>L</v>
      </c>
      <c r="J967" s="107">
        <f>IF(tech_base!$T63&gt;J$905,"",J2087+tech_proj!J1587/(1-tech_proj!J467))</f>
        <v>23.491231353112717</v>
      </c>
      <c r="K967" s="107">
        <f>IF(tech_base!$T63&gt;K$905,"",K2087+tech_proj!K1587/(1-tech_proj!K467))</f>
        <v>23.504961872319257</v>
      </c>
      <c r="L967" s="107">
        <f>IF(tech_base!$T63&gt;L$905,"",L2087+tech_proj!L1587/(1-tech_proj!L467))</f>
        <v>23.518619695725565</v>
      </c>
      <c r="M967" s="107">
        <f>IF(tech_base!$T63&gt;M$905,"",M2087+tech_proj!M1587/(1-tech_proj!M467))</f>
        <v>23.532188762870121</v>
      </c>
      <c r="N967" s="107">
        <f>IF(tech_base!$T63&gt;N$905,"",N2087+tech_proj!N1587/(1-tech_proj!N467))</f>
        <v>23.545649482705088</v>
      </c>
      <c r="O967" s="107">
        <f>IF(tech_base!$T63&gt;O$905,"",O2087+tech_proj!O1587/(1-tech_proj!O467))</f>
        <v>23.558977966116</v>
      </c>
      <c r="P967" s="107">
        <f>IF(tech_base!$T63&gt;P$905,"",P2087+tech_proj!P1587/(1-tech_proj!P467))</f>
        <v>23.635058919345433</v>
      </c>
      <c r="Q967" s="107">
        <f>IF(tech_base!$T63&gt;Q$905,"",Q2087+tech_proj!Q1587/(1-tech_proj!Q467))</f>
        <v>23.710939700589059</v>
      </c>
      <c r="R967" s="107">
        <f>IF(tech_base!$T63&gt;R$905,"",R2087+tech_proj!R1587/(1-tech_proj!R467))</f>
        <v>23.786576023327825</v>
      </c>
      <c r="S967" s="107">
        <f>IF(tech_base!$T63&gt;S$905,"",S2087+tech_proj!S1587/(1-tech_proj!S467))</f>
        <v>23.861913934604512</v>
      </c>
      <c r="T967" s="107">
        <f>IF(tech_base!$T63&gt;T$905,"",T2087+tech_proj!T1587/(1-tech_proj!T467))</f>
        <v>23.936887769708939</v>
      </c>
      <c r="U967" s="107">
        <f>IF(tech_base!$T63&gt;U$905,"",U2087+tech_proj!U1587/(1-tech_proj!U467))</f>
        <v>24.012956808405363</v>
      </c>
      <c r="V967" s="107">
        <f>IF(tech_base!$T63&gt;V$905,"",V2087+tech_proj!V1587/(1-tech_proj!V467))</f>
        <v>24.088484837163467</v>
      </c>
      <c r="W967" s="107">
        <f>IF(tech_base!$T63&gt;W$905,"",W2087+tech_proj!W1587/(1-tech_proj!W467))</f>
        <v>24.163354389117163</v>
      </c>
      <c r="X967" s="107">
        <f>IF(tech_base!$T63&gt;X$905,"",X2087+tech_proj!X1587/(1-tech_proj!X467))</f>
        <v>24.237423448600893</v>
      </c>
      <c r="Y967" s="107">
        <f>IF(tech_base!$T63&gt;Y$905,"",Y2087+tech_proj!Y1587/(1-tech_proj!Y467))</f>
        <v>24.310520788803039</v>
      </c>
      <c r="Z967" s="107">
        <f>IF(tech_base!$T63&gt;Z$905,"",Z2087+tech_proj!Z1587/(1-tech_proj!Z467))</f>
        <v>24.384009673710718</v>
      </c>
      <c r="AA967" s="107">
        <f>IF(tech_base!$T63&gt;AA$905,"",AA2087+tech_proj!AA1587/(1-tech_proj!AA467))</f>
        <v>24.456074268074662</v>
      </c>
      <c r="AB967" s="107">
        <f>IF(tech_base!$T63&gt;AB$905,"",AB2087+tech_proj!AB1587/(1-tech_proj!AB467))</f>
        <v>24.526421249465301</v>
      </c>
      <c r="AC967" s="107">
        <f>IF(tech_base!$T63&gt;AC$905,"",AC2087+tech_proj!AC1587/(1-tech_proj!AC467))</f>
        <v>24.594703612512266</v>
      </c>
      <c r="AD967" s="107">
        <f>IF(tech_base!$T63&gt;AD$905,"",AD2087+tech_proj!AD1587/(1-tech_proj!AD467))</f>
        <v>24.66051409949964</v>
      </c>
      <c r="AE967" s="107">
        <f>IF(tech_base!$T63&gt;AE$905,"",AE2087+tech_proj!AE1587/(1-tech_proj!AE467))</f>
        <v>24.724977572420439</v>
      </c>
      <c r="AF967" s="107">
        <f>IF(tech_base!$T63&gt;AF$905,"",AF2087+tech_proj!AF1587/(1-tech_proj!AF467))</f>
        <v>24.785951440462103</v>
      </c>
      <c r="AG967" s="107">
        <f>IF(tech_base!$T63&gt;AG$905,"",AG2087+tech_proj!AG1587/(1-tech_proj!AG467))</f>
        <v>24.842822307816029</v>
      </c>
      <c r="AH967" s="107">
        <f>IF(tech_base!$T63&gt;AH$905,"",AH2087+tech_proj!AH1587/(1-tech_proj!AH467))</f>
        <v>24.894912091331694</v>
      </c>
      <c r="AI967" s="107">
        <f>IF(tech_base!$T63&gt;AI$905,"",AI2087+tech_proj!AI1587/(1-tech_proj!AI467))</f>
        <v>24.941491895303912</v>
      </c>
      <c r="AJ967" s="107">
        <f>IF(tech_base!$T63&gt;AJ$905,"",AJ2087+tech_proj!AJ1587/(1-tech_proj!AJ467))</f>
        <v>24.983431991801051</v>
      </c>
      <c r="AK967" s="107">
        <f>IF(tech_base!$T63&gt;AK$905,"",AK2087+tech_proj!AK1587/(1-tech_proj!AK467))</f>
        <v>25.01836693484108</v>
      </c>
      <c r="AL967" s="107">
        <f>IF(tech_base!$T63&gt;AL$905,"",AL2087+tech_proj!AL1587/(1-tech_proj!AL467))</f>
        <v>25.045635266360641</v>
      </c>
      <c r="AM967" s="107">
        <f>IF(tech_base!$T63&gt;AM$905,"",AM2087+tech_proj!AM1587/(1-tech_proj!AM467))</f>
        <v>25.064734049781297</v>
      </c>
      <c r="AN967" s="107">
        <f>IF(tech_base!$T63&gt;AN$905,"",AN2087+tech_proj!AN1587/(1-tech_proj!AN467))</f>
        <v>25.075420494054395</v>
      </c>
      <c r="AO967" s="107">
        <f>IF(tech_base!$T63&gt;AO$905,"",AO2087+tech_proj!AO1587/(1-tech_proj!AO467))</f>
        <v>25.079470979895486</v>
      </c>
      <c r="AP967" s="107">
        <f>IF(tech_base!$T63&gt;AP$905,"",AP2087+tech_proj!AP1587/(1-tech_proj!AP467))</f>
        <v>25.075856275181824</v>
      </c>
      <c r="AQ967" s="107">
        <f>IF(tech_base!$T63&gt;AQ$905,"",AQ2087+tech_proj!AQ1587/(1-tech_proj!AQ467))</f>
        <v>25.065777650874683</v>
      </c>
      <c r="AR967" s="107">
        <f>IF(tech_base!$T63&gt;AR$905,"",AR2087+tech_proj!AR1587/(1-tech_proj!AR467))</f>
        <v>25.05105489741295</v>
      </c>
      <c r="AS967" s="107">
        <f>IF(tech_base!$T63&gt;AS$905,"",AS2087+tech_proj!AS1587/(1-tech_proj!AS467))</f>
        <v>25.034081120818826</v>
      </c>
      <c r="AT967" s="107">
        <f>IF(tech_base!$T63&gt;AT$905,"",AT2087+tech_proj!AT1587/(1-tech_proj!AT467))</f>
        <v>25.019330805161783</v>
      </c>
      <c r="AU967" s="107">
        <f>IF(tech_base!$T63&gt;AU$905,"",AU2087+tech_proj!AU1587/(1-tech_proj!AU467))</f>
        <v>25.008128108023111</v>
      </c>
      <c r="AV967" s="107">
        <f>IF(tech_base!$T63&gt;AV$905,"",AV2087+tech_proj!AV1587/(1-tech_proj!AV467))</f>
        <v>25.003313337919735</v>
      </c>
      <c r="AW967" s="107">
        <f>IF(tech_base!$T63&gt;AW$905,"",AW2087+tech_proj!AW1587/(1-tech_proj!AW467))</f>
        <v>25.007246974296862</v>
      </c>
      <c r="AX967" s="108">
        <f>IF(tech_base!$T63&gt;AX$905,"",AX2087+tech_proj!AX1587/(1-tech_proj!AX467))</f>
        <v>25.021545772252932</v>
      </c>
    </row>
    <row r="968" spans="1:50" x14ac:dyDescent="0.25">
      <c r="A968" s="356"/>
      <c r="B968" s="376"/>
      <c r="C968" s="350"/>
      <c r="D968" s="2" t="s">
        <v>8</v>
      </c>
      <c r="E968" s="160" t="str">
        <f>A951&amp;"/"&amp;B967&amp;"/"&amp;C967&amp;"/"&amp;D968</f>
        <v>Lignite fired power plants/Fluidized bed combustion/Electricity only/M</v>
      </c>
      <c r="F968" s="76" t="str">
        <f>A951</f>
        <v>Lignite fired power plants</v>
      </c>
      <c r="G968" s="76" t="str">
        <f>B967</f>
        <v>Fluidized bed combustion</v>
      </c>
      <c r="H968" s="76" t="str">
        <f>C967</f>
        <v>Electricity only</v>
      </c>
      <c r="I968" s="161" t="str">
        <f t="shared" si="367"/>
        <v>M</v>
      </c>
      <c r="J968" s="105">
        <f>IF(tech_base!$T64&gt;J$905,"",J2088+tech_proj!J1588/(1-tech_proj!J468))</f>
        <v>24.885144001410083</v>
      </c>
      <c r="K968" s="105">
        <f>IF(tech_base!$T64&gt;K$905,"",K2088+tech_proj!K1588/(1-tech_proj!K468))</f>
        <v>24.899244268889063</v>
      </c>
      <c r="L968" s="105">
        <f>IF(tech_base!$T64&gt;L$905,"",L2088+tech_proj!L1588/(1-tech_proj!L468))</f>
        <v>24.913210348909526</v>
      </c>
      <c r="M968" s="105">
        <f>IF(tech_base!$T64&gt;M$905,"",M2088+tech_proj!M1588/(1-tech_proj!M468))</f>
        <v>24.927016736433423</v>
      </c>
      <c r="N968" s="105">
        <f>IF(tech_base!$T64&gt;N$905,"",N2088+tech_proj!N1588/(1-tech_proj!N468))</f>
        <v>24.940633126853694</v>
      </c>
      <c r="O968" s="105">
        <f>IF(tech_base!$T64&gt;O$905,"",O2088+tech_proj!O1588/(1-tech_proj!O468))</f>
        <v>24.954023532966566</v>
      </c>
      <c r="P968" s="105">
        <f>IF(tech_base!$T64&gt;P$905,"",P2088+tech_proj!P1588/(1-tech_proj!P468))</f>
        <v>25.033381700211937</v>
      </c>
      <c r="Q968" s="105">
        <f>IF(tech_base!$T64&gt;Q$905,"",Q2088+tech_proj!Q1588/(1-tech_proj!Q468))</f>
        <v>25.112414488775023</v>
      </c>
      <c r="R968" s="105">
        <f>IF(tech_base!$T64&gt;R$905,"",R2088+tech_proj!R1588/(1-tech_proj!R468))</f>
        <v>25.1910601901467</v>
      </c>
      <c r="S968" s="105">
        <f>IF(tech_base!$T64&gt;S$905,"",S2088+tech_proj!S1588/(1-tech_proj!S468))</f>
        <v>25.269245671367564</v>
      </c>
      <c r="T968" s="105">
        <f>IF(tech_base!$T64&gt;T$905,"",T2088+tech_proj!T1588/(1-tech_proj!T468))</f>
        <v>25.346884376425251</v>
      </c>
      <c r="U968" s="105">
        <f>IF(tech_base!$T64&gt;U$905,"",U2088+tech_proj!U1588/(1-tech_proj!U468))</f>
        <v>25.425494208274479</v>
      </c>
      <c r="V968" s="105">
        <f>IF(tech_base!$T64&gt;V$905,"",V2088+tech_proj!V1588/(1-tech_proj!V468))</f>
        <v>25.5033340114758</v>
      </c>
      <c r="W968" s="105">
        <f>IF(tech_base!$T64&gt;W$905,"",W2088+tech_proj!W1588/(1-tech_proj!W468))</f>
        <v>25.580261756186264</v>
      </c>
      <c r="X968" s="105">
        <f>IF(tech_base!$T64&gt;X$905,"",X2088+tech_proj!X1588/(1-tech_proj!X468))</f>
        <v>25.656110778759185</v>
      </c>
      <c r="Y968" s="105">
        <f>IF(tech_base!$T64&gt;Y$905,"",Y2088+tech_proj!Y1588/(1-tech_proj!Y468))</f>
        <v>25.730686159412056</v>
      </c>
      <c r="Z968" s="105">
        <f>IF(tech_base!$T64&gt;Z$905,"",Z2088+tech_proj!Z1588/(1-tech_proj!Z468))</f>
        <v>25.805412135324509</v>
      </c>
      <c r="AA968" s="105">
        <f>IF(tech_base!$T64&gt;AA$905,"",AA2088+tech_proj!AA1588/(1-tech_proj!AA468))</f>
        <v>25.878373375938466</v>
      </c>
      <c r="AB968" s="105">
        <f>IF(tech_base!$T64&gt;AB$905,"",AB2088+tech_proj!AB1588/(1-tech_proj!AB468))</f>
        <v>25.94926633002008</v>
      </c>
      <c r="AC968" s="105">
        <f>IF(tech_base!$T64&gt;AC$905,"",AC2088+tech_proj!AC1588/(1-tech_proj!AC468))</f>
        <v>26.017743653113676</v>
      </c>
      <c r="AD968" s="105">
        <f>IF(tech_base!$T64&gt;AD$905,"",AD2088+tech_proj!AD1588/(1-tech_proj!AD468))</f>
        <v>26.083411354562784</v>
      </c>
      <c r="AE968" s="105">
        <f>IF(tech_base!$T64&gt;AE$905,"",AE2088+tech_proj!AE1588/(1-tech_proj!AE468))</f>
        <v>26.14750861671331</v>
      </c>
      <c r="AF968" s="105">
        <f>IF(tech_base!$T64&gt;AF$905,"",AF2088+tech_proj!AF1588/(1-tech_proj!AF468))</f>
        <v>26.207862778294874</v>
      </c>
      <c r="AG968" s="105">
        <f>IF(tech_base!$T64&gt;AG$905,"",AG2088+tech_proj!AG1588/(1-tech_proj!AG468))</f>
        <v>26.263940563042897</v>
      </c>
      <c r="AH968" s="105">
        <f>IF(tech_base!$T64&gt;AH$905,"",AH2088+tech_proj!AH1588/(1-tech_proj!AH468))</f>
        <v>26.3151739156446</v>
      </c>
      <c r="AI968" s="105">
        <f>IF(tech_base!$T64&gt;AI$905,"",AI2088+tech_proj!AI1588/(1-tech_proj!AI468))</f>
        <v>26.360974796923873</v>
      </c>
      <c r="AJ968" s="105">
        <f>IF(tech_base!$T64&gt;AJ$905,"",AJ2088+tech_proj!AJ1588/(1-tech_proj!AJ468))</f>
        <v>26.402466019204464</v>
      </c>
      <c r="AK968" s="105">
        <f>IF(tech_base!$T64&gt;AK$905,"",AK2088+tech_proj!AK1588/(1-tech_proj!AK468))</f>
        <v>26.4373846573721</v>
      </c>
      <c r="AL968" s="105">
        <f>IF(tech_base!$T64&gt;AL$905,"",AL2088+tech_proj!AL1588/(1-tech_proj!AL468))</f>
        <v>26.465256430317588</v>
      </c>
      <c r="AM968" s="105">
        <f>IF(tech_base!$T64&gt;AM$905,"",AM2088+tech_proj!AM1588/(1-tech_proj!AM468))</f>
        <v>26.485737451538213</v>
      </c>
      <c r="AN968" s="105">
        <f>IF(tech_base!$T64&gt;AN$905,"",AN2088+tech_proj!AN1588/(1-tech_proj!AN468))</f>
        <v>26.498676574912853</v>
      </c>
      <c r="AO968" s="105">
        <f>IF(tech_base!$T64&gt;AO$905,"",AO2088+tech_proj!AO1588/(1-tech_proj!AO468))</f>
        <v>26.505912205913987</v>
      </c>
      <c r="AP968" s="105">
        <f>IF(tech_base!$T64&gt;AP$905,"",AP2088+tech_proj!AP1588/(1-tech_proj!AP468))</f>
        <v>26.506142907015942</v>
      </c>
      <c r="AQ968" s="105">
        <f>IF(tech_base!$T64&gt;AQ$905,"",AQ2088+tech_proj!AQ1588/(1-tech_proj!AQ468))</f>
        <v>26.500181891236249</v>
      </c>
      <c r="AR968" s="105">
        <f>IF(tech_base!$T64&gt;AR$905,"",AR2088+tech_proj!AR1588/(1-tech_proj!AR468))</f>
        <v>26.489250130754435</v>
      </c>
      <c r="AS968" s="105">
        <f>IF(tech_base!$T64&gt;AS$905,"",AS2088+tech_proj!AS1588/(1-tech_proj!AS468))</f>
        <v>26.474966717185886</v>
      </c>
      <c r="AT968" s="105">
        <f>IF(tech_base!$T64&gt;AT$905,"",AT2088+tech_proj!AT1588/(1-tech_proj!AT468))</f>
        <v>26.461034902886681</v>
      </c>
      <c r="AU968" s="105">
        <f>IF(tech_base!$T64&gt;AU$905,"",AU2088+tech_proj!AU1588/(1-tech_proj!AU468))</f>
        <v>26.447890039451885</v>
      </c>
      <c r="AV968" s="105">
        <f>IF(tech_base!$T64&gt;AV$905,"",AV2088+tech_proj!AV1588/(1-tech_proj!AV468))</f>
        <v>26.437793102542464</v>
      </c>
      <c r="AW968" s="105">
        <f>IF(tech_base!$T64&gt;AW$905,"",AW2088+tech_proj!AW1588/(1-tech_proj!AW468))</f>
        <v>26.432894114665849</v>
      </c>
      <c r="AX968" s="106">
        <f>IF(tech_base!$T64&gt;AX$905,"",AX2088+tech_proj!AX1588/(1-tech_proj!AX468))</f>
        <v>26.43504853190101</v>
      </c>
    </row>
    <row r="969" spans="1:50" x14ac:dyDescent="0.25">
      <c r="A969" s="356"/>
      <c r="B969" s="376"/>
      <c r="C969" s="360"/>
      <c r="D969" s="2" t="s">
        <v>10</v>
      </c>
      <c r="E969" s="160" t="str">
        <f>A951&amp;"/"&amp;B967&amp;"/"&amp;C967&amp;"/"&amp;D969</f>
        <v>Lignite fired power plants/Fluidized bed combustion/Electricity only/S</v>
      </c>
      <c r="F969" s="76" t="str">
        <f>A951</f>
        <v>Lignite fired power plants</v>
      </c>
      <c r="G969" s="76" t="str">
        <f>B967</f>
        <v>Fluidized bed combustion</v>
      </c>
      <c r="H969" s="76" t="str">
        <f>C967</f>
        <v>Electricity only</v>
      </c>
      <c r="I969" s="161" t="str">
        <f t="shared" si="367"/>
        <v>S</v>
      </c>
      <c r="J969" s="105">
        <f>IF(tech_base!$T65&gt;J$905,"",J2089+tech_proj!J1589/(1-tech_proj!J469))</f>
        <v>26.60547422401001</v>
      </c>
      <c r="K969" s="105">
        <f>IF(tech_base!$T65&gt;K$905,"",K2089+tech_proj!K1589/(1-tech_proj!K469))</f>
        <v>26.619342474487976</v>
      </c>
      <c r="L969" s="105">
        <f>IF(tech_base!$T65&gt;L$905,"",L2089+tech_proj!L1589/(1-tech_proj!L469))</f>
        <v>26.632933785221567</v>
      </c>
      <c r="M969" s="105">
        <f>IF(tech_base!$T65&gt;M$905,"",M2089+tech_proj!M1589/(1-tech_proj!M469))</f>
        <v>26.646204072872965</v>
      </c>
      <c r="N969" s="105">
        <f>IF(tech_base!$T65&gt;N$905,"",N2089+tech_proj!N1589/(1-tech_proj!N469))</f>
        <v>26.659102394138763</v>
      </c>
      <c r="O969" s="105">
        <f>IF(tech_base!$T65&gt;O$905,"",O2089+tech_proj!O1589/(1-tech_proj!O469))</f>
        <v>26.671569933086246</v>
      </c>
      <c r="P969" s="105">
        <f>IF(tech_base!$T65&gt;P$905,"",P2089+tech_proj!P1589/(1-tech_proj!P469))</f>
        <v>26.753276971644404</v>
      </c>
      <c r="Q969" s="105">
        <f>IF(tech_base!$T65&gt;Q$905,"",Q2089+tech_proj!Q1589/(1-tech_proj!Q469))</f>
        <v>26.834395104115167</v>
      </c>
      <c r="R969" s="105">
        <f>IF(tech_base!$T65&gt;R$905,"",R2089+tech_proj!R1589/(1-tech_proj!R469))</f>
        <v>26.914831577842271</v>
      </c>
      <c r="S969" s="105">
        <f>IF(tech_base!$T65&gt;S$905,"",S2089+tech_proj!S1589/(1-tech_proj!S469))</f>
        <v>26.994479731753113</v>
      </c>
      <c r="T969" s="105">
        <f>IF(tech_base!$T65&gt;T$905,"",T2089+tech_proj!T1589/(1-tech_proj!T469))</f>
        <v>27.07321715472893</v>
      </c>
      <c r="U969" s="105">
        <f>IF(tech_base!$T65&gt;U$905,"",U2089+tech_proj!U1589/(1-tech_proj!U469))</f>
        <v>27.152609068361517</v>
      </c>
      <c r="V969" s="105">
        <f>IF(tech_base!$T65&gt;V$905,"",V2089+tech_proj!V1589/(1-tech_proj!V469))</f>
        <v>27.23078942910028</v>
      </c>
      <c r="W969" s="105">
        <f>IF(tech_base!$T65&gt;W$905,"",W2089+tech_proj!W1589/(1-tech_proj!W469))</f>
        <v>27.307575929806525</v>
      </c>
      <c r="X969" s="105">
        <f>IF(tech_base!$T65&gt;X$905,"",X2089+tech_proj!X1589/(1-tech_proj!X469))</f>
        <v>27.382761840691195</v>
      </c>
      <c r="Y969" s="105">
        <f>IF(tech_base!$T65&gt;Y$905,"",Y2089+tech_proj!Y1589/(1-tech_proj!Y469))</f>
        <v>27.456113780247939</v>
      </c>
      <c r="Z969" s="105">
        <f>IF(tech_base!$T65&gt;Z$905,"",Z2089+tech_proj!Z1589/(1-tech_proj!Z469))</f>
        <v>27.529107013119386</v>
      </c>
      <c r="AA969" s="105">
        <f>IF(tech_base!$T65&gt;AA$905,"",AA2089+tech_proj!AA1589/(1-tech_proj!AA469))</f>
        <v>27.599710438497304</v>
      </c>
      <c r="AB969" s="105">
        <f>IF(tech_base!$T65&gt;AB$905,"",AB2089+tech_proj!AB1589/(1-tech_proj!AB469))</f>
        <v>27.667599826371362</v>
      </c>
      <c r="AC969" s="105">
        <f>IF(tech_base!$T65&gt;AC$905,"",AC2089+tech_proj!AC1589/(1-tech_proj!AC469))</f>
        <v>27.732419256858051</v>
      </c>
      <c r="AD969" s="105">
        <f>IF(tech_base!$T65&gt;AD$905,"",AD2089+tech_proj!AD1589/(1-tech_proj!AD469))</f>
        <v>27.793782269602733</v>
      </c>
      <c r="AE969" s="105">
        <f>IF(tech_base!$T65&gt;AE$905,"",AE2089+tech_proj!AE1589/(1-tech_proj!AE469))</f>
        <v>27.853042549854425</v>
      </c>
      <c r="AF969" s="105">
        <f>IF(tech_base!$T65&gt;AF$905,"",AF2089+tech_proj!AF1589/(1-tech_proj!AF469))</f>
        <v>27.907993569691421</v>
      </c>
      <c r="AG969" s="105">
        <f>IF(tech_base!$T65&gt;AG$905,"",AG2089+tech_proj!AG1589/(1-tech_proj!AG469))</f>
        <v>27.958184763097513</v>
      </c>
      <c r="AH969" s="105">
        <f>IF(tech_base!$T65&gt;AH$905,"",AH2089+tech_proj!AH1589/(1-tech_proj!AH469))</f>
        <v>28.003163865096759</v>
      </c>
      <c r="AI969" s="105">
        <f>IF(tech_base!$T65&gt;AI$905,"",AI2089+tech_proj!AI1589/(1-tech_proj!AI469))</f>
        <v>28.042493506835307</v>
      </c>
      <c r="AJ969" s="105">
        <f>IF(tech_base!$T65&gt;AJ$905,"",AJ2089+tech_proj!AJ1589/(1-tech_proj!AJ469))</f>
        <v>28.077567460789986</v>
      </c>
      <c r="AK969" s="105">
        <f>IF(tech_base!$T65&gt;AK$905,"",AK2089+tech_proj!AK1589/(1-tech_proj!AK469))</f>
        <v>28.10624875566964</v>
      </c>
      <c r="AL969" s="105">
        <f>IF(tech_base!$T65&gt;AL$905,"",AL2089+tech_proj!AL1589/(1-tech_proj!AL469))</f>
        <v>28.128294110217094</v>
      </c>
      <c r="AM969" s="105">
        <f>IF(tech_base!$T65&gt;AM$905,"",AM2089+tech_proj!AM1589/(1-tech_proj!AM469))</f>
        <v>28.143591260913368</v>
      </c>
      <c r="AN969" s="105">
        <f>IF(tech_base!$T65&gt;AN$905,"",AN2089+tech_proj!AN1589/(1-tech_proj!AN469))</f>
        <v>28.15219721072674</v>
      </c>
      <c r="AO969" s="105">
        <f>IF(tech_base!$T65&gt;AO$905,"",AO2089+tech_proj!AO1589/(1-tech_proj!AO469))</f>
        <v>28.15619201477978</v>
      </c>
      <c r="AP969" s="105">
        <f>IF(tech_base!$T65&gt;AP$905,"",AP2089+tech_proj!AP1589/(1-tech_proj!AP469))</f>
        <v>28.154255714567611</v>
      </c>
      <c r="AQ969" s="105">
        <f>IF(tech_base!$T65&gt;AQ$905,"",AQ2089+tech_proj!AQ1589/(1-tech_proj!AQ469))</f>
        <v>28.147153607767841</v>
      </c>
      <c r="AR969" s="105">
        <f>IF(tech_base!$T65&gt;AR$905,"",AR2089+tech_proj!AR1589/(1-tech_proj!AR469))</f>
        <v>28.13592088725057</v>
      </c>
      <c r="AS969" s="105">
        <f>IF(tech_base!$T65&gt;AS$905,"",AS2089+tech_proj!AS1589/(1-tech_proj!AS469))</f>
        <v>28.121849173467616</v>
      </c>
      <c r="AT969" s="105">
        <f>IF(tech_base!$T65&gt;AT$905,"",AT2089+tech_proj!AT1589/(1-tech_proj!AT469))</f>
        <v>28.108281099350009</v>
      </c>
      <c r="AU969" s="105">
        <f>IF(tech_base!$T65&gt;AU$905,"",AU2089+tech_proj!AU1589/(1-tech_proj!AU469))</f>
        <v>28.095040444582729</v>
      </c>
      <c r="AV969" s="105">
        <f>IF(tech_base!$T65&gt;AV$905,"",AV2089+tech_proj!AV1589/(1-tech_proj!AV469))</f>
        <v>28.083860736095687</v>
      </c>
      <c r="AW969" s="105">
        <f>IF(tech_base!$T65&gt;AW$905,"",AW2089+tech_proj!AW1589/(1-tech_proj!AW469))</f>
        <v>28.076442463251567</v>
      </c>
      <c r="AX969" s="106">
        <f>IF(tech_base!$T65&gt;AX$905,"",AX2089+tech_proj!AX1589/(1-tech_proj!AX469))</f>
        <v>28.074346597652411</v>
      </c>
    </row>
    <row r="970" spans="1:50" x14ac:dyDescent="0.25">
      <c r="A970" s="356"/>
      <c r="B970" s="376"/>
      <c r="C970" s="361" t="s">
        <v>14</v>
      </c>
      <c r="D970" s="58" t="s">
        <v>7</v>
      </c>
      <c r="E970" s="164" t="str">
        <f>A951&amp;"/"&amp;B967&amp;"/"&amp;C970&amp;"/"&amp;D970</f>
        <v>Lignite fired power plants/Fluidized bed combustion/CHP/L</v>
      </c>
      <c r="F970" s="78" t="str">
        <f>A951</f>
        <v>Lignite fired power plants</v>
      </c>
      <c r="G970" s="78" t="str">
        <f>B967</f>
        <v>Fluidized bed combustion</v>
      </c>
      <c r="H970" s="78" t="str">
        <f>C970</f>
        <v>CHP</v>
      </c>
      <c r="I970" s="165" t="str">
        <f t="shared" si="367"/>
        <v>L</v>
      </c>
      <c r="J970" s="109">
        <f>IF(tech_base!$T66&gt;J$905,"",J2090+tech_proj!J1590/(1-tech_proj!J470))</f>
        <v>26.298074543923185</v>
      </c>
      <c r="K970" s="109">
        <f>IF(tech_base!$T66&gt;K$905,"",K2090+tech_proj!K1590/(1-tech_proj!K470))</f>
        <v>26.313501244064753</v>
      </c>
      <c r="L970" s="109">
        <f>IF(tech_base!$T66&gt;L$905,"",L2090+tech_proj!L1590/(1-tech_proj!L470))</f>
        <v>26.32890069465877</v>
      </c>
      <c r="M970" s="109">
        <f>IF(tech_base!$T66&gt;M$905,"",M2090+tech_proj!M1590/(1-tech_proj!M470))</f>
        <v>26.344266860572528</v>
      </c>
      <c r="N970" s="109">
        <f>IF(tech_base!$T66&gt;N$905,"",N2090+tech_proj!N1590/(1-tech_proj!N470))</f>
        <v>26.359592372483231</v>
      </c>
      <c r="O970" s="109">
        <f>IF(tech_base!$T66&gt;O$905,"",O2090+tech_proj!O1590/(1-tech_proj!O470))</f>
        <v>26.374868233131966</v>
      </c>
      <c r="P970" s="109">
        <f>IF(tech_base!$T66&gt;P$905,"",P2090+tech_proj!P1590/(1-tech_proj!P470))</f>
        <v>26.459674304011379</v>
      </c>
      <c r="Q970" s="109">
        <f>IF(tech_base!$T66&gt;Q$905,"",Q2090+tech_proj!Q1590/(1-tech_proj!Q470))</f>
        <v>26.544405122395496</v>
      </c>
      <c r="R970" s="109">
        <f>IF(tech_base!$T66&gt;R$905,"",R2090+tech_proj!R1590/(1-tech_proj!R470))</f>
        <v>26.629043930456717</v>
      </c>
      <c r="S970" s="109">
        <f>IF(tech_base!$T66&gt;S$905,"",S2090+tech_proj!S1590/(1-tech_proj!S470))</f>
        <v>26.713570257196139</v>
      </c>
      <c r="T970" s="109">
        <f>IF(tech_base!$T66&gt;T$905,"",T2090+tech_proj!T1590/(1-tech_proj!T470))</f>
        <v>26.797959104768964</v>
      </c>
      <c r="U970" s="109">
        <f>IF(tech_base!$T66&gt;U$905,"",U2090+tech_proj!U1590/(1-tech_proj!U470))</f>
        <v>26.883882643176531</v>
      </c>
      <c r="V970" s="109">
        <f>IF(tech_base!$T66&gt;V$905,"",V2090+tech_proj!V1590/(1-tech_proj!V470))</f>
        <v>26.969600886915089</v>
      </c>
      <c r="W970" s="109">
        <f>IF(tech_base!$T66&gt;W$905,"",W2090+tech_proj!W1590/(1-tech_proj!W470))</f>
        <v>27.05506843015273</v>
      </c>
      <c r="X970" s="109">
        <f>IF(tech_base!$T66&gt;X$905,"",X2090+tech_proj!X1590/(1-tech_proj!X470))</f>
        <v>27.140229960349508</v>
      </c>
      <c r="Y970" s="109">
        <f>IF(tech_base!$T66&gt;Y$905,"",Y2090+tech_proj!Y1590/(1-tech_proj!Y470))</f>
        <v>27.225018163479348</v>
      </c>
      <c r="Z970" s="109">
        <f>IF(tech_base!$T66&gt;Z$905,"",Z2090+tech_proj!Z1590/(1-tech_proj!Z470))</f>
        <v>27.311087637494509</v>
      </c>
      <c r="AA970" s="109">
        <f>IF(tech_base!$T66&gt;AA$905,"",AA2090+tech_proj!AA1590/(1-tech_proj!AA470))</f>
        <v>27.396602437668228</v>
      </c>
      <c r="AB970" s="109">
        <f>IF(tech_base!$T66&gt;AB$905,"",AB2090+tech_proj!AB1590/(1-tech_proj!AB470))</f>
        <v>27.481442184652149</v>
      </c>
      <c r="AC970" s="109">
        <f>IF(tech_base!$T66&gt;AC$905,"",AC2090+tech_proj!AC1590/(1-tech_proj!AC470))</f>
        <v>27.565461360602939</v>
      </c>
      <c r="AD970" s="109">
        <f>IF(tech_base!$T66&gt;AD$905,"",AD2090+tech_proj!AD1590/(1-tech_proj!AD470))</f>
        <v>27.648484542632019</v>
      </c>
      <c r="AE970" s="109">
        <f>IF(tech_base!$T66&gt;AE$905,"",AE2090+tech_proj!AE1590/(1-tech_proj!AE470))</f>
        <v>27.732071250107758</v>
      </c>
      <c r="AF970" s="109">
        <f>IF(tech_base!$T66&gt;AF$905,"",AF2090+tech_proj!AF1590/(1-tech_proj!AF470))</f>
        <v>27.814198449420363</v>
      </c>
      <c r="AG970" s="109">
        <f>IF(tech_base!$T66&gt;AG$905,"",AG2090+tech_proj!AG1590/(1-tech_proj!AG470))</f>
        <v>27.894565824341463</v>
      </c>
      <c r="AH970" s="109">
        <f>IF(tech_base!$T66&gt;AH$905,"",AH2090+tech_proj!AH1590/(1-tech_proj!AH470))</f>
        <v>27.972818202145664</v>
      </c>
      <c r="AI970" s="109">
        <f>IF(tech_base!$T66&gt;AI$905,"",AI2090+tech_proj!AI1590/(1-tech_proj!AI470))</f>
        <v>28.048538891326032</v>
      </c>
      <c r="AJ970" s="109">
        <f>IF(tech_base!$T66&gt;AJ$905,"",AJ2090+tech_proj!AJ1590/(1-tech_proj!AJ470))</f>
        <v>28.123047290564084</v>
      </c>
      <c r="AK970" s="109">
        <f>IF(tech_base!$T66&gt;AK$905,"",AK2090+tech_proj!AK1590/(1-tech_proj!AK470))</f>
        <v>28.193983505397107</v>
      </c>
      <c r="AL970" s="109">
        <f>IF(tech_base!$T66&gt;AL$905,"",AL2090+tech_proj!AL1590/(1-tech_proj!AL470))</f>
        <v>28.260721010530261</v>
      </c>
      <c r="AM970" s="109">
        <f>IF(tech_base!$T66&gt;AM$905,"",AM2090+tech_proj!AM1590/(1-tech_proj!AM470))</f>
        <v>28.32256783585796</v>
      </c>
      <c r="AN970" s="109">
        <f>IF(tech_base!$T66&gt;AN$905,"",AN2090+tech_proj!AN1590/(1-tech_proj!AN470))</f>
        <v>28.378781049684669</v>
      </c>
      <c r="AO970" s="109">
        <f>IF(tech_base!$T66&gt;AO$905,"",AO2090+tech_proj!AO1590/(1-tech_proj!AO470))</f>
        <v>28.430427061428695</v>
      </c>
      <c r="AP970" s="109">
        <f>IF(tech_base!$T66&gt;AP$905,"",AP2090+tech_proj!AP1590/(1-tech_proj!AP470))</f>
        <v>28.474919908816108</v>
      </c>
      <c r="AQ970" s="109">
        <f>IF(tech_base!$T66&gt;AQ$905,"",AQ2090+tech_proj!AQ1590/(1-tech_proj!AQ470))</f>
        <v>28.511590852591418</v>
      </c>
      <c r="AR970" s="109">
        <f>IF(tech_base!$T66&gt;AR$905,"",AR2090+tech_proj!AR1590/(1-tech_proj!AR470))</f>
        <v>28.539935608416442</v>
      </c>
      <c r="AS970" s="109">
        <f>IF(tech_base!$T66&gt;AS$905,"",AS2090+tech_proj!AS1590/(1-tech_proj!AS470))</f>
        <v>28.559718217685226</v>
      </c>
      <c r="AT970" s="109">
        <f>IF(tech_base!$T66&gt;AT$905,"",AT2090+tech_proj!AT1590/(1-tech_proj!AT470))</f>
        <v>28.572945732883934</v>
      </c>
      <c r="AU970" s="109">
        <f>IF(tech_base!$T66&gt;AU$905,"",AU2090+tech_proj!AU1590/(1-tech_proj!AU470))</f>
        <v>28.578404014640149</v>
      </c>
      <c r="AV970" s="109">
        <f>IF(tech_base!$T66&gt;AV$905,"",AV2090+tech_proj!AV1590/(1-tech_proj!AV470))</f>
        <v>28.577334622556208</v>
      </c>
      <c r="AW970" s="109">
        <f>IF(tech_base!$T66&gt;AW$905,"",AW2090+tech_proj!AW1590/(1-tech_proj!AW470))</f>
        <v>28.571607388846619</v>
      </c>
      <c r="AX970" s="110">
        <f>IF(tech_base!$T66&gt;AX$905,"",AX2090+tech_proj!AX1590/(1-tech_proj!AX470))</f>
        <v>28.563671243397895</v>
      </c>
    </row>
    <row r="971" spans="1:50" x14ac:dyDescent="0.25">
      <c r="A971" s="356"/>
      <c r="B971" s="376"/>
      <c r="C971" s="378"/>
      <c r="D971" s="2" t="s">
        <v>8</v>
      </c>
      <c r="E971" s="160" t="str">
        <f>A951&amp;"/"&amp;B967&amp;"/"&amp;C970&amp;"/"&amp;D971</f>
        <v>Lignite fired power plants/Fluidized bed combustion/CHP/M</v>
      </c>
      <c r="F971" s="76" t="str">
        <f>A951</f>
        <v>Lignite fired power plants</v>
      </c>
      <c r="G971" s="76" t="str">
        <f>B967</f>
        <v>Fluidized bed combustion</v>
      </c>
      <c r="H971" s="76" t="str">
        <f>C970</f>
        <v>CHP</v>
      </c>
      <c r="I971" s="161" t="str">
        <f t="shared" ref="I971:I1034" si="368">D971</f>
        <v>M</v>
      </c>
      <c r="J971" s="105">
        <f>IF(tech_base!$T67&gt;J$905,"",J2091+tech_proj!J1591/(1-tech_proj!J471))</f>
        <v>27.796600026830077</v>
      </c>
      <c r="K971" s="105">
        <f>IF(tech_base!$T67&gt;K$905,"",K2091+tech_proj!K1591/(1-tech_proj!K471))</f>
        <v>27.812677249153797</v>
      </c>
      <c r="L971" s="105">
        <f>IF(tech_base!$T67&gt;L$905,"",L2091+tech_proj!L1591/(1-tech_proj!L471))</f>
        <v>27.828697090782143</v>
      </c>
      <c r="M971" s="105">
        <f>IF(tech_base!$T67&gt;M$905,"",M2091+tech_proj!M1591/(1-tech_proj!M471))</f>
        <v>27.844648593429334</v>
      </c>
      <c r="N971" s="105">
        <f>IF(tech_base!$T67&gt;N$905,"",N2091+tech_proj!N1591/(1-tech_proj!N471))</f>
        <v>27.860518714713134</v>
      </c>
      <c r="O971" s="105">
        <f>IF(tech_base!$T67&gt;O$905,"",O2091+tech_proj!O1591/(1-tech_proj!O471))</f>
        <v>27.87629193542092</v>
      </c>
      <c r="P971" s="105">
        <f>IF(tech_base!$T67&gt;P$905,"",P2091+tech_proj!P1591/(1-tech_proj!P471))</f>
        <v>27.96524024639519</v>
      </c>
      <c r="Q971" s="105">
        <f>IF(tech_base!$T67&gt;Q$905,"",Q2091+tech_proj!Q1591/(1-tech_proj!Q471))</f>
        <v>28.054048722029798</v>
      </c>
      <c r="R971" s="105">
        <f>IF(tech_base!$T67&gt;R$905,"",R2091+tech_proj!R1591/(1-tech_proj!R471))</f>
        <v>28.142690545955894</v>
      </c>
      <c r="S971" s="105">
        <f>IF(tech_base!$T67&gt;S$905,"",S2091+tech_proj!S1591/(1-tech_proj!S471))</f>
        <v>28.231133809995484</v>
      </c>
      <c r="T971" s="105">
        <f>IF(tech_base!$T67&gt;T$905,"",T2091+tech_proj!T1591/(1-tech_proj!T471))</f>
        <v>28.319340568559383</v>
      </c>
      <c r="U971" s="105">
        <f>IF(tech_base!$T67&gt;U$905,"",U2091+tech_proj!U1591/(1-tech_proj!U471))</f>
        <v>28.409058823208454</v>
      </c>
      <c r="V971" s="105">
        <f>IF(tech_base!$T67&gt;V$905,"",V2091+tech_proj!V1591/(1-tech_proj!V471))</f>
        <v>28.4984417803757</v>
      </c>
      <c r="W971" s="105">
        <f>IF(tech_base!$T67&gt;W$905,"",W2091+tech_proj!W1591/(1-tech_proj!W471))</f>
        <v>28.587425869795766</v>
      </c>
      <c r="X971" s="105">
        <f>IF(tech_base!$T67&gt;X$905,"",X2091+tech_proj!X1591/(1-tech_proj!X471))</f>
        <v>28.675935757639554</v>
      </c>
      <c r="Y971" s="105">
        <f>IF(tech_base!$T67&gt;Y$905,"",Y2091+tech_proj!Y1591/(1-tech_proj!Y471))</f>
        <v>28.763882290466221</v>
      </c>
      <c r="Z971" s="105">
        <f>IF(tech_base!$T67&gt;Z$905,"",Z2091+tech_proj!Z1591/(1-tech_proj!Z471))</f>
        <v>28.85298854318247</v>
      </c>
      <c r="AA971" s="105">
        <f>IF(tech_base!$T67&gt;AA$905,"",AA2091+tech_proj!AA1591/(1-tech_proj!AA471))</f>
        <v>28.941301529247625</v>
      </c>
      <c r="AB971" s="105">
        <f>IF(tech_base!$T67&gt;AB$905,"",AB2091+tech_proj!AB1591/(1-tech_proj!AB471))</f>
        <v>29.028675005654364</v>
      </c>
      <c r="AC971" s="105">
        <f>IF(tech_base!$T67&gt;AC$905,"",AC2091+tech_proj!AC1591/(1-tech_proj!AC471))</f>
        <v>29.114937389427102</v>
      </c>
      <c r="AD971" s="105">
        <f>IF(tech_base!$T67&gt;AD$905,"",AD2091+tech_proj!AD1591/(1-tech_proj!AD471))</f>
        <v>29.199888040909443</v>
      </c>
      <c r="AE971" s="105">
        <f>IF(tech_base!$T67&gt;AE$905,"",AE2091+tech_proj!AE1591/(1-tech_proj!AE471))</f>
        <v>29.285156957676364</v>
      </c>
      <c r="AF971" s="105">
        <f>IF(tech_base!$T67&gt;AF$905,"",AF2091+tech_proj!AF1591/(1-tech_proj!AF471))</f>
        <v>29.368608811923949</v>
      </c>
      <c r="AG971" s="105">
        <f>IF(tech_base!$T67&gt;AG$905,"",AG2091+tech_proj!AG1591/(1-tech_proj!AG471))</f>
        <v>29.449931367511578</v>
      </c>
      <c r="AH971" s="105">
        <f>IF(tech_base!$T67&gt;AH$905,"",AH2091+tech_proj!AH1591/(1-tech_proj!AH471))</f>
        <v>29.528767460173274</v>
      </c>
      <c r="AI971" s="105">
        <f>IF(tech_base!$T67&gt;AI$905,"",AI2091+tech_proj!AI1591/(1-tech_proj!AI471))</f>
        <v>29.604712122533321</v>
      </c>
      <c r="AJ971" s="105">
        <f>IF(tech_base!$T67&gt;AJ$905,"",AJ2091+tech_proj!AJ1591/(1-tech_proj!AJ471))</f>
        <v>29.679209024936199</v>
      </c>
      <c r="AK971" s="105">
        <f>IF(tech_base!$T67&gt;AK$905,"",AK2091+tech_proj!AK1591/(1-tech_proj!AK471))</f>
        <v>29.74985580931763</v>
      </c>
      <c r="AL971" s="105">
        <f>IF(tech_base!$T67&gt;AL$905,"",AL2091+tech_proj!AL1591/(1-tech_proj!AL471))</f>
        <v>29.816105361615488</v>
      </c>
      <c r="AM971" s="105">
        <f>IF(tech_base!$T67&gt;AM$905,"",AM2091+tech_proj!AM1591/(1-tech_proj!AM471))</f>
        <v>29.87737545369928</v>
      </c>
      <c r="AN971" s="105">
        <f>IF(tech_base!$T67&gt;AN$905,"",AN2091+tech_proj!AN1591/(1-tech_proj!AN471))</f>
        <v>29.933064151481066</v>
      </c>
      <c r="AO971" s="105">
        <f>IF(tech_base!$T67&gt;AO$905,"",AO2091+tech_proj!AO1591/(1-tech_proj!AO471))</f>
        <v>29.984502334841665</v>
      </c>
      <c r="AP971" s="105">
        <f>IF(tech_base!$T67&gt;AP$905,"",AP2091+tech_proj!AP1591/(1-tech_proj!AP471))</f>
        <v>30.029195686093651</v>
      </c>
      <c r="AQ971" s="105">
        <f>IF(tech_base!$T67&gt;AQ$905,"",AQ2091+tech_proj!AQ1591/(1-tech_proj!AQ471))</f>
        <v>30.066663025902042</v>
      </c>
      <c r="AR971" s="105">
        <f>IF(tech_base!$T67&gt;AR$905,"",AR2091+tech_proj!AR1591/(1-tech_proj!AR471))</f>
        <v>30.096558773086453</v>
      </c>
      <c r="AS971" s="105">
        <f>IF(tech_base!$T67&gt;AS$905,"",AS2091+tech_proj!AS1591/(1-tech_proj!AS471))</f>
        <v>30.118736954958731</v>
      </c>
      <c r="AT971" s="105">
        <f>IF(tech_base!$T67&gt;AT$905,"",AT2091+tech_proj!AT1591/(1-tech_proj!AT471))</f>
        <v>30.135274682201619</v>
      </c>
      <c r="AU971" s="105">
        <f>IF(tech_base!$T67&gt;AU$905,"",AU2091+tech_proj!AU1591/(1-tech_proj!AU471))</f>
        <v>30.144668498154726</v>
      </c>
      <c r="AV971" s="105">
        <f>IF(tech_base!$T67&gt;AV$905,"",AV2091+tech_proj!AV1591/(1-tech_proj!AV471))</f>
        <v>30.14776475062148</v>
      </c>
      <c r="AW971" s="105">
        <f>IF(tech_base!$T67&gt;AW$905,"",AW2091+tech_proj!AW1591/(1-tech_proj!AW471))</f>
        <v>30.145826883701481</v>
      </c>
      <c r="AX971" s="106">
        <f>IF(tech_base!$T67&gt;AX$905,"",AX2091+tech_proj!AX1591/(1-tech_proj!AX471))</f>
        <v>30.140523877003751</v>
      </c>
    </row>
    <row r="972" spans="1:50" x14ac:dyDescent="0.25">
      <c r="A972" s="356"/>
      <c r="B972" s="376"/>
      <c r="C972" s="379"/>
      <c r="D972" s="59" t="s">
        <v>10</v>
      </c>
      <c r="E972" s="166" t="str">
        <f>A951&amp;"/"&amp;B967&amp;"/"&amp;C970&amp;"/"&amp;D972</f>
        <v>Lignite fired power plants/Fluidized bed combustion/CHP/S</v>
      </c>
      <c r="F972" s="79" t="str">
        <f>A951</f>
        <v>Lignite fired power plants</v>
      </c>
      <c r="G972" s="79" t="str">
        <f>B967</f>
        <v>Fluidized bed combustion</v>
      </c>
      <c r="H972" s="79" t="str">
        <f>C970</f>
        <v>CHP</v>
      </c>
      <c r="I972" s="167" t="str">
        <f t="shared" si="368"/>
        <v>S</v>
      </c>
      <c r="J972" s="111">
        <f>IF(tech_base!$T68&gt;J$905,"",J2092+tech_proj!J1592/(1-tech_proj!J472))</f>
        <v>29.761018399073286</v>
      </c>
      <c r="K972" s="111">
        <f>IF(tech_base!$T68&gt;K$905,"",K2092+tech_proj!K1592/(1-tech_proj!K472))</f>
        <v>29.777426588532862</v>
      </c>
      <c r="L972" s="111">
        <f>IF(tech_base!$T68&gt;L$905,"",L2092+tech_proj!L1592/(1-tech_proj!L472))</f>
        <v>29.793698444375323</v>
      </c>
      <c r="M972" s="111">
        <f>IF(tech_base!$T68&gt;M$905,"",M2092+tech_proj!M1592/(1-tech_proj!M472))</f>
        <v>29.809812049954761</v>
      </c>
      <c r="N972" s="111">
        <f>IF(tech_base!$T68&gt;N$905,"",N2092+tech_proj!N1592/(1-tech_proj!N472))</f>
        <v>29.82574200227177</v>
      </c>
      <c r="O972" s="111">
        <f>IF(tech_base!$T68&gt;O$905,"",O2092+tech_proj!O1592/(1-tech_proj!O472))</f>
        <v>29.841458870286534</v>
      </c>
      <c r="P972" s="111">
        <f>IF(tech_base!$T68&gt;P$905,"",P2092+tech_proj!P1592/(1-tech_proj!P472))</f>
        <v>29.934124015778867</v>
      </c>
      <c r="Q972" s="111">
        <f>IF(tech_base!$T68&gt;Q$905,"",Q2092+tech_proj!Q1592/(1-tech_proj!Q472))</f>
        <v>30.02649673635273</v>
      </c>
      <c r="R972" s="111">
        <f>IF(tech_base!$T68&gt;R$905,"",R2092+tech_proj!R1592/(1-tech_proj!R472))</f>
        <v>30.118530019851619</v>
      </c>
      <c r="S972" s="111">
        <f>IF(tech_base!$T68&gt;S$905,"",S2092+tech_proj!S1592/(1-tech_proj!S472))</f>
        <v>30.210169462958802</v>
      </c>
      <c r="T972" s="111">
        <f>IF(tech_base!$T68&gt;T$905,"",T2092+tech_proj!T1592/(1-tech_proj!T472))</f>
        <v>30.301352167434466</v>
      </c>
      <c r="U972" s="111">
        <f>IF(tech_base!$T68&gt;U$905,"",U2092+tech_proj!U1592/(1-tech_proj!U472))</f>
        <v>30.393893874349736</v>
      </c>
      <c r="V972" s="111">
        <f>IF(tech_base!$T68&gt;V$905,"",V2092+tech_proj!V1592/(1-tech_proj!V472))</f>
        <v>30.485822114849221</v>
      </c>
      <c r="W972" s="111">
        <f>IF(tech_base!$T68&gt;W$905,"",W2092+tech_proj!W1592/(1-tech_proj!W472))</f>
        <v>30.577040314714871</v>
      </c>
      <c r="X972" s="111">
        <f>IF(tech_base!$T68&gt;X$905,"",X2092+tech_proj!X1592/(1-tech_proj!X472))</f>
        <v>30.667437430641449</v>
      </c>
      <c r="Y972" s="111">
        <f>IF(tech_base!$T68&gt;Y$905,"",Y2092+tech_proj!Y1592/(1-tech_proj!Y472))</f>
        <v>30.756886038178983</v>
      </c>
      <c r="Z972" s="111">
        <f>IF(tech_base!$T68&gt;Z$905,"",Z2092+tech_proj!Z1592/(1-tech_proj!Z472))</f>
        <v>30.84716536439435</v>
      </c>
      <c r="AA972" s="111">
        <f>IF(tech_base!$T68&gt;AA$905,"",AA2092+tech_proj!AA1592/(1-tech_proj!AA472))</f>
        <v>30.936183122329389</v>
      </c>
      <c r="AB972" s="111">
        <f>IF(tech_base!$T68&gt;AB$905,"",AB2092+tech_proj!AB1592/(1-tech_proj!AB472))</f>
        <v>31.023749633947013</v>
      </c>
      <c r="AC972" s="111">
        <f>IF(tech_base!$T68&gt;AC$905,"",AC2092+tech_proj!AC1592/(1-tech_proj!AC472))</f>
        <v>31.109649857274256</v>
      </c>
      <c r="AD972" s="111">
        <f>IF(tech_base!$T68&gt;AD$905,"",AD2092+tech_proj!AD1592/(1-tech_proj!AD472))</f>
        <v>31.193641087348468</v>
      </c>
      <c r="AE972" s="111">
        <f>IF(tech_base!$T68&gt;AE$905,"",AE2092+tech_proj!AE1592/(1-tech_proj!AE472))</f>
        <v>31.277412267124518</v>
      </c>
      <c r="AF972" s="111">
        <f>IF(tech_base!$T68&gt;AF$905,"",AF2092+tech_proj!AF1592/(1-tech_proj!AF472))</f>
        <v>31.358696704238071</v>
      </c>
      <c r="AG972" s="111">
        <f>IF(tech_base!$T68&gt;AG$905,"",AG2092+tech_proj!AG1592/(1-tech_proj!AG472))</f>
        <v>31.437157568404402</v>
      </c>
      <c r="AH972" s="111">
        <f>IF(tech_base!$T68&gt;AH$905,"",AH2092+tech_proj!AH1592/(1-tech_proj!AH472))</f>
        <v>31.512425285555505</v>
      </c>
      <c r="AI972" s="111">
        <f>IF(tech_base!$T68&gt;AI$905,"",AI2092+tech_proj!AI1592/(1-tech_proj!AI472))</f>
        <v>31.584098801922266</v>
      </c>
      <c r="AJ972" s="111">
        <f>IF(tech_base!$T68&gt;AJ$905,"",AJ2092+tech_proj!AJ1592/(1-tech_proj!AJ472))</f>
        <v>31.65374492375771</v>
      </c>
      <c r="AK972" s="111">
        <f>IF(tech_base!$T68&gt;AK$905,"",AK2092+tech_proj!AK1592/(1-tech_proj!AK472))</f>
        <v>31.718912859818715</v>
      </c>
      <c r="AL972" s="111">
        <f>IF(tech_base!$T68&gt;AL$905,"",AL2092+tech_proj!AL1592/(1-tech_proj!AL472))</f>
        <v>31.779136302454539</v>
      </c>
      <c r="AM972" s="111">
        <f>IF(tech_base!$T68&gt;AM$905,"",AM2092+tech_proj!AM1592/(1-tech_proj!AM472))</f>
        <v>31.833947875432067</v>
      </c>
      <c r="AN972" s="111">
        <f>IF(tech_base!$T68&gt;AN$905,"",AN2092+tech_proj!AN1592/(1-tech_proj!AN472))</f>
        <v>31.882896514299791</v>
      </c>
      <c r="AO972" s="111">
        <f>IF(tech_base!$T68&gt;AO$905,"",AO2092+tech_proj!AO1592/(1-tech_proj!AO472))</f>
        <v>31.927597524403673</v>
      </c>
      <c r="AP972" s="111">
        <f>IF(tech_base!$T68&gt;AP$905,"",AP2092+tech_proj!AP1592/(1-tech_proj!AP472))</f>
        <v>31.965673221660825</v>
      </c>
      <c r="AQ972" s="111">
        <f>IF(tech_base!$T68&gt;AQ$905,"",AQ2092+tech_proj!AQ1592/(1-tech_proj!AQ472))</f>
        <v>31.996877353365807</v>
      </c>
      <c r="AR972" s="111">
        <f>IF(tech_base!$T68&gt;AR$905,"",AR2092+tech_proj!AR1592/(1-tech_proj!AR472))</f>
        <v>32.021100853281808</v>
      </c>
      <c r="AS972" s="111">
        <f>IF(tech_base!$T68&gt;AS$905,"",AS2092+tech_proj!AS1592/(1-tech_proj!AS472))</f>
        <v>32.038411396759116</v>
      </c>
      <c r="AT972" s="111">
        <f>IF(tech_base!$T68&gt;AT$905,"",AT2092+tech_proj!AT1592/(1-tech_proj!AT472))</f>
        <v>32.051145522076197</v>
      </c>
      <c r="AU972" s="111">
        <f>IF(tech_base!$T68&gt;AU$905,"",AU2092+tech_proj!AU1592/(1-tech_proj!AU472))</f>
        <v>32.057774474068928</v>
      </c>
      <c r="AV972" s="111">
        <f>IF(tech_base!$T68&gt;AV$905,"",AV2092+tech_proj!AV1592/(1-tech_proj!AV472))</f>
        <v>32.059101531073736</v>
      </c>
      <c r="AW972" s="111">
        <f>IF(tech_base!$T68&gt;AW$905,"",AW2092+tech_proj!AW1592/(1-tech_proj!AW472))</f>
        <v>32.056208656727684</v>
      </c>
      <c r="AX972" s="112">
        <f>IF(tech_base!$T68&gt;AX$905,"",AX2092+tech_proj!AX1592/(1-tech_proj!AX472))</f>
        <v>32.050441505103827</v>
      </c>
    </row>
    <row r="973" spans="1:50" x14ac:dyDescent="0.25">
      <c r="A973" s="356"/>
      <c r="B973" s="376"/>
      <c r="C973" s="361" t="s">
        <v>15</v>
      </c>
      <c r="D973" s="58" t="s">
        <v>7</v>
      </c>
      <c r="E973" s="164" t="str">
        <f>A951&amp;"/"&amp;B967&amp;"/"&amp;C973&amp;"/"&amp;D973</f>
        <v>Lignite fired power plants/Fluidized bed combustion/Electricity only with CCS/L</v>
      </c>
      <c r="F973" s="78" t="str">
        <f>A951</f>
        <v>Lignite fired power plants</v>
      </c>
      <c r="G973" s="78" t="str">
        <f>B967</f>
        <v>Fluidized bed combustion</v>
      </c>
      <c r="H973" s="78" t="str">
        <f>C973</f>
        <v>Electricity only with CCS</v>
      </c>
      <c r="I973" s="165" t="str">
        <f t="shared" si="368"/>
        <v>L</v>
      </c>
      <c r="J973" s="109" t="str">
        <f>IF(tech_base!$T69&gt;J$905,"",J2093+tech_proj!J1593/(1-tech_proj!J473))</f>
        <v/>
      </c>
      <c r="K973" s="109" t="str">
        <f>IF(tech_base!$T69&gt;K$905,"",K2093+tech_proj!K1593/(1-tech_proj!K473))</f>
        <v/>
      </c>
      <c r="L973" s="109" t="str">
        <f>IF(tech_base!$T69&gt;L$905,"",L2093+tech_proj!L1593/(1-tech_proj!L473))</f>
        <v/>
      </c>
      <c r="M973" s="109" t="str">
        <f>IF(tech_base!$T69&gt;M$905,"",M2093+tech_proj!M1593/(1-tech_proj!M473))</f>
        <v/>
      </c>
      <c r="N973" s="109" t="str">
        <f>IF(tech_base!$T69&gt;N$905,"",N2093+tech_proj!N1593/(1-tech_proj!N473))</f>
        <v/>
      </c>
      <c r="O973" s="109" t="str">
        <f>IF(tech_base!$T69&gt;O$905,"",O2093+tech_proj!O1593/(1-tech_proj!O473))</f>
        <v/>
      </c>
      <c r="P973" s="109" t="str">
        <f>IF(tech_base!$T69&gt;P$905,"",P2093+tech_proj!P1593/(1-tech_proj!P473))</f>
        <v/>
      </c>
      <c r="Q973" s="109" t="str">
        <f>IF(tech_base!$T69&gt;Q$905,"",Q2093+tech_proj!Q1593/(1-tech_proj!Q473))</f>
        <v/>
      </c>
      <c r="R973" s="109" t="str">
        <f>IF(tech_base!$T69&gt;R$905,"",R2093+tech_proj!R1593/(1-tech_proj!R473))</f>
        <v/>
      </c>
      <c r="S973" s="109" t="str">
        <f>IF(tech_base!$T69&gt;S$905,"",S2093+tech_proj!S1593/(1-tech_proj!S473))</f>
        <v/>
      </c>
      <c r="T973" s="109" t="str">
        <f>IF(tech_base!$T69&gt;T$905,"",T2093+tech_proj!T1593/(1-tech_proj!T473))</f>
        <v/>
      </c>
      <c r="U973" s="109" t="str">
        <f>IF(tech_base!$T69&gt;U$905,"",U2093+tech_proj!U1593/(1-tech_proj!U473))</f>
        <v/>
      </c>
      <c r="V973" s="109" t="str">
        <f>IF(tech_base!$T69&gt;V$905,"",V2093+tech_proj!V1593/(1-tech_proj!V473))</f>
        <v/>
      </c>
      <c r="W973" s="109" t="str">
        <f>IF(tech_base!$T69&gt;W$905,"",W2093+tech_proj!W1593/(1-tech_proj!W473))</f>
        <v/>
      </c>
      <c r="X973" s="109" t="str">
        <f>IF(tech_base!$T69&gt;X$905,"",X2093+tech_proj!X1593/(1-tech_proj!X473))</f>
        <v/>
      </c>
      <c r="Y973" s="109" t="str">
        <f>IF(tech_base!$T69&gt;Y$905,"",Y2093+tech_proj!Y1593/(1-tech_proj!Y473))</f>
        <v/>
      </c>
      <c r="Z973" s="109" t="str">
        <f>IF(tech_base!$T69&gt;Z$905,"",Z2093+tech_proj!Z1593/(1-tech_proj!Z473))</f>
        <v/>
      </c>
      <c r="AA973" s="109" t="str">
        <f>IF(tech_base!$T69&gt;AA$905,"",AA2093+tech_proj!AA1593/(1-tech_proj!AA473))</f>
        <v/>
      </c>
      <c r="AB973" s="109" t="str">
        <f>IF(tech_base!$T69&gt;AB$905,"",AB2093+tech_proj!AB1593/(1-tech_proj!AB473))</f>
        <v/>
      </c>
      <c r="AC973" s="109" t="str">
        <f>IF(tech_base!$T69&gt;AC$905,"",AC2093+tech_proj!AC1593/(1-tech_proj!AC473))</f>
        <v/>
      </c>
      <c r="AD973" s="109" t="str">
        <f>IF(tech_base!$T69&gt;AD$905,"",AD2093+tech_proj!AD1593/(1-tech_proj!AD473))</f>
        <v/>
      </c>
      <c r="AE973" s="109">
        <f>IF(tech_base!$T69&gt;AE$905,"",AE2093+tech_proj!AE1593/(1-tech_proj!AE473))</f>
        <v>39.632369081850022</v>
      </c>
      <c r="AF973" s="109">
        <f>IF(tech_base!$T69&gt;AF$905,"",AF2093+tech_proj!AF1593/(1-tech_proj!AF473))</f>
        <v>39.741880616241062</v>
      </c>
      <c r="AG973" s="109">
        <f>IF(tech_base!$T69&gt;AG$905,"",AG2093+tech_proj!AG1593/(1-tech_proj!AG473))</f>
        <v>39.850150982250007</v>
      </c>
      <c r="AH973" s="109">
        <f>IF(tech_base!$T69&gt;AH$905,"",AH2093+tech_proj!AH1593/(1-tech_proj!AH473))</f>
        <v>39.956830919328709</v>
      </c>
      <c r="AI973" s="109">
        <f>IF(tech_base!$T69&gt;AI$905,"",AI2093+tech_proj!AI1593/(1-tech_proj!AI473))</f>
        <v>40.06147484659045</v>
      </c>
      <c r="AJ973" s="109">
        <f>IF(tech_base!$T69&gt;AJ$905,"",AJ2093+tech_proj!AJ1593/(1-tech_proj!AJ473))</f>
        <v>40.165791798624198</v>
      </c>
      <c r="AK973" s="109">
        <f>IF(tech_base!$T69&gt;AK$905,"",AK2093+tech_proj!AK1593/(1-tech_proj!AK473))</f>
        <v>40.266784770729089</v>
      </c>
      <c r="AL973" s="109">
        <f>IF(tech_base!$T69&gt;AL$905,"",AL2093+tech_proj!AL1593/(1-tech_proj!AL473))</f>
        <v>40.363542952666279</v>
      </c>
      <c r="AM973" s="109">
        <f>IF(tech_base!$T69&gt;AM$905,"",AM2093+tech_proj!AM1593/(1-tech_proj!AM473))</f>
        <v>40.454919965965566</v>
      </c>
      <c r="AN973" s="109">
        <f>IF(tech_base!$T69&gt;AN$905,"",AN2093+tech_proj!AN1593/(1-tech_proj!AN473))</f>
        <v>40.539481832080163</v>
      </c>
      <c r="AO973" s="109">
        <f>IF(tech_base!$T69&gt;AO$905,"",AO2093+tech_proj!AO1593/(1-tech_proj!AO473))</f>
        <v>40.617767342353901</v>
      </c>
      <c r="AP973" s="109">
        <f>IF(tech_base!$T69&gt;AP$905,"",AP2093+tech_proj!AP1593/(1-tech_proj!AP473))</f>
        <v>40.685270545422725</v>
      </c>
      <c r="AQ973" s="109">
        <f>IF(tech_base!$T69&gt;AQ$905,"",AQ2093+tech_proj!AQ1593/(1-tech_proj!AQ473))</f>
        <v>40.739343876013926</v>
      </c>
      <c r="AR973" s="109">
        <f>IF(tech_base!$T69&gt;AR$905,"",AR2093+tech_proj!AR1593/(1-tech_proj!AR473))</f>
        <v>40.776838161210051</v>
      </c>
      <c r="AS973" s="109">
        <f>IF(tech_base!$T69&gt;AS$905,"",AS2093+tech_proj!AS1593/(1-tech_proj!AS473))</f>
        <v>40.794097523843185</v>
      </c>
      <c r="AT973" s="109">
        <f>IF(tech_base!$T69&gt;AT$905,"",AT2093+tech_proj!AT1593/(1-tech_proj!AT473))</f>
        <v>40.789369029092171</v>
      </c>
      <c r="AU973" s="109">
        <f>IF(tech_base!$T69&gt;AU$905,"",AU2093+tech_proj!AU1593/(1-tech_proj!AU473))</f>
        <v>40.755890777661229</v>
      </c>
      <c r="AV973" s="109">
        <f>IF(tech_base!$T69&gt;AV$905,"",AV2093+tech_proj!AV1593/(1-tech_proj!AV473))</f>
        <v>40.689258780491954</v>
      </c>
      <c r="AW973" s="109">
        <f>IF(tech_base!$T69&gt;AW$905,"",AW2093+tech_proj!AW1593/(1-tech_proj!AW473))</f>
        <v>40.585538162627607</v>
      </c>
      <c r="AX973" s="110">
        <f>IF(tech_base!$T69&gt;AX$905,"",AX2093+tech_proj!AX1593/(1-tech_proj!AX473))</f>
        <v>40.44192257701981</v>
      </c>
    </row>
    <row r="974" spans="1:50" x14ac:dyDescent="0.25">
      <c r="A974" s="356"/>
      <c r="B974" s="376"/>
      <c r="C974" s="379"/>
      <c r="D974" s="59" t="s">
        <v>8</v>
      </c>
      <c r="E974" s="166" t="str">
        <f>A951&amp;"/"&amp;B967&amp;"/"&amp;C973&amp;"/"&amp;D974</f>
        <v>Lignite fired power plants/Fluidized bed combustion/Electricity only with CCS/M</v>
      </c>
      <c r="F974" s="79" t="str">
        <f>A951</f>
        <v>Lignite fired power plants</v>
      </c>
      <c r="G974" s="79" t="str">
        <f>B967</f>
        <v>Fluidized bed combustion</v>
      </c>
      <c r="H974" s="79" t="str">
        <f>C973</f>
        <v>Electricity only with CCS</v>
      </c>
      <c r="I974" s="167" t="str">
        <f t="shared" si="368"/>
        <v>M</v>
      </c>
      <c r="J974" s="111" t="str">
        <f>IF(tech_base!$T70&gt;J$905,"",J2094+tech_proj!J1594/(1-tech_proj!J474))</f>
        <v/>
      </c>
      <c r="K974" s="111" t="str">
        <f>IF(tech_base!$T70&gt;K$905,"",K2094+tech_proj!K1594/(1-tech_proj!K474))</f>
        <v/>
      </c>
      <c r="L974" s="111" t="str">
        <f>IF(tech_base!$T70&gt;L$905,"",L2094+tech_proj!L1594/(1-tech_proj!L474))</f>
        <v/>
      </c>
      <c r="M974" s="111" t="str">
        <f>IF(tech_base!$T70&gt;M$905,"",M2094+tech_proj!M1594/(1-tech_proj!M474))</f>
        <v/>
      </c>
      <c r="N974" s="111" t="str">
        <f>IF(tech_base!$T70&gt;N$905,"",N2094+tech_proj!N1594/(1-tech_proj!N474))</f>
        <v/>
      </c>
      <c r="O974" s="111" t="str">
        <f>IF(tech_base!$T70&gt;O$905,"",O2094+tech_proj!O1594/(1-tech_proj!O474))</f>
        <v/>
      </c>
      <c r="P974" s="111" t="str">
        <f>IF(tech_base!$T70&gt;P$905,"",P2094+tech_proj!P1594/(1-tech_proj!P474))</f>
        <v/>
      </c>
      <c r="Q974" s="111" t="str">
        <f>IF(tech_base!$T70&gt;Q$905,"",Q2094+tech_proj!Q1594/(1-tech_proj!Q474))</f>
        <v/>
      </c>
      <c r="R974" s="111" t="str">
        <f>IF(tech_base!$T70&gt;R$905,"",R2094+tech_proj!R1594/(1-tech_proj!R474))</f>
        <v/>
      </c>
      <c r="S974" s="111" t="str">
        <f>IF(tech_base!$T70&gt;S$905,"",S2094+tech_proj!S1594/(1-tech_proj!S474))</f>
        <v/>
      </c>
      <c r="T974" s="111" t="str">
        <f>IF(tech_base!$T70&gt;T$905,"",T2094+tech_proj!T1594/(1-tech_proj!T474))</f>
        <v/>
      </c>
      <c r="U974" s="111" t="str">
        <f>IF(tech_base!$T70&gt;U$905,"",U2094+tech_proj!U1594/(1-tech_proj!U474))</f>
        <v/>
      </c>
      <c r="V974" s="111" t="str">
        <f>IF(tech_base!$T70&gt;V$905,"",V2094+tech_proj!V1594/(1-tech_proj!V474))</f>
        <v/>
      </c>
      <c r="W974" s="111" t="str">
        <f>IF(tech_base!$T70&gt;W$905,"",W2094+tech_proj!W1594/(1-tech_proj!W474))</f>
        <v/>
      </c>
      <c r="X974" s="111" t="str">
        <f>IF(tech_base!$T70&gt;X$905,"",X2094+tech_proj!X1594/(1-tech_proj!X474))</f>
        <v/>
      </c>
      <c r="Y974" s="111" t="str">
        <f>IF(tech_base!$T70&gt;Y$905,"",Y2094+tech_proj!Y1594/(1-tech_proj!Y474))</f>
        <v/>
      </c>
      <c r="Z974" s="111" t="str">
        <f>IF(tech_base!$T70&gt;Z$905,"",Z2094+tech_proj!Z1594/(1-tech_proj!Z474))</f>
        <v/>
      </c>
      <c r="AA974" s="111" t="str">
        <f>IF(tech_base!$T70&gt;AA$905,"",AA2094+tech_proj!AA1594/(1-tech_proj!AA474))</f>
        <v/>
      </c>
      <c r="AB974" s="111" t="str">
        <f>IF(tech_base!$T70&gt;AB$905,"",AB2094+tech_proj!AB1594/(1-tech_proj!AB474))</f>
        <v/>
      </c>
      <c r="AC974" s="111" t="str">
        <f>IF(tech_base!$T70&gt;AC$905,"",AC2094+tech_proj!AC1594/(1-tech_proj!AC474))</f>
        <v/>
      </c>
      <c r="AD974" s="111" t="str">
        <f>IF(tech_base!$T70&gt;AD$905,"",AD2094+tech_proj!AD1594/(1-tech_proj!AD474))</f>
        <v/>
      </c>
      <c r="AE974" s="111">
        <f>IF(tech_base!$T70&gt;AE$905,"",AE2094+tech_proj!AE1594/(1-tech_proj!AE474))</f>
        <v>43.121037967923463</v>
      </c>
      <c r="AF974" s="111">
        <f>IF(tech_base!$T70&gt;AF$905,"",AF2094+tech_proj!AF1594/(1-tech_proj!AF474))</f>
        <v>43.237910322156225</v>
      </c>
      <c r="AG974" s="111">
        <f>IF(tech_base!$T70&gt;AG$905,"",AG2094+tech_proj!AG1594/(1-tech_proj!AG474))</f>
        <v>43.35332118723332</v>
      </c>
      <c r="AH974" s="111">
        <f>IF(tech_base!$T70&gt;AH$905,"",AH2094+tech_proj!AH1594/(1-tech_proj!AH474))</f>
        <v>43.466859385392297</v>
      </c>
      <c r="AI974" s="111">
        <f>IF(tech_base!$T70&gt;AI$905,"",AI2094+tech_proj!AI1594/(1-tech_proj!AI474))</f>
        <v>43.578000362603277</v>
      </c>
      <c r="AJ974" s="111">
        <f>IF(tech_base!$T70&gt;AJ$905,"",AJ2094+tech_proj!AJ1594/(1-tech_proj!AJ474))</f>
        <v>43.688515212023383</v>
      </c>
      <c r="AK974" s="111">
        <f>IF(tech_base!$T70&gt;AK$905,"",AK2094+tech_proj!AK1594/(1-tech_proj!AK474))</f>
        <v>43.79511670838766</v>
      </c>
      <c r="AL974" s="111">
        <f>IF(tech_base!$T70&gt;AL$905,"",AL2094+tech_proj!AL1594/(1-tech_proj!AL474))</f>
        <v>43.896732727116891</v>
      </c>
      <c r="AM974" s="111">
        <f>IF(tech_base!$T70&gt;AM$905,"",AM2094+tech_proj!AM1594/(1-tech_proj!AM474))</f>
        <v>43.992013883511817</v>
      </c>
      <c r="AN974" s="111">
        <f>IF(tech_base!$T70&gt;AN$905,"",AN2094+tech_proj!AN1594/(1-tech_proj!AN474))</f>
        <v>44.079272286942036</v>
      </c>
      <c r="AO974" s="111">
        <f>IF(tech_base!$T70&gt;AO$905,"",AO2094+tech_proj!AO1594/(1-tech_proj!AO474))</f>
        <v>44.158896987837444</v>
      </c>
      <c r="AP974" s="111">
        <f>IF(tech_base!$T70&gt;AP$905,"",AP2094+tech_proj!AP1594/(1-tech_proj!AP474))</f>
        <v>44.2258294144034</v>
      </c>
      <c r="AQ974" s="111">
        <f>IF(tech_base!$T70&gt;AQ$905,"",AQ2094+tech_proj!AQ1594/(1-tech_proj!AQ474))</f>
        <v>44.276953118051573</v>
      </c>
      <c r="AR974" s="111">
        <f>IF(tech_base!$T70&gt;AR$905,"",AR2094+tech_proj!AR1594/(1-tech_proj!AR474))</f>
        <v>44.308560982730306</v>
      </c>
      <c r="AS974" s="111">
        <f>IF(tech_base!$T70&gt;AS$905,"",AS2094+tech_proj!AS1594/(1-tech_proj!AS474))</f>
        <v>44.316348964430063</v>
      </c>
      <c r="AT974" s="111">
        <f>IF(tech_base!$T70&gt;AT$905,"",AT2094+tech_proj!AT1594/(1-tech_proj!AT474))</f>
        <v>44.298002387347914</v>
      </c>
      <c r="AU974" s="111">
        <f>IF(tech_base!$T70&gt;AU$905,"",AU2094+tech_proj!AU1594/(1-tech_proj!AU474))</f>
        <v>44.245808586129002</v>
      </c>
      <c r="AV974" s="111">
        <f>IF(tech_base!$T70&gt;AV$905,"",AV2094+tech_proj!AV1594/(1-tech_proj!AV474))</f>
        <v>44.154577939043747</v>
      </c>
      <c r="AW974" s="111">
        <f>IF(tech_base!$T70&gt;AW$905,"",AW2094+tech_proj!AW1594/(1-tech_proj!AW474))</f>
        <v>44.019669250563354</v>
      </c>
      <c r="AX974" s="112">
        <f>IF(tech_base!$T70&gt;AX$905,"",AX2094+tech_proj!AX1594/(1-tech_proj!AX474))</f>
        <v>43.837764637034219</v>
      </c>
    </row>
    <row r="975" spans="1:50" x14ac:dyDescent="0.25">
      <c r="A975" s="356"/>
      <c r="B975" s="376"/>
      <c r="C975" s="361" t="s">
        <v>16</v>
      </c>
      <c r="D975" s="2" t="s">
        <v>7</v>
      </c>
      <c r="E975" s="160" t="str">
        <f>A951&amp;"/"&amp;B967&amp;"/"&amp;C975&amp;"/"&amp;D975</f>
        <v>Lignite fired power plants/Fluidized bed combustion/CHP with CCS/L</v>
      </c>
      <c r="F975" s="76" t="str">
        <f>A951</f>
        <v>Lignite fired power plants</v>
      </c>
      <c r="G975" s="76" t="str">
        <f>B967</f>
        <v>Fluidized bed combustion</v>
      </c>
      <c r="H975" s="76" t="str">
        <f>C975</f>
        <v>CHP with CCS</v>
      </c>
      <c r="I975" s="161" t="str">
        <f t="shared" si="368"/>
        <v>L</v>
      </c>
      <c r="J975" s="105" t="str">
        <f>IF(tech_base!$T71&gt;J$905,"",J2095+tech_proj!J1595/(1-tech_proj!J475))</f>
        <v/>
      </c>
      <c r="K975" s="105" t="str">
        <f>IF(tech_base!$T71&gt;K$905,"",K2095+tech_proj!K1595/(1-tech_proj!K475))</f>
        <v/>
      </c>
      <c r="L975" s="105" t="str">
        <f>IF(tech_base!$T71&gt;L$905,"",L2095+tech_proj!L1595/(1-tech_proj!L475))</f>
        <v/>
      </c>
      <c r="M975" s="105" t="str">
        <f>IF(tech_base!$T71&gt;M$905,"",M2095+tech_proj!M1595/(1-tech_proj!M475))</f>
        <v/>
      </c>
      <c r="N975" s="105" t="str">
        <f>IF(tech_base!$T71&gt;N$905,"",N2095+tech_proj!N1595/(1-tech_proj!N475))</f>
        <v/>
      </c>
      <c r="O975" s="105" t="str">
        <f>IF(tech_base!$T71&gt;O$905,"",O2095+tech_proj!O1595/(1-tech_proj!O475))</f>
        <v/>
      </c>
      <c r="P975" s="105" t="str">
        <f>IF(tech_base!$T71&gt;P$905,"",P2095+tech_proj!P1595/(1-tech_proj!P475))</f>
        <v/>
      </c>
      <c r="Q975" s="105" t="str">
        <f>IF(tech_base!$T71&gt;Q$905,"",Q2095+tech_proj!Q1595/(1-tech_proj!Q475))</f>
        <v/>
      </c>
      <c r="R975" s="105" t="str">
        <f>IF(tech_base!$T71&gt;R$905,"",R2095+tech_proj!R1595/(1-tech_proj!R475))</f>
        <v/>
      </c>
      <c r="S975" s="105" t="str">
        <f>IF(tech_base!$T71&gt;S$905,"",S2095+tech_proj!S1595/(1-tech_proj!S475))</f>
        <v/>
      </c>
      <c r="T975" s="105" t="str">
        <f>IF(tech_base!$T71&gt;T$905,"",T2095+tech_proj!T1595/(1-tech_proj!T475))</f>
        <v/>
      </c>
      <c r="U975" s="105" t="str">
        <f>IF(tech_base!$T71&gt;U$905,"",U2095+tech_proj!U1595/(1-tech_proj!U475))</f>
        <v/>
      </c>
      <c r="V975" s="105" t="str">
        <f>IF(tech_base!$T71&gt;V$905,"",V2095+tech_proj!V1595/(1-tech_proj!V475))</f>
        <v/>
      </c>
      <c r="W975" s="105" t="str">
        <f>IF(tech_base!$T71&gt;W$905,"",W2095+tech_proj!W1595/(1-tech_proj!W475))</f>
        <v/>
      </c>
      <c r="X975" s="105" t="str">
        <f>IF(tech_base!$T71&gt;X$905,"",X2095+tech_proj!X1595/(1-tech_proj!X475))</f>
        <v/>
      </c>
      <c r="Y975" s="105" t="str">
        <f>IF(tech_base!$T71&gt;Y$905,"",Y2095+tech_proj!Y1595/(1-tech_proj!Y475))</f>
        <v/>
      </c>
      <c r="Z975" s="105" t="str">
        <f>IF(tech_base!$T71&gt;Z$905,"",Z2095+tech_proj!Z1595/(1-tech_proj!Z475))</f>
        <v/>
      </c>
      <c r="AA975" s="105" t="str">
        <f>IF(tech_base!$T71&gt;AA$905,"",AA2095+tech_proj!AA1595/(1-tech_proj!AA475))</f>
        <v/>
      </c>
      <c r="AB975" s="105" t="str">
        <f>IF(tech_base!$T71&gt;AB$905,"",AB2095+tech_proj!AB1595/(1-tech_proj!AB475))</f>
        <v/>
      </c>
      <c r="AC975" s="105" t="str">
        <f>IF(tech_base!$T71&gt;AC$905,"",AC2095+tech_proj!AC1595/(1-tech_proj!AC475))</f>
        <v/>
      </c>
      <c r="AD975" s="105" t="str">
        <f>IF(tech_base!$T71&gt;AD$905,"",AD2095+tech_proj!AD1595/(1-tech_proj!AD475))</f>
        <v/>
      </c>
      <c r="AE975" s="105">
        <f>IF(tech_base!$T71&gt;AE$905,"",AE2095+tech_proj!AE1595/(1-tech_proj!AE475))</f>
        <v>44.989520134862062</v>
      </c>
      <c r="AF975" s="105">
        <f>IF(tech_base!$T71&gt;AF$905,"",AF2095+tech_proj!AF1595/(1-tech_proj!AF475))</f>
        <v>45.116011486246677</v>
      </c>
      <c r="AG975" s="105">
        <f>IF(tech_base!$T71&gt;AG$905,"",AG2095+tech_proj!AG1595/(1-tech_proj!AG475))</f>
        <v>45.241364927246529</v>
      </c>
      <c r="AH975" s="105">
        <f>IF(tech_base!$T71&gt;AH$905,"",AH2095+tech_proj!AH1595/(1-tech_proj!AH475))</f>
        <v>45.365260254233313</v>
      </c>
      <c r="AI975" s="105">
        <f>IF(tech_base!$T71&gt;AI$905,"",AI2095+tech_proj!AI1595/(1-tech_proj!AI475))</f>
        <v>45.487288973347276</v>
      </c>
      <c r="AJ975" s="105">
        <f>IF(tech_base!$T71&gt;AJ$905,"",AJ2095+tech_proj!AJ1595/(1-tech_proj!AJ475))</f>
        <v>45.609539766378397</v>
      </c>
      <c r="AK975" s="105">
        <f>IF(tech_base!$T71&gt;AK$905,"",AK2095+tech_proj!AK1595/(1-tech_proj!AK475))</f>
        <v>45.728743297990377</v>
      </c>
      <c r="AL975" s="105">
        <f>IF(tech_base!$T71&gt;AL$905,"",AL2095+tech_proj!AL1595/(1-tech_proj!AL475))</f>
        <v>45.844064790267616</v>
      </c>
      <c r="AM975" s="105">
        <f>IF(tech_base!$T71&gt;AM$905,"",AM2095+tech_proj!AM1595/(1-tech_proj!AM475))</f>
        <v>45.954453740919604</v>
      </c>
      <c r="AN975" s="105">
        <f>IF(tech_base!$T71&gt;AN$905,"",AN2095+tech_proj!AN1595/(1-tech_proj!AN475))</f>
        <v>46.058596405863611</v>
      </c>
      <c r="AO975" s="105">
        <f>IF(tech_base!$T71&gt;AO$905,"",AO2095+tech_proj!AO1595/(1-tech_proj!AO475))</f>
        <v>46.157520565377958</v>
      </c>
      <c r="AP975" s="105">
        <f>IF(tech_base!$T71&gt;AP$905,"",AP2095+tech_proj!AP1595/(1-tech_proj!AP475))</f>
        <v>46.246565851306336</v>
      </c>
      <c r="AQ975" s="105">
        <f>IF(tech_base!$T71&gt;AQ$905,"",AQ2095+tech_proj!AQ1595/(1-tech_proj!AQ475))</f>
        <v>46.323309861372152</v>
      </c>
      <c r="AR975" s="105">
        <f>IF(tech_base!$T71&gt;AR$905,"",AR2095+tech_proj!AR1595/(1-tech_proj!AR475))</f>
        <v>46.384873520226776</v>
      </c>
      <c r="AS975" s="105">
        <f>IF(tech_base!$T71&gt;AS$905,"",AS2095+tech_proj!AS1595/(1-tech_proj!AS475))</f>
        <v>46.42791817399754</v>
      </c>
      <c r="AT975" s="105">
        <f>IF(tech_base!$T71&gt;AT$905,"",AT2095+tech_proj!AT1595/(1-tech_proj!AT475))</f>
        <v>46.451399837654677</v>
      </c>
      <c r="AU975" s="105">
        <f>IF(tech_base!$T71&gt;AU$905,"",AU2095+tech_proj!AU1595/(1-tech_proj!AU475))</f>
        <v>46.44860776105368</v>
      </c>
      <c r="AV975" s="105">
        <f>IF(tech_base!$T71&gt;AV$905,"",AV2095+tech_proj!AV1595/(1-tech_proj!AV475))</f>
        <v>46.415550345618584</v>
      </c>
      <c r="AW975" s="105">
        <f>IF(tech_base!$T71&gt;AW$905,"",AW2095+tech_proj!AW1595/(1-tech_proj!AW475))</f>
        <v>46.348684815205559</v>
      </c>
      <c r="AX975" s="106">
        <f>IF(tech_base!$T71&gt;AX$905,"",AX2095+tech_proj!AX1595/(1-tech_proj!AX475))</f>
        <v>46.245524466123086</v>
      </c>
    </row>
    <row r="976" spans="1:50" x14ac:dyDescent="0.25">
      <c r="A976" s="356"/>
      <c r="B976" s="380"/>
      <c r="C976" s="381"/>
      <c r="D976" s="4" t="s">
        <v>8</v>
      </c>
      <c r="E976" s="168" t="str">
        <f>A951&amp;"/"&amp;B967&amp;"/"&amp;C975&amp;"/"&amp;D976</f>
        <v>Lignite fired power plants/Fluidized bed combustion/CHP with CCS/M</v>
      </c>
      <c r="F976" s="80" t="str">
        <f>A951</f>
        <v>Lignite fired power plants</v>
      </c>
      <c r="G976" s="80" t="str">
        <f>B967</f>
        <v>Fluidized bed combustion</v>
      </c>
      <c r="H976" s="80" t="str">
        <f>C975</f>
        <v>CHP with CCS</v>
      </c>
      <c r="I976" s="169" t="str">
        <f t="shared" si="368"/>
        <v>M</v>
      </c>
      <c r="J976" s="113" t="str">
        <f>IF(tech_base!$T72&gt;J$905,"",J2096+tech_proj!J1596/(1-tech_proj!J476))</f>
        <v/>
      </c>
      <c r="K976" s="113" t="str">
        <f>IF(tech_base!$T72&gt;K$905,"",K2096+tech_proj!K1596/(1-tech_proj!K476))</f>
        <v/>
      </c>
      <c r="L976" s="113" t="str">
        <f>IF(tech_base!$T72&gt;L$905,"",L2096+tech_proj!L1596/(1-tech_proj!L476))</f>
        <v/>
      </c>
      <c r="M976" s="113" t="str">
        <f>IF(tech_base!$T72&gt;M$905,"",M2096+tech_proj!M1596/(1-tech_proj!M476))</f>
        <v/>
      </c>
      <c r="N976" s="113" t="str">
        <f>IF(tech_base!$T72&gt;N$905,"",N2096+tech_proj!N1596/(1-tech_proj!N476))</f>
        <v/>
      </c>
      <c r="O976" s="113" t="str">
        <f>IF(tech_base!$T72&gt;O$905,"",O2096+tech_proj!O1596/(1-tech_proj!O476))</f>
        <v/>
      </c>
      <c r="P976" s="113" t="str">
        <f>IF(tech_base!$T72&gt;P$905,"",P2096+tech_proj!P1596/(1-tech_proj!P476))</f>
        <v/>
      </c>
      <c r="Q976" s="113" t="str">
        <f>IF(tech_base!$T72&gt;Q$905,"",Q2096+tech_proj!Q1596/(1-tech_proj!Q476))</f>
        <v/>
      </c>
      <c r="R976" s="113" t="str">
        <f>IF(tech_base!$T72&gt;R$905,"",R2096+tech_proj!R1596/(1-tech_proj!R476))</f>
        <v/>
      </c>
      <c r="S976" s="113" t="str">
        <f>IF(tech_base!$T72&gt;S$905,"",S2096+tech_proj!S1596/(1-tech_proj!S476))</f>
        <v/>
      </c>
      <c r="T976" s="113" t="str">
        <f>IF(tech_base!$T72&gt;T$905,"",T2096+tech_proj!T1596/(1-tech_proj!T476))</f>
        <v/>
      </c>
      <c r="U976" s="113" t="str">
        <f>IF(tech_base!$T72&gt;U$905,"",U2096+tech_proj!U1596/(1-tech_proj!U476))</f>
        <v/>
      </c>
      <c r="V976" s="113" t="str">
        <f>IF(tech_base!$T72&gt;V$905,"",V2096+tech_proj!V1596/(1-tech_proj!V476))</f>
        <v/>
      </c>
      <c r="W976" s="113" t="str">
        <f>IF(tech_base!$T72&gt;W$905,"",W2096+tech_proj!W1596/(1-tech_proj!W476))</f>
        <v/>
      </c>
      <c r="X976" s="113" t="str">
        <f>IF(tech_base!$T72&gt;X$905,"",X2096+tech_proj!X1596/(1-tech_proj!X476))</f>
        <v/>
      </c>
      <c r="Y976" s="113" t="str">
        <f>IF(tech_base!$T72&gt;Y$905,"",Y2096+tech_proj!Y1596/(1-tech_proj!Y476))</f>
        <v/>
      </c>
      <c r="Z976" s="113" t="str">
        <f>IF(tech_base!$T72&gt;Z$905,"",Z2096+tech_proj!Z1596/(1-tech_proj!Z476))</f>
        <v/>
      </c>
      <c r="AA976" s="113" t="str">
        <f>IF(tech_base!$T72&gt;AA$905,"",AA2096+tech_proj!AA1596/(1-tech_proj!AA476))</f>
        <v/>
      </c>
      <c r="AB976" s="113" t="str">
        <f>IF(tech_base!$T72&gt;AB$905,"",AB2096+tech_proj!AB1596/(1-tech_proj!AB476))</f>
        <v/>
      </c>
      <c r="AC976" s="113" t="str">
        <f>IF(tech_base!$T72&gt;AC$905,"",AC2096+tech_proj!AC1596/(1-tech_proj!AC476))</f>
        <v/>
      </c>
      <c r="AD976" s="113" t="str">
        <f>IF(tech_base!$T72&gt;AD$905,"",AD2096+tech_proj!AD1596/(1-tech_proj!AD476))</f>
        <v/>
      </c>
      <c r="AE976" s="113">
        <f>IF(tech_base!$T72&gt;AE$905,"",AE2096+tech_proj!AE1596/(1-tech_proj!AE476))</f>
        <v>48.94825108385443</v>
      </c>
      <c r="AF976" s="113">
        <f>IF(tech_base!$T72&gt;AF$905,"",AF2096+tech_proj!AF1596/(1-tech_proj!AF476))</f>
        <v>49.08356630083501</v>
      </c>
      <c r="AG976" s="113">
        <f>IF(tech_base!$T72&gt;AG$905,"",AG2096+tech_proj!AG1596/(1-tech_proj!AG476))</f>
        <v>49.217482739645916</v>
      </c>
      <c r="AH976" s="113">
        <f>IF(tech_base!$T72&gt;AH$905,"",AH2096+tech_proj!AH1596/(1-tech_proj!AH476))</f>
        <v>49.349606838038689</v>
      </c>
      <c r="AI976" s="113">
        <f>IF(tech_base!$T72&gt;AI$905,"",AI2096+tech_proj!AI1596/(1-tech_proj!AI476))</f>
        <v>49.479436521852229</v>
      </c>
      <c r="AJ976" s="113">
        <f>IF(tech_base!$T72&gt;AJ$905,"",AJ2096+tech_proj!AJ1596/(1-tech_proj!AJ476))</f>
        <v>49.60913596763465</v>
      </c>
      <c r="AK976" s="113">
        <f>IF(tech_base!$T72&gt;AK$905,"",AK2096+tech_proj!AK1596/(1-tech_proj!AK476))</f>
        <v>49.73508989830308</v>
      </c>
      <c r="AL976" s="113">
        <f>IF(tech_base!$T72&gt;AL$905,"",AL2096+tech_proj!AL1596/(1-tech_proj!AL476))</f>
        <v>49.856272283495684</v>
      </c>
      <c r="AM976" s="113">
        <f>IF(tech_base!$T72&gt;AM$905,"",AM2096+tech_proj!AM1596/(1-tech_proj!AM476))</f>
        <v>49.971391894016904</v>
      </c>
      <c r="AN976" s="113">
        <f>IF(tech_base!$T72&gt;AN$905,"",AN2096+tech_proj!AN1596/(1-tech_proj!AN476))</f>
        <v>50.07883383328474</v>
      </c>
      <c r="AO976" s="113">
        <f>IF(tech_base!$T72&gt;AO$905,"",AO2096+tech_proj!AO1596/(1-tech_proj!AO476))</f>
        <v>50.179449961989015</v>
      </c>
      <c r="AP976" s="113">
        <f>IF(tech_base!$T72&gt;AP$905,"",AP2096+tech_proj!AP1596/(1-tech_proj!AP476))</f>
        <v>50.267922442649407</v>
      </c>
      <c r="AQ976" s="113">
        <f>IF(tech_base!$T72&gt;AQ$905,"",AQ2096+tech_proj!AQ1596/(1-tech_proj!AQ476))</f>
        <v>50.341272318512893</v>
      </c>
      <c r="AR976" s="113">
        <f>IF(tech_base!$T72&gt;AR$905,"",AR2096+tech_proj!AR1596/(1-tech_proj!AR476))</f>
        <v>50.395958037092711</v>
      </c>
      <c r="AS976" s="113">
        <f>IF(tech_base!$T72&gt;AS$905,"",AS2096+tech_proj!AS1596/(1-tech_proj!AS476))</f>
        <v>50.427871058298564</v>
      </c>
      <c r="AT976" s="113">
        <f>IF(tech_base!$T72&gt;AT$905,"",AT2096+tech_proj!AT1596/(1-tech_proj!AT476))</f>
        <v>50.435301071329214</v>
      </c>
      <c r="AU976" s="113">
        <f>IF(tech_base!$T72&gt;AU$905,"",AU2096+tech_proj!AU1596/(1-tech_proj!AU476))</f>
        <v>50.410405712725193</v>
      </c>
      <c r="AV976" s="113">
        <f>IF(tech_base!$T72&gt;AV$905,"",AV2096+tech_proj!AV1596/(1-tech_proj!AV476))</f>
        <v>50.348258735841121</v>
      </c>
      <c r="AW976" s="113">
        <f>IF(tech_base!$T72&gt;AW$905,"",AW2096+tech_proj!AW1596/(1-tech_proj!AW476))</f>
        <v>50.244476413856987</v>
      </c>
      <c r="AX976" s="114">
        <f>IF(tech_base!$T72&gt;AX$905,"",AX2096+tech_proj!AX1596/(1-tech_proj!AX476))</f>
        <v>50.095962269989933</v>
      </c>
    </row>
    <row r="977" spans="1:50" x14ac:dyDescent="0.25">
      <c r="A977" s="356"/>
      <c r="B977" s="358" t="s">
        <v>19</v>
      </c>
      <c r="C977" s="353" t="s">
        <v>6</v>
      </c>
      <c r="D977" s="3" t="s">
        <v>7</v>
      </c>
      <c r="E977" s="162" t="str">
        <f>A951&amp;"/"&amp;B977&amp;"/"&amp;C977&amp;"/"&amp;D977</f>
        <v>Lignite fired power plants/Steam turbine/Electricity only/L</v>
      </c>
      <c r="F977" s="77" t="str">
        <f>A951</f>
        <v>Lignite fired power plants</v>
      </c>
      <c r="G977" s="77" t="str">
        <f>B977</f>
        <v>Steam turbine</v>
      </c>
      <c r="H977" s="77" t="str">
        <f>C977</f>
        <v>Electricity only</v>
      </c>
      <c r="I977" s="163" t="str">
        <f t="shared" si="368"/>
        <v>L</v>
      </c>
      <c r="J977" s="107">
        <f>IF(tech_base!$T73&gt;J$905,"",J2097+tech_proj!J1597/(1-tech_proj!J477))</f>
        <v>22.600644472372192</v>
      </c>
      <c r="K977" s="107">
        <f>IF(tech_base!$T73&gt;K$905,"",K2097+tech_proj!K1597/(1-tech_proj!K477))</f>
        <v>22.616497927232441</v>
      </c>
      <c r="L977" s="107">
        <f>IF(tech_base!$T73&gt;L$905,"",L2097+tech_proj!L1597/(1-tech_proj!L477))</f>
        <v>22.632352521149109</v>
      </c>
      <c r="M977" s="107">
        <f>IF(tech_base!$T73&gt;M$905,"",M2097+tech_proj!M1597/(1-tech_proj!M477))</f>
        <v>22.648207485390735</v>
      </c>
      <c r="N977" s="107">
        <f>IF(tech_base!$T73&gt;N$905,"",N2097+tech_proj!N1597/(1-tech_proj!N477))</f>
        <v>22.664062049578508</v>
      </c>
      <c r="O977" s="107">
        <f>IF(tech_base!$T73&gt;O$905,"",O2097+tech_proj!O1597/(1-tech_proj!O477))</f>
        <v>22.679915443251307</v>
      </c>
      <c r="P977" s="107">
        <f>IF(tech_base!$T73&gt;P$905,"",P2097+tech_proj!P1597/(1-tech_proj!P477))</f>
        <v>22.760019226394757</v>
      </c>
      <c r="Q977" s="107">
        <f>IF(tech_base!$T73&gt;Q$905,"",Q2097+tech_proj!Q1597/(1-tech_proj!Q477))</f>
        <v>22.840102269997661</v>
      </c>
      <c r="R977" s="107">
        <f>IF(tech_base!$T73&gt;R$905,"",R2097+tech_proj!R1597/(1-tech_proj!R477))</f>
        <v>22.920163921053245</v>
      </c>
      <c r="S977" s="107">
        <f>IF(tech_base!$T73&gt;S$905,"",S2097+tech_proj!S1597/(1-tech_proj!S477))</f>
        <v>23.000203549689978</v>
      </c>
      <c r="T977" s="107">
        <f>IF(tech_base!$T73&gt;T$905,"",T2097+tech_proj!T1597/(1-tech_proj!T477))</f>
        <v>23.080220550175859</v>
      </c>
      <c r="U977" s="107">
        <f>IF(tech_base!$T73&gt;U$905,"",U2097+tech_proj!U1597/(1-tech_proj!U477))</f>
        <v>23.161785419337129</v>
      </c>
      <c r="V977" s="107">
        <f>IF(tech_base!$T73&gt;V$905,"",V2097+tech_proj!V1597/(1-tech_proj!V477))</f>
        <v>23.243326094549253</v>
      </c>
      <c r="W977" s="107">
        <f>IF(tech_base!$T73&gt;W$905,"",W2097+tech_proj!W1597/(1-tech_proj!W477))</f>
        <v>23.324842051903882</v>
      </c>
      <c r="X977" s="107">
        <f>IF(tech_base!$T73&gt;X$905,"",X2097+tech_proj!X1597/(1-tech_proj!X477))</f>
        <v>23.406332795239031</v>
      </c>
      <c r="Y977" s="107">
        <f>IF(tech_base!$T73&gt;Y$905,"",Y2097+tech_proj!Y1597/(1-tech_proj!Y477))</f>
        <v>23.487797856730388</v>
      </c>
      <c r="Z977" s="107">
        <f>IF(tech_base!$T73&gt;Z$905,"",Z2097+tech_proj!Z1597/(1-tech_proj!Z477))</f>
        <v>23.570838213933101</v>
      </c>
      <c r="AA977" s="107">
        <f>IF(tech_base!$T73&gt;AA$905,"",AA2097+tech_proj!AA1597/(1-tech_proj!AA477))</f>
        <v>23.653851617475993</v>
      </c>
      <c r="AB977" s="107">
        <f>IF(tech_base!$T73&gt;AB$905,"",AB2097+tech_proj!AB1597/(1-tech_proj!AB477))</f>
        <v>23.736837692768724</v>
      </c>
      <c r="AC977" s="107">
        <f>IF(tech_base!$T73&gt;AC$905,"",AC2097+tech_proj!AC1597/(1-tech_proj!AC477))</f>
        <v>23.819796095379111</v>
      </c>
      <c r="AD977" s="107">
        <f>IF(tech_base!$T73&gt;AD$905,"",AD2097+tech_proj!AD1597/(1-tech_proj!AD477))</f>
        <v>23.902726511182617</v>
      </c>
      <c r="AE977" s="107">
        <f>IF(tech_base!$T73&gt;AE$905,"",AE2097+tech_proj!AE1597/(1-tech_proj!AE477))</f>
        <v>23.987261041877211</v>
      </c>
      <c r="AF977" s="107">
        <f>IF(tech_base!$T73&gt;AF$905,"",AF2097+tech_proj!AF1597/(1-tech_proj!AF477))</f>
        <v>24.071766637305657</v>
      </c>
      <c r="AG977" s="107">
        <f>IF(tech_base!$T73&gt;AG$905,"",AG2097+tech_proj!AG1597/(1-tech_proj!AG477))</f>
        <v>24.156243081034731</v>
      </c>
      <c r="AH977" s="107">
        <f>IF(tech_base!$T73&gt;AH$905,"",AH2097+tech_proj!AH1597/(1-tech_proj!AH477))</f>
        <v>24.240690186962297</v>
      </c>
      <c r="AI977" s="107">
        <f>IF(tech_base!$T73&gt;AI$905,"",AI2097+tech_proj!AI1597/(1-tech_proj!AI477))</f>
        <v>24.325107799052684</v>
      </c>
      <c r="AJ977" s="107">
        <f>IF(tech_base!$T73&gt;AJ$905,"",AJ2097+tech_proj!AJ1597/(1-tech_proj!AJ477))</f>
        <v>24.411159798650978</v>
      </c>
      <c r="AK977" s="107">
        <f>IF(tech_base!$T73&gt;AK$905,"",AK2097+tech_proj!AK1597/(1-tech_proj!AK477))</f>
        <v>24.497181685485863</v>
      </c>
      <c r="AL977" s="107">
        <f>IF(tech_base!$T73&gt;AL$905,"",AL2097+tech_proj!AL1597/(1-tech_proj!AL477))</f>
        <v>24.583173399061849</v>
      </c>
      <c r="AM977" s="107">
        <f>IF(tech_base!$T73&gt;AM$905,"",AM2097+tech_proj!AM1597/(1-tech_proj!AM477))</f>
        <v>24.669134907378311</v>
      </c>
      <c r="AN977" s="107">
        <f>IF(tech_base!$T73&gt;AN$905,"",AN2097+tech_proj!AN1597/(1-tech_proj!AN477))</f>
        <v>24.755066206323995</v>
      </c>
      <c r="AO977" s="107">
        <f>IF(tech_base!$T73&gt;AO$905,"",AO2097+tech_proj!AO1597/(1-tech_proj!AO477))</f>
        <v>24.842663624272284</v>
      </c>
      <c r="AP977" s="107">
        <f>IF(tech_base!$T73&gt;AP$905,"",AP2097+tech_proj!AP1597/(1-tech_proj!AP477))</f>
        <v>24.930230528765748</v>
      </c>
      <c r="AQ977" s="107">
        <f>IF(tech_base!$T73&gt;AQ$905,"",AQ2097+tech_proj!AQ1597/(1-tech_proj!AQ477))</f>
        <v>25.017767003526387</v>
      </c>
      <c r="AR977" s="107">
        <f>IF(tech_base!$T73&gt;AR$905,"",AR2097+tech_proj!AR1597/(1-tech_proj!AR477))</f>
        <v>25.105273157352798</v>
      </c>
      <c r="AS977" s="107">
        <f>IF(tech_base!$T73&gt;AS$905,"",AS2097+tech_proj!AS1597/(1-tech_proj!AS477))</f>
        <v>25.19274912327413</v>
      </c>
      <c r="AT977" s="107">
        <f>IF(tech_base!$T73&gt;AT$905,"",AT2097+tech_proj!AT1597/(1-tech_proj!AT477))</f>
        <v>25.28192435655</v>
      </c>
      <c r="AU977" s="107">
        <f>IF(tech_base!$T73&gt;AU$905,"",AU2097+tech_proj!AU1597/(1-tech_proj!AU477))</f>
        <v>25.371069381423936</v>
      </c>
      <c r="AV977" s="107">
        <f>IF(tech_base!$T73&gt;AV$905,"",AV2097+tech_proj!AV1597/(1-tech_proj!AV477))</f>
        <v>25.460184406990649</v>
      </c>
      <c r="AW977" s="107">
        <f>IF(tech_base!$T73&gt;AW$905,"",AW2097+tech_proj!AW1597/(1-tech_proj!AW477))</f>
        <v>25.549269662950593</v>
      </c>
      <c r="AX977" s="108">
        <f>IF(tech_base!$T73&gt;AX$905,"",AX2097+tech_proj!AX1597/(1-tech_proj!AX477))</f>
        <v>25.638325398632432</v>
      </c>
    </row>
    <row r="978" spans="1:50" x14ac:dyDescent="0.25">
      <c r="A978" s="356"/>
      <c r="B978" s="376"/>
      <c r="C978" s="378"/>
      <c r="D978" s="2" t="s">
        <v>8</v>
      </c>
      <c r="E978" s="160" t="str">
        <f>A951&amp;"/"&amp;B977&amp;"/"&amp;C977&amp;"/"&amp;D978</f>
        <v>Lignite fired power plants/Steam turbine/Electricity only/M</v>
      </c>
      <c r="F978" s="76" t="str">
        <f>A951</f>
        <v>Lignite fired power plants</v>
      </c>
      <c r="G978" s="76" t="str">
        <f>B977</f>
        <v>Steam turbine</v>
      </c>
      <c r="H978" s="76" t="str">
        <f>C977</f>
        <v>Electricity only</v>
      </c>
      <c r="I978" s="161" t="str">
        <f t="shared" si="368"/>
        <v>M</v>
      </c>
      <c r="J978" s="105">
        <f>IF(tech_base!$T74&gt;J$905,"",J2098+tech_proj!J1598/(1-tech_proj!J478))</f>
        <v>23.924807038169966</v>
      </c>
      <c r="K978" s="105">
        <f>IF(tech_base!$T74&gt;K$905,"",K2098+tech_proj!K1598/(1-tech_proj!K478))</f>
        <v>23.941230447840265</v>
      </c>
      <c r="L978" s="105">
        <f>IF(tech_base!$T74&gt;L$905,"",L2098+tech_proj!L1598/(1-tech_proj!L478))</f>
        <v>23.957653953946622</v>
      </c>
      <c r="M978" s="105">
        <f>IF(tech_base!$T74&gt;M$905,"",M2098+tech_proj!M1598/(1-tech_proj!M478))</f>
        <v>23.974076901102027</v>
      </c>
      <c r="N978" s="105">
        <f>IF(tech_base!$T74&gt;N$905,"",N2098+tech_proj!N1598/(1-tech_proj!N478))</f>
        <v>23.990498634564286</v>
      </c>
      <c r="O978" s="105">
        <f>IF(tech_base!$T74&gt;O$905,"",O2098+tech_proj!O1598/(1-tech_proj!O478))</f>
        <v>24.006918501540564</v>
      </c>
      <c r="P978" s="105">
        <f>IF(tech_base!$T74&gt;P$905,"",P2098+tech_proj!P1598/(1-tech_proj!P478))</f>
        <v>24.091109752490731</v>
      </c>
      <c r="Q978" s="105">
        <f>IF(tech_base!$T74&gt;Q$905,"",Q2098+tech_proj!Q1598/(1-tech_proj!Q478))</f>
        <v>24.175283542508698</v>
      </c>
      <c r="R978" s="105">
        <f>IF(tech_base!$T74&gt;R$905,"",R2098+tech_proj!R1598/(1-tech_proj!R478))</f>
        <v>24.259439310103399</v>
      </c>
      <c r="S978" s="105">
        <f>IF(tech_base!$T74&gt;S$905,"",S2098+tech_proj!S1598/(1-tech_proj!S478))</f>
        <v>24.343576514460349</v>
      </c>
      <c r="T978" s="105">
        <f>IF(tech_base!$T74&gt;T$905,"",T2098+tech_proj!T1598/(1-tech_proj!T478))</f>
        <v>24.42769463628273</v>
      </c>
      <c r="U978" s="105">
        <f>IF(tech_base!$T74&gt;U$905,"",U2098+tech_proj!U1598/(1-tech_proj!U478))</f>
        <v>24.513450650037505</v>
      </c>
      <c r="V978" s="105">
        <f>IF(tech_base!$T74&gt;V$905,"",V2098+tech_proj!V1598/(1-tech_proj!V478))</f>
        <v>24.599186268314618</v>
      </c>
      <c r="W978" s="105">
        <f>IF(tech_base!$T74&gt;W$905,"",W2098+tech_proj!W1598/(1-tech_proj!W478))</f>
        <v>24.684901043817753</v>
      </c>
      <c r="X978" s="105">
        <f>IF(tech_base!$T74&gt;X$905,"",X2098+tech_proj!X1598/(1-tech_proj!X478))</f>
        <v>24.770594553718411</v>
      </c>
      <c r="Y978" s="105">
        <f>IF(tech_base!$T74&gt;Y$905,"",Y2098+tech_proj!Y1598/(1-tech_proj!Y478))</f>
        <v>24.856266400123886</v>
      </c>
      <c r="Z978" s="105">
        <f>IF(tech_base!$T74&gt;Z$905,"",Z2098+tech_proj!Z1598/(1-tech_proj!Z478))</f>
        <v>24.943605970765081</v>
      </c>
      <c r="AA978" s="105">
        <f>IF(tech_base!$T74&gt;AA$905,"",AA2098+tech_proj!AA1598/(1-tech_proj!AA478))</f>
        <v>25.030922821669897</v>
      </c>
      <c r="AB978" s="105">
        <f>IF(tech_base!$T74&gt;AB$905,"",AB2098+tech_proj!AB1598/(1-tech_proj!AB478))</f>
        <v>25.118216636021643</v>
      </c>
      <c r="AC978" s="105">
        <f>IF(tech_base!$T74&gt;AC$905,"",AC2098+tech_proj!AC1598/(1-tech_proj!AC478))</f>
        <v>25.205487123306035</v>
      </c>
      <c r="AD978" s="105">
        <f>IF(tech_base!$T74&gt;AD$905,"",AD2098+tech_proj!AD1598/(1-tech_proj!AD478))</f>
        <v>25.292734019390704</v>
      </c>
      <c r="AE978" s="105">
        <f>IF(tech_base!$T74&gt;AE$905,"",AE2098+tech_proj!AE1598/(1-tech_proj!AE478))</f>
        <v>25.381679798270206</v>
      </c>
      <c r="AF978" s="105">
        <f>IF(tech_base!$T74&gt;AF$905,"",AF2098+tech_proj!AF1598/(1-tech_proj!AF478))</f>
        <v>25.470601208858014</v>
      </c>
      <c r="AG978" s="105">
        <f>IF(tech_base!$T74&gt;AG$905,"",AG2098+tech_proj!AG1598/(1-tech_proj!AG478))</f>
        <v>25.559498071104997</v>
      </c>
      <c r="AH978" s="105">
        <f>IF(tech_base!$T74&gt;AH$905,"",AH2098+tech_proj!AH1598/(1-tech_proj!AH478))</f>
        <v>25.648370231156665</v>
      </c>
      <c r="AI978" s="105">
        <f>IF(tech_base!$T74&gt;AI$905,"",AI2098+tech_proj!AI1598/(1-tech_proj!AI478))</f>
        <v>25.737217561077681</v>
      </c>
      <c r="AJ978" s="105">
        <f>IF(tech_base!$T74&gt;AJ$905,"",AJ2098+tech_proj!AJ1598/(1-tech_proj!AJ478))</f>
        <v>25.827796306340268</v>
      </c>
      <c r="AK978" s="105">
        <f>IF(tech_base!$T74&gt;AK$905,"",AK2098+tech_proj!AK1598/(1-tech_proj!AK478))</f>
        <v>25.918349726003761</v>
      </c>
      <c r="AL978" s="105">
        <f>IF(tech_base!$T74&gt;AL$905,"",AL2098+tech_proj!AL1598/(1-tech_proj!AL478))</f>
        <v>26.008877773589923</v>
      </c>
      <c r="AM978" s="105">
        <f>IF(tech_base!$T74&gt;AM$905,"",AM2098+tech_proj!AM1598/(1-tech_proj!AM478))</f>
        <v>26.099380427005705</v>
      </c>
      <c r="AN978" s="105">
        <f>IF(tech_base!$T74&gt;AN$905,"",AN2098+tech_proj!AN1598/(1-tech_proj!AN478))</f>
        <v>26.189857687982808</v>
      </c>
      <c r="AO978" s="105">
        <f>IF(tech_base!$T74&gt;AO$905,"",AO2098+tech_proj!AO1598/(1-tech_proj!AO478))</f>
        <v>26.28210027112247</v>
      </c>
      <c r="AP978" s="105">
        <f>IF(tech_base!$T74&gt;AP$905,"",AP2098+tech_proj!AP1598/(1-tech_proj!AP478))</f>
        <v>26.374317232898747</v>
      </c>
      <c r="AQ978" s="105">
        <f>IF(tech_base!$T74&gt;AQ$905,"",AQ2098+tech_proj!AQ1598/(1-tech_proj!AQ478))</f>
        <v>26.466508649252024</v>
      </c>
      <c r="AR978" s="105">
        <f>IF(tech_base!$T74&gt;AR$905,"",AR2098+tech_proj!AR1598/(1-tech_proj!AR478))</f>
        <v>26.558674617393628</v>
      </c>
      <c r="AS978" s="105">
        <f>IF(tech_base!$T74&gt;AS$905,"",AS2098+tech_proj!AS1598/(1-tech_proj!AS478))</f>
        <v>26.65081525505105</v>
      </c>
      <c r="AT978" s="105">
        <f>IF(tech_base!$T74&gt;AT$905,"",AT2098+tech_proj!AT1598/(1-tech_proj!AT478))</f>
        <v>26.744756456894201</v>
      </c>
      <c r="AU978" s="105">
        <f>IF(tech_base!$T74&gt;AU$905,"",AU2098+tech_proj!AU1598/(1-tech_proj!AU478))</f>
        <v>26.83867233721206</v>
      </c>
      <c r="AV978" s="105">
        <f>IF(tech_base!$T74&gt;AV$905,"",AV2098+tech_proj!AV1598/(1-tech_proj!AV478))</f>
        <v>26.932563077414184</v>
      </c>
      <c r="AW978" s="105">
        <f>IF(tech_base!$T74&gt;AW$905,"",AW2098+tech_proj!AW1598/(1-tech_proj!AW478))</f>
        <v>27.026428876231325</v>
      </c>
      <c r="AX978" s="106">
        <f>IF(tech_base!$T74&gt;AX$905,"",AX2098+tech_proj!AX1598/(1-tech_proj!AX478))</f>
        <v>27.120269948861086</v>
      </c>
    </row>
    <row r="979" spans="1:50" x14ac:dyDescent="0.25">
      <c r="A979" s="356"/>
      <c r="B979" s="376"/>
      <c r="C979" s="378"/>
      <c r="D979" s="2" t="s">
        <v>10</v>
      </c>
      <c r="E979" s="160" t="str">
        <f>A951&amp;"/"&amp;B977&amp;"/"&amp;C977&amp;"/"&amp;D979</f>
        <v>Lignite fired power plants/Steam turbine/Electricity only/S</v>
      </c>
      <c r="F979" s="76" t="str">
        <f>A951</f>
        <v>Lignite fired power plants</v>
      </c>
      <c r="G979" s="76" t="str">
        <f>B977</f>
        <v>Steam turbine</v>
      </c>
      <c r="H979" s="76" t="str">
        <f>C977</f>
        <v>Electricity only</v>
      </c>
      <c r="I979" s="161" t="str">
        <f t="shared" si="368"/>
        <v>S</v>
      </c>
      <c r="J979" s="105">
        <f>IF(tech_base!$T75&gt;J$905,"",J2099+tech_proj!J1599/(1-tech_proj!J479))</f>
        <v>25.416783032335097</v>
      </c>
      <c r="K979" s="105">
        <f>IF(tech_base!$T75&gt;K$905,"",K2099+tech_proj!K1599/(1-tech_proj!K479))</f>
        <v>25.434043498622088</v>
      </c>
      <c r="L979" s="105">
        <f>IF(tech_base!$T75&gt;L$905,"",L2099+tech_proj!L1599/(1-tech_proj!L479))</f>
        <v>25.451303764252859</v>
      </c>
      <c r="M979" s="105">
        <f>IF(tech_base!$T75&gt;M$905,"",M2099+tech_proj!M1599/(1-tech_proj!M479))</f>
        <v>25.468563171233313</v>
      </c>
      <c r="N979" s="105">
        <f>IF(tech_base!$T75&gt;N$905,"",N2099+tech_proj!N1599/(1-tech_proj!N479))</f>
        <v>25.485821063240486</v>
      </c>
      <c r="O979" s="105">
        <f>IF(tech_base!$T75&gt;O$905,"",O2099+tech_proj!O1599/(1-tech_proj!O479))</f>
        <v>25.503076786918829</v>
      </c>
      <c r="P979" s="105">
        <f>IF(tech_base!$T75&gt;P$905,"",P2099+tech_proj!P1599/(1-tech_proj!P479))</f>
        <v>25.591827663086971</v>
      </c>
      <c r="Q979" s="105">
        <f>IF(tech_base!$T75&gt;Q$905,"",Q2099+tech_proj!Q1599/(1-tech_proj!Q479))</f>
        <v>25.680562492320512</v>
      </c>
      <c r="R979" s="105">
        <f>IF(tech_base!$T75&gt;R$905,"",R2099+tech_proj!R1599/(1-tech_proj!R479))</f>
        <v>25.769280702593406</v>
      </c>
      <c r="S979" s="105">
        <f>IF(tech_base!$T75&gt;S$905,"",S2099+tech_proj!S1599/(1-tech_proj!S479))</f>
        <v>25.857981741917932</v>
      </c>
      <c r="T979" s="105">
        <f>IF(tech_base!$T75&gt;T$905,"",T2099+tech_proj!T1599/(1-tech_proj!T479))</f>
        <v>25.94666507920935</v>
      </c>
      <c r="U979" s="105">
        <f>IF(tech_base!$T75&gt;U$905,"",U2099+tech_proj!U1599/(1-tech_proj!U479))</f>
        <v>26.037078903391855</v>
      </c>
      <c r="V979" s="105">
        <f>IF(tech_base!$T75&gt;V$905,"",V2099+tech_proj!V1599/(1-tech_proj!V479))</f>
        <v>26.127473727967903</v>
      </c>
      <c r="W979" s="105">
        <f>IF(tech_base!$T75&gt;W$905,"",W2099+tech_proj!W1599/(1-tech_proj!W479))</f>
        <v>26.217849091695719</v>
      </c>
      <c r="X979" s="105">
        <f>IF(tech_base!$T75&gt;X$905,"",X2099+tech_proj!X1599/(1-tech_proj!X479))</f>
        <v>26.308204557245812</v>
      </c>
      <c r="Y979" s="105">
        <f>IF(tech_base!$T75&gt;Y$905,"",Y2099+tech_proj!Y1599/(1-tech_proj!Y479))</f>
        <v>26.398539711692905</v>
      </c>
      <c r="Z979" s="105">
        <f>IF(tech_base!$T75&gt;Z$905,"",Z2099+tech_proj!Z1599/(1-tech_proj!Z479))</f>
        <v>26.490637080753448</v>
      </c>
      <c r="AA979" s="105">
        <f>IF(tech_base!$T75&gt;AA$905,"",AA2099+tech_proj!AA1599/(1-tech_proj!AA479))</f>
        <v>26.582713090713064</v>
      </c>
      <c r="AB979" s="105">
        <f>IF(tech_base!$T75&gt;AB$905,"",AB2099+tech_proj!AB1599/(1-tech_proj!AB479))</f>
        <v>26.674767407690798</v>
      </c>
      <c r="AC979" s="105">
        <f>IF(tech_base!$T75&gt;AC$905,"",AC2099+tech_proj!AC1599/(1-tech_proj!AC479))</f>
        <v>26.766799723642897</v>
      </c>
      <c r="AD979" s="105">
        <f>IF(tech_base!$T75&gt;AD$905,"",AD2099+tech_proj!AD1599/(1-tech_proj!AD479))</f>
        <v>26.858809756466801</v>
      </c>
      <c r="AE979" s="105">
        <f>IF(tech_base!$T75&gt;AE$905,"",AE2099+tech_proj!AE1599/(1-tech_proj!AE479))</f>
        <v>26.952615077848797</v>
      </c>
      <c r="AF979" s="105">
        <f>IF(tech_base!$T75&gt;AF$905,"",AF2099+tech_proj!AF1599/(1-tech_proj!AF479))</f>
        <v>27.0463973403564</v>
      </c>
      <c r="AG979" s="105">
        <f>IF(tech_base!$T75&gt;AG$905,"",AG2099+tech_proj!AG1599/(1-tech_proj!AG479))</f>
        <v>27.140156344112288</v>
      </c>
      <c r="AH979" s="105">
        <f>IF(tech_base!$T75&gt;AH$905,"",AH2099+tech_proj!AH1599/(1-tech_proj!AH479))</f>
        <v>27.233891915069041</v>
      </c>
      <c r="AI979" s="105">
        <f>IF(tech_base!$T75&gt;AI$905,"",AI2099+tech_proj!AI1599/(1-tech_proj!AI479))</f>
        <v>27.327603904759034</v>
      </c>
      <c r="AJ979" s="105">
        <f>IF(tech_base!$T75&gt;AJ$905,"",AJ2099+tech_proj!AJ1599/(1-tech_proj!AJ479))</f>
        <v>27.423145652048571</v>
      </c>
      <c r="AK979" s="105">
        <f>IF(tech_base!$T75&gt;AK$905,"",AK2099+tech_proj!AK1599/(1-tech_proj!AK479))</f>
        <v>27.518663317493509</v>
      </c>
      <c r="AL979" s="105">
        <f>IF(tech_base!$T75&gt;AL$905,"",AL2099+tech_proj!AL1599/(1-tech_proj!AL479))</f>
        <v>27.614156832455929</v>
      </c>
      <c r="AM979" s="105">
        <f>IF(tech_base!$T75&gt;AM$905,"",AM2099+tech_proj!AM1599/(1-tech_proj!AM479))</f>
        <v>27.709626152430211</v>
      </c>
      <c r="AN979" s="105">
        <f>IF(tech_base!$T75&gt;AN$905,"",AN2099+tech_proj!AN1599/(1-tech_proj!AN479))</f>
        <v>27.805071256508885</v>
      </c>
      <c r="AO979" s="105">
        <f>IF(tech_base!$T75&gt;AO$905,"",AO2099+tech_proj!AO1599/(1-tech_proj!AO479))</f>
        <v>27.902381984389258</v>
      </c>
      <c r="AP979" s="105">
        <f>IF(tech_base!$T75&gt;AP$905,"",AP2099+tech_proj!AP1599/(1-tech_proj!AP479))</f>
        <v>27.999668256561701</v>
      </c>
      <c r="AQ979" s="105">
        <f>IF(tech_base!$T75&gt;AQ$905,"",AQ2099+tech_proj!AQ1599/(1-tech_proj!AQ479))</f>
        <v>28.096930124987292</v>
      </c>
      <c r="AR979" s="105">
        <f>IF(tech_base!$T75&gt;AR$905,"",AR2099+tech_proj!AR1599/(1-tech_proj!AR479))</f>
        <v>28.194167662766819</v>
      </c>
      <c r="AS979" s="105">
        <f>IF(tech_base!$T75&gt;AS$905,"",AS2099+tech_proj!AS1599/(1-tech_proj!AS479))</f>
        <v>28.291380963412394</v>
      </c>
      <c r="AT979" s="105">
        <f>IF(tech_base!$T75&gt;AT$905,"",AT2099+tech_proj!AT1599/(1-tech_proj!AT479))</f>
        <v>28.390497114577229</v>
      </c>
      <c r="AU979" s="105">
        <f>IF(tech_base!$T75&gt;AU$905,"",AU2099+tech_proj!AU1599/(1-tech_proj!AU479))</f>
        <v>28.489589021795549</v>
      </c>
      <c r="AV979" s="105">
        <f>IF(tech_base!$T75&gt;AV$905,"",AV2099+tech_proj!AV1599/(1-tech_proj!AV479))</f>
        <v>28.58865684125427</v>
      </c>
      <c r="AW979" s="105">
        <f>IF(tech_base!$T75&gt;AW$905,"",AW2099+tech_proj!AW1599/(1-tech_proj!AW479))</f>
        <v>28.68770074645693</v>
      </c>
      <c r="AX979" s="106">
        <f>IF(tech_base!$T75&gt;AX$905,"",AX2099+tech_proj!AX1599/(1-tech_proj!AX479))</f>
        <v>28.786720927394679</v>
      </c>
    </row>
    <row r="980" spans="1:50" x14ac:dyDescent="0.25">
      <c r="A980" s="356"/>
      <c r="B980" s="376"/>
      <c r="C980" s="379"/>
      <c r="D980" s="2" t="s">
        <v>20</v>
      </c>
      <c r="E980" s="160" t="str">
        <f>A951&amp;"/"&amp;B977&amp;"/"&amp;C977&amp;"/"&amp;D980</f>
        <v>Lignite fired power plants/Steam turbine/Electricity only/XS</v>
      </c>
      <c r="F980" s="76" t="str">
        <f>A951</f>
        <v>Lignite fired power plants</v>
      </c>
      <c r="G980" s="76" t="str">
        <f>B977</f>
        <v>Steam turbine</v>
      </c>
      <c r="H980" s="76" t="str">
        <f>C977</f>
        <v>Electricity only</v>
      </c>
      <c r="I980" s="161" t="str">
        <f t="shared" si="368"/>
        <v>XS</v>
      </c>
      <c r="J980" s="105">
        <f>IF(tech_base!$T76&gt;J$905,"",J2100+tech_proj!J1600/(1-tech_proj!J480))</f>
        <v>27.362481738371258</v>
      </c>
      <c r="K980" s="105">
        <f>IF(tech_base!$T76&gt;K$905,"",K2100+tech_proj!K1600/(1-tech_proj!K480))</f>
        <v>27.380560051331202</v>
      </c>
      <c r="L980" s="105">
        <f>IF(tech_base!$T76&gt;L$905,"",L2100+tech_proj!L1600/(1-tech_proj!L480))</f>
        <v>27.398632508023102</v>
      </c>
      <c r="M980" s="105">
        <f>IF(tech_base!$T76&gt;M$905,"",M2100+tech_proj!M1600/(1-tech_proj!M480))</f>
        <v>27.41669855305765</v>
      </c>
      <c r="N980" s="105">
        <f>IF(tech_base!$T76&gt;N$905,"",N2100+tech_proj!N1600/(1-tech_proj!N480))</f>
        <v>27.434757642954239</v>
      </c>
      <c r="O980" s="105">
        <f>IF(tech_base!$T76&gt;O$905,"",O2100+tech_proj!O1600/(1-tech_proj!O480))</f>
        <v>27.452809247023954</v>
      </c>
      <c r="P980" s="105">
        <f>IF(tech_base!$T76&gt;P$905,"",P2100+tech_proj!P1600/(1-tech_proj!P480))</f>
        <v>27.546304376772959</v>
      </c>
      <c r="Q980" s="105">
        <f>IF(tech_base!$T76&gt;Q$905,"",Q2100+tech_proj!Q1600/(1-tech_proj!Q480))</f>
        <v>27.639782410053687</v>
      </c>
      <c r="R980" s="105">
        <f>IF(tech_base!$T76&gt;R$905,"",R2100+tech_proj!R1600/(1-tech_proj!R480))</f>
        <v>27.73324295380057</v>
      </c>
      <c r="S980" s="105">
        <f>IF(tech_base!$T76&gt;S$905,"",S2100+tech_proj!S1600/(1-tech_proj!S480))</f>
        <v>27.826685637453238</v>
      </c>
      <c r="T980" s="105">
        <f>IF(tech_base!$T76&gt;T$905,"",T2100+tech_proj!T1600/(1-tech_proj!T480))</f>
        <v>27.920110113257998</v>
      </c>
      <c r="U980" s="105">
        <f>IF(tech_base!$T76&gt;U$905,"",U2100+tech_proj!U1600/(1-tech_proj!U480))</f>
        <v>28.015361739707618</v>
      </c>
      <c r="V980" s="105">
        <f>IF(tech_base!$T76&gt;V$905,"",V2100+tech_proj!V1600/(1-tech_proj!V480))</f>
        <v>28.110594330371711</v>
      </c>
      <c r="W980" s="105">
        <f>IF(tech_base!$T76&gt;W$905,"",W2100+tech_proj!W1600/(1-tech_proj!W480))</f>
        <v>28.205807609924825</v>
      </c>
      <c r="X980" s="105">
        <f>IF(tech_base!$T76&gt;X$905,"",X2100+tech_proj!X1600/(1-tech_proj!X480))</f>
        <v>28.301001326511116</v>
      </c>
      <c r="Y980" s="105">
        <f>IF(tech_base!$T76&gt;Y$905,"",Y2100+tech_proj!Y1600/(1-tech_proj!Y480))</f>
        <v>28.396175251706357</v>
      </c>
      <c r="Z980" s="105">
        <f>IF(tech_base!$T76&gt;Z$905,"",Z2100+tech_proj!Z1600/(1-tech_proj!Z480))</f>
        <v>28.49321127303477</v>
      </c>
      <c r="AA980" s="105">
        <f>IF(tech_base!$T76&gt;AA$905,"",AA2100+tech_proj!AA1600/(1-tech_proj!AA480))</f>
        <v>28.590226920641811</v>
      </c>
      <c r="AB980" s="105">
        <f>IF(tech_base!$T76&gt;AB$905,"",AB2100+tech_proj!AB1600/(1-tech_proj!AB480))</f>
        <v>28.6872220389576</v>
      </c>
      <c r="AC980" s="105">
        <f>IF(tech_base!$T76&gt;AC$905,"",AC2100+tech_proj!AC1600/(1-tech_proj!AC480))</f>
        <v>28.784196495201115</v>
      </c>
      <c r="AD980" s="105">
        <f>IF(tech_base!$T76&gt;AD$905,"",AD2100+tech_proj!AD1600/(1-tech_proj!AD480))</f>
        <v>28.881150179050891</v>
      </c>
      <c r="AE980" s="105">
        <f>IF(tech_base!$T76&gt;AE$905,"",AE2100+tech_proj!AE1600/(1-tech_proj!AE480))</f>
        <v>28.980002250444731</v>
      </c>
      <c r="AF980" s="105">
        <f>IF(tech_base!$T76&gt;AF$905,"",AF2100+tech_proj!AF1600/(1-tech_proj!AF480))</f>
        <v>29.078833207401352</v>
      </c>
      <c r="AG980" s="105">
        <f>IF(tech_base!$T76&gt;AG$905,"",AG2100+tech_proj!AG1600/(1-tech_proj!AG480))</f>
        <v>29.177643008323003</v>
      </c>
      <c r="AH980" s="105">
        <f>IF(tech_base!$T76&gt;AH$905,"",AH2100+tech_proj!AH1600/(1-tech_proj!AH480))</f>
        <v>29.276431632369977</v>
      </c>
      <c r="AI980" s="105">
        <f>IF(tech_base!$T76&gt;AI$905,"",AI2100+tech_proj!AI1600/(1-tech_proj!AI480))</f>
        <v>29.375199078913401</v>
      </c>
      <c r="AJ980" s="105">
        <f>IF(tech_base!$T76&gt;AJ$905,"",AJ2100+tech_proj!AJ1600/(1-tech_proj!AJ480))</f>
        <v>29.475902535716752</v>
      </c>
      <c r="AK980" s="105">
        <f>IF(tech_base!$T76&gt;AK$905,"",AK2100+tech_proj!AK1600/(1-tech_proj!AK480))</f>
        <v>29.576584694262362</v>
      </c>
      <c r="AL980" s="105">
        <f>IF(tech_base!$T76&gt;AL$905,"",AL2100+tech_proj!AL1600/(1-tech_proj!AL480))</f>
        <v>29.677245615034487</v>
      </c>
      <c r="AM980" s="105">
        <f>IF(tech_base!$T76&gt;AM$905,"",AM2100+tech_proj!AM1600/(1-tech_proj!AM480))</f>
        <v>29.777885376286559</v>
      </c>
      <c r="AN980" s="105">
        <f>IF(tech_base!$T76&gt;AN$905,"",AN2100+tech_proj!AN1600/(1-tech_proj!AN480))</f>
        <v>29.878504073358787</v>
      </c>
      <c r="AO980" s="105">
        <f>IF(tech_base!$T76&gt;AO$905,"",AO2100+tech_proj!AO1600/(1-tech_proj!AO480))</f>
        <v>29.981097690686063</v>
      </c>
      <c r="AP980" s="105">
        <f>IF(tech_base!$T76&gt;AP$905,"",AP2100+tech_proj!AP1600/(1-tech_proj!AP480))</f>
        <v>30.083670315612213</v>
      </c>
      <c r="AQ980" s="105">
        <f>IF(tech_base!$T76&gt;AQ$905,"",AQ2100+tech_proj!AQ1600/(1-tech_proj!AQ480))</f>
        <v>30.18622209474011</v>
      </c>
      <c r="AR980" s="105">
        <f>IF(tech_base!$T76&gt;AR$905,"",AR2100+tech_proj!AR1600/(1-tech_proj!AR480))</f>
        <v>30.288753188909652</v>
      </c>
      <c r="AS980" s="105">
        <f>IF(tech_base!$T76&gt;AS$905,"",AS2100+tech_proj!AS1600/(1-tech_proj!AS480))</f>
        <v>30.391263772460064</v>
      </c>
      <c r="AT980" s="105">
        <f>IF(tech_base!$T76&gt;AT$905,"",AT2100+tech_proj!AT1600/(1-tech_proj!AT480))</f>
        <v>30.495789410303114</v>
      </c>
      <c r="AU980" s="105">
        <f>IF(tech_base!$T76&gt;AU$905,"",AU2100+tech_proj!AU1600/(1-tech_proj!AU480))</f>
        <v>30.600294767452642</v>
      </c>
      <c r="AV980" s="105">
        <f>IF(tech_base!$T76&gt;AV$905,"",AV2100+tech_proj!AV1600/(1-tech_proj!AV480))</f>
        <v>30.704780058623673</v>
      </c>
      <c r="AW980" s="105">
        <f>IF(tech_base!$T76&gt;AW$905,"",AW2100+tech_proj!AW1600/(1-tech_proj!AW480))</f>
        <v>30.809245509072191</v>
      </c>
      <c r="AX980" s="106">
        <f>IF(tech_base!$T76&gt;AX$905,"",AX2100+tech_proj!AX1600/(1-tech_proj!AX480))</f>
        <v>30.913691353869133</v>
      </c>
    </row>
    <row r="981" spans="1:50" x14ac:dyDescent="0.25">
      <c r="A981" s="356"/>
      <c r="B981" s="376"/>
      <c r="C981" s="361" t="s">
        <v>14</v>
      </c>
      <c r="D981" s="58" t="s">
        <v>7</v>
      </c>
      <c r="E981" s="164" t="str">
        <f>A951&amp;"/"&amp;B977&amp;"/"&amp;C981&amp;"/"&amp;D981</f>
        <v>Lignite fired power plants/Steam turbine/CHP/L</v>
      </c>
      <c r="F981" s="78" t="str">
        <f>A951</f>
        <v>Lignite fired power plants</v>
      </c>
      <c r="G981" s="78" t="str">
        <f>B977</f>
        <v>Steam turbine</v>
      </c>
      <c r="H981" s="78" t="str">
        <f>C981</f>
        <v>CHP</v>
      </c>
      <c r="I981" s="165" t="str">
        <f t="shared" si="368"/>
        <v>L</v>
      </c>
      <c r="J981" s="109">
        <f>IF(tech_base!$T77&gt;J$905,"",J2101+tech_proj!J1601/(1-tech_proj!J481))</f>
        <v>25.548467252664185</v>
      </c>
      <c r="K981" s="109">
        <f>IF(tech_base!$T77&gt;K$905,"",K2101+tech_proj!K1601/(1-tech_proj!K481))</f>
        <v>25.565849715680546</v>
      </c>
      <c r="L981" s="109">
        <f>IF(tech_base!$T77&gt;L$905,"",L2101+tech_proj!L1601/(1-tech_proj!L481))</f>
        <v>25.583229164261841</v>
      </c>
      <c r="M981" s="109">
        <f>IF(tech_base!$T77&gt;M$905,"",M2101+tech_proj!M1601/(1-tech_proj!M481))</f>
        <v>25.600605271434873</v>
      </c>
      <c r="N981" s="109">
        <f>IF(tech_base!$T77&gt;N$905,"",N2101+tech_proj!N1601/(1-tech_proj!N481))</f>
        <v>25.617977713076851</v>
      </c>
      <c r="O981" s="109">
        <f>IF(tech_base!$T77&gt;O$905,"",O2101+tech_proj!O1601/(1-tech_proj!O481))</f>
        <v>25.635346168188143</v>
      </c>
      <c r="P981" s="109">
        <f>IF(tech_base!$T77&gt;P$905,"",P2101+tech_proj!P1601/(1-tech_proj!P481))</f>
        <v>25.724030889579495</v>
      </c>
      <c r="Q981" s="109">
        <f>IF(tech_base!$T77&gt;Q$905,"",Q2101+tech_proj!Q1601/(1-tech_proj!Q481))</f>
        <v>25.812698607133044</v>
      </c>
      <c r="R981" s="109">
        <f>IF(tech_base!$T77&gt;R$905,"",R2101+tech_proj!R1601/(1-tech_proj!R481))</f>
        <v>25.901349080222626</v>
      </c>
      <c r="S981" s="109">
        <f>IF(tech_base!$T77&gt;S$905,"",S2101+tech_proj!S1601/(1-tech_proj!S481))</f>
        <v>25.989982077382322</v>
      </c>
      <c r="T981" s="109">
        <f>IF(tech_base!$T77&gt;T$905,"",T2101+tech_proj!T1601/(1-tech_proj!T481))</f>
        <v>26.078597376419356</v>
      </c>
      <c r="U981" s="109">
        <f>IF(tech_base!$T77&gt;U$905,"",U2101+tech_proj!U1601/(1-tech_proj!U481))</f>
        <v>26.168939134280077</v>
      </c>
      <c r="V981" s="109">
        <f>IF(tech_base!$T77&gt;V$905,"",V2101+tech_proj!V1601/(1-tech_proj!V481))</f>
        <v>26.259262481040945</v>
      </c>
      <c r="W981" s="109">
        <f>IF(tech_base!$T77&gt;W$905,"",W2101+tech_proj!W1601/(1-tech_proj!W481))</f>
        <v>26.349567225018674</v>
      </c>
      <c r="X981" s="109">
        <f>IF(tech_base!$T77&gt;X$905,"",X2101+tech_proj!X1601/(1-tech_proj!X481))</f>
        <v>26.439853184237251</v>
      </c>
      <c r="Y981" s="109">
        <f>IF(tech_base!$T77&gt;Y$905,"",Y2101+tech_proj!Y1601/(1-tech_proj!Y481))</f>
        <v>26.530120186474143</v>
      </c>
      <c r="Z981" s="109">
        <f>IF(tech_base!$T77&gt;Z$905,"",Z2101+tech_proj!Z1601/(1-tech_proj!Z481))</f>
        <v>26.622146577170994</v>
      </c>
      <c r="AA981" s="109">
        <f>IF(tech_base!$T77&gt;AA$905,"",AA2101+tech_proj!AA1601/(1-tech_proj!AA481))</f>
        <v>26.714153400910931</v>
      </c>
      <c r="AB981" s="109">
        <f>IF(tech_base!$T77&gt;AB$905,"",AB2101+tech_proj!AB1601/(1-tech_proj!AB481))</f>
        <v>26.806140517465632</v>
      </c>
      <c r="AC981" s="109">
        <f>IF(tech_base!$T77&gt;AC$905,"",AC2101+tech_proj!AC1601/(1-tech_proj!AC481))</f>
        <v>26.898107796518719</v>
      </c>
      <c r="AD981" s="109">
        <f>IF(tech_base!$T77&gt;AD$905,"",AD2101+tech_proj!AD1601/(1-tech_proj!AD481))</f>
        <v>26.990055117647319</v>
      </c>
      <c r="AE981" s="109">
        <f>IF(tech_base!$T77&gt;AE$905,"",AE2101+tech_proj!AE1601/(1-tech_proj!AE481))</f>
        <v>27.083795705321375</v>
      </c>
      <c r="AF981" s="109">
        <f>IF(tech_base!$T77&gt;AF$905,"",AF2101+tech_proj!AF1601/(1-tech_proj!AF481))</f>
        <v>27.177515832221971</v>
      </c>
      <c r="AG981" s="109">
        <f>IF(tech_base!$T77&gt;AG$905,"",AG2101+tech_proj!AG1601/(1-tech_proj!AG481))</f>
        <v>27.271215410364164</v>
      </c>
      <c r="AH981" s="109">
        <f>IF(tech_base!$T77&gt;AH$905,"",AH2101+tech_proj!AH1601/(1-tech_proj!AH481))</f>
        <v>27.364894361553386</v>
      </c>
      <c r="AI981" s="109">
        <f>IF(tech_base!$T77&gt;AI$905,"",AI2101+tech_proj!AI1601/(1-tech_proj!AI481))</f>
        <v>27.458552617308062</v>
      </c>
      <c r="AJ981" s="109">
        <f>IF(tech_base!$T77&gt;AJ$905,"",AJ2101+tech_proj!AJ1601/(1-tech_proj!AJ481))</f>
        <v>27.554038987393717</v>
      </c>
      <c r="AK981" s="109">
        <f>IF(tech_base!$T77&gt;AK$905,"",AK2101+tech_proj!AK1601/(1-tech_proj!AK481))</f>
        <v>27.649504267028771</v>
      </c>
      <c r="AL981" s="109">
        <f>IF(tech_base!$T77&gt;AL$905,"",AL2101+tech_proj!AL1601/(1-tech_proj!AL481))</f>
        <v>27.744948419644857</v>
      </c>
      <c r="AM981" s="109">
        <f>IF(tech_base!$T77&gt;AM$905,"",AM2101+tech_proj!AM1601/(1-tech_proj!AM481))</f>
        <v>27.840371418048743</v>
      </c>
      <c r="AN981" s="109">
        <f>IF(tech_base!$T77&gt;AN$905,"",AN2101+tech_proj!AN1601/(1-tech_proj!AN481))</f>
        <v>27.935773244294094</v>
      </c>
      <c r="AO981" s="109">
        <f>IF(tech_base!$T77&gt;AO$905,"",AO2101+tech_proj!AO1601/(1-tech_proj!AO481))</f>
        <v>28.033039015638813</v>
      </c>
      <c r="AP981" s="109">
        <f>IF(tech_base!$T77&gt;AP$905,"",AP2101+tech_proj!AP1601/(1-tech_proj!AP481))</f>
        <v>28.130283325236071</v>
      </c>
      <c r="AQ981" s="109">
        <f>IF(tech_base!$T77&gt;AQ$905,"",AQ2101+tech_proj!AQ1601/(1-tech_proj!AQ481))</f>
        <v>28.227506185675551</v>
      </c>
      <c r="AR981" s="109">
        <f>IF(tech_base!$T77&gt;AR$905,"",AR2101+tech_proj!AR1601/(1-tech_proj!AR481))</f>
        <v>28.324707618257413</v>
      </c>
      <c r="AS981" s="109">
        <f>IF(tech_base!$T77&gt;AS$905,"",AS2101+tech_proj!AS1601/(1-tech_proj!AS481))</f>
        <v>28.421887652823383</v>
      </c>
      <c r="AT981" s="109">
        <f>IF(tech_base!$T77&gt;AT$905,"",AT2101+tech_proj!AT1601/(1-tech_proj!AT481))</f>
        <v>28.520968452468161</v>
      </c>
      <c r="AU981" s="109">
        <f>IF(tech_base!$T77&gt;AU$905,"",AU2101+tech_proj!AU1601/(1-tech_proj!AU481))</f>
        <v>28.620027664847932</v>
      </c>
      <c r="AV981" s="109">
        <f>IF(tech_base!$T77&gt;AV$905,"",AV2101+tech_proj!AV1601/(1-tech_proj!AV481))</f>
        <v>28.719065348256585</v>
      </c>
      <c r="AW981" s="109">
        <f>IF(tech_base!$T77&gt;AW$905,"",AW2101+tech_proj!AW1601/(1-tech_proj!AW481))</f>
        <v>28.818081568836647</v>
      </c>
      <c r="AX981" s="110">
        <f>IF(tech_base!$T77&gt;AX$905,"",AX2101+tech_proj!AX1601/(1-tech_proj!AX481))</f>
        <v>28.917076400380594</v>
      </c>
    </row>
    <row r="982" spans="1:50" x14ac:dyDescent="0.25">
      <c r="A982" s="356"/>
      <c r="B982" s="376"/>
      <c r="C982" s="378"/>
      <c r="D982" s="2" t="s">
        <v>8</v>
      </c>
      <c r="E982" s="160" t="str">
        <f>A951&amp;"/"&amp;B977&amp;"/"&amp;C981&amp;"/"&amp;D982</f>
        <v>Lignite fired power plants/Steam turbine/CHP/M</v>
      </c>
      <c r="F982" s="76" t="str">
        <f>A951</f>
        <v>Lignite fired power plants</v>
      </c>
      <c r="G982" s="76" t="str">
        <f>B977</f>
        <v>Steam turbine</v>
      </c>
      <c r="H982" s="76" t="str">
        <f>C981</f>
        <v>CHP</v>
      </c>
      <c r="I982" s="161" t="str">
        <f t="shared" si="368"/>
        <v>M</v>
      </c>
      <c r="J982" s="105">
        <f>IF(tech_base!$T78&gt;J$905,"",J2102+tech_proj!J1602/(1-tech_proj!J482))</f>
        <v>26.997653676014199</v>
      </c>
      <c r="K982" s="105">
        <f>IF(tech_base!$T78&gt;K$905,"",K2102+tech_proj!K1602/(1-tech_proj!K482))</f>
        <v>27.015455823995399</v>
      </c>
      <c r="L982" s="105">
        <f>IF(tech_base!$T78&gt;L$905,"",L2102+tech_proj!L1602/(1-tech_proj!L482))</f>
        <v>27.033253039282211</v>
      </c>
      <c r="M982" s="105">
        <f>IF(tech_base!$T78&gt;M$905,"",M2102+tech_proj!M1602/(1-tech_proj!M482))</f>
        <v>27.051045135348602</v>
      </c>
      <c r="N982" s="105">
        <f>IF(tech_base!$T78&gt;N$905,"",N2102+tech_proj!N1602/(1-tech_proj!N482))</f>
        <v>27.068831929591546</v>
      </c>
      <c r="O982" s="105">
        <f>IF(tech_base!$T78&gt;O$905,"",O2102+tech_proj!O1602/(1-tech_proj!O482))</f>
        <v>27.086613243444521</v>
      </c>
      <c r="P982" s="105">
        <f>IF(tech_base!$T78&gt;P$905,"",P2102+tech_proj!P1602/(1-tech_proj!P482))</f>
        <v>27.179653323811195</v>
      </c>
      <c r="Q982" s="105">
        <f>IF(tech_base!$T78&gt;Q$905,"",Q2102+tech_proj!Q1602/(1-tech_proj!Q482))</f>
        <v>27.272679441596104</v>
      </c>
      <c r="R982" s="105">
        <f>IF(tech_base!$T78&gt;R$905,"",R2102+tech_proj!R1602/(1-tech_proj!R482))</f>
        <v>27.36569150107163</v>
      </c>
      <c r="S982" s="105">
        <f>IF(tech_base!$T78&gt;S$905,"",S2102+tech_proj!S1602/(1-tech_proj!S482))</f>
        <v>27.458689413584892</v>
      </c>
      <c r="T982" s="105">
        <f>IF(tech_base!$T78&gt;T$905,"",T2102+tech_proj!T1602/(1-tech_proj!T482))</f>
        <v>27.55167309753849</v>
      </c>
      <c r="U982" s="105">
        <f>IF(tech_base!$T78&gt;U$905,"",U2102+tech_proj!U1602/(1-tech_proj!U482))</f>
        <v>27.646483608801848</v>
      </c>
      <c r="V982" s="105">
        <f>IF(tech_base!$T78&gt;V$905,"",V2102+tech_proj!V1602/(1-tech_proj!V482))</f>
        <v>27.741279556276851</v>
      </c>
      <c r="W982" s="105">
        <f>IF(tech_base!$T78&gt;W$905,"",W2102+tech_proj!W1602/(1-tech_proj!W482))</f>
        <v>27.836060881280751</v>
      </c>
      <c r="X982" s="105">
        <f>IF(tech_base!$T78&gt;X$905,"",X2102+tech_proj!X1602/(1-tech_proj!X482))</f>
        <v>27.930827532084763</v>
      </c>
      <c r="Y982" s="105">
        <f>IF(tech_base!$T78&gt;Y$905,"",Y2102+tech_proj!Y1602/(1-tech_proj!Y482))</f>
        <v>28.025579463853617</v>
      </c>
      <c r="Z982" s="105">
        <f>IF(tech_base!$T78&gt;Z$905,"",Z2102+tech_proj!Z1602/(1-tech_proj!Z482))</f>
        <v>28.122194106012223</v>
      </c>
      <c r="AA982" s="105">
        <f>IF(tech_base!$T78&gt;AA$905,"",AA2102+tech_proj!AA1602/(1-tech_proj!AA482))</f>
        <v>28.218793769804773</v>
      </c>
      <c r="AB982" s="105">
        <f>IF(tech_base!$T78&gt;AB$905,"",AB2102+tech_proj!AB1602/(1-tech_proj!AB482))</f>
        <v>28.315378432822541</v>
      </c>
      <c r="AC982" s="105">
        <f>IF(tech_base!$T78&gt;AC$905,"",AC2102+tech_proj!AC1602/(1-tech_proj!AC482))</f>
        <v>28.411948079286404</v>
      </c>
      <c r="AD982" s="105">
        <f>IF(tech_base!$T78&gt;AD$905,"",AD2102+tech_proj!AD1602/(1-tech_proj!AD482))</f>
        <v>28.508502699951286</v>
      </c>
      <c r="AE982" s="105">
        <f>IF(tech_base!$T78&gt;AE$905,"",AE2102+tech_proj!AE1602/(1-tech_proj!AE482))</f>
        <v>28.606956831643259</v>
      </c>
      <c r="AF982" s="105">
        <f>IF(tech_base!$T78&gt;AF$905,"",AF2102+tech_proj!AF1602/(1-tech_proj!AF482))</f>
        <v>28.705395752000037</v>
      </c>
      <c r="AG982" s="105">
        <f>IF(tech_base!$T78&gt;AG$905,"",AG2102+tech_proj!AG1602/(1-tech_proj!AG482))</f>
        <v>28.803819473130609</v>
      </c>
      <c r="AH982" s="105">
        <f>IF(tech_base!$T78&gt;AH$905,"",AH2102+tech_proj!AH1602/(1-tech_proj!AH482))</f>
        <v>28.90222801327819</v>
      </c>
      <c r="AI982" s="105">
        <f>IF(tech_base!$T78&gt;AI$905,"",AI2102+tech_proj!AI1602/(1-tech_proj!AI482))</f>
        <v>29.000621396696772</v>
      </c>
      <c r="AJ982" s="105">
        <f>IF(tech_base!$T78&gt;AJ$905,"",AJ2102+tech_proj!AJ1602/(1-tech_proj!AJ482))</f>
        <v>29.100952017232046</v>
      </c>
      <c r="AK982" s="105">
        <f>IF(tech_base!$T78&gt;AK$905,"",AK2102+tech_proj!AK1602/(1-tech_proj!AK482))</f>
        <v>29.201267365369958</v>
      </c>
      <c r="AL982" s="105">
        <f>IF(tech_base!$T78&gt;AL$905,"",AL2102+tech_proj!AL1602/(1-tech_proj!AL482))</f>
        <v>29.30156748516724</v>
      </c>
      <c r="AM982" s="105">
        <f>IF(tech_base!$T78&gt;AM$905,"",AM2102+tech_proj!AM1602/(1-tech_proj!AM482))</f>
        <v>29.401852426185968</v>
      </c>
      <c r="AN982" s="105">
        <f>IF(tech_base!$T78&gt;AN$905,"",AN2102+tech_proj!AN1602/(1-tech_proj!AN482))</f>
        <v>29.502122243350069</v>
      </c>
      <c r="AO982" s="105">
        <f>IF(tech_base!$T78&gt;AO$905,"",AO2102+tech_proj!AO1602/(1-tech_proj!AO482))</f>
        <v>29.60436795319815</v>
      </c>
      <c r="AP982" s="105">
        <f>IF(tech_base!$T78&gt;AP$905,"",AP2102+tech_proj!AP1602/(1-tech_proj!AP482))</f>
        <v>29.706598488007394</v>
      </c>
      <c r="AQ982" s="105">
        <f>IF(tech_base!$T78&gt;AQ$905,"",AQ2102+tech_proj!AQ1602/(1-tech_proj!AQ482))</f>
        <v>29.808813920589955</v>
      </c>
      <c r="AR982" s="105">
        <f>IF(tech_base!$T78&gt;AR$905,"",AR2102+tech_proj!AR1602/(1-tech_proj!AR482))</f>
        <v>29.911014328540183</v>
      </c>
      <c r="AS982" s="105">
        <f>IF(tech_base!$T78&gt;AS$905,"",AS2102+tech_proj!AS1602/(1-tech_proj!AS482))</f>
        <v>30.013199794078769</v>
      </c>
      <c r="AT982" s="105">
        <f>IF(tech_base!$T78&gt;AT$905,"",AT2102+tech_proj!AT1602/(1-tech_proj!AT482))</f>
        <v>30.117400738449284</v>
      </c>
      <c r="AU982" s="105">
        <f>IF(tech_base!$T78&gt;AU$905,"",AU2102+tech_proj!AU1602/(1-tech_proj!AU482))</f>
        <v>30.221586747255415</v>
      </c>
      <c r="AV982" s="105">
        <f>IF(tech_base!$T78&gt;AV$905,"",AV2102+tech_proj!AV1602/(1-tech_proj!AV482))</f>
        <v>30.325757918445532</v>
      </c>
      <c r="AW982" s="105">
        <f>IF(tech_base!$T78&gt;AW$905,"",AW2102+tech_proj!AW1602/(1-tech_proj!AW482))</f>
        <v>30.429914353971085</v>
      </c>
      <c r="AX982" s="106">
        <f>IF(tech_base!$T78&gt;AX$905,"",AX2102+tech_proj!AX1602/(1-tech_proj!AX482))</f>
        <v>30.534056159625862</v>
      </c>
    </row>
    <row r="983" spans="1:50" x14ac:dyDescent="0.25">
      <c r="A983" s="356"/>
      <c r="B983" s="376"/>
      <c r="C983" s="378"/>
      <c r="D983" s="2" t="s">
        <v>10</v>
      </c>
      <c r="E983" s="160" t="str">
        <f>A951&amp;"/"&amp;B977&amp;"/"&amp;C981&amp;"/"&amp;D983</f>
        <v>Lignite fired power plants/Steam turbine/CHP/S</v>
      </c>
      <c r="F983" s="76" t="str">
        <f>A951</f>
        <v>Lignite fired power plants</v>
      </c>
      <c r="G983" s="76" t="str">
        <f>B977</f>
        <v>Steam turbine</v>
      </c>
      <c r="H983" s="76" t="str">
        <f>C981</f>
        <v>CHP</v>
      </c>
      <c r="I983" s="161" t="str">
        <f t="shared" si="368"/>
        <v>S</v>
      </c>
      <c r="J983" s="105">
        <f>IF(tech_base!$T79&gt;J$905,"",J2103+tech_proj!J1603/(1-tech_proj!J483))</f>
        <v>29.583113069935266</v>
      </c>
      <c r="K983" s="105">
        <f>IF(tech_base!$T79&gt;K$905,"",K2103+tech_proj!K1603/(1-tech_proj!K483))</f>
        <v>29.601979533142519</v>
      </c>
      <c r="L983" s="105">
        <f>IF(tech_base!$T79&gt;L$905,"",L2103+tech_proj!L1603/(1-tech_proj!L483))</f>
        <v>29.620837773146249</v>
      </c>
      <c r="M983" s="105">
        <f>IF(tech_base!$T79&gt;M$905,"",M2103+tech_proj!M1603/(1-tech_proj!M483))</f>
        <v>29.639687637397937</v>
      </c>
      <c r="N983" s="105">
        <f>IF(tech_base!$T79&gt;N$905,"",N2103+tech_proj!N1603/(1-tech_proj!N483))</f>
        <v>29.658528979073495</v>
      </c>
      <c r="O983" s="105">
        <f>IF(tech_base!$T79&gt;O$905,"",O2103+tech_proj!O1603/(1-tech_proj!O483))</f>
        <v>29.677361657102054</v>
      </c>
      <c r="P983" s="105">
        <f>IF(tech_base!$T79&gt;P$905,"",P2103+tech_proj!P1603/(1-tech_proj!P483))</f>
        <v>29.775626073689871</v>
      </c>
      <c r="Q983" s="105">
        <f>IF(tech_base!$T79&gt;Q$905,"",Q2103+tech_proj!Q1603/(1-tech_proj!Q483))</f>
        <v>29.873875822372376</v>
      </c>
      <c r="R983" s="105">
        <f>IF(tech_base!$T79&gt;R$905,"",R2103+tech_proj!R1603/(1-tech_proj!R483))</f>
        <v>29.972110848448921</v>
      </c>
      <c r="S983" s="105">
        <f>IF(tech_base!$T79&gt;S$905,"",S2103+tech_proj!S1603/(1-tech_proj!S483))</f>
        <v>30.070331104255512</v>
      </c>
      <c r="T983" s="105">
        <f>IF(tech_base!$T79&gt;T$905,"",T2103+tech_proj!T1603/(1-tech_proj!T483))</f>
        <v>30.168536549081125</v>
      </c>
      <c r="U983" s="105">
        <f>IF(tech_base!$T79&gt;U$905,"",U2103+tech_proj!U1603/(1-tech_proj!U483))</f>
        <v>30.268670610161955</v>
      </c>
      <c r="V983" s="105">
        <f>IF(tech_base!$T79&gt;V$905,"",V2103+tech_proj!V1603/(1-tech_proj!V483))</f>
        <v>30.368789664669336</v>
      </c>
      <c r="W983" s="105">
        <f>IF(tech_base!$T79&gt;W$905,"",W2103+tech_proj!W1603/(1-tech_proj!W483))</f>
        <v>30.468893693979613</v>
      </c>
      <c r="X983" s="105">
        <f>IF(tech_base!$T79&gt;X$905,"",X2103+tech_proj!X1603/(1-tech_proj!X483))</f>
        <v>30.568982686050866</v>
      </c>
      <c r="Y983" s="105">
        <f>IF(tech_base!$T79&gt;Y$905,"",Y2103+tech_proj!Y1603/(1-tech_proj!Y483))</f>
        <v>30.669056635309218</v>
      </c>
      <c r="Z983" s="105">
        <f>IF(tech_base!$T79&gt;Z$905,"",Z2103+tech_proj!Z1603/(1-tech_proj!Z483))</f>
        <v>30.771097535590012</v>
      </c>
      <c r="AA983" s="105">
        <f>IF(tech_base!$T79&gt;AA$905,"",AA2103+tech_proj!AA1603/(1-tech_proj!AA483))</f>
        <v>30.87312326967853</v>
      </c>
      <c r="AB983" s="105">
        <f>IF(tech_base!$T79&gt;AB$905,"",AB2103+tech_proj!AB1603/(1-tech_proj!AB483))</f>
        <v>30.975133852580548</v>
      </c>
      <c r="AC983" s="105">
        <f>IF(tech_base!$T79&gt;AC$905,"",AC2103+tech_proj!AC1603/(1-tech_proj!AC483))</f>
        <v>31.077129305286896</v>
      </c>
      <c r="AD983" s="105">
        <f>IF(tech_base!$T79&gt;AD$905,"",AD2103+tech_proj!AD1603/(1-tech_proj!AD483))</f>
        <v>31.179109654637486</v>
      </c>
      <c r="AE983" s="105">
        <f>IF(tech_base!$T79&gt;AE$905,"",AE2103+tech_proj!AE1603/(1-tech_proj!AE483))</f>
        <v>31.283096238163772</v>
      </c>
      <c r="AF983" s="105">
        <f>IF(tech_base!$T79&gt;AF$905,"",AF2103+tech_proj!AF1603/(1-tech_proj!AF483))</f>
        <v>31.387067661769251</v>
      </c>
      <c r="AG983" s="105">
        <f>IF(tech_base!$T79&gt;AG$905,"",AG2103+tech_proj!AG1603/(1-tech_proj!AG483))</f>
        <v>31.491023970988117</v>
      </c>
      <c r="AH983" s="105">
        <f>IF(tech_base!$T79&gt;AH$905,"",AH2103+tech_proj!AH1603/(1-tech_proj!AH483))</f>
        <v>31.594965216640809</v>
      </c>
      <c r="AI983" s="105">
        <f>IF(tech_base!$T79&gt;AI$905,"",AI2103+tech_proj!AI1603/(1-tech_proj!AI483))</f>
        <v>31.69889145468369</v>
      </c>
      <c r="AJ983" s="105">
        <f>IF(tech_base!$T79&gt;AJ$905,"",AJ2103+tech_proj!AJ1603/(1-tech_proj!AJ483))</f>
        <v>31.804864159492901</v>
      </c>
      <c r="AK983" s="105">
        <f>IF(tech_base!$T79&gt;AK$905,"",AK2103+tech_proj!AK1603/(1-tech_proj!AK483))</f>
        <v>31.910821860443455</v>
      </c>
      <c r="AL983" s="105">
        <f>IF(tech_base!$T79&gt;AL$905,"",AL2103+tech_proj!AL1603/(1-tech_proj!AL483))</f>
        <v>32.016764630041585</v>
      </c>
      <c r="AM983" s="105">
        <f>IF(tech_base!$T79&gt;AM$905,"",AM2103+tech_proj!AM1603/(1-tech_proj!AM483))</f>
        <v>32.122692545317747</v>
      </c>
      <c r="AN983" s="105">
        <f>IF(tech_base!$T79&gt;AN$905,"",AN2103+tech_proj!AN1603/(1-tech_proj!AN483))</f>
        <v>32.228605687669358</v>
      </c>
      <c r="AO983" s="105">
        <f>IF(tech_base!$T79&gt;AO$905,"",AO2103+tech_proj!AO1603/(1-tech_proj!AO483))</f>
        <v>32.336606477866368</v>
      </c>
      <c r="AP983" s="105">
        <f>IF(tech_base!$T79&gt;AP$905,"",AP2103+tech_proj!AP1603/(1-tech_proj!AP483))</f>
        <v>32.444592551995406</v>
      </c>
      <c r="AQ983" s="105">
        <f>IF(tech_base!$T79&gt;AQ$905,"",AQ2103+tech_proj!AQ1603/(1-tech_proj!AQ483))</f>
        <v>32.552564005712661</v>
      </c>
      <c r="AR983" s="105">
        <f>IF(tech_base!$T79&gt;AR$905,"",AR2103+tech_proj!AR1603/(1-tech_proj!AR483))</f>
        <v>32.660520938409064</v>
      </c>
      <c r="AS983" s="105">
        <f>IF(tech_base!$T79&gt;AS$905,"",AS2103+tech_proj!AS1603/(1-tech_proj!AS483))</f>
        <v>32.768463453052604</v>
      </c>
      <c r="AT983" s="105">
        <f>IF(tech_base!$T79&gt;AT$905,"",AT2103+tech_proj!AT1603/(1-tech_proj!AT483))</f>
        <v>32.878535743098453</v>
      </c>
      <c r="AU983" s="105">
        <f>IF(tech_base!$T79&gt;AU$905,"",AU2103+tech_proj!AU1603/(1-tech_proj!AU483))</f>
        <v>32.988593717487312</v>
      </c>
      <c r="AV983" s="105">
        <f>IF(tech_base!$T79&gt;AV$905,"",AV2103+tech_proj!AV1603/(1-tech_proj!AV483))</f>
        <v>33.098637491108875</v>
      </c>
      <c r="AW983" s="105">
        <f>IF(tech_base!$T79&gt;AW$905,"",AW2103+tech_proj!AW1603/(1-tech_proj!AW483))</f>
        <v>33.208667181801822</v>
      </c>
      <c r="AX983" s="106">
        <f>IF(tech_base!$T79&gt;AX$905,"",AX2103+tech_proj!AX1603/(1-tech_proj!AX483))</f>
        <v>33.31868291020119</v>
      </c>
    </row>
    <row r="984" spans="1:50" x14ac:dyDescent="0.25">
      <c r="A984" s="356"/>
      <c r="B984" s="376"/>
      <c r="C984" s="379"/>
      <c r="D984" s="59" t="s">
        <v>20</v>
      </c>
      <c r="E984" s="166" t="str">
        <f>A951&amp;"/"&amp;B977&amp;"/"&amp;C981&amp;"/"&amp;D984</f>
        <v>Lignite fired power plants/Steam turbine/CHP/XS</v>
      </c>
      <c r="F984" s="79" t="str">
        <f>A951</f>
        <v>Lignite fired power plants</v>
      </c>
      <c r="G984" s="79" t="str">
        <f>B977</f>
        <v>Steam turbine</v>
      </c>
      <c r="H984" s="79" t="str">
        <f>C981</f>
        <v>CHP</v>
      </c>
      <c r="I984" s="167" t="str">
        <f t="shared" si="368"/>
        <v>XS</v>
      </c>
      <c r="J984" s="111">
        <f>IF(tech_base!$T80&gt;J$905,"",J2104+tech_proj!J1604/(1-tech_proj!J484))</f>
        <v>30.813133488213722</v>
      </c>
      <c r="K984" s="111">
        <f>IF(tech_base!$T80&gt;K$905,"",K2104+tech_proj!K1604/(1-tech_proj!K484))</f>
        <v>30.832501154480486</v>
      </c>
      <c r="L984" s="111">
        <f>IF(tech_base!$T80&gt;L$905,"",L2104+tech_proj!L1604/(1-tech_proj!L484))</f>
        <v>30.85186227085228</v>
      </c>
      <c r="M984" s="111">
        <f>IF(tech_base!$T80&gt;M$905,"",M2104+tech_proj!M1604/(1-tech_proj!M484))</f>
        <v>30.871216801834766</v>
      </c>
      <c r="N984" s="111">
        <f>IF(tech_base!$T80&gt;N$905,"",N2104+tech_proj!N1604/(1-tech_proj!N484))</f>
        <v>30.890564715329319</v>
      </c>
      <c r="O984" s="111">
        <f>IF(tech_base!$T80&gt;O$905,"",O2104+tech_proj!O1604/(1-tech_proj!O484))</f>
        <v>30.909905982588523</v>
      </c>
      <c r="P984" s="111">
        <f>IF(tech_base!$T80&gt;P$905,"",P2104+tech_proj!P1604/(1-tech_proj!P484))</f>
        <v>31.01311093254899</v>
      </c>
      <c r="Q984" s="111">
        <f>IF(tech_base!$T80&gt;Q$905,"",Q2104+tech_proj!Q1604/(1-tech_proj!Q484))</f>
        <v>31.116305519456713</v>
      </c>
      <c r="R984" s="111">
        <f>IF(tech_base!$T80&gt;R$905,"",R2104+tech_proj!R1604/(1-tech_proj!R484))</f>
        <v>31.219489782042434</v>
      </c>
      <c r="S984" s="111">
        <f>IF(tech_base!$T80&gt;S$905,"",S2104+tech_proj!S1604/(1-tech_proj!S484))</f>
        <v>31.322663762437102</v>
      </c>
      <c r="T984" s="111">
        <f>IF(tech_base!$T80&gt;T$905,"",T2104+tech_proj!T1604/(1-tech_proj!T484))</f>
        <v>31.42582750606914</v>
      </c>
      <c r="U984" s="111">
        <f>IF(tech_base!$T80&gt;U$905,"",U2104+tech_proj!U1604/(1-tech_proj!U484))</f>
        <v>31.531033040154671</v>
      </c>
      <c r="V984" s="111">
        <f>IF(tech_base!$T80&gt;V$905,"",V2104+tech_proj!V1604/(1-tech_proj!V484))</f>
        <v>31.636228352765372</v>
      </c>
      <c r="W984" s="111">
        <f>IF(tech_base!$T80&gt;W$905,"",W2104+tech_proj!W1604/(1-tech_proj!W484))</f>
        <v>31.741413500026518</v>
      </c>
      <c r="X984" s="111">
        <f>IF(tech_base!$T80&gt;X$905,"",X2104+tech_proj!X1604/(1-tech_proj!X484))</f>
        <v>31.846588540944797</v>
      </c>
      <c r="Y984" s="111">
        <f>IF(tech_base!$T80&gt;Y$905,"",Y2104+tech_proj!Y1604/(1-tech_proj!Y484))</f>
        <v>31.95175353730199</v>
      </c>
      <c r="Z984" s="111">
        <f>IF(tech_base!$T80&gt;Z$905,"",Z2104+tech_proj!Z1604/(1-tech_proj!Z484))</f>
        <v>32.059001359707075</v>
      </c>
      <c r="AA984" s="111">
        <f>IF(tech_base!$T80&gt;AA$905,"",AA2104+tech_proj!AA1604/(1-tech_proj!AA484))</f>
        <v>32.166239187129918</v>
      </c>
      <c r="AB984" s="111">
        <f>IF(tech_base!$T80&gt;AB$905,"",AB2104+tech_proj!AB1604/(1-tech_proj!AB484))</f>
        <v>32.27346709049845</v>
      </c>
      <c r="AC984" s="111">
        <f>IF(tech_base!$T80&gt;AC$905,"",AC2104+tech_proj!AC1604/(1-tech_proj!AC484))</f>
        <v>32.38068514308987</v>
      </c>
      <c r="AD984" s="111">
        <f>IF(tech_base!$T80&gt;AD$905,"",AD2104+tech_proj!AD1604/(1-tech_proj!AD484))</f>
        <v>32.487893420425046</v>
      </c>
      <c r="AE984" s="111">
        <f>IF(tech_base!$T80&gt;AE$905,"",AE2104+tech_proj!AE1604/(1-tech_proj!AE484))</f>
        <v>32.597226458588928</v>
      </c>
      <c r="AF984" s="111">
        <f>IF(tech_base!$T80&gt;AF$905,"",AF2104+tech_proj!AF1604/(1-tech_proj!AF484))</f>
        <v>32.706549800269727</v>
      </c>
      <c r="AG984" s="111">
        <f>IF(tech_base!$T80&gt;AG$905,"",AG2104+tech_proj!AG1604/(1-tech_proj!AG484))</f>
        <v>32.815863528566545</v>
      </c>
      <c r="AH984" s="111">
        <f>IF(tech_base!$T80&gt;AH$905,"",AH2104+tech_proj!AH1604/(1-tech_proj!AH484))</f>
        <v>32.9251677284024</v>
      </c>
      <c r="AI984" s="111">
        <f>IF(tech_base!$T80&gt;AI$905,"",AI2104+tech_proj!AI1604/(1-tech_proj!AI484))</f>
        <v>33.034462486422733</v>
      </c>
      <c r="AJ984" s="111">
        <f>IF(tech_base!$T80&gt;AJ$905,"",AJ2104+tech_proj!AJ1604/(1-tech_proj!AJ484))</f>
        <v>33.145924843101753</v>
      </c>
      <c r="AK984" s="111">
        <f>IF(tech_base!$T80&gt;AK$905,"",AK2104+tech_proj!AK1604/(1-tech_proj!AK484))</f>
        <v>33.257377860847974</v>
      </c>
      <c r="AL984" s="111">
        <f>IF(tech_base!$T80&gt;AL$905,"",AL2104+tech_proj!AL1604/(1-tech_proj!AL484))</f>
        <v>33.368821632354567</v>
      </c>
      <c r="AM984" s="111">
        <f>IF(tech_base!$T80&gt;AM$905,"",AM2104+tech_proj!AM1604/(1-tech_proj!AM484))</f>
        <v>33.480256251636391</v>
      </c>
      <c r="AN984" s="111">
        <f>IF(tech_base!$T80&gt;AN$905,"",AN2104+tech_proj!AN1604/(1-tech_proj!AN484))</f>
        <v>33.59168181393531</v>
      </c>
      <c r="AO984" s="111">
        <f>IF(tech_base!$T80&gt;AO$905,"",AO2104+tech_proj!AO1604/(1-tech_proj!AO484))</f>
        <v>33.705318720172571</v>
      </c>
      <c r="AP984" s="111">
        <f>IF(tech_base!$T80&gt;AP$905,"",AP2104+tech_proj!AP1604/(1-tech_proj!AP484))</f>
        <v>33.818946691511158</v>
      </c>
      <c r="AQ984" s="111">
        <f>IF(tech_base!$T80&gt;AQ$905,"",AQ2104+tech_proj!AQ1604/(1-tech_proj!AQ484))</f>
        <v>33.93256582779091</v>
      </c>
      <c r="AR984" s="111">
        <f>IF(tech_base!$T80&gt;AR$905,"",AR2104+tech_proj!AR1604/(1-tech_proj!AR484))</f>
        <v>34.046176229706546</v>
      </c>
      <c r="AS984" s="111">
        <f>IF(tech_base!$T80&gt;AS$905,"",AS2104+tech_proj!AS1604/(1-tech_proj!AS484))</f>
        <v>34.15977799872195</v>
      </c>
      <c r="AT984" s="111">
        <f>IF(tech_base!$T80&gt;AT$905,"",AT2104+tech_proj!AT1604/(1-tech_proj!AT484))</f>
        <v>34.275635769716089</v>
      </c>
      <c r="AU984" s="111">
        <f>IF(tech_base!$T80&gt;AU$905,"",AU2104+tech_proj!AU1604/(1-tech_proj!AU484))</f>
        <v>34.391485044491567</v>
      </c>
      <c r="AV984" s="111">
        <f>IF(tech_base!$T80&gt;AV$905,"",AV2104+tech_proj!AV1604/(1-tech_proj!AV484))</f>
        <v>34.507325927773017</v>
      </c>
      <c r="AW984" s="111">
        <f>IF(tech_base!$T80&gt;AW$905,"",AW2104+tech_proj!AW1604/(1-tech_proj!AW484))</f>
        <v>34.623158524717567</v>
      </c>
      <c r="AX984" s="112">
        <f>IF(tech_base!$T80&gt;AX$905,"",AX2104+tech_proj!AX1604/(1-tech_proj!AX484))</f>
        <v>34.738982940839051</v>
      </c>
    </row>
    <row r="985" spans="1:50" x14ac:dyDescent="0.25">
      <c r="A985" s="356"/>
      <c r="B985" s="376"/>
      <c r="C985" s="361" t="s">
        <v>15</v>
      </c>
      <c r="D985" s="58" t="s">
        <v>7</v>
      </c>
      <c r="E985" s="164" t="str">
        <f>A951&amp;"/"&amp;B977&amp;"/"&amp;C985&amp;"/"&amp;D985</f>
        <v>Lignite fired power plants/Steam turbine/Electricity only with CCS/L</v>
      </c>
      <c r="F985" s="78" t="str">
        <f>A951</f>
        <v>Lignite fired power plants</v>
      </c>
      <c r="G985" s="78" t="str">
        <f>B977</f>
        <v>Steam turbine</v>
      </c>
      <c r="H985" s="78" t="str">
        <f>C985</f>
        <v>Electricity only with CCS</v>
      </c>
      <c r="I985" s="165" t="str">
        <f t="shared" si="368"/>
        <v>L</v>
      </c>
      <c r="J985" s="109" t="str">
        <f>IF(tech_base!$T81&gt;J$905,"",J2105+tech_proj!J1605/(1-tech_proj!J485))</f>
        <v/>
      </c>
      <c r="K985" s="109" t="str">
        <f>IF(tech_base!$T81&gt;K$905,"",K2105+tech_proj!K1605/(1-tech_proj!K485))</f>
        <v/>
      </c>
      <c r="L985" s="109" t="str">
        <f>IF(tech_base!$T81&gt;L$905,"",L2105+tech_proj!L1605/(1-tech_proj!L485))</f>
        <v/>
      </c>
      <c r="M985" s="109" t="str">
        <f>IF(tech_base!$T81&gt;M$905,"",M2105+tech_proj!M1605/(1-tech_proj!M485))</f>
        <v/>
      </c>
      <c r="N985" s="109" t="str">
        <f>IF(tech_base!$T81&gt;N$905,"",N2105+tech_proj!N1605/(1-tech_proj!N485))</f>
        <v/>
      </c>
      <c r="O985" s="109" t="str">
        <f>IF(tech_base!$T81&gt;O$905,"",O2105+tech_proj!O1605/(1-tech_proj!O485))</f>
        <v/>
      </c>
      <c r="P985" s="109" t="str">
        <f>IF(tech_base!$T81&gt;P$905,"",P2105+tech_proj!P1605/(1-tech_proj!P485))</f>
        <v/>
      </c>
      <c r="Q985" s="109" t="str">
        <f>IF(tech_base!$T81&gt;Q$905,"",Q2105+tech_proj!Q1605/(1-tech_proj!Q485))</f>
        <v/>
      </c>
      <c r="R985" s="109" t="str">
        <f>IF(tech_base!$T81&gt;R$905,"",R2105+tech_proj!R1605/(1-tech_proj!R485))</f>
        <v/>
      </c>
      <c r="S985" s="109" t="str">
        <f>IF(tech_base!$T81&gt;S$905,"",S2105+tech_proj!S1605/(1-tech_proj!S485))</f>
        <v/>
      </c>
      <c r="T985" s="109" t="str">
        <f>IF(tech_base!$T81&gt;T$905,"",T2105+tech_proj!T1605/(1-tech_proj!T485))</f>
        <v/>
      </c>
      <c r="U985" s="109" t="str">
        <f>IF(tech_base!$T81&gt;U$905,"",U2105+tech_proj!U1605/(1-tech_proj!U485))</f>
        <v/>
      </c>
      <c r="V985" s="109" t="str">
        <f>IF(tech_base!$T81&gt;V$905,"",V2105+tech_proj!V1605/(1-tech_proj!V485))</f>
        <v/>
      </c>
      <c r="W985" s="109" t="str">
        <f>IF(tech_base!$T81&gt;W$905,"",W2105+tech_proj!W1605/(1-tech_proj!W485))</f>
        <v/>
      </c>
      <c r="X985" s="109" t="str">
        <f>IF(tech_base!$T81&gt;X$905,"",X2105+tech_proj!X1605/(1-tech_proj!X485))</f>
        <v/>
      </c>
      <c r="Y985" s="109" t="str">
        <f>IF(tech_base!$T81&gt;Y$905,"",Y2105+tech_proj!Y1605/(1-tech_proj!Y485))</f>
        <v/>
      </c>
      <c r="Z985" s="109" t="str">
        <f>IF(tech_base!$T81&gt;Z$905,"",Z2105+tech_proj!Z1605/(1-tech_proj!Z485))</f>
        <v/>
      </c>
      <c r="AA985" s="109" t="str">
        <f>IF(tech_base!$T81&gt;AA$905,"",AA2105+tech_proj!AA1605/(1-tech_proj!AA485))</f>
        <v/>
      </c>
      <c r="AB985" s="109" t="str">
        <f>IF(tech_base!$T81&gt;AB$905,"",AB2105+tech_proj!AB1605/(1-tech_proj!AB485))</f>
        <v/>
      </c>
      <c r="AC985" s="109" t="str">
        <f>IF(tech_base!$T81&gt;AC$905,"",AC2105+tech_proj!AC1605/(1-tech_proj!AC485))</f>
        <v/>
      </c>
      <c r="AD985" s="109" t="str">
        <f>IF(tech_base!$T81&gt;AD$905,"",AD2105+tech_proj!AD1605/(1-tech_proj!AD485))</f>
        <v/>
      </c>
      <c r="AE985" s="109">
        <f>IF(tech_base!$T81&gt;AE$905,"",AE2105+tech_proj!AE1605/(1-tech_proj!AE485))</f>
        <v>39.801202682593811</v>
      </c>
      <c r="AF985" s="109">
        <f>IF(tech_base!$T81&gt;AF$905,"",AF2105+tech_proj!AF1605/(1-tech_proj!AF485))</f>
        <v>39.916420145212676</v>
      </c>
      <c r="AG985" s="109">
        <f>IF(tech_base!$T81&gt;AG$905,"",AG2105+tech_proj!AG1605/(1-tech_proj!AG485))</f>
        <v>40.031637607831541</v>
      </c>
      <c r="AH985" s="109">
        <f>IF(tech_base!$T81&gt;AH$905,"",AH2105+tech_proj!AH1605/(1-tech_proj!AH485))</f>
        <v>40.146855070450414</v>
      </c>
      <c r="AI985" s="109">
        <f>IF(tech_base!$T81&gt;AI$905,"",AI2105+tech_proj!AI1605/(1-tech_proj!AI485))</f>
        <v>40.262072533069279</v>
      </c>
      <c r="AJ985" s="109">
        <f>IF(tech_base!$T81&gt;AJ$905,"",AJ2105+tech_proj!AJ1605/(1-tech_proj!AJ485))</f>
        <v>40.379594344940514</v>
      </c>
      <c r="AK985" s="109">
        <f>IF(tech_base!$T81&gt;AK$905,"",AK2105+tech_proj!AK1605/(1-tech_proj!AK485))</f>
        <v>40.497116156811764</v>
      </c>
      <c r="AL985" s="109">
        <f>IF(tech_base!$T81&gt;AL$905,"",AL2105+tech_proj!AL1605/(1-tech_proj!AL485))</f>
        <v>40.614637968683013</v>
      </c>
      <c r="AM985" s="109">
        <f>IF(tech_base!$T81&gt;AM$905,"",AM2105+tech_proj!AM1605/(1-tech_proj!AM485))</f>
        <v>40.732159780554255</v>
      </c>
      <c r="AN985" s="109">
        <f>IF(tech_base!$T81&gt;AN$905,"",AN2105+tech_proj!AN1605/(1-tech_proj!AN485))</f>
        <v>40.849681592425497</v>
      </c>
      <c r="AO985" s="109">
        <f>IF(tech_base!$T81&gt;AO$905,"",AO2105+tech_proj!AO1605/(1-tech_proj!AO485))</f>
        <v>40.969553840534168</v>
      </c>
      <c r="AP985" s="109">
        <f>IF(tech_base!$T81&gt;AP$905,"",AP2105+tech_proj!AP1605/(1-tech_proj!AP485))</f>
        <v>41.089426088642838</v>
      </c>
      <c r="AQ985" s="109">
        <f>IF(tech_base!$T81&gt;AQ$905,"",AQ2105+tech_proj!AQ1605/(1-tech_proj!AQ485))</f>
        <v>41.209298336751502</v>
      </c>
      <c r="AR985" s="109">
        <f>IF(tech_base!$T81&gt;AR$905,"",AR2105+tech_proj!AR1605/(1-tech_proj!AR485))</f>
        <v>41.329170584860172</v>
      </c>
      <c r="AS985" s="109">
        <f>IF(tech_base!$T81&gt;AS$905,"",AS2105+tech_proj!AS1605/(1-tech_proj!AS485))</f>
        <v>41.449042832968843</v>
      </c>
      <c r="AT985" s="109">
        <f>IF(tech_base!$T81&gt;AT$905,"",AT2105+tech_proj!AT1605/(1-tech_proj!AT485))</f>
        <v>41.571312526039684</v>
      </c>
      <c r="AU985" s="109">
        <f>IF(tech_base!$T81&gt;AU$905,"",AU2105+tech_proj!AU1605/(1-tech_proj!AU485))</f>
        <v>41.693582219110525</v>
      </c>
      <c r="AV985" s="109">
        <f>IF(tech_base!$T81&gt;AV$905,"",AV2105+tech_proj!AV1605/(1-tech_proj!AV485))</f>
        <v>41.815851912181373</v>
      </c>
      <c r="AW985" s="109">
        <f>IF(tech_base!$T81&gt;AW$905,"",AW2105+tech_proj!AW1605/(1-tech_proj!AW485))</f>
        <v>41.938121605252206</v>
      </c>
      <c r="AX985" s="110">
        <f>IF(tech_base!$T81&gt;AX$905,"",AX2105+tech_proj!AX1605/(1-tech_proj!AX485))</f>
        <v>42.060391298323054</v>
      </c>
    </row>
    <row r="986" spans="1:50" x14ac:dyDescent="0.25">
      <c r="A986" s="356"/>
      <c r="B986" s="376"/>
      <c r="C986" s="379"/>
      <c r="D986" s="59" t="s">
        <v>8</v>
      </c>
      <c r="E986" s="166" t="str">
        <f>A951&amp;"/"&amp;B977&amp;"/"&amp;C985&amp;"/"&amp;D986</f>
        <v>Lignite fired power plants/Steam turbine/Electricity only with CCS/M</v>
      </c>
      <c r="F986" s="79" t="str">
        <f>A951</f>
        <v>Lignite fired power plants</v>
      </c>
      <c r="G986" s="79" t="str">
        <f>B977</f>
        <v>Steam turbine</v>
      </c>
      <c r="H986" s="79" t="str">
        <f>C985</f>
        <v>Electricity only with CCS</v>
      </c>
      <c r="I986" s="167" t="str">
        <f t="shared" si="368"/>
        <v>M</v>
      </c>
      <c r="J986" s="111" t="str">
        <f>IF(tech_base!$T82&gt;J$905,"",J2106+tech_proj!J1606/(1-tech_proj!J486))</f>
        <v/>
      </c>
      <c r="K986" s="111" t="str">
        <f>IF(tech_base!$T82&gt;K$905,"",K2106+tech_proj!K1606/(1-tech_proj!K486))</f>
        <v/>
      </c>
      <c r="L986" s="111" t="str">
        <f>IF(tech_base!$T82&gt;L$905,"",L2106+tech_proj!L1606/(1-tech_proj!L486))</f>
        <v/>
      </c>
      <c r="M986" s="111" t="str">
        <f>IF(tech_base!$T82&gt;M$905,"",M2106+tech_proj!M1606/(1-tech_proj!M486))</f>
        <v/>
      </c>
      <c r="N986" s="111" t="str">
        <f>IF(tech_base!$T82&gt;N$905,"",N2106+tech_proj!N1606/(1-tech_proj!N486))</f>
        <v/>
      </c>
      <c r="O986" s="111" t="str">
        <f>IF(tech_base!$T82&gt;O$905,"",O2106+tech_proj!O1606/(1-tech_proj!O486))</f>
        <v/>
      </c>
      <c r="P986" s="111" t="str">
        <f>IF(tech_base!$T82&gt;P$905,"",P2106+tech_proj!P1606/(1-tech_proj!P486))</f>
        <v/>
      </c>
      <c r="Q986" s="111" t="str">
        <f>IF(tech_base!$T82&gt;Q$905,"",Q2106+tech_proj!Q1606/(1-tech_proj!Q486))</f>
        <v/>
      </c>
      <c r="R986" s="111" t="str">
        <f>IF(tech_base!$T82&gt;R$905,"",R2106+tech_proj!R1606/(1-tech_proj!R486))</f>
        <v/>
      </c>
      <c r="S986" s="111" t="str">
        <f>IF(tech_base!$T82&gt;S$905,"",S2106+tech_proj!S1606/(1-tech_proj!S486))</f>
        <v/>
      </c>
      <c r="T986" s="111" t="str">
        <f>IF(tech_base!$T82&gt;T$905,"",T2106+tech_proj!T1606/(1-tech_proj!T486))</f>
        <v/>
      </c>
      <c r="U986" s="111" t="str">
        <f>IF(tech_base!$T82&gt;U$905,"",U2106+tech_proj!U1606/(1-tech_proj!U486))</f>
        <v/>
      </c>
      <c r="V986" s="111" t="str">
        <f>IF(tech_base!$T82&gt;V$905,"",V2106+tech_proj!V1606/(1-tech_proj!V486))</f>
        <v/>
      </c>
      <c r="W986" s="111" t="str">
        <f>IF(tech_base!$T82&gt;W$905,"",W2106+tech_proj!W1606/(1-tech_proj!W486))</f>
        <v/>
      </c>
      <c r="X986" s="111" t="str">
        <f>IF(tech_base!$T82&gt;X$905,"",X2106+tech_proj!X1606/(1-tech_proj!X486))</f>
        <v/>
      </c>
      <c r="Y986" s="111" t="str">
        <f>IF(tech_base!$T82&gt;Y$905,"",Y2106+tech_proj!Y1606/(1-tech_proj!Y486))</f>
        <v/>
      </c>
      <c r="Z986" s="111" t="str">
        <f>IF(tech_base!$T82&gt;Z$905,"",Z2106+tech_proj!Z1606/(1-tech_proj!Z486))</f>
        <v/>
      </c>
      <c r="AA986" s="111" t="str">
        <f>IF(tech_base!$T82&gt;AA$905,"",AA2106+tech_proj!AA1606/(1-tech_proj!AA486))</f>
        <v/>
      </c>
      <c r="AB986" s="111" t="str">
        <f>IF(tech_base!$T82&gt;AB$905,"",AB2106+tech_proj!AB1606/(1-tech_proj!AB486))</f>
        <v/>
      </c>
      <c r="AC986" s="111" t="str">
        <f>IF(tech_base!$T82&gt;AC$905,"",AC2106+tech_proj!AC1606/(1-tech_proj!AC486))</f>
        <v/>
      </c>
      <c r="AD986" s="111" t="str">
        <f>IF(tech_base!$T82&gt;AD$905,"",AD2106+tech_proj!AD1606/(1-tech_proj!AD486))</f>
        <v/>
      </c>
      <c r="AE986" s="111">
        <f>IF(tech_base!$T82&gt;AE$905,"",AE2106+tech_proj!AE1606/(1-tech_proj!AE486))</f>
        <v>43.607419783636885</v>
      </c>
      <c r="AF986" s="111">
        <f>IF(tech_base!$T82&gt;AF$905,"",AF2106+tech_proj!AF1606/(1-tech_proj!AF486))</f>
        <v>43.731047280023546</v>
      </c>
      <c r="AG986" s="111">
        <f>IF(tech_base!$T82&gt;AG$905,"",AG2106+tech_proj!AG1606/(1-tech_proj!AG486))</f>
        <v>43.854674776410214</v>
      </c>
      <c r="AH986" s="111">
        <f>IF(tech_base!$T82&gt;AH$905,"",AH2106+tech_proj!AH1606/(1-tech_proj!AH486))</f>
        <v>43.978302272796888</v>
      </c>
      <c r="AI986" s="111">
        <f>IF(tech_base!$T82&gt;AI$905,"",AI2106+tech_proj!AI1606/(1-tech_proj!AI486))</f>
        <v>44.101929769183549</v>
      </c>
      <c r="AJ986" s="111">
        <f>IF(tech_base!$T82&gt;AJ$905,"",AJ2106+tech_proj!AJ1606/(1-tech_proj!AJ486))</f>
        <v>44.228029815497948</v>
      </c>
      <c r="AK986" s="111">
        <f>IF(tech_base!$T82&gt;AK$905,"",AK2106+tech_proj!AK1606/(1-tech_proj!AK486))</f>
        <v>44.354129861812346</v>
      </c>
      <c r="AL986" s="111">
        <f>IF(tech_base!$T82&gt;AL$905,"",AL2106+tech_proj!AL1606/(1-tech_proj!AL486))</f>
        <v>44.480229908126752</v>
      </c>
      <c r="AM986" s="111">
        <f>IF(tech_base!$T82&gt;AM$905,"",AM2106+tech_proj!AM1606/(1-tech_proj!AM486))</f>
        <v>44.606329954441144</v>
      </c>
      <c r="AN986" s="111">
        <f>IF(tech_base!$T82&gt;AN$905,"",AN2106+tech_proj!AN1606/(1-tech_proj!AN486))</f>
        <v>44.732430000755549</v>
      </c>
      <c r="AO986" s="111">
        <f>IF(tech_base!$T82&gt;AO$905,"",AO2106+tech_proj!AO1606/(1-tech_proj!AO486))</f>
        <v>44.861052047996239</v>
      </c>
      <c r="AP986" s="111">
        <f>IF(tech_base!$T82&gt;AP$905,"",AP2106+tech_proj!AP1606/(1-tech_proj!AP486))</f>
        <v>44.989674095236929</v>
      </c>
      <c r="AQ986" s="111">
        <f>IF(tech_base!$T82&gt;AQ$905,"",AQ2106+tech_proj!AQ1606/(1-tech_proj!AQ486))</f>
        <v>45.118296142477618</v>
      </c>
      <c r="AR986" s="111">
        <f>IF(tech_base!$T82&gt;AR$905,"",AR2106+tech_proj!AR1606/(1-tech_proj!AR486))</f>
        <v>45.246918189718308</v>
      </c>
      <c r="AS986" s="111">
        <f>IF(tech_base!$T82&gt;AS$905,"",AS2106+tech_proj!AS1606/(1-tech_proj!AS486))</f>
        <v>45.37554023695899</v>
      </c>
      <c r="AT986" s="111">
        <f>IF(tech_base!$T82&gt;AT$905,"",AT2106+tech_proj!AT1606/(1-tech_proj!AT486))</f>
        <v>45.506734725144497</v>
      </c>
      <c r="AU986" s="111">
        <f>IF(tech_base!$T82&gt;AU$905,"",AU2106+tech_proj!AU1606/(1-tech_proj!AU486))</f>
        <v>45.637929213329997</v>
      </c>
      <c r="AV986" s="111">
        <f>IF(tech_base!$T82&gt;AV$905,"",AV2106+tech_proj!AV1606/(1-tech_proj!AV486))</f>
        <v>45.76912370151549</v>
      </c>
      <c r="AW986" s="111">
        <f>IF(tech_base!$T82&gt;AW$905,"",AW2106+tech_proj!AW1606/(1-tech_proj!AW486))</f>
        <v>45.900318189700997</v>
      </c>
      <c r="AX986" s="112">
        <f>IF(tech_base!$T82&gt;AX$905,"",AX2106+tech_proj!AX1606/(1-tech_proj!AX486))</f>
        <v>46.031512677886496</v>
      </c>
    </row>
    <row r="987" spans="1:50" x14ac:dyDescent="0.25">
      <c r="A987" s="356"/>
      <c r="B987" s="376"/>
      <c r="C987" s="361" t="s">
        <v>16</v>
      </c>
      <c r="D987" s="2" t="s">
        <v>7</v>
      </c>
      <c r="E987" s="160" t="str">
        <f>A951&amp;"/"&amp;B977&amp;"/"&amp;C987&amp;"/"&amp;D987</f>
        <v>Lignite fired power plants/Steam turbine/CHP with CCS/L</v>
      </c>
      <c r="F987" s="76" t="str">
        <f>A951</f>
        <v>Lignite fired power plants</v>
      </c>
      <c r="G987" s="76" t="str">
        <f>B977</f>
        <v>Steam turbine</v>
      </c>
      <c r="H987" s="76" t="str">
        <f>C987</f>
        <v>CHP with CCS</v>
      </c>
      <c r="I987" s="161" t="str">
        <f t="shared" si="368"/>
        <v>L</v>
      </c>
      <c r="J987" s="105" t="str">
        <f>IF(tech_base!$T83&gt;J$905,"",J2107+tech_proj!J1607/(1-tech_proj!J487))</f>
        <v/>
      </c>
      <c r="K987" s="105" t="str">
        <f>IF(tech_base!$T83&gt;K$905,"",K2107+tech_proj!K1607/(1-tech_proj!K487))</f>
        <v/>
      </c>
      <c r="L987" s="105" t="str">
        <f>IF(tech_base!$T83&gt;L$905,"",L2107+tech_proj!L1607/(1-tech_proj!L487))</f>
        <v/>
      </c>
      <c r="M987" s="105" t="str">
        <f>IF(tech_base!$T83&gt;M$905,"",M2107+tech_proj!M1607/(1-tech_proj!M487))</f>
        <v/>
      </c>
      <c r="N987" s="105" t="str">
        <f>IF(tech_base!$T83&gt;N$905,"",N2107+tech_proj!N1607/(1-tech_proj!N487))</f>
        <v/>
      </c>
      <c r="O987" s="105" t="str">
        <f>IF(tech_base!$T83&gt;O$905,"",O2107+tech_proj!O1607/(1-tech_proj!O487))</f>
        <v/>
      </c>
      <c r="P987" s="105" t="str">
        <f>IF(tech_base!$T83&gt;P$905,"",P2107+tech_proj!P1607/(1-tech_proj!P487))</f>
        <v/>
      </c>
      <c r="Q987" s="105" t="str">
        <f>IF(tech_base!$T83&gt;Q$905,"",Q2107+tech_proj!Q1607/(1-tech_proj!Q487))</f>
        <v/>
      </c>
      <c r="R987" s="105" t="str">
        <f>IF(tech_base!$T83&gt;R$905,"",R2107+tech_proj!R1607/(1-tech_proj!R487))</f>
        <v/>
      </c>
      <c r="S987" s="105" t="str">
        <f>IF(tech_base!$T83&gt;S$905,"",S2107+tech_proj!S1607/(1-tech_proj!S487))</f>
        <v/>
      </c>
      <c r="T987" s="105" t="str">
        <f>IF(tech_base!$T83&gt;T$905,"",T2107+tech_proj!T1607/(1-tech_proj!T487))</f>
        <v/>
      </c>
      <c r="U987" s="105" t="str">
        <f>IF(tech_base!$T83&gt;U$905,"",U2107+tech_proj!U1607/(1-tech_proj!U487))</f>
        <v/>
      </c>
      <c r="V987" s="105" t="str">
        <f>IF(tech_base!$T83&gt;V$905,"",V2107+tech_proj!V1607/(1-tech_proj!V487))</f>
        <v/>
      </c>
      <c r="W987" s="105" t="str">
        <f>IF(tech_base!$T83&gt;W$905,"",W2107+tech_proj!W1607/(1-tech_proj!W487))</f>
        <v/>
      </c>
      <c r="X987" s="105" t="str">
        <f>IF(tech_base!$T83&gt;X$905,"",X2107+tech_proj!X1607/(1-tech_proj!X487))</f>
        <v/>
      </c>
      <c r="Y987" s="105" t="str">
        <f>IF(tech_base!$T83&gt;Y$905,"",Y2107+tech_proj!Y1607/(1-tech_proj!Y487))</f>
        <v/>
      </c>
      <c r="Z987" s="105" t="str">
        <f>IF(tech_base!$T83&gt;Z$905,"",Z2107+tech_proj!Z1607/(1-tech_proj!Z487))</f>
        <v/>
      </c>
      <c r="AA987" s="105" t="str">
        <f>IF(tech_base!$T83&gt;AA$905,"",AA2107+tech_proj!AA1607/(1-tech_proj!AA487))</f>
        <v/>
      </c>
      <c r="AB987" s="105" t="str">
        <f>IF(tech_base!$T83&gt;AB$905,"",AB2107+tech_proj!AB1607/(1-tech_proj!AB487))</f>
        <v/>
      </c>
      <c r="AC987" s="105" t="str">
        <f>IF(tech_base!$T83&gt;AC$905,"",AC2107+tech_proj!AC1607/(1-tech_proj!AC487))</f>
        <v/>
      </c>
      <c r="AD987" s="105" t="str">
        <f>IF(tech_base!$T83&gt;AD$905,"",AD2107+tech_proj!AD1607/(1-tech_proj!AD487))</f>
        <v/>
      </c>
      <c r="AE987" s="105">
        <f>IF(tech_base!$T83&gt;AE$905,"",AE2107+tech_proj!AE1607/(1-tech_proj!AE487))</f>
        <v>45.60355633540982</v>
      </c>
      <c r="AF987" s="105">
        <f>IF(tech_base!$T83&gt;AF$905,"",AF2107+tech_proj!AF1607/(1-tech_proj!AF487))</f>
        <v>45.735970434240457</v>
      </c>
      <c r="AG987" s="105">
        <f>IF(tech_base!$T83&gt;AG$905,"",AG2107+tech_proj!AG1607/(1-tech_proj!AG487))</f>
        <v>45.868384533071094</v>
      </c>
      <c r="AH987" s="105">
        <f>IF(tech_base!$T83&gt;AH$905,"",AH2107+tech_proj!AH1607/(1-tech_proj!AH487))</f>
        <v>46.000798631901731</v>
      </c>
      <c r="AI987" s="105">
        <f>IF(tech_base!$T83&gt;AI$905,"",AI2107+tech_proj!AI1607/(1-tech_proj!AI487))</f>
        <v>46.133212730732367</v>
      </c>
      <c r="AJ987" s="105">
        <f>IF(tech_base!$T83&gt;AJ$905,"",AJ2107+tech_proj!AJ1607/(1-tech_proj!AJ487))</f>
        <v>46.268275111539623</v>
      </c>
      <c r="AK987" s="105">
        <f>IF(tech_base!$T83&gt;AK$905,"",AK2107+tech_proj!AK1607/(1-tech_proj!AK487))</f>
        <v>46.403337492346878</v>
      </c>
      <c r="AL987" s="105">
        <f>IF(tech_base!$T83&gt;AL$905,"",AL2107+tech_proj!AL1607/(1-tech_proj!AL487))</f>
        <v>46.53839987315412</v>
      </c>
      <c r="AM987" s="105">
        <f>IF(tech_base!$T83&gt;AM$905,"",AM2107+tech_proj!AM1607/(1-tech_proj!AM487))</f>
        <v>46.673462253961375</v>
      </c>
      <c r="AN987" s="105">
        <f>IF(tech_base!$T83&gt;AN$905,"",AN2107+tech_proj!AN1607/(1-tech_proj!AN487))</f>
        <v>46.808524634768617</v>
      </c>
      <c r="AO987" s="105">
        <f>IF(tech_base!$T83&gt;AO$905,"",AO2107+tech_proj!AO1607/(1-tech_proj!AO487))</f>
        <v>46.946288263192017</v>
      </c>
      <c r="AP987" s="105">
        <f>IF(tech_base!$T83&gt;AP$905,"",AP2107+tech_proj!AP1607/(1-tech_proj!AP487))</f>
        <v>47.084051891615417</v>
      </c>
      <c r="AQ987" s="105">
        <f>IF(tech_base!$T83&gt;AQ$905,"",AQ2107+tech_proj!AQ1607/(1-tech_proj!AQ487))</f>
        <v>47.221815520038803</v>
      </c>
      <c r="AR987" s="105">
        <f>IF(tech_base!$T83&gt;AR$905,"",AR2107+tech_proj!AR1607/(1-tech_proj!AR487))</f>
        <v>47.359579148462203</v>
      </c>
      <c r="AS987" s="105">
        <f>IF(tech_base!$T83&gt;AS$905,"",AS2107+tech_proj!AS1607/(1-tech_proj!AS487))</f>
        <v>47.497342776885603</v>
      </c>
      <c r="AT987" s="105">
        <f>IF(tech_base!$T83&gt;AT$905,"",AT2107+tech_proj!AT1607/(1-tech_proj!AT487))</f>
        <v>47.637861677877467</v>
      </c>
      <c r="AU987" s="105">
        <f>IF(tech_base!$T83&gt;AU$905,"",AU2107+tech_proj!AU1607/(1-tech_proj!AU487))</f>
        <v>47.778380578869317</v>
      </c>
      <c r="AV987" s="105">
        <f>IF(tech_base!$T83&gt;AV$905,"",AV2107+tech_proj!AV1607/(1-tech_proj!AV487))</f>
        <v>47.918899479861196</v>
      </c>
      <c r="AW987" s="105">
        <f>IF(tech_base!$T83&gt;AW$905,"",AW2107+tech_proj!AW1607/(1-tech_proj!AW487))</f>
        <v>48.059418380853046</v>
      </c>
      <c r="AX987" s="106">
        <f>IF(tech_base!$T83&gt;AX$905,"",AX2107+tech_proj!AX1607/(1-tech_proj!AX487))</f>
        <v>48.19993728184491</v>
      </c>
    </row>
    <row r="988" spans="1:50" x14ac:dyDescent="0.25">
      <c r="A988" s="357"/>
      <c r="B988" s="380"/>
      <c r="C988" s="381"/>
      <c r="D988" s="4" t="s">
        <v>8</v>
      </c>
      <c r="E988" s="168" t="str">
        <f>A951&amp;"/"&amp;B977&amp;"/"&amp;C987&amp;"/"&amp;D988</f>
        <v>Lignite fired power plants/Steam turbine/CHP with CCS/M</v>
      </c>
      <c r="F988" s="80" t="str">
        <f>A951</f>
        <v>Lignite fired power plants</v>
      </c>
      <c r="G988" s="80" t="str">
        <f>B977</f>
        <v>Steam turbine</v>
      </c>
      <c r="H988" s="80" t="str">
        <f>C987</f>
        <v>CHP with CCS</v>
      </c>
      <c r="I988" s="169" t="str">
        <f t="shared" si="368"/>
        <v>M</v>
      </c>
      <c r="J988" s="113" t="str">
        <f>IF(tech_base!$T84&gt;J$905,"",J2108+tech_proj!J1608/(1-tech_proj!J488))</f>
        <v/>
      </c>
      <c r="K988" s="113" t="str">
        <f>IF(tech_base!$T84&gt;K$905,"",K2108+tech_proj!K1608/(1-tech_proj!K488))</f>
        <v/>
      </c>
      <c r="L988" s="113" t="str">
        <f>IF(tech_base!$T84&gt;L$905,"",L2108+tech_proj!L1608/(1-tech_proj!L488))</f>
        <v/>
      </c>
      <c r="M988" s="113" t="str">
        <f>IF(tech_base!$T84&gt;M$905,"",M2108+tech_proj!M1608/(1-tech_proj!M488))</f>
        <v/>
      </c>
      <c r="N988" s="113" t="str">
        <f>IF(tech_base!$T84&gt;N$905,"",N2108+tech_proj!N1608/(1-tech_proj!N488))</f>
        <v/>
      </c>
      <c r="O988" s="113" t="str">
        <f>IF(tech_base!$T84&gt;O$905,"",O2108+tech_proj!O1608/(1-tech_proj!O488))</f>
        <v/>
      </c>
      <c r="P988" s="113" t="str">
        <f>IF(tech_base!$T84&gt;P$905,"",P2108+tech_proj!P1608/(1-tech_proj!P488))</f>
        <v/>
      </c>
      <c r="Q988" s="113" t="str">
        <f>IF(tech_base!$T84&gt;Q$905,"",Q2108+tech_proj!Q1608/(1-tech_proj!Q488))</f>
        <v/>
      </c>
      <c r="R988" s="113" t="str">
        <f>IF(tech_base!$T84&gt;R$905,"",R2108+tech_proj!R1608/(1-tech_proj!R488))</f>
        <v/>
      </c>
      <c r="S988" s="113" t="str">
        <f>IF(tech_base!$T84&gt;S$905,"",S2108+tech_proj!S1608/(1-tech_proj!S488))</f>
        <v/>
      </c>
      <c r="T988" s="113" t="str">
        <f>IF(tech_base!$T84&gt;T$905,"",T2108+tech_proj!T1608/(1-tech_proj!T488))</f>
        <v/>
      </c>
      <c r="U988" s="113" t="str">
        <f>IF(tech_base!$T84&gt;U$905,"",U2108+tech_proj!U1608/(1-tech_proj!U488))</f>
        <v/>
      </c>
      <c r="V988" s="113" t="str">
        <f>IF(tech_base!$T84&gt;V$905,"",V2108+tech_proj!V1608/(1-tech_proj!V488))</f>
        <v/>
      </c>
      <c r="W988" s="113" t="str">
        <f>IF(tech_base!$T84&gt;W$905,"",W2108+tech_proj!W1608/(1-tech_proj!W488))</f>
        <v/>
      </c>
      <c r="X988" s="113" t="str">
        <f>IF(tech_base!$T84&gt;X$905,"",X2108+tech_proj!X1608/(1-tech_proj!X488))</f>
        <v/>
      </c>
      <c r="Y988" s="113" t="str">
        <f>IF(tech_base!$T84&gt;Y$905,"",Y2108+tech_proj!Y1608/(1-tech_proj!Y488))</f>
        <v/>
      </c>
      <c r="Z988" s="113" t="str">
        <f>IF(tech_base!$T84&gt;Z$905,"",Z2108+tech_proj!Z1608/(1-tech_proj!Z488))</f>
        <v/>
      </c>
      <c r="AA988" s="113" t="str">
        <f>IF(tech_base!$T84&gt;AA$905,"",AA2108+tech_proj!AA1608/(1-tech_proj!AA488))</f>
        <v/>
      </c>
      <c r="AB988" s="113" t="str">
        <f>IF(tech_base!$T84&gt;AB$905,"",AB2108+tech_proj!AB1608/(1-tech_proj!AB488))</f>
        <v/>
      </c>
      <c r="AC988" s="113" t="str">
        <f>IF(tech_base!$T84&gt;AC$905,"",AC2108+tech_proj!AC1608/(1-tech_proj!AC488))</f>
        <v/>
      </c>
      <c r="AD988" s="113" t="str">
        <f>IF(tech_base!$T84&gt;AD$905,"",AD2108+tech_proj!AD1608/(1-tech_proj!AD488))</f>
        <v/>
      </c>
      <c r="AE988" s="113">
        <f>IF(tech_base!$T84&gt;AE$905,"",AE2108+tech_proj!AE1608/(1-tech_proj!AE488))</f>
        <v>49.926883512695873</v>
      </c>
      <c r="AF988" s="113">
        <f>IF(tech_base!$T84&gt;AF$905,"",AF2108+tech_proj!AF1608/(1-tech_proj!AF488))</f>
        <v>50.069428759103452</v>
      </c>
      <c r="AG988" s="113">
        <f>IF(tech_base!$T84&gt;AG$905,"",AG2108+tech_proj!AG1608/(1-tech_proj!AG488))</f>
        <v>50.211974005511031</v>
      </c>
      <c r="AH988" s="113">
        <f>IF(tech_base!$T84&gt;AH$905,"",AH2108+tech_proj!AH1608/(1-tech_proj!AH488))</f>
        <v>50.354519251918617</v>
      </c>
      <c r="AI988" s="113">
        <f>IF(tech_base!$T84&gt;AI$905,"",AI2108+tech_proj!AI1608/(1-tech_proj!AI488))</f>
        <v>50.497064498326196</v>
      </c>
      <c r="AJ988" s="113">
        <f>IF(tech_base!$T84&gt;AJ$905,"",AJ2108+tech_proj!AJ1608/(1-tech_proj!AJ488))</f>
        <v>50.642460649661921</v>
      </c>
      <c r="AK988" s="113">
        <f>IF(tech_base!$T84&gt;AK$905,"",AK2108+tech_proj!AK1608/(1-tech_proj!AK488))</f>
        <v>50.787856800997659</v>
      </c>
      <c r="AL988" s="113">
        <f>IF(tech_base!$T84&gt;AL$905,"",AL2108+tech_proj!AL1608/(1-tech_proj!AL488))</f>
        <v>50.93325295233339</v>
      </c>
      <c r="AM988" s="113">
        <f>IF(tech_base!$T84&gt;AM$905,"",AM2108+tech_proj!AM1608/(1-tech_proj!AM488))</f>
        <v>51.078649103669115</v>
      </c>
      <c r="AN988" s="113">
        <f>IF(tech_base!$T84&gt;AN$905,"",AN2108+tech_proj!AN1608/(1-tech_proj!AN488))</f>
        <v>51.224045255004853</v>
      </c>
      <c r="AO988" s="113">
        <f>IF(tech_base!$T84&gt;AO$905,"",AO2108+tech_proj!AO1608/(1-tech_proj!AO488))</f>
        <v>51.372349329367303</v>
      </c>
      <c r="AP988" s="113">
        <f>IF(tech_base!$T84&gt;AP$905,"",AP2108+tech_proj!AP1608/(1-tech_proj!AP488))</f>
        <v>51.520653403729753</v>
      </c>
      <c r="AQ988" s="113">
        <f>IF(tech_base!$T84&gt;AQ$905,"",AQ2108+tech_proj!AQ1608/(1-tech_proj!AQ488))</f>
        <v>51.668957478092196</v>
      </c>
      <c r="AR988" s="113">
        <f>IF(tech_base!$T84&gt;AR$905,"",AR2108+tech_proj!AR1608/(1-tech_proj!AR488))</f>
        <v>51.817261552454639</v>
      </c>
      <c r="AS988" s="113">
        <f>IF(tech_base!$T84&gt;AS$905,"",AS2108+tech_proj!AS1608/(1-tech_proj!AS488))</f>
        <v>51.965565626817089</v>
      </c>
      <c r="AT988" s="113">
        <f>IF(tech_base!$T84&gt;AT$905,"",AT2108+tech_proj!AT1608/(1-tech_proj!AT488))</f>
        <v>52.116835782666783</v>
      </c>
      <c r="AU988" s="113">
        <f>IF(tech_base!$T84&gt;AU$905,"",AU2108+tech_proj!AU1608/(1-tech_proj!AU488))</f>
        <v>52.268105938516477</v>
      </c>
      <c r="AV988" s="113">
        <f>IF(tech_base!$T84&gt;AV$905,"",AV2108+tech_proj!AV1608/(1-tech_proj!AV488))</f>
        <v>52.419376094366164</v>
      </c>
      <c r="AW988" s="113">
        <f>IF(tech_base!$T84&gt;AW$905,"",AW2108+tech_proj!AW1608/(1-tech_proj!AW488))</f>
        <v>52.570646250215866</v>
      </c>
      <c r="AX988" s="114">
        <f>IF(tech_base!$T84&gt;AX$905,"",AX2108+tech_proj!AX1608/(1-tech_proj!AX488))</f>
        <v>52.72191640606556</v>
      </c>
    </row>
    <row r="989" spans="1:50" x14ac:dyDescent="0.25">
      <c r="A989" s="356" t="s">
        <v>22</v>
      </c>
      <c r="B989" s="358" t="s">
        <v>23</v>
      </c>
      <c r="C989" s="353" t="s">
        <v>6</v>
      </c>
      <c r="D989" s="3" t="s">
        <v>7</v>
      </c>
      <c r="E989" s="162" t="str">
        <f>A989&amp;"/"&amp;B989&amp;"/"&amp;C989&amp;"/"&amp;D989</f>
        <v>Gas fired power plants (Natural gas, biogas)/Gas turbine combined cycle/Electricity only/L</v>
      </c>
      <c r="F989" s="77" t="str">
        <f>A989</f>
        <v>Gas fired power plants (Natural gas, biogas)</v>
      </c>
      <c r="G989" s="77" t="str">
        <f>B989</f>
        <v>Gas turbine combined cycle</v>
      </c>
      <c r="H989" s="77" t="str">
        <f>C989</f>
        <v>Electricity only</v>
      </c>
      <c r="I989" s="163" t="str">
        <f t="shared" si="368"/>
        <v>L</v>
      </c>
      <c r="J989" s="107">
        <f>IF(tech_base!$T85&gt;J$905,"",J2109+tech_proj!J1609/(1-tech_proj!J489))</f>
        <v>53.706960043459055</v>
      </c>
      <c r="K989" s="107">
        <f>IF(tech_base!$T85&gt;K$905,"",K2109+tech_proj!K1609/(1-tech_proj!K489))</f>
        <v>61.138069442413084</v>
      </c>
      <c r="L989" s="107">
        <f>IF(tech_base!$T85&gt;L$905,"",L2109+tech_proj!L1609/(1-tech_proj!L489))</f>
        <v>68.136841413626954</v>
      </c>
      <c r="M989" s="107">
        <f>IF(tech_base!$T85&gt;M$905,"",M2109+tech_proj!M1609/(1-tech_proj!M489))</f>
        <v>66.59377369879499</v>
      </c>
      <c r="N989" s="107">
        <f>IF(tech_base!$T85&gt;N$905,"",N2109+tech_proj!N1609/(1-tech_proj!N489))</f>
        <v>56.381248319446485</v>
      </c>
      <c r="O989" s="107">
        <f>IF(tech_base!$T85&gt;O$905,"",O2109+tech_proj!O1609/(1-tech_proj!O489))</f>
        <v>47.729440206316006</v>
      </c>
      <c r="P989" s="107">
        <f>IF(tech_base!$T85&gt;P$905,"",P2109+tech_proj!P1609/(1-tech_proj!P489))</f>
        <v>32.894022477522576</v>
      </c>
      <c r="Q989" s="107">
        <f>IF(tech_base!$T85&gt;Q$905,"",Q2109+tech_proj!Q1609/(1-tech_proj!Q489))</f>
        <v>38.313645077244423</v>
      </c>
      <c r="R989" s="107">
        <f>IF(tech_base!$T85&gt;R$905,"",R2109+tech_proj!R1609/(1-tech_proj!R489))</f>
        <v>42.071248489362404</v>
      </c>
      <c r="S989" s="107">
        <f>IF(tech_base!$T85&gt;S$905,"",S2109+tech_proj!S1609/(1-tech_proj!S489))</f>
        <v>45.844934386947564</v>
      </c>
      <c r="T989" s="107">
        <f>IF(tech_base!$T85&gt;T$905,"",T2109+tech_proj!T1609/(1-tech_proj!T489))</f>
        <v>49.555432699472291</v>
      </c>
      <c r="U989" s="107">
        <f>IF(tech_base!$T85&gt;U$905,"",U2109+tech_proj!U1609/(1-tech_proj!U489))</f>
        <v>53.150056065739506</v>
      </c>
      <c r="V989" s="107">
        <f>IF(tech_base!$T85&gt;V$905,"",V2109+tech_proj!V1609/(1-tech_proj!V489))</f>
        <v>55.440084379212799</v>
      </c>
      <c r="W989" s="107">
        <f>IF(tech_base!$T85&gt;W$905,"",W2109+tech_proj!W1609/(1-tech_proj!W489))</f>
        <v>58.148537582871526</v>
      </c>
      <c r="X989" s="107">
        <f>IF(tech_base!$T85&gt;X$905,"",X2109+tech_proj!X1609/(1-tech_proj!X489))</f>
        <v>60.677163959899424</v>
      </c>
      <c r="Y989" s="107">
        <f>IF(tech_base!$T85&gt;Y$905,"",Y2109+tech_proj!Y1609/(1-tech_proj!Y489))</f>
        <v>63.030600365417683</v>
      </c>
      <c r="Z989" s="107">
        <f>IF(tech_base!$T85&gt;Z$905,"",Z2109+tech_proj!Z1609/(1-tech_proj!Z489))</f>
        <v>63.762192868735141</v>
      </c>
      <c r="AA989" s="107">
        <f>IF(tech_base!$T85&gt;AA$905,"",AA2109+tech_proj!AA1609/(1-tech_proj!AA489))</f>
        <v>64.427622171010924</v>
      </c>
      <c r="AB989" s="107">
        <f>IF(tech_base!$T85&gt;AB$905,"",AB2109+tech_proj!AB1609/(1-tech_proj!AB489))</f>
        <v>65.178724084550481</v>
      </c>
      <c r="AC989" s="107">
        <f>IF(tech_base!$T85&gt;AC$905,"",AC2109+tech_proj!AC1609/(1-tech_proj!AC489))</f>
        <v>65.929762764592624</v>
      </c>
      <c r="AD989" s="107">
        <f>IF(tech_base!$T85&gt;AD$905,"",AD2109+tech_proj!AD1609/(1-tech_proj!AD489))</f>
        <v>67.100828265961454</v>
      </c>
      <c r="AE989" s="107">
        <f>IF(tech_base!$T85&gt;AE$905,"",AE2109+tech_proj!AE1609/(1-tech_proj!AE489))</f>
        <v>67.790334648631614</v>
      </c>
      <c r="AF989" s="107">
        <f>IF(tech_base!$T85&gt;AF$905,"",AF2109+tech_proj!AF1609/(1-tech_proj!AF489))</f>
        <v>68.610043060662335</v>
      </c>
      <c r="AG989" s="107">
        <f>IF(tech_base!$T85&gt;AG$905,"",AG2109+tech_proj!AG1609/(1-tech_proj!AG489))</f>
        <v>69.342552636030902</v>
      </c>
      <c r="AH989" s="107">
        <f>IF(tech_base!$T85&gt;AH$905,"",AH2109+tech_proj!AH1609/(1-tech_proj!AH489))</f>
        <v>70.010490656328741</v>
      </c>
      <c r="AI989" s="107">
        <f>IF(tech_base!$T85&gt;AI$905,"",AI2109+tech_proj!AI1609/(1-tech_proj!AI489))</f>
        <v>70.573251259261241</v>
      </c>
      <c r="AJ989" s="107">
        <f>IF(tech_base!$T85&gt;AJ$905,"",AJ2109+tech_proj!AJ1609/(1-tech_proj!AJ489))</f>
        <v>71.114361109489849</v>
      </c>
      <c r="AK989" s="107">
        <f>IF(tech_base!$T85&gt;AK$905,"",AK2109+tech_proj!AK1609/(1-tech_proj!AK489))</f>
        <v>71.556718855942634</v>
      </c>
      <c r="AL989" s="107">
        <f>IF(tech_base!$T85&gt;AL$905,"",AL2109+tech_proj!AL1609/(1-tech_proj!AL489))</f>
        <v>71.998876031052163</v>
      </c>
      <c r="AM989" s="107">
        <f>IF(tech_base!$T85&gt;AM$905,"",AM2109+tech_proj!AM1609/(1-tech_proj!AM489))</f>
        <v>72.507111627806736</v>
      </c>
      <c r="AN989" s="107">
        <f>IF(tech_base!$T85&gt;AN$905,"",AN2109+tech_proj!AN1609/(1-tech_proj!AN489))</f>
        <v>72.493731703234602</v>
      </c>
      <c r="AO989" s="107">
        <f>IF(tech_base!$T85&gt;AO$905,"",AO2109+tech_proj!AO1609/(1-tech_proj!AO489))</f>
        <v>72.655426239934656</v>
      </c>
      <c r="AP989" s="107">
        <f>IF(tech_base!$T85&gt;AP$905,"",AP2109+tech_proj!AP1609/(1-tech_proj!AP489))</f>
        <v>72.834877981352363</v>
      </c>
      <c r="AQ989" s="107">
        <f>IF(tech_base!$T85&gt;AQ$905,"",AQ2109+tech_proj!AQ1609/(1-tech_proj!AQ489))</f>
        <v>73.061260800342907</v>
      </c>
      <c r="AR989" s="107">
        <f>IF(tech_base!$T85&gt;AR$905,"",AR2109+tech_proj!AR1609/(1-tech_proj!AR489))</f>
        <v>73.408755554418306</v>
      </c>
      <c r="AS989" s="107">
        <f>IF(tech_base!$T85&gt;AS$905,"",AS2109+tech_proj!AS1609/(1-tech_proj!AS489))</f>
        <v>73.852179846593415</v>
      </c>
      <c r="AT989" s="107">
        <f>IF(tech_base!$T85&gt;AT$905,"",AT2109+tech_proj!AT1609/(1-tech_proj!AT489))</f>
        <v>74.275262891473574</v>
      </c>
      <c r="AU989" s="107">
        <f>IF(tech_base!$T85&gt;AU$905,"",AU2109+tech_proj!AU1609/(1-tech_proj!AU489))</f>
        <v>74.66007059676086</v>
      </c>
      <c r="AV989" s="107">
        <f>IF(tech_base!$T85&gt;AV$905,"",AV2109+tech_proj!AV1609/(1-tech_proj!AV489))</f>
        <v>74.972608144561562</v>
      </c>
      <c r="AW989" s="107">
        <f>IF(tech_base!$T85&gt;AW$905,"",AW2109+tech_proj!AW1609/(1-tech_proj!AW489))</f>
        <v>74.972437824717801</v>
      </c>
      <c r="AX989" s="108">
        <f>IF(tech_base!$T85&gt;AX$905,"",AX2109+tech_proj!AX1609/(1-tech_proj!AX489))</f>
        <v>74.993754642396539</v>
      </c>
    </row>
    <row r="990" spans="1:50" x14ac:dyDescent="0.25">
      <c r="A990" s="356"/>
      <c r="B990" s="376"/>
      <c r="C990" s="378"/>
      <c r="D990" s="2" t="s">
        <v>8</v>
      </c>
      <c r="E990" s="160" t="str">
        <f>A989&amp;"/"&amp;B989&amp;"/"&amp;C989&amp;"/"&amp;D990</f>
        <v>Gas fired power plants (Natural gas, biogas)/Gas turbine combined cycle/Electricity only/M</v>
      </c>
      <c r="F990" s="76" t="str">
        <f>A989</f>
        <v>Gas fired power plants (Natural gas, biogas)</v>
      </c>
      <c r="G990" s="76" t="str">
        <f>B989</f>
        <v>Gas turbine combined cycle</v>
      </c>
      <c r="H990" s="76" t="str">
        <f>C989</f>
        <v>Electricity only</v>
      </c>
      <c r="I990" s="161" t="str">
        <f t="shared" si="368"/>
        <v>M</v>
      </c>
      <c r="J990" s="105">
        <f>IF(tech_base!$T86&gt;J$905,"",J2110+tech_proj!J1610/(1-tech_proj!J490))</f>
        <v>56.458133627237324</v>
      </c>
      <c r="K990" s="105">
        <f>IF(tech_base!$T86&gt;K$905,"",K2110+tech_proj!K1610/(1-tech_proj!K490))</f>
        <v>64.290539566712226</v>
      </c>
      <c r="L990" s="105">
        <f>IF(tech_base!$T86&gt;L$905,"",L2110+tech_proj!L1610/(1-tech_proj!L490))</f>
        <v>71.675728112612859</v>
      </c>
      <c r="M990" s="105">
        <f>IF(tech_base!$T86&gt;M$905,"",M2110+tech_proj!M1610/(1-tech_proj!M490))</f>
        <v>70.078632736633381</v>
      </c>
      <c r="N990" s="105">
        <f>IF(tech_base!$T86&gt;N$905,"",N2110+tech_proj!N1610/(1-tech_proj!N490))</f>
        <v>59.355103528398679</v>
      </c>
      <c r="O990" s="105">
        <f>IF(tech_base!$T86&gt;O$905,"",O2110+tech_proj!O1610/(1-tech_proj!O490))</f>
        <v>50.270148587569906</v>
      </c>
      <c r="P990" s="105">
        <f>IF(tech_base!$T86&gt;P$905,"",P2110+tech_proj!P1610/(1-tech_proj!P490))</f>
        <v>34.660597884699484</v>
      </c>
      <c r="Q990" s="105">
        <f>IF(tech_base!$T86&gt;Q$905,"",Q2110+tech_proj!Q1610/(1-tech_proj!Q490))</f>
        <v>40.401295682599724</v>
      </c>
      <c r="R990" s="105">
        <f>IF(tech_base!$T86&gt;R$905,"",R2110+tech_proj!R1610/(1-tech_proj!R490))</f>
        <v>44.398448016253809</v>
      </c>
      <c r="S990" s="105">
        <f>IF(tech_base!$T86&gt;S$905,"",S2110+tech_proj!S1610/(1-tech_proj!S490))</f>
        <v>48.42170302610797</v>
      </c>
      <c r="T990" s="105">
        <f>IF(tech_base!$T86&gt;T$905,"",T2110+tech_proj!T1610/(1-tech_proj!T490))</f>
        <v>52.387364877514933</v>
      </c>
      <c r="U990" s="105">
        <f>IF(tech_base!$T86&gt;U$905,"",U2110+tech_proj!U1610/(1-tech_proj!U490))</f>
        <v>56.238816986398284</v>
      </c>
      <c r="V990" s="105">
        <f>IF(tech_base!$T86&gt;V$905,"",V2110+tech_proj!V1610/(1-tech_proj!V490))</f>
        <v>58.714934548704917</v>
      </c>
      <c r="W990" s="105">
        <f>IF(tech_base!$T86&gt;W$905,"",W2110+tech_proj!W1610/(1-tech_proj!W490))</f>
        <v>61.635710193852447</v>
      </c>
      <c r="X990" s="105">
        <f>IF(tech_base!$T86&gt;X$905,"",X2110+tech_proj!X1610/(1-tech_proj!X490))</f>
        <v>64.363324224076976</v>
      </c>
      <c r="Y990" s="105">
        <f>IF(tech_base!$T86&gt;Y$905,"",Y2110+tech_proj!Y1610/(1-tech_proj!Y490))</f>
        <v>66.896884145856973</v>
      </c>
      <c r="Z990" s="105">
        <f>IF(tech_base!$T86&gt;Z$905,"",Z2110+tech_proj!Z1610/(1-tech_proj!Z490))</f>
        <v>67.69408107904006</v>
      </c>
      <c r="AA990" s="105">
        <f>IF(tech_base!$T86&gt;AA$905,"",AA2110+tech_proj!AA1610/(1-tech_proj!AA490))</f>
        <v>68.400245585698187</v>
      </c>
      <c r="AB990" s="105">
        <f>IF(tech_base!$T86&gt;AB$905,"",AB2110+tech_proj!AB1610/(1-tech_proj!AB490))</f>
        <v>69.172879894960616</v>
      </c>
      <c r="AC990" s="105">
        <f>IF(tech_base!$T86&gt;AC$905,"",AC2110+tech_proj!AC1610/(1-tech_proj!AC490))</f>
        <v>69.919221382808203</v>
      </c>
      <c r="AD990" s="105">
        <f>IF(tech_base!$T86&gt;AD$905,"",AD2110+tech_proj!AD1610/(1-tech_proj!AD490))</f>
        <v>71.085222454856208</v>
      </c>
      <c r="AE990" s="105">
        <f>IF(tech_base!$T86&gt;AE$905,"",AE2110+tech_proj!AE1610/(1-tech_proj!AE490))</f>
        <v>71.718889936576232</v>
      </c>
      <c r="AF990" s="105">
        <f>IF(tech_base!$T86&gt;AF$905,"",AF2110+tech_proj!AF1610/(1-tech_proj!AF490))</f>
        <v>72.474626221245501</v>
      </c>
      <c r="AG990" s="105">
        <f>IF(tech_base!$T86&gt;AG$905,"",AG2110+tech_proj!AG1610/(1-tech_proj!AG490))</f>
        <v>73.129957160546965</v>
      </c>
      <c r="AH990" s="105">
        <f>IF(tech_base!$T86&gt;AH$905,"",AH2110+tech_proj!AH1610/(1-tech_proj!AH490))</f>
        <v>73.716748054414452</v>
      </c>
      <c r="AI990" s="105">
        <f>IF(tech_base!$T86&gt;AI$905,"",AI2110+tech_proj!AI1610/(1-tech_proj!AI490))</f>
        <v>74.199156503125735</v>
      </c>
      <c r="AJ990" s="105">
        <f>IF(tech_base!$T86&gt;AJ$905,"",AJ2110+tech_proj!AJ1610/(1-tech_proj!AJ490))</f>
        <v>74.670056560361473</v>
      </c>
      <c r="AK990" s="105">
        <f>IF(tech_base!$T86&gt;AK$905,"",AK2110+tech_proj!AK1610/(1-tech_proj!AK490))</f>
        <v>75.051211419413818</v>
      </c>
      <c r="AL990" s="105">
        <f>IF(tech_base!$T86&gt;AL$905,"",AL2110+tech_proj!AL1610/(1-tech_proj!AL490))</f>
        <v>75.446893623612667</v>
      </c>
      <c r="AM990" s="105">
        <f>IF(tech_base!$T86&gt;AM$905,"",AM2110+tech_proj!AM1610/(1-tech_proj!AM490))</f>
        <v>75.925761825285591</v>
      </c>
      <c r="AN990" s="105">
        <f>IF(tech_base!$T86&gt;AN$905,"",AN2110+tech_proj!AN1610/(1-tech_proj!AN490))</f>
        <v>75.870780724511604</v>
      </c>
      <c r="AO990" s="105">
        <f>IF(tech_base!$T86&gt;AO$905,"",AO2110+tech_proj!AO1610/(1-tech_proj!AO490))</f>
        <v>76.009743237055019</v>
      </c>
      <c r="AP990" s="105">
        <f>IF(tech_base!$T86&gt;AP$905,"",AP2110+tech_proj!AP1610/(1-tech_proj!AP490))</f>
        <v>76.17569834326234</v>
      </c>
      <c r="AQ990" s="105">
        <f>IF(tech_base!$T86&gt;AQ$905,"",AQ2110+tech_proj!AQ1610/(1-tech_proj!AQ490))</f>
        <v>76.397220983409341</v>
      </c>
      <c r="AR990" s="105">
        <f>IF(tech_base!$T86&gt;AR$905,"",AR2110+tech_proj!AR1610/(1-tech_proj!AR490))</f>
        <v>76.750248831532161</v>
      </c>
      <c r="AS990" s="105">
        <f>IF(tech_base!$T86&gt;AS$905,"",AS2110+tech_proj!AS1610/(1-tech_proj!AS490))</f>
        <v>77.207104639142457</v>
      </c>
      <c r="AT990" s="105">
        <f>IF(tech_base!$T86&gt;AT$905,"",AT2110+tech_proj!AT1610/(1-tech_proj!AT490))</f>
        <v>77.645174852405063</v>
      </c>
      <c r="AU990" s="105">
        <f>IF(tech_base!$T86&gt;AU$905,"",AU2110+tech_proj!AU1610/(1-tech_proj!AU490))</f>
        <v>78.044955784237885</v>
      </c>
      <c r="AV990" s="105">
        <f>IF(tech_base!$T86&gt;AV$905,"",AV2110+tech_proj!AV1610/(1-tech_proj!AV490))</f>
        <v>78.370344822017799</v>
      </c>
      <c r="AW990" s="105">
        <f>IF(tech_base!$T86&gt;AW$905,"",AW2110+tech_proj!AW1610/(1-tech_proj!AW490))</f>
        <v>78.369511884133729</v>
      </c>
      <c r="AX990" s="106">
        <f>IF(tech_base!$T86&gt;AX$905,"",AX2110+tech_proj!AX1610/(1-tech_proj!AX490))</f>
        <v>78.391646948296</v>
      </c>
    </row>
    <row r="991" spans="1:50" x14ac:dyDescent="0.25">
      <c r="A991" s="356"/>
      <c r="B991" s="376"/>
      <c r="C991" s="378"/>
      <c r="D991" s="2" t="s">
        <v>10</v>
      </c>
      <c r="E991" s="160" t="str">
        <f>A989&amp;"/"&amp;B989&amp;"/"&amp;C989&amp;"/"&amp;D991</f>
        <v>Gas fired power plants (Natural gas, biogas)/Gas turbine combined cycle/Electricity only/S</v>
      </c>
      <c r="F991" s="76" t="str">
        <f>A989</f>
        <v>Gas fired power plants (Natural gas, biogas)</v>
      </c>
      <c r="G991" s="76" t="str">
        <f>B989</f>
        <v>Gas turbine combined cycle</v>
      </c>
      <c r="H991" s="76" t="str">
        <f>C989</f>
        <v>Electricity only</v>
      </c>
      <c r="I991" s="161" t="str">
        <f t="shared" si="368"/>
        <v>S</v>
      </c>
      <c r="J991" s="105">
        <f>IF(tech_base!$T87&gt;J$905,"",J2111+tech_proj!J1611/(1-tech_proj!J491))</f>
        <v>59.433629436839404</v>
      </c>
      <c r="K991" s="105">
        <f>IF(tech_base!$T87&gt;K$905,"",K2111+tech_proj!K1611/(1-tech_proj!K491))</f>
        <v>67.676659032940108</v>
      </c>
      <c r="L991" s="105">
        <f>IF(tech_base!$T87&gt;L$905,"",L2111+tech_proj!L1611/(1-tech_proj!L491))</f>
        <v>75.452286821960357</v>
      </c>
      <c r="M991" s="105">
        <f>IF(tech_base!$T87&gt;M$905,"",M2111+tech_proj!M1611/(1-tech_proj!M491))</f>
        <v>73.782152244682962</v>
      </c>
      <c r="N991" s="105">
        <f>IF(tech_base!$T87&gt;N$905,"",N2111+tech_proj!N1611/(1-tech_proj!N491))</f>
        <v>62.51123485348338</v>
      </c>
      <c r="O991" s="105">
        <f>IF(tech_base!$T87&gt;O$905,"",O2111+tech_proj!O1611/(1-tech_proj!O491))</f>
        <v>52.963431509801438</v>
      </c>
      <c r="P991" s="105">
        <f>IF(tech_base!$T87&gt;P$905,"",P2111+tech_proj!P1611/(1-tech_proj!P491))</f>
        <v>36.545664044605992</v>
      </c>
      <c r="Q991" s="105">
        <f>IF(tech_base!$T87&gt;Q$905,"",Q2111+tech_proj!Q1611/(1-tech_proj!Q491))</f>
        <v>42.603752839738533</v>
      </c>
      <c r="R991" s="105">
        <f>IF(tech_base!$T87&gt;R$905,"",R2111+tech_proj!R1611/(1-tech_proj!R491))</f>
        <v>46.833289971563687</v>
      </c>
      <c r="S991" s="105">
        <f>IF(tech_base!$T87&gt;S$905,"",S2111+tech_proj!S1611/(1-tech_proj!S491))</f>
        <v>51.099277045390487</v>
      </c>
      <c r="T991" s="105">
        <f>IF(tech_base!$T87&gt;T$905,"",T2111+tech_proj!T1611/(1-tech_proj!T491))</f>
        <v>55.315999166443859</v>
      </c>
      <c r="U991" s="105">
        <f>IF(tech_base!$T87&gt;U$905,"",U2111+tech_proj!U1611/(1-tech_proj!U491))</f>
        <v>59.426544872137839</v>
      </c>
      <c r="V991" s="105">
        <f>IF(tech_base!$T87&gt;V$905,"",V2111+tech_proj!V1611/(1-tech_proj!V491))</f>
        <v>62.101520592187924</v>
      </c>
      <c r="W991" s="105">
        <f>IF(tech_base!$T87&gt;W$905,"",W2111+tech_proj!W1611/(1-tech_proj!W491))</f>
        <v>65.264601453791698</v>
      </c>
      <c r="X991" s="105">
        <f>IF(tech_base!$T87&gt;X$905,"",X2111+tech_proj!X1611/(1-tech_proj!X491))</f>
        <v>68.244683282202573</v>
      </c>
      <c r="Y991" s="105">
        <f>IF(tech_base!$T87&gt;Y$905,"",Y2111+tech_proj!Y1611/(1-tech_proj!Y491))</f>
        <v>71.042005241126716</v>
      </c>
      <c r="Z991" s="105">
        <f>IF(tech_base!$T87&gt;Z$905,"",Z2111+tech_proj!Z1611/(1-tech_proj!Z491))</f>
        <v>72.017050089441881</v>
      </c>
      <c r="AA991" s="105">
        <f>IF(tech_base!$T87&gt;AA$905,"",AA2111+tech_proj!AA1611/(1-tech_proj!AA491))</f>
        <v>72.909113502455</v>
      </c>
      <c r="AB991" s="105">
        <f>IF(tech_base!$T87&gt;AB$905,"",AB2111+tech_proj!AB1611/(1-tech_proj!AB491))</f>
        <v>73.879792596964336</v>
      </c>
      <c r="AC991" s="105">
        <f>IF(tech_base!$T87&gt;AC$905,"",AC2111+tech_proj!AC1611/(1-tech_proj!AC491))</f>
        <v>74.821035982967643</v>
      </c>
      <c r="AD991" s="105">
        <f>IF(tech_base!$T87&gt;AD$905,"",AD2111+tech_proj!AD1611/(1-tech_proj!AD491))</f>
        <v>76.197389013567616</v>
      </c>
      <c r="AE991" s="105">
        <f>IF(tech_base!$T87&gt;AE$905,"",AE2111+tech_proj!AE1611/(1-tech_proj!AE491))</f>
        <v>76.974889972282128</v>
      </c>
      <c r="AF991" s="105">
        <f>IF(tech_base!$T87&gt;AF$905,"",AF2111+tech_proj!AF1611/(1-tech_proj!AF491))</f>
        <v>77.83786016216736</v>
      </c>
      <c r="AG991" s="105">
        <f>IF(tech_base!$T87&gt;AG$905,"",AG2111+tech_proj!AG1611/(1-tech_proj!AG491))</f>
        <v>78.534646023904472</v>
      </c>
      <c r="AH991" s="105">
        <f>IF(tech_base!$T87&gt;AH$905,"",AH2111+tech_proj!AH1611/(1-tech_proj!AH491))</f>
        <v>79.092127128518698</v>
      </c>
      <c r="AI991" s="105">
        <f>IF(tech_base!$T87&gt;AI$905,"",AI2111+tech_proj!AI1611/(1-tech_proj!AI491))</f>
        <v>79.473291114719103</v>
      </c>
      <c r="AJ991" s="105">
        <f>IF(tech_base!$T87&gt;AJ$905,"",AJ2111+tech_proj!AJ1611/(1-tech_proj!AJ491))</f>
        <v>79.788090367571115</v>
      </c>
      <c r="AK991" s="105">
        <f>IF(tech_base!$T87&gt;AK$905,"",AK2111+tech_proj!AK1611/(1-tech_proj!AK491))</f>
        <v>79.970687947910534</v>
      </c>
      <c r="AL991" s="105">
        <f>IF(tech_base!$T87&gt;AL$905,"",AL2111+tech_proj!AL1611/(1-tech_proj!AL491))</f>
        <v>80.153264011884332</v>
      </c>
      <c r="AM991" s="105">
        <f>IF(tech_base!$T87&gt;AM$905,"",AM2111+tech_proj!AM1611/(1-tech_proj!AM491))</f>
        <v>80.427966031240572</v>
      </c>
      <c r="AN991" s="105">
        <f>IF(tech_base!$T87&gt;AN$905,"",AN2111+tech_proj!AN1611/(1-tech_proj!AN491))</f>
        <v>80.157778359508768</v>
      </c>
      <c r="AO991" s="105">
        <f>IF(tech_base!$T87&gt;AO$905,"",AO2111+tech_proj!AO1611/(1-tech_proj!AO491))</f>
        <v>80.122232960932351</v>
      </c>
      <c r="AP991" s="105">
        <f>IF(tech_base!$T87&gt;AP$905,"",AP2111+tech_proj!AP1611/(1-tech_proj!AP491))</f>
        <v>80.147430062243515</v>
      </c>
      <c r="AQ991" s="105">
        <f>IF(tech_base!$T87&gt;AQ$905,"",AQ2111+tech_proj!AQ1611/(1-tech_proj!AQ491))</f>
        <v>80.26199118539499</v>
      </c>
      <c r="AR991" s="105">
        <f>IF(tech_base!$T87&gt;AR$905,"",AR2111+tech_proj!AR1611/(1-tech_proj!AR491))</f>
        <v>80.541657325874539</v>
      </c>
      <c r="AS991" s="105">
        <f>IF(tech_base!$T87&gt;AS$905,"",AS2111+tech_proj!AS1611/(1-tech_proj!AS491))</f>
        <v>80.952416951544009</v>
      </c>
      <c r="AT991" s="105">
        <f>IF(tech_base!$T87&gt;AT$905,"",AT2111+tech_proj!AT1611/(1-tech_proj!AT491))</f>
        <v>81.361055977909317</v>
      </c>
      <c r="AU991" s="105">
        <f>IF(tech_base!$T87&gt;AU$905,"",AU2111+tech_proj!AU1611/(1-tech_proj!AU491))</f>
        <v>81.743120972319801</v>
      </c>
      <c r="AV991" s="105">
        <f>IF(tech_base!$T87&gt;AV$905,"",AV2111+tech_proj!AV1611/(1-tech_proj!AV491))</f>
        <v>82.057478214315935</v>
      </c>
      <c r="AW991" s="105">
        <f>IF(tech_base!$T87&gt;AW$905,"",AW2111+tech_proj!AW1611/(1-tech_proj!AW491))</f>
        <v>82.037993394466156</v>
      </c>
      <c r="AX991" s="106">
        <f>IF(tech_base!$T87&gt;AX$905,"",AX2111+tech_proj!AX1611/(1-tech_proj!AX491))</f>
        <v>82.048061111233011</v>
      </c>
    </row>
    <row r="992" spans="1:50" x14ac:dyDescent="0.25">
      <c r="A992" s="356"/>
      <c r="B992" s="376"/>
      <c r="C992" s="379"/>
      <c r="D992" s="2" t="s">
        <v>20</v>
      </c>
      <c r="E992" s="160" t="str">
        <f>A989&amp;"/"&amp;B989&amp;"/"&amp;C989&amp;"/"&amp;D992</f>
        <v>Gas fired power plants (Natural gas, biogas)/Gas turbine combined cycle/Electricity only/XS</v>
      </c>
      <c r="F992" s="76" t="str">
        <f>A989</f>
        <v>Gas fired power plants (Natural gas, biogas)</v>
      </c>
      <c r="G992" s="76" t="str">
        <f>B989</f>
        <v>Gas turbine combined cycle</v>
      </c>
      <c r="H992" s="76" t="str">
        <f>C989</f>
        <v>Electricity only</v>
      </c>
      <c r="I992" s="161" t="str">
        <f t="shared" si="368"/>
        <v>XS</v>
      </c>
      <c r="J992" s="105">
        <f>IF(tech_base!$T88&gt;J$905,"",J2112+tech_proj!J1612/(1-tech_proj!J492))</f>
        <v>62.753558700757495</v>
      </c>
      <c r="K992" s="105">
        <f>IF(tech_base!$T88&gt;K$905,"",K2112+tech_proj!K1612/(1-tech_proj!K492))</f>
        <v>71.424133270941411</v>
      </c>
      <c r="L992" s="105">
        <f>IF(tech_base!$T88&gt;L$905,"",L2112+tech_proj!L1612/(1-tech_proj!L492))</f>
        <v>79.603439986703407</v>
      </c>
      <c r="M992" s="105">
        <f>IF(tech_base!$T88&gt;M$905,"",M2112+tech_proj!M1612/(1-tech_proj!M492))</f>
        <v>77.847880990096257</v>
      </c>
      <c r="N992" s="105">
        <f>IF(tech_base!$T88&gt;N$905,"",N2112+tech_proj!N1612/(1-tech_proj!N492))</f>
        <v>65.994048298205598</v>
      </c>
      <c r="O992" s="105">
        <f>IF(tech_base!$T88&gt;O$905,"",O2112+tech_proj!O1612/(1-tech_proj!O492))</f>
        <v>55.952646731687153</v>
      </c>
      <c r="P992" s="105">
        <f>IF(tech_base!$T88&gt;P$905,"",P2112+tech_proj!P1612/(1-tech_proj!P492))</f>
        <v>38.684541044145689</v>
      </c>
      <c r="Q992" s="105">
        <f>IF(tech_base!$T88&gt;Q$905,"",Q2112+tech_proj!Q1612/(1-tech_proj!Q492))</f>
        <v>45.059319490189779</v>
      </c>
      <c r="R992" s="105">
        <f>IF(tech_base!$T88&gt;R$905,"",R2112+tech_proj!R1612/(1-tech_proj!R492))</f>
        <v>49.511856521491225</v>
      </c>
      <c r="S992" s="105">
        <f>IF(tech_base!$T88&gt;S$905,"",S2112+tech_proj!S1612/(1-tech_proj!S492))</f>
        <v>54.004505890611235</v>
      </c>
      <c r="T992" s="105">
        <f>IF(tech_base!$T88&gt;T$905,"",T2112+tech_proj!T1612/(1-tech_proj!T492))</f>
        <v>58.447820480614169</v>
      </c>
      <c r="U992" s="105">
        <f>IF(tech_base!$T88&gt;U$905,"",U2112+tech_proj!U1612/(1-tech_proj!U492))</f>
        <v>62.782907630273144</v>
      </c>
      <c r="V992" s="105">
        <f>IF(tech_base!$T88&gt;V$905,"",V2112+tech_proj!V1612/(1-tech_proj!V492))</f>
        <v>65.6117782449912</v>
      </c>
      <c r="W992" s="105">
        <f>IF(tech_base!$T88&gt;W$905,"",W2112+tech_proj!W1612/(1-tech_proj!W492))</f>
        <v>68.96053991897935</v>
      </c>
      <c r="X992" s="105">
        <f>IF(tech_base!$T88&gt;X$905,"",X2112+tech_proj!X1612/(1-tech_proj!X492))</f>
        <v>72.125078247140934</v>
      </c>
      <c r="Y992" s="105">
        <f>IF(tech_base!$T88&gt;Y$905,"",Y2112+tech_proj!Y1612/(1-tech_proj!Y492))</f>
        <v>75.108446366651023</v>
      </c>
      <c r="Z992" s="105">
        <f>IF(tech_base!$T88&gt;Z$905,"",Z2112+tech_proj!Z1612/(1-tech_proj!Z492))</f>
        <v>76.185433481561333</v>
      </c>
      <c r="AA992" s="105">
        <f>IF(tech_base!$T88&gt;AA$905,"",AA2112+tech_proj!AA1612/(1-tech_proj!AA492))</f>
        <v>77.191671687282778</v>
      </c>
      <c r="AB992" s="105">
        <f>IF(tech_base!$T88&gt;AB$905,"",AB2112+tech_proj!AB1612/(1-tech_proj!AB492))</f>
        <v>78.302182122990772</v>
      </c>
      <c r="AC992" s="105">
        <f>IF(tech_base!$T88&gt;AC$905,"",AC2112+tech_proj!AC1612/(1-tech_proj!AC492))</f>
        <v>79.408067622962861</v>
      </c>
      <c r="AD992" s="105">
        <f>IF(tech_base!$T88&gt;AD$905,"",AD2112+tech_proj!AD1612/(1-tech_proj!AD492))</f>
        <v>81.006692520183293</v>
      </c>
      <c r="AE992" s="105">
        <f>IF(tech_base!$T88&gt;AE$905,"",AE2112+tech_proj!AE1612/(1-tech_proj!AE492))</f>
        <v>82.007379971339773</v>
      </c>
      <c r="AF992" s="105">
        <f>IF(tech_base!$T88&gt;AF$905,"",AF2112+tech_proj!AF1612/(1-tech_proj!AF492))</f>
        <v>83.136650193009018</v>
      </c>
      <c r="AG992" s="105">
        <f>IF(tech_base!$T88&gt;AG$905,"",AG2112+tech_proj!AG1612/(1-tech_proj!AG492))</f>
        <v>84.124485093406875</v>
      </c>
      <c r="AH992" s="105">
        <f>IF(tech_base!$T88&gt;AH$905,"",AH2112+tech_proj!AH1612/(1-tech_proj!AH492))</f>
        <v>84.989798092396242</v>
      </c>
      <c r="AI992" s="105">
        <f>IF(tech_base!$T88&gt;AI$905,"",AI2112+tech_proj!AI1612/(1-tech_proj!AI492))</f>
        <v>85.67543480772099</v>
      </c>
      <c r="AJ992" s="105">
        <f>IF(tech_base!$T88&gt;AJ$905,"",AJ2112+tech_proj!AJ1612/(1-tech_proj!AJ492))</f>
        <v>86.274781003092173</v>
      </c>
      <c r="AK992" s="105">
        <f>IF(tech_base!$T88&gt;AK$905,"",AK2112+tech_proj!AK1612/(1-tech_proj!AK492))</f>
        <v>86.688072715519937</v>
      </c>
      <c r="AL992" s="105">
        <f>IF(tech_base!$T88&gt;AL$905,"",AL2112+tech_proj!AL1612/(1-tech_proj!AL492))</f>
        <v>87.02951854753627</v>
      </c>
      <c r="AM992" s="105">
        <f>IF(tech_base!$T88&gt;AM$905,"",AM2112+tech_proj!AM1612/(1-tech_proj!AM492))</f>
        <v>87.37683048885583</v>
      </c>
      <c r="AN992" s="105">
        <f>IF(tech_base!$T88&gt;AN$905,"",AN2112+tech_proj!AN1612/(1-tech_proj!AN492))</f>
        <v>87.029258227438334</v>
      </c>
      <c r="AO992" s="105">
        <f>IF(tech_base!$T88&gt;AO$905,"",AO2112+tech_proj!AO1612/(1-tech_proj!AO492))</f>
        <v>86.833678827548923</v>
      </c>
      <c r="AP992" s="105">
        <f>IF(tech_base!$T88&gt;AP$905,"",AP2112+tech_proj!AP1612/(1-tech_proj!AP492))</f>
        <v>86.617518970674411</v>
      </c>
      <c r="AQ992" s="105">
        <f>IF(tech_base!$T88&gt;AQ$905,"",AQ2112+tech_proj!AQ1612/(1-tech_proj!AQ492))</f>
        <v>86.436560699987766</v>
      </c>
      <c r="AR992" s="105">
        <f>IF(tech_base!$T88&gt;AR$905,"",AR2112+tech_proj!AR1612/(1-tech_proj!AR492))</f>
        <v>86.400766194647034</v>
      </c>
      <c r="AS992" s="105">
        <f>IF(tech_base!$T88&gt;AS$905,"",AS2112+tech_proj!AS1612/(1-tech_proj!AS492))</f>
        <v>86.500664095054518</v>
      </c>
      <c r="AT992" s="105">
        <f>IF(tech_base!$T88&gt;AT$905,"",AT2112+tech_proj!AT1612/(1-tech_proj!AT492))</f>
        <v>86.616556515980974</v>
      </c>
      <c r="AU992" s="105">
        <f>IF(tech_base!$T88&gt;AU$905,"",AU2112+tech_proj!AU1612/(1-tech_proj!AU492))</f>
        <v>86.738115277454284</v>
      </c>
      <c r="AV992" s="105">
        <f>IF(tech_base!$T88&gt;AV$905,"",AV2112+tech_proj!AV1612/(1-tech_proj!AV492))</f>
        <v>86.829783912793218</v>
      </c>
      <c r="AW992" s="105">
        <f>IF(tech_base!$T88&gt;AW$905,"",AW2112+tech_proj!AW1612/(1-tech_proj!AW492))</f>
        <v>86.612943230160539</v>
      </c>
      <c r="AX992" s="106">
        <f>IF(tech_base!$T88&gt;AX$905,"",AX2112+tech_proj!AX1612/(1-tech_proj!AX492))</f>
        <v>86.468297108068143</v>
      </c>
    </row>
    <row r="993" spans="1:50" x14ac:dyDescent="0.25">
      <c r="A993" s="356"/>
      <c r="B993" s="376"/>
      <c r="C993" s="361" t="s">
        <v>14</v>
      </c>
      <c r="D993" s="58" t="s">
        <v>7</v>
      </c>
      <c r="E993" s="164" t="str">
        <f>A989&amp;"/"&amp;B989&amp;"/"&amp;C993&amp;"/"&amp;D993</f>
        <v>Gas fired power plants (Natural gas, biogas)/Gas turbine combined cycle/CHP/L</v>
      </c>
      <c r="F993" s="78" t="str">
        <f>A989</f>
        <v>Gas fired power plants (Natural gas, biogas)</v>
      </c>
      <c r="G993" s="78" t="str">
        <f>B989</f>
        <v>Gas turbine combined cycle</v>
      </c>
      <c r="H993" s="78" t="str">
        <f>C993</f>
        <v>CHP</v>
      </c>
      <c r="I993" s="165" t="str">
        <f t="shared" si="368"/>
        <v>L</v>
      </c>
      <c r="J993" s="109">
        <f>IF(tech_base!$T89&gt;J$905,"",J2113+tech_proj!J1613/(1-tech_proj!J493))</f>
        <v>59.969131978087084</v>
      </c>
      <c r="K993" s="109">
        <f>IF(tech_base!$T89&gt;K$905,"",K2113+tech_proj!K1613/(1-tech_proj!K493))</f>
        <v>68.173261820939132</v>
      </c>
      <c r="L993" s="109">
        <f>IF(tech_base!$T89&gt;L$905,"",L2113+tech_proj!L1613/(1-tech_proj!L493))</f>
        <v>75.902490849942481</v>
      </c>
      <c r="M993" s="109">
        <f>IF(tech_base!$T89&gt;M$905,"",M2113+tech_proj!M1613/(1-tech_proj!M493))</f>
        <v>74.206804270812114</v>
      </c>
      <c r="N993" s="109">
        <f>IF(tech_base!$T89&gt;N$905,"",N2113+tech_proj!N1613/(1-tech_proj!N493))</f>
        <v>62.942520297755287</v>
      </c>
      <c r="O993" s="109">
        <f>IF(tech_base!$T89&gt;O$905,"",O2113+tech_proj!O1613/(1-tech_proj!O493))</f>
        <v>53.399627173754205</v>
      </c>
      <c r="P993" s="109">
        <f>IF(tech_base!$T89&gt;P$905,"",P2113+tech_proj!P1613/(1-tech_proj!P493))</f>
        <v>37.027148987542013</v>
      </c>
      <c r="Q993" s="109">
        <f>IF(tech_base!$T89&gt;Q$905,"",Q2113+tech_proj!Q1613/(1-tech_proj!Q493))</f>
        <v>43.019516268377913</v>
      </c>
      <c r="R993" s="109">
        <f>IF(tech_base!$T89&gt;R$905,"",R2113+tech_proj!R1613/(1-tech_proj!R493))</f>
        <v>47.179970533827529</v>
      </c>
      <c r="S993" s="109">
        <f>IF(tech_base!$T89&gt;S$905,"",S2113+tech_proj!S1613/(1-tech_proj!S493))</f>
        <v>51.362108731469483</v>
      </c>
      <c r="T993" s="109">
        <f>IF(tech_base!$T89&gt;T$905,"",T2113+tech_proj!T1613/(1-tech_proj!T493))</f>
        <v>55.479010833186216</v>
      </c>
      <c r="U993" s="109">
        <f>IF(tech_base!$T89&gt;U$905,"",U2113+tech_proj!U1613/(1-tech_proj!U493))</f>
        <v>59.473037539007834</v>
      </c>
      <c r="V993" s="109">
        <f>IF(tech_base!$T89&gt;V$905,"",V2113+tech_proj!V1613/(1-tech_proj!V493))</f>
        <v>62.029678811013248</v>
      </c>
      <c r="W993" s="109">
        <f>IF(tech_base!$T89&gt;W$905,"",W2113+tech_proj!W1613/(1-tech_proj!W493))</f>
        <v>65.054406788563043</v>
      </c>
      <c r="X993" s="109">
        <f>IF(tech_base!$T89&gt;X$905,"",X2113+tech_proj!X1613/(1-tech_proj!X493))</f>
        <v>67.885660115465242</v>
      </c>
      <c r="Y993" s="109">
        <f>IF(tech_base!$T89&gt;Y$905,"",Y2113+tech_proj!Y1613/(1-tech_proj!Y493))</f>
        <v>70.528280306223522</v>
      </c>
      <c r="Z993" s="109">
        <f>IF(tech_base!$T89&gt;Z$905,"",Z2113+tech_proj!Z1613/(1-tech_proj!Z493))</f>
        <v>71.377975946620381</v>
      </c>
      <c r="AA993" s="109">
        <f>IF(tech_base!$T89&gt;AA$905,"",AA2113+tech_proj!AA1613/(1-tech_proj!AA493))</f>
        <v>72.156592529871517</v>
      </c>
      <c r="AB993" s="109">
        <f>IF(tech_base!$T89&gt;AB$905,"",AB2113+tech_proj!AB1613/(1-tech_proj!AB493))</f>
        <v>73.031697996950356</v>
      </c>
      <c r="AC993" s="109">
        <f>IF(tech_base!$T89&gt;AC$905,"",AC2113+tech_proj!AC1613/(1-tech_proj!AC493))</f>
        <v>73.907322162155182</v>
      </c>
      <c r="AD993" s="109">
        <f>IF(tech_base!$T89&gt;AD$905,"",AD2113+tech_proj!AD1613/(1-tech_proj!AD493))</f>
        <v>75.249315407737285</v>
      </c>
      <c r="AE993" s="109">
        <f>IF(tech_base!$T89&gt;AE$905,"",AE2113+tech_proj!AE1613/(1-tech_proj!AE493))</f>
        <v>76.055144112253615</v>
      </c>
      <c r="AF993" s="109">
        <f>IF(tech_base!$T89&gt;AF$905,"",AF2113+tech_proj!AF1613/(1-tech_proj!AF493))</f>
        <v>77.003670633549277</v>
      </c>
      <c r="AG993" s="109">
        <f>IF(tech_base!$T89&gt;AG$905,"",AG2113+tech_proj!AG1613/(1-tech_proj!AG493))</f>
        <v>77.852560722433779</v>
      </c>
      <c r="AH993" s="109">
        <f>IF(tech_base!$T89&gt;AH$905,"",AH2113+tech_proj!AH1613/(1-tech_proj!AH493))</f>
        <v>78.62648151625649</v>
      </c>
      <c r="AI993" s="109">
        <f>IF(tech_base!$T89&gt;AI$905,"",AI2113+tech_proj!AI1613/(1-tech_proj!AI493))</f>
        <v>79.279943999012048</v>
      </c>
      <c r="AJ993" s="109">
        <f>IF(tech_base!$T89&gt;AJ$905,"",AJ2113+tech_proj!AJ1613/(1-tech_proj!AJ493))</f>
        <v>79.905897691263917</v>
      </c>
      <c r="AK993" s="109">
        <f>IF(tech_base!$T89&gt;AK$905,"",AK2113+tech_proj!AK1613/(1-tech_proj!AK493))</f>
        <v>80.418563651132203</v>
      </c>
      <c r="AL993" s="109">
        <f>IF(tech_base!$T89&gt;AL$905,"",AL2113+tech_proj!AL1613/(1-tech_proj!AL493))</f>
        <v>80.927974172365495</v>
      </c>
      <c r="AM993" s="109">
        <f>IF(tech_base!$T89&gt;AM$905,"",AM2113+tech_proj!AM1613/(1-tech_proj!AM493))</f>
        <v>81.508342098282739</v>
      </c>
      <c r="AN993" s="109">
        <f>IF(tech_base!$T89&gt;AN$905,"",AN2113+tech_proj!AN1613/(1-tech_proj!AN493))</f>
        <v>81.504786961484996</v>
      </c>
      <c r="AO993" s="109">
        <f>IF(tech_base!$T89&gt;AO$905,"",AO2113+tech_proj!AO1613/(1-tech_proj!AO493))</f>
        <v>81.69431137147447</v>
      </c>
      <c r="AP993" s="109">
        <f>IF(tech_base!$T89&gt;AP$905,"",AP2113+tech_proj!AP1613/(1-tech_proj!AP493))</f>
        <v>81.901883287174343</v>
      </c>
      <c r="AQ993" s="109">
        <f>IF(tech_base!$T89&gt;AQ$905,"",AQ2113+tech_proj!AQ1613/(1-tech_proj!AQ493))</f>
        <v>82.160346526764897</v>
      </c>
      <c r="AR993" s="109">
        <f>IF(tech_base!$T89&gt;AR$905,"",AR2113+tech_proj!AR1613/(1-tech_proj!AR493))</f>
        <v>82.552710199150695</v>
      </c>
      <c r="AS993" s="109">
        <f>IF(tech_base!$T89&gt;AS$905,"",AS2113+tech_proj!AS1613/(1-tech_proj!AS493))</f>
        <v>83.051126093704426</v>
      </c>
      <c r="AT993" s="109">
        <f>IF(tech_base!$T89&gt;AT$905,"",AT2113+tech_proj!AT1613/(1-tech_proj!AT493))</f>
        <v>83.526093318005067</v>
      </c>
      <c r="AU993" s="109">
        <f>IF(tech_base!$T89&gt;AU$905,"",AU2113+tech_proj!AU1613/(1-tech_proj!AU493))</f>
        <v>83.957752266075047</v>
      </c>
      <c r="AV993" s="109">
        <f>IF(tech_base!$T89&gt;AV$905,"",AV2113+tech_proj!AV1613/(1-tech_proj!AV493))</f>
        <v>84.308300128636532</v>
      </c>
      <c r="AW993" s="109">
        <f>IF(tech_base!$T89&gt;AW$905,"",AW2113+tech_proj!AW1613/(1-tech_proj!AW493))</f>
        <v>84.30961655945373</v>
      </c>
      <c r="AX993" s="110">
        <f>IF(tech_base!$T89&gt;AX$905,"",AX2113+tech_proj!AX1613/(1-tech_proj!AX493))</f>
        <v>84.334578171037165</v>
      </c>
    </row>
    <row r="994" spans="1:50" x14ac:dyDescent="0.25">
      <c r="A994" s="356"/>
      <c r="B994" s="376"/>
      <c r="C994" s="378"/>
      <c r="D994" s="2" t="s">
        <v>8</v>
      </c>
      <c r="E994" s="160" t="str">
        <f>A989&amp;"/"&amp;B989&amp;"/"&amp;C993&amp;"/"&amp;D994</f>
        <v>Gas fired power plants (Natural gas, biogas)/Gas turbine combined cycle/CHP/M</v>
      </c>
      <c r="F994" s="76" t="str">
        <f>A989</f>
        <v>Gas fired power plants (Natural gas, biogas)</v>
      </c>
      <c r="G994" s="76" t="str">
        <f>B989</f>
        <v>Gas turbine combined cycle</v>
      </c>
      <c r="H994" s="76" t="str">
        <f>C993</f>
        <v>CHP</v>
      </c>
      <c r="I994" s="161" t="str">
        <f t="shared" si="368"/>
        <v>M</v>
      </c>
      <c r="J994" s="105">
        <f>IF(tech_base!$T90&gt;J$905,"",J2114+tech_proj!J1614/(1-tech_proj!J494))</f>
        <v>63.002673969839392</v>
      </c>
      <c r="K994" s="105">
        <f>IF(tech_base!$T90&gt;K$905,"",K2114+tech_proj!K1614/(1-tech_proj!K494))</f>
        <v>71.647523370627354</v>
      </c>
      <c r="L994" s="105">
        <f>IF(tech_base!$T90&gt;L$905,"",L2114+tech_proj!L1614/(1-tech_proj!L494))</f>
        <v>79.799435250354591</v>
      </c>
      <c r="M994" s="105">
        <f>IF(tech_base!$T90&gt;M$905,"",M2114+tech_proj!M1614/(1-tech_proj!M494))</f>
        <v>78.03878653163369</v>
      </c>
      <c r="N994" s="105">
        <f>IF(tech_base!$T90&gt;N$905,"",N2114+tech_proj!N1614/(1-tech_proj!N494))</f>
        <v>66.205756626191416</v>
      </c>
      <c r="O994" s="105">
        <f>IF(tech_base!$T90&gt;O$905,"",O2114+tech_proj!O1614/(1-tech_proj!O494))</f>
        <v>56.180958666570902</v>
      </c>
      <c r="P994" s="105">
        <f>IF(tech_base!$T90&gt;P$905,"",P2114+tech_proj!P1614/(1-tech_proj!P494))</f>
        <v>38.953900640378158</v>
      </c>
      <c r="Q994" s="105">
        <f>IF(tech_base!$T90&gt;Q$905,"",Q2114+tech_proj!Q1614/(1-tech_proj!Q494))</f>
        <v>45.293378167518568</v>
      </c>
      <c r="R994" s="105">
        <f>IF(tech_base!$T90&gt;R$905,"",R2114+tech_proj!R1614/(1-tech_proj!R494))</f>
        <v>49.70978816888303</v>
      </c>
      <c r="S994" s="105">
        <f>IF(tech_base!$T90&gt;S$905,"",S2114+tech_proj!S1614/(1-tech_proj!S494))</f>
        <v>54.156964058820733</v>
      </c>
      <c r="T994" s="105">
        <f>IF(tech_base!$T90&gt;T$905,"",T2114+tech_proj!T1614/(1-tech_proj!T494))</f>
        <v>58.543103814762297</v>
      </c>
      <c r="U994" s="105">
        <f>IF(tech_base!$T90&gt;U$905,"",U2114+tech_proj!U1614/(1-tech_proj!U494))</f>
        <v>62.806405232088991</v>
      </c>
      <c r="V994" s="105">
        <f>IF(tech_base!$T90&gt;V$905,"",V2114+tech_proj!V1614/(1-tech_proj!V494))</f>
        <v>65.554545406126095</v>
      </c>
      <c r="W994" s="105">
        <f>IF(tech_base!$T90&gt;W$905,"",W2114+tech_proj!W1614/(1-tech_proj!W494))</f>
        <v>68.79844998801002</v>
      </c>
      <c r="X994" s="105">
        <f>IF(tech_base!$T90&gt;X$905,"",X2114+tech_proj!X1614/(1-tech_proj!X494))</f>
        <v>71.834530948141293</v>
      </c>
      <c r="Y994" s="105">
        <f>IF(tech_base!$T90&gt;Y$905,"",Y2114+tech_proj!Y1614/(1-tech_proj!Y494))</f>
        <v>74.662636563935635</v>
      </c>
      <c r="Z994" s="105">
        <f>IF(tech_base!$T90&gt;Z$905,"",Z2114+tech_proj!Z1614/(1-tech_proj!Z494))</f>
        <v>75.577210664639068</v>
      </c>
      <c r="AA994" s="105">
        <f>IF(tech_base!$T90&gt;AA$905,"",AA2114+tech_proj!AA1614/(1-tech_proj!AA494))</f>
        <v>76.397152028586163</v>
      </c>
      <c r="AB994" s="105">
        <f>IF(tech_base!$T90&gt;AB$905,"",AB2114+tech_proj!AB1614/(1-tech_proj!AB494))</f>
        <v>77.296747834715148</v>
      </c>
      <c r="AC994" s="105">
        <f>IF(tech_base!$T90&gt;AC$905,"",AC2114+tech_proj!AC1614/(1-tech_proj!AC494))</f>
        <v>78.172890159863286</v>
      </c>
      <c r="AD994" s="105">
        <f>IF(tech_base!$T90&gt;AD$905,"",AD2114+tech_proj!AD1614/(1-tech_proj!AD494))</f>
        <v>79.519172165368531</v>
      </c>
      <c r="AE994" s="105">
        <f>IF(tech_base!$T90&gt;AE$905,"",AE2114+tech_proj!AE1614/(1-tech_proj!AE494))</f>
        <v>80.27852356958013</v>
      </c>
      <c r="AF994" s="105">
        <f>IF(tech_base!$T90&gt;AF$905,"",AF2114+tech_proj!AF1614/(1-tech_proj!AF494))</f>
        <v>81.174668837289715</v>
      </c>
      <c r="AG994" s="105">
        <f>IF(tech_base!$T90&gt;AG$905,"",AG2114+tech_proj!AG1614/(1-tech_proj!AG494))</f>
        <v>81.95860489370223</v>
      </c>
      <c r="AH994" s="105">
        <f>IF(tech_base!$T90&gt;AH$905,"",AH2114+tech_proj!AH1614/(1-tech_proj!AH494))</f>
        <v>82.663647209136855</v>
      </c>
      <c r="AI994" s="105">
        <f>IF(tech_base!$T90&gt;AI$905,"",AI2114+tech_proj!AI1614/(1-tech_proj!AI494))</f>
        <v>83.248232311684944</v>
      </c>
      <c r="AJ994" s="105">
        <f>IF(tech_base!$T90&gt;AJ$905,"",AJ2114+tech_proj!AJ1614/(1-tech_proj!AJ494))</f>
        <v>83.814589614215151</v>
      </c>
      <c r="AK994" s="105">
        <f>IF(tech_base!$T90&gt;AK$905,"",AK2114+tech_proj!AK1614/(1-tech_proj!AK494))</f>
        <v>84.275109084699906</v>
      </c>
      <c r="AL994" s="105">
        <f>IF(tech_base!$T90&gt;AL$905,"",AL2114+tech_proj!AL1614/(1-tech_proj!AL494))</f>
        <v>84.745941040283753</v>
      </c>
      <c r="AM994" s="105">
        <f>IF(tech_base!$T90&gt;AM$905,"",AM2114+tech_proj!AM1614/(1-tech_proj!AM494))</f>
        <v>85.304069819893016</v>
      </c>
      <c r="AN994" s="105">
        <f>IF(tech_base!$T90&gt;AN$905,"",AN2114+tech_proj!AN1614/(1-tech_proj!AN494))</f>
        <v>85.262156904769355</v>
      </c>
      <c r="AO994" s="105">
        <f>IF(tech_base!$T90&gt;AO$905,"",AO2114+tech_proj!AO1614/(1-tech_proj!AO494))</f>
        <v>85.432272590702581</v>
      </c>
      <c r="AP994" s="105">
        <f>IF(tech_base!$T90&gt;AP$905,"",AP2114+tech_proj!AP1614/(1-tech_proj!AP494))</f>
        <v>85.629069432746022</v>
      </c>
      <c r="AQ994" s="105">
        <f>IF(tech_base!$T90&gt;AQ$905,"",AQ2114+tech_proj!AQ1614/(1-tech_proj!AQ494))</f>
        <v>85.885118831229789</v>
      </c>
      <c r="AR994" s="105">
        <f>IF(tech_base!$T90&gt;AR$905,"",AR2114+tech_proj!AR1614/(1-tech_proj!AR494))</f>
        <v>86.285742843551802</v>
      </c>
      <c r="AS994" s="105">
        <f>IF(tech_base!$T90&gt;AS$905,"",AS2114+tech_proj!AS1614/(1-tech_proj!AS494))</f>
        <v>86.800570646625332</v>
      </c>
      <c r="AT994" s="105">
        <f>IF(tech_base!$T90&gt;AT$905,"",AT2114+tech_proj!AT1614/(1-tech_proj!AT494))</f>
        <v>87.293190861565179</v>
      </c>
      <c r="AU994" s="105">
        <f>IF(tech_base!$T90&gt;AU$905,"",AU2114+tech_proj!AU1614/(1-tech_proj!AU494))</f>
        <v>87.74213658630228</v>
      </c>
      <c r="AV994" s="105">
        <f>IF(tech_base!$T90&gt;AV$905,"",AV2114+tech_proj!AV1614/(1-tech_proj!AV494))</f>
        <v>88.107352310207816</v>
      </c>
      <c r="AW994" s="105">
        <f>IF(tech_base!$T90&gt;AW$905,"",AW2114+tech_proj!AW1614/(1-tech_proj!AW494))</f>
        <v>88.108005304917896</v>
      </c>
      <c r="AX994" s="106">
        <f>IF(tech_base!$T90&gt;AX$905,"",AX2114+tech_proj!AX1614/(1-tech_proj!AX494))</f>
        <v>88.133871707432021</v>
      </c>
    </row>
    <row r="995" spans="1:50" x14ac:dyDescent="0.25">
      <c r="A995" s="356"/>
      <c r="B995" s="376"/>
      <c r="C995" s="378"/>
      <c r="D995" s="2" t="s">
        <v>10</v>
      </c>
      <c r="E995" s="160" t="str">
        <f>A989&amp;"/"&amp;B989&amp;"/"&amp;C993&amp;"/"&amp;D995</f>
        <v>Gas fired power plants (Natural gas, biogas)/Gas turbine combined cycle/CHP/S</v>
      </c>
      <c r="F995" s="76" t="str">
        <f>A989</f>
        <v>Gas fired power plants (Natural gas, biogas)</v>
      </c>
      <c r="G995" s="76" t="str">
        <f>B989</f>
        <v>Gas turbine combined cycle</v>
      </c>
      <c r="H995" s="76" t="str">
        <f>C993</f>
        <v>CHP</v>
      </c>
      <c r="I995" s="161" t="str">
        <f t="shared" si="368"/>
        <v>S</v>
      </c>
      <c r="J995" s="105">
        <f>IF(tech_base!$T91&gt;J$905,"",J2115+tech_proj!J1615/(1-tech_proj!J495))</f>
        <v>66.912923304515019</v>
      </c>
      <c r="K995" s="105">
        <f>IF(tech_base!$T91&gt;K$905,"",K2115+tech_proj!K1615/(1-tech_proj!K495))</f>
        <v>76.011475426740148</v>
      </c>
      <c r="L995" s="105">
        <f>IF(tech_base!$T91&gt;L$905,"",L2115+tech_proj!L1615/(1-tech_proj!L495))</f>
        <v>84.594185209080806</v>
      </c>
      <c r="M995" s="105">
        <f>IF(tech_base!$T91&gt;M$905,"",M2115+tech_proj!M1615/(1-tech_proj!M495))</f>
        <v>82.750920099417485</v>
      </c>
      <c r="N995" s="105">
        <f>IF(tech_base!$T91&gt;N$905,"",N2115+tech_proj!N1615/(1-tech_proj!N495))</f>
        <v>70.310495198853516</v>
      </c>
      <c r="O995" s="105">
        <f>IF(tech_base!$T91&gt;O$905,"",O2115+tech_proj!O1615/(1-tech_proj!O495))</f>
        <v>59.771997494247366</v>
      </c>
      <c r="P995" s="105">
        <f>IF(tech_base!$T91&gt;P$905,"",P2115+tech_proj!P1615/(1-tech_proj!P495))</f>
        <v>41.650395721361882</v>
      </c>
      <c r="Q995" s="105">
        <f>IF(tech_base!$T91&gt;Q$905,"",Q2115+tech_proj!Q1615/(1-tech_proj!Q495))</f>
        <v>48.337644842695902</v>
      </c>
      <c r="R995" s="105">
        <f>IF(tech_base!$T91&gt;R$905,"",R2115+tech_proj!R1615/(1-tech_proj!R495))</f>
        <v>53.006754741697961</v>
      </c>
      <c r="S995" s="105">
        <f>IF(tech_base!$T91&gt;S$905,"",S2115+tech_proj!S1615/(1-tech_proj!S495))</f>
        <v>57.716409385228637</v>
      </c>
      <c r="T995" s="105">
        <f>IF(tech_base!$T91&gt;T$905,"",T2115+tech_proj!T1615/(1-tech_proj!T495))</f>
        <v>62.372126965131159</v>
      </c>
      <c r="U995" s="105">
        <f>IF(tech_base!$T91&gt;U$905,"",U2115+tech_proj!U1615/(1-tech_proj!U495))</f>
        <v>66.911266278727936</v>
      </c>
      <c r="V995" s="105">
        <f>IF(tech_base!$T91&gt;V$905,"",V2115+tech_proj!V1615/(1-tech_proj!V495))</f>
        <v>69.86649940024779</v>
      </c>
      <c r="W995" s="105">
        <f>IF(tech_base!$T91&gt;W$905,"",W2115+tech_proj!W1615/(1-tech_proj!W495))</f>
        <v>73.361670454346751</v>
      </c>
      <c r="X995" s="105">
        <f>IF(tech_base!$T91&gt;X$905,"",X2115+tech_proj!X1615/(1-tech_proj!X495))</f>
        <v>76.656346480727024</v>
      </c>
      <c r="Y995" s="105">
        <f>IF(tech_base!$T91&gt;Y$905,"",Y2115+tech_proj!Y1615/(1-tech_proj!Y495))</f>
        <v>79.751316386308645</v>
      </c>
      <c r="Z995" s="105">
        <f>IF(tech_base!$T91&gt;Z$905,"",Z2115+tech_proj!Z1615/(1-tech_proj!Z495))</f>
        <v>80.836697330908393</v>
      </c>
      <c r="AA995" s="105">
        <f>IF(tech_base!$T91&gt;AA$905,"",AA2115+tech_proj!AA1615/(1-tech_proj!AA495))</f>
        <v>81.83351617710349</v>
      </c>
      <c r="AB995" s="105">
        <f>IF(tech_base!$T91&gt;AB$905,"",AB2115+tech_proj!AB1615/(1-tech_proj!AB495))</f>
        <v>82.921148755811714</v>
      </c>
      <c r="AC995" s="105">
        <f>IF(tech_base!$T91&gt;AC$905,"",AC2115+tech_proj!AC1615/(1-tech_proj!AC495))</f>
        <v>83.981328214926805</v>
      </c>
      <c r="AD995" s="105">
        <f>IF(tech_base!$T91&gt;AD$905,"",AD2115+tech_proj!AD1615/(1-tech_proj!AD495))</f>
        <v>85.528761564225306</v>
      </c>
      <c r="AE995" s="105">
        <f>IF(tech_base!$T91&gt;AE$905,"",AE2115+tech_proj!AE1615/(1-tech_proj!AE495))</f>
        <v>86.421810092101666</v>
      </c>
      <c r="AF995" s="105">
        <f>IF(tech_base!$T91&gt;AF$905,"",AF2115+tech_proj!AF1615/(1-tech_proj!AF495))</f>
        <v>87.417842363197479</v>
      </c>
      <c r="AG995" s="105">
        <f>IF(tech_base!$T91&gt;AG$905,"",AG2115+tech_proj!AG1615/(1-tech_proj!AG495))</f>
        <v>88.238990574856544</v>
      </c>
      <c r="AH995" s="105">
        <f>IF(tech_base!$T91&gt;AH$905,"",AH2115+tech_proj!AH1615/(1-tech_proj!AH495))</f>
        <v>88.914518140929559</v>
      </c>
      <c r="AI995" s="105">
        <f>IF(tech_base!$T91&gt;AI$905,"",AI2115+tech_proj!AI1615/(1-tech_proj!AI495))</f>
        <v>89.40183757474351</v>
      </c>
      <c r="AJ995" s="105">
        <f>IF(tech_base!$T91&gt;AJ$905,"",AJ2115+tech_proj!AJ1615/(1-tech_proj!AJ495))</f>
        <v>89.820227675800695</v>
      </c>
      <c r="AK995" s="105">
        <f>IF(tech_base!$T91&gt;AK$905,"",AK2115+tech_proj!AK1615/(1-tech_proj!AK495))</f>
        <v>90.093247864707308</v>
      </c>
      <c r="AL995" s="105">
        <f>IF(tech_base!$T91&gt;AL$905,"",AL2115+tech_proj!AL1615/(1-tech_proj!AL495))</f>
        <v>90.364089001903352</v>
      </c>
      <c r="AM995" s="105">
        <f>IF(tech_base!$T91&gt;AM$905,"",AM2115+tech_proj!AM1615/(1-tech_proj!AM495))</f>
        <v>90.732239765402085</v>
      </c>
      <c r="AN995" s="105">
        <f>IF(tech_base!$T91&gt;AN$905,"",AN2115+tech_proj!AN1615/(1-tech_proj!AN495))</f>
        <v>90.486378357466023</v>
      </c>
      <c r="AO995" s="105">
        <f>IF(tech_base!$T91&gt;AO$905,"",AO2115+tech_proj!AO1615/(1-tech_proj!AO495))</f>
        <v>90.492866104989105</v>
      </c>
      <c r="AP995" s="105">
        <f>IF(tech_base!$T91&gt;AP$905,"",AP2115+tech_proj!AP1615/(1-tech_proj!AP495))</f>
        <v>90.558306019622378</v>
      </c>
      <c r="AQ995" s="105">
        <f>IF(tech_base!$T91&gt;AQ$905,"",AQ2115+tech_proj!AQ1615/(1-tech_proj!AQ495))</f>
        <v>90.715423667363453</v>
      </c>
      <c r="AR995" s="105">
        <f>IF(tech_base!$T91&gt;AR$905,"",AR2115+tech_proj!AR1615/(1-tech_proj!AR495))</f>
        <v>91.049906494744306</v>
      </c>
      <c r="AS995" s="105">
        <f>IF(tech_base!$T91&gt;AS$905,"",AS2115+tech_proj!AS1615/(1-tech_proj!AS495))</f>
        <v>91.525154694265737</v>
      </c>
      <c r="AT995" s="105">
        <f>IF(tech_base!$T91&gt;AT$905,"",AT2115+tech_proj!AT1615/(1-tech_proj!AT495))</f>
        <v>91.993741120188758</v>
      </c>
      <c r="AU995" s="105">
        <f>IF(tech_base!$T91&gt;AU$905,"",AU2115+tech_proj!AU1615/(1-tech_proj!AU495))</f>
        <v>92.429363528759694</v>
      </c>
      <c r="AV995" s="105">
        <f>IF(tech_base!$T91&gt;AV$905,"",AV2115+tech_proj!AV1615/(1-tech_proj!AV495))</f>
        <v>92.786924356143174</v>
      </c>
      <c r="AW995" s="105">
        <f>IF(tech_base!$T91&gt;AW$905,"",AW2115+tech_proj!AW1615/(1-tech_proj!AW495))</f>
        <v>92.77002823605423</v>
      </c>
      <c r="AX995" s="106">
        <f>IF(tech_base!$T91&gt;AX$905,"",AX2115+tech_proj!AX1615/(1-tech_proj!AX495))</f>
        <v>92.784726643736661</v>
      </c>
    </row>
    <row r="996" spans="1:50" x14ac:dyDescent="0.25">
      <c r="A996" s="356"/>
      <c r="B996" s="376"/>
      <c r="C996" s="379"/>
      <c r="D996" s="59" t="s">
        <v>20</v>
      </c>
      <c r="E996" s="166" t="str">
        <f>A989&amp;"/"&amp;B989&amp;"/"&amp;C993&amp;"/"&amp;D996</f>
        <v>Gas fired power plants (Natural gas, biogas)/Gas turbine combined cycle/CHP/XS</v>
      </c>
      <c r="F996" s="79" t="str">
        <f>A989</f>
        <v>Gas fired power plants (Natural gas, biogas)</v>
      </c>
      <c r="G996" s="79" t="str">
        <f>B989</f>
        <v>Gas turbine combined cycle</v>
      </c>
      <c r="H996" s="79" t="str">
        <f>C993</f>
        <v>CHP</v>
      </c>
      <c r="I996" s="167" t="str">
        <f t="shared" si="368"/>
        <v>XS</v>
      </c>
      <c r="J996" s="111">
        <f>IF(tech_base!$T92&gt;J$905,"",J2116+tech_proj!J1616/(1-tech_proj!J496))</f>
        <v>70.395019998243484</v>
      </c>
      <c r="K996" s="111">
        <f>IF(tech_base!$T92&gt;K$905,"",K2116+tech_proj!K1616/(1-tech_proj!K496))</f>
        <v>79.967105529564819</v>
      </c>
      <c r="L996" s="111">
        <f>IF(tech_base!$T92&gt;L$905,"",L2116+tech_proj!L1616/(1-tech_proj!L496))</f>
        <v>88.996854902050131</v>
      </c>
      <c r="M996" s="111">
        <f>IF(tech_base!$T92&gt;M$905,"",M2116+tech_proj!M1616/(1-tech_proj!M496))</f>
        <v>87.058796025588407</v>
      </c>
      <c r="N996" s="111">
        <f>IF(tech_base!$T92&gt;N$905,"",N2116+tech_proj!N1616/(1-tech_proj!N496))</f>
        <v>73.972519670546987</v>
      </c>
      <c r="O996" s="111">
        <f>IF(tech_base!$T92&gt;O$905,"",O2116+tech_proj!O1616/(1-tech_proj!O496))</f>
        <v>62.88711613040946</v>
      </c>
      <c r="P996" s="111">
        <f>IF(tech_base!$T92&gt;P$905,"",P2116+tech_proj!P1616/(1-tech_proj!P496))</f>
        <v>43.82360428161121</v>
      </c>
      <c r="Q996" s="111">
        <f>IF(tech_base!$T92&gt;Q$905,"",Q2116+tech_proj!Q1616/(1-tech_proj!Q496))</f>
        <v>50.861254632444549</v>
      </c>
      <c r="R996" s="111">
        <f>IF(tech_base!$T92&gt;R$905,"",R2116+tech_proj!R1616/(1-tech_proj!R496))</f>
        <v>55.776831181128181</v>
      </c>
      <c r="S996" s="111">
        <f>IF(tech_base!$T92&gt;S$905,"",S2116+tech_proj!S1616/(1-tech_proj!S496))</f>
        <v>60.736738849886081</v>
      </c>
      <c r="T996" s="111">
        <f>IF(tech_base!$T92&gt;T$905,"",T2116+tech_proj!T1616/(1-tech_proj!T496))</f>
        <v>65.642250549678963</v>
      </c>
      <c r="U996" s="111">
        <f>IF(tech_base!$T92&gt;U$905,"",U2116+tech_proj!U1616/(1-tech_proj!U496))</f>
        <v>70.428378218189408</v>
      </c>
      <c r="V996" s="111">
        <f>IF(tech_base!$T92&gt;V$905,"",V2116+tech_proj!V1616/(1-tech_proj!V496))</f>
        <v>73.551787030344585</v>
      </c>
      <c r="W996" s="111">
        <f>IF(tech_base!$T92&gt;W$905,"",W2116+tech_proj!W1616/(1-tech_proj!W496))</f>
        <v>77.249327577674805</v>
      </c>
      <c r="X996" s="111">
        <f>IF(tech_base!$T92&gt;X$905,"",X2116+tech_proj!X1616/(1-tech_proj!X496))</f>
        <v>80.743731634964291</v>
      </c>
      <c r="Y996" s="111">
        <f>IF(tech_base!$T92&gt;Y$905,"",Y2116+tech_proj!Y1616/(1-tech_proj!Y496))</f>
        <v>84.038460920726394</v>
      </c>
      <c r="Z996" s="111">
        <f>IF(tech_base!$T92&gt;Z$905,"",Z2116+tech_proj!Z1616/(1-tech_proj!Z496))</f>
        <v>85.228915490842809</v>
      </c>
      <c r="AA996" s="111">
        <f>IF(tech_base!$T92&gt;AA$905,"",AA2116+tech_proj!AA1616/(1-tech_proj!AA496))</f>
        <v>86.341802770765952</v>
      </c>
      <c r="AB996" s="111">
        <f>IF(tech_base!$T92&gt;AB$905,"",AB2116+tech_proj!AB1616/(1-tech_proj!AB496))</f>
        <v>87.57055407607956</v>
      </c>
      <c r="AC996" s="111">
        <f>IF(tech_base!$T92&gt;AC$905,"",AC2116+tech_proj!AC1616/(1-tech_proj!AC496))</f>
        <v>88.795203648460557</v>
      </c>
      <c r="AD996" s="111">
        <f>IF(tech_base!$T92&gt;AD$905,"",AD2116+tech_proj!AD1616/(1-tech_proj!AD496))</f>
        <v>90.565309858129595</v>
      </c>
      <c r="AE996" s="111">
        <f>IF(tech_base!$T92&gt;AE$905,"",AE2116+tech_proj!AE1616/(1-tech_proj!AE496))</f>
        <v>91.677003998090186</v>
      </c>
      <c r="AF996" s="111">
        <f>IF(tech_base!$T92&gt;AF$905,"",AF2116+tech_proj!AF1616/(1-tech_proj!AF496))</f>
        <v>92.933122320293862</v>
      </c>
      <c r="AG996" s="111">
        <f>IF(tech_base!$T92&gt;AG$905,"",AG2116+tech_proj!AG1616/(1-tech_proj!AG496))</f>
        <v>94.036227657157241</v>
      </c>
      <c r="AH996" s="111">
        <f>IF(tech_base!$T92&gt;AH$905,"",AH2116+tech_proj!AH1616/(1-tech_proj!AH496))</f>
        <v>95.00810247360711</v>
      </c>
      <c r="AI996" s="111">
        <f>IF(tech_base!$T92&gt;AI$905,"",AI2116+tech_proj!AI1616/(1-tech_proj!AI496))</f>
        <v>95.78663929487324</v>
      </c>
      <c r="AJ996" s="111">
        <f>IF(tech_base!$T92&gt;AJ$905,"",AJ2116+tech_proj!AJ1616/(1-tech_proj!AJ496))</f>
        <v>96.476178691759813</v>
      </c>
      <c r="AK996" s="111">
        <f>IF(tech_base!$T92&gt;AK$905,"",AK2116+tech_proj!AK1616/(1-tech_proj!AK496))</f>
        <v>96.967609000602991</v>
      </c>
      <c r="AL996" s="111">
        <f>IF(tech_base!$T92&gt;AL$905,"",AL2116+tech_proj!AL1616/(1-tech_proj!AL496))</f>
        <v>97.38820114380583</v>
      </c>
      <c r="AM996" s="111">
        <f>IF(tech_base!$T92&gt;AM$905,"",AM2116+tech_proj!AM1616/(1-tech_proj!AM496))</f>
        <v>97.824650806971192</v>
      </c>
      <c r="AN996" s="111">
        <f>IF(tech_base!$T92&gt;AN$905,"",AN2116+tech_proj!AN1616/(1-tech_proj!AN496))</f>
        <v>97.500764802346893</v>
      </c>
      <c r="AO996" s="111">
        <f>IF(tech_base!$T92&gt;AO$905,"",AO2116+tech_proj!AO1616/(1-tech_proj!AO496))</f>
        <v>97.352829330350517</v>
      </c>
      <c r="AP996" s="111">
        <f>IF(tech_base!$T92&gt;AP$905,"",AP2116+tech_proj!AP1616/(1-tech_proj!AP496))</f>
        <v>97.187641213439463</v>
      </c>
      <c r="AQ996" s="111">
        <f>IF(tech_base!$T92&gt;AQ$905,"",AQ2116+tech_proj!AQ1616/(1-tech_proj!AQ496))</f>
        <v>97.064039470276086</v>
      </c>
      <c r="AR996" s="111">
        <f>IF(tech_base!$T92&gt;AR$905,"",AR2116+tech_proj!AR1616/(1-tech_proj!AR496))</f>
        <v>97.100778712674952</v>
      </c>
      <c r="AS996" s="111">
        <f>IF(tech_base!$T92&gt;AS$905,"",AS2116+tech_proj!AS1616/(1-tech_proj!AS496))</f>
        <v>97.284235198490236</v>
      </c>
      <c r="AT996" s="111">
        <f>IF(tech_base!$T92&gt;AT$905,"",AT2116+tech_proj!AT1616/(1-tech_proj!AT496))</f>
        <v>97.478662612655185</v>
      </c>
      <c r="AU996" s="111">
        <f>IF(tech_base!$T92&gt;AU$905,"",AU2116+tech_proj!AU1616/(1-tech_proj!AU496))</f>
        <v>97.670794759799193</v>
      </c>
      <c r="AV996" s="111">
        <f>IF(tech_base!$T92&gt;AV$905,"",AV2116+tech_proj!AV1616/(1-tech_proj!AV496))</f>
        <v>97.820341869871442</v>
      </c>
      <c r="AW996" s="111">
        <f>IF(tech_base!$T92&gt;AW$905,"",AW2116+tech_proj!AW1616/(1-tech_proj!AW496))</f>
        <v>97.616846795384774</v>
      </c>
      <c r="AX996" s="112">
        <f>IF(tech_base!$T92&gt;AX$905,"",AX2116+tech_proj!AX1616/(1-tech_proj!AX496))</f>
        <v>97.485540883064431</v>
      </c>
    </row>
    <row r="997" spans="1:50" x14ac:dyDescent="0.25">
      <c r="A997" s="356"/>
      <c r="B997" s="376"/>
      <c r="C997" s="361" t="s">
        <v>15</v>
      </c>
      <c r="D997" s="58" t="s">
        <v>7</v>
      </c>
      <c r="E997" s="164" t="str">
        <f>A989&amp;"/"&amp;B989&amp;"/"&amp;C997&amp;"/"&amp;D997</f>
        <v>Gas fired power plants (Natural gas, biogas)/Gas turbine combined cycle/Electricity only with CCS/L</v>
      </c>
      <c r="F997" s="78" t="str">
        <f>A989</f>
        <v>Gas fired power plants (Natural gas, biogas)</v>
      </c>
      <c r="G997" s="78" t="str">
        <f>B989</f>
        <v>Gas turbine combined cycle</v>
      </c>
      <c r="H997" s="78" t="str">
        <f>C997</f>
        <v>Electricity only with CCS</v>
      </c>
      <c r="I997" s="165" t="str">
        <f t="shared" si="368"/>
        <v>L</v>
      </c>
      <c r="J997" s="109" t="str">
        <f>IF(tech_base!$T93&gt;J$905,"",J2117+tech_proj!J1617/(1-tech_proj!J497))</f>
        <v/>
      </c>
      <c r="K997" s="109" t="str">
        <f>IF(tech_base!$T93&gt;K$905,"",K2117+tech_proj!K1617/(1-tech_proj!K497))</f>
        <v/>
      </c>
      <c r="L997" s="109" t="str">
        <f>IF(tech_base!$T93&gt;L$905,"",L2117+tech_proj!L1617/(1-tech_proj!L497))</f>
        <v/>
      </c>
      <c r="M997" s="109" t="str">
        <f>IF(tech_base!$T93&gt;M$905,"",M2117+tech_proj!M1617/(1-tech_proj!M497))</f>
        <v/>
      </c>
      <c r="N997" s="109" t="str">
        <f>IF(tech_base!$T93&gt;N$905,"",N2117+tech_proj!N1617/(1-tech_proj!N497))</f>
        <v/>
      </c>
      <c r="O997" s="109" t="str">
        <f>IF(tech_base!$T93&gt;O$905,"",O2117+tech_proj!O1617/(1-tech_proj!O497))</f>
        <v/>
      </c>
      <c r="P997" s="109" t="str">
        <f>IF(tech_base!$T93&gt;P$905,"",P2117+tech_proj!P1617/(1-tech_proj!P497))</f>
        <v/>
      </c>
      <c r="Q997" s="109" t="str">
        <f>IF(tech_base!$T93&gt;Q$905,"",Q2117+tech_proj!Q1617/(1-tech_proj!Q497))</f>
        <v/>
      </c>
      <c r="R997" s="109" t="str">
        <f>IF(tech_base!$T93&gt;R$905,"",R2117+tech_proj!R1617/(1-tech_proj!R497))</f>
        <v/>
      </c>
      <c r="S997" s="109" t="str">
        <f>IF(tech_base!$T93&gt;S$905,"",S2117+tech_proj!S1617/(1-tech_proj!S497))</f>
        <v/>
      </c>
      <c r="T997" s="109" t="str">
        <f>IF(tech_base!$T93&gt;T$905,"",T2117+tech_proj!T1617/(1-tech_proj!T497))</f>
        <v/>
      </c>
      <c r="U997" s="109" t="str">
        <f>IF(tech_base!$T93&gt;U$905,"",U2117+tech_proj!U1617/(1-tech_proj!U497))</f>
        <v/>
      </c>
      <c r="V997" s="109" t="str">
        <f>IF(tech_base!$T93&gt;V$905,"",V2117+tech_proj!V1617/(1-tech_proj!V497))</f>
        <v/>
      </c>
      <c r="W997" s="109" t="str">
        <f>IF(tech_base!$T93&gt;W$905,"",W2117+tech_proj!W1617/(1-tech_proj!W497))</f>
        <v/>
      </c>
      <c r="X997" s="109" t="str">
        <f>IF(tech_base!$T93&gt;X$905,"",X2117+tech_proj!X1617/(1-tech_proj!X497))</f>
        <v/>
      </c>
      <c r="Y997" s="109" t="str">
        <f>IF(tech_base!$T93&gt;Y$905,"",Y2117+tech_proj!Y1617/(1-tech_proj!Y497))</f>
        <v/>
      </c>
      <c r="Z997" s="109" t="str">
        <f>IF(tech_base!$T93&gt;Z$905,"",Z2117+tech_proj!Z1617/(1-tech_proj!Z497))</f>
        <v/>
      </c>
      <c r="AA997" s="109" t="str">
        <f>IF(tech_base!$T93&gt;AA$905,"",AA2117+tech_proj!AA1617/(1-tech_proj!AA497))</f>
        <v/>
      </c>
      <c r="AB997" s="109" t="str">
        <f>IF(tech_base!$T93&gt;AB$905,"",AB2117+tech_proj!AB1617/(1-tech_proj!AB497))</f>
        <v/>
      </c>
      <c r="AC997" s="109" t="str">
        <f>IF(tech_base!$T93&gt;AC$905,"",AC2117+tech_proj!AC1617/(1-tech_proj!AC497))</f>
        <v/>
      </c>
      <c r="AD997" s="109" t="str">
        <f>IF(tech_base!$T93&gt;AD$905,"",AD2117+tech_proj!AD1617/(1-tech_proj!AD497))</f>
        <v/>
      </c>
      <c r="AE997" s="109">
        <f>IF(tech_base!$T93&gt;AE$905,"",AE2117+tech_proj!AE1617/(1-tech_proj!AE497))</f>
        <v>87.324054021755458</v>
      </c>
      <c r="AF997" s="109">
        <f>IF(tech_base!$T93&gt;AF$905,"",AF2117+tech_proj!AF1617/(1-tech_proj!AF497))</f>
        <v>88.557131668795691</v>
      </c>
      <c r="AG997" s="109">
        <f>IF(tech_base!$T93&gt;AG$905,"",AG2117+tech_proj!AG1617/(1-tech_proj!AG497))</f>
        <v>89.658694048359592</v>
      </c>
      <c r="AH997" s="109">
        <f>IF(tech_base!$T93&gt;AH$905,"",AH2117+tech_proj!AH1617/(1-tech_proj!AH497))</f>
        <v>90.653346386191032</v>
      </c>
      <c r="AI997" s="109">
        <f>IF(tech_base!$T93&gt;AI$905,"",AI2117+tech_proj!AI1617/(1-tech_proj!AI497))</f>
        <v>91.486259692371831</v>
      </c>
      <c r="AJ997" s="109">
        <f>IF(tech_base!$T93&gt;AJ$905,"",AJ2117+tech_proj!AJ1617/(1-tech_proj!AJ497))</f>
        <v>92.261317041870726</v>
      </c>
      <c r="AK997" s="109">
        <f>IF(tech_base!$T93&gt;AK$905,"",AK2117+tech_proj!AK1617/(1-tech_proj!AK497))</f>
        <v>92.878174102790553</v>
      </c>
      <c r="AL997" s="109">
        <f>IF(tech_base!$T93&gt;AL$905,"",AL2117+tech_proj!AL1617/(1-tech_proj!AL497))</f>
        <v>93.460330340681239</v>
      </c>
      <c r="AM997" s="109">
        <f>IF(tech_base!$T93&gt;AM$905,"",AM2117+tech_proj!AM1617/(1-tech_proj!AM497))</f>
        <v>94.089692792696084</v>
      </c>
      <c r="AN997" s="109">
        <f>IF(tech_base!$T93&gt;AN$905,"",AN2117+tech_proj!AN1617/(1-tech_proj!AN497))</f>
        <v>94.013159866869401</v>
      </c>
      <c r="AO997" s="109">
        <f>IF(tech_base!$T93&gt;AO$905,"",AO2117+tech_proj!AO1617/(1-tech_proj!AO497))</f>
        <v>94.115136029610113</v>
      </c>
      <c r="AP997" s="109">
        <f>IF(tech_base!$T93&gt;AP$905,"",AP2117+tech_proj!AP1617/(1-tech_proj!AP497))</f>
        <v>94.189008348651711</v>
      </c>
      <c r="AQ997" s="109">
        <f>IF(tech_base!$T93&gt;AQ$905,"",AQ2117+tech_proj!AQ1617/(1-tech_proj!AQ497))</f>
        <v>94.264337535367488</v>
      </c>
      <c r="AR997" s="109">
        <f>IF(tech_base!$T93&gt;AR$905,"",AR2117+tech_proj!AR1617/(1-tech_proj!AR497))</f>
        <v>94.425795149762308</v>
      </c>
      <c r="AS997" s="109">
        <f>IF(tech_base!$T93&gt;AS$905,"",AS2117+tech_proj!AS1617/(1-tech_proj!AS497))</f>
        <v>94.630179209202836</v>
      </c>
      <c r="AT997" s="109">
        <f>IF(tech_base!$T93&gt;AT$905,"",AT2117+tech_proj!AT1617/(1-tech_proj!AT497))</f>
        <v>94.719473445554542</v>
      </c>
      <c r="AU997" s="109">
        <f>IF(tech_base!$T93&gt;AU$905,"",AU2117+tech_proj!AU1617/(1-tech_proj!AU497))</f>
        <v>94.661905298380717</v>
      </c>
      <c r="AV997" s="109">
        <f>IF(tech_base!$T93&gt;AV$905,"",AV2117+tech_proj!AV1617/(1-tech_proj!AV497))</f>
        <v>94.409255953202148</v>
      </c>
      <c r="AW997" s="109">
        <f>IF(tech_base!$T93&gt;AW$905,"",AW2117+tech_proj!AW1617/(1-tech_proj!AW497))</f>
        <v>93.665623397037962</v>
      </c>
      <c r="AX997" s="110">
        <f>IF(tech_base!$T93&gt;AX$905,"",AX2117+tech_proj!AX1617/(1-tech_proj!AX497))</f>
        <v>92.854943142028432</v>
      </c>
    </row>
    <row r="998" spans="1:50" x14ac:dyDescent="0.25">
      <c r="A998" s="356"/>
      <c r="B998" s="376"/>
      <c r="C998" s="379"/>
      <c r="D998" s="59" t="s">
        <v>8</v>
      </c>
      <c r="E998" s="166" t="str">
        <f>A989&amp;"/"&amp;B989&amp;"/"&amp;C997&amp;"/"&amp;D998</f>
        <v>Gas fired power plants (Natural gas, biogas)/Gas turbine combined cycle/Electricity only with CCS/M</v>
      </c>
      <c r="F998" s="79" t="str">
        <f>A989</f>
        <v>Gas fired power plants (Natural gas, biogas)</v>
      </c>
      <c r="G998" s="79" t="str">
        <f>B989</f>
        <v>Gas turbine combined cycle</v>
      </c>
      <c r="H998" s="79" t="str">
        <f>C997</f>
        <v>Electricity only with CCS</v>
      </c>
      <c r="I998" s="167" t="str">
        <f t="shared" si="368"/>
        <v>M</v>
      </c>
      <c r="J998" s="111" t="str">
        <f>IF(tech_base!$T94&gt;J$905,"",J2118+tech_proj!J1618/(1-tech_proj!J498))</f>
        <v/>
      </c>
      <c r="K998" s="111" t="str">
        <f>IF(tech_base!$T94&gt;K$905,"",K2118+tech_proj!K1618/(1-tech_proj!K498))</f>
        <v/>
      </c>
      <c r="L998" s="111" t="str">
        <f>IF(tech_base!$T94&gt;L$905,"",L2118+tech_proj!L1618/(1-tech_proj!L498))</f>
        <v/>
      </c>
      <c r="M998" s="111" t="str">
        <f>IF(tech_base!$T94&gt;M$905,"",M2118+tech_proj!M1618/(1-tech_proj!M498))</f>
        <v/>
      </c>
      <c r="N998" s="111" t="str">
        <f>IF(tech_base!$T94&gt;N$905,"",N2118+tech_proj!N1618/(1-tech_proj!N498))</f>
        <v/>
      </c>
      <c r="O998" s="111" t="str">
        <f>IF(tech_base!$T94&gt;O$905,"",O2118+tech_proj!O1618/(1-tech_proj!O498))</f>
        <v/>
      </c>
      <c r="P998" s="111" t="str">
        <f>IF(tech_base!$T94&gt;P$905,"",P2118+tech_proj!P1618/(1-tech_proj!P498))</f>
        <v/>
      </c>
      <c r="Q998" s="111" t="str">
        <f>IF(tech_base!$T94&gt;Q$905,"",Q2118+tech_proj!Q1618/(1-tech_proj!Q498))</f>
        <v/>
      </c>
      <c r="R998" s="111" t="str">
        <f>IF(tech_base!$T94&gt;R$905,"",R2118+tech_proj!R1618/(1-tech_proj!R498))</f>
        <v/>
      </c>
      <c r="S998" s="111" t="str">
        <f>IF(tech_base!$T94&gt;S$905,"",S2118+tech_proj!S1618/(1-tech_proj!S498))</f>
        <v/>
      </c>
      <c r="T998" s="111" t="str">
        <f>IF(tech_base!$T94&gt;T$905,"",T2118+tech_proj!T1618/(1-tech_proj!T498))</f>
        <v/>
      </c>
      <c r="U998" s="111" t="str">
        <f>IF(tech_base!$T94&gt;U$905,"",U2118+tech_proj!U1618/(1-tech_proj!U498))</f>
        <v/>
      </c>
      <c r="V998" s="111" t="str">
        <f>IF(tech_base!$T94&gt;V$905,"",V2118+tech_proj!V1618/(1-tech_proj!V498))</f>
        <v/>
      </c>
      <c r="W998" s="111" t="str">
        <f>IF(tech_base!$T94&gt;W$905,"",W2118+tech_proj!W1618/(1-tech_proj!W498))</f>
        <v/>
      </c>
      <c r="X998" s="111" t="str">
        <f>IF(tech_base!$T94&gt;X$905,"",X2118+tech_proj!X1618/(1-tech_proj!X498))</f>
        <v/>
      </c>
      <c r="Y998" s="111" t="str">
        <f>IF(tech_base!$T94&gt;Y$905,"",Y2118+tech_proj!Y1618/(1-tech_proj!Y498))</f>
        <v/>
      </c>
      <c r="Z998" s="111" t="str">
        <f>IF(tech_base!$T94&gt;Z$905,"",Z2118+tech_proj!Z1618/(1-tech_proj!Z498))</f>
        <v/>
      </c>
      <c r="AA998" s="111" t="str">
        <f>IF(tech_base!$T94&gt;AA$905,"",AA2118+tech_proj!AA1618/(1-tech_proj!AA498))</f>
        <v/>
      </c>
      <c r="AB998" s="111" t="str">
        <f>IF(tech_base!$T94&gt;AB$905,"",AB2118+tech_proj!AB1618/(1-tech_proj!AB498))</f>
        <v/>
      </c>
      <c r="AC998" s="111" t="str">
        <f>IF(tech_base!$T94&gt;AC$905,"",AC2118+tech_proj!AC1618/(1-tech_proj!AC498))</f>
        <v/>
      </c>
      <c r="AD998" s="111" t="str">
        <f>IF(tech_base!$T94&gt;AD$905,"",AD2118+tech_proj!AD1618/(1-tech_proj!AD498))</f>
        <v/>
      </c>
      <c r="AE998" s="111">
        <f>IF(tech_base!$T94&gt;AE$905,"",AE2118+tech_proj!AE1618/(1-tech_proj!AE498))</f>
        <v>93.331820837098604</v>
      </c>
      <c r="AF998" s="111">
        <f>IF(tech_base!$T94&gt;AF$905,"",AF2118+tech_proj!AF1618/(1-tech_proj!AF498))</f>
        <v>94.640717142498474</v>
      </c>
      <c r="AG998" s="111">
        <f>IF(tech_base!$T94&gt;AG$905,"",AG2118+tech_proj!AG1618/(1-tech_proj!AG498))</f>
        <v>95.810508247770045</v>
      </c>
      <c r="AH998" s="111">
        <f>IF(tech_base!$T94&gt;AH$905,"",AH2118+tech_proj!AH1618/(1-tech_proj!AH498))</f>
        <v>96.867392223508787</v>
      </c>
      <c r="AI998" s="111">
        <f>IF(tech_base!$T94&gt;AI$905,"",AI2118+tech_proj!AI1618/(1-tech_proj!AI498))</f>
        <v>97.75334737035422</v>
      </c>
      <c r="AJ998" s="111">
        <f>IF(tech_base!$T94&gt;AJ$905,"",AJ2118+tech_proj!AJ1618/(1-tech_proj!AJ498))</f>
        <v>98.578718397058196</v>
      </c>
      <c r="AK998" s="111">
        <f>IF(tech_base!$T94&gt;AK$905,"",AK2118+tech_proj!AK1618/(1-tech_proj!AK498))</f>
        <v>99.237283197059028</v>
      </c>
      <c r="AL998" s="111">
        <f>IF(tech_base!$T94&gt;AL$905,"",AL2118+tech_proj!AL1618/(1-tech_proj!AL498))</f>
        <v>99.860299835751178</v>
      </c>
      <c r="AM998" s="111">
        <f>IF(tech_base!$T94&gt;AM$905,"",AM2118+tech_proj!AM1618/(1-tech_proj!AM498))</f>
        <v>100.53500285039597</v>
      </c>
      <c r="AN998" s="111">
        <f>IF(tech_base!$T94&gt;AN$905,"",AN2118+tech_proj!AN1618/(1-tech_proj!AN498))</f>
        <v>100.46281593164461</v>
      </c>
      <c r="AO998" s="111">
        <f>IF(tech_base!$T94&gt;AO$905,"",AO2118+tech_proj!AO1618/(1-tech_proj!AO498))</f>
        <v>100.58245658295448</v>
      </c>
      <c r="AP998" s="111">
        <f>IF(tech_base!$T94&gt;AP$905,"",AP2118+tech_proj!AP1618/(1-tech_proj!AP498))</f>
        <v>100.67533963349055</v>
      </c>
      <c r="AQ998" s="111">
        <f>IF(tech_base!$T94&gt;AQ$905,"",AQ2118+tech_proj!AQ1618/(1-tech_proj!AQ498))</f>
        <v>100.77356881026614</v>
      </c>
      <c r="AR998" s="111">
        <f>IF(tech_base!$T94&gt;AR$905,"",AR2118+tech_proj!AR1618/(1-tech_proj!AR498))</f>
        <v>100.96792032287983</v>
      </c>
      <c r="AS998" s="111">
        <f>IF(tech_base!$T94&gt;AS$905,"",AS2118+tech_proj!AS1618/(1-tech_proj!AS498))</f>
        <v>101.21359156551912</v>
      </c>
      <c r="AT998" s="111">
        <f>IF(tech_base!$T94&gt;AT$905,"",AT2118+tech_proj!AT1618/(1-tech_proj!AT498))</f>
        <v>101.34384350913594</v>
      </c>
      <c r="AU998" s="111">
        <f>IF(tech_base!$T94&gt;AU$905,"",AU2118+tech_proj!AU1618/(1-tech_proj!AU498))</f>
        <v>101.3258747964349</v>
      </c>
      <c r="AV998" s="111">
        <f>IF(tech_base!$T94&gt;AV$905,"",AV2118+tech_proj!AV1618/(1-tech_proj!AV498))</f>
        <v>101.10915760947441</v>
      </c>
      <c r="AW998" s="111">
        <f>IF(tech_base!$T94&gt;AW$905,"",AW2118+tech_proj!AW1618/(1-tech_proj!AW498))</f>
        <v>100.37901654510424</v>
      </c>
      <c r="AX998" s="112">
        <f>IF(tech_base!$T94&gt;AX$905,"",AX2118+tech_proj!AX1618/(1-tech_proj!AX498))</f>
        <v>99.58597327180162</v>
      </c>
    </row>
    <row r="999" spans="1:50" x14ac:dyDescent="0.25">
      <c r="A999" s="356"/>
      <c r="B999" s="376"/>
      <c r="C999" s="361" t="s">
        <v>16</v>
      </c>
      <c r="D999" s="2" t="s">
        <v>7</v>
      </c>
      <c r="E999" s="160" t="str">
        <f>A989&amp;"/"&amp;B989&amp;"/"&amp;C999&amp;"/"&amp;D999</f>
        <v>Gas fired power plants (Natural gas, biogas)/Gas turbine combined cycle/CHP with CCS/L</v>
      </c>
      <c r="F999" s="76" t="str">
        <f>A989</f>
        <v>Gas fired power plants (Natural gas, biogas)</v>
      </c>
      <c r="G999" s="76" t="str">
        <f>B989</f>
        <v>Gas turbine combined cycle</v>
      </c>
      <c r="H999" s="76" t="str">
        <f>C999</f>
        <v>CHP with CCS</v>
      </c>
      <c r="I999" s="161" t="str">
        <f t="shared" si="368"/>
        <v>L</v>
      </c>
      <c r="J999" s="105" t="str">
        <f>IF(tech_base!$T95&gt;J$905,"",J2119+tech_proj!J1619/(1-tech_proj!J499))</f>
        <v/>
      </c>
      <c r="K999" s="105" t="str">
        <f>IF(tech_base!$T95&gt;K$905,"",K2119+tech_proj!K1619/(1-tech_proj!K499))</f>
        <v/>
      </c>
      <c r="L999" s="105" t="str">
        <f>IF(tech_base!$T95&gt;L$905,"",L2119+tech_proj!L1619/(1-tech_proj!L499))</f>
        <v/>
      </c>
      <c r="M999" s="105" t="str">
        <f>IF(tech_base!$T95&gt;M$905,"",M2119+tech_proj!M1619/(1-tech_proj!M499))</f>
        <v/>
      </c>
      <c r="N999" s="105" t="str">
        <f>IF(tech_base!$T95&gt;N$905,"",N2119+tech_proj!N1619/(1-tech_proj!N499))</f>
        <v/>
      </c>
      <c r="O999" s="105" t="str">
        <f>IF(tech_base!$T95&gt;O$905,"",O2119+tech_proj!O1619/(1-tech_proj!O499))</f>
        <v/>
      </c>
      <c r="P999" s="105" t="str">
        <f>IF(tech_base!$T95&gt;P$905,"",P2119+tech_proj!P1619/(1-tech_proj!P499))</f>
        <v/>
      </c>
      <c r="Q999" s="105" t="str">
        <f>IF(tech_base!$T95&gt;Q$905,"",Q2119+tech_proj!Q1619/(1-tech_proj!Q499))</f>
        <v/>
      </c>
      <c r="R999" s="105" t="str">
        <f>IF(tech_base!$T95&gt;R$905,"",R2119+tech_proj!R1619/(1-tech_proj!R499))</f>
        <v/>
      </c>
      <c r="S999" s="105" t="str">
        <f>IF(tech_base!$T95&gt;S$905,"",S2119+tech_proj!S1619/(1-tech_proj!S499))</f>
        <v/>
      </c>
      <c r="T999" s="105" t="str">
        <f>IF(tech_base!$T95&gt;T$905,"",T2119+tech_proj!T1619/(1-tech_proj!T499))</f>
        <v/>
      </c>
      <c r="U999" s="105" t="str">
        <f>IF(tech_base!$T95&gt;U$905,"",U2119+tech_proj!U1619/(1-tech_proj!U499))</f>
        <v/>
      </c>
      <c r="V999" s="105" t="str">
        <f>IF(tech_base!$T95&gt;V$905,"",V2119+tech_proj!V1619/(1-tech_proj!V499))</f>
        <v/>
      </c>
      <c r="W999" s="105" t="str">
        <f>IF(tech_base!$T95&gt;W$905,"",W2119+tech_proj!W1619/(1-tech_proj!W499))</f>
        <v/>
      </c>
      <c r="X999" s="105" t="str">
        <f>IF(tech_base!$T95&gt;X$905,"",X2119+tech_proj!X1619/(1-tech_proj!X499))</f>
        <v/>
      </c>
      <c r="Y999" s="105" t="str">
        <f>IF(tech_base!$T95&gt;Y$905,"",Y2119+tech_proj!Y1619/(1-tech_proj!Y499))</f>
        <v/>
      </c>
      <c r="Z999" s="105" t="str">
        <f>IF(tech_base!$T95&gt;Z$905,"",Z2119+tech_proj!Z1619/(1-tech_proj!Z499))</f>
        <v/>
      </c>
      <c r="AA999" s="105" t="str">
        <f>IF(tech_base!$T95&gt;AA$905,"",AA2119+tech_proj!AA1619/(1-tech_proj!AA499))</f>
        <v/>
      </c>
      <c r="AB999" s="105" t="str">
        <f>IF(tech_base!$T95&gt;AB$905,"",AB2119+tech_proj!AB1619/(1-tech_proj!AB499))</f>
        <v/>
      </c>
      <c r="AC999" s="105" t="str">
        <f>IF(tech_base!$T95&gt;AC$905,"",AC2119+tech_proj!AC1619/(1-tech_proj!AC499))</f>
        <v/>
      </c>
      <c r="AD999" s="105" t="str">
        <f>IF(tech_base!$T95&gt;AD$905,"",AD2119+tech_proj!AD1619/(1-tech_proj!AD499))</f>
        <v/>
      </c>
      <c r="AE999" s="105">
        <f>IF(tech_base!$T95&gt;AE$905,"",AE2119+tech_proj!AE1619/(1-tech_proj!AE499))</f>
        <v>98.470064419778367</v>
      </c>
      <c r="AF999" s="105">
        <f>IF(tech_base!$T95&gt;AF$905,"",AF2119+tech_proj!AF1619/(1-tech_proj!AF499))</f>
        <v>99.858250840391989</v>
      </c>
      <c r="AG999" s="105">
        <f>IF(tech_base!$T95&gt;AG$905,"",AG2119+tech_proj!AG1619/(1-tech_proj!AG499))</f>
        <v>101.10013979199589</v>
      </c>
      <c r="AH999" s="105">
        <f>IF(tech_base!$T95&gt;AH$905,"",AH2119+tech_proj!AH1619/(1-tech_proj!AH499))</f>
        <v>102.22370579701872</v>
      </c>
      <c r="AI999" s="105">
        <f>IF(tech_base!$T95&gt;AI$905,"",AI2119+tech_proj!AI1619/(1-tech_proj!AI499))</f>
        <v>103.16784910317514</v>
      </c>
      <c r="AJ999" s="105">
        <f>IF(tech_base!$T95&gt;AJ$905,"",AJ2119+tech_proj!AJ1619/(1-tech_proj!AJ499))</f>
        <v>104.04975038351485</v>
      </c>
      <c r="AK999" s="105">
        <f>IF(tech_base!$T95&gt;AK$905,"",AK2119+tech_proj!AK1619/(1-tech_proj!AK499))</f>
        <v>104.75745494345111</v>
      </c>
      <c r="AL999" s="105">
        <f>IF(tech_base!$T95&gt;AL$905,"",AL2119+tech_proj!AL1619/(1-tech_proj!AL499))</f>
        <v>105.43050122010661</v>
      </c>
      <c r="AM999" s="105">
        <f>IF(tech_base!$T95&gt;AM$905,"",AM2119+tech_proj!AM1619/(1-tech_proj!AM499))</f>
        <v>106.16200080136639</v>
      </c>
      <c r="AN999" s="105">
        <f>IF(tech_base!$T95&gt;AN$905,"",AN2119+tech_proj!AN1619/(1-tech_proj!AN499))</f>
        <v>106.1071197521491</v>
      </c>
      <c r="AO999" s="105">
        <f>IF(tech_base!$T95&gt;AO$905,"",AO2119+tech_proj!AO1619/(1-tech_proj!AO499))</f>
        <v>106.26079518912236</v>
      </c>
      <c r="AP999" s="105">
        <f>IF(tech_base!$T95&gt;AP$905,"",AP2119+tech_proj!AP1619/(1-tech_proj!AP499))</f>
        <v>106.39265124287454</v>
      </c>
      <c r="AQ999" s="105">
        <f>IF(tech_base!$T95&gt;AQ$905,"",AQ2119+tech_proj!AQ1619/(1-tech_proj!AQ499))</f>
        <v>106.53785679614552</v>
      </c>
      <c r="AR999" s="105">
        <f>IF(tech_base!$T95&gt;AR$905,"",AR2119+tech_proj!AR1619/(1-tech_proj!AR499))</f>
        <v>106.79380535880122</v>
      </c>
      <c r="AS999" s="105">
        <f>IF(tech_base!$T95&gt;AS$905,"",AS2119+tech_proj!AS1619/(1-tech_proj!AS499))</f>
        <v>107.11402321633584</v>
      </c>
      <c r="AT999" s="105">
        <f>IF(tech_base!$T95&gt;AT$905,"",AT2119+tech_proj!AT1619/(1-tech_proj!AT499))</f>
        <v>107.32204372068055</v>
      </c>
      <c r="AU999" s="105">
        <f>IF(tech_base!$T95&gt;AU$905,"",AU2119+tech_proj!AU1619/(1-tech_proj!AU499))</f>
        <v>107.3823829999837</v>
      </c>
      <c r="AV999" s="105">
        <f>IF(tech_base!$T95&gt;AV$905,"",AV2119+tech_proj!AV1619/(1-tech_proj!AV499))</f>
        <v>107.23925778700141</v>
      </c>
      <c r="AW999" s="105">
        <f>IF(tech_base!$T95&gt;AW$905,"",AW2119+tech_proj!AW1619/(1-tech_proj!AW499))</f>
        <v>106.55392832694723</v>
      </c>
      <c r="AX999" s="106">
        <f>IF(tech_base!$T95&gt;AX$905,"",AX2119+tech_proj!AX1619/(1-tech_proj!AX499))</f>
        <v>105.79938615626375</v>
      </c>
    </row>
    <row r="1000" spans="1:50" x14ac:dyDescent="0.25">
      <c r="A1000" s="356"/>
      <c r="B1000" s="380"/>
      <c r="C1000" s="381"/>
      <c r="D1000" s="4" t="s">
        <v>8</v>
      </c>
      <c r="E1000" s="168" t="str">
        <f>A989&amp;"/"&amp;B989&amp;"/"&amp;C999&amp;"/"&amp;D1000</f>
        <v>Gas fired power plants (Natural gas, biogas)/Gas turbine combined cycle/CHP with CCS/M</v>
      </c>
      <c r="F1000" s="80" t="str">
        <f>A989</f>
        <v>Gas fired power plants (Natural gas, biogas)</v>
      </c>
      <c r="G1000" s="80" t="str">
        <f>B989</f>
        <v>Gas turbine combined cycle</v>
      </c>
      <c r="H1000" s="80" t="str">
        <f>C999</f>
        <v>CHP with CCS</v>
      </c>
      <c r="I1000" s="169" t="str">
        <f t="shared" si="368"/>
        <v>M</v>
      </c>
      <c r="J1000" s="113" t="str">
        <f>IF(tech_base!$T96&gt;J$905,"",J2120+tech_proj!J1620/(1-tech_proj!J500))</f>
        <v/>
      </c>
      <c r="K1000" s="113" t="str">
        <f>IF(tech_base!$T96&gt;K$905,"",K2120+tech_proj!K1620/(1-tech_proj!K500))</f>
        <v/>
      </c>
      <c r="L1000" s="113" t="str">
        <f>IF(tech_base!$T96&gt;L$905,"",L2120+tech_proj!L1620/(1-tech_proj!L500))</f>
        <v/>
      </c>
      <c r="M1000" s="113" t="str">
        <f>IF(tech_base!$T96&gt;M$905,"",M2120+tech_proj!M1620/(1-tech_proj!M500))</f>
        <v/>
      </c>
      <c r="N1000" s="113" t="str">
        <f>IF(tech_base!$T96&gt;N$905,"",N2120+tech_proj!N1620/(1-tech_proj!N500))</f>
        <v/>
      </c>
      <c r="O1000" s="113" t="str">
        <f>IF(tech_base!$T96&gt;O$905,"",O2120+tech_proj!O1620/(1-tech_proj!O500))</f>
        <v/>
      </c>
      <c r="P1000" s="113" t="str">
        <f>IF(tech_base!$T96&gt;P$905,"",P2120+tech_proj!P1620/(1-tech_proj!P500))</f>
        <v/>
      </c>
      <c r="Q1000" s="113" t="str">
        <f>IF(tech_base!$T96&gt;Q$905,"",Q2120+tech_proj!Q1620/(1-tech_proj!Q500))</f>
        <v/>
      </c>
      <c r="R1000" s="113" t="str">
        <f>IF(tech_base!$T96&gt;R$905,"",R2120+tech_proj!R1620/(1-tech_proj!R500))</f>
        <v/>
      </c>
      <c r="S1000" s="113" t="str">
        <f>IF(tech_base!$T96&gt;S$905,"",S2120+tech_proj!S1620/(1-tech_proj!S500))</f>
        <v/>
      </c>
      <c r="T1000" s="113" t="str">
        <f>IF(tech_base!$T96&gt;T$905,"",T2120+tech_proj!T1620/(1-tech_proj!T500))</f>
        <v/>
      </c>
      <c r="U1000" s="113" t="str">
        <f>IF(tech_base!$T96&gt;U$905,"",U2120+tech_proj!U1620/(1-tech_proj!U500))</f>
        <v/>
      </c>
      <c r="V1000" s="113" t="str">
        <f>IF(tech_base!$T96&gt;V$905,"",V2120+tech_proj!V1620/(1-tech_proj!V500))</f>
        <v/>
      </c>
      <c r="W1000" s="113" t="str">
        <f>IF(tech_base!$T96&gt;W$905,"",W2120+tech_proj!W1620/(1-tech_proj!W500))</f>
        <v/>
      </c>
      <c r="X1000" s="113" t="str">
        <f>IF(tech_base!$T96&gt;X$905,"",X2120+tech_proj!X1620/(1-tech_proj!X500))</f>
        <v/>
      </c>
      <c r="Y1000" s="113" t="str">
        <f>IF(tech_base!$T96&gt;Y$905,"",Y2120+tech_proj!Y1620/(1-tech_proj!Y500))</f>
        <v/>
      </c>
      <c r="Z1000" s="113" t="str">
        <f>IF(tech_base!$T96&gt;Z$905,"",Z2120+tech_proj!Z1620/(1-tech_proj!Z500))</f>
        <v/>
      </c>
      <c r="AA1000" s="113" t="str">
        <f>IF(tech_base!$T96&gt;AA$905,"",AA2120+tech_proj!AA1620/(1-tech_proj!AA500))</f>
        <v/>
      </c>
      <c r="AB1000" s="113" t="str">
        <f>IF(tech_base!$T96&gt;AB$905,"",AB2120+tech_proj!AB1620/(1-tech_proj!AB500))</f>
        <v/>
      </c>
      <c r="AC1000" s="113" t="str">
        <f>IF(tech_base!$T96&gt;AC$905,"",AC2120+tech_proj!AC1620/(1-tech_proj!AC500))</f>
        <v/>
      </c>
      <c r="AD1000" s="113" t="str">
        <f>IF(tech_base!$T96&gt;AD$905,"",AD2120+tech_proj!AD1620/(1-tech_proj!AD500))</f>
        <v/>
      </c>
      <c r="AE1000" s="113">
        <f>IF(tech_base!$T96&gt;AE$905,"",AE2120+tech_proj!AE1620/(1-tech_proj!AE500))</f>
        <v>105.21043960046717</v>
      </c>
      <c r="AF1000" s="113">
        <f>IF(tech_base!$T96&gt;AF$905,"",AF2120+tech_proj!AF1620/(1-tech_proj!AF500))</f>
        <v>106.68562862279917</v>
      </c>
      <c r="AG1000" s="113">
        <f>IF(tech_base!$T96&gt;AG$905,"",AG2120+tech_proj!AG1620/(1-tech_proj!AG500))</f>
        <v>108.00584821798947</v>
      </c>
      <c r="AH1000" s="113">
        <f>IF(tech_base!$T96&gt;AH$905,"",AH2120+tech_proj!AH1620/(1-tech_proj!AH500))</f>
        <v>109.20090606485475</v>
      </c>
      <c r="AI1000" s="113">
        <f>IF(tech_base!$T96&gt;AI$905,"",AI2120+tech_proj!AI1620/(1-tech_proj!AI500))</f>
        <v>110.20605258901031</v>
      </c>
      <c r="AJ1000" s="113">
        <f>IF(tech_base!$T96&gt;AJ$905,"",AJ2120+tech_proj!AJ1620/(1-tech_proj!AJ500))</f>
        <v>111.14588623222649</v>
      </c>
      <c r="AK1000" s="113">
        <f>IF(tech_base!$T96&gt;AK$905,"",AK2120+tech_proj!AK1620/(1-tech_proj!AK500))</f>
        <v>111.90173042457079</v>
      </c>
      <c r="AL1000" s="113">
        <f>IF(tech_base!$T96&gt;AL$905,"",AL2120+tech_proj!AL1620/(1-tech_proj!AL500))</f>
        <v>112.62203390435297</v>
      </c>
      <c r="AM1000" s="113">
        <f>IF(tech_base!$T96&gt;AM$905,"",AM2120+tech_proj!AM1620/(1-tech_proj!AM500))</f>
        <v>113.40603551015529</v>
      </c>
      <c r="AN1000" s="113">
        <f>IF(tech_base!$T96&gt;AN$905,"",AN2120+tech_proj!AN1620/(1-tech_proj!AN500))</f>
        <v>113.356813531176</v>
      </c>
      <c r="AO1000" s="113">
        <f>IF(tech_base!$T96&gt;AO$905,"",AO2120+tech_proj!AO1620/(1-tech_proj!AO500))</f>
        <v>113.53158094526313</v>
      </c>
      <c r="AP1000" s="113">
        <f>IF(tech_base!$T96&gt;AP$905,"",AP2120+tech_proj!AP1620/(1-tech_proj!AP500))</f>
        <v>113.68627680017448</v>
      </c>
      <c r="AQ1000" s="113">
        <f>IF(tech_base!$T96&gt;AQ$905,"",AQ2120+tech_proj!AQ1620/(1-tech_proj!AQ500))</f>
        <v>113.85902258490688</v>
      </c>
      <c r="AR1000" s="113">
        <f>IF(tech_base!$T96&gt;AR$905,"",AR2120+tech_proj!AR1620/(1-tech_proj!AR500))</f>
        <v>114.1542453759911</v>
      </c>
      <c r="AS1000" s="113">
        <f>IF(tech_base!$T96&gt;AS$905,"",AS2120+tech_proj!AS1620/(1-tech_proj!AS500))</f>
        <v>114.52367368033239</v>
      </c>
      <c r="AT1000" s="113">
        <f>IF(tech_base!$T96&gt;AT$905,"",AT2120+tech_proj!AT1620/(1-tech_proj!AT500))</f>
        <v>114.78088029904197</v>
      </c>
      <c r="AU1000" s="113">
        <f>IF(tech_base!$T96&gt;AU$905,"",AU2120+tech_proj!AU1620/(1-tech_proj!AU500))</f>
        <v>114.88922759436109</v>
      </c>
      <c r="AV1000" s="113">
        <f>IF(tech_base!$T96&gt;AV$905,"",AV2120+tech_proj!AV1620/(1-tech_proj!AV500))</f>
        <v>114.79030120113508</v>
      </c>
      <c r="AW1000" s="113">
        <f>IF(tech_base!$T96&gt;AW$905,"",AW2120+tech_proj!AW1620/(1-tech_proj!AW500))</f>
        <v>114.1238732215534</v>
      </c>
      <c r="AX1000" s="114">
        <f>IF(tech_base!$T96&gt;AX$905,"",AX2120+tech_proj!AX1620/(1-tech_proj!AX500))</f>
        <v>113.39336859328031</v>
      </c>
    </row>
    <row r="1001" spans="1:50" x14ac:dyDescent="0.25">
      <c r="A1001" s="356"/>
      <c r="B1001" s="358" t="s">
        <v>24</v>
      </c>
      <c r="C1001" s="353" t="s">
        <v>6</v>
      </c>
      <c r="D1001" s="3" t="s">
        <v>8</v>
      </c>
      <c r="E1001" s="162" t="str">
        <f>A989&amp;"/"&amp;B1001&amp;"/"&amp;C1001&amp;"/"&amp;D1001</f>
        <v>Gas fired power plants (Natural gas, biogas)/Gas turbine /Electricity only/M</v>
      </c>
      <c r="F1001" s="77" t="str">
        <f>A989</f>
        <v>Gas fired power plants (Natural gas, biogas)</v>
      </c>
      <c r="G1001" s="77" t="str">
        <f>B1001</f>
        <v xml:space="preserve">Gas turbine </v>
      </c>
      <c r="H1001" s="77" t="str">
        <f>C1001</f>
        <v>Electricity only</v>
      </c>
      <c r="I1001" s="163" t="str">
        <f t="shared" si="368"/>
        <v>M</v>
      </c>
      <c r="J1001" s="107">
        <f>IF(tech_base!$T97&gt;J$905,"",J2121+tech_proj!J1621/(1-tech_proj!J501))</f>
        <v>79.687908400637028</v>
      </c>
      <c r="K1001" s="107">
        <f>IF(tech_base!$T97&gt;K$905,"",K2121+tech_proj!K1621/(1-tech_proj!K501))</f>
        <v>90.851109170586341</v>
      </c>
      <c r="L1001" s="107">
        <f>IF(tech_base!$T97&gt;L$905,"",L2121+tech_proj!L1621/(1-tech_proj!L501))</f>
        <v>101.38062717305561</v>
      </c>
      <c r="M1001" s="107">
        <f>IF(tech_base!$T97&gt;M$905,"",M2121+tech_proj!M1621/(1-tech_proj!M501))</f>
        <v>99.115698813967683</v>
      </c>
      <c r="N1001" s="107">
        <f>IF(tech_base!$T97&gt;N$905,"",N2121+tech_proj!N1621/(1-tech_proj!N501))</f>
        <v>83.847384662487087</v>
      </c>
      <c r="O1001" s="107">
        <f>IF(tech_base!$T97&gt;O$905,"",O2121+tech_proj!O1621/(1-tech_proj!O501))</f>
        <v>70.913788325061958</v>
      </c>
      <c r="P1001" s="107">
        <f>IF(tech_base!$T97&gt;P$905,"",P2121+tech_proj!P1621/(1-tech_proj!P501))</f>
        <v>48.676379252987743</v>
      </c>
      <c r="Q1001" s="107">
        <f>IF(tech_base!$T97&gt;Q$905,"",Q2121+tech_proj!Q1621/(1-tech_proj!Q501))</f>
        <v>56.8808361921215</v>
      </c>
      <c r="R1001" s="107">
        <f>IF(tech_base!$T97&gt;R$905,"",R2121+tech_proj!R1621/(1-tech_proj!R501))</f>
        <v>62.609537880309034</v>
      </c>
      <c r="S1001" s="107">
        <f>IF(tech_base!$T97&gt;S$905,"",S2121+tech_proj!S1621/(1-tech_proj!S501))</f>
        <v>68.389103548120815</v>
      </c>
      <c r="T1001" s="107">
        <f>IF(tech_base!$T97&gt;T$905,"",T2121+tech_proj!T1621/(1-tech_proj!T501))</f>
        <v>74.104419861006122</v>
      </c>
      <c r="U1001" s="107">
        <f>IF(tech_base!$T97&gt;U$905,"",U2121+tech_proj!U1621/(1-tech_proj!U501))</f>
        <v>79.679789457298028</v>
      </c>
      <c r="V1001" s="107">
        <f>IF(tech_base!$T97&gt;V$905,"",V2121+tech_proj!V1621/(1-tech_proj!V501))</f>
        <v>83.316019600460905</v>
      </c>
      <c r="W1001" s="107">
        <f>IF(tech_base!$T97&gt;W$905,"",W2121+tech_proj!W1621/(1-tech_proj!W501))</f>
        <v>87.621454155851339</v>
      </c>
      <c r="X1001" s="107">
        <f>IF(tech_base!$T97&gt;X$905,"",X2121+tech_proj!X1621/(1-tech_proj!X501))</f>
        <v>91.690243903870808</v>
      </c>
      <c r="Y1001" s="107">
        <f>IF(tech_base!$T97&gt;Y$905,"",Y2121+tech_proj!Y1621/(1-tech_proj!Y501))</f>
        <v>95.527017859238327</v>
      </c>
      <c r="Z1001" s="107">
        <f>IF(tech_base!$T97&gt;Z$905,"",Z2121+tech_proj!Z1621/(1-tech_proj!Z501))</f>
        <v>96.912417978166701</v>
      </c>
      <c r="AA1001" s="107">
        <f>IF(tech_base!$T97&gt;AA$905,"",AA2121+tech_proj!AA1621/(1-tech_proj!AA501))</f>
        <v>98.210112004830023</v>
      </c>
      <c r="AB1001" s="107">
        <f>IF(tech_base!$T97&gt;AB$905,"",AB2121+tech_proj!AB1621/(1-tech_proj!AB501))</f>
        <v>99.646948743326092</v>
      </c>
      <c r="AC1001" s="107">
        <f>IF(tech_base!$T97&gt;AC$905,"",AC2121+tech_proj!AC1621/(1-tech_proj!AC501))</f>
        <v>101.08494648505544</v>
      </c>
      <c r="AD1001" s="107">
        <f>IF(tech_base!$T97&gt;AD$905,"",AD2121+tech_proj!AD1621/(1-tech_proj!AD501))</f>
        <v>103.1674370966455</v>
      </c>
      <c r="AE1001" s="107">
        <f>IF(tech_base!$T97&gt;AE$905,"",AE2121+tech_proj!AE1621/(1-tech_proj!AE501))</f>
        <v>104.49407563112864</v>
      </c>
      <c r="AF1001" s="107">
        <f>IF(tech_base!$T97&gt;AF$905,"",AF2121+tech_proj!AF1621/(1-tech_proj!AF501))</f>
        <v>106.00532512742267</v>
      </c>
      <c r="AG1001" s="107">
        <f>IF(tech_base!$T97&gt;AG$905,"",AG2121+tech_proj!AG1621/(1-tech_proj!AG501))</f>
        <v>107.35970644542878</v>
      </c>
      <c r="AH1001" s="107">
        <f>IF(tech_base!$T97&gt;AH$905,"",AH2121+tech_proj!AH1621/(1-tech_proj!AH501))</f>
        <v>108.5891782043806</v>
      </c>
      <c r="AI1001" s="107">
        <f>IF(tech_base!$T97&gt;AI$905,"",AI2121+tech_proj!AI1621/(1-tech_proj!AI501))</f>
        <v>109.62873278061969</v>
      </c>
      <c r="AJ1001" s="107">
        <f>IF(tech_base!$T97&gt;AJ$905,"",AJ2121+tech_proj!AJ1621/(1-tech_proj!AJ501))</f>
        <v>110.60867620762599</v>
      </c>
      <c r="AK1001" s="107">
        <f>IF(tech_base!$T97&gt;AK$905,"",AK2121+tech_proj!AK1621/(1-tech_proj!AK501))</f>
        <v>111.40945960931293</v>
      </c>
      <c r="AL1001" s="107">
        <f>IF(tech_base!$T97&gt;AL$905,"",AL2121+tech_proj!AL1621/(1-tech_proj!AL501))</f>
        <v>112.18716398954683</v>
      </c>
      <c r="AM1001" s="107">
        <f>IF(tech_base!$T97&gt;AM$905,"",AM2121+tech_proj!AM1621/(1-tech_proj!AM501))</f>
        <v>113.0481582264505</v>
      </c>
      <c r="AN1001" s="107">
        <f>IF(tech_base!$T97&gt;AN$905,"",AN2121+tech_proj!AN1621/(1-tech_proj!AN501))</f>
        <v>113.07318136969309</v>
      </c>
      <c r="AO1001" s="107">
        <f>IF(tech_base!$T97&gt;AO$905,"",AO2121+tech_proj!AO1621/(1-tech_proj!AO501))</f>
        <v>113.35729432825919</v>
      </c>
      <c r="AP1001" s="107">
        <f>IF(tech_base!$T97&gt;AP$905,"",AP2121+tech_proj!AP1621/(1-tech_proj!AP501))</f>
        <v>113.65635300067075</v>
      </c>
      <c r="AQ1001" s="107">
        <f>IF(tech_base!$T97&gt;AQ$905,"",AQ2121+tech_proj!AQ1621/(1-tech_proj!AQ501))</f>
        <v>114.01843363503369</v>
      </c>
      <c r="AR1001" s="107">
        <f>IF(tech_base!$T97&gt;AR$905,"",AR2121+tech_proj!AR1621/(1-tech_proj!AR501))</f>
        <v>114.56197256387894</v>
      </c>
      <c r="AS1001" s="107">
        <f>IF(tech_base!$T97&gt;AS$905,"",AS2121+tech_proj!AS1621/(1-tech_proj!AS501))</f>
        <v>115.24913991571501</v>
      </c>
      <c r="AT1001" s="107">
        <f>IF(tech_base!$T97&gt;AT$905,"",AT2121+tech_proj!AT1621/(1-tech_proj!AT501))</f>
        <v>115.89888043103801</v>
      </c>
      <c r="AU1001" s="107">
        <f>IF(tech_base!$T97&gt;AU$905,"",AU2121+tech_proj!AU1621/(1-tech_proj!AU501))</f>
        <v>116.48429402314437</v>
      </c>
      <c r="AV1001" s="107">
        <f>IF(tech_base!$T97&gt;AV$905,"",AV2121+tech_proj!AV1621/(1-tech_proj!AV501))</f>
        <v>116.95312275868262</v>
      </c>
      <c r="AW1001" s="107">
        <f>IF(tech_base!$T97&gt;AW$905,"",AW2121+tech_proj!AW1621/(1-tech_proj!AW501))</f>
        <v>116.9291783928729</v>
      </c>
      <c r="AX1001" s="108">
        <f>IF(tech_base!$T97&gt;AX$905,"",AX2121+tech_proj!AX1621/(1-tech_proj!AX501))</f>
        <v>116.93758630327495</v>
      </c>
    </row>
    <row r="1002" spans="1:50" x14ac:dyDescent="0.25">
      <c r="A1002" s="356"/>
      <c r="B1002" s="376"/>
      <c r="C1002" s="378"/>
      <c r="D1002" s="2" t="s">
        <v>10</v>
      </c>
      <c r="E1002" s="160" t="str">
        <f>A989&amp;"/"&amp;B1001&amp;"/"&amp;C1001&amp;"/"&amp;D1002</f>
        <v>Gas fired power plants (Natural gas, biogas)/Gas turbine /Electricity only/S</v>
      </c>
      <c r="F1002" s="76" t="str">
        <f>A989</f>
        <v>Gas fired power plants (Natural gas, biogas)</v>
      </c>
      <c r="G1002" s="76" t="str">
        <f>B1001</f>
        <v xml:space="preserve">Gas turbine </v>
      </c>
      <c r="H1002" s="76" t="str">
        <f>C1001</f>
        <v>Electricity only</v>
      </c>
      <c r="I1002" s="161" t="str">
        <f t="shared" si="368"/>
        <v>S</v>
      </c>
      <c r="J1002" s="105">
        <f>IF(tech_base!$T98&gt;J$905,"",J2122+tech_proj!J1622/(1-tech_proj!J502))</f>
        <v>83.816427746583201</v>
      </c>
      <c r="K1002" s="105">
        <f>IF(tech_base!$T98&gt;K$905,"",K2122+tech_proj!K1622/(1-tech_proj!K502))</f>
        <v>95.552796331134871</v>
      </c>
      <c r="L1002" s="105">
        <f>IF(tech_base!$T98&gt;L$905,"",L2122+tech_proj!L1622/(1-tech_proj!L502))</f>
        <v>106.62293157244054</v>
      </c>
      <c r="M1002" s="105">
        <f>IF(tech_base!$T98&gt;M$905,"",M2122+tech_proj!M1622/(1-tech_proj!M502))</f>
        <v>104.24165241689165</v>
      </c>
      <c r="N1002" s="105">
        <f>IF(tech_base!$T98&gt;N$905,"",N2122+tech_proj!N1622/(1-tech_proj!N502))</f>
        <v>88.189306809664203</v>
      </c>
      <c r="O1002" s="105">
        <f>IF(tech_base!$T98&gt;O$905,"",O2122+tech_proj!O1622/(1-tech_proj!O502))</f>
        <v>74.591565419148921</v>
      </c>
      <c r="P1002" s="105">
        <f>IF(tech_base!$T98&gt;P$905,"",P2122+tech_proj!P1622/(1-tech_proj!P502))</f>
        <v>51.212313785053951</v>
      </c>
      <c r="Q1002" s="105">
        <f>IF(tech_base!$T98&gt;Q$905,"",Q2122+tech_proj!Q1622/(1-tech_proj!Q502))</f>
        <v>59.837971814626314</v>
      </c>
      <c r="R1002" s="105">
        <f>IF(tech_base!$T98&gt;R$905,"",R2122+tech_proj!R1622/(1-tech_proj!R502))</f>
        <v>65.860740269841614</v>
      </c>
      <c r="S1002" s="105">
        <f>IF(tech_base!$T98&gt;S$905,"",S2122+tech_proj!S1622/(1-tech_proj!S502))</f>
        <v>71.936964911615078</v>
      </c>
      <c r="T1002" s="105">
        <f>IF(tech_base!$T98&gt;T$905,"",T2122+tech_proj!T1622/(1-tech_proj!T502))</f>
        <v>77.945618672568799</v>
      </c>
      <c r="U1002" s="105">
        <f>IF(tech_base!$T98&gt;U$905,"",U2122+tech_proj!U1622/(1-tech_proj!U502))</f>
        <v>83.807114013195232</v>
      </c>
      <c r="V1002" s="105">
        <f>IF(tech_base!$T98&gt;V$905,"",V2122+tech_proj!V1622/(1-tech_proj!V502))</f>
        <v>87.629885171704117</v>
      </c>
      <c r="W1002" s="105">
        <f>IF(tech_base!$T98&gt;W$905,"",W2122+tech_proj!W1622/(1-tech_proj!W502))</f>
        <v>92.156185637723766</v>
      </c>
      <c r="X1002" s="105">
        <f>IF(tech_base!$T98&gt;X$905,"",X2122+tech_proj!X1622/(1-tech_proj!X502))</f>
        <v>96.433655275671057</v>
      </c>
      <c r="Y1002" s="105">
        <f>IF(tech_base!$T98&gt;Y$905,"",Y2122+tech_proj!Y1622/(1-tech_proj!Y502))</f>
        <v>100.4671560996514</v>
      </c>
      <c r="Z1002" s="105">
        <f>IF(tech_base!$T98&gt;Z$905,"",Z2122+tech_proj!Z1622/(1-tech_proj!Z502))</f>
        <v>101.92340240371982</v>
      </c>
      <c r="AA1002" s="105">
        <f>IF(tech_base!$T98&gt;AA$905,"",AA2122+tech_proj!AA1622/(1-tech_proj!AA502))</f>
        <v>103.28739811811676</v>
      </c>
      <c r="AB1002" s="105">
        <f>IF(tech_base!$T98&gt;AB$905,"",AB2122+tech_proj!AB1622/(1-tech_proj!AB502))</f>
        <v>104.79763059081411</v>
      </c>
      <c r="AC1002" s="105">
        <f>IF(tech_base!$T98&gt;AC$905,"",AC2122+tech_proj!AC1622/(1-tech_proj!AC502))</f>
        <v>106.30902946901864</v>
      </c>
      <c r="AD1002" s="105">
        <f>IF(tech_base!$T98&gt;AD$905,"",AD2122+tech_proj!AD1622/(1-tech_proj!AD502))</f>
        <v>108.49793524319701</v>
      </c>
      <c r="AE1002" s="105">
        <f>IF(tech_base!$T98&gt;AE$905,"",AE2122+tech_proj!AE1622/(1-tech_proj!AE502))</f>
        <v>109.89213078727565</v>
      </c>
      <c r="AF1002" s="105">
        <f>IF(tech_base!$T98&gt;AF$905,"",AF2122+tech_proj!AF1622/(1-tech_proj!AF502))</f>
        <v>111.48033721047966</v>
      </c>
      <c r="AG1002" s="105">
        <f>IF(tech_base!$T98&gt;AG$905,"",AG2122+tech_proj!AG1622/(1-tech_proj!AG502))</f>
        <v>112.90354710823117</v>
      </c>
      <c r="AH1002" s="105">
        <f>IF(tech_base!$T98&gt;AH$905,"",AH2122+tech_proj!AH1622/(1-tech_proj!AH502))</f>
        <v>114.1953553710932</v>
      </c>
      <c r="AI1002" s="105">
        <f>IF(tech_base!$T98&gt;AI$905,"",AI2122+tech_proj!AI1622/(1-tech_proj!AI502))</f>
        <v>115.28741756125838</v>
      </c>
      <c r="AJ1002" s="105">
        <f>IF(tech_base!$T98&gt;AJ$905,"",AJ2122+tech_proj!AJ1622/(1-tech_proj!AJ502))</f>
        <v>116.31672284662035</v>
      </c>
      <c r="AK1002" s="105">
        <f>IF(tech_base!$T98&gt;AK$905,"",AK2122+tech_proj!AK1622/(1-tech_proj!AK502))</f>
        <v>117.15759191418789</v>
      </c>
      <c r="AL1002" s="105">
        <f>IF(tech_base!$T98&gt;AL$905,"",AL2122+tech_proj!AL1622/(1-tech_proj!AL502))</f>
        <v>117.97411247250271</v>
      </c>
      <c r="AM1002" s="105">
        <f>IF(tech_base!$T98&gt;AM$905,"",AM2122+tech_proj!AM1622/(1-tech_proj!AM502))</f>
        <v>118.87810917852937</v>
      </c>
      <c r="AN1002" s="105">
        <f>IF(tech_base!$T98&gt;AN$905,"",AN2122+tech_proj!AN1622/(1-tech_proj!AN502))</f>
        <v>118.90321199682701</v>
      </c>
      <c r="AO1002" s="105">
        <f>IF(tech_base!$T98&gt;AO$905,"",AO2122+tech_proj!AO1622/(1-tech_proj!AO502))</f>
        <v>119.2006255846659</v>
      </c>
      <c r="AP1002" s="105">
        <f>IF(tech_base!$T98&gt;AP$905,"",AP2122+tech_proj!AP1622/(1-tech_proj!AP502))</f>
        <v>119.51370229044146</v>
      </c>
      <c r="AQ1002" s="105">
        <f>IF(tech_base!$T98&gt;AQ$905,"",AQ2122+tech_proj!AQ1622/(1-tech_proj!AQ502))</f>
        <v>119.89299463229777</v>
      </c>
      <c r="AR1002" s="105">
        <f>IF(tech_base!$T98&gt;AR$905,"",AR2122+tech_proj!AR1622/(1-tech_proj!AR502))</f>
        <v>120.46301881563056</v>
      </c>
      <c r="AS1002" s="105">
        <f>IF(tech_base!$T98&gt;AS$905,"",AS2122+tech_proj!AS1622/(1-tech_proj!AS502))</f>
        <v>121.18402156132012</v>
      </c>
      <c r="AT1002" s="105">
        <f>IF(tech_base!$T98&gt;AT$905,"",AT2122+tech_proj!AT1622/(1-tech_proj!AT502))</f>
        <v>121.86569633375262</v>
      </c>
      <c r="AU1002" s="105">
        <f>IF(tech_base!$T98&gt;AU$905,"",AU2122+tech_proj!AU1622/(1-tech_proj!AU502))</f>
        <v>122.479789961596</v>
      </c>
      <c r="AV1002" s="105">
        <f>IF(tech_base!$T98&gt;AV$905,"",AV2122+tech_proj!AV1622/(1-tech_proj!AV502))</f>
        <v>122.97139542407265</v>
      </c>
      <c r="AW1002" s="105">
        <f>IF(tech_base!$T98&gt;AW$905,"",AW2122+tech_proj!AW1622/(1-tech_proj!AW502))</f>
        <v>122.94510419542229</v>
      </c>
      <c r="AX1002" s="106">
        <f>IF(tech_base!$T98&gt;AX$905,"",AX2122+tech_proj!AX1622/(1-tech_proj!AX502))</f>
        <v>122.95293613081451</v>
      </c>
    </row>
    <row r="1003" spans="1:50" x14ac:dyDescent="0.25">
      <c r="A1003" s="356"/>
      <c r="B1003" s="376"/>
      <c r="C1003" s="379"/>
      <c r="D1003" s="59" t="s">
        <v>20</v>
      </c>
      <c r="E1003" s="160" t="str">
        <f>A989&amp;"/"&amp;B1001&amp;"/"&amp;C1001&amp;"/"&amp;D1003</f>
        <v>Gas fired power plants (Natural gas, biogas)/Gas turbine /Electricity only/XS</v>
      </c>
      <c r="F1003" s="76" t="str">
        <f>A989</f>
        <v>Gas fired power plants (Natural gas, biogas)</v>
      </c>
      <c r="G1003" s="76" t="str">
        <f>B1001</f>
        <v xml:space="preserve">Gas turbine </v>
      </c>
      <c r="H1003" s="76" t="str">
        <f>C1001</f>
        <v>Electricity only</v>
      </c>
      <c r="I1003" s="161" t="str">
        <f t="shared" si="368"/>
        <v>XS</v>
      </c>
      <c r="J1003" s="105">
        <f>IF(tech_base!$T99&gt;J$905,"",J2123+tech_proj!J1623/(1-tech_proj!J503))</f>
        <v>89.17011856053584</v>
      </c>
      <c r="K1003" s="105">
        <f>IF(tech_base!$T99&gt;K$905,"",K2123+tech_proj!K1623/(1-tech_proj!K503))</f>
        <v>101.51130022203462</v>
      </c>
      <c r="L1003" s="105">
        <f>IF(tech_base!$T99&gt;L$905,"",L2123+tech_proj!L1623/(1-tech_proj!L503))</f>
        <v>113.15244276368425</v>
      </c>
      <c r="M1003" s="105">
        <f>IF(tech_base!$T99&gt;M$905,"",M2123+tech_proj!M1623/(1-tech_proj!M503))</f>
        <v>110.65042885817334</v>
      </c>
      <c r="N1003" s="105">
        <f>IF(tech_base!$T99&gt;N$905,"",N2123+tech_proj!N1623/(1-tech_proj!N503))</f>
        <v>93.773627837602589</v>
      </c>
      <c r="O1003" s="105">
        <f>IF(tech_base!$T99&gt;O$905,"",O2123+tech_proj!O1623/(1-tech_proj!O503))</f>
        <v>79.47738432427127</v>
      </c>
      <c r="P1003" s="105">
        <f>IF(tech_base!$T99&gt;P$905,"",P2123+tech_proj!P1623/(1-tech_proj!P503))</f>
        <v>54.895235742170776</v>
      </c>
      <c r="Q1003" s="105">
        <f>IF(tech_base!$T99&gt;Q$905,"",Q2123+tech_proj!Q1623/(1-tech_proj!Q503))</f>
        <v>63.966764572970831</v>
      </c>
      <c r="R1003" s="105">
        <f>IF(tech_base!$T99&gt;R$905,"",R2123+tech_proj!R1623/(1-tech_proj!R503))</f>
        <v>70.301714831890507</v>
      </c>
      <c r="S1003" s="105">
        <f>IF(tech_base!$T99&gt;S$905,"",S2123+tech_proj!S1623/(1-tech_proj!S503))</f>
        <v>76.693342831035665</v>
      </c>
      <c r="T1003" s="105">
        <f>IF(tech_base!$T99&gt;T$905,"",T2123+tech_proj!T1623/(1-tech_proj!T503))</f>
        <v>83.014425523318408</v>
      </c>
      <c r="U1003" s="105">
        <f>IF(tech_base!$T99&gt;U$905,"",U2123+tech_proj!U1623/(1-tech_proj!U503))</f>
        <v>89.181307576927082</v>
      </c>
      <c r="V1003" s="105">
        <f>IF(tech_base!$T99&gt;V$905,"",V2123+tech_proj!V1623/(1-tech_proj!V503))</f>
        <v>93.204672940166859</v>
      </c>
      <c r="W1003" s="105">
        <f>IF(tech_base!$T99&gt;W$905,"",W2123+tech_proj!W1623/(1-tech_proj!W503))</f>
        <v>97.968464121800864</v>
      </c>
      <c r="X1003" s="105">
        <f>IF(tech_base!$T99&gt;X$905,"",X2123+tech_proj!X1623/(1-tech_proj!X503))</f>
        <v>102.47113366344803</v>
      </c>
      <c r="Y1003" s="105">
        <f>IF(tech_base!$T99&gt;Y$905,"",Y2123+tech_proj!Y1623/(1-tech_proj!Y503))</f>
        <v>106.71780291430548</v>
      </c>
      <c r="Z1003" s="105">
        <f>IF(tech_base!$T99&gt;Z$905,"",Z2123+tech_proj!Z1623/(1-tech_proj!Z503))</f>
        <v>108.25417926653648</v>
      </c>
      <c r="AA1003" s="105">
        <f>IF(tech_base!$T99&gt;AA$905,"",AA2123+tech_proj!AA1623/(1-tech_proj!AA503))</f>
        <v>109.69391890396092</v>
      </c>
      <c r="AB1003" s="105">
        <f>IF(tech_base!$T99&gt;AB$905,"",AB2123+tech_proj!AB1623/(1-tech_proj!AB503))</f>
        <v>111.28788939120425</v>
      </c>
      <c r="AC1003" s="105">
        <f>IF(tech_base!$T99&gt;AC$905,"",AC2123+tech_proj!AC1623/(1-tech_proj!AC503))</f>
        <v>112.88349330431402</v>
      </c>
      <c r="AD1003" s="105">
        <f>IF(tech_base!$T99&gt;AD$905,"",AD2123+tech_proj!AD1623/(1-tech_proj!AD503))</f>
        <v>115.19227704777201</v>
      </c>
      <c r="AE1003" s="105">
        <f>IF(tech_base!$T99&gt;AE$905,"",AE2123+tech_proj!AE1623/(1-tech_proj!AE503))</f>
        <v>116.66537741175712</v>
      </c>
      <c r="AF1003" s="105">
        <f>IF(tech_base!$T99&gt;AF$905,"",AF2123+tech_proj!AF1623/(1-tech_proj!AF503))</f>
        <v>118.34294530160905</v>
      </c>
      <c r="AG1003" s="105">
        <f>IF(tech_base!$T99&gt;AG$905,"",AG2123+tech_proj!AG1623/(1-tech_proj!AG503))</f>
        <v>119.84720852876872</v>
      </c>
      <c r="AH1003" s="105">
        <f>IF(tech_base!$T99&gt;AH$905,"",AH2123+tech_proj!AH1623/(1-tech_proj!AH503))</f>
        <v>121.21343416183031</v>
      </c>
      <c r="AI1003" s="105">
        <f>IF(tech_base!$T99&gt;AI$905,"",AI2123+tech_proj!AI1623/(1-tech_proj!AI503))</f>
        <v>122.36960555084924</v>
      </c>
      <c r="AJ1003" s="105">
        <f>IF(tech_base!$T99&gt;AJ$905,"",AJ2123+tech_proj!AJ1623/(1-tech_proj!AJ503))</f>
        <v>123.45977611546765</v>
      </c>
      <c r="AK1003" s="105">
        <f>IF(tech_base!$T99&gt;AK$905,"",AK2123+tech_proj!AK1623/(1-tech_proj!AK503))</f>
        <v>124.35156319494064</v>
      </c>
      <c r="AL1003" s="105">
        <f>IF(tech_base!$T99&gt;AL$905,"",AL2123+tech_proj!AL1623/(1-tech_proj!AL503))</f>
        <v>125.21753933743921</v>
      </c>
      <c r="AM1003" s="105">
        <f>IF(tech_base!$T99&gt;AM$905,"",AM2123+tech_proj!AM1623/(1-tech_proj!AM503))</f>
        <v>126.17529456210541</v>
      </c>
      <c r="AN1003" s="105">
        <f>IF(tech_base!$T99&gt;AN$905,"",AN2123+tech_proj!AN1623/(1-tech_proj!AN503))</f>
        <v>126.20745608436842</v>
      </c>
      <c r="AO1003" s="105">
        <f>IF(tech_base!$T99&gt;AO$905,"",AO2123+tech_proj!AO1623/(1-tech_proj!AO503))</f>
        <v>126.52565971007596</v>
      </c>
      <c r="AP1003" s="105">
        <f>IF(tech_base!$T99&gt;AP$905,"",AP2123+tech_proj!AP1623/(1-tech_proj!AP503))</f>
        <v>126.85963915590087</v>
      </c>
      <c r="AQ1003" s="105">
        <f>IF(tech_base!$T99&gt;AQ$905,"",AQ2123+tech_proj!AQ1623/(1-tech_proj!AQ503))</f>
        <v>127.2625048305401</v>
      </c>
      <c r="AR1003" s="105">
        <f>IF(tech_base!$T99&gt;AR$905,"",AR2123+tech_proj!AR1623/(1-tech_proj!AR503))</f>
        <v>127.86525273235306</v>
      </c>
      <c r="AS1003" s="105">
        <f>IF(tech_base!$T99&gt;AS$905,"",AS2123+tech_proj!AS1623/(1-tech_proj!AS503))</f>
        <v>128.62594918936173</v>
      </c>
      <c r="AT1003" s="105">
        <f>IF(tech_base!$T99&gt;AT$905,"",AT2123+tech_proj!AT1623/(1-tech_proj!AT503))</f>
        <v>129.34415357492378</v>
      </c>
      <c r="AU1003" s="105">
        <f>IF(tech_base!$T99&gt;AU$905,"",AU2123+tech_proj!AU1623/(1-tech_proj!AU503))</f>
        <v>129.9900546515029</v>
      </c>
      <c r="AV1003" s="105">
        <f>IF(tech_base!$T99&gt;AV$905,"",AV2123+tech_proj!AV1623/(1-tech_proj!AV503))</f>
        <v>130.50580401317521</v>
      </c>
      <c r="AW1003" s="105">
        <f>IF(tech_base!$T99&gt;AW$905,"",AW2123+tech_proj!AW1623/(1-tech_proj!AW503))</f>
        <v>130.47508578356428</v>
      </c>
      <c r="AX1003" s="106">
        <f>IF(tech_base!$T99&gt;AX$905,"",AX2123+tech_proj!AX1623/(1-tech_proj!AX503))</f>
        <v>130.47913703270774</v>
      </c>
    </row>
    <row r="1004" spans="1:50" x14ac:dyDescent="0.25">
      <c r="A1004" s="356"/>
      <c r="B1004" s="376"/>
      <c r="C1004" s="361" t="s">
        <v>14</v>
      </c>
      <c r="D1004" s="2" t="s">
        <v>8</v>
      </c>
      <c r="E1004" s="164" t="str">
        <f>A989&amp;"/"&amp;B1001&amp;"/"&amp;C1004&amp;"/"&amp;D1004</f>
        <v>Gas fired power plants (Natural gas, biogas)/Gas turbine /CHP/M</v>
      </c>
      <c r="F1004" s="78" t="str">
        <f>A989</f>
        <v>Gas fired power plants (Natural gas, biogas)</v>
      </c>
      <c r="G1004" s="78" t="str">
        <f>B1001</f>
        <v xml:space="preserve">Gas turbine </v>
      </c>
      <c r="H1004" s="78" t="str">
        <f>C1004</f>
        <v>CHP</v>
      </c>
      <c r="I1004" s="165" t="str">
        <f t="shared" si="368"/>
        <v>M</v>
      </c>
      <c r="J1004" s="109">
        <f>IF(tech_base!$T100&gt;J$905,"",J2124+tech_proj!J1624/(1-tech_proj!J504))</f>
        <v>89.056830508514849</v>
      </c>
      <c r="K1004" s="109">
        <f>IF(tech_base!$T100&gt;K$905,"",K2124+tech_proj!K1624/(1-tech_proj!K504))</f>
        <v>101.37111890350342</v>
      </c>
      <c r="L1004" s="109">
        <f>IF(tech_base!$T100&gt;L$905,"",L2124+tech_proj!L1624/(1-tech_proj!L504))</f>
        <v>112.98758431066344</v>
      </c>
      <c r="M1004" s="109">
        <f>IF(tech_base!$T100&gt;M$905,"",M2124+tech_proj!M1624/(1-tech_proj!M504))</f>
        <v>110.49377619845411</v>
      </c>
      <c r="N1004" s="109">
        <f>IF(tech_base!$T100&gt;N$905,"",N2124+tech_proj!N1624/(1-tech_proj!N504))</f>
        <v>93.657761774964385</v>
      </c>
      <c r="O1004" s="109">
        <f>IF(tech_base!$T100&gt;O$905,"",O2124+tech_proj!O1624/(1-tech_proj!O504))</f>
        <v>79.396011448561822</v>
      </c>
      <c r="P1004" s="109">
        <f>IF(tech_base!$T100&gt;P$905,"",P2124+tech_proj!P1624/(1-tech_proj!P504))</f>
        <v>54.870568982636954</v>
      </c>
      <c r="Q1004" s="109">
        <f>IF(tech_base!$T100&gt;Q$905,"",Q2124+tech_proj!Q1624/(1-tech_proj!Q504))</f>
        <v>63.924321199034395</v>
      </c>
      <c r="R1004" s="109">
        <f>IF(tech_base!$T100&gt;R$905,"",R2124+tech_proj!R1624/(1-tech_proj!R504))</f>
        <v>70.248129047928103</v>
      </c>
      <c r="S1004" s="109">
        <f>IF(tech_base!$T100&gt;S$905,"",S2124+tech_proj!S1624/(1-tech_proj!S504))</f>
        <v>76.629162653817133</v>
      </c>
      <c r="T1004" s="109">
        <f>IF(tech_base!$T100&gt;T$905,"",T2124+tech_proj!T1624/(1-tech_proj!T504))</f>
        <v>82.940550502362754</v>
      </c>
      <c r="U1004" s="109">
        <f>IF(tech_base!$T100&gt;U$905,"",U2124+tech_proj!U1624/(1-tech_proj!U504))</f>
        <v>89.098888277166935</v>
      </c>
      <c r="V1004" s="109">
        <f>IF(tech_base!$T100&gt;V$905,"",V2124+tech_proj!V1624/(1-tech_proj!V504))</f>
        <v>93.11889565657016</v>
      </c>
      <c r="W1004" s="109">
        <f>IF(tech_base!$T100&gt;W$905,"",W2124+tech_proj!W1624/(1-tech_proj!W504))</f>
        <v>97.878705323205139</v>
      </c>
      <c r="X1004" s="109">
        <f>IF(tech_base!$T100&gt;X$905,"",X2124+tech_proj!X1624/(1-tech_proj!X504))</f>
        <v>102.37886276262127</v>
      </c>
      <c r="Y1004" s="109">
        <f>IF(tech_base!$T100&gt;Y$905,"",Y2124+tech_proj!Y1624/(1-tech_proj!Y504))</f>
        <v>106.62453416233217</v>
      </c>
      <c r="Z1004" s="109">
        <f>IF(tech_base!$T100&gt;Z$905,"",Z2124+tech_proj!Z1624/(1-tech_proj!Z504))</f>
        <v>108.16582026200265</v>
      </c>
      <c r="AA1004" s="109">
        <f>IF(tech_base!$T100&gt;AA$905,"",AA2124+tech_proj!AA1624/(1-tech_proj!AA504))</f>
        <v>109.61148380248511</v>
      </c>
      <c r="AB1004" s="109">
        <f>IF(tech_base!$T100&gt;AB$905,"",AB2124+tech_proj!AB1624/(1-tech_proj!AB504))</f>
        <v>111.21202504085454</v>
      </c>
      <c r="AC1004" s="109">
        <f>IF(tech_base!$T100&gt;AC$905,"",AC2124+tech_proj!AC1624/(1-tech_proj!AC504))</f>
        <v>112.8151799766775</v>
      </c>
      <c r="AD1004" s="109">
        <f>IF(tech_base!$T100&gt;AD$905,"",AD2124+tech_proj!AD1624/(1-tech_proj!AD504))</f>
        <v>115.13151769383583</v>
      </c>
      <c r="AE1004" s="109">
        <f>IF(tech_base!$T100&gt;AE$905,"",AE2124+tech_proj!AE1624/(1-tech_proj!AE504))</f>
        <v>116.61455344775635</v>
      </c>
      <c r="AF1004" s="109">
        <f>IF(tech_base!$T100&gt;AF$905,"",AF2124+tech_proj!AF1624/(1-tech_proj!AF504))</f>
        <v>118.30293916503585</v>
      </c>
      <c r="AG1004" s="109">
        <f>IF(tech_base!$T100&gt;AG$905,"",AG2124+tech_proj!AG1624/(1-tech_proj!AG504))</f>
        <v>119.8194558137298</v>
      </c>
      <c r="AH1004" s="109">
        <f>IF(tech_base!$T100&gt;AH$905,"",AH2124+tech_proj!AH1624/(1-tech_proj!AH504))</f>
        <v>121.19931922131499</v>
      </c>
      <c r="AI1004" s="109">
        <f>IF(tech_base!$T100&gt;AI$905,"",AI2124+tech_proj!AI1624/(1-tech_proj!AI504))</f>
        <v>122.37056098650247</v>
      </c>
      <c r="AJ1004" s="109">
        <f>IF(tech_base!$T100&gt;AJ$905,"",AJ2124+tech_proj!AJ1624/(1-tech_proj!AJ504))</f>
        <v>123.47705279500163</v>
      </c>
      <c r="AK1004" s="109">
        <f>IF(tech_base!$T100&gt;AK$905,"",AK2124+tech_proj!AK1624/(1-tech_proj!AK504))</f>
        <v>124.38646940979373</v>
      </c>
      <c r="AL1004" s="109">
        <f>IF(tech_base!$T100&gt;AL$905,"",AL2124+tech_proj!AL1624/(1-tech_proj!AL504))</f>
        <v>125.27118177817088</v>
      </c>
      <c r="AM1004" s="109">
        <f>IF(tech_base!$T100&gt;AM$905,"",AM2124+tech_proj!AM1624/(1-tech_proj!AM504))</f>
        <v>126.24867102185974</v>
      </c>
      <c r="AN1004" s="109">
        <f>IF(tech_base!$T100&gt;AN$905,"",AN2124+tech_proj!AN1624/(1-tech_proj!AN504))</f>
        <v>126.30178146853986</v>
      </c>
      <c r="AO1004" s="109">
        <f>IF(tech_base!$T100&gt;AO$905,"",AO2124+tech_proj!AO1624/(1-tech_proj!AO504))</f>
        <v>126.6415095555292</v>
      </c>
      <c r="AP1004" s="109">
        <f>IF(tech_base!$T100&gt;AP$905,"",AP2124+tech_proj!AP1624/(1-tech_proj!AP504))</f>
        <v>126.99756879764001</v>
      </c>
      <c r="AQ1004" s="109">
        <f>IF(tech_base!$T100&gt;AQ$905,"",AQ2124+tech_proj!AQ1624/(1-tech_proj!AQ504))</f>
        <v>127.42292776918893</v>
      </c>
      <c r="AR1004" s="109">
        <f>IF(tech_base!$T100&gt;AR$905,"",AR2124+tech_proj!AR1624/(1-tech_proj!AR504))</f>
        <v>128.04847755745129</v>
      </c>
      <c r="AS1004" s="109">
        <f>IF(tech_base!$T100&gt;AS$905,"",AS2124+tech_proj!AS1624/(1-tech_proj!AS504))</f>
        <v>128.83214345085239</v>
      </c>
      <c r="AT1004" s="109">
        <f>IF(tech_base!$T100&gt;AT$905,"",AT2124+tech_proj!AT1624/(1-tech_proj!AT504))</f>
        <v>129.57318026827599</v>
      </c>
      <c r="AU1004" s="109">
        <f>IF(tech_base!$T100&gt;AU$905,"",AU2124+tech_proj!AU1624/(1-tech_proj!AU504))</f>
        <v>130.24146810771379</v>
      </c>
      <c r="AV1004" s="109">
        <f>IF(tech_base!$T100&gt;AV$905,"",AV2124+tech_proj!AV1624/(1-tech_proj!AV504))</f>
        <v>130.77878626093309</v>
      </c>
      <c r="AW1004" s="109">
        <f>IF(tech_base!$T100&gt;AW$905,"",AW2124+tech_proj!AW1624/(1-tech_proj!AW504))</f>
        <v>130.76799804792395</v>
      </c>
      <c r="AX1004" s="110">
        <f>IF(tech_base!$T100&gt;AX$905,"",AX2124+tech_proj!AX1624/(1-tech_proj!AX504))</f>
        <v>130.79056302863023</v>
      </c>
    </row>
    <row r="1005" spans="1:50" x14ac:dyDescent="0.25">
      <c r="A1005" s="356"/>
      <c r="B1005" s="376"/>
      <c r="C1005" s="378"/>
      <c r="D1005" s="2" t="s">
        <v>10</v>
      </c>
      <c r="E1005" s="160" t="str">
        <f>A989&amp;"/"&amp;B1001&amp;"/"&amp;C1004&amp;"/"&amp;D1005</f>
        <v>Gas fired power plants (Natural gas, biogas)/Gas turbine /CHP/S</v>
      </c>
      <c r="F1005" s="76" t="str">
        <f>A989</f>
        <v>Gas fired power plants (Natural gas, biogas)</v>
      </c>
      <c r="G1005" s="76" t="str">
        <f>B1001</f>
        <v xml:space="preserve">Gas turbine </v>
      </c>
      <c r="H1005" s="76" t="str">
        <f>C1004</f>
        <v>CHP</v>
      </c>
      <c r="I1005" s="161" t="str">
        <f t="shared" si="368"/>
        <v>S</v>
      </c>
      <c r="J1005" s="105">
        <f>IF(tech_base!$T101&gt;J$905,"",J2125+tech_proj!J1625/(1-tech_proj!J505))</f>
        <v>93.476564314689725</v>
      </c>
      <c r="K1005" s="105">
        <f>IF(tech_base!$T101&gt;K$905,"",K2125+tech_proj!K1625/(1-tech_proj!K505))</f>
        <v>106.42450349952928</v>
      </c>
      <c r="L1005" s="105">
        <f>IF(tech_base!$T101&gt;L$905,"",L2125+tech_proj!L1625/(1-tech_proj!L505))</f>
        <v>118.63857405378594</v>
      </c>
      <c r="M1005" s="105">
        <f>IF(tech_base!$T101&gt;M$905,"",M2125+tech_proj!M1625/(1-tech_proj!M505))</f>
        <v>116.01589801102055</v>
      </c>
      <c r="N1005" s="105">
        <f>IF(tech_base!$T101&gt;N$905,"",N2125+tech_proj!N1625/(1-tech_proj!N505))</f>
        <v>98.31276970853726</v>
      </c>
      <c r="O1005" s="105">
        <f>IF(tech_base!$T101&gt;O$905,"",O2125+tech_proj!O1625/(1-tech_proj!O505))</f>
        <v>83.316500685306593</v>
      </c>
      <c r="P1005" s="105">
        <f>IF(tech_base!$T101&gt;P$905,"",P2125+tech_proj!P1625/(1-tech_proj!P505))</f>
        <v>57.528451469525571</v>
      </c>
      <c r="Q1005" s="105">
        <f>IF(tech_base!$T101&gt;Q$905,"",Q2125+tech_proj!Q1625/(1-tech_proj!Q505))</f>
        <v>67.047676107937136</v>
      </c>
      <c r="R1005" s="105">
        <f>IF(tech_base!$T101&gt;R$905,"",R2125+tech_proj!R1625/(1-tech_proj!R505))</f>
        <v>73.696346923317364</v>
      </c>
      <c r="S1005" s="105">
        <f>IF(tech_base!$T101&gt;S$905,"",S2125+tech_proj!S1625/(1-tech_proj!S505))</f>
        <v>80.405049027205607</v>
      </c>
      <c r="T1005" s="105">
        <f>IF(tech_base!$T101&gt;T$905,"",T2125+tech_proj!T1625/(1-tech_proj!T505))</f>
        <v>87.040365951219698</v>
      </c>
      <c r="U1005" s="105">
        <f>IF(tech_base!$T101&gt;U$905,"",U2125+tech_proj!U1625/(1-tech_proj!U505))</f>
        <v>93.514585758758102</v>
      </c>
      <c r="V1005" s="105">
        <f>IF(tech_base!$T101&gt;V$905,"",V2125+tech_proj!V1625/(1-tech_proj!V505))</f>
        <v>97.740333152989351</v>
      </c>
      <c r="W1005" s="105">
        <f>IF(tech_base!$T101&gt;W$905,"",W2125+tech_proj!W1625/(1-tech_proj!W505))</f>
        <v>102.74373733802329</v>
      </c>
      <c r="X1005" s="105">
        <f>IF(tech_base!$T101&gt;X$905,"",X2125+tech_proj!X1625/(1-tech_proj!X505))</f>
        <v>107.47393096681687</v>
      </c>
      <c r="Y1005" s="105">
        <f>IF(tech_base!$T101&gt;Y$905,"",Y2125+tech_proj!Y1625/(1-tech_proj!Y505))</f>
        <v>111.93633033761988</v>
      </c>
      <c r="Z1005" s="105">
        <f>IF(tech_base!$T101&gt;Z$905,"",Z2125+tech_proj!Z1625/(1-tech_proj!Z505))</f>
        <v>113.55516978710402</v>
      </c>
      <c r="AA1005" s="105">
        <f>IF(tech_base!$T101&gt;AA$905,"",AA2125+tech_proj!AA1625/(1-tech_proj!AA505))</f>
        <v>115.07327657763138</v>
      </c>
      <c r="AB1005" s="105">
        <f>IF(tech_base!$T101&gt;AB$905,"",AB2125+tech_proj!AB1625/(1-tech_proj!AB505))</f>
        <v>116.75399682765607</v>
      </c>
      <c r="AC1005" s="105">
        <f>IF(tech_base!$T101&gt;AC$905,"",AC2125+tech_proj!AC1625/(1-tech_proj!AC505))</f>
        <v>118.43722399007655</v>
      </c>
      <c r="AD1005" s="105">
        <f>IF(tech_base!$T101&gt;AD$905,"",AD2125+tech_proj!AD1625/(1-tech_proj!AD505))</f>
        <v>120.86995832797201</v>
      </c>
      <c r="AE1005" s="105">
        <f>IF(tech_base!$T101&gt;AE$905,"",AE2125+tech_proj!AE1625/(1-tech_proj!AE505))</f>
        <v>122.42634218360604</v>
      </c>
      <c r="AF1005" s="105">
        <f>IF(tech_base!$T101&gt;AF$905,"",AF2125+tech_proj!AF1625/(1-tech_proj!AF505))</f>
        <v>124.1982951856005</v>
      </c>
      <c r="AG1005" s="105">
        <f>IF(tech_base!$T101&gt;AG$905,"",AG2125+tech_proj!AG1625/(1-tech_proj!AG505))</f>
        <v>125.78923217530095</v>
      </c>
      <c r="AH1005" s="105">
        <f>IF(tech_base!$T101&gt;AH$905,"",AH2125+tech_proj!AH1625/(1-tech_proj!AH505))</f>
        <v>127.23615932357784</v>
      </c>
      <c r="AI1005" s="105">
        <f>IF(tech_base!$T101&gt;AI$905,"",AI2125+tech_proj!AI1625/(1-tech_proj!AI505))</f>
        <v>128.46341092328234</v>
      </c>
      <c r="AJ1005" s="105">
        <f>IF(tech_base!$T101&gt;AJ$905,"",AJ2125+tech_proj!AJ1625/(1-tech_proj!AJ505))</f>
        <v>129.62221147179022</v>
      </c>
      <c r="AK1005" s="105">
        <f>IF(tech_base!$T101&gt;AK$905,"",AK2125+tech_proj!AK1625/(1-tech_proj!AK505))</f>
        <v>130.57345586287852</v>
      </c>
      <c r="AL1005" s="105">
        <f>IF(tech_base!$T101&gt;AL$905,"",AL2125+tech_proj!AL1625/(1-tech_proj!AL505))</f>
        <v>131.49831888943154</v>
      </c>
      <c r="AM1005" s="105">
        <f>IF(tech_base!$T101&gt;AM$905,"",AM2125+tech_proj!AM1625/(1-tech_proj!AM505))</f>
        <v>132.52026218980825</v>
      </c>
      <c r="AN1005" s="105">
        <f>IF(tech_base!$T101&gt;AN$905,"",AN2125+tech_proj!AN1625/(1-tech_proj!AN505))</f>
        <v>132.57023540132641</v>
      </c>
      <c r="AO1005" s="105">
        <f>IF(tech_base!$T101&gt;AO$905,"",AO2125+tech_proj!AO1625/(1-tech_proj!AO505))</f>
        <v>132.92104513277019</v>
      </c>
      <c r="AP1005" s="105">
        <f>IF(tech_base!$T101&gt;AP$905,"",AP2125+tech_proj!AP1625/(1-tech_proj!AP505))</f>
        <v>133.28860645183426</v>
      </c>
      <c r="AQ1005" s="105">
        <f>IF(tech_base!$T101&gt;AQ$905,"",AQ2125+tech_proj!AQ1625/(1-tech_proj!AQ505))</f>
        <v>133.72858257626132</v>
      </c>
      <c r="AR1005" s="105">
        <f>IF(tech_base!$T101&gt;AR$905,"",AR2125+tech_proj!AR1625/(1-tech_proj!AR505))</f>
        <v>134.37851298683768</v>
      </c>
      <c r="AS1005" s="105">
        <f>IF(tech_base!$T101&gt;AS$905,"",AS2125+tech_proj!AS1625/(1-tech_proj!AS505))</f>
        <v>135.1941726368774</v>
      </c>
      <c r="AT1005" s="105">
        <f>IF(tech_base!$T101&gt;AT$905,"",AT2125+tech_proj!AT1625/(1-tech_proj!AT505))</f>
        <v>135.96463983751192</v>
      </c>
      <c r="AU1005" s="105">
        <f>IF(tech_base!$T101&gt;AU$905,"",AU2125+tech_proj!AU1625/(1-tech_proj!AU505))</f>
        <v>136.6583125847819</v>
      </c>
      <c r="AV1005" s="105">
        <f>IF(tech_base!$T101&gt;AV$905,"",AV2125+tech_proj!AV1625/(1-tech_proj!AV505))</f>
        <v>137.21408665844669</v>
      </c>
      <c r="AW1005" s="105">
        <f>IF(tech_base!$T101&gt;AW$905,"",AW2125+tech_proj!AW1625/(1-tech_proj!AW505))</f>
        <v>137.19384319559444</v>
      </c>
      <c r="AX1005" s="106">
        <f>IF(tech_base!$T101&gt;AX$905,"",AX2125+tech_proj!AX1625/(1-tech_proj!AX505))</f>
        <v>137.20854724297121</v>
      </c>
    </row>
    <row r="1006" spans="1:50" x14ac:dyDescent="0.25">
      <c r="A1006" s="356"/>
      <c r="B1006" s="380"/>
      <c r="C1006" s="381"/>
      <c r="D1006" s="4" t="s">
        <v>20</v>
      </c>
      <c r="E1006" s="168" t="str">
        <f>A989&amp;"/"&amp;B1001&amp;"/"&amp;C1004&amp;"/"&amp;D1006</f>
        <v>Gas fired power plants (Natural gas, biogas)/Gas turbine /CHP/XS</v>
      </c>
      <c r="F1006" s="80" t="str">
        <f>A989</f>
        <v>Gas fired power plants (Natural gas, biogas)</v>
      </c>
      <c r="G1006" s="80" t="str">
        <f>B1001</f>
        <v xml:space="preserve">Gas turbine </v>
      </c>
      <c r="H1006" s="80" t="str">
        <f>C1004</f>
        <v>CHP</v>
      </c>
      <c r="I1006" s="169" t="str">
        <f t="shared" si="368"/>
        <v>XS</v>
      </c>
      <c r="J1006" s="113">
        <f>IF(tech_base!$T102&gt;J$905,"",J2126+tech_proj!J1626/(1-tech_proj!J506))</f>
        <v>98.605545817233406</v>
      </c>
      <c r="K1006" s="113">
        <f>IF(tech_base!$T102&gt;K$905,"",K2126+tech_proj!K1626/(1-tech_proj!K506))</f>
        <v>112.22111195123554</v>
      </c>
      <c r="L1006" s="113">
        <f>IF(tech_base!$T102&gt;L$905,"",L2126+tech_proj!L1626/(1-tech_proj!L506))</f>
        <v>125.0649674975396</v>
      </c>
      <c r="M1006" s="113">
        <f>IF(tech_base!$T102&gt;M$905,"",M2126+tech_proj!M1626/(1-tech_proj!M506))</f>
        <v>122.30704292946461</v>
      </c>
      <c r="N1006" s="113">
        <f>IF(tech_base!$T102&gt;N$905,"",N2126+tech_proj!N1626/(1-tech_proj!N506))</f>
        <v>103.69106616828424</v>
      </c>
      <c r="O1006" s="113">
        <f>IF(tech_base!$T102&gt;O$905,"",O2126+tech_proj!O1626/(1-tech_proj!O506))</f>
        <v>87.921521719781779</v>
      </c>
      <c r="P1006" s="113">
        <f>IF(tech_base!$T102&gt;P$905,"",P2126+tech_proj!P1626/(1-tech_proj!P506))</f>
        <v>60.803735063596392</v>
      </c>
      <c r="Q1006" s="113">
        <f>IF(tech_base!$T102&gt;Q$905,"",Q2126+tech_proj!Q1626/(1-tech_proj!Q506))</f>
        <v>70.813781071039898</v>
      </c>
      <c r="R1006" s="113">
        <f>IF(tech_base!$T102&gt;R$905,"",R2126+tech_proj!R1626/(1-tech_proj!R506))</f>
        <v>77.805255711967405</v>
      </c>
      <c r="S1006" s="113">
        <f>IF(tech_base!$T102&gt;S$905,"",S2126+tech_proj!S1626/(1-tech_proj!S506))</f>
        <v>84.859854622709634</v>
      </c>
      <c r="T1006" s="113">
        <f>IF(tech_base!$T102&gt;T$905,"",T2126+tech_proj!T1626/(1-tech_proj!T506))</f>
        <v>91.837281696729164</v>
      </c>
      <c r="U1006" s="113">
        <f>IF(tech_base!$T102&gt;U$905,"",U2126+tech_proj!U1626/(1-tech_proj!U506))</f>
        <v>98.645302015529055</v>
      </c>
      <c r="V1006" s="113">
        <f>IF(tech_base!$T102&gt;V$905,"",V2126+tech_proj!V1626/(1-tech_proj!V506))</f>
        <v>103.08890796341262</v>
      </c>
      <c r="W1006" s="113">
        <f>IF(tech_base!$T102&gt;W$905,"",W2126+tech_proj!W1626/(1-tech_proj!W506))</f>
        <v>108.35026575070144</v>
      </c>
      <c r="X1006" s="113">
        <f>IF(tech_base!$T102&gt;X$905,"",X2126+tech_proj!X1626/(1-tech_proj!X506))</f>
        <v>113.32432146727096</v>
      </c>
      <c r="Y1006" s="113">
        <f>IF(tech_base!$T102&gt;Y$905,"",Y2126+tech_proj!Y1626/(1-tech_proj!Y506))</f>
        <v>118.01677032838907</v>
      </c>
      <c r="Z1006" s="113">
        <f>IF(tech_base!$T102&gt;Z$905,"",Z2126+tech_proj!Z1626/(1-tech_proj!Z506))</f>
        <v>119.71903120544218</v>
      </c>
      <c r="AA1006" s="113">
        <f>IF(tech_base!$T102&gt;AA$905,"",AA2126+tech_proj!AA1626/(1-tech_proj!AA506))</f>
        <v>121.3153602577613</v>
      </c>
      <c r="AB1006" s="113">
        <f>IF(tech_base!$T102&gt;AB$905,"",AB2126+tech_proj!AB1626/(1-tech_proj!AB506))</f>
        <v>123.08268214924206</v>
      </c>
      <c r="AC1006" s="113">
        <f>IF(tech_base!$T102&gt;AC$905,"",AC2126+tech_proj!AC1626/(1-tech_proj!AC506))</f>
        <v>124.85263421273831</v>
      </c>
      <c r="AD1006" s="113">
        <f>IF(tech_base!$T102&gt;AD$905,"",AD2126+tech_proj!AD1626/(1-tech_proj!AD506))</f>
        <v>127.41073401031289</v>
      </c>
      <c r="AE1006" s="113">
        <f>IF(tech_base!$T102&gt;AE$905,"",AE2126+tech_proj!AE1626/(1-tech_proj!AE506))</f>
        <v>129.04728867888889</v>
      </c>
      <c r="AF1006" s="113">
        <f>IF(tech_base!$T102&gt;AF$905,"",AF2126+tech_proj!AF1626/(1-tech_proj!AF506))</f>
        <v>130.91052027083535</v>
      </c>
      <c r="AG1006" s="113">
        <f>IF(tech_base!$T102&gt;AG$905,"",AG2126+tech_proj!AG1626/(1-tech_proj!AG506))</f>
        <v>132.58339374593788</v>
      </c>
      <c r="AH1006" s="113">
        <f>IF(tech_base!$T102&gt;AH$905,"",AH2126+tech_proj!AH1626/(1-tech_proj!AH506))</f>
        <v>134.10482277773571</v>
      </c>
      <c r="AI1006" s="113">
        <f>IF(tech_base!$T102&gt;AI$905,"",AI2126+tech_proj!AI1626/(1-tech_proj!AI506))</f>
        <v>135.39523939557847</v>
      </c>
      <c r="AJ1006" s="113">
        <f>IF(tech_base!$T102&gt;AJ$905,"",AJ2126+tech_proj!AJ1626/(1-tech_proj!AJ506))</f>
        <v>136.61366502492763</v>
      </c>
      <c r="AK1006" s="113">
        <f>IF(tech_base!$T102&gt;AK$905,"",AK2126+tech_proj!AK1626/(1-tech_proj!AK506))</f>
        <v>137.61382110595193</v>
      </c>
      <c r="AL1006" s="113">
        <f>IF(tech_base!$T102&gt;AL$905,"",AL2126+tech_proj!AL1626/(1-tech_proj!AL506))</f>
        <v>138.58622366610228</v>
      </c>
      <c r="AM1006" s="113">
        <f>IF(tech_base!$T102&gt;AM$905,"",AM2126+tech_proj!AM1626/(1-tech_proj!AM506))</f>
        <v>139.66069969243193</v>
      </c>
      <c r="AN1006" s="113">
        <f>IF(tech_base!$T102&gt;AN$905,"",AN2126+tech_proj!AN1626/(1-tech_proj!AN506))</f>
        <v>139.71307428166355</v>
      </c>
      <c r="AO1006" s="113">
        <f>IF(tech_base!$T102&gt;AO$905,"",AO2126+tech_proj!AO1626/(1-tech_proj!AO506))</f>
        <v>140.08178347993328</v>
      </c>
      <c r="AP1006" s="113">
        <f>IF(tech_base!$T102&gt;AP$905,"",AP2126+tech_proj!AP1626/(1-tech_proj!AP506))</f>
        <v>140.46809330604796</v>
      </c>
      <c r="AQ1006" s="113">
        <f>IF(tech_base!$T102&gt;AQ$905,"",AQ2126+tech_proj!AQ1626/(1-tech_proj!AQ506))</f>
        <v>140.93053652918883</v>
      </c>
      <c r="AR1006" s="113">
        <f>IF(tech_base!$T102&gt;AR$905,"",AR2126+tech_proj!AR1626/(1-tech_proj!AR506))</f>
        <v>141.61374406641269</v>
      </c>
      <c r="AS1006" s="113">
        <f>IF(tech_base!$T102&gt;AS$905,"",AS2126+tech_proj!AS1626/(1-tech_proj!AS506))</f>
        <v>142.47121001466687</v>
      </c>
      <c r="AT1006" s="113">
        <f>IF(tech_base!$T102&gt;AT$905,"",AT2126+tech_proj!AT1626/(1-tech_proj!AT506))</f>
        <v>143.28113650927642</v>
      </c>
      <c r="AU1006" s="113">
        <f>IF(tech_base!$T102&gt;AU$905,"",AU2126+tech_proj!AU1626/(1-tech_proj!AU506))</f>
        <v>144.01029183100036</v>
      </c>
      <c r="AV1006" s="113">
        <f>IF(tech_base!$T102&gt;AV$905,"",AV2126+tech_proj!AV1626/(1-tech_proj!AV506))</f>
        <v>144.59442097529475</v>
      </c>
      <c r="AW1006" s="113">
        <f>IF(tech_base!$T102&gt;AW$905,"",AW2126+tech_proj!AW1626/(1-tech_proj!AW506))</f>
        <v>144.57281434978549</v>
      </c>
      <c r="AX1006" s="114">
        <f>IF(tech_base!$T102&gt;AX$905,"",AX2126+tech_proj!AX1626/(1-tech_proj!AX506))</f>
        <v>144.58794074758526</v>
      </c>
    </row>
    <row r="1007" spans="1:50" x14ac:dyDescent="0.25">
      <c r="A1007" s="356"/>
      <c r="B1007" s="358" t="s">
        <v>19</v>
      </c>
      <c r="C1007" s="353" t="s">
        <v>6</v>
      </c>
      <c r="D1007" s="3" t="s">
        <v>7</v>
      </c>
      <c r="E1007" s="162" t="str">
        <f>A989&amp;"/"&amp;B1007&amp;"/"&amp;C1007&amp;"/"&amp;D1007</f>
        <v>Gas fired power plants (Natural gas, biogas)/Steam turbine/Electricity only/L</v>
      </c>
      <c r="F1007" s="77" t="str">
        <f>A989</f>
        <v>Gas fired power plants (Natural gas, biogas)</v>
      </c>
      <c r="G1007" s="77" t="str">
        <f>B1007</f>
        <v>Steam turbine</v>
      </c>
      <c r="H1007" s="77" t="str">
        <f>C1007</f>
        <v>Electricity only</v>
      </c>
      <c r="I1007" s="163" t="str">
        <f t="shared" si="368"/>
        <v>L</v>
      </c>
      <c r="J1007" s="107">
        <f>IF(tech_base!$T103&gt;J$905,"",J2127+tech_proj!J1627/(1-tech_proj!J507))</f>
        <v>69.096628857333727</v>
      </c>
      <c r="K1007" s="107">
        <f>IF(tech_base!$T103&gt;K$905,"",K2127+tech_proj!K1627/(1-tech_proj!K507))</f>
        <v>78.794605121528448</v>
      </c>
      <c r="L1007" s="107">
        <f>IF(tech_base!$T103&gt;L$905,"",L2127+tech_proj!L1627/(1-tech_proj!L507))</f>
        <v>87.942464664368558</v>
      </c>
      <c r="M1007" s="107">
        <f>IF(tech_base!$T103&gt;M$905,"",M2127+tech_proj!M1627/(1-tech_proj!M507))</f>
        <v>85.976682652227566</v>
      </c>
      <c r="N1007" s="107">
        <f>IF(tech_base!$T103&gt;N$905,"",N2127+tech_proj!N1627/(1-tech_proj!N507))</f>
        <v>72.715534524923626</v>
      </c>
      <c r="O1007" s="107">
        <f>IF(tech_base!$T103&gt;O$905,"",O2127+tech_proj!O1627/(1-tech_proj!O507))</f>
        <v>61.482554442579804</v>
      </c>
      <c r="P1007" s="107">
        <f>IF(tech_base!$T103&gt;P$905,"",P2127+tech_proj!P1627/(1-tech_proj!P507))</f>
        <v>42.167176264775712</v>
      </c>
      <c r="Q1007" s="107">
        <f>IF(tech_base!$T103&gt;Q$905,"",Q2127+tech_proj!Q1627/(1-tech_proj!Q507))</f>
        <v>49.29702549855071</v>
      </c>
      <c r="R1007" s="107">
        <f>IF(tech_base!$T103&gt;R$905,"",R2127+tech_proj!R1627/(1-tech_proj!R507))</f>
        <v>54.276799192628538</v>
      </c>
      <c r="S1007" s="107">
        <f>IF(tech_base!$T103&gt;S$905,"",S2127+tech_proj!S1627/(1-tech_proj!S507))</f>
        <v>59.301524306948508</v>
      </c>
      <c r="T1007" s="107">
        <f>IF(tech_base!$T103&gt;T$905,"",T2127+tech_proj!T1627/(1-tech_proj!T507))</f>
        <v>64.271322428743076</v>
      </c>
      <c r="U1007" s="107">
        <f>IF(tech_base!$T103&gt;U$905,"",U2127+tech_proj!U1627/(1-tech_proj!U507))</f>
        <v>69.120553181811033</v>
      </c>
      <c r="V1007" s="107">
        <f>IF(tech_base!$T103&gt;V$905,"",V2127+tech_proj!V1627/(1-tech_proj!V507))</f>
        <v>72.285948908916012</v>
      </c>
      <c r="W1007" s="107">
        <f>IF(tech_base!$T103&gt;W$905,"",W2127+tech_proj!W1627/(1-tech_proj!W507))</f>
        <v>76.033968727590732</v>
      </c>
      <c r="X1007" s="107">
        <f>IF(tech_base!$T103&gt;X$905,"",X2127+tech_proj!X1627/(1-tech_proj!X507))</f>
        <v>79.577623741759623</v>
      </c>
      <c r="Y1007" s="107">
        <f>IF(tech_base!$T103&gt;Y$905,"",Y2127+tech_proj!Y1627/(1-tech_proj!Y507))</f>
        <v>82.921025246571546</v>
      </c>
      <c r="Z1007" s="107">
        <f>IF(tech_base!$T103&gt;Z$905,"",Z2127+tech_proj!Z1627/(1-tech_proj!Z507))</f>
        <v>84.135106665091513</v>
      </c>
      <c r="AA1007" s="107">
        <f>IF(tech_base!$T103&gt;AA$905,"",AA2127+tech_proj!AA1627/(1-tech_proj!AA507))</f>
        <v>85.274123061141964</v>
      </c>
      <c r="AB1007" s="107">
        <f>IF(tech_base!$T103&gt;AB$905,"",AB2127+tech_proj!AB1627/(1-tech_proj!AB507))</f>
        <v>86.535352780603233</v>
      </c>
      <c r="AC1007" s="107">
        <f>IF(tech_base!$T103&gt;AC$905,"",AC2127+tech_proj!AC1627/(1-tech_proj!AC507))</f>
        <v>87.798931251967119</v>
      </c>
      <c r="AD1007" s="107">
        <f>IF(tech_base!$T103&gt;AD$905,"",AD2127+tech_proj!AD1627/(1-tech_proj!AD507))</f>
        <v>89.624418102885656</v>
      </c>
      <c r="AE1007" s="107">
        <f>IF(tech_base!$T103&gt;AE$905,"",AE2127+tech_proj!AE1627/(1-tech_proj!AE507))</f>
        <v>90.794104368205666</v>
      </c>
      <c r="AF1007" s="107">
        <f>IF(tech_base!$T103&gt;AF$905,"",AF2127+tech_proj!AF1627/(1-tech_proj!AF507))</f>
        <v>92.125897460871883</v>
      </c>
      <c r="AG1007" s="107">
        <f>IF(tech_base!$T103&gt;AG$905,"",AG2127+tech_proj!AG1627/(1-tech_proj!AG507))</f>
        <v>93.322802598067213</v>
      </c>
      <c r="AH1007" s="107">
        <f>IF(tech_base!$T103&gt;AH$905,"",AH2127+tech_proj!AH1627/(1-tech_proj!AH507))</f>
        <v>94.412591698682149</v>
      </c>
      <c r="AI1007" s="107">
        <f>IF(tech_base!$T103&gt;AI$905,"",AI2127+tech_proj!AI1627/(1-tech_proj!AI507))</f>
        <v>95.338631646036475</v>
      </c>
      <c r="AJ1007" s="107">
        <f>IF(tech_base!$T103&gt;AJ$905,"",AJ2127+tech_proj!AJ1627/(1-tech_proj!AJ507))</f>
        <v>96.214263596692803</v>
      </c>
      <c r="AK1007" s="107">
        <f>IF(tech_base!$T103&gt;AK$905,"",AK2127+tech_proj!AK1627/(1-tech_proj!AK507))</f>
        <v>96.935322299674652</v>
      </c>
      <c r="AL1007" s="107">
        <f>IF(tech_base!$T103&gt;AL$905,"",AL2127+tech_proj!AL1627/(1-tech_proj!AL507))</f>
        <v>97.637603791203802</v>
      </c>
      <c r="AM1007" s="107">
        <f>IF(tech_base!$T103&gt;AM$905,"",AM2127+tech_proj!AM1627/(1-tech_proj!AM507))</f>
        <v>98.413695857325635</v>
      </c>
      <c r="AN1007" s="107">
        <f>IF(tech_base!$T103&gt;AN$905,"",AN2127+tech_proj!AN1627/(1-tech_proj!AN507))</f>
        <v>98.462478172702447</v>
      </c>
      <c r="AO1007" s="107">
        <f>IF(tech_base!$T103&gt;AO$905,"",AO2127+tech_proj!AO1627/(1-tech_proj!AO507))</f>
        <v>98.737816323555293</v>
      </c>
      <c r="AP1007" s="107">
        <f>IF(tech_base!$T103&gt;AP$905,"",AP2127+tech_proj!AP1627/(1-tech_proj!AP507))</f>
        <v>99.026882195261436</v>
      </c>
      <c r="AQ1007" s="107">
        <f>IF(tech_base!$T103&gt;AQ$905,"",AQ2127+tech_proj!AQ1627/(1-tech_proj!AQ507))</f>
        <v>99.371468190465393</v>
      </c>
      <c r="AR1007" s="107">
        <f>IF(tech_base!$T103&gt;AR$905,"",AR2127+tech_proj!AR1627/(1-tech_proj!AR507))</f>
        <v>99.874779275053029</v>
      </c>
      <c r="AS1007" s="107">
        <f>IF(tech_base!$T103&gt;AS$905,"",AS2127+tech_proj!AS1627/(1-tech_proj!AS507))</f>
        <v>100.50376698150666</v>
      </c>
      <c r="AT1007" s="107">
        <f>IF(tech_base!$T103&gt;AT$905,"",AT2127+tech_proj!AT1627/(1-tech_proj!AT507))</f>
        <v>101.10033201179246</v>
      </c>
      <c r="AU1007" s="107">
        <f>IF(tech_base!$T103&gt;AU$905,"",AU2127+tech_proj!AU1627/(1-tech_proj!AU507))</f>
        <v>101.64078907096636</v>
      </c>
      <c r="AV1007" s="107">
        <f>IF(tech_base!$T103&gt;AV$905,"",AV2127+tech_proj!AV1627/(1-tech_proj!AV507))</f>
        <v>102.07928508834468</v>
      </c>
      <c r="AW1007" s="107">
        <f>IF(tech_base!$T103&gt;AW$905,"",AW2127+tech_proj!AW1627/(1-tech_proj!AW507))</f>
        <v>102.0869732554541</v>
      </c>
      <c r="AX1007" s="108">
        <f>IF(tech_base!$T103&gt;AX$905,"",AX2127+tech_proj!AX1627/(1-tech_proj!AX507))</f>
        <v>102.12218573274669</v>
      </c>
    </row>
    <row r="1008" spans="1:50" x14ac:dyDescent="0.25">
      <c r="A1008" s="356"/>
      <c r="B1008" s="376"/>
      <c r="C1008" s="378"/>
      <c r="D1008" s="2" t="s">
        <v>8</v>
      </c>
      <c r="E1008" s="160" t="str">
        <f>A989&amp;"/"&amp;B1007&amp;"/"&amp;C1007&amp;"/"&amp;D1008</f>
        <v>Gas fired power plants (Natural gas, biogas)/Steam turbine/Electricity only/M</v>
      </c>
      <c r="F1008" s="76" t="str">
        <f>A989</f>
        <v>Gas fired power plants (Natural gas, biogas)</v>
      </c>
      <c r="G1008" s="76" t="str">
        <f>B1007</f>
        <v>Steam turbine</v>
      </c>
      <c r="H1008" s="76" t="str">
        <f>C1007</f>
        <v>Electricity only</v>
      </c>
      <c r="I1008" s="161" t="str">
        <f t="shared" si="368"/>
        <v>M</v>
      </c>
      <c r="J1008" s="105">
        <f>IF(tech_base!$T104&gt;J$905,"",J2128+tech_proj!J1628/(1-tech_proj!J508))</f>
        <v>72.770925678777886</v>
      </c>
      <c r="K1008" s="105">
        <f>IF(tech_base!$T104&gt;K$905,"",K2128+tech_proj!K1628/(1-tech_proj!K508))</f>
        <v>82.976718435548634</v>
      </c>
      <c r="L1008" s="105">
        <f>IF(tech_base!$T104&gt;L$905,"",L2128+tech_proj!L1628/(1-tech_proj!L508))</f>
        <v>92.603776785464021</v>
      </c>
      <c r="M1008" s="105">
        <f>IF(tech_base!$T104&gt;M$905,"",M2128+tech_proj!M1628/(1-tech_proj!M508))</f>
        <v>90.535722173608661</v>
      </c>
      <c r="N1008" s="105">
        <f>IF(tech_base!$T104&gt;N$905,"",N2128+tech_proj!N1628/(1-tech_proj!N508))</f>
        <v>76.581021206854828</v>
      </c>
      <c r="O1008" s="105">
        <f>IF(tech_base!$T104&gt;O$905,"",O2128+tech_proj!O1628/(1-tech_proj!O508))</f>
        <v>64.760426138132772</v>
      </c>
      <c r="P1008" s="105">
        <f>IF(tech_base!$T104&gt;P$905,"",P2128+tech_proj!P1628/(1-tech_proj!P508))</f>
        <v>44.434042202604843</v>
      </c>
      <c r="Q1008" s="105">
        <f>IF(tech_base!$T104&gt;Q$905,"",Q2128+tech_proj!Q1628/(1-tech_proj!Q508))</f>
        <v>51.93744538830272</v>
      </c>
      <c r="R1008" s="105">
        <f>IF(tech_base!$T104&gt;R$905,"",R2128+tech_proj!R1628/(1-tech_proj!R508))</f>
        <v>57.178270351698878</v>
      </c>
      <c r="S1008" s="105">
        <f>IF(tech_base!$T104&gt;S$905,"",S2128+tech_proj!S1628/(1-tech_proj!S508))</f>
        <v>62.466473644982919</v>
      </c>
      <c r="T1008" s="105">
        <f>IF(tech_base!$T104&gt;T$905,"",T2128+tech_proj!T1628/(1-tech_proj!T508))</f>
        <v>67.696942493162808</v>
      </c>
      <c r="U1008" s="105">
        <f>IF(tech_base!$T104&gt;U$905,"",U2128+tech_proj!U1628/(1-tech_proj!U508))</f>
        <v>72.800593231560612</v>
      </c>
      <c r="V1008" s="105">
        <f>IF(tech_base!$T104&gt;V$905,"",V2128+tech_proj!V1628/(1-tech_proj!V508))</f>
        <v>76.132228402258448</v>
      </c>
      <c r="W1008" s="105">
        <f>IF(tech_base!$T104&gt;W$905,"",W2128+tech_proj!W1628/(1-tech_proj!W508))</f>
        <v>80.077061180527537</v>
      </c>
      <c r="X1008" s="105">
        <f>IF(tech_base!$T104&gt;X$905,"",X2128+tech_proj!X1628/(1-tech_proj!X508))</f>
        <v>83.806859302608231</v>
      </c>
      <c r="Y1008" s="105">
        <f>IF(tech_base!$T104&gt;Y$905,"",Y2128+tech_proj!Y1628/(1-tech_proj!Y508))</f>
        <v>87.325943756148888</v>
      </c>
      <c r="Z1008" s="105">
        <f>IF(tech_base!$T104&gt;Z$905,"",Z2128+tech_proj!Z1628/(1-tech_proj!Z508))</f>
        <v>88.604094967598556</v>
      </c>
      <c r="AA1008" s="105">
        <f>IF(tech_base!$T104&gt;AA$905,"",AA2128+tech_proj!AA1628/(1-tech_proj!AA508))</f>
        <v>89.803250265233032</v>
      </c>
      <c r="AB1008" s="105">
        <f>IF(tech_base!$T104&gt;AB$905,"",AB2128+tech_proj!AB1628/(1-tech_proj!AB508))</f>
        <v>91.131032675713001</v>
      </c>
      <c r="AC1008" s="105">
        <f>IF(tech_base!$T104&gt;AC$905,"",AC2128+tech_proj!AC1628/(1-tech_proj!AC508))</f>
        <v>92.461292377897365</v>
      </c>
      <c r="AD1008" s="105">
        <f>IF(tech_base!$T104&gt;AD$905,"",AD2128+tech_proj!AD1628/(1-tech_proj!AD508))</f>
        <v>94.382942121364408</v>
      </c>
      <c r="AE1008" s="105">
        <f>IF(tech_base!$T104&gt;AE$905,"",AE2128+tech_proj!AE1628/(1-tech_proj!AE508))</f>
        <v>95.614396555243502</v>
      </c>
      <c r="AF1008" s="105">
        <f>IF(tech_base!$T104&gt;AF$905,"",AF2128+tech_proj!AF1628/(1-tech_proj!AF508))</f>
        <v>97.016466637513531</v>
      </c>
      <c r="AG1008" s="105">
        <f>IF(tech_base!$T104&gt;AG$905,"",AG2128+tech_proj!AG1628/(1-tech_proj!AG508))</f>
        <v>98.276575136380359</v>
      </c>
      <c r="AH1008" s="105">
        <f>IF(tech_base!$T104&gt;AH$905,"",AH2128+tech_proj!AH1628/(1-tech_proj!AH508))</f>
        <v>99.42394892792106</v>
      </c>
      <c r="AI1008" s="105">
        <f>IF(tech_base!$T104&gt;AI$905,"",AI2128+tech_proj!AI1628/(1-tech_proj!AI508))</f>
        <v>100.39898049702389</v>
      </c>
      <c r="AJ1008" s="105">
        <f>IF(tech_base!$T104&gt;AJ$905,"",AJ2128+tech_proj!AJ1628/(1-tech_proj!AJ508))</f>
        <v>101.32095764021624</v>
      </c>
      <c r="AK1008" s="105">
        <f>IF(tech_base!$T104&gt;AK$905,"",AK2128+tech_proj!AK1628/(1-tech_proj!AK508))</f>
        <v>102.08024595844205</v>
      </c>
      <c r="AL1008" s="105">
        <f>IF(tech_base!$T104&gt;AL$905,"",AL2128+tech_proj!AL1628/(1-tech_proj!AL508))</f>
        <v>102.8197685028107</v>
      </c>
      <c r="AM1008" s="105">
        <f>IF(tech_base!$T104&gt;AM$905,"",AM2128+tech_proj!AM1628/(1-tech_proj!AM508))</f>
        <v>103.63697409763171</v>
      </c>
      <c r="AN1008" s="105">
        <f>IF(tech_base!$T104&gt;AN$905,"",AN2128+tech_proj!AN1628/(1-tech_proj!AN508))</f>
        <v>103.68867653022502</v>
      </c>
      <c r="AO1008" s="105">
        <f>IF(tech_base!$T104&gt;AO$905,"",AO2128+tech_proj!AO1628/(1-tech_proj!AO508))</f>
        <v>103.97882333426608</v>
      </c>
      <c r="AP1008" s="105">
        <f>IF(tech_base!$T104&gt;AP$905,"",AP2128+tech_proj!AP1628/(1-tech_proj!AP508))</f>
        <v>104.28341206086935</v>
      </c>
      <c r="AQ1008" s="105">
        <f>IF(tech_base!$T104&gt;AQ$905,"",AQ2128+tech_proj!AQ1628/(1-tech_proj!AQ508))</f>
        <v>104.6464304704641</v>
      </c>
      <c r="AR1008" s="105">
        <f>IF(tech_base!$T104&gt;AR$905,"",AR2128+tech_proj!AR1628/(1-tech_proj!AR508))</f>
        <v>105.17650540478219</v>
      </c>
      <c r="AS1008" s="105">
        <f>IF(tech_base!$T104&gt;AS$905,"",AS2128+tech_proj!AS1628/(1-tech_proj!AS508))</f>
        <v>105.8388543273653</v>
      </c>
      <c r="AT1008" s="105">
        <f>IF(tech_base!$T104&gt;AT$905,"",AT2128+tech_proj!AT1628/(1-tech_proj!AT508))</f>
        <v>106.46707367556519</v>
      </c>
      <c r="AU1008" s="105">
        <f>IF(tech_base!$T104&gt;AU$905,"",AU2128+tech_proj!AU1628/(1-tech_proj!AU508))</f>
        <v>107.03623338285699</v>
      </c>
      <c r="AV1008" s="105">
        <f>IF(tech_base!$T104&gt;AV$905,"",AV2128+tech_proj!AV1628/(1-tech_proj!AV508))</f>
        <v>107.49807052102632</v>
      </c>
      <c r="AW1008" s="105">
        <f>IF(tech_base!$T104&gt;AW$905,"",AW2128+tech_proj!AW1628/(1-tech_proj!AW508))</f>
        <v>107.50645749548261</v>
      </c>
      <c r="AX1008" s="106">
        <f>IF(tech_base!$T104&gt;AX$905,"",AX2128+tech_proj!AX1628/(1-tech_proj!AX508))</f>
        <v>107.54380729973238</v>
      </c>
    </row>
    <row r="1009" spans="1:50" x14ac:dyDescent="0.25">
      <c r="A1009" s="356"/>
      <c r="B1009" s="376"/>
      <c r="C1009" s="378"/>
      <c r="D1009" s="2" t="s">
        <v>10</v>
      </c>
      <c r="E1009" s="160" t="str">
        <f>A989&amp;"/"&amp;B1007&amp;"/"&amp;C1007&amp;"/"&amp;D1009</f>
        <v>Gas fired power plants (Natural gas, biogas)/Steam turbine/Electricity only/S</v>
      </c>
      <c r="F1009" s="76" t="str">
        <f>A989</f>
        <v>Gas fired power plants (Natural gas, biogas)</v>
      </c>
      <c r="G1009" s="76" t="str">
        <f>B1007</f>
        <v>Steam turbine</v>
      </c>
      <c r="H1009" s="76" t="str">
        <f>C1007</f>
        <v>Electricity only</v>
      </c>
      <c r="I1009" s="161" t="str">
        <f t="shared" si="368"/>
        <v>S</v>
      </c>
      <c r="J1009" s="105">
        <f>IF(tech_base!$T105&gt;J$905,"",J2129+tech_proj!J1629/(1-tech_proj!J509))</f>
        <v>76.705365393432373</v>
      </c>
      <c r="K1009" s="105">
        <f>IF(tech_base!$T105&gt;K$905,"",K2129+tech_proj!K1629/(1-tech_proj!K509))</f>
        <v>87.446527183161564</v>
      </c>
      <c r="L1009" s="105">
        <f>IF(tech_base!$T105&gt;L$905,"",L2129+tech_proj!L1629/(1-tech_proj!L509))</f>
        <v>97.57869529407175</v>
      </c>
      <c r="M1009" s="105">
        <f>IF(tech_base!$T105&gt;M$905,"",M2129+tech_proj!M1629/(1-tech_proj!M509))</f>
        <v>95.402522114862407</v>
      </c>
      <c r="N1009" s="105">
        <f>IF(tech_base!$T105&gt;N$905,"",N2129+tech_proj!N1629/(1-tech_proj!N509))</f>
        <v>80.716272881930763</v>
      </c>
      <c r="O1009" s="105">
        <f>IF(tech_base!$T105&gt;O$905,"",O2129+tech_proj!O1629/(1-tech_proj!O509))</f>
        <v>68.275937012713257</v>
      </c>
      <c r="P1009" s="105">
        <f>IF(tech_base!$T105&gt;P$905,"",P2129+tech_proj!P1629/(1-tech_proj!P509))</f>
        <v>46.883543276095978</v>
      </c>
      <c r="Q1009" s="105">
        <f>IF(tech_base!$T105&gt;Q$905,"",Q2129+tech_proj!Q1629/(1-tech_proj!Q509))</f>
        <v>54.780669542782256</v>
      </c>
      <c r="R1009" s="105">
        <f>IF(tech_base!$T105&gt;R$905,"",R2129+tech_proj!R1629/(1-tech_proj!R509))</f>
        <v>60.296574971334621</v>
      </c>
      <c r="S1009" s="105">
        <f>IF(tech_base!$T105&gt;S$905,"",S2129+tech_proj!S1629/(1-tech_proj!S509))</f>
        <v>65.862382243419859</v>
      </c>
      <c r="T1009" s="105">
        <f>IF(tech_base!$T105&gt;T$905,"",T2129+tech_proj!T1629/(1-tech_proj!T509))</f>
        <v>71.367462484892272</v>
      </c>
      <c r="U1009" s="105">
        <f>IF(tech_base!$T105&gt;U$905,"",U2129+tech_proj!U1629/(1-tech_proj!U509))</f>
        <v>76.739104954746736</v>
      </c>
      <c r="V1009" s="105">
        <f>IF(tech_base!$T105&gt;V$905,"",V2129+tech_proj!V1629/(1-tech_proj!V509))</f>
        <v>80.24577388126697</v>
      </c>
      <c r="W1009" s="105">
        <f>IF(tech_base!$T105&gt;W$905,"",W2129+tech_proj!W1629/(1-tech_proj!W509))</f>
        <v>84.39784049600155</v>
      </c>
      <c r="X1009" s="105">
        <f>IF(tech_base!$T105&gt;X$905,"",X2129+tech_proj!X1629/(1-tech_proj!X509))</f>
        <v>88.32360889109934</v>
      </c>
      <c r="Y1009" s="105">
        <f>IF(tech_base!$T105&gt;Y$905,"",Y2129+tech_proj!Y1629/(1-tech_proj!Y509))</f>
        <v>92.027623776747859</v>
      </c>
      <c r="Z1009" s="105">
        <f>IF(tech_base!$T105&gt;Z$905,"",Z2129+tech_proj!Z1629/(1-tech_proj!Z509))</f>
        <v>93.373094316624631</v>
      </c>
      <c r="AA1009" s="105">
        <f>IF(tech_base!$T105&gt;AA$905,"",AA2129+tech_proj!AA1629/(1-tech_proj!AA509))</f>
        <v>94.635424777477468</v>
      </c>
      <c r="AB1009" s="105">
        <f>IF(tech_base!$T105&gt;AB$905,"",AB2129+tech_proj!AB1629/(1-tech_proj!AB509))</f>
        <v>96.033136915415824</v>
      </c>
      <c r="AC1009" s="105">
        <f>IF(tech_base!$T105&gt;AC$905,"",AC2129+tech_proj!AC1629/(1-tech_proj!AC509))</f>
        <v>97.433458994432328</v>
      </c>
      <c r="AD1009" s="105">
        <f>IF(tech_base!$T105&gt;AD$905,"",AD2129+tech_proj!AD1629/(1-tech_proj!AD509))</f>
        <v>99.456223546600597</v>
      </c>
      <c r="AE1009" s="105">
        <f>IF(tech_base!$T105&gt;AE$905,"",AE2129+tech_proj!AE1629/(1-tech_proj!AE509))</f>
        <v>100.75255880869362</v>
      </c>
      <c r="AF1009" s="105">
        <f>IF(tech_base!$T105&gt;AF$905,"",AF2129+tech_proj!AF1629/(1-tech_proj!AF509))</f>
        <v>102.22847005128132</v>
      </c>
      <c r="AG1009" s="105">
        <f>IF(tech_base!$T105&gt;AG$905,"",AG2129+tech_proj!AG1629/(1-tech_proj!AG509))</f>
        <v>103.55496726067537</v>
      </c>
      <c r="AH1009" s="105">
        <f>IF(tech_base!$T105&gt;AH$905,"",AH2129+tech_proj!AH1629/(1-tech_proj!AH509))</f>
        <v>104.76281082334144</v>
      </c>
      <c r="AI1009" s="105">
        <f>IF(tech_base!$T105&gt;AI$905,"",AI2129+tech_proj!AI1629/(1-tech_proj!AI509))</f>
        <v>105.78926176482338</v>
      </c>
      <c r="AJ1009" s="105">
        <f>IF(tech_base!$T105&gt;AJ$905,"",AJ2129+tech_proj!AJ1629/(1-tech_proj!AJ509))</f>
        <v>106.75987142044133</v>
      </c>
      <c r="AK1009" s="105">
        <f>IF(tech_base!$T105&gt;AK$905,"",AK2129+tech_proj!AK1629/(1-tech_proj!AK509))</f>
        <v>107.55924666011472</v>
      </c>
      <c r="AL1009" s="105">
        <f>IF(tech_base!$T105&gt;AL$905,"",AL2129+tech_proj!AL1629/(1-tech_proj!AL509))</f>
        <v>108.33781629008902</v>
      </c>
      <c r="AM1009" s="105">
        <f>IF(tech_base!$T105&gt;AM$905,"",AM2129+tech_proj!AM1629/(1-tech_proj!AM509))</f>
        <v>109.19814767774041</v>
      </c>
      <c r="AN1009" s="105">
        <f>IF(tech_base!$T105&gt;AN$905,"",AN2129+tech_proj!AN1629/(1-tech_proj!AN509))</f>
        <v>109.2527629992116</v>
      </c>
      <c r="AO1009" s="105">
        <f>IF(tech_base!$T105&gt;AO$905,"",AO2129+tech_proj!AO1629/(1-tech_proj!AO509))</f>
        <v>109.5583436860998</v>
      </c>
      <c r="AP1009" s="105">
        <f>IF(tech_base!$T105&gt;AP$905,"",AP2129+tech_proj!AP1629/(1-tech_proj!AP509))</f>
        <v>109.87912123674535</v>
      </c>
      <c r="AQ1009" s="105">
        <f>IF(tech_base!$T105&gt;AQ$905,"",AQ2129+tech_proj!AQ1629/(1-tech_proj!AQ509))</f>
        <v>110.26139451055056</v>
      </c>
      <c r="AR1009" s="105">
        <f>IF(tech_base!$T105&gt;AR$905,"",AR2129+tech_proj!AR1629/(1-tech_proj!AR509))</f>
        <v>110.81949782469532</v>
      </c>
      <c r="AS1009" s="105">
        <f>IF(tech_base!$T105&gt;AS$905,"",AS2129+tech_proj!AS1629/(1-tech_proj!AS509))</f>
        <v>111.51682222791712</v>
      </c>
      <c r="AT1009" s="105">
        <f>IF(tech_base!$T105&gt;AT$905,"",AT2129+tech_proj!AT1629/(1-tech_proj!AT509))</f>
        <v>112.17822176857266</v>
      </c>
      <c r="AU1009" s="105">
        <f>IF(tech_base!$T105&gt;AU$905,"",AU2129+tech_proj!AU1629/(1-tech_proj!AU509))</f>
        <v>112.77745626276555</v>
      </c>
      <c r="AV1009" s="105">
        <f>IF(tech_base!$T105&gt;AV$905,"",AV2129+tech_proj!AV1629/(1-tech_proj!AV509))</f>
        <v>113.26372644482367</v>
      </c>
      <c r="AW1009" s="105">
        <f>IF(tech_base!$T105&gt;AW$905,"",AW2129+tech_proj!AW1629/(1-tech_proj!AW509))</f>
        <v>113.27271594525597</v>
      </c>
      <c r="AX1009" s="106">
        <f>IF(tech_base!$T105&gt;AX$905,"",AX2129+tech_proj!AX1629/(1-tech_proj!AX509))</f>
        <v>113.3121859429132</v>
      </c>
    </row>
    <row r="1010" spans="1:50" x14ac:dyDescent="0.25">
      <c r="A1010" s="356"/>
      <c r="B1010" s="376"/>
      <c r="C1010" s="379"/>
      <c r="D1010" s="2" t="s">
        <v>20</v>
      </c>
      <c r="E1010" s="160" t="str">
        <f>A989&amp;"/"&amp;B1007&amp;"/"&amp;C1007&amp;"/"&amp;D1010</f>
        <v>Gas fired power plants (Natural gas, biogas)/Steam turbine/Electricity only/XS</v>
      </c>
      <c r="F1010" s="76" t="str">
        <f>A989</f>
        <v>Gas fired power plants (Natural gas, biogas)</v>
      </c>
      <c r="G1010" s="76" t="str">
        <f>B1007</f>
        <v>Steam turbine</v>
      </c>
      <c r="H1010" s="76" t="str">
        <f>C1007</f>
        <v>Electricity only</v>
      </c>
      <c r="I1010" s="161" t="str">
        <f t="shared" si="368"/>
        <v>XS</v>
      </c>
      <c r="J1010" s="105">
        <f>IF(tech_base!$T106&gt;J$905,"",J2130+tech_proj!J1630/(1-tech_proj!J510))</f>
        <v>81.096825742313527</v>
      </c>
      <c r="K1010" s="105">
        <f>IF(tech_base!$T106&gt;K$905,"",K2130+tech_proj!K1630/(1-tech_proj!K510))</f>
        <v>92.403248825173279</v>
      </c>
      <c r="L1010" s="105">
        <f>IF(tech_base!$T106&gt;L$905,"",L2130+tech_proj!L1630/(1-tech_proj!L510))</f>
        <v>103.06889372955233</v>
      </c>
      <c r="M1010" s="105">
        <f>IF(tech_base!$T106&gt;M$905,"",M2130+tech_proj!M1630/(1-tech_proj!M510))</f>
        <v>100.77911882835795</v>
      </c>
      <c r="N1010" s="105">
        <f>IF(tech_base!$T106&gt;N$905,"",N2130+tech_proj!N1630/(1-tech_proj!N510))</f>
        <v>85.321162034670579</v>
      </c>
      <c r="O1010" s="105">
        <f>IF(tech_base!$T106&gt;O$905,"",O2130+tech_proj!O1630/(1-tech_proj!O510))</f>
        <v>72.226944897675153</v>
      </c>
      <c r="P1010" s="105">
        <f>IF(tech_base!$T106&gt;P$905,"",P2130+tech_proj!P1630/(1-tech_proj!P510))</f>
        <v>49.709313059737141</v>
      </c>
      <c r="Q1010" s="105">
        <f>IF(tech_base!$T106&gt;Q$905,"",Q2130+tech_proj!Q1630/(1-tech_proj!Q510))</f>
        <v>58.022336093245549</v>
      </c>
      <c r="R1010" s="105">
        <f>IF(tech_base!$T106&gt;R$905,"",R2130+tech_proj!R1630/(1-tech_proj!R510))</f>
        <v>63.828939849493331</v>
      </c>
      <c r="S1010" s="105">
        <f>IF(tech_base!$T106&gt;S$905,"",S2130+tech_proj!S1630/(1-tech_proj!S510))</f>
        <v>69.688176728317259</v>
      </c>
      <c r="T1010" s="105">
        <f>IF(tech_base!$T106&gt;T$905,"",T2130+tech_proj!T1630/(1-tech_proj!T510))</f>
        <v>75.483589926433481</v>
      </c>
      <c r="U1010" s="105">
        <f>IF(tech_base!$T106&gt;U$905,"",U2130+tech_proj!U1630/(1-tech_proj!U510))</f>
        <v>81.13863374797404</v>
      </c>
      <c r="V1010" s="105">
        <f>IF(tech_base!$T106&gt;V$905,"",V2130+tech_proj!V1630/(1-tech_proj!V510))</f>
        <v>84.830544640093549</v>
      </c>
      <c r="W1010" s="105">
        <f>IF(tech_base!$T106&gt;W$905,"",W2130+tech_proj!W1630/(1-tech_proj!W510))</f>
        <v>89.201913659213432</v>
      </c>
      <c r="X1010" s="105">
        <f>IF(tech_base!$T106&gt;X$905,"",X2130+tech_proj!X1630/(1-tech_proj!X510))</f>
        <v>93.335121823770834</v>
      </c>
      <c r="Y1010" s="105">
        <f>IF(tech_base!$T106&gt;Y$905,"",Y2130+tech_proj!Y1630/(1-tech_proj!Y510))</f>
        <v>97.2349451029459</v>
      </c>
      <c r="Z1010" s="105">
        <f>IF(tech_base!$T106&gt;Z$905,"",Z2130+tech_proj!Z1630/(1-tech_proj!Z510))</f>
        <v>98.651938187679505</v>
      </c>
      <c r="AA1010" s="105">
        <f>IF(tech_base!$T106&gt;AA$905,"",AA2130+tech_proj!AA1630/(1-tech_proj!AA510))</f>
        <v>99.98141690402808</v>
      </c>
      <c r="AB1010" s="105">
        <f>IF(tech_base!$T106&gt;AB$905,"",AB2130+tech_proj!AB1630/(1-tech_proj!AB510))</f>
        <v>101.4534239746323</v>
      </c>
      <c r="AC1010" s="105">
        <f>IF(tech_base!$T106&gt;AC$905,"",AC2130+tech_proj!AC1630/(1-tech_proj!AC510))</f>
        <v>102.92818772477155</v>
      </c>
      <c r="AD1010" s="105">
        <f>IF(tech_base!$T106&gt;AD$905,"",AD2130+tech_proj!AD1630/(1-tech_proj!AD510))</f>
        <v>105.05823650401231</v>
      </c>
      <c r="AE1010" s="105">
        <f>IF(tech_base!$T106&gt;AE$905,"",AE2130+tech_proj!AE1630/(1-tech_proj!AE510))</f>
        <v>106.4235486500727</v>
      </c>
      <c r="AF1010" s="105">
        <f>IF(tech_base!$T106&gt;AF$905,"",AF2130+tech_proj!AF1630/(1-tech_proj!AF510))</f>
        <v>107.97791797957436</v>
      </c>
      <c r="AG1010" s="105">
        <f>IF(tech_base!$T106&gt;AG$905,"",AG2130+tech_proj!AG1630/(1-tech_proj!AG510))</f>
        <v>109.37499624765871</v>
      </c>
      <c r="AH1010" s="105">
        <f>IF(tech_base!$T106&gt;AH$905,"",AH2130+tech_proj!AH1630/(1-tech_proj!AH510))</f>
        <v>110.64716362472886</v>
      </c>
      <c r="AI1010" s="105">
        <f>IF(tech_base!$T106&gt;AI$905,"",AI2130+tech_proj!AI1630/(1-tech_proj!AI510))</f>
        <v>111.72836640504262</v>
      </c>
      <c r="AJ1010" s="105">
        <f>IF(tech_base!$T106&gt;AJ$905,"",AJ2130+tech_proj!AJ1630/(1-tech_proj!AJ510))</f>
        <v>112.75078017210477</v>
      </c>
      <c r="AK1010" s="105">
        <f>IF(tech_base!$T106&gt;AK$905,"",AK2130+tech_proj!AK1630/(1-tech_proj!AK510))</f>
        <v>113.59291760885249</v>
      </c>
      <c r="AL1010" s="105">
        <f>IF(tech_base!$T106&gt;AL$905,"",AL2130+tech_proj!AL1630/(1-tech_proj!AL510))</f>
        <v>114.41314764453149</v>
      </c>
      <c r="AM1010" s="105">
        <f>IF(tech_base!$T106&gt;AM$905,"",AM2130+tech_proj!AM1630/(1-tech_proj!AM510))</f>
        <v>115.31945404059378</v>
      </c>
      <c r="AN1010" s="105">
        <f>IF(tech_base!$T106&gt;AN$905,"",AN2130+tech_proj!AN1630/(1-tech_proj!AN510))</f>
        <v>115.37748426502803</v>
      </c>
      <c r="AO1010" s="105">
        <f>IF(tech_base!$T106&gt;AO$905,"",AO2130+tech_proj!AO1630/(1-tech_proj!AO510))</f>
        <v>115.69972475911052</v>
      </c>
      <c r="AP1010" s="105">
        <f>IF(tech_base!$T106&gt;AP$905,"",AP2130+tech_proj!AP1630/(1-tech_proj!AP510))</f>
        <v>116.0379557038374</v>
      </c>
      <c r="AQ1010" s="105">
        <f>IF(tech_base!$T106&gt;AQ$905,"",AQ2130+tech_proj!AQ1630/(1-tech_proj!AQ510))</f>
        <v>116.44092263963202</v>
      </c>
      <c r="AR1010" s="105">
        <f>IF(tech_base!$T106&gt;AR$905,"",AR2130+tech_proj!AR1630/(1-tech_proj!AR510))</f>
        <v>117.0290027699326</v>
      </c>
      <c r="AS1010" s="105">
        <f>IF(tech_base!$T106&gt;AS$905,"",AS2130+tech_proj!AS1630/(1-tech_proj!AS510))</f>
        <v>117.76365539621915</v>
      </c>
      <c r="AT1010" s="105">
        <f>IF(tech_base!$T106&gt;AT$905,"",AT2130+tech_proj!AT1630/(1-tech_proj!AT510))</f>
        <v>118.46047973157721</v>
      </c>
      <c r="AU1010" s="105">
        <f>IF(tech_base!$T106&gt;AU$905,"",AU2130+tech_proj!AU1630/(1-tech_proj!AU510))</f>
        <v>119.09184798164947</v>
      </c>
      <c r="AV1010" s="105">
        <f>IF(tech_base!$T106&gt;AV$905,"",AV2130+tech_proj!AV1630/(1-tech_proj!AV510))</f>
        <v>119.60427448954833</v>
      </c>
      <c r="AW1010" s="105">
        <f>IF(tech_base!$T106&gt;AW$905,"",AW2130+tech_proj!AW1630/(1-tech_proj!AW510))</f>
        <v>119.6141803186669</v>
      </c>
      <c r="AX1010" s="106">
        <f>IF(tech_base!$T106&gt;AX$905,"",AX2130+tech_proj!AX1630/(1-tech_proj!AX510))</f>
        <v>119.65616693752281</v>
      </c>
    </row>
    <row r="1011" spans="1:50" x14ac:dyDescent="0.25">
      <c r="A1011" s="356"/>
      <c r="B1011" s="376"/>
      <c r="C1011" s="361" t="s">
        <v>14</v>
      </c>
      <c r="D1011" s="58" t="s">
        <v>7</v>
      </c>
      <c r="E1011" s="164" t="str">
        <f>A989&amp;"/"&amp;B1007&amp;"/"&amp;C1011&amp;"/"&amp;D1011</f>
        <v>Gas fired power plants (Natural gas, biogas)/Steam turbine/CHP/L</v>
      </c>
      <c r="F1011" s="78" t="str">
        <f>A989</f>
        <v>Gas fired power plants (Natural gas, biogas)</v>
      </c>
      <c r="G1011" s="78" t="str">
        <f>B1007</f>
        <v>Steam turbine</v>
      </c>
      <c r="H1011" s="78" t="str">
        <f>C1011</f>
        <v>CHP</v>
      </c>
      <c r="I1011" s="165" t="str">
        <f t="shared" si="368"/>
        <v>L</v>
      </c>
      <c r="J1011" s="109">
        <f>IF(tech_base!$T107&gt;J$905,"",J2131+tech_proj!J1631/(1-tech_proj!J511))</f>
        <v>77.823314827662529</v>
      </c>
      <c r="K1011" s="109">
        <f>IF(tech_base!$T107&gt;K$905,"",K2131+tech_proj!K1631/(1-tech_proj!K511))</f>
        <v>88.539493243493254</v>
      </c>
      <c r="L1011" s="109">
        <f>IF(tech_base!$T107&gt;L$905,"",L2131+tech_proj!L1631/(1-tech_proj!L511))</f>
        <v>98.648218731913559</v>
      </c>
      <c r="M1011" s="109">
        <f>IF(tech_base!$T107&gt;M$905,"",M2131+tech_proj!M1631/(1-tech_proj!M511))</f>
        <v>96.477756644029199</v>
      </c>
      <c r="N1011" s="109">
        <f>IF(tech_base!$T107&gt;N$905,"",N2131+tech_proj!N1631/(1-tech_proj!N511))</f>
        <v>81.826661724724048</v>
      </c>
      <c r="O1011" s="109">
        <f>IF(tech_base!$T107&gt;O$905,"",O2131+tech_proj!O1631/(1-tech_proj!O511))</f>
        <v>69.416043290973391</v>
      </c>
      <c r="P1011" s="109">
        <f>IF(tech_base!$T107&gt;P$905,"",P2131+tech_proj!P1631/(1-tech_proj!P511))</f>
        <v>48.074256887052009</v>
      </c>
      <c r="Q1011" s="109">
        <f>IF(tech_base!$T107&gt;Q$905,"",Q2131+tech_proj!Q1631/(1-tech_proj!Q511))</f>
        <v>55.953163010243713</v>
      </c>
      <c r="R1011" s="109">
        <f>IF(tech_base!$T107&gt;R$905,"",R2131+tech_proj!R1631/(1-tech_proj!R511))</f>
        <v>61.456475802868574</v>
      </c>
      <c r="S1011" s="109">
        <f>IF(tech_base!$T107&gt;S$905,"",S2131+tech_proj!S1631/(1-tech_proj!S511))</f>
        <v>67.009608415616285</v>
      </c>
      <c r="T1011" s="109">
        <f>IF(tech_base!$T107&gt;T$905,"",T2131+tech_proj!T1631/(1-tech_proj!T511))</f>
        <v>72.502187556269206</v>
      </c>
      <c r="U1011" s="109">
        <f>IF(tech_base!$T107&gt;U$905,"",U2131+tech_proj!U1631/(1-tech_proj!U511))</f>
        <v>77.861668252636534</v>
      </c>
      <c r="V1011" s="109">
        <f>IF(tech_base!$T107&gt;V$905,"",V2131+tech_proj!V1631/(1-tech_proj!V511))</f>
        <v>81.360535866516187</v>
      </c>
      <c r="W1011" s="109">
        <f>IF(tech_base!$T107&gt;W$905,"",W2131+tech_proj!W1631/(1-tech_proj!W511))</f>
        <v>85.503313467265741</v>
      </c>
      <c r="X1011" s="109">
        <f>IF(tech_base!$T107&gt;X$905,"",X2131+tech_proj!X1631/(1-tech_proj!X511))</f>
        <v>89.420330413105333</v>
      </c>
      <c r="Y1011" s="109">
        <f>IF(tech_base!$T107&gt;Y$905,"",Y2131+tech_proj!Y1631/(1-tech_proj!Y511))</f>
        <v>93.11611713031995</v>
      </c>
      <c r="Z1011" s="109">
        <f>IF(tech_base!$T107&gt;Z$905,"",Z2131+tech_proj!Z1631/(1-tech_proj!Z511))</f>
        <v>94.458821565208694</v>
      </c>
      <c r="AA1011" s="109">
        <f>IF(tech_base!$T107&gt;AA$905,"",AA2131+tech_proj!AA1631/(1-tech_proj!AA511))</f>
        <v>95.718571541896765</v>
      </c>
      <c r="AB1011" s="109">
        <f>IF(tech_base!$T107&gt;AB$905,"",AB2131+tech_proj!AB1631/(1-tech_proj!AB511))</f>
        <v>97.11338354155005</v>
      </c>
      <c r="AC1011" s="109">
        <f>IF(tech_base!$T107&gt;AC$905,"",AC2131+tech_proj!AC1631/(1-tech_proj!AC511))</f>
        <v>98.51079260270798</v>
      </c>
      <c r="AD1011" s="109">
        <f>IF(tech_base!$T107&gt;AD$905,"",AD2131+tech_proj!AD1631/(1-tech_proj!AD511))</f>
        <v>100.52920304242923</v>
      </c>
      <c r="AE1011" s="109">
        <f>IF(tech_base!$T107&gt;AE$905,"",AE2131+tech_proj!AE1631/(1-tech_proj!AE511))</f>
        <v>101.82285122632489</v>
      </c>
      <c r="AF1011" s="109">
        <f>IF(tech_base!$T107&gt;AF$905,"",AF2131+tech_proj!AF1631/(1-tech_proj!AF511))</f>
        <v>103.29565418111677</v>
      </c>
      <c r="AG1011" s="109">
        <f>IF(tech_base!$T107&gt;AG$905,"",AG2131+tech_proj!AG1631/(1-tech_proj!AG511))</f>
        <v>104.61937870862459</v>
      </c>
      <c r="AH1011" s="109">
        <f>IF(tech_base!$T107&gt;AH$905,"",AH2131+tech_proj!AH1631/(1-tech_proj!AH511))</f>
        <v>105.82471360144685</v>
      </c>
      <c r="AI1011" s="109">
        <f>IF(tech_base!$T107&gt;AI$905,"",AI2131+tech_proj!AI1631/(1-tech_proj!AI511))</f>
        <v>106.84906321757248</v>
      </c>
      <c r="AJ1011" s="109">
        <f>IF(tech_base!$T107&gt;AJ$905,"",AJ2131+tech_proj!AJ1631/(1-tech_proj!AJ511))</f>
        <v>107.8176900476512</v>
      </c>
      <c r="AK1011" s="109">
        <f>IF(tech_base!$T107&gt;AK$905,"",AK2131+tech_proj!AK1631/(1-tech_proj!AK511))</f>
        <v>108.61546532355965</v>
      </c>
      <c r="AL1011" s="109">
        <f>IF(tech_base!$T107&gt;AL$905,"",AL2131+tech_proj!AL1631/(1-tech_proj!AL511))</f>
        <v>109.39247253723539</v>
      </c>
      <c r="AM1011" s="109">
        <f>IF(tech_base!$T107&gt;AM$905,"",AM2131+tech_proj!AM1631/(1-tech_proj!AM511))</f>
        <v>110.25104407639066</v>
      </c>
      <c r="AN1011" s="109">
        <f>IF(tech_base!$T107&gt;AN$905,"",AN2131+tech_proj!AN1631/(1-tech_proj!AN511))</f>
        <v>110.30573489613411</v>
      </c>
      <c r="AO1011" s="109">
        <f>IF(tech_base!$T107&gt;AO$905,"",AO2131+tech_proj!AO1631/(1-tech_proj!AO511))</f>
        <v>110.61080550651576</v>
      </c>
      <c r="AP1011" s="109">
        <f>IF(tech_base!$T107&gt;AP$905,"",AP2131+tech_proj!AP1631/(1-tech_proj!AP511))</f>
        <v>110.9310278221454</v>
      </c>
      <c r="AQ1011" s="109">
        <f>IF(tech_base!$T107&gt;AQ$905,"",AQ2131+tech_proj!AQ1631/(1-tech_proj!AQ511))</f>
        <v>111.31259501046858</v>
      </c>
      <c r="AR1011" s="109">
        <f>IF(tech_base!$T107&gt;AR$905,"",AR2131+tech_proj!AR1631/(1-tech_proj!AR511))</f>
        <v>111.8695801017609</v>
      </c>
      <c r="AS1011" s="109">
        <f>IF(tech_base!$T107&gt;AS$905,"",AS2131+tech_proj!AS1631/(1-tech_proj!AS511))</f>
        <v>112.56545827415081</v>
      </c>
      <c r="AT1011" s="109">
        <f>IF(tech_base!$T107&gt;AT$905,"",AT2131+tech_proj!AT1631/(1-tech_proj!AT511))</f>
        <v>113.22548446761093</v>
      </c>
      <c r="AU1011" s="109">
        <f>IF(tech_base!$T107&gt;AU$905,"",AU2131+tech_proj!AU1631/(1-tech_proj!AU511))</f>
        <v>113.82347863106723</v>
      </c>
      <c r="AV1011" s="109">
        <f>IF(tech_base!$T107&gt;AV$905,"",AV2131+tech_proj!AV1631/(1-tech_proj!AV511))</f>
        <v>114.30875781698802</v>
      </c>
      <c r="AW1011" s="109">
        <f>IF(tech_base!$T107&gt;AW$905,"",AW2131+tech_proj!AW1631/(1-tech_proj!AW511))</f>
        <v>114.31783908472111</v>
      </c>
      <c r="AX1011" s="110">
        <f>IF(tech_base!$T107&gt;AX$905,"",AX2131+tech_proj!AX1631/(1-tech_proj!AX511))</f>
        <v>114.3573225310314</v>
      </c>
    </row>
    <row r="1012" spans="1:50" x14ac:dyDescent="0.25">
      <c r="A1012" s="356"/>
      <c r="B1012" s="376"/>
      <c r="C1012" s="378"/>
      <c r="D1012" s="2" t="s">
        <v>8</v>
      </c>
      <c r="E1012" s="160" t="str">
        <f>A989&amp;"/"&amp;B1007&amp;"/"&amp;C1011&amp;"/"&amp;D1012</f>
        <v>Gas fired power plants (Natural gas, biogas)/Steam turbine/CHP/M</v>
      </c>
      <c r="F1012" s="76" t="str">
        <f>A989</f>
        <v>Gas fired power plants (Natural gas, biogas)</v>
      </c>
      <c r="G1012" s="76" t="str">
        <f>B1007</f>
        <v>Steam turbine</v>
      </c>
      <c r="H1012" s="76" t="str">
        <f>C1011</f>
        <v>CHP</v>
      </c>
      <c r="I1012" s="161" t="str">
        <f t="shared" si="368"/>
        <v>M</v>
      </c>
      <c r="J1012" s="105">
        <f>IF(tech_base!$T108&gt;J$905,"",J2132+tech_proj!J1632/(1-tech_proj!J512))</f>
        <v>81.88616925409174</v>
      </c>
      <c r="K1012" s="105">
        <f>IF(tech_base!$T108&gt;K$905,"",K2132+tech_proj!K1632/(1-tech_proj!K512))</f>
        <v>93.165803447916417</v>
      </c>
      <c r="L1012" s="105">
        <f>IF(tech_base!$T108&gt;L$905,"",L2132+tech_proj!L1632/(1-tech_proj!L512))</f>
        <v>103.80619766225</v>
      </c>
      <c r="M1012" s="105">
        <f>IF(tech_base!$T108&gt;M$905,"",M2132+tech_proj!M1632/(1-tech_proj!M512))</f>
        <v>101.52202279858115</v>
      </c>
      <c r="N1012" s="105">
        <f>IF(tech_base!$T108&gt;N$905,"",N2132+tech_proj!N1632/(1-tech_proj!N512))</f>
        <v>86.100995340745044</v>
      </c>
      <c r="O1012" s="105">
        <f>IF(tech_base!$T108&gt;O$905,"",O2132+tech_proj!O1632/(1-tech_proj!O512))</f>
        <v>73.038058096929021</v>
      </c>
      <c r="P1012" s="105">
        <f>IF(tech_base!$T108&gt;P$905,"",P2132+tech_proj!P1632/(1-tech_proj!P512))</f>
        <v>50.574106240420178</v>
      </c>
      <c r="Q1012" s="105">
        <f>IF(tech_base!$T108&gt;Q$905,"",Q2132+tech_proj!Q1632/(1-tech_proj!Q512))</f>
        <v>58.867452115165108</v>
      </c>
      <c r="R1012" s="105">
        <f>IF(tech_base!$T108&gt;R$905,"",R2132+tech_proj!R1632/(1-tech_proj!R512))</f>
        <v>64.660341631966205</v>
      </c>
      <c r="S1012" s="105">
        <f>IF(tech_base!$T108&gt;S$905,"",S2132+tech_proj!S1632/(1-tech_proj!S512))</f>
        <v>70.505737855017145</v>
      </c>
      <c r="T1012" s="105">
        <f>IF(tech_base!$T108&gt;T$905,"",T2132+tech_proj!T1632/(1-tech_proj!T512))</f>
        <v>76.287459659693866</v>
      </c>
      <c r="U1012" s="105">
        <f>IF(tech_base!$T108&gt;U$905,"",U2132+tech_proj!U1632/(1-tech_proj!U512))</f>
        <v>81.929142134786787</v>
      </c>
      <c r="V1012" s="105">
        <f>IF(tech_base!$T108&gt;V$905,"",V2132+tech_proj!V1632/(1-tech_proj!V512))</f>
        <v>85.61235510783321</v>
      </c>
      <c r="W1012" s="105">
        <f>IF(tech_base!$T108&gt;W$905,"",W2132+tech_proj!W1632/(1-tech_proj!W512))</f>
        <v>89.973404799035748</v>
      </c>
      <c r="X1012" s="105">
        <f>IF(tech_base!$T108&gt;X$905,"",X2132+tech_proj!X1632/(1-tech_proj!X512))</f>
        <v>94.096853620076445</v>
      </c>
      <c r="Y1012" s="105">
        <f>IF(tech_base!$T108&gt;Y$905,"",Y2132+tech_proj!Y1632/(1-tech_proj!Y512))</f>
        <v>97.987465637961051</v>
      </c>
      <c r="Z1012" s="105">
        <f>IF(tech_base!$T108&gt;Z$905,"",Z2132+tech_proj!Z1632/(1-tech_proj!Z512))</f>
        <v>99.401146030978751</v>
      </c>
      <c r="AA1012" s="105">
        <f>IF(tech_base!$T108&gt;AA$905,"",AA2132+tech_proj!AA1632/(1-tech_proj!AA512))</f>
        <v>100.72751396311494</v>
      </c>
      <c r="AB1012" s="105">
        <f>IF(tech_base!$T108&gt;AB$905,"",AB2132+tech_proj!AB1632/(1-tech_proj!AB512))</f>
        <v>102.19606480374208</v>
      </c>
      <c r="AC1012" s="105">
        <f>IF(tech_base!$T108&gt;AC$905,"",AC2132+tech_proj!AC1632/(1-tech_proj!AC512))</f>
        <v>103.66735929119736</v>
      </c>
      <c r="AD1012" s="105">
        <f>IF(tech_base!$T108&gt;AD$905,"",AD2132+tech_proj!AD1632/(1-tech_proj!AD512))</f>
        <v>105.79237236638816</v>
      </c>
      <c r="AE1012" s="105">
        <f>IF(tech_base!$T108&gt;AE$905,"",AE2132+tech_proj!AE1632/(1-tech_proj!AE512))</f>
        <v>107.15446237832298</v>
      </c>
      <c r="AF1012" s="105">
        <f>IF(tech_base!$T108&gt;AF$905,"",AF2132+tech_proj!AF1632/(1-tech_proj!AF512))</f>
        <v>108.70515278379136</v>
      </c>
      <c r="AG1012" s="105">
        <f>IF(tech_base!$T108&gt;AG$905,"",AG2132+tech_proj!AG1632/(1-tech_proj!AG512))</f>
        <v>110.09892007434163</v>
      </c>
      <c r="AH1012" s="105">
        <f>IF(tech_base!$T108&gt;AH$905,"",AH2132+tech_proj!AH1632/(1-tech_proj!AH512))</f>
        <v>111.36806756185341</v>
      </c>
      <c r="AI1012" s="105">
        <f>IF(tech_base!$T108&gt;AI$905,"",AI2132+tech_proj!AI1632/(1-tech_proj!AI512))</f>
        <v>112.44669928238672</v>
      </c>
      <c r="AJ1012" s="105">
        <f>IF(tech_base!$T108&gt;AJ$905,"",AJ2132+tech_proj!AJ1632/(1-tech_proj!AJ512))</f>
        <v>113.46667610882278</v>
      </c>
      <c r="AK1012" s="105">
        <f>IF(tech_base!$T108&gt;AK$905,"",AK2132+tech_proj!AK1632/(1-tech_proj!AK512))</f>
        <v>114.30680072226087</v>
      </c>
      <c r="AL1012" s="105">
        <f>IF(tech_base!$T108&gt;AL$905,"",AL2132+tech_proj!AL1632/(1-tech_proj!AL512))</f>
        <v>115.12506466552422</v>
      </c>
      <c r="AM1012" s="105">
        <f>IF(tech_base!$T108&gt;AM$905,"",AM2132+tech_proj!AM1632/(1-tech_proj!AM512))</f>
        <v>116.02919406328137</v>
      </c>
      <c r="AN1012" s="105">
        <f>IF(tech_base!$T108&gt;AN$905,"",AN2132+tech_proj!AN1632/(1-tech_proj!AN512))</f>
        <v>116.08706759935792</v>
      </c>
      <c r="AO1012" s="105">
        <f>IF(tech_base!$T108&gt;AO$905,"",AO2132+tech_proj!AO1632/(1-tech_proj!AO512))</f>
        <v>116.40851640121299</v>
      </c>
      <c r="AP1012" s="105">
        <f>IF(tech_base!$T108&gt;AP$905,"",AP2132+tech_proj!AP1632/(1-tech_proj!AP512))</f>
        <v>116.74591329088784</v>
      </c>
      <c r="AQ1012" s="105">
        <f>IF(tech_base!$T108&gt;AQ$905,"",AQ2132+tech_proj!AQ1632/(1-tech_proj!AQ512))</f>
        <v>117.1478873352891</v>
      </c>
      <c r="AR1012" s="105">
        <f>IF(tech_base!$T108&gt;AR$905,"",AR2132+tech_proj!AR1632/(1-tech_proj!AR512))</f>
        <v>117.73452769963073</v>
      </c>
      <c r="AS1012" s="105">
        <f>IF(tech_base!$T108&gt;AS$905,"",AS2132+tech_proj!AS1632/(1-tech_proj!AS512))</f>
        <v>118.46738544928779</v>
      </c>
      <c r="AT1012" s="105">
        <f>IF(tech_base!$T108&gt;AT$905,"",AT2132+tech_proj!AT1632/(1-tech_proj!AT512))</f>
        <v>119.16250094260865</v>
      </c>
      <c r="AU1012" s="105">
        <f>IF(tech_base!$T108&gt;AU$905,"",AU2132+tech_proj!AU1632/(1-tech_proj!AU512))</f>
        <v>119.79231279116644</v>
      </c>
      <c r="AV1012" s="105">
        <f>IF(tech_base!$T108&gt;AV$905,"",AV2132+tech_proj!AV1632/(1-tech_proj!AV512))</f>
        <v>120.30346384516841</v>
      </c>
      <c r="AW1012" s="105">
        <f>IF(tech_base!$T108&gt;AW$905,"",AW2132+tech_proj!AW1632/(1-tech_proj!AW512))</f>
        <v>120.31329541183764</v>
      </c>
      <c r="AX1012" s="106">
        <f>IF(tech_base!$T108&gt;AX$905,"",AX2132+tech_proj!AX1632/(1-tech_proj!AX512))</f>
        <v>120.3551283661053</v>
      </c>
    </row>
    <row r="1013" spans="1:50" x14ac:dyDescent="0.25">
      <c r="A1013" s="356"/>
      <c r="B1013" s="376"/>
      <c r="C1013" s="378"/>
      <c r="D1013" s="2" t="s">
        <v>10</v>
      </c>
      <c r="E1013" s="160" t="str">
        <f>A989&amp;"/"&amp;B1007&amp;"/"&amp;C1011&amp;"/"&amp;D1013</f>
        <v>Gas fired power plants (Natural gas, biogas)/Steam turbine/CHP/S</v>
      </c>
      <c r="F1013" s="76" t="str">
        <f>A989</f>
        <v>Gas fired power plants (Natural gas, biogas)</v>
      </c>
      <c r="G1013" s="76" t="str">
        <f>B1007</f>
        <v>Steam turbine</v>
      </c>
      <c r="H1013" s="76" t="str">
        <f>C1011</f>
        <v>CHP</v>
      </c>
      <c r="I1013" s="161" t="str">
        <f t="shared" si="368"/>
        <v>S</v>
      </c>
      <c r="J1013" s="105">
        <f>IF(tech_base!$T109&gt;J$905,"",J2133+tech_proj!J1633/(1-tech_proj!J513))</f>
        <v>86.999021708989844</v>
      </c>
      <c r="K1013" s="105">
        <f>IF(tech_base!$T109&gt;K$905,"",K2133+tech_proj!K1633/(1-tech_proj!K513))</f>
        <v>98.873156411342961</v>
      </c>
      <c r="L1013" s="105">
        <f>IF(tech_base!$T109&gt;L$905,"",L2133+tech_proj!L1633/(1-tech_proj!L513))</f>
        <v>110.07445272882482</v>
      </c>
      <c r="M1013" s="105">
        <f>IF(tech_base!$T109&gt;M$905,"",M2133+tech_proj!M1633/(1-tech_proj!M513))</f>
        <v>107.67019608582244</v>
      </c>
      <c r="N1013" s="105">
        <f>IF(tech_base!$T109&gt;N$905,"",N2133+tech_proj!N1633/(1-tech_proj!N513))</f>
        <v>91.436768685859164</v>
      </c>
      <c r="O1013" s="105">
        <f>IF(tech_base!$T109&gt;O$905,"",O2133+tech_proj!O1633/(1-tech_proj!O513))</f>
        <v>77.685590610688948</v>
      </c>
      <c r="P1013" s="105">
        <f>IF(tech_base!$T109&gt;P$905,"",P2133+tech_proj!P1633/(1-tech_proj!P513))</f>
        <v>54.037808529354002</v>
      </c>
      <c r="Q1013" s="105">
        <f>IF(tech_base!$T109&gt;Q$905,"",Q2133+tech_proj!Q1633/(1-tech_proj!Q513))</f>
        <v>62.768369133059018</v>
      </c>
      <c r="R1013" s="105">
        <f>IF(tech_base!$T109&gt;R$905,"",R2133+tech_proj!R1633/(1-tech_proj!R513))</f>
        <v>68.866723313254809</v>
      </c>
      <c r="S1013" s="105">
        <f>IF(tech_base!$T109&gt;S$905,"",S2133+tech_proj!S1633/(1-tech_proj!S513))</f>
        <v>75.020390541505478</v>
      </c>
      <c r="T1013" s="105">
        <f>IF(tech_base!$T109&gt;T$905,"",T2133+tech_proj!T1633/(1-tech_proj!T513))</f>
        <v>81.10706420936333</v>
      </c>
      <c r="U1013" s="105">
        <f>IF(tech_base!$T109&gt;U$905,"",U2133+tech_proj!U1633/(1-tech_proj!U513))</f>
        <v>87.046351610044312</v>
      </c>
      <c r="V1013" s="105">
        <f>IF(tech_base!$T109&gt;V$905,"",V2133+tech_proj!V1633/(1-tech_proj!V513))</f>
        <v>90.923940385270868</v>
      </c>
      <c r="W1013" s="105">
        <f>IF(tech_base!$T109&gt;W$905,"",W2133+tech_proj!W1633/(1-tech_proj!W513))</f>
        <v>95.515129207125256</v>
      </c>
      <c r="X1013" s="105">
        <f>IF(tech_base!$T109&gt;X$905,"",X2133+tech_proj!X1633/(1-tech_proj!X513))</f>
        <v>99.856212501039082</v>
      </c>
      <c r="Y1013" s="105">
        <f>IF(tech_base!$T109&gt;Y$905,"",Y2133+tech_proj!Y1633/(1-tech_proj!Y513))</f>
        <v>103.95220269372385</v>
      </c>
      <c r="Z1013" s="105">
        <f>IF(tech_base!$T109&gt;Z$905,"",Z2133+tech_proj!Z1633/(1-tech_proj!Z513))</f>
        <v>105.44065000802482</v>
      </c>
      <c r="AA1013" s="105">
        <f>IF(tech_base!$T109&gt;AA$905,"",AA2133+tech_proj!AA1633/(1-tech_proj!AA513))</f>
        <v>106.83718482810521</v>
      </c>
      <c r="AB1013" s="105">
        <f>IF(tech_base!$T109&gt;AB$905,"",AB2133+tech_proj!AB1633/(1-tech_proj!AB513))</f>
        <v>108.38340640516071</v>
      </c>
      <c r="AC1013" s="105">
        <f>IF(tech_base!$T109&gt;AC$905,"",AC2133+tech_proj!AC1633/(1-tech_proj!AC513))</f>
        <v>109.93252138987127</v>
      </c>
      <c r="AD1013" s="105">
        <f>IF(tech_base!$T109&gt;AD$905,"",AD2133+tech_proj!AD1633/(1-tech_proj!AD513))</f>
        <v>112.16984431462328</v>
      </c>
      <c r="AE1013" s="105">
        <f>IF(tech_base!$T109&gt;AE$905,"",AE2133+tech_proj!AE1633/(1-tech_proj!AE513))</f>
        <v>113.6040053099037</v>
      </c>
      <c r="AF1013" s="105">
        <f>IF(tech_base!$T109&gt;AF$905,"",AF2133+tech_proj!AF1633/(1-tech_proj!AF513))</f>
        <v>115.23672058868054</v>
      </c>
      <c r="AG1013" s="105">
        <f>IF(tech_base!$T109&gt;AG$905,"",AG2133+tech_proj!AG1633/(1-tech_proj!AG513))</f>
        <v>116.70423836894987</v>
      </c>
      <c r="AH1013" s="105">
        <f>IF(tech_base!$T109&gt;AH$905,"",AH2133+tech_proj!AH1633/(1-tech_proj!AH513))</f>
        <v>118.04056492683782</v>
      </c>
      <c r="AI1013" s="105">
        <f>IF(tech_base!$T109&gt;AI$905,"",AI2133+tech_proj!AI1633/(1-tech_proj!AI513))</f>
        <v>119.17632617129078</v>
      </c>
      <c r="AJ1013" s="105">
        <f>IF(tech_base!$T109&gt;AJ$905,"",AJ2133+tech_proj!AJ1633/(1-tech_proj!AJ513))</f>
        <v>120.25033934458911</v>
      </c>
      <c r="AK1013" s="105">
        <f>IF(tech_base!$T109&gt;AK$905,"",AK2133+tech_proj!AK1633/(1-tech_proj!AK513))</f>
        <v>121.13501098951686</v>
      </c>
      <c r="AL1013" s="105">
        <f>IF(tech_base!$T109&gt;AL$905,"",AL2133+tech_proj!AL1633/(1-tech_proj!AL513))</f>
        <v>121.99666884188517</v>
      </c>
      <c r="AM1013" s="105">
        <f>IF(tech_base!$T109&gt;AM$905,"",AM2133+tech_proj!AM1633/(1-tech_proj!AM513))</f>
        <v>122.94872406852005</v>
      </c>
      <c r="AN1013" s="105">
        <f>IF(tech_base!$T109&gt;AN$905,"",AN2133+tech_proj!AN1633/(1-tech_proj!AN513))</f>
        <v>123.00986085151636</v>
      </c>
      <c r="AO1013" s="105">
        <f>IF(tech_base!$T109&gt;AO$905,"",AO2133+tech_proj!AO1633/(1-tech_proj!AO513))</f>
        <v>123.34848101082625</v>
      </c>
      <c r="AP1013" s="105">
        <f>IF(tech_base!$T109&gt;AP$905,"",AP2133+tech_proj!AP1633/(1-tech_proj!AP513))</f>
        <v>123.70388894428983</v>
      </c>
      <c r="AQ1013" s="105">
        <f>IF(tech_base!$T109&gt;AQ$905,"",AQ2133+tech_proj!AQ1633/(1-tech_proj!AQ513))</f>
        <v>124.12728070981925</v>
      </c>
      <c r="AR1013" s="105">
        <f>IF(tech_base!$T109&gt;AR$905,"",AR2133+tech_proj!AR1633/(1-tech_proj!AR513))</f>
        <v>124.74508505537763</v>
      </c>
      <c r="AS1013" s="105">
        <f>IF(tech_base!$T109&gt;AS$905,"",AS2133+tech_proj!AS1633/(1-tech_proj!AS513))</f>
        <v>125.516824602258</v>
      </c>
      <c r="AT1013" s="105">
        <f>IF(tech_base!$T109&gt;AT$905,"",AT2133+tech_proj!AT1633/(1-tech_proj!AT513))</f>
        <v>126.24882918923103</v>
      </c>
      <c r="AU1013" s="105">
        <f>IF(tech_base!$T109&gt;AU$905,"",AU2133+tech_proj!AU1633/(1-tech_proj!AU513))</f>
        <v>126.9120820931189</v>
      </c>
      <c r="AV1013" s="105">
        <f>IF(tech_base!$T109&gt;AV$905,"",AV2133+tech_proj!AV1633/(1-tech_proj!AV513))</f>
        <v>127.45040870509669</v>
      </c>
      <c r="AW1013" s="105">
        <f>IF(tech_base!$T109&gt;AW$905,"",AW2133+tech_proj!AW1633/(1-tech_proj!AW513))</f>
        <v>127.46094611003699</v>
      </c>
      <c r="AX1013" s="106">
        <f>IF(tech_base!$T109&gt;AX$905,"",AX2133+tech_proj!AX1633/(1-tech_proj!AX513))</f>
        <v>127.50517127125445</v>
      </c>
    </row>
    <row r="1014" spans="1:50" x14ac:dyDescent="0.25">
      <c r="A1014" s="356"/>
      <c r="B1014" s="376"/>
      <c r="C1014" s="379"/>
      <c r="D1014" s="59" t="s">
        <v>20</v>
      </c>
      <c r="E1014" s="166" t="str">
        <f>A989&amp;"/"&amp;B1007&amp;"/"&amp;C1011&amp;"/"&amp;D1014</f>
        <v>Gas fired power plants (Natural gas, biogas)/Steam turbine/CHP/XS</v>
      </c>
      <c r="F1014" s="79" t="str">
        <f>A989</f>
        <v>Gas fired power plants (Natural gas, biogas)</v>
      </c>
      <c r="G1014" s="79" t="str">
        <f>B1007</f>
        <v>Steam turbine</v>
      </c>
      <c r="H1014" s="79" t="str">
        <f>C1011</f>
        <v>CHP</v>
      </c>
      <c r="I1014" s="167" t="str">
        <f t="shared" si="368"/>
        <v>XS</v>
      </c>
      <c r="J1014" s="111">
        <f>IF(tech_base!$T110&gt;J$905,"",J2134+tech_proj!J1634/(1-tech_proj!J514))</f>
        <v>92.073498302310043</v>
      </c>
      <c r="K1014" s="111">
        <f>IF(tech_base!$T110&gt;K$905,"",K2134+tech_proj!K1634/(1-tech_proj!K514))</f>
        <v>104.57504411004912</v>
      </c>
      <c r="L1014" s="111">
        <f>IF(tech_base!$T110&gt;L$905,"",L2134+tech_proj!L1634/(1-tech_proj!L514))</f>
        <v>116.36827499176172</v>
      </c>
      <c r="M1014" s="111">
        <f>IF(tech_base!$T110&gt;M$905,"",M2134+tech_proj!M1634/(1-tech_proj!M514))</f>
        <v>113.8371767472707</v>
      </c>
      <c r="N1014" s="111">
        <f>IF(tech_base!$T110&gt;N$905,"",N2134+tech_proj!N1634/(1-tech_proj!N514))</f>
        <v>96.746194129507003</v>
      </c>
      <c r="O1014" s="111">
        <f>IF(tech_base!$T110&gt;O$905,"",O2134+tech_proj!O1634/(1-tech_proj!O514))</f>
        <v>82.268526261728169</v>
      </c>
      <c r="P1014" s="111">
        <f>IF(tech_base!$T110&gt;P$905,"",P2134+tech_proj!P1634/(1-tech_proj!P514))</f>
        <v>57.371206822070086</v>
      </c>
      <c r="Q1014" s="111">
        <f>IF(tech_base!$T110&gt;Q$905,"",Q2134+tech_proj!Q1634/(1-tech_proj!Q514))</f>
        <v>66.563157889035807</v>
      </c>
      <c r="R1014" s="111">
        <f>IF(tech_base!$T110&gt;R$905,"",R2134+tech_proj!R1634/(1-tech_proj!R514))</f>
        <v>72.983841856200385</v>
      </c>
      <c r="S1014" s="111">
        <f>IF(tech_base!$T110&gt;S$905,"",S2134+tech_proj!S1634/(1-tech_proj!S514))</f>
        <v>79.462794592325466</v>
      </c>
      <c r="T1014" s="111">
        <f>IF(tech_base!$T110&gt;T$905,"",T2134+tech_proj!T1634/(1-tech_proj!T514))</f>
        <v>85.871244704957519</v>
      </c>
      <c r="U1014" s="111">
        <f>IF(tech_base!$T110&gt;U$905,"",U2134+tech_proj!U1634/(1-tech_proj!U514))</f>
        <v>92.124548849837922</v>
      </c>
      <c r="V1014" s="111">
        <f>IF(tech_base!$T110&gt;V$905,"",V2134+tech_proj!V1634/(1-tech_proj!V514))</f>
        <v>96.207203702298244</v>
      </c>
      <c r="W1014" s="111">
        <f>IF(tech_base!$T110&gt;W$905,"",W2134+tech_proj!W1634/(1-tech_proj!W514))</f>
        <v>101.04119862275745</v>
      </c>
      <c r="X1014" s="111">
        <f>IF(tech_base!$T110&gt;X$905,"",X2134+tech_proj!X1634/(1-tech_proj!X514))</f>
        <v>105.61188733475333</v>
      </c>
      <c r="Y1014" s="111">
        <f>IF(tech_base!$T110&gt;Y$905,"",Y2134+tech_proj!Y1634/(1-tech_proj!Y514))</f>
        <v>109.9245448588114</v>
      </c>
      <c r="Z1014" s="111">
        <f>IF(tech_base!$T110&gt;Z$905,"",Z2134+tech_proj!Z1634/(1-tech_proj!Z514))</f>
        <v>111.49181861354977</v>
      </c>
      <c r="AA1014" s="111">
        <f>IF(tech_base!$T110&gt;AA$905,"",AA2134+tech_proj!AA1634/(1-tech_proj!AA514))</f>
        <v>112.96232501341976</v>
      </c>
      <c r="AB1014" s="111">
        <f>IF(tech_base!$T110&gt;AB$905,"",AB2134+tech_proj!AB1634/(1-tech_proj!AB514))</f>
        <v>114.59043678002938</v>
      </c>
      <c r="AC1014" s="111">
        <f>IF(tech_base!$T110&gt;AC$905,"",AC2134+tech_proj!AC1634/(1-tech_proj!AC514))</f>
        <v>116.22159960486016</v>
      </c>
      <c r="AD1014" s="111">
        <f>IF(tech_base!$T110&gt;AD$905,"",AD2134+tech_proj!AD1634/(1-tech_proj!AD514))</f>
        <v>118.57736613490223</v>
      </c>
      <c r="AE1014" s="111">
        <f>IF(tech_base!$T110&gt;AE$905,"",AE2134+tech_proj!AE1634/(1-tech_proj!AE514))</f>
        <v>120.08750656496478</v>
      </c>
      <c r="AF1014" s="111">
        <f>IF(tech_base!$T110&gt;AF$905,"",AF2134+tech_proj!AF1634/(1-tech_proj!AF514))</f>
        <v>121.80670506289324</v>
      </c>
      <c r="AG1014" s="111">
        <f>IF(tech_base!$T110&gt;AG$905,"",AG2134+tech_proj!AG1634/(1-tech_proj!AG514))</f>
        <v>123.35197406445791</v>
      </c>
      <c r="AH1014" s="111">
        <f>IF(tech_base!$T110&gt;AH$905,"",AH2134+tech_proj!AH1634/(1-tech_proj!AH514))</f>
        <v>124.75911715193476</v>
      </c>
      <c r="AI1014" s="111">
        <f>IF(tech_base!$T110&gt;AI$905,"",AI2134+tech_proj!AI1634/(1-tech_proj!AI514))</f>
        <v>125.95509018690828</v>
      </c>
      <c r="AJ1014" s="111">
        <f>IF(tech_base!$T110&gt;AJ$905,"",AJ2134+tech_proj!AJ1634/(1-tech_proj!AJ514))</f>
        <v>127.0860512633575</v>
      </c>
      <c r="AK1014" s="111">
        <f>IF(tech_base!$T110&gt;AK$905,"",AK2134+tech_proj!AK1634/(1-tech_proj!AK514))</f>
        <v>128.01765769203118</v>
      </c>
      <c r="AL1014" s="111">
        <f>IF(tech_base!$T110&gt;AL$905,"",AL2134+tech_proj!AL1634/(1-tech_proj!AL514))</f>
        <v>128.92503390748431</v>
      </c>
      <c r="AM1014" s="111">
        <f>IF(tech_base!$T110&gt;AM$905,"",AM2134+tech_proj!AM1634/(1-tech_proj!AM514))</f>
        <v>129.92758997217123</v>
      </c>
      <c r="AN1014" s="111">
        <f>IF(tech_base!$T110&gt;AN$905,"",AN2134+tech_proj!AN1634/(1-tech_proj!AN514))</f>
        <v>129.99210030384569</v>
      </c>
      <c r="AO1014" s="111">
        <f>IF(tech_base!$T110&gt;AO$905,"",AO2134+tech_proj!AO1634/(1-tech_proj!AO514))</f>
        <v>130.34877071147608</v>
      </c>
      <c r="AP1014" s="111">
        <f>IF(tech_base!$T110&gt;AP$905,"",AP2134+tech_proj!AP1634/(1-tech_proj!AP514))</f>
        <v>130.72311575047257</v>
      </c>
      <c r="AQ1014" s="111">
        <f>IF(tech_base!$T110&gt;AQ$905,"",AQ2134+tech_proj!AQ1634/(1-tech_proj!AQ514))</f>
        <v>131.16904005201687</v>
      </c>
      <c r="AR1014" s="111">
        <f>IF(tech_base!$T110&gt;AR$905,"",AR2134+tech_proj!AR1634/(1-tech_proj!AR514))</f>
        <v>131.81966153292817</v>
      </c>
      <c r="AS1014" s="111">
        <f>IF(tech_base!$T110&gt;AS$905,"",AS2134+tech_proj!AS1634/(1-tech_proj!AS514))</f>
        <v>132.63236225612491</v>
      </c>
      <c r="AT1014" s="111">
        <f>IF(tech_base!$T110&gt;AT$905,"",AT2134+tech_proj!AT1634/(1-tech_proj!AT514))</f>
        <v>133.40322589606515</v>
      </c>
      <c r="AU1014" s="111">
        <f>IF(tech_base!$T110&gt;AU$905,"",AU2134+tech_proj!AU1634/(1-tech_proj!AU514))</f>
        <v>134.10170020404658</v>
      </c>
      <c r="AV1014" s="111">
        <f>IF(tech_base!$T110&gt;AV$905,"",AV2134+tech_proj!AV1634/(1-tech_proj!AV514))</f>
        <v>134.66863787694112</v>
      </c>
      <c r="AW1014" s="111">
        <f>IF(tech_base!$T110&gt;AW$905,"",AW2134+tech_proj!AW1634/(1-tech_proj!AW514))</f>
        <v>134.67985829761707</v>
      </c>
      <c r="AX1014" s="112">
        <f>IF(tech_base!$T110&gt;AX$905,"",AX2134+tech_proj!AX1634/(1-tech_proj!AX514))</f>
        <v>134.72654681694655</v>
      </c>
    </row>
    <row r="1015" spans="1:50" x14ac:dyDescent="0.25">
      <c r="A1015" s="356"/>
      <c r="B1015" s="376"/>
      <c r="C1015" s="361" t="s">
        <v>15</v>
      </c>
      <c r="D1015" s="58" t="s">
        <v>7</v>
      </c>
      <c r="E1015" s="164" t="str">
        <f>A989&amp;"/"&amp;B1007&amp;"/"&amp;C1015&amp;"/"&amp;D1015</f>
        <v>Gas fired power plants (Natural gas, biogas)/Steam turbine/Electricity only with CCS/L</v>
      </c>
      <c r="F1015" s="78" t="str">
        <f>A989</f>
        <v>Gas fired power plants (Natural gas, biogas)</v>
      </c>
      <c r="G1015" s="78" t="str">
        <f>B1007</f>
        <v>Steam turbine</v>
      </c>
      <c r="H1015" s="78" t="str">
        <f>C1015</f>
        <v>Electricity only with CCS</v>
      </c>
      <c r="I1015" s="165" t="str">
        <f t="shared" si="368"/>
        <v>L</v>
      </c>
      <c r="J1015" s="109" t="str">
        <f>IF(tech_base!$T111&gt;J$905,"",J2135+tech_proj!J1635/(1-tech_proj!J515))</f>
        <v/>
      </c>
      <c r="K1015" s="109" t="str">
        <f>IF(tech_base!$T111&gt;K$905,"",K2135+tech_proj!K1635/(1-tech_proj!K515))</f>
        <v/>
      </c>
      <c r="L1015" s="109" t="str">
        <f>IF(tech_base!$T111&gt;L$905,"",L2135+tech_proj!L1635/(1-tech_proj!L515))</f>
        <v/>
      </c>
      <c r="M1015" s="109" t="str">
        <f>IF(tech_base!$T111&gt;M$905,"",M2135+tech_proj!M1635/(1-tech_proj!M515))</f>
        <v/>
      </c>
      <c r="N1015" s="109" t="str">
        <f>IF(tech_base!$T111&gt;N$905,"",N2135+tech_proj!N1635/(1-tech_proj!N515))</f>
        <v/>
      </c>
      <c r="O1015" s="109" t="str">
        <f>IF(tech_base!$T111&gt;O$905,"",O2135+tech_proj!O1635/(1-tech_proj!O515))</f>
        <v/>
      </c>
      <c r="P1015" s="109" t="str">
        <f>IF(tech_base!$T111&gt;P$905,"",P2135+tech_proj!P1635/(1-tech_proj!P515))</f>
        <v/>
      </c>
      <c r="Q1015" s="109" t="str">
        <f>IF(tech_base!$T111&gt;Q$905,"",Q2135+tech_proj!Q1635/(1-tech_proj!Q515))</f>
        <v/>
      </c>
      <c r="R1015" s="109" t="str">
        <f>IF(tech_base!$T111&gt;R$905,"",R2135+tech_proj!R1635/(1-tech_proj!R515))</f>
        <v/>
      </c>
      <c r="S1015" s="109" t="str">
        <f>IF(tech_base!$T111&gt;S$905,"",S2135+tech_proj!S1635/(1-tech_proj!S515))</f>
        <v/>
      </c>
      <c r="T1015" s="109" t="str">
        <f>IF(tech_base!$T111&gt;T$905,"",T2135+tech_proj!T1635/(1-tech_proj!T515))</f>
        <v/>
      </c>
      <c r="U1015" s="109" t="str">
        <f>IF(tech_base!$T111&gt;U$905,"",U2135+tech_proj!U1635/(1-tech_proj!U515))</f>
        <v/>
      </c>
      <c r="V1015" s="109" t="str">
        <f>IF(tech_base!$T111&gt;V$905,"",V2135+tech_proj!V1635/(1-tech_proj!V515))</f>
        <v/>
      </c>
      <c r="W1015" s="109" t="str">
        <f>IF(tech_base!$T111&gt;W$905,"",W2135+tech_proj!W1635/(1-tech_proj!W515))</f>
        <v/>
      </c>
      <c r="X1015" s="109" t="str">
        <f>IF(tech_base!$T111&gt;X$905,"",X2135+tech_proj!X1635/(1-tech_proj!X515))</f>
        <v/>
      </c>
      <c r="Y1015" s="109" t="str">
        <f>IF(tech_base!$T111&gt;Y$905,"",Y2135+tech_proj!Y1635/(1-tech_proj!Y515))</f>
        <v/>
      </c>
      <c r="Z1015" s="109" t="str">
        <f>IF(tech_base!$T111&gt;Z$905,"",Z2135+tech_proj!Z1635/(1-tech_proj!Z515))</f>
        <v/>
      </c>
      <c r="AA1015" s="109" t="str">
        <f>IF(tech_base!$T111&gt;AA$905,"",AA2135+tech_proj!AA1635/(1-tech_proj!AA515))</f>
        <v/>
      </c>
      <c r="AB1015" s="109" t="str">
        <f>IF(tech_base!$T111&gt;AB$905,"",AB2135+tech_proj!AB1635/(1-tech_proj!AB515))</f>
        <v/>
      </c>
      <c r="AC1015" s="109" t="str">
        <f>IF(tech_base!$T111&gt;AC$905,"",AC2135+tech_proj!AC1635/(1-tech_proj!AC515))</f>
        <v/>
      </c>
      <c r="AD1015" s="109" t="str">
        <f>IF(tech_base!$T111&gt;AD$905,"",AD2135+tech_proj!AD1635/(1-tech_proj!AD515))</f>
        <v/>
      </c>
      <c r="AE1015" s="109">
        <f>IF(tech_base!$T111&gt;AE$905,"",AE2135+tech_proj!AE1635/(1-tech_proj!AE515))</f>
        <v>117.84061533136209</v>
      </c>
      <c r="AF1015" s="109">
        <f>IF(tech_base!$T111&gt;AF$905,"",AF2135+tech_proj!AF1635/(1-tech_proj!AF515))</f>
        <v>119.53932101309063</v>
      </c>
      <c r="AG1015" s="109">
        <f>IF(tech_base!$T111&gt;AG$905,"",AG2135+tech_proj!AG1635/(1-tech_proj!AG515))</f>
        <v>121.06618891683716</v>
      </c>
      <c r="AH1015" s="109">
        <f>IF(tech_base!$T111&gt;AH$905,"",AH2135+tech_proj!AH1635/(1-tech_proj!AH515))</f>
        <v>122.45659187055891</v>
      </c>
      <c r="AI1015" s="109">
        <f>IF(tech_base!$T111&gt;AI$905,"",AI2135+tech_proj!AI1635/(1-tech_proj!AI515))</f>
        <v>123.63836060982253</v>
      </c>
      <c r="AJ1015" s="109">
        <f>IF(tech_base!$T111&gt;AJ$905,"",AJ2135+tech_proj!AJ1635/(1-tech_proj!AJ515))</f>
        <v>124.75589937784653</v>
      </c>
      <c r="AK1015" s="109">
        <f>IF(tech_base!$T111&gt;AK$905,"",AK2135+tech_proj!AK1635/(1-tech_proj!AK515))</f>
        <v>125.67647540737623</v>
      </c>
      <c r="AL1015" s="109">
        <f>IF(tech_base!$T111&gt;AL$905,"",AL2135+tech_proj!AL1635/(1-tech_proj!AL515))</f>
        <v>126.5731128776745</v>
      </c>
      <c r="AM1015" s="109">
        <f>IF(tech_base!$T111&gt;AM$905,"",AM2135+tech_proj!AM1635/(1-tech_proj!AM515))</f>
        <v>127.56379070461473</v>
      </c>
      <c r="AN1015" s="109">
        <f>IF(tech_base!$T111&gt;AN$905,"",AN2135+tech_proj!AN1635/(1-tech_proj!AN515))</f>
        <v>127.62766331967174</v>
      </c>
      <c r="AO1015" s="109">
        <f>IF(tech_base!$T111&gt;AO$905,"",AO2135+tech_proj!AO1635/(1-tech_proj!AO515))</f>
        <v>127.9801937823875</v>
      </c>
      <c r="AP1015" s="109">
        <f>IF(tech_base!$T111&gt;AP$905,"",AP2135+tech_proj!AP1635/(1-tech_proj!AP515))</f>
        <v>128.3501860251522</v>
      </c>
      <c r="AQ1015" s="109">
        <f>IF(tech_base!$T111&gt;AQ$905,"",AQ2135+tech_proj!AQ1635/(1-tech_proj!AQ515))</f>
        <v>128.79089923909396</v>
      </c>
      <c r="AR1015" s="109">
        <f>IF(tech_base!$T111&gt;AR$905,"",AR2135+tech_proj!AR1635/(1-tech_proj!AR515))</f>
        <v>129.43385780316672</v>
      </c>
      <c r="AS1015" s="109">
        <f>IF(tech_base!$T111&gt;AS$905,"",AS2135+tech_proj!AS1635/(1-tech_proj!AS515))</f>
        <v>130.23695510743568</v>
      </c>
      <c r="AT1015" s="109">
        <f>IF(tech_base!$T111&gt;AT$905,"",AT2135+tech_proj!AT1635/(1-tech_proj!AT515))</f>
        <v>130.99871660239722</v>
      </c>
      <c r="AU1015" s="109">
        <f>IF(tech_base!$T111&gt;AU$905,"",AU2135+tech_proj!AU1635/(1-tech_proj!AU515))</f>
        <v>131.68895545086687</v>
      </c>
      <c r="AV1015" s="109">
        <f>IF(tech_base!$T111&gt;AV$905,"",AV2135+tech_proj!AV1635/(1-tech_proj!AV515))</f>
        <v>132.24923175675738</v>
      </c>
      <c r="AW1015" s="109">
        <f>IF(tech_base!$T111&gt;AW$905,"",AW2135+tech_proj!AW1635/(1-tech_proj!AW515))</f>
        <v>132.26043963199902</v>
      </c>
      <c r="AX1015" s="110">
        <f>IF(tech_base!$T111&gt;AX$905,"",AX2135+tech_proj!AX1635/(1-tech_proj!AX515))</f>
        <v>132.30668900014123</v>
      </c>
    </row>
    <row r="1016" spans="1:50" x14ac:dyDescent="0.25">
      <c r="A1016" s="356"/>
      <c r="B1016" s="376"/>
      <c r="C1016" s="379"/>
      <c r="D1016" s="59" t="s">
        <v>8</v>
      </c>
      <c r="E1016" s="166" t="str">
        <f>A989&amp;"/"&amp;B1007&amp;"/"&amp;C1015&amp;"/"&amp;D1016</f>
        <v>Gas fired power plants (Natural gas, biogas)/Steam turbine/Electricity only with CCS/M</v>
      </c>
      <c r="F1016" s="79" t="str">
        <f>A989</f>
        <v>Gas fired power plants (Natural gas, biogas)</v>
      </c>
      <c r="G1016" s="79" t="str">
        <f>B1007</f>
        <v>Steam turbine</v>
      </c>
      <c r="H1016" s="79" t="str">
        <f>C1015</f>
        <v>Electricity only with CCS</v>
      </c>
      <c r="I1016" s="167" t="str">
        <f t="shared" si="368"/>
        <v>M</v>
      </c>
      <c r="J1016" s="111" t="str">
        <f>IF(tech_base!$T112&gt;J$905,"",J2136+tech_proj!J1636/(1-tech_proj!J516))</f>
        <v/>
      </c>
      <c r="K1016" s="111" t="str">
        <f>IF(tech_base!$T112&gt;K$905,"",K2136+tech_proj!K1636/(1-tech_proj!K516))</f>
        <v/>
      </c>
      <c r="L1016" s="111" t="str">
        <f>IF(tech_base!$T112&gt;L$905,"",L2136+tech_proj!L1636/(1-tech_proj!L516))</f>
        <v/>
      </c>
      <c r="M1016" s="111" t="str">
        <f>IF(tech_base!$T112&gt;M$905,"",M2136+tech_proj!M1636/(1-tech_proj!M516))</f>
        <v/>
      </c>
      <c r="N1016" s="111" t="str">
        <f>IF(tech_base!$T112&gt;N$905,"",N2136+tech_proj!N1636/(1-tech_proj!N516))</f>
        <v/>
      </c>
      <c r="O1016" s="111" t="str">
        <f>IF(tech_base!$T112&gt;O$905,"",O2136+tech_proj!O1636/(1-tech_proj!O516))</f>
        <v/>
      </c>
      <c r="P1016" s="111" t="str">
        <f>IF(tech_base!$T112&gt;P$905,"",P2136+tech_proj!P1636/(1-tech_proj!P516))</f>
        <v/>
      </c>
      <c r="Q1016" s="111" t="str">
        <f>IF(tech_base!$T112&gt;Q$905,"",Q2136+tech_proj!Q1636/(1-tech_proj!Q516))</f>
        <v/>
      </c>
      <c r="R1016" s="111" t="str">
        <f>IF(tech_base!$T112&gt;R$905,"",R2136+tech_proj!R1636/(1-tech_proj!R516))</f>
        <v/>
      </c>
      <c r="S1016" s="111" t="str">
        <f>IF(tech_base!$T112&gt;S$905,"",S2136+tech_proj!S1636/(1-tech_proj!S516))</f>
        <v/>
      </c>
      <c r="T1016" s="111" t="str">
        <f>IF(tech_base!$T112&gt;T$905,"",T2136+tech_proj!T1636/(1-tech_proj!T516))</f>
        <v/>
      </c>
      <c r="U1016" s="111" t="str">
        <f>IF(tech_base!$T112&gt;U$905,"",U2136+tech_proj!U1636/(1-tech_proj!U516))</f>
        <v/>
      </c>
      <c r="V1016" s="111" t="str">
        <f>IF(tech_base!$T112&gt;V$905,"",V2136+tech_proj!V1636/(1-tech_proj!V516))</f>
        <v/>
      </c>
      <c r="W1016" s="111" t="str">
        <f>IF(tech_base!$T112&gt;W$905,"",W2136+tech_proj!W1636/(1-tech_proj!W516))</f>
        <v/>
      </c>
      <c r="X1016" s="111" t="str">
        <f>IF(tech_base!$T112&gt;X$905,"",X2136+tech_proj!X1636/(1-tech_proj!X516))</f>
        <v/>
      </c>
      <c r="Y1016" s="111" t="str">
        <f>IF(tech_base!$T112&gt;Y$905,"",Y2136+tech_proj!Y1636/(1-tech_proj!Y516))</f>
        <v/>
      </c>
      <c r="Z1016" s="111" t="str">
        <f>IF(tech_base!$T112&gt;Z$905,"",Z2136+tech_proj!Z1636/(1-tech_proj!Z516))</f>
        <v/>
      </c>
      <c r="AA1016" s="111" t="str">
        <f>IF(tech_base!$T112&gt;AA$905,"",AA2136+tech_proj!AA1636/(1-tech_proj!AA516))</f>
        <v/>
      </c>
      <c r="AB1016" s="111" t="str">
        <f>IF(tech_base!$T112&gt;AB$905,"",AB2136+tech_proj!AB1636/(1-tech_proj!AB516))</f>
        <v/>
      </c>
      <c r="AC1016" s="111" t="str">
        <f>IF(tech_base!$T112&gt;AC$905,"",AC2136+tech_proj!AC1636/(1-tech_proj!AC516))</f>
        <v/>
      </c>
      <c r="AD1016" s="111" t="str">
        <f>IF(tech_base!$T112&gt;AD$905,"",AD2136+tech_proj!AD1636/(1-tech_proj!AD516))</f>
        <v/>
      </c>
      <c r="AE1016" s="111">
        <f>IF(tech_base!$T112&gt;AE$905,"",AE2136+tech_proj!AE1636/(1-tech_proj!AE516))</f>
        <v>126.6024529026971</v>
      </c>
      <c r="AF1016" s="111">
        <f>IF(tech_base!$T112&gt;AF$905,"",AF2136+tech_proj!AF1636/(1-tech_proj!AF516))</f>
        <v>128.41011982122669</v>
      </c>
      <c r="AG1016" s="111">
        <f>IF(tech_base!$T112&gt;AG$905,"",AG2136+tech_proj!AG1636/(1-tech_proj!AG516))</f>
        <v>130.03492665401404</v>
      </c>
      <c r="AH1016" s="111">
        <f>IF(tech_base!$T112&gt;AH$905,"",AH2136+tech_proj!AH1636/(1-tech_proj!AH516))</f>
        <v>131.51451517243893</v>
      </c>
      <c r="AI1016" s="111">
        <f>IF(tech_base!$T112&gt;AI$905,"",AI2136+tech_proj!AI1636/(1-tech_proj!AI516))</f>
        <v>132.772086909731</v>
      </c>
      <c r="AJ1016" s="111">
        <f>IF(tech_base!$T112&gt;AJ$905,"",AJ2136+tech_proj!AJ1636/(1-tech_proj!AJ516))</f>
        <v>133.96130872894321</v>
      </c>
      <c r="AK1016" s="111">
        <f>IF(tech_base!$T112&gt;AK$905,"",AK2136+tech_proj!AK1636/(1-tech_proj!AK516))</f>
        <v>134.94093389442736</v>
      </c>
      <c r="AL1016" s="111">
        <f>IF(tech_base!$T112&gt;AL$905,"",AL2136+tech_proj!AL1636/(1-tech_proj!AL516))</f>
        <v>135.89508499335284</v>
      </c>
      <c r="AM1016" s="111">
        <f>IF(tech_base!$T112&gt;AM$905,"",AM2136+tech_proj!AM1636/(1-tech_proj!AM516))</f>
        <v>136.94930854363753</v>
      </c>
      <c r="AN1016" s="111">
        <f>IF(tech_base!$T112&gt;AN$905,"",AN2136+tech_proj!AN1636/(1-tech_proj!AN516))</f>
        <v>137.0172781833935</v>
      </c>
      <c r="AO1016" s="111">
        <f>IF(tech_base!$T112&gt;AO$905,"",AO2136+tech_proj!AO1636/(1-tech_proj!AO516))</f>
        <v>137.39242124795121</v>
      </c>
      <c r="AP1016" s="111">
        <f>IF(tech_base!$T112&gt;AP$905,"",AP2136+tech_proj!AP1636/(1-tech_proj!AP516))</f>
        <v>137.78614615542179</v>
      </c>
      <c r="AQ1016" s="111">
        <f>IF(tech_base!$T112&gt;AQ$905,"",AQ2136+tech_proj!AQ1636/(1-tech_proj!AQ516))</f>
        <v>138.25512833754453</v>
      </c>
      <c r="AR1016" s="111">
        <f>IF(tech_base!$T112&gt;AR$905,"",AR2136+tech_proj!AR1636/(1-tech_proj!AR516))</f>
        <v>138.93932863119221</v>
      </c>
      <c r="AS1016" s="111">
        <f>IF(tech_base!$T112&gt;AS$905,"",AS2136+tech_proj!AS1636/(1-tech_proj!AS516))</f>
        <v>139.79393955343863</v>
      </c>
      <c r="AT1016" s="111">
        <f>IF(tech_base!$T112&gt;AT$905,"",AT2136+tech_proj!AT1636/(1-tech_proj!AT516))</f>
        <v>140.60456323537656</v>
      </c>
      <c r="AU1016" s="111">
        <f>IF(tech_base!$T112&gt;AU$905,"",AU2136+tech_proj!AU1636/(1-tech_proj!AU516))</f>
        <v>141.33907654494109</v>
      </c>
      <c r="AV1016" s="111">
        <f>IF(tech_base!$T112&gt;AV$905,"",AV2136+tech_proj!AV1636/(1-tech_proj!AV516))</f>
        <v>141.93529103594329</v>
      </c>
      <c r="AW1016" s="111">
        <f>IF(tech_base!$T112&gt;AW$905,"",AW2136+tech_proj!AW1636/(1-tech_proj!AW516))</f>
        <v>141.9472178255686</v>
      </c>
      <c r="AX1016" s="112">
        <f>IF(tech_base!$T112&gt;AX$905,"",AX2136+tech_proj!AX1636/(1-tech_proj!AX516))</f>
        <v>141.99643379846654</v>
      </c>
    </row>
    <row r="1017" spans="1:50" x14ac:dyDescent="0.25">
      <c r="A1017" s="356"/>
      <c r="B1017" s="376"/>
      <c r="C1017" s="361" t="s">
        <v>16</v>
      </c>
      <c r="D1017" s="2" t="s">
        <v>7</v>
      </c>
      <c r="E1017" s="160" t="str">
        <f>A989&amp;"/"&amp;B1007&amp;"/"&amp;C1017&amp;"/"&amp;D1017</f>
        <v>Gas fired power plants (Natural gas, biogas)/Steam turbine/CHP with CCS/L</v>
      </c>
      <c r="F1017" s="76" t="str">
        <f>A989</f>
        <v>Gas fired power plants (Natural gas, biogas)</v>
      </c>
      <c r="G1017" s="76" t="str">
        <f>B1007</f>
        <v>Steam turbine</v>
      </c>
      <c r="H1017" s="76" t="str">
        <f>C1017</f>
        <v>CHP with CCS</v>
      </c>
      <c r="I1017" s="161" t="str">
        <f t="shared" si="368"/>
        <v>L</v>
      </c>
      <c r="J1017" s="105" t="str">
        <f>IF(tech_base!$T113&gt;J$905,"",J2137+tech_proj!J1637/(1-tech_proj!J517))</f>
        <v/>
      </c>
      <c r="K1017" s="105" t="str">
        <f>IF(tech_base!$T113&gt;K$905,"",K2137+tech_proj!K1637/(1-tech_proj!K517))</f>
        <v/>
      </c>
      <c r="L1017" s="105" t="str">
        <f>IF(tech_base!$T113&gt;L$905,"",L2137+tech_proj!L1637/(1-tech_proj!L517))</f>
        <v/>
      </c>
      <c r="M1017" s="105" t="str">
        <f>IF(tech_base!$T113&gt;M$905,"",M2137+tech_proj!M1637/(1-tech_proj!M517))</f>
        <v/>
      </c>
      <c r="N1017" s="105" t="str">
        <f>IF(tech_base!$T113&gt;N$905,"",N2137+tech_proj!N1637/(1-tech_proj!N517))</f>
        <v/>
      </c>
      <c r="O1017" s="105" t="str">
        <f>IF(tech_base!$T113&gt;O$905,"",O2137+tech_proj!O1637/(1-tech_proj!O517))</f>
        <v/>
      </c>
      <c r="P1017" s="105" t="str">
        <f>IF(tech_base!$T113&gt;P$905,"",P2137+tech_proj!P1637/(1-tech_proj!P517))</f>
        <v/>
      </c>
      <c r="Q1017" s="105" t="str">
        <f>IF(tech_base!$T113&gt;Q$905,"",Q2137+tech_proj!Q1637/(1-tech_proj!Q517))</f>
        <v/>
      </c>
      <c r="R1017" s="105" t="str">
        <f>IF(tech_base!$T113&gt;R$905,"",R2137+tech_proj!R1637/(1-tech_proj!R517))</f>
        <v/>
      </c>
      <c r="S1017" s="105" t="str">
        <f>IF(tech_base!$T113&gt;S$905,"",S2137+tech_proj!S1637/(1-tech_proj!S517))</f>
        <v/>
      </c>
      <c r="T1017" s="105" t="str">
        <f>IF(tech_base!$T113&gt;T$905,"",T2137+tech_proj!T1637/(1-tech_proj!T517))</f>
        <v/>
      </c>
      <c r="U1017" s="105" t="str">
        <f>IF(tech_base!$T113&gt;U$905,"",U2137+tech_proj!U1637/(1-tech_proj!U517))</f>
        <v/>
      </c>
      <c r="V1017" s="105" t="str">
        <f>IF(tech_base!$T113&gt;V$905,"",V2137+tech_proj!V1637/(1-tech_proj!V517))</f>
        <v/>
      </c>
      <c r="W1017" s="105" t="str">
        <f>IF(tech_base!$T113&gt;W$905,"",W2137+tech_proj!W1637/(1-tech_proj!W517))</f>
        <v/>
      </c>
      <c r="X1017" s="105" t="str">
        <f>IF(tech_base!$T113&gt;X$905,"",X2137+tech_proj!X1637/(1-tech_proj!X517))</f>
        <v/>
      </c>
      <c r="Y1017" s="105" t="str">
        <f>IF(tech_base!$T113&gt;Y$905,"",Y2137+tech_proj!Y1637/(1-tech_proj!Y517))</f>
        <v/>
      </c>
      <c r="Z1017" s="105" t="str">
        <f>IF(tech_base!$T113&gt;Z$905,"",Z2137+tech_proj!Z1637/(1-tech_proj!Z517))</f>
        <v/>
      </c>
      <c r="AA1017" s="105" t="str">
        <f>IF(tech_base!$T113&gt;AA$905,"",AA2137+tech_proj!AA1637/(1-tech_proj!AA517))</f>
        <v/>
      </c>
      <c r="AB1017" s="105" t="str">
        <f>IF(tech_base!$T113&gt;AB$905,"",AB2137+tech_proj!AB1637/(1-tech_proj!AB517))</f>
        <v/>
      </c>
      <c r="AC1017" s="105" t="str">
        <f>IF(tech_base!$T113&gt;AC$905,"",AC2137+tech_proj!AC1637/(1-tech_proj!AC517))</f>
        <v/>
      </c>
      <c r="AD1017" s="105" t="str">
        <f>IF(tech_base!$T113&gt;AD$905,"",AD2137+tech_proj!AD1637/(1-tech_proj!AD517))</f>
        <v/>
      </c>
      <c r="AE1017" s="105">
        <f>IF(tech_base!$T113&gt;AE$905,"",AE2137+tech_proj!AE1637/(1-tech_proj!AE517))</f>
        <v>134.13246592443684</v>
      </c>
      <c r="AF1017" s="105">
        <f>IF(tech_base!$T113&gt;AF$905,"",AF2137+tech_proj!AF1637/(1-tech_proj!AF517))</f>
        <v>136.0520696141925</v>
      </c>
      <c r="AG1017" s="105">
        <f>IF(tech_base!$T113&gt;AG$905,"",AG2137+tech_proj!AG1637/(1-tech_proj!AG517))</f>
        <v>137.77748991114402</v>
      </c>
      <c r="AH1017" s="105">
        <f>IF(tech_base!$T113&gt;AH$905,"",AH2137+tech_proj!AH1637/(1-tech_proj!AH517))</f>
        <v>139.34869949083739</v>
      </c>
      <c r="AI1017" s="105">
        <f>IF(tech_base!$T113&gt;AI$905,"",AI2137+tech_proj!AI1637/(1-tech_proj!AI517))</f>
        <v>140.68414426901697</v>
      </c>
      <c r="AJ1017" s="105">
        <f>IF(tech_base!$T113&gt;AJ$905,"",AJ2137+tech_proj!AJ1637/(1-tech_proj!AJ517))</f>
        <v>141.94700667397515</v>
      </c>
      <c r="AK1017" s="105">
        <f>IF(tech_base!$T113&gt;AK$905,"",AK2137+tech_proj!AK1637/(1-tech_proj!AK517))</f>
        <v>142.98729350058287</v>
      </c>
      <c r="AL1017" s="105">
        <f>IF(tech_base!$T113&gt;AL$905,"",AL2137+tech_proj!AL1637/(1-tech_proj!AL517))</f>
        <v>144.00052882137504</v>
      </c>
      <c r="AM1017" s="105">
        <f>IF(tech_base!$T113&gt;AM$905,"",AM2137+tech_proj!AM1637/(1-tech_proj!AM517))</f>
        <v>145.12003341384715</v>
      </c>
      <c r="AN1017" s="105">
        <f>IF(tech_base!$T113&gt;AN$905,"",AN2137+tech_proj!AN1637/(1-tech_proj!AN517))</f>
        <v>145.19221196064109</v>
      </c>
      <c r="AO1017" s="105">
        <f>IF(tech_base!$T113&gt;AO$905,"",AO2137+tech_proj!AO1637/(1-tech_proj!AO517))</f>
        <v>145.5905851363238</v>
      </c>
      <c r="AP1017" s="105">
        <f>IF(tech_base!$T113&gt;AP$905,"",AP2137+tech_proj!AP1637/(1-tech_proj!AP517))</f>
        <v>146.00869080467558</v>
      </c>
      <c r="AQ1017" s="105">
        <f>IF(tech_base!$T113&gt;AQ$905,"",AQ2137+tech_proj!AQ1637/(1-tech_proj!AQ517))</f>
        <v>146.50671392940302</v>
      </c>
      <c r="AR1017" s="105">
        <f>IF(tech_base!$T113&gt;AR$905,"",AR2137+tech_proj!AR1637/(1-tech_proj!AR517))</f>
        <v>147.23328218971406</v>
      </c>
      <c r="AS1017" s="105">
        <f>IF(tech_base!$T113&gt;AS$905,"",AS2137+tech_proj!AS1637/(1-tech_proj!AS517))</f>
        <v>148.14081347373192</v>
      </c>
      <c r="AT1017" s="105">
        <f>IF(tech_base!$T113&gt;AT$905,"",AT2137+tech_proj!AT1637/(1-tech_proj!AT517))</f>
        <v>149.00163368065208</v>
      </c>
      <c r="AU1017" s="105">
        <f>IF(tech_base!$T113&gt;AU$905,"",AU2137+tech_proj!AU1637/(1-tech_proj!AU517))</f>
        <v>149.78163050681607</v>
      </c>
      <c r="AV1017" s="105">
        <f>IF(tech_base!$T113&gt;AV$905,"",AV2137+tech_proj!AV1637/(1-tech_proj!AV517))</f>
        <v>150.41476458980549</v>
      </c>
      <c r="AW1017" s="105">
        <f>IF(tech_base!$T113&gt;AW$905,"",AW2137+tech_proj!AW1637/(1-tech_proj!AW517))</f>
        <v>150.42742992606685</v>
      </c>
      <c r="AX1017" s="106">
        <f>IF(tech_base!$T113&gt;AX$905,"",AX2137+tech_proj!AX1637/(1-tech_proj!AX517))</f>
        <v>150.47969351633418</v>
      </c>
    </row>
    <row r="1018" spans="1:50" x14ac:dyDescent="0.25">
      <c r="A1018" s="356"/>
      <c r="B1018" s="380"/>
      <c r="C1018" s="381"/>
      <c r="D1018" s="4" t="s">
        <v>8</v>
      </c>
      <c r="E1018" s="168" t="str">
        <f>A989&amp;"/"&amp;B1007&amp;"/"&amp;C1017&amp;"/"&amp;D1018</f>
        <v>Gas fired power plants (Natural gas, biogas)/Steam turbine/CHP with CCS/M</v>
      </c>
      <c r="F1018" s="80" t="str">
        <f>A989</f>
        <v>Gas fired power plants (Natural gas, biogas)</v>
      </c>
      <c r="G1018" s="80" t="str">
        <f>B1007</f>
        <v>Steam turbine</v>
      </c>
      <c r="H1018" s="80" t="str">
        <f>C1017</f>
        <v>CHP with CCS</v>
      </c>
      <c r="I1018" s="169" t="str">
        <f t="shared" si="368"/>
        <v>M</v>
      </c>
      <c r="J1018" s="113" t="str">
        <f>IF(tech_base!$T114&gt;J$905,"",J2138+tech_proj!J1638/(1-tech_proj!J518))</f>
        <v/>
      </c>
      <c r="K1018" s="113" t="str">
        <f>IF(tech_base!$T114&gt;K$905,"",K2138+tech_proj!K1638/(1-tech_proj!K518))</f>
        <v/>
      </c>
      <c r="L1018" s="113" t="str">
        <f>IF(tech_base!$T114&gt;L$905,"",L2138+tech_proj!L1638/(1-tech_proj!L518))</f>
        <v/>
      </c>
      <c r="M1018" s="113" t="str">
        <f>IF(tech_base!$T114&gt;M$905,"",M2138+tech_proj!M1638/(1-tech_proj!M518))</f>
        <v/>
      </c>
      <c r="N1018" s="113" t="str">
        <f>IF(tech_base!$T114&gt;N$905,"",N2138+tech_proj!N1638/(1-tech_proj!N518))</f>
        <v/>
      </c>
      <c r="O1018" s="113" t="str">
        <f>IF(tech_base!$T114&gt;O$905,"",O2138+tech_proj!O1638/(1-tech_proj!O518))</f>
        <v/>
      </c>
      <c r="P1018" s="113" t="str">
        <f>IF(tech_base!$T114&gt;P$905,"",P2138+tech_proj!P1638/(1-tech_proj!P518))</f>
        <v/>
      </c>
      <c r="Q1018" s="113" t="str">
        <f>IF(tech_base!$T114&gt;Q$905,"",Q2138+tech_proj!Q1638/(1-tech_proj!Q518))</f>
        <v/>
      </c>
      <c r="R1018" s="113" t="str">
        <f>IF(tech_base!$T114&gt;R$905,"",R2138+tech_proj!R1638/(1-tech_proj!R518))</f>
        <v/>
      </c>
      <c r="S1018" s="113" t="str">
        <f>IF(tech_base!$T114&gt;S$905,"",S2138+tech_proj!S1638/(1-tech_proj!S518))</f>
        <v/>
      </c>
      <c r="T1018" s="113" t="str">
        <f>IF(tech_base!$T114&gt;T$905,"",T2138+tech_proj!T1638/(1-tech_proj!T518))</f>
        <v/>
      </c>
      <c r="U1018" s="113" t="str">
        <f>IF(tech_base!$T114&gt;U$905,"",U2138+tech_proj!U1638/(1-tech_proj!U518))</f>
        <v/>
      </c>
      <c r="V1018" s="113" t="str">
        <f>IF(tech_base!$T114&gt;V$905,"",V2138+tech_proj!V1638/(1-tech_proj!V518))</f>
        <v/>
      </c>
      <c r="W1018" s="113" t="str">
        <f>IF(tech_base!$T114&gt;W$905,"",W2138+tech_proj!W1638/(1-tech_proj!W518))</f>
        <v/>
      </c>
      <c r="X1018" s="113" t="str">
        <f>IF(tech_base!$T114&gt;X$905,"",X2138+tech_proj!X1638/(1-tech_proj!X518))</f>
        <v/>
      </c>
      <c r="Y1018" s="113" t="str">
        <f>IF(tech_base!$T114&gt;Y$905,"",Y2138+tech_proj!Y1638/(1-tech_proj!Y518))</f>
        <v/>
      </c>
      <c r="Z1018" s="113" t="str">
        <f>IF(tech_base!$T114&gt;Z$905,"",Z2138+tech_proj!Z1638/(1-tech_proj!Z518))</f>
        <v/>
      </c>
      <c r="AA1018" s="113" t="str">
        <f>IF(tech_base!$T114&gt;AA$905,"",AA2138+tech_proj!AA1638/(1-tech_proj!AA518))</f>
        <v/>
      </c>
      <c r="AB1018" s="113" t="str">
        <f>IF(tech_base!$T114&gt;AB$905,"",AB2138+tech_proj!AB1638/(1-tech_proj!AB518))</f>
        <v/>
      </c>
      <c r="AC1018" s="113" t="str">
        <f>IF(tech_base!$T114&gt;AC$905,"",AC2138+tech_proj!AC1638/(1-tech_proj!AC518))</f>
        <v/>
      </c>
      <c r="AD1018" s="113" t="str">
        <f>IF(tech_base!$T114&gt;AD$905,"",AD2138+tech_proj!AD1638/(1-tech_proj!AD518))</f>
        <v/>
      </c>
      <c r="AE1018" s="113">
        <f>IF(tech_base!$T114&gt;AE$905,"",AE2138+tech_proj!AE1638/(1-tech_proj!AE518))</f>
        <v>144.09447867686205</v>
      </c>
      <c r="AF1018" s="113">
        <f>IF(tech_base!$T114&gt;AF$905,"",AF2138+tech_proj!AF1638/(1-tech_proj!AF518))</f>
        <v>146.14079724481138</v>
      </c>
      <c r="AG1018" s="113">
        <f>IF(tech_base!$T114&gt;AG$905,"",AG2138+tech_proj!AG1638/(1-tech_proj!AG518))</f>
        <v>147.98011418820502</v>
      </c>
      <c r="AH1018" s="113">
        <f>IF(tech_base!$T114&gt;AH$905,"",AH2138+tech_proj!AH1638/(1-tech_proj!AH518))</f>
        <v>149.65504081718834</v>
      </c>
      <c r="AI1018" s="113">
        <f>IF(tech_base!$T114&gt;AI$905,"",AI2138+tech_proj!AI1638/(1-tech_proj!AI518))</f>
        <v>151.0786395842899</v>
      </c>
      <c r="AJ1018" s="113">
        <f>IF(tech_base!$T114&gt;AJ$905,"",AJ2138+tech_proj!AJ1638/(1-tech_proj!AJ518))</f>
        <v>152.42486474619298</v>
      </c>
      <c r="AK1018" s="113">
        <f>IF(tech_base!$T114&gt;AK$905,"",AK2138+tech_proj!AK1638/(1-tech_proj!AK518))</f>
        <v>153.53382190263156</v>
      </c>
      <c r="AL1018" s="113">
        <f>IF(tech_base!$T114&gt;AL$905,"",AL2138+tech_proj!AL1638/(1-tech_proj!AL518))</f>
        <v>154.61394185744527</v>
      </c>
      <c r="AM1018" s="113">
        <f>IF(tech_base!$T114&gt;AM$905,"",AM2138+tech_proj!AM1638/(1-tech_proj!AM518))</f>
        <v>155.80734602034923</v>
      </c>
      <c r="AN1018" s="113">
        <f>IF(tech_base!$T114&gt;AN$905,"",AN2138+tech_proj!AN1638/(1-tech_proj!AN518))</f>
        <v>155.88428914215103</v>
      </c>
      <c r="AO1018" s="113">
        <f>IF(tech_base!$T114&gt;AO$905,"",AO2138+tech_proj!AO1638/(1-tech_proj!AO518))</f>
        <v>156.30895931272994</v>
      </c>
      <c r="AP1018" s="113">
        <f>IF(tech_base!$T114&gt;AP$905,"",AP2138+tech_proj!AP1638/(1-tech_proj!AP518))</f>
        <v>156.75466453671919</v>
      </c>
      <c r="AQ1018" s="113">
        <f>IF(tech_base!$T114&gt;AQ$905,"",AQ2138+tech_proj!AQ1638/(1-tech_proj!AQ518))</f>
        <v>157.28556264492588</v>
      </c>
      <c r="AR1018" s="113">
        <f>IF(tech_base!$T114&gt;AR$905,"",AR2138+tech_proj!AR1638/(1-tech_proj!AR518))</f>
        <v>158.06009237202096</v>
      </c>
      <c r="AS1018" s="113">
        <f>IF(tech_base!$T114&gt;AS$905,"",AS2138+tech_proj!AS1638/(1-tech_proj!AS518))</f>
        <v>159.02753066534754</v>
      </c>
      <c r="AT1018" s="113">
        <f>IF(tech_base!$T114&gt;AT$905,"",AT2138+tech_proj!AT1638/(1-tech_proj!AT518))</f>
        <v>159.94517443863643</v>
      </c>
      <c r="AU1018" s="113">
        <f>IF(tech_base!$T114&gt;AU$905,"",AU2138+tech_proj!AU1638/(1-tech_proj!AU518))</f>
        <v>160.77665960239128</v>
      </c>
      <c r="AV1018" s="113">
        <f>IF(tech_base!$T114&gt;AV$905,"",AV2138+tech_proj!AV1638/(1-tech_proj!AV518))</f>
        <v>161.4515874726267</v>
      </c>
      <c r="AW1018" s="113">
        <f>IF(tech_base!$T114&gt;AW$905,"",AW2138+tech_proj!AW1638/(1-tech_proj!AW518))</f>
        <v>161.46508885986577</v>
      </c>
      <c r="AX1018" s="114">
        <f>IF(tech_base!$T114&gt;AX$905,"",AX2138+tech_proj!AX1638/(1-tech_proj!AX518))</f>
        <v>161.5208024197857</v>
      </c>
    </row>
    <row r="1019" spans="1:50" x14ac:dyDescent="0.25">
      <c r="A1019" s="356"/>
      <c r="B1019" s="358" t="s">
        <v>25</v>
      </c>
      <c r="C1019" s="353" t="s">
        <v>6</v>
      </c>
      <c r="D1019" s="3" t="s">
        <v>10</v>
      </c>
      <c r="E1019" s="162" t="str">
        <f>A989&amp;"/"&amp;B1019&amp;"/"&amp;C1019&amp;"/"&amp;D1019</f>
        <v>Gas fired power plants (Natural gas, biogas)/Internal combustion engine/Electricity only/S</v>
      </c>
      <c r="F1019" s="77" t="str">
        <f>A989</f>
        <v>Gas fired power plants (Natural gas, biogas)</v>
      </c>
      <c r="G1019" s="77" t="str">
        <f>B1019</f>
        <v>Internal combustion engine</v>
      </c>
      <c r="H1019" s="77" t="str">
        <f>C1019</f>
        <v>Electricity only</v>
      </c>
      <c r="I1019" s="163" t="str">
        <f t="shared" si="368"/>
        <v>S</v>
      </c>
      <c r="J1019" s="107">
        <f>IF(tech_base!$T115&gt;J$905,"",J2139+tech_proj!J1639/(1-tech_proj!J519))</f>
        <v>82.129285005379728</v>
      </c>
      <c r="K1019" s="107">
        <f>IF(tech_base!$T115&gt;K$905,"",K2139+tech_proj!K1639/(1-tech_proj!K519))</f>
        <v>93.674555909975552</v>
      </c>
      <c r="L1019" s="107">
        <f>IF(tech_base!$T115&gt;L$905,"",L2139+tech_proj!L1639/(1-tech_proj!L519))</f>
        <v>104.56511057818179</v>
      </c>
      <c r="M1019" s="107">
        <f>IF(tech_base!$T115&gt;M$905,"",M2139+tech_proj!M1639/(1-tech_proj!M519))</f>
        <v>102.22502512613467</v>
      </c>
      <c r="N1019" s="107">
        <f>IF(tech_base!$T115&gt;N$905,"",N2139+tech_proj!N1639/(1-tech_proj!N519))</f>
        <v>86.437487250680562</v>
      </c>
      <c r="O1019" s="107">
        <f>IF(tech_base!$T115&gt;O$905,"",O2139+tech_proj!O1639/(1-tech_proj!O519))</f>
        <v>73.064079157988843</v>
      </c>
      <c r="P1019" s="107">
        <f>IF(tech_base!$T115&gt;P$905,"",P2139+tech_proj!P1639/(1-tech_proj!P519))</f>
        <v>50.068037354044101</v>
      </c>
      <c r="Q1019" s="107">
        <f>IF(tech_base!$T115&gt;Q$905,"",Q2139+tech_proj!Q1639/(1-tech_proj!Q519))</f>
        <v>58.555535428288159</v>
      </c>
      <c r="R1019" s="107">
        <f>IF(tech_base!$T115&gt;R$905,"",R2139+tech_proj!R1639/(1-tech_proj!R519))</f>
        <v>64.483251165882933</v>
      </c>
      <c r="S1019" s="107">
        <f>IF(tech_base!$T115&gt;S$905,"",S2139+tech_proj!S1639/(1-tech_proj!S519))</f>
        <v>70.464384703174474</v>
      </c>
      <c r="T1019" s="107">
        <f>IF(tech_base!$T115&gt;T$905,"",T2139+tech_proj!T1639/(1-tech_proj!T519))</f>
        <v>76.379988620978907</v>
      </c>
      <c r="U1019" s="107">
        <f>IF(tech_base!$T115&gt;U$905,"",U2139+tech_proj!U1639/(1-tech_proj!U519))</f>
        <v>82.151876791110467</v>
      </c>
      <c r="V1019" s="107">
        <f>IF(tech_base!$T115&gt;V$905,"",V2139+tech_proj!V1639/(1-tech_proj!V519))</f>
        <v>85.91890256098641</v>
      </c>
      <c r="W1019" s="107">
        <f>IF(tech_base!$T115&gt;W$905,"",W2139+tech_proj!W1639/(1-tech_proj!W519))</f>
        <v>90.379324926728657</v>
      </c>
      <c r="X1019" s="107">
        <f>IF(tech_base!$T115&gt;X$905,"",X2139+tech_proj!X1639/(1-tech_proj!X519))</f>
        <v>94.596181570711863</v>
      </c>
      <c r="Y1019" s="107">
        <f>IF(tech_base!$T115&gt;Y$905,"",Y2139+tech_proj!Y1639/(1-tech_proj!Y519))</f>
        <v>98.574341466438852</v>
      </c>
      <c r="Z1019" s="107">
        <f>IF(tech_base!$T115&gt;Z$905,"",Z2139+tech_proj!Z1639/(1-tech_proj!Z519))</f>
        <v>100.01727885246112</v>
      </c>
      <c r="AA1019" s="107">
        <f>IF(tech_base!$T115&gt;AA$905,"",AA2139+tech_proj!AA1639/(1-tech_proj!AA519))</f>
        <v>101.37058163991148</v>
      </c>
      <c r="AB1019" s="107">
        <f>IF(tech_base!$T115&gt;AB$905,"",AB2139+tech_proj!AB1639/(1-tech_proj!AB519))</f>
        <v>102.86908575535004</v>
      </c>
      <c r="AC1019" s="107">
        <f>IF(tech_base!$T115&gt;AC$905,"",AC2139+tech_proj!AC1639/(1-tech_proj!AC519))</f>
        <v>104.37007926418661</v>
      </c>
      <c r="AD1019" s="107">
        <f>IF(tech_base!$T115&gt;AD$905,"",AD2139+tech_proj!AD1639/(1-tech_proj!AD519))</f>
        <v>106.5396332607432</v>
      </c>
      <c r="AE1019" s="107">
        <f>IF(tech_base!$T115&gt;AE$905,"",AE2139+tech_proj!AE1639/(1-tech_proj!AE519))</f>
        <v>107.92818177438475</v>
      </c>
      <c r="AF1019" s="107">
        <f>IF(tech_base!$T115&gt;AF$905,"",AF2139+tech_proj!AF1639/(1-tech_proj!AF519))</f>
        <v>109.50933583334789</v>
      </c>
      <c r="AG1019" s="107">
        <f>IF(tech_base!$T115&gt;AG$905,"",AG2139+tech_proj!AG1639/(1-tech_proj!AG519))</f>
        <v>110.92955498701272</v>
      </c>
      <c r="AH1019" s="107">
        <f>IF(tech_base!$T115&gt;AH$905,"",AH2139+tech_proj!AH1639/(1-tech_proj!AH519))</f>
        <v>112.22189242773996</v>
      </c>
      <c r="AI1019" s="107">
        <f>IF(tech_base!$T115&gt;AI$905,"",AI2139+tech_proj!AI1639/(1-tech_proj!AI519))</f>
        <v>113.31894061919191</v>
      </c>
      <c r="AJ1019" s="107">
        <f>IF(tech_base!$T115&gt;AJ$905,"",AJ2139+tech_proj!AJ1639/(1-tech_proj!AJ519))</f>
        <v>114.35559880799696</v>
      </c>
      <c r="AK1019" s="107">
        <f>IF(tech_base!$T115&gt;AK$905,"",AK2139+tech_proj!AK1639/(1-tech_proj!AK519))</f>
        <v>115.20789315373111</v>
      </c>
      <c r="AL1019" s="107">
        <f>IF(tech_base!$T115&gt;AL$905,"",AL2139+tech_proj!AL1639/(1-tech_proj!AL519))</f>
        <v>116.03743735731949</v>
      </c>
      <c r="AM1019" s="107">
        <f>IF(tech_base!$T115&gt;AM$905,"",AM2139+tech_proj!AM1639/(1-tech_proj!AM519))</f>
        <v>116.95440035150746</v>
      </c>
      <c r="AN1019" s="107">
        <f>IF(tech_base!$T115&gt;AN$905,"",AN2139+tech_proj!AN1639/(1-tech_proj!AN519))</f>
        <v>117.00548207741549</v>
      </c>
      <c r="AO1019" s="107">
        <f>IF(tech_base!$T115&gt;AO$905,"",AO2139+tech_proj!AO1639/(1-tech_proj!AO519))</f>
        <v>117.32577806375602</v>
      </c>
      <c r="AP1019" s="107">
        <f>IF(tech_base!$T115&gt;AP$905,"",AP2139+tech_proj!AP1639/(1-tech_proj!AP519))</f>
        <v>117.66201585876067</v>
      </c>
      <c r="AQ1019" s="107">
        <f>IF(tech_base!$T115&gt;AQ$905,"",AQ2139+tech_proj!AQ1639/(1-tech_proj!AQ519))</f>
        <v>118.06390729079206</v>
      </c>
      <c r="AR1019" s="107">
        <f>IF(tech_base!$T115&gt;AR$905,"",AR2139+tech_proj!AR1639/(1-tech_proj!AR519))</f>
        <v>118.65421154797292</v>
      </c>
      <c r="AS1019" s="107">
        <f>IF(tech_base!$T115&gt;AS$905,"",AS2139+tech_proj!AS1639/(1-tech_proj!AS519))</f>
        <v>119.39357149964418</v>
      </c>
      <c r="AT1019" s="107">
        <f>IF(tech_base!$T115&gt;AT$905,"",AT2139+tech_proj!AT1639/(1-tech_proj!AT519))</f>
        <v>120.09389078820691</v>
      </c>
      <c r="AU1019" s="107">
        <f>IF(tech_base!$T115&gt;AU$905,"",AU2139+tech_proj!AU1639/(1-tech_proj!AU519))</f>
        <v>120.72699774026293</v>
      </c>
      <c r="AV1019" s="107">
        <f>IF(tech_base!$T115&gt;AV$905,"",AV2139+tech_proj!AV1639/(1-tech_proj!AV519))</f>
        <v>121.23836588916502</v>
      </c>
      <c r="AW1019" s="107">
        <f>IF(tech_base!$T115&gt;AW$905,"",AW2139+tech_proj!AW1639/(1-tech_proj!AW519))</f>
        <v>121.23694365647471</v>
      </c>
      <c r="AX1019" s="108">
        <f>IF(tech_base!$T115&gt;AX$905,"",AX2139+tech_proj!AX1639/(1-tech_proj!AX519))</f>
        <v>121.26786810952359</v>
      </c>
    </row>
    <row r="1020" spans="1:50" x14ac:dyDescent="0.25">
      <c r="A1020" s="356"/>
      <c r="B1020" s="376"/>
      <c r="C1020" s="379"/>
      <c r="D1020" s="59" t="s">
        <v>20</v>
      </c>
      <c r="E1020" s="160" t="str">
        <f>A989&amp;"/"&amp;B1019&amp;"/"&amp;C1019&amp;"/"&amp;D1020</f>
        <v>Gas fired power plants (Natural gas, biogas)/Internal combustion engine/Electricity only/XS</v>
      </c>
      <c r="F1020" s="76" t="str">
        <f>A989</f>
        <v>Gas fired power plants (Natural gas, biogas)</v>
      </c>
      <c r="G1020" s="76" t="str">
        <f>B1019</f>
        <v>Internal combustion engine</v>
      </c>
      <c r="H1020" s="76" t="str">
        <f>C1019</f>
        <v>Electricity only</v>
      </c>
      <c r="I1020" s="161" t="str">
        <f t="shared" si="368"/>
        <v>XS</v>
      </c>
      <c r="J1020" s="105">
        <f>IF(tech_base!$T116&gt;J$905,"",J2140+tech_proj!J1640/(1-tech_proj!J520))</f>
        <v>86.172786164819712</v>
      </c>
      <c r="K1020" s="105">
        <f>IF(tech_base!$T116&gt;K$905,"",K2140+tech_proj!K1640/(1-tech_proj!K520))</f>
        <v>98.310722377077383</v>
      </c>
      <c r="L1020" s="105">
        <f>IF(tech_base!$T116&gt;L$905,"",L2140+tech_proj!L1640/(1-tech_proj!L520))</f>
        <v>109.76048233287578</v>
      </c>
      <c r="M1020" s="105">
        <f>IF(tech_base!$T116&gt;M$905,"",M2140+tech_proj!M1640/(1-tech_proj!M520))</f>
        <v>107.30091019938899</v>
      </c>
      <c r="N1020" s="105">
        <f>IF(tech_base!$T116&gt;N$905,"",N2140+tech_proj!N1640/(1-tech_proj!N520))</f>
        <v>90.703871841586007</v>
      </c>
      <c r="O1020" s="105">
        <f>IF(tech_base!$T116&gt;O$905,"",O2140+tech_proj!O1640/(1-tech_proj!O520))</f>
        <v>76.644705555339229</v>
      </c>
      <c r="P1020" s="105">
        <f>IF(tech_base!$T116&gt;P$905,"",P2140+tech_proj!P1640/(1-tech_proj!P520))</f>
        <v>52.4689167261634</v>
      </c>
      <c r="Q1020" s="105">
        <f>IF(tech_base!$T116&gt;Q$905,"",Q2140+tech_proj!Q1640/(1-tech_proj!Q520))</f>
        <v>61.392430033441634</v>
      </c>
      <c r="R1020" s="105">
        <f>IF(tech_base!$T116&gt;R$905,"",R2140+tech_proj!R1640/(1-tech_proj!R520))</f>
        <v>67.624873486178402</v>
      </c>
      <c r="S1020" s="105">
        <f>IF(tech_base!$T116&gt;S$905,"",S2140+tech_proj!S1640/(1-tech_proj!S520))</f>
        <v>73.913570167649652</v>
      </c>
      <c r="T1020" s="105">
        <f>IF(tech_base!$T116&gt;T$905,"",T2140+tech_proj!T1640/(1-tech_proj!T520))</f>
        <v>80.133471138702973</v>
      </c>
      <c r="U1020" s="105">
        <f>IF(tech_base!$T116&gt;U$905,"",U2140+tech_proj!U1640/(1-tech_proj!U520))</f>
        <v>86.202379013210574</v>
      </c>
      <c r="V1020" s="105">
        <f>IF(tech_base!$T116&gt;V$905,"",V2140+tech_proj!V1640/(1-tech_proj!V520))</f>
        <v>90.163557727491394</v>
      </c>
      <c r="W1020" s="105">
        <f>IF(tech_base!$T116&gt;W$905,"",W2140+tech_proj!W1640/(1-tech_proj!W520))</f>
        <v>94.85383443732168</v>
      </c>
      <c r="X1020" s="105">
        <f>IF(tech_base!$T116&gt;X$905,"",X2140+tech_proj!X1640/(1-tech_proj!X520))</f>
        <v>99.288128497847595</v>
      </c>
      <c r="Y1020" s="105">
        <f>IF(tech_base!$T116&gt;Y$905,"",Y2140+tech_proj!Y1640/(1-tech_proj!Y520))</f>
        <v>103.47155774944373</v>
      </c>
      <c r="Z1020" s="105">
        <f>IF(tech_base!$T116&gt;Z$905,"",Z2140+tech_proj!Z1640/(1-tech_proj!Z520))</f>
        <v>104.98956924344276</v>
      </c>
      <c r="AA1020" s="105">
        <f>IF(tech_base!$T116&gt;AA$905,"",AA2140+tech_proj!AA1640/(1-tech_proj!AA520))</f>
        <v>106.4133971713173</v>
      </c>
      <c r="AB1020" s="105">
        <f>IF(tech_base!$T116&gt;AB$905,"",AB2140+tech_proj!AB1640/(1-tech_proj!AB520))</f>
        <v>107.98994999930279</v>
      </c>
      <c r="AC1020" s="105">
        <f>IF(tech_base!$T116&gt;AC$905,"",AC2140+tech_proj!AC1640/(1-tech_proj!AC520))</f>
        <v>109.56918333695526</v>
      </c>
      <c r="AD1020" s="105">
        <f>IF(tech_base!$T116&gt;AD$905,"",AD2140+tech_proj!AD1640/(1-tech_proj!AD520))</f>
        <v>111.85142576146879</v>
      </c>
      <c r="AE1020" s="105">
        <f>IF(tech_base!$T116&gt;AE$905,"",AE2140+tech_proj!AE1640/(1-tech_proj!AE520))</f>
        <v>113.31256837045066</v>
      </c>
      <c r="AF1020" s="105">
        <f>IF(tech_base!$T116&gt;AF$905,"",AF2140+tech_proj!AF1640/(1-tech_proj!AF520))</f>
        <v>114.97629233435111</v>
      </c>
      <c r="AG1020" s="105">
        <f>IF(tech_base!$T116&gt;AG$905,"",AG2140+tech_proj!AG1640/(1-tech_proj!AG520))</f>
        <v>116.47087162929097</v>
      </c>
      <c r="AH1020" s="105">
        <f>IF(tech_base!$T116&gt;AH$905,"",AH2140+tech_proj!AH1640/(1-tech_proj!AH520))</f>
        <v>117.83105705317161</v>
      </c>
      <c r="AI1020" s="105">
        <f>IF(tech_base!$T116&gt;AI$905,"",AI2140+tech_proj!AI1640/(1-tech_proj!AI520))</f>
        <v>118.98596781178505</v>
      </c>
      <c r="AJ1020" s="105">
        <f>IF(tech_base!$T116&gt;AJ$905,"",AJ2140+tech_proj!AJ1640/(1-tech_proj!AJ520))</f>
        <v>120.07744381235949</v>
      </c>
      <c r="AK1020" s="105">
        <f>IF(tech_base!$T116&gt;AK$905,"",AK2140+tech_proj!AK1640/(1-tech_proj!AK520))</f>
        <v>120.97512445017465</v>
      </c>
      <c r="AL1020" s="105">
        <f>IF(tech_base!$T116&gt;AL$905,"",AL2140+tech_proj!AL1640/(1-tech_proj!AL520))</f>
        <v>121.84894295717741</v>
      </c>
      <c r="AM1020" s="105">
        <f>IF(tech_base!$T116&gt;AM$905,"",AM2140+tech_proj!AM1640/(1-tech_proj!AM520))</f>
        <v>122.8147443204588</v>
      </c>
      <c r="AN1020" s="105">
        <f>IF(tech_base!$T116&gt;AN$905,"",AN2140+tech_proj!AN1640/(1-tech_proj!AN520))</f>
        <v>122.8700966666693</v>
      </c>
      <c r="AO1020" s="105">
        <f>IF(tech_base!$T116&gt;AO$905,"",AO2140+tech_proj!AO1640/(1-tech_proj!AO520))</f>
        <v>123.20858110828753</v>
      </c>
      <c r="AP1020" s="105">
        <f>IF(tech_base!$T116&gt;AP$905,"",AP2140+tech_proj!AP1640/(1-tech_proj!AP520))</f>
        <v>123.56387367313059</v>
      </c>
      <c r="AQ1020" s="105">
        <f>IF(tech_base!$T116&gt;AQ$905,"",AQ2140+tech_proj!AQ1640/(1-tech_proj!AQ520))</f>
        <v>123.98824956988659</v>
      </c>
      <c r="AR1020" s="105">
        <f>IF(tech_base!$T116&gt;AR$905,"",AR2140+tech_proj!AR1640/(1-tech_proj!AR520))</f>
        <v>124.61080272036054</v>
      </c>
      <c r="AS1020" s="105">
        <f>IF(tech_base!$T116&gt;AS$905,"",AS2140+tech_proj!AS1640/(1-tech_proj!AS520))</f>
        <v>125.39015069075857</v>
      </c>
      <c r="AT1020" s="105">
        <f>IF(tech_base!$T116&gt;AT$905,"",AT2140+tech_proj!AT1640/(1-tech_proj!AT520))</f>
        <v>126.12849113508173</v>
      </c>
      <c r="AU1020" s="105">
        <f>IF(tech_base!$T116&gt;AU$905,"",AU2140+tech_proj!AU1640/(1-tech_proj!AU520))</f>
        <v>126.79619355838507</v>
      </c>
      <c r="AV1020" s="105">
        <f>IF(tech_base!$T116&gt;AV$905,"",AV2140+tech_proj!AV1640/(1-tech_proj!AV520))</f>
        <v>127.33590936905449</v>
      </c>
      <c r="AW1020" s="105">
        <f>IF(tech_base!$T116&gt;AW$905,"",AW2140+tech_proj!AW1640/(1-tech_proj!AW520))</f>
        <v>127.33637421017465</v>
      </c>
      <c r="AX1020" s="106">
        <f>IF(tech_base!$T116&gt;AX$905,"",AX2140+tech_proj!AX1640/(1-tech_proj!AX520))</f>
        <v>127.37087223161281</v>
      </c>
    </row>
    <row r="1021" spans="1:50" x14ac:dyDescent="0.25">
      <c r="A1021" s="356"/>
      <c r="B1021" s="376"/>
      <c r="C1021" s="361" t="s">
        <v>14</v>
      </c>
      <c r="D1021" s="2" t="s">
        <v>10</v>
      </c>
      <c r="E1021" s="164" t="str">
        <f>A989&amp;"/"&amp;B1019&amp;"/"&amp;C1021&amp;"/"&amp;D1021</f>
        <v>Gas fired power plants (Natural gas, biogas)/Internal combustion engine/CHP/S</v>
      </c>
      <c r="F1021" s="78" t="str">
        <f>A989</f>
        <v>Gas fired power plants (Natural gas, biogas)</v>
      </c>
      <c r="G1021" s="78" t="str">
        <f>B1019</f>
        <v>Internal combustion engine</v>
      </c>
      <c r="H1021" s="78" t="str">
        <f>C1021</f>
        <v>CHP</v>
      </c>
      <c r="I1021" s="165" t="str">
        <f t="shared" si="368"/>
        <v>S</v>
      </c>
      <c r="J1021" s="109">
        <f>IF(tech_base!$T117&gt;J$905,"",J2141+tech_proj!J1641/(1-tech_proj!J521))</f>
        <v>90.842047809712525</v>
      </c>
      <c r="K1021" s="109">
        <f>IF(tech_base!$T117&gt;K$905,"",K2141+tech_proj!K1641/(1-tech_proj!K521))</f>
        <v>103.57400852746061</v>
      </c>
      <c r="L1021" s="109">
        <f>IF(tech_base!$T117&gt;L$905,"",L2141+tech_proj!L1641/(1-tech_proj!L521))</f>
        <v>115.58423390508877</v>
      </c>
      <c r="M1021" s="109">
        <f>IF(tech_base!$T117&gt;M$905,"",M2141+tech_proj!M1641/(1-tech_proj!M521))</f>
        <v>113.00476805010476</v>
      </c>
      <c r="N1021" s="109">
        <f>IF(tech_base!$T117&gt;N$905,"",N2141+tech_proj!N1641/(1-tech_proj!N521))</f>
        <v>95.596151563865035</v>
      </c>
      <c r="O1021" s="109">
        <f>IF(tech_base!$T117&gt;O$905,"",O2141+tech_proj!O1641/(1-tech_proj!O521))</f>
        <v>80.849462902738793</v>
      </c>
      <c r="P1021" s="109">
        <f>IF(tech_base!$T117&gt;P$905,"",P2141+tech_proj!P1641/(1-tech_proj!P521))</f>
        <v>55.490993830662063</v>
      </c>
      <c r="Q1021" s="109">
        <f>IF(tech_base!$T117&gt;Q$905,"",Q2141+tech_proj!Q1641/(1-tech_proj!Q521))</f>
        <v>64.851462149056019</v>
      </c>
      <c r="R1021" s="109">
        <f>IF(tech_base!$T117&gt;R$905,"",R2141+tech_proj!R1641/(1-tech_proj!R521))</f>
        <v>71.389246737200367</v>
      </c>
      <c r="S1021" s="109">
        <f>IF(tech_base!$T117&gt;S$905,"",S2141+tech_proj!S1641/(1-tech_proj!S521))</f>
        <v>77.986114135584188</v>
      </c>
      <c r="T1021" s="109">
        <f>IF(tech_base!$T117&gt;T$905,"",T2141+tech_proj!T1641/(1-tech_proj!T521))</f>
        <v>84.510899120011445</v>
      </c>
      <c r="U1021" s="109">
        <f>IF(tech_base!$T117&gt;U$905,"",U2141+tech_proj!U1641/(1-tech_proj!U521))</f>
        <v>90.87738351545714</v>
      </c>
      <c r="V1021" s="109">
        <f>IF(tech_base!$T117&gt;V$905,"",V2141+tech_proj!V1641/(1-tech_proj!V521))</f>
        <v>95.033021122783921</v>
      </c>
      <c r="W1021" s="109">
        <f>IF(tech_base!$T117&gt;W$905,"",W2141+tech_proj!W1641/(1-tech_proj!W521))</f>
        <v>99.953529534032683</v>
      </c>
      <c r="X1021" s="109">
        <f>IF(tech_base!$T117&gt;X$905,"",X2141+tech_proj!X1641/(1-tech_proj!X521))</f>
        <v>104.60559833449359</v>
      </c>
      <c r="Y1021" s="109">
        <f>IF(tech_base!$T117&gt;Y$905,"",Y2141+tech_proj!Y1641/(1-tech_proj!Y521))</f>
        <v>108.99459524157425</v>
      </c>
      <c r="Z1021" s="109">
        <f>IF(tech_base!$T117&gt;Z$905,"",Z2141+tech_proj!Z1641/(1-tech_proj!Z521))</f>
        <v>110.58767536252327</v>
      </c>
      <c r="AA1021" s="109">
        <f>IF(tech_base!$T117&gt;AA$905,"",AA2141+tech_proj!AA1641/(1-tech_proj!AA521))</f>
        <v>112.08200574006545</v>
      </c>
      <c r="AB1021" s="109">
        <f>IF(tech_base!$T117&gt;AB$905,"",AB2141+tech_proj!AB1641/(1-tech_proj!AB521))</f>
        <v>113.7365944285623</v>
      </c>
      <c r="AC1021" s="109">
        <f>IF(tech_base!$T117&gt;AC$905,"",AC2141+tech_proj!AC1641/(1-tech_proj!AC521))</f>
        <v>115.3940482182705</v>
      </c>
      <c r="AD1021" s="109">
        <f>IF(tech_base!$T117&gt;AD$905,"",AD2141+tech_proj!AD1641/(1-tech_proj!AD521))</f>
        <v>117.78902813780209</v>
      </c>
      <c r="AE1021" s="109">
        <f>IF(tech_base!$T117&gt;AE$905,"",AE2141+tech_proj!AE1641/(1-tech_proj!AE521))</f>
        <v>119.32271934567932</v>
      </c>
      <c r="AF1021" s="109">
        <f>IF(tech_base!$T117&gt;AF$905,"",AF2141+tech_proj!AF1641/(1-tech_proj!AF521))</f>
        <v>121.06898309453271</v>
      </c>
      <c r="AG1021" s="109">
        <f>IF(tech_base!$T117&gt;AG$905,"",AG2141+tech_proj!AG1641/(1-tech_proj!AG521))</f>
        <v>122.63786880984955</v>
      </c>
      <c r="AH1021" s="109">
        <f>IF(tech_base!$T117&gt;AH$905,"",AH2141+tech_proj!AH1641/(1-tech_proj!AH521))</f>
        <v>124.06582928355627</v>
      </c>
      <c r="AI1021" s="109">
        <f>IF(tech_base!$T117&gt;AI$905,"",AI2141+tech_proj!AI1641/(1-tech_proj!AI521))</f>
        <v>125.27850391088352</v>
      </c>
      <c r="AJ1021" s="109">
        <f>IF(tech_base!$T117&gt;AJ$905,"",AJ2141+tech_proj!AJ1641/(1-tech_proj!AJ521))</f>
        <v>126.42468874714818</v>
      </c>
      <c r="AK1021" s="109">
        <f>IF(tech_base!$T117&gt;AK$905,"",AK2141+tech_proj!AK1641/(1-tech_proj!AK521))</f>
        <v>127.36762386713939</v>
      </c>
      <c r="AL1021" s="109">
        <f>IF(tech_base!$T117&gt;AL$905,"",AL2141+tech_proj!AL1641/(1-tech_proj!AL521))</f>
        <v>128.28558024610109</v>
      </c>
      <c r="AM1021" s="109">
        <f>IF(tech_base!$T117&gt;AM$905,"",AM2141+tech_proj!AM1641/(1-tech_proj!AM521))</f>
        <v>129.3000913332304</v>
      </c>
      <c r="AN1021" s="109">
        <f>IF(tech_base!$T117&gt;AN$905,"",AN2141+tech_proj!AN1641/(1-tech_proj!AN521))</f>
        <v>129.35949372376086</v>
      </c>
      <c r="AO1021" s="109">
        <f>IF(tech_base!$T117&gt;AO$905,"",AO2141+tech_proj!AO1641/(1-tech_proj!AO521))</f>
        <v>129.71597518507275</v>
      </c>
      <c r="AP1021" s="109">
        <f>IF(tech_base!$T117&gt;AP$905,"",AP2141+tech_proj!AP1641/(1-tech_proj!AP521))</f>
        <v>130.09013422418354</v>
      </c>
      <c r="AQ1021" s="109">
        <f>IF(tech_base!$T117&gt;AQ$905,"",AQ2141+tech_proj!AQ1641/(1-tech_proj!AQ521))</f>
        <v>130.53681546309386</v>
      </c>
      <c r="AR1021" s="109">
        <f>IF(tech_base!$T117&gt;AR$905,"",AR2141+tech_proj!AR1641/(1-tech_proj!AR521))</f>
        <v>131.19146117538247</v>
      </c>
      <c r="AS1021" s="109">
        <f>IF(tech_base!$T117&gt;AS$905,"",AS2141+tech_proj!AS1641/(1-tech_proj!AS521))</f>
        <v>132.01066045435292</v>
      </c>
      <c r="AT1021" s="109">
        <f>IF(tech_base!$T117&gt;AT$905,"",AT2141+tech_proj!AT1641/(1-tech_proj!AT521))</f>
        <v>132.7868865842606</v>
      </c>
      <c r="AU1021" s="109">
        <f>IF(tech_base!$T117&gt;AU$905,"",AU2141+tech_proj!AU1641/(1-tech_proj!AU521))</f>
        <v>133.48904854885927</v>
      </c>
      <c r="AV1021" s="109">
        <f>IF(tech_base!$T117&gt;AV$905,"",AV2141+tech_proj!AV1641/(1-tech_proj!AV521))</f>
        <v>134.056971212729</v>
      </c>
      <c r="AW1021" s="109">
        <f>IF(tech_base!$T117&gt;AW$905,"",AW2141+tech_proj!AW1641/(1-tech_proj!AW521))</f>
        <v>134.05913800975136</v>
      </c>
      <c r="AX1021" s="110">
        <f>IF(tech_base!$T117&gt;AX$905,"",AX2141+tech_proj!AX1641/(1-tech_proj!AX521))</f>
        <v>134.09703766432403</v>
      </c>
    </row>
    <row r="1022" spans="1:50" x14ac:dyDescent="0.25">
      <c r="A1022" s="356"/>
      <c r="B1022" s="380"/>
      <c r="C1022" s="381"/>
      <c r="D1022" s="4" t="s">
        <v>20</v>
      </c>
      <c r="E1022" s="168" t="str">
        <f>A989&amp;"/"&amp;B1019&amp;"/"&amp;C1021&amp;"/"&amp;D1022</f>
        <v>Gas fired power plants (Natural gas, biogas)/Internal combustion engine/CHP/XS</v>
      </c>
      <c r="F1022" s="80" t="str">
        <f>A989</f>
        <v>Gas fired power plants (Natural gas, biogas)</v>
      </c>
      <c r="G1022" s="80" t="str">
        <f>B1019</f>
        <v>Internal combustion engine</v>
      </c>
      <c r="H1022" s="80" t="str">
        <f>C1021</f>
        <v>CHP</v>
      </c>
      <c r="I1022" s="169" t="str">
        <f t="shared" si="368"/>
        <v>XS</v>
      </c>
      <c r="J1022" s="113">
        <f>IF(tech_base!$T118&gt;J$905,"",J2142+tech_proj!J1642/(1-tech_proj!J522))</f>
        <v>95.095859019333218</v>
      </c>
      <c r="K1022" s="113">
        <f>IF(tech_base!$T118&gt;K$905,"",K2142+tech_proj!K1642/(1-tech_proj!K522))</f>
        <v>108.48259318500298</v>
      </c>
      <c r="L1022" s="113">
        <f>IF(tech_base!$T118&gt;L$905,"",L2142+tech_proj!L1642/(1-tech_proj!L522))</f>
        <v>121.11047765672404</v>
      </c>
      <c r="M1022" s="113">
        <f>IF(tech_base!$T118&gt;M$905,"",M2142+tech_proj!M1642/(1-tech_proj!M522))</f>
        <v>118.39838982219774</v>
      </c>
      <c r="N1022" s="113">
        <f>IF(tech_base!$T118&gt;N$905,"",N2142+tech_proj!N1642/(1-tech_proj!N522))</f>
        <v>100.09455602002697</v>
      </c>
      <c r="O1022" s="113">
        <f>IF(tech_base!$T118&gt;O$905,"",O2142+tech_proj!O1642/(1-tech_proj!O522))</f>
        <v>84.58954249164951</v>
      </c>
      <c r="P1022" s="113">
        <f>IF(tech_base!$T118&gt;P$905,"",P2142+tech_proj!P1642/(1-tech_proj!P522))</f>
        <v>57.927033780244685</v>
      </c>
      <c r="Q1022" s="113">
        <f>IF(tech_base!$T118&gt;Q$905,"",Q2142+tech_proj!Q1642/(1-tech_proj!Q522))</f>
        <v>67.768903275833139</v>
      </c>
      <c r="R1022" s="113">
        <f>IF(tech_base!$T118&gt;R$905,"",R2142+tech_proj!R1642/(1-tech_proj!R522))</f>
        <v>74.642932716982259</v>
      </c>
      <c r="S1022" s="113">
        <f>IF(tech_base!$T118&gt;S$905,"",S2142+tech_proj!S1642/(1-tech_proj!S522))</f>
        <v>81.579085046020964</v>
      </c>
      <c r="T1022" s="113">
        <f>IF(tech_base!$T118&gt;T$905,"",T2142+tech_proj!T1642/(1-tech_proj!T522))</f>
        <v>88.439449874678886</v>
      </c>
      <c r="U1022" s="113">
        <f>IF(tech_base!$T118&gt;U$905,"",U2142+tech_proj!U1642/(1-tech_proj!U522))</f>
        <v>95.133375291650268</v>
      </c>
      <c r="V1022" s="113">
        <f>IF(tech_base!$T118&gt;V$905,"",V2142+tech_proj!V1642/(1-tech_proj!V522))</f>
        <v>99.50276193231214</v>
      </c>
      <c r="W1022" s="113">
        <f>IF(tech_base!$T118&gt;W$905,"",W2142+tech_proj!W1642/(1-tech_proj!W522))</f>
        <v>104.67635528232975</v>
      </c>
      <c r="X1022" s="113">
        <f>IF(tech_base!$T118&gt;X$905,"",X2142+tech_proj!X1642/(1-tech_proj!X522))</f>
        <v>109.56770649225575</v>
      </c>
      <c r="Y1022" s="113">
        <f>IF(tech_base!$T118&gt;Y$905,"",Y2142+tech_proj!Y1642/(1-tech_proj!Y522))</f>
        <v>114.18245940558465</v>
      </c>
      <c r="Z1022" s="113">
        <f>IF(tech_base!$T118&gt;Z$905,"",Z2142+tech_proj!Z1642/(1-tech_proj!Z522))</f>
        <v>115.85751636692503</v>
      </c>
      <c r="AA1022" s="113">
        <f>IF(tech_base!$T118&gt;AA$905,"",AA2142+tech_proj!AA1642/(1-tech_proj!AA522))</f>
        <v>117.42874771770367</v>
      </c>
      <c r="AB1022" s="113">
        <f>IF(tech_base!$T118&gt;AB$905,"",AB2142+tech_proj!AB1642/(1-tech_proj!AB522))</f>
        <v>119.16848123124052</v>
      </c>
      <c r="AC1022" s="113">
        <f>IF(tech_base!$T118&gt;AC$905,"",AC2142+tech_proj!AC1642/(1-tech_proj!AC522))</f>
        <v>120.91122976969656</v>
      </c>
      <c r="AD1022" s="113">
        <f>IF(tech_base!$T118&gt;AD$905,"",AD2142+tech_proj!AD1642/(1-tech_proj!AD522))</f>
        <v>123.42943478489681</v>
      </c>
      <c r="AE1022" s="113">
        <f>IF(tech_base!$T118&gt;AE$905,"",AE2142+tech_proj!AE1642/(1-tech_proj!AE522))</f>
        <v>125.0420616619005</v>
      </c>
      <c r="AF1022" s="113">
        <f>IF(tech_base!$T118&gt;AF$905,"",AF2142+tech_proj!AF1642/(1-tech_proj!AF522))</f>
        <v>126.87819562743026</v>
      </c>
      <c r="AG1022" s="113">
        <f>IF(tech_base!$T118&gt;AG$905,"",AG2142+tech_proj!AG1642/(1-tech_proj!AG522))</f>
        <v>128.52783280566806</v>
      </c>
      <c r="AH1022" s="113">
        <f>IF(tech_base!$T118&gt;AH$905,"",AH2142+tech_proj!AH1642/(1-tech_proj!AH522))</f>
        <v>130.02930070200281</v>
      </c>
      <c r="AI1022" s="113">
        <f>IF(tech_base!$T118&gt;AI$905,"",AI2142+tech_proj!AI1642/(1-tech_proj!AI522))</f>
        <v>131.30441479084539</v>
      </c>
      <c r="AJ1022" s="113">
        <f>IF(tech_base!$T118&gt;AJ$905,"",AJ2142+tech_proj!AJ1642/(1-tech_proj!AJ522))</f>
        <v>132.5096231544556</v>
      </c>
      <c r="AK1022" s="113">
        <f>IF(tech_base!$T118&gt;AK$905,"",AK2142+tech_proj!AK1642/(1-tech_proj!AK522))</f>
        <v>133.50113303241019</v>
      </c>
      <c r="AL1022" s="113">
        <f>IF(tech_base!$T118&gt;AL$905,"",AL2142+tech_proj!AL1642/(1-tech_proj!AL522))</f>
        <v>134.46638319213838</v>
      </c>
      <c r="AM1022" s="113">
        <f>IF(tech_base!$T118&gt;AM$905,"",AM2142+tech_proj!AM1642/(1-tech_proj!AM522))</f>
        <v>135.5331571192153</v>
      </c>
      <c r="AN1022" s="113">
        <f>IF(tech_base!$T118&gt;AN$905,"",AN2142+tech_proj!AN1642/(1-tech_proj!AN522))</f>
        <v>135.5957091928733</v>
      </c>
      <c r="AO1022" s="113">
        <f>IF(tech_base!$T118&gt;AO$905,"",AO2142+tech_proj!AO1642/(1-tech_proj!AO522))</f>
        <v>135.97062169814589</v>
      </c>
      <c r="AP1022" s="113">
        <f>IF(tech_base!$T118&gt;AP$905,"",AP2142+tech_proj!AP1642/(1-tech_proj!AP522))</f>
        <v>136.36412489236426</v>
      </c>
      <c r="AQ1022" s="113">
        <f>IF(tech_base!$T118&gt;AQ$905,"",AQ2142+tech_proj!AQ1642/(1-tech_proj!AQ522))</f>
        <v>136.83388392566525</v>
      </c>
      <c r="AR1022" s="113">
        <f>IF(tech_base!$T118&gt;AR$905,"",AR2142+tech_proj!AR1642/(1-tech_proj!AR522))</f>
        <v>137.52230637416622</v>
      </c>
      <c r="AS1022" s="113">
        <f>IF(tech_base!$T118&gt;AS$905,"",AS2142+tech_proj!AS1642/(1-tech_proj!AS522))</f>
        <v>138.38374901486549</v>
      </c>
      <c r="AT1022" s="113">
        <f>IF(tech_base!$T118&gt;AT$905,"",AT2142+tech_proj!AT1642/(1-tech_proj!AT522))</f>
        <v>139.20001307321144</v>
      </c>
      <c r="AU1022" s="113">
        <f>IF(tech_base!$T118&gt;AU$905,"",AU2142+tech_proj!AU1642/(1-tech_proj!AU522))</f>
        <v>139.93840876785058</v>
      </c>
      <c r="AV1022" s="113">
        <f>IF(tech_base!$T118&gt;AV$905,"",AV2142+tech_proj!AV1642/(1-tech_proj!AV522))</f>
        <v>140.5356665287342</v>
      </c>
      <c r="AW1022" s="113">
        <f>IF(tech_base!$T118&gt;AW$905,"",AW2142+tech_proj!AW1642/(1-tech_proj!AW522))</f>
        <v>140.53807892630613</v>
      </c>
      <c r="AX1022" s="114">
        <f>IF(tech_base!$T118&gt;AX$905,"",AX2142+tech_proj!AX1642/(1-tech_proj!AX522))</f>
        <v>140.57806664577421</v>
      </c>
    </row>
    <row r="1023" spans="1:50" x14ac:dyDescent="0.25">
      <c r="A1023" s="355" t="s">
        <v>26</v>
      </c>
      <c r="B1023" s="358" t="s">
        <v>19</v>
      </c>
      <c r="C1023" s="353" t="s">
        <v>6</v>
      </c>
      <c r="D1023" s="3" t="s">
        <v>7</v>
      </c>
      <c r="E1023" s="162" t="str">
        <f>A1023&amp;"/"&amp;B1023&amp;"/"&amp;C1023&amp;"/"&amp;D1023</f>
        <v>Derived gas fired power plants/Steam turbine/Electricity only/L</v>
      </c>
      <c r="F1023" s="77" t="str">
        <f>A1023</f>
        <v>Derived gas fired power plants</v>
      </c>
      <c r="G1023" s="77" t="str">
        <f>B1023</f>
        <v>Steam turbine</v>
      </c>
      <c r="H1023" s="77" t="str">
        <f>C1023</f>
        <v>Electricity only</v>
      </c>
      <c r="I1023" s="163" t="str">
        <f t="shared" si="368"/>
        <v>L</v>
      </c>
      <c r="J1023" s="107">
        <f>IF(tech_base!$T119&gt;J$905,"",J2143+tech_proj!J1643/(1-tech_proj!J523))</f>
        <v>12.850753742032261</v>
      </c>
      <c r="K1023" s="107">
        <f>IF(tech_base!$T119&gt;K$905,"",K2143+tech_proj!K1643/(1-tech_proj!K523))</f>
        <v>14.566671872522615</v>
      </c>
      <c r="L1023" s="107">
        <f>IF(tech_base!$T119&gt;L$905,"",L2143+tech_proj!L1643/(1-tech_proj!L523))</f>
        <v>13.409899891011943</v>
      </c>
      <c r="M1023" s="107">
        <f>IF(tech_base!$T119&gt;M$905,"",M2143+tech_proj!M1643/(1-tech_proj!M523))</f>
        <v>12.795169188527156</v>
      </c>
      <c r="N1023" s="107">
        <f>IF(tech_base!$T119&gt;N$905,"",N2143+tech_proj!N1643/(1-tech_proj!N523))</f>
        <v>12.610443339573418</v>
      </c>
      <c r="O1023" s="107">
        <f>IF(tech_base!$T119&gt;O$905,"",O2143+tech_proj!O1643/(1-tech_proj!O523))</f>
        <v>12.308273614130576</v>
      </c>
      <c r="P1023" s="107">
        <f>IF(tech_base!$T119&gt;P$905,"",P2143+tech_proj!P1643/(1-tech_proj!P523))</f>
        <v>12.678256193772853</v>
      </c>
      <c r="Q1023" s="107">
        <f>IF(tech_base!$T119&gt;Q$905,"",Q2143+tech_proj!Q1643/(1-tech_proj!Q523))</f>
        <v>14.404177501810471</v>
      </c>
      <c r="R1023" s="107">
        <f>IF(tech_base!$T119&gt;R$905,"",R2143+tech_proj!R1643/(1-tech_proj!R523))</f>
        <v>14.497855526618247</v>
      </c>
      <c r="S1023" s="107">
        <f>IF(tech_base!$T119&gt;S$905,"",S2143+tech_proj!S1643/(1-tech_proj!S523))</f>
        <v>14.591396067371885</v>
      </c>
      <c r="T1023" s="107">
        <f>IF(tech_base!$T119&gt;T$905,"",T2143+tech_proj!T1643/(1-tech_proj!T523))</f>
        <v>14.684803493758954</v>
      </c>
      <c r="U1023" s="107">
        <f>IF(tech_base!$T119&gt;U$905,"",U2143+tech_proj!U1643/(1-tech_proj!U523))</f>
        <v>14.918253630319985</v>
      </c>
      <c r="V1023" s="107">
        <f>IF(tech_base!$T119&gt;V$905,"",V2143+tech_proj!V1643/(1-tech_proj!V523))</f>
        <v>14.973278209014516</v>
      </c>
      <c r="W1023" s="107">
        <f>IF(tech_base!$T119&gt;W$905,"",W2143+tech_proj!W1643/(1-tech_proj!W523))</f>
        <v>15.016828277156344</v>
      </c>
      <c r="X1023" s="107">
        <f>IF(tech_base!$T119&gt;X$905,"",X2143+tech_proj!X1643/(1-tech_proj!X523))</f>
        <v>15.115212637728836</v>
      </c>
      <c r="Y1023" s="107">
        <f>IF(tech_base!$T119&gt;Y$905,"",Y2143+tech_proj!Y1643/(1-tech_proj!Y523))</f>
        <v>15.222691738646279</v>
      </c>
      <c r="Z1023" s="107">
        <f>IF(tech_base!$T119&gt;Z$905,"",Z2143+tech_proj!Z1643/(1-tech_proj!Z523))</f>
        <v>15.545321787640864</v>
      </c>
      <c r="AA1023" s="107">
        <f>IF(tech_base!$T119&gt;AA$905,"",AA2143+tech_proj!AA1643/(1-tech_proj!AA523))</f>
        <v>15.869782551111525</v>
      </c>
      <c r="AB1023" s="107">
        <f>IF(tech_base!$T119&gt;AB$905,"",AB2143+tech_proj!AB1643/(1-tech_proj!AB523))</f>
        <v>16.206023800930502</v>
      </c>
      <c r="AC1023" s="107">
        <f>IF(tech_base!$T119&gt;AC$905,"",AC2143+tech_proj!AC1643/(1-tech_proj!AC523))</f>
        <v>16.547231337049439</v>
      </c>
      <c r="AD1023" s="107">
        <f>IF(tech_base!$T119&gt;AD$905,"",AD2143+tech_proj!AD1643/(1-tech_proj!AD523))</f>
        <v>16.91860282816306</v>
      </c>
      <c r="AE1023" s="107">
        <f>IF(tech_base!$T119&gt;AE$905,"",AE2143+tech_proj!AE1643/(1-tech_proj!AE523))</f>
        <v>17.063879798863095</v>
      </c>
      <c r="AF1023" s="107">
        <f>IF(tech_base!$T119&gt;AF$905,"",AF2143+tech_proj!AF1643/(1-tech_proj!AF523))</f>
        <v>17.242698814262418</v>
      </c>
      <c r="AG1023" s="107">
        <f>IF(tech_base!$T119&gt;AG$905,"",AG2143+tech_proj!AG1643/(1-tech_proj!AG523))</f>
        <v>17.427976008126368</v>
      </c>
      <c r="AH1023" s="107">
        <f>IF(tech_base!$T119&gt;AH$905,"",AH2143+tech_proj!AH1643/(1-tech_proj!AH523))</f>
        <v>17.604924389568435</v>
      </c>
      <c r="AI1023" s="107">
        <f>IF(tech_base!$T119&gt;AI$905,"",AI2143+tech_proj!AI1643/(1-tech_proj!AI523))</f>
        <v>17.771002042317274</v>
      </c>
      <c r="AJ1023" s="107">
        <f>IF(tech_base!$T119&gt;AJ$905,"",AJ2143+tech_proj!AJ1643/(1-tech_proj!AJ523))</f>
        <v>17.904467045122544</v>
      </c>
      <c r="AK1023" s="107">
        <f>IF(tech_base!$T119&gt;AK$905,"",AK2143+tech_proj!AK1643/(1-tech_proj!AK523))</f>
        <v>18.052956885262184</v>
      </c>
      <c r="AL1023" s="107">
        <f>IF(tech_base!$T119&gt;AL$905,"",AL2143+tech_proj!AL1643/(1-tech_proj!AL523))</f>
        <v>18.212690888654098</v>
      </c>
      <c r="AM1023" s="107">
        <f>IF(tech_base!$T119&gt;AM$905,"",AM2143+tech_proj!AM1643/(1-tech_proj!AM523))</f>
        <v>18.381999011025457</v>
      </c>
      <c r="AN1023" s="107">
        <f>IF(tech_base!$T119&gt;AN$905,"",AN2143+tech_proj!AN1643/(1-tech_proj!AN523))</f>
        <v>18.525660518225308</v>
      </c>
      <c r="AO1023" s="107">
        <f>IF(tech_base!$T119&gt;AO$905,"",AO2143+tech_proj!AO1643/(1-tech_proj!AO523))</f>
        <v>18.667769985984037</v>
      </c>
      <c r="AP1023" s="107">
        <f>IF(tech_base!$T119&gt;AP$905,"",AP2143+tech_proj!AP1643/(1-tech_proj!AP523))</f>
        <v>18.808962161110969</v>
      </c>
      <c r="AQ1023" s="107">
        <f>IF(tech_base!$T119&gt;AQ$905,"",AQ2143+tech_proj!AQ1643/(1-tech_proj!AQ523))</f>
        <v>18.950497387791799</v>
      </c>
      <c r="AR1023" s="107">
        <f>IF(tech_base!$T119&gt;AR$905,"",AR2143+tech_proj!AR1643/(1-tech_proj!AR523))</f>
        <v>19.101461764018936</v>
      </c>
      <c r="AS1023" s="107">
        <f>IF(tech_base!$T119&gt;AS$905,"",AS2143+tech_proj!AS1643/(1-tech_proj!AS523))</f>
        <v>19.255331804739502</v>
      </c>
      <c r="AT1023" s="107">
        <f>IF(tech_base!$T119&gt;AT$905,"",AT2143+tech_proj!AT1643/(1-tech_proj!AT523))</f>
        <v>19.374415288480478</v>
      </c>
      <c r="AU1023" s="107">
        <f>IF(tech_base!$T119&gt;AU$905,"",AU2143+tech_proj!AU1643/(1-tech_proj!AU523))</f>
        <v>19.523326897645848</v>
      </c>
      <c r="AV1023" s="107">
        <f>IF(tech_base!$T119&gt;AV$905,"",AV2143+tech_proj!AV1643/(1-tech_proj!AV523))</f>
        <v>19.656552074933764</v>
      </c>
      <c r="AW1023" s="107">
        <f>IF(tech_base!$T119&gt;AW$905,"",AW2143+tech_proj!AW1643/(1-tech_proj!AW523))</f>
        <v>19.781572657689633</v>
      </c>
      <c r="AX1023" s="108">
        <f>IF(tech_base!$T119&gt;AX$905,"",AX2143+tech_proj!AX1643/(1-tech_proj!AX523))</f>
        <v>19.929183374484303</v>
      </c>
    </row>
    <row r="1024" spans="1:50" x14ac:dyDescent="0.25">
      <c r="A1024" s="356"/>
      <c r="B1024" s="359"/>
      <c r="C1024" s="378"/>
      <c r="D1024" s="2" t="s">
        <v>8</v>
      </c>
      <c r="E1024" s="160" t="str">
        <f>A1023&amp;"/"&amp;B1023&amp;"/"&amp;C1023&amp;"/"&amp;D1024</f>
        <v>Derived gas fired power plants/Steam turbine/Electricity only/M</v>
      </c>
      <c r="F1024" s="76" t="str">
        <f>A1023</f>
        <v>Derived gas fired power plants</v>
      </c>
      <c r="G1024" s="76" t="str">
        <f>B1023</f>
        <v>Steam turbine</v>
      </c>
      <c r="H1024" s="76" t="str">
        <f>C1023</f>
        <v>Electricity only</v>
      </c>
      <c r="I1024" s="161" t="str">
        <f t="shared" si="368"/>
        <v>M</v>
      </c>
      <c r="J1024" s="105">
        <f>IF(tech_base!$T120&gt;J$905,"",J2144+tech_proj!J1644/(1-tech_proj!J524))</f>
        <v>13.612476088382422</v>
      </c>
      <c r="K1024" s="105">
        <f>IF(tech_base!$T120&gt;K$905,"",K2144+tech_proj!K1644/(1-tech_proj!K524))</f>
        <v>15.419541228576209</v>
      </c>
      <c r="L1024" s="105">
        <f>IF(tech_base!$T120&gt;L$905,"",L2144+tech_proj!L1644/(1-tech_proj!L524))</f>
        <v>14.201118827075728</v>
      </c>
      <c r="M1024" s="105">
        <f>IF(tech_base!$T120&gt;M$905,"",M2144+tech_proj!M1644/(1-tech_proj!M524))</f>
        <v>13.553561509375344</v>
      </c>
      <c r="N1024" s="105">
        <f>IF(tech_base!$T120&gt;N$905,"",N2144+tech_proj!N1644/(1-tech_proj!N524))</f>
        <v>13.358885258811721</v>
      </c>
      <c r="O1024" s="105">
        <f>IF(tech_base!$T120&gt;O$905,"",O2144+tech_proj!O1644/(1-tech_proj!O524))</f>
        <v>13.040513242299609</v>
      </c>
      <c r="P1024" s="105">
        <f>IF(tech_base!$T120&gt;P$905,"",P2144+tech_proj!P1644/(1-tech_proj!P524))</f>
        <v>13.430073819386363</v>
      </c>
      <c r="Q1024" s="105">
        <f>IF(tech_base!$T120&gt;Q$905,"",Q2144+tech_proj!Q1644/(1-tech_proj!Q524))</f>
        <v>15.24777776485131</v>
      </c>
      <c r="R1024" s="105">
        <f>IF(tech_base!$T120&gt;R$905,"",R2144+tech_proj!R1644/(1-tech_proj!R524))</f>
        <v>15.346347775340924</v>
      </c>
      <c r="S1024" s="105">
        <f>IF(tech_base!$T120&gt;S$905,"",S2144+tech_proj!S1644/(1-tech_proj!S524))</f>
        <v>15.444776566837021</v>
      </c>
      <c r="T1024" s="105">
        <f>IF(tech_base!$T120&gt;T$905,"",T2144+tech_proj!T1644/(1-tech_proj!T524))</f>
        <v>15.543068659373052</v>
      </c>
      <c r="U1024" s="105">
        <f>IF(tech_base!$T120&gt;U$905,"",U2144+tech_proj!U1644/(1-tech_proj!U524))</f>
        <v>15.788867682876289</v>
      </c>
      <c r="V1024" s="105">
        <f>IF(tech_base!$T120&gt;V$905,"",V2144+tech_proj!V1644/(1-tech_proj!V524))</f>
        <v>15.846739587099012</v>
      </c>
      <c r="W1024" s="105">
        <f>IF(tech_base!$T120&gt;W$905,"",W2144+tech_proj!W1644/(1-tech_proj!W524))</f>
        <v>15.892528211314199</v>
      </c>
      <c r="X1024" s="105">
        <f>IF(tech_base!$T120&gt;X$905,"",X2144+tech_proj!X1644/(1-tech_proj!X524))</f>
        <v>15.996076085027102</v>
      </c>
      <c r="Y1024" s="105">
        <f>IF(tech_base!$T120&gt;Y$905,"",Y2144+tech_proj!Y1644/(1-tech_proj!Y524))</f>
        <v>16.10920665327934</v>
      </c>
      <c r="Z1024" s="105">
        <f>IF(tech_base!$T120&gt;Z$905,"",Z2144+tech_proj!Z1644/(1-tech_proj!Z524))</f>
        <v>16.448961032701018</v>
      </c>
      <c r="AA1024" s="105">
        <f>IF(tech_base!$T120&gt;AA$905,"",AA2144+tech_proj!AA1644/(1-tech_proj!AA524))</f>
        <v>16.790649636755006</v>
      </c>
      <c r="AB1024" s="105">
        <f>IF(tech_base!$T120&gt;AB$905,"",AB2144+tech_proj!AB1644/(1-tech_proj!AB524))</f>
        <v>17.144752636375109</v>
      </c>
      <c r="AC1024" s="105">
        <f>IF(tech_base!$T120&gt;AC$905,"",AC2144+tech_proj!AC1644/(1-tech_proj!AC524))</f>
        <v>17.504092477292929</v>
      </c>
      <c r="AD1024" s="105">
        <f>IF(tech_base!$T120&gt;AD$905,"",AD2144+tech_proj!AD1644/(1-tech_proj!AD524))</f>
        <v>17.895210642694266</v>
      </c>
      <c r="AE1024" s="105">
        <f>IF(tech_base!$T120&gt;AE$905,"",AE2144+tech_proj!AE1644/(1-tech_proj!AE524))</f>
        <v>18.048180086876194</v>
      </c>
      <c r="AF1024" s="105">
        <f>IF(tech_base!$T120&gt;AF$905,"",AF2144+tech_proj!AF1644/(1-tech_proj!AF524))</f>
        <v>18.236483919683813</v>
      </c>
      <c r="AG1024" s="105">
        <f>IF(tech_base!$T120&gt;AG$905,"",AG2144+tech_proj!AG1644/(1-tech_proj!AG524))</f>
        <v>18.431593778091397</v>
      </c>
      <c r="AH1024" s="105">
        <f>IF(tech_base!$T120&gt;AH$905,"",AH2144+tech_proj!AH1644/(1-tech_proj!AH524))</f>
        <v>18.617933687946746</v>
      </c>
      <c r="AI1024" s="105">
        <f>IF(tech_base!$T120&gt;AI$905,"",AI2144+tech_proj!AI1644/(1-tech_proj!AI524))</f>
        <v>18.792825859938752</v>
      </c>
      <c r="AJ1024" s="105">
        <f>IF(tech_base!$T120&gt;AJ$905,"",AJ2144+tech_proj!AJ1644/(1-tech_proj!AJ524))</f>
        <v>18.933367804093223</v>
      </c>
      <c r="AK1024" s="105">
        <f>IF(tech_base!$T120&gt;AK$905,"",AK2144+tech_proj!AK1644/(1-tech_proj!AK524))</f>
        <v>19.089738954028707</v>
      </c>
      <c r="AL1024" s="105">
        <f>IF(tech_base!$T120&gt;AL$905,"",AL2144+tech_proj!AL1644/(1-tech_proj!AL524))</f>
        <v>19.25795697974085</v>
      </c>
      <c r="AM1024" s="105">
        <f>IF(tech_base!$T120&gt;AM$905,"",AM2144+tech_proj!AM1644/(1-tech_proj!AM524))</f>
        <v>19.436262769133666</v>
      </c>
      <c r="AN1024" s="105">
        <f>IF(tech_base!$T120&gt;AN$905,"",AN2144+tech_proj!AN1644/(1-tech_proj!AN524))</f>
        <v>19.587555329444957</v>
      </c>
      <c r="AO1024" s="105">
        <f>IF(tech_base!$T120&gt;AO$905,"",AO2144+tech_proj!AO1644/(1-tech_proj!AO524))</f>
        <v>19.737215242688237</v>
      </c>
      <c r="AP1024" s="105">
        <f>IF(tech_base!$T120&gt;AP$905,"",AP2144+tech_proj!AP1644/(1-tech_proj!AP524))</f>
        <v>19.885911057549592</v>
      </c>
      <c r="AQ1024" s="105">
        <f>IF(tech_base!$T120&gt;AQ$905,"",AQ2144+tech_proj!AQ1644/(1-tech_proj!AQ524))</f>
        <v>20.034970340289171</v>
      </c>
      <c r="AR1024" s="105">
        <f>IF(tech_base!$T120&gt;AR$905,"",AR2144+tech_proj!AR1644/(1-tech_proj!AR524))</f>
        <v>20.193964358691129</v>
      </c>
      <c r="AS1024" s="105">
        <f>IF(tech_base!$T120&gt;AS$905,"",AS2144+tech_proj!AS1644/(1-tech_proj!AS524))</f>
        <v>20.356021272338644</v>
      </c>
      <c r="AT1024" s="105">
        <f>IF(tech_base!$T120&gt;AT$905,"",AT2144+tech_proj!AT1644/(1-tech_proj!AT524))</f>
        <v>20.481435622054541</v>
      </c>
      <c r="AU1024" s="105">
        <f>IF(tech_base!$T120&gt;AU$905,"",AU2144+tech_proj!AU1644/(1-tech_proj!AU524))</f>
        <v>20.638273053527566</v>
      </c>
      <c r="AV1024" s="105">
        <f>IF(tech_base!$T120&gt;AV$905,"",AV2144+tech_proj!AV1644/(1-tech_proj!AV524))</f>
        <v>20.778587935940479</v>
      </c>
      <c r="AW1024" s="105">
        <f>IF(tech_base!$T120&gt;AW$905,"",AW2144+tech_proj!AW1644/(1-tech_proj!AW524))</f>
        <v>20.910261576971198</v>
      </c>
      <c r="AX1024" s="106">
        <f>IF(tech_base!$T120&gt;AX$905,"",AX2144+tech_proj!AX1644/(1-tech_proj!AX524))</f>
        <v>21.065733815482634</v>
      </c>
    </row>
    <row r="1025" spans="1:50" x14ac:dyDescent="0.25">
      <c r="A1025" s="356"/>
      <c r="B1025" s="359"/>
      <c r="C1025" s="378"/>
      <c r="D1025" s="2" t="s">
        <v>10</v>
      </c>
      <c r="E1025" s="160" t="str">
        <f>A1023&amp;"/"&amp;B1023&amp;"/"&amp;C1023&amp;"/"&amp;D1025</f>
        <v>Derived gas fired power plants/Steam turbine/Electricity only/S</v>
      </c>
      <c r="F1025" s="76" t="str">
        <f>A1023</f>
        <v>Derived gas fired power plants</v>
      </c>
      <c r="G1025" s="76" t="str">
        <f>B1023</f>
        <v>Steam turbine</v>
      </c>
      <c r="H1025" s="76" t="str">
        <f>C1023</f>
        <v>Electricity only</v>
      </c>
      <c r="I1025" s="161" t="str">
        <f t="shared" si="368"/>
        <v>S</v>
      </c>
      <c r="J1025" s="105">
        <f>IF(tech_base!$T121&gt;J$905,"",J2145+tech_proj!J1645/(1-tech_proj!J525))</f>
        <v>14.494230805728991</v>
      </c>
      <c r="K1025" s="105">
        <f>IF(tech_base!$T121&gt;K$905,"",K2145+tech_proj!K1645/(1-tech_proj!K525))</f>
        <v>16.397669583425966</v>
      </c>
      <c r="L1025" s="105">
        <f>IF(tech_base!$T121&gt;L$905,"",L2145+tech_proj!L1645/(1-tech_proj!L525))</f>
        <v>15.114192014111284</v>
      </c>
      <c r="M1025" s="105">
        <f>IF(tech_base!$T121&gt;M$905,"",M2145+tech_proj!M1645/(1-tech_proj!M525))</f>
        <v>14.432034496894506</v>
      </c>
      <c r="N1025" s="105">
        <f>IF(tech_base!$T121&gt;N$905,"",N2145+tech_proj!N1645/(1-tech_proj!N525))</f>
        <v>14.22692395043949</v>
      </c>
      <c r="O1025" s="105">
        <f>IF(tech_base!$T121&gt;O$905,"",O2145+tech_proj!O1645/(1-tech_proj!O525))</f>
        <v>13.89151462334668</v>
      </c>
      <c r="P1025" s="105">
        <f>IF(tech_base!$T121&gt;P$905,"",P2145+tech_proj!P1645/(1-tech_proj!P525))</f>
        <v>14.301825193611236</v>
      </c>
      <c r="Q1025" s="105">
        <f>IF(tech_base!$T121&gt;Q$905,"",Q2145+tech_proj!Q1645/(1-tech_proj!Q525))</f>
        <v>16.216522567997636</v>
      </c>
      <c r="R1025" s="105">
        <f>IF(tech_base!$T121&gt;R$905,"",R2145+tech_proj!R1645/(1-tech_proj!R525))</f>
        <v>16.320321209343152</v>
      </c>
      <c r="S1025" s="105">
        <f>IF(tech_base!$T121&gt;S$905,"",S2145+tech_proj!S1645/(1-tech_proj!S525))</f>
        <v>16.423972601127584</v>
      </c>
      <c r="T1025" s="105">
        <f>IF(tech_base!$T121&gt;T$905,"",T2145+tech_proj!T1645/(1-tech_proj!T525))</f>
        <v>16.527481466731683</v>
      </c>
      <c r="U1025" s="105">
        <f>IF(tech_base!$T121&gt;U$905,"",U2145+tech_proj!U1645/(1-tech_proj!U525))</f>
        <v>16.78637541065152</v>
      </c>
      <c r="V1025" s="105">
        <f>IF(tech_base!$T121&gt;V$905,"",V2145+tech_proj!V1645/(1-tech_proj!V525))</f>
        <v>16.847308916585067</v>
      </c>
      <c r="W1025" s="105">
        <f>IF(tech_base!$T121&gt;W$905,"",W2145+tech_proj!W1645/(1-tech_proj!W525))</f>
        <v>16.895514885727934</v>
      </c>
      <c r="X1025" s="105">
        <f>IF(tech_base!$T121&gt;X$905,"",X2145+tech_proj!X1645/(1-tech_proj!X525))</f>
        <v>17.004565958168119</v>
      </c>
      <c r="Y1025" s="105">
        <f>IF(tech_base!$T121&gt;Y$905,"",Y2145+tech_proj!Y1645/(1-tech_proj!Y525))</f>
        <v>17.123712891267065</v>
      </c>
      <c r="Z1025" s="105">
        <f>IF(tech_base!$T121&gt;Z$905,"",Z2145+tech_proj!Z1645/(1-tech_proj!Z525))</f>
        <v>17.481590387970932</v>
      </c>
      <c r="AA1025" s="105">
        <f>IF(tech_base!$T121&gt;AA$905,"",AA2145+tech_proj!AA1645/(1-tech_proj!AA525))</f>
        <v>17.841508211652179</v>
      </c>
      <c r="AB1025" s="105">
        <f>IF(tech_base!$T121&gt;AB$905,"",AB2145+tech_proj!AB1645/(1-tech_proj!AB525))</f>
        <v>18.214506339974193</v>
      </c>
      <c r="AC1025" s="105">
        <f>IF(tech_base!$T121&gt;AC$905,"",AC2145+tech_proj!AC1645/(1-tech_proj!AC525))</f>
        <v>18.59302377868033</v>
      </c>
      <c r="AD1025" s="105">
        <f>IF(tech_base!$T121&gt;AD$905,"",AD2145+tech_proj!AD1645/(1-tech_proj!AD525))</f>
        <v>19.00502004528818</v>
      </c>
      <c r="AE1025" s="105">
        <f>IF(tech_base!$T121&gt;AE$905,"",AE2145+tech_proj!AE1645/(1-tech_proj!AE525))</f>
        <v>19.166145650104379</v>
      </c>
      <c r="AF1025" s="105">
        <f>IF(tech_base!$T121&gt;AF$905,"",AF2145+tech_proj!AF1645/(1-tech_proj!AF525))</f>
        <v>19.364494996523788</v>
      </c>
      <c r="AG1025" s="105">
        <f>IF(tech_base!$T121&gt;AG$905,"",AG2145+tech_proj!AG1645/(1-tech_proj!AG525))</f>
        <v>19.570015499158707</v>
      </c>
      <c r="AH1025" s="105">
        <f>IF(tech_base!$T121&gt;AH$905,"",AH2145+tech_proj!AH1645/(1-tech_proj!AH525))</f>
        <v>19.766298813896057</v>
      </c>
      <c r="AI1025" s="105">
        <f>IF(tech_base!$T121&gt;AI$905,"",AI2145+tech_proj!AI1645/(1-tech_proj!AI525))</f>
        <v>19.95052392756013</v>
      </c>
      <c r="AJ1025" s="105">
        <f>IF(tech_base!$T121&gt;AJ$905,"",AJ2145+tech_proj!AJ1645/(1-tech_proj!AJ525))</f>
        <v>20.098564192158538</v>
      </c>
      <c r="AK1025" s="105">
        <f>IF(tech_base!$T121&gt;AK$905,"",AK2145+tech_proj!AK1645/(1-tech_proj!AK525))</f>
        <v>20.263280713870738</v>
      </c>
      <c r="AL1025" s="105">
        <f>IF(tech_base!$T121&gt;AL$905,"",AL2145+tech_proj!AL1645/(1-tech_proj!AL525))</f>
        <v>20.440478389667696</v>
      </c>
      <c r="AM1025" s="105">
        <f>IF(tech_base!$T121&gt;AM$905,"",AM2145+tech_proj!AM1645/(1-tech_proj!AM525))</f>
        <v>20.628304127829878</v>
      </c>
      <c r="AN1025" s="105">
        <f>IF(tech_base!$T121&gt;AN$905,"",AN2145+tech_proj!AN1645/(1-tech_proj!AN525))</f>
        <v>20.787673745664641</v>
      </c>
      <c r="AO1025" s="105">
        <f>IF(tech_base!$T121&gt;AO$905,"",AO2145+tech_proj!AO1645/(1-tech_proj!AO525))</f>
        <v>20.945324374621567</v>
      </c>
      <c r="AP1025" s="105">
        <f>IF(tech_base!$T121&gt;AP$905,"",AP2145+tech_proj!AP1645/(1-tech_proj!AP525))</f>
        <v>21.101960261098171</v>
      </c>
      <c r="AQ1025" s="105">
        <f>IF(tech_base!$T121&gt;AQ$905,"",AQ2145+tech_proj!AQ1645/(1-tech_proj!AQ525))</f>
        <v>21.258979908098333</v>
      </c>
      <c r="AR1025" s="105">
        <f>IF(tech_base!$T121&gt;AR$905,"",AR2145+tech_proj!AR1645/(1-tech_proj!AR525))</f>
        <v>21.426466268481562</v>
      </c>
      <c r="AS1025" s="105">
        <f>IF(tech_base!$T121&gt;AS$905,"",AS2145+tech_proj!AS1645/(1-tech_proj!AS525))</f>
        <v>21.597180127601547</v>
      </c>
      <c r="AT1025" s="105">
        <f>IF(tech_base!$T121&gt;AT$905,"",AT2145+tech_proj!AT1645/(1-tech_proj!AT525))</f>
        <v>21.729293068054528</v>
      </c>
      <c r="AU1025" s="105">
        <f>IF(tech_base!$T121&gt;AU$905,"",AU2145+tech_proj!AU1645/(1-tech_proj!AU525))</f>
        <v>21.89450991742611</v>
      </c>
      <c r="AV1025" s="105">
        <f>IF(tech_base!$T121&gt;AV$905,"",AV2145+tech_proj!AV1645/(1-tech_proj!AV525))</f>
        <v>22.04232148952012</v>
      </c>
      <c r="AW1025" s="105">
        <f>IF(tech_base!$T121&gt;AW$905,"",AW2145+tech_proj!AW1645/(1-tech_proj!AW525))</f>
        <v>22.181030412037298</v>
      </c>
      <c r="AX1025" s="106">
        <f>IF(tech_base!$T121&gt;AX$905,"",AX2145+tech_proj!AX1645/(1-tech_proj!AX525))</f>
        <v>22.344811166397392</v>
      </c>
    </row>
    <row r="1026" spans="1:50" x14ac:dyDescent="0.25">
      <c r="A1026" s="356"/>
      <c r="B1026" s="359"/>
      <c r="C1026" s="379"/>
      <c r="D1026" s="2" t="s">
        <v>20</v>
      </c>
      <c r="E1026" s="160" t="str">
        <f>A1023&amp;"/"&amp;B1023&amp;"/"&amp;C1023&amp;"/"&amp;D1026</f>
        <v>Derived gas fired power plants/Steam turbine/Electricity only/XS</v>
      </c>
      <c r="F1026" s="76" t="str">
        <f>A1023</f>
        <v>Derived gas fired power plants</v>
      </c>
      <c r="G1026" s="76" t="str">
        <f>B1023</f>
        <v>Steam turbine</v>
      </c>
      <c r="H1026" s="76" t="str">
        <f>C1023</f>
        <v>Electricity only</v>
      </c>
      <c r="I1026" s="161" t="str">
        <f t="shared" si="368"/>
        <v>XS</v>
      </c>
      <c r="J1026" s="105">
        <f>IF(tech_base!$T122&gt;J$905,"",J2146+tech_proj!J1646/(1-tech_proj!J526))</f>
        <v>15.740309166236022</v>
      </c>
      <c r="K1026" s="105">
        <f>IF(tech_base!$T122&gt;K$905,"",K2146+tech_proj!K1646/(1-tech_proj!K526))</f>
        <v>17.7454843255884</v>
      </c>
      <c r="L1026" s="105">
        <f>IF(tech_base!$T122&gt;L$905,"",L2146+tech_proj!L1646/(1-tech_proj!L526))</f>
        <v>16.393112774938942</v>
      </c>
      <c r="M1026" s="105">
        <f>IF(tech_base!$T122&gt;M$905,"",M2146+tech_proj!M1646/(1-tech_proj!M526))</f>
        <v>15.67424561171687</v>
      </c>
      <c r="N1026" s="105">
        <f>IF(tech_base!$T122&gt;N$905,"",N2146+tech_proj!N1646/(1-tech_proj!N526))</f>
        <v>15.457972319485476</v>
      </c>
      <c r="O1026" s="105">
        <f>IF(tech_base!$T122&gt;O$905,"",O2146+tech_proj!O1646/(1-tech_proj!O526))</f>
        <v>15.104416194025925</v>
      </c>
      <c r="P1026" s="105">
        <f>IF(tech_base!$T122&gt;P$905,"",P2146+tech_proj!P1646/(1-tech_proj!P526))</f>
        <v>15.536546090005315</v>
      </c>
      <c r="Q1026" s="105">
        <f>IF(tech_base!$T122&gt;Q$905,"",Q2146+tech_proj!Q1646/(1-tech_proj!Q526))</f>
        <v>17.553724666900759</v>
      </c>
      <c r="R1026" s="105">
        <f>IF(tech_base!$T122&gt;R$905,"",R2146+tech_proj!R1646/(1-tech_proj!R526))</f>
        <v>17.662945912486435</v>
      </c>
      <c r="S1026" s="105">
        <f>IF(tech_base!$T122&gt;S$905,"",S2146+tech_proj!S1646/(1-tech_proj!S526))</f>
        <v>17.772016708443992</v>
      </c>
      <c r="T1026" s="105">
        <f>IF(tech_base!$T122&gt;T$905,"",T2146+tech_proj!T1646/(1-tech_proj!T526))</f>
        <v>17.880941959439117</v>
      </c>
      <c r="U1026" s="105">
        <f>IF(tech_base!$T122&gt;U$905,"",U2146+tech_proj!U1646/(1-tech_proj!U526))</f>
        <v>18.153593213369611</v>
      </c>
      <c r="V1026" s="105">
        <f>IF(tech_base!$T122&gt;V$905,"",V2146+tech_proj!V1646/(1-tech_proj!V526))</f>
        <v>18.217669046743364</v>
      </c>
      <c r="W1026" s="105">
        <f>IF(tech_base!$T122&gt;W$905,"",W2146+tech_proj!W1646/(1-tech_proj!W526))</f>
        <v>18.268337870215227</v>
      </c>
      <c r="X1026" s="105">
        <f>IF(tech_base!$T122&gt;X$905,"",X2146+tech_proj!X1646/(1-tech_proj!X526))</f>
        <v>18.38312111997865</v>
      </c>
      <c r="Y1026" s="105">
        <f>IF(tech_base!$T122&gt;Y$905,"",Y2146+tech_proj!Y1646/(1-tech_proj!Y526))</f>
        <v>18.508546585705957</v>
      </c>
      <c r="Z1026" s="105">
        <f>IF(tech_base!$T122&gt;Z$905,"",Z2146+tech_proj!Z1646/(1-tech_proj!Z526))</f>
        <v>18.885525662685712</v>
      </c>
      <c r="AA1026" s="105">
        <f>IF(tech_base!$T122&gt;AA$905,"",AA2146+tech_proj!AA1646/(1-tech_proj!AA526))</f>
        <v>19.264663023158718</v>
      </c>
      <c r="AB1026" s="105">
        <f>IF(tech_base!$T122&gt;AB$905,"",AB2146+tech_proj!AB1646/(1-tech_proj!AB526))</f>
        <v>19.657591447482201</v>
      </c>
      <c r="AC1026" s="105">
        <f>IF(tech_base!$T122&gt;AC$905,"",AC2146+tech_proj!AC1646/(1-tech_proj!AC526))</f>
        <v>20.056343862869539</v>
      </c>
      <c r="AD1026" s="105">
        <f>IF(tech_base!$T122&gt;AD$905,"",AD2146+tech_proj!AD1646/(1-tech_proj!AD526))</f>
        <v>20.49038188623069</v>
      </c>
      <c r="AE1026" s="105">
        <f>IF(tech_base!$T122&gt;AE$905,"",AE2146+tech_proj!AE1646/(1-tech_proj!AE526))</f>
        <v>20.660076999123469</v>
      </c>
      <c r="AF1026" s="105">
        <f>IF(tech_base!$T122&gt;AF$905,"",AF2146+tech_proj!AF1646/(1-tech_proj!AF526))</f>
        <v>20.869000680314279</v>
      </c>
      <c r="AG1026" s="105">
        <f>IF(tech_base!$T122&gt;AG$905,"",AG2146+tech_proj!AG1646/(1-tech_proj!AG526))</f>
        <v>21.08548573077967</v>
      </c>
      <c r="AH1026" s="105">
        <f>IF(tech_base!$T122&gt;AH$905,"",AH2146+tech_proj!AH1646/(1-tech_proj!AH526))</f>
        <v>21.29224176965047</v>
      </c>
      <c r="AI1026" s="105">
        <f>IF(tech_base!$T122&gt;AI$905,"",AI2146+tech_proj!AI1646/(1-tech_proj!AI526))</f>
        <v>21.486295793970687</v>
      </c>
      <c r="AJ1026" s="105">
        <f>IF(tech_base!$T122&gt;AJ$905,"",AJ2146+tech_proj!AJ1646/(1-tech_proj!AJ526))</f>
        <v>21.642223473065165</v>
      </c>
      <c r="AK1026" s="105">
        <f>IF(tech_base!$T122&gt;AK$905,"",AK2146+tech_proj!AK1646/(1-tech_proj!AK526))</f>
        <v>21.815727827024549</v>
      </c>
      <c r="AL1026" s="105">
        <f>IF(tech_base!$T122&gt;AL$905,"",AL2146+tech_proj!AL1646/(1-tech_proj!AL526))</f>
        <v>22.002388354472465</v>
      </c>
      <c r="AM1026" s="105">
        <f>IF(tech_base!$T122&gt;AM$905,"",AM2146+tech_proj!AM1646/(1-tech_proj!AM526))</f>
        <v>22.200252422265134</v>
      </c>
      <c r="AN1026" s="105">
        <f>IF(tech_base!$T122&gt;AN$905,"",AN2146+tech_proj!AN1646/(1-tech_proj!AN526))</f>
        <v>22.36813333723115</v>
      </c>
      <c r="AO1026" s="105">
        <f>IF(tech_base!$T122&gt;AO$905,"",AO2146+tech_proj!AO1646/(1-tech_proj!AO526))</f>
        <v>22.534206140325914</v>
      </c>
      <c r="AP1026" s="105">
        <f>IF(tech_base!$T122&gt;AP$905,"",AP2146+tech_proj!AP1646/(1-tech_proj!AP526))</f>
        <v>22.699212848797366</v>
      </c>
      <c r="AQ1026" s="105">
        <f>IF(tech_base!$T122&gt;AQ$905,"",AQ2146+tech_proj!AQ1646/(1-tech_proj!AQ526))</f>
        <v>22.864627116754139</v>
      </c>
      <c r="AR1026" s="105">
        <f>IF(tech_base!$T122&gt;AR$905,"",AR2146+tech_proj!AR1646/(1-tech_proj!AR526))</f>
        <v>23.041074479536864</v>
      </c>
      <c r="AS1026" s="105">
        <f>IF(tech_base!$T122&gt;AS$905,"",AS2146+tech_proj!AS1646/(1-tech_proj!AS526))</f>
        <v>23.220926151720615</v>
      </c>
      <c r="AT1026" s="105">
        <f>IF(tech_base!$T122&gt;AT$905,"",AT2146+tech_proj!AT1646/(1-tech_proj!AT526))</f>
        <v>23.360102017920372</v>
      </c>
      <c r="AU1026" s="105">
        <f>IF(tech_base!$T122&gt;AU$905,"",AU2146+tech_proj!AU1646/(1-tech_proj!AU526))</f>
        <v>23.534166518410593</v>
      </c>
      <c r="AV1026" s="105">
        <f>IF(tech_base!$T122&gt;AV$905,"",AV2146+tech_proj!AV1646/(1-tech_proj!AV526))</f>
        <v>23.689891426610782</v>
      </c>
      <c r="AW1026" s="105">
        <f>IF(tech_base!$T122&gt;AW$905,"",AW2146+tech_proj!AW1646/(1-tech_proj!AW526))</f>
        <v>23.836026092056791</v>
      </c>
      <c r="AX1026" s="106">
        <f>IF(tech_base!$T122&gt;AX$905,"",AX2146+tech_proj!AX1646/(1-tech_proj!AX526))</f>
        <v>24.008585112641761</v>
      </c>
    </row>
    <row r="1027" spans="1:50" x14ac:dyDescent="0.25">
      <c r="A1027" s="356"/>
      <c r="B1027" s="359"/>
      <c r="C1027" s="361" t="s">
        <v>14</v>
      </c>
      <c r="D1027" s="58" t="s">
        <v>7</v>
      </c>
      <c r="E1027" s="164" t="str">
        <f>A1023&amp;"/"&amp;B1023&amp;"/"&amp;C1027&amp;"/"&amp;D1027</f>
        <v>Derived gas fired power plants/Steam turbine/CHP/L</v>
      </c>
      <c r="F1027" s="78" t="str">
        <f>A1023</f>
        <v>Derived gas fired power plants</v>
      </c>
      <c r="G1027" s="78" t="str">
        <f>B1023</f>
        <v>Steam turbine</v>
      </c>
      <c r="H1027" s="78" t="str">
        <f>C1027</f>
        <v>CHP</v>
      </c>
      <c r="I1027" s="165" t="str">
        <f t="shared" si="368"/>
        <v>L</v>
      </c>
      <c r="J1027" s="109">
        <f>IF(tech_base!$T123&gt;J$905,"",J2147+tech_proj!J1647/(1-tech_proj!J527))</f>
        <v>15.902708968689359</v>
      </c>
      <c r="K1027" s="109">
        <f>IF(tech_base!$T123&gt;K$905,"",K2147+tech_proj!K1647/(1-tech_proj!K527))</f>
        <v>17.801685385319775</v>
      </c>
      <c r="L1027" s="109">
        <f>IF(tech_base!$T123&gt;L$905,"",L2147+tech_proj!L1647/(1-tech_proj!L527))</f>
        <v>16.521441467672815</v>
      </c>
      <c r="M1027" s="109">
        <f>IF(tech_base!$T123&gt;M$905,"",M2147+tech_proj!M1647/(1-tech_proj!M527))</f>
        <v>15.841059212726837</v>
      </c>
      <c r="N1027" s="109">
        <f>IF(tech_base!$T123&gt;N$905,"",N2147+tech_proj!N1647/(1-tech_proj!N527))</f>
        <v>15.636573187982858</v>
      </c>
      <c r="O1027" s="109">
        <f>IF(tech_base!$T123&gt;O$905,"",O2147+tech_proj!O1647/(1-tech_proj!O527))</f>
        <v>15.302098638488848</v>
      </c>
      <c r="P1027" s="109">
        <f>IF(tech_base!$T123&gt;P$905,"",P2147+tech_proj!P1647/(1-tech_proj!P527))</f>
        <v>15.71155945294926</v>
      </c>
      <c r="Q1027" s="109">
        <f>IF(tech_base!$T123&gt;Q$905,"",Q2147+tech_proj!Q1647/(1-tech_proj!Q527))</f>
        <v>17.621822791647705</v>
      </c>
      <c r="R1027" s="109">
        <f>IF(tech_base!$T123&gt;R$905,"",R2147+tech_proj!R1647/(1-tech_proj!R527))</f>
        <v>17.725515086082087</v>
      </c>
      <c r="S1027" s="109">
        <f>IF(tech_base!$T123&gt;S$905,"",S2147+tech_proj!S1647/(1-tech_proj!S527))</f>
        <v>17.829061153305311</v>
      </c>
      <c r="T1027" s="109">
        <f>IF(tech_base!$T123&gt;T$905,"",T2147+tech_proj!T1647/(1-tech_proj!T527))</f>
        <v>17.932465632286284</v>
      </c>
      <c r="U1027" s="109">
        <f>IF(tech_base!$T123&gt;U$905,"",U2147+tech_proj!U1647/(1-tech_proj!U527))</f>
        <v>18.190887474470969</v>
      </c>
      <c r="V1027" s="109">
        <f>IF(tech_base!$T123&gt;V$905,"",V2147+tech_proj!V1647/(1-tech_proj!V527))</f>
        <v>18.251818852317236</v>
      </c>
      <c r="W1027" s="109">
        <f>IF(tech_base!$T123&gt;W$905,"",W2147+tech_proj!W1647/(1-tech_proj!W527))</f>
        <v>18.300052857441223</v>
      </c>
      <c r="X1027" s="109">
        <f>IF(tech_base!$T123&gt;X$905,"",X2147+tech_proj!X1647/(1-tech_proj!X527))</f>
        <v>18.408988311371601</v>
      </c>
      <c r="Y1027" s="109">
        <f>IF(tech_base!$T123&gt;Y$905,"",Y2147+tech_proj!Y1647/(1-tech_proj!Y527))</f>
        <v>18.527996087480048</v>
      </c>
      <c r="Z1027" s="109">
        <f>IF(tech_base!$T123&gt;Z$905,"",Z2147+tech_proj!Z1647/(1-tech_proj!Z527))</f>
        <v>18.885172514402626</v>
      </c>
      <c r="AA1027" s="109">
        <f>IF(tech_base!$T123&gt;AA$905,"",AA2147+tech_proj!AA1647/(1-tech_proj!AA527))</f>
        <v>19.244385842012207</v>
      </c>
      <c r="AB1027" s="109">
        <f>IF(tech_base!$T123&gt;AB$905,"",AB2147+tech_proj!AB1647/(1-tech_proj!AB527))</f>
        <v>19.616649933078065</v>
      </c>
      <c r="AC1027" s="109">
        <f>IF(tech_base!$T123&gt;AC$905,"",AC2147+tech_proj!AC1647/(1-tech_proj!AC527))</f>
        <v>19.994421448174766</v>
      </c>
      <c r="AD1027" s="109">
        <f>IF(tech_base!$T123&gt;AD$905,"",AD2147+tech_proj!AD1647/(1-tech_proj!AD527))</f>
        <v>20.405594174490499</v>
      </c>
      <c r="AE1027" s="109">
        <f>IF(tech_base!$T123&gt;AE$905,"",AE2147+tech_proj!AE1647/(1-tech_proj!AE527))</f>
        <v>20.566485048364218</v>
      </c>
      <c r="AF1027" s="109">
        <f>IF(tech_base!$T123&gt;AF$905,"",AF2147+tech_proj!AF1647/(1-tech_proj!AF527))</f>
        <v>20.764512261762111</v>
      </c>
      <c r="AG1027" s="109">
        <f>IF(tech_base!$T123&gt;AG$905,"",AG2147+tech_proj!AG1647/(1-tech_proj!AG527))</f>
        <v>20.969693662045071</v>
      </c>
      <c r="AH1027" s="109">
        <f>IF(tech_base!$T123&gt;AH$905,"",AH2147+tech_proj!AH1647/(1-tech_proj!AH527))</f>
        <v>21.165659218035493</v>
      </c>
      <c r="AI1027" s="109">
        <f>IF(tech_base!$T123&gt;AI$905,"",AI2147+tech_proj!AI1647/(1-tech_proj!AI527))</f>
        <v>21.349594377973364</v>
      </c>
      <c r="AJ1027" s="109">
        <f>IF(tech_base!$T123&gt;AJ$905,"",AJ2147+tech_proj!AJ1647/(1-tech_proj!AJ527))</f>
        <v>21.49742872057886</v>
      </c>
      <c r="AK1027" s="109">
        <f>IF(tech_base!$T123&gt;AK$905,"",AK2147+tech_proj!AK1647/(1-tech_proj!AK527))</f>
        <v>21.661899725365902</v>
      </c>
      <c r="AL1027" s="109">
        <f>IF(tech_base!$T123&gt;AL$905,"",AL2147+tech_proj!AL1647/(1-tech_proj!AL527))</f>
        <v>21.838822067775958</v>
      </c>
      <c r="AM1027" s="109">
        <f>IF(tech_base!$T123&gt;AM$905,"",AM2147+tech_proj!AM1647/(1-tech_proj!AM527))</f>
        <v>22.026346946439389</v>
      </c>
      <c r="AN1027" s="109">
        <f>IF(tech_base!$T123&gt;AN$905,"",AN2147+tech_proj!AN1647/(1-tech_proj!AN527))</f>
        <v>22.185481282339914</v>
      </c>
      <c r="AO1027" s="109">
        <f>IF(tech_base!$T123&gt;AO$905,"",AO2147+tech_proj!AO1647/(1-tech_proj!AO527))</f>
        <v>22.342899743348525</v>
      </c>
      <c r="AP1027" s="109">
        <f>IF(tech_base!$T123&gt;AP$905,"",AP2147+tech_proj!AP1647/(1-tech_proj!AP527))</f>
        <v>22.49930487346337</v>
      </c>
      <c r="AQ1027" s="109">
        <f>IF(tech_base!$T123&gt;AQ$905,"",AQ2147+tech_proj!AQ1647/(1-tech_proj!AQ527))</f>
        <v>22.656091860446509</v>
      </c>
      <c r="AR1027" s="109">
        <f>IF(tech_base!$T123&gt;AR$905,"",AR2147+tech_proj!AR1647/(1-tech_proj!AR527))</f>
        <v>22.823320114103481</v>
      </c>
      <c r="AS1027" s="109">
        <f>IF(tech_base!$T123&gt;AS$905,"",AS2147+tech_proj!AS1647/(1-tech_proj!AS527))</f>
        <v>22.993767243794487</v>
      </c>
      <c r="AT1027" s="109">
        <f>IF(tech_base!$T123&gt;AT$905,"",AT2147+tech_proj!AT1647/(1-tech_proj!AT527))</f>
        <v>23.125702213372112</v>
      </c>
      <c r="AU1027" s="109">
        <f>IF(tech_base!$T123&gt;AU$905,"",AU2147+tech_proj!AU1647/(1-tech_proj!AU527))</f>
        <v>23.29066277632435</v>
      </c>
      <c r="AV1027" s="109">
        <f>IF(tech_base!$T123&gt;AV$905,"",AV2147+tech_proj!AV1647/(1-tech_proj!AV527))</f>
        <v>23.438257354651899</v>
      </c>
      <c r="AW1027" s="109">
        <f>IF(tech_base!$T123&gt;AW$905,"",AW2147+tech_proj!AW1647/(1-tech_proj!AW527))</f>
        <v>23.576769197113563</v>
      </c>
      <c r="AX1027" s="110">
        <f>IF(tech_base!$T123&gt;AX$905,"",AX2147+tech_proj!AX1647/(1-tech_proj!AX527))</f>
        <v>23.740293154331461</v>
      </c>
    </row>
    <row r="1028" spans="1:50" x14ac:dyDescent="0.25">
      <c r="A1028" s="356"/>
      <c r="B1028" s="359"/>
      <c r="C1028" s="378"/>
      <c r="D1028" s="2" t="s">
        <v>8</v>
      </c>
      <c r="E1028" s="160" t="str">
        <f>A1023&amp;"/"&amp;B1023&amp;"/"&amp;C1027&amp;"/"&amp;D1028</f>
        <v>Derived gas fired power plants/Steam turbine/CHP/M</v>
      </c>
      <c r="F1028" s="76" t="str">
        <f>A1023</f>
        <v>Derived gas fired power plants</v>
      </c>
      <c r="G1028" s="76" t="str">
        <f>B1023</f>
        <v>Steam turbine</v>
      </c>
      <c r="H1028" s="76" t="str">
        <f>C1027</f>
        <v>CHP</v>
      </c>
      <c r="I1028" s="161" t="str">
        <f t="shared" si="368"/>
        <v>M</v>
      </c>
      <c r="J1028" s="105">
        <f>IF(tech_base!$T124&gt;J$905,"",J2148+tech_proj!J1648/(1-tech_proj!J528))</f>
        <v>16.718866513323867</v>
      </c>
      <c r="K1028" s="105">
        <f>IF(tech_base!$T124&gt;K$905,"",K2148+tech_proj!K1648/(1-tech_proj!K528))</f>
        <v>18.719255160952127</v>
      </c>
      <c r="L1028" s="105">
        <f>IF(tech_base!$T124&gt;L$905,"",L2148+tech_proj!L1648/(1-tech_proj!L528))</f>
        <v>17.370245420416779</v>
      </c>
      <c r="M1028" s="105">
        <f>IF(tech_base!$T124&gt;M$905,"",M2148+tech_proj!M1648/(1-tech_proj!M528))</f>
        <v>16.653202539927921</v>
      </c>
      <c r="N1028" s="105">
        <f>IF(tech_base!$T124&gt;N$905,"",N2148+tech_proj!N1648/(1-tech_proj!N528))</f>
        <v>16.437534923866252</v>
      </c>
      <c r="O1028" s="105">
        <f>IF(tech_base!$T124&gt;O$905,"",O2148+tech_proj!O1648/(1-tech_proj!O528))</f>
        <v>16.084917704443825</v>
      </c>
      <c r="P1028" s="105">
        <f>IF(tech_base!$T124&gt;P$905,"",P2148+tech_proj!P1648/(1-tech_proj!P528))</f>
        <v>16.51608299988369</v>
      </c>
      <c r="Q1028" s="105">
        <f>IF(tech_base!$T124&gt;Q$905,"",Q2148+tech_proj!Q1648/(1-tech_proj!Q528))</f>
        <v>18.528457656286577</v>
      </c>
      <c r="R1028" s="105">
        <f>IF(tech_base!$T124&gt;R$905,"",R2148+tech_proj!R1648/(1-tech_proj!R528))</f>
        <v>18.63749888623596</v>
      </c>
      <c r="S1028" s="105">
        <f>IF(tech_base!$T124&gt;S$905,"",S2148+tech_proj!S1648/(1-tech_proj!S528))</f>
        <v>18.746390465996491</v>
      </c>
      <c r="T1028" s="105">
        <f>IF(tech_base!$T124&gt;T$905,"",T2148+tech_proj!T1648/(1-tech_proj!T528))</f>
        <v>18.85513721997706</v>
      </c>
      <c r="U1028" s="105">
        <f>IF(tech_base!$T124&gt;U$905,"",U2148+tech_proj!U1648/(1-tech_proj!U528))</f>
        <v>19.12721370417308</v>
      </c>
      <c r="V1028" s="105">
        <f>IF(tech_base!$T124&gt;V$905,"",V2148+tech_proj!V1648/(1-tech_proj!V528))</f>
        <v>19.191220206264411</v>
      </c>
      <c r="W1028" s="105">
        <f>IF(tech_base!$T124&gt;W$905,"",W2148+tech_proj!W1648/(1-tech_proj!W528))</f>
        <v>19.241852342951432</v>
      </c>
      <c r="X1028" s="105">
        <f>IF(tech_base!$T124&gt;X$905,"",X2148+tech_proj!X1648/(1-tech_proj!X528))</f>
        <v>19.356443713565351</v>
      </c>
      <c r="Y1028" s="105">
        <f>IF(tech_base!$T124&gt;Y$905,"",Y2148+tech_proj!Y1648/(1-tech_proj!Y528))</f>
        <v>19.481651562338705</v>
      </c>
      <c r="Z1028" s="105">
        <f>IF(tech_base!$T124&gt;Z$905,"",Z2148+tech_proj!Z1648/(1-tech_proj!Z528))</f>
        <v>19.857803497138754</v>
      </c>
      <c r="AA1028" s="105">
        <f>IF(tech_base!$T124&gt;AA$905,"",AA2148+tech_proj!AA1648/(1-tech_proj!AA528))</f>
        <v>20.236108230598965</v>
      </c>
      <c r="AB1028" s="105">
        <f>IF(tech_base!$T124&gt;AB$905,"",AB2148+tech_proj!AB1648/(1-tech_proj!AB528))</f>
        <v>20.628170245270773</v>
      </c>
      <c r="AC1028" s="105">
        <f>IF(tech_base!$T124&gt;AC$905,"",AC2148+tech_proj!AC1648/(1-tech_proj!AC528))</f>
        <v>21.026041666342696</v>
      </c>
      <c r="AD1028" s="105">
        <f>IF(tech_base!$T124&gt;AD$905,"",AD2148+tech_proj!AD1648/(1-tech_proj!AD528))</f>
        <v>21.459112571635991</v>
      </c>
      <c r="AE1028" s="105">
        <f>IF(tech_base!$T124&gt;AE$905,"",AE2148+tech_proj!AE1648/(1-tech_proj!AE528))</f>
        <v>21.628480972563871</v>
      </c>
      <c r="AF1028" s="105">
        <f>IF(tech_base!$T124&gt;AF$905,"",AF2148+tech_proj!AF1648/(1-tech_proj!AF528))</f>
        <v>21.836982315014072</v>
      </c>
      <c r="AG1028" s="105">
        <f>IF(tech_base!$T124&gt;AG$905,"",AG2148+tech_proj!AG1648/(1-tech_proj!AG528))</f>
        <v>22.053026114054106</v>
      </c>
      <c r="AH1028" s="105">
        <f>IF(tech_base!$T124&gt;AH$905,"",AH2148+tech_proj!AH1648/(1-tech_proj!AH528))</f>
        <v>22.259363888151142</v>
      </c>
      <c r="AI1028" s="105">
        <f>IF(tech_base!$T124&gt;AI$905,"",AI2148+tech_proj!AI1648/(1-tech_proj!AI528))</f>
        <v>22.453029823472722</v>
      </c>
      <c r="AJ1028" s="105">
        <f>IF(tech_base!$T124&gt;AJ$905,"",AJ2148+tech_proj!AJ1648/(1-tech_proj!AJ528))</f>
        <v>22.608661322790038</v>
      </c>
      <c r="AK1028" s="105">
        <f>IF(tech_base!$T124&gt;AK$905,"",AK2148+tech_proj!AK1648/(1-tech_proj!AK528))</f>
        <v>22.781826119311706</v>
      </c>
      <c r="AL1028" s="105">
        <f>IF(tech_base!$T124&gt;AL$905,"",AL2148+tech_proj!AL1648/(1-tech_proj!AL528))</f>
        <v>22.968114372789827</v>
      </c>
      <c r="AM1028" s="105">
        <f>IF(tech_base!$T124&gt;AM$905,"",AM2148+tech_proj!AM1648/(1-tech_proj!AM528))</f>
        <v>23.165578125058111</v>
      </c>
      <c r="AN1028" s="105">
        <f>IF(tech_base!$T124&gt;AN$905,"",AN2148+tech_proj!AN1648/(1-tech_proj!AN528))</f>
        <v>23.333130795369506</v>
      </c>
      <c r="AO1028" s="105">
        <f>IF(tech_base!$T124&gt;AO$905,"",AO2148+tech_proj!AO1648/(1-tech_proj!AO528))</f>
        <v>23.498878917692636</v>
      </c>
      <c r="AP1028" s="105">
        <f>IF(tech_base!$T124&gt;AP$905,"",AP2148+tech_proj!AP1648/(1-tech_proj!AP528))</f>
        <v>23.663562677846489</v>
      </c>
      <c r="AQ1028" s="105">
        <f>IF(tech_base!$T124&gt;AQ$905,"",AQ2148+tech_proj!AQ1648/(1-tech_proj!AQ528))</f>
        <v>23.828652115859171</v>
      </c>
      <c r="AR1028" s="105">
        <f>IF(tech_base!$T124&gt;AR$905,"",AR2148+tech_proj!AR1648/(1-tech_proj!AR528))</f>
        <v>24.004746851360441</v>
      </c>
      <c r="AS1028" s="105">
        <f>IF(tech_base!$T124&gt;AS$905,"",AS2148+tech_proj!AS1648/(1-tech_proj!AS528))</f>
        <v>24.184236633258358</v>
      </c>
      <c r="AT1028" s="105">
        <f>IF(tech_base!$T124&gt;AT$905,"",AT2148+tech_proj!AT1648/(1-tech_proj!AT528))</f>
        <v>24.323148802282574</v>
      </c>
      <c r="AU1028" s="105">
        <f>IF(tech_base!$T124&gt;AU$905,"",AU2148+tech_proj!AU1648/(1-tech_proj!AU528))</f>
        <v>24.496863560947642</v>
      </c>
      <c r="AV1028" s="105">
        <f>IF(tech_base!$T124&gt;AV$905,"",AV2148+tech_proj!AV1648/(1-tech_proj!AV528))</f>
        <v>24.652282464631398</v>
      </c>
      <c r="AW1028" s="105">
        <f>IF(tech_base!$T124&gt;AW$905,"",AW2148+tech_proj!AW1648/(1-tech_proj!AW528))</f>
        <v>24.798133542036922</v>
      </c>
      <c r="AX1028" s="106">
        <f>IF(tech_base!$T124&gt;AX$905,"",AX2148+tech_proj!AX1648/(1-tech_proj!AX528))</f>
        <v>24.970343420243672</v>
      </c>
    </row>
    <row r="1029" spans="1:50" x14ac:dyDescent="0.25">
      <c r="A1029" s="356"/>
      <c r="B1029" s="359"/>
      <c r="C1029" s="378"/>
      <c r="D1029" s="2" t="s">
        <v>10</v>
      </c>
      <c r="E1029" s="160" t="str">
        <f>A1023&amp;"/"&amp;B1023&amp;"/"&amp;C1027&amp;"/"&amp;D1029</f>
        <v>Derived gas fired power plants/Steam turbine/CHP/S</v>
      </c>
      <c r="F1029" s="76" t="str">
        <f>A1023</f>
        <v>Derived gas fired power plants</v>
      </c>
      <c r="G1029" s="76" t="str">
        <f>B1023</f>
        <v>Steam turbine</v>
      </c>
      <c r="H1029" s="76" t="str">
        <f>C1027</f>
        <v>CHP</v>
      </c>
      <c r="I1029" s="161" t="str">
        <f t="shared" si="368"/>
        <v>S</v>
      </c>
      <c r="J1029" s="105">
        <f>IF(tech_base!$T125&gt;J$905,"",J2149+tech_proj!J1649/(1-tech_proj!J529))</f>
        <v>18.663439085367397</v>
      </c>
      <c r="K1029" s="105">
        <f>IF(tech_base!$T125&gt;K$905,"",K2149+tech_proj!K1649/(1-tech_proj!K529))</f>
        <v>20.771208840167155</v>
      </c>
      <c r="L1029" s="105">
        <f>IF(tech_base!$T125&gt;L$905,"",L2149+tech_proj!L1649/(1-tech_proj!L529))</f>
        <v>19.349664278055631</v>
      </c>
      <c r="M1029" s="105">
        <f>IF(tech_base!$T125&gt;M$905,"",M2149+tech_proj!M1649/(1-tech_proj!M529))</f>
        <v>18.594029322959919</v>
      </c>
      <c r="N1029" s="105">
        <f>IF(tech_base!$T125&gt;N$905,"",N2149+tech_proj!N1649/(1-tech_proj!N529))</f>
        <v>18.366703256860667</v>
      </c>
      <c r="O1029" s="105">
        <f>IF(tech_base!$T125&gt;O$905,"",O2149+tech_proj!O1649/(1-tech_proj!O529))</f>
        <v>17.995068375656025</v>
      </c>
      <c r="P1029" s="105">
        <f>IF(tech_base!$T125&gt;P$905,"",P2149+tech_proj!P1649/(1-tech_proj!P529))</f>
        <v>18.449331523487373</v>
      </c>
      <c r="Q1029" s="105">
        <f>IF(tech_base!$T125&gt;Q$905,"",Q2149+tech_proj!Q1649/(1-tech_proj!Q529))</f>
        <v>20.569781158666508</v>
      </c>
      <c r="R1029" s="105">
        <f>IF(tech_base!$T125&gt;R$905,"",R2149+tech_proj!R1649/(1-tech_proj!R529))</f>
        <v>20.684622029201389</v>
      </c>
      <c r="S1029" s="105">
        <f>IF(tech_base!$T125&gt;S$905,"",S2149+tech_proj!S1649/(1-tech_proj!S529))</f>
        <v>20.799306802596842</v>
      </c>
      <c r="T1029" s="105">
        <f>IF(tech_base!$T125&gt;T$905,"",T2149+tech_proj!T1649/(1-tech_proj!T529))</f>
        <v>20.913840538196411</v>
      </c>
      <c r="U1029" s="105">
        <f>IF(tech_base!$T125&gt;U$905,"",U2149+tech_proj!U1649/(1-tech_proj!U529))</f>
        <v>21.200485020111863</v>
      </c>
      <c r="V1029" s="105">
        <f>IF(tech_base!$T125&gt;V$905,"",V2149+tech_proj!V1649/(1-tech_proj!V529))</f>
        <v>21.267877045470712</v>
      </c>
      <c r="W1029" s="105">
        <f>IF(tech_base!$T125&gt;W$905,"",W2149+tech_proj!W1649/(1-tech_proj!W529))</f>
        <v>21.321176909082389</v>
      </c>
      <c r="X1029" s="105">
        <f>IF(tech_base!$T125&gt;X$905,"",X2149+tech_proj!X1649/(1-tech_proj!X529))</f>
        <v>21.44187573501933</v>
      </c>
      <c r="Y1029" s="105">
        <f>IF(tech_base!$T125&gt;Y$905,"",Y2149+tech_proj!Y1649/(1-tech_proj!Y529))</f>
        <v>21.573763335090277</v>
      </c>
      <c r="Z1029" s="105">
        <f>IF(tech_base!$T125&gt;Z$905,"",Z2149+tech_proj!Z1649/(1-tech_proj!Z529))</f>
        <v>21.970089566754723</v>
      </c>
      <c r="AA1029" s="105">
        <f>IF(tech_base!$T125&gt;AA$905,"",AA2149+tech_proj!AA1649/(1-tech_proj!AA529))</f>
        <v>22.36868739106183</v>
      </c>
      <c r="AB1029" s="105">
        <f>IF(tech_base!$T125&gt;AB$905,"",AB2149+tech_proj!AB1649/(1-tech_proj!AB529))</f>
        <v>22.781785278546874</v>
      </c>
      <c r="AC1029" s="105">
        <f>IF(tech_base!$T125&gt;AC$905,"",AC2149+tech_proj!AC1649/(1-tech_proj!AC529))</f>
        <v>23.201007993007405</v>
      </c>
      <c r="AD1029" s="105">
        <f>IF(tech_base!$T125&gt;AD$905,"",AD2149+tech_proj!AD1649/(1-tech_proj!AD529))</f>
        <v>23.657326222681622</v>
      </c>
      <c r="AE1029" s="105">
        <f>IF(tech_base!$T125&gt;AE$905,"",AE2149+tech_proj!AE1649/(1-tech_proj!AE529))</f>
        <v>23.835762163080283</v>
      </c>
      <c r="AF1029" s="105">
        <f>IF(tech_base!$T125&gt;AF$905,"",AF2149+tech_proj!AF1649/(1-tech_proj!AF529))</f>
        <v>24.055437437255137</v>
      </c>
      <c r="AG1029" s="105">
        <f>IF(tech_base!$T125&gt;AG$905,"",AG2149+tech_proj!AG1649/(1-tech_proj!AG529))</f>
        <v>24.283062625524991</v>
      </c>
      <c r="AH1029" s="105">
        <f>IF(tech_base!$T125&gt;AH$905,"",AH2149+tech_proj!AH1649/(1-tech_proj!AH529))</f>
        <v>24.50046144394917</v>
      </c>
      <c r="AI1029" s="105">
        <f>IF(tech_base!$T125&gt;AI$905,"",AI2149+tech_proj!AI1649/(1-tech_proj!AI529))</f>
        <v>24.704508421718458</v>
      </c>
      <c r="AJ1029" s="105">
        <f>IF(tech_base!$T125&gt;AJ$905,"",AJ2149+tech_proj!AJ1649/(1-tech_proj!AJ529))</f>
        <v>24.86847639267453</v>
      </c>
      <c r="AK1029" s="105">
        <f>IF(tech_base!$T125&gt;AK$905,"",AK2149+tech_proj!AK1649/(1-tech_proj!AK529))</f>
        <v>25.05092229691121</v>
      </c>
      <c r="AL1029" s="105">
        <f>IF(tech_base!$T125&gt;AL$905,"",AL2149+tech_proj!AL1649/(1-tech_proj!AL529))</f>
        <v>25.247199141588005</v>
      </c>
      <c r="AM1029" s="105">
        <f>IF(tech_base!$T125&gt;AM$905,"",AM2149+tech_proj!AM1649/(1-tech_proj!AM529))</f>
        <v>25.455254228965956</v>
      </c>
      <c r="AN1029" s="105">
        <f>IF(tech_base!$T125&gt;AN$905,"",AN2149+tech_proj!AN1649/(1-tech_proj!AN529))</f>
        <v>25.631790277529483</v>
      </c>
      <c r="AO1029" s="105">
        <f>IF(tech_base!$T125&gt;AO$905,"",AO2149+tech_proj!AO1649/(1-tech_proj!AO529))</f>
        <v>25.806425977367056</v>
      </c>
      <c r="AP1029" s="105">
        <f>IF(tech_base!$T125&gt;AP$905,"",AP2149+tech_proj!AP1649/(1-tech_proj!AP529))</f>
        <v>25.979941306512078</v>
      </c>
      <c r="AQ1029" s="105">
        <f>IF(tech_base!$T125&gt;AQ$905,"",AQ2149+tech_proj!AQ1649/(1-tech_proj!AQ529))</f>
        <v>26.153885381383489</v>
      </c>
      <c r="AR1029" s="105">
        <f>IF(tech_base!$T125&gt;AR$905,"",AR2149+tech_proj!AR1649/(1-tech_proj!AR529))</f>
        <v>26.339428234055735</v>
      </c>
      <c r="AS1029" s="105">
        <f>IF(tech_base!$T125&gt;AS$905,"",AS2149+tech_proj!AS1649/(1-tech_proj!AS529))</f>
        <v>26.528550088381376</v>
      </c>
      <c r="AT1029" s="105">
        <f>IF(tech_base!$T125&gt;AT$905,"",AT2149+tech_proj!AT1649/(1-tech_proj!AT529))</f>
        <v>26.674911632482583</v>
      </c>
      <c r="AU1029" s="105">
        <f>IF(tech_base!$T125&gt;AU$905,"",AU2149+tech_proj!AU1649/(1-tech_proj!AU529))</f>
        <v>26.857949976206228</v>
      </c>
      <c r="AV1029" s="105">
        <f>IF(tech_base!$T125&gt;AV$905,"",AV2149+tech_proj!AV1649/(1-tech_proj!AV529))</f>
        <v>27.021708840932309</v>
      </c>
      <c r="AW1029" s="105">
        <f>IF(tech_base!$T125&gt;AW$905,"",AW2149+tech_proj!AW1649/(1-tech_proj!AW529))</f>
        <v>27.175385923216403</v>
      </c>
      <c r="AX1029" s="106">
        <f>IF(tech_base!$T125&gt;AX$905,"",AX2149+tech_proj!AX1649/(1-tech_proj!AX529))</f>
        <v>27.356841675523778</v>
      </c>
    </row>
    <row r="1030" spans="1:50" x14ac:dyDescent="0.25">
      <c r="A1030" s="356"/>
      <c r="B1030" s="359"/>
      <c r="C1030" s="379"/>
      <c r="D1030" s="59" t="s">
        <v>20</v>
      </c>
      <c r="E1030" s="166" t="str">
        <f>A1023&amp;"/"&amp;B1023&amp;"/"&amp;C1027&amp;"/"&amp;D1030</f>
        <v>Derived gas fired power plants/Steam turbine/CHP/XS</v>
      </c>
      <c r="F1030" s="79" t="str">
        <f>A1023</f>
        <v>Derived gas fired power plants</v>
      </c>
      <c r="G1030" s="79" t="str">
        <f>B1023</f>
        <v>Steam turbine</v>
      </c>
      <c r="H1030" s="79" t="str">
        <f>C1027</f>
        <v>CHP</v>
      </c>
      <c r="I1030" s="167" t="str">
        <f t="shared" si="368"/>
        <v>XS</v>
      </c>
      <c r="J1030" s="111">
        <f>IF(tech_base!$T126&gt;J$905,"",J2150+tech_proj!J1650/(1-tech_proj!J530))</f>
        <v>20.020128816493507</v>
      </c>
      <c r="K1030" s="111">
        <f>IF(tech_base!$T126&gt;K$905,"",K2150+tech_proj!K1650/(1-tech_proj!K530))</f>
        <v>22.241404298807222</v>
      </c>
      <c r="L1030" s="111">
        <f>IF(tech_base!$T126&gt;L$905,"",L2150+tech_proj!L1650/(1-tech_proj!L530))</f>
        <v>20.743082252134649</v>
      </c>
      <c r="M1030" s="111">
        <f>IF(tech_base!$T126&gt;M$905,"",M2150+tech_proj!M1650/(1-tech_proj!M530))</f>
        <v>19.946570779696593</v>
      </c>
      <c r="N1030" s="111">
        <f>IF(tech_base!$T126&gt;N$905,"",N2150+tech_proj!N1650/(1-tech_proj!N530))</f>
        <v>19.706855091543524</v>
      </c>
      <c r="O1030" s="111">
        <f>IF(tech_base!$T126&gt;O$905,"",O2150+tech_proj!O1650/(1-tech_proj!O530))</f>
        <v>19.315049104715502</v>
      </c>
      <c r="P1030" s="111">
        <f>IF(tech_base!$T126&gt;P$905,"",P2150+tech_proj!P1650/(1-tech_proj!P530))</f>
        <v>19.79368272043147</v>
      </c>
      <c r="Q1030" s="111">
        <f>IF(tech_base!$T126&gt;Q$905,"",Q2150+tech_proj!Q1650/(1-tech_proj!Q530))</f>
        <v>22.028371390161222</v>
      </c>
      <c r="R1030" s="111">
        <f>IF(tech_base!$T126&gt;R$905,"",R2150+tech_proj!R1650/(1-tech_proj!R530))</f>
        <v>22.149289297969343</v>
      </c>
      <c r="S1030" s="111">
        <f>IF(tech_base!$T126&gt;S$905,"",S2150+tech_proj!S1650/(1-tech_proj!S530))</f>
        <v>22.270045264260546</v>
      </c>
      <c r="T1030" s="111">
        <f>IF(tech_base!$T126&gt;T$905,"",T2150+tech_proj!T1650/(1-tech_proj!T530))</f>
        <v>22.3906445784827</v>
      </c>
      <c r="U1030" s="111">
        <f>IF(tech_base!$T126&gt;U$905,"",U2150+tech_proj!U1650/(1-tech_proj!U530))</f>
        <v>22.69264158155903</v>
      </c>
      <c r="V1030" s="111">
        <f>IF(tech_base!$T126&gt;V$905,"",V2150+tech_proj!V1650/(1-tech_proj!V530))</f>
        <v>22.763561406572528</v>
      </c>
      <c r="W1030" s="111">
        <f>IF(tech_base!$T126&gt;W$905,"",W2150+tech_proj!W1650/(1-tech_proj!W530))</f>
        <v>22.81963096475204</v>
      </c>
      <c r="X1030" s="111">
        <f>IF(tech_base!$T126&gt;X$905,"",X2150+tech_proj!X1650/(1-tech_proj!X530))</f>
        <v>22.946737869519843</v>
      </c>
      <c r="Y1030" s="111">
        <f>IF(tech_base!$T126&gt;Y$905,"",Y2150+tech_proj!Y1650/(1-tech_proj!Y530))</f>
        <v>23.085639592923322</v>
      </c>
      <c r="Z1030" s="111">
        <f>IF(tech_base!$T126&gt;Z$905,"",Z2150+tech_proj!Z1650/(1-tech_proj!Z530))</f>
        <v>23.503250657659496</v>
      </c>
      <c r="AA1030" s="111">
        <f>IF(tech_base!$T126&gt;AA$905,"",AA2150+tech_proj!AA1650/(1-tech_proj!AA530))</f>
        <v>23.923259469196907</v>
      </c>
      <c r="AB1030" s="111">
        <f>IF(tech_base!$T126&gt;AB$905,"",AB2150+tech_proj!AB1650/(1-tech_proj!AB530))</f>
        <v>24.358554310794112</v>
      </c>
      <c r="AC1030" s="111">
        <f>IF(tech_base!$T126&gt;AC$905,"",AC2150+tech_proj!AC1650/(1-tech_proj!AC530))</f>
        <v>24.800308011611534</v>
      </c>
      <c r="AD1030" s="111">
        <f>IF(tech_base!$T126&gt;AD$905,"",AD2150+tech_proj!AD1650/(1-tech_proj!AD530))</f>
        <v>25.281162601493392</v>
      </c>
      <c r="AE1030" s="111">
        <f>IF(tech_base!$T126&gt;AE$905,"",AE2150+tech_proj!AE1650/(1-tech_proj!AE530))</f>
        <v>25.46914157063491</v>
      </c>
      <c r="AF1030" s="111">
        <f>IF(tech_base!$T126&gt;AF$905,"",AF2150+tech_proj!AF1650/(1-tech_proj!AF530))</f>
        <v>25.700587867157953</v>
      </c>
      <c r="AG1030" s="111">
        <f>IF(tech_base!$T126&gt;AG$905,"",AG2150+tech_proj!AG1650/(1-tech_proj!AG530))</f>
        <v>25.940415569139518</v>
      </c>
      <c r="AH1030" s="111">
        <f>IF(tech_base!$T126&gt;AH$905,"",AH2150+tech_proj!AH1650/(1-tech_proj!AH530))</f>
        <v>26.169467333266489</v>
      </c>
      <c r="AI1030" s="111">
        <f>IF(tech_base!$T126&gt;AI$905,"",AI2150+tech_proj!AI1650/(1-tech_proj!AI530))</f>
        <v>26.38444887573862</v>
      </c>
      <c r="AJ1030" s="111">
        <f>IF(tech_base!$T126&gt;AJ$905,"",AJ2150+tech_proj!AJ1650/(1-tech_proj!AJ530))</f>
        <v>26.557190200760541</v>
      </c>
      <c r="AK1030" s="111">
        <f>IF(tech_base!$T126&gt;AK$905,"",AK2150+tech_proj!AK1650/(1-tech_proj!AK530))</f>
        <v>26.749408924824472</v>
      </c>
      <c r="AL1030" s="111">
        <f>IF(tech_base!$T126&gt;AL$905,"",AL2150+tech_proj!AL1650/(1-tech_proj!AL530))</f>
        <v>26.956207266872504</v>
      </c>
      <c r="AM1030" s="111">
        <f>IF(tech_base!$T126&gt;AM$905,"",AM2150+tech_proj!AM1650/(1-tech_proj!AM530))</f>
        <v>27.17542175459004</v>
      </c>
      <c r="AN1030" s="111">
        <f>IF(tech_base!$T126&gt;AN$905,"",AN2150+tech_proj!AN1650/(1-tech_proj!AN530))</f>
        <v>27.361417657744479</v>
      </c>
      <c r="AO1030" s="111">
        <f>IF(tech_base!$T126&gt;AO$905,"",AO2150+tech_proj!AO1650/(1-tech_proj!AO530))</f>
        <v>27.545412519695724</v>
      </c>
      <c r="AP1030" s="111">
        <f>IF(tech_base!$T126&gt;AP$905,"",AP2150+tech_proj!AP1650/(1-tech_proj!AP530))</f>
        <v>27.728228382420394</v>
      </c>
      <c r="AQ1030" s="111">
        <f>IF(tech_base!$T126&gt;AQ$905,"",AQ2150+tech_proj!AQ1650/(1-tech_proj!AQ530))</f>
        <v>27.911497960128788</v>
      </c>
      <c r="AR1030" s="111">
        <f>IF(tech_base!$T126&gt;AR$905,"",AR2150+tech_proj!AR1650/(1-tech_proj!AR530))</f>
        <v>28.106994364131268</v>
      </c>
      <c r="AS1030" s="111">
        <f>IF(tech_base!$T126&gt;AS$905,"",AS2150+tech_proj!AS1650/(1-tech_proj!AS530))</f>
        <v>28.306264810819286</v>
      </c>
      <c r="AT1030" s="111">
        <f>IF(tech_base!$T126&gt;AT$905,"",AT2150+tech_proj!AT1650/(1-tech_proj!AT530))</f>
        <v>28.460467777717746</v>
      </c>
      <c r="AU1030" s="111">
        <f>IF(tech_base!$T126&gt;AU$905,"",AU2150+tech_proj!AU1650/(1-tech_proj!AU530))</f>
        <v>28.653329640223237</v>
      </c>
      <c r="AV1030" s="111">
        <f>IF(tech_base!$T126&gt;AV$905,"",AV2150+tech_proj!AV1650/(1-tech_proj!AV530))</f>
        <v>28.825872601744514</v>
      </c>
      <c r="AW1030" s="111">
        <f>IF(tech_base!$T126&gt;AW$905,"",AW2150+tech_proj!AW1650/(1-tech_proj!AW530))</f>
        <v>28.987790927744843</v>
      </c>
      <c r="AX1030" s="112">
        <f>IF(tech_base!$T126&gt;AX$905,"",AX2150+tech_proj!AX1650/(1-tech_proj!AX530))</f>
        <v>29.17898959362152</v>
      </c>
    </row>
    <row r="1031" spans="1:50" x14ac:dyDescent="0.25">
      <c r="A1031" s="356"/>
      <c r="B1031" s="359"/>
      <c r="C1031" s="361" t="s">
        <v>15</v>
      </c>
      <c r="D1031" s="58" t="s">
        <v>7</v>
      </c>
      <c r="E1031" s="164" t="str">
        <f>A1023&amp;"/"&amp;B1023&amp;"/"&amp;C1031&amp;"/"&amp;D1031</f>
        <v>Derived gas fired power plants/Steam turbine/Electricity only with CCS/L</v>
      </c>
      <c r="F1031" s="78" t="str">
        <f>A1023</f>
        <v>Derived gas fired power plants</v>
      </c>
      <c r="G1031" s="78" t="str">
        <f>B1023</f>
        <v>Steam turbine</v>
      </c>
      <c r="H1031" s="78" t="str">
        <f>C1031</f>
        <v>Electricity only with CCS</v>
      </c>
      <c r="I1031" s="165" t="str">
        <f t="shared" si="368"/>
        <v>L</v>
      </c>
      <c r="J1031" s="109" t="str">
        <f>IF(tech_base!$T127&gt;J$905,"",J2151+tech_proj!J1651/(1-tech_proj!J531))</f>
        <v/>
      </c>
      <c r="K1031" s="109" t="str">
        <f>IF(tech_base!$T127&gt;K$905,"",K2151+tech_proj!K1651/(1-tech_proj!K531))</f>
        <v/>
      </c>
      <c r="L1031" s="109" t="str">
        <f>IF(tech_base!$T127&gt;L$905,"",L2151+tech_proj!L1651/(1-tech_proj!L531))</f>
        <v/>
      </c>
      <c r="M1031" s="109" t="str">
        <f>IF(tech_base!$T127&gt;M$905,"",M2151+tech_proj!M1651/(1-tech_proj!M531))</f>
        <v/>
      </c>
      <c r="N1031" s="109" t="str">
        <f>IF(tech_base!$T127&gt;N$905,"",N2151+tech_proj!N1651/(1-tech_proj!N531))</f>
        <v/>
      </c>
      <c r="O1031" s="109" t="str">
        <f>IF(tech_base!$T127&gt;O$905,"",O2151+tech_proj!O1651/(1-tech_proj!O531))</f>
        <v/>
      </c>
      <c r="P1031" s="109" t="str">
        <f>IF(tech_base!$T127&gt;P$905,"",P2151+tech_proj!P1651/(1-tech_proj!P531))</f>
        <v/>
      </c>
      <c r="Q1031" s="109" t="str">
        <f>IF(tech_base!$T127&gt;Q$905,"",Q2151+tech_proj!Q1651/(1-tech_proj!Q531))</f>
        <v/>
      </c>
      <c r="R1031" s="109" t="str">
        <f>IF(tech_base!$T127&gt;R$905,"",R2151+tech_proj!R1651/(1-tech_proj!R531))</f>
        <v/>
      </c>
      <c r="S1031" s="109" t="str">
        <f>IF(tech_base!$T127&gt;S$905,"",S2151+tech_proj!S1651/(1-tech_proj!S531))</f>
        <v/>
      </c>
      <c r="T1031" s="109" t="str">
        <f>IF(tech_base!$T127&gt;T$905,"",T2151+tech_proj!T1651/(1-tech_proj!T531))</f>
        <v/>
      </c>
      <c r="U1031" s="109" t="str">
        <f>IF(tech_base!$T127&gt;U$905,"",U2151+tech_proj!U1651/(1-tech_proj!U531))</f>
        <v/>
      </c>
      <c r="V1031" s="109" t="str">
        <f>IF(tech_base!$T127&gt;V$905,"",V2151+tech_proj!V1651/(1-tech_proj!V531))</f>
        <v/>
      </c>
      <c r="W1031" s="109" t="str">
        <f>IF(tech_base!$T127&gt;W$905,"",W2151+tech_proj!W1651/(1-tech_proj!W531))</f>
        <v/>
      </c>
      <c r="X1031" s="109" t="str">
        <f>IF(tech_base!$T127&gt;X$905,"",X2151+tech_proj!X1651/(1-tech_proj!X531))</f>
        <v/>
      </c>
      <c r="Y1031" s="109" t="str">
        <f>IF(tech_base!$T127&gt;Y$905,"",Y2151+tech_proj!Y1651/(1-tech_proj!Y531))</f>
        <v/>
      </c>
      <c r="Z1031" s="109" t="str">
        <f>IF(tech_base!$T127&gt;Z$905,"",Z2151+tech_proj!Z1651/(1-tech_proj!Z531))</f>
        <v/>
      </c>
      <c r="AA1031" s="109" t="str">
        <f>IF(tech_base!$T127&gt;AA$905,"",AA2151+tech_proj!AA1651/(1-tech_proj!AA531))</f>
        <v/>
      </c>
      <c r="AB1031" s="109" t="str">
        <f>IF(tech_base!$T127&gt;AB$905,"",AB2151+tech_proj!AB1651/(1-tech_proj!AB531))</f>
        <v/>
      </c>
      <c r="AC1031" s="109" t="str">
        <f>IF(tech_base!$T127&gt;AC$905,"",AC2151+tech_proj!AC1651/(1-tech_proj!AC531))</f>
        <v/>
      </c>
      <c r="AD1031" s="109" t="str">
        <f>IF(tech_base!$T127&gt;AD$905,"",AD2151+tech_proj!AD1651/(1-tech_proj!AD531))</f>
        <v/>
      </c>
      <c r="AE1031" s="109">
        <f>IF(tech_base!$T127&gt;AE$905,"",AE2151+tech_proj!AE1651/(1-tech_proj!AE531))</f>
        <v>26.537209552700407</v>
      </c>
      <c r="AF1031" s="109">
        <f>IF(tech_base!$T127&gt;AF$905,"",AF2151+tech_proj!AF1651/(1-tech_proj!AF531))</f>
        <v>26.784644846482429</v>
      </c>
      <c r="AG1031" s="109">
        <f>IF(tech_base!$T127&gt;AG$905,"",AG2151+tech_proj!AG1651/(1-tech_proj!AG531))</f>
        <v>27.041048392313609</v>
      </c>
      <c r="AH1031" s="109">
        <f>IF(tech_base!$T127&gt;AH$905,"",AH2151+tech_proj!AH1651/(1-tech_proj!AH531))</f>
        <v>27.285929222374925</v>
      </c>
      <c r="AI1031" s="109">
        <f>IF(tech_base!$T127&gt;AI$905,"",AI2151+tech_proj!AI1651/(1-tech_proj!AI531))</f>
        <v>27.515763570231982</v>
      </c>
      <c r="AJ1031" s="109">
        <f>IF(tech_base!$T127&gt;AJ$905,"",AJ2151+tech_proj!AJ1651/(1-tech_proj!AJ531))</f>
        <v>27.700420125334094</v>
      </c>
      <c r="AK1031" s="109">
        <f>IF(tech_base!$T127&gt;AK$905,"",AK2151+tech_proj!AK1651/(1-tech_proj!AK531))</f>
        <v>27.905912969454519</v>
      </c>
      <c r="AL1031" s="109">
        <f>IF(tech_base!$T127&gt;AL$905,"",AL2151+tech_proj!AL1651/(1-tech_proj!AL531))</f>
        <v>28.127003395196155</v>
      </c>
      <c r="AM1031" s="109">
        <f>IF(tech_base!$T127&gt;AM$905,"",AM2151+tech_proj!AM1651/(1-tech_proj!AM531))</f>
        <v>28.361377333633715</v>
      </c>
      <c r="AN1031" s="109">
        <f>IF(tech_base!$T127&gt;AN$905,"",AN2151+tech_proj!AN1651/(1-tech_proj!AN531))</f>
        <v>28.56022265659259</v>
      </c>
      <c r="AO1031" s="109">
        <f>IF(tech_base!$T127&gt;AO$905,"",AO2151+tech_proj!AO1651/(1-tech_proj!AO531))</f>
        <v>28.756930291264865</v>
      </c>
      <c r="AP1031" s="109">
        <f>IF(tech_base!$T127&gt;AP$905,"",AP2151+tech_proj!AP1651/(1-tech_proj!AP531))</f>
        <v>28.952379450960468</v>
      </c>
      <c r="AQ1031" s="109">
        <f>IF(tech_base!$T127&gt;AQ$905,"",AQ2151+tech_proj!AQ1651/(1-tech_proj!AQ531))</f>
        <v>29.148316479233412</v>
      </c>
      <c r="AR1031" s="109">
        <f>IF(tech_base!$T127&gt;AR$905,"",AR2151+tech_proj!AR1651/(1-tech_proj!AR531))</f>
        <v>29.357334260946597</v>
      </c>
      <c r="AS1031" s="109">
        <f>IF(tech_base!$T127&gt;AS$905,"",AS2151+tech_proj!AS1651/(1-tech_proj!AS531))</f>
        <v>29.57039140234636</v>
      </c>
      <c r="AT1031" s="109">
        <f>IF(tech_base!$T127&gt;AT$905,"",AT2151+tech_proj!AT1651/(1-tech_proj!AT531))</f>
        <v>29.735245065467623</v>
      </c>
      <c r="AU1031" s="109">
        <f>IF(tech_base!$T127&gt;AU$905,"",AU2151+tech_proj!AU1651/(1-tech_proj!AU531))</f>
        <v>29.941452113806957</v>
      </c>
      <c r="AV1031" s="109">
        <f>IF(tech_base!$T127&gt;AV$905,"",AV2151+tech_proj!AV1651/(1-tech_proj!AV531))</f>
        <v>30.125927532452515</v>
      </c>
      <c r="AW1031" s="109">
        <f>IF(tech_base!$T127&gt;AW$905,"",AW2151+tech_proj!AW1651/(1-tech_proj!AW531))</f>
        <v>30.299040581455881</v>
      </c>
      <c r="AX1031" s="110">
        <f>IF(tech_base!$T127&gt;AX$905,"",AX2151+tech_proj!AX1651/(1-tech_proj!AX531))</f>
        <v>30.503475373993616</v>
      </c>
    </row>
    <row r="1032" spans="1:50" x14ac:dyDescent="0.25">
      <c r="A1032" s="356"/>
      <c r="B1032" s="359"/>
      <c r="C1032" s="379"/>
      <c r="D1032" s="59" t="s">
        <v>8</v>
      </c>
      <c r="E1032" s="166" t="str">
        <f>A1023&amp;"/"&amp;B1023&amp;"/"&amp;C1031&amp;"/"&amp;D1032</f>
        <v>Derived gas fired power plants/Steam turbine/Electricity only with CCS/M</v>
      </c>
      <c r="F1032" s="79" t="str">
        <f>A1023</f>
        <v>Derived gas fired power plants</v>
      </c>
      <c r="G1032" s="79" t="str">
        <f>B1023</f>
        <v>Steam turbine</v>
      </c>
      <c r="H1032" s="79" t="str">
        <f>C1031</f>
        <v>Electricity only with CCS</v>
      </c>
      <c r="I1032" s="167" t="str">
        <f t="shared" si="368"/>
        <v>M</v>
      </c>
      <c r="J1032" s="111" t="str">
        <f>IF(tech_base!$T128&gt;J$905,"",J2152+tech_proj!J1652/(1-tech_proj!J532))</f>
        <v/>
      </c>
      <c r="K1032" s="111" t="str">
        <f>IF(tech_base!$T128&gt;K$905,"",K2152+tech_proj!K1652/(1-tech_proj!K532))</f>
        <v/>
      </c>
      <c r="L1032" s="111" t="str">
        <f>IF(tech_base!$T128&gt;L$905,"",L2152+tech_proj!L1652/(1-tech_proj!L532))</f>
        <v/>
      </c>
      <c r="M1032" s="111" t="str">
        <f>IF(tech_base!$T128&gt;M$905,"",M2152+tech_proj!M1652/(1-tech_proj!M532))</f>
        <v/>
      </c>
      <c r="N1032" s="111" t="str">
        <f>IF(tech_base!$T128&gt;N$905,"",N2152+tech_proj!N1652/(1-tech_proj!N532))</f>
        <v/>
      </c>
      <c r="O1032" s="111" t="str">
        <f>IF(tech_base!$T128&gt;O$905,"",O2152+tech_proj!O1652/(1-tech_proj!O532))</f>
        <v/>
      </c>
      <c r="P1032" s="111" t="str">
        <f>IF(tech_base!$T128&gt;P$905,"",P2152+tech_proj!P1652/(1-tech_proj!P532))</f>
        <v/>
      </c>
      <c r="Q1032" s="111" t="str">
        <f>IF(tech_base!$T128&gt;Q$905,"",Q2152+tech_proj!Q1652/(1-tech_proj!Q532))</f>
        <v/>
      </c>
      <c r="R1032" s="111" t="str">
        <f>IF(tech_base!$T128&gt;R$905,"",R2152+tech_proj!R1652/(1-tech_proj!R532))</f>
        <v/>
      </c>
      <c r="S1032" s="111" t="str">
        <f>IF(tech_base!$T128&gt;S$905,"",S2152+tech_proj!S1652/(1-tech_proj!S532))</f>
        <v/>
      </c>
      <c r="T1032" s="111" t="str">
        <f>IF(tech_base!$T128&gt;T$905,"",T2152+tech_proj!T1652/(1-tech_proj!T532))</f>
        <v/>
      </c>
      <c r="U1032" s="111" t="str">
        <f>IF(tech_base!$T128&gt;U$905,"",U2152+tech_proj!U1652/(1-tech_proj!U532))</f>
        <v/>
      </c>
      <c r="V1032" s="111" t="str">
        <f>IF(tech_base!$T128&gt;V$905,"",V2152+tech_proj!V1652/(1-tech_proj!V532))</f>
        <v/>
      </c>
      <c r="W1032" s="111" t="str">
        <f>IF(tech_base!$T128&gt;W$905,"",W2152+tech_proj!W1652/(1-tech_proj!W532))</f>
        <v/>
      </c>
      <c r="X1032" s="111" t="str">
        <f>IF(tech_base!$T128&gt;X$905,"",X2152+tech_proj!X1652/(1-tech_proj!X532))</f>
        <v/>
      </c>
      <c r="Y1032" s="111" t="str">
        <f>IF(tech_base!$T128&gt;Y$905,"",Y2152+tech_proj!Y1652/(1-tech_proj!Y532))</f>
        <v/>
      </c>
      <c r="Z1032" s="111" t="str">
        <f>IF(tech_base!$T128&gt;Z$905,"",Z2152+tech_proj!Z1652/(1-tech_proj!Z532))</f>
        <v/>
      </c>
      <c r="AA1032" s="111" t="str">
        <f>IF(tech_base!$T128&gt;AA$905,"",AA2152+tech_proj!AA1652/(1-tech_proj!AA532))</f>
        <v/>
      </c>
      <c r="AB1032" s="111" t="str">
        <f>IF(tech_base!$T128&gt;AB$905,"",AB2152+tech_proj!AB1652/(1-tech_proj!AB532))</f>
        <v/>
      </c>
      <c r="AC1032" s="111" t="str">
        <f>IF(tech_base!$T128&gt;AC$905,"",AC2152+tech_proj!AC1652/(1-tech_proj!AC532))</f>
        <v/>
      </c>
      <c r="AD1032" s="111" t="str">
        <f>IF(tech_base!$T128&gt;AD$905,"",AD2152+tech_proj!AD1652/(1-tech_proj!AD532))</f>
        <v/>
      </c>
      <c r="AE1032" s="111">
        <f>IF(tech_base!$T128&gt;AE$905,"",AE2152+tech_proj!AE1652/(1-tech_proj!AE532))</f>
        <v>29.913617661369813</v>
      </c>
      <c r="AF1032" s="111">
        <f>IF(tech_base!$T128&gt;AF$905,"",AF2152+tech_proj!AF1652/(1-tech_proj!AF532))</f>
        <v>30.178707988600429</v>
      </c>
      <c r="AG1032" s="111">
        <f>IF(tech_base!$T128&gt;AG$905,"",AG2152+tech_proj!AG1652/(1-tech_proj!AG532))</f>
        <v>30.453406471701051</v>
      </c>
      <c r="AH1032" s="111">
        <f>IF(tech_base!$T128&gt;AH$905,"",AH2152+tech_proj!AH1652/(1-tech_proj!AH532))</f>
        <v>30.715760068802062</v>
      </c>
      <c r="AI1032" s="111">
        <f>IF(tech_base!$T128&gt;AI$905,"",AI2152+tech_proj!AI1652/(1-tech_proj!AI532))</f>
        <v>30.961993585253978</v>
      </c>
      <c r="AJ1032" s="111">
        <f>IF(tech_base!$T128&gt;AJ$905,"",AJ2152+tech_proj!AJ1652/(1-tech_proj!AJ532))</f>
        <v>31.15982577753784</v>
      </c>
      <c r="AK1032" s="111">
        <f>IF(tech_base!$T128&gt;AK$905,"",AK2152+tech_proj!AK1652/(1-tech_proj!AK532))</f>
        <v>31.379980972291186</v>
      </c>
      <c r="AL1032" s="111">
        <f>IF(tech_base!$T128&gt;AL$905,"",AL2152+tech_proj!AL1652/(1-tech_proj!AL532))</f>
        <v>31.616846669223804</v>
      </c>
      <c r="AM1032" s="111">
        <f>IF(tech_base!$T128&gt;AM$905,"",AM2152+tech_proj!AM1652/(1-tech_proj!AM532))</f>
        <v>31.867943685680459</v>
      </c>
      <c r="AN1032" s="111">
        <f>IF(tech_base!$T128&gt;AN$905,"",AN2152+tech_proj!AN1652/(1-tech_proj!AN532))</f>
        <v>32.080977044526513</v>
      </c>
      <c r="AO1032" s="111">
        <f>IF(tech_base!$T128&gt;AO$905,"",AO2152+tech_proj!AO1652/(1-tech_proj!AO532))</f>
        <v>32.291720186489002</v>
      </c>
      <c r="AP1032" s="111">
        <f>IF(tech_base!$T128&gt;AP$905,"",AP2152+tech_proj!AP1652/(1-tech_proj!AP532))</f>
        <v>32.501115058613827</v>
      </c>
      <c r="AQ1032" s="111">
        <f>IF(tech_base!$T128&gt;AQ$905,"",AQ2152+tech_proj!AQ1652/(1-tech_proj!AQ532))</f>
        <v>32.711032609774598</v>
      </c>
      <c r="AR1032" s="111">
        <f>IF(tech_base!$T128&gt;AR$905,"",AR2152+tech_proj!AR1652/(1-tech_proj!AR532))</f>
        <v>32.934964253900425</v>
      </c>
      <c r="AS1032" s="111">
        <f>IF(tech_base!$T128&gt;AS$905,"",AS2152+tech_proj!AS1652/(1-tech_proj!AS532))</f>
        <v>33.163223474600919</v>
      </c>
      <c r="AT1032" s="111">
        <f>IF(tech_base!$T128&gt;AT$905,"",AT2152+tech_proj!AT1652/(1-tech_proj!AT532))</f>
        <v>33.339839796524991</v>
      </c>
      <c r="AU1032" s="111">
        <f>IF(tech_base!$T128&gt;AU$905,"",AU2152+tech_proj!AU1652/(1-tech_proj!AU532))</f>
        <v>33.560760155484324</v>
      </c>
      <c r="AV1032" s="111">
        <f>IF(tech_base!$T128&gt;AV$905,"",AV2152+tech_proj!AV1652/(1-tech_proj!AV532))</f>
        <v>33.758398286840944</v>
      </c>
      <c r="AW1032" s="111">
        <f>IF(tech_base!$T128&gt;AW$905,"",AW2152+tech_proj!AW1652/(1-tech_proj!AW532))</f>
        <v>33.943863319362208</v>
      </c>
      <c r="AX1032" s="112">
        <f>IF(tech_base!$T128&gt;AX$905,"",AX2152+tech_proj!AX1652/(1-tech_proj!AX532))</f>
        <v>34.162884968306493</v>
      </c>
    </row>
    <row r="1033" spans="1:50" x14ac:dyDescent="0.25">
      <c r="A1033" s="356"/>
      <c r="B1033" s="359"/>
      <c r="C1033" s="361" t="s">
        <v>16</v>
      </c>
      <c r="D1033" s="2" t="s">
        <v>7</v>
      </c>
      <c r="E1033" s="160" t="str">
        <f>A1023&amp;"/"&amp;B1023&amp;"/"&amp;C1033&amp;"/"&amp;D1033</f>
        <v>Derived gas fired power plants/Steam turbine/CHP with CCS/L</v>
      </c>
      <c r="F1033" s="76" t="str">
        <f>A1023</f>
        <v>Derived gas fired power plants</v>
      </c>
      <c r="G1033" s="76" t="str">
        <f>B1023</f>
        <v>Steam turbine</v>
      </c>
      <c r="H1033" s="76" t="str">
        <f>C1033</f>
        <v>CHP with CCS</v>
      </c>
      <c r="I1033" s="161" t="str">
        <f t="shared" si="368"/>
        <v>L</v>
      </c>
      <c r="J1033" s="105" t="str">
        <f>IF(tech_base!$T129&gt;J$905,"",J2153+tech_proj!J1653/(1-tech_proj!J533))</f>
        <v/>
      </c>
      <c r="K1033" s="105" t="str">
        <f>IF(tech_base!$T129&gt;K$905,"",K2153+tech_proj!K1653/(1-tech_proj!K533))</f>
        <v/>
      </c>
      <c r="L1033" s="105" t="str">
        <f>IF(tech_base!$T129&gt;L$905,"",L2153+tech_proj!L1653/(1-tech_proj!L533))</f>
        <v/>
      </c>
      <c r="M1033" s="105" t="str">
        <f>IF(tech_base!$T129&gt;M$905,"",M2153+tech_proj!M1653/(1-tech_proj!M533))</f>
        <v/>
      </c>
      <c r="N1033" s="105" t="str">
        <f>IF(tech_base!$T129&gt;N$905,"",N2153+tech_proj!N1653/(1-tech_proj!N533))</f>
        <v/>
      </c>
      <c r="O1033" s="105" t="str">
        <f>IF(tech_base!$T129&gt;O$905,"",O2153+tech_proj!O1653/(1-tech_proj!O533))</f>
        <v/>
      </c>
      <c r="P1033" s="105" t="str">
        <f>IF(tech_base!$T129&gt;P$905,"",P2153+tech_proj!P1653/(1-tech_proj!P533))</f>
        <v/>
      </c>
      <c r="Q1033" s="105" t="str">
        <f>IF(tech_base!$T129&gt;Q$905,"",Q2153+tech_proj!Q1653/(1-tech_proj!Q533))</f>
        <v/>
      </c>
      <c r="R1033" s="105" t="str">
        <f>IF(tech_base!$T129&gt;R$905,"",R2153+tech_proj!R1653/(1-tech_proj!R533))</f>
        <v/>
      </c>
      <c r="S1033" s="105" t="str">
        <f>IF(tech_base!$T129&gt;S$905,"",S2153+tech_proj!S1653/(1-tech_proj!S533))</f>
        <v/>
      </c>
      <c r="T1033" s="105" t="str">
        <f>IF(tech_base!$T129&gt;T$905,"",T2153+tech_proj!T1653/(1-tech_proj!T533))</f>
        <v/>
      </c>
      <c r="U1033" s="105" t="str">
        <f>IF(tech_base!$T129&gt;U$905,"",U2153+tech_proj!U1653/(1-tech_proj!U533))</f>
        <v/>
      </c>
      <c r="V1033" s="105" t="str">
        <f>IF(tech_base!$T129&gt;V$905,"",V2153+tech_proj!V1653/(1-tech_proj!V533))</f>
        <v/>
      </c>
      <c r="W1033" s="105" t="str">
        <f>IF(tech_base!$T129&gt;W$905,"",W2153+tech_proj!W1653/(1-tech_proj!W533))</f>
        <v/>
      </c>
      <c r="X1033" s="105" t="str">
        <f>IF(tech_base!$T129&gt;X$905,"",X2153+tech_proj!X1653/(1-tech_proj!X533))</f>
        <v/>
      </c>
      <c r="Y1033" s="105" t="str">
        <f>IF(tech_base!$T129&gt;Y$905,"",Y2153+tech_proj!Y1653/(1-tech_proj!Y533))</f>
        <v/>
      </c>
      <c r="Z1033" s="105" t="str">
        <f>IF(tech_base!$T129&gt;Z$905,"",Z2153+tech_proj!Z1653/(1-tech_proj!Z533))</f>
        <v/>
      </c>
      <c r="AA1033" s="105" t="str">
        <f>IF(tech_base!$T129&gt;AA$905,"",AA2153+tech_proj!AA1653/(1-tech_proj!AA533))</f>
        <v/>
      </c>
      <c r="AB1033" s="105" t="str">
        <f>IF(tech_base!$T129&gt;AB$905,"",AB2153+tech_proj!AB1653/(1-tech_proj!AB533))</f>
        <v/>
      </c>
      <c r="AC1033" s="105" t="str">
        <f>IF(tech_base!$T129&gt;AC$905,"",AC2153+tech_proj!AC1653/(1-tech_proj!AC533))</f>
        <v/>
      </c>
      <c r="AD1033" s="105" t="str">
        <f>IF(tech_base!$T129&gt;AD$905,"",AD2153+tech_proj!AD1653/(1-tech_proj!AD533))</f>
        <v/>
      </c>
      <c r="AE1033" s="105">
        <f>IF(tech_base!$T129&gt;AE$905,"",AE2153+tech_proj!AE1653/(1-tech_proj!AE533))</f>
        <v>31.511983553248484</v>
      </c>
      <c r="AF1033" s="105">
        <f>IF(tech_base!$T129&gt;AF$905,"",AF2153+tech_proj!AF1653/(1-tech_proj!AF533))</f>
        <v>31.795461861419732</v>
      </c>
      <c r="AG1033" s="105">
        <f>IF(tech_base!$T129&gt;AG$905,"",AG2153+tech_proj!AG1653/(1-tech_proj!AG533))</f>
        <v>32.089214794844672</v>
      </c>
      <c r="AH1033" s="105">
        <f>IF(tech_base!$T129&gt;AH$905,"",AH2153+tech_proj!AH1653/(1-tech_proj!AH533))</f>
        <v>32.369766539700066</v>
      </c>
      <c r="AI1033" s="105">
        <f>IF(tech_base!$T129&gt;AI$905,"",AI2153+tech_proj!AI1653/(1-tech_proj!AI533))</f>
        <v>32.633080035096384</v>
      </c>
      <c r="AJ1033" s="105">
        <f>IF(tech_base!$T129&gt;AJ$905,"",AJ2153+tech_proj!AJ1653/(1-tech_proj!AJ533))</f>
        <v>32.844634850227941</v>
      </c>
      <c r="AK1033" s="105">
        <f>IF(tech_base!$T129&gt;AK$905,"",AK2153+tech_proj!AK1653/(1-tech_proj!AK533))</f>
        <v>33.080061102086226</v>
      </c>
      <c r="AL1033" s="105">
        <f>IF(tech_base!$T129&gt;AL$905,"",AL2153+tech_proj!AL1653/(1-tech_proj!AL533))</f>
        <v>33.333356979501808</v>
      </c>
      <c r="AM1033" s="105">
        <f>IF(tech_base!$T129&gt;AM$905,"",AM2153+tech_proj!AM1653/(1-tech_proj!AM533))</f>
        <v>33.601871331404425</v>
      </c>
      <c r="AN1033" s="105">
        <f>IF(tech_base!$T129&gt;AN$905,"",AN2153+tech_proj!AN1653/(1-tech_proj!AN533))</f>
        <v>33.829681741465819</v>
      </c>
      <c r="AO1033" s="105">
        <f>IF(tech_base!$T129&gt;AO$905,"",AO2153+tech_proj!AO1653/(1-tech_proj!AO533))</f>
        <v>34.055043073832536</v>
      </c>
      <c r="AP1033" s="105">
        <f>IF(tech_base!$T129&gt;AP$905,"",AP2153+tech_proj!AP1653/(1-tech_proj!AP533))</f>
        <v>34.278962613673158</v>
      </c>
      <c r="AQ1033" s="105">
        <f>IF(tech_base!$T129&gt;AQ$905,"",AQ2153+tech_proj!AQ1653/(1-tech_proj!AQ533))</f>
        <v>34.503441088162113</v>
      </c>
      <c r="AR1033" s="105">
        <f>IF(tech_base!$T129&gt;AR$905,"",AR2153+tech_proj!AR1653/(1-tech_proj!AR533))</f>
        <v>34.742905742666736</v>
      </c>
      <c r="AS1033" s="105">
        <f>IF(tech_base!$T129&gt;AS$905,"",AS2153+tech_proj!AS1653/(1-tech_proj!AS533))</f>
        <v>34.986998155938274</v>
      </c>
      <c r="AT1033" s="105">
        <f>IF(tech_base!$T129&gt;AT$905,"",AT2153+tech_proj!AT1653/(1-tech_proj!AT533))</f>
        <v>35.175865462631464</v>
      </c>
      <c r="AU1033" s="105">
        <f>IF(tech_base!$T129&gt;AU$905,"",AU2153+tech_proj!AU1653/(1-tech_proj!AU533))</f>
        <v>35.412109954283153</v>
      </c>
      <c r="AV1033" s="105">
        <f>IF(tech_base!$T129&gt;AV$905,"",AV2153+tech_proj!AV1653/(1-tech_proj!AV533))</f>
        <v>35.62345724745829</v>
      </c>
      <c r="AW1033" s="105">
        <f>IF(tech_base!$T129&gt;AW$905,"",AW2153+tech_proj!AW1653/(1-tech_proj!AW533))</f>
        <v>35.821787055238552</v>
      </c>
      <c r="AX1033" s="106">
        <f>IF(tech_base!$T129&gt;AX$905,"",AX2153+tech_proj!AX1653/(1-tech_proj!AX533))</f>
        <v>36.056001132923811</v>
      </c>
    </row>
    <row r="1034" spans="1:50" x14ac:dyDescent="0.25">
      <c r="A1034" s="357"/>
      <c r="B1034" s="362"/>
      <c r="C1034" s="381"/>
      <c r="D1034" s="4" t="s">
        <v>8</v>
      </c>
      <c r="E1034" s="168" t="str">
        <f>A1023&amp;"/"&amp;B1023&amp;"/"&amp;C1033&amp;"/"&amp;D1034</f>
        <v>Derived gas fired power plants/Steam turbine/CHP with CCS/M</v>
      </c>
      <c r="F1034" s="80" t="str">
        <f>A1023</f>
        <v>Derived gas fired power plants</v>
      </c>
      <c r="G1034" s="80" t="str">
        <f>B1023</f>
        <v>Steam turbine</v>
      </c>
      <c r="H1034" s="80" t="str">
        <f>C1033</f>
        <v>CHP with CCS</v>
      </c>
      <c r="I1034" s="169" t="str">
        <f t="shared" si="368"/>
        <v>M</v>
      </c>
      <c r="J1034" s="113" t="str">
        <f>IF(tech_base!$T130&gt;J$905,"",J2154+tech_proj!J1654/(1-tech_proj!J534))</f>
        <v/>
      </c>
      <c r="K1034" s="113" t="str">
        <f>IF(tech_base!$T130&gt;K$905,"",K2154+tech_proj!K1654/(1-tech_proj!K534))</f>
        <v/>
      </c>
      <c r="L1034" s="113" t="str">
        <f>IF(tech_base!$T130&gt;L$905,"",L2154+tech_proj!L1654/(1-tech_proj!L534))</f>
        <v/>
      </c>
      <c r="M1034" s="113" t="str">
        <f>IF(tech_base!$T130&gt;M$905,"",M2154+tech_proj!M1654/(1-tech_proj!M534))</f>
        <v/>
      </c>
      <c r="N1034" s="113" t="str">
        <f>IF(tech_base!$T130&gt;N$905,"",N2154+tech_proj!N1654/(1-tech_proj!N534))</f>
        <v/>
      </c>
      <c r="O1034" s="113" t="str">
        <f>IF(tech_base!$T130&gt;O$905,"",O2154+tech_proj!O1654/(1-tech_proj!O534))</f>
        <v/>
      </c>
      <c r="P1034" s="113" t="str">
        <f>IF(tech_base!$T130&gt;P$905,"",P2154+tech_proj!P1654/(1-tech_proj!P534))</f>
        <v/>
      </c>
      <c r="Q1034" s="113" t="str">
        <f>IF(tech_base!$T130&gt;Q$905,"",Q2154+tech_proj!Q1654/(1-tech_proj!Q534))</f>
        <v/>
      </c>
      <c r="R1034" s="113" t="str">
        <f>IF(tech_base!$T130&gt;R$905,"",R2154+tech_proj!R1654/(1-tech_proj!R534))</f>
        <v/>
      </c>
      <c r="S1034" s="113" t="str">
        <f>IF(tech_base!$T130&gt;S$905,"",S2154+tech_proj!S1654/(1-tech_proj!S534))</f>
        <v/>
      </c>
      <c r="T1034" s="113" t="str">
        <f>IF(tech_base!$T130&gt;T$905,"",T2154+tech_proj!T1654/(1-tech_proj!T534))</f>
        <v/>
      </c>
      <c r="U1034" s="113" t="str">
        <f>IF(tech_base!$T130&gt;U$905,"",U2154+tech_proj!U1654/(1-tech_proj!U534))</f>
        <v/>
      </c>
      <c r="V1034" s="113" t="str">
        <f>IF(tech_base!$T130&gt;V$905,"",V2154+tech_proj!V1654/(1-tech_proj!V534))</f>
        <v/>
      </c>
      <c r="W1034" s="113" t="str">
        <f>IF(tech_base!$T130&gt;W$905,"",W2154+tech_proj!W1654/(1-tech_proj!W534))</f>
        <v/>
      </c>
      <c r="X1034" s="113" t="str">
        <f>IF(tech_base!$T130&gt;X$905,"",X2154+tech_proj!X1654/(1-tech_proj!X534))</f>
        <v/>
      </c>
      <c r="Y1034" s="113" t="str">
        <f>IF(tech_base!$T130&gt;Y$905,"",Y2154+tech_proj!Y1654/(1-tech_proj!Y534))</f>
        <v/>
      </c>
      <c r="Z1034" s="113" t="str">
        <f>IF(tech_base!$T130&gt;Z$905,"",Z2154+tech_proj!Z1654/(1-tech_proj!Z534))</f>
        <v/>
      </c>
      <c r="AA1034" s="113" t="str">
        <f>IF(tech_base!$T130&gt;AA$905,"",AA2154+tech_proj!AA1654/(1-tech_proj!AA534))</f>
        <v/>
      </c>
      <c r="AB1034" s="113" t="str">
        <f>IF(tech_base!$T130&gt;AB$905,"",AB2154+tech_proj!AB1654/(1-tech_proj!AB534))</f>
        <v/>
      </c>
      <c r="AC1034" s="113" t="str">
        <f>IF(tech_base!$T130&gt;AC$905,"",AC2154+tech_proj!AC1654/(1-tech_proj!AC534))</f>
        <v/>
      </c>
      <c r="AD1034" s="113" t="str">
        <f>IF(tech_base!$T130&gt;AD$905,"",AD2154+tech_proj!AD1654/(1-tech_proj!AD534))</f>
        <v/>
      </c>
      <c r="AE1034" s="113">
        <f>IF(tech_base!$T130&gt;AE$905,"",AE2154+tech_proj!AE1654/(1-tech_proj!AE534))</f>
        <v>35.235490646259052</v>
      </c>
      <c r="AF1034" s="113">
        <f>IF(tech_base!$T130&gt;AF$905,"",AF2154+tech_proj!AF1654/(1-tech_proj!AF534))</f>
        <v>35.540098034903686</v>
      </c>
      <c r="AG1034" s="113">
        <f>IF(tech_base!$T130&gt;AG$905,"",AG2154+tech_proj!AG1654/(1-tech_proj!AG534))</f>
        <v>35.855745868893223</v>
      </c>
      <c r="AH1034" s="113">
        <f>IF(tech_base!$T130&gt;AH$905,"",AH2154+tech_proj!AH1654/(1-tech_proj!AH534))</f>
        <v>36.157208562569494</v>
      </c>
      <c r="AI1034" s="113">
        <f>IF(tech_base!$T130&gt;AI$905,"",AI2154+tech_proj!AI1654/(1-tech_proj!AI534))</f>
        <v>36.440148152356777</v>
      </c>
      <c r="AJ1034" s="113">
        <f>IF(tech_base!$T130&gt;AJ$905,"",AJ2154+tech_proj!AJ1654/(1-tech_proj!AJ534))</f>
        <v>36.667471224122444</v>
      </c>
      <c r="AK1034" s="113">
        <f>IF(tech_base!$T130&gt;AK$905,"",AK2154+tech_proj!AK1654/(1-tech_proj!AK534))</f>
        <v>36.920444992237449</v>
      </c>
      <c r="AL1034" s="113">
        <f>IF(tech_base!$T130&gt;AL$905,"",AL2154+tech_proj!AL1654/(1-tech_proj!AL534))</f>
        <v>37.192620300012337</v>
      </c>
      <c r="AM1034" s="113">
        <f>IF(tech_base!$T130&gt;AM$905,"",AM2154+tech_proj!AM1654/(1-tech_proj!AM534))</f>
        <v>37.481148392600119</v>
      </c>
      <c r="AN1034" s="113">
        <f>IF(tech_base!$T130&gt;AN$905,"",AN2154+tech_proj!AN1654/(1-tech_proj!AN534))</f>
        <v>37.725938671484343</v>
      </c>
      <c r="AO1034" s="113">
        <f>IF(tech_base!$T130&gt;AO$905,"",AO2154+tech_proj!AO1654/(1-tech_proj!AO534))</f>
        <v>37.968097330453872</v>
      </c>
      <c r="AP1034" s="113">
        <f>IF(tech_base!$T130&gt;AP$905,"",AP2154+tech_proj!AP1654/(1-tech_proj!AP534))</f>
        <v>38.208706732765393</v>
      </c>
      <c r="AQ1034" s="113">
        <f>IF(tech_base!$T130&gt;AQ$905,"",AQ2154+tech_proj!AQ1654/(1-tech_proj!AQ534))</f>
        <v>38.449916729968081</v>
      </c>
      <c r="AR1034" s="113">
        <f>IF(tech_base!$T130&gt;AR$905,"",AR2154+tech_proj!AR1654/(1-tech_proj!AR534))</f>
        <v>38.707229903423595</v>
      </c>
      <c r="AS1034" s="113">
        <f>IF(tech_base!$T130&gt;AS$905,"",AS2154+tech_proj!AS1654/(1-tech_proj!AS534))</f>
        <v>38.969515766050151</v>
      </c>
      <c r="AT1034" s="113">
        <f>IF(tech_base!$T130&gt;AT$905,"",AT2154+tech_proj!AT1654/(1-tech_proj!AT534))</f>
        <v>39.17246031395328</v>
      </c>
      <c r="AU1034" s="113">
        <f>IF(tech_base!$T130&gt;AU$905,"",AU2154+tech_proj!AU1654/(1-tech_proj!AU534))</f>
        <v>39.426313309436203</v>
      </c>
      <c r="AV1034" s="113">
        <f>IF(tech_base!$T130&gt;AV$905,"",AV2154+tech_proj!AV1654/(1-tech_proj!AV534))</f>
        <v>39.653413391578297</v>
      </c>
      <c r="AW1034" s="113">
        <f>IF(tech_base!$T130&gt;AW$905,"",AW2154+tech_proj!AW1654/(1-tech_proj!AW534))</f>
        <v>39.86652572891397</v>
      </c>
      <c r="AX1034" s="114">
        <f>IF(tech_base!$T130&gt;AX$905,"",AX2154+tech_proj!AX1654/(1-tech_proj!AX534))</f>
        <v>40.11819697334802</v>
      </c>
    </row>
    <row r="1035" spans="1:50" x14ac:dyDescent="0.25">
      <c r="A1035" s="356" t="s">
        <v>27</v>
      </c>
      <c r="B1035" s="365" t="s">
        <v>19</v>
      </c>
      <c r="C1035" s="353" t="s">
        <v>6</v>
      </c>
      <c r="D1035" s="2" t="s">
        <v>7</v>
      </c>
      <c r="E1035" s="162" t="str">
        <f>A1035&amp;"/"&amp;B1035&amp;"/"&amp;C1035&amp;"/"&amp;D1035</f>
        <v>Refinery gas fired power plants/Steam turbine/Electricity only/L</v>
      </c>
      <c r="F1035" s="77" t="str">
        <f>A1035</f>
        <v>Refinery gas fired power plants</v>
      </c>
      <c r="G1035" s="77" t="str">
        <f>B1035</f>
        <v>Steam turbine</v>
      </c>
      <c r="H1035" s="77" t="str">
        <f>C1035</f>
        <v>Electricity only</v>
      </c>
      <c r="I1035" s="163" t="str">
        <f t="shared" ref="I1035:I1098" si="369">D1035</f>
        <v>L</v>
      </c>
      <c r="J1035" s="107">
        <f>IF(tech_base!$T131&gt;J$905,"",J2155+tech_proj!J1655/(1-tech_proj!J535))</f>
        <v>10.042352578007412</v>
      </c>
      <c r="K1035" s="107">
        <f>IF(tech_base!$T131&gt;K$905,"",K2155+tech_proj!K1655/(1-tech_proj!K535))</f>
        <v>10.700262392453267</v>
      </c>
      <c r="L1035" s="107">
        <f>IF(tech_base!$T131&gt;L$905,"",L2155+tech_proj!L1655/(1-tech_proj!L535))</f>
        <v>10.878841001082602</v>
      </c>
      <c r="M1035" s="107">
        <f>IF(tech_base!$T131&gt;M$905,"",M2155+tech_proj!M1655/(1-tech_proj!M535))</f>
        <v>10.671512326228758</v>
      </c>
      <c r="N1035" s="107">
        <f>IF(tech_base!$T131&gt;N$905,"",N2155+tech_proj!N1655/(1-tech_proj!N535))</f>
        <v>10.359723926716077</v>
      </c>
      <c r="O1035" s="107">
        <f>IF(tech_base!$T131&gt;O$905,"",O2155+tech_proj!O1655/(1-tech_proj!O535))</f>
        <v>9.3784137897768112</v>
      </c>
      <c r="P1035" s="107">
        <f>IF(tech_base!$T131&gt;P$905,"",P2155+tech_proj!P1655/(1-tech_proj!P535))</f>
        <v>9.1573113547381606</v>
      </c>
      <c r="Q1035" s="107">
        <f>IF(tech_base!$T131&gt;Q$905,"",Q2155+tech_proj!Q1655/(1-tech_proj!Q535))</f>
        <v>9.4357345665257935</v>
      </c>
      <c r="R1035" s="107">
        <f>IF(tech_base!$T131&gt;R$905,"",R2155+tech_proj!R1655/(1-tech_proj!R535))</f>
        <v>9.6847619373345584</v>
      </c>
      <c r="S1035" s="107">
        <f>IF(tech_base!$T131&gt;S$905,"",S2155+tech_proj!S1655/(1-tech_proj!S535))</f>
        <v>9.9036712179540327</v>
      </c>
      <c r="T1035" s="107">
        <f>IF(tech_base!$T131&gt;T$905,"",T2155+tech_proj!T1655/(1-tech_proj!T535))</f>
        <v>10.114807252045154</v>
      </c>
      <c r="U1035" s="107">
        <f>IF(tech_base!$T131&gt;U$905,"",U2155+tech_proj!U1655/(1-tech_proj!U535))</f>
        <v>10.316012574354819</v>
      </c>
      <c r="V1035" s="107">
        <f>IF(tech_base!$T131&gt;V$905,"",V2155+tech_proj!V1655/(1-tech_proj!V535))</f>
        <v>10.45250339834541</v>
      </c>
      <c r="W1035" s="107">
        <f>IF(tech_base!$T131&gt;W$905,"",W2155+tech_proj!W1655/(1-tech_proj!W535))</f>
        <v>10.618475800475762</v>
      </c>
      <c r="X1035" s="107">
        <f>IF(tech_base!$T131&gt;X$905,"",X2155+tech_proj!X1655/(1-tech_proj!X535))</f>
        <v>10.763073221880845</v>
      </c>
      <c r="Y1035" s="107">
        <f>IF(tech_base!$T131&gt;Y$905,"",Y2155+tech_proj!Y1655/(1-tech_proj!Y535))</f>
        <v>10.88644152561546</v>
      </c>
      <c r="Z1035" s="107">
        <f>IF(tech_base!$T131&gt;Z$905,"",Z2155+tech_proj!Z1655/(1-tech_proj!Z535))</f>
        <v>10.96730104837966</v>
      </c>
      <c r="AA1035" s="107">
        <f>IF(tech_base!$T131&gt;AA$905,"",AA2155+tech_proj!AA1655/(1-tech_proj!AA535))</f>
        <v>11.040973347853413</v>
      </c>
      <c r="AB1035" s="107">
        <f>IF(tech_base!$T131&gt;AB$905,"",AB2155+tech_proj!AB1655/(1-tech_proj!AB535))</f>
        <v>11.092992305473436</v>
      </c>
      <c r="AC1035" s="107">
        <f>IF(tech_base!$T131&gt;AC$905,"",AC2155+tech_proj!AC1655/(1-tech_proj!AC535))</f>
        <v>11.171187137486239</v>
      </c>
      <c r="AD1035" s="107">
        <f>IF(tech_base!$T131&gt;AD$905,"",AD2155+tech_proj!AD1655/(1-tech_proj!AD535))</f>
        <v>11.220916373539207</v>
      </c>
      <c r="AE1035" s="107">
        <f>IF(tech_base!$T131&gt;AE$905,"",AE2155+tech_proj!AE1655/(1-tech_proj!AE535))</f>
        <v>11.26858295732908</v>
      </c>
      <c r="AF1035" s="107">
        <f>IF(tech_base!$T131&gt;AF$905,"",AF2155+tech_proj!AF1655/(1-tech_proj!AF535))</f>
        <v>11.295066835774197</v>
      </c>
      <c r="AG1035" s="107">
        <f>IF(tech_base!$T131&gt;AG$905,"",AG2155+tech_proj!AG1655/(1-tech_proj!AG535))</f>
        <v>11.324635923588794</v>
      </c>
      <c r="AH1035" s="107">
        <f>IF(tech_base!$T131&gt;AH$905,"",AH2155+tech_proj!AH1655/(1-tech_proj!AH535))</f>
        <v>11.35727922257864</v>
      </c>
      <c r="AI1035" s="107">
        <f>IF(tech_base!$T131&gt;AI$905,"",AI2155+tech_proj!AI1655/(1-tech_proj!AI535))</f>
        <v>11.393291516387904</v>
      </c>
      <c r="AJ1035" s="107">
        <f>IF(tech_base!$T131&gt;AJ$905,"",AJ2155+tech_proj!AJ1655/(1-tech_proj!AJ535))</f>
        <v>11.433237709006987</v>
      </c>
      <c r="AK1035" s="107">
        <f>IF(tech_base!$T131&gt;AK$905,"",AK2155+tech_proj!AK1655/(1-tech_proj!AK535))</f>
        <v>11.47791437189596</v>
      </c>
      <c r="AL1035" s="107">
        <f>IF(tech_base!$T131&gt;AL$905,"",AL2155+tech_proj!AL1655/(1-tech_proj!AL535))</f>
        <v>11.525872095980805</v>
      </c>
      <c r="AM1035" s="107">
        <f>IF(tech_base!$T131&gt;AM$905,"",AM2155+tech_proj!AM1655/(1-tech_proj!AM535))</f>
        <v>11.575332339985227</v>
      </c>
      <c r="AN1035" s="107">
        <f>IF(tech_base!$T131&gt;AN$905,"",AN2155+tech_proj!AN1655/(1-tech_proj!AN535))</f>
        <v>11.62570768601077</v>
      </c>
      <c r="AO1035" s="107">
        <f>IF(tech_base!$T131&gt;AO$905,"",AO2155+tech_proj!AO1655/(1-tech_proj!AO535))</f>
        <v>11.634716452743273</v>
      </c>
      <c r="AP1035" s="107">
        <f>IF(tech_base!$T131&gt;AP$905,"",AP2155+tech_proj!AP1655/(1-tech_proj!AP535))</f>
        <v>11.654803201606772</v>
      </c>
      <c r="AQ1035" s="107">
        <f>IF(tech_base!$T131&gt;AQ$905,"",AQ2155+tech_proj!AQ1655/(1-tech_proj!AQ535))</f>
        <v>11.675863463216714</v>
      </c>
      <c r="AR1035" s="107">
        <f>IF(tech_base!$T131&gt;AR$905,"",AR2155+tech_proj!AR1655/(1-tech_proj!AR535))</f>
        <v>11.715986511420006</v>
      </c>
      <c r="AS1035" s="107">
        <f>IF(tech_base!$T131&gt;AS$905,"",AS2155+tech_proj!AS1655/(1-tech_proj!AS535))</f>
        <v>11.739157115294059</v>
      </c>
      <c r="AT1035" s="107">
        <f>IF(tech_base!$T131&gt;AT$905,"",AT2155+tech_proj!AT1655/(1-tech_proj!AT535))</f>
        <v>11.762268667457242</v>
      </c>
      <c r="AU1035" s="107">
        <f>IF(tech_base!$T131&gt;AU$905,"",AU2155+tech_proj!AU1655/(1-tech_proj!AU535))</f>
        <v>11.784976502231865</v>
      </c>
      <c r="AV1035" s="107">
        <f>IF(tech_base!$T131&gt;AV$905,"",AV2155+tech_proj!AV1655/(1-tech_proj!AV535))</f>
        <v>11.807068152415678</v>
      </c>
      <c r="AW1035" s="107">
        <f>IF(tech_base!$T131&gt;AW$905,"",AW2155+tech_proj!AW1655/(1-tech_proj!AW535))</f>
        <v>11.828383580937555</v>
      </c>
      <c r="AX1035" s="108">
        <f>IF(tech_base!$T131&gt;AX$905,"",AX2155+tech_proj!AX1655/(1-tech_proj!AX535))</f>
        <v>11.855144887391559</v>
      </c>
    </row>
    <row r="1036" spans="1:50" x14ac:dyDescent="0.25">
      <c r="A1036" s="356"/>
      <c r="B1036" s="366"/>
      <c r="C1036" s="378"/>
      <c r="D1036" s="2" t="s">
        <v>8</v>
      </c>
      <c r="E1036" s="160" t="str">
        <f>A1035&amp;"/"&amp;B1035&amp;"/"&amp;C1035&amp;"/"&amp;D1036</f>
        <v>Refinery gas fired power plants/Steam turbine/Electricity only/M</v>
      </c>
      <c r="F1036" s="76" t="str">
        <f>A1035</f>
        <v>Refinery gas fired power plants</v>
      </c>
      <c r="G1036" s="76" t="str">
        <f>B1035</f>
        <v>Steam turbine</v>
      </c>
      <c r="H1036" s="76" t="str">
        <f>C1035</f>
        <v>Electricity only</v>
      </c>
      <c r="I1036" s="161" t="str">
        <f t="shared" si="369"/>
        <v>M</v>
      </c>
      <c r="J1036" s="105">
        <f>IF(tech_base!$T132&gt;J$905,"",J2156+tech_proj!J1656/(1-tech_proj!J536))</f>
        <v>10.634790863105042</v>
      </c>
      <c r="K1036" s="105">
        <f>IF(tech_base!$T132&gt;K$905,"",K2156+tech_proj!K1656/(1-tech_proj!K536))</f>
        <v>11.32710845950211</v>
      </c>
      <c r="L1036" s="105">
        <f>IF(tech_base!$T132&gt;L$905,"",L2156+tech_proj!L1656/(1-tech_proj!L536))</f>
        <v>11.51499756854875</v>
      </c>
      <c r="M1036" s="105">
        <f>IF(tech_base!$T132&gt;M$905,"",M2156+tech_proj!M1656/(1-tech_proj!M536))</f>
        <v>11.296768829194946</v>
      </c>
      <c r="N1036" s="105">
        <f>IF(tech_base!$T132&gt;N$905,"",N2156+tech_proj!N1656/(1-tech_proj!N536))</f>
        <v>10.968607557339812</v>
      </c>
      <c r="O1036" s="105">
        <f>IF(tech_base!$T132&gt;O$905,"",O2156+tech_proj!O1656/(1-tech_proj!O536))</f>
        <v>9.9358487702518552</v>
      </c>
      <c r="P1036" s="105">
        <f>IF(tech_base!$T132&gt;P$905,"",P2156+tech_proj!P1656/(1-tech_proj!P536))</f>
        <v>9.703118247952494</v>
      </c>
      <c r="Q1036" s="105">
        <f>IF(tech_base!$T132&gt;Q$905,"",Q2156+tech_proj!Q1656/(1-tech_proj!Q536))</f>
        <v>9.9960851121595908</v>
      </c>
      <c r="R1036" s="105">
        <f>IF(tech_base!$T132&gt;R$905,"",R2156+tech_proj!R1656/(1-tech_proj!R536))</f>
        <v>10.258119020481658</v>
      </c>
      <c r="S1036" s="105">
        <f>IF(tech_base!$T132&gt;S$905,"",S2156+tech_proj!S1656/(1-tech_proj!S536))</f>
        <v>10.488459442357387</v>
      </c>
      <c r="T1036" s="105">
        <f>IF(tech_base!$T132&gt;T$905,"",T2156+tech_proj!T1656/(1-tech_proj!T536))</f>
        <v>10.71062181336251</v>
      </c>
      <c r="U1036" s="105">
        <f>IF(tech_base!$T132&gt;U$905,"",U2156+tech_proj!U1656/(1-tech_proj!U536))</f>
        <v>10.922335436974375</v>
      </c>
      <c r="V1036" s="105">
        <f>IF(tech_base!$T132&gt;V$905,"",V2156+tech_proj!V1656/(1-tech_proj!V536))</f>
        <v>11.065944918773031</v>
      </c>
      <c r="W1036" s="105">
        <f>IF(tech_base!$T132&gt;W$905,"",W2156+tech_proj!W1656/(1-tech_proj!W536))</f>
        <v>11.240583100174288</v>
      </c>
      <c r="X1036" s="105">
        <f>IF(tech_base!$T132&gt;X$905,"",X2156+tech_proj!X1656/(1-tech_proj!X536))</f>
        <v>11.39272773480277</v>
      </c>
      <c r="Y1036" s="105">
        <f>IF(tech_base!$T132&gt;Y$905,"",Y2156+tech_proj!Y1656/(1-tech_proj!Y536))</f>
        <v>11.522532062575941</v>
      </c>
      <c r="Z1036" s="105">
        <f>IF(tech_base!$T132&gt;Z$905,"",Z2156+tech_proj!Z1656/(1-tech_proj!Z536))</f>
        <v>11.607600522440062</v>
      </c>
      <c r="AA1036" s="105">
        <f>IF(tech_base!$T132&gt;AA$905,"",AA2156+tech_proj!AA1656/(1-tech_proj!AA536))</f>
        <v>11.68510615732187</v>
      </c>
      <c r="AB1036" s="105">
        <f>IF(tech_base!$T132&gt;AB$905,"",AB2156+tech_proj!AB1656/(1-tech_proj!AB536))</f>
        <v>11.739824235300613</v>
      </c>
      <c r="AC1036" s="105">
        <f>IF(tech_base!$T132&gt;AC$905,"",AC2156+tech_proj!AC1656/(1-tech_proj!AC536))</f>
        <v>11.822091763511283</v>
      </c>
      <c r="AD1036" s="105">
        <f>IF(tech_base!$T132&gt;AD$905,"",AD2156+tech_proj!AD1656/(1-tech_proj!AD536))</f>
        <v>11.874402087314639</v>
      </c>
      <c r="AE1036" s="105">
        <f>IF(tech_base!$T132&gt;AE$905,"",AE2156+tech_proj!AE1656/(1-tech_proj!AE536))</f>
        <v>11.924542518431311</v>
      </c>
      <c r="AF1036" s="105">
        <f>IF(tech_base!$T132&gt;AF$905,"",AF2156+tech_proj!AF1656/(1-tech_proj!AF536))</f>
        <v>11.952390200079222</v>
      </c>
      <c r="AG1036" s="105">
        <f>IF(tech_base!$T132&gt;AG$905,"",AG2156+tech_proj!AG1656/(1-tech_proj!AG536))</f>
        <v>11.983485663682568</v>
      </c>
      <c r="AH1036" s="105">
        <f>IF(tech_base!$T132&gt;AH$905,"",AH2156+tech_proj!AH1656/(1-tech_proj!AH536))</f>
        <v>12.017817342120415</v>
      </c>
      <c r="AI1036" s="105">
        <f>IF(tech_base!$T132&gt;AI$905,"",AI2156+tech_proj!AI1656/(1-tech_proj!AI536))</f>
        <v>12.05569548830082</v>
      </c>
      <c r="AJ1036" s="105">
        <f>IF(tech_base!$T132&gt;AJ$905,"",AJ2156+tech_proj!AJ1656/(1-tech_proj!AJ536))</f>
        <v>12.097714646966317</v>
      </c>
      <c r="AK1036" s="105">
        <f>IF(tech_base!$T132&gt;AK$905,"",AK2156+tech_proj!AK1656/(1-tech_proj!AK536))</f>
        <v>12.144713187847479</v>
      </c>
      <c r="AL1036" s="105">
        <f>IF(tech_base!$T132&gt;AL$905,"",AL2156+tech_proj!AL1656/(1-tech_proj!AL536))</f>
        <v>12.195165679789321</v>
      </c>
      <c r="AM1036" s="105">
        <f>IF(tech_base!$T132&gt;AM$905,"",AM2156+tech_proj!AM1656/(1-tech_proj!AM536))</f>
        <v>12.247200276805982</v>
      </c>
      <c r="AN1036" s="105">
        <f>IF(tech_base!$T132&gt;AN$905,"",AN2156+tech_proj!AN1656/(1-tech_proj!AN536))</f>
        <v>12.300198732345292</v>
      </c>
      <c r="AO1036" s="105">
        <f>IF(tech_base!$T132&gt;AO$905,"",AO2156+tech_proj!AO1656/(1-tech_proj!AO536))</f>
        <v>12.309660912420526</v>
      </c>
      <c r="AP1036" s="105">
        <f>IF(tech_base!$T132&gt;AP$905,"",AP2156+tech_proj!AP1656/(1-tech_proj!AP536))</f>
        <v>12.330782868994396</v>
      </c>
      <c r="AQ1036" s="105">
        <f>IF(tech_base!$T132&gt;AQ$905,"",AQ2156+tech_proj!AQ1656/(1-tech_proj!AQ536))</f>
        <v>12.352929985615178</v>
      </c>
      <c r="AR1036" s="105">
        <f>IF(tech_base!$T132&gt;AR$905,"",AR2156+tech_proj!AR1656/(1-tech_proj!AR536))</f>
        <v>12.395140753575793</v>
      </c>
      <c r="AS1036" s="105">
        <f>IF(tech_base!$T132&gt;AS$905,"",AS2156+tech_proj!AS1656/(1-tech_proj!AS536))</f>
        <v>12.419510090945801</v>
      </c>
      <c r="AT1036" s="105">
        <f>IF(tech_base!$T132&gt;AT$905,"",AT2156+tech_proj!AT1656/(1-tech_proj!AT536))</f>
        <v>12.443817813180571</v>
      </c>
      <c r="AU1036" s="105">
        <f>IF(tech_base!$T132&gt;AU$905,"",AU2156+tech_proj!AU1656/(1-tech_proj!AU536))</f>
        <v>12.467701152663961</v>
      </c>
      <c r="AV1036" s="105">
        <f>IF(tech_base!$T132&gt;AV$905,"",AV2156+tech_proj!AV1656/(1-tech_proj!AV536))</f>
        <v>12.490936476015902</v>
      </c>
      <c r="AW1036" s="105">
        <f>IF(tech_base!$T132&gt;AW$905,"",AW2156+tech_proj!AW1656/(1-tech_proj!AW536))</f>
        <v>12.513355330552409</v>
      </c>
      <c r="AX1036" s="106">
        <f>IF(tech_base!$T132&gt;AX$905,"",AX2156+tech_proj!AX1656/(1-tech_proj!AX536))</f>
        <v>12.54150637090237</v>
      </c>
    </row>
    <row r="1037" spans="1:50" x14ac:dyDescent="0.25">
      <c r="A1037" s="356"/>
      <c r="B1037" s="366"/>
      <c r="C1037" s="379"/>
      <c r="D1037" s="2" t="s">
        <v>10</v>
      </c>
      <c r="E1037" s="160" t="str">
        <f>A1035&amp;"/"&amp;B1035&amp;"/"&amp;C1035&amp;"/"&amp;D1037</f>
        <v>Refinery gas fired power plants/Steam turbine/Electricity only/S</v>
      </c>
      <c r="F1037" s="76" t="str">
        <f>A1035</f>
        <v>Refinery gas fired power plants</v>
      </c>
      <c r="G1037" s="76" t="str">
        <f>B1035</f>
        <v>Steam turbine</v>
      </c>
      <c r="H1037" s="76" t="str">
        <f>C1035</f>
        <v>Electricity only</v>
      </c>
      <c r="I1037" s="161" t="str">
        <f t="shared" si="369"/>
        <v>S</v>
      </c>
      <c r="J1037" s="105">
        <f>IF(tech_base!$T133&gt;J$905,"",J2157+tech_proj!J1657/(1-tech_proj!J537))</f>
        <v>11.313117917832464</v>
      </c>
      <c r="K1037" s="105">
        <f>IF(tech_base!$T133&gt;K$905,"",K2157+tech_proj!K1657/(1-tech_proj!K537))</f>
        <v>12.041735800129825</v>
      </c>
      <c r="L1037" s="105">
        <f>IF(tech_base!$T133&gt;L$905,"",L2157+tech_proj!L1657/(1-tech_proj!L537))</f>
        <v>12.239451102124409</v>
      </c>
      <c r="M1037" s="105">
        <f>IF(tech_base!$T133&gt;M$905,"",M2157+tech_proj!M1657/(1-tech_proj!M537))</f>
        <v>12.00972898824428</v>
      </c>
      <c r="N1037" s="105">
        <f>IF(tech_base!$T133&gt;N$905,"",N2157+tech_proj!N1657/(1-tech_proj!N537))</f>
        <v>11.664301017518465</v>
      </c>
      <c r="O1037" s="105">
        <f>IF(tech_base!$T133&gt;O$905,"",O2157+tech_proj!O1657/(1-tech_proj!O537))</f>
        <v>10.577274571721905</v>
      </c>
      <c r="P1037" s="105">
        <f>IF(tech_base!$T133&gt;P$905,"",P2157+tech_proj!P1657/(1-tech_proj!P537))</f>
        <v>10.332281942496019</v>
      </c>
      <c r="Q1037" s="105">
        <f>IF(tech_base!$T133&gt;Q$905,"",Q2157+tech_proj!Q1657/(1-tech_proj!Q537))</f>
        <v>10.640594762551491</v>
      </c>
      <c r="R1037" s="105">
        <f>IF(tech_base!$T133&gt;R$905,"",R2157+tech_proj!R1657/(1-tech_proj!R537))</f>
        <v>10.916353160780087</v>
      </c>
      <c r="S1037" s="105">
        <f>IF(tech_base!$T133&gt;S$905,"",S2157+tech_proj!S1657/(1-tech_proj!S537))</f>
        <v>11.158756203885417</v>
      </c>
      <c r="T1037" s="105">
        <f>IF(tech_base!$T133&gt;T$905,"",T2157+tech_proj!T1657/(1-tech_proj!T537))</f>
        <v>11.392554164221771</v>
      </c>
      <c r="U1037" s="105">
        <f>IF(tech_base!$T133&gt;U$905,"",U2157+tech_proj!U1657/(1-tech_proj!U537))</f>
        <v>11.61535689136462</v>
      </c>
      <c r="V1037" s="105">
        <f>IF(tech_base!$T133&gt;V$905,"",V2157+tech_proj!V1657/(1-tech_proj!V537))</f>
        <v>11.766479707113197</v>
      </c>
      <c r="W1037" s="105">
        <f>IF(tech_base!$T133&gt;W$905,"",W2157+tech_proj!W1657/(1-tech_proj!W537))</f>
        <v>11.950263257483613</v>
      </c>
      <c r="X1037" s="105">
        <f>IF(tech_base!$T133&gt;X$905,"",X2157+tech_proj!X1657/(1-tech_proj!X537))</f>
        <v>12.110373243002588</v>
      </c>
      <c r="Y1037" s="105">
        <f>IF(tech_base!$T133&gt;Y$905,"",Y2157+tech_proj!Y1657/(1-tech_proj!Y537))</f>
        <v>12.246970673845638</v>
      </c>
      <c r="Z1037" s="105">
        <f>IF(tech_base!$T133&gt;Z$905,"",Z2157+tech_proj!Z1657/(1-tech_proj!Z537))</f>
        <v>12.336482795521906</v>
      </c>
      <c r="AA1037" s="105">
        <f>IF(tech_base!$T133&gt;AA$905,"",AA2157+tech_proj!AA1657/(1-tech_proj!AA537))</f>
        <v>12.418035803690469</v>
      </c>
      <c r="AB1037" s="105">
        <f>IF(tech_base!$T133&gt;AB$905,"",AB2157+tech_proj!AB1657/(1-tech_proj!AB537))</f>
        <v>12.475604682675797</v>
      </c>
      <c r="AC1037" s="105">
        <f>IF(tech_base!$T133&gt;AC$905,"",AC2157+tech_proj!AC1657/(1-tech_proj!AC537))</f>
        <v>12.562171970793193</v>
      </c>
      <c r="AD1037" s="105">
        <f>IF(tech_base!$T133&gt;AD$905,"",AD2157+tech_proj!AD1657/(1-tech_proj!AD537))</f>
        <v>12.617208452580771</v>
      </c>
      <c r="AE1037" s="105">
        <f>IF(tech_base!$T133&gt;AE$905,"",AE2157+tech_proj!AE1657/(1-tech_proj!AE537))</f>
        <v>12.669961845249556</v>
      </c>
      <c r="AF1037" s="105">
        <f>IF(tech_base!$T133&gt;AF$905,"",AF2157+tech_proj!AF1657/(1-tech_proj!AF537))</f>
        <v>12.699251396937845</v>
      </c>
      <c r="AG1037" s="105">
        <f>IF(tech_base!$T133&gt;AG$905,"",AG2157+tech_proj!AG1657/(1-tech_proj!AG537))</f>
        <v>12.731960165358213</v>
      </c>
      <c r="AH1037" s="105">
        <f>IF(tech_base!$T133&gt;AH$905,"",AH2157+tech_proj!AH1657/(1-tech_proj!AH537))</f>
        <v>12.768075985695265</v>
      </c>
      <c r="AI1037" s="105">
        <f>IF(tech_base!$T133&gt;AI$905,"",AI2157+tech_proj!AI1657/(1-tech_proj!AI537))</f>
        <v>12.807925432510132</v>
      </c>
      <c r="AJ1037" s="105">
        <f>IF(tech_base!$T133&gt;AJ$905,"",AJ2157+tech_proj!AJ1657/(1-tech_proj!AJ537))</f>
        <v>12.852134322476235</v>
      </c>
      <c r="AK1037" s="105">
        <f>IF(tech_base!$T133&gt;AK$905,"",AK2157+tech_proj!AK1657/(1-tech_proj!AK537))</f>
        <v>12.901585123060526</v>
      </c>
      <c r="AL1037" s="105">
        <f>IF(tech_base!$T133&gt;AL$905,"",AL2157+tech_proj!AL1657/(1-tech_proj!AL537))</f>
        <v>12.954672206263719</v>
      </c>
      <c r="AM1037" s="105">
        <f>IF(tech_base!$T133&gt;AM$905,"",AM2157+tech_proj!AM1657/(1-tech_proj!AM537))</f>
        <v>13.009425296053866</v>
      </c>
      <c r="AN1037" s="105">
        <f>IF(tech_base!$T133&gt;AN$905,"",AN2157+tech_proj!AN1657/(1-tech_proj!AN537))</f>
        <v>13.065193624495631</v>
      </c>
      <c r="AO1037" s="105">
        <f>IF(tech_base!$T133&gt;AO$905,"",AO2157+tech_proj!AO1657/(1-tech_proj!AO537))</f>
        <v>13.075136680843443</v>
      </c>
      <c r="AP1037" s="105">
        <f>IF(tech_base!$T133&gt;AP$905,"",AP2157+tech_proj!AP1657/(1-tech_proj!AP537))</f>
        <v>13.097353221349417</v>
      </c>
      <c r="AQ1037" s="105">
        <f>IF(tech_base!$T133&gt;AQ$905,"",AQ2157+tech_proj!AQ1657/(1-tech_proj!AQ537))</f>
        <v>13.120649348542434</v>
      </c>
      <c r="AR1037" s="105">
        <f>IF(tech_base!$T133&gt;AR$905,"",AR2157+tech_proj!AR1657/(1-tech_proj!AR537))</f>
        <v>13.16506494739499</v>
      </c>
      <c r="AS1037" s="105">
        <f>IF(tech_base!$T133&gt;AS$905,"",AS2157+tech_proj!AS1657/(1-tech_proj!AS537))</f>
        <v>13.190701210830044</v>
      </c>
      <c r="AT1037" s="105">
        <f>IF(tech_base!$T133&gt;AT$905,"",AT2157+tech_proj!AT1657/(1-tech_proj!AT537))</f>
        <v>13.216273099590556</v>
      </c>
      <c r="AU1037" s="105">
        <f>IF(tech_base!$T133&gt;AU$905,"",AU2157+tech_proj!AU1657/(1-tech_proj!AU537))</f>
        <v>13.241398750166008</v>
      </c>
      <c r="AV1037" s="105">
        <f>IF(tech_base!$T133&gt;AV$905,"",AV2157+tech_proj!AV1657/(1-tech_proj!AV537))</f>
        <v>13.265842750181191</v>
      </c>
      <c r="AW1037" s="105">
        <f>IF(tech_base!$T133&gt;AW$905,"",AW2157+tech_proj!AW1657/(1-tech_proj!AW537))</f>
        <v>13.289427769648027</v>
      </c>
      <c r="AX1037" s="106">
        <f>IF(tech_base!$T133&gt;AX$905,"",AX2157+tech_proj!AX1657/(1-tech_proj!AX537))</f>
        <v>13.319046972267641</v>
      </c>
    </row>
    <row r="1038" spans="1:50" x14ac:dyDescent="0.25">
      <c r="A1038" s="356"/>
      <c r="B1038" s="366"/>
      <c r="C1038" s="361" t="s">
        <v>14</v>
      </c>
      <c r="D1038" s="58" t="s">
        <v>7</v>
      </c>
      <c r="E1038" s="164" t="str">
        <f>A1035&amp;"/"&amp;B1035&amp;"/"&amp;C1038&amp;"/"&amp;D1038</f>
        <v>Refinery gas fired power plants/Steam turbine/CHP/L</v>
      </c>
      <c r="F1038" s="78" t="str">
        <f>A1035</f>
        <v>Refinery gas fired power plants</v>
      </c>
      <c r="G1038" s="78" t="str">
        <f>B1035</f>
        <v>Steam turbine</v>
      </c>
      <c r="H1038" s="78" t="str">
        <f>C1038</f>
        <v>CHP</v>
      </c>
      <c r="I1038" s="165" t="str">
        <f t="shared" si="369"/>
        <v>L</v>
      </c>
      <c r="J1038" s="109">
        <f>IF(tech_base!$T134&gt;J$905,"",J2158+tech_proj!J1658/(1-tech_proj!J538))</f>
        <v>12.595031919834753</v>
      </c>
      <c r="K1038" s="109">
        <f>IF(tech_base!$T134&gt;K$905,"",K2158+tech_proj!K1658/(1-tech_proj!K538))</f>
        <v>13.322130867943986</v>
      </c>
      <c r="L1038" s="109">
        <f>IF(tech_base!$T134&gt;L$905,"",L2158+tech_proj!L1658/(1-tech_proj!L538))</f>
        <v>13.519588002168581</v>
      </c>
      <c r="M1038" s="109">
        <f>IF(tech_base!$T134&gt;M$905,"",M2158+tech_proj!M1658/(1-tech_proj!M538))</f>
        <v>13.29061666088262</v>
      </c>
      <c r="N1038" s="109">
        <f>IF(tech_base!$T134&gt;N$905,"",N2158+tech_proj!N1658/(1-tech_proj!N538))</f>
        <v>12.946206463677038</v>
      </c>
      <c r="O1038" s="109">
        <f>IF(tech_base!$T134&gt;O$905,"",O2158+tech_proj!O1658/(1-tech_proj!O538))</f>
        <v>11.861939952801034</v>
      </c>
      <c r="P1038" s="109">
        <f>IF(tech_base!$T134&gt;P$905,"",P2158+tech_proj!P1658/(1-tech_proj!P538))</f>
        <v>11.617711328977379</v>
      </c>
      <c r="Q1038" s="109">
        <f>IF(tech_base!$T134&gt;Q$905,"",Q2158+tech_proj!Q1658/(1-tech_proj!Q538))</f>
        <v>11.925481193623815</v>
      </c>
      <c r="R1038" s="109">
        <f>IF(tech_base!$T134&gt;R$905,"",R2158+tech_proj!R1658/(1-tech_proj!R538))</f>
        <v>12.2007712853688</v>
      </c>
      <c r="S1038" s="109">
        <f>IF(tech_base!$T134&gt;S$905,"",S2158+tech_proj!S1658/(1-tech_proj!S538))</f>
        <v>12.442782165908465</v>
      </c>
      <c r="T1038" s="109">
        <f>IF(tech_base!$T134&gt;T$905,"",T2158+tech_proj!T1658/(1-tech_proj!T538))</f>
        <v>12.676205820142776</v>
      </c>
      <c r="U1038" s="109">
        <f>IF(tech_base!$T134&gt;U$905,"",U2158+tech_proj!U1658/(1-tech_proj!U538))</f>
        <v>12.898657591865589</v>
      </c>
      <c r="V1038" s="109">
        <f>IF(tech_base!$T134&gt;V$905,"",V2158+tech_proj!V1658/(1-tech_proj!V538))</f>
        <v>13.049594274135313</v>
      </c>
      <c r="W1038" s="109">
        <f>IF(tech_base!$T134&gt;W$905,"",W2158+tech_proj!W1658/(1-tech_proj!W538))</f>
        <v>13.233112718893242</v>
      </c>
      <c r="X1038" s="109">
        <f>IF(tech_base!$T134&gt;X$905,"",X2158+tech_proj!X1658/(1-tech_proj!X538))</f>
        <v>13.393010032710919</v>
      </c>
      <c r="Y1038" s="109">
        <f>IF(tech_base!$T134&gt;Y$905,"",Y2158+tech_proj!Y1658/(1-tech_proj!Y538))</f>
        <v>13.529446646069223</v>
      </c>
      <c r="Z1038" s="109">
        <f>IF(tech_base!$T134&gt;Z$905,"",Z2158+tech_proj!Z1658/(1-tech_proj!Z538))</f>
        <v>13.61890430305348</v>
      </c>
      <c r="AA1038" s="109">
        <f>IF(tech_base!$T134&gt;AA$905,"",AA2158+tech_proj!AA1658/(1-tech_proj!AA538))</f>
        <v>13.700418147470742</v>
      </c>
      <c r="AB1038" s="109">
        <f>IF(tech_base!$T134&gt;AB$905,"",AB2158+tech_proj!AB1658/(1-tech_proj!AB538))</f>
        <v>13.758000221679655</v>
      </c>
      <c r="AC1038" s="109">
        <f>IF(tech_base!$T134&gt;AC$905,"",AC2158+tech_proj!AC1658/(1-tech_proj!AC538))</f>
        <v>13.844510453848434</v>
      </c>
      <c r="AD1038" s="109">
        <f>IF(tech_base!$T134&gt;AD$905,"",AD2158+tech_proj!AD1658/(1-tech_proj!AD538))</f>
        <v>13.899559649250392</v>
      </c>
      <c r="AE1038" s="109">
        <f>IF(tech_base!$T134&gt;AE$905,"",AE2158+tech_proj!AE1658/(1-tech_proj!AE538))</f>
        <v>13.952327880302258</v>
      </c>
      <c r="AF1038" s="109">
        <f>IF(tech_base!$T134&gt;AF$905,"",AF2158+tech_proj!AF1658/(1-tech_proj!AF538))</f>
        <v>13.981683208115886</v>
      </c>
      <c r="AG1038" s="109">
        <f>IF(tech_base!$T134&gt;AG$905,"",AG2158+tech_proj!AG1658/(1-tech_proj!AG538))</f>
        <v>14.014446724017063</v>
      </c>
      <c r="AH1038" s="109">
        <f>IF(tech_base!$T134&gt;AH$905,"",AH2158+tech_proj!AH1658/(1-tech_proj!AH538))</f>
        <v>14.05060637760605</v>
      </c>
      <c r="AI1038" s="109">
        <f>IF(tech_base!$T134&gt;AI$905,"",AI2158+tech_proj!AI1658/(1-tech_proj!AI538))</f>
        <v>14.090488078690999</v>
      </c>
      <c r="AJ1038" s="109">
        <f>IF(tech_base!$T134&gt;AJ$905,"",AJ2158+tech_proj!AJ1658/(1-tech_proj!AJ538))</f>
        <v>14.134716294694126</v>
      </c>
      <c r="AK1038" s="109">
        <f>IF(tech_base!$T134&gt;AK$905,"",AK2158+tech_proj!AK1658/(1-tech_proj!AK538))</f>
        <v>14.184171560215811</v>
      </c>
      <c r="AL1038" s="109">
        <f>IF(tech_base!$T134&gt;AL$905,"",AL2158+tech_proj!AL1658/(1-tech_proj!AL538))</f>
        <v>14.237252013555866</v>
      </c>
      <c r="AM1038" s="109">
        <f>IF(tech_base!$T134&gt;AM$905,"",AM2158+tech_proj!AM1658/(1-tech_proj!AM538))</f>
        <v>14.291991961833407</v>
      </c>
      <c r="AN1038" s="109">
        <f>IF(tech_base!$T134&gt;AN$905,"",AN2158+tech_proj!AN1658/(1-tech_proj!AN538))</f>
        <v>14.347742188069857</v>
      </c>
      <c r="AO1038" s="109">
        <f>IF(tech_base!$T134&gt;AO$905,"",AO2158+tech_proj!AO1658/(1-tech_proj!AO538))</f>
        <v>14.357769108480261</v>
      </c>
      <c r="AP1038" s="109">
        <f>IF(tech_base!$T134&gt;AP$905,"",AP2158+tech_proj!AP1658/(1-tech_proj!AP538))</f>
        <v>14.380038814010236</v>
      </c>
      <c r="AQ1038" s="109">
        <f>IF(tech_base!$T134&gt;AQ$905,"",AQ2158+tech_proj!AQ1658/(1-tech_proj!AQ538))</f>
        <v>14.403383034391362</v>
      </c>
      <c r="AR1038" s="109">
        <f>IF(tech_base!$T134&gt;AR$905,"",AR2158+tech_proj!AR1658/(1-tech_proj!AR538))</f>
        <v>14.447796118185616</v>
      </c>
      <c r="AS1038" s="109">
        <f>IF(tech_base!$T134&gt;AS$905,"",AS2158+tech_proj!AS1658/(1-tech_proj!AS538))</f>
        <v>14.473470146973263</v>
      </c>
      <c r="AT1038" s="109">
        <f>IF(tech_base!$T134&gt;AT$905,"",AT2158+tech_proj!AT1658/(1-tech_proj!AT538))</f>
        <v>14.499077514388075</v>
      </c>
      <c r="AU1038" s="109">
        <f>IF(tech_base!$T134&gt;AU$905,"",AU2158+tech_proj!AU1658/(1-tech_proj!AU538))</f>
        <v>14.524237277628485</v>
      </c>
      <c r="AV1038" s="109">
        <f>IF(tech_base!$T134&gt;AV$905,"",AV2158+tech_proj!AV1658/(1-tech_proj!AV538))</f>
        <v>14.548714609439948</v>
      </c>
      <c r="AW1038" s="109">
        <f>IF(tech_base!$T134&gt;AW$905,"",AW2158+tech_proj!AW1658/(1-tech_proj!AW538))</f>
        <v>14.572332631064077</v>
      </c>
      <c r="AX1038" s="110">
        <f>IF(tech_base!$T134&gt;AX$905,"",AX2158+tech_proj!AX1658/(1-tech_proj!AX538))</f>
        <v>14.601968943207595</v>
      </c>
    </row>
    <row r="1039" spans="1:50" x14ac:dyDescent="0.25">
      <c r="A1039" s="356"/>
      <c r="B1039" s="366"/>
      <c r="C1039" s="378"/>
      <c r="D1039" s="2" t="s">
        <v>8</v>
      </c>
      <c r="E1039" s="160" t="str">
        <f>A1035&amp;"/"&amp;B1035&amp;"/"&amp;C1038&amp;"/"&amp;D1039</f>
        <v>Refinery gas fired power plants/Steam turbine/CHP/M</v>
      </c>
      <c r="F1039" s="76" t="str">
        <f>A1035</f>
        <v>Refinery gas fired power plants</v>
      </c>
      <c r="G1039" s="76" t="str">
        <f>B1035</f>
        <v>Steam turbine</v>
      </c>
      <c r="H1039" s="76" t="str">
        <f>C1038</f>
        <v>CHP</v>
      </c>
      <c r="I1039" s="161" t="str">
        <f t="shared" si="369"/>
        <v>M</v>
      </c>
      <c r="J1039" s="105">
        <f>IF(tech_base!$T135&gt;J$905,"",J2159+tech_proj!J1659/(1-tech_proj!J539))</f>
        <v>13.223948103063453</v>
      </c>
      <c r="K1039" s="105">
        <f>IF(tech_base!$T135&gt;K$905,"",K2159+tech_proj!K1659/(1-tech_proj!K539))</f>
        <v>13.989155244211489</v>
      </c>
      <c r="L1039" s="105">
        <f>IF(tech_base!$T135&gt;L$905,"",L2159+tech_proj!L1659/(1-tech_proj!L539))</f>
        <v>14.196859429998458</v>
      </c>
      <c r="M1039" s="105">
        <f>IF(tech_base!$T135&gt;M$905,"",M2159+tech_proj!M1659/(1-tech_proj!M539))</f>
        <v>13.95569841804673</v>
      </c>
      <c r="N1039" s="105">
        <f>IF(tech_base!$T135&gt;N$905,"",N2159+tech_proj!N1659/(1-tech_proj!N539))</f>
        <v>13.593023870183725</v>
      </c>
      <c r="O1039" s="105">
        <f>IF(tech_base!$T135&gt;O$905,"",O2159+tech_proj!O1659/(1-tech_proj!O539))</f>
        <v>12.45155040900779</v>
      </c>
      <c r="P1039" s="105">
        <f>IF(tech_base!$T135&gt;P$905,"",P2159+tech_proj!P1659/(1-tech_proj!P539))</f>
        <v>12.194327998192534</v>
      </c>
      <c r="Q1039" s="105">
        <f>IF(tech_base!$T135&gt;Q$905,"",Q2159+tech_proj!Q1659/(1-tech_proj!Q539))</f>
        <v>12.518164358234571</v>
      </c>
      <c r="R1039" s="105">
        <f>IF(tech_base!$T135&gt;R$905,"",R2159+tech_proj!R1659/(1-tech_proj!R539))</f>
        <v>12.807816448809888</v>
      </c>
      <c r="S1039" s="105">
        <f>IF(tech_base!$T135&gt;S$905,"",S2159+tech_proj!S1659/(1-tech_proj!S539))</f>
        <v>13.062442232280363</v>
      </c>
      <c r="T1039" s="105">
        <f>IF(tech_base!$T135&gt;T$905,"",T2159+tech_proj!T1659/(1-tech_proj!T539))</f>
        <v>13.308033361601249</v>
      </c>
      <c r="U1039" s="105">
        <f>IF(tech_base!$T135&gt;U$905,"",U2159+tech_proj!U1659/(1-tech_proj!U539))</f>
        <v>13.542079403102658</v>
      </c>
      <c r="V1039" s="105">
        <f>IF(tech_base!$T135&gt;V$905,"",V2159+tech_proj!V1659/(1-tech_proj!V539))</f>
        <v>13.700848553350436</v>
      </c>
      <c r="W1039" s="105">
        <f>IF(tech_base!$T135&gt;W$905,"",W2159+tech_proj!W1659/(1-tech_proj!W539))</f>
        <v>13.893919198543431</v>
      </c>
      <c r="X1039" s="105">
        <f>IF(tech_base!$T135&gt;X$905,"",X2159+tech_proj!X1659/(1-tech_proj!X539))</f>
        <v>14.0621285085398</v>
      </c>
      <c r="Y1039" s="105">
        <f>IF(tech_base!$T135&gt;Y$905,"",Y2159+tech_proj!Y1659/(1-tech_proj!Y539))</f>
        <v>14.205645035080455</v>
      </c>
      <c r="Z1039" s="105">
        <f>IF(tech_base!$T135&gt;Z$905,"",Z2159+tech_proj!Z1659/(1-tech_proj!Z539))</f>
        <v>14.299711348568167</v>
      </c>
      <c r="AA1039" s="105">
        <f>IF(tech_base!$T135&gt;AA$905,"",AA2159+tech_proj!AA1659/(1-tech_proj!AA539))</f>
        <v>14.385418421418603</v>
      </c>
      <c r="AB1039" s="105">
        <f>IF(tech_base!$T135&gt;AB$905,"",AB2159+tech_proj!AB1659/(1-tech_proj!AB539))</f>
        <v>14.445935865652372</v>
      </c>
      <c r="AC1039" s="105">
        <f>IF(tech_base!$T135&gt;AC$905,"",AC2159+tech_proj!AC1659/(1-tech_proj!AC539))</f>
        <v>14.536908299632985</v>
      </c>
      <c r="AD1039" s="105">
        <f>IF(tech_base!$T135&gt;AD$905,"",AD2159+tech_proj!AD1659/(1-tech_proj!AD539))</f>
        <v>14.594764892376171</v>
      </c>
      <c r="AE1039" s="105">
        <f>IF(tech_base!$T135&gt;AE$905,"",AE2159+tech_proj!AE1659/(1-tech_proj!AE539))</f>
        <v>14.650222929171452</v>
      </c>
      <c r="AF1039" s="105">
        <f>IF(tech_base!$T135&gt;AF$905,"",AF2159+tech_proj!AF1659/(1-tech_proj!AF539))</f>
        <v>14.681036856581272</v>
      </c>
      <c r="AG1039" s="105">
        <f>IF(tech_base!$T135&gt;AG$905,"",AG2159+tech_proj!AG1659/(1-tech_proj!AG539))</f>
        <v>14.715440919407154</v>
      </c>
      <c r="AH1039" s="105">
        <f>IF(tech_base!$T135&gt;AH$905,"",AH2159+tech_proj!AH1659/(1-tech_proj!AH539))</f>
        <v>14.753422411120011</v>
      </c>
      <c r="AI1039" s="105">
        <f>IF(tech_base!$T135&gt;AI$905,"",AI2159+tech_proj!AI1659/(1-tech_proj!AI539))</f>
        <v>14.795324395684764</v>
      </c>
      <c r="AJ1039" s="105">
        <f>IF(tech_base!$T135&gt;AJ$905,"",AJ2159+tech_proj!AJ1659/(1-tech_proj!AJ539))</f>
        <v>14.841804232671652</v>
      </c>
      <c r="AK1039" s="105">
        <f>IF(tech_base!$T135&gt;AK$905,"",AK2159+tech_proj!AK1659/(1-tech_proj!AK539))</f>
        <v>14.893788850844418</v>
      </c>
      <c r="AL1039" s="105">
        <f>IF(tech_base!$T135&gt;AL$905,"",AL2159+tech_proj!AL1659/(1-tech_proj!AL539))</f>
        <v>14.949591942348057</v>
      </c>
      <c r="AM1039" s="105">
        <f>IF(tech_base!$T135&gt;AM$905,"",AM2159+tech_proj!AM1659/(1-tech_proj!AM539))</f>
        <v>15.007144173045372</v>
      </c>
      <c r="AN1039" s="105">
        <f>IF(tech_base!$T135&gt;AN$905,"",AN2159+tech_proj!AN1659/(1-tech_proj!AN539))</f>
        <v>15.065762063782142</v>
      </c>
      <c r="AO1039" s="105">
        <f>IF(tech_base!$T135&gt;AO$905,"",AO2159+tech_proj!AO1659/(1-tech_proj!AO539))</f>
        <v>15.076248323688525</v>
      </c>
      <c r="AP1039" s="105">
        <f>IF(tech_base!$T135&gt;AP$905,"",AP2159+tech_proj!AP1659/(1-tech_proj!AP539))</f>
        <v>15.099624630996795</v>
      </c>
      <c r="AQ1039" s="105">
        <f>IF(tech_base!$T135&gt;AQ$905,"",AQ2159+tech_proj!AQ1659/(1-tech_proj!AQ539))</f>
        <v>15.124133944813</v>
      </c>
      <c r="AR1039" s="105">
        <f>IF(tech_base!$T135&gt;AR$905,"",AR2159+tech_proj!AR1659/(1-tech_proj!AR539))</f>
        <v>15.170824752604794</v>
      </c>
      <c r="AS1039" s="105">
        <f>IF(tech_base!$T135&gt;AS$905,"",AS2159+tech_proj!AS1659/(1-tech_proj!AS539))</f>
        <v>15.19779032388972</v>
      </c>
      <c r="AT1039" s="105">
        <f>IF(tech_base!$T135&gt;AT$905,"",AT2159+tech_proj!AT1659/(1-tech_proj!AT539))</f>
        <v>15.224687447654052</v>
      </c>
      <c r="AU1039" s="105">
        <f>IF(tech_base!$T135&gt;AU$905,"",AU2159+tech_proj!AU1659/(1-tech_proj!AU539))</f>
        <v>15.251115052815031</v>
      </c>
      <c r="AV1039" s="105">
        <f>IF(tech_base!$T135&gt;AV$905,"",AV2159+tech_proj!AV1659/(1-tech_proj!AV539))</f>
        <v>15.276825886534134</v>
      </c>
      <c r="AW1039" s="105">
        <f>IF(tech_base!$T135&gt;AW$905,"",AW2159+tech_proj!AW1659/(1-tech_proj!AW539))</f>
        <v>15.301633699360583</v>
      </c>
      <c r="AX1039" s="106">
        <f>IF(tech_base!$T135&gt;AX$905,"",AX2159+tech_proj!AX1659/(1-tech_proj!AX539))</f>
        <v>15.332778738902171</v>
      </c>
    </row>
    <row r="1040" spans="1:50" x14ac:dyDescent="0.25">
      <c r="A1040" s="356"/>
      <c r="B1040" s="366"/>
      <c r="C1040" s="379"/>
      <c r="D1040" s="59" t="s">
        <v>10</v>
      </c>
      <c r="E1040" s="166" t="str">
        <f>A1035&amp;"/"&amp;B1035&amp;"/"&amp;C1038&amp;"/"&amp;D1040</f>
        <v>Refinery gas fired power plants/Steam turbine/CHP/S</v>
      </c>
      <c r="F1040" s="79" t="str">
        <f>A1035</f>
        <v>Refinery gas fired power plants</v>
      </c>
      <c r="G1040" s="79" t="str">
        <f>B1035</f>
        <v>Steam turbine</v>
      </c>
      <c r="H1040" s="79" t="str">
        <f>C1038</f>
        <v>CHP</v>
      </c>
      <c r="I1040" s="167" t="str">
        <f t="shared" si="369"/>
        <v>S</v>
      </c>
      <c r="J1040" s="111">
        <f>IF(tech_base!$T136&gt;J$905,"",J2160+tech_proj!J1660/(1-tech_proj!J540))</f>
        <v>14.072341673530774</v>
      </c>
      <c r="K1040" s="111">
        <f>IF(tech_base!$T136&gt;K$905,"",K2160+tech_proj!K1660/(1-tech_proj!K540))</f>
        <v>14.877787732943894</v>
      </c>
      <c r="L1040" s="111">
        <f>IF(tech_base!$T136&gt;L$905,"",L2160+tech_proj!L1660/(1-tech_proj!L540))</f>
        <v>15.096326660020342</v>
      </c>
      <c r="M1040" s="111">
        <f>IF(tech_base!$T136&gt;M$905,"",M2160+tech_proj!M1660/(1-tech_proj!M540))</f>
        <v>14.842320693472102</v>
      </c>
      <c r="N1040" s="111">
        <f>IF(tech_base!$T136&gt;N$905,"",N2160+tech_proj!N1660/(1-tech_proj!N540))</f>
        <v>14.460389518691944</v>
      </c>
      <c r="O1040" s="111">
        <f>IF(tech_base!$T136&gt;O$905,"",O2160+tech_proj!O1660/(1-tech_proj!O540))</f>
        <v>13.258559146877126</v>
      </c>
      <c r="P1040" s="111">
        <f>IF(tech_base!$T136&gt;P$905,"",P2160+tech_proj!P1660/(1-tech_proj!P540))</f>
        <v>12.9876413563202</v>
      </c>
      <c r="Q1040" s="111">
        <f>IF(tech_base!$T136&gt;Q$905,"",Q2160+tech_proj!Q1660/(1-tech_proj!Q540))</f>
        <v>13.328452057637939</v>
      </c>
      <c r="R1040" s="111">
        <f>IF(tech_base!$T136&gt;R$905,"",R2160+tech_proj!R1660/(1-tech_proj!R540))</f>
        <v>13.633279285206402</v>
      </c>
      <c r="S1040" s="111">
        <f>IF(tech_base!$T136&gt;S$905,"",S2160+tech_proj!S1660/(1-tech_proj!S540))</f>
        <v>13.901236023949043</v>
      </c>
      <c r="T1040" s="111">
        <f>IF(tech_base!$T136&gt;T$905,"",T2160+tech_proj!T1660/(1-tech_proj!T540))</f>
        <v>14.159685594123474</v>
      </c>
      <c r="U1040" s="111">
        <f>IF(tech_base!$T136&gt;U$905,"",U2160+tech_proj!U1660/(1-tech_proj!U540))</f>
        <v>14.405984812460453</v>
      </c>
      <c r="V1040" s="111">
        <f>IF(tech_base!$T136&gt;V$905,"",V2160+tech_proj!V1660/(1-tech_proj!V540))</f>
        <v>14.573036568336445</v>
      </c>
      <c r="W1040" s="111">
        <f>IF(tech_base!$T136&gt;W$905,"",W2160+tech_proj!W1660/(1-tech_proj!W540))</f>
        <v>14.776204544259214</v>
      </c>
      <c r="X1040" s="111">
        <f>IF(tech_base!$T136&gt;X$905,"",X2160+tech_proj!X1660/(1-tech_proj!X540))</f>
        <v>14.953201939193262</v>
      </c>
      <c r="Y1040" s="111">
        <f>IF(tech_base!$T136&gt;Y$905,"",Y2160+tech_proj!Y1660/(1-tech_proj!Y540))</f>
        <v>15.104205867852535</v>
      </c>
      <c r="Z1040" s="111">
        <f>IF(tech_base!$T136&gt;Z$905,"",Z2160+tech_proj!Z1660/(1-tech_proj!Z540))</f>
        <v>15.203151029426063</v>
      </c>
      <c r="AA1040" s="111">
        <f>IF(tech_base!$T136&gt;AA$905,"",AA2160+tech_proj!AA1660/(1-tech_proj!AA540))</f>
        <v>15.293298171187828</v>
      </c>
      <c r="AB1040" s="111">
        <f>IF(tech_base!$T136&gt;AB$905,"",AB2160+tech_proj!AB1660/(1-tech_proj!AB540))</f>
        <v>15.356927773318874</v>
      </c>
      <c r="AC1040" s="111">
        <f>IF(tech_base!$T136&gt;AC$905,"",AC2160+tech_proj!AC1660/(1-tech_proj!AC540))</f>
        <v>15.45262352481339</v>
      </c>
      <c r="AD1040" s="111">
        <f>IF(tech_base!$T136&gt;AD$905,"",AD2160+tech_proj!AD1660/(1-tech_proj!AD540))</f>
        <v>15.51345657440835</v>
      </c>
      <c r="AE1040" s="111">
        <f>IF(tech_base!$T136&gt;AE$905,"",AE2160+tech_proj!AE1660/(1-tech_proj!AE540))</f>
        <v>15.571766645099633</v>
      </c>
      <c r="AF1040" s="111">
        <f>IF(tech_base!$T136&gt;AF$905,"",AF2160+tech_proj!AF1660/(1-tech_proj!AF540))</f>
        <v>15.604132823825204</v>
      </c>
      <c r="AG1040" s="111">
        <f>IF(tech_base!$T136&gt;AG$905,"",AG2160+tech_proj!AG1660/(1-tech_proj!AG540))</f>
        <v>15.640280867298866</v>
      </c>
      <c r="AH1040" s="111">
        <f>IF(tech_base!$T136&gt;AH$905,"",AH2160+tech_proj!AH1660/(1-tech_proj!AH540))</f>
        <v>15.680197383776949</v>
      </c>
      <c r="AI1040" s="111">
        <f>IF(tech_base!$T136&gt;AI$905,"",AI2160+tech_proj!AI1660/(1-tech_proj!AI540))</f>
        <v>15.72424354991529</v>
      </c>
      <c r="AJ1040" s="111">
        <f>IF(tech_base!$T136&gt;AJ$905,"",AJ2160+tech_proj!AJ1660/(1-tech_proj!AJ540))</f>
        <v>15.773111448878378</v>
      </c>
      <c r="AK1040" s="111">
        <f>IF(tech_base!$T136&gt;AK$905,"",AK2160+tech_proj!AK1660/(1-tech_proj!AK540))</f>
        <v>15.827776984119119</v>
      </c>
      <c r="AL1040" s="111">
        <f>IF(tech_base!$T136&gt;AL$905,"",AL2160+tech_proj!AL1660/(1-tech_proj!AL540))</f>
        <v>15.886464725397815</v>
      </c>
      <c r="AM1040" s="111">
        <f>IF(tech_base!$T136&gt;AM$905,"",AM2160+tech_proj!AM1660/(1-tech_proj!AM540))</f>
        <v>15.946995955453097</v>
      </c>
      <c r="AN1040" s="111">
        <f>IF(tech_base!$T136&gt;AN$905,"",AN2160+tech_proj!AN1660/(1-tech_proj!AN540))</f>
        <v>16.00865103847357</v>
      </c>
      <c r="AO1040" s="111">
        <f>IF(tech_base!$T136&gt;AO$905,"",AO2160+tech_proj!AO1660/(1-tech_proj!AO540))</f>
        <v>16.01963231529043</v>
      </c>
      <c r="AP1040" s="111">
        <f>IF(tech_base!$T136&gt;AP$905,"",AP2160+tech_proj!AP1660/(1-tech_proj!AP540))</f>
        <v>16.044186547405765</v>
      </c>
      <c r="AQ1040" s="111">
        <f>IF(tech_base!$T136&gt;AQ$905,"",AQ2160+tech_proj!AQ1660/(1-tech_proj!AQ540))</f>
        <v>16.069935270213502</v>
      </c>
      <c r="AR1040" s="111">
        <f>IF(tech_base!$T136&gt;AR$905,"",AR2160+tech_proj!AR1660/(1-tech_proj!AR540))</f>
        <v>16.119039597922988</v>
      </c>
      <c r="AS1040" s="111">
        <f>IF(tech_base!$T136&gt;AS$905,"",AS2160+tech_proj!AS1660/(1-tech_proj!AS540))</f>
        <v>16.147377557057347</v>
      </c>
      <c r="AT1040" s="111">
        <f>IF(tech_base!$T136&gt;AT$905,"",AT2160+tech_proj!AT1660/(1-tech_proj!AT540))</f>
        <v>16.175644947955956</v>
      </c>
      <c r="AU1040" s="111">
        <f>IF(tech_base!$T136&gt;AU$905,"",AU2160+tech_proj!AU1660/(1-tech_proj!AU540))</f>
        <v>16.203419459693215</v>
      </c>
      <c r="AV1040" s="111">
        <f>IF(tech_base!$T136&gt;AV$905,"",AV2160+tech_proj!AV1660/(1-tech_proj!AV540))</f>
        <v>16.230440729458245</v>
      </c>
      <c r="AW1040" s="111">
        <f>IF(tech_base!$T136&gt;AW$905,"",AW2160+tech_proj!AW1660/(1-tech_proj!AW540))</f>
        <v>16.256512622072957</v>
      </c>
      <c r="AX1040" s="112">
        <f>IF(tech_base!$T136&gt;AX$905,"",AX2160+tech_proj!AX1660/(1-tech_proj!AX540))</f>
        <v>16.289258160061419</v>
      </c>
    </row>
    <row r="1041" spans="1:50" x14ac:dyDescent="0.25">
      <c r="A1041" s="356"/>
      <c r="B1041" s="366"/>
      <c r="C1041" s="361" t="s">
        <v>15</v>
      </c>
      <c r="D1041" s="58" t="s">
        <v>7</v>
      </c>
      <c r="E1041" s="164" t="str">
        <f>A1035&amp;"/"&amp;B1035&amp;"/"&amp;C1041&amp;"/"&amp;D1041</f>
        <v>Refinery gas fired power plants/Steam turbine/Electricity only with CCS/L</v>
      </c>
      <c r="F1041" s="78" t="str">
        <f>A1035</f>
        <v>Refinery gas fired power plants</v>
      </c>
      <c r="G1041" s="78" t="str">
        <f>B1035</f>
        <v>Steam turbine</v>
      </c>
      <c r="H1041" s="78" t="str">
        <f>C1041</f>
        <v>Electricity only with CCS</v>
      </c>
      <c r="I1041" s="165" t="str">
        <f t="shared" si="369"/>
        <v>L</v>
      </c>
      <c r="J1041" s="109" t="str">
        <f>IF(tech_base!$T137&gt;J$905,"",J2161+tech_proj!J1661/(1-tech_proj!J541))</f>
        <v/>
      </c>
      <c r="K1041" s="109" t="str">
        <f>IF(tech_base!$T137&gt;K$905,"",K2161+tech_proj!K1661/(1-tech_proj!K541))</f>
        <v/>
      </c>
      <c r="L1041" s="109" t="str">
        <f>IF(tech_base!$T137&gt;L$905,"",L2161+tech_proj!L1661/(1-tech_proj!L541))</f>
        <v/>
      </c>
      <c r="M1041" s="109" t="str">
        <f>IF(tech_base!$T137&gt;M$905,"",M2161+tech_proj!M1661/(1-tech_proj!M541))</f>
        <v/>
      </c>
      <c r="N1041" s="109" t="str">
        <f>IF(tech_base!$T137&gt;N$905,"",N2161+tech_proj!N1661/(1-tech_proj!N541))</f>
        <v/>
      </c>
      <c r="O1041" s="109" t="str">
        <f>IF(tech_base!$T137&gt;O$905,"",O2161+tech_proj!O1661/(1-tech_proj!O541))</f>
        <v/>
      </c>
      <c r="P1041" s="109" t="str">
        <f>IF(tech_base!$T137&gt;P$905,"",P2161+tech_proj!P1661/(1-tech_proj!P541))</f>
        <v/>
      </c>
      <c r="Q1041" s="109" t="str">
        <f>IF(tech_base!$T137&gt;Q$905,"",Q2161+tech_proj!Q1661/(1-tech_proj!Q541))</f>
        <v/>
      </c>
      <c r="R1041" s="109" t="str">
        <f>IF(tech_base!$T137&gt;R$905,"",R2161+tech_proj!R1661/(1-tech_proj!R541))</f>
        <v/>
      </c>
      <c r="S1041" s="109" t="str">
        <f>IF(tech_base!$T137&gt;S$905,"",S2161+tech_proj!S1661/(1-tech_proj!S541))</f>
        <v/>
      </c>
      <c r="T1041" s="109" t="str">
        <f>IF(tech_base!$T137&gt;T$905,"",T2161+tech_proj!T1661/(1-tech_proj!T541))</f>
        <v/>
      </c>
      <c r="U1041" s="109" t="str">
        <f>IF(tech_base!$T137&gt;U$905,"",U2161+tech_proj!U1661/(1-tech_proj!U541))</f>
        <v/>
      </c>
      <c r="V1041" s="109" t="str">
        <f>IF(tech_base!$T137&gt;V$905,"",V2161+tech_proj!V1661/(1-tech_proj!V541))</f>
        <v/>
      </c>
      <c r="W1041" s="109" t="str">
        <f>IF(tech_base!$T137&gt;W$905,"",W2161+tech_proj!W1661/(1-tech_proj!W541))</f>
        <v/>
      </c>
      <c r="X1041" s="109" t="str">
        <f>IF(tech_base!$T137&gt;X$905,"",X2161+tech_proj!X1661/(1-tech_proj!X541))</f>
        <v/>
      </c>
      <c r="Y1041" s="109" t="str">
        <f>IF(tech_base!$T137&gt;Y$905,"",Y2161+tech_proj!Y1661/(1-tech_proj!Y541))</f>
        <v/>
      </c>
      <c r="Z1041" s="109" t="str">
        <f>IF(tech_base!$T137&gt;Z$905,"",Z2161+tech_proj!Z1661/(1-tech_proj!Z541))</f>
        <v/>
      </c>
      <c r="AA1041" s="109" t="str">
        <f>IF(tech_base!$T137&gt;AA$905,"",AA2161+tech_proj!AA1661/(1-tech_proj!AA541))</f>
        <v/>
      </c>
      <c r="AB1041" s="109" t="str">
        <f>IF(tech_base!$T137&gt;AB$905,"",AB2161+tech_proj!AB1661/(1-tech_proj!AB541))</f>
        <v/>
      </c>
      <c r="AC1041" s="109" t="str">
        <f>IF(tech_base!$T137&gt;AC$905,"",AC2161+tech_proj!AC1661/(1-tech_proj!AC541))</f>
        <v/>
      </c>
      <c r="AD1041" s="109" t="str">
        <f>IF(tech_base!$T137&gt;AD$905,"",AD2161+tech_proj!AD1661/(1-tech_proj!AD541))</f>
        <v/>
      </c>
      <c r="AE1041" s="109">
        <f>IF(tech_base!$T137&gt;AE$905,"",AE2161+tech_proj!AE1661/(1-tech_proj!AE541))</f>
        <v>17.565558578324989</v>
      </c>
      <c r="AF1041" s="109">
        <f>IF(tech_base!$T137&gt;AF$905,"",AF2161+tech_proj!AF1661/(1-tech_proj!AF541))</f>
        <v>17.600551535144398</v>
      </c>
      <c r="AG1041" s="109">
        <f>IF(tech_base!$T137&gt;AG$905,"",AG2161+tech_proj!AG1661/(1-tech_proj!AG541))</f>
        <v>17.639676509065016</v>
      </c>
      <c r="AH1041" s="109">
        <f>IF(tech_base!$T137&gt;AH$905,"",AH2161+tech_proj!AH1661/(1-tech_proj!AH541))</f>
        <v>17.682918824884339</v>
      </c>
      <c r="AI1041" s="109">
        <f>IF(tech_base!$T137&gt;AI$905,"",AI2161+tech_proj!AI1661/(1-tech_proj!AI541))</f>
        <v>17.730672264073839</v>
      </c>
      <c r="AJ1041" s="109">
        <f>IF(tech_base!$T137&gt;AJ$905,"",AJ2161+tech_proj!AJ1661/(1-tech_proj!AJ541))</f>
        <v>17.783691467202235</v>
      </c>
      <c r="AK1041" s="109">
        <f>IF(tech_base!$T137&gt;AK$905,"",AK2161+tech_proj!AK1661/(1-tech_proj!AK541))</f>
        <v>17.843040598926422</v>
      </c>
      <c r="AL1041" s="109">
        <f>IF(tech_base!$T137&gt;AL$905,"",AL2161+tech_proj!AL1661/(1-tech_proj!AL541))</f>
        <v>17.906783501813599</v>
      </c>
      <c r="AM1041" s="109">
        <f>IF(tech_base!$T137&gt;AM$905,"",AM2161+tech_proj!AM1661/(1-tech_proj!AM541))</f>
        <v>17.972544170781838</v>
      </c>
      <c r="AN1041" s="109">
        <f>IF(tech_base!$T137&gt;AN$905,"",AN2161+tech_proj!AN1661/(1-tech_proj!AN541))</f>
        <v>18.039537694905867</v>
      </c>
      <c r="AO1041" s="109">
        <f>IF(tech_base!$T137&gt;AO$905,"",AO2161+tech_proj!AO1661/(1-tech_proj!AO541))</f>
        <v>18.051277105945459</v>
      </c>
      <c r="AP1041" s="109">
        <f>IF(tech_base!$T137&gt;AP$905,"",AP2161+tech_proj!AP1661/(1-tech_proj!AP541))</f>
        <v>18.077824552989213</v>
      </c>
      <c r="AQ1041" s="109">
        <f>IF(tech_base!$T137&gt;AQ$905,"",AQ2161+tech_proj!AQ1661/(1-tech_proj!AQ541))</f>
        <v>18.105680933025674</v>
      </c>
      <c r="AR1041" s="109">
        <f>IF(tech_base!$T137&gt;AR$905,"",AR2161+tech_proj!AR1661/(1-tech_proj!AR541))</f>
        <v>18.159013894178329</v>
      </c>
      <c r="AS1041" s="109">
        <f>IF(tech_base!$T137&gt;AS$905,"",AS2161+tech_proj!AS1661/(1-tech_proj!AS541))</f>
        <v>18.189706305334589</v>
      </c>
      <c r="AT1041" s="109">
        <f>IF(tech_base!$T137&gt;AT$905,"",AT2161+tech_proj!AT1661/(1-tech_proj!AT541))</f>
        <v>18.220327661774803</v>
      </c>
      <c r="AU1041" s="109">
        <f>IF(tech_base!$T137&gt;AU$905,"",AU2161+tech_proj!AU1661/(1-tech_proj!AU541))</f>
        <v>18.250417263400646</v>
      </c>
      <c r="AV1041" s="109">
        <f>IF(tech_base!$T137&gt;AV$905,"",AV2161+tech_proj!AV1661/(1-tech_proj!AV541))</f>
        <v>18.279691018767895</v>
      </c>
      <c r="AW1041" s="109">
        <f>IF(tech_base!$T137&gt;AW$905,"",AW2161+tech_proj!AW1661/(1-tech_proj!AW541))</f>
        <v>18.307934878517703</v>
      </c>
      <c r="AX1041" s="110">
        <f>IF(tech_base!$T137&gt;AX$905,"",AX2161+tech_proj!AX1661/(1-tech_proj!AX541))</f>
        <v>18.343462241006748</v>
      </c>
    </row>
    <row r="1042" spans="1:50" x14ac:dyDescent="0.25">
      <c r="A1042" s="356"/>
      <c r="B1042" s="366"/>
      <c r="C1042" s="379"/>
      <c r="D1042" s="59" t="s">
        <v>8</v>
      </c>
      <c r="E1042" s="166" t="str">
        <f>A1035&amp;"/"&amp;B1035&amp;"/"&amp;C1041&amp;"/"&amp;D1042</f>
        <v>Refinery gas fired power plants/Steam turbine/Electricity only with CCS/M</v>
      </c>
      <c r="F1042" s="79" t="str">
        <f>A1035</f>
        <v>Refinery gas fired power plants</v>
      </c>
      <c r="G1042" s="79" t="str">
        <f>B1035</f>
        <v>Steam turbine</v>
      </c>
      <c r="H1042" s="79" t="str">
        <f>C1041</f>
        <v>Electricity only with CCS</v>
      </c>
      <c r="I1042" s="167" t="str">
        <f t="shared" si="369"/>
        <v>M</v>
      </c>
      <c r="J1042" s="111" t="str">
        <f>IF(tech_base!$T138&gt;J$905,"",J2162+tech_proj!J1662/(1-tech_proj!J542))</f>
        <v/>
      </c>
      <c r="K1042" s="111" t="str">
        <f>IF(tech_base!$T138&gt;K$905,"",K2162+tech_proj!K1662/(1-tech_proj!K542))</f>
        <v/>
      </c>
      <c r="L1042" s="111" t="str">
        <f>IF(tech_base!$T138&gt;L$905,"",L2162+tech_proj!L1662/(1-tech_proj!L542))</f>
        <v/>
      </c>
      <c r="M1042" s="111" t="str">
        <f>IF(tech_base!$T138&gt;M$905,"",M2162+tech_proj!M1662/(1-tech_proj!M542))</f>
        <v/>
      </c>
      <c r="N1042" s="111" t="str">
        <f>IF(tech_base!$T138&gt;N$905,"",N2162+tech_proj!N1662/(1-tech_proj!N542))</f>
        <v/>
      </c>
      <c r="O1042" s="111" t="str">
        <f>IF(tech_base!$T138&gt;O$905,"",O2162+tech_proj!O1662/(1-tech_proj!O542))</f>
        <v/>
      </c>
      <c r="P1042" s="111" t="str">
        <f>IF(tech_base!$T138&gt;P$905,"",P2162+tech_proj!P1662/(1-tech_proj!P542))</f>
        <v/>
      </c>
      <c r="Q1042" s="111" t="str">
        <f>IF(tech_base!$T138&gt;Q$905,"",Q2162+tech_proj!Q1662/(1-tech_proj!Q542))</f>
        <v/>
      </c>
      <c r="R1042" s="111" t="str">
        <f>IF(tech_base!$T138&gt;R$905,"",R2162+tech_proj!R1662/(1-tech_proj!R542))</f>
        <v/>
      </c>
      <c r="S1042" s="111" t="str">
        <f>IF(tech_base!$T138&gt;S$905,"",S2162+tech_proj!S1662/(1-tech_proj!S542))</f>
        <v/>
      </c>
      <c r="T1042" s="111" t="str">
        <f>IF(tech_base!$T138&gt;T$905,"",T2162+tech_proj!T1662/(1-tech_proj!T542))</f>
        <v/>
      </c>
      <c r="U1042" s="111" t="str">
        <f>IF(tech_base!$T138&gt;U$905,"",U2162+tech_proj!U1662/(1-tech_proj!U542))</f>
        <v/>
      </c>
      <c r="V1042" s="111" t="str">
        <f>IF(tech_base!$T138&gt;V$905,"",V2162+tech_proj!V1662/(1-tech_proj!V542))</f>
        <v/>
      </c>
      <c r="W1042" s="111" t="str">
        <f>IF(tech_base!$T138&gt;W$905,"",W2162+tech_proj!W1662/(1-tech_proj!W542))</f>
        <v/>
      </c>
      <c r="X1042" s="111" t="str">
        <f>IF(tech_base!$T138&gt;X$905,"",X2162+tech_proj!X1662/(1-tech_proj!X542))</f>
        <v/>
      </c>
      <c r="Y1042" s="111" t="str">
        <f>IF(tech_base!$T138&gt;Y$905,"",Y2162+tech_proj!Y1662/(1-tech_proj!Y542))</f>
        <v/>
      </c>
      <c r="Z1042" s="111" t="str">
        <f>IF(tech_base!$T138&gt;Z$905,"",Z2162+tech_proj!Z1662/(1-tech_proj!Z542))</f>
        <v/>
      </c>
      <c r="AA1042" s="111" t="str">
        <f>IF(tech_base!$T138&gt;AA$905,"",AA2162+tech_proj!AA1662/(1-tech_proj!AA542))</f>
        <v/>
      </c>
      <c r="AB1042" s="111" t="str">
        <f>IF(tech_base!$T138&gt;AB$905,"",AB2162+tech_proj!AB1662/(1-tech_proj!AB542))</f>
        <v/>
      </c>
      <c r="AC1042" s="111" t="str">
        <f>IF(tech_base!$T138&gt;AC$905,"",AC2162+tech_proj!AC1662/(1-tech_proj!AC542))</f>
        <v/>
      </c>
      <c r="AD1042" s="111" t="str">
        <f>IF(tech_base!$T138&gt;AD$905,"",AD2162+tech_proj!AD1662/(1-tech_proj!AD542))</f>
        <v/>
      </c>
      <c r="AE1042" s="111">
        <f>IF(tech_base!$T138&gt;AE$905,"",AE2162+tech_proj!AE1662/(1-tech_proj!AE542))</f>
        <v>20.047896834917267</v>
      </c>
      <c r="AF1042" s="111">
        <f>IF(tech_base!$T138&gt;AF$905,"",AF2162+tech_proj!AF1662/(1-tech_proj!AF542))</f>
        <v>20.085252943249866</v>
      </c>
      <c r="AG1042" s="111">
        <f>IF(tech_base!$T138&gt;AG$905,"",AG2162+tech_proj!AG1662/(1-tech_proj!AG542))</f>
        <v>20.127020112907218</v>
      </c>
      <c r="AH1042" s="111">
        <f>IF(tech_base!$T138&gt;AH$905,"",AH2162+tech_proj!AH1662/(1-tech_proj!AH542))</f>
        <v>20.173182677638049</v>
      </c>
      <c r="AI1042" s="111">
        <f>IF(tech_base!$T138&gt;AI$905,"",AI2162+tech_proj!AI1662/(1-tech_proj!AI542))</f>
        <v>20.22416101184465</v>
      </c>
      <c r="AJ1042" s="111">
        <f>IF(tech_base!$T138&gt;AJ$905,"",AJ2162+tech_proj!AJ1662/(1-tech_proj!AJ542))</f>
        <v>20.280760718636895</v>
      </c>
      <c r="AK1042" s="111">
        <f>IF(tech_base!$T138&gt;AK$905,"",AK2162+tech_proj!AK1662/(1-tech_proj!AK542))</f>
        <v>20.344117828056827</v>
      </c>
      <c r="AL1042" s="111">
        <f>IF(tech_base!$T138&gt;AL$905,"",AL2162+tech_proj!AL1662/(1-tech_proj!AL542))</f>
        <v>20.412165429692102</v>
      </c>
      <c r="AM1042" s="111">
        <f>IF(tech_base!$T138&gt;AM$905,"",AM2162+tech_proj!AM1662/(1-tech_proj!AM542))</f>
        <v>20.482367061599906</v>
      </c>
      <c r="AN1042" s="111">
        <f>IF(tech_base!$T138&gt;AN$905,"",AN2162+tech_proj!AN1662/(1-tech_proj!AN542))</f>
        <v>20.55388480608989</v>
      </c>
      <c r="AO1042" s="111">
        <f>IF(tech_base!$T138&gt;AO$905,"",AO2162+tech_proj!AO1662/(1-tech_proj!AO542))</f>
        <v>20.566417005435579</v>
      </c>
      <c r="AP1042" s="111">
        <f>IF(tech_base!$T138&gt;AP$905,"",AP2162+tech_proj!AP1662/(1-tech_proj!AP542))</f>
        <v>20.594757260099918</v>
      </c>
      <c r="AQ1042" s="111">
        <f>IF(tech_base!$T138&gt;AQ$905,"",AQ2162+tech_proj!AQ1662/(1-tech_proj!AQ542))</f>
        <v>20.624494842887401</v>
      </c>
      <c r="AR1042" s="111">
        <f>IF(tech_base!$T138&gt;AR$905,"",AR2162+tech_proj!AR1662/(1-tech_proj!AR542))</f>
        <v>20.681429496474944</v>
      </c>
      <c r="AS1042" s="111">
        <f>IF(tech_base!$T138&gt;AS$905,"",AS2162+tech_proj!AS1662/(1-tech_proj!AS542))</f>
        <v>20.714194633815545</v>
      </c>
      <c r="AT1042" s="111">
        <f>IF(tech_base!$T138&gt;AT$905,"",AT2162+tech_proj!AT1662/(1-tech_proj!AT542))</f>
        <v>20.746883917958499</v>
      </c>
      <c r="AU1042" s="111">
        <f>IF(tech_base!$T138&gt;AU$905,"",AU2162+tech_proj!AU1662/(1-tech_proj!AU542))</f>
        <v>20.779005536712255</v>
      </c>
      <c r="AV1042" s="111">
        <f>IF(tech_base!$T138&gt;AV$905,"",AV2162+tech_proj!AV1662/(1-tech_proj!AV542))</f>
        <v>20.81025621331111</v>
      </c>
      <c r="AW1042" s="111">
        <f>IF(tech_base!$T138&gt;AW$905,"",AW2162+tech_proj!AW1662/(1-tech_proj!AW542))</f>
        <v>20.840407443171145</v>
      </c>
      <c r="AX1042" s="112">
        <f>IF(tech_base!$T138&gt;AX$905,"",AX2162+tech_proj!AX1662/(1-tech_proj!AX542))</f>
        <v>20.878334046766305</v>
      </c>
    </row>
    <row r="1043" spans="1:50" x14ac:dyDescent="0.25">
      <c r="A1043" s="356"/>
      <c r="B1043" s="366"/>
      <c r="C1043" s="361" t="s">
        <v>16</v>
      </c>
      <c r="D1043" s="2" t="s">
        <v>7</v>
      </c>
      <c r="E1043" s="160" t="str">
        <f>A1035&amp;"/"&amp;B1035&amp;"/"&amp;C1043&amp;"/"&amp;D1043</f>
        <v>Refinery gas fired power plants/Steam turbine/CHP with CCS/L</v>
      </c>
      <c r="F1043" s="76" t="str">
        <f>A1035</f>
        <v>Refinery gas fired power plants</v>
      </c>
      <c r="G1043" s="76" t="str">
        <f>B1035</f>
        <v>Steam turbine</v>
      </c>
      <c r="H1043" s="76" t="str">
        <f>C1043</f>
        <v>CHP with CCS</v>
      </c>
      <c r="I1043" s="161" t="str">
        <f t="shared" si="369"/>
        <v>L</v>
      </c>
      <c r="J1043" s="105" t="str">
        <f>IF(tech_base!$T139&gt;J$905,"",J2163+tech_proj!J1663/(1-tech_proj!J543))</f>
        <v/>
      </c>
      <c r="K1043" s="105" t="str">
        <f>IF(tech_base!$T139&gt;K$905,"",K2163+tech_proj!K1663/(1-tech_proj!K543))</f>
        <v/>
      </c>
      <c r="L1043" s="105" t="str">
        <f>IF(tech_base!$T139&gt;L$905,"",L2163+tech_proj!L1663/(1-tech_proj!L543))</f>
        <v/>
      </c>
      <c r="M1043" s="105" t="str">
        <f>IF(tech_base!$T139&gt;M$905,"",M2163+tech_proj!M1663/(1-tech_proj!M543))</f>
        <v/>
      </c>
      <c r="N1043" s="105" t="str">
        <f>IF(tech_base!$T139&gt;N$905,"",N2163+tech_proj!N1663/(1-tech_proj!N543))</f>
        <v/>
      </c>
      <c r="O1043" s="105" t="str">
        <f>IF(tech_base!$T139&gt;O$905,"",O2163+tech_proj!O1663/(1-tech_proj!O543))</f>
        <v/>
      </c>
      <c r="P1043" s="105" t="str">
        <f>IF(tech_base!$T139&gt;P$905,"",P2163+tech_proj!P1663/(1-tech_proj!P543))</f>
        <v/>
      </c>
      <c r="Q1043" s="105" t="str">
        <f>IF(tech_base!$T139&gt;Q$905,"",Q2163+tech_proj!Q1663/(1-tech_proj!Q543))</f>
        <v/>
      </c>
      <c r="R1043" s="105" t="str">
        <f>IF(tech_base!$T139&gt;R$905,"",R2163+tech_proj!R1663/(1-tech_proj!R543))</f>
        <v/>
      </c>
      <c r="S1043" s="105" t="str">
        <f>IF(tech_base!$T139&gt;S$905,"",S2163+tech_proj!S1663/(1-tech_proj!S543))</f>
        <v/>
      </c>
      <c r="T1043" s="105" t="str">
        <f>IF(tech_base!$T139&gt;T$905,"",T2163+tech_proj!T1663/(1-tech_proj!T543))</f>
        <v/>
      </c>
      <c r="U1043" s="105" t="str">
        <f>IF(tech_base!$T139&gt;U$905,"",U2163+tech_proj!U1663/(1-tech_proj!U543))</f>
        <v/>
      </c>
      <c r="V1043" s="105" t="str">
        <f>IF(tech_base!$T139&gt;V$905,"",V2163+tech_proj!V1663/(1-tech_proj!V543))</f>
        <v/>
      </c>
      <c r="W1043" s="105" t="str">
        <f>IF(tech_base!$T139&gt;W$905,"",W2163+tech_proj!W1663/(1-tech_proj!W543))</f>
        <v/>
      </c>
      <c r="X1043" s="105" t="str">
        <f>IF(tech_base!$T139&gt;X$905,"",X2163+tech_proj!X1663/(1-tech_proj!X543))</f>
        <v/>
      </c>
      <c r="Y1043" s="105" t="str">
        <f>IF(tech_base!$T139&gt;Y$905,"",Y2163+tech_proj!Y1663/(1-tech_proj!Y543))</f>
        <v/>
      </c>
      <c r="Z1043" s="105" t="str">
        <f>IF(tech_base!$T139&gt;Z$905,"",Z2163+tech_proj!Z1663/(1-tech_proj!Z543))</f>
        <v/>
      </c>
      <c r="AA1043" s="105" t="str">
        <f>IF(tech_base!$T139&gt;AA$905,"",AA2163+tech_proj!AA1663/(1-tech_proj!AA543))</f>
        <v/>
      </c>
      <c r="AB1043" s="105" t="str">
        <f>IF(tech_base!$T139&gt;AB$905,"",AB2163+tech_proj!AB1663/(1-tech_proj!AB543))</f>
        <v/>
      </c>
      <c r="AC1043" s="105" t="str">
        <f>IF(tech_base!$T139&gt;AC$905,"",AC2163+tech_proj!AC1663/(1-tech_proj!AC543))</f>
        <v/>
      </c>
      <c r="AD1043" s="105" t="str">
        <f>IF(tech_base!$T139&gt;AD$905,"",AD2163+tech_proj!AD1663/(1-tech_proj!AD543))</f>
        <v/>
      </c>
      <c r="AE1043" s="105">
        <f>IF(tech_base!$T139&gt;AE$905,"",AE2163+tech_proj!AE1663/(1-tech_proj!AE543))</f>
        <v>20.972594976307828</v>
      </c>
      <c r="AF1043" s="105">
        <f>IF(tech_base!$T139&gt;AF$905,"",AF2163+tech_proj!AF1663/(1-tech_proj!AF543))</f>
        <v>21.01239449290464</v>
      </c>
      <c r="AG1043" s="105">
        <f>IF(tech_base!$T139&gt;AG$905,"",AG2163+tech_proj!AG1663/(1-tech_proj!AG543))</f>
        <v>21.05689359187874</v>
      </c>
      <c r="AH1043" s="105">
        <f>IF(tech_base!$T139&gt;AH$905,"",AH2163+tech_proj!AH1663/(1-tech_proj!AH543))</f>
        <v>21.106075582272336</v>
      </c>
      <c r="AI1043" s="105">
        <f>IF(tech_base!$T139&gt;AI$905,"",AI2163+tech_proj!AI1663/(1-tech_proj!AI543))</f>
        <v>21.160388334560903</v>
      </c>
      <c r="AJ1043" s="105">
        <f>IF(tech_base!$T139&gt;AJ$905,"",AJ2163+tech_proj!AJ1663/(1-tech_proj!AJ543))</f>
        <v>21.220690145172338</v>
      </c>
      <c r="AK1043" s="105">
        <f>IF(tech_base!$T139&gt;AK$905,"",AK2163+tech_proj!AK1663/(1-tech_proj!AK543))</f>
        <v>21.288191350207768</v>
      </c>
      <c r="AL1043" s="105">
        <f>IF(tech_base!$T139&gt;AL$905,"",AL2163+tech_proj!AL1663/(1-tech_proj!AL543))</f>
        <v>21.360689845675857</v>
      </c>
      <c r="AM1043" s="105">
        <f>IF(tech_base!$T139&gt;AM$905,"",AM2163+tech_proj!AM1663/(1-tech_proj!AM543))</f>
        <v>21.435483263377758</v>
      </c>
      <c r="AN1043" s="105">
        <f>IF(tech_base!$T139&gt;AN$905,"",AN2163+tech_proj!AN1663/(1-tech_proj!AN543))</f>
        <v>21.5116788786558</v>
      </c>
      <c r="AO1043" s="105">
        <f>IF(tech_base!$T139&gt;AO$905,"",AO2163+tech_proj!AO1663/(1-tech_proj!AO543))</f>
        <v>21.525030790782527</v>
      </c>
      <c r="AP1043" s="105">
        <f>IF(tech_base!$T139&gt;AP$905,"",AP2163+tech_proj!AP1663/(1-tech_proj!AP543))</f>
        <v>21.555224739944169</v>
      </c>
      <c r="AQ1043" s="105">
        <f>IF(tech_base!$T139&gt;AQ$905,"",AQ2163+tech_proj!AQ1663/(1-tech_proj!AQ543))</f>
        <v>21.586907414412341</v>
      </c>
      <c r="AR1043" s="105">
        <f>IF(tech_base!$T139&gt;AR$905,"",AR2163+tech_proj!AR1663/(1-tech_proj!AR543))</f>
        <v>21.647566080197759</v>
      </c>
      <c r="AS1043" s="105">
        <f>IF(tech_base!$T139&gt;AS$905,"",AS2163+tech_proj!AS1663/(1-tech_proj!AS543))</f>
        <v>21.682474337122532</v>
      </c>
      <c r="AT1043" s="105">
        <f>IF(tech_base!$T139&gt;AT$905,"",AT2163+tech_proj!AT1663/(1-tech_proj!AT543))</f>
        <v>21.717301779403233</v>
      </c>
      <c r="AU1043" s="105">
        <f>IF(tech_base!$T139&gt;AU$905,"",AU2163+tech_proj!AU1663/(1-tech_proj!AU543))</f>
        <v>21.751524426134104</v>
      </c>
      <c r="AV1043" s="105">
        <f>IF(tech_base!$T139&gt;AV$905,"",AV2163+tech_proj!AV1663/(1-tech_proj!AV543))</f>
        <v>21.784819163660927</v>
      </c>
      <c r="AW1043" s="105">
        <f>IF(tech_base!$T139&gt;AW$905,"",AW2163+tech_proj!AW1663/(1-tech_proj!AW543))</f>
        <v>21.816942541250068</v>
      </c>
      <c r="AX1043" s="106">
        <f>IF(tech_base!$T139&gt;AX$905,"",AX2163+tech_proj!AX1663/(1-tech_proj!AX543))</f>
        <v>21.85734986836794</v>
      </c>
    </row>
    <row r="1044" spans="1:50" x14ac:dyDescent="0.25">
      <c r="A1044" s="357"/>
      <c r="B1044" s="367"/>
      <c r="C1044" s="381"/>
      <c r="D1044" s="4" t="s">
        <v>8</v>
      </c>
      <c r="E1044" s="168" t="str">
        <f>A1035&amp;"/"&amp;B1035&amp;"/"&amp;C1043&amp;"/"&amp;D1044</f>
        <v>Refinery gas fired power plants/Steam turbine/CHP with CCS/M</v>
      </c>
      <c r="F1044" s="80" t="str">
        <f>A1035</f>
        <v>Refinery gas fired power plants</v>
      </c>
      <c r="G1044" s="80" t="str">
        <f>B1035</f>
        <v>Steam turbine</v>
      </c>
      <c r="H1044" s="80" t="str">
        <f>C1043</f>
        <v>CHP with CCS</v>
      </c>
      <c r="I1044" s="169" t="str">
        <f t="shared" si="369"/>
        <v>M</v>
      </c>
      <c r="J1044" s="113" t="str">
        <f>IF(tech_base!$T140&gt;J$905,"",J2164+tech_proj!J1664/(1-tech_proj!J544))</f>
        <v/>
      </c>
      <c r="K1044" s="113" t="str">
        <f>IF(tech_base!$T140&gt;K$905,"",K2164+tech_proj!K1664/(1-tech_proj!K544))</f>
        <v/>
      </c>
      <c r="L1044" s="113" t="str">
        <f>IF(tech_base!$T140&gt;L$905,"",L2164+tech_proj!L1664/(1-tech_proj!L544))</f>
        <v/>
      </c>
      <c r="M1044" s="113" t="str">
        <f>IF(tech_base!$T140&gt;M$905,"",M2164+tech_proj!M1664/(1-tech_proj!M544))</f>
        <v/>
      </c>
      <c r="N1044" s="113" t="str">
        <f>IF(tech_base!$T140&gt;N$905,"",N2164+tech_proj!N1664/(1-tech_proj!N544))</f>
        <v/>
      </c>
      <c r="O1044" s="113" t="str">
        <f>IF(tech_base!$T140&gt;O$905,"",O2164+tech_proj!O1664/(1-tech_proj!O544))</f>
        <v/>
      </c>
      <c r="P1044" s="113" t="str">
        <f>IF(tech_base!$T140&gt;P$905,"",P2164+tech_proj!P1664/(1-tech_proj!P544))</f>
        <v/>
      </c>
      <c r="Q1044" s="113" t="str">
        <f>IF(tech_base!$T140&gt;Q$905,"",Q2164+tech_proj!Q1664/(1-tech_proj!Q544))</f>
        <v/>
      </c>
      <c r="R1044" s="113" t="str">
        <f>IF(tech_base!$T140&gt;R$905,"",R2164+tech_proj!R1664/(1-tech_proj!R544))</f>
        <v/>
      </c>
      <c r="S1044" s="113" t="str">
        <f>IF(tech_base!$T140&gt;S$905,"",S2164+tech_proj!S1664/(1-tech_proj!S544))</f>
        <v/>
      </c>
      <c r="T1044" s="113" t="str">
        <f>IF(tech_base!$T140&gt;T$905,"",T2164+tech_proj!T1664/(1-tech_proj!T544))</f>
        <v/>
      </c>
      <c r="U1044" s="113" t="str">
        <f>IF(tech_base!$T140&gt;U$905,"",U2164+tech_proj!U1664/(1-tech_proj!U544))</f>
        <v/>
      </c>
      <c r="V1044" s="113" t="str">
        <f>IF(tech_base!$T140&gt;V$905,"",V2164+tech_proj!V1664/(1-tech_proj!V544))</f>
        <v/>
      </c>
      <c r="W1044" s="113" t="str">
        <f>IF(tech_base!$T140&gt;W$905,"",W2164+tech_proj!W1664/(1-tech_proj!W544))</f>
        <v/>
      </c>
      <c r="X1044" s="113" t="str">
        <f>IF(tech_base!$T140&gt;X$905,"",X2164+tech_proj!X1664/(1-tech_proj!X544))</f>
        <v/>
      </c>
      <c r="Y1044" s="113" t="str">
        <f>IF(tech_base!$T140&gt;Y$905,"",Y2164+tech_proj!Y1664/(1-tech_proj!Y544))</f>
        <v/>
      </c>
      <c r="Z1044" s="113" t="str">
        <f>IF(tech_base!$T140&gt;Z$905,"",Z2164+tech_proj!Z1664/(1-tech_proj!Z544))</f>
        <v/>
      </c>
      <c r="AA1044" s="113" t="str">
        <f>IF(tech_base!$T140&gt;AA$905,"",AA2164+tech_proj!AA1664/(1-tech_proj!AA544))</f>
        <v/>
      </c>
      <c r="AB1044" s="113" t="str">
        <f>IF(tech_base!$T140&gt;AB$905,"",AB2164+tech_proj!AB1664/(1-tech_proj!AB544))</f>
        <v/>
      </c>
      <c r="AC1044" s="113" t="str">
        <f>IF(tech_base!$T140&gt;AC$905,"",AC2164+tech_proj!AC1664/(1-tech_proj!AC544))</f>
        <v/>
      </c>
      <c r="AD1044" s="113" t="str">
        <f>IF(tech_base!$T140&gt;AD$905,"",AD2164+tech_proj!AD1664/(1-tech_proj!AD544))</f>
        <v/>
      </c>
      <c r="AE1044" s="113">
        <f>IF(tech_base!$T140&gt;AE$905,"",AE2164+tech_proj!AE1664/(1-tech_proj!AE544))</f>
        <v>23.632031933139665</v>
      </c>
      <c r="AF1044" s="113">
        <f>IF(tech_base!$T140&gt;AF$905,"",AF2164+tech_proj!AF1664/(1-tech_proj!AF544))</f>
        <v>23.674616867867236</v>
      </c>
      <c r="AG1044" s="113">
        <f>IF(tech_base!$T140&gt;AG$905,"",AG2164+tech_proj!AG1664/(1-tech_proj!AG544))</f>
        <v>23.722230291026239</v>
      </c>
      <c r="AH1044" s="113">
        <f>IF(tech_base!$T140&gt;AH$905,"",AH2164+tech_proj!AH1664/(1-tech_proj!AH544))</f>
        <v>23.774854343521667</v>
      </c>
      <c r="AI1044" s="113">
        <f>IF(tech_base!$T140&gt;AI$905,"",AI2164+tech_proj!AI1664/(1-tech_proj!AI544))</f>
        <v>23.832968240595196</v>
      </c>
      <c r="AJ1044" s="113">
        <f>IF(tech_base!$T140&gt;AJ$905,"",AJ2164+tech_proj!AJ1664/(1-tech_proj!AJ544))</f>
        <v>23.897490347606116</v>
      </c>
      <c r="AK1044" s="113">
        <f>IF(tech_base!$T140&gt;AK$905,"",AK2164+tech_proj!AK1664/(1-tech_proj!AK544))</f>
        <v>23.969715707516556</v>
      </c>
      <c r="AL1044" s="113">
        <f>IF(tech_base!$T140&gt;AL$905,"",AL2164+tech_proj!AL1664/(1-tech_proj!AL544))</f>
        <v>24.047288099378296</v>
      </c>
      <c r="AM1044" s="113">
        <f>IF(tech_base!$T140&gt;AM$905,"",AM2164+tech_proj!AM1664/(1-tech_proj!AM544))</f>
        <v>24.127316026429618</v>
      </c>
      <c r="AN1044" s="113">
        <f>IF(tech_base!$T140&gt;AN$905,"",AN2164+tech_proj!AN1664/(1-tech_proj!AN544))</f>
        <v>24.208844285579438</v>
      </c>
      <c r="AO1044" s="113">
        <f>IF(tech_base!$T140&gt;AO$905,"",AO2164+tech_proj!AO1664/(1-tech_proj!AO544))</f>
        <v>24.223130647702</v>
      </c>
      <c r="AP1044" s="113">
        <f>IF(tech_base!$T140&gt;AP$905,"",AP2164+tech_proj!AP1664/(1-tech_proj!AP544))</f>
        <v>24.255437757540594</v>
      </c>
      <c r="AQ1044" s="113">
        <f>IF(tech_base!$T140&gt;AQ$905,"",AQ2164+tech_proj!AQ1664/(1-tech_proj!AQ544))</f>
        <v>24.289337782957737</v>
      </c>
      <c r="AR1044" s="113">
        <f>IF(tech_base!$T140&gt;AR$905,"",AR2164+tech_proj!AR1664/(1-tech_proj!AR544))</f>
        <v>24.354241720090997</v>
      </c>
      <c r="AS1044" s="113">
        <f>IF(tech_base!$T140&gt;AS$905,"",AS2164+tech_proj!AS1664/(1-tech_proj!AS544))</f>
        <v>24.391593074321111</v>
      </c>
      <c r="AT1044" s="113">
        <f>IF(tech_base!$T140&gt;AT$905,"",AT2164+tech_proj!AT1664/(1-tech_proj!AT544))</f>
        <v>24.428857957994868</v>
      </c>
      <c r="AU1044" s="113">
        <f>IF(tech_base!$T140&gt;AU$905,"",AU2164+tech_proj!AU1664/(1-tech_proj!AU544))</f>
        <v>24.465475718758213</v>
      </c>
      <c r="AV1044" s="113">
        <f>IF(tech_base!$T140&gt;AV$905,"",AV2164+tech_proj!AV1664/(1-tech_proj!AV544))</f>
        <v>24.501100629450345</v>
      </c>
      <c r="AW1044" s="113">
        <f>IF(tech_base!$T140&gt;AW$905,"",AW2164+tech_proj!AW1664/(1-tech_proj!AW544))</f>
        <v>24.535472201138532</v>
      </c>
      <c r="AX1044" s="114">
        <f>IF(tech_base!$T140&gt;AX$905,"",AX2164+tech_proj!AX1664/(1-tech_proj!AX544))</f>
        <v>24.578707484754219</v>
      </c>
    </row>
    <row r="1045" spans="1:50" x14ac:dyDescent="0.25">
      <c r="A1045" s="355" t="s">
        <v>28</v>
      </c>
      <c r="B1045" s="358" t="s">
        <v>23</v>
      </c>
      <c r="C1045" s="353" t="s">
        <v>6</v>
      </c>
      <c r="D1045" s="3" t="s">
        <v>7</v>
      </c>
      <c r="E1045" s="162" t="str">
        <f>A1045&amp;"/"&amp;B1045&amp;"/"&amp;C1045&amp;"/"&amp;D1045</f>
        <v>Diesel oil fired power plants/Gas turbine combined cycle/Electricity only/L</v>
      </c>
      <c r="F1045" s="77" t="str">
        <f>A1045</f>
        <v>Diesel oil fired power plants</v>
      </c>
      <c r="G1045" s="77" t="str">
        <f>B1045</f>
        <v>Gas turbine combined cycle</v>
      </c>
      <c r="H1045" s="77" t="str">
        <f>C1045</f>
        <v>Electricity only</v>
      </c>
      <c r="I1045" s="163" t="str">
        <f t="shared" si="369"/>
        <v>L</v>
      </c>
      <c r="J1045" s="107">
        <f>IF(tech_base!$T141&gt;J$905,"",J2165+tech_proj!J1665/(1-tech_proj!J545))</f>
        <v>131.80757487601559</v>
      </c>
      <c r="K1045" s="107">
        <f>IF(tech_base!$T141&gt;K$905,"",K2165+tech_proj!K1665/(1-tech_proj!K545))</f>
        <v>155.39869785739216</v>
      </c>
      <c r="L1045" s="107">
        <f>IF(tech_base!$T141&gt;L$905,"",L2165+tech_proj!L1665/(1-tech_proj!L545))</f>
        <v>162.85577527289618</v>
      </c>
      <c r="M1045" s="107">
        <f>IF(tech_base!$T141&gt;M$905,"",M2165+tech_proj!M1665/(1-tech_proj!M545))</f>
        <v>157.31766193224868</v>
      </c>
      <c r="N1045" s="107">
        <f>IF(tech_base!$T141&gt;N$905,"",N2165+tech_proj!N1665/(1-tech_proj!N545))</f>
        <v>148.25212904177187</v>
      </c>
      <c r="O1045" s="107">
        <f>IF(tech_base!$T141&gt;O$905,"",O2165+tech_proj!O1665/(1-tech_proj!O545))</f>
        <v>116.66487612949231</v>
      </c>
      <c r="P1045" s="107">
        <f>IF(tech_base!$T141&gt;P$905,"",P2165+tech_proj!P1665/(1-tech_proj!P545))</f>
        <v>109.07221402341487</v>
      </c>
      <c r="Q1045" s="107">
        <f>IF(tech_base!$T141&gt;Q$905,"",Q2165+tech_proj!Q1665/(1-tech_proj!Q545))</f>
        <v>118.24622231549075</v>
      </c>
      <c r="R1045" s="107">
        <f>IF(tech_base!$T141&gt;R$905,"",R2165+tech_proj!R1665/(1-tech_proj!R545))</f>
        <v>126.4000662789489</v>
      </c>
      <c r="S1045" s="107">
        <f>IF(tech_base!$T141&gt;S$905,"",S2165+tech_proj!S1665/(1-tech_proj!S545))</f>
        <v>133.50498724272151</v>
      </c>
      <c r="T1045" s="107">
        <f>IF(tech_base!$T141&gt;T$905,"",T2165+tech_proj!T1665/(1-tech_proj!T545))</f>
        <v>140.30570614999084</v>
      </c>
      <c r="U1045" s="107">
        <f>IF(tech_base!$T141&gt;U$905,"",U2165+tech_proj!U1665/(1-tech_proj!U545))</f>
        <v>146.72633812855466</v>
      </c>
      <c r="V1045" s="107">
        <f>IF(tech_base!$T141&gt;V$905,"",V2165+tech_proj!V1665/(1-tech_proj!V545))</f>
        <v>150.93321897139521</v>
      </c>
      <c r="W1045" s="107">
        <f>IF(tech_base!$T141&gt;W$905,"",W2165+tech_proj!W1665/(1-tech_proj!W545))</f>
        <v>156.07350365149458</v>
      </c>
      <c r="X1045" s="107">
        <f>IF(tech_base!$T141&gt;X$905,"",X2165+tech_proj!X1665/(1-tech_proj!X545))</f>
        <v>160.45001121188471</v>
      </c>
      <c r="Y1045" s="107">
        <f>IF(tech_base!$T141&gt;Y$905,"",Y2165+tech_proj!Y1665/(1-tech_proj!Y545))</f>
        <v>164.07423542249327</v>
      </c>
      <c r="Z1045" s="107">
        <f>IF(tech_base!$T141&gt;Z$905,"",Z2165+tech_proj!Z1665/(1-tech_proj!Z545))</f>
        <v>166.25328528330809</v>
      </c>
      <c r="AA1045" s="107">
        <f>IF(tech_base!$T141&gt;AA$905,"",AA2165+tech_proj!AA1665/(1-tech_proj!AA545))</f>
        <v>168.17021688374916</v>
      </c>
      <c r="AB1045" s="107">
        <f>IF(tech_base!$T141&gt;AB$905,"",AB2165+tech_proj!AB1665/(1-tech_proj!AB545))</f>
        <v>169.36048253572989</v>
      </c>
      <c r="AC1045" s="107">
        <f>IF(tech_base!$T141&gt;AC$905,"",AC2165+tech_proj!AC1665/(1-tech_proj!AC545))</f>
        <v>171.41173890293283</v>
      </c>
      <c r="AD1045" s="107">
        <f>IF(tech_base!$T141&gt;AD$905,"",AD2165+tech_proj!AD1665/(1-tech_proj!AD545))</f>
        <v>172.53798106996896</v>
      </c>
      <c r="AE1045" s="107">
        <f>IF(tech_base!$T141&gt;AE$905,"",AE2165+tech_proj!AE1665/(1-tech_proj!AE545))</f>
        <v>173.62050871307542</v>
      </c>
      <c r="AF1045" s="107">
        <f>IF(tech_base!$T141&gt;AF$905,"",AF2165+tech_proj!AF1665/(1-tech_proj!AF545))</f>
        <v>174.04235410905892</v>
      </c>
      <c r="AG1045" s="107">
        <f>IF(tech_base!$T141&gt;AG$905,"",AG2165+tech_proj!AG1665/(1-tech_proj!AG545))</f>
        <v>174.60363343948023</v>
      </c>
      <c r="AH1045" s="107">
        <f>IF(tech_base!$T141&gt;AH$905,"",AH2165+tech_proj!AH1665/(1-tech_proj!AH545))</f>
        <v>175.30637765250836</v>
      </c>
      <c r="AI1045" s="107">
        <f>IF(tech_base!$T141&gt;AI$905,"",AI2165+tech_proj!AI1665/(1-tech_proj!AI545))</f>
        <v>176.16043996330791</v>
      </c>
      <c r="AJ1045" s="107">
        <f>IF(tech_base!$T141&gt;AJ$905,"",AJ2165+tech_proj!AJ1665/(1-tech_proj!AJ545))</f>
        <v>177.184092220157</v>
      </c>
      <c r="AK1045" s="107">
        <f>IF(tech_base!$T141&gt;AK$905,"",AK2165+tech_proj!AK1665/(1-tech_proj!AK545))</f>
        <v>178.39899072607267</v>
      </c>
      <c r="AL1045" s="107">
        <f>IF(tech_base!$T141&gt;AL$905,"",AL2165+tech_proj!AL1665/(1-tech_proj!AL545))</f>
        <v>179.75459439300892</v>
      </c>
      <c r="AM1045" s="107">
        <f>IF(tech_base!$T141&gt;AM$905,"",AM2165+tech_proj!AM1665/(1-tech_proj!AM545))</f>
        <v>181.1894591691499</v>
      </c>
      <c r="AN1045" s="107">
        <f>IF(tech_base!$T141&gt;AN$905,"",AN2165+tech_proj!AN1665/(1-tech_proj!AN545))</f>
        <v>182.68073696333227</v>
      </c>
      <c r="AO1045" s="107">
        <f>IF(tech_base!$T141&gt;AO$905,"",AO2165+tech_proj!AO1665/(1-tech_proj!AO545))</f>
        <v>182.85675273390717</v>
      </c>
      <c r="AP1045" s="107">
        <f>IF(tech_base!$T141&gt;AP$905,"",AP2165+tech_proj!AP1665/(1-tech_proj!AP545))</f>
        <v>183.41134866179996</v>
      </c>
      <c r="AQ1045" s="107">
        <f>IF(tech_base!$T141&gt;AQ$905,"",AQ2165+tech_proj!AQ1665/(1-tech_proj!AQ545))</f>
        <v>184.01389333706649</v>
      </c>
      <c r="AR1045" s="107">
        <f>IF(tech_base!$T141&gt;AR$905,"",AR2165+tech_proj!AR1665/(1-tech_proj!AR545))</f>
        <v>185.24749615940769</v>
      </c>
      <c r="AS1045" s="107">
        <f>IF(tech_base!$T141&gt;AS$905,"",AS2165+tech_proj!AS1665/(1-tech_proj!AS545))</f>
        <v>185.94321347480786</v>
      </c>
      <c r="AT1045" s="107">
        <f>IF(tech_base!$T141&gt;AT$905,"",AT2165+tech_proj!AT1665/(1-tech_proj!AT545))</f>
        <v>186.64767528307769</v>
      </c>
      <c r="AU1045" s="107">
        <f>IF(tech_base!$T141&gt;AU$905,"",AU2165+tech_proj!AU1665/(1-tech_proj!AU545))</f>
        <v>187.34653722290932</v>
      </c>
      <c r="AV1045" s="107">
        <f>IF(tech_base!$T141&gt;AV$905,"",AV2165+tech_proj!AV1665/(1-tech_proj!AV545))</f>
        <v>188.03152956139562</v>
      </c>
      <c r="AW1045" s="107">
        <f>IF(tech_base!$T141&gt;AW$905,"",AW2165+tech_proj!AW1665/(1-tech_proj!AW545))</f>
        <v>188.69633110823005</v>
      </c>
      <c r="AX1045" s="108">
        <f>IF(tech_base!$T141&gt;AX$905,"",AX2165+tech_proj!AX1665/(1-tech_proj!AX545))</f>
        <v>189.5418912372605</v>
      </c>
    </row>
    <row r="1046" spans="1:50" x14ac:dyDescent="0.25">
      <c r="A1046" s="356"/>
      <c r="B1046" s="376"/>
      <c r="C1046" s="379"/>
      <c r="D1046" s="2" t="s">
        <v>8</v>
      </c>
      <c r="E1046" s="160" t="str">
        <f>A1045&amp;"/"&amp;B1045&amp;"/"&amp;C1045&amp;"/"&amp;D1046</f>
        <v>Diesel oil fired power plants/Gas turbine combined cycle/Electricity only/M</v>
      </c>
      <c r="F1046" s="76" t="str">
        <f>A1045</f>
        <v>Diesel oil fired power plants</v>
      </c>
      <c r="G1046" s="76" t="str">
        <f>B1045</f>
        <v>Gas turbine combined cycle</v>
      </c>
      <c r="H1046" s="76" t="str">
        <f>C1045</f>
        <v>Electricity only</v>
      </c>
      <c r="I1046" s="161" t="str">
        <f t="shared" si="369"/>
        <v>M</v>
      </c>
      <c r="J1046" s="105">
        <f>IF(tech_base!$T142&gt;J$905,"",J2166+tech_proj!J1666/(1-tech_proj!J546))</f>
        <v>138.60269476533065</v>
      </c>
      <c r="K1046" s="105">
        <f>IF(tech_base!$T142&gt;K$905,"",K2166+tech_proj!K1666/(1-tech_proj!K546))</f>
        <v>163.45572649330518</v>
      </c>
      <c r="L1046" s="105">
        <f>IF(tech_base!$T142&gt;L$905,"",L2166+tech_proj!L1666/(1-tech_proj!L546))</f>
        <v>171.3513914767745</v>
      </c>
      <c r="M1046" s="105">
        <f>IF(tech_base!$T142&gt;M$905,"",M2166+tech_proj!M1666/(1-tech_proj!M546))</f>
        <v>165.58088017179239</v>
      </c>
      <c r="N1046" s="105">
        <f>IF(tech_base!$T142&gt;N$905,"",N2166+tech_proj!N1666/(1-tech_proj!N546))</f>
        <v>156.10044882562636</v>
      </c>
      <c r="O1046" s="105">
        <f>IF(tech_base!$T142&gt;O$905,"",O2166+tech_proj!O1666/(1-tech_proj!O546))</f>
        <v>122.89319347623962</v>
      </c>
      <c r="P1046" s="105">
        <f>IF(tech_base!$T142&gt;P$905,"",P2166+tech_proj!P1666/(1-tech_proj!P546))</f>
        <v>114.95404784336917</v>
      </c>
      <c r="Q1046" s="105">
        <f>IF(tech_base!$T142&gt;Q$905,"",Q2166+tech_proj!Q1666/(1-tech_proj!Q546))</f>
        <v>124.69706779050256</v>
      </c>
      <c r="R1046" s="105">
        <f>IF(tech_base!$T142&gt;R$905,"",R2166+tech_proj!R1666/(1-tech_proj!R546))</f>
        <v>133.38206597973536</v>
      </c>
      <c r="S1046" s="105">
        <f>IF(tech_base!$T142&gt;S$905,"",S2166+tech_proj!S1666/(1-tech_proj!S546))</f>
        <v>140.97652658310403</v>
      </c>
      <c r="T1046" s="105">
        <f>IF(tech_base!$T142&gt;T$905,"",T2166+tech_proj!T1666/(1-tech_proj!T546))</f>
        <v>148.26339592600829</v>
      </c>
      <c r="U1046" s="105">
        <f>IF(tech_base!$T142&gt;U$905,"",U2166+tech_proj!U1666/(1-tech_proj!U546))</f>
        <v>155.15767400437429</v>
      </c>
      <c r="V1046" s="105">
        <f>IF(tech_base!$T142&gt;V$905,"",V2166+tech_proj!V1666/(1-tech_proj!V546))</f>
        <v>159.71124041413231</v>
      </c>
      <c r="W1046" s="105">
        <f>IF(tech_base!$T142&gt;W$905,"",W2166+tech_proj!W1666/(1-tech_proj!W546))</f>
        <v>165.24223437204728</v>
      </c>
      <c r="X1046" s="105">
        <f>IF(tech_base!$T142&gt;X$905,"",X2166+tech_proj!X1666/(1-tech_proj!X546))</f>
        <v>169.94154177374381</v>
      </c>
      <c r="Y1046" s="105">
        <f>IF(tech_base!$T142&gt;Y$905,"",Y2166+tech_proj!Y1666/(1-tech_proj!Y546))</f>
        <v>173.80517732187437</v>
      </c>
      <c r="Z1046" s="105">
        <f>IF(tech_base!$T142&gt;Z$905,"",Z2166+tech_proj!Z1666/(1-tech_proj!Z546))</f>
        <v>176.08296894567042</v>
      </c>
      <c r="AA1046" s="105">
        <f>IF(tech_base!$T142&gt;AA$905,"",AA2166+tech_proj!AA1666/(1-tech_proj!AA546))</f>
        <v>178.01460424681966</v>
      </c>
      <c r="AB1046" s="105">
        <f>IF(tech_base!$T142&gt;AB$905,"",AB2166+tech_proj!AB1666/(1-tech_proj!AB546))</f>
        <v>179.09976082894994</v>
      </c>
      <c r="AC1046" s="105">
        <f>IF(tech_base!$T142&gt;AC$905,"",AC2166+tech_proj!AC1666/(1-tech_proj!AC546))</f>
        <v>181.01512005992075</v>
      </c>
      <c r="AD1046" s="105">
        <f>IF(tech_base!$T142&gt;AD$905,"",AD2166+tech_proj!AD1666/(1-tech_proj!AD546))</f>
        <v>181.87869018483894</v>
      </c>
      <c r="AE1046" s="105">
        <f>IF(tech_base!$T142&gt;AE$905,"",AE2166+tech_proj!AE1666/(1-tech_proj!AE546))</f>
        <v>182.6367432862684</v>
      </c>
      <c r="AF1046" s="105">
        <f>IF(tech_base!$T142&gt;AF$905,"",AF2166+tech_proj!AF1666/(1-tech_proj!AF546))</f>
        <v>182.66254012257204</v>
      </c>
      <c r="AG1046" s="105">
        <f>IF(tech_base!$T142&gt;AG$905,"",AG2166+tech_proj!AG1666/(1-tech_proj!AG546))</f>
        <v>182.82281719249741</v>
      </c>
      <c r="AH1046" s="105">
        <f>IF(tech_base!$T142&gt;AH$905,"",AH2166+tech_proj!AH1666/(1-tech_proj!AH546))</f>
        <v>183.14211641169464</v>
      </c>
      <c r="AI1046" s="105">
        <f>IF(tech_base!$T142&gt;AI$905,"",AI2166+tech_proj!AI1666/(1-tech_proj!AI546))</f>
        <v>183.64912590490309</v>
      </c>
      <c r="AJ1046" s="105">
        <f>IF(tech_base!$T142&gt;AJ$905,"",AJ2166+tech_proj!AJ1666/(1-tech_proj!AJ546))</f>
        <v>184.37530718866901</v>
      </c>
      <c r="AK1046" s="105">
        <f>IF(tech_base!$T142&gt;AK$905,"",AK2166+tech_proj!AK1666/(1-tech_proj!AK546))</f>
        <v>185.34921160628949</v>
      </c>
      <c r="AL1046" s="105">
        <f>IF(tech_base!$T142&gt;AL$905,"",AL2166+tech_proj!AL1666/(1-tech_proj!AL546))</f>
        <v>186.51888422427211</v>
      </c>
      <c r="AM1046" s="105">
        <f>IF(tech_base!$T142&gt;AM$905,"",AM2166+tech_proj!AM1666/(1-tech_proj!AM546))</f>
        <v>187.81734592107296</v>
      </c>
      <c r="AN1046" s="105">
        <f>IF(tech_base!$T142&gt;AN$905,"",AN2166+tech_proj!AN1666/(1-tech_proj!AN546))</f>
        <v>189.21541216073453</v>
      </c>
      <c r="AO1046" s="105">
        <f>IF(tech_base!$T142&gt;AO$905,"",AO2166+tech_proj!AO1666/(1-tech_proj!AO546))</f>
        <v>189.28620993073559</v>
      </c>
      <c r="AP1046" s="105">
        <f>IF(tech_base!$T142&gt;AP$905,"",AP2166+tech_proj!AP1666/(1-tech_proj!AP546))</f>
        <v>189.77812312506489</v>
      </c>
      <c r="AQ1046" s="105">
        <f>IF(tech_base!$T142&gt;AQ$905,"",AQ2166+tech_proj!AQ1666/(1-tech_proj!AQ546))</f>
        <v>190.34216846456744</v>
      </c>
      <c r="AR1046" s="105">
        <f>IF(tech_base!$T142&gt;AR$905,"",AR2166+tech_proj!AR1666/(1-tech_proj!AR546))</f>
        <v>191.57611776608434</v>
      </c>
      <c r="AS1046" s="105">
        <f>IF(tech_base!$T142&gt;AS$905,"",AS2166+tech_proj!AS1666/(1-tech_proj!AS546))</f>
        <v>192.26622409890336</v>
      </c>
      <c r="AT1046" s="105">
        <f>IF(tech_base!$T142&gt;AT$905,"",AT2166+tech_proj!AT1666/(1-tech_proj!AT546))</f>
        <v>192.97464749354316</v>
      </c>
      <c r="AU1046" s="105">
        <f>IF(tech_base!$T142&gt;AU$905,"",AU2166+tech_proj!AU1666/(1-tech_proj!AU546))</f>
        <v>193.68392602403614</v>
      </c>
      <c r="AV1046" s="105">
        <f>IF(tech_base!$T142&gt;AV$905,"",AV2166+tech_proj!AV1666/(1-tech_proj!AV546))</f>
        <v>194.38354759969874</v>
      </c>
      <c r="AW1046" s="105">
        <f>IF(tech_base!$T142&gt;AW$905,"",AW2166+tech_proj!AW1666/(1-tech_proj!AW546))</f>
        <v>195.06553860991039</v>
      </c>
      <c r="AX1046" s="106">
        <f>IF(tech_base!$T142&gt;AX$905,"",AX2166+tech_proj!AX1666/(1-tech_proj!AX546))</f>
        <v>195.93665422477602</v>
      </c>
    </row>
    <row r="1047" spans="1:50" x14ac:dyDescent="0.25">
      <c r="A1047" s="356"/>
      <c r="B1047" s="376"/>
      <c r="C1047" s="361" t="s">
        <v>14</v>
      </c>
      <c r="D1047" s="58" t="s">
        <v>7</v>
      </c>
      <c r="E1047" s="164" t="str">
        <f>A1045&amp;"/"&amp;B1045&amp;"/"&amp;C1047&amp;"/"&amp;D1047</f>
        <v>Diesel oil fired power plants/Gas turbine combined cycle/CHP/L</v>
      </c>
      <c r="F1047" s="78" t="str">
        <f>A1045</f>
        <v>Diesel oil fired power plants</v>
      </c>
      <c r="G1047" s="78" t="str">
        <f>B1045</f>
        <v>Gas turbine combined cycle</v>
      </c>
      <c r="H1047" s="78" t="str">
        <f>C1047</f>
        <v>CHP</v>
      </c>
      <c r="I1047" s="165" t="str">
        <f t="shared" si="369"/>
        <v>L</v>
      </c>
      <c r="J1047" s="109">
        <f>IF(tech_base!$T143&gt;J$905,"",J2167+tech_proj!J1667/(1-tech_proj!J547))</f>
        <v>146.13558189493662</v>
      </c>
      <c r="K1047" s="109">
        <f>IF(tech_base!$T143&gt;K$905,"",K2167+tech_proj!K1667/(1-tech_proj!K547))</f>
        <v>172.18386141762744</v>
      </c>
      <c r="L1047" s="109">
        <f>IF(tech_base!$T143&gt;L$905,"",L2167+tech_proj!L1667/(1-tech_proj!L547))</f>
        <v>180.42958140764856</v>
      </c>
      <c r="M1047" s="109">
        <f>IF(tech_base!$T143&gt;M$905,"",M2167+tech_proj!M1667/(1-tech_proj!M547))</f>
        <v>174.33408225404204</v>
      </c>
      <c r="N1047" s="109">
        <f>IF(tech_base!$T143&gt;N$905,"",N2167+tech_proj!N1667/(1-tech_proj!N547))</f>
        <v>164.34617768343816</v>
      </c>
      <c r="O1047" s="109">
        <f>IF(tech_base!$T143&gt;O$905,"",O2167+tech_proj!O1667/(1-tech_proj!O547))</f>
        <v>129.49019073339267</v>
      </c>
      <c r="P1047" s="109">
        <f>IF(tech_base!$T143&gt;P$905,"",P2167+tech_proj!P1667/(1-tech_proj!P547))</f>
        <v>121.12672974977416</v>
      </c>
      <c r="Q1047" s="109">
        <f>IF(tech_base!$T143&gt;Q$905,"",Q2167+tech_proj!Q1667/(1-tech_proj!Q547))</f>
        <v>131.28519775701571</v>
      </c>
      <c r="R1047" s="109">
        <f>IF(tech_base!$T143&gt;R$905,"",R2167+tech_proj!R1667/(1-tech_proj!R547))</f>
        <v>140.32562164987087</v>
      </c>
      <c r="S1047" s="109">
        <f>IF(tech_base!$T143&gt;S$905,"",S2167+tech_proj!S1667/(1-tech_proj!S547))</f>
        <v>148.21695326046554</v>
      </c>
      <c r="T1047" s="109">
        <f>IF(tech_base!$T143&gt;T$905,"",T2167+tech_proj!T1667/(1-tech_proj!T547))</f>
        <v>155.78305567820553</v>
      </c>
      <c r="U1047" s="109">
        <f>IF(tech_base!$T143&gt;U$905,"",U2167+tech_proj!U1667/(1-tech_proj!U547))</f>
        <v>162.9410882336891</v>
      </c>
      <c r="V1047" s="109">
        <f>IF(tech_base!$T143&gt;V$905,"",V2167+tech_proj!V1667/(1-tech_proj!V547))</f>
        <v>167.66290118915319</v>
      </c>
      <c r="W1047" s="109">
        <f>IF(tech_base!$T143&gt;W$905,"",W2167+tech_proj!W1667/(1-tech_proj!W547))</f>
        <v>173.42985523722399</v>
      </c>
      <c r="X1047" s="109">
        <f>IF(tech_base!$T143&gt;X$905,"",X2167+tech_proj!X1667/(1-tech_proj!X547))</f>
        <v>178.36398615535808</v>
      </c>
      <c r="Y1047" s="109">
        <f>IF(tech_base!$T143&gt;Y$905,"",Y2167+tech_proj!Y1667/(1-tech_proj!Y547))</f>
        <v>182.47639860287208</v>
      </c>
      <c r="Z1047" s="109">
        <f>IF(tech_base!$T143&gt;Z$905,"",Z2167+tech_proj!Z1667/(1-tech_proj!Z547))</f>
        <v>184.99640973703603</v>
      </c>
      <c r="AA1047" s="109">
        <f>IF(tech_base!$T143&gt;AA$905,"",AA2167+tech_proj!AA1667/(1-tech_proj!AA547))</f>
        <v>187.23206343440907</v>
      </c>
      <c r="AB1047" s="109">
        <f>IF(tech_base!$T143&gt;AB$905,"",AB2167+tech_proj!AB1667/(1-tech_proj!AB547))</f>
        <v>188.664918720922</v>
      </c>
      <c r="AC1047" s="109">
        <f>IF(tech_base!$T143&gt;AC$905,"",AC2167+tech_proj!AC1667/(1-tech_proj!AC547))</f>
        <v>191.05460707001663</v>
      </c>
      <c r="AD1047" s="109">
        <f>IF(tech_base!$T143&gt;AD$905,"",AD2167+tech_proj!AD1667/(1-tech_proj!AD547))</f>
        <v>192.41523060544549</v>
      </c>
      <c r="AE1047" s="109">
        <f>IF(tech_base!$T143&gt;AE$905,"",AE2167+tech_proj!AE1667/(1-tech_proj!AE547))</f>
        <v>193.72273705762211</v>
      </c>
      <c r="AF1047" s="109">
        <f>IF(tech_base!$T143&gt;AF$905,"",AF2167+tech_proj!AF1667/(1-tech_proj!AF547))</f>
        <v>194.2886541392034</v>
      </c>
      <c r="AG1047" s="109">
        <f>IF(tech_base!$T143&gt;AG$905,"",AG2167+tech_proj!AG1667/(1-tech_proj!AG547))</f>
        <v>195.00116305746482</v>
      </c>
      <c r="AH1047" s="109">
        <f>IF(tech_base!$T143&gt;AH$905,"",AH2167+tech_proj!AH1667/(1-tech_proj!AH547))</f>
        <v>195.86194878113781</v>
      </c>
      <c r="AI1047" s="109">
        <f>IF(tech_base!$T143&gt;AI$905,"",AI2167+tech_proj!AI1667/(1-tech_proj!AI547))</f>
        <v>196.88190429539421</v>
      </c>
      <c r="AJ1047" s="109">
        <f>IF(tech_base!$T143&gt;AJ$905,"",AJ2167+tech_proj!AJ1667/(1-tech_proj!AJ547))</f>
        <v>198.08172523621238</v>
      </c>
      <c r="AK1047" s="109">
        <f>IF(tech_base!$T143&gt;AK$905,"",AK2167+tech_proj!AK1667/(1-tech_proj!AK547))</f>
        <v>199.48619978713685</v>
      </c>
      <c r="AL1047" s="109">
        <f>IF(tech_base!$T143&gt;AL$905,"",AL2167+tech_proj!AL1667/(1-tech_proj!AL547))</f>
        <v>201.03983370754915</v>
      </c>
      <c r="AM1047" s="109">
        <f>IF(tech_base!$T143&gt;AM$905,"",AM2167+tech_proj!AM1667/(1-tech_proj!AM547))</f>
        <v>202.67501962418135</v>
      </c>
      <c r="AN1047" s="109">
        <f>IF(tech_base!$T143&gt;AN$905,"",AN2167+tech_proj!AN1667/(1-tech_proj!AN547))</f>
        <v>204.36717301946314</v>
      </c>
      <c r="AO1047" s="109">
        <f>IF(tech_base!$T143&gt;AO$905,"",AO2167+tech_proj!AO1667/(1-tech_proj!AO547))</f>
        <v>204.58728197168699</v>
      </c>
      <c r="AP1047" s="109">
        <f>IF(tech_base!$T143&gt;AP$905,"",AP2167+tech_proj!AP1667/(1-tech_proj!AP547))</f>
        <v>205.2250921124481</v>
      </c>
      <c r="AQ1047" s="109">
        <f>IF(tech_base!$T143&gt;AQ$905,"",AQ2167+tech_proj!AQ1667/(1-tech_proj!AQ547))</f>
        <v>205.91266792361768</v>
      </c>
      <c r="AR1047" s="109">
        <f>IF(tech_base!$T143&gt;AR$905,"",AR2167+tech_proj!AR1667/(1-tech_proj!AR547))</f>
        <v>207.30120129026156</v>
      </c>
      <c r="AS1047" s="109">
        <f>IF(tech_base!$T143&gt;AS$905,"",AS2167+tech_proj!AS1667/(1-tech_proj!AS547))</f>
        <v>208.08723583307705</v>
      </c>
      <c r="AT1047" s="109">
        <f>IF(tech_base!$T143&gt;AT$905,"",AT2167+tech_proj!AT1667/(1-tech_proj!AT547))</f>
        <v>208.88102737987126</v>
      </c>
      <c r="AU1047" s="109">
        <f>IF(tech_base!$T143&gt;AU$905,"",AU2167+tech_proj!AU1667/(1-tech_proj!AU547))</f>
        <v>209.66696604234912</v>
      </c>
      <c r="AV1047" s="109">
        <f>IF(tech_base!$T143&gt;AV$905,"",AV2167+tech_proj!AV1667/(1-tech_proj!AV547))</f>
        <v>210.43614658075145</v>
      </c>
      <c r="AW1047" s="109">
        <f>IF(tech_base!$T143&gt;AW$905,"",AW2167+tech_proj!AW1667/(1-tech_proj!AW547))</f>
        <v>211.18177681642385</v>
      </c>
      <c r="AX1047" s="110">
        <f>IF(tech_base!$T143&gt;AX$905,"",AX2167+tech_proj!AX1667/(1-tech_proj!AX547))</f>
        <v>212.12828332335059</v>
      </c>
    </row>
    <row r="1048" spans="1:50" x14ac:dyDescent="0.25">
      <c r="A1048" s="356"/>
      <c r="B1048" s="376"/>
      <c r="C1048" s="379"/>
      <c r="D1048" s="59" t="s">
        <v>8</v>
      </c>
      <c r="E1048" s="166" t="str">
        <f>A1045&amp;"/"&amp;B1045&amp;"/"&amp;C1047&amp;"/"&amp;D1048</f>
        <v>Diesel oil fired power plants/Gas turbine combined cycle/CHP/M</v>
      </c>
      <c r="F1048" s="79" t="str">
        <f>A1045</f>
        <v>Diesel oil fired power plants</v>
      </c>
      <c r="G1048" s="79" t="str">
        <f>B1045</f>
        <v>Gas turbine combined cycle</v>
      </c>
      <c r="H1048" s="79" t="str">
        <f>C1047</f>
        <v>CHP</v>
      </c>
      <c r="I1048" s="167" t="str">
        <f t="shared" si="369"/>
        <v>M</v>
      </c>
      <c r="J1048" s="111">
        <f>IF(tech_base!$T144&gt;J$905,"",J2168+tech_proj!J1668/(1-tech_proj!J548))</f>
        <v>153.85606306077065</v>
      </c>
      <c r="K1048" s="111">
        <f>IF(tech_base!$T144&gt;K$905,"",K2168+tech_proj!K1668/(1-tech_proj!K548))</f>
        <v>181.29409925497848</v>
      </c>
      <c r="L1048" s="111">
        <f>IF(tech_base!$T144&gt;L$905,"",L2168+tech_proj!L1668/(1-tech_proj!L548))</f>
        <v>190.0156467344934</v>
      </c>
      <c r="M1048" s="111">
        <f>IF(tech_base!$T144&gt;M$905,"",M2168+tech_proj!M1668/(1-tech_proj!M548))</f>
        <v>183.6527525544785</v>
      </c>
      <c r="N1048" s="111">
        <f>IF(tech_base!$T144&gt;N$905,"",N2168+tech_proj!N1668/(1-tech_proj!N548))</f>
        <v>173.19552336347425</v>
      </c>
      <c r="O1048" s="111">
        <f>IF(tech_base!$T144&gt;O$905,"",O2168+tech_proj!O1668/(1-tech_proj!O548))</f>
        <v>136.54336413427427</v>
      </c>
      <c r="P1048" s="111">
        <f>IF(tech_base!$T144&gt;P$905,"",P2168+tech_proj!P1668/(1-tech_proj!P548))</f>
        <v>127.78825064751874</v>
      </c>
      <c r="Q1048" s="111">
        <f>IF(tech_base!$T144&gt;Q$905,"",Q2168+tech_proj!Q1668/(1-tech_proj!Q548))</f>
        <v>138.56031467169569</v>
      </c>
      <c r="R1048" s="111">
        <f>IF(tech_base!$T144&gt;R$905,"",R2168+tech_proj!R1668/(1-tech_proj!R548))</f>
        <v>148.17024061289104</v>
      </c>
      <c r="S1048" s="111">
        <f>IF(tech_base!$T144&gt;S$905,"",S2168+tech_proj!S1668/(1-tech_proj!S548))</f>
        <v>156.58351846317859</v>
      </c>
      <c r="T1048" s="111">
        <f>IF(tech_base!$T144&gt;T$905,"",T2168+tech_proj!T1668/(1-tech_proj!T548))</f>
        <v>164.66679021173462</v>
      </c>
      <c r="U1048" s="111">
        <f>IF(tech_base!$T144&gt;U$905,"",U2168+tech_proj!U1668/(1-tech_proj!U548))</f>
        <v>172.32859178461936</v>
      </c>
      <c r="V1048" s="111">
        <f>IF(tech_base!$T144&gt;V$905,"",V2168+tech_proj!V1668/(1-tech_proj!V548))</f>
        <v>177.41807728614523</v>
      </c>
      <c r="W1048" s="111">
        <f>IF(tech_base!$T144&gt;W$905,"",W2168+tech_proj!W1668/(1-tech_proj!W548))</f>
        <v>183.60547117764003</v>
      </c>
      <c r="X1048" s="111">
        <f>IF(tech_base!$T144&gt;X$905,"",X2168+tech_proj!X1668/(1-tech_proj!X548))</f>
        <v>188.89399517858701</v>
      </c>
      <c r="Y1048" s="111">
        <f>IF(tech_base!$T144&gt;Y$905,"",Y2168+tech_proj!Y1668/(1-tech_proj!Y548))</f>
        <v>193.28140379190788</v>
      </c>
      <c r="Z1048" s="111">
        <f>IF(tech_base!$T144&gt;Z$905,"",Z2168+tech_proj!Z1668/(1-tech_proj!Z548))</f>
        <v>195.93788861886625</v>
      </c>
      <c r="AA1048" s="111">
        <f>IF(tech_base!$T144&gt;AA$905,"",AA2168+tech_proj!AA1668/(1-tech_proj!AA548))</f>
        <v>198.23596658871008</v>
      </c>
      <c r="AB1048" s="111">
        <f>IF(tech_base!$T144&gt;AB$905,"",AB2168+tech_proj!AB1668/(1-tech_proj!AB548))</f>
        <v>199.6195586380953</v>
      </c>
      <c r="AC1048" s="111">
        <f>IF(tech_base!$T144&gt;AC$905,"",AC2168+tech_proj!AC1668/(1-tech_proj!AC548))</f>
        <v>201.94685991725214</v>
      </c>
      <c r="AD1048" s="111">
        <f>IF(tech_base!$T144&gt;AD$905,"",AD2168+tech_proj!AD1668/(1-tech_proj!AD548))</f>
        <v>203.12372307688781</v>
      </c>
      <c r="AE1048" s="111">
        <f>IF(tech_base!$T144&gt;AE$905,"",AE2168+tech_proj!AE1668/(1-tech_proj!AE548))</f>
        <v>204.1939177535678</v>
      </c>
      <c r="AF1048" s="111">
        <f>IF(tech_base!$T144&gt;AF$905,"",AF2168+tech_proj!AF1668/(1-tech_proj!AF548))</f>
        <v>204.45091708540699</v>
      </c>
      <c r="AG1048" s="111">
        <f>IF(tech_base!$T144&gt;AG$905,"",AG2168+tech_proj!AG1668/(1-tech_proj!AG548))</f>
        <v>204.85124953866412</v>
      </c>
      <c r="AH1048" s="111">
        <f>IF(tech_base!$T144&gt;AH$905,"",AH2168+tech_proj!AH1668/(1-tech_proj!AH548))</f>
        <v>205.41552543408326</v>
      </c>
      <c r="AI1048" s="111">
        <f>IF(tech_base!$T144&gt;AI$905,"",AI2168+tech_proj!AI1668/(1-tech_proj!AI548))</f>
        <v>206.17060246145303</v>
      </c>
      <c r="AJ1048" s="111">
        <f>IF(tech_base!$T144&gt;AJ$905,"",AJ2168+tech_proj!AJ1668/(1-tech_proj!AJ548))</f>
        <v>207.1485488507424</v>
      </c>
      <c r="AK1048" s="111">
        <f>IF(tech_base!$T144&gt;AK$905,"",AK2168+tech_proj!AK1668/(1-tech_proj!AK548))</f>
        <v>208.38032231548655</v>
      </c>
      <c r="AL1048" s="111">
        <f>IF(tech_base!$T144&gt;AL$905,"",AL2168+tech_proj!AL1668/(1-tech_proj!AL548))</f>
        <v>209.80848294947029</v>
      </c>
      <c r="AM1048" s="111">
        <f>IF(tech_base!$T144&gt;AM$905,"",AM2168+tech_proj!AM1668/(1-tech_proj!AM548))</f>
        <v>211.35985987233371</v>
      </c>
      <c r="AN1048" s="111">
        <f>IF(tech_base!$T144&gt;AN$905,"",AN2168+tech_proj!AN1668/(1-tech_proj!AN548))</f>
        <v>213.00427979942125</v>
      </c>
      <c r="AO1048" s="111">
        <f>IF(tech_base!$T144&gt;AO$905,"",AO2168+tech_proj!AO1668/(1-tech_proj!AO548))</f>
        <v>213.14403207090891</v>
      </c>
      <c r="AP1048" s="111">
        <f>IF(tech_base!$T144&gt;AP$905,"",AP2168+tech_proj!AP1668/(1-tech_proj!AP548))</f>
        <v>213.74247607138287</v>
      </c>
      <c r="AQ1048" s="111">
        <f>IF(tech_base!$T144&gt;AQ$905,"",AQ2168+tech_proj!AQ1668/(1-tech_proj!AQ548))</f>
        <v>214.41100333100164</v>
      </c>
      <c r="AR1048" s="111">
        <f>IF(tech_base!$T144&gt;AR$905,"",AR2168+tech_proj!AR1668/(1-tech_proj!AR548))</f>
        <v>215.8228375854041</v>
      </c>
      <c r="AS1048" s="111">
        <f>IF(tech_base!$T144&gt;AS$905,"",AS2168+tech_proj!AS1668/(1-tech_proj!AS548))</f>
        <v>216.61780095367521</v>
      </c>
      <c r="AT1048" s="111">
        <f>IF(tech_base!$T144&gt;AT$905,"",AT2168+tech_proj!AT1668/(1-tech_proj!AT548))</f>
        <v>217.42826814210312</v>
      </c>
      <c r="AU1048" s="111">
        <f>IF(tech_base!$T144&gt;AU$905,"",AU2168+tech_proj!AU1668/(1-tech_proj!AU548))</f>
        <v>218.23585802171669</v>
      </c>
      <c r="AV1048" s="111">
        <f>IF(tech_base!$T144&gt;AV$905,"",AV2168+tech_proj!AV1668/(1-tech_proj!AV548))</f>
        <v>219.02971485986484</v>
      </c>
      <c r="AW1048" s="111">
        <f>IF(tech_base!$T144&gt;AW$905,"",AW2168+tech_proj!AW1668/(1-tech_proj!AW548))</f>
        <v>219.80161112940476</v>
      </c>
      <c r="AX1048" s="112">
        <f>IF(tech_base!$T144&gt;AX$905,"",AX2168+tech_proj!AX1668/(1-tech_proj!AX548))</f>
        <v>220.78420823209507</v>
      </c>
    </row>
    <row r="1049" spans="1:50" x14ac:dyDescent="0.25">
      <c r="A1049" s="356"/>
      <c r="B1049" s="376"/>
      <c r="C1049" s="361" t="s">
        <v>15</v>
      </c>
      <c r="D1049" s="58" t="s">
        <v>7</v>
      </c>
      <c r="E1049" s="164" t="str">
        <f>A1045&amp;"/"&amp;B1045&amp;"/"&amp;C1049&amp;"/"&amp;D1049</f>
        <v>Diesel oil fired power plants/Gas turbine combined cycle/Electricity only with CCS/L</v>
      </c>
      <c r="F1049" s="78" t="str">
        <f>A1045</f>
        <v>Diesel oil fired power plants</v>
      </c>
      <c r="G1049" s="78" t="str">
        <f>B1045</f>
        <v>Gas turbine combined cycle</v>
      </c>
      <c r="H1049" s="78" t="str">
        <f>C1049</f>
        <v>Electricity only with CCS</v>
      </c>
      <c r="I1049" s="165" t="str">
        <f t="shared" si="369"/>
        <v>L</v>
      </c>
      <c r="J1049" s="109" t="str">
        <f>IF(tech_base!$T145&gt;J$905,"",J2169+tech_proj!J1669/(1-tech_proj!J549))</f>
        <v/>
      </c>
      <c r="K1049" s="109" t="str">
        <f>IF(tech_base!$T145&gt;K$905,"",K2169+tech_proj!K1669/(1-tech_proj!K549))</f>
        <v/>
      </c>
      <c r="L1049" s="109" t="str">
        <f>IF(tech_base!$T145&gt;L$905,"",L2169+tech_proj!L1669/(1-tech_proj!L549))</f>
        <v/>
      </c>
      <c r="M1049" s="109" t="str">
        <f>IF(tech_base!$T145&gt;M$905,"",M2169+tech_proj!M1669/(1-tech_proj!M549))</f>
        <v/>
      </c>
      <c r="N1049" s="109" t="str">
        <f>IF(tech_base!$T145&gt;N$905,"",N2169+tech_proj!N1669/(1-tech_proj!N549))</f>
        <v/>
      </c>
      <c r="O1049" s="109" t="str">
        <f>IF(tech_base!$T145&gt;O$905,"",O2169+tech_proj!O1669/(1-tech_proj!O549))</f>
        <v/>
      </c>
      <c r="P1049" s="109" t="str">
        <f>IF(tech_base!$T145&gt;P$905,"",P2169+tech_proj!P1669/(1-tech_proj!P549))</f>
        <v/>
      </c>
      <c r="Q1049" s="109" t="str">
        <f>IF(tech_base!$T145&gt;Q$905,"",Q2169+tech_proj!Q1669/(1-tech_proj!Q549))</f>
        <v/>
      </c>
      <c r="R1049" s="109" t="str">
        <f>IF(tech_base!$T145&gt;R$905,"",R2169+tech_proj!R1669/(1-tech_proj!R549))</f>
        <v/>
      </c>
      <c r="S1049" s="109" t="str">
        <f>IF(tech_base!$T145&gt;S$905,"",S2169+tech_proj!S1669/(1-tech_proj!S549))</f>
        <v/>
      </c>
      <c r="T1049" s="109" t="str">
        <f>IF(tech_base!$T145&gt;T$905,"",T2169+tech_proj!T1669/(1-tech_proj!T549))</f>
        <v/>
      </c>
      <c r="U1049" s="109" t="str">
        <f>IF(tech_base!$T145&gt;U$905,"",U2169+tech_proj!U1669/(1-tech_proj!U549))</f>
        <v/>
      </c>
      <c r="V1049" s="109" t="str">
        <f>IF(tech_base!$T145&gt;V$905,"",V2169+tech_proj!V1669/(1-tech_proj!V549))</f>
        <v/>
      </c>
      <c r="W1049" s="109" t="str">
        <f>IF(tech_base!$T145&gt;W$905,"",W2169+tech_proj!W1669/(1-tech_proj!W549))</f>
        <v/>
      </c>
      <c r="X1049" s="109" t="str">
        <f>IF(tech_base!$T145&gt;X$905,"",X2169+tech_proj!X1669/(1-tech_proj!X549))</f>
        <v/>
      </c>
      <c r="Y1049" s="109" t="str">
        <f>IF(tech_base!$T145&gt;Y$905,"",Y2169+tech_proj!Y1669/(1-tech_proj!Y549))</f>
        <v/>
      </c>
      <c r="Z1049" s="109" t="str">
        <f>IF(tech_base!$T145&gt;Z$905,"",Z2169+tech_proj!Z1669/(1-tech_proj!Z549))</f>
        <v/>
      </c>
      <c r="AA1049" s="109" t="str">
        <f>IF(tech_base!$T145&gt;AA$905,"",AA2169+tech_proj!AA1669/(1-tech_proj!AA549))</f>
        <v/>
      </c>
      <c r="AB1049" s="109" t="str">
        <f>IF(tech_base!$T145&gt;AB$905,"",AB2169+tech_proj!AB1669/(1-tech_proj!AB549))</f>
        <v/>
      </c>
      <c r="AC1049" s="109" t="str">
        <f>IF(tech_base!$T145&gt;AC$905,"",AC2169+tech_proj!AC1669/(1-tech_proj!AC549))</f>
        <v/>
      </c>
      <c r="AD1049" s="109" t="str">
        <f>IF(tech_base!$T145&gt;AD$905,"",AD2169+tech_proj!AD1669/(1-tech_proj!AD549))</f>
        <v/>
      </c>
      <c r="AE1049" s="109">
        <f>IF(tech_base!$T145&gt;AE$905,"",AE2169+tech_proj!AE1669/(1-tech_proj!AE549))</f>
        <v>206.44628008459796</v>
      </c>
      <c r="AF1049" s="109">
        <f>IF(tech_base!$T145&gt;AF$905,"",AF2169+tech_proj!AF1669/(1-tech_proj!AF549))</f>
        <v>207.39037462157998</v>
      </c>
      <c r="AG1049" s="109">
        <f>IF(tech_base!$T145&gt;AG$905,"",AG2169+tech_proj!AG1669/(1-tech_proj!AG549))</f>
        <v>208.44066027070855</v>
      </c>
      <c r="AH1049" s="109">
        <f>IF(tech_base!$T145&gt;AH$905,"",AH2169+tech_proj!AH1669/(1-tech_proj!AH549))</f>
        <v>209.59289572499381</v>
      </c>
      <c r="AI1049" s="109">
        <f>IF(tech_base!$T145&gt;AI$905,"",AI2169+tech_proj!AI1669/(1-tech_proj!AI549))</f>
        <v>210.85348461852973</v>
      </c>
      <c r="AJ1049" s="109">
        <f>IF(tech_base!$T145&gt;AJ$905,"",AJ2169+tech_proj!AJ1669/(1-tech_proj!AJ549))</f>
        <v>212.23947336983332</v>
      </c>
      <c r="AK1049" s="109">
        <f>IF(tech_base!$T145&gt;AK$905,"",AK2169+tech_proj!AK1669/(1-tech_proj!AK549))</f>
        <v>213.77164426110869</v>
      </c>
      <c r="AL1049" s="109">
        <f>IF(tech_base!$T145&gt;AL$905,"",AL2169+tech_proj!AL1669/(1-tech_proj!AL549))</f>
        <v>215.3838225393261</v>
      </c>
      <c r="AM1049" s="109">
        <f>IF(tech_base!$T145&gt;AM$905,"",AM2169+tech_proj!AM1669/(1-tech_proj!AM549))</f>
        <v>216.99456430769416</v>
      </c>
      <c r="AN1049" s="109">
        <f>IF(tech_base!$T145&gt;AN$905,"",AN2169+tech_proj!AN1669/(1-tech_proj!AN549))</f>
        <v>218.56513413455806</v>
      </c>
      <c r="AO1049" s="109">
        <f>IF(tech_base!$T145&gt;AO$905,"",AO2169+tech_proj!AO1669/(1-tech_proj!AO549))</f>
        <v>218.45818080983872</v>
      </c>
      <c r="AP1049" s="109">
        <f>IF(tech_base!$T145&gt;AP$905,"",AP2169+tech_proj!AP1669/(1-tech_proj!AP549))</f>
        <v>218.66247583752966</v>
      </c>
      <c r="AQ1049" s="109">
        <f>IF(tech_base!$T145&gt;AQ$905,"",AQ2169+tech_proj!AQ1669/(1-tech_proj!AQ549))</f>
        <v>218.76467481478937</v>
      </c>
      <c r="AR1049" s="109">
        <f>IF(tech_base!$T145&gt;AR$905,"",AR2169+tech_proj!AR1669/(1-tech_proj!AR549))</f>
        <v>219.42283426999828</v>
      </c>
      <c r="AS1049" s="109">
        <f>IF(tech_base!$T145&gt;AS$905,"",AS2169+tech_proj!AS1669/(1-tech_proj!AS549))</f>
        <v>219.23444203476686</v>
      </c>
      <c r="AT1049" s="109">
        <f>IF(tech_base!$T145&gt;AT$905,"",AT2169+tech_proj!AT1669/(1-tech_proj!AT549))</f>
        <v>218.81396779307835</v>
      </c>
      <c r="AU1049" s="109">
        <f>IF(tech_base!$T145&gt;AU$905,"",AU2169+tech_proj!AU1669/(1-tech_proj!AU549))</f>
        <v>218.11903635373898</v>
      </c>
      <c r="AV1049" s="109">
        <f>IF(tech_base!$T145&gt;AV$905,"",AV2169+tech_proj!AV1669/(1-tech_proj!AV549))</f>
        <v>217.12276362739314</v>
      </c>
      <c r="AW1049" s="109">
        <f>IF(tech_base!$T145&gt;AW$905,"",AW2169+tech_proj!AW1669/(1-tech_proj!AW549))</f>
        <v>215.81520330956994</v>
      </c>
      <c r="AX1049" s="110">
        <f>IF(tech_base!$T145&gt;AX$905,"",AX2169+tech_proj!AX1669/(1-tech_proj!AX549))</f>
        <v>214.44016758069941</v>
      </c>
    </row>
    <row r="1050" spans="1:50" x14ac:dyDescent="0.25">
      <c r="A1050" s="356"/>
      <c r="B1050" s="376"/>
      <c r="C1050" s="379"/>
      <c r="D1050" s="59" t="s">
        <v>8</v>
      </c>
      <c r="E1050" s="166" t="str">
        <f>A1045&amp;"/"&amp;B1045&amp;"/"&amp;C1049&amp;"/"&amp;D1050</f>
        <v>Diesel oil fired power plants/Gas turbine combined cycle/Electricity only with CCS/M</v>
      </c>
      <c r="F1050" s="79" t="str">
        <f>A1045</f>
        <v>Diesel oil fired power plants</v>
      </c>
      <c r="G1050" s="79" t="str">
        <f>B1045</f>
        <v>Gas turbine combined cycle</v>
      </c>
      <c r="H1050" s="79" t="str">
        <f>C1049</f>
        <v>Electricity only with CCS</v>
      </c>
      <c r="I1050" s="167" t="str">
        <f t="shared" si="369"/>
        <v>M</v>
      </c>
      <c r="J1050" s="111" t="str">
        <f>IF(tech_base!$T146&gt;J$905,"",J2170+tech_proj!J1670/(1-tech_proj!J550))</f>
        <v/>
      </c>
      <c r="K1050" s="111" t="str">
        <f>IF(tech_base!$T146&gt;K$905,"",K2170+tech_proj!K1670/(1-tech_proj!K550))</f>
        <v/>
      </c>
      <c r="L1050" s="111" t="str">
        <f>IF(tech_base!$T146&gt;L$905,"",L2170+tech_proj!L1670/(1-tech_proj!L550))</f>
        <v/>
      </c>
      <c r="M1050" s="111" t="str">
        <f>IF(tech_base!$T146&gt;M$905,"",M2170+tech_proj!M1670/(1-tech_proj!M550))</f>
        <v/>
      </c>
      <c r="N1050" s="111" t="str">
        <f>IF(tech_base!$T146&gt;N$905,"",N2170+tech_proj!N1670/(1-tech_proj!N550))</f>
        <v/>
      </c>
      <c r="O1050" s="111" t="str">
        <f>IF(tech_base!$T146&gt;O$905,"",O2170+tech_proj!O1670/(1-tech_proj!O550))</f>
        <v/>
      </c>
      <c r="P1050" s="111" t="str">
        <f>IF(tech_base!$T146&gt;P$905,"",P2170+tech_proj!P1670/(1-tech_proj!P550))</f>
        <v/>
      </c>
      <c r="Q1050" s="111" t="str">
        <f>IF(tech_base!$T146&gt;Q$905,"",Q2170+tech_proj!Q1670/(1-tech_proj!Q550))</f>
        <v/>
      </c>
      <c r="R1050" s="111" t="str">
        <f>IF(tech_base!$T146&gt;R$905,"",R2170+tech_proj!R1670/(1-tech_proj!R550))</f>
        <v/>
      </c>
      <c r="S1050" s="111" t="str">
        <f>IF(tech_base!$T146&gt;S$905,"",S2170+tech_proj!S1670/(1-tech_proj!S550))</f>
        <v/>
      </c>
      <c r="T1050" s="111" t="str">
        <f>IF(tech_base!$T146&gt;T$905,"",T2170+tech_proj!T1670/(1-tech_proj!T550))</f>
        <v/>
      </c>
      <c r="U1050" s="111" t="str">
        <f>IF(tech_base!$T146&gt;U$905,"",U2170+tech_proj!U1670/(1-tech_proj!U550))</f>
        <v/>
      </c>
      <c r="V1050" s="111" t="str">
        <f>IF(tech_base!$T146&gt;V$905,"",V2170+tech_proj!V1670/(1-tech_proj!V550))</f>
        <v/>
      </c>
      <c r="W1050" s="111" t="str">
        <f>IF(tech_base!$T146&gt;W$905,"",W2170+tech_proj!W1670/(1-tech_proj!W550))</f>
        <v/>
      </c>
      <c r="X1050" s="111" t="str">
        <f>IF(tech_base!$T146&gt;X$905,"",X2170+tech_proj!X1670/(1-tech_proj!X550))</f>
        <v/>
      </c>
      <c r="Y1050" s="111" t="str">
        <f>IF(tech_base!$T146&gt;Y$905,"",Y2170+tech_proj!Y1670/(1-tech_proj!Y550))</f>
        <v/>
      </c>
      <c r="Z1050" s="111" t="str">
        <f>IF(tech_base!$T146&gt;Z$905,"",Z2170+tech_proj!Z1670/(1-tech_proj!Z550))</f>
        <v/>
      </c>
      <c r="AA1050" s="111" t="str">
        <f>IF(tech_base!$T146&gt;AA$905,"",AA2170+tech_proj!AA1670/(1-tech_proj!AA550))</f>
        <v/>
      </c>
      <c r="AB1050" s="111" t="str">
        <f>IF(tech_base!$T146&gt;AB$905,"",AB2170+tech_proj!AB1670/(1-tech_proj!AB550))</f>
        <v/>
      </c>
      <c r="AC1050" s="111" t="str">
        <f>IF(tech_base!$T146&gt;AC$905,"",AC2170+tech_proj!AC1670/(1-tech_proj!AC550))</f>
        <v/>
      </c>
      <c r="AD1050" s="111" t="str">
        <f>IF(tech_base!$T146&gt;AD$905,"",AD2170+tech_proj!AD1670/(1-tech_proj!AD550))</f>
        <v/>
      </c>
      <c r="AE1050" s="111">
        <f>IF(tech_base!$T146&gt;AE$905,"",AE2170+tech_proj!AE1670/(1-tech_proj!AE550))</f>
        <v>218.02228366584507</v>
      </c>
      <c r="AF1050" s="111">
        <f>IF(tech_base!$T146&gt;AF$905,"",AF2170+tech_proj!AF1670/(1-tech_proj!AF550))</f>
        <v>219.02353674938863</v>
      </c>
      <c r="AG1050" s="111">
        <f>IF(tech_base!$T146&gt;AG$905,"",AG2170+tech_proj!AG1670/(1-tech_proj!AG550))</f>
        <v>220.1381510704519</v>
      </c>
      <c r="AH1050" s="111">
        <f>IF(tech_base!$T146&gt;AH$905,"",AH2170+tech_proj!AH1670/(1-tech_proj!AH550))</f>
        <v>221.36199755404982</v>
      </c>
      <c r="AI1050" s="111">
        <f>IF(tech_base!$T146&gt;AI$905,"",AI2170+tech_proj!AI1670/(1-tech_proj!AI550))</f>
        <v>222.70229125420434</v>
      </c>
      <c r="AJ1050" s="111">
        <f>IF(tech_base!$T146&gt;AJ$905,"",AJ2170+tech_proj!AJ1670/(1-tech_proj!AJ550))</f>
        <v>224.17761887682153</v>
      </c>
      <c r="AK1050" s="111">
        <f>IF(tech_base!$T146&gt;AK$905,"",AK2170+tech_proj!AK1670/(1-tech_proj!AK550))</f>
        <v>225.81068058501316</v>
      </c>
      <c r="AL1050" s="111">
        <f>IF(tech_base!$T146&gt;AL$905,"",AL2170+tech_proj!AL1670/(1-tech_proj!AL550))</f>
        <v>227.53251805617523</v>
      </c>
      <c r="AM1050" s="111">
        <f>IF(tech_base!$T146&gt;AM$905,"",AM2170+tech_proj!AM1670/(1-tech_proj!AM550))</f>
        <v>229.25827063289319</v>
      </c>
      <c r="AN1050" s="111">
        <f>IF(tech_base!$T146&gt;AN$905,"",AN2170+tech_proj!AN1670/(1-tech_proj!AN550))</f>
        <v>230.94847481413095</v>
      </c>
      <c r="AO1050" s="111">
        <f>IF(tech_base!$T146&gt;AO$905,"",AO2170+tech_proj!AO1670/(1-tech_proj!AO550))</f>
        <v>230.8743614148178</v>
      </c>
      <c r="AP1050" s="111">
        <f>IF(tech_base!$T146&gt;AP$905,"",AP2170+tech_proj!AP1670/(1-tech_proj!AP550))</f>
        <v>231.13949707389907</v>
      </c>
      <c r="AQ1050" s="111">
        <f>IF(tech_base!$T146&gt;AQ$905,"",AQ2170+tech_proj!AQ1670/(1-tech_proj!AQ550))</f>
        <v>231.30946328544715</v>
      </c>
      <c r="AR1050" s="111">
        <f>IF(tech_base!$T146&gt;AR$905,"",AR2170+tech_proj!AR1670/(1-tech_proj!AR550))</f>
        <v>232.08310022225672</v>
      </c>
      <c r="AS1050" s="111">
        <f>IF(tech_base!$T146&gt;AS$905,"",AS2170+tech_proj!AS1670/(1-tech_proj!AS550))</f>
        <v>231.98019454718218</v>
      </c>
      <c r="AT1050" s="111">
        <f>IF(tech_base!$T146&gt;AT$905,"",AT2170+tech_proj!AT1670/(1-tech_proj!AT550))</f>
        <v>231.65359899043114</v>
      </c>
      <c r="AU1050" s="111">
        <f>IF(tech_base!$T146&gt;AU$905,"",AU2170+tech_proj!AU1670/(1-tech_proj!AU550))</f>
        <v>231.06136515881519</v>
      </c>
      <c r="AV1050" s="111">
        <f>IF(tech_base!$T146&gt;AV$905,"",AV2170+tech_proj!AV1670/(1-tech_proj!AV550))</f>
        <v>230.17725576076745</v>
      </c>
      <c r="AW1050" s="111">
        <f>IF(tech_base!$T146&gt;AW$905,"",AW2170+tech_proj!AW1670/(1-tech_proj!AW550))</f>
        <v>228.99169074003552</v>
      </c>
      <c r="AX1050" s="112">
        <f>IF(tech_base!$T146&gt;AX$905,"",AX2170+tech_proj!AX1670/(1-tech_proj!AX550))</f>
        <v>227.76259343574065</v>
      </c>
    </row>
    <row r="1051" spans="1:50" x14ac:dyDescent="0.25">
      <c r="A1051" s="356"/>
      <c r="B1051" s="376"/>
      <c r="C1051" s="361" t="s">
        <v>16</v>
      </c>
      <c r="D1051" s="2" t="s">
        <v>7</v>
      </c>
      <c r="E1051" s="160" t="str">
        <f>A1045&amp;"/"&amp;B1045&amp;"/"&amp;C1051&amp;"/"&amp;D1051</f>
        <v>Diesel oil fired power plants/Gas turbine combined cycle/CHP with CCS/L</v>
      </c>
      <c r="F1051" s="76" t="str">
        <f>A1045</f>
        <v>Diesel oil fired power plants</v>
      </c>
      <c r="G1051" s="76" t="str">
        <f>B1045</f>
        <v>Gas turbine combined cycle</v>
      </c>
      <c r="H1051" s="76" t="str">
        <f>C1051</f>
        <v>CHP with CCS</v>
      </c>
      <c r="I1051" s="161" t="str">
        <f t="shared" si="369"/>
        <v>L</v>
      </c>
      <c r="J1051" s="105" t="str">
        <f>IF(tech_base!$T147&gt;J$905,"",J2171+tech_proj!J1671/(1-tech_proj!J551))</f>
        <v/>
      </c>
      <c r="K1051" s="105" t="str">
        <f>IF(tech_base!$T147&gt;K$905,"",K2171+tech_proj!K1671/(1-tech_proj!K551))</f>
        <v/>
      </c>
      <c r="L1051" s="105" t="str">
        <f>IF(tech_base!$T147&gt;L$905,"",L2171+tech_proj!L1671/(1-tech_proj!L551))</f>
        <v/>
      </c>
      <c r="M1051" s="105" t="str">
        <f>IF(tech_base!$T147&gt;M$905,"",M2171+tech_proj!M1671/(1-tech_proj!M551))</f>
        <v/>
      </c>
      <c r="N1051" s="105" t="str">
        <f>IF(tech_base!$T147&gt;N$905,"",N2171+tech_proj!N1671/(1-tech_proj!N551))</f>
        <v/>
      </c>
      <c r="O1051" s="105" t="str">
        <f>IF(tech_base!$T147&gt;O$905,"",O2171+tech_proj!O1671/(1-tech_proj!O551))</f>
        <v/>
      </c>
      <c r="P1051" s="105" t="str">
        <f>IF(tech_base!$T147&gt;P$905,"",P2171+tech_proj!P1671/(1-tech_proj!P551))</f>
        <v/>
      </c>
      <c r="Q1051" s="105" t="str">
        <f>IF(tech_base!$T147&gt;Q$905,"",Q2171+tech_proj!Q1671/(1-tech_proj!Q551))</f>
        <v/>
      </c>
      <c r="R1051" s="105" t="str">
        <f>IF(tech_base!$T147&gt;R$905,"",R2171+tech_proj!R1671/(1-tech_proj!R551))</f>
        <v/>
      </c>
      <c r="S1051" s="105" t="str">
        <f>IF(tech_base!$T147&gt;S$905,"",S2171+tech_proj!S1671/(1-tech_proj!S551))</f>
        <v/>
      </c>
      <c r="T1051" s="105" t="str">
        <f>IF(tech_base!$T147&gt;T$905,"",T2171+tech_proj!T1671/(1-tech_proj!T551))</f>
        <v/>
      </c>
      <c r="U1051" s="105" t="str">
        <f>IF(tech_base!$T147&gt;U$905,"",U2171+tech_proj!U1671/(1-tech_proj!U551))</f>
        <v/>
      </c>
      <c r="V1051" s="105" t="str">
        <f>IF(tech_base!$T147&gt;V$905,"",V2171+tech_proj!V1671/(1-tech_proj!V551))</f>
        <v/>
      </c>
      <c r="W1051" s="105" t="str">
        <f>IF(tech_base!$T147&gt;W$905,"",W2171+tech_proj!W1671/(1-tech_proj!W551))</f>
        <v/>
      </c>
      <c r="X1051" s="105" t="str">
        <f>IF(tech_base!$T147&gt;X$905,"",X2171+tech_proj!X1671/(1-tech_proj!X551))</f>
        <v/>
      </c>
      <c r="Y1051" s="105" t="str">
        <f>IF(tech_base!$T147&gt;Y$905,"",Y2171+tech_proj!Y1671/(1-tech_proj!Y551))</f>
        <v/>
      </c>
      <c r="Z1051" s="105" t="str">
        <f>IF(tech_base!$T147&gt;Z$905,"",Z2171+tech_proj!Z1671/(1-tech_proj!Z551))</f>
        <v/>
      </c>
      <c r="AA1051" s="105" t="str">
        <f>IF(tech_base!$T147&gt;AA$905,"",AA2171+tech_proj!AA1671/(1-tech_proj!AA551))</f>
        <v/>
      </c>
      <c r="AB1051" s="105" t="str">
        <f>IF(tech_base!$T147&gt;AB$905,"",AB2171+tech_proj!AB1671/(1-tech_proj!AB551))</f>
        <v/>
      </c>
      <c r="AC1051" s="105" t="str">
        <f>IF(tech_base!$T147&gt;AC$905,"",AC2171+tech_proj!AC1671/(1-tech_proj!AC551))</f>
        <v/>
      </c>
      <c r="AD1051" s="105" t="str">
        <f>IF(tech_base!$T147&gt;AD$905,"",AD2171+tech_proj!AD1671/(1-tech_proj!AD551))</f>
        <v/>
      </c>
      <c r="AE1051" s="105">
        <f>IF(tech_base!$T147&gt;AE$905,"",AE2171+tech_proj!AE1671/(1-tech_proj!AE551))</f>
        <v>230.17483673394278</v>
      </c>
      <c r="AF1051" s="105">
        <f>IF(tech_base!$T147&gt;AF$905,"",AF2171+tech_proj!AF1671/(1-tech_proj!AF551))</f>
        <v>231.23785012543334</v>
      </c>
      <c r="AG1051" s="105">
        <f>IF(tech_base!$T147&gt;AG$905,"",AG2171+tech_proj!AG1671/(1-tech_proj!AG551))</f>
        <v>232.42260100979826</v>
      </c>
      <c r="AH1051" s="105">
        <f>IF(tech_base!$T147&gt;AH$905,"",AH2171+tech_proj!AH1671/(1-tech_proj!AH551))</f>
        <v>233.72538615843195</v>
      </c>
      <c r="AI1051" s="105">
        <f>IF(tech_base!$T147&gt;AI$905,"",AI2171+tech_proj!AI1671/(1-tech_proj!AI551))</f>
        <v>235.15463643669034</v>
      </c>
      <c r="AJ1051" s="105">
        <f>IF(tech_base!$T147&gt;AJ$905,"",AJ2171+tech_proj!AJ1671/(1-tech_proj!AJ551))</f>
        <v>236.73099333186627</v>
      </c>
      <c r="AK1051" s="105">
        <f>IF(tech_base!$T147&gt;AK$905,"",AK2171+tech_proj!AK1671/(1-tech_proj!AK551))</f>
        <v>238.4797145105899</v>
      </c>
      <c r="AL1051" s="105">
        <f>IF(tech_base!$T147&gt;AL$905,"",AL2171+tech_proj!AL1671/(1-tech_proj!AL551))</f>
        <v>240.32974826169175</v>
      </c>
      <c r="AM1051" s="105">
        <f>IF(tech_base!$T147&gt;AM$905,"",AM2171+tech_proj!AM1671/(1-tech_proj!AM551))</f>
        <v>242.19360888795526</v>
      </c>
      <c r="AN1051" s="105">
        <f>IF(tech_base!$T147&gt;AN$905,"",AN2171+tech_proj!AN1671/(1-tech_proj!AN551))</f>
        <v>244.03203949260225</v>
      </c>
      <c r="AO1051" s="105">
        <f>IF(tech_base!$T147&gt;AO$905,"",AO2171+tech_proj!AO1671/(1-tech_proj!AO551))</f>
        <v>244.02357549686363</v>
      </c>
      <c r="AP1051" s="105">
        <f>IF(tech_base!$T147&gt;AP$905,"",AP2171+tech_proj!AP1671/(1-tech_proj!AP551))</f>
        <v>244.38986783795687</v>
      </c>
      <c r="AQ1051" s="105">
        <f>IF(tech_base!$T147&gt;AQ$905,"",AQ2171+tech_proj!AQ1671/(1-tech_proj!AQ551))</f>
        <v>244.67553836421888</v>
      </c>
      <c r="AR1051" s="105">
        <f>IF(tech_base!$T147&gt;AR$905,"",AR2171+tech_proj!AR1671/(1-tech_proj!AR551))</f>
        <v>245.62170173596175</v>
      </c>
      <c r="AS1051" s="105">
        <f>IF(tech_base!$T147&gt;AS$905,"",AS2171+tech_proj!AS1671/(1-tech_proj!AS551))</f>
        <v>245.66685733063653</v>
      </c>
      <c r="AT1051" s="105">
        <f>IF(tech_base!$T147&gt;AT$905,"",AT2171+tech_proj!AT1671/(1-tech_proj!AT551))</f>
        <v>245.50087017705195</v>
      </c>
      <c r="AU1051" s="105">
        <f>IF(tech_base!$T147&gt;AU$905,"",AU2171+tech_proj!AU1671/(1-tech_proj!AU551))</f>
        <v>245.07731952048425</v>
      </c>
      <c r="AV1051" s="105">
        <f>IF(tech_base!$T147&gt;AV$905,"",AV2171+tech_proj!AV1671/(1-tech_proj!AV551))</f>
        <v>244.36271850935654</v>
      </c>
      <c r="AW1051" s="105">
        <f>IF(tech_base!$T147&gt;AW$905,"",AW2171+tech_proj!AW1671/(1-tech_proj!AW551))</f>
        <v>243.33653852118866</v>
      </c>
      <c r="AX1051" s="106">
        <f>IF(tech_base!$T147&gt;AX$905,"",AX2171+tech_proj!AX1671/(1-tech_proj!AX551))</f>
        <v>242.25717796408892</v>
      </c>
    </row>
    <row r="1052" spans="1:50" x14ac:dyDescent="0.25">
      <c r="A1052" s="356"/>
      <c r="B1052" s="380"/>
      <c r="C1052" s="381"/>
      <c r="D1052" s="4" t="s">
        <v>8</v>
      </c>
      <c r="E1052" s="168" t="str">
        <f>A1045&amp;"/"&amp;B1045&amp;"/"&amp;C1051&amp;"/"&amp;D1052</f>
        <v>Diesel oil fired power plants/Gas turbine combined cycle/CHP with CCS/M</v>
      </c>
      <c r="F1052" s="80" t="str">
        <f>A1045</f>
        <v>Diesel oil fired power plants</v>
      </c>
      <c r="G1052" s="80" t="str">
        <f>B1045</f>
        <v>Gas turbine combined cycle</v>
      </c>
      <c r="H1052" s="80" t="str">
        <f>C1051</f>
        <v>CHP with CCS</v>
      </c>
      <c r="I1052" s="169" t="str">
        <f t="shared" si="369"/>
        <v>M</v>
      </c>
      <c r="J1052" s="113" t="str">
        <f>IF(tech_base!$T148&gt;J$905,"",J2172+tech_proj!J1672/(1-tech_proj!J552))</f>
        <v/>
      </c>
      <c r="K1052" s="113" t="str">
        <f>IF(tech_base!$T148&gt;K$905,"",K2172+tech_proj!K1672/(1-tech_proj!K552))</f>
        <v/>
      </c>
      <c r="L1052" s="113" t="str">
        <f>IF(tech_base!$T148&gt;L$905,"",L2172+tech_proj!L1672/(1-tech_proj!L552))</f>
        <v/>
      </c>
      <c r="M1052" s="113" t="str">
        <f>IF(tech_base!$T148&gt;M$905,"",M2172+tech_proj!M1672/(1-tech_proj!M552))</f>
        <v/>
      </c>
      <c r="N1052" s="113" t="str">
        <f>IF(tech_base!$T148&gt;N$905,"",N2172+tech_proj!N1672/(1-tech_proj!N552))</f>
        <v/>
      </c>
      <c r="O1052" s="113" t="str">
        <f>IF(tech_base!$T148&gt;O$905,"",O2172+tech_proj!O1672/(1-tech_proj!O552))</f>
        <v/>
      </c>
      <c r="P1052" s="113" t="str">
        <f>IF(tech_base!$T148&gt;P$905,"",P2172+tech_proj!P1672/(1-tech_proj!P552))</f>
        <v/>
      </c>
      <c r="Q1052" s="113" t="str">
        <f>IF(tech_base!$T148&gt;Q$905,"",Q2172+tech_proj!Q1672/(1-tech_proj!Q552))</f>
        <v/>
      </c>
      <c r="R1052" s="113" t="str">
        <f>IF(tech_base!$T148&gt;R$905,"",R2172+tech_proj!R1672/(1-tech_proj!R552))</f>
        <v/>
      </c>
      <c r="S1052" s="113" t="str">
        <f>IF(tech_base!$T148&gt;S$905,"",S2172+tech_proj!S1672/(1-tech_proj!S552))</f>
        <v/>
      </c>
      <c r="T1052" s="113" t="str">
        <f>IF(tech_base!$T148&gt;T$905,"",T2172+tech_proj!T1672/(1-tech_proj!T552))</f>
        <v/>
      </c>
      <c r="U1052" s="113" t="str">
        <f>IF(tech_base!$T148&gt;U$905,"",U2172+tech_proj!U1672/(1-tech_proj!U552))</f>
        <v/>
      </c>
      <c r="V1052" s="113" t="str">
        <f>IF(tech_base!$T148&gt;V$905,"",V2172+tech_proj!V1672/(1-tech_proj!V552))</f>
        <v/>
      </c>
      <c r="W1052" s="113" t="str">
        <f>IF(tech_base!$T148&gt;W$905,"",W2172+tech_proj!W1672/(1-tech_proj!W552))</f>
        <v/>
      </c>
      <c r="X1052" s="113" t="str">
        <f>IF(tech_base!$T148&gt;X$905,"",X2172+tech_proj!X1672/(1-tech_proj!X552))</f>
        <v/>
      </c>
      <c r="Y1052" s="113" t="str">
        <f>IF(tech_base!$T148&gt;Y$905,"",Y2172+tech_proj!Y1672/(1-tech_proj!Y552))</f>
        <v/>
      </c>
      <c r="Z1052" s="113" t="str">
        <f>IF(tech_base!$T148&gt;Z$905,"",Z2172+tech_proj!Z1672/(1-tech_proj!Z552))</f>
        <v/>
      </c>
      <c r="AA1052" s="113" t="str">
        <f>IF(tech_base!$T148&gt;AA$905,"",AA2172+tech_proj!AA1672/(1-tech_proj!AA552))</f>
        <v/>
      </c>
      <c r="AB1052" s="113" t="str">
        <f>IF(tech_base!$T148&gt;AB$905,"",AB2172+tech_proj!AB1672/(1-tech_proj!AB552))</f>
        <v/>
      </c>
      <c r="AC1052" s="113" t="str">
        <f>IF(tech_base!$T148&gt;AC$905,"",AC2172+tech_proj!AC1672/(1-tech_proj!AC552))</f>
        <v/>
      </c>
      <c r="AD1052" s="113" t="str">
        <f>IF(tech_base!$T148&gt;AD$905,"",AD2172+tech_proj!AD1672/(1-tech_proj!AD552))</f>
        <v/>
      </c>
      <c r="AE1052" s="113">
        <f>IF(tech_base!$T148&gt;AE$905,"",AE2172+tech_proj!AE1672/(1-tech_proj!AE552))</f>
        <v>243.40605281470042</v>
      </c>
      <c r="AF1052" s="113">
        <f>IF(tech_base!$T148&gt;AF$905,"",AF2172+tech_proj!AF1672/(1-tech_proj!AF552))</f>
        <v>244.53329634436744</v>
      </c>
      <c r="AG1052" s="113">
        <f>IF(tech_base!$T148&gt;AG$905,"",AG2172+tech_proj!AG1672/(1-tech_proj!AG552))</f>
        <v>245.79030686517237</v>
      </c>
      <c r="AH1052" s="113">
        <f>IF(tech_base!$T148&gt;AH$905,"",AH2172+tech_proj!AH1672/(1-tech_proj!AH552))</f>
        <v>247.17349362988725</v>
      </c>
      <c r="AI1052" s="113">
        <f>IF(tech_base!$T148&gt;AI$905,"",AI2172+tech_proj!AI1672/(1-tech_proj!AI552))</f>
        <v>248.69218389038599</v>
      </c>
      <c r="AJ1052" s="113">
        <f>IF(tech_base!$T148&gt;AJ$905,"",AJ2172+tech_proj!AJ1672/(1-tech_proj!AJ552))</f>
        <v>250.36873182903636</v>
      </c>
      <c r="AK1052" s="113">
        <f>IF(tech_base!$T148&gt;AK$905,"",AK2172+tech_proj!AK1672/(1-tech_proj!AK552))</f>
        <v>252.23052711048354</v>
      </c>
      <c r="AL1052" s="113">
        <f>IF(tech_base!$T148&gt;AL$905,"",AL2172+tech_proj!AL1672/(1-tech_proj!AL552))</f>
        <v>254.20334620534993</v>
      </c>
      <c r="AM1052" s="113">
        <f>IF(tech_base!$T148&gt;AM$905,"",AM2172+tech_proj!AM1672/(1-tech_proj!AM552))</f>
        <v>256.19581033538066</v>
      </c>
      <c r="AN1052" s="113">
        <f>IF(tech_base!$T148&gt;AN$905,"",AN2172+tech_proj!AN1672/(1-tech_proj!AN552))</f>
        <v>258.16778943221033</v>
      </c>
      <c r="AO1052" s="113">
        <f>IF(tech_base!$T148&gt;AO$905,"",AO2172+tech_proj!AO1672/(1-tech_proj!AO552))</f>
        <v>258.19479073331979</v>
      </c>
      <c r="AP1052" s="113">
        <f>IF(tech_base!$T148&gt;AP$905,"",AP2172+tech_proj!AP1672/(1-tech_proj!AP552))</f>
        <v>258.62770565160116</v>
      </c>
      <c r="AQ1052" s="113">
        <f>IF(tech_base!$T148&gt;AQ$905,"",AQ2172+tech_proj!AQ1672/(1-tech_proj!AQ552))</f>
        <v>258.98734358248743</v>
      </c>
      <c r="AR1052" s="113">
        <f>IF(tech_base!$T148&gt;AR$905,"",AR2172+tech_proj!AR1672/(1-tech_proj!AR552))</f>
        <v>260.06066321540726</v>
      </c>
      <c r="AS1052" s="113">
        <f>IF(tech_base!$T148&gt;AS$905,"",AS2172+tech_proj!AS1672/(1-tech_proj!AS552))</f>
        <v>260.19860583839204</v>
      </c>
      <c r="AT1052" s="113">
        <f>IF(tech_base!$T148&gt;AT$905,"",AT2172+tech_proj!AT1672/(1-tech_proj!AT552))</f>
        <v>260.13422072673626</v>
      </c>
      <c r="AU1052" s="113">
        <f>IF(tech_base!$T148&gt;AU$905,"",AU2172+tech_proj!AU1672/(1-tech_proj!AU552))</f>
        <v>259.82158355089189</v>
      </c>
      <c r="AV1052" s="113">
        <f>IF(tech_base!$T148&gt;AV$905,"",AV2172+tech_proj!AV1672/(1-tech_proj!AV552))</f>
        <v>259.22804058394479</v>
      </c>
      <c r="AW1052" s="113">
        <f>IF(tech_base!$T148&gt;AW$905,"",AW2172+tech_proj!AW1672/(1-tech_proj!AW552))</f>
        <v>258.33371095084613</v>
      </c>
      <c r="AX1052" s="114">
        <f>IF(tech_base!$T148&gt;AX$905,"",AX2172+tech_proj!AX1672/(1-tech_proj!AX552))</f>
        <v>257.41326463121248</v>
      </c>
    </row>
    <row r="1053" spans="1:50" x14ac:dyDescent="0.25">
      <c r="A1053" s="356"/>
      <c r="B1053" s="358" t="s">
        <v>24</v>
      </c>
      <c r="C1053" s="353" t="s">
        <v>6</v>
      </c>
      <c r="D1053" s="3" t="s">
        <v>7</v>
      </c>
      <c r="E1053" s="162" t="str">
        <f>A1045&amp;"/"&amp;B1053&amp;"/"&amp;C1053&amp;"/"&amp;D1053</f>
        <v>Diesel oil fired power plants/Gas turbine /Electricity only/L</v>
      </c>
      <c r="F1053" s="77" t="str">
        <f>A1045</f>
        <v>Diesel oil fired power plants</v>
      </c>
      <c r="G1053" s="77" t="str">
        <f>B1053</f>
        <v xml:space="preserve">Gas turbine </v>
      </c>
      <c r="H1053" s="77" t="str">
        <f>C1053</f>
        <v>Electricity only</v>
      </c>
      <c r="I1053" s="163" t="str">
        <f t="shared" si="369"/>
        <v>L</v>
      </c>
      <c r="J1053" s="107">
        <f>IF(tech_base!$T149&gt;J$905,"",J2173+tech_proj!J1673/(1-tech_proj!J553))</f>
        <v>191.53866971053799</v>
      </c>
      <c r="K1053" s="107">
        <f>IF(tech_base!$T149&gt;K$905,"",K2173+tech_proj!K1673/(1-tech_proj!K553))</f>
        <v>226.0543663174258</v>
      </c>
      <c r="L1053" s="107">
        <f>IF(tech_base!$T149&gt;L$905,"",L2173+tech_proj!L1673/(1-tech_proj!L553))</f>
        <v>237.03880615774068</v>
      </c>
      <c r="M1053" s="107">
        <f>IF(tech_base!$T149&gt;M$905,"",M2173+tech_proj!M1673/(1-tech_proj!M553))</f>
        <v>229.05772629286599</v>
      </c>
      <c r="N1053" s="107">
        <f>IF(tech_base!$T149&gt;N$905,"",N2173+tech_proj!N1673/(1-tech_proj!N553))</f>
        <v>215.93209021016827</v>
      </c>
      <c r="O1053" s="107">
        <f>IF(tech_base!$T149&gt;O$905,"",O2173+tech_proj!O1673/(1-tech_proj!O553))</f>
        <v>169.85406394250822</v>
      </c>
      <c r="P1053" s="107">
        <f>IF(tech_base!$T149&gt;P$905,"",P2173+tech_proj!P1673/(1-tech_proj!P553))</f>
        <v>158.87501169258181</v>
      </c>
      <c r="Q1053" s="107">
        <f>IF(tech_base!$T149&gt;Q$905,"",Q2173+tech_proj!Q1673/(1-tech_proj!Q553))</f>
        <v>172.48311087881919</v>
      </c>
      <c r="R1053" s="107">
        <f>IF(tech_base!$T149&gt;R$905,"",R2173+tech_proj!R1673/(1-tech_proj!R553))</f>
        <v>184.65251510104665</v>
      </c>
      <c r="S1053" s="107">
        <f>IF(tech_base!$T149&gt;S$905,"",S2173+tech_proj!S1673/(1-tech_proj!S553))</f>
        <v>195.34578158984286</v>
      </c>
      <c r="T1053" s="107">
        <f>IF(tech_base!$T149&gt;T$905,"",T2173+tech_proj!T1673/(1-tech_proj!T553))</f>
        <v>205.66240416605174</v>
      </c>
      <c r="U1053" s="107">
        <f>IF(tech_base!$T149&gt;U$905,"",U2173+tech_proj!U1673/(1-tech_proj!U553))</f>
        <v>215.49725431957719</v>
      </c>
      <c r="V1053" s="107">
        <f>IF(tech_base!$T149&gt;V$905,"",V2173+tech_proj!V1673/(1-tech_proj!V553))</f>
        <v>222.14553745535829</v>
      </c>
      <c r="W1053" s="107">
        <f>IF(tech_base!$T149&gt;W$905,"",W2173+tech_proj!W1673/(1-tech_proj!W553))</f>
        <v>230.25120316317376</v>
      </c>
      <c r="X1053" s="107">
        <f>IF(tech_base!$T149&gt;X$905,"",X2173+tech_proj!X1673/(1-tech_proj!X553))</f>
        <v>237.30542713985301</v>
      </c>
      <c r="Y1053" s="107">
        <f>IF(tech_base!$T149&gt;Y$905,"",Y2173+tech_proj!Y1673/(1-tech_proj!Y553))</f>
        <v>243.3141240284308</v>
      </c>
      <c r="Z1053" s="107">
        <f>IF(tech_base!$T149&gt;Z$905,"",Z2173+tech_proj!Z1673/(1-tech_proj!Z553))</f>
        <v>247.22728840083465</v>
      </c>
      <c r="AA1053" s="107">
        <f>IF(tech_base!$T149&gt;AA$905,"",AA2173+tech_proj!AA1673/(1-tech_proj!AA553))</f>
        <v>250.78553542133918</v>
      </c>
      <c r="AB1053" s="107">
        <f>IF(tech_base!$T149&gt;AB$905,"",AB2173+tech_proj!AB1673/(1-tech_proj!AB553))</f>
        <v>253.27361223043371</v>
      </c>
      <c r="AC1053" s="107">
        <f>IF(tech_base!$T149&gt;AC$905,"",AC2173+tech_proj!AC1673/(1-tech_proj!AC553))</f>
        <v>257.05420730009428</v>
      </c>
      <c r="AD1053" s="107">
        <f>IF(tech_base!$T149&gt;AD$905,"",AD2173+tech_proj!AD1673/(1-tech_proj!AD553))</f>
        <v>259.42705329834382</v>
      </c>
      <c r="AE1053" s="107">
        <f>IF(tech_base!$T149&gt;AE$905,"",AE2173+tech_proj!AE1673/(1-tech_proj!AE553))</f>
        <v>261.69852269390259</v>
      </c>
      <c r="AF1053" s="107">
        <f>IF(tech_base!$T149&gt;AF$905,"",AF2173+tech_proj!AF1673/(1-tech_proj!AF553))</f>
        <v>262.92075986466597</v>
      </c>
      <c r="AG1053" s="107">
        <f>IF(tech_base!$T149&gt;AG$905,"",AG2173+tech_proj!AG1673/(1-tech_proj!AG553))</f>
        <v>264.29342120694548</v>
      </c>
      <c r="AH1053" s="107">
        <f>IF(tech_base!$T149&gt;AH$905,"",AH2173+tech_proj!AH1673/(1-tech_proj!AH553))</f>
        <v>265.81602747641756</v>
      </c>
      <c r="AI1053" s="107">
        <f>IF(tech_base!$T149&gt;AI$905,"",AI2173+tech_proj!AI1673/(1-tech_proj!AI553))</f>
        <v>267.50325706649448</v>
      </c>
      <c r="AJ1053" s="107">
        <f>IF(tech_base!$T149&gt;AJ$905,"",AJ2173+tech_proj!AJ1673/(1-tech_proj!AJ553))</f>
        <v>269.38535597232294</v>
      </c>
      <c r="AK1053" s="107">
        <f>IF(tech_base!$T149&gt;AK$905,"",AK2173+tech_proj!AK1673/(1-tech_proj!AK553))</f>
        <v>271.49977744929799</v>
      </c>
      <c r="AL1053" s="107">
        <f>IF(tech_base!$T149&gt;AL$905,"",AL2173+tech_proj!AL1673/(1-tech_proj!AL553))</f>
        <v>273.77499883964566</v>
      </c>
      <c r="AM1053" s="107">
        <f>IF(tech_base!$T149&gt;AM$905,"",AM2173+tech_proj!AM1673/(1-tech_proj!AM553))</f>
        <v>276.12319742718603</v>
      </c>
      <c r="AN1053" s="107">
        <f>IF(tech_base!$T149&gt;AN$905,"",AN2173+tech_proj!AN1673/(1-tech_proj!AN553))</f>
        <v>278.51553364467856</v>
      </c>
      <c r="AO1053" s="107">
        <f>IF(tech_base!$T149&gt;AO$905,"",AO2173+tech_proj!AO1673/(1-tech_proj!AO553))</f>
        <v>278.86038295889119</v>
      </c>
      <c r="AP1053" s="107">
        <f>IF(tech_base!$T149&gt;AP$905,"",AP2173+tech_proj!AP1673/(1-tech_proj!AP553))</f>
        <v>279.75288748754093</v>
      </c>
      <c r="AQ1053" s="107">
        <f>IF(tech_base!$T149&gt;AQ$905,"",AQ2173+tech_proj!AQ1673/(1-tech_proj!AQ553))</f>
        <v>280.6930581873732</v>
      </c>
      <c r="AR1053" s="107">
        <f>IF(tech_base!$T149&gt;AR$905,"",AR2173+tech_proj!AR1673/(1-tech_proj!AR553))</f>
        <v>282.57758066721044</v>
      </c>
      <c r="AS1053" s="107">
        <f>IF(tech_base!$T149&gt;AS$905,"",AS2173+tech_proj!AS1673/(1-tech_proj!AS553))</f>
        <v>283.62260075633702</v>
      </c>
      <c r="AT1053" s="107">
        <f>IF(tech_base!$T149&gt;AT$905,"",AT2173+tech_proj!AT1673/(1-tech_proj!AT553))</f>
        <v>284.66776511901776</v>
      </c>
      <c r="AU1053" s="107">
        <f>IF(tech_base!$T149&gt;AU$905,"",AU2173+tech_proj!AU1673/(1-tech_proj!AU553))</f>
        <v>285.69416026681637</v>
      </c>
      <c r="AV1053" s="107">
        <f>IF(tech_base!$T149&gt;AV$905,"",AV2173+tech_proj!AV1673/(1-tech_proj!AV553))</f>
        <v>286.69170159427807</v>
      </c>
      <c r="AW1053" s="107">
        <f>IF(tech_base!$T149&gt;AW$905,"",AW2173+tech_proj!AW1673/(1-tech_proj!AW553))</f>
        <v>287.6528828917551</v>
      </c>
      <c r="AX1053" s="108">
        <f>IF(tech_base!$T149&gt;AX$905,"",AX2173+tech_proj!AX1673/(1-tech_proj!AX553))</f>
        <v>288.88661078786095</v>
      </c>
    </row>
    <row r="1054" spans="1:50" x14ac:dyDescent="0.25">
      <c r="A1054" s="356"/>
      <c r="B1054" s="376"/>
      <c r="C1054" s="350"/>
      <c r="D1054" s="2" t="s">
        <v>8</v>
      </c>
      <c r="E1054" s="160" t="str">
        <f>A1045&amp;"/"&amp;B1053&amp;"/"&amp;C1053&amp;"/"&amp;D1054</f>
        <v>Diesel oil fired power plants/Gas turbine /Electricity only/M</v>
      </c>
      <c r="F1054" s="76" t="str">
        <f>A1045</f>
        <v>Diesel oil fired power plants</v>
      </c>
      <c r="G1054" s="76" t="str">
        <f>B1053</f>
        <v xml:space="preserve">Gas turbine </v>
      </c>
      <c r="H1054" s="76" t="str">
        <f>C1053</f>
        <v>Electricity only</v>
      </c>
      <c r="I1054" s="161" t="str">
        <f t="shared" si="369"/>
        <v>M</v>
      </c>
      <c r="J1054" s="105">
        <f>IF(tech_base!$T150&gt;J$905,"",J2174+tech_proj!J1674/(1-tech_proj!J554))</f>
        <v>201.40305460713944</v>
      </c>
      <c r="K1054" s="105">
        <f>IF(tech_base!$T150&gt;K$905,"",K2174+tech_proj!K1674/(1-tech_proj!K554))</f>
        <v>237.69866206875531</v>
      </c>
      <c r="L1054" s="105">
        <f>IF(tech_base!$T150&gt;L$905,"",L2174+tech_proj!L1674/(1-tech_proj!L554))</f>
        <v>249.24948067523161</v>
      </c>
      <c r="M1054" s="105">
        <f>IF(tech_base!$T150&gt;M$905,"",M2174+tech_proj!M1674/(1-tech_proj!M554))</f>
        <v>240.85672197972622</v>
      </c>
      <c r="N1054" s="105">
        <f>IF(tech_base!$T150&gt;N$905,"",N2174+tech_proj!N1674/(1-tech_proj!N554))</f>
        <v>227.05410244230063</v>
      </c>
      <c r="O1054" s="105">
        <f>IF(tech_base!$T150&gt;O$905,"",O2174+tech_proj!O1674/(1-tech_proj!O554))</f>
        <v>178.59979637386743</v>
      </c>
      <c r="P1054" s="105">
        <f>IF(tech_base!$T150&gt;P$905,"",P2174+tech_proj!P1674/(1-tech_proj!P554))</f>
        <v>167.05447314986426</v>
      </c>
      <c r="Q1054" s="105">
        <f>IF(tech_base!$T150&gt;Q$905,"",Q2174+tech_proj!Q1674/(1-tech_proj!Q554))</f>
        <v>181.36418373094213</v>
      </c>
      <c r="R1054" s="105">
        <f>IF(tech_base!$T150&gt;R$905,"",R2174+tech_proj!R1674/(1-tech_proj!R554))</f>
        <v>194.16097299239414</v>
      </c>
      <c r="S1054" s="105">
        <f>IF(tech_base!$T150&gt;S$905,"",S2174+tech_proj!S1674/(1-tech_proj!S554))</f>
        <v>205.40546423354493</v>
      </c>
      <c r="T1054" s="105">
        <f>IF(tech_base!$T150&gt;T$905,"",T2174+tech_proj!T1674/(1-tech_proj!T554))</f>
        <v>216.25384247739643</v>
      </c>
      <c r="U1054" s="105">
        <f>IF(tech_base!$T150&gt;U$905,"",U2174+tech_proj!U1674/(1-tech_proj!U554))</f>
        <v>226.59555132887536</v>
      </c>
      <c r="V1054" s="105">
        <f>IF(tech_base!$T150&gt;V$905,"",V2174+tech_proj!V1674/(1-tech_proj!V554))</f>
        <v>233.58632518680233</v>
      </c>
      <c r="W1054" s="105">
        <f>IF(tech_base!$T150&gt;W$905,"",W2174+tech_proj!W1674/(1-tech_proj!W554))</f>
        <v>242.10955946563777</v>
      </c>
      <c r="X1054" s="105">
        <f>IF(tech_base!$T150&gt;X$905,"",X2174+tech_proj!X1674/(1-tech_proj!X554))</f>
        <v>249.52706125908986</v>
      </c>
      <c r="Y1054" s="105">
        <f>IF(tech_base!$T150&gt;Y$905,"",Y2174+tech_proj!Y1674/(1-tech_proj!Y554))</f>
        <v>255.8450436610207</v>
      </c>
      <c r="Z1054" s="105">
        <f>IF(tech_base!$T150&gt;Z$905,"",Z2174+tech_proj!Z1674/(1-tech_proj!Z554))</f>
        <v>259.95936311291518</v>
      </c>
      <c r="AA1054" s="105">
        <f>IF(tech_base!$T150&gt;AA$905,"",AA2174+tech_proj!AA1674/(1-tech_proj!AA554))</f>
        <v>263.70036780094546</v>
      </c>
      <c r="AB1054" s="105">
        <f>IF(tech_base!$T150&gt;AB$905,"",AB2174+tech_proj!AB1674/(1-tech_proj!AB554))</f>
        <v>266.31592465327225</v>
      </c>
      <c r="AC1054" s="105">
        <f>IF(tech_base!$T150&gt;AC$905,"",AC2174+tech_proj!AC1674/(1-tech_proj!AC554))</f>
        <v>270.29050306601346</v>
      </c>
      <c r="AD1054" s="105">
        <f>IF(tech_base!$T150&gt;AD$905,"",AD2174+tech_proj!AD1674/(1-tech_proj!AD554))</f>
        <v>272.78463321062588</v>
      </c>
      <c r="AE1054" s="105">
        <f>IF(tech_base!$T150&gt;AE$905,"",AE2174+tech_proj!AE1674/(1-tech_proj!AE554))</f>
        <v>275.17201602242142</v>
      </c>
      <c r="AF1054" s="105">
        <f>IF(tech_base!$T150&gt;AF$905,"",AF2174+tech_proj!AF1674/(1-tech_proj!AF554))</f>
        <v>276.45593897316371</v>
      </c>
      <c r="AG1054" s="105">
        <f>IF(tech_base!$T150&gt;AG$905,"",AG2174+tech_proj!AG1674/(1-tech_proj!AG554))</f>
        <v>277.89787626372657</v>
      </c>
      <c r="AH1054" s="105">
        <f>IF(tech_base!$T150&gt;AH$905,"",AH2174+tech_proj!AH1674/(1-tech_proj!AH554))</f>
        <v>279.49731114906479</v>
      </c>
      <c r="AI1054" s="105">
        <f>IF(tech_base!$T150&gt;AI$905,"",AI2174+tech_proj!AI1674/(1-tech_proj!AI554))</f>
        <v>281.2696667089084</v>
      </c>
      <c r="AJ1054" s="105">
        <f>IF(tech_base!$T150&gt;AJ$905,"",AJ2174+tech_proj!AJ1674/(1-tech_proj!AJ554))</f>
        <v>283.24673710536376</v>
      </c>
      <c r="AK1054" s="105">
        <f>IF(tech_base!$T150&gt;AK$905,"",AK2174+tech_proj!AK1674/(1-tech_proj!AK554))</f>
        <v>285.4678967980376</v>
      </c>
      <c r="AL1054" s="105">
        <f>IF(tech_base!$T150&gt;AL$905,"",AL2174+tech_proj!AL1674/(1-tech_proj!AL554))</f>
        <v>287.8579353942514</v>
      </c>
      <c r="AM1054" s="105">
        <f>IF(tech_base!$T150&gt;AM$905,"",AM2174+tech_proj!AM1674/(1-tech_proj!AM554))</f>
        <v>290.32451014547991</v>
      </c>
      <c r="AN1054" s="105">
        <f>IF(tech_base!$T150&gt;AN$905,"",AN2174+tech_proj!AN1674/(1-tech_proj!AN554))</f>
        <v>292.83730616287579</v>
      </c>
      <c r="AO1054" s="105">
        <f>IF(tech_base!$T150&gt;AO$905,"",AO2174+tech_proj!AO1674/(1-tech_proj!AO554))</f>
        <v>293.19707502052762</v>
      </c>
      <c r="AP1054" s="105">
        <f>IF(tech_base!$T150&gt;AP$905,"",AP2174+tech_proj!AP1674/(1-tech_proj!AP554))</f>
        <v>294.13257212236005</v>
      </c>
      <c r="AQ1054" s="105">
        <f>IF(tech_base!$T150&gt;AQ$905,"",AQ2174+tech_proj!AQ1674/(1-tech_proj!AQ554))</f>
        <v>295.1181040789902</v>
      </c>
      <c r="AR1054" s="105">
        <f>IF(tech_base!$T150&gt;AR$905,"",AR2174+tech_proj!AR1674/(1-tech_proj!AR554))</f>
        <v>297.09651160964052</v>
      </c>
      <c r="AS1054" s="105">
        <f>IF(tech_base!$T150&gt;AS$905,"",AS2174+tech_proj!AS1674/(1-tech_proj!AS554))</f>
        <v>298.19222773032772</v>
      </c>
      <c r="AT1054" s="105">
        <f>IF(tech_base!$T150&gt;AT$905,"",AT2174+tech_proj!AT1674/(1-tech_proj!AT554))</f>
        <v>299.28814085181455</v>
      </c>
      <c r="AU1054" s="105">
        <f>IF(tech_base!$T150&gt;AU$905,"",AU2174+tech_proj!AU1674/(1-tech_proj!AU554))</f>
        <v>300.36441699508515</v>
      </c>
      <c r="AV1054" s="105">
        <f>IF(tech_base!$T150&gt;AV$905,"",AV2174+tech_proj!AV1674/(1-tech_proj!AV554))</f>
        <v>301.41050671893782</v>
      </c>
      <c r="AW1054" s="105">
        <f>IF(tech_base!$T150&gt;AW$905,"",AW2174+tech_proj!AW1674/(1-tech_proj!AW554))</f>
        <v>302.41857104515901</v>
      </c>
      <c r="AX1054" s="106">
        <f>IF(tech_base!$T150&gt;AX$905,"",AX2174+tech_proj!AX1674/(1-tech_proj!AX554))</f>
        <v>303.71343712231993</v>
      </c>
    </row>
    <row r="1055" spans="1:50" x14ac:dyDescent="0.25">
      <c r="A1055" s="356"/>
      <c r="B1055" s="376"/>
      <c r="C1055" s="350"/>
      <c r="D1055" s="2" t="s">
        <v>10</v>
      </c>
      <c r="E1055" s="160" t="str">
        <f>A1045&amp;"/"&amp;B1053&amp;"/"&amp;C1053&amp;"/"&amp;D1055</f>
        <v>Diesel oil fired power plants/Gas turbine /Electricity only/S</v>
      </c>
      <c r="F1055" s="76" t="str">
        <f>A1045</f>
        <v>Diesel oil fired power plants</v>
      </c>
      <c r="G1055" s="76" t="str">
        <f>B1053</f>
        <v xml:space="preserve">Gas turbine </v>
      </c>
      <c r="H1055" s="76" t="str">
        <f>C1053</f>
        <v>Electricity only</v>
      </c>
      <c r="I1055" s="161" t="str">
        <f t="shared" si="369"/>
        <v>S</v>
      </c>
      <c r="J1055" s="105">
        <f>IF(tech_base!$T151&gt;J$905,"",J2175+tech_proj!J1675/(1-tech_proj!J555))</f>
        <v>212.22420049230519</v>
      </c>
      <c r="K1055" s="105">
        <f>IF(tech_base!$T151&gt;K$905,"",K2175+tech_proj!K1675/(1-tech_proj!K555))</f>
        <v>250.39793889521843</v>
      </c>
      <c r="L1055" s="105">
        <f>IF(tech_base!$T151&gt;L$905,"",L2175+tech_proj!L1675/(1-tech_proj!L555))</f>
        <v>262.54944334613805</v>
      </c>
      <c r="M1055" s="105">
        <f>IF(tech_base!$T151&gt;M$905,"",M2175+tech_proj!M1675/(1-tech_proj!M555))</f>
        <v>253.72707779301652</v>
      </c>
      <c r="N1055" s="105">
        <f>IF(tech_base!$T151&gt;N$905,"",N2175+tech_proj!N1675/(1-tech_proj!N555))</f>
        <v>239.21516856008085</v>
      </c>
      <c r="O1055" s="105">
        <f>IF(tech_base!$T151&gt;O$905,"",O2175+tech_proj!O1675/(1-tech_proj!O555))</f>
        <v>188.25872846917798</v>
      </c>
      <c r="P1055" s="105">
        <f>IF(tech_base!$T151&gt;P$905,"",P2175+tech_proj!P1675/(1-tech_proj!P555))</f>
        <v>176.1198820762408</v>
      </c>
      <c r="Q1055" s="105">
        <f>IF(tech_base!$T151&gt;Q$905,"",Q2175+tech_proj!Q1675/(1-tech_proj!Q555))</f>
        <v>191.17465819998512</v>
      </c>
      <c r="R1055" s="105">
        <f>IF(tech_base!$T151&gt;R$905,"",R2175+tech_proj!R1675/(1-tech_proj!R555))</f>
        <v>204.63921809161087</v>
      </c>
      <c r="S1055" s="105">
        <f>IF(tech_base!$T151&gt;S$905,"",S2175+tech_proj!S1675/(1-tech_proj!S555))</f>
        <v>216.47213228235086</v>
      </c>
      <c r="T1055" s="105">
        <f>IF(tech_base!$T151&gt;T$905,"",T2175+tech_proj!T1675/(1-tech_proj!T555))</f>
        <v>227.88951977686227</v>
      </c>
      <c r="U1055" s="105">
        <f>IF(tech_base!$T151&gt;U$905,"",U2175+tech_proj!U1675/(1-tech_proj!U555))</f>
        <v>238.7751518396071</v>
      </c>
      <c r="V1055" s="105">
        <f>IF(tech_base!$T151&gt;V$905,"",V2175+tech_proj!V1675/(1-tech_proj!V555))</f>
        <v>246.13710947401125</v>
      </c>
      <c r="W1055" s="105">
        <f>IF(tech_base!$T151&gt;W$905,"",W2175+tech_proj!W1675/(1-tech_proj!W555))</f>
        <v>255.11229169015033</v>
      </c>
      <c r="X1055" s="105">
        <f>IF(tech_base!$T151&gt;X$905,"",X2175+tech_proj!X1675/(1-tech_proj!X555))</f>
        <v>262.92555556454295</v>
      </c>
      <c r="Y1055" s="105">
        <f>IF(tech_base!$T151&gt;Y$905,"",Y2175+tech_proj!Y1675/(1-tech_proj!Y555))</f>
        <v>269.58337639216461</v>
      </c>
      <c r="Z1055" s="105">
        <f>IF(tech_base!$T151&gt;Z$905,"",Z2175+tech_proj!Z1675/(1-tech_proj!Z555))</f>
        <v>273.92400394521525</v>
      </c>
      <c r="AA1055" s="105">
        <f>IF(tech_base!$T151&gt;AA$905,"",AA2175+tech_proj!AA1675/(1-tech_proj!AA555))</f>
        <v>277.87295607070854</v>
      </c>
      <c r="AB1055" s="105">
        <f>IF(tech_base!$T151&gt;AB$905,"",AB2175+tech_proj!AB1675/(1-tech_proj!AB555))</f>
        <v>280.63880067861311</v>
      </c>
      <c r="AC1055" s="105">
        <f>IF(tech_base!$T151&gt;AC$905,"",AC2175+tech_proj!AC1675/(1-tech_proj!AC555))</f>
        <v>284.83563397419135</v>
      </c>
      <c r="AD1055" s="105">
        <f>IF(tech_base!$T151&gt;AD$905,"",AD2175+tech_proj!AD1675/(1-tech_proj!AD555))</f>
        <v>287.47566754066781</v>
      </c>
      <c r="AE1055" s="105">
        <f>IF(tech_base!$T151&gt;AE$905,"",AE2175+tech_proj!AE1675/(1-tech_proj!AE555))</f>
        <v>290.00423364821125</v>
      </c>
      <c r="AF1055" s="105">
        <f>IF(tech_base!$T151&gt;AF$905,"",AF2175+tech_proj!AF1675/(1-tech_proj!AF555))</f>
        <v>291.37227602489764</v>
      </c>
      <c r="AG1055" s="105">
        <f>IF(tech_base!$T151&gt;AG$905,"",AG2175+tech_proj!AG1675/(1-tech_proj!AG555))</f>
        <v>292.90717096454722</v>
      </c>
      <c r="AH1055" s="105">
        <f>IF(tech_base!$T151&gt;AH$905,"",AH2175+tech_proj!AH1675/(1-tech_proj!AH555))</f>
        <v>294.60827114486926</v>
      </c>
      <c r="AI1055" s="105">
        <f>IF(tech_base!$T151&gt;AI$905,"",AI2175+tech_proj!AI1675/(1-tech_proj!AI555))</f>
        <v>296.49168070500951</v>
      </c>
      <c r="AJ1055" s="105">
        <f>IF(tech_base!$T151&gt;AJ$905,"",AJ2175+tech_proj!AJ1675/(1-tech_proj!AJ555))</f>
        <v>298.59071297487111</v>
      </c>
      <c r="AK1055" s="105">
        <f>IF(tech_base!$T151&gt;AK$905,"",AK2175+tech_proj!AK1675/(1-tech_proj!AK555))</f>
        <v>300.9466406706494</v>
      </c>
      <c r="AL1055" s="105">
        <f>IF(tech_base!$T151&gt;AL$905,"",AL2175+tech_proj!AL1675/(1-tech_proj!AL555))</f>
        <v>303.48008383613649</v>
      </c>
      <c r="AM1055" s="105">
        <f>IF(tech_base!$T151&gt;AM$905,"",AM2175+tech_proj!AM1675/(1-tech_proj!AM555))</f>
        <v>306.093580473266</v>
      </c>
      <c r="AN1055" s="105">
        <f>IF(tech_base!$T151&gt;AN$905,"",AN2175+tech_proj!AN1675/(1-tech_proj!AN555))</f>
        <v>308.75493519563247</v>
      </c>
      <c r="AO1055" s="105">
        <f>IF(tech_base!$T151&gt;AO$905,"",AO2175+tech_proj!AO1675/(1-tech_proj!AO555))</f>
        <v>309.14815139743581</v>
      </c>
      <c r="AP1055" s="105">
        <f>IF(tech_base!$T151&gt;AP$905,"",AP2175+tech_proj!AP1675/(1-tech_proj!AP555))</f>
        <v>310.14600028626501</v>
      </c>
      <c r="AQ1055" s="105">
        <f>IF(tech_base!$T151&gt;AQ$905,"",AQ2175+tech_proj!AQ1675/(1-tech_proj!AQ555))</f>
        <v>311.19470793716079</v>
      </c>
      <c r="AR1055" s="105">
        <f>IF(tech_base!$T151&gt;AR$905,"",AR2175+tech_proj!AR1675/(1-tech_proj!AR555))</f>
        <v>313.28689059471668</v>
      </c>
      <c r="AS1055" s="105">
        <f>IF(tech_base!$T151&gt;AS$905,"",AS2175+tech_proj!AS1675/(1-tech_proj!AS555))</f>
        <v>314.44725361142821</v>
      </c>
      <c r="AT1055" s="105">
        <f>IF(tech_base!$T151&gt;AT$905,"",AT2175+tech_proj!AT1675/(1-tech_proj!AT555))</f>
        <v>315.60531083932034</v>
      </c>
      <c r="AU1055" s="105">
        <f>IF(tech_base!$T151&gt;AU$905,"",AU2175+tech_proj!AU1675/(1-tech_proj!AU555))</f>
        <v>316.74002638833565</v>
      </c>
      <c r="AV1055" s="105">
        <f>IF(tech_base!$T151&gt;AV$905,"",AV2175+tech_proj!AV1675/(1-tech_proj!AV555))</f>
        <v>317.84019666868886</v>
      </c>
      <c r="AW1055" s="105">
        <f>IF(tech_base!$T151&gt;AW$905,"",AW2175+tech_proj!AW1675/(1-tech_proj!AW555))</f>
        <v>318.89753377241175</v>
      </c>
      <c r="AX1055" s="106">
        <f>IF(tech_base!$T151&gt;AX$905,"",AX2175+tech_proj!AX1675/(1-tech_proj!AX555))</f>
        <v>320.25413563165699</v>
      </c>
    </row>
    <row r="1056" spans="1:50" x14ac:dyDescent="0.25">
      <c r="A1056" s="356"/>
      <c r="B1056" s="376"/>
      <c r="C1056" s="360"/>
      <c r="D1056" s="2" t="s">
        <v>20</v>
      </c>
      <c r="E1056" s="160" t="str">
        <f>A1045&amp;"/"&amp;B1053&amp;"/"&amp;C1053&amp;"/"&amp;D1056</f>
        <v>Diesel oil fired power plants/Gas turbine /Electricity only/XS</v>
      </c>
      <c r="F1056" s="76" t="str">
        <f>A1045</f>
        <v>Diesel oil fired power plants</v>
      </c>
      <c r="G1056" s="76" t="str">
        <f>B1053</f>
        <v xml:space="preserve">Gas turbine </v>
      </c>
      <c r="H1056" s="76" t="str">
        <f>C1053</f>
        <v>Electricity only</v>
      </c>
      <c r="I1056" s="161" t="str">
        <f t="shared" si="369"/>
        <v>XS</v>
      </c>
      <c r="J1056" s="105">
        <f>IF(tech_base!$T152&gt;J$905,"",J2176+tech_proj!J1676/(1-tech_proj!J556))</f>
        <v>224.5450813664412</v>
      </c>
      <c r="K1056" s="105">
        <f>IF(tech_base!$T152&gt;K$905,"",K2176+tech_proj!K1676/(1-tech_proj!K556))</f>
        <v>264.69598173107227</v>
      </c>
      <c r="L1056" s="105">
        <f>IF(tech_base!$T152&gt;L$905,"",L2176+tech_proj!L1676/(1-tech_proj!L556))</f>
        <v>277.47877178117005</v>
      </c>
      <c r="M1056" s="105">
        <f>IF(tech_base!$T152&gt;M$905,"",M2176+tech_proj!M1676/(1-tech_proj!M556))</f>
        <v>268.20246076227295</v>
      </c>
      <c r="N1056" s="105">
        <f>IF(tech_base!$T152&gt;N$905,"",N2176+tech_proj!N1676/(1-tech_proj!N556))</f>
        <v>252.94208822042523</v>
      </c>
      <c r="O1056" s="105">
        <f>IF(tech_base!$T152&gt;O$905,"",O2176+tech_proj!O1676/(1-tech_proj!O556))</f>
        <v>199.34968194907248</v>
      </c>
      <c r="P1056" s="105">
        <f>IF(tech_base!$T152&gt;P$905,"",P2176+tech_proj!P1676/(1-tech_proj!P556))</f>
        <v>186.58461865954385</v>
      </c>
      <c r="Q1056" s="105">
        <f>IF(tech_base!$T152&gt;Q$905,"",Q2176+tech_proj!Q1676/(1-tech_proj!Q556))</f>
        <v>202.42216532768026</v>
      </c>
      <c r="R1056" s="105">
        <f>IF(tech_base!$T152&gt;R$905,"",R2176+tech_proj!R1676/(1-tech_proj!R556))</f>
        <v>216.587808186014</v>
      </c>
      <c r="S1056" s="105">
        <f>IF(tech_base!$T152&gt;S$905,"",S2176+tech_proj!S1676/(1-tech_proj!S556))</f>
        <v>229.03797207909091</v>
      </c>
      <c r="T1056" s="105">
        <f>IF(tech_base!$T152&gt;T$905,"",T2176+tech_proj!T1676/(1-tech_proj!T556))</f>
        <v>241.05184954136749</v>
      </c>
      <c r="U1056" s="105">
        <f>IF(tech_base!$T152&gt;U$905,"",U2176+tech_proj!U1676/(1-tech_proj!U556))</f>
        <v>252.50723996205213</v>
      </c>
      <c r="V1056" s="105">
        <f>IF(tech_base!$T152&gt;V$905,"",V2176+tech_proj!V1676/(1-tech_proj!V556))</f>
        <v>260.25695149408523</v>
      </c>
      <c r="W1056" s="105">
        <f>IF(tech_base!$T152&gt;W$905,"",W2176+tech_proj!W1676/(1-tech_proj!W556))</f>
        <v>269.70452222816976</v>
      </c>
      <c r="X1056" s="105">
        <f>IF(tech_base!$T152&gt;X$905,"",X2176+tech_proj!X1676/(1-tech_proj!X556))</f>
        <v>277.93079887488796</v>
      </c>
      <c r="Y1056" s="105">
        <f>IF(tech_base!$T152&gt;Y$905,"",Y2176+tech_proj!Y1676/(1-tech_proj!Y556))</f>
        <v>284.94257941671287</v>
      </c>
      <c r="Z1056" s="105">
        <f>IF(tech_base!$T152&gt;Z$905,"",Z2176+tech_proj!Z1676/(1-tech_proj!Z556))</f>
        <v>289.51764250224898</v>
      </c>
      <c r="AA1056" s="105">
        <f>IF(tech_base!$T152&gt;AA$905,"",AA2176+tech_proj!AA1676/(1-tech_proj!AA556))</f>
        <v>293.68159029580579</v>
      </c>
      <c r="AB1056" s="105">
        <f>IF(tech_base!$T152&gt;AB$905,"",AB2176+tech_proj!AB1676/(1-tech_proj!AB556))</f>
        <v>296.60177030342368</v>
      </c>
      <c r="AC1056" s="105">
        <f>IF(tech_base!$T152&gt;AC$905,"",AC2176+tech_proj!AC1676/(1-tech_proj!AC556))</f>
        <v>301.02848189481568</v>
      </c>
      <c r="AD1056" s="105">
        <f>IF(tech_base!$T152&gt;AD$905,"",AD2176+tech_proj!AD1676/(1-tech_proj!AD556))</f>
        <v>303.81824626788438</v>
      </c>
      <c r="AE1056" s="105">
        <f>IF(tech_base!$T152&gt;AE$905,"",AE2176+tech_proj!AE1676/(1-tech_proj!AE556))</f>
        <v>306.49170510044235</v>
      </c>
      <c r="AF1056" s="105">
        <f>IF(tech_base!$T152&gt;AF$905,"",AF2176+tech_proj!AF1676/(1-tech_proj!AF556))</f>
        <v>307.94496252084588</v>
      </c>
      <c r="AG1056" s="105">
        <f>IF(tech_base!$T152&gt;AG$905,"",AG2176+tech_proj!AG1676/(1-tech_proj!AG556))</f>
        <v>309.5746694665599</v>
      </c>
      <c r="AH1056" s="105">
        <f>IF(tech_base!$T152&gt;AH$905,"",AH2176+tech_proj!AH1676/(1-tech_proj!AH556))</f>
        <v>311.38014337153339</v>
      </c>
      <c r="AI1056" s="105">
        <f>IF(tech_base!$T152&gt;AI$905,"",AI2176+tech_proj!AI1676/(1-tech_proj!AI556))</f>
        <v>313.37831487783262</v>
      </c>
      <c r="AJ1056" s="105">
        <f>IF(tech_base!$T152&gt;AJ$905,"",AJ2176+tech_proj!AJ1676/(1-tech_proj!AJ556))</f>
        <v>315.60421129265836</v>
      </c>
      <c r="AK1056" s="105">
        <f>IF(tech_base!$T152&gt;AK$905,"",AK2176+tech_proj!AK1676/(1-tech_proj!AK556))</f>
        <v>318.10122301060426</v>
      </c>
      <c r="AL1056" s="105">
        <f>IF(tech_base!$T152&gt;AL$905,"",AL2176+tech_proj!AL1676/(1-tech_proj!AL556))</f>
        <v>320.7857258954711</v>
      </c>
      <c r="AM1056" s="105">
        <f>IF(tech_base!$T152&gt;AM$905,"",AM2176+tech_proj!AM1676/(1-tech_proj!AM556))</f>
        <v>323.55501451354957</v>
      </c>
      <c r="AN1056" s="105">
        <f>IF(tech_base!$T152&gt;AN$905,"",AN2176+tech_proj!AN1676/(1-tech_proj!AN556))</f>
        <v>326.37503677054013</v>
      </c>
      <c r="AO1056" s="105">
        <f>IF(tech_base!$T152&gt;AO$905,"",AO2176+tech_proj!AO1676/(1-tech_proj!AO556))</f>
        <v>326.80734886616364</v>
      </c>
      <c r="AP1056" s="105">
        <f>IF(tech_base!$T152&gt;AP$905,"",AP2176+tech_proj!AP1676/(1-tech_proj!AP556))</f>
        <v>327.87588926958153</v>
      </c>
      <c r="AQ1056" s="105">
        <f>IF(tech_base!$T152&gt;AQ$905,"",AQ2176+tech_proj!AQ1676/(1-tech_proj!AQ556))</f>
        <v>328.997437699611</v>
      </c>
      <c r="AR1056" s="105">
        <f>IF(tech_base!$T152&gt;AR$905,"",AR2176+tech_proj!AR1676/(1-tech_proj!AR556))</f>
        <v>331.21690686909739</v>
      </c>
      <c r="AS1056" s="105">
        <f>IF(tech_base!$T152&gt;AS$905,"",AS2176+tech_proj!AS1676/(1-tech_proj!AS556))</f>
        <v>332.4541606462306</v>
      </c>
      <c r="AT1056" s="105">
        <f>IF(tech_base!$T152&gt;AT$905,"",AT2176+tech_proj!AT1676/(1-tech_proj!AT556))</f>
        <v>333.68758168632093</v>
      </c>
      <c r="AU1056" s="105">
        <f>IF(tech_base!$T152&gt;AU$905,"",AU2176+tech_proj!AU1676/(1-tech_proj!AU556))</f>
        <v>334.89471257691991</v>
      </c>
      <c r="AV1056" s="105">
        <f>IF(tech_base!$T152&gt;AV$905,"",AV2176+tech_proj!AV1676/(1-tech_proj!AV556))</f>
        <v>336.06345768566422</v>
      </c>
      <c r="AW1056" s="105">
        <f>IF(tech_base!$T152&gt;AW$905,"",AW2176+tech_proj!AW1676/(1-tech_proj!AW556))</f>
        <v>337.18481228641872</v>
      </c>
      <c r="AX1056" s="106">
        <f>IF(tech_base!$T152&gt;AX$905,"",AX2176+tech_proj!AX1676/(1-tech_proj!AX556))</f>
        <v>338.61882484214004</v>
      </c>
    </row>
    <row r="1057" spans="1:50" x14ac:dyDescent="0.25">
      <c r="A1057" s="356"/>
      <c r="B1057" s="376"/>
      <c r="C1057" s="361" t="s">
        <v>14</v>
      </c>
      <c r="D1057" s="58" t="s">
        <v>7</v>
      </c>
      <c r="E1057" s="164" t="str">
        <f>A1045&amp;"/"&amp;B1053&amp;"/"&amp;C1057&amp;"/"&amp;D1057</f>
        <v>Diesel oil fired power plants/Gas turbine /CHP/L</v>
      </c>
      <c r="F1057" s="78" t="str">
        <f>A1045</f>
        <v>Diesel oil fired power plants</v>
      </c>
      <c r="G1057" s="78" t="str">
        <f>B1053</f>
        <v xml:space="preserve">Gas turbine </v>
      </c>
      <c r="H1057" s="78" t="str">
        <f>C1057</f>
        <v>CHP</v>
      </c>
      <c r="I1057" s="165" t="str">
        <f t="shared" si="369"/>
        <v>L</v>
      </c>
      <c r="J1057" s="109">
        <f>IF(tech_base!$T153&gt;J$905,"",J2177+tech_proj!J1677/(1-tech_proj!J557))</f>
        <v>212.40914983546421</v>
      </c>
      <c r="K1057" s="109">
        <f>IF(tech_base!$T153&gt;K$905,"",K2177+tech_proj!K1677/(1-tech_proj!K557))</f>
        <v>250.49155959288782</v>
      </c>
      <c r="L1057" s="109">
        <f>IF(tech_base!$T153&gt;L$905,"",L2177+tech_proj!L1677/(1-tech_proj!L557))</f>
        <v>262.6123300424743</v>
      </c>
      <c r="M1057" s="109">
        <f>IF(tech_base!$T153&gt;M$905,"",M2177+tech_proj!M1677/(1-tech_proj!M557))</f>
        <v>253.80843661970195</v>
      </c>
      <c r="N1057" s="109">
        <f>IF(tech_base!$T153&gt;N$905,"",N2177+tech_proj!N1677/(1-tech_proj!N557))</f>
        <v>239.32844440110804</v>
      </c>
      <c r="O1057" s="109">
        <f>IF(tech_base!$T153&gt;O$905,"",O2177+tech_proj!O1677/(1-tech_proj!O557))</f>
        <v>188.49085422433447</v>
      </c>
      <c r="P1057" s="109">
        <f>IF(tech_base!$T153&gt;P$905,"",P2177+tech_proj!P1677/(1-tech_proj!P557))</f>
        <v>176.37876301313932</v>
      </c>
      <c r="Q1057" s="109">
        <f>IF(tech_base!$T153&gt;Q$905,"",Q2177+tech_proj!Q1677/(1-tech_proj!Q557))</f>
        <v>191.39493917328474</v>
      </c>
      <c r="R1057" s="109">
        <f>IF(tech_base!$T153&gt;R$905,"",R2177+tech_proj!R1677/(1-tech_proj!R557))</f>
        <v>204.82415898241618</v>
      </c>
      <c r="S1057" s="109">
        <f>IF(tech_base!$T153&gt;S$905,"",S2177+tech_proj!S1677/(1-tech_proj!S557))</f>
        <v>216.62509839352904</v>
      </c>
      <c r="T1057" s="109">
        <f>IF(tech_base!$T153&gt;T$905,"",T2177+tech_proj!T1677/(1-tech_proj!T557))</f>
        <v>228.01091392026979</v>
      </c>
      <c r="U1057" s="109">
        <f>IF(tech_base!$T153&gt;U$905,"",U2177+tech_proj!U1677/(1-tech_proj!U557))</f>
        <v>238.86562774884447</v>
      </c>
      <c r="V1057" s="109">
        <f>IF(tech_base!$T153&gt;V$905,"",V2177+tech_proj!V1677/(1-tech_proj!V557))</f>
        <v>246.20471536263298</v>
      </c>
      <c r="W1057" s="109">
        <f>IF(tech_base!$T153&gt;W$905,"",W2177+tech_proj!W1677/(1-tech_proj!W557))</f>
        <v>255.15237965363593</v>
      </c>
      <c r="X1057" s="109">
        <f>IF(tech_base!$T153&gt;X$905,"",X2177+tech_proj!X1677/(1-tech_proj!X557))</f>
        <v>262.94033368824347</v>
      </c>
      <c r="Y1057" s="109">
        <f>IF(tech_base!$T153&gt;Y$905,"",Y2177+tech_proj!Y1677/(1-tech_proj!Y557))</f>
        <v>269.57506731477866</v>
      </c>
      <c r="Z1057" s="109">
        <f>IF(tech_base!$T153&gt;Z$905,"",Z2177+tech_proj!Z1677/(1-tech_proj!Z557))</f>
        <v>273.89785131424907</v>
      </c>
      <c r="AA1057" s="109">
        <f>IF(tech_base!$T153&gt;AA$905,"",AA2177+tech_proj!AA1677/(1-tech_proj!AA557))</f>
        <v>277.82936465159025</v>
      </c>
      <c r="AB1057" s="109">
        <f>IF(tech_base!$T153&gt;AB$905,"",AB2177+tech_proj!AB1677/(1-tech_proj!AB557))</f>
        <v>280.58026401078655</v>
      </c>
      <c r="AC1057" s="109">
        <f>IF(tech_base!$T153&gt;AC$905,"",AC2177+tech_proj!AC1677/(1-tech_proj!AC557))</f>
        <v>284.75784588037732</v>
      </c>
      <c r="AD1057" s="109">
        <f>IF(tech_base!$T153&gt;AD$905,"",AD2177+tech_proj!AD1677/(1-tech_proj!AD557))</f>
        <v>287.38218485614408</v>
      </c>
      <c r="AE1057" s="109">
        <f>IF(tech_base!$T153&gt;AE$905,"",AE2177+tech_proj!AE1677/(1-tech_proj!AE557))</f>
        <v>289.89487741659394</v>
      </c>
      <c r="AF1057" s="109">
        <f>IF(tech_base!$T153&gt;AF$905,"",AF2177+tech_proj!AF1677/(1-tech_proj!AF557))</f>
        <v>291.24977681330535</v>
      </c>
      <c r="AG1057" s="109">
        <f>IF(tech_base!$T153&gt;AG$905,"",AG2177+tech_proj!AG1677/(1-tech_proj!AG557))</f>
        <v>292.77076757193009</v>
      </c>
      <c r="AH1057" s="109">
        <f>IF(tech_base!$T153&gt;AH$905,"",AH2177+tech_proj!AH1677/(1-tech_proj!AH557))</f>
        <v>294.45726482276359</v>
      </c>
      <c r="AI1057" s="109">
        <f>IF(tech_base!$T153&gt;AI$905,"",AI2177+tech_proj!AI1677/(1-tech_proj!AI557))</f>
        <v>296.32540373792403</v>
      </c>
      <c r="AJ1057" s="109">
        <f>IF(tech_base!$T153&gt;AJ$905,"",AJ2177+tech_proj!AJ1677/(1-tech_proj!AJ557))</f>
        <v>298.40849419354794</v>
      </c>
      <c r="AK1057" s="109">
        <f>IF(tech_base!$T153&gt;AK$905,"",AK2177+tech_proj!AK1677/(1-tech_proj!AK557))</f>
        <v>300.74779536188328</v>
      </c>
      <c r="AL1057" s="109">
        <f>IF(tech_base!$T153&gt;AL$905,"",AL2177+tech_proj!AL1677/(1-tech_proj!AL557))</f>
        <v>303.26427562609086</v>
      </c>
      <c r="AM1057" s="109">
        <f>IF(tech_base!$T153&gt;AM$905,"",AM2177+tech_proj!AM1677/(1-tech_proj!AM557))</f>
        <v>305.86089870424018</v>
      </c>
      <c r="AN1057" s="109">
        <f>IF(tech_base!$T153&gt;AN$905,"",AN2177+tech_proj!AN1677/(1-tech_proj!AN557))</f>
        <v>308.50572525777346</v>
      </c>
      <c r="AO1057" s="109">
        <f>IF(tech_base!$T153&gt;AO$905,"",AO2177+tech_proj!AO1677/(1-tech_proj!AO557))</f>
        <v>308.88981856947925</v>
      </c>
      <c r="AP1057" s="109">
        <f>IF(tech_base!$T153&gt;AP$905,"",AP2177+tech_proj!AP1677/(1-tech_proj!AP557))</f>
        <v>309.87766022875076</v>
      </c>
      <c r="AQ1057" s="109">
        <f>IF(tech_base!$T153&gt;AQ$905,"",AQ2177+tech_proj!AQ1677/(1-tech_proj!AQ557))</f>
        <v>310.91726729374875</v>
      </c>
      <c r="AR1057" s="109">
        <f>IF(tech_base!$T153&gt;AR$905,"",AR2177+tech_proj!AR1677/(1-tech_proj!AR557))</f>
        <v>312.99840390745925</v>
      </c>
      <c r="AS1057" s="109">
        <f>IF(tech_base!$T153&gt;AS$905,"",AS2177+tech_proj!AS1677/(1-tech_proj!AS557))</f>
        <v>314.15186412653088</v>
      </c>
      <c r="AT1057" s="109">
        <f>IF(tech_base!$T153&gt;AT$905,"",AT2177+tech_proj!AT1677/(1-tech_proj!AT557))</f>
        <v>315.30447471421263</v>
      </c>
      <c r="AU1057" s="109">
        <f>IF(tech_base!$T153&gt;AU$905,"",AU2177+tech_proj!AU1677/(1-tech_proj!AU557))</f>
        <v>316.43534417584834</v>
      </c>
      <c r="AV1057" s="109">
        <f>IF(tech_base!$T153&gt;AV$905,"",AV2177+tech_proj!AV1677/(1-tech_proj!AV557))</f>
        <v>317.53334959378543</v>
      </c>
      <c r="AW1057" s="109">
        <f>IF(tech_base!$T153&gt;AW$905,"",AW2177+tech_proj!AW1677/(1-tech_proj!AW557))</f>
        <v>318.5902371214143</v>
      </c>
      <c r="AX1057" s="110">
        <f>IF(tech_base!$T153&gt;AX$905,"",AX2177+tech_proj!AX1677/(1-tech_proj!AX557))</f>
        <v>319.94704894268131</v>
      </c>
    </row>
    <row r="1058" spans="1:50" x14ac:dyDescent="0.25">
      <c r="A1058" s="356"/>
      <c r="B1058" s="376"/>
      <c r="C1058" s="378"/>
      <c r="D1058" s="2" t="s">
        <v>8</v>
      </c>
      <c r="E1058" s="160" t="str">
        <f>A1045&amp;"/"&amp;B1053&amp;"/"&amp;C1057&amp;"/"&amp;D1058</f>
        <v>Diesel oil fired power plants/Gas turbine /CHP/M</v>
      </c>
      <c r="F1058" s="76" t="str">
        <f>A1045</f>
        <v>Diesel oil fired power plants</v>
      </c>
      <c r="G1058" s="76" t="str">
        <f>B1053</f>
        <v xml:space="preserve">Gas turbine </v>
      </c>
      <c r="H1058" s="76" t="str">
        <f>C1057</f>
        <v>CHP</v>
      </c>
      <c r="I1058" s="161" t="str">
        <f t="shared" si="369"/>
        <v>M</v>
      </c>
      <c r="J1058" s="105">
        <f>IF(tech_base!$T154&gt;J$905,"",J2178+tech_proj!J1678/(1-tech_proj!J558))</f>
        <v>223.30939401621981</v>
      </c>
      <c r="K1058" s="105">
        <f>IF(tech_base!$T154&gt;K$905,"",K2178+tech_proj!K1678/(1-tech_proj!K558))</f>
        <v>263.36105248403402</v>
      </c>
      <c r="L1058" s="105">
        <f>IF(tech_base!$T154&gt;L$905,"",L2178+tech_proj!L1678/(1-tech_proj!L558))</f>
        <v>276.10783701399322</v>
      </c>
      <c r="M1058" s="105">
        <f>IF(tech_base!$T154&gt;M$905,"",M2178+tech_proj!M1678/(1-tech_proj!M558))</f>
        <v>266.8475067637745</v>
      </c>
      <c r="N1058" s="105">
        <f>IF(tech_base!$T154&gt;N$905,"",N2178+tech_proj!N1678/(1-tech_proj!N558))</f>
        <v>251.61749650154397</v>
      </c>
      <c r="O1058" s="105">
        <f>IF(tech_base!$T154&gt;O$905,"",O2178+tech_proj!O1678/(1-tech_proj!O558))</f>
        <v>198.14975936958396</v>
      </c>
      <c r="P1058" s="105">
        <f>IF(tech_base!$T154&gt;P$905,"",P2178+tech_proj!P1678/(1-tech_proj!P558))</f>
        <v>185.41034523517311</v>
      </c>
      <c r="Q1058" s="105">
        <f>IF(tech_base!$T154&gt;Q$905,"",Q2178+tech_proj!Q1678/(1-tech_proj!Q558))</f>
        <v>201.20182998132324</v>
      </c>
      <c r="R1058" s="105">
        <f>IF(tech_base!$T154&gt;R$905,"",R2178+tech_proj!R1678/(1-tech_proj!R558))</f>
        <v>215.32403938340735</v>
      </c>
      <c r="S1058" s="105">
        <f>IF(tech_base!$T154&gt;S$905,"",S2178+tech_proj!S1678/(1-tech_proj!S558))</f>
        <v>227.7335139425789</v>
      </c>
      <c r="T1058" s="105">
        <f>IF(tech_base!$T154&gt;T$905,"",T2178+tech_proj!T1678/(1-tech_proj!T558))</f>
        <v>239.70611327902665</v>
      </c>
      <c r="U1058" s="105">
        <f>IF(tech_base!$T154&gt;U$905,"",U2178+tech_proj!U1678/(1-tech_proj!U558))</f>
        <v>251.11984657409278</v>
      </c>
      <c r="V1058" s="105">
        <f>IF(tech_base!$T154&gt;V$905,"",V2178+tech_proj!V1678/(1-tech_proj!V558))</f>
        <v>258.83597500412537</v>
      </c>
      <c r="W1058" s="105">
        <f>IF(tech_base!$T154&gt;W$905,"",W2178+tech_proj!W1678/(1-tech_proj!W558))</f>
        <v>268.24346600160601</v>
      </c>
      <c r="X1058" s="105">
        <f>IF(tech_base!$T154&gt;X$905,"",X2178+tech_proj!X1678/(1-tech_proj!X558))</f>
        <v>276.43098841129284</v>
      </c>
      <c r="Y1058" s="105">
        <f>IF(tech_base!$T154&gt;Y$905,"",Y2178+tech_proj!Y1678/(1-tech_proj!Y558))</f>
        <v>283.40537678886392</v>
      </c>
      <c r="Z1058" s="105">
        <f>IF(tech_base!$T154&gt;Z$905,"",Z2178+tech_proj!Z1678/(1-tech_proj!Z558))</f>
        <v>287.94809839311449</v>
      </c>
      <c r="AA1058" s="105">
        <f>IF(tech_base!$T154&gt;AA$905,"",AA2178+tech_proj!AA1678/(1-tech_proj!AA558))</f>
        <v>292.07902661764132</v>
      </c>
      <c r="AB1058" s="105">
        <f>IF(tech_base!$T154&gt;AB$905,"",AB2178+tech_proj!AB1678/(1-tech_proj!AB558))</f>
        <v>294.96809076931919</v>
      </c>
      <c r="AC1058" s="105">
        <f>IF(tech_base!$T154&gt;AC$905,"",AC2178+tech_proj!AC1678/(1-tech_proj!AC558))</f>
        <v>299.35712433680078</v>
      </c>
      <c r="AD1058" s="105">
        <f>IF(tech_base!$T154&gt;AD$905,"",AD2178+tech_proj!AD1678/(1-tech_proj!AD558))</f>
        <v>302.11245947712712</v>
      </c>
      <c r="AE1058" s="105">
        <f>IF(tech_base!$T154&gt;AE$905,"",AE2178+tech_proj!AE1678/(1-tech_proj!AE558))</f>
        <v>304.75008337147966</v>
      </c>
      <c r="AF1058" s="105">
        <f>IF(tech_base!$T154&gt;AF$905,"",AF2178+tech_proj!AF1678/(1-tech_proj!AF558))</f>
        <v>306.16994335845482</v>
      </c>
      <c r="AG1058" s="105">
        <f>IF(tech_base!$T154&gt;AG$905,"",AG2178+tech_proj!AG1678/(1-tech_proj!AG558))</f>
        <v>307.76420342790988</v>
      </c>
      <c r="AH1058" s="105">
        <f>IF(tech_base!$T154&gt;AH$905,"",AH2178+tech_proj!AH1678/(1-tech_proj!AH558))</f>
        <v>309.53226028152017</v>
      </c>
      <c r="AI1058" s="105">
        <f>IF(tech_base!$T154&gt;AI$905,"",AI2178+tech_proj!AI1678/(1-tech_proj!AI558))</f>
        <v>311.49109783816345</v>
      </c>
      <c r="AJ1058" s="105">
        <f>IF(tech_base!$T154&gt;AJ$905,"",AJ2178+tech_proj!AJ1678/(1-tech_proj!AJ558))</f>
        <v>313.67576444620943</v>
      </c>
      <c r="AK1058" s="105">
        <f>IF(tech_base!$T154&gt;AK$905,"",AK2178+tech_proj!AK1678/(1-tech_proj!AK558))</f>
        <v>316.12967176444755</v>
      </c>
      <c r="AL1058" s="105">
        <f>IF(tech_base!$T154&gt;AL$905,"",AL2178+tech_proj!AL1678/(1-tech_proj!AL558))</f>
        <v>318.76975885615246</v>
      </c>
      <c r="AM1058" s="105">
        <f>IF(tech_base!$T154&gt;AM$905,"",AM2178+tech_proj!AM1678/(1-tech_proj!AM558))</f>
        <v>321.49404858437049</v>
      </c>
      <c r="AN1058" s="105">
        <f>IF(tech_base!$T154&gt;AN$905,"",AN2178+tech_proj!AN1678/(1-tech_proj!AN558))</f>
        <v>324.26902164438235</v>
      </c>
      <c r="AO1058" s="105">
        <f>IF(tech_base!$T154&gt;AO$905,"",AO2178+tech_proj!AO1678/(1-tech_proj!AO558))</f>
        <v>324.66718839232163</v>
      </c>
      <c r="AP1058" s="105">
        <f>IF(tech_base!$T154&gt;AP$905,"",AP2178+tech_proj!AP1678/(1-tech_proj!AP558))</f>
        <v>325.700342304966</v>
      </c>
      <c r="AQ1058" s="105">
        <f>IF(tech_base!$T154&gt;AQ$905,"",AQ2178+tech_proj!AQ1678/(1-tech_proj!AQ558))</f>
        <v>326.78820862950448</v>
      </c>
      <c r="AR1058" s="105">
        <f>IF(tech_base!$T154&gt;AR$905,"",AR2178+tech_proj!AR1678/(1-tech_proj!AR558))</f>
        <v>328.971432025051</v>
      </c>
      <c r="AS1058" s="105">
        <f>IF(tech_base!$T154&gt;AS$905,"",AS2178+tech_proj!AS1678/(1-tech_proj!AS558))</f>
        <v>330.17979564530197</v>
      </c>
      <c r="AT1058" s="105">
        <f>IF(tech_base!$T154&gt;AT$905,"",AT2178+tech_proj!AT1678/(1-tech_proj!AT558))</f>
        <v>331.38778895790301</v>
      </c>
      <c r="AU1058" s="105">
        <f>IF(tech_base!$T154&gt;AU$905,"",AU2178+tech_proj!AU1678/(1-tech_proj!AU558))</f>
        <v>332.57351995386938</v>
      </c>
      <c r="AV1058" s="105">
        <f>IF(tech_base!$T154&gt;AV$905,"",AV2178+tech_proj!AV1678/(1-tech_proj!AV558))</f>
        <v>333.72535850697278</v>
      </c>
      <c r="AW1058" s="105">
        <f>IF(tech_base!$T154&gt;AW$905,"",AW2178+tech_proj!AW1678/(1-tech_proj!AW558))</f>
        <v>334.83468007756471</v>
      </c>
      <c r="AX1058" s="106">
        <f>IF(tech_base!$T154&gt;AX$905,"",AX2178+tech_proj!AX1678/(1-tech_proj!AX558))</f>
        <v>336.26005370864499</v>
      </c>
    </row>
    <row r="1059" spans="1:50" x14ac:dyDescent="0.25">
      <c r="A1059" s="356"/>
      <c r="B1059" s="376"/>
      <c r="C1059" s="378"/>
      <c r="D1059" s="2" t="s">
        <v>10</v>
      </c>
      <c r="E1059" s="160" t="str">
        <f>A1045&amp;"/"&amp;B1053&amp;"/"&amp;C1057&amp;"/"&amp;D1059</f>
        <v>Diesel oil fired power plants/Gas turbine /CHP/S</v>
      </c>
      <c r="F1059" s="76" t="str">
        <f>A1045</f>
        <v>Diesel oil fired power plants</v>
      </c>
      <c r="G1059" s="76" t="str">
        <f>B1053</f>
        <v xml:space="preserve">Gas turbine </v>
      </c>
      <c r="H1059" s="76" t="str">
        <f>C1057</f>
        <v>CHP</v>
      </c>
      <c r="I1059" s="161" t="str">
        <f t="shared" si="369"/>
        <v>S</v>
      </c>
      <c r="J1059" s="105">
        <f>IF(tech_base!$T155&gt;J$905,"",J2179+tech_proj!J1679/(1-tech_proj!J559))</f>
        <v>235.02436279967327</v>
      </c>
      <c r="K1059" s="105">
        <f>IF(tech_base!$T155&gt;K$905,"",K2179+tech_proj!K1679/(1-tech_proj!K559))</f>
        <v>277.15564395607151</v>
      </c>
      <c r="L1059" s="105">
        <f>IF(tech_base!$T155&gt;L$905,"",L2179+tech_proj!L1679/(1-tech_proj!L559))</f>
        <v>290.56781677440512</v>
      </c>
      <c r="M1059" s="105">
        <f>IF(tech_base!$T155&gt;M$905,"",M2179+tech_proj!M1679/(1-tech_proj!M559))</f>
        <v>280.83222252828813</v>
      </c>
      <c r="N1059" s="105">
        <f>IF(tech_base!$T155&gt;N$905,"",N2179+tech_proj!N1679/(1-tech_proj!N559))</f>
        <v>264.81730980531148</v>
      </c>
      <c r="O1059" s="105">
        <f>IF(tech_base!$T155&gt;O$905,"",O2179+tech_proj!O1679/(1-tech_proj!O559))</f>
        <v>208.57961049668344</v>
      </c>
      <c r="P1059" s="105">
        <f>IF(tech_base!$T155&gt;P$905,"",P2179+tech_proj!P1679/(1-tech_proj!P559))</f>
        <v>195.18345291095955</v>
      </c>
      <c r="Q1059" s="105">
        <f>IF(tech_base!$T155&gt;Q$905,"",Q2179+tech_proj!Q1679/(1-tech_proj!Q559))</f>
        <v>211.80039619876473</v>
      </c>
      <c r="R1059" s="105">
        <f>IF(tech_base!$T155&gt;R$905,"",R2179+tech_proj!R1679/(1-tech_proj!R559))</f>
        <v>226.66257794321388</v>
      </c>
      <c r="S1059" s="105">
        <f>IF(tech_base!$T155&gt;S$905,"",S2179+tech_proj!S1679/(1-tech_proj!S559))</f>
        <v>239.72427206928774</v>
      </c>
      <c r="T1059" s="105">
        <f>IF(tech_base!$T155&gt;T$905,"",T2179+tech_proj!T1679/(1-tech_proj!T559))</f>
        <v>252.32771510771968</v>
      </c>
      <c r="U1059" s="105">
        <f>IF(tech_base!$T155&gt;U$905,"",U2179+tech_proj!U1679/(1-tech_proj!U559))</f>
        <v>264.34464937145407</v>
      </c>
      <c r="V1059" s="105">
        <f>IF(tech_base!$T155&gt;V$905,"",V2179+tech_proj!V1679/(1-tech_proj!V559))</f>
        <v>272.47282557481088</v>
      </c>
      <c r="W1059" s="105">
        <f>IF(tech_base!$T155&gt;W$905,"",W2179+tech_proj!W1679/(1-tech_proj!W559))</f>
        <v>282.38197186090395</v>
      </c>
      <c r="X1059" s="105">
        <f>IF(tech_base!$T155&gt;X$905,"",X2179+tech_proj!X1679/(1-tech_proj!X559))</f>
        <v>291.00910445696189</v>
      </c>
      <c r="Y1059" s="105">
        <f>IF(tech_base!$T155&gt;Y$905,"",Y2179+tech_proj!Y1679/(1-tech_proj!Y559))</f>
        <v>298.36136016918908</v>
      </c>
      <c r="Z1059" s="105">
        <f>IF(tech_base!$T155&gt;Z$905,"",Z2179+tech_proj!Z1679/(1-tech_proj!Z559))</f>
        <v>303.15640076132627</v>
      </c>
      <c r="AA1059" s="105">
        <f>IF(tech_base!$T155&gt;AA$905,"",AA2179+tech_proj!AA1679/(1-tech_proj!AA559))</f>
        <v>307.51953121415977</v>
      </c>
      <c r="AB1059" s="105">
        <f>IF(tech_base!$T155&gt;AB$905,"",AB2179+tech_proj!AB1679/(1-tech_proj!AB559))</f>
        <v>310.57715587990771</v>
      </c>
      <c r="AC1059" s="105">
        <f>IF(tech_base!$T155&gt;AC$905,"",AC2179+tech_proj!AC1679/(1-tech_proj!AC559))</f>
        <v>315.21475723206009</v>
      </c>
      <c r="AD1059" s="105">
        <f>IF(tech_base!$T155&gt;AD$905,"",AD2179+tech_proj!AD1679/(1-tech_proj!AD559))</f>
        <v>318.1343434456561</v>
      </c>
      <c r="AE1059" s="105">
        <f>IF(tech_base!$T155&gt;AE$905,"",AE2179+tech_proj!AE1679/(1-tech_proj!AE559))</f>
        <v>320.93129294630899</v>
      </c>
      <c r="AF1059" s="105">
        <f>IF(tech_base!$T155&gt;AF$905,"",AF2179+tech_proj!AF1679/(1-tech_proj!AF559))</f>
        <v>322.44754584607466</v>
      </c>
      <c r="AG1059" s="105">
        <f>IF(tech_base!$T155&gt;AG$905,"",AG2179+tech_proj!AG1679/(1-tech_proj!AG559))</f>
        <v>324.14832830045606</v>
      </c>
      <c r="AH1059" s="105">
        <f>IF(tech_base!$T155&gt;AH$905,"",AH2179+tech_proj!AH1679/(1-tech_proj!AH559))</f>
        <v>326.03291448620627</v>
      </c>
      <c r="AI1059" s="105">
        <f>IF(tech_base!$T155&gt;AI$905,"",AI2179+tech_proj!AI1679/(1-tech_proj!AI559))</f>
        <v>328.11906300324824</v>
      </c>
      <c r="AJ1059" s="105">
        <f>IF(tech_base!$T155&gt;AJ$905,"",AJ2179+tech_proj!AJ1679/(1-tech_proj!AJ559))</f>
        <v>330.44352303083758</v>
      </c>
      <c r="AK1059" s="105">
        <f>IF(tech_base!$T155&gt;AK$905,"",AK2179+tech_proj!AK1679/(1-tech_proj!AK559))</f>
        <v>333.05182346429621</v>
      </c>
      <c r="AL1059" s="105">
        <f>IF(tech_base!$T155&gt;AL$905,"",AL2179+tech_proj!AL1679/(1-tech_proj!AL559))</f>
        <v>335.85627965656698</v>
      </c>
      <c r="AM1059" s="105">
        <f>IF(tech_base!$T155&gt;AM$905,"",AM2179+tech_proj!AM1679/(1-tech_proj!AM559))</f>
        <v>338.74922193585365</v>
      </c>
      <c r="AN1059" s="105">
        <f>IF(tech_base!$T155&gt;AN$905,"",AN2179+tech_proj!AN1679/(1-tech_proj!AN559))</f>
        <v>341.69501756248803</v>
      </c>
      <c r="AO1059" s="105">
        <f>IF(tech_base!$T155&gt;AO$905,"",AO2179+tech_proj!AO1679/(1-tech_proj!AO559))</f>
        <v>342.13642611438223</v>
      </c>
      <c r="AP1059" s="105">
        <f>IF(tech_base!$T155&gt;AP$905,"",AP2179+tech_proj!AP1679/(1-tech_proj!AP559))</f>
        <v>343.24511947921764</v>
      </c>
      <c r="AQ1059" s="105">
        <f>IF(tech_base!$T155&gt;AQ$905,"",AQ2179+tech_proj!AQ1679/(1-tech_proj!AQ559))</f>
        <v>344.40956094147879</v>
      </c>
      <c r="AR1059" s="105">
        <f>IF(tech_base!$T155&gt;AR$905,"",AR2179+tech_proj!AR1679/(1-tech_proj!AR559))</f>
        <v>346.72566287006651</v>
      </c>
      <c r="AS1059" s="105">
        <f>IF(tech_base!$T155&gt;AS$905,"",AS2179+tech_proj!AS1679/(1-tech_proj!AS559))</f>
        <v>348.01222072801323</v>
      </c>
      <c r="AT1059" s="105">
        <f>IF(tech_base!$T155&gt;AT$905,"",AT2179+tech_proj!AT1679/(1-tech_proj!AT559))</f>
        <v>349.29544544998907</v>
      </c>
      <c r="AU1059" s="105">
        <f>IF(tech_base!$T155&gt;AU$905,"",AU2179+tech_proj!AU1679/(1-tech_proj!AU559))</f>
        <v>350.55198673218638</v>
      </c>
      <c r="AV1059" s="105">
        <f>IF(tech_base!$T155&gt;AV$905,"",AV2179+tech_proj!AV1679/(1-tech_proj!AV559))</f>
        <v>351.76936167368791</v>
      </c>
      <c r="AW1059" s="105">
        <f>IF(tech_base!$T155&gt;AW$905,"",AW2179+tech_proj!AW1679/(1-tech_proj!AW559))</f>
        <v>352.93832282156677</v>
      </c>
      <c r="AX1059" s="106">
        <f>IF(tech_base!$T155&gt;AX$905,"",AX2179+tech_proj!AX1679/(1-tech_proj!AX559))</f>
        <v>354.43656094733268</v>
      </c>
    </row>
    <row r="1060" spans="1:50" x14ac:dyDescent="0.25">
      <c r="A1060" s="356"/>
      <c r="B1060" s="376"/>
      <c r="C1060" s="379"/>
      <c r="D1060" s="59" t="s">
        <v>20</v>
      </c>
      <c r="E1060" s="166" t="str">
        <f>A1045&amp;"/"&amp;B1053&amp;"/"&amp;C1057&amp;"/"&amp;D1060</f>
        <v>Diesel oil fired power plants/Gas turbine /CHP/XS</v>
      </c>
      <c r="F1060" s="79" t="str">
        <f>A1045</f>
        <v>Diesel oil fired power plants</v>
      </c>
      <c r="G1060" s="79" t="str">
        <f>B1053</f>
        <v xml:space="preserve">Gas turbine </v>
      </c>
      <c r="H1060" s="79" t="str">
        <f>C1057</f>
        <v>CHP</v>
      </c>
      <c r="I1060" s="167" t="str">
        <f t="shared" si="369"/>
        <v>XS</v>
      </c>
      <c r="J1060" s="111">
        <f>IF(tech_base!$T156&gt;J$905,"",J2180+tech_proj!J1680/(1-tech_proj!J560))</f>
        <v>248.09737664778214</v>
      </c>
      <c r="K1060" s="111">
        <f>IF(tech_base!$T156&gt;K$905,"",K2180+tech_proj!K1680/(1-tech_proj!K560))</f>
        <v>292.41768598866975</v>
      </c>
      <c r="L1060" s="111">
        <f>IF(tech_base!$T156&gt;L$905,"",L2180+tech_proj!L1680/(1-tech_proj!L560))</f>
        <v>306.52820522412742</v>
      </c>
      <c r="M1060" s="111">
        <f>IF(tech_base!$T156&gt;M$905,"",M2180+tech_proj!M1680/(1-tech_proj!M560))</f>
        <v>296.28911347690138</v>
      </c>
      <c r="N1060" s="111">
        <f>IF(tech_base!$T156&gt;N$905,"",N2180+tech_proj!N1680/(1-tech_proj!N560))</f>
        <v>279.44458475097929</v>
      </c>
      <c r="O1060" s="111">
        <f>IF(tech_base!$T156&gt;O$905,"",O2180+tech_proj!O1680/(1-tech_proj!O560))</f>
        <v>220.28751627761588</v>
      </c>
      <c r="P1060" s="111">
        <f>IF(tech_base!$T156&gt;P$905,"",P2180+tech_proj!P1680/(1-tech_proj!P560))</f>
        <v>206.19731355594186</v>
      </c>
      <c r="Q1060" s="111">
        <f>IF(tech_base!$T156&gt;Q$905,"",Q2180+tech_proj!Q1680/(1-tech_proj!Q560))</f>
        <v>223.67999940035429</v>
      </c>
      <c r="R1060" s="111">
        <f>IF(tech_base!$T156&gt;R$905,"",R2180+tech_proj!R1680/(1-tech_proj!R560))</f>
        <v>239.31728037479917</v>
      </c>
      <c r="S1060" s="111">
        <f>IF(tech_base!$T156&gt;S$905,"",S2180+tech_proj!S1680/(1-tech_proj!S560))</f>
        <v>253.06105732265965</v>
      </c>
      <c r="T1060" s="111">
        <f>IF(tech_base!$T156&gt;T$905,"",T2180+tech_proj!T1680/(1-tech_proj!T560))</f>
        <v>266.32337375023553</v>
      </c>
      <c r="U1060" s="111">
        <f>IF(tech_base!$T156&gt;U$905,"",U2180+tech_proj!U1680/(1-tech_proj!U560))</f>
        <v>278.96934872177661</v>
      </c>
      <c r="V1060" s="111">
        <f>IF(tech_base!$T156&gt;V$905,"",V2180+tech_proj!V1680/(1-tech_proj!V560))</f>
        <v>287.52492568185016</v>
      </c>
      <c r="W1060" s="111">
        <f>IF(tech_base!$T156&gt;W$905,"",W2180+tech_proj!W1680/(1-tech_proj!W560))</f>
        <v>297.95486224032942</v>
      </c>
      <c r="X1060" s="111">
        <f>IF(tech_base!$T156&gt;X$905,"",X2180+tech_proj!X1680/(1-tech_proj!X560))</f>
        <v>307.03682714181127</v>
      </c>
      <c r="Y1060" s="111">
        <f>IF(tech_base!$T156&gt;Y$905,"",Y2180+tech_proj!Y1680/(1-tech_proj!Y560))</f>
        <v>314.77832475444012</v>
      </c>
      <c r="Z1060" s="111">
        <f>IF(tech_base!$T156&gt;Z$905,"",Z2180+tech_proj!Z1680/(1-tech_proj!Z560))</f>
        <v>319.83016671254268</v>
      </c>
      <c r="AA1060" s="111">
        <f>IF(tech_base!$T156&gt;AA$905,"",AA2180+tech_proj!AA1680/(1-tech_proj!AA560))</f>
        <v>324.42836315910802</v>
      </c>
      <c r="AB1060" s="111">
        <f>IF(tech_base!$T156&gt;AB$905,"",AB2180+tech_proj!AB1680/(1-tech_proj!AB560))</f>
        <v>327.65376127094345</v>
      </c>
      <c r="AC1060" s="111">
        <f>IF(tech_base!$T156&gt;AC$905,"",AC2180+tech_proj!AC1680/(1-tech_proj!AC560))</f>
        <v>332.54240249752883</v>
      </c>
      <c r="AD1060" s="111">
        <f>IF(tech_base!$T156&gt;AD$905,"",AD2180+tech_proj!AD1680/(1-tech_proj!AD560))</f>
        <v>335.62422406513485</v>
      </c>
      <c r="AE1060" s="111">
        <f>IF(tech_base!$T156&gt;AE$905,"",AE2180+tech_proj!AE1680/(1-tech_proj!AE560))</f>
        <v>338.57785851531975</v>
      </c>
      <c r="AF1060" s="111">
        <f>IF(tech_base!$T156&gt;AF$905,"",AF2180+tech_proj!AF1680/(1-tech_proj!AF560))</f>
        <v>340.18469720511661</v>
      </c>
      <c r="AG1060" s="111">
        <f>IF(tech_base!$T156&gt;AG$905,"",AG2180+tech_proj!AG1680/(1-tech_proj!AG560))</f>
        <v>341.98652138965195</v>
      </c>
      <c r="AH1060" s="111">
        <f>IF(tech_base!$T156&gt;AH$905,"",AH2180+tech_proj!AH1680/(1-tech_proj!AH560))</f>
        <v>343.98258588270318</v>
      </c>
      <c r="AI1060" s="111">
        <f>IF(tech_base!$T156&gt;AI$905,"",AI2180+tech_proj!AI1680/(1-tech_proj!AI560))</f>
        <v>346.19158769996284</v>
      </c>
      <c r="AJ1060" s="111">
        <f>IF(tech_base!$T156&gt;AJ$905,"",AJ2180+tech_proj!AJ1680/(1-tech_proj!AJ560))</f>
        <v>348.65220011259566</v>
      </c>
      <c r="AK1060" s="111">
        <f>IF(tech_base!$T156&gt;AK$905,"",AK2180+tech_proj!AK1680/(1-tech_proj!AK560))</f>
        <v>351.41232749410034</v>
      </c>
      <c r="AL1060" s="111">
        <f>IF(tech_base!$T156&gt;AL$905,"",AL2180+tech_proj!AL1680/(1-tech_proj!AL560))</f>
        <v>354.37965076819904</v>
      </c>
      <c r="AM1060" s="111">
        <f>IF(tech_base!$T156&gt;AM$905,"",AM2180+tech_proj!AM1680/(1-tech_proj!AM560))</f>
        <v>357.44077698218081</v>
      </c>
      <c r="AN1060" s="111">
        <f>IF(tech_base!$T156&gt;AN$905,"",AN2180+tech_proj!AN1680/(1-tech_proj!AN560))</f>
        <v>360.55809659350626</v>
      </c>
      <c r="AO1060" s="111">
        <f>IF(tech_base!$T156&gt;AO$905,"",AO2180+tech_proj!AO1680/(1-tech_proj!AO560))</f>
        <v>361.03949843464466</v>
      </c>
      <c r="AP1060" s="111">
        <f>IF(tech_base!$T156&gt;AP$905,"",AP2180+tech_proj!AP1680/(1-tech_proj!AP560))</f>
        <v>362.22338272014372</v>
      </c>
      <c r="AQ1060" s="111">
        <f>IF(tech_base!$T156&gt;AQ$905,"",AQ2180+tech_proj!AQ1680/(1-tech_proj!AQ560))</f>
        <v>363.46583262339624</v>
      </c>
      <c r="AR1060" s="111">
        <f>IF(tech_base!$T156&gt;AR$905,"",AR2180+tech_proj!AR1680/(1-tech_proj!AR560))</f>
        <v>365.92044675438973</v>
      </c>
      <c r="AS1060" s="111">
        <f>IF(tech_base!$T156&gt;AS$905,"",AS2180+tech_proj!AS1680/(1-tech_proj!AS560))</f>
        <v>367.29059839889561</v>
      </c>
      <c r="AT1060" s="111">
        <f>IF(tech_base!$T156&gt;AT$905,"",AT2180+tech_proj!AT1680/(1-tech_proj!AT560))</f>
        <v>368.65640592525926</v>
      </c>
      <c r="AU1060" s="111">
        <f>IF(tech_base!$T156&gt;AU$905,"",AU2180+tech_proj!AU1680/(1-tech_proj!AU560))</f>
        <v>369.99300974389558</v>
      </c>
      <c r="AV1060" s="111">
        <f>IF(tech_base!$T156&gt;AV$905,"",AV2180+tech_proj!AV1680/(1-tech_proj!AV560))</f>
        <v>371.2869859301029</v>
      </c>
      <c r="AW1060" s="111">
        <f>IF(tech_base!$T156&gt;AW$905,"",AW2180+tech_proj!AW1680/(1-tech_proj!AW560))</f>
        <v>372.52832072099687</v>
      </c>
      <c r="AX1060" s="112">
        <f>IF(tech_base!$T156&gt;AX$905,"",AX2180+tech_proj!AX1680/(1-tech_proj!AX560))</f>
        <v>374.11448017521212</v>
      </c>
    </row>
    <row r="1061" spans="1:50" x14ac:dyDescent="0.25">
      <c r="A1061" s="356"/>
      <c r="B1061" s="376"/>
      <c r="C1061" s="361" t="s">
        <v>15</v>
      </c>
      <c r="D1061" s="58" t="s">
        <v>7</v>
      </c>
      <c r="E1061" s="164" t="str">
        <f>A1045&amp;"/"&amp;B1053&amp;"/"&amp;C1061&amp;"/"&amp;D1061</f>
        <v>Diesel oil fired power plants/Gas turbine /Electricity only with CCS/L</v>
      </c>
      <c r="F1061" s="78" t="str">
        <f>A1045</f>
        <v>Diesel oil fired power plants</v>
      </c>
      <c r="G1061" s="78" t="str">
        <f>B1053</f>
        <v xml:space="preserve">Gas turbine </v>
      </c>
      <c r="H1061" s="78" t="str">
        <f>C1061</f>
        <v>Electricity only with CCS</v>
      </c>
      <c r="I1061" s="165" t="str">
        <f t="shared" si="369"/>
        <v>L</v>
      </c>
      <c r="J1061" s="109" t="str">
        <f>IF(tech_base!$T157&gt;J$905,"",J2181+tech_proj!J1681/(1-tech_proj!J561))</f>
        <v/>
      </c>
      <c r="K1061" s="109" t="str">
        <f>IF(tech_base!$T157&gt;K$905,"",K2181+tech_proj!K1681/(1-tech_proj!K561))</f>
        <v/>
      </c>
      <c r="L1061" s="109" t="str">
        <f>IF(tech_base!$T157&gt;L$905,"",L2181+tech_proj!L1681/(1-tech_proj!L561))</f>
        <v/>
      </c>
      <c r="M1061" s="109" t="str">
        <f>IF(tech_base!$T157&gt;M$905,"",M2181+tech_proj!M1681/(1-tech_proj!M561))</f>
        <v/>
      </c>
      <c r="N1061" s="109" t="str">
        <f>IF(tech_base!$T157&gt;N$905,"",N2181+tech_proj!N1681/(1-tech_proj!N561))</f>
        <v/>
      </c>
      <c r="O1061" s="109" t="str">
        <f>IF(tech_base!$T157&gt;O$905,"",O2181+tech_proj!O1681/(1-tech_proj!O561))</f>
        <v/>
      </c>
      <c r="P1061" s="109" t="str">
        <f>IF(tech_base!$T157&gt;P$905,"",P2181+tech_proj!P1681/(1-tech_proj!P561))</f>
        <v/>
      </c>
      <c r="Q1061" s="109" t="str">
        <f>IF(tech_base!$T157&gt;Q$905,"",Q2181+tech_proj!Q1681/(1-tech_proj!Q561))</f>
        <v/>
      </c>
      <c r="R1061" s="109" t="str">
        <f>IF(tech_base!$T157&gt;R$905,"",R2181+tech_proj!R1681/(1-tech_proj!R561))</f>
        <v/>
      </c>
      <c r="S1061" s="109" t="str">
        <f>IF(tech_base!$T157&gt;S$905,"",S2181+tech_proj!S1681/(1-tech_proj!S561))</f>
        <v/>
      </c>
      <c r="T1061" s="109" t="str">
        <f>IF(tech_base!$T157&gt;T$905,"",T2181+tech_proj!T1681/(1-tech_proj!T561))</f>
        <v/>
      </c>
      <c r="U1061" s="109" t="str">
        <f>IF(tech_base!$T157&gt;U$905,"",U2181+tech_proj!U1681/(1-tech_proj!U561))</f>
        <v/>
      </c>
      <c r="V1061" s="109" t="str">
        <f>IF(tech_base!$T157&gt;V$905,"",V2181+tech_proj!V1681/(1-tech_proj!V561))</f>
        <v/>
      </c>
      <c r="W1061" s="109" t="str">
        <f>IF(tech_base!$T157&gt;W$905,"",W2181+tech_proj!W1681/(1-tech_proj!W561))</f>
        <v/>
      </c>
      <c r="X1061" s="109" t="str">
        <f>IF(tech_base!$T157&gt;X$905,"",X2181+tech_proj!X1681/(1-tech_proj!X561))</f>
        <v/>
      </c>
      <c r="Y1061" s="109" t="str">
        <f>IF(tech_base!$T157&gt;Y$905,"",Y2181+tech_proj!Y1681/(1-tech_proj!Y561))</f>
        <v/>
      </c>
      <c r="Z1061" s="109" t="str">
        <f>IF(tech_base!$T157&gt;Z$905,"",Z2181+tech_proj!Z1681/(1-tech_proj!Z561))</f>
        <v/>
      </c>
      <c r="AA1061" s="109" t="str">
        <f>IF(tech_base!$T157&gt;AA$905,"",AA2181+tech_proj!AA1681/(1-tech_proj!AA561))</f>
        <v/>
      </c>
      <c r="AB1061" s="109" t="str">
        <f>IF(tech_base!$T157&gt;AB$905,"",AB2181+tech_proj!AB1681/(1-tech_proj!AB561))</f>
        <v/>
      </c>
      <c r="AC1061" s="109" t="str">
        <f>IF(tech_base!$T157&gt;AC$905,"",AC2181+tech_proj!AC1681/(1-tech_proj!AC561))</f>
        <v/>
      </c>
      <c r="AD1061" s="109" t="str">
        <f>IF(tech_base!$T157&gt;AD$905,"",AD2181+tech_proj!AD1681/(1-tech_proj!AD561))</f>
        <v/>
      </c>
      <c r="AE1061" s="109">
        <f>IF(tech_base!$T157&gt;AE$905,"",AE2181+tech_proj!AE1681/(1-tech_proj!AE561))</f>
        <v>315.25610944035503</v>
      </c>
      <c r="AF1061" s="109">
        <f>IF(tech_base!$T157&gt;AF$905,"",AF2181+tech_proj!AF1681/(1-tech_proj!AF561))</f>
        <v>316.77744647861198</v>
      </c>
      <c r="AG1061" s="109">
        <f>IF(tech_base!$T157&gt;AG$905,"",AG2181+tech_proj!AG1681/(1-tech_proj!AG561))</f>
        <v>318.4827626826617</v>
      </c>
      <c r="AH1061" s="109">
        <f>IF(tech_base!$T157&gt;AH$905,"",AH2181+tech_proj!AH1681/(1-tech_proj!AH561))</f>
        <v>320.3716194620327</v>
      </c>
      <c r="AI1061" s="109">
        <f>IF(tech_base!$T157&gt;AI$905,"",AI2181+tech_proj!AI1681/(1-tech_proj!AI561))</f>
        <v>322.46166932768358</v>
      </c>
      <c r="AJ1061" s="109">
        <f>IF(tech_base!$T157&gt;AJ$905,"",AJ2181+tech_proj!AJ1681/(1-tech_proj!AJ561))</f>
        <v>324.7891614512464</v>
      </c>
      <c r="AK1061" s="109">
        <f>IF(tech_base!$T157&gt;AK$905,"",AK2181+tech_proj!AK1681/(1-tech_proj!AK561))</f>
        <v>327.39895924815886</v>
      </c>
      <c r="AL1061" s="109">
        <f>IF(tech_base!$T157&gt;AL$905,"",AL2181+tech_proj!AL1681/(1-tech_proj!AL561))</f>
        <v>330.20552749088375</v>
      </c>
      <c r="AM1061" s="109">
        <f>IF(tech_base!$T157&gt;AM$905,"",AM2181+tech_proj!AM1681/(1-tech_proj!AM561))</f>
        <v>333.10368651335881</v>
      </c>
      <c r="AN1061" s="109">
        <f>IF(tech_base!$T157&gt;AN$905,"",AN2181+tech_proj!AN1681/(1-tech_proj!AN561))</f>
        <v>336.05870588726191</v>
      </c>
      <c r="AO1061" s="109">
        <f>IF(tech_base!$T157&gt;AO$905,"",AO2181+tech_proj!AO1681/(1-tech_proj!AO561))</f>
        <v>336.56551362851957</v>
      </c>
      <c r="AP1061" s="109">
        <f>IF(tech_base!$T157&gt;AP$905,"",AP2181+tech_proj!AP1681/(1-tech_proj!AP561))</f>
        <v>337.73030047726701</v>
      </c>
      <c r="AQ1061" s="109">
        <f>IF(tech_base!$T157&gt;AQ$905,"",AQ2181+tech_proj!AQ1681/(1-tech_proj!AQ561))</f>
        <v>338.95405679581933</v>
      </c>
      <c r="AR1061" s="109">
        <f>IF(tech_base!$T157&gt;AR$905,"",AR2181+tech_proj!AR1681/(1-tech_proj!AR561))</f>
        <v>341.31103214330011</v>
      </c>
      <c r="AS1061" s="109">
        <f>IF(tech_base!$T157&gt;AS$905,"",AS2181+tech_proj!AS1681/(1-tech_proj!AS561))</f>
        <v>342.66304034657776</v>
      </c>
      <c r="AT1061" s="109">
        <f>IF(tech_base!$T157&gt;AT$905,"",AT2181+tech_proj!AT1681/(1-tech_proj!AT561))</f>
        <v>344.01558839377674</v>
      </c>
      <c r="AU1061" s="109">
        <f>IF(tech_base!$T157&gt;AU$905,"",AU2181+tech_proj!AU1681/(1-tech_proj!AU561))</f>
        <v>345.34542864782014</v>
      </c>
      <c r="AV1061" s="109">
        <f>IF(tech_base!$T157&gt;AV$905,"",AV2181+tech_proj!AV1681/(1-tech_proj!AV561))</f>
        <v>346.63988752232598</v>
      </c>
      <c r="AW1061" s="109">
        <f>IF(tech_base!$T157&gt;AW$905,"",AW2181+tech_proj!AW1681/(1-tech_proj!AW561))</f>
        <v>347.88939120777582</v>
      </c>
      <c r="AX1061" s="110">
        <f>IF(tech_base!$T157&gt;AX$905,"",AX2181+tech_proj!AX1681/(1-tech_proj!AX561))</f>
        <v>349.46424355382345</v>
      </c>
    </row>
    <row r="1062" spans="1:50" x14ac:dyDescent="0.25">
      <c r="A1062" s="356"/>
      <c r="B1062" s="376"/>
      <c r="C1062" s="379"/>
      <c r="D1062" s="59" t="s">
        <v>8</v>
      </c>
      <c r="E1062" s="166" t="str">
        <f>A1045&amp;"/"&amp;B1053&amp;"/"&amp;C1061&amp;"/"&amp;D1062</f>
        <v>Diesel oil fired power plants/Gas turbine /Electricity only with CCS/M</v>
      </c>
      <c r="F1062" s="79" t="str">
        <f>A1045</f>
        <v>Diesel oil fired power plants</v>
      </c>
      <c r="G1062" s="79" t="str">
        <f>B1053</f>
        <v xml:space="preserve">Gas turbine </v>
      </c>
      <c r="H1062" s="79" t="str">
        <f>C1061</f>
        <v>Electricity only with CCS</v>
      </c>
      <c r="I1062" s="167" t="str">
        <f t="shared" si="369"/>
        <v>M</v>
      </c>
      <c r="J1062" s="111" t="str">
        <f>IF(tech_base!$T158&gt;J$905,"",J2182+tech_proj!J1682/(1-tech_proj!J562))</f>
        <v/>
      </c>
      <c r="K1062" s="111" t="str">
        <f>IF(tech_base!$T158&gt;K$905,"",K2182+tech_proj!K1682/(1-tech_proj!K562))</f>
        <v/>
      </c>
      <c r="L1062" s="111" t="str">
        <f>IF(tech_base!$T158&gt;L$905,"",L2182+tech_proj!L1682/(1-tech_proj!L562))</f>
        <v/>
      </c>
      <c r="M1062" s="111" t="str">
        <f>IF(tech_base!$T158&gt;M$905,"",M2182+tech_proj!M1682/(1-tech_proj!M562))</f>
        <v/>
      </c>
      <c r="N1062" s="111" t="str">
        <f>IF(tech_base!$T158&gt;N$905,"",N2182+tech_proj!N1682/(1-tech_proj!N562))</f>
        <v/>
      </c>
      <c r="O1062" s="111" t="str">
        <f>IF(tech_base!$T158&gt;O$905,"",O2182+tech_proj!O1682/(1-tech_proj!O562))</f>
        <v/>
      </c>
      <c r="P1062" s="111" t="str">
        <f>IF(tech_base!$T158&gt;P$905,"",P2182+tech_proj!P1682/(1-tech_proj!P562))</f>
        <v/>
      </c>
      <c r="Q1062" s="111" t="str">
        <f>IF(tech_base!$T158&gt;Q$905,"",Q2182+tech_proj!Q1682/(1-tech_proj!Q562))</f>
        <v/>
      </c>
      <c r="R1062" s="111" t="str">
        <f>IF(tech_base!$T158&gt;R$905,"",R2182+tech_proj!R1682/(1-tech_proj!R562))</f>
        <v/>
      </c>
      <c r="S1062" s="111" t="str">
        <f>IF(tech_base!$T158&gt;S$905,"",S2182+tech_proj!S1682/(1-tech_proj!S562))</f>
        <v/>
      </c>
      <c r="T1062" s="111" t="str">
        <f>IF(tech_base!$T158&gt;T$905,"",T2182+tech_proj!T1682/(1-tech_proj!T562))</f>
        <v/>
      </c>
      <c r="U1062" s="111" t="str">
        <f>IF(tech_base!$T158&gt;U$905,"",U2182+tech_proj!U1682/(1-tech_proj!U562))</f>
        <v/>
      </c>
      <c r="V1062" s="111" t="str">
        <f>IF(tech_base!$T158&gt;V$905,"",V2182+tech_proj!V1682/(1-tech_proj!V562))</f>
        <v/>
      </c>
      <c r="W1062" s="111" t="str">
        <f>IF(tech_base!$T158&gt;W$905,"",W2182+tech_proj!W1682/(1-tech_proj!W562))</f>
        <v/>
      </c>
      <c r="X1062" s="111" t="str">
        <f>IF(tech_base!$T158&gt;X$905,"",X2182+tech_proj!X1682/(1-tech_proj!X562))</f>
        <v/>
      </c>
      <c r="Y1062" s="111" t="str">
        <f>IF(tech_base!$T158&gt;Y$905,"",Y2182+tech_proj!Y1682/(1-tech_proj!Y562))</f>
        <v/>
      </c>
      <c r="Z1062" s="111" t="str">
        <f>IF(tech_base!$T158&gt;Z$905,"",Z2182+tech_proj!Z1682/(1-tech_proj!Z562))</f>
        <v/>
      </c>
      <c r="AA1062" s="111" t="str">
        <f>IF(tech_base!$T158&gt;AA$905,"",AA2182+tech_proj!AA1682/(1-tech_proj!AA562))</f>
        <v/>
      </c>
      <c r="AB1062" s="111" t="str">
        <f>IF(tech_base!$T158&gt;AB$905,"",AB2182+tech_proj!AB1682/(1-tech_proj!AB562))</f>
        <v/>
      </c>
      <c r="AC1062" s="111" t="str">
        <f>IF(tech_base!$T158&gt;AC$905,"",AC2182+tech_proj!AC1682/(1-tech_proj!AC562))</f>
        <v/>
      </c>
      <c r="AD1062" s="111" t="str">
        <f>IF(tech_base!$T158&gt;AD$905,"",AD2182+tech_proj!AD1682/(1-tech_proj!AD562))</f>
        <v/>
      </c>
      <c r="AE1062" s="111">
        <f>IF(tech_base!$T158&gt;AE$905,"",AE2182+tech_proj!AE1682/(1-tech_proj!AE562))</f>
        <v>334.73242277322214</v>
      </c>
      <c r="AF1062" s="111">
        <f>IF(tech_base!$T158&gt;AF$905,"",AF2182+tech_proj!AF1682/(1-tech_proj!AF562))</f>
        <v>336.34348774060072</v>
      </c>
      <c r="AG1062" s="111">
        <f>IF(tech_base!$T158&gt;AG$905,"",AG2182+tech_proj!AG1682/(1-tech_proj!AG562))</f>
        <v>338.14938290094943</v>
      </c>
      <c r="AH1062" s="111">
        <f>IF(tech_base!$T158&gt;AH$905,"",AH2182+tech_proj!AH1682/(1-tech_proj!AH562))</f>
        <v>340.14964379588343</v>
      </c>
      <c r="AI1062" s="111">
        <f>IF(tech_base!$T158&gt;AI$905,"",AI2182+tech_proj!AI1682/(1-tech_proj!AI562))</f>
        <v>342.36296407531489</v>
      </c>
      <c r="AJ1062" s="111">
        <f>IF(tech_base!$T158&gt;AJ$905,"",AJ2182+tech_proj!AJ1682/(1-tech_proj!AJ562))</f>
        <v>344.82773087440495</v>
      </c>
      <c r="AK1062" s="111">
        <f>IF(tech_base!$T158&gt;AK$905,"",AK2182+tech_proj!AK1682/(1-tech_proj!AK562))</f>
        <v>347.591453637222</v>
      </c>
      <c r="AL1062" s="111">
        <f>IF(tech_base!$T158&gt;AL$905,"",AL2182+tech_proj!AL1682/(1-tech_proj!AL562))</f>
        <v>350.56355229827329</v>
      </c>
      <c r="AM1062" s="111">
        <f>IF(tech_base!$T158&gt;AM$905,"",AM2182+tech_proj!AM1682/(1-tech_proj!AM562))</f>
        <v>353.63264373139276</v>
      </c>
      <c r="AN1062" s="111">
        <f>IF(tech_base!$T158&gt;AN$905,"",AN2182+tech_proj!AN1682/(1-tech_proj!AN562))</f>
        <v>356.76194911968116</v>
      </c>
      <c r="AO1062" s="111">
        <f>IF(tech_base!$T158&gt;AO$905,"",AO2182+tech_proj!AO1682/(1-tech_proj!AO562))</f>
        <v>357.29864820515928</v>
      </c>
      <c r="AP1062" s="111">
        <f>IF(tech_base!$T158&gt;AP$905,"",AP2182+tech_proj!AP1682/(1-tech_proj!AP562))</f>
        <v>358.53213377692333</v>
      </c>
      <c r="AQ1062" s="111">
        <f>IF(tech_base!$T158&gt;AQ$905,"",AQ2182+tech_proj!AQ1682/(1-tech_proj!AQ562))</f>
        <v>359.82806681730125</v>
      </c>
      <c r="AR1062" s="111">
        <f>IF(tech_base!$T158&gt;AR$905,"",AR2182+tech_proj!AR1682/(1-tech_proj!AR562))</f>
        <v>362.32405575059624</v>
      </c>
      <c r="AS1062" s="111">
        <f>IF(tech_base!$T158&gt;AS$905,"",AS2182+tech_proj!AS1682/(1-tech_proj!AS562))</f>
        <v>363.75580492723157</v>
      </c>
      <c r="AT1062" s="111">
        <f>IF(tech_base!$T158&gt;AT$905,"",AT2182+tech_proj!AT1682/(1-tech_proj!AT562))</f>
        <v>365.18812578759469</v>
      </c>
      <c r="AU1062" s="111">
        <f>IF(tech_base!$T158&gt;AU$905,"",AU2182+tech_proj!AU1682/(1-tech_proj!AU562))</f>
        <v>366.59639955706382</v>
      </c>
      <c r="AV1062" s="111">
        <f>IF(tech_base!$T158&gt;AV$905,"",AV2182+tech_proj!AV1682/(1-tech_proj!AV562))</f>
        <v>367.96720516554234</v>
      </c>
      <c r="AW1062" s="111">
        <f>IF(tech_base!$T158&gt;AW$905,"",AW2182+tech_proj!AW1682/(1-tech_proj!AW562))</f>
        <v>369.29040414355774</v>
      </c>
      <c r="AX1062" s="112">
        <f>IF(tech_base!$T158&gt;AX$905,"",AX2182+tech_proj!AX1682/(1-tech_proj!AX562))</f>
        <v>370.95814073295821</v>
      </c>
    </row>
    <row r="1063" spans="1:50" x14ac:dyDescent="0.25">
      <c r="A1063" s="356"/>
      <c r="B1063" s="376"/>
      <c r="C1063" s="361" t="s">
        <v>16</v>
      </c>
      <c r="D1063" s="2" t="s">
        <v>7</v>
      </c>
      <c r="E1063" s="160" t="str">
        <f>A1045&amp;"/"&amp;B1053&amp;"/"&amp;C1063&amp;"/"&amp;D1063</f>
        <v>Diesel oil fired power plants/Gas turbine /CHP with CCS/L</v>
      </c>
      <c r="F1063" s="76" t="str">
        <f>A1045</f>
        <v>Diesel oil fired power plants</v>
      </c>
      <c r="G1063" s="76" t="str">
        <f>B1053</f>
        <v xml:space="preserve">Gas turbine </v>
      </c>
      <c r="H1063" s="76" t="str">
        <f>C1063</f>
        <v>CHP with CCS</v>
      </c>
      <c r="I1063" s="161" t="str">
        <f t="shared" si="369"/>
        <v>L</v>
      </c>
      <c r="J1063" s="105" t="str">
        <f>IF(tech_base!$T159&gt;J$905,"",J2183+tech_proj!J1683/(1-tech_proj!J563))</f>
        <v/>
      </c>
      <c r="K1063" s="105" t="str">
        <f>IF(tech_base!$T159&gt;K$905,"",K2183+tech_proj!K1683/(1-tech_proj!K563))</f>
        <v/>
      </c>
      <c r="L1063" s="105" t="str">
        <f>IF(tech_base!$T159&gt;L$905,"",L2183+tech_proj!L1683/(1-tech_proj!L563))</f>
        <v/>
      </c>
      <c r="M1063" s="105" t="str">
        <f>IF(tech_base!$T159&gt;M$905,"",M2183+tech_proj!M1683/(1-tech_proj!M563))</f>
        <v/>
      </c>
      <c r="N1063" s="105" t="str">
        <f>IF(tech_base!$T159&gt;N$905,"",N2183+tech_proj!N1683/(1-tech_proj!N563))</f>
        <v/>
      </c>
      <c r="O1063" s="105" t="str">
        <f>IF(tech_base!$T159&gt;O$905,"",O2183+tech_proj!O1683/(1-tech_proj!O563))</f>
        <v/>
      </c>
      <c r="P1063" s="105" t="str">
        <f>IF(tech_base!$T159&gt;P$905,"",P2183+tech_proj!P1683/(1-tech_proj!P563))</f>
        <v/>
      </c>
      <c r="Q1063" s="105" t="str">
        <f>IF(tech_base!$T159&gt;Q$905,"",Q2183+tech_proj!Q1683/(1-tech_proj!Q563))</f>
        <v/>
      </c>
      <c r="R1063" s="105" t="str">
        <f>IF(tech_base!$T159&gt;R$905,"",R2183+tech_proj!R1683/(1-tech_proj!R563))</f>
        <v/>
      </c>
      <c r="S1063" s="105" t="str">
        <f>IF(tech_base!$T159&gt;S$905,"",S2183+tech_proj!S1683/(1-tech_proj!S563))</f>
        <v/>
      </c>
      <c r="T1063" s="105" t="str">
        <f>IF(tech_base!$T159&gt;T$905,"",T2183+tech_proj!T1683/(1-tech_proj!T563))</f>
        <v/>
      </c>
      <c r="U1063" s="105" t="str">
        <f>IF(tech_base!$T159&gt;U$905,"",U2183+tech_proj!U1683/(1-tech_proj!U563))</f>
        <v/>
      </c>
      <c r="V1063" s="105" t="str">
        <f>IF(tech_base!$T159&gt;V$905,"",V2183+tech_proj!V1683/(1-tech_proj!V563))</f>
        <v/>
      </c>
      <c r="W1063" s="105" t="str">
        <f>IF(tech_base!$T159&gt;W$905,"",W2183+tech_proj!W1683/(1-tech_proj!W563))</f>
        <v/>
      </c>
      <c r="X1063" s="105" t="str">
        <f>IF(tech_base!$T159&gt;X$905,"",X2183+tech_proj!X1683/(1-tech_proj!X563))</f>
        <v/>
      </c>
      <c r="Y1063" s="105" t="str">
        <f>IF(tech_base!$T159&gt;Y$905,"",Y2183+tech_proj!Y1683/(1-tech_proj!Y563))</f>
        <v/>
      </c>
      <c r="Z1063" s="105" t="str">
        <f>IF(tech_base!$T159&gt;Z$905,"",Z2183+tech_proj!Z1683/(1-tech_proj!Z563))</f>
        <v/>
      </c>
      <c r="AA1063" s="105" t="str">
        <f>IF(tech_base!$T159&gt;AA$905,"",AA2183+tech_proj!AA1683/(1-tech_proj!AA563))</f>
        <v/>
      </c>
      <c r="AB1063" s="105" t="str">
        <f>IF(tech_base!$T159&gt;AB$905,"",AB2183+tech_proj!AB1683/(1-tech_proj!AB563))</f>
        <v/>
      </c>
      <c r="AC1063" s="105" t="str">
        <f>IF(tech_base!$T159&gt;AC$905,"",AC2183+tech_proj!AC1683/(1-tech_proj!AC563))</f>
        <v/>
      </c>
      <c r="AD1063" s="105" t="str">
        <f>IF(tech_base!$T159&gt;AD$905,"",AD2183+tech_proj!AD1683/(1-tech_proj!AD563))</f>
        <v/>
      </c>
      <c r="AE1063" s="105">
        <f>IF(tech_base!$T159&gt;AE$905,"",AE2183+tech_proj!AE1683/(1-tech_proj!AE563))</f>
        <v>353.19883043586452</v>
      </c>
      <c r="AF1063" s="105">
        <f>IF(tech_base!$T159&gt;AF$905,"",AF2183+tech_proj!AF1683/(1-tech_proj!AF563))</f>
        <v>354.90117128593073</v>
      </c>
      <c r="AG1063" s="105">
        <f>IF(tech_base!$T159&gt;AG$905,"",AG2183+tech_proj!AG1683/(1-tech_proj!AG563))</f>
        <v>356.80938055411491</v>
      </c>
      <c r="AH1063" s="105">
        <f>IF(tech_base!$T159&gt;AH$905,"",AH2183+tech_proj!AH1683/(1-tech_proj!AH563))</f>
        <v>358.92296746785485</v>
      </c>
      <c r="AI1063" s="105">
        <f>IF(tech_base!$T159&gt;AI$905,"",AI2183+tech_proj!AI1683/(1-tech_proj!AI563))</f>
        <v>361.26168477736661</v>
      </c>
      <c r="AJ1063" s="105">
        <f>IF(tech_base!$T159&gt;AJ$905,"",AJ2183+tech_proj!AJ1683/(1-tech_proj!AJ563))</f>
        <v>363.86609446470851</v>
      </c>
      <c r="AK1063" s="105">
        <f>IF(tech_base!$T159&gt;AK$905,"",AK2183+tech_proj!AK1683/(1-tech_proj!AK563))</f>
        <v>366.78639765090253</v>
      </c>
      <c r="AL1063" s="105">
        <f>IF(tech_base!$T159&gt;AL$905,"",AL2183+tech_proj!AL1683/(1-tech_proj!AL563))</f>
        <v>369.92688240079275</v>
      </c>
      <c r="AM1063" s="105">
        <f>IF(tech_base!$T159&gt;AM$905,"",AM2183+tech_proj!AM1683/(1-tech_proj!AM563))</f>
        <v>373.16985510827385</v>
      </c>
      <c r="AN1063" s="105">
        <f>IF(tech_base!$T159&gt;AN$905,"",AN2183+tech_proj!AN1683/(1-tech_proj!AN563))</f>
        <v>376.4764532298156</v>
      </c>
      <c r="AO1063" s="105">
        <f>IF(tech_base!$T159&gt;AO$905,"",AO2183+tech_proj!AO1683/(1-tech_proj!AO563))</f>
        <v>377.04355933410221</v>
      </c>
      <c r="AP1063" s="105">
        <f>IF(tech_base!$T159&gt;AP$905,"",AP2183+tech_proj!AP1683/(1-tech_proj!AP563))</f>
        <v>378.34692879424131</v>
      </c>
      <c r="AQ1063" s="105">
        <f>IF(tech_base!$T159&gt;AQ$905,"",AQ2183+tech_proj!AQ1683/(1-tech_proj!AQ563))</f>
        <v>379.71628372297243</v>
      </c>
      <c r="AR1063" s="105">
        <f>IF(tech_base!$T159&gt;AR$905,"",AR2183+tech_proj!AR1683/(1-tech_proj!AR563))</f>
        <v>382.35368445385359</v>
      </c>
      <c r="AS1063" s="105">
        <f>IF(tech_base!$T159&gt;AS$905,"",AS2183+tech_proj!AS1683/(1-tech_proj!AS563))</f>
        <v>383.86655026608759</v>
      </c>
      <c r="AT1063" s="105">
        <f>IF(tech_base!$T159&gt;AT$905,"",AT2183+tech_proj!AT1683/(1-tech_proj!AT563))</f>
        <v>385.38002015114483</v>
      </c>
      <c r="AU1063" s="105">
        <f>IF(tech_base!$T159&gt;AU$905,"",AU2183+tech_proj!AU1683/(1-tech_proj!AU563))</f>
        <v>386.86808054249263</v>
      </c>
      <c r="AV1063" s="105">
        <f>IF(tech_base!$T159&gt;AV$905,"",AV2183+tech_proj!AV1683/(1-tech_proj!AV563))</f>
        <v>388.31654999100272</v>
      </c>
      <c r="AW1063" s="105">
        <f>IF(tech_base!$T159&gt;AW$905,"",AW2183+tech_proj!AW1683/(1-tech_proj!AW563))</f>
        <v>389.71471562594093</v>
      </c>
      <c r="AX1063" s="106">
        <f>IF(tech_base!$T159&gt;AX$905,"",AX2183+tech_proj!AX1683/(1-tech_proj!AX563))</f>
        <v>391.47693886384434</v>
      </c>
    </row>
    <row r="1064" spans="1:50" x14ac:dyDescent="0.25">
      <c r="A1064" s="356"/>
      <c r="B1064" s="380"/>
      <c r="C1064" s="381"/>
      <c r="D1064" s="4" t="s">
        <v>8</v>
      </c>
      <c r="E1064" s="168" t="str">
        <f>A1045&amp;"/"&amp;B1053&amp;"/"&amp;C1063&amp;"/"&amp;D1064</f>
        <v>Diesel oil fired power plants/Gas turbine /CHP with CCS/M</v>
      </c>
      <c r="F1064" s="80" t="str">
        <f>A1045</f>
        <v>Diesel oil fired power plants</v>
      </c>
      <c r="G1064" s="80" t="str">
        <f>B1053</f>
        <v xml:space="preserve">Gas turbine </v>
      </c>
      <c r="H1064" s="80" t="str">
        <f>C1063</f>
        <v>CHP with CCS</v>
      </c>
      <c r="I1064" s="169" t="str">
        <f t="shared" si="369"/>
        <v>M</v>
      </c>
      <c r="J1064" s="113" t="str">
        <f>IF(tech_base!$T160&gt;J$905,"",J2184+tech_proj!J1684/(1-tech_proj!J564))</f>
        <v/>
      </c>
      <c r="K1064" s="113" t="str">
        <f>IF(tech_base!$T160&gt;K$905,"",K2184+tech_proj!K1684/(1-tech_proj!K564))</f>
        <v/>
      </c>
      <c r="L1064" s="113" t="str">
        <f>IF(tech_base!$T160&gt;L$905,"",L2184+tech_proj!L1684/(1-tech_proj!L564))</f>
        <v/>
      </c>
      <c r="M1064" s="113" t="str">
        <f>IF(tech_base!$T160&gt;M$905,"",M2184+tech_proj!M1684/(1-tech_proj!M564))</f>
        <v/>
      </c>
      <c r="N1064" s="113" t="str">
        <f>IF(tech_base!$T160&gt;N$905,"",N2184+tech_proj!N1684/(1-tech_proj!N564))</f>
        <v/>
      </c>
      <c r="O1064" s="113" t="str">
        <f>IF(tech_base!$T160&gt;O$905,"",O2184+tech_proj!O1684/(1-tech_proj!O564))</f>
        <v/>
      </c>
      <c r="P1064" s="113" t="str">
        <f>IF(tech_base!$T160&gt;P$905,"",P2184+tech_proj!P1684/(1-tech_proj!P564))</f>
        <v/>
      </c>
      <c r="Q1064" s="113" t="str">
        <f>IF(tech_base!$T160&gt;Q$905,"",Q2184+tech_proj!Q1684/(1-tech_proj!Q564))</f>
        <v/>
      </c>
      <c r="R1064" s="113" t="str">
        <f>IF(tech_base!$T160&gt;R$905,"",R2184+tech_proj!R1684/(1-tech_proj!R564))</f>
        <v/>
      </c>
      <c r="S1064" s="113" t="str">
        <f>IF(tech_base!$T160&gt;S$905,"",S2184+tech_proj!S1684/(1-tech_proj!S564))</f>
        <v/>
      </c>
      <c r="T1064" s="113" t="str">
        <f>IF(tech_base!$T160&gt;T$905,"",T2184+tech_proj!T1684/(1-tech_proj!T564))</f>
        <v/>
      </c>
      <c r="U1064" s="113" t="str">
        <f>IF(tech_base!$T160&gt;U$905,"",U2184+tech_proj!U1684/(1-tech_proj!U564))</f>
        <v/>
      </c>
      <c r="V1064" s="113" t="str">
        <f>IF(tech_base!$T160&gt;V$905,"",V2184+tech_proj!V1684/(1-tech_proj!V564))</f>
        <v/>
      </c>
      <c r="W1064" s="113" t="str">
        <f>IF(tech_base!$T160&gt;W$905,"",W2184+tech_proj!W1684/(1-tech_proj!W564))</f>
        <v/>
      </c>
      <c r="X1064" s="113" t="str">
        <f>IF(tech_base!$T160&gt;X$905,"",X2184+tech_proj!X1684/(1-tech_proj!X564))</f>
        <v/>
      </c>
      <c r="Y1064" s="113" t="str">
        <f>IF(tech_base!$T160&gt;Y$905,"",Y2184+tech_proj!Y1684/(1-tech_proj!Y564))</f>
        <v/>
      </c>
      <c r="Z1064" s="113" t="str">
        <f>IF(tech_base!$T160&gt;Z$905,"",Z2184+tech_proj!Z1684/(1-tech_proj!Z564))</f>
        <v/>
      </c>
      <c r="AA1064" s="113" t="str">
        <f>IF(tech_base!$T160&gt;AA$905,"",AA2184+tech_proj!AA1684/(1-tech_proj!AA564))</f>
        <v/>
      </c>
      <c r="AB1064" s="113" t="str">
        <f>IF(tech_base!$T160&gt;AB$905,"",AB2184+tech_proj!AB1684/(1-tech_proj!AB564))</f>
        <v/>
      </c>
      <c r="AC1064" s="113" t="str">
        <f>IF(tech_base!$T160&gt;AC$905,"",AC2184+tech_proj!AC1684/(1-tech_proj!AC564))</f>
        <v/>
      </c>
      <c r="AD1064" s="113" t="str">
        <f>IF(tech_base!$T160&gt;AD$905,"",AD2184+tech_proj!AD1684/(1-tech_proj!AD564))</f>
        <v/>
      </c>
      <c r="AE1064" s="113">
        <f>IF(tech_base!$T160&gt;AE$905,"",AE2184+tech_proj!AE1684/(1-tech_proj!AE564))</f>
        <v>375.20996338102725</v>
      </c>
      <c r="AF1064" s="113">
        <f>IF(tech_base!$T160&gt;AF$905,"",AF2184+tech_proj!AF1684/(1-tech_proj!AF564))</f>
        <v>377.01454385453218</v>
      </c>
      <c r="AG1064" s="113">
        <f>IF(tech_base!$T160&gt;AG$905,"",AG2184+tech_proj!AG1684/(1-tech_proj!AG564))</f>
        <v>379.03735684441745</v>
      </c>
      <c r="AH1064" s="113">
        <f>IF(tech_base!$T160&gt;AH$905,"",AH2184+tech_proj!AH1684/(1-tech_proj!AH564))</f>
        <v>381.27788210317641</v>
      </c>
      <c r="AI1064" s="113">
        <f>IF(tech_base!$T160&gt;AI$905,"",AI2184+tech_proj!AI1684/(1-tech_proj!AI564))</f>
        <v>383.75705869676443</v>
      </c>
      <c r="AJ1064" s="113">
        <f>IF(tech_base!$T160&gt;AJ$905,"",AJ2184+tech_proj!AJ1684/(1-tech_proj!AJ564))</f>
        <v>386.51788468916277</v>
      </c>
      <c r="AK1064" s="113">
        <f>IF(tech_base!$T160&gt;AK$905,"",AK2184+tech_proj!AK1684/(1-tech_proj!AK564))</f>
        <v>389.61357619319682</v>
      </c>
      <c r="AL1064" s="113">
        <f>IF(tech_base!$T160&gt;AL$905,"",AL2184+tech_proj!AL1684/(1-tech_proj!AL564))</f>
        <v>392.94267298175799</v>
      </c>
      <c r="AM1064" s="113">
        <f>IF(tech_base!$T160&gt;AM$905,"",AM2184+tech_proj!AM1684/(1-tech_proj!AM564))</f>
        <v>396.38041297595601</v>
      </c>
      <c r="AN1064" s="113">
        <f>IF(tech_base!$T160&gt;AN$905,"",AN2184+tech_proj!AN1684/(1-tech_proj!AN564))</f>
        <v>399.88559961565289</v>
      </c>
      <c r="AO1064" s="113">
        <f>IF(tech_base!$T160&gt;AO$905,"",AO2184+tech_proj!AO1684/(1-tech_proj!AO564))</f>
        <v>400.48676512381837</v>
      </c>
      <c r="AP1064" s="113">
        <f>IF(tech_base!$T160&gt;AP$905,"",AP2184+tech_proj!AP1684/(1-tech_proj!AP564))</f>
        <v>401.86841268132036</v>
      </c>
      <c r="AQ1064" s="113">
        <f>IF(tech_base!$T160&gt;AQ$905,"",AQ2184+tech_proj!AQ1684/(1-tech_proj!AQ564))</f>
        <v>403.32000867961278</v>
      </c>
      <c r="AR1064" s="113">
        <f>IF(tech_base!$T160&gt;AR$905,"",AR2184+tech_proj!AR1684/(1-tech_proj!AR564))</f>
        <v>406.11580710010577</v>
      </c>
      <c r="AS1064" s="113">
        <f>IF(tech_base!$T160&gt;AS$905,"",AS2184+tech_proj!AS1684/(1-tech_proj!AS564))</f>
        <v>407.71953299535426</v>
      </c>
      <c r="AT1064" s="113">
        <f>IF(tech_base!$T160&gt;AT$905,"",AT2184+tech_proj!AT1684/(1-tech_proj!AT564))</f>
        <v>409.32389924298673</v>
      </c>
      <c r="AU1064" s="113">
        <f>IF(tech_base!$T160&gt;AU$905,"",AU2184+tech_proj!AU1684/(1-tech_proj!AU564))</f>
        <v>410.90132994701867</v>
      </c>
      <c r="AV1064" s="113">
        <f>IF(tech_base!$T160&gt;AV$905,"",AV2184+tech_proj!AV1684/(1-tech_proj!AV564))</f>
        <v>412.43679194521258</v>
      </c>
      <c r="AW1064" s="113">
        <f>IF(tech_base!$T160&gt;AW$905,"",AW2184+tech_proj!AW1684/(1-tech_proj!AW564))</f>
        <v>413.9189289704957</v>
      </c>
      <c r="AX1064" s="114">
        <f>IF(tech_base!$T160&gt;AX$905,"",AX2184+tech_proj!AX1684/(1-tech_proj!AX564))</f>
        <v>415.78698826364689</v>
      </c>
    </row>
    <row r="1065" spans="1:50" x14ac:dyDescent="0.25">
      <c r="A1065" s="356"/>
      <c r="B1065" s="358" t="s">
        <v>19</v>
      </c>
      <c r="C1065" s="353" t="s">
        <v>6</v>
      </c>
      <c r="D1065" s="3" t="s">
        <v>7</v>
      </c>
      <c r="E1065" s="162" t="str">
        <f>A1045&amp;"/"&amp;B1065&amp;"/"&amp;C1065&amp;"/"&amp;D1065</f>
        <v>Diesel oil fired power plants/Steam turbine/Electricity only/L</v>
      </c>
      <c r="F1065" s="77" t="str">
        <f>A1045</f>
        <v>Diesel oil fired power plants</v>
      </c>
      <c r="G1065" s="77" t="str">
        <f>B1065</f>
        <v>Steam turbine</v>
      </c>
      <c r="H1065" s="77" t="str">
        <f>C1065</f>
        <v>Electricity only</v>
      </c>
      <c r="I1065" s="163" t="str">
        <f t="shared" si="369"/>
        <v>L</v>
      </c>
      <c r="J1065" s="107">
        <f>IF(tech_base!$T161&gt;J$905,"",J2185+tech_proj!J1685/(1-tech_proj!J565))</f>
        <v>172.46393753441947</v>
      </c>
      <c r="K1065" s="107">
        <f>IF(tech_base!$T161&gt;K$905,"",K2185+tech_proj!K1685/(1-tech_proj!K565))</f>
        <v>203.55142383009982</v>
      </c>
      <c r="L1065" s="107">
        <f>IF(tech_base!$T161&gt;L$905,"",L2185+tech_proj!L1685/(1-tech_proj!L565))</f>
        <v>213.44630715485027</v>
      </c>
      <c r="M1065" s="107">
        <f>IF(tech_base!$T161&gt;M$905,"",M2185+tech_proj!M1685/(1-tech_proj!M565))</f>
        <v>206.26078920987712</v>
      </c>
      <c r="N1065" s="107">
        <f>IF(tech_base!$T161&gt;N$905,"",N2185+tech_proj!N1685/(1-tech_proj!N565))</f>
        <v>194.44259089282122</v>
      </c>
      <c r="O1065" s="107">
        <f>IF(tech_base!$T161&gt;O$905,"",O2185+tech_proj!O1685/(1-tech_proj!O565))</f>
        <v>152.94541521691434</v>
      </c>
      <c r="P1065" s="107">
        <f>IF(tech_base!$T161&gt;P$905,"",P2185+tech_proj!P1685/(1-tech_proj!P565))</f>
        <v>143.06123100473627</v>
      </c>
      <c r="Q1065" s="107">
        <f>IF(tech_base!$T161&gt;Q$905,"",Q2185+tech_proj!Q1685/(1-tech_proj!Q565))</f>
        <v>155.3237283600815</v>
      </c>
      <c r="R1065" s="107">
        <f>IF(tech_base!$T161&gt;R$905,"",R2185+tech_proj!R1685/(1-tech_proj!R565))</f>
        <v>166.29205270439735</v>
      </c>
      <c r="S1065" s="107">
        <f>IF(tech_base!$T161&gt;S$905,"",S2185+tech_proj!S1685/(1-tech_proj!S565))</f>
        <v>175.93262554825935</v>
      </c>
      <c r="T1065" s="107">
        <f>IF(tech_base!$T161&gt;T$905,"",T2185+tech_proj!T1685/(1-tech_proj!T565))</f>
        <v>185.2360256313786</v>
      </c>
      <c r="U1065" s="107">
        <f>IF(tech_base!$T161&gt;U$905,"",U2185+tech_proj!U1685/(1-tech_proj!U565))</f>
        <v>194.10778437029458</v>
      </c>
      <c r="V1065" s="107">
        <f>IF(tech_base!$T161&gt;V$905,"",V2185+tech_proj!V1685/(1-tech_proj!V565))</f>
        <v>200.11126400212675</v>
      </c>
      <c r="W1065" s="107">
        <f>IF(tech_base!$T161&gt;W$905,"",W2185+tech_proj!W1685/(1-tech_proj!W565))</f>
        <v>207.43039624681185</v>
      </c>
      <c r="X1065" s="107">
        <f>IF(tech_base!$T161&gt;X$905,"",X2185+tech_proj!X1685/(1-tech_proj!X565))</f>
        <v>213.80510508909236</v>
      </c>
      <c r="Y1065" s="107">
        <f>IF(tech_base!$T161&gt;Y$905,"",Y2185+tech_proj!Y1685/(1-tech_proj!Y565))</f>
        <v>219.2407701037813</v>
      </c>
      <c r="Z1065" s="107">
        <f>IF(tech_base!$T161&gt;Z$905,"",Z2185+tech_proj!Z1685/(1-tech_proj!Z565))</f>
        <v>222.79108146065076</v>
      </c>
      <c r="AA1065" s="107">
        <f>IF(tech_base!$T161&gt;AA$905,"",AA2185+tech_proj!AA1685/(1-tech_proj!AA565))</f>
        <v>226.02458080583219</v>
      </c>
      <c r="AB1065" s="107">
        <f>IF(tech_base!$T161&gt;AB$905,"",AB2185+tech_proj!AB1685/(1-tech_proj!AB565))</f>
        <v>228.29658857227921</v>
      </c>
      <c r="AC1065" s="107">
        <f>IF(tech_base!$T161&gt;AC$905,"",AC2185+tech_proj!AC1685/(1-tech_proj!AC565))</f>
        <v>231.73705006638457</v>
      </c>
      <c r="AD1065" s="107">
        <f>IF(tech_base!$T161&gt;AD$905,"",AD2185+tech_proj!AD1685/(1-tech_proj!AD565))</f>
        <v>233.91177270383864</v>
      </c>
      <c r="AE1065" s="107">
        <f>IF(tech_base!$T161&gt;AE$905,"",AE2185+tech_proj!AE1685/(1-tech_proj!AE565))</f>
        <v>235.99847989722832</v>
      </c>
      <c r="AF1065" s="107">
        <f>IF(tech_base!$T161&gt;AF$905,"",AF2185+tech_proj!AF1685/(1-tech_proj!AF565))</f>
        <v>237.14227703044125</v>
      </c>
      <c r="AG1065" s="107">
        <f>IF(tech_base!$T161&gt;AG$905,"",AG2185+tech_proj!AG1685/(1-tech_proj!AG565))</f>
        <v>238.42500827823062</v>
      </c>
      <c r="AH1065" s="107">
        <f>IF(tech_base!$T161&gt;AH$905,"",AH2185+tech_proj!AH1685/(1-tech_proj!AH565))</f>
        <v>239.84633354830524</v>
      </c>
      <c r="AI1065" s="107">
        <f>IF(tech_base!$T161&gt;AI$905,"",AI2185+tech_proj!AI1685/(1-tech_proj!AI565))</f>
        <v>241.41956789840731</v>
      </c>
      <c r="AJ1065" s="107">
        <f>IF(tech_base!$T161&gt;AJ$905,"",AJ2185+tech_proj!AJ1685/(1-tech_proj!AJ565))</f>
        <v>243.17206176485215</v>
      </c>
      <c r="AK1065" s="107">
        <f>IF(tech_base!$T161&gt;AK$905,"",AK2185+tech_proj!AK1685/(1-tech_proj!AK565))</f>
        <v>245.13766548592349</v>
      </c>
      <c r="AL1065" s="107">
        <f>IF(tech_base!$T161&gt;AL$905,"",AL2185+tech_proj!AL1685/(1-tech_proj!AL565))</f>
        <v>247.25181126614896</v>
      </c>
      <c r="AM1065" s="107">
        <f>IF(tech_base!$T161&gt;AM$905,"",AM2185+tech_proj!AM1685/(1-tech_proj!AM565))</f>
        <v>249.43511050614288</v>
      </c>
      <c r="AN1065" s="107">
        <f>IF(tech_base!$T161&gt;AN$905,"",AN2185+tech_proj!AN1685/(1-tech_proj!AN565))</f>
        <v>251.6613489920384</v>
      </c>
      <c r="AO1065" s="107">
        <f>IF(tech_base!$T161&gt;AO$905,"",AO2185+tech_proj!AO1685/(1-tech_proj!AO565))</f>
        <v>252.03996567739588</v>
      </c>
      <c r="AP1065" s="107">
        <f>IF(tech_base!$T161&gt;AP$905,"",AP2185+tech_proj!AP1685/(1-tech_proj!AP565))</f>
        <v>252.91523418987339</v>
      </c>
      <c r="AQ1065" s="107">
        <f>IF(tech_base!$T161&gt;AQ$905,"",AQ2185+tech_proj!AQ1685/(1-tech_proj!AQ565))</f>
        <v>253.83507523641504</v>
      </c>
      <c r="AR1065" s="107">
        <f>IF(tech_base!$T161&gt;AR$905,"",AR2185+tech_proj!AR1685/(1-tech_proj!AR565))</f>
        <v>255.61017434521401</v>
      </c>
      <c r="AS1065" s="107">
        <f>IF(tech_base!$T161&gt;AS$905,"",AS2185+tech_proj!AS1685/(1-tech_proj!AS565))</f>
        <v>256.62692099744146</v>
      </c>
      <c r="AT1065" s="107">
        <f>IF(tech_base!$T161&gt;AT$905,"",AT2185+tech_proj!AT1685/(1-tech_proj!AT565))</f>
        <v>257.64413800593871</v>
      </c>
      <c r="AU1065" s="107">
        <f>IF(tech_base!$T161&gt;AU$905,"",AU2185+tech_proj!AU1685/(1-tech_proj!AU565))</f>
        <v>258.64428121992199</v>
      </c>
      <c r="AV1065" s="107">
        <f>IF(tech_base!$T161&gt;AV$905,"",AV2185+tech_proj!AV1685/(1-tech_proj!AV565))</f>
        <v>259.61778678013223</v>
      </c>
      <c r="AW1065" s="107">
        <f>IF(tech_base!$T161&gt;AW$905,"",AW2185+tech_proj!AW1685/(1-tech_proj!AW565))</f>
        <v>260.55743040870283</v>
      </c>
      <c r="AX1065" s="108">
        <f>IF(tech_base!$T161&gt;AX$905,"",AX2185+tech_proj!AX1685/(1-tech_proj!AX565))</f>
        <v>261.74264024959308</v>
      </c>
    </row>
    <row r="1066" spans="1:50" x14ac:dyDescent="0.25">
      <c r="A1066" s="356"/>
      <c r="B1066" s="376"/>
      <c r="C1066" s="378"/>
      <c r="D1066" s="2" t="s">
        <v>8</v>
      </c>
      <c r="E1066" s="160" t="str">
        <f>A1045&amp;"/"&amp;B1065&amp;"/"&amp;C1065&amp;"/"&amp;D1066</f>
        <v>Diesel oil fired power plants/Steam turbine/Electricity only/M</v>
      </c>
      <c r="F1066" s="76" t="str">
        <f>A1045</f>
        <v>Diesel oil fired power plants</v>
      </c>
      <c r="G1066" s="76" t="str">
        <f>B1065</f>
        <v>Steam turbine</v>
      </c>
      <c r="H1066" s="76" t="str">
        <f>C1065</f>
        <v>Electricity only</v>
      </c>
      <c r="I1066" s="161" t="str">
        <f t="shared" si="369"/>
        <v>M</v>
      </c>
      <c r="J1066" s="105">
        <f>IF(tech_base!$T162&gt;J$905,"",J2186+tech_proj!J1686/(1-tech_proj!J566))</f>
        <v>181.60548616220021</v>
      </c>
      <c r="K1066" s="105">
        <f>IF(tech_base!$T162&gt;K$905,"",K2186+tech_proj!K1686/(1-tech_proj!K566))</f>
        <v>214.32971764245997</v>
      </c>
      <c r="L1066" s="105">
        <f>IF(tech_base!$T162&gt;L$905,"",L2186+tech_proj!L1686/(1-tech_proj!L566))</f>
        <v>224.74685486685894</v>
      </c>
      <c r="M1066" s="105">
        <f>IF(tech_base!$T162&gt;M$905,"",M2186+tech_proj!M1686/(1-tech_proj!M566))</f>
        <v>217.18490893225223</v>
      </c>
      <c r="N1066" s="105">
        <f>IF(tech_base!$T162&gt;N$905,"",N2186+tech_proj!N1686/(1-tech_proj!N566))</f>
        <v>204.74629287771461</v>
      </c>
      <c r="O1066" s="105">
        <f>IF(tech_base!$T162&gt;O$905,"",O2186+tech_proj!O1686/(1-tech_proj!O566))</f>
        <v>161.06615017733702</v>
      </c>
      <c r="P1066" s="105">
        <f>IF(tech_base!$T162&gt;P$905,"",P2186+tech_proj!P1686/(1-tech_proj!P566))</f>
        <v>150.66265489319144</v>
      </c>
      <c r="Q1066" s="105">
        <f>IF(tech_base!$T162&gt;Q$905,"",Q2186+tech_proj!Q1686/(1-tech_proj!Q566))</f>
        <v>163.57182974075835</v>
      </c>
      <c r="R1066" s="105">
        <f>IF(tech_base!$T162&gt;R$905,"",R2186+tech_proj!R1686/(1-tech_proj!R566))</f>
        <v>175.11884741492904</v>
      </c>
      <c r="S1066" s="105">
        <f>IF(tech_base!$T162&gt;S$905,"",S2186+tech_proj!S1686/(1-tech_proj!S566))</f>
        <v>185.26832405639104</v>
      </c>
      <c r="T1066" s="105">
        <f>IF(tech_base!$T162&gt;T$905,"",T2186+tech_proj!T1686/(1-tech_proj!T566))</f>
        <v>195.0629864266113</v>
      </c>
      <c r="U1066" s="105">
        <f>IF(tech_base!$T162&gt;U$905,"",U2186+tech_proj!U1686/(1-tech_proj!U566))</f>
        <v>204.40337635106036</v>
      </c>
      <c r="V1066" s="105">
        <f>IF(tech_base!$T162&gt;V$905,"",V2186+tech_proj!V1686/(1-tech_proj!V566))</f>
        <v>210.724443742266</v>
      </c>
      <c r="W1066" s="105">
        <f>IF(tech_base!$T162&gt;W$905,"",W2186+tech_proj!W1686/(1-tech_proj!W566))</f>
        <v>218.43055691694323</v>
      </c>
      <c r="X1066" s="105">
        <f>IF(tech_base!$T162&gt;X$905,"",X2186+tech_proj!X1686/(1-tech_proj!X566))</f>
        <v>225.14253840390924</v>
      </c>
      <c r="Y1066" s="105">
        <f>IF(tech_base!$T162&gt;Y$905,"",Y2186+tech_proj!Y1686/(1-tech_proj!Y566))</f>
        <v>230.86602912001209</v>
      </c>
      <c r="Z1066" s="105">
        <f>IF(tech_base!$T162&gt;Z$905,"",Z2186+tech_proj!Z1686/(1-tech_proj!Z566))</f>
        <v>234.60480650251571</v>
      </c>
      <c r="AA1066" s="105">
        <f>IF(tech_base!$T162&gt;AA$905,"",AA2186+tech_proj!AA1686/(1-tech_proj!AA566))</f>
        <v>238.01008098111711</v>
      </c>
      <c r="AB1066" s="105">
        <f>IF(tech_base!$T162&gt;AB$905,"",AB2186+tech_proj!AB1686/(1-tech_proj!AB566))</f>
        <v>240.40316878963154</v>
      </c>
      <c r="AC1066" s="105">
        <f>IF(tech_base!$T162&gt;AC$905,"",AC2186+tech_proj!AC1686/(1-tech_proj!AC566))</f>
        <v>244.02633232657212</v>
      </c>
      <c r="AD1066" s="105">
        <f>IF(tech_base!$T162&gt;AD$905,"",AD2186+tech_proj!AD1686/(1-tech_proj!AD566))</f>
        <v>246.31700301794945</v>
      </c>
      <c r="AE1066" s="105">
        <f>IF(tech_base!$T162&gt;AE$905,"",AE2186+tech_proj!AE1686/(1-tech_proj!AE566))</f>
        <v>248.51500955886374</v>
      </c>
      <c r="AF1066" s="105">
        <f>IF(tech_base!$T162&gt;AF$905,"",AF2186+tech_proj!AF1686/(1-tech_proj!AF566))</f>
        <v>249.72035252994806</v>
      </c>
      <c r="AG1066" s="105">
        <f>IF(tech_base!$T162&gt;AG$905,"",AG2186+tech_proj!AG1686/(1-tech_proj!AG566))</f>
        <v>251.07194268662639</v>
      </c>
      <c r="AH1066" s="105">
        <f>IF(tech_base!$T162&gt;AH$905,"",AH2186+tech_proj!AH1686/(1-tech_proj!AH566))</f>
        <v>252.56942437928049</v>
      </c>
      <c r="AI1066" s="105">
        <f>IF(tech_base!$T162&gt;AI$905,"",AI2186+tech_proj!AI1686/(1-tech_proj!AI566))</f>
        <v>254.22681764133932</v>
      </c>
      <c r="AJ1066" s="105">
        <f>IF(tech_base!$T162&gt;AJ$905,"",AJ2186+tech_proj!AJ1686/(1-tech_proj!AJ566))</f>
        <v>256.0729188392109</v>
      </c>
      <c r="AK1066" s="105">
        <f>IF(tech_base!$T162&gt;AK$905,"",AK2186+tech_proj!AK1686/(1-tech_proj!AK566))</f>
        <v>258.14336777280067</v>
      </c>
      <c r="AL1066" s="105">
        <f>IF(tech_base!$T162&gt;AL$905,"",AL2186+tech_proj!AL1686/(1-tech_proj!AL566))</f>
        <v>260.37019118196724</v>
      </c>
      <c r="AM1066" s="105">
        <f>IF(tech_base!$T162&gt;AM$905,"",AM2186+tech_proj!AM1686/(1-tech_proj!AM566))</f>
        <v>262.66981117878038</v>
      </c>
      <c r="AN1066" s="105">
        <f>IF(tech_base!$T162&gt;AN$905,"",AN2186+tech_proj!AN1686/(1-tech_proj!AN566))</f>
        <v>265.01463025571604</v>
      </c>
      <c r="AO1066" s="105">
        <f>IF(tech_base!$T162&gt;AO$905,"",AO2186+tech_proj!AO1686/(1-tech_proj!AO566))</f>
        <v>265.41425962535976</v>
      </c>
      <c r="AP1066" s="105">
        <f>IF(tech_base!$T162&gt;AP$905,"",AP2186+tech_proj!AP1686/(1-tech_proj!AP566))</f>
        <v>266.33674450072289</v>
      </c>
      <c r="AQ1066" s="105">
        <f>IF(tech_base!$T162&gt;AQ$905,"",AQ2186+tech_proj!AQ1686/(1-tech_proj!AQ566))</f>
        <v>267.30613715910181</v>
      </c>
      <c r="AR1066" s="105">
        <f>IF(tech_base!$T162&gt;AR$905,"",AR2186+tech_proj!AR1686/(1-tech_proj!AR566))</f>
        <v>269.1759413260869</v>
      </c>
      <c r="AS1066" s="105">
        <f>IF(tech_base!$T162&gt;AS$905,"",AS2186+tech_proj!AS1686/(1-tech_proj!AS566))</f>
        <v>270.24732581670492</v>
      </c>
      <c r="AT1066" s="105">
        <f>IF(tech_base!$T162&gt;AT$905,"",AT2186+tech_proj!AT1686/(1-tech_proj!AT566))</f>
        <v>271.31918871509578</v>
      </c>
      <c r="AU1066" s="105">
        <f>IF(tech_base!$T162&gt;AU$905,"",AU2186+tech_proj!AU1686/(1-tech_proj!AU566))</f>
        <v>272.37305931620529</v>
      </c>
      <c r="AV1066" s="105">
        <f>IF(tech_base!$T162&gt;AV$905,"",AV2186+tech_proj!AV1686/(1-tech_proj!AV566))</f>
        <v>273.39886855836954</v>
      </c>
      <c r="AW1066" s="105">
        <f>IF(tech_base!$T162&gt;AW$905,"",AW2186+tech_proj!AW1686/(1-tech_proj!AW566))</f>
        <v>274.38901044599038</v>
      </c>
      <c r="AX1066" s="106">
        <f>IF(tech_base!$T162&gt;AX$905,"",AX2186+tech_proj!AX1686/(1-tech_proj!AX566))</f>
        <v>275.6376777030992</v>
      </c>
    </row>
    <row r="1067" spans="1:50" x14ac:dyDescent="0.25">
      <c r="A1067" s="356"/>
      <c r="B1067" s="376"/>
      <c r="C1067" s="379"/>
      <c r="D1067" s="2" t="s">
        <v>10</v>
      </c>
      <c r="E1067" s="160" t="str">
        <f>A1045&amp;"/"&amp;B1065&amp;"/"&amp;C1065&amp;"/"&amp;D1067</f>
        <v>Diesel oil fired power plants/Steam turbine/Electricity only/S</v>
      </c>
      <c r="F1067" s="76" t="str">
        <f>A1045</f>
        <v>Diesel oil fired power plants</v>
      </c>
      <c r="G1067" s="76" t="str">
        <f>B1065</f>
        <v>Steam turbine</v>
      </c>
      <c r="H1067" s="76" t="str">
        <f>C1065</f>
        <v>Electricity only</v>
      </c>
      <c r="I1067" s="161" t="str">
        <f t="shared" si="369"/>
        <v>S</v>
      </c>
      <c r="J1067" s="105">
        <f>IF(tech_base!$T163&gt;J$905,"",J2187+tech_proj!J1687/(1-tech_proj!J567))</f>
        <v>191.30959238163771</v>
      </c>
      <c r="K1067" s="105">
        <f>IF(tech_base!$T163&gt;K$905,"",K2187+tech_proj!K1687/(1-tech_proj!K567))</f>
        <v>225.76035294662526</v>
      </c>
      <c r="L1067" s="105">
        <f>IF(tech_base!$T163&gt;L$905,"",L2187+tech_proj!L1687/(1-tech_proj!L567))</f>
        <v>236.72778799983112</v>
      </c>
      <c r="M1067" s="105">
        <f>IF(tech_base!$T163&gt;M$905,"",M2187+tech_proj!M1687/(1-tech_proj!M567))</f>
        <v>228.76788564069028</v>
      </c>
      <c r="N1067" s="105">
        <f>IF(tech_base!$T163&gt;N$905,"",N2187+tech_proj!N1687/(1-tech_proj!N567))</f>
        <v>215.67397976156889</v>
      </c>
      <c r="O1067" s="105">
        <f>IF(tech_base!$T163&gt;O$905,"",O2187+tech_proj!O1687/(1-tech_proj!O567))</f>
        <v>169.69027980335557</v>
      </c>
      <c r="P1067" s="105">
        <f>IF(tech_base!$T163&gt;P$905,"",P2187+tech_proj!P1687/(1-tech_proj!P567))</f>
        <v>158.7384878378999</v>
      </c>
      <c r="Q1067" s="105">
        <f>IF(tech_base!$T163&gt;Q$905,"",Q2187+tech_proj!Q1687/(1-tech_proj!Q567))</f>
        <v>172.32931682169666</v>
      </c>
      <c r="R1067" s="105">
        <f>IF(tech_base!$T163&gt;R$905,"",R2187+tech_proj!R1687/(1-tech_proj!R567))</f>
        <v>184.48620259419792</v>
      </c>
      <c r="S1067" s="105">
        <f>IF(tech_base!$T163&gt;S$905,"",S2187+tech_proj!S1687/(1-tech_proj!S567))</f>
        <v>195.17187473264431</v>
      </c>
      <c r="T1067" s="105">
        <f>IF(tech_base!$T163&gt;T$905,"",T2187+tech_proj!T1687/(1-tech_proj!T567))</f>
        <v>205.48407080817637</v>
      </c>
      <c r="U1067" s="105">
        <f>IF(tech_base!$T163&gt;U$905,"",U2187+tech_proj!U1687/(1-tech_proj!U567))</f>
        <v>215.31807693927087</v>
      </c>
      <c r="V1067" s="105">
        <f>IF(tech_base!$T163&gt;V$905,"",V2187+tech_proj!V1687/(1-tech_proj!V567))</f>
        <v>221.97344682053296</v>
      </c>
      <c r="W1067" s="105">
        <f>IF(tech_base!$T163&gt;W$905,"",W2187+tech_proj!W1687/(1-tech_proj!W567))</f>
        <v>230.08700225479899</v>
      </c>
      <c r="X1067" s="105">
        <f>IF(tech_base!$T163&gt;X$905,"",X2187+tech_proj!X1687/(1-tech_proj!X567))</f>
        <v>237.15398397710095</v>
      </c>
      <c r="Y1067" s="105">
        <f>IF(tech_base!$T163&gt;Y$905,"",Y2187+tech_proj!Y1687/(1-tech_proj!Y567))</f>
        <v>243.18031898060897</v>
      </c>
      <c r="Z1067" s="105">
        <f>IF(tech_base!$T163&gt;Z$905,"",Z2187+tech_proj!Z1687/(1-tech_proj!Z567))</f>
        <v>247.11717713254151</v>
      </c>
      <c r="AA1067" s="105">
        <f>IF(tech_base!$T163&gt;AA$905,"",AA2187+tech_proj!AA1687/(1-tech_proj!AA567))</f>
        <v>250.70293103243421</v>
      </c>
      <c r="AB1067" s="105">
        <f>IF(tech_base!$T163&gt;AB$905,"",AB2187+tech_proj!AB1687/(1-tech_proj!AB567))</f>
        <v>253.22305718716268</v>
      </c>
      <c r="AC1067" s="105">
        <f>IF(tech_base!$T163&gt;AC$905,"",AC2187+tech_proj!AC1687/(1-tech_proj!AC567))</f>
        <v>257.03821154464839</v>
      </c>
      <c r="AD1067" s="105">
        <f>IF(tech_base!$T163&gt;AD$905,"",AD2187+tech_proj!AD1687/(1-tech_proj!AD567))</f>
        <v>259.45051149602807</v>
      </c>
      <c r="AE1067" s="105">
        <f>IF(tech_base!$T163&gt;AE$905,"",AE2187+tech_proj!AE1687/(1-tech_proj!AE567))</f>
        <v>261.76525044069996</v>
      </c>
      <c r="AF1067" s="105">
        <f>IF(tech_base!$T163&gt;AF$905,"",AF2187+tech_proj!AF1687/(1-tech_proj!AF567))</f>
        <v>263.03489539945269</v>
      </c>
      <c r="AG1067" s="105">
        <f>IF(tech_base!$T163&gt;AG$905,"",AG2187+tech_proj!AG1687/(1-tech_proj!AG567))</f>
        <v>264.45850236380181</v>
      </c>
      <c r="AH1067" s="105">
        <f>IF(tech_base!$T163&gt;AH$905,"",AH2187+tech_proj!AH1687/(1-tech_proj!AH567))</f>
        <v>266.03569816055932</v>
      </c>
      <c r="AI1067" s="105">
        <f>IF(tech_base!$T163&gt;AI$905,"",AI2187+tech_proj!AI1687/(1-tech_proj!AI567))</f>
        <v>267.78124459439357</v>
      </c>
      <c r="AJ1067" s="105">
        <f>IF(tech_base!$T163&gt;AJ$905,"",AJ2187+tech_proj!AJ1687/(1-tech_proj!AJ567))</f>
        <v>269.72546044824844</v>
      </c>
      <c r="AK1067" s="105">
        <f>IF(tech_base!$T163&gt;AK$905,"",AK2187+tech_proj!AK1687/(1-tech_proj!AK567))</f>
        <v>271.9058696881728</v>
      </c>
      <c r="AL1067" s="105">
        <f>IF(tech_base!$T163&gt;AL$905,"",AL2187+tech_proj!AL1687/(1-tech_proj!AL567))</f>
        <v>274.25090966134997</v>
      </c>
      <c r="AM1067" s="105">
        <f>IF(tech_base!$T163&gt;AM$905,"",AM2187+tech_proj!AM1687/(1-tech_proj!AM567))</f>
        <v>276.67258794113303</v>
      </c>
      <c r="AN1067" s="105">
        <f>IF(tech_base!$T163&gt;AN$905,"",AN2187+tech_proj!AN1687/(1-tech_proj!AN567))</f>
        <v>279.14184934375186</v>
      </c>
      <c r="AO1067" s="105">
        <f>IF(tech_base!$T163&gt;AO$905,"",AO2187+tech_proj!AO1687/(1-tech_proj!AO567))</f>
        <v>279.56314000943524</v>
      </c>
      <c r="AP1067" s="105">
        <f>IF(tech_base!$T163&gt;AP$905,"",AP2187+tech_proj!AP1687/(1-tech_proj!AP567))</f>
        <v>280.53490069067743</v>
      </c>
      <c r="AQ1067" s="105">
        <f>IF(tech_base!$T163&gt;AQ$905,"",AQ2187+tech_proj!AQ1687/(1-tech_proj!AQ567))</f>
        <v>281.55603776788337</v>
      </c>
      <c r="AR1067" s="105">
        <f>IF(tech_base!$T163&gt;AR$905,"",AR2187+tech_proj!AR1687/(1-tech_proj!AR567))</f>
        <v>283.52515708188781</v>
      </c>
      <c r="AS1067" s="105">
        <f>IF(tech_base!$T163&gt;AS$905,"",AS2187+tech_proj!AS1687/(1-tech_proj!AS567))</f>
        <v>284.65365836765739</v>
      </c>
      <c r="AT1067" s="105">
        <f>IF(tech_base!$T163&gt;AT$905,"",AT2187+tech_proj!AT1687/(1-tech_proj!AT567))</f>
        <v>285.78265432948024</v>
      </c>
      <c r="AU1067" s="105">
        <f>IF(tech_base!$T163&gt;AU$905,"",AU2187+tech_proj!AU1687/(1-tech_proj!AU567))</f>
        <v>286.89269824985792</v>
      </c>
      <c r="AV1067" s="105">
        <f>IF(tech_base!$T163&gt;AV$905,"",AV2187+tech_proj!AV1687/(1-tech_proj!AV567))</f>
        <v>287.97318895009118</v>
      </c>
      <c r="AW1067" s="105">
        <f>IF(tech_base!$T163&gt;AW$905,"",AW2187+tech_proj!AW1687/(1-tech_proj!AW567))</f>
        <v>289.01611842934574</v>
      </c>
      <c r="AX1067" s="106">
        <f>IF(tech_base!$T163&gt;AX$905,"",AX2187+tech_proj!AX1687/(1-tech_proj!AX567))</f>
        <v>290.33122872477998</v>
      </c>
    </row>
    <row r="1068" spans="1:50" x14ac:dyDescent="0.25">
      <c r="A1068" s="356"/>
      <c r="B1068" s="376"/>
      <c r="C1068" s="361" t="s">
        <v>14</v>
      </c>
      <c r="D1068" s="58" t="s">
        <v>7</v>
      </c>
      <c r="E1068" s="164" t="str">
        <f>A1045&amp;"/"&amp;B1065&amp;"/"&amp;C1068&amp;"/"&amp;D1068</f>
        <v>Diesel oil fired power plants/Steam turbine/CHP/L</v>
      </c>
      <c r="F1068" s="78" t="str">
        <f>A1045</f>
        <v>Diesel oil fired power plants</v>
      </c>
      <c r="G1068" s="78" t="str">
        <f>B1065</f>
        <v>Steam turbine</v>
      </c>
      <c r="H1068" s="78" t="str">
        <f>C1068</f>
        <v>CHP</v>
      </c>
      <c r="I1068" s="165" t="str">
        <f t="shared" si="369"/>
        <v>L</v>
      </c>
      <c r="J1068" s="109">
        <f>IF(tech_base!$T164&gt;J$905,"",J2188+tech_proj!J1688/(1-tech_proj!J568))</f>
        <v>192.13287941582621</v>
      </c>
      <c r="K1068" s="109">
        <f>IF(tech_base!$T164&gt;K$905,"",K2188+tech_proj!K1688/(1-tech_proj!K568))</f>
        <v>226.50254548997336</v>
      </c>
      <c r="L1068" s="109">
        <f>IF(tech_base!$T164&gt;L$905,"",L2188+tech_proj!L1688/(1-tech_proj!L568))</f>
        <v>237.44511340851264</v>
      </c>
      <c r="M1068" s="109">
        <f>IF(tech_base!$T164&gt;M$905,"",M2188+tech_proj!M1688/(1-tech_proj!M568))</f>
        <v>229.50537072288836</v>
      </c>
      <c r="N1068" s="109">
        <f>IF(tech_base!$T164&gt;N$905,"",N2188+tech_proj!N1688/(1-tech_proj!N568))</f>
        <v>216.4436717378247</v>
      </c>
      <c r="O1068" s="109">
        <f>IF(tech_base!$T164&gt;O$905,"",O2188+tech_proj!O1688/(1-tech_proj!O568))</f>
        <v>170.56982406844119</v>
      </c>
      <c r="P1068" s="109">
        <f>IF(tech_base!$T164&gt;P$905,"",P2188+tech_proj!P1688/(1-tech_proj!P568))</f>
        <v>159.64471123748649</v>
      </c>
      <c r="Q1068" s="109">
        <f>IF(tech_base!$T164&gt;Q$905,"",Q2188+tech_proj!Q1688/(1-tech_proj!Q568))</f>
        <v>173.20424726096397</v>
      </c>
      <c r="R1068" s="109">
        <f>IF(tech_base!$T164&gt;R$905,"",R2188+tech_proj!R1688/(1-tech_proj!R568))</f>
        <v>185.33329760189733</v>
      </c>
      <c r="S1068" s="109">
        <f>IF(tech_base!$T164&gt;S$905,"",S2188+tech_proj!S1688/(1-tech_proj!S568))</f>
        <v>195.99465541469445</v>
      </c>
      <c r="T1068" s="109">
        <f>IF(tech_base!$T164&gt;T$905,"",T2188+tech_proj!T1688/(1-tech_proj!T568))</f>
        <v>206.28346110056381</v>
      </c>
      <c r="U1068" s="109">
        <f>IF(tech_base!$T164&gt;U$905,"",U2188+tech_proj!U1688/(1-tech_proj!U568))</f>
        <v>216.09523681922246</v>
      </c>
      <c r="V1068" s="109">
        <f>IF(tech_base!$T164&gt;V$905,"",V2188+tech_proj!V1688/(1-tech_proj!V568))</f>
        <v>222.73584143568772</v>
      </c>
      <c r="W1068" s="109">
        <f>IF(tech_base!$T164&gt;W$905,"",W2188+tech_proj!W1688/(1-tech_proj!W568))</f>
        <v>230.83123375899791</v>
      </c>
      <c r="X1068" s="109">
        <f>IF(tech_base!$T164&gt;X$905,"",X2188+tech_proj!X1688/(1-tech_proj!X568))</f>
        <v>237.88250675589961</v>
      </c>
      <c r="Y1068" s="109">
        <f>IF(tech_base!$T164&gt;Y$905,"",Y2188+tech_proj!Y1688/(1-tech_proj!Y568))</f>
        <v>243.89556138241656</v>
      </c>
      <c r="Z1068" s="109">
        <f>IF(tech_base!$T164&gt;Z$905,"",Z2188+tech_proj!Z1688/(1-tech_proj!Z568))</f>
        <v>247.82399679272427</v>
      </c>
      <c r="AA1068" s="109">
        <f>IF(tech_base!$T164&gt;AA$905,"",AA2188+tech_proj!AA1688/(1-tech_proj!AA568))</f>
        <v>251.40212741260709</v>
      </c>
      <c r="AB1068" s="109">
        <f>IF(tech_base!$T164&gt;AB$905,"",AB2188+tech_proj!AB1688/(1-tech_proj!AB568))</f>
        <v>253.91708526281835</v>
      </c>
      <c r="AC1068" s="109">
        <f>IF(tech_base!$T164&gt;AC$905,"",AC2188+tech_proj!AC1688/(1-tech_proj!AC568))</f>
        <v>257.72404270103829</v>
      </c>
      <c r="AD1068" s="109">
        <f>IF(tech_base!$T164&gt;AD$905,"",AD2188+tech_proj!AD1688/(1-tech_proj!AD568))</f>
        <v>260.1313773223244</v>
      </c>
      <c r="AE1068" s="109">
        <f>IF(tech_base!$T164&gt;AE$905,"",AE2188+tech_proj!AE1688/(1-tech_proj!AE568))</f>
        <v>262.44135114968844</v>
      </c>
      <c r="AF1068" s="109">
        <f>IF(tech_base!$T164&gt;AF$905,"",AF2188+tech_proj!AF1688/(1-tech_proj!AF568))</f>
        <v>263.70862296691064</v>
      </c>
      <c r="AG1068" s="109">
        <f>IF(tech_base!$T164&gt;AG$905,"",AG2188+tech_proj!AG1688/(1-tech_proj!AG568))</f>
        <v>265.12947118030502</v>
      </c>
      <c r="AH1068" s="109">
        <f>IF(tech_base!$T164&gt;AH$905,"",AH2188+tech_proj!AH1688/(1-tech_proj!AH568))</f>
        <v>266.70352460542779</v>
      </c>
      <c r="AI1068" s="109">
        <f>IF(tech_base!$T164&gt;AI$905,"",AI2188+tech_proj!AI1688/(1-tech_proj!AI568))</f>
        <v>268.44551197972055</v>
      </c>
      <c r="AJ1068" s="109">
        <f>IF(tech_base!$T164&gt;AJ$905,"",AJ2188+tech_proj!AJ1688/(1-tech_proj!AJ568))</f>
        <v>270.38568309046065</v>
      </c>
      <c r="AK1068" s="109">
        <f>IF(tech_base!$T164&gt;AK$905,"",AK2188+tech_proj!AK1688/(1-tech_proj!AK568))</f>
        <v>272.5614763218133</v>
      </c>
      <c r="AL1068" s="109">
        <f>IF(tech_base!$T164&gt;AL$905,"",AL2188+tech_proj!AL1688/(1-tech_proj!AL568))</f>
        <v>274.90149499762049</v>
      </c>
      <c r="AM1068" s="109">
        <f>IF(tech_base!$T164&gt;AM$905,"",AM2188+tech_proj!AM1688/(1-tech_proj!AM568))</f>
        <v>277.31795012957241</v>
      </c>
      <c r="AN1068" s="109">
        <f>IF(tech_base!$T164&gt;AN$905,"",AN2188+tech_proj!AN1688/(1-tech_proj!AN568))</f>
        <v>279.78185380749898</v>
      </c>
      <c r="AO1068" s="109">
        <f>IF(tech_base!$T164&gt;AO$905,"",AO2188+tech_proj!AO1688/(1-tech_proj!AO568))</f>
        <v>280.20247906302325</v>
      </c>
      <c r="AP1068" s="109">
        <f>IF(tech_base!$T164&gt;AP$905,"",AP2188+tech_proj!AP1688/(1-tech_proj!AP568))</f>
        <v>281.17227970300308</v>
      </c>
      <c r="AQ1068" s="109">
        <f>IF(tech_base!$T164&gt;AQ$905,"",AQ2188+tech_proj!AQ1688/(1-tech_proj!AQ568))</f>
        <v>282.19131732435346</v>
      </c>
      <c r="AR1068" s="109">
        <f>IF(tech_base!$T164&gt;AR$905,"",AR2188+tech_proj!AR1688/(1-tech_proj!AR568))</f>
        <v>284.1561300748985</v>
      </c>
      <c r="AS1068" s="109">
        <f>IF(tech_base!$T164&gt;AS$905,"",AS2188+tech_proj!AS1688/(1-tech_proj!AS568))</f>
        <v>285.2822355351891</v>
      </c>
      <c r="AT1068" s="109">
        <f>IF(tech_base!$T164&gt;AT$905,"",AT2188+tech_proj!AT1688/(1-tech_proj!AT568))</f>
        <v>286.40881060042784</v>
      </c>
      <c r="AU1068" s="109">
        <f>IF(tech_base!$T164&gt;AU$905,"",AU2188+tech_proj!AU1688/(1-tech_proj!AU568))</f>
        <v>287.51645386984688</v>
      </c>
      <c r="AV1068" s="109">
        <f>IF(tech_base!$T164&gt;AV$905,"",AV2188+tech_proj!AV1688/(1-tech_proj!AV568))</f>
        <v>288.59458912142117</v>
      </c>
      <c r="AW1068" s="109">
        <f>IF(tech_base!$T164&gt;AW$905,"",AW2188+tech_proj!AW1688/(1-tech_proj!AW568))</f>
        <v>289.63522735170534</v>
      </c>
      <c r="AX1068" s="110">
        <f>IF(tech_base!$T164&gt;AX$905,"",AX2188+tech_proj!AX1688/(1-tech_proj!AX568))</f>
        <v>290.94739844135955</v>
      </c>
    </row>
    <row r="1069" spans="1:50" x14ac:dyDescent="0.25">
      <c r="A1069" s="356"/>
      <c r="B1069" s="376"/>
      <c r="C1069" s="378"/>
      <c r="D1069" s="2" t="s">
        <v>8</v>
      </c>
      <c r="E1069" s="160" t="str">
        <f>A1045&amp;"/"&amp;B1065&amp;"/"&amp;C1068&amp;"/"&amp;D1069</f>
        <v>Diesel oil fired power plants/Steam turbine/CHP/M</v>
      </c>
      <c r="F1069" s="76" t="str">
        <f>A1045</f>
        <v>Diesel oil fired power plants</v>
      </c>
      <c r="G1069" s="76" t="str">
        <f>B1065</f>
        <v>Steam turbine</v>
      </c>
      <c r="H1069" s="76" t="str">
        <f>C1068</f>
        <v>CHP</v>
      </c>
      <c r="I1069" s="161" t="str">
        <f t="shared" si="369"/>
        <v>M</v>
      </c>
      <c r="J1069" s="105">
        <f>IF(tech_base!$T165&gt;J$905,"",J2189+tech_proj!J1689/(1-tech_proj!J569))</f>
        <v>202.26137301897799</v>
      </c>
      <c r="K1069" s="105">
        <f>IF(tech_base!$T165&gt;K$905,"",K2189+tech_proj!K1689/(1-tech_proj!K569))</f>
        <v>238.44942120974463</v>
      </c>
      <c r="L1069" s="105">
        <f>IF(tech_base!$T165&gt;L$905,"",L2189+tech_proj!L1689/(1-tech_proj!L569))</f>
        <v>249.97191112689109</v>
      </c>
      <c r="M1069" s="105">
        <f>IF(tech_base!$T165&gt;M$905,"",M2189+tech_proj!M1689/(1-tech_proj!M569))</f>
        <v>241.61352336173979</v>
      </c>
      <c r="N1069" s="105">
        <f>IF(tech_base!$T165&gt;N$905,"",N2189+tech_proj!N1689/(1-tech_proj!N569))</f>
        <v>227.8621175025105</v>
      </c>
      <c r="O1069" s="105">
        <f>IF(tech_base!$T165&gt;O$905,"",O2189+tech_proj!O1689/(1-tech_proj!O569))</f>
        <v>179.5624901238867</v>
      </c>
      <c r="P1069" s="105">
        <f>IF(tech_base!$T165&gt;P$905,"",P2189+tech_proj!P1689/(1-tech_proj!P569))</f>
        <v>168.06013258880589</v>
      </c>
      <c r="Q1069" s="105">
        <f>IF(tech_base!$T165&gt;Q$905,"",Q2189+tech_proj!Q1689/(1-tech_proj!Q569))</f>
        <v>182.33791374467864</v>
      </c>
      <c r="R1069" s="105">
        <f>IF(tech_base!$T165&gt;R$905,"",R2189+tech_proj!R1689/(1-tech_proj!R569))</f>
        <v>195.10966176868587</v>
      </c>
      <c r="S1069" s="105">
        <f>IF(tech_base!$T165&gt;S$905,"",S2189+tech_proj!S1689/(1-tech_proj!S569))</f>
        <v>206.33617037207779</v>
      </c>
      <c r="T1069" s="105">
        <f>IF(tech_base!$T165&gt;T$905,"",T2189+tech_proj!T1689/(1-tech_proj!T569))</f>
        <v>217.17052110966816</v>
      </c>
      <c r="U1069" s="105">
        <f>IF(tech_base!$T165&gt;U$905,"",U2189+tech_proj!U1689/(1-tech_proj!U569))</f>
        <v>227.50269548150024</v>
      </c>
      <c r="V1069" s="105">
        <f>IF(tech_base!$T165&gt;V$905,"",V2189+tech_proj!V1689/(1-tech_proj!V569))</f>
        <v>234.49589557035455</v>
      </c>
      <c r="W1069" s="105">
        <f>IF(tech_base!$T165&gt;W$905,"",W2189+tech_proj!W1689/(1-tech_proj!W569))</f>
        <v>243.02097841226586</v>
      </c>
      <c r="X1069" s="105">
        <f>IF(tech_base!$T165&gt;X$905,"",X2189+tech_proj!X1689/(1-tech_proj!X569))</f>
        <v>250.44672281964472</v>
      </c>
      <c r="Y1069" s="105">
        <f>IF(tech_base!$T165&gt;Y$905,"",Y2189+tech_proj!Y1689/(1-tech_proj!Y569))</f>
        <v>256.77932281930777</v>
      </c>
      <c r="Z1069" s="105">
        <f>IF(tech_base!$T165&gt;Z$905,"",Z2189+tech_proj!Z1689/(1-tech_proj!Z569))</f>
        <v>260.91693188137776</v>
      </c>
      <c r="AA1069" s="105">
        <f>IF(tech_base!$T165&gt;AA$905,"",AA2189+tech_proj!AA1689/(1-tech_proj!AA569))</f>
        <v>264.68570373422085</v>
      </c>
      <c r="AB1069" s="105">
        <f>IF(tech_base!$T165&gt;AB$905,"",AB2189+tech_proj!AB1689/(1-tech_proj!AB569))</f>
        <v>267.3349963990438</v>
      </c>
      <c r="AC1069" s="105">
        <f>IF(tech_base!$T165&gt;AC$905,"",AC2189+tech_proj!AC1689/(1-tech_proj!AC569))</f>
        <v>271.34475373366411</v>
      </c>
      <c r="AD1069" s="105">
        <f>IF(tech_base!$T165&gt;AD$905,"",AD2189+tech_proj!AD1689/(1-tech_proj!AD569))</f>
        <v>273.8807433166628</v>
      </c>
      <c r="AE1069" s="105">
        <f>IF(tech_base!$T165&gt;AE$905,"",AE2189+tech_proj!AE1689/(1-tech_proj!AE569))</f>
        <v>276.31421887200975</v>
      </c>
      <c r="AF1069" s="105">
        <f>IF(tech_base!$T165&gt;AF$905,"",AF2189+tech_proj!AF1689/(1-tech_proj!AF569))</f>
        <v>277.64973410366827</v>
      </c>
      <c r="AG1069" s="105">
        <f>IF(tech_base!$T165&gt;AG$905,"",AG2189+tech_proj!AG1689/(1-tech_proj!AG569))</f>
        <v>279.14696060931419</v>
      </c>
      <c r="AH1069" s="105">
        <f>IF(tech_base!$T165&gt;AH$905,"",AH2189+tech_proj!AH1689/(1-tech_proj!AH569))</f>
        <v>280.8055096651708</v>
      </c>
      <c r="AI1069" s="105">
        <f>IF(tech_base!$T165&gt;AI$905,"",AI2189+tech_proj!AI1689/(1-tech_proj!AI569))</f>
        <v>282.64089290972794</v>
      </c>
      <c r="AJ1069" s="105">
        <f>IF(tech_base!$T165&gt;AJ$905,"",AJ2189+tech_proj!AJ1689/(1-tech_proj!AJ569))</f>
        <v>284.68496615220312</v>
      </c>
      <c r="AK1069" s="105">
        <f>IF(tech_base!$T165&gt;AK$905,"",AK2189+tech_proj!AK1689/(1-tech_proj!AK569))</f>
        <v>286.97715544575379</v>
      </c>
      <c r="AL1069" s="105">
        <f>IF(tech_base!$T165&gt;AL$905,"",AL2189+tech_proj!AL1689/(1-tech_proj!AL569))</f>
        <v>289.44228103200282</v>
      </c>
      <c r="AM1069" s="105">
        <f>IF(tech_base!$T165&gt;AM$905,"",AM2189+tech_proj!AM1689/(1-tech_proj!AM569))</f>
        <v>291.98790015012509</v>
      </c>
      <c r="AN1069" s="105">
        <f>IF(tech_base!$T165&gt;AN$905,"",AN2189+tech_proj!AN1689/(1-tech_proj!AN569))</f>
        <v>294.58348816369227</v>
      </c>
      <c r="AO1069" s="105">
        <f>IF(tech_base!$T165&gt;AO$905,"",AO2189+tech_proj!AO1689/(1-tech_proj!AO569))</f>
        <v>295.02742346879984</v>
      </c>
      <c r="AP1069" s="105">
        <f>IF(tech_base!$T165&gt;AP$905,"",AP2189+tech_proj!AP1689/(1-tech_proj!AP569))</f>
        <v>296.04965194008923</v>
      </c>
      <c r="AQ1069" s="105">
        <f>IF(tech_base!$T165&gt;AQ$905,"",AQ2189+tech_proj!AQ1689/(1-tech_proj!AQ569))</f>
        <v>297.12372055935975</v>
      </c>
      <c r="AR1069" s="105">
        <f>IF(tech_base!$T165&gt;AR$905,"",AR2189+tech_proj!AR1689/(1-tech_proj!AR569))</f>
        <v>299.19373277772041</v>
      </c>
      <c r="AS1069" s="105">
        <f>IF(tech_base!$T165&gt;AS$905,"",AS2189+tech_proj!AS1689/(1-tech_proj!AS569))</f>
        <v>300.38053698973812</v>
      </c>
      <c r="AT1069" s="105">
        <f>IF(tech_base!$T165&gt;AT$905,"",AT2189+tech_proj!AT1689/(1-tech_proj!AT569))</f>
        <v>301.56782814582039</v>
      </c>
      <c r="AU1069" s="105">
        <f>IF(tech_base!$T165&gt;AU$905,"",AU2189+tech_proj!AU1689/(1-tech_proj!AU569))</f>
        <v>302.73517531601772</v>
      </c>
      <c r="AV1069" s="105">
        <f>IF(tech_base!$T165&gt;AV$905,"",AV2189+tech_proj!AV1689/(1-tech_proj!AV569))</f>
        <v>303.87144080368006</v>
      </c>
      <c r="AW1069" s="105">
        <f>IF(tech_base!$T165&gt;AW$905,"",AW2189+tech_proj!AW1689/(1-tech_proj!AW569))</f>
        <v>304.96821129493662</v>
      </c>
      <c r="AX1069" s="106">
        <f>IF(tech_base!$T165&gt;AX$905,"",AX2189+tech_proj!AX1689/(1-tech_proj!AX569))</f>
        <v>306.35091854084749</v>
      </c>
    </row>
    <row r="1070" spans="1:50" x14ac:dyDescent="0.25">
      <c r="A1070" s="356"/>
      <c r="B1070" s="376"/>
      <c r="C1070" s="379"/>
      <c r="D1070" s="59" t="s">
        <v>10</v>
      </c>
      <c r="E1070" s="166" t="str">
        <f>A1045&amp;"/"&amp;B1065&amp;"/"&amp;C1068&amp;"/"&amp;D1070</f>
        <v>Diesel oil fired power plants/Steam turbine/CHP/S</v>
      </c>
      <c r="F1070" s="79" t="str">
        <f>A1045</f>
        <v>Diesel oil fired power plants</v>
      </c>
      <c r="G1070" s="79" t="str">
        <f>B1065</f>
        <v>Steam turbine</v>
      </c>
      <c r="H1070" s="79" t="str">
        <f>C1068</f>
        <v>CHP</v>
      </c>
      <c r="I1070" s="167" t="str">
        <f t="shared" si="369"/>
        <v>S</v>
      </c>
      <c r="J1070" s="111">
        <f>IF(tech_base!$T166&gt;J$905,"",J2190+tech_proj!J1690/(1-tech_proj!J570))</f>
        <v>213.14402493039606</v>
      </c>
      <c r="K1070" s="111">
        <f>IF(tech_base!$T166&gt;K$905,"",K2190+tech_proj!K1690/(1-tech_proj!K570))</f>
        <v>251.25160670795762</v>
      </c>
      <c r="L1070" s="111">
        <f>IF(tech_base!$T166&gt;L$905,"",L2190+tech_proj!L1690/(1-tech_proj!L570))</f>
        <v>263.38588542267831</v>
      </c>
      <c r="M1070" s="111">
        <f>IF(tech_base!$T166&gt;M$905,"",M2190+tech_proj!M1690/(1-tech_proj!M570))</f>
        <v>254.58500335426527</v>
      </c>
      <c r="N1070" s="111">
        <f>IF(tech_base!$T166&gt;N$905,"",N2190+tech_proj!N1690/(1-tech_proj!N570))</f>
        <v>240.10499560146781</v>
      </c>
      <c r="O1070" s="111">
        <f>IF(tech_base!$T166&gt;O$905,"",O2190+tech_proj!O1690/(1-tech_proj!O570))</f>
        <v>189.2441714464116</v>
      </c>
      <c r="P1070" s="111">
        <f>IF(tech_base!$T166&gt;P$905,"",P2190+tech_proj!P1690/(1-tech_proj!P570))</f>
        <v>177.13216331501343</v>
      </c>
      <c r="Q1070" s="111">
        <f>IF(tech_base!$T166&gt;Q$905,"",Q2190+tech_proj!Q1690/(1-tech_proj!Q570))</f>
        <v>192.16780108756808</v>
      </c>
      <c r="R1070" s="111">
        <f>IF(tech_base!$T166&gt;R$905,"",R2190+tech_proj!R1690/(1-tech_proj!R570))</f>
        <v>205.61760106314179</v>
      </c>
      <c r="S1070" s="111">
        <f>IF(tech_base!$T166&gt;S$905,"",S2190+tech_proj!S1690/(1-tech_proj!S570))</f>
        <v>217.44025887731041</v>
      </c>
      <c r="T1070" s="111">
        <f>IF(tech_base!$T166&gt;T$905,"",T2190+tech_proj!T1690/(1-tech_proj!T570))</f>
        <v>228.85001946152335</v>
      </c>
      <c r="U1070" s="111">
        <f>IF(tech_base!$T166&gt;U$905,"",U2190+tech_proj!U1690/(1-tech_proj!U570))</f>
        <v>239.73102079758706</v>
      </c>
      <c r="V1070" s="111">
        <f>IF(tech_base!$T166&gt;V$905,"",V2190+tech_proj!V1690/(1-tech_proj!V570))</f>
        <v>247.09592218518145</v>
      </c>
      <c r="W1070" s="111">
        <f>IF(tech_base!$T166&gt;W$905,"",W2190+tech_proj!W1690/(1-tech_proj!W570))</f>
        <v>256.0740369865689</v>
      </c>
      <c r="X1070" s="111">
        <f>IF(tech_base!$T166&gt;X$905,"",X2190+tech_proj!X1690/(1-tech_proj!X570))</f>
        <v>263.89451363463189</v>
      </c>
      <c r="Y1070" s="111">
        <f>IF(tech_base!$T166&gt;Y$905,"",Y2190+tech_proj!Y1690/(1-tech_proj!Y570))</f>
        <v>270.56386334166876</v>
      </c>
      <c r="Z1070" s="111">
        <f>IF(tech_base!$T166&gt;Z$905,"",Z2190+tech_proj!Z1690/(1-tech_proj!Z570))</f>
        <v>274.92174442348863</v>
      </c>
      <c r="AA1070" s="111">
        <f>IF(tech_base!$T166&gt;AA$905,"",AA2190+tech_proj!AA1690/(1-tech_proj!AA570))</f>
        <v>278.89122424804998</v>
      </c>
      <c r="AB1070" s="111">
        <f>IF(tech_base!$T166&gt;AB$905,"",AB2190+tech_proj!AB1690/(1-tech_proj!AB570))</f>
        <v>281.68180981538774</v>
      </c>
      <c r="AC1070" s="111">
        <f>IF(tech_base!$T166&gt;AC$905,"",AC2190+tech_proj!AC1690/(1-tech_proj!AC570))</f>
        <v>285.90508783261777</v>
      </c>
      <c r="AD1070" s="111">
        <f>IF(tech_base!$T166&gt;AD$905,"",AD2190+tech_proj!AD1690/(1-tech_proj!AD570))</f>
        <v>288.57636793729728</v>
      </c>
      <c r="AE1070" s="111">
        <f>IF(tech_base!$T166&gt;AE$905,"",AE2190+tech_proj!AE1690/(1-tech_proj!AE570))</f>
        <v>291.13969465778479</v>
      </c>
      <c r="AF1070" s="111">
        <f>IF(tech_base!$T166&gt;AF$905,"",AF2190+tech_proj!AF1690/(1-tech_proj!AF570))</f>
        <v>292.54676674743769</v>
      </c>
      <c r="AG1070" s="111">
        <f>IF(tech_base!$T166&gt;AG$905,"",AG2190+tech_proj!AG1690/(1-tech_proj!AG570))</f>
        <v>294.12413312030515</v>
      </c>
      <c r="AH1070" s="111">
        <f>IF(tech_base!$T166&gt;AH$905,"",AH2190+tech_proj!AH1690/(1-tech_proj!AH570))</f>
        <v>295.87138568345017</v>
      </c>
      <c r="AI1070" s="111">
        <f>IF(tech_base!$T166&gt;AI$905,"",AI2190+tech_proj!AI1690/(1-tech_proj!AI570))</f>
        <v>297.80486102924306</v>
      </c>
      <c r="AJ1070" s="111">
        <f>IF(tech_base!$T166&gt;AJ$905,"",AJ2190+tech_proj!AJ1690/(1-tech_proj!AJ570))</f>
        <v>299.95810802124726</v>
      </c>
      <c r="AK1070" s="111">
        <f>IF(tech_base!$T166&gt;AK$905,"",AK2190+tech_proj!AK1690/(1-tech_proj!AK570))</f>
        <v>302.37264809706613</v>
      </c>
      <c r="AL1070" s="111">
        <f>IF(tech_base!$T166&gt;AL$905,"",AL2190+tech_proj!AL1690/(1-tech_proj!AL570))</f>
        <v>304.96931034896318</v>
      </c>
      <c r="AM1070" s="111">
        <f>IF(tech_base!$T166&gt;AM$905,"",AM2190+tech_proj!AM1690/(1-tech_proj!AM570))</f>
        <v>307.65074315652311</v>
      </c>
      <c r="AN1070" s="111">
        <f>IF(tech_base!$T166&gt;AN$905,"",AN2190+tech_proj!AN1690/(1-tech_proj!AN570))</f>
        <v>310.38480094933783</v>
      </c>
      <c r="AO1070" s="111">
        <f>IF(tech_base!$T166&gt;AO$905,"",AO2190+tech_proj!AO1690/(1-tech_proj!AO570))</f>
        <v>310.85291495074921</v>
      </c>
      <c r="AP1070" s="111">
        <f>IF(tech_base!$T166&gt;AP$905,"",AP2190+tech_proj!AP1690/(1-tech_proj!AP570))</f>
        <v>311.93003339546118</v>
      </c>
      <c r="AQ1070" s="111">
        <f>IF(tech_base!$T166&gt;AQ$905,"",AQ2190+tech_proj!AQ1690/(1-tech_proj!AQ570))</f>
        <v>313.06174039606236</v>
      </c>
      <c r="AR1070" s="111">
        <f>IF(tech_base!$T166&gt;AR$905,"",AR2190+tech_proj!AR1690/(1-tech_proj!AR570))</f>
        <v>315.24229590691374</v>
      </c>
      <c r="AS1070" s="111">
        <f>IF(tech_base!$T166&gt;AS$905,"",AS2190+tech_proj!AS1690/(1-tech_proj!AS570))</f>
        <v>316.49271964079281</v>
      </c>
      <c r="AT1070" s="111">
        <f>IF(tech_base!$T166&gt;AT$905,"",AT2190+tech_proj!AT1690/(1-tech_proj!AT570))</f>
        <v>317.74365143968265</v>
      </c>
      <c r="AU1070" s="111">
        <f>IF(tech_base!$T166&gt;AU$905,"",AU2190+tech_proj!AU1690/(1-tech_proj!AU570))</f>
        <v>318.97357484934258</v>
      </c>
      <c r="AV1070" s="111">
        <f>IF(tech_base!$T166&gt;AV$905,"",AV2190+tech_proj!AV1690/(1-tech_proj!AV570))</f>
        <v>320.17076026731695</v>
      </c>
      <c r="AW1070" s="111">
        <f>IF(tech_base!$T166&gt;AW$905,"",AW2190+tech_proj!AW1690/(1-tech_proj!AW570))</f>
        <v>321.32634715122333</v>
      </c>
      <c r="AX1070" s="112">
        <f>IF(tech_base!$T166&gt;AX$905,"",AX2190+tech_proj!AX1690/(1-tech_proj!AX570))</f>
        <v>322.78305997562575</v>
      </c>
    </row>
    <row r="1071" spans="1:50" x14ac:dyDescent="0.25">
      <c r="A1071" s="356"/>
      <c r="B1071" s="376"/>
      <c r="C1071" s="361" t="s">
        <v>15</v>
      </c>
      <c r="D1071" s="58" t="s">
        <v>7</v>
      </c>
      <c r="E1071" s="164" t="str">
        <f>A1045&amp;"/"&amp;B1065&amp;"/"&amp;C1071&amp;"/"&amp;D1071</f>
        <v>Diesel oil fired power plants/Steam turbine/Electricity only with CCS/L</v>
      </c>
      <c r="F1071" s="78" t="str">
        <f>A1045</f>
        <v>Diesel oil fired power plants</v>
      </c>
      <c r="G1071" s="78" t="str">
        <f>B1065</f>
        <v>Steam turbine</v>
      </c>
      <c r="H1071" s="78" t="str">
        <f>C1071</f>
        <v>Electricity only with CCS</v>
      </c>
      <c r="I1071" s="165" t="str">
        <f t="shared" si="369"/>
        <v>L</v>
      </c>
      <c r="J1071" s="109" t="str">
        <f>IF(tech_base!$T167&gt;J$905,"",J2191+tech_proj!J1691/(1-tech_proj!J571))</f>
        <v/>
      </c>
      <c r="K1071" s="109" t="str">
        <f>IF(tech_base!$T167&gt;K$905,"",K2191+tech_proj!K1691/(1-tech_proj!K571))</f>
        <v/>
      </c>
      <c r="L1071" s="109" t="str">
        <f>IF(tech_base!$T167&gt;L$905,"",L2191+tech_proj!L1691/(1-tech_proj!L571))</f>
        <v/>
      </c>
      <c r="M1071" s="109" t="str">
        <f>IF(tech_base!$T167&gt;M$905,"",M2191+tech_proj!M1691/(1-tech_proj!M571))</f>
        <v/>
      </c>
      <c r="N1071" s="109" t="str">
        <f>IF(tech_base!$T167&gt;N$905,"",N2191+tech_proj!N1691/(1-tech_proj!N571))</f>
        <v/>
      </c>
      <c r="O1071" s="109" t="str">
        <f>IF(tech_base!$T167&gt;O$905,"",O2191+tech_proj!O1691/(1-tech_proj!O571))</f>
        <v/>
      </c>
      <c r="P1071" s="109" t="str">
        <f>IF(tech_base!$T167&gt;P$905,"",P2191+tech_proj!P1691/(1-tech_proj!P571))</f>
        <v/>
      </c>
      <c r="Q1071" s="109" t="str">
        <f>IF(tech_base!$T167&gt;Q$905,"",Q2191+tech_proj!Q1691/(1-tech_proj!Q571))</f>
        <v/>
      </c>
      <c r="R1071" s="109" t="str">
        <f>IF(tech_base!$T167&gt;R$905,"",R2191+tech_proj!R1691/(1-tech_proj!R571))</f>
        <v/>
      </c>
      <c r="S1071" s="109" t="str">
        <f>IF(tech_base!$T167&gt;S$905,"",S2191+tech_proj!S1691/(1-tech_proj!S571))</f>
        <v/>
      </c>
      <c r="T1071" s="109" t="str">
        <f>IF(tech_base!$T167&gt;T$905,"",T2191+tech_proj!T1691/(1-tech_proj!T571))</f>
        <v/>
      </c>
      <c r="U1071" s="109" t="str">
        <f>IF(tech_base!$T167&gt;U$905,"",U2191+tech_proj!U1691/(1-tech_proj!U571))</f>
        <v/>
      </c>
      <c r="V1071" s="109" t="str">
        <f>IF(tech_base!$T167&gt;V$905,"",V2191+tech_proj!V1691/(1-tech_proj!V571))</f>
        <v/>
      </c>
      <c r="W1071" s="109" t="str">
        <f>IF(tech_base!$T167&gt;W$905,"",W2191+tech_proj!W1691/(1-tech_proj!W571))</f>
        <v/>
      </c>
      <c r="X1071" s="109" t="str">
        <f>IF(tech_base!$T167&gt;X$905,"",X2191+tech_proj!X1691/(1-tech_proj!X571))</f>
        <v/>
      </c>
      <c r="Y1071" s="109" t="str">
        <f>IF(tech_base!$T167&gt;Y$905,"",Y2191+tech_proj!Y1691/(1-tech_proj!Y571))</f>
        <v/>
      </c>
      <c r="Z1071" s="109" t="str">
        <f>IF(tech_base!$T167&gt;Z$905,"",Z2191+tech_proj!Z1691/(1-tech_proj!Z571))</f>
        <v/>
      </c>
      <c r="AA1071" s="109" t="str">
        <f>IF(tech_base!$T167&gt;AA$905,"",AA2191+tech_proj!AA1691/(1-tech_proj!AA571))</f>
        <v/>
      </c>
      <c r="AB1071" s="109" t="str">
        <f>IF(tech_base!$T167&gt;AB$905,"",AB2191+tech_proj!AB1691/(1-tech_proj!AB571))</f>
        <v/>
      </c>
      <c r="AC1071" s="109" t="str">
        <f>IF(tech_base!$T167&gt;AC$905,"",AC2191+tech_proj!AC1691/(1-tech_proj!AC571))</f>
        <v/>
      </c>
      <c r="AD1071" s="109" t="str">
        <f>IF(tech_base!$T167&gt;AD$905,"",AD2191+tech_proj!AD1691/(1-tech_proj!AD571))</f>
        <v/>
      </c>
      <c r="AE1071" s="109">
        <f>IF(tech_base!$T167&gt;AE$905,"",AE2191+tech_proj!AE1691/(1-tech_proj!AE571))</f>
        <v>326.54237399866042</v>
      </c>
      <c r="AF1071" s="109">
        <f>IF(tech_base!$T167&gt;AF$905,"",AF2191+tech_proj!AF1691/(1-tech_proj!AF571))</f>
        <v>328.11798032688785</v>
      </c>
      <c r="AG1071" s="109">
        <f>IF(tech_base!$T167&gt;AG$905,"",AG2191+tech_proj!AG1691/(1-tech_proj!AG571))</f>
        <v>329.88412874447198</v>
      </c>
      <c r="AH1071" s="109">
        <f>IF(tech_base!$T167&gt;AH$905,"",AH2191+tech_proj!AH1691/(1-tech_proj!AH571))</f>
        <v>331.84036501549707</v>
      </c>
      <c r="AI1071" s="109">
        <f>IF(tech_base!$T167&gt;AI$905,"",AI2191+tech_proj!AI1691/(1-tech_proj!AI571))</f>
        <v>334.00497135309303</v>
      </c>
      <c r="AJ1071" s="109">
        <f>IF(tech_base!$T167&gt;AJ$905,"",AJ2191+tech_proj!AJ1691/(1-tech_proj!AJ571))</f>
        <v>336.41549001303889</v>
      </c>
      <c r="AK1071" s="109">
        <f>IF(tech_base!$T167&gt;AK$905,"",AK2191+tech_proj!AK1691/(1-tech_proj!AK571))</f>
        <v>339.11838478310284</v>
      </c>
      <c r="AL1071" s="109">
        <f>IF(tech_base!$T167&gt;AL$905,"",AL2191+tech_proj!AL1691/(1-tech_proj!AL571))</f>
        <v>342.02506921438834</v>
      </c>
      <c r="AM1071" s="109">
        <f>IF(tech_base!$T167&gt;AM$905,"",AM2191+tech_proj!AM1691/(1-tech_proj!AM571))</f>
        <v>345.02661166105952</v>
      </c>
      <c r="AN1071" s="109">
        <f>IF(tech_base!$T167&gt;AN$905,"",AN2191+tech_proj!AN1691/(1-tech_proj!AN571))</f>
        <v>348.08704278741328</v>
      </c>
      <c r="AO1071" s="109">
        <f>IF(tech_base!$T167&gt;AO$905,"",AO2191+tech_proj!AO1691/(1-tech_proj!AO571))</f>
        <v>348.61192942610001</v>
      </c>
      <c r="AP1071" s="109">
        <f>IF(tech_base!$T167&gt;AP$905,"",AP2191+tech_proj!AP1691/(1-tech_proj!AP571))</f>
        <v>349.81826667009773</v>
      </c>
      <c r="AQ1071" s="109">
        <f>IF(tech_base!$T167&gt;AQ$905,"",AQ2191+tech_proj!AQ1691/(1-tech_proj!AQ571))</f>
        <v>351.08567694884078</v>
      </c>
      <c r="AR1071" s="109">
        <f>IF(tech_base!$T167&gt;AR$905,"",AR2191+tech_proj!AR1691/(1-tech_proj!AR571))</f>
        <v>353.52673056127475</v>
      </c>
      <c r="AS1071" s="109">
        <f>IF(tech_base!$T167&gt;AS$905,"",AS2191+tech_proj!AS1691/(1-tech_proj!AS571))</f>
        <v>354.92696773905385</v>
      </c>
      <c r="AT1071" s="109">
        <f>IF(tech_base!$T167&gt;AT$905,"",AT2191+tech_proj!AT1691/(1-tech_proj!AT571))</f>
        <v>356.32776401812168</v>
      </c>
      <c r="AU1071" s="109">
        <f>IF(tech_base!$T167&gt;AU$905,"",AU2191+tech_proj!AU1691/(1-tech_proj!AU571))</f>
        <v>357.70504246932074</v>
      </c>
      <c r="AV1071" s="109">
        <f>IF(tech_base!$T167&gt;AV$905,"",AV2191+tech_proj!AV1691/(1-tech_proj!AV571))</f>
        <v>359.04567741280334</v>
      </c>
      <c r="AW1071" s="109">
        <f>IF(tech_base!$T167&gt;AW$905,"",AW2191+tech_proj!AW1691/(1-tech_proj!AW571))</f>
        <v>360.33975352114152</v>
      </c>
      <c r="AX1071" s="110">
        <f>IF(tech_base!$T167&gt;AX$905,"",AX2191+tech_proj!AX1691/(1-tech_proj!AX571))</f>
        <v>361.97078416067649</v>
      </c>
    </row>
    <row r="1072" spans="1:50" x14ac:dyDescent="0.25">
      <c r="A1072" s="356"/>
      <c r="B1072" s="376"/>
      <c r="C1072" s="379"/>
      <c r="D1072" s="59" t="s">
        <v>8</v>
      </c>
      <c r="E1072" s="166" t="str">
        <f>A1045&amp;"/"&amp;B1065&amp;"/"&amp;C1071&amp;"/"&amp;D1072</f>
        <v>Diesel oil fired power plants/Steam turbine/Electricity only with CCS/M</v>
      </c>
      <c r="F1072" s="79" t="str">
        <f>A1045</f>
        <v>Diesel oil fired power plants</v>
      </c>
      <c r="G1072" s="79" t="str">
        <f>B1065</f>
        <v>Steam turbine</v>
      </c>
      <c r="H1072" s="79" t="str">
        <f>C1071</f>
        <v>Electricity only with CCS</v>
      </c>
      <c r="I1072" s="167" t="str">
        <f t="shared" si="369"/>
        <v>M</v>
      </c>
      <c r="J1072" s="111" t="str">
        <f>IF(tech_base!$T168&gt;J$905,"",J2192+tech_proj!J1692/(1-tech_proj!J572))</f>
        <v/>
      </c>
      <c r="K1072" s="111" t="str">
        <f>IF(tech_base!$T168&gt;K$905,"",K2192+tech_proj!K1692/(1-tech_proj!K572))</f>
        <v/>
      </c>
      <c r="L1072" s="111" t="str">
        <f>IF(tech_base!$T168&gt;L$905,"",L2192+tech_proj!L1692/(1-tech_proj!L572))</f>
        <v/>
      </c>
      <c r="M1072" s="111" t="str">
        <f>IF(tech_base!$T168&gt;M$905,"",M2192+tech_proj!M1692/(1-tech_proj!M572))</f>
        <v/>
      </c>
      <c r="N1072" s="111" t="str">
        <f>IF(tech_base!$T168&gt;N$905,"",N2192+tech_proj!N1692/(1-tech_proj!N572))</f>
        <v/>
      </c>
      <c r="O1072" s="111" t="str">
        <f>IF(tech_base!$T168&gt;O$905,"",O2192+tech_proj!O1692/(1-tech_proj!O572))</f>
        <v/>
      </c>
      <c r="P1072" s="111" t="str">
        <f>IF(tech_base!$T168&gt;P$905,"",P2192+tech_proj!P1692/(1-tech_proj!P572))</f>
        <v/>
      </c>
      <c r="Q1072" s="111" t="str">
        <f>IF(tech_base!$T168&gt;Q$905,"",Q2192+tech_proj!Q1692/(1-tech_proj!Q572))</f>
        <v/>
      </c>
      <c r="R1072" s="111" t="str">
        <f>IF(tech_base!$T168&gt;R$905,"",R2192+tech_proj!R1692/(1-tech_proj!R572))</f>
        <v/>
      </c>
      <c r="S1072" s="111" t="str">
        <f>IF(tech_base!$T168&gt;S$905,"",S2192+tech_proj!S1692/(1-tech_proj!S572))</f>
        <v/>
      </c>
      <c r="T1072" s="111" t="str">
        <f>IF(tech_base!$T168&gt;T$905,"",T2192+tech_proj!T1692/(1-tech_proj!T572))</f>
        <v/>
      </c>
      <c r="U1072" s="111" t="str">
        <f>IF(tech_base!$T168&gt;U$905,"",U2192+tech_proj!U1692/(1-tech_proj!U572))</f>
        <v/>
      </c>
      <c r="V1072" s="111" t="str">
        <f>IF(tech_base!$T168&gt;V$905,"",V2192+tech_proj!V1692/(1-tech_proj!V572))</f>
        <v/>
      </c>
      <c r="W1072" s="111" t="str">
        <f>IF(tech_base!$T168&gt;W$905,"",W2192+tech_proj!W1692/(1-tech_proj!W572))</f>
        <v/>
      </c>
      <c r="X1072" s="111" t="str">
        <f>IF(tech_base!$T168&gt;X$905,"",X2192+tech_proj!X1692/(1-tech_proj!X572))</f>
        <v/>
      </c>
      <c r="Y1072" s="111" t="str">
        <f>IF(tech_base!$T168&gt;Y$905,"",Y2192+tech_proj!Y1692/(1-tech_proj!Y572))</f>
        <v/>
      </c>
      <c r="Z1072" s="111" t="str">
        <f>IF(tech_base!$T168&gt;Z$905,"",Z2192+tech_proj!Z1692/(1-tech_proj!Z572))</f>
        <v/>
      </c>
      <c r="AA1072" s="111" t="str">
        <f>IF(tech_base!$T168&gt;AA$905,"",AA2192+tech_proj!AA1692/(1-tech_proj!AA572))</f>
        <v/>
      </c>
      <c r="AB1072" s="111" t="str">
        <f>IF(tech_base!$T168&gt;AB$905,"",AB2192+tech_proj!AB1692/(1-tech_proj!AB572))</f>
        <v/>
      </c>
      <c r="AC1072" s="111" t="str">
        <f>IF(tech_base!$T168&gt;AC$905,"",AC2192+tech_proj!AC1692/(1-tech_proj!AC572))</f>
        <v/>
      </c>
      <c r="AD1072" s="111" t="str">
        <f>IF(tech_base!$T168&gt;AD$905,"",AD2192+tech_proj!AD1692/(1-tech_proj!AD572))</f>
        <v/>
      </c>
      <c r="AE1072" s="111">
        <f>IF(tech_base!$T168&gt;AE$905,"",AE2192+tech_proj!AE1692/(1-tech_proj!AE572))</f>
        <v>350.67123551557313</v>
      </c>
      <c r="AF1072" s="111">
        <f>IF(tech_base!$T168&gt;AF$905,"",AF2192+tech_proj!AF1692/(1-tech_proj!AF572))</f>
        <v>352.35683373393664</v>
      </c>
      <c r="AG1072" s="111">
        <f>IF(tech_base!$T168&gt;AG$905,"",AG2192+tech_proj!AG1692/(1-tech_proj!AG572))</f>
        <v>354.24627564129088</v>
      </c>
      <c r="AH1072" s="111">
        <f>IF(tech_base!$T168&gt;AH$905,"",AH2192+tech_proj!AH1692/(1-tech_proj!AH572))</f>
        <v>356.33907529185313</v>
      </c>
      <c r="AI1072" s="111">
        <f>IF(tech_base!$T168&gt;AI$905,"",AI2192+tech_proj!AI1692/(1-tech_proj!AI572))</f>
        <v>358.65479116627142</v>
      </c>
      <c r="AJ1072" s="111">
        <f>IF(tech_base!$T168&gt;AJ$905,"",AJ2192+tech_proj!AJ1692/(1-tech_proj!AJ572))</f>
        <v>361.23358631690274</v>
      </c>
      <c r="AK1072" s="111">
        <f>IF(tech_base!$T168&gt;AK$905,"",AK2192+tech_proj!AK1692/(1-tech_proj!AK572))</f>
        <v>364.12516813351647</v>
      </c>
      <c r="AL1072" s="111">
        <f>IF(tech_base!$T168&gt;AL$905,"",AL2192+tech_proj!AL1692/(1-tech_proj!AL572))</f>
        <v>367.23476601399204</v>
      </c>
      <c r="AM1072" s="111">
        <f>IF(tech_base!$T168&gt;AM$905,"",AM2192+tech_proj!AM1692/(1-tech_proj!AM572))</f>
        <v>370.44584387640668</v>
      </c>
      <c r="AN1072" s="111">
        <f>IF(tech_base!$T168&gt;AN$905,"",AN2192+tech_proj!AN1692/(1-tech_proj!AN572))</f>
        <v>373.71992139284424</v>
      </c>
      <c r="AO1072" s="111">
        <f>IF(tech_base!$T168&gt;AO$905,"",AO2192+tech_proj!AO1692/(1-tech_proj!AO572))</f>
        <v>374.28144997213639</v>
      </c>
      <c r="AP1072" s="111">
        <f>IF(tech_base!$T168&gt;AP$905,"",AP2192+tech_proj!AP1692/(1-tech_proj!AP572))</f>
        <v>375.57200070984237</v>
      </c>
      <c r="AQ1072" s="111">
        <f>IF(tech_base!$T168&gt;AQ$905,"",AQ2192+tech_proj!AQ1692/(1-tech_proj!AQ572))</f>
        <v>376.92788794481459</v>
      </c>
      <c r="AR1072" s="111">
        <f>IF(tech_base!$T168&gt;AR$905,"",AR2192+tech_proj!AR1692/(1-tech_proj!AR572))</f>
        <v>379.53934966995087</v>
      </c>
      <c r="AS1072" s="111">
        <f>IF(tech_base!$T168&gt;AS$905,"",AS2192+tech_proj!AS1692/(1-tech_proj!AS572))</f>
        <v>381.03733634966056</v>
      </c>
      <c r="AT1072" s="111">
        <f>IF(tech_base!$T168&gt;AT$905,"",AT2192+tech_proj!AT1692/(1-tech_proj!AT572))</f>
        <v>382.53592116109843</v>
      </c>
      <c r="AU1072" s="111">
        <f>IF(tech_base!$T168&gt;AU$905,"",AU2192+tech_proj!AU1692/(1-tech_proj!AU572))</f>
        <v>384.00934638283098</v>
      </c>
      <c r="AV1072" s="111">
        <f>IF(tech_base!$T168&gt;AV$905,"",AV2192+tech_proj!AV1692/(1-tech_proj!AV572))</f>
        <v>385.44357004119388</v>
      </c>
      <c r="AW1072" s="111">
        <f>IF(tech_base!$T168&gt;AW$905,"",AW2192+tech_proj!AW1692/(1-tech_proj!AW572))</f>
        <v>386.82798462722553</v>
      </c>
      <c r="AX1072" s="112">
        <f>IF(tech_base!$T168&gt;AX$905,"",AX2192+tech_proj!AX1692/(1-tech_proj!AX572))</f>
        <v>388.57287628629206</v>
      </c>
    </row>
    <row r="1073" spans="1:50" x14ac:dyDescent="0.25">
      <c r="A1073" s="356"/>
      <c r="B1073" s="376"/>
      <c r="C1073" s="361" t="s">
        <v>16</v>
      </c>
      <c r="D1073" s="2" t="s">
        <v>7</v>
      </c>
      <c r="E1073" s="160" t="str">
        <f>A1045&amp;"/"&amp;B1065&amp;"/"&amp;C1073&amp;"/"&amp;D1073</f>
        <v>Diesel oil fired power plants/Steam turbine/CHP with CCS/L</v>
      </c>
      <c r="F1073" s="76" t="str">
        <f>A1045</f>
        <v>Diesel oil fired power plants</v>
      </c>
      <c r="G1073" s="76" t="str">
        <f>B1065</f>
        <v>Steam turbine</v>
      </c>
      <c r="H1073" s="76" t="str">
        <f>C1073</f>
        <v>CHP with CCS</v>
      </c>
      <c r="I1073" s="161" t="str">
        <f t="shared" si="369"/>
        <v>L</v>
      </c>
      <c r="J1073" s="105" t="str">
        <f>IF(tech_base!$T169&gt;J$905,"",J2193+tech_proj!J1693/(1-tech_proj!J573))</f>
        <v/>
      </c>
      <c r="K1073" s="105" t="str">
        <f>IF(tech_base!$T169&gt;K$905,"",K2193+tech_proj!K1693/(1-tech_proj!K573))</f>
        <v/>
      </c>
      <c r="L1073" s="105" t="str">
        <f>IF(tech_base!$T169&gt;L$905,"",L2193+tech_proj!L1693/(1-tech_proj!L573))</f>
        <v/>
      </c>
      <c r="M1073" s="105" t="str">
        <f>IF(tech_base!$T169&gt;M$905,"",M2193+tech_proj!M1693/(1-tech_proj!M573))</f>
        <v/>
      </c>
      <c r="N1073" s="105" t="str">
        <f>IF(tech_base!$T169&gt;N$905,"",N2193+tech_proj!N1693/(1-tech_proj!N573))</f>
        <v/>
      </c>
      <c r="O1073" s="105" t="str">
        <f>IF(tech_base!$T169&gt;O$905,"",O2193+tech_proj!O1693/(1-tech_proj!O573))</f>
        <v/>
      </c>
      <c r="P1073" s="105" t="str">
        <f>IF(tech_base!$T169&gt;P$905,"",P2193+tech_proj!P1693/(1-tech_proj!P573))</f>
        <v/>
      </c>
      <c r="Q1073" s="105" t="str">
        <f>IF(tech_base!$T169&gt;Q$905,"",Q2193+tech_proj!Q1693/(1-tech_proj!Q573))</f>
        <v/>
      </c>
      <c r="R1073" s="105" t="str">
        <f>IF(tech_base!$T169&gt;R$905,"",R2193+tech_proj!R1693/(1-tech_proj!R573))</f>
        <v/>
      </c>
      <c r="S1073" s="105" t="str">
        <f>IF(tech_base!$T169&gt;S$905,"",S2193+tech_proj!S1693/(1-tech_proj!S573))</f>
        <v/>
      </c>
      <c r="T1073" s="105" t="str">
        <f>IF(tech_base!$T169&gt;T$905,"",T2193+tech_proj!T1693/(1-tech_proj!T573))</f>
        <v/>
      </c>
      <c r="U1073" s="105" t="str">
        <f>IF(tech_base!$T169&gt;U$905,"",U2193+tech_proj!U1693/(1-tech_proj!U573))</f>
        <v/>
      </c>
      <c r="V1073" s="105" t="str">
        <f>IF(tech_base!$T169&gt;V$905,"",V2193+tech_proj!V1693/(1-tech_proj!V573))</f>
        <v/>
      </c>
      <c r="W1073" s="105" t="str">
        <f>IF(tech_base!$T169&gt;W$905,"",W2193+tech_proj!W1693/(1-tech_proj!W573))</f>
        <v/>
      </c>
      <c r="X1073" s="105" t="str">
        <f>IF(tech_base!$T169&gt;X$905,"",X2193+tech_proj!X1693/(1-tech_proj!X573))</f>
        <v/>
      </c>
      <c r="Y1073" s="105" t="str">
        <f>IF(tech_base!$T169&gt;Y$905,"",Y2193+tech_proj!Y1693/(1-tech_proj!Y573))</f>
        <v/>
      </c>
      <c r="Z1073" s="105" t="str">
        <f>IF(tech_base!$T169&gt;Z$905,"",Z2193+tech_proj!Z1693/(1-tech_proj!Z573))</f>
        <v/>
      </c>
      <c r="AA1073" s="105" t="str">
        <f>IF(tech_base!$T169&gt;AA$905,"",AA2193+tech_proj!AA1693/(1-tech_proj!AA573))</f>
        <v/>
      </c>
      <c r="AB1073" s="105" t="str">
        <f>IF(tech_base!$T169&gt;AB$905,"",AB2193+tech_proj!AB1693/(1-tech_proj!AB573))</f>
        <v/>
      </c>
      <c r="AC1073" s="105" t="str">
        <f>IF(tech_base!$T169&gt;AC$905,"",AC2193+tech_proj!AC1693/(1-tech_proj!AC573))</f>
        <v/>
      </c>
      <c r="AD1073" s="105" t="str">
        <f>IF(tech_base!$T169&gt;AD$905,"",AD2193+tech_proj!AD1693/(1-tech_proj!AD573))</f>
        <v/>
      </c>
      <c r="AE1073" s="105">
        <f>IF(tech_base!$T169&gt;AE$905,"",AE2193+tech_proj!AE1693/(1-tech_proj!AE573))</f>
        <v>373.9914265678492</v>
      </c>
      <c r="AF1073" s="105">
        <f>IF(tech_base!$T169&gt;AF$905,"",AF2193+tech_proj!AF1693/(1-tech_proj!AF573))</f>
        <v>375.79124668215616</v>
      </c>
      <c r="AG1073" s="105">
        <f>IF(tech_base!$T169&gt;AG$905,"",AG2193+tech_proj!AG1693/(1-tech_proj!AG573))</f>
        <v>377.80872363047189</v>
      </c>
      <c r="AH1073" s="105">
        <f>IF(tech_base!$T169&gt;AH$905,"",AH2193+tech_proj!AH1693/(1-tech_proj!AH573))</f>
        <v>380.04333853766695</v>
      </c>
      <c r="AI1073" s="105">
        <f>IF(tech_base!$T169&gt;AI$905,"",AI2193+tech_proj!AI1693/(1-tech_proj!AI573))</f>
        <v>382.51597523388062</v>
      </c>
      <c r="AJ1073" s="105">
        <f>IF(tech_base!$T169&gt;AJ$905,"",AJ2193+tech_proj!AJ1693/(1-tech_proj!AJ573))</f>
        <v>385.26951835715789</v>
      </c>
      <c r="AK1073" s="105">
        <f>IF(tech_base!$T169&gt;AK$905,"",AK2193+tech_proj!AK1693/(1-tech_proj!AK573))</f>
        <v>388.3570436398781</v>
      </c>
      <c r="AL1073" s="105">
        <f>IF(tech_base!$T169&gt;AL$905,"",AL2193+tech_proj!AL1693/(1-tech_proj!AL573))</f>
        <v>391.67735850003487</v>
      </c>
      <c r="AM1073" s="105">
        <f>IF(tech_base!$T169&gt;AM$905,"",AM2193+tech_proj!AM1693/(1-tech_proj!AM573))</f>
        <v>395.10602997252283</v>
      </c>
      <c r="AN1073" s="105">
        <f>IF(tech_base!$T169&gt;AN$905,"",AN2193+tech_proj!AN1693/(1-tech_proj!AN573))</f>
        <v>398.60197017089678</v>
      </c>
      <c r="AO1073" s="105">
        <f>IF(tech_base!$T169&gt;AO$905,"",AO2193+tech_proj!AO1693/(1-tech_proj!AO573))</f>
        <v>399.20154984579068</v>
      </c>
      <c r="AP1073" s="105">
        <f>IF(tech_base!$T169&gt;AP$905,"",AP2193+tech_proj!AP1693/(1-tech_proj!AP573))</f>
        <v>400.57955271204429</v>
      </c>
      <c r="AQ1073" s="105">
        <f>IF(tech_base!$T169&gt;AQ$905,"",AQ2193+tech_proj!AQ1693/(1-tech_proj!AQ573))</f>
        <v>402.02731949991153</v>
      </c>
      <c r="AR1073" s="105">
        <f>IF(tech_base!$T169&gt;AR$905,"",AR2193+tech_proj!AR1693/(1-tech_proj!AR573))</f>
        <v>404.81574279642308</v>
      </c>
      <c r="AS1073" s="105">
        <f>IF(tech_base!$T169&gt;AS$905,"",AS2193+tech_proj!AS1693/(1-tech_proj!AS573))</f>
        <v>406.41523817303943</v>
      </c>
      <c r="AT1073" s="105">
        <f>IF(tech_base!$T169&gt;AT$905,"",AT2193+tech_proj!AT1693/(1-tech_proj!AT573))</f>
        <v>408.01537221283405</v>
      </c>
      <c r="AU1073" s="105">
        <f>IF(tech_base!$T169&gt;AU$905,"",AU2193+tech_proj!AU1693/(1-tech_proj!AU573))</f>
        <v>409.58864176314012</v>
      </c>
      <c r="AV1073" s="105">
        <f>IF(tech_base!$T169&gt;AV$905,"",AV2193+tech_proj!AV1693/(1-tech_proj!AV573))</f>
        <v>411.12005331816812</v>
      </c>
      <c r="AW1073" s="105">
        <f>IF(tech_base!$T169&gt;AW$905,"",AW2193+tech_proj!AW1693/(1-tech_proj!AW573))</f>
        <v>412.59828056789706</v>
      </c>
      <c r="AX1073" s="106">
        <f>IF(tech_base!$T169&gt;AX$905,"",AX2193+tech_proj!AX1693/(1-tech_proj!AX573))</f>
        <v>414.46141204908912</v>
      </c>
    </row>
    <row r="1074" spans="1:50" x14ac:dyDescent="0.25">
      <c r="A1074" s="356"/>
      <c r="B1074" s="380"/>
      <c r="C1074" s="381"/>
      <c r="D1074" s="4" t="s">
        <v>8</v>
      </c>
      <c r="E1074" s="168" t="str">
        <f>A1045&amp;"/"&amp;B1065&amp;"/"&amp;C1073&amp;"/"&amp;D1074</f>
        <v>Diesel oil fired power plants/Steam turbine/CHP with CCS/M</v>
      </c>
      <c r="F1074" s="80" t="str">
        <f>A1045</f>
        <v>Diesel oil fired power plants</v>
      </c>
      <c r="G1074" s="80" t="str">
        <f>B1065</f>
        <v>Steam turbine</v>
      </c>
      <c r="H1074" s="80" t="str">
        <f>C1073</f>
        <v>CHP with CCS</v>
      </c>
      <c r="I1074" s="169" t="str">
        <f t="shared" si="369"/>
        <v>M</v>
      </c>
      <c r="J1074" s="113" t="str">
        <f>IF(tech_base!$T170&gt;J$905,"",J2194+tech_proj!J1694/(1-tech_proj!J574))</f>
        <v/>
      </c>
      <c r="K1074" s="113" t="str">
        <f>IF(tech_base!$T170&gt;K$905,"",K2194+tech_proj!K1694/(1-tech_proj!K574))</f>
        <v/>
      </c>
      <c r="L1074" s="113" t="str">
        <f>IF(tech_base!$T170&gt;L$905,"",L2194+tech_proj!L1694/(1-tech_proj!L574))</f>
        <v/>
      </c>
      <c r="M1074" s="113" t="str">
        <f>IF(tech_base!$T170&gt;M$905,"",M2194+tech_proj!M1694/(1-tech_proj!M574))</f>
        <v/>
      </c>
      <c r="N1074" s="113" t="str">
        <f>IF(tech_base!$T170&gt;N$905,"",N2194+tech_proj!N1694/(1-tech_proj!N574))</f>
        <v/>
      </c>
      <c r="O1074" s="113" t="str">
        <f>IF(tech_base!$T170&gt;O$905,"",O2194+tech_proj!O1694/(1-tech_proj!O574))</f>
        <v/>
      </c>
      <c r="P1074" s="113" t="str">
        <f>IF(tech_base!$T170&gt;P$905,"",P2194+tech_proj!P1694/(1-tech_proj!P574))</f>
        <v/>
      </c>
      <c r="Q1074" s="113" t="str">
        <f>IF(tech_base!$T170&gt;Q$905,"",Q2194+tech_proj!Q1694/(1-tech_proj!Q574))</f>
        <v/>
      </c>
      <c r="R1074" s="113" t="str">
        <f>IF(tech_base!$T170&gt;R$905,"",R2194+tech_proj!R1694/(1-tech_proj!R574))</f>
        <v/>
      </c>
      <c r="S1074" s="113" t="str">
        <f>IF(tech_base!$T170&gt;S$905,"",S2194+tech_proj!S1694/(1-tech_proj!S574))</f>
        <v/>
      </c>
      <c r="T1074" s="113" t="str">
        <f>IF(tech_base!$T170&gt;T$905,"",T2194+tech_proj!T1694/(1-tech_proj!T574))</f>
        <v/>
      </c>
      <c r="U1074" s="113" t="str">
        <f>IF(tech_base!$T170&gt;U$905,"",U2194+tech_proj!U1694/(1-tech_proj!U574))</f>
        <v/>
      </c>
      <c r="V1074" s="113" t="str">
        <f>IF(tech_base!$T170&gt;V$905,"",V2194+tech_proj!V1694/(1-tech_proj!V574))</f>
        <v/>
      </c>
      <c r="W1074" s="113" t="str">
        <f>IF(tech_base!$T170&gt;W$905,"",W2194+tech_proj!W1694/(1-tech_proj!W574))</f>
        <v/>
      </c>
      <c r="X1074" s="113" t="str">
        <f>IF(tech_base!$T170&gt;X$905,"",X2194+tech_proj!X1694/(1-tech_proj!X574))</f>
        <v/>
      </c>
      <c r="Y1074" s="113" t="str">
        <f>IF(tech_base!$T170&gt;Y$905,"",Y2194+tech_proj!Y1694/(1-tech_proj!Y574))</f>
        <v/>
      </c>
      <c r="Z1074" s="113" t="str">
        <f>IF(tech_base!$T170&gt;Z$905,"",Z2194+tech_proj!Z1694/(1-tech_proj!Z574))</f>
        <v/>
      </c>
      <c r="AA1074" s="113" t="str">
        <f>IF(tech_base!$T170&gt;AA$905,"",AA2194+tech_proj!AA1694/(1-tech_proj!AA574))</f>
        <v/>
      </c>
      <c r="AB1074" s="113" t="str">
        <f>IF(tech_base!$T170&gt;AB$905,"",AB2194+tech_proj!AB1694/(1-tech_proj!AB574))</f>
        <v/>
      </c>
      <c r="AC1074" s="113" t="str">
        <f>IF(tech_base!$T170&gt;AC$905,"",AC2194+tech_proj!AC1694/(1-tech_proj!AC574))</f>
        <v/>
      </c>
      <c r="AD1074" s="113" t="str">
        <f>IF(tech_base!$T170&gt;AD$905,"",AD2194+tech_proj!AD1694/(1-tech_proj!AD574))</f>
        <v/>
      </c>
      <c r="AE1074" s="113">
        <f>IF(tech_base!$T170&gt;AE$905,"",AE2194+tech_proj!AE1694/(1-tech_proj!AE574))</f>
        <v>402.40867462448614</v>
      </c>
      <c r="AF1074" s="113">
        <f>IF(tech_base!$T170&gt;AF$905,"",AF2194+tech_proj!AF1694/(1-tech_proj!AF574))</f>
        <v>404.33932200332549</v>
      </c>
      <c r="AG1074" s="113">
        <f>IF(tech_base!$T170&gt;AG$905,"",AG2194+tech_proj!AG1694/(1-tech_proj!AG574))</f>
        <v>406.50344749074094</v>
      </c>
      <c r="AH1074" s="113">
        <f>IF(tech_base!$T170&gt;AH$905,"",AH2194+tech_proj!AH1694/(1-tech_proj!AH574))</f>
        <v>408.90049449504824</v>
      </c>
      <c r="AI1074" s="113">
        <f>IF(tech_base!$T170&gt;AI$905,"",AI2194+tech_proj!AI1694/(1-tech_proj!AI574))</f>
        <v>411.55286487274293</v>
      </c>
      <c r="AJ1074" s="113">
        <f>IF(tech_base!$T170&gt;AJ$905,"",AJ2194+tech_proj!AJ1694/(1-tech_proj!AJ574))</f>
        <v>414.50656050666669</v>
      </c>
      <c r="AK1074" s="113">
        <f>IF(tech_base!$T170&gt;AK$905,"",AK2194+tech_proj!AK1694/(1-tech_proj!AK574))</f>
        <v>417.81851515524522</v>
      </c>
      <c r="AL1074" s="113">
        <f>IF(tech_base!$T170&gt;AL$905,"",AL2194+tech_proj!AL1694/(1-tech_proj!AL574))</f>
        <v>421.38018064099379</v>
      </c>
      <c r="AM1074" s="113">
        <f>IF(tech_base!$T170&gt;AM$905,"",AM2194+tech_proj!AM1694/(1-tech_proj!AM574))</f>
        <v>425.05807908131044</v>
      </c>
      <c r="AN1074" s="113">
        <f>IF(tech_base!$T170&gt;AN$905,"",AN2194+tech_proj!AN1694/(1-tech_proj!AN574))</f>
        <v>428.80813594917072</v>
      </c>
      <c r="AO1074" s="113">
        <f>IF(tech_base!$T170&gt;AO$905,"",AO2194+tech_proj!AO1694/(1-tech_proj!AO574))</f>
        <v>429.45129851777278</v>
      </c>
      <c r="AP1074" s="113">
        <f>IF(tech_base!$T170&gt;AP$905,"",AP2194+tech_proj!AP1694/(1-tech_proj!AP574))</f>
        <v>430.92946714174667</v>
      </c>
      <c r="AQ1074" s="113">
        <f>IF(tech_base!$T170&gt;AQ$905,"",AQ2194+tech_proj!AQ1694/(1-tech_proj!AQ574))</f>
        <v>432.48247076246844</v>
      </c>
      <c r="AR1074" s="113">
        <f>IF(tech_base!$T170&gt;AR$905,"",AR2194+tech_proj!AR1694/(1-tech_proj!AR574))</f>
        <v>435.47358197725652</v>
      </c>
      <c r="AS1074" s="113">
        <f>IF(tech_base!$T170&gt;AS$905,"",AS2194+tech_proj!AS1694/(1-tech_proj!AS574))</f>
        <v>437.18934319793783</v>
      </c>
      <c r="AT1074" s="113">
        <f>IF(tech_base!$T170&gt;AT$905,"",AT2194+tech_proj!AT1694/(1-tech_proj!AT574))</f>
        <v>438.90578950563497</v>
      </c>
      <c r="AU1074" s="113">
        <f>IF(tech_base!$T170&gt;AU$905,"",AU2194+tech_proj!AU1694/(1-tech_proj!AU574))</f>
        <v>440.59341856887369</v>
      </c>
      <c r="AV1074" s="113">
        <f>IF(tech_base!$T170&gt;AV$905,"",AV2194+tech_proj!AV1694/(1-tech_proj!AV574))</f>
        <v>442.23614701775409</v>
      </c>
      <c r="AW1074" s="113">
        <f>IF(tech_base!$T170&gt;AW$905,"",AW2194+tech_proj!AW1694/(1-tech_proj!AW574))</f>
        <v>443.82182524322332</v>
      </c>
      <c r="AX1074" s="114">
        <f>IF(tech_base!$T170&gt;AX$905,"",AX2194+tech_proj!AX1694/(1-tech_proj!AX574))</f>
        <v>445.82038603382864</v>
      </c>
    </row>
    <row r="1075" spans="1:50" x14ac:dyDescent="0.25">
      <c r="A1075" s="356"/>
      <c r="B1075" s="358" t="s">
        <v>25</v>
      </c>
      <c r="C1075" s="353" t="s">
        <v>6</v>
      </c>
      <c r="D1075" s="3" t="s">
        <v>10</v>
      </c>
      <c r="E1075" s="162" t="str">
        <f>A1045&amp;"/"&amp;B1075&amp;"/"&amp;C1075&amp;"/"&amp;D1075</f>
        <v>Diesel oil fired power plants/Internal combustion engine/Electricity only/S</v>
      </c>
      <c r="F1075" s="77" t="str">
        <f>A1045</f>
        <v>Diesel oil fired power plants</v>
      </c>
      <c r="G1075" s="77" t="str">
        <f>B1075</f>
        <v>Internal combustion engine</v>
      </c>
      <c r="H1075" s="77" t="str">
        <f>C1075</f>
        <v>Electricity only</v>
      </c>
      <c r="I1075" s="163" t="str">
        <f t="shared" si="369"/>
        <v>S</v>
      </c>
      <c r="J1075" s="107">
        <f>IF(tech_base!$T171&gt;J$905,"",J2195+tech_proj!J1695/(1-tech_proj!J575))</f>
        <v>207.56207675201219</v>
      </c>
      <c r="K1075" s="107">
        <f>IF(tech_base!$T171&gt;K$905,"",K2195+tech_proj!K1695/(1-tech_proj!K575))</f>
        <v>245.05647176734163</v>
      </c>
      <c r="L1075" s="107">
        <f>IF(tech_base!$T171&gt;L$905,"",L2195+tech_proj!L1695/(1-tech_proj!L575))</f>
        <v>256.9922694916674</v>
      </c>
      <c r="M1075" s="107">
        <f>IF(tech_base!$T171&gt;M$905,"",M2195+tech_proj!M1695/(1-tech_proj!M575))</f>
        <v>248.32791593638458</v>
      </c>
      <c r="N1075" s="107">
        <f>IF(tech_base!$T171&gt;N$905,"",N2195+tech_proj!N1695/(1-tech_proj!N575))</f>
        <v>234.07558365415622</v>
      </c>
      <c r="O1075" s="107">
        <f>IF(tech_base!$T171&gt;O$905,"",O2195+tech_proj!O1695/(1-tech_proj!O575))</f>
        <v>184.02721899677766</v>
      </c>
      <c r="P1075" s="107">
        <f>IF(tech_base!$T171&gt;P$905,"",P2195+tech_proj!P1695/(1-tech_proj!P575))</f>
        <v>172.10596522578942</v>
      </c>
      <c r="Q1075" s="107">
        <f>IF(tech_base!$T171&gt;Q$905,"",Q2195+tech_proj!Q1695/(1-tech_proj!Q575))</f>
        <v>186.89533356625077</v>
      </c>
      <c r="R1075" s="107">
        <f>IF(tech_base!$T171&gt;R$905,"",R2195+tech_proj!R1695/(1-tech_proj!R575))</f>
        <v>200.1235591460447</v>
      </c>
      <c r="S1075" s="107">
        <f>IF(tech_base!$T171&gt;S$905,"",S2195+tech_proj!S1695/(1-tech_proj!S575))</f>
        <v>211.75004491913145</v>
      </c>
      <c r="T1075" s="107">
        <f>IF(tech_base!$T171&gt;T$905,"",T2195+tech_proj!T1695/(1-tech_proj!T575))</f>
        <v>222.96944719801974</v>
      </c>
      <c r="U1075" s="107">
        <f>IF(tech_base!$T171&gt;U$905,"",U2195+tech_proj!U1695/(1-tech_proj!U575))</f>
        <v>233.66775174346597</v>
      </c>
      <c r="V1075" s="107">
        <f>IF(tech_base!$T171&gt;V$905,"",V2195+tech_proj!V1695/(1-tech_proj!V575))</f>
        <v>240.90608139838136</v>
      </c>
      <c r="W1075" s="107">
        <f>IF(tech_base!$T171&gt;W$905,"",W2195+tech_proj!W1695/(1-tech_proj!W575))</f>
        <v>249.73059826826534</v>
      </c>
      <c r="X1075" s="107">
        <f>IF(tech_base!$T171&gt;X$905,"",X2195+tech_proj!X1695/(1-tech_proj!X575))</f>
        <v>257.41538869380264</v>
      </c>
      <c r="Y1075" s="107">
        <f>IF(tech_base!$T171&gt;Y$905,"",Y2195+tech_proj!Y1695/(1-tech_proj!Y575))</f>
        <v>263.96691116280624</v>
      </c>
      <c r="Z1075" s="107">
        <f>IF(tech_base!$T171&gt;Z$905,"",Z2195+tech_proj!Z1695/(1-tech_proj!Z575))</f>
        <v>268.24386297953316</v>
      </c>
      <c r="AA1075" s="107">
        <f>IF(tech_base!$T171&gt;AA$905,"",AA2195+tech_proj!AA1695/(1-tech_proj!AA575))</f>
        <v>272.13798924402721</v>
      </c>
      <c r="AB1075" s="107">
        <f>IF(tech_base!$T171&gt;AB$905,"",AB2195+tech_proj!AB1695/(1-tech_proj!AB575))</f>
        <v>274.87178689006487</v>
      </c>
      <c r="AC1075" s="107">
        <f>IF(tech_base!$T171&gt;AC$905,"",AC2195+tech_proj!AC1695/(1-tech_proj!AC575))</f>
        <v>279.01394065322842</v>
      </c>
      <c r="AD1075" s="107">
        <f>IF(tech_base!$T171&gt;AD$905,"",AD2195+tech_proj!AD1695/(1-tech_proj!AD575))</f>
        <v>281.62882040587766</v>
      </c>
      <c r="AE1075" s="107">
        <f>IF(tech_base!$T171&gt;AE$905,"",AE2195+tech_proj!AE1695/(1-tech_proj!AE575))</f>
        <v>284.13673073763874</v>
      </c>
      <c r="AF1075" s="107">
        <f>IF(tech_base!$T171&gt;AF$905,"",AF2195+tech_proj!AF1695/(1-tech_proj!AF575))</f>
        <v>285.50674913962348</v>
      </c>
      <c r="AG1075" s="107">
        <f>IF(tech_base!$T171&gt;AG$905,"",AG2195+tech_proj!AG1695/(1-tech_proj!AG575))</f>
        <v>287.04347878728635</v>
      </c>
      <c r="AH1075" s="107">
        <f>IF(tech_base!$T171&gt;AH$905,"",AH2195+tech_proj!AH1695/(1-tech_proj!AH575))</f>
        <v>288.74646785865525</v>
      </c>
      <c r="AI1075" s="107">
        <f>IF(tech_base!$T171&gt;AI$905,"",AI2195+tech_proj!AI1695/(1-tech_proj!AI575))</f>
        <v>290.63172664530856</v>
      </c>
      <c r="AJ1075" s="107">
        <f>IF(tech_base!$T171&gt;AJ$905,"",AJ2195+tech_proj!AJ1695/(1-tech_proj!AJ575))</f>
        <v>292.73218279739888</v>
      </c>
      <c r="AK1075" s="107">
        <f>IF(tech_base!$T171&gt;AK$905,"",AK2195+tech_proj!AK1695/(1-tech_proj!AK575))</f>
        <v>295.08859215779813</v>
      </c>
      <c r="AL1075" s="107">
        <f>IF(tech_base!$T171&gt;AL$905,"",AL2195+tech_proj!AL1695/(1-tech_proj!AL575))</f>
        <v>297.62304658728686</v>
      </c>
      <c r="AM1075" s="107">
        <f>IF(tech_base!$T171&gt;AM$905,"",AM2195+tech_proj!AM1695/(1-tech_proj!AM575))</f>
        <v>300.23978146158009</v>
      </c>
      <c r="AN1075" s="107">
        <f>IF(tech_base!$T171&gt;AN$905,"",AN2195+tech_proj!AN1695/(1-tech_proj!AN575))</f>
        <v>302.90714964048897</v>
      </c>
      <c r="AO1075" s="107">
        <f>IF(tech_base!$T171&gt;AO$905,"",AO2195+tech_proj!AO1695/(1-tech_proj!AO575))</f>
        <v>303.34618700043143</v>
      </c>
      <c r="AP1075" s="107">
        <f>IF(tech_base!$T171&gt;AP$905,"",AP2195+tech_proj!AP1695/(1-tech_proj!AP575))</f>
        <v>304.3829131969967</v>
      </c>
      <c r="AQ1075" s="107">
        <f>IF(tech_base!$T171&gt;AQ$905,"",AQ2195+tech_proj!AQ1695/(1-tech_proj!AQ575))</f>
        <v>305.47232571772196</v>
      </c>
      <c r="AR1075" s="107">
        <f>IF(tech_base!$T171&gt;AR$905,"",AR2195+tech_proj!AR1695/(1-tech_proj!AR575))</f>
        <v>307.59144072908589</v>
      </c>
      <c r="AS1075" s="107">
        <f>IF(tech_base!$T171&gt;AS$905,"",AS2195+tech_proj!AS1695/(1-tech_proj!AS575))</f>
        <v>308.79543243852208</v>
      </c>
      <c r="AT1075" s="107">
        <f>IF(tech_base!$T171&gt;AT$905,"",AT2195+tech_proj!AT1695/(1-tech_proj!AT575))</f>
        <v>309.99887963959355</v>
      </c>
      <c r="AU1075" s="107">
        <f>IF(tech_base!$T171&gt;AU$905,"",AU2195+tech_proj!AU1695/(1-tech_proj!AU575))</f>
        <v>311.18062741356681</v>
      </c>
      <c r="AV1075" s="107">
        <f>IF(tech_base!$T171&gt;AV$905,"",AV2195+tech_proj!AV1695/(1-tech_proj!AV575))</f>
        <v>312.32914406759966</v>
      </c>
      <c r="AW1075" s="107">
        <f>IF(tech_base!$T171&gt;AW$905,"",AW2195+tech_proj!AW1695/(1-tech_proj!AW575))</f>
        <v>313.43572243070429</v>
      </c>
      <c r="AX1075" s="108">
        <f>IF(tech_base!$T171&gt;AX$905,"",AX2195+tech_proj!AX1695/(1-tech_proj!AX575))</f>
        <v>314.83698521512116</v>
      </c>
    </row>
    <row r="1076" spans="1:50" x14ac:dyDescent="0.25">
      <c r="A1076" s="356"/>
      <c r="B1076" s="376"/>
      <c r="C1076" s="379"/>
      <c r="D1076" s="59" t="s">
        <v>20</v>
      </c>
      <c r="E1076" s="160" t="str">
        <f>A1045&amp;"/"&amp;B1075&amp;"/"&amp;C1075&amp;"/"&amp;D1076</f>
        <v>Diesel oil fired power plants/Internal combustion engine/Electricity only/XS</v>
      </c>
      <c r="F1076" s="76" t="str">
        <f>A1045</f>
        <v>Diesel oil fired power plants</v>
      </c>
      <c r="G1076" s="76" t="str">
        <f>B1075</f>
        <v>Internal combustion engine</v>
      </c>
      <c r="H1076" s="76" t="str">
        <f>C1075</f>
        <v>Electricity only</v>
      </c>
      <c r="I1076" s="161" t="str">
        <f t="shared" si="369"/>
        <v>XS</v>
      </c>
      <c r="J1076" s="105">
        <f>IF(tech_base!$T172&gt;J$905,"",J2196+tech_proj!J1696/(1-tech_proj!J576))</f>
        <v>217.93057363016158</v>
      </c>
      <c r="K1076" s="105">
        <f>IF(tech_base!$T172&gt;K$905,"",K2196+tech_proj!K1696/(1-tech_proj!K576))</f>
        <v>257.3534826075142</v>
      </c>
      <c r="L1076" s="105">
        <f>IF(tech_base!$T172&gt;L$905,"",L2196+tech_proj!L1696/(1-tech_proj!L576))</f>
        <v>269.90416044919942</v>
      </c>
      <c r="M1076" s="105">
        <f>IF(tech_base!$T172&gt;M$905,"",M2196+tech_proj!M1696/(1-tech_proj!M576))</f>
        <v>260.79565030190918</v>
      </c>
      <c r="N1076" s="105">
        <f>IF(tech_base!$T172&gt;N$905,"",N2196+tech_proj!N1696/(1-tech_proj!N576))</f>
        <v>245.81178173977449</v>
      </c>
      <c r="O1076" s="105">
        <f>IF(tech_base!$T172&gt;O$905,"",O2196+tech_proj!O1696/(1-tech_proj!O576))</f>
        <v>193.1908661138722</v>
      </c>
      <c r="P1076" s="105">
        <f>IF(tech_base!$T172&gt;P$905,"",P2196+tech_proj!P1696/(1-tech_proj!P576))</f>
        <v>180.65757394145598</v>
      </c>
      <c r="Q1076" s="105">
        <f>IF(tech_base!$T172&gt;Q$905,"",Q2196+tech_proj!Q1696/(1-tech_proj!Q576))</f>
        <v>196.20879254919154</v>
      </c>
      <c r="R1076" s="105">
        <f>IF(tech_base!$T172&gt;R$905,"",R2196+tech_proj!R1696/(1-tech_proj!R576))</f>
        <v>210.11878021635735</v>
      </c>
      <c r="S1076" s="105">
        <f>IF(tech_base!$T172&gt;S$905,"",S2196+tech_proj!S1696/(1-tech_proj!S576))</f>
        <v>222.3448339395097</v>
      </c>
      <c r="T1076" s="105">
        <f>IF(tech_base!$T172&gt;T$905,"",T2196+tech_proj!T1696/(1-tech_proj!T576))</f>
        <v>234.14306528542767</v>
      </c>
      <c r="U1076" s="105">
        <f>IF(tech_base!$T172&gt;U$905,"",U2196+tech_proj!U1696/(1-tech_proj!U576))</f>
        <v>245.39359464254028</v>
      </c>
      <c r="V1076" s="105">
        <f>IF(tech_base!$T172&gt;V$905,"",V2196+tech_proj!V1696/(1-tech_proj!V576))</f>
        <v>253.00627311470387</v>
      </c>
      <c r="W1076" s="105">
        <f>IF(tech_base!$T172&gt;W$905,"",W2196+tech_proj!W1696/(1-tech_proj!W576))</f>
        <v>262.28697239088376</v>
      </c>
      <c r="X1076" s="105">
        <f>IF(tech_base!$T172&gt;X$905,"",X2196+tech_proj!X1696/(1-tech_proj!X576))</f>
        <v>270.3694724970897</v>
      </c>
      <c r="Y1076" s="105">
        <f>IF(tech_base!$T172&gt;Y$905,"",Y2196+tech_proj!Y1696/(1-tech_proj!Y576))</f>
        <v>277.26054649944882</v>
      </c>
      <c r="Z1076" s="105">
        <f>IF(tech_base!$T172&gt;Z$905,"",Z2196+tech_proj!Z1696/(1-tech_proj!Z576))</f>
        <v>281.76009043482185</v>
      </c>
      <c r="AA1076" s="105">
        <f>IF(tech_base!$T172&gt;AA$905,"",AA2196+tech_proj!AA1696/(1-tech_proj!AA576))</f>
        <v>285.85724665896481</v>
      </c>
      <c r="AB1076" s="105">
        <f>IF(tech_base!$T172&gt;AB$905,"",AB2196+tech_proj!AB1696/(1-tech_proj!AB576))</f>
        <v>288.73444919837578</v>
      </c>
      <c r="AC1076" s="105">
        <f>IF(tech_base!$T172&gt;AC$905,"",AC2196+tech_proj!AC1696/(1-tech_proj!AC576))</f>
        <v>293.09272133072108</v>
      </c>
      <c r="AD1076" s="105">
        <f>IF(tech_base!$T172&gt;AD$905,"",AD2196+tech_proj!AD1696/(1-tech_proj!AD576))</f>
        <v>295.84517421887102</v>
      </c>
      <c r="AE1076" s="105">
        <f>IF(tech_base!$T172&gt;AE$905,"",AE2196+tech_proj!AE1696/(1-tech_proj!AE576))</f>
        <v>298.48528873547986</v>
      </c>
      <c r="AF1076" s="105">
        <f>IF(tech_base!$T172&gt;AF$905,"",AF2196+tech_proj!AF1696/(1-tech_proj!AF576))</f>
        <v>299.92898782432923</v>
      </c>
      <c r="AG1076" s="105">
        <f>IF(tech_base!$T172&gt;AG$905,"",AG2196+tech_proj!AG1696/(1-tech_proj!AG576))</f>
        <v>301.54812073208961</v>
      </c>
      <c r="AH1076" s="105">
        <f>IF(tech_base!$T172&gt;AH$905,"",AH2196+tech_proj!AH1696/(1-tech_proj!AH576))</f>
        <v>303.34221909768615</v>
      </c>
      <c r="AI1076" s="105">
        <f>IF(tech_base!$T172&gt;AI$905,"",AI2196+tech_proj!AI1696/(1-tech_proj!AI576))</f>
        <v>305.32812595545983</v>
      </c>
      <c r="AJ1076" s="105">
        <f>IF(tech_base!$T172&gt;AJ$905,"",AJ2196+tech_proj!AJ1696/(1-tech_proj!AJ576))</f>
        <v>307.54047536933905</v>
      </c>
      <c r="AK1076" s="105">
        <f>IF(tech_base!$T172&gt;AK$905,"",AK2196+tech_proj!AK1696/(1-tech_proj!AK576))</f>
        <v>310.02213512023206</v>
      </c>
      <c r="AL1076" s="105">
        <f>IF(tech_base!$T172&gt;AL$905,"",AL2196+tech_proj!AL1696/(1-tech_proj!AL576))</f>
        <v>312.6911845593288</v>
      </c>
      <c r="AM1076" s="105">
        <f>IF(tech_base!$T172&gt;AM$905,"",AM2196+tech_proj!AM1696/(1-tech_proj!AM576))</f>
        <v>315.44692053847086</v>
      </c>
      <c r="AN1076" s="105">
        <f>IF(tech_base!$T172&gt;AN$905,"",AN2196+tech_proj!AN1696/(1-tech_proj!AN576))</f>
        <v>318.25606412340858</v>
      </c>
      <c r="AO1076" s="105">
        <f>IF(tech_base!$T172&gt;AO$905,"",AO2196+tech_proj!AO1696/(1-tech_proj!AO576))</f>
        <v>318.72190841480301</v>
      </c>
      <c r="AP1076" s="105">
        <f>IF(tech_base!$T172&gt;AP$905,"",AP2196+tech_proj!AP1696/(1-tech_proj!AP576))</f>
        <v>319.81642852520548</v>
      </c>
      <c r="AQ1076" s="105">
        <f>IF(tech_base!$T172&gt;AQ$905,"",AQ2196+tech_proj!AQ1696/(1-tech_proj!AQ576))</f>
        <v>320.96646974885351</v>
      </c>
      <c r="AR1076" s="105">
        <f>IF(tech_base!$T172&gt;AR$905,"",AR2196+tech_proj!AR1696/(1-tech_proj!AR576))</f>
        <v>323.19956371580167</v>
      </c>
      <c r="AS1076" s="105">
        <f>IF(tech_base!$T172&gt;AS$905,"",AS2196+tech_proj!AS1696/(1-tech_proj!AS576))</f>
        <v>324.47033677313783</v>
      </c>
      <c r="AT1076" s="105">
        <f>IF(tech_base!$T172&gt;AT$905,"",AT2196+tech_proj!AT1696/(1-tech_proj!AT576))</f>
        <v>325.74063867145708</v>
      </c>
      <c r="AU1076" s="105">
        <f>IF(tech_base!$T172&gt;AU$905,"",AU2196+tech_proj!AU1696/(1-tech_proj!AU576))</f>
        <v>326.98821333118889</v>
      </c>
      <c r="AV1076" s="105">
        <f>IF(tech_base!$T172&gt;AV$905,"",AV2196+tech_proj!AV1696/(1-tech_proj!AV576))</f>
        <v>328.20092395519191</v>
      </c>
      <c r="AW1076" s="105">
        <f>IF(tech_base!$T172&gt;AW$905,"",AW2196+tech_proj!AW1696/(1-tech_proj!AW576))</f>
        <v>329.36960295830409</v>
      </c>
      <c r="AX1076" s="106">
        <f>IF(tech_base!$T172&gt;AX$905,"",AX2196+tech_proj!AX1696/(1-tech_proj!AX576))</f>
        <v>330.84829650924706</v>
      </c>
    </row>
    <row r="1077" spans="1:50" x14ac:dyDescent="0.25">
      <c r="A1077" s="356"/>
      <c r="B1077" s="376"/>
      <c r="C1077" s="350" t="s">
        <v>14</v>
      </c>
      <c r="D1077" s="2" t="s">
        <v>10</v>
      </c>
      <c r="E1077" s="164" t="str">
        <f>A1045&amp;"/"&amp;B1075&amp;"/"&amp;C1077&amp;"/"&amp;D1077</f>
        <v>Diesel oil fired power plants/Internal combustion engine/CHP/S</v>
      </c>
      <c r="F1077" s="78" t="str">
        <f>A1045</f>
        <v>Diesel oil fired power plants</v>
      </c>
      <c r="G1077" s="78" t="str">
        <f>B1075</f>
        <v>Internal combustion engine</v>
      </c>
      <c r="H1077" s="78" t="str">
        <f>C1077</f>
        <v>CHP</v>
      </c>
      <c r="I1077" s="165" t="str">
        <f t="shared" si="369"/>
        <v>S</v>
      </c>
      <c r="J1077" s="109">
        <f>IF(tech_base!$T173&gt;J$905,"",J2197+tech_proj!J1697/(1-tech_proj!J577))</f>
        <v>229.33686654803643</v>
      </c>
      <c r="K1077" s="109">
        <f>IF(tech_base!$T173&gt;K$905,"",K2197+tech_proj!K1697/(1-tech_proj!K577))</f>
        <v>270.69323480833464</v>
      </c>
      <c r="L1077" s="109">
        <f>IF(tech_base!$T173&gt;L$905,"",L2197+tech_proj!L1697/(1-tech_proj!L577))</f>
        <v>283.86019999738397</v>
      </c>
      <c r="M1077" s="109">
        <f>IF(tech_base!$T173&gt;M$905,"",M2197+tech_proj!M1697/(1-tech_proj!M577))</f>
        <v>274.30611905258746</v>
      </c>
      <c r="N1077" s="109">
        <f>IF(tech_base!$T173&gt;N$905,"",N2197+tech_proj!N1697/(1-tech_proj!N577))</f>
        <v>258.58854591549812</v>
      </c>
      <c r="O1077" s="109">
        <f>IF(tech_base!$T173&gt;O$905,"",O2197+tech_proj!O1697/(1-tech_proj!O577))</f>
        <v>203.38810072326362</v>
      </c>
      <c r="P1077" s="109">
        <f>IF(tech_base!$T173&gt;P$905,"",P2197+tech_proj!P1697/(1-tech_proj!P577))</f>
        <v>190.24095614334246</v>
      </c>
      <c r="Q1077" s="109">
        <f>IF(tech_base!$T173&gt;Q$905,"",Q2197+tech_proj!Q1697/(1-tech_proj!Q577))</f>
        <v>206.55578022007126</v>
      </c>
      <c r="R1077" s="109">
        <f>IF(tech_base!$T173&gt;R$905,"",R2197+tech_proj!R1697/(1-tech_proj!R577))</f>
        <v>221.14905022036075</v>
      </c>
      <c r="S1077" s="109">
        <f>IF(tech_base!$T173&gt;S$905,"",S2197+tech_proj!S1697/(1-tech_proj!S577))</f>
        <v>233.97595424286726</v>
      </c>
      <c r="T1077" s="109">
        <f>IF(tech_base!$T173&gt;T$905,"",T2197+tech_proj!T1697/(1-tech_proj!T577))</f>
        <v>246.35421860409667</v>
      </c>
      <c r="U1077" s="109">
        <f>IF(tech_base!$T173&gt;U$905,"",U2197+tech_proj!U1697/(1-tech_proj!U577))</f>
        <v>258.15808375939326</v>
      </c>
      <c r="V1077" s="109">
        <f>IF(tech_base!$T173&gt;V$905,"",V2197+tech_proj!V1697/(1-tech_proj!V577))</f>
        <v>266.14574841075859</v>
      </c>
      <c r="W1077" s="109">
        <f>IF(tech_base!$T173&gt;W$905,"",W2197+tech_proj!W1697/(1-tech_proj!W577))</f>
        <v>275.88345228910788</v>
      </c>
      <c r="X1077" s="109">
        <f>IF(tech_base!$T173&gt;X$905,"",X2197+tech_proj!X1697/(1-tech_proj!X577))</f>
        <v>284.36431574675578</v>
      </c>
      <c r="Y1077" s="109">
        <f>IF(tech_base!$T173&gt;Y$905,"",Y2197+tech_proj!Y1697/(1-tech_proj!Y577))</f>
        <v>291.59542981490625</v>
      </c>
      <c r="Z1077" s="109">
        <f>IF(tech_base!$T173&gt;Z$905,"",Z2197+tech_proj!Z1697/(1-tech_proj!Z577))</f>
        <v>296.31774742443736</v>
      </c>
      <c r="AA1077" s="109">
        <f>IF(tech_base!$T173&gt;AA$905,"",AA2197+tech_proj!AA1697/(1-tech_proj!AA577))</f>
        <v>300.61805191056209</v>
      </c>
      <c r="AB1077" s="109">
        <f>IF(tech_base!$T173&gt;AB$905,"",AB2197+tech_proj!AB1697/(1-tech_proj!AB577))</f>
        <v>303.63861840979746</v>
      </c>
      <c r="AC1077" s="109">
        <f>IF(tech_base!$T173&gt;AC$905,"",AC2197+tech_proj!AC1697/(1-tech_proj!AC577))</f>
        <v>308.21313119985354</v>
      </c>
      <c r="AD1077" s="109">
        <f>IF(tech_base!$T173&gt;AD$905,"",AD2197+tech_proj!AD1697/(1-tech_proj!AD577))</f>
        <v>311.1030774730055</v>
      </c>
      <c r="AE1077" s="109">
        <f>IF(tech_base!$T173&gt;AE$905,"",AE2197+tech_proj!AE1697/(1-tech_proj!AE577))</f>
        <v>313.87529298253162</v>
      </c>
      <c r="AF1077" s="109">
        <f>IF(tech_base!$T173&gt;AF$905,"",AF2197+tech_proj!AF1697/(1-tech_proj!AF577))</f>
        <v>315.39242154761848</v>
      </c>
      <c r="AG1077" s="109">
        <f>IF(tech_base!$T173&gt;AG$905,"",AG2197+tech_proj!AG1697/(1-tech_proj!AG577))</f>
        <v>317.09372010322261</v>
      </c>
      <c r="AH1077" s="109">
        <f>IF(tech_base!$T173&gt;AH$905,"",AH2197+tech_proj!AH1697/(1-tech_proj!AH577))</f>
        <v>318.97870437016161</v>
      </c>
      <c r="AI1077" s="109">
        <f>IF(tech_base!$T173&gt;AI$905,"",AI2197+tech_proj!AI1697/(1-tech_proj!AI577))</f>
        <v>321.06505287088351</v>
      </c>
      <c r="AJ1077" s="109">
        <f>IF(tech_base!$T173&gt;AJ$905,"",AJ2197+tech_proj!AJ1697/(1-tech_proj!AJ577))</f>
        <v>323.38911096301865</v>
      </c>
      <c r="AK1077" s="109">
        <f>IF(tech_base!$T173&gt;AK$905,"",AK2197+tech_proj!AK1697/(1-tech_proj!AK577))</f>
        <v>325.9958642680142</v>
      </c>
      <c r="AL1077" s="109">
        <f>IF(tech_base!$T173&gt;AL$905,"",AL2197+tech_proj!AL1697/(1-tech_proj!AL577))</f>
        <v>328.79937168042198</v>
      </c>
      <c r="AM1077" s="109">
        <f>IF(tech_base!$T173&gt;AM$905,"",AM2197+tech_proj!AM1697/(1-tech_proj!AM577))</f>
        <v>331.69398191623196</v>
      </c>
      <c r="AN1077" s="109">
        <f>IF(tech_base!$T173&gt;AN$905,"",AN2197+tech_proj!AN1697/(1-tech_proj!AN577))</f>
        <v>334.64478254724008</v>
      </c>
      <c r="AO1077" s="109">
        <f>IF(tech_base!$T173&gt;AO$905,"",AO2197+tech_proj!AO1697/(1-tech_proj!AO577))</f>
        <v>335.13706185780757</v>
      </c>
      <c r="AP1077" s="109">
        <f>IF(tech_base!$T173&gt;AP$905,"",AP2197+tech_proj!AP1697/(1-tech_proj!AP577))</f>
        <v>336.28908231489788</v>
      </c>
      <c r="AQ1077" s="109">
        <f>IF(tech_base!$T173&gt;AQ$905,"",AQ2197+tech_proj!AQ1697/(1-tech_proj!AQ577))</f>
        <v>337.49947584934478</v>
      </c>
      <c r="AR1077" s="109">
        <f>IF(tech_base!$T173&gt;AR$905,"",AR2197+tech_proj!AR1697/(1-tech_proj!AR577))</f>
        <v>339.84640430257201</v>
      </c>
      <c r="AS1077" s="109">
        <f>IF(tech_base!$T173&gt;AS$905,"",AS2197+tech_proj!AS1697/(1-tech_proj!AS577))</f>
        <v>341.18372510159253</v>
      </c>
      <c r="AT1077" s="109">
        <f>IF(tech_base!$T173&gt;AT$905,"",AT2197+tech_proj!AT1697/(1-tech_proj!AT577))</f>
        <v>342.5206671329131</v>
      </c>
      <c r="AU1077" s="109">
        <f>IF(tech_base!$T173&gt;AU$905,"",AU2197+tech_proj!AU1697/(1-tech_proj!AU577))</f>
        <v>343.83387367209178</v>
      </c>
      <c r="AV1077" s="109">
        <f>IF(tech_base!$T173&gt;AV$905,"",AV2197+tech_proj!AV1697/(1-tech_proj!AV577))</f>
        <v>345.11060452983355</v>
      </c>
      <c r="AW1077" s="109">
        <f>IF(tech_base!$T173&gt;AW$905,"",AW2197+tech_proj!AW1697/(1-tech_proj!AW577))</f>
        <v>346.34123380080661</v>
      </c>
      <c r="AX1077" s="110">
        <f>IF(tech_base!$T173&gt;AX$905,"",AX2197+tech_proj!AX1697/(1-tech_proj!AX577))</f>
        <v>347.89727310156218</v>
      </c>
    </row>
    <row r="1078" spans="1:50" x14ac:dyDescent="0.25">
      <c r="A1078" s="357"/>
      <c r="B1078" s="380"/>
      <c r="C1078" s="381"/>
      <c r="D1078" s="4" t="s">
        <v>20</v>
      </c>
      <c r="E1078" s="168" t="str">
        <f>A1045&amp;"/"&amp;B1075&amp;"/"&amp;C1077&amp;"/"&amp;D1078</f>
        <v>Diesel oil fired power plants/Internal combustion engine/CHP/XS</v>
      </c>
      <c r="F1078" s="80" t="str">
        <f>A1045</f>
        <v>Diesel oil fired power plants</v>
      </c>
      <c r="G1078" s="80" t="str">
        <f>B1075</f>
        <v>Internal combustion engine</v>
      </c>
      <c r="H1078" s="80" t="str">
        <f>C1077</f>
        <v>CHP</v>
      </c>
      <c r="I1078" s="169" t="str">
        <f t="shared" si="369"/>
        <v>XS</v>
      </c>
      <c r="J1078" s="113">
        <f>IF(tech_base!$T174&gt;J$905,"",J2198+tech_proj!J1698/(1-tech_proj!J578))</f>
        <v>240.55449425303823</v>
      </c>
      <c r="K1078" s="113">
        <f>IF(tech_base!$T174&gt;K$905,"",K2198+tech_proj!K1698/(1-tech_proj!K578))</f>
        <v>284.04273733028191</v>
      </c>
      <c r="L1078" s="113">
        <f>IF(tech_base!$T174&gt;L$905,"",L2198+tech_proj!L1698/(1-tech_proj!L578))</f>
        <v>297.88847220013184</v>
      </c>
      <c r="M1078" s="113">
        <f>IF(tech_base!$T174&gt;M$905,"",M2198+tech_proj!M1698/(1-tech_proj!M578))</f>
        <v>287.84193867068598</v>
      </c>
      <c r="N1078" s="113">
        <f>IF(tech_base!$T174&gt;N$905,"",N2198+tech_proj!N1698/(1-tech_proj!N578))</f>
        <v>271.31419932968555</v>
      </c>
      <c r="O1078" s="113">
        <f>IF(tech_base!$T174&gt;O$905,"",O2198+tech_proj!O1698/(1-tech_proj!O578))</f>
        <v>213.2683274774171</v>
      </c>
      <c r="P1078" s="113">
        <f>IF(tech_base!$T174&gt;P$905,"",P2198+tech_proj!P1698/(1-tech_proj!P578))</f>
        <v>199.44352136415827</v>
      </c>
      <c r="Q1078" s="113">
        <f>IF(tech_base!$T174&gt;Q$905,"",Q2198+tech_proj!Q1698/(1-tech_proj!Q578))</f>
        <v>216.59939132821719</v>
      </c>
      <c r="R1078" s="113">
        <f>IF(tech_base!$T174&gt;R$905,"",R2198+tech_proj!R1698/(1-tech_proj!R578))</f>
        <v>231.94496694384344</v>
      </c>
      <c r="S1078" s="113">
        <f>IF(tech_base!$T174&gt;S$905,"",S2198+tech_proj!S1698/(1-tech_proj!S578))</f>
        <v>245.43312645138073</v>
      </c>
      <c r="T1078" s="113">
        <f>IF(tech_base!$T174&gt;T$905,"",T2198+tech_proj!T1698/(1-tech_proj!T578))</f>
        <v>258.44952241378758</v>
      </c>
      <c r="U1078" s="113">
        <f>IF(tech_base!$T174&gt;U$905,"",U2198+tech_proj!U1698/(1-tech_proj!U578))</f>
        <v>270.86191274767168</v>
      </c>
      <c r="V1078" s="113">
        <f>IF(tech_base!$T174&gt;V$905,"",V2198+tech_proj!V1698/(1-tech_proj!V578))</f>
        <v>279.26138794339403</v>
      </c>
      <c r="W1078" s="113">
        <f>IF(tech_base!$T174&gt;W$905,"",W2198+tech_proj!W1698/(1-tech_proj!W578))</f>
        <v>289.50111629990914</v>
      </c>
      <c r="X1078" s="113">
        <f>IF(tech_base!$T174&gt;X$905,"",X2198+tech_proj!X1698/(1-tech_proj!X578))</f>
        <v>298.41921970355753</v>
      </c>
      <c r="Y1078" s="113">
        <f>IF(tech_base!$T174&gt;Y$905,"",Y2198+tech_proj!Y1698/(1-tech_proj!Y578))</f>
        <v>306.02315484184658</v>
      </c>
      <c r="Z1078" s="113">
        <f>IF(tech_base!$T174&gt;Z$905,"",Z2198+tech_proj!Z1698/(1-tech_proj!Z578))</f>
        <v>310.98897343669415</v>
      </c>
      <c r="AA1078" s="113">
        <f>IF(tech_base!$T174&gt;AA$905,"",AA2198+tech_proj!AA1698/(1-tech_proj!AA578))</f>
        <v>315.51102843705246</v>
      </c>
      <c r="AB1078" s="113">
        <f>IF(tech_base!$T174&gt;AB$905,"",AB2198+tech_proj!AB1698/(1-tech_proj!AB578))</f>
        <v>318.68738112944061</v>
      </c>
      <c r="AC1078" s="113">
        <f>IF(tech_base!$T174&gt;AC$905,"",AC2198+tech_proj!AC1698/(1-tech_proj!AC578))</f>
        <v>323.49778665201654</v>
      </c>
      <c r="AD1078" s="113">
        <f>IF(tech_base!$T174&gt;AD$905,"",AD2198+tech_proj!AD1698/(1-tech_proj!AD578))</f>
        <v>326.53679353056077</v>
      </c>
      <c r="AE1078" s="113">
        <f>IF(tech_base!$T174&gt;AE$905,"",AE2198+tech_proj!AE1698/(1-tech_proj!AE578))</f>
        <v>329.45200489569334</v>
      </c>
      <c r="AF1078" s="113">
        <f>IF(tech_base!$T174&gt;AF$905,"",AF2198+tech_proj!AF1698/(1-tech_proj!AF578))</f>
        <v>331.04743629915288</v>
      </c>
      <c r="AG1078" s="113">
        <f>IF(tech_base!$T174&gt;AG$905,"",AG2198+tech_proj!AG1698/(1-tech_proj!AG578))</f>
        <v>332.83653562834354</v>
      </c>
      <c r="AH1078" s="113">
        <f>IF(tech_base!$T174&gt;AH$905,"",AH2198+tech_proj!AH1698/(1-tech_proj!AH578))</f>
        <v>334.81879379934304</v>
      </c>
      <c r="AI1078" s="113">
        <f>IF(tech_base!$T174&gt;AI$905,"",AI2198+tech_proj!AI1698/(1-tech_proj!AI578))</f>
        <v>337.01280078822504</v>
      </c>
      <c r="AJ1078" s="113">
        <f>IF(tech_base!$T174&gt;AJ$905,"",AJ2198+tech_proj!AJ1698/(1-tech_proj!AJ578))</f>
        <v>339.45677564621559</v>
      </c>
      <c r="AK1078" s="113">
        <f>IF(tech_base!$T174&gt;AK$905,"",AK2198+tech_proj!AK1698/(1-tech_proj!AK578))</f>
        <v>342.1980230784153</v>
      </c>
      <c r="AL1078" s="113">
        <f>IF(tech_base!$T174&gt;AL$905,"",AL2198+tech_proj!AL1698/(1-tech_proj!AL578))</f>
        <v>345.14617205540475</v>
      </c>
      <c r="AM1078" s="113">
        <f>IF(tech_base!$T174&gt;AM$905,"",AM2198+tech_proj!AM1698/(1-tech_proj!AM578))</f>
        <v>348.19012535021386</v>
      </c>
      <c r="AN1078" s="113">
        <f>IF(tech_base!$T174&gt;AN$905,"",AN2198+tech_proj!AN1698/(1-tech_proj!AN578))</f>
        <v>351.29317103775719</v>
      </c>
      <c r="AO1078" s="113">
        <f>IF(tech_base!$T174&gt;AO$905,"",AO2198+tech_proj!AO1698/(1-tech_proj!AO578))</f>
        <v>351.81096924649813</v>
      </c>
      <c r="AP1078" s="113">
        <f>IF(tech_base!$T174&gt;AP$905,"",AP2198+tech_proj!AP1698/(1-tech_proj!AP578))</f>
        <v>353.02252276130804</v>
      </c>
      <c r="AQ1078" s="113">
        <f>IF(tech_base!$T174&gt;AQ$905,"",AQ2198+tech_proj!AQ1698/(1-tech_proj!AQ578))</f>
        <v>354.29546436679118</v>
      </c>
      <c r="AR1078" s="113">
        <f>IF(tech_base!$T174&gt;AR$905,"",AR2198+tech_proj!AR1698/(1-tech_proj!AR578))</f>
        <v>356.76353314052471</v>
      </c>
      <c r="AS1078" s="113">
        <f>IF(tech_base!$T174&gt;AS$905,"",AS2198+tech_proj!AS1698/(1-tech_proj!AS578))</f>
        <v>358.16995734406652</v>
      </c>
      <c r="AT1078" s="113">
        <f>IF(tech_base!$T174&gt;AT$905,"",AT2198+tech_proj!AT1698/(1-tech_proj!AT578))</f>
        <v>359.57598973879885</v>
      </c>
      <c r="AU1078" s="113">
        <f>IF(tech_base!$T174&gt;AU$905,"",AU2198+tech_proj!AU1698/(1-tech_proj!AU578))</f>
        <v>360.95706976209067</v>
      </c>
      <c r="AV1078" s="113">
        <f>IF(tech_base!$T174&gt;AV$905,"",AV2198+tech_proj!AV1698/(1-tech_proj!AV578))</f>
        <v>362.29980064210235</v>
      </c>
      <c r="AW1078" s="113">
        <f>IF(tech_base!$T174&gt;AW$905,"",AW2198+tech_proj!AW1698/(1-tech_proj!AW578))</f>
        <v>363.59406041967605</v>
      </c>
      <c r="AX1078" s="114">
        <f>IF(tech_base!$T174&gt;AX$905,"",AX2198+tech_proj!AX1698/(1-tech_proj!AX578))</f>
        <v>365.23051152179949</v>
      </c>
    </row>
    <row r="1079" spans="1:50" x14ac:dyDescent="0.25">
      <c r="A1079" s="355" t="s">
        <v>29</v>
      </c>
      <c r="B1079" s="358" t="s">
        <v>13</v>
      </c>
      <c r="C1079" s="353" t="s">
        <v>6</v>
      </c>
      <c r="D1079" s="3" t="s">
        <v>7</v>
      </c>
      <c r="E1079" s="162" t="str">
        <f>A1079&amp;"/"&amp;B1079&amp;"/"&amp;C1079&amp;"/"&amp;D1079</f>
        <v>Fuel oil fired power plants/Integrated gasification combined cycle/Electricity only/L</v>
      </c>
      <c r="F1079" s="77" t="str">
        <f>A1079</f>
        <v>Fuel oil fired power plants</v>
      </c>
      <c r="G1079" s="77" t="str">
        <f>B1079</f>
        <v>Integrated gasification combined cycle</v>
      </c>
      <c r="H1079" s="77" t="str">
        <f>C1079</f>
        <v>Electricity only</v>
      </c>
      <c r="I1079" s="163" t="str">
        <f t="shared" si="369"/>
        <v>L</v>
      </c>
      <c r="J1079" s="107">
        <f>IF(tech_base!$T175&gt;J$905,"",J2199+tech_proj!J1699/(1-tech_proj!J579))</f>
        <v>86.373718589623053</v>
      </c>
      <c r="K1079" s="107">
        <f>IF(tech_base!$T175&gt;K$905,"",K2199+tech_proj!K1699/(1-tech_proj!K579))</f>
        <v>107.55905516527167</v>
      </c>
      <c r="L1079" s="107">
        <f>IF(tech_base!$T175&gt;L$905,"",L2199+tech_proj!L1699/(1-tech_proj!L579))</f>
        <v>113.91645689815743</v>
      </c>
      <c r="M1079" s="107">
        <f>IF(tech_base!$T175&gt;M$905,"",M2199+tech_proj!M1699/(1-tech_proj!M579))</f>
        <v>108.32699437069422</v>
      </c>
      <c r="N1079" s="107">
        <f>IF(tech_base!$T175&gt;N$905,"",N2199+tech_proj!N1699/(1-tech_proj!N579))</f>
        <v>99.499092147492775</v>
      </c>
      <c r="O1079" s="107">
        <f>IF(tech_base!$T175&gt;O$905,"",O2199+tech_proj!O1699/(1-tech_proj!O579))</f>
        <v>69.922232179080027</v>
      </c>
      <c r="P1079" s="107">
        <f>IF(tech_base!$T175&gt;P$905,"",P2199+tech_proj!P1699/(1-tech_proj!P579))</f>
        <v>62.903827248726138</v>
      </c>
      <c r="Q1079" s="107">
        <f>IF(tech_base!$T175&gt;Q$905,"",Q2199+tech_proj!Q1699/(1-tech_proj!Q579))</f>
        <v>71.36761319291432</v>
      </c>
      <c r="R1079" s="107">
        <f>IF(tech_base!$T175&gt;R$905,"",R2199+tech_proj!R1699/(1-tech_proj!R579))</f>
        <v>78.924690975310824</v>
      </c>
      <c r="S1079" s="107">
        <f>IF(tech_base!$T175&gt;S$905,"",S2199+tech_proj!S1699/(1-tech_proj!S579))</f>
        <v>85.55191321934592</v>
      </c>
      <c r="T1079" s="107">
        <f>IF(tech_base!$T175&gt;T$905,"",T2199+tech_proj!T1699/(1-tech_proj!T579))</f>
        <v>91.941774251562066</v>
      </c>
      <c r="U1079" s="107">
        <f>IF(tech_base!$T175&gt;U$905,"",U2199+tech_proj!U1699/(1-tech_proj!U579))</f>
        <v>98.026288696202613</v>
      </c>
      <c r="V1079" s="107">
        <f>IF(tech_base!$T175&gt;V$905,"",V2199+tech_proj!V1699/(1-tech_proj!V579))</f>
        <v>102.10544876553956</v>
      </c>
      <c r="W1079" s="107">
        <f>IF(tech_base!$T175&gt;W$905,"",W2199+tech_proj!W1699/(1-tech_proj!W579))</f>
        <v>107.10241524811565</v>
      </c>
      <c r="X1079" s="107">
        <f>IF(tech_base!$T175&gt;X$905,"",X2199+tech_proj!X1699/(1-tech_proj!X579))</f>
        <v>111.43840283064276</v>
      </c>
      <c r="Y1079" s="107">
        <f>IF(tech_base!$T175&gt;Y$905,"",Y2199+tech_proj!Y1699/(1-tech_proj!Y579))</f>
        <v>115.1174107325071</v>
      </c>
      <c r="Z1079" s="107">
        <f>IF(tech_base!$T175&gt;Z$905,"",Z2199+tech_proj!Z1699/(1-tech_proj!Z579))</f>
        <v>117.47684217415122</v>
      </c>
      <c r="AA1079" s="107">
        <f>IF(tech_base!$T175&gt;AA$905,"",AA2199+tech_proj!AA1699/(1-tech_proj!AA579))</f>
        <v>119.61435082960674</v>
      </c>
      <c r="AB1079" s="107">
        <f>IF(tech_base!$T175&gt;AB$905,"",AB2199+tech_proj!AB1699/(1-tech_proj!AB579))</f>
        <v>121.08000398171228</v>
      </c>
      <c r="AC1079" s="107">
        <f>IF(tech_base!$T175&gt;AC$905,"",AC2199+tech_proj!AC1699/(1-tech_proj!AC579))</f>
        <v>123.36066462005937</v>
      </c>
      <c r="AD1079" s="107">
        <f>IF(tech_base!$T175&gt;AD$905,"",AD2199+tech_proj!AD1699/(1-tech_proj!AD579))</f>
        <v>124.757278052092</v>
      </c>
      <c r="AE1079" s="107">
        <f>IF(tech_base!$T175&gt;AE$905,"",AE2199+tech_proj!AE1699/(1-tech_proj!AE579))</f>
        <v>126.08982043750731</v>
      </c>
      <c r="AF1079" s="107">
        <f>IF(tech_base!$T175&gt;AF$905,"",AF2199+tech_proj!AF1699/(1-tech_proj!AF579))</f>
        <v>126.76401733440164</v>
      </c>
      <c r="AG1079" s="107">
        <f>IF(tech_base!$T175&gt;AG$905,"",AG2199+tech_proj!AG1699/(1-tech_proj!AG579))</f>
        <v>127.53481376925038</v>
      </c>
      <c r="AH1079" s="107">
        <f>IF(tech_base!$T175&gt;AH$905,"",AH2199+tech_proj!AH1699/(1-tech_proj!AH579))</f>
        <v>128.40193526555487</v>
      </c>
      <c r="AI1079" s="107">
        <f>IF(tech_base!$T175&gt;AI$905,"",AI2199+tech_proj!AI1699/(1-tech_proj!AI579))</f>
        <v>129.37463053359951</v>
      </c>
      <c r="AJ1079" s="107">
        <f>IF(tech_base!$T175&gt;AJ$905,"",AJ2199+tech_proj!AJ1699/(1-tech_proj!AJ579))</f>
        <v>130.46973333352528</v>
      </c>
      <c r="AK1079" s="107">
        <f>IF(tech_base!$T175&gt;AK$905,"",AK2199+tech_proj!AK1699/(1-tech_proj!AK579))</f>
        <v>131.71299216162441</v>
      </c>
      <c r="AL1079" s="107">
        <f>IF(tech_base!$T175&gt;AL$905,"",AL2199+tech_proj!AL1699/(1-tech_proj!AL579))</f>
        <v>133.05933578848669</v>
      </c>
      <c r="AM1079" s="107">
        <f>IF(tech_base!$T175&gt;AM$905,"",AM2199+tech_proj!AM1699/(1-tech_proj!AM579))</f>
        <v>134.45338573620154</v>
      </c>
      <c r="AN1079" s="107">
        <f>IF(tech_base!$T175&gt;AN$905,"",AN2199+tech_proj!AN1699/(1-tech_proj!AN579))</f>
        <v>135.86783781697036</v>
      </c>
      <c r="AO1079" s="107">
        <f>IF(tech_base!$T175&gt;AO$905,"",AO2199+tech_proj!AO1699/(1-tech_proj!AO579))</f>
        <v>135.99786653111906</v>
      </c>
      <c r="AP1079" s="107">
        <f>IF(tech_base!$T175&gt;AP$905,"",AP2199+tech_proj!AP1699/(1-tech_proj!AP579))</f>
        <v>136.47265172727313</v>
      </c>
      <c r="AQ1079" s="107">
        <f>IF(tech_base!$T175&gt;AQ$905,"",AQ2199+tech_proj!AQ1699/(1-tech_proj!AQ579))</f>
        <v>136.97674403247569</v>
      </c>
      <c r="AR1079" s="107">
        <f>IF(tech_base!$T175&gt;AR$905,"",AR2199+tech_proj!AR1699/(1-tech_proj!AR579))</f>
        <v>138.07423876508912</v>
      </c>
      <c r="AS1079" s="107">
        <f>IF(tech_base!$T175&gt;AS$905,"",AS2199+tech_proj!AS1699/(1-tech_proj!AS579))</f>
        <v>138.64054744734196</v>
      </c>
      <c r="AT1079" s="107">
        <f>IF(tech_base!$T175&gt;AT$905,"",AT2199+tech_proj!AT1699/(1-tech_proj!AT579))</f>
        <v>139.20110913433385</v>
      </c>
      <c r="AU1079" s="107">
        <f>IF(tech_base!$T175&gt;AU$905,"",AU2199+tech_proj!AU1699/(1-tech_proj!AU579))</f>
        <v>139.74491713458204</v>
      </c>
      <c r="AV1079" s="107">
        <f>IF(tech_base!$T175&gt;AV$905,"",AV2199+tech_proj!AV1699/(1-tech_proj!AV579))</f>
        <v>140.26396726917253</v>
      </c>
      <c r="AW1079" s="107">
        <f>IF(tech_base!$T175&gt;AW$905,"",AW2199+tech_proj!AW1699/(1-tech_proj!AW579))</f>
        <v>140.75160366480793</v>
      </c>
      <c r="AX1079" s="108">
        <f>IF(tech_base!$T175&gt;AX$905,"",AX2199+tech_proj!AX1699/(1-tech_proj!AX579))</f>
        <v>141.40023038781274</v>
      </c>
    </row>
    <row r="1080" spans="1:50" x14ac:dyDescent="0.25">
      <c r="A1080" s="356"/>
      <c r="B1080" s="376"/>
      <c r="C1080" s="379"/>
      <c r="D1080" s="2" t="s">
        <v>8</v>
      </c>
      <c r="E1080" s="160" t="str">
        <f>A1079&amp;"/"&amp;B1079&amp;"/"&amp;C1079&amp;"/"&amp;D1080</f>
        <v>Fuel oil fired power plants/Integrated gasification combined cycle/Electricity only/M</v>
      </c>
      <c r="F1080" s="76" t="str">
        <f>A1079</f>
        <v>Fuel oil fired power plants</v>
      </c>
      <c r="G1080" s="76" t="str">
        <f>B1079</f>
        <v>Integrated gasification combined cycle</v>
      </c>
      <c r="H1080" s="76" t="str">
        <f>C1079</f>
        <v>Electricity only</v>
      </c>
      <c r="I1080" s="161" t="str">
        <f t="shared" si="369"/>
        <v>M</v>
      </c>
      <c r="J1080" s="105">
        <f>IF(tech_base!$T176&gt;J$905,"",J2200+tech_proj!J1700/(1-tech_proj!J580))</f>
        <v>91.158205599569712</v>
      </c>
      <c r="K1080" s="105">
        <f>IF(tech_base!$T176&gt;K$905,"",K2200+tech_proj!K1700/(1-tech_proj!K580))</f>
        <v>113.47276431559722</v>
      </c>
      <c r="L1080" s="105">
        <f>IF(tech_base!$T176&gt;L$905,"",L2200+tech_proj!L1700/(1-tech_proj!L580))</f>
        <v>120.16902867482946</v>
      </c>
      <c r="M1080" s="105">
        <f>IF(tech_base!$T176&gt;M$905,"",M2200+tech_proj!M1700/(1-tech_proj!M580))</f>
        <v>114.28163626476599</v>
      </c>
      <c r="N1080" s="105">
        <f>IF(tech_base!$T176&gt;N$905,"",N2200+tech_proj!N1700/(1-tech_proj!N580))</f>
        <v>104.983188642961</v>
      </c>
      <c r="O1080" s="105">
        <f>IF(tech_base!$T176&gt;O$905,"",O2200+tech_proj!O1700/(1-tech_proj!O580))</f>
        <v>73.829821027385876</v>
      </c>
      <c r="P1080" s="105">
        <f>IF(tech_base!$T176&gt;P$905,"",P2200+tech_proj!P1700/(1-tech_proj!P580))</f>
        <v>66.437320636749803</v>
      </c>
      <c r="Q1080" s="105">
        <f>IF(tech_base!$T176&gt;Q$905,"",Q2200+tech_proj!Q1700/(1-tech_proj!Q580))</f>
        <v>75.352243830774796</v>
      </c>
      <c r="R1080" s="105">
        <f>IF(tech_base!$T176&gt;R$905,"",R2200+tech_proj!R1700/(1-tech_proj!R580))</f>
        <v>83.312129447636224</v>
      </c>
      <c r="S1080" s="105">
        <f>IF(tech_base!$T176&gt;S$905,"",S2200+tech_proj!S1700/(1-tech_proj!S580))</f>
        <v>90.292596307845045</v>
      </c>
      <c r="T1080" s="105">
        <f>IF(tech_base!$T176&gt;T$905,"",T2200+tech_proj!T1700/(1-tech_proj!T580))</f>
        <v>97.023050114018645</v>
      </c>
      <c r="U1080" s="105">
        <f>IF(tech_base!$T176&gt;U$905,"",U2200+tech_proj!U1700/(1-tech_proj!U580))</f>
        <v>103.43188172963306</v>
      </c>
      <c r="V1080" s="105">
        <f>IF(tech_base!$T176&gt;V$905,"",V2200+tech_proj!V1700/(1-tech_proj!V580))</f>
        <v>107.72846944511556</v>
      </c>
      <c r="W1080" s="105">
        <f>IF(tech_base!$T176&gt;W$905,"",W2200+tech_proj!W1700/(1-tech_proj!W580))</f>
        <v>112.99178454890462</v>
      </c>
      <c r="X1080" s="105">
        <f>IF(tech_base!$T176&gt;X$905,"",X2200+tech_proj!X1700/(1-tech_proj!X580))</f>
        <v>117.5588892138115</v>
      </c>
      <c r="Y1080" s="105">
        <f>IF(tech_base!$T176&gt;Y$905,"",Y2200+tech_proj!Y1700/(1-tech_proj!Y580))</f>
        <v>121.43399582586531</v>
      </c>
      <c r="Z1080" s="105">
        <f>IF(tech_base!$T176&gt;Z$905,"",Z2200+tech_proj!Z1700/(1-tech_proj!Z580))</f>
        <v>123.91918983036022</v>
      </c>
      <c r="AA1080" s="105">
        <f>IF(tech_base!$T176&gt;AA$905,"",AA2200+tech_proj!AA1700/(1-tech_proj!AA580))</f>
        <v>126.17063210638263</v>
      </c>
      <c r="AB1080" s="105">
        <f>IF(tech_base!$T176&gt;AB$905,"",AB2200+tech_proj!AB1700/(1-tech_proj!AB580))</f>
        <v>127.71440759482984</v>
      </c>
      <c r="AC1080" s="105">
        <f>IF(tech_base!$T176&gt;AC$905,"",AC2200+tech_proj!AC1700/(1-tech_proj!AC580))</f>
        <v>130.11663214972438</v>
      </c>
      <c r="AD1080" s="105">
        <f>IF(tech_base!$T176&gt;AD$905,"",AD2200+tech_proj!AD1700/(1-tech_proj!AD580))</f>
        <v>131.58768795860433</v>
      </c>
      <c r="AE1080" s="105">
        <f>IF(tech_base!$T176&gt;AE$905,"",AE2200+tech_proj!AE1700/(1-tech_proj!AE580))</f>
        <v>132.99125760191717</v>
      </c>
      <c r="AF1080" s="105">
        <f>IF(tech_base!$T176&gt;AF$905,"",AF2200+tech_proj!AF1700/(1-tech_proj!AF580))</f>
        <v>133.70139058414247</v>
      </c>
      <c r="AG1080" s="105">
        <f>IF(tech_base!$T176&gt;AG$905,"",AG2200+tech_proj!AG1700/(1-tech_proj!AG580))</f>
        <v>134.51327205895967</v>
      </c>
      <c r="AH1080" s="105">
        <f>IF(tech_base!$T176&gt;AH$905,"",AH2200+tech_proj!AH1700/(1-tech_proj!AH580))</f>
        <v>135.42661291970663</v>
      </c>
      <c r="AI1080" s="105">
        <f>IF(tech_base!$T176&gt;AI$905,"",AI2200+tech_proj!AI1700/(1-tech_proj!AI580))</f>
        <v>136.45115485200395</v>
      </c>
      <c r="AJ1080" s="105">
        <f>IF(tech_base!$T176&gt;AJ$905,"",AJ2200+tech_proj!AJ1700/(1-tech_proj!AJ580))</f>
        <v>137.60462889013266</v>
      </c>
      <c r="AK1080" s="105">
        <f>IF(tech_base!$T176&gt;AK$905,"",AK2200+tech_proj!AK1700/(1-tech_proj!AK580))</f>
        <v>138.91415597835115</v>
      </c>
      <c r="AL1080" s="105">
        <f>IF(tech_base!$T176&gt;AL$905,"",AL2200+tech_proj!AL1700/(1-tech_proj!AL580))</f>
        <v>140.33226249774913</v>
      </c>
      <c r="AM1080" s="105">
        <f>IF(tech_base!$T176&gt;AM$905,"",AM2200+tech_proj!AM1700/(1-tech_proj!AM580))</f>
        <v>141.80061818330924</v>
      </c>
      <c r="AN1080" s="105">
        <f>IF(tech_base!$T176&gt;AN$905,"",AN2200+tech_proj!AN1700/(1-tech_proj!AN580))</f>
        <v>143.29041405273301</v>
      </c>
      <c r="AO1080" s="105">
        <f>IF(tech_base!$T176&gt;AO$905,"",AO2200+tech_proj!AO1700/(1-tech_proj!AO580))</f>
        <v>143.42735639498963</v>
      </c>
      <c r="AP1080" s="105">
        <f>IF(tech_base!$T176&gt;AP$905,"",AP2200+tech_proj!AP1700/(1-tech_proj!AP580))</f>
        <v>143.927425542327</v>
      </c>
      <c r="AQ1080" s="105">
        <f>IF(tech_base!$T176&gt;AQ$905,"",AQ2200+tech_proj!AQ1700/(1-tech_proj!AQ580))</f>
        <v>144.45835603214982</v>
      </c>
      <c r="AR1080" s="105">
        <f>IF(tech_base!$T176&gt;AR$905,"",AR2200+tech_proj!AR1700/(1-tech_proj!AR580))</f>
        <v>145.61430800796236</v>
      </c>
      <c r="AS1080" s="105">
        <f>IF(tech_base!$T176&gt;AS$905,"",AS2200+tech_proj!AS1700/(1-tech_proj!AS580))</f>
        <v>146.21074668453571</v>
      </c>
      <c r="AT1080" s="105">
        <f>IF(tech_base!$T176&gt;AT$905,"",AT2200+tech_proj!AT1700/(1-tech_proj!AT580))</f>
        <v>146.80111368370277</v>
      </c>
      <c r="AU1080" s="105">
        <f>IF(tech_base!$T176&gt;AU$905,"",AU2200+tech_proj!AU1700/(1-tech_proj!AU580))</f>
        <v>147.37381001942708</v>
      </c>
      <c r="AV1080" s="105">
        <f>IF(tech_base!$T176&gt;AV$905,"",AV2200+tech_proj!AV1700/(1-tech_proj!AV580))</f>
        <v>147.92039789521345</v>
      </c>
      <c r="AW1080" s="105">
        <f>IF(tech_base!$T176&gt;AW$905,"",AW2200+tech_proj!AW1700/(1-tech_proj!AW580))</f>
        <v>148.43385826070326</v>
      </c>
      <c r="AX1080" s="106">
        <f>IF(tech_base!$T176&gt;AX$905,"",AX2200+tech_proj!AX1700/(1-tech_proj!AX580))</f>
        <v>149.11684103654036</v>
      </c>
    </row>
    <row r="1081" spans="1:50" x14ac:dyDescent="0.25">
      <c r="A1081" s="356"/>
      <c r="B1081" s="376"/>
      <c r="C1081" s="361" t="s">
        <v>14</v>
      </c>
      <c r="D1081" s="58" t="s">
        <v>7</v>
      </c>
      <c r="E1081" s="164" t="str">
        <f>A1079&amp;"/"&amp;B1079&amp;"/"&amp;C1081&amp;"/"&amp;D1081</f>
        <v>Fuel oil fired power plants/Integrated gasification combined cycle/CHP/L</v>
      </c>
      <c r="F1081" s="78" t="str">
        <f>A1079</f>
        <v>Fuel oil fired power plants</v>
      </c>
      <c r="G1081" s="78" t="str">
        <f>B1079</f>
        <v>Integrated gasification combined cycle</v>
      </c>
      <c r="H1081" s="78" t="str">
        <f>C1081</f>
        <v>CHP</v>
      </c>
      <c r="I1081" s="165" t="str">
        <f t="shared" si="369"/>
        <v>L</v>
      </c>
      <c r="J1081" s="109">
        <f>IF(tech_base!$T177&gt;J$905,"",J2201+tech_proj!J1701/(1-tech_proj!J581))</f>
        <v>95.996159192372218</v>
      </c>
      <c r="K1081" s="109">
        <f>IF(tech_base!$T177&gt;K$905,"",K2201+tech_proj!K1701/(1-tech_proj!K581))</f>
        <v>119.4470648596312</v>
      </c>
      <c r="L1081" s="109">
        <f>IF(tech_base!$T177&gt;L$905,"",L2201+tech_proj!L1701/(1-tech_proj!L581))</f>
        <v>126.48432989407679</v>
      </c>
      <c r="M1081" s="109">
        <f>IF(tech_base!$T177&gt;M$905,"",M2201+tech_proj!M1701/(1-tech_proj!M581))</f>
        <v>120.29712781710408</v>
      </c>
      <c r="N1081" s="109">
        <f>IF(tech_base!$T177&gt;N$905,"",N2201+tech_proj!N1701/(1-tech_proj!N581))</f>
        <v>110.52516589727112</v>
      </c>
      <c r="O1081" s="109">
        <f>IF(tech_base!$T177&gt;O$905,"",O2201+tech_proj!O1701/(1-tech_proj!O581))</f>
        <v>77.785343682209586</v>
      </c>
      <c r="P1081" s="109">
        <f>IF(tech_base!$T177&gt;P$905,"",P2201+tech_proj!P1701/(1-tech_proj!P581))</f>
        <v>70.01638748136547</v>
      </c>
      <c r="Q1081" s="109">
        <f>IF(tech_base!$T177&gt;Q$905,"",Q2201+tech_proj!Q1701/(1-tech_proj!Q581))</f>
        <v>79.385294369216169</v>
      </c>
      <c r="R1081" s="109">
        <f>IF(tech_base!$T177&gt;R$905,"",R2201+tech_proj!R1701/(1-tech_proj!R581))</f>
        <v>87.750529330780296</v>
      </c>
      <c r="S1081" s="109">
        <f>IF(tech_base!$T177&gt;S$905,"",S2201+tech_proj!S1701/(1-tech_proj!S581))</f>
        <v>95.086469598987691</v>
      </c>
      <c r="T1081" s="109">
        <f>IF(tech_base!$T177&gt;T$905,"",T2201+tech_proj!T1701/(1-tech_proj!T581))</f>
        <v>102.15966514432715</v>
      </c>
      <c r="U1081" s="109">
        <f>IF(tech_base!$T177&gt;U$905,"",U2201+tech_proj!U1701/(1-tech_proj!U581))</f>
        <v>108.89486020544088</v>
      </c>
      <c r="V1081" s="109">
        <f>IF(tech_base!$T177&gt;V$905,"",V2201+tech_proj!V1701/(1-tech_proj!V581))</f>
        <v>113.41024742367493</v>
      </c>
      <c r="W1081" s="109">
        <f>IF(tech_base!$T177&gt;W$905,"",W2201+tech_proj!W1701/(1-tech_proj!W581))</f>
        <v>118.94159167147144</v>
      </c>
      <c r="X1081" s="109">
        <f>IF(tech_base!$T177&gt;X$905,"",X2201+tech_proj!X1701/(1-tech_proj!X581))</f>
        <v>123.74127164866512</v>
      </c>
      <c r="Y1081" s="109">
        <f>IF(tech_base!$T177&gt;Y$905,"",Y2201+tech_proj!Y1701/(1-tech_proj!Y581))</f>
        <v>127.81371425289974</v>
      </c>
      <c r="Z1081" s="109">
        <f>IF(tech_base!$T177&gt;Z$905,"",Z2201+tech_proj!Z1701/(1-tech_proj!Z581))</f>
        <v>130.42546431732686</v>
      </c>
      <c r="AA1081" s="109">
        <f>IF(tech_base!$T177&gt;AA$905,"",AA2201+tech_proj!AA1701/(1-tech_proj!AA581))</f>
        <v>132.79155907645637</v>
      </c>
      <c r="AB1081" s="109">
        <f>IF(tech_base!$T177&gt;AB$905,"",AB2201+tech_proj!AB1701/(1-tech_proj!AB581))</f>
        <v>134.41394981300269</v>
      </c>
      <c r="AC1081" s="109">
        <f>IF(tech_base!$T177&gt;AC$905,"",AC2201+tech_proj!AC1701/(1-tech_proj!AC581))</f>
        <v>136.93850529022765</v>
      </c>
      <c r="AD1081" s="109">
        <f>IF(tech_base!$T177&gt;AD$905,"",AD2201+tech_proj!AD1701/(1-tech_proj!AD581))</f>
        <v>138.48447316906092</v>
      </c>
      <c r="AE1081" s="109">
        <f>IF(tech_base!$T177&gt;AE$905,"",AE2201+tech_proj!AE1701/(1-tech_proj!AE581))</f>
        <v>139.95951821573331</v>
      </c>
      <c r="AF1081" s="109">
        <f>IF(tech_base!$T177&gt;AF$905,"",AF2201+tech_proj!AF1701/(1-tech_proj!AF581))</f>
        <v>140.7058140215031</v>
      </c>
      <c r="AG1081" s="109">
        <f>IF(tech_base!$T177&gt;AG$905,"",AG2201+tech_proj!AG1701/(1-tech_proj!AG581))</f>
        <v>141.55903976175756</v>
      </c>
      <c r="AH1081" s="109">
        <f>IF(tech_base!$T177&gt;AH$905,"",AH2201+tech_proj!AH1701/(1-tech_proj!AH581))</f>
        <v>142.51889160736206</v>
      </c>
      <c r="AI1081" s="109">
        <f>IF(tech_base!$T177&gt;AI$905,"",AI2201+tech_proj!AI1701/(1-tech_proj!AI581))</f>
        <v>143.59560732969445</v>
      </c>
      <c r="AJ1081" s="109">
        <f>IF(tech_base!$T177&gt;AJ$905,"",AJ2201+tech_proj!AJ1701/(1-tech_proj!AJ581))</f>
        <v>144.80782089851402</v>
      </c>
      <c r="AK1081" s="109">
        <f>IF(tech_base!$T177&gt;AK$905,"",AK2201+tech_proj!AK1701/(1-tech_proj!AK581))</f>
        <v>146.1840343654859</v>
      </c>
      <c r="AL1081" s="109">
        <f>IF(tech_base!$T177&gt;AL$905,"",AL2201+tech_proj!AL1701/(1-tech_proj!AL581))</f>
        <v>147.67435656435782</v>
      </c>
      <c r="AM1081" s="109">
        <f>IF(tech_base!$T177&gt;AM$905,"",AM2201+tech_proj!AM1701/(1-tech_proj!AM581))</f>
        <v>149.21748681874735</v>
      </c>
      <c r="AN1081" s="109">
        <f>IF(tech_base!$T177&gt;AN$905,"",AN2201+tech_proj!AN1701/(1-tech_proj!AN581))</f>
        <v>150.78309548624495</v>
      </c>
      <c r="AO1081" s="109">
        <f>IF(tech_base!$T177&gt;AO$905,"",AO2201+tech_proj!AO1701/(1-tech_proj!AO581))</f>
        <v>150.92699286467101</v>
      </c>
      <c r="AP1081" s="109">
        <f>IF(tech_base!$T177&gt;AP$905,"",AP2201+tech_proj!AP1701/(1-tech_proj!AP581))</f>
        <v>151.45250251689663</v>
      </c>
      <c r="AQ1081" s="109">
        <f>IF(tech_base!$T177&gt;AQ$905,"",AQ2201+tech_proj!AQ1701/(1-tech_proj!AQ581))</f>
        <v>152.0104365336324</v>
      </c>
      <c r="AR1081" s="109">
        <f>IF(tech_base!$T177&gt;AR$905,"",AR2201+tech_proj!AR1701/(1-tech_proj!AR581))</f>
        <v>153.22520923951188</v>
      </c>
      <c r="AS1081" s="109">
        <f>IF(tech_base!$T177&gt;AS$905,"",AS2201+tech_proj!AS1701/(1-tech_proj!AS581))</f>
        <v>153.85196087039577</v>
      </c>
      <c r="AT1081" s="109">
        <f>IF(tech_base!$T177&gt;AT$905,"",AT2201+tech_proj!AT1701/(1-tech_proj!AT581))</f>
        <v>154.47231172704008</v>
      </c>
      <c r="AU1081" s="109">
        <f>IF(tech_base!$T177&gt;AU$905,"",AU2201+tech_proj!AU1701/(1-tech_proj!AU581))</f>
        <v>155.07406606795337</v>
      </c>
      <c r="AV1081" s="109">
        <f>IF(tech_base!$T177&gt;AV$905,"",AV2201+tech_proj!AV1701/(1-tech_proj!AV581))</f>
        <v>155.64834884361215</v>
      </c>
      <c r="AW1081" s="109">
        <f>IF(tech_base!$T177&gt;AW$905,"",AW2201+tech_proj!AW1701/(1-tech_proj!AW581))</f>
        <v>156.18777445165185</v>
      </c>
      <c r="AX1081" s="110">
        <f>IF(tech_base!$T177&gt;AX$905,"",AX2201+tech_proj!AX1701/(1-tech_proj!AX581))</f>
        <v>156.90530206539415</v>
      </c>
    </row>
    <row r="1082" spans="1:50" x14ac:dyDescent="0.25">
      <c r="A1082" s="356"/>
      <c r="B1082" s="376"/>
      <c r="C1082" s="379"/>
      <c r="D1082" s="59" t="s">
        <v>8</v>
      </c>
      <c r="E1082" s="166" t="str">
        <f>A1079&amp;"/"&amp;B1079&amp;"/"&amp;C1081&amp;"/"&amp;D1082</f>
        <v>Fuel oil fired power plants/Integrated gasification combined cycle/CHP/M</v>
      </c>
      <c r="F1082" s="79" t="str">
        <f>A1079</f>
        <v>Fuel oil fired power plants</v>
      </c>
      <c r="G1082" s="79" t="str">
        <f>B1079</f>
        <v>Integrated gasification combined cycle</v>
      </c>
      <c r="H1082" s="79" t="str">
        <f>C1081</f>
        <v>CHP</v>
      </c>
      <c r="I1082" s="167" t="str">
        <f t="shared" si="369"/>
        <v>M</v>
      </c>
      <c r="J1082" s="111">
        <f>IF(tech_base!$T178&gt;J$905,"",J2202+tech_proj!J1702/(1-tech_proj!J582))</f>
        <v>101.25096194208814</v>
      </c>
      <c r="K1082" s="111">
        <f>IF(tech_base!$T178&gt;K$905,"",K2202+tech_proj!K1702/(1-tech_proj!K582))</f>
        <v>125.96015917119198</v>
      </c>
      <c r="L1082" s="111">
        <f>IF(tech_base!$T178&gt;L$905,"",L2202+tech_proj!L1702/(1-tech_proj!L582))</f>
        <v>133.37501862936477</v>
      </c>
      <c r="M1082" s="111">
        <f>IF(tech_base!$T178&gt;M$905,"",M2202+tech_proj!M1702/(1-tech_proj!M582))</f>
        <v>126.85583346076444</v>
      </c>
      <c r="N1082" s="111">
        <f>IF(tech_base!$T178&gt;N$905,"",N2202+tech_proj!N1702/(1-tech_proj!N582))</f>
        <v>116.55954308211371</v>
      </c>
      <c r="O1082" s="111">
        <f>IF(tech_base!$T178&gt;O$905,"",O2202+tech_proj!O1702/(1-tech_proj!O582))</f>
        <v>82.063019330060797</v>
      </c>
      <c r="P1082" s="111">
        <f>IF(tech_base!$T178&gt;P$905,"",P2202+tech_proj!P1702/(1-tech_proj!P582))</f>
        <v>73.877208779513992</v>
      </c>
      <c r="Q1082" s="111">
        <f>IF(tech_base!$T178&gt;Q$905,"",Q2202+tech_proj!Q1702/(1-tech_proj!Q582))</f>
        <v>83.748817637512985</v>
      </c>
      <c r="R1082" s="111">
        <f>IF(tech_base!$T178&gt;R$905,"",R2202+tech_proj!R1702/(1-tech_proj!R582))</f>
        <v>92.562901130316646</v>
      </c>
      <c r="S1082" s="111">
        <f>IF(tech_base!$T178&gt;S$905,"",S2202+tech_proj!S1702/(1-tech_proj!S582))</f>
        <v>100.29246166499293</v>
      </c>
      <c r="T1082" s="111">
        <f>IF(tech_base!$T178&gt;T$905,"",T2202+tech_proj!T1702/(1-tech_proj!T582))</f>
        <v>107.74517953651721</v>
      </c>
      <c r="U1082" s="111">
        <f>IF(tech_base!$T178&gt;U$905,"",U2202+tech_proj!U1702/(1-tech_proj!U582))</f>
        <v>114.8417610290561</v>
      </c>
      <c r="V1082" s="111">
        <f>IF(tech_base!$T178&gt;V$905,"",V2202+tech_proj!V1702/(1-tech_proj!V582))</f>
        <v>119.5994277445421</v>
      </c>
      <c r="W1082" s="111">
        <f>IF(tech_base!$T178&gt;W$905,"",W2202+tech_proj!W1702/(1-tech_proj!W582))</f>
        <v>125.42756410311746</v>
      </c>
      <c r="X1082" s="111">
        <f>IF(tech_base!$T178&gt;X$905,"",X2202+tech_proj!X1702/(1-tech_proj!X582))</f>
        <v>130.48477770824647</v>
      </c>
      <c r="Y1082" s="111">
        <f>IF(tech_base!$T178&gt;Y$905,"",Y2202+tech_proj!Y1702/(1-tech_proj!Y582))</f>
        <v>134.7757329890367</v>
      </c>
      <c r="Z1082" s="111">
        <f>IF(tech_base!$T178&gt;Z$905,"",Z2202+tech_proj!Z1702/(1-tech_proj!Z582))</f>
        <v>137.52762020272135</v>
      </c>
      <c r="AA1082" s="111">
        <f>IF(tech_base!$T178&gt;AA$905,"",AA2202+tech_proj!AA1702/(1-tech_proj!AA582))</f>
        <v>140.02067112773125</v>
      </c>
      <c r="AB1082" s="111">
        <f>IF(tech_base!$T178&gt;AB$905,"",AB2202+tech_proj!AB1702/(1-tech_proj!AB582))</f>
        <v>141.7301135373676</v>
      </c>
      <c r="AC1082" s="111">
        <f>IF(tech_base!$T178&gt;AC$905,"",AC2202+tech_proj!AC1702/(1-tech_proj!AC582))</f>
        <v>144.39012761476241</v>
      </c>
      <c r="AD1082" s="111">
        <f>IF(tech_base!$T178&gt;AD$905,"",AD2202+tech_proj!AD1702/(1-tech_proj!AD582))</f>
        <v>146.01904659000192</v>
      </c>
      <c r="AE1082" s="111">
        <f>IF(tech_base!$T178&gt;AE$905,"",AE2202+tech_proj!AE1702/(1-tech_proj!AE582))</f>
        <v>147.57323726805865</v>
      </c>
      <c r="AF1082" s="111">
        <f>IF(tech_base!$T178&gt;AF$905,"",AF2202+tech_proj!AF1702/(1-tech_proj!AF582))</f>
        <v>148.35957663241692</v>
      </c>
      <c r="AG1082" s="111">
        <f>IF(tech_base!$T178&gt;AG$905,"",AG2202+tech_proj!AG1702/(1-tech_proj!AG582))</f>
        <v>149.25858340836118</v>
      </c>
      <c r="AH1082" s="111">
        <f>IF(tech_base!$T178&gt;AH$905,"",AH2202+tech_proj!AH1702/(1-tech_proj!AH582))</f>
        <v>150.26993746437421</v>
      </c>
      <c r="AI1082" s="111">
        <f>IF(tech_base!$T178&gt;AI$905,"",AI2202+tech_proj!AI1702/(1-tech_proj!AI582))</f>
        <v>151.40442589395892</v>
      </c>
      <c r="AJ1082" s="111">
        <f>IF(tech_base!$T178&gt;AJ$905,"",AJ2202+tech_proj!AJ1702/(1-tech_proj!AJ582))</f>
        <v>152.68168249891713</v>
      </c>
      <c r="AK1082" s="111">
        <f>IF(tech_base!$T178&gt;AK$905,"",AK2202+tech_proj!AK1702/(1-tech_proj!AK582))</f>
        <v>154.13173864886929</v>
      </c>
      <c r="AL1082" s="111">
        <f>IF(tech_base!$T178&gt;AL$905,"",AL2202+tech_proj!AL1702/(1-tech_proj!AL582))</f>
        <v>155.70202619636692</v>
      </c>
      <c r="AM1082" s="111">
        <f>IF(tech_base!$T178&gt;AM$905,"",AM2202+tech_proj!AM1702/(1-tech_proj!AM582))</f>
        <v>157.32795529040368</v>
      </c>
      <c r="AN1082" s="111">
        <f>IF(tech_base!$T178&gt;AN$905,"",AN2202+tech_proj!AN1702/(1-tech_proj!AN582))</f>
        <v>158.97754044719329</v>
      </c>
      <c r="AO1082" s="111">
        <f>IF(tech_base!$T178&gt;AO$905,"",AO2202+tech_proj!AO1702/(1-tech_proj!AO582))</f>
        <v>159.12914895558328</v>
      </c>
      <c r="AP1082" s="111">
        <f>IF(tech_base!$T178&gt;AP$905,"",AP2202+tech_proj!AP1702/(1-tech_proj!AP582))</f>
        <v>159.68284228241495</v>
      </c>
      <c r="AQ1082" s="111">
        <f>IF(tech_base!$T178&gt;AQ$905,"",AQ2202+tech_proj!AQ1702/(1-tech_proj!AQ582))</f>
        <v>160.27069520207925</v>
      </c>
      <c r="AR1082" s="111">
        <f>IF(tech_base!$T178&gt;AR$905,"",AR2202+tech_proj!AR1702/(1-tech_proj!AR582))</f>
        <v>161.55062436616322</v>
      </c>
      <c r="AS1082" s="111">
        <f>IF(tech_base!$T178&gt;AS$905,"",AS2202+tech_proj!AS1702/(1-tech_proj!AS582))</f>
        <v>162.21097332608474</v>
      </c>
      <c r="AT1082" s="111">
        <f>IF(tech_base!$T178&gt;AT$905,"",AT2202+tech_proj!AT1702/(1-tech_proj!AT582))</f>
        <v>162.86456749914512</v>
      </c>
      <c r="AU1082" s="111">
        <f>IF(tech_base!$T178&gt;AU$905,"",AU2202+tech_proj!AU1702/(1-tech_proj!AU582))</f>
        <v>163.49855353054934</v>
      </c>
      <c r="AV1082" s="111">
        <f>IF(tech_base!$T178&gt;AV$905,"",AV2202+tech_proj!AV1702/(1-tech_proj!AV582))</f>
        <v>164.10357614893476</v>
      </c>
      <c r="AW1082" s="111">
        <f>IF(tech_base!$T178&gt;AW$905,"",AW2202+tech_proj!AW1702/(1-tech_proj!AW582))</f>
        <v>164.67184862678255</v>
      </c>
      <c r="AX1082" s="112">
        <f>IF(tech_base!$T178&gt;AX$905,"",AX2202+tech_proj!AX1702/(1-tech_proj!AX582))</f>
        <v>165.42775118967211</v>
      </c>
    </row>
    <row r="1083" spans="1:50" x14ac:dyDescent="0.25">
      <c r="A1083" s="356"/>
      <c r="B1083" s="376"/>
      <c r="C1083" s="361" t="s">
        <v>15</v>
      </c>
      <c r="D1083" s="58" t="s">
        <v>7</v>
      </c>
      <c r="E1083" s="164" t="str">
        <f>A1079&amp;"/"&amp;B1079&amp;"/"&amp;C1083&amp;"/"&amp;D1083</f>
        <v>Fuel oil fired power plants/Integrated gasification combined cycle/Electricity only with CCS/L</v>
      </c>
      <c r="F1083" s="78" t="str">
        <f>A1079</f>
        <v>Fuel oil fired power plants</v>
      </c>
      <c r="G1083" s="78" t="str">
        <f>B1079</f>
        <v>Integrated gasification combined cycle</v>
      </c>
      <c r="H1083" s="78" t="str">
        <f>C1083</f>
        <v>Electricity only with CCS</v>
      </c>
      <c r="I1083" s="165" t="str">
        <f t="shared" si="369"/>
        <v>L</v>
      </c>
      <c r="J1083" s="109" t="str">
        <f>IF(tech_base!$T179&gt;J$905,"",J2203+tech_proj!J1703/(1-tech_proj!J583))</f>
        <v/>
      </c>
      <c r="K1083" s="109" t="str">
        <f>IF(tech_base!$T179&gt;K$905,"",K2203+tech_proj!K1703/(1-tech_proj!K583))</f>
        <v/>
      </c>
      <c r="L1083" s="109" t="str">
        <f>IF(tech_base!$T179&gt;L$905,"",L2203+tech_proj!L1703/(1-tech_proj!L583))</f>
        <v/>
      </c>
      <c r="M1083" s="109" t="str">
        <f>IF(tech_base!$T179&gt;M$905,"",M2203+tech_proj!M1703/(1-tech_proj!M583))</f>
        <v/>
      </c>
      <c r="N1083" s="109" t="str">
        <f>IF(tech_base!$T179&gt;N$905,"",N2203+tech_proj!N1703/(1-tech_proj!N583))</f>
        <v/>
      </c>
      <c r="O1083" s="109" t="str">
        <f>IF(tech_base!$T179&gt;O$905,"",O2203+tech_proj!O1703/(1-tech_proj!O583))</f>
        <v/>
      </c>
      <c r="P1083" s="109" t="str">
        <f>IF(tech_base!$T179&gt;P$905,"",P2203+tech_proj!P1703/(1-tech_proj!P583))</f>
        <v/>
      </c>
      <c r="Q1083" s="109" t="str">
        <f>IF(tech_base!$T179&gt;Q$905,"",Q2203+tech_proj!Q1703/(1-tech_proj!Q583))</f>
        <v/>
      </c>
      <c r="R1083" s="109" t="str">
        <f>IF(tech_base!$T179&gt;R$905,"",R2203+tech_proj!R1703/(1-tech_proj!R583))</f>
        <v/>
      </c>
      <c r="S1083" s="109" t="str">
        <f>IF(tech_base!$T179&gt;S$905,"",S2203+tech_proj!S1703/(1-tech_proj!S583))</f>
        <v/>
      </c>
      <c r="T1083" s="109" t="str">
        <f>IF(tech_base!$T179&gt;T$905,"",T2203+tech_proj!T1703/(1-tech_proj!T583))</f>
        <v/>
      </c>
      <c r="U1083" s="109" t="str">
        <f>IF(tech_base!$T179&gt;U$905,"",U2203+tech_proj!U1703/(1-tech_proj!U583))</f>
        <v/>
      </c>
      <c r="V1083" s="109" t="str">
        <f>IF(tech_base!$T179&gt;V$905,"",V2203+tech_proj!V1703/(1-tech_proj!V583))</f>
        <v/>
      </c>
      <c r="W1083" s="109" t="str">
        <f>IF(tech_base!$T179&gt;W$905,"",W2203+tech_proj!W1703/(1-tech_proj!W583))</f>
        <v/>
      </c>
      <c r="X1083" s="109" t="str">
        <f>IF(tech_base!$T179&gt;X$905,"",X2203+tech_proj!X1703/(1-tech_proj!X583))</f>
        <v/>
      </c>
      <c r="Y1083" s="109" t="str">
        <f>IF(tech_base!$T179&gt;Y$905,"",Y2203+tech_proj!Y1703/(1-tech_proj!Y583))</f>
        <v/>
      </c>
      <c r="Z1083" s="109" t="str">
        <f>IF(tech_base!$T179&gt;Z$905,"",Z2203+tech_proj!Z1703/(1-tech_proj!Z583))</f>
        <v/>
      </c>
      <c r="AA1083" s="109" t="str">
        <f>IF(tech_base!$T179&gt;AA$905,"",AA2203+tech_proj!AA1703/(1-tech_proj!AA583))</f>
        <v/>
      </c>
      <c r="AB1083" s="109" t="str">
        <f>IF(tech_base!$T179&gt;AB$905,"",AB2203+tech_proj!AB1703/(1-tech_proj!AB583))</f>
        <v/>
      </c>
      <c r="AC1083" s="109" t="str">
        <f>IF(tech_base!$T179&gt;AC$905,"",AC2203+tech_proj!AC1703/(1-tech_proj!AC583))</f>
        <v/>
      </c>
      <c r="AD1083" s="109" t="str">
        <f>IF(tech_base!$T179&gt;AD$905,"",AD2203+tech_proj!AD1703/(1-tech_proj!AD583))</f>
        <v/>
      </c>
      <c r="AE1083" s="109">
        <f>IF(tech_base!$T179&gt;AE$905,"",AE2203+tech_proj!AE1703/(1-tech_proj!AE583))</f>
        <v>154.76802154516176</v>
      </c>
      <c r="AF1083" s="109">
        <f>IF(tech_base!$T179&gt;AF$905,"",AF2203+tech_proj!AF1703/(1-tech_proj!AF583))</f>
        <v>155.5921975352347</v>
      </c>
      <c r="AG1083" s="109">
        <f>IF(tech_base!$T179&gt;AG$905,"",AG2203+tech_proj!AG1703/(1-tech_proj!AG583))</f>
        <v>156.53446220266716</v>
      </c>
      <c r="AH1083" s="109">
        <f>IF(tech_base!$T179&gt;AH$905,"",AH2203+tech_proj!AH1703/(1-tech_proj!AH583))</f>
        <v>157.59448001203762</v>
      </c>
      <c r="AI1083" s="109">
        <f>IF(tech_base!$T179&gt;AI$905,"",AI2203+tech_proj!AI1703/(1-tech_proj!AI583))</f>
        <v>158.78355710401598</v>
      </c>
      <c r="AJ1083" s="109">
        <f>IF(tech_base!$T179&gt;AJ$905,"",AJ2203+tech_proj!AJ1703/(1-tech_proj!AJ583))</f>
        <v>160.12227200839786</v>
      </c>
      <c r="AK1083" s="109">
        <f>IF(tech_base!$T179&gt;AK$905,"",AK2203+tech_proj!AK1703/(1-tech_proj!AK583))</f>
        <v>161.64210112699155</v>
      </c>
      <c r="AL1083" s="109">
        <f>IF(tech_base!$T179&gt;AL$905,"",AL2203+tech_proj!AL1703/(1-tech_proj!AL583))</f>
        <v>163.28794686843449</v>
      </c>
      <c r="AM1083" s="109">
        <f>IF(tech_base!$T179&gt;AM$905,"",AM2203+tech_proj!AM1703/(1-tech_proj!AM583))</f>
        <v>164.99211148438212</v>
      </c>
      <c r="AN1083" s="109">
        <f>IF(tech_base!$T179&gt;AN$905,"",AN2203+tech_proj!AN1703/(1-tech_proj!AN583))</f>
        <v>166.73223718429497</v>
      </c>
      <c r="AO1083" s="109">
        <f>IF(tech_base!$T179&gt;AO$905,"",AO2203+tech_proj!AO1703/(1-tech_proj!AO583))</f>
        <v>166.89503256126508</v>
      </c>
      <c r="AP1083" s="109">
        <f>IF(tech_base!$T179&gt;AP$905,"",AP2203+tech_proj!AP1703/(1-tech_proj!AP583))</f>
        <v>167.48064582294933</v>
      </c>
      <c r="AQ1083" s="109">
        <f>IF(tech_base!$T179&gt;AQ$905,"",AQ2203+tech_proj!AQ1703/(1-tech_proj!AQ583))</f>
        <v>168.10389392765114</v>
      </c>
      <c r="AR1083" s="109">
        <f>IF(tech_base!$T179&gt;AR$905,"",AR2203+tech_proj!AR1703/(1-tech_proj!AR583))</f>
        <v>169.45509347809266</v>
      </c>
      <c r="AS1083" s="109">
        <f>IF(tech_base!$T179&gt;AS$905,"",AS2203+tech_proj!AS1703/(1-tech_proj!AS583))</f>
        <v>170.14138319936615</v>
      </c>
      <c r="AT1083" s="109">
        <f>IF(tech_base!$T179&gt;AT$905,"",AT2203+tech_proj!AT1703/(1-tech_proj!AT583))</f>
        <v>170.83154897872839</v>
      </c>
      <c r="AU1083" s="109">
        <f>IF(tech_base!$T179&gt;AU$905,"",AU2203+tech_proj!AU1703/(1-tech_proj!AU583))</f>
        <v>171.49921863950135</v>
      </c>
      <c r="AV1083" s="109">
        <f>IF(tech_base!$T179&gt;AV$905,"",AV2203+tech_proj!AV1703/(1-tech_proj!AV583))</f>
        <v>172.13175815741999</v>
      </c>
      <c r="AW1083" s="109">
        <f>IF(tech_base!$T179&gt;AW$905,"",AW2203+tech_proj!AW1703/(1-tech_proj!AW583))</f>
        <v>172.71633018773022</v>
      </c>
      <c r="AX1083" s="110">
        <f>IF(tech_base!$T179&gt;AX$905,"",AX2203+tech_proj!AX1703/(1-tech_proj!AX583))</f>
        <v>173.48117900850391</v>
      </c>
    </row>
    <row r="1084" spans="1:50" x14ac:dyDescent="0.25">
      <c r="A1084" s="356"/>
      <c r="B1084" s="376"/>
      <c r="C1084" s="379"/>
      <c r="D1084" s="59" t="s">
        <v>8</v>
      </c>
      <c r="E1084" s="166" t="str">
        <f>A1079&amp;"/"&amp;B1079&amp;"/"&amp;C1083&amp;"/"&amp;D1084</f>
        <v>Fuel oil fired power plants/Integrated gasification combined cycle/Electricity only with CCS/M</v>
      </c>
      <c r="F1084" s="79" t="str">
        <f>A1079</f>
        <v>Fuel oil fired power plants</v>
      </c>
      <c r="G1084" s="79" t="str">
        <f>B1079</f>
        <v>Integrated gasification combined cycle</v>
      </c>
      <c r="H1084" s="79" t="str">
        <f>C1083</f>
        <v>Electricity only with CCS</v>
      </c>
      <c r="I1084" s="167" t="str">
        <f t="shared" si="369"/>
        <v>M</v>
      </c>
      <c r="J1084" s="111" t="str">
        <f>IF(tech_base!$T180&gt;J$905,"",J2204+tech_proj!J1704/(1-tech_proj!J584))</f>
        <v/>
      </c>
      <c r="K1084" s="111" t="str">
        <f>IF(tech_base!$T180&gt;K$905,"",K2204+tech_proj!K1704/(1-tech_proj!K584))</f>
        <v/>
      </c>
      <c r="L1084" s="111" t="str">
        <f>IF(tech_base!$T180&gt;L$905,"",L2204+tech_proj!L1704/(1-tech_proj!L584))</f>
        <v/>
      </c>
      <c r="M1084" s="111" t="str">
        <f>IF(tech_base!$T180&gt;M$905,"",M2204+tech_proj!M1704/(1-tech_proj!M584))</f>
        <v/>
      </c>
      <c r="N1084" s="111" t="str">
        <f>IF(tech_base!$T180&gt;N$905,"",N2204+tech_proj!N1704/(1-tech_proj!N584))</f>
        <v/>
      </c>
      <c r="O1084" s="111" t="str">
        <f>IF(tech_base!$T180&gt;O$905,"",O2204+tech_proj!O1704/(1-tech_proj!O584))</f>
        <v/>
      </c>
      <c r="P1084" s="111" t="str">
        <f>IF(tech_base!$T180&gt;P$905,"",P2204+tech_proj!P1704/(1-tech_proj!P584))</f>
        <v/>
      </c>
      <c r="Q1084" s="111" t="str">
        <f>IF(tech_base!$T180&gt;Q$905,"",Q2204+tech_proj!Q1704/(1-tech_proj!Q584))</f>
        <v/>
      </c>
      <c r="R1084" s="111" t="str">
        <f>IF(tech_base!$T180&gt;R$905,"",R2204+tech_proj!R1704/(1-tech_proj!R584))</f>
        <v/>
      </c>
      <c r="S1084" s="111" t="str">
        <f>IF(tech_base!$T180&gt;S$905,"",S2204+tech_proj!S1704/(1-tech_proj!S584))</f>
        <v/>
      </c>
      <c r="T1084" s="111" t="str">
        <f>IF(tech_base!$T180&gt;T$905,"",T2204+tech_proj!T1704/(1-tech_proj!T584))</f>
        <v/>
      </c>
      <c r="U1084" s="111" t="str">
        <f>IF(tech_base!$T180&gt;U$905,"",U2204+tech_proj!U1704/(1-tech_proj!U584))</f>
        <v/>
      </c>
      <c r="V1084" s="111" t="str">
        <f>IF(tech_base!$T180&gt;V$905,"",V2204+tech_proj!V1704/(1-tech_proj!V584))</f>
        <v/>
      </c>
      <c r="W1084" s="111" t="str">
        <f>IF(tech_base!$T180&gt;W$905,"",W2204+tech_proj!W1704/(1-tech_proj!W584))</f>
        <v/>
      </c>
      <c r="X1084" s="111" t="str">
        <f>IF(tech_base!$T180&gt;X$905,"",X2204+tech_proj!X1704/(1-tech_proj!X584))</f>
        <v/>
      </c>
      <c r="Y1084" s="111" t="str">
        <f>IF(tech_base!$T180&gt;Y$905,"",Y2204+tech_proj!Y1704/(1-tech_proj!Y584))</f>
        <v/>
      </c>
      <c r="Z1084" s="111" t="str">
        <f>IF(tech_base!$T180&gt;Z$905,"",Z2204+tech_proj!Z1704/(1-tech_proj!Z584))</f>
        <v/>
      </c>
      <c r="AA1084" s="111" t="str">
        <f>IF(tech_base!$T180&gt;AA$905,"",AA2204+tech_proj!AA1704/(1-tech_proj!AA584))</f>
        <v/>
      </c>
      <c r="AB1084" s="111" t="str">
        <f>IF(tech_base!$T180&gt;AB$905,"",AB2204+tech_proj!AB1704/(1-tech_proj!AB584))</f>
        <v/>
      </c>
      <c r="AC1084" s="111" t="str">
        <f>IF(tech_base!$T180&gt;AC$905,"",AC2204+tech_proj!AC1704/(1-tech_proj!AC584))</f>
        <v/>
      </c>
      <c r="AD1084" s="111" t="str">
        <f>IF(tech_base!$T180&gt;AD$905,"",AD2204+tech_proj!AD1704/(1-tech_proj!AD584))</f>
        <v/>
      </c>
      <c r="AE1084" s="111">
        <f>IF(tech_base!$T180&gt;AE$905,"",AE2204+tech_proj!AE1704/(1-tech_proj!AE584))</f>
        <v>164.61630246470858</v>
      </c>
      <c r="AF1084" s="111">
        <f>IF(tech_base!$T180&gt;AF$905,"",AF2204+tech_proj!AF1704/(1-tech_proj!AF584))</f>
        <v>165.49207571833608</v>
      </c>
      <c r="AG1084" s="111">
        <f>IF(tech_base!$T180&gt;AG$905,"",AG2204+tech_proj!AG1704/(1-tech_proj!AG584))</f>
        <v>166.4933305516667</v>
      </c>
      <c r="AH1084" s="111">
        <f>IF(tech_base!$T180&gt;AH$905,"",AH2204+tech_proj!AH1704/(1-tech_proj!AH584))</f>
        <v>167.61971042319547</v>
      </c>
      <c r="AI1084" s="111">
        <f>IF(tech_base!$T180&gt;AI$905,"",AI2204+tech_proj!AI1704/(1-tech_proj!AI584))</f>
        <v>168.88322929076605</v>
      </c>
      <c r="AJ1084" s="111">
        <f>IF(tech_base!$T180&gt;AJ$905,"",AJ2204+tech_proj!AJ1704/(1-tech_proj!AJ584))</f>
        <v>170.30575399618289</v>
      </c>
      <c r="AK1084" s="111">
        <f>IF(tech_base!$T180&gt;AK$905,"",AK2204+tech_proj!AK1704/(1-tech_proj!AK584))</f>
        <v>171.9207315109135</v>
      </c>
      <c r="AL1084" s="111">
        <f>IF(tech_base!$T180&gt;AL$905,"",AL2204+tech_proj!AL1704/(1-tech_proj!AL584))</f>
        <v>173.66961487722571</v>
      </c>
      <c r="AM1084" s="111">
        <f>IF(tech_base!$T180&gt;AM$905,"",AM2204+tech_proj!AM1704/(1-tech_proj!AM584))</f>
        <v>175.48046815177113</v>
      </c>
      <c r="AN1084" s="111">
        <f>IF(tech_base!$T180&gt;AN$905,"",AN2204+tech_proj!AN1704/(1-tech_proj!AN584))</f>
        <v>177.32953384197481</v>
      </c>
      <c r="AO1084" s="111">
        <f>IF(tech_base!$T180&gt;AO$905,"",AO2204+tech_proj!AO1704/(1-tech_proj!AO584))</f>
        <v>177.50252096933826</v>
      </c>
      <c r="AP1084" s="111">
        <f>IF(tech_base!$T180&gt;AP$905,"",AP2204+tech_proj!AP1704/(1-tech_proj!AP584))</f>
        <v>178.12479635436523</v>
      </c>
      <c r="AQ1084" s="111">
        <f>IF(tech_base!$T180&gt;AQ$905,"",AQ2204+tech_proj!AQ1704/(1-tech_proj!AQ584))</f>
        <v>178.78706269923114</v>
      </c>
      <c r="AR1084" s="111">
        <f>IF(tech_base!$T180&gt;AR$905,"",AR2204+tech_proj!AR1704/(1-tech_proj!AR584))</f>
        <v>180.22285364781908</v>
      </c>
      <c r="AS1084" s="111">
        <f>IF(tech_base!$T180&gt;AS$905,"",AS2204+tech_proj!AS1704/(1-tech_proj!AS584))</f>
        <v>180.95203676773713</v>
      </c>
      <c r="AT1084" s="111">
        <f>IF(tech_base!$T180&gt;AT$905,"",AT2204+tech_proj!AT1704/(1-tech_proj!AT584))</f>
        <v>181.6853643863449</v>
      </c>
      <c r="AU1084" s="111">
        <f>IF(tech_base!$T180&gt;AU$905,"",AU2204+tech_proj!AU1704/(1-tech_proj!AU584))</f>
        <v>182.39475893159832</v>
      </c>
      <c r="AV1084" s="111">
        <f>IF(tech_base!$T180&gt;AV$905,"",AV2204+tech_proj!AV1704/(1-tech_proj!AV584))</f>
        <v>183.06677867447851</v>
      </c>
      <c r="AW1084" s="111">
        <f>IF(tech_base!$T180&gt;AW$905,"",AW2204+tech_proj!AW1704/(1-tech_proj!AW584))</f>
        <v>183.68775777263539</v>
      </c>
      <c r="AX1084" s="112">
        <f>IF(tech_base!$T180&gt;AX$905,"",AX2204+tech_proj!AX1704/(1-tech_proj!AX584))</f>
        <v>184.50019552068699</v>
      </c>
    </row>
    <row r="1085" spans="1:50" x14ac:dyDescent="0.25">
      <c r="A1085" s="356"/>
      <c r="B1085" s="376"/>
      <c r="C1085" s="361" t="s">
        <v>16</v>
      </c>
      <c r="D1085" s="2" t="s">
        <v>7</v>
      </c>
      <c r="E1085" s="160" t="str">
        <f>A1079&amp;"/"&amp;B1079&amp;"/"&amp;C1085&amp;"/"&amp;D1085</f>
        <v>Fuel oil fired power plants/Integrated gasification combined cycle/CHP with CCS/L</v>
      </c>
      <c r="F1085" s="76" t="str">
        <f>A1079</f>
        <v>Fuel oil fired power plants</v>
      </c>
      <c r="G1085" s="76" t="str">
        <f>B1079</f>
        <v>Integrated gasification combined cycle</v>
      </c>
      <c r="H1085" s="76" t="str">
        <f>C1085</f>
        <v>CHP with CCS</v>
      </c>
      <c r="I1085" s="161" t="str">
        <f t="shared" si="369"/>
        <v>L</v>
      </c>
      <c r="J1085" s="105" t="str">
        <f>IF(tech_base!$T181&gt;J$905,"",J2205+tech_proj!J1705/(1-tech_proj!J585))</f>
        <v/>
      </c>
      <c r="K1085" s="105" t="str">
        <f>IF(tech_base!$T181&gt;K$905,"",K2205+tech_proj!K1705/(1-tech_proj!K585))</f>
        <v/>
      </c>
      <c r="L1085" s="105" t="str">
        <f>IF(tech_base!$T181&gt;L$905,"",L2205+tech_proj!L1705/(1-tech_proj!L585))</f>
        <v/>
      </c>
      <c r="M1085" s="105" t="str">
        <f>IF(tech_base!$T181&gt;M$905,"",M2205+tech_proj!M1705/(1-tech_proj!M585))</f>
        <v/>
      </c>
      <c r="N1085" s="105" t="str">
        <f>IF(tech_base!$T181&gt;N$905,"",N2205+tech_proj!N1705/(1-tech_proj!N585))</f>
        <v/>
      </c>
      <c r="O1085" s="105" t="str">
        <f>IF(tech_base!$T181&gt;O$905,"",O2205+tech_proj!O1705/(1-tech_proj!O585))</f>
        <v/>
      </c>
      <c r="P1085" s="105" t="str">
        <f>IF(tech_base!$T181&gt;P$905,"",P2205+tech_proj!P1705/(1-tech_proj!P585))</f>
        <v/>
      </c>
      <c r="Q1085" s="105" t="str">
        <f>IF(tech_base!$T181&gt;Q$905,"",Q2205+tech_proj!Q1705/(1-tech_proj!Q585))</f>
        <v/>
      </c>
      <c r="R1085" s="105" t="str">
        <f>IF(tech_base!$T181&gt;R$905,"",R2205+tech_proj!R1705/(1-tech_proj!R585))</f>
        <v/>
      </c>
      <c r="S1085" s="105" t="str">
        <f>IF(tech_base!$T181&gt;S$905,"",S2205+tech_proj!S1705/(1-tech_proj!S585))</f>
        <v/>
      </c>
      <c r="T1085" s="105" t="str">
        <f>IF(tech_base!$T181&gt;T$905,"",T2205+tech_proj!T1705/(1-tech_proj!T585))</f>
        <v/>
      </c>
      <c r="U1085" s="105" t="str">
        <f>IF(tech_base!$T181&gt;U$905,"",U2205+tech_proj!U1705/(1-tech_proj!U585))</f>
        <v/>
      </c>
      <c r="V1085" s="105" t="str">
        <f>IF(tech_base!$T181&gt;V$905,"",V2205+tech_proj!V1705/(1-tech_proj!V585))</f>
        <v/>
      </c>
      <c r="W1085" s="105" t="str">
        <f>IF(tech_base!$T181&gt;W$905,"",W2205+tech_proj!W1705/(1-tech_proj!W585))</f>
        <v/>
      </c>
      <c r="X1085" s="105" t="str">
        <f>IF(tech_base!$T181&gt;X$905,"",X2205+tech_proj!X1705/(1-tech_proj!X585))</f>
        <v/>
      </c>
      <c r="Y1085" s="105" t="str">
        <f>IF(tech_base!$T181&gt;Y$905,"",Y2205+tech_proj!Y1705/(1-tech_proj!Y585))</f>
        <v/>
      </c>
      <c r="Z1085" s="105" t="str">
        <f>IF(tech_base!$T181&gt;Z$905,"",Z2205+tech_proj!Z1705/(1-tech_proj!Z585))</f>
        <v/>
      </c>
      <c r="AA1085" s="105" t="str">
        <f>IF(tech_base!$T181&gt;AA$905,"",AA2205+tech_proj!AA1705/(1-tech_proj!AA585))</f>
        <v/>
      </c>
      <c r="AB1085" s="105" t="str">
        <f>IF(tech_base!$T181&gt;AB$905,"",AB2205+tech_proj!AB1705/(1-tech_proj!AB585))</f>
        <v/>
      </c>
      <c r="AC1085" s="105" t="str">
        <f>IF(tech_base!$T181&gt;AC$905,"",AC2205+tech_proj!AC1705/(1-tech_proj!AC585))</f>
        <v/>
      </c>
      <c r="AD1085" s="105" t="str">
        <f>IF(tech_base!$T181&gt;AD$905,"",AD2205+tech_proj!AD1705/(1-tech_proj!AD585))</f>
        <v/>
      </c>
      <c r="AE1085" s="105">
        <f>IF(tech_base!$T181&gt;AE$905,"",AE2205+tech_proj!AE1705/(1-tech_proj!AE585))</f>
        <v>174.27492392116002</v>
      </c>
      <c r="AF1085" s="105">
        <f>IF(tech_base!$T181&gt;AF$905,"",AF2205+tech_proj!AF1705/(1-tech_proj!AF585))</f>
        <v>175.20354828306998</v>
      </c>
      <c r="AG1085" s="105">
        <f>IF(tech_base!$T181&gt;AG$905,"",AG2205+tech_proj!AG1705/(1-tech_proj!AG585))</f>
        <v>176.2652267790273</v>
      </c>
      <c r="AH1085" s="105">
        <f>IF(tech_base!$T181&gt;AH$905,"",AH2205+tech_proj!AH1705/(1-tech_proj!AH585))</f>
        <v>177.45958135098311</v>
      </c>
      <c r="AI1085" s="105">
        <f>IF(tech_base!$T181&gt;AI$905,"",AI2205+tech_proj!AI1705/(1-tech_proj!AI585))</f>
        <v>178.79935097434043</v>
      </c>
      <c r="AJ1085" s="105">
        <f>IF(tech_base!$T181&gt;AJ$905,"",AJ2205+tech_proj!AJ1705/(1-tech_proj!AJ585))</f>
        <v>180.30772210967396</v>
      </c>
      <c r="AK1085" s="105">
        <f>IF(tech_base!$T181&gt;AK$905,"",AK2205+tech_proj!AK1705/(1-tech_proj!AK585))</f>
        <v>182.02016018414557</v>
      </c>
      <c r="AL1085" s="105">
        <f>IF(tech_base!$T181&gt;AL$905,"",AL2205+tech_proj!AL1705/(1-tech_proj!AL585))</f>
        <v>183.87458505196346</v>
      </c>
      <c r="AM1085" s="105">
        <f>IF(tech_base!$T181&gt;AM$905,"",AM2205+tech_proj!AM1705/(1-tech_proj!AM585))</f>
        <v>185.79471958407211</v>
      </c>
      <c r="AN1085" s="105">
        <f>IF(tech_base!$T181&gt;AN$905,"",AN2205+tech_proj!AN1705/(1-tech_proj!AN585))</f>
        <v>187.75537257225449</v>
      </c>
      <c r="AO1085" s="105">
        <f>IF(tech_base!$T181&gt;AO$905,"",AO2205+tech_proj!AO1705/(1-tech_proj!AO585))</f>
        <v>187.93879911571324</v>
      </c>
      <c r="AP1085" s="105">
        <f>IF(tech_base!$T181&gt;AP$905,"",AP2205+tech_proj!AP1705/(1-tech_proj!AP585))</f>
        <v>188.59862753586583</v>
      </c>
      <c r="AQ1085" s="105">
        <f>IF(tech_base!$T181&gt;AQ$905,"",AQ2205+tech_proj!AQ1705/(1-tech_proj!AQ585))</f>
        <v>189.30086028774335</v>
      </c>
      <c r="AR1085" s="105">
        <f>IF(tech_base!$T181&gt;AR$905,"",AR2205+tech_proj!AR1705/(1-tech_proj!AR585))</f>
        <v>190.82329825664215</v>
      </c>
      <c r="AS1085" s="105">
        <f>IF(tech_base!$T181&gt;AS$905,"",AS2205+tech_proj!AS1705/(1-tech_proj!AS585))</f>
        <v>191.59661002910499</v>
      </c>
      <c r="AT1085" s="105">
        <f>IF(tech_base!$T181&gt;AT$905,"",AT2205+tech_proj!AT1705/(1-tech_proj!AT585))</f>
        <v>192.37427174196526</v>
      </c>
      <c r="AU1085" s="105">
        <f>IF(tech_base!$T181&gt;AU$905,"",AU2205+tech_proj!AU1705/(1-tech_proj!AU585))</f>
        <v>193.12660561145907</v>
      </c>
      <c r="AV1085" s="105">
        <f>IF(tech_base!$T181&gt;AV$905,"",AV2205+tech_proj!AV1705/(1-tech_proj!AV585))</f>
        <v>193.83938776022319</v>
      </c>
      <c r="AW1085" s="105">
        <f>IF(tech_base!$T181&gt;AW$905,"",AW2205+tech_proj!AW1705/(1-tech_proj!AW585))</f>
        <v>194.49817064502523</v>
      </c>
      <c r="AX1085" s="106">
        <f>IF(tech_base!$T181&gt;AX$905,"",AX2205+tech_proj!AX1705/(1-tech_proj!AX585))</f>
        <v>195.36014704637859</v>
      </c>
    </row>
    <row r="1086" spans="1:50" x14ac:dyDescent="0.25">
      <c r="A1086" s="356"/>
      <c r="B1086" s="380"/>
      <c r="C1086" s="354"/>
      <c r="D1086" s="4" t="s">
        <v>8</v>
      </c>
      <c r="E1086" s="168" t="str">
        <f>A1079&amp;"/"&amp;B1079&amp;"/"&amp;C1085&amp;"/"&amp;D1086</f>
        <v>Fuel oil fired power plants/Integrated gasification combined cycle/CHP with CCS/M</v>
      </c>
      <c r="F1086" s="80" t="str">
        <f>A1079</f>
        <v>Fuel oil fired power plants</v>
      </c>
      <c r="G1086" s="80" t="str">
        <f>B1079</f>
        <v>Integrated gasification combined cycle</v>
      </c>
      <c r="H1086" s="80" t="str">
        <f>C1085</f>
        <v>CHP with CCS</v>
      </c>
      <c r="I1086" s="169" t="str">
        <f t="shared" si="369"/>
        <v>M</v>
      </c>
      <c r="J1086" s="113" t="str">
        <f>IF(tech_base!$T182&gt;J$905,"",J2206+tech_proj!J1706/(1-tech_proj!J586))</f>
        <v/>
      </c>
      <c r="K1086" s="113" t="str">
        <f>IF(tech_base!$T182&gt;K$905,"",K2206+tech_proj!K1706/(1-tech_proj!K586))</f>
        <v/>
      </c>
      <c r="L1086" s="113" t="str">
        <f>IF(tech_base!$T182&gt;L$905,"",L2206+tech_proj!L1706/(1-tech_proj!L586))</f>
        <v/>
      </c>
      <c r="M1086" s="113" t="str">
        <f>IF(tech_base!$T182&gt;M$905,"",M2206+tech_proj!M1706/(1-tech_proj!M586))</f>
        <v/>
      </c>
      <c r="N1086" s="113" t="str">
        <f>IF(tech_base!$T182&gt;N$905,"",N2206+tech_proj!N1706/(1-tech_proj!N586))</f>
        <v/>
      </c>
      <c r="O1086" s="113" t="str">
        <f>IF(tech_base!$T182&gt;O$905,"",O2206+tech_proj!O1706/(1-tech_proj!O586))</f>
        <v/>
      </c>
      <c r="P1086" s="113" t="str">
        <f>IF(tech_base!$T182&gt;P$905,"",P2206+tech_proj!P1706/(1-tech_proj!P586))</f>
        <v/>
      </c>
      <c r="Q1086" s="113" t="str">
        <f>IF(tech_base!$T182&gt;Q$905,"",Q2206+tech_proj!Q1706/(1-tech_proj!Q586))</f>
        <v/>
      </c>
      <c r="R1086" s="113" t="str">
        <f>IF(tech_base!$T182&gt;R$905,"",R2206+tech_proj!R1706/(1-tech_proj!R586))</f>
        <v/>
      </c>
      <c r="S1086" s="113" t="str">
        <f>IF(tech_base!$T182&gt;S$905,"",S2206+tech_proj!S1706/(1-tech_proj!S586))</f>
        <v/>
      </c>
      <c r="T1086" s="113" t="str">
        <f>IF(tech_base!$T182&gt;T$905,"",T2206+tech_proj!T1706/(1-tech_proj!T586))</f>
        <v/>
      </c>
      <c r="U1086" s="113" t="str">
        <f>IF(tech_base!$T182&gt;U$905,"",U2206+tech_proj!U1706/(1-tech_proj!U586))</f>
        <v/>
      </c>
      <c r="V1086" s="113" t="str">
        <f>IF(tech_base!$T182&gt;V$905,"",V2206+tech_proj!V1706/(1-tech_proj!V586))</f>
        <v/>
      </c>
      <c r="W1086" s="113" t="str">
        <f>IF(tech_base!$T182&gt;W$905,"",W2206+tech_proj!W1706/(1-tech_proj!W586))</f>
        <v/>
      </c>
      <c r="X1086" s="113" t="str">
        <f>IF(tech_base!$T182&gt;X$905,"",X2206+tech_proj!X1706/(1-tech_proj!X586))</f>
        <v/>
      </c>
      <c r="Y1086" s="113" t="str">
        <f>IF(tech_base!$T182&gt;Y$905,"",Y2206+tech_proj!Y1706/(1-tech_proj!Y586))</f>
        <v/>
      </c>
      <c r="Z1086" s="113" t="str">
        <f>IF(tech_base!$T182&gt;Z$905,"",Z2206+tech_proj!Z1706/(1-tech_proj!Z586))</f>
        <v/>
      </c>
      <c r="AA1086" s="113" t="str">
        <f>IF(tech_base!$T182&gt;AA$905,"",AA2206+tech_proj!AA1706/(1-tech_proj!AA586))</f>
        <v/>
      </c>
      <c r="AB1086" s="113" t="str">
        <f>IF(tech_base!$T182&gt;AB$905,"",AB2206+tech_proj!AB1706/(1-tech_proj!AB586))</f>
        <v/>
      </c>
      <c r="AC1086" s="113" t="str">
        <f>IF(tech_base!$T182&gt;AC$905,"",AC2206+tech_proj!AC1706/(1-tech_proj!AC586))</f>
        <v/>
      </c>
      <c r="AD1086" s="113" t="str">
        <f>IF(tech_base!$T182&gt;AD$905,"",AD2206+tech_proj!AD1706/(1-tech_proj!AD586))</f>
        <v/>
      </c>
      <c r="AE1086" s="113">
        <f>IF(tech_base!$T182&gt;AE$905,"",AE2206+tech_proj!AE1706/(1-tech_proj!AE586))</f>
        <v>185.56183237667435</v>
      </c>
      <c r="AF1086" s="113">
        <f>IF(tech_base!$T182&gt;AF$905,"",AF2206+tech_proj!AF1706/(1-tech_proj!AF586))</f>
        <v>186.55009643473619</v>
      </c>
      <c r="AG1086" s="113">
        <f>IF(tech_base!$T182&gt;AG$905,"",AG2206+tech_proj!AG1706/(1-tech_proj!AG586))</f>
        <v>187.67995985616716</v>
      </c>
      <c r="AH1086" s="113">
        <f>IF(tech_base!$T182&gt;AH$905,"",AH2206+tech_proj!AH1706/(1-tech_proj!AH586))</f>
        <v>188.95102030263027</v>
      </c>
      <c r="AI1086" s="113">
        <f>IF(tech_base!$T182&gt;AI$905,"",AI2206+tech_proj!AI1706/(1-tech_proj!AI586))</f>
        <v>190.376834893714</v>
      </c>
      <c r="AJ1086" s="113">
        <f>IF(tech_base!$T182&gt;AJ$905,"",AJ2206+tech_proj!AJ1706/(1-tech_proj!AJ586))</f>
        <v>191.98207921037408</v>
      </c>
      <c r="AK1086" s="113">
        <f>IF(tech_base!$T182&gt;AK$905,"",AK2206+tech_proj!AK1706/(1-tech_proj!AK586))</f>
        <v>193.8044964008688</v>
      </c>
      <c r="AL1086" s="113">
        <f>IF(tech_base!$T182&gt;AL$905,"",AL2206+tech_proj!AL1706/(1-tech_proj!AL586))</f>
        <v>195.77801930249839</v>
      </c>
      <c r="AM1086" s="113">
        <f>IF(tech_base!$T182&gt;AM$905,"",AM2206+tech_proj!AM1706/(1-tech_proj!AM586))</f>
        <v>197.8214719864485</v>
      </c>
      <c r="AN1086" s="113">
        <f>IF(tech_base!$T182&gt;AN$905,"",AN2206+tech_proj!AN1706/(1-tech_proj!AN586))</f>
        <v>199.90804537180202</v>
      </c>
      <c r="AO1086" s="113">
        <f>IF(tech_base!$T182&gt;AO$905,"",AO2206+tech_proj!AO1706/(1-tech_proj!AO586))</f>
        <v>200.10325224729462</v>
      </c>
      <c r="AP1086" s="113">
        <f>IF(tech_base!$T182&gt;AP$905,"",AP2206+tech_proj!AP1706/(1-tech_proj!AP586))</f>
        <v>200.80545729259774</v>
      </c>
      <c r="AQ1086" s="113">
        <f>IF(tech_base!$T182&gt;AQ$905,"",AQ2206+tech_proj!AQ1706/(1-tech_proj!AQ586))</f>
        <v>201.55279003287501</v>
      </c>
      <c r="AR1086" s="113">
        <f>IF(tech_base!$T182&gt;AR$905,"",AR2206+tech_proj!AR1706/(1-tech_proj!AR586))</f>
        <v>203.17300460725554</v>
      </c>
      <c r="AS1086" s="113">
        <f>IF(tech_base!$T182&gt;AS$905,"",AS2206+tech_proj!AS1706/(1-tech_proj!AS586))</f>
        <v>203.99593890563469</v>
      </c>
      <c r="AT1086" s="113">
        <f>IF(tech_base!$T182&gt;AT$905,"",AT2206+tech_proj!AT1706/(1-tech_proj!AT586))</f>
        <v>204.82351780079611</v>
      </c>
      <c r="AU1086" s="113">
        <f>IF(tech_base!$T182&gt;AU$905,"",AU2206+tech_proj!AU1706/(1-tech_proj!AU586))</f>
        <v>205.62412525050181</v>
      </c>
      <c r="AV1086" s="113">
        <f>IF(tech_base!$T182&gt;AV$905,"",AV2206+tech_proj!AV1706/(1-tech_proj!AV586))</f>
        <v>206.3826139318449</v>
      </c>
      <c r="AW1086" s="113">
        <f>IF(tech_base!$T182&gt;AW$905,"",AW2206+tech_proj!AW1706/(1-tech_proj!AW586))</f>
        <v>207.08359370980295</v>
      </c>
      <c r="AX1086" s="114">
        <f>IF(tech_base!$T182&gt;AX$905,"",AX2206+tech_proj!AX1706/(1-tech_proj!AX586))</f>
        <v>208.0007549941532</v>
      </c>
    </row>
    <row r="1087" spans="1:50" x14ac:dyDescent="0.25">
      <c r="A1087" s="356"/>
      <c r="B1087" s="358" t="s">
        <v>17</v>
      </c>
      <c r="C1087" s="353" t="s">
        <v>6</v>
      </c>
      <c r="D1087" s="3" t="s">
        <v>7</v>
      </c>
      <c r="E1087" s="162" t="str">
        <f>A1079&amp;"/"&amp;B1087&amp;"/"&amp;C1087&amp;"/"&amp;D1087</f>
        <v>Fuel oil fired power plants/Supercritical steam turbine/Electricity only/L</v>
      </c>
      <c r="F1087" s="77" t="str">
        <f>A1079</f>
        <v>Fuel oil fired power plants</v>
      </c>
      <c r="G1087" s="77" t="str">
        <f>B1087</f>
        <v>Supercritical steam turbine</v>
      </c>
      <c r="H1087" s="77" t="str">
        <f>C1087</f>
        <v>Electricity only</v>
      </c>
      <c r="I1087" s="163" t="str">
        <f t="shared" si="369"/>
        <v>L</v>
      </c>
      <c r="J1087" s="107">
        <f>IF(tech_base!$T183&gt;J$905,"",J2207+tech_proj!J1707/(1-tech_proj!J587))</f>
        <v>86.209769188661653</v>
      </c>
      <c r="K1087" s="107">
        <f>IF(tech_base!$T183&gt;K$905,"",K2207+tech_proj!K1707/(1-tech_proj!K587))</f>
        <v>107.82033970404775</v>
      </c>
      <c r="L1087" s="107">
        <f>IF(tech_base!$T183&gt;L$905,"",L2207+tech_proj!L1707/(1-tech_proj!L587))</f>
        <v>114.30534776387178</v>
      </c>
      <c r="M1087" s="107">
        <f>IF(tech_base!$T183&gt;M$905,"",M2207+tech_proj!M1707/(1-tech_proj!M587))</f>
        <v>108.60369305276868</v>
      </c>
      <c r="N1087" s="107">
        <f>IF(tech_base!$T183&gt;N$905,"",N2207+tech_proj!N1707/(1-tech_proj!N587))</f>
        <v>99.598596399420472</v>
      </c>
      <c r="O1087" s="107">
        <f>IF(tech_base!$T183&gt;O$905,"",O2207+tech_proj!O1707/(1-tech_proj!O587))</f>
        <v>69.428067095402781</v>
      </c>
      <c r="P1087" s="107">
        <f>IF(tech_base!$T183&gt;P$905,"",P2207+tech_proj!P1707/(1-tech_proj!P587))</f>
        <v>62.268788123772715</v>
      </c>
      <c r="Q1087" s="107">
        <f>IF(tech_base!$T183&gt;Q$905,"",Q2207+tech_proj!Q1707/(1-tech_proj!Q587))</f>
        <v>70.902459924118546</v>
      </c>
      <c r="R1087" s="107">
        <f>IF(tech_base!$T183&gt;R$905,"",R2207+tech_proj!R1707/(1-tech_proj!R587))</f>
        <v>78.61122403667251</v>
      </c>
      <c r="S1087" s="107">
        <f>IF(tech_base!$T183&gt;S$905,"",S2207+tech_proj!S1707/(1-tech_proj!S587))</f>
        <v>85.371468468685791</v>
      </c>
      <c r="T1087" s="107">
        <f>IF(tech_base!$T183&gt;T$905,"",T2207+tech_proj!T1707/(1-tech_proj!T587))</f>
        <v>91.889587353752262</v>
      </c>
      <c r="U1087" s="107">
        <f>IF(tech_base!$T183&gt;U$905,"",U2207+tech_proj!U1707/(1-tech_proj!U587))</f>
        <v>98.096230707671438</v>
      </c>
      <c r="V1087" s="107">
        <f>IF(tech_base!$T183&gt;V$905,"",V2207+tech_proj!V1707/(1-tech_proj!V587))</f>
        <v>102.25726803682485</v>
      </c>
      <c r="W1087" s="107">
        <f>IF(tech_base!$T183&gt;W$905,"",W2207+tech_proj!W1707/(1-tech_proj!W587))</f>
        <v>107.35453407029715</v>
      </c>
      <c r="X1087" s="107">
        <f>IF(tech_base!$T183&gt;X$905,"",X2207+tech_proj!X1707/(1-tech_proj!X587))</f>
        <v>111.77755397708243</v>
      </c>
      <c r="Y1087" s="107">
        <f>IF(tech_base!$T183&gt;Y$905,"",Y2207+tech_proj!Y1707/(1-tech_proj!Y587))</f>
        <v>115.5304072492504</v>
      </c>
      <c r="Z1087" s="107">
        <f>IF(tech_base!$T183&gt;Z$905,"",Z2207+tech_proj!Z1707/(1-tech_proj!Z587))</f>
        <v>117.93719740638568</v>
      </c>
      <c r="AA1087" s="107">
        <f>IF(tech_base!$T183&gt;AA$905,"",AA2207+tech_proj!AA1707/(1-tech_proj!AA587))</f>
        <v>120.11761032364211</v>
      </c>
      <c r="AB1087" s="107">
        <f>IF(tech_base!$T183&gt;AB$905,"",AB2207+tech_proj!AB1707/(1-tech_proj!AB587))</f>
        <v>121.61268219477216</v>
      </c>
      <c r="AC1087" s="107">
        <f>IF(tech_base!$T183&gt;AC$905,"",AC2207+tech_proj!AC1707/(1-tech_proj!AC587))</f>
        <v>123.93912045411601</v>
      </c>
      <c r="AD1087" s="107">
        <f>IF(tech_base!$T183&gt;AD$905,"",AD2207+tech_proj!AD1707/(1-tech_proj!AD587))</f>
        <v>125.36376683383736</v>
      </c>
      <c r="AE1087" s="107">
        <f>IF(tech_base!$T183&gt;AE$905,"",AE2207+tech_proj!AE1707/(1-tech_proj!AE587))</f>
        <v>126.72305612725643</v>
      </c>
      <c r="AF1087" s="107">
        <f>IF(tech_base!$T183&gt;AF$905,"",AF2207+tech_proj!AF1707/(1-tech_proj!AF587))</f>
        <v>127.41078556358443</v>
      </c>
      <c r="AG1087" s="107">
        <f>IF(tech_base!$T183&gt;AG$905,"",AG2207+tech_proj!AG1707/(1-tech_proj!AG587))</f>
        <v>128.19705349229193</v>
      </c>
      <c r="AH1087" s="107">
        <f>IF(tech_base!$T183&gt;AH$905,"",AH2207+tech_proj!AH1707/(1-tech_proj!AH587))</f>
        <v>129.08157992756392</v>
      </c>
      <c r="AI1087" s="107">
        <f>IF(tech_base!$T183&gt;AI$905,"",AI2207+tech_proj!AI1707/(1-tech_proj!AI587))</f>
        <v>130.07379922061131</v>
      </c>
      <c r="AJ1087" s="107">
        <f>IF(tech_base!$T183&gt;AJ$905,"",AJ2207+tech_proj!AJ1707/(1-tech_proj!AJ587))</f>
        <v>131.19088302028976</v>
      </c>
      <c r="AK1087" s="107">
        <f>IF(tech_base!$T183&gt;AK$905,"",AK2207+tech_proj!AK1707/(1-tech_proj!AK587))</f>
        <v>132.45909664897459</v>
      </c>
      <c r="AL1087" s="107">
        <f>IF(tech_base!$T183&gt;AL$905,"",AL2207+tech_proj!AL1707/(1-tech_proj!AL587))</f>
        <v>133.83246420357324</v>
      </c>
      <c r="AM1087" s="107">
        <f>IF(tech_base!$T183&gt;AM$905,"",AM2207+tech_proj!AM1707/(1-tech_proj!AM587))</f>
        <v>135.25449564449406</v>
      </c>
      <c r="AN1087" s="107">
        <f>IF(tech_base!$T183&gt;AN$905,"",AN2207+tech_proj!AN1707/(1-tech_proj!AN587))</f>
        <v>136.69785809336656</v>
      </c>
      <c r="AO1087" s="107">
        <f>IF(tech_base!$T183&gt;AO$905,"",AO2207+tech_proj!AO1707/(1-tech_proj!AO587))</f>
        <v>136.83067718510634</v>
      </c>
      <c r="AP1087" s="107">
        <f>IF(tech_base!$T183&gt;AP$905,"",AP2207+tech_proj!AP1707/(1-tech_proj!AP587))</f>
        <v>137.31523482907528</v>
      </c>
      <c r="AQ1087" s="107">
        <f>IF(tech_base!$T183&gt;AQ$905,"",AQ2207+tech_proj!AQ1707/(1-tech_proj!AQ587))</f>
        <v>137.82977080802098</v>
      </c>
      <c r="AR1087" s="107">
        <f>IF(tech_base!$T183&gt;AR$905,"",AR2207+tech_proj!AR1707/(1-tech_proj!AR587))</f>
        <v>138.94973053116544</v>
      </c>
      <c r="AS1087" s="107">
        <f>IF(tech_base!$T183&gt;AS$905,"",AS2207+tech_proj!AS1707/(1-tech_proj!AS587))</f>
        <v>139.52798863843989</v>
      </c>
      <c r="AT1087" s="107">
        <f>IF(tech_base!$T183&gt;AT$905,"",AT2207+tech_proj!AT1707/(1-tech_proj!AT587))</f>
        <v>140.1005772767133</v>
      </c>
      <c r="AU1087" s="107">
        <f>IF(tech_base!$T183&gt;AU$905,"",AU2207+tech_proj!AU1707/(1-tech_proj!AU587))</f>
        <v>140.65632783212078</v>
      </c>
      <c r="AV1087" s="107">
        <f>IF(tech_base!$T183&gt;AV$905,"",AV2207+tech_proj!AV1707/(1-tech_proj!AV587))</f>
        <v>141.18714879405533</v>
      </c>
      <c r="AW1087" s="107">
        <f>IF(tech_base!$T183&gt;AW$905,"",AW2207+tech_proj!AW1707/(1-tech_proj!AW587))</f>
        <v>141.68633901534599</v>
      </c>
      <c r="AX1087" s="108">
        <f>IF(tech_base!$T183&gt;AX$905,"",AX2207+tech_proj!AX1707/(1-tech_proj!AX587))</f>
        <v>142.35026622457067</v>
      </c>
    </row>
    <row r="1088" spans="1:50" x14ac:dyDescent="0.25">
      <c r="A1088" s="356"/>
      <c r="B1088" s="376"/>
      <c r="C1088" s="379"/>
      <c r="D1088" s="2" t="s">
        <v>8</v>
      </c>
      <c r="E1088" s="160" t="str">
        <f>A1079&amp;"/"&amp;B1087&amp;"/"&amp;C1087&amp;"/"&amp;D1088</f>
        <v>Fuel oil fired power plants/Supercritical steam turbine/Electricity only/M</v>
      </c>
      <c r="F1088" s="76" t="str">
        <f>A1079</f>
        <v>Fuel oil fired power plants</v>
      </c>
      <c r="G1088" s="76" t="str">
        <f>B1087</f>
        <v>Supercritical steam turbine</v>
      </c>
      <c r="H1088" s="76" t="str">
        <f>C1087</f>
        <v>Electricity only</v>
      </c>
      <c r="I1088" s="161" t="str">
        <f t="shared" si="369"/>
        <v>M</v>
      </c>
      <c r="J1088" s="105">
        <f>IF(tech_base!$T184&gt;J$905,"",J2208+tech_proj!J1708/(1-tech_proj!J588))</f>
        <v>90.982644660688607</v>
      </c>
      <c r="K1088" s="105">
        <f>IF(tech_base!$T184&gt;K$905,"",K2208+tech_proj!K1708/(1-tech_proj!K588))</f>
        <v>113.73487984485732</v>
      </c>
      <c r="L1088" s="105">
        <f>IF(tech_base!$T184&gt;L$905,"",L2208+tech_proj!L1708/(1-tech_proj!L588))</f>
        <v>120.5624843471677</v>
      </c>
      <c r="M1088" s="105">
        <f>IF(tech_base!$T184&gt;M$905,"",M2208+tech_proj!M1708/(1-tech_proj!M588))</f>
        <v>114.5596169618027</v>
      </c>
      <c r="N1088" s="105">
        <f>IF(tech_base!$T184&gt;N$905,"",N2208+tech_proj!N1708/(1-tech_proj!N588))</f>
        <v>105.07879012443273</v>
      </c>
      <c r="O1088" s="105">
        <f>IF(tech_base!$T184&gt;O$905,"",O2208+tech_proj!O1708/(1-tech_proj!O588))</f>
        <v>73.314382152549967</v>
      </c>
      <c r="P1088" s="105">
        <f>IF(tech_base!$T184&gt;P$905,"",P2208+tech_proj!P1708/(1-tech_proj!P588))</f>
        <v>65.776885685456335</v>
      </c>
      <c r="Q1088" s="105">
        <f>IF(tech_base!$T184&gt;Q$905,"",Q2208+tech_proj!Q1708/(1-tech_proj!Q588))</f>
        <v>74.866665669031363</v>
      </c>
      <c r="R1088" s="105">
        <f>IF(tech_base!$T184&gt;R$905,"",R2208+tech_proj!R1708/(1-tech_proj!R588))</f>
        <v>82.982676023465743</v>
      </c>
      <c r="S1088" s="105">
        <f>IF(tech_base!$T184&gt;S$905,"",S2208+tech_proj!S1708/(1-tech_proj!S588))</f>
        <v>90.100057358221562</v>
      </c>
      <c r="T1088" s="105">
        <f>IF(tech_base!$T184&gt;T$905,"",T2208+tech_proj!T1708/(1-tech_proj!T588))</f>
        <v>96.96252189731446</v>
      </c>
      <c r="U1088" s="105">
        <f>IF(tech_base!$T184&gt;U$905,"",U2208+tech_proj!U1708/(1-tech_proj!U588))</f>
        <v>103.49705596674524</v>
      </c>
      <c r="V1088" s="105">
        <f>IF(tech_base!$T184&gt;V$905,"",V2208+tech_proj!V1708/(1-tech_proj!V588))</f>
        <v>107.87791670596542</v>
      </c>
      <c r="W1088" s="105">
        <f>IF(tech_base!$T184&gt;W$905,"",W2208+tech_proj!W1708/(1-tech_proj!W588))</f>
        <v>113.24446616875103</v>
      </c>
      <c r="X1088" s="105">
        <f>IF(tech_base!$T184&gt;X$905,"",X2208+tech_proj!X1708/(1-tech_proj!X588))</f>
        <v>117.90114976124531</v>
      </c>
      <c r="Y1088" s="105">
        <f>IF(tech_base!$T184&gt;Y$905,"",Y2208+tech_proj!Y1708/(1-tech_proj!Y588))</f>
        <v>121.85226249097404</v>
      </c>
      <c r="Z1088" s="105">
        <f>IF(tech_base!$T184&gt;Z$905,"",Z2208+tech_proj!Z1708/(1-tech_proj!Z588))</f>
        <v>124.38620094739272</v>
      </c>
      <c r="AA1088" s="105">
        <f>IF(tech_base!$T184&gt;AA$905,"",AA2208+tech_proj!AA1708/(1-tech_proj!AA588))</f>
        <v>126.68180288241322</v>
      </c>
      <c r="AB1088" s="105">
        <f>IF(tech_base!$T184&gt;AB$905,"",AB2208+tech_proj!AB1708/(1-tech_proj!AB588))</f>
        <v>128.25585789428661</v>
      </c>
      <c r="AC1088" s="105">
        <f>IF(tech_base!$T184&gt;AC$905,"",AC2208+tech_proj!AC1708/(1-tech_proj!AC588))</f>
        <v>130.70519954310396</v>
      </c>
      <c r="AD1088" s="105">
        <f>IF(tech_base!$T184&gt;AD$905,"",AD2208+tech_proj!AD1708/(1-tech_proj!AD588))</f>
        <v>132.20510855580756</v>
      </c>
      <c r="AE1088" s="105">
        <f>IF(tech_base!$T184&gt;AE$905,"",AE2208+tech_proj!AE1708/(1-tech_proj!AE588))</f>
        <v>133.63620773318345</v>
      </c>
      <c r="AF1088" s="105">
        <f>IF(tech_base!$T184&gt;AF$905,"",AF2208+tech_proj!AF1708/(1-tech_proj!AF588))</f>
        <v>134.3602692227804</v>
      </c>
      <c r="AG1088" s="105">
        <f>IF(tech_base!$T184&gt;AG$905,"",AG2208+tech_proj!AG1708/(1-tech_proj!AG588))</f>
        <v>135.18807489403679</v>
      </c>
      <c r="AH1088" s="105">
        <f>IF(tech_base!$T184&gt;AH$905,"",AH2208+tech_proj!AH1708/(1-tech_proj!AH588))</f>
        <v>136.11932996976901</v>
      </c>
      <c r="AI1088" s="105">
        <f>IF(tech_base!$T184&gt;AI$905,"",AI2208+tech_proj!AI1708/(1-tech_proj!AI588))</f>
        <v>137.16396720845788</v>
      </c>
      <c r="AJ1088" s="105">
        <f>IF(tech_base!$T184&gt;AJ$905,"",AJ2208+tech_proj!AJ1708/(1-tech_proj!AJ588))</f>
        <v>138.34006541986852</v>
      </c>
      <c r="AK1088" s="105">
        <f>IF(tech_base!$T184&gt;AK$905,"",AK2208+tech_proj!AK1708/(1-tech_proj!AK588))</f>
        <v>139.67527749689634</v>
      </c>
      <c r="AL1088" s="105">
        <f>IF(tech_base!$T184&gt;AL$905,"",AL2208+tech_proj!AL1708/(1-tech_proj!AL588))</f>
        <v>141.12119867580682</v>
      </c>
      <c r="AM1088" s="105">
        <f>IF(tech_base!$T184&gt;AM$905,"",AM2208+tech_proj!AM1708/(1-tech_proj!AM588))</f>
        <v>142.61835460512751</v>
      </c>
      <c r="AN1088" s="105">
        <f>IF(tech_base!$T184&gt;AN$905,"",AN2208+tech_proj!AN1708/(1-tech_proj!AN588))</f>
        <v>144.13790863747434</v>
      </c>
      <c r="AO1088" s="105">
        <f>IF(tech_base!$T184&gt;AO$905,"",AO2208+tech_proj!AO1708/(1-tech_proj!AO588))</f>
        <v>144.27772365288212</v>
      </c>
      <c r="AP1088" s="105">
        <f>IF(tech_base!$T184&gt;AP$905,"",AP2208+tech_proj!AP1708/(1-tech_proj!AP588))</f>
        <v>144.7878520649314</v>
      </c>
      <c r="AQ1088" s="105">
        <f>IF(tech_base!$T184&gt;AQ$905,"",AQ2208+tech_proj!AQ1708/(1-tech_proj!AQ588))</f>
        <v>145.32953298369682</v>
      </c>
      <c r="AR1088" s="105">
        <f>IF(tech_base!$T184&gt;AR$905,"",AR2208+tech_proj!AR1708/(1-tech_proj!AR588))</f>
        <v>146.50860885091609</v>
      </c>
      <c r="AS1088" s="105">
        <f>IF(tech_base!$T184&gt;AS$905,"",AS2208+tech_proj!AS1708/(1-tech_proj!AS588))</f>
        <v>147.11734868928789</v>
      </c>
      <c r="AT1088" s="105">
        <f>IF(tech_base!$T184&gt;AT$905,"",AT2208+tech_proj!AT1708/(1-tech_proj!AT588))</f>
        <v>147.72009733758321</v>
      </c>
      <c r="AU1088" s="105">
        <f>IF(tech_base!$T184&gt;AU$905,"",AU2208+tech_proj!AU1708/(1-tech_proj!AU588))</f>
        <v>148.30508936134646</v>
      </c>
      <c r="AV1088" s="105">
        <f>IF(tech_base!$T184&gt;AV$905,"",AV2208+tech_proj!AV1708/(1-tech_proj!AV588))</f>
        <v>148.86379734034446</v>
      </c>
      <c r="AW1088" s="105">
        <f>IF(tech_base!$T184&gt;AW$905,"",AW2208+tech_proj!AW1708/(1-tech_proj!AW588))</f>
        <v>149.38915594277412</v>
      </c>
      <c r="AX1088" s="106">
        <f>IF(tech_base!$T184&gt;AX$905,"",AX2208+tech_proj!AX1708/(1-tech_proj!AX588))</f>
        <v>150.08789509523476</v>
      </c>
    </row>
    <row r="1089" spans="1:50" x14ac:dyDescent="0.25">
      <c r="A1089" s="356"/>
      <c r="B1089" s="376"/>
      <c r="C1089" s="361" t="s">
        <v>14</v>
      </c>
      <c r="D1089" s="58" t="s">
        <v>7</v>
      </c>
      <c r="E1089" s="164" t="str">
        <f>A1079&amp;"/"&amp;B1087&amp;"/"&amp;C1089&amp;"/"&amp;D1089</f>
        <v>Fuel oil fired power plants/Supercritical steam turbine/CHP/L</v>
      </c>
      <c r="F1089" s="78" t="str">
        <f>A1079</f>
        <v>Fuel oil fired power plants</v>
      </c>
      <c r="G1089" s="78" t="str">
        <f>B1087</f>
        <v>Supercritical steam turbine</v>
      </c>
      <c r="H1089" s="78" t="str">
        <f>C1089</f>
        <v>CHP</v>
      </c>
      <c r="I1089" s="165" t="str">
        <f t="shared" si="369"/>
        <v>L</v>
      </c>
      <c r="J1089" s="109">
        <f>IF(tech_base!$T185&gt;J$905,"",J2209+tech_proj!J1709/(1-tech_proj!J589))</f>
        <v>96.183513522438773</v>
      </c>
      <c r="K1089" s="109">
        <f>IF(tech_base!$T185&gt;K$905,"",K2209+tech_proj!K1709/(1-tech_proj!K589))</f>
        <v>120.0835819205864</v>
      </c>
      <c r="L1089" s="109">
        <f>IF(tech_base!$T185&gt;L$905,"",L2209+tech_proj!L1709/(1-tech_proj!L589))</f>
        <v>127.25563395327028</v>
      </c>
      <c r="M1089" s="109">
        <f>IF(tech_base!$T185&gt;M$905,"",M2209+tech_proj!M1709/(1-tech_proj!M589))</f>
        <v>120.9499264070042</v>
      </c>
      <c r="N1089" s="109">
        <f>IF(tech_base!$T185&gt;N$905,"",N2209+tech_proj!N1709/(1-tech_proj!N589))</f>
        <v>110.99079896084446</v>
      </c>
      <c r="O1089" s="109">
        <f>IF(tech_base!$T185&gt;O$905,"",O2209+tech_proj!O1709/(1-tech_proj!O589))</f>
        <v>77.62390041177774</v>
      </c>
      <c r="P1089" s="109">
        <f>IF(tech_base!$T185&gt;P$905,"",P2209+tech_proj!P1709/(1-tech_proj!P589))</f>
        <v>69.706142896697088</v>
      </c>
      <c r="Q1089" s="109">
        <f>IF(tech_base!$T185&gt;Q$905,"",Q2209+tech_proj!Q1709/(1-tech_proj!Q589))</f>
        <v>79.254495468347699</v>
      </c>
      <c r="R1089" s="109">
        <f>IF(tech_base!$T185&gt;R$905,"",R2209+tech_proj!R1709/(1-tech_proj!R589))</f>
        <v>87.779952462833435</v>
      </c>
      <c r="S1089" s="109">
        <f>IF(tech_base!$T185&gt;S$905,"",S2209+tech_proj!S1709/(1-tech_proj!S589))</f>
        <v>95.256400351994017</v>
      </c>
      <c r="T1089" s="109">
        <f>IF(tech_base!$T185&gt;T$905,"",T2209+tech_proj!T1709/(1-tech_proj!T589))</f>
        <v>102.46507108419115</v>
      </c>
      <c r="U1089" s="109">
        <f>IF(tech_base!$T185&gt;U$905,"",U2209+tech_proj!U1709/(1-tech_proj!U589))</f>
        <v>109.32926750029057</v>
      </c>
      <c r="V1089" s="109">
        <f>IF(tech_base!$T185&gt;V$905,"",V2209+tech_proj!V1709/(1-tech_proj!V589))</f>
        <v>113.93113938068389</v>
      </c>
      <c r="W1089" s="109">
        <f>IF(tech_base!$T185&gt;W$905,"",W2209+tech_proj!W1709/(1-tech_proj!W589))</f>
        <v>119.56842724204814</v>
      </c>
      <c r="X1089" s="109">
        <f>IF(tech_base!$T185&gt;X$905,"",X2209+tech_proj!X1709/(1-tech_proj!X589))</f>
        <v>124.46003703195508</v>
      </c>
      <c r="Y1089" s="109">
        <f>IF(tech_base!$T185&gt;Y$905,"",Y2209+tech_proj!Y1709/(1-tech_proj!Y589))</f>
        <v>128.61048043784146</v>
      </c>
      <c r="Z1089" s="109">
        <f>IF(tech_base!$T185&gt;Z$905,"",Z2209+tech_proj!Z1709/(1-tech_proj!Z589))</f>
        <v>131.27225419039311</v>
      </c>
      <c r="AA1089" s="109">
        <f>IF(tech_base!$T185&gt;AA$905,"",AA2209+tech_proj!AA1709/(1-tech_proj!AA589))</f>
        <v>133.68366752265712</v>
      </c>
      <c r="AB1089" s="109">
        <f>IF(tech_base!$T185&gt;AB$905,"",AB2209+tech_proj!AB1709/(1-tech_proj!AB589))</f>
        <v>135.33713243024548</v>
      </c>
      <c r="AC1089" s="109">
        <f>IF(tech_base!$T185&gt;AC$905,"",AC2209+tech_proj!AC1709/(1-tech_proj!AC589))</f>
        <v>137.91004152965118</v>
      </c>
      <c r="AD1089" s="109">
        <f>IF(tech_base!$T185&gt;AD$905,"",AD2209+tech_proj!AD1709/(1-tech_proj!AD589))</f>
        <v>139.48561982797847</v>
      </c>
      <c r="AE1089" s="109">
        <f>IF(tech_base!$T185&gt;AE$905,"",AE2209+tech_proj!AE1709/(1-tech_proj!AE589))</f>
        <v>140.98891688635345</v>
      </c>
      <c r="AF1089" s="109">
        <f>IF(tech_base!$T185&gt;AF$905,"",AF2209+tech_proj!AF1709/(1-tech_proj!AF589))</f>
        <v>141.74950673547181</v>
      </c>
      <c r="AG1089" s="109">
        <f>IF(tech_base!$T185&gt;AG$905,"",AG2209+tech_proj!AG1709/(1-tech_proj!AG589))</f>
        <v>142.61907458246594</v>
      </c>
      <c r="AH1089" s="109">
        <f>IF(tech_base!$T185&gt;AH$905,"",AH2209+tech_proj!AH1709/(1-tech_proj!AH589))</f>
        <v>143.59731077886428</v>
      </c>
      <c r="AI1089" s="109">
        <f>IF(tech_base!$T185&gt;AI$905,"",AI2209+tech_proj!AI1709/(1-tech_proj!AI589))</f>
        <v>144.69464918336922</v>
      </c>
      <c r="AJ1089" s="109">
        <f>IF(tech_base!$T185&gt;AJ$905,"",AJ2209+tech_proj!AJ1709/(1-tech_proj!AJ589))</f>
        <v>145.93008066814974</v>
      </c>
      <c r="AK1089" s="109">
        <f>IF(tech_base!$T185&gt;AK$905,"",AK2209+tech_proj!AK1709/(1-tech_proj!AK589))</f>
        <v>147.33265319382414</v>
      </c>
      <c r="AL1089" s="109">
        <f>IF(tech_base!$T185&gt;AL$905,"",AL2209+tech_proj!AL1709/(1-tech_proj!AL589))</f>
        <v>148.8515200126032</v>
      </c>
      <c r="AM1089" s="109">
        <f>IF(tech_base!$T185&gt;AM$905,"",AM2209+tech_proj!AM1709/(1-tech_proj!AM589))</f>
        <v>150.42420633655408</v>
      </c>
      <c r="AN1089" s="109">
        <f>IF(tech_base!$T185&gt;AN$905,"",AN2209+tech_proj!AN1709/(1-tech_proj!AN589))</f>
        <v>152.02025354611749</v>
      </c>
      <c r="AO1089" s="109">
        <f>IF(tech_base!$T185&gt;AO$905,"",AO2209+tech_proj!AO1709/(1-tech_proj!AO589))</f>
        <v>152.16706404306373</v>
      </c>
      <c r="AP1089" s="109">
        <f>IF(tech_base!$T185&gt;AP$905,"",AP2209+tech_proj!AP1709/(1-tech_proj!AP589))</f>
        <v>152.70284998363849</v>
      </c>
      <c r="AQ1089" s="109">
        <f>IF(tech_base!$T185&gt;AQ$905,"",AQ2209+tech_proj!AQ1709/(1-tech_proj!AQ589))</f>
        <v>153.27175352247039</v>
      </c>
      <c r="AR1089" s="109">
        <f>IF(tech_base!$T185&gt;AR$905,"",AR2209+tech_proj!AR1709/(1-tech_proj!AR589))</f>
        <v>154.51017253963249</v>
      </c>
      <c r="AS1089" s="109">
        <f>IF(tech_base!$T185&gt;AS$905,"",AS2209+tech_proj!AS1709/(1-tech_proj!AS589))</f>
        <v>155.14943536052863</v>
      </c>
      <c r="AT1089" s="109">
        <f>IF(tech_base!$T185&gt;AT$905,"",AT2209+tech_proj!AT1709/(1-tech_proj!AT589))</f>
        <v>155.78234265116598</v>
      </c>
      <c r="AU1089" s="109">
        <f>IF(tech_base!$T185&gt;AU$905,"",AU2209+tech_proj!AU1709/(1-tech_proj!AU589))</f>
        <v>156.39651642578167</v>
      </c>
      <c r="AV1089" s="109">
        <f>IF(tech_base!$T185&gt;AV$905,"",AV2209+tech_proj!AV1709/(1-tech_proj!AV589))</f>
        <v>156.98297545726484</v>
      </c>
      <c r="AW1089" s="109">
        <f>IF(tech_base!$T185&gt;AW$905,"",AW2209+tech_proj!AW1709/(1-tech_proj!AW589))</f>
        <v>157.53426954139638</v>
      </c>
      <c r="AX1089" s="110">
        <f>IF(tech_base!$T185&gt;AX$905,"",AX2209+tech_proj!AX1709/(1-tech_proj!AX589))</f>
        <v>158.2675252334214</v>
      </c>
    </row>
    <row r="1090" spans="1:50" x14ac:dyDescent="0.25">
      <c r="A1090" s="356"/>
      <c r="B1090" s="376"/>
      <c r="C1090" s="379"/>
      <c r="D1090" s="59" t="s">
        <v>8</v>
      </c>
      <c r="E1090" s="166" t="str">
        <f>A1079&amp;"/"&amp;B1087&amp;"/"&amp;C1089&amp;"/"&amp;D1090</f>
        <v>Fuel oil fired power plants/Supercritical steam turbine/CHP/M</v>
      </c>
      <c r="F1090" s="79" t="str">
        <f>A1079</f>
        <v>Fuel oil fired power plants</v>
      </c>
      <c r="G1090" s="79" t="str">
        <f>B1087</f>
        <v>Supercritical steam turbine</v>
      </c>
      <c r="H1090" s="79" t="str">
        <f>C1089</f>
        <v>CHP</v>
      </c>
      <c r="I1090" s="167" t="str">
        <f t="shared" si="369"/>
        <v>M</v>
      </c>
      <c r="J1090" s="111">
        <f>IF(tech_base!$T186&gt;J$905,"",J2210+tech_proj!J1710/(1-tech_proj!J590))</f>
        <v>101.50469119045599</v>
      </c>
      <c r="K1090" s="111">
        <f>IF(tech_base!$T186&gt;K$905,"",K2210+tech_proj!K1710/(1-tech_proj!K590))</f>
        <v>126.67456063940868</v>
      </c>
      <c r="L1090" s="111">
        <f>IF(tech_base!$T186&gt;L$905,"",L2210+tech_proj!L1710/(1-tech_proj!L590))</f>
        <v>134.22766092081793</v>
      </c>
      <c r="M1090" s="111">
        <f>IF(tech_base!$T186&gt;M$905,"",M2210+tech_proj!M1710/(1-tech_proj!M590))</f>
        <v>127.58693366101249</v>
      </c>
      <c r="N1090" s="111">
        <f>IF(tech_base!$T186&gt;N$905,"",N2210+tech_proj!N1710/(1-tech_proj!N590))</f>
        <v>117.09868176694052</v>
      </c>
      <c r="O1090" s="111">
        <f>IF(tech_base!$T186&gt;O$905,"",O2210+tech_proj!O1710/(1-tech_proj!O590))</f>
        <v>81.959013277056613</v>
      </c>
      <c r="P1090" s="111">
        <f>IF(tech_base!$T186&gt;P$905,"",P2210+tech_proj!P1710/(1-tech_proj!P590))</f>
        <v>73.620588479975694</v>
      </c>
      <c r="Q1090" s="111">
        <f>IF(tech_base!$T186&gt;Q$905,"",Q2210+tech_proj!Q1710/(1-tech_proj!Q590))</f>
        <v>83.676241195163925</v>
      </c>
      <c r="R1090" s="111">
        <f>IF(tech_base!$T186&gt;R$905,"",R2210+tech_proj!R1710/(1-tech_proj!R590))</f>
        <v>92.654652301322017</v>
      </c>
      <c r="S1090" s="111">
        <f>IF(tech_base!$T186&gt;S$905,"",S2210+tech_proj!S1710/(1-tech_proj!S590))</f>
        <v>100.52832086900924</v>
      </c>
      <c r="T1090" s="111">
        <f>IF(tech_base!$T186&gt;T$905,"",T2210+tech_proj!T1710/(1-tech_proj!T590))</f>
        <v>108.11998538675391</v>
      </c>
      <c r="U1090" s="111">
        <f>IF(tech_base!$T186&gt;U$905,"",U2210+tech_proj!U1710/(1-tech_proj!U590))</f>
        <v>115.34887380611013</v>
      </c>
      <c r="V1090" s="111">
        <f>IF(tech_base!$T186&gt;V$905,"",V2210+tech_proj!V1710/(1-tech_proj!V590))</f>
        <v>120.1952412943004</v>
      </c>
      <c r="W1090" s="111">
        <f>IF(tech_base!$T186&gt;W$905,"",W2210+tech_proj!W1710/(1-tech_proj!W590))</f>
        <v>126.1320359993608</v>
      </c>
      <c r="X1090" s="111">
        <f>IF(tech_base!$T186&gt;X$905,"",X2210+tech_proj!X1710/(1-tech_proj!X590))</f>
        <v>131.28353505602121</v>
      </c>
      <c r="Y1090" s="111">
        <f>IF(tech_base!$T186&gt;Y$905,"",Y2210+tech_proj!Y1710/(1-tech_proj!Y590))</f>
        <v>135.65448985586281</v>
      </c>
      <c r="Z1090" s="111">
        <f>IF(tech_base!$T186&gt;Z$905,"",Z2210+tech_proj!Z1710/(1-tech_proj!Z590))</f>
        <v>138.45768258059857</v>
      </c>
      <c r="AA1090" s="111">
        <f>IF(tech_base!$T186&gt;AA$905,"",AA2210+tech_proj!AA1710/(1-tech_proj!AA590))</f>
        <v>140.99721333630353</v>
      </c>
      <c r="AB1090" s="111">
        <f>IF(tech_base!$T186&gt;AB$905,"",AB2210+tech_proj!AB1710/(1-tech_proj!AB590))</f>
        <v>142.73852617144379</v>
      </c>
      <c r="AC1090" s="111">
        <f>IF(tech_base!$T186&gt;AC$905,"",AC2210+tech_proj!AC1710/(1-tech_proj!AC590))</f>
        <v>145.44813289964392</v>
      </c>
      <c r="AD1090" s="111">
        <f>IF(tech_base!$T186&gt;AD$905,"",AD2210+tech_proj!AD1710/(1-tech_proj!AD590))</f>
        <v>147.10742104120314</v>
      </c>
      <c r="AE1090" s="111">
        <f>IF(tech_base!$T186&gt;AE$905,"",AE2210+tech_proj!AE1710/(1-tech_proj!AE590))</f>
        <v>148.69058766951395</v>
      </c>
      <c r="AF1090" s="111">
        <f>IF(tech_base!$T186&gt;AF$905,"",AF2210+tech_proj!AF1710/(1-tech_proj!AF590))</f>
        <v>149.49158735234292</v>
      </c>
      <c r="AG1090" s="111">
        <f>IF(tech_base!$T186&gt;AG$905,"",AG2210+tech_proj!AG1710/(1-tech_proj!AG590))</f>
        <v>150.40735499037802</v>
      </c>
      <c r="AH1090" s="111">
        <f>IF(tech_base!$T186&gt;AH$905,"",AH2210+tech_proj!AH1710/(1-tech_proj!AH590))</f>
        <v>151.43756448364857</v>
      </c>
      <c r="AI1090" s="111">
        <f>IF(tech_base!$T186&gt;AI$905,"",AI2210+tech_proj!AI1710/(1-tech_proj!AI590))</f>
        <v>152.59320403758608</v>
      </c>
      <c r="AJ1090" s="111">
        <f>IF(tech_base!$T186&gt;AJ$905,"",AJ2210+tech_proj!AJ1710/(1-tech_proj!AJ590))</f>
        <v>153.89427350178315</v>
      </c>
      <c r="AK1090" s="111">
        <f>IF(tech_base!$T186&gt;AK$905,"",AK2210+tech_proj!AK1710/(1-tech_proj!AK590))</f>
        <v>155.37136414335842</v>
      </c>
      <c r="AL1090" s="111">
        <f>IF(tech_base!$T186&gt;AL$905,"",AL2210+tech_proj!AL1710/(1-tech_proj!AL590))</f>
        <v>156.97092774720053</v>
      </c>
      <c r="AM1090" s="111">
        <f>IF(tech_base!$T186&gt;AM$905,"",AM2210+tech_proj!AM1710/(1-tech_proj!AM590))</f>
        <v>158.62717026494434</v>
      </c>
      <c r="AN1090" s="111">
        <f>IF(tech_base!$T186&gt;AN$905,"",AN2210+tech_proj!AN1710/(1-tech_proj!AN590))</f>
        <v>160.30795707869734</v>
      </c>
      <c r="AO1090" s="111">
        <f>IF(tech_base!$T186&gt;AO$905,"",AO2210+tech_proj!AO1710/(1-tech_proj!AO590))</f>
        <v>160.46254749778095</v>
      </c>
      <c r="AP1090" s="111">
        <f>IF(tech_base!$T186&gt;AP$905,"",AP2210+tech_proj!AP1710/(1-tech_proj!AP590))</f>
        <v>161.0267725667494</v>
      </c>
      <c r="AQ1090" s="111">
        <f>IF(tech_base!$T186&gt;AQ$905,"",AQ2210+tech_proj!AQ1710/(1-tech_proj!AQ590))</f>
        <v>161.62586553373291</v>
      </c>
      <c r="AR1090" s="111">
        <f>IF(tech_base!$T186&gt;AR$905,"",AR2210+tech_proj!AR1710/(1-tech_proj!AR590))</f>
        <v>162.93003278324525</v>
      </c>
      <c r="AS1090" s="111">
        <f>IF(tech_base!$T186&gt;AS$905,"",AS2210+tech_proj!AS1710/(1-tech_proj!AS590))</f>
        <v>163.60319462556271</v>
      </c>
      <c r="AT1090" s="111">
        <f>IF(tech_base!$T186&gt;AT$905,"",AT2210+tech_proj!AT1710/(1-tech_proj!AT590))</f>
        <v>164.26964182584902</v>
      </c>
      <c r="AU1090" s="111">
        <f>IF(tech_base!$T186&gt;AU$905,"",AU2210+tech_proj!AU1710/(1-tech_proj!AU590))</f>
        <v>164.9163322005883</v>
      </c>
      <c r="AV1090" s="111">
        <f>IF(tech_base!$T186&gt;AV$905,"",AV2210+tech_proj!AV1710/(1-tech_proj!AV590))</f>
        <v>165.5337992007598</v>
      </c>
      <c r="AW1090" s="111">
        <f>IF(tech_base!$T186&gt;AW$905,"",AW2210+tech_proj!AW1710/(1-tech_proj!AW590))</f>
        <v>166.11418697573424</v>
      </c>
      <c r="AX1090" s="112">
        <f>IF(tech_base!$T186&gt;AX$905,"",AX2210+tech_proj!AX1710/(1-tech_proj!AX590))</f>
        <v>166.88614661906792</v>
      </c>
    </row>
    <row r="1091" spans="1:50" x14ac:dyDescent="0.25">
      <c r="A1091" s="356"/>
      <c r="B1091" s="376"/>
      <c r="C1091" s="361" t="s">
        <v>15</v>
      </c>
      <c r="D1091" s="58" t="s">
        <v>7</v>
      </c>
      <c r="E1091" s="164" t="str">
        <f>A1079&amp;"/"&amp;B1087&amp;"/"&amp;C1091&amp;"/"&amp;D1091</f>
        <v>Fuel oil fired power plants/Supercritical steam turbine/Electricity only with CCS/L</v>
      </c>
      <c r="F1091" s="78" t="str">
        <f>A1079</f>
        <v>Fuel oil fired power plants</v>
      </c>
      <c r="G1091" s="78" t="str">
        <f>B1087</f>
        <v>Supercritical steam turbine</v>
      </c>
      <c r="H1091" s="78" t="str">
        <f>C1091</f>
        <v>Electricity only with CCS</v>
      </c>
      <c r="I1091" s="165" t="str">
        <f t="shared" si="369"/>
        <v>L</v>
      </c>
      <c r="J1091" s="109" t="str">
        <f>IF(tech_base!$T187&gt;J$905,"",J2211+tech_proj!J1711/(1-tech_proj!J591))</f>
        <v/>
      </c>
      <c r="K1091" s="109" t="str">
        <f>IF(tech_base!$T187&gt;K$905,"",K2211+tech_proj!K1711/(1-tech_proj!K591))</f>
        <v/>
      </c>
      <c r="L1091" s="109" t="str">
        <f>IF(tech_base!$T187&gt;L$905,"",L2211+tech_proj!L1711/(1-tech_proj!L591))</f>
        <v/>
      </c>
      <c r="M1091" s="109" t="str">
        <f>IF(tech_base!$T187&gt;M$905,"",M2211+tech_proj!M1711/(1-tech_proj!M591))</f>
        <v/>
      </c>
      <c r="N1091" s="109" t="str">
        <f>IF(tech_base!$T187&gt;N$905,"",N2211+tech_proj!N1711/(1-tech_proj!N591))</f>
        <v/>
      </c>
      <c r="O1091" s="109" t="str">
        <f>IF(tech_base!$T187&gt;O$905,"",O2211+tech_proj!O1711/(1-tech_proj!O591))</f>
        <v/>
      </c>
      <c r="P1091" s="109" t="str">
        <f>IF(tech_base!$T187&gt;P$905,"",P2211+tech_proj!P1711/(1-tech_proj!P591))</f>
        <v/>
      </c>
      <c r="Q1091" s="109" t="str">
        <f>IF(tech_base!$T187&gt;Q$905,"",Q2211+tech_proj!Q1711/(1-tech_proj!Q591))</f>
        <v/>
      </c>
      <c r="R1091" s="109" t="str">
        <f>IF(tech_base!$T187&gt;R$905,"",R2211+tech_proj!R1711/(1-tech_proj!R591))</f>
        <v/>
      </c>
      <c r="S1091" s="109" t="str">
        <f>IF(tech_base!$T187&gt;S$905,"",S2211+tech_proj!S1711/(1-tech_proj!S591))</f>
        <v/>
      </c>
      <c r="T1091" s="109" t="str">
        <f>IF(tech_base!$T187&gt;T$905,"",T2211+tech_proj!T1711/(1-tech_proj!T591))</f>
        <v/>
      </c>
      <c r="U1091" s="109" t="str">
        <f>IF(tech_base!$T187&gt;U$905,"",U2211+tech_proj!U1711/(1-tech_proj!U591))</f>
        <v/>
      </c>
      <c r="V1091" s="109" t="str">
        <f>IF(tech_base!$T187&gt;V$905,"",V2211+tech_proj!V1711/(1-tech_proj!V591))</f>
        <v/>
      </c>
      <c r="W1091" s="109" t="str">
        <f>IF(tech_base!$T187&gt;W$905,"",W2211+tech_proj!W1711/(1-tech_proj!W591))</f>
        <v/>
      </c>
      <c r="X1091" s="109" t="str">
        <f>IF(tech_base!$T187&gt;X$905,"",X2211+tech_proj!X1711/(1-tech_proj!X591))</f>
        <v/>
      </c>
      <c r="Y1091" s="109" t="str">
        <f>IF(tech_base!$T187&gt;Y$905,"",Y2211+tech_proj!Y1711/(1-tech_proj!Y591))</f>
        <v/>
      </c>
      <c r="Z1091" s="109" t="str">
        <f>IF(tech_base!$T187&gt;Z$905,"",Z2211+tech_proj!Z1711/(1-tech_proj!Z591))</f>
        <v/>
      </c>
      <c r="AA1091" s="109" t="str">
        <f>IF(tech_base!$T187&gt;AA$905,"",AA2211+tech_proj!AA1711/(1-tech_proj!AA591))</f>
        <v/>
      </c>
      <c r="AB1091" s="109" t="str">
        <f>IF(tech_base!$T187&gt;AB$905,"",AB2211+tech_proj!AB1711/(1-tech_proj!AB591))</f>
        <v/>
      </c>
      <c r="AC1091" s="109" t="str">
        <f>IF(tech_base!$T187&gt;AC$905,"",AC2211+tech_proj!AC1711/(1-tech_proj!AC591))</f>
        <v/>
      </c>
      <c r="AD1091" s="109" t="str">
        <f>IF(tech_base!$T187&gt;AD$905,"",AD2211+tech_proj!AD1711/(1-tech_proj!AD591))</f>
        <v/>
      </c>
      <c r="AE1091" s="109">
        <f>IF(tech_base!$T187&gt;AE$905,"",AE2211+tech_proj!AE1711/(1-tech_proj!AE591))</f>
        <v>162.2711129214722</v>
      </c>
      <c r="AF1091" s="109">
        <f>IF(tech_base!$T187&gt;AF$905,"",AF2211+tech_proj!AF1711/(1-tech_proj!AF591))</f>
        <v>163.12383238495636</v>
      </c>
      <c r="AG1091" s="109">
        <f>IF(tech_base!$T187&gt;AG$905,"",AG2211+tech_proj!AG1711/(1-tech_proj!AG591))</f>
        <v>164.09873026035061</v>
      </c>
      <c r="AH1091" s="109">
        <f>IF(tech_base!$T187&gt;AH$905,"",AH2211+tech_proj!AH1711/(1-tech_proj!AH591))</f>
        <v>165.19545939172218</v>
      </c>
      <c r="AI1091" s="109">
        <f>IF(tech_base!$T187&gt;AI$905,"",AI2211+tech_proj!AI1711/(1-tech_proj!AI591))</f>
        <v>166.42571748237989</v>
      </c>
      <c r="AJ1091" s="109">
        <f>IF(tech_base!$T187&gt;AJ$905,"",AJ2211+tech_proj!AJ1711/(1-tech_proj!AJ591))</f>
        <v>167.81079575300717</v>
      </c>
      <c r="AK1091" s="109">
        <f>IF(tech_base!$T187&gt;AK$905,"",AK2211+tech_proj!AK1711/(1-tech_proj!AK591))</f>
        <v>169.3832607194764</v>
      </c>
      <c r="AL1091" s="109">
        <f>IF(tech_base!$T187&gt;AL$905,"",AL2211+tech_proj!AL1711/(1-tech_proj!AL591))</f>
        <v>171.08610660982643</v>
      </c>
      <c r="AM1091" s="109">
        <f>IF(tech_base!$T187&gt;AM$905,"",AM2211+tech_proj!AM1711/(1-tech_proj!AM591))</f>
        <v>172.84929111714376</v>
      </c>
      <c r="AN1091" s="109">
        <f>IF(tech_base!$T187&gt;AN$905,"",AN2211+tech_proj!AN1711/(1-tech_proj!AN591))</f>
        <v>174.64968213932499</v>
      </c>
      <c r="AO1091" s="109">
        <f>IF(tech_base!$T187&gt;AO$905,"",AO2211+tech_proj!AO1711/(1-tech_proj!AO591))</f>
        <v>174.81811556638391</v>
      </c>
      <c r="AP1091" s="109">
        <f>IF(tech_base!$T187&gt;AP$905,"",AP2211+tech_proj!AP1711/(1-tech_proj!AP591))</f>
        <v>175.4240102203502</v>
      </c>
      <c r="AQ1091" s="109">
        <f>IF(tech_base!$T187&gt;AQ$905,"",AQ2211+tech_proj!AQ1711/(1-tech_proj!AQ591))</f>
        <v>176.06884311509612</v>
      </c>
      <c r="AR1091" s="109">
        <f>IF(tech_base!$T187&gt;AR$905,"",AR2211+tech_proj!AR1711/(1-tech_proj!AR591))</f>
        <v>177.46683840929362</v>
      </c>
      <c r="AS1091" s="109">
        <f>IF(tech_base!$T187&gt;AS$905,"",AS2211+tech_proj!AS1711/(1-tech_proj!AS591))</f>
        <v>178.17593246145526</v>
      </c>
      <c r="AT1091" s="109">
        <f>IF(tech_base!$T187&gt;AT$905,"",AT2211+tech_proj!AT1711/(1-tech_proj!AT591))</f>
        <v>178.889384122406</v>
      </c>
      <c r="AU1091" s="109">
        <f>IF(tech_base!$T187&gt;AU$905,"",AU2211+tech_proj!AU1711/(1-tech_proj!AU591))</f>
        <v>179.57917537559888</v>
      </c>
      <c r="AV1091" s="109">
        <f>IF(tech_base!$T187&gt;AV$905,"",AV2211+tech_proj!AV1711/(1-tech_proj!AV591))</f>
        <v>180.23200891934727</v>
      </c>
      <c r="AW1091" s="109">
        <f>IF(tech_base!$T187&gt;AW$905,"",AW2211+tech_proj!AW1711/(1-tech_proj!AW591))</f>
        <v>180.83426845542101</v>
      </c>
      <c r="AX1091" s="110">
        <f>IF(tech_base!$T187&gt;AX$905,"",AX2211+tech_proj!AX1711/(1-tech_proj!AX591))</f>
        <v>181.62164306315339</v>
      </c>
    </row>
    <row r="1092" spans="1:50" x14ac:dyDescent="0.25">
      <c r="A1092" s="356"/>
      <c r="B1092" s="376"/>
      <c r="C1092" s="379"/>
      <c r="D1092" s="59" t="s">
        <v>8</v>
      </c>
      <c r="E1092" s="166" t="str">
        <f>A1079&amp;"/"&amp;B1087&amp;"/"&amp;C1091&amp;"/"&amp;D1092</f>
        <v>Fuel oil fired power plants/Supercritical steam turbine/Electricity only with CCS/M</v>
      </c>
      <c r="F1092" s="79" t="str">
        <f>A1079</f>
        <v>Fuel oil fired power plants</v>
      </c>
      <c r="G1092" s="79" t="str">
        <f>B1087</f>
        <v>Supercritical steam turbine</v>
      </c>
      <c r="H1092" s="79" t="str">
        <f>C1091</f>
        <v>Electricity only with CCS</v>
      </c>
      <c r="I1092" s="167" t="str">
        <f t="shared" si="369"/>
        <v>M</v>
      </c>
      <c r="J1092" s="111" t="str">
        <f>IF(tech_base!$T188&gt;J$905,"",J2212+tech_proj!J1712/(1-tech_proj!J592))</f>
        <v/>
      </c>
      <c r="K1092" s="111" t="str">
        <f>IF(tech_base!$T188&gt;K$905,"",K2212+tech_proj!K1712/(1-tech_proj!K592))</f>
        <v/>
      </c>
      <c r="L1092" s="111" t="str">
        <f>IF(tech_base!$T188&gt;L$905,"",L2212+tech_proj!L1712/(1-tech_proj!L592))</f>
        <v/>
      </c>
      <c r="M1092" s="111" t="str">
        <f>IF(tech_base!$T188&gt;M$905,"",M2212+tech_proj!M1712/(1-tech_proj!M592))</f>
        <v/>
      </c>
      <c r="N1092" s="111" t="str">
        <f>IF(tech_base!$T188&gt;N$905,"",N2212+tech_proj!N1712/(1-tech_proj!N592))</f>
        <v/>
      </c>
      <c r="O1092" s="111" t="str">
        <f>IF(tech_base!$T188&gt;O$905,"",O2212+tech_proj!O1712/(1-tech_proj!O592))</f>
        <v/>
      </c>
      <c r="P1092" s="111" t="str">
        <f>IF(tech_base!$T188&gt;P$905,"",P2212+tech_proj!P1712/(1-tech_proj!P592))</f>
        <v/>
      </c>
      <c r="Q1092" s="111" t="str">
        <f>IF(tech_base!$T188&gt;Q$905,"",Q2212+tech_proj!Q1712/(1-tech_proj!Q592))</f>
        <v/>
      </c>
      <c r="R1092" s="111" t="str">
        <f>IF(tech_base!$T188&gt;R$905,"",R2212+tech_proj!R1712/(1-tech_proj!R592))</f>
        <v/>
      </c>
      <c r="S1092" s="111" t="str">
        <f>IF(tech_base!$T188&gt;S$905,"",S2212+tech_proj!S1712/(1-tech_proj!S592))</f>
        <v/>
      </c>
      <c r="T1092" s="111" t="str">
        <f>IF(tech_base!$T188&gt;T$905,"",T2212+tech_proj!T1712/(1-tech_proj!T592))</f>
        <v/>
      </c>
      <c r="U1092" s="111" t="str">
        <f>IF(tech_base!$T188&gt;U$905,"",U2212+tech_proj!U1712/(1-tech_proj!U592))</f>
        <v/>
      </c>
      <c r="V1092" s="111" t="str">
        <f>IF(tech_base!$T188&gt;V$905,"",V2212+tech_proj!V1712/(1-tech_proj!V592))</f>
        <v/>
      </c>
      <c r="W1092" s="111" t="str">
        <f>IF(tech_base!$T188&gt;W$905,"",W2212+tech_proj!W1712/(1-tech_proj!W592))</f>
        <v/>
      </c>
      <c r="X1092" s="111" t="str">
        <f>IF(tech_base!$T188&gt;X$905,"",X2212+tech_proj!X1712/(1-tech_proj!X592))</f>
        <v/>
      </c>
      <c r="Y1092" s="111" t="str">
        <f>IF(tech_base!$T188&gt;Y$905,"",Y2212+tech_proj!Y1712/(1-tech_proj!Y592))</f>
        <v/>
      </c>
      <c r="Z1092" s="111" t="str">
        <f>IF(tech_base!$T188&gt;Z$905,"",Z2212+tech_proj!Z1712/(1-tech_proj!Z592))</f>
        <v/>
      </c>
      <c r="AA1092" s="111" t="str">
        <f>IF(tech_base!$T188&gt;AA$905,"",AA2212+tech_proj!AA1712/(1-tech_proj!AA592))</f>
        <v/>
      </c>
      <c r="AB1092" s="111" t="str">
        <f>IF(tech_base!$T188&gt;AB$905,"",AB2212+tech_proj!AB1712/(1-tech_proj!AB592))</f>
        <v/>
      </c>
      <c r="AC1092" s="111" t="str">
        <f>IF(tech_base!$T188&gt;AC$905,"",AC2212+tech_proj!AC1712/(1-tech_proj!AC592))</f>
        <v/>
      </c>
      <c r="AD1092" s="111" t="str">
        <f>IF(tech_base!$T188&gt;AD$905,"",AD2212+tech_proj!AD1712/(1-tech_proj!AD592))</f>
        <v/>
      </c>
      <c r="AE1092" s="111">
        <f>IF(tech_base!$T188&gt;AE$905,"",AE2212+tech_proj!AE1712/(1-tech_proj!AE592))</f>
        <v>172.74550529545238</v>
      </c>
      <c r="AF1092" s="111">
        <f>IF(tech_base!$T188&gt;AF$905,"",AF2212+tech_proj!AF1712/(1-tech_proj!AF592))</f>
        <v>173.65193378845373</v>
      </c>
      <c r="AG1092" s="111">
        <f>IF(tech_base!$T188&gt;AG$905,"",AG2212+tech_proj!AG1712/(1-tech_proj!AG592))</f>
        <v>174.68823617143582</v>
      </c>
      <c r="AH1092" s="111">
        <f>IF(tech_base!$T188&gt;AH$905,"",AH2212+tech_proj!AH1712/(1-tech_proj!AH592))</f>
        <v>175.85404342264826</v>
      </c>
      <c r="AI1092" s="111">
        <f>IF(tech_base!$T188&gt;AI$905,"",AI2212+tech_proj!AI1712/(1-tech_proj!AI592))</f>
        <v>177.16179003202106</v>
      </c>
      <c r="AJ1092" s="111">
        <f>IF(tech_base!$T188&gt;AJ$905,"",AJ2212+tech_proj!AJ1712/(1-tech_proj!AJ592))</f>
        <v>178.63410826010957</v>
      </c>
      <c r="AK1092" s="111">
        <f>IF(tech_base!$T188&gt;AK$905,"",AK2212+tech_proj!AK1712/(1-tech_proj!AK592))</f>
        <v>180.30561584365915</v>
      </c>
      <c r="AL1092" s="111">
        <f>IF(tech_base!$T188&gt;AL$905,"",AL2212+tech_proj!AL1712/(1-tech_proj!AL592))</f>
        <v>182.11571646912969</v>
      </c>
      <c r="AM1092" s="111">
        <f>IF(tech_base!$T188&gt;AM$905,"",AM2212+tech_proj!AM1712/(1-tech_proj!AM592))</f>
        <v>183.98995617432041</v>
      </c>
      <c r="AN1092" s="111">
        <f>IF(tech_base!$T188&gt;AN$905,"",AN2212+tech_proj!AN1712/(1-tech_proj!AN592))</f>
        <v>185.90374586827318</v>
      </c>
      <c r="AO1092" s="111">
        <f>IF(tech_base!$T188&gt;AO$905,"",AO2212+tech_proj!AO1712/(1-tech_proj!AO592))</f>
        <v>186.0827881723344</v>
      </c>
      <c r="AP1092" s="111">
        <f>IF(tech_base!$T188&gt;AP$905,"",AP2212+tech_proj!AP1712/(1-tech_proj!AP592))</f>
        <v>186.7268454521674</v>
      </c>
      <c r="AQ1092" s="111">
        <f>IF(tech_base!$T188&gt;AQ$905,"",AQ2212+tech_proj!AQ1712/(1-tech_proj!AQ592))</f>
        <v>187.41229352043834</v>
      </c>
      <c r="AR1092" s="111">
        <f>IF(tech_base!$T188&gt;AR$905,"",AR2212+tech_proj!AR1712/(1-tech_proj!AR592))</f>
        <v>188.89834235831145</v>
      </c>
      <c r="AS1092" s="111">
        <f>IF(tech_base!$T188&gt;AS$905,"",AS2212+tech_proj!AS1712/(1-tech_proj!AS592))</f>
        <v>189.65198503885864</v>
      </c>
      <c r="AT1092" s="111">
        <f>IF(tech_base!$T188&gt;AT$905,"",AT2212+tech_proj!AT1712/(1-tech_proj!AT592))</f>
        <v>190.41030090271406</v>
      </c>
      <c r="AU1092" s="111">
        <f>IF(tech_base!$T188&gt;AU$905,"",AU2212+tech_proj!AU1712/(1-tech_proj!AU592))</f>
        <v>191.14342050344561</v>
      </c>
      <c r="AV1092" s="111">
        <f>IF(tech_base!$T188&gt;AV$905,"",AV2212+tech_proj!AV1712/(1-tech_proj!AV592))</f>
        <v>191.83718228403478</v>
      </c>
      <c r="AW1092" s="111">
        <f>IF(tech_base!$T188&gt;AW$905,"",AW2212+tech_proj!AW1712/(1-tech_proj!AW592))</f>
        <v>192.47707274071513</v>
      </c>
      <c r="AX1092" s="112">
        <f>IF(tech_base!$T188&gt;AX$905,"",AX2212+tech_proj!AX1712/(1-tech_proj!AX592))</f>
        <v>193.31357152931093</v>
      </c>
    </row>
    <row r="1093" spans="1:50" x14ac:dyDescent="0.25">
      <c r="A1093" s="356"/>
      <c r="B1093" s="376"/>
      <c r="C1093" s="361" t="s">
        <v>16</v>
      </c>
      <c r="D1093" s="2" t="s">
        <v>7</v>
      </c>
      <c r="E1093" s="160" t="str">
        <f>A1079&amp;"/"&amp;B1087&amp;"/"&amp;C1093&amp;"/"&amp;D1093</f>
        <v>Fuel oil fired power plants/Supercritical steam turbine/CHP with CCS/L</v>
      </c>
      <c r="F1093" s="76" t="str">
        <f>A1079</f>
        <v>Fuel oil fired power plants</v>
      </c>
      <c r="G1093" s="76" t="str">
        <f>B1087</f>
        <v>Supercritical steam turbine</v>
      </c>
      <c r="H1093" s="76" t="str">
        <f>C1093</f>
        <v>CHP with CCS</v>
      </c>
      <c r="I1093" s="161" t="str">
        <f t="shared" si="369"/>
        <v>L</v>
      </c>
      <c r="J1093" s="105" t="str">
        <f>IF(tech_base!$T189&gt;J$905,"",J2213+tech_proj!J1713/(1-tech_proj!J593))</f>
        <v/>
      </c>
      <c r="K1093" s="105" t="str">
        <f>IF(tech_base!$T189&gt;K$905,"",K2213+tech_proj!K1713/(1-tech_proj!K593))</f>
        <v/>
      </c>
      <c r="L1093" s="105" t="str">
        <f>IF(tech_base!$T189&gt;L$905,"",L2213+tech_proj!L1713/(1-tech_proj!L593))</f>
        <v/>
      </c>
      <c r="M1093" s="105" t="str">
        <f>IF(tech_base!$T189&gt;M$905,"",M2213+tech_proj!M1713/(1-tech_proj!M593))</f>
        <v/>
      </c>
      <c r="N1093" s="105" t="str">
        <f>IF(tech_base!$T189&gt;N$905,"",N2213+tech_proj!N1713/(1-tech_proj!N593))</f>
        <v/>
      </c>
      <c r="O1093" s="105" t="str">
        <f>IF(tech_base!$T189&gt;O$905,"",O2213+tech_proj!O1713/(1-tech_proj!O593))</f>
        <v/>
      </c>
      <c r="P1093" s="105" t="str">
        <f>IF(tech_base!$T189&gt;P$905,"",P2213+tech_proj!P1713/(1-tech_proj!P593))</f>
        <v/>
      </c>
      <c r="Q1093" s="105" t="str">
        <f>IF(tech_base!$T189&gt;Q$905,"",Q2213+tech_proj!Q1713/(1-tech_proj!Q593))</f>
        <v/>
      </c>
      <c r="R1093" s="105" t="str">
        <f>IF(tech_base!$T189&gt;R$905,"",R2213+tech_proj!R1713/(1-tech_proj!R593))</f>
        <v/>
      </c>
      <c r="S1093" s="105" t="str">
        <f>IF(tech_base!$T189&gt;S$905,"",S2213+tech_proj!S1713/(1-tech_proj!S593))</f>
        <v/>
      </c>
      <c r="T1093" s="105" t="str">
        <f>IF(tech_base!$T189&gt;T$905,"",T2213+tech_proj!T1713/(1-tech_proj!T593))</f>
        <v/>
      </c>
      <c r="U1093" s="105" t="str">
        <f>IF(tech_base!$T189&gt;U$905,"",U2213+tech_proj!U1713/(1-tech_proj!U593))</f>
        <v/>
      </c>
      <c r="V1093" s="105" t="str">
        <f>IF(tech_base!$T189&gt;V$905,"",V2213+tech_proj!V1713/(1-tech_proj!V593))</f>
        <v/>
      </c>
      <c r="W1093" s="105" t="str">
        <f>IF(tech_base!$T189&gt;W$905,"",W2213+tech_proj!W1713/(1-tech_proj!W593))</f>
        <v/>
      </c>
      <c r="X1093" s="105" t="str">
        <f>IF(tech_base!$T189&gt;X$905,"",X2213+tech_proj!X1713/(1-tech_proj!X593))</f>
        <v/>
      </c>
      <c r="Y1093" s="105" t="str">
        <f>IF(tech_base!$T189&gt;Y$905,"",Y2213+tech_proj!Y1713/(1-tech_proj!Y593))</f>
        <v/>
      </c>
      <c r="Z1093" s="105" t="str">
        <f>IF(tech_base!$T189&gt;Z$905,"",Z2213+tech_proj!Z1713/(1-tech_proj!Z593))</f>
        <v/>
      </c>
      <c r="AA1093" s="105" t="str">
        <f>IF(tech_base!$T189&gt;AA$905,"",AA2213+tech_proj!AA1713/(1-tech_proj!AA593))</f>
        <v/>
      </c>
      <c r="AB1093" s="105" t="str">
        <f>IF(tech_base!$T189&gt;AB$905,"",AB2213+tech_proj!AB1713/(1-tech_proj!AB593))</f>
        <v/>
      </c>
      <c r="AC1093" s="105" t="str">
        <f>IF(tech_base!$T189&gt;AC$905,"",AC2213+tech_proj!AC1713/(1-tech_proj!AC593))</f>
        <v/>
      </c>
      <c r="AD1093" s="105" t="str">
        <f>IF(tech_base!$T189&gt;AD$905,"",AD2213+tech_proj!AD1713/(1-tech_proj!AD593))</f>
        <v/>
      </c>
      <c r="AE1093" s="105">
        <f>IF(tech_base!$T189&gt;AE$905,"",AE2213+tech_proj!AE1713/(1-tech_proj!AE593))</f>
        <v>183.13669731729465</v>
      </c>
      <c r="AF1093" s="105">
        <f>IF(tech_base!$T189&gt;AF$905,"",AF2213+tech_proj!AF1713/(1-tech_proj!AF593))</f>
        <v>184.09817993754041</v>
      </c>
      <c r="AG1093" s="105">
        <f>IF(tech_base!$T189&gt;AG$905,"",AG2213+tech_proj!AG1713/(1-tech_proj!AG593))</f>
        <v>185.19742465265</v>
      </c>
      <c r="AH1093" s="105">
        <f>IF(tech_base!$T189&gt;AH$905,"",AH2213+tech_proj!AH1713/(1-tech_proj!AH593))</f>
        <v>186.43404002744438</v>
      </c>
      <c r="AI1093" s="105">
        <f>IF(tech_base!$T189&gt;AI$905,"",AI2213+tech_proj!AI1713/(1-tech_proj!AI593))</f>
        <v>187.8212157906795</v>
      </c>
      <c r="AJ1093" s="105">
        <f>IF(tech_base!$T189&gt;AJ$905,"",AJ2213+tech_proj!AJ1713/(1-tech_proj!AJ593))</f>
        <v>189.3829588280048</v>
      </c>
      <c r="AK1093" s="105">
        <f>IF(tech_base!$T189&gt;AK$905,"",AK2213+tech_proj!AK1713/(1-tech_proj!AK593))</f>
        <v>191.15598946814976</v>
      </c>
      <c r="AL1093" s="105">
        <f>IF(tech_base!$T189&gt;AL$905,"",AL2213+tech_proj!AL1713/(1-tech_proj!AL593))</f>
        <v>193.07603093388428</v>
      </c>
      <c r="AM1093" s="105">
        <f>IF(tech_base!$T189&gt;AM$905,"",AM2213+tech_proj!AM1713/(1-tech_proj!AM593))</f>
        <v>195.06410712150324</v>
      </c>
      <c r="AN1093" s="105">
        <f>IF(tech_base!$T189&gt;AN$905,"",AN2213+tech_proj!AN1713/(1-tech_proj!AN593))</f>
        <v>197.09413546212625</v>
      </c>
      <c r="AO1093" s="105">
        <f>IF(tech_base!$T189&gt;AO$905,"",AO2213+tech_proj!AO1713/(1-tech_proj!AO593))</f>
        <v>197.28405233364208</v>
      </c>
      <c r="AP1093" s="105">
        <f>IF(tech_base!$T189&gt;AP$905,"",AP2213+tech_proj!AP1713/(1-tech_proj!AP593))</f>
        <v>197.96722799039105</v>
      </c>
      <c r="AQ1093" s="105">
        <f>IF(tech_base!$T189&gt;AQ$905,"",AQ2213+tech_proj!AQ1713/(1-tech_proj!AQ593))</f>
        <v>198.69430840524132</v>
      </c>
      <c r="AR1093" s="105">
        <f>IF(tech_base!$T189&gt;AR$905,"",AR2213+tech_proj!AR1713/(1-tech_proj!AR593))</f>
        <v>200.27061601415181</v>
      </c>
      <c r="AS1093" s="105">
        <f>IF(tech_base!$T189&gt;AS$905,"",AS2213+tech_proj!AS1713/(1-tech_proj!AS593))</f>
        <v>201.07007839316952</v>
      </c>
      <c r="AT1093" s="105">
        <f>IF(tech_base!$T189&gt;AT$905,"",AT2213+tech_proj!AT1713/(1-tech_proj!AT593))</f>
        <v>201.87448143638161</v>
      </c>
      <c r="AU1093" s="105">
        <f>IF(tech_base!$T189&gt;AU$905,"",AU2213+tech_proj!AU1713/(1-tech_proj!AU593))</f>
        <v>202.65217600034475</v>
      </c>
      <c r="AV1093" s="105">
        <f>IF(tech_base!$T189&gt;AV$905,"",AV2213+tech_proj!AV1713/(1-tech_proj!AV593))</f>
        <v>203.38815102190904</v>
      </c>
      <c r="AW1093" s="105">
        <f>IF(tech_base!$T189&gt;AW$905,"",AW2213+tech_proj!AW1713/(1-tech_proj!AW593))</f>
        <v>204.06702723083743</v>
      </c>
      <c r="AX1093" s="106">
        <f>IF(tech_base!$T189&gt;AX$905,"",AX2213+tech_proj!AX1713/(1-tech_proj!AX593))</f>
        <v>204.95451943027544</v>
      </c>
    </row>
    <row r="1094" spans="1:50" x14ac:dyDescent="0.25">
      <c r="A1094" s="356"/>
      <c r="B1094" s="380"/>
      <c r="C1094" s="381"/>
      <c r="D1094" s="4" t="s">
        <v>8</v>
      </c>
      <c r="E1094" s="168" t="str">
        <f>A1079&amp;"/"&amp;B1087&amp;"/"&amp;C1093&amp;"/"&amp;D1094</f>
        <v>Fuel oil fired power plants/Supercritical steam turbine/CHP with CCS/M</v>
      </c>
      <c r="F1094" s="80" t="str">
        <f>A1079</f>
        <v>Fuel oil fired power plants</v>
      </c>
      <c r="G1094" s="80" t="str">
        <f>B1087</f>
        <v>Supercritical steam turbine</v>
      </c>
      <c r="H1094" s="80" t="str">
        <f>C1093</f>
        <v>CHP with CCS</v>
      </c>
      <c r="I1094" s="169" t="str">
        <f t="shared" si="369"/>
        <v>M</v>
      </c>
      <c r="J1094" s="113" t="str">
        <f>IF(tech_base!$T190&gt;J$905,"",J2214+tech_proj!J1714/(1-tech_proj!J594))</f>
        <v/>
      </c>
      <c r="K1094" s="113" t="str">
        <f>IF(tech_base!$T190&gt;K$905,"",K2214+tech_proj!K1714/(1-tech_proj!K594))</f>
        <v/>
      </c>
      <c r="L1094" s="113" t="str">
        <f>IF(tech_base!$T190&gt;L$905,"",L2214+tech_proj!L1714/(1-tech_proj!L594))</f>
        <v/>
      </c>
      <c r="M1094" s="113" t="str">
        <f>IF(tech_base!$T190&gt;M$905,"",M2214+tech_proj!M1714/(1-tech_proj!M594))</f>
        <v/>
      </c>
      <c r="N1094" s="113" t="str">
        <f>IF(tech_base!$T190&gt;N$905,"",N2214+tech_proj!N1714/(1-tech_proj!N594))</f>
        <v/>
      </c>
      <c r="O1094" s="113" t="str">
        <f>IF(tech_base!$T190&gt;O$905,"",O2214+tech_proj!O1714/(1-tech_proj!O594))</f>
        <v/>
      </c>
      <c r="P1094" s="113" t="str">
        <f>IF(tech_base!$T190&gt;P$905,"",P2214+tech_proj!P1714/(1-tech_proj!P594))</f>
        <v/>
      </c>
      <c r="Q1094" s="113" t="str">
        <f>IF(tech_base!$T190&gt;Q$905,"",Q2214+tech_proj!Q1714/(1-tech_proj!Q594))</f>
        <v/>
      </c>
      <c r="R1094" s="113" t="str">
        <f>IF(tech_base!$T190&gt;R$905,"",R2214+tech_proj!R1714/(1-tech_proj!R594))</f>
        <v/>
      </c>
      <c r="S1094" s="113" t="str">
        <f>IF(tech_base!$T190&gt;S$905,"",S2214+tech_proj!S1714/(1-tech_proj!S594))</f>
        <v/>
      </c>
      <c r="T1094" s="113" t="str">
        <f>IF(tech_base!$T190&gt;T$905,"",T2214+tech_proj!T1714/(1-tech_proj!T594))</f>
        <v/>
      </c>
      <c r="U1094" s="113" t="str">
        <f>IF(tech_base!$T190&gt;U$905,"",U2214+tech_proj!U1714/(1-tech_proj!U594))</f>
        <v/>
      </c>
      <c r="V1094" s="113" t="str">
        <f>IF(tech_base!$T190&gt;V$905,"",V2214+tech_proj!V1714/(1-tech_proj!V594))</f>
        <v/>
      </c>
      <c r="W1094" s="113" t="str">
        <f>IF(tech_base!$T190&gt;W$905,"",W2214+tech_proj!W1714/(1-tech_proj!W594))</f>
        <v/>
      </c>
      <c r="X1094" s="113" t="str">
        <f>IF(tech_base!$T190&gt;X$905,"",X2214+tech_proj!X1714/(1-tech_proj!X594))</f>
        <v/>
      </c>
      <c r="Y1094" s="113" t="str">
        <f>IF(tech_base!$T190&gt;Y$905,"",Y2214+tech_proj!Y1714/(1-tech_proj!Y594))</f>
        <v/>
      </c>
      <c r="Z1094" s="113" t="str">
        <f>IF(tech_base!$T190&gt;Z$905,"",Z2214+tech_proj!Z1714/(1-tech_proj!Z594))</f>
        <v/>
      </c>
      <c r="AA1094" s="113" t="str">
        <f>IF(tech_base!$T190&gt;AA$905,"",AA2214+tech_proj!AA1714/(1-tech_proj!AA594))</f>
        <v/>
      </c>
      <c r="AB1094" s="113" t="str">
        <f>IF(tech_base!$T190&gt;AB$905,"",AB2214+tech_proj!AB1714/(1-tech_proj!AB594))</f>
        <v/>
      </c>
      <c r="AC1094" s="113" t="str">
        <f>IF(tech_base!$T190&gt;AC$905,"",AC2214+tech_proj!AC1714/(1-tech_proj!AC594))</f>
        <v/>
      </c>
      <c r="AD1094" s="113" t="str">
        <f>IF(tech_base!$T190&gt;AD$905,"",AD2214+tech_proj!AD1714/(1-tech_proj!AD594))</f>
        <v/>
      </c>
      <c r="AE1094" s="113">
        <f>IF(tech_base!$T190&gt;AE$905,"",AE2214+tech_proj!AE1714/(1-tech_proj!AE594))</f>
        <v>195.2305645611826</v>
      </c>
      <c r="AF1094" s="113">
        <f>IF(tech_base!$T190&gt;AF$905,"",AF2214+tech_proj!AF1714/(1-tech_proj!AF594))</f>
        <v>196.25422145945134</v>
      </c>
      <c r="AG1094" s="113">
        <f>IF(tech_base!$T190&gt;AG$905,"",AG2214+tech_proj!AG1714/(1-tech_proj!AG594))</f>
        <v>197.42454883907664</v>
      </c>
      <c r="AH1094" s="113">
        <f>IF(tech_base!$T190&gt;AH$905,"",AH2214+tech_proj!AH1714/(1-tech_proj!AH594))</f>
        <v>198.74112995272168</v>
      </c>
      <c r="AI1094" s="113">
        <f>IF(tech_base!$T190&gt;AI$905,"",AI2214+tech_proj!AI1714/(1-tech_proj!AI594))</f>
        <v>200.21800744301265</v>
      </c>
      <c r="AJ1094" s="113">
        <f>IF(tech_base!$T190&gt;AJ$905,"",AJ2214+tech_proj!AJ1714/(1-tech_proj!AJ594))</f>
        <v>201.88074060096886</v>
      </c>
      <c r="AK1094" s="113">
        <f>IF(tech_base!$T190&gt;AK$905,"",AK2214+tech_proj!AK1714/(1-tech_proj!AK594))</f>
        <v>203.76842427554476</v>
      </c>
      <c r="AL1094" s="113">
        <f>IF(tech_base!$T190&gt;AL$905,"",AL2214+tech_proj!AL1714/(1-tech_proj!AL594))</f>
        <v>205.81262523141729</v>
      </c>
      <c r="AM1094" s="113">
        <f>IF(tech_base!$T190&gt;AM$905,"",AM2214+tech_proj!AM1714/(1-tech_proj!AM594))</f>
        <v>207.92926037477528</v>
      </c>
      <c r="AN1094" s="113">
        <f>IF(tech_base!$T190&gt;AN$905,"",AN2214+tech_proj!AN1714/(1-tech_proj!AN594))</f>
        <v>210.09056050730263</v>
      </c>
      <c r="AO1094" s="113">
        <f>IF(tech_base!$T190&gt;AO$905,"",AO2214+tech_proj!AO1714/(1-tech_proj!AO594))</f>
        <v>210.29275835418113</v>
      </c>
      <c r="AP1094" s="113">
        <f>IF(tech_base!$T190&gt;AP$905,"",AP2214+tech_proj!AP1714/(1-tech_proj!AP594))</f>
        <v>211.02011156788939</v>
      </c>
      <c r="AQ1094" s="113">
        <f>IF(tech_base!$T190&gt;AQ$905,"",AQ2214+tech_proj!AQ1714/(1-tech_proj!AQ594))</f>
        <v>211.79420864108175</v>
      </c>
      <c r="AR1094" s="113">
        <f>IF(tech_base!$T190&gt;AR$905,"",AR2214+tech_proj!AR1714/(1-tech_proj!AR594))</f>
        <v>213.47244818871124</v>
      </c>
      <c r="AS1094" s="113">
        <f>IF(tech_base!$T190&gt;AS$905,"",AS2214+tech_proj!AS1714/(1-tech_proj!AS594))</f>
        <v>214.32349477826821</v>
      </c>
      <c r="AT1094" s="113">
        <f>IF(tech_base!$T190&gt;AT$905,"",AT2214+tech_proj!AT1714/(1-tech_proj!AT594))</f>
        <v>215.17984225203901</v>
      </c>
      <c r="AU1094" s="113">
        <f>IF(tech_base!$T190&gt;AU$905,"",AU2214+tech_proj!AU1714/(1-tech_proj!AU594))</f>
        <v>216.00770896882224</v>
      </c>
      <c r="AV1094" s="113">
        <f>IF(tech_base!$T190&gt;AV$905,"",AV2214+tech_proj!AV1714/(1-tech_proj!AV594))</f>
        <v>216.79108670233009</v>
      </c>
      <c r="AW1094" s="113">
        <f>IF(tech_base!$T190&gt;AW$905,"",AW2214+tech_proj!AW1714/(1-tech_proj!AW594))</f>
        <v>217.51356246867769</v>
      </c>
      <c r="AX1094" s="114">
        <f>IF(tech_base!$T190&gt;AX$905,"",AX2214+tech_proj!AX1714/(1-tech_proj!AX594))</f>
        <v>218.45797958121608</v>
      </c>
    </row>
    <row r="1095" spans="1:50" x14ac:dyDescent="0.25">
      <c r="A1095" s="356"/>
      <c r="B1095" s="358" t="s">
        <v>19</v>
      </c>
      <c r="C1095" s="353" t="s">
        <v>6</v>
      </c>
      <c r="D1095" s="3" t="s">
        <v>7</v>
      </c>
      <c r="E1095" s="162" t="str">
        <f>A1079&amp;"/"&amp;B1095&amp;"/"&amp;C1095&amp;"/"&amp;D1095</f>
        <v>Fuel oil fired power plants/Steam turbine/Electricity only/L</v>
      </c>
      <c r="F1095" s="77" t="str">
        <f>A1079</f>
        <v>Fuel oil fired power plants</v>
      </c>
      <c r="G1095" s="77" t="str">
        <f>B1095</f>
        <v>Steam turbine</v>
      </c>
      <c r="H1095" s="77" t="str">
        <f>C1095</f>
        <v>Electricity only</v>
      </c>
      <c r="I1095" s="163" t="str">
        <f t="shared" si="369"/>
        <v>L</v>
      </c>
      <c r="J1095" s="107">
        <f>IF(tech_base!$T191&gt;J$905,"",J2215+tech_proj!J1715/(1-tech_proj!J595))</f>
        <v>91.84855400266261</v>
      </c>
      <c r="K1095" s="107">
        <f>IF(tech_base!$T191&gt;K$905,"",K2215+tech_proj!K1715/(1-tech_proj!K595))</f>
        <v>115.08413063547506</v>
      </c>
      <c r="L1095" s="107">
        <f>IF(tech_base!$T191&gt;L$905,"",L2215+tech_proj!L1715/(1-tech_proj!L595))</f>
        <v>122.05027139079483</v>
      </c>
      <c r="M1095" s="107">
        <f>IF(tech_base!$T191&gt;M$905,"",M2215+tech_proj!M1715/(1-tech_proj!M595))</f>
        <v>115.91242856100553</v>
      </c>
      <c r="N1095" s="107">
        <f>IF(tech_base!$T191&gt;N$905,"",N2215+tech_proj!N1715/(1-tech_proj!N595))</f>
        <v>106.22479376921348</v>
      </c>
      <c r="O1095" s="107">
        <f>IF(tech_base!$T191&gt;O$905,"",O2215+tech_proj!O1715/(1-tech_proj!O595))</f>
        <v>73.788657509677947</v>
      </c>
      <c r="P1095" s="107">
        <f>IF(tech_base!$T191&gt;P$905,"",P2215+tech_proj!P1715/(1-tech_proj!P595))</f>
        <v>66.091919033385537</v>
      </c>
      <c r="Q1095" s="107">
        <f>IF(tech_base!$T191&gt;Q$905,"",Q2215+tech_proj!Q1715/(1-tech_proj!Q595))</f>
        <v>75.369030437655255</v>
      </c>
      <c r="R1095" s="107">
        <f>IF(tech_base!$T191&gt;R$905,"",R2215+tech_proj!R1715/(1-tech_proj!R595))</f>
        <v>83.650299973133599</v>
      </c>
      <c r="S1095" s="107">
        <f>IF(tech_base!$T191&gt;S$905,"",S2215+tech_proj!S1715/(1-tech_proj!S595))</f>
        <v>90.910725212573098</v>
      </c>
      <c r="T1095" s="107">
        <f>IF(tech_base!$T191&gt;T$905,"",T2215+tech_proj!T1715/(1-tech_proj!T595))</f>
        <v>97.909567742343157</v>
      </c>
      <c r="U1095" s="107">
        <f>IF(tech_base!$T191&gt;U$905,"",U2215+tech_proj!U1715/(1-tech_proj!U595))</f>
        <v>104.57245524310571</v>
      </c>
      <c r="V1095" s="107">
        <f>IF(tech_base!$T191&gt;V$905,"",V2215+tech_proj!V1715/(1-tech_proj!V595))</f>
        <v>109.03689897539547</v>
      </c>
      <c r="W1095" s="107">
        <f>IF(tech_base!$T191&gt;W$905,"",W2215+tech_proj!W1715/(1-tech_proj!W595))</f>
        <v>114.50607399129589</v>
      </c>
      <c r="X1095" s="107">
        <f>IF(tech_base!$T191&gt;X$905,"",X2215+tech_proj!X1715/(1-tech_proj!X595))</f>
        <v>119.25024242352902</v>
      </c>
      <c r="Y1095" s="107">
        <f>IF(tech_base!$T191&gt;Y$905,"",Y2215+tech_proj!Y1715/(1-tech_proj!Y595))</f>
        <v>123.27402799902509</v>
      </c>
      <c r="Z1095" s="107">
        <f>IF(tech_base!$T191&gt;Z$905,"",Z2215+tech_proj!Z1715/(1-tech_proj!Z595))</f>
        <v>125.8519585092918</v>
      </c>
      <c r="AA1095" s="107">
        <f>IF(tech_base!$T191&gt;AA$905,"",AA2215+tech_proj!AA1715/(1-tech_proj!AA595))</f>
        <v>128.18654342845667</v>
      </c>
      <c r="AB1095" s="107">
        <f>IF(tech_base!$T191&gt;AB$905,"",AB2215+tech_proj!AB1715/(1-tech_proj!AB595))</f>
        <v>129.78516738708376</v>
      </c>
      <c r="AC1095" s="107">
        <f>IF(tech_base!$T191&gt;AC$905,"",AC2215+tech_proj!AC1715/(1-tech_proj!AC595))</f>
        <v>132.27608549882541</v>
      </c>
      <c r="AD1095" s="107">
        <f>IF(tech_base!$T191&gt;AD$905,"",AD2215+tech_proj!AD1715/(1-tech_proj!AD595))</f>
        <v>133.79885181747923</v>
      </c>
      <c r="AE1095" s="107">
        <f>IF(tech_base!$T191&gt;AE$905,"",AE2215+tech_proj!AE1715/(1-tech_proj!AE595))</f>
        <v>135.25140910425296</v>
      </c>
      <c r="AF1095" s="107">
        <f>IF(tech_base!$T191&gt;AF$905,"",AF2215+tech_proj!AF1715/(1-tech_proj!AF595))</f>
        <v>135.98323758056841</v>
      </c>
      <c r="AG1095" s="107">
        <f>IF(tech_base!$T191&gt;AG$905,"",AG2215+tech_proj!AG1715/(1-tech_proj!AG595))</f>
        <v>136.82087970231063</v>
      </c>
      <c r="AH1095" s="107">
        <f>IF(tech_base!$T191&gt;AH$905,"",AH2215+tech_proj!AH1715/(1-tech_proj!AH595))</f>
        <v>137.76401566605827</v>
      </c>
      <c r="AI1095" s="107">
        <f>IF(tech_base!$T191&gt;AI$905,"",AI2215+tech_proj!AI1715/(1-tech_proj!AI595))</f>
        <v>138.82274941207322</v>
      </c>
      <c r="AJ1095" s="107">
        <f>IF(tech_base!$T191&gt;AJ$905,"",AJ2215+tech_proj!AJ1715/(1-tech_proj!AJ595))</f>
        <v>140.01548395888136</v>
      </c>
      <c r="AK1095" s="107">
        <f>IF(tech_base!$T191&gt;AK$905,"",AK2215+tech_proj!AK1715/(1-tech_proj!AK595))</f>
        <v>141.37037391448018</v>
      </c>
      <c r="AL1095" s="107">
        <f>IF(tech_base!$T191&gt;AL$905,"",AL2215+tech_proj!AL1715/(1-tech_proj!AL595))</f>
        <v>142.83807497933171</v>
      </c>
      <c r="AM1095" s="107">
        <f>IF(tech_base!$T191&gt;AM$905,"",AM2215+tech_proj!AM1715/(1-tech_proj!AM595))</f>
        <v>144.35797910899262</v>
      </c>
      <c r="AN1095" s="107">
        <f>IF(tech_base!$T191&gt;AN$905,"",AN2215+tech_proj!AN1715/(1-tech_proj!AN595))</f>
        <v>145.91007302303558</v>
      </c>
      <c r="AO1095" s="107">
        <f>IF(tech_base!$T191&gt;AO$905,"",AO2215+tech_proj!AO1715/(1-tech_proj!AO595))</f>
        <v>146.05055083570412</v>
      </c>
      <c r="AP1095" s="107">
        <f>IF(tech_base!$T191&gt;AP$905,"",AP2215+tech_proj!AP1715/(1-tech_proj!AP595))</f>
        <v>146.56957774107815</v>
      </c>
      <c r="AQ1095" s="107">
        <f>IF(tech_base!$T191&gt;AQ$905,"",AQ2215+tech_proj!AQ1715/(1-tech_proj!AQ595))</f>
        <v>147.12240967814998</v>
      </c>
      <c r="AR1095" s="107">
        <f>IF(tech_base!$T191&gt;AR$905,"",AR2215+tech_proj!AR1715/(1-tech_proj!AR595))</f>
        <v>148.32673506129814</v>
      </c>
      <c r="AS1095" s="107">
        <f>IF(tech_base!$T191&gt;AS$905,"",AS2215+tech_proj!AS1715/(1-tech_proj!AS595))</f>
        <v>148.9529185186133</v>
      </c>
      <c r="AT1095" s="107">
        <f>IF(tech_base!$T191&gt;AT$905,"",AT2215+tech_proj!AT1715/(1-tech_proj!AT595))</f>
        <v>149.57675033295507</v>
      </c>
      <c r="AU1095" s="107">
        <f>IF(tech_base!$T191&gt;AU$905,"",AU2215+tech_proj!AU1715/(1-tech_proj!AU595))</f>
        <v>150.1873762563869</v>
      </c>
      <c r="AV1095" s="107">
        <f>IF(tech_base!$T191&gt;AV$905,"",AV2215+tech_proj!AV1715/(1-tech_proj!AV595))</f>
        <v>150.77752108970952</v>
      </c>
      <c r="AW1095" s="107">
        <f>IF(tech_base!$T191&gt;AW$905,"",AW2215+tech_proj!AW1715/(1-tech_proj!AW595))</f>
        <v>151.34169558774914</v>
      </c>
      <c r="AX1095" s="108">
        <f>IF(tech_base!$T191&gt;AX$905,"",AX2215+tech_proj!AX1715/(1-tech_proj!AX595))</f>
        <v>152.09259402715301</v>
      </c>
    </row>
    <row r="1096" spans="1:50" x14ac:dyDescent="0.25">
      <c r="A1096" s="356"/>
      <c r="B1096" s="376"/>
      <c r="C1096" s="378"/>
      <c r="D1096" s="2" t="s">
        <v>8</v>
      </c>
      <c r="E1096" s="160" t="str">
        <f>A1079&amp;"/"&amp;B1095&amp;"/"&amp;C1095&amp;"/"&amp;D1096</f>
        <v>Fuel oil fired power plants/Steam turbine/Electricity only/M</v>
      </c>
      <c r="F1096" s="76" t="str">
        <f>A1079</f>
        <v>Fuel oil fired power plants</v>
      </c>
      <c r="G1096" s="76" t="str">
        <f>B1095</f>
        <v>Steam turbine</v>
      </c>
      <c r="H1096" s="76" t="str">
        <f>C1095</f>
        <v>Electricity only</v>
      </c>
      <c r="I1096" s="161" t="str">
        <f t="shared" si="369"/>
        <v>M</v>
      </c>
      <c r="J1096" s="105">
        <f>IF(tech_base!$T192&gt;J$905,"",J2216+tech_proj!J1716/(1-tech_proj!J596))</f>
        <v>96.834723076644963</v>
      </c>
      <c r="K1096" s="105">
        <f>IF(tech_base!$T192&gt;K$905,"",K2216+tech_proj!K1716/(1-tech_proj!K596))</f>
        <v>121.29391593019375</v>
      </c>
      <c r="L1096" s="105">
        <f>IF(tech_base!$T192&gt;L$905,"",L2216+tech_proj!L1716/(1-tech_proj!L596))</f>
        <v>128.62702496208698</v>
      </c>
      <c r="M1096" s="105">
        <f>IF(tech_base!$T192&gt;M$905,"",M2216+tech_proj!M1716/(1-tech_proj!M596))</f>
        <v>122.16617518175438</v>
      </c>
      <c r="N1096" s="105">
        <f>IF(tech_base!$T192&gt;N$905,"",N2216+tech_proj!N1716/(1-tech_proj!N596))</f>
        <v>111.96862201346482</v>
      </c>
      <c r="O1096" s="105">
        <f>IF(tech_base!$T192&gt;O$905,"",O2216+tech_proj!O1716/(1-tech_proj!O596))</f>
        <v>77.824771723303115</v>
      </c>
      <c r="P1096" s="105">
        <f>IF(tech_base!$T192&gt;P$905,"",P2216+tech_proj!P1716/(1-tech_proj!P596))</f>
        <v>69.722939298679776</v>
      </c>
      <c r="Q1096" s="105">
        <f>IF(tech_base!$T192&gt;Q$905,"",Q2216+tech_proj!Q1716/(1-tech_proj!Q596))</f>
        <v>79.48869144816824</v>
      </c>
      <c r="R1096" s="105">
        <f>IF(tech_base!$T192&gt;R$905,"",R2216+tech_proj!R1716/(1-tech_proj!R596))</f>
        <v>88.206164615677068</v>
      </c>
      <c r="S1096" s="105">
        <f>IF(tech_base!$T192&gt;S$905,"",S2216+tech_proj!S1716/(1-tech_proj!S596))</f>
        <v>95.849039744565573</v>
      </c>
      <c r="T1096" s="105">
        <f>IF(tech_base!$T192&gt;T$905,"",T2216+tech_proj!T1716/(1-tech_proj!T596))</f>
        <v>103.21655624355905</v>
      </c>
      <c r="U1096" s="105">
        <f>IF(tech_base!$T192&gt;U$905,"",U2216+tech_proj!U1716/(1-tech_proj!U596))</f>
        <v>110.23042567688017</v>
      </c>
      <c r="V1096" s="105">
        <f>IF(tech_base!$T192&gt;V$905,"",V2216+tech_proj!V1716/(1-tech_proj!V596))</f>
        <v>114.93009216736466</v>
      </c>
      <c r="W1096" s="105">
        <f>IF(tech_base!$T192&gt;W$905,"",W2216+tech_proj!W1716/(1-tech_proj!W596))</f>
        <v>120.68738983086962</v>
      </c>
      <c r="X1096" s="105">
        <f>IF(tech_base!$T192&gt;X$905,"",X2216+tech_proj!X1716/(1-tech_proj!X596))</f>
        <v>125.68150351743938</v>
      </c>
      <c r="Y1096" s="105">
        <f>IF(tech_base!$T192&gt;Y$905,"",Y2216+tech_proj!Y1716/(1-tech_proj!Y596))</f>
        <v>129.91730032322502</v>
      </c>
      <c r="Z1096" s="105">
        <f>IF(tech_base!$T192&gt;Z$905,"",Z2216+tech_proj!Z1716/(1-tech_proj!Z596))</f>
        <v>132.63110913267005</v>
      </c>
      <c r="AA1096" s="105">
        <f>IF(tech_base!$T192&gt;AA$905,"",AA2216+tech_proj!AA1716/(1-tech_proj!AA596))</f>
        <v>135.0887559879321</v>
      </c>
      <c r="AB1096" s="105">
        <f>IF(tech_base!$T192&gt;AB$905,"",AB2216+tech_proj!AB1716/(1-tech_proj!AB596))</f>
        <v>136.7716874209917</v>
      </c>
      <c r="AC1096" s="105">
        <f>IF(tech_base!$T192&gt;AC$905,"",AC2216+tech_proj!AC1716/(1-tech_proj!AC596))</f>
        <v>139.39389223988542</v>
      </c>
      <c r="AD1096" s="105">
        <f>IF(tech_base!$T192&gt;AD$905,"",AD2216+tech_proj!AD1716/(1-tech_proj!AD596))</f>
        <v>140.99696501365645</v>
      </c>
      <c r="AE1096" s="105">
        <f>IF(tech_base!$T192&gt;AE$905,"",AE2216+tech_proj!AE1716/(1-tech_proj!AE596))</f>
        <v>142.52612853544369</v>
      </c>
      <c r="AF1096" s="105">
        <f>IF(tech_base!$T192&gt;AF$905,"",AF2216+tech_proj!AF1716/(1-tech_proj!AF596))</f>
        <v>143.2966107104948</v>
      </c>
      <c r="AG1096" s="105">
        <f>IF(tech_base!$T192&gt;AG$905,"",AG2216+tech_proj!AG1716/(1-tech_proj!AG596))</f>
        <v>144.17847455181055</v>
      </c>
      <c r="AH1096" s="105">
        <f>IF(tech_base!$T192&gt;AH$905,"",AH2216+tech_proj!AH1716/(1-tech_proj!AH596))</f>
        <v>145.17138342396228</v>
      </c>
      <c r="AI1096" s="105">
        <f>IF(tech_base!$T192&gt;AI$905,"",AI2216+tech_proj!AI1716/(1-tech_proj!AI596))</f>
        <v>146.28597329253557</v>
      </c>
      <c r="AJ1096" s="105">
        <f>IF(tech_base!$T192&gt;AJ$905,"",AJ2216+tech_proj!AJ1716/(1-tech_proj!AJ596))</f>
        <v>147.54161618655607</v>
      </c>
      <c r="AK1096" s="105">
        <f>IF(tech_base!$T192&gt;AK$905,"",AK2216+tech_proj!AK1716/(1-tech_proj!AK596))</f>
        <v>148.96794918929533</v>
      </c>
      <c r="AL1096" s="105">
        <f>IF(tech_base!$T192&gt;AL$905,"",AL2216+tech_proj!AL1716/(1-tech_proj!AL596))</f>
        <v>150.51302987493617</v>
      </c>
      <c r="AM1096" s="105">
        <f>IF(tech_base!$T192&gt;AM$905,"",AM2216+tech_proj!AM1716/(1-tech_proj!AM596))</f>
        <v>152.11305900026795</v>
      </c>
      <c r="AN1096" s="105">
        <f>IF(tech_base!$T192&gt;AN$905,"",AN2216+tech_proj!AN1716/(1-tech_proj!AN596))</f>
        <v>153.74696955796659</v>
      </c>
      <c r="AO1096" s="105">
        <f>IF(tech_base!$T192&gt;AO$905,"",AO2216+tech_proj!AO1716/(1-tech_proj!AO596))</f>
        <v>153.89493392180347</v>
      </c>
      <c r="AP1096" s="105">
        <f>IF(tech_base!$T192&gt;AP$905,"",AP2216+tech_proj!AP1716/(1-tech_proj!AP596))</f>
        <v>154.44137625101942</v>
      </c>
      <c r="AQ1096" s="105">
        <f>IF(tech_base!$T192&gt;AQ$905,"",AQ2216+tech_proj!AQ1716/(1-tech_proj!AQ596))</f>
        <v>155.02340047761322</v>
      </c>
      <c r="AR1096" s="105">
        <f>IF(tech_base!$T192&gt;AR$905,"",AR2216+tech_proj!AR1716/(1-tech_proj!AR596))</f>
        <v>156.29121869020858</v>
      </c>
      <c r="AS1096" s="105">
        <f>IF(tech_base!$T192&gt;AS$905,"",AS2216+tech_proj!AS1716/(1-tech_proj!AS596))</f>
        <v>156.95045067111067</v>
      </c>
      <c r="AT1096" s="105">
        <f>IF(tech_base!$T192&gt;AT$905,"",AT2216+tech_proj!AT1716/(1-tech_proj!AT596))</f>
        <v>157.60720428895749</v>
      </c>
      <c r="AU1096" s="105">
        <f>IF(tech_base!$T192&gt;AU$905,"",AU2216+tech_proj!AU1716/(1-tech_proj!AU596))</f>
        <v>158.25005384972405</v>
      </c>
      <c r="AV1096" s="105">
        <f>IF(tech_base!$T192&gt;AV$905,"",AV2216+tech_proj!AV1716/(1-tech_proj!AV596))</f>
        <v>158.87134116004276</v>
      </c>
      <c r="AW1096" s="105">
        <f>IF(tech_base!$T192&gt;AW$905,"",AW2216+tech_proj!AW1716/(1-tech_proj!AW596))</f>
        <v>159.4652880189667</v>
      </c>
      <c r="AX1096" s="106">
        <f>IF(tech_base!$T192&gt;AX$905,"",AX2216+tech_proj!AX1716/(1-tech_proj!AX596))</f>
        <v>160.25578792863169</v>
      </c>
    </row>
    <row r="1097" spans="1:50" x14ac:dyDescent="0.25">
      <c r="A1097" s="356"/>
      <c r="B1097" s="376"/>
      <c r="C1097" s="378"/>
      <c r="D1097" s="2" t="s">
        <v>10</v>
      </c>
      <c r="E1097" s="160" t="str">
        <f>A1079&amp;"/"&amp;B1095&amp;"/"&amp;C1095&amp;"/"&amp;D1097</f>
        <v>Fuel oil fired power plants/Steam turbine/Electricity only/S</v>
      </c>
      <c r="F1097" s="76" t="str">
        <f>A1079</f>
        <v>Fuel oil fired power plants</v>
      </c>
      <c r="G1097" s="76" t="str">
        <f>B1095</f>
        <v>Steam turbine</v>
      </c>
      <c r="H1097" s="76" t="str">
        <f>C1095</f>
        <v>Electricity only</v>
      </c>
      <c r="I1097" s="161" t="str">
        <f t="shared" si="369"/>
        <v>S</v>
      </c>
      <c r="J1097" s="105">
        <f>IF(tech_base!$T193&gt;J$905,"",J2217+tech_proj!J1717/(1-tech_proj!J597))</f>
        <v>102.24478800233538</v>
      </c>
      <c r="K1097" s="105">
        <f>IF(tech_base!$T193&gt;K$905,"",K2217+tech_proj!K1717/(1-tech_proj!K597))</f>
        <v>127.99562523987206</v>
      </c>
      <c r="L1097" s="105">
        <f>IF(tech_base!$T193&gt;L$905,"",L2217+tech_proj!L1717/(1-tech_proj!L597))</f>
        <v>135.71622445863187</v>
      </c>
      <c r="M1097" s="105">
        <f>IF(tech_base!$T193&gt;M$905,"",M2217+tech_proj!M1717/(1-tech_proj!M597))</f>
        <v>128.91462595450133</v>
      </c>
      <c r="N1097" s="105">
        <f>IF(tech_base!$T193&gt;N$905,"",N2217+tech_proj!N1717/(1-tech_proj!N597))</f>
        <v>118.17904598291666</v>
      </c>
      <c r="O1097" s="105">
        <f>IF(tech_base!$T193&gt;O$905,"",O2217+tech_proj!O1717/(1-tech_proj!O597))</f>
        <v>82.2329481456526</v>
      </c>
      <c r="P1097" s="105">
        <f>IF(tech_base!$T193&gt;P$905,"",P2217+tech_proj!P1717/(1-tech_proj!P597))</f>
        <v>73.703722687197313</v>
      </c>
      <c r="Q1097" s="105">
        <f>IF(tech_base!$T193&gt;Q$905,"",Q2217+tech_proj!Q1717/(1-tech_proj!Q597))</f>
        <v>83.985376150975952</v>
      </c>
      <c r="R1097" s="105">
        <f>IF(tech_base!$T193&gt;R$905,"",R2217+tech_proj!R1717/(1-tech_proj!R597))</f>
        <v>93.163403371928936</v>
      </c>
      <c r="S1097" s="105">
        <f>IF(tech_base!$T193&gt;S$905,"",S2217+tech_proj!S1717/(1-tech_proj!S597))</f>
        <v>101.21009549566585</v>
      </c>
      <c r="T1097" s="105">
        <f>IF(tech_base!$T193&gt;T$905,"",T2217+tech_proj!T1717/(1-tech_proj!T597))</f>
        <v>108.96688656579177</v>
      </c>
      <c r="U1097" s="105">
        <f>IF(tech_base!$T193&gt;U$905,"",U2217+tech_proj!U1717/(1-tech_proj!U597))</f>
        <v>116.35135473052165</v>
      </c>
      <c r="V1097" s="105">
        <f>IF(tech_base!$T193&gt;V$905,"",V2217+tech_proj!V1717/(1-tech_proj!V597))</f>
        <v>121.29943857409909</v>
      </c>
      <c r="W1097" s="105">
        <f>IF(tech_base!$T193&gt;W$905,"",W2217+tech_proj!W1717/(1-tech_proj!W597))</f>
        <v>127.3609840979837</v>
      </c>
      <c r="X1097" s="105">
        <f>IF(tech_base!$T193&gt;X$905,"",X2217+tech_proj!X1717/(1-tech_proj!X597))</f>
        <v>132.61904811219546</v>
      </c>
      <c r="Y1097" s="105">
        <f>IF(tech_base!$T193&gt;Y$905,"",Y2217+tech_proj!Y1717/(1-tech_proj!Y597))</f>
        <v>137.07875449224673</v>
      </c>
      <c r="Z1097" s="105">
        <f>IF(tech_base!$T193&gt;Z$905,"",Z2217+tech_proj!Z1717/(1-tech_proj!Z597))</f>
        <v>139.93611483387204</v>
      </c>
      <c r="AA1097" s="105">
        <f>IF(tech_base!$T193&gt;AA$905,"",AA2217+tech_proj!AA1717/(1-tech_proj!AA597))</f>
        <v>142.52378288323715</v>
      </c>
      <c r="AB1097" s="105">
        <f>IF(tech_base!$T193&gt;AB$905,"",AB2217+tech_proj!AB1717/(1-tech_proj!AB597))</f>
        <v>144.29582863360545</v>
      </c>
      <c r="AC1097" s="105">
        <f>IF(tech_base!$T193&gt;AC$905,"",AC2217+tech_proj!AC1717/(1-tech_proj!AC597))</f>
        <v>147.05672887945707</v>
      </c>
      <c r="AD1097" s="105">
        <f>IF(tech_base!$T193&gt;AD$905,"",AD2217+tech_proj!AD1717/(1-tech_proj!AD597))</f>
        <v>148.74468636466207</v>
      </c>
      <c r="AE1097" s="105">
        <f>IF(tech_base!$T193&gt;AE$905,"",AE2217+tech_proj!AE1717/(1-tech_proj!AE597))</f>
        <v>150.35482579199166</v>
      </c>
      <c r="AF1097" s="105">
        <f>IF(tech_base!$T193&gt;AF$905,"",AF2217+tech_proj!AF1717/(1-tech_proj!AF597))</f>
        <v>151.16622328907434</v>
      </c>
      <c r="AG1097" s="105">
        <f>IF(tech_base!$T193&gt;AG$905,"",AG2217+tech_proj!AG1717/(1-tech_proj!AG597))</f>
        <v>152.09487584193434</v>
      </c>
      <c r="AH1097" s="105">
        <f>IF(tech_base!$T193&gt;AH$905,"",AH2217+tech_proj!AH1717/(1-tech_proj!AH597))</f>
        <v>153.14042905644482</v>
      </c>
      <c r="AI1097" s="105">
        <f>IF(tech_base!$T193&gt;AI$905,"",AI2217+tech_proj!AI1717/(1-tech_proj!AI597))</f>
        <v>154.31408044152818</v>
      </c>
      <c r="AJ1097" s="105">
        <f>IF(tech_base!$T193&gt;AJ$905,"",AJ2217+tech_proj!AJ1717/(1-tech_proj!AJ597))</f>
        <v>155.63622479504778</v>
      </c>
      <c r="AK1097" s="105">
        <f>IF(tech_base!$T193&gt;AK$905,"",AK2217+tech_proj!AK1717/(1-tech_proj!AK597))</f>
        <v>157.13806391481043</v>
      </c>
      <c r="AL1097" s="105">
        <f>IF(tech_base!$T193&gt;AL$905,"",AL2217+tech_proj!AL1717/(1-tech_proj!AL597))</f>
        <v>158.76491320596159</v>
      </c>
      <c r="AM1097" s="105">
        <f>IF(tech_base!$T193&gt;AM$905,"",AM2217+tech_proj!AM1717/(1-tech_proj!AM597))</f>
        <v>160.44960530093749</v>
      </c>
      <c r="AN1097" s="105">
        <f>IF(tech_base!$T193&gt;AN$905,"",AN2217+tech_proj!AN1717/(1-tech_proj!AN597))</f>
        <v>162.16996107797274</v>
      </c>
      <c r="AO1097" s="105">
        <f>IF(tech_base!$T193&gt;AO$905,"",AO2217+tech_proj!AO1717/(1-tech_proj!AO597))</f>
        <v>162.32591546180441</v>
      </c>
      <c r="AP1097" s="105">
        <f>IF(tech_base!$T193&gt;AP$905,"",AP2217+tech_proj!AP1717/(1-tech_proj!AP597))</f>
        <v>162.90137873123629</v>
      </c>
      <c r="AQ1097" s="105">
        <f>IF(tech_base!$T193&gt;AQ$905,"",AQ2217+tech_proj!AQ1717/(1-tech_proj!AQ597))</f>
        <v>163.51429625708391</v>
      </c>
      <c r="AR1097" s="105">
        <f>IF(tech_base!$T193&gt;AR$905,"",AR2217+tech_proj!AR1717/(1-tech_proj!AR597))</f>
        <v>164.84920745397551</v>
      </c>
      <c r="AS1097" s="105">
        <f>IF(tech_base!$T193&gt;AS$905,"",AS2217+tech_proj!AS1717/(1-tech_proj!AS597))</f>
        <v>165.54339692020849</v>
      </c>
      <c r="AT1097" s="105">
        <f>IF(tech_base!$T193&gt;AT$905,"",AT2217+tech_proj!AT1717/(1-tech_proj!AT597))</f>
        <v>166.23497142921258</v>
      </c>
      <c r="AU1097" s="105">
        <f>IF(tech_base!$T193&gt;AU$905,"",AU2217+tech_proj!AU1717/(1-tech_proj!AU597))</f>
        <v>166.91190222105186</v>
      </c>
      <c r="AV1097" s="105">
        <f>IF(tech_base!$T193&gt;AV$905,"",AV2217+tech_proj!AV1717/(1-tech_proj!AV597))</f>
        <v>167.56612694046459</v>
      </c>
      <c r="AW1097" s="105">
        <f>IF(tech_base!$T193&gt;AW$905,"",AW2217+tech_proj!AW1717/(1-tech_proj!AW597))</f>
        <v>168.19156247907125</v>
      </c>
      <c r="AX1097" s="106">
        <f>IF(tech_base!$T193&gt;AX$905,"",AX2217+tech_proj!AX1717/(1-tech_proj!AX597))</f>
        <v>169.02392268689388</v>
      </c>
    </row>
    <row r="1098" spans="1:50" x14ac:dyDescent="0.25">
      <c r="A1098" s="356"/>
      <c r="B1098" s="376"/>
      <c r="C1098" s="379"/>
      <c r="D1098" s="2" t="s">
        <v>20</v>
      </c>
      <c r="E1098" s="160" t="str">
        <f>A1079&amp;"/"&amp;B1095&amp;"/"&amp;C1095&amp;"/"&amp;D1098</f>
        <v>Fuel oil fired power plants/Steam turbine/Electricity only/XS</v>
      </c>
      <c r="F1098" s="76" t="str">
        <f>A1079</f>
        <v>Fuel oil fired power plants</v>
      </c>
      <c r="G1098" s="76" t="str">
        <f>B1095</f>
        <v>Steam turbine</v>
      </c>
      <c r="H1098" s="76" t="str">
        <f>C1095</f>
        <v>Electricity only</v>
      </c>
      <c r="I1098" s="161" t="str">
        <f t="shared" si="369"/>
        <v>XS</v>
      </c>
      <c r="J1098" s="105">
        <f>IF(tech_base!$T194&gt;J$905,"",J2218+tech_proj!J1718/(1-tech_proj!J598))</f>
        <v>108.55774332404837</v>
      </c>
      <c r="K1098" s="105">
        <f>IF(tech_base!$T194&gt;K$905,"",K2218+tech_proj!K1718/(1-tech_proj!K598))</f>
        <v>135.67293120541902</v>
      </c>
      <c r="L1098" s="105">
        <f>IF(tech_base!$T194&gt;L$905,"",L2218+tech_proj!L1718/(1-tech_proj!L598))</f>
        <v>143.80332158767345</v>
      </c>
      <c r="M1098" s="105">
        <f>IF(tech_base!$T194&gt;M$905,"",M2218+tech_proj!M1718/(1-tech_proj!M598))</f>
        <v>136.6426753214478</v>
      </c>
      <c r="N1098" s="105">
        <f>IF(tech_base!$T194&gt;N$905,"",N2218+tech_proj!N1718/(1-tech_proj!N598))</f>
        <v>125.33976625095343</v>
      </c>
      <c r="O1098" s="105">
        <f>IF(tech_base!$T194&gt;O$905,"",O2218+tech_proj!O1718/(1-tech_proj!O598))</f>
        <v>87.491639466519274</v>
      </c>
      <c r="P1098" s="105">
        <f>IF(tech_base!$T194&gt;P$905,"",P2218+tech_proj!P1718/(1-tech_proj!P598))</f>
        <v>78.511870846243141</v>
      </c>
      <c r="Q1098" s="105">
        <f>IF(tech_base!$T194&gt;Q$905,"",Q2218+tech_proj!Q1718/(1-tech_proj!Q598))</f>
        <v>89.338849402488364</v>
      </c>
      <c r="R1098" s="105">
        <f>IF(tech_base!$T194&gt;R$905,"",R2218+tech_proj!R1718/(1-tech_proj!R598))</f>
        <v>99.003759966288413</v>
      </c>
      <c r="S1098" s="105">
        <f>IF(tech_base!$T194&gt;S$905,"",S2218+tech_proj!S1718/(1-tech_proj!S598))</f>
        <v>107.47742578054149</v>
      </c>
      <c r="T1098" s="105">
        <f>IF(tech_base!$T194&gt;T$905,"",T2218+tech_proj!T1718/(1-tech_proj!T598))</f>
        <v>115.64582701014716</v>
      </c>
      <c r="U1098" s="105">
        <f>IF(tech_base!$T194&gt;U$905,"",U2218+tech_proj!U1718/(1-tech_proj!U598))</f>
        <v>123.42217743526314</v>
      </c>
      <c r="V1098" s="105">
        <f>IF(tech_base!$T194&gt;V$905,"",V2218+tech_proj!V1718/(1-tech_proj!V598))</f>
        <v>128.63313985289793</v>
      </c>
      <c r="W1098" s="105">
        <f>IF(tech_base!$T194&gt;W$905,"",W2218+tech_proj!W1718/(1-tech_proj!W598))</f>
        <v>135.01649469898891</v>
      </c>
      <c r="X1098" s="105">
        <f>IF(tech_base!$T194&gt;X$905,"",X2218+tech_proj!X1718/(1-tech_proj!X598))</f>
        <v>140.55381183794648</v>
      </c>
      <c r="Y1098" s="105">
        <f>IF(tech_base!$T194&gt;Y$905,"",Y2218+tech_proj!Y1718/(1-tech_proj!Y598))</f>
        <v>145.25048588829526</v>
      </c>
      <c r="Z1098" s="105">
        <f>IF(tech_base!$T194&gt;Z$905,"",Z2218+tech_proj!Z1718/(1-tech_proj!Z598))</f>
        <v>148.25996342991112</v>
      </c>
      <c r="AA1098" s="105">
        <f>IF(tech_base!$T194&gt;AA$905,"",AA2218+tech_proj!AA1718/(1-tech_proj!AA598))</f>
        <v>150.98545086280492</v>
      </c>
      <c r="AB1098" s="105">
        <f>IF(tech_base!$T194&gt;AB$905,"",AB2218+tech_proj!AB1718/(1-tech_proj!AB598))</f>
        <v>152.85211536824136</v>
      </c>
      <c r="AC1098" s="105">
        <f>IF(tech_base!$T194&gt;AC$905,"",AC2218+tech_proj!AC1718/(1-tech_proj!AC598))</f>
        <v>155.759965672053</v>
      </c>
      <c r="AD1098" s="105">
        <f>IF(tech_base!$T194&gt;AD$905,"",AD2218+tech_proj!AD1718/(1-tech_proj!AD598))</f>
        <v>157.5380491527676</v>
      </c>
      <c r="AE1098" s="105">
        <f>IF(tech_base!$T194&gt;AE$905,"",AE2218+tech_proj!AE1718/(1-tech_proj!AE598))</f>
        <v>159.23417404356539</v>
      </c>
      <c r="AF1098" s="105">
        <f>IF(tech_base!$T194&gt;AF$905,"",AF2218+tech_proj!AF1718/(1-tech_proj!AF598))</f>
        <v>160.0892494256407</v>
      </c>
      <c r="AG1098" s="105">
        <f>IF(tech_base!$T194&gt;AG$905,"",AG2218+tech_proj!AG1718/(1-tech_proj!AG598))</f>
        <v>161.06776676829185</v>
      </c>
      <c r="AH1098" s="105">
        <f>IF(tech_base!$T194&gt;AH$905,"",AH2218+tech_proj!AH1718/(1-tech_proj!AH598))</f>
        <v>162.16935295618993</v>
      </c>
      <c r="AI1098" s="105">
        <f>IF(tech_base!$T194&gt;AI$905,"",AI2218+tech_proj!AI1718/(1-tech_proj!AI598))</f>
        <v>163.40579840404268</v>
      </c>
      <c r="AJ1098" s="105">
        <f>IF(tech_base!$T194&gt;AJ$905,"",AJ2218+tech_proj!AJ1718/(1-tech_proj!AJ598))</f>
        <v>164.79857778173312</v>
      </c>
      <c r="AK1098" s="105">
        <f>IF(tech_base!$T194&gt;AK$905,"",AK2218+tech_proj!AK1718/(1-tech_proj!AK598))</f>
        <v>166.38054494288676</v>
      </c>
      <c r="AL1098" s="105">
        <f>IF(tech_base!$T194&gt;AL$905,"",AL2218+tech_proj!AL1718/(1-tech_proj!AL598))</f>
        <v>168.09412041031652</v>
      </c>
      <c r="AM1098" s="105">
        <f>IF(tech_base!$T194&gt;AM$905,"",AM2218+tech_proj!AM1718/(1-tech_proj!AM598))</f>
        <v>169.86858110959361</v>
      </c>
      <c r="AN1098" s="105">
        <f>IF(tech_base!$T194&gt;AN$905,"",AN2218+tech_proj!AN1718/(1-tech_proj!AN598))</f>
        <v>171.6805740012295</v>
      </c>
      <c r="AO1098" s="105">
        <f>IF(tech_base!$T194&gt;AO$905,"",AO2218+tech_proj!AO1718/(1-tech_proj!AO598))</f>
        <v>171.84532405861989</v>
      </c>
      <c r="AP1098" s="105">
        <f>IF(tech_base!$T194&gt;AP$905,"",AP2218+tech_proj!AP1718/(1-tech_proj!AP598))</f>
        <v>172.45177360499758</v>
      </c>
      <c r="AQ1098" s="105">
        <f>IF(tech_base!$T194&gt;AQ$905,"",AQ2218+tech_proj!AQ1718/(1-tech_proj!AQ598))</f>
        <v>173.09764172740321</v>
      </c>
      <c r="AR1098" s="105">
        <f>IF(tech_base!$T194&gt;AR$905,"",AR2218+tech_proj!AR1718/(1-tech_proj!AR598))</f>
        <v>174.50370894445371</v>
      </c>
      <c r="AS1098" s="105">
        <f>IF(tech_base!$T194&gt;AS$905,"",AS2218+tech_proj!AS1718/(1-tech_proj!AS598))</f>
        <v>175.23511569832814</v>
      </c>
      <c r="AT1098" s="105">
        <f>IF(tech_base!$T194&gt;AT$905,"",AT2218+tech_proj!AT1718/(1-tech_proj!AT598))</f>
        <v>175.96375167199773</v>
      </c>
      <c r="AU1098" s="105">
        <f>IF(tech_base!$T194&gt;AU$905,"",AU2218+tech_proj!AU1718/(1-tech_proj!AU598))</f>
        <v>176.67695170629949</v>
      </c>
      <c r="AV1098" s="105">
        <f>IF(tech_base!$T194&gt;AV$905,"",AV2218+tech_proj!AV1718/(1-tech_proj!AV598))</f>
        <v>177.36622704471617</v>
      </c>
      <c r="AW1098" s="105">
        <f>IF(tech_base!$T194&gt;AW$905,"",AW2218+tech_proj!AW1718/(1-tech_proj!AW598))</f>
        <v>178.02517296975145</v>
      </c>
      <c r="AX1098" s="106">
        <f>IF(tech_base!$T194&gt;AX$905,"",AX2218+tech_proj!AX1718/(1-tech_proj!AX598))</f>
        <v>178.90198288459629</v>
      </c>
    </row>
    <row r="1099" spans="1:50" x14ac:dyDescent="0.25">
      <c r="A1099" s="356"/>
      <c r="B1099" s="376"/>
      <c r="C1099" s="361" t="s">
        <v>14</v>
      </c>
      <c r="D1099" s="58" t="s">
        <v>7</v>
      </c>
      <c r="E1099" s="164" t="str">
        <f>A1079&amp;"/"&amp;B1095&amp;"/"&amp;C1099&amp;"/"&amp;D1099</f>
        <v>Fuel oil fired power plants/Steam turbine/CHP/L</v>
      </c>
      <c r="F1099" s="78" t="str">
        <f>A1079</f>
        <v>Fuel oil fired power plants</v>
      </c>
      <c r="G1099" s="78" t="str">
        <f>B1095</f>
        <v>Steam turbine</v>
      </c>
      <c r="H1099" s="78" t="str">
        <f>C1099</f>
        <v>CHP</v>
      </c>
      <c r="I1099" s="165" t="str">
        <f t="shared" ref="I1099:I1162" si="370">D1099</f>
        <v>L</v>
      </c>
      <c r="J1099" s="109">
        <f>IF(tech_base!$T195&gt;J$905,"",J2219+tech_proj!J1719/(1-tech_proj!J599))</f>
        <v>103.16181760667418</v>
      </c>
      <c r="K1099" s="109">
        <f>IF(tech_base!$T195&gt;K$905,"",K2219+tech_proj!K1719/(1-tech_proj!K599))</f>
        <v>128.85051927859098</v>
      </c>
      <c r="L1099" s="109">
        <f>IF(tech_base!$T195&gt;L$905,"",L2219+tech_proj!L1719/(1-tech_proj!L599))</f>
        <v>136.55149101095461</v>
      </c>
      <c r="M1099" s="109">
        <f>IF(tech_base!$T195&gt;M$905,"",M2219+tech_proj!M1719/(1-tech_proj!M599))</f>
        <v>129.7660079453492</v>
      </c>
      <c r="N1099" s="109">
        <f>IF(tech_base!$T195&gt;N$905,"",N2219+tech_proj!N1719/(1-tech_proj!N599))</f>
        <v>119.05704912743987</v>
      </c>
      <c r="O1099" s="109">
        <f>IF(tech_base!$T195&gt;O$905,"",O2219+tech_proj!O1719/(1-tech_proj!O599))</f>
        <v>83.20375481417247</v>
      </c>
      <c r="P1099" s="109">
        <f>IF(tech_base!$T195&gt;P$905,"",P2219+tech_proj!P1719/(1-tech_proj!P599))</f>
        <v>74.698150598441444</v>
      </c>
      <c r="Q1099" s="109">
        <f>IF(tech_base!$T195&gt;Q$905,"",Q2219+tech_proj!Q1719/(1-tech_proj!Q599))</f>
        <v>84.953760061841962</v>
      </c>
      <c r="R1099" s="109">
        <f>IF(tech_base!$T195&gt;R$905,"",R2219+tech_proj!R1719/(1-tech_proj!R599))</f>
        <v>94.107809476042391</v>
      </c>
      <c r="S1099" s="109">
        <f>IF(tech_base!$T195&gt;S$905,"",S2219+tech_proj!S1719/(1-tech_proj!S599))</f>
        <v>102.13279152961229</v>
      </c>
      <c r="T1099" s="109">
        <f>IF(tech_base!$T195&gt;T$905,"",T2219+tech_proj!T1719/(1-tech_proj!T599))</f>
        <v>109.86790610562161</v>
      </c>
      <c r="U1099" s="109">
        <f>IF(tech_base!$T195&gt;U$905,"",U2219+tech_proj!U1719/(1-tech_proj!U599))</f>
        <v>117.23099335957754</v>
      </c>
      <c r="V1099" s="109">
        <f>IF(tech_base!$T195&gt;V$905,"",V2219+tech_proj!V1719/(1-tech_proj!V599))</f>
        <v>122.16405272746</v>
      </c>
      <c r="W1099" s="109">
        <f>IF(tech_base!$T195&gt;W$905,"",W2219+tech_proj!W1719/(1-tech_proj!W599))</f>
        <v>128.20675518594129</v>
      </c>
      <c r="X1099" s="109">
        <f>IF(tech_base!$T195&gt;X$905,"",X2219+tech_proj!X1719/(1-tech_proj!X599))</f>
        <v>133.44776858497679</v>
      </c>
      <c r="Y1099" s="109">
        <f>IF(tech_base!$T195&gt;Y$905,"",Y2219+tech_proj!Y1719/(1-tech_proj!Y599))</f>
        <v>137.89231967012074</v>
      </c>
      <c r="Z1099" s="109">
        <f>IF(tech_base!$T195&gt;Z$905,"",Z2219+tech_proj!Z1719/(1-tech_proj!Z599))</f>
        <v>140.7390445670747</v>
      </c>
      <c r="AA1099" s="109">
        <f>IF(tech_base!$T195&gt;AA$905,"",AA2219+tech_proj!AA1719/(1-tech_proj!AA599))</f>
        <v>143.31662455335052</v>
      </c>
      <c r="AB1099" s="109">
        <f>IF(tech_base!$T195&gt;AB$905,"",AB2219+tech_proj!AB1719/(1-tech_proj!AB599))</f>
        <v>145.0809296683596</v>
      </c>
      <c r="AC1099" s="109">
        <f>IF(tech_base!$T195&gt;AC$905,"",AC2219+tech_proj!AC1719/(1-tech_proj!AC599))</f>
        <v>147.83067607631651</v>
      </c>
      <c r="AD1099" s="109">
        <f>IF(tech_base!$T195&gt;AD$905,"",AD2219+tech_proj!AD1719/(1-tech_proj!AD599))</f>
        <v>149.51075625765523</v>
      </c>
      <c r="AE1099" s="109">
        <f>IF(tech_base!$T195&gt;AE$905,"",AE2219+tech_proj!AE1719/(1-tech_proj!AE599))</f>
        <v>151.11311538976267</v>
      </c>
      <c r="AF1099" s="109">
        <f>IF(tech_base!$T195&gt;AF$905,"",AF2219+tech_proj!AF1719/(1-tech_proj!AF599))</f>
        <v>151.91930684429033</v>
      </c>
      <c r="AG1099" s="109">
        <f>IF(tech_base!$T195&gt;AG$905,"",AG2219+tech_proj!AG1719/(1-tech_proj!AG599))</f>
        <v>152.84228222536649</v>
      </c>
      <c r="AH1099" s="109">
        <f>IF(tech_base!$T195&gt;AH$905,"",AH2219+tech_proj!AH1719/(1-tech_proj!AH599))</f>
        <v>153.88167768981543</v>
      </c>
      <c r="AI1099" s="109">
        <f>IF(tech_base!$T195&gt;AI$905,"",AI2219+tech_proj!AI1719/(1-tech_proj!AI599))</f>
        <v>155.04864064931303</v>
      </c>
      <c r="AJ1099" s="109">
        <f>IF(tech_base!$T195&gt;AJ$905,"",AJ2219+tech_proj!AJ1719/(1-tech_proj!AJ599))</f>
        <v>156.36348099431959</v>
      </c>
      <c r="AK1099" s="109">
        <f>IF(tech_base!$T195&gt;AK$905,"",AK2219+tech_proj!AK1719/(1-tech_proj!AK599))</f>
        <v>157.85727295631429</v>
      </c>
      <c r="AL1099" s="109">
        <f>IF(tech_base!$T195&gt;AL$905,"",AL2219+tech_proj!AL1719/(1-tech_proj!AL599))</f>
        <v>159.47551635137501</v>
      </c>
      <c r="AM1099" s="109">
        <f>IF(tech_base!$T195&gt;AM$905,"",AM2219+tech_proj!AM1719/(1-tech_proj!AM599))</f>
        <v>161.15128528089281</v>
      </c>
      <c r="AN1099" s="109">
        <f>IF(tech_base!$T195&gt;AN$905,"",AN2219+tech_proj!AN1719/(1-tech_proj!AN599))</f>
        <v>162.86248429040992</v>
      </c>
      <c r="AO1099" s="109">
        <f>IF(tech_base!$T195&gt;AO$905,"",AO2219+tech_proj!AO1719/(1-tech_proj!AO599))</f>
        <v>163.01516378967798</v>
      </c>
      <c r="AP1099" s="109">
        <f>IF(tech_base!$T195&gt;AP$905,"",AP2219+tech_proj!AP1719/(1-tech_proj!AP599))</f>
        <v>163.58577447645109</v>
      </c>
      <c r="AQ1099" s="109">
        <f>IF(tech_base!$T195&gt;AQ$905,"",AQ2219+tech_proj!AQ1719/(1-tech_proj!AQ599))</f>
        <v>164.19370433950644</v>
      </c>
      <c r="AR1099" s="109">
        <f>IF(tech_base!$T195&gt;AR$905,"",AR2219+tech_proj!AR1719/(1-tech_proj!AR599))</f>
        <v>165.52079399195713</v>
      </c>
      <c r="AS1099" s="109">
        <f>IF(tech_base!$T195&gt;AS$905,"",AS2219+tech_proj!AS1719/(1-tech_proj!AS599))</f>
        <v>166.20967151908368</v>
      </c>
      <c r="AT1099" s="109">
        <f>IF(tech_base!$T195&gt;AT$905,"",AT2219+tech_proj!AT1719/(1-tech_proj!AT599))</f>
        <v>166.89595756851352</v>
      </c>
      <c r="AU1099" s="109">
        <f>IF(tech_base!$T195&gt;AU$905,"",AU2219+tech_proj!AU1719/(1-tech_proj!AU599))</f>
        <v>167.56767557104359</v>
      </c>
      <c r="AV1099" s="109">
        <f>IF(tech_base!$T195&gt;AV$905,"",AV2219+tech_proj!AV1719/(1-tech_proj!AV599))</f>
        <v>168.21680056344113</v>
      </c>
      <c r="AW1099" s="109">
        <f>IF(tech_base!$T195&gt;AW$905,"",AW2219+tech_proj!AW1719/(1-tech_proj!AW599))</f>
        <v>168.83727942599444</v>
      </c>
      <c r="AX1099" s="110">
        <f>IF(tech_base!$T195&gt;AX$905,"",AX2219+tech_proj!AX1719/(1-tech_proj!AX599))</f>
        <v>169.66385148374547</v>
      </c>
    </row>
    <row r="1100" spans="1:50" x14ac:dyDescent="0.25">
      <c r="A1100" s="356"/>
      <c r="B1100" s="376"/>
      <c r="C1100" s="378"/>
      <c r="D1100" s="2" t="s">
        <v>8</v>
      </c>
      <c r="E1100" s="160" t="str">
        <f>A1079&amp;"/"&amp;B1095&amp;"/"&amp;C1099&amp;"/"&amp;D1100</f>
        <v>Fuel oil fired power plants/Steam turbine/CHP/M</v>
      </c>
      <c r="F1100" s="76" t="str">
        <f>A1079</f>
        <v>Fuel oil fired power plants</v>
      </c>
      <c r="G1100" s="76" t="str">
        <f>B1095</f>
        <v>Steam turbine</v>
      </c>
      <c r="H1100" s="76" t="str">
        <f>C1099</f>
        <v>CHP</v>
      </c>
      <c r="I1100" s="161" t="str">
        <f t="shared" si="370"/>
        <v>M</v>
      </c>
      <c r="J1100" s="105">
        <f>IF(tech_base!$T196&gt;J$905,"",J2220+tech_proj!J1720/(1-tech_proj!J600))</f>
        <v>108.64580781863623</v>
      </c>
      <c r="K1100" s="105">
        <f>IF(tech_base!$T196&gt;K$905,"",K2220+tech_proj!K1720/(1-tech_proj!K600))</f>
        <v>135.69436889722445</v>
      </c>
      <c r="L1100" s="105">
        <f>IF(tech_base!$T196&gt;L$905,"",L2220+tech_proj!L1720/(1-tech_proj!L600))</f>
        <v>143.80302514986337</v>
      </c>
      <c r="M1100" s="105">
        <f>IF(tech_base!$T196&gt;M$905,"",M2220+tech_proj!M1720/(1-tech_proj!M600))</f>
        <v>136.65839061855752</v>
      </c>
      <c r="N1100" s="105">
        <f>IF(tech_base!$T196&gt;N$905,"",N2220+tech_proj!N1720/(1-tech_proj!N600))</f>
        <v>125.38259242471518</v>
      </c>
      <c r="O1100" s="105">
        <f>IF(tech_base!$T196&gt;O$905,"",O2220+tech_proj!O1720/(1-tech_proj!O600))</f>
        <v>87.631450937366438</v>
      </c>
      <c r="P1100" s="105">
        <f>IF(tech_base!$T196&gt;P$905,"",P2220+tech_proj!P1720/(1-tech_proj!P600))</f>
        <v>78.675641314701025</v>
      </c>
      <c r="Q1100" s="105">
        <f>IF(tech_base!$T196&gt;Q$905,"",Q2220+tech_proj!Q1720/(1-tech_proj!Q600))</f>
        <v>89.474164538376598</v>
      </c>
      <c r="R1100" s="105">
        <f>IF(tech_base!$T196&gt;R$905,"",R2220+tech_proj!R1720/(1-tech_proj!R600))</f>
        <v>99.112816868120362</v>
      </c>
      <c r="S1100" s="105">
        <f>IF(tech_base!$T196&gt;S$905,"",S2220+tech_proj!S1720/(1-tech_proj!S600))</f>
        <v>107.56263485357587</v>
      </c>
      <c r="T1100" s="105">
        <f>IF(tech_base!$T196&gt;T$905,"",T2220+tech_proj!T1720/(1-tech_proj!T600))</f>
        <v>115.70724112493168</v>
      </c>
      <c r="U1100" s="105">
        <f>IF(tech_base!$T196&gt;U$905,"",U2220+tech_proj!U1720/(1-tech_proj!U600))</f>
        <v>123.46012668542735</v>
      </c>
      <c r="V1100" s="105">
        <f>IF(tech_base!$T196&gt;V$905,"",V2220+tech_proj!V1720/(1-tech_proj!V600))</f>
        <v>128.65435128489855</v>
      </c>
      <c r="W1100" s="105">
        <f>IF(tech_base!$T196&gt;W$905,"",W2220+tech_proj!W1720/(1-tech_proj!W600))</f>
        <v>135.01695727777735</v>
      </c>
      <c r="X1100" s="105">
        <f>IF(tech_base!$T196&gt;X$905,"",X2220+tech_proj!X1720/(1-tech_proj!X600))</f>
        <v>140.53543667966289</v>
      </c>
      <c r="Y1100" s="105">
        <f>IF(tech_base!$T196&gt;Y$905,"",Y2220+tech_proj!Y1720/(1-tech_proj!Y600))</f>
        <v>145.21529287337449</v>
      </c>
      <c r="Z1100" s="105">
        <f>IF(tech_base!$T196&gt;Z$905,"",Z2220+tech_proj!Z1720/(1-tech_proj!Z600))</f>
        <v>148.21274199165725</v>
      </c>
      <c r="AA1100" s="105">
        <f>IF(tech_base!$T196&gt;AA$905,"",AA2220+tech_proj!AA1720/(1-tech_proj!AA600))</f>
        <v>150.92679862183076</v>
      </c>
      <c r="AB1100" s="105">
        <f>IF(tech_base!$T196&gt;AB$905,"",AB2220+tech_proj!AB1720/(1-tech_proj!AB600))</f>
        <v>152.78452941482061</v>
      </c>
      <c r="AC1100" s="105">
        <f>IF(tech_base!$T196&gt;AC$905,"",AC2220+tech_proj!AC1720/(1-tech_proj!AC600))</f>
        <v>155.67986500491722</v>
      </c>
      <c r="AD1100" s="105">
        <f>IF(tech_base!$T196&gt;AD$905,"",AD2220+tech_proj!AD1720/(1-tech_proj!AD600))</f>
        <v>157.44891134545833</v>
      </c>
      <c r="AE1100" s="105">
        <f>IF(tech_base!$T196&gt;AE$905,"",AE2220+tech_proj!AE1720/(1-tech_proj!AE600))</f>
        <v>159.13612190885885</v>
      </c>
      <c r="AF1100" s="105">
        <f>IF(tech_base!$T196&gt;AF$905,"",AF2220+tech_proj!AF1720/(1-tech_proj!AF600))</f>
        <v>159.98501928759623</v>
      </c>
      <c r="AG1100" s="105">
        <f>IF(tech_base!$T196&gt;AG$905,"",AG2220+tech_proj!AG1720/(1-tech_proj!AG600))</f>
        <v>160.95688188473852</v>
      </c>
      <c r="AH1100" s="105">
        <f>IF(tech_base!$T196&gt;AH$905,"",AH2220+tech_proj!AH1720/(1-tech_proj!AH600))</f>
        <v>162.05132657954798</v>
      </c>
      <c r="AI1100" s="105">
        <f>IF(tech_base!$T196&gt;AI$905,"",AI2220+tech_proj!AI1720/(1-tech_proj!AI600))</f>
        <v>163.2800908534073</v>
      </c>
      <c r="AJ1100" s="105">
        <f>IF(tech_base!$T196&gt;AJ$905,"",AJ2220+tech_proj!AJ1720/(1-tech_proj!AJ600))</f>
        <v>164.66455968194941</v>
      </c>
      <c r="AK1100" s="105">
        <f>IF(tech_base!$T196&gt;AK$905,"",AK2220+tech_proj!AK1720/(1-tech_proj!AK600))</f>
        <v>166.23745219132621</v>
      </c>
      <c r="AL1100" s="105">
        <f>IF(tech_base!$T196&gt;AL$905,"",AL2220+tech_proj!AL1720/(1-tech_proj!AL600))</f>
        <v>167.94138323856978</v>
      </c>
      <c r="AM1100" s="105">
        <f>IF(tech_base!$T196&gt;AM$905,"",AM2220+tech_proj!AM1720/(1-tech_proj!AM600))</f>
        <v>169.70588421673204</v>
      </c>
      <c r="AN1100" s="105">
        <f>IF(tech_base!$T196&gt;AN$905,"",AN2220+tech_proj!AN1720/(1-tech_proj!AN600))</f>
        <v>171.50769005120657</v>
      </c>
      <c r="AO1100" s="105">
        <f>IF(tech_base!$T196&gt;AO$905,"",AO2220+tech_proj!AO1720/(1-tech_proj!AO600))</f>
        <v>171.66847590684958</v>
      </c>
      <c r="AP1100" s="105">
        <f>IF(tech_base!$T196&gt;AP$905,"",AP2220+tech_proj!AP1720/(1-tech_proj!AP600))</f>
        <v>172.26931530565034</v>
      </c>
      <c r="AQ1100" s="105">
        <f>IF(tech_base!$T196&gt;AQ$905,"",AQ2220+tech_proj!AQ1720/(1-tech_proj!AQ600))</f>
        <v>172.90944865558973</v>
      </c>
      <c r="AR1100" s="105">
        <f>IF(tech_base!$T196&gt;AR$905,"",AR2220+tech_proj!AR1720/(1-tech_proj!AR600))</f>
        <v>174.30680960131318</v>
      </c>
      <c r="AS1100" s="105">
        <f>IF(tech_base!$T196&gt;AS$905,"",AS2220+tech_proj!AS1720/(1-tech_proj!AS600))</f>
        <v>175.03217415827683</v>
      </c>
      <c r="AT1100" s="105">
        <f>IF(tech_base!$T196&gt;AT$905,"",AT2220+tech_proj!AT1720/(1-tech_proj!AT600))</f>
        <v>175.75480936860595</v>
      </c>
      <c r="AU1100" s="105">
        <f>IF(tech_base!$T196&gt;AU$905,"",AU2220+tech_proj!AU1720/(1-tech_proj!AU600))</f>
        <v>176.46210469466553</v>
      </c>
      <c r="AV1100" s="105">
        <f>IF(tech_base!$T196&gt;AV$905,"",AV2220+tech_proj!AV1720/(1-tech_proj!AV600))</f>
        <v>177.14561038305499</v>
      </c>
      <c r="AW1100" s="105">
        <f>IF(tech_base!$T196&gt;AW$905,"",AW2220+tech_proj!AW1720/(1-tech_proj!AW600))</f>
        <v>177.7989529039144</v>
      </c>
      <c r="AX1100" s="106">
        <f>IF(tech_base!$T196&gt;AX$905,"",AX2220+tech_proj!AX1720/(1-tech_proj!AX600))</f>
        <v>178.66929744886693</v>
      </c>
    </row>
    <row r="1101" spans="1:50" x14ac:dyDescent="0.25">
      <c r="A1101" s="356"/>
      <c r="B1101" s="376"/>
      <c r="C1101" s="378"/>
      <c r="D1101" s="2" t="s">
        <v>10</v>
      </c>
      <c r="E1101" s="160" t="str">
        <f>A1079&amp;"/"&amp;B1095&amp;"/"&amp;C1099&amp;"/"&amp;D1101</f>
        <v>Fuel oil fired power plants/Steam turbine/CHP/S</v>
      </c>
      <c r="F1101" s="76" t="str">
        <f>A1079</f>
        <v>Fuel oil fired power plants</v>
      </c>
      <c r="G1101" s="76" t="str">
        <f>B1095</f>
        <v>Steam turbine</v>
      </c>
      <c r="H1101" s="76" t="str">
        <f>C1099</f>
        <v>CHP</v>
      </c>
      <c r="I1101" s="161" t="str">
        <f t="shared" si="370"/>
        <v>S</v>
      </c>
      <c r="J1101" s="105">
        <f>IF(tech_base!$T197&gt;J$905,"",J2221+tech_proj!J1721/(1-tech_proj!J601))</f>
        <v>116.33012992648048</v>
      </c>
      <c r="K1101" s="105">
        <f>IF(tech_base!$T197&gt;K$905,"",K2221+tech_proj!K1721/(1-tech_proj!K601))</f>
        <v>144.81766752604051</v>
      </c>
      <c r="L1101" s="105">
        <f>IF(tech_base!$T197&gt;L$905,"",L2221+tech_proj!L1721/(1-tech_proj!L601))</f>
        <v>153.35978752285541</v>
      </c>
      <c r="M1101" s="105">
        <f>IF(tech_base!$T197&gt;M$905,"",M2221+tech_proj!M1721/(1-tech_proj!M601))</f>
        <v>145.83882418850908</v>
      </c>
      <c r="N1101" s="105">
        <f>IF(tech_base!$T197&gt;N$905,"",N2221+tech_proj!N1721/(1-tech_proj!N601))</f>
        <v>133.96737996500303</v>
      </c>
      <c r="O1101" s="105">
        <f>IF(tech_base!$T197&gt;O$905,"",O2221+tech_proj!O1721/(1-tech_proj!O601))</f>
        <v>94.215007406723885</v>
      </c>
      <c r="P1101" s="105">
        <f>IF(tech_base!$T197&gt;P$905,"",P2221+tech_proj!P1721/(1-tech_proj!P601))</f>
        <v>84.786725644043187</v>
      </c>
      <c r="Q1101" s="105">
        <f>IF(tech_base!$T197&gt;Q$905,"",Q2221+tech_proj!Q1721/(1-tech_proj!Q601))</f>
        <v>96.161540422210209</v>
      </c>
      <c r="R1101" s="105">
        <f>IF(tech_base!$T197&gt;R$905,"",R2221+tech_proj!R1721/(1-tech_proj!R601))</f>
        <v>106.31489837278423</v>
      </c>
      <c r="S1101" s="105">
        <f>IF(tech_base!$T197&gt;S$905,"",S2221+tech_proj!S1721/(1-tech_proj!S601))</f>
        <v>115.21629441664346</v>
      </c>
      <c r="T1101" s="105">
        <f>IF(tech_base!$T197&gt;T$905,"",T2221+tech_proj!T1721/(1-tech_proj!T601))</f>
        <v>123.79625928746016</v>
      </c>
      <c r="U1101" s="105">
        <f>IF(tech_base!$T197&gt;U$905,"",U2221+tech_proj!U1721/(1-tech_proj!U601))</f>
        <v>131.96368741037023</v>
      </c>
      <c r="V1101" s="105">
        <f>IF(tech_base!$T197&gt;V$905,"",V2221+tech_proj!V1721/(1-tech_proj!V601))</f>
        <v>137.43659092612131</v>
      </c>
      <c r="W1101" s="105">
        <f>IF(tech_base!$T197&gt;W$905,"",W2221+tech_proj!W1721/(1-tech_proj!W601))</f>
        <v>144.13987922001201</v>
      </c>
      <c r="X1101" s="105">
        <f>IF(tech_base!$T197&gt;X$905,"",X2221+tech_proj!X1721/(1-tech_proj!X601))</f>
        <v>149.95419586115705</v>
      </c>
      <c r="Y1101" s="105">
        <f>IF(tech_base!$T197&gt;Y$905,"",Y2221+tech_proj!Y1721/(1-tech_proj!Y601))</f>
        <v>154.88533318636567</v>
      </c>
      <c r="Z1101" s="105">
        <f>IF(tech_base!$T197&gt;Z$905,"",Z2221+tech_proj!Z1721/(1-tech_proj!Z601))</f>
        <v>158.04470736481659</v>
      </c>
      <c r="AA1101" s="105">
        <f>IF(tech_base!$T197&gt;AA$905,"",AA2221+tech_proj!AA1721/(1-tech_proj!AA601))</f>
        <v>160.90560450280805</v>
      </c>
      <c r="AB1101" s="105">
        <f>IF(tech_base!$T197&gt;AB$905,"",AB2221+tech_proj!AB1721/(1-tech_proj!AB601))</f>
        <v>162.86467124930959</v>
      </c>
      <c r="AC1101" s="105">
        <f>IF(tech_base!$T197&gt;AC$905,"",AC2221+tech_proj!AC1721/(1-tech_proj!AC601))</f>
        <v>165.91638548645253</v>
      </c>
      <c r="AD1101" s="105">
        <f>IF(tech_base!$T197&gt;AD$905,"",AD2221+tech_proj!AD1721/(1-tech_proj!AD601))</f>
        <v>167.78196865772523</v>
      </c>
      <c r="AE1101" s="105">
        <f>IF(tech_base!$T197&gt;AE$905,"",AE2221+tech_proj!AE1721/(1-tech_proj!AE601))</f>
        <v>169.56132271883624</v>
      </c>
      <c r="AF1101" s="105">
        <f>IF(tech_base!$T197&gt;AF$905,"",AF2221+tech_proj!AF1721/(1-tech_proj!AF601))</f>
        <v>170.45780662330398</v>
      </c>
      <c r="AG1101" s="105">
        <f>IF(tech_base!$T197&gt;AG$905,"",AG2221+tech_proj!AG1721/(1-tech_proj!AG601))</f>
        <v>171.48373186451917</v>
      </c>
      <c r="AH1101" s="105">
        <f>IF(tech_base!$T197&gt;AH$905,"",AH2221+tech_proj!AH1721/(1-tech_proj!AH601))</f>
        <v>172.63869352212379</v>
      </c>
      <c r="AI1101" s="105">
        <f>IF(tech_base!$T197&gt;AI$905,"",AI2221+tech_proj!AI1721/(1-tech_proj!AI601))</f>
        <v>173.93505096953186</v>
      </c>
      <c r="AJ1101" s="105">
        <f>IF(tech_base!$T197&gt;AJ$905,"",AJ2221+tech_proj!AJ1721/(1-tech_proj!AJ601))</f>
        <v>175.39532346356742</v>
      </c>
      <c r="AK1101" s="105">
        <f>IF(tech_base!$T197&gt;AK$905,"",AK2221+tech_proj!AK1721/(1-tech_proj!AK601))</f>
        <v>177.05396634108612</v>
      </c>
      <c r="AL1101" s="105">
        <f>IF(tech_base!$T197&gt;AL$905,"",AL2221+tech_proj!AL1721/(1-tech_proj!AL601))</f>
        <v>178.85054717637863</v>
      </c>
      <c r="AM1101" s="105">
        <f>IF(tech_base!$T197&gt;AM$905,"",AM2221+tech_proj!AM1721/(1-tech_proj!AM601))</f>
        <v>180.71085565274143</v>
      </c>
      <c r="AN1101" s="105">
        <f>IF(tech_base!$T197&gt;AN$905,"",AN2221+tech_proj!AN1721/(1-tech_proj!AN601))</f>
        <v>182.61039121812709</v>
      </c>
      <c r="AO1101" s="105">
        <f>IF(tech_base!$T197&gt;AO$905,"",AO2221+tech_proj!AO1721/(1-tech_proj!AO601))</f>
        <v>182.78172576700769</v>
      </c>
      <c r="AP1101" s="105">
        <f>IF(tech_base!$T197&gt;AP$905,"",AP2221+tech_proj!AP1721/(1-tech_proj!AP601))</f>
        <v>183.41641806196691</v>
      </c>
      <c r="AQ1101" s="105">
        <f>IF(tech_base!$T197&gt;AQ$905,"",AQ2221+tech_proj!AQ1721/(1-tech_proj!AQ601))</f>
        <v>184.0924321261779</v>
      </c>
      <c r="AR1101" s="105">
        <f>IF(tech_base!$T197&gt;AR$905,"",AR2221+tech_proj!AR1721/(1-tech_proj!AR601))</f>
        <v>185.56581734480906</v>
      </c>
      <c r="AS1101" s="105">
        <f>IF(tech_base!$T197&gt;AS$905,"",AS2221+tech_proj!AS1721/(1-tech_proj!AS601))</f>
        <v>186.33147191960504</v>
      </c>
      <c r="AT1101" s="105">
        <f>IF(tech_base!$T197&gt;AT$905,"",AT2221+tech_proj!AT1721/(1-tech_proj!AT601))</f>
        <v>187.09419514385715</v>
      </c>
      <c r="AU1101" s="105">
        <f>IF(tech_base!$T197&gt;AU$905,"",AU2221+tech_proj!AU1721/(1-tech_proj!AU601))</f>
        <v>187.84070761441308</v>
      </c>
      <c r="AV1101" s="105">
        <f>IF(tech_base!$T197&gt;AV$905,"",AV2221+tech_proj!AV1721/(1-tech_proj!AV601))</f>
        <v>188.56211170888054</v>
      </c>
      <c r="AW1101" s="105">
        <f>IF(tech_base!$T197&gt;AW$905,"",AW2221+tech_proj!AW1721/(1-tech_proj!AW601))</f>
        <v>189.25169634512054</v>
      </c>
      <c r="AX1101" s="106">
        <f>IF(tech_base!$T197&gt;AX$905,"",AX2221+tech_proj!AX1721/(1-tech_proj!AX601))</f>
        <v>190.16974974085014</v>
      </c>
    </row>
    <row r="1102" spans="1:50" x14ac:dyDescent="0.25">
      <c r="A1102" s="356"/>
      <c r="B1102" s="376"/>
      <c r="C1102" s="379"/>
      <c r="D1102" s="59" t="s">
        <v>20</v>
      </c>
      <c r="E1102" s="166" t="str">
        <f>A1079&amp;"/"&amp;B1095&amp;"/"&amp;C1099&amp;"/"&amp;D1102</f>
        <v>Fuel oil fired power plants/Steam turbine/CHP/XS</v>
      </c>
      <c r="F1102" s="79" t="str">
        <f>A1079</f>
        <v>Fuel oil fired power plants</v>
      </c>
      <c r="G1102" s="79" t="str">
        <f>B1095</f>
        <v>Steam turbine</v>
      </c>
      <c r="H1102" s="79" t="str">
        <f>C1099</f>
        <v>CHP</v>
      </c>
      <c r="I1102" s="167" t="str">
        <f t="shared" si="370"/>
        <v>XS</v>
      </c>
      <c r="J1102" s="111">
        <f>IF(tech_base!$T198&gt;J$905,"",J2222+tech_proj!J1722/(1-tech_proj!J602))</f>
        <v>121.50371893070607</v>
      </c>
      <c r="K1102" s="111">
        <f>IF(tech_base!$T198&gt;K$905,"",K2222+tech_proj!K1722/(1-tech_proj!K602))</f>
        <v>151.5067876722226</v>
      </c>
      <c r="L1102" s="111">
        <f>IF(tech_base!$T198&gt;L$905,"",L2222+tech_proj!L1722/(1-tech_proj!L602))</f>
        <v>160.50223510791611</v>
      </c>
      <c r="M1102" s="111">
        <f>IF(tech_base!$T198&gt;M$905,"",M2222+tech_proj!M1722/(1-tech_proj!M602))</f>
        <v>152.57915168485545</v>
      </c>
      <c r="N1102" s="111">
        <f>IF(tech_base!$T198&gt;N$905,"",N2222+tech_proj!N1722/(1-tech_proj!N602))</f>
        <v>140.07389767924806</v>
      </c>
      <c r="O1102" s="111">
        <f>IF(tech_base!$T198&gt;O$905,"",O2222+tech_proj!O1722/(1-tech_proj!O602))</f>
        <v>98.202911717259212</v>
      </c>
      <c r="P1102" s="111">
        <f>IF(tech_base!$T198&gt;P$905,"",P2222+tech_proj!P1722/(1-tech_proj!P602))</f>
        <v>88.270928595159717</v>
      </c>
      <c r="Q1102" s="111">
        <f>IF(tech_base!$T198&gt;Q$905,"",Q2222+tech_proj!Q1722/(1-tech_proj!Q602))</f>
        <v>100.2499148093159</v>
      </c>
      <c r="R1102" s="111">
        <f>IF(tech_base!$T198&gt;R$905,"",R2222+tech_proj!R1722/(1-tech_proj!R602))</f>
        <v>110.9423995629364</v>
      </c>
      <c r="S1102" s="111">
        <f>IF(tech_base!$T198&gt;S$905,"",S2222+tech_proj!S1722/(1-tech_proj!S602))</f>
        <v>120.31625532908117</v>
      </c>
      <c r="T1102" s="111">
        <f>IF(tech_base!$T198&gt;T$905,"",T2222+tech_proj!T1722/(1-tech_proj!T602))</f>
        <v>129.35157040087392</v>
      </c>
      <c r="U1102" s="111">
        <f>IF(tech_base!$T198&gt;U$905,"",U2222+tech_proj!U1722/(1-tech_proj!U602))</f>
        <v>137.95238937871096</v>
      </c>
      <c r="V1102" s="111">
        <f>IF(tech_base!$T198&gt;V$905,"",V2222+tech_proj!V1722/(1-tech_proj!V602))</f>
        <v>143.71519888575725</v>
      </c>
      <c r="W1102" s="111">
        <f>IF(tech_base!$T198&gt;W$905,"",W2222+tech_proj!W1722/(1-tech_proj!W602))</f>
        <v>150.77393158876725</v>
      </c>
      <c r="X1102" s="111">
        <f>IF(tech_base!$T198&gt;X$905,"",X2222+tech_proj!X1722/(1-tech_proj!X602))</f>
        <v>156.89636634356657</v>
      </c>
      <c r="Y1102" s="111">
        <f>IF(tech_base!$T198&gt;Y$905,"",Y2222+tech_proj!Y1722/(1-tech_proj!Y602))</f>
        <v>162.08860567680338</v>
      </c>
      <c r="Z1102" s="111">
        <f>IF(tech_base!$T198&gt;Z$905,"",Z2222+tech_proj!Z1722/(1-tech_proj!Z602))</f>
        <v>165.41474577346415</v>
      </c>
      <c r="AA1102" s="111">
        <f>IF(tech_base!$T198&gt;AA$905,"",AA2222+tech_proj!AA1722/(1-tech_proj!AA602))</f>
        <v>168.42653425401508</v>
      </c>
      <c r="AB1102" s="111">
        <f>IF(tech_base!$T198&gt;AB$905,"",AB2222+tech_proj!AB1722/(1-tech_proj!AB602))</f>
        <v>170.48848756020388</v>
      </c>
      <c r="AC1102" s="111">
        <f>IF(tech_base!$T198&gt;AC$905,"",AC2222+tech_proj!AC1722/(1-tech_proj!AC602))</f>
        <v>173.70130099709135</v>
      </c>
      <c r="AD1102" s="111">
        <f>IF(tech_base!$T198&gt;AD$905,"",AD2222+tech_proj!AD1722/(1-tech_proj!AD602))</f>
        <v>175.6648406693873</v>
      </c>
      <c r="AE1102" s="111">
        <f>IF(tech_base!$T198&gt;AE$905,"",AE2222+tech_proj!AE1722/(1-tech_proj!AE602))</f>
        <v>177.53758501796639</v>
      </c>
      <c r="AF1102" s="111">
        <f>IF(tech_base!$T198&gt;AF$905,"",AF2222+tech_proj!AF1722/(1-tech_proj!AF602))</f>
        <v>178.48046880396453</v>
      </c>
      <c r="AG1102" s="111">
        <f>IF(tech_base!$T198&gt;AG$905,"",AG2222+tech_proj!AG1722/(1-tech_proj!AG602))</f>
        <v>179.55971514762717</v>
      </c>
      <c r="AH1102" s="111">
        <f>IF(tech_base!$T198&gt;AH$905,"",AH2222+tech_proj!AH1722/(1-tech_proj!AH602))</f>
        <v>180.77489834262883</v>
      </c>
      <c r="AI1102" s="111">
        <f>IF(tech_base!$T198&gt;AI$905,"",AI2222+tech_proj!AI1722/(1-tech_proj!AI602))</f>
        <v>182.1390366319242</v>
      </c>
      <c r="AJ1102" s="111">
        <f>IF(tech_base!$T198&gt;AJ$905,"",AJ2222+tech_proj!AJ1722/(1-tech_proj!AJ602))</f>
        <v>183.67584910138325</v>
      </c>
      <c r="AK1102" s="111">
        <f>IF(tech_base!$T198&gt;AK$905,"",AK2222+tech_proj!AK1722/(1-tech_proj!AK602))</f>
        <v>185.4216264706312</v>
      </c>
      <c r="AL1102" s="111">
        <f>IF(tech_base!$T198&gt;AL$905,"",AL2222+tech_proj!AL1722/(1-tech_proj!AL602))</f>
        <v>187.31271834039583</v>
      </c>
      <c r="AM1102" s="111">
        <f>IF(tech_base!$T198&gt;AM$905,"",AM2222+tech_proj!AM1722/(1-tech_proj!AM602))</f>
        <v>189.27096258126471</v>
      </c>
      <c r="AN1102" s="111">
        <f>IF(tech_base!$T198&gt;AN$905,"",AN2222+tech_proj!AN1722/(1-tech_proj!AN602))</f>
        <v>191.27055403423637</v>
      </c>
      <c r="AO1102" s="111">
        <f>IF(tech_base!$T198&gt;AO$905,"",AO2222+tech_proj!AO1722/(1-tech_proj!AO602))</f>
        <v>191.44994013614775</v>
      </c>
      <c r="AP1102" s="111">
        <f>IF(tech_base!$T198&gt;AP$905,"",AP2222+tech_proj!AP1722/(1-tech_proj!AP602))</f>
        <v>192.11739130902592</v>
      </c>
      <c r="AQ1102" s="111">
        <f>IF(tech_base!$T198&gt;AQ$905,"",AQ2222+tech_proj!AQ1722/(1-tech_proj!AQ602))</f>
        <v>192.82839593549261</v>
      </c>
      <c r="AR1102" s="111">
        <f>IF(tech_base!$T198&gt;AR$905,"",AR2222+tech_proj!AR1722/(1-tech_proj!AR602))</f>
        <v>194.37926672852115</v>
      </c>
      <c r="AS1102" s="111">
        <f>IF(tech_base!$T198&gt;AS$905,"",AS2222+tech_proj!AS1722/(1-tech_proj!AS602))</f>
        <v>195.18474734100417</v>
      </c>
      <c r="AT1102" s="111">
        <f>IF(tech_base!$T198&gt;AT$905,"",AT2222+tech_proj!AT1722/(1-tech_proj!AT602))</f>
        <v>195.98717093512943</v>
      </c>
      <c r="AU1102" s="111">
        <f>IF(tech_base!$T198&gt;AU$905,"",AU2222+tech_proj!AU1722/(1-tech_proj!AU602))</f>
        <v>196.77255057379458</v>
      </c>
      <c r="AV1102" s="111">
        <f>IF(tech_base!$T198&gt;AV$905,"",AV2222+tech_proj!AV1722/(1-tech_proj!AV602))</f>
        <v>197.5315144003302</v>
      </c>
      <c r="AW1102" s="111">
        <f>IF(tech_base!$T198&gt;AW$905,"",AW2222+tech_proj!AW1722/(1-tech_proj!AW602))</f>
        <v>198.25699349529253</v>
      </c>
      <c r="AX1102" s="112">
        <f>IF(tech_base!$T198&gt;AX$905,"",AX2222+tech_proj!AX1722/(1-tech_proj!AX602))</f>
        <v>199.22313726819655</v>
      </c>
    </row>
    <row r="1103" spans="1:50" x14ac:dyDescent="0.25">
      <c r="A1103" s="356"/>
      <c r="B1103" s="376"/>
      <c r="C1103" s="361" t="s">
        <v>15</v>
      </c>
      <c r="D1103" s="58" t="s">
        <v>7</v>
      </c>
      <c r="E1103" s="164" t="str">
        <f>A1079&amp;"/"&amp;B1095&amp;"/"&amp;C1103&amp;"/"&amp;D1103</f>
        <v>Fuel oil fired power plants/Steam turbine/Electricity only with CCS/L</v>
      </c>
      <c r="F1103" s="78" t="str">
        <f>A1079</f>
        <v>Fuel oil fired power plants</v>
      </c>
      <c r="G1103" s="78" t="str">
        <f>B1095</f>
        <v>Steam turbine</v>
      </c>
      <c r="H1103" s="78" t="str">
        <f>C1103</f>
        <v>Electricity only with CCS</v>
      </c>
      <c r="I1103" s="165" t="str">
        <f t="shared" si="370"/>
        <v>L</v>
      </c>
      <c r="J1103" s="109" t="str">
        <f>IF(tech_base!$T199&gt;J$905,"",J2223+tech_proj!J1723/(1-tech_proj!J603))</f>
        <v/>
      </c>
      <c r="K1103" s="109" t="str">
        <f>IF(tech_base!$T199&gt;K$905,"",K2223+tech_proj!K1723/(1-tech_proj!K603))</f>
        <v/>
      </c>
      <c r="L1103" s="109" t="str">
        <f>IF(tech_base!$T199&gt;L$905,"",L2223+tech_proj!L1723/(1-tech_proj!L603))</f>
        <v/>
      </c>
      <c r="M1103" s="109" t="str">
        <f>IF(tech_base!$T199&gt;M$905,"",M2223+tech_proj!M1723/(1-tech_proj!M603))</f>
        <v/>
      </c>
      <c r="N1103" s="109" t="str">
        <f>IF(tech_base!$T199&gt;N$905,"",N2223+tech_proj!N1723/(1-tech_proj!N603))</f>
        <v/>
      </c>
      <c r="O1103" s="109" t="str">
        <f>IF(tech_base!$T199&gt;O$905,"",O2223+tech_proj!O1723/(1-tech_proj!O603))</f>
        <v/>
      </c>
      <c r="P1103" s="109" t="str">
        <f>IF(tech_base!$T199&gt;P$905,"",P2223+tech_proj!P1723/(1-tech_proj!P603))</f>
        <v/>
      </c>
      <c r="Q1103" s="109" t="str">
        <f>IF(tech_base!$T199&gt;Q$905,"",Q2223+tech_proj!Q1723/(1-tech_proj!Q603))</f>
        <v/>
      </c>
      <c r="R1103" s="109" t="str">
        <f>IF(tech_base!$T199&gt;R$905,"",R2223+tech_proj!R1723/(1-tech_proj!R603))</f>
        <v/>
      </c>
      <c r="S1103" s="109" t="str">
        <f>IF(tech_base!$T199&gt;S$905,"",S2223+tech_proj!S1723/(1-tech_proj!S603))</f>
        <v/>
      </c>
      <c r="T1103" s="109" t="str">
        <f>IF(tech_base!$T199&gt;T$905,"",T2223+tech_proj!T1723/(1-tech_proj!T603))</f>
        <v/>
      </c>
      <c r="U1103" s="109" t="str">
        <f>IF(tech_base!$T199&gt;U$905,"",U2223+tech_proj!U1723/(1-tech_proj!U603))</f>
        <v/>
      </c>
      <c r="V1103" s="109" t="str">
        <f>IF(tech_base!$T199&gt;V$905,"",V2223+tech_proj!V1723/(1-tech_proj!V603))</f>
        <v/>
      </c>
      <c r="W1103" s="109" t="str">
        <f>IF(tech_base!$T199&gt;W$905,"",W2223+tech_proj!W1723/(1-tech_proj!W603))</f>
        <v/>
      </c>
      <c r="X1103" s="109" t="str">
        <f>IF(tech_base!$T199&gt;X$905,"",X2223+tech_proj!X1723/(1-tech_proj!X603))</f>
        <v/>
      </c>
      <c r="Y1103" s="109" t="str">
        <f>IF(tech_base!$T199&gt;Y$905,"",Y2223+tech_proj!Y1723/(1-tech_proj!Y603))</f>
        <v/>
      </c>
      <c r="Z1103" s="109" t="str">
        <f>IF(tech_base!$T199&gt;Z$905,"",Z2223+tech_proj!Z1723/(1-tech_proj!Z603))</f>
        <v/>
      </c>
      <c r="AA1103" s="109" t="str">
        <f>IF(tech_base!$T199&gt;AA$905,"",AA2223+tech_proj!AA1723/(1-tech_proj!AA603))</f>
        <v/>
      </c>
      <c r="AB1103" s="109" t="str">
        <f>IF(tech_base!$T199&gt;AB$905,"",AB2223+tech_proj!AB1723/(1-tech_proj!AB603))</f>
        <v/>
      </c>
      <c r="AC1103" s="109" t="str">
        <f>IF(tech_base!$T199&gt;AC$905,"",AC2223+tech_proj!AC1723/(1-tech_proj!AC603))</f>
        <v/>
      </c>
      <c r="AD1103" s="109" t="str">
        <f>IF(tech_base!$T199&gt;AD$905,"",AD2223+tech_proj!AD1723/(1-tech_proj!AD603))</f>
        <v/>
      </c>
      <c r="AE1103" s="109">
        <f>IF(tech_base!$T199&gt;AE$905,"",AE2223+tech_proj!AE1723/(1-tech_proj!AE603))</f>
        <v>183.73744001438928</v>
      </c>
      <c r="AF1103" s="109">
        <f>IF(tech_base!$T199&gt;AF$905,"",AF2223+tech_proj!AF1723/(1-tech_proj!AF603))</f>
        <v>184.71029790978446</v>
      </c>
      <c r="AG1103" s="109">
        <f>IF(tech_base!$T199&gt;AG$905,"",AG2223+tech_proj!AG1723/(1-tech_proj!AG603))</f>
        <v>185.82254775970119</v>
      </c>
      <c r="AH1103" s="109">
        <f>IF(tech_base!$T199&gt;AH$905,"",AH2223+tech_proj!AH1723/(1-tech_proj!AH603))</f>
        <v>187.07379349790119</v>
      </c>
      <c r="AI1103" s="109">
        <f>IF(tech_base!$T199&gt;AI$905,"",AI2223+tech_proj!AI1723/(1-tech_proj!AI603))</f>
        <v>188.47738090046835</v>
      </c>
      <c r="AJ1103" s="109">
        <f>IF(tech_base!$T199&gt;AJ$905,"",AJ2223+tech_proj!AJ1723/(1-tech_proj!AJ603))</f>
        <v>190.05760087787374</v>
      </c>
      <c r="AK1103" s="109">
        <f>IF(tech_base!$T199&gt;AK$905,"",AK2223+tech_proj!AK1723/(1-tech_proj!AK603))</f>
        <v>191.85160819607347</v>
      </c>
      <c r="AL1103" s="109">
        <f>IF(tech_base!$T199&gt;AL$905,"",AL2223+tech_proj!AL1723/(1-tech_proj!AL603))</f>
        <v>193.79436562100602</v>
      </c>
      <c r="AM1103" s="109">
        <f>IF(tech_base!$T199&gt;AM$905,"",AM2223+tech_proj!AM1723/(1-tech_proj!AM603))</f>
        <v>195.80596268479698</v>
      </c>
      <c r="AN1103" s="109">
        <f>IF(tech_base!$T199&gt;AN$905,"",AN2223+tech_proj!AN1723/(1-tech_proj!AN603))</f>
        <v>197.86000823639148</v>
      </c>
      <c r="AO1103" s="109">
        <f>IF(tech_base!$T199&gt;AO$905,"",AO2223+tech_proj!AO1723/(1-tech_proj!AO603))</f>
        <v>198.05217200933171</v>
      </c>
      <c r="AP1103" s="109">
        <f>IF(tech_base!$T199&gt;AP$905,"",AP2223+tech_proj!AP1723/(1-tech_proj!AP603))</f>
        <v>198.74343029899291</v>
      </c>
      <c r="AQ1103" s="109">
        <f>IF(tech_base!$T199&gt;AQ$905,"",AQ2223+tech_proj!AQ1723/(1-tech_proj!AQ603))</f>
        <v>199.47911278277357</v>
      </c>
      <c r="AR1103" s="109">
        <f>IF(tech_base!$T199&gt;AR$905,"",AR2223+tech_proj!AR1723/(1-tech_proj!AR603))</f>
        <v>201.07406964482087</v>
      </c>
      <c r="AS1103" s="109">
        <f>IF(tech_base!$T199&gt;AS$905,"",AS2223+tech_proj!AS1723/(1-tech_proj!AS603))</f>
        <v>201.90624064760127</v>
      </c>
      <c r="AT1103" s="109">
        <f>IF(tech_base!$T199&gt;AT$905,"",AT2223+tech_proj!AT1723/(1-tech_proj!AT603))</f>
        <v>202.73515757062106</v>
      </c>
      <c r="AU1103" s="109">
        <f>IF(tech_base!$T199&gt;AU$905,"",AU2223+tech_proj!AU1723/(1-tech_proj!AU603))</f>
        <v>203.54650066160002</v>
      </c>
      <c r="AV1103" s="109">
        <f>IF(tech_base!$T199&gt;AV$905,"",AV2223+tech_proj!AV1723/(1-tech_proj!AV603))</f>
        <v>204.33067019686541</v>
      </c>
      <c r="AW1103" s="109">
        <f>IF(tech_base!$T199&gt;AW$905,"",AW2223+tech_proj!AW1723/(1-tech_proj!AW603))</f>
        <v>205.08042175493358</v>
      </c>
      <c r="AX1103" s="110">
        <f>IF(tech_base!$T199&gt;AX$905,"",AX2223+tech_proj!AX1723/(1-tech_proj!AX603))</f>
        <v>206.07641222256265</v>
      </c>
    </row>
    <row r="1104" spans="1:50" x14ac:dyDescent="0.25">
      <c r="A1104" s="356"/>
      <c r="B1104" s="376"/>
      <c r="C1104" s="379"/>
      <c r="D1104" s="59" t="s">
        <v>8</v>
      </c>
      <c r="E1104" s="166" t="str">
        <f>A1079&amp;"/"&amp;B1095&amp;"/"&amp;C1103&amp;"/"&amp;D1104</f>
        <v>Fuel oil fired power plants/Steam turbine/Electricity only with CCS/M</v>
      </c>
      <c r="F1104" s="79" t="str">
        <f>A1079</f>
        <v>Fuel oil fired power plants</v>
      </c>
      <c r="G1104" s="79" t="str">
        <f>B1095</f>
        <v>Steam turbine</v>
      </c>
      <c r="H1104" s="79" t="str">
        <f>C1103</f>
        <v>Electricity only with CCS</v>
      </c>
      <c r="I1104" s="167" t="str">
        <f t="shared" si="370"/>
        <v>M</v>
      </c>
      <c r="J1104" s="111" t="str">
        <f>IF(tech_base!$T200&gt;J$905,"",J2224+tech_proj!J1724/(1-tech_proj!J604))</f>
        <v/>
      </c>
      <c r="K1104" s="111" t="str">
        <f>IF(tech_base!$T200&gt;K$905,"",K2224+tech_proj!K1724/(1-tech_proj!K604))</f>
        <v/>
      </c>
      <c r="L1104" s="111" t="str">
        <f>IF(tech_base!$T200&gt;L$905,"",L2224+tech_proj!L1724/(1-tech_proj!L604))</f>
        <v/>
      </c>
      <c r="M1104" s="111" t="str">
        <f>IF(tech_base!$T200&gt;M$905,"",M2224+tech_proj!M1724/(1-tech_proj!M604))</f>
        <v/>
      </c>
      <c r="N1104" s="111" t="str">
        <f>IF(tech_base!$T200&gt;N$905,"",N2224+tech_proj!N1724/(1-tech_proj!N604))</f>
        <v/>
      </c>
      <c r="O1104" s="111" t="str">
        <f>IF(tech_base!$T200&gt;O$905,"",O2224+tech_proj!O1724/(1-tech_proj!O604))</f>
        <v/>
      </c>
      <c r="P1104" s="111" t="str">
        <f>IF(tech_base!$T200&gt;P$905,"",P2224+tech_proj!P1724/(1-tech_proj!P604))</f>
        <v/>
      </c>
      <c r="Q1104" s="111" t="str">
        <f>IF(tech_base!$T200&gt;Q$905,"",Q2224+tech_proj!Q1724/(1-tech_proj!Q604))</f>
        <v/>
      </c>
      <c r="R1104" s="111" t="str">
        <f>IF(tech_base!$T200&gt;R$905,"",R2224+tech_proj!R1724/(1-tech_proj!R604))</f>
        <v/>
      </c>
      <c r="S1104" s="111" t="str">
        <f>IF(tech_base!$T200&gt;S$905,"",S2224+tech_proj!S1724/(1-tech_proj!S604))</f>
        <v/>
      </c>
      <c r="T1104" s="111" t="str">
        <f>IF(tech_base!$T200&gt;T$905,"",T2224+tech_proj!T1724/(1-tech_proj!T604))</f>
        <v/>
      </c>
      <c r="U1104" s="111" t="str">
        <f>IF(tech_base!$T200&gt;U$905,"",U2224+tech_proj!U1724/(1-tech_proj!U604))</f>
        <v/>
      </c>
      <c r="V1104" s="111" t="str">
        <f>IF(tech_base!$T200&gt;V$905,"",V2224+tech_proj!V1724/(1-tech_proj!V604))</f>
        <v/>
      </c>
      <c r="W1104" s="111" t="str">
        <f>IF(tech_base!$T200&gt;W$905,"",W2224+tech_proj!W1724/(1-tech_proj!W604))</f>
        <v/>
      </c>
      <c r="X1104" s="111" t="str">
        <f>IF(tech_base!$T200&gt;X$905,"",X2224+tech_proj!X1724/(1-tech_proj!X604))</f>
        <v/>
      </c>
      <c r="Y1104" s="111" t="str">
        <f>IF(tech_base!$T200&gt;Y$905,"",Y2224+tech_proj!Y1724/(1-tech_proj!Y604))</f>
        <v/>
      </c>
      <c r="Z1104" s="111" t="str">
        <f>IF(tech_base!$T200&gt;Z$905,"",Z2224+tech_proj!Z1724/(1-tech_proj!Z604))</f>
        <v/>
      </c>
      <c r="AA1104" s="111" t="str">
        <f>IF(tech_base!$T200&gt;AA$905,"",AA2224+tech_proj!AA1724/(1-tech_proj!AA604))</f>
        <v/>
      </c>
      <c r="AB1104" s="111" t="str">
        <f>IF(tech_base!$T200&gt;AB$905,"",AB2224+tech_proj!AB1724/(1-tech_proj!AB604))</f>
        <v/>
      </c>
      <c r="AC1104" s="111" t="str">
        <f>IF(tech_base!$T200&gt;AC$905,"",AC2224+tech_proj!AC1724/(1-tech_proj!AC604))</f>
        <v/>
      </c>
      <c r="AD1104" s="111" t="str">
        <f>IF(tech_base!$T200&gt;AD$905,"",AD2224+tech_proj!AD1724/(1-tech_proj!AD604))</f>
        <v/>
      </c>
      <c r="AE1104" s="111">
        <f>IF(tech_base!$T200&gt;AE$905,"",AE2224+tech_proj!AE1724/(1-tech_proj!AE604))</f>
        <v>197.58719303551902</v>
      </c>
      <c r="AF1104" s="111">
        <f>IF(tech_base!$T200&gt;AF$905,"",AF2224+tech_proj!AF1724/(1-tech_proj!AF604))</f>
        <v>198.62508153889516</v>
      </c>
      <c r="AG1104" s="111">
        <f>IF(tech_base!$T200&gt;AG$905,"",AG2224+tech_proj!AG1724/(1-tech_proj!AG604))</f>
        <v>199.81167964081169</v>
      </c>
      <c r="AH1104" s="111">
        <f>IF(tech_base!$T200&gt;AH$905,"",AH2224+tech_proj!AH1724/(1-tech_proj!AH604))</f>
        <v>201.14656480001437</v>
      </c>
      <c r="AI1104" s="111">
        <f>IF(tech_base!$T200&gt;AI$905,"",AI2224+tech_proj!AI1724/(1-tech_proj!AI604))</f>
        <v>202.64397488991892</v>
      </c>
      <c r="AJ1104" s="111">
        <f>IF(tech_base!$T200&gt;AJ$905,"",AJ2224+tech_proj!AJ1724/(1-tech_proj!AJ604))</f>
        <v>204.32982454495834</v>
      </c>
      <c r="AK1104" s="111">
        <f>IF(tech_base!$T200&gt;AK$905,"",AK2224+tech_proj!AK1724/(1-tech_proj!AK604))</f>
        <v>206.24375213843879</v>
      </c>
      <c r="AL1104" s="111">
        <f>IF(tech_base!$T200&gt;AL$905,"",AL2224+tech_proj!AL1724/(1-tech_proj!AL604))</f>
        <v>208.31637302760481</v>
      </c>
      <c r="AM1104" s="111">
        <f>IF(tech_base!$T200&gt;AM$905,"",AM2224+tech_proj!AM1724/(1-tech_proj!AM604))</f>
        <v>210.46243513576684</v>
      </c>
      <c r="AN1104" s="111">
        <f>IF(tech_base!$T200&gt;AN$905,"",AN2224+tech_proj!AN1724/(1-tech_proj!AN604))</f>
        <v>212.65378319749465</v>
      </c>
      <c r="AO1104" s="111">
        <f>IF(tech_base!$T200&gt;AO$905,"",AO2224+tech_proj!AO1724/(1-tech_proj!AO604))</f>
        <v>212.85879214242289</v>
      </c>
      <c r="AP1104" s="111">
        <f>IF(tech_base!$T200&gt;AP$905,"",AP2224+tech_proj!AP1724/(1-tech_proj!AP604))</f>
        <v>213.59625753700794</v>
      </c>
      <c r="AQ1104" s="111">
        <f>IF(tech_base!$T200&gt;AQ$905,"",AQ2224+tech_proj!AQ1724/(1-tech_proj!AQ604))</f>
        <v>214.38111665740496</v>
      </c>
      <c r="AR1104" s="111">
        <f>IF(tech_base!$T200&gt;AR$905,"",AR2224+tech_proj!AR1724/(1-tech_proj!AR604))</f>
        <v>216.08268828295812</v>
      </c>
      <c r="AS1104" s="111">
        <f>IF(tech_base!$T200&gt;AS$905,"",AS2224+tech_proj!AS1724/(1-tech_proj!AS604))</f>
        <v>216.9704856896677</v>
      </c>
      <c r="AT1104" s="111">
        <f>IF(tech_base!$T200&gt;AT$905,"",AT2224+tech_proj!AT1724/(1-tech_proj!AT604))</f>
        <v>217.85481149791605</v>
      </c>
      <c r="AU1104" s="111">
        <f>IF(tech_base!$T200&gt;AU$905,"",AU2224+tech_proj!AU1724/(1-tech_proj!AU604))</f>
        <v>218.72038875273049</v>
      </c>
      <c r="AV1104" s="111">
        <f>IF(tech_base!$T200&gt;AV$905,"",AV2224+tech_proj!AV1724/(1-tech_proj!AV604))</f>
        <v>219.55697603767939</v>
      </c>
      <c r="AW1104" s="111">
        <f>IF(tech_base!$T200&gt;AW$905,"",AW2224+tech_proj!AW1724/(1-tech_proj!AW604))</f>
        <v>220.35684467850615</v>
      </c>
      <c r="AX1104" s="112">
        <f>IF(tech_base!$T200&gt;AX$905,"",AX2224+tech_proj!AX1724/(1-tech_proj!AX604))</f>
        <v>221.41941204905163</v>
      </c>
    </row>
    <row r="1105" spans="1:50" x14ac:dyDescent="0.25">
      <c r="A1105" s="356"/>
      <c r="B1105" s="376"/>
      <c r="C1105" s="361" t="s">
        <v>16</v>
      </c>
      <c r="D1105" s="2" t="s">
        <v>7</v>
      </c>
      <c r="E1105" s="160" t="str">
        <f>A1079&amp;"/"&amp;B1095&amp;"/"&amp;C1105&amp;"/"&amp;D1105</f>
        <v>Fuel oil fired power plants/Steam turbine/CHP with CCS/L</v>
      </c>
      <c r="F1105" s="76" t="str">
        <f>A1079</f>
        <v>Fuel oil fired power plants</v>
      </c>
      <c r="G1105" s="76" t="str">
        <f>B1095</f>
        <v>Steam turbine</v>
      </c>
      <c r="H1105" s="76" t="str">
        <f>C1105</f>
        <v>CHP with CCS</v>
      </c>
      <c r="I1105" s="161" t="str">
        <f t="shared" si="370"/>
        <v>L</v>
      </c>
      <c r="J1105" s="105" t="str">
        <f>IF(tech_base!$T201&gt;J$905,"",J2225+tech_proj!J1725/(1-tech_proj!J605))</f>
        <v/>
      </c>
      <c r="K1105" s="105" t="str">
        <f>IF(tech_base!$T201&gt;K$905,"",K2225+tech_proj!K1725/(1-tech_proj!K605))</f>
        <v/>
      </c>
      <c r="L1105" s="105" t="str">
        <f>IF(tech_base!$T201&gt;L$905,"",L2225+tech_proj!L1725/(1-tech_proj!L605))</f>
        <v/>
      </c>
      <c r="M1105" s="105" t="str">
        <f>IF(tech_base!$T201&gt;M$905,"",M2225+tech_proj!M1725/(1-tech_proj!M605))</f>
        <v/>
      </c>
      <c r="N1105" s="105" t="str">
        <f>IF(tech_base!$T201&gt;N$905,"",N2225+tech_proj!N1725/(1-tech_proj!N605))</f>
        <v/>
      </c>
      <c r="O1105" s="105" t="str">
        <f>IF(tech_base!$T201&gt;O$905,"",O2225+tech_proj!O1725/(1-tech_proj!O605))</f>
        <v/>
      </c>
      <c r="P1105" s="105" t="str">
        <f>IF(tech_base!$T201&gt;P$905,"",P2225+tech_proj!P1725/(1-tech_proj!P605))</f>
        <v/>
      </c>
      <c r="Q1105" s="105" t="str">
        <f>IF(tech_base!$T201&gt;Q$905,"",Q2225+tech_proj!Q1725/(1-tech_proj!Q605))</f>
        <v/>
      </c>
      <c r="R1105" s="105" t="str">
        <f>IF(tech_base!$T201&gt;R$905,"",R2225+tech_proj!R1725/(1-tech_proj!R605))</f>
        <v/>
      </c>
      <c r="S1105" s="105" t="str">
        <f>IF(tech_base!$T201&gt;S$905,"",S2225+tech_proj!S1725/(1-tech_proj!S605))</f>
        <v/>
      </c>
      <c r="T1105" s="105" t="str">
        <f>IF(tech_base!$T201&gt;T$905,"",T2225+tech_proj!T1725/(1-tech_proj!T605))</f>
        <v/>
      </c>
      <c r="U1105" s="105" t="str">
        <f>IF(tech_base!$T201&gt;U$905,"",U2225+tech_proj!U1725/(1-tech_proj!U605))</f>
        <v/>
      </c>
      <c r="V1105" s="105" t="str">
        <f>IF(tech_base!$T201&gt;V$905,"",V2225+tech_proj!V1725/(1-tech_proj!V605))</f>
        <v/>
      </c>
      <c r="W1105" s="105" t="str">
        <f>IF(tech_base!$T201&gt;W$905,"",W2225+tech_proj!W1725/(1-tech_proj!W605))</f>
        <v/>
      </c>
      <c r="X1105" s="105" t="str">
        <f>IF(tech_base!$T201&gt;X$905,"",X2225+tech_proj!X1725/(1-tech_proj!X605))</f>
        <v/>
      </c>
      <c r="Y1105" s="105" t="str">
        <f>IF(tech_base!$T201&gt;Y$905,"",Y2225+tech_proj!Y1725/(1-tech_proj!Y605))</f>
        <v/>
      </c>
      <c r="Z1105" s="105" t="str">
        <f>IF(tech_base!$T201&gt;Z$905,"",Z2225+tech_proj!Z1725/(1-tech_proj!Z605))</f>
        <v/>
      </c>
      <c r="AA1105" s="105" t="str">
        <f>IF(tech_base!$T201&gt;AA$905,"",AA2225+tech_proj!AA1725/(1-tech_proj!AA605))</f>
        <v/>
      </c>
      <c r="AB1105" s="105" t="str">
        <f>IF(tech_base!$T201&gt;AB$905,"",AB2225+tech_proj!AB1725/(1-tech_proj!AB605))</f>
        <v/>
      </c>
      <c r="AC1105" s="105" t="str">
        <f>IF(tech_base!$T201&gt;AC$905,"",AC2225+tech_proj!AC1725/(1-tech_proj!AC605))</f>
        <v/>
      </c>
      <c r="AD1105" s="105" t="str">
        <f>IF(tech_base!$T201&gt;AD$905,"",AD2225+tech_proj!AD1725/(1-tech_proj!AD605))</f>
        <v/>
      </c>
      <c r="AE1105" s="105">
        <f>IF(tech_base!$T201&gt;AE$905,"",AE2225+tech_proj!AE1725/(1-tech_proj!AE605))</f>
        <v>209.23324878994407</v>
      </c>
      <c r="AF1105" s="105">
        <f>IF(tech_base!$T201&gt;AF$905,"",AF2225+tech_proj!AF1725/(1-tech_proj!AF605))</f>
        <v>210.33828846460491</v>
      </c>
      <c r="AG1105" s="105">
        <f>IF(tech_base!$T201&gt;AG$905,"",AG2225+tech_proj!AG1725/(1-tech_proj!AG605))</f>
        <v>211.60165921804293</v>
      </c>
      <c r="AH1105" s="105">
        <f>IF(tech_base!$T201&gt;AH$905,"",AH2225+tech_proj!AH1725/(1-tech_proj!AH605))</f>
        <v>213.0229111706723</v>
      </c>
      <c r="AI1105" s="105">
        <f>IF(tech_base!$T201&gt;AI$905,"",AI2225+tech_proj!AI1725/(1-tech_proj!AI605))</f>
        <v>214.61720338337085</v>
      </c>
      <c r="AJ1105" s="105">
        <f>IF(tech_base!$T201&gt;AJ$905,"",AJ2225+tech_proj!AJ1725/(1-tech_proj!AJ605))</f>
        <v>216.41212716205413</v>
      </c>
      <c r="AK1105" s="105">
        <f>IF(tech_base!$T201&gt;AK$905,"",AK2225+tech_proj!AK1725/(1-tech_proj!AK605))</f>
        <v>218.44988547457447</v>
      </c>
      <c r="AL1105" s="105">
        <f>IF(tech_base!$T201&gt;AL$905,"",AL2225+tech_proj!AL1725/(1-tech_proj!AL605))</f>
        <v>220.65660450615545</v>
      </c>
      <c r="AM1105" s="105">
        <f>IF(tech_base!$T201&gt;AM$905,"",AM2225+tech_proj!AM1725/(1-tech_proj!AM605))</f>
        <v>222.94151638839631</v>
      </c>
      <c r="AN1105" s="105">
        <f>IF(tech_base!$T201&gt;AN$905,"",AN2225+tech_proj!AN1725/(1-tech_proj!AN605))</f>
        <v>225.27464421602264</v>
      </c>
      <c r="AO1105" s="105">
        <f>IF(tech_base!$T201&gt;AO$905,"",AO2225+tech_proj!AO1725/(1-tech_proj!AO605))</f>
        <v>225.49291719724283</v>
      </c>
      <c r="AP1105" s="105">
        <f>IF(tech_base!$T201&gt;AP$905,"",AP2225+tech_proj!AP1725/(1-tech_proj!AP605))</f>
        <v>226.27809645017322</v>
      </c>
      <c r="AQ1105" s="105">
        <f>IF(tech_base!$T201&gt;AQ$905,"",AQ2225+tech_proj!AQ1725/(1-tech_proj!AQ605))</f>
        <v>227.11373579316319</v>
      </c>
      <c r="AR1105" s="105">
        <f>IF(tech_base!$T201&gt;AR$905,"",AR2225+tech_proj!AR1725/(1-tech_proj!AR605))</f>
        <v>228.92539875059737</v>
      </c>
      <c r="AS1105" s="105">
        <f>IF(tech_base!$T201&gt;AS$905,"",AS2225+tech_proj!AS1725/(1-tech_proj!AS605))</f>
        <v>229.87063646571207</v>
      </c>
      <c r="AT1105" s="105">
        <f>IF(tech_base!$T201&gt;AT$905,"",AT2225+tech_proj!AT1725/(1-tech_proj!AT605))</f>
        <v>230.81217797066387</v>
      </c>
      <c r="AU1105" s="105">
        <f>IF(tech_base!$T201&gt;AU$905,"",AU2225+tech_proj!AU1725/(1-tech_proj!AU605))</f>
        <v>231.73375789465626</v>
      </c>
      <c r="AV1105" s="105">
        <f>IF(tech_base!$T201&gt;AV$905,"",AV2225+tech_proj!AV1725/(1-tech_proj!AV605))</f>
        <v>232.62447220373488</v>
      </c>
      <c r="AW1105" s="105">
        <f>IF(tech_base!$T201&gt;AW$905,"",AW2225+tech_proj!AW1725/(1-tech_proj!AW605))</f>
        <v>233.47609218001884</v>
      </c>
      <c r="AX1105" s="106">
        <f>IF(tech_base!$T201&gt;AX$905,"",AX2225+tech_proj!AX1725/(1-tech_proj!AX605))</f>
        <v>234.60740743944535</v>
      </c>
    </row>
    <row r="1106" spans="1:50" x14ac:dyDescent="0.25">
      <c r="A1106" s="357"/>
      <c r="B1106" s="380"/>
      <c r="C1106" s="381"/>
      <c r="D1106" s="4" t="s">
        <v>8</v>
      </c>
      <c r="E1106" s="168" t="str">
        <f>A1079&amp;"/"&amp;B1095&amp;"/"&amp;C1105&amp;"/"&amp;D1106</f>
        <v>Fuel oil fired power plants/Steam turbine/CHP with CCS/M</v>
      </c>
      <c r="F1106" s="80" t="str">
        <f>A1079</f>
        <v>Fuel oil fired power plants</v>
      </c>
      <c r="G1106" s="80" t="str">
        <f>B1095</f>
        <v>Steam turbine</v>
      </c>
      <c r="H1106" s="80" t="str">
        <f>C1105</f>
        <v>CHP with CCS</v>
      </c>
      <c r="I1106" s="169" t="str">
        <f t="shared" si="370"/>
        <v>M</v>
      </c>
      <c r="J1106" s="113" t="str">
        <f>IF(tech_base!$T202&gt;J$905,"",J2226+tech_proj!J1726/(1-tech_proj!J606))</f>
        <v/>
      </c>
      <c r="K1106" s="113" t="str">
        <f>IF(tech_base!$T202&gt;K$905,"",K2226+tech_proj!K1726/(1-tech_proj!K606))</f>
        <v/>
      </c>
      <c r="L1106" s="113" t="str">
        <f>IF(tech_base!$T202&gt;L$905,"",L2226+tech_proj!L1726/(1-tech_proj!L606))</f>
        <v/>
      </c>
      <c r="M1106" s="113" t="str">
        <f>IF(tech_base!$T202&gt;M$905,"",M2226+tech_proj!M1726/(1-tech_proj!M606))</f>
        <v/>
      </c>
      <c r="N1106" s="113" t="str">
        <f>IF(tech_base!$T202&gt;N$905,"",N2226+tech_proj!N1726/(1-tech_proj!N606))</f>
        <v/>
      </c>
      <c r="O1106" s="113" t="str">
        <f>IF(tech_base!$T202&gt;O$905,"",O2226+tech_proj!O1726/(1-tech_proj!O606))</f>
        <v/>
      </c>
      <c r="P1106" s="113" t="str">
        <f>IF(tech_base!$T202&gt;P$905,"",P2226+tech_proj!P1726/(1-tech_proj!P606))</f>
        <v/>
      </c>
      <c r="Q1106" s="113" t="str">
        <f>IF(tech_base!$T202&gt;Q$905,"",Q2226+tech_proj!Q1726/(1-tech_proj!Q606))</f>
        <v/>
      </c>
      <c r="R1106" s="113" t="str">
        <f>IF(tech_base!$T202&gt;R$905,"",R2226+tech_proj!R1726/(1-tech_proj!R606))</f>
        <v/>
      </c>
      <c r="S1106" s="113" t="str">
        <f>IF(tech_base!$T202&gt;S$905,"",S2226+tech_proj!S1726/(1-tech_proj!S606))</f>
        <v/>
      </c>
      <c r="T1106" s="113" t="str">
        <f>IF(tech_base!$T202&gt;T$905,"",T2226+tech_proj!T1726/(1-tech_proj!T606))</f>
        <v/>
      </c>
      <c r="U1106" s="113" t="str">
        <f>IF(tech_base!$T202&gt;U$905,"",U2226+tech_proj!U1726/(1-tech_proj!U606))</f>
        <v/>
      </c>
      <c r="V1106" s="113" t="str">
        <f>IF(tech_base!$T202&gt;V$905,"",V2226+tech_proj!V1726/(1-tech_proj!V606))</f>
        <v/>
      </c>
      <c r="W1106" s="113" t="str">
        <f>IF(tech_base!$T202&gt;W$905,"",W2226+tech_proj!W1726/(1-tech_proj!W606))</f>
        <v/>
      </c>
      <c r="X1106" s="113" t="str">
        <f>IF(tech_base!$T202&gt;X$905,"",X2226+tech_proj!X1726/(1-tech_proj!X606))</f>
        <v/>
      </c>
      <c r="Y1106" s="113" t="str">
        <f>IF(tech_base!$T202&gt;Y$905,"",Y2226+tech_proj!Y1726/(1-tech_proj!Y606))</f>
        <v/>
      </c>
      <c r="Z1106" s="113" t="str">
        <f>IF(tech_base!$T202&gt;Z$905,"",Z2226+tech_proj!Z1726/(1-tech_proj!Z606))</f>
        <v/>
      </c>
      <c r="AA1106" s="113" t="str">
        <f>IF(tech_base!$T202&gt;AA$905,"",AA2226+tech_proj!AA1726/(1-tech_proj!AA606))</f>
        <v/>
      </c>
      <c r="AB1106" s="113" t="str">
        <f>IF(tech_base!$T202&gt;AB$905,"",AB2226+tech_proj!AB1726/(1-tech_proj!AB606))</f>
        <v/>
      </c>
      <c r="AC1106" s="113" t="str">
        <f>IF(tech_base!$T202&gt;AC$905,"",AC2226+tech_proj!AC1726/(1-tech_proj!AC606))</f>
        <v/>
      </c>
      <c r="AD1106" s="113" t="str">
        <f>IF(tech_base!$T202&gt;AD$905,"",AD2226+tech_proj!AD1726/(1-tech_proj!AD606))</f>
        <v/>
      </c>
      <c r="AE1106" s="113">
        <f>IF(tech_base!$T202&gt;AE$905,"",AE2226+tech_proj!AE1726/(1-tech_proj!AE606))</f>
        <v>225.14806819529082</v>
      </c>
      <c r="AF1106" s="113">
        <f>IF(tech_base!$T202&gt;AF$905,"",AF2226+tech_proj!AF1726/(1-tech_proj!AF606))</f>
        <v>226.32954946338421</v>
      </c>
      <c r="AG1106" s="113">
        <f>IF(tech_base!$T202&gt;AG$905,"",AG2226+tech_proj!AG1726/(1-tech_proj!AG606))</f>
        <v>227.68031443053539</v>
      </c>
      <c r="AH1106" s="113">
        <f>IF(tech_base!$T202&gt;AH$905,"",AH2226+tech_proj!AH1726/(1-tech_proj!AH606))</f>
        <v>229.19988209654534</v>
      </c>
      <c r="AI1106" s="113">
        <f>IF(tech_base!$T202&gt;AI$905,"",AI2226+tech_proj!AI1726/(1-tech_proj!AI606))</f>
        <v>230.90446015682957</v>
      </c>
      <c r="AJ1106" s="113">
        <f>IF(tech_base!$T202&gt;AJ$905,"",AJ2226+tech_proj!AJ1726/(1-tech_proj!AJ606))</f>
        <v>232.82354855772397</v>
      </c>
      <c r="AK1106" s="113">
        <f>IF(tech_base!$T202&gt;AK$905,"",AK2226+tech_proj!AK1726/(1-tech_proj!AK606))</f>
        <v>235.00226967548227</v>
      </c>
      <c r="AL1106" s="113">
        <f>IF(tech_base!$T202&gt;AL$905,"",AL2226+tech_proj!AL1726/(1-tech_proj!AL606))</f>
        <v>237.36163944250742</v>
      </c>
      <c r="AM1106" s="113">
        <f>IF(tech_base!$T202&gt;AM$905,"",AM2226+tech_proj!AM1726/(1-tech_proj!AM606))</f>
        <v>239.80461108417279</v>
      </c>
      <c r="AN1106" s="113">
        <f>IF(tech_base!$T202&gt;AN$905,"",AN2226+tech_proj!AN1726/(1-tech_proj!AN606))</f>
        <v>242.29913402992491</v>
      </c>
      <c r="AO1106" s="113">
        <f>IF(tech_base!$T202&gt;AO$905,"",AO2226+tech_proj!AO1726/(1-tech_proj!AO606))</f>
        <v>242.53250613823559</v>
      </c>
      <c r="AP1106" s="113">
        <f>IF(tech_base!$T202&gt;AP$905,"",AP2226+tech_proj!AP1726/(1-tech_proj!AP606))</f>
        <v>243.37200050274112</v>
      </c>
      <c r="AQ1106" s="113">
        <f>IF(tech_base!$T202&gt;AQ$905,"",AQ2226+tech_proj!AQ1726/(1-tech_proj!AQ606))</f>
        <v>244.26544555567784</v>
      </c>
      <c r="AR1106" s="113">
        <f>IF(tech_base!$T202&gt;AR$905,"",AR2226+tech_proj!AR1726/(1-tech_proj!AR606))</f>
        <v>246.20243107519238</v>
      </c>
      <c r="AS1106" s="113">
        <f>IF(tech_base!$T202&gt;AS$905,"",AS2226+tech_proj!AS1726/(1-tech_proj!AS606))</f>
        <v>247.21305601465096</v>
      </c>
      <c r="AT1106" s="113">
        <f>IF(tech_base!$T202&gt;AT$905,"",AT2226+tech_proj!AT1726/(1-tech_proj!AT606))</f>
        <v>248.2197290570233</v>
      </c>
      <c r="AU1106" s="113">
        <f>IF(tech_base!$T202&gt;AU$905,"",AU2226+tech_proj!AU1726/(1-tech_proj!AU606))</f>
        <v>249.20505966751216</v>
      </c>
      <c r="AV1106" s="113">
        <f>IF(tech_base!$T202&gt;AV$905,"",AV2226+tech_proj!AV1726/(1-tech_proj!AV606))</f>
        <v>250.15738952093764</v>
      </c>
      <c r="AW1106" s="113">
        <f>IF(tech_base!$T202&gt;AW$905,"",AW2226+tech_proj!AW1726/(1-tech_proj!AW606))</f>
        <v>251.0679206743304</v>
      </c>
      <c r="AX1106" s="114">
        <f>IF(tech_base!$T202&gt;AX$905,"",AX2226+tech_proj!AX1726/(1-tech_proj!AX606))</f>
        <v>252.27749515203487</v>
      </c>
    </row>
    <row r="1107" spans="1:50" x14ac:dyDescent="0.25">
      <c r="A1107" s="355" t="s">
        <v>30</v>
      </c>
      <c r="B1107" s="358" t="s">
        <v>13</v>
      </c>
      <c r="C1107" s="353" t="s">
        <v>6</v>
      </c>
      <c r="D1107" s="3" t="s">
        <v>7</v>
      </c>
      <c r="E1107" s="162" t="str">
        <f>A1107&amp;"/"&amp;B1107&amp;"/"&amp;C1107&amp;"/"&amp;D1107</f>
        <v>Biomass and waste fired power plants/Integrated gasification combined cycle/Electricity only/L</v>
      </c>
      <c r="F1107" s="77" t="str">
        <f>A1107</f>
        <v>Biomass and waste fired power plants</v>
      </c>
      <c r="G1107" s="77" t="str">
        <f>B1107</f>
        <v>Integrated gasification combined cycle</v>
      </c>
      <c r="H1107" s="77" t="str">
        <f>C1107</f>
        <v>Electricity only</v>
      </c>
      <c r="I1107" s="163" t="str">
        <f t="shared" si="370"/>
        <v>L</v>
      </c>
      <c r="J1107" s="107">
        <f>IF(tech_base!$T203&gt;J$905,"",J2227+tech_proj!J1727/(1-tech_proj!J607))</f>
        <v>65.639151030153485</v>
      </c>
      <c r="K1107" s="107">
        <f>IF(tech_base!$T203&gt;K$905,"",K2227+tech_proj!K1727/(1-tech_proj!K607))</f>
        <v>67.267267809453585</v>
      </c>
      <c r="L1107" s="107">
        <f>IF(tech_base!$T203&gt;L$905,"",L2227+tech_proj!L1727/(1-tech_proj!L607))</f>
        <v>68.895926878952963</v>
      </c>
      <c r="M1107" s="107">
        <f>IF(tech_base!$T203&gt;M$905,"",M2227+tech_proj!M1727/(1-tech_proj!M607))</f>
        <v>70.525101522530434</v>
      </c>
      <c r="N1107" s="107">
        <f>IF(tech_base!$T203&gt;N$905,"",N2227+tech_proj!N1727/(1-tech_proj!N607))</f>
        <v>72.154756850939506</v>
      </c>
      <c r="O1107" s="107">
        <f>IF(tech_base!$T203&gt;O$905,"",O2227+tech_proj!O1727/(1-tech_proj!O607))</f>
        <v>73.784847317108415</v>
      </c>
      <c r="P1107" s="107">
        <f>IF(tech_base!$T203&gt;P$905,"",P2227+tech_proj!P1727/(1-tech_proj!P607))</f>
        <v>74.247064929046616</v>
      </c>
      <c r="Q1107" s="107">
        <f>IF(tech_base!$T203&gt;Q$905,"",Q2227+tech_proj!Q1727/(1-tech_proj!Q607))</f>
        <v>74.453610828364006</v>
      </c>
      <c r="R1107" s="107">
        <f>IF(tech_base!$T203&gt;R$905,"",R2227+tech_proj!R1727/(1-tech_proj!R607))</f>
        <v>74.691406811577295</v>
      </c>
      <c r="S1107" s="107">
        <f>IF(tech_base!$T203&gt;S$905,"",S2227+tech_proj!S1727/(1-tech_proj!S607))</f>
        <v>75.082941705685656</v>
      </c>
      <c r="T1107" s="107">
        <f>IF(tech_base!$T203&gt;T$905,"",T2227+tech_proj!T1727/(1-tech_proj!T607))</f>
        <v>75.715137832508702</v>
      </c>
      <c r="U1107" s="107">
        <f>IF(tech_base!$T203&gt;U$905,"",U2227+tech_proj!U1727/(1-tech_proj!U607))</f>
        <v>76.371479755825874</v>
      </c>
      <c r="V1107" s="107">
        <f>IF(tech_base!$T203&gt;V$905,"",V2227+tech_proj!V1727/(1-tech_proj!V607))</f>
        <v>77.084561156747213</v>
      </c>
      <c r="W1107" s="107">
        <f>IF(tech_base!$T203&gt;W$905,"",W2227+tech_proj!W1727/(1-tech_proj!W607))</f>
        <v>77.827066418733324</v>
      </c>
      <c r="X1107" s="107">
        <f>IF(tech_base!$T203&gt;X$905,"",X2227+tech_proj!X1727/(1-tech_proj!X607))</f>
        <v>78.550847556827947</v>
      </c>
      <c r="Y1107" s="107">
        <f>IF(tech_base!$T203&gt;Y$905,"",Y2227+tech_proj!Y1727/(1-tech_proj!Y607))</f>
        <v>79.295695392658317</v>
      </c>
      <c r="Z1107" s="107">
        <f>IF(tech_base!$T203&gt;Z$905,"",Z2227+tech_proj!Z1727/(1-tech_proj!Z607))</f>
        <v>80.032574057207654</v>
      </c>
      <c r="AA1107" s="107">
        <f>IF(tech_base!$T203&gt;AA$905,"",AA2227+tech_proj!AA1727/(1-tech_proj!AA607))</f>
        <v>80.83526699477332</v>
      </c>
      <c r="AB1107" s="107">
        <f>IF(tech_base!$T203&gt;AB$905,"",AB2227+tech_proj!AB1727/(1-tech_proj!AB607))</f>
        <v>81.880299414404277</v>
      </c>
      <c r="AC1107" s="107">
        <f>IF(tech_base!$T203&gt;AC$905,"",AC2227+tech_proj!AC1727/(1-tech_proj!AC607))</f>
        <v>83.443520898249602</v>
      </c>
      <c r="AD1107" s="107">
        <f>IF(tech_base!$T203&gt;AD$905,"",AD2227+tech_proj!AD1727/(1-tech_proj!AD607))</f>
        <v>84.970725050340334</v>
      </c>
      <c r="AE1107" s="107">
        <f>IF(tech_base!$T203&gt;AE$905,"",AE2227+tech_proj!AE1727/(1-tech_proj!AE607))</f>
        <v>86.012650611960638</v>
      </c>
      <c r="AF1107" s="107">
        <f>IF(tech_base!$T203&gt;AF$905,"",AF2227+tech_proj!AF1727/(1-tech_proj!AF607))</f>
        <v>86.626645242963832</v>
      </c>
      <c r="AG1107" s="107">
        <f>IF(tech_base!$T203&gt;AG$905,"",AG2227+tech_proj!AG1727/(1-tech_proj!AG607))</f>
        <v>87.137917829088494</v>
      </c>
      <c r="AH1107" s="107">
        <f>IF(tech_base!$T203&gt;AH$905,"",AH2227+tech_proj!AH1727/(1-tech_proj!AH607))</f>
        <v>87.570294841294199</v>
      </c>
      <c r="AI1107" s="107">
        <f>IF(tech_base!$T203&gt;AI$905,"",AI2227+tech_proj!AI1727/(1-tech_proj!AI607))</f>
        <v>88.011027746593186</v>
      </c>
      <c r="AJ1107" s="107">
        <f>IF(tech_base!$T203&gt;AJ$905,"",AJ2227+tech_proj!AJ1727/(1-tech_proj!AJ607))</f>
        <v>88.430290841427365</v>
      </c>
      <c r="AK1107" s="107">
        <f>IF(tech_base!$T203&gt;AK$905,"",AK2227+tech_proj!AK1727/(1-tech_proj!AK607))</f>
        <v>88.759487672224409</v>
      </c>
      <c r="AL1107" s="107">
        <f>IF(tech_base!$T203&gt;AL$905,"",AL2227+tech_proj!AL1727/(1-tech_proj!AL607))</f>
        <v>88.976584567991466</v>
      </c>
      <c r="AM1107" s="107">
        <f>IF(tech_base!$T203&gt;AM$905,"",AM2227+tech_proj!AM1727/(1-tech_proj!AM607))</f>
        <v>88.982948444102718</v>
      </c>
      <c r="AN1107" s="107">
        <f>IF(tech_base!$T203&gt;AN$905,"",AN2227+tech_proj!AN1727/(1-tech_proj!AN607))</f>
        <v>88.870136888318896</v>
      </c>
      <c r="AO1107" s="107">
        <f>IF(tech_base!$T203&gt;AO$905,"",AO2227+tech_proj!AO1727/(1-tech_proj!AO607))</f>
        <v>88.683906013943442</v>
      </c>
      <c r="AP1107" s="107">
        <f>IF(tech_base!$T203&gt;AP$905,"",AP2227+tech_proj!AP1727/(1-tech_proj!AP607))</f>
        <v>88.429532981427883</v>
      </c>
      <c r="AQ1107" s="107">
        <f>IF(tech_base!$T203&gt;AQ$905,"",AQ2227+tech_proj!AQ1727/(1-tech_proj!AQ607))</f>
        <v>88.089392670898761</v>
      </c>
      <c r="AR1107" s="107">
        <f>IF(tech_base!$T203&gt;AR$905,"",AR2227+tech_proj!AR1727/(1-tech_proj!AR607))</f>
        <v>87.551604117535675</v>
      </c>
      <c r="AS1107" s="107">
        <f>IF(tech_base!$T203&gt;AS$905,"",AS2227+tech_proj!AS1727/(1-tech_proj!AS607))</f>
        <v>86.994044415163273</v>
      </c>
      <c r="AT1107" s="107">
        <f>IF(tech_base!$T203&gt;AT$905,"",AT2227+tech_proj!AT1727/(1-tech_proj!AT607))</f>
        <v>86.304869199593185</v>
      </c>
      <c r="AU1107" s="107">
        <f>IF(tech_base!$T203&gt;AU$905,"",AU2227+tech_proj!AU1727/(1-tech_proj!AU607))</f>
        <v>85.729515118971918</v>
      </c>
      <c r="AV1107" s="107">
        <f>IF(tech_base!$T203&gt;AV$905,"",AV2227+tech_proj!AV1727/(1-tech_proj!AV607))</f>
        <v>85.160015735057442</v>
      </c>
      <c r="AW1107" s="107">
        <f>IF(tech_base!$T203&gt;AW$905,"",AW2227+tech_proj!AW1727/(1-tech_proj!AW607))</f>
        <v>84.618148867810362</v>
      </c>
      <c r="AX1107" s="108">
        <f>IF(tech_base!$T203&gt;AX$905,"",AX2227+tech_proj!AX1727/(1-tech_proj!AX607))</f>
        <v>84.106624876090834</v>
      </c>
    </row>
    <row r="1108" spans="1:50" x14ac:dyDescent="0.25">
      <c r="A1108" s="356"/>
      <c r="B1108" s="376"/>
      <c r="C1108" s="379"/>
      <c r="D1108" s="2" t="s">
        <v>8</v>
      </c>
      <c r="E1108" s="160" t="str">
        <f>A1107&amp;"/"&amp;B1107&amp;"/"&amp;C1107&amp;"/"&amp;D1108</f>
        <v>Biomass and waste fired power plants/Integrated gasification combined cycle/Electricity only/M</v>
      </c>
      <c r="F1108" s="76" t="str">
        <f>A1107</f>
        <v>Biomass and waste fired power plants</v>
      </c>
      <c r="G1108" s="76" t="str">
        <f>B1107</f>
        <v>Integrated gasification combined cycle</v>
      </c>
      <c r="H1108" s="76" t="str">
        <f>C1107</f>
        <v>Electricity only</v>
      </c>
      <c r="I1108" s="161" t="str">
        <f t="shared" si="370"/>
        <v>M</v>
      </c>
      <c r="J1108" s="105">
        <f>IF(tech_base!$T204&gt;J$905,"",J2228+tech_proj!J1728/(1-tech_proj!J608))</f>
        <v>69.325027316488772</v>
      </c>
      <c r="K1108" s="105">
        <f>IF(tech_base!$T204&gt;K$905,"",K2228+tech_proj!K1728/(1-tech_proj!K608))</f>
        <v>71.03902272557302</v>
      </c>
      <c r="L1108" s="105">
        <f>IF(tech_base!$T204&gt;L$905,"",L2228+tech_proj!L1728/(1-tech_proj!L608))</f>
        <v>72.753284589659614</v>
      </c>
      <c r="M1108" s="105">
        <f>IF(tech_base!$T204&gt;M$905,"",M2228+tech_proj!M1728/(1-tech_proj!M608))</f>
        <v>74.467716663941985</v>
      </c>
      <c r="N1108" s="105">
        <f>IF(tech_base!$T204&gt;N$905,"",N2228+tech_proj!N1728/(1-tech_proj!N608))</f>
        <v>76.182199570888827</v>
      </c>
      <c r="O1108" s="105">
        <f>IF(tech_base!$T204&gt;O$905,"",O2228+tech_proj!O1728/(1-tech_proj!O608))</f>
        <v>77.896585306399217</v>
      </c>
      <c r="P1108" s="105">
        <f>IF(tech_base!$T204&gt;P$905,"",P2228+tech_proj!P1728/(1-tech_proj!P608))</f>
        <v>78.380150254926107</v>
      </c>
      <c r="Q1108" s="105">
        <f>IF(tech_base!$T204&gt;Q$905,"",Q2228+tech_proj!Q1728/(1-tech_proj!Q608))</f>
        <v>78.593715580113226</v>
      </c>
      <c r="R1108" s="105">
        <f>IF(tech_base!$T204&gt;R$905,"",R2228+tech_proj!R1728/(1-tech_proj!R608))</f>
        <v>78.839375428242988</v>
      </c>
      <c r="S1108" s="105">
        <f>IF(tech_base!$T204&gt;S$905,"",S2228+tech_proj!S1728/(1-tech_proj!S608))</f>
        <v>79.245964066807247</v>
      </c>
      <c r="T1108" s="105">
        <f>IF(tech_base!$T204&gt;T$905,"",T2228+tech_proj!T1728/(1-tech_proj!T608))</f>
        <v>79.90479103032726</v>
      </c>
      <c r="U1108" s="105">
        <f>IF(tech_base!$T204&gt;U$905,"",U2228+tech_proj!U1728/(1-tech_proj!U608))</f>
        <v>80.587576894755728</v>
      </c>
      <c r="V1108" s="105">
        <f>IF(tech_base!$T204&gt;V$905,"",V2228+tech_proj!V1728/(1-tech_proj!V608))</f>
        <v>81.328352620499373</v>
      </c>
      <c r="W1108" s="105">
        <f>IF(tech_base!$T204&gt;W$905,"",W2228+tech_proj!W1728/(1-tech_proj!W608))</f>
        <v>82.098016314038219</v>
      </c>
      <c r="X1108" s="105">
        <f>IF(tech_base!$T204&gt;X$905,"",X2228+tech_proj!X1728/(1-tech_proj!X608))</f>
        <v>82.845499339493117</v>
      </c>
      <c r="Y1108" s="105">
        <f>IF(tech_base!$T204&gt;Y$905,"",Y2228+tech_proj!Y1728/(1-tech_proj!Y608))</f>
        <v>83.612252798447557</v>
      </c>
      <c r="Z1108" s="105">
        <f>IF(tech_base!$T204&gt;Z$905,"",Z2228+tech_proj!Z1728/(1-tech_proj!Z608))</f>
        <v>84.367225506906593</v>
      </c>
      <c r="AA1108" s="105">
        <f>IF(tech_base!$T204&gt;AA$905,"",AA2228+tech_proj!AA1728/(1-tech_proj!AA608))</f>
        <v>85.18748533880462</v>
      </c>
      <c r="AB1108" s="105">
        <f>IF(tech_base!$T204&gt;AB$905,"",AB2228+tech_proj!AB1728/(1-tech_proj!AB608))</f>
        <v>86.257990037416789</v>
      </c>
      <c r="AC1108" s="105">
        <f>IF(tech_base!$T204&gt;AC$905,"",AC2228+tech_proj!AC1728/(1-tech_proj!AC608))</f>
        <v>87.867776837353475</v>
      </c>
      <c r="AD1108" s="105">
        <f>IF(tech_base!$T204&gt;AD$905,"",AD2228+tech_proj!AD1728/(1-tech_proj!AD608))</f>
        <v>89.433163405350342</v>
      </c>
      <c r="AE1108" s="105">
        <f>IF(tech_base!$T204&gt;AE$905,"",AE2228+tech_proj!AE1728/(1-tech_proj!AE608))</f>
        <v>90.481588862498285</v>
      </c>
      <c r="AF1108" s="105">
        <f>IF(tech_base!$T204&gt;AF$905,"",AF2228+tech_proj!AF1728/(1-tech_proj!AF608))</f>
        <v>91.07332818342293</v>
      </c>
      <c r="AG1108" s="105">
        <f>IF(tech_base!$T204&gt;AG$905,"",AG2228+tech_proj!AG1728/(1-tech_proj!AG608))</f>
        <v>91.549838465785584</v>
      </c>
      <c r="AH1108" s="105">
        <f>IF(tech_base!$T204&gt;AH$905,"",AH2228+tech_proj!AH1728/(1-tech_proj!AH608))</f>
        <v>91.936146860598228</v>
      </c>
      <c r="AI1108" s="105">
        <f>IF(tech_base!$T204&gt;AI$905,"",AI2228+tech_proj!AI1728/(1-tech_proj!AI608))</f>
        <v>92.324063709371487</v>
      </c>
      <c r="AJ1108" s="105">
        <f>IF(tech_base!$T204&gt;AJ$905,"",AJ2228+tech_proj!AJ1728/(1-tech_proj!AJ608))</f>
        <v>92.6831234079268</v>
      </c>
      <c r="AK1108" s="105">
        <f>IF(tech_base!$T204&gt;AK$905,"",AK2228+tech_proj!AK1728/(1-tech_proj!AK608))</f>
        <v>92.943115905340093</v>
      </c>
      <c r="AL1108" s="105">
        <f>IF(tech_base!$T204&gt;AL$905,"",AL2228+tech_proj!AL1728/(1-tech_proj!AL608))</f>
        <v>93.083601690549457</v>
      </c>
      <c r="AM1108" s="105">
        <f>IF(tech_base!$T204&gt;AM$905,"",AM2228+tech_proj!AM1728/(1-tech_proj!AM608))</f>
        <v>93.005223891522974</v>
      </c>
      <c r="AN1108" s="105">
        <f>IF(tech_base!$T204&gt;AN$905,"",AN2228+tech_proj!AN1728/(1-tech_proj!AN608))</f>
        <v>92.808296494383939</v>
      </c>
      <c r="AO1108" s="105">
        <f>IF(tech_base!$T204&gt;AO$905,"",AO2228+tech_proj!AO1728/(1-tech_proj!AO608))</f>
        <v>92.545735052955905</v>
      </c>
      <c r="AP1108" s="105">
        <f>IF(tech_base!$T204&gt;AP$905,"",AP2228+tech_proj!AP1728/(1-tech_proj!AP608))</f>
        <v>92.228245618883989</v>
      </c>
      <c r="AQ1108" s="105">
        <f>IF(tech_base!$T204&gt;AQ$905,"",AQ2228+tech_proj!AQ1728/(1-tech_proj!AQ608))</f>
        <v>91.841832825146739</v>
      </c>
      <c r="AR1108" s="105">
        <f>IF(tech_base!$T204&gt;AR$905,"",AR2228+tech_proj!AR1728/(1-tech_proj!AR608))</f>
        <v>91.272204702505789</v>
      </c>
      <c r="AS1108" s="105">
        <f>IF(tech_base!$T204&gt;AS$905,"",AS2228+tech_proj!AS1728/(1-tech_proj!AS608))</f>
        <v>90.703237597869474</v>
      </c>
      <c r="AT1108" s="105">
        <f>IF(tech_base!$T204&gt;AT$905,"",AT2228+tech_proj!AT1728/(1-tech_proj!AT608))</f>
        <v>90.012224659988277</v>
      </c>
      <c r="AU1108" s="105">
        <f>IF(tech_base!$T204&gt;AU$905,"",AU2228+tech_proj!AU1728/(1-tech_proj!AU608))</f>
        <v>89.443711036571273</v>
      </c>
      <c r="AV1108" s="105">
        <f>IF(tech_base!$T204&gt;AV$905,"",AV2228+tech_proj!AV1728/(1-tech_proj!AV608))</f>
        <v>88.870208504613473</v>
      </c>
      <c r="AW1108" s="105">
        <f>IF(tech_base!$T204&gt;AW$905,"",AW2228+tech_proj!AW1728/(1-tech_proj!AW608))</f>
        <v>88.29823417312771</v>
      </c>
      <c r="AX1108" s="106">
        <f>IF(tech_base!$T204&gt;AX$905,"",AX2228+tech_proj!AX1728/(1-tech_proj!AX608))</f>
        <v>87.717021609629612</v>
      </c>
    </row>
    <row r="1109" spans="1:50" x14ac:dyDescent="0.25">
      <c r="A1109" s="356"/>
      <c r="B1109" s="376"/>
      <c r="C1109" s="361" t="s">
        <v>14</v>
      </c>
      <c r="D1109" s="58" t="s">
        <v>7</v>
      </c>
      <c r="E1109" s="164" t="str">
        <f>A1107&amp;"/"&amp;B1107&amp;"/"&amp;C1109&amp;"/"&amp;D1109</f>
        <v>Biomass and waste fired power plants/Integrated gasification combined cycle/CHP/L</v>
      </c>
      <c r="F1109" s="78" t="str">
        <f>A1107</f>
        <v>Biomass and waste fired power plants</v>
      </c>
      <c r="G1109" s="78" t="str">
        <f>B1107</f>
        <v>Integrated gasification combined cycle</v>
      </c>
      <c r="H1109" s="78" t="str">
        <f>C1109</f>
        <v>CHP</v>
      </c>
      <c r="I1109" s="165" t="str">
        <f t="shared" si="370"/>
        <v>L</v>
      </c>
      <c r="J1109" s="109">
        <f>IF(tech_base!$T205&gt;J$905,"",J2229+tech_proj!J1729/(1-tech_proj!J609))</f>
        <v>72.636873486339354</v>
      </c>
      <c r="K1109" s="109">
        <f>IF(tech_base!$T205&gt;K$905,"",K2229+tech_proj!K1729/(1-tech_proj!K609))</f>
        <v>74.439740824229261</v>
      </c>
      <c r="L1109" s="109">
        <f>IF(tech_base!$T205&gt;L$905,"",L2229+tech_proj!L1729/(1-tech_proj!L609))</f>
        <v>76.24321612585959</v>
      </c>
      <c r="M1109" s="109">
        <f>IF(tech_base!$T205&gt;M$905,"",M2229+tech_proj!M1729/(1-tech_proj!M609))</f>
        <v>78.04727210794897</v>
      </c>
      <c r="N1109" s="109">
        <f>IF(tech_base!$T205&gt;N$905,"",N2229+tech_proj!N1729/(1-tech_proj!N609))</f>
        <v>79.851873140086894</v>
      </c>
      <c r="O1109" s="109">
        <f>IF(tech_base!$T205&gt;O$905,"",O2229+tech_proj!O1729/(1-tech_proj!O609))</f>
        <v>81.656972707022419</v>
      </c>
      <c r="P1109" s="109">
        <f>IF(tech_base!$T205&gt;P$905,"",P2229+tech_proj!P1729/(1-tech_proj!P609))</f>
        <v>82.168881825567851</v>
      </c>
      <c r="Q1109" s="109">
        <f>IF(tech_base!$T205&gt;Q$905,"",Q2229+tech_proj!Q1729/(1-tech_proj!Q609))</f>
        <v>82.397704846852093</v>
      </c>
      <c r="R1109" s="109">
        <f>IF(tech_base!$T205&gt;R$905,"",R2229+tech_proj!R1729/(1-tech_proj!R609))</f>
        <v>82.66116375413948</v>
      </c>
      <c r="S1109" s="109">
        <f>IF(tech_base!$T205&gt;S$905,"",S2229+tech_proj!S1729/(1-tech_proj!S609))</f>
        <v>83.094903204364812</v>
      </c>
      <c r="T1109" s="109">
        <f>IF(tech_base!$T205&gt;T$905,"",T2229+tech_proj!T1729/(1-tech_proj!T609))</f>
        <v>83.795188078582484</v>
      </c>
      <c r="U1109" s="109">
        <f>IF(tech_base!$T205&gt;U$905,"",U2229+tech_proj!U1729/(1-tech_proj!U609))</f>
        <v>84.522281534451807</v>
      </c>
      <c r="V1109" s="109">
        <f>IF(tech_base!$T205&gt;V$905,"",V2229+tech_proj!V1729/(1-tech_proj!V609))</f>
        <v>85.312296947421288</v>
      </c>
      <c r="W1109" s="109">
        <f>IF(tech_base!$T205&gt;W$905,"",W2229+tech_proj!W1729/(1-tech_proj!W609))</f>
        <v>86.135014434161505</v>
      </c>
      <c r="X1109" s="109">
        <f>IF(tech_base!$T205&gt;X$905,"",X2229+tech_proj!X1729/(1-tech_proj!X609))</f>
        <v>86.937152884102233</v>
      </c>
      <c r="Y1109" s="109">
        <f>IF(tech_base!$T205&gt;Y$905,"",Y2229+tech_proj!Y1729/(1-tech_proj!Y609))</f>
        <v>87.76281998796523</v>
      </c>
      <c r="Z1109" s="109">
        <f>IF(tech_base!$T205&gt;Z$905,"",Z2229+tech_proj!Z1729/(1-tech_proj!Z609))</f>
        <v>88.579921295679483</v>
      </c>
      <c r="AA1109" s="109">
        <f>IF(tech_base!$T205&gt;AA$905,"",AA2229+tech_proj!AA1729/(1-tech_proj!AA609))</f>
        <v>89.470238954410178</v>
      </c>
      <c r="AB1109" s="109">
        <f>IF(tech_base!$T205&gt;AB$905,"",AB2229+tech_proj!AB1729/(1-tech_proj!AB609))</f>
        <v>90.629360075509993</v>
      </c>
      <c r="AC1109" s="109">
        <f>IF(tech_base!$T205&gt;AC$905,"",AC2229+tech_proj!AC1729/(1-tech_proj!AC609))</f>
        <v>92.362915981029246</v>
      </c>
      <c r="AD1109" s="109">
        <f>IF(tech_base!$T205&gt;AD$905,"",AD2229+tech_proj!AD1729/(1-tech_proj!AD609))</f>
        <v>94.057357452134909</v>
      </c>
      <c r="AE1109" s="109">
        <f>IF(tech_base!$T205&gt;AE$905,"",AE2229+tech_proj!AE1729/(1-tech_proj!AE609))</f>
        <v>95.215343675242437</v>
      </c>
      <c r="AF1109" s="109">
        <f>IF(tech_base!$T205&gt;AF$905,"",AF2229+tech_proj!AF1729/(1-tech_proj!AF609))</f>
        <v>95.900601484331617</v>
      </c>
      <c r="AG1109" s="109">
        <f>IF(tech_base!$T205&gt;AG$905,"",AG2229+tech_proj!AG1729/(1-tech_proj!AG609))</f>
        <v>96.473604192069587</v>
      </c>
      <c r="AH1109" s="109">
        <f>IF(tech_base!$T205&gt;AH$905,"",AH2229+tech_proj!AH1729/(1-tech_proj!AH609))</f>
        <v>96.961133458162649</v>
      </c>
      <c r="AI1109" s="109">
        <f>IF(tech_base!$T205&gt;AI$905,"",AI2229+tech_proj!AI1729/(1-tech_proj!AI609))</f>
        <v>97.460335167059213</v>
      </c>
      <c r="AJ1109" s="109">
        <f>IF(tech_base!$T205&gt;AJ$905,"",AJ2229+tech_proj!AJ1729/(1-tech_proj!AJ609))</f>
        <v>97.938790280135265</v>
      </c>
      <c r="AK1109" s="109">
        <f>IF(tech_base!$T205&gt;AK$905,"",AK2229+tech_proj!AK1729/(1-tech_proj!AK609))</f>
        <v>98.321229411867478</v>
      </c>
      <c r="AL1109" s="109">
        <f>IF(tech_base!$T205&gt;AL$905,"",AL2229+tech_proj!AL1729/(1-tech_proj!AL609))</f>
        <v>98.58407124867523</v>
      </c>
      <c r="AM1109" s="109">
        <f>IF(tech_base!$T205&gt;AM$905,"",AM2229+tech_proj!AM1729/(1-tech_proj!AM609))</f>
        <v>98.618900579147805</v>
      </c>
      <c r="AN1109" s="109">
        <f>IF(tech_base!$T205&gt;AN$905,"",AN2229+tech_proj!AN1729/(1-tech_proj!AN609))</f>
        <v>98.528172343178127</v>
      </c>
      <c r="AO1109" s="109">
        <f>IF(tech_base!$T205&gt;AO$905,"",AO2229+tech_proj!AO1729/(1-tech_proj!AO609))</f>
        <v>98.363654840415663</v>
      </c>
      <c r="AP1109" s="109">
        <f>IF(tech_base!$T205&gt;AP$905,"",AP2229+tech_proj!AP1729/(1-tech_proj!AP609))</f>
        <v>98.13218295900343</v>
      </c>
      <c r="AQ1109" s="109">
        <f>IF(tech_base!$T205&gt;AQ$905,"",AQ2229+tech_proj!AQ1729/(1-tech_proj!AQ609))</f>
        <v>97.814938369014257</v>
      </c>
      <c r="AR1109" s="109">
        <f>IF(tech_base!$T205&gt;AR$905,"",AR2229+tech_proj!AR1729/(1-tech_proj!AR609))</f>
        <v>97.287858337683531</v>
      </c>
      <c r="AS1109" s="109">
        <f>IF(tech_base!$T205&gt;AS$905,"",AS2229+tech_proj!AS1729/(1-tech_proj!AS609))</f>
        <v>96.748087659738488</v>
      </c>
      <c r="AT1109" s="109">
        <f>IF(tech_base!$T205&gt;AT$905,"",AT2229+tech_proj!AT1729/(1-tech_proj!AT609))</f>
        <v>96.069934772742727</v>
      </c>
      <c r="AU1109" s="109">
        <f>IF(tech_base!$T205&gt;AU$905,"",AU2229+tech_proj!AU1729/(1-tech_proj!AU609))</f>
        <v>95.524312190945096</v>
      </c>
      <c r="AV1109" s="109">
        <f>IF(tech_base!$T205&gt;AV$905,"",AV2229+tech_proj!AV1729/(1-tech_proj!AV609))</f>
        <v>94.988007502115366</v>
      </c>
      <c r="AW1109" s="109">
        <f>IF(tech_base!$T205&gt;AW$905,"",AW2229+tech_proj!AW1729/(1-tech_proj!AW609))</f>
        <v>94.481494666284632</v>
      </c>
      <c r="AX1109" s="110">
        <f>IF(tech_base!$T205&gt;AX$905,"",AX2229+tech_proj!AX1729/(1-tech_proj!AX609))</f>
        <v>94.00383235491006</v>
      </c>
    </row>
    <row r="1110" spans="1:50" x14ac:dyDescent="0.25">
      <c r="A1110" s="356"/>
      <c r="B1110" s="376"/>
      <c r="C1110" s="379"/>
      <c r="D1110" s="59" t="s">
        <v>8</v>
      </c>
      <c r="E1110" s="166" t="str">
        <f>A1107&amp;"/"&amp;B1107&amp;"/"&amp;C1109&amp;"/"&amp;D1110</f>
        <v>Biomass and waste fired power plants/Integrated gasification combined cycle/CHP/M</v>
      </c>
      <c r="F1110" s="79" t="str">
        <f>A1107</f>
        <v>Biomass and waste fired power plants</v>
      </c>
      <c r="G1110" s="79" t="str">
        <f>B1107</f>
        <v>Integrated gasification combined cycle</v>
      </c>
      <c r="H1110" s="79" t="str">
        <f>C1109</f>
        <v>CHP</v>
      </c>
      <c r="I1110" s="167" t="str">
        <f t="shared" si="370"/>
        <v>M</v>
      </c>
      <c r="J1110" s="111">
        <f>IF(tech_base!$T206&gt;J$905,"",J2230+tech_proj!J1730/(1-tech_proj!J610))</f>
        <v>76.671880455521134</v>
      </c>
      <c r="K1110" s="111">
        <f>IF(tech_base!$T206&gt;K$905,"",K2230+tech_proj!K1730/(1-tech_proj!K610))</f>
        <v>78.570605276387226</v>
      </c>
      <c r="L1110" s="111">
        <f>IF(tech_base!$T206&gt;L$905,"",L2230+tech_proj!L1730/(1-tech_proj!L610))</f>
        <v>80.469654503651654</v>
      </c>
      <c r="M1110" s="111">
        <f>IF(tech_base!$T206&gt;M$905,"",M2230+tech_proj!M1730/(1-tech_proj!M610))</f>
        <v>82.368928611199863</v>
      </c>
      <c r="N1110" s="111">
        <f>IF(tech_base!$T206&gt;N$905,"",N2230+tech_proj!N1730/(1-tech_proj!N610))</f>
        <v>84.268304147977645</v>
      </c>
      <c r="O1110" s="111">
        <f>IF(tech_base!$T206&gt;O$905,"",O2230+tech_proj!O1730/(1-tech_proj!O610))</f>
        <v>86.167628055467773</v>
      </c>
      <c r="P1110" s="111">
        <f>IF(tech_base!$T206&gt;P$905,"",P2230+tech_proj!P1730/(1-tech_proj!P610))</f>
        <v>86.703607615916127</v>
      </c>
      <c r="Q1110" s="111">
        <f>IF(tech_base!$T206&gt;Q$905,"",Q2230+tech_proj!Q1730/(1-tech_proj!Q610))</f>
        <v>86.940575314378719</v>
      </c>
      <c r="R1110" s="111">
        <f>IF(tech_base!$T206&gt;R$905,"",R2230+tech_proj!R1730/(1-tech_proj!R610))</f>
        <v>87.213184757908238</v>
      </c>
      <c r="S1110" s="111">
        <f>IF(tech_base!$T206&gt;S$905,"",S2230+tech_proj!S1730/(1-tech_proj!S610))</f>
        <v>87.664171888114097</v>
      </c>
      <c r="T1110" s="111">
        <f>IF(tech_base!$T206&gt;T$905,"",T2230+tech_proj!T1730/(1-tech_proj!T610))</f>
        <v>88.394713404479177</v>
      </c>
      <c r="U1110" s="111">
        <f>IF(tech_base!$T206&gt;U$905,"",U2230+tech_proj!U1730/(1-tech_proj!U610))</f>
        <v>89.151968330265731</v>
      </c>
      <c r="V1110" s="111">
        <f>IF(tech_base!$T206&gt;V$905,"",V2230+tech_proj!V1730/(1-tech_proj!V610))</f>
        <v>89.973675396239017</v>
      </c>
      <c r="W1110" s="111">
        <f>IF(tech_base!$T206&gt;W$905,"",W2230+tech_proj!W1730/(1-tech_proj!W610))</f>
        <v>90.827646678889991</v>
      </c>
      <c r="X1110" s="111">
        <f>IF(tech_base!$T206&gt;X$905,"",X2230+tech_proj!X1730/(1-tech_proj!X610))</f>
        <v>91.657369191013657</v>
      </c>
      <c r="Y1110" s="111">
        <f>IF(tech_base!$T206&gt;Y$905,"",Y2230+tech_proj!Y1730/(1-tech_proj!Y610))</f>
        <v>92.508835409305121</v>
      </c>
      <c r="Z1110" s="111">
        <f>IF(tech_base!$T206&gt;Z$905,"",Z2230+tech_proj!Z1730/(1-tech_proj!Z610))</f>
        <v>93.347735806153537</v>
      </c>
      <c r="AA1110" s="111">
        <f>IF(tech_base!$T206&gt;AA$905,"",AA2230+tech_proj!AA1730/(1-tech_proj!AA610))</f>
        <v>94.259560714079512</v>
      </c>
      <c r="AB1110" s="111">
        <f>IF(tech_base!$T206&gt;AB$905,"",AB2230+tech_proj!AB1730/(1-tech_proj!AB610))</f>
        <v>95.449369735956225</v>
      </c>
      <c r="AC1110" s="111">
        <f>IF(tech_base!$T206&gt;AC$905,"",AC2230+tech_proj!AC1730/(1-tech_proj!AC610))</f>
        <v>97.237606877481795</v>
      </c>
      <c r="AD1110" s="111">
        <f>IF(tech_base!$T206&gt;AD$905,"",AD2230+tech_proj!AD1730/(1-tech_proj!AD610))</f>
        <v>98.977831662900627</v>
      </c>
      <c r="AE1110" s="111">
        <f>IF(tech_base!$T206&gt;AE$905,"",AE2230+tech_proj!AE1730/(1-tech_proj!AE610))</f>
        <v>100.14665559717223</v>
      </c>
      <c r="AF1110" s="111">
        <f>IF(tech_base!$T206&gt;AF$905,"",AF2230+tech_proj!AF1730/(1-tech_proj!AF610))</f>
        <v>100.81106247122707</v>
      </c>
      <c r="AG1110" s="111">
        <f>IF(tech_base!$T206&gt;AG$905,"",AG2230+tech_proj!AG1730/(1-tech_proj!AG610))</f>
        <v>101.34970158662684</v>
      </c>
      <c r="AH1110" s="111">
        <f>IF(tech_base!$T206&gt;AH$905,"",AH2230+tech_proj!AH1730/(1-tech_proj!AH610))</f>
        <v>101.79066459449803</v>
      </c>
      <c r="AI1110" s="111">
        <f>IF(tech_base!$T206&gt;AI$905,"",AI2230+tech_proj!AI1730/(1-tech_proj!AI610))</f>
        <v>102.23614165840456</v>
      </c>
      <c r="AJ1110" s="111">
        <f>IF(tech_base!$T206&gt;AJ$905,"",AJ2230+tech_proj!AJ1730/(1-tech_proj!AJ610))</f>
        <v>102.65287018531231</v>
      </c>
      <c r="AK1110" s="111">
        <f>IF(tech_base!$T206&gt;AK$905,"",AK2230+tech_proj!AK1730/(1-tech_proj!AK610))</f>
        <v>102.96355680040517</v>
      </c>
      <c r="AL1110" s="111">
        <f>IF(tech_base!$T206&gt;AL$905,"",AL2230+tech_proj!AL1730/(1-tech_proj!AL610))</f>
        <v>103.14610253142891</v>
      </c>
      <c r="AM1110" s="111">
        <f>IF(tech_base!$T206&gt;AM$905,"",AM2230+tech_proj!AM1730/(1-tech_proj!AM610))</f>
        <v>103.09084919097405</v>
      </c>
      <c r="AN1110" s="111">
        <f>IF(tech_base!$T206&gt;AN$905,"",AN2230+tech_proj!AN1730/(1-tech_proj!AN610))</f>
        <v>102.90960158529067</v>
      </c>
      <c r="AO1110" s="111">
        <f>IF(tech_base!$T206&gt;AO$905,"",AO2230+tech_proj!AO1730/(1-tech_proj!AO610))</f>
        <v>102.66161991294588</v>
      </c>
      <c r="AP1110" s="111">
        <f>IF(tech_base!$T206&gt;AP$905,"",AP2230+tech_proj!AP1730/(1-tech_proj!AP610))</f>
        <v>102.35926898944818</v>
      </c>
      <c r="AQ1110" s="111">
        <f>IF(tech_base!$T206&gt;AQ$905,"",AQ2230+tech_proj!AQ1730/(1-tech_proj!AQ610))</f>
        <v>101.98731926203193</v>
      </c>
      <c r="AR1110" s="111">
        <f>IF(tech_base!$T206&gt;AR$905,"",AR2230+tech_proj!AR1730/(1-tech_proj!AR610))</f>
        <v>101.41872278682537</v>
      </c>
      <c r="AS1110" s="111">
        <f>IF(tech_base!$T206&gt;AS$905,"",AS2230+tech_proj!AS1730/(1-tech_proj!AS610))</f>
        <v>100.8575387695044</v>
      </c>
      <c r="AT1110" s="111">
        <f>IF(tech_base!$T206&gt;AT$905,"",AT2230+tech_proj!AT1730/(1-tech_proj!AT610))</f>
        <v>100.16652443355535</v>
      </c>
      <c r="AU1110" s="111">
        <f>IF(tech_base!$T206&gt;AU$905,"",AU2230+tech_proj!AU1730/(1-tech_proj!AU610))</f>
        <v>99.616811594162016</v>
      </c>
      <c r="AV1110" s="111">
        <f>IF(tech_base!$T206&gt;AV$905,"",AV2230+tech_proj!AV1730/(1-tech_proj!AV610))</f>
        <v>99.064959008112098</v>
      </c>
      <c r="AW1110" s="111">
        <f>IF(tech_base!$T206&gt;AW$905,"",AW2230+tech_proj!AW1730/(1-tech_proj!AW610))</f>
        <v>98.516224844433225</v>
      </c>
      <c r="AX1110" s="112">
        <f>IF(tech_base!$T206&gt;AX$905,"",AX2230+tech_proj!AX1730/(1-tech_proj!AX610))</f>
        <v>97.956279101767521</v>
      </c>
    </row>
    <row r="1111" spans="1:50" x14ac:dyDescent="0.25">
      <c r="A1111" s="356"/>
      <c r="B1111" s="376"/>
      <c r="C1111" s="361" t="s">
        <v>15</v>
      </c>
      <c r="D1111" s="58" t="s">
        <v>7</v>
      </c>
      <c r="E1111" s="164" t="str">
        <f>A1107&amp;"/"&amp;B1107&amp;"/"&amp;C1111&amp;"/"&amp;D1111</f>
        <v>Biomass and waste fired power plants/Integrated gasification combined cycle/Electricity only with CCS/L</v>
      </c>
      <c r="F1111" s="78" t="str">
        <f>A1107</f>
        <v>Biomass and waste fired power plants</v>
      </c>
      <c r="G1111" s="78" t="str">
        <f>B1107</f>
        <v>Integrated gasification combined cycle</v>
      </c>
      <c r="H1111" s="78" t="str">
        <f>C1111</f>
        <v>Electricity only with CCS</v>
      </c>
      <c r="I1111" s="165" t="str">
        <f t="shared" si="370"/>
        <v>L</v>
      </c>
      <c r="J1111" s="109" t="str">
        <f>IF(tech_base!$T207&gt;J$905,"",J2231+tech_proj!J1731/(1-tech_proj!J611))</f>
        <v/>
      </c>
      <c r="K1111" s="109" t="str">
        <f>IF(tech_base!$T207&gt;K$905,"",K2231+tech_proj!K1731/(1-tech_proj!K611))</f>
        <v/>
      </c>
      <c r="L1111" s="109" t="str">
        <f>IF(tech_base!$T207&gt;L$905,"",L2231+tech_proj!L1731/(1-tech_proj!L611))</f>
        <v/>
      </c>
      <c r="M1111" s="109" t="str">
        <f>IF(tech_base!$T207&gt;M$905,"",M2231+tech_proj!M1731/(1-tech_proj!M611))</f>
        <v/>
      </c>
      <c r="N1111" s="109" t="str">
        <f>IF(tech_base!$T207&gt;N$905,"",N2231+tech_proj!N1731/(1-tech_proj!N611))</f>
        <v/>
      </c>
      <c r="O1111" s="109" t="str">
        <f>IF(tech_base!$T207&gt;O$905,"",O2231+tech_proj!O1731/(1-tech_proj!O611))</f>
        <v/>
      </c>
      <c r="P1111" s="109" t="str">
        <f>IF(tech_base!$T207&gt;P$905,"",P2231+tech_proj!P1731/(1-tech_proj!P611))</f>
        <v/>
      </c>
      <c r="Q1111" s="109" t="str">
        <f>IF(tech_base!$T207&gt;Q$905,"",Q2231+tech_proj!Q1731/(1-tech_proj!Q611))</f>
        <v/>
      </c>
      <c r="R1111" s="109" t="str">
        <f>IF(tech_base!$T207&gt;R$905,"",R2231+tech_proj!R1731/(1-tech_proj!R611))</f>
        <v/>
      </c>
      <c r="S1111" s="109" t="str">
        <f>IF(tech_base!$T207&gt;S$905,"",S2231+tech_proj!S1731/(1-tech_proj!S611))</f>
        <v/>
      </c>
      <c r="T1111" s="109" t="str">
        <f>IF(tech_base!$T207&gt;T$905,"",T2231+tech_proj!T1731/(1-tech_proj!T611))</f>
        <v/>
      </c>
      <c r="U1111" s="109" t="str">
        <f>IF(tech_base!$T207&gt;U$905,"",U2231+tech_proj!U1731/(1-tech_proj!U611))</f>
        <v/>
      </c>
      <c r="V1111" s="109" t="str">
        <f>IF(tech_base!$T207&gt;V$905,"",V2231+tech_proj!V1731/(1-tech_proj!V611))</f>
        <v/>
      </c>
      <c r="W1111" s="109" t="str">
        <f>IF(tech_base!$T207&gt;W$905,"",W2231+tech_proj!W1731/(1-tech_proj!W611))</f>
        <v/>
      </c>
      <c r="X1111" s="109" t="str">
        <f>IF(tech_base!$T207&gt;X$905,"",X2231+tech_proj!X1731/(1-tech_proj!X611))</f>
        <v/>
      </c>
      <c r="Y1111" s="109" t="str">
        <f>IF(tech_base!$T207&gt;Y$905,"",Y2231+tech_proj!Y1731/(1-tech_proj!Y611))</f>
        <v/>
      </c>
      <c r="Z1111" s="109" t="str">
        <f>IF(tech_base!$T207&gt;Z$905,"",Z2231+tech_proj!Z1731/(1-tech_proj!Z611))</f>
        <v/>
      </c>
      <c r="AA1111" s="109" t="str">
        <f>IF(tech_base!$T207&gt;AA$905,"",AA2231+tech_proj!AA1731/(1-tech_proj!AA611))</f>
        <v/>
      </c>
      <c r="AB1111" s="109" t="str">
        <f>IF(tech_base!$T207&gt;AB$905,"",AB2231+tech_proj!AB1731/(1-tech_proj!AB611))</f>
        <v/>
      </c>
      <c r="AC1111" s="109" t="str">
        <f>IF(tech_base!$T207&gt;AC$905,"",AC2231+tech_proj!AC1731/(1-tech_proj!AC611))</f>
        <v/>
      </c>
      <c r="AD1111" s="109" t="str">
        <f>IF(tech_base!$T207&gt;AD$905,"",AD2231+tech_proj!AD1731/(1-tech_proj!AD611))</f>
        <v/>
      </c>
      <c r="AE1111" s="109">
        <f>IF(tech_base!$T207&gt;AE$905,"",AE2231+tech_proj!AE1731/(1-tech_proj!AE611))</f>
        <v>109.06487126761206</v>
      </c>
      <c r="AF1111" s="109">
        <f>IF(tech_base!$T207&gt;AF$905,"",AF2231+tech_proj!AF1731/(1-tech_proj!AF611))</f>
        <v>109.90657311257507</v>
      </c>
      <c r="AG1111" s="109">
        <f>IF(tech_base!$T207&gt;AG$905,"",AG2231+tech_proj!AG1731/(1-tech_proj!AG611))</f>
        <v>110.63760018282794</v>
      </c>
      <c r="AH1111" s="109">
        <f>IF(tech_base!$T207&gt;AH$905,"",AH2231+tech_proj!AH1731/(1-tech_proj!AH611))</f>
        <v>111.29256579739382</v>
      </c>
      <c r="AI1111" s="109">
        <f>IF(tech_base!$T207&gt;AI$905,"",AI2231+tech_proj!AI1731/(1-tech_proj!AI611))</f>
        <v>111.98731254971032</v>
      </c>
      <c r="AJ1111" s="109">
        <f>IF(tech_base!$T207&gt;AJ$905,"",AJ2231+tech_proj!AJ1731/(1-tech_proj!AJ611))</f>
        <v>112.69099528340486</v>
      </c>
      <c r="AK1111" s="109">
        <f>IF(tech_base!$T207&gt;AK$905,"",AK2231+tech_proj!AK1731/(1-tech_proj!AK611))</f>
        <v>113.32446388670158</v>
      </c>
      <c r="AL1111" s="109">
        <f>IF(tech_base!$T207&gt;AL$905,"",AL2231+tech_proj!AL1731/(1-tech_proj!AL611))</f>
        <v>113.867956006296</v>
      </c>
      <c r="AM1111" s="109">
        <f>IF(tech_base!$T207&gt;AM$905,"",AM2231+tech_proj!AM1731/(1-tech_proj!AM611))</f>
        <v>114.20402359066448</v>
      </c>
      <c r="AN1111" s="109">
        <f>IF(tech_base!$T207&gt;AN$905,"",AN2231+tech_proj!AN1731/(1-tech_proj!AN611))</f>
        <v>114.45620638361747</v>
      </c>
      <c r="AO1111" s="109">
        <f>IF(tech_base!$T207&gt;AO$905,"",AO2231+tech_proj!AO1731/(1-tech_proj!AO611))</f>
        <v>114.68845254235013</v>
      </c>
      <c r="AP1111" s="109">
        <f>IF(tech_base!$T207&gt;AP$905,"",AP2231+tech_proj!AP1731/(1-tech_proj!AP611))</f>
        <v>114.90923712735029</v>
      </c>
      <c r="AQ1111" s="109">
        <f>IF(tech_base!$T207&gt;AQ$905,"",AQ2231+tech_proj!AQ1731/(1-tech_proj!AQ611))</f>
        <v>115.09051232537828</v>
      </c>
      <c r="AR1111" s="109">
        <f>IF(tech_base!$T207&gt;AR$905,"",AR2231+tech_proj!AR1731/(1-tech_proj!AR611))</f>
        <v>115.0703860473169</v>
      </c>
      <c r="AS1111" s="109">
        <f>IF(tech_base!$T207&gt;AS$905,"",AS2231+tech_proj!AS1731/(1-tech_proj!AS611))</f>
        <v>115.04947341587965</v>
      </c>
      <c r="AT1111" s="109">
        <f>IF(tech_base!$T207&gt;AT$905,"",AT2231+tech_proj!AT1731/(1-tech_proj!AT611))</f>
        <v>114.83506935773633</v>
      </c>
      <c r="AU1111" s="109">
        <f>IF(tech_base!$T207&gt;AU$905,"",AU2231+tech_proj!AU1731/(1-tech_proj!AU611))</f>
        <v>114.68863251974663</v>
      </c>
      <c r="AV1111" s="109">
        <f>IF(tech_base!$T207&gt;AV$905,"",AV2231+tech_proj!AV1731/(1-tech_proj!AV611))</f>
        <v>114.39513244398795</v>
      </c>
      <c r="AW1111" s="109">
        <f>IF(tech_base!$T207&gt;AW$905,"",AW2231+tech_proj!AW1731/(1-tech_proj!AW611))</f>
        <v>113.907254491877</v>
      </c>
      <c r="AX1111" s="110">
        <f>IF(tech_base!$T207&gt;AX$905,"",AX2231+tech_proj!AX1731/(1-tech_proj!AX611))</f>
        <v>113.16390493324209</v>
      </c>
    </row>
    <row r="1112" spans="1:50" x14ac:dyDescent="0.25">
      <c r="A1112" s="356"/>
      <c r="B1112" s="376"/>
      <c r="C1112" s="379"/>
      <c r="D1112" s="59" t="s">
        <v>8</v>
      </c>
      <c r="E1112" s="166" t="str">
        <f>A1107&amp;"/"&amp;B1107&amp;"/"&amp;C1111&amp;"/"&amp;D1112</f>
        <v>Biomass and waste fired power plants/Integrated gasification combined cycle/Electricity only with CCS/M</v>
      </c>
      <c r="F1112" s="79" t="str">
        <f>A1107</f>
        <v>Biomass and waste fired power plants</v>
      </c>
      <c r="G1112" s="79" t="str">
        <f>B1107</f>
        <v>Integrated gasification combined cycle</v>
      </c>
      <c r="H1112" s="79" t="str">
        <f>C1111</f>
        <v>Electricity only with CCS</v>
      </c>
      <c r="I1112" s="167" t="str">
        <f t="shared" si="370"/>
        <v>M</v>
      </c>
      <c r="J1112" s="111" t="str">
        <f>IF(tech_base!$T208&gt;J$905,"",J2232+tech_proj!J1732/(1-tech_proj!J612))</f>
        <v/>
      </c>
      <c r="K1112" s="111" t="str">
        <f>IF(tech_base!$T208&gt;K$905,"",K2232+tech_proj!K1732/(1-tech_proj!K612))</f>
        <v/>
      </c>
      <c r="L1112" s="111" t="str">
        <f>IF(tech_base!$T208&gt;L$905,"",L2232+tech_proj!L1732/(1-tech_proj!L612))</f>
        <v/>
      </c>
      <c r="M1112" s="111" t="str">
        <f>IF(tech_base!$T208&gt;M$905,"",M2232+tech_proj!M1732/(1-tech_proj!M612))</f>
        <v/>
      </c>
      <c r="N1112" s="111" t="str">
        <f>IF(tech_base!$T208&gt;N$905,"",N2232+tech_proj!N1732/(1-tech_proj!N612))</f>
        <v/>
      </c>
      <c r="O1112" s="111" t="str">
        <f>IF(tech_base!$T208&gt;O$905,"",O2232+tech_proj!O1732/(1-tech_proj!O612))</f>
        <v/>
      </c>
      <c r="P1112" s="111" t="str">
        <f>IF(tech_base!$T208&gt;P$905,"",P2232+tech_proj!P1732/(1-tech_proj!P612))</f>
        <v/>
      </c>
      <c r="Q1112" s="111" t="str">
        <f>IF(tech_base!$T208&gt;Q$905,"",Q2232+tech_proj!Q1732/(1-tech_proj!Q612))</f>
        <v/>
      </c>
      <c r="R1112" s="111" t="str">
        <f>IF(tech_base!$T208&gt;R$905,"",R2232+tech_proj!R1732/(1-tech_proj!R612))</f>
        <v/>
      </c>
      <c r="S1112" s="111" t="str">
        <f>IF(tech_base!$T208&gt;S$905,"",S2232+tech_proj!S1732/(1-tech_proj!S612))</f>
        <v/>
      </c>
      <c r="T1112" s="111" t="str">
        <f>IF(tech_base!$T208&gt;T$905,"",T2232+tech_proj!T1732/(1-tech_proj!T612))</f>
        <v/>
      </c>
      <c r="U1112" s="111" t="str">
        <f>IF(tech_base!$T208&gt;U$905,"",U2232+tech_proj!U1732/(1-tech_proj!U612))</f>
        <v/>
      </c>
      <c r="V1112" s="111" t="str">
        <f>IF(tech_base!$T208&gt;V$905,"",V2232+tech_proj!V1732/(1-tech_proj!V612))</f>
        <v/>
      </c>
      <c r="W1112" s="111" t="str">
        <f>IF(tech_base!$T208&gt;W$905,"",W2232+tech_proj!W1732/(1-tech_proj!W612))</f>
        <v/>
      </c>
      <c r="X1112" s="111" t="str">
        <f>IF(tech_base!$T208&gt;X$905,"",X2232+tech_proj!X1732/(1-tech_proj!X612))</f>
        <v/>
      </c>
      <c r="Y1112" s="111" t="str">
        <f>IF(tech_base!$T208&gt;Y$905,"",Y2232+tech_proj!Y1732/(1-tech_proj!Y612))</f>
        <v/>
      </c>
      <c r="Z1112" s="111" t="str">
        <f>IF(tech_base!$T208&gt;Z$905,"",Z2232+tech_proj!Z1732/(1-tech_proj!Z612))</f>
        <v/>
      </c>
      <c r="AA1112" s="111" t="str">
        <f>IF(tech_base!$T208&gt;AA$905,"",AA2232+tech_proj!AA1732/(1-tech_proj!AA612))</f>
        <v/>
      </c>
      <c r="AB1112" s="111" t="str">
        <f>IF(tech_base!$T208&gt;AB$905,"",AB2232+tech_proj!AB1732/(1-tech_proj!AB612))</f>
        <v/>
      </c>
      <c r="AC1112" s="111" t="str">
        <f>IF(tech_base!$T208&gt;AC$905,"",AC2232+tech_proj!AC1732/(1-tech_proj!AC612))</f>
        <v/>
      </c>
      <c r="AD1112" s="111" t="str">
        <f>IF(tech_base!$T208&gt;AD$905,"",AD2232+tech_proj!AD1732/(1-tech_proj!AD612))</f>
        <v/>
      </c>
      <c r="AE1112" s="111">
        <f>IF(tech_base!$T208&gt;AE$905,"",AE2232+tech_proj!AE1732/(1-tech_proj!AE612))</f>
        <v>116.32589167818576</v>
      </c>
      <c r="AF1112" s="111">
        <f>IF(tech_base!$T208&gt;AF$905,"",AF2232+tech_proj!AF1732/(1-tech_proj!AF612))</f>
        <v>117.22662785062836</v>
      </c>
      <c r="AG1112" s="111">
        <f>IF(tech_base!$T208&gt;AG$905,"",AG2232+tech_proj!AG1732/(1-tech_proj!AG612))</f>
        <v>118.01077261794069</v>
      </c>
      <c r="AH1112" s="111">
        <f>IF(tech_base!$T208&gt;AH$905,"",AH2232+tech_proj!AH1732/(1-tech_proj!AH612))</f>
        <v>118.71547295062986</v>
      </c>
      <c r="AI1112" s="111">
        <f>IF(tech_base!$T208&gt;AI$905,"",AI2232+tech_proj!AI1732/(1-tech_proj!AI612))</f>
        <v>119.46443428697452</v>
      </c>
      <c r="AJ1112" s="111">
        <f>IF(tech_base!$T208&gt;AJ$905,"",AJ2232+tech_proj!AJ1732/(1-tech_proj!AJ612))</f>
        <v>120.22517063348639</v>
      </c>
      <c r="AK1112" s="111">
        <f>IF(tech_base!$T208&gt;AK$905,"",AK2232+tech_proj!AK1732/(1-tech_proj!AK612))</f>
        <v>120.91371689409628</v>
      </c>
      <c r="AL1112" s="111">
        <f>IF(tech_base!$T208&gt;AL$905,"",AL2232+tech_proj!AL1732/(1-tech_proj!AL612))</f>
        <v>121.5092654851172</v>
      </c>
      <c r="AM1112" s="111">
        <f>IF(tech_base!$T208&gt;AM$905,"",AM2232+tech_proj!AM1732/(1-tech_proj!AM612))</f>
        <v>121.88670417098477</v>
      </c>
      <c r="AN1112" s="111">
        <f>IF(tech_base!$T208&gt;AN$905,"",AN2232+tech_proj!AN1732/(1-tech_proj!AN612))</f>
        <v>122.17728663101141</v>
      </c>
      <c r="AO1112" s="111">
        <f>IF(tech_base!$T208&gt;AO$905,"",AO2232+tech_proj!AO1732/(1-tech_proj!AO612))</f>
        <v>122.4481448147689</v>
      </c>
      <c r="AP1112" s="111">
        <f>IF(tech_base!$T208&gt;AP$905,"",AP2232+tech_proj!AP1732/(1-tech_proj!AP612))</f>
        <v>122.70619404844804</v>
      </c>
      <c r="AQ1112" s="111">
        <f>IF(tech_base!$T208&gt;AQ$905,"",AQ2232+tech_proj!AQ1732/(1-tech_proj!AQ612))</f>
        <v>122.91764360835585</v>
      </c>
      <c r="AR1112" s="111">
        <f>IF(tech_base!$T208&gt;AR$905,"",AR2232+tech_proj!AR1732/(1-tech_proj!AR612))</f>
        <v>122.90331475921988</v>
      </c>
      <c r="AS1112" s="111">
        <f>IF(tech_base!$T208&gt;AS$905,"",AS2232+tech_proj!AS1732/(1-tech_proj!AS612))</f>
        <v>122.86690078597083</v>
      </c>
      <c r="AT1112" s="111">
        <f>IF(tech_base!$T208&gt;AT$905,"",AT2232+tech_proj!AT1732/(1-tech_proj!AT612))</f>
        <v>122.58799427433907</v>
      </c>
      <c r="AU1112" s="111">
        <f>IF(tech_base!$T208&gt;AU$905,"",AU2232+tech_proj!AU1732/(1-tech_proj!AU612))</f>
        <v>122.32501759339509</v>
      </c>
      <c r="AV1112" s="111">
        <f>IF(tech_base!$T208&gt;AV$905,"",AV2232+tech_proj!AV1732/(1-tech_proj!AV612))</f>
        <v>121.82390024016917</v>
      </c>
      <c r="AW1112" s="111">
        <f>IF(tech_base!$T208&gt;AW$905,"",AW2232+tech_proj!AW1732/(1-tech_proj!AW612))</f>
        <v>121.00874711680552</v>
      </c>
      <c r="AX1112" s="112">
        <f>IF(tech_base!$T208&gt;AX$905,"",AX2232+tech_proj!AX1732/(1-tech_proj!AX612))</f>
        <v>119.79645410077542</v>
      </c>
    </row>
    <row r="1113" spans="1:50" x14ac:dyDescent="0.25">
      <c r="A1113" s="356"/>
      <c r="B1113" s="376"/>
      <c r="C1113" s="361" t="s">
        <v>16</v>
      </c>
      <c r="D1113" s="2" t="s">
        <v>7</v>
      </c>
      <c r="E1113" s="160" t="str">
        <f>A1107&amp;"/"&amp;B1107&amp;"/"&amp;C1113&amp;"/"&amp;D1113</f>
        <v>Biomass and waste fired power plants/Integrated gasification combined cycle/CHP with CCS/L</v>
      </c>
      <c r="F1113" s="76" t="str">
        <f>A1107</f>
        <v>Biomass and waste fired power plants</v>
      </c>
      <c r="G1113" s="76" t="str">
        <f>B1107</f>
        <v>Integrated gasification combined cycle</v>
      </c>
      <c r="H1113" s="76" t="str">
        <f>C1113</f>
        <v>CHP with CCS</v>
      </c>
      <c r="I1113" s="161" t="str">
        <f t="shared" si="370"/>
        <v>L</v>
      </c>
      <c r="J1113" s="105" t="str">
        <f>IF(tech_base!$T209&gt;J$905,"",J2233+tech_proj!J1733/(1-tech_proj!J613))</f>
        <v/>
      </c>
      <c r="K1113" s="105" t="str">
        <f>IF(tech_base!$T209&gt;K$905,"",K2233+tech_proj!K1733/(1-tech_proj!K613))</f>
        <v/>
      </c>
      <c r="L1113" s="105" t="str">
        <f>IF(tech_base!$T209&gt;L$905,"",L2233+tech_proj!L1733/(1-tech_proj!L613))</f>
        <v/>
      </c>
      <c r="M1113" s="105" t="str">
        <f>IF(tech_base!$T209&gt;M$905,"",M2233+tech_proj!M1733/(1-tech_proj!M613))</f>
        <v/>
      </c>
      <c r="N1113" s="105" t="str">
        <f>IF(tech_base!$T209&gt;N$905,"",N2233+tech_proj!N1733/(1-tech_proj!N613))</f>
        <v/>
      </c>
      <c r="O1113" s="105" t="str">
        <f>IF(tech_base!$T209&gt;O$905,"",O2233+tech_proj!O1733/(1-tech_proj!O613))</f>
        <v/>
      </c>
      <c r="P1113" s="105" t="str">
        <f>IF(tech_base!$T209&gt;P$905,"",P2233+tech_proj!P1733/(1-tech_proj!P613))</f>
        <v/>
      </c>
      <c r="Q1113" s="105" t="str">
        <f>IF(tech_base!$T209&gt;Q$905,"",Q2233+tech_proj!Q1733/(1-tech_proj!Q613))</f>
        <v/>
      </c>
      <c r="R1113" s="105" t="str">
        <f>IF(tech_base!$T209&gt;R$905,"",R2233+tech_proj!R1733/(1-tech_proj!R613))</f>
        <v/>
      </c>
      <c r="S1113" s="105" t="str">
        <f>IF(tech_base!$T209&gt;S$905,"",S2233+tech_proj!S1733/(1-tech_proj!S613))</f>
        <v/>
      </c>
      <c r="T1113" s="105" t="str">
        <f>IF(tech_base!$T209&gt;T$905,"",T2233+tech_proj!T1733/(1-tech_proj!T613))</f>
        <v/>
      </c>
      <c r="U1113" s="105" t="str">
        <f>IF(tech_base!$T209&gt;U$905,"",U2233+tech_proj!U1733/(1-tech_proj!U613))</f>
        <v/>
      </c>
      <c r="V1113" s="105" t="str">
        <f>IF(tech_base!$T209&gt;V$905,"",V2233+tech_proj!V1733/(1-tech_proj!V613))</f>
        <v/>
      </c>
      <c r="W1113" s="105" t="str">
        <f>IF(tech_base!$T209&gt;W$905,"",W2233+tech_proj!W1733/(1-tech_proj!W613))</f>
        <v/>
      </c>
      <c r="X1113" s="105" t="str">
        <f>IF(tech_base!$T209&gt;X$905,"",X2233+tech_proj!X1733/(1-tech_proj!X613))</f>
        <v/>
      </c>
      <c r="Y1113" s="105" t="str">
        <f>IF(tech_base!$T209&gt;Y$905,"",Y2233+tech_proj!Y1733/(1-tech_proj!Y613))</f>
        <v/>
      </c>
      <c r="Z1113" s="105" t="str">
        <f>IF(tech_base!$T209&gt;Z$905,"",Z2233+tech_proj!Z1733/(1-tech_proj!Z613))</f>
        <v/>
      </c>
      <c r="AA1113" s="105" t="str">
        <f>IF(tech_base!$T209&gt;AA$905,"",AA2233+tech_proj!AA1733/(1-tech_proj!AA613))</f>
        <v/>
      </c>
      <c r="AB1113" s="105" t="str">
        <f>IF(tech_base!$T209&gt;AB$905,"",AB2233+tech_proj!AB1733/(1-tech_proj!AB613))</f>
        <v/>
      </c>
      <c r="AC1113" s="105" t="str">
        <f>IF(tech_base!$T209&gt;AC$905,"",AC2233+tech_proj!AC1733/(1-tech_proj!AC613))</f>
        <v/>
      </c>
      <c r="AD1113" s="105" t="str">
        <f>IF(tech_base!$T209&gt;AD$905,"",AD2233+tech_proj!AD1733/(1-tech_proj!AD613))</f>
        <v/>
      </c>
      <c r="AE1113" s="105">
        <f>IF(tech_base!$T209&gt;AE$905,"",AE2233+tech_proj!AE1733/(1-tech_proj!AE613))</f>
        <v>123.03352105450881</v>
      </c>
      <c r="AF1113" s="105">
        <f>IF(tech_base!$T209&gt;AF$905,"",AF2233+tech_proj!AF1733/(1-tech_proj!AF613))</f>
        <v>123.98648533860737</v>
      </c>
      <c r="AG1113" s="105">
        <f>IF(tech_base!$T209&gt;AG$905,"",AG2233+tech_proj!AG1733/(1-tech_proj!AG613))</f>
        <v>124.8144849967134</v>
      </c>
      <c r="AH1113" s="105">
        <f>IF(tech_base!$T209&gt;AH$905,"",AH2233+tech_proj!AH1733/(1-tech_proj!AH613))</f>
        <v>125.55676739016405</v>
      </c>
      <c r="AI1113" s="105">
        <f>IF(tech_base!$T209&gt;AI$905,"",AI2233+tech_proj!AI1733/(1-tech_proj!AI613))</f>
        <v>126.34451423480839</v>
      </c>
      <c r="AJ1113" s="105">
        <f>IF(tech_base!$T209&gt;AJ$905,"",AJ2233+tech_proj!AJ1733/(1-tech_proj!AJ613))</f>
        <v>127.14298952302464</v>
      </c>
      <c r="AK1113" s="105">
        <f>IF(tech_base!$T209&gt;AK$905,"",AK2233+tech_proj!AK1733/(1-tech_proj!AK613))</f>
        <v>127.86285718309193</v>
      </c>
      <c r="AL1113" s="105">
        <f>IF(tech_base!$T209&gt;AL$905,"",AL2233+tech_proj!AL1733/(1-tech_proj!AL613))</f>
        <v>128.48204238647281</v>
      </c>
      <c r="AM1113" s="105">
        <f>IF(tech_base!$T209&gt;AM$905,"",AM2233+tech_proj!AM1733/(1-tech_proj!AM613))</f>
        <v>128.86802844500869</v>
      </c>
      <c r="AN1113" s="105">
        <f>IF(tech_base!$T209&gt;AN$905,"",AN2233+tech_proj!AN1733/(1-tech_proj!AN613))</f>
        <v>129.16109083697057</v>
      </c>
      <c r="AO1113" s="105">
        <f>IF(tech_base!$T209&gt;AO$905,"",AO2233+tech_proj!AO1733/(1-tech_proj!AO613))</f>
        <v>129.43424998380428</v>
      </c>
      <c r="AP1113" s="105">
        <f>IF(tech_base!$T209&gt;AP$905,"",AP2233+tech_proj!AP1733/(1-tech_proj!AP613))</f>
        <v>129.69796823186013</v>
      </c>
      <c r="AQ1113" s="105">
        <f>IF(tech_base!$T209&gt;AQ$905,"",AQ2233+tech_proj!AQ1733/(1-tech_proj!AQ613))</f>
        <v>129.92162995579093</v>
      </c>
      <c r="AR1113" s="105">
        <f>IF(tech_base!$T209&gt;AR$905,"",AR2233+tech_proj!AR1733/(1-tech_proj!AR613))</f>
        <v>129.92338981480881</v>
      </c>
      <c r="AS1113" s="105">
        <f>IF(tech_base!$T209&gt;AS$905,"",AS2233+tech_proj!AS1733/(1-tech_proj!AS613))</f>
        <v>129.93207509540008</v>
      </c>
      <c r="AT1113" s="105">
        <f>IF(tech_base!$T209&gt;AT$905,"",AT2233+tech_proj!AT1733/(1-tech_proj!AT613))</f>
        <v>129.73157603897209</v>
      </c>
      <c r="AU1113" s="105">
        <f>IF(tech_base!$T209&gt;AU$905,"",AU2233+tech_proj!AU1733/(1-tech_proj!AU613))</f>
        <v>129.62040814894718</v>
      </c>
      <c r="AV1113" s="105">
        <f>IF(tech_base!$T209&gt;AV$905,"",AV2233+tech_proj!AV1733/(1-tech_proj!AV613))</f>
        <v>129.3575845655551</v>
      </c>
      <c r="AW1113" s="105">
        <f>IF(tech_base!$T209&gt;AW$905,"",AW2233+tech_proj!AW1733/(1-tech_proj!AW613))</f>
        <v>128.89175908713796</v>
      </c>
      <c r="AX1113" s="106">
        <f>IF(tech_base!$T209&gt;AX$905,"",AX2233+tech_proj!AX1733/(1-tech_proj!AX613))</f>
        <v>128.15510145040935</v>
      </c>
    </row>
    <row r="1114" spans="1:50" x14ac:dyDescent="0.25">
      <c r="A1114" s="356"/>
      <c r="B1114" s="380"/>
      <c r="C1114" s="381"/>
      <c r="D1114" s="4" t="s">
        <v>8</v>
      </c>
      <c r="E1114" s="168" t="str">
        <f>A1107&amp;"/"&amp;B1107&amp;"/"&amp;C1113&amp;"/"&amp;D1114</f>
        <v>Biomass and waste fired power plants/Integrated gasification combined cycle/CHP with CCS/M</v>
      </c>
      <c r="F1114" s="80" t="str">
        <f>A1107</f>
        <v>Biomass and waste fired power plants</v>
      </c>
      <c r="G1114" s="80" t="str">
        <f>B1107</f>
        <v>Integrated gasification combined cycle</v>
      </c>
      <c r="H1114" s="80" t="str">
        <f>C1113</f>
        <v>CHP with CCS</v>
      </c>
      <c r="I1114" s="169" t="str">
        <f t="shared" si="370"/>
        <v>M</v>
      </c>
      <c r="J1114" s="113" t="str">
        <f>IF(tech_base!$T210&gt;J$905,"",J2234+tech_proj!J1734/(1-tech_proj!J614))</f>
        <v/>
      </c>
      <c r="K1114" s="113" t="str">
        <f>IF(tech_base!$T210&gt;K$905,"",K2234+tech_proj!K1734/(1-tech_proj!K614))</f>
        <v/>
      </c>
      <c r="L1114" s="113" t="str">
        <f>IF(tech_base!$T210&gt;L$905,"",L2234+tech_proj!L1734/(1-tech_proj!L614))</f>
        <v/>
      </c>
      <c r="M1114" s="113" t="str">
        <f>IF(tech_base!$T210&gt;M$905,"",M2234+tech_proj!M1734/(1-tech_proj!M614))</f>
        <v/>
      </c>
      <c r="N1114" s="113" t="str">
        <f>IF(tech_base!$T210&gt;N$905,"",N2234+tech_proj!N1734/(1-tech_proj!N614))</f>
        <v/>
      </c>
      <c r="O1114" s="113" t="str">
        <f>IF(tech_base!$T210&gt;O$905,"",O2234+tech_proj!O1734/(1-tech_proj!O614))</f>
        <v/>
      </c>
      <c r="P1114" s="113" t="str">
        <f>IF(tech_base!$T210&gt;P$905,"",P2234+tech_proj!P1734/(1-tech_proj!P614))</f>
        <v/>
      </c>
      <c r="Q1114" s="113" t="str">
        <f>IF(tech_base!$T210&gt;Q$905,"",Q2234+tech_proj!Q1734/(1-tech_proj!Q614))</f>
        <v/>
      </c>
      <c r="R1114" s="113" t="str">
        <f>IF(tech_base!$T210&gt;R$905,"",R2234+tech_proj!R1734/(1-tech_proj!R614))</f>
        <v/>
      </c>
      <c r="S1114" s="113" t="str">
        <f>IF(tech_base!$T210&gt;S$905,"",S2234+tech_proj!S1734/(1-tech_proj!S614))</f>
        <v/>
      </c>
      <c r="T1114" s="113" t="str">
        <f>IF(tech_base!$T210&gt;T$905,"",T2234+tech_proj!T1734/(1-tech_proj!T614))</f>
        <v/>
      </c>
      <c r="U1114" s="113" t="str">
        <f>IF(tech_base!$T210&gt;U$905,"",U2234+tech_proj!U1734/(1-tech_proj!U614))</f>
        <v/>
      </c>
      <c r="V1114" s="113" t="str">
        <f>IF(tech_base!$T210&gt;V$905,"",V2234+tech_proj!V1734/(1-tech_proj!V614))</f>
        <v/>
      </c>
      <c r="W1114" s="113" t="str">
        <f>IF(tech_base!$T210&gt;W$905,"",W2234+tech_proj!W1734/(1-tech_proj!W614))</f>
        <v/>
      </c>
      <c r="X1114" s="113" t="str">
        <f>IF(tech_base!$T210&gt;X$905,"",X2234+tech_proj!X1734/(1-tech_proj!X614))</f>
        <v/>
      </c>
      <c r="Y1114" s="113" t="str">
        <f>IF(tech_base!$T210&gt;Y$905,"",Y2234+tech_proj!Y1734/(1-tech_proj!Y614))</f>
        <v/>
      </c>
      <c r="Z1114" s="113" t="str">
        <f>IF(tech_base!$T210&gt;Z$905,"",Z2234+tech_proj!Z1734/(1-tech_proj!Z614))</f>
        <v/>
      </c>
      <c r="AA1114" s="113" t="str">
        <f>IF(tech_base!$T210&gt;AA$905,"",AA2234+tech_proj!AA1734/(1-tech_proj!AA614))</f>
        <v/>
      </c>
      <c r="AB1114" s="113" t="str">
        <f>IF(tech_base!$T210&gt;AB$905,"",AB2234+tech_proj!AB1734/(1-tech_proj!AB614))</f>
        <v/>
      </c>
      <c r="AC1114" s="113" t="str">
        <f>IF(tech_base!$T210&gt;AC$905,"",AC2234+tech_proj!AC1734/(1-tech_proj!AC614))</f>
        <v/>
      </c>
      <c r="AD1114" s="113" t="str">
        <f>IF(tech_base!$T210&gt;AD$905,"",AD2234+tech_proj!AD1734/(1-tech_proj!AD614))</f>
        <v/>
      </c>
      <c r="AE1114" s="113">
        <f>IF(tech_base!$T210&gt;AE$905,"",AE2234+tech_proj!AE1734/(1-tech_proj!AE614))</f>
        <v>131.3913049718166</v>
      </c>
      <c r="AF1114" s="113">
        <f>IF(tech_base!$T210&gt;AF$905,"",AF2234+tech_proj!AF1734/(1-tech_proj!AF614))</f>
        <v>132.41291732511095</v>
      </c>
      <c r="AG1114" s="113">
        <f>IF(tech_base!$T210&gt;AG$905,"",AG2234+tech_proj!AG1734/(1-tech_proj!AG614))</f>
        <v>133.30266627310422</v>
      </c>
      <c r="AH1114" s="113">
        <f>IF(tech_base!$T210&gt;AH$905,"",AH2234+tech_proj!AH1734/(1-tech_proj!AH614))</f>
        <v>134.10277735853194</v>
      </c>
      <c r="AI1114" s="113">
        <f>IF(tech_base!$T210&gt;AI$905,"",AI2234+tech_proj!AI1734/(1-tech_proj!AI614))</f>
        <v>134.95364150090805</v>
      </c>
      <c r="AJ1114" s="113">
        <f>IF(tech_base!$T210&gt;AJ$905,"",AJ2234+tech_proj!AJ1734/(1-tech_proj!AJ614))</f>
        <v>135.81868555700973</v>
      </c>
      <c r="AK1114" s="113">
        <f>IF(tech_base!$T210&gt;AK$905,"",AK2234+tech_proj!AK1734/(1-tech_proj!AK614))</f>
        <v>136.60308541212027</v>
      </c>
      <c r="AL1114" s="113">
        <f>IF(tech_base!$T210&gt;AL$905,"",AL2234+tech_proj!AL1734/(1-tech_proj!AL614))</f>
        <v>137.28374665231797</v>
      </c>
      <c r="AM1114" s="113">
        <f>IF(tech_base!$T210&gt;AM$905,"",AM2234+tech_proj!AM1734/(1-tech_proj!AM614))</f>
        <v>137.71952786715886</v>
      </c>
      <c r="AN1114" s="113">
        <f>IF(tech_base!$T210&gt;AN$905,"",AN2234+tech_proj!AN1734/(1-tech_proj!AN614))</f>
        <v>138.0601728418234</v>
      </c>
      <c r="AO1114" s="113">
        <f>IF(tech_base!$T210&gt;AO$905,"",AO2234+tech_proj!AO1734/(1-tech_proj!AO614))</f>
        <v>138.38314016793612</v>
      </c>
      <c r="AP1114" s="113">
        <f>IF(tech_base!$T210&gt;AP$905,"",AP2234+tech_proj!AP1734/(1-tech_proj!AP614))</f>
        <v>138.69816355909734</v>
      </c>
      <c r="AQ1114" s="113">
        <f>IF(tech_base!$T210&gt;AQ$905,"",AQ2234+tech_proj!AQ1734/(1-tech_proj!AQ614))</f>
        <v>138.96953218922815</v>
      </c>
      <c r="AR1114" s="113">
        <f>IF(tech_base!$T210&gt;AR$905,"",AR2234+tech_proj!AR1734/(1-tech_proj!AR614))</f>
        <v>138.99749475035745</v>
      </c>
      <c r="AS1114" s="113">
        <f>IF(tech_base!$T210&gt;AS$905,"",AS2234+tech_proj!AS1734/(1-tech_proj!AS614))</f>
        <v>139.01772269518165</v>
      </c>
      <c r="AT1114" s="113">
        <f>IF(tech_base!$T210&gt;AT$905,"",AT2234+tech_proj!AT1734/(1-tech_proj!AT614))</f>
        <v>138.78601250951309</v>
      </c>
      <c r="AU1114" s="113">
        <f>IF(tech_base!$T210&gt;AU$905,"",AU2234+tech_proj!AU1734/(1-tech_proj!AU614))</f>
        <v>138.60310271961103</v>
      </c>
      <c r="AV1114" s="113">
        <f>IF(tech_base!$T210&gt;AV$905,"",AV2234+tech_proj!AV1734/(1-tech_proj!AV614))</f>
        <v>138.18884909489685</v>
      </c>
      <c r="AW1114" s="113">
        <f>IF(tech_base!$T210&gt;AW$905,"",AW2234+tech_proj!AW1734/(1-tech_proj!AW614))</f>
        <v>137.46510506829932</v>
      </c>
      <c r="AX1114" s="114">
        <f>IF(tech_base!$T210&gt;AX$905,"",AX2234+tech_proj!AX1734/(1-tech_proj!AX614))</f>
        <v>136.34311177231285</v>
      </c>
    </row>
    <row r="1115" spans="1:50" x14ac:dyDescent="0.25">
      <c r="A1115" s="356"/>
      <c r="B1115" s="358" t="s">
        <v>18</v>
      </c>
      <c r="C1115" s="353" t="s">
        <v>6</v>
      </c>
      <c r="D1115" s="3" t="s">
        <v>7</v>
      </c>
      <c r="E1115" s="162" t="str">
        <f>A1107&amp;"/"&amp;B1115&amp;"/"&amp;C1115&amp;"/"&amp;D1115</f>
        <v>Biomass and waste fired power plants/Fluidized bed combustion/Electricity only/L</v>
      </c>
      <c r="F1115" s="77" t="str">
        <f>A1107</f>
        <v>Biomass and waste fired power plants</v>
      </c>
      <c r="G1115" s="77" t="str">
        <f>B1115</f>
        <v>Fluidized bed combustion</v>
      </c>
      <c r="H1115" s="77" t="str">
        <f>C1115</f>
        <v>Electricity only</v>
      </c>
      <c r="I1115" s="163" t="str">
        <f t="shared" si="370"/>
        <v>L</v>
      </c>
      <c r="J1115" s="107">
        <f>IF(tech_base!$T211&gt;J$905,"",J2235+tech_proj!J1735/(1-tech_proj!J615))</f>
        <v>73.154087932164359</v>
      </c>
      <c r="K1115" s="107">
        <f>IF(tech_base!$T211&gt;K$905,"",K2235+tech_proj!K1735/(1-tech_proj!K615))</f>
        <v>75.012674088111368</v>
      </c>
      <c r="L1115" s="107">
        <f>IF(tech_base!$T211&gt;L$905,"",L2235+tech_proj!L1735/(1-tech_proj!L615))</f>
        <v>76.871722421757255</v>
      </c>
      <c r="M1115" s="107">
        <f>IF(tech_base!$T211&gt;M$905,"",M2235+tech_proj!M1735/(1-tech_proj!M615))</f>
        <v>78.731171015164222</v>
      </c>
      <c r="N1115" s="107">
        <f>IF(tech_base!$T211&gt;N$905,"",N2235+tech_proj!N1735/(1-tech_proj!N615))</f>
        <v>80.590943156358321</v>
      </c>
      <c r="O1115" s="107">
        <f>IF(tech_base!$T211&gt;O$905,"",O2235+tech_proj!O1735/(1-tech_proj!O615))</f>
        <v>82.450943857452131</v>
      </c>
      <c r="P1115" s="107">
        <f>IF(tech_base!$T211&gt;P$905,"",P2235+tech_proj!P1735/(1-tech_proj!P615))</f>
        <v>82.977052016621172</v>
      </c>
      <c r="Q1115" s="107">
        <f>IF(tech_base!$T211&gt;Q$905,"",Q2235+tech_proj!Q1735/(1-tech_proj!Q615))</f>
        <v>83.210896749343831</v>
      </c>
      <c r="R1115" s="107">
        <f>IF(tech_base!$T211&gt;R$905,"",R2235+tech_proj!R1735/(1-tech_proj!R615))</f>
        <v>83.480064829305761</v>
      </c>
      <c r="S1115" s="107">
        <f>IF(tech_base!$T211&gt;S$905,"",S2235+tech_proj!S1735/(1-tech_proj!S615))</f>
        <v>83.924359520214807</v>
      </c>
      <c r="T1115" s="107">
        <f>IF(tech_base!$T211&gt;T$905,"",T2235+tech_proj!T1735/(1-tech_proj!T615))</f>
        <v>84.642953873611916</v>
      </c>
      <c r="U1115" s="107">
        <f>IF(tech_base!$T211&gt;U$905,"",U2235+tech_proj!U1735/(1-tech_proj!U615))</f>
        <v>85.388557428452543</v>
      </c>
      <c r="V1115" s="107">
        <f>IF(tech_base!$T211&gt;V$905,"",V2235+tech_proj!V1735/(1-tech_proj!V615))</f>
        <v>86.198316354409528</v>
      </c>
      <c r="W1115" s="107">
        <f>IF(tech_base!$T211&gt;W$905,"",W2235+tech_proj!W1735/(1-tech_proj!W615))</f>
        <v>87.040981252565857</v>
      </c>
      <c r="X1115" s="107">
        <f>IF(tech_base!$T211&gt;X$905,"",X2235+tech_proj!X1735/(1-tech_proj!X615))</f>
        <v>87.861539690112849</v>
      </c>
      <c r="Y1115" s="107">
        <f>IF(tech_base!$T211&gt;Y$905,"",Y2235+tech_proj!Y1735/(1-tech_proj!Y615))</f>
        <v>88.705399071867916</v>
      </c>
      <c r="Z1115" s="107">
        <f>IF(tech_base!$T211&gt;Z$905,"",Z2235+tech_proj!Z1735/(1-tech_proj!Z615))</f>
        <v>89.539438576278044</v>
      </c>
      <c r="AA1115" s="107">
        <f>IF(tech_base!$T211&gt;AA$905,"",AA2235+tech_proj!AA1735/(1-tech_proj!AA615))</f>
        <v>90.447967232208214</v>
      </c>
      <c r="AB1115" s="107">
        <f>IF(tech_base!$T211&gt;AB$905,"",AB2235+tech_proj!AB1735/(1-tech_proj!AB615))</f>
        <v>91.632632644097072</v>
      </c>
      <c r="AC1115" s="107">
        <f>IF(tech_base!$T211&gt;AC$905,"",AC2235+tech_proj!AC1735/(1-tech_proj!AC615))</f>
        <v>93.408535518161386</v>
      </c>
      <c r="AD1115" s="107">
        <f>IF(tech_base!$T211&gt;AD$905,"",AD2235+tech_proj!AD1735/(1-tech_proj!AD615))</f>
        <v>95.143727797644786</v>
      </c>
      <c r="AE1115" s="107">
        <f>IF(tech_base!$T211&gt;AE$905,"",AE2235+tech_proj!AE1735/(1-tech_proj!AE615))</f>
        <v>96.326492215580643</v>
      </c>
      <c r="AF1115" s="107">
        <f>IF(tech_base!$T211&gt;AF$905,"",AF2235+tech_proj!AF1735/(1-tech_proj!AF615))</f>
        <v>97.023688253772164</v>
      </c>
      <c r="AG1115" s="107">
        <f>IF(tech_base!$T211&gt;AG$905,"",AG2235+tech_proj!AG1735/(1-tech_proj!AG615))</f>
        <v>97.608357798540268</v>
      </c>
      <c r="AH1115" s="107">
        <f>IF(tech_base!$T211&gt;AH$905,"",AH2235+tech_proj!AH1735/(1-tech_proj!AH615))</f>
        <v>98.1103799683559</v>
      </c>
      <c r="AI1115" s="107">
        <f>IF(tech_base!$T211&gt;AI$905,"",AI2235+tech_proj!AI1735/(1-tech_proj!AI615))</f>
        <v>98.633031245193052</v>
      </c>
      <c r="AJ1115" s="107">
        <f>IF(tech_base!$T211&gt;AJ$905,"",AJ2235+tech_proj!AJ1735/(1-tech_proj!AJ615))</f>
        <v>99.147274091563347</v>
      </c>
      <c r="AK1115" s="107">
        <f>IF(tech_base!$T211&gt;AK$905,"",AK2235+tech_proj!AK1735/(1-tech_proj!AK615))</f>
        <v>99.58130993444675</v>
      </c>
      <c r="AL1115" s="107">
        <f>IF(tech_base!$T211&gt;AL$905,"",AL2235+tech_proj!AL1735/(1-tech_proj!AL615))</f>
        <v>99.918182314825188</v>
      </c>
      <c r="AM1115" s="107">
        <f>IF(tech_base!$T211&gt;AM$905,"",AM2235+tech_proj!AM1735/(1-tech_proj!AM615))</f>
        <v>100.05497579927965</v>
      </c>
      <c r="AN1115" s="107">
        <f>IF(tech_base!$T211&gt;AN$905,"",AN2235+tech_proj!AN1735/(1-tech_proj!AN615))</f>
        <v>100.10787553962238</v>
      </c>
      <c r="AO1115" s="107">
        <f>IF(tech_base!$T211&gt;AO$905,"",AO2235+tech_proj!AO1735/(1-tech_proj!AO615))</f>
        <v>100.14221306112023</v>
      </c>
      <c r="AP1115" s="107">
        <f>IF(tech_base!$T211&gt;AP$905,"",AP2235+tech_proj!AP1735/(1-tech_proj!AP615))</f>
        <v>100.17738567197938</v>
      </c>
      <c r="AQ1115" s="107">
        <f>IF(tech_base!$T211&gt;AQ$905,"",AQ2235+tech_proj!AQ1735/(1-tech_proj!AQ615))</f>
        <v>100.2049956244866</v>
      </c>
      <c r="AR1115" s="107">
        <f>IF(tech_base!$T211&gt;AR$905,"",AR2235+tech_proj!AR1735/(1-tech_proj!AR615))</f>
        <v>100.10281524384462</v>
      </c>
      <c r="AS1115" s="107">
        <f>IF(tech_base!$T211&gt;AS$905,"",AS2235+tech_proj!AS1735/(1-tech_proj!AS615))</f>
        <v>100.07789063223007</v>
      </c>
      <c r="AT1115" s="107">
        <f>IF(tech_base!$T211&gt;AT$905,"",AT2235+tech_proj!AT1735/(1-tech_proj!AT615))</f>
        <v>99.991028690822304</v>
      </c>
      <c r="AU1115" s="107">
        <f>IF(tech_base!$T211&gt;AU$905,"",AU2235+tech_proj!AU1735/(1-tech_proj!AU615))</f>
        <v>100.11203339674981</v>
      </c>
      <c r="AV1115" s="107">
        <f>IF(tech_base!$T211&gt;AV$905,"",AV2235+tech_proj!AV1735/(1-tech_proj!AV615))</f>
        <v>100.28551497070623</v>
      </c>
      <c r="AW1115" s="107">
        <f>IF(tech_base!$T211&gt;AW$905,"",AW2235+tech_proj!AW1735/(1-tech_proj!AW615))</f>
        <v>100.50043353990779</v>
      </c>
      <c r="AX1115" s="108">
        <f>IF(tech_base!$T211&gt;AX$905,"",AX2235+tech_proj!AX1735/(1-tech_proj!AX615))</f>
        <v>100.72040693856097</v>
      </c>
    </row>
    <row r="1116" spans="1:50" x14ac:dyDescent="0.25">
      <c r="A1116" s="356"/>
      <c r="B1116" s="376"/>
      <c r="C1116" s="378"/>
      <c r="D1116" s="2" t="s">
        <v>8</v>
      </c>
      <c r="E1116" s="160" t="str">
        <f>A1107&amp;"/"&amp;B1115&amp;"/"&amp;C1115&amp;"/"&amp;D1116</f>
        <v>Biomass and waste fired power plants/Fluidized bed combustion/Electricity only/M</v>
      </c>
      <c r="F1116" s="76" t="str">
        <f>A1107</f>
        <v>Biomass and waste fired power plants</v>
      </c>
      <c r="G1116" s="76" t="str">
        <f>B1115</f>
        <v>Fluidized bed combustion</v>
      </c>
      <c r="H1116" s="76" t="str">
        <f>C1115</f>
        <v>Electricity only</v>
      </c>
      <c r="I1116" s="161" t="str">
        <f t="shared" si="370"/>
        <v>M</v>
      </c>
      <c r="J1116" s="105">
        <f>IF(tech_base!$T212&gt;J$905,"",J2236+tech_proj!J1736/(1-tech_proj!J616))</f>
        <v>77.279157679706756</v>
      </c>
      <c r="K1116" s="105">
        <f>IF(tech_base!$T212&gt;K$905,"",K2236+tech_proj!K1736/(1-tech_proj!K616))</f>
        <v>79.236772030112874</v>
      </c>
      <c r="L1116" s="105">
        <f>IF(tech_base!$T212&gt;L$905,"",L2236+tech_proj!L1736/(1-tech_proj!L616))</f>
        <v>81.194658414354024</v>
      </c>
      <c r="M1116" s="105">
        <f>IF(tech_base!$T212&gt;M$905,"",M2236+tech_proj!M1736/(1-tech_proj!M616))</f>
        <v>83.152715065558155</v>
      </c>
      <c r="N1116" s="105">
        <f>IF(tech_base!$T212&gt;N$905,"",N2236+tech_proj!N1736/(1-tech_proj!N616))</f>
        <v>85.110819218022328</v>
      </c>
      <c r="O1116" s="105">
        <f>IF(tech_base!$T212&gt;O$905,"",O2236+tech_proj!O1736/(1-tech_proj!O616))</f>
        <v>87.068822878980299</v>
      </c>
      <c r="P1116" s="105">
        <f>IF(tech_base!$T212&gt;P$905,"",P2236+tech_proj!P1736/(1-tech_proj!P616))</f>
        <v>87.620853147111688</v>
      </c>
      <c r="Q1116" s="105">
        <f>IF(tech_base!$T212&gt;Q$905,"",Q2236+tech_proj!Q1736/(1-tech_proj!Q616))</f>
        <v>87.864537823038873</v>
      </c>
      <c r="R1116" s="105">
        <f>IF(tech_base!$T212&gt;R$905,"",R2236+tech_proj!R1736/(1-tech_proj!R616))</f>
        <v>88.145024553555814</v>
      </c>
      <c r="S1116" s="105">
        <f>IF(tech_base!$T212&gt;S$905,"",S2236+tech_proj!S1736/(1-tech_proj!S616))</f>
        <v>88.609559482374408</v>
      </c>
      <c r="T1116" s="105">
        <f>IF(tech_base!$T212&gt;T$905,"",T2236+tech_proj!T1736/(1-tech_proj!T616))</f>
        <v>89.362552664077327</v>
      </c>
      <c r="U1116" s="105">
        <f>IF(tech_base!$T212&gt;U$905,"",U2236+tech_proj!U1736/(1-tech_proj!U616))</f>
        <v>90.143367271365676</v>
      </c>
      <c r="V1116" s="105">
        <f>IF(tech_base!$T212&gt;V$905,"",V2236+tech_proj!V1736/(1-tech_proj!V616))</f>
        <v>90.991062054616108</v>
      </c>
      <c r="W1116" s="105">
        <f>IF(tech_base!$T212&gt;W$905,"",W2236+tech_proj!W1736/(1-tech_proj!W616))</f>
        <v>91.872634168487878</v>
      </c>
      <c r="X1116" s="105">
        <f>IF(tech_base!$T212&gt;X$905,"",X2236+tech_proj!X1736/(1-tech_proj!X616))</f>
        <v>92.730057205185219</v>
      </c>
      <c r="Y1116" s="105">
        <f>IF(tech_base!$T212&gt;Y$905,"",Y2236+tech_proj!Y1736/(1-tech_proj!Y616))</f>
        <v>93.611098609346399</v>
      </c>
      <c r="Z1116" s="105">
        <f>IF(tech_base!$T212&gt;Z$905,"",Z2236+tech_proj!Z1736/(1-tech_proj!Z616))</f>
        <v>94.480816532777254</v>
      </c>
      <c r="AA1116" s="105">
        <f>IF(tech_base!$T212&gt;AA$905,"",AA2236+tech_proj!AA1736/(1-tech_proj!AA616))</f>
        <v>95.427968762634549</v>
      </c>
      <c r="AB1116" s="105">
        <f>IF(tech_base!$T212&gt;AB$905,"",AB2236+tech_proj!AB1736/(1-tech_proj!AB616))</f>
        <v>96.66487120568722</v>
      </c>
      <c r="AC1116" s="105">
        <f>IF(tech_base!$T212&gt;AC$905,"",AC2236+tech_proj!AC1736/(1-tech_proj!AC616))</f>
        <v>98.523250819029144</v>
      </c>
      <c r="AD1116" s="105">
        <f>IF(tech_base!$T212&gt;AD$905,"",AD2236+tech_proj!AD1736/(1-tech_proj!AD616))</f>
        <v>100.33767633583109</v>
      </c>
      <c r="AE1116" s="105">
        <f>IF(tech_base!$T212&gt;AE$905,"",AE2236+tech_proj!AE1736/(1-tech_proj!AE616))</f>
        <v>101.56963915307654</v>
      </c>
      <c r="AF1116" s="105">
        <f>IF(tech_base!$T212&gt;AF$905,"",AF2236+tech_proj!AF1736/(1-tech_proj!AF616))</f>
        <v>102.28997310472421</v>
      </c>
      <c r="AG1116" s="105">
        <f>IF(tech_base!$T212&gt;AG$905,"",AG2236+tech_proj!AG1736/(1-tech_proj!AG616))</f>
        <v>102.89184492428471</v>
      </c>
      <c r="AH1116" s="105">
        <f>IF(tech_base!$T212&gt;AH$905,"",AH2236+tech_proj!AH1736/(1-tech_proj!AH616))</f>
        <v>103.40724503573844</v>
      </c>
      <c r="AI1116" s="105">
        <f>IF(tech_base!$T212&gt;AI$905,"",AI2236+tech_proj!AI1736/(1-tech_proj!AI616))</f>
        <v>103.94550705175509</v>
      </c>
      <c r="AJ1116" s="105">
        <f>IF(tech_base!$T212&gt;AJ$905,"",AJ2236+tech_proj!AJ1736/(1-tech_proj!AJ616))</f>
        <v>104.47682170475571</v>
      </c>
      <c r="AK1116" s="105">
        <f>IF(tech_base!$T212&gt;AK$905,"",AK2236+tech_proj!AK1736/(1-tech_proj!AK616))</f>
        <v>104.92647678946689</v>
      </c>
      <c r="AL1116" s="105">
        <f>IF(tech_base!$T212&gt;AL$905,"",AL2236+tech_proj!AL1736/(1-tech_proj!AL616))</f>
        <v>105.27746961548091</v>
      </c>
      <c r="AM1116" s="105">
        <f>IF(tech_base!$T212&gt;AM$905,"",AM2236+tech_proj!AM1736/(1-tech_proj!AM616))</f>
        <v>105.42222917547238</v>
      </c>
      <c r="AN1116" s="105">
        <f>IF(tech_base!$T212&gt;AN$905,"",AN2236+tech_proj!AN1736/(1-tech_proj!AN616))</f>
        <v>105.48339213480725</v>
      </c>
      <c r="AO1116" s="105">
        <f>IF(tech_base!$T212&gt;AO$905,"",AO2236+tech_proj!AO1736/(1-tech_proj!AO616))</f>
        <v>105.52960416764238</v>
      </c>
      <c r="AP1116" s="105">
        <f>IF(tech_base!$T212&gt;AP$905,"",AP2236+tech_proj!AP1736/(1-tech_proj!AP616))</f>
        <v>105.58050433633822</v>
      </c>
      <c r="AQ1116" s="105">
        <f>IF(tech_base!$T212&gt;AQ$905,"",AQ2236+tech_proj!AQ1736/(1-tech_proj!AQ616))</f>
        <v>105.6256386328389</v>
      </c>
      <c r="AR1116" s="105">
        <f>IF(tech_base!$T212&gt;AR$905,"",AR2236+tech_proj!AR1736/(1-tech_proj!AR616))</f>
        <v>105.5338139179004</v>
      </c>
      <c r="AS1116" s="105">
        <f>IF(tech_base!$T212&gt;AS$905,"",AS2236+tech_proj!AS1736/(1-tech_proj!AS616))</f>
        <v>105.51966698484893</v>
      </c>
      <c r="AT1116" s="105">
        <f>IF(tech_base!$T212&gt;AT$905,"",AT2236+tech_proj!AT1736/(1-tech_proj!AT616))</f>
        <v>105.43295209631401</v>
      </c>
      <c r="AU1116" s="105">
        <f>IF(tech_base!$T212&gt;AU$905,"",AU2236+tech_proj!AU1736/(1-tech_proj!AU616))</f>
        <v>105.55417255544208</v>
      </c>
      <c r="AV1116" s="105">
        <f>IF(tech_base!$T212&gt;AV$905,"",AV2236+tech_proj!AV1736/(1-tech_proj!AV616))</f>
        <v>105.71694773408483</v>
      </c>
      <c r="AW1116" s="105">
        <f>IF(tech_base!$T212&gt;AW$905,"",AW2236+tech_proj!AW1736/(1-tech_proj!AW616))</f>
        <v>105.90830321933858</v>
      </c>
      <c r="AX1116" s="106">
        <f>IF(tech_base!$T212&gt;AX$905,"",AX2236+tech_proj!AX1736/(1-tech_proj!AX616))</f>
        <v>106.09043159814773</v>
      </c>
    </row>
    <row r="1117" spans="1:50" x14ac:dyDescent="0.25">
      <c r="A1117" s="356"/>
      <c r="B1117" s="376"/>
      <c r="C1117" s="378"/>
      <c r="D1117" s="2" t="s">
        <v>10</v>
      </c>
      <c r="E1117" s="160" t="str">
        <f>A1107&amp;"/"&amp;B1115&amp;"/"&amp;C1115&amp;"/"&amp;D1117</f>
        <v>Biomass and waste fired power plants/Fluidized bed combustion/Electricity only/S</v>
      </c>
      <c r="F1117" s="76" t="str">
        <f>A1107</f>
        <v>Biomass and waste fired power plants</v>
      </c>
      <c r="G1117" s="76" t="str">
        <f>B1115</f>
        <v>Fluidized bed combustion</v>
      </c>
      <c r="H1117" s="76" t="str">
        <f>C1115</f>
        <v>Electricity only</v>
      </c>
      <c r="I1117" s="161" t="str">
        <f t="shared" si="370"/>
        <v>S</v>
      </c>
      <c r="J1117" s="105">
        <f>IF(tech_base!$T213&gt;J$905,"",J2237+tech_proj!J1737/(1-tech_proj!J617))</f>
        <v>81.826223092164113</v>
      </c>
      <c r="K1117" s="105">
        <f>IF(tech_base!$T213&gt;K$905,"",K2237+tech_proj!K1737/(1-tech_proj!K617))</f>
        <v>83.886876730005099</v>
      </c>
      <c r="L1117" s="105">
        <f>IF(tech_base!$T213&gt;L$905,"",L2237+tech_proj!L1737/(1-tech_proj!L617))</f>
        <v>85.947317323764324</v>
      </c>
      <c r="M1117" s="105">
        <f>IF(tech_base!$T213&gt;M$905,"",M2237+tech_proj!M1737/(1-tech_proj!M617))</f>
        <v>88.007365035332185</v>
      </c>
      <c r="N1117" s="105">
        <f>IF(tech_base!$T213&gt;N$905,"",N2237+tech_proj!N1737/(1-tech_proj!N617))</f>
        <v>90.066808915394205</v>
      </c>
      <c r="O1117" s="105">
        <f>IF(tech_base!$T213&gt;O$905,"",O2237+tech_proj!O1737/(1-tech_proj!O617))</f>
        <v>92.125401767012235</v>
      </c>
      <c r="P1117" s="105">
        <f>IF(tech_base!$T213&gt;P$905,"",P2237+tech_proj!P1737/(1-tech_proj!P617))</f>
        <v>92.701516979107339</v>
      </c>
      <c r="Q1117" s="105">
        <f>IF(tech_base!$T213&gt;Q$905,"",Q2237+tech_proj!Q1737/(1-tech_proj!Q617))</f>
        <v>92.951923510048459</v>
      </c>
      <c r="R1117" s="105">
        <f>IF(tech_base!$T213&gt;R$905,"",R2237+tech_proj!R1737/(1-tech_proj!R617))</f>
        <v>93.240269282591044</v>
      </c>
      <c r="S1117" s="105">
        <f>IF(tech_base!$T213&gt;S$905,"",S2237+tech_proj!S1737/(1-tech_proj!S617))</f>
        <v>93.721595470156117</v>
      </c>
      <c r="T1117" s="105">
        <f>IF(tech_base!$T213&gt;T$905,"",T2237+tech_proj!T1737/(1-tech_proj!T617))</f>
        <v>94.505757465741709</v>
      </c>
      <c r="U1117" s="105">
        <f>IF(tech_base!$T213&gt;U$905,"",U2237+tech_proj!U1737/(1-tech_proj!U617))</f>
        <v>95.318006441554786</v>
      </c>
      <c r="V1117" s="105">
        <f>IF(tech_base!$T213&gt;V$905,"",V2237+tech_proj!V1737/(1-tech_proj!V617))</f>
        <v>96.199358868729107</v>
      </c>
      <c r="W1117" s="105">
        <f>IF(tech_base!$T213&gt;W$905,"",W2237+tech_proj!W1737/(1-tech_proj!W617))</f>
        <v>97.114915332707014</v>
      </c>
      <c r="X1117" s="105">
        <f>IF(tech_base!$T213&gt;X$905,"",X2237+tech_proj!X1737/(1-tech_proj!X617))</f>
        <v>98.003440843234557</v>
      </c>
      <c r="Y1117" s="105">
        <f>IF(tech_base!$T213&gt;Y$905,"",Y2237+tech_proj!Y1737/(1-tech_proj!Y617))</f>
        <v>98.915133271452433</v>
      </c>
      <c r="Z1117" s="105">
        <f>IF(tech_base!$T213&gt;Z$905,"",Z2237+tech_proj!Z1737/(1-tech_proj!Z617))</f>
        <v>99.813104403728175</v>
      </c>
      <c r="AA1117" s="105">
        <f>IF(tech_base!$T213&gt;AA$905,"",AA2237+tech_proj!AA1737/(1-tech_proj!AA617))</f>
        <v>100.79071898607633</v>
      </c>
      <c r="AB1117" s="105">
        <f>IF(tech_base!$T213&gt;AB$905,"",AB2237+tech_proj!AB1737/(1-tech_proj!AB617))</f>
        <v>102.07134755426591</v>
      </c>
      <c r="AC1117" s="105">
        <f>IF(tech_base!$T213&gt;AC$905,"",AC2237+tech_proj!AC1737/(1-tech_proj!AC617))</f>
        <v>104.00388240217187</v>
      </c>
      <c r="AD1117" s="105">
        <f>IF(tech_base!$T213&gt;AD$905,"",AD2237+tech_proj!AD1737/(1-tech_proj!AD617))</f>
        <v>105.88796244378915</v>
      </c>
      <c r="AE1117" s="105">
        <f>IF(tech_base!$T213&gt;AE$905,"",AE2237+tech_proj!AE1737/(1-tech_proj!AE617))</f>
        <v>107.15735288123658</v>
      </c>
      <c r="AF1117" s="105">
        <f>IF(tech_base!$T213&gt;AF$905,"",AF2237+tech_proj!AF1737/(1-tech_proj!AF617))</f>
        <v>107.88718146750608</v>
      </c>
      <c r="AG1117" s="105">
        <f>IF(tech_base!$T213&gt;AG$905,"",AG2237+tech_proj!AG1737/(1-tech_proj!AG617))</f>
        <v>108.49153404631981</v>
      </c>
      <c r="AH1117" s="105">
        <f>IF(tech_base!$T213&gt;AH$905,"",AH2237+tech_proj!AH1737/(1-tech_proj!AH617))</f>
        <v>109.00463882213577</v>
      </c>
      <c r="AI1117" s="105">
        <f>IF(tech_base!$T213&gt;AI$905,"",AI2237+tech_proj!AI1737/(1-tech_proj!AI617))</f>
        <v>109.54210609980964</v>
      </c>
      <c r="AJ1117" s="105">
        <f>IF(tech_base!$T213&gt;AJ$905,"",AJ2237+tech_proj!AJ1737/(1-tech_proj!AJ617))</f>
        <v>110.0733841612566</v>
      </c>
      <c r="AK1117" s="105">
        <f>IF(tech_base!$T213&gt;AK$905,"",AK2237+tech_proj!AK1737/(1-tech_proj!AK617))</f>
        <v>110.52088327818747</v>
      </c>
      <c r="AL1117" s="105">
        <f>IF(tech_base!$T213&gt;AL$905,"",AL2237+tech_proj!AL1737/(1-tech_proj!AL617))</f>
        <v>110.8677367150085</v>
      </c>
      <c r="AM1117" s="105">
        <f>IF(tech_base!$T213&gt;AM$905,"",AM2237+tech_proj!AM1737/(1-tech_proj!AM617))</f>
        <v>111.00194852884738</v>
      </c>
      <c r="AN1117" s="105">
        <f>IF(tech_base!$T213&gt;AN$905,"",AN2237+tech_proj!AN1737/(1-tech_proj!AN617))</f>
        <v>111.05316361783501</v>
      </c>
      <c r="AO1117" s="105">
        <f>IF(tech_base!$T213&gt;AO$905,"",AO2237+tech_proj!AO1737/(1-tech_proj!AO617))</f>
        <v>111.09401933454033</v>
      </c>
      <c r="AP1117" s="105">
        <f>IF(tech_base!$T213&gt;AP$905,"",AP2237+tech_proj!AP1737/(1-tech_proj!AP617))</f>
        <v>111.14529503975598</v>
      </c>
      <c r="AQ1117" s="105">
        <f>IF(tech_base!$T213&gt;AQ$905,"",AQ2237+tech_proj!AQ1737/(1-tech_proj!AQ617))</f>
        <v>111.19566535317612</v>
      </c>
      <c r="AR1117" s="105">
        <f>IF(tech_base!$T213&gt;AR$905,"",AR2237+tech_proj!AR1737/(1-tech_proj!AR617))</f>
        <v>111.10641048882256</v>
      </c>
      <c r="AS1117" s="105">
        <f>IF(tech_base!$T213&gt;AS$905,"",AS2237+tech_proj!AS1737/(1-tech_proj!AS617))</f>
        <v>111.10135369101842</v>
      </c>
      <c r="AT1117" s="105">
        <f>IF(tech_base!$T213&gt;AT$905,"",AT2237+tech_proj!AT1737/(1-tech_proj!AT617))</f>
        <v>111.020599734527</v>
      </c>
      <c r="AU1117" s="105">
        <f>IF(tech_base!$T213&gt;AU$905,"",AU2237+tech_proj!AU1737/(1-tech_proj!AU617))</f>
        <v>111.15634303837173</v>
      </c>
      <c r="AV1117" s="105">
        <f>IF(tech_base!$T213&gt;AV$905,"",AV2237+tech_proj!AV1737/(1-tech_proj!AV617))</f>
        <v>111.33133652009373</v>
      </c>
      <c r="AW1117" s="105">
        <f>IF(tech_base!$T213&gt;AW$905,"",AW2237+tech_proj!AW1737/(1-tech_proj!AW617))</f>
        <v>111.52972549283415</v>
      </c>
      <c r="AX1117" s="106">
        <f>IF(tech_base!$T213&gt;AX$905,"",AX2237+tech_proj!AX1737/(1-tech_proj!AX617))</f>
        <v>111.7101861297284</v>
      </c>
    </row>
    <row r="1118" spans="1:50" x14ac:dyDescent="0.25">
      <c r="A1118" s="356"/>
      <c r="B1118" s="376"/>
      <c r="C1118" s="379"/>
      <c r="D1118" s="2" t="s">
        <v>20</v>
      </c>
      <c r="E1118" s="160" t="str">
        <f>A1107&amp;"/"&amp;B1115&amp;"/"&amp;C1115&amp;"/"&amp;D1118</f>
        <v>Biomass and waste fired power plants/Fluidized bed combustion/Electricity only/XS</v>
      </c>
      <c r="F1118" s="76" t="str">
        <f>A1107</f>
        <v>Biomass and waste fired power plants</v>
      </c>
      <c r="G1118" s="76" t="str">
        <f>B1115</f>
        <v>Fluidized bed combustion</v>
      </c>
      <c r="H1118" s="76" t="str">
        <f>C1115</f>
        <v>Electricity only</v>
      </c>
      <c r="I1118" s="161" t="str">
        <f t="shared" si="370"/>
        <v>XS</v>
      </c>
      <c r="J1118" s="105">
        <f>IF(tech_base!$T214&gt;J$905,"",J2238+tech_proj!J1738/(1-tech_proj!J618))</f>
        <v>87.386542943506356</v>
      </c>
      <c r="K1118" s="105">
        <f>IF(tech_base!$T214&gt;K$905,"",K2238+tech_proj!K1738/(1-tech_proj!K618))</f>
        <v>89.557721772631723</v>
      </c>
      <c r="L1118" s="105">
        <f>IF(tech_base!$T214&gt;L$905,"",L2238+tech_proj!L1738/(1-tech_proj!L618))</f>
        <v>91.728418494927539</v>
      </c>
      <c r="M1118" s="105">
        <f>IF(tech_base!$T214&gt;M$905,"",M2238+tech_proj!M1738/(1-tech_proj!M618))</f>
        <v>93.898398764310457</v>
      </c>
      <c r="N1118" s="105">
        <f>IF(tech_base!$T214&gt;N$905,"",N2238+tech_proj!N1738/(1-tech_proj!N618))</f>
        <v>96.067387935765169</v>
      </c>
      <c r="O1118" s="105">
        <f>IF(tech_base!$T214&gt;O$905,"",O2238+tech_proj!O1738/(1-tech_proj!O618))</f>
        <v>98.235064480635913</v>
      </c>
      <c r="P1118" s="105">
        <f>IF(tech_base!$T214&gt;P$905,"",P2238+tech_proj!P1738/(1-tech_proj!P618))</f>
        <v>98.839462754133038</v>
      </c>
      <c r="Q1118" s="105">
        <f>IF(tech_base!$T214&gt;Q$905,"",Q2238+tech_proj!Q1738/(1-tech_proj!Q618))</f>
        <v>99.10002379756142</v>
      </c>
      <c r="R1118" s="105">
        <f>IF(tech_base!$T214&gt;R$905,"",R2238+tech_proj!R1738/(1-tech_proj!R618))</f>
        <v>99.400027939108014</v>
      </c>
      <c r="S1118" s="105">
        <f>IF(tech_base!$T214&gt;S$905,"",S2238+tech_proj!S1738/(1-tech_proj!S618))</f>
        <v>99.90281344649874</v>
      </c>
      <c r="T1118" s="105">
        <f>IF(tech_base!$T214&gt;T$905,"",T2238+tech_proj!T1738/(1-tech_proj!T618))</f>
        <v>100.72405272454517</v>
      </c>
      <c r="U1118" s="105">
        <f>IF(tech_base!$T214&gt;U$905,"",U2238+tech_proj!U1738/(1-tech_proj!U618))</f>
        <v>101.5740053951457</v>
      </c>
      <c r="V1118" s="105">
        <f>IF(tech_base!$T214&gt;V$905,"",V2238+tech_proj!V1738/(1-tech_proj!V618))</f>
        <v>102.49576086486383</v>
      </c>
      <c r="W1118" s="105">
        <f>IF(tech_base!$T214&gt;W$905,"",W2238+tech_proj!W1738/(1-tech_proj!W618))</f>
        <v>103.45237291947601</v>
      </c>
      <c r="X1118" s="105">
        <f>IF(tech_base!$T214&gt;X$905,"",X2238+tech_proj!X1738/(1-tech_proj!X618))</f>
        <v>104.37912953098575</v>
      </c>
      <c r="Y1118" s="105">
        <f>IF(tech_base!$T214&gt;Y$905,"",Y2238+tech_proj!Y1738/(1-tech_proj!Y618))</f>
        <v>105.32873602822056</v>
      </c>
      <c r="Z1118" s="105">
        <f>IF(tech_base!$T214&gt;Z$905,"",Z2238+tech_proj!Z1738/(1-tech_proj!Z618))</f>
        <v>106.26210249448782</v>
      </c>
      <c r="AA1118" s="105">
        <f>IF(tech_base!$T214&gt;AA$905,"",AA2238+tech_proj!AA1738/(1-tech_proj!AA618))</f>
        <v>107.27735715168181</v>
      </c>
      <c r="AB1118" s="105">
        <f>IF(tech_base!$T214&gt;AB$905,"",AB2238+tech_proj!AB1738/(1-tech_proj!AB618))</f>
        <v>108.6095130795667</v>
      </c>
      <c r="AC1118" s="105">
        <f>IF(tech_base!$T214&gt;AC$905,"",AC2238+tech_proj!AC1738/(1-tech_proj!AC618))</f>
        <v>110.6256428262971</v>
      </c>
      <c r="AD1118" s="105">
        <f>IF(tech_base!$T214&gt;AD$905,"",AD2238+tech_proj!AD1738/(1-tech_proj!AD618))</f>
        <v>112.58757183436366</v>
      </c>
      <c r="AE1118" s="105">
        <f>IF(tech_base!$T214&gt;AE$905,"",AE2238+tech_proj!AE1738/(1-tech_proj!AE618))</f>
        <v>113.89876087307815</v>
      </c>
      <c r="AF1118" s="105">
        <f>IF(tech_base!$T214&gt;AF$905,"",AF2238+tech_proj!AF1738/(1-tech_proj!AF618))</f>
        <v>114.63831170277254</v>
      </c>
      <c r="AG1118" s="105">
        <f>IF(tech_base!$T214&gt;AG$905,"",AG2238+tech_proj!AG1738/(1-tech_proj!AG618))</f>
        <v>115.24211848359052</v>
      </c>
      <c r="AH1118" s="105">
        <f>IF(tech_base!$T214&gt;AH$905,"",AH2238+tech_proj!AH1738/(1-tech_proj!AH618))</f>
        <v>115.74607253322444</v>
      </c>
      <c r="AI1118" s="105">
        <f>IF(tech_base!$T214&gt;AI$905,"",AI2238+tech_proj!AI1738/(1-tech_proj!AI618))</f>
        <v>116.27172665891749</v>
      </c>
      <c r="AJ1118" s="105">
        <f>IF(tech_base!$T214&gt;AJ$905,"",AJ2238+tech_proj!AJ1738/(1-tech_proj!AJ618))</f>
        <v>116.78688670628406</v>
      </c>
      <c r="AK1118" s="105">
        <f>IF(tech_base!$T214&gt;AK$905,"",AK2238+tech_proj!AK1738/(1-tech_proj!AK618))</f>
        <v>117.21006718992538</v>
      </c>
      <c r="AL1118" s="105">
        <f>IF(tech_base!$T214&gt;AL$905,"",AL2238+tech_proj!AL1738/(1-tech_proj!AL618))</f>
        <v>117.52387571909115</v>
      </c>
      <c r="AM1118" s="105">
        <f>IF(tech_base!$T214&gt;AM$905,"",AM2238+tech_proj!AM1738/(1-tech_proj!AM618))</f>
        <v>117.61120095093108</v>
      </c>
      <c r="AN1118" s="105">
        <f>IF(tech_base!$T214&gt;AN$905,"",AN2238+tech_proj!AN1738/(1-tech_proj!AN618))</f>
        <v>117.60913319883498</v>
      </c>
      <c r="AO1118" s="105">
        <f>IF(tech_base!$T214&gt;AO$905,"",AO2238+tech_proj!AO1738/(1-tech_proj!AO618))</f>
        <v>117.59496474135389</v>
      </c>
      <c r="AP1118" s="105">
        <f>IF(tech_base!$T214&gt;AP$905,"",AP2238+tech_proj!AP1738/(1-tech_proj!AP618))</f>
        <v>117.591687079981</v>
      </c>
      <c r="AQ1118" s="105">
        <f>IF(tech_base!$T214&gt;AQ$905,"",AQ2238+tech_proj!AQ1738/(1-tech_proj!AQ618))</f>
        <v>117.58878504774353</v>
      </c>
      <c r="AR1118" s="105">
        <f>IF(tech_base!$T214&gt;AR$905,"",AR2238+tech_proj!AR1738/(1-tech_proj!AR618))</f>
        <v>117.44229233816968</v>
      </c>
      <c r="AS1118" s="105">
        <f>IF(tech_base!$T214&gt;AS$905,"",AS2238+tech_proj!AS1738/(1-tech_proj!AS618))</f>
        <v>117.3886252544967</v>
      </c>
      <c r="AT1118" s="105">
        <f>IF(tech_base!$T214&gt;AT$905,"",AT2238+tech_proj!AT1738/(1-tech_proj!AT618))</f>
        <v>117.2616238014969</v>
      </c>
      <c r="AU1118" s="105">
        <f>IF(tech_base!$T214&gt;AU$905,"",AU2238+tech_proj!AU1738/(1-tech_proj!AU618))</f>
        <v>117.36893021029131</v>
      </c>
      <c r="AV1118" s="105">
        <f>IF(tech_base!$T214&gt;AV$905,"",AV2238+tech_proj!AV1738/(1-tech_proj!AV618))</f>
        <v>117.5257105870334</v>
      </c>
      <c r="AW1118" s="105">
        <f>IF(tech_base!$T214&gt;AW$905,"",AW2238+tech_proj!AW1738/(1-tech_proj!AW618))</f>
        <v>117.71594810731099</v>
      </c>
      <c r="AX1118" s="106">
        <f>IF(tech_base!$T214&gt;AX$905,"",AX2238+tech_proj!AX1738/(1-tech_proj!AX618))</f>
        <v>117.89643760192797</v>
      </c>
    </row>
    <row r="1119" spans="1:50" x14ac:dyDescent="0.25">
      <c r="A1119" s="356"/>
      <c r="B1119" s="376"/>
      <c r="C1119" s="361" t="s">
        <v>14</v>
      </c>
      <c r="D1119" s="58" t="s">
        <v>7</v>
      </c>
      <c r="E1119" s="164" t="str">
        <f>A1107&amp;"/"&amp;B1115&amp;"/"&amp;C1119&amp;"/"&amp;D1119</f>
        <v>Biomass and waste fired power plants/Fluidized bed combustion/CHP/L</v>
      </c>
      <c r="F1119" s="78" t="str">
        <f>A1107</f>
        <v>Biomass and waste fired power plants</v>
      </c>
      <c r="G1119" s="78" t="str">
        <f>B1115</f>
        <v>Fluidized bed combustion</v>
      </c>
      <c r="H1119" s="78" t="str">
        <f>C1119</f>
        <v>CHP</v>
      </c>
      <c r="I1119" s="165" t="str">
        <f t="shared" si="370"/>
        <v>L</v>
      </c>
      <c r="J1119" s="109">
        <f>IF(tech_base!$T215&gt;J$905,"",J2239+tech_proj!J1739/(1-tech_proj!J619))</f>
        <v>81.328825851309105</v>
      </c>
      <c r="K1119" s="109">
        <f>IF(tech_base!$T215&gt;K$905,"",K2239+tech_proj!K1739/(1-tech_proj!K619))</f>
        <v>83.389013984662583</v>
      </c>
      <c r="L1119" s="109">
        <f>IF(tech_base!$T215&gt;L$905,"",L2239+tech_proj!L1739/(1-tech_proj!L619))</f>
        <v>85.449905935444193</v>
      </c>
      <c r="M1119" s="109">
        <f>IF(tech_base!$T215&gt;M$905,"",M2239+tech_proj!M1739/(1-tech_proj!M619))</f>
        <v>87.511479391244549</v>
      </c>
      <c r="N1119" s="109">
        <f>IF(tech_base!$T215&gt;N$905,"",N2239+tech_proj!N1739/(1-tech_proj!N619))</f>
        <v>89.573706686560939</v>
      </c>
      <c r="O1119" s="109">
        <f>IF(tech_base!$T215&gt;O$905,"",O2239+tech_proj!O1739/(1-tech_proj!O619))</f>
        <v>91.636553530569529</v>
      </c>
      <c r="P1119" s="109">
        <f>IF(tech_base!$T215&gt;P$905,"",P2239+tech_proj!P1739/(1-tech_proj!P619))</f>
        <v>92.221676061188759</v>
      </c>
      <c r="Q1119" s="109">
        <f>IF(tech_base!$T215&gt;Q$905,"",Q2239+tech_proj!Q1739/(1-tech_proj!Q619))</f>
        <v>92.483404994342195</v>
      </c>
      <c r="R1119" s="109">
        <f>IF(tech_base!$T215&gt;R$905,"",R2239+tech_proj!R1739/(1-tech_proj!R619))</f>
        <v>92.784863193041843</v>
      </c>
      <c r="S1119" s="109">
        <f>IF(tech_base!$T215&gt;S$905,"",S2239+tech_proj!S1739/(1-tech_proj!S619))</f>
        <v>93.281122951289291</v>
      </c>
      <c r="T1119" s="109">
        <f>IF(tech_base!$T215&gt;T$905,"",T2239+tech_proj!T1739/(1-tech_proj!T619))</f>
        <v>94.082282115240332</v>
      </c>
      <c r="U1119" s="109">
        <f>IF(tech_base!$T215&gt;U$905,"",U2239+tech_proj!U1739/(1-tech_proj!U619))</f>
        <v>94.914495346094768</v>
      </c>
      <c r="V1119" s="109">
        <f>IF(tech_base!$T215&gt;V$905,"",V2239+tech_proj!V1739/(1-tech_proj!V619))</f>
        <v>95.819192575105518</v>
      </c>
      <c r="W1119" s="109">
        <f>IF(tech_base!$T215&gt;W$905,"",W2239+tech_proj!W1739/(1-tech_proj!W619))</f>
        <v>96.76205412828395</v>
      </c>
      <c r="X1119" s="109">
        <f>IF(tech_base!$T215&gt;X$905,"",X2239+tech_proj!X1739/(1-tech_proj!X619))</f>
        <v>97.682474316018926</v>
      </c>
      <c r="Y1119" s="109">
        <f>IF(tech_base!$T215&gt;Y$905,"",Y2239+tech_proj!Y1739/(1-tech_proj!Y619))</f>
        <v>98.631243839761098</v>
      </c>
      <c r="Z1119" s="109">
        <f>IF(tech_base!$T215&gt;Z$905,"",Z2239+tech_proj!Z1739/(1-tech_proj!Z619))</f>
        <v>99.572188782469368</v>
      </c>
      <c r="AA1119" s="109">
        <f>IF(tech_base!$T215&gt;AA$905,"",AA2239+tech_proj!AA1739/(1-tech_proj!AA619))</f>
        <v>100.59946554096146</v>
      </c>
      <c r="AB1119" s="109">
        <f>IF(tech_base!$T215&gt;AB$905,"",AB2239+tech_proj!AB1739/(1-tech_proj!AB619))</f>
        <v>101.93759894964103</v>
      </c>
      <c r="AC1119" s="109">
        <f>IF(tech_base!$T215&gt;AC$905,"",AC2239+tech_proj!AC1739/(1-tech_proj!AC619))</f>
        <v>103.93738898286553</v>
      </c>
      <c r="AD1119" s="109">
        <f>IF(tech_base!$T215&gt;AD$905,"",AD2239+tech_proj!AD1739/(1-tech_proj!AD619))</f>
        <v>105.8991268036466</v>
      </c>
      <c r="AE1119" s="109">
        <f>IF(tech_base!$T215&gt;AE$905,"",AE2239+tech_proj!AE1739/(1-tech_proj!AE619))</f>
        <v>107.25600796762758</v>
      </c>
      <c r="AF1119" s="109">
        <f>IF(tech_base!$T215&gt;AF$905,"",AF2239+tech_proj!AF1739/(1-tech_proj!AF619))</f>
        <v>108.08314285810754</v>
      </c>
      <c r="AG1119" s="109">
        <f>IF(tech_base!$T215&gt;AG$905,"",AG2239+tech_proj!AG1739/(1-tech_proj!AG619))</f>
        <v>108.79598608510759</v>
      </c>
      <c r="AH1119" s="109">
        <f>IF(tech_base!$T215&gt;AH$905,"",AH2239+tech_proj!AH1739/(1-tech_proj!AH619))</f>
        <v>109.4292107463323</v>
      </c>
      <c r="AI1119" s="109">
        <f>IF(tech_base!$T215&gt;AI$905,"",AI2239+tech_proj!AI1739/(1-tech_proj!AI619))</f>
        <v>110.09923100205914</v>
      </c>
      <c r="AJ1119" s="109">
        <f>IF(tech_base!$T215&gt;AJ$905,"",AJ2239+tech_proj!AJ1739/(1-tech_proj!AJ619))</f>
        <v>110.77533025285707</v>
      </c>
      <c r="AK1119" s="109">
        <f>IF(tech_base!$T215&gt;AK$905,"",AK2239+tech_proj!AK1739/(1-tech_proj!AK619))</f>
        <v>111.37875844250583</v>
      </c>
      <c r="AL1119" s="109">
        <f>IF(tech_base!$T215&gt;AL$905,"",AL2239+tech_proj!AL1739/(1-tech_proj!AL619))</f>
        <v>111.89111867220478</v>
      </c>
      <c r="AM1119" s="109">
        <f>IF(tech_base!$T215&gt;AM$905,"",AM2239+tech_proj!AM1739/(1-tech_proj!AM619))</f>
        <v>112.19698029527949</v>
      </c>
      <c r="AN1119" s="109">
        <f>IF(tech_base!$T215&gt;AN$905,"",AN2239+tech_proj!AN1739/(1-tech_proj!AN619))</f>
        <v>112.42416895342284</v>
      </c>
      <c r="AO1119" s="109">
        <f>IF(tech_base!$T215&gt;AO$905,"",AO2239+tech_proj!AO1739/(1-tech_proj!AO619))</f>
        <v>112.64252715790036</v>
      </c>
      <c r="AP1119" s="109">
        <f>IF(tech_base!$T215&gt;AP$905,"",AP2239+tech_proj!AP1739/(1-tech_proj!AP619))</f>
        <v>112.86879639609086</v>
      </c>
      <c r="AQ1119" s="109">
        <f>IF(tech_base!$T215&gt;AQ$905,"",AQ2239+tech_proj!AQ1739/(1-tech_proj!AQ619))</f>
        <v>113.08645752850653</v>
      </c>
      <c r="AR1119" s="109">
        <f>IF(tech_base!$T215&gt;AR$905,"",AR2239+tech_proj!AR1739/(1-tech_proj!AR619))</f>
        <v>113.14875767981052</v>
      </c>
      <c r="AS1119" s="109">
        <f>IF(tech_base!$T215&gt;AS$905,"",AS2239+tech_proj!AS1739/(1-tech_proj!AS619))</f>
        <v>113.27770969779849</v>
      </c>
      <c r="AT1119" s="109">
        <f>IF(tech_base!$T215&gt;AT$905,"",AT2239+tech_proj!AT1739/(1-tech_proj!AT619))</f>
        <v>113.30535408333675</v>
      </c>
      <c r="AU1119" s="109">
        <f>IF(tech_base!$T215&gt;AU$905,"",AU2239+tech_proj!AU1739/(1-tech_proj!AU619))</f>
        <v>113.52571372396056</v>
      </c>
      <c r="AV1119" s="109">
        <f>IF(tech_base!$T215&gt;AV$905,"",AV2239+tech_proj!AV1739/(1-tech_proj!AV619))</f>
        <v>113.75588495267206</v>
      </c>
      <c r="AW1119" s="109">
        <f>IF(tech_base!$T215&gt;AW$905,"",AW2239+tech_proj!AW1739/(1-tech_proj!AW619))</f>
        <v>113.97965848769063</v>
      </c>
      <c r="AX1119" s="110">
        <f>IF(tech_base!$T215&gt;AX$905,"",AX2239+tech_proj!AX1739/(1-tech_proj!AX619))</f>
        <v>114.15736942849976</v>
      </c>
    </row>
    <row r="1120" spans="1:50" x14ac:dyDescent="0.25">
      <c r="A1120" s="356"/>
      <c r="B1120" s="376"/>
      <c r="C1120" s="378"/>
      <c r="D1120" s="2" t="s">
        <v>8</v>
      </c>
      <c r="E1120" s="160" t="str">
        <f>A1107&amp;"/"&amp;B1115&amp;"/"&amp;C1119&amp;"/"&amp;D1120</f>
        <v>Biomass and waste fired power plants/Fluidized bed combustion/CHP/M</v>
      </c>
      <c r="F1120" s="76" t="str">
        <f>A1107</f>
        <v>Biomass and waste fired power plants</v>
      </c>
      <c r="G1120" s="76" t="str">
        <f>B1115</f>
        <v>Fluidized bed combustion</v>
      </c>
      <c r="H1120" s="76" t="str">
        <f>C1119</f>
        <v>CHP</v>
      </c>
      <c r="I1120" s="161" t="str">
        <f t="shared" si="370"/>
        <v>M</v>
      </c>
      <c r="J1120" s="105">
        <f>IF(tech_base!$T216&gt;J$905,"",J2240+tech_proj!J1740/(1-tech_proj!J620))</f>
        <v>85.864625053222056</v>
      </c>
      <c r="K1120" s="105">
        <f>IF(tech_base!$T216&gt;K$905,"",K2240+tech_proj!K1740/(1-tech_proj!K620))</f>
        <v>88.036115655179088</v>
      </c>
      <c r="L1120" s="105">
        <f>IF(tech_base!$T216&gt;L$905,"",L2240+tech_proj!L1740/(1-tech_proj!L620))</f>
        <v>90.208244712678322</v>
      </c>
      <c r="M1120" s="105">
        <f>IF(tech_base!$T216&gt;M$905,"",M2240+tech_proj!M1740/(1-tech_proj!M620))</f>
        <v>92.380969959810372</v>
      </c>
      <c r="N1120" s="105">
        <f>IF(tech_base!$T216&gt;N$905,"",N2240+tech_proj!N1740/(1-tech_proj!N620))</f>
        <v>94.554240338372921</v>
      </c>
      <c r="O1120" s="105">
        <f>IF(tech_base!$T216&gt;O$905,"",O2240+tech_proj!O1740/(1-tech_proj!O620))</f>
        <v>96.727994194887856</v>
      </c>
      <c r="P1120" s="105">
        <f>IF(tech_base!$T216&gt;P$905,"",P2240+tech_proj!P1740/(1-tech_proj!P620))</f>
        <v>97.343705807083751</v>
      </c>
      <c r="Q1120" s="105">
        <f>IF(tech_base!$T216&gt;Q$905,"",Q2240+tech_proj!Q1740/(1-tech_proj!Q620))</f>
        <v>97.618296299777924</v>
      </c>
      <c r="R1120" s="105">
        <f>IF(tech_base!$T216&gt;R$905,"",R2240+tech_proj!R1740/(1-tech_proj!R620))</f>
        <v>97.934549350609132</v>
      </c>
      <c r="S1120" s="105">
        <f>IF(tech_base!$T216&gt;S$905,"",S2240+tech_proj!S1740/(1-tech_proj!S620))</f>
        <v>98.455903390940406</v>
      </c>
      <c r="T1120" s="105">
        <f>IF(tech_base!$T216&gt;T$905,"",T2240+tech_proj!T1740/(1-tech_proj!T620))</f>
        <v>99.298370334581861</v>
      </c>
      <c r="U1120" s="105">
        <f>IF(tech_base!$T216&gt;U$905,"",U2240+tech_proj!U1740/(1-tech_proj!U620))</f>
        <v>100.17321682984078</v>
      </c>
      <c r="V1120" s="105">
        <f>IF(tech_base!$T216&gt;V$905,"",V2240+tech_proj!V1740/(1-tech_proj!V620))</f>
        <v>101.12406060924678</v>
      </c>
      <c r="W1120" s="105">
        <f>IF(tech_base!$T216&gt;W$905,"",W2240+tech_proj!W1740/(1-tech_proj!W620))</f>
        <v>102.11466208791859</v>
      </c>
      <c r="X1120" s="105">
        <f>IF(tech_base!$T216&gt;X$905,"",X2240+tech_proj!X1740/(1-tech_proj!X620))</f>
        <v>103.08107194765823</v>
      </c>
      <c r="Y1120" s="105">
        <f>IF(tech_base!$T216&gt;Y$905,"",Y2240+tech_proj!Y1740/(1-tech_proj!Y620))</f>
        <v>104.07675631397296</v>
      </c>
      <c r="Z1120" s="105">
        <f>IF(tech_base!$T216&gt;Z$905,"",Z2240+tech_proj!Z1740/(1-tech_proj!Z620))</f>
        <v>105.06351041022914</v>
      </c>
      <c r="AA1120" s="105">
        <f>IF(tech_base!$T216&gt;AA$905,"",AA2240+tech_proj!AA1740/(1-tech_proj!AA620))</f>
        <v>106.14048938105013</v>
      </c>
      <c r="AB1120" s="105">
        <f>IF(tech_base!$T216&gt;AB$905,"",AB2240+tech_proj!AB1740/(1-tech_proj!AB620))</f>
        <v>107.54421679412603</v>
      </c>
      <c r="AC1120" s="105">
        <f>IF(tech_base!$T216&gt;AC$905,"",AC2240+tech_proj!AC1740/(1-tech_proj!AC620))</f>
        <v>109.64422747081895</v>
      </c>
      <c r="AD1120" s="105">
        <f>IF(tech_base!$T216&gt;AD$905,"",AD2240+tech_proj!AD1740/(1-tech_proj!AD620))</f>
        <v>111.70299420029075</v>
      </c>
      <c r="AE1120" s="105">
        <f>IF(tech_base!$T216&gt;AE$905,"",AE2240+tech_proj!AE1740/(1-tech_proj!AE620))</f>
        <v>113.12321973022753</v>
      </c>
      <c r="AF1120" s="105">
        <f>IF(tech_base!$T216&gt;AF$905,"",AF2240+tech_proj!AF1740/(1-tech_proj!AF620))</f>
        <v>113.98412177021622</v>
      </c>
      <c r="AG1120" s="105">
        <f>IF(tech_base!$T216&gt;AG$905,"",AG2240+tech_proj!AG1740/(1-tech_proj!AG620))</f>
        <v>114.72349370000654</v>
      </c>
      <c r="AH1120" s="105">
        <f>IF(tech_base!$T216&gt;AH$905,"",AH2240+tech_proj!AH1740/(1-tech_proj!AH620))</f>
        <v>115.37792106346991</v>
      </c>
      <c r="AI1120" s="105">
        <f>IF(tech_base!$T216&gt;AI$905,"",AI2240+tech_proj!AI1740/(1-tech_proj!AI620))</f>
        <v>116.07013173304037</v>
      </c>
      <c r="AJ1120" s="105">
        <f>IF(tech_base!$T216&gt;AJ$905,"",AJ2240+tech_proj!AJ1740/(1-tech_proj!AJ620))</f>
        <v>116.76792459999109</v>
      </c>
      <c r="AK1120" s="105">
        <f>IF(tech_base!$T216&gt;AK$905,"",AK2240+tech_proj!AK1740/(1-tech_proj!AK620))</f>
        <v>117.38862087488586</v>
      </c>
      <c r="AL1120" s="105">
        <f>IF(tech_base!$T216&gt;AL$905,"",AL2240+tech_proj!AL1740/(1-tech_proj!AL620))</f>
        <v>117.91323395652559</v>
      </c>
      <c r="AM1120" s="105">
        <f>IF(tech_base!$T216&gt;AM$905,"",AM2240+tech_proj!AM1740/(1-tech_proj!AM620))</f>
        <v>118.22074567089395</v>
      </c>
      <c r="AN1120" s="105">
        <f>IF(tech_base!$T216&gt;AN$905,"",AN2240+tech_proj!AN1740/(1-tech_proj!AN620))</f>
        <v>118.4463867225699</v>
      </c>
      <c r="AO1120" s="105">
        <f>IF(tech_base!$T216&gt;AO$905,"",AO2240+tech_proj!AO1740/(1-tech_proj!AO620))</f>
        <v>118.66440091740178</v>
      </c>
      <c r="AP1120" s="105">
        <f>IF(tech_base!$T216&gt;AP$905,"",AP2240+tech_proj!AP1740/(1-tech_proj!AP620))</f>
        <v>118.89317984241031</v>
      </c>
      <c r="AQ1120" s="105">
        <f>IF(tech_base!$T216&gt;AQ$905,"",AQ2240+tech_proj!AQ1740/(1-tech_proj!AQ620))</f>
        <v>119.11609900371691</v>
      </c>
      <c r="AR1120" s="105">
        <f>IF(tech_base!$T216&gt;AR$905,"",AR2240+tech_proj!AR1740/(1-tech_proj!AR620))</f>
        <v>119.17934765463521</v>
      </c>
      <c r="AS1120" s="105">
        <f>IF(tech_base!$T216&gt;AS$905,"",AS2240+tech_proj!AS1740/(1-tech_proj!AS620))</f>
        <v>119.31696530728662</v>
      </c>
      <c r="AT1120" s="105">
        <f>IF(tech_base!$T216&gt;AT$905,"",AT2240+tech_proj!AT1740/(1-tech_proj!AT620))</f>
        <v>119.35206840275082</v>
      </c>
      <c r="AU1120" s="105">
        <f>IF(tech_base!$T216&gt;AU$905,"",AU2240+tech_proj!AU1740/(1-tech_proj!AU620))</f>
        <v>119.59338221694247</v>
      </c>
      <c r="AV1120" s="105">
        <f>IF(tech_base!$T216&gt;AV$905,"",AV2240+tech_proj!AV1740/(1-tech_proj!AV620))</f>
        <v>119.84683314658275</v>
      </c>
      <c r="AW1120" s="105">
        <f>IF(tech_base!$T216&gt;AW$905,"",AW2240+tech_proj!AW1740/(1-tech_proj!AW620))</f>
        <v>120.09292201235256</v>
      </c>
      <c r="AX1120" s="106">
        <f>IF(tech_base!$T216&gt;AX$905,"",AX2240+tech_proj!AX1740/(1-tech_proj!AX620))</f>
        <v>120.28670049685249</v>
      </c>
    </row>
    <row r="1121" spans="1:50" x14ac:dyDescent="0.25">
      <c r="A1121" s="356"/>
      <c r="B1121" s="376"/>
      <c r="C1121" s="378"/>
      <c r="D1121" s="2" t="s">
        <v>10</v>
      </c>
      <c r="E1121" s="160" t="str">
        <f>A1107&amp;"/"&amp;B1115&amp;"/"&amp;C1119&amp;"/"&amp;D1121</f>
        <v>Biomass and waste fired power plants/Fluidized bed combustion/CHP/S</v>
      </c>
      <c r="F1121" s="76" t="str">
        <f>A1107</f>
        <v>Biomass and waste fired power plants</v>
      </c>
      <c r="G1121" s="76" t="str">
        <f>B1115</f>
        <v>Fluidized bed combustion</v>
      </c>
      <c r="H1121" s="76" t="str">
        <f>C1119</f>
        <v>CHP</v>
      </c>
      <c r="I1121" s="161" t="str">
        <f t="shared" si="370"/>
        <v>S</v>
      </c>
      <c r="J1121" s="105">
        <f>IF(tech_base!$T217&gt;J$905,"",J2241+tech_proj!J1741/(1-tech_proj!J621))</f>
        <v>90.965283898564678</v>
      </c>
      <c r="K1121" s="105">
        <f>IF(tech_base!$T217&gt;K$905,"",K2241+tech_proj!K1741/(1-tech_proj!K621))</f>
        <v>93.253655885289447</v>
      </c>
      <c r="L1121" s="105">
        <f>IF(tech_base!$T217&gt;L$905,"",L2241+tech_proj!L1741/(1-tech_proj!L621))</f>
        <v>95.542431257369103</v>
      </c>
      <c r="M1121" s="105">
        <f>IF(tech_base!$T217&gt;M$905,"",M2241+tech_proj!M1741/(1-tech_proj!M621))</f>
        <v>97.8315237208176</v>
      </c>
      <c r="N1121" s="105">
        <f>IF(tech_base!$T217&gt;N$905,"",N2241+tech_proj!N1741/(1-tech_proj!N621))</f>
        <v>100.12083180348495</v>
      </c>
      <c r="O1121" s="105">
        <f>IF(tech_base!$T217&gt;O$905,"",O2241+tech_proj!O1741/(1-tech_proj!O621))</f>
        <v>102.41023625373833</v>
      </c>
      <c r="P1121" s="105">
        <f>IF(tech_base!$T217&gt;P$905,"",P2241+tech_proj!P1741/(1-tech_proj!P621))</f>
        <v>103.05639880100304</v>
      </c>
      <c r="Q1121" s="105">
        <f>IF(tech_base!$T217&gt;Q$905,"",Q2241+tech_proj!Q1741/(1-tech_proj!Q621))</f>
        <v>103.34244766162738</v>
      </c>
      <c r="R1121" s="105">
        <f>IF(tech_base!$T217&gt;R$905,"",R2241+tech_proj!R1741/(1-tech_proj!R621))</f>
        <v>103.67193210190638</v>
      </c>
      <c r="S1121" s="105">
        <f>IF(tech_base!$T217&gt;S$905,"",S2241+tech_proj!S1741/(1-tech_proj!S621))</f>
        <v>104.21709491439714</v>
      </c>
      <c r="T1121" s="105">
        <f>IF(tech_base!$T217&gt;T$905,"",T2241+tech_proj!T1741/(1-tech_proj!T621))</f>
        <v>105.10014452159774</v>
      </c>
      <c r="U1121" s="105">
        <f>IF(tech_base!$T217&gt;U$905,"",U2241+tech_proj!U1741/(1-tech_proj!U621))</f>
        <v>106.01657631949266</v>
      </c>
      <c r="V1121" s="105">
        <f>IF(tech_base!$T217&gt;V$905,"",V2241+tech_proj!V1741/(1-tech_proj!V621))</f>
        <v>107.01227157508079</v>
      </c>
      <c r="W1121" s="105">
        <f>IF(tech_base!$T217&gt;W$905,"",W2241+tech_proj!W1741/(1-tech_proj!W621))</f>
        <v>108.04891626089461</v>
      </c>
      <c r="X1121" s="105">
        <f>IF(tech_base!$T217&gt;X$905,"",X2241+tech_proj!X1741/(1-tech_proj!X621))</f>
        <v>109.05898909635928</v>
      </c>
      <c r="Y1121" s="105">
        <f>IF(tech_base!$T217&gt;Y$905,"",Y2241+tech_proj!Y1741/(1-tech_proj!Y621))</f>
        <v>110.09872620109834</v>
      </c>
      <c r="Z1121" s="105">
        <f>IF(tech_base!$T217&gt;Z$905,"",Z2241+tech_proj!Z1741/(1-tech_proj!Z621))</f>
        <v>111.1277342284954</v>
      </c>
      <c r="AA1121" s="105">
        <f>IF(tech_base!$T217&gt;AA$905,"",AA2241+tech_proj!AA1741/(1-tech_proj!AA621))</f>
        <v>112.25037021976462</v>
      </c>
      <c r="AB1121" s="105">
        <f>IF(tech_base!$T217&gt;AB$905,"",AB2241+tech_proj!AB1741/(1-tech_proj!AB621))</f>
        <v>113.71568331610695</v>
      </c>
      <c r="AC1121" s="105">
        <f>IF(tech_base!$T217&gt;AC$905,"",AC2241+tech_proj!AC1741/(1-tech_proj!AC621))</f>
        <v>115.91273530141689</v>
      </c>
      <c r="AD1121" s="105">
        <f>IF(tech_base!$T217&gt;AD$905,"",AD2241+tech_proj!AD1741/(1-tech_proj!AD621))</f>
        <v>118.06422120768001</v>
      </c>
      <c r="AE1121" s="105">
        <f>IF(tech_base!$T217&gt;AE$905,"",AE2241+tech_proj!AE1741/(1-tech_proj!AE621))</f>
        <v>119.54091787619117</v>
      </c>
      <c r="AF1121" s="105">
        <f>IF(tech_base!$T217&gt;AF$905,"",AF2241+tech_proj!AF1741/(1-tech_proj!AF621))</f>
        <v>120.42642708688379</v>
      </c>
      <c r="AG1121" s="105">
        <f>IF(tech_base!$T217&gt;AG$905,"",AG2241+tech_proj!AG1741/(1-tech_proj!AG621))</f>
        <v>121.18193019806289</v>
      </c>
      <c r="AH1121" s="105">
        <f>IF(tech_base!$T217&gt;AH$905,"",AH2241+tech_proj!AH1741/(1-tech_proj!AH621))</f>
        <v>121.84601994811217</v>
      </c>
      <c r="AI1121" s="105">
        <f>IF(tech_base!$T217&gt;AI$905,"",AI2241+tech_proj!AI1741/(1-tech_proj!AI621))</f>
        <v>122.54800305982273</v>
      </c>
      <c r="AJ1121" s="105">
        <f>IF(tech_base!$T217&gt;AJ$905,"",AJ2241+tech_proj!AJ1741/(1-tech_proj!AJ621))</f>
        <v>123.25413772369143</v>
      </c>
      <c r="AK1121" s="105">
        <f>IF(tech_base!$T217&gt;AK$905,"",AK2241+tech_proj!AK1741/(1-tech_proj!AK621))</f>
        <v>123.87769887809073</v>
      </c>
      <c r="AL1121" s="105">
        <f>IF(tech_base!$T217&gt;AL$905,"",AL2241+tech_proj!AL1741/(1-tech_proj!AL621))</f>
        <v>124.39914769166792</v>
      </c>
      <c r="AM1121" s="105">
        <f>IF(tech_base!$T217&gt;AM$905,"",AM2241+tech_proj!AM1741/(1-tech_proj!AM621))</f>
        <v>124.6917872614035</v>
      </c>
      <c r="AN1121" s="105">
        <f>IF(tech_base!$T217&gt;AN$905,"",AN2241+tech_proj!AN1741/(1-tech_proj!AN621))</f>
        <v>124.89859564175875</v>
      </c>
      <c r="AO1121" s="105">
        <f>IF(tech_base!$T217&gt;AO$905,"",AO2241+tech_proj!AO1741/(1-tech_proj!AO621))</f>
        <v>125.09844221391944</v>
      </c>
      <c r="AP1121" s="105">
        <f>IF(tech_base!$T217&gt;AP$905,"",AP2241+tech_proj!AP1741/(1-tech_proj!AP621))</f>
        <v>125.31152729663003</v>
      </c>
      <c r="AQ1121" s="105">
        <f>IF(tech_base!$T217&gt;AQ$905,"",AQ2241+tech_proj!AQ1741/(1-tech_proj!AQ621))</f>
        <v>125.52129184994878</v>
      </c>
      <c r="AR1121" s="105">
        <f>IF(tech_base!$T217&gt;AR$905,"",AR2241+tech_proj!AR1741/(1-tech_proj!AR621))</f>
        <v>125.56701728286913</v>
      </c>
      <c r="AS1121" s="105">
        <f>IF(tech_base!$T217&gt;AS$905,"",AS2241+tech_proj!AS1741/(1-tech_proj!AS621))</f>
        <v>125.69543634186013</v>
      </c>
      <c r="AT1121" s="105">
        <f>IF(tech_base!$T217&gt;AT$905,"",AT2241+tech_proj!AT1741/(1-tech_proj!AT621))</f>
        <v>125.72122714107552</v>
      </c>
      <c r="AU1121" s="105">
        <f>IF(tech_base!$T217&gt;AU$905,"",AU2241+tech_proj!AU1741/(1-tech_proj!AU621))</f>
        <v>125.96890658737497</v>
      </c>
      <c r="AV1121" s="105">
        <f>IF(tech_base!$T217&gt;AV$905,"",AV2241+tech_proj!AV1741/(1-tech_proj!AV621))</f>
        <v>126.23424709972038</v>
      </c>
      <c r="AW1121" s="105">
        <f>IF(tech_base!$T217&gt;AW$905,"",AW2241+tech_proj!AW1741/(1-tech_proj!AW621))</f>
        <v>126.49585901725679</v>
      </c>
      <c r="AX1121" s="106">
        <f>IF(tech_base!$T217&gt;AX$905,"",AX2241+tech_proj!AX1741/(1-tech_proj!AX621))</f>
        <v>126.7050010452903</v>
      </c>
    </row>
    <row r="1122" spans="1:50" x14ac:dyDescent="0.25">
      <c r="A1122" s="356"/>
      <c r="B1122" s="376"/>
      <c r="C1122" s="379"/>
      <c r="D1122" s="59" t="s">
        <v>20</v>
      </c>
      <c r="E1122" s="166" t="str">
        <f>A1107&amp;"/"&amp;B1115&amp;"/"&amp;C1119&amp;"/"&amp;D1122</f>
        <v>Biomass and waste fired power plants/Fluidized bed combustion/CHP/XS</v>
      </c>
      <c r="F1122" s="79" t="str">
        <f>A1107</f>
        <v>Biomass and waste fired power plants</v>
      </c>
      <c r="G1122" s="79" t="str">
        <f>B1115</f>
        <v>Fluidized bed combustion</v>
      </c>
      <c r="H1122" s="79" t="str">
        <f>C1119</f>
        <v>CHP</v>
      </c>
      <c r="I1122" s="167" t="str">
        <f t="shared" si="370"/>
        <v>XS</v>
      </c>
      <c r="J1122" s="111">
        <f>IF(tech_base!$T218&gt;J$905,"",J2242+tech_proj!J1742/(1-tech_proj!J622))</f>
        <v>97.116838200878377</v>
      </c>
      <c r="K1122" s="111">
        <f>IF(tech_base!$T218&gt;K$905,"",K2242+tech_proj!K1742/(1-tech_proj!K622))</f>
        <v>99.529842161188583</v>
      </c>
      <c r="L1122" s="111">
        <f>IF(tech_base!$T218&gt;L$905,"",L2242+tech_proj!L1742/(1-tech_proj!L622))</f>
        <v>101.94314628795361</v>
      </c>
      <c r="M1122" s="111">
        <f>IF(tech_base!$T218&gt;M$905,"",M2242+tech_proj!M1742/(1-tech_proj!M622))</f>
        <v>104.3566374954233</v>
      </c>
      <c r="N1122" s="111">
        <f>IF(tech_base!$T218&gt;N$905,"",N2242+tech_proj!N1742/(1-tech_proj!N622))</f>
        <v>106.77018288367739</v>
      </c>
      <c r="O1122" s="111">
        <f>IF(tech_base!$T218&gt;O$905,"",O2242+tech_proj!O1742/(1-tech_proj!O622))</f>
        <v>109.18362636149034</v>
      </c>
      <c r="P1122" s="111">
        <f>IF(tech_base!$T218&gt;P$905,"",P2242+tech_proj!P1742/(1-tech_proj!P622))</f>
        <v>109.86370782738159</v>
      </c>
      <c r="Q1122" s="111">
        <f>IF(tech_base!$T218&gt;Q$905,"",Q2242+tech_proj!Q1742/(1-tech_proj!Q622))</f>
        <v>110.16373990407355</v>
      </c>
      <c r="R1122" s="111">
        <f>IF(tech_base!$T218&gt;R$905,"",R2242+tech_proj!R1742/(1-tech_proj!R622))</f>
        <v>110.50930994800028</v>
      </c>
      <c r="S1122" s="111">
        <f>IF(tech_base!$T218&gt;S$905,"",S2242+tech_proj!S1742/(1-tech_proj!S622))</f>
        <v>111.08202968192752</v>
      </c>
      <c r="T1122" s="111">
        <f>IF(tech_base!$T218&gt;T$905,"",T2242+tech_proj!T1742/(1-tech_proj!T622))</f>
        <v>112.0107229709222</v>
      </c>
      <c r="U1122" s="111">
        <f>IF(tech_base!$T218&gt;U$905,"",U2242+tech_proj!U1742/(1-tech_proj!U622))</f>
        <v>112.97417291077315</v>
      </c>
      <c r="V1122" s="111">
        <f>IF(tech_base!$T218&gt;V$905,"",V2242+tech_proj!V1742/(1-tech_proj!V622))</f>
        <v>114.02069112996129</v>
      </c>
      <c r="W1122" s="111">
        <f>IF(tech_base!$T218&gt;W$905,"",W2242+tech_proj!W1742/(1-tech_proj!W622))</f>
        <v>115.10978298312</v>
      </c>
      <c r="X1122" s="111">
        <f>IF(tech_base!$T218&gt;X$905,"",X2242+tech_proj!X1742/(1-tech_proj!X622))</f>
        <v>116.1701442836025</v>
      </c>
      <c r="Y1122" s="111">
        <f>IF(tech_base!$T218&gt;Y$905,"",Y2242+tech_proj!Y1742/(1-tech_proj!Y622))</f>
        <v>117.26096733735513</v>
      </c>
      <c r="Z1122" s="111">
        <f>IF(tech_base!$T218&gt;Z$905,"",Z2242+tech_proj!Z1742/(1-tech_proj!Z622))</f>
        <v>118.33952857171069</v>
      </c>
      <c r="AA1122" s="111">
        <f>IF(tech_base!$T218&gt;AA$905,"",AA2242+tech_proj!AA1742/(1-tech_proj!AA622))</f>
        <v>119.51571924400891</v>
      </c>
      <c r="AB1122" s="111">
        <f>IF(tech_base!$T218&gt;AB$905,"",AB2242+tech_proj!AB1742/(1-tech_proj!AB622))</f>
        <v>121.05194384468771</v>
      </c>
      <c r="AC1122" s="111">
        <f>IF(tech_base!$T218&gt;AC$905,"",AC2242+tech_proj!AC1742/(1-tech_proj!AC622))</f>
        <v>123.35812891634015</v>
      </c>
      <c r="AD1122" s="111">
        <f>IF(tech_base!$T218&gt;AD$905,"",AD2242+tech_proj!AD1742/(1-tech_proj!AD622))</f>
        <v>125.61445091797975</v>
      </c>
      <c r="AE1122" s="111">
        <f>IF(tech_base!$T218&gt;AE$905,"",AE2242+tech_proj!AE1742/(1-tech_proj!AE622))</f>
        <v>127.15737789737112</v>
      </c>
      <c r="AF1122" s="111">
        <f>IF(tech_base!$T218&gt;AF$905,"",AF2242+tech_proj!AF1742/(1-tech_proj!AF622))</f>
        <v>128.07493346433773</v>
      </c>
      <c r="AG1122" s="111">
        <f>IF(tech_base!$T218&gt;AG$905,"",AG2242+tech_proj!AG1742/(1-tech_proj!AG622))</f>
        <v>128.85306644990467</v>
      </c>
      <c r="AH1122" s="111">
        <f>IF(tech_base!$T218&gt;AH$905,"",AH2242+tech_proj!AH1742/(1-tech_proj!AH622))</f>
        <v>129.53220776720548</v>
      </c>
      <c r="AI1122" s="111">
        <f>IF(tech_base!$T218&gt;AI$905,"",AI2242+tech_proj!AI1742/(1-tech_proj!AI622))</f>
        <v>130.24834677818086</v>
      </c>
      <c r="AJ1122" s="111">
        <f>IF(tech_base!$T218&gt;AJ$905,"",AJ2242+tech_proj!AJ1742/(1-tech_proj!AJ622))</f>
        <v>130.96562814280762</v>
      </c>
      <c r="AK1122" s="111">
        <f>IF(tech_base!$T218&gt;AK$905,"",AK2242+tech_proj!AK1742/(1-tech_proj!AK622))</f>
        <v>131.59241870079137</v>
      </c>
      <c r="AL1122" s="111">
        <f>IF(tech_base!$T218&gt;AL$905,"",AL2242+tech_proj!AL1742/(1-tech_proj!AL622))</f>
        <v>132.10793255559645</v>
      </c>
      <c r="AM1122" s="111">
        <f>IF(tech_base!$T218&gt;AM$905,"",AM2242+tech_proj!AM1742/(1-tech_proj!AM622))</f>
        <v>132.37863423296318</v>
      </c>
      <c r="AN1122" s="111">
        <f>IF(tech_base!$T218&gt;AN$905,"",AN2242+tech_proj!AN1742/(1-tech_proj!AN622))</f>
        <v>132.55506098590661</v>
      </c>
      <c r="AO1122" s="111">
        <f>IF(tech_base!$T218&gt;AO$905,"",AO2242+tech_proj!AO1742/(1-tech_proj!AO622))</f>
        <v>132.72026133557648</v>
      </c>
      <c r="AP1122" s="111">
        <f>IF(tech_base!$T218&gt;AP$905,"",AP2242+tech_proj!AP1742/(1-tech_proj!AP622))</f>
        <v>132.89561242286373</v>
      </c>
      <c r="AQ1122" s="111">
        <f>IF(tech_base!$T218&gt;AQ$905,"",AQ2242+tech_proj!AQ1742/(1-tech_proj!AQ622))</f>
        <v>133.06397257748949</v>
      </c>
      <c r="AR1122" s="111">
        <f>IF(tech_base!$T218&gt;AR$905,"",AR2242+tech_proj!AR1742/(1-tech_proj!AR622))</f>
        <v>133.05685044969317</v>
      </c>
      <c r="AS1122" s="111">
        <f>IF(tech_base!$T218&gt;AS$905,"",AS2242+tech_proj!AS1742/(1-tech_proj!AS622))</f>
        <v>133.13445913231482</v>
      </c>
      <c r="AT1122" s="111">
        <f>IF(tech_base!$T218&gt;AT$905,"",AT2242+tech_proj!AT1742/(1-tech_proj!AT622))</f>
        <v>133.10295168044863</v>
      </c>
      <c r="AU1122" s="111">
        <f>IF(tech_base!$T218&gt;AU$905,"",AU2242+tech_proj!AU1742/(1-tech_proj!AU622))</f>
        <v>133.30449500426087</v>
      </c>
      <c r="AV1122" s="111">
        <f>IF(tech_base!$T218&gt;AV$905,"",AV2242+tech_proj!AV1742/(1-tech_proj!AV622))</f>
        <v>133.5258250728823</v>
      </c>
      <c r="AW1122" s="111">
        <f>IF(tech_base!$T218&gt;AW$905,"",AW2242+tech_proj!AW1742/(1-tech_proj!AW622))</f>
        <v>133.74603989781588</v>
      </c>
      <c r="AX1122" s="112">
        <f>IF(tech_base!$T218&gt;AX$905,"",AX2242+tech_proj!AX1742/(1-tech_proj!AX622))</f>
        <v>133.91562830372231</v>
      </c>
    </row>
    <row r="1123" spans="1:50" x14ac:dyDescent="0.25">
      <c r="A1123" s="356"/>
      <c r="B1123" s="376"/>
      <c r="C1123" s="361" t="s">
        <v>15</v>
      </c>
      <c r="D1123" s="58" t="s">
        <v>7</v>
      </c>
      <c r="E1123" s="164" t="str">
        <f>A1107&amp;"/"&amp;B1115&amp;"/"&amp;C1123&amp;"/"&amp;D1123</f>
        <v>Biomass and waste fired power plants/Fluidized bed combustion/Electricity only with CCS/L</v>
      </c>
      <c r="F1123" s="78" t="str">
        <f>A1107</f>
        <v>Biomass and waste fired power plants</v>
      </c>
      <c r="G1123" s="78" t="str">
        <f>B1115</f>
        <v>Fluidized bed combustion</v>
      </c>
      <c r="H1123" s="78" t="str">
        <f>C1123</f>
        <v>Electricity only with CCS</v>
      </c>
      <c r="I1123" s="165" t="str">
        <f t="shared" si="370"/>
        <v>L</v>
      </c>
      <c r="J1123" s="109" t="str">
        <f>IF(tech_base!$T219&gt;J$905,"",J2243+tech_proj!J1743/(1-tech_proj!J623))</f>
        <v/>
      </c>
      <c r="K1123" s="109" t="str">
        <f>IF(tech_base!$T219&gt;K$905,"",K2243+tech_proj!K1743/(1-tech_proj!K623))</f>
        <v/>
      </c>
      <c r="L1123" s="109" t="str">
        <f>IF(tech_base!$T219&gt;L$905,"",L2243+tech_proj!L1743/(1-tech_proj!L623))</f>
        <v/>
      </c>
      <c r="M1123" s="109" t="str">
        <f>IF(tech_base!$T219&gt;M$905,"",M2243+tech_proj!M1743/(1-tech_proj!M623))</f>
        <v/>
      </c>
      <c r="N1123" s="109" t="str">
        <f>IF(tech_base!$T219&gt;N$905,"",N2243+tech_proj!N1743/(1-tech_proj!N623))</f>
        <v/>
      </c>
      <c r="O1123" s="109" t="str">
        <f>IF(tech_base!$T219&gt;O$905,"",O2243+tech_proj!O1743/(1-tech_proj!O623))</f>
        <v/>
      </c>
      <c r="P1123" s="109" t="str">
        <f>IF(tech_base!$T219&gt;P$905,"",P2243+tech_proj!P1743/(1-tech_proj!P623))</f>
        <v/>
      </c>
      <c r="Q1123" s="109" t="str">
        <f>IF(tech_base!$T219&gt;Q$905,"",Q2243+tech_proj!Q1743/(1-tech_proj!Q623))</f>
        <v/>
      </c>
      <c r="R1123" s="109" t="str">
        <f>IF(tech_base!$T219&gt;R$905,"",R2243+tech_proj!R1743/(1-tech_proj!R623))</f>
        <v/>
      </c>
      <c r="S1123" s="109" t="str">
        <f>IF(tech_base!$T219&gt;S$905,"",S2243+tech_proj!S1743/(1-tech_proj!S623))</f>
        <v/>
      </c>
      <c r="T1123" s="109" t="str">
        <f>IF(tech_base!$T219&gt;T$905,"",T2243+tech_proj!T1743/(1-tech_proj!T623))</f>
        <v/>
      </c>
      <c r="U1123" s="109" t="str">
        <f>IF(tech_base!$T219&gt;U$905,"",U2243+tech_proj!U1743/(1-tech_proj!U623))</f>
        <v/>
      </c>
      <c r="V1123" s="109" t="str">
        <f>IF(tech_base!$T219&gt;V$905,"",V2243+tech_proj!V1743/(1-tech_proj!V623))</f>
        <v/>
      </c>
      <c r="W1123" s="109" t="str">
        <f>IF(tech_base!$T219&gt;W$905,"",W2243+tech_proj!W1743/(1-tech_proj!W623))</f>
        <v/>
      </c>
      <c r="X1123" s="109" t="str">
        <f>IF(tech_base!$T219&gt;X$905,"",X2243+tech_proj!X1743/(1-tech_proj!X623))</f>
        <v/>
      </c>
      <c r="Y1123" s="109" t="str">
        <f>IF(tech_base!$T219&gt;Y$905,"",Y2243+tech_proj!Y1743/(1-tech_proj!Y623))</f>
        <v/>
      </c>
      <c r="Z1123" s="109" t="str">
        <f>IF(tech_base!$T219&gt;Z$905,"",Z2243+tech_proj!Z1743/(1-tech_proj!Z623))</f>
        <v/>
      </c>
      <c r="AA1123" s="109" t="str">
        <f>IF(tech_base!$T219&gt;AA$905,"",AA2243+tech_proj!AA1743/(1-tech_proj!AA623))</f>
        <v/>
      </c>
      <c r="AB1123" s="109" t="str">
        <f>IF(tech_base!$T219&gt;AB$905,"",AB2243+tech_proj!AB1743/(1-tech_proj!AB623))</f>
        <v/>
      </c>
      <c r="AC1123" s="109" t="str">
        <f>IF(tech_base!$T219&gt;AC$905,"",AC2243+tech_proj!AC1743/(1-tech_proj!AC623))</f>
        <v/>
      </c>
      <c r="AD1123" s="109" t="str">
        <f>IF(tech_base!$T219&gt;AD$905,"",AD2243+tech_proj!AD1743/(1-tech_proj!AD623))</f>
        <v/>
      </c>
      <c r="AE1123" s="109">
        <f>IF(tech_base!$T219&gt;AE$905,"",AE2243+tech_proj!AE1743/(1-tech_proj!AE623))</f>
        <v>132.92685448046308</v>
      </c>
      <c r="AF1123" s="109">
        <f>IF(tech_base!$T219&gt;AF$905,"",AF2243+tech_proj!AF1743/(1-tech_proj!AF623))</f>
        <v>133.92921699870573</v>
      </c>
      <c r="AG1123" s="109">
        <f>IF(tech_base!$T219&gt;AG$905,"",AG2243+tech_proj!AG1743/(1-tech_proj!AG623))</f>
        <v>134.79992303485764</v>
      </c>
      <c r="AH1123" s="109">
        <f>IF(tech_base!$T219&gt;AH$905,"",AH2243+tech_proj!AH1743/(1-tech_proj!AH623))</f>
        <v>135.58059895445612</v>
      </c>
      <c r="AI1123" s="109">
        <f>IF(tech_base!$T219&gt;AI$905,"",AI2243+tech_proj!AI1743/(1-tech_proj!AI623))</f>
        <v>136.4099325326525</v>
      </c>
      <c r="AJ1123" s="109">
        <f>IF(tech_base!$T219&gt;AJ$905,"",AJ2243+tech_proj!AJ1743/(1-tech_proj!AJ623))</f>
        <v>137.25196859593279</v>
      </c>
      <c r="AK1123" s="109">
        <f>IF(tech_base!$T219&gt;AK$905,"",AK2243+tech_proj!AK1743/(1-tech_proj!AK623))</f>
        <v>138.01353576669794</v>
      </c>
      <c r="AL1123" s="109">
        <f>IF(tech_base!$T219&gt;AL$905,"",AL2243+tech_proj!AL1743/(1-tech_proj!AL623))</f>
        <v>138.67283088740487</v>
      </c>
      <c r="AM1123" s="109">
        <f>IF(tech_base!$T219&gt;AM$905,"",AM2243+tech_proj!AM1743/(1-tech_proj!AM623))</f>
        <v>139.09225388994795</v>
      </c>
      <c r="AN1123" s="109">
        <f>IF(tech_base!$T219&gt;AN$905,"",AN2243+tech_proj!AN1743/(1-tech_proj!AN623))</f>
        <v>139.42268916870921</v>
      </c>
      <c r="AO1123" s="109">
        <f>IF(tech_base!$T219&gt;AO$905,"",AO2243+tech_proj!AO1743/(1-tech_proj!AO623))</f>
        <v>139.74540256745161</v>
      </c>
      <c r="AP1123" s="109">
        <f>IF(tech_base!$T219&gt;AP$905,"",AP2243+tech_proj!AP1743/(1-tech_proj!AP623))</f>
        <v>140.07737805718142</v>
      </c>
      <c r="AQ1123" s="109">
        <f>IF(tech_base!$T219&gt;AQ$905,"",AQ2243+tech_proj!AQ1743/(1-tech_proj!AQ623))</f>
        <v>140.39437351336883</v>
      </c>
      <c r="AR1123" s="109">
        <f>IF(tech_base!$T219&gt;AR$905,"",AR2243+tech_proj!AR1743/(1-tech_proj!AR623))</f>
        <v>140.51475814592513</v>
      </c>
      <c r="AS1123" s="109">
        <f>IF(tech_base!$T219&gt;AS$905,"",AS2243+tech_proj!AS1743/(1-tech_proj!AS623))</f>
        <v>140.69366977572045</v>
      </c>
      <c r="AT1123" s="109">
        <f>IF(tech_base!$T219&gt;AT$905,"",AT2243+tech_proj!AT1743/(1-tech_proj!AT623))</f>
        <v>140.71856681102335</v>
      </c>
      <c r="AU1123" s="109">
        <f>IF(tech_base!$T219&gt;AU$905,"",AU2243+tech_proj!AU1743/(1-tech_proj!AU623))</f>
        <v>140.92457851058407</v>
      </c>
      <c r="AV1123" s="109">
        <f>IF(tech_base!$T219&gt;AV$905,"",AV2243+tech_proj!AV1743/(1-tech_proj!AV623))</f>
        <v>141.07525742530737</v>
      </c>
      <c r="AW1123" s="109">
        <f>IF(tech_base!$T219&gt;AW$905,"",AW2243+tech_proj!AW1743/(1-tech_proj!AW623))</f>
        <v>141.13113489484667</v>
      </c>
      <c r="AX1123" s="110">
        <f>IF(tech_base!$T219&gt;AX$905,"",AX2243+tech_proj!AX1743/(1-tech_proj!AX623))</f>
        <v>141.02522276242075</v>
      </c>
    </row>
    <row r="1124" spans="1:50" x14ac:dyDescent="0.25">
      <c r="A1124" s="356"/>
      <c r="B1124" s="376"/>
      <c r="C1124" s="379"/>
      <c r="D1124" s="59" t="s">
        <v>8</v>
      </c>
      <c r="E1124" s="166" t="str">
        <f>A1107&amp;"/"&amp;B1115&amp;"/"&amp;C1123&amp;"/"&amp;D1124</f>
        <v>Biomass and waste fired power plants/Fluidized bed combustion/Electricity only with CCS/M</v>
      </c>
      <c r="F1124" s="79" t="str">
        <f>A1107</f>
        <v>Biomass and waste fired power plants</v>
      </c>
      <c r="G1124" s="79" t="str">
        <f>B1115</f>
        <v>Fluidized bed combustion</v>
      </c>
      <c r="H1124" s="79" t="str">
        <f>C1123</f>
        <v>Electricity only with CCS</v>
      </c>
      <c r="I1124" s="167" t="str">
        <f t="shared" si="370"/>
        <v>M</v>
      </c>
      <c r="J1124" s="111" t="str">
        <f>IF(tech_base!$T220&gt;J$905,"",J2244+tech_proj!J1744/(1-tech_proj!J624))</f>
        <v/>
      </c>
      <c r="K1124" s="111" t="str">
        <f>IF(tech_base!$T220&gt;K$905,"",K2244+tech_proj!K1744/(1-tech_proj!K624))</f>
        <v/>
      </c>
      <c r="L1124" s="111" t="str">
        <f>IF(tech_base!$T220&gt;L$905,"",L2244+tech_proj!L1744/(1-tech_proj!L624))</f>
        <v/>
      </c>
      <c r="M1124" s="111" t="str">
        <f>IF(tech_base!$T220&gt;M$905,"",M2244+tech_proj!M1744/(1-tech_proj!M624))</f>
        <v/>
      </c>
      <c r="N1124" s="111" t="str">
        <f>IF(tech_base!$T220&gt;N$905,"",N2244+tech_proj!N1744/(1-tech_proj!N624))</f>
        <v/>
      </c>
      <c r="O1124" s="111" t="str">
        <f>IF(tech_base!$T220&gt;O$905,"",O2244+tech_proj!O1744/(1-tech_proj!O624))</f>
        <v/>
      </c>
      <c r="P1124" s="111" t="str">
        <f>IF(tech_base!$T220&gt;P$905,"",P2244+tech_proj!P1744/(1-tech_proj!P624))</f>
        <v/>
      </c>
      <c r="Q1124" s="111" t="str">
        <f>IF(tech_base!$T220&gt;Q$905,"",Q2244+tech_proj!Q1744/(1-tech_proj!Q624))</f>
        <v/>
      </c>
      <c r="R1124" s="111" t="str">
        <f>IF(tech_base!$T220&gt;R$905,"",R2244+tech_proj!R1744/(1-tech_proj!R624))</f>
        <v/>
      </c>
      <c r="S1124" s="111" t="str">
        <f>IF(tech_base!$T220&gt;S$905,"",S2244+tech_proj!S1744/(1-tech_proj!S624))</f>
        <v/>
      </c>
      <c r="T1124" s="111" t="str">
        <f>IF(tech_base!$T220&gt;T$905,"",T2244+tech_proj!T1744/(1-tech_proj!T624))</f>
        <v/>
      </c>
      <c r="U1124" s="111" t="str">
        <f>IF(tech_base!$T220&gt;U$905,"",U2244+tech_proj!U1744/(1-tech_proj!U624))</f>
        <v/>
      </c>
      <c r="V1124" s="111" t="str">
        <f>IF(tech_base!$T220&gt;V$905,"",V2244+tech_proj!V1744/(1-tech_proj!V624))</f>
        <v/>
      </c>
      <c r="W1124" s="111" t="str">
        <f>IF(tech_base!$T220&gt;W$905,"",W2244+tech_proj!W1744/(1-tech_proj!W624))</f>
        <v/>
      </c>
      <c r="X1124" s="111" t="str">
        <f>IF(tech_base!$T220&gt;X$905,"",X2244+tech_proj!X1744/(1-tech_proj!X624))</f>
        <v/>
      </c>
      <c r="Y1124" s="111" t="str">
        <f>IF(tech_base!$T220&gt;Y$905,"",Y2244+tech_proj!Y1744/(1-tech_proj!Y624))</f>
        <v/>
      </c>
      <c r="Z1124" s="111" t="str">
        <f>IF(tech_base!$T220&gt;Z$905,"",Z2244+tech_proj!Z1744/(1-tech_proj!Z624))</f>
        <v/>
      </c>
      <c r="AA1124" s="111" t="str">
        <f>IF(tech_base!$T220&gt;AA$905,"",AA2244+tech_proj!AA1744/(1-tech_proj!AA624))</f>
        <v/>
      </c>
      <c r="AB1124" s="111" t="str">
        <f>IF(tech_base!$T220&gt;AB$905,"",AB2244+tech_proj!AB1744/(1-tech_proj!AB624))</f>
        <v/>
      </c>
      <c r="AC1124" s="111" t="str">
        <f>IF(tech_base!$T220&gt;AC$905,"",AC2244+tech_proj!AC1744/(1-tech_proj!AC624))</f>
        <v/>
      </c>
      <c r="AD1124" s="111" t="str">
        <f>IF(tech_base!$T220&gt;AD$905,"",AD2244+tech_proj!AD1744/(1-tech_proj!AD624))</f>
        <v/>
      </c>
      <c r="AE1124" s="111">
        <f>IF(tech_base!$T220&gt;AE$905,"",AE2244+tech_proj!AE1744/(1-tech_proj!AE624))</f>
        <v>142.70717950339912</v>
      </c>
      <c r="AF1124" s="111">
        <f>IF(tech_base!$T220&gt;AF$905,"",AF2244+tech_proj!AF1744/(1-tech_proj!AF624))</f>
        <v>143.77695015755484</v>
      </c>
      <c r="AG1124" s="111">
        <f>IF(tech_base!$T220&gt;AG$905,"",AG2244+tech_proj!AG1744/(1-tech_proj!AG624))</f>
        <v>144.70577922151296</v>
      </c>
      <c r="AH1124" s="111">
        <f>IF(tech_base!$T220&gt;AH$905,"",AH2244+tech_proj!AH1744/(1-tech_proj!AH624))</f>
        <v>145.53805138499573</v>
      </c>
      <c r="AI1124" s="111">
        <f>IF(tech_base!$T220&gt;AI$905,"",AI2244+tech_proj!AI1744/(1-tech_proj!AI624))</f>
        <v>146.42181156735043</v>
      </c>
      <c r="AJ1124" s="111">
        <f>IF(tech_base!$T220&gt;AJ$905,"",AJ2244+tech_proj!AJ1744/(1-tech_proj!AJ624))</f>
        <v>147.31851107815874</v>
      </c>
      <c r="AK1124" s="111">
        <f>IF(tech_base!$T220&gt;AK$905,"",AK2244+tech_proj!AK1744/(1-tech_proj!AK624))</f>
        <v>148.12844585631476</v>
      </c>
      <c r="AL1124" s="111">
        <f>IF(tech_base!$T220&gt;AL$905,"",AL2244+tech_proj!AL1744/(1-tech_proj!AL624))</f>
        <v>148.82810567206906</v>
      </c>
      <c r="AM1124" s="111">
        <f>IF(tech_base!$T220&gt;AM$905,"",AM2244+tech_proj!AM1744/(1-tech_proj!AM624))</f>
        <v>149.2702365673498</v>
      </c>
      <c r="AN1124" s="111">
        <f>IF(tech_base!$T220&gt;AN$905,"",AN2244+tech_proj!AN1744/(1-tech_proj!AN624))</f>
        <v>149.61567009040883</v>
      </c>
      <c r="AO1124" s="111">
        <f>IF(tech_base!$T220&gt;AO$905,"",AO2244+tech_proj!AO1744/(1-tech_proj!AO624))</f>
        <v>149.95077670998396</v>
      </c>
      <c r="AP1124" s="111">
        <f>IF(tech_base!$T220&gt;AP$905,"",AP2244+tech_proj!AP1744/(1-tech_proj!AP624))</f>
        <v>150.29315510185353</v>
      </c>
      <c r="AQ1124" s="111">
        <f>IF(tech_base!$T220&gt;AQ$905,"",AQ2244+tech_proj!AQ1744/(1-tech_proj!AQ624))</f>
        <v>150.61625017532882</v>
      </c>
      <c r="AR1124" s="111">
        <f>IF(tech_base!$T220&gt;AR$905,"",AR2244+tech_proj!AR1744/(1-tech_proj!AR624))</f>
        <v>150.7253100583591</v>
      </c>
      <c r="AS1124" s="111">
        <f>IF(tech_base!$T220&gt;AS$905,"",AS2244+tech_proj!AS1744/(1-tech_proj!AS624))</f>
        <v>150.89186946303343</v>
      </c>
      <c r="AT1124" s="111">
        <f>IF(tech_base!$T220&gt;AT$905,"",AT2244+tech_proj!AT1744/(1-tech_proj!AT624))</f>
        <v>150.88791506111644</v>
      </c>
      <c r="AU1124" s="111">
        <f>IF(tech_base!$T220&gt;AU$905,"",AU2244+tech_proj!AU1744/(1-tech_proj!AU624))</f>
        <v>151.0700313571802</v>
      </c>
      <c r="AV1124" s="111">
        <f>IF(tech_base!$T220&gt;AV$905,"",AV2244+tech_proj!AV1744/(1-tech_proj!AV624))</f>
        <v>151.18449787756296</v>
      </c>
      <c r="AW1124" s="111">
        <f>IF(tech_base!$T220&gt;AW$905,"",AW2244+tech_proj!AW1744/(1-tech_proj!AW624))</f>
        <v>151.18797887888809</v>
      </c>
      <c r="AX1124" s="112">
        <f>IF(tech_base!$T220&gt;AX$905,"",AX2244+tech_proj!AX1744/(1-tech_proj!AX624))</f>
        <v>151.00802357521218</v>
      </c>
    </row>
    <row r="1125" spans="1:50" x14ac:dyDescent="0.25">
      <c r="A1125" s="356"/>
      <c r="B1125" s="376"/>
      <c r="C1125" s="361" t="s">
        <v>16</v>
      </c>
      <c r="D1125" s="2" t="s">
        <v>7</v>
      </c>
      <c r="E1125" s="160" t="str">
        <f>A1107&amp;"/"&amp;B1115&amp;"/"&amp;C1125&amp;"/"&amp;D1125</f>
        <v>Biomass and waste fired power plants/Fluidized bed combustion/CHP with CCS/L</v>
      </c>
      <c r="F1125" s="76" t="str">
        <f>A1107</f>
        <v>Biomass and waste fired power plants</v>
      </c>
      <c r="G1125" s="76" t="str">
        <f>B1115</f>
        <v>Fluidized bed combustion</v>
      </c>
      <c r="H1125" s="76" t="str">
        <f>C1125</f>
        <v>CHP with CCS</v>
      </c>
      <c r="I1125" s="161" t="str">
        <f t="shared" si="370"/>
        <v>L</v>
      </c>
      <c r="J1125" s="105" t="str">
        <f>IF(tech_base!$T221&gt;J$905,"",J2245+tech_proj!J1745/(1-tech_proj!J625))</f>
        <v/>
      </c>
      <c r="K1125" s="105" t="str">
        <f>IF(tech_base!$T221&gt;K$905,"",K2245+tech_proj!K1745/(1-tech_proj!K625))</f>
        <v/>
      </c>
      <c r="L1125" s="105" t="str">
        <f>IF(tech_base!$T221&gt;L$905,"",L2245+tech_proj!L1745/(1-tech_proj!L625))</f>
        <v/>
      </c>
      <c r="M1125" s="105" t="str">
        <f>IF(tech_base!$T221&gt;M$905,"",M2245+tech_proj!M1745/(1-tech_proj!M625))</f>
        <v/>
      </c>
      <c r="N1125" s="105" t="str">
        <f>IF(tech_base!$T221&gt;N$905,"",N2245+tech_proj!N1745/(1-tech_proj!N625))</f>
        <v/>
      </c>
      <c r="O1125" s="105" t="str">
        <f>IF(tech_base!$T221&gt;O$905,"",O2245+tech_proj!O1745/(1-tech_proj!O625))</f>
        <v/>
      </c>
      <c r="P1125" s="105" t="str">
        <f>IF(tech_base!$T221&gt;P$905,"",P2245+tech_proj!P1745/(1-tech_proj!P625))</f>
        <v/>
      </c>
      <c r="Q1125" s="105" t="str">
        <f>IF(tech_base!$T221&gt;Q$905,"",Q2245+tech_proj!Q1745/(1-tech_proj!Q625))</f>
        <v/>
      </c>
      <c r="R1125" s="105" t="str">
        <f>IF(tech_base!$T221&gt;R$905,"",R2245+tech_proj!R1745/(1-tech_proj!R625))</f>
        <v/>
      </c>
      <c r="S1125" s="105" t="str">
        <f>IF(tech_base!$T221&gt;S$905,"",S2245+tech_proj!S1745/(1-tech_proj!S625))</f>
        <v/>
      </c>
      <c r="T1125" s="105" t="str">
        <f>IF(tech_base!$T221&gt;T$905,"",T2245+tech_proj!T1745/(1-tech_proj!T625))</f>
        <v/>
      </c>
      <c r="U1125" s="105" t="str">
        <f>IF(tech_base!$T221&gt;U$905,"",U2245+tech_proj!U1745/(1-tech_proj!U625))</f>
        <v/>
      </c>
      <c r="V1125" s="105" t="str">
        <f>IF(tech_base!$T221&gt;V$905,"",V2245+tech_proj!V1745/(1-tech_proj!V625))</f>
        <v/>
      </c>
      <c r="W1125" s="105" t="str">
        <f>IF(tech_base!$T221&gt;W$905,"",W2245+tech_proj!W1745/(1-tech_proj!W625))</f>
        <v/>
      </c>
      <c r="X1125" s="105" t="str">
        <f>IF(tech_base!$T221&gt;X$905,"",X2245+tech_proj!X1745/(1-tech_proj!X625))</f>
        <v/>
      </c>
      <c r="Y1125" s="105" t="str">
        <f>IF(tech_base!$T221&gt;Y$905,"",Y2245+tech_proj!Y1745/(1-tech_proj!Y625))</f>
        <v/>
      </c>
      <c r="Z1125" s="105" t="str">
        <f>IF(tech_base!$T221&gt;Z$905,"",Z2245+tech_proj!Z1745/(1-tech_proj!Z625))</f>
        <v/>
      </c>
      <c r="AA1125" s="105" t="str">
        <f>IF(tech_base!$T221&gt;AA$905,"",AA2245+tech_proj!AA1745/(1-tech_proj!AA625))</f>
        <v/>
      </c>
      <c r="AB1125" s="105" t="str">
        <f>IF(tech_base!$T221&gt;AB$905,"",AB2245+tech_proj!AB1745/(1-tech_proj!AB625))</f>
        <v/>
      </c>
      <c r="AC1125" s="105" t="str">
        <f>IF(tech_base!$T221&gt;AC$905,"",AC2245+tech_proj!AC1745/(1-tech_proj!AC625))</f>
        <v/>
      </c>
      <c r="AD1125" s="105" t="str">
        <f>IF(tech_base!$T221&gt;AD$905,"",AD2245+tech_proj!AD1745/(1-tech_proj!AD625))</f>
        <v/>
      </c>
      <c r="AE1125" s="105">
        <f>IF(tech_base!$T221&gt;AE$905,"",AE2245+tech_proj!AE1745/(1-tech_proj!AE625))</f>
        <v>150.72773747534893</v>
      </c>
      <c r="AF1125" s="105">
        <f>IF(tech_base!$T221&gt;AF$905,"",AF2245+tech_proj!AF1745/(1-tech_proj!AF625))</f>
        <v>151.87228746708092</v>
      </c>
      <c r="AG1125" s="105">
        <f>IF(tech_base!$T221&gt;AG$905,"",AG2245+tech_proj!AG1745/(1-tech_proj!AG625))</f>
        <v>152.86770292167813</v>
      </c>
      <c r="AH1125" s="105">
        <f>IF(tech_base!$T221&gt;AH$905,"",AH2245+tech_proj!AH1745/(1-tech_proj!AH625))</f>
        <v>153.76162969673223</v>
      </c>
      <c r="AI1125" s="105">
        <f>IF(tech_base!$T221&gt;AI$905,"",AI2245+tech_proj!AI1745/(1-tech_proj!AI625))</f>
        <v>154.71234771475241</v>
      </c>
      <c r="AJ1125" s="105">
        <f>IF(tech_base!$T221&gt;AJ$905,"",AJ2245+tech_proj!AJ1745/(1-tech_proj!AJ625))</f>
        <v>155.67929084013076</v>
      </c>
      <c r="AK1125" s="105">
        <f>IF(tech_base!$T221&gt;AK$905,"",AK2245+tech_proj!AK1745/(1-tech_proj!AK625))</f>
        <v>156.55681261663253</v>
      </c>
      <c r="AL1125" s="105">
        <f>IF(tech_base!$T221&gt;AL$905,"",AL2245+tech_proj!AL1745/(1-tech_proj!AL625))</f>
        <v>157.32068723752849</v>
      </c>
      <c r="AM1125" s="105">
        <f>IF(tech_base!$T221&gt;AM$905,"",AM2245+tech_proj!AM1745/(1-tech_proj!AM625))</f>
        <v>157.81490202706235</v>
      </c>
      <c r="AN1125" s="105">
        <f>IF(tech_base!$T221&gt;AN$905,"",AN2245+tech_proj!AN1745/(1-tech_proj!AN625))</f>
        <v>158.21230675519419</v>
      </c>
      <c r="AO1125" s="105">
        <f>IF(tech_base!$T221&gt;AO$905,"",AO2245+tech_proj!AO1745/(1-tech_proj!AO625))</f>
        <v>158.60670581443367</v>
      </c>
      <c r="AP1125" s="105">
        <f>IF(tech_base!$T221&gt;AP$905,"",AP2245+tech_proj!AP1745/(1-tech_proj!AP625))</f>
        <v>159.01896787821323</v>
      </c>
      <c r="AQ1125" s="105">
        <f>IF(tech_base!$T221&gt;AQ$905,"",AQ2245+tech_proj!AQ1745/(1-tech_proj!AQ625))</f>
        <v>159.42331831310491</v>
      </c>
      <c r="AR1125" s="105">
        <f>IF(tech_base!$T221&gt;AR$905,"",AR2245+tech_proj!AR1745/(1-tech_proj!AR625))</f>
        <v>159.61486226265839</v>
      </c>
      <c r="AS1125" s="105">
        <f>IF(tech_base!$T221&gt;AS$905,"",AS2245+tech_proj!AS1745/(1-tech_proj!AS625))</f>
        <v>159.88709946776413</v>
      </c>
      <c r="AT1125" s="105">
        <f>IF(tech_base!$T221&gt;AT$905,"",AT2245+tech_proj!AT1745/(1-tech_proj!AT625))</f>
        <v>160.00058736889895</v>
      </c>
      <c r="AU1125" s="105">
        <f>IF(tech_base!$T221&gt;AU$905,"",AU2245+tech_proj!AU1745/(1-tech_proj!AU625))</f>
        <v>160.34112813334224</v>
      </c>
      <c r="AV1125" s="105">
        <f>IF(tech_base!$T221&gt;AV$905,"",AV2245+tech_proj!AV1745/(1-tech_proj!AV625))</f>
        <v>160.64252823337111</v>
      </c>
      <c r="AW1125" s="105">
        <f>IF(tech_base!$T221&gt;AW$905,"",AW2245+tech_proj!AW1745/(1-tech_proj!AW625))</f>
        <v>160.863110634289</v>
      </c>
      <c r="AX1125" s="106">
        <f>IF(tech_base!$T221&gt;AX$905,"",AX2245+tech_proj!AX1745/(1-tech_proj!AX625))</f>
        <v>160.92902682229987</v>
      </c>
    </row>
    <row r="1126" spans="1:50" x14ac:dyDescent="0.25">
      <c r="A1126" s="356"/>
      <c r="B1126" s="380"/>
      <c r="C1126" s="381"/>
      <c r="D1126" s="4" t="s">
        <v>8</v>
      </c>
      <c r="E1126" s="168" t="str">
        <f>A1107&amp;"/"&amp;B1115&amp;"/"&amp;C1125&amp;"/"&amp;D1126</f>
        <v>Biomass and waste fired power plants/Fluidized bed combustion/CHP with CCS/M</v>
      </c>
      <c r="F1126" s="80" t="str">
        <f>A1107</f>
        <v>Biomass and waste fired power plants</v>
      </c>
      <c r="G1126" s="80" t="str">
        <f>B1115</f>
        <v>Fluidized bed combustion</v>
      </c>
      <c r="H1126" s="80" t="str">
        <f>C1125</f>
        <v>CHP with CCS</v>
      </c>
      <c r="I1126" s="169" t="str">
        <f t="shared" si="370"/>
        <v>M</v>
      </c>
      <c r="J1126" s="113" t="str">
        <f>IF(tech_base!$T222&gt;J$905,"",J2246+tech_proj!J1746/(1-tech_proj!J626))</f>
        <v/>
      </c>
      <c r="K1126" s="113" t="str">
        <f>IF(tech_base!$T222&gt;K$905,"",K2246+tech_proj!K1746/(1-tech_proj!K626))</f>
        <v/>
      </c>
      <c r="L1126" s="113" t="str">
        <f>IF(tech_base!$T222&gt;L$905,"",L2246+tech_proj!L1746/(1-tech_proj!L626))</f>
        <v/>
      </c>
      <c r="M1126" s="113" t="str">
        <f>IF(tech_base!$T222&gt;M$905,"",M2246+tech_proj!M1746/(1-tech_proj!M626))</f>
        <v/>
      </c>
      <c r="N1126" s="113" t="str">
        <f>IF(tech_base!$T222&gt;N$905,"",N2246+tech_proj!N1746/(1-tech_proj!N626))</f>
        <v/>
      </c>
      <c r="O1126" s="113" t="str">
        <f>IF(tech_base!$T222&gt;O$905,"",O2246+tech_proj!O1746/(1-tech_proj!O626))</f>
        <v/>
      </c>
      <c r="P1126" s="113" t="str">
        <f>IF(tech_base!$T222&gt;P$905,"",P2246+tech_proj!P1746/(1-tech_proj!P626))</f>
        <v/>
      </c>
      <c r="Q1126" s="113" t="str">
        <f>IF(tech_base!$T222&gt;Q$905,"",Q2246+tech_proj!Q1746/(1-tech_proj!Q626))</f>
        <v/>
      </c>
      <c r="R1126" s="113" t="str">
        <f>IF(tech_base!$T222&gt;R$905,"",R2246+tech_proj!R1746/(1-tech_proj!R626))</f>
        <v/>
      </c>
      <c r="S1126" s="113" t="str">
        <f>IF(tech_base!$T222&gt;S$905,"",S2246+tech_proj!S1746/(1-tech_proj!S626))</f>
        <v/>
      </c>
      <c r="T1126" s="113" t="str">
        <f>IF(tech_base!$T222&gt;T$905,"",T2246+tech_proj!T1746/(1-tech_proj!T626))</f>
        <v/>
      </c>
      <c r="U1126" s="113" t="str">
        <f>IF(tech_base!$T222&gt;U$905,"",U2246+tech_proj!U1746/(1-tech_proj!U626))</f>
        <v/>
      </c>
      <c r="V1126" s="113" t="str">
        <f>IF(tech_base!$T222&gt;V$905,"",V2246+tech_proj!V1746/(1-tech_proj!V626))</f>
        <v/>
      </c>
      <c r="W1126" s="113" t="str">
        <f>IF(tech_base!$T222&gt;W$905,"",W2246+tech_proj!W1746/(1-tech_proj!W626))</f>
        <v/>
      </c>
      <c r="X1126" s="113" t="str">
        <f>IF(tech_base!$T222&gt;X$905,"",X2246+tech_proj!X1746/(1-tech_proj!X626))</f>
        <v/>
      </c>
      <c r="Y1126" s="113" t="str">
        <f>IF(tech_base!$T222&gt;Y$905,"",Y2246+tech_proj!Y1746/(1-tech_proj!Y626))</f>
        <v/>
      </c>
      <c r="Z1126" s="113" t="str">
        <f>IF(tech_base!$T222&gt;Z$905,"",Z2246+tech_proj!Z1746/(1-tech_proj!Z626))</f>
        <v/>
      </c>
      <c r="AA1126" s="113" t="str">
        <f>IF(tech_base!$T222&gt;AA$905,"",AA2246+tech_proj!AA1746/(1-tech_proj!AA626))</f>
        <v/>
      </c>
      <c r="AB1126" s="113" t="str">
        <f>IF(tech_base!$T222&gt;AB$905,"",AB2246+tech_proj!AB1746/(1-tech_proj!AB626))</f>
        <v/>
      </c>
      <c r="AC1126" s="113" t="str">
        <f>IF(tech_base!$T222&gt;AC$905,"",AC2246+tech_proj!AC1746/(1-tech_proj!AC626))</f>
        <v/>
      </c>
      <c r="AD1126" s="113" t="str">
        <f>IF(tech_base!$T222&gt;AD$905,"",AD2246+tech_proj!AD1746/(1-tech_proj!AD626))</f>
        <v/>
      </c>
      <c r="AE1126" s="113">
        <f>IF(tech_base!$T222&gt;AE$905,"",AE2246+tech_proj!AE1746/(1-tech_proj!AE626))</f>
        <v>162.04313027493356</v>
      </c>
      <c r="AF1126" s="113">
        <f>IF(tech_base!$T222&gt;AF$905,"",AF2246+tech_proj!AF1746/(1-tech_proj!AF626))</f>
        <v>163.26721175313526</v>
      </c>
      <c r="AG1126" s="113">
        <f>IF(tech_base!$T222&gt;AG$905,"",AG2246+tech_proj!AG1746/(1-tech_proj!AG626))</f>
        <v>164.33113592132869</v>
      </c>
      <c r="AH1126" s="113">
        <f>IF(tech_base!$T222&gt;AH$905,"",AH2246+tech_proj!AH1746/(1-tech_proj!AH626))</f>
        <v>165.28579635896816</v>
      </c>
      <c r="AI1126" s="113">
        <f>IF(tech_base!$T222&gt;AI$905,"",AI2246+tech_proj!AI1746/(1-tech_proj!AI626))</f>
        <v>166.30051658660798</v>
      </c>
      <c r="AJ1126" s="113">
        <f>IF(tech_base!$T222&gt;AJ$905,"",AJ2246+tech_proj!AJ1746/(1-tech_proj!AJ626))</f>
        <v>167.3316423807249</v>
      </c>
      <c r="AK1126" s="113">
        <f>IF(tech_base!$T222&gt;AK$905,"",AK2246+tech_proj!AK1746/(1-tech_proj!AK626))</f>
        <v>168.26577789339086</v>
      </c>
      <c r="AL1126" s="113">
        <f>IF(tech_base!$T222&gt;AL$905,"",AL2246+tech_proj!AL1746/(1-tech_proj!AL626))</f>
        <v>169.07664520023394</v>
      </c>
      <c r="AM1126" s="113">
        <f>IF(tech_base!$T222&gt;AM$905,"",AM2246+tech_proj!AM1746/(1-tech_proj!AM626))</f>
        <v>169.59678104786235</v>
      </c>
      <c r="AN1126" s="113">
        <f>IF(tech_base!$T222&gt;AN$905,"",AN2246+tech_proj!AN1746/(1-tech_proj!AN626))</f>
        <v>170.01073818640961</v>
      </c>
      <c r="AO1126" s="113">
        <f>IF(tech_base!$T222&gt;AO$905,"",AO2246+tech_proj!AO1746/(1-tech_proj!AO626))</f>
        <v>170.41828498025669</v>
      </c>
      <c r="AP1126" s="113">
        <f>IF(tech_base!$T222&gt;AP$905,"",AP2246+tech_proj!AP1746/(1-tech_proj!AP626))</f>
        <v>170.84093095072211</v>
      </c>
      <c r="AQ1126" s="113">
        <f>IF(tech_base!$T222&gt;AQ$905,"",AQ2246+tech_proj!AQ1746/(1-tech_proj!AQ626))</f>
        <v>171.25006518005631</v>
      </c>
      <c r="AR1126" s="113">
        <f>IF(tech_base!$T222&gt;AR$905,"",AR2246+tech_proj!AR1746/(1-tech_proj!AR626))</f>
        <v>171.42518100222782</v>
      </c>
      <c r="AS1126" s="113">
        <f>IF(tech_base!$T222&gt;AS$905,"",AS2246+tech_proj!AS1746/(1-tech_proj!AS626))</f>
        <v>171.67899347520304</v>
      </c>
      <c r="AT1126" s="113">
        <f>IF(tech_base!$T222&gt;AT$905,"",AT2246+tech_proj!AT1746/(1-tech_proj!AT626))</f>
        <v>171.75364250936028</v>
      </c>
      <c r="AU1126" s="113">
        <f>IF(tech_base!$T222&gt;AU$905,"",AU2246+tech_proj!AU1746/(1-tech_proj!AU626))</f>
        <v>172.06004992123121</v>
      </c>
      <c r="AV1126" s="113">
        <f>IF(tech_base!$T222&gt;AV$905,"",AV2246+tech_proj!AV1746/(1-tech_proj!AV626))</f>
        <v>172.3114625976487</v>
      </c>
      <c r="AW1126" s="113">
        <f>IF(tech_base!$T222&gt;AW$905,"",AW2246+tech_proj!AW1746/(1-tech_proj!AW626))</f>
        <v>172.46148485603149</v>
      </c>
      <c r="AX1126" s="114">
        <f>IF(tech_base!$T222&gt;AX$905,"",AX2246+tech_proj!AX1746/(1-tech_proj!AX626))</f>
        <v>172.42973470780149</v>
      </c>
    </row>
    <row r="1127" spans="1:50" x14ac:dyDescent="0.25">
      <c r="A1127" s="356"/>
      <c r="B1127" s="358" t="s">
        <v>19</v>
      </c>
      <c r="C1127" s="353" t="s">
        <v>6</v>
      </c>
      <c r="D1127" s="3" t="s">
        <v>7</v>
      </c>
      <c r="E1127" s="162" t="str">
        <f>A1107&amp;"/"&amp;B1127&amp;"/"&amp;C1127&amp;"/"&amp;D1127</f>
        <v>Biomass and waste fired power plants/Steam turbine/Electricity only/L</v>
      </c>
      <c r="F1127" s="77" t="str">
        <f>A1107</f>
        <v>Biomass and waste fired power plants</v>
      </c>
      <c r="G1127" s="77" t="str">
        <f>B1127</f>
        <v>Steam turbine</v>
      </c>
      <c r="H1127" s="77" t="str">
        <f>C1127</f>
        <v>Electricity only</v>
      </c>
      <c r="I1127" s="163" t="str">
        <f t="shared" si="370"/>
        <v>L</v>
      </c>
      <c r="J1127" s="107">
        <f>IF(tech_base!$T223&gt;J$905,"",J2247+tech_proj!J1747/(1-tech_proj!J627))</f>
        <v>72.266159442147213</v>
      </c>
      <c r="K1127" s="107">
        <f>IF(tech_base!$T223&gt;K$905,"",K2247+tech_proj!K1747/(1-tech_proj!K627))</f>
        <v>74.108067738690465</v>
      </c>
      <c r="L1127" s="107">
        <f>IF(tech_base!$T223&gt;L$905,"",L2247+tech_proj!L1747/(1-tech_proj!L627))</f>
        <v>75.950178562300437</v>
      </c>
      <c r="M1127" s="107">
        <f>IF(tech_base!$T223&gt;M$905,"",M2247+tech_proj!M1747/(1-tech_proj!M627))</f>
        <v>77.792493296975067</v>
      </c>
      <c r="N1127" s="107">
        <f>IF(tech_base!$T223&gt;N$905,"",N2247+tech_proj!N1747/(1-tech_proj!N627))</f>
        <v>79.635013826467173</v>
      </c>
      <c r="O1127" s="107">
        <f>IF(tech_base!$T223&gt;O$905,"",O2247+tech_proj!O1747/(1-tech_proj!O627))</f>
        <v>81.47774252603628</v>
      </c>
      <c r="P1127" s="107">
        <f>IF(tech_base!$T223&gt;P$905,"",P2247+tech_proj!P1747/(1-tech_proj!P627))</f>
        <v>81.9993497466169</v>
      </c>
      <c r="Q1127" s="107">
        <f>IF(tech_base!$T223&gt;Q$905,"",Q2247+tech_proj!Q1747/(1-tech_proj!Q627))</f>
        <v>82.232025461181266</v>
      </c>
      <c r="R1127" s="107">
        <f>IF(tech_base!$T223&gt;R$905,"",R2247+tech_proj!R1747/(1-tech_proj!R627))</f>
        <v>82.500411818510699</v>
      </c>
      <c r="S1127" s="107">
        <f>IF(tech_base!$T223&gt;S$905,"",S2247+tech_proj!S1747/(1-tech_proj!S627))</f>
        <v>82.943107663062023</v>
      </c>
      <c r="T1127" s="107">
        <f>IF(tech_base!$T223&gt;T$905,"",T2247+tech_proj!T1747/(1-tech_proj!T627))</f>
        <v>83.658480956504818</v>
      </c>
      <c r="U1127" s="107">
        <f>IF(tech_base!$T223&gt;U$905,"",U2247+tech_proj!U1747/(1-tech_proj!U627))</f>
        <v>84.401909240807953</v>
      </c>
      <c r="V1127" s="107">
        <f>IF(tech_base!$T223&gt;V$905,"",V2247+tech_proj!V1747/(1-tech_proj!V627))</f>
        <v>85.21050157255857</v>
      </c>
      <c r="W1127" s="107">
        <f>IF(tech_base!$T223&gt;W$905,"",W2247+tech_proj!W1747/(1-tech_proj!W627))</f>
        <v>86.053727353284458</v>
      </c>
      <c r="X1127" s="107">
        <f>IF(tech_base!$T223&gt;X$905,"",X2247+tech_proj!X1747/(1-tech_proj!X627))</f>
        <v>86.877627453699645</v>
      </c>
      <c r="Y1127" s="107">
        <f>IF(tech_base!$T223&gt;Y$905,"",Y2247+tech_proj!Y1747/(1-tech_proj!Y627))</f>
        <v>87.727770556322071</v>
      </c>
      <c r="Z1127" s="107">
        <f>IF(tech_base!$T223&gt;Z$905,"",Z2247+tech_proj!Z1747/(1-tech_proj!Z627))</f>
        <v>88.57210886314941</v>
      </c>
      <c r="AA1127" s="107">
        <f>IF(tech_base!$T223&gt;AA$905,"",AA2247+tech_proj!AA1747/(1-tech_proj!AA627))</f>
        <v>89.49502388630664</v>
      </c>
      <c r="AB1127" s="107">
        <f>IF(tech_base!$T223&gt;AB$905,"",AB2247+tech_proj!AB1747/(1-tech_proj!AB627))</f>
        <v>90.697349867345039</v>
      </c>
      <c r="AC1127" s="107">
        <f>IF(tech_base!$T223&gt;AC$905,"",AC2247+tech_proj!AC1747/(1-tech_proj!AC627))</f>
        <v>92.492749164630951</v>
      </c>
      <c r="AD1127" s="107">
        <f>IF(tech_base!$T223&gt;AD$905,"",AD2247+tech_proj!AD1747/(1-tech_proj!AD627))</f>
        <v>94.257130578234197</v>
      </c>
      <c r="AE1127" s="107">
        <f>IF(tech_base!$T223&gt;AE$905,"",AE2247+tech_proj!AE1747/(1-tech_proj!AE627))</f>
        <v>95.485175911731943</v>
      </c>
      <c r="AF1127" s="107">
        <f>IF(tech_base!$T223&gt;AF$905,"",AF2247+tech_proj!AF1747/(1-tech_proj!AF627))</f>
        <v>96.244737903511705</v>
      </c>
      <c r="AG1127" s="107">
        <f>IF(tech_base!$T223&gt;AG$905,"",AG2247+tech_proj!AG1747/(1-tech_proj!AG627))</f>
        <v>96.907705525275389</v>
      </c>
      <c r="AH1127" s="107">
        <f>IF(tech_base!$T223&gt;AH$905,"",AH2247+tech_proj!AH1747/(1-tech_proj!AH627))</f>
        <v>97.506166400494209</v>
      </c>
      <c r="AI1127" s="107">
        <f>IF(tech_base!$T223&gt;AI$905,"",AI2247+tech_proj!AI1747/(1-tech_proj!AI627))</f>
        <v>98.145452160931143</v>
      </c>
      <c r="AJ1127" s="107">
        <f>IF(tech_base!$T223&gt;AJ$905,"",AJ2247+tech_proj!AJ1747/(1-tech_proj!AJ627))</f>
        <v>98.799730312649984</v>
      </c>
      <c r="AK1127" s="107">
        <f>IF(tech_base!$T223&gt;AK$905,"",AK2247+tech_proj!AK1747/(1-tech_proj!AK627))</f>
        <v>99.400433895886025</v>
      </c>
      <c r="AL1127" s="107">
        <f>IF(tech_base!$T223&gt;AL$905,"",AL2247+tech_proj!AL1747/(1-tech_proj!AL627))</f>
        <v>99.933101655672772</v>
      </c>
      <c r="AM1127" s="107">
        <f>IF(tech_base!$T223&gt;AM$905,"",AM2247+tech_proj!AM1747/(1-tech_proj!AM627))</f>
        <v>100.29654612735379</v>
      </c>
      <c r="AN1127" s="107">
        <f>IF(tech_base!$T223&gt;AN$905,"",AN2247+tech_proj!AN1747/(1-tech_proj!AN627))</f>
        <v>100.60735744554114</v>
      </c>
      <c r="AO1127" s="107">
        <f>IF(tech_base!$T223&gt;AO$905,"",AO2247+tech_proj!AO1747/(1-tech_proj!AO627))</f>
        <v>100.93052200639886</v>
      </c>
      <c r="AP1127" s="107">
        <f>IF(tech_base!$T223&gt;AP$905,"",AP2247+tech_proj!AP1747/(1-tech_proj!AP627))</f>
        <v>101.28355119198652</v>
      </c>
      <c r="AQ1127" s="107">
        <f>IF(tech_base!$T223&gt;AQ$905,"",AQ2247+tech_proj!AQ1747/(1-tech_proj!AQ627))</f>
        <v>101.65391880774283</v>
      </c>
      <c r="AR1127" s="107">
        <f>IF(tech_base!$T223&gt;AR$905,"",AR2247+tech_proj!AR1747/(1-tech_proj!AR627))</f>
        <v>101.91122338228108</v>
      </c>
      <c r="AS1127" s="107">
        <f>IF(tech_base!$T223&gt;AS$905,"",AS2247+tech_proj!AS1747/(1-tech_proj!AS627))</f>
        <v>102.2561213529207</v>
      </c>
      <c r="AT1127" s="107">
        <f>IF(tech_base!$T223&gt;AT$905,"",AT2247+tech_proj!AT1747/(1-tech_proj!AT627))</f>
        <v>102.53685549232989</v>
      </c>
      <c r="AU1127" s="107">
        <f>IF(tech_base!$T223&gt;AU$905,"",AU2247+tech_proj!AU1747/(1-tech_proj!AU627))</f>
        <v>103.01761834450961</v>
      </c>
      <c r="AV1127" s="107">
        <f>IF(tech_base!$T223&gt;AV$905,"",AV2247+tech_proj!AV1747/(1-tech_proj!AV627))</f>
        <v>103.52978623450873</v>
      </c>
      <c r="AW1127" s="107">
        <f>IF(tech_base!$T223&gt;AW$905,"",AW2247+tech_proj!AW1747/(1-tech_proj!AW627))</f>
        <v>104.05296746580848</v>
      </c>
      <c r="AX1127" s="108">
        <f>IF(tech_base!$T223&gt;AX$905,"",AX2247+tech_proj!AX1747/(1-tech_proj!AX627))</f>
        <v>104.54316247357262</v>
      </c>
    </row>
    <row r="1128" spans="1:50" x14ac:dyDescent="0.25">
      <c r="A1128" s="356"/>
      <c r="B1128" s="376"/>
      <c r="C1128" s="378"/>
      <c r="D1128" s="2" t="s">
        <v>8</v>
      </c>
      <c r="E1128" s="160" t="str">
        <f>A1107&amp;"/"&amp;B1127&amp;"/"&amp;C1127&amp;"/"&amp;D1128</f>
        <v>Biomass and waste fired power plants/Steam turbine/Electricity only/M</v>
      </c>
      <c r="F1128" s="76" t="str">
        <f>A1107</f>
        <v>Biomass and waste fired power plants</v>
      </c>
      <c r="G1128" s="76" t="str">
        <f>B1127</f>
        <v>Steam turbine</v>
      </c>
      <c r="H1128" s="76" t="str">
        <f>C1127</f>
        <v>Electricity only</v>
      </c>
      <c r="I1128" s="161" t="str">
        <f t="shared" si="370"/>
        <v>M</v>
      </c>
      <c r="J1128" s="105">
        <f>IF(tech_base!$T224&gt;J$905,"",J2248+tech_proj!J1748/(1-tech_proj!J628))</f>
        <v>76.343204501805147</v>
      </c>
      <c r="K1128" s="105">
        <f>IF(tech_base!$T224&gt;K$905,"",K2248+tech_proj!K1748/(1-tech_proj!K628))</f>
        <v>78.285052714638624</v>
      </c>
      <c r="L1128" s="105">
        <f>IF(tech_base!$T224&gt;L$905,"",L2248+tech_proj!L1748/(1-tech_proj!L628))</f>
        <v>80.227245599193964</v>
      </c>
      <c r="M1128" s="105">
        <f>IF(tech_base!$T224&gt;M$905,"",M2248+tech_proj!M1748/(1-tech_proj!M628))</f>
        <v>82.169783925392665</v>
      </c>
      <c r="N1128" s="105">
        <f>IF(tech_base!$T224&gt;N$905,"",N2248+tech_proj!N1748/(1-tech_proj!N628))</f>
        <v>84.112668866532232</v>
      </c>
      <c r="O1128" s="105">
        <f>IF(tech_base!$T224&gt;O$905,"",O2248+tech_proj!O1748/(1-tech_proj!O628))</f>
        <v>86.055901993631394</v>
      </c>
      <c r="P1128" s="105">
        <f>IF(tech_base!$T224&gt;P$905,"",P2248+tech_proj!P1748/(1-tech_proj!P628))</f>
        <v>86.606550131227323</v>
      </c>
      <c r="Q1128" s="105">
        <f>IF(tech_base!$T224&gt;Q$905,"",Q2248+tech_proj!Q1748/(1-tech_proj!Q628))</f>
        <v>86.85262847036654</v>
      </c>
      <c r="R1128" s="105">
        <f>IF(tech_base!$T224&gt;R$905,"",R2248+tech_proj!R1748/(1-tech_proj!R628))</f>
        <v>87.136362946129552</v>
      </c>
      <c r="S1128" s="105">
        <f>IF(tech_base!$T224&gt;S$905,"",S2248+tech_proj!S1748/(1-tech_proj!S628))</f>
        <v>87.603881694785244</v>
      </c>
      <c r="T1128" s="105">
        <f>IF(tech_base!$T224&gt;T$905,"",T2248+tech_proj!T1748/(1-tech_proj!T628))</f>
        <v>88.358916002120665</v>
      </c>
      <c r="U1128" s="105">
        <f>IF(tech_base!$T224&gt;U$905,"",U2248+tech_proj!U1748/(1-tech_proj!U628))</f>
        <v>89.14357175162759</v>
      </c>
      <c r="V1128" s="105">
        <f>IF(tech_base!$T224&gt;V$905,"",V2248+tech_proj!V1748/(1-tech_proj!V628))</f>
        <v>89.996979222911108</v>
      </c>
      <c r="W1128" s="105">
        <f>IF(tech_base!$T224&gt;W$905,"",W2248+tech_proj!W1748/(1-tech_proj!W628))</f>
        <v>90.886951757889619</v>
      </c>
      <c r="X1128" s="105">
        <f>IF(tech_base!$T224&gt;X$905,"",X2248+tech_proj!X1748/(1-tech_proj!X628))</f>
        <v>91.756593415213018</v>
      </c>
      <c r="Y1128" s="105">
        <f>IF(tech_base!$T224&gt;Y$905,"",Y2248+tech_proj!Y1748/(1-tech_proj!Y628))</f>
        <v>92.653953969187796</v>
      </c>
      <c r="Z1128" s="105">
        <f>IF(tech_base!$T224&gt;Z$905,"",Z2248+tech_proj!Z1748/(1-tech_proj!Z628))</f>
        <v>93.54523927163963</v>
      </c>
      <c r="AA1128" s="105">
        <f>IF(tech_base!$T224&gt;AA$905,"",AA2248+tech_proj!AA1748/(1-tech_proj!AA628))</f>
        <v>94.519434887703397</v>
      </c>
      <c r="AB1128" s="105">
        <f>IF(tech_base!$T224&gt;AB$905,"",AB2248+tech_proj!AB1748/(1-tech_proj!AB628))</f>
        <v>95.788350638999674</v>
      </c>
      <c r="AC1128" s="105">
        <f>IF(tech_base!$T224&gt;AC$905,"",AC2248+tech_proj!AC1748/(1-tech_proj!AC628))</f>
        <v>97.682817177077609</v>
      </c>
      <c r="AD1128" s="105">
        <f>IF(tech_base!$T224&gt;AD$905,"",AD2248+tech_proj!AD1748/(1-tech_proj!AD628))</f>
        <v>99.544674433150192</v>
      </c>
      <c r="AE1128" s="105">
        <f>IF(tech_base!$T224&gt;AE$905,"",AE2248+tech_proj!AE1748/(1-tech_proj!AE628))</f>
        <v>100.84095064010521</v>
      </c>
      <c r="AF1128" s="105">
        <f>IF(tech_base!$T224&gt;AF$905,"",AF2248+tech_proj!AF1748/(1-tech_proj!AF628))</f>
        <v>101.64315890050186</v>
      </c>
      <c r="AG1128" s="105">
        <f>IF(tech_base!$T224&gt;AG$905,"",AG2248+tech_proj!AG1748/(1-tech_proj!AG628))</f>
        <v>102.3435133909941</v>
      </c>
      <c r="AH1128" s="105">
        <f>IF(tech_base!$T224&gt;AH$905,"",AH2248+tech_proj!AH1748/(1-tech_proj!AH628))</f>
        <v>102.97585028546719</v>
      </c>
      <c r="AI1128" s="105">
        <f>IF(tech_base!$T224&gt;AI$905,"",AI2248+tech_proj!AI1748/(1-tech_proj!AI628))</f>
        <v>103.65127090491968</v>
      </c>
      <c r="AJ1128" s="105">
        <f>IF(tech_base!$T224&gt;AJ$905,"",AJ2248+tech_proj!AJ1748/(1-tech_proj!AJ628))</f>
        <v>104.3425282042578</v>
      </c>
      <c r="AK1128" s="105">
        <f>IF(tech_base!$T224&gt;AK$905,"",AK2248+tech_proj!AK1748/(1-tech_proj!AK628))</f>
        <v>104.97729113074531</v>
      </c>
      <c r="AL1128" s="105">
        <f>IF(tech_base!$T224&gt;AL$905,"",AL2248+tech_proj!AL1748/(1-tech_proj!AL628))</f>
        <v>105.54029829694205</v>
      </c>
      <c r="AM1128" s="105">
        <f>IF(tech_base!$T224&gt;AM$905,"",AM2248+tech_proj!AM1748/(1-tech_proj!AM628))</f>
        <v>105.92479372648786</v>
      </c>
      <c r="AN1128" s="105">
        <f>IF(tech_base!$T224&gt;AN$905,"",AN2248+tech_proj!AN1748/(1-tech_proj!AN628))</f>
        <v>106.25376364353517</v>
      </c>
      <c r="AO1128" s="105">
        <f>IF(tech_base!$T224&gt;AO$905,"",AO2248+tech_proj!AO1748/(1-tech_proj!AO628))</f>
        <v>106.59576509311326</v>
      </c>
      <c r="AP1128" s="105">
        <f>IF(tech_base!$T224&gt;AP$905,"",AP2248+tech_proj!AP1748/(1-tech_proj!AP628))</f>
        <v>106.96927412606151</v>
      </c>
      <c r="AQ1128" s="105">
        <f>IF(tech_base!$T224&gt;AQ$905,"",AQ2248+tech_proj!AQ1748/(1-tech_proj!AQ628))</f>
        <v>107.36107674025267</v>
      </c>
      <c r="AR1128" s="105">
        <f>IF(tech_base!$T224&gt;AR$905,"",AR2248+tech_proj!AR1748/(1-tech_proj!AR628))</f>
        <v>107.63358659967378</v>
      </c>
      <c r="AS1128" s="105">
        <f>IF(tech_base!$T224&gt;AS$905,"",AS2248+tech_proj!AS1748/(1-tech_proj!AS628))</f>
        <v>107.99851330513016</v>
      </c>
      <c r="AT1128" s="105">
        <f>IF(tech_base!$T224&gt;AT$905,"",AT2248+tech_proj!AT1748/(1-tech_proj!AT628))</f>
        <v>108.29573551155551</v>
      </c>
      <c r="AU1128" s="105">
        <f>IF(tech_base!$T224&gt;AU$905,"",AU2248+tech_proj!AU1748/(1-tech_proj!AU628))</f>
        <v>108.80402002467807</v>
      </c>
      <c r="AV1128" s="105">
        <f>IF(tech_base!$T224&gt;AV$905,"",AV2248+tech_proj!AV1748/(1-tech_proj!AV628))</f>
        <v>109.34544839780023</v>
      </c>
      <c r="AW1128" s="105">
        <f>IF(tech_base!$T224&gt;AW$905,"",AW2248+tech_proj!AW1748/(1-tech_proj!AW628))</f>
        <v>109.89850443529777</v>
      </c>
      <c r="AX1128" s="106">
        <f>IF(tech_base!$T224&gt;AX$905,"",AX2248+tech_proj!AX1748/(1-tech_proj!AX628))</f>
        <v>110.41675736641665</v>
      </c>
    </row>
    <row r="1129" spans="1:50" x14ac:dyDescent="0.25">
      <c r="A1129" s="356"/>
      <c r="B1129" s="376"/>
      <c r="C1129" s="378"/>
      <c r="D1129" s="2" t="s">
        <v>10</v>
      </c>
      <c r="E1129" s="160" t="str">
        <f>A1107&amp;"/"&amp;B1127&amp;"/"&amp;C1127&amp;"/"&amp;D1129</f>
        <v>Biomass and waste fired power plants/Steam turbine/Electricity only/S</v>
      </c>
      <c r="F1129" s="76" t="str">
        <f>A1107</f>
        <v>Biomass and waste fired power plants</v>
      </c>
      <c r="G1129" s="76" t="str">
        <f>B1127</f>
        <v>Steam turbine</v>
      </c>
      <c r="H1129" s="76" t="str">
        <f>C1127</f>
        <v>Electricity only</v>
      </c>
      <c r="I1129" s="161" t="str">
        <f t="shared" si="370"/>
        <v>S</v>
      </c>
      <c r="J1129" s="105">
        <f>IF(tech_base!$T225&gt;J$905,"",J2249+tech_proj!J1749/(1-tech_proj!J629))</f>
        <v>80.831625698574186</v>
      </c>
      <c r="K1129" s="105">
        <f>IF(tech_base!$T225&gt;K$905,"",K2249+tech_proj!K1749/(1-tech_proj!K629))</f>
        <v>82.879150489728431</v>
      </c>
      <c r="L1129" s="105">
        <f>IF(tech_base!$T225&gt;L$905,"",L2249+tech_proj!L1749/(1-tech_proj!L629))</f>
        <v>84.927108723417462</v>
      </c>
      <c r="M1129" s="105">
        <f>IF(tech_base!$T225&gt;M$905,"",M2249+tech_proj!M1749/(1-tech_proj!M629))</f>
        <v>86.975500813393751</v>
      </c>
      <c r="N1129" s="105">
        <f>IF(tech_base!$T225&gt;N$905,"",N2249+tech_proj!N1749/(1-tech_proj!N629))</f>
        <v>89.024327531770155</v>
      </c>
      <c r="O1129" s="105">
        <f>IF(tech_base!$T225&gt;O$905,"",O2249+tech_proj!O1749/(1-tech_proj!O629))</f>
        <v>91.073590004673861</v>
      </c>
      <c r="P1129" s="105">
        <f>IF(tech_base!$T225&gt;P$905,"",P2249+tech_proj!P1749/(1-tech_proj!P629))</f>
        <v>91.654727614898476</v>
      </c>
      <c r="Q1129" s="105">
        <f>IF(tech_base!$T225&gt;Q$905,"",Q2249+tech_proj!Q1749/(1-tech_proj!Q629))</f>
        <v>91.914769792629173</v>
      </c>
      <c r="R1129" s="105">
        <f>IF(tech_base!$T225&gt;R$905,"",R2249+tech_proj!R1749/(1-tech_proj!R629))</f>
        <v>92.214518449404537</v>
      </c>
      <c r="S1129" s="105">
        <f>IF(tech_base!$T225&gt;S$905,"",S2249+tech_proj!S1749/(1-tech_proj!S629))</f>
        <v>92.708045272917133</v>
      </c>
      <c r="T1129" s="105">
        <f>IF(tech_base!$T225&gt;T$905,"",T2249+tech_proj!T1749/(1-tech_proj!T629))</f>
        <v>93.50473073152628</v>
      </c>
      <c r="U1129" s="105">
        <f>IF(tech_base!$T225&gt;U$905,"",U2249+tech_proj!U1749/(1-tech_proj!U629))</f>
        <v>94.332670450792492</v>
      </c>
      <c r="V1129" s="105">
        <f>IF(tech_base!$T225&gt;V$905,"",V2249+tech_proj!V1749/(1-tech_proj!V629))</f>
        <v>95.2331245949714</v>
      </c>
      <c r="W1129" s="105">
        <f>IF(tech_base!$T225&gt;W$905,"",W2249+tech_proj!W1749/(1-tech_proj!W629))</f>
        <v>96.172158059551833</v>
      </c>
      <c r="X1129" s="105">
        <f>IF(tech_base!$T225&gt;X$905,"",X2249+tech_proj!X1749/(1-tech_proj!X629))</f>
        <v>97.089778990620374</v>
      </c>
      <c r="Y1129" s="105">
        <f>IF(tech_base!$T225&gt;Y$905,"",Y2249+tech_proj!Y1749/(1-tech_proj!Y629))</f>
        <v>98.036652085261537</v>
      </c>
      <c r="Z1129" s="105">
        <f>IF(tech_base!$T225&gt;Z$905,"",Z2249+tech_proj!Z1749/(1-tech_proj!Z629))</f>
        <v>98.977143191488366</v>
      </c>
      <c r="AA1129" s="105">
        <f>IF(tech_base!$T225&gt;AA$905,"",AA2249+tech_proj!AA1749/(1-tech_proj!AA629))</f>
        <v>100.00508579242974</v>
      </c>
      <c r="AB1129" s="105">
        <f>IF(tech_base!$T225&gt;AB$905,"",AB2249+tech_proj!AB1749/(1-tech_proj!AB629))</f>
        <v>101.34383853199799</v>
      </c>
      <c r="AC1129" s="105">
        <f>IF(tech_base!$T225&gt;AC$905,"",AC2249+tech_proj!AC1749/(1-tech_proj!AC629))</f>
        <v>103.34228467271558</v>
      </c>
      <c r="AD1129" s="105">
        <f>IF(tech_base!$T225&gt;AD$905,"",AD2249+tech_proj!AD1749/(1-tech_proj!AD629))</f>
        <v>105.30639808135368</v>
      </c>
      <c r="AE1129" s="105">
        <f>IF(tech_base!$T225&gt;AE$905,"",AE2249+tech_proj!AE1749/(1-tech_proj!AE629))</f>
        <v>106.67412652754425</v>
      </c>
      <c r="AF1129" s="105">
        <f>IF(tech_base!$T225&gt;AF$905,"",AF2249+tech_proj!AF1749/(1-tech_proj!AF629))</f>
        <v>107.52085683609869</v>
      </c>
      <c r="AG1129" s="105">
        <f>IF(tech_base!$T225&gt;AG$905,"",AG2249+tech_proj!AG1749/(1-tech_proj!AG629))</f>
        <v>108.26018931931478</v>
      </c>
      <c r="AH1129" s="105">
        <f>IF(tech_base!$T225&gt;AH$905,"",AH2249+tech_proj!AH1749/(1-tech_proj!AH629))</f>
        <v>108.92780230596141</v>
      </c>
      <c r="AI1129" s="105">
        <f>IF(tech_base!$T225&gt;AI$905,"",AI2249+tech_proj!AI1749/(1-tech_proj!AI629))</f>
        <v>109.64086193013195</v>
      </c>
      <c r="AJ1129" s="105">
        <f>IF(tech_base!$T225&gt;AJ$905,"",AJ2249+tech_proj!AJ1749/(1-tech_proj!AJ629))</f>
        <v>110.37063394470513</v>
      </c>
      <c r="AK1129" s="105">
        <f>IF(tech_base!$T225&gt;AK$905,"",AK2249+tech_proj!AK1749/(1-tech_proj!AK629))</f>
        <v>111.04083437244824</v>
      </c>
      <c r="AL1129" s="105">
        <f>IF(tech_base!$T225&gt;AL$905,"",AL2249+tech_proj!AL1749/(1-tech_proj!AL629))</f>
        <v>111.63536439119775</v>
      </c>
      <c r="AM1129" s="105">
        <f>IF(tech_base!$T225&gt;AM$905,"",AM2249+tech_proj!AM1749/(1-tech_proj!AM629))</f>
        <v>112.04162649013668</v>
      </c>
      <c r="AN1129" s="105">
        <f>IF(tech_base!$T225&gt;AN$905,"",AN2249+tech_proj!AN1749/(1-tech_proj!AN629))</f>
        <v>112.38932566843818</v>
      </c>
      <c r="AO1129" s="105">
        <f>IF(tech_base!$T225&gt;AO$905,"",AO2249+tech_proj!AO1749/(1-tech_proj!AO629))</f>
        <v>112.75076718940774</v>
      </c>
      <c r="AP1129" s="105">
        <f>IF(tech_base!$T225&gt;AP$905,"",AP2249+tech_proj!AP1749/(1-tech_proj!AP629))</f>
        <v>113.14543854843879</v>
      </c>
      <c r="AQ1129" s="105">
        <f>IF(tech_base!$T225&gt;AQ$905,"",AQ2249+tech_proj!AQ1749/(1-tech_proj!AQ629))</f>
        <v>113.55940346343925</v>
      </c>
      <c r="AR1129" s="105">
        <f>IF(tech_base!$T225&gt;AR$905,"",AR2249+tech_proj!AR1749/(1-tech_proj!AR629))</f>
        <v>113.84754245402853</v>
      </c>
      <c r="AS1129" s="105">
        <f>IF(tech_base!$T225&gt;AS$905,"",AS2249+tech_proj!AS1749/(1-tech_proj!AS629))</f>
        <v>114.23315514336973</v>
      </c>
      <c r="AT1129" s="105">
        <f>IF(tech_base!$T225&gt;AT$905,"",AT2249+tech_proj!AT1749/(1-tech_proj!AT629))</f>
        <v>114.54735182551921</v>
      </c>
      <c r="AU1129" s="105">
        <f>IF(tech_base!$T225&gt;AU$905,"",AU2249+tech_proj!AU1749/(1-tech_proj!AU629))</f>
        <v>115.08417176383759</v>
      </c>
      <c r="AV1129" s="105">
        <f>IF(tech_base!$T225&gt;AV$905,"",AV2249+tech_proj!AV1749/(1-tech_proj!AV629))</f>
        <v>115.65595301665785</v>
      </c>
      <c r="AW1129" s="105">
        <f>IF(tech_base!$T225&gt;AW$905,"",AW2249+tech_proj!AW1749/(1-tech_proj!AW629))</f>
        <v>116.24000079150245</v>
      </c>
      <c r="AX1129" s="106">
        <f>IF(tech_base!$T225&gt;AX$905,"",AX2249+tech_proj!AX1749/(1-tech_proj!AX629))</f>
        <v>116.78733840833081</v>
      </c>
    </row>
    <row r="1130" spans="1:50" x14ac:dyDescent="0.25">
      <c r="A1130" s="356"/>
      <c r="B1130" s="376"/>
      <c r="C1130" s="379"/>
      <c r="D1130" s="2" t="s">
        <v>20</v>
      </c>
      <c r="E1130" s="160" t="str">
        <f>A1107&amp;"/"&amp;B1127&amp;"/"&amp;C1127&amp;"/"&amp;D1130</f>
        <v>Biomass and waste fired power plants/Steam turbine/Electricity only/XS</v>
      </c>
      <c r="F1130" s="76" t="str">
        <f>A1107</f>
        <v>Biomass and waste fired power plants</v>
      </c>
      <c r="G1130" s="76" t="str">
        <f>B1127</f>
        <v>Steam turbine</v>
      </c>
      <c r="H1130" s="76" t="str">
        <f>C1127</f>
        <v>Electricity only</v>
      </c>
      <c r="I1130" s="161" t="str">
        <f t="shared" si="370"/>
        <v>XS</v>
      </c>
      <c r="J1130" s="105">
        <f>IF(tech_base!$T226&gt;J$905,"",J2250+tech_proj!J1750/(1-tech_proj!J630))</f>
        <v>86.294952004438031</v>
      </c>
      <c r="K1130" s="105">
        <f>IF(tech_base!$T226&gt;K$905,"",K2250+tech_proj!K1750/(1-tech_proj!K630))</f>
        <v>88.454666852780235</v>
      </c>
      <c r="L1130" s="105">
        <f>IF(tech_base!$T226&gt;L$905,"",L2250+tech_proj!L1750/(1-tech_proj!L630))</f>
        <v>90.614963774873274</v>
      </c>
      <c r="M1130" s="105">
        <f>IF(tech_base!$T226&gt;M$905,"",M2250+tech_proj!M1750/(1-tech_proj!M630))</f>
        <v>92.775844290201249</v>
      </c>
      <c r="N1130" s="105">
        <f>IF(tech_base!$T226&gt;N$905,"",N2250+tech_proj!N1750/(1-tech_proj!N630))</f>
        <v>94.937310142652308</v>
      </c>
      <c r="O1130" s="105">
        <f>IF(tech_base!$T226&gt;O$905,"",O2250+tech_proj!O1750/(1-tech_proj!O630))</f>
        <v>97.099363294046938</v>
      </c>
      <c r="P1130" s="105">
        <f>IF(tech_base!$T226&gt;P$905,"",P2250+tech_proj!P1750/(1-tech_proj!P630))</f>
        <v>97.713257641794655</v>
      </c>
      <c r="Q1130" s="105">
        <f>IF(tech_base!$T226&gt;Q$905,"",Q2250+tech_proj!Q1750/(1-tech_proj!Q630))</f>
        <v>97.988546148230526</v>
      </c>
      <c r="R1130" s="105">
        <f>IF(tech_base!$T226&gt;R$905,"",R2250+tech_proj!R1750/(1-tech_proj!R630))</f>
        <v>98.305722869300325</v>
      </c>
      <c r="S1130" s="105">
        <f>IF(tech_base!$T226&gt;S$905,"",S2250+tech_proj!S1750/(1-tech_proj!S630))</f>
        <v>98.827290795396479</v>
      </c>
      <c r="T1130" s="105">
        <f>IF(tech_base!$T226&gt;T$905,"",T2250+tech_proj!T1750/(1-tech_proj!T630))</f>
        <v>99.668635999816061</v>
      </c>
      <c r="U1130" s="105">
        <f>IF(tech_base!$T226&gt;U$905,"",U2250+tech_proj!U1750/(1-tech_proj!U630))</f>
        <v>100.54299253101577</v>
      </c>
      <c r="V1130" s="105">
        <f>IF(tech_base!$T226&gt;V$905,"",V2250+tech_proj!V1750/(1-tech_proj!V630))</f>
        <v>101.49388433745416</v>
      </c>
      <c r="W1130" s="105">
        <f>IF(tech_base!$T226&gt;W$905,"",W2250+tech_proj!W1750/(1-tech_proj!W630))</f>
        <v>102.48552233767667</v>
      </c>
      <c r="X1130" s="105">
        <f>IF(tech_base!$T226&gt;X$905,"",X2250+tech_proj!X1750/(1-tech_proj!X630))</f>
        <v>103.45462649876389</v>
      </c>
      <c r="Y1130" s="105">
        <f>IF(tech_base!$T226&gt;Y$905,"",Y2250+tech_proj!Y1750/(1-tech_proj!Y630))</f>
        <v>104.45464032337159</v>
      </c>
      <c r="Z1130" s="105">
        <f>IF(tech_base!$T226&gt;Z$905,"",Z2250+tech_proj!Z1750/(1-tech_proj!Z630))</f>
        <v>105.44797449377148</v>
      </c>
      <c r="AA1130" s="105">
        <f>IF(tech_base!$T226&gt;AA$905,"",AA2250+tech_proj!AA1750/(1-tech_proj!AA630))</f>
        <v>106.5336188634603</v>
      </c>
      <c r="AB1130" s="105">
        <f>IF(tech_base!$T226&gt;AB$905,"",AB2250+tech_proj!AB1750/(1-tech_proj!AB630))</f>
        <v>107.94722455585178</v>
      </c>
      <c r="AC1130" s="105">
        <f>IF(tech_base!$T226&gt;AC$905,"",AC2250+tech_proj!AC1750/(1-tech_proj!AC630))</f>
        <v>110.05690450640249</v>
      </c>
      <c r="AD1130" s="105">
        <f>IF(tech_base!$T226&gt;AD$905,"",AD2250+tech_proj!AD1750/(1-tech_proj!AD630))</f>
        <v>112.13048020091723</v>
      </c>
      <c r="AE1130" s="105">
        <f>IF(tech_base!$T226&gt;AE$905,"",AE2250+tech_proj!AE1750/(1-tech_proj!AE630))</f>
        <v>113.57492711261972</v>
      </c>
      <c r="AF1130" s="105">
        <f>IF(tech_base!$T226&gt;AF$905,"",AF2250+tech_proj!AF1750/(1-tech_proj!AF630))</f>
        <v>114.46972856422751</v>
      </c>
      <c r="AG1130" s="105">
        <f>IF(tech_base!$T226&gt;AG$905,"",AG2250+tech_proj!AG1750/(1-tech_proj!AG630))</f>
        <v>115.25124828071695</v>
      </c>
      <c r="AH1130" s="105">
        <f>IF(tech_base!$T226&gt;AH$905,"",AH2250+tech_proj!AH1750/(1-tech_proj!AH630))</f>
        <v>115.95712252384769</v>
      </c>
      <c r="AI1130" s="105">
        <f>IF(tech_base!$T226&gt;AI$905,"",AI2250+tech_proj!AI1750/(1-tech_proj!AI630))</f>
        <v>116.71098031586425</v>
      </c>
      <c r="AJ1130" s="105">
        <f>IF(tech_base!$T226&gt;AJ$905,"",AJ2250+tech_proj!AJ1750/(1-tech_proj!AJ630))</f>
        <v>117.48250305453173</v>
      </c>
      <c r="AK1130" s="105">
        <f>IF(tech_base!$T226&gt;AK$905,"",AK2250+tech_proj!AK1750/(1-tech_proj!AK630))</f>
        <v>118.19118969598814</v>
      </c>
      <c r="AL1130" s="105">
        <f>IF(tech_base!$T226&gt;AL$905,"",AL2250+tech_proj!AL1750/(1-tech_proj!AL630))</f>
        <v>118.82004427969939</v>
      </c>
      <c r="AM1130" s="105">
        <f>IF(tech_base!$T226&gt;AM$905,"",AM2250+tech_proj!AM1750/(1-tech_proj!AM630))</f>
        <v>119.25022884020287</v>
      </c>
      <c r="AN1130" s="105">
        <f>IF(tech_base!$T226&gt;AN$905,"",AN2250+tech_proj!AN1750/(1-tech_proj!AN630))</f>
        <v>119.6186135925346</v>
      </c>
      <c r="AO1130" s="105">
        <f>IF(tech_base!$T226&gt;AO$905,"",AO2250+tech_proj!AO1750/(1-tech_proj!AO630))</f>
        <v>120.0015044323784</v>
      </c>
      <c r="AP1130" s="105">
        <f>IF(tech_base!$T226&gt;AP$905,"",AP2250+tech_proj!AP1750/(1-tech_proj!AP630))</f>
        <v>120.4194699267055</v>
      </c>
      <c r="AQ1130" s="105">
        <f>IF(tech_base!$T226&gt;AQ$905,"",AQ2250+tech_proj!AQ1750/(1-tech_proj!AQ630))</f>
        <v>120.85780305440767</v>
      </c>
      <c r="AR1130" s="105">
        <f>IF(tech_base!$T226&gt;AR$905,"",AR2250+tech_proj!AR1750/(1-tech_proj!AR630))</f>
        <v>121.16333086909431</v>
      </c>
      <c r="AS1130" s="105">
        <f>IF(tech_base!$T226&gt;AS$905,"",AS2250+tech_proj!AS1750/(1-tech_proj!AS630))</f>
        <v>121.57174159727168</v>
      </c>
      <c r="AT1130" s="105">
        <f>IF(tech_base!$T226&gt;AT$905,"",AT2250+tech_proj!AT1750/(1-tech_proj!AT630))</f>
        <v>121.90476981535309</v>
      </c>
      <c r="AU1130" s="105">
        <f>IF(tech_base!$T226&gt;AU$905,"",AU2250+tech_proj!AU1750/(1-tech_proj!AU630))</f>
        <v>122.47279353744275</v>
      </c>
      <c r="AV1130" s="105">
        <f>IF(tech_base!$T226&gt;AV$905,"",AV2250+tech_proj!AV1750/(1-tech_proj!AV630))</f>
        <v>123.07773184322109</v>
      </c>
      <c r="AW1130" s="105">
        <f>IF(tech_base!$T226&gt;AW$905,"",AW2250+tech_proj!AW1750/(1-tech_proj!AW630))</f>
        <v>123.69562927778699</v>
      </c>
      <c r="AX1130" s="106">
        <f>IF(tech_base!$T226&gt;AX$905,"",AX2250+tech_proj!AX1750/(1-tech_proj!AX630))</f>
        <v>124.27478276197488</v>
      </c>
    </row>
    <row r="1131" spans="1:50" x14ac:dyDescent="0.25">
      <c r="A1131" s="356"/>
      <c r="B1131" s="376"/>
      <c r="C1131" s="361" t="s">
        <v>14</v>
      </c>
      <c r="D1131" s="58" t="s">
        <v>7</v>
      </c>
      <c r="E1131" s="164" t="str">
        <f>A1107&amp;"/"&amp;B1127&amp;"/"&amp;C1131&amp;"/"&amp;D1131</f>
        <v>Biomass and waste fired power plants/Steam turbine/CHP/L</v>
      </c>
      <c r="F1131" s="78" t="str">
        <f>A1107</f>
        <v>Biomass and waste fired power plants</v>
      </c>
      <c r="G1131" s="78" t="str">
        <f>B1127</f>
        <v>Steam turbine</v>
      </c>
      <c r="H1131" s="78" t="str">
        <f>C1131</f>
        <v>CHP</v>
      </c>
      <c r="I1131" s="165" t="str">
        <f t="shared" si="370"/>
        <v>L</v>
      </c>
      <c r="J1131" s="109">
        <f>IF(tech_base!$T227&gt;J$905,"",J2251+tech_proj!J1751/(1-tech_proj!J631))</f>
        <v>80.475682740160337</v>
      </c>
      <c r="K1131" s="109">
        <f>IF(tech_base!$T227&gt;K$905,"",K2251+tech_proj!K1751/(1-tech_proj!K631))</f>
        <v>82.518040757397728</v>
      </c>
      <c r="L1131" s="109">
        <f>IF(tech_base!$T227&gt;L$905,"",L2251+tech_proj!L1751/(1-tech_proj!L631))</f>
        <v>84.560834607478597</v>
      </c>
      <c r="M1131" s="109">
        <f>IF(tech_base!$T227&gt;M$905,"",M2251+tech_proj!M1751/(1-tech_proj!M631))</f>
        <v>86.604065551252376</v>
      </c>
      <c r="N1131" s="109">
        <f>IF(tech_base!$T227&gt;N$905,"",N2251+tech_proj!N1751/(1-tech_proj!N631))</f>
        <v>88.647735000710824</v>
      </c>
      <c r="O1131" s="109">
        <f>IF(tech_base!$T227&gt;O$905,"",O2251+tech_proj!O1751/(1-tech_proj!O631))</f>
        <v>90.691844516262051</v>
      </c>
      <c r="P1131" s="109">
        <f>IF(tech_base!$T227&gt;P$905,"",P2251+tech_proj!P1751/(1-tech_proj!P631))</f>
        <v>91.27143396595379</v>
      </c>
      <c r="Q1131" s="109">
        <f>IF(tech_base!$T227&gt;Q$905,"",Q2251+tech_proj!Q1751/(1-tech_proj!Q631))</f>
        <v>91.530716964934783</v>
      </c>
      <c r="R1131" s="109">
        <f>IF(tech_base!$T227&gt;R$905,"",R2251+tech_proj!R1751/(1-tech_proj!R631))</f>
        <v>91.829610341989394</v>
      </c>
      <c r="S1131" s="109">
        <f>IF(tech_base!$T227&gt;S$905,"",S2251+tech_proj!S1751/(1-tech_proj!S631))</f>
        <v>92.321808463251969</v>
      </c>
      <c r="T1131" s="109">
        <f>IF(tech_base!$T227&gt;T$905,"",T2251+tech_proj!T1751/(1-tech_proj!T631))</f>
        <v>93.11642453101598</v>
      </c>
      <c r="U1131" s="109">
        <f>IF(tech_base!$T227&gt;U$905,"",U2251+tech_proj!U1751/(1-tech_proj!U631))</f>
        <v>93.942219818149951</v>
      </c>
      <c r="V1131" s="109">
        <f>IF(tech_base!$T227&gt;V$905,"",V2251+tech_proj!V1751/(1-tech_proj!V631))</f>
        <v>94.840353262087049</v>
      </c>
      <c r="W1131" s="109">
        <f>IF(tech_base!$T227&gt;W$905,"",W2251+tech_proj!W1751/(1-tech_proj!W631))</f>
        <v>95.776972366124568</v>
      </c>
      <c r="X1131" s="109">
        <f>IF(tech_base!$T227&gt;X$905,"",X2251+tech_proj!X1751/(1-tech_proj!X631))</f>
        <v>96.692231314917052</v>
      </c>
      <c r="Y1131" s="109">
        <f>IF(tech_base!$T227&gt;Y$905,"",Y2251+tech_proj!Y1751/(1-tech_proj!Y631))</f>
        <v>97.636670349059159</v>
      </c>
      <c r="Z1131" s="109">
        <f>IF(tech_base!$T227&gt;Z$905,"",Z2251+tech_proj!Z1751/(1-tech_proj!Z631))</f>
        <v>98.57474163706982</v>
      </c>
      <c r="AA1131" s="109">
        <f>IF(tech_base!$T227&gt;AA$905,"",AA2251+tech_proj!AA1751/(1-tech_proj!AA631))</f>
        <v>99.60004878958452</v>
      </c>
      <c r="AB1131" s="109">
        <f>IF(tech_base!$T227&gt;AB$905,"",AB2251+tech_proj!AB1751/(1-tech_proj!AB631))</f>
        <v>100.93540442236961</v>
      </c>
      <c r="AC1131" s="109">
        <f>IF(tech_base!$T227&gt;AC$905,"",AC2251+tech_proj!AC1751/(1-tech_proj!AC631))</f>
        <v>102.92883915531856</v>
      </c>
      <c r="AD1131" s="109">
        <f>IF(tech_base!$T227&gt;AD$905,"",AD2251+tech_proj!AD1751/(1-tech_proj!AD631))</f>
        <v>104.88801946744287</v>
      </c>
      <c r="AE1131" s="109">
        <f>IF(tech_base!$T227&gt;AE$905,"",AE2251+tech_proj!AE1751/(1-tech_proj!AE631))</f>
        <v>106.25226388808103</v>
      </c>
      <c r="AF1131" s="109">
        <f>IF(tech_base!$T227&gt;AF$905,"",AF2251+tech_proj!AF1751/(1-tech_proj!AF631))</f>
        <v>107.09677467135192</v>
      </c>
      <c r="AG1131" s="109">
        <f>IF(tech_base!$T227&gt;AG$905,"",AG2251+tech_proj!AG1751/(1-tech_proj!AG631))</f>
        <v>107.83414164013664</v>
      </c>
      <c r="AH1131" s="109">
        <f>IF(tech_base!$T227&gt;AH$905,"",AH2251+tech_proj!AH1751/(1-tech_proj!AH631))</f>
        <v>108.49995530868425</v>
      </c>
      <c r="AI1131" s="109">
        <f>IF(tech_base!$T227&gt;AI$905,"",AI2251+tech_proj!AI1751/(1-tech_proj!AI631))</f>
        <v>109.21109456517335</v>
      </c>
      <c r="AJ1131" s="109">
        <f>IF(tech_base!$T227&gt;AJ$905,"",AJ2251+tech_proj!AJ1751/(1-tech_proj!AJ631))</f>
        <v>109.93889439169622</v>
      </c>
      <c r="AK1131" s="109">
        <f>IF(tech_base!$T227&gt;AK$905,"",AK2251+tech_proj!AK1751/(1-tech_proj!AK631))</f>
        <v>110.60725675891125</v>
      </c>
      <c r="AL1131" s="109">
        <f>IF(tech_base!$T227&gt;AL$905,"",AL2251+tech_proj!AL1751/(1-tech_proj!AL631))</f>
        <v>111.20012189083775</v>
      </c>
      <c r="AM1131" s="109">
        <f>IF(tech_base!$T227&gt;AM$905,"",AM2251+tech_proj!AM1751/(1-tech_proj!AM631))</f>
        <v>111.60516868839991</v>
      </c>
      <c r="AN1131" s="109">
        <f>IF(tech_base!$T227&gt;AN$905,"",AN2251+tech_proj!AN1751/(1-tech_proj!AN631))</f>
        <v>111.95178419720534</v>
      </c>
      <c r="AO1131" s="109">
        <f>IF(tech_base!$T227&gt;AO$905,"",AO2251+tech_proj!AO1751/(1-tech_proj!AO631))</f>
        <v>112.31209564941761</v>
      </c>
      <c r="AP1131" s="109">
        <f>IF(tech_base!$T227&gt;AP$905,"",AP2251+tech_proj!AP1751/(1-tech_proj!AP631))</f>
        <v>112.70554182300145</v>
      </c>
      <c r="AQ1131" s="109">
        <f>IF(tech_base!$T227&gt;AQ$905,"",AQ2251+tech_proj!AQ1751/(1-tech_proj!AQ631))</f>
        <v>113.1182199880122</v>
      </c>
      <c r="AR1131" s="109">
        <f>IF(tech_base!$T227&gt;AR$905,"",AR2251+tech_proj!AR1751/(1-tech_proj!AR631))</f>
        <v>113.4053693066891</v>
      </c>
      <c r="AS1131" s="109">
        <f>IF(tech_base!$T227&gt;AS$905,"",AS2251+tech_proj!AS1751/(1-tech_proj!AS631))</f>
        <v>113.7897367097945</v>
      </c>
      <c r="AT1131" s="109">
        <f>IF(tech_base!$T227&gt;AT$905,"",AT2251+tech_proj!AT1751/(1-tech_proj!AT631))</f>
        <v>114.10285062441383</v>
      </c>
      <c r="AU1131" s="109">
        <f>IF(tech_base!$T227&gt;AU$905,"",AU2251+tech_proj!AU1751/(1-tech_proj!AU631))</f>
        <v>114.63801816292758</v>
      </c>
      <c r="AV1131" s="109">
        <f>IF(tech_base!$T227&gt;AV$905,"",AV2251+tech_proj!AV1751/(1-tech_proj!AV631))</f>
        <v>115.20804193893433</v>
      </c>
      <c r="AW1131" s="109">
        <f>IF(tech_base!$T227&gt;AW$905,"",AW2251+tech_proj!AW1751/(1-tech_proj!AW631))</f>
        <v>115.79028282588705</v>
      </c>
      <c r="AX1131" s="110">
        <f>IF(tech_base!$T227&gt;AX$905,"",AX2251+tech_proj!AX1751/(1-tech_proj!AX631))</f>
        <v>116.33588642300063</v>
      </c>
    </row>
    <row r="1132" spans="1:50" x14ac:dyDescent="0.25">
      <c r="A1132" s="356"/>
      <c r="B1132" s="376"/>
      <c r="C1132" s="378"/>
      <c r="D1132" s="2" t="s">
        <v>8</v>
      </c>
      <c r="E1132" s="160" t="str">
        <f>A1107&amp;"/"&amp;B1127&amp;"/"&amp;C1131&amp;"/"&amp;D1132</f>
        <v>Biomass and waste fired power plants/Steam turbine/CHP/M</v>
      </c>
      <c r="F1132" s="76" t="str">
        <f>A1107</f>
        <v>Biomass and waste fired power plants</v>
      </c>
      <c r="G1132" s="76" t="str">
        <f>B1127</f>
        <v>Steam turbine</v>
      </c>
      <c r="H1132" s="76" t="str">
        <f>C1131</f>
        <v>CHP</v>
      </c>
      <c r="I1132" s="161" t="str">
        <f t="shared" si="370"/>
        <v>M</v>
      </c>
      <c r="J1132" s="105">
        <f>IF(tech_base!$T228&gt;J$905,"",J2252+tech_proj!J1752/(1-tech_proj!J632))</f>
        <v>84.963637103607979</v>
      </c>
      <c r="K1132" s="105">
        <f>IF(tech_base!$T228&gt;K$905,"",K2252+tech_proj!K1752/(1-tech_proj!K632))</f>
        <v>87.117383573953191</v>
      </c>
      <c r="L1132" s="105">
        <f>IF(tech_base!$T228&gt;L$905,"",L2252+tech_proj!L1752/(1-tech_proj!L632))</f>
        <v>89.271726621318521</v>
      </c>
      <c r="M1132" s="105">
        <f>IF(tech_base!$T228&gt;M$905,"",M2252+tech_proj!M1752/(1-tech_proj!M632))</f>
        <v>91.426667809587769</v>
      </c>
      <c r="N1132" s="105">
        <f>IF(tech_base!$T228&gt;N$905,"",N2252+tech_proj!N1752/(1-tech_proj!N632))</f>
        <v>93.582208788115892</v>
      </c>
      <c r="O1132" s="105">
        <f>IF(tech_base!$T228&gt;O$905,"",O2252+tech_proj!O1752/(1-tech_proj!O632))</f>
        <v>95.738351289253274</v>
      </c>
      <c r="P1132" s="105">
        <f>IF(tech_base!$T228&gt;P$905,"",P2252+tech_proj!P1752/(1-tech_proj!P632))</f>
        <v>96.35014086450721</v>
      </c>
      <c r="Q1132" s="105">
        <f>IF(tech_base!$T228&gt;Q$905,"",Q2252+tech_proj!Q1752/(1-tech_proj!Q632))</f>
        <v>96.624158641042229</v>
      </c>
      <c r="R1132" s="105">
        <f>IF(tech_base!$T228&gt;R$905,"",R2252+tech_proj!R1752/(1-tech_proj!R632))</f>
        <v>96.939966285240644</v>
      </c>
      <c r="S1132" s="105">
        <f>IF(tech_base!$T228&gt;S$905,"",S2252+tech_proj!S1752/(1-tech_proj!S632))</f>
        <v>97.459670561281754</v>
      </c>
      <c r="T1132" s="105">
        <f>IF(tech_base!$T228&gt;T$905,"",T2252+tech_proj!T1752/(1-tech_proj!T632))</f>
        <v>98.298377754658034</v>
      </c>
      <c r="U1132" s="105">
        <f>IF(tech_base!$T228&gt;U$905,"",U2252+tech_proj!U1752/(1-tech_proj!U632))</f>
        <v>99.170022391156081</v>
      </c>
      <c r="V1132" s="105">
        <f>IF(tech_base!$T228&gt;V$905,"",V2252+tech_proj!V1752/(1-tech_proj!V632))</f>
        <v>100.11802241393222</v>
      </c>
      <c r="W1132" s="105">
        <f>IF(tech_base!$T228&gt;W$905,"",W2252+tech_proj!W1752/(1-tech_proj!W632))</f>
        <v>101.10667583826341</v>
      </c>
      <c r="X1132" s="105">
        <f>IF(tech_base!$T228&gt;X$905,"",X2252+tech_proj!X1752/(1-tech_proj!X632))</f>
        <v>102.07285612747134</v>
      </c>
      <c r="Y1132" s="105">
        <f>IF(tech_base!$T228&gt;Y$905,"",Y2252+tech_proj!Y1752/(1-tech_proj!Y632))</f>
        <v>103.06987642527459</v>
      </c>
      <c r="Z1132" s="105">
        <f>IF(tech_base!$T228&gt;Z$905,"",Z2252+tech_proj!Z1752/(1-tech_proj!Z632))</f>
        <v>104.06023821555932</v>
      </c>
      <c r="AA1132" s="105">
        <f>IF(tech_base!$T228&gt;AA$905,"",AA2252+tech_proj!AA1752/(1-tech_proj!AA632))</f>
        <v>105.14269071750434</v>
      </c>
      <c r="AB1132" s="105">
        <f>IF(tech_base!$T228&gt;AB$905,"",AB2252+tech_proj!AB1752/(1-tech_proj!AB632))</f>
        <v>106.55231358679782</v>
      </c>
      <c r="AC1132" s="105">
        <f>IF(tech_base!$T228&gt;AC$905,"",AC2252+tech_proj!AC1752/(1-tech_proj!AC632))</f>
        <v>108.65632798873486</v>
      </c>
      <c r="AD1132" s="105">
        <f>IF(tech_base!$T228&gt;AD$905,"",AD2252+tech_proj!AD1752/(1-tech_proj!AD632))</f>
        <v>110.72432930402141</v>
      </c>
      <c r="AE1132" s="105">
        <f>IF(tech_base!$T228&gt;AE$905,"",AE2252+tech_proj!AE1752/(1-tech_proj!AE632))</f>
        <v>112.16472777947666</v>
      </c>
      <c r="AF1132" s="105">
        <f>IF(tech_base!$T228&gt;AF$905,"",AF2252+tech_proj!AF1752/(1-tech_proj!AF632))</f>
        <v>113.05681252532277</v>
      </c>
      <c r="AG1132" s="105">
        <f>IF(tech_base!$T228&gt;AG$905,"",AG2252+tech_proj!AG1752/(1-tech_proj!AG632))</f>
        <v>113.83588957791035</v>
      </c>
      <c r="AH1132" s="105">
        <f>IF(tech_base!$T228&gt;AH$905,"",AH2252+tech_proj!AH1752/(1-tech_proj!AH632))</f>
        <v>114.53950351097961</v>
      </c>
      <c r="AI1132" s="105">
        <f>IF(tech_base!$T228&gt;AI$905,"",AI2252+tech_proj!AI1752/(1-tech_proj!AI632))</f>
        <v>115.29098338654805</v>
      </c>
      <c r="AJ1132" s="105">
        <f>IF(tech_base!$T228&gt;AJ$905,"",AJ2252+tech_proj!AJ1752/(1-tech_proj!AJ632))</f>
        <v>116.06008345752474</v>
      </c>
      <c r="AK1132" s="105">
        <f>IF(tech_base!$T228&gt;AK$905,"",AK2252+tech_proj!AK1752/(1-tech_proj!AK632))</f>
        <v>116.76649728200711</v>
      </c>
      <c r="AL1132" s="105">
        <f>IF(tech_base!$T228&gt;AL$905,"",AL2252+tech_proj!AL1752/(1-tech_proj!AL632))</f>
        <v>117.39326984305808</v>
      </c>
      <c r="AM1132" s="105">
        <f>IF(tech_base!$T228&gt;AM$905,"",AM2252+tech_proj!AM1752/(1-tech_proj!AM632))</f>
        <v>117.82185158504291</v>
      </c>
      <c r="AN1132" s="105">
        <f>IF(tech_base!$T228&gt;AN$905,"",AN2252+tech_proj!AN1752/(1-tech_proj!AN632))</f>
        <v>118.18878086600213</v>
      </c>
      <c r="AO1132" s="105">
        <f>IF(tech_base!$T228&gt;AO$905,"",AO2252+tech_proj!AO1752/(1-tech_proj!AO632))</f>
        <v>118.57017815049863</v>
      </c>
      <c r="AP1132" s="105">
        <f>IF(tech_base!$T228&gt;AP$905,"",AP2252+tech_proj!AP1752/(1-tech_proj!AP632))</f>
        <v>118.98656162418922</v>
      </c>
      <c r="AQ1132" s="105">
        <f>IF(tech_base!$T228&gt;AQ$905,"",AQ2252+tech_proj!AQ1752/(1-tech_proj!AQ632))</f>
        <v>119.42325961582372</v>
      </c>
      <c r="AR1132" s="105">
        <f>IF(tech_base!$T228&gt;AR$905,"",AR2252+tech_proj!AR1752/(1-tech_proj!AR632))</f>
        <v>119.72747248736815</v>
      </c>
      <c r="AS1132" s="105">
        <f>IF(tech_base!$T228&gt;AS$905,"",AS2252+tech_proj!AS1752/(1-tech_proj!AS632))</f>
        <v>120.13431371260931</v>
      </c>
      <c r="AT1132" s="105">
        <f>IF(tech_base!$T228&gt;AT$905,"",AT2252+tech_proj!AT1752/(1-tech_proj!AT632))</f>
        <v>120.46595279992668</v>
      </c>
      <c r="AU1132" s="105">
        <f>IF(tech_base!$T228&gt;AU$905,"",AU2252+tech_proj!AU1752/(1-tech_proj!AU632))</f>
        <v>121.03200795544248</v>
      </c>
      <c r="AV1132" s="105">
        <f>IF(tech_base!$T228&gt;AV$905,"",AV2252+tech_proj!AV1752/(1-tech_proj!AV632))</f>
        <v>121.63488146456123</v>
      </c>
      <c r="AW1132" s="105">
        <f>IF(tech_base!$T228&gt;AW$905,"",AW2252+tech_proj!AW1752/(1-tech_proj!AW632))</f>
        <v>122.25067601457623</v>
      </c>
      <c r="AX1132" s="106">
        <f>IF(tech_base!$T228&gt;AX$905,"",AX2252+tech_proj!AX1752/(1-tech_proj!AX632))</f>
        <v>122.82781538017815</v>
      </c>
    </row>
    <row r="1133" spans="1:50" x14ac:dyDescent="0.25">
      <c r="A1133" s="356"/>
      <c r="B1133" s="376"/>
      <c r="C1133" s="378"/>
      <c r="D1133" s="2" t="s">
        <v>10</v>
      </c>
      <c r="E1133" s="160" t="str">
        <f>A1107&amp;"/"&amp;B1127&amp;"/"&amp;C1131&amp;"/"&amp;D1133</f>
        <v>Biomass and waste fired power plants/Steam turbine/CHP/S</v>
      </c>
      <c r="F1133" s="76" t="str">
        <f>A1107</f>
        <v>Biomass and waste fired power plants</v>
      </c>
      <c r="G1133" s="76" t="str">
        <f>B1127</f>
        <v>Steam turbine</v>
      </c>
      <c r="H1133" s="76" t="str">
        <f>C1131</f>
        <v>CHP</v>
      </c>
      <c r="I1133" s="161" t="str">
        <f t="shared" si="370"/>
        <v>S</v>
      </c>
      <c r="J1133" s="105">
        <f>IF(tech_base!$T229&gt;J$905,"",J2253+tech_proj!J1753/(1-tech_proj!J633))</f>
        <v>89.916819317118694</v>
      </c>
      <c r="K1133" s="105">
        <f>IF(tech_base!$T229&gt;K$905,"",K2253+tech_proj!K1753/(1-tech_proj!K633))</f>
        <v>92.188471389612332</v>
      </c>
      <c r="L1133" s="105">
        <f>IF(tech_base!$T229&gt;L$905,"",L2253+tech_proj!L1753/(1-tech_proj!L633))</f>
        <v>94.460832086603347</v>
      </c>
      <c r="M1133" s="105">
        <f>IF(tech_base!$T229&gt;M$905,"",M2253+tech_proj!M1753/(1-tech_proj!M633))</f>
        <v>96.73390310830483</v>
      </c>
      <c r="N1133" s="105">
        <f>IF(tech_base!$T229&gt;N$905,"",N2253+tech_proj!N1753/(1-tech_proj!N633))</f>
        <v>99.007686200017403</v>
      </c>
      <c r="O1133" s="105">
        <f>IF(tech_base!$T229&gt;O$905,"",O2253+tech_proj!O1753/(1-tech_proj!O633))</f>
        <v>101.28218315001111</v>
      </c>
      <c r="P1133" s="105">
        <f>IF(tech_base!$T229&gt;P$905,"",P2253+tech_proj!P1753/(1-tech_proj!P633))</f>
        <v>101.92785004187942</v>
      </c>
      <c r="Q1133" s="105">
        <f>IF(tech_base!$T229&gt;Q$905,"",Q2253+tech_proj!Q1753/(1-tech_proj!Q633))</f>
        <v>102.217265777561</v>
      </c>
      <c r="R1133" s="105">
        <f>IF(tech_base!$T229&gt;R$905,"",R2253+tech_proj!R1753/(1-tech_proj!R633))</f>
        <v>102.55076888662808</v>
      </c>
      <c r="S1133" s="105">
        <f>IF(tech_base!$T229&gt;S$905,"",S2253+tech_proj!S1753/(1-tech_proj!S633))</f>
        <v>103.09935326821051</v>
      </c>
      <c r="T1133" s="105">
        <f>IF(tech_base!$T229&gt;T$905,"",T2253+tech_proj!T1753/(1-tech_proj!T633))</f>
        <v>103.98444762912418</v>
      </c>
      <c r="U1133" s="105">
        <f>IF(tech_base!$T229&gt;U$905,"",U2253+tech_proj!U1753/(1-tech_proj!U633))</f>
        <v>104.90431471549169</v>
      </c>
      <c r="V1133" s="105">
        <f>IF(tech_base!$T229&gt;V$905,"",V2253+tech_proj!V1753/(1-tech_proj!V633))</f>
        <v>105.90475628328832</v>
      </c>
      <c r="W1133" s="105">
        <f>IF(tech_base!$T229&gt;W$905,"",W2253+tech_proj!W1753/(1-tech_proj!W633))</f>
        <v>106.94811498289934</v>
      </c>
      <c r="X1133" s="105">
        <f>IF(tech_base!$T229&gt;X$905,"",X2253+tech_proj!X1753/(1-tech_proj!X633))</f>
        <v>107.96780053232044</v>
      </c>
      <c r="Y1133" s="105">
        <f>IF(tech_base!$T229&gt;Y$905,"",Y2253+tech_proj!Y1753/(1-tech_proj!Y633))</f>
        <v>109.0200526014728</v>
      </c>
      <c r="Z1133" s="105">
        <f>IF(tech_base!$T229&gt;Z$905,"",Z2253+tech_proj!Z1753/(1-tech_proj!Z633))</f>
        <v>110.0653139851981</v>
      </c>
      <c r="AA1133" s="105">
        <f>IF(tech_base!$T229&gt;AA$905,"",AA2253+tech_proj!AA1753/(1-tech_proj!AA633))</f>
        <v>111.20776034352718</v>
      </c>
      <c r="AB1133" s="105">
        <f>IF(tech_base!$T229&gt;AB$905,"",AB2253+tech_proj!AB1753/(1-tech_proj!AB633))</f>
        <v>112.69540002650379</v>
      </c>
      <c r="AC1133" s="105">
        <f>IF(tech_base!$T229&gt;AC$905,"",AC2253+tech_proj!AC1753/(1-tech_proj!AC633))</f>
        <v>114.91566721678622</v>
      </c>
      <c r="AD1133" s="105">
        <f>IF(tech_base!$T229&gt;AD$905,"",AD2253+tech_proj!AD1753/(1-tech_proj!AD633))</f>
        <v>117.09801302847148</v>
      </c>
      <c r="AE1133" s="105">
        <f>IF(tech_base!$T229&gt;AE$905,"",AE2253+tech_proj!AE1753/(1-tech_proj!AE633))</f>
        <v>118.61828910848209</v>
      </c>
      <c r="AF1133" s="105">
        <f>IF(tech_base!$T229&gt;AF$905,"",AF2253+tech_proj!AF1753/(1-tech_proj!AF633))</f>
        <v>119.56011468479241</v>
      </c>
      <c r="AG1133" s="105">
        <f>IF(tech_base!$T229&gt;AG$905,"",AG2253+tech_proj!AG1753/(1-tech_proj!AG633))</f>
        <v>120.38273692365172</v>
      </c>
      <c r="AH1133" s="105">
        <f>IF(tech_base!$T229&gt;AH$905,"",AH2253+tech_proj!AH1753/(1-tech_proj!AH633))</f>
        <v>121.12576214171446</v>
      </c>
      <c r="AI1133" s="105">
        <f>IF(tech_base!$T229&gt;AI$905,"",AI2253+tech_proj!AI1753/(1-tech_proj!AI633))</f>
        <v>121.91931089036503</v>
      </c>
      <c r="AJ1133" s="105">
        <f>IF(tech_base!$T229&gt;AJ$905,"",AJ2253+tech_proj!AJ1753/(1-tech_proj!AJ633))</f>
        <v>122.73147248994592</v>
      </c>
      <c r="AK1133" s="105">
        <f>IF(tech_base!$T229&gt;AK$905,"",AK2253+tech_proj!AK1753/(1-tech_proj!AK633))</f>
        <v>123.47751311646276</v>
      </c>
      <c r="AL1133" s="105">
        <f>IF(tech_base!$T229&gt;AL$905,"",AL2253+tech_proj!AL1753/(1-tech_proj!AL633))</f>
        <v>124.13953895081876</v>
      </c>
      <c r="AM1133" s="105">
        <f>IF(tech_base!$T229&gt;AM$905,"",AM2253+tech_proj!AM1753/(1-tech_proj!AM633))</f>
        <v>124.59245514986426</v>
      </c>
      <c r="AN1133" s="105">
        <f>IF(tech_base!$T229&gt;AN$905,"",AN2253+tech_proj!AN1753/(1-tech_proj!AN633))</f>
        <v>124.98032517170452</v>
      </c>
      <c r="AO1133" s="105">
        <f>IF(tech_base!$T229&gt;AO$905,"",AO2253+tech_proj!AO1753/(1-tech_proj!AO633))</f>
        <v>125.38346854269889</v>
      </c>
      <c r="AP1133" s="105">
        <f>IF(tech_base!$T229&gt;AP$905,"",AP2253+tech_proj!AP1753/(1-tech_proj!AP633))</f>
        <v>125.82353710378666</v>
      </c>
      <c r="AQ1133" s="105">
        <f>IF(tech_base!$T229&gt;AQ$905,"",AQ2253+tech_proj!AQ1753/(1-tech_proj!AQ633))</f>
        <v>126.28505025698111</v>
      </c>
      <c r="AR1133" s="105">
        <f>IF(tech_base!$T229&gt;AR$905,"",AR2253+tech_proj!AR1753/(1-tech_proj!AR633))</f>
        <v>126.60676561820007</v>
      </c>
      <c r="AS1133" s="105">
        <f>IF(tech_base!$T229&gt;AS$905,"",AS2253+tech_proj!AS1753/(1-tech_proj!AS633))</f>
        <v>127.0367858451346</v>
      </c>
      <c r="AT1133" s="105">
        <f>IF(tech_base!$T229&gt;AT$905,"",AT2253+tech_proj!AT1753/(1-tech_proj!AT633))</f>
        <v>127.3874527264153</v>
      </c>
      <c r="AU1133" s="105">
        <f>IF(tech_base!$T229&gt;AU$905,"",AU2253+tech_proj!AU1753/(1-tech_proj!AU633))</f>
        <v>127.98550510629396</v>
      </c>
      <c r="AV1133" s="105">
        <f>IF(tech_base!$T229&gt;AV$905,"",AV2253+tech_proj!AV1753/(1-tech_proj!AV633))</f>
        <v>128.62242446428539</v>
      </c>
      <c r="AW1133" s="105">
        <f>IF(tech_base!$T229&gt;AW$905,"",AW2253+tech_proj!AW1753/(1-tech_proj!AW633))</f>
        <v>129.27299248957144</v>
      </c>
      <c r="AX1133" s="106">
        <f>IF(tech_base!$T229&gt;AX$905,"",AX2253+tech_proj!AX1753/(1-tech_proj!AX633))</f>
        <v>129.88277817125879</v>
      </c>
    </row>
    <row r="1134" spans="1:50" x14ac:dyDescent="0.25">
      <c r="A1134" s="356"/>
      <c r="B1134" s="376"/>
      <c r="C1134" s="379"/>
      <c r="D1134" s="59" t="s">
        <v>20</v>
      </c>
      <c r="E1134" s="166" t="str">
        <f>A1107&amp;"/"&amp;B1127&amp;"/"&amp;C1131&amp;"/"&amp;D1134</f>
        <v>Biomass and waste fired power plants/Steam turbine/CHP/XS</v>
      </c>
      <c r="F1134" s="79" t="str">
        <f>A1107</f>
        <v>Biomass and waste fired power plants</v>
      </c>
      <c r="G1134" s="79" t="str">
        <f>B1127</f>
        <v>Steam turbine</v>
      </c>
      <c r="H1134" s="79" t="str">
        <f>C1131</f>
        <v>CHP</v>
      </c>
      <c r="I1134" s="167" t="str">
        <f t="shared" si="370"/>
        <v>XS</v>
      </c>
      <c r="J1134" s="111">
        <f>IF(tech_base!$T230&gt;J$905,"",J2254+tech_proj!J1754/(1-tech_proj!J634))</f>
        <v>95.947343523682747</v>
      </c>
      <c r="K1134" s="111">
        <f>IF(tech_base!$T230&gt;K$905,"",K2254+tech_proj!K1754/(1-tech_proj!K634))</f>
        <v>98.34399500380114</v>
      </c>
      <c r="L1134" s="111">
        <f>IF(tech_base!$T230&gt;L$905,"",L2254+tech_proj!L1754/(1-tech_proj!L634))</f>
        <v>100.74146028001496</v>
      </c>
      <c r="M1134" s="111">
        <f>IF(tech_base!$T230&gt;M$905,"",M2254+tech_proj!M1754/(1-tech_proj!M634))</f>
        <v>103.13974086769784</v>
      </c>
      <c r="N1134" s="111">
        <f>IF(tech_base!$T230&gt;N$905,"",N2254+tech_proj!N1754/(1-tech_proj!N634))</f>
        <v>105.53883829751203</v>
      </c>
      <c r="O1134" s="111">
        <f>IF(tech_base!$T230&gt;O$905,"",O2254+tech_proj!O1754/(1-tech_proj!O634))</f>
        <v>107.93875411398008</v>
      </c>
      <c r="P1134" s="111">
        <f>IF(tech_base!$T230&gt;P$905,"",P2254+tech_proj!P1754/(1-tech_proj!P634))</f>
        <v>108.62034466009194</v>
      </c>
      <c r="Q1134" s="111">
        <f>IF(tech_base!$T230&gt;Q$905,"",Q2254+tech_proj!Q1754/(1-tech_proj!Q634))</f>
        <v>108.92610595942897</v>
      </c>
      <c r="R1134" s="111">
        <f>IF(tech_base!$T230&gt;R$905,"",R2254+tech_proj!R1754/(1-tech_proj!R634))</f>
        <v>109.27838473720348</v>
      </c>
      <c r="S1134" s="111">
        <f>IF(tech_base!$T230&gt;S$905,"",S2254+tech_proj!S1754/(1-tech_proj!S634))</f>
        <v>109.85758643312805</v>
      </c>
      <c r="T1134" s="111">
        <f>IF(tech_base!$T230&gt;T$905,"",T2254+tech_proj!T1754/(1-tech_proj!T634))</f>
        <v>110.7918331533786</v>
      </c>
      <c r="U1134" s="111">
        <f>IF(tech_base!$T230&gt;U$905,"",U2254+tech_proj!U1754/(1-tech_proj!U634))</f>
        <v>111.7627890950146</v>
      </c>
      <c r="V1134" s="111">
        <f>IF(tech_base!$T230&gt;V$905,"",V2254+tech_proj!V1754/(1-tech_proj!V634))</f>
        <v>112.81877977785325</v>
      </c>
      <c r="W1134" s="111">
        <f>IF(tech_base!$T230&gt;W$905,"",W2254+tech_proj!W1754/(1-tech_proj!W634))</f>
        <v>113.92007666214182</v>
      </c>
      <c r="X1134" s="111">
        <f>IF(tech_base!$T230&gt;X$905,"",X2254+tech_proj!X1754/(1-tech_proj!X634))</f>
        <v>114.99642175816498</v>
      </c>
      <c r="Y1134" s="111">
        <f>IF(tech_base!$T230&gt;Y$905,"",Y2254+tech_proj!Y1754/(1-tech_proj!Y634))</f>
        <v>116.10715318242012</v>
      </c>
      <c r="Z1134" s="111">
        <f>IF(tech_base!$T230&gt;Z$905,"",Z2254+tech_proj!Z1754/(1-tech_proj!Z634))</f>
        <v>117.21053398765213</v>
      </c>
      <c r="AA1134" s="111">
        <f>IF(tech_base!$T230&gt;AA$905,"",AA2254+tech_proj!AA1754/(1-tech_proj!AA634))</f>
        <v>118.41648406399111</v>
      </c>
      <c r="AB1134" s="111">
        <f>IF(tech_base!$T230&gt;AB$905,"",AB2254+tech_proj!AB1754/(1-tech_proj!AB634))</f>
        <v>119.98669569527097</v>
      </c>
      <c r="AC1134" s="111">
        <f>IF(tech_base!$T230&gt;AC$905,"",AC2254+tech_proj!AC1754/(1-tech_proj!AC634))</f>
        <v>122.32999358846558</v>
      </c>
      <c r="AD1134" s="111">
        <f>IF(tech_base!$T230&gt;AD$905,"",AD2254+tech_proj!AD1754/(1-tech_proj!AD634))</f>
        <v>124.63333409219175</v>
      </c>
      <c r="AE1134" s="111">
        <f>IF(tech_base!$T230&gt;AE$905,"",AE2254+tech_proj!AE1754/(1-tech_proj!AE634))</f>
        <v>126.23811242135011</v>
      </c>
      <c r="AF1134" s="111">
        <f>IF(tech_base!$T230&gt;AF$905,"",AF2254+tech_proj!AF1754/(1-tech_proj!AF634))</f>
        <v>127.23253681608799</v>
      </c>
      <c r="AG1134" s="111">
        <f>IF(tech_base!$T230&gt;AG$905,"",AG2254+tech_proj!AG1754/(1-tech_proj!AG634))</f>
        <v>128.10119411321529</v>
      </c>
      <c r="AH1134" s="111">
        <f>IF(tech_base!$T230&gt;AH$905,"",AH2254+tech_proj!AH1754/(1-tech_proj!AH634))</f>
        <v>128.88587341112597</v>
      </c>
      <c r="AI1134" s="111">
        <f>IF(tech_base!$T230&gt;AI$905,"",AI2254+tech_proj!AI1754/(1-tech_proj!AI634))</f>
        <v>129.72388174085364</v>
      </c>
      <c r="AJ1134" s="111">
        <f>IF(tech_base!$T230&gt;AJ$905,"",AJ2254+tech_proj!AJ1754/(1-tech_proj!AJ634))</f>
        <v>130.58154647957372</v>
      </c>
      <c r="AK1134" s="111">
        <f>IF(tech_base!$T230&gt;AK$905,"",AK2254+tech_proj!AK1754/(1-tech_proj!AK634))</f>
        <v>131.36944991093512</v>
      </c>
      <c r="AL1134" s="111">
        <f>IF(tech_base!$T230&gt;AL$905,"",AL2254+tech_proj!AL1754/(1-tech_proj!AL634))</f>
        <v>132.06870585097039</v>
      </c>
      <c r="AM1134" s="111">
        <f>IF(tech_base!$T230&gt;AM$905,"",AM2254+tech_proj!AM1754/(1-tech_proj!AM634))</f>
        <v>132.54729700214011</v>
      </c>
      <c r="AN1134" s="111">
        <f>IF(tech_base!$T230&gt;AN$905,"",AN2254+tech_proj!AN1754/(1-tech_proj!AN634))</f>
        <v>132.95724836524397</v>
      </c>
      <c r="AO1134" s="111">
        <f>IF(tech_base!$T230&gt;AO$905,"",AO2254+tech_proj!AO1754/(1-tech_proj!AO634))</f>
        <v>133.38332126529937</v>
      </c>
      <c r="AP1134" s="111">
        <f>IF(tech_base!$T230&gt;AP$905,"",AP2254+tech_proj!AP1754/(1-tech_proj!AP634))</f>
        <v>133.84836634851413</v>
      </c>
      <c r="AQ1134" s="111">
        <f>IF(tech_base!$T230&gt;AQ$905,"",AQ2254+tech_proj!AQ1754/(1-tech_proj!AQ634))</f>
        <v>134.33604724419538</v>
      </c>
      <c r="AR1134" s="111">
        <f>IF(tech_base!$T230&gt;AR$905,"",AR2254+tech_proj!AR1754/(1-tech_proj!AR634))</f>
        <v>134.67619379685101</v>
      </c>
      <c r="AS1134" s="111">
        <f>IF(tech_base!$T230&gt;AS$905,"",AS2254+tech_proj!AS1754/(1-tech_proj!AS634))</f>
        <v>135.13064446025723</v>
      </c>
      <c r="AT1134" s="111">
        <f>IF(tech_base!$T230&gt;AT$905,"",AT2254+tech_proj!AT1754/(1-tech_proj!AT634))</f>
        <v>135.50134914835488</v>
      </c>
      <c r="AU1134" s="111">
        <f>IF(tech_base!$T230&gt;AU$905,"",AU2254+tech_proj!AU1754/(1-tech_proj!AU634))</f>
        <v>136.13314799373353</v>
      </c>
      <c r="AV1134" s="111">
        <f>IF(tech_base!$T230&gt;AV$905,"",AV2254+tech_proj!AV1754/(1-tech_proj!AV634))</f>
        <v>136.80597489140951</v>
      </c>
      <c r="AW1134" s="111">
        <f>IF(tech_base!$T230&gt;AW$905,"",AW2254+tech_proj!AW1754/(1-tech_proj!AW634))</f>
        <v>137.49321476721983</v>
      </c>
      <c r="AX1134" s="112">
        <f>IF(tech_base!$T230&gt;AX$905,"",AX2254+tech_proj!AX1754/(1-tech_proj!AX634))</f>
        <v>138.13741895195309</v>
      </c>
    </row>
    <row r="1135" spans="1:50" x14ac:dyDescent="0.25">
      <c r="A1135" s="356"/>
      <c r="B1135" s="376"/>
      <c r="C1135" s="361" t="s">
        <v>15</v>
      </c>
      <c r="D1135" s="58" t="s">
        <v>7</v>
      </c>
      <c r="E1135" s="164" t="str">
        <f>A1107&amp;"/"&amp;B1127&amp;"/"&amp;C1135&amp;"/"&amp;D1135</f>
        <v>Biomass and waste fired power plants/Steam turbine/Electricity only with CCS/L</v>
      </c>
      <c r="F1135" s="78" t="str">
        <f>A1107</f>
        <v>Biomass and waste fired power plants</v>
      </c>
      <c r="G1135" s="78" t="str">
        <f>B1127</f>
        <v>Steam turbine</v>
      </c>
      <c r="H1135" s="78" t="str">
        <f>C1135</f>
        <v>Electricity only with CCS</v>
      </c>
      <c r="I1135" s="165" t="str">
        <f t="shared" si="370"/>
        <v>L</v>
      </c>
      <c r="J1135" s="109" t="str">
        <f>IF(tech_base!$T231&gt;J$905,"",J2255+tech_proj!J1755/(1-tech_proj!J635))</f>
        <v/>
      </c>
      <c r="K1135" s="109" t="str">
        <f>IF(tech_base!$T231&gt;K$905,"",K2255+tech_proj!K1755/(1-tech_proj!K635))</f>
        <v/>
      </c>
      <c r="L1135" s="109" t="str">
        <f>IF(tech_base!$T231&gt;L$905,"",L2255+tech_proj!L1755/(1-tech_proj!L635))</f>
        <v/>
      </c>
      <c r="M1135" s="109" t="str">
        <f>IF(tech_base!$T231&gt;M$905,"",M2255+tech_proj!M1755/(1-tech_proj!M635))</f>
        <v/>
      </c>
      <c r="N1135" s="109" t="str">
        <f>IF(tech_base!$T231&gt;N$905,"",N2255+tech_proj!N1755/(1-tech_proj!N635))</f>
        <v/>
      </c>
      <c r="O1135" s="109" t="str">
        <f>IF(tech_base!$T231&gt;O$905,"",O2255+tech_proj!O1755/(1-tech_proj!O635))</f>
        <v/>
      </c>
      <c r="P1135" s="109" t="str">
        <f>IF(tech_base!$T231&gt;P$905,"",P2255+tech_proj!P1755/(1-tech_proj!P635))</f>
        <v/>
      </c>
      <c r="Q1135" s="109" t="str">
        <f>IF(tech_base!$T231&gt;Q$905,"",Q2255+tech_proj!Q1755/(1-tech_proj!Q635))</f>
        <v/>
      </c>
      <c r="R1135" s="109" t="str">
        <f>IF(tech_base!$T231&gt;R$905,"",R2255+tech_proj!R1755/(1-tech_proj!R635))</f>
        <v/>
      </c>
      <c r="S1135" s="109" t="str">
        <f>IF(tech_base!$T231&gt;S$905,"",S2255+tech_proj!S1755/(1-tech_proj!S635))</f>
        <v/>
      </c>
      <c r="T1135" s="109" t="str">
        <f>IF(tech_base!$T231&gt;T$905,"",T2255+tech_proj!T1755/(1-tech_proj!T635))</f>
        <v/>
      </c>
      <c r="U1135" s="109" t="str">
        <f>IF(tech_base!$T231&gt;U$905,"",U2255+tech_proj!U1755/(1-tech_proj!U635))</f>
        <v/>
      </c>
      <c r="V1135" s="109" t="str">
        <f>IF(tech_base!$T231&gt;V$905,"",V2255+tech_proj!V1755/(1-tech_proj!V635))</f>
        <v/>
      </c>
      <c r="W1135" s="109" t="str">
        <f>IF(tech_base!$T231&gt;W$905,"",W2255+tech_proj!W1755/(1-tech_proj!W635))</f>
        <v/>
      </c>
      <c r="X1135" s="109" t="str">
        <f>IF(tech_base!$T231&gt;X$905,"",X2255+tech_proj!X1755/(1-tech_proj!X635))</f>
        <v/>
      </c>
      <c r="Y1135" s="109" t="str">
        <f>IF(tech_base!$T231&gt;Y$905,"",Y2255+tech_proj!Y1755/(1-tech_proj!Y635))</f>
        <v/>
      </c>
      <c r="Z1135" s="109" t="str">
        <f>IF(tech_base!$T231&gt;Z$905,"",Z2255+tech_proj!Z1755/(1-tech_proj!Z635))</f>
        <v/>
      </c>
      <c r="AA1135" s="109" t="str">
        <f>IF(tech_base!$T231&gt;AA$905,"",AA2255+tech_proj!AA1755/(1-tech_proj!AA635))</f>
        <v/>
      </c>
      <c r="AB1135" s="109" t="str">
        <f>IF(tech_base!$T231&gt;AB$905,"",AB2255+tech_proj!AB1755/(1-tech_proj!AB635))</f>
        <v/>
      </c>
      <c r="AC1135" s="109" t="str">
        <f>IF(tech_base!$T231&gt;AC$905,"",AC2255+tech_proj!AC1755/(1-tech_proj!AC635))</f>
        <v/>
      </c>
      <c r="AD1135" s="109" t="str">
        <f>IF(tech_base!$T231&gt;AD$905,"",AD2255+tech_proj!AD1755/(1-tech_proj!AD635))</f>
        <v/>
      </c>
      <c r="AE1135" s="109">
        <f>IF(tech_base!$T231&gt;AE$905,"",AE2255+tech_proj!AE1755/(1-tech_proj!AE635))</f>
        <v>133.21667416310396</v>
      </c>
      <c r="AF1135" s="109">
        <f>IF(tech_base!$T231&gt;AF$905,"",AF2255+tech_proj!AF1755/(1-tech_proj!AF635))</f>
        <v>134.23023370877962</v>
      </c>
      <c r="AG1135" s="109">
        <f>IF(tech_base!$T231&gt;AG$905,"",AG2255+tech_proj!AG1755/(1-tech_proj!AG635))</f>
        <v>135.1156824760242</v>
      </c>
      <c r="AH1135" s="109">
        <f>IF(tech_base!$T231&gt;AH$905,"",AH2255+tech_proj!AH1755/(1-tech_proj!AH635))</f>
        <v>135.91559208774271</v>
      </c>
      <c r="AI1135" s="109">
        <f>IF(tech_base!$T231&gt;AI$905,"",AI2255+tech_proj!AI1755/(1-tech_proj!AI635))</f>
        <v>136.76986294937663</v>
      </c>
      <c r="AJ1135" s="109">
        <f>IF(tech_base!$T231&gt;AJ$905,"",AJ2255+tech_proj!AJ1755/(1-tech_proj!AJ635))</f>
        <v>137.64418692965876</v>
      </c>
      <c r="AK1135" s="109">
        <f>IF(tech_base!$T231&gt;AK$905,"",AK2255+tech_proj!AK1755/(1-tech_proj!AK635))</f>
        <v>138.44745142857229</v>
      </c>
      <c r="AL1135" s="109">
        <f>IF(tech_base!$T231&gt;AL$905,"",AL2255+tech_proj!AL1755/(1-tech_proj!AL635))</f>
        <v>139.16040765913834</v>
      </c>
      <c r="AM1135" s="109">
        <f>IF(tech_base!$T231&gt;AM$905,"",AM2255+tech_proj!AM1755/(1-tech_proj!AM635))</f>
        <v>139.64852563994475</v>
      </c>
      <c r="AN1135" s="109">
        <f>IF(tech_base!$T231&gt;AN$905,"",AN2255+tech_proj!AN1755/(1-tech_proj!AN635))</f>
        <v>140.06670897431277</v>
      </c>
      <c r="AO1135" s="109">
        <f>IF(tech_base!$T231&gt;AO$905,"",AO2255+tech_proj!AO1755/(1-tech_proj!AO635))</f>
        <v>140.5013281281766</v>
      </c>
      <c r="AP1135" s="109">
        <f>IF(tech_base!$T231&gt;AP$905,"",AP2255+tech_proj!AP1755/(1-tech_proj!AP635))</f>
        <v>140.97566949387684</v>
      </c>
      <c r="AQ1135" s="109">
        <f>IF(tech_base!$T231&gt;AQ$905,"",AQ2255+tech_proj!AQ1755/(1-tech_proj!AQ635))</f>
        <v>141.47308697096386</v>
      </c>
      <c r="AR1135" s="109">
        <f>IF(tech_base!$T231&gt;AR$905,"",AR2255+tech_proj!AR1755/(1-tech_proj!AR635))</f>
        <v>141.82016490041107</v>
      </c>
      <c r="AS1135" s="109">
        <f>IF(tech_base!$T231&gt;AS$905,"",AS2255+tech_proj!AS1755/(1-tech_proj!AS635))</f>
        <v>142.28373368549956</v>
      </c>
      <c r="AT1135" s="109">
        <f>IF(tech_base!$T231&gt;AT$905,"",AT2255+tech_proj!AT1755/(1-tech_proj!AT635))</f>
        <v>142.66196400377405</v>
      </c>
      <c r="AU1135" s="109">
        <f>IF(tech_base!$T231&gt;AU$905,"",AU2255+tech_proj!AU1755/(1-tech_proj!AU635))</f>
        <v>143.30628648988903</v>
      </c>
      <c r="AV1135" s="109">
        <f>IF(tech_base!$T231&gt;AV$905,"",AV2255+tech_proj!AV1755/(1-tech_proj!AV635))</f>
        <v>143.99243490695241</v>
      </c>
      <c r="AW1135" s="109">
        <f>IF(tech_base!$T231&gt;AW$905,"",AW2255+tech_proj!AW1755/(1-tech_proj!AW635))</f>
        <v>144.6932858873711</v>
      </c>
      <c r="AX1135" s="110">
        <f>IF(tech_base!$T231&gt;AX$905,"",AX2255+tech_proj!AX1755/(1-tech_proj!AX635))</f>
        <v>145.35028982427579</v>
      </c>
    </row>
    <row r="1136" spans="1:50" x14ac:dyDescent="0.25">
      <c r="A1136" s="356"/>
      <c r="B1136" s="376"/>
      <c r="C1136" s="379"/>
      <c r="D1136" s="59" t="s">
        <v>8</v>
      </c>
      <c r="E1136" s="166" t="str">
        <f>A1107&amp;"/"&amp;B1127&amp;"/"&amp;C1135&amp;"/"&amp;D1136</f>
        <v>Biomass and waste fired power plants/Steam turbine/Electricity only with CCS/M</v>
      </c>
      <c r="F1136" s="79" t="str">
        <f>A1107</f>
        <v>Biomass and waste fired power plants</v>
      </c>
      <c r="G1136" s="79" t="str">
        <f>B1127</f>
        <v>Steam turbine</v>
      </c>
      <c r="H1136" s="79" t="str">
        <f>C1135</f>
        <v>Electricity only with CCS</v>
      </c>
      <c r="I1136" s="167" t="str">
        <f t="shared" si="370"/>
        <v>M</v>
      </c>
      <c r="J1136" s="111" t="str">
        <f>IF(tech_base!$T232&gt;J$905,"",J2256+tech_proj!J1756/(1-tech_proj!J636))</f>
        <v/>
      </c>
      <c r="K1136" s="111" t="str">
        <f>IF(tech_base!$T232&gt;K$905,"",K2256+tech_proj!K1756/(1-tech_proj!K636))</f>
        <v/>
      </c>
      <c r="L1136" s="111" t="str">
        <f>IF(tech_base!$T232&gt;L$905,"",L2256+tech_proj!L1756/(1-tech_proj!L636))</f>
        <v/>
      </c>
      <c r="M1136" s="111" t="str">
        <f>IF(tech_base!$T232&gt;M$905,"",M2256+tech_proj!M1756/(1-tech_proj!M636))</f>
        <v/>
      </c>
      <c r="N1136" s="111" t="str">
        <f>IF(tech_base!$T232&gt;N$905,"",N2256+tech_proj!N1756/(1-tech_proj!N636))</f>
        <v/>
      </c>
      <c r="O1136" s="111" t="str">
        <f>IF(tech_base!$T232&gt;O$905,"",O2256+tech_proj!O1756/(1-tech_proj!O636))</f>
        <v/>
      </c>
      <c r="P1136" s="111" t="str">
        <f>IF(tech_base!$T232&gt;P$905,"",P2256+tech_proj!P1756/(1-tech_proj!P636))</f>
        <v/>
      </c>
      <c r="Q1136" s="111" t="str">
        <f>IF(tech_base!$T232&gt;Q$905,"",Q2256+tech_proj!Q1756/(1-tech_proj!Q636))</f>
        <v/>
      </c>
      <c r="R1136" s="111" t="str">
        <f>IF(tech_base!$T232&gt;R$905,"",R2256+tech_proj!R1756/(1-tech_proj!R636))</f>
        <v/>
      </c>
      <c r="S1136" s="111" t="str">
        <f>IF(tech_base!$T232&gt;S$905,"",S2256+tech_proj!S1756/(1-tech_proj!S636))</f>
        <v/>
      </c>
      <c r="T1136" s="111" t="str">
        <f>IF(tech_base!$T232&gt;T$905,"",T2256+tech_proj!T1756/(1-tech_proj!T636))</f>
        <v/>
      </c>
      <c r="U1136" s="111" t="str">
        <f>IF(tech_base!$T232&gt;U$905,"",U2256+tech_proj!U1756/(1-tech_proj!U636))</f>
        <v/>
      </c>
      <c r="V1136" s="111" t="str">
        <f>IF(tech_base!$T232&gt;V$905,"",V2256+tech_proj!V1756/(1-tech_proj!V636))</f>
        <v/>
      </c>
      <c r="W1136" s="111" t="str">
        <f>IF(tech_base!$T232&gt;W$905,"",W2256+tech_proj!W1756/(1-tech_proj!W636))</f>
        <v/>
      </c>
      <c r="X1136" s="111" t="str">
        <f>IF(tech_base!$T232&gt;X$905,"",X2256+tech_proj!X1756/(1-tech_proj!X636))</f>
        <v/>
      </c>
      <c r="Y1136" s="111" t="str">
        <f>IF(tech_base!$T232&gt;Y$905,"",Y2256+tech_proj!Y1756/(1-tech_proj!Y636))</f>
        <v/>
      </c>
      <c r="Z1136" s="111" t="str">
        <f>IF(tech_base!$T232&gt;Z$905,"",Z2256+tech_proj!Z1756/(1-tech_proj!Z636))</f>
        <v/>
      </c>
      <c r="AA1136" s="111" t="str">
        <f>IF(tech_base!$T232&gt;AA$905,"",AA2256+tech_proj!AA1756/(1-tech_proj!AA636))</f>
        <v/>
      </c>
      <c r="AB1136" s="111" t="str">
        <f>IF(tech_base!$T232&gt;AB$905,"",AB2256+tech_proj!AB1756/(1-tech_proj!AB636))</f>
        <v/>
      </c>
      <c r="AC1136" s="111" t="str">
        <f>IF(tech_base!$T232&gt;AC$905,"",AC2256+tech_proj!AC1756/(1-tech_proj!AC636))</f>
        <v/>
      </c>
      <c r="AD1136" s="111" t="str">
        <f>IF(tech_base!$T232&gt;AD$905,"",AD2256+tech_proj!AD1756/(1-tech_proj!AD636))</f>
        <v/>
      </c>
      <c r="AE1136" s="111">
        <f>IF(tech_base!$T232&gt;AE$905,"",AE2256+tech_proj!AE1756/(1-tech_proj!AE636))</f>
        <v>143.14304435532071</v>
      </c>
      <c r="AF1136" s="111">
        <f>IF(tech_base!$T232&gt;AF$905,"",AF2256+tech_proj!AF1756/(1-tech_proj!AF636))</f>
        <v>144.22656487049943</v>
      </c>
      <c r="AG1136" s="111">
        <f>IF(tech_base!$T232&gt;AG$905,"",AG2256+tech_proj!AG1756/(1-tech_proj!AG636))</f>
        <v>145.17313175800248</v>
      </c>
      <c r="AH1136" s="111">
        <f>IF(tech_base!$T232&gt;AH$905,"",AH2256+tech_proj!AH1756/(1-tech_proj!AH636))</f>
        <v>146.02825514792417</v>
      </c>
      <c r="AI1136" s="111">
        <f>IF(tech_base!$T232&gt;AI$905,"",AI2256+tech_proj!AI1756/(1-tech_proj!AI636))</f>
        <v>146.94149207420929</v>
      </c>
      <c r="AJ1136" s="111">
        <f>IF(tech_base!$T232&gt;AJ$905,"",AJ2256+tech_proj!AJ1756/(1-tech_proj!AJ636))</f>
        <v>147.87616628608984</v>
      </c>
      <c r="AK1136" s="111">
        <f>IF(tech_base!$T232&gt;AK$905,"",AK2256+tech_proj!AK1756/(1-tech_proj!AK636))</f>
        <v>148.73487613436754</v>
      </c>
      <c r="AL1136" s="111">
        <f>IF(tech_base!$T232&gt;AL$905,"",AL2256+tech_proj!AL1756/(1-tech_proj!AL636))</f>
        <v>149.49704418412711</v>
      </c>
      <c r="AM1136" s="111">
        <f>IF(tech_base!$T232&gt;AM$905,"",AM2256+tech_proj!AM1756/(1-tech_proj!AM636))</f>
        <v>150.01885451908757</v>
      </c>
      <c r="AN1136" s="111">
        <f>IF(tech_base!$T232&gt;AN$905,"",AN2256+tech_proj!AN1756/(1-tech_proj!AN636))</f>
        <v>150.46590296713066</v>
      </c>
      <c r="AO1136" s="111">
        <f>IF(tech_base!$T232&gt;AO$905,"",AO2256+tech_proj!AO1756/(1-tech_proj!AO636))</f>
        <v>150.93052171746481</v>
      </c>
      <c r="AP1136" s="111">
        <f>IF(tech_base!$T232&gt;AP$905,"",AP2256+tech_proj!AP1756/(1-tech_proj!AP636))</f>
        <v>151.43760450616421</v>
      </c>
      <c r="AQ1136" s="111">
        <f>IF(tech_base!$T232&gt;AQ$905,"",AQ2256+tech_proj!AQ1756/(1-tech_proj!AQ636))</f>
        <v>151.96935623533659</v>
      </c>
      <c r="AR1136" s="111">
        <f>IF(tech_base!$T232&gt;AR$905,"",AR2256+tech_proj!AR1756/(1-tech_proj!AR636))</f>
        <v>152.3403912263505</v>
      </c>
      <c r="AS1136" s="111">
        <f>IF(tech_base!$T232&gt;AS$905,"",AS2256+tech_proj!AS1756/(1-tech_proj!AS636))</f>
        <v>152.83595785682903</v>
      </c>
      <c r="AT1136" s="111">
        <f>IF(tech_base!$T232&gt;AT$905,"",AT2256+tech_proj!AT1756/(1-tech_proj!AT636))</f>
        <v>153.240295530981</v>
      </c>
      <c r="AU1136" s="111">
        <f>IF(tech_base!$T232&gt;AU$905,"",AU2256+tech_proj!AU1756/(1-tech_proj!AU636))</f>
        <v>153.9290923905983</v>
      </c>
      <c r="AV1136" s="111">
        <f>IF(tech_base!$T232&gt;AV$905,"",AV2256+tech_proj!AV1756/(1-tech_proj!AV636))</f>
        <v>154.66260221694992</v>
      </c>
      <c r="AW1136" s="111">
        <f>IF(tech_base!$T232&gt;AW$905,"",AW2256+tech_proj!AW1756/(1-tech_proj!AW636))</f>
        <v>155.4118294514096</v>
      </c>
      <c r="AX1136" s="112">
        <f>IF(tech_base!$T232&gt;AX$905,"",AX2256+tech_proj!AX1756/(1-tech_proj!AX636))</f>
        <v>156.1141830992309</v>
      </c>
    </row>
    <row r="1137" spans="1:50" x14ac:dyDescent="0.25">
      <c r="A1137" s="356"/>
      <c r="B1137" s="376"/>
      <c r="C1137" s="361" t="s">
        <v>16</v>
      </c>
      <c r="D1137" s="2" t="s">
        <v>7</v>
      </c>
      <c r="E1137" s="160" t="str">
        <f>A1107&amp;"/"&amp;B1127&amp;"/"&amp;C1137&amp;"/"&amp;D1137</f>
        <v>Biomass and waste fired power plants/Steam turbine/CHP with CCS/L</v>
      </c>
      <c r="F1137" s="76" t="str">
        <f>A1107</f>
        <v>Biomass and waste fired power plants</v>
      </c>
      <c r="G1137" s="76" t="str">
        <f>B1127</f>
        <v>Steam turbine</v>
      </c>
      <c r="H1137" s="76" t="str">
        <f>C1137</f>
        <v>CHP with CCS</v>
      </c>
      <c r="I1137" s="161" t="str">
        <f t="shared" si="370"/>
        <v>L</v>
      </c>
      <c r="J1137" s="105" t="str">
        <f>IF(tech_base!$T233&gt;J$905,"",J2257+tech_proj!J1757/(1-tech_proj!J637))</f>
        <v/>
      </c>
      <c r="K1137" s="105" t="str">
        <f>IF(tech_base!$T233&gt;K$905,"",K2257+tech_proj!K1757/(1-tech_proj!K637))</f>
        <v/>
      </c>
      <c r="L1137" s="105" t="str">
        <f>IF(tech_base!$T233&gt;L$905,"",L2257+tech_proj!L1757/(1-tech_proj!L637))</f>
        <v/>
      </c>
      <c r="M1137" s="105" t="str">
        <f>IF(tech_base!$T233&gt;M$905,"",M2257+tech_proj!M1757/(1-tech_proj!M637))</f>
        <v/>
      </c>
      <c r="N1137" s="105" t="str">
        <f>IF(tech_base!$T233&gt;N$905,"",N2257+tech_proj!N1757/(1-tech_proj!N637))</f>
        <v/>
      </c>
      <c r="O1137" s="105" t="str">
        <f>IF(tech_base!$T233&gt;O$905,"",O2257+tech_proj!O1757/(1-tech_proj!O637))</f>
        <v/>
      </c>
      <c r="P1137" s="105" t="str">
        <f>IF(tech_base!$T233&gt;P$905,"",P2257+tech_proj!P1757/(1-tech_proj!P637))</f>
        <v/>
      </c>
      <c r="Q1137" s="105" t="str">
        <f>IF(tech_base!$T233&gt;Q$905,"",Q2257+tech_proj!Q1757/(1-tech_proj!Q637))</f>
        <v/>
      </c>
      <c r="R1137" s="105" t="str">
        <f>IF(tech_base!$T233&gt;R$905,"",R2257+tech_proj!R1757/(1-tech_proj!R637))</f>
        <v/>
      </c>
      <c r="S1137" s="105" t="str">
        <f>IF(tech_base!$T233&gt;S$905,"",S2257+tech_proj!S1757/(1-tech_proj!S637))</f>
        <v/>
      </c>
      <c r="T1137" s="105" t="str">
        <f>IF(tech_base!$T233&gt;T$905,"",T2257+tech_proj!T1757/(1-tech_proj!T637))</f>
        <v/>
      </c>
      <c r="U1137" s="105" t="str">
        <f>IF(tech_base!$T233&gt;U$905,"",U2257+tech_proj!U1757/(1-tech_proj!U637))</f>
        <v/>
      </c>
      <c r="V1137" s="105" t="str">
        <f>IF(tech_base!$T233&gt;V$905,"",V2257+tech_proj!V1757/(1-tech_proj!V637))</f>
        <v/>
      </c>
      <c r="W1137" s="105" t="str">
        <f>IF(tech_base!$T233&gt;W$905,"",W2257+tech_proj!W1757/(1-tech_proj!W637))</f>
        <v/>
      </c>
      <c r="X1137" s="105" t="str">
        <f>IF(tech_base!$T233&gt;X$905,"",X2257+tech_proj!X1757/(1-tech_proj!X637))</f>
        <v/>
      </c>
      <c r="Y1137" s="105" t="str">
        <f>IF(tech_base!$T233&gt;Y$905,"",Y2257+tech_proj!Y1757/(1-tech_proj!Y637))</f>
        <v/>
      </c>
      <c r="Z1137" s="105" t="str">
        <f>IF(tech_base!$T233&gt;Z$905,"",Z2257+tech_proj!Z1757/(1-tech_proj!Z637))</f>
        <v/>
      </c>
      <c r="AA1137" s="105" t="str">
        <f>IF(tech_base!$T233&gt;AA$905,"",AA2257+tech_proj!AA1757/(1-tech_proj!AA637))</f>
        <v/>
      </c>
      <c r="AB1137" s="105" t="str">
        <f>IF(tech_base!$T233&gt;AB$905,"",AB2257+tech_proj!AB1757/(1-tech_proj!AB637))</f>
        <v/>
      </c>
      <c r="AC1137" s="105" t="str">
        <f>IF(tech_base!$T233&gt;AC$905,"",AC2257+tech_proj!AC1757/(1-tech_proj!AC637))</f>
        <v/>
      </c>
      <c r="AD1137" s="105" t="str">
        <f>IF(tech_base!$T233&gt;AD$905,"",AD2257+tech_proj!AD1757/(1-tech_proj!AD637))</f>
        <v/>
      </c>
      <c r="AE1137" s="105">
        <f>IF(tech_base!$T233&gt;AE$905,"",AE2257+tech_proj!AE1757/(1-tech_proj!AE637))</f>
        <v>151.18647949236492</v>
      </c>
      <c r="AF1137" s="105">
        <f>IF(tech_base!$T233&gt;AF$905,"",AF2257+tech_proj!AF1757/(1-tech_proj!AF637))</f>
        <v>152.34254301634292</v>
      </c>
      <c r="AG1137" s="105">
        <f>IF(tech_base!$T233&gt;AG$905,"",AG2257+tech_proj!AG1757/(1-tech_proj!AG637))</f>
        <v>153.35248370165354</v>
      </c>
      <c r="AH1137" s="105">
        <f>IF(tech_base!$T233&gt;AH$905,"",AH2257+tech_proj!AH1757/(1-tech_proj!AH637))</f>
        <v>154.26485863663652</v>
      </c>
      <c r="AI1137" s="105">
        <f>IF(tech_base!$T233&gt;AI$905,"",AI2257+tech_proj!AI1757/(1-tech_proj!AI637))</f>
        <v>155.23923787951949</v>
      </c>
      <c r="AJ1137" s="105">
        <f>IF(tech_base!$T233&gt;AJ$905,"",AJ2257+tech_proj!AJ1757/(1-tech_proj!AJ637))</f>
        <v>156.2364896601928</v>
      </c>
      <c r="AK1137" s="105">
        <f>IF(tech_base!$T233&gt;AK$905,"",AK2257+tech_proj!AK1757/(1-tech_proj!AK637))</f>
        <v>157.15269117125587</v>
      </c>
      <c r="AL1137" s="105">
        <f>IF(tech_base!$T233&gt;AL$905,"",AL2257+tech_proj!AL1757/(1-tech_proj!AL637))</f>
        <v>157.96588729364137</v>
      </c>
      <c r="AM1137" s="105">
        <f>IF(tech_base!$T233&gt;AM$905,"",AM2257+tech_proj!AM1757/(1-tech_proj!AM637))</f>
        <v>158.52263346155593</v>
      </c>
      <c r="AN1137" s="105">
        <f>IF(tech_base!$T233&gt;AN$905,"",AN2257+tech_proj!AN1757/(1-tech_proj!AN637))</f>
        <v>158.99961234381399</v>
      </c>
      <c r="AO1137" s="105">
        <f>IF(tech_base!$T233&gt;AO$905,"",AO2257+tech_proj!AO1757/(1-tech_proj!AO637))</f>
        <v>159.49533788134934</v>
      </c>
      <c r="AP1137" s="105">
        <f>IF(tech_base!$T233&gt;AP$905,"",AP2257+tech_proj!AP1757/(1-tech_proj!AP637))</f>
        <v>160.03637047597056</v>
      </c>
      <c r="AQ1137" s="105">
        <f>IF(tech_base!$T233&gt;AQ$905,"",AQ2257+tech_proj!AQ1757/(1-tech_proj!AQ637))</f>
        <v>160.60372362646169</v>
      </c>
      <c r="AR1137" s="105">
        <f>IF(tech_base!$T233&gt;AR$905,"",AR2257+tech_proj!AR1757/(1-tech_proj!AR637))</f>
        <v>160.9995998588189</v>
      </c>
      <c r="AS1137" s="105">
        <f>IF(tech_base!$T233&gt;AS$905,"",AS2257+tech_proj!AS1757/(1-tech_proj!AS637))</f>
        <v>161.52834527449977</v>
      </c>
      <c r="AT1137" s="105">
        <f>IF(tech_base!$T233&gt;AT$905,"",AT2257+tech_proj!AT1757/(1-tech_proj!AT637))</f>
        <v>161.95975384490427</v>
      </c>
      <c r="AU1137" s="105">
        <f>IF(tech_base!$T233&gt;AU$905,"",AU2257+tech_proj!AU1757/(1-tech_proj!AU637))</f>
        <v>162.69466648723929</v>
      </c>
      <c r="AV1137" s="105">
        <f>IF(tech_base!$T233&gt;AV$905,"",AV2257+tech_proj!AV1757/(1-tech_proj!AV637))</f>
        <v>163.47728568350314</v>
      </c>
      <c r="AW1137" s="105">
        <f>IF(tech_base!$T233&gt;AW$905,"",AW2257+tech_proj!AW1757/(1-tech_proj!AW637))</f>
        <v>164.27667458735502</v>
      </c>
      <c r="AX1137" s="106">
        <f>IF(tech_base!$T233&gt;AX$905,"",AX2257+tech_proj!AX1757/(1-tech_proj!AX637))</f>
        <v>165.02605166125863</v>
      </c>
    </row>
    <row r="1138" spans="1:50" x14ac:dyDescent="0.25">
      <c r="A1138" s="357"/>
      <c r="B1138" s="380"/>
      <c r="C1138" s="381"/>
      <c r="D1138" s="4" t="s">
        <v>8</v>
      </c>
      <c r="E1138" s="168" t="str">
        <f>A1107&amp;"/"&amp;B1127&amp;"/"&amp;C1137&amp;"/"&amp;D1138</f>
        <v>Biomass and waste fired power plants/Steam turbine/CHP with CCS/M</v>
      </c>
      <c r="F1138" s="80" t="str">
        <f>A1107</f>
        <v>Biomass and waste fired power plants</v>
      </c>
      <c r="G1138" s="80" t="str">
        <f>B1127</f>
        <v>Steam turbine</v>
      </c>
      <c r="H1138" s="80" t="str">
        <f>C1137</f>
        <v>CHP with CCS</v>
      </c>
      <c r="I1138" s="169" t="str">
        <f t="shared" si="370"/>
        <v>M</v>
      </c>
      <c r="J1138" s="113" t="str">
        <f>IF(tech_base!$T234&gt;J$905,"",J2258+tech_proj!J1758/(1-tech_proj!J638))</f>
        <v/>
      </c>
      <c r="K1138" s="113" t="str">
        <f>IF(tech_base!$T234&gt;K$905,"",K2258+tech_proj!K1758/(1-tech_proj!K638))</f>
        <v/>
      </c>
      <c r="L1138" s="113" t="str">
        <f>IF(tech_base!$T234&gt;L$905,"",L2258+tech_proj!L1758/(1-tech_proj!L638))</f>
        <v/>
      </c>
      <c r="M1138" s="113" t="str">
        <f>IF(tech_base!$T234&gt;M$905,"",M2258+tech_proj!M1758/(1-tech_proj!M638))</f>
        <v/>
      </c>
      <c r="N1138" s="113" t="str">
        <f>IF(tech_base!$T234&gt;N$905,"",N2258+tech_proj!N1758/(1-tech_proj!N638))</f>
        <v/>
      </c>
      <c r="O1138" s="113" t="str">
        <f>IF(tech_base!$T234&gt;O$905,"",O2258+tech_proj!O1758/(1-tech_proj!O638))</f>
        <v/>
      </c>
      <c r="P1138" s="113" t="str">
        <f>IF(tech_base!$T234&gt;P$905,"",P2258+tech_proj!P1758/(1-tech_proj!P638))</f>
        <v/>
      </c>
      <c r="Q1138" s="113" t="str">
        <f>IF(tech_base!$T234&gt;Q$905,"",Q2258+tech_proj!Q1758/(1-tech_proj!Q638))</f>
        <v/>
      </c>
      <c r="R1138" s="113" t="str">
        <f>IF(tech_base!$T234&gt;R$905,"",R2258+tech_proj!R1758/(1-tech_proj!R638))</f>
        <v/>
      </c>
      <c r="S1138" s="113" t="str">
        <f>IF(tech_base!$T234&gt;S$905,"",S2258+tech_proj!S1758/(1-tech_proj!S638))</f>
        <v/>
      </c>
      <c r="T1138" s="113" t="str">
        <f>IF(tech_base!$T234&gt;T$905,"",T2258+tech_proj!T1758/(1-tech_proj!T638))</f>
        <v/>
      </c>
      <c r="U1138" s="113" t="str">
        <f>IF(tech_base!$T234&gt;U$905,"",U2258+tech_proj!U1758/(1-tech_proj!U638))</f>
        <v/>
      </c>
      <c r="V1138" s="113" t="str">
        <f>IF(tech_base!$T234&gt;V$905,"",V2258+tech_proj!V1758/(1-tech_proj!V638))</f>
        <v/>
      </c>
      <c r="W1138" s="113" t="str">
        <f>IF(tech_base!$T234&gt;W$905,"",W2258+tech_proj!W1758/(1-tech_proj!W638))</f>
        <v/>
      </c>
      <c r="X1138" s="113" t="str">
        <f>IF(tech_base!$T234&gt;X$905,"",X2258+tech_proj!X1758/(1-tech_proj!X638))</f>
        <v/>
      </c>
      <c r="Y1138" s="113" t="str">
        <f>IF(tech_base!$T234&gt;Y$905,"",Y2258+tech_proj!Y1758/(1-tech_proj!Y638))</f>
        <v/>
      </c>
      <c r="Z1138" s="113" t="str">
        <f>IF(tech_base!$T234&gt;Z$905,"",Z2258+tech_proj!Z1758/(1-tech_proj!Z638))</f>
        <v/>
      </c>
      <c r="AA1138" s="113" t="str">
        <f>IF(tech_base!$T234&gt;AA$905,"",AA2258+tech_proj!AA1758/(1-tech_proj!AA638))</f>
        <v/>
      </c>
      <c r="AB1138" s="113" t="str">
        <f>IF(tech_base!$T234&gt;AB$905,"",AB2258+tech_proj!AB1758/(1-tech_proj!AB638))</f>
        <v/>
      </c>
      <c r="AC1138" s="113" t="str">
        <f>IF(tech_base!$T234&gt;AC$905,"",AC2258+tech_proj!AC1758/(1-tech_proj!AC638))</f>
        <v/>
      </c>
      <c r="AD1138" s="113" t="str">
        <f>IF(tech_base!$T234&gt;AD$905,"",AD2258+tech_proj!AD1758/(1-tech_proj!AD638))</f>
        <v/>
      </c>
      <c r="AE1138" s="113">
        <f>IF(tech_base!$T234&gt;AE$905,"",AE2258+tech_proj!AE1758/(1-tech_proj!AE638))</f>
        <v>162.69917569165426</v>
      </c>
      <c r="AF1138" s="113">
        <f>IF(tech_base!$T234&gt;AF$905,"",AF2258+tech_proj!AF1758/(1-tech_proj!AF638))</f>
        <v>163.93819291723622</v>
      </c>
      <c r="AG1138" s="113">
        <f>IF(tech_base!$T234&gt;AG$905,"",AG2258+tech_proj!AG1758/(1-tech_proj!AG638))</f>
        <v>165.02060221392438</v>
      </c>
      <c r="AH1138" s="113">
        <f>IF(tech_base!$T234&gt;AH$905,"",AH2258+tech_proj!AH1758/(1-tech_proj!AH638))</f>
        <v>165.99844489919766</v>
      </c>
      <c r="AI1138" s="113">
        <f>IF(tech_base!$T234&gt;AI$905,"",AI2258+tech_proj!AI1758/(1-tech_proj!AI638))</f>
        <v>167.04274103097708</v>
      </c>
      <c r="AJ1138" s="113">
        <f>IF(tech_base!$T234&gt;AJ$905,"",AJ2258+tech_proj!AJ1758/(1-tech_proj!AJ638))</f>
        <v>168.11155092668656</v>
      </c>
      <c r="AK1138" s="113">
        <f>IF(tech_base!$T234&gt;AK$905,"",AK2258+tech_proj!AK1758/(1-tech_proj!AK638))</f>
        <v>169.09349476520956</v>
      </c>
      <c r="AL1138" s="113">
        <f>IF(tech_base!$T234&gt;AL$905,"",AL2258+tech_proj!AL1758/(1-tech_proj!AL638))</f>
        <v>169.96504203100778</v>
      </c>
      <c r="AM1138" s="113">
        <f>IF(tech_base!$T234&gt;AM$905,"",AM2258+tech_proj!AM1758/(1-tech_proj!AM638))</f>
        <v>170.56173769522977</v>
      </c>
      <c r="AN1138" s="113">
        <f>IF(tech_base!$T234&gt;AN$905,"",AN2258+tech_proj!AN1758/(1-tech_proj!AN638))</f>
        <v>171.07294234713592</v>
      </c>
      <c r="AO1138" s="113">
        <f>IF(tech_base!$T234&gt;AO$905,"",AO2258+tech_proj!AO1758/(1-tech_proj!AO638))</f>
        <v>171.60423882646231</v>
      </c>
      <c r="AP1138" s="113">
        <f>IF(tech_base!$T234&gt;AP$905,"",AP2258+tech_proj!AP1758/(1-tech_proj!AP638))</f>
        <v>172.18409338499927</v>
      </c>
      <c r="AQ1138" s="113">
        <f>IF(tech_base!$T234&gt;AQ$905,"",AQ2258+tech_proj!AQ1758/(1-tech_proj!AQ638))</f>
        <v>172.79215713916724</v>
      </c>
      <c r="AR1138" s="113">
        <f>IF(tech_base!$T234&gt;AR$905,"",AR2258+tech_proj!AR1758/(1-tech_proj!AR638))</f>
        <v>173.21643959503203</v>
      </c>
      <c r="AS1138" s="113">
        <f>IF(tech_base!$T234&gt;AS$905,"",AS2258+tech_proj!AS1758/(1-tech_proj!AS638))</f>
        <v>173.78312530424097</v>
      </c>
      <c r="AT1138" s="113">
        <f>IF(tech_base!$T234&gt;AT$905,"",AT2258+tech_proj!AT1758/(1-tech_proj!AT638))</f>
        <v>174.2454897322402</v>
      </c>
      <c r="AU1138" s="113">
        <f>IF(tech_base!$T234&gt;AU$905,"",AU2258+tech_proj!AU1758/(1-tech_proj!AU638))</f>
        <v>175.03313626226634</v>
      </c>
      <c r="AV1138" s="113">
        <f>IF(tech_base!$T234&gt;AV$905,"",AV2258+tech_proj!AV1758/(1-tech_proj!AV638))</f>
        <v>175.87191254499632</v>
      </c>
      <c r="AW1138" s="113">
        <f>IF(tech_base!$T234&gt;AW$905,"",AW2258+tech_proj!AW1758/(1-tech_proj!AW638))</f>
        <v>176.72866185095438</v>
      </c>
      <c r="AX1138" s="114">
        <f>IF(tech_base!$T234&gt;AX$905,"",AX2258+tech_proj!AX1758/(1-tech_proj!AX638))</f>
        <v>177.53181071238356</v>
      </c>
    </row>
    <row r="1139" spans="1:50" x14ac:dyDescent="0.25">
      <c r="A1139" s="355" t="s">
        <v>31</v>
      </c>
      <c r="B1139" s="358" t="s">
        <v>32</v>
      </c>
      <c r="C1139" s="353" t="s">
        <v>6</v>
      </c>
      <c r="D1139" s="3" t="s">
        <v>8</v>
      </c>
      <c r="E1139" s="162" t="str">
        <f>A1139&amp;"/"&amp;B1139&amp;"/"&amp;C1139&amp;"/"&amp;D1139</f>
        <v>Fuel cells/Natural gas fuel cell power plant/Electricity only/M</v>
      </c>
      <c r="F1139" s="77" t="str">
        <f>A1139</f>
        <v>Fuel cells</v>
      </c>
      <c r="G1139" s="77" t="str">
        <f>B1139</f>
        <v>Natural gas fuel cell power plant</v>
      </c>
      <c r="H1139" s="77" t="str">
        <f>C1139</f>
        <v>Electricity only</v>
      </c>
      <c r="I1139" s="163" t="str">
        <f t="shared" si="370"/>
        <v>M</v>
      </c>
      <c r="J1139" s="107" t="str">
        <f>IF(tech_base!$T235&gt;J$905,"",J2259+tech_proj!J1759/(1-tech_proj!J639))</f>
        <v/>
      </c>
      <c r="K1139" s="107" t="str">
        <f>IF(tech_base!$T235&gt;K$905,"",K2259+tech_proj!K1759/(1-tech_proj!K639))</f>
        <v/>
      </c>
      <c r="L1139" s="107" t="str">
        <f>IF(tech_base!$T235&gt;L$905,"",L2259+tech_proj!L1759/(1-tech_proj!L639))</f>
        <v/>
      </c>
      <c r="M1139" s="107" t="str">
        <f>IF(tech_base!$T235&gt;M$905,"",M2259+tech_proj!M1759/(1-tech_proj!M639))</f>
        <v/>
      </c>
      <c r="N1139" s="107" t="str">
        <f>IF(tech_base!$T235&gt;N$905,"",N2259+tech_proj!N1759/(1-tech_proj!N639))</f>
        <v/>
      </c>
      <c r="O1139" s="107" t="str">
        <f>IF(tech_base!$T235&gt;O$905,"",O2259+tech_proj!O1759/(1-tech_proj!O639))</f>
        <v/>
      </c>
      <c r="P1139" s="107" t="str">
        <f>IF(tech_base!$T235&gt;P$905,"",P2259+tech_proj!P1759/(1-tech_proj!P639))</f>
        <v/>
      </c>
      <c r="Q1139" s="107" t="str">
        <f>IF(tech_base!$T235&gt;Q$905,"",Q2259+tech_proj!Q1759/(1-tech_proj!Q639))</f>
        <v/>
      </c>
      <c r="R1139" s="107" t="str">
        <f>IF(tech_base!$T235&gt;R$905,"",R2259+tech_proj!R1759/(1-tech_proj!R639))</f>
        <v/>
      </c>
      <c r="S1139" s="107" t="str">
        <f>IF(tech_base!$T235&gt;S$905,"",S2259+tech_proj!S1759/(1-tech_proj!S639))</f>
        <v/>
      </c>
      <c r="T1139" s="107" t="str">
        <f>IF(tech_base!$T235&gt;T$905,"",T2259+tech_proj!T1759/(1-tech_proj!T639))</f>
        <v/>
      </c>
      <c r="U1139" s="107" t="str">
        <f>IF(tech_base!$T235&gt;U$905,"",U2259+tech_proj!U1759/(1-tech_proj!U639))</f>
        <v/>
      </c>
      <c r="V1139" s="107" t="str">
        <f>IF(tech_base!$T235&gt;V$905,"",V2259+tech_proj!V1759/(1-tech_proj!V639))</f>
        <v/>
      </c>
      <c r="W1139" s="107" t="str">
        <f>IF(tech_base!$T235&gt;W$905,"",W2259+tech_proj!W1759/(1-tech_proj!W639))</f>
        <v/>
      </c>
      <c r="X1139" s="107" t="str">
        <f>IF(tech_base!$T235&gt;X$905,"",X2259+tech_proj!X1759/(1-tech_proj!X639))</f>
        <v/>
      </c>
      <c r="Y1139" s="107" t="str">
        <f>IF(tech_base!$T235&gt;Y$905,"",Y2259+tech_proj!Y1759/(1-tech_proj!Y639))</f>
        <v/>
      </c>
      <c r="Z1139" s="107" t="str">
        <f>IF(tech_base!$T235&gt;Z$905,"",Z2259+tech_proj!Z1759/(1-tech_proj!Z639))</f>
        <v/>
      </c>
      <c r="AA1139" s="107" t="str">
        <f>IF(tech_base!$T235&gt;AA$905,"",AA2259+tech_proj!AA1759/(1-tech_proj!AA639))</f>
        <v/>
      </c>
      <c r="AB1139" s="107" t="str">
        <f>IF(tech_base!$T235&gt;AB$905,"",AB2259+tech_proj!AB1759/(1-tech_proj!AB639))</f>
        <v/>
      </c>
      <c r="AC1139" s="107" t="str">
        <f>IF(tech_base!$T235&gt;AC$905,"",AC2259+tech_proj!AC1759/(1-tech_proj!AC639))</f>
        <v/>
      </c>
      <c r="AD1139" s="107" t="str">
        <f>IF(tech_base!$T235&gt;AD$905,"",AD2259+tech_proj!AD1759/(1-tech_proj!AD639))</f>
        <v/>
      </c>
      <c r="AE1139" s="107">
        <f>IF(tech_base!$T235&gt;AE$905,"",AE2259+tech_proj!AE1759/(1-tech_proj!AE639))</f>
        <v>83.598401315892204</v>
      </c>
      <c r="AF1139" s="107">
        <f>IF(tech_base!$T235&gt;AF$905,"",AF2259+tech_proj!AF1759/(1-tech_proj!AF639))</f>
        <v>84.608045743311465</v>
      </c>
      <c r="AG1139" s="107">
        <f>IF(tech_base!$T235&gt;AG$905,"",AG2259+tech_proj!AG1759/(1-tech_proj!AG639))</f>
        <v>85.515556495176583</v>
      </c>
      <c r="AH1139" s="107">
        <f>IF(tech_base!$T235&gt;AH$905,"",AH2259+tech_proj!AH1759/(1-tech_proj!AH639))</f>
        <v>86.341957801295706</v>
      </c>
      <c r="AI1139" s="107">
        <f>IF(tech_base!$T235&gt;AI$905,"",AI2259+tech_proj!AI1759/(1-tech_proj!AI639))</f>
        <v>86.800855422648368</v>
      </c>
      <c r="AJ1139" s="107">
        <f>IF(tech_base!$T235&gt;AJ$905,"",AJ2259+tech_proj!AJ1759/(1-tech_proj!AJ639))</f>
        <v>87.379480010236136</v>
      </c>
      <c r="AK1139" s="107">
        <f>IF(tech_base!$T235&gt;AK$905,"",AK2259+tech_proj!AK1759/(1-tech_proj!AK639))</f>
        <v>87.811773320151218</v>
      </c>
      <c r="AL1139" s="107">
        <f>IF(tech_base!$T235&gt;AL$905,"",AL2259+tech_proj!AL1759/(1-tech_proj!AL639))</f>
        <v>88.19067662838593</v>
      </c>
      <c r="AM1139" s="107">
        <f>IF(tech_base!$T235&gt;AM$905,"",AM2259+tech_proj!AM1759/(1-tech_proj!AM639))</f>
        <v>88.573311960921117</v>
      </c>
      <c r="AN1139" s="107">
        <f>IF(tech_base!$T235&gt;AN$905,"",AN2259+tech_proj!AN1759/(1-tech_proj!AN639))</f>
        <v>88.340652149946806</v>
      </c>
      <c r="AO1139" s="107">
        <f>IF(tech_base!$T235&gt;AO$905,"",AO2259+tech_proj!AO1759/(1-tech_proj!AO639))</f>
        <v>88.191839763603781</v>
      </c>
      <c r="AP1139" s="107">
        <f>IF(tech_base!$T235&gt;AP$905,"",AP2259+tech_proj!AP1759/(1-tech_proj!AP639))</f>
        <v>87.942525656855196</v>
      </c>
      <c r="AQ1139" s="107">
        <f>IF(tech_base!$T235&gt;AQ$905,"",AQ2259+tech_proj!AQ1759/(1-tech_proj!AQ639))</f>
        <v>87.596103511378885</v>
      </c>
      <c r="AR1139" s="107">
        <f>IF(tech_base!$T235&gt;AR$905,"",AR2259+tech_proj!AR1759/(1-tech_proj!AR639))</f>
        <v>87.198747625451901</v>
      </c>
      <c r="AS1139" s="107">
        <f>IF(tech_base!$T235&gt;AS$905,"",AS2259+tech_proj!AS1759/(1-tech_proj!AS639))</f>
        <v>86.695576880263303</v>
      </c>
      <c r="AT1139" s="107">
        <f>IF(tech_base!$T235&gt;AT$905,"",AT2259+tech_proj!AT1759/(1-tech_proj!AT639))</f>
        <v>85.948064441132956</v>
      </c>
      <c r="AU1139" s="107">
        <f>IF(tech_base!$T235&gt;AU$905,"",AU2259+tech_proj!AU1759/(1-tech_proj!AU639))</f>
        <v>84.935807305717034</v>
      </c>
      <c r="AV1139" s="107">
        <f>IF(tech_base!$T235&gt;AV$905,"",AV2259+tech_proj!AV1759/(1-tech_proj!AV639))</f>
        <v>83.652227098836178</v>
      </c>
      <c r="AW1139" s="107">
        <f>IF(tech_base!$T235&gt;AW$905,"",AW2259+tech_proj!AW1759/(1-tech_proj!AW639))</f>
        <v>81.931657741861898</v>
      </c>
      <c r="AX1139" s="108">
        <f>IF(tech_base!$T235&gt;AX$905,"",AX2259+tech_proj!AX1759/(1-tech_proj!AX639))</f>
        <v>80.208345060884582</v>
      </c>
    </row>
    <row r="1140" spans="1:50" x14ac:dyDescent="0.25">
      <c r="A1140" s="356"/>
      <c r="B1140" s="376"/>
      <c r="C1140" s="378"/>
      <c r="D1140" s="2" t="s">
        <v>10</v>
      </c>
      <c r="E1140" s="160" t="str">
        <f>A1139&amp;"/"&amp;B1139&amp;"/"&amp;C1139&amp;"/"&amp;D1140</f>
        <v>Fuel cells/Natural gas fuel cell power plant/Electricity only/S</v>
      </c>
      <c r="F1140" s="76" t="str">
        <f>A1139</f>
        <v>Fuel cells</v>
      </c>
      <c r="G1140" s="76" t="str">
        <f>B1139</f>
        <v>Natural gas fuel cell power plant</v>
      </c>
      <c r="H1140" s="76" t="str">
        <f>C1139</f>
        <v>Electricity only</v>
      </c>
      <c r="I1140" s="161" t="str">
        <f t="shared" si="370"/>
        <v>S</v>
      </c>
      <c r="J1140" s="105" t="str">
        <f>IF(tech_base!$T236&gt;J$905,"",J2260+tech_proj!J1760/(1-tech_proj!J640))</f>
        <v/>
      </c>
      <c r="K1140" s="105" t="str">
        <f>IF(tech_base!$T236&gt;K$905,"",K2260+tech_proj!K1760/(1-tech_proj!K640))</f>
        <v/>
      </c>
      <c r="L1140" s="105" t="str">
        <f>IF(tech_base!$T236&gt;L$905,"",L2260+tech_proj!L1760/(1-tech_proj!L640))</f>
        <v/>
      </c>
      <c r="M1140" s="105" t="str">
        <f>IF(tech_base!$T236&gt;M$905,"",M2260+tech_proj!M1760/(1-tech_proj!M640))</f>
        <v/>
      </c>
      <c r="N1140" s="105" t="str">
        <f>IF(tech_base!$T236&gt;N$905,"",N2260+tech_proj!N1760/(1-tech_proj!N640))</f>
        <v/>
      </c>
      <c r="O1140" s="105" t="str">
        <f>IF(tech_base!$T236&gt;O$905,"",O2260+tech_proj!O1760/(1-tech_proj!O640))</f>
        <v/>
      </c>
      <c r="P1140" s="105" t="str">
        <f>IF(tech_base!$T236&gt;P$905,"",P2260+tech_proj!P1760/(1-tech_proj!P640))</f>
        <v/>
      </c>
      <c r="Q1140" s="105" t="str">
        <f>IF(tech_base!$T236&gt;Q$905,"",Q2260+tech_proj!Q1760/(1-tech_proj!Q640))</f>
        <v/>
      </c>
      <c r="R1140" s="105" t="str">
        <f>IF(tech_base!$T236&gt;R$905,"",R2260+tech_proj!R1760/(1-tech_proj!R640))</f>
        <v/>
      </c>
      <c r="S1140" s="105" t="str">
        <f>IF(tech_base!$T236&gt;S$905,"",S2260+tech_proj!S1760/(1-tech_proj!S640))</f>
        <v/>
      </c>
      <c r="T1140" s="105" t="str">
        <f>IF(tech_base!$T236&gt;T$905,"",T2260+tech_proj!T1760/(1-tech_proj!T640))</f>
        <v/>
      </c>
      <c r="U1140" s="105" t="str">
        <f>IF(tech_base!$T236&gt;U$905,"",U2260+tech_proj!U1760/(1-tech_proj!U640))</f>
        <v/>
      </c>
      <c r="V1140" s="105" t="str">
        <f>IF(tech_base!$T236&gt;V$905,"",V2260+tech_proj!V1760/(1-tech_proj!V640))</f>
        <v/>
      </c>
      <c r="W1140" s="105" t="str">
        <f>IF(tech_base!$T236&gt;W$905,"",W2260+tech_proj!W1760/(1-tech_proj!W640))</f>
        <v/>
      </c>
      <c r="X1140" s="105" t="str">
        <f>IF(tech_base!$T236&gt;X$905,"",X2260+tech_proj!X1760/(1-tech_proj!X640))</f>
        <v/>
      </c>
      <c r="Y1140" s="105" t="str">
        <f>IF(tech_base!$T236&gt;Y$905,"",Y2260+tech_proj!Y1760/(1-tech_proj!Y640))</f>
        <v/>
      </c>
      <c r="Z1140" s="105" t="str">
        <f>IF(tech_base!$T236&gt;Z$905,"",Z2260+tech_proj!Z1760/(1-tech_proj!Z640))</f>
        <v/>
      </c>
      <c r="AA1140" s="105" t="str">
        <f>IF(tech_base!$T236&gt;AA$905,"",AA2260+tech_proj!AA1760/(1-tech_proj!AA640))</f>
        <v/>
      </c>
      <c r="AB1140" s="105" t="str">
        <f>IF(tech_base!$T236&gt;AB$905,"",AB2260+tech_proj!AB1760/(1-tech_proj!AB640))</f>
        <v/>
      </c>
      <c r="AC1140" s="105">
        <f>IF(tech_base!$T236&gt;AC$905,"",AC2260+tech_proj!AC1760/(1-tech_proj!AC640))</f>
        <v>86.172783370423318</v>
      </c>
      <c r="AD1140" s="105">
        <f>IF(tech_base!$T236&gt;AD$905,"",AD2260+tech_proj!AD1760/(1-tech_proj!AD640))</f>
        <v>87.638642320368362</v>
      </c>
      <c r="AE1140" s="105">
        <f>IF(tech_base!$T236&gt;AE$905,"",AE2260+tech_proj!AE1760/(1-tech_proj!AE640))</f>
        <v>88.578350164161236</v>
      </c>
      <c r="AF1140" s="105">
        <f>IF(tech_base!$T236&gt;AF$905,"",AF2260+tech_proj!AF1760/(1-tech_proj!AF640))</f>
        <v>89.64813901449223</v>
      </c>
      <c r="AG1140" s="105">
        <f>IF(tech_base!$T236&gt;AG$905,"",AG2260+tech_proj!AG1760/(1-tech_proj!AG640))</f>
        <v>90.609710095890037</v>
      </c>
      <c r="AH1140" s="105">
        <f>IF(tech_base!$T236&gt;AH$905,"",AH2260+tech_proj!AH1760/(1-tech_proj!AH640))</f>
        <v>91.485340049541122</v>
      </c>
      <c r="AI1140" s="105">
        <f>IF(tech_base!$T236&gt;AI$905,"",AI2260+tech_proj!AI1760/(1-tech_proj!AI640))</f>
        <v>92.026303496403784</v>
      </c>
      <c r="AJ1140" s="105">
        <f>IF(tech_base!$T236&gt;AJ$905,"",AJ2260+tech_proj!AJ1760/(1-tech_proj!AJ640))</f>
        <v>92.658575097330086</v>
      </c>
      <c r="AK1140" s="105">
        <f>IF(tech_base!$T236&gt;AK$905,"",AK2260+tech_proj!AK1760/(1-tech_proj!AK640))</f>
        <v>93.142305574346125</v>
      </c>
      <c r="AL1140" s="105">
        <f>IF(tech_base!$T236&gt;AL$905,"",AL2260+tech_proj!AL1760/(1-tech_proj!AL640))</f>
        <v>93.578133657543674</v>
      </c>
      <c r="AM1140" s="105">
        <f>IF(tech_base!$T236&gt;AM$905,"",AM2260+tech_proj!AM1760/(1-tech_proj!AM640))</f>
        <v>94.029389947794783</v>
      </c>
      <c r="AN1140" s="105">
        <f>IF(tech_base!$T236&gt;AN$905,"",AN2260+tech_proj!AN1760/(1-tech_proj!AN640))</f>
        <v>93.842724484650034</v>
      </c>
      <c r="AO1140" s="105">
        <f>IF(tech_base!$T236&gt;AO$905,"",AO2260+tech_proj!AO1760/(1-tech_proj!AO640))</f>
        <v>93.763793063020927</v>
      </c>
      <c r="AP1140" s="105">
        <f>IF(tech_base!$T236&gt;AP$905,"",AP2260+tech_proj!AP1760/(1-tech_proj!AP640))</f>
        <v>93.601834130180208</v>
      </c>
      <c r="AQ1140" s="105">
        <f>IF(tech_base!$T236&gt;AQ$905,"",AQ2260+tech_proj!AQ1760/(1-tech_proj!AQ640))</f>
        <v>93.365713730771887</v>
      </c>
      <c r="AR1140" s="105">
        <f>IF(tech_base!$T236&gt;AR$905,"",AR2260+tech_proj!AR1760/(1-tech_proj!AR640))</f>
        <v>93.109757161640204</v>
      </c>
      <c r="AS1140" s="105">
        <f>IF(tech_base!$T236&gt;AS$905,"",AS2260+tech_proj!AS1760/(1-tech_proj!AS640))</f>
        <v>92.779671102115202</v>
      </c>
      <c r="AT1140" s="105">
        <f>IF(tech_base!$T236&gt;AT$905,"",AT2260+tech_proj!AT1760/(1-tech_proj!AT640))</f>
        <v>92.228594303248258</v>
      </c>
      <c r="AU1140" s="105">
        <f>IF(tech_base!$T236&gt;AU$905,"",AU2260+tech_proj!AU1760/(1-tech_proj!AU640))</f>
        <v>91.429390858478712</v>
      </c>
      <c r="AV1140" s="105">
        <f>IF(tech_base!$T236&gt;AV$905,"",AV2260+tech_proj!AV1760/(1-tech_proj!AV640))</f>
        <v>90.361046387752793</v>
      </c>
      <c r="AW1140" s="105">
        <f>IF(tech_base!$T236&gt;AW$905,"",AW2260+tech_proj!AW1760/(1-tech_proj!AW640))</f>
        <v>88.821222059159766</v>
      </c>
      <c r="AX1140" s="106">
        <f>IF(tech_base!$T236&gt;AX$905,"",AX2260+tech_proj!AX1760/(1-tech_proj!AX640))</f>
        <v>87.243843229760046</v>
      </c>
    </row>
    <row r="1141" spans="1:50" x14ac:dyDescent="0.25">
      <c r="A1141" s="356"/>
      <c r="B1141" s="377"/>
      <c r="C1141" s="379"/>
      <c r="D1141" s="59" t="s">
        <v>20</v>
      </c>
      <c r="E1141" s="166" t="str">
        <f>A1139&amp;"/"&amp;B1139&amp;"/"&amp;C1139&amp;"/"&amp;D1141</f>
        <v>Fuel cells/Natural gas fuel cell power plant/Electricity only/XS</v>
      </c>
      <c r="F1141" s="79" t="str">
        <f>A1139</f>
        <v>Fuel cells</v>
      </c>
      <c r="G1141" s="79" t="str">
        <f>B1139</f>
        <v>Natural gas fuel cell power plant</v>
      </c>
      <c r="H1141" s="79" t="str">
        <f>C1139</f>
        <v>Electricity only</v>
      </c>
      <c r="I1141" s="167" t="str">
        <f t="shared" si="370"/>
        <v>XS</v>
      </c>
      <c r="J1141" s="111" t="str">
        <f>IF(tech_base!$T237&gt;J$905,"",J2261+tech_proj!J1761/(1-tech_proj!J641))</f>
        <v/>
      </c>
      <c r="K1141" s="111" t="str">
        <f>IF(tech_base!$T237&gt;K$905,"",K2261+tech_proj!K1761/(1-tech_proj!K641))</f>
        <v/>
      </c>
      <c r="L1141" s="111" t="str">
        <f>IF(tech_base!$T237&gt;L$905,"",L2261+tech_proj!L1761/(1-tech_proj!L641))</f>
        <v/>
      </c>
      <c r="M1141" s="111" t="str">
        <f>IF(tech_base!$T237&gt;M$905,"",M2261+tech_proj!M1761/(1-tech_proj!M641))</f>
        <v/>
      </c>
      <c r="N1141" s="111" t="str">
        <f>IF(tech_base!$T237&gt;N$905,"",N2261+tech_proj!N1761/(1-tech_proj!N641))</f>
        <v/>
      </c>
      <c r="O1141" s="111" t="str">
        <f>IF(tech_base!$T237&gt;O$905,"",O2261+tech_proj!O1761/(1-tech_proj!O641))</f>
        <v/>
      </c>
      <c r="P1141" s="111" t="str">
        <f>IF(tech_base!$T237&gt;P$905,"",P2261+tech_proj!P1761/(1-tech_proj!P641))</f>
        <v/>
      </c>
      <c r="Q1141" s="111" t="str">
        <f>IF(tech_base!$T237&gt;Q$905,"",Q2261+tech_proj!Q1761/(1-tech_proj!Q641))</f>
        <v/>
      </c>
      <c r="R1141" s="111" t="str">
        <f>IF(tech_base!$T237&gt;R$905,"",R2261+tech_proj!R1761/(1-tech_proj!R641))</f>
        <v/>
      </c>
      <c r="S1141" s="111" t="str">
        <f>IF(tech_base!$T237&gt;S$905,"",S2261+tech_proj!S1761/(1-tech_proj!S641))</f>
        <v/>
      </c>
      <c r="T1141" s="111" t="str">
        <f>IF(tech_base!$T237&gt;T$905,"",T2261+tech_proj!T1761/(1-tech_proj!T641))</f>
        <v/>
      </c>
      <c r="U1141" s="111" t="str">
        <f>IF(tech_base!$T237&gt;U$905,"",U2261+tech_proj!U1761/(1-tech_proj!U641))</f>
        <v/>
      </c>
      <c r="V1141" s="111" t="str">
        <f>IF(tech_base!$T237&gt;V$905,"",V2261+tech_proj!V1761/(1-tech_proj!V641))</f>
        <v/>
      </c>
      <c r="W1141" s="111" t="str">
        <f>IF(tech_base!$T237&gt;W$905,"",W2261+tech_proj!W1761/(1-tech_proj!W641))</f>
        <v/>
      </c>
      <c r="X1141" s="111" t="str">
        <f>IF(tech_base!$T237&gt;X$905,"",X2261+tech_proj!X1761/(1-tech_proj!X641))</f>
        <v/>
      </c>
      <c r="Y1141" s="111" t="str">
        <f>IF(tech_base!$T237&gt;Y$905,"",Y2261+tech_proj!Y1761/(1-tech_proj!Y641))</f>
        <v/>
      </c>
      <c r="Z1141" s="111">
        <f>IF(tech_base!$T237&gt;Z$905,"",Z2261+tech_proj!Z1761/(1-tech_proj!Z641))</f>
        <v>88.235537155505085</v>
      </c>
      <c r="AA1141" s="111">
        <f>IF(tech_base!$T237&gt;AA$905,"",AA2261+tech_proj!AA1761/(1-tech_proj!AA641))</f>
        <v>89.205605835490715</v>
      </c>
      <c r="AB1141" s="111">
        <f>IF(tech_base!$T237&gt;AB$905,"",AB2261+tech_proj!AB1761/(1-tech_proj!AB641))</f>
        <v>90.279638689277633</v>
      </c>
      <c r="AC1141" s="111">
        <f>IF(tech_base!$T237&gt;AC$905,"",AC2261+tech_proj!AC1761/(1-tech_proj!AC641))</f>
        <v>91.355687818508642</v>
      </c>
      <c r="AD1141" s="111">
        <f>IF(tech_base!$T237&gt;AD$905,"",AD2261+tech_proj!AD1761/(1-tech_proj!AD641))</f>
        <v>92.909711576120145</v>
      </c>
      <c r="AE1141" s="111">
        <f>IF(tech_base!$T237&gt;AE$905,"",AE2261+tech_proj!AE1761/(1-tech_proj!AE641))</f>
        <v>93.905938610462528</v>
      </c>
      <c r="AF1141" s="111">
        <f>IF(tech_base!$T237&gt;AF$905,"",AF2261+tech_proj!AF1761/(1-tech_proj!AF641))</f>
        <v>95.040070437473972</v>
      </c>
      <c r="AG1141" s="111">
        <f>IF(tech_base!$T237&gt;AG$905,"",AG2261+tech_proj!AG1761/(1-tech_proj!AG641))</f>
        <v>96.059475684602546</v>
      </c>
      <c r="AH1141" s="111">
        <f>IF(tech_base!$T237&gt;AH$905,"",AH2261+tech_proj!AH1761/(1-tech_proj!AH641))</f>
        <v>96.98777083257778</v>
      </c>
      <c r="AI1141" s="111">
        <f>IF(tech_base!$T237&gt;AI$905,"",AI2261+tech_proj!AI1761/(1-tech_proj!AI641))</f>
        <v>97.609555063110164</v>
      </c>
      <c r="AJ1141" s="111">
        <f>IF(tech_base!$T237&gt;AJ$905,"",AJ2261+tech_proj!AJ1761/(1-tech_proj!AJ641))</f>
        <v>98.296792594155903</v>
      </c>
      <c r="AK1141" s="111">
        <f>IF(tech_base!$T237&gt;AK$905,"",AK2261+tech_proj!AK1761/(1-tech_proj!AK641))</f>
        <v>98.832316331924616</v>
      </c>
      <c r="AL1141" s="111">
        <f>IF(tech_base!$T237&gt;AL$905,"",AL2261+tech_proj!AL1761/(1-tech_proj!AL641))</f>
        <v>99.324742984657703</v>
      </c>
      <c r="AM1141" s="111">
        <f>IF(tech_base!$T237&gt;AM$905,"",AM2261+tech_proj!AM1761/(1-tech_proj!AM641))</f>
        <v>99.843721293444489</v>
      </c>
      <c r="AN1141" s="111">
        <f>IF(tech_base!$T237&gt;AN$905,"",AN2261+tech_proj!AN1761/(1-tech_proj!AN641))</f>
        <v>99.698917744883573</v>
      </c>
      <c r="AO1141" s="111">
        <f>IF(tech_base!$T237&gt;AO$905,"",AO2261+tech_proj!AO1761/(1-tech_proj!AO641))</f>
        <v>99.685234170965231</v>
      </c>
      <c r="AP1141" s="111">
        <f>IF(tech_base!$T237&gt;AP$905,"",AP2261+tech_proj!AP1761/(1-tech_proj!AP641))</f>
        <v>99.604649894051718</v>
      </c>
      <c r="AQ1141" s="111">
        <f>IF(tech_base!$T237&gt;AQ$905,"",AQ2261+tech_proj!AQ1761/(1-tech_proj!AQ641))</f>
        <v>99.471522584162585</v>
      </c>
      <c r="AR1141" s="111">
        <f>IF(tech_base!$T237&gt;AR$905,"",AR2261+tech_proj!AR1761/(1-tech_proj!AR641))</f>
        <v>99.348715223680045</v>
      </c>
      <c r="AS1141" s="111">
        <f>IF(tech_base!$T237&gt;AS$905,"",AS2261+tech_proj!AS1761/(1-tech_proj!AS641))</f>
        <v>99.182867679512498</v>
      </c>
      <c r="AT1141" s="111">
        <f>IF(tech_base!$T237&gt;AT$905,"",AT2261+tech_proj!AT1761/(1-tech_proj!AT641))</f>
        <v>98.81939614617005</v>
      </c>
      <c r="AU1141" s="111">
        <f>IF(tech_base!$T237&gt;AU$905,"",AU2261+tech_proj!AU1761/(1-tech_proj!AU641))</f>
        <v>98.226295359436207</v>
      </c>
      <c r="AV1141" s="111">
        <f>IF(tech_base!$T237&gt;AV$905,"",AV2261+tech_proj!AV1761/(1-tech_proj!AV641))</f>
        <v>97.370890631685668</v>
      </c>
      <c r="AW1141" s="111">
        <f>IF(tech_base!$T237&gt;AW$905,"",AW2261+tech_proj!AW1761/(1-tech_proj!AW641))</f>
        <v>96.016937469325256</v>
      </c>
      <c r="AX1141" s="112">
        <f>IF(tech_base!$T237&gt;AX$905,"",AX2261+tech_proj!AX1761/(1-tech_proj!AX641))</f>
        <v>94.602466658038466</v>
      </c>
    </row>
    <row r="1142" spans="1:50" x14ac:dyDescent="0.25">
      <c r="A1142" s="356"/>
      <c r="B1142" s="359" t="s">
        <v>33</v>
      </c>
      <c r="C1142" s="350" t="s">
        <v>6</v>
      </c>
      <c r="D1142" s="2" t="s">
        <v>8</v>
      </c>
      <c r="E1142" s="160" t="str">
        <f>A1139&amp;"/"&amp;B1142&amp;"/"&amp;C1142&amp;"/"&amp;D1142</f>
        <v>Fuel cells/Hydrogen fuel cell power plant/Electricity only/M</v>
      </c>
      <c r="F1142" s="76" t="str">
        <f>A1139</f>
        <v>Fuel cells</v>
      </c>
      <c r="G1142" s="76" t="str">
        <f>B1142</f>
        <v>Hydrogen fuel cell power plant</v>
      </c>
      <c r="H1142" s="76" t="str">
        <f>C1142</f>
        <v>Electricity only</v>
      </c>
      <c r="I1142" s="161" t="str">
        <f t="shared" si="370"/>
        <v>M</v>
      </c>
      <c r="J1142" s="105" t="str">
        <f>IF(tech_base!$T238&gt;J$905,"",J2262+tech_proj!J1762/(1-tech_proj!J642))</f>
        <v/>
      </c>
      <c r="K1142" s="105" t="str">
        <f>IF(tech_base!$T238&gt;K$905,"",K2262+tech_proj!K1762/(1-tech_proj!K642))</f>
        <v/>
      </c>
      <c r="L1142" s="105" t="str">
        <f>IF(tech_base!$T238&gt;L$905,"",L2262+tech_proj!L1762/(1-tech_proj!L642))</f>
        <v/>
      </c>
      <c r="M1142" s="105" t="str">
        <f>IF(tech_base!$T238&gt;M$905,"",M2262+tech_proj!M1762/(1-tech_proj!M642))</f>
        <v/>
      </c>
      <c r="N1142" s="105" t="str">
        <f>IF(tech_base!$T238&gt;N$905,"",N2262+tech_proj!N1762/(1-tech_proj!N642))</f>
        <v/>
      </c>
      <c r="O1142" s="105" t="str">
        <f>IF(tech_base!$T238&gt;O$905,"",O2262+tech_proj!O1762/(1-tech_proj!O642))</f>
        <v/>
      </c>
      <c r="P1142" s="105" t="str">
        <f>IF(tech_base!$T238&gt;P$905,"",P2262+tech_proj!P1762/(1-tech_proj!P642))</f>
        <v/>
      </c>
      <c r="Q1142" s="105" t="str">
        <f>IF(tech_base!$T238&gt;Q$905,"",Q2262+tech_proj!Q1762/(1-tech_proj!Q642))</f>
        <v/>
      </c>
      <c r="R1142" s="105" t="str">
        <f>IF(tech_base!$T238&gt;R$905,"",R2262+tech_proj!R1762/(1-tech_proj!R642))</f>
        <v/>
      </c>
      <c r="S1142" s="105" t="str">
        <f>IF(tech_base!$T238&gt;S$905,"",S2262+tech_proj!S1762/(1-tech_proj!S642))</f>
        <v/>
      </c>
      <c r="T1142" s="105" t="str">
        <f>IF(tech_base!$T238&gt;T$905,"",T2262+tech_proj!T1762/(1-tech_proj!T642))</f>
        <v/>
      </c>
      <c r="U1142" s="105" t="str">
        <f>IF(tech_base!$T238&gt;U$905,"",U2262+tech_proj!U1762/(1-tech_proj!U642))</f>
        <v/>
      </c>
      <c r="V1142" s="105" t="str">
        <f>IF(tech_base!$T238&gt;V$905,"",V2262+tech_proj!V1762/(1-tech_proj!V642))</f>
        <v/>
      </c>
      <c r="W1142" s="105" t="str">
        <f>IF(tech_base!$T238&gt;W$905,"",W2262+tech_proj!W1762/(1-tech_proj!W642))</f>
        <v/>
      </c>
      <c r="X1142" s="105" t="str">
        <f>IF(tech_base!$T238&gt;X$905,"",X2262+tech_proj!X1762/(1-tech_proj!X642))</f>
        <v/>
      </c>
      <c r="Y1142" s="105" t="str">
        <f>IF(tech_base!$T238&gt;Y$905,"",Y2262+tech_proj!Y1762/(1-tech_proj!Y642))</f>
        <v/>
      </c>
      <c r="Z1142" s="105" t="str">
        <f>IF(tech_base!$T238&gt;Z$905,"",Z2262+tech_proj!Z1762/(1-tech_proj!Z642))</f>
        <v/>
      </c>
      <c r="AA1142" s="105" t="str">
        <f>IF(tech_base!$T238&gt;AA$905,"",AA2262+tech_proj!AA1762/(1-tech_proj!AA642))</f>
        <v/>
      </c>
      <c r="AB1142" s="105" t="str">
        <f>IF(tech_base!$T238&gt;AB$905,"",AB2262+tech_proj!AB1762/(1-tech_proj!AB642))</f>
        <v/>
      </c>
      <c r="AC1142" s="105" t="str">
        <f>IF(tech_base!$T238&gt;AC$905,"",AC2262+tech_proj!AC1762/(1-tech_proj!AC642))</f>
        <v/>
      </c>
      <c r="AD1142" s="105" t="str">
        <f>IF(tech_base!$T238&gt;AD$905,"",AD2262+tech_proj!AD1762/(1-tech_proj!AD642))</f>
        <v/>
      </c>
      <c r="AE1142" s="105" t="str">
        <f>IF(tech_base!$T238&gt;AE$905,"",AE2262+tech_proj!AE1762/(1-tech_proj!AE642))</f>
        <v/>
      </c>
      <c r="AF1142" s="105" t="str">
        <f>IF(tech_base!$T238&gt;AF$905,"",AF2262+tech_proj!AF1762/(1-tech_proj!AF642))</f>
        <v/>
      </c>
      <c r="AG1142" s="105">
        <f>IF(tech_base!$T238&gt;AG$905,"",AG2262+tech_proj!AG1762/(1-tech_proj!AG642))</f>
        <v>154.74364594621639</v>
      </c>
      <c r="AH1142" s="105">
        <f>IF(tech_base!$T238&gt;AH$905,"",AH2262+tech_proj!AH1762/(1-tech_proj!AH642))</f>
        <v>151.38023557354236</v>
      </c>
      <c r="AI1142" s="105">
        <f>IF(tech_base!$T238&gt;AI$905,"",AI2262+tech_proj!AI1762/(1-tech_proj!AI642))</f>
        <v>148.01682520086837</v>
      </c>
      <c r="AJ1142" s="105">
        <f>IF(tech_base!$T238&gt;AJ$905,"",AJ2262+tech_proj!AJ1762/(1-tech_proj!AJ642))</f>
        <v>145.02338996918849</v>
      </c>
      <c r="AK1142" s="105">
        <f>IF(tech_base!$T238&gt;AK$905,"",AK2262+tech_proj!AK1762/(1-tech_proj!AK642))</f>
        <v>142.02995473750863</v>
      </c>
      <c r="AL1142" s="105">
        <f>IF(tech_base!$T238&gt;AL$905,"",AL2262+tech_proj!AL1762/(1-tech_proj!AL642))</f>
        <v>139.03651950582878</v>
      </c>
      <c r="AM1142" s="105">
        <f>IF(tech_base!$T238&gt;AM$905,"",AM2262+tech_proj!AM1762/(1-tech_proj!AM642))</f>
        <v>136.04308427414892</v>
      </c>
      <c r="AN1142" s="105">
        <f>IF(tech_base!$T238&gt;AN$905,"",AN2262+tech_proj!AN1762/(1-tech_proj!AN642))</f>
        <v>131.91808027061967</v>
      </c>
      <c r="AO1142" s="105">
        <f>IF(tech_base!$T238&gt;AO$905,"",AO2262+tech_proj!AO1762/(1-tech_proj!AO642))</f>
        <v>128.90013805928635</v>
      </c>
      <c r="AP1142" s="105">
        <f>IF(tech_base!$T238&gt;AP$905,"",AP2262+tech_proj!AP1762/(1-tech_proj!AP642))</f>
        <v>125.78069123996349</v>
      </c>
      <c r="AQ1142" s="105">
        <f>IF(tech_base!$T238&gt;AQ$905,"",AQ2262+tech_proj!AQ1762/(1-tech_proj!AQ642))</f>
        <v>122.53718592464175</v>
      </c>
      <c r="AR1142" s="105">
        <f>IF(tech_base!$T238&gt;AR$905,"",AR2262+tech_proj!AR1762/(1-tech_proj!AR642))</f>
        <v>119.14676310147645</v>
      </c>
      <c r="AS1142" s="105">
        <f>IF(tech_base!$T238&gt;AS$905,"",AS2262+tech_proj!AS1762/(1-tech_proj!AS642))</f>
        <v>115.5899925631438</v>
      </c>
      <c r="AT1142" s="105">
        <f>IF(tech_base!$T238&gt;AT$905,"",AT2262+tech_proj!AT1762/(1-tech_proj!AT642))</f>
        <v>112.14052687992461</v>
      </c>
      <c r="AU1142" s="105">
        <f>IF(tech_base!$T238&gt;AU$905,"",AU2262+tech_proj!AU1762/(1-tech_proj!AU642))</f>
        <v>108.51769517026564</v>
      </c>
      <c r="AV1142" s="105">
        <f>IF(tech_base!$T238&gt;AV$905,"",AV2262+tech_proj!AV1762/(1-tech_proj!AV642))</f>
        <v>104.75550180490859</v>
      </c>
      <c r="AW1142" s="105">
        <f>IF(tech_base!$T238&gt;AW$905,"",AW2262+tech_proj!AW1762/(1-tech_proj!AW642))</f>
        <v>100.92213623694332</v>
      </c>
      <c r="AX1142" s="106">
        <f>IF(tech_base!$T238&gt;AX$905,"",AX2262+tech_proj!AX1762/(1-tech_proj!AX642))</f>
        <v>97.118276277790031</v>
      </c>
    </row>
    <row r="1143" spans="1:50" x14ac:dyDescent="0.25">
      <c r="A1143" s="356"/>
      <c r="B1143" s="376"/>
      <c r="C1143" s="378"/>
      <c r="D1143" s="2" t="s">
        <v>10</v>
      </c>
      <c r="E1143" s="160" t="str">
        <f>A1139&amp;"/"&amp;B1142&amp;"/"&amp;C1142&amp;"/"&amp;D1143</f>
        <v>Fuel cells/Hydrogen fuel cell power plant/Electricity only/S</v>
      </c>
      <c r="F1143" s="76" t="str">
        <f>A1139</f>
        <v>Fuel cells</v>
      </c>
      <c r="G1143" s="76" t="str">
        <f>B1142</f>
        <v>Hydrogen fuel cell power plant</v>
      </c>
      <c r="H1143" s="76" t="str">
        <f>C1142</f>
        <v>Electricity only</v>
      </c>
      <c r="I1143" s="161" t="str">
        <f t="shared" si="370"/>
        <v>S</v>
      </c>
      <c r="J1143" s="105" t="str">
        <f>IF(tech_base!$T239&gt;J$905,"",J2263+tech_proj!J1763/(1-tech_proj!J643))</f>
        <v/>
      </c>
      <c r="K1143" s="105" t="str">
        <f>IF(tech_base!$T239&gt;K$905,"",K2263+tech_proj!K1763/(1-tech_proj!K643))</f>
        <v/>
      </c>
      <c r="L1143" s="105" t="str">
        <f>IF(tech_base!$T239&gt;L$905,"",L2263+tech_proj!L1763/(1-tech_proj!L643))</f>
        <v/>
      </c>
      <c r="M1143" s="105" t="str">
        <f>IF(tech_base!$T239&gt;M$905,"",M2263+tech_proj!M1763/(1-tech_proj!M643))</f>
        <v/>
      </c>
      <c r="N1143" s="105" t="str">
        <f>IF(tech_base!$T239&gt;N$905,"",N2263+tech_proj!N1763/(1-tech_proj!N643))</f>
        <v/>
      </c>
      <c r="O1143" s="105" t="str">
        <f>IF(tech_base!$T239&gt;O$905,"",O2263+tech_proj!O1763/(1-tech_proj!O643))</f>
        <v/>
      </c>
      <c r="P1143" s="105" t="str">
        <f>IF(tech_base!$T239&gt;P$905,"",P2263+tech_proj!P1763/(1-tech_proj!P643))</f>
        <v/>
      </c>
      <c r="Q1143" s="105" t="str">
        <f>IF(tech_base!$T239&gt;Q$905,"",Q2263+tech_proj!Q1763/(1-tech_proj!Q643))</f>
        <v/>
      </c>
      <c r="R1143" s="105" t="str">
        <f>IF(tech_base!$T239&gt;R$905,"",R2263+tech_proj!R1763/(1-tech_proj!R643))</f>
        <v/>
      </c>
      <c r="S1143" s="105" t="str">
        <f>IF(tech_base!$T239&gt;S$905,"",S2263+tech_proj!S1763/(1-tech_proj!S643))</f>
        <v/>
      </c>
      <c r="T1143" s="105" t="str">
        <f>IF(tech_base!$T239&gt;T$905,"",T2263+tech_proj!T1763/(1-tech_proj!T643))</f>
        <v/>
      </c>
      <c r="U1143" s="105" t="str">
        <f>IF(tech_base!$T239&gt;U$905,"",U2263+tech_proj!U1763/(1-tech_proj!U643))</f>
        <v/>
      </c>
      <c r="V1143" s="105" t="str">
        <f>IF(tech_base!$T239&gt;V$905,"",V2263+tech_proj!V1763/(1-tech_proj!V643))</f>
        <v/>
      </c>
      <c r="W1143" s="105" t="str">
        <f>IF(tech_base!$T239&gt;W$905,"",W2263+tech_proj!W1763/(1-tech_proj!W643))</f>
        <v/>
      </c>
      <c r="X1143" s="105" t="str">
        <f>IF(tech_base!$T239&gt;X$905,"",X2263+tech_proj!X1763/(1-tech_proj!X643))</f>
        <v/>
      </c>
      <c r="Y1143" s="105" t="str">
        <f>IF(tech_base!$T239&gt;Y$905,"",Y2263+tech_proj!Y1763/(1-tech_proj!Y643))</f>
        <v/>
      </c>
      <c r="Z1143" s="105" t="str">
        <f>IF(tech_base!$T239&gt;Z$905,"",Z2263+tech_proj!Z1763/(1-tech_proj!Z643))</f>
        <v/>
      </c>
      <c r="AA1143" s="105" t="str">
        <f>IF(tech_base!$T239&gt;AA$905,"",AA2263+tech_proj!AA1763/(1-tech_proj!AA643))</f>
        <v/>
      </c>
      <c r="AB1143" s="105" t="str">
        <f>IF(tech_base!$T239&gt;AB$905,"",AB2263+tech_proj!AB1763/(1-tech_proj!AB643))</f>
        <v/>
      </c>
      <c r="AC1143" s="105" t="str">
        <f>IF(tech_base!$T239&gt;AC$905,"",AC2263+tech_proj!AC1763/(1-tech_proj!AC643))</f>
        <v/>
      </c>
      <c r="AD1143" s="105" t="str">
        <f>IF(tech_base!$T239&gt;AD$905,"",AD2263+tech_proj!AD1763/(1-tech_proj!AD643))</f>
        <v/>
      </c>
      <c r="AE1143" s="105">
        <f>IF(tech_base!$T239&gt;AE$905,"",AE2263+tech_proj!AE1763/(1-tech_proj!AE643))</f>
        <v>169.87032450208122</v>
      </c>
      <c r="AF1143" s="105">
        <f>IF(tech_base!$T239&gt;AF$905,"",AF2263+tech_proj!AF1763/(1-tech_proj!AF643))</f>
        <v>166.33194610294547</v>
      </c>
      <c r="AG1143" s="105">
        <f>IF(tech_base!$T239&gt;AG$905,"",AG2263+tech_proj!AG1763/(1-tech_proj!AG643))</f>
        <v>162.79356770380971</v>
      </c>
      <c r="AH1143" s="105">
        <f>IF(tech_base!$T239&gt;AH$905,"",AH2263+tech_proj!AH1763/(1-tech_proj!AH643))</f>
        <v>159.25518930467399</v>
      </c>
      <c r="AI1143" s="105">
        <f>IF(tech_base!$T239&gt;AI$905,"",AI2263+tech_proj!AI1763/(1-tech_proj!AI643))</f>
        <v>155.71681090553824</v>
      </c>
      <c r="AJ1143" s="105">
        <f>IF(tech_base!$T239&gt;AJ$905,"",AJ2263+tech_proj!AJ1763/(1-tech_proj!AJ643))</f>
        <v>152.56765413030743</v>
      </c>
      <c r="AK1143" s="105">
        <f>IF(tech_base!$T239&gt;AK$905,"",AK2263+tech_proj!AK1763/(1-tech_proj!AK643))</f>
        <v>149.4184973550766</v>
      </c>
      <c r="AL1143" s="105">
        <f>IF(tech_base!$T239&gt;AL$905,"",AL2263+tech_proj!AL1763/(1-tech_proj!AL643))</f>
        <v>146.26934057984582</v>
      </c>
      <c r="AM1143" s="105">
        <f>IF(tech_base!$T239&gt;AM$905,"",AM2263+tech_proj!AM1763/(1-tech_proj!AM643))</f>
        <v>143.12018380461501</v>
      </c>
      <c r="AN1143" s="105">
        <f>IF(tech_base!$T239&gt;AN$905,"",AN2263+tech_proj!AN1763/(1-tech_proj!AN643))</f>
        <v>139.15897872079086</v>
      </c>
      <c r="AO1143" s="105">
        <f>IF(tech_base!$T239&gt;AO$905,"",AO2263+tech_proj!AO1763/(1-tech_proj!AO643))</f>
        <v>136.10029533576898</v>
      </c>
      <c r="AP1143" s="105">
        <f>IF(tech_base!$T239&gt;AP$905,"",AP2263+tech_proj!AP1763/(1-tech_proj!AP643))</f>
        <v>132.96659200770003</v>
      </c>
      <c r="AQ1143" s="105">
        <f>IF(tech_base!$T239&gt;AQ$905,"",AQ2263+tech_proj!AQ1763/(1-tech_proj!AQ643))</f>
        <v>129.73994881502887</v>
      </c>
      <c r="AR1143" s="105">
        <f>IF(tech_base!$T239&gt;AR$905,"",AR2263+tech_proj!AR1763/(1-tech_proj!AR643))</f>
        <v>126.40107637674306</v>
      </c>
      <c r="AS1143" s="105">
        <f>IF(tech_base!$T239&gt;AS$905,"",AS2263+tech_proj!AS1763/(1-tech_proj!AS643))</f>
        <v>122.9314253207458</v>
      </c>
      <c r="AT1143" s="105">
        <f>IF(tech_base!$T239&gt;AT$905,"",AT2263+tech_proj!AT1763/(1-tech_proj!AT643))</f>
        <v>119.61826983108696</v>
      </c>
      <c r="AU1143" s="105">
        <f>IF(tech_base!$T239&gt;AU$905,"",AU2263+tech_proj!AU1763/(1-tech_proj!AU643))</f>
        <v>116.15231843069918</v>
      </c>
      <c r="AV1143" s="105">
        <f>IF(tech_base!$T239&gt;AV$905,"",AV2263+tech_proj!AV1763/(1-tech_proj!AV643))</f>
        <v>112.54541914984992</v>
      </c>
      <c r="AW1143" s="105">
        <f>IF(tech_base!$T239&gt;AW$905,"",AW2263+tech_proj!AW1763/(1-tech_proj!AW643))</f>
        <v>108.83315465920194</v>
      </c>
      <c r="AX1143" s="106">
        <f>IF(tech_base!$T239&gt;AX$905,"",AX2263+tech_proj!AX1763/(1-tech_proj!AX643))</f>
        <v>105.07792912613834</v>
      </c>
    </row>
    <row r="1144" spans="1:50" x14ac:dyDescent="0.25">
      <c r="A1144" s="357"/>
      <c r="B1144" s="380"/>
      <c r="C1144" s="381"/>
      <c r="D1144" s="4" t="s">
        <v>20</v>
      </c>
      <c r="E1144" s="160" t="str">
        <f>A1139&amp;"/"&amp;B1142&amp;"/"&amp;C1142&amp;"/"&amp;D1144</f>
        <v>Fuel cells/Hydrogen fuel cell power plant/Electricity only/XS</v>
      </c>
      <c r="F1144" s="76" t="str">
        <f>A1139</f>
        <v>Fuel cells</v>
      </c>
      <c r="G1144" s="76" t="str">
        <f>B1142</f>
        <v>Hydrogen fuel cell power plant</v>
      </c>
      <c r="H1144" s="76" t="str">
        <f>C1142</f>
        <v>Electricity only</v>
      </c>
      <c r="I1144" s="161" t="str">
        <f t="shared" si="370"/>
        <v>XS</v>
      </c>
      <c r="J1144" s="105" t="str">
        <f>IF(tech_base!$T240&gt;J$905,"",J2264+tech_proj!J1764/(1-tech_proj!J644))</f>
        <v/>
      </c>
      <c r="K1144" s="105" t="str">
        <f>IF(tech_base!$T240&gt;K$905,"",K2264+tech_proj!K1764/(1-tech_proj!K644))</f>
        <v/>
      </c>
      <c r="L1144" s="105" t="str">
        <f>IF(tech_base!$T240&gt;L$905,"",L2264+tech_proj!L1764/(1-tech_proj!L644))</f>
        <v/>
      </c>
      <c r="M1144" s="105" t="str">
        <f>IF(tech_base!$T240&gt;M$905,"",M2264+tech_proj!M1764/(1-tech_proj!M644))</f>
        <v/>
      </c>
      <c r="N1144" s="105" t="str">
        <f>IF(tech_base!$T240&gt;N$905,"",N2264+tech_proj!N1764/(1-tech_proj!N644))</f>
        <v/>
      </c>
      <c r="O1144" s="105" t="str">
        <f>IF(tech_base!$T240&gt;O$905,"",O2264+tech_proj!O1764/(1-tech_proj!O644))</f>
        <v/>
      </c>
      <c r="P1144" s="105" t="str">
        <f>IF(tech_base!$T240&gt;P$905,"",P2264+tech_proj!P1764/(1-tech_proj!P644))</f>
        <v/>
      </c>
      <c r="Q1144" s="105" t="str">
        <f>IF(tech_base!$T240&gt;Q$905,"",Q2264+tech_proj!Q1764/(1-tech_proj!Q644))</f>
        <v/>
      </c>
      <c r="R1144" s="105" t="str">
        <f>IF(tech_base!$T240&gt;R$905,"",R2264+tech_proj!R1764/(1-tech_proj!R644))</f>
        <v/>
      </c>
      <c r="S1144" s="105" t="str">
        <f>IF(tech_base!$T240&gt;S$905,"",S2264+tech_proj!S1764/(1-tech_proj!S644))</f>
        <v/>
      </c>
      <c r="T1144" s="105" t="str">
        <f>IF(tech_base!$T240&gt;T$905,"",T2264+tech_proj!T1764/(1-tech_proj!T644))</f>
        <v/>
      </c>
      <c r="U1144" s="105" t="str">
        <f>IF(tech_base!$T240&gt;U$905,"",U2264+tech_proj!U1764/(1-tech_proj!U644))</f>
        <v/>
      </c>
      <c r="V1144" s="105" t="str">
        <f>IF(tech_base!$T240&gt;V$905,"",V2264+tech_proj!V1764/(1-tech_proj!V644))</f>
        <v/>
      </c>
      <c r="W1144" s="105" t="str">
        <f>IF(tech_base!$T240&gt;W$905,"",W2264+tech_proj!W1764/(1-tech_proj!W644))</f>
        <v/>
      </c>
      <c r="X1144" s="105" t="str">
        <f>IF(tech_base!$T240&gt;X$905,"",X2264+tech_proj!X1764/(1-tech_proj!X644))</f>
        <v/>
      </c>
      <c r="Y1144" s="105" t="str">
        <f>IF(tech_base!$T240&gt;Y$905,"",Y2264+tech_proj!Y1764/(1-tech_proj!Y644))</f>
        <v/>
      </c>
      <c r="Z1144" s="105" t="str">
        <f>IF(tech_base!$T240&gt;Z$905,"",Z2264+tech_proj!Z1764/(1-tech_proj!Z644))</f>
        <v/>
      </c>
      <c r="AA1144" s="105" t="str">
        <f>IF(tech_base!$T240&gt;AA$905,"",AA2264+tech_proj!AA1764/(1-tech_proj!AA644))</f>
        <v/>
      </c>
      <c r="AB1144" s="105">
        <f>IF(tech_base!$T240&gt;AB$905,"",AB2264+tech_proj!AB1764/(1-tech_proj!AB644))</f>
        <v>190.81375853846302</v>
      </c>
      <c r="AC1144" s="105">
        <f>IF(tech_base!$T240&gt;AC$905,"",AC2264+tech_proj!AC1764/(1-tech_proj!AC644))</f>
        <v>186.63081336752617</v>
      </c>
      <c r="AD1144" s="105">
        <f>IF(tech_base!$T240&gt;AD$905,"",AD2264+tech_proj!AD1764/(1-tech_proj!AD644))</f>
        <v>182.44786819658927</v>
      </c>
      <c r="AE1144" s="105">
        <f>IF(tech_base!$T240&gt;AE$905,"",AE2264+tech_proj!AE1764/(1-tech_proj!AE644))</f>
        <v>178.72504699445545</v>
      </c>
      <c r="AF1144" s="105">
        <f>IF(tech_base!$T240&gt;AF$905,"",AF2264+tech_proj!AF1764/(1-tech_proj!AF644))</f>
        <v>175.00222579232164</v>
      </c>
      <c r="AG1144" s="105">
        <f>IF(tech_base!$T240&gt;AG$905,"",AG2264+tech_proj!AG1764/(1-tech_proj!AG644))</f>
        <v>171.2794045901878</v>
      </c>
      <c r="AH1144" s="105">
        <f>IF(tech_base!$T240&gt;AH$905,"",AH2264+tech_proj!AH1764/(1-tech_proj!AH644))</f>
        <v>167.55658338805398</v>
      </c>
      <c r="AI1144" s="105">
        <f>IF(tech_base!$T240&gt;AI$905,"",AI2264+tech_proj!AI1764/(1-tech_proj!AI644))</f>
        <v>163.83376218592016</v>
      </c>
      <c r="AJ1144" s="105">
        <f>IF(tech_base!$T240&gt;AJ$905,"",AJ2264+tech_proj!AJ1764/(1-tech_proj!AJ644))</f>
        <v>160.52045131602105</v>
      </c>
      <c r="AK1144" s="105">
        <f>IF(tech_base!$T240&gt;AK$905,"",AK2264+tech_proj!AK1764/(1-tech_proj!AK644))</f>
        <v>157.20714044612188</v>
      </c>
      <c r="AL1144" s="105">
        <f>IF(tech_base!$T240&gt;AL$905,"",AL2264+tech_proj!AL1764/(1-tech_proj!AL644))</f>
        <v>153.89382957622283</v>
      </c>
      <c r="AM1144" s="105">
        <f>IF(tech_base!$T240&gt;AM$905,"",AM2264+tech_proj!AM1764/(1-tech_proj!AM644))</f>
        <v>150.58051870632372</v>
      </c>
      <c r="AN1144" s="105">
        <f>IF(tech_base!$T240&gt;AN$905,"",AN2264+tech_proj!AN1764/(1-tech_proj!AN644))</f>
        <v>146.52016846233226</v>
      </c>
      <c r="AO1144" s="105">
        <f>IF(tech_base!$T240&gt;AO$905,"",AO2264+tech_proj!AO1764/(1-tech_proj!AO644))</f>
        <v>143.33611213340154</v>
      </c>
      <c r="AP1144" s="105">
        <f>IF(tech_base!$T240&gt;AP$905,"",AP2264+tech_proj!AP1764/(1-tech_proj!AP644))</f>
        <v>140.08328500140482</v>
      </c>
      <c r="AQ1144" s="105">
        <f>IF(tech_base!$T240&gt;AQ$905,"",AQ2264+tech_proj!AQ1764/(1-tech_proj!AQ644))</f>
        <v>136.74538777880883</v>
      </c>
      <c r="AR1144" s="105">
        <f>IF(tech_base!$T240&gt;AR$905,"",AR2264+tech_proj!AR1764/(1-tech_proj!AR644))</f>
        <v>133.30497643606597</v>
      </c>
      <c r="AS1144" s="105">
        <f>IF(tech_base!$T240&gt;AS$905,"",AS2264+tech_proj!AS1764/(1-tech_proj!AS644))</f>
        <v>129.74545088170495</v>
      </c>
      <c r="AT1144" s="105">
        <f>IF(tech_base!$T240&gt;AT$905,"",AT2264+tech_proj!AT1764/(1-tech_proj!AT644))</f>
        <v>126.37254233401107</v>
      </c>
      <c r="AU1144" s="105">
        <f>IF(tech_base!$T240&gt;AU$905,"",AU2264+tech_proj!AU1764/(1-tech_proj!AU644))</f>
        <v>122.86186083385176</v>
      </c>
      <c r="AV1144" s="105">
        <f>IF(tech_base!$T240&gt;AV$905,"",AV2264+tech_proj!AV1764/(1-tech_proj!AV644))</f>
        <v>119.22533636552016</v>
      </c>
      <c r="AW1144" s="105">
        <f>IF(tech_base!$T240&gt;AW$905,"",AW2264+tech_proj!AW1764/(1-tech_proj!AW644))</f>
        <v>115.49659239806026</v>
      </c>
      <c r="AX1144" s="106">
        <f>IF(tech_base!$T240&gt;AX$905,"",AX2264+tech_proj!AX1764/(1-tech_proj!AX644))</f>
        <v>111.73331448319898</v>
      </c>
    </row>
    <row r="1145" spans="1:50" x14ac:dyDescent="0.25">
      <c r="A1145" s="355" t="s">
        <v>34</v>
      </c>
      <c r="B1145" s="358" t="s">
        <v>35</v>
      </c>
      <c r="C1145" s="353" t="s">
        <v>6</v>
      </c>
      <c r="D1145" s="3" t="s">
        <v>7</v>
      </c>
      <c r="E1145" s="162" t="str">
        <f>A1145&amp;"/"&amp;B1145&amp;"/"&amp;C1145&amp;"/"&amp;D1145</f>
        <v>Wind power plants/Onshore/Electricity only/L</v>
      </c>
      <c r="F1145" s="77" t="str">
        <f>A1145</f>
        <v>Wind power plants</v>
      </c>
      <c r="G1145" s="77" t="str">
        <f>B1145</f>
        <v>Onshore</v>
      </c>
      <c r="H1145" s="77" t="str">
        <f>C1145</f>
        <v>Electricity only</v>
      </c>
      <c r="I1145" s="163" t="str">
        <f t="shared" si="370"/>
        <v>L</v>
      </c>
      <c r="J1145" s="107">
        <f>IF(tech_base!$T241&gt;J$905,"",J2265+tech_proj!J1765/(1-tech_proj!J645))</f>
        <v>0.56975381008206327</v>
      </c>
      <c r="K1145" s="107">
        <f>IF(tech_base!$T241&gt;K$905,"",K2265+tech_proj!K1765/(1-tech_proj!K645))</f>
        <v>0.54206799531066818</v>
      </c>
      <c r="L1145" s="107">
        <f>IF(tech_base!$T241&gt;L$905,"",L2265+tech_proj!L1765/(1-tech_proj!L645))</f>
        <v>0.52389917936694019</v>
      </c>
      <c r="M1145" s="107">
        <f>IF(tech_base!$T241&gt;M$905,"",M2265+tech_proj!M1765/(1-tech_proj!M645))</f>
        <v>0.51221922626025795</v>
      </c>
      <c r="N1145" s="107">
        <f>IF(tech_base!$T241&gt;N$905,"",N2265+tech_proj!N1765/(1-tech_proj!N645))</f>
        <v>0.50554466588511138</v>
      </c>
      <c r="O1145" s="107">
        <f>IF(tech_base!$T241&gt;O$905,"",O2265+tech_proj!O1765/(1-tech_proj!O645))</f>
        <v>0.5005392731535756</v>
      </c>
      <c r="P1145" s="107">
        <f>IF(tech_base!$T241&gt;P$905,"",P2265+tech_proj!P1765/(1-tech_proj!P645))</f>
        <v>0.49247796638956781</v>
      </c>
      <c r="Q1145" s="107">
        <f>IF(tech_base!$T241&gt;Q$905,"",Q2265+tech_proj!Q1765/(1-tech_proj!Q645))</f>
        <v>0.4871877338256877</v>
      </c>
      <c r="R1145" s="107">
        <f>IF(tech_base!$T241&gt;R$905,"",R2265+tech_proj!R1765/(1-tech_proj!R645))</f>
        <v>0.4837868700346219</v>
      </c>
      <c r="S1145" s="107">
        <f>IF(tech_base!$T241&gt;S$905,"",S2265+tech_proj!S1765/(1-tech_proj!S645))</f>
        <v>0.48123622219132262</v>
      </c>
      <c r="T1145" s="107">
        <f>IF(tech_base!$T241&gt;T$905,"",T2265+tech_proj!T1765/(1-tech_proj!T645))</f>
        <v>0.48038600624355615</v>
      </c>
      <c r="U1145" s="107">
        <f>IF(tech_base!$T241&gt;U$905,"",U2265+tech_proj!U1765/(1-tech_proj!U645))</f>
        <v>0.47616433129437591</v>
      </c>
      <c r="V1145" s="107">
        <f>IF(tech_base!$T241&gt;V$905,"",V2265+tech_proj!V1765/(1-tech_proj!V645))</f>
        <v>0.47186401676965617</v>
      </c>
      <c r="W1145" s="107">
        <f>IF(tech_base!$T241&gt;W$905,"",W2265+tech_proj!W1765/(1-tech_proj!W645))</f>
        <v>0.46748934726705527</v>
      </c>
      <c r="X1145" s="107">
        <f>IF(tech_base!$T241&gt;X$905,"",X2265+tech_proj!X1765/(1-tech_proj!X645))</f>
        <v>0.46304506339277107</v>
      </c>
      <c r="Y1145" s="107">
        <f>IF(tech_base!$T241&gt;Y$905,"",Y2265+tech_proj!Y1765/(1-tech_proj!Y645))</f>
        <v>0.45853636002782461</v>
      </c>
      <c r="Z1145" s="107">
        <f>IF(tech_base!$T241&gt;Z$905,"",Z2265+tech_proj!Z1765/(1-tech_proj!Z645))</f>
        <v>0.45396888043521377</v>
      </c>
      <c r="AA1145" s="107">
        <f>IF(tech_base!$T241&gt;AA$905,"",AA2265+tech_proj!AA1765/(1-tech_proj!AA645))</f>
        <v>0.44934870592810067</v>
      </c>
      <c r="AB1145" s="107">
        <f>IF(tech_base!$T241&gt;AB$905,"",AB2265+tech_proj!AB1765/(1-tech_proj!AB645))</f>
        <v>0.44468234086401204</v>
      </c>
      <c r="AC1145" s="107">
        <f>IF(tech_base!$T241&gt;AC$905,"",AC2265+tech_proj!AC1765/(1-tech_proj!AC645))</f>
        <v>0.43997669278462703</v>
      </c>
      <c r="AD1145" s="107">
        <f>IF(tech_base!$T241&gt;AD$905,"",AD2265+tech_proj!AD1765/(1-tech_proj!AD645))</f>
        <v>0.43523904758490495</v>
      </c>
      <c r="AE1145" s="107">
        <f>IF(tech_base!$T241&gt;AE$905,"",AE2265+tech_proj!AE1765/(1-tech_proj!AE645))</f>
        <v>0.43047703966850964</v>
      </c>
      <c r="AF1145" s="107">
        <f>IF(tech_base!$T241&gt;AF$905,"",AF2265+tech_proj!AF1765/(1-tech_proj!AF645))</f>
        <v>0.42569861712784046</v>
      </c>
      <c r="AG1145" s="107">
        <f>IF(tech_base!$T241&gt;AG$905,"",AG2265+tech_proj!AG1765/(1-tech_proj!AG645))</f>
        <v>0.42091200207519081</v>
      </c>
      <c r="AH1145" s="107">
        <f>IF(tech_base!$T241&gt;AH$905,"",AH2265+tech_proj!AH1765/(1-tech_proj!AH645))</f>
        <v>0.41612564634501142</v>
      </c>
      <c r="AI1145" s="107">
        <f>IF(tech_base!$T241&gt;AI$905,"",AI2265+tech_proj!AI1765/(1-tech_proj!AI645))</f>
        <v>0.41134818288393898</v>
      </c>
      <c r="AJ1145" s="107">
        <f>IF(tech_base!$T241&gt;AJ$905,"",AJ2265+tech_proj!AJ1765/(1-tech_proj!AJ645))</f>
        <v>0.40658837324285474</v>
      </c>
      <c r="AK1145" s="107">
        <f>IF(tech_base!$T241&gt;AK$905,"",AK2265+tech_proj!AK1765/(1-tech_proj!AK645))</f>
        <v>0.40185505168116548</v>
      </c>
      <c r="AL1145" s="107">
        <f>IF(tech_base!$T241&gt;AL$905,"",AL2265+tech_proj!AL1765/(1-tech_proj!AL645))</f>
        <v>0.39715706648495708</v>
      </c>
      <c r="AM1145" s="107">
        <f>IF(tech_base!$T241&gt;AM$905,"",AM2265+tech_proj!AM1765/(1-tech_proj!AM645))</f>
        <v>0.39250321918475989</v>
      </c>
      <c r="AN1145" s="107">
        <f>IF(tech_base!$T241&gt;AN$905,"",AN2265+tech_proj!AN1765/(1-tech_proj!AN645))</f>
        <v>0.38790220243247298</v>
      </c>
      <c r="AO1145" s="107">
        <f>IF(tech_base!$T241&gt;AO$905,"",AO2265+tech_proj!AO1765/(1-tech_proj!AO645))</f>
        <v>0.38336253735771636</v>
      </c>
      <c r="AP1145" s="107">
        <f>IF(tech_base!$T241&gt;AP$905,"",AP2265+tech_proj!AP1765/(1-tech_proj!AP645))</f>
        <v>0.37889251126896217</v>
      </c>
      <c r="AQ1145" s="107">
        <f>IF(tech_base!$T241&gt;AQ$905,"",AQ2265+tech_proj!AQ1765/(1-tech_proj!AQ645))</f>
        <v>0.37450011659199728</v>
      </c>
      <c r="AR1145" s="107">
        <f>IF(tech_base!$T241&gt;AR$905,"",AR2265+tech_proj!AR1765/(1-tech_proj!AR645))</f>
        <v>0.37019299194587751</v>
      </c>
      <c r="AS1145" s="107">
        <f>IF(tech_base!$T241&gt;AS$905,"",AS2265+tech_proj!AS1765/(1-tech_proj!AS645))</f>
        <v>0.365978366243354</v>
      </c>
      <c r="AT1145" s="107">
        <f>IF(tech_base!$T241&gt;AT$905,"",AT2265+tech_proj!AT1765/(1-tech_proj!AT645))</f>
        <v>0.36186300666828852</v>
      </c>
      <c r="AU1145" s="107">
        <f>IF(tech_base!$T241&gt;AU$905,"",AU2265+tech_proj!AU1765/(1-tech_proj!AU645))</f>
        <v>0.35785317132702626</v>
      </c>
      <c r="AV1145" s="107">
        <f>IF(tech_base!$T241&gt;AV$905,"",AV2265+tech_proj!AV1765/(1-tech_proj!AV645))</f>
        <v>0.35395456729500985</v>
      </c>
      <c r="AW1145" s="107">
        <f>IF(tech_base!$T241&gt;AW$905,"",AW2265+tech_proj!AW1765/(1-tech_proj!AW645))</f>
        <v>0.35017231468577931</v>
      </c>
      <c r="AX1145" s="108">
        <f>IF(tech_base!$T241&gt;AX$905,"",AX2265+tech_proj!AX1765/(1-tech_proj!AX645))</f>
        <v>0.34651091725928107</v>
      </c>
    </row>
    <row r="1146" spans="1:50" x14ac:dyDescent="0.25">
      <c r="A1146" s="356"/>
      <c r="B1146" s="376"/>
      <c r="C1146" s="378"/>
      <c r="D1146" s="2" t="s">
        <v>8</v>
      </c>
      <c r="E1146" s="160" t="str">
        <f>A1145&amp;"/"&amp;B1145&amp;"/"&amp;C1145&amp;"/"&amp;D1146</f>
        <v>Wind power plants/Onshore/Electricity only/M</v>
      </c>
      <c r="F1146" s="76" t="str">
        <f>A1145</f>
        <v>Wind power plants</v>
      </c>
      <c r="G1146" s="76" t="str">
        <f>B1145</f>
        <v>Onshore</v>
      </c>
      <c r="H1146" s="76" t="str">
        <f>C1145</f>
        <v>Electricity only</v>
      </c>
      <c r="I1146" s="161" t="str">
        <f t="shared" si="370"/>
        <v>M</v>
      </c>
      <c r="J1146" s="105">
        <f>IF(tech_base!$T242&gt;J$905,"",J2266+tech_proj!J1766/(1-tech_proj!J646))</f>
        <v>0.59518441698980962</v>
      </c>
      <c r="K1146" s="105">
        <f>IF(tech_base!$T242&gt;K$905,"",K2266+tech_proj!K1766/(1-tech_proj!K646))</f>
        <v>0.58055189827757236</v>
      </c>
      <c r="L1146" s="105">
        <f>IF(tech_base!$T242&gt;L$905,"",L2266+tech_proj!L1766/(1-tech_proj!L646))</f>
        <v>0.57030901456398231</v>
      </c>
      <c r="M1146" s="105">
        <f>IF(tech_base!$T242&gt;M$905,"",M2266+tech_proj!M1766/(1-tech_proj!M646))</f>
        <v>0.56284372933199567</v>
      </c>
      <c r="N1146" s="105">
        <f>IF(tech_base!$T242&gt;N$905,"",N2266+tech_proj!N1766/(1-tech_proj!N646))</f>
        <v>0.55517210749391288</v>
      </c>
      <c r="O1146" s="105">
        <f>IF(tech_base!$T242&gt;O$905,"",O2266+tech_proj!O1766/(1-tech_proj!O646))</f>
        <v>0.54423302371719728</v>
      </c>
      <c r="P1146" s="105">
        <f>IF(tech_base!$T242&gt;P$905,"",P2266+tech_proj!P1766/(1-tech_proj!P646))</f>
        <v>0.53419597623468285</v>
      </c>
      <c r="Q1146" s="105">
        <f>IF(tech_base!$T242&gt;Q$905,"",Q2266+tech_proj!Q1766/(1-tech_proj!Q646))</f>
        <v>0.52775553743340275</v>
      </c>
      <c r="R1146" s="105">
        <f>IF(tech_base!$T242&gt;R$905,"",R2266+tech_proj!R1766/(1-tech_proj!R646))</f>
        <v>0.5210428003708697</v>
      </c>
      <c r="S1146" s="105">
        <f>IF(tech_base!$T242&gt;S$905,"",S2266+tech_proj!S1766/(1-tech_proj!S646))</f>
        <v>0.51588396076323728</v>
      </c>
      <c r="T1146" s="105">
        <f>IF(tech_base!$T242&gt;T$905,"",T2266+tech_proj!T1766/(1-tech_proj!T646))</f>
        <v>0.51077619877548242</v>
      </c>
      <c r="U1146" s="105">
        <f>IF(tech_base!$T242&gt;U$905,"",U2266+tech_proj!U1766/(1-tech_proj!U646))</f>
        <v>0.50683325499767995</v>
      </c>
      <c r="V1146" s="105">
        <f>IF(tech_base!$T242&gt;V$905,"",V2266+tech_proj!V1766/(1-tech_proj!V646))</f>
        <v>0.502785254584876</v>
      </c>
      <c r="W1146" s="105">
        <f>IF(tech_base!$T242&gt;W$905,"",W2266+tech_proj!W1766/(1-tech_proj!W646))</f>
        <v>0.49863659040222702</v>
      </c>
      <c r="X1146" s="105">
        <f>IF(tech_base!$T242&gt;X$905,"",X2266+tech_proj!X1766/(1-tech_proj!X646))</f>
        <v>0.49439241521776411</v>
      </c>
      <c r="Y1146" s="105">
        <f>IF(tech_base!$T242&gt;Y$905,"",Y2266+tech_proj!Y1766/(1-tech_proj!Y646))</f>
        <v>0.49005865651565328</v>
      </c>
      <c r="Z1146" s="105">
        <f>IF(tech_base!$T242&gt;Z$905,"",Z2266+tech_proj!Z1766/(1-tech_proj!Z646))</f>
        <v>0.48564202301157394</v>
      </c>
      <c r="AA1146" s="105">
        <f>IF(tech_base!$T242&gt;AA$905,"",AA2266+tech_proj!AA1766/(1-tech_proj!AA646))</f>
        <v>0.48115000184645323</v>
      </c>
      <c r="AB1146" s="105">
        <f>IF(tech_base!$T242&gt;AB$905,"",AB2266+tech_proj!AB1766/(1-tech_proj!AB646))</f>
        <v>0.47659084552009257</v>
      </c>
      <c r="AC1146" s="105">
        <f>IF(tech_base!$T242&gt;AC$905,"",AC2266+tech_proj!AC1766/(1-tech_proj!AC646))</f>
        <v>0.47197354775120809</v>
      </c>
      <c r="AD1146" s="105">
        <f>IF(tech_base!$T242&gt;AD$905,"",AD2266+tech_proj!AD1766/(1-tech_proj!AD646))</f>
        <v>0.46730780761672236</v>
      </c>
      <c r="AE1146" s="105">
        <f>IF(tech_base!$T242&gt;AE$905,"",AE2266+tech_proj!AE1766/(1-tech_proj!AE646))</f>
        <v>0.46260398153087384</v>
      </c>
      <c r="AF1146" s="105">
        <f>IF(tech_base!$T242&gt;AF$905,"",AF2266+tech_proj!AF1766/(1-tech_proj!AF646))</f>
        <v>0.45787302287208109</v>
      </c>
      <c r="AG1146" s="105">
        <f>IF(tech_base!$T242&gt;AG$905,"",AG2266+tech_proj!AG1766/(1-tech_proj!AG646))</f>
        <v>0.45312640934864801</v>
      </c>
      <c r="AH1146" s="105">
        <f>IF(tech_base!$T242&gt;AH$905,"",AH2266+tech_proj!AH1766/(1-tech_proj!AH646))</f>
        <v>0.44837605850720946</v>
      </c>
      <c r="AI1146" s="105">
        <f>IF(tech_base!$T242&gt;AI$905,"",AI2266+tech_proj!AI1766/(1-tech_proj!AI646))</f>
        <v>0.4436342321219226</v>
      </c>
      <c r="AJ1146" s="105">
        <f>IF(tech_base!$T242&gt;AJ$905,"",AJ2266+tech_proj!AJ1766/(1-tech_proj!AJ646))</f>
        <v>0.43891343054727228</v>
      </c>
      <c r="AK1146" s="105">
        <f>IF(tech_base!$T242&gt;AK$905,"",AK2266+tech_proj!AK1766/(1-tech_proj!AK646))</f>
        <v>0.43422627846055767</v>
      </c>
      <c r="AL1146" s="105">
        <f>IF(tech_base!$T242&gt;AL$905,"",AL2266+tech_proj!AL1766/(1-tech_proj!AL646))</f>
        <v>0.42958540374780962</v>
      </c>
      <c r="AM1146" s="105">
        <f>IF(tech_base!$T242&gt;AM$905,"",AM2266+tech_proj!AM1766/(1-tech_proj!AM646))</f>
        <v>0.4250033115843545</v>
      </c>
      <c r="AN1146" s="105">
        <f>IF(tech_base!$T242&gt;AN$905,"",AN2266+tech_proj!AN1766/(1-tech_proj!AN646))</f>
        <v>0.42049225601369994</v>
      </c>
      <c r="AO1146" s="105">
        <f>IF(tech_base!$T242&gt;AO$905,"",AO2266+tech_proj!AO1766/(1-tech_proj!AO646))</f>
        <v>0.41606411152183703</v>
      </c>
      <c r="AP1146" s="105">
        <f>IF(tech_base!$T242&gt;AP$905,"",AP2266+tech_proj!AP1766/(1-tech_proj!AP646))</f>
        <v>0.41173024722603774</v>
      </c>
      <c r="AQ1146" s="105">
        <f>IF(tech_base!$T242&gt;AQ$905,"",AQ2266+tech_proj!AQ1766/(1-tech_proj!AQ646))</f>
        <v>0.4075014063379292</v>
      </c>
      <c r="AR1146" s="105">
        <f>IF(tech_base!$T242&gt;AR$905,"",AR2266+tech_proj!AR1766/(1-tech_proj!AR646))</f>
        <v>0.40338759351350562</v>
      </c>
      <c r="AS1146" s="105">
        <f>IF(tech_base!$T242&gt;AS$905,"",AS2266+tech_proj!AS1766/(1-tech_proj!AS646))</f>
        <v>0.39939797256524473</v>
      </c>
      <c r="AT1146" s="105">
        <f>IF(tech_base!$T242&gt;AT$905,"",AT2266+tech_proj!AT1766/(1-tech_proj!AT646))</f>
        <v>0.39554077678544591</v>
      </c>
      <c r="AU1146" s="105">
        <f>IF(tech_base!$T242&gt;AU$905,"",AU2266+tech_proj!AU1766/(1-tech_proj!AU646))</f>
        <v>0.39182323382164869</v>
      </c>
      <c r="AV1146" s="105">
        <f>IF(tech_base!$T242&gt;AV$905,"",AV2266+tech_proj!AV1766/(1-tech_proj!AV646))</f>
        <v>0.38825150666523467</v>
      </c>
      <c r="AW1146" s="105">
        <f>IF(tech_base!$T242&gt;AW$905,"",AW2266+tech_proj!AW1766/(1-tech_proj!AW646))</f>
        <v>0.38483065187765636</v>
      </c>
      <c r="AX1146" s="106">
        <f>IF(tech_base!$T242&gt;AX$905,"",AX2266+tech_proj!AX1766/(1-tech_proj!AX646))</f>
        <v>0.38156459570290552</v>
      </c>
    </row>
    <row r="1147" spans="1:50" x14ac:dyDescent="0.25">
      <c r="A1147" s="356"/>
      <c r="B1147" s="376"/>
      <c r="C1147" s="378"/>
      <c r="D1147" s="2" t="s">
        <v>10</v>
      </c>
      <c r="E1147" s="160" t="str">
        <f>A1145&amp;"/"&amp;B1145&amp;"/"&amp;C1145&amp;"/"&amp;D1147</f>
        <v>Wind power plants/Onshore/Electricity only/S</v>
      </c>
      <c r="F1147" s="76" t="str">
        <f>A1145</f>
        <v>Wind power plants</v>
      </c>
      <c r="G1147" s="76" t="str">
        <f>B1145</f>
        <v>Onshore</v>
      </c>
      <c r="H1147" s="76" t="str">
        <f>C1145</f>
        <v>Electricity only</v>
      </c>
      <c r="I1147" s="161" t="str">
        <f t="shared" si="370"/>
        <v>S</v>
      </c>
      <c r="J1147" s="105">
        <f>IF(tech_base!$T243&gt;J$905,"",J2267+tech_proj!J1767/(1-tech_proj!J647))</f>
        <v>0.59770105300245158</v>
      </c>
      <c r="K1147" s="105">
        <f>IF(tech_base!$T243&gt;K$905,"",K2267+tech_proj!K1767/(1-tech_proj!K647))</f>
        <v>0.58836190294593227</v>
      </c>
      <c r="L1147" s="105">
        <f>IF(tech_base!$T243&gt;L$905,"",L2267+tech_proj!L1767/(1-tech_proj!L647))</f>
        <v>0.58253653757022983</v>
      </c>
      <c r="M1147" s="105">
        <f>IF(tech_base!$T243&gt;M$905,"",M2267+tech_proj!M1767/(1-tech_proj!M647))</f>
        <v>0.57676884907943549</v>
      </c>
      <c r="N1147" s="105">
        <f>IF(tech_base!$T243&gt;N$905,"",N2267+tech_proj!N1767/(1-tech_proj!N647))</f>
        <v>0.57105826641528268</v>
      </c>
      <c r="O1147" s="105">
        <f>IF(tech_base!$T243&gt;O$905,"",O2267+tech_proj!O1767/(1-tech_proj!O647))</f>
        <v>0.56540422417354719</v>
      </c>
      <c r="P1147" s="105">
        <f>IF(tech_base!$T243&gt;P$905,"",P2267+tech_proj!P1767/(1-tech_proj!P647))</f>
        <v>0.55627916403276223</v>
      </c>
      <c r="Q1147" s="105">
        <f>IF(tech_base!$T243&gt;Q$905,"",Q2267+tech_proj!Q1767/(1-tech_proj!Q647))</f>
        <v>0.54761035689901638</v>
      </c>
      <c r="R1147" s="105">
        <f>IF(tech_base!$T243&gt;R$905,"",R2267+tech_proj!R1767/(1-tech_proj!R647))</f>
        <v>0.53951947024085367</v>
      </c>
      <c r="S1147" s="105">
        <f>IF(tech_base!$T243&gt;S$905,"",S2267+tech_proj!S1767/(1-tech_proj!S647))</f>
        <v>0.53265697165614556</v>
      </c>
      <c r="T1147" s="105">
        <f>IF(tech_base!$T243&gt;T$905,"",T2267+tech_proj!T1767/(1-tech_proj!T647))</f>
        <v>0.52738314025360933</v>
      </c>
      <c r="U1147" s="105">
        <f>IF(tech_base!$T243&gt;U$905,"",U2267+tech_proj!U1767/(1-tech_proj!U647))</f>
        <v>0.52349414492995927</v>
      </c>
      <c r="V1147" s="105">
        <f>IF(tech_base!$T243&gt;V$905,"",V2267+tech_proj!V1767/(1-tech_proj!V647))</f>
        <v>0.51946630998933085</v>
      </c>
      <c r="W1147" s="105">
        <f>IF(tech_base!$T243&gt;W$905,"",W2267+tech_proj!W1767/(1-tech_proj!W647))</f>
        <v>0.51530363134239798</v>
      </c>
      <c r="X1147" s="105">
        <f>IF(tech_base!$T243&gt;X$905,"",X2267+tech_proj!X1767/(1-tech_proj!X647))</f>
        <v>0.51101128811785257</v>
      </c>
      <c r="Y1147" s="105">
        <f>IF(tech_base!$T243&gt;Y$905,"",Y2267+tech_proj!Y1767/(1-tech_proj!Y647))</f>
        <v>0.5065956986466319</v>
      </c>
      <c r="Z1147" s="105">
        <f>IF(tech_base!$T243&gt;Z$905,"",Z2267+tech_proj!Z1767/(1-tech_proj!Z647))</f>
        <v>0.50206456240581443</v>
      </c>
      <c r="AA1147" s="105">
        <f>IF(tech_base!$T243&gt;AA$905,"",AA2267+tech_proj!AA1767/(1-tech_proj!AA647))</f>
        <v>0.49742688502826282</v>
      </c>
      <c r="AB1147" s="105">
        <f>IF(tech_base!$T243&gt;AB$905,"",AB2267+tech_proj!AB1767/(1-tech_proj!AB647))</f>
        <v>0.49269298355018148</v>
      </c>
      <c r="AC1147" s="105">
        <f>IF(tech_base!$T243&gt;AC$905,"",AC2267+tech_proj!AC1767/(1-tech_proj!AC647))</f>
        <v>0.48787446925807476</v>
      </c>
      <c r="AD1147" s="105">
        <f>IF(tech_base!$T243&gt;AD$905,"",AD2267+tech_proj!AD1767/(1-tech_proj!AD647))</f>
        <v>0.48298420582385898</v>
      </c>
      <c r="AE1147" s="105">
        <f>IF(tech_base!$T243&gt;AE$905,"",AE2267+tech_proj!AE1767/(1-tech_proj!AE647))</f>
        <v>0.47803624089167907</v>
      </c>
      <c r="AF1147" s="105">
        <f>IF(tech_base!$T243&gt;AF$905,"",AF2267+tech_proj!AF1767/(1-tech_proj!AF647))</f>
        <v>0.47304570990482075</v>
      </c>
      <c r="AG1147" s="105">
        <f>IF(tech_base!$T243&gt;AG$905,"",AG2267+tech_proj!AG1767/(1-tech_proj!AG647))</f>
        <v>0.46802871172971927</v>
      </c>
      <c r="AH1147" s="105">
        <f>IF(tech_base!$T243&gt;AH$905,"",AH2267+tech_proj!AH1767/(1-tech_proj!AH647))</f>
        <v>0.46300215652995297</v>
      </c>
      <c r="AI1147" s="105">
        <f>IF(tech_base!$T243&gt;AI$905,"",AI2267+tech_proj!AI1767/(1-tech_proj!AI647))</f>
        <v>0.45798358733880423</v>
      </c>
      <c r="AJ1147" s="105">
        <f>IF(tech_base!$T243&gt;AJ$905,"",AJ2267+tech_proj!AJ1767/(1-tech_proj!AJ647))</f>
        <v>0.45299097783592579</v>
      </c>
      <c r="AK1147" s="105">
        <f>IF(tech_base!$T243&gt;AK$905,"",AK2267+tech_proj!AK1767/(1-tech_proj!AK647))</f>
        <v>0.44804250990330213</v>
      </c>
      <c r="AL1147" s="105">
        <f>IF(tech_base!$T243&gt;AL$905,"",AL2267+tech_proj!AL1767/(1-tech_proj!AL647))</f>
        <v>0.44315633556144596</v>
      </c>
      <c r="AM1147" s="105">
        <f>IF(tech_base!$T243&gt;AM$905,"",AM2267+tech_proj!AM1767/(1-tech_proj!AM647))</f>
        <v>0.43835032880720737</v>
      </c>
      <c r="AN1147" s="105">
        <f>IF(tech_base!$T243&gt;AN$905,"",AN2267+tech_proj!AN1767/(1-tech_proj!AN647))</f>
        <v>0.43364183362757164</v>
      </c>
      <c r="AO1147" s="105">
        <f>IF(tech_base!$T243&gt;AO$905,"",AO2267+tech_proj!AO1767/(1-tech_proj!AO647))</f>
        <v>0.42904741499137372</v>
      </c>
      <c r="AP1147" s="105">
        <f>IF(tech_base!$T243&gt;AP$905,"",AP2267+tech_proj!AP1767/(1-tech_proj!AP647))</f>
        <v>0.42458261987419799</v>
      </c>
      <c r="AQ1147" s="105">
        <f>IF(tech_base!$T243&gt;AQ$905,"",AQ2267+tech_proj!AQ1767/(1-tech_proj!AQ647))</f>
        <v>0.42026175531622467</v>
      </c>
      <c r="AR1147" s="105">
        <f>IF(tech_base!$T243&gt;AR$905,"",AR2267+tech_proj!AR1767/(1-tech_proj!AR647))</f>
        <v>0.4160976901320475</v>
      </c>
      <c r="AS1147" s="105">
        <f>IF(tech_base!$T243&gt;AS$905,"",AS2267+tech_proj!AS1767/(1-tech_proj!AS647))</f>
        <v>0.41210168619018445</v>
      </c>
      <c r="AT1147" s="105">
        <f>IF(tech_base!$T243&gt;AT$905,"",AT2267+tech_proj!AT1767/(1-tech_proj!AT647))</f>
        <v>0.40828326418493699</v>
      </c>
      <c r="AU1147" s="105">
        <f>IF(tech_base!$T243&gt;AU$905,"",AU2267+tech_proj!AU1767/(1-tech_proj!AU647))</f>
        <v>0.40465010758237663</v>
      </c>
      <c r="AV1147" s="105">
        <f>IF(tech_base!$T243&gt;AV$905,"",AV2267+tech_proj!AV1767/(1-tech_proj!AV647))</f>
        <v>0.40120800700168896</v>
      </c>
      <c r="AW1147" s="105">
        <f>IF(tech_base!$T243&gt;AW$905,"",AW2267+tech_proj!AW1767/(1-tech_proj!AW647))</f>
        <v>0.39796084577239854</v>
      </c>
      <c r="AX1147" s="106">
        <f>IF(tech_base!$T243&gt;AX$905,"",AX2267+tech_proj!AX1767/(1-tech_proj!AX647))</f>
        <v>0.39491062587380549</v>
      </c>
    </row>
    <row r="1148" spans="1:50" x14ac:dyDescent="0.25">
      <c r="A1148" s="356"/>
      <c r="B1148" s="377"/>
      <c r="C1148" s="379"/>
      <c r="D1148" s="59" t="s">
        <v>20</v>
      </c>
      <c r="E1148" s="166" t="str">
        <f>A1145&amp;"/"&amp;B1145&amp;"/"&amp;C1145&amp;"/"&amp;D1148</f>
        <v>Wind power plants/Onshore/Electricity only/XS</v>
      </c>
      <c r="F1148" s="79" t="str">
        <f>A1145</f>
        <v>Wind power plants</v>
      </c>
      <c r="G1148" s="79" t="str">
        <f>B1145</f>
        <v>Onshore</v>
      </c>
      <c r="H1148" s="79" t="str">
        <f>C1145</f>
        <v>Electricity only</v>
      </c>
      <c r="I1148" s="167" t="str">
        <f t="shared" si="370"/>
        <v>XS</v>
      </c>
      <c r="J1148" s="111">
        <f>IF(tech_base!$T244&gt;J$905,"",J2268+tech_proj!J1768/(1-tech_proj!J648))</f>
        <v>0.59805058578198511</v>
      </c>
      <c r="K1148" s="111">
        <f>IF(tech_base!$T244&gt;K$905,"",K2268+tech_proj!K1768/(1-tech_proj!K648))</f>
        <v>0.59252024233164657</v>
      </c>
      <c r="L1148" s="111">
        <f>IF(tech_base!$T244&gt;L$905,"",L2268+tech_proj!L1768/(1-tech_proj!L648))</f>
        <v>0.58781770072583983</v>
      </c>
      <c r="M1148" s="111">
        <f>IF(tech_base!$T244&gt;M$905,"",M2268+tech_proj!M1768/(1-tech_proj!M648))</f>
        <v>0.58315248087880933</v>
      </c>
      <c r="N1148" s="111">
        <f>IF(tech_base!$T244&gt;N$905,"",N2268+tech_proj!N1768/(1-tech_proj!N648))</f>
        <v>0.57852428658612021</v>
      </c>
      <c r="O1148" s="111">
        <f>IF(tech_base!$T244&gt;O$905,"",O2268+tech_proj!O1768/(1-tech_proj!O648))</f>
        <v>0.5739328239941669</v>
      </c>
      <c r="P1148" s="111">
        <f>IF(tech_base!$T244&gt;P$905,"",P2268+tech_proj!P1768/(1-tech_proj!P648))</f>
        <v>0.56949097592746156</v>
      </c>
      <c r="Q1148" s="111">
        <f>IF(tech_base!$T244&gt;Q$905,"",Q2268+tech_proj!Q1768/(1-tech_proj!Q648))</f>
        <v>0.56385245141332818</v>
      </c>
      <c r="R1148" s="111">
        <f>IF(tech_base!$T244&gt;R$905,"",R2268+tech_proj!R1768/(1-tech_proj!R648))</f>
        <v>0.55826975387458233</v>
      </c>
      <c r="S1148" s="111">
        <f>IF(tech_base!$T244&gt;S$905,"",S2268+tech_proj!S1768/(1-tech_proj!S648))</f>
        <v>0.55274233056889355</v>
      </c>
      <c r="T1148" s="111">
        <f>IF(tech_base!$T244&gt;T$905,"",T2268+tech_proj!T1768/(1-tech_proj!T648))</f>
        <v>0.54726963422662722</v>
      </c>
      <c r="U1148" s="111">
        <f>IF(tech_base!$T244&gt;U$905,"",U2268+tech_proj!U1768/(1-tech_proj!U648))</f>
        <v>0.54447753501990404</v>
      </c>
      <c r="V1148" s="111">
        <f>IF(tech_base!$T244&gt;V$905,"",V2268+tech_proj!V1768/(1-tech_proj!V648))</f>
        <v>0.54158575608817072</v>
      </c>
      <c r="W1148" s="111">
        <f>IF(tech_base!$T244&gt;W$905,"",W2268+tech_proj!W1768/(1-tech_proj!W648))</f>
        <v>0.53859716629037291</v>
      </c>
      <c r="X1148" s="111">
        <f>IF(tech_base!$T244&gt;X$905,"",X2268+tech_proj!X1768/(1-tech_proj!X648))</f>
        <v>0.53551548397531468</v>
      </c>
      <c r="Y1148" s="111">
        <f>IF(tech_base!$T244&gt;Y$905,"",Y2268+tech_proj!Y1768/(1-tech_proj!Y648))</f>
        <v>0.53234531717546374</v>
      </c>
      <c r="Z1148" s="111">
        <f>IF(tech_base!$T244&gt;Z$905,"",Z2268+tech_proj!Z1768/(1-tech_proj!Z648))</f>
        <v>0.52909219372051797</v>
      </c>
      <c r="AA1148" s="111">
        <f>IF(tech_base!$T244&gt;AA$905,"",AA2268+tech_proj!AA1768/(1-tech_proj!AA648))</f>
        <v>0.52576257919304492</v>
      </c>
      <c r="AB1148" s="111">
        <f>IF(tech_base!$T244&gt;AB$905,"",AB2268+tech_proj!AB1768/(1-tech_proj!AB648))</f>
        <v>0.52236388069596085</v>
      </c>
      <c r="AC1148" s="111">
        <f>IF(tech_base!$T244&gt;AC$905,"",AC2268+tech_proj!AC1768/(1-tech_proj!AC648))</f>
        <v>0.51890443453752533</v>
      </c>
      <c r="AD1148" s="111">
        <f>IF(tech_base!$T244&gt;AD$905,"",AD2268+tech_proj!AD1768/(1-tech_proj!AD648))</f>
        <v>0.5153934761744986</v>
      </c>
      <c r="AE1148" s="111">
        <f>IF(tech_base!$T244&gt;AE$905,"",AE2268+tech_proj!AE1768/(1-tech_proj!AE648))</f>
        <v>0.51184109109498477</v>
      </c>
      <c r="AF1148" s="111">
        <f>IF(tech_base!$T244&gt;AF$905,"",AF2268+tech_proj!AF1768/(1-tech_proj!AF648))</f>
        <v>0.50825814577108663</v>
      </c>
      <c r="AG1148" s="111">
        <f>IF(tech_base!$T244&gt;AG$905,"",AG2268+tech_proj!AG1768/(1-tech_proj!AG648))</f>
        <v>0.50465619836332143</v>
      </c>
      <c r="AH1148" s="111">
        <f>IF(tech_base!$T244&gt;AH$905,"",AH2268+tech_proj!AH1768/(1-tech_proj!AH648))</f>
        <v>0.50104738950195082</v>
      </c>
      <c r="AI1148" s="111">
        <f>IF(tech_base!$T244&gt;AI$905,"",AI2268+tech_proj!AI1768/(1-tech_proj!AI648))</f>
        <v>0.49744431418522861</v>
      </c>
      <c r="AJ1148" s="111">
        <f>IF(tech_base!$T244&gt;AJ$905,"",AJ2268+tech_proj!AJ1768/(1-tech_proj!AJ648))</f>
        <v>0.49385987659341835</v>
      </c>
      <c r="AK1148" s="111">
        <f>IF(tech_base!$T244&gt;AK$905,"",AK2268+tech_proj!AK1768/(1-tech_proj!AK648))</f>
        <v>0.49030713038538093</v>
      </c>
      <c r="AL1148" s="111">
        <f>IF(tech_base!$T244&gt;AL$905,"",AL2268+tech_proj!AL1768/(1-tech_proj!AL648))</f>
        <v>0.48679910778097135</v>
      </c>
      <c r="AM1148" s="111">
        <f>IF(tech_base!$T244&gt;AM$905,"",AM2268+tech_proj!AM1768/(1-tech_proj!AM648))</f>
        <v>0.48334864139331291</v>
      </c>
      <c r="AN1148" s="111">
        <f>IF(tech_base!$T244&gt;AN$905,"",AN2268+tech_proj!AN1768/(1-tech_proj!AN648))</f>
        <v>0.47996818331562563</v>
      </c>
      <c r="AO1148" s="111">
        <f>IF(tech_base!$T244&gt;AO$905,"",AO2268+tech_proj!AO1768/(1-tech_proj!AO648))</f>
        <v>0.4766696263460477</v>
      </c>
      <c r="AP1148" s="111">
        <f>IF(tech_base!$T244&gt;AP$905,"",AP2268+tech_proj!AP1768/(1-tech_proj!AP648))</f>
        <v>0.47346413241576768</v>
      </c>
      <c r="AQ1148" s="111">
        <f>IF(tech_base!$T244&gt;AQ$905,"",AQ2268+tech_proj!AQ1768/(1-tech_proj!AQ648))</f>
        <v>0.4703619732459407</v>
      </c>
      <c r="AR1148" s="111">
        <f>IF(tech_base!$T244&gt;AR$905,"",AR2268+tech_proj!AR1768/(1-tech_proj!AR648))</f>
        <v>0.46737238798550579</v>
      </c>
      <c r="AS1148" s="111">
        <f>IF(tech_base!$T244&gt;AS$905,"",AS2268+tech_proj!AS1768/(1-tech_proj!AS648))</f>
        <v>0.46450346207852716</v>
      </c>
      <c r="AT1148" s="111">
        <f>IF(tech_base!$T244&gt;AT$905,"",AT2268+tech_proj!AT1768/(1-tech_proj!AT648))</f>
        <v>0.46176203089527257</v>
      </c>
      <c r="AU1148" s="111">
        <f>IF(tech_base!$T244&gt;AU$905,"",AU2268+tech_proj!AU1768/(1-tech_proj!AU648))</f>
        <v>0.45915361077035749</v>
      </c>
      <c r="AV1148" s="111">
        <f>IF(tech_base!$T244&gt;AV$905,"",AV2268+tech_proj!AV1768/(1-tech_proj!AV648))</f>
        <v>0.4566823590714022</v>
      </c>
      <c r="AW1148" s="111">
        <f>IF(tech_base!$T244&gt;AW$905,"",AW2268+tech_proj!AW1768/(1-tech_proj!AW648))</f>
        <v>0.45435106382986035</v>
      </c>
      <c r="AX1148" s="112">
        <f>IF(tech_base!$T244&gt;AX$905,"",AX2268+tech_proj!AX1768/(1-tech_proj!AX648))</f>
        <v>0.45216116236420378</v>
      </c>
    </row>
    <row r="1149" spans="1:50" x14ac:dyDescent="0.25">
      <c r="A1149" s="356"/>
      <c r="B1149" s="359" t="s">
        <v>36</v>
      </c>
      <c r="C1149" s="361" t="s">
        <v>6</v>
      </c>
      <c r="D1149" s="2" t="s">
        <v>7</v>
      </c>
      <c r="E1149" s="160" t="str">
        <f>A1145&amp;"/"&amp;B1149&amp;"/"&amp;C1149&amp;"/"&amp;D1149</f>
        <v>Wind power plants/Offshore/Electricity only/L</v>
      </c>
      <c r="F1149" s="76" t="str">
        <f>A1145</f>
        <v>Wind power plants</v>
      </c>
      <c r="G1149" s="76" t="str">
        <f>B1149</f>
        <v>Offshore</v>
      </c>
      <c r="H1149" s="76" t="str">
        <f>C1149</f>
        <v>Electricity only</v>
      </c>
      <c r="I1149" s="161" t="str">
        <f t="shared" si="370"/>
        <v>L</v>
      </c>
      <c r="J1149" s="105">
        <f>IF(tech_base!$T245&gt;J$905,"",J2269+tech_proj!J1769/(1-tech_proj!J649))</f>
        <v>1.4199296600234468</v>
      </c>
      <c r="K1149" s="105">
        <f>IF(tech_base!$T245&gt;K$905,"",K2269+tech_proj!K1769/(1-tech_proj!K649))</f>
        <v>1.3951169353294257</v>
      </c>
      <c r="L1149" s="105">
        <f>IF(tech_base!$T245&gt;L$905,"",L2269+tech_proj!L1769/(1-tech_proj!L649))</f>
        <v>1.3813038963657678</v>
      </c>
      <c r="M1149" s="105">
        <f>IF(tech_base!$T245&gt;M$905,"",M2269+tech_proj!M1769/(1-tech_proj!M649))</f>
        <v>1.3676276201641269</v>
      </c>
      <c r="N1149" s="105">
        <f>IF(tech_base!$T245&gt;N$905,"",N2269+tech_proj!N1769/(1-tech_proj!N649))</f>
        <v>1.3540867526377491</v>
      </c>
      <c r="O1149" s="105">
        <f>IF(tech_base!$T245&gt;O$905,"",O2269+tech_proj!O1769/(1-tech_proj!O649))</f>
        <v>1.3406799531066824</v>
      </c>
      <c r="P1149" s="105">
        <f>IF(tech_base!$T245&gt;P$905,"",P2269+tech_proj!P1769/(1-tech_proj!P649))</f>
        <v>1.3172416080217344</v>
      </c>
      <c r="Q1149" s="105">
        <f>IF(tech_base!$T245&gt;Q$905,"",Q2269+tech_proj!Q1769/(1-tech_proj!Q649))</f>
        <v>1.3041996119027073</v>
      </c>
      <c r="R1149" s="105">
        <f>IF(tech_base!$T245&gt;R$905,"",R2269+tech_proj!R1769/(1-tech_proj!R649))</f>
        <v>1.2912867444581262</v>
      </c>
      <c r="S1149" s="105">
        <f>IF(tech_base!$T245&gt;S$905,"",S2269+tech_proj!S1769/(1-tech_proj!S649))</f>
        <v>1.2785017271862633</v>
      </c>
      <c r="T1149" s="105">
        <f>IF(tech_base!$T245&gt;T$905,"",T2269+tech_proj!T1769/(1-tech_proj!T649))</f>
        <v>1.2658432942438254</v>
      </c>
      <c r="U1149" s="105">
        <f>IF(tech_base!$T245&gt;U$905,"",U2269+tech_proj!U1769/(1-tech_proj!U649))</f>
        <v>1.2438608958072495</v>
      </c>
      <c r="V1149" s="105">
        <f>IF(tech_base!$T245&gt;V$905,"",V2269+tech_proj!V1769/(1-tech_proj!V649))</f>
        <v>1.2209239654188913</v>
      </c>
      <c r="W1149" s="105">
        <f>IF(tech_base!$T245&gt;W$905,"",W2269+tech_proj!W1769/(1-tech_proj!W649))</f>
        <v>1.1971856261094331</v>
      </c>
      <c r="X1149" s="105">
        <f>IF(tech_base!$T245&gt;X$905,"",X2269+tech_proj!X1769/(1-tech_proj!X649))</f>
        <v>1.172826721423518</v>
      </c>
      <c r="Y1149" s="105">
        <f>IF(tech_base!$T245&gt;Y$905,"",Y2269+tech_proj!Y1769/(1-tech_proj!Y649))</f>
        <v>1.1480515357875161</v>
      </c>
      <c r="Z1149" s="105">
        <f>IF(tech_base!$T245&gt;Z$905,"",Z2269+tech_proj!Z1769/(1-tech_proj!Z649))</f>
        <v>1.123081850951678</v>
      </c>
      <c r="AA1149" s="105">
        <f>IF(tech_base!$T245&gt;AA$905,"",AA2269+tech_proj!AA1769/(1-tech_proj!AA649))</f>
        <v>1.0981496366498291</v>
      </c>
      <c r="AB1149" s="105">
        <f>IF(tech_base!$T245&gt;AB$905,"",AB2269+tech_proj!AB1769/(1-tech_proj!AB649))</f>
        <v>1.0734888401296014</v>
      </c>
      <c r="AC1149" s="105">
        <f>IF(tech_base!$T245&gt;AC$905,"",AC2269+tech_proj!AC1769/(1-tech_proj!AC649))</f>
        <v>1.0493268608219337</v>
      </c>
      <c r="AD1149" s="105">
        <f>IF(tech_base!$T245&gt;AD$905,"",AD2269+tech_proj!AD1769/(1-tech_proj!AD649))</f>
        <v>1.0258763499495451</v>
      </c>
      <c r="AE1149" s="105">
        <f>IF(tech_base!$T245&gt;AE$905,"",AE2269+tech_proj!AE1769/(1-tech_proj!AE649))</f>
        <v>1.0033279485396605</v>
      </c>
      <c r="AF1149" s="105">
        <f>IF(tech_base!$T245&gt;AF$905,"",AF2269+tech_proj!AF1769/(1-tech_proj!AF649))</f>
        <v>0.98184447408722297</v>
      </c>
      <c r="AG1149" s="105">
        <f>IF(tech_base!$T245&gt;AG$905,"",AG2269+tech_proj!AG1769/(1-tech_proj!AG649))</f>
        <v>0.96155690335834221</v>
      </c>
      <c r="AH1149" s="105">
        <f>IF(tech_base!$T245&gt;AH$905,"",AH2269+tech_proj!AH1769/(1-tech_proj!AH649))</f>
        <v>0.9425623041365947</v>
      </c>
      <c r="AI1149" s="105">
        <f>IF(tech_base!$T245&gt;AI$905,"",AI2269+tech_proj!AI1769/(1-tech_proj!AI649))</f>
        <v>0.92492367343830229</v>
      </c>
      <c r="AJ1149" s="105">
        <f>IF(tech_base!$T245&gt;AJ$905,"",AJ2269+tech_proj!AJ1769/(1-tech_proj!AJ649))</f>
        <v>0.90867147201937315</v>
      </c>
      <c r="AK1149" s="105">
        <f>IF(tech_base!$T245&gt;AK$905,"",AK2269+tech_proj!AK1769/(1-tech_proj!AK649))</f>
        <v>0.8938065245194472</v>
      </c>
      <c r="AL1149" s="105">
        <f>IF(tech_base!$T245&gt;AL$905,"",AL2269+tech_proj!AL1769/(1-tech_proj!AL649))</f>
        <v>0.88030388995565423</v>
      </c>
      <c r="AM1149" s="105">
        <f>IF(tech_base!$T245&gt;AM$905,"",AM2269+tech_proj!AM1769/(1-tech_proj!AM649))</f>
        <v>0.86811729650295788</v>
      </c>
      <c r="AN1149" s="105">
        <f>IF(tech_base!$T245&gt;AN$905,"",AN2269+tech_proj!AN1769/(1-tech_proj!AN649))</f>
        <v>0.85718376765356374</v>
      </c>
      <c r="AO1149" s="105">
        <f>IF(tech_base!$T245&gt;AO$905,"",AO2269+tech_proj!AO1769/(1-tech_proj!AO649))</f>
        <v>0.847428129757825</v>
      </c>
      <c r="AP1149" s="105">
        <f>IF(tech_base!$T245&gt;AP$905,"",AP2269+tech_proj!AP1769/(1-tech_proj!AP649))</f>
        <v>0.83876716876010537</v>
      </c>
      <c r="AQ1149" s="105">
        <f>IF(tech_base!$T245&gt;AQ$905,"",AQ2269+tech_proj!AQ1769/(1-tech_proj!AQ649))</f>
        <v>0.831113283795059</v>
      </c>
      <c r="AR1149" s="105">
        <f>IF(tech_base!$T245&gt;AR$905,"",AR2269+tech_proj!AR1769/(1-tech_proj!AR649))</f>
        <v>0.82437755780196686</v>
      </c>
      <c r="AS1149" s="105">
        <f>IF(tech_base!$T245&gt;AS$905,"",AS2269+tech_proj!AS1769/(1-tech_proj!AS649))</f>
        <v>0.81847222486168603</v>
      </c>
      <c r="AT1149" s="105">
        <f>IF(tech_base!$T245&gt;AT$905,"",AT2269+tech_proj!AT1769/(1-tech_proj!AT649))</f>
        <v>0.81331255835845084</v>
      </c>
      <c r="AU1149" s="105">
        <f>IF(tech_base!$T245&gt;AU$905,"",AU2269+tech_proj!AU1769/(1-tech_proj!AU649))</f>
        <v>0.80881823364745131</v>
      </c>
      <c r="AV1149" s="105">
        <f>IF(tech_base!$T245&gt;AV$905,"",AV2269+tech_proj!AV1769/(1-tech_proj!AV649))</f>
        <v>0.80491423558988373</v>
      </c>
      <c r="AW1149" s="105">
        <f>IF(tech_base!$T245&gt;AW$905,"",AW2269+tech_proj!AW1769/(1-tech_proj!AW649))</f>
        <v>0.80153138778053723</v>
      </c>
      <c r="AX1149" s="106">
        <f>IF(tech_base!$T245&gt;AX$905,"",AX2269+tech_proj!AX1769/(1-tech_proj!AX649))</f>
        <v>0.79860657935787438</v>
      </c>
    </row>
    <row r="1150" spans="1:50" x14ac:dyDescent="0.25">
      <c r="A1150" s="356"/>
      <c r="B1150" s="376"/>
      <c r="C1150" s="378"/>
      <c r="D1150" s="2" t="s">
        <v>8</v>
      </c>
      <c r="E1150" s="160" t="str">
        <f>A1145&amp;"/"&amp;B1149&amp;"/"&amp;C1149&amp;"/"&amp;D1150</f>
        <v>Wind power plants/Offshore/Electricity only/M</v>
      </c>
      <c r="F1150" s="76" t="str">
        <f>A1145</f>
        <v>Wind power plants</v>
      </c>
      <c r="G1150" s="76" t="str">
        <f>B1149</f>
        <v>Offshore</v>
      </c>
      <c r="H1150" s="76" t="str">
        <f>C1149</f>
        <v>Electricity only</v>
      </c>
      <c r="I1150" s="161" t="str">
        <f t="shared" si="370"/>
        <v>M</v>
      </c>
      <c r="J1150" s="105">
        <f>IF(tech_base!$T246&gt;J$905,"",J2270+tech_proj!J1770/(1-tech_proj!J650))</f>
        <v>1.420014920601087</v>
      </c>
      <c r="K1150" s="105">
        <f>IF(tech_base!$T246&gt;K$905,"",K2270+tech_proj!K1770/(1-tech_proj!K650))</f>
        <v>1.4053643839624854</v>
      </c>
      <c r="L1150" s="105">
        <f>IF(tech_base!$T246&gt;L$905,"",L2270+tech_proj!L1770/(1-tech_proj!L650))</f>
        <v>1.3914498851113715</v>
      </c>
      <c r="M1150" s="105">
        <f>IF(tech_base!$T246&gt;M$905,"",M2270+tech_proj!M1770/(1-tech_proj!M650))</f>
        <v>1.3776731535756155</v>
      </c>
      <c r="N1150" s="105">
        <f>IF(tech_base!$T246&gt;N$905,"",N2270+tech_proj!N1770/(1-tech_proj!N650))</f>
        <v>1.3640328253223915</v>
      </c>
      <c r="O1150" s="105">
        <f>IF(tech_base!$T246&gt;O$905,"",O2270+tech_proj!O1770/(1-tech_proj!O650))</f>
        <v>1.35052754982415</v>
      </c>
      <c r="P1150" s="105">
        <f>IF(tech_base!$T246&gt;P$905,"",P2270+tech_proj!P1770/(1-tech_proj!P650))</f>
        <v>1.3279352004773783</v>
      </c>
      <c r="Q1150" s="105">
        <f>IF(tech_base!$T246&gt;Q$905,"",Q2270+tech_proj!Q1770/(1-tech_proj!Q650))</f>
        <v>1.314787327205325</v>
      </c>
      <c r="R1150" s="105">
        <f>IF(tech_base!$T246&gt;R$905,"",R2270+tech_proj!R1770/(1-tech_proj!R650))</f>
        <v>1.3017696308963613</v>
      </c>
      <c r="S1150" s="105">
        <f>IF(tech_base!$T246&gt;S$905,"",S2270+tech_proj!S1770/(1-tech_proj!S650))</f>
        <v>1.2888808226696646</v>
      </c>
      <c r="T1150" s="105">
        <f>IF(tech_base!$T246&gt;T$905,"",T2270+tech_proj!T1770/(1-tech_proj!T650))</f>
        <v>1.2761196264056087</v>
      </c>
      <c r="U1150" s="105">
        <f>IF(tech_base!$T246&gt;U$905,"",U2270+tech_proj!U1770/(1-tech_proj!U650))</f>
        <v>1.2556027211981378</v>
      </c>
      <c r="V1150" s="105">
        <f>IF(tech_base!$T246&gt;V$905,"",V2270+tech_proj!V1770/(1-tech_proj!V650))</f>
        <v>1.2341949195023365</v>
      </c>
      <c r="W1150" s="105">
        <f>IF(tech_base!$T246&gt;W$905,"",W2270+tech_proj!W1770/(1-tech_proj!W650))</f>
        <v>1.2120391361468423</v>
      </c>
      <c r="X1150" s="105">
        <f>IF(tech_base!$T246&gt;X$905,"",X2270+tech_proj!X1770/(1-tech_proj!X650))</f>
        <v>1.1893041584399884</v>
      </c>
      <c r="Y1150" s="105">
        <f>IF(tech_base!$T246&gt;Y$905,"",Y2270+tech_proj!Y1770/(1-tech_proj!Y650))</f>
        <v>1.1661806518463866</v>
      </c>
      <c r="Z1150" s="105">
        <f>IF(tech_base!$T246&gt;Z$905,"",Z2270+tech_proj!Z1770/(1-tech_proj!Z650))</f>
        <v>1.1428756126662711</v>
      </c>
      <c r="AA1150" s="105">
        <f>IF(tech_base!$T246&gt;AA$905,"",AA2270+tech_proj!AA1770/(1-tech_proj!AA650))</f>
        <v>1.1196055459845453</v>
      </c>
      <c r="AB1150" s="105">
        <f>IF(tech_base!$T246&gt;AB$905,"",AB2270+tech_proj!AB1770/(1-tech_proj!AB650))</f>
        <v>1.0965888025656663</v>
      </c>
      <c r="AC1150" s="105">
        <f>IF(tech_base!$T246&gt;AC$905,"",AC2270+tech_proj!AC1770/(1-tech_proj!AC650))</f>
        <v>1.0740376218785095</v>
      </c>
      <c r="AD1150" s="105">
        <f>IF(tech_base!$T246&gt;AD$905,"",AD2270+tech_proj!AD1770/(1-tech_proj!AD650))</f>
        <v>1.0521504783976137</v>
      </c>
      <c r="AE1150" s="105">
        <f>IF(tech_base!$T246&gt;AE$905,"",AE2270+tech_proj!AE1770/(1-tech_proj!AE650))</f>
        <v>1.0311053037483877</v>
      </c>
      <c r="AF1150" s="105">
        <f>IF(tech_base!$T246&gt;AF$905,"",AF2270+tech_proj!AF1770/(1-tech_proj!AF650))</f>
        <v>1.0110540609261132</v>
      </c>
      <c r="AG1150" s="105">
        <f>IF(tech_base!$T246&gt;AG$905,"",AG2270+tech_proj!AG1770/(1-tech_proj!AG650))</f>
        <v>0.99211899491249089</v>
      </c>
      <c r="AH1150" s="105">
        <f>IF(tech_base!$T246&gt;AH$905,"",AH2270+tech_proj!AH1770/(1-tech_proj!AH650))</f>
        <v>0.97439070230552649</v>
      </c>
      <c r="AI1150" s="105">
        <f>IF(tech_base!$T246&gt;AI$905,"",AI2270+tech_proj!AI1770/(1-tech_proj!AI650))</f>
        <v>0.95792798032045379</v>
      </c>
      <c r="AJ1150" s="105">
        <f>IF(tech_base!$T246&gt;AJ$905,"",AJ2270+tech_proj!AJ1770/(1-tech_proj!AJ650))</f>
        <v>0.94275925899611979</v>
      </c>
      <c r="AK1150" s="105">
        <f>IF(tech_base!$T246&gt;AK$905,"",AK2270+tech_proj!AK1770/(1-tech_proj!AK650))</f>
        <v>0.92888530799618885</v>
      </c>
      <c r="AL1150" s="105">
        <f>IF(tech_base!$T246&gt;AL$905,"",AL2270+tech_proj!AL1770/(1-tech_proj!AL650))</f>
        <v>0.91628284906998225</v>
      </c>
      <c r="AM1150" s="105">
        <f>IF(tech_base!$T246&gt;AM$905,"",AM2270+tech_proj!AM1770/(1-tech_proj!AM650))</f>
        <v>0.90490869518079875</v>
      </c>
      <c r="AN1150" s="105">
        <f>IF(tech_base!$T246&gt;AN$905,"",AN2270+tech_proj!AN1770/(1-tech_proj!AN650))</f>
        <v>0.8947040682546975</v>
      </c>
      <c r="AO1150" s="105">
        <f>IF(tech_base!$T246&gt;AO$905,"",AO2270+tech_proj!AO1770/(1-tech_proj!AO650))</f>
        <v>0.88559880621867504</v>
      </c>
      <c r="AP1150" s="105">
        <f>IF(tech_base!$T246&gt;AP$905,"",AP2270+tech_proj!AP1770/(1-tech_proj!AP650))</f>
        <v>0.87751524262080327</v>
      </c>
      <c r="AQ1150" s="105">
        <f>IF(tech_base!$T246&gt;AQ$905,"",AQ2270+tech_proj!AQ1770/(1-tech_proj!AQ650))</f>
        <v>0.87037161665342655</v>
      </c>
      <c r="AR1150" s="105">
        <f>IF(tech_base!$T246&gt;AR$905,"",AR2270+tech_proj!AR1770/(1-tech_proj!AR650))</f>
        <v>0.86408493905987394</v>
      </c>
      <c r="AS1150" s="105">
        <f>IF(tech_base!$T246&gt;AS$905,"",AS2270+tech_proj!AS1770/(1-tech_proj!AS650))</f>
        <v>0.85857329498227841</v>
      </c>
      <c r="AT1150" s="105">
        <f>IF(tech_base!$T246&gt;AT$905,"",AT2270+tech_proj!AT1770/(1-tech_proj!AT650))</f>
        <v>0.85375760624592556</v>
      </c>
      <c r="AU1150" s="105">
        <f>IF(tech_base!$T246&gt;AU$905,"",AU2270+tech_proj!AU1770/(1-tech_proj!AU650))</f>
        <v>0.84956290318232597</v>
      </c>
      <c r="AV1150" s="105">
        <f>IF(tech_base!$T246&gt;AV$905,"",AV2270+tech_proj!AV1770/(1-tech_proj!AV650))</f>
        <v>0.84591917166192954</v>
      </c>
      <c r="AW1150" s="105">
        <f>IF(tech_base!$T246&gt;AW$905,"",AW2270+tech_proj!AW1770/(1-tech_proj!AW650))</f>
        <v>0.842761847039873</v>
      </c>
      <c r="AX1150" s="106">
        <f>IF(tech_base!$T246&gt;AX$905,"",AX2270+tech_proj!AX1770/(1-tech_proj!AX650))</f>
        <v>0.84003202584538761</v>
      </c>
    </row>
    <row r="1151" spans="1:50" x14ac:dyDescent="0.25">
      <c r="A1151" s="356"/>
      <c r="B1151" s="376"/>
      <c r="C1151" s="378"/>
      <c r="D1151" s="2" t="s">
        <v>10</v>
      </c>
      <c r="E1151" s="160" t="str">
        <f>A1145&amp;"/"&amp;B1149&amp;"/"&amp;C1149&amp;"/"&amp;D1151</f>
        <v>Wind power plants/Offshore/Electricity only/S</v>
      </c>
      <c r="F1151" s="76" t="str">
        <f>A1145</f>
        <v>Wind power plants</v>
      </c>
      <c r="G1151" s="76" t="str">
        <f>B1149</f>
        <v>Offshore</v>
      </c>
      <c r="H1151" s="76" t="str">
        <f>C1149</f>
        <v>Electricity only</v>
      </c>
      <c r="I1151" s="161" t="str">
        <f t="shared" si="370"/>
        <v>S</v>
      </c>
      <c r="J1151" s="105">
        <f>IF(tech_base!$T247&gt;J$905,"",J2271+tech_proj!J1771/(1-tech_proj!J651))</f>
        <v>1.420144664958366</v>
      </c>
      <c r="K1151" s="105">
        <f>IF(tech_base!$T247&gt;K$905,"",K2271+tech_proj!K1771/(1-tech_proj!K651))</f>
        <v>1.414159483862119</v>
      </c>
      <c r="L1151" s="105">
        <f>IF(tech_base!$T247&gt;L$905,"",L2271+tech_proj!L1771/(1-tech_proj!L651))</f>
        <v>1.4001579048139789</v>
      </c>
      <c r="M1151" s="105">
        <f>IF(tech_base!$T247&gt;M$905,"",M2271+tech_proj!M1771/(1-tech_proj!M651))</f>
        <v>1.3862949552613655</v>
      </c>
      <c r="N1151" s="105">
        <f>IF(tech_base!$T247&gt;N$905,"",N2271+tech_proj!N1771/(1-tech_proj!N651))</f>
        <v>1.3725692626350152</v>
      </c>
      <c r="O1151" s="105">
        <f>IF(tech_base!$T247&gt;O$905,"",O2271+tech_proj!O1771/(1-tech_proj!O651))</f>
        <v>1.3589794679554605</v>
      </c>
      <c r="P1151" s="105">
        <f>IF(tech_base!$T247&gt;P$905,"",P2271+tech_proj!P1771/(1-tech_proj!P651))</f>
        <v>1.3350642621144737</v>
      </c>
      <c r="Q1151" s="105">
        <f>IF(tech_base!$T247&gt;Q$905,"",Q2271+tech_proj!Q1771/(1-tech_proj!Q651))</f>
        <v>1.321845804073736</v>
      </c>
      <c r="R1151" s="105">
        <f>IF(tech_base!$T247&gt;R$905,"",R2271+tech_proj!R1771/(1-tech_proj!R651))</f>
        <v>1.3087582218551845</v>
      </c>
      <c r="S1151" s="105">
        <f>IF(tech_base!$T247&gt;S$905,"",S2271+tech_proj!S1771/(1-tech_proj!S651))</f>
        <v>1.2958002196585985</v>
      </c>
      <c r="T1151" s="105">
        <f>IF(tech_base!$T247&gt;T$905,"",T2271+tech_proj!T1771/(1-tech_proj!T651))</f>
        <v>1.2829705145134638</v>
      </c>
      <c r="U1151" s="105">
        <f>IF(tech_base!$T247&gt;U$905,"",U2271+tech_proj!U1771/(1-tech_proj!U651))</f>
        <v>1.2634306047920634</v>
      </c>
      <c r="V1151" s="105">
        <f>IF(tech_base!$T247&gt;V$905,"",V2271+tech_proj!V1771/(1-tech_proj!V651))</f>
        <v>1.2430422222246336</v>
      </c>
      <c r="W1151" s="105">
        <f>IF(tech_base!$T247&gt;W$905,"",W2271+tech_proj!W1771/(1-tech_proj!W651))</f>
        <v>1.2219414761717819</v>
      </c>
      <c r="X1151" s="105">
        <f>IF(tech_base!$T247&gt;X$905,"",X2271+tech_proj!X1771/(1-tech_proj!X651))</f>
        <v>1.2002891164509686</v>
      </c>
      <c r="Y1151" s="105">
        <f>IF(tech_base!$T247&gt;Y$905,"",Y2271+tech_proj!Y1771/(1-tech_proj!Y651))</f>
        <v>1.178266729218967</v>
      </c>
      <c r="Z1151" s="105">
        <f>IF(tech_base!$T247&gt;Z$905,"",Z2271+tech_proj!Z1771/(1-tech_proj!Z651))</f>
        <v>1.1560714538093331</v>
      </c>
      <c r="AA1151" s="105">
        <f>IF(tech_base!$T247&gt;AA$905,"",AA2271+tech_proj!AA1771/(1-tech_proj!AA651))</f>
        <v>1.133909485541023</v>
      </c>
      <c r="AB1151" s="105">
        <f>IF(tech_base!$T247&gt;AB$905,"",AB2271+tech_proj!AB1771/(1-tech_proj!AB651))</f>
        <v>1.1119887775230428</v>
      </c>
      <c r="AC1151" s="105">
        <f>IF(tech_base!$T247&gt;AC$905,"",AC2271+tech_proj!AC1771/(1-tech_proj!AC651))</f>
        <v>1.0905114625828936</v>
      </c>
      <c r="AD1151" s="105">
        <f>IF(tech_base!$T247&gt;AD$905,"",AD2271+tech_proj!AD1771/(1-tech_proj!AD651))</f>
        <v>1.0696665640296592</v>
      </c>
      <c r="AE1151" s="105">
        <f>IF(tech_base!$T247&gt;AE$905,"",AE2271+tech_proj!AE1771/(1-tech_proj!AE651))</f>
        <v>1.0496235405542063</v>
      </c>
      <c r="AF1151" s="105">
        <f>IF(tech_base!$T247&gt;AF$905,"",AF2271+tech_proj!AF1771/(1-tech_proj!AF651))</f>
        <v>1.0305271188187062</v>
      </c>
      <c r="AG1151" s="105">
        <f>IF(tech_base!$T247&gt;AG$905,"",AG2271+tech_proj!AG1771/(1-tech_proj!AG651))</f>
        <v>1.0124937226152566</v>
      </c>
      <c r="AH1151" s="105">
        <f>IF(tech_base!$T247&gt;AH$905,"",AH2271+tech_proj!AH1771/(1-tech_proj!AH651))</f>
        <v>0.99560963441814776</v>
      </c>
      <c r="AI1151" s="105">
        <f>IF(tech_base!$T247&gt;AI$905,"",AI2271+tech_proj!AI1771/(1-tech_proj!AI651))</f>
        <v>0.97993085157522108</v>
      </c>
      <c r="AJ1151" s="105">
        <f>IF(tech_base!$T247&gt;AJ$905,"",AJ2271+tech_proj!AJ1771/(1-tech_proj!AJ651))</f>
        <v>0.9654844503139508</v>
      </c>
      <c r="AK1151" s="105">
        <f>IF(tech_base!$T247&gt;AK$905,"",AK2271+tech_proj!AK1771/(1-tech_proj!AK651))</f>
        <v>0.95227116364734998</v>
      </c>
      <c r="AL1151" s="105">
        <f>IF(tech_base!$T247&gt;AL$905,"",AL2271+tech_proj!AL1771/(1-tech_proj!AL651))</f>
        <v>0.94026882181286742</v>
      </c>
      <c r="AM1151" s="105">
        <f>IF(tech_base!$T247&gt;AM$905,"",AM2271+tech_proj!AM1771/(1-tech_proj!AM651))</f>
        <v>0.92943629429935948</v>
      </c>
      <c r="AN1151" s="105">
        <f>IF(tech_base!$T247&gt;AN$905,"",AN2271+tech_proj!AN1771/(1-tech_proj!AN651))</f>
        <v>0.91971760198878683</v>
      </c>
      <c r="AO1151" s="105">
        <f>IF(tech_base!$T247&gt;AO$905,"",AO2271+tech_proj!AO1771/(1-tech_proj!AO651))</f>
        <v>0.91104592385924144</v>
      </c>
      <c r="AP1151" s="105">
        <f>IF(tech_base!$T247&gt;AP$905,"",AP2271+tech_proj!AP1771/(1-tech_proj!AP651))</f>
        <v>0.90334729186126839</v>
      </c>
      <c r="AQ1151" s="105">
        <f>IF(tech_base!$T247&gt;AQ$905,"",AQ2271+tech_proj!AQ1771/(1-tech_proj!AQ651))</f>
        <v>0.89654383855900488</v>
      </c>
      <c r="AR1151" s="105">
        <f>IF(tech_base!$T247&gt;AR$905,"",AR2271+tech_proj!AR1771/(1-tech_proj!AR651))</f>
        <v>0.89055652656514539</v>
      </c>
      <c r="AS1151" s="105">
        <f>IF(tech_base!$T247&gt;AS$905,"",AS2271+tech_proj!AS1771/(1-tech_proj!AS651))</f>
        <v>0.88530734172934011</v>
      </c>
      <c r="AT1151" s="105">
        <f>IF(tech_base!$T247&gt;AT$905,"",AT2271+tech_proj!AT1771/(1-tech_proj!AT651))</f>
        <v>0.88072097150424211</v>
      </c>
      <c r="AU1151" s="105">
        <f>IF(tech_base!$T247&gt;AU$905,"",AU2271+tech_proj!AU1771/(1-tech_proj!AU651))</f>
        <v>0.87672601620557589</v>
      </c>
      <c r="AV1151" s="105">
        <f>IF(tech_base!$T247&gt;AV$905,"",AV2271+tech_proj!AV1771/(1-tech_proj!AV651))</f>
        <v>0.87325579570996026</v>
      </c>
      <c r="AW1151" s="105">
        <f>IF(tech_base!$T247&gt;AW$905,"",AW2271+tech_proj!AW1771/(1-tech_proj!AW651))</f>
        <v>0.87024881987943004</v>
      </c>
      <c r="AX1151" s="106">
        <f>IF(tech_base!$T247&gt;AX$905,"",AX2271+tech_proj!AX1771/(1-tech_proj!AX651))</f>
        <v>0.86764899017039643</v>
      </c>
    </row>
    <row r="1152" spans="1:50" x14ac:dyDescent="0.25">
      <c r="A1152" s="357"/>
      <c r="B1152" s="380"/>
      <c r="C1152" s="381"/>
      <c r="D1152" s="4" t="s">
        <v>20</v>
      </c>
      <c r="E1152" s="168" t="str">
        <f>A1145&amp;"/"&amp;B1149&amp;"/"&amp;C1149&amp;"/"&amp;D1152</f>
        <v>Wind power plants/Offshore/Electricity only/XS</v>
      </c>
      <c r="F1152" s="80" t="str">
        <f>A1145</f>
        <v>Wind power plants</v>
      </c>
      <c r="G1152" s="80" t="str">
        <f>B1149</f>
        <v>Offshore</v>
      </c>
      <c r="H1152" s="80" t="str">
        <f>C1149</f>
        <v>Electricity only</v>
      </c>
      <c r="I1152" s="169" t="str">
        <f t="shared" si="370"/>
        <v>XS</v>
      </c>
      <c r="J1152" s="113">
        <f>IF(tech_base!$T248&gt;J$905,"",J2272+tech_proj!J1772/(1-tech_proj!J652))</f>
        <v>1.4200828819310904</v>
      </c>
      <c r="K1152" s="113">
        <f>IF(tech_base!$T248&gt;K$905,"",K2272+tech_proj!K1772/(1-tech_proj!K652))</f>
        <v>1.4200828819310904</v>
      </c>
      <c r="L1152" s="113">
        <f>IF(tech_base!$T248&gt;L$905,"",L2272+tech_proj!L1772/(1-tech_proj!L652))</f>
        <v>1.4080511390473367</v>
      </c>
      <c r="M1152" s="113">
        <f>IF(tech_base!$T248&gt;M$905,"",M2272+tech_proj!M1772/(1-tech_proj!M652))</f>
        <v>1.3941100386607297</v>
      </c>
      <c r="N1152" s="113">
        <f>IF(tech_base!$T248&gt;N$905,"",N2272+tech_proj!N1772/(1-tech_proj!N652))</f>
        <v>1.3803069689710192</v>
      </c>
      <c r="O1152" s="113">
        <f>IF(tech_base!$T248&gt;O$905,"",O2272+tech_proj!O1772/(1-tech_proj!O652))</f>
        <v>1.3666405633376428</v>
      </c>
      <c r="P1152" s="113">
        <f>IF(tech_base!$T248&gt;P$905,"",P2272+tech_proj!P1772/(1-tech_proj!P652))</f>
        <v>1.3457578545701172</v>
      </c>
      <c r="Q1152" s="113">
        <f>IF(tech_base!$T248&gt;Q$905,"",Q2272+tech_proj!Q1772/(1-tech_proj!Q652))</f>
        <v>1.3324335193763537</v>
      </c>
      <c r="R1152" s="113">
        <f>IF(tech_base!$T248&gt;R$905,"",R2272+tech_proj!R1772/(1-tech_proj!R652))</f>
        <v>1.3192411082934197</v>
      </c>
      <c r="S1152" s="113">
        <f>IF(tech_base!$T248&gt;S$905,"",S2272+tech_proj!S1772/(1-tech_proj!S652))</f>
        <v>1.306179315142</v>
      </c>
      <c r="T1152" s="113">
        <f>IF(tech_base!$T248&gt;T$905,"",T2272+tech_proj!T1772/(1-tech_proj!T652))</f>
        <v>1.2932468466752474</v>
      </c>
      <c r="U1152" s="113">
        <f>IF(tech_base!$T248&gt;U$905,"",U2272+tech_proj!U1772/(1-tech_proj!U652))</f>
        <v>1.2751724301829517</v>
      </c>
      <c r="V1152" s="113">
        <f>IF(tech_base!$T248&gt;V$905,"",V2272+tech_proj!V1772/(1-tech_proj!V652))</f>
        <v>1.2563131763080793</v>
      </c>
      <c r="W1152" s="113">
        <f>IF(tech_base!$T248&gt;W$905,"",W2272+tech_proj!W1772/(1-tech_proj!W652))</f>
        <v>1.2367949862091914</v>
      </c>
      <c r="X1152" s="113">
        <f>IF(tech_base!$T248&gt;X$905,"",X2272+tech_proj!X1772/(1-tech_proj!X652))</f>
        <v>1.216766553467439</v>
      </c>
      <c r="Y1152" s="113">
        <f>IF(tech_base!$T248&gt;Y$905,"",Y2272+tech_proj!Y1772/(1-tech_proj!Y652))</f>
        <v>1.1963958452778376</v>
      </c>
      <c r="Z1152" s="113">
        <f>IF(tech_base!$T248&gt;Z$905,"",Z2272+tech_proj!Z1772/(1-tech_proj!Z652))</f>
        <v>1.1758652155239262</v>
      </c>
      <c r="AA1152" s="113">
        <f>IF(tech_base!$T248&gt;AA$905,"",AA2272+tech_proj!AA1772/(1-tech_proj!AA652))</f>
        <v>1.1553653948757394</v>
      </c>
      <c r="AB1152" s="113">
        <f>IF(tech_base!$T248&gt;AB$905,"",AB2272+tech_proj!AB1772/(1-tech_proj!AB652))</f>
        <v>1.1350887399591076</v>
      </c>
      <c r="AC1152" s="113">
        <f>IF(tech_base!$T248&gt;AC$905,"",AC2272+tech_proj!AC1772/(1-tech_proj!AC652))</f>
        <v>1.1152222236394698</v>
      </c>
      <c r="AD1152" s="113">
        <f>IF(tech_base!$T248&gt;AD$905,"",AD2272+tech_proj!AD1772/(1-tech_proj!AD652))</f>
        <v>1.0959406924777277</v>
      </c>
      <c r="AE1152" s="113">
        <f>IF(tech_base!$T248&gt;AE$905,"",AE2272+tech_proj!AE1772/(1-tech_proj!AE652))</f>
        <v>1.0774008957629337</v>
      </c>
      <c r="AF1152" s="113">
        <f>IF(tech_base!$T248&gt;AF$905,"",AF2272+tech_proj!AF1772/(1-tech_proj!AF652))</f>
        <v>1.0597367056575966</v>
      </c>
      <c r="AG1152" s="113">
        <f>IF(tech_base!$T248&gt;AG$905,"",AG2272+tech_proj!AG1772/(1-tech_proj!AG652))</f>
        <v>1.0430558141694057</v>
      </c>
      <c r="AH1152" s="113">
        <f>IF(tech_base!$T248&gt;AH$905,"",AH2272+tech_proj!AH1772/(1-tech_proj!AH652))</f>
        <v>1.0274380325870798</v>
      </c>
      <c r="AI1152" s="113">
        <f>IF(tech_base!$T248&gt;AI$905,"",AI2272+tech_proj!AI1772/(1-tech_proj!AI652))</f>
        <v>1.0129351584573729</v>
      </c>
      <c r="AJ1152" s="113">
        <f>IF(tech_base!$T248&gt;AJ$905,"",AJ2272+tech_proj!AJ1772/(1-tech_proj!AJ652))</f>
        <v>0.99957223729069777</v>
      </c>
      <c r="AK1152" s="113">
        <f>IF(tech_base!$T248&gt;AK$905,"",AK2272+tech_proj!AK1772/(1-tech_proj!AK652))</f>
        <v>0.98734994712409208</v>
      </c>
      <c r="AL1152" s="113">
        <f>IF(tech_base!$T248&gt;AL$905,"",AL2272+tech_proj!AL1772/(1-tech_proj!AL652))</f>
        <v>0.97624778092719544</v>
      </c>
      <c r="AM1152" s="113">
        <f>IF(tech_base!$T248&gt;AM$905,"",AM2272+tech_proj!AM1772/(1-tech_proj!AM652))</f>
        <v>0.96622769297720068</v>
      </c>
      <c r="AN1152" s="113">
        <f>IF(tech_base!$T248&gt;AN$905,"",AN2272+tech_proj!AN1772/(1-tech_proj!AN652))</f>
        <v>0.95723790258992114</v>
      </c>
      <c r="AO1152" s="113">
        <f>IF(tech_base!$T248&gt;AO$905,"",AO2272+tech_proj!AO1772/(1-tech_proj!AO652))</f>
        <v>0.94921660032009159</v>
      </c>
      <c r="AP1152" s="113">
        <f>IF(tech_base!$T248&gt;AP$905,"",AP2272+tech_proj!AP1772/(1-tech_proj!AP652))</f>
        <v>0.94209536572196662</v>
      </c>
      <c r="AQ1152" s="113">
        <f>IF(tech_base!$T248&gt;AQ$905,"",AQ2272+tech_proj!AQ1772/(1-tech_proj!AQ652))</f>
        <v>0.93580217141737276</v>
      </c>
      <c r="AR1152" s="113">
        <f>IF(tech_base!$T248&gt;AR$905,"",AR2272+tech_proj!AR1772/(1-tech_proj!AR652))</f>
        <v>0.93026390782305246</v>
      </c>
      <c r="AS1152" s="113">
        <f>IF(tech_base!$T248&gt;AS$905,"",AS2272+tech_proj!AS1772/(1-tech_proj!AS652))</f>
        <v>0.92540841184993272</v>
      </c>
      <c r="AT1152" s="113">
        <f>IF(tech_base!$T248&gt;AT$905,"",AT2272+tech_proj!AT1772/(1-tech_proj!AT652))</f>
        <v>0.92116601939171716</v>
      </c>
      <c r="AU1152" s="113">
        <f>IF(tech_base!$T248&gt;AU$905,"",AU2272+tech_proj!AU1772/(1-tech_proj!AU652))</f>
        <v>0.91747068574045088</v>
      </c>
      <c r="AV1152" s="113">
        <f>IF(tech_base!$T248&gt;AV$905,"",AV2272+tech_proj!AV1772/(1-tech_proj!AV652))</f>
        <v>0.91426073178200651</v>
      </c>
      <c r="AW1152" s="113">
        <f>IF(tech_base!$T248&gt;AW$905,"",AW2272+tech_proj!AW1772/(1-tech_proj!AW652))</f>
        <v>0.91147927913876592</v>
      </c>
      <c r="AX1152" s="114">
        <f>IF(tech_base!$T248&gt;AX$905,"",AX2272+tech_proj!AX1772/(1-tech_proj!AX652))</f>
        <v>0.90907443665790988</v>
      </c>
    </row>
    <row r="1153" spans="1:50" x14ac:dyDescent="0.25">
      <c r="A1153" s="355" t="s">
        <v>37</v>
      </c>
      <c r="B1153" s="358" t="s">
        <v>37</v>
      </c>
      <c r="C1153" s="353" t="s">
        <v>6</v>
      </c>
      <c r="D1153" s="3" t="s">
        <v>7</v>
      </c>
      <c r="E1153" s="162" t="str">
        <f>A1153&amp;"/"&amp;B1153&amp;"/"&amp;C1153&amp;"/"&amp;D1153</f>
        <v>Solar PV power plants/Solar PV power plants/Electricity only/L</v>
      </c>
      <c r="F1153" s="77" t="str">
        <f>A1153</f>
        <v>Solar PV power plants</v>
      </c>
      <c r="G1153" s="77" t="str">
        <f>B1153</f>
        <v>Solar PV power plants</v>
      </c>
      <c r="H1153" s="77" t="str">
        <f>C1153</f>
        <v>Electricity only</v>
      </c>
      <c r="I1153" s="163" t="str">
        <f t="shared" si="370"/>
        <v>L</v>
      </c>
      <c r="J1153" s="107">
        <f>IF(tech_base!$T249&gt;J$905,"",J2273+tech_proj!J1773/(1-tech_proj!J653))</f>
        <v>0.16881594372801875</v>
      </c>
      <c r="K1153" s="107">
        <f>IF(tech_base!$T249&gt;K$905,"",K2273+tech_proj!K1773/(1-tech_proj!K653))</f>
        <v>0.13309703057713831</v>
      </c>
      <c r="L1153" s="107">
        <f>IF(tech_base!$T249&gt;L$905,"",L2273+tech_proj!L1773/(1-tech_proj!L653))</f>
        <v>0.11523757400169807</v>
      </c>
      <c r="M1153" s="107">
        <f>IF(tech_base!$T249&gt;M$905,"",M2273+tech_proj!M1773/(1-tech_proj!M653))</f>
        <v>0.10630784571397794</v>
      </c>
      <c r="N1153" s="107">
        <f>IF(tech_base!$T249&gt;N$905,"",N2273+tech_proj!N1773/(1-tech_proj!N653))</f>
        <v>9.7378117426257835E-2</v>
      </c>
      <c r="O1153" s="107">
        <f>IF(tech_base!$T249&gt;O$905,"",O2273+tech_proj!O1773/(1-tech_proj!O653))</f>
        <v>9.6274294404514377E-2</v>
      </c>
      <c r="P1153" s="107">
        <f>IF(tech_base!$T249&gt;P$905,"",P2273+tech_proj!P1773/(1-tech_proj!P653))</f>
        <v>8.8867522775571084E-2</v>
      </c>
      <c r="Q1153" s="107">
        <f>IF(tech_base!$T249&gt;Q$905,"",Q2273+tech_proj!Q1773/(1-tech_proj!Q653))</f>
        <v>7.2997177548954337E-2</v>
      </c>
      <c r="R1153" s="107">
        <f>IF(tech_base!$T249&gt;R$905,"",R2273+tech_proj!R1773/(1-tech_proj!R653))</f>
        <v>7.0472901263195775E-2</v>
      </c>
      <c r="S1153" s="107">
        <f>IF(tech_base!$T249&gt;S$905,"",S2273+tech_proj!S1773/(1-tech_proj!S653))</f>
        <v>6.8075129156447728E-2</v>
      </c>
      <c r="T1153" s="107">
        <f>IF(tech_base!$T249&gt;T$905,"",T2273+tech_proj!T1773/(1-tech_proj!T653))</f>
        <v>6.580504556413426E-2</v>
      </c>
      <c r="U1153" s="107">
        <f>IF(tech_base!$T249&gt;U$905,"",U2273+tech_proj!U1773/(1-tech_proj!U653))</f>
        <v>6.3663173430937831E-2</v>
      </c>
      <c r="V1153" s="107">
        <f>IF(tech_base!$T249&gt;V$905,"",V2273+tech_proj!V1773/(1-tech_proj!V653))</f>
        <v>6.1649370965755242E-2</v>
      </c>
      <c r="W1153" s="107">
        <f>IF(tech_base!$T249&gt;W$905,"",W2273+tech_proj!W1773/(1-tech_proj!W653))</f>
        <v>5.9762836172532682E-2</v>
      </c>
      <c r="X1153" s="107">
        <f>IF(tech_base!$T249&gt;X$905,"",X2273+tech_proj!X1773/(1-tech_proj!X653))</f>
        <v>5.8002119422569949E-2</v>
      </c>
      <c r="Y1153" s="107">
        <f>IF(tech_base!$T249&gt;Y$905,"",Y2273+tech_proj!Y1773/(1-tech_proj!Y653))</f>
        <v>5.6365144074526689E-2</v>
      </c>
      <c r="Z1153" s="107">
        <f>IF(tech_base!$T249&gt;Z$905,"",Z2273+tech_proj!Z1773/(1-tech_proj!Z653))</f>
        <v>5.4849234979103885E-2</v>
      </c>
      <c r="AA1153" s="107">
        <f>IF(tech_base!$T249&gt;AA$905,"",AA2273+tech_proj!AA1773/(1-tech_proj!AA653))</f>
        <v>5.3451154530787713E-2</v>
      </c>
      <c r="AB1153" s="107">
        <f>IF(tech_base!$T249&gt;AB$905,"",AB2273+tech_proj!AB1773/(1-tech_proj!AB653))</f>
        <v>5.2167145754335766E-2</v>
      </c>
      <c r="AC1153" s="107">
        <f>IF(tech_base!$T249&gt;AC$905,"",AC2273+tech_proj!AC1773/(1-tech_proj!AC653))</f>
        <v>5.0992981744501682E-2</v>
      </c>
      <c r="AD1153" s="107">
        <f>IF(tech_base!$T249&gt;AD$905,"",AD2273+tech_proj!AD1773/(1-tech_proj!AD653))</f>
        <v>4.9924020619738947E-2</v>
      </c>
      <c r="AE1153" s="107">
        <f>IF(tech_base!$T249&gt;AE$905,"",AE2273+tech_proj!AE1773/(1-tech_proj!AE653))</f>
        <v>4.8955265010192428E-2</v>
      </c>
      <c r="AF1153" s="107">
        <f>IF(tech_base!$T249&gt;AF$905,"",AF2273+tech_proj!AF1773/(1-tech_proj!AF653))</f>
        <v>4.8081424982811018E-2</v>
      </c>
      <c r="AG1153" s="107">
        <f>IF(tech_base!$T249&gt;AG$905,"",AG2273+tech_proj!AG1773/(1-tech_proj!AG653))</f>
        <v>4.7296983216969971E-2</v>
      </c>
      <c r="AH1153" s="107">
        <f>IF(tech_base!$T249&gt;AH$905,"",AH2273+tech_proj!AH1773/(1-tech_proj!AH653))</f>
        <v>4.6596261186817978E-2</v>
      </c>
      <c r="AI1153" s="107">
        <f>IF(tech_base!$T249&gt;AI$905,"",AI2273+tech_proj!AI1773/(1-tech_proj!AI653))</f>
        <v>4.5973485084800751E-2</v>
      </c>
      <c r="AJ1153" s="107">
        <f>IF(tech_base!$T249&gt;AJ$905,"",AJ2273+tech_proj!AJ1773/(1-tech_proj!AJ653))</f>
        <v>4.5422850236274549E-2</v>
      </c>
      <c r="AK1153" s="107">
        <f>IF(tech_base!$T249&gt;AK$905,"",AK2273+tech_proj!AK1773/(1-tech_proj!AK653))</f>
        <v>4.4938582808132017E-2</v>
      </c>
      <c r="AL1153" s="107">
        <f>IF(tech_base!$T249&gt;AL$905,"",AL2273+tech_proj!AL1773/(1-tech_proj!AL653))</f>
        <v>4.4514997703649944E-2</v>
      </c>
      <c r="AM1153" s="107">
        <f>IF(tech_base!$T249&gt;AM$905,"",AM2273+tech_proj!AM1773/(1-tech_proj!AM653))</f>
        <v>4.4146551658463533E-2</v>
      </c>
      <c r="AN1153" s="107">
        <f>IF(tech_base!$T249&gt;AN$905,"",AN2273+tech_proj!AN1773/(1-tech_proj!AN653))</f>
        <v>4.3827890704282176E-2</v>
      </c>
      <c r="AO1153" s="107">
        <f>IF(tech_base!$T249&gt;AO$905,"",AO2273+tech_proj!AO1773/(1-tech_proj!AO653))</f>
        <v>4.3553891341941611E-2</v>
      </c>
      <c r="AP1153" s="107">
        <f>IF(tech_base!$T249&gt;AP$905,"",AP2273+tech_proj!AP1773/(1-tech_proj!AP653))</f>
        <v>4.331969495680376E-2</v>
      </c>
      <c r="AQ1153" s="107">
        <f>IF(tech_base!$T249&gt;AQ$905,"",AQ2273+tech_proj!AQ1773/(1-tech_proj!AQ653))</f>
        <v>4.3120735209774129E-2</v>
      </c>
      <c r="AR1153" s="107">
        <f>IF(tech_base!$T249&gt;AR$905,"",AR2273+tech_proj!AR1773/(1-tech_proj!AR653))</f>
        <v>4.295275833835021E-2</v>
      </c>
      <c r="AS1153" s="107">
        <f>IF(tech_base!$T249&gt;AS$905,"",AS2273+tech_proj!AS1773/(1-tech_proj!AS653))</f>
        <v>4.2811836496235642E-2</v>
      </c>
      <c r="AT1153" s="107">
        <f>IF(tech_base!$T249&gt;AT$905,"",AT2273+tech_proj!AT1773/(1-tech_proj!AT653))</f>
        <v>4.2694374439725916E-2</v>
      </c>
      <c r="AU1153" s="107">
        <f>IF(tech_base!$T249&gt;AU$905,"",AU2273+tech_proj!AU1773/(1-tech_proj!AU653))</f>
        <v>4.2597110027738444E-2</v>
      </c>
      <c r="AV1153" s="107">
        <f>IF(tech_base!$T249&gt;AV$905,"",AV2273+tech_proj!AV1773/(1-tech_proj!AV653))</f>
        <v>4.2517109134684976E-2</v>
      </c>
      <c r="AW1153" s="107">
        <f>IF(tech_base!$T249&gt;AW$905,"",AW2273+tech_proj!AW1773/(1-tech_proj!AW653))</f>
        <v>4.245175567750975E-2</v>
      </c>
      <c r="AX1153" s="108">
        <f>IF(tech_base!$T249&gt;AX$905,"",AX2273+tech_proj!AX1773/(1-tech_proj!AX653))</f>
        <v>4.2398737527928568E-2</v>
      </c>
    </row>
    <row r="1154" spans="1:50" x14ac:dyDescent="0.25">
      <c r="A1154" s="356"/>
      <c r="B1154" s="376"/>
      <c r="C1154" s="378"/>
      <c r="D1154" s="2" t="s">
        <v>8</v>
      </c>
      <c r="E1154" s="160" t="str">
        <f>A1153&amp;"/"&amp;B1153&amp;"/"&amp;C1153&amp;"/"&amp;D1154</f>
        <v>Solar PV power plants/Solar PV power plants/Electricity only/M</v>
      </c>
      <c r="F1154" s="76" t="str">
        <f>A1153</f>
        <v>Solar PV power plants</v>
      </c>
      <c r="G1154" s="76" t="str">
        <f>B1153</f>
        <v>Solar PV power plants</v>
      </c>
      <c r="H1154" s="76" t="str">
        <f>C1153</f>
        <v>Electricity only</v>
      </c>
      <c r="I1154" s="161" t="str">
        <f t="shared" si="370"/>
        <v>M</v>
      </c>
      <c r="J1154" s="105">
        <f>IF(tech_base!$T250&gt;J$905,"",J2274+tech_proj!J1774/(1-tech_proj!J654))</f>
        <v>0.16881594372801875</v>
      </c>
      <c r="K1154" s="105">
        <f>IF(tech_base!$T250&gt;K$905,"",K2274+tech_proj!K1774/(1-tech_proj!K654))</f>
        <v>0.13666892189222635</v>
      </c>
      <c r="L1154" s="105">
        <f>IF(tech_base!$T250&gt;L$905,"",L2274+tech_proj!L1774/(1-tech_proj!L654))</f>
        <v>0.11903624291627339</v>
      </c>
      <c r="M1154" s="105">
        <f>IF(tech_base!$T250&gt;M$905,"",M2274+tech_proj!M1774/(1-tech_proj!M654))</f>
        <v>0.10938958802091746</v>
      </c>
      <c r="N1154" s="105">
        <f>IF(tech_base!$T250&gt;N$905,"",N2274+tech_proj!N1774/(1-tech_proj!N654))</f>
        <v>9.8884393567193168E-2</v>
      </c>
      <c r="O1154" s="105">
        <f>IF(tech_base!$T250&gt;O$905,"",O2274+tech_proj!O1774/(1-tech_proj!O654))</f>
        <v>9.6274294404514377E-2</v>
      </c>
      <c r="P1154" s="105">
        <f>IF(tech_base!$T250&gt;P$905,"",P2274+tech_proj!P1774/(1-tech_proj!P654))</f>
        <v>8.9581803414917227E-2</v>
      </c>
      <c r="Q1154" s="105">
        <f>IF(tech_base!$T250&gt;Q$905,"",Q2274+tech_proj!Q1774/(1-tech_proj!Q654))</f>
        <v>7.9608162127476123E-2</v>
      </c>
      <c r="R1154" s="105">
        <f>IF(tech_base!$T250&gt;R$905,"",R2274+tech_proj!R1774/(1-tech_proj!R654))</f>
        <v>7.6541949435622758E-2</v>
      </c>
      <c r="S1154" s="105">
        <f>IF(tech_base!$T250&gt;S$905,"",S2274+tech_proj!S1774/(1-tech_proj!S654))</f>
        <v>7.3629400081432941E-2</v>
      </c>
      <c r="T1154" s="105">
        <f>IF(tech_base!$T250&gt;T$905,"",T2274+tech_proj!T1774/(1-tech_proj!T654))</f>
        <v>7.0871952665082477E-2</v>
      </c>
      <c r="U1154" s="105">
        <f>IF(tech_base!$T250&gt;U$905,"",U2274+tech_proj!U1774/(1-tech_proj!U654))</f>
        <v>6.8270242402150488E-2</v>
      </c>
      <c r="V1154" s="105">
        <f>IF(tech_base!$T250&gt;V$905,"",V2274+tech_proj!V1774/(1-tech_proj!V654))</f>
        <v>6.5824097060428161E-2</v>
      </c>
      <c r="W1154" s="105">
        <f>IF(tech_base!$T250&gt;W$905,"",W2274+tech_proj!W1774/(1-tech_proj!W654))</f>
        <v>6.3532542463478142E-2</v>
      </c>
      <c r="X1154" s="105">
        <f>IF(tech_base!$T250&gt;X$905,"",X2274+tech_proj!X1774/(1-tech_proj!X654))</f>
        <v>6.1393817762084302E-2</v>
      </c>
      <c r="Y1154" s="105">
        <f>IF(tech_base!$T250&gt;Y$905,"",Y2274+tech_proj!Y1774/(1-tech_proj!Y654))</f>
        <v>5.9405400481163349E-2</v>
      </c>
      <c r="Z1154" s="105">
        <f>IF(tech_base!$T250&gt;Z$905,"",Z2274+tech_proj!Z1774/(1-tech_proj!Z654))</f>
        <v>5.756404114411099E-2</v>
      </c>
      <c r="AA1154" s="105">
        <f>IF(tech_base!$T250&gt;AA$905,"",AA2274+tech_proj!AA1774/(1-tech_proj!AA654))</f>
        <v>5.5865807064488099E-2</v>
      </c>
      <c r="AB1154" s="105">
        <f>IF(tech_base!$T250&gt;AB$905,"",AB2274+tech_proj!AB1774/(1-tech_proj!AB654))</f>
        <v>5.4306134682736533E-2</v>
      </c>
      <c r="AC1154" s="105">
        <f>IF(tech_base!$T250&gt;AC$905,"",AC2274+tech_proj!AC1774/(1-tech_proj!AC654))</f>
        <v>5.2879889620109088E-2</v>
      </c>
      <c r="AD1154" s="105">
        <f>IF(tech_base!$T250&gt;AD$905,"",AD2274+tech_proj!AD1774/(1-tech_proj!AD654))</f>
        <v>5.158143343037374E-2</v>
      </c>
      <c r="AE1154" s="105">
        <f>IF(tech_base!$T250&gt;AE$905,"",AE2274+tech_proj!AE1774/(1-tech_proj!AE654))</f>
        <v>5.040469585927105E-2</v>
      </c>
      <c r="AF1154" s="105">
        <f>IF(tech_base!$T250&gt;AF$905,"",AF2274+tech_proj!AF1774/(1-tech_proj!AF654))</f>
        <v>4.9343251279007447E-2</v>
      </c>
      <c r="AG1154" s="105">
        <f>IF(tech_base!$T250&gt;AG$905,"",AG2274+tech_proj!AG1774/(1-tech_proj!AG654))</f>
        <v>4.8390397856419867E-2</v>
      </c>
      <c r="AH1154" s="105">
        <f>IF(tech_base!$T250&gt;AH$905,"",AH2274+tech_proj!AH1774/(1-tech_proj!AH654))</f>
        <v>4.7539237943998627E-2</v>
      </c>
      <c r="AI1154" s="105">
        <f>IF(tech_base!$T250&gt;AI$905,"",AI2274+tech_proj!AI1774/(1-tech_proj!AI654))</f>
        <v>4.6782758156519909E-2</v>
      </c>
      <c r="AJ1154" s="105">
        <f>IF(tech_base!$T250&gt;AJ$905,"",AJ2274+tech_proj!AJ1774/(1-tech_proj!AJ654))</f>
        <v>4.6113907614820822E-2</v>
      </c>
      <c r="AK1154" s="105">
        <f>IF(tech_base!$T250&gt;AK$905,"",AK2274+tech_proj!AK1774/(1-tech_proj!AK654))</f>
        <v>4.5525672902638523E-2</v>
      </c>
      <c r="AL1154" s="105">
        <f>IF(tech_base!$T250&gt;AL$905,"",AL2274+tech_proj!AL1774/(1-tech_proj!AL654))</f>
        <v>4.5011148390892104E-2</v>
      </c>
      <c r="AM1154" s="105">
        <f>IF(tech_base!$T250&gt;AM$905,"",AM2274+tech_proj!AM1774/(1-tech_proj!AM654))</f>
        <v>4.4563600732821763E-2</v>
      </c>
      <c r="AN1154" s="105">
        <f>IF(tech_base!$T250&gt;AN$905,"",AN2274+tech_proj!AN1774/(1-tech_proj!AN654))</f>
        <v>4.4176526517680781E-2</v>
      </c>
      <c r="AO1154" s="105">
        <f>IF(tech_base!$T250&gt;AO$905,"",AO2274+tech_proj!AO1774/(1-tech_proj!AO654))</f>
        <v>4.3843702283222666E-2</v>
      </c>
      <c r="AP1154" s="105">
        <f>IF(tech_base!$T250&gt;AP$905,"",AP2274+tech_proj!AP1774/(1-tech_proj!AP654))</f>
        <v>4.3559226319736744E-2</v>
      </c>
      <c r="AQ1154" s="105">
        <f>IF(tech_base!$T250&gt;AQ$905,"",AQ2274+tech_proj!AQ1774/(1-tech_proj!AQ654))</f>
        <v>4.3317551941637965E-2</v>
      </c>
      <c r="AR1154" s="105">
        <f>IF(tech_base!$T250&gt;AR$905,"",AR2274+tech_proj!AR1774/(1-tech_proj!AR654))</f>
        <v>4.3113512146943672E-2</v>
      </c>
      <c r="AS1154" s="105">
        <f>IF(tech_base!$T250&gt;AS$905,"",AS2274+tech_proj!AS1774/(1-tech_proj!AS654))</f>
        <v>4.2942335820767001E-2</v>
      </c>
      <c r="AT1154" s="105">
        <f>IF(tech_base!$T250&gt;AT$905,"",AT2274+tech_proj!AT1774/(1-tech_proj!AT654))</f>
        <v>4.2799655857201489E-2</v>
      </c>
      <c r="AU1154" s="105">
        <f>IF(tech_base!$T250&gt;AU$905,"",AU2274+tech_proj!AU1774/(1-tech_proj!AU654))</f>
        <v>4.2681509766702513E-2</v>
      </c>
      <c r="AV1154" s="105">
        <f>IF(tech_base!$T250&gt;AV$905,"",AV2274+tech_proj!AV1774/(1-tech_proj!AV654))</f>
        <v>4.2584333496805252E-2</v>
      </c>
      <c r="AW1154" s="105">
        <f>IF(tech_base!$T250&gt;AW$905,"",AW2274+tech_proj!AW1774/(1-tech_proj!AW654))</f>
        <v>4.250494931806946E-2</v>
      </c>
      <c r="AX1154" s="106">
        <f>IF(tech_base!$T250&gt;AX$905,"",AX2274+tech_proj!AX1774/(1-tech_proj!AX654))</f>
        <v>4.2440548711819841E-2</v>
      </c>
    </row>
    <row r="1155" spans="1:50" x14ac:dyDescent="0.25">
      <c r="A1155" s="356"/>
      <c r="B1155" s="376"/>
      <c r="C1155" s="378"/>
      <c r="D1155" s="2" t="s">
        <v>10</v>
      </c>
      <c r="E1155" s="160" t="str">
        <f>A1153&amp;"/"&amp;B1153&amp;"/"&amp;C1153&amp;"/"&amp;D1155</f>
        <v>Solar PV power plants/Solar PV power plants/Electricity only/S</v>
      </c>
      <c r="F1155" s="76" t="str">
        <f>A1153</f>
        <v>Solar PV power plants</v>
      </c>
      <c r="G1155" s="76" t="str">
        <f>B1153</f>
        <v>Solar PV power plants</v>
      </c>
      <c r="H1155" s="76" t="str">
        <f>C1153</f>
        <v>Electricity only</v>
      </c>
      <c r="I1155" s="161" t="str">
        <f t="shared" si="370"/>
        <v>S</v>
      </c>
      <c r="J1155" s="105">
        <f>IF(tech_base!$T251&gt;J$905,"",J2275+tech_proj!J1775/(1-tech_proj!J655))</f>
        <v>0.16881594372801875</v>
      </c>
      <c r="K1155" s="105">
        <f>IF(tech_base!$T251&gt;K$905,"",K2275+tech_proj!K1775/(1-tech_proj!K655))</f>
        <v>0.14081351834275527</v>
      </c>
      <c r="L1155" s="105">
        <f>IF(tech_base!$T251&gt;L$905,"",L2275+tech_proj!L1775/(1-tech_proj!L655))</f>
        <v>0.11356931247561589</v>
      </c>
      <c r="M1155" s="105">
        <f>IF(tech_base!$T251&gt;M$905,"",M2275+tech_proj!M1775/(1-tech_proj!M655))</f>
        <v>0.10061923328676894</v>
      </c>
      <c r="N1155" s="105">
        <f>IF(tech_base!$T251&gt;N$905,"",N2275+tech_proj!N1775/(1-tech_proj!N655))</f>
        <v>8.8102137180366524E-2</v>
      </c>
      <c r="O1155" s="105">
        <f>IF(tech_base!$T251&gt;O$905,"",O2275+tech_proj!O1775/(1-tech_proj!O655))</f>
        <v>8.6757554320653296E-2</v>
      </c>
      <c r="P1155" s="105">
        <f>IF(tech_base!$T251&gt;P$905,"",P2275+tech_proj!P1775/(1-tech_proj!P655))</f>
        <v>7.471660961868494E-2</v>
      </c>
      <c r="Q1155" s="105">
        <f>IF(tech_base!$T251&gt;Q$905,"",Q2275+tech_proj!Q1775/(1-tech_proj!Q655))</f>
        <v>7.2287816955603545E-2</v>
      </c>
      <c r="R1155" s="105">
        <f>IF(tech_base!$T251&gt;R$905,"",R2275+tech_proj!R1775/(1-tech_proj!R655))</f>
        <v>7.012265826892243E-2</v>
      </c>
      <c r="S1155" s="105">
        <f>IF(tech_base!$T251&gt;S$905,"",S2275+tech_proj!S1775/(1-tech_proj!S655))</f>
        <v>6.800858363754432E-2</v>
      </c>
      <c r="T1155" s="105">
        <f>IF(tech_base!$T251&gt;T$905,"",T2275+tech_proj!T1775/(1-tech_proj!T655))</f>
        <v>6.5951297979778195E-2</v>
      </c>
      <c r="U1155" s="105">
        <f>IF(tech_base!$T251&gt;U$905,"",U2275+tech_proj!U1775/(1-tech_proj!U655))</f>
        <v>6.3956240666671244E-2</v>
      </c>
      <c r="V1155" s="105">
        <f>IF(tech_base!$T251&gt;V$905,"",V2275+tech_proj!V1775/(1-tech_proj!V655))</f>
        <v>6.2028520422391563E-2</v>
      </c>
      <c r="W1155" s="105">
        <f>IF(tech_base!$T251&gt;W$905,"",W2275+tech_proj!W1775/(1-tech_proj!W655))</f>
        <v>6.017285165598308E-2</v>
      </c>
      <c r="X1155" s="105">
        <f>IF(tech_base!$T251&gt;X$905,"",X2275+tech_proj!X1775/(1-tech_proj!X655))</f>
        <v>5.8393493629415691E-2</v>
      </c>
      <c r="Y1155" s="105">
        <f>IF(tech_base!$T251&gt;Y$905,"",Y2275+tech_proj!Y1775/(1-tech_proj!Y655))</f>
        <v>5.6694193921273707E-2</v>
      </c>
      <c r="Z1155" s="105">
        <f>IF(tech_base!$T251&gt;Z$905,"",Z2275+tech_proj!Z1775/(1-tech_proj!Z655))</f>
        <v>5.5078137657246139E-2</v>
      </c>
      <c r="AA1155" s="105">
        <f>IF(tech_base!$T251&gt;AA$905,"",AA2275+tech_proj!AA1775/(1-tech_proj!AA655))</f>
        <v>5.3547903941815266E-2</v>
      </c>
      <c r="AB1155" s="105">
        <f>IF(tech_base!$T251&gt;AB$905,"",AB2275+tech_proj!AB1775/(1-tech_proj!AB655))</f>
        <v>5.210543083569432E-2</v>
      </c>
      <c r="AC1155" s="105">
        <f>IF(tech_base!$T251&gt;AC$905,"",AC2275+tech_proj!AC1775/(1-tech_proj!AC655))</f>
        <v>5.0751990078167726E-2</v>
      </c>
      <c r="AD1155" s="105">
        <f>IF(tech_base!$T251&gt;AD$905,"",AD2275+tech_proj!AD1775/(1-tech_proj!AD655))</f>
        <v>4.9488172552525134E-2</v>
      </c>
      <c r="AE1155" s="105">
        <f>IF(tech_base!$T251&gt;AE$905,"",AE2275+tech_proj!AE1775/(1-tech_proj!AE655))</f>
        <v>4.8313885239103252E-2</v>
      </c>
      <c r="AF1155" s="105">
        <f>IF(tech_base!$T251&gt;AF$905,"",AF2275+tech_proj!AF1775/(1-tech_proj!AF655))</f>
        <v>4.7228360099984996E-2</v>
      </c>
      <c r="AG1155" s="105">
        <f>IF(tech_base!$T251&gt;AG$905,"",AG2275+tech_proj!AG1775/(1-tech_proj!AG655))</f>
        <v>4.6230175001248555E-2</v>
      </c>
      <c r="AH1155" s="105">
        <f>IF(tech_base!$T251&gt;AH$905,"",AH2275+tech_proj!AH1775/(1-tech_proj!AH655))</f>
        <v>4.5317286414895741E-2</v>
      </c>
      <c r="AI1155" s="105">
        <f>IF(tech_base!$T251&gt;AI$905,"",AI2275+tech_proj!AI1775/(1-tech_proj!AI655))</f>
        <v>4.4487073267923699E-2</v>
      </c>
      <c r="AJ1155" s="105">
        <f>IF(tech_base!$T251&gt;AJ$905,"",AJ2275+tech_proj!AJ1775/(1-tech_proj!AJ655))</f>
        <v>4.3736390937108127E-2</v>
      </c>
      <c r="AK1155" s="105">
        <f>IF(tech_base!$T251&gt;AK$905,"",AK2275+tech_proj!AK1775/(1-tech_proj!AK655))</f>
        <v>4.3061634042722008E-2</v>
      </c>
      <c r="AL1155" s="105">
        <f>IF(tech_base!$T251&gt;AL$905,"",AL2275+tech_proj!AL1775/(1-tech_proj!AL655))</f>
        <v>4.2458806390452714E-2</v>
      </c>
      <c r="AM1155" s="105">
        <f>IF(tech_base!$T251&gt;AM$905,"",AM2275+tech_proj!AM1775/(1-tech_proj!AM655))</f>
        <v>4.1923596164913354E-2</v>
      </c>
      <c r="AN1155" s="105">
        <f>IF(tech_base!$T251&gt;AN$905,"",AN2275+tech_proj!AN1775/(1-tech_proj!AN655))</f>
        <v>4.1451454304745207E-2</v>
      </c>
      <c r="AO1155" s="105">
        <f>IF(tech_base!$T251&gt;AO$905,"",AO2275+tech_proj!AO1775/(1-tech_proj!AO655))</f>
        <v>4.1037673899273666E-2</v>
      </c>
      <c r="AP1155" s="105">
        <f>IF(tech_base!$T251&gt;AP$905,"",AP2275+tech_proj!AP1775/(1-tech_proj!AP655))</f>
        <v>4.0677468446462729E-2</v>
      </c>
      <c r="AQ1155" s="105">
        <f>IF(tech_base!$T251&gt;AQ$905,"",AQ2275+tech_proj!AQ1775/(1-tech_proj!AQ655))</f>
        <v>4.0366046902831604E-2</v>
      </c>
      <c r="AR1155" s="105">
        <f>IF(tech_base!$T251&gt;AR$905,"",AR2275+tech_proj!AR1775/(1-tech_proj!AR655))</f>
        <v>4.0098683633920128E-2</v>
      </c>
      <c r="AS1155" s="105">
        <f>IF(tech_base!$T251&gt;AS$905,"",AS2275+tech_proj!AS1775/(1-tech_proj!AS655))</f>
        <v>3.9870781629334162E-2</v>
      </c>
      <c r="AT1155" s="105">
        <f>IF(tech_base!$T251&gt;AT$905,"",AT2275+tech_proj!AT1775/(1-tech_proj!AT655))</f>
        <v>3.9677927665076856E-2</v>
      </c>
      <c r="AU1155" s="105">
        <f>IF(tech_base!$T251&gt;AU$905,"",AU2275+tech_proj!AU1775/(1-tech_proj!AU655))</f>
        <v>3.9515938459631479E-2</v>
      </c>
      <c r="AV1155" s="105">
        <f>IF(tech_base!$T251&gt;AV$905,"",AV2275+tech_proj!AV1775/(1-tech_proj!AV655))</f>
        <v>3.9380897258400181E-2</v>
      </c>
      <c r="AW1155" s="105">
        <f>IF(tech_base!$T251&gt;AW$905,"",AW2275+tech_proj!AW1775/(1-tech_proj!AW655))</f>
        <v>3.9269180671877381E-2</v>
      </c>
      <c r="AX1155" s="106">
        <f>IF(tech_base!$T251&gt;AX$905,"",AX2275+tech_proj!AX1775/(1-tech_proj!AX655))</f>
        <v>3.9177475965176713E-2</v>
      </c>
    </row>
    <row r="1156" spans="1:50" x14ac:dyDescent="0.25">
      <c r="A1156" s="357"/>
      <c r="B1156" s="380"/>
      <c r="C1156" s="381"/>
      <c r="D1156" s="4" t="s">
        <v>20</v>
      </c>
      <c r="E1156" s="168" t="str">
        <f>A1153&amp;"/"&amp;B1153&amp;"/"&amp;C1153&amp;"/"&amp;D1156</f>
        <v>Solar PV power plants/Solar PV power plants/Electricity only/XS</v>
      </c>
      <c r="F1156" s="80" t="str">
        <f>A1153</f>
        <v>Solar PV power plants</v>
      </c>
      <c r="G1156" s="80" t="str">
        <f>B1153</f>
        <v>Solar PV power plants</v>
      </c>
      <c r="H1156" s="80" t="str">
        <f>C1153</f>
        <v>Electricity only</v>
      </c>
      <c r="I1156" s="169" t="str">
        <f t="shared" si="370"/>
        <v>XS</v>
      </c>
      <c r="J1156" s="113">
        <f>IF(tech_base!$T252&gt;J$905,"",J2276+tech_proj!J1776/(1-tech_proj!J656))</f>
        <v>0.16881594372801878</v>
      </c>
      <c r="K1156" s="113">
        <f>IF(tech_base!$T252&gt;K$905,"",K2276+tech_proj!K1776/(1-tech_proj!K656))</f>
        <v>0.14130641509792394</v>
      </c>
      <c r="L1156" s="113">
        <f>IF(tech_base!$T252&gt;L$905,"",L2276+tech_proj!L1776/(1-tech_proj!L656))</f>
        <v>0.11388153117130637</v>
      </c>
      <c r="M1156" s="113">
        <f>IF(tech_base!$T252&gt;M$905,"",M2276+tech_proj!M1776/(1-tech_proj!M656))</f>
        <v>0.10021479734787528</v>
      </c>
      <c r="N1156" s="113">
        <f>IF(tech_base!$T252&gt;N$905,"",N2276+tech_proj!N1776/(1-tech_proj!N656))</f>
        <v>8.6417338244393987E-2</v>
      </c>
      <c r="O1156" s="113">
        <f>IF(tech_base!$T252&gt;O$905,"",O2276+tech_proj!O1776/(1-tech_proj!O656))</f>
        <v>8.4171240250803997E-2</v>
      </c>
      <c r="P1156" s="113">
        <f>IF(tech_base!$T252&gt;P$905,"",P2276+tech_proj!P1776/(1-tech_proj!P656))</f>
        <v>7.1921429669285553E-2</v>
      </c>
      <c r="Q1156" s="113">
        <f>IF(tech_base!$T252&gt;Q$905,"",Q2276+tech_proj!Q1776/(1-tech_proj!Q656))</f>
        <v>6.9462577372899709E-2</v>
      </c>
      <c r="R1156" s="113">
        <f>IF(tech_base!$T252&gt;R$905,"",R2276+tech_proj!R1776/(1-tech_proj!R656))</f>
        <v>6.7480235919347112E-2</v>
      </c>
      <c r="S1156" s="113">
        <f>IF(tech_base!$T252&gt;S$905,"",S2276+tech_proj!S1776/(1-tech_proj!S656))</f>
        <v>6.5544665190298723E-2</v>
      </c>
      <c r="T1156" s="113">
        <f>IF(tech_base!$T252&gt;T$905,"",T2276+tech_proj!T1776/(1-tech_proj!T656))</f>
        <v>6.3661088403859867E-2</v>
      </c>
      <c r="U1156" s="113">
        <f>IF(tech_base!$T252&gt;U$905,"",U2276+tech_proj!U1776/(1-tech_proj!U656))</f>
        <v>6.1834485652609551E-2</v>
      </c>
      <c r="V1156" s="113">
        <f>IF(tech_base!$T252&gt;V$905,"",V2276+tech_proj!V1776/(1-tech_proj!V656))</f>
        <v>6.0069534300731586E-2</v>
      </c>
      <c r="W1156" s="113">
        <f>IF(tech_base!$T252&gt;W$905,"",W2276+tech_proj!W1776/(1-tech_proj!W656))</f>
        <v>5.8370550691658057E-2</v>
      </c>
      <c r="X1156" s="113">
        <f>IF(tech_base!$T252&gt;X$905,"",X2276+tech_proj!X1776/(1-tech_proj!X656))</f>
        <v>5.6741434452523207E-2</v>
      </c>
      <c r="Y1156" s="113">
        <f>IF(tech_base!$T252&gt;Y$905,"",Y2276+tech_proj!Y1776/(1-tech_proj!Y656))</f>
        <v>5.5185616731549009E-2</v>
      </c>
      <c r="Z1156" s="113">
        <f>IF(tech_base!$T252&gt;Z$905,"",Z2276+tech_proj!Z1776/(1-tech_proj!Z656))</f>
        <v>5.3706013715307359E-2</v>
      </c>
      <c r="AA1156" s="113">
        <f>IF(tech_base!$T252&gt;AA$905,"",AA2276+tech_proj!AA1776/(1-tech_proj!AA656))</f>
        <v>5.2304986739140406E-2</v>
      </c>
      <c r="AB1156" s="113">
        <f>IF(tech_base!$T252&gt;AB$905,"",AB2276+tech_proj!AB1776/(1-tech_proj!AB656))</f>
        <v>5.0984310221761656E-2</v>
      </c>
      <c r="AC1156" s="113">
        <f>IF(tech_base!$T252&gt;AC$905,"",AC2276+tech_proj!AC1776/(1-tech_proj!AC656))</f>
        <v>4.9745148521939439E-2</v>
      </c>
      <c r="AD1156" s="113">
        <f>IF(tech_base!$T252&gt;AD$905,"",AD2276+tech_proj!AD1776/(1-tech_proj!AD656))</f>
        <v>4.8588042631170808E-2</v>
      </c>
      <c r="AE1156" s="113">
        <f>IF(tech_base!$T252&gt;AE$905,"",AE2276+tech_proj!AE1776/(1-tech_proj!AE656))</f>
        <v>4.7512907383996217E-2</v>
      </c>
      <c r="AF1156" s="113">
        <f>IF(tech_base!$T252&gt;AF$905,"",AF2276+tech_proj!AF1776/(1-tech_proj!AF656))</f>
        <v>4.6519039592510629E-2</v>
      </c>
      <c r="AG1156" s="113">
        <f>IF(tech_base!$T252&gt;AG$905,"",AG2276+tech_proj!AG1776/(1-tech_proj!AG656))</f>
        <v>4.5605137202022625E-2</v>
      </c>
      <c r="AH1156" s="113">
        <f>IF(tech_base!$T252&gt;AH$905,"",AH2276+tech_proj!AH1776/(1-tech_proj!AH656))</f>
        <v>4.476932923176425E-2</v>
      </c>
      <c r="AI1156" s="113">
        <f>IF(tech_base!$T252&gt;AI$905,"",AI2276+tech_proj!AI1776/(1-tech_proj!AI656))</f>
        <v>4.4009215921524729E-2</v>
      </c>
      <c r="AJ1156" s="113">
        <f>IF(tech_base!$T252&gt;AJ$905,"",AJ2276+tech_proj!AJ1776/(1-tech_proj!AJ656))</f>
        <v>4.3321918167332739E-2</v>
      </c>
      <c r="AK1156" s="113">
        <f>IF(tech_base!$T252&gt;AK$905,"",AK2276+tech_proj!AK1776/(1-tech_proj!AK656))</f>
        <v>4.2704135013127829E-2</v>
      </c>
      <c r="AL1156" s="113">
        <f>IF(tech_base!$T252&gt;AL$905,"",AL2276+tech_proj!AL1776/(1-tech_proj!AL656))</f>
        <v>4.2152207687065187E-2</v>
      </c>
      <c r="AM1156" s="113">
        <f>IF(tech_base!$T252&gt;AM$905,"",AM2276+tech_proj!AM1776/(1-tech_proj!AM656))</f>
        <v>4.1662188445991351E-2</v>
      </c>
      <c r="AN1156" s="113">
        <f>IF(tech_base!$T252&gt;AN$905,"",AN2276+tech_proj!AN1776/(1-tech_proj!AN656))</f>
        <v>4.1229912332870308E-2</v>
      </c>
      <c r="AO1156" s="113">
        <f>IF(tech_base!$T252&gt;AO$905,"",AO2276+tech_proj!AO1776/(1-tech_proj!AO656))</f>
        <v>4.0851069869507324E-2</v>
      </c>
      <c r="AP1156" s="113">
        <f>IF(tech_base!$T252&gt;AP$905,"",AP2276+tech_proj!AP1776/(1-tech_proj!AP656))</f>
        <v>4.0521278706718532E-2</v>
      </c>
      <c r="AQ1156" s="113">
        <f>IF(tech_base!$T252&gt;AQ$905,"",AQ2276+tech_proj!AQ1776/(1-tech_proj!AQ656))</f>
        <v>4.023615233733651E-2</v>
      </c>
      <c r="AR1156" s="113">
        <f>IF(tech_base!$T252&gt;AR$905,"",AR2276+tech_proj!AR1776/(1-tech_proj!AR656))</f>
        <v>3.9991364140341601E-2</v>
      </c>
      <c r="AS1156" s="113">
        <f>IF(tech_base!$T252&gt;AS$905,"",AS2276+tech_proj!AS1776/(1-tech_proj!AS656))</f>
        <v>3.9782705258284784E-2</v>
      </c>
      <c r="AT1156" s="113">
        <f>IF(tech_base!$T252&gt;AT$905,"",AT2276+tech_proj!AT1776/(1-tech_proj!AT656))</f>
        <v>3.9606135101935072E-2</v>
      </c>
      <c r="AU1156" s="113">
        <f>IF(tech_base!$T252&gt;AU$905,"",AU2276+tech_proj!AU1776/(1-tech_proj!AU656))</f>
        <v>3.945782360912959E-2</v>
      </c>
      <c r="AV1156" s="113">
        <f>IF(tech_base!$T252&gt;AV$905,"",AV2276+tech_proj!AV1776/(1-tech_proj!AV656))</f>
        <v>3.9334184740170447E-2</v>
      </c>
      <c r="AW1156" s="113">
        <f>IF(tech_base!$T252&gt;AW$905,"",AW2276+tech_proj!AW1776/(1-tech_proj!AW656))</f>
        <v>3.9231901049891355E-2</v>
      </c>
      <c r="AX1156" s="114">
        <f>IF(tech_base!$T252&gt;AX$905,"",AX2276+tech_proj!AX1776/(1-tech_proj!AX656))</f>
        <v>3.9147939517327077E-2</v>
      </c>
    </row>
    <row r="1157" spans="1:50" x14ac:dyDescent="0.25">
      <c r="A1157" s="355" t="s">
        <v>38</v>
      </c>
      <c r="B1157" s="358" t="s">
        <v>38</v>
      </c>
      <c r="C1157" s="353" t="s">
        <v>6</v>
      </c>
      <c r="D1157" s="3" t="s">
        <v>7</v>
      </c>
      <c r="E1157" s="162" t="str">
        <f>A1157&amp;"/"&amp;B1157&amp;"/"&amp;C1157&amp;"/"&amp;D1157</f>
        <v>Solar thermal power plants/Solar thermal power plants/Electricity only/L</v>
      </c>
      <c r="F1157" s="77" t="str">
        <f>A1157</f>
        <v>Solar thermal power plants</v>
      </c>
      <c r="G1157" s="77" t="str">
        <f>B1157</f>
        <v>Solar thermal power plants</v>
      </c>
      <c r="H1157" s="77" t="str">
        <f>C1157</f>
        <v>Electricity only</v>
      </c>
      <c r="I1157" s="163" t="str">
        <f t="shared" si="370"/>
        <v>L</v>
      </c>
      <c r="J1157" s="107">
        <f>IF(tech_base!$T253&gt;J$905,"",J2277+tech_proj!J1777/(1-tech_proj!J657))</f>
        <v>1.5415592028135991</v>
      </c>
      <c r="K1157" s="107">
        <f>IF(tech_base!$T253&gt;K$905,"",K2277+tech_proj!K1777/(1-tech_proj!K657))</f>
        <v>1.5411874153124525</v>
      </c>
      <c r="L1157" s="107">
        <f>IF(tech_base!$T253&gt;L$905,"",L2277+tech_proj!L1777/(1-tech_proj!L657))</f>
        <v>1.5407338297407369</v>
      </c>
      <c r="M1157" s="107">
        <f>IF(tech_base!$T253&gt;M$905,"",M2277+tech_proj!M1777/(1-tech_proj!M657))</f>
        <v>1.5401805885305759</v>
      </c>
      <c r="N1157" s="107">
        <f>IF(tech_base!$T253&gt;N$905,"",N2277+tech_proj!N1777/(1-tech_proj!N657))</f>
        <v>1.5395060035810519</v>
      </c>
      <c r="O1157" s="107">
        <f>IF(tech_base!$T253&gt;O$905,"",O2277+tech_proj!O1777/(1-tech_proj!O657))</f>
        <v>1.5386837678326291</v>
      </c>
      <c r="P1157" s="107">
        <f>IF(tech_base!$T253&gt;P$905,"",P2277+tech_proj!P1777/(1-tech_proj!P657))</f>
        <v>1.5376820208809194</v>
      </c>
      <c r="Q1157" s="107">
        <f>IF(tech_base!$T253&gt;Q$905,"",Q2277+tech_proj!Q1777/(1-tech_proj!Q657))</f>
        <v>1.5364622497778468</v>
      </c>
      <c r="R1157" s="107">
        <f>IF(tech_base!$T253&gt;R$905,"",R2277+tech_proj!R1777/(1-tech_proj!R657))</f>
        <v>1.5349780081358484</v>
      </c>
      <c r="S1157" s="107">
        <f>IF(tech_base!$T253&gt;S$905,"",S2277+tech_proj!S1777/(1-tech_proj!S657))</f>
        <v>1.5331734416961293</v>
      </c>
      <c r="T1157" s="107">
        <f>IF(tech_base!$T253&gt;T$905,"",T2277+tech_proj!T1777/(1-tech_proj!T657))</f>
        <v>1.5309816183347384</v>
      </c>
      <c r="U1157" s="107">
        <f>IF(tech_base!$T253&gt;U$905,"",U2277+tech_proj!U1777/(1-tech_proj!U657))</f>
        <v>1.5283226774034706</v>
      </c>
      <c r="V1157" s="107">
        <f>IF(tech_base!$T253&gt;V$905,"",V2277+tech_proj!V1777/(1-tech_proj!V657))</f>
        <v>1.5251018404632672</v>
      </c>
      <c r="W1157" s="107">
        <f>IF(tech_base!$T253&gt;W$905,"",W2277+tech_proj!W1777/(1-tech_proj!W657))</f>
        <v>1.5212073668334307</v>
      </c>
      <c r="X1157" s="107">
        <f>IF(tech_base!$T253&gt;X$905,"",X2277+tech_proj!X1777/(1-tech_proj!X657))</f>
        <v>1.5165085976269512</v>
      </c>
      <c r="Y1157" s="107">
        <f>IF(tech_base!$T253&gt;Y$905,"",Y2277+tech_proj!Y1777/(1-tech_proj!Y657))</f>
        <v>1.5108543159376406</v>
      </c>
      <c r="Z1157" s="107">
        <f>IF(tech_base!$T253&gt;Z$905,"",Z2277+tech_proj!Z1777/(1-tech_proj!Z657))</f>
        <v>1.5040717624328723</v>
      </c>
      <c r="AA1157" s="107">
        <f>IF(tech_base!$T253&gt;AA$905,"",AA2277+tech_proj!AA1777/(1-tech_proj!AA657))</f>
        <v>1.4959667852690266</v>
      </c>
      <c r="AB1157" s="107">
        <f>IF(tech_base!$T253&gt;AB$905,"",AB2277+tech_proj!AB1777/(1-tech_proj!AB657))</f>
        <v>1.4863257641512981</v>
      </c>
      <c r="AC1157" s="107">
        <f>IF(tech_base!$T253&gt;AC$905,"",AC2277+tech_proj!AC1777/(1-tech_proj!AC657))</f>
        <v>1.4749201104387424</v>
      </c>
      <c r="AD1157" s="107">
        <f>IF(tech_base!$T253&gt;AD$905,"",AD2277+tech_proj!AD1777/(1-tech_proj!AD657))</f>
        <v>1.4615142675581483</v>
      </c>
      <c r="AE1157" s="107">
        <f>IF(tech_base!$T253&gt;AE$905,"",AE2277+tech_proj!AE1777/(1-tech_proj!AE657))</f>
        <v>1.4458781494353432</v>
      </c>
      <c r="AF1157" s="107">
        <f>IF(tech_base!$T253&gt;AF$905,"",AF2277+tech_proj!AF1777/(1-tech_proj!AF657))</f>
        <v>1.4278047587810281</v>
      </c>
      <c r="AG1157" s="107">
        <f>IF(tech_base!$T253&gt;AG$905,"",AG2277+tech_proj!AG1777/(1-tech_proj!AG657))</f>
        <v>1.4071332001855121</v>
      </c>
      <c r="AH1157" s="107">
        <f>IF(tech_base!$T253&gt;AH$905,"",AH2277+tech_proj!AH1777/(1-tech_proj!AH657))</f>
        <v>1.3837763359724828</v>
      </c>
      <c r="AI1157" s="107">
        <f>IF(tech_base!$T253&gt;AI$905,"",AI2277+tech_proj!AI1777/(1-tech_proj!AI657))</f>
        <v>1.3577508961780895</v>
      </c>
      <c r="AJ1157" s="107">
        <f>IF(tech_base!$T253&gt;AJ$905,"",AJ2277+tech_proj!AJ1777/(1-tech_proj!AJ657))</f>
        <v>1.3292060939067178</v>
      </c>
      <c r="AK1157" s="107">
        <f>IF(tech_base!$T253&gt;AK$905,"",AK2277+tech_proj!AK1777/(1-tech_proj!AK657))</f>
        <v>1.298445125348338</v>
      </c>
      <c r="AL1157" s="107">
        <f>IF(tech_base!$T253&gt;AL$905,"",AL2277+tech_proj!AL1777/(1-tech_proj!AL657))</f>
        <v>1.2659330375958573</v>
      </c>
      <c r="AM1157" s="107">
        <f>IF(tech_base!$T253&gt;AM$905,"",AM2277+tech_proj!AM1777/(1-tech_proj!AM657))</f>
        <v>1.2322851291812167</v>
      </c>
      <c r="AN1157" s="107">
        <f>IF(tech_base!$T253&gt;AN$905,"",AN2277+tech_proj!AN1777/(1-tech_proj!AN657))</f>
        <v>1.198232852241518</v>
      </c>
      <c r="AO1157" s="107">
        <f>IF(tech_base!$T253&gt;AO$905,"",AO2277+tech_proj!AO1777/(1-tech_proj!AO657))</f>
        <v>1.1645689276458404</v>
      </c>
      <c r="AP1157" s="107">
        <f>IF(tech_base!$T253&gt;AP$905,"",AP2277+tech_proj!AP1777/(1-tech_proj!AP657))</f>
        <v>1.1320788799031483</v>
      </c>
      <c r="AQ1157" s="107">
        <f>IF(tech_base!$T253&gt;AQ$905,"",AQ2277+tech_proj!AQ1777/(1-tech_proj!AQ657))</f>
        <v>1.1014705120748203</v>
      </c>
      <c r="AR1157" s="107">
        <f>IF(tech_base!$T253&gt;AR$905,"",AR2277+tech_proj!AR1777/(1-tech_proj!AR657))</f>
        <v>1.0733141242060136</v>
      </c>
      <c r="AS1157" s="107">
        <f>IF(tech_base!$T253&gt;AS$905,"",AS2277+tech_proj!AS1777/(1-tech_proj!AS657))</f>
        <v>1.0480037840040159</v>
      </c>
      <c r="AT1157" s="107">
        <f>IF(tech_base!$T253&gt;AT$905,"",AT2277+tech_proj!AT1777/(1-tech_proj!AT657))</f>
        <v>1.0257445463941333</v>
      </c>
      <c r="AU1157" s="107">
        <f>IF(tech_base!$T253&gt;AU$905,"",AU2277+tech_proj!AU1777/(1-tech_proj!AU657))</f>
        <v>1.0065642519718552</v>
      </c>
      <c r="AV1157" s="107">
        <f>IF(tech_base!$T253&gt;AV$905,"",AV2277+tech_proj!AV1777/(1-tech_proj!AV657))</f>
        <v>0.99034360417497513</v>
      </c>
      <c r="AW1157" s="107">
        <f>IF(tech_base!$T253&gt;AW$905,"",AW2277+tech_proj!AW1777/(1-tech_proj!AW657))</f>
        <v>0.97685592949995981</v>
      </c>
      <c r="AX1157" s="108">
        <f>IF(tech_base!$T253&gt;AX$905,"",AX2277+tech_proj!AX1777/(1-tech_proj!AX657))</f>
        <v>0.96580839881062563</v>
      </c>
    </row>
    <row r="1158" spans="1:50" x14ac:dyDescent="0.25">
      <c r="A1158" s="382"/>
      <c r="B1158" s="376"/>
      <c r="C1158" s="378"/>
      <c r="D1158" s="2" t="s">
        <v>8</v>
      </c>
      <c r="E1158" s="160" t="str">
        <f>A1157&amp;"/"&amp;B1157&amp;"/"&amp;C1157&amp;"/"&amp;D1158</f>
        <v>Solar thermal power plants/Solar thermal power plants/Electricity only/M</v>
      </c>
      <c r="F1158" s="76" t="str">
        <f>A1157</f>
        <v>Solar thermal power plants</v>
      </c>
      <c r="G1158" s="76" t="str">
        <f>B1157</f>
        <v>Solar thermal power plants</v>
      </c>
      <c r="H1158" s="76" t="str">
        <f>C1157</f>
        <v>Electricity only</v>
      </c>
      <c r="I1158" s="161" t="str">
        <f t="shared" si="370"/>
        <v>M</v>
      </c>
      <c r="J1158" s="105">
        <f>IF(tech_base!$T254&gt;J$905,"",J2278+tech_proj!J1778/(1-tech_proj!J658))</f>
        <v>1.5415592028135991</v>
      </c>
      <c r="K1158" s="105">
        <f>IF(tech_base!$T254&gt;K$905,"",K2278+tech_proj!K1778/(1-tech_proj!K658))</f>
        <v>1.5413012976738241</v>
      </c>
      <c r="L1158" s="105">
        <f>IF(tech_base!$T254&gt;L$905,"",L2278+tech_proj!L1778/(1-tech_proj!L658))</f>
        <v>1.5409865841693291</v>
      </c>
      <c r="M1158" s="105">
        <f>IF(tech_base!$T254&gt;M$905,"",M2278+tech_proj!M1778/(1-tech_proj!M658))</f>
        <v>1.5406026280072393</v>
      </c>
      <c r="N1158" s="105">
        <f>IF(tech_base!$T254&gt;N$905,"",N2278+tech_proj!N1778/(1-tech_proj!N658))</f>
        <v>1.5401343118271777</v>
      </c>
      <c r="O1158" s="105">
        <f>IF(tech_base!$T254&gt;O$905,"",O2278+tech_proj!O1778/(1-tech_proj!O658))</f>
        <v>1.5395632751200097</v>
      </c>
      <c r="P1158" s="105">
        <f>IF(tech_base!$T254&gt;P$905,"",P2278+tech_proj!P1778/(1-tech_proj!P658))</f>
        <v>1.5388672464937299</v>
      </c>
      <c r="Q1158" s="105">
        <f>IF(tech_base!$T254&gt;Q$905,"",Q2278+tech_proj!Q1778/(1-tech_proj!Q658))</f>
        <v>1.5380192522100058</v>
      </c>
      <c r="R1158" s="105">
        <f>IF(tech_base!$T254&gt;R$905,"",R2278+tech_proj!R1778/(1-tech_proj!R658))</f>
        <v>1.5369866849435831</v>
      </c>
      <c r="S1158" s="105">
        <f>IF(tech_base!$T254&gt;S$905,"",S2278+tech_proj!S1778/(1-tech_proj!S658))</f>
        <v>1.5357302183359334</v>
      </c>
      <c r="T1158" s="105">
        <f>IF(tech_base!$T254&gt;T$905,"",T2278+tech_proj!T1778/(1-tech_proj!T658))</f>
        <v>1.5342025571148583</v>
      </c>
      <c r="U1158" s="105">
        <f>IF(tech_base!$T254&gt;U$905,"",U2278+tech_proj!U1778/(1-tech_proj!U658))</f>
        <v>1.5323470207508934</v>
      </c>
      <c r="V1158" s="105">
        <f>IF(tech_base!$T254&gt;V$905,"",V2278+tech_proj!V1778/(1-tech_proj!V658))</f>
        <v>1.5300959727836085</v>
      </c>
      <c r="W1158" s="105">
        <f>IF(tech_base!$T254&gt;W$905,"",W2278+tech_proj!W1778/(1-tech_proj!W658))</f>
        <v>1.527369130695001</v>
      </c>
      <c r="X1158" s="105">
        <f>IF(tech_base!$T254&gt;X$905,"",X2278+tech_proj!X1778/(1-tech_proj!X658))</f>
        <v>1.5240718258501695</v>
      </c>
      <c r="Y1158" s="105">
        <f>IF(tech_base!$T254&gt;Y$905,"",Y2278+tech_proj!Y1778/(1-tech_proj!Y658))</f>
        <v>1.5200933334675906</v>
      </c>
      <c r="Z1158" s="105">
        <f>IF(tech_base!$T254&gt;Z$905,"",Z2278+tech_proj!Z1778/(1-tech_proj!Z658))</f>
        <v>1.5153054628641611</v>
      </c>
      <c r="AA1158" s="105">
        <f>IF(tech_base!$T254&gt;AA$905,"",AA2278+tech_proj!AA1778/(1-tech_proj!AA658))</f>
        <v>1.5095616915021626</v>
      </c>
      <c r="AB1158" s="105">
        <f>IF(tech_base!$T254&gt;AB$905,"",AB2278+tech_proj!AB1778/(1-tech_proj!AB658))</f>
        <v>1.5026972429576166</v>
      </c>
      <c r="AC1158" s="105">
        <f>IF(tech_base!$T254&gt;AC$905,"",AC2278+tech_proj!AC1778/(1-tech_proj!AC658))</f>
        <v>1.4945306429944361</v>
      </c>
      <c r="AD1158" s="105">
        <f>IF(tech_base!$T254&gt;AD$905,"",AD2278+tech_proj!AD1778/(1-tech_proj!AD658))</f>
        <v>1.4848674225732741</v>
      </c>
      <c r="AE1158" s="105">
        <f>IF(tech_base!$T254&gt;AE$905,"",AE2278+tech_proj!AE1778/(1-tech_proj!AE658))</f>
        <v>1.4735067376655353</v>
      </c>
      <c r="AF1158" s="105">
        <f>IF(tech_base!$T254&gt;AF$905,"",AF2278+tech_proj!AF1778/(1-tech_proj!AF658))</f>
        <v>1.4602516856846752</v>
      </c>
      <c r="AG1158" s="105">
        <f>IF(tech_base!$T254&gt;AG$905,"",AG2278+tech_proj!AG1778/(1-tech_proj!AG658))</f>
        <v>1.4449239343400602</v>
      </c>
      <c r="AH1158" s="105">
        <f>IF(tech_base!$T254&gt;AH$905,"",AH2278+tech_proj!AH1778/(1-tech_proj!AH658))</f>
        <v>1.4273828412818037</v>
      </c>
      <c r="AI1158" s="105">
        <f>IF(tech_base!$T254&gt;AI$905,"",AI2278+tech_proj!AI1778/(1-tech_proj!AI658))</f>
        <v>1.4075484444311968</v>
      </c>
      <c r="AJ1158" s="105">
        <f>IF(tech_base!$T254&gt;AJ$905,"",AJ2278+tech_proj!AJ1778/(1-tech_proj!AJ658))</f>
        <v>1.3854265229590828</v>
      </c>
      <c r="AK1158" s="105">
        <f>IF(tech_base!$T254&gt;AK$905,"",AK2278+tech_proj!AK1778/(1-tech_proj!AK658))</f>
        <v>1.3611324917563636</v>
      </c>
      <c r="AL1158" s="105">
        <f>IF(tech_base!$T254&gt;AL$905,"",AL2278+tech_proj!AL1778/(1-tech_proj!AL658))</f>
        <v>1.3349095373283324</v>
      </c>
      <c r="AM1158" s="105">
        <f>IF(tech_base!$T254&gt;AM$905,"",AM2278+tech_proj!AM1778/(1-tech_proj!AM658))</f>
        <v>1.3071356879038212</v>
      </c>
      <c r="AN1158" s="105">
        <f>IF(tech_base!$T254&gt;AN$905,"",AN2278+tech_proj!AN1778/(1-tech_proj!AN658))</f>
        <v>1.2783150746299672</v>
      </c>
      <c r="AO1158" s="105">
        <f>IF(tech_base!$T254&gt;AO$905,"",AO2278+tech_proj!AO1778/(1-tech_proj!AO658))</f>
        <v>1.2490509045489284</v>
      </c>
      <c r="AP1158" s="105">
        <f>IF(tech_base!$T254&gt;AP$905,"",AP2278+tech_proj!AP1778/(1-tech_proj!AP658))</f>
        <v>1.2200014630001788</v>
      </c>
      <c r="AQ1158" s="105">
        <f>IF(tech_base!$T254&gt;AQ$905,"",AQ2278+tech_proj!AQ1778/(1-tech_proj!AQ658))</f>
        <v>1.1918248392222666</v>
      </c>
      <c r="AR1158" s="105">
        <f>IF(tech_base!$T254&gt;AR$905,"",AR2278+tech_proj!AR1778/(1-tech_proj!AR658))</f>
        <v>1.1651214997139328</v>
      </c>
      <c r="AS1158" s="105">
        <f>IF(tech_base!$T254&gt;AS$905,"",AS2278+tech_proj!AS1778/(1-tech_proj!AS658))</f>
        <v>1.1403848858082615</v>
      </c>
      <c r="AT1158" s="105">
        <f>IF(tech_base!$T254&gt;AT$905,"",AT2278+tech_proj!AT1778/(1-tech_proj!AT658))</f>
        <v>1.1179683176255033</v>
      </c>
      <c r="AU1158" s="105">
        <f>IF(tech_base!$T254&gt;AU$905,"",AU2278+tech_proj!AU1778/(1-tech_proj!AU658))</f>
        <v>1.0980723157574841</v>
      </c>
      <c r="AV1158" s="105">
        <f>IF(tech_base!$T254&gt;AV$905,"",AV2278+tech_proj!AV1778/(1-tech_proj!AV658))</f>
        <v>1.0807515848993721</v>
      </c>
      <c r="AW1158" s="105">
        <f>IF(tech_base!$T254&gt;AW$905,"",AW2278+tech_proj!AW1778/(1-tech_proj!AW658))</f>
        <v>1.0659370141557527</v>
      </c>
      <c r="AX1158" s="106">
        <f>IF(tech_base!$T254&gt;AX$905,"",AX2278+tech_proj!AX1778/(1-tech_proj!AX658))</f>
        <v>1.0534661407663044</v>
      </c>
    </row>
    <row r="1159" spans="1:50" x14ac:dyDescent="0.25">
      <c r="A1159" s="382"/>
      <c r="B1159" s="376"/>
      <c r="C1159" s="378"/>
      <c r="D1159" s="2" t="s">
        <v>10</v>
      </c>
      <c r="E1159" s="160" t="str">
        <f>A1157&amp;"/"&amp;B1157&amp;"/"&amp;C1157&amp;"/"&amp;D1159</f>
        <v>Solar thermal power plants/Solar thermal power plants/Electricity only/S</v>
      </c>
      <c r="F1159" s="76" t="str">
        <f>A1157</f>
        <v>Solar thermal power plants</v>
      </c>
      <c r="G1159" s="76" t="str">
        <f>B1157</f>
        <v>Solar thermal power plants</v>
      </c>
      <c r="H1159" s="76" t="str">
        <f>C1157</f>
        <v>Electricity only</v>
      </c>
      <c r="I1159" s="161" t="str">
        <f t="shared" si="370"/>
        <v>S</v>
      </c>
      <c r="J1159" s="105">
        <f>IF(tech_base!$T255&gt;J$905,"",J2279+tech_proj!J1779/(1-tech_proj!J659))</f>
        <v>1.5415592028135991</v>
      </c>
      <c r="K1159" s="105">
        <f>IF(tech_base!$T255&gt;K$905,"",K2279+tech_proj!K1779/(1-tech_proj!K659))</f>
        <v>1.5413741073192533</v>
      </c>
      <c r="L1159" s="105">
        <f>IF(tech_base!$T255&gt;L$905,"",L2279+tech_proj!L1779/(1-tech_proj!L659))</f>
        <v>1.5411481955672943</v>
      </c>
      <c r="M1159" s="105">
        <f>IF(tech_base!$T255&gt;M$905,"",M2279+tech_proj!M1779/(1-tech_proj!M659))</f>
        <v>1.5408725112924708</v>
      </c>
      <c r="N1159" s="105">
        <f>IF(tech_base!$T255&gt;N$905,"",N2279+tech_proj!N1779/(1-tech_proj!N659))</f>
        <v>1.5405361546774223</v>
      </c>
      <c r="O1159" s="105">
        <f>IF(tech_base!$T255&gt;O$905,"",O2279+tech_proj!O1779/(1-tech_proj!O659))</f>
        <v>1.5401258712256138</v>
      </c>
      <c r="P1159" s="105">
        <f>IF(tech_base!$T255&gt;P$905,"",P2279+tech_proj!P1779/(1-tech_proj!P659))</f>
        <v>1.5396255588865488</v>
      </c>
      <c r="Q1159" s="105">
        <f>IF(tech_base!$T255&gt;Q$905,"",Q2279+tech_proj!Q1779/(1-tech_proj!Q659))</f>
        <v>1.5390156797695933</v>
      </c>
      <c r="R1159" s="105">
        <f>IF(tech_base!$T255&gt;R$905,"",R2279+tech_proj!R1779/(1-tech_proj!R659))</f>
        <v>1.5382725618364894</v>
      </c>
      <c r="S1159" s="105">
        <f>IF(tech_base!$T255&gt;S$905,"",S2279+tech_proj!S1779/(1-tech_proj!S659))</f>
        <v>1.5373675757473679</v>
      </c>
      <c r="T1159" s="105">
        <f>IF(tech_base!$T255&gt;T$905,"",T2279+tech_proj!T1779/(1-tech_proj!T659))</f>
        <v>1.5362661731106892</v>
      </c>
      <c r="U1159" s="105">
        <f>IF(tech_base!$T255&gt;U$905,"",U2279+tech_proj!U1779/(1-tech_proj!U659))</f>
        <v>1.5349267755837506</v>
      </c>
      <c r="V1159" s="105">
        <f>IF(tech_base!$T255&gt;V$905,"",V2279+tech_proj!V1779/(1-tech_proj!V659))</f>
        <v>1.533299510781692</v>
      </c>
      <c r="W1159" s="105">
        <f>IF(tech_base!$T255&gt;W$905,"",W2279+tech_proj!W1779/(1-tech_proj!W659))</f>
        <v>1.5313248024449548</v>
      </c>
      <c r="X1159" s="105">
        <f>IF(tech_base!$T255&gt;X$905,"",X2279+tech_proj!X1779/(1-tech_proj!X659))</f>
        <v>1.5289318410259849</v>
      </c>
      <c r="Y1159" s="105">
        <f>IF(tech_base!$T255&gt;Y$905,"",Y2279+tech_proj!Y1779/(1-tech_proj!Y659))</f>
        <v>1.5260369896511714</v>
      </c>
      <c r="Z1159" s="105">
        <f>IF(tech_base!$T255&gt;Z$905,"",Z2279+tech_proj!Z1779/(1-tech_proj!Z659))</f>
        <v>1.5225422227179859</v>
      </c>
      <c r="AA1159" s="105">
        <f>IF(tech_base!$T255&gt;AA$905,"",AA2279+tech_proj!AA1779/(1-tech_proj!AA659))</f>
        <v>1.5183337538563542</v>
      </c>
      <c r="AB1159" s="105">
        <f>IF(tech_base!$T255&gt;AB$905,"",AB2279+tech_proj!AB1779/(1-tech_proj!AB659))</f>
        <v>1.5132810897054916</v>
      </c>
      <c r="AC1159" s="105">
        <f>IF(tech_base!$T255&gt;AC$905,"",AC2279+tech_proj!AC1779/(1-tech_proj!AC659))</f>
        <v>1.5072368468792987</v>
      </c>
      <c r="AD1159" s="105">
        <f>IF(tech_base!$T255&gt;AD$905,"",AD2279+tech_proj!AD1779/(1-tech_proj!AD659))</f>
        <v>1.5000377877200104</v>
      </c>
      <c r="AE1159" s="105">
        <f>IF(tech_base!$T255&gt;AE$905,"",AE2279+tech_proj!AE1779/(1-tech_proj!AE659))</f>
        <v>1.4915076531379197</v>
      </c>
      <c r="AF1159" s="105">
        <f>IF(tech_base!$T255&gt;AF$905,"",AF2279+tech_proj!AF1779/(1-tech_proj!AF659))</f>
        <v>1.481462470871886</v>
      </c>
      <c r="AG1159" s="105">
        <f>IF(tech_base!$T255&gt;AG$905,"",AG2279+tech_proj!AG1779/(1-tech_proj!AG659))</f>
        <v>1.4697190479428661</v>
      </c>
      <c r="AH1159" s="105">
        <f>IF(tech_base!$T255&gt;AH$905,"",AH2279+tech_proj!AH1779/(1-tech_proj!AH659))</f>
        <v>1.456107247457181</v>
      </c>
      <c r="AI1159" s="105">
        <f>IF(tech_base!$T255&gt;AI$905,"",AI2279+tech_proj!AI1779/(1-tech_proj!AI659))</f>
        <v>1.4404863158498433</v>
      </c>
      <c r="AJ1159" s="105">
        <f>IF(tech_base!$T255&gt;AJ$905,"",AJ2279+tech_proj!AJ1779/(1-tech_proj!AJ659))</f>
        <v>1.4227648853386134</v>
      </c>
      <c r="AK1159" s="105">
        <f>IF(tech_base!$T255&gt;AK$905,"",AK2279+tech_proj!AK1779/(1-tech_proj!AK659))</f>
        <v>1.4029232948417347</v>
      </c>
      <c r="AL1159" s="105">
        <f>IF(tech_base!$T255&gt;AL$905,"",AL2279+tech_proj!AL1779/(1-tech_proj!AL659))</f>
        <v>1.3810356320349242</v>
      </c>
      <c r="AM1159" s="105">
        <f>IF(tech_base!$T255&gt;AM$905,"",AM2279+tech_proj!AM1779/(1-tech_proj!AM659))</f>
        <v>1.3572876596375223</v>
      </c>
      <c r="AN1159" s="105">
        <f>IF(tech_base!$T255&gt;AN$905,"",AN2279+tech_proj!AN1779/(1-tech_proj!AN659))</f>
        <v>1.3319860057966288</v>
      </c>
      <c r="AO1159" s="105">
        <f>IF(tech_base!$T255&gt;AO$905,"",AO2279+tech_proj!AO1779/(1-tech_proj!AO659))</f>
        <v>1.3055542278899506</v>
      </c>
      <c r="AP1159" s="105">
        <f>IF(tech_base!$T255&gt;AP$905,"",AP2279+tech_proj!AP1779/(1-tech_proj!AP659))</f>
        <v>1.2785130215583331</v>
      </c>
      <c r="AQ1159" s="105">
        <f>IF(tech_base!$T255&gt;AQ$905,"",AQ2279+tech_proj!AQ1779/(1-tech_proj!AQ659))</f>
        <v>1.251444910924647</v>
      </c>
      <c r="AR1159" s="105">
        <f>IF(tech_base!$T255&gt;AR$905,"",AR2279+tech_proj!AR1779/(1-tech_proj!AR659))</f>
        <v>1.2249475283723901</v>
      </c>
      <c r="AS1159" s="105">
        <f>IF(tech_base!$T255&gt;AS$905,"",AS2279+tech_proj!AS1779/(1-tech_proj!AS659))</f>
        <v>1.1995828322505122</v>
      </c>
      <c r="AT1159" s="105">
        <f>IF(tech_base!$T255&gt;AT$905,"",AT2279+tech_proj!AT1779/(1-tech_proj!AT659))</f>
        <v>1.1758310346842209</v>
      </c>
      <c r="AU1159" s="105">
        <f>IF(tech_base!$T255&gt;AU$905,"",AU2279+tech_proj!AU1779/(1-tech_proj!AU659))</f>
        <v>1.1540569560343734</v>
      </c>
      <c r="AV1159" s="105">
        <f>IF(tech_base!$T255&gt;AV$905,"",AV2279+tech_proj!AV1779/(1-tech_proj!AV659))</f>
        <v>1.1344933420066752</v>
      </c>
      <c r="AW1159" s="105">
        <f>IF(tech_base!$T255&gt;AW$905,"",AW2279+tech_proj!AW1779/(1-tech_proj!AW659))</f>
        <v>1.1172415821295665</v>
      </c>
      <c r="AX1159" s="106">
        <f>IF(tech_base!$T255&gt;AX$905,"",AX2279+tech_proj!AX1779/(1-tech_proj!AX659))</f>
        <v>1.1022866891205423</v>
      </c>
    </row>
    <row r="1160" spans="1:50" x14ac:dyDescent="0.25">
      <c r="A1160" s="375"/>
      <c r="B1160" s="380"/>
      <c r="C1160" s="381"/>
      <c r="D1160" s="4" t="s">
        <v>20</v>
      </c>
      <c r="E1160" s="168" t="str">
        <f>A1157&amp;"/"&amp;B1157&amp;"/"&amp;C1157&amp;"/"&amp;D1160</f>
        <v>Solar thermal power plants/Solar thermal power plants/Electricity only/XS</v>
      </c>
      <c r="F1160" s="80" t="str">
        <f>A1157</f>
        <v>Solar thermal power plants</v>
      </c>
      <c r="G1160" s="80" t="str">
        <f>B1157</f>
        <v>Solar thermal power plants</v>
      </c>
      <c r="H1160" s="80" t="str">
        <f>C1157</f>
        <v>Electricity only</v>
      </c>
      <c r="I1160" s="169" t="str">
        <f t="shared" si="370"/>
        <v>XS</v>
      </c>
      <c r="J1160" s="113">
        <f>IF(tech_base!$T256&gt;J$905,"",J2280+tech_proj!J1780/(1-tech_proj!J660))</f>
        <v>1.5415592028135991</v>
      </c>
      <c r="K1160" s="113">
        <f>IF(tech_base!$T256&gt;K$905,"",K2280+tech_proj!K1780/(1-tech_proj!K660))</f>
        <v>1.5414391145257034</v>
      </c>
      <c r="L1160" s="113">
        <f>IF(tech_base!$T256&gt;L$905,"",L2280+tech_proj!L1780/(1-tech_proj!L660))</f>
        <v>1.5412925165997577</v>
      </c>
      <c r="M1160" s="113">
        <f>IF(tech_base!$T256&gt;M$905,"",M2280+tech_proj!M1780/(1-tech_proj!M660))</f>
        <v>1.5411135781079712</v>
      </c>
      <c r="N1160" s="113">
        <f>IF(tech_base!$T256&gt;N$905,"",N2280+tech_proj!N1780/(1-tech_proj!N660))</f>
        <v>1.540895195931909</v>
      </c>
      <c r="O1160" s="113">
        <f>IF(tech_base!$T256&gt;O$905,"",O2280+tech_proj!O1780/(1-tech_proj!O660))</f>
        <v>1.5406287222708197</v>
      </c>
      <c r="P1160" s="113">
        <f>IF(tech_base!$T256&gt;P$905,"",P2280+tech_proj!P1780/(1-tech_proj!P660))</f>
        <v>1.5403036362764799</v>
      </c>
      <c r="Q1160" s="113">
        <f>IF(tech_base!$T256&gt;Q$905,"",Q2280+tech_proj!Q1780/(1-tech_proj!Q660))</f>
        <v>1.5399071495908161</v>
      </c>
      <c r="R1160" s="113">
        <f>IF(tech_base!$T256&gt;R$905,"",R2280+tech_proj!R1780/(1-tech_proj!R660))</f>
        <v>1.5394237343182391</v>
      </c>
      <c r="S1160" s="113">
        <f>IF(tech_base!$T256&gt;S$905,"",S2280+tech_proj!S1780/(1-tech_proj!S660))</f>
        <v>1.5388345609165421</v>
      </c>
      <c r="T1160" s="113">
        <f>IF(tech_base!$T256&gt;T$905,"",T2280+tech_proj!T1780/(1-tech_proj!T660))</f>
        <v>1.538116832890416</v>
      </c>
      <c r="U1160" s="113">
        <f>IF(tech_base!$T256&gt;U$905,"",U2280+tech_proj!U1780/(1-tech_proj!U660))</f>
        <v>1.5372430054120239</v>
      </c>
      <c r="V1160" s="113">
        <f>IF(tech_base!$T256&gt;V$905,"",V2280+tech_proj!V1780/(1-tech_proj!V660))</f>
        <v>1.5361798766638466</v>
      </c>
      <c r="W1160" s="113">
        <f>IF(tech_base!$T256&gt;W$905,"",W2280+tech_proj!W1780/(1-tech_proj!W660))</f>
        <v>1.5348875446629064</v>
      </c>
      <c r="X1160" s="113">
        <f>IF(tech_base!$T256&gt;X$905,"",X2280+tech_proj!X1780/(1-tech_proj!X660))</f>
        <v>1.5333182298061432</v>
      </c>
      <c r="Y1160" s="113">
        <f>IF(tech_base!$T256&gt;Y$905,"",Y2280+tech_proj!Y1780/(1-tech_proj!Y660))</f>
        <v>1.5314149760518967</v>
      </c>
      <c r="Z1160" s="113">
        <f>IF(tech_base!$T256&gt;Z$905,"",Z2280+tech_proj!Z1780/(1-tech_proj!Z660))</f>
        <v>1.5291102637278291</v>
      </c>
      <c r="AA1160" s="113">
        <f>IF(tech_base!$T256&gt;AA$905,"",AA2280+tech_proj!AA1780/(1-tech_proj!AA660))</f>
        <v>1.5263245971716499</v>
      </c>
      <c r="AB1160" s="113">
        <f>IF(tech_base!$T256&gt;AB$905,"",AB2280+tech_proj!AB1780/(1-tech_proj!AB660))</f>
        <v>1.5229651738924646</v>
      </c>
      <c r="AC1160" s="113">
        <f>IF(tech_base!$T256&gt;AC$905,"",AC2280+tech_proj!AC1780/(1-tech_proj!AC660))</f>
        <v>1.5189248017418358</v>
      </c>
      <c r="AD1160" s="113">
        <f>IF(tech_base!$T256&gt;AD$905,"",AD2280+tech_proj!AD1780/(1-tech_proj!AD660))</f>
        <v>1.5140813087083003</v>
      </c>
      <c r="AE1160" s="113">
        <f>IF(tech_base!$T256&gt;AE$905,"",AE2280+tech_proj!AE1780/(1-tech_proj!AE660))</f>
        <v>1.5082977855562567</v>
      </c>
      <c r="AF1160" s="113">
        <f>IF(tech_base!$T256&gt;AF$905,"",AF2280+tech_proj!AF1780/(1-tech_proj!AF660))</f>
        <v>1.501424108041056</v>
      </c>
      <c r="AG1160" s="113">
        <f>IF(tech_base!$T256&gt;AG$905,"",AG2280+tech_proj!AG1780/(1-tech_proj!AG660))</f>
        <v>1.4933002864337481</v>
      </c>
      <c r="AH1160" s="113">
        <f>IF(tech_base!$T256&gt;AH$905,"",AH2280+tech_proj!AH1780/(1-tech_proj!AH660))</f>
        <v>1.4837622544989006</v>
      </c>
      <c r="AI1160" s="113">
        <f>IF(tech_base!$T256&gt;AI$905,"",AI2280+tech_proj!AI1780/(1-tech_proj!AI660))</f>
        <v>1.4726506882069412</v>
      </c>
      <c r="AJ1160" s="113">
        <f>IF(tech_base!$T256&gt;AJ$905,"",AJ2280+tech_proj!AJ1780/(1-tech_proj!AJ660))</f>
        <v>1.4598232685712096</v>
      </c>
      <c r="AK1160" s="113">
        <f>IF(tech_base!$T256&gt;AK$905,"",AK2280+tech_proj!AK1780/(1-tech_proj!AK660))</f>
        <v>1.4451703979393953</v>
      </c>
      <c r="AL1160" s="113">
        <f>IF(tech_base!$T256&gt;AL$905,"",AL2280+tech_proj!AL1780/(1-tech_proj!AL660))</f>
        <v>1.428633689780449</v>
      </c>
      <c r="AM1160" s="113">
        <f>IF(tech_base!$T256&gt;AM$905,"",AM2280+tech_proj!AM1780/(1-tech_proj!AM660))</f>
        <v>1.4102255907594137</v>
      </c>
      <c r="AN1160" s="113">
        <f>IF(tech_base!$T256&gt;AN$905,"",AN2280+tech_proj!AN1780/(1-tech_proj!AN660))</f>
        <v>1.390047398525966</v>
      </c>
      <c r="AO1160" s="113">
        <f>IF(tech_base!$T256&gt;AO$905,"",AO2280+tech_proj!AO1780/(1-tech_proj!AO660))</f>
        <v>1.3683020125800052</v>
      </c>
      <c r="AP1160" s="113">
        <f>IF(tech_base!$T256&gt;AP$905,"",AP2280+tech_proj!AP1780/(1-tech_proj!AP660))</f>
        <v>1.3452974406643303</v>
      </c>
      <c r="AQ1160" s="113">
        <f>IF(tech_base!$T256&gt;AQ$905,"",AQ2280+tech_proj!AQ1780/(1-tech_proj!AQ660))</f>
        <v>1.3214378205169062</v>
      </c>
      <c r="AR1160" s="113">
        <f>IF(tech_base!$T256&gt;AR$905,"",AR2280+tech_proj!AR1780/(1-tech_proj!AR660))</f>
        <v>1.2972007042462697</v>
      </c>
      <c r="AS1160" s="113">
        <f>IF(tech_base!$T256&gt;AS$905,"",AS2280+tech_proj!AS1780/(1-tech_proj!AS660))</f>
        <v>1.2731023038342582</v>
      </c>
      <c r="AT1160" s="113">
        <f>IF(tech_base!$T256&gt;AT$905,"",AT2280+tech_proj!AT1780/(1-tech_proj!AT660))</f>
        <v>1.2496554839853855</v>
      </c>
      <c r="AU1160" s="113">
        <f>IF(tech_base!$T256&gt;AU$905,"",AU2280+tech_proj!AU1780/(1-tech_proj!AU660))</f>
        <v>1.2273274055618404</v>
      </c>
      <c r="AV1160" s="113">
        <f>IF(tech_base!$T256&gt;AV$905,"",AV2280+tech_proj!AV1780/(1-tech_proj!AV660))</f>
        <v>1.2065039962458424</v>
      </c>
      <c r="AW1160" s="113">
        <f>IF(tech_base!$T256&gt;AW$905,"",AW2280+tech_proj!AW1780/(1-tech_proj!AW660))</f>
        <v>1.1874666917779602</v>
      </c>
      <c r="AX1160" s="114">
        <f>IF(tech_base!$T256&gt;AX$905,"",AX2280+tech_proj!AX1780/(1-tech_proj!AX660))</f>
        <v>1.1703838091184082</v>
      </c>
    </row>
    <row r="1161" spans="1:50" x14ac:dyDescent="0.25">
      <c r="A1161" s="355" t="s">
        <v>39</v>
      </c>
      <c r="B1161" s="358" t="s">
        <v>39</v>
      </c>
      <c r="C1161" s="353" t="s">
        <v>6</v>
      </c>
      <c r="D1161" s="3" t="s">
        <v>7</v>
      </c>
      <c r="E1161" s="162" t="str">
        <f>A1161&amp;"/"&amp;B1161&amp;"/"&amp;C1161&amp;"/"&amp;D1161</f>
        <v>Geothermal power plants/Geothermal power plants/Electricity only/L</v>
      </c>
      <c r="F1161" s="77" t="str">
        <f>A1161</f>
        <v>Geothermal power plants</v>
      </c>
      <c r="G1161" s="77" t="str">
        <f>B1161</f>
        <v>Geothermal power plants</v>
      </c>
      <c r="H1161" s="77" t="str">
        <f>C1161</f>
        <v>Electricity only</v>
      </c>
      <c r="I1161" s="163" t="str">
        <f t="shared" si="370"/>
        <v>L</v>
      </c>
      <c r="J1161" s="107">
        <f>IF(tech_base!$T257&gt;J$905,"",J2281+tech_proj!J1781/(1-tech_proj!J661))</f>
        <v>34.244462269389771</v>
      </c>
      <c r="K1161" s="107">
        <f>IF(tech_base!$T257&gt;K$905,"",K2281+tech_proj!K1781/(1-tech_proj!K661))</f>
        <v>34.21910611360768</v>
      </c>
      <c r="L1161" s="107">
        <f>IF(tech_base!$T257&gt;L$905,"",L2281+tech_proj!L1781/(1-tech_proj!L661))</f>
        <v>34.189717134920727</v>
      </c>
      <c r="M1161" s="107">
        <f>IF(tech_base!$T257&gt;M$905,"",M2281+tech_proj!M1781/(1-tech_proj!M661))</f>
        <v>34.15566707939432</v>
      </c>
      <c r="N1161" s="107">
        <f>IF(tech_base!$T257&gt;N$905,"",N2281+tech_proj!N1781/(1-tech_proj!N661))</f>
        <v>34.116234369697466</v>
      </c>
      <c r="O1161" s="107">
        <f>IF(tech_base!$T257&gt;O$905,"",O2281+tech_proj!O1781/(1-tech_proj!O661))</f>
        <v>34.070591820097555</v>
      </c>
      <c r="P1161" s="107">
        <f>IF(tech_base!$T257&gt;P$905,"",P2281+tech_proj!P1781/(1-tech_proj!P661))</f>
        <v>34.017793292094048</v>
      </c>
      <c r="Q1161" s="107">
        <f>IF(tech_base!$T257&gt;Q$905,"",Q2281+tech_proj!Q1781/(1-tech_proj!Q661))</f>
        <v>33.956759413012279</v>
      </c>
      <c r="R1161" s="107">
        <f>IF(tech_base!$T257&gt;R$905,"",R2281+tech_proj!R1781/(1-tech_proj!R661))</f>
        <v>33.886262585742806</v>
      </c>
      <c r="S1161" s="107">
        <f>IF(tech_base!$T257&gt;S$905,"",S2281+tech_proj!S1781/(1-tech_proj!S661))</f>
        <v>33.804911662217243</v>
      </c>
      <c r="T1161" s="107">
        <f>IF(tech_base!$T257&gt;T$905,"",T2281+tech_proj!T1781/(1-tech_proj!T661))</f>
        <v>33.711136845553277</v>
      </c>
      <c r="U1161" s="107">
        <f>IF(tech_base!$T257&gt;U$905,"",U2281+tech_proj!U1781/(1-tech_proj!U661))</f>
        <v>33.603175636091564</v>
      </c>
      <c r="V1161" s="107">
        <f>IF(tech_base!$T257&gt;V$905,"",V2281+tech_proj!V1781/(1-tech_proj!V661))</f>
        <v>33.479060954398413</v>
      </c>
      <c r="W1161" s="107">
        <f>IF(tech_base!$T257&gt;W$905,"",W2281+tech_proj!W1781/(1-tech_proj!W661))</f>
        <v>33.336612967123692</v>
      </c>
      <c r="X1161" s="107">
        <f>IF(tech_base!$T257&gt;X$905,"",X2281+tech_proj!X1781/(1-tech_proj!X661))</f>
        <v>33.173436611647915</v>
      </c>
      <c r="Y1161" s="107">
        <f>IF(tech_base!$T257&gt;Y$905,"",Y2281+tech_proj!Y1781/(1-tech_proj!Y661))</f>
        <v>32.986927355432037</v>
      </c>
      <c r="Z1161" s="107">
        <f>IF(tech_base!$T257&gt;Z$905,"",Z2281+tech_proj!Z1781/(1-tech_proj!Z661))</f>
        <v>32.774288312788549</v>
      </c>
      <c r="AA1161" s="107">
        <f>IF(tech_base!$T257&gt;AA$905,"",AA2281+tech_proj!AA1781/(1-tech_proj!AA661))</f>
        <v>32.532562428251687</v>
      </c>
      <c r="AB1161" s="107">
        <f>IF(tech_base!$T257&gt;AB$905,"",AB2281+tech_proj!AB1781/(1-tech_proj!AB661))</f>
        <v>32.2586839406653</v>
      </c>
      <c r="AC1161" s="107">
        <f>IF(tech_base!$T257&gt;AC$905,"",AC2281+tech_proj!AC1781/(1-tech_proj!AC661))</f>
        <v>31.94955363989267</v>
      </c>
      <c r="AD1161" s="107">
        <f>IF(tech_base!$T257&gt;AD$905,"",AD2281+tech_proj!AD1781/(1-tech_proj!AD661))</f>
        <v>31.602142340196451</v>
      </c>
      <c r="AE1161" s="107">
        <f>IF(tech_base!$T257&gt;AE$905,"",AE2281+tech_proj!AE1781/(1-tech_proj!AE661))</f>
        <v>31.213626287872714</v>
      </c>
      <c r="AF1161" s="107">
        <f>IF(tech_base!$T257&gt;AF$905,"",AF2281+tech_proj!AF1781/(1-tech_proj!AF661))</f>
        <v>30.781556620463878</v>
      </c>
      <c r="AG1161" s="107">
        <f>IF(tech_base!$T257&gt;AG$905,"",AG2281+tech_proj!AG1781/(1-tech_proj!AG661))</f>
        <v>30.304062218939357</v>
      </c>
      <c r="AH1161" s="107">
        <f>IF(tech_base!$T257&gt;AH$905,"",AH2281+tech_proj!AH1781/(1-tech_proj!AH661))</f>
        <v>29.78008112260218</v>
      </c>
      <c r="AI1161" s="107">
        <f>IF(tech_base!$T257&gt;AI$905,"",AI2281+tech_proj!AI1781/(1-tech_proj!AI661))</f>
        <v>29.20961005852627</v>
      </c>
      <c r="AJ1161" s="107">
        <f>IF(tech_base!$T257&gt;AJ$905,"",AJ2281+tech_proj!AJ1781/(1-tech_proj!AJ661))</f>
        <v>28.59395483313407</v>
      </c>
      <c r="AK1161" s="107">
        <f>IF(tech_base!$T257&gt;AK$905,"",AK2281+tech_proj!AK1781/(1-tech_proj!AK661))</f>
        <v>27.935957063140972</v>
      </c>
      <c r="AL1161" s="107">
        <f>IF(tech_base!$T257&gt;AL$905,"",AL2281+tech_proj!AL1781/(1-tech_proj!AL661))</f>
        <v>27.240166269163051</v>
      </c>
      <c r="AM1161" s="107">
        <f>IF(tech_base!$T257&gt;AM$905,"",AM2281+tech_proj!AM1781/(1-tech_proj!AM661))</f>
        <v>26.512922536303289</v>
      </c>
      <c r="AN1161" s="107">
        <f>IF(tech_base!$T257&gt;AN$905,"",AN2281+tech_proj!AN1781/(1-tech_proj!AN661))</f>
        <v>25.762315868898185</v>
      </c>
      <c r="AO1161" s="107">
        <f>IF(tech_base!$T257&gt;AO$905,"",AO2281+tech_proj!AO1781/(1-tech_proj!AO661))</f>
        <v>24.99799590344572</v>
      </c>
      <c r="AP1161" s="107">
        <f>IF(tech_base!$T257&gt;AP$905,"",AP2281+tech_proj!AP1781/(1-tech_proj!AP661))</f>
        <v>24.230820678549737</v>
      </c>
      <c r="AQ1161" s="107">
        <f>IF(tech_base!$T257&gt;AQ$905,"",AQ2281+tech_proj!AQ1781/(1-tech_proj!AQ661))</f>
        <v>23.472354805939144</v>
      </c>
      <c r="AR1161" s="107">
        <f>IF(tech_base!$T257&gt;AR$905,"",AR2281+tech_proj!AR1781/(1-tech_proj!AR661))</f>
        <v>22.734252516874921</v>
      </c>
      <c r="AS1161" s="107">
        <f>IF(tech_base!$T257&gt;AS$905,"",AS2281+tech_proj!AS1781/(1-tech_proj!AS661))</f>
        <v>22.027584542150159</v>
      </c>
      <c r="AT1161" s="107">
        <f>IF(tech_base!$T257&gt;AT$905,"",AT2281+tech_proj!AT1781/(1-tech_proj!AT661))</f>
        <v>21.362183615677406</v>
      </c>
      <c r="AU1161" s="107">
        <f>IF(tech_base!$T257&gt;AU$905,"",AU2281+tech_proj!AU1781/(1-tech_proj!AU661))</f>
        <v>20.746086532134481</v>
      </c>
      <c r="AV1161" s="107">
        <f>IF(tech_base!$T257&gt;AV$905,"",AV2281+tech_proj!AV1781/(1-tech_proj!AV661))</f>
        <v>20.185138979647775</v>
      </c>
      <c r="AW1161" s="107">
        <f>IF(tech_base!$T257&gt;AW$905,"",AW2281+tech_proj!AW1781/(1-tech_proj!AW661))</f>
        <v>19.682804660454039</v>
      </c>
      <c r="AX1161" s="108">
        <f>IF(tech_base!$T257&gt;AX$905,"",AX2281+tech_proj!AX1781/(1-tech_proj!AX661))</f>
        <v>19.240188075422886</v>
      </c>
    </row>
    <row r="1162" spans="1:50" x14ac:dyDescent="0.25">
      <c r="A1162" s="356"/>
      <c r="B1162" s="376"/>
      <c r="C1162" s="378"/>
      <c r="D1162" s="2" t="s">
        <v>8</v>
      </c>
      <c r="E1162" s="160" t="str">
        <f>A1161&amp;"/"&amp;B1161&amp;"/"&amp;C1161&amp;"/"&amp;D1162</f>
        <v>Geothermal power plants/Geothermal power plants/Electricity only/M</v>
      </c>
      <c r="F1162" s="76" t="str">
        <f>A1161</f>
        <v>Geothermal power plants</v>
      </c>
      <c r="G1162" s="76" t="str">
        <f>B1161</f>
        <v>Geothermal power plants</v>
      </c>
      <c r="H1162" s="76" t="str">
        <f>C1161</f>
        <v>Electricity only</v>
      </c>
      <c r="I1162" s="161" t="str">
        <f t="shared" si="370"/>
        <v>M</v>
      </c>
      <c r="J1162" s="105">
        <f>IF(tech_base!$T258&gt;J$905,"",J2282+tech_proj!J1782/(1-tech_proj!J662))</f>
        <v>36.533530602905124</v>
      </c>
      <c r="K1162" s="105">
        <f>IF(tech_base!$T258&gt;K$905,"",K2282+tech_proj!K1782/(1-tech_proj!K662))</f>
        <v>36.500598883875831</v>
      </c>
      <c r="L1162" s="105">
        <f>IF(tech_base!$T258&gt;L$905,"",L2282+tech_proj!L1782/(1-tech_proj!L662))</f>
        <v>36.462440550737959</v>
      </c>
      <c r="M1162" s="105">
        <f>IF(tech_base!$T258&gt;M$905,"",M2282+tech_proj!M1782/(1-tech_proj!M662))</f>
        <v>36.418245217672784</v>
      </c>
      <c r="N1162" s="105">
        <f>IF(tech_base!$T258&gt;N$905,"",N2282+tech_proj!N1782/(1-tech_proj!N662))</f>
        <v>36.367083459954515</v>
      </c>
      <c r="O1162" s="105">
        <f>IF(tech_base!$T258&gt;O$905,"",O2282+tech_proj!O1782/(1-tech_proj!O662))</f>
        <v>36.307891620849659</v>
      </c>
      <c r="P1162" s="105">
        <f>IF(tech_base!$T258&gt;P$905,"",P2282+tech_proj!P1782/(1-tech_proj!P662))</f>
        <v>36.239455493151716</v>
      </c>
      <c r="Q1162" s="105">
        <f>IF(tech_base!$T258&gt;Q$905,"",Q2282+tech_proj!Q1782/(1-tech_proj!Q662))</f>
        <v>36.160393110203309</v>
      </c>
      <c r="R1162" s="105">
        <f>IF(tech_base!$T258&gt;R$905,"",R2282+tech_proj!R1782/(1-tech_proj!R662))</f>
        <v>36.069137038754583</v>
      </c>
      <c r="S1162" s="105">
        <f>IF(tech_base!$T258&gt;S$905,"",S2282+tech_proj!S1782/(1-tech_proj!S662))</f>
        <v>35.963916777163469</v>
      </c>
      <c r="T1162" s="105">
        <f>IF(tech_base!$T258&gt;T$905,"",T2282+tech_proj!T1782/(1-tech_proj!T662))</f>
        <v>35.842742139107187</v>
      </c>
      <c r="U1162" s="105">
        <f>IF(tech_base!$T258&gt;U$905,"",U2282+tech_proj!U1782/(1-tech_proj!U662))</f>
        <v>35.703388856983828</v>
      </c>
      <c r="V1162" s="105">
        <f>IF(tech_base!$T258&gt;V$905,"",V2282+tech_proj!V1782/(1-tech_proj!V662))</f>
        <v>35.543388080547956</v>
      </c>
      <c r="W1162" s="105">
        <f>IF(tech_base!$T258&gt;W$905,"",W2282+tech_proj!W1782/(1-tech_proj!W662))</f>
        <v>35.360021980173471</v>
      </c>
      <c r="X1162" s="105">
        <f>IF(tech_base!$T258&gt;X$905,"",X2282+tech_proj!X1782/(1-tech_proj!X662))</f>
        <v>35.150328286003159</v>
      </c>
      <c r="Y1162" s="105">
        <f>IF(tech_base!$T258&gt;Y$905,"",Y2282+tech_proj!Y1782/(1-tech_proj!Y662))</f>
        <v>34.911117283235306</v>
      </c>
      <c r="Z1162" s="105">
        <f>IF(tech_base!$T258&gt;Z$905,"",Z2282+tech_proj!Z1782/(1-tech_proj!Z662))</f>
        <v>34.639005493329229</v>
      </c>
      <c r="AA1162" s="105">
        <f>IF(tech_base!$T258&gt;AA$905,"",AA2282+tech_proj!AA1782/(1-tech_proj!AA662))</f>
        <v>34.330470917118845</v>
      </c>
      <c r="AB1162" s="105">
        <f>IF(tech_base!$T258&gt;AB$905,"",AB2282+tech_proj!AB1782/(1-tech_proj!AB662))</f>
        <v>33.981935164611897</v>
      </c>
      <c r="AC1162" s="105">
        <f>IF(tech_base!$T258&gt;AC$905,"",AC2282+tech_proj!AC1782/(1-tech_proj!AC662))</f>
        <v>33.589877851460656</v>
      </c>
      <c r="AD1162" s="105">
        <f>IF(tech_base!$T258&gt;AD$905,"",AD2282+tech_proj!AD1782/(1-tech_proj!AD662))</f>
        <v>33.150988039529466</v>
      </c>
      <c r="AE1162" s="105">
        <f>IF(tech_base!$T258&gt;AE$905,"",AE2282+tech_proj!AE1782/(1-tech_proj!AE662))</f>
        <v>32.662355914145351</v>
      </c>
      <c r="AF1162" s="105">
        <f>IF(tech_base!$T258&gt;AF$905,"",AF2282+tech_proj!AF1782/(1-tech_proj!AF662))</f>
        <v>32.12170497089987</v>
      </c>
      <c r="AG1162" s="105">
        <f>IF(tech_base!$T258&gt;AG$905,"",AG2282+tech_proj!AG1782/(1-tech_proj!AG662))</f>
        <v>31.527660419058602</v>
      </c>
      <c r="AH1162" s="105">
        <f>IF(tech_base!$T258&gt;AH$905,"",AH2282+tech_proj!AH1782/(1-tech_proj!AH662))</f>
        <v>30.880043144044372</v>
      </c>
      <c r="AI1162" s="105">
        <f>IF(tech_base!$T258&gt;AI$905,"",AI2282+tech_proj!AI1782/(1-tech_proj!AI662))</f>
        <v>30.180170579204294</v>
      </c>
      <c r="AJ1162" s="105">
        <f>IF(tech_base!$T258&gt;AJ$905,"",AJ2282+tech_proj!AJ1782/(1-tech_proj!AJ662))</f>
        <v>29.431136904394084</v>
      </c>
      <c r="AK1162" s="105">
        <f>IF(tech_base!$T258&gt;AK$905,"",AK2282+tech_proj!AK1782/(1-tech_proj!AK662))</f>
        <v>28.638036483656677</v>
      </c>
      <c r="AL1162" s="105">
        <f>IF(tech_base!$T258&gt;AL$905,"",AL2282+tech_proj!AL1782/(1-tech_proj!AL662))</f>
        <v>27.808088467172961</v>
      </c>
      <c r="AM1162" s="105">
        <f>IF(tech_base!$T258&gt;AM$905,"",AM2282+tech_proj!AM1782/(1-tech_proj!AM662))</f>
        <v>26.950619627219581</v>
      </c>
      <c r="AN1162" s="105">
        <f>IF(tech_base!$T258&gt;AN$905,"",AN2282+tech_proj!AN1782/(1-tech_proj!AN662))</f>
        <v>26.076869366677709</v>
      </c>
      <c r="AO1162" s="105">
        <f>IF(tech_base!$T258&gt;AO$905,"",AO2282+tech_proj!AO1782/(1-tech_proj!AO662))</f>
        <v>25.199597112153061</v>
      </c>
      <c r="AP1162" s="105">
        <f>IF(tech_base!$T258&gt;AP$905,"",AP2282+tech_proj!AP1782/(1-tech_proj!AP662))</f>
        <v>24.332497690342446</v>
      </c>
      <c r="AQ1162" s="105">
        <f>IF(tech_base!$T258&gt;AQ$905,"",AQ2282+tech_proj!AQ1782/(1-tech_proj!AQ662))</f>
        <v>23.489461689915768</v>
      </c>
      <c r="AR1162" s="105">
        <f>IF(tech_base!$T258&gt;AR$905,"",AR2282+tech_proj!AR1782/(1-tech_proj!AR662))</f>
        <v>22.683749251836971</v>
      </c>
      <c r="AS1162" s="105">
        <f>IF(tech_base!$T258&gt;AS$905,"",AS2282+tech_proj!AS1782/(1-tech_proj!AS662))</f>
        <v>21.927169426645996</v>
      </c>
      <c r="AT1162" s="105">
        <f>IF(tech_base!$T258&gt;AT$905,"",AT2282+tech_proj!AT1782/(1-tech_proj!AT662))</f>
        <v>21.229365820989035</v>
      </c>
      <c r="AU1162" s="105">
        <f>IF(tech_base!$T258&gt;AU$905,"",AU2282+tech_proj!AU1782/(1-tech_proj!AU662))</f>
        <v>20.597298472386594</v>
      </c>
      <c r="AV1162" s="105">
        <f>IF(tech_base!$T258&gt;AV$905,"",AV2282+tech_proj!AV1782/(1-tech_proj!AV662))</f>
        <v>20.034982634654781</v>
      </c>
      <c r="AW1162" s="105">
        <f>IF(tech_base!$T258&gt;AW$905,"",AW2282+tech_proj!AW1782/(1-tech_proj!AW662))</f>
        <v>19.54350376158364</v>
      </c>
      <c r="AX1162" s="106">
        <f>IF(tech_base!$T258&gt;AX$905,"",AX2282+tech_proj!AX1782/(1-tech_proj!AX662))</f>
        <v>19.121284387947625</v>
      </c>
    </row>
    <row r="1163" spans="1:50" x14ac:dyDescent="0.25">
      <c r="A1163" s="357"/>
      <c r="B1163" s="380"/>
      <c r="C1163" s="381"/>
      <c r="D1163" s="4" t="s">
        <v>10</v>
      </c>
      <c r="E1163" s="168" t="str">
        <f>A1161&amp;"/"&amp;B1161&amp;"/"&amp;C1161&amp;"/"&amp;D1163</f>
        <v>Geothermal power plants/Geothermal power plants/Electricity only/S</v>
      </c>
      <c r="F1163" s="80" t="str">
        <f>A1161</f>
        <v>Geothermal power plants</v>
      </c>
      <c r="G1163" s="80" t="str">
        <f>B1161</f>
        <v>Geothermal power plants</v>
      </c>
      <c r="H1163" s="80" t="str">
        <f>C1161</f>
        <v>Electricity only</v>
      </c>
      <c r="I1163" s="169" t="str">
        <f t="shared" ref="I1163:I1177" si="371">D1163</f>
        <v>S</v>
      </c>
      <c r="J1163" s="113">
        <f>IF(tech_base!$T259&gt;J$905,"",J2283+tech_proj!J1783/(1-tech_proj!J663))</f>
        <v>39.414058977364959</v>
      </c>
      <c r="K1163" s="113">
        <f>IF(tech_base!$T259&gt;K$905,"",K2283+tech_proj!K1783/(1-tech_proj!K663))</f>
        <v>39.393745000675544</v>
      </c>
      <c r="L1163" s="113">
        <f>IF(tech_base!$T259&gt;L$905,"",L2283+tech_proj!L1783/(1-tech_proj!L663))</f>
        <v>39.370176980206644</v>
      </c>
      <c r="M1163" s="113">
        <f>IF(tech_base!$T259&gt;M$905,"",M2283+tech_proj!M1783/(1-tech_proj!M663))</f>
        <v>39.34283991509173</v>
      </c>
      <c r="N1163" s="113">
        <f>IF(tech_base!$T259&gt;N$905,"",N2283+tech_proj!N1783/(1-tech_proj!N663))</f>
        <v>39.311139472989261</v>
      </c>
      <c r="O1163" s="113">
        <f>IF(tech_base!$T259&gt;O$905,"",O2283+tech_proj!O1783/(1-tech_proj!O663))</f>
        <v>39.274390527359344</v>
      </c>
      <c r="P1163" s="113">
        <f>IF(tech_base!$T259&gt;P$905,"",P2283+tech_proj!P1783/(1-tech_proj!P663))</f>
        <v>39.231804305204172</v>
      </c>
      <c r="Q1163" s="113">
        <f>IF(tech_base!$T259&gt;Q$905,"",Q2283+tech_proj!Q1783/(1-tech_proj!Q663))</f>
        <v>39.182474074472438</v>
      </c>
      <c r="R1163" s="113">
        <f>IF(tech_base!$T259&gt;R$905,"",R2283+tech_proj!R1783/(1-tech_proj!R663))</f>
        <v>39.125359337934384</v>
      </c>
      <c r="S1163" s="113">
        <f>IF(tech_base!$T259&gt;S$905,"",S2283+tech_proj!S1783/(1-tech_proj!S663))</f>
        <v>39.05926855857124</v>
      </c>
      <c r="T1163" s="113">
        <f>IF(tech_base!$T259&gt;T$905,"",T2283+tech_proj!T1783/(1-tech_proj!T663))</f>
        <v>38.982840527424635</v>
      </c>
      <c r="U1163" s="113">
        <f>IF(tech_base!$T259&gt;U$905,"",U2283+tech_proj!U1783/(1-tech_proj!U663))</f>
        <v>38.894524607178184</v>
      </c>
      <c r="V1163" s="113">
        <f>IF(tech_base!$T259&gt;V$905,"",V2283+tech_proj!V1783/(1-tech_proj!V663))</f>
        <v>38.792560254114157</v>
      </c>
      <c r="W1163" s="113">
        <f>IF(tech_base!$T259&gt;W$905,"",W2283+tech_proj!W1783/(1-tech_proj!W663))</f>
        <v>38.674956449948688</v>
      </c>
      <c r="X1163" s="113">
        <f>IF(tech_base!$T259&gt;X$905,"",X2283+tech_proj!X1783/(1-tech_proj!X663))</f>
        <v>38.539471977306327</v>
      </c>
      <c r="Y1163" s="113">
        <f>IF(tech_base!$T259&gt;Y$905,"",Y2283+tech_proj!Y1783/(1-tech_proj!Y663))</f>
        <v>38.383597862713366</v>
      </c>
      <c r="Z1163" s="113">
        <f>IF(tech_base!$T259&gt;Z$905,"",Z2283+tech_proj!Z1783/(1-tech_proj!Z663))</f>
        <v>38.204543802201542</v>
      </c>
      <c r="AA1163" s="113">
        <f>IF(tech_base!$T259&gt;AA$905,"",AA2283+tech_proj!AA1783/(1-tech_proj!AA663))</f>
        <v>37.999230985861359</v>
      </c>
      <c r="AB1163" s="113">
        <f>IF(tech_base!$T259&gt;AB$905,"",AB2283+tech_proj!AB1783/(1-tech_proj!AB663))</f>
        <v>37.764294448715447</v>
      </c>
      <c r="AC1163" s="113">
        <f>IF(tech_base!$T259&gt;AC$905,"",AC2283+tech_proj!AC1783/(1-tech_proj!AC663))</f>
        <v>37.496098879377769</v>
      </c>
      <c r="AD1163" s="113">
        <f>IF(tech_base!$T259&gt;AD$905,"",AD2283+tech_proj!AD1783/(1-tech_proj!AD663))</f>
        <v>37.190772671733576</v>
      </c>
      <c r="AE1163" s="113">
        <f>IF(tech_base!$T259&gt;AE$905,"",AE2283+tech_proj!AE1783/(1-tech_proj!AE663))</f>
        <v>36.844265825032608</v>
      </c>
      <c r="AF1163" s="113">
        <f>IF(tech_base!$T259&gt;AF$905,"",AF2283+tech_proj!AF1783/(1-tech_proj!AF663))</f>
        <v>36.452437945481549</v>
      </c>
      <c r="AG1163" s="113">
        <f>IF(tech_base!$T259&gt;AG$905,"",AG2283+tech_proj!AG1783/(1-tech_proj!AG663))</f>
        <v>36.011182867316016</v>
      </c>
      <c r="AH1163" s="113">
        <f>IF(tech_base!$T259&gt;AH$905,"",AH2283+tech_proj!AH1783/(1-tech_proj!AH663))</f>
        <v>35.516596000011205</v>
      </c>
      <c r="AI1163" s="113">
        <f>IF(tech_base!$T259&gt;AI$905,"",AI2283+tech_proj!AI1783/(1-tech_proj!AI663))</f>
        <v>34.965189045061706</v>
      </c>
      <c r="AJ1163" s="113">
        <f>IF(tech_base!$T259&gt;AJ$905,"",AJ2283+tech_proj!AJ1783/(1-tech_proj!AJ663))</f>
        <v>34.354153778029058</v>
      </c>
      <c r="AK1163" s="113">
        <f>IF(tech_base!$T259&gt;AK$905,"",AK2283+tech_proj!AK1783/(1-tech_proj!AK663))</f>
        <v>33.681671735432339</v>
      </c>
      <c r="AL1163" s="113">
        <f>IF(tech_base!$T259&gt;AL$905,"",AL2283+tech_proj!AL1783/(1-tech_proj!AL663))</f>
        <v>32.947259587984057</v>
      </c>
      <c r="AM1163" s="113">
        <f>IF(tech_base!$T259&gt;AM$905,"",AM2283+tech_proj!AM1783/(1-tech_proj!AM663))</f>
        <v>32.152130744426586</v>
      </c>
      <c r="AN1163" s="113">
        <f>IF(tech_base!$T259&gt;AN$905,"",AN2283+tech_proj!AN1783/(1-tech_proj!AN663))</f>
        <v>31.299542891052791</v>
      </c>
      <c r="AO1163" s="113">
        <f>IF(tech_base!$T259&gt;AO$905,"",AO2283+tech_proj!AO1783/(1-tech_proj!AO663))</f>
        <v>30.395090103665659</v>
      </c>
      <c r="AP1163" s="113">
        <f>IF(tech_base!$T259&gt;AP$905,"",AP2283+tech_proj!AP1783/(1-tech_proj!AP663))</f>
        <v>29.446889183170182</v>
      </c>
      <c r="AQ1163" s="113">
        <f>IF(tech_base!$T259&gt;AQ$905,"",AQ2283+tech_proj!AQ1783/(1-tech_proj!AQ663))</f>
        <v>28.46560611247131</v>
      </c>
      <c r="AR1163" s="113">
        <f>IF(tech_base!$T259&gt;AR$905,"",AR2283+tech_proj!AR1783/(1-tech_proj!AR663))</f>
        <v>27.464273492151928</v>
      </c>
      <c r="AS1163" s="113">
        <f>IF(tech_base!$T259&gt;AS$905,"",AS2283+tech_proj!AS1783/(1-tech_proj!AS663))</f>
        <v>26.45786630748789</v>
      </c>
      <c r="AT1163" s="113">
        <f>IF(tech_base!$T259&gt;AT$905,"",AT2283+tech_proj!AT1783/(1-tech_proj!AT663))</f>
        <v>25.462632207975631</v>
      </c>
      <c r="AU1163" s="113">
        <f>IF(tech_base!$T259&gt;AU$905,"",AU2283+tech_proj!AU1783/(1-tech_proj!AU663))</f>
        <v>24.495211084213317</v>
      </c>
      <c r="AV1163" s="113">
        <f>IF(tech_base!$T259&gt;AV$905,"",AV2283+tech_proj!AV1783/(1-tech_proj!AV663))</f>
        <v>23.571620557545707</v>
      </c>
      <c r="AW1163" s="113">
        <f>IF(tech_base!$T259&gt;AW$905,"",AW2283+tech_proj!AW1783/(1-tech_proj!AW663))</f>
        <v>22.706219279981227</v>
      </c>
      <c r="AX1163" s="114">
        <f>IF(tech_base!$T259&gt;AX$905,"",AX2283+tech_proj!AX1783/(1-tech_proj!AX663))</f>
        <v>21.910778125375415</v>
      </c>
    </row>
    <row r="1164" spans="1:50" x14ac:dyDescent="0.25">
      <c r="A1164" s="355" t="s">
        <v>40</v>
      </c>
      <c r="B1164" s="5" t="s">
        <v>41</v>
      </c>
      <c r="C1164" s="6" t="s">
        <v>6</v>
      </c>
      <c r="D1164" s="60" t="s">
        <v>8</v>
      </c>
      <c r="E1164" s="170" t="str">
        <f>A1164&amp;"/"&amp;B1164&amp;"/"&amp;C1164&amp;"/"&amp;D1164</f>
        <v>Tide, wave and ocean power plants/Tidal/Electricity only/M</v>
      </c>
      <c r="F1164" s="81" t="str">
        <f>A1164</f>
        <v>Tide, wave and ocean power plants</v>
      </c>
      <c r="G1164" s="81" t="str">
        <f>B1164</f>
        <v>Tidal</v>
      </c>
      <c r="H1164" s="81" t="str">
        <f>C1164</f>
        <v>Electricity only</v>
      </c>
      <c r="I1164" s="171" t="str">
        <f t="shared" si="371"/>
        <v>M</v>
      </c>
      <c r="J1164" s="115">
        <f>IF(tech_base!$T260&gt;J$905,"",J2284+tech_proj!J1784/(1-tech_proj!J664))</f>
        <v>4.8534583821805386</v>
      </c>
      <c r="K1164" s="115">
        <f>IF(tech_base!$T260&gt;K$905,"",K2284+tech_proj!K1784/(1-tech_proj!K664))</f>
        <v>4.8371163465389806</v>
      </c>
      <c r="L1164" s="115">
        <f>IF(tech_base!$T260&gt;L$905,"",L2284+tech_proj!L1784/(1-tech_proj!L664))</f>
        <v>4.8191785074267912</v>
      </c>
      <c r="M1164" s="115">
        <f>IF(tech_base!$T260&gt;M$905,"",M2284+tech_proj!M1784/(1-tech_proj!M664))</f>
        <v>4.7995029547394763</v>
      </c>
      <c r="N1164" s="115">
        <f>IF(tech_base!$T260&gt;N$905,"",N2284+tech_proj!N1784/(1-tech_proj!N664))</f>
        <v>4.7779381600899384</v>
      </c>
      <c r="O1164" s="115">
        <f>IF(tech_base!$T260&gt;O$905,"",O2284+tech_proj!O1784/(1-tech_proj!O664))</f>
        <v>4.7543229974283738</v>
      </c>
      <c r="P1164" s="115">
        <f>IF(tech_base!$T260&gt;P$905,"",P2284+tech_proj!P1784/(1-tech_proj!P664))</f>
        <v>4.7284869484855978</v>
      </c>
      <c r="Q1164" s="115">
        <f>IF(tech_base!$T260&gt;Q$905,"",Q2284+tech_proj!Q1784/(1-tech_proj!Q664))</f>
        <v>4.7002505387272526</v>
      </c>
      <c r="R1164" s="115">
        <f>IF(tech_base!$T260&gt;R$905,"",R2284+tech_proj!R1784/(1-tech_proj!R664))</f>
        <v>4.6694260559908338</v>
      </c>
      <c r="S1164" s="115">
        <f>IF(tech_base!$T260&gt;S$905,"",S2284+tech_proj!S1784/(1-tech_proj!S664))</f>
        <v>4.6358186104308574</v>
      </c>
      <c r="T1164" s="115">
        <f>IF(tech_base!$T260&gt;T$905,"",T2284+tech_proj!T1784/(1-tech_proj!T664))</f>
        <v>4.5992276004277146</v>
      </c>
      <c r="U1164" s="115">
        <f>IF(tech_base!$T260&gt;U$905,"",U2284+tech_proj!U1784/(1-tech_proj!U664))</f>
        <v>4.5594486541809465</v>
      </c>
      <c r="V1164" s="115">
        <f>IF(tech_base!$T260&gt;V$905,"",V2284+tech_proj!V1784/(1-tech_proj!V664))</f>
        <v>4.5162761200845987</v>
      </c>
      <c r="W1164" s="115">
        <f>IF(tech_base!$T260&gt;W$905,"",W2284+tech_proj!W1784/(1-tech_proj!W664))</f>
        <v>4.4695061797439619</v>
      </c>
      <c r="X1164" s="115">
        <f>IF(tech_base!$T260&gt;X$905,"",X2284+tech_proj!X1784/(1-tech_proj!X664))</f>
        <v>4.4189406544867911</v>
      </c>
      <c r="Y1164" s="115">
        <f>IF(tech_base!$T260&gt;Y$905,"",Y2284+tech_proj!Y1784/(1-tech_proj!Y664))</f>
        <v>4.3643915680716372</v>
      </c>
      <c r="Z1164" s="115">
        <f>IF(tech_base!$T260&gt;Z$905,"",Z2284+tech_proj!Z1784/(1-tech_proj!Z664))</f>
        <v>4.3056865134215458</v>
      </c>
      <c r="AA1164" s="115">
        <f>IF(tech_base!$T260&gt;AA$905,"",AA2284+tech_proj!AA1784/(1-tech_proj!AA664))</f>
        <v>4.2426748478941194</v>
      </c>
      <c r="AB1164" s="115">
        <f>IF(tech_base!$T260&gt;AB$905,"",AB2284+tech_proj!AB1784/(1-tech_proj!AB664))</f>
        <v>4.1752347080957914</v>
      </c>
      <c r="AC1164" s="115">
        <f>IF(tech_base!$T260&gt;AC$905,"",AC2284+tech_proj!AC1784/(1-tech_proj!AC664))</f>
        <v>4.1032807899759387</v>
      </c>
      <c r="AD1164" s="115">
        <f>IF(tech_base!$T260&gt;AD$905,"",AD2284+tech_proj!AD1784/(1-tech_proj!AD664))</f>
        <v>4.0267727817415118</v>
      </c>
      <c r="AE1164" s="115">
        <f>IF(tech_base!$T260&gt;AE$905,"",AE2284+tech_proj!AE1784/(1-tech_proj!AE664))</f>
        <v>3.9457242656488121</v>
      </c>
      <c r="AF1164" s="115">
        <f>IF(tech_base!$T260&gt;AF$905,"",AF2284+tech_proj!AF1784/(1-tech_proj!AF664))</f>
        <v>3.8602118208261818</v>
      </c>
      <c r="AG1164" s="115">
        <f>IF(tech_base!$T260&gt;AG$905,"",AG2284+tech_proj!AG1784/(1-tech_proj!AG664))</f>
        <v>3.7703839655767113</v>
      </c>
      <c r="AH1164" s="115">
        <f>IF(tech_base!$T260&gt;AH$905,"",AH2284+tech_proj!AH1784/(1-tech_proj!AH664))</f>
        <v>3.6764694789933068</v>
      </c>
      <c r="AI1164" s="115">
        <f>IF(tech_base!$T260&gt;AI$905,"",AI2284+tech_proj!AI1784/(1-tech_proj!AI664))</f>
        <v>3.5787845457982019</v>
      </c>
      <c r="AJ1164" s="115">
        <f>IF(tech_base!$T260&gt;AJ$905,"",AJ2284+tech_proj!AJ1784/(1-tech_proj!AJ664))</f>
        <v>3.4777380856670024</v>
      </c>
      <c r="AK1164" s="115">
        <f>IF(tech_base!$T260&gt;AK$905,"",AK2284+tech_proj!AK1784/(1-tech_proj!AK664))</f>
        <v>3.3738345723171608</v>
      </c>
      <c r="AL1164" s="115">
        <f>IF(tech_base!$T260&gt;AL$905,"",AL2284+tech_proj!AL1784/(1-tech_proj!AL664))</f>
        <v>3.2676736338826631</v>
      </c>
      <c r="AM1164" s="115">
        <f>IF(tech_base!$T260&gt;AM$905,"",AM2284+tech_proj!AM1784/(1-tech_proj!AM664))</f>
        <v>3.1599457708451149</v>
      </c>
      <c r="AN1164" s="115">
        <f>IF(tech_base!$T260&gt;AN$905,"",AN2284+tech_proj!AN1784/(1-tech_proj!AN664))</f>
        <v>3.0514236458333386</v>
      </c>
      <c r="AO1164" s="115">
        <f>IF(tech_base!$T260&gt;AO$905,"",AO2284+tech_proj!AO1784/(1-tech_proj!AO664))</f>
        <v>2.942948601226953</v>
      </c>
      <c r="AP1164" s="115">
        <f>IF(tech_base!$T260&gt;AP$905,"",AP2284+tech_proj!AP1784/(1-tech_proj!AP664))</f>
        <v>2.8354123479937283</v>
      </c>
      <c r="AQ1164" s="115">
        <f>IF(tech_base!$T260&gt;AQ$905,"",AQ2284+tech_proj!AQ1784/(1-tech_proj!AQ664))</f>
        <v>2.7297341333918856</v>
      </c>
      <c r="AR1164" s="115">
        <f>IF(tech_base!$T260&gt;AR$905,"",AR2284+tech_proj!AR1784/(1-tech_proj!AR664))</f>
        <v>2.62683411285908</v>
      </c>
      <c r="AS1164" s="115">
        <f>IF(tech_base!$T260&gt;AS$905,"",AS2284+tech_proj!AS1784/(1-tech_proj!AS664))</f>
        <v>2.527604084549</v>
      </c>
      <c r="AT1164" s="115">
        <f>IF(tech_base!$T260&gt;AT$905,"",AT2284+tech_proj!AT1784/(1-tech_proj!AT664))</f>
        <v>2.4328771426986955</v>
      </c>
      <c r="AU1164" s="115">
        <f>IF(tech_base!$T260&gt;AU$905,"",AU2284+tech_proj!AU1784/(1-tech_proj!AU664))</f>
        <v>2.3433981099733252</v>
      </c>
      <c r="AV1164" s="115">
        <f>IF(tech_base!$T260&gt;AV$905,"",AV2284+tech_proj!AV1784/(1-tech_proj!AV664))</f>
        <v>2.259796761919044</v>
      </c>
      <c r="AW1164" s="115">
        <f>IF(tech_base!$T260&gt;AW$905,"",AW2284+tech_proj!AW1784/(1-tech_proj!AW664))</f>
        <v>2.1825658133553167</v>
      </c>
      <c r="AX1164" s="116">
        <f>IF(tech_base!$T260&gt;AX$905,"",AX2284+tech_proj!AX1784/(1-tech_proj!AX664))</f>
        <v>2.1120453745458212</v>
      </c>
    </row>
    <row r="1165" spans="1:50" x14ac:dyDescent="0.25">
      <c r="A1165" s="375"/>
      <c r="B1165" s="279" t="s">
        <v>42</v>
      </c>
      <c r="C1165" s="7" t="s">
        <v>6</v>
      </c>
      <c r="D1165" s="4" t="s">
        <v>8</v>
      </c>
      <c r="E1165" s="168" t="str">
        <f>A1164&amp;"/"&amp;B1165&amp;"/"&amp;C1165&amp;"/"&amp;D1165</f>
        <v>Tide, wave and ocean power plants/Wave/Electricity only/M</v>
      </c>
      <c r="F1165" s="80" t="str">
        <f>A1164</f>
        <v>Tide, wave and ocean power plants</v>
      </c>
      <c r="G1165" s="80" t="str">
        <f>B1165</f>
        <v>Wave</v>
      </c>
      <c r="H1165" s="80" t="str">
        <f>C1165</f>
        <v>Electricity only</v>
      </c>
      <c r="I1165" s="169" t="str">
        <f t="shared" si="371"/>
        <v>M</v>
      </c>
      <c r="J1165" s="113">
        <f>IF(tech_base!$T261&gt;J$905,"",J2285+tech_proj!J1785/(1-tech_proj!J665))</f>
        <v>8.1538100820633073</v>
      </c>
      <c r="K1165" s="113">
        <f>IF(tech_base!$T261&gt;K$905,"",K2285+tech_proj!K1785/(1-tech_proj!K665))</f>
        <v>8.1279410555318883</v>
      </c>
      <c r="L1165" s="113">
        <f>IF(tech_base!$T261&gt;L$905,"",L2285+tech_proj!L1785/(1-tech_proj!L665))</f>
        <v>8.0995283833060832</v>
      </c>
      <c r="M1165" s="113">
        <f>IF(tech_base!$T261&gt;M$905,"",M2285+tech_proj!M1785/(1-tech_proj!M665))</f>
        <v>8.0683420085944331</v>
      </c>
      <c r="N1165" s="113">
        <f>IF(tech_base!$T261&gt;N$905,"",N2285+tech_proj!N1785/(1-tech_proj!N665))</f>
        <v>8.0341353904432022</v>
      </c>
      <c r="O1165" s="113">
        <f>IF(tech_base!$T261&gt;O$905,"",O2285+tech_proj!O1785/(1-tech_proj!O665))</f>
        <v>7.9966452845429012</v>
      </c>
      <c r="P1165" s="113">
        <f>IF(tech_base!$T261&gt;P$905,"",P2285+tech_proj!P1785/(1-tech_proj!P665))</f>
        <v>7.9555917740235707</v>
      </c>
      <c r="Q1165" s="113">
        <f>IF(tech_base!$T261&gt;Q$905,"",Q2285+tech_proj!Q1785/(1-tech_proj!Q665))</f>
        <v>7.9106786175863801</v>
      </c>
      <c r="R1165" s="113">
        <f>IF(tech_base!$T261&gt;R$905,"",R2285+tech_proj!R1785/(1-tech_proj!R665))</f>
        <v>7.861593992779742</v>
      </c>
      <c r="S1165" s="113">
        <f>IF(tech_base!$T261&gt;S$905,"",S2285+tech_proj!S1785/(1-tech_proj!S665))</f>
        <v>7.8080117230063761</v>
      </c>
      <c r="T1165" s="113">
        <f>IF(tech_base!$T261&gt;T$905,"",T2285+tech_proj!T1785/(1-tech_proj!T665))</f>
        <v>7.7495930874624568</v>
      </c>
      <c r="U1165" s="113">
        <f>IF(tech_base!$T261&gt;U$905,"",U2285+tech_proj!U1785/(1-tech_proj!U665))</f>
        <v>7.6859893229731453</v>
      </c>
      <c r="V1165" s="113">
        <f>IF(tech_base!$T261&gt;V$905,"",V2285+tech_proj!V1785/(1-tech_proj!V665))</f>
        <v>7.6168449346577205</v>
      </c>
      <c r="W1165" s="113">
        <f>IF(tech_base!$T261&gt;W$905,"",W2285+tech_proj!W1785/(1-tech_proj!W665))</f>
        <v>7.5418019372924405</v>
      </c>
      <c r="X1165" s="113">
        <f>IF(tech_base!$T261&gt;X$905,"",X2285+tech_proj!X1785/(1-tech_proj!X665))</f>
        <v>7.4605051495643524</v>
      </c>
      <c r="Y1165" s="113">
        <f>IF(tech_base!$T261&gt;Y$905,"",Y2285+tech_proj!Y1785/(1-tech_proj!Y665))</f>
        <v>7.3726086571918632</v>
      </c>
      <c r="Z1165" s="113">
        <f>IF(tech_base!$T261&gt;Z$905,"",Z2285+tech_proj!Z1785/(1-tech_proj!Z665))</f>
        <v>7.2777835458492559</v>
      </c>
      <c r="AA1165" s="113">
        <f>IF(tech_base!$T261&gt;AA$905,"",AA2285+tech_proj!AA1785/(1-tech_proj!AA665))</f>
        <v>7.1757269783988624</v>
      </c>
      <c r="AB1165" s="113">
        <f>IF(tech_base!$T261&gt;AB$905,"",AB2285+tech_proj!AB1785/(1-tech_proj!AB665))</f>
        <v>7.0661726503638862</v>
      </c>
      <c r="AC1165" s="113">
        <f>IF(tech_base!$T261&gt;AC$905,"",AC2285+tech_proj!AC1785/(1-tech_proj!AC665))</f>
        <v>6.9489026001648373</v>
      </c>
      <c r="AD1165" s="113">
        <f>IF(tech_base!$T261&gt;AD$905,"",AD2285+tech_proj!AD1785/(1-tech_proj!AD665))</f>
        <v>6.8237602740585137</v>
      </c>
      <c r="AE1165" s="113">
        <f>IF(tech_base!$T261&gt;AE$905,"",AE2285+tech_proj!AE1785/(1-tech_proj!AE665))</f>
        <v>6.6906646484492898</v>
      </c>
      <c r="AF1165" s="113">
        <f>IF(tech_base!$T261&gt;AF$905,"",AF2285+tech_proj!AF1785/(1-tech_proj!AF665))</f>
        <v>6.5496250941940115</v>
      </c>
      <c r="AG1165" s="113">
        <f>IF(tech_base!$T261&gt;AG$905,"",AG2285+tech_proj!AG1785/(1-tech_proj!AG665))</f>
        <v>6.4007565307316163</v>
      </c>
      <c r="AH1165" s="113">
        <f>IF(tech_base!$T261&gt;AH$905,"",AH2285+tech_proj!AH1785/(1-tech_proj!AH665))</f>
        <v>6.244294267287767</v>
      </c>
      <c r="AI1165" s="113">
        <f>IF(tech_base!$T261&gt;AI$905,"",AI2285+tech_proj!AI1785/(1-tech_proj!AI665))</f>
        <v>6.0806077726558696</v>
      </c>
      <c r="AJ1165" s="113">
        <f>IF(tech_base!$T261&gt;AJ$905,"",AJ2285+tech_proj!AJ1785/(1-tech_proj!AJ665))</f>
        <v>5.9102124670037783</v>
      </c>
      <c r="AK1165" s="113">
        <f>IF(tech_base!$T261&gt;AK$905,"",AK2285+tech_proj!AK1785/(1-tech_proj!AK665))</f>
        <v>5.7337785060932944</v>
      </c>
      <c r="AL1165" s="113">
        <f>IF(tech_base!$T261&gt;AL$905,"",AL2285+tech_proj!AL1785/(1-tech_proj!AL665))</f>
        <v>5.5521354514845278</v>
      </c>
      <c r="AM1165" s="113">
        <f>IF(tech_base!$T261&gt;AM$905,"",AM2285+tech_proj!AM1785/(1-tech_proj!AM665))</f>
        <v>5.3662717135893834</v>
      </c>
      <c r="AN1165" s="113">
        <f>IF(tech_base!$T261&gt;AN$905,"",AN2285+tech_proj!AN1785/(1-tech_proj!AN665))</f>
        <v>5.177327741832757</v>
      </c>
      <c r="AO1165" s="113">
        <f>IF(tech_base!$T261&gt;AO$905,"",AO2285+tech_proj!AO1785/(1-tech_proj!AO665))</f>
        <v>4.986582138181693</v>
      </c>
      <c r="AP1165" s="113">
        <f>IF(tech_base!$T261&gt;AP$905,"",AP2285+tech_proj!AP1785/(1-tech_proj!AP665))</f>
        <v>4.7954301993364998</v>
      </c>
      <c r="AQ1165" s="113">
        <f>IF(tech_base!$T261&gt;AQ$905,"",AQ2285+tech_proj!AQ1785/(1-tech_proj!AQ665))</f>
        <v>4.605354848260661</v>
      </c>
      <c r="AR1165" s="113">
        <f>IF(tech_base!$T261&gt;AR$905,"",AR2285+tech_proj!AR1785/(1-tech_proj!AR665))</f>
        <v>4.417890479108511</v>
      </c>
      <c r="AS1165" s="113">
        <f>IF(tech_base!$T261&gt;AS$905,"",AS2285+tech_proj!AS1785/(1-tech_proj!AS665))</f>
        <v>4.2345808720909508</v>
      </c>
      <c r="AT1165" s="113">
        <f>IF(tech_base!$T261&gt;AT$905,"",AT2285+tech_proj!AT1785/(1-tech_proj!AT665))</f>
        <v>4.0569329770709706</v>
      </c>
      <c r="AU1165" s="113">
        <f>IF(tech_base!$T261&gt;AU$905,"",AU2285+tech_proj!AU1785/(1-tech_proj!AU665))</f>
        <v>3.8863689411624311</v>
      </c>
      <c r="AV1165" s="113">
        <f>IF(tech_base!$T261&gt;AV$905,"",AV2285+tech_proj!AV1785/(1-tech_proj!AV665))</f>
        <v>3.7241791833279749</v>
      </c>
      <c r="AW1165" s="113">
        <f>IF(tech_base!$T261&gt;AW$905,"",AW2285+tech_proj!AW1785/(1-tech_proj!AW665))</f>
        <v>3.5714795202004797</v>
      </c>
      <c r="AX1165" s="114">
        <f>IF(tech_base!$T261&gt;AX$905,"",AX2285+tech_proj!AX1785/(1-tech_proj!AX665))</f>
        <v>3.4291752643930264</v>
      </c>
    </row>
    <row r="1166" spans="1:50" x14ac:dyDescent="0.25">
      <c r="A1166" s="355" t="s">
        <v>43</v>
      </c>
      <c r="B1166" s="358" t="s">
        <v>44</v>
      </c>
      <c r="C1166" s="353" t="s">
        <v>6</v>
      </c>
      <c r="D1166" s="3" t="s">
        <v>7</v>
      </c>
      <c r="E1166" s="162" t="str">
        <f>A1166&amp;"/"&amp;B1166&amp;"/"&amp;C1166&amp;"/"&amp;D1166</f>
        <v>Hydro plants/Run-of-river/Electricity only/L</v>
      </c>
      <c r="F1166" s="77" t="str">
        <f>A1166</f>
        <v>Hydro plants</v>
      </c>
      <c r="G1166" s="77" t="str">
        <f>B1166</f>
        <v>Run-of-river</v>
      </c>
      <c r="H1166" s="77" t="str">
        <f>C1166</f>
        <v>Electricity only</v>
      </c>
      <c r="I1166" s="163" t="str">
        <f t="shared" si="371"/>
        <v>L</v>
      </c>
      <c r="J1166" s="107">
        <f>IF(tech_base!$T262&gt;J$905,"",J2286+tech_proj!J1786/(1-tech_proj!J666))</f>
        <v>0.80539273153575619</v>
      </c>
      <c r="K1166" s="107">
        <f>IF(tech_base!$T262&gt;K$905,"",K2286+tech_proj!K1786/(1-tech_proj!K666))</f>
        <v>0.8050515178308999</v>
      </c>
      <c r="L1166" s="107">
        <f>IF(tech_base!$T262&gt;L$905,"",L2286+tech_proj!L1786/(1-tech_proj!L666))</f>
        <v>0.80467693474242563</v>
      </c>
      <c r="M1166" s="107">
        <f>IF(tech_base!$T262&gt;M$905,"",M2286+tech_proj!M1786/(1-tech_proj!M666))</f>
        <v>0.80426600118259917</v>
      </c>
      <c r="N1166" s="107">
        <f>IF(tech_base!$T262&gt;N$905,"",N2286+tech_proj!N1786/(1-tech_proj!N666))</f>
        <v>0.80381552995387173</v>
      </c>
      <c r="O1166" s="107">
        <f>IF(tech_base!$T262&gt;O$905,"",O2286+tech_proj!O1786/(1-tech_proj!O666))</f>
        <v>0.80332212672707504</v>
      </c>
      <c r="P1166" s="107">
        <f>IF(tech_base!$T262&gt;P$905,"",P2286+tech_proj!P1786/(1-tech_proj!P666))</f>
        <v>0.80278219249429905</v>
      </c>
      <c r="Q1166" s="107">
        <f>IF(tech_base!$T262&gt;Q$905,"",Q2286+tech_proj!Q1786/(1-tech_proj!Q666))</f>
        <v>0.80219193035483261</v>
      </c>
      <c r="R1166" s="107">
        <f>IF(tech_base!$T262&gt;R$905,"",R2286+tech_proj!R1786/(1-tech_proj!R666))</f>
        <v>0.80154735760734286</v>
      </c>
      <c r="S1166" s="107">
        <f>IF(tech_base!$T262&gt;S$905,"",S2286+tech_proj!S1786/(1-tech_proj!S666))</f>
        <v>0.80084432423276708</v>
      </c>
      <c r="T1166" s="107">
        <f>IF(tech_base!$T262&gt;T$905,"",T2286+tech_proj!T1786/(1-tech_proj!T666))</f>
        <v>0.80007853895238812</v>
      </c>
      <c r="U1166" s="107">
        <f>IF(tech_base!$T262&gt;U$905,"",U2286+tech_proj!U1786/(1-tech_proj!U666))</f>
        <v>0.7992456041238728</v>
      </c>
      <c r="V1166" s="107">
        <f>IF(tech_base!$T262&gt;V$905,"",V2286+tech_proj!V1786/(1-tech_proj!V666))</f>
        <v>0.79834106078131273</v>
      </c>
      <c r="W1166" s="107">
        <f>IF(tech_base!$T262&gt;W$905,"",W2286+tech_proj!W1786/(1-tech_proj!W666))</f>
        <v>0.79736044511690252</v>
      </c>
      <c r="X1166" s="107">
        <f>IF(tech_base!$T262&gt;X$905,"",X2286+tech_proj!X1786/(1-tech_proj!X666))</f>
        <v>0.79629935762201265</v>
      </c>
      <c r="Y1166" s="107">
        <f>IF(tech_base!$T262&gt;Y$905,"",Y2286+tech_proj!Y1786/(1-tech_proj!Y666))</f>
        <v>0.79515354593141918</v>
      </c>
      <c r="Z1166" s="107">
        <f>IF(tech_base!$T262&gt;Z$905,"",Z2286+tech_proj!Z1786/(1-tech_proj!Z666))</f>
        <v>0.7939190021216177</v>
      </c>
      <c r="AA1166" s="107">
        <f>IF(tech_base!$T262&gt;AA$905,"",AA2286+tech_proj!AA1786/(1-tech_proj!AA666))</f>
        <v>0.79259207477751337</v>
      </c>
      <c r="AB1166" s="107">
        <f>IF(tech_base!$T262&gt;AB$905,"",AB2286+tech_proj!AB1786/(1-tech_proj!AB666))</f>
        <v>0.79116959553834376</v>
      </c>
      <c r="AC1166" s="107">
        <f>IF(tech_base!$T262&gt;AC$905,"",AC2286+tech_proj!AC1786/(1-tech_proj!AC666))</f>
        <v>0.78964901904618701</v>
      </c>
      <c r="AD1166" s="107">
        <f>IF(tech_base!$T262&gt;AD$905,"",AD2286+tech_proj!AD1786/(1-tech_proj!AD666))</f>
        <v>0.78802857424167716</v>
      </c>
      <c r="AE1166" s="107">
        <f>IF(tech_base!$T262&gt;AE$905,"",AE2286+tech_proj!AE1786/(1-tech_proj!AE666))</f>
        <v>0.78630742379026397</v>
      </c>
      <c r="AF1166" s="107">
        <f>IF(tech_base!$T262&gt;AF$905,"",AF2286+tech_proj!AF1786/(1-tech_proj!AF666))</f>
        <v>0.78448582710891646</v>
      </c>
      <c r="AG1166" s="107">
        <f>IF(tech_base!$T262&gt;AG$905,"",AG2286+tech_proj!AG1786/(1-tech_proj!AG666))</f>
        <v>0.78256530105589883</v>
      </c>
      <c r="AH1166" s="107">
        <f>IF(tech_base!$T262&gt;AH$905,"",AH2286+tech_proj!AH1786/(1-tech_proj!AH666))</f>
        <v>0.78054877093593011</v>
      </c>
      <c r="AI1166" s="107">
        <f>IF(tech_base!$T262&gt;AI$905,"",AI2286+tech_proj!AI1786/(1-tech_proj!AI666))</f>
        <v>0.7784407031851035</v>
      </c>
      <c r="AJ1166" s="107">
        <f>IF(tech_base!$T262&gt;AJ$905,"",AJ2286+tech_proj!AJ1786/(1-tech_proj!AJ666))</f>
        <v>0.77624721009202402</v>
      </c>
      <c r="AK1166" s="107">
        <f>IF(tech_base!$T262&gt;AK$905,"",AK2286+tech_proj!AK1786/(1-tech_proj!AK666))</f>
        <v>0.77397611636508157</v>
      </c>
      <c r="AL1166" s="107">
        <f>IF(tech_base!$T262&gt;AL$905,"",AL2286+tech_proj!AL1786/(1-tech_proj!AL666))</f>
        <v>0.77163697745969373</v>
      </c>
      <c r="AM1166" s="107">
        <f>IF(tech_base!$T262&gt;AM$905,"",AM2286+tech_proj!AM1786/(1-tech_proj!AM666))</f>
        <v>0.76924104050687492</v>
      </c>
      <c r="AN1166" s="107">
        <f>IF(tech_base!$T262&gt;AN$905,"",AN2286+tech_proj!AN1786/(1-tech_proj!AN666))</f>
        <v>0.76680114056247983</v>
      </c>
      <c r="AO1166" s="107">
        <f>IF(tech_base!$T262&gt;AO$905,"",AO2286+tech_proj!AO1786/(1-tech_proj!AO666))</f>
        <v>0.76433152777209334</v>
      </c>
      <c r="AP1166" s="107">
        <f>IF(tech_base!$T262&gt;AP$905,"",AP2286+tech_proj!AP1786/(1-tech_proj!AP666))</f>
        <v>0.76184762485594104</v>
      </c>
      <c r="AQ1166" s="107">
        <f>IF(tech_base!$T262&gt;AQ$905,"",AQ2286+tech_proj!AQ1786/(1-tech_proj!AQ666))</f>
        <v>0.75936571886446358</v>
      </c>
      <c r="AR1166" s="107">
        <f>IF(tech_base!$T262&gt;AR$905,"",AR2286+tech_proj!AR1786/(1-tech_proj!AR666))</f>
        <v>0.75690259610344812</v>
      </c>
      <c r="AS1166" s="107">
        <f>IF(tech_base!$T262&gt;AS$905,"",AS2286+tech_proj!AS1786/(1-tech_proj!AS666))</f>
        <v>0.75447513402302224</v>
      </c>
      <c r="AT1166" s="107">
        <f>IF(tech_base!$T262&gt;AT$905,"",AT2286+tech_proj!AT1786/(1-tech_proj!AT666))</f>
        <v>0.75209986817684549</v>
      </c>
      <c r="AU1166" s="107">
        <f>IF(tech_base!$T262&gt;AU$905,"",AU2286+tech_proj!AU1786/(1-tech_proj!AU666))</f>
        <v>0.74979255554756086</v>
      </c>
      <c r="AV1166" s="107">
        <f>IF(tech_base!$T262&gt;AV$905,"",AV2286+tech_proj!AV1786/(1-tech_proj!AV666))</f>
        <v>0.74756775713645873</v>
      </c>
      <c r="AW1166" s="107">
        <f>IF(tech_base!$T262&gt;AW$905,"",AW2286+tech_proj!AW1786/(1-tech_proj!AW666))</f>
        <v>0.74543846241897549</v>
      </c>
      <c r="AX1166" s="108">
        <f>IF(tech_base!$T262&gt;AX$905,"",AX2286+tech_proj!AX1786/(1-tech_proj!AX666))</f>
        <v>0.74341577598263442</v>
      </c>
    </row>
    <row r="1167" spans="1:50" x14ac:dyDescent="0.25">
      <c r="A1167" s="356"/>
      <c r="B1167" s="376"/>
      <c r="C1167" s="378"/>
      <c r="D1167" s="2" t="s">
        <v>8</v>
      </c>
      <c r="E1167" s="160" t="str">
        <f>A1166&amp;"/"&amp;B1166&amp;"/"&amp;C1166&amp;"/"&amp;D1167</f>
        <v>Hydro plants/Run-of-river/Electricity only/M</v>
      </c>
      <c r="F1167" s="76" t="str">
        <f>A1166</f>
        <v>Hydro plants</v>
      </c>
      <c r="G1167" s="76" t="str">
        <f>B1166</f>
        <v>Run-of-river</v>
      </c>
      <c r="H1167" s="76" t="str">
        <f>C1166</f>
        <v>Electricity only</v>
      </c>
      <c r="I1167" s="161" t="str">
        <f t="shared" si="371"/>
        <v>M</v>
      </c>
      <c r="J1167" s="105">
        <f>IF(tech_base!$T263&gt;J$905,"",J2287+tech_proj!J1787/(1-tech_proj!J667))</f>
        <v>0.80539273153575619</v>
      </c>
      <c r="K1167" s="105">
        <f>IF(tech_base!$T263&gt;K$905,"",K2287+tech_proj!K1787/(1-tech_proj!K667))</f>
        <v>0.80511218339616308</v>
      </c>
      <c r="L1167" s="105">
        <f>IF(tech_base!$T263&gt;L$905,"",L2287+tech_proj!L1787/(1-tech_proj!L667))</f>
        <v>0.80480383160939228</v>
      </c>
      <c r="M1167" s="105">
        <f>IF(tech_base!$T263&gt;M$905,"",M2287+tech_proj!M1787/(1-tech_proj!M667))</f>
        <v>0.80446511284542399</v>
      </c>
      <c r="N1167" s="105">
        <f>IF(tech_base!$T263&gt;N$905,"",N2287+tech_proj!N1787/(1-tech_proj!N667))</f>
        <v>0.80409326869342856</v>
      </c>
      <c r="O1167" s="105">
        <f>IF(tech_base!$T263&gt;O$905,"",O2287+tech_proj!O1787/(1-tech_proj!O667))</f>
        <v>0.80368533986326562</v>
      </c>
      <c r="P1167" s="105">
        <f>IF(tech_base!$T263&gt;P$905,"",P2287+tech_proj!P1787/(1-tech_proj!P667))</f>
        <v>0.8032381624620466</v>
      </c>
      <c r="Q1167" s="105">
        <f>IF(tech_base!$T263&gt;Q$905,"",Q2287+tech_proj!Q1787/(1-tech_proj!Q667))</f>
        <v>0.80274836697980168</v>
      </c>
      <c r="R1167" s="105">
        <f>IF(tech_base!$T263&gt;R$905,"",R2287+tech_proj!R1787/(1-tech_proj!R667))</f>
        <v>0.80221238072442214</v>
      </c>
      <c r="S1167" s="105">
        <f>IF(tech_base!$T263&gt;S$905,"",S2287+tech_proj!S1787/(1-tech_proj!S667))</f>
        <v>0.80162643455798166</v>
      </c>
      <c r="T1167" s="105">
        <f>IF(tech_base!$T263&gt;T$905,"",T2287+tech_proj!T1787/(1-tech_proj!T667))</f>
        <v>0.8009865749004994</v>
      </c>
      <c r="U1167" s="105">
        <f>IF(tech_base!$T263&gt;U$905,"",U2287+tech_proj!U1787/(1-tech_proj!U667))</f>
        <v>0.80028868207768578</v>
      </c>
      <c r="V1167" s="105">
        <f>IF(tech_base!$T263&gt;V$905,"",V2287+tech_proj!V1787/(1-tech_proj!V667))</f>
        <v>0.79952849618848054</v>
      </c>
      <c r="W1167" s="105">
        <f>IF(tech_base!$T263&gt;W$905,"",W2287+tech_proj!W1787/(1-tech_proj!W667))</f>
        <v>0.79870165174593422</v>
      </c>
      <c r="X1167" s="105">
        <f>IF(tech_base!$T263&gt;X$905,"",X2287+tech_proj!X1787/(1-tech_proj!X667))</f>
        <v>0.79780372238791841</v>
      </c>
      <c r="Y1167" s="105">
        <f>IF(tech_base!$T263&gt;Y$905,"",Y2287+tech_proj!Y1787/(1-tech_proj!Y667))</f>
        <v>0.7968302769458101</v>
      </c>
      <c r="Z1167" s="105">
        <f>IF(tech_base!$T263&gt;Z$905,"",Z2287+tech_proj!Z1787/(1-tech_proj!Z667))</f>
        <v>0.79577694808001065</v>
      </c>
      <c r="AA1167" s="105">
        <f>IF(tech_base!$T263&gt;AA$905,"",AA2287+tech_proj!AA1787/(1-tech_proj!AA667))</f>
        <v>0.79463951451841941</v>
      </c>
      <c r="AB1167" s="105">
        <f>IF(tech_base!$T263&gt;AB$905,"",AB2287+tech_proj!AB1787/(1-tech_proj!AB667))</f>
        <v>0.79341399764330733</v>
      </c>
      <c r="AC1167" s="105">
        <f>IF(tech_base!$T263&gt;AC$905,"",AC2287+tech_proj!AC1787/(1-tech_proj!AC667))</f>
        <v>0.7920967727385797</v>
      </c>
      <c r="AD1167" s="105">
        <f>IF(tech_base!$T263&gt;AD$905,"",AD2287+tech_proj!AD1787/(1-tech_proj!AD667))</f>
        <v>0.79068469461040114</v>
      </c>
      <c r="AE1167" s="105">
        <f>IF(tech_base!$T263&gt;AE$905,"",AE2287+tech_proj!AE1787/(1-tech_proj!AE667))</f>
        <v>0.78917523651240407</v>
      </c>
      <c r="AF1167" s="105">
        <f>IF(tech_base!$T263&gt;AF$905,"",AF2287+tech_proj!AF1787/(1-tech_proj!AF667))</f>
        <v>0.78756664033513779</v>
      </c>
      <c r="AG1167" s="105">
        <f>IF(tech_base!$T263&gt;AG$905,"",AG2287+tech_proj!AG1787/(1-tech_proj!AG667))</f>
        <v>0.78585807486660819</v>
      </c>
      <c r="AH1167" s="105">
        <f>IF(tech_base!$T263&gt;AH$905,"",AH2287+tech_proj!AH1787/(1-tech_proj!AH667))</f>
        <v>0.78404979762693805</v>
      </c>
      <c r="AI1167" s="105">
        <f>IF(tech_base!$T263&gt;AI$905,"",AI2287+tech_proj!AI1787/(1-tech_proj!AI667))</f>
        <v>0.78214331438318496</v>
      </c>
      <c r="AJ1167" s="105">
        <f>IF(tech_base!$T263&gt;AJ$905,"",AJ2287+tech_proj!AJ1787/(1-tech_proj!AJ667))</f>
        <v>0.78014152905035761</v>
      </c>
      <c r="AK1167" s="105">
        <f>IF(tech_base!$T263&gt;AK$905,"",AK2287+tech_proj!AK1787/(1-tech_proj!AK667))</f>
        <v>0.77804887540614764</v>
      </c>
      <c r="AL1167" s="105">
        <f>IF(tech_base!$T263&gt;AL$905,"",AL2287+tech_proj!AL1787/(1-tech_proj!AL667))</f>
        <v>0.77587142104635221</v>
      </c>
      <c r="AM1167" s="105">
        <f>IF(tech_base!$T263&gt;AM$905,"",AM2287+tech_proj!AM1787/(1-tech_proj!AM667))</f>
        <v>0.77361693346540783</v>
      </c>
      <c r="AN1167" s="105">
        <f>IF(tech_base!$T263&gt;AN$905,"",AN2287+tech_proj!AN1787/(1-tech_proj!AN667))</f>
        <v>0.77129489824962616</v>
      </c>
      <c r="AO1167" s="105">
        <f>IF(tech_base!$T263&gt;AO$905,"",AO2287+tech_proj!AO1787/(1-tech_proj!AO667))</f>
        <v>0.76891648029145243</v>
      </c>
      <c r="AP1167" s="105">
        <f>IF(tech_base!$T263&gt;AP$905,"",AP2287+tech_proj!AP1787/(1-tech_proj!AP667))</f>
        <v>0.76649442079732855</v>
      </c>
      <c r="AQ1167" s="105">
        <f>IF(tech_base!$T263&gt;AQ$905,"",AQ2287+tech_proj!AQ1787/(1-tech_proj!AQ667))</f>
        <v>0.76404286571634861</v>
      </c>
      <c r="AR1167" s="105">
        <f>IF(tech_base!$T263&gt;AR$905,"",AR2287+tech_proj!AR1787/(1-tech_proj!AR667))</f>
        <v>0.76157712499842745</v>
      </c>
      <c r="AS1167" s="105">
        <f>IF(tech_base!$T263&gt;AS$905,"",AS2287+tech_proj!AS1787/(1-tech_proj!AS667))</f>
        <v>0.7591133666037484</v>
      </c>
      <c r="AT1167" s="105">
        <f>IF(tech_base!$T263&gt;AT$905,"",AT2287+tech_proj!AT1787/(1-tech_proj!AT667))</f>
        <v>0.75666825409730554</v>
      </c>
      <c r="AU1167" s="105">
        <f>IF(tech_base!$T263&gt;AU$905,"",AU2287+tech_proj!AU1787/(1-tech_proj!AU667))</f>
        <v>0.75425854152199001</v>
      </c>
      <c r="AV1167" s="105">
        <f>IF(tech_base!$T263&gt;AV$905,"",AV2287+tech_proj!AV1787/(1-tech_proj!AV667))</f>
        <v>0.75190064352415753</v>
      </c>
      <c r="AW1167" s="105">
        <f>IF(tech_base!$T263&gt;AW$905,"",AW2287+tech_proj!AW1787/(1-tech_proj!AW667))</f>
        <v>0.74961020187202843</v>
      </c>
      <c r="AX1167" s="106">
        <f>IF(tech_base!$T263&gt;AX$905,"",AX2287+tech_proj!AX1787/(1-tech_proj!AX667))</f>
        <v>0.7474016710974366</v>
      </c>
    </row>
    <row r="1168" spans="1:50" x14ac:dyDescent="0.25">
      <c r="A1168" s="356"/>
      <c r="B1168" s="376"/>
      <c r="C1168" s="378"/>
      <c r="D1168" s="2" t="s">
        <v>10</v>
      </c>
      <c r="E1168" s="160" t="str">
        <f>A1166&amp;"/"&amp;B1166&amp;"/"&amp;C1166&amp;"/"&amp;D1168</f>
        <v>Hydro plants/Run-of-river/Electricity only/S</v>
      </c>
      <c r="F1168" s="76" t="str">
        <f>A1166</f>
        <v>Hydro plants</v>
      </c>
      <c r="G1168" s="76" t="str">
        <f>B1166</f>
        <v>Run-of-river</v>
      </c>
      <c r="H1168" s="76" t="str">
        <f>C1166</f>
        <v>Electricity only</v>
      </c>
      <c r="I1168" s="161" t="str">
        <f t="shared" si="371"/>
        <v>S</v>
      </c>
      <c r="J1168" s="105">
        <f>IF(tech_base!$T264&gt;J$905,"",J2288+tech_proj!J1788/(1-tech_proj!J668))</f>
        <v>0.80539273153575619</v>
      </c>
      <c r="K1168" s="105">
        <f>IF(tech_base!$T264&gt;K$905,"",K2288+tech_proj!K1788/(1-tech_proj!K668))</f>
        <v>0.80516223700867229</v>
      </c>
      <c r="L1168" s="105">
        <f>IF(tech_base!$T264&gt;L$905,"",L2288+tech_proj!L1788/(1-tech_proj!L668))</f>
        <v>0.8049086503284425</v>
      </c>
      <c r="M1168" s="105">
        <f>IF(tech_base!$T264&gt;M$905,"",M2288+tech_proj!M1788/(1-tech_proj!M668))</f>
        <v>0.80462978842311494</v>
      </c>
      <c r="N1168" s="105">
        <f>IF(tech_base!$T264&gt;N$905,"",N2288+tech_proj!N1788/(1-tech_proj!N668))</f>
        <v>0.80432328998439884</v>
      </c>
      <c r="O1168" s="105">
        <f>IF(tech_base!$T264&gt;O$905,"",O2288+tech_proj!O1788/(1-tech_proj!O668))</f>
        <v>0.80398660708916592</v>
      </c>
      <c r="P1168" s="105">
        <f>IF(tech_base!$T264&gt;P$905,"",P2288+tech_proj!P1788/(1-tech_proj!P668))</f>
        <v>0.80361699790601238</v>
      </c>
      <c r="Q1168" s="105">
        <f>IF(tech_base!$T264&gt;Q$905,"",Q2288+tech_proj!Q1788/(1-tech_proj!Q668))</f>
        <v>0.80321152093160719</v>
      </c>
      <c r="R1168" s="105">
        <f>IF(tech_base!$T264&gt;R$905,"",R2288+tech_proj!R1788/(1-tech_proj!R668))</f>
        <v>0.80276703128963633</v>
      </c>
      <c r="S1168" s="105">
        <f>IF(tech_base!$T264&gt;S$905,"",S2288+tech_proj!S1788/(1-tech_proj!S668))</f>
        <v>0.80228017972256582</v>
      </c>
      <c r="T1168" s="105">
        <f>IF(tech_base!$T264&gt;T$905,"",T2288+tech_proj!T1788/(1-tech_proj!T668))</f>
        <v>0.80174741501194902</v>
      </c>
      <c r="U1168" s="105">
        <f>IF(tech_base!$T264&gt;U$905,"",U2288+tech_proj!U1788/(1-tech_proj!U668))</f>
        <v>0.80116499067425817</v>
      </c>
      <c r="V1168" s="105">
        <f>IF(tech_base!$T264&gt;V$905,"",V2288+tech_proj!V1788/(1-tech_proj!V668))</f>
        <v>0.80052897689250058</v>
      </c>
      <c r="W1168" s="105">
        <f>IF(tech_base!$T264&gt;W$905,"",W2288+tech_proj!W1788/(1-tech_proj!W668))</f>
        <v>0.79983527875368421</v>
      </c>
      <c r="X1168" s="105">
        <f>IF(tech_base!$T264&gt;X$905,"",X2288+tech_proj!X1788/(1-tech_proj!X668))</f>
        <v>0.7990796619608791</v>
      </c>
      <c r="Y1168" s="105">
        <f>IF(tech_base!$T264&gt;Y$905,"",Y2288+tech_proj!Y1788/(1-tech_proj!Y668))</f>
        <v>0.79825778726588981</v>
      </c>
      <c r="Z1168" s="105">
        <f>IF(tech_base!$T264&gt;Z$905,"",Z2288+tech_proj!Z1788/(1-tech_proj!Z668))</f>
        <v>0.79736525491123256</v>
      </c>
      <c r="AA1168" s="105">
        <f>IF(tech_base!$T264&gt;AA$905,"",AA2288+tech_proj!AA1788/(1-tech_proj!AA668))</f>
        <v>0.79639766036181825</v>
      </c>
      <c r="AB1168" s="105">
        <f>IF(tech_base!$T264&gt;AB$905,"",AB2288+tech_proj!AB1788/(1-tech_proj!AB668))</f>
        <v>0.79535066252793785</v>
      </c>
      <c r="AC1168" s="105">
        <f>IF(tech_base!$T264&gt;AC$905,"",AC2288+tech_proj!AC1788/(1-tech_proj!AC668))</f>
        <v>0.79422006550944113</v>
      </c>
      <c r="AD1168" s="105">
        <f>IF(tech_base!$T264&gt;AD$905,"",AD2288+tech_proj!AD1788/(1-tech_proj!AD668))</f>
        <v>0.79300191460207692</v>
      </c>
      <c r="AE1168" s="105">
        <f>IF(tech_base!$T264&gt;AE$905,"",AE2288+tech_proj!AE1788/(1-tech_proj!AE668))</f>
        <v>0.79169260687610221</v>
      </c>
      <c r="AF1168" s="105">
        <f>IF(tech_base!$T264&gt;AF$905,"",AF2288+tech_proj!AF1788/(1-tech_proj!AF668))</f>
        <v>0.79028901604186552</v>
      </c>
      <c r="AG1168" s="105">
        <f>IF(tech_base!$T264&gt;AG$905,"",AG2288+tech_proj!AG1788/(1-tech_proj!AG668))</f>
        <v>0.78878863054000514</v>
      </c>
      <c r="AH1168" s="105">
        <f>IF(tech_base!$T264&gt;AH$905,"",AH2288+tech_proj!AH1788/(1-tech_proj!AH668))</f>
        <v>0.78718970282818512</v>
      </c>
      <c r="AI1168" s="105">
        <f>IF(tech_base!$T264&gt;AI$905,"",AI2288+tech_proj!AI1788/(1-tech_proj!AI668))</f>
        <v>0.78549140669041062</v>
      </c>
      <c r="AJ1168" s="105">
        <f>IF(tech_base!$T264&gt;AJ$905,"",AJ2288+tech_proj!AJ1788/(1-tech_proj!AJ668))</f>
        <v>0.78369399809897955</v>
      </c>
      <c r="AK1168" s="105">
        <f>IF(tech_base!$T264&gt;AK$905,"",AK2288+tech_proj!AK1788/(1-tech_proj!AK668))</f>
        <v>0.78179897377053864</v>
      </c>
      <c r="AL1168" s="105">
        <f>IF(tech_base!$T264&gt;AL$905,"",AL2288+tech_proj!AL1788/(1-tech_proj!AL668))</f>
        <v>0.77980922016611842</v>
      </c>
      <c r="AM1168" s="105">
        <f>IF(tech_base!$T264&gt;AM$905,"",AM2288+tech_proj!AM1788/(1-tech_proj!AM668))</f>
        <v>0.77772914441419538</v>
      </c>
      <c r="AN1168" s="105">
        <f>IF(tech_base!$T264&gt;AN$905,"",AN2288+tech_proj!AN1788/(1-tech_proj!AN668))</f>
        <v>0.77556477764128873</v>
      </c>
      <c r="AO1168" s="105">
        <f>IF(tech_base!$T264&gt;AO$905,"",AO2288+tech_proj!AO1788/(1-tech_proj!AO668))</f>
        <v>0.77332384065531878</v>
      </c>
      <c r="AP1168" s="105">
        <f>IF(tech_base!$T264&gt;AP$905,"",AP2288+tech_proj!AP1788/(1-tech_proj!AP668))</f>
        <v>0.7710157620294924</v>
      </c>
      <c r="AQ1168" s="105">
        <f>IF(tech_base!$T264&gt;AQ$905,"",AQ2288+tech_proj!AQ1788/(1-tech_proj!AQ668))</f>
        <v>0.76865163954968085</v>
      </c>
      <c r="AR1168" s="105">
        <f>IF(tech_base!$T264&gt;AR$905,"",AR2288+tech_proj!AR1788/(1-tech_proj!AR668))</f>
        <v>0.76624413784132039</v>
      </c>
      <c r="AS1168" s="105">
        <f>IF(tech_base!$T264&gt;AS$905,"",AS2288+tech_proj!AS1788/(1-tech_proj!AS668))</f>
        <v>0.7638073178292939</v>
      </c>
      <c r="AT1168" s="105">
        <f>IF(tech_base!$T264&gt;AT$905,"",AT2288+tech_proj!AT1788/(1-tech_proj!AT668))</f>
        <v>0.76135639744308092</v>
      </c>
      <c r="AU1168" s="105">
        <f>IF(tech_base!$T264&gt;AU$905,"",AU2288+tech_proj!AU1788/(1-tech_proj!AU668))</f>
        <v>0.75890744746535821</v>
      </c>
      <c r="AV1168" s="105">
        <f>IF(tech_base!$T264&gt;AV$905,"",AV2288+tech_proj!AV1788/(1-tech_proj!AV668))</f>
        <v>0.75647703130478239</v>
      </c>
      <c r="AW1168" s="105">
        <f>IF(tech_base!$T264&gt;AW$905,"",AW2288+tech_proj!AW1788/(1-tech_proj!AW668))</f>
        <v>0.75408180230408894</v>
      </c>
      <c r="AX1168" s="106">
        <f>IF(tech_base!$T264&gt;AX$905,"",AX2288+tech_proj!AX1788/(1-tech_proj!AX668))</f>
        <v>0.75173807644942126</v>
      </c>
    </row>
    <row r="1169" spans="1:50" x14ac:dyDescent="0.25">
      <c r="A1169" s="356"/>
      <c r="B1169" s="377"/>
      <c r="C1169" s="379"/>
      <c r="D1169" s="59" t="s">
        <v>20</v>
      </c>
      <c r="E1169" s="166" t="str">
        <f>A1166&amp;"/"&amp;B1166&amp;"/"&amp;C1166&amp;"/"&amp;D1169</f>
        <v>Hydro plants/Run-of-river/Electricity only/XS</v>
      </c>
      <c r="F1169" s="79" t="str">
        <f>A1166</f>
        <v>Hydro plants</v>
      </c>
      <c r="G1169" s="79" t="str">
        <f>B1166</f>
        <v>Run-of-river</v>
      </c>
      <c r="H1169" s="79" t="str">
        <f>C1166</f>
        <v>Electricity only</v>
      </c>
      <c r="I1169" s="167" t="str">
        <f t="shared" si="371"/>
        <v>XS</v>
      </c>
      <c r="J1169" s="111">
        <f>IF(tech_base!$T265&gt;J$905,"",J2289+tech_proj!J1789/(1-tech_proj!J669))</f>
        <v>0.8053927315357563</v>
      </c>
      <c r="K1169" s="111">
        <f>IF(tech_base!$T265&gt;K$905,"",K2289+tech_proj!K1789/(1-tech_proj!K669))</f>
        <v>0.80520347815008231</v>
      </c>
      <c r="L1169" s="111">
        <f>IF(tech_base!$T265&gt;L$905,"",L2289+tech_proj!L1789/(1-tech_proj!L669))</f>
        <v>0.80499509576656159</v>
      </c>
      <c r="M1169" s="111">
        <f>IF(tech_base!$T265&gt;M$905,"",M2289+tech_proj!M1789/(1-tech_proj!M669))</f>
        <v>0.8047657392292431</v>
      </c>
      <c r="N1169" s="111">
        <f>IF(tech_base!$T265&gt;N$905,"",N2289+tech_proj!N1789/(1-tech_proj!N669))</f>
        <v>0.80451340454857456</v>
      </c>
      <c r="O1169" s="111">
        <f>IF(tech_base!$T265&gt;O$905,"",O2289+tech_proj!O1789/(1-tech_proj!O669))</f>
        <v>0.80423591943079287</v>
      </c>
      <c r="P1169" s="111">
        <f>IF(tech_base!$T265&gt;P$905,"",P2289+tech_proj!P1789/(1-tech_proj!P669))</f>
        <v>0.80393093422577833</v>
      </c>
      <c r="Q1169" s="111">
        <f>IF(tech_base!$T265&gt;Q$905,"",Q2289+tech_proj!Q1789/(1-tech_proj!Q669))</f>
        <v>0.80359591358992255</v>
      </c>
      <c r="R1169" s="111">
        <f>IF(tech_base!$T265&gt;R$905,"",R2289+tech_proj!R1789/(1-tech_proj!R669))</f>
        <v>0.80322812922869846</v>
      </c>
      <c r="S1169" s="111">
        <f>IF(tech_base!$T265&gt;S$905,"",S2289+tech_proj!S1789/(1-tech_proj!S669))</f>
        <v>0.80282465416146587</v>
      </c>
      <c r="T1169" s="111">
        <f>IF(tech_base!$T265&gt;T$905,"",T2289+tech_proj!T1789/(1-tech_proj!T669))</f>
        <v>0.80238235903868771</v>
      </c>
      <c r="U1169" s="111">
        <f>IF(tech_base!$T265&gt;U$905,"",U2289+tech_proj!U1789/(1-tech_proj!U669))</f>
        <v>0.80189791113867026</v>
      </c>
      <c r="V1169" s="111">
        <f>IF(tech_base!$T265&gt;V$905,"",V2289+tech_proj!V1789/(1-tech_proj!V669))</f>
        <v>0.80136777677592208</v>
      </c>
      <c r="W1169" s="111">
        <f>IF(tech_base!$T265&gt;W$905,"",W2289+tech_proj!W1789/(1-tech_proj!W669))</f>
        <v>0.80078822796392779</v>
      </c>
      <c r="X1169" s="111">
        <f>IF(tech_base!$T265&gt;X$905,"",X2289+tech_proj!X1789/(1-tech_proj!X669))</f>
        <v>0.80015535428785312</v>
      </c>
      <c r="Y1169" s="111">
        <f>IF(tech_base!$T265&gt;Y$905,"",Y2289+tech_proj!Y1789/(1-tech_proj!Y669))</f>
        <v>0.799465081051972</v>
      </c>
      <c r="Z1169" s="111">
        <f>IF(tech_base!$T265&gt;Z$905,"",Z2289+tech_proj!Z1789/(1-tech_proj!Z669))</f>
        <v>0.79871319486478121</v>
      </c>
      <c r="AA1169" s="111">
        <f>IF(tech_base!$T265&gt;AA$905,"",AA2289+tech_proj!AA1789/(1-tech_proj!AA669))</f>
        <v>0.79789537790167508</v>
      </c>
      <c r="AB1169" s="111">
        <f>IF(tech_base!$T265&gt;AB$905,"",AB2289+tech_proj!AB1789/(1-tech_proj!AB669))</f>
        <v>0.79700725212750323</v>
      </c>
      <c r="AC1169" s="111">
        <f>IF(tech_base!$T265&gt;AC$905,"",AC2289+tech_proj!AC1789/(1-tech_proj!AC669))</f>
        <v>0.7960444347530975</v>
      </c>
      <c r="AD1169" s="111">
        <f>IF(tech_base!$T265&gt;AD$905,"",AD2289+tech_proj!AD1789/(1-tech_proj!AD669))</f>
        <v>0.79500260612143014</v>
      </c>
      <c r="AE1169" s="111">
        <f>IF(tech_base!$T265&gt;AE$905,"",AE2289+tech_proj!AE1789/(1-tech_proj!AE669))</f>
        <v>0.79387759104820677</v>
      </c>
      <c r="AF1169" s="111">
        <f>IF(tech_base!$T265&gt;AF$905,"",AF2289+tech_proj!AF1789/(1-tech_proj!AF669))</f>
        <v>0.7926654543542081</v>
      </c>
      <c r="AG1169" s="111">
        <f>IF(tech_base!$T265&gt;AG$905,"",AG2289+tech_proj!AG1789/(1-tech_proj!AG669))</f>
        <v>0.79136261089795357</v>
      </c>
      <c r="AH1169" s="111">
        <f>IF(tech_base!$T265&gt;AH$905,"",AH2289+tech_proj!AH1789/(1-tech_proj!AH669))</f>
        <v>0.78996594982480295</v>
      </c>
      <c r="AI1169" s="111">
        <f>IF(tech_base!$T265&gt;AI$905,"",AI2289+tech_proj!AI1789/(1-tech_proj!AI669))</f>
        <v>0.78847297197538047</v>
      </c>
      <c r="AJ1169" s="111">
        <f>IF(tech_base!$T265&gt;AJ$905,"",AJ2289+tech_proj!AJ1789/(1-tech_proj!AJ669))</f>
        <v>0.78688193843525689</v>
      </c>
      <c r="AK1169" s="111">
        <f>IF(tech_base!$T265&gt;AK$905,"",AK2289+tech_proj!AK1789/(1-tech_proj!AK669))</f>
        <v>0.78519202706760294</v>
      </c>
      <c r="AL1169" s="111">
        <f>IF(tech_base!$T265&gt;AL$905,"",AL2289+tech_proj!AL1789/(1-tech_proj!AL669))</f>
        <v>0.78340349258093867</v>
      </c>
      <c r="AM1169" s="111">
        <f>IF(tech_base!$T265&gt;AM$905,"",AM2289+tech_proj!AM1789/(1-tech_proj!AM669))</f>
        <v>0.78151782430237215</v>
      </c>
      <c r="AN1169" s="111">
        <f>IF(tech_base!$T265&gt;AN$905,"",AN2289+tech_proj!AN1789/(1-tech_proj!AN669))</f>
        <v>0.7795378944419965</v>
      </c>
      <c r="AO1169" s="111">
        <f>IF(tech_base!$T265&gt;AO$905,"",AO2289+tech_proj!AO1789/(1-tech_proj!AO669))</f>
        <v>0.77746808836956294</v>
      </c>
      <c r="AP1169" s="111">
        <f>IF(tech_base!$T265&gt;AP$905,"",AP2289+tech_proj!AP1789/(1-tech_proj!AP669))</f>
        <v>0.7753144074349172</v>
      </c>
      <c r="AQ1169" s="111">
        <f>IF(tech_base!$T265&gt;AQ$905,"",AQ2289+tech_proj!AQ1789/(1-tech_proj!AQ669))</f>
        <v>0.77308453432706847</v>
      </c>
      <c r="AR1169" s="111">
        <f>IF(tech_base!$T265&gt;AR$905,"",AR2289+tech_proj!AR1789/(1-tech_proj!AR669))</f>
        <v>0.77078785106879122</v>
      </c>
      <c r="AS1169" s="111">
        <f>IF(tech_base!$T265&gt;AS$905,"",AS2289+tech_proj!AS1789/(1-tech_proj!AS669))</f>
        <v>0.76843540065434524</v>
      </c>
      <c r="AT1169" s="111">
        <f>IF(tech_base!$T265&gt;AT$905,"",AT2289+tech_proj!AT1789/(1-tech_proj!AT669))</f>
        <v>0.76603978518180682</v>
      </c>
      <c r="AU1169" s="111">
        <f>IF(tech_base!$T265&gt;AU$905,"",AU2289+tech_proj!AU1789/(1-tech_proj!AU669))</f>
        <v>0.76361499615493744</v>
      </c>
      <c r="AV1169" s="111">
        <f>IF(tech_base!$T265&gt;AV$905,"",AV2289+tech_proj!AV1789/(1-tech_proj!AV669))</f>
        <v>0.76117617636977086</v>
      </c>
      <c r="AW1169" s="111">
        <f>IF(tech_base!$T265&gt;AW$905,"",AW2289+tech_proj!AW1789/(1-tech_proj!AW669))</f>
        <v>0.75873931726486077</v>
      </c>
      <c r="AX1169" s="112">
        <f>IF(tech_base!$T265&gt;AX$905,"",AX2289+tech_proj!AX1789/(1-tech_proj!AX669))</f>
        <v>0.75632090047256362</v>
      </c>
    </row>
    <row r="1170" spans="1:50" x14ac:dyDescent="0.25">
      <c r="A1170" s="356"/>
      <c r="B1170" s="359" t="s">
        <v>45</v>
      </c>
      <c r="C1170" s="350" t="s">
        <v>6</v>
      </c>
      <c r="D1170" s="2" t="s">
        <v>7</v>
      </c>
      <c r="E1170" s="160" t="str">
        <f>A1166&amp;"/"&amp;B1170&amp;"/"&amp;C1170&amp;"/"&amp;D1170</f>
        <v>Hydro plants/Reservoirs (dams)/Electricity only/L</v>
      </c>
      <c r="F1170" s="76" t="str">
        <f>A1166</f>
        <v>Hydro plants</v>
      </c>
      <c r="G1170" s="76" t="str">
        <f>B1170</f>
        <v>Reservoirs (dams)</v>
      </c>
      <c r="H1170" s="76" t="str">
        <f>C1170</f>
        <v>Electricity only</v>
      </c>
      <c r="I1170" s="161" t="str">
        <f t="shared" si="371"/>
        <v>L</v>
      </c>
      <c r="J1170" s="105">
        <f>IF(tech_base!$T266&gt;J$905,"",J2290+tech_proj!J1790/(1-tech_proj!J670))</f>
        <v>0.87250879249706914</v>
      </c>
      <c r="K1170" s="105">
        <f>IF(tech_base!$T266&gt;K$905,"",K2290+tech_proj!K1790/(1-tech_proj!K670))</f>
        <v>0.87249647464580871</v>
      </c>
      <c r="L1170" s="105">
        <f>IF(tech_base!$T266&gt;L$905,"",L2290+tech_proj!L1790/(1-tech_proj!L670))</f>
        <v>0.87248352895682546</v>
      </c>
      <c r="M1170" s="105">
        <f>IF(tech_base!$T266&gt;M$905,"",M2290+tech_proj!M1790/(1-tech_proj!M670))</f>
        <v>0.87246992362878428</v>
      </c>
      <c r="N1170" s="105">
        <f>IF(tech_base!$T266&gt;N$905,"",N2290+tech_proj!N1790/(1-tech_proj!N670))</f>
        <v>0.87245562527043841</v>
      </c>
      <c r="O1170" s="105">
        <f>IF(tech_base!$T266&gt;O$905,"",O2290+tech_proj!O1790/(1-tech_proj!O670))</f>
        <v>0.87244059882333436</v>
      </c>
      <c r="P1170" s="105">
        <f>IF(tech_base!$T266&gt;P$905,"",P2290+tech_proj!P1790/(1-tech_proj!P670))</f>
        <v>0.87242480748098972</v>
      </c>
      <c r="Q1170" s="105">
        <f>IF(tech_base!$T266&gt;Q$905,"",Q2290+tech_proj!Q1790/(1-tech_proj!Q670))</f>
        <v>0.87240821260440826</v>
      </c>
      <c r="R1170" s="105">
        <f>IF(tech_base!$T266&gt;R$905,"",R2290+tech_proj!R1790/(1-tech_proj!R670))</f>
        <v>0.87239077363379303</v>
      </c>
      <c r="S1170" s="105">
        <f>IF(tech_base!$T266&gt;S$905,"",S2290+tech_proj!S1790/(1-tech_proj!S670))</f>
        <v>0.87237244799631886</v>
      </c>
      <c r="T1170" s="105">
        <f>IF(tech_base!$T266&gt;T$905,"",T2290+tech_proj!T1790/(1-tech_proj!T670))</f>
        <v>0.87235319100981878</v>
      </c>
      <c r="U1170" s="105">
        <f>IF(tech_base!$T266&gt;U$905,"",U2290+tech_proj!U1790/(1-tech_proj!U670))</f>
        <v>0.87233295578224335</v>
      </c>
      <c r="V1170" s="105">
        <f>IF(tech_base!$T266&gt;V$905,"",V2290+tech_proj!V1790/(1-tech_proj!V670))</f>
        <v>0.87231169310674572</v>
      </c>
      <c r="W1170" s="105">
        <f>IF(tech_base!$T266&gt;W$905,"",W2290+tech_proj!W1790/(1-tech_proj!W670))</f>
        <v>0.87228935135224883</v>
      </c>
      <c r="X1170" s="105">
        <f>IF(tech_base!$T266&gt;X$905,"",X2290+tech_proj!X1790/(1-tech_proj!X670))</f>
        <v>0.87226587634935193</v>
      </c>
      <c r="Y1170" s="105">
        <f>IF(tech_base!$T266&gt;Y$905,"",Y2290+tech_proj!Y1790/(1-tech_proj!Y670))</f>
        <v>0.87224121127142795</v>
      </c>
      <c r="Z1170" s="105">
        <f>IF(tech_base!$T266&gt;Z$905,"",Z2290+tech_proj!Z1790/(1-tech_proj!Z670))</f>
        <v>0.87221529651077767</v>
      </c>
      <c r="AA1170" s="105">
        <f>IF(tech_base!$T266&gt;AA$905,"",AA2290+tech_proj!AA1790/(1-tech_proj!AA670))</f>
        <v>0.87218806954969741</v>
      </c>
      <c r="AB1170" s="105">
        <f>IF(tech_base!$T266&gt;AB$905,"",AB2290+tech_proj!AB1790/(1-tech_proj!AB670))</f>
        <v>0.87215946482632678</v>
      </c>
      <c r="AC1170" s="105">
        <f>IF(tech_base!$T266&gt;AC$905,"",AC2290+tech_proj!AC1790/(1-tech_proj!AC670))</f>
        <v>0.87212941359515339</v>
      </c>
      <c r="AD1170" s="105">
        <f>IF(tech_base!$T266&gt;AD$905,"",AD2290+tech_proj!AD1790/(1-tech_proj!AD670))</f>
        <v>0.87209784378204558</v>
      </c>
      <c r="AE1170" s="105">
        <f>IF(tech_base!$T266&gt;AE$905,"",AE2290+tech_proj!AE1790/(1-tech_proj!AE670))</f>
        <v>0.87206467983370761</v>
      </c>
      <c r="AF1170" s="105">
        <f>IF(tech_base!$T266&gt;AF$905,"",AF2290+tech_proj!AF1790/(1-tech_proj!AF670))</f>
        <v>0.87202984256145077</v>
      </c>
      <c r="AG1170" s="105">
        <f>IF(tech_base!$T266&gt;AG$905,"",AG2290+tech_proj!AG1790/(1-tech_proj!AG670))</f>
        <v>0.87199324897919206</v>
      </c>
      <c r="AH1170" s="105">
        <f>IF(tech_base!$T266&gt;AH$905,"",AH2290+tech_proj!AH1790/(1-tech_proj!AH670))</f>
        <v>0.87195481213560477</v>
      </c>
      <c r="AI1170" s="105">
        <f>IF(tech_base!$T266&gt;AI$905,"",AI2290+tech_proj!AI1790/(1-tech_proj!AI670))</f>
        <v>0.87191444094036374</v>
      </c>
      <c r="AJ1170" s="105">
        <f>IF(tech_base!$T266&gt;AJ$905,"",AJ2290+tech_proj!AJ1790/(1-tech_proj!AJ670))</f>
        <v>0.87187203998444684</v>
      </c>
      <c r="AK1170" s="105">
        <f>IF(tech_base!$T266&gt;AK$905,"",AK2290+tech_proj!AK1790/(1-tech_proj!AK670))</f>
        <v>0.87182750935447439</v>
      </c>
      <c r="AL1170" s="105">
        <f>IF(tech_base!$T266&gt;AL$905,"",AL2290+tech_proj!AL1790/(1-tech_proj!AL670))</f>
        <v>0.87178074444110287</v>
      </c>
      <c r="AM1170" s="105">
        <f>IF(tech_base!$T266&gt;AM$905,"",AM2290+tech_proj!AM1790/(1-tech_proj!AM670))</f>
        <v>0.87173163574150769</v>
      </c>
      <c r="AN1170" s="105">
        <f>IF(tech_base!$T266&gt;AN$905,"",AN2290+tech_proj!AN1790/(1-tech_proj!AN670))</f>
        <v>0.87168006865603187</v>
      </c>
      <c r="AO1170" s="105">
        <f>IF(tech_base!$T266&gt;AO$905,"",AO2290+tech_proj!AO1790/(1-tech_proj!AO670))</f>
        <v>0.8716259232791137</v>
      </c>
      <c r="AP1170" s="105">
        <f>IF(tech_base!$T266&gt;AP$905,"",AP2290+tech_proj!AP1790/(1-tech_proj!AP670))</f>
        <v>0.87156907418464813</v>
      </c>
      <c r="AQ1170" s="105">
        <f>IF(tech_base!$T266&gt;AQ$905,"",AQ2290+tech_proj!AQ1790/(1-tech_proj!AQ670))</f>
        <v>0.87150939020598228</v>
      </c>
      <c r="AR1170" s="105">
        <f>IF(tech_base!$T266&gt;AR$905,"",AR2290+tech_proj!AR1790/(1-tech_proj!AR670))</f>
        <v>0.87144673421080798</v>
      </c>
      <c r="AS1170" s="105">
        <f>IF(tech_base!$T266&gt;AS$905,"",AS2290+tech_proj!AS1790/(1-tech_proj!AS670))</f>
        <v>0.87138096287126232</v>
      </c>
      <c r="AT1170" s="105">
        <f>IF(tech_base!$T266&gt;AT$905,"",AT2290+tech_proj!AT1790/(1-tech_proj!AT670))</f>
        <v>0.87131192642962485</v>
      </c>
      <c r="AU1170" s="105">
        <f>IF(tech_base!$T266&gt;AU$905,"",AU2290+tech_proj!AU1790/(1-tech_proj!AU670))</f>
        <v>0.87123946846006173</v>
      </c>
      <c r="AV1170" s="105">
        <f>IF(tech_base!$T266&gt;AV$905,"",AV2290+tech_proj!AV1790/(1-tech_proj!AV670))</f>
        <v>0.87116342562696281</v>
      </c>
      <c r="AW1170" s="105">
        <f>IF(tech_base!$T266&gt;AW$905,"",AW2290+tech_proj!AW1790/(1-tech_proj!AW670))</f>
        <v>0.87108362744049084</v>
      </c>
      <c r="AX1170" s="106">
        <f>IF(tech_base!$T266&gt;AX$905,"",AX2290+tech_proj!AX1790/(1-tech_proj!AX670))</f>
        <v>0.87099989601007277</v>
      </c>
    </row>
    <row r="1171" spans="1:50" x14ac:dyDescent="0.25">
      <c r="A1171" s="356"/>
      <c r="B1171" s="376"/>
      <c r="C1171" s="378"/>
      <c r="D1171" s="2" t="s">
        <v>8</v>
      </c>
      <c r="E1171" s="160" t="str">
        <f>A1166&amp;"/"&amp;B1170&amp;"/"&amp;C1170&amp;"/"&amp;D1171</f>
        <v>Hydro plants/Reservoirs (dams)/Electricity only/M</v>
      </c>
      <c r="F1171" s="76" t="str">
        <f>A1166</f>
        <v>Hydro plants</v>
      </c>
      <c r="G1171" s="76" t="str">
        <f>B1170</f>
        <v>Reservoirs (dams)</v>
      </c>
      <c r="H1171" s="76" t="str">
        <f>C1170</f>
        <v>Electricity only</v>
      </c>
      <c r="I1171" s="161" t="str">
        <f t="shared" si="371"/>
        <v>M</v>
      </c>
      <c r="J1171" s="105">
        <f>IF(tech_base!$T267&gt;J$905,"",J2291+tech_proj!J1791/(1-tech_proj!J671))</f>
        <v>0.87250879249706925</v>
      </c>
      <c r="K1171" s="105">
        <f>IF(tech_base!$T267&gt;K$905,"",K2291+tech_proj!K1791/(1-tech_proj!K671))</f>
        <v>0.87250180104370101</v>
      </c>
      <c r="L1171" s="105">
        <f>IF(tech_base!$T267&gt;L$905,"",L2291+tech_proj!L1791/(1-tech_proj!L671))</f>
        <v>0.87249407556999903</v>
      </c>
      <c r="M1171" s="105">
        <f>IF(tech_base!$T267&gt;M$905,"",M2291+tech_proj!M1791/(1-tech_proj!M671))</f>
        <v>0.87248553916074967</v>
      </c>
      <c r="N1171" s="105">
        <f>IF(tech_base!$T267&gt;N$905,"",N2291+tech_proj!N1791/(1-tech_proj!N671))</f>
        <v>0.87247610687387389</v>
      </c>
      <c r="O1171" s="105">
        <f>IF(tech_base!$T267&gt;O$905,"",O2291+tech_proj!O1791/(1-tech_proj!O671))</f>
        <v>0.87246568490999543</v>
      </c>
      <c r="P1171" s="105">
        <f>IF(tech_base!$T267&gt;P$905,"",P2291+tech_proj!P1791/(1-tech_proj!P671))</f>
        <v>0.87245416969770195</v>
      </c>
      <c r="Q1171" s="105">
        <f>IF(tech_base!$T267&gt;Q$905,"",Q2291+tech_proj!Q1791/(1-tech_proj!Q671))</f>
        <v>0.87244144688629577</v>
      </c>
      <c r="R1171" s="105">
        <f>IF(tech_base!$T267&gt;R$905,"",R2291+tech_proj!R1791/(1-tech_proj!R671))</f>
        <v>0.87242739023711657</v>
      </c>
      <c r="S1171" s="105">
        <f>IF(tech_base!$T267&gt;S$905,"",S2291+tech_proj!S1791/(1-tech_proj!S671))</f>
        <v>0.87241186040375263</v>
      </c>
      <c r="T1171" s="105">
        <f>IF(tech_base!$T267&gt;T$905,"",T2291+tech_proj!T1791/(1-tech_proj!T671))</f>
        <v>0.87239470359065796</v>
      </c>
      <c r="U1171" s="105">
        <f>IF(tech_base!$T267&gt;U$905,"",U2291+tech_proj!U1791/(1-tech_proj!U671))</f>
        <v>0.8723757500788486</v>
      </c>
      <c r="V1171" s="105">
        <f>IF(tech_base!$T267&gt;V$905,"",V2291+tech_proj!V1791/(1-tech_proj!V671))</f>
        <v>0.87235481260647518</v>
      </c>
      <c r="W1171" s="105">
        <f>IF(tech_base!$T267&gt;W$905,"",W2291+tech_proj!W1791/(1-tech_proj!W671))</f>
        <v>0.87233168459117461</v>
      </c>
      <c r="X1171" s="105">
        <f>IF(tech_base!$T267&gt;X$905,"",X2291+tech_proj!X1791/(1-tech_proj!X671))</f>
        <v>0.8723061381801881</v>
      </c>
      <c r="Y1171" s="105">
        <f>IF(tech_base!$T267&gt;Y$905,"",Y2291+tech_proj!Y1791/(1-tech_proj!Y671))</f>
        <v>0.87227792211332766</v>
      </c>
      <c r="Z1171" s="105">
        <f>IF(tech_base!$T267&gt;Z$905,"",Z2291+tech_proj!Z1791/(1-tech_proj!Z671))</f>
        <v>0.87224675938298646</v>
      </c>
      <c r="AA1171" s="105">
        <f>IF(tech_base!$T267&gt;AA$905,"",AA2291+tech_proj!AA1791/(1-tech_proj!AA671))</f>
        <v>0.87221234467455844</v>
      </c>
      <c r="AB1171" s="105">
        <f>IF(tech_base!$T267&gt;AB$905,"",AB2291+tech_proj!AB1791/(1-tech_proj!AB671))</f>
        <v>0.87217434156988094</v>
      </c>
      <c r="AC1171" s="105">
        <f>IF(tech_base!$T267&gt;AC$905,"",AC2291+tech_proj!AC1791/(1-tech_proj!AC671))</f>
        <v>0.87213237949569833</v>
      </c>
      <c r="AD1171" s="105">
        <f>IF(tech_base!$T267&gt;AD$905,"",AD2291+tech_proj!AD1791/(1-tech_proj!AD671))</f>
        <v>0.87208605039870934</v>
      </c>
      <c r="AE1171" s="105">
        <f>IF(tech_base!$T267&gt;AE$905,"",AE2291+tech_proj!AE1791/(1-tech_proj!AE671))</f>
        <v>0.87203490512857906</v>
      </c>
      <c r="AF1171" s="105">
        <f>IF(tech_base!$T267&gt;AF$905,"",AF2291+tech_proj!AF1791/(1-tech_proj!AF671))</f>
        <v>0.87197844951045089</v>
      </c>
      <c r="AG1171" s="105">
        <f>IF(tech_base!$T267&gt;AG$905,"",AG2291+tech_proj!AG1791/(1-tech_proj!AG671))</f>
        <v>0.87191614008908647</v>
      </c>
      <c r="AH1171" s="105">
        <f>IF(tech_base!$T267&gt;AH$905,"",AH2291+tech_proj!AH1791/(1-tech_proj!AH671))</f>
        <v>0.87184737952792457</v>
      </c>
      <c r="AI1171" s="105">
        <f>IF(tech_base!$T267&gt;AI$905,"",AI2291+tech_proj!AI1791/(1-tech_proj!AI671))</f>
        <v>0.87177151164821876</v>
      </c>
      <c r="AJ1171" s="105">
        <f>IF(tech_base!$T267&gt;AJ$905,"",AJ2291+tech_proj!AJ1791/(1-tech_proj!AJ671))</f>
        <v>0.87168781609618662</v>
      </c>
      <c r="AK1171" s="105">
        <f>IF(tech_base!$T267&gt;AK$905,"",AK2291+tech_proj!AK1791/(1-tech_proj!AK671))</f>
        <v>0.87159550262998331</v>
      </c>
      <c r="AL1171" s="105">
        <f>IF(tech_base!$T267&gt;AL$905,"",AL2291+tech_proj!AL1791/(1-tech_proj!AL671))</f>
        <v>0.8714937050235505</v>
      </c>
      <c r="AM1171" s="105">
        <f>IF(tech_base!$T267&gt;AM$905,"",AM2291+tech_proj!AM1791/(1-tech_proj!AM671))</f>
        <v>0.87138147459129789</v>
      </c>
      <c r="AN1171" s="105">
        <f>IF(tech_base!$T267&gt;AN$905,"",AN2291+tech_proj!AN1791/(1-tech_proj!AN671))</f>
        <v>0.87125777334646093</v>
      </c>
      <c r="AO1171" s="105">
        <f>IF(tech_base!$T267&gt;AO$905,"",AO2291+tech_proj!AO1791/(1-tech_proj!AO671))</f>
        <v>0.87112146681726876</v>
      </c>
      <c r="AP1171" s="105">
        <f>IF(tech_base!$T267&gt;AP$905,"",AP2291+tech_proj!AP1791/(1-tech_proj!AP671))</f>
        <v>0.87097131655914739</v>
      </c>
      <c r="AQ1171" s="105">
        <f>IF(tech_base!$T267&gt;AQ$905,"",AQ2291+tech_proj!AQ1791/(1-tech_proj!AQ671))</f>
        <v>0.87080597241860314</v>
      </c>
      <c r="AR1171" s="105">
        <f>IF(tech_base!$T267&gt;AR$905,"",AR2291+tech_proj!AR1791/(1-tech_proj!AR671))</f>
        <v>0.87062396462565639</v>
      </c>
      <c r="AS1171" s="105">
        <f>IF(tech_base!$T267&gt;AS$905,"",AS2291+tech_proj!AS1791/(1-tech_proj!AS671))</f>
        <v>0.87042369581733026</v>
      </c>
      <c r="AT1171" s="105">
        <f>IF(tech_base!$T267&gt;AT$905,"",AT2291+tech_proj!AT1791/(1-tech_proj!AT671))</f>
        <v>0.8702034331252626</v>
      </c>
      <c r="AU1171" s="105">
        <f>IF(tech_base!$T267&gt;AU$905,"",AU2291+tech_proj!AU1791/(1-tech_proj!AU671))</f>
        <v>0.8699613004965846</v>
      </c>
      <c r="AV1171" s="105">
        <f>IF(tech_base!$T267&gt;AV$905,"",AV2291+tech_proj!AV1791/(1-tech_proj!AV671))</f>
        <v>0.86969527145926273</v>
      </c>
      <c r="AW1171" s="105">
        <f>IF(tech_base!$T267&gt;AW$905,"",AW2291+tech_proj!AW1791/(1-tech_proj!AW671))</f>
        <v>0.86940316259150197</v>
      </c>
      <c r="AX1171" s="106">
        <f>IF(tech_base!$T267&gt;AX$905,"",AX2291+tech_proj!AX1791/(1-tech_proj!AX671))</f>
        <v>0.869082628009747</v>
      </c>
    </row>
    <row r="1172" spans="1:50" x14ac:dyDescent="0.25">
      <c r="A1172" s="356"/>
      <c r="B1172" s="376"/>
      <c r="C1172" s="378"/>
      <c r="D1172" s="2" t="s">
        <v>10</v>
      </c>
      <c r="E1172" s="160" t="str">
        <f>A1166&amp;"/"&amp;B1170&amp;"/"&amp;C1170&amp;"/"&amp;D1172</f>
        <v>Hydro plants/Reservoirs (dams)/Electricity only/S</v>
      </c>
      <c r="F1172" s="76" t="str">
        <f>A1166</f>
        <v>Hydro plants</v>
      </c>
      <c r="G1172" s="76" t="str">
        <f>B1170</f>
        <v>Reservoirs (dams)</v>
      </c>
      <c r="H1172" s="76" t="str">
        <f>C1170</f>
        <v>Electricity only</v>
      </c>
      <c r="I1172" s="161" t="str">
        <f t="shared" si="371"/>
        <v>S</v>
      </c>
      <c r="J1172" s="105">
        <f>IF(tech_base!$T268&gt;J$905,"",J2292+tech_proj!J1792/(1-tech_proj!J672))</f>
        <v>0.87250879249706914</v>
      </c>
      <c r="K1172" s="105">
        <f>IF(tech_base!$T268&gt;K$905,"",K2292+tech_proj!K1792/(1-tech_proj!K672))</f>
        <v>0.87250656299807905</v>
      </c>
      <c r="L1172" s="105">
        <f>IF(tech_base!$T268&gt;L$905,"",L2292+tech_proj!L1792/(1-tech_proj!L672))</f>
        <v>0.87250397282860193</v>
      </c>
      <c r="M1172" s="105">
        <f>IF(tech_base!$T268&gt;M$905,"",M2292+tech_proj!M1792/(1-tech_proj!M672))</f>
        <v>0.87250096366834529</v>
      </c>
      <c r="N1172" s="105">
        <f>IF(tech_base!$T268&gt;N$905,"",N2292+tech_proj!N1792/(1-tech_proj!N672))</f>
        <v>0.87249746777576975</v>
      </c>
      <c r="O1172" s="105">
        <f>IF(tech_base!$T268&gt;O$905,"",O2292+tech_proj!O1792/(1-tech_proj!O672))</f>
        <v>0.87249340646934148</v>
      </c>
      <c r="P1172" s="105">
        <f>IF(tech_base!$T268&gt;P$905,"",P2292+tech_proj!P1792/(1-tech_proj!P672))</f>
        <v>0.87248868836507387</v>
      </c>
      <c r="Q1172" s="105">
        <f>IF(tech_base!$T268&gt;Q$905,"",Q2292+tech_proj!Q1792/(1-tech_proj!Q672))</f>
        <v>0.87248320733163698</v>
      </c>
      <c r="R1172" s="105">
        <f>IF(tech_base!$T268&gt;R$905,"",R2292+tech_proj!R1792/(1-tech_proj!R672))</f>
        <v>0.87247684011830773</v>
      </c>
      <c r="S1172" s="105">
        <f>IF(tech_base!$T268&gt;S$905,"",S2292+tech_proj!S1792/(1-tech_proj!S672))</f>
        <v>0.87246944360412693</v>
      </c>
      <c r="T1172" s="105">
        <f>IF(tech_base!$T268&gt;T$905,"",T2292+tech_proj!T1792/(1-tech_proj!T672))</f>
        <v>0.87246085160873821</v>
      </c>
      <c r="U1172" s="105">
        <f>IF(tech_base!$T268&gt;U$905,"",U2292+tech_proj!U1792/(1-tech_proj!U672))</f>
        <v>0.872450871196363</v>
      </c>
      <c r="V1172" s="105">
        <f>IF(tech_base!$T268&gt;V$905,"",V2292+tech_proj!V1792/(1-tech_proj!V672))</f>
        <v>0.87243927839410174</v>
      </c>
      <c r="W1172" s="105">
        <f>IF(tech_base!$T268&gt;W$905,"",W2292+tech_proj!W1792/(1-tech_proj!W672))</f>
        <v>0.87242581323412449</v>
      </c>
      <c r="X1172" s="105">
        <f>IF(tech_base!$T268&gt;X$905,"",X2292+tech_proj!X1792/(1-tech_proj!X672))</f>
        <v>0.87241017401616772</v>
      </c>
      <c r="Y1172" s="105">
        <f>IF(tech_base!$T268&gt;Y$905,"",Y2292+tech_proj!Y1792/(1-tech_proj!Y672))</f>
        <v>0.87239201067202587</v>
      </c>
      <c r="Z1172" s="105">
        <f>IF(tech_base!$T268&gt;Z$905,"",Z2292+tech_proj!Z1792/(1-tech_proj!Z672))</f>
        <v>0.87237091709728987</v>
      </c>
      <c r="AA1172" s="105">
        <f>IF(tech_base!$T268&gt;AA$905,"",AA2292+tech_proj!AA1792/(1-tech_proj!AA672))</f>
        <v>0.87234642229742554</v>
      </c>
      <c r="AB1172" s="105">
        <f>IF(tech_base!$T268&gt;AB$905,"",AB2292+tech_proj!AB1792/(1-tech_proj!AB672))</f>
        <v>0.87231798017543827</v>
      </c>
      <c r="AC1172" s="105">
        <f>IF(tech_base!$T268&gt;AC$905,"",AC2292+tech_proj!AC1792/(1-tech_proj!AC672))</f>
        <v>0.87228495776696413</v>
      </c>
      <c r="AD1172" s="105">
        <f>IF(tech_base!$T268&gt;AD$905,"",AD2292+tech_proj!AD1792/(1-tech_proj!AD672))</f>
        <v>0.87224662170599321</v>
      </c>
      <c r="AE1172" s="105">
        <f>IF(tech_base!$T268&gt;AE$905,"",AE2292+tech_proj!AE1792/(1-tech_proj!AE672))</f>
        <v>0.87220212268107511</v>
      </c>
      <c r="AF1172" s="105">
        <f>IF(tech_base!$T268&gt;AF$905,"",AF2292+tech_proj!AF1792/(1-tech_proj!AF672))</f>
        <v>0.87215047761865705</v>
      </c>
      <c r="AG1172" s="105">
        <f>IF(tech_base!$T268&gt;AG$905,"",AG2292+tech_proj!AG1792/(1-tech_proj!AG672))</f>
        <v>0.87209054930844454</v>
      </c>
      <c r="AH1172" s="105">
        <f>IF(tech_base!$T268&gt;AH$905,"",AH2292+tech_proj!AH1792/(1-tech_proj!AH672))</f>
        <v>0.87202102316726116</v>
      </c>
      <c r="AI1172" s="105">
        <f>IF(tech_base!$T268&gt;AI$905,"",AI2292+tech_proj!AI1792/(1-tech_proj!AI672))</f>
        <v>0.87194038082550995</v>
      </c>
      <c r="AJ1172" s="105">
        <f>IF(tech_base!$T268&gt;AJ$905,"",AJ2292+tech_proj!AJ1792/(1-tech_proj!AJ672))</f>
        <v>0.87184687021777973</v>
      </c>
      <c r="AK1172" s="105">
        <f>IF(tech_base!$T268&gt;AK$905,"",AK2292+tech_proj!AK1792/(1-tech_proj!AK672))</f>
        <v>0.87173847187154407</v>
      </c>
      <c r="AL1172" s="105">
        <f>IF(tech_base!$T268&gt;AL$905,"",AL2292+tech_proj!AL1792/(1-tech_proj!AL672))</f>
        <v>0.87161286112219016</v>
      </c>
      <c r="AM1172" s="105">
        <f>IF(tech_base!$T268&gt;AM$905,"",AM2292+tech_proj!AM1792/(1-tech_proj!AM672))</f>
        <v>0.8714673660479566</v>
      </c>
      <c r="AN1172" s="105">
        <f>IF(tech_base!$T268&gt;AN$905,"",AN2292+tech_proj!AN1792/(1-tech_proj!AN672))</f>
        <v>0.87129892102667106</v>
      </c>
      <c r="AO1172" s="105">
        <f>IF(tech_base!$T268&gt;AO$905,"",AO2292+tech_proj!AO1792/(1-tech_proj!AO672))</f>
        <v>0.87110401598264697</v>
      </c>
      <c r="AP1172" s="105">
        <f>IF(tech_base!$T268&gt;AP$905,"",AP2292+tech_proj!AP1792/(1-tech_proj!AP672))</f>
        <v>0.87087864163573203</v>
      </c>
      <c r="AQ1172" s="105">
        <f>IF(tech_base!$T268&gt;AQ$905,"",AQ2292+tech_proj!AQ1792/(1-tech_proj!AQ672))</f>
        <v>0.87061823140838812</v>
      </c>
      <c r="AR1172" s="105">
        <f>IF(tech_base!$T268&gt;AR$905,"",AR2292+tech_proj!AR1792/(1-tech_proj!AR672))</f>
        <v>0.87031760111805945</v>
      </c>
      <c r="AS1172" s="105">
        <f>IF(tech_base!$T268&gt;AS$905,"",AS2292+tech_proj!AS1792/(1-tech_proj!AS672))</f>
        <v>0.86997088821156954</v>
      </c>
      <c r="AT1172" s="105">
        <f>IF(tech_base!$T268&gt;AT$905,"",AT2292+tech_proj!AT1792/(1-tech_proj!AT672))</f>
        <v>0.86957149311816906</v>
      </c>
      <c r="AU1172" s="105">
        <f>IF(tech_base!$T268&gt;AU$905,"",AU2292+tech_proj!AU1792/(1-tech_proj!AU672))</f>
        <v>0.86911202633853812</v>
      </c>
      <c r="AV1172" s="105">
        <f>IF(tech_base!$T268&gt;AV$905,"",AV2292+tech_proj!AV1792/(1-tech_proj!AV672))</f>
        <v>0.86858426617104612</v>
      </c>
      <c r="AW1172" s="105">
        <f>IF(tech_base!$T268&gt;AW$905,"",AW2292+tech_proj!AW1792/(1-tech_proj!AW672))</f>
        <v>0.86797913350890321</v>
      </c>
      <c r="AX1172" s="106">
        <f>IF(tech_base!$T268&gt;AX$905,"",AX2292+tech_proj!AX1792/(1-tech_proj!AX672))</f>
        <v>0.8672866918961144</v>
      </c>
    </row>
    <row r="1173" spans="1:50" x14ac:dyDescent="0.25">
      <c r="A1173" s="357"/>
      <c r="B1173" s="380"/>
      <c r="C1173" s="381"/>
      <c r="D1173" s="4" t="s">
        <v>20</v>
      </c>
      <c r="E1173" s="168" t="str">
        <f>A1166&amp;"/"&amp;B1170&amp;"/"&amp;C1170&amp;"/"&amp;D1173</f>
        <v>Hydro plants/Reservoirs (dams)/Electricity only/XS</v>
      </c>
      <c r="F1173" s="80" t="str">
        <f>A1166</f>
        <v>Hydro plants</v>
      </c>
      <c r="G1173" s="80" t="str">
        <f>B1170</f>
        <v>Reservoirs (dams)</v>
      </c>
      <c r="H1173" s="80" t="str">
        <f>C1170</f>
        <v>Electricity only</v>
      </c>
      <c r="I1173" s="169" t="str">
        <f t="shared" si="371"/>
        <v>XS</v>
      </c>
      <c r="J1173" s="113">
        <f>IF(tech_base!$T269&gt;J$905,"",J2293+tech_proj!J1793/(1-tech_proj!J673))</f>
        <v>0.87250879249706914</v>
      </c>
      <c r="K1173" s="113">
        <f>IF(tech_base!$T269&gt;K$905,"",K2293+tech_proj!K1793/(1-tech_proj!K673))</f>
        <v>0.87250823091008323</v>
      </c>
      <c r="L1173" s="113">
        <f>IF(tech_base!$T269&gt;L$905,"",L2293+tech_proj!L1793/(1-tech_proj!L673))</f>
        <v>0.87250754499560457</v>
      </c>
      <c r="M1173" s="113">
        <f>IF(tech_base!$T269&gt;M$905,"",M2293+tech_proj!M1793/(1-tech_proj!M673))</f>
        <v>0.87250670723181367</v>
      </c>
      <c r="N1173" s="113">
        <f>IF(tech_base!$T269&gt;N$905,"",N2293+tech_proj!N1793/(1-tech_proj!N673))</f>
        <v>0.87250568400576101</v>
      </c>
      <c r="O1173" s="113">
        <f>IF(tech_base!$T269&gt;O$905,"",O2293+tech_proj!O1793/(1-tech_proj!O673))</f>
        <v>0.87250443426589441</v>
      </c>
      <c r="P1173" s="113">
        <f>IF(tech_base!$T269&gt;P$905,"",P2293+tech_proj!P1793/(1-tech_proj!P673))</f>
        <v>0.87250290787680085</v>
      </c>
      <c r="Q1173" s="113">
        <f>IF(tech_base!$T269&gt;Q$905,"",Q2293+tech_proj!Q1793/(1-tech_proj!Q673))</f>
        <v>0.87250104361050751</v>
      </c>
      <c r="R1173" s="113">
        <f>IF(tech_base!$T269&gt;R$905,"",R2293+tech_proj!R1793/(1-tech_proj!R673))</f>
        <v>0.87249876669427306</v>
      </c>
      <c r="S1173" s="113">
        <f>IF(tech_base!$T269&gt;S$905,"",S2293+tech_proj!S1793/(1-tech_proj!S673))</f>
        <v>0.87249598581728161</v>
      </c>
      <c r="T1173" s="113">
        <f>IF(tech_base!$T269&gt;T$905,"",T2293+tech_proj!T1793/(1-tech_proj!T673))</f>
        <v>0.87249258947733366</v>
      </c>
      <c r="U1173" s="113">
        <f>IF(tech_base!$T269&gt;U$905,"",U2293+tech_proj!U1793/(1-tech_proj!U673))</f>
        <v>0.87248844152274685</v>
      </c>
      <c r="V1173" s="113">
        <f>IF(tech_base!$T269&gt;V$905,"",V2293+tech_proj!V1793/(1-tech_proj!V673))</f>
        <v>0.87248337571327772</v>
      </c>
      <c r="W1173" s="113">
        <f>IF(tech_base!$T269&gt;W$905,"",W2293+tech_proj!W1793/(1-tech_proj!W673))</f>
        <v>0.87247718908584793</v>
      </c>
      <c r="X1173" s="113">
        <f>IF(tech_base!$T269&gt;X$905,"",X2293+tech_proj!X1793/(1-tech_proj!X673))</f>
        <v>0.87246963386488674</v>
      </c>
      <c r="Y1173" s="113">
        <f>IF(tech_base!$T269&gt;Y$905,"",Y2293+tech_proj!Y1793/(1-tech_proj!Y673))</f>
        <v>0.8724604076016651</v>
      </c>
      <c r="Z1173" s="113">
        <f>IF(tech_base!$T269&gt;Z$905,"",Z2293+tech_proj!Z1793/(1-tech_proj!Z673))</f>
        <v>0.87244914116035877</v>
      </c>
      <c r="AA1173" s="113">
        <f>IF(tech_base!$T269&gt;AA$905,"",AA2293+tech_proj!AA1793/(1-tech_proj!AA673))</f>
        <v>0.87243538408874055</v>
      </c>
      <c r="AB1173" s="113">
        <f>IF(tech_base!$T269&gt;AB$905,"",AB2293+tech_proj!AB1793/(1-tech_proj!AB673))</f>
        <v>0.87241858681626505</v>
      </c>
      <c r="AC1173" s="113">
        <f>IF(tech_base!$T269&gt;AC$905,"",AC2293+tech_proj!AC1793/(1-tech_proj!AC673))</f>
        <v>0.87239807900956001</v>
      </c>
      <c r="AD1173" s="113">
        <f>IF(tech_base!$T269&gt;AD$905,"",AD2293+tech_proj!AD1793/(1-tech_proj!AD673))</f>
        <v>0.87237304328281107</v>
      </c>
      <c r="AE1173" s="113">
        <f>IF(tech_base!$T269&gt;AE$905,"",AE2293+tech_proj!AE1793/(1-tech_proj!AE673))</f>
        <v>0.87234248330627784</v>
      </c>
      <c r="AF1173" s="113">
        <f>IF(tech_base!$T269&gt;AF$905,"",AF2293+tech_proj!AF1793/(1-tech_proj!AF673))</f>
        <v>0.87230518517909161</v>
      </c>
      <c r="AG1173" s="113">
        <f>IF(tech_base!$T269&gt;AG$905,"",AG2293+tech_proj!AG1793/(1-tech_proj!AG673))</f>
        <v>0.8722596707328385</v>
      </c>
      <c r="AH1173" s="113">
        <f>IF(tech_base!$T269&gt;AH$905,"",AH2293+tech_proj!AH1793/(1-tech_proj!AH673))</f>
        <v>0.87220414121308432</v>
      </c>
      <c r="AI1173" s="113">
        <f>IF(tech_base!$T269&gt;AI$905,"",AI2293+tech_proj!AI1793/(1-tech_proj!AI673))</f>
        <v>0.87213640955404415</v>
      </c>
      <c r="AJ1173" s="113">
        <f>IF(tech_base!$T269&gt;AJ$905,"",AJ2293+tech_proj!AJ1793/(1-tech_proj!AJ673))</f>
        <v>0.87205381923075997</v>
      </c>
      <c r="AK1173" s="113">
        <f>IF(tech_base!$T269&gt;AK$905,"",AK2293+tech_proj!AK1793/(1-tech_proj!AK673))</f>
        <v>0.87195314746751607</v>
      </c>
      <c r="AL1173" s="113">
        <f>IF(tech_base!$T269&gt;AL$905,"",AL2293+tech_proj!AL1793/(1-tech_proj!AL673))</f>
        <v>0.87183049044026295</v>
      </c>
      <c r="AM1173" s="113">
        <f>IF(tech_base!$T269&gt;AM$905,"",AM2293+tech_proj!AM1793/(1-tech_proj!AM673))</f>
        <v>0.87168112809662868</v>
      </c>
      <c r="AN1173" s="113">
        <f>IF(tech_base!$T269&gt;AN$905,"",AN2293+tech_proj!AN1793/(1-tech_proj!AN673))</f>
        <v>0.87149936642397408</v>
      </c>
      <c r="AO1173" s="113">
        <f>IF(tech_base!$T269&gt;AO$905,"",AO2293+tech_proj!AO1793/(1-tech_proj!AO673))</f>
        <v>0.87127835556289068</v>
      </c>
      <c r="AP1173" s="113">
        <f>IF(tech_base!$T269&gt;AP$905,"",AP2293+tech_proj!AP1793/(1-tech_proj!AP673))</f>
        <v>0.87100988328933004</v>
      </c>
      <c r="AQ1173" s="113">
        <f>IF(tech_base!$T269&gt;AQ$905,"",AQ2293+tech_proj!AQ1793/(1-tech_proj!AQ673))</f>
        <v>0.87068414534829486</v>
      </c>
      <c r="AR1173" s="113">
        <f>IF(tech_base!$T269&gt;AR$905,"",AR2293+tech_proj!AR1793/(1-tech_proj!AR673))</f>
        <v>0.87028949728177807</v>
      </c>
      <c r="AS1173" s="113">
        <f>IF(tech_base!$T269&gt;AS$905,"",AS2293+tech_proj!AS1793/(1-tech_proj!AS673))</f>
        <v>0.86981219721568548</v>
      </c>
      <c r="AT1173" s="113">
        <f>IF(tech_base!$T269&gt;AT$905,"",AT2293+tech_proj!AT1793/(1-tech_proj!AT673))</f>
        <v>0.86923615609598359</v>
      </c>
      <c r="AU1173" s="113">
        <f>IF(tech_base!$T269&gt;AU$905,"",AU2293+tech_proj!AU1793/(1-tech_proj!AU673))</f>
        <v>0.86854272164982671</v>
      </c>
      <c r="AV1173" s="113">
        <f>IF(tech_base!$T269&gt;AV$905,"",AV2293+tech_proj!AV1793/(1-tech_proj!AV673))</f>
        <v>0.86771053532025932</v>
      </c>
      <c r="AW1173" s="113">
        <f>IF(tech_base!$T269&gt;AW$905,"",AW2293+tech_proj!AW1793/(1-tech_proj!AW673))</f>
        <v>0.86671551760745857</v>
      </c>
      <c r="AX1173" s="114">
        <f>IF(tech_base!$T269&gt;AX$905,"",AX2293+tech_proj!AX1793/(1-tech_proj!AX673))</f>
        <v>0.86553105581202827</v>
      </c>
    </row>
    <row r="1174" spans="1:50" x14ac:dyDescent="0.25">
      <c r="A1174" s="356" t="s">
        <v>46</v>
      </c>
      <c r="B1174" s="359" t="s">
        <v>46</v>
      </c>
      <c r="C1174" s="353" t="s">
        <v>6</v>
      </c>
      <c r="D1174" s="2" t="s">
        <v>7</v>
      </c>
      <c r="E1174" s="160" t="str">
        <f>A1174&amp;"/"&amp;B1174&amp;"/"&amp;C1174&amp;"/"&amp;D1174</f>
        <v>Pump storage/Pump storage/Electricity only/L</v>
      </c>
      <c r="F1174" s="76" t="str">
        <f>A1174</f>
        <v>Pump storage</v>
      </c>
      <c r="G1174" s="76" t="str">
        <f>B1174</f>
        <v>Pump storage</v>
      </c>
      <c r="H1174" s="76" t="str">
        <f>C1174</f>
        <v>Electricity only</v>
      </c>
      <c r="I1174" s="161" t="str">
        <f t="shared" si="371"/>
        <v>L</v>
      </c>
      <c r="J1174" s="105">
        <f>IF(tech_base!$T270&gt;J$905,"",J2294+tech_proj!J1794/(1-tech_proj!J674))</f>
        <v>0.98157239155920284</v>
      </c>
      <c r="K1174" s="105">
        <f>IF(tech_base!$T270&gt;K$905,"",K2294+tech_proj!K1794/(1-tech_proj!K674))</f>
        <v>0.98155853397653481</v>
      </c>
      <c r="L1174" s="105">
        <f>IF(tech_base!$T270&gt;L$905,"",L2294+tech_proj!L1794/(1-tech_proj!L674))</f>
        <v>0.9815439700764288</v>
      </c>
      <c r="M1174" s="105">
        <f>IF(tech_base!$T270&gt;M$905,"",M2294+tech_proj!M1794/(1-tech_proj!M674))</f>
        <v>0.98152866408238237</v>
      </c>
      <c r="N1174" s="105">
        <f>IF(tech_base!$T270&gt;N$905,"",N2294+tech_proj!N1794/(1-tech_proj!N674))</f>
        <v>0.98151257842924322</v>
      </c>
      <c r="O1174" s="105">
        <f>IF(tech_base!$T270&gt;O$905,"",O2294+tech_proj!O1794/(1-tech_proj!O674))</f>
        <v>0.98149567367625101</v>
      </c>
      <c r="P1174" s="105">
        <f>IF(tech_base!$T270&gt;P$905,"",P2294+tech_proj!P1794/(1-tech_proj!P674))</f>
        <v>0.98147790841611349</v>
      </c>
      <c r="Q1174" s="105">
        <f>IF(tech_base!$T270&gt;Q$905,"",Q2294+tech_proj!Q1794/(1-tech_proj!Q674))</f>
        <v>0.98145923917995914</v>
      </c>
      <c r="R1174" s="105">
        <f>IF(tech_base!$T270&gt;R$905,"",R2294+tech_proj!R1794/(1-tech_proj!R674))</f>
        <v>0.98143962033801724</v>
      </c>
      <c r="S1174" s="105">
        <f>IF(tech_base!$T270&gt;S$905,"",S2294+tech_proj!S1794/(1-tech_proj!S674))</f>
        <v>0.98141900399585869</v>
      </c>
      <c r="T1174" s="105">
        <f>IF(tech_base!$T270&gt;T$905,"",T2294+tech_proj!T1794/(1-tech_proj!T674))</f>
        <v>0.98139733988604594</v>
      </c>
      <c r="U1174" s="105">
        <f>IF(tech_base!$T270&gt;U$905,"",U2294+tech_proj!U1794/(1-tech_proj!U674))</f>
        <v>0.9813745752550237</v>
      </c>
      <c r="V1174" s="105">
        <f>IF(tech_base!$T270&gt;V$905,"",V2294+tech_proj!V1794/(1-tech_proj!V674))</f>
        <v>0.98135065474508887</v>
      </c>
      <c r="W1174" s="105">
        <f>IF(tech_base!$T270&gt;W$905,"",W2294+tech_proj!W1794/(1-tech_proj!W674))</f>
        <v>0.98132552027127995</v>
      </c>
      <c r="X1174" s="105">
        <f>IF(tech_base!$T270&gt;X$905,"",X2294+tech_proj!X1794/(1-tech_proj!X674))</f>
        <v>0.9812991108930208</v>
      </c>
      <c r="Y1174" s="105">
        <f>IF(tech_base!$T270&gt;Y$905,"",Y2294+tech_proj!Y1794/(1-tech_proj!Y674))</f>
        <v>0.98127136268035642</v>
      </c>
      <c r="Z1174" s="105">
        <f>IF(tech_base!$T270&gt;Z$905,"",Z2294+tech_proj!Z1794/(1-tech_proj!Z674))</f>
        <v>0.98124220857462507</v>
      </c>
      <c r="AA1174" s="105">
        <f>IF(tech_base!$T270&gt;AA$905,"",AA2294+tech_proj!AA1794/(1-tech_proj!AA674))</f>
        <v>0.98121157824340954</v>
      </c>
      <c r="AB1174" s="105">
        <f>IF(tech_base!$T270&gt;AB$905,"",AB2294+tech_proj!AB1794/(1-tech_proj!AB674))</f>
        <v>0.98117939792961761</v>
      </c>
      <c r="AC1174" s="105">
        <f>IF(tech_base!$T270&gt;AC$905,"",AC2294+tech_proj!AC1794/(1-tech_proj!AC674))</f>
        <v>0.98114559029454751</v>
      </c>
      <c r="AD1174" s="105">
        <f>IF(tech_base!$T270&gt;AD$905,"",AD2294+tech_proj!AD1794/(1-tech_proj!AD674))</f>
        <v>0.98111007425480123</v>
      </c>
      <c r="AE1174" s="105">
        <f>IF(tech_base!$T270&gt;AE$905,"",AE2294+tech_proj!AE1794/(1-tech_proj!AE674))</f>
        <v>0.98107276481292105</v>
      </c>
      <c r="AF1174" s="105">
        <f>IF(tech_base!$T270&gt;AF$905,"",AF2294+tech_proj!AF1794/(1-tech_proj!AF674))</f>
        <v>0.98103357288163218</v>
      </c>
      <c r="AG1174" s="105">
        <f>IF(tech_base!$T270&gt;AG$905,"",AG2294+tech_proj!AG1794/(1-tech_proj!AG674))</f>
        <v>0.98099240510159114</v>
      </c>
      <c r="AH1174" s="105">
        <f>IF(tech_base!$T270&gt;AH$905,"",AH2294+tech_proj!AH1794/(1-tech_proj!AH674))</f>
        <v>0.98094916365255513</v>
      </c>
      <c r="AI1174" s="105">
        <f>IF(tech_base!$T270&gt;AI$905,"",AI2294+tech_proj!AI1794/(1-tech_proj!AI674))</f>
        <v>0.9809037460579092</v>
      </c>
      <c r="AJ1174" s="105">
        <f>IF(tech_base!$T270&gt;AJ$905,"",AJ2294+tech_proj!AJ1794/(1-tech_proj!AJ674))</f>
        <v>0.98085604498250256</v>
      </c>
      <c r="AK1174" s="105">
        <f>IF(tech_base!$T270&gt;AK$905,"",AK2294+tech_proj!AK1794/(1-tech_proj!AK674))</f>
        <v>0.98080594802378351</v>
      </c>
      <c r="AL1174" s="105">
        <f>IF(tech_base!$T270&gt;AL$905,"",AL2294+tech_proj!AL1794/(1-tech_proj!AL674))</f>
        <v>0.98075333749624083</v>
      </c>
      <c r="AM1174" s="105">
        <f>IF(tech_base!$T270&gt;AM$905,"",AM2294+tech_proj!AM1794/(1-tech_proj!AM674))</f>
        <v>0.98069809020919618</v>
      </c>
      <c r="AN1174" s="105">
        <f>IF(tech_base!$T270&gt;AN$905,"",AN2294+tech_proj!AN1794/(1-tech_proj!AN674))</f>
        <v>0.9806400772380357</v>
      </c>
      <c r="AO1174" s="105">
        <f>IF(tech_base!$T270&gt;AO$905,"",AO2294+tech_proj!AO1794/(1-tech_proj!AO674))</f>
        <v>0.980579163689003</v>
      </c>
      <c r="AP1174" s="105">
        <f>IF(tech_base!$T270&gt;AP$905,"",AP2294+tech_proj!AP1794/(1-tech_proj!AP674))</f>
        <v>0.9805152084577291</v>
      </c>
      <c r="AQ1174" s="105">
        <f>IF(tech_base!$T270&gt;AQ$905,"",AQ2294+tech_proj!AQ1794/(1-tech_proj!AQ674))</f>
        <v>0.98044806398173012</v>
      </c>
      <c r="AR1174" s="105">
        <f>IF(tech_base!$T270&gt;AR$905,"",AR2294+tech_proj!AR1794/(1-tech_proj!AR674))</f>
        <v>0.98037757598715891</v>
      </c>
      <c r="AS1174" s="105">
        <f>IF(tech_base!$T270&gt;AS$905,"",AS2294+tech_proj!AS1794/(1-tech_proj!AS674))</f>
        <v>0.98030358323017019</v>
      </c>
      <c r="AT1174" s="105">
        <f>IF(tech_base!$T270&gt;AT$905,"",AT2294+tech_proj!AT1794/(1-tech_proj!AT674))</f>
        <v>0.98022591723332786</v>
      </c>
      <c r="AU1174" s="105">
        <f>IF(tech_base!$T270&gt;AU$905,"",AU2294+tech_proj!AU1794/(1-tech_proj!AU674))</f>
        <v>0.98014440201756947</v>
      </c>
      <c r="AV1174" s="105">
        <f>IF(tech_base!$T270&gt;AV$905,"",AV2294+tech_proj!AV1794/(1-tech_proj!AV674))</f>
        <v>0.98005885383033309</v>
      </c>
      <c r="AW1174" s="105">
        <f>IF(tech_base!$T270&gt;AW$905,"",AW2294+tech_proj!AW1794/(1-tech_proj!AW674))</f>
        <v>0.97996908087055201</v>
      </c>
      <c r="AX1174" s="106">
        <f>IF(tech_base!$T270&gt;AX$905,"",AX2294+tech_proj!AX1794/(1-tech_proj!AX674))</f>
        <v>0.97987488301133197</v>
      </c>
    </row>
    <row r="1175" spans="1:50" x14ac:dyDescent="0.25">
      <c r="A1175" s="382"/>
      <c r="B1175" s="376"/>
      <c r="C1175" s="378"/>
      <c r="D1175" s="2" t="s">
        <v>8</v>
      </c>
      <c r="E1175" s="160" t="str">
        <f>A1174&amp;"/"&amp;B1174&amp;"/"&amp;C1174&amp;"/"&amp;D1175</f>
        <v>Pump storage/Pump storage/Electricity only/M</v>
      </c>
      <c r="F1175" s="76" t="str">
        <f>A1174</f>
        <v>Pump storage</v>
      </c>
      <c r="G1175" s="76" t="str">
        <f>B1174</f>
        <v>Pump storage</v>
      </c>
      <c r="H1175" s="76" t="str">
        <f>C1174</f>
        <v>Electricity only</v>
      </c>
      <c r="I1175" s="161" t="str">
        <f t="shared" si="371"/>
        <v>M</v>
      </c>
      <c r="J1175" s="105">
        <f>IF(tech_base!$T271&gt;J$905,"",J2295+tech_proj!J1795/(1-tech_proj!J675))</f>
        <v>0.98157239155920284</v>
      </c>
      <c r="K1175" s="105">
        <f>IF(tech_base!$T271&gt;K$905,"",K2295+tech_proj!K1795/(1-tech_proj!K675))</f>
        <v>0.98156452617416357</v>
      </c>
      <c r="L1175" s="105">
        <f>IF(tech_base!$T271&gt;L$905,"",L2295+tech_proj!L1795/(1-tech_proj!L675))</f>
        <v>0.98155583501624888</v>
      </c>
      <c r="M1175" s="105">
        <f>IF(tech_base!$T271&gt;M$905,"",M2295+tech_proj!M1795/(1-tech_proj!M675))</f>
        <v>0.98154623155584331</v>
      </c>
      <c r="N1175" s="105">
        <f>IF(tech_base!$T271&gt;N$905,"",N2295+tech_proj!N1795/(1-tech_proj!N675))</f>
        <v>0.98153562023310814</v>
      </c>
      <c r="O1175" s="105">
        <f>IF(tech_base!$T271&gt;O$905,"",O2295+tech_proj!O1795/(1-tech_proj!O675))</f>
        <v>0.98152389552374497</v>
      </c>
      <c r="P1175" s="105">
        <f>IF(tech_base!$T271&gt;P$905,"",P2295+tech_proj!P1795/(1-tech_proj!P675))</f>
        <v>0.98151094090991475</v>
      </c>
      <c r="Q1175" s="105">
        <f>IF(tech_base!$T271&gt;Q$905,"",Q2295+tech_proj!Q1795/(1-tech_proj!Q675))</f>
        <v>0.98149662774708268</v>
      </c>
      <c r="R1175" s="105">
        <f>IF(tech_base!$T271&gt;R$905,"",R2295+tech_proj!R1795/(1-tech_proj!R675))</f>
        <v>0.98148081401675624</v>
      </c>
      <c r="S1175" s="105">
        <f>IF(tech_base!$T271&gt;S$905,"",S2295+tech_proj!S1795/(1-tech_proj!S675))</f>
        <v>0.98146334295422155</v>
      </c>
      <c r="T1175" s="105">
        <f>IF(tech_base!$T271&gt;T$905,"",T2295+tech_proj!T1795/(1-tech_proj!T675))</f>
        <v>0.98144404153949005</v>
      </c>
      <c r="U1175" s="105">
        <f>IF(tech_base!$T271&gt;U$905,"",U2295+tech_proj!U1795/(1-tech_proj!U675))</f>
        <v>0.98142271883870469</v>
      </c>
      <c r="V1175" s="105">
        <f>IF(tech_base!$T271&gt;V$905,"",V2295+tech_proj!V1795/(1-tech_proj!V675))</f>
        <v>0.98139916418228468</v>
      </c>
      <c r="W1175" s="105">
        <f>IF(tech_base!$T271&gt;W$905,"",W2295+tech_proj!W1795/(1-tech_proj!W675))</f>
        <v>0.98137314516507135</v>
      </c>
      <c r="X1175" s="105">
        <f>IF(tech_base!$T271&gt;X$905,"",X2295+tech_proj!X1795/(1-tech_proj!X675))</f>
        <v>0.98134440545271162</v>
      </c>
      <c r="Y1175" s="105">
        <f>IF(tech_base!$T271&gt;Y$905,"",Y2295+tech_proj!Y1795/(1-tech_proj!Y675))</f>
        <v>0.98131266237749359</v>
      </c>
      <c r="Z1175" s="105">
        <f>IF(tech_base!$T271&gt;Z$905,"",Z2295+tech_proj!Z1795/(1-tech_proj!Z675))</f>
        <v>0.98127760430585975</v>
      </c>
      <c r="AA1175" s="105">
        <f>IF(tech_base!$T271&gt;AA$905,"",AA2295+tech_proj!AA1795/(1-tech_proj!AA675))</f>
        <v>0.98123888775887824</v>
      </c>
      <c r="AB1175" s="105">
        <f>IF(tech_base!$T271&gt;AB$905,"",AB2295+tech_proj!AB1795/(1-tech_proj!AB675))</f>
        <v>0.98119613426611618</v>
      </c>
      <c r="AC1175" s="105">
        <f>IF(tech_base!$T271&gt;AC$905,"",AC2295+tech_proj!AC1795/(1-tech_proj!AC675))</f>
        <v>0.98114892693266043</v>
      </c>
      <c r="AD1175" s="105">
        <f>IF(tech_base!$T271&gt;AD$905,"",AD2295+tech_proj!AD1795/(1-tech_proj!AD675))</f>
        <v>0.98109680669854793</v>
      </c>
      <c r="AE1175" s="105">
        <f>IF(tech_base!$T271&gt;AE$905,"",AE2295+tech_proj!AE1795/(1-tech_proj!AE675))</f>
        <v>0.98103926826965149</v>
      </c>
      <c r="AF1175" s="105">
        <f>IF(tech_base!$T271&gt;AF$905,"",AF2295+tech_proj!AF1795/(1-tech_proj!AF675))</f>
        <v>0.98097575569925732</v>
      </c>
      <c r="AG1175" s="105">
        <f>IF(tech_base!$T271&gt;AG$905,"",AG2295+tech_proj!AG1795/(1-tech_proj!AG675))</f>
        <v>0.98090565760022208</v>
      </c>
      <c r="AH1175" s="105">
        <f>IF(tech_base!$T271&gt;AH$905,"",AH2295+tech_proj!AH1795/(1-tech_proj!AH675))</f>
        <v>0.98082830196891513</v>
      </c>
      <c r="AI1175" s="105">
        <f>IF(tech_base!$T271&gt;AI$905,"",AI2295+tech_proj!AI1795/(1-tech_proj!AI675))</f>
        <v>0.98074295060424588</v>
      </c>
      <c r="AJ1175" s="105">
        <f>IF(tech_base!$T271&gt;AJ$905,"",AJ2295+tech_proj!AJ1795/(1-tech_proj!AJ675))</f>
        <v>0.98064879310820996</v>
      </c>
      <c r="AK1175" s="105">
        <f>IF(tech_base!$T271&gt;AK$905,"",AK2295+tech_proj!AK1795/(1-tech_proj!AK675))</f>
        <v>0.9805449404587312</v>
      </c>
      <c r="AL1175" s="105">
        <f>IF(tech_base!$T271&gt;AL$905,"",AL2295+tech_proj!AL1795/(1-tech_proj!AL675))</f>
        <v>0.98043041815149434</v>
      </c>
      <c r="AM1175" s="105">
        <f>IF(tech_base!$T271&gt;AM$905,"",AM2295+tech_proj!AM1795/(1-tech_proj!AM675))</f>
        <v>0.98030415891520994</v>
      </c>
      <c r="AN1175" s="105">
        <f>IF(tech_base!$T271&gt;AN$905,"",AN2295+tech_proj!AN1795/(1-tech_proj!AN675))</f>
        <v>0.98016499501476861</v>
      </c>
      <c r="AO1175" s="105">
        <f>IF(tech_base!$T271&gt;AO$905,"",AO2295+tech_proj!AO1795/(1-tech_proj!AO675))</f>
        <v>0.98001165016942726</v>
      </c>
      <c r="AP1175" s="105">
        <f>IF(tech_base!$T271&gt;AP$905,"",AP2295+tech_proj!AP1795/(1-tech_proj!AP675))</f>
        <v>0.97984273112904086</v>
      </c>
      <c r="AQ1175" s="105">
        <f>IF(tech_base!$T271&gt;AQ$905,"",AQ2295+tech_proj!AQ1795/(1-tech_proj!AQ675))</f>
        <v>0.97965671897092854</v>
      </c>
      <c r="AR1175" s="105">
        <f>IF(tech_base!$T271&gt;AR$905,"",AR2295+tech_proj!AR1795/(1-tech_proj!AR675))</f>
        <v>0.9794519602038636</v>
      </c>
      <c r="AS1175" s="105">
        <f>IF(tech_base!$T271&gt;AS$905,"",AS2295+tech_proj!AS1795/(1-tech_proj!AS675))</f>
        <v>0.97922665779449658</v>
      </c>
      <c r="AT1175" s="105">
        <f>IF(tech_base!$T271&gt;AT$905,"",AT2295+tech_proj!AT1795/(1-tech_proj!AT675))</f>
        <v>0.97897886226592024</v>
      </c>
      <c r="AU1175" s="105">
        <f>IF(tech_base!$T271&gt;AU$905,"",AU2295+tech_proj!AU1795/(1-tech_proj!AU675))</f>
        <v>0.97870646305865783</v>
      </c>
      <c r="AV1175" s="105">
        <f>IF(tech_base!$T271&gt;AV$905,"",AV2295+tech_proj!AV1795/(1-tech_proj!AV675))</f>
        <v>0.97840718039167074</v>
      </c>
      <c r="AW1175" s="105">
        <f>IF(tech_base!$T271&gt;AW$905,"",AW2295+tech_proj!AW1795/(1-tech_proj!AW675))</f>
        <v>0.97807855791543963</v>
      </c>
      <c r="AX1175" s="106">
        <f>IF(tech_base!$T271&gt;AX$905,"",AX2295+tech_proj!AX1795/(1-tech_proj!AX675))</f>
        <v>0.97771795651096538</v>
      </c>
    </row>
    <row r="1176" spans="1:50" x14ac:dyDescent="0.25">
      <c r="A1176" s="382"/>
      <c r="B1176" s="376"/>
      <c r="C1176" s="378"/>
      <c r="D1176" s="2" t="s">
        <v>10</v>
      </c>
      <c r="E1176" s="160" t="str">
        <f>A1174&amp;"/"&amp;B1174&amp;"/"&amp;C1174&amp;"/"&amp;D1176</f>
        <v>Pump storage/Pump storage/Electricity only/S</v>
      </c>
      <c r="F1176" s="76" t="str">
        <f>A1174</f>
        <v>Pump storage</v>
      </c>
      <c r="G1176" s="76" t="str">
        <f>B1174</f>
        <v>Pump storage</v>
      </c>
      <c r="H1176" s="76" t="str">
        <f>C1174</f>
        <v>Electricity only</v>
      </c>
      <c r="I1176" s="161" t="str">
        <f t="shared" si="371"/>
        <v>S</v>
      </c>
      <c r="J1176" s="105">
        <f>IF(tech_base!$T272&gt;J$905,"",J2296+tech_proj!J1796/(1-tech_proj!J676))</f>
        <v>0.98157239155920284</v>
      </c>
      <c r="K1176" s="105">
        <f>IF(tech_base!$T272&gt;K$905,"",K2296+tech_proj!K1796/(1-tech_proj!K676))</f>
        <v>0.98156988337283868</v>
      </c>
      <c r="L1176" s="105">
        <f>IF(tech_base!$T272&gt;L$905,"",L2296+tech_proj!L1796/(1-tech_proj!L676))</f>
        <v>0.98156696943217725</v>
      </c>
      <c r="M1176" s="105">
        <f>IF(tech_base!$T272&gt;M$905,"",M2296+tech_proj!M1796/(1-tech_proj!M676))</f>
        <v>0.98156358412688871</v>
      </c>
      <c r="N1176" s="105">
        <f>IF(tech_base!$T272&gt;N$905,"",N2296+tech_proj!N1796/(1-tech_proj!N676))</f>
        <v>0.98155965124774092</v>
      </c>
      <c r="O1176" s="105">
        <f>IF(tech_base!$T272&gt;O$905,"",O2296+tech_proj!O1796/(1-tech_proj!O676))</f>
        <v>0.98155508227800914</v>
      </c>
      <c r="P1176" s="105">
        <f>IF(tech_base!$T272&gt;P$905,"",P2296+tech_proj!P1796/(1-tech_proj!P676))</f>
        <v>0.98154977441070801</v>
      </c>
      <c r="Q1176" s="105">
        <f>IF(tech_base!$T272&gt;Q$905,"",Q2296+tech_proj!Q1796/(1-tech_proj!Q676))</f>
        <v>0.9815436082480915</v>
      </c>
      <c r="R1176" s="105">
        <f>IF(tech_base!$T272&gt;R$905,"",R2296+tech_proj!R1796/(1-tech_proj!R676))</f>
        <v>0.98153644513309624</v>
      </c>
      <c r="S1176" s="105">
        <f>IF(tech_base!$T272&gt;S$905,"",S2296+tech_proj!S1796/(1-tech_proj!S676))</f>
        <v>0.98152812405464263</v>
      </c>
      <c r="T1176" s="105">
        <f>IF(tech_base!$T272&gt;T$905,"",T2296+tech_proj!T1796/(1-tech_proj!T676))</f>
        <v>0.98151845805983051</v>
      </c>
      <c r="U1176" s="105">
        <f>IF(tech_base!$T272&gt;U$905,"",U2296+tech_proj!U1796/(1-tech_proj!U676))</f>
        <v>0.98150723009590823</v>
      </c>
      <c r="V1176" s="105">
        <f>IF(tech_base!$T272&gt;V$905,"",V2296+tech_proj!V1796/(1-tech_proj!V676))</f>
        <v>0.98149418819336465</v>
      </c>
      <c r="W1176" s="105">
        <f>IF(tech_base!$T272&gt;W$905,"",W2296+tech_proj!W1796/(1-tech_proj!W676))</f>
        <v>0.9814790398883898</v>
      </c>
      <c r="X1176" s="105">
        <f>IF(tech_base!$T272&gt;X$905,"",X2296+tech_proj!X1796/(1-tech_proj!X676))</f>
        <v>0.9814614457681885</v>
      </c>
      <c r="Y1176" s="105">
        <f>IF(tech_base!$T272&gt;Y$905,"",Y2296+tech_proj!Y1796/(1-tech_proj!Y676))</f>
        <v>0.98144101200602918</v>
      </c>
      <c r="Z1176" s="105">
        <f>IF(tech_base!$T272&gt;Z$905,"",Z2296+tech_proj!Z1796/(1-tech_proj!Z676))</f>
        <v>0.98141728173445097</v>
      </c>
      <c r="AA1176" s="105">
        <f>IF(tech_base!$T272&gt;AA$905,"",AA2296+tech_proj!AA1796/(1-tech_proj!AA676))</f>
        <v>0.98138972508460376</v>
      </c>
      <c r="AB1176" s="105">
        <f>IF(tech_base!$T272&gt;AB$905,"",AB2296+tech_proj!AB1796/(1-tech_proj!AB676))</f>
        <v>0.98135772769736807</v>
      </c>
      <c r="AC1176" s="105">
        <f>IF(tech_base!$T272&gt;AC$905,"",AC2296+tech_proj!AC1796/(1-tech_proj!AC676))</f>
        <v>0.98132057748783463</v>
      </c>
      <c r="AD1176" s="105">
        <f>IF(tech_base!$T272&gt;AD$905,"",AD2296+tech_proj!AD1796/(1-tech_proj!AD676))</f>
        <v>0.98127744941924233</v>
      </c>
      <c r="AE1176" s="105">
        <f>IF(tech_base!$T272&gt;AE$905,"",AE2296+tech_proj!AE1796/(1-tech_proj!AE676))</f>
        <v>0.98122738801620957</v>
      </c>
      <c r="AF1176" s="105">
        <f>IF(tech_base!$T272&gt;AF$905,"",AF2296+tech_proj!AF1796/(1-tech_proj!AF676))</f>
        <v>0.98116928732098907</v>
      </c>
      <c r="AG1176" s="105">
        <f>IF(tech_base!$T272&gt;AG$905,"",AG2296+tech_proj!AG1796/(1-tech_proj!AG676))</f>
        <v>0.98110186797199994</v>
      </c>
      <c r="AH1176" s="105">
        <f>IF(tech_base!$T272&gt;AH$905,"",AH2296+tech_proj!AH1796/(1-tech_proj!AH676))</f>
        <v>0.9810236510631688</v>
      </c>
      <c r="AI1176" s="105">
        <f>IF(tech_base!$T272&gt;AI$905,"",AI2296+tech_proj!AI1796/(1-tech_proj!AI676))</f>
        <v>0.98093292842869861</v>
      </c>
      <c r="AJ1176" s="105">
        <f>IF(tech_base!$T272&gt;AJ$905,"",AJ2296+tech_proj!AJ1796/(1-tech_proj!AJ676))</f>
        <v>0.98082772899500204</v>
      </c>
      <c r="AK1176" s="105">
        <f>IF(tech_base!$T272&gt;AK$905,"",AK2296+tech_proj!AK1796/(1-tech_proj!AK676))</f>
        <v>0.98070578085548721</v>
      </c>
      <c r="AL1176" s="105">
        <f>IF(tech_base!$T272&gt;AL$905,"",AL2296+tech_proj!AL1796/(1-tech_proj!AL676))</f>
        <v>0.98056446876246395</v>
      </c>
      <c r="AM1176" s="105">
        <f>IF(tech_base!$T272&gt;AM$905,"",AM2296+tech_proj!AM1796/(1-tech_proj!AM676))</f>
        <v>0.98040078680395093</v>
      </c>
      <c r="AN1176" s="105">
        <f>IF(tech_base!$T272&gt;AN$905,"",AN2296+tech_proj!AN1796/(1-tech_proj!AN676))</f>
        <v>0.98021128615500475</v>
      </c>
      <c r="AO1176" s="105">
        <f>IF(tech_base!$T272&gt;AO$905,"",AO2296+tech_proj!AO1796/(1-tech_proj!AO676))</f>
        <v>0.97999201798047764</v>
      </c>
      <c r="AP1176" s="105">
        <f>IF(tech_base!$T272&gt;AP$905,"",AP2296+tech_proj!AP1796/(1-tech_proj!AP676))</f>
        <v>0.97973847184019835</v>
      </c>
      <c r="AQ1176" s="105">
        <f>IF(tech_base!$T272&gt;AQ$905,"",AQ2296+tech_proj!AQ1796/(1-tech_proj!AQ676))</f>
        <v>0.97944551033443661</v>
      </c>
      <c r="AR1176" s="105">
        <f>IF(tech_base!$T272&gt;AR$905,"",AR2296+tech_proj!AR1796/(1-tech_proj!AR676))</f>
        <v>0.97910730125781675</v>
      </c>
      <c r="AS1176" s="105">
        <f>IF(tech_base!$T272&gt;AS$905,"",AS2296+tech_proj!AS1796/(1-tech_proj!AS676))</f>
        <v>0.97871724923801573</v>
      </c>
      <c r="AT1176" s="105">
        <f>IF(tech_base!$T272&gt;AT$905,"",AT2296+tech_proj!AT1796/(1-tech_proj!AT676))</f>
        <v>0.97826792975794019</v>
      </c>
      <c r="AU1176" s="105">
        <f>IF(tech_base!$T272&gt;AU$905,"",AU2296+tech_proj!AU1796/(1-tech_proj!AU676))</f>
        <v>0.97775102963085525</v>
      </c>
      <c r="AV1176" s="105">
        <f>IF(tech_base!$T272&gt;AV$905,"",AV2296+tech_proj!AV1796/(1-tech_proj!AV676))</f>
        <v>0.9771572994424268</v>
      </c>
      <c r="AW1176" s="105">
        <f>IF(tech_base!$T272&gt;AW$905,"",AW2296+tech_proj!AW1796/(1-tech_proj!AW676))</f>
        <v>0.97647652519751604</v>
      </c>
      <c r="AX1176" s="106">
        <f>IF(tech_base!$T272&gt;AX$905,"",AX2296+tech_proj!AX1796/(1-tech_proj!AX676))</f>
        <v>0.97569752838312873</v>
      </c>
    </row>
    <row r="1177" spans="1:50" ht="11" thickBot="1" x14ac:dyDescent="0.3">
      <c r="A1177" s="383"/>
      <c r="B1177" s="384"/>
      <c r="C1177" s="385"/>
      <c r="D1177" s="158" t="s">
        <v>20</v>
      </c>
      <c r="E1177" s="172" t="str">
        <f>A1174&amp;"/"&amp;B1174&amp;"/"&amp;C1174&amp;"/"&amp;D1177</f>
        <v>Pump storage/Pump storage/Electricity only/XS</v>
      </c>
      <c r="F1177" s="82" t="str">
        <f>A1174</f>
        <v>Pump storage</v>
      </c>
      <c r="G1177" s="82" t="str">
        <f>B1174</f>
        <v>Pump storage</v>
      </c>
      <c r="H1177" s="82" t="str">
        <f>C1174</f>
        <v>Electricity only</v>
      </c>
      <c r="I1177" s="173" t="str">
        <f t="shared" si="371"/>
        <v>XS</v>
      </c>
      <c r="J1177" s="117">
        <f>IF(tech_base!$T273&gt;J$905,"",J2297+tech_proj!J1797/(1-tech_proj!J677))</f>
        <v>0.98157239155920284</v>
      </c>
      <c r="K1177" s="117">
        <f>IF(tech_base!$T273&gt;K$905,"",K2297+tech_proj!K1797/(1-tech_proj!K677))</f>
        <v>0.98157175977384359</v>
      </c>
      <c r="L1177" s="117">
        <f>IF(tech_base!$T273&gt;L$905,"",L2297+tech_proj!L1797/(1-tech_proj!L677))</f>
        <v>0.98157098812005494</v>
      </c>
      <c r="M1177" s="117">
        <f>IF(tech_base!$T273&gt;M$905,"",M2297+tech_proj!M1797/(1-tech_proj!M677))</f>
        <v>0.9815700456357902</v>
      </c>
      <c r="N1177" s="117">
        <f>IF(tech_base!$T273&gt;N$905,"",N2297+tech_proj!N1797/(1-tech_proj!N677))</f>
        <v>0.98156889450648099</v>
      </c>
      <c r="O1177" s="117">
        <f>IF(tech_base!$T273&gt;O$905,"",O2297+tech_proj!O1797/(1-tech_proj!O677))</f>
        <v>0.9815674885491309</v>
      </c>
      <c r="P1177" s="117">
        <f>IF(tech_base!$T273&gt;P$905,"",P2297+tech_proj!P1797/(1-tech_proj!P677))</f>
        <v>0.98156577136140077</v>
      </c>
      <c r="Q1177" s="117">
        <f>IF(tech_base!$T273&gt;Q$905,"",Q2297+tech_proj!Q1797/(1-tech_proj!Q677))</f>
        <v>0.98156367406182066</v>
      </c>
      <c r="R1177" s="117">
        <f>IF(tech_base!$T273&gt;R$905,"",R2297+tech_proj!R1797/(1-tech_proj!R677))</f>
        <v>0.98156111253105693</v>
      </c>
      <c r="S1177" s="117">
        <f>IF(tech_base!$T273&gt;S$905,"",S2297+tech_proj!S1797/(1-tech_proj!S677))</f>
        <v>0.98155798404444172</v>
      </c>
      <c r="T1177" s="117">
        <f>IF(tech_base!$T273&gt;T$905,"",T2297+tech_proj!T1797/(1-tech_proj!T677))</f>
        <v>0.98155416316200017</v>
      </c>
      <c r="U1177" s="117">
        <f>IF(tech_base!$T273&gt;U$905,"",U2297+tech_proj!U1797/(1-tech_proj!U677))</f>
        <v>0.98154949671309011</v>
      </c>
      <c r="V1177" s="117">
        <f>IF(tech_base!$T273&gt;V$905,"",V2297+tech_proj!V1797/(1-tech_proj!V677))</f>
        <v>0.98154379767743716</v>
      </c>
      <c r="W1177" s="117">
        <f>IF(tech_base!$T273&gt;W$905,"",W2297+tech_proj!W1797/(1-tech_proj!W677))</f>
        <v>0.98153683772157907</v>
      </c>
      <c r="X1177" s="117">
        <f>IF(tech_base!$T273&gt;X$905,"",X2297+tech_proj!X1797/(1-tech_proj!X677))</f>
        <v>0.98152833809799744</v>
      </c>
      <c r="Y1177" s="117">
        <f>IF(tech_base!$T273&gt;Y$905,"",Y2297+tech_proj!Y1797/(1-tech_proj!Y677))</f>
        <v>0.98151795855187318</v>
      </c>
      <c r="Z1177" s="117">
        <f>IF(tech_base!$T273&gt;Z$905,"",Z2297+tech_proj!Z1797/(1-tech_proj!Z677))</f>
        <v>0.98150528380540358</v>
      </c>
      <c r="AA1177" s="117">
        <f>IF(tech_base!$T273&gt;AA$905,"",AA2297+tech_proj!AA1797/(1-tech_proj!AA677))</f>
        <v>0.98148980709983324</v>
      </c>
      <c r="AB1177" s="117">
        <f>IF(tech_base!$T273&gt;AB$905,"",AB2297+tech_proj!AB1797/(1-tech_proj!AB677))</f>
        <v>0.98147091016829802</v>
      </c>
      <c r="AC1177" s="117">
        <f>IF(tech_base!$T273&gt;AC$905,"",AC2297+tech_proj!AC1797/(1-tech_proj!AC677))</f>
        <v>0.98144783888575504</v>
      </c>
      <c r="AD1177" s="117">
        <f>IF(tech_base!$T273&gt;AD$905,"",AD2297+tech_proj!AD1797/(1-tech_proj!AD677))</f>
        <v>0.9814196736931623</v>
      </c>
      <c r="AE1177" s="117">
        <f>IF(tech_base!$T273&gt;AE$905,"",AE2297+tech_proj!AE1797/(1-tech_proj!AE677))</f>
        <v>0.98138529371956229</v>
      </c>
      <c r="AF1177" s="117">
        <f>IF(tech_base!$T273&gt;AF$905,"",AF2297+tech_proj!AF1797/(1-tech_proj!AF677))</f>
        <v>0.98134333332647816</v>
      </c>
      <c r="AG1177" s="117">
        <f>IF(tech_base!$T273&gt;AG$905,"",AG2297+tech_proj!AG1797/(1-tech_proj!AG677))</f>
        <v>0.98129212957444312</v>
      </c>
      <c r="AH1177" s="117">
        <f>IF(tech_base!$T273&gt;AH$905,"",AH2297+tech_proj!AH1797/(1-tech_proj!AH677))</f>
        <v>0.98122965886471969</v>
      </c>
      <c r="AI1177" s="117">
        <f>IF(tech_base!$T273&gt;AI$905,"",AI2297+tech_proj!AI1797/(1-tech_proj!AI677))</f>
        <v>0.98115346074829934</v>
      </c>
      <c r="AJ1177" s="117">
        <f>IF(tech_base!$T273&gt;AJ$905,"",AJ2297+tech_proj!AJ1797/(1-tech_proj!AJ677))</f>
        <v>0.98106054663460474</v>
      </c>
      <c r="AK1177" s="117">
        <f>IF(tech_base!$T273&gt;AK$905,"",AK2297+tech_proj!AK1797/(1-tech_proj!AK677))</f>
        <v>0.98094729090095545</v>
      </c>
      <c r="AL1177" s="117">
        <f>IF(tech_base!$T273&gt;AL$905,"",AL2297+tech_proj!AL1797/(1-tech_proj!AL677))</f>
        <v>0.98080930174529568</v>
      </c>
      <c r="AM1177" s="117">
        <f>IF(tech_base!$T273&gt;AM$905,"",AM2297+tech_proj!AM1797/(1-tech_proj!AM677))</f>
        <v>0.9806412691087073</v>
      </c>
      <c r="AN1177" s="117">
        <f>IF(tech_base!$T273&gt;AN$905,"",AN2297+tech_proj!AN1797/(1-tech_proj!AN677))</f>
        <v>0.98043678722697059</v>
      </c>
      <c r="AO1177" s="117">
        <f>IF(tech_base!$T273&gt;AO$905,"",AO2297+tech_proj!AO1797/(1-tech_proj!AO677))</f>
        <v>0.98018815000825177</v>
      </c>
      <c r="AP1177" s="117">
        <f>IF(tech_base!$T273&gt;AP$905,"",AP2297+tech_proj!AP1797/(1-tech_proj!AP677))</f>
        <v>0.97988611870049613</v>
      </c>
      <c r="AQ1177" s="117">
        <f>IF(tech_base!$T273&gt;AQ$905,"",AQ2297+tech_proj!AQ1797/(1-tech_proj!AQ677))</f>
        <v>0.9795196635168314</v>
      </c>
      <c r="AR1177" s="117">
        <f>IF(tech_base!$T273&gt;AR$905,"",AR2297+tech_proj!AR1797/(1-tech_proj!AR677))</f>
        <v>0.9790756844420001</v>
      </c>
      <c r="AS1177" s="117">
        <f>IF(tech_base!$T273&gt;AS$905,"",AS2297+tech_proj!AS1797/(1-tech_proj!AS677))</f>
        <v>0.97853872186764612</v>
      </c>
      <c r="AT1177" s="117">
        <f>IF(tech_base!$T273&gt;AT$905,"",AT2297+tech_proj!AT1797/(1-tech_proj!AT677))</f>
        <v>0.97789067560798137</v>
      </c>
      <c r="AU1177" s="117">
        <f>IF(tech_base!$T273&gt;AU$905,"",AU2297+tech_proj!AU1797/(1-tech_proj!AU677))</f>
        <v>0.97711056185605494</v>
      </c>
      <c r="AV1177" s="117">
        <f>IF(tech_base!$T273&gt;AV$905,"",AV2297+tech_proj!AV1797/(1-tech_proj!AV677))</f>
        <v>0.9761743522352917</v>
      </c>
      <c r="AW1177" s="117">
        <f>IF(tech_base!$T273&gt;AW$905,"",AW2297+tech_proj!AW1797/(1-tech_proj!AW677))</f>
        <v>0.97505495730839076</v>
      </c>
      <c r="AX1177" s="118">
        <f>IF(tech_base!$T273&gt;AX$905,"",AX2297+tech_proj!AX1797/(1-tech_proj!AX677))</f>
        <v>0.97372243778853163</v>
      </c>
    </row>
    <row r="1178" spans="1:50" ht="14.5" x14ac:dyDescent="0.35">
      <c r="A1178"/>
      <c r="B1178"/>
      <c r="C1178"/>
      <c r="D1178"/>
      <c r="E1178"/>
      <c r="F1178"/>
      <c r="G1178"/>
      <c r="H1178"/>
      <c r="I1178"/>
      <c r="J1178"/>
      <c r="K1178"/>
      <c r="L1178"/>
      <c r="M1178"/>
      <c r="N1178"/>
      <c r="O1178"/>
      <c r="P1178"/>
      <c r="Q1178"/>
      <c r="R1178"/>
      <c r="S1178"/>
      <c r="T1178"/>
      <c r="U1178"/>
      <c r="V1178"/>
      <c r="W1178"/>
      <c r="X1178"/>
      <c r="Y1178"/>
      <c r="Z1178"/>
      <c r="AA1178"/>
      <c r="AB1178"/>
      <c r="AC1178"/>
      <c r="AD1178"/>
      <c r="AE1178"/>
      <c r="AF1178"/>
      <c r="AG1178"/>
      <c r="AH1178"/>
      <c r="AI1178"/>
      <c r="AJ1178"/>
      <c r="AK1178"/>
      <c r="AL1178"/>
      <c r="AM1178"/>
      <c r="AN1178"/>
      <c r="AO1178"/>
      <c r="AP1178"/>
      <c r="AQ1178"/>
      <c r="AR1178"/>
      <c r="AS1178"/>
      <c r="AT1178"/>
      <c r="AU1178"/>
      <c r="AV1178"/>
      <c r="AW1178"/>
      <c r="AX1178"/>
    </row>
    <row r="1179" spans="1:50" ht="14.5" x14ac:dyDescent="0.35">
      <c r="A1179"/>
      <c r="B1179"/>
      <c r="C1179"/>
      <c r="D1179"/>
      <c r="E1179"/>
      <c r="F1179"/>
      <c r="G1179"/>
      <c r="H1179"/>
      <c r="I1179"/>
      <c r="J1179"/>
      <c r="K1179"/>
      <c r="L1179"/>
      <c r="M1179"/>
      <c r="N1179"/>
      <c r="O1179"/>
      <c r="P1179"/>
      <c r="Q1179"/>
      <c r="R1179"/>
      <c r="S1179"/>
      <c r="T1179"/>
      <c r="U1179"/>
      <c r="V1179"/>
      <c r="W1179"/>
      <c r="X1179"/>
      <c r="Y1179"/>
      <c r="Z1179"/>
      <c r="AA1179"/>
      <c r="AB1179"/>
      <c r="AC1179"/>
      <c r="AD1179"/>
      <c r="AE1179"/>
      <c r="AF1179"/>
      <c r="AG1179"/>
      <c r="AH1179"/>
      <c r="AI1179"/>
      <c r="AJ1179"/>
      <c r="AK1179"/>
      <c r="AL1179"/>
      <c r="AM1179"/>
      <c r="AN1179"/>
      <c r="AO1179"/>
      <c r="AP1179"/>
      <c r="AQ1179"/>
      <c r="AR1179"/>
      <c r="AS1179"/>
      <c r="AT1179"/>
      <c r="AU1179"/>
      <c r="AV1179"/>
      <c r="AW1179"/>
      <c r="AX1179"/>
    </row>
    <row r="1180" spans="1:50" ht="14.5" x14ac:dyDescent="0.35">
      <c r="A1180"/>
      <c r="B1180"/>
      <c r="C1180"/>
      <c r="D1180"/>
      <c r="E1180"/>
      <c r="F1180"/>
      <c r="G1180"/>
      <c r="H1180"/>
      <c r="I1180"/>
      <c r="J1180"/>
      <c r="K1180"/>
      <c r="L1180"/>
      <c r="M1180"/>
      <c r="N1180"/>
      <c r="O1180"/>
      <c r="P1180"/>
      <c r="Q1180"/>
      <c r="R1180"/>
      <c r="S1180"/>
      <c r="T1180"/>
      <c r="U1180"/>
      <c r="V1180"/>
      <c r="W1180"/>
      <c r="X1180"/>
      <c r="Y1180"/>
      <c r="Z1180"/>
      <c r="AA1180"/>
      <c r="AB1180"/>
      <c r="AC1180"/>
      <c r="AD1180"/>
      <c r="AE1180"/>
      <c r="AF1180"/>
      <c r="AG1180"/>
      <c r="AH1180"/>
      <c r="AI1180"/>
      <c r="AJ1180"/>
      <c r="AK1180"/>
      <c r="AL1180"/>
      <c r="AM1180"/>
      <c r="AN1180"/>
      <c r="AO1180"/>
      <c r="AP1180"/>
      <c r="AQ1180"/>
      <c r="AR1180"/>
      <c r="AS1180"/>
      <c r="AT1180"/>
      <c r="AU1180"/>
      <c r="AV1180"/>
      <c r="AW1180"/>
      <c r="AX1180"/>
    </row>
    <row r="1181" spans="1:50" ht="14.5" x14ac:dyDescent="0.35">
      <c r="A1181"/>
      <c r="B1181"/>
      <c r="C1181"/>
      <c r="D1181"/>
      <c r="E1181"/>
      <c r="F1181"/>
      <c r="G1181"/>
      <c r="H1181"/>
      <c r="I1181"/>
      <c r="J1181"/>
      <c r="K1181"/>
      <c r="L1181"/>
      <c r="M1181"/>
      <c r="N1181"/>
      <c r="O1181"/>
      <c r="P1181"/>
      <c r="Q1181"/>
      <c r="R1181"/>
      <c r="S1181"/>
      <c r="T1181"/>
      <c r="U1181"/>
      <c r="V1181"/>
      <c r="W1181"/>
      <c r="X1181"/>
      <c r="Y1181"/>
      <c r="Z1181"/>
      <c r="AA1181"/>
      <c r="AB1181"/>
      <c r="AC1181"/>
      <c r="AD1181"/>
      <c r="AE1181"/>
      <c r="AF1181"/>
      <c r="AG1181"/>
      <c r="AH1181"/>
      <c r="AI1181"/>
      <c r="AJ1181"/>
      <c r="AK1181"/>
      <c r="AL1181"/>
      <c r="AM1181"/>
      <c r="AN1181"/>
      <c r="AO1181"/>
      <c r="AP1181"/>
      <c r="AQ1181"/>
      <c r="AR1181"/>
      <c r="AS1181"/>
      <c r="AT1181"/>
      <c r="AU1181"/>
      <c r="AV1181"/>
      <c r="AW1181"/>
      <c r="AX1181"/>
    </row>
    <row r="1182" spans="1:50" ht="14.5" x14ac:dyDescent="0.35">
      <c r="A1182"/>
      <c r="B1182"/>
      <c r="C1182"/>
      <c r="D1182"/>
      <c r="E1182"/>
      <c r="F1182"/>
      <c r="G1182"/>
      <c r="H1182"/>
      <c r="I1182"/>
      <c r="J1182"/>
      <c r="K1182"/>
      <c r="L1182"/>
      <c r="M1182"/>
      <c r="N1182"/>
      <c r="O1182"/>
      <c r="P1182"/>
      <c r="Q1182"/>
      <c r="R1182"/>
      <c r="S1182"/>
      <c r="T1182"/>
      <c r="U1182"/>
      <c r="V1182"/>
      <c r="W1182"/>
      <c r="X1182"/>
      <c r="Y1182"/>
      <c r="Z1182"/>
      <c r="AA1182"/>
      <c r="AB1182"/>
      <c r="AC1182"/>
      <c r="AD1182"/>
      <c r="AE1182"/>
      <c r="AF1182"/>
      <c r="AG1182"/>
      <c r="AH1182"/>
      <c r="AI1182"/>
      <c r="AJ1182"/>
      <c r="AK1182"/>
      <c r="AL1182"/>
      <c r="AM1182"/>
      <c r="AN1182"/>
      <c r="AO1182"/>
      <c r="AP1182"/>
      <c r="AQ1182"/>
      <c r="AR1182"/>
      <c r="AS1182"/>
      <c r="AT1182"/>
      <c r="AU1182"/>
      <c r="AV1182"/>
      <c r="AW1182"/>
      <c r="AX1182"/>
    </row>
    <row r="1183" spans="1:50" ht="15" thickBot="1" x14ac:dyDescent="0.4">
      <c r="A1183"/>
      <c r="B1183"/>
      <c r="C1183"/>
      <c r="D1183"/>
      <c r="E1183"/>
      <c r="F1183"/>
      <c r="G1183"/>
      <c r="H1183"/>
      <c r="I1183"/>
      <c r="J1183"/>
      <c r="K1183"/>
      <c r="L1183"/>
      <c r="M1183"/>
      <c r="N1183"/>
      <c r="O1183"/>
      <c r="P1183"/>
      <c r="Q1183"/>
      <c r="R1183"/>
      <c r="S1183"/>
      <c r="T1183"/>
      <c r="U1183"/>
      <c r="V1183"/>
      <c r="W1183"/>
      <c r="X1183"/>
      <c r="Y1183"/>
      <c r="Z1183"/>
      <c r="AA1183"/>
      <c r="AB1183"/>
      <c r="AC1183"/>
      <c r="AD1183"/>
      <c r="AE1183"/>
      <c r="AF1183"/>
      <c r="AG1183"/>
      <c r="AH1183"/>
      <c r="AI1183"/>
      <c r="AJ1183"/>
      <c r="AK1183"/>
      <c r="AL1183"/>
      <c r="AM1183"/>
      <c r="AN1183"/>
      <c r="AO1183"/>
      <c r="AP1183"/>
      <c r="AQ1183"/>
      <c r="AR1183"/>
      <c r="AS1183"/>
      <c r="AT1183"/>
      <c r="AU1183"/>
      <c r="AV1183"/>
      <c r="AW1183"/>
      <c r="AX1183"/>
    </row>
    <row r="1184" spans="1:50" x14ac:dyDescent="0.25">
      <c r="A1184" s="343" t="s">
        <v>49</v>
      </c>
      <c r="B1184" s="345" t="s">
        <v>50</v>
      </c>
      <c r="C1184" s="345" t="s">
        <v>51</v>
      </c>
      <c r="D1184" s="345" t="s">
        <v>52</v>
      </c>
      <c r="E1184" s="290"/>
      <c r="F1184" s="290"/>
      <c r="G1184" s="290"/>
      <c r="H1184" s="290"/>
      <c r="I1184" s="290"/>
      <c r="J1184" s="1" t="s">
        <v>97</v>
      </c>
      <c r="K1184" s="1"/>
      <c r="L1184" s="1"/>
      <c r="M1184" s="1"/>
      <c r="N1184" s="1"/>
      <c r="O1184" s="1"/>
      <c r="P1184" s="1"/>
      <c r="Q1184" s="289"/>
      <c r="R1184" s="289"/>
      <c r="S1184" s="289"/>
      <c r="T1184" s="289"/>
      <c r="U1184" s="289"/>
      <c r="V1184" s="289"/>
      <c r="W1184" s="289"/>
      <c r="X1184" s="289"/>
      <c r="Y1184" s="289"/>
      <c r="Z1184" s="289"/>
      <c r="AA1184" s="289"/>
      <c r="AB1184" s="289"/>
      <c r="AC1184" s="289"/>
      <c r="AD1184" s="289"/>
      <c r="AE1184" s="289"/>
      <c r="AF1184" s="289"/>
      <c r="AG1184" s="289"/>
      <c r="AH1184" s="289"/>
      <c r="AI1184" s="289"/>
      <c r="AJ1184" s="289"/>
      <c r="AK1184" s="289"/>
      <c r="AL1184" s="289"/>
      <c r="AM1184" s="289"/>
      <c r="AN1184" s="289"/>
      <c r="AO1184" s="289"/>
      <c r="AP1184" s="289"/>
      <c r="AQ1184" s="289"/>
      <c r="AR1184" s="289"/>
      <c r="AS1184" s="289"/>
      <c r="AT1184" s="289"/>
      <c r="AU1184" s="289"/>
      <c r="AV1184" s="289"/>
      <c r="AW1184" s="289"/>
      <c r="AX1184" s="301" t="s">
        <v>77</v>
      </c>
    </row>
    <row r="1185" spans="1:52" ht="11" thickBot="1" x14ac:dyDescent="0.3">
      <c r="A1185" s="344"/>
      <c r="B1185" s="346"/>
      <c r="C1185" s="346"/>
      <c r="D1185" s="346"/>
      <c r="E1185" s="291"/>
      <c r="F1185" s="291"/>
      <c r="G1185" s="291"/>
      <c r="H1185" s="291"/>
      <c r="I1185" s="291"/>
      <c r="J1185" s="68">
        <v>2010</v>
      </c>
      <c r="K1185" s="68">
        <v>2011</v>
      </c>
      <c r="L1185" s="68">
        <v>2012</v>
      </c>
      <c r="M1185" s="68">
        <v>2013</v>
      </c>
      <c r="N1185" s="68">
        <v>2014</v>
      </c>
      <c r="O1185" s="68">
        <v>2015</v>
      </c>
      <c r="P1185" s="68">
        <v>2016</v>
      </c>
      <c r="Q1185" s="68">
        <v>2017</v>
      </c>
      <c r="R1185" s="68">
        <v>2018</v>
      </c>
      <c r="S1185" s="68">
        <v>2019</v>
      </c>
      <c r="T1185" s="68">
        <v>2020</v>
      </c>
      <c r="U1185" s="68">
        <v>2021</v>
      </c>
      <c r="V1185" s="68">
        <v>2022</v>
      </c>
      <c r="W1185" s="68">
        <v>2023</v>
      </c>
      <c r="X1185" s="68">
        <v>2024</v>
      </c>
      <c r="Y1185" s="68">
        <v>2025</v>
      </c>
      <c r="Z1185" s="68">
        <v>2026</v>
      </c>
      <c r="AA1185" s="68">
        <v>2027</v>
      </c>
      <c r="AB1185" s="68">
        <v>2028</v>
      </c>
      <c r="AC1185" s="68">
        <v>2029</v>
      </c>
      <c r="AD1185" s="68">
        <v>2030</v>
      </c>
      <c r="AE1185" s="68">
        <v>2031</v>
      </c>
      <c r="AF1185" s="68">
        <v>2032</v>
      </c>
      <c r="AG1185" s="68">
        <v>2033</v>
      </c>
      <c r="AH1185" s="68">
        <v>2034</v>
      </c>
      <c r="AI1185" s="68">
        <v>2035</v>
      </c>
      <c r="AJ1185" s="68">
        <v>2036</v>
      </c>
      <c r="AK1185" s="68">
        <v>2037</v>
      </c>
      <c r="AL1185" s="68">
        <v>2038</v>
      </c>
      <c r="AM1185" s="68">
        <v>2039</v>
      </c>
      <c r="AN1185" s="68">
        <v>2040</v>
      </c>
      <c r="AO1185" s="68">
        <v>2041</v>
      </c>
      <c r="AP1185" s="68">
        <v>2042</v>
      </c>
      <c r="AQ1185" s="68">
        <v>2043</v>
      </c>
      <c r="AR1185" s="68">
        <v>2044</v>
      </c>
      <c r="AS1185" s="68">
        <v>2045</v>
      </c>
      <c r="AT1185" s="68">
        <v>2046</v>
      </c>
      <c r="AU1185" s="68">
        <v>2047</v>
      </c>
      <c r="AV1185" s="68">
        <v>2048</v>
      </c>
      <c r="AW1185" s="68">
        <v>2049</v>
      </c>
      <c r="AX1185" s="83">
        <v>2050</v>
      </c>
    </row>
    <row r="1186" spans="1:52" x14ac:dyDescent="0.25">
      <c r="A1186" s="347" t="s">
        <v>4</v>
      </c>
      <c r="B1186" s="349" t="s">
        <v>5</v>
      </c>
      <c r="C1186" s="350" t="s">
        <v>6</v>
      </c>
      <c r="D1186" s="2" t="s">
        <v>7</v>
      </c>
      <c r="E1186" s="160" t="str">
        <f>A1186&amp;"/"&amp;B1186&amp;"/"&amp;C1186&amp;"/"&amp;D1186</f>
        <v>Nuclear power plants/Nuclear - current/Electricity only/L</v>
      </c>
      <c r="F1186" s="76" t="str">
        <f>A1186</f>
        <v>Nuclear power plants</v>
      </c>
      <c r="G1186" s="76" t="str">
        <f>B1186</f>
        <v>Nuclear - current</v>
      </c>
      <c r="H1186" s="76" t="str">
        <f>C1186</f>
        <v>Electricity only</v>
      </c>
      <c r="I1186" s="161" t="str">
        <f>D1186</f>
        <v>L</v>
      </c>
      <c r="J1186" s="119">
        <f>IF(tech_base!$T2&gt;J$1185,"",J1466+J1746)</f>
        <v>0</v>
      </c>
      <c r="K1186" s="119">
        <f>IF(tech_base!$T2&gt;K$1185,"",K1466+K1746)</f>
        <v>0</v>
      </c>
      <c r="L1186" s="119">
        <f>IF(tech_base!$T2&gt;L$1185,"",L1466+L1746)</f>
        <v>0</v>
      </c>
      <c r="M1186" s="119">
        <f>IF(tech_base!$T2&gt;M$1185,"",M1466+M1746)</f>
        <v>0</v>
      </c>
      <c r="N1186" s="119">
        <f>IF(tech_base!$T2&gt;N$1185,"",N1466+N1746)</f>
        <v>0</v>
      </c>
      <c r="O1186" s="119">
        <f>IF(tech_base!$T2&gt;O$1185,"",O1466+O1746)</f>
        <v>0</v>
      </c>
      <c r="P1186" s="119">
        <f>IF(tech_base!$T2&gt;P$1185,"",P1466+P1746)</f>
        <v>0</v>
      </c>
      <c r="Q1186" s="119">
        <f>IF(tech_base!$T2&gt;Q$1185,"",Q1466+Q1746)</f>
        <v>0</v>
      </c>
      <c r="R1186" s="119">
        <f>IF(tech_base!$T2&gt;R$1185,"",R1466+R1746)</f>
        <v>0</v>
      </c>
      <c r="S1186" s="119">
        <f>IF(tech_base!$T2&gt;S$1185,"",S1466+S1746)</f>
        <v>0</v>
      </c>
      <c r="T1186" s="119">
        <f>IF(tech_base!$T2&gt;T$1185,"",T1466+T1746)</f>
        <v>0</v>
      </c>
      <c r="U1186" s="119">
        <f>IF(tech_base!$T2&gt;U$1185,"",U1466+U1746)</f>
        <v>0</v>
      </c>
      <c r="V1186" s="119">
        <f>IF(tech_base!$T2&gt;V$1185,"",V1466+V1746)</f>
        <v>0</v>
      </c>
      <c r="W1186" s="119">
        <f>IF(tech_base!$T2&gt;W$1185,"",W1466+W1746)</f>
        <v>0</v>
      </c>
      <c r="X1186" s="119">
        <f>IF(tech_base!$T2&gt;X$1185,"",X1466+X1746)</f>
        <v>0</v>
      </c>
      <c r="Y1186" s="119">
        <f>IF(tech_base!$T2&gt;Y$1185,"",Y1466+Y1746)</f>
        <v>0</v>
      </c>
      <c r="Z1186" s="119">
        <f>IF(tech_base!$T2&gt;Z$1185,"",Z1466+Z1746)</f>
        <v>0</v>
      </c>
      <c r="AA1186" s="119">
        <f>IF(tech_base!$T2&gt;AA$1185,"",AA1466+AA1746)</f>
        <v>0</v>
      </c>
      <c r="AB1186" s="119">
        <f>IF(tech_base!$T2&gt;AB$1185,"",AB1466+AB1746)</f>
        <v>0</v>
      </c>
      <c r="AC1186" s="119">
        <f>IF(tech_base!$T2&gt;AC$1185,"",AC1466+AC1746)</f>
        <v>0</v>
      </c>
      <c r="AD1186" s="119">
        <f>IF(tech_base!$T2&gt;AD$1185,"",AD1466+AD1746)</f>
        <v>0</v>
      </c>
      <c r="AE1186" s="119">
        <f>IF(tech_base!$T2&gt;AE$1185,"",AE1466+AE1746)</f>
        <v>0</v>
      </c>
      <c r="AF1186" s="119">
        <f>IF(tech_base!$T2&gt;AF$1185,"",AF1466+AF1746)</f>
        <v>0</v>
      </c>
      <c r="AG1186" s="119">
        <f>IF(tech_base!$T2&gt;AG$1185,"",AG1466+AG1746)</f>
        <v>0</v>
      </c>
      <c r="AH1186" s="119">
        <f>IF(tech_base!$T2&gt;AH$1185,"",AH1466+AH1746)</f>
        <v>0</v>
      </c>
      <c r="AI1186" s="119">
        <f>IF(tech_base!$T2&gt;AI$1185,"",AI1466+AI1746)</f>
        <v>0</v>
      </c>
      <c r="AJ1186" s="119">
        <f>IF(tech_base!$T2&gt;AJ$1185,"",AJ1466+AJ1746)</f>
        <v>0</v>
      </c>
      <c r="AK1186" s="119">
        <f>IF(tech_base!$T2&gt;AK$1185,"",AK1466+AK1746)</f>
        <v>0</v>
      </c>
      <c r="AL1186" s="119">
        <f>IF(tech_base!$T2&gt;AL$1185,"",AL1466+AL1746)</f>
        <v>0</v>
      </c>
      <c r="AM1186" s="119">
        <f>IF(tech_base!$T2&gt;AM$1185,"",AM1466+AM1746)</f>
        <v>0</v>
      </c>
      <c r="AN1186" s="119">
        <f>IF(tech_base!$T2&gt;AN$1185,"",AN1466+AN1746)</f>
        <v>0</v>
      </c>
      <c r="AO1186" s="119">
        <f>IF(tech_base!$T2&gt;AO$1185,"",AO1466+AO1746)</f>
        <v>0</v>
      </c>
      <c r="AP1186" s="119">
        <f>IF(tech_base!$T2&gt;AP$1185,"",AP1466+AP1746)</f>
        <v>0</v>
      </c>
      <c r="AQ1186" s="119">
        <f>IF(tech_base!$T2&gt;AQ$1185,"",AQ1466+AQ1746)</f>
        <v>0</v>
      </c>
      <c r="AR1186" s="119">
        <f>IF(tech_base!$T2&gt;AR$1185,"",AR1466+AR1746)</f>
        <v>0</v>
      </c>
      <c r="AS1186" s="119">
        <f>IF(tech_base!$T2&gt;AS$1185,"",AS1466+AS1746)</f>
        <v>0</v>
      </c>
      <c r="AT1186" s="119">
        <f>IF(tech_base!$T2&gt;AT$1185,"",AT1466+AT1746)</f>
        <v>0</v>
      </c>
      <c r="AU1186" s="119">
        <f>IF(tech_base!$T2&gt;AU$1185,"",AU1466+AU1746)</f>
        <v>0</v>
      </c>
      <c r="AV1186" s="119">
        <f>IF(tech_base!$T2&gt;AV$1185,"",AV1466+AV1746)</f>
        <v>0</v>
      </c>
      <c r="AW1186" s="119">
        <f>IF(tech_base!$T2&gt;AW$1185,"",AW1466+AW1746)</f>
        <v>0</v>
      </c>
      <c r="AX1186" s="120">
        <f>IF(tech_base!$T2&gt;AX$1185,"",AX1466+AX1746)</f>
        <v>0</v>
      </c>
    </row>
    <row r="1187" spans="1:52" x14ac:dyDescent="0.25">
      <c r="A1187" s="347"/>
      <c r="B1187" s="349"/>
      <c r="C1187" s="350"/>
      <c r="D1187" s="4" t="s">
        <v>8</v>
      </c>
      <c r="E1187" s="168" t="str">
        <f>A1186&amp;"/"&amp;B1186&amp;"/"&amp;C1186&amp;"/"&amp;D1187</f>
        <v>Nuclear power plants/Nuclear - current/Electricity only/M</v>
      </c>
      <c r="F1187" s="80" t="str">
        <f>A1186</f>
        <v>Nuclear power plants</v>
      </c>
      <c r="G1187" s="80" t="str">
        <f>B1186</f>
        <v>Nuclear - current</v>
      </c>
      <c r="H1187" s="80" t="str">
        <f>C1186</f>
        <v>Electricity only</v>
      </c>
      <c r="I1187" s="169" t="str">
        <f t="shared" ref="I1187:I1250" si="372">D1187</f>
        <v>M</v>
      </c>
      <c r="J1187" s="127">
        <f>IF(tech_base!$T3&gt;J$1185,"",J1467+J1747)</f>
        <v>0</v>
      </c>
      <c r="K1187" s="127">
        <f>IF(tech_base!$T3&gt;K$1185,"",K1467+K1747)</f>
        <v>0</v>
      </c>
      <c r="L1187" s="127">
        <f>IF(tech_base!$T3&gt;L$1185,"",L1467+L1747)</f>
        <v>0</v>
      </c>
      <c r="M1187" s="127">
        <f>IF(tech_base!$T3&gt;M$1185,"",M1467+M1747)</f>
        <v>0</v>
      </c>
      <c r="N1187" s="127">
        <f>IF(tech_base!$T3&gt;N$1185,"",N1467+N1747)</f>
        <v>0</v>
      </c>
      <c r="O1187" s="127">
        <f>IF(tech_base!$T3&gt;O$1185,"",O1467+O1747)</f>
        <v>0</v>
      </c>
      <c r="P1187" s="127">
        <f>IF(tech_base!$T3&gt;P$1185,"",P1467+P1747)</f>
        <v>0</v>
      </c>
      <c r="Q1187" s="127">
        <f>IF(tech_base!$T3&gt;Q$1185,"",Q1467+Q1747)</f>
        <v>0</v>
      </c>
      <c r="R1187" s="127">
        <f>IF(tech_base!$T3&gt;R$1185,"",R1467+R1747)</f>
        <v>0</v>
      </c>
      <c r="S1187" s="127">
        <f>IF(tech_base!$T3&gt;S$1185,"",S1467+S1747)</f>
        <v>0</v>
      </c>
      <c r="T1187" s="127">
        <f>IF(tech_base!$T3&gt;T$1185,"",T1467+T1747)</f>
        <v>0</v>
      </c>
      <c r="U1187" s="127">
        <f>IF(tech_base!$T3&gt;U$1185,"",U1467+U1747)</f>
        <v>0</v>
      </c>
      <c r="V1187" s="127">
        <f>IF(tech_base!$T3&gt;V$1185,"",V1467+V1747)</f>
        <v>0</v>
      </c>
      <c r="W1187" s="127">
        <f>IF(tech_base!$T3&gt;W$1185,"",W1467+W1747)</f>
        <v>0</v>
      </c>
      <c r="X1187" s="127">
        <f>IF(tech_base!$T3&gt;X$1185,"",X1467+X1747)</f>
        <v>0</v>
      </c>
      <c r="Y1187" s="127">
        <f>IF(tech_base!$T3&gt;Y$1185,"",Y1467+Y1747)</f>
        <v>0</v>
      </c>
      <c r="Z1187" s="127">
        <f>IF(tech_base!$T3&gt;Z$1185,"",Z1467+Z1747)</f>
        <v>0</v>
      </c>
      <c r="AA1187" s="127">
        <f>IF(tech_base!$T3&gt;AA$1185,"",AA1467+AA1747)</f>
        <v>0</v>
      </c>
      <c r="AB1187" s="127">
        <f>IF(tech_base!$T3&gt;AB$1185,"",AB1467+AB1747)</f>
        <v>0</v>
      </c>
      <c r="AC1187" s="127">
        <f>IF(tech_base!$T3&gt;AC$1185,"",AC1467+AC1747)</f>
        <v>0</v>
      </c>
      <c r="AD1187" s="127">
        <f>IF(tech_base!$T3&gt;AD$1185,"",AD1467+AD1747)</f>
        <v>0</v>
      </c>
      <c r="AE1187" s="127">
        <f>IF(tech_base!$T3&gt;AE$1185,"",AE1467+AE1747)</f>
        <v>0</v>
      </c>
      <c r="AF1187" s="127">
        <f>IF(tech_base!$T3&gt;AF$1185,"",AF1467+AF1747)</f>
        <v>0</v>
      </c>
      <c r="AG1187" s="127">
        <f>IF(tech_base!$T3&gt;AG$1185,"",AG1467+AG1747)</f>
        <v>0</v>
      </c>
      <c r="AH1187" s="127">
        <f>IF(tech_base!$T3&gt;AH$1185,"",AH1467+AH1747)</f>
        <v>0</v>
      </c>
      <c r="AI1187" s="127">
        <f>IF(tech_base!$T3&gt;AI$1185,"",AI1467+AI1747)</f>
        <v>0</v>
      </c>
      <c r="AJ1187" s="127">
        <f>IF(tech_base!$T3&gt;AJ$1185,"",AJ1467+AJ1747)</f>
        <v>0</v>
      </c>
      <c r="AK1187" s="127">
        <f>IF(tech_base!$T3&gt;AK$1185,"",AK1467+AK1747)</f>
        <v>0</v>
      </c>
      <c r="AL1187" s="127">
        <f>IF(tech_base!$T3&gt;AL$1185,"",AL1467+AL1747)</f>
        <v>0</v>
      </c>
      <c r="AM1187" s="127">
        <f>IF(tech_base!$T3&gt;AM$1185,"",AM1467+AM1747)</f>
        <v>0</v>
      </c>
      <c r="AN1187" s="127">
        <f>IF(tech_base!$T3&gt;AN$1185,"",AN1467+AN1747)</f>
        <v>0</v>
      </c>
      <c r="AO1187" s="127">
        <f>IF(tech_base!$T3&gt;AO$1185,"",AO1467+AO1747)</f>
        <v>0</v>
      </c>
      <c r="AP1187" s="127">
        <f>IF(tech_base!$T3&gt;AP$1185,"",AP1467+AP1747)</f>
        <v>0</v>
      </c>
      <c r="AQ1187" s="127">
        <f>IF(tech_base!$T3&gt;AQ$1185,"",AQ1467+AQ1747)</f>
        <v>0</v>
      </c>
      <c r="AR1187" s="127">
        <f>IF(tech_base!$T3&gt;AR$1185,"",AR1467+AR1747)</f>
        <v>0</v>
      </c>
      <c r="AS1187" s="127">
        <f>IF(tech_base!$T3&gt;AS$1185,"",AS1467+AS1747)</f>
        <v>0</v>
      </c>
      <c r="AT1187" s="127">
        <f>IF(tech_base!$T3&gt;AT$1185,"",AT1467+AT1747)</f>
        <v>0</v>
      </c>
      <c r="AU1187" s="127">
        <f>IF(tech_base!$T3&gt;AU$1185,"",AU1467+AU1747)</f>
        <v>0</v>
      </c>
      <c r="AV1187" s="127">
        <f>IF(tech_base!$T3&gt;AV$1185,"",AV1467+AV1747)</f>
        <v>0</v>
      </c>
      <c r="AW1187" s="127">
        <f>IF(tech_base!$T3&gt;AW$1185,"",AW1467+AW1747)</f>
        <v>0</v>
      </c>
      <c r="AX1187" s="128">
        <f>IF(tech_base!$T3&gt;AX$1185,"",AX1467+AX1747)</f>
        <v>0</v>
      </c>
    </row>
    <row r="1188" spans="1:52" x14ac:dyDescent="0.25">
      <c r="A1188" s="347"/>
      <c r="B1188" s="351" t="s">
        <v>9</v>
      </c>
      <c r="C1188" s="353" t="s">
        <v>6</v>
      </c>
      <c r="D1188" s="2" t="s">
        <v>7</v>
      </c>
      <c r="E1188" s="160" t="str">
        <f>A1186&amp;"/"&amp;B1188&amp;"/"&amp;C1188&amp;"/"&amp;D1188</f>
        <v>Nuclear power plants/Nuclear III/Electricity only/L</v>
      </c>
      <c r="F1188" s="76" t="str">
        <f>A1186</f>
        <v>Nuclear power plants</v>
      </c>
      <c r="G1188" s="76" t="str">
        <f>B1188</f>
        <v>Nuclear III</v>
      </c>
      <c r="H1188" s="76" t="str">
        <f>C1188</f>
        <v>Electricity only</v>
      </c>
      <c r="I1188" s="161" t="str">
        <f t="shared" si="372"/>
        <v>L</v>
      </c>
      <c r="J1188" s="119">
        <f>IF(tech_base!$T4&gt;J$1185,"",J1468+J1748)</f>
        <v>0</v>
      </c>
      <c r="K1188" s="119">
        <f>IF(tech_base!$T4&gt;K$1185,"",K1468+K1748)</f>
        <v>0</v>
      </c>
      <c r="L1188" s="119">
        <f>IF(tech_base!$T4&gt;L$1185,"",L1468+L1748)</f>
        <v>0</v>
      </c>
      <c r="M1188" s="119">
        <f>IF(tech_base!$T4&gt;M$1185,"",M1468+M1748)</f>
        <v>0</v>
      </c>
      <c r="N1188" s="119">
        <f>IF(tech_base!$T4&gt;N$1185,"",N1468+N1748)</f>
        <v>0</v>
      </c>
      <c r="O1188" s="119">
        <f>IF(tech_base!$T4&gt;O$1185,"",O1468+O1748)</f>
        <v>0</v>
      </c>
      <c r="P1188" s="119">
        <f>IF(tech_base!$T4&gt;P$1185,"",P1468+P1748)</f>
        <v>0</v>
      </c>
      <c r="Q1188" s="119">
        <f>IF(tech_base!$T4&gt;Q$1185,"",Q1468+Q1748)</f>
        <v>0</v>
      </c>
      <c r="R1188" s="119">
        <f>IF(tech_base!$T4&gt;R$1185,"",R1468+R1748)</f>
        <v>0</v>
      </c>
      <c r="S1188" s="119">
        <f>IF(tech_base!$T4&gt;S$1185,"",S1468+S1748)</f>
        <v>0</v>
      </c>
      <c r="T1188" s="119">
        <f>IF(tech_base!$T4&gt;T$1185,"",T1468+T1748)</f>
        <v>0</v>
      </c>
      <c r="U1188" s="119">
        <f>IF(tech_base!$T4&gt;U$1185,"",U1468+U1748)</f>
        <v>0</v>
      </c>
      <c r="V1188" s="119">
        <f>IF(tech_base!$T4&gt;V$1185,"",V1468+V1748)</f>
        <v>0</v>
      </c>
      <c r="W1188" s="119">
        <f>IF(tech_base!$T4&gt;W$1185,"",W1468+W1748)</f>
        <v>0</v>
      </c>
      <c r="X1188" s="119">
        <f>IF(tech_base!$T4&gt;X$1185,"",X1468+X1748)</f>
        <v>0</v>
      </c>
      <c r="Y1188" s="119">
        <f>IF(tech_base!$T4&gt;Y$1185,"",Y1468+Y1748)</f>
        <v>0</v>
      </c>
      <c r="Z1188" s="119">
        <f>IF(tech_base!$T4&gt;Z$1185,"",Z1468+Z1748)</f>
        <v>0</v>
      </c>
      <c r="AA1188" s="119">
        <f>IF(tech_base!$T4&gt;AA$1185,"",AA1468+AA1748)</f>
        <v>0</v>
      </c>
      <c r="AB1188" s="119">
        <f>IF(tech_base!$T4&gt;AB$1185,"",AB1468+AB1748)</f>
        <v>0</v>
      </c>
      <c r="AC1188" s="119">
        <f>IF(tech_base!$T4&gt;AC$1185,"",AC1468+AC1748)</f>
        <v>0</v>
      </c>
      <c r="AD1188" s="119">
        <f>IF(tech_base!$T4&gt;AD$1185,"",AD1468+AD1748)</f>
        <v>0</v>
      </c>
      <c r="AE1188" s="119">
        <f>IF(tech_base!$T4&gt;AE$1185,"",AE1468+AE1748)</f>
        <v>0</v>
      </c>
      <c r="AF1188" s="119">
        <f>IF(tech_base!$T4&gt;AF$1185,"",AF1468+AF1748)</f>
        <v>0</v>
      </c>
      <c r="AG1188" s="119">
        <f>IF(tech_base!$T4&gt;AG$1185,"",AG1468+AG1748)</f>
        <v>0</v>
      </c>
      <c r="AH1188" s="119">
        <f>IF(tech_base!$T4&gt;AH$1185,"",AH1468+AH1748)</f>
        <v>0</v>
      </c>
      <c r="AI1188" s="119">
        <f>IF(tech_base!$T4&gt;AI$1185,"",AI1468+AI1748)</f>
        <v>0</v>
      </c>
      <c r="AJ1188" s="119">
        <f>IF(tech_base!$T4&gt;AJ$1185,"",AJ1468+AJ1748)</f>
        <v>0</v>
      </c>
      <c r="AK1188" s="119">
        <f>IF(tech_base!$T4&gt;AK$1185,"",AK1468+AK1748)</f>
        <v>0</v>
      </c>
      <c r="AL1188" s="119">
        <f>IF(tech_base!$T4&gt;AL$1185,"",AL1468+AL1748)</f>
        <v>0</v>
      </c>
      <c r="AM1188" s="119">
        <f>IF(tech_base!$T4&gt;AM$1185,"",AM1468+AM1748)</f>
        <v>0</v>
      </c>
      <c r="AN1188" s="119">
        <f>IF(tech_base!$T4&gt;AN$1185,"",AN1468+AN1748)</f>
        <v>0</v>
      </c>
      <c r="AO1188" s="119">
        <f>IF(tech_base!$T4&gt;AO$1185,"",AO1468+AO1748)</f>
        <v>0</v>
      </c>
      <c r="AP1188" s="119">
        <f>IF(tech_base!$T4&gt;AP$1185,"",AP1468+AP1748)</f>
        <v>0</v>
      </c>
      <c r="AQ1188" s="119">
        <f>IF(tech_base!$T4&gt;AQ$1185,"",AQ1468+AQ1748)</f>
        <v>0</v>
      </c>
      <c r="AR1188" s="119">
        <f>IF(tech_base!$T4&gt;AR$1185,"",AR1468+AR1748)</f>
        <v>0</v>
      </c>
      <c r="AS1188" s="119">
        <f>IF(tech_base!$T4&gt;AS$1185,"",AS1468+AS1748)</f>
        <v>0</v>
      </c>
      <c r="AT1188" s="119">
        <f>IF(tech_base!$T4&gt;AT$1185,"",AT1468+AT1748)</f>
        <v>0</v>
      </c>
      <c r="AU1188" s="119">
        <f>IF(tech_base!$T4&gt;AU$1185,"",AU1468+AU1748)</f>
        <v>0</v>
      </c>
      <c r="AV1188" s="119">
        <f>IF(tech_base!$T4&gt;AV$1185,"",AV1468+AV1748)</f>
        <v>0</v>
      </c>
      <c r="AW1188" s="119">
        <f>IF(tech_base!$T4&gt;AW$1185,"",AW1468+AW1748)</f>
        <v>0</v>
      </c>
      <c r="AX1188" s="120">
        <f>IF(tech_base!$T4&gt;AX$1185,"",AX1468+AX1748)</f>
        <v>0</v>
      </c>
      <c r="AZ1188" s="174"/>
    </row>
    <row r="1189" spans="1:52" x14ac:dyDescent="0.25">
      <c r="A1189" s="347"/>
      <c r="B1189" s="349"/>
      <c r="C1189" s="350"/>
      <c r="D1189" s="2" t="s">
        <v>8</v>
      </c>
      <c r="E1189" s="160" t="str">
        <f>A1186&amp;"/"&amp;B1188&amp;"/"&amp;C1188&amp;"/"&amp;D1189</f>
        <v>Nuclear power plants/Nuclear III/Electricity only/M</v>
      </c>
      <c r="F1189" s="76" t="str">
        <f>A1186</f>
        <v>Nuclear power plants</v>
      </c>
      <c r="G1189" s="76" t="str">
        <f>B1188</f>
        <v>Nuclear III</v>
      </c>
      <c r="H1189" s="76" t="str">
        <f>C1188</f>
        <v>Electricity only</v>
      </c>
      <c r="I1189" s="161" t="str">
        <f t="shared" si="372"/>
        <v>M</v>
      </c>
      <c r="J1189" s="119">
        <f>IF(tech_base!$T5&gt;J$1185,"",J1469+J1749)</f>
        <v>0</v>
      </c>
      <c r="K1189" s="119">
        <f>IF(tech_base!$T5&gt;K$1185,"",K1469+K1749)</f>
        <v>0</v>
      </c>
      <c r="L1189" s="119">
        <f>IF(tech_base!$T5&gt;L$1185,"",L1469+L1749)</f>
        <v>0</v>
      </c>
      <c r="M1189" s="119">
        <f>IF(tech_base!$T5&gt;M$1185,"",M1469+M1749)</f>
        <v>0</v>
      </c>
      <c r="N1189" s="119">
        <f>IF(tech_base!$T5&gt;N$1185,"",N1469+N1749)</f>
        <v>0</v>
      </c>
      <c r="O1189" s="119">
        <f>IF(tech_base!$T5&gt;O$1185,"",O1469+O1749)</f>
        <v>0</v>
      </c>
      <c r="P1189" s="119">
        <f>IF(tech_base!$T5&gt;P$1185,"",P1469+P1749)</f>
        <v>0</v>
      </c>
      <c r="Q1189" s="119">
        <f>IF(tech_base!$T5&gt;Q$1185,"",Q1469+Q1749)</f>
        <v>0</v>
      </c>
      <c r="R1189" s="119">
        <f>IF(tech_base!$T5&gt;R$1185,"",R1469+R1749)</f>
        <v>0</v>
      </c>
      <c r="S1189" s="119">
        <f>IF(tech_base!$T5&gt;S$1185,"",S1469+S1749)</f>
        <v>0</v>
      </c>
      <c r="T1189" s="119">
        <f>IF(tech_base!$T5&gt;T$1185,"",T1469+T1749)</f>
        <v>0</v>
      </c>
      <c r="U1189" s="119">
        <f>IF(tech_base!$T5&gt;U$1185,"",U1469+U1749)</f>
        <v>0</v>
      </c>
      <c r="V1189" s="119">
        <f>IF(tech_base!$T5&gt;V$1185,"",V1469+V1749)</f>
        <v>0</v>
      </c>
      <c r="W1189" s="119">
        <f>IF(tech_base!$T5&gt;W$1185,"",W1469+W1749)</f>
        <v>0</v>
      </c>
      <c r="X1189" s="119">
        <f>IF(tech_base!$T5&gt;X$1185,"",X1469+X1749)</f>
        <v>0</v>
      </c>
      <c r="Y1189" s="119">
        <f>IF(tech_base!$T5&gt;Y$1185,"",Y1469+Y1749)</f>
        <v>0</v>
      </c>
      <c r="Z1189" s="119">
        <f>IF(tech_base!$T5&gt;Z$1185,"",Z1469+Z1749)</f>
        <v>0</v>
      </c>
      <c r="AA1189" s="119">
        <f>IF(tech_base!$T5&gt;AA$1185,"",AA1469+AA1749)</f>
        <v>0</v>
      </c>
      <c r="AB1189" s="119">
        <f>IF(tech_base!$T5&gt;AB$1185,"",AB1469+AB1749)</f>
        <v>0</v>
      </c>
      <c r="AC1189" s="119">
        <f>IF(tech_base!$T5&gt;AC$1185,"",AC1469+AC1749)</f>
        <v>0</v>
      </c>
      <c r="AD1189" s="119">
        <f>IF(tech_base!$T5&gt;AD$1185,"",AD1469+AD1749)</f>
        <v>0</v>
      </c>
      <c r="AE1189" s="119">
        <f>IF(tech_base!$T5&gt;AE$1185,"",AE1469+AE1749)</f>
        <v>0</v>
      </c>
      <c r="AF1189" s="119">
        <f>IF(tech_base!$T5&gt;AF$1185,"",AF1469+AF1749)</f>
        <v>0</v>
      </c>
      <c r="AG1189" s="119">
        <f>IF(tech_base!$T5&gt;AG$1185,"",AG1469+AG1749)</f>
        <v>0</v>
      </c>
      <c r="AH1189" s="119">
        <f>IF(tech_base!$T5&gt;AH$1185,"",AH1469+AH1749)</f>
        <v>0</v>
      </c>
      <c r="AI1189" s="119">
        <f>IF(tech_base!$T5&gt;AI$1185,"",AI1469+AI1749)</f>
        <v>0</v>
      </c>
      <c r="AJ1189" s="119">
        <f>IF(tech_base!$T5&gt;AJ$1185,"",AJ1469+AJ1749)</f>
        <v>0</v>
      </c>
      <c r="AK1189" s="119">
        <f>IF(tech_base!$T5&gt;AK$1185,"",AK1469+AK1749)</f>
        <v>0</v>
      </c>
      <c r="AL1189" s="119">
        <f>IF(tech_base!$T5&gt;AL$1185,"",AL1469+AL1749)</f>
        <v>0</v>
      </c>
      <c r="AM1189" s="119">
        <f>IF(tech_base!$T5&gt;AM$1185,"",AM1469+AM1749)</f>
        <v>0</v>
      </c>
      <c r="AN1189" s="119">
        <f>IF(tech_base!$T5&gt;AN$1185,"",AN1469+AN1749)</f>
        <v>0</v>
      </c>
      <c r="AO1189" s="119">
        <f>IF(tech_base!$T5&gt;AO$1185,"",AO1469+AO1749)</f>
        <v>0</v>
      </c>
      <c r="AP1189" s="119">
        <f>IF(tech_base!$T5&gt;AP$1185,"",AP1469+AP1749)</f>
        <v>0</v>
      </c>
      <c r="AQ1189" s="119">
        <f>IF(tech_base!$T5&gt;AQ$1185,"",AQ1469+AQ1749)</f>
        <v>0</v>
      </c>
      <c r="AR1189" s="119">
        <f>IF(tech_base!$T5&gt;AR$1185,"",AR1469+AR1749)</f>
        <v>0</v>
      </c>
      <c r="AS1189" s="119">
        <f>IF(tech_base!$T5&gt;AS$1185,"",AS1469+AS1749)</f>
        <v>0</v>
      </c>
      <c r="AT1189" s="119">
        <f>IF(tech_base!$T5&gt;AT$1185,"",AT1469+AT1749)</f>
        <v>0</v>
      </c>
      <c r="AU1189" s="119">
        <f>IF(tech_base!$T5&gt;AU$1185,"",AU1469+AU1749)</f>
        <v>0</v>
      </c>
      <c r="AV1189" s="119">
        <f>IF(tech_base!$T5&gt;AV$1185,"",AV1469+AV1749)</f>
        <v>0</v>
      </c>
      <c r="AW1189" s="119">
        <f>IF(tech_base!$T5&gt;AW$1185,"",AW1469+AW1749)</f>
        <v>0</v>
      </c>
      <c r="AX1189" s="120">
        <f>IF(tech_base!$T5&gt;AX$1185,"",AX1469+AX1749)</f>
        <v>0</v>
      </c>
    </row>
    <row r="1190" spans="1:52" x14ac:dyDescent="0.25">
      <c r="A1190" s="347"/>
      <c r="B1190" s="352"/>
      <c r="C1190" s="381"/>
      <c r="D1190" s="4" t="s">
        <v>10</v>
      </c>
      <c r="E1190" s="168" t="str">
        <f>A1186&amp;"/"&amp;B1188&amp;"/"&amp;C1188&amp;"/"&amp;D1190</f>
        <v>Nuclear power plants/Nuclear III/Electricity only/S</v>
      </c>
      <c r="F1190" s="80" t="str">
        <f>A1186</f>
        <v>Nuclear power plants</v>
      </c>
      <c r="G1190" s="80" t="str">
        <f>B1188</f>
        <v>Nuclear III</v>
      </c>
      <c r="H1190" s="80" t="str">
        <f>C1188</f>
        <v>Electricity only</v>
      </c>
      <c r="I1190" s="169" t="str">
        <f t="shared" si="372"/>
        <v>S</v>
      </c>
      <c r="J1190" s="127" t="str">
        <f>IF(tech_base!$T6&gt;J$1185,"",J1470+J1750)</f>
        <v/>
      </c>
      <c r="K1190" s="127" t="str">
        <f>IF(tech_base!$T6&gt;K$1185,"",K1470+K1750)</f>
        <v/>
      </c>
      <c r="L1190" s="127" t="str">
        <f>IF(tech_base!$T6&gt;L$1185,"",L1470+L1750)</f>
        <v/>
      </c>
      <c r="M1190" s="127" t="str">
        <f>IF(tech_base!$T6&gt;M$1185,"",M1470+M1750)</f>
        <v/>
      </c>
      <c r="N1190" s="127" t="str">
        <f>IF(tech_base!$T6&gt;N$1185,"",N1470+N1750)</f>
        <v/>
      </c>
      <c r="O1190" s="127" t="str">
        <f>IF(tech_base!$T6&gt;O$1185,"",O1470+O1750)</f>
        <v/>
      </c>
      <c r="P1190" s="127" t="str">
        <f>IF(tech_base!$T6&gt;P$1185,"",P1470+P1750)</f>
        <v/>
      </c>
      <c r="Q1190" s="127" t="str">
        <f>IF(tech_base!$T6&gt;Q$1185,"",Q1470+Q1750)</f>
        <v/>
      </c>
      <c r="R1190" s="127" t="str">
        <f>IF(tech_base!$T6&gt;R$1185,"",R1470+R1750)</f>
        <v/>
      </c>
      <c r="S1190" s="127" t="str">
        <f>IF(tech_base!$T6&gt;S$1185,"",S1470+S1750)</f>
        <v/>
      </c>
      <c r="T1190" s="127" t="str">
        <f>IF(tech_base!$T6&gt;T$1185,"",T1470+T1750)</f>
        <v/>
      </c>
      <c r="U1190" s="127" t="str">
        <f>IF(tech_base!$T6&gt;U$1185,"",U1470+U1750)</f>
        <v/>
      </c>
      <c r="V1190" s="127" t="str">
        <f>IF(tech_base!$T6&gt;V$1185,"",V1470+V1750)</f>
        <v/>
      </c>
      <c r="W1190" s="127" t="str">
        <f>IF(tech_base!$T6&gt;W$1185,"",W1470+W1750)</f>
        <v/>
      </c>
      <c r="X1190" s="127" t="str">
        <f>IF(tech_base!$T6&gt;X$1185,"",X1470+X1750)</f>
        <v/>
      </c>
      <c r="Y1190" s="127">
        <f>IF(tech_base!$T6&gt;Y$1185,"",Y1470+Y1750)</f>
        <v>0</v>
      </c>
      <c r="Z1190" s="127">
        <f>IF(tech_base!$T6&gt;Z$1185,"",Z1470+Z1750)</f>
        <v>0</v>
      </c>
      <c r="AA1190" s="127">
        <f>IF(tech_base!$T6&gt;AA$1185,"",AA1470+AA1750)</f>
        <v>0</v>
      </c>
      <c r="AB1190" s="127">
        <f>IF(tech_base!$T6&gt;AB$1185,"",AB1470+AB1750)</f>
        <v>0</v>
      </c>
      <c r="AC1190" s="127">
        <f>IF(tech_base!$T6&gt;AC$1185,"",AC1470+AC1750)</f>
        <v>0</v>
      </c>
      <c r="AD1190" s="127">
        <f>IF(tech_base!$T6&gt;AD$1185,"",AD1470+AD1750)</f>
        <v>0</v>
      </c>
      <c r="AE1190" s="127">
        <f>IF(tech_base!$T6&gt;AE$1185,"",AE1470+AE1750)</f>
        <v>0</v>
      </c>
      <c r="AF1190" s="127">
        <f>IF(tech_base!$T6&gt;AF$1185,"",AF1470+AF1750)</f>
        <v>0</v>
      </c>
      <c r="AG1190" s="127">
        <f>IF(tech_base!$T6&gt;AG$1185,"",AG1470+AG1750)</f>
        <v>0</v>
      </c>
      <c r="AH1190" s="127">
        <f>IF(tech_base!$T6&gt;AH$1185,"",AH1470+AH1750)</f>
        <v>0</v>
      </c>
      <c r="AI1190" s="127">
        <f>IF(tech_base!$T6&gt;AI$1185,"",AI1470+AI1750)</f>
        <v>0</v>
      </c>
      <c r="AJ1190" s="127">
        <f>IF(tech_base!$T6&gt;AJ$1185,"",AJ1470+AJ1750)</f>
        <v>0</v>
      </c>
      <c r="AK1190" s="127">
        <f>IF(tech_base!$T6&gt;AK$1185,"",AK1470+AK1750)</f>
        <v>0</v>
      </c>
      <c r="AL1190" s="127">
        <f>IF(tech_base!$T6&gt;AL$1185,"",AL1470+AL1750)</f>
        <v>0</v>
      </c>
      <c r="AM1190" s="127">
        <f>IF(tech_base!$T6&gt;AM$1185,"",AM1470+AM1750)</f>
        <v>0</v>
      </c>
      <c r="AN1190" s="127">
        <f>IF(tech_base!$T6&gt;AN$1185,"",AN1470+AN1750)</f>
        <v>0</v>
      </c>
      <c r="AO1190" s="127">
        <f>IF(tech_base!$T6&gt;AO$1185,"",AO1470+AO1750)</f>
        <v>0</v>
      </c>
      <c r="AP1190" s="127">
        <f>IF(tech_base!$T6&gt;AP$1185,"",AP1470+AP1750)</f>
        <v>0</v>
      </c>
      <c r="AQ1190" s="127">
        <f>IF(tech_base!$T6&gt;AQ$1185,"",AQ1470+AQ1750)</f>
        <v>0</v>
      </c>
      <c r="AR1190" s="127">
        <f>IF(tech_base!$T6&gt;AR$1185,"",AR1470+AR1750)</f>
        <v>0</v>
      </c>
      <c r="AS1190" s="127">
        <f>IF(tech_base!$T6&gt;AS$1185,"",AS1470+AS1750)</f>
        <v>0</v>
      </c>
      <c r="AT1190" s="127">
        <f>IF(tech_base!$T6&gt;AT$1185,"",AT1470+AT1750)</f>
        <v>0</v>
      </c>
      <c r="AU1190" s="127">
        <f>IF(tech_base!$T6&gt;AU$1185,"",AU1470+AU1750)</f>
        <v>0</v>
      </c>
      <c r="AV1190" s="127">
        <f>IF(tech_base!$T6&gt;AV$1185,"",AV1470+AV1750)</f>
        <v>0</v>
      </c>
      <c r="AW1190" s="127">
        <f>IF(tech_base!$T6&gt;AW$1185,"",AW1470+AW1750)</f>
        <v>0</v>
      </c>
      <c r="AX1190" s="128">
        <f>IF(tech_base!$T6&gt;AX$1185,"",AX1470+AX1750)</f>
        <v>0</v>
      </c>
    </row>
    <row r="1191" spans="1:52" x14ac:dyDescent="0.25">
      <c r="A1191" s="347"/>
      <c r="B1191" s="349" t="s">
        <v>11</v>
      </c>
      <c r="C1191" s="363" t="s">
        <v>6</v>
      </c>
      <c r="D1191" s="2" t="s">
        <v>7</v>
      </c>
      <c r="E1191" s="160" t="str">
        <f>A1186&amp;"/"&amp;B1191&amp;"/"&amp;C1191&amp;"/"&amp;D1191</f>
        <v>Nuclear power plants/Nuclear IV/Electricity only/L</v>
      </c>
      <c r="F1191" s="76" t="str">
        <f>A1186</f>
        <v>Nuclear power plants</v>
      </c>
      <c r="G1191" s="76" t="str">
        <f>B1191</f>
        <v>Nuclear IV</v>
      </c>
      <c r="H1191" s="76" t="str">
        <f>C1191</f>
        <v>Electricity only</v>
      </c>
      <c r="I1191" s="161" t="str">
        <f t="shared" si="372"/>
        <v>L</v>
      </c>
      <c r="J1191" s="119" t="str">
        <f>IF(tech_base!$T7&gt;J$1185,"",J1471+J1751)</f>
        <v/>
      </c>
      <c r="K1191" s="119" t="str">
        <f>IF(tech_base!$T7&gt;K$1185,"",K1471+K1751)</f>
        <v/>
      </c>
      <c r="L1191" s="119" t="str">
        <f>IF(tech_base!$T7&gt;L$1185,"",L1471+L1751)</f>
        <v/>
      </c>
      <c r="M1191" s="119" t="str">
        <f>IF(tech_base!$T7&gt;M$1185,"",M1471+M1751)</f>
        <v/>
      </c>
      <c r="N1191" s="119" t="str">
        <f>IF(tech_base!$T7&gt;N$1185,"",N1471+N1751)</f>
        <v/>
      </c>
      <c r="O1191" s="119" t="str">
        <f>IF(tech_base!$T7&gt;O$1185,"",O1471+O1751)</f>
        <v/>
      </c>
      <c r="P1191" s="119" t="str">
        <f>IF(tech_base!$T7&gt;P$1185,"",P1471+P1751)</f>
        <v/>
      </c>
      <c r="Q1191" s="119" t="str">
        <f>IF(tech_base!$T7&gt;Q$1185,"",Q1471+Q1751)</f>
        <v/>
      </c>
      <c r="R1191" s="119" t="str">
        <f>IF(tech_base!$T7&gt;R$1185,"",R1471+R1751)</f>
        <v/>
      </c>
      <c r="S1191" s="119" t="str">
        <f>IF(tech_base!$T7&gt;S$1185,"",S1471+S1751)</f>
        <v/>
      </c>
      <c r="T1191" s="119" t="str">
        <f>IF(tech_base!$T7&gt;T$1185,"",T1471+T1751)</f>
        <v/>
      </c>
      <c r="U1191" s="119" t="str">
        <f>IF(tech_base!$T7&gt;U$1185,"",U1471+U1751)</f>
        <v/>
      </c>
      <c r="V1191" s="119" t="str">
        <f>IF(tech_base!$T7&gt;V$1185,"",V1471+V1751)</f>
        <v/>
      </c>
      <c r="W1191" s="119" t="str">
        <f>IF(tech_base!$T7&gt;W$1185,"",W1471+W1751)</f>
        <v/>
      </c>
      <c r="X1191" s="119" t="str">
        <f>IF(tech_base!$T7&gt;X$1185,"",X1471+X1751)</f>
        <v/>
      </c>
      <c r="Y1191" s="119" t="str">
        <f>IF(tech_base!$T7&gt;Y$1185,"",Y1471+Y1751)</f>
        <v/>
      </c>
      <c r="Z1191" s="119" t="str">
        <f>IF(tech_base!$T7&gt;Z$1185,"",Z1471+Z1751)</f>
        <v/>
      </c>
      <c r="AA1191" s="119" t="str">
        <f>IF(tech_base!$T7&gt;AA$1185,"",AA1471+AA1751)</f>
        <v/>
      </c>
      <c r="AB1191" s="119" t="str">
        <f>IF(tech_base!$T7&gt;AB$1185,"",AB1471+AB1751)</f>
        <v/>
      </c>
      <c r="AC1191" s="119" t="str">
        <f>IF(tech_base!$T7&gt;AC$1185,"",AC1471+AC1751)</f>
        <v/>
      </c>
      <c r="AD1191" s="119" t="str">
        <f>IF(tech_base!$T7&gt;AD$1185,"",AD1471+AD1751)</f>
        <v/>
      </c>
      <c r="AE1191" s="119" t="str">
        <f>IF(tech_base!$T7&gt;AE$1185,"",AE1471+AE1751)</f>
        <v/>
      </c>
      <c r="AF1191" s="119" t="str">
        <f>IF(tech_base!$T7&gt;AF$1185,"",AF1471+AF1751)</f>
        <v/>
      </c>
      <c r="AG1191" s="119" t="str">
        <f>IF(tech_base!$T7&gt;AG$1185,"",AG1471+AG1751)</f>
        <v/>
      </c>
      <c r="AH1191" s="119" t="str">
        <f>IF(tech_base!$T7&gt;AH$1185,"",AH1471+AH1751)</f>
        <v/>
      </c>
      <c r="AI1191" s="119">
        <f>IF(tech_base!$T7&gt;AI$1185,"",AI1471+AI1751)</f>
        <v>0</v>
      </c>
      <c r="AJ1191" s="119">
        <f>IF(tech_base!$T7&gt;AJ$1185,"",AJ1471+AJ1751)</f>
        <v>0</v>
      </c>
      <c r="AK1191" s="119">
        <f>IF(tech_base!$T7&gt;AK$1185,"",AK1471+AK1751)</f>
        <v>0</v>
      </c>
      <c r="AL1191" s="119">
        <f>IF(tech_base!$T7&gt;AL$1185,"",AL1471+AL1751)</f>
        <v>0</v>
      </c>
      <c r="AM1191" s="119">
        <f>IF(tech_base!$T7&gt;AM$1185,"",AM1471+AM1751)</f>
        <v>0</v>
      </c>
      <c r="AN1191" s="119">
        <f>IF(tech_base!$T7&gt;AN$1185,"",AN1471+AN1751)</f>
        <v>0</v>
      </c>
      <c r="AO1191" s="119">
        <f>IF(tech_base!$T7&gt;AO$1185,"",AO1471+AO1751)</f>
        <v>0</v>
      </c>
      <c r="AP1191" s="119">
        <f>IF(tech_base!$T7&gt;AP$1185,"",AP1471+AP1751)</f>
        <v>0</v>
      </c>
      <c r="AQ1191" s="119">
        <f>IF(tech_base!$T7&gt;AQ$1185,"",AQ1471+AQ1751)</f>
        <v>0</v>
      </c>
      <c r="AR1191" s="119">
        <f>IF(tech_base!$T7&gt;AR$1185,"",AR1471+AR1751)</f>
        <v>0</v>
      </c>
      <c r="AS1191" s="119">
        <f>IF(tech_base!$T7&gt;AS$1185,"",AS1471+AS1751)</f>
        <v>0</v>
      </c>
      <c r="AT1191" s="119">
        <f>IF(tech_base!$T7&gt;AT$1185,"",AT1471+AT1751)</f>
        <v>0</v>
      </c>
      <c r="AU1191" s="119">
        <f>IF(tech_base!$T7&gt;AU$1185,"",AU1471+AU1751)</f>
        <v>0</v>
      </c>
      <c r="AV1191" s="119">
        <f>IF(tech_base!$T7&gt;AV$1185,"",AV1471+AV1751)</f>
        <v>0</v>
      </c>
      <c r="AW1191" s="119">
        <f>IF(tech_base!$T7&gt;AW$1185,"",AW1471+AW1751)</f>
        <v>0</v>
      </c>
      <c r="AX1191" s="120">
        <f>IF(tech_base!$T7&gt;AX$1185,"",AX1471+AX1751)</f>
        <v>0</v>
      </c>
    </row>
    <row r="1192" spans="1:52" x14ac:dyDescent="0.25">
      <c r="A1192" s="348"/>
      <c r="B1192" s="352"/>
      <c r="C1192" s="364"/>
      <c r="D1192" s="4" t="s">
        <v>8</v>
      </c>
      <c r="E1192" s="160" t="str">
        <f>A1186&amp;"/"&amp;B1191&amp;"/"&amp;C1191&amp;"/"&amp;D1192</f>
        <v>Nuclear power plants/Nuclear IV/Electricity only/M</v>
      </c>
      <c r="F1192" s="76" t="str">
        <f>A1186</f>
        <v>Nuclear power plants</v>
      </c>
      <c r="G1192" s="76" t="str">
        <f>B1191</f>
        <v>Nuclear IV</v>
      </c>
      <c r="H1192" s="76" t="str">
        <f>C1191</f>
        <v>Electricity only</v>
      </c>
      <c r="I1192" s="161" t="str">
        <f t="shared" si="372"/>
        <v>M</v>
      </c>
      <c r="J1192" s="119" t="str">
        <f>IF(tech_base!$T8&gt;J$1185,"",J1472+J1752)</f>
        <v/>
      </c>
      <c r="K1192" s="119" t="str">
        <f>IF(tech_base!$T8&gt;K$1185,"",K1472+K1752)</f>
        <v/>
      </c>
      <c r="L1192" s="119" t="str">
        <f>IF(tech_base!$T8&gt;L$1185,"",L1472+L1752)</f>
        <v/>
      </c>
      <c r="M1192" s="119" t="str">
        <f>IF(tech_base!$T8&gt;M$1185,"",M1472+M1752)</f>
        <v/>
      </c>
      <c r="N1192" s="119" t="str">
        <f>IF(tech_base!$T8&gt;N$1185,"",N1472+N1752)</f>
        <v/>
      </c>
      <c r="O1192" s="119" t="str">
        <f>IF(tech_base!$T8&gt;O$1185,"",O1472+O1752)</f>
        <v/>
      </c>
      <c r="P1192" s="119" t="str">
        <f>IF(tech_base!$T8&gt;P$1185,"",P1472+P1752)</f>
        <v/>
      </c>
      <c r="Q1192" s="119" t="str">
        <f>IF(tech_base!$T8&gt;Q$1185,"",Q1472+Q1752)</f>
        <v/>
      </c>
      <c r="R1192" s="119" t="str">
        <f>IF(tech_base!$T8&gt;R$1185,"",R1472+R1752)</f>
        <v/>
      </c>
      <c r="S1192" s="119" t="str">
        <f>IF(tech_base!$T8&gt;S$1185,"",S1472+S1752)</f>
        <v/>
      </c>
      <c r="T1192" s="119" t="str">
        <f>IF(tech_base!$T8&gt;T$1185,"",T1472+T1752)</f>
        <v/>
      </c>
      <c r="U1192" s="119" t="str">
        <f>IF(tech_base!$T8&gt;U$1185,"",U1472+U1752)</f>
        <v/>
      </c>
      <c r="V1192" s="119" t="str">
        <f>IF(tech_base!$T8&gt;V$1185,"",V1472+V1752)</f>
        <v/>
      </c>
      <c r="W1192" s="119" t="str">
        <f>IF(tech_base!$T8&gt;W$1185,"",W1472+W1752)</f>
        <v/>
      </c>
      <c r="X1192" s="119" t="str">
        <f>IF(tech_base!$T8&gt;X$1185,"",X1472+X1752)</f>
        <v/>
      </c>
      <c r="Y1192" s="119" t="str">
        <f>IF(tech_base!$T8&gt;Y$1185,"",Y1472+Y1752)</f>
        <v/>
      </c>
      <c r="Z1192" s="119" t="str">
        <f>IF(tech_base!$T8&gt;Z$1185,"",Z1472+Z1752)</f>
        <v/>
      </c>
      <c r="AA1192" s="119" t="str">
        <f>IF(tech_base!$T8&gt;AA$1185,"",AA1472+AA1752)</f>
        <v/>
      </c>
      <c r="AB1192" s="119" t="str">
        <f>IF(tech_base!$T8&gt;AB$1185,"",AB1472+AB1752)</f>
        <v/>
      </c>
      <c r="AC1192" s="119" t="str">
        <f>IF(tech_base!$T8&gt;AC$1185,"",AC1472+AC1752)</f>
        <v/>
      </c>
      <c r="AD1192" s="119" t="str">
        <f>IF(tech_base!$T8&gt;AD$1185,"",AD1472+AD1752)</f>
        <v/>
      </c>
      <c r="AE1192" s="119" t="str">
        <f>IF(tech_base!$T8&gt;AE$1185,"",AE1472+AE1752)</f>
        <v/>
      </c>
      <c r="AF1192" s="119" t="str">
        <f>IF(tech_base!$T8&gt;AF$1185,"",AF1472+AF1752)</f>
        <v/>
      </c>
      <c r="AG1192" s="119" t="str">
        <f>IF(tech_base!$T8&gt;AG$1185,"",AG1472+AG1752)</f>
        <v/>
      </c>
      <c r="AH1192" s="119" t="str">
        <f>IF(tech_base!$T8&gt;AH$1185,"",AH1472+AH1752)</f>
        <v/>
      </c>
      <c r="AI1192" s="119">
        <f>IF(tech_base!$T8&gt;AI$1185,"",AI1472+AI1752)</f>
        <v>0</v>
      </c>
      <c r="AJ1192" s="119">
        <f>IF(tech_base!$T8&gt;AJ$1185,"",AJ1472+AJ1752)</f>
        <v>0</v>
      </c>
      <c r="AK1192" s="119">
        <f>IF(tech_base!$T8&gt;AK$1185,"",AK1472+AK1752)</f>
        <v>0</v>
      </c>
      <c r="AL1192" s="119">
        <f>IF(tech_base!$T8&gt;AL$1185,"",AL1472+AL1752)</f>
        <v>0</v>
      </c>
      <c r="AM1192" s="119">
        <f>IF(tech_base!$T8&gt;AM$1185,"",AM1472+AM1752)</f>
        <v>0</v>
      </c>
      <c r="AN1192" s="119">
        <f>IF(tech_base!$T8&gt;AN$1185,"",AN1472+AN1752)</f>
        <v>0</v>
      </c>
      <c r="AO1192" s="119">
        <f>IF(tech_base!$T8&gt;AO$1185,"",AO1472+AO1752)</f>
        <v>0</v>
      </c>
      <c r="AP1192" s="119">
        <f>IF(tech_base!$T8&gt;AP$1185,"",AP1472+AP1752)</f>
        <v>0</v>
      </c>
      <c r="AQ1192" s="119">
        <f>IF(tech_base!$T8&gt;AQ$1185,"",AQ1472+AQ1752)</f>
        <v>0</v>
      </c>
      <c r="AR1192" s="119">
        <f>IF(tech_base!$T8&gt;AR$1185,"",AR1472+AR1752)</f>
        <v>0</v>
      </c>
      <c r="AS1192" s="119">
        <f>IF(tech_base!$T8&gt;AS$1185,"",AS1472+AS1752)</f>
        <v>0</v>
      </c>
      <c r="AT1192" s="119">
        <f>IF(tech_base!$T8&gt;AT$1185,"",AT1472+AT1752)</f>
        <v>0</v>
      </c>
      <c r="AU1192" s="119">
        <f>IF(tech_base!$T8&gt;AU$1185,"",AU1472+AU1752)</f>
        <v>0</v>
      </c>
      <c r="AV1192" s="119">
        <f>IF(tech_base!$T8&gt;AV$1185,"",AV1472+AV1752)</f>
        <v>0</v>
      </c>
      <c r="AW1192" s="119">
        <f>IF(tech_base!$T8&gt;AW$1185,"",AW1472+AW1752)</f>
        <v>0</v>
      </c>
      <c r="AX1192" s="120">
        <f>IF(tech_base!$T8&gt;AX$1185,"",AX1472+AX1752)</f>
        <v>0</v>
      </c>
    </row>
    <row r="1193" spans="1:52" x14ac:dyDescent="0.25">
      <c r="A1193" s="355" t="s">
        <v>12</v>
      </c>
      <c r="B1193" s="358" t="s">
        <v>13</v>
      </c>
      <c r="C1193" s="353" t="s">
        <v>6</v>
      </c>
      <c r="D1193" s="3" t="s">
        <v>7</v>
      </c>
      <c r="E1193" s="162" t="str">
        <f>A1193&amp;"/"&amp;B1193&amp;"/"&amp;C1193&amp;"/"&amp;D1193</f>
        <v>Coal fired power plants/Integrated gasification combined cycle/Electricity only/L</v>
      </c>
      <c r="F1193" s="77" t="str">
        <f>A1193</f>
        <v>Coal fired power plants</v>
      </c>
      <c r="G1193" s="77" t="str">
        <f>B1193</f>
        <v>Integrated gasification combined cycle</v>
      </c>
      <c r="H1193" s="77" t="str">
        <f>C1193</f>
        <v>Electricity only</v>
      </c>
      <c r="I1193" s="163" t="str">
        <f t="shared" si="372"/>
        <v>L</v>
      </c>
      <c r="J1193" s="121">
        <f>IF(tech_base!$T9&gt;J$1185,"",J1473+J1753)</f>
        <v>0</v>
      </c>
      <c r="K1193" s="121">
        <f>IF(tech_base!$T9&gt;K$1185,"",K1473+K1753)</f>
        <v>0</v>
      </c>
      <c r="L1193" s="121">
        <f>IF(tech_base!$T9&gt;L$1185,"",L1473+L1753)</f>
        <v>0</v>
      </c>
      <c r="M1193" s="121">
        <f>IF(tech_base!$T9&gt;M$1185,"",M1473+M1753)</f>
        <v>0</v>
      </c>
      <c r="N1193" s="121">
        <f>IF(tech_base!$T9&gt;N$1185,"",N1473+N1753)</f>
        <v>0</v>
      </c>
      <c r="O1193" s="121">
        <f>IF(tech_base!$T9&gt;O$1185,"",O1473+O1753)</f>
        <v>0</v>
      </c>
      <c r="P1193" s="121">
        <f>IF(tech_base!$T9&gt;P$1185,"",P1473+P1753)</f>
        <v>0</v>
      </c>
      <c r="Q1193" s="121">
        <f>IF(tech_base!$T9&gt;Q$1185,"",Q1473+Q1753)</f>
        <v>0</v>
      </c>
      <c r="R1193" s="121">
        <f>IF(tech_base!$T9&gt;R$1185,"",R1473+R1753)</f>
        <v>0</v>
      </c>
      <c r="S1193" s="121">
        <f>IF(tech_base!$T9&gt;S$1185,"",S1473+S1753)</f>
        <v>0</v>
      </c>
      <c r="T1193" s="121">
        <f>IF(tech_base!$T9&gt;T$1185,"",T1473+T1753)</f>
        <v>0</v>
      </c>
      <c r="U1193" s="121">
        <f>IF(tech_base!$T9&gt;U$1185,"",U1473+U1753)</f>
        <v>0</v>
      </c>
      <c r="V1193" s="121">
        <f>IF(tech_base!$T9&gt;V$1185,"",V1473+V1753)</f>
        <v>0</v>
      </c>
      <c r="W1193" s="121">
        <f>IF(tech_base!$T9&gt;W$1185,"",W1473+W1753)</f>
        <v>0</v>
      </c>
      <c r="X1193" s="121">
        <f>IF(tech_base!$T9&gt;X$1185,"",X1473+X1753)</f>
        <v>0</v>
      </c>
      <c r="Y1193" s="121">
        <f>IF(tech_base!$T9&gt;Y$1185,"",Y1473+Y1753)</f>
        <v>0</v>
      </c>
      <c r="Z1193" s="121">
        <f>IF(tech_base!$T9&gt;Z$1185,"",Z1473+Z1753)</f>
        <v>0</v>
      </c>
      <c r="AA1193" s="121">
        <f>IF(tech_base!$T9&gt;AA$1185,"",AA1473+AA1753)</f>
        <v>0</v>
      </c>
      <c r="AB1193" s="121">
        <f>IF(tech_base!$T9&gt;AB$1185,"",AB1473+AB1753)</f>
        <v>0</v>
      </c>
      <c r="AC1193" s="121">
        <f>IF(tech_base!$T9&gt;AC$1185,"",AC1473+AC1753)</f>
        <v>0</v>
      </c>
      <c r="AD1193" s="121">
        <f>IF(tech_base!$T9&gt;AD$1185,"",AD1473+AD1753)</f>
        <v>0</v>
      </c>
      <c r="AE1193" s="121">
        <f>IF(tech_base!$T9&gt;AE$1185,"",AE1473+AE1753)</f>
        <v>0</v>
      </c>
      <c r="AF1193" s="121">
        <f>IF(tech_base!$T9&gt;AF$1185,"",AF1473+AF1753)</f>
        <v>0</v>
      </c>
      <c r="AG1193" s="121">
        <f>IF(tech_base!$T9&gt;AG$1185,"",AG1473+AG1753)</f>
        <v>0</v>
      </c>
      <c r="AH1193" s="121">
        <f>IF(tech_base!$T9&gt;AH$1185,"",AH1473+AH1753)</f>
        <v>0</v>
      </c>
      <c r="AI1193" s="121">
        <f>IF(tech_base!$T9&gt;AI$1185,"",AI1473+AI1753)</f>
        <v>0</v>
      </c>
      <c r="AJ1193" s="121">
        <f>IF(tech_base!$T9&gt;AJ$1185,"",AJ1473+AJ1753)</f>
        <v>0</v>
      </c>
      <c r="AK1193" s="121">
        <f>IF(tech_base!$T9&gt;AK$1185,"",AK1473+AK1753)</f>
        <v>0</v>
      </c>
      <c r="AL1193" s="121">
        <f>IF(tech_base!$T9&gt;AL$1185,"",AL1473+AL1753)</f>
        <v>0</v>
      </c>
      <c r="AM1193" s="121">
        <f>IF(tech_base!$T9&gt;AM$1185,"",AM1473+AM1753)</f>
        <v>0</v>
      </c>
      <c r="AN1193" s="121">
        <f>IF(tech_base!$T9&gt;AN$1185,"",AN1473+AN1753)</f>
        <v>0</v>
      </c>
      <c r="AO1193" s="121">
        <f>IF(tech_base!$T9&gt;AO$1185,"",AO1473+AO1753)</f>
        <v>0</v>
      </c>
      <c r="AP1193" s="121">
        <f>IF(tech_base!$T9&gt;AP$1185,"",AP1473+AP1753)</f>
        <v>0</v>
      </c>
      <c r="AQ1193" s="121">
        <f>IF(tech_base!$T9&gt;AQ$1185,"",AQ1473+AQ1753)</f>
        <v>0</v>
      </c>
      <c r="AR1193" s="121">
        <f>IF(tech_base!$T9&gt;AR$1185,"",AR1473+AR1753)</f>
        <v>0</v>
      </c>
      <c r="AS1193" s="121">
        <f>IF(tech_base!$T9&gt;AS$1185,"",AS1473+AS1753)</f>
        <v>0</v>
      </c>
      <c r="AT1193" s="121">
        <f>IF(tech_base!$T9&gt;AT$1185,"",AT1473+AT1753)</f>
        <v>0</v>
      </c>
      <c r="AU1193" s="121">
        <f>IF(tech_base!$T9&gt;AU$1185,"",AU1473+AU1753)</f>
        <v>0</v>
      </c>
      <c r="AV1193" s="121">
        <f>IF(tech_base!$T9&gt;AV$1185,"",AV1473+AV1753)</f>
        <v>0</v>
      </c>
      <c r="AW1193" s="121">
        <f>IF(tech_base!$T9&gt;AW$1185,"",AW1473+AW1753)</f>
        <v>0</v>
      </c>
      <c r="AX1193" s="122">
        <f>IF(tech_base!$T9&gt;AX$1185,"",AX1473+AX1753)</f>
        <v>0</v>
      </c>
    </row>
    <row r="1194" spans="1:52" x14ac:dyDescent="0.25">
      <c r="A1194" s="356"/>
      <c r="B1194" s="359"/>
      <c r="C1194" s="360"/>
      <c r="D1194" s="2" t="s">
        <v>8</v>
      </c>
      <c r="E1194" s="160" t="str">
        <f>A1193&amp;"/"&amp;B1193&amp;"/"&amp;C1193&amp;"/"&amp;D1194</f>
        <v>Coal fired power plants/Integrated gasification combined cycle/Electricity only/M</v>
      </c>
      <c r="F1194" s="76" t="str">
        <f>A1193</f>
        <v>Coal fired power plants</v>
      </c>
      <c r="G1194" s="76" t="str">
        <f>B1193</f>
        <v>Integrated gasification combined cycle</v>
      </c>
      <c r="H1194" s="76" t="str">
        <f>C1193</f>
        <v>Electricity only</v>
      </c>
      <c r="I1194" s="161" t="str">
        <f t="shared" si="372"/>
        <v>M</v>
      </c>
      <c r="J1194" s="119">
        <f>IF(tech_base!$T10&gt;J$1185,"",J1474+J1754)</f>
        <v>0</v>
      </c>
      <c r="K1194" s="119">
        <f>IF(tech_base!$T10&gt;K$1185,"",K1474+K1754)</f>
        <v>0</v>
      </c>
      <c r="L1194" s="119">
        <f>IF(tech_base!$T10&gt;L$1185,"",L1474+L1754)</f>
        <v>0</v>
      </c>
      <c r="M1194" s="119">
        <f>IF(tech_base!$T10&gt;M$1185,"",M1474+M1754)</f>
        <v>0</v>
      </c>
      <c r="N1194" s="119">
        <f>IF(tech_base!$T10&gt;N$1185,"",N1474+N1754)</f>
        <v>0</v>
      </c>
      <c r="O1194" s="119">
        <f>IF(tech_base!$T10&gt;O$1185,"",O1474+O1754)</f>
        <v>0</v>
      </c>
      <c r="P1194" s="119">
        <f>IF(tech_base!$T10&gt;P$1185,"",P1474+P1754)</f>
        <v>0</v>
      </c>
      <c r="Q1194" s="119">
        <f>IF(tech_base!$T10&gt;Q$1185,"",Q1474+Q1754)</f>
        <v>0</v>
      </c>
      <c r="R1194" s="119">
        <f>IF(tech_base!$T10&gt;R$1185,"",R1474+R1754)</f>
        <v>0</v>
      </c>
      <c r="S1194" s="119">
        <f>IF(tech_base!$T10&gt;S$1185,"",S1474+S1754)</f>
        <v>0</v>
      </c>
      <c r="T1194" s="119">
        <f>IF(tech_base!$T10&gt;T$1185,"",T1474+T1754)</f>
        <v>0</v>
      </c>
      <c r="U1194" s="119">
        <f>IF(tech_base!$T10&gt;U$1185,"",U1474+U1754)</f>
        <v>0</v>
      </c>
      <c r="V1194" s="119">
        <f>IF(tech_base!$T10&gt;V$1185,"",V1474+V1754)</f>
        <v>0</v>
      </c>
      <c r="W1194" s="119">
        <f>IF(tech_base!$T10&gt;W$1185,"",W1474+W1754)</f>
        <v>0</v>
      </c>
      <c r="X1194" s="119">
        <f>IF(tech_base!$T10&gt;X$1185,"",X1474+X1754)</f>
        <v>0</v>
      </c>
      <c r="Y1194" s="119">
        <f>IF(tech_base!$T10&gt;Y$1185,"",Y1474+Y1754)</f>
        <v>0</v>
      </c>
      <c r="Z1194" s="119">
        <f>IF(tech_base!$T10&gt;Z$1185,"",Z1474+Z1754)</f>
        <v>0</v>
      </c>
      <c r="AA1194" s="119">
        <f>IF(tech_base!$T10&gt;AA$1185,"",AA1474+AA1754)</f>
        <v>0</v>
      </c>
      <c r="AB1194" s="119">
        <f>IF(tech_base!$T10&gt;AB$1185,"",AB1474+AB1754)</f>
        <v>0</v>
      </c>
      <c r="AC1194" s="119">
        <f>IF(tech_base!$T10&gt;AC$1185,"",AC1474+AC1754)</f>
        <v>0</v>
      </c>
      <c r="AD1194" s="119">
        <f>IF(tech_base!$T10&gt;AD$1185,"",AD1474+AD1754)</f>
        <v>0</v>
      </c>
      <c r="AE1194" s="119">
        <f>IF(tech_base!$T10&gt;AE$1185,"",AE1474+AE1754)</f>
        <v>0</v>
      </c>
      <c r="AF1194" s="119">
        <f>IF(tech_base!$T10&gt;AF$1185,"",AF1474+AF1754)</f>
        <v>0</v>
      </c>
      <c r="AG1194" s="119">
        <f>IF(tech_base!$T10&gt;AG$1185,"",AG1474+AG1754)</f>
        <v>0</v>
      </c>
      <c r="AH1194" s="119">
        <f>IF(tech_base!$T10&gt;AH$1185,"",AH1474+AH1754)</f>
        <v>0</v>
      </c>
      <c r="AI1194" s="119">
        <f>IF(tech_base!$T10&gt;AI$1185,"",AI1474+AI1754)</f>
        <v>0</v>
      </c>
      <c r="AJ1194" s="119">
        <f>IF(tech_base!$T10&gt;AJ$1185,"",AJ1474+AJ1754)</f>
        <v>0</v>
      </c>
      <c r="AK1194" s="119">
        <f>IF(tech_base!$T10&gt;AK$1185,"",AK1474+AK1754)</f>
        <v>0</v>
      </c>
      <c r="AL1194" s="119">
        <f>IF(tech_base!$T10&gt;AL$1185,"",AL1474+AL1754)</f>
        <v>0</v>
      </c>
      <c r="AM1194" s="119">
        <f>IF(tech_base!$T10&gt;AM$1185,"",AM1474+AM1754)</f>
        <v>0</v>
      </c>
      <c r="AN1194" s="119">
        <f>IF(tech_base!$T10&gt;AN$1185,"",AN1474+AN1754)</f>
        <v>0</v>
      </c>
      <c r="AO1194" s="119">
        <f>IF(tech_base!$T10&gt;AO$1185,"",AO1474+AO1754)</f>
        <v>0</v>
      </c>
      <c r="AP1194" s="119">
        <f>IF(tech_base!$T10&gt;AP$1185,"",AP1474+AP1754)</f>
        <v>0</v>
      </c>
      <c r="AQ1194" s="119">
        <f>IF(tech_base!$T10&gt;AQ$1185,"",AQ1474+AQ1754)</f>
        <v>0</v>
      </c>
      <c r="AR1194" s="119">
        <f>IF(tech_base!$T10&gt;AR$1185,"",AR1474+AR1754)</f>
        <v>0</v>
      </c>
      <c r="AS1194" s="119">
        <f>IF(tech_base!$T10&gt;AS$1185,"",AS1474+AS1754)</f>
        <v>0</v>
      </c>
      <c r="AT1194" s="119">
        <f>IF(tech_base!$T10&gt;AT$1185,"",AT1474+AT1754)</f>
        <v>0</v>
      </c>
      <c r="AU1194" s="119">
        <f>IF(tech_base!$T10&gt;AU$1185,"",AU1474+AU1754)</f>
        <v>0</v>
      </c>
      <c r="AV1194" s="119">
        <f>IF(tech_base!$T10&gt;AV$1185,"",AV1474+AV1754)</f>
        <v>0</v>
      </c>
      <c r="AW1194" s="119">
        <f>IF(tech_base!$T10&gt;AW$1185,"",AW1474+AW1754)</f>
        <v>0</v>
      </c>
      <c r="AX1194" s="120">
        <f>IF(tech_base!$T10&gt;AX$1185,"",AX1474+AX1754)</f>
        <v>0</v>
      </c>
    </row>
    <row r="1195" spans="1:52" x14ac:dyDescent="0.25">
      <c r="A1195" s="356"/>
      <c r="B1195" s="359"/>
      <c r="C1195" s="361" t="s">
        <v>14</v>
      </c>
      <c r="D1195" s="58" t="s">
        <v>7</v>
      </c>
      <c r="E1195" s="164" t="str">
        <f>A1193&amp;"/"&amp;B1193&amp;"/"&amp;C1195&amp;"/"&amp;D1195</f>
        <v>Coal fired power plants/Integrated gasification combined cycle/CHP/L</v>
      </c>
      <c r="F1195" s="78" t="str">
        <f>A1193</f>
        <v>Coal fired power plants</v>
      </c>
      <c r="G1195" s="78" t="str">
        <f>B1193</f>
        <v>Integrated gasification combined cycle</v>
      </c>
      <c r="H1195" s="78" t="str">
        <f>C1195</f>
        <v>CHP</v>
      </c>
      <c r="I1195" s="165" t="str">
        <f t="shared" si="372"/>
        <v>L</v>
      </c>
      <c r="J1195" s="123">
        <f>IF(tech_base!$T11&gt;J$1185,"",J1475+J1755)</f>
        <v>0</v>
      </c>
      <c r="K1195" s="123">
        <f>IF(tech_base!$T11&gt;K$1185,"",K1475+K1755)</f>
        <v>0</v>
      </c>
      <c r="L1195" s="123">
        <f>IF(tech_base!$T11&gt;L$1185,"",L1475+L1755)</f>
        <v>0</v>
      </c>
      <c r="M1195" s="123">
        <f>IF(tech_base!$T11&gt;M$1185,"",M1475+M1755)</f>
        <v>0</v>
      </c>
      <c r="N1195" s="123">
        <f>IF(tech_base!$T11&gt;N$1185,"",N1475+N1755)</f>
        <v>0</v>
      </c>
      <c r="O1195" s="123">
        <f>IF(tech_base!$T11&gt;O$1185,"",O1475+O1755)</f>
        <v>0</v>
      </c>
      <c r="P1195" s="123">
        <f>IF(tech_base!$T11&gt;P$1185,"",P1475+P1755)</f>
        <v>0</v>
      </c>
      <c r="Q1195" s="123">
        <f>IF(tech_base!$T11&gt;Q$1185,"",Q1475+Q1755)</f>
        <v>0</v>
      </c>
      <c r="R1195" s="123">
        <f>IF(tech_base!$T11&gt;R$1185,"",R1475+R1755)</f>
        <v>0</v>
      </c>
      <c r="S1195" s="123">
        <f>IF(tech_base!$T11&gt;S$1185,"",S1475+S1755)</f>
        <v>0</v>
      </c>
      <c r="T1195" s="123">
        <f>IF(tech_base!$T11&gt;T$1185,"",T1475+T1755)</f>
        <v>0</v>
      </c>
      <c r="U1195" s="123">
        <f>IF(tech_base!$T11&gt;U$1185,"",U1475+U1755)</f>
        <v>0</v>
      </c>
      <c r="V1195" s="123">
        <f>IF(tech_base!$T11&gt;V$1185,"",V1475+V1755)</f>
        <v>0</v>
      </c>
      <c r="W1195" s="123">
        <f>IF(tech_base!$T11&gt;W$1185,"",W1475+W1755)</f>
        <v>0</v>
      </c>
      <c r="X1195" s="123">
        <f>IF(tech_base!$T11&gt;X$1185,"",X1475+X1755)</f>
        <v>0</v>
      </c>
      <c r="Y1195" s="123">
        <f>IF(tech_base!$T11&gt;Y$1185,"",Y1475+Y1755)</f>
        <v>0</v>
      </c>
      <c r="Z1195" s="123">
        <f>IF(tech_base!$T11&gt;Z$1185,"",Z1475+Z1755)</f>
        <v>0</v>
      </c>
      <c r="AA1195" s="123">
        <f>IF(tech_base!$T11&gt;AA$1185,"",AA1475+AA1755)</f>
        <v>0</v>
      </c>
      <c r="AB1195" s="123">
        <f>IF(tech_base!$T11&gt;AB$1185,"",AB1475+AB1755)</f>
        <v>0</v>
      </c>
      <c r="AC1195" s="123">
        <f>IF(tech_base!$T11&gt;AC$1185,"",AC1475+AC1755)</f>
        <v>0</v>
      </c>
      <c r="AD1195" s="123">
        <f>IF(tech_base!$T11&gt;AD$1185,"",AD1475+AD1755)</f>
        <v>0</v>
      </c>
      <c r="AE1195" s="123">
        <f>IF(tech_base!$T11&gt;AE$1185,"",AE1475+AE1755)</f>
        <v>0</v>
      </c>
      <c r="AF1195" s="123">
        <f>IF(tech_base!$T11&gt;AF$1185,"",AF1475+AF1755)</f>
        <v>0</v>
      </c>
      <c r="AG1195" s="123">
        <f>IF(tech_base!$T11&gt;AG$1185,"",AG1475+AG1755)</f>
        <v>0</v>
      </c>
      <c r="AH1195" s="123">
        <f>IF(tech_base!$T11&gt;AH$1185,"",AH1475+AH1755)</f>
        <v>0</v>
      </c>
      <c r="AI1195" s="123">
        <f>IF(tech_base!$T11&gt;AI$1185,"",AI1475+AI1755)</f>
        <v>0</v>
      </c>
      <c r="AJ1195" s="123">
        <f>IF(tech_base!$T11&gt;AJ$1185,"",AJ1475+AJ1755)</f>
        <v>0</v>
      </c>
      <c r="AK1195" s="123">
        <f>IF(tech_base!$T11&gt;AK$1185,"",AK1475+AK1755)</f>
        <v>0</v>
      </c>
      <c r="AL1195" s="123">
        <f>IF(tech_base!$T11&gt;AL$1185,"",AL1475+AL1755)</f>
        <v>0</v>
      </c>
      <c r="AM1195" s="123">
        <f>IF(tech_base!$T11&gt;AM$1185,"",AM1475+AM1755)</f>
        <v>0</v>
      </c>
      <c r="AN1195" s="123">
        <f>IF(tech_base!$T11&gt;AN$1185,"",AN1475+AN1755)</f>
        <v>0</v>
      </c>
      <c r="AO1195" s="123">
        <f>IF(tech_base!$T11&gt;AO$1185,"",AO1475+AO1755)</f>
        <v>0</v>
      </c>
      <c r="AP1195" s="123">
        <f>IF(tech_base!$T11&gt;AP$1185,"",AP1475+AP1755)</f>
        <v>0</v>
      </c>
      <c r="AQ1195" s="123">
        <f>IF(tech_base!$T11&gt;AQ$1185,"",AQ1475+AQ1755)</f>
        <v>0</v>
      </c>
      <c r="AR1195" s="123">
        <f>IF(tech_base!$T11&gt;AR$1185,"",AR1475+AR1755)</f>
        <v>0</v>
      </c>
      <c r="AS1195" s="123">
        <f>IF(tech_base!$T11&gt;AS$1185,"",AS1475+AS1755)</f>
        <v>0</v>
      </c>
      <c r="AT1195" s="123">
        <f>IF(tech_base!$T11&gt;AT$1185,"",AT1475+AT1755)</f>
        <v>0</v>
      </c>
      <c r="AU1195" s="123">
        <f>IF(tech_base!$T11&gt;AU$1185,"",AU1475+AU1755)</f>
        <v>0</v>
      </c>
      <c r="AV1195" s="123">
        <f>IF(tech_base!$T11&gt;AV$1185,"",AV1475+AV1755)</f>
        <v>0</v>
      </c>
      <c r="AW1195" s="123">
        <f>IF(tech_base!$T11&gt;AW$1185,"",AW1475+AW1755)</f>
        <v>0</v>
      </c>
      <c r="AX1195" s="124">
        <f>IF(tech_base!$T11&gt;AX$1185,"",AX1475+AX1755)</f>
        <v>0</v>
      </c>
    </row>
    <row r="1196" spans="1:52" x14ac:dyDescent="0.25">
      <c r="A1196" s="356"/>
      <c r="B1196" s="359"/>
      <c r="C1196" s="379"/>
      <c r="D1196" s="59" t="s">
        <v>8</v>
      </c>
      <c r="E1196" s="166" t="str">
        <f>A1193&amp;"/"&amp;B1193&amp;"/"&amp;C1195&amp;"/"&amp;D1196</f>
        <v>Coal fired power plants/Integrated gasification combined cycle/CHP/M</v>
      </c>
      <c r="F1196" s="79" t="str">
        <f>A1193</f>
        <v>Coal fired power plants</v>
      </c>
      <c r="G1196" s="79" t="str">
        <f>B1193</f>
        <v>Integrated gasification combined cycle</v>
      </c>
      <c r="H1196" s="79" t="str">
        <f>C1195</f>
        <v>CHP</v>
      </c>
      <c r="I1196" s="167" t="str">
        <f t="shared" si="372"/>
        <v>M</v>
      </c>
      <c r="J1196" s="125">
        <f>IF(tech_base!$T12&gt;J$1185,"",J1476+J1756)</f>
        <v>0</v>
      </c>
      <c r="K1196" s="125">
        <f>IF(tech_base!$T12&gt;K$1185,"",K1476+K1756)</f>
        <v>0</v>
      </c>
      <c r="L1196" s="125">
        <f>IF(tech_base!$T12&gt;L$1185,"",L1476+L1756)</f>
        <v>0</v>
      </c>
      <c r="M1196" s="125">
        <f>IF(tech_base!$T12&gt;M$1185,"",M1476+M1756)</f>
        <v>0</v>
      </c>
      <c r="N1196" s="125">
        <f>IF(tech_base!$T12&gt;N$1185,"",N1476+N1756)</f>
        <v>0</v>
      </c>
      <c r="O1196" s="125">
        <f>IF(tech_base!$T12&gt;O$1185,"",O1476+O1756)</f>
        <v>0</v>
      </c>
      <c r="P1196" s="125">
        <f>IF(tech_base!$T12&gt;P$1185,"",P1476+P1756)</f>
        <v>0</v>
      </c>
      <c r="Q1196" s="125">
        <f>IF(tech_base!$T12&gt;Q$1185,"",Q1476+Q1756)</f>
        <v>0</v>
      </c>
      <c r="R1196" s="125">
        <f>IF(tech_base!$T12&gt;R$1185,"",R1476+R1756)</f>
        <v>0</v>
      </c>
      <c r="S1196" s="125">
        <f>IF(tech_base!$T12&gt;S$1185,"",S1476+S1756)</f>
        <v>0</v>
      </c>
      <c r="T1196" s="125">
        <f>IF(tech_base!$T12&gt;T$1185,"",T1476+T1756)</f>
        <v>0</v>
      </c>
      <c r="U1196" s="125">
        <f>IF(tech_base!$T12&gt;U$1185,"",U1476+U1756)</f>
        <v>0</v>
      </c>
      <c r="V1196" s="125">
        <f>IF(tech_base!$T12&gt;V$1185,"",V1476+V1756)</f>
        <v>0</v>
      </c>
      <c r="W1196" s="125">
        <f>IF(tech_base!$T12&gt;W$1185,"",W1476+W1756)</f>
        <v>0</v>
      </c>
      <c r="X1196" s="125">
        <f>IF(tech_base!$T12&gt;X$1185,"",X1476+X1756)</f>
        <v>0</v>
      </c>
      <c r="Y1196" s="125">
        <f>IF(tech_base!$T12&gt;Y$1185,"",Y1476+Y1756)</f>
        <v>0</v>
      </c>
      <c r="Z1196" s="125">
        <f>IF(tech_base!$T12&gt;Z$1185,"",Z1476+Z1756)</f>
        <v>0</v>
      </c>
      <c r="AA1196" s="125">
        <f>IF(tech_base!$T12&gt;AA$1185,"",AA1476+AA1756)</f>
        <v>0</v>
      </c>
      <c r="AB1196" s="125">
        <f>IF(tech_base!$T12&gt;AB$1185,"",AB1476+AB1756)</f>
        <v>0</v>
      </c>
      <c r="AC1196" s="125">
        <f>IF(tech_base!$T12&gt;AC$1185,"",AC1476+AC1756)</f>
        <v>0</v>
      </c>
      <c r="AD1196" s="125">
        <f>IF(tech_base!$T12&gt;AD$1185,"",AD1476+AD1756)</f>
        <v>0</v>
      </c>
      <c r="AE1196" s="125">
        <f>IF(tech_base!$T12&gt;AE$1185,"",AE1476+AE1756)</f>
        <v>0</v>
      </c>
      <c r="AF1196" s="125">
        <f>IF(tech_base!$T12&gt;AF$1185,"",AF1476+AF1756)</f>
        <v>0</v>
      </c>
      <c r="AG1196" s="125">
        <f>IF(tech_base!$T12&gt;AG$1185,"",AG1476+AG1756)</f>
        <v>0</v>
      </c>
      <c r="AH1196" s="125">
        <f>IF(tech_base!$T12&gt;AH$1185,"",AH1476+AH1756)</f>
        <v>0</v>
      </c>
      <c r="AI1196" s="125">
        <f>IF(tech_base!$T12&gt;AI$1185,"",AI1476+AI1756)</f>
        <v>0</v>
      </c>
      <c r="AJ1196" s="125">
        <f>IF(tech_base!$T12&gt;AJ$1185,"",AJ1476+AJ1756)</f>
        <v>0</v>
      </c>
      <c r="AK1196" s="125">
        <f>IF(tech_base!$T12&gt;AK$1185,"",AK1476+AK1756)</f>
        <v>0</v>
      </c>
      <c r="AL1196" s="125">
        <f>IF(tech_base!$T12&gt;AL$1185,"",AL1476+AL1756)</f>
        <v>0</v>
      </c>
      <c r="AM1196" s="125">
        <f>IF(tech_base!$T12&gt;AM$1185,"",AM1476+AM1756)</f>
        <v>0</v>
      </c>
      <c r="AN1196" s="125">
        <f>IF(tech_base!$T12&gt;AN$1185,"",AN1476+AN1756)</f>
        <v>0</v>
      </c>
      <c r="AO1196" s="125">
        <f>IF(tech_base!$T12&gt;AO$1185,"",AO1476+AO1756)</f>
        <v>0</v>
      </c>
      <c r="AP1196" s="125">
        <f>IF(tech_base!$T12&gt;AP$1185,"",AP1476+AP1756)</f>
        <v>0</v>
      </c>
      <c r="AQ1196" s="125">
        <f>IF(tech_base!$T12&gt;AQ$1185,"",AQ1476+AQ1756)</f>
        <v>0</v>
      </c>
      <c r="AR1196" s="125">
        <f>IF(tech_base!$T12&gt;AR$1185,"",AR1476+AR1756)</f>
        <v>0</v>
      </c>
      <c r="AS1196" s="125">
        <f>IF(tech_base!$T12&gt;AS$1185,"",AS1476+AS1756)</f>
        <v>0</v>
      </c>
      <c r="AT1196" s="125">
        <f>IF(tech_base!$T12&gt;AT$1185,"",AT1476+AT1756)</f>
        <v>0</v>
      </c>
      <c r="AU1196" s="125">
        <f>IF(tech_base!$T12&gt;AU$1185,"",AU1476+AU1756)</f>
        <v>0</v>
      </c>
      <c r="AV1196" s="125">
        <f>IF(tech_base!$T12&gt;AV$1185,"",AV1476+AV1756)</f>
        <v>0</v>
      </c>
      <c r="AW1196" s="125">
        <f>IF(tech_base!$T12&gt;AW$1185,"",AW1476+AW1756)</f>
        <v>0</v>
      </c>
      <c r="AX1196" s="126">
        <f>IF(tech_base!$T12&gt;AX$1185,"",AX1476+AX1756)</f>
        <v>0</v>
      </c>
    </row>
    <row r="1197" spans="1:52" x14ac:dyDescent="0.25">
      <c r="A1197" s="356"/>
      <c r="B1197" s="359"/>
      <c r="C1197" s="361" t="s">
        <v>15</v>
      </c>
      <c r="D1197" s="58" t="s">
        <v>7</v>
      </c>
      <c r="E1197" s="164" t="str">
        <f>A1193&amp;"/"&amp;B1193&amp;"/"&amp;C1197&amp;"/"&amp;D1197</f>
        <v>Coal fired power plants/Integrated gasification combined cycle/Electricity only with CCS/L</v>
      </c>
      <c r="F1197" s="78" t="str">
        <f>A1193</f>
        <v>Coal fired power plants</v>
      </c>
      <c r="G1197" s="78" t="str">
        <f>B1193</f>
        <v>Integrated gasification combined cycle</v>
      </c>
      <c r="H1197" s="78" t="str">
        <f>C1197</f>
        <v>Electricity only with CCS</v>
      </c>
      <c r="I1197" s="165" t="str">
        <f t="shared" si="372"/>
        <v>L</v>
      </c>
      <c r="J1197" s="123" t="str">
        <f>IF(tech_base!$T13&gt;J$1185,"",J1477+J1757)</f>
        <v/>
      </c>
      <c r="K1197" s="123" t="str">
        <f>IF(tech_base!$T13&gt;K$1185,"",K1477+K1757)</f>
        <v/>
      </c>
      <c r="L1197" s="123" t="str">
        <f>IF(tech_base!$T13&gt;L$1185,"",L1477+L1757)</f>
        <v/>
      </c>
      <c r="M1197" s="123" t="str">
        <f>IF(tech_base!$T13&gt;M$1185,"",M1477+M1757)</f>
        <v/>
      </c>
      <c r="N1197" s="123" t="str">
        <f>IF(tech_base!$T13&gt;N$1185,"",N1477+N1757)</f>
        <v/>
      </c>
      <c r="O1197" s="123" t="str">
        <f>IF(tech_base!$T13&gt;O$1185,"",O1477+O1757)</f>
        <v/>
      </c>
      <c r="P1197" s="123" t="str">
        <f>IF(tech_base!$T13&gt;P$1185,"",P1477+P1757)</f>
        <v/>
      </c>
      <c r="Q1197" s="123" t="str">
        <f>IF(tech_base!$T13&gt;Q$1185,"",Q1477+Q1757)</f>
        <v/>
      </c>
      <c r="R1197" s="123" t="str">
        <f>IF(tech_base!$T13&gt;R$1185,"",R1477+R1757)</f>
        <v/>
      </c>
      <c r="S1197" s="123" t="str">
        <f>IF(tech_base!$T13&gt;S$1185,"",S1477+S1757)</f>
        <v/>
      </c>
      <c r="T1197" s="123" t="str">
        <f>IF(tech_base!$T13&gt;T$1185,"",T1477+T1757)</f>
        <v/>
      </c>
      <c r="U1197" s="123" t="str">
        <f>IF(tech_base!$T13&gt;U$1185,"",U1477+U1757)</f>
        <v/>
      </c>
      <c r="V1197" s="123" t="str">
        <f>IF(tech_base!$T13&gt;V$1185,"",V1477+V1757)</f>
        <v/>
      </c>
      <c r="W1197" s="123" t="str">
        <f>IF(tech_base!$T13&gt;W$1185,"",W1477+W1757)</f>
        <v/>
      </c>
      <c r="X1197" s="123" t="str">
        <f>IF(tech_base!$T13&gt;X$1185,"",X1477+X1757)</f>
        <v/>
      </c>
      <c r="Y1197" s="123" t="str">
        <f>IF(tech_base!$T13&gt;Y$1185,"",Y1477+Y1757)</f>
        <v/>
      </c>
      <c r="Z1197" s="123" t="str">
        <f>IF(tech_base!$T13&gt;Z$1185,"",Z1477+Z1757)</f>
        <v/>
      </c>
      <c r="AA1197" s="123" t="str">
        <f>IF(tech_base!$T13&gt;AA$1185,"",AA1477+AA1757)</f>
        <v/>
      </c>
      <c r="AB1197" s="123" t="str">
        <f>IF(tech_base!$T13&gt;AB$1185,"",AB1477+AB1757)</f>
        <v/>
      </c>
      <c r="AC1197" s="123" t="str">
        <f>IF(tech_base!$T13&gt;AC$1185,"",AC1477+AC1757)</f>
        <v/>
      </c>
      <c r="AD1197" s="123" t="str">
        <f>IF(tech_base!$T13&gt;AD$1185,"",AD1477+AD1757)</f>
        <v/>
      </c>
      <c r="AE1197" s="123">
        <f>IF(tech_base!$T13&gt;AE$1185,"",AE1477+AE1757)</f>
        <v>9.6043164457847592</v>
      </c>
      <c r="AF1197" s="123">
        <f>IF(tech_base!$T13&gt;AF$1185,"",AF1477+AF1757)</f>
        <v>9.6038392006307163</v>
      </c>
      <c r="AG1197" s="123">
        <f>IF(tech_base!$T13&gt;AG$1185,"",AG1477+AG1757)</f>
        <v>9.6031955085712042</v>
      </c>
      <c r="AH1197" s="123">
        <f>IF(tech_base!$T13&gt;AH$1185,"",AH1477+AH1757)</f>
        <v>9.6023275641583012</v>
      </c>
      <c r="AI1197" s="123">
        <f>IF(tech_base!$T13&gt;AI$1185,"",AI1477+AI1757)</f>
        <v>9.6011576877675839</v>
      </c>
      <c r="AJ1197" s="123">
        <f>IF(tech_base!$T13&gt;AJ$1185,"",AJ1477+AJ1757)</f>
        <v>9.5995816571283363</v>
      </c>
      <c r="AK1197" s="123">
        <f>IF(tech_base!$T13&gt;AK$1185,"",AK1477+AK1757)</f>
        <v>9.5974599359687804</v>
      </c>
      <c r="AL1197" s="123">
        <f>IF(tech_base!$T13&gt;AL$1185,"",AL1477+AL1757)</f>
        <v>9.5946062476404848</v>
      </c>
      <c r="AM1197" s="123">
        <f>IF(tech_base!$T13&gt;AM$1185,"",AM1477+AM1757)</f>
        <v>9.5907728913124508</v>
      </c>
      <c r="AN1197" s="123">
        <f>IF(tech_base!$T13&gt;AN$1185,"",AN1477+AN1757)</f>
        <v>9.5856322366399738</v>
      </c>
      <c r="AO1197" s="123">
        <f>IF(tech_base!$T13&gt;AO$1185,"",AO1477+AO1757)</f>
        <v>9.5787540624337328</v>
      </c>
      <c r="AP1197" s="123">
        <f>IF(tech_base!$T13&gt;AP$1185,"",AP1477+AP1757)</f>
        <v>9.5695790027302774</v>
      </c>
      <c r="AQ1197" s="123">
        <f>IF(tech_base!$T13&gt;AQ$1185,"",AQ1477+AQ1757)</f>
        <v>9.5573896126614759</v>
      </c>
      <c r="AR1197" s="123">
        <f>IF(tech_base!$T13&gt;AR$1185,"",AR1477+AR1757)</f>
        <v>9.5412828743498519</v>
      </c>
      <c r="AS1197" s="123">
        <f>IF(tech_base!$T13&gt;AS$1185,"",AS1477+AS1757)</f>
        <v>9.5201518202825994</v>
      </c>
      <c r="AT1197" s="123">
        <f>IF(tech_base!$T13&gt;AT$1185,"",AT1477+AT1757)</f>
        <v>9.4926897228727949</v>
      </c>
      <c r="AU1197" s="123">
        <f>IF(tech_base!$T13&gt;AU$1185,"",AU1477+AU1757)</f>
        <v>9.4574376649955791</v>
      </c>
      <c r="AV1197" s="123">
        <f>IF(tech_base!$T13&gt;AV$1185,"",AV1477+AV1757)</f>
        <v>9.4129031559678147</v>
      </c>
      <c r="AW1197" s="123">
        <f>IF(tech_base!$T13&gt;AW$1185,"",AW1477+AW1757)</f>
        <v>9.3577783064020945</v>
      </c>
      <c r="AX1197" s="124">
        <f>IF(tech_base!$T13&gt;AX$1185,"",AX1477+AX1757)</f>
        <v>9.2912711062351274</v>
      </c>
    </row>
    <row r="1198" spans="1:52" x14ac:dyDescent="0.25">
      <c r="A1198" s="356"/>
      <c r="B1198" s="359"/>
      <c r="C1198" s="379"/>
      <c r="D1198" s="59" t="s">
        <v>8</v>
      </c>
      <c r="E1198" s="166" t="str">
        <f>A1193&amp;"/"&amp;B1193&amp;"/"&amp;C1197&amp;"/"&amp;D1198</f>
        <v>Coal fired power plants/Integrated gasification combined cycle/Electricity only with CCS/M</v>
      </c>
      <c r="F1198" s="79" t="str">
        <f>A1193</f>
        <v>Coal fired power plants</v>
      </c>
      <c r="G1198" s="79" t="str">
        <f>B1193</f>
        <v>Integrated gasification combined cycle</v>
      </c>
      <c r="H1198" s="79" t="str">
        <f>C1197</f>
        <v>Electricity only with CCS</v>
      </c>
      <c r="I1198" s="167" t="str">
        <f t="shared" si="372"/>
        <v>M</v>
      </c>
      <c r="J1198" s="125" t="str">
        <f>IF(tech_base!$T14&gt;J$1185,"",J1478+J1758)</f>
        <v/>
      </c>
      <c r="K1198" s="125" t="str">
        <f>IF(tech_base!$T14&gt;K$1185,"",K1478+K1758)</f>
        <v/>
      </c>
      <c r="L1198" s="125" t="str">
        <f>IF(tech_base!$T14&gt;L$1185,"",L1478+L1758)</f>
        <v/>
      </c>
      <c r="M1198" s="125" t="str">
        <f>IF(tech_base!$T14&gt;M$1185,"",M1478+M1758)</f>
        <v/>
      </c>
      <c r="N1198" s="125" t="str">
        <f>IF(tech_base!$T14&gt;N$1185,"",N1478+N1758)</f>
        <v/>
      </c>
      <c r="O1198" s="125" t="str">
        <f>IF(tech_base!$T14&gt;O$1185,"",O1478+O1758)</f>
        <v/>
      </c>
      <c r="P1198" s="125" t="str">
        <f>IF(tech_base!$T14&gt;P$1185,"",P1478+P1758)</f>
        <v/>
      </c>
      <c r="Q1198" s="125" t="str">
        <f>IF(tech_base!$T14&gt;Q$1185,"",Q1478+Q1758)</f>
        <v/>
      </c>
      <c r="R1198" s="125" t="str">
        <f>IF(tech_base!$T14&gt;R$1185,"",R1478+R1758)</f>
        <v/>
      </c>
      <c r="S1198" s="125" t="str">
        <f>IF(tech_base!$T14&gt;S$1185,"",S1478+S1758)</f>
        <v/>
      </c>
      <c r="T1198" s="125" t="str">
        <f>IF(tech_base!$T14&gt;T$1185,"",T1478+T1758)</f>
        <v/>
      </c>
      <c r="U1198" s="125" t="str">
        <f>IF(tech_base!$T14&gt;U$1185,"",U1478+U1758)</f>
        <v/>
      </c>
      <c r="V1198" s="125" t="str">
        <f>IF(tech_base!$T14&gt;V$1185,"",V1478+V1758)</f>
        <v/>
      </c>
      <c r="W1198" s="125" t="str">
        <f>IF(tech_base!$T14&gt;W$1185,"",W1478+W1758)</f>
        <v/>
      </c>
      <c r="X1198" s="125" t="str">
        <f>IF(tech_base!$T14&gt;X$1185,"",X1478+X1758)</f>
        <v/>
      </c>
      <c r="Y1198" s="125" t="str">
        <f>IF(tech_base!$T14&gt;Y$1185,"",Y1478+Y1758)</f>
        <v/>
      </c>
      <c r="Z1198" s="125" t="str">
        <f>IF(tech_base!$T14&gt;Z$1185,"",Z1478+Z1758)</f>
        <v/>
      </c>
      <c r="AA1198" s="125" t="str">
        <f>IF(tech_base!$T14&gt;AA$1185,"",AA1478+AA1758)</f>
        <v/>
      </c>
      <c r="AB1198" s="125" t="str">
        <f>IF(tech_base!$T14&gt;AB$1185,"",AB1478+AB1758)</f>
        <v/>
      </c>
      <c r="AC1198" s="125" t="str">
        <f>IF(tech_base!$T14&gt;AC$1185,"",AC1478+AC1758)</f>
        <v/>
      </c>
      <c r="AD1198" s="125" t="str">
        <f>IF(tech_base!$T14&gt;AD$1185,"",AD1478+AD1758)</f>
        <v/>
      </c>
      <c r="AE1198" s="125">
        <f>IF(tech_base!$T14&gt;AE$1185,"",AE1478+AE1758)</f>
        <v>10.221223540368275</v>
      </c>
      <c r="AF1198" s="125">
        <f>IF(tech_base!$T14&gt;AF$1185,"",AF1478+AF1758)</f>
        <v>10.220971118689771</v>
      </c>
      <c r="AG1198" s="125">
        <f>IF(tech_base!$T14&gt;AG$1185,"",AG1478+AG1758)</f>
        <v>10.2206130520225</v>
      </c>
      <c r="AH1198" s="125">
        <f>IF(tech_base!$T14&gt;AH$1185,"",AH1478+AH1758)</f>
        <v>10.220105206425153</v>
      </c>
      <c r="AI1198" s="125">
        <f>IF(tech_base!$T14&gt;AI$1185,"",AI1478+AI1758)</f>
        <v>10.219385092867835</v>
      </c>
      <c r="AJ1198" s="125">
        <f>IF(tech_base!$T14&gt;AJ$1185,"",AJ1478+AJ1758)</f>
        <v>10.218364316528678</v>
      </c>
      <c r="AK1198" s="125">
        <f>IF(tech_base!$T14&gt;AK$1185,"",AK1478+AK1758)</f>
        <v>10.216918003949367</v>
      </c>
      <c r="AL1198" s="125">
        <f>IF(tech_base!$T14&gt;AL$1185,"",AL1478+AL1758)</f>
        <v>10.214870083518093</v>
      </c>
      <c r="AM1198" s="125">
        <f>IF(tech_base!$T14&gt;AM$1185,"",AM1478+AM1758)</f>
        <v>10.211972963507387</v>
      </c>
      <c r="AN1198" s="125">
        <f>IF(tech_base!$T14&gt;AN$1185,"",AN1478+AN1758)</f>
        <v>10.207879816695476</v>
      </c>
      <c r="AO1198" s="125">
        <f>IF(tech_base!$T14&gt;AO$1185,"",AO1478+AO1758)</f>
        <v>10.202107463753739</v>
      </c>
      <c r="AP1198" s="125">
        <f>IF(tech_base!$T14&gt;AP$1185,"",AP1478+AP1758)</f>
        <v>10.193988025900341</v>
      </c>
      <c r="AQ1198" s="125">
        <f>IF(tech_base!$T14&gt;AQ$1185,"",AQ1478+AQ1758)</f>
        <v>10.182608653473192</v>
      </c>
      <c r="AR1198" s="125">
        <f>IF(tech_base!$T14&gt;AR$1185,"",AR1478+AR1758)</f>
        <v>10.16674177308861</v>
      </c>
      <c r="AS1198" s="125">
        <f>IF(tech_base!$T14&gt;AS$1185,"",AS1478+AS1758)</f>
        <v>10.144775157638161</v>
      </c>
      <c r="AT1198" s="125">
        <f>IF(tech_base!$T14&gt;AT$1185,"",AT1478+AT1758)</f>
        <v>10.11466409704914</v>
      </c>
      <c r="AU1198" s="125">
        <f>IF(tech_base!$T14&gt;AU$1185,"",AU1478+AU1758)</f>
        <v>10.073949154012782</v>
      </c>
      <c r="AV1198" s="125">
        <f>IF(tech_base!$T14&gt;AV$1185,"",AV1478+AV1758)</f>
        <v>10.019911055992443</v>
      </c>
      <c r="AW1198" s="125">
        <f>IF(tech_base!$T14&gt;AW$1185,"",AW1478+AW1758)</f>
        <v>9.9499570955062406</v>
      </c>
      <c r="AX1198" s="126">
        <f>IF(tech_base!$T14&gt;AX$1185,"",AX1478+AX1758)</f>
        <v>9.8623179849302609</v>
      </c>
    </row>
    <row r="1199" spans="1:52" x14ac:dyDescent="0.25">
      <c r="A1199" s="356"/>
      <c r="B1199" s="359"/>
      <c r="C1199" s="361" t="s">
        <v>16</v>
      </c>
      <c r="D1199" s="2" t="s">
        <v>7</v>
      </c>
      <c r="E1199" s="160" t="str">
        <f>A1193&amp;"/"&amp;B1193&amp;"/"&amp;C1199&amp;"/"&amp;D1199</f>
        <v>Coal fired power plants/Integrated gasification combined cycle/CHP with CCS/L</v>
      </c>
      <c r="F1199" s="76" t="str">
        <f>A1193</f>
        <v>Coal fired power plants</v>
      </c>
      <c r="G1199" s="76" t="str">
        <f>B1193</f>
        <v>Integrated gasification combined cycle</v>
      </c>
      <c r="H1199" s="76" t="str">
        <f>C1199</f>
        <v>CHP with CCS</v>
      </c>
      <c r="I1199" s="161" t="str">
        <f t="shared" si="372"/>
        <v>L</v>
      </c>
      <c r="J1199" s="119" t="str">
        <f>IF(tech_base!$T15&gt;J$1185,"",J1479+J1759)</f>
        <v/>
      </c>
      <c r="K1199" s="119" t="str">
        <f>IF(tech_base!$T15&gt;K$1185,"",K1479+K1759)</f>
        <v/>
      </c>
      <c r="L1199" s="119" t="str">
        <f>IF(tech_base!$T15&gt;L$1185,"",L1479+L1759)</f>
        <v/>
      </c>
      <c r="M1199" s="119" t="str">
        <f>IF(tech_base!$T15&gt;M$1185,"",M1479+M1759)</f>
        <v/>
      </c>
      <c r="N1199" s="119" t="str">
        <f>IF(tech_base!$T15&gt;N$1185,"",N1479+N1759)</f>
        <v/>
      </c>
      <c r="O1199" s="119" t="str">
        <f>IF(tech_base!$T15&gt;O$1185,"",O1479+O1759)</f>
        <v/>
      </c>
      <c r="P1199" s="119" t="str">
        <f>IF(tech_base!$T15&gt;P$1185,"",P1479+P1759)</f>
        <v/>
      </c>
      <c r="Q1199" s="119" t="str">
        <f>IF(tech_base!$T15&gt;Q$1185,"",Q1479+Q1759)</f>
        <v/>
      </c>
      <c r="R1199" s="119" t="str">
        <f>IF(tech_base!$T15&gt;R$1185,"",R1479+R1759)</f>
        <v/>
      </c>
      <c r="S1199" s="119" t="str">
        <f>IF(tech_base!$T15&gt;S$1185,"",S1479+S1759)</f>
        <v/>
      </c>
      <c r="T1199" s="119" t="str">
        <f>IF(tech_base!$T15&gt;T$1185,"",T1479+T1759)</f>
        <v/>
      </c>
      <c r="U1199" s="119" t="str">
        <f>IF(tech_base!$T15&gt;U$1185,"",U1479+U1759)</f>
        <v/>
      </c>
      <c r="V1199" s="119" t="str">
        <f>IF(tech_base!$T15&gt;V$1185,"",V1479+V1759)</f>
        <v/>
      </c>
      <c r="W1199" s="119" t="str">
        <f>IF(tech_base!$T15&gt;W$1185,"",W1479+W1759)</f>
        <v/>
      </c>
      <c r="X1199" s="119" t="str">
        <f>IF(tech_base!$T15&gt;X$1185,"",X1479+X1759)</f>
        <v/>
      </c>
      <c r="Y1199" s="119" t="str">
        <f>IF(tech_base!$T15&gt;Y$1185,"",Y1479+Y1759)</f>
        <v/>
      </c>
      <c r="Z1199" s="119" t="str">
        <f>IF(tech_base!$T15&gt;Z$1185,"",Z1479+Z1759)</f>
        <v/>
      </c>
      <c r="AA1199" s="119" t="str">
        <f>IF(tech_base!$T15&gt;AA$1185,"",AA1479+AA1759)</f>
        <v/>
      </c>
      <c r="AB1199" s="119" t="str">
        <f>IF(tech_base!$T15&gt;AB$1185,"",AB1479+AB1759)</f>
        <v/>
      </c>
      <c r="AC1199" s="119" t="str">
        <f>IF(tech_base!$T15&gt;AC$1185,"",AC1479+AC1759)</f>
        <v/>
      </c>
      <c r="AD1199" s="119" t="str">
        <f>IF(tech_base!$T15&gt;AD$1185,"",AD1479+AD1759)</f>
        <v/>
      </c>
      <c r="AE1199" s="119">
        <f>IF(tech_base!$T15&gt;AE$1185,"",AE1479+AE1759)</f>
        <v>10.85334048099717</v>
      </c>
      <c r="AF1199" s="119">
        <f>IF(tech_base!$T15&gt;AF$1185,"",AF1479+AF1759)</f>
        <v>10.852832004149189</v>
      </c>
      <c r="AG1199" s="119">
        <f>IF(tech_base!$T15&gt;AG$1185,"",AG1479+AG1759)</f>
        <v>10.852146193181108</v>
      </c>
      <c r="AH1199" s="119">
        <f>IF(tech_base!$T15&gt;AH$1185,"",AH1479+AH1759)</f>
        <v>10.851221465995952</v>
      </c>
      <c r="AI1199" s="119">
        <f>IF(tech_base!$T15&gt;AI$1185,"",AI1479+AI1759)</f>
        <v>10.849975071454237</v>
      </c>
      <c r="AJ1199" s="119">
        <f>IF(tech_base!$T15&gt;AJ$1185,"",AJ1479+AJ1759)</f>
        <v>10.848295989380938</v>
      </c>
      <c r="AK1199" s="119">
        <f>IF(tech_base!$T15&gt;AK$1185,"",AK1479+AK1759)</f>
        <v>10.846035594056081</v>
      </c>
      <c r="AL1199" s="119">
        <f>IF(tech_base!$T15&gt;AL$1185,"",AL1479+AL1759)</f>
        <v>10.842995496079647</v>
      </c>
      <c r="AM1199" s="119">
        <f>IF(tech_base!$T15&gt;AM$1185,"",AM1479+AM1759)</f>
        <v>10.838911926339446</v>
      </c>
      <c r="AN1199" s="119">
        <f>IF(tech_base!$T15&gt;AN$1185,"",AN1479+AN1759)</f>
        <v>10.83343607072552</v>
      </c>
      <c r="AO1199" s="119">
        <f>IF(tech_base!$T15&gt;AO$1185,"",AO1479+AO1759)</f>
        <v>10.826110015669883</v>
      </c>
      <c r="AP1199" s="119">
        <f>IF(tech_base!$T15&gt;AP$1185,"",AP1479+AP1759)</f>
        <v>10.816338612404826</v>
      </c>
      <c r="AQ1199" s="119">
        <f>IF(tech_base!$T15&gt;AQ$1185,"",AQ1479+AQ1759)</f>
        <v>10.803358914734028</v>
      </c>
      <c r="AR1199" s="119">
        <f>IF(tech_base!$T15&gt;AR$1185,"",AR1479+AR1759)</f>
        <v>10.786211325656831</v>
      </c>
      <c r="AS1199" s="119">
        <f>IF(tech_base!$T15&gt;AS$1185,"",AS1479+AS1759)</f>
        <v>10.763720721001523</v>
      </c>
      <c r="AT1199" s="119">
        <f>IF(tech_base!$T15&gt;AT$1185,"",AT1479+AT1759)</f>
        <v>10.734501977145452</v>
      </c>
      <c r="AU1199" s="119">
        <f>IF(tech_base!$T15&gt;AU$1185,"",AU1479+AU1759)</f>
        <v>10.69701213886364</v>
      </c>
      <c r="AV1199" s="119">
        <f>IF(tech_base!$T15&gt;AV$1185,"",AV1479+AV1759)</f>
        <v>10.649678604561343</v>
      </c>
      <c r="AW1199" s="119">
        <f>IF(tech_base!$T15&gt;AW$1185,"",AW1479+AW1759)</f>
        <v>10.591133242241607</v>
      </c>
      <c r="AX1199" s="120">
        <f>IF(tech_base!$T15&gt;AX$1185,"",AX1479+AX1759)</f>
        <v>10.520565769556123</v>
      </c>
    </row>
    <row r="1200" spans="1:52" x14ac:dyDescent="0.25">
      <c r="A1200" s="356"/>
      <c r="B1200" s="362"/>
      <c r="C1200" s="381"/>
      <c r="D1200" s="4" t="s">
        <v>8</v>
      </c>
      <c r="E1200" s="168" t="str">
        <f>A1193&amp;"/"&amp;B1193&amp;"/"&amp;C1199&amp;"/"&amp;D1200</f>
        <v>Coal fired power plants/Integrated gasification combined cycle/CHP with CCS/M</v>
      </c>
      <c r="F1200" s="80" t="str">
        <f>A1193</f>
        <v>Coal fired power plants</v>
      </c>
      <c r="G1200" s="80" t="str">
        <f>B1193</f>
        <v>Integrated gasification combined cycle</v>
      </c>
      <c r="H1200" s="80" t="str">
        <f>C1199</f>
        <v>CHP with CCS</v>
      </c>
      <c r="I1200" s="169" t="str">
        <f t="shared" si="372"/>
        <v>M</v>
      </c>
      <c r="J1200" s="127" t="str">
        <f>IF(tech_base!$T16&gt;J$1185,"",J1480+J1760)</f>
        <v/>
      </c>
      <c r="K1200" s="127" t="str">
        <f>IF(tech_base!$T16&gt;K$1185,"",K1480+K1760)</f>
        <v/>
      </c>
      <c r="L1200" s="127" t="str">
        <f>IF(tech_base!$T16&gt;L$1185,"",L1480+L1760)</f>
        <v/>
      </c>
      <c r="M1200" s="127" t="str">
        <f>IF(tech_base!$T16&gt;M$1185,"",M1480+M1760)</f>
        <v/>
      </c>
      <c r="N1200" s="127" t="str">
        <f>IF(tech_base!$T16&gt;N$1185,"",N1480+N1760)</f>
        <v/>
      </c>
      <c r="O1200" s="127" t="str">
        <f>IF(tech_base!$T16&gt;O$1185,"",O1480+O1760)</f>
        <v/>
      </c>
      <c r="P1200" s="127" t="str">
        <f>IF(tech_base!$T16&gt;P$1185,"",P1480+P1760)</f>
        <v/>
      </c>
      <c r="Q1200" s="127" t="str">
        <f>IF(tech_base!$T16&gt;Q$1185,"",Q1480+Q1760)</f>
        <v/>
      </c>
      <c r="R1200" s="127" t="str">
        <f>IF(tech_base!$T16&gt;R$1185,"",R1480+R1760)</f>
        <v/>
      </c>
      <c r="S1200" s="127" t="str">
        <f>IF(tech_base!$T16&gt;S$1185,"",S1480+S1760)</f>
        <v/>
      </c>
      <c r="T1200" s="127" t="str">
        <f>IF(tech_base!$T16&gt;T$1185,"",T1480+T1760)</f>
        <v/>
      </c>
      <c r="U1200" s="127" t="str">
        <f>IF(tech_base!$T16&gt;U$1185,"",U1480+U1760)</f>
        <v/>
      </c>
      <c r="V1200" s="127" t="str">
        <f>IF(tech_base!$T16&gt;V$1185,"",V1480+V1760)</f>
        <v/>
      </c>
      <c r="W1200" s="127" t="str">
        <f>IF(tech_base!$T16&gt;W$1185,"",W1480+W1760)</f>
        <v/>
      </c>
      <c r="X1200" s="127" t="str">
        <f>IF(tech_base!$T16&gt;X$1185,"",X1480+X1760)</f>
        <v/>
      </c>
      <c r="Y1200" s="127" t="str">
        <f>IF(tech_base!$T16&gt;Y$1185,"",Y1480+Y1760)</f>
        <v/>
      </c>
      <c r="Z1200" s="127" t="str">
        <f>IF(tech_base!$T16&gt;Z$1185,"",Z1480+Z1760)</f>
        <v/>
      </c>
      <c r="AA1200" s="127" t="str">
        <f>IF(tech_base!$T16&gt;AA$1185,"",AA1480+AA1760)</f>
        <v/>
      </c>
      <c r="AB1200" s="127" t="str">
        <f>IF(tech_base!$T16&gt;AB$1185,"",AB1480+AB1760)</f>
        <v/>
      </c>
      <c r="AC1200" s="127" t="str">
        <f>IF(tech_base!$T16&gt;AC$1185,"",AC1480+AC1760)</f>
        <v/>
      </c>
      <c r="AD1200" s="127" t="str">
        <f>IF(tech_base!$T16&gt;AD$1185,"",AD1480+AD1760)</f>
        <v/>
      </c>
      <c r="AE1200" s="127">
        <f>IF(tech_base!$T16&gt;AE$1185,"",AE1480+AE1760)</f>
        <v>11.570694537128825</v>
      </c>
      <c r="AF1200" s="127">
        <f>IF(tech_base!$T16&gt;AF$1185,"",AF1480+AF1760)</f>
        <v>11.570427843006875</v>
      </c>
      <c r="AG1200" s="127">
        <f>IF(tech_base!$T16&gt;AG$1185,"",AG1480+AG1760)</f>
        <v>11.570049532268083</v>
      </c>
      <c r="AH1200" s="127">
        <f>IF(tech_base!$T16&gt;AH$1185,"",AH1480+AH1760)</f>
        <v>11.569512978061288</v>
      </c>
      <c r="AI1200" s="127">
        <f>IF(tech_base!$T16&gt;AI$1185,"",AI1480+AI1760)</f>
        <v>11.568752163459703</v>
      </c>
      <c r="AJ1200" s="127">
        <f>IF(tech_base!$T16&gt;AJ$1185,"",AJ1480+AJ1760)</f>
        <v>11.567673706821873</v>
      </c>
      <c r="AK1200" s="127">
        <f>IF(tech_base!$T16&gt;AK$1185,"",AK1480+AK1760)</f>
        <v>11.566145697189258</v>
      </c>
      <c r="AL1200" s="127">
        <f>IF(tech_base!$T16&gt;AL$1185,"",AL1480+AL1760)</f>
        <v>11.56398215465939</v>
      </c>
      <c r="AM1200" s="127">
        <f>IF(tech_base!$T16&gt;AM$1185,"",AM1480+AM1760)</f>
        <v>11.560921583685904</v>
      </c>
      <c r="AN1200" s="127">
        <f>IF(tech_base!$T16&gt;AN$1185,"",AN1480+AN1760)</f>
        <v>11.556597738893652</v>
      </c>
      <c r="AO1200" s="127">
        <f>IF(tech_base!$T16&gt;AO$1185,"",AO1480+AO1760)</f>
        <v>11.55050050493363</v>
      </c>
      <c r="AP1200" s="127">
        <f>IF(tech_base!$T16&gt;AP$1185,"",AP1480+AP1760)</f>
        <v>11.54192500084946</v>
      </c>
      <c r="AQ1200" s="127">
        <f>IF(tech_base!$T16&gt;AQ$1185,"",AQ1480+AQ1760)</f>
        <v>11.529908256604299</v>
      </c>
      <c r="AR1200" s="127">
        <f>IF(tech_base!$T16&gt;AR$1185,"",AR1480+AR1760)</f>
        <v>11.513156184662972</v>
      </c>
      <c r="AS1200" s="127">
        <f>IF(tech_base!$T16&gt;AS$1185,"",AS1480+AS1760)</f>
        <v>11.489970912689552</v>
      </c>
      <c r="AT1200" s="127">
        <f>IF(tech_base!$T16&gt;AT$1185,"",AT1480+AT1760)</f>
        <v>11.458202363763045</v>
      </c>
      <c r="AU1200" s="127">
        <f>IF(tech_base!$T16&gt;AU$1185,"",AU1480+AU1760)</f>
        <v>11.41527043468802</v>
      </c>
      <c r="AV1200" s="127">
        <f>IF(tech_base!$T16&gt;AV$1185,"",AV1480+AV1760)</f>
        <v>11.358333563719038</v>
      </c>
      <c r="AW1200" s="127">
        <f>IF(tech_base!$T16&gt;AW$1185,"",AW1480+AW1760)</f>
        <v>11.284702653949095</v>
      </c>
      <c r="AX1200" s="128">
        <f>IF(tech_base!$T16&gt;AX$1185,"",AX1480+AX1760)</f>
        <v>11.192580791978672</v>
      </c>
    </row>
    <row r="1201" spans="1:50" x14ac:dyDescent="0.25">
      <c r="A1201" s="356"/>
      <c r="B1201" s="358" t="s">
        <v>17</v>
      </c>
      <c r="C1201" s="353" t="s">
        <v>6</v>
      </c>
      <c r="D1201" s="3" t="s">
        <v>7</v>
      </c>
      <c r="E1201" s="162" t="str">
        <f>A1193&amp;"/"&amp;B1201&amp;"/"&amp;C1201&amp;"/"&amp;D1201</f>
        <v>Coal fired power plants/Supercritical steam turbine/Electricity only/L</v>
      </c>
      <c r="F1201" s="77" t="str">
        <f>A1193</f>
        <v>Coal fired power plants</v>
      </c>
      <c r="G1201" s="77" t="str">
        <f>B1201</f>
        <v>Supercritical steam turbine</v>
      </c>
      <c r="H1201" s="77" t="str">
        <f>C1201</f>
        <v>Electricity only</v>
      </c>
      <c r="I1201" s="163" t="str">
        <f t="shared" si="372"/>
        <v>L</v>
      </c>
      <c r="J1201" s="121">
        <f>IF(tech_base!$T17&gt;J$1185,"",J1481+J1761)</f>
        <v>0</v>
      </c>
      <c r="K1201" s="121">
        <f>IF(tech_base!$T17&gt;K$1185,"",K1481+K1761)</f>
        <v>0</v>
      </c>
      <c r="L1201" s="121">
        <f>IF(tech_base!$T17&gt;L$1185,"",L1481+L1761)</f>
        <v>0</v>
      </c>
      <c r="M1201" s="121">
        <f>IF(tech_base!$T17&gt;M$1185,"",M1481+M1761)</f>
        <v>0</v>
      </c>
      <c r="N1201" s="121">
        <f>IF(tech_base!$T17&gt;N$1185,"",N1481+N1761)</f>
        <v>0</v>
      </c>
      <c r="O1201" s="121">
        <f>IF(tech_base!$T17&gt;O$1185,"",O1481+O1761)</f>
        <v>0</v>
      </c>
      <c r="P1201" s="121">
        <f>IF(tech_base!$T17&gt;P$1185,"",P1481+P1761)</f>
        <v>0</v>
      </c>
      <c r="Q1201" s="121">
        <f>IF(tech_base!$T17&gt;Q$1185,"",Q1481+Q1761)</f>
        <v>0</v>
      </c>
      <c r="R1201" s="121">
        <f>IF(tech_base!$T17&gt;R$1185,"",R1481+R1761)</f>
        <v>0</v>
      </c>
      <c r="S1201" s="121">
        <f>IF(tech_base!$T17&gt;S$1185,"",S1481+S1761)</f>
        <v>0</v>
      </c>
      <c r="T1201" s="121">
        <f>IF(tech_base!$T17&gt;T$1185,"",T1481+T1761)</f>
        <v>0</v>
      </c>
      <c r="U1201" s="121">
        <f>IF(tech_base!$T17&gt;U$1185,"",U1481+U1761)</f>
        <v>0</v>
      </c>
      <c r="V1201" s="121">
        <f>IF(tech_base!$T17&gt;V$1185,"",V1481+V1761)</f>
        <v>0</v>
      </c>
      <c r="W1201" s="121">
        <f>IF(tech_base!$T17&gt;W$1185,"",W1481+W1761)</f>
        <v>0</v>
      </c>
      <c r="X1201" s="121">
        <f>IF(tech_base!$T17&gt;X$1185,"",X1481+X1761)</f>
        <v>0</v>
      </c>
      <c r="Y1201" s="121">
        <f>IF(tech_base!$T17&gt;Y$1185,"",Y1481+Y1761)</f>
        <v>0</v>
      </c>
      <c r="Z1201" s="121">
        <f>IF(tech_base!$T17&gt;Z$1185,"",Z1481+Z1761)</f>
        <v>0</v>
      </c>
      <c r="AA1201" s="121">
        <f>IF(tech_base!$T17&gt;AA$1185,"",AA1481+AA1761)</f>
        <v>0</v>
      </c>
      <c r="AB1201" s="121">
        <f>IF(tech_base!$T17&gt;AB$1185,"",AB1481+AB1761)</f>
        <v>0</v>
      </c>
      <c r="AC1201" s="121">
        <f>IF(tech_base!$T17&gt;AC$1185,"",AC1481+AC1761)</f>
        <v>0</v>
      </c>
      <c r="AD1201" s="121">
        <f>IF(tech_base!$T17&gt;AD$1185,"",AD1481+AD1761)</f>
        <v>0</v>
      </c>
      <c r="AE1201" s="121">
        <f>IF(tech_base!$T17&gt;AE$1185,"",AE1481+AE1761)</f>
        <v>0</v>
      </c>
      <c r="AF1201" s="121">
        <f>IF(tech_base!$T17&gt;AF$1185,"",AF1481+AF1761)</f>
        <v>0</v>
      </c>
      <c r="AG1201" s="121">
        <f>IF(tech_base!$T17&gt;AG$1185,"",AG1481+AG1761)</f>
        <v>0</v>
      </c>
      <c r="AH1201" s="121">
        <f>IF(tech_base!$T17&gt;AH$1185,"",AH1481+AH1761)</f>
        <v>0</v>
      </c>
      <c r="AI1201" s="121">
        <f>IF(tech_base!$T17&gt;AI$1185,"",AI1481+AI1761)</f>
        <v>0</v>
      </c>
      <c r="AJ1201" s="121">
        <f>IF(tech_base!$T17&gt;AJ$1185,"",AJ1481+AJ1761)</f>
        <v>0</v>
      </c>
      <c r="AK1201" s="121">
        <f>IF(tech_base!$T17&gt;AK$1185,"",AK1481+AK1761)</f>
        <v>0</v>
      </c>
      <c r="AL1201" s="121">
        <f>IF(tech_base!$T17&gt;AL$1185,"",AL1481+AL1761)</f>
        <v>0</v>
      </c>
      <c r="AM1201" s="121">
        <f>IF(tech_base!$T17&gt;AM$1185,"",AM1481+AM1761)</f>
        <v>0</v>
      </c>
      <c r="AN1201" s="121">
        <f>IF(tech_base!$T17&gt;AN$1185,"",AN1481+AN1761)</f>
        <v>0</v>
      </c>
      <c r="AO1201" s="121">
        <f>IF(tech_base!$T17&gt;AO$1185,"",AO1481+AO1761)</f>
        <v>0</v>
      </c>
      <c r="AP1201" s="121">
        <f>IF(tech_base!$T17&gt;AP$1185,"",AP1481+AP1761)</f>
        <v>0</v>
      </c>
      <c r="AQ1201" s="121">
        <f>IF(tech_base!$T17&gt;AQ$1185,"",AQ1481+AQ1761)</f>
        <v>0</v>
      </c>
      <c r="AR1201" s="121">
        <f>IF(tech_base!$T17&gt;AR$1185,"",AR1481+AR1761)</f>
        <v>0</v>
      </c>
      <c r="AS1201" s="121">
        <f>IF(tech_base!$T17&gt;AS$1185,"",AS1481+AS1761)</f>
        <v>0</v>
      </c>
      <c r="AT1201" s="121">
        <f>IF(tech_base!$T17&gt;AT$1185,"",AT1481+AT1761)</f>
        <v>0</v>
      </c>
      <c r="AU1201" s="121">
        <f>IF(tech_base!$T17&gt;AU$1185,"",AU1481+AU1761)</f>
        <v>0</v>
      </c>
      <c r="AV1201" s="121">
        <f>IF(tech_base!$T17&gt;AV$1185,"",AV1481+AV1761)</f>
        <v>0</v>
      </c>
      <c r="AW1201" s="121">
        <f>IF(tech_base!$T17&gt;AW$1185,"",AW1481+AW1761)</f>
        <v>0</v>
      </c>
      <c r="AX1201" s="122">
        <f>IF(tech_base!$T17&gt;AX$1185,"",AX1481+AX1761)</f>
        <v>0</v>
      </c>
    </row>
    <row r="1202" spans="1:50" x14ac:dyDescent="0.25">
      <c r="A1202" s="356"/>
      <c r="B1202" s="376"/>
      <c r="C1202" s="379"/>
      <c r="D1202" s="2" t="s">
        <v>8</v>
      </c>
      <c r="E1202" s="160" t="str">
        <f>A1193&amp;"/"&amp;B1201&amp;"/"&amp;C1201&amp;"/"&amp;D1202</f>
        <v>Coal fired power plants/Supercritical steam turbine/Electricity only/M</v>
      </c>
      <c r="F1202" s="76" t="str">
        <f>A1193</f>
        <v>Coal fired power plants</v>
      </c>
      <c r="G1202" s="76" t="str">
        <f>B1201</f>
        <v>Supercritical steam turbine</v>
      </c>
      <c r="H1202" s="76" t="str">
        <f>C1201</f>
        <v>Electricity only</v>
      </c>
      <c r="I1202" s="161" t="str">
        <f t="shared" si="372"/>
        <v>M</v>
      </c>
      <c r="J1202" s="119">
        <f>IF(tech_base!$T18&gt;J$1185,"",J1482+J1762)</f>
        <v>0</v>
      </c>
      <c r="K1202" s="119">
        <f>IF(tech_base!$T18&gt;K$1185,"",K1482+K1762)</f>
        <v>0</v>
      </c>
      <c r="L1202" s="119">
        <f>IF(tech_base!$T18&gt;L$1185,"",L1482+L1762)</f>
        <v>0</v>
      </c>
      <c r="M1202" s="119">
        <f>IF(tech_base!$T18&gt;M$1185,"",M1482+M1762)</f>
        <v>0</v>
      </c>
      <c r="N1202" s="119">
        <f>IF(tech_base!$T18&gt;N$1185,"",N1482+N1762)</f>
        <v>0</v>
      </c>
      <c r="O1202" s="119">
        <f>IF(tech_base!$T18&gt;O$1185,"",O1482+O1762)</f>
        <v>0</v>
      </c>
      <c r="P1202" s="119">
        <f>IF(tech_base!$T18&gt;P$1185,"",P1482+P1762)</f>
        <v>0</v>
      </c>
      <c r="Q1202" s="119">
        <f>IF(tech_base!$T18&gt;Q$1185,"",Q1482+Q1762)</f>
        <v>0</v>
      </c>
      <c r="R1202" s="119">
        <f>IF(tech_base!$T18&gt;R$1185,"",R1482+R1762)</f>
        <v>0</v>
      </c>
      <c r="S1202" s="119">
        <f>IF(tech_base!$T18&gt;S$1185,"",S1482+S1762)</f>
        <v>0</v>
      </c>
      <c r="T1202" s="119">
        <f>IF(tech_base!$T18&gt;T$1185,"",T1482+T1762)</f>
        <v>0</v>
      </c>
      <c r="U1202" s="119">
        <f>IF(tech_base!$T18&gt;U$1185,"",U1482+U1762)</f>
        <v>0</v>
      </c>
      <c r="V1202" s="119">
        <f>IF(tech_base!$T18&gt;V$1185,"",V1482+V1762)</f>
        <v>0</v>
      </c>
      <c r="W1202" s="119">
        <f>IF(tech_base!$T18&gt;W$1185,"",W1482+W1762)</f>
        <v>0</v>
      </c>
      <c r="X1202" s="119">
        <f>IF(tech_base!$T18&gt;X$1185,"",X1482+X1762)</f>
        <v>0</v>
      </c>
      <c r="Y1202" s="119">
        <f>IF(tech_base!$T18&gt;Y$1185,"",Y1482+Y1762)</f>
        <v>0</v>
      </c>
      <c r="Z1202" s="119">
        <f>IF(tech_base!$T18&gt;Z$1185,"",Z1482+Z1762)</f>
        <v>0</v>
      </c>
      <c r="AA1202" s="119">
        <f>IF(tech_base!$T18&gt;AA$1185,"",AA1482+AA1762)</f>
        <v>0</v>
      </c>
      <c r="AB1202" s="119">
        <f>IF(tech_base!$T18&gt;AB$1185,"",AB1482+AB1762)</f>
        <v>0</v>
      </c>
      <c r="AC1202" s="119">
        <f>IF(tech_base!$T18&gt;AC$1185,"",AC1482+AC1762)</f>
        <v>0</v>
      </c>
      <c r="AD1202" s="119">
        <f>IF(tech_base!$T18&gt;AD$1185,"",AD1482+AD1762)</f>
        <v>0</v>
      </c>
      <c r="AE1202" s="119">
        <f>IF(tech_base!$T18&gt;AE$1185,"",AE1482+AE1762)</f>
        <v>0</v>
      </c>
      <c r="AF1202" s="119">
        <f>IF(tech_base!$T18&gt;AF$1185,"",AF1482+AF1762)</f>
        <v>0</v>
      </c>
      <c r="AG1202" s="119">
        <f>IF(tech_base!$T18&gt;AG$1185,"",AG1482+AG1762)</f>
        <v>0</v>
      </c>
      <c r="AH1202" s="119">
        <f>IF(tech_base!$T18&gt;AH$1185,"",AH1482+AH1762)</f>
        <v>0</v>
      </c>
      <c r="AI1202" s="119">
        <f>IF(tech_base!$T18&gt;AI$1185,"",AI1482+AI1762)</f>
        <v>0</v>
      </c>
      <c r="AJ1202" s="119">
        <f>IF(tech_base!$T18&gt;AJ$1185,"",AJ1482+AJ1762)</f>
        <v>0</v>
      </c>
      <c r="AK1202" s="119">
        <f>IF(tech_base!$T18&gt;AK$1185,"",AK1482+AK1762)</f>
        <v>0</v>
      </c>
      <c r="AL1202" s="119">
        <f>IF(tech_base!$T18&gt;AL$1185,"",AL1482+AL1762)</f>
        <v>0</v>
      </c>
      <c r="AM1202" s="119">
        <f>IF(tech_base!$T18&gt;AM$1185,"",AM1482+AM1762)</f>
        <v>0</v>
      </c>
      <c r="AN1202" s="119">
        <f>IF(tech_base!$T18&gt;AN$1185,"",AN1482+AN1762)</f>
        <v>0</v>
      </c>
      <c r="AO1202" s="119">
        <f>IF(tech_base!$T18&gt;AO$1185,"",AO1482+AO1762)</f>
        <v>0</v>
      </c>
      <c r="AP1202" s="119">
        <f>IF(tech_base!$T18&gt;AP$1185,"",AP1482+AP1762)</f>
        <v>0</v>
      </c>
      <c r="AQ1202" s="119">
        <f>IF(tech_base!$T18&gt;AQ$1185,"",AQ1482+AQ1762)</f>
        <v>0</v>
      </c>
      <c r="AR1202" s="119">
        <f>IF(tech_base!$T18&gt;AR$1185,"",AR1482+AR1762)</f>
        <v>0</v>
      </c>
      <c r="AS1202" s="119">
        <f>IF(tech_base!$T18&gt;AS$1185,"",AS1482+AS1762)</f>
        <v>0</v>
      </c>
      <c r="AT1202" s="119">
        <f>IF(tech_base!$T18&gt;AT$1185,"",AT1482+AT1762)</f>
        <v>0</v>
      </c>
      <c r="AU1202" s="119">
        <f>IF(tech_base!$T18&gt;AU$1185,"",AU1482+AU1762)</f>
        <v>0</v>
      </c>
      <c r="AV1202" s="119">
        <f>IF(tech_base!$T18&gt;AV$1185,"",AV1482+AV1762)</f>
        <v>0</v>
      </c>
      <c r="AW1202" s="119">
        <f>IF(tech_base!$T18&gt;AW$1185,"",AW1482+AW1762)</f>
        <v>0</v>
      </c>
      <c r="AX1202" s="120">
        <f>IF(tech_base!$T18&gt;AX$1185,"",AX1482+AX1762)</f>
        <v>0</v>
      </c>
    </row>
    <row r="1203" spans="1:50" x14ac:dyDescent="0.25">
      <c r="A1203" s="356"/>
      <c r="B1203" s="376"/>
      <c r="C1203" s="361" t="s">
        <v>14</v>
      </c>
      <c r="D1203" s="58" t="s">
        <v>7</v>
      </c>
      <c r="E1203" s="164" t="str">
        <f>A1193&amp;"/"&amp;B1201&amp;"/"&amp;C1203&amp;"/"&amp;D1203</f>
        <v>Coal fired power plants/Supercritical steam turbine/CHP/L</v>
      </c>
      <c r="F1203" s="78" t="str">
        <f>A1193</f>
        <v>Coal fired power plants</v>
      </c>
      <c r="G1203" s="78" t="str">
        <f>B1201</f>
        <v>Supercritical steam turbine</v>
      </c>
      <c r="H1203" s="78" t="str">
        <f>C1203</f>
        <v>CHP</v>
      </c>
      <c r="I1203" s="165" t="str">
        <f t="shared" si="372"/>
        <v>L</v>
      </c>
      <c r="J1203" s="123">
        <f>IF(tech_base!$T19&gt;J$1185,"",J1483+J1763)</f>
        <v>0</v>
      </c>
      <c r="K1203" s="123">
        <f>IF(tech_base!$T19&gt;K$1185,"",K1483+K1763)</f>
        <v>0</v>
      </c>
      <c r="L1203" s="123">
        <f>IF(tech_base!$T19&gt;L$1185,"",L1483+L1763)</f>
        <v>0</v>
      </c>
      <c r="M1203" s="123">
        <f>IF(tech_base!$T19&gt;M$1185,"",M1483+M1763)</f>
        <v>0</v>
      </c>
      <c r="N1203" s="123">
        <f>IF(tech_base!$T19&gt;N$1185,"",N1483+N1763)</f>
        <v>0</v>
      </c>
      <c r="O1203" s="123">
        <f>IF(tech_base!$T19&gt;O$1185,"",O1483+O1763)</f>
        <v>0</v>
      </c>
      <c r="P1203" s="123">
        <f>IF(tech_base!$T19&gt;P$1185,"",P1483+P1763)</f>
        <v>0</v>
      </c>
      <c r="Q1203" s="123">
        <f>IF(tech_base!$T19&gt;Q$1185,"",Q1483+Q1763)</f>
        <v>0</v>
      </c>
      <c r="R1203" s="123">
        <f>IF(tech_base!$T19&gt;R$1185,"",R1483+R1763)</f>
        <v>0</v>
      </c>
      <c r="S1203" s="123">
        <f>IF(tech_base!$T19&gt;S$1185,"",S1483+S1763)</f>
        <v>0</v>
      </c>
      <c r="T1203" s="123">
        <f>IF(tech_base!$T19&gt;T$1185,"",T1483+T1763)</f>
        <v>0</v>
      </c>
      <c r="U1203" s="123">
        <f>IF(tech_base!$T19&gt;U$1185,"",U1483+U1763)</f>
        <v>0</v>
      </c>
      <c r="V1203" s="123">
        <f>IF(tech_base!$T19&gt;V$1185,"",V1483+V1763)</f>
        <v>0</v>
      </c>
      <c r="W1203" s="123">
        <f>IF(tech_base!$T19&gt;W$1185,"",W1483+W1763)</f>
        <v>0</v>
      </c>
      <c r="X1203" s="123">
        <f>IF(tech_base!$T19&gt;X$1185,"",X1483+X1763)</f>
        <v>0</v>
      </c>
      <c r="Y1203" s="123">
        <f>IF(tech_base!$T19&gt;Y$1185,"",Y1483+Y1763)</f>
        <v>0</v>
      </c>
      <c r="Z1203" s="123">
        <f>IF(tech_base!$T19&gt;Z$1185,"",Z1483+Z1763)</f>
        <v>0</v>
      </c>
      <c r="AA1203" s="123">
        <f>IF(tech_base!$T19&gt;AA$1185,"",AA1483+AA1763)</f>
        <v>0</v>
      </c>
      <c r="AB1203" s="123">
        <f>IF(tech_base!$T19&gt;AB$1185,"",AB1483+AB1763)</f>
        <v>0</v>
      </c>
      <c r="AC1203" s="123">
        <f>IF(tech_base!$T19&gt;AC$1185,"",AC1483+AC1763)</f>
        <v>0</v>
      </c>
      <c r="AD1203" s="123">
        <f>IF(tech_base!$T19&gt;AD$1185,"",AD1483+AD1763)</f>
        <v>0</v>
      </c>
      <c r="AE1203" s="123">
        <f>IF(tech_base!$T19&gt;AE$1185,"",AE1483+AE1763)</f>
        <v>0</v>
      </c>
      <c r="AF1203" s="123">
        <f>IF(tech_base!$T19&gt;AF$1185,"",AF1483+AF1763)</f>
        <v>0</v>
      </c>
      <c r="AG1203" s="123">
        <f>IF(tech_base!$T19&gt;AG$1185,"",AG1483+AG1763)</f>
        <v>0</v>
      </c>
      <c r="AH1203" s="123">
        <f>IF(tech_base!$T19&gt;AH$1185,"",AH1483+AH1763)</f>
        <v>0</v>
      </c>
      <c r="AI1203" s="123">
        <f>IF(tech_base!$T19&gt;AI$1185,"",AI1483+AI1763)</f>
        <v>0</v>
      </c>
      <c r="AJ1203" s="123">
        <f>IF(tech_base!$T19&gt;AJ$1185,"",AJ1483+AJ1763)</f>
        <v>0</v>
      </c>
      <c r="AK1203" s="123">
        <f>IF(tech_base!$T19&gt;AK$1185,"",AK1483+AK1763)</f>
        <v>0</v>
      </c>
      <c r="AL1203" s="123">
        <f>IF(tech_base!$T19&gt;AL$1185,"",AL1483+AL1763)</f>
        <v>0</v>
      </c>
      <c r="AM1203" s="123">
        <f>IF(tech_base!$T19&gt;AM$1185,"",AM1483+AM1763)</f>
        <v>0</v>
      </c>
      <c r="AN1203" s="123">
        <f>IF(tech_base!$T19&gt;AN$1185,"",AN1483+AN1763)</f>
        <v>0</v>
      </c>
      <c r="AO1203" s="123">
        <f>IF(tech_base!$T19&gt;AO$1185,"",AO1483+AO1763)</f>
        <v>0</v>
      </c>
      <c r="AP1203" s="123">
        <f>IF(tech_base!$T19&gt;AP$1185,"",AP1483+AP1763)</f>
        <v>0</v>
      </c>
      <c r="AQ1203" s="123">
        <f>IF(tech_base!$T19&gt;AQ$1185,"",AQ1483+AQ1763)</f>
        <v>0</v>
      </c>
      <c r="AR1203" s="123">
        <f>IF(tech_base!$T19&gt;AR$1185,"",AR1483+AR1763)</f>
        <v>0</v>
      </c>
      <c r="AS1203" s="123">
        <f>IF(tech_base!$T19&gt;AS$1185,"",AS1483+AS1763)</f>
        <v>0</v>
      </c>
      <c r="AT1203" s="123">
        <f>IF(tech_base!$T19&gt;AT$1185,"",AT1483+AT1763)</f>
        <v>0</v>
      </c>
      <c r="AU1203" s="123">
        <f>IF(tech_base!$T19&gt;AU$1185,"",AU1483+AU1763)</f>
        <v>0</v>
      </c>
      <c r="AV1203" s="123">
        <f>IF(tech_base!$T19&gt;AV$1185,"",AV1483+AV1763)</f>
        <v>0</v>
      </c>
      <c r="AW1203" s="123">
        <f>IF(tech_base!$T19&gt;AW$1185,"",AW1483+AW1763)</f>
        <v>0</v>
      </c>
      <c r="AX1203" s="124">
        <f>IF(tech_base!$T19&gt;AX$1185,"",AX1483+AX1763)</f>
        <v>0</v>
      </c>
    </row>
    <row r="1204" spans="1:50" x14ac:dyDescent="0.25">
      <c r="A1204" s="356"/>
      <c r="B1204" s="376"/>
      <c r="C1204" s="379"/>
      <c r="D1204" s="59" t="s">
        <v>8</v>
      </c>
      <c r="E1204" s="166" t="str">
        <f>A1193&amp;"/"&amp;B1201&amp;"/"&amp;C1203&amp;"/"&amp;D1204</f>
        <v>Coal fired power plants/Supercritical steam turbine/CHP/M</v>
      </c>
      <c r="F1204" s="79" t="str">
        <f>A1193</f>
        <v>Coal fired power plants</v>
      </c>
      <c r="G1204" s="79" t="str">
        <f>B1201</f>
        <v>Supercritical steam turbine</v>
      </c>
      <c r="H1204" s="79" t="str">
        <f>C1203</f>
        <v>CHP</v>
      </c>
      <c r="I1204" s="167" t="str">
        <f t="shared" si="372"/>
        <v>M</v>
      </c>
      <c r="J1204" s="125">
        <f>IF(tech_base!$T20&gt;J$1185,"",J1484+J1764)</f>
        <v>0</v>
      </c>
      <c r="K1204" s="125">
        <f>IF(tech_base!$T20&gt;K$1185,"",K1484+K1764)</f>
        <v>0</v>
      </c>
      <c r="L1204" s="125">
        <f>IF(tech_base!$T20&gt;L$1185,"",L1484+L1764)</f>
        <v>0</v>
      </c>
      <c r="M1204" s="125">
        <f>IF(tech_base!$T20&gt;M$1185,"",M1484+M1764)</f>
        <v>0</v>
      </c>
      <c r="N1204" s="125">
        <f>IF(tech_base!$T20&gt;N$1185,"",N1484+N1764)</f>
        <v>0</v>
      </c>
      <c r="O1204" s="125">
        <f>IF(tech_base!$T20&gt;O$1185,"",O1484+O1764)</f>
        <v>0</v>
      </c>
      <c r="P1204" s="125">
        <f>IF(tech_base!$T20&gt;P$1185,"",P1484+P1764)</f>
        <v>0</v>
      </c>
      <c r="Q1204" s="125">
        <f>IF(tech_base!$T20&gt;Q$1185,"",Q1484+Q1764)</f>
        <v>0</v>
      </c>
      <c r="R1204" s="125">
        <f>IF(tech_base!$T20&gt;R$1185,"",R1484+R1764)</f>
        <v>0</v>
      </c>
      <c r="S1204" s="125">
        <f>IF(tech_base!$T20&gt;S$1185,"",S1484+S1764)</f>
        <v>0</v>
      </c>
      <c r="T1204" s="125">
        <f>IF(tech_base!$T20&gt;T$1185,"",T1484+T1764)</f>
        <v>0</v>
      </c>
      <c r="U1204" s="125">
        <f>IF(tech_base!$T20&gt;U$1185,"",U1484+U1764)</f>
        <v>0</v>
      </c>
      <c r="V1204" s="125">
        <f>IF(tech_base!$T20&gt;V$1185,"",V1484+V1764)</f>
        <v>0</v>
      </c>
      <c r="W1204" s="125">
        <f>IF(tech_base!$T20&gt;W$1185,"",W1484+W1764)</f>
        <v>0</v>
      </c>
      <c r="X1204" s="125">
        <f>IF(tech_base!$T20&gt;X$1185,"",X1484+X1764)</f>
        <v>0</v>
      </c>
      <c r="Y1204" s="125">
        <f>IF(tech_base!$T20&gt;Y$1185,"",Y1484+Y1764)</f>
        <v>0</v>
      </c>
      <c r="Z1204" s="125">
        <f>IF(tech_base!$T20&gt;Z$1185,"",Z1484+Z1764)</f>
        <v>0</v>
      </c>
      <c r="AA1204" s="125">
        <f>IF(tech_base!$T20&gt;AA$1185,"",AA1484+AA1764)</f>
        <v>0</v>
      </c>
      <c r="AB1204" s="125">
        <f>IF(tech_base!$T20&gt;AB$1185,"",AB1484+AB1764)</f>
        <v>0</v>
      </c>
      <c r="AC1204" s="125">
        <f>IF(tech_base!$T20&gt;AC$1185,"",AC1484+AC1764)</f>
        <v>0</v>
      </c>
      <c r="AD1204" s="125">
        <f>IF(tech_base!$T20&gt;AD$1185,"",AD1484+AD1764)</f>
        <v>0</v>
      </c>
      <c r="AE1204" s="125">
        <f>IF(tech_base!$T20&gt;AE$1185,"",AE1484+AE1764)</f>
        <v>0</v>
      </c>
      <c r="AF1204" s="125">
        <f>IF(tech_base!$T20&gt;AF$1185,"",AF1484+AF1764)</f>
        <v>0</v>
      </c>
      <c r="AG1204" s="125">
        <f>IF(tech_base!$T20&gt;AG$1185,"",AG1484+AG1764)</f>
        <v>0</v>
      </c>
      <c r="AH1204" s="125">
        <f>IF(tech_base!$T20&gt;AH$1185,"",AH1484+AH1764)</f>
        <v>0</v>
      </c>
      <c r="AI1204" s="125">
        <f>IF(tech_base!$T20&gt;AI$1185,"",AI1484+AI1764)</f>
        <v>0</v>
      </c>
      <c r="AJ1204" s="125">
        <f>IF(tech_base!$T20&gt;AJ$1185,"",AJ1484+AJ1764)</f>
        <v>0</v>
      </c>
      <c r="AK1204" s="125">
        <f>IF(tech_base!$T20&gt;AK$1185,"",AK1484+AK1764)</f>
        <v>0</v>
      </c>
      <c r="AL1204" s="125">
        <f>IF(tech_base!$T20&gt;AL$1185,"",AL1484+AL1764)</f>
        <v>0</v>
      </c>
      <c r="AM1204" s="125">
        <f>IF(tech_base!$T20&gt;AM$1185,"",AM1484+AM1764)</f>
        <v>0</v>
      </c>
      <c r="AN1204" s="125">
        <f>IF(tech_base!$T20&gt;AN$1185,"",AN1484+AN1764)</f>
        <v>0</v>
      </c>
      <c r="AO1204" s="125">
        <f>IF(tech_base!$T20&gt;AO$1185,"",AO1484+AO1764)</f>
        <v>0</v>
      </c>
      <c r="AP1204" s="125">
        <f>IF(tech_base!$T20&gt;AP$1185,"",AP1484+AP1764)</f>
        <v>0</v>
      </c>
      <c r="AQ1204" s="125">
        <f>IF(tech_base!$T20&gt;AQ$1185,"",AQ1484+AQ1764)</f>
        <v>0</v>
      </c>
      <c r="AR1204" s="125">
        <f>IF(tech_base!$T20&gt;AR$1185,"",AR1484+AR1764)</f>
        <v>0</v>
      </c>
      <c r="AS1204" s="125">
        <f>IF(tech_base!$T20&gt;AS$1185,"",AS1484+AS1764)</f>
        <v>0</v>
      </c>
      <c r="AT1204" s="125">
        <f>IF(tech_base!$T20&gt;AT$1185,"",AT1484+AT1764)</f>
        <v>0</v>
      </c>
      <c r="AU1204" s="125">
        <f>IF(tech_base!$T20&gt;AU$1185,"",AU1484+AU1764)</f>
        <v>0</v>
      </c>
      <c r="AV1204" s="125">
        <f>IF(tech_base!$T20&gt;AV$1185,"",AV1484+AV1764)</f>
        <v>0</v>
      </c>
      <c r="AW1204" s="125">
        <f>IF(tech_base!$T20&gt;AW$1185,"",AW1484+AW1764)</f>
        <v>0</v>
      </c>
      <c r="AX1204" s="126">
        <f>IF(tech_base!$T20&gt;AX$1185,"",AX1484+AX1764)</f>
        <v>0</v>
      </c>
    </row>
    <row r="1205" spans="1:50" x14ac:dyDescent="0.25">
      <c r="A1205" s="356"/>
      <c r="B1205" s="376"/>
      <c r="C1205" s="361" t="s">
        <v>15</v>
      </c>
      <c r="D1205" s="58" t="s">
        <v>7</v>
      </c>
      <c r="E1205" s="164" t="str">
        <f>A1193&amp;"/"&amp;B1201&amp;"/"&amp;C1205&amp;"/"&amp;D1205</f>
        <v>Coal fired power plants/Supercritical steam turbine/Electricity only with CCS/L</v>
      </c>
      <c r="F1205" s="78" t="str">
        <f>A1193</f>
        <v>Coal fired power plants</v>
      </c>
      <c r="G1205" s="78" t="str">
        <f>B1201</f>
        <v>Supercritical steam turbine</v>
      </c>
      <c r="H1205" s="78" t="str">
        <f>C1205</f>
        <v>Electricity only with CCS</v>
      </c>
      <c r="I1205" s="165" t="str">
        <f t="shared" si="372"/>
        <v>L</v>
      </c>
      <c r="J1205" s="123" t="str">
        <f>IF(tech_base!$T21&gt;J$1185,"",J1485+J1765)</f>
        <v/>
      </c>
      <c r="K1205" s="123" t="str">
        <f>IF(tech_base!$T21&gt;K$1185,"",K1485+K1765)</f>
        <v/>
      </c>
      <c r="L1205" s="123" t="str">
        <f>IF(tech_base!$T21&gt;L$1185,"",L1485+L1765)</f>
        <v/>
      </c>
      <c r="M1205" s="123" t="str">
        <f>IF(tech_base!$T21&gt;M$1185,"",M1485+M1765)</f>
        <v/>
      </c>
      <c r="N1205" s="123" t="str">
        <f>IF(tech_base!$T21&gt;N$1185,"",N1485+N1765)</f>
        <v/>
      </c>
      <c r="O1205" s="123" t="str">
        <f>IF(tech_base!$T21&gt;O$1185,"",O1485+O1765)</f>
        <v/>
      </c>
      <c r="P1205" s="123" t="str">
        <f>IF(tech_base!$T21&gt;P$1185,"",P1485+P1765)</f>
        <v/>
      </c>
      <c r="Q1205" s="123" t="str">
        <f>IF(tech_base!$T21&gt;Q$1185,"",Q1485+Q1765)</f>
        <v/>
      </c>
      <c r="R1205" s="123" t="str">
        <f>IF(tech_base!$T21&gt;R$1185,"",R1485+R1765)</f>
        <v/>
      </c>
      <c r="S1205" s="123" t="str">
        <f>IF(tech_base!$T21&gt;S$1185,"",S1485+S1765)</f>
        <v/>
      </c>
      <c r="T1205" s="123" t="str">
        <f>IF(tech_base!$T21&gt;T$1185,"",T1485+T1765)</f>
        <v/>
      </c>
      <c r="U1205" s="123" t="str">
        <f>IF(tech_base!$T21&gt;U$1185,"",U1485+U1765)</f>
        <v/>
      </c>
      <c r="V1205" s="123" t="str">
        <f>IF(tech_base!$T21&gt;V$1185,"",V1485+V1765)</f>
        <v/>
      </c>
      <c r="W1205" s="123" t="str">
        <f>IF(tech_base!$T21&gt;W$1185,"",W1485+W1765)</f>
        <v/>
      </c>
      <c r="X1205" s="123" t="str">
        <f>IF(tech_base!$T21&gt;X$1185,"",X1485+X1765)</f>
        <v/>
      </c>
      <c r="Y1205" s="123" t="str">
        <f>IF(tech_base!$T21&gt;Y$1185,"",Y1485+Y1765)</f>
        <v/>
      </c>
      <c r="Z1205" s="123" t="str">
        <f>IF(tech_base!$T21&gt;Z$1185,"",Z1485+Z1765)</f>
        <v/>
      </c>
      <c r="AA1205" s="123" t="str">
        <f>IF(tech_base!$T21&gt;AA$1185,"",AA1485+AA1765)</f>
        <v/>
      </c>
      <c r="AB1205" s="123" t="str">
        <f>IF(tech_base!$T21&gt;AB$1185,"",AB1485+AB1765)</f>
        <v/>
      </c>
      <c r="AC1205" s="123" t="str">
        <f>IF(tech_base!$T21&gt;AC$1185,"",AC1485+AC1765)</f>
        <v/>
      </c>
      <c r="AD1205" s="123" t="str">
        <f>IF(tech_base!$T21&gt;AD$1185,"",AD1485+AD1765)</f>
        <v/>
      </c>
      <c r="AE1205" s="123">
        <f>IF(tech_base!$T21&gt;AE$1185,"",AE1485+AE1765)</f>
        <v>9.8659166255021731</v>
      </c>
      <c r="AF1205" s="123">
        <f>IF(tech_base!$T21&gt;AF$1185,"",AF1485+AF1765)</f>
        <v>9.8647534844992304</v>
      </c>
      <c r="AG1205" s="123">
        <f>IF(tech_base!$T21&gt;AG$1185,"",AG1485+AG1765)</f>
        <v>9.8633366204814923</v>
      </c>
      <c r="AH1205" s="123">
        <f>IF(tech_base!$T21&gt;AH$1185,"",AH1485+AH1765)</f>
        <v>9.8616117031966208</v>
      </c>
      <c r="AI1205" s="123">
        <f>IF(tech_base!$T21&gt;AI$1185,"",AI1485+AI1765)</f>
        <v>9.8595132613270184</v>
      </c>
      <c r="AJ1205" s="123">
        <f>IF(tech_base!$T21&gt;AJ$1185,"",AJ1485+AJ1765)</f>
        <v>9.8569626367820522</v>
      </c>
      <c r="AK1205" s="123">
        <f>IF(tech_base!$T21&gt;AK$1185,"",AK1485+AK1765)</f>
        <v>9.8538656805928966</v>
      </c>
      <c r="AL1205" s="123">
        <f>IF(tech_base!$T21&gt;AL$1185,"",AL1485+AL1765)</f>
        <v>9.8501102190532386</v>
      </c>
      <c r="AM1205" s="123">
        <f>IF(tech_base!$T21&gt;AM$1185,"",AM1485+AM1765)</f>
        <v>9.8455633597860324</v>
      </c>
      <c r="AN1205" s="123">
        <f>IF(tech_base!$T21&gt;AN$1185,"",AN1485+AN1765)</f>
        <v>9.840068769038135</v>
      </c>
      <c r="AO1205" s="123">
        <f>IF(tech_base!$T21&gt;AO$1185,"",AO1485+AO1765)</f>
        <v>9.8334441400560184</v>
      </c>
      <c r="AP1205" s="123">
        <f>IF(tech_base!$T21&gt;AP$1185,"",AP1485+AP1765)</f>
        <v>9.8254791940835435</v>
      </c>
      <c r="AQ1205" s="123">
        <f>IF(tech_base!$T21&gt;AQ$1185,"",AQ1485+AQ1765)</f>
        <v>9.8159347144225304</v>
      </c>
      <c r="AR1205" s="123">
        <f>IF(tech_base!$T21&gt;AR$1185,"",AR1485+AR1765)</f>
        <v>9.8045433083800226</v>
      </c>
      <c r="AS1205" s="123">
        <f>IF(tech_base!$T21&gt;AS$1185,"",AS1485+AS1765)</f>
        <v>9.7910128082997776</v>
      </c>
      <c r="AT1205" s="123">
        <f>IF(tech_base!$T21&gt;AT$1185,"",AT1485+AT1765)</f>
        <v>9.775033427466127</v>
      </c>
      <c r="AU1205" s="123">
        <f>IF(tech_base!$T21&gt;AU$1185,"",AU1485+AU1765)</f>
        <v>9.7562899152191775</v>
      </c>
      <c r="AV1205" s="123">
        <f>IF(tech_base!$T21&gt;AV$1185,"",AV1485+AV1765)</f>
        <v>9.7344799047831021</v>
      </c>
      <c r="AW1205" s="123">
        <f>IF(tech_base!$T21&gt;AW$1185,"",AW1485+AW1765)</f>
        <v>9.7093392749139298</v>
      </c>
      <c r="AX1205" s="124">
        <f>IF(tech_base!$T21&gt;AX$1185,"",AX1485+AX1765)</f>
        <v>9.6806744927567383</v>
      </c>
    </row>
    <row r="1206" spans="1:50" x14ac:dyDescent="0.25">
      <c r="A1206" s="356"/>
      <c r="B1206" s="376"/>
      <c r="C1206" s="379"/>
      <c r="D1206" s="59" t="s">
        <v>8</v>
      </c>
      <c r="E1206" s="166" t="str">
        <f>A1193&amp;"/"&amp;B1201&amp;"/"&amp;C1205&amp;"/"&amp;D1206</f>
        <v>Coal fired power plants/Supercritical steam turbine/Electricity only with CCS/M</v>
      </c>
      <c r="F1206" s="79" t="str">
        <f>A1193</f>
        <v>Coal fired power plants</v>
      </c>
      <c r="G1206" s="79" t="str">
        <f>B1201</f>
        <v>Supercritical steam turbine</v>
      </c>
      <c r="H1206" s="79" t="str">
        <f>C1205</f>
        <v>Electricity only with CCS</v>
      </c>
      <c r="I1206" s="167" t="str">
        <f t="shared" si="372"/>
        <v>M</v>
      </c>
      <c r="J1206" s="125" t="str">
        <f>IF(tech_base!$T22&gt;J$1185,"",J1486+J1766)</f>
        <v/>
      </c>
      <c r="K1206" s="125" t="str">
        <f>IF(tech_base!$T22&gt;K$1185,"",K1486+K1766)</f>
        <v/>
      </c>
      <c r="L1206" s="125" t="str">
        <f>IF(tech_base!$T22&gt;L$1185,"",L1486+L1766)</f>
        <v/>
      </c>
      <c r="M1206" s="125" t="str">
        <f>IF(tech_base!$T22&gt;M$1185,"",M1486+M1766)</f>
        <v/>
      </c>
      <c r="N1206" s="125" t="str">
        <f>IF(tech_base!$T22&gt;N$1185,"",N1486+N1766)</f>
        <v/>
      </c>
      <c r="O1206" s="125" t="str">
        <f>IF(tech_base!$T22&gt;O$1185,"",O1486+O1766)</f>
        <v/>
      </c>
      <c r="P1206" s="125" t="str">
        <f>IF(tech_base!$T22&gt;P$1185,"",P1486+P1766)</f>
        <v/>
      </c>
      <c r="Q1206" s="125" t="str">
        <f>IF(tech_base!$T22&gt;Q$1185,"",Q1486+Q1766)</f>
        <v/>
      </c>
      <c r="R1206" s="125" t="str">
        <f>IF(tech_base!$T22&gt;R$1185,"",R1486+R1766)</f>
        <v/>
      </c>
      <c r="S1206" s="125" t="str">
        <f>IF(tech_base!$T22&gt;S$1185,"",S1486+S1766)</f>
        <v/>
      </c>
      <c r="T1206" s="125" t="str">
        <f>IF(tech_base!$T22&gt;T$1185,"",T1486+T1766)</f>
        <v/>
      </c>
      <c r="U1206" s="125" t="str">
        <f>IF(tech_base!$T22&gt;U$1185,"",U1486+U1766)</f>
        <v/>
      </c>
      <c r="V1206" s="125" t="str">
        <f>IF(tech_base!$T22&gt;V$1185,"",V1486+V1766)</f>
        <v/>
      </c>
      <c r="W1206" s="125" t="str">
        <f>IF(tech_base!$T22&gt;W$1185,"",W1486+W1766)</f>
        <v/>
      </c>
      <c r="X1206" s="125" t="str">
        <f>IF(tech_base!$T22&gt;X$1185,"",X1486+X1766)</f>
        <v/>
      </c>
      <c r="Y1206" s="125" t="str">
        <f>IF(tech_base!$T22&gt;Y$1185,"",Y1486+Y1766)</f>
        <v/>
      </c>
      <c r="Z1206" s="125" t="str">
        <f>IF(tech_base!$T22&gt;Z$1185,"",Z1486+Z1766)</f>
        <v/>
      </c>
      <c r="AA1206" s="125" t="str">
        <f>IF(tech_base!$T22&gt;AA$1185,"",AA1486+AA1766)</f>
        <v/>
      </c>
      <c r="AB1206" s="125" t="str">
        <f>IF(tech_base!$T22&gt;AB$1185,"",AB1486+AB1766)</f>
        <v/>
      </c>
      <c r="AC1206" s="125" t="str">
        <f>IF(tech_base!$T22&gt;AC$1185,"",AC1486+AC1766)</f>
        <v/>
      </c>
      <c r="AD1206" s="125" t="str">
        <f>IF(tech_base!$T22&gt;AD$1185,"",AD1486+AD1766)</f>
        <v/>
      </c>
      <c r="AE1206" s="125">
        <f>IF(tech_base!$T22&gt;AE$1185,"",AE1486+AE1766)</f>
        <v>10.504153829570617</v>
      </c>
      <c r="AF1206" s="125">
        <f>IF(tech_base!$T22&gt;AF$1185,"",AF1486+AF1766)</f>
        <v>10.503483521373646</v>
      </c>
      <c r="AG1206" s="125">
        <f>IF(tech_base!$T22&gt;AG$1185,"",AG1486+AG1766)</f>
        <v>10.50262399317536</v>
      </c>
      <c r="AH1206" s="125">
        <f>IF(tech_base!$T22&gt;AH$1185,"",AH1486+AH1766)</f>
        <v>10.501522252916235</v>
      </c>
      <c r="AI1206" s="125">
        <f>IF(tech_base!$T22&gt;AI$1185,"",AI1486+AI1766)</f>
        <v>10.500110740069953</v>
      </c>
      <c r="AJ1206" s="125">
        <f>IF(tech_base!$T22&gt;AJ$1185,"",AJ1486+AJ1766)</f>
        <v>10.49830349570296</v>
      </c>
      <c r="AK1206" s="125">
        <f>IF(tech_base!$T22&gt;AK$1185,"",AK1486+AK1766)</f>
        <v>10.495991438720038</v>
      </c>
      <c r="AL1206" s="125">
        <f>IF(tech_base!$T22&gt;AL$1185,"",AL1486+AL1766)</f>
        <v>10.493036614009894</v>
      </c>
      <c r="AM1206" s="125">
        <f>IF(tech_base!$T22&gt;AM$1185,"",AM1486+AM1766)</f>
        <v>10.489265310887717</v>
      </c>
      <c r="AN1206" s="125">
        <f>IF(tech_base!$T22&gt;AN$1185,"",AN1486+AN1766)</f>
        <v>10.484460031010538</v>
      </c>
      <c r="AO1206" s="125">
        <f>IF(tech_base!$T22&gt;AO$1185,"",AO1486+AO1766)</f>
        <v>10.478350445357542</v>
      </c>
      <c r="AP1206" s="125">
        <f>IF(tech_base!$T22&gt;AP$1185,"",AP1486+AP1766)</f>
        <v>10.470603764937643</v>
      </c>
      <c r="AQ1206" s="125">
        <f>IF(tech_base!$T22&gt;AQ$1185,"",AQ1486+AQ1766)</f>
        <v>10.460815418604408</v>
      </c>
      <c r="AR1206" s="125">
        <f>IF(tech_base!$T22&gt;AR$1185,"",AR1486+AR1766)</f>
        <v>10.448501650610154</v>
      </c>
      <c r="AS1206" s="125">
        <f>IF(tech_base!$T22&gt;AS$1185,"",AS1486+AS1766)</f>
        <v>10.43309667438332</v>
      </c>
      <c r="AT1206" s="125">
        <f>IF(tech_base!$T22&gt;AT$1185,"",AT1486+AT1766)</f>
        <v>10.413958340754997</v>
      </c>
      <c r="AU1206" s="125">
        <f>IF(tech_base!$T22&gt;AU$1185,"",AU1486+AU1766)</f>
        <v>10.390387741011113</v>
      </c>
      <c r="AV1206" s="125">
        <f>IF(tech_base!$T22&gt;AV$1185,"",AV1486+AV1766)</f>
        <v>10.36166932154075</v>
      </c>
      <c r="AW1206" s="125">
        <f>IF(tech_base!$T22&gt;AW$1185,"",AW1486+AW1766)</f>
        <v>10.327138047931234</v>
      </c>
      <c r="AX1206" s="126">
        <f>IF(tech_base!$T22&gt;AX$1185,"",AX1486+AX1766)</f>
        <v>10.286277534115799</v>
      </c>
    </row>
    <row r="1207" spans="1:50" x14ac:dyDescent="0.25">
      <c r="A1207" s="356"/>
      <c r="B1207" s="376"/>
      <c r="C1207" s="361" t="s">
        <v>16</v>
      </c>
      <c r="D1207" s="2" t="s">
        <v>7</v>
      </c>
      <c r="E1207" s="160" t="str">
        <f>A1193&amp;"/"&amp;B1201&amp;"/"&amp;C1207&amp;"/"&amp;D1207</f>
        <v>Coal fired power plants/Supercritical steam turbine/CHP with CCS/L</v>
      </c>
      <c r="F1207" s="76" t="str">
        <f>A1193</f>
        <v>Coal fired power plants</v>
      </c>
      <c r="G1207" s="76" t="str">
        <f>B1201</f>
        <v>Supercritical steam turbine</v>
      </c>
      <c r="H1207" s="76" t="str">
        <f>C1207</f>
        <v>CHP with CCS</v>
      </c>
      <c r="I1207" s="161" t="str">
        <f t="shared" si="372"/>
        <v>L</v>
      </c>
      <c r="J1207" s="119" t="str">
        <f>IF(tech_base!$T23&gt;J$1185,"",J1487+J1767)</f>
        <v/>
      </c>
      <c r="K1207" s="119" t="str">
        <f>IF(tech_base!$T23&gt;K$1185,"",K1487+K1767)</f>
        <v/>
      </c>
      <c r="L1207" s="119" t="str">
        <f>IF(tech_base!$T23&gt;L$1185,"",L1487+L1767)</f>
        <v/>
      </c>
      <c r="M1207" s="119" t="str">
        <f>IF(tech_base!$T23&gt;M$1185,"",M1487+M1767)</f>
        <v/>
      </c>
      <c r="N1207" s="119" t="str">
        <f>IF(tech_base!$T23&gt;N$1185,"",N1487+N1767)</f>
        <v/>
      </c>
      <c r="O1207" s="119" t="str">
        <f>IF(tech_base!$T23&gt;O$1185,"",O1487+O1767)</f>
        <v/>
      </c>
      <c r="P1207" s="119" t="str">
        <f>IF(tech_base!$T23&gt;P$1185,"",P1487+P1767)</f>
        <v/>
      </c>
      <c r="Q1207" s="119" t="str">
        <f>IF(tech_base!$T23&gt;Q$1185,"",Q1487+Q1767)</f>
        <v/>
      </c>
      <c r="R1207" s="119" t="str">
        <f>IF(tech_base!$T23&gt;R$1185,"",R1487+R1767)</f>
        <v/>
      </c>
      <c r="S1207" s="119" t="str">
        <f>IF(tech_base!$T23&gt;S$1185,"",S1487+S1767)</f>
        <v/>
      </c>
      <c r="T1207" s="119" t="str">
        <f>IF(tech_base!$T23&gt;T$1185,"",T1487+T1767)</f>
        <v/>
      </c>
      <c r="U1207" s="119" t="str">
        <f>IF(tech_base!$T23&gt;U$1185,"",U1487+U1767)</f>
        <v/>
      </c>
      <c r="V1207" s="119" t="str">
        <f>IF(tech_base!$T23&gt;V$1185,"",V1487+V1767)</f>
        <v/>
      </c>
      <c r="W1207" s="119" t="str">
        <f>IF(tech_base!$T23&gt;W$1185,"",W1487+W1767)</f>
        <v/>
      </c>
      <c r="X1207" s="119" t="str">
        <f>IF(tech_base!$T23&gt;X$1185,"",X1487+X1767)</f>
        <v/>
      </c>
      <c r="Y1207" s="119" t="str">
        <f>IF(tech_base!$T23&gt;Y$1185,"",Y1487+Y1767)</f>
        <v/>
      </c>
      <c r="Z1207" s="119" t="str">
        <f>IF(tech_base!$T23&gt;Z$1185,"",Z1487+Z1767)</f>
        <v/>
      </c>
      <c r="AA1207" s="119" t="str">
        <f>IF(tech_base!$T23&gt;AA$1185,"",AA1487+AA1767)</f>
        <v/>
      </c>
      <c r="AB1207" s="119" t="str">
        <f>IF(tech_base!$T23&gt;AB$1185,"",AB1487+AB1767)</f>
        <v/>
      </c>
      <c r="AC1207" s="119" t="str">
        <f>IF(tech_base!$T23&gt;AC$1185,"",AC1487+AC1767)</f>
        <v/>
      </c>
      <c r="AD1207" s="119" t="str">
        <f>IF(tech_base!$T23&gt;AD$1185,"",AD1487+AD1767)</f>
        <v/>
      </c>
      <c r="AE1207" s="119">
        <f>IF(tech_base!$T23&gt;AE$1185,"",AE1487+AE1767)</f>
        <v>11.154472222542976</v>
      </c>
      <c r="AF1207" s="119">
        <f>IF(tech_base!$T23&gt;AF$1185,"",AF1487+AF1767)</f>
        <v>11.153376767449899</v>
      </c>
      <c r="AG1207" s="119">
        <f>IF(tech_base!$T23&gt;AG$1185,"",AG1487+AG1767)</f>
        <v>11.152042441521292</v>
      </c>
      <c r="AH1207" s="119">
        <f>IF(tech_base!$T23&gt;AH$1185,"",AH1487+AH1767)</f>
        <v>11.150418137383708</v>
      </c>
      <c r="AI1207" s="119">
        <f>IF(tech_base!$T23&gt;AI$1185,"",AI1487+AI1767)</f>
        <v>11.148442288224549</v>
      </c>
      <c r="AJ1207" s="119">
        <f>IF(tech_base!$T23&gt;AJ$1185,"",AJ1487+AJ1767)</f>
        <v>11.146040957506768</v>
      </c>
      <c r="AK1207" s="119">
        <f>IF(tech_base!$T23&gt;AK$1185,"",AK1487+AK1767)</f>
        <v>11.143125692826636</v>
      </c>
      <c r="AL1207" s="119">
        <f>IF(tech_base!$T23&gt;AL$1185,"",AL1487+AL1767)</f>
        <v>11.139591174036768</v>
      </c>
      <c r="AM1207" s="119">
        <f>IF(tech_base!$T23&gt;AM$1185,"",AM1487+AM1767)</f>
        <v>11.13531272551875</v>
      </c>
      <c r="AN1207" s="119">
        <f>IF(tech_base!$T23&gt;AN$1185,"",AN1487+AN1767)</f>
        <v>11.130143821873093</v>
      </c>
      <c r="AO1207" s="119">
        <f>IF(tech_base!$T23&gt;AO$1185,"",AO1487+AO1767)</f>
        <v>11.123913801183949</v>
      </c>
      <c r="AP1207" s="119">
        <f>IF(tech_base!$T23&gt;AP$1185,"",AP1487+AP1767)</f>
        <v>11.116426116010766</v>
      </c>
      <c r="AQ1207" s="119">
        <f>IF(tech_base!$T23&gt;AQ$1185,"",AQ1487+AQ1767)</f>
        <v>11.107457602679784</v>
      </c>
      <c r="AR1207" s="119">
        <f>IF(tech_base!$T23&gt;AR$1185,"",AR1487+AR1767)</f>
        <v>11.096759431725397</v>
      </c>
      <c r="AS1207" s="119">
        <f>IF(tech_base!$T23&gt;AS$1185,"",AS1487+AS1767)</f>
        <v>11.084060602224982</v>
      </c>
      <c r="AT1207" s="119">
        <f>IF(tech_base!$T23&gt;AT$1185,"",AT1487+AT1767)</f>
        <v>11.06907502625201</v>
      </c>
      <c r="AU1207" s="119">
        <f>IF(tech_base!$T23&gt;AU$1185,"",AU1487+AU1767)</f>
        <v>11.051513353464404</v>
      </c>
      <c r="AV1207" s="119">
        <f>IF(tech_base!$T23&gt;AV$1185,"",AV1487+AV1767)</f>
        <v>11.0311006100267</v>
      </c>
      <c r="AW1207" s="119">
        <f>IF(tech_base!$T23&gt;AW$1185,"",AW1487+AW1767)</f>
        <v>11.007600336002371</v>
      </c>
      <c r="AX1207" s="120">
        <f>IF(tech_base!$T23&gt;AX$1185,"",AX1487+AX1767)</f>
        <v>10.980845054636633</v>
      </c>
    </row>
    <row r="1208" spans="1:50" x14ac:dyDescent="0.25">
      <c r="A1208" s="356"/>
      <c r="B1208" s="380"/>
      <c r="C1208" s="381"/>
      <c r="D1208" s="4" t="s">
        <v>8</v>
      </c>
      <c r="E1208" s="168" t="str">
        <f>A1193&amp;"/"&amp;B1201&amp;"/"&amp;C1207&amp;"/"&amp;D1208</f>
        <v>Coal fired power plants/Supercritical steam turbine/CHP with CCS/M</v>
      </c>
      <c r="F1208" s="80" t="str">
        <f>A1193</f>
        <v>Coal fired power plants</v>
      </c>
      <c r="G1208" s="80" t="str">
        <f>B1201</f>
        <v>Supercritical steam turbine</v>
      </c>
      <c r="H1208" s="80" t="str">
        <f>C1207</f>
        <v>CHP with CCS</v>
      </c>
      <c r="I1208" s="169" t="str">
        <f t="shared" si="372"/>
        <v>M</v>
      </c>
      <c r="J1208" s="127" t="str">
        <f>IF(tech_base!$T24&gt;J$1185,"",J1488+J1768)</f>
        <v/>
      </c>
      <c r="K1208" s="127" t="str">
        <f>IF(tech_base!$T24&gt;K$1185,"",K1488+K1768)</f>
        <v/>
      </c>
      <c r="L1208" s="127" t="str">
        <f>IF(tech_base!$T24&gt;L$1185,"",L1488+L1768)</f>
        <v/>
      </c>
      <c r="M1208" s="127" t="str">
        <f>IF(tech_base!$T24&gt;M$1185,"",M1488+M1768)</f>
        <v/>
      </c>
      <c r="N1208" s="127" t="str">
        <f>IF(tech_base!$T24&gt;N$1185,"",N1488+N1768)</f>
        <v/>
      </c>
      <c r="O1208" s="127" t="str">
        <f>IF(tech_base!$T24&gt;O$1185,"",O1488+O1768)</f>
        <v/>
      </c>
      <c r="P1208" s="127" t="str">
        <f>IF(tech_base!$T24&gt;P$1185,"",P1488+P1768)</f>
        <v/>
      </c>
      <c r="Q1208" s="127" t="str">
        <f>IF(tech_base!$T24&gt;Q$1185,"",Q1488+Q1768)</f>
        <v/>
      </c>
      <c r="R1208" s="127" t="str">
        <f>IF(tech_base!$T24&gt;R$1185,"",R1488+R1768)</f>
        <v/>
      </c>
      <c r="S1208" s="127" t="str">
        <f>IF(tech_base!$T24&gt;S$1185,"",S1488+S1768)</f>
        <v/>
      </c>
      <c r="T1208" s="127" t="str">
        <f>IF(tech_base!$T24&gt;T$1185,"",T1488+T1768)</f>
        <v/>
      </c>
      <c r="U1208" s="127" t="str">
        <f>IF(tech_base!$T24&gt;U$1185,"",U1488+U1768)</f>
        <v/>
      </c>
      <c r="V1208" s="127" t="str">
        <f>IF(tech_base!$T24&gt;V$1185,"",V1488+V1768)</f>
        <v/>
      </c>
      <c r="W1208" s="127" t="str">
        <f>IF(tech_base!$T24&gt;W$1185,"",W1488+W1768)</f>
        <v/>
      </c>
      <c r="X1208" s="127" t="str">
        <f>IF(tech_base!$T24&gt;X$1185,"",X1488+X1768)</f>
        <v/>
      </c>
      <c r="Y1208" s="127" t="str">
        <f>IF(tech_base!$T24&gt;Y$1185,"",Y1488+Y1768)</f>
        <v/>
      </c>
      <c r="Z1208" s="127" t="str">
        <f>IF(tech_base!$T24&gt;Z$1185,"",Z1488+Z1768)</f>
        <v/>
      </c>
      <c r="AA1208" s="127" t="str">
        <f>IF(tech_base!$T24&gt;AA$1185,"",AA1488+AA1768)</f>
        <v/>
      </c>
      <c r="AB1208" s="127" t="str">
        <f>IF(tech_base!$T24&gt;AB$1185,"",AB1488+AB1768)</f>
        <v/>
      </c>
      <c r="AC1208" s="127" t="str">
        <f>IF(tech_base!$T24&gt;AC$1185,"",AC1488+AC1768)</f>
        <v/>
      </c>
      <c r="AD1208" s="127" t="str">
        <f>IF(tech_base!$T24&gt;AD$1185,"",AD1488+AD1768)</f>
        <v/>
      </c>
      <c r="AE1208" s="127">
        <f>IF(tech_base!$T24&gt;AE$1185,"",AE1488+AE1768)</f>
        <v>11.896651576708875</v>
      </c>
      <c r="AF1208" s="127">
        <f>IF(tech_base!$T24&gt;AF$1185,"",AF1488+AF1768)</f>
        <v>11.896009301872224</v>
      </c>
      <c r="AG1208" s="127">
        <f>IF(tech_base!$T24&gt;AG$1185,"",AG1488+AG1768)</f>
        <v>11.895185748226437</v>
      </c>
      <c r="AH1208" s="127">
        <f>IF(tech_base!$T24&gt;AH$1185,"",AH1488+AH1768)</f>
        <v>11.894130165572681</v>
      </c>
      <c r="AI1208" s="127">
        <f>IF(tech_base!$T24&gt;AI$1185,"",AI1488+AI1768)</f>
        <v>11.892777863120724</v>
      </c>
      <c r="AJ1208" s="127">
        <f>IF(tech_base!$T24&gt;AJ$1185,"",AJ1488+AJ1768)</f>
        <v>11.891046552104013</v>
      </c>
      <c r="AK1208" s="127">
        <f>IF(tech_base!$T24&gt;AK$1185,"",AK1488+AK1768)</f>
        <v>11.888831839819879</v>
      </c>
      <c r="AL1208" s="127">
        <f>IF(tech_base!$T24&gt;AL$1185,"",AL1488+AL1768)</f>
        <v>11.886001751188925</v>
      </c>
      <c r="AM1208" s="127">
        <f>IF(tech_base!$T24&gt;AM$1185,"",AM1488+AM1768)</f>
        <v>11.882390187938347</v>
      </c>
      <c r="AN1208" s="127">
        <f>IF(tech_base!$T24&gt;AN$1185,"",AN1488+AN1768)</f>
        <v>11.877789316933962</v>
      </c>
      <c r="AO1208" s="127">
        <f>IF(tech_base!$T24&gt;AO$1185,"",AO1488+AO1768)</f>
        <v>11.871941038675143</v>
      </c>
      <c r="AP1208" s="127">
        <f>IF(tech_base!$T24&gt;AP$1185,"",AP1488+AP1768)</f>
        <v>11.864527967988348</v>
      </c>
      <c r="AQ1208" s="127">
        <f>IF(tech_base!$T24&gt;AQ$1185,"",AQ1488+AQ1768)</f>
        <v>11.855164817874437</v>
      </c>
      <c r="AR1208" s="127">
        <f>IF(tech_base!$T24&gt;AR$1185,"",AR1488+AR1768)</f>
        <v>11.843391776920884</v>
      </c>
      <c r="AS1208" s="127">
        <f>IF(tech_base!$T24&gt;AS$1185,"",AS1488+AS1768)</f>
        <v>11.828672458277723</v>
      </c>
      <c r="AT1208" s="127">
        <f>IF(tech_base!$T24&gt;AT$1185,"",AT1488+AT1768)</f>
        <v>11.810400258247659</v>
      </c>
      <c r="AU1208" s="127">
        <f>IF(tech_base!$T24&gt;AU$1185,"",AU1488+AU1768)</f>
        <v>11.787918327221151</v>
      </c>
      <c r="AV1208" s="127">
        <f>IF(tech_base!$T24&gt;AV$1185,"",AV1488+AV1768)</f>
        <v>11.760559371734635</v>
      </c>
      <c r="AW1208" s="127">
        <f>IF(tech_base!$T24&gt;AW$1185,"",AW1488+AW1768)</f>
        <v>11.727711292307221</v>
      </c>
      <c r="AX1208" s="128">
        <f>IF(tech_base!$T24&gt;AX$1185,"",AX1488+AX1768)</f>
        <v>11.688911875388481</v>
      </c>
    </row>
    <row r="1209" spans="1:50" x14ac:dyDescent="0.25">
      <c r="A1209" s="356"/>
      <c r="B1209" s="358" t="s">
        <v>18</v>
      </c>
      <c r="C1209" s="353" t="s">
        <v>6</v>
      </c>
      <c r="D1209" s="3" t="s">
        <v>7</v>
      </c>
      <c r="E1209" s="162" t="str">
        <f>A1193&amp;"/"&amp;B1209&amp;"/"&amp;C1209&amp;"/"&amp;D1209</f>
        <v>Coal fired power plants/Fluidized bed combustion/Electricity only/L</v>
      </c>
      <c r="F1209" s="77" t="str">
        <f>A1193</f>
        <v>Coal fired power plants</v>
      </c>
      <c r="G1209" s="77" t="str">
        <f>B1209</f>
        <v>Fluidized bed combustion</v>
      </c>
      <c r="H1209" s="77" t="str">
        <f>C1209</f>
        <v>Electricity only</v>
      </c>
      <c r="I1209" s="163" t="str">
        <f t="shared" si="372"/>
        <v>L</v>
      </c>
      <c r="J1209" s="121">
        <f>IF(tech_base!$T25&gt;J$1185,"",J1489+J1769)</f>
        <v>0</v>
      </c>
      <c r="K1209" s="121">
        <f>IF(tech_base!$T25&gt;K$1185,"",K1489+K1769)</f>
        <v>0</v>
      </c>
      <c r="L1209" s="121">
        <f>IF(tech_base!$T25&gt;L$1185,"",L1489+L1769)</f>
        <v>0</v>
      </c>
      <c r="M1209" s="121">
        <f>IF(tech_base!$T25&gt;M$1185,"",M1489+M1769)</f>
        <v>0</v>
      </c>
      <c r="N1209" s="121">
        <f>IF(tech_base!$T25&gt;N$1185,"",N1489+N1769)</f>
        <v>0</v>
      </c>
      <c r="O1209" s="121">
        <f>IF(tech_base!$T25&gt;O$1185,"",O1489+O1769)</f>
        <v>0</v>
      </c>
      <c r="P1209" s="121">
        <f>IF(tech_base!$T25&gt;P$1185,"",P1489+P1769)</f>
        <v>0</v>
      </c>
      <c r="Q1209" s="121">
        <f>IF(tech_base!$T25&gt;Q$1185,"",Q1489+Q1769)</f>
        <v>0</v>
      </c>
      <c r="R1209" s="121">
        <f>IF(tech_base!$T25&gt;R$1185,"",R1489+R1769)</f>
        <v>0</v>
      </c>
      <c r="S1209" s="121">
        <f>IF(tech_base!$T25&gt;S$1185,"",S1489+S1769)</f>
        <v>0</v>
      </c>
      <c r="T1209" s="121">
        <f>IF(tech_base!$T25&gt;T$1185,"",T1489+T1769)</f>
        <v>0</v>
      </c>
      <c r="U1209" s="121">
        <f>IF(tech_base!$T25&gt;U$1185,"",U1489+U1769)</f>
        <v>0</v>
      </c>
      <c r="V1209" s="121">
        <f>IF(tech_base!$T25&gt;V$1185,"",V1489+V1769)</f>
        <v>0</v>
      </c>
      <c r="W1209" s="121">
        <f>IF(tech_base!$T25&gt;W$1185,"",W1489+W1769)</f>
        <v>0</v>
      </c>
      <c r="X1209" s="121">
        <f>IF(tech_base!$T25&gt;X$1185,"",X1489+X1769)</f>
        <v>0</v>
      </c>
      <c r="Y1209" s="121">
        <f>IF(tech_base!$T25&gt;Y$1185,"",Y1489+Y1769)</f>
        <v>0</v>
      </c>
      <c r="Z1209" s="121">
        <f>IF(tech_base!$T25&gt;Z$1185,"",Z1489+Z1769)</f>
        <v>0</v>
      </c>
      <c r="AA1209" s="121">
        <f>IF(tech_base!$T25&gt;AA$1185,"",AA1489+AA1769)</f>
        <v>0</v>
      </c>
      <c r="AB1209" s="121">
        <f>IF(tech_base!$T25&gt;AB$1185,"",AB1489+AB1769)</f>
        <v>0</v>
      </c>
      <c r="AC1209" s="121">
        <f>IF(tech_base!$T25&gt;AC$1185,"",AC1489+AC1769)</f>
        <v>0</v>
      </c>
      <c r="AD1209" s="121">
        <f>IF(tech_base!$T25&gt;AD$1185,"",AD1489+AD1769)</f>
        <v>0</v>
      </c>
      <c r="AE1209" s="121">
        <f>IF(tech_base!$T25&gt;AE$1185,"",AE1489+AE1769)</f>
        <v>0</v>
      </c>
      <c r="AF1209" s="121">
        <f>IF(tech_base!$T25&gt;AF$1185,"",AF1489+AF1769)</f>
        <v>0</v>
      </c>
      <c r="AG1209" s="121">
        <f>IF(tech_base!$T25&gt;AG$1185,"",AG1489+AG1769)</f>
        <v>0</v>
      </c>
      <c r="AH1209" s="121">
        <f>IF(tech_base!$T25&gt;AH$1185,"",AH1489+AH1769)</f>
        <v>0</v>
      </c>
      <c r="AI1209" s="121">
        <f>IF(tech_base!$T25&gt;AI$1185,"",AI1489+AI1769)</f>
        <v>0</v>
      </c>
      <c r="AJ1209" s="121">
        <f>IF(tech_base!$T25&gt;AJ$1185,"",AJ1489+AJ1769)</f>
        <v>0</v>
      </c>
      <c r="AK1209" s="121">
        <f>IF(tech_base!$T25&gt;AK$1185,"",AK1489+AK1769)</f>
        <v>0</v>
      </c>
      <c r="AL1209" s="121">
        <f>IF(tech_base!$T25&gt;AL$1185,"",AL1489+AL1769)</f>
        <v>0</v>
      </c>
      <c r="AM1209" s="121">
        <f>IF(tech_base!$T25&gt;AM$1185,"",AM1489+AM1769)</f>
        <v>0</v>
      </c>
      <c r="AN1209" s="121">
        <f>IF(tech_base!$T25&gt;AN$1185,"",AN1489+AN1769)</f>
        <v>0</v>
      </c>
      <c r="AO1209" s="121">
        <f>IF(tech_base!$T25&gt;AO$1185,"",AO1489+AO1769)</f>
        <v>0</v>
      </c>
      <c r="AP1209" s="121">
        <f>IF(tech_base!$T25&gt;AP$1185,"",AP1489+AP1769)</f>
        <v>0</v>
      </c>
      <c r="AQ1209" s="121">
        <f>IF(tech_base!$T25&gt;AQ$1185,"",AQ1489+AQ1769)</f>
        <v>0</v>
      </c>
      <c r="AR1209" s="121">
        <f>IF(tech_base!$T25&gt;AR$1185,"",AR1489+AR1769)</f>
        <v>0</v>
      </c>
      <c r="AS1209" s="121">
        <f>IF(tech_base!$T25&gt;AS$1185,"",AS1489+AS1769)</f>
        <v>0</v>
      </c>
      <c r="AT1209" s="121">
        <f>IF(tech_base!$T25&gt;AT$1185,"",AT1489+AT1769)</f>
        <v>0</v>
      </c>
      <c r="AU1209" s="121">
        <f>IF(tech_base!$T25&gt;AU$1185,"",AU1489+AU1769)</f>
        <v>0</v>
      </c>
      <c r="AV1209" s="121">
        <f>IF(tech_base!$T25&gt;AV$1185,"",AV1489+AV1769)</f>
        <v>0</v>
      </c>
      <c r="AW1209" s="121">
        <f>IF(tech_base!$T25&gt;AW$1185,"",AW1489+AW1769)</f>
        <v>0</v>
      </c>
      <c r="AX1209" s="122">
        <f>IF(tech_base!$T25&gt;AX$1185,"",AX1489+AX1769)</f>
        <v>0</v>
      </c>
    </row>
    <row r="1210" spans="1:50" x14ac:dyDescent="0.25">
      <c r="A1210" s="356"/>
      <c r="B1210" s="376"/>
      <c r="C1210" s="378"/>
      <c r="D1210" s="2" t="s">
        <v>8</v>
      </c>
      <c r="E1210" s="160" t="str">
        <f>A1193&amp;"/"&amp;B1209&amp;"/"&amp;C1209&amp;"/"&amp;D1210</f>
        <v>Coal fired power plants/Fluidized bed combustion/Electricity only/M</v>
      </c>
      <c r="F1210" s="76" t="str">
        <f>A1193</f>
        <v>Coal fired power plants</v>
      </c>
      <c r="G1210" s="76" t="str">
        <f>B1209</f>
        <v>Fluidized bed combustion</v>
      </c>
      <c r="H1210" s="76" t="str">
        <f>C1209</f>
        <v>Electricity only</v>
      </c>
      <c r="I1210" s="161" t="str">
        <f t="shared" si="372"/>
        <v>M</v>
      </c>
      <c r="J1210" s="119">
        <f>IF(tech_base!$T26&gt;J$1185,"",J1490+J1770)</f>
        <v>0</v>
      </c>
      <c r="K1210" s="119">
        <f>IF(tech_base!$T26&gt;K$1185,"",K1490+K1770)</f>
        <v>0</v>
      </c>
      <c r="L1210" s="119">
        <f>IF(tech_base!$T26&gt;L$1185,"",L1490+L1770)</f>
        <v>0</v>
      </c>
      <c r="M1210" s="119">
        <f>IF(tech_base!$T26&gt;M$1185,"",M1490+M1770)</f>
        <v>0</v>
      </c>
      <c r="N1210" s="119">
        <f>IF(tech_base!$T26&gt;N$1185,"",N1490+N1770)</f>
        <v>0</v>
      </c>
      <c r="O1210" s="119">
        <f>IF(tech_base!$T26&gt;O$1185,"",O1490+O1770)</f>
        <v>0</v>
      </c>
      <c r="P1210" s="119">
        <f>IF(tech_base!$T26&gt;P$1185,"",P1490+P1770)</f>
        <v>0</v>
      </c>
      <c r="Q1210" s="119">
        <f>IF(tech_base!$T26&gt;Q$1185,"",Q1490+Q1770)</f>
        <v>0</v>
      </c>
      <c r="R1210" s="119">
        <f>IF(tech_base!$T26&gt;R$1185,"",R1490+R1770)</f>
        <v>0</v>
      </c>
      <c r="S1210" s="119">
        <f>IF(tech_base!$T26&gt;S$1185,"",S1490+S1770)</f>
        <v>0</v>
      </c>
      <c r="T1210" s="119">
        <f>IF(tech_base!$T26&gt;T$1185,"",T1490+T1770)</f>
        <v>0</v>
      </c>
      <c r="U1210" s="119">
        <f>IF(tech_base!$T26&gt;U$1185,"",U1490+U1770)</f>
        <v>0</v>
      </c>
      <c r="V1210" s="119">
        <f>IF(tech_base!$T26&gt;V$1185,"",V1490+V1770)</f>
        <v>0</v>
      </c>
      <c r="W1210" s="119">
        <f>IF(tech_base!$T26&gt;W$1185,"",W1490+W1770)</f>
        <v>0</v>
      </c>
      <c r="X1210" s="119">
        <f>IF(tech_base!$T26&gt;X$1185,"",X1490+X1770)</f>
        <v>0</v>
      </c>
      <c r="Y1210" s="119">
        <f>IF(tech_base!$T26&gt;Y$1185,"",Y1490+Y1770)</f>
        <v>0</v>
      </c>
      <c r="Z1210" s="119">
        <f>IF(tech_base!$T26&gt;Z$1185,"",Z1490+Z1770)</f>
        <v>0</v>
      </c>
      <c r="AA1210" s="119">
        <f>IF(tech_base!$T26&gt;AA$1185,"",AA1490+AA1770)</f>
        <v>0</v>
      </c>
      <c r="AB1210" s="119">
        <f>IF(tech_base!$T26&gt;AB$1185,"",AB1490+AB1770)</f>
        <v>0</v>
      </c>
      <c r="AC1210" s="119">
        <f>IF(tech_base!$T26&gt;AC$1185,"",AC1490+AC1770)</f>
        <v>0</v>
      </c>
      <c r="AD1210" s="119">
        <f>IF(tech_base!$T26&gt;AD$1185,"",AD1490+AD1770)</f>
        <v>0</v>
      </c>
      <c r="AE1210" s="119">
        <f>IF(tech_base!$T26&gt;AE$1185,"",AE1490+AE1770)</f>
        <v>0</v>
      </c>
      <c r="AF1210" s="119">
        <f>IF(tech_base!$T26&gt;AF$1185,"",AF1490+AF1770)</f>
        <v>0</v>
      </c>
      <c r="AG1210" s="119">
        <f>IF(tech_base!$T26&gt;AG$1185,"",AG1490+AG1770)</f>
        <v>0</v>
      </c>
      <c r="AH1210" s="119">
        <f>IF(tech_base!$T26&gt;AH$1185,"",AH1490+AH1770)</f>
        <v>0</v>
      </c>
      <c r="AI1210" s="119">
        <f>IF(tech_base!$T26&gt;AI$1185,"",AI1490+AI1770)</f>
        <v>0</v>
      </c>
      <c r="AJ1210" s="119">
        <f>IF(tech_base!$T26&gt;AJ$1185,"",AJ1490+AJ1770)</f>
        <v>0</v>
      </c>
      <c r="AK1210" s="119">
        <f>IF(tech_base!$T26&gt;AK$1185,"",AK1490+AK1770)</f>
        <v>0</v>
      </c>
      <c r="AL1210" s="119">
        <f>IF(tech_base!$T26&gt;AL$1185,"",AL1490+AL1770)</f>
        <v>0</v>
      </c>
      <c r="AM1210" s="119">
        <f>IF(tech_base!$T26&gt;AM$1185,"",AM1490+AM1770)</f>
        <v>0</v>
      </c>
      <c r="AN1210" s="119">
        <f>IF(tech_base!$T26&gt;AN$1185,"",AN1490+AN1770)</f>
        <v>0</v>
      </c>
      <c r="AO1210" s="119">
        <f>IF(tech_base!$T26&gt;AO$1185,"",AO1490+AO1770)</f>
        <v>0</v>
      </c>
      <c r="AP1210" s="119">
        <f>IF(tech_base!$T26&gt;AP$1185,"",AP1490+AP1770)</f>
        <v>0</v>
      </c>
      <c r="AQ1210" s="119">
        <f>IF(tech_base!$T26&gt;AQ$1185,"",AQ1490+AQ1770)</f>
        <v>0</v>
      </c>
      <c r="AR1210" s="119">
        <f>IF(tech_base!$T26&gt;AR$1185,"",AR1490+AR1770)</f>
        <v>0</v>
      </c>
      <c r="AS1210" s="119">
        <f>IF(tech_base!$T26&gt;AS$1185,"",AS1490+AS1770)</f>
        <v>0</v>
      </c>
      <c r="AT1210" s="119">
        <f>IF(tech_base!$T26&gt;AT$1185,"",AT1490+AT1770)</f>
        <v>0</v>
      </c>
      <c r="AU1210" s="119">
        <f>IF(tech_base!$T26&gt;AU$1185,"",AU1490+AU1770)</f>
        <v>0</v>
      </c>
      <c r="AV1210" s="119">
        <f>IF(tech_base!$T26&gt;AV$1185,"",AV1490+AV1770)</f>
        <v>0</v>
      </c>
      <c r="AW1210" s="119">
        <f>IF(tech_base!$T26&gt;AW$1185,"",AW1490+AW1770)</f>
        <v>0</v>
      </c>
      <c r="AX1210" s="120">
        <f>IF(tech_base!$T26&gt;AX$1185,"",AX1490+AX1770)</f>
        <v>0</v>
      </c>
    </row>
    <row r="1211" spans="1:50" x14ac:dyDescent="0.25">
      <c r="A1211" s="356"/>
      <c r="B1211" s="376"/>
      <c r="C1211" s="379"/>
      <c r="D1211" s="2" t="s">
        <v>10</v>
      </c>
      <c r="E1211" s="160" t="str">
        <f>A1193&amp;"/"&amp;B1209&amp;"/"&amp;C1209&amp;"/"&amp;D1211</f>
        <v>Coal fired power plants/Fluidized bed combustion/Electricity only/S</v>
      </c>
      <c r="F1211" s="76" t="str">
        <f>A1193</f>
        <v>Coal fired power plants</v>
      </c>
      <c r="G1211" s="76" t="str">
        <f>B1209</f>
        <v>Fluidized bed combustion</v>
      </c>
      <c r="H1211" s="76" t="str">
        <f>C1209</f>
        <v>Electricity only</v>
      </c>
      <c r="I1211" s="161" t="str">
        <f t="shared" si="372"/>
        <v>S</v>
      </c>
      <c r="J1211" s="119">
        <f>IF(tech_base!$T27&gt;J$1185,"",J1491+J1771)</f>
        <v>0</v>
      </c>
      <c r="K1211" s="119">
        <f>IF(tech_base!$T27&gt;K$1185,"",K1491+K1771)</f>
        <v>0</v>
      </c>
      <c r="L1211" s="119">
        <f>IF(tech_base!$T27&gt;L$1185,"",L1491+L1771)</f>
        <v>0</v>
      </c>
      <c r="M1211" s="119">
        <f>IF(tech_base!$T27&gt;M$1185,"",M1491+M1771)</f>
        <v>0</v>
      </c>
      <c r="N1211" s="119">
        <f>IF(tech_base!$T27&gt;N$1185,"",N1491+N1771)</f>
        <v>0</v>
      </c>
      <c r="O1211" s="119">
        <f>IF(tech_base!$T27&gt;O$1185,"",O1491+O1771)</f>
        <v>0</v>
      </c>
      <c r="P1211" s="119">
        <f>IF(tech_base!$T27&gt;P$1185,"",P1491+P1771)</f>
        <v>0</v>
      </c>
      <c r="Q1211" s="119">
        <f>IF(tech_base!$T27&gt;Q$1185,"",Q1491+Q1771)</f>
        <v>0</v>
      </c>
      <c r="R1211" s="119">
        <f>IF(tech_base!$T27&gt;R$1185,"",R1491+R1771)</f>
        <v>0</v>
      </c>
      <c r="S1211" s="119">
        <f>IF(tech_base!$T27&gt;S$1185,"",S1491+S1771)</f>
        <v>0</v>
      </c>
      <c r="T1211" s="119">
        <f>IF(tech_base!$T27&gt;T$1185,"",T1491+T1771)</f>
        <v>0</v>
      </c>
      <c r="U1211" s="119">
        <f>IF(tech_base!$T27&gt;U$1185,"",U1491+U1771)</f>
        <v>0</v>
      </c>
      <c r="V1211" s="119">
        <f>IF(tech_base!$T27&gt;V$1185,"",V1491+V1771)</f>
        <v>0</v>
      </c>
      <c r="W1211" s="119">
        <f>IF(tech_base!$T27&gt;W$1185,"",W1491+W1771)</f>
        <v>0</v>
      </c>
      <c r="X1211" s="119">
        <f>IF(tech_base!$T27&gt;X$1185,"",X1491+X1771)</f>
        <v>0</v>
      </c>
      <c r="Y1211" s="119">
        <f>IF(tech_base!$T27&gt;Y$1185,"",Y1491+Y1771)</f>
        <v>0</v>
      </c>
      <c r="Z1211" s="119">
        <f>IF(tech_base!$T27&gt;Z$1185,"",Z1491+Z1771)</f>
        <v>0</v>
      </c>
      <c r="AA1211" s="119">
        <f>IF(tech_base!$T27&gt;AA$1185,"",AA1491+AA1771)</f>
        <v>0</v>
      </c>
      <c r="AB1211" s="119">
        <f>IF(tech_base!$T27&gt;AB$1185,"",AB1491+AB1771)</f>
        <v>0</v>
      </c>
      <c r="AC1211" s="119">
        <f>IF(tech_base!$T27&gt;AC$1185,"",AC1491+AC1771)</f>
        <v>0</v>
      </c>
      <c r="AD1211" s="119">
        <f>IF(tech_base!$T27&gt;AD$1185,"",AD1491+AD1771)</f>
        <v>0</v>
      </c>
      <c r="AE1211" s="119">
        <f>IF(tech_base!$T27&gt;AE$1185,"",AE1491+AE1771)</f>
        <v>0</v>
      </c>
      <c r="AF1211" s="119">
        <f>IF(tech_base!$T27&gt;AF$1185,"",AF1491+AF1771)</f>
        <v>0</v>
      </c>
      <c r="AG1211" s="119">
        <f>IF(tech_base!$T27&gt;AG$1185,"",AG1491+AG1771)</f>
        <v>0</v>
      </c>
      <c r="AH1211" s="119">
        <f>IF(tech_base!$T27&gt;AH$1185,"",AH1491+AH1771)</f>
        <v>0</v>
      </c>
      <c r="AI1211" s="119">
        <f>IF(tech_base!$T27&gt;AI$1185,"",AI1491+AI1771)</f>
        <v>0</v>
      </c>
      <c r="AJ1211" s="119">
        <f>IF(tech_base!$T27&gt;AJ$1185,"",AJ1491+AJ1771)</f>
        <v>0</v>
      </c>
      <c r="AK1211" s="119">
        <f>IF(tech_base!$T27&gt;AK$1185,"",AK1491+AK1771)</f>
        <v>0</v>
      </c>
      <c r="AL1211" s="119">
        <f>IF(tech_base!$T27&gt;AL$1185,"",AL1491+AL1771)</f>
        <v>0</v>
      </c>
      <c r="AM1211" s="119">
        <f>IF(tech_base!$T27&gt;AM$1185,"",AM1491+AM1771)</f>
        <v>0</v>
      </c>
      <c r="AN1211" s="119">
        <f>IF(tech_base!$T27&gt;AN$1185,"",AN1491+AN1771)</f>
        <v>0</v>
      </c>
      <c r="AO1211" s="119">
        <f>IF(tech_base!$T27&gt;AO$1185,"",AO1491+AO1771)</f>
        <v>0</v>
      </c>
      <c r="AP1211" s="119">
        <f>IF(tech_base!$T27&gt;AP$1185,"",AP1491+AP1771)</f>
        <v>0</v>
      </c>
      <c r="AQ1211" s="119">
        <f>IF(tech_base!$T27&gt;AQ$1185,"",AQ1491+AQ1771)</f>
        <v>0</v>
      </c>
      <c r="AR1211" s="119">
        <f>IF(tech_base!$T27&gt;AR$1185,"",AR1491+AR1771)</f>
        <v>0</v>
      </c>
      <c r="AS1211" s="119">
        <f>IF(tech_base!$T27&gt;AS$1185,"",AS1491+AS1771)</f>
        <v>0</v>
      </c>
      <c r="AT1211" s="119">
        <f>IF(tech_base!$T27&gt;AT$1185,"",AT1491+AT1771)</f>
        <v>0</v>
      </c>
      <c r="AU1211" s="119">
        <f>IF(tech_base!$T27&gt;AU$1185,"",AU1491+AU1771)</f>
        <v>0</v>
      </c>
      <c r="AV1211" s="119">
        <f>IF(tech_base!$T27&gt;AV$1185,"",AV1491+AV1771)</f>
        <v>0</v>
      </c>
      <c r="AW1211" s="119">
        <f>IF(tech_base!$T27&gt;AW$1185,"",AW1491+AW1771)</f>
        <v>0</v>
      </c>
      <c r="AX1211" s="120">
        <f>IF(tech_base!$T27&gt;AX$1185,"",AX1491+AX1771)</f>
        <v>0</v>
      </c>
    </row>
    <row r="1212" spans="1:50" x14ac:dyDescent="0.25">
      <c r="A1212" s="356"/>
      <c r="B1212" s="376"/>
      <c r="C1212" s="361" t="s">
        <v>14</v>
      </c>
      <c r="D1212" s="58" t="s">
        <v>7</v>
      </c>
      <c r="E1212" s="164" t="str">
        <f>A1193&amp;"/"&amp;B1209&amp;"/"&amp;C1212&amp;"/"&amp;D1212</f>
        <v>Coal fired power plants/Fluidized bed combustion/CHP/L</v>
      </c>
      <c r="F1212" s="78" t="str">
        <f>A1193</f>
        <v>Coal fired power plants</v>
      </c>
      <c r="G1212" s="78" t="str">
        <f>B1209</f>
        <v>Fluidized bed combustion</v>
      </c>
      <c r="H1212" s="78" t="str">
        <f>C1212</f>
        <v>CHP</v>
      </c>
      <c r="I1212" s="165" t="str">
        <f t="shared" si="372"/>
        <v>L</v>
      </c>
      <c r="J1212" s="123">
        <f>IF(tech_base!$T28&gt;J$1185,"",J1492+J1772)</f>
        <v>0</v>
      </c>
      <c r="K1212" s="123">
        <f>IF(tech_base!$T28&gt;K$1185,"",K1492+K1772)</f>
        <v>0</v>
      </c>
      <c r="L1212" s="123">
        <f>IF(tech_base!$T28&gt;L$1185,"",L1492+L1772)</f>
        <v>0</v>
      </c>
      <c r="M1212" s="123">
        <f>IF(tech_base!$T28&gt;M$1185,"",M1492+M1772)</f>
        <v>0</v>
      </c>
      <c r="N1212" s="123">
        <f>IF(tech_base!$T28&gt;N$1185,"",N1492+N1772)</f>
        <v>0</v>
      </c>
      <c r="O1212" s="123">
        <f>IF(tech_base!$T28&gt;O$1185,"",O1492+O1772)</f>
        <v>0</v>
      </c>
      <c r="P1212" s="123">
        <f>IF(tech_base!$T28&gt;P$1185,"",P1492+P1772)</f>
        <v>0</v>
      </c>
      <c r="Q1212" s="123">
        <f>IF(tech_base!$T28&gt;Q$1185,"",Q1492+Q1772)</f>
        <v>0</v>
      </c>
      <c r="R1212" s="123">
        <f>IF(tech_base!$T28&gt;R$1185,"",R1492+R1772)</f>
        <v>0</v>
      </c>
      <c r="S1212" s="123">
        <f>IF(tech_base!$T28&gt;S$1185,"",S1492+S1772)</f>
        <v>0</v>
      </c>
      <c r="T1212" s="123">
        <f>IF(tech_base!$T28&gt;T$1185,"",T1492+T1772)</f>
        <v>0</v>
      </c>
      <c r="U1212" s="123">
        <f>IF(tech_base!$T28&gt;U$1185,"",U1492+U1772)</f>
        <v>0</v>
      </c>
      <c r="V1212" s="123">
        <f>IF(tech_base!$T28&gt;V$1185,"",V1492+V1772)</f>
        <v>0</v>
      </c>
      <c r="W1212" s="123">
        <f>IF(tech_base!$T28&gt;W$1185,"",W1492+W1772)</f>
        <v>0</v>
      </c>
      <c r="X1212" s="123">
        <f>IF(tech_base!$T28&gt;X$1185,"",X1492+X1772)</f>
        <v>0</v>
      </c>
      <c r="Y1212" s="123">
        <f>IF(tech_base!$T28&gt;Y$1185,"",Y1492+Y1772)</f>
        <v>0</v>
      </c>
      <c r="Z1212" s="123">
        <f>IF(tech_base!$T28&gt;Z$1185,"",Z1492+Z1772)</f>
        <v>0</v>
      </c>
      <c r="AA1212" s="123">
        <f>IF(tech_base!$T28&gt;AA$1185,"",AA1492+AA1772)</f>
        <v>0</v>
      </c>
      <c r="AB1212" s="123">
        <f>IF(tech_base!$T28&gt;AB$1185,"",AB1492+AB1772)</f>
        <v>0</v>
      </c>
      <c r="AC1212" s="123">
        <f>IF(tech_base!$T28&gt;AC$1185,"",AC1492+AC1772)</f>
        <v>0</v>
      </c>
      <c r="AD1212" s="123">
        <f>IF(tech_base!$T28&gt;AD$1185,"",AD1492+AD1772)</f>
        <v>0</v>
      </c>
      <c r="AE1212" s="123">
        <f>IF(tech_base!$T28&gt;AE$1185,"",AE1492+AE1772)</f>
        <v>0</v>
      </c>
      <c r="AF1212" s="123">
        <f>IF(tech_base!$T28&gt;AF$1185,"",AF1492+AF1772)</f>
        <v>0</v>
      </c>
      <c r="AG1212" s="123">
        <f>IF(tech_base!$T28&gt;AG$1185,"",AG1492+AG1772)</f>
        <v>0</v>
      </c>
      <c r="AH1212" s="123">
        <f>IF(tech_base!$T28&gt;AH$1185,"",AH1492+AH1772)</f>
        <v>0</v>
      </c>
      <c r="AI1212" s="123">
        <f>IF(tech_base!$T28&gt;AI$1185,"",AI1492+AI1772)</f>
        <v>0</v>
      </c>
      <c r="AJ1212" s="123">
        <f>IF(tech_base!$T28&gt;AJ$1185,"",AJ1492+AJ1772)</f>
        <v>0</v>
      </c>
      <c r="AK1212" s="123">
        <f>IF(tech_base!$T28&gt;AK$1185,"",AK1492+AK1772)</f>
        <v>0</v>
      </c>
      <c r="AL1212" s="123">
        <f>IF(tech_base!$T28&gt;AL$1185,"",AL1492+AL1772)</f>
        <v>0</v>
      </c>
      <c r="AM1212" s="123">
        <f>IF(tech_base!$T28&gt;AM$1185,"",AM1492+AM1772)</f>
        <v>0</v>
      </c>
      <c r="AN1212" s="123">
        <f>IF(tech_base!$T28&gt;AN$1185,"",AN1492+AN1772)</f>
        <v>0</v>
      </c>
      <c r="AO1212" s="123">
        <f>IF(tech_base!$T28&gt;AO$1185,"",AO1492+AO1772)</f>
        <v>0</v>
      </c>
      <c r="AP1212" s="123">
        <f>IF(tech_base!$T28&gt;AP$1185,"",AP1492+AP1772)</f>
        <v>0</v>
      </c>
      <c r="AQ1212" s="123">
        <f>IF(tech_base!$T28&gt;AQ$1185,"",AQ1492+AQ1772)</f>
        <v>0</v>
      </c>
      <c r="AR1212" s="123">
        <f>IF(tech_base!$T28&gt;AR$1185,"",AR1492+AR1772)</f>
        <v>0</v>
      </c>
      <c r="AS1212" s="123">
        <f>IF(tech_base!$T28&gt;AS$1185,"",AS1492+AS1772)</f>
        <v>0</v>
      </c>
      <c r="AT1212" s="123">
        <f>IF(tech_base!$T28&gt;AT$1185,"",AT1492+AT1772)</f>
        <v>0</v>
      </c>
      <c r="AU1212" s="123">
        <f>IF(tech_base!$T28&gt;AU$1185,"",AU1492+AU1772)</f>
        <v>0</v>
      </c>
      <c r="AV1212" s="123">
        <f>IF(tech_base!$T28&gt;AV$1185,"",AV1492+AV1772)</f>
        <v>0</v>
      </c>
      <c r="AW1212" s="123">
        <f>IF(tech_base!$T28&gt;AW$1185,"",AW1492+AW1772)</f>
        <v>0</v>
      </c>
      <c r="AX1212" s="124">
        <f>IF(tech_base!$T28&gt;AX$1185,"",AX1492+AX1772)</f>
        <v>0</v>
      </c>
    </row>
    <row r="1213" spans="1:50" x14ac:dyDescent="0.25">
      <c r="A1213" s="356"/>
      <c r="B1213" s="376"/>
      <c r="C1213" s="378"/>
      <c r="D1213" s="2" t="s">
        <v>8</v>
      </c>
      <c r="E1213" s="160" t="str">
        <f>A1193&amp;"/"&amp;B1209&amp;"/"&amp;C1212&amp;"/"&amp;D1213</f>
        <v>Coal fired power plants/Fluidized bed combustion/CHP/M</v>
      </c>
      <c r="F1213" s="76" t="str">
        <f>A1193</f>
        <v>Coal fired power plants</v>
      </c>
      <c r="G1213" s="76" t="str">
        <f>B1209</f>
        <v>Fluidized bed combustion</v>
      </c>
      <c r="H1213" s="76" t="str">
        <f>C1212</f>
        <v>CHP</v>
      </c>
      <c r="I1213" s="161" t="str">
        <f t="shared" si="372"/>
        <v>M</v>
      </c>
      <c r="J1213" s="119">
        <f>IF(tech_base!$T29&gt;J$1185,"",J1493+J1773)</f>
        <v>0</v>
      </c>
      <c r="K1213" s="119">
        <f>IF(tech_base!$T29&gt;K$1185,"",K1493+K1773)</f>
        <v>0</v>
      </c>
      <c r="L1213" s="119">
        <f>IF(tech_base!$T29&gt;L$1185,"",L1493+L1773)</f>
        <v>0</v>
      </c>
      <c r="M1213" s="119">
        <f>IF(tech_base!$T29&gt;M$1185,"",M1493+M1773)</f>
        <v>0</v>
      </c>
      <c r="N1213" s="119">
        <f>IF(tech_base!$T29&gt;N$1185,"",N1493+N1773)</f>
        <v>0</v>
      </c>
      <c r="O1213" s="119">
        <f>IF(tech_base!$T29&gt;O$1185,"",O1493+O1773)</f>
        <v>0</v>
      </c>
      <c r="P1213" s="119">
        <f>IF(tech_base!$T29&gt;P$1185,"",P1493+P1773)</f>
        <v>0</v>
      </c>
      <c r="Q1213" s="119">
        <f>IF(tech_base!$T29&gt;Q$1185,"",Q1493+Q1773)</f>
        <v>0</v>
      </c>
      <c r="R1213" s="119">
        <f>IF(tech_base!$T29&gt;R$1185,"",R1493+R1773)</f>
        <v>0</v>
      </c>
      <c r="S1213" s="119">
        <f>IF(tech_base!$T29&gt;S$1185,"",S1493+S1773)</f>
        <v>0</v>
      </c>
      <c r="T1213" s="119">
        <f>IF(tech_base!$T29&gt;T$1185,"",T1493+T1773)</f>
        <v>0</v>
      </c>
      <c r="U1213" s="119">
        <f>IF(tech_base!$T29&gt;U$1185,"",U1493+U1773)</f>
        <v>0</v>
      </c>
      <c r="V1213" s="119">
        <f>IF(tech_base!$T29&gt;V$1185,"",V1493+V1773)</f>
        <v>0</v>
      </c>
      <c r="W1213" s="119">
        <f>IF(tech_base!$T29&gt;W$1185,"",W1493+W1773)</f>
        <v>0</v>
      </c>
      <c r="X1213" s="119">
        <f>IF(tech_base!$T29&gt;X$1185,"",X1493+X1773)</f>
        <v>0</v>
      </c>
      <c r="Y1213" s="119">
        <f>IF(tech_base!$T29&gt;Y$1185,"",Y1493+Y1773)</f>
        <v>0</v>
      </c>
      <c r="Z1213" s="119">
        <f>IF(tech_base!$T29&gt;Z$1185,"",Z1493+Z1773)</f>
        <v>0</v>
      </c>
      <c r="AA1213" s="119">
        <f>IF(tech_base!$T29&gt;AA$1185,"",AA1493+AA1773)</f>
        <v>0</v>
      </c>
      <c r="AB1213" s="119">
        <f>IF(tech_base!$T29&gt;AB$1185,"",AB1493+AB1773)</f>
        <v>0</v>
      </c>
      <c r="AC1213" s="119">
        <f>IF(tech_base!$T29&gt;AC$1185,"",AC1493+AC1773)</f>
        <v>0</v>
      </c>
      <c r="AD1213" s="119">
        <f>IF(tech_base!$T29&gt;AD$1185,"",AD1493+AD1773)</f>
        <v>0</v>
      </c>
      <c r="AE1213" s="119">
        <f>IF(tech_base!$T29&gt;AE$1185,"",AE1493+AE1773)</f>
        <v>0</v>
      </c>
      <c r="AF1213" s="119">
        <f>IF(tech_base!$T29&gt;AF$1185,"",AF1493+AF1773)</f>
        <v>0</v>
      </c>
      <c r="AG1213" s="119">
        <f>IF(tech_base!$T29&gt;AG$1185,"",AG1493+AG1773)</f>
        <v>0</v>
      </c>
      <c r="AH1213" s="119">
        <f>IF(tech_base!$T29&gt;AH$1185,"",AH1493+AH1773)</f>
        <v>0</v>
      </c>
      <c r="AI1213" s="119">
        <f>IF(tech_base!$T29&gt;AI$1185,"",AI1493+AI1773)</f>
        <v>0</v>
      </c>
      <c r="AJ1213" s="119">
        <f>IF(tech_base!$T29&gt;AJ$1185,"",AJ1493+AJ1773)</f>
        <v>0</v>
      </c>
      <c r="AK1213" s="119">
        <f>IF(tech_base!$T29&gt;AK$1185,"",AK1493+AK1773)</f>
        <v>0</v>
      </c>
      <c r="AL1213" s="119">
        <f>IF(tech_base!$T29&gt;AL$1185,"",AL1493+AL1773)</f>
        <v>0</v>
      </c>
      <c r="AM1213" s="119">
        <f>IF(tech_base!$T29&gt;AM$1185,"",AM1493+AM1773)</f>
        <v>0</v>
      </c>
      <c r="AN1213" s="119">
        <f>IF(tech_base!$T29&gt;AN$1185,"",AN1493+AN1773)</f>
        <v>0</v>
      </c>
      <c r="AO1213" s="119">
        <f>IF(tech_base!$T29&gt;AO$1185,"",AO1493+AO1773)</f>
        <v>0</v>
      </c>
      <c r="AP1213" s="119">
        <f>IF(tech_base!$T29&gt;AP$1185,"",AP1493+AP1773)</f>
        <v>0</v>
      </c>
      <c r="AQ1213" s="119">
        <f>IF(tech_base!$T29&gt;AQ$1185,"",AQ1493+AQ1773)</f>
        <v>0</v>
      </c>
      <c r="AR1213" s="119">
        <f>IF(tech_base!$T29&gt;AR$1185,"",AR1493+AR1773)</f>
        <v>0</v>
      </c>
      <c r="AS1213" s="119">
        <f>IF(tech_base!$T29&gt;AS$1185,"",AS1493+AS1773)</f>
        <v>0</v>
      </c>
      <c r="AT1213" s="119">
        <f>IF(tech_base!$T29&gt;AT$1185,"",AT1493+AT1773)</f>
        <v>0</v>
      </c>
      <c r="AU1213" s="119">
        <f>IF(tech_base!$T29&gt;AU$1185,"",AU1493+AU1773)</f>
        <v>0</v>
      </c>
      <c r="AV1213" s="119">
        <f>IF(tech_base!$T29&gt;AV$1185,"",AV1493+AV1773)</f>
        <v>0</v>
      </c>
      <c r="AW1213" s="119">
        <f>IF(tech_base!$T29&gt;AW$1185,"",AW1493+AW1773)</f>
        <v>0</v>
      </c>
      <c r="AX1213" s="120">
        <f>IF(tech_base!$T29&gt;AX$1185,"",AX1493+AX1773)</f>
        <v>0</v>
      </c>
    </row>
    <row r="1214" spans="1:50" x14ac:dyDescent="0.25">
      <c r="A1214" s="356"/>
      <c r="B1214" s="376"/>
      <c r="C1214" s="379"/>
      <c r="D1214" s="59" t="s">
        <v>10</v>
      </c>
      <c r="E1214" s="166" t="str">
        <f>A1193&amp;"/"&amp;B1209&amp;"/"&amp;C1212&amp;"/"&amp;D1214</f>
        <v>Coal fired power plants/Fluidized bed combustion/CHP/S</v>
      </c>
      <c r="F1214" s="79" t="str">
        <f>A1193</f>
        <v>Coal fired power plants</v>
      </c>
      <c r="G1214" s="79" t="str">
        <f>B1209</f>
        <v>Fluidized bed combustion</v>
      </c>
      <c r="H1214" s="79" t="str">
        <f>C1212</f>
        <v>CHP</v>
      </c>
      <c r="I1214" s="167" t="str">
        <f t="shared" si="372"/>
        <v>S</v>
      </c>
      <c r="J1214" s="125">
        <f>IF(tech_base!$T30&gt;J$1185,"",J1494+J1774)</f>
        <v>0</v>
      </c>
      <c r="K1214" s="125">
        <f>IF(tech_base!$T30&gt;K$1185,"",K1494+K1774)</f>
        <v>0</v>
      </c>
      <c r="L1214" s="125">
        <f>IF(tech_base!$T30&gt;L$1185,"",L1494+L1774)</f>
        <v>0</v>
      </c>
      <c r="M1214" s="125">
        <f>IF(tech_base!$T30&gt;M$1185,"",M1494+M1774)</f>
        <v>0</v>
      </c>
      <c r="N1214" s="125">
        <f>IF(tech_base!$T30&gt;N$1185,"",N1494+N1774)</f>
        <v>0</v>
      </c>
      <c r="O1214" s="125">
        <f>IF(tech_base!$T30&gt;O$1185,"",O1494+O1774)</f>
        <v>0</v>
      </c>
      <c r="P1214" s="125">
        <f>IF(tech_base!$T30&gt;P$1185,"",P1494+P1774)</f>
        <v>0</v>
      </c>
      <c r="Q1214" s="125">
        <f>IF(tech_base!$T30&gt;Q$1185,"",Q1494+Q1774)</f>
        <v>0</v>
      </c>
      <c r="R1214" s="125">
        <f>IF(tech_base!$T30&gt;R$1185,"",R1494+R1774)</f>
        <v>0</v>
      </c>
      <c r="S1214" s="125">
        <f>IF(tech_base!$T30&gt;S$1185,"",S1494+S1774)</f>
        <v>0</v>
      </c>
      <c r="T1214" s="125">
        <f>IF(tech_base!$T30&gt;T$1185,"",T1494+T1774)</f>
        <v>0</v>
      </c>
      <c r="U1214" s="125">
        <f>IF(tech_base!$T30&gt;U$1185,"",U1494+U1774)</f>
        <v>0</v>
      </c>
      <c r="V1214" s="125">
        <f>IF(tech_base!$T30&gt;V$1185,"",V1494+V1774)</f>
        <v>0</v>
      </c>
      <c r="W1214" s="125">
        <f>IF(tech_base!$T30&gt;W$1185,"",W1494+W1774)</f>
        <v>0</v>
      </c>
      <c r="X1214" s="125">
        <f>IF(tech_base!$T30&gt;X$1185,"",X1494+X1774)</f>
        <v>0</v>
      </c>
      <c r="Y1214" s="125">
        <f>IF(tech_base!$T30&gt;Y$1185,"",Y1494+Y1774)</f>
        <v>0</v>
      </c>
      <c r="Z1214" s="125">
        <f>IF(tech_base!$T30&gt;Z$1185,"",Z1494+Z1774)</f>
        <v>0</v>
      </c>
      <c r="AA1214" s="125">
        <f>IF(tech_base!$T30&gt;AA$1185,"",AA1494+AA1774)</f>
        <v>0</v>
      </c>
      <c r="AB1214" s="125">
        <f>IF(tech_base!$T30&gt;AB$1185,"",AB1494+AB1774)</f>
        <v>0</v>
      </c>
      <c r="AC1214" s="125">
        <f>IF(tech_base!$T30&gt;AC$1185,"",AC1494+AC1774)</f>
        <v>0</v>
      </c>
      <c r="AD1214" s="125">
        <f>IF(tech_base!$T30&gt;AD$1185,"",AD1494+AD1774)</f>
        <v>0</v>
      </c>
      <c r="AE1214" s="125">
        <f>IF(tech_base!$T30&gt;AE$1185,"",AE1494+AE1774)</f>
        <v>0</v>
      </c>
      <c r="AF1214" s="125">
        <f>IF(tech_base!$T30&gt;AF$1185,"",AF1494+AF1774)</f>
        <v>0</v>
      </c>
      <c r="AG1214" s="125">
        <f>IF(tech_base!$T30&gt;AG$1185,"",AG1494+AG1774)</f>
        <v>0</v>
      </c>
      <c r="AH1214" s="125">
        <f>IF(tech_base!$T30&gt;AH$1185,"",AH1494+AH1774)</f>
        <v>0</v>
      </c>
      <c r="AI1214" s="125">
        <f>IF(tech_base!$T30&gt;AI$1185,"",AI1494+AI1774)</f>
        <v>0</v>
      </c>
      <c r="AJ1214" s="125">
        <f>IF(tech_base!$T30&gt;AJ$1185,"",AJ1494+AJ1774)</f>
        <v>0</v>
      </c>
      <c r="AK1214" s="125">
        <f>IF(tech_base!$T30&gt;AK$1185,"",AK1494+AK1774)</f>
        <v>0</v>
      </c>
      <c r="AL1214" s="125">
        <f>IF(tech_base!$T30&gt;AL$1185,"",AL1494+AL1774)</f>
        <v>0</v>
      </c>
      <c r="AM1214" s="125">
        <f>IF(tech_base!$T30&gt;AM$1185,"",AM1494+AM1774)</f>
        <v>0</v>
      </c>
      <c r="AN1214" s="125">
        <f>IF(tech_base!$T30&gt;AN$1185,"",AN1494+AN1774)</f>
        <v>0</v>
      </c>
      <c r="AO1214" s="125">
        <f>IF(tech_base!$T30&gt;AO$1185,"",AO1494+AO1774)</f>
        <v>0</v>
      </c>
      <c r="AP1214" s="125">
        <f>IF(tech_base!$T30&gt;AP$1185,"",AP1494+AP1774)</f>
        <v>0</v>
      </c>
      <c r="AQ1214" s="125">
        <f>IF(tech_base!$T30&gt;AQ$1185,"",AQ1494+AQ1774)</f>
        <v>0</v>
      </c>
      <c r="AR1214" s="125">
        <f>IF(tech_base!$T30&gt;AR$1185,"",AR1494+AR1774)</f>
        <v>0</v>
      </c>
      <c r="AS1214" s="125">
        <f>IF(tech_base!$T30&gt;AS$1185,"",AS1494+AS1774)</f>
        <v>0</v>
      </c>
      <c r="AT1214" s="125">
        <f>IF(tech_base!$T30&gt;AT$1185,"",AT1494+AT1774)</f>
        <v>0</v>
      </c>
      <c r="AU1214" s="125">
        <f>IF(tech_base!$T30&gt;AU$1185,"",AU1494+AU1774)</f>
        <v>0</v>
      </c>
      <c r="AV1214" s="125">
        <f>IF(tech_base!$T30&gt;AV$1185,"",AV1494+AV1774)</f>
        <v>0</v>
      </c>
      <c r="AW1214" s="125">
        <f>IF(tech_base!$T30&gt;AW$1185,"",AW1494+AW1774)</f>
        <v>0</v>
      </c>
      <c r="AX1214" s="126">
        <f>IF(tech_base!$T30&gt;AX$1185,"",AX1494+AX1774)</f>
        <v>0</v>
      </c>
    </row>
    <row r="1215" spans="1:50" x14ac:dyDescent="0.25">
      <c r="A1215" s="356"/>
      <c r="B1215" s="376"/>
      <c r="C1215" s="361" t="s">
        <v>15</v>
      </c>
      <c r="D1215" s="58" t="s">
        <v>7</v>
      </c>
      <c r="E1215" s="164" t="str">
        <f>A1193&amp;"/"&amp;B1209&amp;"/"&amp;C1215&amp;"/"&amp;D1215</f>
        <v>Coal fired power plants/Fluidized bed combustion/Electricity only with CCS/L</v>
      </c>
      <c r="F1215" s="78" t="str">
        <f>A1193</f>
        <v>Coal fired power plants</v>
      </c>
      <c r="G1215" s="78" t="str">
        <f>B1209</f>
        <v>Fluidized bed combustion</v>
      </c>
      <c r="H1215" s="78" t="str">
        <f>C1215</f>
        <v>Electricity only with CCS</v>
      </c>
      <c r="I1215" s="165" t="str">
        <f t="shared" si="372"/>
        <v>L</v>
      </c>
      <c r="J1215" s="123" t="str">
        <f>IF(tech_base!$T31&gt;J$1185,"",J1495+J1775)</f>
        <v/>
      </c>
      <c r="K1215" s="123" t="str">
        <f>IF(tech_base!$T31&gt;K$1185,"",K1495+K1775)</f>
        <v/>
      </c>
      <c r="L1215" s="123" t="str">
        <f>IF(tech_base!$T31&gt;L$1185,"",L1495+L1775)</f>
        <v/>
      </c>
      <c r="M1215" s="123" t="str">
        <f>IF(tech_base!$T31&gt;M$1185,"",M1495+M1775)</f>
        <v/>
      </c>
      <c r="N1215" s="123" t="str">
        <f>IF(tech_base!$T31&gt;N$1185,"",N1495+N1775)</f>
        <v/>
      </c>
      <c r="O1215" s="123" t="str">
        <f>IF(tech_base!$T31&gt;O$1185,"",O1495+O1775)</f>
        <v/>
      </c>
      <c r="P1215" s="123" t="str">
        <f>IF(tech_base!$T31&gt;P$1185,"",P1495+P1775)</f>
        <v/>
      </c>
      <c r="Q1215" s="123" t="str">
        <f>IF(tech_base!$T31&gt;Q$1185,"",Q1495+Q1775)</f>
        <v/>
      </c>
      <c r="R1215" s="123" t="str">
        <f>IF(tech_base!$T31&gt;R$1185,"",R1495+R1775)</f>
        <v/>
      </c>
      <c r="S1215" s="123" t="str">
        <f>IF(tech_base!$T31&gt;S$1185,"",S1495+S1775)</f>
        <v/>
      </c>
      <c r="T1215" s="123" t="str">
        <f>IF(tech_base!$T31&gt;T$1185,"",T1495+T1775)</f>
        <v/>
      </c>
      <c r="U1215" s="123" t="str">
        <f>IF(tech_base!$T31&gt;U$1185,"",U1495+U1775)</f>
        <v/>
      </c>
      <c r="V1215" s="123" t="str">
        <f>IF(tech_base!$T31&gt;V$1185,"",V1495+V1775)</f>
        <v/>
      </c>
      <c r="W1215" s="123" t="str">
        <f>IF(tech_base!$T31&gt;W$1185,"",W1495+W1775)</f>
        <v/>
      </c>
      <c r="X1215" s="123" t="str">
        <f>IF(tech_base!$T31&gt;X$1185,"",X1495+X1775)</f>
        <v/>
      </c>
      <c r="Y1215" s="123" t="str">
        <f>IF(tech_base!$T31&gt;Y$1185,"",Y1495+Y1775)</f>
        <v/>
      </c>
      <c r="Z1215" s="123" t="str">
        <f>IF(tech_base!$T31&gt;Z$1185,"",Z1495+Z1775)</f>
        <v/>
      </c>
      <c r="AA1215" s="123" t="str">
        <f>IF(tech_base!$T31&gt;AA$1185,"",AA1495+AA1775)</f>
        <v/>
      </c>
      <c r="AB1215" s="123" t="str">
        <f>IF(tech_base!$T31&gt;AB$1185,"",AB1495+AB1775)</f>
        <v/>
      </c>
      <c r="AC1215" s="123" t="str">
        <f>IF(tech_base!$T31&gt;AC$1185,"",AC1495+AC1775)</f>
        <v/>
      </c>
      <c r="AD1215" s="123" t="str">
        <f>IF(tech_base!$T31&gt;AD$1185,"",AD1495+AD1775)</f>
        <v/>
      </c>
      <c r="AE1215" s="123">
        <f>IF(tech_base!$T31&gt;AE$1185,"",AE1495+AE1775)</f>
        <v>11.195967416908255</v>
      </c>
      <c r="AF1215" s="123">
        <f>IF(tech_base!$T31&gt;AF$1185,"",AF1495+AF1775)</f>
        <v>11.195044056298368</v>
      </c>
      <c r="AG1215" s="123">
        <f>IF(tech_base!$T31&gt;AG$1185,"",AG1495+AG1775)</f>
        <v>11.193860040661951</v>
      </c>
      <c r="AH1215" s="123">
        <f>IF(tech_base!$T31&gt;AH$1185,"",AH1495+AH1775)</f>
        <v>11.192342371301775</v>
      </c>
      <c r="AI1215" s="123">
        <f>IF(tech_base!$T31&gt;AI$1185,"",AI1495+AI1775)</f>
        <v>11.190397980289534</v>
      </c>
      <c r="AJ1215" s="123">
        <f>IF(tech_base!$T31&gt;AJ$1185,"",AJ1495+AJ1775)</f>
        <v>11.18790845402607</v>
      </c>
      <c r="AK1215" s="123">
        <f>IF(tech_base!$T31&gt;AK$1185,"",AK1495+AK1775)</f>
        <v>11.184723525137551</v>
      </c>
      <c r="AL1215" s="123">
        <f>IF(tech_base!$T31&gt;AL$1185,"",AL1495+AL1775)</f>
        <v>11.180653147450991</v>
      </c>
      <c r="AM1215" s="123">
        <f>IF(tech_base!$T31&gt;AM$1185,"",AM1495+AM1775)</f>
        <v>11.175458013635545</v>
      </c>
      <c r="AN1215" s="123">
        <f>IF(tech_base!$T31&gt;AN$1185,"",AN1495+AN1775)</f>
        <v>11.168838486078869</v>
      </c>
      <c r="AO1215" s="123">
        <f>IF(tech_base!$T31&gt;AO$1185,"",AO1495+AO1775)</f>
        <v>11.16042213207189</v>
      </c>
      <c r="AP1215" s="123">
        <f>IF(tech_base!$T31&gt;AP$1185,"",AP1495+AP1775)</f>
        <v>11.149750446311318</v>
      </c>
      <c r="AQ1215" s="123">
        <f>IF(tech_base!$T31&gt;AQ$1185,"",AQ1495+AQ1775)</f>
        <v>11.136265988220979</v>
      </c>
      <c r="AR1215" s="123">
        <f>IF(tech_base!$T31&gt;AR$1185,"",AR1495+AR1775)</f>
        <v>11.119302150613573</v>
      </c>
      <c r="AS1215" s="123">
        <f>IF(tech_base!$T31&gt;AS$1185,"",AS1495+AS1775)</f>
        <v>11.098079184119408</v>
      </c>
      <c r="AT1215" s="123">
        <f>IF(tech_base!$T31&gt;AT$1185,"",AT1495+AT1775)</f>
        <v>11.071711919481892</v>
      </c>
      <c r="AU1215" s="123">
        <f>IF(tech_base!$T31&gt;AU$1185,"",AU1495+AU1775)</f>
        <v>11.039236641182567</v>
      </c>
      <c r="AV1215" s="123">
        <f>IF(tech_base!$T31&gt;AV$1185,"",AV1495+AV1775)</f>
        <v>10.999666158796892</v>
      </c>
      <c r="AW1215" s="123">
        <f>IF(tech_base!$T31&gt;AW$1185,"",AW1495+AW1775)</f>
        <v>10.952082077025215</v>
      </c>
      <c r="AX1215" s="124">
        <f>IF(tech_base!$T31&gt;AX$1185,"",AX1495+AX1775)</f>
        <v>10.895769678654094</v>
      </c>
    </row>
    <row r="1216" spans="1:50" x14ac:dyDescent="0.25">
      <c r="A1216" s="356"/>
      <c r="B1216" s="376"/>
      <c r="C1216" s="379"/>
      <c r="D1216" s="59" t="s">
        <v>8</v>
      </c>
      <c r="E1216" s="166" t="str">
        <f>A1193&amp;"/"&amp;B1209&amp;"/"&amp;C1215&amp;"/"&amp;D1216</f>
        <v>Coal fired power plants/Fluidized bed combustion/Electricity only with CCS/M</v>
      </c>
      <c r="F1216" s="79" t="str">
        <f>A1193</f>
        <v>Coal fired power plants</v>
      </c>
      <c r="G1216" s="79" t="str">
        <f>B1209</f>
        <v>Fluidized bed combustion</v>
      </c>
      <c r="H1216" s="79" t="str">
        <f>C1215</f>
        <v>Electricity only with CCS</v>
      </c>
      <c r="I1216" s="167" t="str">
        <f t="shared" si="372"/>
        <v>M</v>
      </c>
      <c r="J1216" s="125" t="str">
        <f>IF(tech_base!$T32&gt;J$1185,"",J1496+J1776)</f>
        <v/>
      </c>
      <c r="K1216" s="125" t="str">
        <f>IF(tech_base!$T32&gt;K$1185,"",K1496+K1776)</f>
        <v/>
      </c>
      <c r="L1216" s="125" t="str">
        <f>IF(tech_base!$T32&gt;L$1185,"",L1496+L1776)</f>
        <v/>
      </c>
      <c r="M1216" s="125" t="str">
        <f>IF(tech_base!$T32&gt;M$1185,"",M1496+M1776)</f>
        <v/>
      </c>
      <c r="N1216" s="125" t="str">
        <f>IF(tech_base!$T32&gt;N$1185,"",N1496+N1776)</f>
        <v/>
      </c>
      <c r="O1216" s="125" t="str">
        <f>IF(tech_base!$T32&gt;O$1185,"",O1496+O1776)</f>
        <v/>
      </c>
      <c r="P1216" s="125" t="str">
        <f>IF(tech_base!$T32&gt;P$1185,"",P1496+P1776)</f>
        <v/>
      </c>
      <c r="Q1216" s="125" t="str">
        <f>IF(tech_base!$T32&gt;Q$1185,"",Q1496+Q1776)</f>
        <v/>
      </c>
      <c r="R1216" s="125" t="str">
        <f>IF(tech_base!$T32&gt;R$1185,"",R1496+R1776)</f>
        <v/>
      </c>
      <c r="S1216" s="125" t="str">
        <f>IF(tech_base!$T32&gt;S$1185,"",S1496+S1776)</f>
        <v/>
      </c>
      <c r="T1216" s="125" t="str">
        <f>IF(tech_base!$T32&gt;T$1185,"",T1496+T1776)</f>
        <v/>
      </c>
      <c r="U1216" s="125" t="str">
        <f>IF(tech_base!$T32&gt;U$1185,"",U1496+U1776)</f>
        <v/>
      </c>
      <c r="V1216" s="125" t="str">
        <f>IF(tech_base!$T32&gt;V$1185,"",V1496+V1776)</f>
        <v/>
      </c>
      <c r="W1216" s="125" t="str">
        <f>IF(tech_base!$T32&gt;W$1185,"",W1496+W1776)</f>
        <v/>
      </c>
      <c r="X1216" s="125" t="str">
        <f>IF(tech_base!$T32&gt;X$1185,"",X1496+X1776)</f>
        <v/>
      </c>
      <c r="Y1216" s="125" t="str">
        <f>IF(tech_base!$T32&gt;Y$1185,"",Y1496+Y1776)</f>
        <v/>
      </c>
      <c r="Z1216" s="125" t="str">
        <f>IF(tech_base!$T32&gt;Z$1185,"",Z1496+Z1776)</f>
        <v/>
      </c>
      <c r="AA1216" s="125" t="str">
        <f>IF(tech_base!$T32&gt;AA$1185,"",AA1496+AA1776)</f>
        <v/>
      </c>
      <c r="AB1216" s="125" t="str">
        <f>IF(tech_base!$T32&gt;AB$1185,"",AB1496+AB1776)</f>
        <v/>
      </c>
      <c r="AC1216" s="125" t="str">
        <f>IF(tech_base!$T32&gt;AC$1185,"",AC1496+AC1776)</f>
        <v/>
      </c>
      <c r="AD1216" s="125" t="str">
        <f>IF(tech_base!$T32&gt;AD$1185,"",AD1496+AD1776)</f>
        <v/>
      </c>
      <c r="AE1216" s="125">
        <f>IF(tech_base!$T32&gt;AE$1185,"",AE1496+AE1776)</f>
        <v>11.926920317057672</v>
      </c>
      <c r="AF1216" s="125">
        <f>IF(tech_base!$T32&gt;AF$1185,"",AF1496+AF1776)</f>
        <v>11.925866332216955</v>
      </c>
      <c r="AG1216" s="125">
        <f>IF(tech_base!$T32&gt;AG$1185,"",AG1496+AG1776)</f>
        <v>11.92451479726765</v>
      </c>
      <c r="AH1216" s="125">
        <f>IF(tech_base!$T32&gt;AH$1185,"",AH1496+AH1776)</f>
        <v>11.922782367013497</v>
      </c>
      <c r="AI1216" s="125">
        <f>IF(tech_base!$T32&gt;AI$1185,"",AI1496+AI1776)</f>
        <v>11.92056277364788</v>
      </c>
      <c r="AJ1216" s="125">
        <f>IF(tech_base!$T32&gt;AJ$1185,"",AJ1496+AJ1776)</f>
        <v>11.917720794371315</v>
      </c>
      <c r="AK1216" s="125">
        <f>IF(tech_base!$T32&gt;AK$1185,"",AK1496+AK1776)</f>
        <v>11.914084807061665</v>
      </c>
      <c r="AL1216" s="125">
        <f>IF(tech_base!$T32&gt;AL$1185,"",AL1496+AL1776)</f>
        <v>11.909437718855377</v>
      </c>
      <c r="AM1216" s="125">
        <f>IF(tech_base!$T32&gt;AM$1185,"",AM1496+AM1776)</f>
        <v>11.903506101590725</v>
      </c>
      <c r="AN1216" s="125">
        <f>IF(tech_base!$T32&gt;AN$1185,"",AN1496+AN1776)</f>
        <v>11.895947491606334</v>
      </c>
      <c r="AO1216" s="125">
        <f>IF(tech_base!$T32&gt;AO$1185,"",AO1496+AO1776)</f>
        <v>11.886336058534351</v>
      </c>
      <c r="AP1216" s="125">
        <f>IF(tech_base!$T32&gt;AP$1185,"",AP1496+AP1776)</f>
        <v>11.8741472888375</v>
      </c>
      <c r="AQ1216" s="125">
        <f>IF(tech_base!$T32&gt;AQ$1185,"",AQ1496+AQ1776)</f>
        <v>11.858743057537165</v>
      </c>
      <c r="AR1216" s="125">
        <f>IF(tech_base!$T32&gt;AR$1185,"",AR1496+AR1776)</f>
        <v>11.839359581797202</v>
      </c>
      <c r="AS1216" s="125">
        <f>IF(tech_base!$T32&gt;AS$1185,"",AS1496+AS1776)</f>
        <v>11.815102350624773</v>
      </c>
      <c r="AT1216" s="125">
        <f>IF(tech_base!$T32&gt;AT$1185,"",AT1496+AT1776)</f>
        <v>11.78495420232254</v>
      </c>
      <c r="AU1216" s="125">
        <f>IF(tech_base!$T32&gt;AU$1185,"",AU1496+AU1776)</f>
        <v>11.747805041694267</v>
      </c>
      <c r="AV1216" s="125">
        <f>IF(tech_base!$T32&gt;AV$1185,"",AV1496+AV1776)</f>
        <v>11.702513573972054</v>
      </c>
      <c r="AW1216" s="125">
        <f>IF(tech_base!$T32&gt;AW$1185,"",AW1496+AW1776)</f>
        <v>11.648011514147255</v>
      </c>
      <c r="AX1216" s="126">
        <f>IF(tech_base!$T32&gt;AX$1185,"",AX1496+AX1776)</f>
        <v>11.583456851705868</v>
      </c>
    </row>
    <row r="1217" spans="1:50" x14ac:dyDescent="0.25">
      <c r="A1217" s="356"/>
      <c r="B1217" s="376"/>
      <c r="C1217" s="361" t="s">
        <v>16</v>
      </c>
      <c r="D1217" s="2" t="s">
        <v>7</v>
      </c>
      <c r="E1217" s="160" t="str">
        <f>A1193&amp;"/"&amp;B1209&amp;"/"&amp;C1217&amp;"/"&amp;D1217</f>
        <v>Coal fired power plants/Fluidized bed combustion/CHP with CCS/L</v>
      </c>
      <c r="F1217" s="76" t="str">
        <f>A1193</f>
        <v>Coal fired power plants</v>
      </c>
      <c r="G1217" s="76" t="str">
        <f>B1209</f>
        <v>Fluidized bed combustion</v>
      </c>
      <c r="H1217" s="76" t="str">
        <f>C1217</f>
        <v>CHP with CCS</v>
      </c>
      <c r="I1217" s="161" t="str">
        <f t="shared" si="372"/>
        <v>L</v>
      </c>
      <c r="J1217" s="119" t="str">
        <f>IF(tech_base!$T33&gt;J$1185,"",J1497+J1777)</f>
        <v/>
      </c>
      <c r="K1217" s="119" t="str">
        <f>IF(tech_base!$T33&gt;K$1185,"",K1497+K1777)</f>
        <v/>
      </c>
      <c r="L1217" s="119" t="str">
        <f>IF(tech_base!$T33&gt;L$1185,"",L1497+L1777)</f>
        <v/>
      </c>
      <c r="M1217" s="119" t="str">
        <f>IF(tech_base!$T33&gt;M$1185,"",M1497+M1777)</f>
        <v/>
      </c>
      <c r="N1217" s="119" t="str">
        <f>IF(tech_base!$T33&gt;N$1185,"",N1497+N1777)</f>
        <v/>
      </c>
      <c r="O1217" s="119" t="str">
        <f>IF(tech_base!$T33&gt;O$1185,"",O1497+O1777)</f>
        <v/>
      </c>
      <c r="P1217" s="119" t="str">
        <f>IF(tech_base!$T33&gt;P$1185,"",P1497+P1777)</f>
        <v/>
      </c>
      <c r="Q1217" s="119" t="str">
        <f>IF(tech_base!$T33&gt;Q$1185,"",Q1497+Q1777)</f>
        <v/>
      </c>
      <c r="R1217" s="119" t="str">
        <f>IF(tech_base!$T33&gt;R$1185,"",R1497+R1777)</f>
        <v/>
      </c>
      <c r="S1217" s="119" t="str">
        <f>IF(tech_base!$T33&gt;S$1185,"",S1497+S1777)</f>
        <v/>
      </c>
      <c r="T1217" s="119" t="str">
        <f>IF(tech_base!$T33&gt;T$1185,"",T1497+T1777)</f>
        <v/>
      </c>
      <c r="U1217" s="119" t="str">
        <f>IF(tech_base!$T33&gt;U$1185,"",U1497+U1777)</f>
        <v/>
      </c>
      <c r="V1217" s="119" t="str">
        <f>IF(tech_base!$T33&gt;V$1185,"",V1497+V1777)</f>
        <v/>
      </c>
      <c r="W1217" s="119" t="str">
        <f>IF(tech_base!$T33&gt;W$1185,"",W1497+W1777)</f>
        <v/>
      </c>
      <c r="X1217" s="119" t="str">
        <f>IF(tech_base!$T33&gt;X$1185,"",X1497+X1777)</f>
        <v/>
      </c>
      <c r="Y1217" s="119" t="str">
        <f>IF(tech_base!$T33&gt;Y$1185,"",Y1497+Y1777)</f>
        <v/>
      </c>
      <c r="Z1217" s="119" t="str">
        <f>IF(tech_base!$T33&gt;Z$1185,"",Z1497+Z1777)</f>
        <v/>
      </c>
      <c r="AA1217" s="119" t="str">
        <f>IF(tech_base!$T33&gt;AA$1185,"",AA1497+AA1777)</f>
        <v/>
      </c>
      <c r="AB1217" s="119" t="str">
        <f>IF(tech_base!$T33&gt;AB$1185,"",AB1497+AB1777)</f>
        <v/>
      </c>
      <c r="AC1217" s="119" t="str">
        <f>IF(tech_base!$T33&gt;AC$1185,"",AC1497+AC1777)</f>
        <v/>
      </c>
      <c r="AD1217" s="119" t="str">
        <f>IF(tech_base!$T33&gt;AD$1185,"",AD1497+AD1777)</f>
        <v/>
      </c>
      <c r="AE1217" s="119">
        <f>IF(tech_base!$T33&gt;AE$1185,"",AE1497+AE1777)</f>
        <v>12.680534788945938</v>
      </c>
      <c r="AF1217" s="119">
        <f>IF(tech_base!$T33&gt;AF$1185,"",AF1497+AF1777)</f>
        <v>12.67963852836693</v>
      </c>
      <c r="AG1217" s="119">
        <f>IF(tech_base!$T33&gt;AG$1185,"",AG1497+AG1777)</f>
        <v>12.678489298911842</v>
      </c>
      <c r="AH1217" s="119">
        <f>IF(tech_base!$T33&gt;AH$1185,"",AH1497+AH1777)</f>
        <v>12.677016277761512</v>
      </c>
      <c r="AI1217" s="119">
        <f>IF(tech_base!$T33&gt;AI$1185,"",AI1497+AI1777)</f>
        <v>12.675129186119229</v>
      </c>
      <c r="AJ1217" s="119">
        <f>IF(tech_base!$T33&gt;AJ$1185,"",AJ1497+AJ1777)</f>
        <v>12.672713183769408</v>
      </c>
      <c r="AK1217" s="119">
        <f>IF(tech_base!$T33&gt;AK$1185,"",AK1497+AK1777)</f>
        <v>12.669622578369509</v>
      </c>
      <c r="AL1217" s="119">
        <f>IF(tech_base!$T33&gt;AL$1185,"",AL1497+AL1777)</f>
        <v>12.665673175876012</v>
      </c>
      <c r="AM1217" s="119">
        <f>IF(tech_base!$T33&gt;AM$1185,"",AM1497+AM1777)</f>
        <v>12.660633145556849</v>
      </c>
      <c r="AN1217" s="119">
        <f>IF(tech_base!$T33&gt;AN$1185,"",AN1497+AN1777)</f>
        <v>12.654212386036217</v>
      </c>
      <c r="AO1217" s="119">
        <f>IF(tech_base!$T33&gt;AO$1185,"",AO1497+AO1777)</f>
        <v>12.646050600444324</v>
      </c>
      <c r="AP1217" s="119">
        <f>IF(tech_base!$T33&gt;AP$1185,"",AP1497+AP1777)</f>
        <v>12.635704679556628</v>
      </c>
      <c r="AQ1217" s="119">
        <f>IF(tech_base!$T33&gt;AQ$1185,"",AQ1497+AQ1777)</f>
        <v>12.622636630389396</v>
      </c>
      <c r="AR1217" s="119">
        <f>IF(tech_base!$T33&gt;AR$1185,"",AR1497+AR1777)</f>
        <v>12.606204261538116</v>
      </c>
      <c r="AS1217" s="119">
        <f>IF(tech_base!$T33&gt;AS$1185,"",AS1497+AS1777)</f>
        <v>12.585658212416892</v>
      </c>
      <c r="AT1217" s="119">
        <f>IF(tech_base!$T33&gt;AT$1185,"",AT1497+AT1777)</f>
        <v>12.560150670738849</v>
      </c>
      <c r="AU1217" s="119">
        <f>IF(tech_base!$T33&gt;AU$1185,"",AU1497+AU1777)</f>
        <v>12.528763029326216</v>
      </c>
      <c r="AV1217" s="119">
        <f>IF(tech_base!$T33&gt;AV$1185,"",AV1497+AV1777)</f>
        <v>12.490561161656091</v>
      </c>
      <c r="AW1217" s="119">
        <f>IF(tech_base!$T33&gt;AW$1185,"",AW1497+AW1777)</f>
        <v>12.444686722044711</v>
      </c>
      <c r="AX1217" s="120">
        <f>IF(tech_base!$T33&gt;AX$1185,"",AX1497+AX1777)</f>
        <v>12.39048903542481</v>
      </c>
    </row>
    <row r="1218" spans="1:50" x14ac:dyDescent="0.25">
      <c r="A1218" s="356"/>
      <c r="B1218" s="380"/>
      <c r="C1218" s="381"/>
      <c r="D1218" s="4" t="s">
        <v>8</v>
      </c>
      <c r="E1218" s="168" t="str">
        <f>A1193&amp;"/"&amp;B1209&amp;"/"&amp;C1217&amp;"/"&amp;D1218</f>
        <v>Coal fired power plants/Fluidized bed combustion/CHP with CCS/M</v>
      </c>
      <c r="F1218" s="80" t="str">
        <f>A1193</f>
        <v>Coal fired power plants</v>
      </c>
      <c r="G1218" s="80" t="str">
        <f>B1209</f>
        <v>Fluidized bed combustion</v>
      </c>
      <c r="H1218" s="80" t="str">
        <f>C1217</f>
        <v>CHP with CCS</v>
      </c>
      <c r="I1218" s="169" t="str">
        <f t="shared" si="372"/>
        <v>M</v>
      </c>
      <c r="J1218" s="127" t="str">
        <f>IF(tech_base!$T34&gt;J$1185,"",J1498+J1778)</f>
        <v/>
      </c>
      <c r="K1218" s="127" t="str">
        <f>IF(tech_base!$T34&gt;K$1185,"",K1498+K1778)</f>
        <v/>
      </c>
      <c r="L1218" s="127" t="str">
        <f>IF(tech_base!$T34&gt;L$1185,"",L1498+L1778)</f>
        <v/>
      </c>
      <c r="M1218" s="127" t="str">
        <f>IF(tech_base!$T34&gt;M$1185,"",M1498+M1778)</f>
        <v/>
      </c>
      <c r="N1218" s="127" t="str">
        <f>IF(tech_base!$T34&gt;N$1185,"",N1498+N1778)</f>
        <v/>
      </c>
      <c r="O1218" s="127" t="str">
        <f>IF(tech_base!$T34&gt;O$1185,"",O1498+O1778)</f>
        <v/>
      </c>
      <c r="P1218" s="127" t="str">
        <f>IF(tech_base!$T34&gt;P$1185,"",P1498+P1778)</f>
        <v/>
      </c>
      <c r="Q1218" s="127" t="str">
        <f>IF(tech_base!$T34&gt;Q$1185,"",Q1498+Q1778)</f>
        <v/>
      </c>
      <c r="R1218" s="127" t="str">
        <f>IF(tech_base!$T34&gt;R$1185,"",R1498+R1778)</f>
        <v/>
      </c>
      <c r="S1218" s="127" t="str">
        <f>IF(tech_base!$T34&gt;S$1185,"",S1498+S1778)</f>
        <v/>
      </c>
      <c r="T1218" s="127" t="str">
        <f>IF(tech_base!$T34&gt;T$1185,"",T1498+T1778)</f>
        <v/>
      </c>
      <c r="U1218" s="127" t="str">
        <f>IF(tech_base!$T34&gt;U$1185,"",U1498+U1778)</f>
        <v/>
      </c>
      <c r="V1218" s="127" t="str">
        <f>IF(tech_base!$T34&gt;V$1185,"",V1498+V1778)</f>
        <v/>
      </c>
      <c r="W1218" s="127" t="str">
        <f>IF(tech_base!$T34&gt;W$1185,"",W1498+W1778)</f>
        <v/>
      </c>
      <c r="X1218" s="127" t="str">
        <f>IF(tech_base!$T34&gt;X$1185,"",X1498+X1778)</f>
        <v/>
      </c>
      <c r="Y1218" s="127" t="str">
        <f>IF(tech_base!$T34&gt;Y$1185,"",Y1498+Y1778)</f>
        <v/>
      </c>
      <c r="Z1218" s="127" t="str">
        <f>IF(tech_base!$T34&gt;Z$1185,"",Z1498+Z1778)</f>
        <v/>
      </c>
      <c r="AA1218" s="127" t="str">
        <f>IF(tech_base!$T34&gt;AA$1185,"",AA1498+AA1778)</f>
        <v/>
      </c>
      <c r="AB1218" s="127" t="str">
        <f>IF(tech_base!$T34&gt;AB$1185,"",AB1498+AB1778)</f>
        <v/>
      </c>
      <c r="AC1218" s="127" t="str">
        <f>IF(tech_base!$T34&gt;AC$1185,"",AC1498+AC1778)</f>
        <v/>
      </c>
      <c r="AD1218" s="127" t="str">
        <f>IF(tech_base!$T34&gt;AD$1185,"",AD1498+AD1778)</f>
        <v/>
      </c>
      <c r="AE1218" s="127">
        <f>IF(tech_base!$T34&gt;AE$1185,"",AE1498+AE1778)</f>
        <v>13.534568337710716</v>
      </c>
      <c r="AF1218" s="127">
        <f>IF(tech_base!$T34&gt;AF$1185,"",AF1498+AF1778)</f>
        <v>13.533531916384272</v>
      </c>
      <c r="AG1218" s="127">
        <f>IF(tech_base!$T34&gt;AG$1185,"",AG1498+AG1778)</f>
        <v>13.53220294504778</v>
      </c>
      <c r="AH1218" s="127">
        <f>IF(tech_base!$T34&gt;AH$1185,"",AH1498+AH1778)</f>
        <v>13.530499506015333</v>
      </c>
      <c r="AI1218" s="127">
        <f>IF(tech_base!$T34&gt;AI$1185,"",AI1498+AI1778)</f>
        <v>13.528317169013478</v>
      </c>
      <c r="AJ1218" s="127">
        <f>IF(tech_base!$T34&gt;AJ$1185,"",AJ1498+AJ1778)</f>
        <v>13.525523078005083</v>
      </c>
      <c r="AK1218" s="127">
        <f>IF(tech_base!$T34&gt;AK$1185,"",AK1498+AK1778)</f>
        <v>13.521948661470132</v>
      </c>
      <c r="AL1218" s="127">
        <f>IF(tech_base!$T34&gt;AL$1185,"",AL1498+AL1778)</f>
        <v>13.517380761806026</v>
      </c>
      <c r="AM1218" s="127">
        <f>IF(tech_base!$T34&gt;AM$1185,"",AM1498+AM1778)</f>
        <v>13.511551031889185</v>
      </c>
      <c r="AN1218" s="127">
        <f>IF(tech_base!$T34&gt;AN$1185,"",AN1498+AN1778)</f>
        <v>13.504123574471564</v>
      </c>
      <c r="AO1218" s="127">
        <f>IF(tech_base!$T34&gt;AO$1185,"",AO1498+AO1778)</f>
        <v>13.494681052008749</v>
      </c>
      <c r="AP1218" s="127">
        <f>IF(tech_base!$T34&gt;AP$1185,"",AP1498+AP1778)</f>
        <v>13.482709940498795</v>
      </c>
      <c r="AQ1218" s="127">
        <f>IF(tech_base!$T34&gt;AQ$1185,"",AQ1498+AQ1778)</f>
        <v>13.467586331941328</v>
      </c>
      <c r="AR1218" s="127">
        <f>IF(tech_base!$T34&gt;AR$1185,"",AR1498+AR1778)</f>
        <v>13.448564808331549</v>
      </c>
      <c r="AS1218" s="127">
        <f>IF(tech_base!$T34&gt;AS$1185,"",AS1498+AS1778)</f>
        <v>13.424774496097848</v>
      </c>
      <c r="AT1218" s="127">
        <f>IF(tech_base!$T34&gt;AT$1185,"",AT1498+AT1778)</f>
        <v>13.395228446524413</v>
      </c>
      <c r="AU1218" s="127">
        <f>IF(tech_base!$T34&gt;AU$1185,"",AU1498+AU1778)</f>
        <v>13.358854719729399</v>
      </c>
      <c r="AV1218" s="127">
        <f>IF(tech_base!$T34&gt;AV$1185,"",AV1498+AV1778)</f>
        <v>13.314559270413545</v>
      </c>
      <c r="AW1218" s="127">
        <f>IF(tech_base!$T34&gt;AW$1185,"",AW1498+AW1778)</f>
        <v>13.261330550277204</v>
      </c>
      <c r="AX1218" s="128">
        <f>IF(tech_base!$T34&gt;AX$1185,"",AX1498+AX1778)</f>
        <v>13.198391506838835</v>
      </c>
    </row>
    <row r="1219" spans="1:50" x14ac:dyDescent="0.25">
      <c r="A1219" s="356"/>
      <c r="B1219" s="358" t="s">
        <v>19</v>
      </c>
      <c r="C1219" s="353" t="s">
        <v>6</v>
      </c>
      <c r="D1219" s="3" t="s">
        <v>7</v>
      </c>
      <c r="E1219" s="162" t="str">
        <f>A1193&amp;"/"&amp;B1219&amp;"/"&amp;C1219&amp;"/"&amp;D1219</f>
        <v>Coal fired power plants/Steam turbine/Electricity only/L</v>
      </c>
      <c r="F1219" s="77" t="str">
        <f>A1193</f>
        <v>Coal fired power plants</v>
      </c>
      <c r="G1219" s="77" t="str">
        <f>B1219</f>
        <v>Steam turbine</v>
      </c>
      <c r="H1219" s="77" t="str">
        <f>C1219</f>
        <v>Electricity only</v>
      </c>
      <c r="I1219" s="163" t="str">
        <f t="shared" si="372"/>
        <v>L</v>
      </c>
      <c r="J1219" s="121">
        <f>IF(tech_base!$T35&gt;J$1185,"",J1499+J1779)</f>
        <v>0</v>
      </c>
      <c r="K1219" s="121">
        <f>IF(tech_base!$T35&gt;K$1185,"",K1499+K1779)</f>
        <v>0</v>
      </c>
      <c r="L1219" s="121">
        <f>IF(tech_base!$T35&gt;L$1185,"",L1499+L1779)</f>
        <v>0</v>
      </c>
      <c r="M1219" s="121">
        <f>IF(tech_base!$T35&gt;M$1185,"",M1499+M1779)</f>
        <v>0</v>
      </c>
      <c r="N1219" s="121">
        <f>IF(tech_base!$T35&gt;N$1185,"",N1499+N1779)</f>
        <v>0</v>
      </c>
      <c r="O1219" s="121">
        <f>IF(tech_base!$T35&gt;O$1185,"",O1499+O1779)</f>
        <v>0</v>
      </c>
      <c r="P1219" s="121">
        <f>IF(tech_base!$T35&gt;P$1185,"",P1499+P1779)</f>
        <v>0</v>
      </c>
      <c r="Q1219" s="121">
        <f>IF(tech_base!$T35&gt;Q$1185,"",Q1499+Q1779)</f>
        <v>0</v>
      </c>
      <c r="R1219" s="121">
        <f>IF(tech_base!$T35&gt;R$1185,"",R1499+R1779)</f>
        <v>0</v>
      </c>
      <c r="S1219" s="121">
        <f>IF(tech_base!$T35&gt;S$1185,"",S1499+S1779)</f>
        <v>0</v>
      </c>
      <c r="T1219" s="121">
        <f>IF(tech_base!$T35&gt;T$1185,"",T1499+T1779)</f>
        <v>0</v>
      </c>
      <c r="U1219" s="121">
        <f>IF(tech_base!$T35&gt;U$1185,"",U1499+U1779)</f>
        <v>0</v>
      </c>
      <c r="V1219" s="121">
        <f>IF(tech_base!$T35&gt;V$1185,"",V1499+V1779)</f>
        <v>0</v>
      </c>
      <c r="W1219" s="121">
        <f>IF(tech_base!$T35&gt;W$1185,"",W1499+W1779)</f>
        <v>0</v>
      </c>
      <c r="X1219" s="121">
        <f>IF(tech_base!$T35&gt;X$1185,"",X1499+X1779)</f>
        <v>0</v>
      </c>
      <c r="Y1219" s="121">
        <f>IF(tech_base!$T35&gt;Y$1185,"",Y1499+Y1779)</f>
        <v>0</v>
      </c>
      <c r="Z1219" s="121">
        <f>IF(tech_base!$T35&gt;Z$1185,"",Z1499+Z1779)</f>
        <v>0</v>
      </c>
      <c r="AA1219" s="121">
        <f>IF(tech_base!$T35&gt;AA$1185,"",AA1499+AA1779)</f>
        <v>0</v>
      </c>
      <c r="AB1219" s="121">
        <f>IF(tech_base!$T35&gt;AB$1185,"",AB1499+AB1779)</f>
        <v>0</v>
      </c>
      <c r="AC1219" s="121">
        <f>IF(tech_base!$T35&gt;AC$1185,"",AC1499+AC1779)</f>
        <v>0</v>
      </c>
      <c r="AD1219" s="121">
        <f>IF(tech_base!$T35&gt;AD$1185,"",AD1499+AD1779)</f>
        <v>0</v>
      </c>
      <c r="AE1219" s="121">
        <f>IF(tech_base!$T35&gt;AE$1185,"",AE1499+AE1779)</f>
        <v>0</v>
      </c>
      <c r="AF1219" s="121">
        <f>IF(tech_base!$T35&gt;AF$1185,"",AF1499+AF1779)</f>
        <v>0</v>
      </c>
      <c r="AG1219" s="121">
        <f>IF(tech_base!$T35&gt;AG$1185,"",AG1499+AG1779)</f>
        <v>0</v>
      </c>
      <c r="AH1219" s="121">
        <f>IF(tech_base!$T35&gt;AH$1185,"",AH1499+AH1779)</f>
        <v>0</v>
      </c>
      <c r="AI1219" s="121">
        <f>IF(tech_base!$T35&gt;AI$1185,"",AI1499+AI1779)</f>
        <v>0</v>
      </c>
      <c r="AJ1219" s="121">
        <f>IF(tech_base!$T35&gt;AJ$1185,"",AJ1499+AJ1779)</f>
        <v>0</v>
      </c>
      <c r="AK1219" s="121">
        <f>IF(tech_base!$T35&gt;AK$1185,"",AK1499+AK1779)</f>
        <v>0</v>
      </c>
      <c r="AL1219" s="121">
        <f>IF(tech_base!$T35&gt;AL$1185,"",AL1499+AL1779)</f>
        <v>0</v>
      </c>
      <c r="AM1219" s="121">
        <f>IF(tech_base!$T35&gt;AM$1185,"",AM1499+AM1779)</f>
        <v>0</v>
      </c>
      <c r="AN1219" s="121">
        <f>IF(tech_base!$T35&gt;AN$1185,"",AN1499+AN1779)</f>
        <v>0</v>
      </c>
      <c r="AO1219" s="121">
        <f>IF(tech_base!$T35&gt;AO$1185,"",AO1499+AO1779)</f>
        <v>0</v>
      </c>
      <c r="AP1219" s="121">
        <f>IF(tech_base!$T35&gt;AP$1185,"",AP1499+AP1779)</f>
        <v>0</v>
      </c>
      <c r="AQ1219" s="121">
        <f>IF(tech_base!$T35&gt;AQ$1185,"",AQ1499+AQ1779)</f>
        <v>0</v>
      </c>
      <c r="AR1219" s="121">
        <f>IF(tech_base!$T35&gt;AR$1185,"",AR1499+AR1779)</f>
        <v>0</v>
      </c>
      <c r="AS1219" s="121">
        <f>IF(tech_base!$T35&gt;AS$1185,"",AS1499+AS1779)</f>
        <v>0</v>
      </c>
      <c r="AT1219" s="121">
        <f>IF(tech_base!$T35&gt;AT$1185,"",AT1499+AT1779)</f>
        <v>0</v>
      </c>
      <c r="AU1219" s="121">
        <f>IF(tech_base!$T35&gt;AU$1185,"",AU1499+AU1779)</f>
        <v>0</v>
      </c>
      <c r="AV1219" s="121">
        <f>IF(tech_base!$T35&gt;AV$1185,"",AV1499+AV1779)</f>
        <v>0</v>
      </c>
      <c r="AW1219" s="121">
        <f>IF(tech_base!$T35&gt;AW$1185,"",AW1499+AW1779)</f>
        <v>0</v>
      </c>
      <c r="AX1219" s="122">
        <f>IF(tech_base!$T35&gt;AX$1185,"",AX1499+AX1779)</f>
        <v>0</v>
      </c>
    </row>
    <row r="1220" spans="1:50" x14ac:dyDescent="0.25">
      <c r="A1220" s="356"/>
      <c r="B1220" s="376"/>
      <c r="C1220" s="378"/>
      <c r="D1220" s="2" t="s">
        <v>8</v>
      </c>
      <c r="E1220" s="160" t="str">
        <f>A1193&amp;"/"&amp;B1219&amp;"/"&amp;C1219&amp;"/"&amp;D1220</f>
        <v>Coal fired power plants/Steam turbine/Electricity only/M</v>
      </c>
      <c r="F1220" s="76" t="str">
        <f>A1193</f>
        <v>Coal fired power plants</v>
      </c>
      <c r="G1220" s="76" t="str">
        <f>B1219</f>
        <v>Steam turbine</v>
      </c>
      <c r="H1220" s="76" t="str">
        <f>C1219</f>
        <v>Electricity only</v>
      </c>
      <c r="I1220" s="161" t="str">
        <f t="shared" si="372"/>
        <v>M</v>
      </c>
      <c r="J1220" s="119">
        <f>IF(tech_base!$T36&gt;J$1185,"",J1500+J1780)</f>
        <v>0</v>
      </c>
      <c r="K1220" s="119">
        <f>IF(tech_base!$T36&gt;K$1185,"",K1500+K1780)</f>
        <v>0</v>
      </c>
      <c r="L1220" s="119">
        <f>IF(tech_base!$T36&gt;L$1185,"",L1500+L1780)</f>
        <v>0</v>
      </c>
      <c r="M1220" s="119">
        <f>IF(tech_base!$T36&gt;M$1185,"",M1500+M1780)</f>
        <v>0</v>
      </c>
      <c r="N1220" s="119">
        <f>IF(tech_base!$T36&gt;N$1185,"",N1500+N1780)</f>
        <v>0</v>
      </c>
      <c r="O1220" s="119">
        <f>IF(tech_base!$T36&gt;O$1185,"",O1500+O1780)</f>
        <v>0</v>
      </c>
      <c r="P1220" s="119">
        <f>IF(tech_base!$T36&gt;P$1185,"",P1500+P1780)</f>
        <v>0</v>
      </c>
      <c r="Q1220" s="119">
        <f>IF(tech_base!$T36&gt;Q$1185,"",Q1500+Q1780)</f>
        <v>0</v>
      </c>
      <c r="R1220" s="119">
        <f>IF(tech_base!$T36&gt;R$1185,"",R1500+R1780)</f>
        <v>0</v>
      </c>
      <c r="S1220" s="119">
        <f>IF(tech_base!$T36&gt;S$1185,"",S1500+S1780)</f>
        <v>0</v>
      </c>
      <c r="T1220" s="119">
        <f>IF(tech_base!$T36&gt;T$1185,"",T1500+T1780)</f>
        <v>0</v>
      </c>
      <c r="U1220" s="119">
        <f>IF(tech_base!$T36&gt;U$1185,"",U1500+U1780)</f>
        <v>0</v>
      </c>
      <c r="V1220" s="119">
        <f>IF(tech_base!$T36&gt;V$1185,"",V1500+V1780)</f>
        <v>0</v>
      </c>
      <c r="W1220" s="119">
        <f>IF(tech_base!$T36&gt;W$1185,"",W1500+W1780)</f>
        <v>0</v>
      </c>
      <c r="X1220" s="119">
        <f>IF(tech_base!$T36&gt;X$1185,"",X1500+X1780)</f>
        <v>0</v>
      </c>
      <c r="Y1220" s="119">
        <f>IF(tech_base!$T36&gt;Y$1185,"",Y1500+Y1780)</f>
        <v>0</v>
      </c>
      <c r="Z1220" s="119">
        <f>IF(tech_base!$T36&gt;Z$1185,"",Z1500+Z1780)</f>
        <v>0</v>
      </c>
      <c r="AA1220" s="119">
        <f>IF(tech_base!$T36&gt;AA$1185,"",AA1500+AA1780)</f>
        <v>0</v>
      </c>
      <c r="AB1220" s="119">
        <f>IF(tech_base!$T36&gt;AB$1185,"",AB1500+AB1780)</f>
        <v>0</v>
      </c>
      <c r="AC1220" s="119">
        <f>IF(tech_base!$T36&gt;AC$1185,"",AC1500+AC1780)</f>
        <v>0</v>
      </c>
      <c r="AD1220" s="119">
        <f>IF(tech_base!$T36&gt;AD$1185,"",AD1500+AD1780)</f>
        <v>0</v>
      </c>
      <c r="AE1220" s="119">
        <f>IF(tech_base!$T36&gt;AE$1185,"",AE1500+AE1780)</f>
        <v>0</v>
      </c>
      <c r="AF1220" s="119">
        <f>IF(tech_base!$T36&gt;AF$1185,"",AF1500+AF1780)</f>
        <v>0</v>
      </c>
      <c r="AG1220" s="119">
        <f>IF(tech_base!$T36&gt;AG$1185,"",AG1500+AG1780)</f>
        <v>0</v>
      </c>
      <c r="AH1220" s="119">
        <f>IF(tech_base!$T36&gt;AH$1185,"",AH1500+AH1780)</f>
        <v>0</v>
      </c>
      <c r="AI1220" s="119">
        <f>IF(tech_base!$T36&gt;AI$1185,"",AI1500+AI1780)</f>
        <v>0</v>
      </c>
      <c r="AJ1220" s="119">
        <f>IF(tech_base!$T36&gt;AJ$1185,"",AJ1500+AJ1780)</f>
        <v>0</v>
      </c>
      <c r="AK1220" s="119">
        <f>IF(tech_base!$T36&gt;AK$1185,"",AK1500+AK1780)</f>
        <v>0</v>
      </c>
      <c r="AL1220" s="119">
        <f>IF(tech_base!$T36&gt;AL$1185,"",AL1500+AL1780)</f>
        <v>0</v>
      </c>
      <c r="AM1220" s="119">
        <f>IF(tech_base!$T36&gt;AM$1185,"",AM1500+AM1780)</f>
        <v>0</v>
      </c>
      <c r="AN1220" s="119">
        <f>IF(tech_base!$T36&gt;AN$1185,"",AN1500+AN1780)</f>
        <v>0</v>
      </c>
      <c r="AO1220" s="119">
        <f>IF(tech_base!$T36&gt;AO$1185,"",AO1500+AO1780)</f>
        <v>0</v>
      </c>
      <c r="AP1220" s="119">
        <f>IF(tech_base!$T36&gt;AP$1185,"",AP1500+AP1780)</f>
        <v>0</v>
      </c>
      <c r="AQ1220" s="119">
        <f>IF(tech_base!$T36&gt;AQ$1185,"",AQ1500+AQ1780)</f>
        <v>0</v>
      </c>
      <c r="AR1220" s="119">
        <f>IF(tech_base!$T36&gt;AR$1185,"",AR1500+AR1780)</f>
        <v>0</v>
      </c>
      <c r="AS1220" s="119">
        <f>IF(tech_base!$T36&gt;AS$1185,"",AS1500+AS1780)</f>
        <v>0</v>
      </c>
      <c r="AT1220" s="119">
        <f>IF(tech_base!$T36&gt;AT$1185,"",AT1500+AT1780)</f>
        <v>0</v>
      </c>
      <c r="AU1220" s="119">
        <f>IF(tech_base!$T36&gt;AU$1185,"",AU1500+AU1780)</f>
        <v>0</v>
      </c>
      <c r="AV1220" s="119">
        <f>IF(tech_base!$T36&gt;AV$1185,"",AV1500+AV1780)</f>
        <v>0</v>
      </c>
      <c r="AW1220" s="119">
        <f>IF(tech_base!$T36&gt;AW$1185,"",AW1500+AW1780)</f>
        <v>0</v>
      </c>
      <c r="AX1220" s="120">
        <f>IF(tech_base!$T36&gt;AX$1185,"",AX1500+AX1780)</f>
        <v>0</v>
      </c>
    </row>
    <row r="1221" spans="1:50" x14ac:dyDescent="0.25">
      <c r="A1221" s="356"/>
      <c r="B1221" s="376"/>
      <c r="C1221" s="378"/>
      <c r="D1221" s="2" t="s">
        <v>10</v>
      </c>
      <c r="E1221" s="160" t="str">
        <f>A1193&amp;"/"&amp;B1219&amp;"/"&amp;C1219&amp;"/"&amp;D1221</f>
        <v>Coal fired power plants/Steam turbine/Electricity only/S</v>
      </c>
      <c r="F1221" s="76" t="str">
        <f>A1193</f>
        <v>Coal fired power plants</v>
      </c>
      <c r="G1221" s="76" t="str">
        <f>B1219</f>
        <v>Steam turbine</v>
      </c>
      <c r="H1221" s="76" t="str">
        <f>C1219</f>
        <v>Electricity only</v>
      </c>
      <c r="I1221" s="161" t="str">
        <f t="shared" si="372"/>
        <v>S</v>
      </c>
      <c r="J1221" s="119">
        <f>IF(tech_base!$T37&gt;J$1185,"",J1501+J1781)</f>
        <v>0</v>
      </c>
      <c r="K1221" s="119">
        <f>IF(tech_base!$T37&gt;K$1185,"",K1501+K1781)</f>
        <v>0</v>
      </c>
      <c r="L1221" s="119">
        <f>IF(tech_base!$T37&gt;L$1185,"",L1501+L1781)</f>
        <v>0</v>
      </c>
      <c r="M1221" s="119">
        <f>IF(tech_base!$T37&gt;M$1185,"",M1501+M1781)</f>
        <v>0</v>
      </c>
      <c r="N1221" s="119">
        <f>IF(tech_base!$T37&gt;N$1185,"",N1501+N1781)</f>
        <v>0</v>
      </c>
      <c r="O1221" s="119">
        <f>IF(tech_base!$T37&gt;O$1185,"",O1501+O1781)</f>
        <v>0</v>
      </c>
      <c r="P1221" s="119">
        <f>IF(tech_base!$T37&gt;P$1185,"",P1501+P1781)</f>
        <v>0</v>
      </c>
      <c r="Q1221" s="119">
        <f>IF(tech_base!$T37&gt;Q$1185,"",Q1501+Q1781)</f>
        <v>0</v>
      </c>
      <c r="R1221" s="119">
        <f>IF(tech_base!$T37&gt;R$1185,"",R1501+R1781)</f>
        <v>0</v>
      </c>
      <c r="S1221" s="119">
        <f>IF(tech_base!$T37&gt;S$1185,"",S1501+S1781)</f>
        <v>0</v>
      </c>
      <c r="T1221" s="119">
        <f>IF(tech_base!$T37&gt;T$1185,"",T1501+T1781)</f>
        <v>0</v>
      </c>
      <c r="U1221" s="119">
        <f>IF(tech_base!$T37&gt;U$1185,"",U1501+U1781)</f>
        <v>0</v>
      </c>
      <c r="V1221" s="119">
        <f>IF(tech_base!$T37&gt;V$1185,"",V1501+V1781)</f>
        <v>0</v>
      </c>
      <c r="W1221" s="119">
        <f>IF(tech_base!$T37&gt;W$1185,"",W1501+W1781)</f>
        <v>0</v>
      </c>
      <c r="X1221" s="119">
        <f>IF(tech_base!$T37&gt;X$1185,"",X1501+X1781)</f>
        <v>0</v>
      </c>
      <c r="Y1221" s="119">
        <f>IF(tech_base!$T37&gt;Y$1185,"",Y1501+Y1781)</f>
        <v>0</v>
      </c>
      <c r="Z1221" s="119">
        <f>IF(tech_base!$T37&gt;Z$1185,"",Z1501+Z1781)</f>
        <v>0</v>
      </c>
      <c r="AA1221" s="119">
        <f>IF(tech_base!$T37&gt;AA$1185,"",AA1501+AA1781)</f>
        <v>0</v>
      </c>
      <c r="AB1221" s="119">
        <f>IF(tech_base!$T37&gt;AB$1185,"",AB1501+AB1781)</f>
        <v>0</v>
      </c>
      <c r="AC1221" s="119">
        <f>IF(tech_base!$T37&gt;AC$1185,"",AC1501+AC1781)</f>
        <v>0</v>
      </c>
      <c r="AD1221" s="119">
        <f>IF(tech_base!$T37&gt;AD$1185,"",AD1501+AD1781)</f>
        <v>0</v>
      </c>
      <c r="AE1221" s="119">
        <f>IF(tech_base!$T37&gt;AE$1185,"",AE1501+AE1781)</f>
        <v>0</v>
      </c>
      <c r="AF1221" s="119">
        <f>IF(tech_base!$T37&gt;AF$1185,"",AF1501+AF1781)</f>
        <v>0</v>
      </c>
      <c r="AG1221" s="119">
        <f>IF(tech_base!$T37&gt;AG$1185,"",AG1501+AG1781)</f>
        <v>0</v>
      </c>
      <c r="AH1221" s="119">
        <f>IF(tech_base!$T37&gt;AH$1185,"",AH1501+AH1781)</f>
        <v>0</v>
      </c>
      <c r="AI1221" s="119">
        <f>IF(tech_base!$T37&gt;AI$1185,"",AI1501+AI1781)</f>
        <v>0</v>
      </c>
      <c r="AJ1221" s="119">
        <f>IF(tech_base!$T37&gt;AJ$1185,"",AJ1501+AJ1781)</f>
        <v>0</v>
      </c>
      <c r="AK1221" s="119">
        <f>IF(tech_base!$T37&gt;AK$1185,"",AK1501+AK1781)</f>
        <v>0</v>
      </c>
      <c r="AL1221" s="119">
        <f>IF(tech_base!$T37&gt;AL$1185,"",AL1501+AL1781)</f>
        <v>0</v>
      </c>
      <c r="AM1221" s="119">
        <f>IF(tech_base!$T37&gt;AM$1185,"",AM1501+AM1781)</f>
        <v>0</v>
      </c>
      <c r="AN1221" s="119">
        <f>IF(tech_base!$T37&gt;AN$1185,"",AN1501+AN1781)</f>
        <v>0</v>
      </c>
      <c r="AO1221" s="119">
        <f>IF(tech_base!$T37&gt;AO$1185,"",AO1501+AO1781)</f>
        <v>0</v>
      </c>
      <c r="AP1221" s="119">
        <f>IF(tech_base!$T37&gt;AP$1185,"",AP1501+AP1781)</f>
        <v>0</v>
      </c>
      <c r="AQ1221" s="119">
        <f>IF(tech_base!$T37&gt;AQ$1185,"",AQ1501+AQ1781)</f>
        <v>0</v>
      </c>
      <c r="AR1221" s="119">
        <f>IF(tech_base!$T37&gt;AR$1185,"",AR1501+AR1781)</f>
        <v>0</v>
      </c>
      <c r="AS1221" s="119">
        <f>IF(tech_base!$T37&gt;AS$1185,"",AS1501+AS1781)</f>
        <v>0</v>
      </c>
      <c r="AT1221" s="119">
        <f>IF(tech_base!$T37&gt;AT$1185,"",AT1501+AT1781)</f>
        <v>0</v>
      </c>
      <c r="AU1221" s="119">
        <f>IF(tech_base!$T37&gt;AU$1185,"",AU1501+AU1781)</f>
        <v>0</v>
      </c>
      <c r="AV1221" s="119">
        <f>IF(tech_base!$T37&gt;AV$1185,"",AV1501+AV1781)</f>
        <v>0</v>
      </c>
      <c r="AW1221" s="119">
        <f>IF(tech_base!$T37&gt;AW$1185,"",AW1501+AW1781)</f>
        <v>0</v>
      </c>
      <c r="AX1221" s="120">
        <f>IF(tech_base!$T37&gt;AX$1185,"",AX1501+AX1781)</f>
        <v>0</v>
      </c>
    </row>
    <row r="1222" spans="1:50" x14ac:dyDescent="0.25">
      <c r="A1222" s="356"/>
      <c r="B1222" s="376"/>
      <c r="C1222" s="379"/>
      <c r="D1222" s="2" t="s">
        <v>20</v>
      </c>
      <c r="E1222" s="160" t="str">
        <f>A1193&amp;"/"&amp;B1219&amp;"/"&amp;C1219&amp;"/"&amp;D1222</f>
        <v>Coal fired power plants/Steam turbine/Electricity only/XS</v>
      </c>
      <c r="F1222" s="76" t="str">
        <f>A1193</f>
        <v>Coal fired power plants</v>
      </c>
      <c r="G1222" s="76" t="str">
        <f>B1219</f>
        <v>Steam turbine</v>
      </c>
      <c r="H1222" s="76" t="str">
        <f>C1219</f>
        <v>Electricity only</v>
      </c>
      <c r="I1222" s="161" t="str">
        <f t="shared" si="372"/>
        <v>XS</v>
      </c>
      <c r="J1222" s="119">
        <f>IF(tech_base!$T38&gt;J$1185,"",J1502+J1782)</f>
        <v>0</v>
      </c>
      <c r="K1222" s="119">
        <f>IF(tech_base!$T38&gt;K$1185,"",K1502+K1782)</f>
        <v>0</v>
      </c>
      <c r="L1222" s="119">
        <f>IF(tech_base!$T38&gt;L$1185,"",L1502+L1782)</f>
        <v>0</v>
      </c>
      <c r="M1222" s="119">
        <f>IF(tech_base!$T38&gt;M$1185,"",M1502+M1782)</f>
        <v>0</v>
      </c>
      <c r="N1222" s="119">
        <f>IF(tech_base!$T38&gt;N$1185,"",N1502+N1782)</f>
        <v>0</v>
      </c>
      <c r="O1222" s="119">
        <f>IF(tech_base!$T38&gt;O$1185,"",O1502+O1782)</f>
        <v>0</v>
      </c>
      <c r="P1222" s="119">
        <f>IF(tech_base!$T38&gt;P$1185,"",P1502+P1782)</f>
        <v>0</v>
      </c>
      <c r="Q1222" s="119">
        <f>IF(tech_base!$T38&gt;Q$1185,"",Q1502+Q1782)</f>
        <v>0</v>
      </c>
      <c r="R1222" s="119">
        <f>IF(tech_base!$T38&gt;R$1185,"",R1502+R1782)</f>
        <v>0</v>
      </c>
      <c r="S1222" s="119">
        <f>IF(tech_base!$T38&gt;S$1185,"",S1502+S1782)</f>
        <v>0</v>
      </c>
      <c r="T1222" s="119">
        <f>IF(tech_base!$T38&gt;T$1185,"",T1502+T1782)</f>
        <v>0</v>
      </c>
      <c r="U1222" s="119">
        <f>IF(tech_base!$T38&gt;U$1185,"",U1502+U1782)</f>
        <v>0</v>
      </c>
      <c r="V1222" s="119">
        <f>IF(tech_base!$T38&gt;V$1185,"",V1502+V1782)</f>
        <v>0</v>
      </c>
      <c r="W1222" s="119">
        <f>IF(tech_base!$T38&gt;W$1185,"",W1502+W1782)</f>
        <v>0</v>
      </c>
      <c r="X1222" s="119">
        <f>IF(tech_base!$T38&gt;X$1185,"",X1502+X1782)</f>
        <v>0</v>
      </c>
      <c r="Y1222" s="119">
        <f>IF(tech_base!$T38&gt;Y$1185,"",Y1502+Y1782)</f>
        <v>0</v>
      </c>
      <c r="Z1222" s="119">
        <f>IF(tech_base!$T38&gt;Z$1185,"",Z1502+Z1782)</f>
        <v>0</v>
      </c>
      <c r="AA1222" s="119">
        <f>IF(tech_base!$T38&gt;AA$1185,"",AA1502+AA1782)</f>
        <v>0</v>
      </c>
      <c r="AB1222" s="119">
        <f>IF(tech_base!$T38&gt;AB$1185,"",AB1502+AB1782)</f>
        <v>0</v>
      </c>
      <c r="AC1222" s="119">
        <f>IF(tech_base!$T38&gt;AC$1185,"",AC1502+AC1782)</f>
        <v>0</v>
      </c>
      <c r="AD1222" s="119">
        <f>IF(tech_base!$T38&gt;AD$1185,"",AD1502+AD1782)</f>
        <v>0</v>
      </c>
      <c r="AE1222" s="119">
        <f>IF(tech_base!$T38&gt;AE$1185,"",AE1502+AE1782)</f>
        <v>0</v>
      </c>
      <c r="AF1222" s="119">
        <f>IF(tech_base!$T38&gt;AF$1185,"",AF1502+AF1782)</f>
        <v>0</v>
      </c>
      <c r="AG1222" s="119">
        <f>IF(tech_base!$T38&gt;AG$1185,"",AG1502+AG1782)</f>
        <v>0</v>
      </c>
      <c r="AH1222" s="119">
        <f>IF(tech_base!$T38&gt;AH$1185,"",AH1502+AH1782)</f>
        <v>0</v>
      </c>
      <c r="AI1222" s="119">
        <f>IF(tech_base!$T38&gt;AI$1185,"",AI1502+AI1782)</f>
        <v>0</v>
      </c>
      <c r="AJ1222" s="119">
        <f>IF(tech_base!$T38&gt;AJ$1185,"",AJ1502+AJ1782)</f>
        <v>0</v>
      </c>
      <c r="AK1222" s="119">
        <f>IF(tech_base!$T38&gt;AK$1185,"",AK1502+AK1782)</f>
        <v>0</v>
      </c>
      <c r="AL1222" s="119">
        <f>IF(tech_base!$T38&gt;AL$1185,"",AL1502+AL1782)</f>
        <v>0</v>
      </c>
      <c r="AM1222" s="119">
        <f>IF(tech_base!$T38&gt;AM$1185,"",AM1502+AM1782)</f>
        <v>0</v>
      </c>
      <c r="AN1222" s="119">
        <f>IF(tech_base!$T38&gt;AN$1185,"",AN1502+AN1782)</f>
        <v>0</v>
      </c>
      <c r="AO1222" s="119">
        <f>IF(tech_base!$T38&gt;AO$1185,"",AO1502+AO1782)</f>
        <v>0</v>
      </c>
      <c r="AP1222" s="119">
        <f>IF(tech_base!$T38&gt;AP$1185,"",AP1502+AP1782)</f>
        <v>0</v>
      </c>
      <c r="AQ1222" s="119">
        <f>IF(tech_base!$T38&gt;AQ$1185,"",AQ1502+AQ1782)</f>
        <v>0</v>
      </c>
      <c r="AR1222" s="119">
        <f>IF(tech_base!$T38&gt;AR$1185,"",AR1502+AR1782)</f>
        <v>0</v>
      </c>
      <c r="AS1222" s="119">
        <f>IF(tech_base!$T38&gt;AS$1185,"",AS1502+AS1782)</f>
        <v>0</v>
      </c>
      <c r="AT1222" s="119">
        <f>IF(tech_base!$T38&gt;AT$1185,"",AT1502+AT1782)</f>
        <v>0</v>
      </c>
      <c r="AU1222" s="119">
        <f>IF(tech_base!$T38&gt;AU$1185,"",AU1502+AU1782)</f>
        <v>0</v>
      </c>
      <c r="AV1222" s="119">
        <f>IF(tech_base!$T38&gt;AV$1185,"",AV1502+AV1782)</f>
        <v>0</v>
      </c>
      <c r="AW1222" s="119">
        <f>IF(tech_base!$T38&gt;AW$1185,"",AW1502+AW1782)</f>
        <v>0</v>
      </c>
      <c r="AX1222" s="120">
        <f>IF(tech_base!$T38&gt;AX$1185,"",AX1502+AX1782)</f>
        <v>0</v>
      </c>
    </row>
    <row r="1223" spans="1:50" x14ac:dyDescent="0.25">
      <c r="A1223" s="356"/>
      <c r="B1223" s="376"/>
      <c r="C1223" s="361" t="s">
        <v>14</v>
      </c>
      <c r="D1223" s="58" t="s">
        <v>7</v>
      </c>
      <c r="E1223" s="164" t="str">
        <f>A1193&amp;"/"&amp;B1219&amp;"/"&amp;C1223&amp;"/"&amp;D1223</f>
        <v>Coal fired power plants/Steam turbine/CHP/L</v>
      </c>
      <c r="F1223" s="78" t="str">
        <f>A1193</f>
        <v>Coal fired power plants</v>
      </c>
      <c r="G1223" s="78" t="str">
        <f>B1219</f>
        <v>Steam turbine</v>
      </c>
      <c r="H1223" s="78" t="str">
        <f>C1223</f>
        <v>CHP</v>
      </c>
      <c r="I1223" s="165" t="str">
        <f t="shared" si="372"/>
        <v>L</v>
      </c>
      <c r="J1223" s="123">
        <f>IF(tech_base!$T39&gt;J$1185,"",J1503+J1783)</f>
        <v>0</v>
      </c>
      <c r="K1223" s="123">
        <f>IF(tech_base!$T39&gt;K$1185,"",K1503+K1783)</f>
        <v>0</v>
      </c>
      <c r="L1223" s="123">
        <f>IF(tech_base!$T39&gt;L$1185,"",L1503+L1783)</f>
        <v>0</v>
      </c>
      <c r="M1223" s="123">
        <f>IF(tech_base!$T39&gt;M$1185,"",M1503+M1783)</f>
        <v>0</v>
      </c>
      <c r="N1223" s="123">
        <f>IF(tech_base!$T39&gt;N$1185,"",N1503+N1783)</f>
        <v>0</v>
      </c>
      <c r="O1223" s="123">
        <f>IF(tech_base!$T39&gt;O$1185,"",O1503+O1783)</f>
        <v>0</v>
      </c>
      <c r="P1223" s="123">
        <f>IF(tech_base!$T39&gt;P$1185,"",P1503+P1783)</f>
        <v>0</v>
      </c>
      <c r="Q1223" s="123">
        <f>IF(tech_base!$T39&gt;Q$1185,"",Q1503+Q1783)</f>
        <v>0</v>
      </c>
      <c r="R1223" s="123">
        <f>IF(tech_base!$T39&gt;R$1185,"",R1503+R1783)</f>
        <v>0</v>
      </c>
      <c r="S1223" s="123">
        <f>IF(tech_base!$T39&gt;S$1185,"",S1503+S1783)</f>
        <v>0</v>
      </c>
      <c r="T1223" s="123">
        <f>IF(tech_base!$T39&gt;T$1185,"",T1503+T1783)</f>
        <v>0</v>
      </c>
      <c r="U1223" s="123">
        <f>IF(tech_base!$T39&gt;U$1185,"",U1503+U1783)</f>
        <v>0</v>
      </c>
      <c r="V1223" s="123">
        <f>IF(tech_base!$T39&gt;V$1185,"",V1503+V1783)</f>
        <v>0</v>
      </c>
      <c r="W1223" s="123">
        <f>IF(tech_base!$T39&gt;W$1185,"",W1503+W1783)</f>
        <v>0</v>
      </c>
      <c r="X1223" s="123">
        <f>IF(tech_base!$T39&gt;X$1185,"",X1503+X1783)</f>
        <v>0</v>
      </c>
      <c r="Y1223" s="123">
        <f>IF(tech_base!$T39&gt;Y$1185,"",Y1503+Y1783)</f>
        <v>0</v>
      </c>
      <c r="Z1223" s="123">
        <f>IF(tech_base!$T39&gt;Z$1185,"",Z1503+Z1783)</f>
        <v>0</v>
      </c>
      <c r="AA1223" s="123">
        <f>IF(tech_base!$T39&gt;AA$1185,"",AA1503+AA1783)</f>
        <v>0</v>
      </c>
      <c r="AB1223" s="123">
        <f>IF(tech_base!$T39&gt;AB$1185,"",AB1503+AB1783)</f>
        <v>0</v>
      </c>
      <c r="AC1223" s="123">
        <f>IF(tech_base!$T39&gt;AC$1185,"",AC1503+AC1783)</f>
        <v>0</v>
      </c>
      <c r="AD1223" s="123">
        <f>IF(tech_base!$T39&gt;AD$1185,"",AD1503+AD1783)</f>
        <v>0</v>
      </c>
      <c r="AE1223" s="123">
        <f>IF(tech_base!$T39&gt;AE$1185,"",AE1503+AE1783)</f>
        <v>0</v>
      </c>
      <c r="AF1223" s="123">
        <f>IF(tech_base!$T39&gt;AF$1185,"",AF1503+AF1783)</f>
        <v>0</v>
      </c>
      <c r="AG1223" s="123">
        <f>IF(tech_base!$T39&gt;AG$1185,"",AG1503+AG1783)</f>
        <v>0</v>
      </c>
      <c r="AH1223" s="123">
        <f>IF(tech_base!$T39&gt;AH$1185,"",AH1503+AH1783)</f>
        <v>0</v>
      </c>
      <c r="AI1223" s="123">
        <f>IF(tech_base!$T39&gt;AI$1185,"",AI1503+AI1783)</f>
        <v>0</v>
      </c>
      <c r="AJ1223" s="123">
        <f>IF(tech_base!$T39&gt;AJ$1185,"",AJ1503+AJ1783)</f>
        <v>0</v>
      </c>
      <c r="AK1223" s="123">
        <f>IF(tech_base!$T39&gt;AK$1185,"",AK1503+AK1783)</f>
        <v>0</v>
      </c>
      <c r="AL1223" s="123">
        <f>IF(tech_base!$T39&gt;AL$1185,"",AL1503+AL1783)</f>
        <v>0</v>
      </c>
      <c r="AM1223" s="123">
        <f>IF(tech_base!$T39&gt;AM$1185,"",AM1503+AM1783)</f>
        <v>0</v>
      </c>
      <c r="AN1223" s="123">
        <f>IF(tech_base!$T39&gt;AN$1185,"",AN1503+AN1783)</f>
        <v>0</v>
      </c>
      <c r="AO1223" s="123">
        <f>IF(tech_base!$T39&gt;AO$1185,"",AO1503+AO1783)</f>
        <v>0</v>
      </c>
      <c r="AP1223" s="123">
        <f>IF(tech_base!$T39&gt;AP$1185,"",AP1503+AP1783)</f>
        <v>0</v>
      </c>
      <c r="AQ1223" s="123">
        <f>IF(tech_base!$T39&gt;AQ$1185,"",AQ1503+AQ1783)</f>
        <v>0</v>
      </c>
      <c r="AR1223" s="123">
        <f>IF(tech_base!$T39&gt;AR$1185,"",AR1503+AR1783)</f>
        <v>0</v>
      </c>
      <c r="AS1223" s="123">
        <f>IF(tech_base!$T39&gt;AS$1185,"",AS1503+AS1783)</f>
        <v>0</v>
      </c>
      <c r="AT1223" s="123">
        <f>IF(tech_base!$T39&gt;AT$1185,"",AT1503+AT1783)</f>
        <v>0</v>
      </c>
      <c r="AU1223" s="123">
        <f>IF(tech_base!$T39&gt;AU$1185,"",AU1503+AU1783)</f>
        <v>0</v>
      </c>
      <c r="AV1223" s="123">
        <f>IF(tech_base!$T39&gt;AV$1185,"",AV1503+AV1783)</f>
        <v>0</v>
      </c>
      <c r="AW1223" s="123">
        <f>IF(tech_base!$T39&gt;AW$1185,"",AW1503+AW1783)</f>
        <v>0</v>
      </c>
      <c r="AX1223" s="124">
        <f>IF(tech_base!$T39&gt;AX$1185,"",AX1503+AX1783)</f>
        <v>0</v>
      </c>
    </row>
    <row r="1224" spans="1:50" x14ac:dyDescent="0.25">
      <c r="A1224" s="356"/>
      <c r="B1224" s="376"/>
      <c r="C1224" s="378"/>
      <c r="D1224" s="2" t="s">
        <v>8</v>
      </c>
      <c r="E1224" s="160" t="str">
        <f>A1193&amp;"/"&amp;B1219&amp;"/"&amp;C1223&amp;"/"&amp;D1224</f>
        <v>Coal fired power plants/Steam turbine/CHP/M</v>
      </c>
      <c r="F1224" s="76" t="str">
        <f>A1193</f>
        <v>Coal fired power plants</v>
      </c>
      <c r="G1224" s="76" t="str">
        <f>B1219</f>
        <v>Steam turbine</v>
      </c>
      <c r="H1224" s="76" t="str">
        <f>C1223</f>
        <v>CHP</v>
      </c>
      <c r="I1224" s="161" t="str">
        <f t="shared" si="372"/>
        <v>M</v>
      </c>
      <c r="J1224" s="119">
        <f>IF(tech_base!$T40&gt;J$1185,"",J1504+J1784)</f>
        <v>0</v>
      </c>
      <c r="K1224" s="119">
        <f>IF(tech_base!$T40&gt;K$1185,"",K1504+K1784)</f>
        <v>0</v>
      </c>
      <c r="L1224" s="119">
        <f>IF(tech_base!$T40&gt;L$1185,"",L1504+L1784)</f>
        <v>0</v>
      </c>
      <c r="M1224" s="119">
        <f>IF(tech_base!$T40&gt;M$1185,"",M1504+M1784)</f>
        <v>0</v>
      </c>
      <c r="N1224" s="119">
        <f>IF(tech_base!$T40&gt;N$1185,"",N1504+N1784)</f>
        <v>0</v>
      </c>
      <c r="O1224" s="119">
        <f>IF(tech_base!$T40&gt;O$1185,"",O1504+O1784)</f>
        <v>0</v>
      </c>
      <c r="P1224" s="119">
        <f>IF(tech_base!$T40&gt;P$1185,"",P1504+P1784)</f>
        <v>0</v>
      </c>
      <c r="Q1224" s="119">
        <f>IF(tech_base!$T40&gt;Q$1185,"",Q1504+Q1784)</f>
        <v>0</v>
      </c>
      <c r="R1224" s="119">
        <f>IF(tech_base!$T40&gt;R$1185,"",R1504+R1784)</f>
        <v>0</v>
      </c>
      <c r="S1224" s="119">
        <f>IF(tech_base!$T40&gt;S$1185,"",S1504+S1784)</f>
        <v>0</v>
      </c>
      <c r="T1224" s="119">
        <f>IF(tech_base!$T40&gt;T$1185,"",T1504+T1784)</f>
        <v>0</v>
      </c>
      <c r="U1224" s="119">
        <f>IF(tech_base!$T40&gt;U$1185,"",U1504+U1784)</f>
        <v>0</v>
      </c>
      <c r="V1224" s="119">
        <f>IF(tech_base!$T40&gt;V$1185,"",V1504+V1784)</f>
        <v>0</v>
      </c>
      <c r="W1224" s="119">
        <f>IF(tech_base!$T40&gt;W$1185,"",W1504+W1784)</f>
        <v>0</v>
      </c>
      <c r="X1224" s="119">
        <f>IF(tech_base!$T40&gt;X$1185,"",X1504+X1784)</f>
        <v>0</v>
      </c>
      <c r="Y1224" s="119">
        <f>IF(tech_base!$T40&gt;Y$1185,"",Y1504+Y1784)</f>
        <v>0</v>
      </c>
      <c r="Z1224" s="119">
        <f>IF(tech_base!$T40&gt;Z$1185,"",Z1504+Z1784)</f>
        <v>0</v>
      </c>
      <c r="AA1224" s="119">
        <f>IF(tech_base!$T40&gt;AA$1185,"",AA1504+AA1784)</f>
        <v>0</v>
      </c>
      <c r="AB1224" s="119">
        <f>IF(tech_base!$T40&gt;AB$1185,"",AB1504+AB1784)</f>
        <v>0</v>
      </c>
      <c r="AC1224" s="119">
        <f>IF(tech_base!$T40&gt;AC$1185,"",AC1504+AC1784)</f>
        <v>0</v>
      </c>
      <c r="AD1224" s="119">
        <f>IF(tech_base!$T40&gt;AD$1185,"",AD1504+AD1784)</f>
        <v>0</v>
      </c>
      <c r="AE1224" s="119">
        <f>IF(tech_base!$T40&gt;AE$1185,"",AE1504+AE1784)</f>
        <v>0</v>
      </c>
      <c r="AF1224" s="119">
        <f>IF(tech_base!$T40&gt;AF$1185,"",AF1504+AF1784)</f>
        <v>0</v>
      </c>
      <c r="AG1224" s="119">
        <f>IF(tech_base!$T40&gt;AG$1185,"",AG1504+AG1784)</f>
        <v>0</v>
      </c>
      <c r="AH1224" s="119">
        <f>IF(tech_base!$T40&gt;AH$1185,"",AH1504+AH1784)</f>
        <v>0</v>
      </c>
      <c r="AI1224" s="119">
        <f>IF(tech_base!$T40&gt;AI$1185,"",AI1504+AI1784)</f>
        <v>0</v>
      </c>
      <c r="AJ1224" s="119">
        <f>IF(tech_base!$T40&gt;AJ$1185,"",AJ1504+AJ1784)</f>
        <v>0</v>
      </c>
      <c r="AK1224" s="119">
        <f>IF(tech_base!$T40&gt;AK$1185,"",AK1504+AK1784)</f>
        <v>0</v>
      </c>
      <c r="AL1224" s="119">
        <f>IF(tech_base!$T40&gt;AL$1185,"",AL1504+AL1784)</f>
        <v>0</v>
      </c>
      <c r="AM1224" s="119">
        <f>IF(tech_base!$T40&gt;AM$1185,"",AM1504+AM1784)</f>
        <v>0</v>
      </c>
      <c r="AN1224" s="119">
        <f>IF(tech_base!$T40&gt;AN$1185,"",AN1504+AN1784)</f>
        <v>0</v>
      </c>
      <c r="AO1224" s="119">
        <f>IF(tech_base!$T40&gt;AO$1185,"",AO1504+AO1784)</f>
        <v>0</v>
      </c>
      <c r="AP1224" s="119">
        <f>IF(tech_base!$T40&gt;AP$1185,"",AP1504+AP1784)</f>
        <v>0</v>
      </c>
      <c r="AQ1224" s="119">
        <f>IF(tech_base!$T40&gt;AQ$1185,"",AQ1504+AQ1784)</f>
        <v>0</v>
      </c>
      <c r="AR1224" s="119">
        <f>IF(tech_base!$T40&gt;AR$1185,"",AR1504+AR1784)</f>
        <v>0</v>
      </c>
      <c r="AS1224" s="119">
        <f>IF(tech_base!$T40&gt;AS$1185,"",AS1504+AS1784)</f>
        <v>0</v>
      </c>
      <c r="AT1224" s="119">
        <f>IF(tech_base!$T40&gt;AT$1185,"",AT1504+AT1784)</f>
        <v>0</v>
      </c>
      <c r="AU1224" s="119">
        <f>IF(tech_base!$T40&gt;AU$1185,"",AU1504+AU1784)</f>
        <v>0</v>
      </c>
      <c r="AV1224" s="119">
        <f>IF(tech_base!$T40&gt;AV$1185,"",AV1504+AV1784)</f>
        <v>0</v>
      </c>
      <c r="AW1224" s="119">
        <f>IF(tech_base!$T40&gt;AW$1185,"",AW1504+AW1784)</f>
        <v>0</v>
      </c>
      <c r="AX1224" s="120">
        <f>IF(tech_base!$T40&gt;AX$1185,"",AX1504+AX1784)</f>
        <v>0</v>
      </c>
    </row>
    <row r="1225" spans="1:50" x14ac:dyDescent="0.25">
      <c r="A1225" s="356"/>
      <c r="B1225" s="376"/>
      <c r="C1225" s="378"/>
      <c r="D1225" s="2" t="s">
        <v>10</v>
      </c>
      <c r="E1225" s="160" t="str">
        <f>A1193&amp;"/"&amp;B1219&amp;"/"&amp;C1223&amp;"/"&amp;D1225</f>
        <v>Coal fired power plants/Steam turbine/CHP/S</v>
      </c>
      <c r="F1225" s="76" t="str">
        <f>A1193</f>
        <v>Coal fired power plants</v>
      </c>
      <c r="G1225" s="76" t="str">
        <f>B1219</f>
        <v>Steam turbine</v>
      </c>
      <c r="H1225" s="76" t="str">
        <f>C1223</f>
        <v>CHP</v>
      </c>
      <c r="I1225" s="161" t="str">
        <f t="shared" si="372"/>
        <v>S</v>
      </c>
      <c r="J1225" s="119">
        <f>IF(tech_base!$T41&gt;J$1185,"",J1505+J1785)</f>
        <v>0</v>
      </c>
      <c r="K1225" s="119">
        <f>IF(tech_base!$T41&gt;K$1185,"",K1505+K1785)</f>
        <v>0</v>
      </c>
      <c r="L1225" s="119">
        <f>IF(tech_base!$T41&gt;L$1185,"",L1505+L1785)</f>
        <v>0</v>
      </c>
      <c r="M1225" s="119">
        <f>IF(tech_base!$T41&gt;M$1185,"",M1505+M1785)</f>
        <v>0</v>
      </c>
      <c r="N1225" s="119">
        <f>IF(tech_base!$T41&gt;N$1185,"",N1505+N1785)</f>
        <v>0</v>
      </c>
      <c r="O1225" s="119">
        <f>IF(tech_base!$T41&gt;O$1185,"",O1505+O1785)</f>
        <v>0</v>
      </c>
      <c r="P1225" s="119">
        <f>IF(tech_base!$T41&gt;P$1185,"",P1505+P1785)</f>
        <v>0</v>
      </c>
      <c r="Q1225" s="119">
        <f>IF(tech_base!$T41&gt;Q$1185,"",Q1505+Q1785)</f>
        <v>0</v>
      </c>
      <c r="R1225" s="119">
        <f>IF(tech_base!$T41&gt;R$1185,"",R1505+R1785)</f>
        <v>0</v>
      </c>
      <c r="S1225" s="119">
        <f>IF(tech_base!$T41&gt;S$1185,"",S1505+S1785)</f>
        <v>0</v>
      </c>
      <c r="T1225" s="119">
        <f>IF(tech_base!$T41&gt;T$1185,"",T1505+T1785)</f>
        <v>0</v>
      </c>
      <c r="U1225" s="119">
        <f>IF(tech_base!$T41&gt;U$1185,"",U1505+U1785)</f>
        <v>0</v>
      </c>
      <c r="V1225" s="119">
        <f>IF(tech_base!$T41&gt;V$1185,"",V1505+V1785)</f>
        <v>0</v>
      </c>
      <c r="W1225" s="119">
        <f>IF(tech_base!$T41&gt;W$1185,"",W1505+W1785)</f>
        <v>0</v>
      </c>
      <c r="X1225" s="119">
        <f>IF(tech_base!$T41&gt;X$1185,"",X1505+X1785)</f>
        <v>0</v>
      </c>
      <c r="Y1225" s="119">
        <f>IF(tech_base!$T41&gt;Y$1185,"",Y1505+Y1785)</f>
        <v>0</v>
      </c>
      <c r="Z1225" s="119">
        <f>IF(tech_base!$T41&gt;Z$1185,"",Z1505+Z1785)</f>
        <v>0</v>
      </c>
      <c r="AA1225" s="119">
        <f>IF(tech_base!$T41&gt;AA$1185,"",AA1505+AA1785)</f>
        <v>0</v>
      </c>
      <c r="AB1225" s="119">
        <f>IF(tech_base!$T41&gt;AB$1185,"",AB1505+AB1785)</f>
        <v>0</v>
      </c>
      <c r="AC1225" s="119">
        <f>IF(tech_base!$T41&gt;AC$1185,"",AC1505+AC1785)</f>
        <v>0</v>
      </c>
      <c r="AD1225" s="119">
        <f>IF(tech_base!$T41&gt;AD$1185,"",AD1505+AD1785)</f>
        <v>0</v>
      </c>
      <c r="AE1225" s="119">
        <f>IF(tech_base!$T41&gt;AE$1185,"",AE1505+AE1785)</f>
        <v>0</v>
      </c>
      <c r="AF1225" s="119">
        <f>IF(tech_base!$T41&gt;AF$1185,"",AF1505+AF1785)</f>
        <v>0</v>
      </c>
      <c r="AG1225" s="119">
        <f>IF(tech_base!$T41&gt;AG$1185,"",AG1505+AG1785)</f>
        <v>0</v>
      </c>
      <c r="AH1225" s="119">
        <f>IF(tech_base!$T41&gt;AH$1185,"",AH1505+AH1785)</f>
        <v>0</v>
      </c>
      <c r="AI1225" s="119">
        <f>IF(tech_base!$T41&gt;AI$1185,"",AI1505+AI1785)</f>
        <v>0</v>
      </c>
      <c r="AJ1225" s="119">
        <f>IF(tech_base!$T41&gt;AJ$1185,"",AJ1505+AJ1785)</f>
        <v>0</v>
      </c>
      <c r="AK1225" s="119">
        <f>IF(tech_base!$T41&gt;AK$1185,"",AK1505+AK1785)</f>
        <v>0</v>
      </c>
      <c r="AL1225" s="119">
        <f>IF(tech_base!$T41&gt;AL$1185,"",AL1505+AL1785)</f>
        <v>0</v>
      </c>
      <c r="AM1225" s="119">
        <f>IF(tech_base!$T41&gt;AM$1185,"",AM1505+AM1785)</f>
        <v>0</v>
      </c>
      <c r="AN1225" s="119">
        <f>IF(tech_base!$T41&gt;AN$1185,"",AN1505+AN1785)</f>
        <v>0</v>
      </c>
      <c r="AO1225" s="119">
        <f>IF(tech_base!$T41&gt;AO$1185,"",AO1505+AO1785)</f>
        <v>0</v>
      </c>
      <c r="AP1225" s="119">
        <f>IF(tech_base!$T41&gt;AP$1185,"",AP1505+AP1785)</f>
        <v>0</v>
      </c>
      <c r="AQ1225" s="119">
        <f>IF(tech_base!$T41&gt;AQ$1185,"",AQ1505+AQ1785)</f>
        <v>0</v>
      </c>
      <c r="AR1225" s="119">
        <f>IF(tech_base!$T41&gt;AR$1185,"",AR1505+AR1785)</f>
        <v>0</v>
      </c>
      <c r="AS1225" s="119">
        <f>IF(tech_base!$T41&gt;AS$1185,"",AS1505+AS1785)</f>
        <v>0</v>
      </c>
      <c r="AT1225" s="119">
        <f>IF(tech_base!$T41&gt;AT$1185,"",AT1505+AT1785)</f>
        <v>0</v>
      </c>
      <c r="AU1225" s="119">
        <f>IF(tech_base!$T41&gt;AU$1185,"",AU1505+AU1785)</f>
        <v>0</v>
      </c>
      <c r="AV1225" s="119">
        <f>IF(tech_base!$T41&gt;AV$1185,"",AV1505+AV1785)</f>
        <v>0</v>
      </c>
      <c r="AW1225" s="119">
        <f>IF(tech_base!$T41&gt;AW$1185,"",AW1505+AW1785)</f>
        <v>0</v>
      </c>
      <c r="AX1225" s="120">
        <f>IF(tech_base!$T41&gt;AX$1185,"",AX1505+AX1785)</f>
        <v>0</v>
      </c>
    </row>
    <row r="1226" spans="1:50" x14ac:dyDescent="0.25">
      <c r="A1226" s="356"/>
      <c r="B1226" s="376"/>
      <c r="C1226" s="379"/>
      <c r="D1226" s="59" t="s">
        <v>20</v>
      </c>
      <c r="E1226" s="166" t="str">
        <f>A1193&amp;"/"&amp;B1219&amp;"/"&amp;C1223&amp;"/"&amp;D1226</f>
        <v>Coal fired power plants/Steam turbine/CHP/XS</v>
      </c>
      <c r="F1226" s="79" t="str">
        <f>A1193</f>
        <v>Coal fired power plants</v>
      </c>
      <c r="G1226" s="79" t="str">
        <f>B1219</f>
        <v>Steam turbine</v>
      </c>
      <c r="H1226" s="79" t="str">
        <f>C1223</f>
        <v>CHP</v>
      </c>
      <c r="I1226" s="167" t="str">
        <f t="shared" si="372"/>
        <v>XS</v>
      </c>
      <c r="J1226" s="125">
        <f>IF(tech_base!$T42&gt;J$1185,"",J1506+J1786)</f>
        <v>0</v>
      </c>
      <c r="K1226" s="125">
        <f>IF(tech_base!$T42&gt;K$1185,"",K1506+K1786)</f>
        <v>0</v>
      </c>
      <c r="L1226" s="125">
        <f>IF(tech_base!$T42&gt;L$1185,"",L1506+L1786)</f>
        <v>0</v>
      </c>
      <c r="M1226" s="125">
        <f>IF(tech_base!$T42&gt;M$1185,"",M1506+M1786)</f>
        <v>0</v>
      </c>
      <c r="N1226" s="125">
        <f>IF(tech_base!$T42&gt;N$1185,"",N1506+N1786)</f>
        <v>0</v>
      </c>
      <c r="O1226" s="125">
        <f>IF(tech_base!$T42&gt;O$1185,"",O1506+O1786)</f>
        <v>0</v>
      </c>
      <c r="P1226" s="125">
        <f>IF(tech_base!$T42&gt;P$1185,"",P1506+P1786)</f>
        <v>0</v>
      </c>
      <c r="Q1226" s="125">
        <f>IF(tech_base!$T42&gt;Q$1185,"",Q1506+Q1786)</f>
        <v>0</v>
      </c>
      <c r="R1226" s="125">
        <f>IF(tech_base!$T42&gt;R$1185,"",R1506+R1786)</f>
        <v>0</v>
      </c>
      <c r="S1226" s="125">
        <f>IF(tech_base!$T42&gt;S$1185,"",S1506+S1786)</f>
        <v>0</v>
      </c>
      <c r="T1226" s="125">
        <f>IF(tech_base!$T42&gt;T$1185,"",T1506+T1786)</f>
        <v>0</v>
      </c>
      <c r="U1226" s="125">
        <f>IF(tech_base!$T42&gt;U$1185,"",U1506+U1786)</f>
        <v>0</v>
      </c>
      <c r="V1226" s="125">
        <f>IF(tech_base!$T42&gt;V$1185,"",V1506+V1786)</f>
        <v>0</v>
      </c>
      <c r="W1226" s="125">
        <f>IF(tech_base!$T42&gt;W$1185,"",W1506+W1786)</f>
        <v>0</v>
      </c>
      <c r="X1226" s="125">
        <f>IF(tech_base!$T42&gt;X$1185,"",X1506+X1786)</f>
        <v>0</v>
      </c>
      <c r="Y1226" s="125">
        <f>IF(tech_base!$T42&gt;Y$1185,"",Y1506+Y1786)</f>
        <v>0</v>
      </c>
      <c r="Z1226" s="125">
        <f>IF(tech_base!$T42&gt;Z$1185,"",Z1506+Z1786)</f>
        <v>0</v>
      </c>
      <c r="AA1226" s="125">
        <f>IF(tech_base!$T42&gt;AA$1185,"",AA1506+AA1786)</f>
        <v>0</v>
      </c>
      <c r="AB1226" s="125">
        <f>IF(tech_base!$T42&gt;AB$1185,"",AB1506+AB1786)</f>
        <v>0</v>
      </c>
      <c r="AC1226" s="125">
        <f>IF(tech_base!$T42&gt;AC$1185,"",AC1506+AC1786)</f>
        <v>0</v>
      </c>
      <c r="AD1226" s="125">
        <f>IF(tech_base!$T42&gt;AD$1185,"",AD1506+AD1786)</f>
        <v>0</v>
      </c>
      <c r="AE1226" s="125">
        <f>IF(tech_base!$T42&gt;AE$1185,"",AE1506+AE1786)</f>
        <v>0</v>
      </c>
      <c r="AF1226" s="125">
        <f>IF(tech_base!$T42&gt;AF$1185,"",AF1506+AF1786)</f>
        <v>0</v>
      </c>
      <c r="AG1226" s="125">
        <f>IF(tech_base!$T42&gt;AG$1185,"",AG1506+AG1786)</f>
        <v>0</v>
      </c>
      <c r="AH1226" s="125">
        <f>IF(tech_base!$T42&gt;AH$1185,"",AH1506+AH1786)</f>
        <v>0</v>
      </c>
      <c r="AI1226" s="125">
        <f>IF(tech_base!$T42&gt;AI$1185,"",AI1506+AI1786)</f>
        <v>0</v>
      </c>
      <c r="AJ1226" s="125">
        <f>IF(tech_base!$T42&gt;AJ$1185,"",AJ1506+AJ1786)</f>
        <v>0</v>
      </c>
      <c r="AK1226" s="125">
        <f>IF(tech_base!$T42&gt;AK$1185,"",AK1506+AK1786)</f>
        <v>0</v>
      </c>
      <c r="AL1226" s="125">
        <f>IF(tech_base!$T42&gt;AL$1185,"",AL1506+AL1786)</f>
        <v>0</v>
      </c>
      <c r="AM1226" s="125">
        <f>IF(tech_base!$T42&gt;AM$1185,"",AM1506+AM1786)</f>
        <v>0</v>
      </c>
      <c r="AN1226" s="125">
        <f>IF(tech_base!$T42&gt;AN$1185,"",AN1506+AN1786)</f>
        <v>0</v>
      </c>
      <c r="AO1226" s="125">
        <f>IF(tech_base!$T42&gt;AO$1185,"",AO1506+AO1786)</f>
        <v>0</v>
      </c>
      <c r="AP1226" s="125">
        <f>IF(tech_base!$T42&gt;AP$1185,"",AP1506+AP1786)</f>
        <v>0</v>
      </c>
      <c r="AQ1226" s="125">
        <f>IF(tech_base!$T42&gt;AQ$1185,"",AQ1506+AQ1786)</f>
        <v>0</v>
      </c>
      <c r="AR1226" s="125">
        <f>IF(tech_base!$T42&gt;AR$1185,"",AR1506+AR1786)</f>
        <v>0</v>
      </c>
      <c r="AS1226" s="125">
        <f>IF(tech_base!$T42&gt;AS$1185,"",AS1506+AS1786)</f>
        <v>0</v>
      </c>
      <c r="AT1226" s="125">
        <f>IF(tech_base!$T42&gt;AT$1185,"",AT1506+AT1786)</f>
        <v>0</v>
      </c>
      <c r="AU1226" s="125">
        <f>IF(tech_base!$T42&gt;AU$1185,"",AU1506+AU1786)</f>
        <v>0</v>
      </c>
      <c r="AV1226" s="125">
        <f>IF(tech_base!$T42&gt;AV$1185,"",AV1506+AV1786)</f>
        <v>0</v>
      </c>
      <c r="AW1226" s="125">
        <f>IF(tech_base!$T42&gt;AW$1185,"",AW1506+AW1786)</f>
        <v>0</v>
      </c>
      <c r="AX1226" s="126">
        <f>IF(tech_base!$T42&gt;AX$1185,"",AX1506+AX1786)</f>
        <v>0</v>
      </c>
    </row>
    <row r="1227" spans="1:50" x14ac:dyDescent="0.25">
      <c r="A1227" s="356"/>
      <c r="B1227" s="376"/>
      <c r="C1227" s="361" t="s">
        <v>15</v>
      </c>
      <c r="D1227" s="58" t="s">
        <v>7</v>
      </c>
      <c r="E1227" s="164" t="str">
        <f>A1193&amp;"/"&amp;B1219&amp;"/"&amp;C1227&amp;"/"&amp;D1227</f>
        <v>Coal fired power plants/Steam turbine/Electricity only with CCS/L</v>
      </c>
      <c r="F1227" s="78" t="str">
        <f>A1193</f>
        <v>Coal fired power plants</v>
      </c>
      <c r="G1227" s="78" t="str">
        <f>B1219</f>
        <v>Steam turbine</v>
      </c>
      <c r="H1227" s="78" t="str">
        <f>C1227</f>
        <v>Electricity only with CCS</v>
      </c>
      <c r="I1227" s="165" t="str">
        <f t="shared" si="372"/>
        <v>L</v>
      </c>
      <c r="J1227" s="123" t="str">
        <f>IF(tech_base!$T43&gt;J$1185,"",J1507+J1787)</f>
        <v/>
      </c>
      <c r="K1227" s="123" t="str">
        <f>IF(tech_base!$T43&gt;K$1185,"",K1507+K1787)</f>
        <v/>
      </c>
      <c r="L1227" s="123" t="str">
        <f>IF(tech_base!$T43&gt;L$1185,"",L1507+L1787)</f>
        <v/>
      </c>
      <c r="M1227" s="123" t="str">
        <f>IF(tech_base!$T43&gt;M$1185,"",M1507+M1787)</f>
        <v/>
      </c>
      <c r="N1227" s="123" t="str">
        <f>IF(tech_base!$T43&gt;N$1185,"",N1507+N1787)</f>
        <v/>
      </c>
      <c r="O1227" s="123" t="str">
        <f>IF(tech_base!$T43&gt;O$1185,"",O1507+O1787)</f>
        <v/>
      </c>
      <c r="P1227" s="123" t="str">
        <f>IF(tech_base!$T43&gt;P$1185,"",P1507+P1787)</f>
        <v/>
      </c>
      <c r="Q1227" s="123" t="str">
        <f>IF(tech_base!$T43&gt;Q$1185,"",Q1507+Q1787)</f>
        <v/>
      </c>
      <c r="R1227" s="123" t="str">
        <f>IF(tech_base!$T43&gt;R$1185,"",R1507+R1787)</f>
        <v/>
      </c>
      <c r="S1227" s="123" t="str">
        <f>IF(tech_base!$T43&gt;S$1185,"",S1507+S1787)</f>
        <v/>
      </c>
      <c r="T1227" s="123" t="str">
        <f>IF(tech_base!$T43&gt;T$1185,"",T1507+T1787)</f>
        <v/>
      </c>
      <c r="U1227" s="123" t="str">
        <f>IF(tech_base!$T43&gt;U$1185,"",U1507+U1787)</f>
        <v/>
      </c>
      <c r="V1227" s="123" t="str">
        <f>IF(tech_base!$T43&gt;V$1185,"",V1507+V1787)</f>
        <v/>
      </c>
      <c r="W1227" s="123" t="str">
        <f>IF(tech_base!$T43&gt;W$1185,"",W1507+W1787)</f>
        <v/>
      </c>
      <c r="X1227" s="123" t="str">
        <f>IF(tech_base!$T43&gt;X$1185,"",X1507+X1787)</f>
        <v/>
      </c>
      <c r="Y1227" s="123" t="str">
        <f>IF(tech_base!$T43&gt;Y$1185,"",Y1507+Y1787)</f>
        <v/>
      </c>
      <c r="Z1227" s="123" t="str">
        <f>IF(tech_base!$T43&gt;Z$1185,"",Z1507+Z1787)</f>
        <v/>
      </c>
      <c r="AA1227" s="123" t="str">
        <f>IF(tech_base!$T43&gt;AA$1185,"",AA1507+AA1787)</f>
        <v/>
      </c>
      <c r="AB1227" s="123" t="str">
        <f>IF(tech_base!$T43&gt;AB$1185,"",AB1507+AB1787)</f>
        <v/>
      </c>
      <c r="AC1227" s="123" t="str">
        <f>IF(tech_base!$T43&gt;AC$1185,"",AC1507+AC1787)</f>
        <v/>
      </c>
      <c r="AD1227" s="123" t="str">
        <f>IF(tech_base!$T43&gt;AD$1185,"",AD1507+AD1787)</f>
        <v/>
      </c>
      <c r="AE1227" s="123">
        <f>IF(tech_base!$T43&gt;AE$1185,"",AE1507+AE1787)</f>
        <v>10.804033557528864</v>
      </c>
      <c r="AF1227" s="123">
        <f>IF(tech_base!$T43&gt;AF$1185,"",AF1507+AF1787)</f>
        <v>10.804033557528864</v>
      </c>
      <c r="AG1227" s="123">
        <f>IF(tech_base!$T43&gt;AG$1185,"",AG1507+AG1787)</f>
        <v>10.804033557528864</v>
      </c>
      <c r="AH1227" s="123">
        <f>IF(tech_base!$T43&gt;AH$1185,"",AH1507+AH1787)</f>
        <v>10.804033557528864</v>
      </c>
      <c r="AI1227" s="123">
        <f>IF(tech_base!$T43&gt;AI$1185,"",AI1507+AI1787)</f>
        <v>10.804033557528864</v>
      </c>
      <c r="AJ1227" s="123">
        <f>IF(tech_base!$T43&gt;AJ$1185,"",AJ1507+AJ1787)</f>
        <v>10.804033557528864</v>
      </c>
      <c r="AK1227" s="123">
        <f>IF(tech_base!$T43&gt;AK$1185,"",AK1507+AK1787)</f>
        <v>10.804033557528864</v>
      </c>
      <c r="AL1227" s="123">
        <f>IF(tech_base!$T43&gt;AL$1185,"",AL1507+AL1787)</f>
        <v>10.804033557528864</v>
      </c>
      <c r="AM1227" s="123">
        <f>IF(tech_base!$T43&gt;AM$1185,"",AM1507+AM1787)</f>
        <v>10.804033557528864</v>
      </c>
      <c r="AN1227" s="123">
        <f>IF(tech_base!$T43&gt;AN$1185,"",AN1507+AN1787)</f>
        <v>10.804033557528864</v>
      </c>
      <c r="AO1227" s="123">
        <f>IF(tech_base!$T43&gt;AO$1185,"",AO1507+AO1787)</f>
        <v>10.804033557528864</v>
      </c>
      <c r="AP1227" s="123">
        <f>IF(tech_base!$T43&gt;AP$1185,"",AP1507+AP1787)</f>
        <v>10.804033557528864</v>
      </c>
      <c r="AQ1227" s="123">
        <f>IF(tech_base!$T43&gt;AQ$1185,"",AQ1507+AQ1787)</f>
        <v>10.804033557528864</v>
      </c>
      <c r="AR1227" s="123">
        <f>IF(tech_base!$T43&gt;AR$1185,"",AR1507+AR1787)</f>
        <v>10.804033557528864</v>
      </c>
      <c r="AS1227" s="123">
        <f>IF(tech_base!$T43&gt;AS$1185,"",AS1507+AS1787)</f>
        <v>10.804033557528864</v>
      </c>
      <c r="AT1227" s="123">
        <f>IF(tech_base!$T43&gt;AT$1185,"",AT1507+AT1787)</f>
        <v>10.804033557528864</v>
      </c>
      <c r="AU1227" s="123">
        <f>IF(tech_base!$T43&gt;AU$1185,"",AU1507+AU1787)</f>
        <v>10.804033557528864</v>
      </c>
      <c r="AV1227" s="123">
        <f>IF(tech_base!$T43&gt;AV$1185,"",AV1507+AV1787)</f>
        <v>10.804033557528864</v>
      </c>
      <c r="AW1227" s="123">
        <f>IF(tech_base!$T43&gt;AW$1185,"",AW1507+AW1787)</f>
        <v>10.804033557528864</v>
      </c>
      <c r="AX1227" s="124">
        <f>IF(tech_base!$T43&gt;AX$1185,"",AX1507+AX1787)</f>
        <v>10.804033557528864</v>
      </c>
    </row>
    <row r="1228" spans="1:50" x14ac:dyDescent="0.25">
      <c r="A1228" s="356"/>
      <c r="B1228" s="376"/>
      <c r="C1228" s="379"/>
      <c r="D1228" s="59" t="s">
        <v>8</v>
      </c>
      <c r="E1228" s="166" t="str">
        <f>A1193&amp;"/"&amp;B1219&amp;"/"&amp;C1227&amp;"/"&amp;D1228</f>
        <v>Coal fired power plants/Steam turbine/Electricity only with CCS/M</v>
      </c>
      <c r="F1228" s="79" t="str">
        <f>A1193</f>
        <v>Coal fired power plants</v>
      </c>
      <c r="G1228" s="79" t="str">
        <f>B1219</f>
        <v>Steam turbine</v>
      </c>
      <c r="H1228" s="79" t="str">
        <f>C1227</f>
        <v>Electricity only with CCS</v>
      </c>
      <c r="I1228" s="167" t="str">
        <f t="shared" si="372"/>
        <v>M</v>
      </c>
      <c r="J1228" s="125" t="str">
        <f>IF(tech_base!$T44&gt;J$1185,"",J1508+J1788)</f>
        <v/>
      </c>
      <c r="K1228" s="125" t="str">
        <f>IF(tech_base!$T44&gt;K$1185,"",K1508+K1788)</f>
        <v/>
      </c>
      <c r="L1228" s="125" t="str">
        <f>IF(tech_base!$T44&gt;L$1185,"",L1508+L1788)</f>
        <v/>
      </c>
      <c r="M1228" s="125" t="str">
        <f>IF(tech_base!$T44&gt;M$1185,"",M1508+M1788)</f>
        <v/>
      </c>
      <c r="N1228" s="125" t="str">
        <f>IF(tech_base!$T44&gt;N$1185,"",N1508+N1788)</f>
        <v/>
      </c>
      <c r="O1228" s="125" t="str">
        <f>IF(tech_base!$T44&gt;O$1185,"",O1508+O1788)</f>
        <v/>
      </c>
      <c r="P1228" s="125" t="str">
        <f>IF(tech_base!$T44&gt;P$1185,"",P1508+P1788)</f>
        <v/>
      </c>
      <c r="Q1228" s="125" t="str">
        <f>IF(tech_base!$T44&gt;Q$1185,"",Q1508+Q1788)</f>
        <v/>
      </c>
      <c r="R1228" s="125" t="str">
        <f>IF(tech_base!$T44&gt;R$1185,"",R1508+R1788)</f>
        <v/>
      </c>
      <c r="S1228" s="125" t="str">
        <f>IF(tech_base!$T44&gt;S$1185,"",S1508+S1788)</f>
        <v/>
      </c>
      <c r="T1228" s="125" t="str">
        <f>IF(tech_base!$T44&gt;T$1185,"",T1508+T1788)</f>
        <v/>
      </c>
      <c r="U1228" s="125" t="str">
        <f>IF(tech_base!$T44&gt;U$1185,"",U1508+U1788)</f>
        <v/>
      </c>
      <c r="V1228" s="125" t="str">
        <f>IF(tech_base!$T44&gt;V$1185,"",V1508+V1788)</f>
        <v/>
      </c>
      <c r="W1228" s="125" t="str">
        <f>IF(tech_base!$T44&gt;W$1185,"",W1508+W1788)</f>
        <v/>
      </c>
      <c r="X1228" s="125" t="str">
        <f>IF(tech_base!$T44&gt;X$1185,"",X1508+X1788)</f>
        <v/>
      </c>
      <c r="Y1228" s="125" t="str">
        <f>IF(tech_base!$T44&gt;Y$1185,"",Y1508+Y1788)</f>
        <v/>
      </c>
      <c r="Z1228" s="125" t="str">
        <f>IF(tech_base!$T44&gt;Z$1185,"",Z1508+Z1788)</f>
        <v/>
      </c>
      <c r="AA1228" s="125" t="str">
        <f>IF(tech_base!$T44&gt;AA$1185,"",AA1508+AA1788)</f>
        <v/>
      </c>
      <c r="AB1228" s="125" t="str">
        <f>IF(tech_base!$T44&gt;AB$1185,"",AB1508+AB1788)</f>
        <v/>
      </c>
      <c r="AC1228" s="125" t="str">
        <f>IF(tech_base!$T44&gt;AC$1185,"",AC1508+AC1788)</f>
        <v/>
      </c>
      <c r="AD1228" s="125" t="str">
        <f>IF(tech_base!$T44&gt;AD$1185,"",AD1508+AD1788)</f>
        <v/>
      </c>
      <c r="AE1228" s="125">
        <f>IF(tech_base!$T44&gt;AE$1185,"",AE1508+AE1788)</f>
        <v>11.515344683254154</v>
      </c>
      <c r="AF1228" s="125">
        <f>IF(tech_base!$T44&gt;AF$1185,"",AF1508+AF1788)</f>
        <v>11.515344683254154</v>
      </c>
      <c r="AG1228" s="125">
        <f>IF(tech_base!$T44&gt;AG$1185,"",AG1508+AG1788)</f>
        <v>11.515344683254154</v>
      </c>
      <c r="AH1228" s="125">
        <f>IF(tech_base!$T44&gt;AH$1185,"",AH1508+AH1788)</f>
        <v>11.515344683254154</v>
      </c>
      <c r="AI1228" s="125">
        <f>IF(tech_base!$T44&gt;AI$1185,"",AI1508+AI1788)</f>
        <v>11.515344683254154</v>
      </c>
      <c r="AJ1228" s="125">
        <f>IF(tech_base!$T44&gt;AJ$1185,"",AJ1508+AJ1788)</f>
        <v>11.515344683254154</v>
      </c>
      <c r="AK1228" s="125">
        <f>IF(tech_base!$T44&gt;AK$1185,"",AK1508+AK1788)</f>
        <v>11.515344683254154</v>
      </c>
      <c r="AL1228" s="125">
        <f>IF(tech_base!$T44&gt;AL$1185,"",AL1508+AL1788)</f>
        <v>11.515344683254154</v>
      </c>
      <c r="AM1228" s="125">
        <f>IF(tech_base!$T44&gt;AM$1185,"",AM1508+AM1788)</f>
        <v>11.515344683254154</v>
      </c>
      <c r="AN1228" s="125">
        <f>IF(tech_base!$T44&gt;AN$1185,"",AN1508+AN1788)</f>
        <v>11.515344683254154</v>
      </c>
      <c r="AO1228" s="125">
        <f>IF(tech_base!$T44&gt;AO$1185,"",AO1508+AO1788)</f>
        <v>11.515344683254154</v>
      </c>
      <c r="AP1228" s="125">
        <f>IF(tech_base!$T44&gt;AP$1185,"",AP1508+AP1788)</f>
        <v>11.515344683254154</v>
      </c>
      <c r="AQ1228" s="125">
        <f>IF(tech_base!$T44&gt;AQ$1185,"",AQ1508+AQ1788)</f>
        <v>11.515344683254154</v>
      </c>
      <c r="AR1228" s="125">
        <f>IF(tech_base!$T44&gt;AR$1185,"",AR1508+AR1788)</f>
        <v>11.515344683254154</v>
      </c>
      <c r="AS1228" s="125">
        <f>IF(tech_base!$T44&gt;AS$1185,"",AS1508+AS1788)</f>
        <v>11.515344683254154</v>
      </c>
      <c r="AT1228" s="125">
        <f>IF(tech_base!$T44&gt;AT$1185,"",AT1508+AT1788)</f>
        <v>11.515344683254154</v>
      </c>
      <c r="AU1228" s="125">
        <f>IF(tech_base!$T44&gt;AU$1185,"",AU1508+AU1788)</f>
        <v>11.515344683254154</v>
      </c>
      <c r="AV1228" s="125">
        <f>IF(tech_base!$T44&gt;AV$1185,"",AV1508+AV1788)</f>
        <v>11.515344683254154</v>
      </c>
      <c r="AW1228" s="125">
        <f>IF(tech_base!$T44&gt;AW$1185,"",AW1508+AW1788)</f>
        <v>11.515344683254154</v>
      </c>
      <c r="AX1228" s="126">
        <f>IF(tech_base!$T44&gt;AX$1185,"",AX1508+AX1788)</f>
        <v>11.515344683254154</v>
      </c>
    </row>
    <row r="1229" spans="1:50" x14ac:dyDescent="0.25">
      <c r="A1229" s="356"/>
      <c r="B1229" s="376"/>
      <c r="C1229" s="361" t="s">
        <v>16</v>
      </c>
      <c r="D1229" s="2" t="s">
        <v>7</v>
      </c>
      <c r="E1229" s="160" t="str">
        <f>A1193&amp;"/"&amp;B1219&amp;"/"&amp;C1229&amp;"/"&amp;D1229</f>
        <v>Coal fired power plants/Steam turbine/CHP with CCS/L</v>
      </c>
      <c r="F1229" s="76" t="str">
        <f>A1193</f>
        <v>Coal fired power plants</v>
      </c>
      <c r="G1229" s="76" t="str">
        <f>B1219</f>
        <v>Steam turbine</v>
      </c>
      <c r="H1229" s="76" t="str">
        <f>C1229</f>
        <v>CHP with CCS</v>
      </c>
      <c r="I1229" s="161" t="str">
        <f t="shared" si="372"/>
        <v>L</v>
      </c>
      <c r="J1229" s="119" t="str">
        <f>IF(tech_base!$T45&gt;J$1185,"",J1509+J1789)</f>
        <v/>
      </c>
      <c r="K1229" s="119" t="str">
        <f>IF(tech_base!$T45&gt;K$1185,"",K1509+K1789)</f>
        <v/>
      </c>
      <c r="L1229" s="119" t="str">
        <f>IF(tech_base!$T45&gt;L$1185,"",L1509+L1789)</f>
        <v/>
      </c>
      <c r="M1229" s="119" t="str">
        <f>IF(tech_base!$T45&gt;M$1185,"",M1509+M1789)</f>
        <v/>
      </c>
      <c r="N1229" s="119" t="str">
        <f>IF(tech_base!$T45&gt;N$1185,"",N1509+N1789)</f>
        <v/>
      </c>
      <c r="O1229" s="119" t="str">
        <f>IF(tech_base!$T45&gt;O$1185,"",O1509+O1789)</f>
        <v/>
      </c>
      <c r="P1229" s="119" t="str">
        <f>IF(tech_base!$T45&gt;P$1185,"",P1509+P1789)</f>
        <v/>
      </c>
      <c r="Q1229" s="119" t="str">
        <f>IF(tech_base!$T45&gt;Q$1185,"",Q1509+Q1789)</f>
        <v/>
      </c>
      <c r="R1229" s="119" t="str">
        <f>IF(tech_base!$T45&gt;R$1185,"",R1509+R1789)</f>
        <v/>
      </c>
      <c r="S1229" s="119" t="str">
        <f>IF(tech_base!$T45&gt;S$1185,"",S1509+S1789)</f>
        <v/>
      </c>
      <c r="T1229" s="119" t="str">
        <f>IF(tech_base!$T45&gt;T$1185,"",T1509+T1789)</f>
        <v/>
      </c>
      <c r="U1229" s="119" t="str">
        <f>IF(tech_base!$T45&gt;U$1185,"",U1509+U1789)</f>
        <v/>
      </c>
      <c r="V1229" s="119" t="str">
        <f>IF(tech_base!$T45&gt;V$1185,"",V1509+V1789)</f>
        <v/>
      </c>
      <c r="W1229" s="119" t="str">
        <f>IF(tech_base!$T45&gt;W$1185,"",W1509+W1789)</f>
        <v/>
      </c>
      <c r="X1229" s="119" t="str">
        <f>IF(tech_base!$T45&gt;X$1185,"",X1509+X1789)</f>
        <v/>
      </c>
      <c r="Y1229" s="119" t="str">
        <f>IF(tech_base!$T45&gt;Y$1185,"",Y1509+Y1789)</f>
        <v/>
      </c>
      <c r="Z1229" s="119" t="str">
        <f>IF(tech_base!$T45&gt;Z$1185,"",Z1509+Z1789)</f>
        <v/>
      </c>
      <c r="AA1229" s="119" t="str">
        <f>IF(tech_base!$T45&gt;AA$1185,"",AA1509+AA1789)</f>
        <v/>
      </c>
      <c r="AB1229" s="119" t="str">
        <f>IF(tech_base!$T45&gt;AB$1185,"",AB1509+AB1789)</f>
        <v/>
      </c>
      <c r="AC1229" s="119" t="str">
        <f>IF(tech_base!$T45&gt;AC$1185,"",AC1509+AC1789)</f>
        <v/>
      </c>
      <c r="AD1229" s="119" t="str">
        <f>IF(tech_base!$T45&gt;AD$1185,"",AD1509+AD1789)</f>
        <v/>
      </c>
      <c r="AE1229" s="119">
        <f>IF(tech_base!$T45&gt;AE$1185,"",AE1509+AE1789)</f>
        <v>12.248442380845868</v>
      </c>
      <c r="AF1229" s="119">
        <f>IF(tech_base!$T45&gt;AF$1185,"",AF1509+AF1789)</f>
        <v>12.248442380845868</v>
      </c>
      <c r="AG1229" s="119">
        <f>IF(tech_base!$T45&gt;AG$1185,"",AG1509+AG1789)</f>
        <v>12.248442380845868</v>
      </c>
      <c r="AH1229" s="119">
        <f>IF(tech_base!$T45&gt;AH$1185,"",AH1509+AH1789)</f>
        <v>12.248442380845868</v>
      </c>
      <c r="AI1229" s="119">
        <f>IF(tech_base!$T45&gt;AI$1185,"",AI1509+AI1789)</f>
        <v>12.248442380845868</v>
      </c>
      <c r="AJ1229" s="119">
        <f>IF(tech_base!$T45&gt;AJ$1185,"",AJ1509+AJ1789)</f>
        <v>12.248442380845868</v>
      </c>
      <c r="AK1229" s="119">
        <f>IF(tech_base!$T45&gt;AK$1185,"",AK1509+AK1789)</f>
        <v>12.248442380845868</v>
      </c>
      <c r="AL1229" s="119">
        <f>IF(tech_base!$T45&gt;AL$1185,"",AL1509+AL1789)</f>
        <v>12.248442380845868</v>
      </c>
      <c r="AM1229" s="119">
        <f>IF(tech_base!$T45&gt;AM$1185,"",AM1509+AM1789)</f>
        <v>12.248442380845868</v>
      </c>
      <c r="AN1229" s="119">
        <f>IF(tech_base!$T45&gt;AN$1185,"",AN1509+AN1789)</f>
        <v>12.248442380845868</v>
      </c>
      <c r="AO1229" s="119">
        <f>IF(tech_base!$T45&gt;AO$1185,"",AO1509+AO1789)</f>
        <v>12.248442380845868</v>
      </c>
      <c r="AP1229" s="119">
        <f>IF(tech_base!$T45&gt;AP$1185,"",AP1509+AP1789)</f>
        <v>12.248442380845868</v>
      </c>
      <c r="AQ1229" s="119">
        <f>IF(tech_base!$T45&gt;AQ$1185,"",AQ1509+AQ1789)</f>
        <v>12.248442380845868</v>
      </c>
      <c r="AR1229" s="119">
        <f>IF(tech_base!$T45&gt;AR$1185,"",AR1509+AR1789)</f>
        <v>12.248442380845868</v>
      </c>
      <c r="AS1229" s="119">
        <f>IF(tech_base!$T45&gt;AS$1185,"",AS1509+AS1789)</f>
        <v>12.248442380845868</v>
      </c>
      <c r="AT1229" s="119">
        <f>IF(tech_base!$T45&gt;AT$1185,"",AT1509+AT1789)</f>
        <v>12.248442380845868</v>
      </c>
      <c r="AU1229" s="119">
        <f>IF(tech_base!$T45&gt;AU$1185,"",AU1509+AU1789)</f>
        <v>12.248442380845868</v>
      </c>
      <c r="AV1229" s="119">
        <f>IF(tech_base!$T45&gt;AV$1185,"",AV1509+AV1789)</f>
        <v>12.248442380845868</v>
      </c>
      <c r="AW1229" s="119">
        <f>IF(tech_base!$T45&gt;AW$1185,"",AW1509+AW1789)</f>
        <v>12.248442380845868</v>
      </c>
      <c r="AX1229" s="120">
        <f>IF(tech_base!$T45&gt;AX$1185,"",AX1509+AX1789)</f>
        <v>12.248442380845868</v>
      </c>
    </row>
    <row r="1230" spans="1:50" x14ac:dyDescent="0.25">
      <c r="A1230" s="357"/>
      <c r="B1230" s="380"/>
      <c r="C1230" s="381"/>
      <c r="D1230" s="4" t="s">
        <v>8</v>
      </c>
      <c r="E1230" s="168" t="str">
        <f>A1193&amp;"/"&amp;B1219&amp;"/"&amp;C1229&amp;"/"&amp;D1230</f>
        <v>Coal fired power plants/Steam turbine/CHP with CCS/M</v>
      </c>
      <c r="F1230" s="80" t="str">
        <f>A1193</f>
        <v>Coal fired power plants</v>
      </c>
      <c r="G1230" s="80" t="str">
        <f>B1219</f>
        <v>Steam turbine</v>
      </c>
      <c r="H1230" s="80" t="str">
        <f>C1229</f>
        <v>CHP with CCS</v>
      </c>
      <c r="I1230" s="169" t="str">
        <f t="shared" si="372"/>
        <v>M</v>
      </c>
      <c r="J1230" s="127" t="str">
        <f>IF(tech_base!$T46&gt;J$1185,"",J1510+J1790)</f>
        <v/>
      </c>
      <c r="K1230" s="127" t="str">
        <f>IF(tech_base!$T46&gt;K$1185,"",K1510+K1790)</f>
        <v/>
      </c>
      <c r="L1230" s="127" t="str">
        <f>IF(tech_base!$T46&gt;L$1185,"",L1510+L1790)</f>
        <v/>
      </c>
      <c r="M1230" s="127" t="str">
        <f>IF(tech_base!$T46&gt;M$1185,"",M1510+M1790)</f>
        <v/>
      </c>
      <c r="N1230" s="127" t="str">
        <f>IF(tech_base!$T46&gt;N$1185,"",N1510+N1790)</f>
        <v/>
      </c>
      <c r="O1230" s="127" t="str">
        <f>IF(tech_base!$T46&gt;O$1185,"",O1510+O1790)</f>
        <v/>
      </c>
      <c r="P1230" s="127" t="str">
        <f>IF(tech_base!$T46&gt;P$1185,"",P1510+P1790)</f>
        <v/>
      </c>
      <c r="Q1230" s="127" t="str">
        <f>IF(tech_base!$T46&gt;Q$1185,"",Q1510+Q1790)</f>
        <v/>
      </c>
      <c r="R1230" s="127" t="str">
        <f>IF(tech_base!$T46&gt;R$1185,"",R1510+R1790)</f>
        <v/>
      </c>
      <c r="S1230" s="127" t="str">
        <f>IF(tech_base!$T46&gt;S$1185,"",S1510+S1790)</f>
        <v/>
      </c>
      <c r="T1230" s="127" t="str">
        <f>IF(tech_base!$T46&gt;T$1185,"",T1510+T1790)</f>
        <v/>
      </c>
      <c r="U1230" s="127" t="str">
        <f>IF(tech_base!$T46&gt;U$1185,"",U1510+U1790)</f>
        <v/>
      </c>
      <c r="V1230" s="127" t="str">
        <f>IF(tech_base!$T46&gt;V$1185,"",V1510+V1790)</f>
        <v/>
      </c>
      <c r="W1230" s="127" t="str">
        <f>IF(tech_base!$T46&gt;W$1185,"",W1510+W1790)</f>
        <v/>
      </c>
      <c r="X1230" s="127" t="str">
        <f>IF(tech_base!$T46&gt;X$1185,"",X1510+X1790)</f>
        <v/>
      </c>
      <c r="Y1230" s="127" t="str">
        <f>IF(tech_base!$T46&gt;Y$1185,"",Y1510+Y1790)</f>
        <v/>
      </c>
      <c r="Z1230" s="127" t="str">
        <f>IF(tech_base!$T46&gt;Z$1185,"",Z1510+Z1790)</f>
        <v/>
      </c>
      <c r="AA1230" s="127" t="str">
        <f>IF(tech_base!$T46&gt;AA$1185,"",AA1510+AA1790)</f>
        <v/>
      </c>
      <c r="AB1230" s="127" t="str">
        <f>IF(tech_base!$T46&gt;AB$1185,"",AB1510+AB1790)</f>
        <v/>
      </c>
      <c r="AC1230" s="127" t="str">
        <f>IF(tech_base!$T46&gt;AC$1185,"",AC1510+AC1790)</f>
        <v/>
      </c>
      <c r="AD1230" s="127" t="str">
        <f>IF(tech_base!$T46&gt;AD$1185,"",AD1510+AD1790)</f>
        <v/>
      </c>
      <c r="AE1230" s="127">
        <f>IF(tech_base!$T46&gt;AE$1185,"",AE1510+AE1790)</f>
        <v>13.081228433736605</v>
      </c>
      <c r="AF1230" s="127">
        <f>IF(tech_base!$T46&gt;AF$1185,"",AF1510+AF1790)</f>
        <v>13.081228433736605</v>
      </c>
      <c r="AG1230" s="127">
        <f>IF(tech_base!$T46&gt;AG$1185,"",AG1510+AG1790)</f>
        <v>13.081228433736605</v>
      </c>
      <c r="AH1230" s="127">
        <f>IF(tech_base!$T46&gt;AH$1185,"",AH1510+AH1790)</f>
        <v>13.081228433736605</v>
      </c>
      <c r="AI1230" s="127">
        <f>IF(tech_base!$T46&gt;AI$1185,"",AI1510+AI1790)</f>
        <v>13.081228433736605</v>
      </c>
      <c r="AJ1230" s="127">
        <f>IF(tech_base!$T46&gt;AJ$1185,"",AJ1510+AJ1790)</f>
        <v>13.081228433736605</v>
      </c>
      <c r="AK1230" s="127">
        <f>IF(tech_base!$T46&gt;AK$1185,"",AK1510+AK1790)</f>
        <v>13.081228433736605</v>
      </c>
      <c r="AL1230" s="127">
        <f>IF(tech_base!$T46&gt;AL$1185,"",AL1510+AL1790)</f>
        <v>13.081228433736605</v>
      </c>
      <c r="AM1230" s="127">
        <f>IF(tech_base!$T46&gt;AM$1185,"",AM1510+AM1790)</f>
        <v>13.081228433736605</v>
      </c>
      <c r="AN1230" s="127">
        <f>IF(tech_base!$T46&gt;AN$1185,"",AN1510+AN1790)</f>
        <v>13.081228433736605</v>
      </c>
      <c r="AO1230" s="127">
        <f>IF(tech_base!$T46&gt;AO$1185,"",AO1510+AO1790)</f>
        <v>13.081228433736605</v>
      </c>
      <c r="AP1230" s="127">
        <f>IF(tech_base!$T46&gt;AP$1185,"",AP1510+AP1790)</f>
        <v>13.081228433736605</v>
      </c>
      <c r="AQ1230" s="127">
        <f>IF(tech_base!$T46&gt;AQ$1185,"",AQ1510+AQ1790)</f>
        <v>13.081228433736605</v>
      </c>
      <c r="AR1230" s="127">
        <f>IF(tech_base!$T46&gt;AR$1185,"",AR1510+AR1790)</f>
        <v>13.081228433736605</v>
      </c>
      <c r="AS1230" s="127">
        <f>IF(tech_base!$T46&gt;AS$1185,"",AS1510+AS1790)</f>
        <v>13.081228433736605</v>
      </c>
      <c r="AT1230" s="127">
        <f>IF(tech_base!$T46&gt;AT$1185,"",AT1510+AT1790)</f>
        <v>13.081228433736605</v>
      </c>
      <c r="AU1230" s="127">
        <f>IF(tech_base!$T46&gt;AU$1185,"",AU1510+AU1790)</f>
        <v>13.081228433736605</v>
      </c>
      <c r="AV1230" s="127">
        <f>IF(tech_base!$T46&gt;AV$1185,"",AV1510+AV1790)</f>
        <v>13.081228433736605</v>
      </c>
      <c r="AW1230" s="127">
        <f>IF(tech_base!$T46&gt;AW$1185,"",AW1510+AW1790)</f>
        <v>13.081228433736605</v>
      </c>
      <c r="AX1230" s="128">
        <f>IF(tech_base!$T46&gt;AX$1185,"",AX1510+AX1790)</f>
        <v>13.081228433736605</v>
      </c>
    </row>
    <row r="1231" spans="1:50" x14ac:dyDescent="0.25">
      <c r="A1231" s="355" t="s">
        <v>21</v>
      </c>
      <c r="B1231" s="358" t="s">
        <v>13</v>
      </c>
      <c r="C1231" s="353" t="s">
        <v>6</v>
      </c>
      <c r="D1231" s="3" t="s">
        <v>7</v>
      </c>
      <c r="E1231" s="162" t="str">
        <f>A1231&amp;"/"&amp;B1231&amp;"/"&amp;C1231&amp;"/"&amp;D1231</f>
        <v>Lignite fired power plants/Integrated gasification combined cycle/Electricity only/L</v>
      </c>
      <c r="F1231" s="77" t="str">
        <f>A1231</f>
        <v>Lignite fired power plants</v>
      </c>
      <c r="G1231" s="77" t="str">
        <f>B1231</f>
        <v>Integrated gasification combined cycle</v>
      </c>
      <c r="H1231" s="77" t="str">
        <f>C1231</f>
        <v>Electricity only</v>
      </c>
      <c r="I1231" s="163" t="str">
        <f t="shared" si="372"/>
        <v>L</v>
      </c>
      <c r="J1231" s="121">
        <f>IF(tech_base!$T47&gt;J$1185,"",J1511+J1791)</f>
        <v>0</v>
      </c>
      <c r="K1231" s="121">
        <f>IF(tech_base!$T47&gt;K$1185,"",K1511+K1791)</f>
        <v>0</v>
      </c>
      <c r="L1231" s="121">
        <f>IF(tech_base!$T47&gt;L$1185,"",L1511+L1791)</f>
        <v>0</v>
      </c>
      <c r="M1231" s="121">
        <f>IF(tech_base!$T47&gt;M$1185,"",M1511+M1791)</f>
        <v>0</v>
      </c>
      <c r="N1231" s="121">
        <f>IF(tech_base!$T47&gt;N$1185,"",N1511+N1791)</f>
        <v>0</v>
      </c>
      <c r="O1231" s="121">
        <f>IF(tech_base!$T47&gt;O$1185,"",O1511+O1791)</f>
        <v>0</v>
      </c>
      <c r="P1231" s="121">
        <f>IF(tech_base!$T47&gt;P$1185,"",P1511+P1791)</f>
        <v>0</v>
      </c>
      <c r="Q1231" s="121">
        <f>IF(tech_base!$T47&gt;Q$1185,"",Q1511+Q1791)</f>
        <v>0</v>
      </c>
      <c r="R1231" s="121">
        <f>IF(tech_base!$T47&gt;R$1185,"",R1511+R1791)</f>
        <v>0</v>
      </c>
      <c r="S1231" s="121">
        <f>IF(tech_base!$T47&gt;S$1185,"",S1511+S1791)</f>
        <v>0</v>
      </c>
      <c r="T1231" s="121">
        <f>IF(tech_base!$T47&gt;T$1185,"",T1511+T1791)</f>
        <v>0</v>
      </c>
      <c r="U1231" s="121">
        <f>IF(tech_base!$T47&gt;U$1185,"",U1511+U1791)</f>
        <v>0</v>
      </c>
      <c r="V1231" s="121">
        <f>IF(tech_base!$T47&gt;V$1185,"",V1511+V1791)</f>
        <v>0</v>
      </c>
      <c r="W1231" s="121">
        <f>IF(tech_base!$T47&gt;W$1185,"",W1511+W1791)</f>
        <v>0</v>
      </c>
      <c r="X1231" s="121">
        <f>IF(tech_base!$T47&gt;X$1185,"",X1511+X1791)</f>
        <v>0</v>
      </c>
      <c r="Y1231" s="121">
        <f>IF(tech_base!$T47&gt;Y$1185,"",Y1511+Y1791)</f>
        <v>0</v>
      </c>
      <c r="Z1231" s="121">
        <f>IF(tech_base!$T47&gt;Z$1185,"",Z1511+Z1791)</f>
        <v>0</v>
      </c>
      <c r="AA1231" s="121">
        <f>IF(tech_base!$T47&gt;AA$1185,"",AA1511+AA1791)</f>
        <v>0</v>
      </c>
      <c r="AB1231" s="121">
        <f>IF(tech_base!$T47&gt;AB$1185,"",AB1511+AB1791)</f>
        <v>0</v>
      </c>
      <c r="AC1231" s="121">
        <f>IF(tech_base!$T47&gt;AC$1185,"",AC1511+AC1791)</f>
        <v>0</v>
      </c>
      <c r="AD1231" s="121">
        <f>IF(tech_base!$T47&gt;AD$1185,"",AD1511+AD1791)</f>
        <v>0</v>
      </c>
      <c r="AE1231" s="121">
        <f>IF(tech_base!$T47&gt;AE$1185,"",AE1511+AE1791)</f>
        <v>0</v>
      </c>
      <c r="AF1231" s="121">
        <f>IF(tech_base!$T47&gt;AF$1185,"",AF1511+AF1791)</f>
        <v>0</v>
      </c>
      <c r="AG1231" s="121">
        <f>IF(tech_base!$T47&gt;AG$1185,"",AG1511+AG1791)</f>
        <v>0</v>
      </c>
      <c r="AH1231" s="121">
        <f>IF(tech_base!$T47&gt;AH$1185,"",AH1511+AH1791)</f>
        <v>0</v>
      </c>
      <c r="AI1231" s="121">
        <f>IF(tech_base!$T47&gt;AI$1185,"",AI1511+AI1791)</f>
        <v>0</v>
      </c>
      <c r="AJ1231" s="121">
        <f>IF(tech_base!$T47&gt;AJ$1185,"",AJ1511+AJ1791)</f>
        <v>0</v>
      </c>
      <c r="AK1231" s="121">
        <f>IF(tech_base!$T47&gt;AK$1185,"",AK1511+AK1791)</f>
        <v>0</v>
      </c>
      <c r="AL1231" s="121">
        <f>IF(tech_base!$T47&gt;AL$1185,"",AL1511+AL1791)</f>
        <v>0</v>
      </c>
      <c r="AM1231" s="121">
        <f>IF(tech_base!$T47&gt;AM$1185,"",AM1511+AM1791)</f>
        <v>0</v>
      </c>
      <c r="AN1231" s="121">
        <f>IF(tech_base!$T47&gt;AN$1185,"",AN1511+AN1791)</f>
        <v>0</v>
      </c>
      <c r="AO1231" s="121">
        <f>IF(tech_base!$T47&gt;AO$1185,"",AO1511+AO1791)</f>
        <v>0</v>
      </c>
      <c r="AP1231" s="121">
        <f>IF(tech_base!$T47&gt;AP$1185,"",AP1511+AP1791)</f>
        <v>0</v>
      </c>
      <c r="AQ1231" s="121">
        <f>IF(tech_base!$T47&gt;AQ$1185,"",AQ1511+AQ1791)</f>
        <v>0</v>
      </c>
      <c r="AR1231" s="121">
        <f>IF(tech_base!$T47&gt;AR$1185,"",AR1511+AR1791)</f>
        <v>0</v>
      </c>
      <c r="AS1231" s="121">
        <f>IF(tech_base!$T47&gt;AS$1185,"",AS1511+AS1791)</f>
        <v>0</v>
      </c>
      <c r="AT1231" s="121">
        <f>IF(tech_base!$T47&gt;AT$1185,"",AT1511+AT1791)</f>
        <v>0</v>
      </c>
      <c r="AU1231" s="121">
        <f>IF(tech_base!$T47&gt;AU$1185,"",AU1511+AU1791)</f>
        <v>0</v>
      </c>
      <c r="AV1231" s="121">
        <f>IF(tech_base!$T47&gt;AV$1185,"",AV1511+AV1791)</f>
        <v>0</v>
      </c>
      <c r="AW1231" s="121">
        <f>IF(tech_base!$T47&gt;AW$1185,"",AW1511+AW1791)</f>
        <v>0</v>
      </c>
      <c r="AX1231" s="122">
        <f>IF(tech_base!$T47&gt;AX$1185,"",AX1511+AX1791)</f>
        <v>0</v>
      </c>
    </row>
    <row r="1232" spans="1:50" x14ac:dyDescent="0.25">
      <c r="A1232" s="356"/>
      <c r="B1232" s="376"/>
      <c r="C1232" s="379"/>
      <c r="D1232" s="2" t="s">
        <v>8</v>
      </c>
      <c r="E1232" s="160" t="str">
        <f>A1231&amp;"/"&amp;B1231&amp;"/"&amp;C1231&amp;"/"&amp;D1232</f>
        <v>Lignite fired power plants/Integrated gasification combined cycle/Electricity only/M</v>
      </c>
      <c r="F1232" s="76" t="str">
        <f>A1231</f>
        <v>Lignite fired power plants</v>
      </c>
      <c r="G1232" s="76" t="str">
        <f>B1231</f>
        <v>Integrated gasification combined cycle</v>
      </c>
      <c r="H1232" s="76" t="str">
        <f>C1231</f>
        <v>Electricity only</v>
      </c>
      <c r="I1232" s="161" t="str">
        <f t="shared" si="372"/>
        <v>M</v>
      </c>
      <c r="J1232" s="119">
        <f>IF(tech_base!$T48&gt;J$1185,"",J1512+J1792)</f>
        <v>0</v>
      </c>
      <c r="K1232" s="119">
        <f>IF(tech_base!$T48&gt;K$1185,"",K1512+K1792)</f>
        <v>0</v>
      </c>
      <c r="L1232" s="119">
        <f>IF(tech_base!$T48&gt;L$1185,"",L1512+L1792)</f>
        <v>0</v>
      </c>
      <c r="M1232" s="119">
        <f>IF(tech_base!$T48&gt;M$1185,"",M1512+M1792)</f>
        <v>0</v>
      </c>
      <c r="N1232" s="119">
        <f>IF(tech_base!$T48&gt;N$1185,"",N1512+N1792)</f>
        <v>0</v>
      </c>
      <c r="O1232" s="119">
        <f>IF(tech_base!$T48&gt;O$1185,"",O1512+O1792)</f>
        <v>0</v>
      </c>
      <c r="P1232" s="119">
        <f>IF(tech_base!$T48&gt;P$1185,"",P1512+P1792)</f>
        <v>0</v>
      </c>
      <c r="Q1232" s="119">
        <f>IF(tech_base!$T48&gt;Q$1185,"",Q1512+Q1792)</f>
        <v>0</v>
      </c>
      <c r="R1232" s="119">
        <f>IF(tech_base!$T48&gt;R$1185,"",R1512+R1792)</f>
        <v>0</v>
      </c>
      <c r="S1232" s="119">
        <f>IF(tech_base!$T48&gt;S$1185,"",S1512+S1792)</f>
        <v>0</v>
      </c>
      <c r="T1232" s="119">
        <f>IF(tech_base!$T48&gt;T$1185,"",T1512+T1792)</f>
        <v>0</v>
      </c>
      <c r="U1232" s="119">
        <f>IF(tech_base!$T48&gt;U$1185,"",U1512+U1792)</f>
        <v>0</v>
      </c>
      <c r="V1232" s="119">
        <f>IF(tech_base!$T48&gt;V$1185,"",V1512+V1792)</f>
        <v>0</v>
      </c>
      <c r="W1232" s="119">
        <f>IF(tech_base!$T48&gt;W$1185,"",W1512+W1792)</f>
        <v>0</v>
      </c>
      <c r="X1232" s="119">
        <f>IF(tech_base!$T48&gt;X$1185,"",X1512+X1792)</f>
        <v>0</v>
      </c>
      <c r="Y1232" s="119">
        <f>IF(tech_base!$T48&gt;Y$1185,"",Y1512+Y1792)</f>
        <v>0</v>
      </c>
      <c r="Z1232" s="119">
        <f>IF(tech_base!$T48&gt;Z$1185,"",Z1512+Z1792)</f>
        <v>0</v>
      </c>
      <c r="AA1232" s="119">
        <f>IF(tech_base!$T48&gt;AA$1185,"",AA1512+AA1792)</f>
        <v>0</v>
      </c>
      <c r="AB1232" s="119">
        <f>IF(tech_base!$T48&gt;AB$1185,"",AB1512+AB1792)</f>
        <v>0</v>
      </c>
      <c r="AC1232" s="119">
        <f>IF(tech_base!$T48&gt;AC$1185,"",AC1512+AC1792)</f>
        <v>0</v>
      </c>
      <c r="AD1232" s="119">
        <f>IF(tech_base!$T48&gt;AD$1185,"",AD1512+AD1792)</f>
        <v>0</v>
      </c>
      <c r="AE1232" s="119">
        <f>IF(tech_base!$T48&gt;AE$1185,"",AE1512+AE1792)</f>
        <v>0</v>
      </c>
      <c r="AF1232" s="119">
        <f>IF(tech_base!$T48&gt;AF$1185,"",AF1512+AF1792)</f>
        <v>0</v>
      </c>
      <c r="AG1232" s="119">
        <f>IF(tech_base!$T48&gt;AG$1185,"",AG1512+AG1792)</f>
        <v>0</v>
      </c>
      <c r="AH1232" s="119">
        <f>IF(tech_base!$T48&gt;AH$1185,"",AH1512+AH1792)</f>
        <v>0</v>
      </c>
      <c r="AI1232" s="119">
        <f>IF(tech_base!$T48&gt;AI$1185,"",AI1512+AI1792)</f>
        <v>0</v>
      </c>
      <c r="AJ1232" s="119">
        <f>IF(tech_base!$T48&gt;AJ$1185,"",AJ1512+AJ1792)</f>
        <v>0</v>
      </c>
      <c r="AK1232" s="119">
        <f>IF(tech_base!$T48&gt;AK$1185,"",AK1512+AK1792)</f>
        <v>0</v>
      </c>
      <c r="AL1232" s="119">
        <f>IF(tech_base!$T48&gt;AL$1185,"",AL1512+AL1792)</f>
        <v>0</v>
      </c>
      <c r="AM1232" s="119">
        <f>IF(tech_base!$T48&gt;AM$1185,"",AM1512+AM1792)</f>
        <v>0</v>
      </c>
      <c r="AN1232" s="119">
        <f>IF(tech_base!$T48&gt;AN$1185,"",AN1512+AN1792)</f>
        <v>0</v>
      </c>
      <c r="AO1232" s="119">
        <f>IF(tech_base!$T48&gt;AO$1185,"",AO1512+AO1792)</f>
        <v>0</v>
      </c>
      <c r="AP1232" s="119">
        <f>IF(tech_base!$T48&gt;AP$1185,"",AP1512+AP1792)</f>
        <v>0</v>
      </c>
      <c r="AQ1232" s="119">
        <f>IF(tech_base!$T48&gt;AQ$1185,"",AQ1512+AQ1792)</f>
        <v>0</v>
      </c>
      <c r="AR1232" s="119">
        <f>IF(tech_base!$T48&gt;AR$1185,"",AR1512+AR1792)</f>
        <v>0</v>
      </c>
      <c r="AS1232" s="119">
        <f>IF(tech_base!$T48&gt;AS$1185,"",AS1512+AS1792)</f>
        <v>0</v>
      </c>
      <c r="AT1232" s="119">
        <f>IF(tech_base!$T48&gt;AT$1185,"",AT1512+AT1792)</f>
        <v>0</v>
      </c>
      <c r="AU1232" s="119">
        <f>IF(tech_base!$T48&gt;AU$1185,"",AU1512+AU1792)</f>
        <v>0</v>
      </c>
      <c r="AV1232" s="119">
        <f>IF(tech_base!$T48&gt;AV$1185,"",AV1512+AV1792)</f>
        <v>0</v>
      </c>
      <c r="AW1232" s="119">
        <f>IF(tech_base!$T48&gt;AW$1185,"",AW1512+AW1792)</f>
        <v>0</v>
      </c>
      <c r="AX1232" s="120">
        <f>IF(tech_base!$T48&gt;AX$1185,"",AX1512+AX1792)</f>
        <v>0</v>
      </c>
    </row>
    <row r="1233" spans="1:50" x14ac:dyDescent="0.25">
      <c r="A1233" s="356"/>
      <c r="B1233" s="376"/>
      <c r="C1233" s="361" t="s">
        <v>14</v>
      </c>
      <c r="D1233" s="58" t="s">
        <v>7</v>
      </c>
      <c r="E1233" s="164" t="str">
        <f>A1231&amp;"/"&amp;B1231&amp;"/"&amp;C1233&amp;"/"&amp;D1233</f>
        <v>Lignite fired power plants/Integrated gasification combined cycle/CHP/L</v>
      </c>
      <c r="F1233" s="78" t="str">
        <f>A1231</f>
        <v>Lignite fired power plants</v>
      </c>
      <c r="G1233" s="78" t="str">
        <f>B1231</f>
        <v>Integrated gasification combined cycle</v>
      </c>
      <c r="H1233" s="78" t="str">
        <f>C1233</f>
        <v>CHP</v>
      </c>
      <c r="I1233" s="165" t="str">
        <f t="shared" si="372"/>
        <v>L</v>
      </c>
      <c r="J1233" s="123" t="str">
        <f>IF(tech_base!$T49&gt;J$1185,"",J1513+J1793)</f>
        <v/>
      </c>
      <c r="K1233" s="123" t="str">
        <f>IF(tech_base!$T49&gt;K$1185,"",K1513+K1793)</f>
        <v/>
      </c>
      <c r="L1233" s="123" t="str">
        <f>IF(tech_base!$T49&gt;L$1185,"",L1513+L1793)</f>
        <v/>
      </c>
      <c r="M1233" s="123" t="str">
        <f>IF(tech_base!$T49&gt;M$1185,"",M1513+M1793)</f>
        <v/>
      </c>
      <c r="N1233" s="123" t="str">
        <f>IF(tech_base!$T49&gt;N$1185,"",N1513+N1793)</f>
        <v/>
      </c>
      <c r="O1233" s="123" t="str">
        <f>IF(tech_base!$T49&gt;O$1185,"",O1513+O1793)</f>
        <v/>
      </c>
      <c r="P1233" s="123" t="str">
        <f>IF(tech_base!$T49&gt;P$1185,"",P1513+P1793)</f>
        <v/>
      </c>
      <c r="Q1233" s="123" t="str">
        <f>IF(tech_base!$T49&gt;Q$1185,"",Q1513+Q1793)</f>
        <v/>
      </c>
      <c r="R1233" s="123" t="str">
        <f>IF(tech_base!$T49&gt;R$1185,"",R1513+R1793)</f>
        <v/>
      </c>
      <c r="S1233" s="123" t="str">
        <f>IF(tech_base!$T49&gt;S$1185,"",S1513+S1793)</f>
        <v/>
      </c>
      <c r="T1233" s="123">
        <f>IF(tech_base!$T49&gt;T$1185,"",T1513+T1793)</f>
        <v>0</v>
      </c>
      <c r="U1233" s="123">
        <f>IF(tech_base!$T49&gt;U$1185,"",U1513+U1793)</f>
        <v>0</v>
      </c>
      <c r="V1233" s="123">
        <f>IF(tech_base!$T49&gt;V$1185,"",V1513+V1793)</f>
        <v>0</v>
      </c>
      <c r="W1233" s="123">
        <f>IF(tech_base!$T49&gt;W$1185,"",W1513+W1793)</f>
        <v>0</v>
      </c>
      <c r="X1233" s="123">
        <f>IF(tech_base!$T49&gt;X$1185,"",X1513+X1793)</f>
        <v>0</v>
      </c>
      <c r="Y1233" s="123">
        <f>IF(tech_base!$T49&gt;Y$1185,"",Y1513+Y1793)</f>
        <v>0</v>
      </c>
      <c r="Z1233" s="123">
        <f>IF(tech_base!$T49&gt;Z$1185,"",Z1513+Z1793)</f>
        <v>0</v>
      </c>
      <c r="AA1233" s="123">
        <f>IF(tech_base!$T49&gt;AA$1185,"",AA1513+AA1793)</f>
        <v>0</v>
      </c>
      <c r="AB1233" s="123">
        <f>IF(tech_base!$T49&gt;AB$1185,"",AB1513+AB1793)</f>
        <v>0</v>
      </c>
      <c r="AC1233" s="123">
        <f>IF(tech_base!$T49&gt;AC$1185,"",AC1513+AC1793)</f>
        <v>0</v>
      </c>
      <c r="AD1233" s="123">
        <f>IF(tech_base!$T49&gt;AD$1185,"",AD1513+AD1793)</f>
        <v>0</v>
      </c>
      <c r="AE1233" s="123">
        <f>IF(tech_base!$T49&gt;AE$1185,"",AE1513+AE1793)</f>
        <v>0</v>
      </c>
      <c r="AF1233" s="123">
        <f>IF(tech_base!$T49&gt;AF$1185,"",AF1513+AF1793)</f>
        <v>0</v>
      </c>
      <c r="AG1233" s="123">
        <f>IF(tech_base!$T49&gt;AG$1185,"",AG1513+AG1793)</f>
        <v>0</v>
      </c>
      <c r="AH1233" s="123">
        <f>IF(tech_base!$T49&gt;AH$1185,"",AH1513+AH1793)</f>
        <v>0</v>
      </c>
      <c r="AI1233" s="123">
        <f>IF(tech_base!$T49&gt;AI$1185,"",AI1513+AI1793)</f>
        <v>0</v>
      </c>
      <c r="AJ1233" s="123">
        <f>IF(tech_base!$T49&gt;AJ$1185,"",AJ1513+AJ1793)</f>
        <v>0</v>
      </c>
      <c r="AK1233" s="123">
        <f>IF(tech_base!$T49&gt;AK$1185,"",AK1513+AK1793)</f>
        <v>0</v>
      </c>
      <c r="AL1233" s="123">
        <f>IF(tech_base!$T49&gt;AL$1185,"",AL1513+AL1793)</f>
        <v>0</v>
      </c>
      <c r="AM1233" s="123">
        <f>IF(tech_base!$T49&gt;AM$1185,"",AM1513+AM1793)</f>
        <v>0</v>
      </c>
      <c r="AN1233" s="123">
        <f>IF(tech_base!$T49&gt;AN$1185,"",AN1513+AN1793)</f>
        <v>0</v>
      </c>
      <c r="AO1233" s="123">
        <f>IF(tech_base!$T49&gt;AO$1185,"",AO1513+AO1793)</f>
        <v>0</v>
      </c>
      <c r="AP1233" s="123">
        <f>IF(tech_base!$T49&gt;AP$1185,"",AP1513+AP1793)</f>
        <v>0</v>
      </c>
      <c r="AQ1233" s="123">
        <f>IF(tech_base!$T49&gt;AQ$1185,"",AQ1513+AQ1793)</f>
        <v>0</v>
      </c>
      <c r="AR1233" s="123">
        <f>IF(tech_base!$T49&gt;AR$1185,"",AR1513+AR1793)</f>
        <v>0</v>
      </c>
      <c r="AS1233" s="123">
        <f>IF(tech_base!$T49&gt;AS$1185,"",AS1513+AS1793)</f>
        <v>0</v>
      </c>
      <c r="AT1233" s="123">
        <f>IF(tech_base!$T49&gt;AT$1185,"",AT1513+AT1793)</f>
        <v>0</v>
      </c>
      <c r="AU1233" s="123">
        <f>IF(tech_base!$T49&gt;AU$1185,"",AU1513+AU1793)</f>
        <v>0</v>
      </c>
      <c r="AV1233" s="123">
        <f>IF(tech_base!$T49&gt;AV$1185,"",AV1513+AV1793)</f>
        <v>0</v>
      </c>
      <c r="AW1233" s="123">
        <f>IF(tech_base!$T49&gt;AW$1185,"",AW1513+AW1793)</f>
        <v>0</v>
      </c>
      <c r="AX1233" s="124">
        <f>IF(tech_base!$T49&gt;AX$1185,"",AX1513+AX1793)</f>
        <v>0</v>
      </c>
    </row>
    <row r="1234" spans="1:50" x14ac:dyDescent="0.25">
      <c r="A1234" s="356"/>
      <c r="B1234" s="376"/>
      <c r="C1234" s="379"/>
      <c r="D1234" s="59" t="s">
        <v>8</v>
      </c>
      <c r="E1234" s="166" t="str">
        <f>A1231&amp;"/"&amp;B1231&amp;"/"&amp;C1233&amp;"/"&amp;D1234</f>
        <v>Lignite fired power plants/Integrated gasification combined cycle/CHP/M</v>
      </c>
      <c r="F1234" s="79" t="str">
        <f>A1231</f>
        <v>Lignite fired power plants</v>
      </c>
      <c r="G1234" s="79" t="str">
        <f>B1231</f>
        <v>Integrated gasification combined cycle</v>
      </c>
      <c r="H1234" s="79" t="str">
        <f>C1233</f>
        <v>CHP</v>
      </c>
      <c r="I1234" s="167" t="str">
        <f t="shared" si="372"/>
        <v>M</v>
      </c>
      <c r="J1234" s="125" t="str">
        <f>IF(tech_base!$T50&gt;J$1185,"",J1514+J1794)</f>
        <v/>
      </c>
      <c r="K1234" s="125" t="str">
        <f>IF(tech_base!$T50&gt;K$1185,"",K1514+K1794)</f>
        <v/>
      </c>
      <c r="L1234" s="125" t="str">
        <f>IF(tech_base!$T50&gt;L$1185,"",L1514+L1794)</f>
        <v/>
      </c>
      <c r="M1234" s="125" t="str">
        <f>IF(tech_base!$T50&gt;M$1185,"",M1514+M1794)</f>
        <v/>
      </c>
      <c r="N1234" s="125" t="str">
        <f>IF(tech_base!$T50&gt;N$1185,"",N1514+N1794)</f>
        <v/>
      </c>
      <c r="O1234" s="125" t="str">
        <f>IF(tech_base!$T50&gt;O$1185,"",O1514+O1794)</f>
        <v/>
      </c>
      <c r="P1234" s="125" t="str">
        <f>IF(tech_base!$T50&gt;P$1185,"",P1514+P1794)</f>
        <v/>
      </c>
      <c r="Q1234" s="125" t="str">
        <f>IF(tech_base!$T50&gt;Q$1185,"",Q1514+Q1794)</f>
        <v/>
      </c>
      <c r="R1234" s="125" t="str">
        <f>IF(tech_base!$T50&gt;R$1185,"",R1514+R1794)</f>
        <v/>
      </c>
      <c r="S1234" s="125" t="str">
        <f>IF(tech_base!$T50&gt;S$1185,"",S1514+S1794)</f>
        <v/>
      </c>
      <c r="T1234" s="125">
        <f>IF(tech_base!$T50&gt;T$1185,"",T1514+T1794)</f>
        <v>0</v>
      </c>
      <c r="U1234" s="125">
        <f>IF(tech_base!$T50&gt;U$1185,"",U1514+U1794)</f>
        <v>0</v>
      </c>
      <c r="V1234" s="125">
        <f>IF(tech_base!$T50&gt;V$1185,"",V1514+V1794)</f>
        <v>0</v>
      </c>
      <c r="W1234" s="125">
        <f>IF(tech_base!$T50&gt;W$1185,"",W1514+W1794)</f>
        <v>0</v>
      </c>
      <c r="X1234" s="125">
        <f>IF(tech_base!$T50&gt;X$1185,"",X1514+X1794)</f>
        <v>0</v>
      </c>
      <c r="Y1234" s="125">
        <f>IF(tech_base!$T50&gt;Y$1185,"",Y1514+Y1794)</f>
        <v>0</v>
      </c>
      <c r="Z1234" s="125">
        <f>IF(tech_base!$T50&gt;Z$1185,"",Z1514+Z1794)</f>
        <v>0</v>
      </c>
      <c r="AA1234" s="125">
        <f>IF(tech_base!$T50&gt;AA$1185,"",AA1514+AA1794)</f>
        <v>0</v>
      </c>
      <c r="AB1234" s="125">
        <f>IF(tech_base!$T50&gt;AB$1185,"",AB1514+AB1794)</f>
        <v>0</v>
      </c>
      <c r="AC1234" s="125">
        <f>IF(tech_base!$T50&gt;AC$1185,"",AC1514+AC1794)</f>
        <v>0</v>
      </c>
      <c r="AD1234" s="125">
        <f>IF(tech_base!$T50&gt;AD$1185,"",AD1514+AD1794)</f>
        <v>0</v>
      </c>
      <c r="AE1234" s="125">
        <f>IF(tech_base!$T50&gt;AE$1185,"",AE1514+AE1794)</f>
        <v>0</v>
      </c>
      <c r="AF1234" s="125">
        <f>IF(tech_base!$T50&gt;AF$1185,"",AF1514+AF1794)</f>
        <v>0</v>
      </c>
      <c r="AG1234" s="125">
        <f>IF(tech_base!$T50&gt;AG$1185,"",AG1514+AG1794)</f>
        <v>0</v>
      </c>
      <c r="AH1234" s="125">
        <f>IF(tech_base!$T50&gt;AH$1185,"",AH1514+AH1794)</f>
        <v>0</v>
      </c>
      <c r="AI1234" s="125">
        <f>IF(tech_base!$T50&gt;AI$1185,"",AI1514+AI1794)</f>
        <v>0</v>
      </c>
      <c r="AJ1234" s="125">
        <f>IF(tech_base!$T50&gt;AJ$1185,"",AJ1514+AJ1794)</f>
        <v>0</v>
      </c>
      <c r="AK1234" s="125">
        <f>IF(tech_base!$T50&gt;AK$1185,"",AK1514+AK1794)</f>
        <v>0</v>
      </c>
      <c r="AL1234" s="125">
        <f>IF(tech_base!$T50&gt;AL$1185,"",AL1514+AL1794)</f>
        <v>0</v>
      </c>
      <c r="AM1234" s="125">
        <f>IF(tech_base!$T50&gt;AM$1185,"",AM1514+AM1794)</f>
        <v>0</v>
      </c>
      <c r="AN1234" s="125">
        <f>IF(tech_base!$T50&gt;AN$1185,"",AN1514+AN1794)</f>
        <v>0</v>
      </c>
      <c r="AO1234" s="125">
        <f>IF(tech_base!$T50&gt;AO$1185,"",AO1514+AO1794)</f>
        <v>0</v>
      </c>
      <c r="AP1234" s="125">
        <f>IF(tech_base!$T50&gt;AP$1185,"",AP1514+AP1794)</f>
        <v>0</v>
      </c>
      <c r="AQ1234" s="125">
        <f>IF(tech_base!$T50&gt;AQ$1185,"",AQ1514+AQ1794)</f>
        <v>0</v>
      </c>
      <c r="AR1234" s="125">
        <f>IF(tech_base!$T50&gt;AR$1185,"",AR1514+AR1794)</f>
        <v>0</v>
      </c>
      <c r="AS1234" s="125">
        <f>IF(tech_base!$T50&gt;AS$1185,"",AS1514+AS1794)</f>
        <v>0</v>
      </c>
      <c r="AT1234" s="125">
        <f>IF(tech_base!$T50&gt;AT$1185,"",AT1514+AT1794)</f>
        <v>0</v>
      </c>
      <c r="AU1234" s="125">
        <f>IF(tech_base!$T50&gt;AU$1185,"",AU1514+AU1794)</f>
        <v>0</v>
      </c>
      <c r="AV1234" s="125">
        <f>IF(tech_base!$T50&gt;AV$1185,"",AV1514+AV1794)</f>
        <v>0</v>
      </c>
      <c r="AW1234" s="125">
        <f>IF(tech_base!$T50&gt;AW$1185,"",AW1514+AW1794)</f>
        <v>0</v>
      </c>
      <c r="AX1234" s="126">
        <f>IF(tech_base!$T50&gt;AX$1185,"",AX1514+AX1794)</f>
        <v>0</v>
      </c>
    </row>
    <row r="1235" spans="1:50" x14ac:dyDescent="0.25">
      <c r="A1235" s="356"/>
      <c r="B1235" s="376"/>
      <c r="C1235" s="361" t="s">
        <v>15</v>
      </c>
      <c r="D1235" s="58" t="s">
        <v>7</v>
      </c>
      <c r="E1235" s="164" t="str">
        <f>A1231&amp;"/"&amp;B1231&amp;"/"&amp;C1235&amp;"/"&amp;D1235</f>
        <v>Lignite fired power plants/Integrated gasification combined cycle/Electricity only with CCS/L</v>
      </c>
      <c r="F1235" s="78" t="str">
        <f>A1231</f>
        <v>Lignite fired power plants</v>
      </c>
      <c r="G1235" s="78" t="str">
        <f>B1231</f>
        <v>Integrated gasification combined cycle</v>
      </c>
      <c r="H1235" s="78" t="str">
        <f>C1235</f>
        <v>Electricity only with CCS</v>
      </c>
      <c r="I1235" s="165" t="str">
        <f t="shared" si="372"/>
        <v>L</v>
      </c>
      <c r="J1235" s="123" t="str">
        <f>IF(tech_base!$T51&gt;J$1185,"",J1515+J1795)</f>
        <v/>
      </c>
      <c r="K1235" s="123" t="str">
        <f>IF(tech_base!$T51&gt;K$1185,"",K1515+K1795)</f>
        <v/>
      </c>
      <c r="L1235" s="123" t="str">
        <f>IF(tech_base!$T51&gt;L$1185,"",L1515+L1795)</f>
        <v/>
      </c>
      <c r="M1235" s="123" t="str">
        <f>IF(tech_base!$T51&gt;M$1185,"",M1515+M1795)</f>
        <v/>
      </c>
      <c r="N1235" s="123" t="str">
        <f>IF(tech_base!$T51&gt;N$1185,"",N1515+N1795)</f>
        <v/>
      </c>
      <c r="O1235" s="123" t="str">
        <f>IF(tech_base!$T51&gt;O$1185,"",O1515+O1795)</f>
        <v/>
      </c>
      <c r="P1235" s="123" t="str">
        <f>IF(tech_base!$T51&gt;P$1185,"",P1515+P1795)</f>
        <v/>
      </c>
      <c r="Q1235" s="123" t="str">
        <f>IF(tech_base!$T51&gt;Q$1185,"",Q1515+Q1795)</f>
        <v/>
      </c>
      <c r="R1235" s="123" t="str">
        <f>IF(tech_base!$T51&gt;R$1185,"",R1515+R1795)</f>
        <v/>
      </c>
      <c r="S1235" s="123" t="str">
        <f>IF(tech_base!$T51&gt;S$1185,"",S1515+S1795)</f>
        <v/>
      </c>
      <c r="T1235" s="123" t="str">
        <f>IF(tech_base!$T51&gt;T$1185,"",T1515+T1795)</f>
        <v/>
      </c>
      <c r="U1235" s="123" t="str">
        <f>IF(tech_base!$T51&gt;U$1185,"",U1515+U1795)</f>
        <v/>
      </c>
      <c r="V1235" s="123" t="str">
        <f>IF(tech_base!$T51&gt;V$1185,"",V1515+V1795)</f>
        <v/>
      </c>
      <c r="W1235" s="123" t="str">
        <f>IF(tech_base!$T51&gt;W$1185,"",W1515+W1795)</f>
        <v/>
      </c>
      <c r="X1235" s="123" t="str">
        <f>IF(tech_base!$T51&gt;X$1185,"",X1515+X1795)</f>
        <v/>
      </c>
      <c r="Y1235" s="123" t="str">
        <f>IF(tech_base!$T51&gt;Y$1185,"",Y1515+Y1795)</f>
        <v/>
      </c>
      <c r="Z1235" s="123" t="str">
        <f>IF(tech_base!$T51&gt;Z$1185,"",Z1515+Z1795)</f>
        <v/>
      </c>
      <c r="AA1235" s="123" t="str">
        <f>IF(tech_base!$T51&gt;AA$1185,"",AA1515+AA1795)</f>
        <v/>
      </c>
      <c r="AB1235" s="123" t="str">
        <f>IF(tech_base!$T51&gt;AB$1185,"",AB1515+AB1795)</f>
        <v/>
      </c>
      <c r="AC1235" s="123" t="str">
        <f>IF(tech_base!$T51&gt;AC$1185,"",AC1515+AC1795)</f>
        <v/>
      </c>
      <c r="AD1235" s="123" t="str">
        <f>IF(tech_base!$T51&gt;AD$1185,"",AD1515+AD1795)</f>
        <v/>
      </c>
      <c r="AE1235" s="123">
        <f>IF(tech_base!$T51&gt;AE$1185,"",AE1515+AE1795)</f>
        <v>11.534928323041752</v>
      </c>
      <c r="AF1235" s="123">
        <f>IF(tech_base!$T51&gt;AF$1185,"",AF1515+AF1795)</f>
        <v>11.534568047493151</v>
      </c>
      <c r="AG1235" s="123">
        <f>IF(tech_base!$T51&gt;AG$1185,"",AG1515+AG1795)</f>
        <v>11.534082114937059</v>
      </c>
      <c r="AH1235" s="123">
        <f>IF(tech_base!$T51&gt;AH$1185,"",AH1515+AH1795)</f>
        <v>11.533426881672336</v>
      </c>
      <c r="AI1235" s="123">
        <f>IF(tech_base!$T51&gt;AI$1185,"",AI1515+AI1795)</f>
        <v>11.532543695352951</v>
      </c>
      <c r="AJ1235" s="123">
        <f>IF(tech_base!$T51&gt;AJ$1185,"",AJ1515+AJ1795)</f>
        <v>11.531353856253062</v>
      </c>
      <c r="AK1235" s="123">
        <f>IF(tech_base!$T51&gt;AK$1185,"",AK1515+AK1795)</f>
        <v>11.529751987250584</v>
      </c>
      <c r="AL1235" s="123">
        <f>IF(tech_base!$T51&gt;AL$1185,"",AL1515+AL1795)</f>
        <v>11.527597392725951</v>
      </c>
      <c r="AM1235" s="123">
        <f>IF(tech_base!$T51&gt;AM$1185,"",AM1515+AM1795)</f>
        <v>11.524702946375175</v>
      </c>
      <c r="AN1235" s="123">
        <f>IF(tech_base!$T51&gt;AN$1185,"",AN1515+AN1795)</f>
        <v>11.520821073074789</v>
      </c>
      <c r="AO1235" s="123">
        <f>IF(tech_base!$T51&gt;AO$1185,"",AO1515+AO1795)</f>
        <v>11.515626557100873</v>
      </c>
      <c r="AP1235" s="123">
        <f>IF(tech_base!$T51&gt;AP$1185,"",AP1515+AP1795)</f>
        <v>11.508696350745865</v>
      </c>
      <c r="AQ1235" s="123">
        <f>IF(tech_base!$T51&gt;AQ$1185,"",AQ1515+AQ1795)</f>
        <v>11.499487486476914</v>
      </c>
      <c r="AR1235" s="123">
        <f>IF(tech_base!$T51&gt;AR$1185,"",AR1515+AR1795)</f>
        <v>11.487315920895741</v>
      </c>
      <c r="AS1235" s="123">
        <f>IF(tech_base!$T51&gt;AS$1185,"",AS1515+AS1795)</f>
        <v>11.471342035918392</v>
      </c>
      <c r="AT1235" s="123">
        <f>IF(tech_base!$T51&gt;AT$1185,"",AT1515+AT1795)</f>
        <v>11.450572883688565</v>
      </c>
      <c r="AU1235" s="123">
        <f>IF(tech_base!$T51&gt;AU$1185,"",AU1515+AU1795)</f>
        <v>11.423896882058147</v>
      </c>
      <c r="AV1235" s="123">
        <f>IF(tech_base!$T51&gt;AV$1185,"",AV1515+AV1795)</f>
        <v>11.390172013915882</v>
      </c>
      <c r="AW1235" s="123">
        <f>IF(tech_base!$T51&gt;AW$1185,"",AW1515+AW1795)</f>
        <v>11.348389580813135</v>
      </c>
      <c r="AX1235" s="124">
        <f>IF(tech_base!$T51&gt;AX$1185,"",AX1515+AX1795)</f>
        <v>11.297924781624774</v>
      </c>
    </row>
    <row r="1236" spans="1:50" x14ac:dyDescent="0.25">
      <c r="A1236" s="356"/>
      <c r="B1236" s="376"/>
      <c r="C1236" s="379"/>
      <c r="D1236" s="59" t="s">
        <v>8</v>
      </c>
      <c r="E1236" s="166" t="str">
        <f>A1231&amp;"/"&amp;B1231&amp;"/"&amp;C1235&amp;"/"&amp;D1236</f>
        <v>Lignite fired power plants/Integrated gasification combined cycle/Electricity only with CCS/M</v>
      </c>
      <c r="F1236" s="79" t="str">
        <f>A1231</f>
        <v>Lignite fired power plants</v>
      </c>
      <c r="G1236" s="79" t="str">
        <f>B1231</f>
        <v>Integrated gasification combined cycle</v>
      </c>
      <c r="H1236" s="79" t="str">
        <f>C1235</f>
        <v>Electricity only with CCS</v>
      </c>
      <c r="I1236" s="167" t="str">
        <f t="shared" si="372"/>
        <v>M</v>
      </c>
      <c r="J1236" s="125" t="str">
        <f>IF(tech_base!$T52&gt;J$1185,"",J1516+J1796)</f>
        <v/>
      </c>
      <c r="K1236" s="125" t="str">
        <f>IF(tech_base!$T52&gt;K$1185,"",K1516+K1796)</f>
        <v/>
      </c>
      <c r="L1236" s="125" t="str">
        <f>IF(tech_base!$T52&gt;L$1185,"",L1516+L1796)</f>
        <v/>
      </c>
      <c r="M1236" s="125" t="str">
        <f>IF(tech_base!$T52&gt;M$1185,"",M1516+M1796)</f>
        <v/>
      </c>
      <c r="N1236" s="125" t="str">
        <f>IF(tech_base!$T52&gt;N$1185,"",N1516+N1796)</f>
        <v/>
      </c>
      <c r="O1236" s="125" t="str">
        <f>IF(tech_base!$T52&gt;O$1185,"",O1516+O1796)</f>
        <v/>
      </c>
      <c r="P1236" s="125" t="str">
        <f>IF(tech_base!$T52&gt;P$1185,"",P1516+P1796)</f>
        <v/>
      </c>
      <c r="Q1236" s="125" t="str">
        <f>IF(tech_base!$T52&gt;Q$1185,"",Q1516+Q1796)</f>
        <v/>
      </c>
      <c r="R1236" s="125" t="str">
        <f>IF(tech_base!$T52&gt;R$1185,"",R1516+R1796)</f>
        <v/>
      </c>
      <c r="S1236" s="125" t="str">
        <f>IF(tech_base!$T52&gt;S$1185,"",S1516+S1796)</f>
        <v/>
      </c>
      <c r="T1236" s="125" t="str">
        <f>IF(tech_base!$T52&gt;T$1185,"",T1516+T1796)</f>
        <v/>
      </c>
      <c r="U1236" s="125" t="str">
        <f>IF(tech_base!$T52&gt;U$1185,"",U1516+U1796)</f>
        <v/>
      </c>
      <c r="V1236" s="125" t="str">
        <f>IF(tech_base!$T52&gt;V$1185,"",V1516+V1796)</f>
        <v/>
      </c>
      <c r="W1236" s="125" t="str">
        <f>IF(tech_base!$T52&gt;W$1185,"",W1516+W1796)</f>
        <v/>
      </c>
      <c r="X1236" s="125" t="str">
        <f>IF(tech_base!$T52&gt;X$1185,"",X1516+X1796)</f>
        <v/>
      </c>
      <c r="Y1236" s="125" t="str">
        <f>IF(tech_base!$T52&gt;Y$1185,"",Y1516+Y1796)</f>
        <v/>
      </c>
      <c r="Z1236" s="125" t="str">
        <f>IF(tech_base!$T52&gt;Z$1185,"",Z1516+Z1796)</f>
        <v/>
      </c>
      <c r="AA1236" s="125" t="str">
        <f>IF(tech_base!$T52&gt;AA$1185,"",AA1516+AA1796)</f>
        <v/>
      </c>
      <c r="AB1236" s="125" t="str">
        <f>IF(tech_base!$T52&gt;AB$1185,"",AB1516+AB1796)</f>
        <v/>
      </c>
      <c r="AC1236" s="125" t="str">
        <f>IF(tech_base!$T52&gt;AC$1185,"",AC1516+AC1796)</f>
        <v/>
      </c>
      <c r="AD1236" s="125" t="str">
        <f>IF(tech_base!$T52&gt;AD$1185,"",AD1516+AD1796)</f>
        <v/>
      </c>
      <c r="AE1236" s="125">
        <f>IF(tech_base!$T52&gt;AE$1185,"",AE1516+AE1796)</f>
        <v>12.328901877719341</v>
      </c>
      <c r="AF1236" s="125">
        <f>IF(tech_base!$T52&gt;AF$1185,"",AF1516+AF1796)</f>
        <v>12.328712430244568</v>
      </c>
      <c r="AG1236" s="125">
        <f>IF(tech_base!$T52&gt;AG$1185,"",AG1516+AG1796)</f>
        <v>12.328443692862921</v>
      </c>
      <c r="AH1236" s="125">
        <f>IF(tech_base!$T52&gt;AH$1185,"",AH1516+AH1796)</f>
        <v>12.328062540391844</v>
      </c>
      <c r="AI1236" s="125">
        <f>IF(tech_base!$T52&gt;AI$1185,"",AI1516+AI1796)</f>
        <v>12.327522069771105</v>
      </c>
      <c r="AJ1236" s="125">
        <f>IF(tech_base!$T52&gt;AJ$1185,"",AJ1516+AJ1796)</f>
        <v>12.326755930987163</v>
      </c>
      <c r="AK1236" s="125">
        <f>IF(tech_base!$T52&gt;AK$1185,"",AK1516+AK1796)</f>
        <v>12.325670387660466</v>
      </c>
      <c r="AL1236" s="125">
        <f>IF(tech_base!$T52&gt;AL$1185,"",AL1516+AL1796)</f>
        <v>12.324133261162499</v>
      </c>
      <c r="AM1236" s="125">
        <f>IF(tech_base!$T52&gt;AM$1185,"",AM1516+AM1796)</f>
        <v>12.321958661442467</v>
      </c>
      <c r="AN1236" s="125">
        <f>IF(tech_base!$T52&gt;AN$1185,"",AN1516+AN1796)</f>
        <v>12.318886152155534</v>
      </c>
      <c r="AO1236" s="125">
        <f>IF(tech_base!$T52&gt;AO$1185,"",AO1516+AO1796)</f>
        <v>12.314552827360709</v>
      </c>
      <c r="AP1236" s="125">
        <f>IF(tech_base!$T52&gt;AP$1185,"",AP1516+AP1796)</f>
        <v>12.308456897022118</v>
      </c>
      <c r="AQ1236" s="125">
        <f>IF(tech_base!$T52&gt;AQ$1185,"",AQ1516+AQ1796)</f>
        <v>12.29991220707139</v>
      </c>
      <c r="AR1236" s="125">
        <f>IF(tech_base!$T52&gt;AR$1185,"",AR1516+AR1796)</f>
        <v>12.287995434483504</v>
      </c>
      <c r="AS1236" s="125">
        <f>IF(tech_base!$T52&gt;AS$1185,"",AS1516+AS1796)</f>
        <v>12.271492793522016</v>
      </c>
      <c r="AT1236" s="125">
        <f>IF(tech_base!$T52&gt;AT$1185,"",AT1516+AT1796)</f>
        <v>12.248862774634494</v>
      </c>
      <c r="AU1236" s="125">
        <f>IF(tech_base!$T52&gt;AU$1185,"",AU1516+AU1796)</f>
        <v>12.21824737043673</v>
      </c>
      <c r="AV1236" s="125">
        <f>IF(tech_base!$T52&gt;AV$1185,"",AV1516+AV1796)</f>
        <v>12.177585558642351</v>
      </c>
      <c r="AW1236" s="125">
        <f>IF(tech_base!$T52&gt;AW$1185,"",AW1516+AW1796)</f>
        <v>12.124900701956586</v>
      </c>
      <c r="AX1236" s="126">
        <f>IF(tech_base!$T52&gt;AX$1185,"",AX1516+AX1796)</f>
        <v>12.058823422020891</v>
      </c>
    </row>
    <row r="1237" spans="1:50" x14ac:dyDescent="0.25">
      <c r="A1237" s="356"/>
      <c r="B1237" s="376"/>
      <c r="C1237" s="361" t="s">
        <v>16</v>
      </c>
      <c r="D1237" s="2" t="s">
        <v>7</v>
      </c>
      <c r="E1237" s="160" t="str">
        <f>A1231&amp;"/"&amp;B1231&amp;"/"&amp;C1237&amp;"/"&amp;D1237</f>
        <v>Lignite fired power plants/Integrated gasification combined cycle/CHP with CCS/L</v>
      </c>
      <c r="F1237" s="76" t="str">
        <f>A1231</f>
        <v>Lignite fired power plants</v>
      </c>
      <c r="G1237" s="76" t="str">
        <f>B1231</f>
        <v>Integrated gasification combined cycle</v>
      </c>
      <c r="H1237" s="76" t="str">
        <f>C1237</f>
        <v>CHP with CCS</v>
      </c>
      <c r="I1237" s="161" t="str">
        <f t="shared" si="372"/>
        <v>L</v>
      </c>
      <c r="J1237" s="119" t="str">
        <f>IF(tech_base!$T53&gt;J$1185,"",J1517+J1797)</f>
        <v/>
      </c>
      <c r="K1237" s="119" t="str">
        <f>IF(tech_base!$T53&gt;K$1185,"",K1517+K1797)</f>
        <v/>
      </c>
      <c r="L1237" s="119" t="str">
        <f>IF(tech_base!$T53&gt;L$1185,"",L1517+L1797)</f>
        <v/>
      </c>
      <c r="M1237" s="119" t="str">
        <f>IF(tech_base!$T53&gt;M$1185,"",M1517+M1797)</f>
        <v/>
      </c>
      <c r="N1237" s="119" t="str">
        <f>IF(tech_base!$T53&gt;N$1185,"",N1517+N1797)</f>
        <v/>
      </c>
      <c r="O1237" s="119" t="str">
        <f>IF(tech_base!$T53&gt;O$1185,"",O1517+O1797)</f>
        <v/>
      </c>
      <c r="P1237" s="119" t="str">
        <f>IF(tech_base!$T53&gt;P$1185,"",P1517+P1797)</f>
        <v/>
      </c>
      <c r="Q1237" s="119" t="str">
        <f>IF(tech_base!$T53&gt;Q$1185,"",Q1517+Q1797)</f>
        <v/>
      </c>
      <c r="R1237" s="119" t="str">
        <f>IF(tech_base!$T53&gt;R$1185,"",R1517+R1797)</f>
        <v/>
      </c>
      <c r="S1237" s="119" t="str">
        <f>IF(tech_base!$T53&gt;S$1185,"",S1517+S1797)</f>
        <v/>
      </c>
      <c r="T1237" s="119" t="str">
        <f>IF(tech_base!$T53&gt;T$1185,"",T1517+T1797)</f>
        <v/>
      </c>
      <c r="U1237" s="119" t="str">
        <f>IF(tech_base!$T53&gt;U$1185,"",U1517+U1797)</f>
        <v/>
      </c>
      <c r="V1237" s="119" t="str">
        <f>IF(tech_base!$T53&gt;V$1185,"",V1517+V1797)</f>
        <v/>
      </c>
      <c r="W1237" s="119" t="str">
        <f>IF(tech_base!$T53&gt;W$1185,"",W1517+W1797)</f>
        <v/>
      </c>
      <c r="X1237" s="119" t="str">
        <f>IF(tech_base!$T53&gt;X$1185,"",X1517+X1797)</f>
        <v/>
      </c>
      <c r="Y1237" s="119" t="str">
        <f>IF(tech_base!$T53&gt;Y$1185,"",Y1517+Y1797)</f>
        <v/>
      </c>
      <c r="Z1237" s="119" t="str">
        <f>IF(tech_base!$T53&gt;Z$1185,"",Z1517+Z1797)</f>
        <v/>
      </c>
      <c r="AA1237" s="119" t="str">
        <f>IF(tech_base!$T53&gt;AA$1185,"",AA1517+AA1797)</f>
        <v/>
      </c>
      <c r="AB1237" s="119" t="str">
        <f>IF(tech_base!$T53&gt;AB$1185,"",AB1517+AB1797)</f>
        <v/>
      </c>
      <c r="AC1237" s="119" t="str">
        <f>IF(tech_base!$T53&gt;AC$1185,"",AC1517+AC1797)</f>
        <v/>
      </c>
      <c r="AD1237" s="119" t="str">
        <f>IF(tech_base!$T53&gt;AD$1185,"",AD1517+AD1797)</f>
        <v/>
      </c>
      <c r="AE1237" s="119">
        <f>IF(tech_base!$T53&gt;AE$1185,"",AE1517+AE1797)</f>
        <v>13.150535759730239</v>
      </c>
      <c r="AF1237" s="119">
        <f>IF(tech_base!$T53&gt;AF$1185,"",AF1517+AF1797)</f>
        <v>13.15014992823391</v>
      </c>
      <c r="AG1237" s="119">
        <f>IF(tech_base!$T53&gt;AG$1185,"",AG1517+AG1797)</f>
        <v>13.149629530949781</v>
      </c>
      <c r="AH1237" s="119">
        <f>IF(tech_base!$T53&gt;AH$1185,"",AH1517+AH1797)</f>
        <v>13.148927833739535</v>
      </c>
      <c r="AI1237" s="119">
        <f>IF(tech_base!$T53&gt;AI$1185,"",AI1517+AI1797)</f>
        <v>13.147982034160608</v>
      </c>
      <c r="AJ1237" s="119">
        <f>IF(tech_base!$T53&gt;AJ$1185,"",AJ1517+AJ1797)</f>
        <v>13.146707869536097</v>
      </c>
      <c r="AK1237" s="119">
        <f>IF(tech_base!$T53&gt;AK$1185,"",AK1517+AK1797)</f>
        <v>13.144992524321786</v>
      </c>
      <c r="AL1237" s="119">
        <f>IF(tech_base!$T53&gt;AL$1185,"",AL1517+AL1797)</f>
        <v>13.142685389927511</v>
      </c>
      <c r="AM1237" s="119">
        <f>IF(tech_base!$T53&gt;AM$1185,"",AM1517+AM1797)</f>
        <v>13.139586189183346</v>
      </c>
      <c r="AN1237" s="119">
        <f>IF(tech_base!$T53&gt;AN$1185,"",AN1517+AN1797)</f>
        <v>13.135430008110987</v>
      </c>
      <c r="AO1237" s="119">
        <f>IF(tech_base!$T53&gt;AO$1185,"",AO1517+AO1797)</f>
        <v>13.129868962566466</v>
      </c>
      <c r="AP1237" s="119">
        <f>IF(tech_base!$T53&gt;AP$1185,"",AP1517+AP1797)</f>
        <v>13.122450709766344</v>
      </c>
      <c r="AQ1237" s="119">
        <f>IF(tech_base!$T53&gt;AQ$1185,"",AQ1517+AQ1797)</f>
        <v>13.112595023719223</v>
      </c>
      <c r="AR1237" s="119">
        <f>IF(tech_base!$T53&gt;AR$1185,"",AR1517+AR1797)</f>
        <v>13.099571519839973</v>
      </c>
      <c r="AS1237" s="119">
        <f>IF(tech_base!$T53&gt;AS$1185,"",AS1517+AS1797)</f>
        <v>13.082484736691049</v>
      </c>
      <c r="AT1237" s="119">
        <f>IF(tech_base!$T53&gt;AT$1185,"",AT1517+AT1797)</f>
        <v>13.06027746170275</v>
      </c>
      <c r="AU1237" s="119">
        <f>IF(tech_base!$T53&gt;AU$1185,"",AU1517+AU1797)</f>
        <v>13.031769172341392</v>
      </c>
      <c r="AV1237" s="119">
        <f>IF(tech_base!$T53&gt;AV$1185,"",AV1517+AV1797)</f>
        <v>12.995752053214702</v>
      </c>
      <c r="AW1237" s="119">
        <f>IF(tech_base!$T53&gt;AW$1185,"",AW1517+AW1797)</f>
        <v>12.951167796896417</v>
      </c>
      <c r="AX1237" s="120">
        <f>IF(tech_base!$T53&gt;AX$1185,"",AX1517+AX1797)</f>
        <v>12.89737630372511</v>
      </c>
    </row>
    <row r="1238" spans="1:50" x14ac:dyDescent="0.25">
      <c r="A1238" s="356"/>
      <c r="B1238" s="376"/>
      <c r="C1238" s="381"/>
      <c r="D1238" s="2" t="s">
        <v>8</v>
      </c>
      <c r="E1238" s="168" t="str">
        <f>A1231&amp;"/"&amp;B1231&amp;"/"&amp;C1237&amp;"/"&amp;D1238</f>
        <v>Lignite fired power plants/Integrated gasification combined cycle/CHP with CCS/M</v>
      </c>
      <c r="F1238" s="80" t="str">
        <f>A1231</f>
        <v>Lignite fired power plants</v>
      </c>
      <c r="G1238" s="80" t="str">
        <f>B1231</f>
        <v>Integrated gasification combined cycle</v>
      </c>
      <c r="H1238" s="80" t="str">
        <f>C1237</f>
        <v>CHP with CCS</v>
      </c>
      <c r="I1238" s="169" t="str">
        <f t="shared" si="372"/>
        <v>M</v>
      </c>
      <c r="J1238" s="127" t="str">
        <f>IF(tech_base!$T54&gt;J$1185,"",J1518+J1798)</f>
        <v/>
      </c>
      <c r="K1238" s="127" t="str">
        <f>IF(tech_base!$T54&gt;K$1185,"",K1518+K1798)</f>
        <v/>
      </c>
      <c r="L1238" s="127" t="str">
        <f>IF(tech_base!$T54&gt;L$1185,"",L1518+L1798)</f>
        <v/>
      </c>
      <c r="M1238" s="127" t="str">
        <f>IF(tech_base!$T54&gt;M$1185,"",M1518+M1798)</f>
        <v/>
      </c>
      <c r="N1238" s="127" t="str">
        <f>IF(tech_base!$T54&gt;N$1185,"",N1518+N1798)</f>
        <v/>
      </c>
      <c r="O1238" s="127" t="str">
        <f>IF(tech_base!$T54&gt;O$1185,"",O1518+O1798)</f>
        <v/>
      </c>
      <c r="P1238" s="127" t="str">
        <f>IF(tech_base!$T54&gt;P$1185,"",P1518+P1798)</f>
        <v/>
      </c>
      <c r="Q1238" s="127" t="str">
        <f>IF(tech_base!$T54&gt;Q$1185,"",Q1518+Q1798)</f>
        <v/>
      </c>
      <c r="R1238" s="127" t="str">
        <f>IF(tech_base!$T54&gt;R$1185,"",R1518+R1798)</f>
        <v/>
      </c>
      <c r="S1238" s="127" t="str">
        <f>IF(tech_base!$T54&gt;S$1185,"",S1518+S1798)</f>
        <v/>
      </c>
      <c r="T1238" s="127" t="str">
        <f>IF(tech_base!$T54&gt;T$1185,"",T1518+T1798)</f>
        <v/>
      </c>
      <c r="U1238" s="127" t="str">
        <f>IF(tech_base!$T54&gt;U$1185,"",U1518+U1798)</f>
        <v/>
      </c>
      <c r="V1238" s="127" t="str">
        <f>IF(tech_base!$T54&gt;V$1185,"",V1518+V1798)</f>
        <v/>
      </c>
      <c r="W1238" s="127" t="str">
        <f>IF(tech_base!$T54&gt;W$1185,"",W1518+W1798)</f>
        <v/>
      </c>
      <c r="X1238" s="127" t="str">
        <f>IF(tech_base!$T54&gt;X$1185,"",X1518+X1798)</f>
        <v/>
      </c>
      <c r="Y1238" s="127" t="str">
        <f>IF(tech_base!$T54&gt;Y$1185,"",Y1518+Y1798)</f>
        <v/>
      </c>
      <c r="Z1238" s="127" t="str">
        <f>IF(tech_base!$T54&gt;Z$1185,"",Z1518+Z1798)</f>
        <v/>
      </c>
      <c r="AA1238" s="127" t="str">
        <f>IF(tech_base!$T54&gt;AA$1185,"",AA1518+AA1798)</f>
        <v/>
      </c>
      <c r="AB1238" s="127" t="str">
        <f>IF(tech_base!$T54&gt;AB$1185,"",AB1518+AB1798)</f>
        <v/>
      </c>
      <c r="AC1238" s="127" t="str">
        <f>IF(tech_base!$T54&gt;AC$1185,"",AC1518+AC1798)</f>
        <v/>
      </c>
      <c r="AD1238" s="127" t="str">
        <f>IF(tech_base!$T54&gt;AD$1185,"",AD1518+AD1798)</f>
        <v/>
      </c>
      <c r="AE1238" s="127">
        <f>IF(tech_base!$T54&gt;AE$1185,"",AE1518+AE1798)</f>
        <v>14.090958271001275</v>
      </c>
      <c r="AF1238" s="127">
        <f>IF(tech_base!$T54&gt;AF$1185,"",AF1518+AF1798)</f>
        <v>14.090754122811402</v>
      </c>
      <c r="AG1238" s="127">
        <f>IF(tech_base!$T54&gt;AG$1185,"",AG1518+AG1798)</f>
        <v>14.090464533219334</v>
      </c>
      <c r="AH1238" s="127">
        <f>IF(tech_base!$T54&gt;AH$1185,"",AH1518+AH1798)</f>
        <v>14.09005380835954</v>
      </c>
      <c r="AI1238" s="127">
        <f>IF(tech_base!$T54&gt;AI$1185,"",AI1518+AI1798)</f>
        <v>14.089471409348105</v>
      </c>
      <c r="AJ1238" s="127">
        <f>IF(tech_base!$T54&gt;AJ$1185,"",AJ1518+AJ1798)</f>
        <v>14.088645845396252</v>
      </c>
      <c r="AK1238" s="127">
        <f>IF(tech_base!$T54&gt;AK$1185,"",AK1518+AK1798)</f>
        <v>14.087476122552015</v>
      </c>
      <c r="AL1238" s="127">
        <f>IF(tech_base!$T54&gt;AL$1185,"",AL1518+AL1798)</f>
        <v>14.085819838415745</v>
      </c>
      <c r="AM1238" s="127">
        <f>IF(tech_base!$T54&gt;AM$1185,"",AM1518+AM1798)</f>
        <v>14.083476745122205</v>
      </c>
      <c r="AN1238" s="127">
        <f>IF(tech_base!$T54&gt;AN$1185,"",AN1518+AN1798)</f>
        <v>14.080166331511062</v>
      </c>
      <c r="AO1238" s="127">
        <f>IF(tech_base!$T54&gt;AO$1185,"",AO1518+AO1798)</f>
        <v>14.075497799592105</v>
      </c>
      <c r="AP1238" s="127">
        <f>IF(tech_base!$T54&gt;AP$1185,"",AP1518+AP1798)</f>
        <v>14.068930954057034</v>
      </c>
      <c r="AQ1238" s="127">
        <f>IF(tech_base!$T54&gt;AQ$1185,"",AQ1518+AQ1798)</f>
        <v>14.059727442121767</v>
      </c>
      <c r="AR1238" s="127">
        <f>IF(tech_base!$T54&gt;AR$1185,"",AR1518+AR1798)</f>
        <v>14.046894318553406</v>
      </c>
      <c r="AS1238" s="127">
        <f>IF(tech_base!$T54&gt;AS$1185,"",AS1518+AS1798)</f>
        <v>14.029127467177142</v>
      </c>
      <c r="AT1238" s="127">
        <f>IF(tech_base!$T54&gt;AT$1185,"",AT1518+AT1798)</f>
        <v>14.00477292570916</v>
      </c>
      <c r="AU1238" s="127">
        <f>IF(tech_base!$T54&gt;AU$1185,"",AU1518+AU1798)</f>
        <v>13.971841370067013</v>
      </c>
      <c r="AV1238" s="127">
        <f>IF(tech_base!$T54&gt;AV$1185,"",AV1518+AV1798)</f>
        <v>13.928133831828072</v>
      </c>
      <c r="AW1238" s="127">
        <f>IF(tech_base!$T54&gt;AW$1185,"",AW1518+AW1798)</f>
        <v>13.871555341121532</v>
      </c>
      <c r="AX1238" s="128">
        <f>IF(tech_base!$T54&gt;AX$1185,"",AX1518+AX1798)</f>
        <v>13.800680735822061</v>
      </c>
    </row>
    <row r="1239" spans="1:50" x14ac:dyDescent="0.25">
      <c r="A1239" s="356"/>
      <c r="B1239" s="358" t="s">
        <v>17</v>
      </c>
      <c r="C1239" s="353" t="s">
        <v>6</v>
      </c>
      <c r="D1239" s="3" t="s">
        <v>7</v>
      </c>
      <c r="E1239" s="162" t="str">
        <f>A1231&amp;"/"&amp;B1239&amp;"/"&amp;C1239&amp;"/"&amp;D1239</f>
        <v>Lignite fired power plants/Supercritical steam turbine/Electricity only/L</v>
      </c>
      <c r="F1239" s="77" t="str">
        <f>A1231</f>
        <v>Lignite fired power plants</v>
      </c>
      <c r="G1239" s="77" t="str">
        <f>B1239</f>
        <v>Supercritical steam turbine</v>
      </c>
      <c r="H1239" s="77" t="str">
        <f>C1239</f>
        <v>Electricity only</v>
      </c>
      <c r="I1239" s="163" t="str">
        <f t="shared" si="372"/>
        <v>L</v>
      </c>
      <c r="J1239" s="121">
        <f>IF(tech_base!$T55&gt;J$1185,"",J1519+J1799)</f>
        <v>0</v>
      </c>
      <c r="K1239" s="121">
        <f>IF(tech_base!$T55&gt;K$1185,"",K1519+K1799)</f>
        <v>0</v>
      </c>
      <c r="L1239" s="121">
        <f>IF(tech_base!$T55&gt;L$1185,"",L1519+L1799)</f>
        <v>0</v>
      </c>
      <c r="M1239" s="121">
        <f>IF(tech_base!$T55&gt;M$1185,"",M1519+M1799)</f>
        <v>0</v>
      </c>
      <c r="N1239" s="121">
        <f>IF(tech_base!$T55&gt;N$1185,"",N1519+N1799)</f>
        <v>0</v>
      </c>
      <c r="O1239" s="121">
        <f>IF(tech_base!$T55&gt;O$1185,"",O1519+O1799)</f>
        <v>0</v>
      </c>
      <c r="P1239" s="121">
        <f>IF(tech_base!$T55&gt;P$1185,"",P1519+P1799)</f>
        <v>0</v>
      </c>
      <c r="Q1239" s="121">
        <f>IF(tech_base!$T55&gt;Q$1185,"",Q1519+Q1799)</f>
        <v>0</v>
      </c>
      <c r="R1239" s="121">
        <f>IF(tech_base!$T55&gt;R$1185,"",R1519+R1799)</f>
        <v>0</v>
      </c>
      <c r="S1239" s="121">
        <f>IF(tech_base!$T55&gt;S$1185,"",S1519+S1799)</f>
        <v>0</v>
      </c>
      <c r="T1239" s="121">
        <f>IF(tech_base!$T55&gt;T$1185,"",T1519+T1799)</f>
        <v>0</v>
      </c>
      <c r="U1239" s="121">
        <f>IF(tech_base!$T55&gt;U$1185,"",U1519+U1799)</f>
        <v>0</v>
      </c>
      <c r="V1239" s="121">
        <f>IF(tech_base!$T55&gt;V$1185,"",V1519+V1799)</f>
        <v>0</v>
      </c>
      <c r="W1239" s="121">
        <f>IF(tech_base!$T55&gt;W$1185,"",W1519+W1799)</f>
        <v>0</v>
      </c>
      <c r="X1239" s="121">
        <f>IF(tech_base!$T55&gt;X$1185,"",X1519+X1799)</f>
        <v>0</v>
      </c>
      <c r="Y1239" s="121">
        <f>IF(tech_base!$T55&gt;Y$1185,"",Y1519+Y1799)</f>
        <v>0</v>
      </c>
      <c r="Z1239" s="121">
        <f>IF(tech_base!$T55&gt;Z$1185,"",Z1519+Z1799)</f>
        <v>0</v>
      </c>
      <c r="AA1239" s="121">
        <f>IF(tech_base!$T55&gt;AA$1185,"",AA1519+AA1799)</f>
        <v>0</v>
      </c>
      <c r="AB1239" s="121">
        <f>IF(tech_base!$T55&gt;AB$1185,"",AB1519+AB1799)</f>
        <v>0</v>
      </c>
      <c r="AC1239" s="121">
        <f>IF(tech_base!$T55&gt;AC$1185,"",AC1519+AC1799)</f>
        <v>0</v>
      </c>
      <c r="AD1239" s="121">
        <f>IF(tech_base!$T55&gt;AD$1185,"",AD1519+AD1799)</f>
        <v>0</v>
      </c>
      <c r="AE1239" s="121">
        <f>IF(tech_base!$T55&gt;AE$1185,"",AE1519+AE1799)</f>
        <v>0</v>
      </c>
      <c r="AF1239" s="121">
        <f>IF(tech_base!$T55&gt;AF$1185,"",AF1519+AF1799)</f>
        <v>0</v>
      </c>
      <c r="AG1239" s="121">
        <f>IF(tech_base!$T55&gt;AG$1185,"",AG1519+AG1799)</f>
        <v>0</v>
      </c>
      <c r="AH1239" s="121">
        <f>IF(tech_base!$T55&gt;AH$1185,"",AH1519+AH1799)</f>
        <v>0</v>
      </c>
      <c r="AI1239" s="121">
        <f>IF(tech_base!$T55&gt;AI$1185,"",AI1519+AI1799)</f>
        <v>0</v>
      </c>
      <c r="AJ1239" s="121">
        <f>IF(tech_base!$T55&gt;AJ$1185,"",AJ1519+AJ1799)</f>
        <v>0</v>
      </c>
      <c r="AK1239" s="121">
        <f>IF(tech_base!$T55&gt;AK$1185,"",AK1519+AK1799)</f>
        <v>0</v>
      </c>
      <c r="AL1239" s="121">
        <f>IF(tech_base!$T55&gt;AL$1185,"",AL1519+AL1799)</f>
        <v>0</v>
      </c>
      <c r="AM1239" s="121">
        <f>IF(tech_base!$T55&gt;AM$1185,"",AM1519+AM1799)</f>
        <v>0</v>
      </c>
      <c r="AN1239" s="121">
        <f>IF(tech_base!$T55&gt;AN$1185,"",AN1519+AN1799)</f>
        <v>0</v>
      </c>
      <c r="AO1239" s="121">
        <f>IF(tech_base!$T55&gt;AO$1185,"",AO1519+AO1799)</f>
        <v>0</v>
      </c>
      <c r="AP1239" s="121">
        <f>IF(tech_base!$T55&gt;AP$1185,"",AP1519+AP1799)</f>
        <v>0</v>
      </c>
      <c r="AQ1239" s="121">
        <f>IF(tech_base!$T55&gt;AQ$1185,"",AQ1519+AQ1799)</f>
        <v>0</v>
      </c>
      <c r="AR1239" s="121">
        <f>IF(tech_base!$T55&gt;AR$1185,"",AR1519+AR1799)</f>
        <v>0</v>
      </c>
      <c r="AS1239" s="121">
        <f>IF(tech_base!$T55&gt;AS$1185,"",AS1519+AS1799)</f>
        <v>0</v>
      </c>
      <c r="AT1239" s="121">
        <f>IF(tech_base!$T55&gt;AT$1185,"",AT1519+AT1799)</f>
        <v>0</v>
      </c>
      <c r="AU1239" s="121">
        <f>IF(tech_base!$T55&gt;AU$1185,"",AU1519+AU1799)</f>
        <v>0</v>
      </c>
      <c r="AV1239" s="121">
        <f>IF(tech_base!$T55&gt;AV$1185,"",AV1519+AV1799)</f>
        <v>0</v>
      </c>
      <c r="AW1239" s="121">
        <f>IF(tech_base!$T55&gt;AW$1185,"",AW1519+AW1799)</f>
        <v>0</v>
      </c>
      <c r="AX1239" s="122">
        <f>IF(tech_base!$T55&gt;AX$1185,"",AX1519+AX1799)</f>
        <v>0</v>
      </c>
    </row>
    <row r="1240" spans="1:50" x14ac:dyDescent="0.25">
      <c r="A1240" s="356"/>
      <c r="B1240" s="376"/>
      <c r="C1240" s="379"/>
      <c r="D1240" s="2" t="s">
        <v>8</v>
      </c>
      <c r="E1240" s="160" t="str">
        <f>A1231&amp;"/"&amp;B1239&amp;"/"&amp;C1239&amp;"/"&amp;D1240</f>
        <v>Lignite fired power plants/Supercritical steam turbine/Electricity only/M</v>
      </c>
      <c r="F1240" s="76" t="str">
        <f>A1231</f>
        <v>Lignite fired power plants</v>
      </c>
      <c r="G1240" s="76" t="str">
        <f>B1239</f>
        <v>Supercritical steam turbine</v>
      </c>
      <c r="H1240" s="76" t="str">
        <f>C1239</f>
        <v>Electricity only</v>
      </c>
      <c r="I1240" s="161" t="str">
        <f t="shared" si="372"/>
        <v>M</v>
      </c>
      <c r="J1240" s="119">
        <f>IF(tech_base!$T56&gt;J$1185,"",J1520+J1800)</f>
        <v>0</v>
      </c>
      <c r="K1240" s="119">
        <f>IF(tech_base!$T56&gt;K$1185,"",K1520+K1800)</f>
        <v>0</v>
      </c>
      <c r="L1240" s="119">
        <f>IF(tech_base!$T56&gt;L$1185,"",L1520+L1800)</f>
        <v>0</v>
      </c>
      <c r="M1240" s="119">
        <f>IF(tech_base!$T56&gt;M$1185,"",M1520+M1800)</f>
        <v>0</v>
      </c>
      <c r="N1240" s="119">
        <f>IF(tech_base!$T56&gt;N$1185,"",N1520+N1800)</f>
        <v>0</v>
      </c>
      <c r="O1240" s="119">
        <f>IF(tech_base!$T56&gt;O$1185,"",O1520+O1800)</f>
        <v>0</v>
      </c>
      <c r="P1240" s="119">
        <f>IF(tech_base!$T56&gt;P$1185,"",P1520+P1800)</f>
        <v>0</v>
      </c>
      <c r="Q1240" s="119">
        <f>IF(tech_base!$T56&gt;Q$1185,"",Q1520+Q1800)</f>
        <v>0</v>
      </c>
      <c r="R1240" s="119">
        <f>IF(tech_base!$T56&gt;R$1185,"",R1520+R1800)</f>
        <v>0</v>
      </c>
      <c r="S1240" s="119">
        <f>IF(tech_base!$T56&gt;S$1185,"",S1520+S1800)</f>
        <v>0</v>
      </c>
      <c r="T1240" s="119">
        <f>IF(tech_base!$T56&gt;T$1185,"",T1520+T1800)</f>
        <v>0</v>
      </c>
      <c r="U1240" s="119">
        <f>IF(tech_base!$T56&gt;U$1185,"",U1520+U1800)</f>
        <v>0</v>
      </c>
      <c r="V1240" s="119">
        <f>IF(tech_base!$T56&gt;V$1185,"",V1520+V1800)</f>
        <v>0</v>
      </c>
      <c r="W1240" s="119">
        <f>IF(tech_base!$T56&gt;W$1185,"",W1520+W1800)</f>
        <v>0</v>
      </c>
      <c r="X1240" s="119">
        <f>IF(tech_base!$T56&gt;X$1185,"",X1520+X1800)</f>
        <v>0</v>
      </c>
      <c r="Y1240" s="119">
        <f>IF(tech_base!$T56&gt;Y$1185,"",Y1520+Y1800)</f>
        <v>0</v>
      </c>
      <c r="Z1240" s="119">
        <f>IF(tech_base!$T56&gt;Z$1185,"",Z1520+Z1800)</f>
        <v>0</v>
      </c>
      <c r="AA1240" s="119">
        <f>IF(tech_base!$T56&gt;AA$1185,"",AA1520+AA1800)</f>
        <v>0</v>
      </c>
      <c r="AB1240" s="119">
        <f>IF(tech_base!$T56&gt;AB$1185,"",AB1520+AB1800)</f>
        <v>0</v>
      </c>
      <c r="AC1240" s="119">
        <f>IF(tech_base!$T56&gt;AC$1185,"",AC1520+AC1800)</f>
        <v>0</v>
      </c>
      <c r="AD1240" s="119">
        <f>IF(tech_base!$T56&gt;AD$1185,"",AD1520+AD1800)</f>
        <v>0</v>
      </c>
      <c r="AE1240" s="119">
        <f>IF(tech_base!$T56&gt;AE$1185,"",AE1520+AE1800)</f>
        <v>0</v>
      </c>
      <c r="AF1240" s="119">
        <f>IF(tech_base!$T56&gt;AF$1185,"",AF1520+AF1800)</f>
        <v>0</v>
      </c>
      <c r="AG1240" s="119">
        <f>IF(tech_base!$T56&gt;AG$1185,"",AG1520+AG1800)</f>
        <v>0</v>
      </c>
      <c r="AH1240" s="119">
        <f>IF(tech_base!$T56&gt;AH$1185,"",AH1520+AH1800)</f>
        <v>0</v>
      </c>
      <c r="AI1240" s="119">
        <f>IF(tech_base!$T56&gt;AI$1185,"",AI1520+AI1800)</f>
        <v>0</v>
      </c>
      <c r="AJ1240" s="119">
        <f>IF(tech_base!$T56&gt;AJ$1185,"",AJ1520+AJ1800)</f>
        <v>0</v>
      </c>
      <c r="AK1240" s="119">
        <f>IF(tech_base!$T56&gt;AK$1185,"",AK1520+AK1800)</f>
        <v>0</v>
      </c>
      <c r="AL1240" s="119">
        <f>IF(tech_base!$T56&gt;AL$1185,"",AL1520+AL1800)</f>
        <v>0</v>
      </c>
      <c r="AM1240" s="119">
        <f>IF(tech_base!$T56&gt;AM$1185,"",AM1520+AM1800)</f>
        <v>0</v>
      </c>
      <c r="AN1240" s="119">
        <f>IF(tech_base!$T56&gt;AN$1185,"",AN1520+AN1800)</f>
        <v>0</v>
      </c>
      <c r="AO1240" s="119">
        <f>IF(tech_base!$T56&gt;AO$1185,"",AO1520+AO1800)</f>
        <v>0</v>
      </c>
      <c r="AP1240" s="119">
        <f>IF(tech_base!$T56&gt;AP$1185,"",AP1520+AP1800)</f>
        <v>0</v>
      </c>
      <c r="AQ1240" s="119">
        <f>IF(tech_base!$T56&gt;AQ$1185,"",AQ1520+AQ1800)</f>
        <v>0</v>
      </c>
      <c r="AR1240" s="119">
        <f>IF(tech_base!$T56&gt;AR$1185,"",AR1520+AR1800)</f>
        <v>0</v>
      </c>
      <c r="AS1240" s="119">
        <f>IF(tech_base!$T56&gt;AS$1185,"",AS1520+AS1800)</f>
        <v>0</v>
      </c>
      <c r="AT1240" s="119">
        <f>IF(tech_base!$T56&gt;AT$1185,"",AT1520+AT1800)</f>
        <v>0</v>
      </c>
      <c r="AU1240" s="119">
        <f>IF(tech_base!$T56&gt;AU$1185,"",AU1520+AU1800)</f>
        <v>0</v>
      </c>
      <c r="AV1240" s="119">
        <f>IF(tech_base!$T56&gt;AV$1185,"",AV1520+AV1800)</f>
        <v>0</v>
      </c>
      <c r="AW1240" s="119">
        <f>IF(tech_base!$T56&gt;AW$1185,"",AW1520+AW1800)</f>
        <v>0</v>
      </c>
      <c r="AX1240" s="120">
        <f>IF(tech_base!$T56&gt;AX$1185,"",AX1520+AX1800)</f>
        <v>0</v>
      </c>
    </row>
    <row r="1241" spans="1:50" x14ac:dyDescent="0.25">
      <c r="A1241" s="356"/>
      <c r="B1241" s="376"/>
      <c r="C1241" s="361" t="s">
        <v>14</v>
      </c>
      <c r="D1241" s="58" t="s">
        <v>7</v>
      </c>
      <c r="E1241" s="164" t="str">
        <f>A1231&amp;"/"&amp;B1239&amp;"/"&amp;C1241&amp;"/"&amp;D1241</f>
        <v>Lignite fired power plants/Supercritical steam turbine/CHP/L</v>
      </c>
      <c r="F1241" s="78" t="str">
        <f>A1231</f>
        <v>Lignite fired power plants</v>
      </c>
      <c r="G1241" s="78" t="str">
        <f>B1239</f>
        <v>Supercritical steam turbine</v>
      </c>
      <c r="H1241" s="78" t="str">
        <f>C1241</f>
        <v>CHP</v>
      </c>
      <c r="I1241" s="165" t="str">
        <f t="shared" si="372"/>
        <v>L</v>
      </c>
      <c r="J1241" s="123">
        <f>IF(tech_base!$T57&gt;J$1185,"",J1521+J1801)</f>
        <v>0</v>
      </c>
      <c r="K1241" s="123">
        <f>IF(tech_base!$T57&gt;K$1185,"",K1521+K1801)</f>
        <v>0</v>
      </c>
      <c r="L1241" s="123">
        <f>IF(tech_base!$T57&gt;L$1185,"",L1521+L1801)</f>
        <v>0</v>
      </c>
      <c r="M1241" s="123">
        <f>IF(tech_base!$T57&gt;M$1185,"",M1521+M1801)</f>
        <v>0</v>
      </c>
      <c r="N1241" s="123">
        <f>IF(tech_base!$T57&gt;N$1185,"",N1521+N1801)</f>
        <v>0</v>
      </c>
      <c r="O1241" s="123">
        <f>IF(tech_base!$T57&gt;O$1185,"",O1521+O1801)</f>
        <v>0</v>
      </c>
      <c r="P1241" s="123">
        <f>IF(tech_base!$T57&gt;P$1185,"",P1521+P1801)</f>
        <v>0</v>
      </c>
      <c r="Q1241" s="123">
        <f>IF(tech_base!$T57&gt;Q$1185,"",Q1521+Q1801)</f>
        <v>0</v>
      </c>
      <c r="R1241" s="123">
        <f>IF(tech_base!$T57&gt;R$1185,"",R1521+R1801)</f>
        <v>0</v>
      </c>
      <c r="S1241" s="123">
        <f>IF(tech_base!$T57&gt;S$1185,"",S1521+S1801)</f>
        <v>0</v>
      </c>
      <c r="T1241" s="123">
        <f>IF(tech_base!$T57&gt;T$1185,"",T1521+T1801)</f>
        <v>0</v>
      </c>
      <c r="U1241" s="123">
        <f>IF(tech_base!$T57&gt;U$1185,"",U1521+U1801)</f>
        <v>0</v>
      </c>
      <c r="V1241" s="123">
        <f>IF(tech_base!$T57&gt;V$1185,"",V1521+V1801)</f>
        <v>0</v>
      </c>
      <c r="W1241" s="123">
        <f>IF(tech_base!$T57&gt;W$1185,"",W1521+W1801)</f>
        <v>0</v>
      </c>
      <c r="X1241" s="123">
        <f>IF(tech_base!$T57&gt;X$1185,"",X1521+X1801)</f>
        <v>0</v>
      </c>
      <c r="Y1241" s="123">
        <f>IF(tech_base!$T57&gt;Y$1185,"",Y1521+Y1801)</f>
        <v>0</v>
      </c>
      <c r="Z1241" s="123">
        <f>IF(tech_base!$T57&gt;Z$1185,"",Z1521+Z1801)</f>
        <v>0</v>
      </c>
      <c r="AA1241" s="123">
        <f>IF(tech_base!$T57&gt;AA$1185,"",AA1521+AA1801)</f>
        <v>0</v>
      </c>
      <c r="AB1241" s="123">
        <f>IF(tech_base!$T57&gt;AB$1185,"",AB1521+AB1801)</f>
        <v>0</v>
      </c>
      <c r="AC1241" s="123">
        <f>IF(tech_base!$T57&gt;AC$1185,"",AC1521+AC1801)</f>
        <v>0</v>
      </c>
      <c r="AD1241" s="123">
        <f>IF(tech_base!$T57&gt;AD$1185,"",AD1521+AD1801)</f>
        <v>0</v>
      </c>
      <c r="AE1241" s="123">
        <f>IF(tech_base!$T57&gt;AE$1185,"",AE1521+AE1801)</f>
        <v>0</v>
      </c>
      <c r="AF1241" s="123">
        <f>IF(tech_base!$T57&gt;AF$1185,"",AF1521+AF1801)</f>
        <v>0</v>
      </c>
      <c r="AG1241" s="123">
        <f>IF(tech_base!$T57&gt;AG$1185,"",AG1521+AG1801)</f>
        <v>0</v>
      </c>
      <c r="AH1241" s="123">
        <f>IF(tech_base!$T57&gt;AH$1185,"",AH1521+AH1801)</f>
        <v>0</v>
      </c>
      <c r="AI1241" s="123">
        <f>IF(tech_base!$T57&gt;AI$1185,"",AI1521+AI1801)</f>
        <v>0</v>
      </c>
      <c r="AJ1241" s="123">
        <f>IF(tech_base!$T57&gt;AJ$1185,"",AJ1521+AJ1801)</f>
        <v>0</v>
      </c>
      <c r="AK1241" s="123">
        <f>IF(tech_base!$T57&gt;AK$1185,"",AK1521+AK1801)</f>
        <v>0</v>
      </c>
      <c r="AL1241" s="123">
        <f>IF(tech_base!$T57&gt;AL$1185,"",AL1521+AL1801)</f>
        <v>0</v>
      </c>
      <c r="AM1241" s="123">
        <f>IF(tech_base!$T57&gt;AM$1185,"",AM1521+AM1801)</f>
        <v>0</v>
      </c>
      <c r="AN1241" s="123">
        <f>IF(tech_base!$T57&gt;AN$1185,"",AN1521+AN1801)</f>
        <v>0</v>
      </c>
      <c r="AO1241" s="123">
        <f>IF(tech_base!$T57&gt;AO$1185,"",AO1521+AO1801)</f>
        <v>0</v>
      </c>
      <c r="AP1241" s="123">
        <f>IF(tech_base!$T57&gt;AP$1185,"",AP1521+AP1801)</f>
        <v>0</v>
      </c>
      <c r="AQ1241" s="123">
        <f>IF(tech_base!$T57&gt;AQ$1185,"",AQ1521+AQ1801)</f>
        <v>0</v>
      </c>
      <c r="AR1241" s="123">
        <f>IF(tech_base!$T57&gt;AR$1185,"",AR1521+AR1801)</f>
        <v>0</v>
      </c>
      <c r="AS1241" s="123">
        <f>IF(tech_base!$T57&gt;AS$1185,"",AS1521+AS1801)</f>
        <v>0</v>
      </c>
      <c r="AT1241" s="123">
        <f>IF(tech_base!$T57&gt;AT$1185,"",AT1521+AT1801)</f>
        <v>0</v>
      </c>
      <c r="AU1241" s="123">
        <f>IF(tech_base!$T57&gt;AU$1185,"",AU1521+AU1801)</f>
        <v>0</v>
      </c>
      <c r="AV1241" s="123">
        <f>IF(tech_base!$T57&gt;AV$1185,"",AV1521+AV1801)</f>
        <v>0</v>
      </c>
      <c r="AW1241" s="123">
        <f>IF(tech_base!$T57&gt;AW$1185,"",AW1521+AW1801)</f>
        <v>0</v>
      </c>
      <c r="AX1241" s="124">
        <f>IF(tech_base!$T57&gt;AX$1185,"",AX1521+AX1801)</f>
        <v>0</v>
      </c>
    </row>
    <row r="1242" spans="1:50" x14ac:dyDescent="0.25">
      <c r="A1242" s="356"/>
      <c r="B1242" s="376"/>
      <c r="C1242" s="379"/>
      <c r="D1242" s="59" t="s">
        <v>8</v>
      </c>
      <c r="E1242" s="166" t="str">
        <f>A1231&amp;"/"&amp;B1239&amp;"/"&amp;C1241&amp;"/"&amp;D1242</f>
        <v>Lignite fired power plants/Supercritical steam turbine/CHP/M</v>
      </c>
      <c r="F1242" s="79" t="str">
        <f>A1231</f>
        <v>Lignite fired power plants</v>
      </c>
      <c r="G1242" s="79" t="str">
        <f>B1239</f>
        <v>Supercritical steam turbine</v>
      </c>
      <c r="H1242" s="79" t="str">
        <f>C1241</f>
        <v>CHP</v>
      </c>
      <c r="I1242" s="167" t="str">
        <f t="shared" si="372"/>
        <v>M</v>
      </c>
      <c r="J1242" s="125">
        <f>IF(tech_base!$T58&gt;J$1185,"",J1522+J1802)</f>
        <v>0</v>
      </c>
      <c r="K1242" s="125">
        <f>IF(tech_base!$T58&gt;K$1185,"",K1522+K1802)</f>
        <v>0</v>
      </c>
      <c r="L1242" s="125">
        <f>IF(tech_base!$T58&gt;L$1185,"",L1522+L1802)</f>
        <v>0</v>
      </c>
      <c r="M1242" s="125">
        <f>IF(tech_base!$T58&gt;M$1185,"",M1522+M1802)</f>
        <v>0</v>
      </c>
      <c r="N1242" s="125">
        <f>IF(tech_base!$T58&gt;N$1185,"",N1522+N1802)</f>
        <v>0</v>
      </c>
      <c r="O1242" s="125">
        <f>IF(tech_base!$T58&gt;O$1185,"",O1522+O1802)</f>
        <v>0</v>
      </c>
      <c r="P1242" s="125">
        <f>IF(tech_base!$T58&gt;P$1185,"",P1522+P1802)</f>
        <v>0</v>
      </c>
      <c r="Q1242" s="125">
        <f>IF(tech_base!$T58&gt;Q$1185,"",Q1522+Q1802)</f>
        <v>0</v>
      </c>
      <c r="R1242" s="125">
        <f>IF(tech_base!$T58&gt;R$1185,"",R1522+R1802)</f>
        <v>0</v>
      </c>
      <c r="S1242" s="125">
        <f>IF(tech_base!$T58&gt;S$1185,"",S1522+S1802)</f>
        <v>0</v>
      </c>
      <c r="T1242" s="125">
        <f>IF(tech_base!$T58&gt;T$1185,"",T1522+T1802)</f>
        <v>0</v>
      </c>
      <c r="U1242" s="125">
        <f>IF(tech_base!$T58&gt;U$1185,"",U1522+U1802)</f>
        <v>0</v>
      </c>
      <c r="V1242" s="125">
        <f>IF(tech_base!$T58&gt;V$1185,"",V1522+V1802)</f>
        <v>0</v>
      </c>
      <c r="W1242" s="125">
        <f>IF(tech_base!$T58&gt;W$1185,"",W1522+W1802)</f>
        <v>0</v>
      </c>
      <c r="X1242" s="125">
        <f>IF(tech_base!$T58&gt;X$1185,"",X1522+X1802)</f>
        <v>0</v>
      </c>
      <c r="Y1242" s="125">
        <f>IF(tech_base!$T58&gt;Y$1185,"",Y1522+Y1802)</f>
        <v>0</v>
      </c>
      <c r="Z1242" s="125">
        <f>IF(tech_base!$T58&gt;Z$1185,"",Z1522+Z1802)</f>
        <v>0</v>
      </c>
      <c r="AA1242" s="125">
        <f>IF(tech_base!$T58&gt;AA$1185,"",AA1522+AA1802)</f>
        <v>0</v>
      </c>
      <c r="AB1242" s="125">
        <f>IF(tech_base!$T58&gt;AB$1185,"",AB1522+AB1802)</f>
        <v>0</v>
      </c>
      <c r="AC1242" s="125">
        <f>IF(tech_base!$T58&gt;AC$1185,"",AC1522+AC1802)</f>
        <v>0</v>
      </c>
      <c r="AD1242" s="125">
        <f>IF(tech_base!$T58&gt;AD$1185,"",AD1522+AD1802)</f>
        <v>0</v>
      </c>
      <c r="AE1242" s="125">
        <f>IF(tech_base!$T58&gt;AE$1185,"",AE1522+AE1802)</f>
        <v>0</v>
      </c>
      <c r="AF1242" s="125">
        <f>IF(tech_base!$T58&gt;AF$1185,"",AF1522+AF1802)</f>
        <v>0</v>
      </c>
      <c r="AG1242" s="125">
        <f>IF(tech_base!$T58&gt;AG$1185,"",AG1522+AG1802)</f>
        <v>0</v>
      </c>
      <c r="AH1242" s="125">
        <f>IF(tech_base!$T58&gt;AH$1185,"",AH1522+AH1802)</f>
        <v>0</v>
      </c>
      <c r="AI1242" s="125">
        <f>IF(tech_base!$T58&gt;AI$1185,"",AI1522+AI1802)</f>
        <v>0</v>
      </c>
      <c r="AJ1242" s="125">
        <f>IF(tech_base!$T58&gt;AJ$1185,"",AJ1522+AJ1802)</f>
        <v>0</v>
      </c>
      <c r="AK1242" s="125">
        <f>IF(tech_base!$T58&gt;AK$1185,"",AK1522+AK1802)</f>
        <v>0</v>
      </c>
      <c r="AL1242" s="125">
        <f>IF(tech_base!$T58&gt;AL$1185,"",AL1522+AL1802)</f>
        <v>0</v>
      </c>
      <c r="AM1242" s="125">
        <f>IF(tech_base!$T58&gt;AM$1185,"",AM1522+AM1802)</f>
        <v>0</v>
      </c>
      <c r="AN1242" s="125">
        <f>IF(tech_base!$T58&gt;AN$1185,"",AN1522+AN1802)</f>
        <v>0</v>
      </c>
      <c r="AO1242" s="125">
        <f>IF(tech_base!$T58&gt;AO$1185,"",AO1522+AO1802)</f>
        <v>0</v>
      </c>
      <c r="AP1242" s="125">
        <f>IF(tech_base!$T58&gt;AP$1185,"",AP1522+AP1802)</f>
        <v>0</v>
      </c>
      <c r="AQ1242" s="125">
        <f>IF(tech_base!$T58&gt;AQ$1185,"",AQ1522+AQ1802)</f>
        <v>0</v>
      </c>
      <c r="AR1242" s="125">
        <f>IF(tech_base!$T58&gt;AR$1185,"",AR1522+AR1802)</f>
        <v>0</v>
      </c>
      <c r="AS1242" s="125">
        <f>IF(tech_base!$T58&gt;AS$1185,"",AS1522+AS1802)</f>
        <v>0</v>
      </c>
      <c r="AT1242" s="125">
        <f>IF(tech_base!$T58&gt;AT$1185,"",AT1522+AT1802)</f>
        <v>0</v>
      </c>
      <c r="AU1242" s="125">
        <f>IF(tech_base!$T58&gt;AU$1185,"",AU1522+AU1802)</f>
        <v>0</v>
      </c>
      <c r="AV1242" s="125">
        <f>IF(tech_base!$T58&gt;AV$1185,"",AV1522+AV1802)</f>
        <v>0</v>
      </c>
      <c r="AW1242" s="125">
        <f>IF(tech_base!$T58&gt;AW$1185,"",AW1522+AW1802)</f>
        <v>0</v>
      </c>
      <c r="AX1242" s="126">
        <f>IF(tech_base!$T58&gt;AX$1185,"",AX1522+AX1802)</f>
        <v>0</v>
      </c>
    </row>
    <row r="1243" spans="1:50" x14ac:dyDescent="0.25">
      <c r="A1243" s="356"/>
      <c r="B1243" s="376"/>
      <c r="C1243" s="361" t="s">
        <v>15</v>
      </c>
      <c r="D1243" s="58" t="s">
        <v>7</v>
      </c>
      <c r="E1243" s="164" t="str">
        <f>A1231&amp;"/"&amp;B1239&amp;"/"&amp;C1243&amp;"/"&amp;D1243</f>
        <v>Lignite fired power plants/Supercritical steam turbine/Electricity only with CCS/L</v>
      </c>
      <c r="F1243" s="78" t="str">
        <f>A1231</f>
        <v>Lignite fired power plants</v>
      </c>
      <c r="G1243" s="78" t="str">
        <f>B1239</f>
        <v>Supercritical steam turbine</v>
      </c>
      <c r="H1243" s="78" t="str">
        <f>C1243</f>
        <v>Electricity only with CCS</v>
      </c>
      <c r="I1243" s="165" t="str">
        <f t="shared" si="372"/>
        <v>L</v>
      </c>
      <c r="J1243" s="123" t="str">
        <f>IF(tech_base!$T59&gt;J$1185,"",J1523+J1803)</f>
        <v/>
      </c>
      <c r="K1243" s="123" t="str">
        <f>IF(tech_base!$T59&gt;K$1185,"",K1523+K1803)</f>
        <v/>
      </c>
      <c r="L1243" s="123" t="str">
        <f>IF(tech_base!$T59&gt;L$1185,"",L1523+L1803)</f>
        <v/>
      </c>
      <c r="M1243" s="123" t="str">
        <f>IF(tech_base!$T59&gt;M$1185,"",M1523+M1803)</f>
        <v/>
      </c>
      <c r="N1243" s="123" t="str">
        <f>IF(tech_base!$T59&gt;N$1185,"",N1523+N1803)</f>
        <v/>
      </c>
      <c r="O1243" s="123" t="str">
        <f>IF(tech_base!$T59&gt;O$1185,"",O1523+O1803)</f>
        <v/>
      </c>
      <c r="P1243" s="123" t="str">
        <f>IF(tech_base!$T59&gt;P$1185,"",P1523+P1803)</f>
        <v/>
      </c>
      <c r="Q1243" s="123" t="str">
        <f>IF(tech_base!$T59&gt;Q$1185,"",Q1523+Q1803)</f>
        <v/>
      </c>
      <c r="R1243" s="123" t="str">
        <f>IF(tech_base!$T59&gt;R$1185,"",R1523+R1803)</f>
        <v/>
      </c>
      <c r="S1243" s="123" t="str">
        <f>IF(tech_base!$T59&gt;S$1185,"",S1523+S1803)</f>
        <v/>
      </c>
      <c r="T1243" s="123" t="str">
        <f>IF(tech_base!$T59&gt;T$1185,"",T1523+T1803)</f>
        <v/>
      </c>
      <c r="U1243" s="123" t="str">
        <f>IF(tech_base!$T59&gt;U$1185,"",U1523+U1803)</f>
        <v/>
      </c>
      <c r="V1243" s="123" t="str">
        <f>IF(tech_base!$T59&gt;V$1185,"",V1523+V1803)</f>
        <v/>
      </c>
      <c r="W1243" s="123" t="str">
        <f>IF(tech_base!$T59&gt;W$1185,"",W1523+W1803)</f>
        <v/>
      </c>
      <c r="X1243" s="123" t="str">
        <f>IF(tech_base!$T59&gt;X$1185,"",X1523+X1803)</f>
        <v/>
      </c>
      <c r="Y1243" s="123" t="str">
        <f>IF(tech_base!$T59&gt;Y$1185,"",Y1523+Y1803)</f>
        <v/>
      </c>
      <c r="Z1243" s="123" t="str">
        <f>IF(tech_base!$T59&gt;Z$1185,"",Z1523+Z1803)</f>
        <v/>
      </c>
      <c r="AA1243" s="123" t="str">
        <f>IF(tech_base!$T59&gt;AA$1185,"",AA1523+AA1803)</f>
        <v/>
      </c>
      <c r="AB1243" s="123" t="str">
        <f>IF(tech_base!$T59&gt;AB$1185,"",AB1523+AB1803)</f>
        <v/>
      </c>
      <c r="AC1243" s="123" t="str">
        <f>IF(tech_base!$T59&gt;AC$1185,"",AC1523+AC1803)</f>
        <v/>
      </c>
      <c r="AD1243" s="123" t="str">
        <f>IF(tech_base!$T59&gt;AD$1185,"",AD1523+AD1803)</f>
        <v/>
      </c>
      <c r="AE1243" s="123">
        <f>IF(tech_base!$T59&gt;AE$1185,"",AE1523+AE1803)</f>
        <v>12.144327424839325</v>
      </c>
      <c r="AF1243" s="123">
        <f>IF(tech_base!$T59&gt;AF$1185,"",AF1523+AF1803)</f>
        <v>12.143554440877352</v>
      </c>
      <c r="AG1243" s="123">
        <f>IF(tech_base!$T59&gt;AG$1185,"",AG1523+AG1803)</f>
        <v>12.142612833938651</v>
      </c>
      <c r="AH1243" s="123">
        <f>IF(tech_base!$T59&gt;AH$1185,"",AH1523+AH1803)</f>
        <v>12.141466492914674</v>
      </c>
      <c r="AI1243" s="123">
        <f>IF(tech_base!$T59&gt;AI$1185,"",AI1523+AI1803)</f>
        <v>12.14007190000353</v>
      </c>
      <c r="AJ1243" s="123">
        <f>IF(tech_base!$T59&gt;AJ$1185,"",AJ1523+AJ1803)</f>
        <v>12.138376769895043</v>
      </c>
      <c r="AK1243" s="123">
        <f>IF(tech_base!$T59&gt;AK$1185,"",AK1523+AK1803)</f>
        <v>12.136318516660124</v>
      </c>
      <c r="AL1243" s="123">
        <f>IF(tech_base!$T59&gt;AL$1185,"",AL1523+AL1803)</f>
        <v>12.133822567160209</v>
      </c>
      <c r="AM1243" s="123">
        <f>IF(tech_base!$T59&gt;AM$1185,"",AM1523+AM1803)</f>
        <v>12.130800567002897</v>
      </c>
      <c r="AN1243" s="123">
        <f>IF(tech_base!$T59&gt;AN$1185,"",AN1523+AN1803)</f>
        <v>12.127148565963283</v>
      </c>
      <c r="AO1243" s="123">
        <f>IF(tech_base!$T59&gt;AO$1185,"",AO1523+AO1803)</f>
        <v>12.122745328601754</v>
      </c>
      <c r="AP1243" s="123">
        <f>IF(tech_base!$T59&gt;AP$1185,"",AP1523+AP1803)</f>
        <v>12.117450996702177</v>
      </c>
      <c r="AQ1243" s="123">
        <f>IF(tech_base!$T59&gt;AQ$1185,"",AQ1523+AQ1803)</f>
        <v>12.111106435900398</v>
      </c>
      <c r="AR1243" s="123">
        <f>IF(tech_base!$T59&gt;AR$1185,"",AR1523+AR1803)</f>
        <v>12.103533728421258</v>
      </c>
      <c r="AS1243" s="123">
        <f>IF(tech_base!$T59&gt;AS$1185,"",AS1523+AS1803)</f>
        <v>12.094538418353968</v>
      </c>
      <c r="AT1243" s="123">
        <f>IF(tech_base!$T59&gt;AT$1185,"",AT1523+AT1803)</f>
        <v>12.083914253065746</v>
      </c>
      <c r="AU1243" s="123">
        <f>IF(tech_base!$T59&gt;AU$1185,"",AU1523+AU1803)</f>
        <v>12.071451251559974</v>
      </c>
      <c r="AV1243" s="123">
        <f>IF(tech_base!$T59&gt;AV$1185,"",AV1523+AV1803)</f>
        <v>12.056947899037903</v>
      </c>
      <c r="AW1243" s="123">
        <f>IF(tech_base!$T59&gt;AW$1185,"",AW1523+AW1803)</f>
        <v>12.040228021635485</v>
      </c>
      <c r="AX1243" s="124">
        <f>IF(tech_base!$T59&gt;AX$1185,"",AX1523+AX1803)</f>
        <v>12.021162328978994</v>
      </c>
    </row>
    <row r="1244" spans="1:50" x14ac:dyDescent="0.25">
      <c r="A1244" s="356"/>
      <c r="B1244" s="376"/>
      <c r="C1244" s="379"/>
      <c r="D1244" s="59" t="s">
        <v>8</v>
      </c>
      <c r="E1244" s="166" t="str">
        <f>A1231&amp;"/"&amp;B1239&amp;"/"&amp;C1243&amp;"/"&amp;D1244</f>
        <v>Lignite fired power plants/Supercritical steam turbine/Electricity only with CCS/M</v>
      </c>
      <c r="F1244" s="79" t="str">
        <f>A1231</f>
        <v>Lignite fired power plants</v>
      </c>
      <c r="G1244" s="79" t="str">
        <f>B1239</f>
        <v>Supercritical steam turbine</v>
      </c>
      <c r="H1244" s="79" t="str">
        <f>C1243</f>
        <v>Electricity only with CCS</v>
      </c>
      <c r="I1244" s="167" t="str">
        <f t="shared" si="372"/>
        <v>M</v>
      </c>
      <c r="J1244" s="125" t="str">
        <f>IF(tech_base!$T60&gt;J$1185,"",J1524+J1804)</f>
        <v/>
      </c>
      <c r="K1244" s="125" t="str">
        <f>IF(tech_base!$T60&gt;K$1185,"",K1524+K1804)</f>
        <v/>
      </c>
      <c r="L1244" s="125" t="str">
        <f>IF(tech_base!$T60&gt;L$1185,"",L1524+L1804)</f>
        <v/>
      </c>
      <c r="M1244" s="125" t="str">
        <f>IF(tech_base!$T60&gt;M$1185,"",M1524+M1804)</f>
        <v/>
      </c>
      <c r="N1244" s="125" t="str">
        <f>IF(tech_base!$T60&gt;N$1185,"",N1524+N1804)</f>
        <v/>
      </c>
      <c r="O1244" s="125" t="str">
        <f>IF(tech_base!$T60&gt;O$1185,"",O1524+O1804)</f>
        <v/>
      </c>
      <c r="P1244" s="125" t="str">
        <f>IF(tech_base!$T60&gt;P$1185,"",P1524+P1804)</f>
        <v/>
      </c>
      <c r="Q1244" s="125" t="str">
        <f>IF(tech_base!$T60&gt;Q$1185,"",Q1524+Q1804)</f>
        <v/>
      </c>
      <c r="R1244" s="125" t="str">
        <f>IF(tech_base!$T60&gt;R$1185,"",R1524+R1804)</f>
        <v/>
      </c>
      <c r="S1244" s="125" t="str">
        <f>IF(tech_base!$T60&gt;S$1185,"",S1524+S1804)</f>
        <v/>
      </c>
      <c r="T1244" s="125" t="str">
        <f>IF(tech_base!$T60&gt;T$1185,"",T1524+T1804)</f>
        <v/>
      </c>
      <c r="U1244" s="125" t="str">
        <f>IF(tech_base!$T60&gt;U$1185,"",U1524+U1804)</f>
        <v/>
      </c>
      <c r="V1244" s="125" t="str">
        <f>IF(tech_base!$T60&gt;V$1185,"",V1524+V1804)</f>
        <v/>
      </c>
      <c r="W1244" s="125" t="str">
        <f>IF(tech_base!$T60&gt;W$1185,"",W1524+W1804)</f>
        <v/>
      </c>
      <c r="X1244" s="125" t="str">
        <f>IF(tech_base!$T60&gt;X$1185,"",X1524+X1804)</f>
        <v/>
      </c>
      <c r="Y1244" s="125" t="str">
        <f>IF(tech_base!$T60&gt;Y$1185,"",Y1524+Y1804)</f>
        <v/>
      </c>
      <c r="Z1244" s="125" t="str">
        <f>IF(tech_base!$T60&gt;Z$1185,"",Z1524+Z1804)</f>
        <v/>
      </c>
      <c r="AA1244" s="125" t="str">
        <f>IF(tech_base!$T60&gt;AA$1185,"",AA1524+AA1804)</f>
        <v/>
      </c>
      <c r="AB1244" s="125" t="str">
        <f>IF(tech_base!$T60&gt;AB$1185,"",AB1524+AB1804)</f>
        <v/>
      </c>
      <c r="AC1244" s="125" t="str">
        <f>IF(tech_base!$T60&gt;AC$1185,"",AC1524+AC1804)</f>
        <v/>
      </c>
      <c r="AD1244" s="125" t="str">
        <f>IF(tech_base!$T60&gt;AD$1185,"",AD1524+AD1804)</f>
        <v/>
      </c>
      <c r="AE1244" s="125">
        <f>IF(tech_base!$T60&gt;AE$1185,"",AE1524+AE1804)</f>
        <v>12.999568669064569</v>
      </c>
      <c r="AF1244" s="125">
        <f>IF(tech_base!$T60&gt;AF$1185,"",AF1524+AF1804)</f>
        <v>12.999109255994981</v>
      </c>
      <c r="AG1244" s="125">
        <f>IF(tech_base!$T60&gt;AG$1185,"",AG1524+AG1804)</f>
        <v>12.998520150172684</v>
      </c>
      <c r="AH1244" s="125">
        <f>IF(tech_base!$T60&gt;AH$1185,"",AH1524+AH1804)</f>
        <v>12.997765026639215</v>
      </c>
      <c r="AI1244" s="125">
        <f>IF(tech_base!$T60&gt;AI$1185,"",AI1524+AI1804)</f>
        <v>12.996797571597558</v>
      </c>
      <c r="AJ1244" s="125">
        <f>IF(tech_base!$T60&gt;AJ$1185,"",AJ1524+AJ1804)</f>
        <v>12.995558854837565</v>
      </c>
      <c r="AK1244" s="125">
        <f>IF(tech_base!$T60&gt;AK$1185,"",AK1524+AK1804)</f>
        <v>12.993974087910276</v>
      </c>
      <c r="AL1244" s="125">
        <f>IF(tech_base!$T60&gt;AL$1185,"",AL1524+AL1804)</f>
        <v>12.991948675028286</v>
      </c>
      <c r="AM1244" s="125">
        <f>IF(tech_base!$T60&gt;AM$1185,"",AM1524+AM1804)</f>
        <v>12.989363485528967</v>
      </c>
      <c r="AN1244" s="125">
        <f>IF(tech_base!$T60&gt;AN$1185,"",AN1524+AN1804)</f>
        <v>12.986069331313502</v>
      </c>
      <c r="AO1244" s="125">
        <f>IF(tech_base!$T60&gt;AO$1185,"",AO1524+AO1804)</f>
        <v>12.981880741527243</v>
      </c>
      <c r="AP1244" s="125">
        <f>IF(tech_base!$T60&gt;AP$1185,"",AP1524+AP1804)</f>
        <v>12.976569320722383</v>
      </c>
      <c r="AQ1244" s="125">
        <f>IF(tech_base!$T60&gt;AQ$1185,"",AQ1524+AQ1804)</f>
        <v>12.969857296419674</v>
      </c>
      <c r="AR1244" s="125">
        <f>IF(tech_base!$T60&gt;AR$1185,"",AR1524+AR1804)</f>
        <v>12.961412353691411</v>
      </c>
      <c r="AS1244" s="125">
        <f>IF(tech_base!$T60&gt;AS$1185,"",AS1524+AS1804)</f>
        <v>12.950845556318942</v>
      </c>
      <c r="AT1244" s="125">
        <f>IF(tech_base!$T60&gt;AT$1185,"",AT1524+AT1804)</f>
        <v>12.93771506383918</v>
      </c>
      <c r="AU1244" s="125">
        <f>IF(tech_base!$T60&gt;AU$1185,"",AU1524+AU1804)</f>
        <v>12.921539367024073</v>
      </c>
      <c r="AV1244" s="125">
        <f>IF(tech_base!$T60&gt;AV$1185,"",AV1524+AV1804)</f>
        <v>12.901824579771091</v>
      </c>
      <c r="AW1244" s="125">
        <f>IF(tech_base!$T60&gt;AW$1185,"",AW1524+AW1804)</f>
        <v>12.878110336509371</v>
      </c>
      <c r="AX1244" s="126">
        <f>IF(tech_base!$T60&gt;AX$1185,"",AX1524+AX1804)</f>
        <v>12.850037095843499</v>
      </c>
    </row>
    <row r="1245" spans="1:50" x14ac:dyDescent="0.25">
      <c r="A1245" s="356"/>
      <c r="B1245" s="376"/>
      <c r="C1245" s="361" t="s">
        <v>16</v>
      </c>
      <c r="D1245" s="2" t="s">
        <v>7</v>
      </c>
      <c r="E1245" s="160" t="str">
        <f>A1231&amp;"/"&amp;B1239&amp;"/"&amp;C1245&amp;"/"&amp;D1245</f>
        <v>Lignite fired power plants/Supercritical steam turbine/CHP with CCS/L</v>
      </c>
      <c r="F1245" s="76" t="str">
        <f>A1231</f>
        <v>Lignite fired power plants</v>
      </c>
      <c r="G1245" s="76" t="str">
        <f>B1239</f>
        <v>Supercritical steam turbine</v>
      </c>
      <c r="H1245" s="76" t="str">
        <f>C1245</f>
        <v>CHP with CCS</v>
      </c>
      <c r="I1245" s="161" t="str">
        <f t="shared" si="372"/>
        <v>L</v>
      </c>
      <c r="J1245" s="119" t="str">
        <f>IF(tech_base!$T61&gt;J$1185,"",J1525+J1805)</f>
        <v/>
      </c>
      <c r="K1245" s="119" t="str">
        <f>IF(tech_base!$T61&gt;K$1185,"",K1525+K1805)</f>
        <v/>
      </c>
      <c r="L1245" s="119" t="str">
        <f>IF(tech_base!$T61&gt;L$1185,"",L1525+L1805)</f>
        <v/>
      </c>
      <c r="M1245" s="119" t="str">
        <f>IF(tech_base!$T61&gt;M$1185,"",M1525+M1805)</f>
        <v/>
      </c>
      <c r="N1245" s="119" t="str">
        <f>IF(tech_base!$T61&gt;N$1185,"",N1525+N1805)</f>
        <v/>
      </c>
      <c r="O1245" s="119" t="str">
        <f>IF(tech_base!$T61&gt;O$1185,"",O1525+O1805)</f>
        <v/>
      </c>
      <c r="P1245" s="119" t="str">
        <f>IF(tech_base!$T61&gt;P$1185,"",P1525+P1805)</f>
        <v/>
      </c>
      <c r="Q1245" s="119" t="str">
        <f>IF(tech_base!$T61&gt;Q$1185,"",Q1525+Q1805)</f>
        <v/>
      </c>
      <c r="R1245" s="119" t="str">
        <f>IF(tech_base!$T61&gt;R$1185,"",R1525+R1805)</f>
        <v/>
      </c>
      <c r="S1245" s="119" t="str">
        <f>IF(tech_base!$T61&gt;S$1185,"",S1525+S1805)</f>
        <v/>
      </c>
      <c r="T1245" s="119" t="str">
        <f>IF(tech_base!$T61&gt;T$1185,"",T1525+T1805)</f>
        <v/>
      </c>
      <c r="U1245" s="119" t="str">
        <f>IF(tech_base!$T61&gt;U$1185,"",U1525+U1805)</f>
        <v/>
      </c>
      <c r="V1245" s="119" t="str">
        <f>IF(tech_base!$T61&gt;V$1185,"",V1525+V1805)</f>
        <v/>
      </c>
      <c r="W1245" s="119" t="str">
        <f>IF(tech_base!$T61&gt;W$1185,"",W1525+W1805)</f>
        <v/>
      </c>
      <c r="X1245" s="119" t="str">
        <f>IF(tech_base!$T61&gt;X$1185,"",X1525+X1805)</f>
        <v/>
      </c>
      <c r="Y1245" s="119" t="str">
        <f>IF(tech_base!$T61&gt;Y$1185,"",Y1525+Y1805)</f>
        <v/>
      </c>
      <c r="Z1245" s="119" t="str">
        <f>IF(tech_base!$T61&gt;Z$1185,"",Z1525+Z1805)</f>
        <v/>
      </c>
      <c r="AA1245" s="119" t="str">
        <f>IF(tech_base!$T61&gt;AA$1185,"",AA1525+AA1805)</f>
        <v/>
      </c>
      <c r="AB1245" s="119" t="str">
        <f>IF(tech_base!$T61&gt;AB$1185,"",AB1525+AB1805)</f>
        <v/>
      </c>
      <c r="AC1245" s="119" t="str">
        <f>IF(tech_base!$T61&gt;AC$1185,"",AC1525+AC1805)</f>
        <v/>
      </c>
      <c r="AD1245" s="119" t="str">
        <f>IF(tech_base!$T61&gt;AD$1185,"",AD1525+AD1805)</f>
        <v/>
      </c>
      <c r="AE1245" s="119">
        <f>IF(tech_base!$T61&gt;AE$1185,"",AE1525+AE1805)</f>
        <v>13.884747929788523</v>
      </c>
      <c r="AF1245" s="119">
        <f>IF(tech_base!$T61&gt;AF$1185,"",AF1525+AF1805)</f>
        <v>13.884011721081295</v>
      </c>
      <c r="AG1245" s="119">
        <f>IF(tech_base!$T61&gt;AG$1185,"",AG1525+AG1805)</f>
        <v>13.88311497166546</v>
      </c>
      <c r="AH1245" s="119">
        <f>IF(tech_base!$T61&gt;AH$1185,"",AH1525+AH1805)</f>
        <v>13.882023330418669</v>
      </c>
      <c r="AI1245" s="119">
        <f>IF(tech_base!$T61&gt;AI$1185,"",AI1525+AI1805)</f>
        <v>13.880695414708777</v>
      </c>
      <c r="AJ1245" s="119">
        <f>IF(tech_base!$T61&gt;AJ$1185,"",AJ1525+AJ1805)</f>
        <v>13.879081525529477</v>
      </c>
      <c r="AK1245" s="119">
        <f>IF(tech_base!$T61&gt;AK$1185,"",AK1525+AK1805)</f>
        <v>13.877122203667243</v>
      </c>
      <c r="AL1245" s="119">
        <f>IF(tech_base!$T61&gt;AL$1185,"",AL1525+AL1805)</f>
        <v>13.874746646965836</v>
      </c>
      <c r="AM1245" s="119">
        <f>IF(tech_base!$T61&gt;AM$1185,"",AM1525+AM1805)</f>
        <v>13.871871035426441</v>
      </c>
      <c r="AN1245" s="119">
        <f>IF(tech_base!$T61&gt;AN$1185,"",AN1525+AN1805)</f>
        <v>13.868396850740115</v>
      </c>
      <c r="AO1245" s="119">
        <f>IF(tech_base!$T61&gt;AO$1185,"",AO1525+AO1805)</f>
        <v>13.8642093338643</v>
      </c>
      <c r="AP1245" s="119">
        <f>IF(tech_base!$T61&gt;AP$1185,"",AP1525+AP1805)</f>
        <v>13.859176302217996</v>
      </c>
      <c r="AQ1245" s="119">
        <f>IF(tech_base!$T61&gt;AQ$1185,"",AQ1525+AQ1805)</f>
        <v>13.85314764926108</v>
      </c>
      <c r="AR1245" s="119">
        <f>IF(tech_base!$T61&gt;AR$1185,"",AR1525+AR1805)</f>
        <v>13.845955971989055</v>
      </c>
      <c r="AS1245" s="119">
        <f>IF(tech_base!$T61&gt;AS$1185,"",AS1525+AS1805)</f>
        <v>13.837418906745128</v>
      </c>
      <c r="AT1245" s="119">
        <f>IF(tech_base!$T61&gt;AT$1185,"",AT1525+AT1805)</f>
        <v>13.827343877966506</v>
      </c>
      <c r="AU1245" s="119">
        <f>IF(tech_base!$T61&gt;AU$1185,"",AU1525+AU1805)</f>
        <v>13.815536035584916</v>
      </c>
      <c r="AV1245" s="119">
        <f>IF(tech_base!$T61&gt;AV$1185,"",AV1525+AV1805)</f>
        <v>13.801810107571864</v>
      </c>
      <c r="AW1245" s="119">
        <f>IF(tech_base!$T61&gt;AW$1185,"",AW1525+AW1805)</f>
        <v>13.78600663371831</v>
      </c>
      <c r="AX1245" s="120">
        <f>IF(tech_base!$T61&gt;AX$1185,"",AX1525+AX1805)</f>
        <v>13.768012475957319</v>
      </c>
    </row>
    <row r="1246" spans="1:50" x14ac:dyDescent="0.25">
      <c r="A1246" s="356"/>
      <c r="B1246" s="380"/>
      <c r="C1246" s="381"/>
      <c r="D1246" s="4" t="s">
        <v>8</v>
      </c>
      <c r="E1246" s="168" t="str">
        <f>A1231&amp;"/"&amp;B1239&amp;"/"&amp;C1245&amp;"/"&amp;D1246</f>
        <v>Lignite fired power plants/Supercritical steam turbine/CHP with CCS/M</v>
      </c>
      <c r="F1246" s="80" t="str">
        <f>A1231</f>
        <v>Lignite fired power plants</v>
      </c>
      <c r="G1246" s="80" t="str">
        <f>B1239</f>
        <v>Supercritical steam turbine</v>
      </c>
      <c r="H1246" s="80" t="str">
        <f>C1245</f>
        <v>CHP with CCS</v>
      </c>
      <c r="I1246" s="169" t="str">
        <f t="shared" si="372"/>
        <v>M</v>
      </c>
      <c r="J1246" s="127" t="str">
        <f>IF(tech_base!$T62&gt;J$1185,"",J1526+J1806)</f>
        <v/>
      </c>
      <c r="K1246" s="127" t="str">
        <f>IF(tech_base!$T62&gt;K$1185,"",K1526+K1806)</f>
        <v/>
      </c>
      <c r="L1246" s="127" t="str">
        <f>IF(tech_base!$T62&gt;L$1185,"",L1526+L1806)</f>
        <v/>
      </c>
      <c r="M1246" s="127" t="str">
        <f>IF(tech_base!$T62&gt;M$1185,"",M1526+M1806)</f>
        <v/>
      </c>
      <c r="N1246" s="127" t="str">
        <f>IF(tech_base!$T62&gt;N$1185,"",N1526+N1806)</f>
        <v/>
      </c>
      <c r="O1246" s="127" t="str">
        <f>IF(tech_base!$T62&gt;O$1185,"",O1526+O1806)</f>
        <v/>
      </c>
      <c r="P1246" s="127" t="str">
        <f>IF(tech_base!$T62&gt;P$1185,"",P1526+P1806)</f>
        <v/>
      </c>
      <c r="Q1246" s="127" t="str">
        <f>IF(tech_base!$T62&gt;Q$1185,"",Q1526+Q1806)</f>
        <v/>
      </c>
      <c r="R1246" s="127" t="str">
        <f>IF(tech_base!$T62&gt;R$1185,"",R1526+R1806)</f>
        <v/>
      </c>
      <c r="S1246" s="127" t="str">
        <f>IF(tech_base!$T62&gt;S$1185,"",S1526+S1806)</f>
        <v/>
      </c>
      <c r="T1246" s="127" t="str">
        <f>IF(tech_base!$T62&gt;T$1185,"",T1526+T1806)</f>
        <v/>
      </c>
      <c r="U1246" s="127" t="str">
        <f>IF(tech_base!$T62&gt;U$1185,"",U1526+U1806)</f>
        <v/>
      </c>
      <c r="V1246" s="127" t="str">
        <f>IF(tech_base!$T62&gt;V$1185,"",V1526+V1806)</f>
        <v/>
      </c>
      <c r="W1246" s="127" t="str">
        <f>IF(tech_base!$T62&gt;W$1185,"",W1526+W1806)</f>
        <v/>
      </c>
      <c r="X1246" s="127" t="str">
        <f>IF(tech_base!$T62&gt;X$1185,"",X1526+X1806)</f>
        <v/>
      </c>
      <c r="Y1246" s="127" t="str">
        <f>IF(tech_base!$T62&gt;Y$1185,"",Y1526+Y1806)</f>
        <v/>
      </c>
      <c r="Z1246" s="127" t="str">
        <f>IF(tech_base!$T62&gt;Z$1185,"",Z1526+Z1806)</f>
        <v/>
      </c>
      <c r="AA1246" s="127" t="str">
        <f>IF(tech_base!$T62&gt;AA$1185,"",AA1526+AA1806)</f>
        <v/>
      </c>
      <c r="AB1246" s="127" t="str">
        <f>IF(tech_base!$T62&gt;AB$1185,"",AB1526+AB1806)</f>
        <v/>
      </c>
      <c r="AC1246" s="127" t="str">
        <f>IF(tech_base!$T62&gt;AC$1185,"",AC1526+AC1806)</f>
        <v/>
      </c>
      <c r="AD1246" s="127" t="str">
        <f>IF(tech_base!$T62&gt;AD$1185,"",AD1526+AD1806)</f>
        <v/>
      </c>
      <c r="AE1246" s="127">
        <f>IF(tech_base!$T62&gt;AE$1185,"",AE1526+AE1806)</f>
        <v>14.903315363012183</v>
      </c>
      <c r="AF1246" s="127">
        <f>IF(tech_base!$T62&gt;AF$1185,"",AF1526+AF1806)</f>
        <v>14.902876520617893</v>
      </c>
      <c r="AG1246" s="127">
        <f>IF(tech_base!$T62&gt;AG$1185,"",AG1526+AG1806)</f>
        <v>14.902313814045691</v>
      </c>
      <c r="AH1246" s="127">
        <f>IF(tech_base!$T62&gt;AH$1185,"",AH1526+AH1806)</f>
        <v>14.901592564679435</v>
      </c>
      <c r="AI1246" s="127">
        <f>IF(tech_base!$T62&gt;AI$1185,"",AI1526+AI1806)</f>
        <v>14.900668566721908</v>
      </c>
      <c r="AJ1246" s="127">
        <f>IF(tech_base!$T62&gt;AJ$1185,"",AJ1526+AJ1806)</f>
        <v>14.899485586855089</v>
      </c>
      <c r="AK1246" s="127">
        <f>IF(tech_base!$T62&gt;AK$1185,"",AK1526+AK1806)</f>
        <v>14.897972283232795</v>
      </c>
      <c r="AL1246" s="127">
        <f>IF(tech_base!$T62&gt;AL$1185,"",AL1526+AL1806)</f>
        <v>14.896038458631816</v>
      </c>
      <c r="AM1246" s="127">
        <f>IF(tech_base!$T62&gt;AM$1185,"",AM1526+AM1806)</f>
        <v>14.893570585548774</v>
      </c>
      <c r="AN1246" s="127">
        <f>IF(tech_base!$T62&gt;AN$1185,"",AN1526+AN1806)</f>
        <v>14.890426596263687</v>
      </c>
      <c r="AO1246" s="127">
        <f>IF(tech_base!$T62&gt;AO$1185,"",AO1526+AO1806)</f>
        <v>14.886430039323969</v>
      </c>
      <c r="AP1246" s="127">
        <f>IF(tech_base!$T62&gt;AP$1185,"",AP1526+AP1806)</f>
        <v>14.881363895244411</v>
      </c>
      <c r="AQ1246" s="127">
        <f>IF(tech_base!$T62&gt;AQ$1185,"",AQ1526+AQ1806)</f>
        <v>14.874964657087808</v>
      </c>
      <c r="AR1246" s="127">
        <f>IF(tech_base!$T62&gt;AR$1185,"",AR1526+AR1806)</f>
        <v>14.866917759086846</v>
      </c>
      <c r="AS1246" s="127">
        <f>IF(tech_base!$T62&gt;AS$1185,"",AS1526+AS1806)</f>
        <v>14.856856111771215</v>
      </c>
      <c r="AT1246" s="127">
        <f>IF(tech_base!$T62&gt;AT$1185,"",AT1526+AT1806)</f>
        <v>14.844364365678283</v>
      </c>
      <c r="AU1246" s="127">
        <f>IF(tech_base!$T62&gt;AU$1185,"",AU1526+AU1806)</f>
        <v>14.828992464814776</v>
      </c>
      <c r="AV1246" s="127">
        <f>IF(tech_base!$T62&gt;AV$1185,"",AV1526+AV1806)</f>
        <v>14.810282757976537</v>
      </c>
      <c r="AW1246" s="127">
        <f>IF(tech_base!$T62&gt;AW$1185,"",AW1526+AW1806)</f>
        <v>14.787814809294693</v>
      </c>
      <c r="AX1246" s="128">
        <f>IF(tech_base!$T62&gt;AX$1185,"",AX1526+AX1806)</f>
        <v>14.761270168244467</v>
      </c>
    </row>
    <row r="1247" spans="1:50" x14ac:dyDescent="0.25">
      <c r="A1247" s="356"/>
      <c r="B1247" s="358" t="s">
        <v>18</v>
      </c>
      <c r="C1247" s="353" t="s">
        <v>6</v>
      </c>
      <c r="D1247" s="3" t="s">
        <v>7</v>
      </c>
      <c r="E1247" s="162" t="str">
        <f>A1231&amp;"/"&amp;B1247&amp;"/"&amp;C1247&amp;"/"&amp;D1247</f>
        <v>Lignite fired power plants/Fluidized bed combustion/Electricity only/L</v>
      </c>
      <c r="F1247" s="77" t="str">
        <f>A1231</f>
        <v>Lignite fired power plants</v>
      </c>
      <c r="G1247" s="77" t="str">
        <f>B1247</f>
        <v>Fluidized bed combustion</v>
      </c>
      <c r="H1247" s="77" t="str">
        <f>C1247</f>
        <v>Electricity only</v>
      </c>
      <c r="I1247" s="163" t="str">
        <f t="shared" si="372"/>
        <v>L</v>
      </c>
      <c r="J1247" s="121">
        <f>IF(tech_base!$T63&gt;J$1185,"",J1527+J1807)</f>
        <v>0</v>
      </c>
      <c r="K1247" s="121">
        <f>IF(tech_base!$T63&gt;K$1185,"",K1527+K1807)</f>
        <v>0</v>
      </c>
      <c r="L1247" s="121">
        <f>IF(tech_base!$T63&gt;L$1185,"",L1527+L1807)</f>
        <v>0</v>
      </c>
      <c r="M1247" s="121">
        <f>IF(tech_base!$T63&gt;M$1185,"",M1527+M1807)</f>
        <v>0</v>
      </c>
      <c r="N1247" s="121">
        <f>IF(tech_base!$T63&gt;N$1185,"",N1527+N1807)</f>
        <v>0</v>
      </c>
      <c r="O1247" s="121">
        <f>IF(tech_base!$T63&gt;O$1185,"",O1527+O1807)</f>
        <v>0</v>
      </c>
      <c r="P1247" s="121">
        <f>IF(tech_base!$T63&gt;P$1185,"",P1527+P1807)</f>
        <v>0</v>
      </c>
      <c r="Q1247" s="121">
        <f>IF(tech_base!$T63&gt;Q$1185,"",Q1527+Q1807)</f>
        <v>0</v>
      </c>
      <c r="R1247" s="121">
        <f>IF(tech_base!$T63&gt;R$1185,"",R1527+R1807)</f>
        <v>0</v>
      </c>
      <c r="S1247" s="121">
        <f>IF(tech_base!$T63&gt;S$1185,"",S1527+S1807)</f>
        <v>0</v>
      </c>
      <c r="T1247" s="121">
        <f>IF(tech_base!$T63&gt;T$1185,"",T1527+T1807)</f>
        <v>0</v>
      </c>
      <c r="U1247" s="121">
        <f>IF(tech_base!$T63&gt;U$1185,"",U1527+U1807)</f>
        <v>0</v>
      </c>
      <c r="V1247" s="121">
        <f>IF(tech_base!$T63&gt;V$1185,"",V1527+V1807)</f>
        <v>0</v>
      </c>
      <c r="W1247" s="121">
        <f>IF(tech_base!$T63&gt;W$1185,"",W1527+W1807)</f>
        <v>0</v>
      </c>
      <c r="X1247" s="121">
        <f>IF(tech_base!$T63&gt;X$1185,"",X1527+X1807)</f>
        <v>0</v>
      </c>
      <c r="Y1247" s="121">
        <f>IF(tech_base!$T63&gt;Y$1185,"",Y1527+Y1807)</f>
        <v>0</v>
      </c>
      <c r="Z1247" s="121">
        <f>IF(tech_base!$T63&gt;Z$1185,"",Z1527+Z1807)</f>
        <v>0</v>
      </c>
      <c r="AA1247" s="121">
        <f>IF(tech_base!$T63&gt;AA$1185,"",AA1527+AA1807)</f>
        <v>0</v>
      </c>
      <c r="AB1247" s="121">
        <f>IF(tech_base!$T63&gt;AB$1185,"",AB1527+AB1807)</f>
        <v>0</v>
      </c>
      <c r="AC1247" s="121">
        <f>IF(tech_base!$T63&gt;AC$1185,"",AC1527+AC1807)</f>
        <v>0</v>
      </c>
      <c r="AD1247" s="121">
        <f>IF(tech_base!$T63&gt;AD$1185,"",AD1527+AD1807)</f>
        <v>0</v>
      </c>
      <c r="AE1247" s="121">
        <f>IF(tech_base!$T63&gt;AE$1185,"",AE1527+AE1807)</f>
        <v>0</v>
      </c>
      <c r="AF1247" s="121">
        <f>IF(tech_base!$T63&gt;AF$1185,"",AF1527+AF1807)</f>
        <v>0</v>
      </c>
      <c r="AG1247" s="121">
        <f>IF(tech_base!$T63&gt;AG$1185,"",AG1527+AG1807)</f>
        <v>0</v>
      </c>
      <c r="AH1247" s="121">
        <f>IF(tech_base!$T63&gt;AH$1185,"",AH1527+AH1807)</f>
        <v>0</v>
      </c>
      <c r="AI1247" s="121">
        <f>IF(tech_base!$T63&gt;AI$1185,"",AI1527+AI1807)</f>
        <v>0</v>
      </c>
      <c r="AJ1247" s="121">
        <f>IF(tech_base!$T63&gt;AJ$1185,"",AJ1527+AJ1807)</f>
        <v>0</v>
      </c>
      <c r="AK1247" s="121">
        <f>IF(tech_base!$T63&gt;AK$1185,"",AK1527+AK1807)</f>
        <v>0</v>
      </c>
      <c r="AL1247" s="121">
        <f>IF(tech_base!$T63&gt;AL$1185,"",AL1527+AL1807)</f>
        <v>0</v>
      </c>
      <c r="AM1247" s="121">
        <f>IF(tech_base!$T63&gt;AM$1185,"",AM1527+AM1807)</f>
        <v>0</v>
      </c>
      <c r="AN1247" s="121">
        <f>IF(tech_base!$T63&gt;AN$1185,"",AN1527+AN1807)</f>
        <v>0</v>
      </c>
      <c r="AO1247" s="121">
        <f>IF(tech_base!$T63&gt;AO$1185,"",AO1527+AO1807)</f>
        <v>0</v>
      </c>
      <c r="AP1247" s="121">
        <f>IF(tech_base!$T63&gt;AP$1185,"",AP1527+AP1807)</f>
        <v>0</v>
      </c>
      <c r="AQ1247" s="121">
        <f>IF(tech_base!$T63&gt;AQ$1185,"",AQ1527+AQ1807)</f>
        <v>0</v>
      </c>
      <c r="AR1247" s="121">
        <f>IF(tech_base!$T63&gt;AR$1185,"",AR1527+AR1807)</f>
        <v>0</v>
      </c>
      <c r="AS1247" s="121">
        <f>IF(tech_base!$T63&gt;AS$1185,"",AS1527+AS1807)</f>
        <v>0</v>
      </c>
      <c r="AT1247" s="121">
        <f>IF(tech_base!$T63&gt;AT$1185,"",AT1527+AT1807)</f>
        <v>0</v>
      </c>
      <c r="AU1247" s="121">
        <f>IF(tech_base!$T63&gt;AU$1185,"",AU1527+AU1807)</f>
        <v>0</v>
      </c>
      <c r="AV1247" s="121">
        <f>IF(tech_base!$T63&gt;AV$1185,"",AV1527+AV1807)</f>
        <v>0</v>
      </c>
      <c r="AW1247" s="121">
        <f>IF(tech_base!$T63&gt;AW$1185,"",AW1527+AW1807)</f>
        <v>0</v>
      </c>
      <c r="AX1247" s="122">
        <f>IF(tech_base!$T63&gt;AX$1185,"",AX1527+AX1807)</f>
        <v>0</v>
      </c>
    </row>
    <row r="1248" spans="1:50" x14ac:dyDescent="0.25">
      <c r="A1248" s="356"/>
      <c r="B1248" s="376"/>
      <c r="C1248" s="350"/>
      <c r="D1248" s="2" t="s">
        <v>8</v>
      </c>
      <c r="E1248" s="160" t="str">
        <f>A1231&amp;"/"&amp;B1247&amp;"/"&amp;C1247&amp;"/"&amp;D1248</f>
        <v>Lignite fired power plants/Fluidized bed combustion/Electricity only/M</v>
      </c>
      <c r="F1248" s="76" t="str">
        <f>A1231</f>
        <v>Lignite fired power plants</v>
      </c>
      <c r="G1248" s="76" t="str">
        <f>B1247</f>
        <v>Fluidized bed combustion</v>
      </c>
      <c r="H1248" s="76" t="str">
        <f>C1247</f>
        <v>Electricity only</v>
      </c>
      <c r="I1248" s="161" t="str">
        <f t="shared" si="372"/>
        <v>M</v>
      </c>
      <c r="J1248" s="119">
        <f>IF(tech_base!$T64&gt;J$1185,"",J1528+J1808)</f>
        <v>0</v>
      </c>
      <c r="K1248" s="119">
        <f>IF(tech_base!$T64&gt;K$1185,"",K1528+K1808)</f>
        <v>0</v>
      </c>
      <c r="L1248" s="119">
        <f>IF(tech_base!$T64&gt;L$1185,"",L1528+L1808)</f>
        <v>0</v>
      </c>
      <c r="M1248" s="119">
        <f>IF(tech_base!$T64&gt;M$1185,"",M1528+M1808)</f>
        <v>0</v>
      </c>
      <c r="N1248" s="119">
        <f>IF(tech_base!$T64&gt;N$1185,"",N1528+N1808)</f>
        <v>0</v>
      </c>
      <c r="O1248" s="119">
        <f>IF(tech_base!$T64&gt;O$1185,"",O1528+O1808)</f>
        <v>0</v>
      </c>
      <c r="P1248" s="119">
        <f>IF(tech_base!$T64&gt;P$1185,"",P1528+P1808)</f>
        <v>0</v>
      </c>
      <c r="Q1248" s="119">
        <f>IF(tech_base!$T64&gt;Q$1185,"",Q1528+Q1808)</f>
        <v>0</v>
      </c>
      <c r="R1248" s="119">
        <f>IF(tech_base!$T64&gt;R$1185,"",R1528+R1808)</f>
        <v>0</v>
      </c>
      <c r="S1248" s="119">
        <f>IF(tech_base!$T64&gt;S$1185,"",S1528+S1808)</f>
        <v>0</v>
      </c>
      <c r="T1248" s="119">
        <f>IF(tech_base!$T64&gt;T$1185,"",T1528+T1808)</f>
        <v>0</v>
      </c>
      <c r="U1248" s="119">
        <f>IF(tech_base!$T64&gt;U$1185,"",U1528+U1808)</f>
        <v>0</v>
      </c>
      <c r="V1248" s="119">
        <f>IF(tech_base!$T64&gt;V$1185,"",V1528+V1808)</f>
        <v>0</v>
      </c>
      <c r="W1248" s="119">
        <f>IF(tech_base!$T64&gt;W$1185,"",W1528+W1808)</f>
        <v>0</v>
      </c>
      <c r="X1248" s="119">
        <f>IF(tech_base!$T64&gt;X$1185,"",X1528+X1808)</f>
        <v>0</v>
      </c>
      <c r="Y1248" s="119">
        <f>IF(tech_base!$T64&gt;Y$1185,"",Y1528+Y1808)</f>
        <v>0</v>
      </c>
      <c r="Z1248" s="119">
        <f>IF(tech_base!$T64&gt;Z$1185,"",Z1528+Z1808)</f>
        <v>0</v>
      </c>
      <c r="AA1248" s="119">
        <f>IF(tech_base!$T64&gt;AA$1185,"",AA1528+AA1808)</f>
        <v>0</v>
      </c>
      <c r="AB1248" s="119">
        <f>IF(tech_base!$T64&gt;AB$1185,"",AB1528+AB1808)</f>
        <v>0</v>
      </c>
      <c r="AC1248" s="119">
        <f>IF(tech_base!$T64&gt;AC$1185,"",AC1528+AC1808)</f>
        <v>0</v>
      </c>
      <c r="AD1248" s="119">
        <f>IF(tech_base!$T64&gt;AD$1185,"",AD1528+AD1808)</f>
        <v>0</v>
      </c>
      <c r="AE1248" s="119">
        <f>IF(tech_base!$T64&gt;AE$1185,"",AE1528+AE1808)</f>
        <v>0</v>
      </c>
      <c r="AF1248" s="119">
        <f>IF(tech_base!$T64&gt;AF$1185,"",AF1528+AF1808)</f>
        <v>0</v>
      </c>
      <c r="AG1248" s="119">
        <f>IF(tech_base!$T64&gt;AG$1185,"",AG1528+AG1808)</f>
        <v>0</v>
      </c>
      <c r="AH1248" s="119">
        <f>IF(tech_base!$T64&gt;AH$1185,"",AH1528+AH1808)</f>
        <v>0</v>
      </c>
      <c r="AI1248" s="119">
        <f>IF(tech_base!$T64&gt;AI$1185,"",AI1528+AI1808)</f>
        <v>0</v>
      </c>
      <c r="AJ1248" s="119">
        <f>IF(tech_base!$T64&gt;AJ$1185,"",AJ1528+AJ1808)</f>
        <v>0</v>
      </c>
      <c r="AK1248" s="119">
        <f>IF(tech_base!$T64&gt;AK$1185,"",AK1528+AK1808)</f>
        <v>0</v>
      </c>
      <c r="AL1248" s="119">
        <f>IF(tech_base!$T64&gt;AL$1185,"",AL1528+AL1808)</f>
        <v>0</v>
      </c>
      <c r="AM1248" s="119">
        <f>IF(tech_base!$T64&gt;AM$1185,"",AM1528+AM1808)</f>
        <v>0</v>
      </c>
      <c r="AN1248" s="119">
        <f>IF(tech_base!$T64&gt;AN$1185,"",AN1528+AN1808)</f>
        <v>0</v>
      </c>
      <c r="AO1248" s="119">
        <f>IF(tech_base!$T64&gt;AO$1185,"",AO1528+AO1808)</f>
        <v>0</v>
      </c>
      <c r="AP1248" s="119">
        <f>IF(tech_base!$T64&gt;AP$1185,"",AP1528+AP1808)</f>
        <v>0</v>
      </c>
      <c r="AQ1248" s="119">
        <f>IF(tech_base!$T64&gt;AQ$1185,"",AQ1528+AQ1808)</f>
        <v>0</v>
      </c>
      <c r="AR1248" s="119">
        <f>IF(tech_base!$T64&gt;AR$1185,"",AR1528+AR1808)</f>
        <v>0</v>
      </c>
      <c r="AS1248" s="119">
        <f>IF(tech_base!$T64&gt;AS$1185,"",AS1528+AS1808)</f>
        <v>0</v>
      </c>
      <c r="AT1248" s="119">
        <f>IF(tech_base!$T64&gt;AT$1185,"",AT1528+AT1808)</f>
        <v>0</v>
      </c>
      <c r="AU1248" s="119">
        <f>IF(tech_base!$T64&gt;AU$1185,"",AU1528+AU1808)</f>
        <v>0</v>
      </c>
      <c r="AV1248" s="119">
        <f>IF(tech_base!$T64&gt;AV$1185,"",AV1528+AV1808)</f>
        <v>0</v>
      </c>
      <c r="AW1248" s="119">
        <f>IF(tech_base!$T64&gt;AW$1185,"",AW1528+AW1808)</f>
        <v>0</v>
      </c>
      <c r="AX1248" s="120">
        <f>IF(tech_base!$T64&gt;AX$1185,"",AX1528+AX1808)</f>
        <v>0</v>
      </c>
    </row>
    <row r="1249" spans="1:50" x14ac:dyDescent="0.25">
      <c r="A1249" s="356"/>
      <c r="B1249" s="376"/>
      <c r="C1249" s="360"/>
      <c r="D1249" s="2" t="s">
        <v>10</v>
      </c>
      <c r="E1249" s="160" t="str">
        <f>A1231&amp;"/"&amp;B1247&amp;"/"&amp;C1247&amp;"/"&amp;D1249</f>
        <v>Lignite fired power plants/Fluidized bed combustion/Electricity only/S</v>
      </c>
      <c r="F1249" s="76" t="str">
        <f>A1231</f>
        <v>Lignite fired power plants</v>
      </c>
      <c r="G1249" s="76" t="str">
        <f>B1247</f>
        <v>Fluidized bed combustion</v>
      </c>
      <c r="H1249" s="76" t="str">
        <f>C1247</f>
        <v>Electricity only</v>
      </c>
      <c r="I1249" s="161" t="str">
        <f t="shared" si="372"/>
        <v>S</v>
      </c>
      <c r="J1249" s="119">
        <f>IF(tech_base!$T65&gt;J$1185,"",J1529+J1809)</f>
        <v>0</v>
      </c>
      <c r="K1249" s="119">
        <f>IF(tech_base!$T65&gt;K$1185,"",K1529+K1809)</f>
        <v>0</v>
      </c>
      <c r="L1249" s="119">
        <f>IF(tech_base!$T65&gt;L$1185,"",L1529+L1809)</f>
        <v>0</v>
      </c>
      <c r="M1249" s="119">
        <f>IF(tech_base!$T65&gt;M$1185,"",M1529+M1809)</f>
        <v>0</v>
      </c>
      <c r="N1249" s="119">
        <f>IF(tech_base!$T65&gt;N$1185,"",N1529+N1809)</f>
        <v>0</v>
      </c>
      <c r="O1249" s="119">
        <f>IF(tech_base!$T65&gt;O$1185,"",O1529+O1809)</f>
        <v>0</v>
      </c>
      <c r="P1249" s="119">
        <f>IF(tech_base!$T65&gt;P$1185,"",P1529+P1809)</f>
        <v>0</v>
      </c>
      <c r="Q1249" s="119">
        <f>IF(tech_base!$T65&gt;Q$1185,"",Q1529+Q1809)</f>
        <v>0</v>
      </c>
      <c r="R1249" s="119">
        <f>IF(tech_base!$T65&gt;R$1185,"",R1529+R1809)</f>
        <v>0</v>
      </c>
      <c r="S1249" s="119">
        <f>IF(tech_base!$T65&gt;S$1185,"",S1529+S1809)</f>
        <v>0</v>
      </c>
      <c r="T1249" s="119">
        <f>IF(tech_base!$T65&gt;T$1185,"",T1529+T1809)</f>
        <v>0</v>
      </c>
      <c r="U1249" s="119">
        <f>IF(tech_base!$T65&gt;U$1185,"",U1529+U1809)</f>
        <v>0</v>
      </c>
      <c r="V1249" s="119">
        <f>IF(tech_base!$T65&gt;V$1185,"",V1529+V1809)</f>
        <v>0</v>
      </c>
      <c r="W1249" s="119">
        <f>IF(tech_base!$T65&gt;W$1185,"",W1529+W1809)</f>
        <v>0</v>
      </c>
      <c r="X1249" s="119">
        <f>IF(tech_base!$T65&gt;X$1185,"",X1529+X1809)</f>
        <v>0</v>
      </c>
      <c r="Y1249" s="119">
        <f>IF(tech_base!$T65&gt;Y$1185,"",Y1529+Y1809)</f>
        <v>0</v>
      </c>
      <c r="Z1249" s="119">
        <f>IF(tech_base!$T65&gt;Z$1185,"",Z1529+Z1809)</f>
        <v>0</v>
      </c>
      <c r="AA1249" s="119">
        <f>IF(tech_base!$T65&gt;AA$1185,"",AA1529+AA1809)</f>
        <v>0</v>
      </c>
      <c r="AB1249" s="119">
        <f>IF(tech_base!$T65&gt;AB$1185,"",AB1529+AB1809)</f>
        <v>0</v>
      </c>
      <c r="AC1249" s="119">
        <f>IF(tech_base!$T65&gt;AC$1185,"",AC1529+AC1809)</f>
        <v>0</v>
      </c>
      <c r="AD1249" s="119">
        <f>IF(tech_base!$T65&gt;AD$1185,"",AD1529+AD1809)</f>
        <v>0</v>
      </c>
      <c r="AE1249" s="119">
        <f>IF(tech_base!$T65&gt;AE$1185,"",AE1529+AE1809)</f>
        <v>0</v>
      </c>
      <c r="AF1249" s="119">
        <f>IF(tech_base!$T65&gt;AF$1185,"",AF1529+AF1809)</f>
        <v>0</v>
      </c>
      <c r="AG1249" s="119">
        <f>IF(tech_base!$T65&gt;AG$1185,"",AG1529+AG1809)</f>
        <v>0</v>
      </c>
      <c r="AH1249" s="119">
        <f>IF(tech_base!$T65&gt;AH$1185,"",AH1529+AH1809)</f>
        <v>0</v>
      </c>
      <c r="AI1249" s="119">
        <f>IF(tech_base!$T65&gt;AI$1185,"",AI1529+AI1809)</f>
        <v>0</v>
      </c>
      <c r="AJ1249" s="119">
        <f>IF(tech_base!$T65&gt;AJ$1185,"",AJ1529+AJ1809)</f>
        <v>0</v>
      </c>
      <c r="AK1249" s="119">
        <f>IF(tech_base!$T65&gt;AK$1185,"",AK1529+AK1809)</f>
        <v>0</v>
      </c>
      <c r="AL1249" s="119">
        <f>IF(tech_base!$T65&gt;AL$1185,"",AL1529+AL1809)</f>
        <v>0</v>
      </c>
      <c r="AM1249" s="119">
        <f>IF(tech_base!$T65&gt;AM$1185,"",AM1529+AM1809)</f>
        <v>0</v>
      </c>
      <c r="AN1249" s="119">
        <f>IF(tech_base!$T65&gt;AN$1185,"",AN1529+AN1809)</f>
        <v>0</v>
      </c>
      <c r="AO1249" s="119">
        <f>IF(tech_base!$T65&gt;AO$1185,"",AO1529+AO1809)</f>
        <v>0</v>
      </c>
      <c r="AP1249" s="119">
        <f>IF(tech_base!$T65&gt;AP$1185,"",AP1529+AP1809)</f>
        <v>0</v>
      </c>
      <c r="AQ1249" s="119">
        <f>IF(tech_base!$T65&gt;AQ$1185,"",AQ1529+AQ1809)</f>
        <v>0</v>
      </c>
      <c r="AR1249" s="119">
        <f>IF(tech_base!$T65&gt;AR$1185,"",AR1529+AR1809)</f>
        <v>0</v>
      </c>
      <c r="AS1249" s="119">
        <f>IF(tech_base!$T65&gt;AS$1185,"",AS1529+AS1809)</f>
        <v>0</v>
      </c>
      <c r="AT1249" s="119">
        <f>IF(tech_base!$T65&gt;AT$1185,"",AT1529+AT1809)</f>
        <v>0</v>
      </c>
      <c r="AU1249" s="119">
        <f>IF(tech_base!$T65&gt;AU$1185,"",AU1529+AU1809)</f>
        <v>0</v>
      </c>
      <c r="AV1249" s="119">
        <f>IF(tech_base!$T65&gt;AV$1185,"",AV1529+AV1809)</f>
        <v>0</v>
      </c>
      <c r="AW1249" s="119">
        <f>IF(tech_base!$T65&gt;AW$1185,"",AW1529+AW1809)</f>
        <v>0</v>
      </c>
      <c r="AX1249" s="120">
        <f>IF(tech_base!$T65&gt;AX$1185,"",AX1529+AX1809)</f>
        <v>0</v>
      </c>
    </row>
    <row r="1250" spans="1:50" x14ac:dyDescent="0.25">
      <c r="A1250" s="356"/>
      <c r="B1250" s="376"/>
      <c r="C1250" s="361" t="s">
        <v>14</v>
      </c>
      <c r="D1250" s="58" t="s">
        <v>7</v>
      </c>
      <c r="E1250" s="164" t="str">
        <f>A1231&amp;"/"&amp;B1247&amp;"/"&amp;C1250&amp;"/"&amp;D1250</f>
        <v>Lignite fired power plants/Fluidized bed combustion/CHP/L</v>
      </c>
      <c r="F1250" s="78" t="str">
        <f>A1231</f>
        <v>Lignite fired power plants</v>
      </c>
      <c r="G1250" s="78" t="str">
        <f>B1247</f>
        <v>Fluidized bed combustion</v>
      </c>
      <c r="H1250" s="78" t="str">
        <f>C1250</f>
        <v>CHP</v>
      </c>
      <c r="I1250" s="165" t="str">
        <f t="shared" si="372"/>
        <v>L</v>
      </c>
      <c r="J1250" s="123">
        <f>IF(tech_base!$T66&gt;J$1185,"",J1530+J1810)</f>
        <v>0</v>
      </c>
      <c r="K1250" s="123">
        <f>IF(tech_base!$T66&gt;K$1185,"",K1530+K1810)</f>
        <v>0</v>
      </c>
      <c r="L1250" s="123">
        <f>IF(tech_base!$T66&gt;L$1185,"",L1530+L1810)</f>
        <v>0</v>
      </c>
      <c r="M1250" s="123">
        <f>IF(tech_base!$T66&gt;M$1185,"",M1530+M1810)</f>
        <v>0</v>
      </c>
      <c r="N1250" s="123">
        <f>IF(tech_base!$T66&gt;N$1185,"",N1530+N1810)</f>
        <v>0</v>
      </c>
      <c r="O1250" s="123">
        <f>IF(tech_base!$T66&gt;O$1185,"",O1530+O1810)</f>
        <v>0</v>
      </c>
      <c r="P1250" s="123">
        <f>IF(tech_base!$T66&gt;P$1185,"",P1530+P1810)</f>
        <v>0</v>
      </c>
      <c r="Q1250" s="123">
        <f>IF(tech_base!$T66&gt;Q$1185,"",Q1530+Q1810)</f>
        <v>0</v>
      </c>
      <c r="R1250" s="123">
        <f>IF(tech_base!$T66&gt;R$1185,"",R1530+R1810)</f>
        <v>0</v>
      </c>
      <c r="S1250" s="123">
        <f>IF(tech_base!$T66&gt;S$1185,"",S1530+S1810)</f>
        <v>0</v>
      </c>
      <c r="T1250" s="123">
        <f>IF(tech_base!$T66&gt;T$1185,"",T1530+T1810)</f>
        <v>0</v>
      </c>
      <c r="U1250" s="123">
        <f>IF(tech_base!$T66&gt;U$1185,"",U1530+U1810)</f>
        <v>0</v>
      </c>
      <c r="V1250" s="123">
        <f>IF(tech_base!$T66&gt;V$1185,"",V1530+V1810)</f>
        <v>0</v>
      </c>
      <c r="W1250" s="123">
        <f>IF(tech_base!$T66&gt;W$1185,"",W1530+W1810)</f>
        <v>0</v>
      </c>
      <c r="X1250" s="123">
        <f>IF(tech_base!$T66&gt;X$1185,"",X1530+X1810)</f>
        <v>0</v>
      </c>
      <c r="Y1250" s="123">
        <f>IF(tech_base!$T66&gt;Y$1185,"",Y1530+Y1810)</f>
        <v>0</v>
      </c>
      <c r="Z1250" s="123">
        <f>IF(tech_base!$T66&gt;Z$1185,"",Z1530+Z1810)</f>
        <v>0</v>
      </c>
      <c r="AA1250" s="123">
        <f>IF(tech_base!$T66&gt;AA$1185,"",AA1530+AA1810)</f>
        <v>0</v>
      </c>
      <c r="AB1250" s="123">
        <f>IF(tech_base!$T66&gt;AB$1185,"",AB1530+AB1810)</f>
        <v>0</v>
      </c>
      <c r="AC1250" s="123">
        <f>IF(tech_base!$T66&gt;AC$1185,"",AC1530+AC1810)</f>
        <v>0</v>
      </c>
      <c r="AD1250" s="123">
        <f>IF(tech_base!$T66&gt;AD$1185,"",AD1530+AD1810)</f>
        <v>0</v>
      </c>
      <c r="AE1250" s="123">
        <f>IF(tech_base!$T66&gt;AE$1185,"",AE1530+AE1810)</f>
        <v>0</v>
      </c>
      <c r="AF1250" s="123">
        <f>IF(tech_base!$T66&gt;AF$1185,"",AF1530+AF1810)</f>
        <v>0</v>
      </c>
      <c r="AG1250" s="123">
        <f>IF(tech_base!$T66&gt;AG$1185,"",AG1530+AG1810)</f>
        <v>0</v>
      </c>
      <c r="AH1250" s="123">
        <f>IF(tech_base!$T66&gt;AH$1185,"",AH1530+AH1810)</f>
        <v>0</v>
      </c>
      <c r="AI1250" s="123">
        <f>IF(tech_base!$T66&gt;AI$1185,"",AI1530+AI1810)</f>
        <v>0</v>
      </c>
      <c r="AJ1250" s="123">
        <f>IF(tech_base!$T66&gt;AJ$1185,"",AJ1530+AJ1810)</f>
        <v>0</v>
      </c>
      <c r="AK1250" s="123">
        <f>IF(tech_base!$T66&gt;AK$1185,"",AK1530+AK1810)</f>
        <v>0</v>
      </c>
      <c r="AL1250" s="123">
        <f>IF(tech_base!$T66&gt;AL$1185,"",AL1530+AL1810)</f>
        <v>0</v>
      </c>
      <c r="AM1250" s="123">
        <f>IF(tech_base!$T66&gt;AM$1185,"",AM1530+AM1810)</f>
        <v>0</v>
      </c>
      <c r="AN1250" s="123">
        <f>IF(tech_base!$T66&gt;AN$1185,"",AN1530+AN1810)</f>
        <v>0</v>
      </c>
      <c r="AO1250" s="123">
        <f>IF(tech_base!$T66&gt;AO$1185,"",AO1530+AO1810)</f>
        <v>0</v>
      </c>
      <c r="AP1250" s="123">
        <f>IF(tech_base!$T66&gt;AP$1185,"",AP1530+AP1810)</f>
        <v>0</v>
      </c>
      <c r="AQ1250" s="123">
        <f>IF(tech_base!$T66&gt;AQ$1185,"",AQ1530+AQ1810)</f>
        <v>0</v>
      </c>
      <c r="AR1250" s="123">
        <f>IF(tech_base!$T66&gt;AR$1185,"",AR1530+AR1810)</f>
        <v>0</v>
      </c>
      <c r="AS1250" s="123">
        <f>IF(tech_base!$T66&gt;AS$1185,"",AS1530+AS1810)</f>
        <v>0</v>
      </c>
      <c r="AT1250" s="123">
        <f>IF(tech_base!$T66&gt;AT$1185,"",AT1530+AT1810)</f>
        <v>0</v>
      </c>
      <c r="AU1250" s="123">
        <f>IF(tech_base!$T66&gt;AU$1185,"",AU1530+AU1810)</f>
        <v>0</v>
      </c>
      <c r="AV1250" s="123">
        <f>IF(tech_base!$T66&gt;AV$1185,"",AV1530+AV1810)</f>
        <v>0</v>
      </c>
      <c r="AW1250" s="123">
        <f>IF(tech_base!$T66&gt;AW$1185,"",AW1530+AW1810)</f>
        <v>0</v>
      </c>
      <c r="AX1250" s="124">
        <f>IF(tech_base!$T66&gt;AX$1185,"",AX1530+AX1810)</f>
        <v>0</v>
      </c>
    </row>
    <row r="1251" spans="1:50" x14ac:dyDescent="0.25">
      <c r="A1251" s="356"/>
      <c r="B1251" s="376"/>
      <c r="C1251" s="378"/>
      <c r="D1251" s="2" t="s">
        <v>8</v>
      </c>
      <c r="E1251" s="160" t="str">
        <f>A1231&amp;"/"&amp;B1247&amp;"/"&amp;C1250&amp;"/"&amp;D1251</f>
        <v>Lignite fired power plants/Fluidized bed combustion/CHP/M</v>
      </c>
      <c r="F1251" s="76" t="str">
        <f>A1231</f>
        <v>Lignite fired power plants</v>
      </c>
      <c r="G1251" s="76" t="str">
        <f>B1247</f>
        <v>Fluidized bed combustion</v>
      </c>
      <c r="H1251" s="76" t="str">
        <f>C1250</f>
        <v>CHP</v>
      </c>
      <c r="I1251" s="161" t="str">
        <f t="shared" ref="I1251:I1314" si="373">D1251</f>
        <v>M</v>
      </c>
      <c r="J1251" s="119">
        <f>IF(tech_base!$T67&gt;J$1185,"",J1531+J1811)</f>
        <v>0</v>
      </c>
      <c r="K1251" s="119">
        <f>IF(tech_base!$T67&gt;K$1185,"",K1531+K1811)</f>
        <v>0</v>
      </c>
      <c r="L1251" s="119">
        <f>IF(tech_base!$T67&gt;L$1185,"",L1531+L1811)</f>
        <v>0</v>
      </c>
      <c r="M1251" s="119">
        <f>IF(tech_base!$T67&gt;M$1185,"",M1531+M1811)</f>
        <v>0</v>
      </c>
      <c r="N1251" s="119">
        <f>IF(tech_base!$T67&gt;N$1185,"",N1531+N1811)</f>
        <v>0</v>
      </c>
      <c r="O1251" s="119">
        <f>IF(tech_base!$T67&gt;O$1185,"",O1531+O1811)</f>
        <v>0</v>
      </c>
      <c r="P1251" s="119">
        <f>IF(tech_base!$T67&gt;P$1185,"",P1531+P1811)</f>
        <v>0</v>
      </c>
      <c r="Q1251" s="119">
        <f>IF(tech_base!$T67&gt;Q$1185,"",Q1531+Q1811)</f>
        <v>0</v>
      </c>
      <c r="R1251" s="119">
        <f>IF(tech_base!$T67&gt;R$1185,"",R1531+R1811)</f>
        <v>0</v>
      </c>
      <c r="S1251" s="119">
        <f>IF(tech_base!$T67&gt;S$1185,"",S1531+S1811)</f>
        <v>0</v>
      </c>
      <c r="T1251" s="119">
        <f>IF(tech_base!$T67&gt;T$1185,"",T1531+T1811)</f>
        <v>0</v>
      </c>
      <c r="U1251" s="119">
        <f>IF(tech_base!$T67&gt;U$1185,"",U1531+U1811)</f>
        <v>0</v>
      </c>
      <c r="V1251" s="119">
        <f>IF(tech_base!$T67&gt;V$1185,"",V1531+V1811)</f>
        <v>0</v>
      </c>
      <c r="W1251" s="119">
        <f>IF(tech_base!$T67&gt;W$1185,"",W1531+W1811)</f>
        <v>0</v>
      </c>
      <c r="X1251" s="119">
        <f>IF(tech_base!$T67&gt;X$1185,"",X1531+X1811)</f>
        <v>0</v>
      </c>
      <c r="Y1251" s="119">
        <f>IF(tech_base!$T67&gt;Y$1185,"",Y1531+Y1811)</f>
        <v>0</v>
      </c>
      <c r="Z1251" s="119">
        <f>IF(tech_base!$T67&gt;Z$1185,"",Z1531+Z1811)</f>
        <v>0</v>
      </c>
      <c r="AA1251" s="119">
        <f>IF(tech_base!$T67&gt;AA$1185,"",AA1531+AA1811)</f>
        <v>0</v>
      </c>
      <c r="AB1251" s="119">
        <f>IF(tech_base!$T67&gt;AB$1185,"",AB1531+AB1811)</f>
        <v>0</v>
      </c>
      <c r="AC1251" s="119">
        <f>IF(tech_base!$T67&gt;AC$1185,"",AC1531+AC1811)</f>
        <v>0</v>
      </c>
      <c r="AD1251" s="119">
        <f>IF(tech_base!$T67&gt;AD$1185,"",AD1531+AD1811)</f>
        <v>0</v>
      </c>
      <c r="AE1251" s="119">
        <f>IF(tech_base!$T67&gt;AE$1185,"",AE1531+AE1811)</f>
        <v>0</v>
      </c>
      <c r="AF1251" s="119">
        <f>IF(tech_base!$T67&gt;AF$1185,"",AF1531+AF1811)</f>
        <v>0</v>
      </c>
      <c r="AG1251" s="119">
        <f>IF(tech_base!$T67&gt;AG$1185,"",AG1531+AG1811)</f>
        <v>0</v>
      </c>
      <c r="AH1251" s="119">
        <f>IF(tech_base!$T67&gt;AH$1185,"",AH1531+AH1811)</f>
        <v>0</v>
      </c>
      <c r="AI1251" s="119">
        <f>IF(tech_base!$T67&gt;AI$1185,"",AI1531+AI1811)</f>
        <v>0</v>
      </c>
      <c r="AJ1251" s="119">
        <f>IF(tech_base!$T67&gt;AJ$1185,"",AJ1531+AJ1811)</f>
        <v>0</v>
      </c>
      <c r="AK1251" s="119">
        <f>IF(tech_base!$T67&gt;AK$1185,"",AK1531+AK1811)</f>
        <v>0</v>
      </c>
      <c r="AL1251" s="119">
        <f>IF(tech_base!$T67&gt;AL$1185,"",AL1531+AL1811)</f>
        <v>0</v>
      </c>
      <c r="AM1251" s="119">
        <f>IF(tech_base!$T67&gt;AM$1185,"",AM1531+AM1811)</f>
        <v>0</v>
      </c>
      <c r="AN1251" s="119">
        <f>IF(tech_base!$T67&gt;AN$1185,"",AN1531+AN1811)</f>
        <v>0</v>
      </c>
      <c r="AO1251" s="119">
        <f>IF(tech_base!$T67&gt;AO$1185,"",AO1531+AO1811)</f>
        <v>0</v>
      </c>
      <c r="AP1251" s="119">
        <f>IF(tech_base!$T67&gt;AP$1185,"",AP1531+AP1811)</f>
        <v>0</v>
      </c>
      <c r="AQ1251" s="119">
        <f>IF(tech_base!$T67&gt;AQ$1185,"",AQ1531+AQ1811)</f>
        <v>0</v>
      </c>
      <c r="AR1251" s="119">
        <f>IF(tech_base!$T67&gt;AR$1185,"",AR1531+AR1811)</f>
        <v>0</v>
      </c>
      <c r="AS1251" s="119">
        <f>IF(tech_base!$T67&gt;AS$1185,"",AS1531+AS1811)</f>
        <v>0</v>
      </c>
      <c r="AT1251" s="119">
        <f>IF(tech_base!$T67&gt;AT$1185,"",AT1531+AT1811)</f>
        <v>0</v>
      </c>
      <c r="AU1251" s="119">
        <f>IF(tech_base!$T67&gt;AU$1185,"",AU1531+AU1811)</f>
        <v>0</v>
      </c>
      <c r="AV1251" s="119">
        <f>IF(tech_base!$T67&gt;AV$1185,"",AV1531+AV1811)</f>
        <v>0</v>
      </c>
      <c r="AW1251" s="119">
        <f>IF(tech_base!$T67&gt;AW$1185,"",AW1531+AW1811)</f>
        <v>0</v>
      </c>
      <c r="AX1251" s="120">
        <f>IF(tech_base!$T67&gt;AX$1185,"",AX1531+AX1811)</f>
        <v>0</v>
      </c>
    </row>
    <row r="1252" spans="1:50" x14ac:dyDescent="0.25">
      <c r="A1252" s="356"/>
      <c r="B1252" s="376"/>
      <c r="C1252" s="379"/>
      <c r="D1252" s="59" t="s">
        <v>10</v>
      </c>
      <c r="E1252" s="166" t="str">
        <f>A1231&amp;"/"&amp;B1247&amp;"/"&amp;C1250&amp;"/"&amp;D1252</f>
        <v>Lignite fired power plants/Fluidized bed combustion/CHP/S</v>
      </c>
      <c r="F1252" s="79" t="str">
        <f>A1231</f>
        <v>Lignite fired power plants</v>
      </c>
      <c r="G1252" s="79" t="str">
        <f>B1247</f>
        <v>Fluidized bed combustion</v>
      </c>
      <c r="H1252" s="79" t="str">
        <f>C1250</f>
        <v>CHP</v>
      </c>
      <c r="I1252" s="167" t="str">
        <f t="shared" si="373"/>
        <v>S</v>
      </c>
      <c r="J1252" s="125">
        <f>IF(tech_base!$T68&gt;J$1185,"",J1532+J1812)</f>
        <v>0</v>
      </c>
      <c r="K1252" s="125">
        <f>IF(tech_base!$T68&gt;K$1185,"",K1532+K1812)</f>
        <v>0</v>
      </c>
      <c r="L1252" s="125">
        <f>IF(tech_base!$T68&gt;L$1185,"",L1532+L1812)</f>
        <v>0</v>
      </c>
      <c r="M1252" s="125">
        <f>IF(tech_base!$T68&gt;M$1185,"",M1532+M1812)</f>
        <v>0</v>
      </c>
      <c r="N1252" s="125">
        <f>IF(tech_base!$T68&gt;N$1185,"",N1532+N1812)</f>
        <v>0</v>
      </c>
      <c r="O1252" s="125">
        <f>IF(tech_base!$T68&gt;O$1185,"",O1532+O1812)</f>
        <v>0</v>
      </c>
      <c r="P1252" s="125">
        <f>IF(tech_base!$T68&gt;P$1185,"",P1532+P1812)</f>
        <v>0</v>
      </c>
      <c r="Q1252" s="125">
        <f>IF(tech_base!$T68&gt;Q$1185,"",Q1532+Q1812)</f>
        <v>0</v>
      </c>
      <c r="R1252" s="125">
        <f>IF(tech_base!$T68&gt;R$1185,"",R1532+R1812)</f>
        <v>0</v>
      </c>
      <c r="S1252" s="125">
        <f>IF(tech_base!$T68&gt;S$1185,"",S1532+S1812)</f>
        <v>0</v>
      </c>
      <c r="T1252" s="125">
        <f>IF(tech_base!$T68&gt;T$1185,"",T1532+T1812)</f>
        <v>0</v>
      </c>
      <c r="U1252" s="125">
        <f>IF(tech_base!$T68&gt;U$1185,"",U1532+U1812)</f>
        <v>0</v>
      </c>
      <c r="V1252" s="125">
        <f>IF(tech_base!$T68&gt;V$1185,"",V1532+V1812)</f>
        <v>0</v>
      </c>
      <c r="W1252" s="125">
        <f>IF(tech_base!$T68&gt;W$1185,"",W1532+W1812)</f>
        <v>0</v>
      </c>
      <c r="X1252" s="125">
        <f>IF(tech_base!$T68&gt;X$1185,"",X1532+X1812)</f>
        <v>0</v>
      </c>
      <c r="Y1252" s="125">
        <f>IF(tech_base!$T68&gt;Y$1185,"",Y1532+Y1812)</f>
        <v>0</v>
      </c>
      <c r="Z1252" s="125">
        <f>IF(tech_base!$T68&gt;Z$1185,"",Z1532+Z1812)</f>
        <v>0</v>
      </c>
      <c r="AA1252" s="125">
        <f>IF(tech_base!$T68&gt;AA$1185,"",AA1532+AA1812)</f>
        <v>0</v>
      </c>
      <c r="AB1252" s="125">
        <f>IF(tech_base!$T68&gt;AB$1185,"",AB1532+AB1812)</f>
        <v>0</v>
      </c>
      <c r="AC1252" s="125">
        <f>IF(tech_base!$T68&gt;AC$1185,"",AC1532+AC1812)</f>
        <v>0</v>
      </c>
      <c r="AD1252" s="125">
        <f>IF(tech_base!$T68&gt;AD$1185,"",AD1532+AD1812)</f>
        <v>0</v>
      </c>
      <c r="AE1252" s="125">
        <f>IF(tech_base!$T68&gt;AE$1185,"",AE1532+AE1812)</f>
        <v>0</v>
      </c>
      <c r="AF1252" s="125">
        <f>IF(tech_base!$T68&gt;AF$1185,"",AF1532+AF1812)</f>
        <v>0</v>
      </c>
      <c r="AG1252" s="125">
        <f>IF(tech_base!$T68&gt;AG$1185,"",AG1532+AG1812)</f>
        <v>0</v>
      </c>
      <c r="AH1252" s="125">
        <f>IF(tech_base!$T68&gt;AH$1185,"",AH1532+AH1812)</f>
        <v>0</v>
      </c>
      <c r="AI1252" s="125">
        <f>IF(tech_base!$T68&gt;AI$1185,"",AI1532+AI1812)</f>
        <v>0</v>
      </c>
      <c r="AJ1252" s="125">
        <f>IF(tech_base!$T68&gt;AJ$1185,"",AJ1532+AJ1812)</f>
        <v>0</v>
      </c>
      <c r="AK1252" s="125">
        <f>IF(tech_base!$T68&gt;AK$1185,"",AK1532+AK1812)</f>
        <v>0</v>
      </c>
      <c r="AL1252" s="125">
        <f>IF(tech_base!$T68&gt;AL$1185,"",AL1532+AL1812)</f>
        <v>0</v>
      </c>
      <c r="AM1252" s="125">
        <f>IF(tech_base!$T68&gt;AM$1185,"",AM1532+AM1812)</f>
        <v>0</v>
      </c>
      <c r="AN1252" s="125">
        <f>IF(tech_base!$T68&gt;AN$1185,"",AN1532+AN1812)</f>
        <v>0</v>
      </c>
      <c r="AO1252" s="125">
        <f>IF(tech_base!$T68&gt;AO$1185,"",AO1532+AO1812)</f>
        <v>0</v>
      </c>
      <c r="AP1252" s="125">
        <f>IF(tech_base!$T68&gt;AP$1185,"",AP1532+AP1812)</f>
        <v>0</v>
      </c>
      <c r="AQ1252" s="125">
        <f>IF(tech_base!$T68&gt;AQ$1185,"",AQ1532+AQ1812)</f>
        <v>0</v>
      </c>
      <c r="AR1252" s="125">
        <f>IF(tech_base!$T68&gt;AR$1185,"",AR1532+AR1812)</f>
        <v>0</v>
      </c>
      <c r="AS1252" s="125">
        <f>IF(tech_base!$T68&gt;AS$1185,"",AS1532+AS1812)</f>
        <v>0</v>
      </c>
      <c r="AT1252" s="125">
        <f>IF(tech_base!$T68&gt;AT$1185,"",AT1532+AT1812)</f>
        <v>0</v>
      </c>
      <c r="AU1252" s="125">
        <f>IF(tech_base!$T68&gt;AU$1185,"",AU1532+AU1812)</f>
        <v>0</v>
      </c>
      <c r="AV1252" s="125">
        <f>IF(tech_base!$T68&gt;AV$1185,"",AV1532+AV1812)</f>
        <v>0</v>
      </c>
      <c r="AW1252" s="125">
        <f>IF(tech_base!$T68&gt;AW$1185,"",AW1532+AW1812)</f>
        <v>0</v>
      </c>
      <c r="AX1252" s="126">
        <f>IF(tech_base!$T68&gt;AX$1185,"",AX1532+AX1812)</f>
        <v>0</v>
      </c>
    </row>
    <row r="1253" spans="1:50" x14ac:dyDescent="0.25">
      <c r="A1253" s="356"/>
      <c r="B1253" s="376"/>
      <c r="C1253" s="361" t="s">
        <v>15</v>
      </c>
      <c r="D1253" s="58" t="s">
        <v>7</v>
      </c>
      <c r="E1253" s="164" t="str">
        <f>A1231&amp;"/"&amp;B1247&amp;"/"&amp;C1253&amp;"/"&amp;D1253</f>
        <v>Lignite fired power plants/Fluidized bed combustion/Electricity only with CCS/L</v>
      </c>
      <c r="F1253" s="78" t="str">
        <f>A1231</f>
        <v>Lignite fired power plants</v>
      </c>
      <c r="G1253" s="78" t="str">
        <f>B1247</f>
        <v>Fluidized bed combustion</v>
      </c>
      <c r="H1253" s="78" t="str">
        <f>C1253</f>
        <v>Electricity only with CCS</v>
      </c>
      <c r="I1253" s="165" t="str">
        <f t="shared" si="373"/>
        <v>L</v>
      </c>
      <c r="J1253" s="123" t="str">
        <f>IF(tech_base!$T69&gt;J$1185,"",J1533+J1813)</f>
        <v/>
      </c>
      <c r="K1253" s="123" t="str">
        <f>IF(tech_base!$T69&gt;K$1185,"",K1533+K1813)</f>
        <v/>
      </c>
      <c r="L1253" s="123" t="str">
        <f>IF(tech_base!$T69&gt;L$1185,"",L1533+L1813)</f>
        <v/>
      </c>
      <c r="M1253" s="123" t="str">
        <f>IF(tech_base!$T69&gt;M$1185,"",M1533+M1813)</f>
        <v/>
      </c>
      <c r="N1253" s="123" t="str">
        <f>IF(tech_base!$T69&gt;N$1185,"",N1533+N1813)</f>
        <v/>
      </c>
      <c r="O1253" s="123" t="str">
        <f>IF(tech_base!$T69&gt;O$1185,"",O1533+O1813)</f>
        <v/>
      </c>
      <c r="P1253" s="123" t="str">
        <f>IF(tech_base!$T69&gt;P$1185,"",P1533+P1813)</f>
        <v/>
      </c>
      <c r="Q1253" s="123" t="str">
        <f>IF(tech_base!$T69&gt;Q$1185,"",Q1533+Q1813)</f>
        <v/>
      </c>
      <c r="R1253" s="123" t="str">
        <f>IF(tech_base!$T69&gt;R$1185,"",R1533+R1813)</f>
        <v/>
      </c>
      <c r="S1253" s="123" t="str">
        <f>IF(tech_base!$T69&gt;S$1185,"",S1533+S1813)</f>
        <v/>
      </c>
      <c r="T1253" s="123" t="str">
        <f>IF(tech_base!$T69&gt;T$1185,"",T1533+T1813)</f>
        <v/>
      </c>
      <c r="U1253" s="123" t="str">
        <f>IF(tech_base!$T69&gt;U$1185,"",U1533+U1813)</f>
        <v/>
      </c>
      <c r="V1253" s="123" t="str">
        <f>IF(tech_base!$T69&gt;V$1185,"",V1533+V1813)</f>
        <v/>
      </c>
      <c r="W1253" s="123" t="str">
        <f>IF(tech_base!$T69&gt;W$1185,"",W1533+W1813)</f>
        <v/>
      </c>
      <c r="X1253" s="123" t="str">
        <f>IF(tech_base!$T69&gt;X$1185,"",X1533+X1813)</f>
        <v/>
      </c>
      <c r="Y1253" s="123" t="str">
        <f>IF(tech_base!$T69&gt;Y$1185,"",Y1533+Y1813)</f>
        <v/>
      </c>
      <c r="Z1253" s="123" t="str">
        <f>IF(tech_base!$T69&gt;Z$1185,"",Z1533+Z1813)</f>
        <v/>
      </c>
      <c r="AA1253" s="123" t="str">
        <f>IF(tech_base!$T69&gt;AA$1185,"",AA1533+AA1813)</f>
        <v/>
      </c>
      <c r="AB1253" s="123" t="str">
        <f>IF(tech_base!$T69&gt;AB$1185,"",AB1533+AB1813)</f>
        <v/>
      </c>
      <c r="AC1253" s="123" t="str">
        <f>IF(tech_base!$T69&gt;AC$1185,"",AC1533+AC1813)</f>
        <v/>
      </c>
      <c r="AD1253" s="123" t="str">
        <f>IF(tech_base!$T69&gt;AD$1185,"",AD1533+AD1813)</f>
        <v/>
      </c>
      <c r="AE1253" s="123">
        <f>IF(tech_base!$T69&gt;AE$1185,"",AE1533+AE1813)</f>
        <v>13.614105722226885</v>
      </c>
      <c r="AF1253" s="123">
        <f>IF(tech_base!$T69&gt;AF$1185,"",AF1533+AF1813)</f>
        <v>13.613400001912384</v>
      </c>
      <c r="AG1253" s="123">
        <f>IF(tech_base!$T69&gt;AG$1185,"",AG1533+AG1813)</f>
        <v>13.612495048749565</v>
      </c>
      <c r="AH1253" s="123">
        <f>IF(tech_base!$T69&gt;AH$1185,"",AH1533+AH1813)</f>
        <v>13.611335055926638</v>
      </c>
      <c r="AI1253" s="123">
        <f>IF(tech_base!$T69&gt;AI$1185,"",AI1533+AI1813)</f>
        <v>13.60984886749983</v>
      </c>
      <c r="AJ1253" s="123">
        <f>IF(tech_base!$T69&gt;AJ$1185,"",AJ1533+AJ1813)</f>
        <v>13.607945938789973</v>
      </c>
      <c r="AK1253" s="123">
        <f>IF(tech_base!$T69&gt;AK$1185,"",AK1533+AK1813)</f>
        <v>13.605511351101081</v>
      </c>
      <c r="AL1253" s="123">
        <f>IF(tech_base!$T69&gt;AL$1185,"",AL1533+AL1813)</f>
        <v>13.602399736573405</v>
      </c>
      <c r="AM1253" s="123">
        <f>IF(tech_base!$T69&gt;AM$1185,"",AM1533+AM1813)</f>
        <v>13.598428001814272</v>
      </c>
      <c r="AN1253" s="123">
        <f>IF(tech_base!$T69&gt;AN$1185,"",AN1533+AN1813)</f>
        <v>13.593366821651328</v>
      </c>
      <c r="AO1253" s="123">
        <f>IF(tech_base!$T69&gt;AO$1185,"",AO1533+AO1813)</f>
        <v>13.586931039891342</v>
      </c>
      <c r="AP1253" s="123">
        <f>IF(tech_base!$T69&gt;AP$1185,"",AP1533+AP1813)</f>
        <v>13.578769409576616</v>
      </c>
      <c r="AQ1253" s="123">
        <f>IF(tech_base!$T69&gt;AQ$1185,"",AQ1533+AQ1813)</f>
        <v>13.568454593172113</v>
      </c>
      <c r="AR1253" s="123">
        <f>IF(tech_base!$T69&gt;AR$1185,"",AR1533+AR1813)</f>
        <v>13.555475094761242</v>
      </c>
      <c r="AS1253" s="123">
        <f>IF(tech_base!$T69&gt;AS$1185,"",AS1533+AS1813)</f>
        <v>13.539231871214101</v>
      </c>
      <c r="AT1253" s="123">
        <f>IF(tech_base!$T69&gt;AT$1185,"",AT1533+AT1813)</f>
        <v>13.519043765937345</v>
      </c>
      <c r="AU1253" s="123">
        <f>IF(tech_base!$T69&gt;AU$1185,"",AU1533+AU1813)</f>
        <v>13.494167471409066</v>
      </c>
      <c r="AV1253" s="123">
        <f>IF(tech_base!$T69&gt;AV$1185,"",AV1533+AV1813)</f>
        <v>13.463839000222436</v>
      </c>
      <c r="AW1253" s="123">
        <f>IF(tech_base!$T69&gt;AW$1185,"",AW1533+AW1813)</f>
        <v>13.427343707904047</v>
      </c>
      <c r="AX1253" s="124">
        <f>IF(tech_base!$T69&gt;AX$1185,"",AX1533+AX1813)</f>
        <v>13.384119306786724</v>
      </c>
    </row>
    <row r="1254" spans="1:50" x14ac:dyDescent="0.25">
      <c r="A1254" s="356"/>
      <c r="B1254" s="376"/>
      <c r="C1254" s="379"/>
      <c r="D1254" s="59" t="s">
        <v>8</v>
      </c>
      <c r="E1254" s="166" t="str">
        <f>A1231&amp;"/"&amp;B1247&amp;"/"&amp;C1253&amp;"/"&amp;D1254</f>
        <v>Lignite fired power plants/Fluidized bed combustion/Electricity only with CCS/M</v>
      </c>
      <c r="F1254" s="79" t="str">
        <f>A1231</f>
        <v>Lignite fired power plants</v>
      </c>
      <c r="G1254" s="79" t="str">
        <f>B1247</f>
        <v>Fluidized bed combustion</v>
      </c>
      <c r="H1254" s="79" t="str">
        <f>C1253</f>
        <v>Electricity only with CCS</v>
      </c>
      <c r="I1254" s="167" t="str">
        <f t="shared" si="373"/>
        <v>M</v>
      </c>
      <c r="J1254" s="125" t="str">
        <f>IF(tech_base!$T70&gt;J$1185,"",J1534+J1814)</f>
        <v/>
      </c>
      <c r="K1254" s="125" t="str">
        <f>IF(tech_base!$T70&gt;K$1185,"",K1534+K1814)</f>
        <v/>
      </c>
      <c r="L1254" s="125" t="str">
        <f>IF(tech_base!$T70&gt;L$1185,"",L1534+L1814)</f>
        <v/>
      </c>
      <c r="M1254" s="125" t="str">
        <f>IF(tech_base!$T70&gt;M$1185,"",M1534+M1814)</f>
        <v/>
      </c>
      <c r="N1254" s="125" t="str">
        <f>IF(tech_base!$T70&gt;N$1185,"",N1534+N1814)</f>
        <v/>
      </c>
      <c r="O1254" s="125" t="str">
        <f>IF(tech_base!$T70&gt;O$1185,"",O1534+O1814)</f>
        <v/>
      </c>
      <c r="P1254" s="125" t="str">
        <f>IF(tech_base!$T70&gt;P$1185,"",P1534+P1814)</f>
        <v/>
      </c>
      <c r="Q1254" s="125" t="str">
        <f>IF(tech_base!$T70&gt;Q$1185,"",Q1534+Q1814)</f>
        <v/>
      </c>
      <c r="R1254" s="125" t="str">
        <f>IF(tech_base!$T70&gt;R$1185,"",R1534+R1814)</f>
        <v/>
      </c>
      <c r="S1254" s="125" t="str">
        <f>IF(tech_base!$T70&gt;S$1185,"",S1534+S1814)</f>
        <v/>
      </c>
      <c r="T1254" s="125" t="str">
        <f>IF(tech_base!$T70&gt;T$1185,"",T1534+T1814)</f>
        <v/>
      </c>
      <c r="U1254" s="125" t="str">
        <f>IF(tech_base!$T70&gt;U$1185,"",U1534+U1814)</f>
        <v/>
      </c>
      <c r="V1254" s="125" t="str">
        <f>IF(tech_base!$T70&gt;V$1185,"",V1534+V1814)</f>
        <v/>
      </c>
      <c r="W1254" s="125" t="str">
        <f>IF(tech_base!$T70&gt;W$1185,"",W1534+W1814)</f>
        <v/>
      </c>
      <c r="X1254" s="125" t="str">
        <f>IF(tech_base!$T70&gt;X$1185,"",X1534+X1814)</f>
        <v/>
      </c>
      <c r="Y1254" s="125" t="str">
        <f>IF(tech_base!$T70&gt;Y$1185,"",Y1534+Y1814)</f>
        <v/>
      </c>
      <c r="Z1254" s="125" t="str">
        <f>IF(tech_base!$T70&gt;Z$1185,"",Z1534+Z1814)</f>
        <v/>
      </c>
      <c r="AA1254" s="125" t="str">
        <f>IF(tech_base!$T70&gt;AA$1185,"",AA1534+AA1814)</f>
        <v/>
      </c>
      <c r="AB1254" s="125" t="str">
        <f>IF(tech_base!$T70&gt;AB$1185,"",AB1534+AB1814)</f>
        <v/>
      </c>
      <c r="AC1254" s="125" t="str">
        <f>IF(tech_base!$T70&gt;AC$1185,"",AC1534+AC1814)</f>
        <v/>
      </c>
      <c r="AD1254" s="125" t="str">
        <f>IF(tech_base!$T70&gt;AD$1185,"",AD1534+AD1814)</f>
        <v/>
      </c>
      <c r="AE1254" s="125">
        <f>IF(tech_base!$T70&gt;AE$1185,"",AE1534+AE1814)</f>
        <v>14.586796942449666</v>
      </c>
      <c r="AF1254" s="125">
        <f>IF(tech_base!$T70&gt;AF$1185,"",AF1534+AF1814)</f>
        <v>14.585994923987016</v>
      </c>
      <c r="AG1254" s="125">
        <f>IF(tech_base!$T70&gt;AG$1185,"",AG1534+AG1814)</f>
        <v>14.584966471848695</v>
      </c>
      <c r="AH1254" s="125">
        <f>IF(tech_base!$T70&gt;AH$1185,"",AH1534+AH1814)</f>
        <v>14.583648150503127</v>
      </c>
      <c r="AI1254" s="125">
        <f>IF(tech_base!$T70&gt;AI$1185,"",AI1534+AI1814)</f>
        <v>14.581959070919593</v>
      </c>
      <c r="AJ1254" s="125">
        <f>IF(tech_base!$T70&gt;AJ$1185,"",AJ1534+AJ1814)</f>
        <v>14.579796293134569</v>
      </c>
      <c r="AK1254" s="125">
        <f>IF(tech_base!$T70&gt;AK$1185,"",AK1534+AK1814)</f>
        <v>14.577029149894974</v>
      </c>
      <c r="AL1254" s="125">
        <f>IF(tech_base!$T70&gt;AL$1185,"",AL1534+AL1814)</f>
        <v>14.573492324958595</v>
      </c>
      <c r="AM1254" s="125">
        <f>IF(tech_base!$T70&gt;AM$1185,"",AM1534+AM1814)</f>
        <v>14.568977555487146</v>
      </c>
      <c r="AN1254" s="125">
        <f>IF(tech_base!$T70&gt;AN$1185,"",AN1534+AN1814)</f>
        <v>14.563223919771099</v>
      </c>
      <c r="AO1254" s="125">
        <f>IF(tech_base!$T70&gt;AO$1185,"",AO1534+AO1814)</f>
        <v>14.555906856490251</v>
      </c>
      <c r="AP1254" s="125">
        <f>IF(tech_base!$T70&gt;AP$1185,"",AP1534+AP1814)</f>
        <v>14.546626393307024</v>
      </c>
      <c r="AQ1254" s="125">
        <f>IF(tech_base!$T70&gt;AQ$1185,"",AQ1534+AQ1814)</f>
        <v>14.534895611588166</v>
      </c>
      <c r="AR1254" s="125">
        <f>IF(tech_base!$T70&gt;AR$1185,"",AR1534+AR1814)</f>
        <v>14.520131222234957</v>
      </c>
      <c r="AS1254" s="125">
        <f>IF(tech_base!$T70&gt;AS$1185,"",AS1534+AS1814)</f>
        <v>14.501649344724344</v>
      </c>
      <c r="AT1254" s="125">
        <f>IF(tech_base!$T70&gt;AT$1185,"",AT1534+AT1814)</f>
        <v>14.47867117059846</v>
      </c>
      <c r="AU1254" s="125">
        <f>IF(tech_base!$T70&gt;AU$1185,"",AU1534+AU1814)</f>
        <v>14.450344985697239</v>
      </c>
      <c r="AV1254" s="125">
        <f>IF(tech_base!$T70&gt;AV$1185,"",AV1534+AV1814)</f>
        <v>14.41579251945241</v>
      </c>
      <c r="AW1254" s="125">
        <f>IF(tech_base!$T70&gt;AW$1185,"",AW1534+AW1814)</f>
        <v>14.374187755132462</v>
      </c>
      <c r="AX1254" s="126">
        <f>IF(tech_base!$T70&gt;AX$1185,"",AX1534+AX1814)</f>
        <v>14.324873525735379</v>
      </c>
    </row>
    <row r="1255" spans="1:50" x14ac:dyDescent="0.25">
      <c r="A1255" s="356"/>
      <c r="B1255" s="376"/>
      <c r="C1255" s="361" t="s">
        <v>16</v>
      </c>
      <c r="D1255" s="2" t="s">
        <v>7</v>
      </c>
      <c r="E1255" s="160" t="str">
        <f>A1231&amp;"/"&amp;B1247&amp;"/"&amp;C1255&amp;"/"&amp;D1255</f>
        <v>Lignite fired power plants/Fluidized bed combustion/CHP with CCS/L</v>
      </c>
      <c r="F1255" s="76" t="str">
        <f>A1231</f>
        <v>Lignite fired power plants</v>
      </c>
      <c r="G1255" s="76" t="str">
        <f>B1247</f>
        <v>Fluidized bed combustion</v>
      </c>
      <c r="H1255" s="76" t="str">
        <f>C1255</f>
        <v>CHP with CCS</v>
      </c>
      <c r="I1255" s="161" t="str">
        <f t="shared" si="373"/>
        <v>L</v>
      </c>
      <c r="J1255" s="119" t="str">
        <f>IF(tech_base!$T71&gt;J$1185,"",J1535+J1815)</f>
        <v/>
      </c>
      <c r="K1255" s="119" t="str">
        <f>IF(tech_base!$T71&gt;K$1185,"",K1535+K1815)</f>
        <v/>
      </c>
      <c r="L1255" s="119" t="str">
        <f>IF(tech_base!$T71&gt;L$1185,"",L1535+L1815)</f>
        <v/>
      </c>
      <c r="M1255" s="119" t="str">
        <f>IF(tech_base!$T71&gt;M$1185,"",M1535+M1815)</f>
        <v/>
      </c>
      <c r="N1255" s="119" t="str">
        <f>IF(tech_base!$T71&gt;N$1185,"",N1535+N1815)</f>
        <v/>
      </c>
      <c r="O1255" s="119" t="str">
        <f>IF(tech_base!$T71&gt;O$1185,"",O1535+O1815)</f>
        <v/>
      </c>
      <c r="P1255" s="119" t="str">
        <f>IF(tech_base!$T71&gt;P$1185,"",P1535+P1815)</f>
        <v/>
      </c>
      <c r="Q1255" s="119" t="str">
        <f>IF(tech_base!$T71&gt;Q$1185,"",Q1535+Q1815)</f>
        <v/>
      </c>
      <c r="R1255" s="119" t="str">
        <f>IF(tech_base!$T71&gt;R$1185,"",R1535+R1815)</f>
        <v/>
      </c>
      <c r="S1255" s="119" t="str">
        <f>IF(tech_base!$T71&gt;S$1185,"",S1535+S1815)</f>
        <v/>
      </c>
      <c r="T1255" s="119" t="str">
        <f>IF(tech_base!$T71&gt;T$1185,"",T1535+T1815)</f>
        <v/>
      </c>
      <c r="U1255" s="119" t="str">
        <f>IF(tech_base!$T71&gt;U$1185,"",U1535+U1815)</f>
        <v/>
      </c>
      <c r="V1255" s="119" t="str">
        <f>IF(tech_base!$T71&gt;V$1185,"",V1535+V1815)</f>
        <v/>
      </c>
      <c r="W1255" s="119" t="str">
        <f>IF(tech_base!$T71&gt;W$1185,"",W1535+W1815)</f>
        <v/>
      </c>
      <c r="X1255" s="119" t="str">
        <f>IF(tech_base!$T71&gt;X$1185,"",X1535+X1815)</f>
        <v/>
      </c>
      <c r="Y1255" s="119" t="str">
        <f>IF(tech_base!$T71&gt;Y$1185,"",Y1535+Y1815)</f>
        <v/>
      </c>
      <c r="Z1255" s="119" t="str">
        <f>IF(tech_base!$T71&gt;Z$1185,"",Z1535+Z1815)</f>
        <v/>
      </c>
      <c r="AA1255" s="119" t="str">
        <f>IF(tech_base!$T71&gt;AA$1185,"",AA1535+AA1815)</f>
        <v/>
      </c>
      <c r="AB1255" s="119" t="str">
        <f>IF(tech_base!$T71&gt;AB$1185,"",AB1535+AB1815)</f>
        <v/>
      </c>
      <c r="AC1255" s="119" t="str">
        <f>IF(tech_base!$T71&gt;AC$1185,"",AC1535+AC1815)</f>
        <v/>
      </c>
      <c r="AD1255" s="119" t="str">
        <f>IF(tech_base!$T71&gt;AD$1185,"",AD1535+AD1815)</f>
        <v/>
      </c>
      <c r="AE1255" s="119">
        <f>IF(tech_base!$T71&gt;AE$1185,"",AE1535+AE1815)</f>
        <v>15.600925733384949</v>
      </c>
      <c r="AF1255" s="119">
        <f>IF(tech_base!$T71&gt;AF$1185,"",AF1535+AF1815)</f>
        <v>15.600264182534831</v>
      </c>
      <c r="AG1255" s="119">
        <f>IF(tech_base!$T71&gt;AG$1185,"",AG1535+AG1815)</f>
        <v>15.599415904909923</v>
      </c>
      <c r="AH1255" s="119">
        <f>IF(tech_base!$T71&gt;AH$1185,"",AH1535+AH1815)</f>
        <v>15.59832862033973</v>
      </c>
      <c r="AI1255" s="119">
        <f>IF(tech_base!$T71&gt;AI$1185,"",AI1535+AI1815)</f>
        <v>15.596935684714889</v>
      </c>
      <c r="AJ1255" s="119">
        <f>IF(tech_base!$T71&gt;AJ$1185,"",AJ1535+AJ1815)</f>
        <v>15.595152319542812</v>
      </c>
      <c r="AK1255" s="119">
        <f>IF(tech_base!$T71&gt;AK$1185,"",AK1535+AK1815)</f>
        <v>15.592870965380589</v>
      </c>
      <c r="AL1255" s="119">
        <f>IF(tech_base!$T71&gt;AL$1185,"",AL1535+AL1815)</f>
        <v>15.589955630270836</v>
      </c>
      <c r="AM1255" s="119">
        <f>IF(tech_base!$T71&gt;AM$1185,"",AM1535+AM1815)</f>
        <v>15.586235138642744</v>
      </c>
      <c r="AN1255" s="119">
        <f>IF(tech_base!$T71&gt;AN$1185,"",AN1535+AN1815)</f>
        <v>15.581495268982634</v>
      </c>
      <c r="AO1255" s="119">
        <f>IF(tech_base!$T71&gt;AO$1185,"",AO1535+AO1815)</f>
        <v>15.575469931412625</v>
      </c>
      <c r="AP1255" s="119">
        <f>IF(tech_base!$T71&gt;AP$1185,"",AP1535+AP1815)</f>
        <v>15.567831823869337</v>
      </c>
      <c r="AQ1255" s="119">
        <f>IF(tech_base!$T71&gt;AQ$1185,"",AQ1535+AQ1815)</f>
        <v>15.558183476026597</v>
      </c>
      <c r="AR1255" s="119">
        <f>IF(tech_base!$T71&gt;AR$1185,"",AR1535+AR1815)</f>
        <v>15.546050308488821</v>
      </c>
      <c r="AS1255" s="119">
        <f>IF(tech_base!$T71&gt;AS$1185,"",AS1535+AS1815)</f>
        <v>15.530878351415613</v>
      </c>
      <c r="AT1255" s="119">
        <f>IF(tech_base!$T71&gt;AT$1185,"",AT1535+AT1815)</f>
        <v>15.512040568109891</v>
      </c>
      <c r="AU1255" s="119">
        <f>IF(tech_base!$T71&gt;AU$1185,"",AU1535+AU1815)</f>
        <v>15.488857146814068</v>
      </c>
      <c r="AV1255" s="119">
        <f>IF(tech_base!$T71&gt;AV$1185,"",AV1535+AV1815)</f>
        <v>15.460636197289698</v>
      </c>
      <c r="AW1255" s="119">
        <f>IF(tech_base!$T71&gt;AW$1185,"",AW1535+AW1815)</f>
        <v>15.426741115257135</v>
      </c>
      <c r="AX1255" s="120">
        <f>IF(tech_base!$T71&gt;AX$1185,"",AX1535+AX1815)</f>
        <v>15.386688073683102</v>
      </c>
    </row>
    <row r="1256" spans="1:50" x14ac:dyDescent="0.25">
      <c r="A1256" s="356"/>
      <c r="B1256" s="380"/>
      <c r="C1256" s="381"/>
      <c r="D1256" s="4" t="s">
        <v>8</v>
      </c>
      <c r="E1256" s="168" t="str">
        <f>A1231&amp;"/"&amp;B1247&amp;"/"&amp;C1255&amp;"/"&amp;D1256</f>
        <v>Lignite fired power plants/Fluidized bed combustion/CHP with CCS/M</v>
      </c>
      <c r="F1256" s="80" t="str">
        <f>A1231</f>
        <v>Lignite fired power plants</v>
      </c>
      <c r="G1256" s="80" t="str">
        <f>B1247</f>
        <v>Fluidized bed combustion</v>
      </c>
      <c r="H1256" s="80" t="str">
        <f>C1255</f>
        <v>CHP with CCS</v>
      </c>
      <c r="I1256" s="169" t="str">
        <f t="shared" si="373"/>
        <v>M</v>
      </c>
      <c r="J1256" s="127" t="str">
        <f>IF(tech_base!$T72&gt;J$1185,"",J1536+J1816)</f>
        <v/>
      </c>
      <c r="K1256" s="127" t="str">
        <f>IF(tech_base!$T72&gt;K$1185,"",K1536+K1816)</f>
        <v/>
      </c>
      <c r="L1256" s="127" t="str">
        <f>IF(tech_base!$T72&gt;L$1185,"",L1536+L1816)</f>
        <v/>
      </c>
      <c r="M1256" s="127" t="str">
        <f>IF(tech_base!$T72&gt;M$1185,"",M1536+M1816)</f>
        <v/>
      </c>
      <c r="N1256" s="127" t="str">
        <f>IF(tech_base!$T72&gt;N$1185,"",N1536+N1816)</f>
        <v/>
      </c>
      <c r="O1256" s="127" t="str">
        <f>IF(tech_base!$T72&gt;O$1185,"",O1536+O1816)</f>
        <v/>
      </c>
      <c r="P1256" s="127" t="str">
        <f>IF(tech_base!$T72&gt;P$1185,"",P1536+P1816)</f>
        <v/>
      </c>
      <c r="Q1256" s="127" t="str">
        <f>IF(tech_base!$T72&gt;Q$1185,"",Q1536+Q1816)</f>
        <v/>
      </c>
      <c r="R1256" s="127" t="str">
        <f>IF(tech_base!$T72&gt;R$1185,"",R1536+R1816)</f>
        <v/>
      </c>
      <c r="S1256" s="127" t="str">
        <f>IF(tech_base!$T72&gt;S$1185,"",S1536+S1816)</f>
        <v/>
      </c>
      <c r="T1256" s="127" t="str">
        <f>IF(tech_base!$T72&gt;T$1185,"",T1536+T1816)</f>
        <v/>
      </c>
      <c r="U1256" s="127" t="str">
        <f>IF(tech_base!$T72&gt;U$1185,"",U1536+U1816)</f>
        <v/>
      </c>
      <c r="V1256" s="127" t="str">
        <f>IF(tech_base!$T72&gt;V$1185,"",V1536+V1816)</f>
        <v/>
      </c>
      <c r="W1256" s="127" t="str">
        <f>IF(tech_base!$T72&gt;W$1185,"",W1536+W1816)</f>
        <v/>
      </c>
      <c r="X1256" s="127" t="str">
        <f>IF(tech_base!$T72&gt;X$1185,"",X1536+X1816)</f>
        <v/>
      </c>
      <c r="Y1256" s="127" t="str">
        <f>IF(tech_base!$T72&gt;Y$1185,"",Y1536+Y1816)</f>
        <v/>
      </c>
      <c r="Z1256" s="127" t="str">
        <f>IF(tech_base!$T72&gt;Z$1185,"",Z1536+Z1816)</f>
        <v/>
      </c>
      <c r="AA1256" s="127" t="str">
        <f>IF(tech_base!$T72&gt;AA$1185,"",AA1536+AA1816)</f>
        <v/>
      </c>
      <c r="AB1256" s="127" t="str">
        <f>IF(tech_base!$T72&gt;AB$1185,"",AB1536+AB1816)</f>
        <v/>
      </c>
      <c r="AC1256" s="127" t="str">
        <f>IF(tech_base!$T72&gt;AC$1185,"",AC1536+AC1816)</f>
        <v/>
      </c>
      <c r="AD1256" s="127" t="str">
        <f>IF(tech_base!$T72&gt;AD$1185,"",AD1536+AD1816)</f>
        <v/>
      </c>
      <c r="AE1256" s="127">
        <f>IF(tech_base!$T72&gt;AE$1185,"",AE1536+AE1816)</f>
        <v>16.765468664364278</v>
      </c>
      <c r="AF1256" s="127">
        <f>IF(tech_base!$T72&gt;AF$1185,"",AF1536+AF1816)</f>
        <v>16.764678665839384</v>
      </c>
      <c r="AG1256" s="127">
        <f>IF(tech_base!$T72&gt;AG$1185,"",AG1536+AG1816)</f>
        <v>16.763665663587258</v>
      </c>
      <c r="AH1256" s="127">
        <f>IF(tech_base!$T72&gt;AH$1185,"",AH1536+AH1816)</f>
        <v>16.762367206456364</v>
      </c>
      <c r="AI1256" s="127">
        <f>IF(tech_base!$T72&gt;AI$1185,"",AI1536+AI1816)</f>
        <v>16.760703675795401</v>
      </c>
      <c r="AJ1256" s="127">
        <f>IF(tech_base!$T72&gt;AJ$1185,"",AJ1536+AJ1816)</f>
        <v>16.758573773191053</v>
      </c>
      <c r="AK1256" s="127">
        <f>IF(tech_base!$T72&gt;AK$1185,"",AK1536+AK1816)</f>
        <v>16.755848955791478</v>
      </c>
      <c r="AL1256" s="127">
        <f>IF(tech_base!$T72&gt;AL$1185,"",AL1536+AL1816)</f>
        <v>16.752366661572612</v>
      </c>
      <c r="AM1256" s="127">
        <f>IF(tech_base!$T72&gt;AM$1185,"",AM1536+AM1816)</f>
        <v>16.747922205791138</v>
      </c>
      <c r="AN1256" s="127">
        <f>IF(tech_base!$T72&gt;AN$1185,"",AN1536+AN1816)</f>
        <v>16.742259325638887</v>
      </c>
      <c r="AO1256" s="127">
        <f>IF(tech_base!$T72&gt;AO$1185,"",AO1536+AO1816)</f>
        <v>16.735059540029681</v>
      </c>
      <c r="AP1256" s="127">
        <f>IF(tech_base!$T72&gt;AP$1185,"",AP1536+AP1816)</f>
        <v>16.725930828670297</v>
      </c>
      <c r="AQ1256" s="127">
        <f>IF(tech_base!$T72&gt;AQ$1185,"",AQ1536+AQ1816)</f>
        <v>16.714396688707978</v>
      </c>
      <c r="AR1256" s="127">
        <f>IF(tech_base!$T72&gt;AR$1185,"",AR1536+AR1816)</f>
        <v>16.699887477132673</v>
      </c>
      <c r="AS1256" s="127">
        <f>IF(tech_base!$T72&gt;AS$1185,"",AS1536+AS1816)</f>
        <v>16.681737156179995</v>
      </c>
      <c r="AT1256" s="127">
        <f>IF(tech_base!$T72&gt;AT$1185,"",AT1536+AT1816)</f>
        <v>16.659190118406649</v>
      </c>
      <c r="AU1256" s="127">
        <f>IF(tech_base!$T72&gt;AU$1185,"",AU1536+AU1816)</f>
        <v>16.631424490153719</v>
      </c>
      <c r="AV1256" s="127">
        <f>IF(tech_base!$T72&gt;AV$1185,"",AV1536+AV1816)</f>
        <v>16.597599666801983</v>
      </c>
      <c r="AW1256" s="127">
        <f>IF(tech_base!$T72&gt;AW$1185,"",AW1536+AW1816)</f>
        <v>16.556935765539542</v>
      </c>
      <c r="AX1256" s="128">
        <f>IF(tech_base!$T72&gt;AX$1185,"",AX1536+AX1816)</f>
        <v>16.508829547587904</v>
      </c>
    </row>
    <row r="1257" spans="1:50" x14ac:dyDescent="0.25">
      <c r="A1257" s="356"/>
      <c r="B1257" s="358" t="s">
        <v>19</v>
      </c>
      <c r="C1257" s="353" t="s">
        <v>6</v>
      </c>
      <c r="D1257" s="3" t="s">
        <v>7</v>
      </c>
      <c r="E1257" s="162" t="str">
        <f>A1231&amp;"/"&amp;B1257&amp;"/"&amp;C1257&amp;"/"&amp;D1257</f>
        <v>Lignite fired power plants/Steam turbine/Electricity only/L</v>
      </c>
      <c r="F1257" s="77" t="str">
        <f>A1231</f>
        <v>Lignite fired power plants</v>
      </c>
      <c r="G1257" s="77" t="str">
        <f>B1257</f>
        <v>Steam turbine</v>
      </c>
      <c r="H1257" s="77" t="str">
        <f>C1257</f>
        <v>Electricity only</v>
      </c>
      <c r="I1257" s="163" t="str">
        <f t="shared" si="373"/>
        <v>L</v>
      </c>
      <c r="J1257" s="121">
        <f>IF(tech_base!$T73&gt;J$1185,"",J1537+J1817)</f>
        <v>0</v>
      </c>
      <c r="K1257" s="121">
        <f>IF(tech_base!$T73&gt;K$1185,"",K1537+K1817)</f>
        <v>0</v>
      </c>
      <c r="L1257" s="121">
        <f>IF(tech_base!$T73&gt;L$1185,"",L1537+L1817)</f>
        <v>0</v>
      </c>
      <c r="M1257" s="121">
        <f>IF(tech_base!$T73&gt;M$1185,"",M1537+M1817)</f>
        <v>0</v>
      </c>
      <c r="N1257" s="121">
        <f>IF(tech_base!$T73&gt;N$1185,"",N1537+N1817)</f>
        <v>0</v>
      </c>
      <c r="O1257" s="121">
        <f>IF(tech_base!$T73&gt;O$1185,"",O1537+O1817)</f>
        <v>0</v>
      </c>
      <c r="P1257" s="121">
        <f>IF(tech_base!$T73&gt;P$1185,"",P1537+P1817)</f>
        <v>0</v>
      </c>
      <c r="Q1257" s="121">
        <f>IF(tech_base!$T73&gt;Q$1185,"",Q1537+Q1817)</f>
        <v>0</v>
      </c>
      <c r="R1257" s="121">
        <f>IF(tech_base!$T73&gt;R$1185,"",R1537+R1817)</f>
        <v>0</v>
      </c>
      <c r="S1257" s="121">
        <f>IF(tech_base!$T73&gt;S$1185,"",S1537+S1817)</f>
        <v>0</v>
      </c>
      <c r="T1257" s="121">
        <f>IF(tech_base!$T73&gt;T$1185,"",T1537+T1817)</f>
        <v>0</v>
      </c>
      <c r="U1257" s="121">
        <f>IF(tech_base!$T73&gt;U$1185,"",U1537+U1817)</f>
        <v>0</v>
      </c>
      <c r="V1257" s="121">
        <f>IF(tech_base!$T73&gt;V$1185,"",V1537+V1817)</f>
        <v>0</v>
      </c>
      <c r="W1257" s="121">
        <f>IF(tech_base!$T73&gt;W$1185,"",W1537+W1817)</f>
        <v>0</v>
      </c>
      <c r="X1257" s="121">
        <f>IF(tech_base!$T73&gt;X$1185,"",X1537+X1817)</f>
        <v>0</v>
      </c>
      <c r="Y1257" s="121">
        <f>IF(tech_base!$T73&gt;Y$1185,"",Y1537+Y1817)</f>
        <v>0</v>
      </c>
      <c r="Z1257" s="121">
        <f>IF(tech_base!$T73&gt;Z$1185,"",Z1537+Z1817)</f>
        <v>0</v>
      </c>
      <c r="AA1257" s="121">
        <f>IF(tech_base!$T73&gt;AA$1185,"",AA1537+AA1817)</f>
        <v>0</v>
      </c>
      <c r="AB1257" s="121">
        <f>IF(tech_base!$T73&gt;AB$1185,"",AB1537+AB1817)</f>
        <v>0</v>
      </c>
      <c r="AC1257" s="121">
        <f>IF(tech_base!$T73&gt;AC$1185,"",AC1537+AC1817)</f>
        <v>0</v>
      </c>
      <c r="AD1257" s="121">
        <f>IF(tech_base!$T73&gt;AD$1185,"",AD1537+AD1817)</f>
        <v>0</v>
      </c>
      <c r="AE1257" s="121">
        <f>IF(tech_base!$T73&gt;AE$1185,"",AE1537+AE1817)</f>
        <v>0</v>
      </c>
      <c r="AF1257" s="121">
        <f>IF(tech_base!$T73&gt;AF$1185,"",AF1537+AF1817)</f>
        <v>0</v>
      </c>
      <c r="AG1257" s="121">
        <f>IF(tech_base!$T73&gt;AG$1185,"",AG1537+AG1817)</f>
        <v>0</v>
      </c>
      <c r="AH1257" s="121">
        <f>IF(tech_base!$T73&gt;AH$1185,"",AH1537+AH1817)</f>
        <v>0</v>
      </c>
      <c r="AI1257" s="121">
        <f>IF(tech_base!$T73&gt;AI$1185,"",AI1537+AI1817)</f>
        <v>0</v>
      </c>
      <c r="AJ1257" s="121">
        <f>IF(tech_base!$T73&gt;AJ$1185,"",AJ1537+AJ1817)</f>
        <v>0</v>
      </c>
      <c r="AK1257" s="121">
        <f>IF(tech_base!$T73&gt;AK$1185,"",AK1537+AK1817)</f>
        <v>0</v>
      </c>
      <c r="AL1257" s="121">
        <f>IF(tech_base!$T73&gt;AL$1185,"",AL1537+AL1817)</f>
        <v>0</v>
      </c>
      <c r="AM1257" s="121">
        <f>IF(tech_base!$T73&gt;AM$1185,"",AM1537+AM1817)</f>
        <v>0</v>
      </c>
      <c r="AN1257" s="121">
        <f>IF(tech_base!$T73&gt;AN$1185,"",AN1537+AN1817)</f>
        <v>0</v>
      </c>
      <c r="AO1257" s="121">
        <f>IF(tech_base!$T73&gt;AO$1185,"",AO1537+AO1817)</f>
        <v>0</v>
      </c>
      <c r="AP1257" s="121">
        <f>IF(tech_base!$T73&gt;AP$1185,"",AP1537+AP1817)</f>
        <v>0</v>
      </c>
      <c r="AQ1257" s="121">
        <f>IF(tech_base!$T73&gt;AQ$1185,"",AQ1537+AQ1817)</f>
        <v>0</v>
      </c>
      <c r="AR1257" s="121">
        <f>IF(tech_base!$T73&gt;AR$1185,"",AR1537+AR1817)</f>
        <v>0</v>
      </c>
      <c r="AS1257" s="121">
        <f>IF(tech_base!$T73&gt;AS$1185,"",AS1537+AS1817)</f>
        <v>0</v>
      </c>
      <c r="AT1257" s="121">
        <f>IF(tech_base!$T73&gt;AT$1185,"",AT1537+AT1817)</f>
        <v>0</v>
      </c>
      <c r="AU1257" s="121">
        <f>IF(tech_base!$T73&gt;AU$1185,"",AU1537+AU1817)</f>
        <v>0</v>
      </c>
      <c r="AV1257" s="121">
        <f>IF(tech_base!$T73&gt;AV$1185,"",AV1537+AV1817)</f>
        <v>0</v>
      </c>
      <c r="AW1257" s="121">
        <f>IF(tech_base!$T73&gt;AW$1185,"",AW1537+AW1817)</f>
        <v>0</v>
      </c>
      <c r="AX1257" s="122">
        <f>IF(tech_base!$T73&gt;AX$1185,"",AX1537+AX1817)</f>
        <v>0</v>
      </c>
    </row>
    <row r="1258" spans="1:50" x14ac:dyDescent="0.25">
      <c r="A1258" s="356"/>
      <c r="B1258" s="376"/>
      <c r="C1258" s="378"/>
      <c r="D1258" s="2" t="s">
        <v>8</v>
      </c>
      <c r="E1258" s="160" t="str">
        <f>A1231&amp;"/"&amp;B1257&amp;"/"&amp;C1257&amp;"/"&amp;D1258</f>
        <v>Lignite fired power plants/Steam turbine/Electricity only/M</v>
      </c>
      <c r="F1258" s="76" t="str">
        <f>A1231</f>
        <v>Lignite fired power plants</v>
      </c>
      <c r="G1258" s="76" t="str">
        <f>B1257</f>
        <v>Steam turbine</v>
      </c>
      <c r="H1258" s="76" t="str">
        <f>C1257</f>
        <v>Electricity only</v>
      </c>
      <c r="I1258" s="161" t="str">
        <f t="shared" si="373"/>
        <v>M</v>
      </c>
      <c r="J1258" s="119">
        <f>IF(tech_base!$T74&gt;J$1185,"",J1538+J1818)</f>
        <v>0</v>
      </c>
      <c r="K1258" s="119">
        <f>IF(tech_base!$T74&gt;K$1185,"",K1538+K1818)</f>
        <v>0</v>
      </c>
      <c r="L1258" s="119">
        <f>IF(tech_base!$T74&gt;L$1185,"",L1538+L1818)</f>
        <v>0</v>
      </c>
      <c r="M1258" s="119">
        <f>IF(tech_base!$T74&gt;M$1185,"",M1538+M1818)</f>
        <v>0</v>
      </c>
      <c r="N1258" s="119">
        <f>IF(tech_base!$T74&gt;N$1185,"",N1538+N1818)</f>
        <v>0</v>
      </c>
      <c r="O1258" s="119">
        <f>IF(tech_base!$T74&gt;O$1185,"",O1538+O1818)</f>
        <v>0</v>
      </c>
      <c r="P1258" s="119">
        <f>IF(tech_base!$T74&gt;P$1185,"",P1538+P1818)</f>
        <v>0</v>
      </c>
      <c r="Q1258" s="119">
        <f>IF(tech_base!$T74&gt;Q$1185,"",Q1538+Q1818)</f>
        <v>0</v>
      </c>
      <c r="R1258" s="119">
        <f>IF(tech_base!$T74&gt;R$1185,"",R1538+R1818)</f>
        <v>0</v>
      </c>
      <c r="S1258" s="119">
        <f>IF(tech_base!$T74&gt;S$1185,"",S1538+S1818)</f>
        <v>0</v>
      </c>
      <c r="T1258" s="119">
        <f>IF(tech_base!$T74&gt;T$1185,"",T1538+T1818)</f>
        <v>0</v>
      </c>
      <c r="U1258" s="119">
        <f>IF(tech_base!$T74&gt;U$1185,"",U1538+U1818)</f>
        <v>0</v>
      </c>
      <c r="V1258" s="119">
        <f>IF(tech_base!$T74&gt;V$1185,"",V1538+V1818)</f>
        <v>0</v>
      </c>
      <c r="W1258" s="119">
        <f>IF(tech_base!$T74&gt;W$1185,"",W1538+W1818)</f>
        <v>0</v>
      </c>
      <c r="X1258" s="119">
        <f>IF(tech_base!$T74&gt;X$1185,"",X1538+X1818)</f>
        <v>0</v>
      </c>
      <c r="Y1258" s="119">
        <f>IF(tech_base!$T74&gt;Y$1185,"",Y1538+Y1818)</f>
        <v>0</v>
      </c>
      <c r="Z1258" s="119">
        <f>IF(tech_base!$T74&gt;Z$1185,"",Z1538+Z1818)</f>
        <v>0</v>
      </c>
      <c r="AA1258" s="119">
        <f>IF(tech_base!$T74&gt;AA$1185,"",AA1538+AA1818)</f>
        <v>0</v>
      </c>
      <c r="AB1258" s="119">
        <f>IF(tech_base!$T74&gt;AB$1185,"",AB1538+AB1818)</f>
        <v>0</v>
      </c>
      <c r="AC1258" s="119">
        <f>IF(tech_base!$T74&gt;AC$1185,"",AC1538+AC1818)</f>
        <v>0</v>
      </c>
      <c r="AD1258" s="119">
        <f>IF(tech_base!$T74&gt;AD$1185,"",AD1538+AD1818)</f>
        <v>0</v>
      </c>
      <c r="AE1258" s="119">
        <f>IF(tech_base!$T74&gt;AE$1185,"",AE1538+AE1818)</f>
        <v>0</v>
      </c>
      <c r="AF1258" s="119">
        <f>IF(tech_base!$T74&gt;AF$1185,"",AF1538+AF1818)</f>
        <v>0</v>
      </c>
      <c r="AG1258" s="119">
        <f>IF(tech_base!$T74&gt;AG$1185,"",AG1538+AG1818)</f>
        <v>0</v>
      </c>
      <c r="AH1258" s="119">
        <f>IF(tech_base!$T74&gt;AH$1185,"",AH1538+AH1818)</f>
        <v>0</v>
      </c>
      <c r="AI1258" s="119">
        <f>IF(tech_base!$T74&gt;AI$1185,"",AI1538+AI1818)</f>
        <v>0</v>
      </c>
      <c r="AJ1258" s="119">
        <f>IF(tech_base!$T74&gt;AJ$1185,"",AJ1538+AJ1818)</f>
        <v>0</v>
      </c>
      <c r="AK1258" s="119">
        <f>IF(tech_base!$T74&gt;AK$1185,"",AK1538+AK1818)</f>
        <v>0</v>
      </c>
      <c r="AL1258" s="119">
        <f>IF(tech_base!$T74&gt;AL$1185,"",AL1538+AL1818)</f>
        <v>0</v>
      </c>
      <c r="AM1258" s="119">
        <f>IF(tech_base!$T74&gt;AM$1185,"",AM1538+AM1818)</f>
        <v>0</v>
      </c>
      <c r="AN1258" s="119">
        <f>IF(tech_base!$T74&gt;AN$1185,"",AN1538+AN1818)</f>
        <v>0</v>
      </c>
      <c r="AO1258" s="119">
        <f>IF(tech_base!$T74&gt;AO$1185,"",AO1538+AO1818)</f>
        <v>0</v>
      </c>
      <c r="AP1258" s="119">
        <f>IF(tech_base!$T74&gt;AP$1185,"",AP1538+AP1818)</f>
        <v>0</v>
      </c>
      <c r="AQ1258" s="119">
        <f>IF(tech_base!$T74&gt;AQ$1185,"",AQ1538+AQ1818)</f>
        <v>0</v>
      </c>
      <c r="AR1258" s="119">
        <f>IF(tech_base!$T74&gt;AR$1185,"",AR1538+AR1818)</f>
        <v>0</v>
      </c>
      <c r="AS1258" s="119">
        <f>IF(tech_base!$T74&gt;AS$1185,"",AS1538+AS1818)</f>
        <v>0</v>
      </c>
      <c r="AT1258" s="119">
        <f>IF(tech_base!$T74&gt;AT$1185,"",AT1538+AT1818)</f>
        <v>0</v>
      </c>
      <c r="AU1258" s="119">
        <f>IF(tech_base!$T74&gt;AU$1185,"",AU1538+AU1818)</f>
        <v>0</v>
      </c>
      <c r="AV1258" s="119">
        <f>IF(tech_base!$T74&gt;AV$1185,"",AV1538+AV1818)</f>
        <v>0</v>
      </c>
      <c r="AW1258" s="119">
        <f>IF(tech_base!$T74&gt;AW$1185,"",AW1538+AW1818)</f>
        <v>0</v>
      </c>
      <c r="AX1258" s="120">
        <f>IF(tech_base!$T74&gt;AX$1185,"",AX1538+AX1818)</f>
        <v>0</v>
      </c>
    </row>
    <row r="1259" spans="1:50" x14ac:dyDescent="0.25">
      <c r="A1259" s="356"/>
      <c r="B1259" s="376"/>
      <c r="C1259" s="378"/>
      <c r="D1259" s="2" t="s">
        <v>10</v>
      </c>
      <c r="E1259" s="160" t="str">
        <f>A1231&amp;"/"&amp;B1257&amp;"/"&amp;C1257&amp;"/"&amp;D1259</f>
        <v>Lignite fired power plants/Steam turbine/Electricity only/S</v>
      </c>
      <c r="F1259" s="76" t="str">
        <f>A1231</f>
        <v>Lignite fired power plants</v>
      </c>
      <c r="G1259" s="76" t="str">
        <f>B1257</f>
        <v>Steam turbine</v>
      </c>
      <c r="H1259" s="76" t="str">
        <f>C1257</f>
        <v>Electricity only</v>
      </c>
      <c r="I1259" s="161" t="str">
        <f t="shared" si="373"/>
        <v>S</v>
      </c>
      <c r="J1259" s="119">
        <f>IF(tech_base!$T75&gt;J$1185,"",J1539+J1819)</f>
        <v>0</v>
      </c>
      <c r="K1259" s="119">
        <f>IF(tech_base!$T75&gt;K$1185,"",K1539+K1819)</f>
        <v>0</v>
      </c>
      <c r="L1259" s="119">
        <f>IF(tech_base!$T75&gt;L$1185,"",L1539+L1819)</f>
        <v>0</v>
      </c>
      <c r="M1259" s="119">
        <f>IF(tech_base!$T75&gt;M$1185,"",M1539+M1819)</f>
        <v>0</v>
      </c>
      <c r="N1259" s="119">
        <f>IF(tech_base!$T75&gt;N$1185,"",N1539+N1819)</f>
        <v>0</v>
      </c>
      <c r="O1259" s="119">
        <f>IF(tech_base!$T75&gt;O$1185,"",O1539+O1819)</f>
        <v>0</v>
      </c>
      <c r="P1259" s="119">
        <f>IF(tech_base!$T75&gt;P$1185,"",P1539+P1819)</f>
        <v>0</v>
      </c>
      <c r="Q1259" s="119">
        <f>IF(tech_base!$T75&gt;Q$1185,"",Q1539+Q1819)</f>
        <v>0</v>
      </c>
      <c r="R1259" s="119">
        <f>IF(tech_base!$T75&gt;R$1185,"",R1539+R1819)</f>
        <v>0</v>
      </c>
      <c r="S1259" s="119">
        <f>IF(tech_base!$T75&gt;S$1185,"",S1539+S1819)</f>
        <v>0</v>
      </c>
      <c r="T1259" s="119">
        <f>IF(tech_base!$T75&gt;T$1185,"",T1539+T1819)</f>
        <v>0</v>
      </c>
      <c r="U1259" s="119">
        <f>IF(tech_base!$T75&gt;U$1185,"",U1539+U1819)</f>
        <v>0</v>
      </c>
      <c r="V1259" s="119">
        <f>IF(tech_base!$T75&gt;V$1185,"",V1539+V1819)</f>
        <v>0</v>
      </c>
      <c r="W1259" s="119">
        <f>IF(tech_base!$T75&gt;W$1185,"",W1539+W1819)</f>
        <v>0</v>
      </c>
      <c r="X1259" s="119">
        <f>IF(tech_base!$T75&gt;X$1185,"",X1539+X1819)</f>
        <v>0</v>
      </c>
      <c r="Y1259" s="119">
        <f>IF(tech_base!$T75&gt;Y$1185,"",Y1539+Y1819)</f>
        <v>0</v>
      </c>
      <c r="Z1259" s="119">
        <f>IF(tech_base!$T75&gt;Z$1185,"",Z1539+Z1819)</f>
        <v>0</v>
      </c>
      <c r="AA1259" s="119">
        <f>IF(tech_base!$T75&gt;AA$1185,"",AA1539+AA1819)</f>
        <v>0</v>
      </c>
      <c r="AB1259" s="119">
        <f>IF(tech_base!$T75&gt;AB$1185,"",AB1539+AB1819)</f>
        <v>0</v>
      </c>
      <c r="AC1259" s="119">
        <f>IF(tech_base!$T75&gt;AC$1185,"",AC1539+AC1819)</f>
        <v>0</v>
      </c>
      <c r="AD1259" s="119">
        <f>IF(tech_base!$T75&gt;AD$1185,"",AD1539+AD1819)</f>
        <v>0</v>
      </c>
      <c r="AE1259" s="119">
        <f>IF(tech_base!$T75&gt;AE$1185,"",AE1539+AE1819)</f>
        <v>0</v>
      </c>
      <c r="AF1259" s="119">
        <f>IF(tech_base!$T75&gt;AF$1185,"",AF1539+AF1819)</f>
        <v>0</v>
      </c>
      <c r="AG1259" s="119">
        <f>IF(tech_base!$T75&gt;AG$1185,"",AG1539+AG1819)</f>
        <v>0</v>
      </c>
      <c r="AH1259" s="119">
        <f>IF(tech_base!$T75&gt;AH$1185,"",AH1539+AH1819)</f>
        <v>0</v>
      </c>
      <c r="AI1259" s="119">
        <f>IF(tech_base!$T75&gt;AI$1185,"",AI1539+AI1819)</f>
        <v>0</v>
      </c>
      <c r="AJ1259" s="119">
        <f>IF(tech_base!$T75&gt;AJ$1185,"",AJ1539+AJ1819)</f>
        <v>0</v>
      </c>
      <c r="AK1259" s="119">
        <f>IF(tech_base!$T75&gt;AK$1185,"",AK1539+AK1819)</f>
        <v>0</v>
      </c>
      <c r="AL1259" s="119">
        <f>IF(tech_base!$T75&gt;AL$1185,"",AL1539+AL1819)</f>
        <v>0</v>
      </c>
      <c r="AM1259" s="119">
        <f>IF(tech_base!$T75&gt;AM$1185,"",AM1539+AM1819)</f>
        <v>0</v>
      </c>
      <c r="AN1259" s="119">
        <f>IF(tech_base!$T75&gt;AN$1185,"",AN1539+AN1819)</f>
        <v>0</v>
      </c>
      <c r="AO1259" s="119">
        <f>IF(tech_base!$T75&gt;AO$1185,"",AO1539+AO1819)</f>
        <v>0</v>
      </c>
      <c r="AP1259" s="119">
        <f>IF(tech_base!$T75&gt;AP$1185,"",AP1539+AP1819)</f>
        <v>0</v>
      </c>
      <c r="AQ1259" s="119">
        <f>IF(tech_base!$T75&gt;AQ$1185,"",AQ1539+AQ1819)</f>
        <v>0</v>
      </c>
      <c r="AR1259" s="119">
        <f>IF(tech_base!$T75&gt;AR$1185,"",AR1539+AR1819)</f>
        <v>0</v>
      </c>
      <c r="AS1259" s="119">
        <f>IF(tech_base!$T75&gt;AS$1185,"",AS1539+AS1819)</f>
        <v>0</v>
      </c>
      <c r="AT1259" s="119">
        <f>IF(tech_base!$T75&gt;AT$1185,"",AT1539+AT1819)</f>
        <v>0</v>
      </c>
      <c r="AU1259" s="119">
        <f>IF(tech_base!$T75&gt;AU$1185,"",AU1539+AU1819)</f>
        <v>0</v>
      </c>
      <c r="AV1259" s="119">
        <f>IF(tech_base!$T75&gt;AV$1185,"",AV1539+AV1819)</f>
        <v>0</v>
      </c>
      <c r="AW1259" s="119">
        <f>IF(tech_base!$T75&gt;AW$1185,"",AW1539+AW1819)</f>
        <v>0</v>
      </c>
      <c r="AX1259" s="120">
        <f>IF(tech_base!$T75&gt;AX$1185,"",AX1539+AX1819)</f>
        <v>0</v>
      </c>
    </row>
    <row r="1260" spans="1:50" x14ac:dyDescent="0.25">
      <c r="A1260" s="356"/>
      <c r="B1260" s="376"/>
      <c r="C1260" s="379"/>
      <c r="D1260" s="2" t="s">
        <v>20</v>
      </c>
      <c r="E1260" s="160" t="str">
        <f>A1231&amp;"/"&amp;B1257&amp;"/"&amp;C1257&amp;"/"&amp;D1260</f>
        <v>Lignite fired power plants/Steam turbine/Electricity only/XS</v>
      </c>
      <c r="F1260" s="76" t="str">
        <f>A1231</f>
        <v>Lignite fired power plants</v>
      </c>
      <c r="G1260" s="76" t="str">
        <f>B1257</f>
        <v>Steam turbine</v>
      </c>
      <c r="H1260" s="76" t="str">
        <f>C1257</f>
        <v>Electricity only</v>
      </c>
      <c r="I1260" s="161" t="str">
        <f t="shared" si="373"/>
        <v>XS</v>
      </c>
      <c r="J1260" s="119">
        <f>IF(tech_base!$T76&gt;J$1185,"",J1540+J1820)</f>
        <v>0</v>
      </c>
      <c r="K1260" s="119">
        <f>IF(tech_base!$T76&gt;K$1185,"",K1540+K1820)</f>
        <v>0</v>
      </c>
      <c r="L1260" s="119">
        <f>IF(tech_base!$T76&gt;L$1185,"",L1540+L1820)</f>
        <v>0</v>
      </c>
      <c r="M1260" s="119">
        <f>IF(tech_base!$T76&gt;M$1185,"",M1540+M1820)</f>
        <v>0</v>
      </c>
      <c r="N1260" s="119">
        <f>IF(tech_base!$T76&gt;N$1185,"",N1540+N1820)</f>
        <v>0</v>
      </c>
      <c r="O1260" s="119">
        <f>IF(tech_base!$T76&gt;O$1185,"",O1540+O1820)</f>
        <v>0</v>
      </c>
      <c r="P1260" s="119">
        <f>IF(tech_base!$T76&gt;P$1185,"",P1540+P1820)</f>
        <v>0</v>
      </c>
      <c r="Q1260" s="119">
        <f>IF(tech_base!$T76&gt;Q$1185,"",Q1540+Q1820)</f>
        <v>0</v>
      </c>
      <c r="R1260" s="119">
        <f>IF(tech_base!$T76&gt;R$1185,"",R1540+R1820)</f>
        <v>0</v>
      </c>
      <c r="S1260" s="119">
        <f>IF(tech_base!$T76&gt;S$1185,"",S1540+S1820)</f>
        <v>0</v>
      </c>
      <c r="T1260" s="119">
        <f>IF(tech_base!$T76&gt;T$1185,"",T1540+T1820)</f>
        <v>0</v>
      </c>
      <c r="U1260" s="119">
        <f>IF(tech_base!$T76&gt;U$1185,"",U1540+U1820)</f>
        <v>0</v>
      </c>
      <c r="V1260" s="119">
        <f>IF(tech_base!$T76&gt;V$1185,"",V1540+V1820)</f>
        <v>0</v>
      </c>
      <c r="W1260" s="119">
        <f>IF(tech_base!$T76&gt;W$1185,"",W1540+W1820)</f>
        <v>0</v>
      </c>
      <c r="X1260" s="119">
        <f>IF(tech_base!$T76&gt;X$1185,"",X1540+X1820)</f>
        <v>0</v>
      </c>
      <c r="Y1260" s="119">
        <f>IF(tech_base!$T76&gt;Y$1185,"",Y1540+Y1820)</f>
        <v>0</v>
      </c>
      <c r="Z1260" s="119">
        <f>IF(tech_base!$T76&gt;Z$1185,"",Z1540+Z1820)</f>
        <v>0</v>
      </c>
      <c r="AA1260" s="119">
        <f>IF(tech_base!$T76&gt;AA$1185,"",AA1540+AA1820)</f>
        <v>0</v>
      </c>
      <c r="AB1260" s="119">
        <f>IF(tech_base!$T76&gt;AB$1185,"",AB1540+AB1820)</f>
        <v>0</v>
      </c>
      <c r="AC1260" s="119">
        <f>IF(tech_base!$T76&gt;AC$1185,"",AC1540+AC1820)</f>
        <v>0</v>
      </c>
      <c r="AD1260" s="119">
        <f>IF(tech_base!$T76&gt;AD$1185,"",AD1540+AD1820)</f>
        <v>0</v>
      </c>
      <c r="AE1260" s="119">
        <f>IF(tech_base!$T76&gt;AE$1185,"",AE1540+AE1820)</f>
        <v>0</v>
      </c>
      <c r="AF1260" s="119">
        <f>IF(tech_base!$T76&gt;AF$1185,"",AF1540+AF1820)</f>
        <v>0</v>
      </c>
      <c r="AG1260" s="119">
        <f>IF(tech_base!$T76&gt;AG$1185,"",AG1540+AG1820)</f>
        <v>0</v>
      </c>
      <c r="AH1260" s="119">
        <f>IF(tech_base!$T76&gt;AH$1185,"",AH1540+AH1820)</f>
        <v>0</v>
      </c>
      <c r="AI1260" s="119">
        <f>IF(tech_base!$T76&gt;AI$1185,"",AI1540+AI1820)</f>
        <v>0</v>
      </c>
      <c r="AJ1260" s="119">
        <f>IF(tech_base!$T76&gt;AJ$1185,"",AJ1540+AJ1820)</f>
        <v>0</v>
      </c>
      <c r="AK1260" s="119">
        <f>IF(tech_base!$T76&gt;AK$1185,"",AK1540+AK1820)</f>
        <v>0</v>
      </c>
      <c r="AL1260" s="119">
        <f>IF(tech_base!$T76&gt;AL$1185,"",AL1540+AL1820)</f>
        <v>0</v>
      </c>
      <c r="AM1260" s="119">
        <f>IF(tech_base!$T76&gt;AM$1185,"",AM1540+AM1820)</f>
        <v>0</v>
      </c>
      <c r="AN1260" s="119">
        <f>IF(tech_base!$T76&gt;AN$1185,"",AN1540+AN1820)</f>
        <v>0</v>
      </c>
      <c r="AO1260" s="119">
        <f>IF(tech_base!$T76&gt;AO$1185,"",AO1540+AO1820)</f>
        <v>0</v>
      </c>
      <c r="AP1260" s="119">
        <f>IF(tech_base!$T76&gt;AP$1185,"",AP1540+AP1820)</f>
        <v>0</v>
      </c>
      <c r="AQ1260" s="119">
        <f>IF(tech_base!$T76&gt;AQ$1185,"",AQ1540+AQ1820)</f>
        <v>0</v>
      </c>
      <c r="AR1260" s="119">
        <f>IF(tech_base!$T76&gt;AR$1185,"",AR1540+AR1820)</f>
        <v>0</v>
      </c>
      <c r="AS1260" s="119">
        <f>IF(tech_base!$T76&gt;AS$1185,"",AS1540+AS1820)</f>
        <v>0</v>
      </c>
      <c r="AT1260" s="119">
        <f>IF(tech_base!$T76&gt;AT$1185,"",AT1540+AT1820)</f>
        <v>0</v>
      </c>
      <c r="AU1260" s="119">
        <f>IF(tech_base!$T76&gt;AU$1185,"",AU1540+AU1820)</f>
        <v>0</v>
      </c>
      <c r="AV1260" s="119">
        <f>IF(tech_base!$T76&gt;AV$1185,"",AV1540+AV1820)</f>
        <v>0</v>
      </c>
      <c r="AW1260" s="119">
        <f>IF(tech_base!$T76&gt;AW$1185,"",AW1540+AW1820)</f>
        <v>0</v>
      </c>
      <c r="AX1260" s="120">
        <f>IF(tech_base!$T76&gt;AX$1185,"",AX1540+AX1820)</f>
        <v>0</v>
      </c>
    </row>
    <row r="1261" spans="1:50" x14ac:dyDescent="0.25">
      <c r="A1261" s="356"/>
      <c r="B1261" s="376"/>
      <c r="C1261" s="361" t="s">
        <v>14</v>
      </c>
      <c r="D1261" s="58" t="s">
        <v>7</v>
      </c>
      <c r="E1261" s="164" t="str">
        <f>A1231&amp;"/"&amp;B1257&amp;"/"&amp;C1261&amp;"/"&amp;D1261</f>
        <v>Lignite fired power plants/Steam turbine/CHP/L</v>
      </c>
      <c r="F1261" s="78" t="str">
        <f>A1231</f>
        <v>Lignite fired power plants</v>
      </c>
      <c r="G1261" s="78" t="str">
        <f>B1257</f>
        <v>Steam turbine</v>
      </c>
      <c r="H1261" s="78" t="str">
        <f>C1261</f>
        <v>CHP</v>
      </c>
      <c r="I1261" s="165" t="str">
        <f t="shared" si="373"/>
        <v>L</v>
      </c>
      <c r="J1261" s="123">
        <f>IF(tech_base!$T77&gt;J$1185,"",J1541+J1821)</f>
        <v>0</v>
      </c>
      <c r="K1261" s="123">
        <f>IF(tech_base!$T77&gt;K$1185,"",K1541+K1821)</f>
        <v>0</v>
      </c>
      <c r="L1261" s="123">
        <f>IF(tech_base!$T77&gt;L$1185,"",L1541+L1821)</f>
        <v>0</v>
      </c>
      <c r="M1261" s="123">
        <f>IF(tech_base!$T77&gt;M$1185,"",M1541+M1821)</f>
        <v>0</v>
      </c>
      <c r="N1261" s="123">
        <f>IF(tech_base!$T77&gt;N$1185,"",N1541+N1821)</f>
        <v>0</v>
      </c>
      <c r="O1261" s="123">
        <f>IF(tech_base!$T77&gt;O$1185,"",O1541+O1821)</f>
        <v>0</v>
      </c>
      <c r="P1261" s="123">
        <f>IF(tech_base!$T77&gt;P$1185,"",P1541+P1821)</f>
        <v>0</v>
      </c>
      <c r="Q1261" s="123">
        <f>IF(tech_base!$T77&gt;Q$1185,"",Q1541+Q1821)</f>
        <v>0</v>
      </c>
      <c r="R1261" s="123">
        <f>IF(tech_base!$T77&gt;R$1185,"",R1541+R1821)</f>
        <v>0</v>
      </c>
      <c r="S1261" s="123">
        <f>IF(tech_base!$T77&gt;S$1185,"",S1541+S1821)</f>
        <v>0</v>
      </c>
      <c r="T1261" s="123">
        <f>IF(tech_base!$T77&gt;T$1185,"",T1541+T1821)</f>
        <v>0</v>
      </c>
      <c r="U1261" s="123">
        <f>IF(tech_base!$T77&gt;U$1185,"",U1541+U1821)</f>
        <v>0</v>
      </c>
      <c r="V1261" s="123">
        <f>IF(tech_base!$T77&gt;V$1185,"",V1541+V1821)</f>
        <v>0</v>
      </c>
      <c r="W1261" s="123">
        <f>IF(tech_base!$T77&gt;W$1185,"",W1541+W1821)</f>
        <v>0</v>
      </c>
      <c r="X1261" s="123">
        <f>IF(tech_base!$T77&gt;X$1185,"",X1541+X1821)</f>
        <v>0</v>
      </c>
      <c r="Y1261" s="123">
        <f>IF(tech_base!$T77&gt;Y$1185,"",Y1541+Y1821)</f>
        <v>0</v>
      </c>
      <c r="Z1261" s="123">
        <f>IF(tech_base!$T77&gt;Z$1185,"",Z1541+Z1821)</f>
        <v>0</v>
      </c>
      <c r="AA1261" s="123">
        <f>IF(tech_base!$T77&gt;AA$1185,"",AA1541+AA1821)</f>
        <v>0</v>
      </c>
      <c r="AB1261" s="123">
        <f>IF(tech_base!$T77&gt;AB$1185,"",AB1541+AB1821)</f>
        <v>0</v>
      </c>
      <c r="AC1261" s="123">
        <f>IF(tech_base!$T77&gt;AC$1185,"",AC1541+AC1821)</f>
        <v>0</v>
      </c>
      <c r="AD1261" s="123">
        <f>IF(tech_base!$T77&gt;AD$1185,"",AD1541+AD1821)</f>
        <v>0</v>
      </c>
      <c r="AE1261" s="123">
        <f>IF(tech_base!$T77&gt;AE$1185,"",AE1541+AE1821)</f>
        <v>0</v>
      </c>
      <c r="AF1261" s="123">
        <f>IF(tech_base!$T77&gt;AF$1185,"",AF1541+AF1821)</f>
        <v>0</v>
      </c>
      <c r="AG1261" s="123">
        <f>IF(tech_base!$T77&gt;AG$1185,"",AG1541+AG1821)</f>
        <v>0</v>
      </c>
      <c r="AH1261" s="123">
        <f>IF(tech_base!$T77&gt;AH$1185,"",AH1541+AH1821)</f>
        <v>0</v>
      </c>
      <c r="AI1261" s="123">
        <f>IF(tech_base!$T77&gt;AI$1185,"",AI1541+AI1821)</f>
        <v>0</v>
      </c>
      <c r="AJ1261" s="123">
        <f>IF(tech_base!$T77&gt;AJ$1185,"",AJ1541+AJ1821)</f>
        <v>0</v>
      </c>
      <c r="AK1261" s="123">
        <f>IF(tech_base!$T77&gt;AK$1185,"",AK1541+AK1821)</f>
        <v>0</v>
      </c>
      <c r="AL1261" s="123">
        <f>IF(tech_base!$T77&gt;AL$1185,"",AL1541+AL1821)</f>
        <v>0</v>
      </c>
      <c r="AM1261" s="123">
        <f>IF(tech_base!$T77&gt;AM$1185,"",AM1541+AM1821)</f>
        <v>0</v>
      </c>
      <c r="AN1261" s="123">
        <f>IF(tech_base!$T77&gt;AN$1185,"",AN1541+AN1821)</f>
        <v>0</v>
      </c>
      <c r="AO1261" s="123">
        <f>IF(tech_base!$T77&gt;AO$1185,"",AO1541+AO1821)</f>
        <v>0</v>
      </c>
      <c r="AP1261" s="123">
        <f>IF(tech_base!$T77&gt;AP$1185,"",AP1541+AP1821)</f>
        <v>0</v>
      </c>
      <c r="AQ1261" s="123">
        <f>IF(tech_base!$T77&gt;AQ$1185,"",AQ1541+AQ1821)</f>
        <v>0</v>
      </c>
      <c r="AR1261" s="123">
        <f>IF(tech_base!$T77&gt;AR$1185,"",AR1541+AR1821)</f>
        <v>0</v>
      </c>
      <c r="AS1261" s="123">
        <f>IF(tech_base!$T77&gt;AS$1185,"",AS1541+AS1821)</f>
        <v>0</v>
      </c>
      <c r="AT1261" s="123">
        <f>IF(tech_base!$T77&gt;AT$1185,"",AT1541+AT1821)</f>
        <v>0</v>
      </c>
      <c r="AU1261" s="123">
        <f>IF(tech_base!$T77&gt;AU$1185,"",AU1541+AU1821)</f>
        <v>0</v>
      </c>
      <c r="AV1261" s="123">
        <f>IF(tech_base!$T77&gt;AV$1185,"",AV1541+AV1821)</f>
        <v>0</v>
      </c>
      <c r="AW1261" s="123">
        <f>IF(tech_base!$T77&gt;AW$1185,"",AW1541+AW1821)</f>
        <v>0</v>
      </c>
      <c r="AX1261" s="124">
        <f>IF(tech_base!$T77&gt;AX$1185,"",AX1541+AX1821)</f>
        <v>0</v>
      </c>
    </row>
    <row r="1262" spans="1:50" x14ac:dyDescent="0.25">
      <c r="A1262" s="356"/>
      <c r="B1262" s="376"/>
      <c r="C1262" s="378"/>
      <c r="D1262" s="2" t="s">
        <v>8</v>
      </c>
      <c r="E1262" s="160" t="str">
        <f>A1231&amp;"/"&amp;B1257&amp;"/"&amp;C1261&amp;"/"&amp;D1262</f>
        <v>Lignite fired power plants/Steam turbine/CHP/M</v>
      </c>
      <c r="F1262" s="76" t="str">
        <f>A1231</f>
        <v>Lignite fired power plants</v>
      </c>
      <c r="G1262" s="76" t="str">
        <f>B1257</f>
        <v>Steam turbine</v>
      </c>
      <c r="H1262" s="76" t="str">
        <f>C1261</f>
        <v>CHP</v>
      </c>
      <c r="I1262" s="161" t="str">
        <f t="shared" si="373"/>
        <v>M</v>
      </c>
      <c r="J1262" s="119">
        <f>IF(tech_base!$T78&gt;J$1185,"",J1542+J1822)</f>
        <v>0</v>
      </c>
      <c r="K1262" s="119">
        <f>IF(tech_base!$T78&gt;K$1185,"",K1542+K1822)</f>
        <v>0</v>
      </c>
      <c r="L1262" s="119">
        <f>IF(tech_base!$T78&gt;L$1185,"",L1542+L1822)</f>
        <v>0</v>
      </c>
      <c r="M1262" s="119">
        <f>IF(tech_base!$T78&gt;M$1185,"",M1542+M1822)</f>
        <v>0</v>
      </c>
      <c r="N1262" s="119">
        <f>IF(tech_base!$T78&gt;N$1185,"",N1542+N1822)</f>
        <v>0</v>
      </c>
      <c r="O1262" s="119">
        <f>IF(tech_base!$T78&gt;O$1185,"",O1542+O1822)</f>
        <v>0</v>
      </c>
      <c r="P1262" s="119">
        <f>IF(tech_base!$T78&gt;P$1185,"",P1542+P1822)</f>
        <v>0</v>
      </c>
      <c r="Q1262" s="119">
        <f>IF(tech_base!$T78&gt;Q$1185,"",Q1542+Q1822)</f>
        <v>0</v>
      </c>
      <c r="R1262" s="119">
        <f>IF(tech_base!$T78&gt;R$1185,"",R1542+R1822)</f>
        <v>0</v>
      </c>
      <c r="S1262" s="119">
        <f>IF(tech_base!$T78&gt;S$1185,"",S1542+S1822)</f>
        <v>0</v>
      </c>
      <c r="T1262" s="119">
        <f>IF(tech_base!$T78&gt;T$1185,"",T1542+T1822)</f>
        <v>0</v>
      </c>
      <c r="U1262" s="119">
        <f>IF(tech_base!$T78&gt;U$1185,"",U1542+U1822)</f>
        <v>0</v>
      </c>
      <c r="V1262" s="119">
        <f>IF(tech_base!$T78&gt;V$1185,"",V1542+V1822)</f>
        <v>0</v>
      </c>
      <c r="W1262" s="119">
        <f>IF(tech_base!$T78&gt;W$1185,"",W1542+W1822)</f>
        <v>0</v>
      </c>
      <c r="X1262" s="119">
        <f>IF(tech_base!$T78&gt;X$1185,"",X1542+X1822)</f>
        <v>0</v>
      </c>
      <c r="Y1262" s="119">
        <f>IF(tech_base!$T78&gt;Y$1185,"",Y1542+Y1822)</f>
        <v>0</v>
      </c>
      <c r="Z1262" s="119">
        <f>IF(tech_base!$T78&gt;Z$1185,"",Z1542+Z1822)</f>
        <v>0</v>
      </c>
      <c r="AA1262" s="119">
        <f>IF(tech_base!$T78&gt;AA$1185,"",AA1542+AA1822)</f>
        <v>0</v>
      </c>
      <c r="AB1262" s="119">
        <f>IF(tech_base!$T78&gt;AB$1185,"",AB1542+AB1822)</f>
        <v>0</v>
      </c>
      <c r="AC1262" s="119">
        <f>IF(tech_base!$T78&gt;AC$1185,"",AC1542+AC1822)</f>
        <v>0</v>
      </c>
      <c r="AD1262" s="119">
        <f>IF(tech_base!$T78&gt;AD$1185,"",AD1542+AD1822)</f>
        <v>0</v>
      </c>
      <c r="AE1262" s="119">
        <f>IF(tech_base!$T78&gt;AE$1185,"",AE1542+AE1822)</f>
        <v>0</v>
      </c>
      <c r="AF1262" s="119">
        <f>IF(tech_base!$T78&gt;AF$1185,"",AF1542+AF1822)</f>
        <v>0</v>
      </c>
      <c r="AG1262" s="119">
        <f>IF(tech_base!$T78&gt;AG$1185,"",AG1542+AG1822)</f>
        <v>0</v>
      </c>
      <c r="AH1262" s="119">
        <f>IF(tech_base!$T78&gt;AH$1185,"",AH1542+AH1822)</f>
        <v>0</v>
      </c>
      <c r="AI1262" s="119">
        <f>IF(tech_base!$T78&gt;AI$1185,"",AI1542+AI1822)</f>
        <v>0</v>
      </c>
      <c r="AJ1262" s="119">
        <f>IF(tech_base!$T78&gt;AJ$1185,"",AJ1542+AJ1822)</f>
        <v>0</v>
      </c>
      <c r="AK1262" s="119">
        <f>IF(tech_base!$T78&gt;AK$1185,"",AK1542+AK1822)</f>
        <v>0</v>
      </c>
      <c r="AL1262" s="119">
        <f>IF(tech_base!$T78&gt;AL$1185,"",AL1542+AL1822)</f>
        <v>0</v>
      </c>
      <c r="AM1262" s="119">
        <f>IF(tech_base!$T78&gt;AM$1185,"",AM1542+AM1822)</f>
        <v>0</v>
      </c>
      <c r="AN1262" s="119">
        <f>IF(tech_base!$T78&gt;AN$1185,"",AN1542+AN1822)</f>
        <v>0</v>
      </c>
      <c r="AO1262" s="119">
        <f>IF(tech_base!$T78&gt;AO$1185,"",AO1542+AO1822)</f>
        <v>0</v>
      </c>
      <c r="AP1262" s="119">
        <f>IF(tech_base!$T78&gt;AP$1185,"",AP1542+AP1822)</f>
        <v>0</v>
      </c>
      <c r="AQ1262" s="119">
        <f>IF(tech_base!$T78&gt;AQ$1185,"",AQ1542+AQ1822)</f>
        <v>0</v>
      </c>
      <c r="AR1262" s="119">
        <f>IF(tech_base!$T78&gt;AR$1185,"",AR1542+AR1822)</f>
        <v>0</v>
      </c>
      <c r="AS1262" s="119">
        <f>IF(tech_base!$T78&gt;AS$1185,"",AS1542+AS1822)</f>
        <v>0</v>
      </c>
      <c r="AT1262" s="119">
        <f>IF(tech_base!$T78&gt;AT$1185,"",AT1542+AT1822)</f>
        <v>0</v>
      </c>
      <c r="AU1262" s="119">
        <f>IF(tech_base!$T78&gt;AU$1185,"",AU1542+AU1822)</f>
        <v>0</v>
      </c>
      <c r="AV1262" s="119">
        <f>IF(tech_base!$T78&gt;AV$1185,"",AV1542+AV1822)</f>
        <v>0</v>
      </c>
      <c r="AW1262" s="119">
        <f>IF(tech_base!$T78&gt;AW$1185,"",AW1542+AW1822)</f>
        <v>0</v>
      </c>
      <c r="AX1262" s="120">
        <f>IF(tech_base!$T78&gt;AX$1185,"",AX1542+AX1822)</f>
        <v>0</v>
      </c>
    </row>
    <row r="1263" spans="1:50" x14ac:dyDescent="0.25">
      <c r="A1263" s="356"/>
      <c r="B1263" s="376"/>
      <c r="C1263" s="378"/>
      <c r="D1263" s="2" t="s">
        <v>10</v>
      </c>
      <c r="E1263" s="160" t="str">
        <f>A1231&amp;"/"&amp;B1257&amp;"/"&amp;C1261&amp;"/"&amp;D1263</f>
        <v>Lignite fired power plants/Steam turbine/CHP/S</v>
      </c>
      <c r="F1263" s="76" t="str">
        <f>A1231</f>
        <v>Lignite fired power plants</v>
      </c>
      <c r="G1263" s="76" t="str">
        <f>B1257</f>
        <v>Steam turbine</v>
      </c>
      <c r="H1263" s="76" t="str">
        <f>C1261</f>
        <v>CHP</v>
      </c>
      <c r="I1263" s="161" t="str">
        <f t="shared" si="373"/>
        <v>S</v>
      </c>
      <c r="J1263" s="119">
        <f>IF(tech_base!$T79&gt;J$1185,"",J1543+J1823)</f>
        <v>0</v>
      </c>
      <c r="K1263" s="119">
        <f>IF(tech_base!$T79&gt;K$1185,"",K1543+K1823)</f>
        <v>0</v>
      </c>
      <c r="L1263" s="119">
        <f>IF(tech_base!$T79&gt;L$1185,"",L1543+L1823)</f>
        <v>0</v>
      </c>
      <c r="M1263" s="119">
        <f>IF(tech_base!$T79&gt;M$1185,"",M1543+M1823)</f>
        <v>0</v>
      </c>
      <c r="N1263" s="119">
        <f>IF(tech_base!$T79&gt;N$1185,"",N1543+N1823)</f>
        <v>0</v>
      </c>
      <c r="O1263" s="119">
        <f>IF(tech_base!$T79&gt;O$1185,"",O1543+O1823)</f>
        <v>0</v>
      </c>
      <c r="P1263" s="119">
        <f>IF(tech_base!$T79&gt;P$1185,"",P1543+P1823)</f>
        <v>0</v>
      </c>
      <c r="Q1263" s="119">
        <f>IF(tech_base!$T79&gt;Q$1185,"",Q1543+Q1823)</f>
        <v>0</v>
      </c>
      <c r="R1263" s="119">
        <f>IF(tech_base!$T79&gt;R$1185,"",R1543+R1823)</f>
        <v>0</v>
      </c>
      <c r="S1263" s="119">
        <f>IF(tech_base!$T79&gt;S$1185,"",S1543+S1823)</f>
        <v>0</v>
      </c>
      <c r="T1263" s="119">
        <f>IF(tech_base!$T79&gt;T$1185,"",T1543+T1823)</f>
        <v>0</v>
      </c>
      <c r="U1263" s="119">
        <f>IF(tech_base!$T79&gt;U$1185,"",U1543+U1823)</f>
        <v>0</v>
      </c>
      <c r="V1263" s="119">
        <f>IF(tech_base!$T79&gt;V$1185,"",V1543+V1823)</f>
        <v>0</v>
      </c>
      <c r="W1263" s="119">
        <f>IF(tech_base!$T79&gt;W$1185,"",W1543+W1823)</f>
        <v>0</v>
      </c>
      <c r="X1263" s="119">
        <f>IF(tech_base!$T79&gt;X$1185,"",X1543+X1823)</f>
        <v>0</v>
      </c>
      <c r="Y1263" s="119">
        <f>IF(tech_base!$T79&gt;Y$1185,"",Y1543+Y1823)</f>
        <v>0</v>
      </c>
      <c r="Z1263" s="119">
        <f>IF(tech_base!$T79&gt;Z$1185,"",Z1543+Z1823)</f>
        <v>0</v>
      </c>
      <c r="AA1263" s="119">
        <f>IF(tech_base!$T79&gt;AA$1185,"",AA1543+AA1823)</f>
        <v>0</v>
      </c>
      <c r="AB1263" s="119">
        <f>IF(tech_base!$T79&gt;AB$1185,"",AB1543+AB1823)</f>
        <v>0</v>
      </c>
      <c r="AC1263" s="119">
        <f>IF(tech_base!$T79&gt;AC$1185,"",AC1543+AC1823)</f>
        <v>0</v>
      </c>
      <c r="AD1263" s="119">
        <f>IF(tech_base!$T79&gt;AD$1185,"",AD1543+AD1823)</f>
        <v>0</v>
      </c>
      <c r="AE1263" s="119">
        <f>IF(tech_base!$T79&gt;AE$1185,"",AE1543+AE1823)</f>
        <v>0</v>
      </c>
      <c r="AF1263" s="119">
        <f>IF(tech_base!$T79&gt;AF$1185,"",AF1543+AF1823)</f>
        <v>0</v>
      </c>
      <c r="AG1263" s="119">
        <f>IF(tech_base!$T79&gt;AG$1185,"",AG1543+AG1823)</f>
        <v>0</v>
      </c>
      <c r="AH1263" s="119">
        <f>IF(tech_base!$T79&gt;AH$1185,"",AH1543+AH1823)</f>
        <v>0</v>
      </c>
      <c r="AI1263" s="119">
        <f>IF(tech_base!$T79&gt;AI$1185,"",AI1543+AI1823)</f>
        <v>0</v>
      </c>
      <c r="AJ1263" s="119">
        <f>IF(tech_base!$T79&gt;AJ$1185,"",AJ1543+AJ1823)</f>
        <v>0</v>
      </c>
      <c r="AK1263" s="119">
        <f>IF(tech_base!$T79&gt;AK$1185,"",AK1543+AK1823)</f>
        <v>0</v>
      </c>
      <c r="AL1263" s="119">
        <f>IF(tech_base!$T79&gt;AL$1185,"",AL1543+AL1823)</f>
        <v>0</v>
      </c>
      <c r="AM1263" s="119">
        <f>IF(tech_base!$T79&gt;AM$1185,"",AM1543+AM1823)</f>
        <v>0</v>
      </c>
      <c r="AN1263" s="119">
        <f>IF(tech_base!$T79&gt;AN$1185,"",AN1543+AN1823)</f>
        <v>0</v>
      </c>
      <c r="AO1263" s="119">
        <f>IF(tech_base!$T79&gt;AO$1185,"",AO1543+AO1823)</f>
        <v>0</v>
      </c>
      <c r="AP1263" s="119">
        <f>IF(tech_base!$T79&gt;AP$1185,"",AP1543+AP1823)</f>
        <v>0</v>
      </c>
      <c r="AQ1263" s="119">
        <f>IF(tech_base!$T79&gt;AQ$1185,"",AQ1543+AQ1823)</f>
        <v>0</v>
      </c>
      <c r="AR1263" s="119">
        <f>IF(tech_base!$T79&gt;AR$1185,"",AR1543+AR1823)</f>
        <v>0</v>
      </c>
      <c r="AS1263" s="119">
        <f>IF(tech_base!$T79&gt;AS$1185,"",AS1543+AS1823)</f>
        <v>0</v>
      </c>
      <c r="AT1263" s="119">
        <f>IF(tech_base!$T79&gt;AT$1185,"",AT1543+AT1823)</f>
        <v>0</v>
      </c>
      <c r="AU1263" s="119">
        <f>IF(tech_base!$T79&gt;AU$1185,"",AU1543+AU1823)</f>
        <v>0</v>
      </c>
      <c r="AV1263" s="119">
        <f>IF(tech_base!$T79&gt;AV$1185,"",AV1543+AV1823)</f>
        <v>0</v>
      </c>
      <c r="AW1263" s="119">
        <f>IF(tech_base!$T79&gt;AW$1185,"",AW1543+AW1823)</f>
        <v>0</v>
      </c>
      <c r="AX1263" s="120">
        <f>IF(tech_base!$T79&gt;AX$1185,"",AX1543+AX1823)</f>
        <v>0</v>
      </c>
    </row>
    <row r="1264" spans="1:50" x14ac:dyDescent="0.25">
      <c r="A1264" s="356"/>
      <c r="B1264" s="376"/>
      <c r="C1264" s="379"/>
      <c r="D1264" s="59" t="s">
        <v>20</v>
      </c>
      <c r="E1264" s="166" t="str">
        <f>A1231&amp;"/"&amp;B1257&amp;"/"&amp;C1261&amp;"/"&amp;D1264</f>
        <v>Lignite fired power plants/Steam turbine/CHP/XS</v>
      </c>
      <c r="F1264" s="79" t="str">
        <f>A1231</f>
        <v>Lignite fired power plants</v>
      </c>
      <c r="G1264" s="79" t="str">
        <f>B1257</f>
        <v>Steam turbine</v>
      </c>
      <c r="H1264" s="79" t="str">
        <f>C1261</f>
        <v>CHP</v>
      </c>
      <c r="I1264" s="167" t="str">
        <f t="shared" si="373"/>
        <v>XS</v>
      </c>
      <c r="J1264" s="125">
        <f>IF(tech_base!$T80&gt;J$1185,"",J1544+J1824)</f>
        <v>0</v>
      </c>
      <c r="K1264" s="125">
        <f>IF(tech_base!$T80&gt;K$1185,"",K1544+K1824)</f>
        <v>0</v>
      </c>
      <c r="L1264" s="125">
        <f>IF(tech_base!$T80&gt;L$1185,"",L1544+L1824)</f>
        <v>0</v>
      </c>
      <c r="M1264" s="125">
        <f>IF(tech_base!$T80&gt;M$1185,"",M1544+M1824)</f>
        <v>0</v>
      </c>
      <c r="N1264" s="125">
        <f>IF(tech_base!$T80&gt;N$1185,"",N1544+N1824)</f>
        <v>0</v>
      </c>
      <c r="O1264" s="125">
        <f>IF(tech_base!$T80&gt;O$1185,"",O1544+O1824)</f>
        <v>0</v>
      </c>
      <c r="P1264" s="125">
        <f>IF(tech_base!$T80&gt;P$1185,"",P1544+P1824)</f>
        <v>0</v>
      </c>
      <c r="Q1264" s="125">
        <f>IF(tech_base!$T80&gt;Q$1185,"",Q1544+Q1824)</f>
        <v>0</v>
      </c>
      <c r="R1264" s="125">
        <f>IF(tech_base!$T80&gt;R$1185,"",R1544+R1824)</f>
        <v>0</v>
      </c>
      <c r="S1264" s="125">
        <f>IF(tech_base!$T80&gt;S$1185,"",S1544+S1824)</f>
        <v>0</v>
      </c>
      <c r="T1264" s="125">
        <f>IF(tech_base!$T80&gt;T$1185,"",T1544+T1824)</f>
        <v>0</v>
      </c>
      <c r="U1264" s="125">
        <f>IF(tech_base!$T80&gt;U$1185,"",U1544+U1824)</f>
        <v>0</v>
      </c>
      <c r="V1264" s="125">
        <f>IF(tech_base!$T80&gt;V$1185,"",V1544+V1824)</f>
        <v>0</v>
      </c>
      <c r="W1264" s="125">
        <f>IF(tech_base!$T80&gt;W$1185,"",W1544+W1824)</f>
        <v>0</v>
      </c>
      <c r="X1264" s="125">
        <f>IF(tech_base!$T80&gt;X$1185,"",X1544+X1824)</f>
        <v>0</v>
      </c>
      <c r="Y1264" s="125">
        <f>IF(tech_base!$T80&gt;Y$1185,"",Y1544+Y1824)</f>
        <v>0</v>
      </c>
      <c r="Z1264" s="125">
        <f>IF(tech_base!$T80&gt;Z$1185,"",Z1544+Z1824)</f>
        <v>0</v>
      </c>
      <c r="AA1264" s="125">
        <f>IF(tech_base!$T80&gt;AA$1185,"",AA1544+AA1824)</f>
        <v>0</v>
      </c>
      <c r="AB1264" s="125">
        <f>IF(tech_base!$T80&gt;AB$1185,"",AB1544+AB1824)</f>
        <v>0</v>
      </c>
      <c r="AC1264" s="125">
        <f>IF(tech_base!$T80&gt;AC$1185,"",AC1544+AC1824)</f>
        <v>0</v>
      </c>
      <c r="AD1264" s="125">
        <f>IF(tech_base!$T80&gt;AD$1185,"",AD1544+AD1824)</f>
        <v>0</v>
      </c>
      <c r="AE1264" s="125">
        <f>IF(tech_base!$T80&gt;AE$1185,"",AE1544+AE1824)</f>
        <v>0</v>
      </c>
      <c r="AF1264" s="125">
        <f>IF(tech_base!$T80&gt;AF$1185,"",AF1544+AF1824)</f>
        <v>0</v>
      </c>
      <c r="AG1264" s="125">
        <f>IF(tech_base!$T80&gt;AG$1185,"",AG1544+AG1824)</f>
        <v>0</v>
      </c>
      <c r="AH1264" s="125">
        <f>IF(tech_base!$T80&gt;AH$1185,"",AH1544+AH1824)</f>
        <v>0</v>
      </c>
      <c r="AI1264" s="125">
        <f>IF(tech_base!$T80&gt;AI$1185,"",AI1544+AI1824)</f>
        <v>0</v>
      </c>
      <c r="AJ1264" s="125">
        <f>IF(tech_base!$T80&gt;AJ$1185,"",AJ1544+AJ1824)</f>
        <v>0</v>
      </c>
      <c r="AK1264" s="125">
        <f>IF(tech_base!$T80&gt;AK$1185,"",AK1544+AK1824)</f>
        <v>0</v>
      </c>
      <c r="AL1264" s="125">
        <f>IF(tech_base!$T80&gt;AL$1185,"",AL1544+AL1824)</f>
        <v>0</v>
      </c>
      <c r="AM1264" s="125">
        <f>IF(tech_base!$T80&gt;AM$1185,"",AM1544+AM1824)</f>
        <v>0</v>
      </c>
      <c r="AN1264" s="125">
        <f>IF(tech_base!$T80&gt;AN$1185,"",AN1544+AN1824)</f>
        <v>0</v>
      </c>
      <c r="AO1264" s="125">
        <f>IF(tech_base!$T80&gt;AO$1185,"",AO1544+AO1824)</f>
        <v>0</v>
      </c>
      <c r="AP1264" s="125">
        <f>IF(tech_base!$T80&gt;AP$1185,"",AP1544+AP1824)</f>
        <v>0</v>
      </c>
      <c r="AQ1264" s="125">
        <f>IF(tech_base!$T80&gt;AQ$1185,"",AQ1544+AQ1824)</f>
        <v>0</v>
      </c>
      <c r="AR1264" s="125">
        <f>IF(tech_base!$T80&gt;AR$1185,"",AR1544+AR1824)</f>
        <v>0</v>
      </c>
      <c r="AS1264" s="125">
        <f>IF(tech_base!$T80&gt;AS$1185,"",AS1544+AS1824)</f>
        <v>0</v>
      </c>
      <c r="AT1264" s="125">
        <f>IF(tech_base!$T80&gt;AT$1185,"",AT1544+AT1824)</f>
        <v>0</v>
      </c>
      <c r="AU1264" s="125">
        <f>IF(tech_base!$T80&gt;AU$1185,"",AU1544+AU1824)</f>
        <v>0</v>
      </c>
      <c r="AV1264" s="125">
        <f>IF(tech_base!$T80&gt;AV$1185,"",AV1544+AV1824)</f>
        <v>0</v>
      </c>
      <c r="AW1264" s="125">
        <f>IF(tech_base!$T80&gt;AW$1185,"",AW1544+AW1824)</f>
        <v>0</v>
      </c>
      <c r="AX1264" s="126">
        <f>IF(tech_base!$T80&gt;AX$1185,"",AX1544+AX1824)</f>
        <v>0</v>
      </c>
    </row>
    <row r="1265" spans="1:50" x14ac:dyDescent="0.25">
      <c r="A1265" s="356"/>
      <c r="B1265" s="376"/>
      <c r="C1265" s="361" t="s">
        <v>15</v>
      </c>
      <c r="D1265" s="58" t="s">
        <v>7</v>
      </c>
      <c r="E1265" s="164" t="str">
        <f>A1231&amp;"/"&amp;B1257&amp;"/"&amp;C1265&amp;"/"&amp;D1265</f>
        <v>Lignite fired power plants/Steam turbine/Electricity only with CCS/L</v>
      </c>
      <c r="F1265" s="78" t="str">
        <f>A1231</f>
        <v>Lignite fired power plants</v>
      </c>
      <c r="G1265" s="78" t="str">
        <f>B1257</f>
        <v>Steam turbine</v>
      </c>
      <c r="H1265" s="78" t="str">
        <f>C1265</f>
        <v>Electricity only with CCS</v>
      </c>
      <c r="I1265" s="165" t="str">
        <f t="shared" si="373"/>
        <v>L</v>
      </c>
      <c r="J1265" s="123" t="str">
        <f>IF(tech_base!$T81&gt;J$1185,"",J1545+J1825)</f>
        <v/>
      </c>
      <c r="K1265" s="123" t="str">
        <f>IF(tech_base!$T81&gt;K$1185,"",K1545+K1825)</f>
        <v/>
      </c>
      <c r="L1265" s="123" t="str">
        <f>IF(tech_base!$T81&gt;L$1185,"",L1545+L1825)</f>
        <v/>
      </c>
      <c r="M1265" s="123" t="str">
        <f>IF(tech_base!$T81&gt;M$1185,"",M1545+M1825)</f>
        <v/>
      </c>
      <c r="N1265" s="123" t="str">
        <f>IF(tech_base!$T81&gt;N$1185,"",N1545+N1825)</f>
        <v/>
      </c>
      <c r="O1265" s="123" t="str">
        <f>IF(tech_base!$T81&gt;O$1185,"",O1545+O1825)</f>
        <v/>
      </c>
      <c r="P1265" s="123" t="str">
        <f>IF(tech_base!$T81&gt;P$1185,"",P1545+P1825)</f>
        <v/>
      </c>
      <c r="Q1265" s="123" t="str">
        <f>IF(tech_base!$T81&gt;Q$1185,"",Q1545+Q1825)</f>
        <v/>
      </c>
      <c r="R1265" s="123" t="str">
        <f>IF(tech_base!$T81&gt;R$1185,"",R1545+R1825)</f>
        <v/>
      </c>
      <c r="S1265" s="123" t="str">
        <f>IF(tech_base!$T81&gt;S$1185,"",S1545+S1825)</f>
        <v/>
      </c>
      <c r="T1265" s="123" t="str">
        <f>IF(tech_base!$T81&gt;T$1185,"",T1545+T1825)</f>
        <v/>
      </c>
      <c r="U1265" s="123" t="str">
        <f>IF(tech_base!$T81&gt;U$1185,"",U1545+U1825)</f>
        <v/>
      </c>
      <c r="V1265" s="123" t="str">
        <f>IF(tech_base!$T81&gt;V$1185,"",V1545+V1825)</f>
        <v/>
      </c>
      <c r="W1265" s="123" t="str">
        <f>IF(tech_base!$T81&gt;W$1185,"",W1545+W1825)</f>
        <v/>
      </c>
      <c r="X1265" s="123" t="str">
        <f>IF(tech_base!$T81&gt;X$1185,"",X1545+X1825)</f>
        <v/>
      </c>
      <c r="Y1265" s="123" t="str">
        <f>IF(tech_base!$T81&gt;Y$1185,"",Y1545+Y1825)</f>
        <v/>
      </c>
      <c r="Z1265" s="123" t="str">
        <f>IF(tech_base!$T81&gt;Z$1185,"",Z1545+Z1825)</f>
        <v/>
      </c>
      <c r="AA1265" s="123" t="str">
        <f>IF(tech_base!$T81&gt;AA$1185,"",AA1545+AA1825)</f>
        <v/>
      </c>
      <c r="AB1265" s="123" t="str">
        <f>IF(tech_base!$T81&gt;AB$1185,"",AB1545+AB1825)</f>
        <v/>
      </c>
      <c r="AC1265" s="123" t="str">
        <f>IF(tech_base!$T81&gt;AC$1185,"",AC1545+AC1825)</f>
        <v/>
      </c>
      <c r="AD1265" s="123" t="str">
        <f>IF(tech_base!$T81&gt;AD$1185,"",AD1545+AD1825)</f>
        <v/>
      </c>
      <c r="AE1265" s="123">
        <f>IF(tech_base!$T81&gt;AE$1185,"",AE1545+AE1825)</f>
        <v>13.776010835687998</v>
      </c>
      <c r="AF1265" s="123">
        <f>IF(tech_base!$T81&gt;AF$1185,"",AF1545+AF1825)</f>
        <v>13.776010835687998</v>
      </c>
      <c r="AG1265" s="123">
        <f>IF(tech_base!$T81&gt;AG$1185,"",AG1545+AG1825)</f>
        <v>13.776010835687998</v>
      </c>
      <c r="AH1265" s="123">
        <f>IF(tech_base!$T81&gt;AH$1185,"",AH1545+AH1825)</f>
        <v>13.776010835687998</v>
      </c>
      <c r="AI1265" s="123">
        <f>IF(tech_base!$T81&gt;AI$1185,"",AI1545+AI1825)</f>
        <v>13.776010835687998</v>
      </c>
      <c r="AJ1265" s="123">
        <f>IF(tech_base!$T81&gt;AJ$1185,"",AJ1545+AJ1825)</f>
        <v>13.776010835687998</v>
      </c>
      <c r="AK1265" s="123">
        <f>IF(tech_base!$T81&gt;AK$1185,"",AK1545+AK1825)</f>
        <v>13.776010835687998</v>
      </c>
      <c r="AL1265" s="123">
        <f>IF(tech_base!$T81&gt;AL$1185,"",AL1545+AL1825)</f>
        <v>13.776010835687998</v>
      </c>
      <c r="AM1265" s="123">
        <f>IF(tech_base!$T81&gt;AM$1185,"",AM1545+AM1825)</f>
        <v>13.776010835687998</v>
      </c>
      <c r="AN1265" s="123">
        <f>IF(tech_base!$T81&gt;AN$1185,"",AN1545+AN1825)</f>
        <v>13.776010835687998</v>
      </c>
      <c r="AO1265" s="123">
        <f>IF(tech_base!$T81&gt;AO$1185,"",AO1545+AO1825)</f>
        <v>13.776010835687998</v>
      </c>
      <c r="AP1265" s="123">
        <f>IF(tech_base!$T81&gt;AP$1185,"",AP1545+AP1825)</f>
        <v>13.776010835687998</v>
      </c>
      <c r="AQ1265" s="123">
        <f>IF(tech_base!$T81&gt;AQ$1185,"",AQ1545+AQ1825)</f>
        <v>13.776010835687998</v>
      </c>
      <c r="AR1265" s="123">
        <f>IF(tech_base!$T81&gt;AR$1185,"",AR1545+AR1825)</f>
        <v>13.776010835687998</v>
      </c>
      <c r="AS1265" s="123">
        <f>IF(tech_base!$T81&gt;AS$1185,"",AS1545+AS1825)</f>
        <v>13.776010835687998</v>
      </c>
      <c r="AT1265" s="123">
        <f>IF(tech_base!$T81&gt;AT$1185,"",AT1545+AT1825)</f>
        <v>13.776010835687998</v>
      </c>
      <c r="AU1265" s="123">
        <f>IF(tech_base!$T81&gt;AU$1185,"",AU1545+AU1825)</f>
        <v>13.776010835687998</v>
      </c>
      <c r="AV1265" s="123">
        <f>IF(tech_base!$T81&gt;AV$1185,"",AV1545+AV1825)</f>
        <v>13.776010835687998</v>
      </c>
      <c r="AW1265" s="123">
        <f>IF(tech_base!$T81&gt;AW$1185,"",AW1545+AW1825)</f>
        <v>13.776010835687998</v>
      </c>
      <c r="AX1265" s="124">
        <f>IF(tech_base!$T81&gt;AX$1185,"",AX1545+AX1825)</f>
        <v>13.776010835687998</v>
      </c>
    </row>
    <row r="1266" spans="1:50" x14ac:dyDescent="0.25">
      <c r="A1266" s="356"/>
      <c r="B1266" s="376"/>
      <c r="C1266" s="379"/>
      <c r="D1266" s="59" t="s">
        <v>8</v>
      </c>
      <c r="E1266" s="166" t="str">
        <f>A1231&amp;"/"&amp;B1257&amp;"/"&amp;C1265&amp;"/"&amp;D1266</f>
        <v>Lignite fired power plants/Steam turbine/Electricity only with CCS/M</v>
      </c>
      <c r="F1266" s="79" t="str">
        <f>A1231</f>
        <v>Lignite fired power plants</v>
      </c>
      <c r="G1266" s="79" t="str">
        <f>B1257</f>
        <v>Steam turbine</v>
      </c>
      <c r="H1266" s="79" t="str">
        <f>C1265</f>
        <v>Electricity only with CCS</v>
      </c>
      <c r="I1266" s="167" t="str">
        <f t="shared" si="373"/>
        <v>M</v>
      </c>
      <c r="J1266" s="125" t="str">
        <f>IF(tech_base!$T82&gt;J$1185,"",J1546+J1826)</f>
        <v/>
      </c>
      <c r="K1266" s="125" t="str">
        <f>IF(tech_base!$T82&gt;K$1185,"",K1546+K1826)</f>
        <v/>
      </c>
      <c r="L1266" s="125" t="str">
        <f>IF(tech_base!$T82&gt;L$1185,"",L1546+L1826)</f>
        <v/>
      </c>
      <c r="M1266" s="125" t="str">
        <f>IF(tech_base!$T82&gt;M$1185,"",M1546+M1826)</f>
        <v/>
      </c>
      <c r="N1266" s="125" t="str">
        <f>IF(tech_base!$T82&gt;N$1185,"",N1546+N1826)</f>
        <v/>
      </c>
      <c r="O1266" s="125" t="str">
        <f>IF(tech_base!$T82&gt;O$1185,"",O1546+O1826)</f>
        <v/>
      </c>
      <c r="P1266" s="125" t="str">
        <f>IF(tech_base!$T82&gt;P$1185,"",P1546+P1826)</f>
        <v/>
      </c>
      <c r="Q1266" s="125" t="str">
        <f>IF(tech_base!$T82&gt;Q$1185,"",Q1546+Q1826)</f>
        <v/>
      </c>
      <c r="R1266" s="125" t="str">
        <f>IF(tech_base!$T82&gt;R$1185,"",R1546+R1826)</f>
        <v/>
      </c>
      <c r="S1266" s="125" t="str">
        <f>IF(tech_base!$T82&gt;S$1185,"",S1546+S1826)</f>
        <v/>
      </c>
      <c r="T1266" s="125" t="str">
        <f>IF(tech_base!$T82&gt;T$1185,"",T1546+T1826)</f>
        <v/>
      </c>
      <c r="U1266" s="125" t="str">
        <f>IF(tech_base!$T82&gt;U$1185,"",U1546+U1826)</f>
        <v/>
      </c>
      <c r="V1266" s="125" t="str">
        <f>IF(tech_base!$T82&gt;V$1185,"",V1546+V1826)</f>
        <v/>
      </c>
      <c r="W1266" s="125" t="str">
        <f>IF(tech_base!$T82&gt;W$1185,"",W1546+W1826)</f>
        <v/>
      </c>
      <c r="X1266" s="125" t="str">
        <f>IF(tech_base!$T82&gt;X$1185,"",X1546+X1826)</f>
        <v/>
      </c>
      <c r="Y1266" s="125" t="str">
        <f>IF(tech_base!$T82&gt;Y$1185,"",Y1546+Y1826)</f>
        <v/>
      </c>
      <c r="Z1266" s="125" t="str">
        <f>IF(tech_base!$T82&gt;Z$1185,"",Z1546+Z1826)</f>
        <v/>
      </c>
      <c r="AA1266" s="125" t="str">
        <f>IF(tech_base!$T82&gt;AA$1185,"",AA1546+AA1826)</f>
        <v/>
      </c>
      <c r="AB1266" s="125" t="str">
        <f>IF(tech_base!$T82&gt;AB$1185,"",AB1546+AB1826)</f>
        <v/>
      </c>
      <c r="AC1266" s="125" t="str">
        <f>IF(tech_base!$T82&gt;AC$1185,"",AC1546+AC1826)</f>
        <v/>
      </c>
      <c r="AD1266" s="125" t="str">
        <f>IF(tech_base!$T82&gt;AD$1185,"",AD1546+AD1826)</f>
        <v/>
      </c>
      <c r="AE1266" s="125">
        <f>IF(tech_base!$T82&gt;AE$1185,"",AE1546+AE1826)</f>
        <v>14.781559071869601</v>
      </c>
      <c r="AF1266" s="125">
        <f>IF(tech_base!$T82&gt;AF$1185,"",AF1546+AF1826)</f>
        <v>14.781559071869601</v>
      </c>
      <c r="AG1266" s="125">
        <f>IF(tech_base!$T82&gt;AG$1185,"",AG1546+AG1826)</f>
        <v>14.781559071869601</v>
      </c>
      <c r="AH1266" s="125">
        <f>IF(tech_base!$T82&gt;AH$1185,"",AH1546+AH1826)</f>
        <v>14.781559071869601</v>
      </c>
      <c r="AI1266" s="125">
        <f>IF(tech_base!$T82&gt;AI$1185,"",AI1546+AI1826)</f>
        <v>14.781559071869601</v>
      </c>
      <c r="AJ1266" s="125">
        <f>IF(tech_base!$T82&gt;AJ$1185,"",AJ1546+AJ1826)</f>
        <v>14.781559071869601</v>
      </c>
      <c r="AK1266" s="125">
        <f>IF(tech_base!$T82&gt;AK$1185,"",AK1546+AK1826)</f>
        <v>14.781559071869601</v>
      </c>
      <c r="AL1266" s="125">
        <f>IF(tech_base!$T82&gt;AL$1185,"",AL1546+AL1826)</f>
        <v>14.781559071869601</v>
      </c>
      <c r="AM1266" s="125">
        <f>IF(tech_base!$T82&gt;AM$1185,"",AM1546+AM1826)</f>
        <v>14.781559071869601</v>
      </c>
      <c r="AN1266" s="125">
        <f>IF(tech_base!$T82&gt;AN$1185,"",AN1546+AN1826)</f>
        <v>14.781559071869601</v>
      </c>
      <c r="AO1266" s="125">
        <f>IF(tech_base!$T82&gt;AO$1185,"",AO1546+AO1826)</f>
        <v>14.781559071869601</v>
      </c>
      <c r="AP1266" s="125">
        <f>IF(tech_base!$T82&gt;AP$1185,"",AP1546+AP1826)</f>
        <v>14.781559071869601</v>
      </c>
      <c r="AQ1266" s="125">
        <f>IF(tech_base!$T82&gt;AQ$1185,"",AQ1546+AQ1826)</f>
        <v>14.781559071869601</v>
      </c>
      <c r="AR1266" s="125">
        <f>IF(tech_base!$T82&gt;AR$1185,"",AR1546+AR1826)</f>
        <v>14.781559071869601</v>
      </c>
      <c r="AS1266" s="125">
        <f>IF(tech_base!$T82&gt;AS$1185,"",AS1546+AS1826)</f>
        <v>14.781559071869601</v>
      </c>
      <c r="AT1266" s="125">
        <f>IF(tech_base!$T82&gt;AT$1185,"",AT1546+AT1826)</f>
        <v>14.781559071869601</v>
      </c>
      <c r="AU1266" s="125">
        <f>IF(tech_base!$T82&gt;AU$1185,"",AU1546+AU1826)</f>
        <v>14.781559071869601</v>
      </c>
      <c r="AV1266" s="125">
        <f>IF(tech_base!$T82&gt;AV$1185,"",AV1546+AV1826)</f>
        <v>14.781559071869601</v>
      </c>
      <c r="AW1266" s="125">
        <f>IF(tech_base!$T82&gt;AW$1185,"",AW1546+AW1826)</f>
        <v>14.781559071869601</v>
      </c>
      <c r="AX1266" s="126">
        <f>IF(tech_base!$T82&gt;AX$1185,"",AX1546+AX1826)</f>
        <v>14.781559071869601</v>
      </c>
    </row>
    <row r="1267" spans="1:50" x14ac:dyDescent="0.25">
      <c r="A1267" s="356"/>
      <c r="B1267" s="376"/>
      <c r="C1267" s="361" t="s">
        <v>16</v>
      </c>
      <c r="D1267" s="2" t="s">
        <v>7</v>
      </c>
      <c r="E1267" s="160" t="str">
        <f>A1231&amp;"/"&amp;B1257&amp;"/"&amp;C1267&amp;"/"&amp;D1267</f>
        <v>Lignite fired power plants/Steam turbine/CHP with CCS/L</v>
      </c>
      <c r="F1267" s="76" t="str">
        <f>A1231</f>
        <v>Lignite fired power plants</v>
      </c>
      <c r="G1267" s="76" t="str">
        <f>B1257</f>
        <v>Steam turbine</v>
      </c>
      <c r="H1267" s="76" t="str">
        <f>C1267</f>
        <v>CHP with CCS</v>
      </c>
      <c r="I1267" s="161" t="str">
        <f t="shared" si="373"/>
        <v>L</v>
      </c>
      <c r="J1267" s="119" t="str">
        <f>IF(tech_base!$T83&gt;J$1185,"",J1547+J1827)</f>
        <v/>
      </c>
      <c r="K1267" s="119" t="str">
        <f>IF(tech_base!$T83&gt;K$1185,"",K1547+K1827)</f>
        <v/>
      </c>
      <c r="L1267" s="119" t="str">
        <f>IF(tech_base!$T83&gt;L$1185,"",L1547+L1827)</f>
        <v/>
      </c>
      <c r="M1267" s="119" t="str">
        <f>IF(tech_base!$T83&gt;M$1185,"",M1547+M1827)</f>
        <v/>
      </c>
      <c r="N1267" s="119" t="str">
        <f>IF(tech_base!$T83&gt;N$1185,"",N1547+N1827)</f>
        <v/>
      </c>
      <c r="O1267" s="119" t="str">
        <f>IF(tech_base!$T83&gt;O$1185,"",O1547+O1827)</f>
        <v/>
      </c>
      <c r="P1267" s="119" t="str">
        <f>IF(tech_base!$T83&gt;P$1185,"",P1547+P1827)</f>
        <v/>
      </c>
      <c r="Q1267" s="119" t="str">
        <f>IF(tech_base!$T83&gt;Q$1185,"",Q1547+Q1827)</f>
        <v/>
      </c>
      <c r="R1267" s="119" t="str">
        <f>IF(tech_base!$T83&gt;R$1185,"",R1547+R1827)</f>
        <v/>
      </c>
      <c r="S1267" s="119" t="str">
        <f>IF(tech_base!$T83&gt;S$1185,"",S1547+S1827)</f>
        <v/>
      </c>
      <c r="T1267" s="119" t="str">
        <f>IF(tech_base!$T83&gt;T$1185,"",T1547+T1827)</f>
        <v/>
      </c>
      <c r="U1267" s="119" t="str">
        <f>IF(tech_base!$T83&gt;U$1185,"",U1547+U1827)</f>
        <v/>
      </c>
      <c r="V1267" s="119" t="str">
        <f>IF(tech_base!$T83&gt;V$1185,"",V1547+V1827)</f>
        <v/>
      </c>
      <c r="W1267" s="119" t="str">
        <f>IF(tech_base!$T83&gt;W$1185,"",W1547+W1827)</f>
        <v/>
      </c>
      <c r="X1267" s="119" t="str">
        <f>IF(tech_base!$T83&gt;X$1185,"",X1547+X1827)</f>
        <v/>
      </c>
      <c r="Y1267" s="119" t="str">
        <f>IF(tech_base!$T83&gt;Y$1185,"",Y1547+Y1827)</f>
        <v/>
      </c>
      <c r="Z1267" s="119" t="str">
        <f>IF(tech_base!$T83&gt;Z$1185,"",Z1547+Z1827)</f>
        <v/>
      </c>
      <c r="AA1267" s="119" t="str">
        <f>IF(tech_base!$T83&gt;AA$1185,"",AA1547+AA1827)</f>
        <v/>
      </c>
      <c r="AB1267" s="119" t="str">
        <f>IF(tech_base!$T83&gt;AB$1185,"",AB1547+AB1827)</f>
        <v/>
      </c>
      <c r="AC1267" s="119" t="str">
        <f>IF(tech_base!$T83&gt;AC$1185,"",AC1547+AC1827)</f>
        <v/>
      </c>
      <c r="AD1267" s="119" t="str">
        <f>IF(tech_base!$T83&gt;AD$1185,"",AD1547+AD1827)</f>
        <v/>
      </c>
      <c r="AE1267" s="119">
        <f>IF(tech_base!$T83&gt;AE$1185,"",AE1547+AE1827)</f>
        <v>15.832131855939943</v>
      </c>
      <c r="AF1267" s="119">
        <f>IF(tech_base!$T83&gt;AF$1185,"",AF1547+AF1827)</f>
        <v>15.832131855939943</v>
      </c>
      <c r="AG1267" s="119">
        <f>IF(tech_base!$T83&gt;AG$1185,"",AG1547+AG1827)</f>
        <v>15.832131855939943</v>
      </c>
      <c r="AH1267" s="119">
        <f>IF(tech_base!$T83&gt;AH$1185,"",AH1547+AH1827)</f>
        <v>15.832131855939943</v>
      </c>
      <c r="AI1267" s="119">
        <f>IF(tech_base!$T83&gt;AI$1185,"",AI1547+AI1827)</f>
        <v>15.832131855939943</v>
      </c>
      <c r="AJ1267" s="119">
        <f>IF(tech_base!$T83&gt;AJ$1185,"",AJ1547+AJ1827)</f>
        <v>15.832131855939943</v>
      </c>
      <c r="AK1267" s="119">
        <f>IF(tech_base!$T83&gt;AK$1185,"",AK1547+AK1827)</f>
        <v>15.832131855939943</v>
      </c>
      <c r="AL1267" s="119">
        <f>IF(tech_base!$T83&gt;AL$1185,"",AL1547+AL1827)</f>
        <v>15.832131855939943</v>
      </c>
      <c r="AM1267" s="119">
        <f>IF(tech_base!$T83&gt;AM$1185,"",AM1547+AM1827)</f>
        <v>15.832131855939943</v>
      </c>
      <c r="AN1267" s="119">
        <f>IF(tech_base!$T83&gt;AN$1185,"",AN1547+AN1827)</f>
        <v>15.832131855939943</v>
      </c>
      <c r="AO1267" s="119">
        <f>IF(tech_base!$T83&gt;AO$1185,"",AO1547+AO1827)</f>
        <v>15.832131855939943</v>
      </c>
      <c r="AP1267" s="119">
        <f>IF(tech_base!$T83&gt;AP$1185,"",AP1547+AP1827)</f>
        <v>15.832131855939943</v>
      </c>
      <c r="AQ1267" s="119">
        <f>IF(tech_base!$T83&gt;AQ$1185,"",AQ1547+AQ1827)</f>
        <v>15.832131855939943</v>
      </c>
      <c r="AR1267" s="119">
        <f>IF(tech_base!$T83&gt;AR$1185,"",AR1547+AR1827)</f>
        <v>15.832131855939943</v>
      </c>
      <c r="AS1267" s="119">
        <f>IF(tech_base!$T83&gt;AS$1185,"",AS1547+AS1827)</f>
        <v>15.832131855939943</v>
      </c>
      <c r="AT1267" s="119">
        <f>IF(tech_base!$T83&gt;AT$1185,"",AT1547+AT1827)</f>
        <v>15.832131855939943</v>
      </c>
      <c r="AU1267" s="119">
        <f>IF(tech_base!$T83&gt;AU$1185,"",AU1547+AU1827)</f>
        <v>15.832131855939943</v>
      </c>
      <c r="AV1267" s="119">
        <f>IF(tech_base!$T83&gt;AV$1185,"",AV1547+AV1827)</f>
        <v>15.832131855939943</v>
      </c>
      <c r="AW1267" s="119">
        <f>IF(tech_base!$T83&gt;AW$1185,"",AW1547+AW1827)</f>
        <v>15.832131855939943</v>
      </c>
      <c r="AX1267" s="120">
        <f>IF(tech_base!$T83&gt;AX$1185,"",AX1547+AX1827)</f>
        <v>15.832131855939943</v>
      </c>
    </row>
    <row r="1268" spans="1:50" x14ac:dyDescent="0.25">
      <c r="A1268" s="357"/>
      <c r="B1268" s="380"/>
      <c r="C1268" s="381"/>
      <c r="D1268" s="4" t="s">
        <v>8</v>
      </c>
      <c r="E1268" s="168" t="str">
        <f>A1231&amp;"/"&amp;B1257&amp;"/"&amp;C1267&amp;"/"&amp;D1268</f>
        <v>Lignite fired power plants/Steam turbine/CHP with CCS/M</v>
      </c>
      <c r="F1268" s="80" t="str">
        <f>A1231</f>
        <v>Lignite fired power plants</v>
      </c>
      <c r="G1268" s="80" t="str">
        <f>B1257</f>
        <v>Steam turbine</v>
      </c>
      <c r="H1268" s="80" t="str">
        <f>C1267</f>
        <v>CHP with CCS</v>
      </c>
      <c r="I1268" s="169" t="str">
        <f t="shared" si="373"/>
        <v>M</v>
      </c>
      <c r="J1268" s="127" t="str">
        <f>IF(tech_base!$T84&gt;J$1185,"",J1548+J1828)</f>
        <v/>
      </c>
      <c r="K1268" s="127" t="str">
        <f>IF(tech_base!$T84&gt;K$1185,"",K1548+K1828)</f>
        <v/>
      </c>
      <c r="L1268" s="127" t="str">
        <f>IF(tech_base!$T84&gt;L$1185,"",L1548+L1828)</f>
        <v/>
      </c>
      <c r="M1268" s="127" t="str">
        <f>IF(tech_base!$T84&gt;M$1185,"",M1548+M1828)</f>
        <v/>
      </c>
      <c r="N1268" s="127" t="str">
        <f>IF(tech_base!$T84&gt;N$1185,"",N1548+N1828)</f>
        <v/>
      </c>
      <c r="O1268" s="127" t="str">
        <f>IF(tech_base!$T84&gt;O$1185,"",O1548+O1828)</f>
        <v/>
      </c>
      <c r="P1268" s="127" t="str">
        <f>IF(tech_base!$T84&gt;P$1185,"",P1548+P1828)</f>
        <v/>
      </c>
      <c r="Q1268" s="127" t="str">
        <f>IF(tech_base!$T84&gt;Q$1185,"",Q1548+Q1828)</f>
        <v/>
      </c>
      <c r="R1268" s="127" t="str">
        <f>IF(tech_base!$T84&gt;R$1185,"",R1548+R1828)</f>
        <v/>
      </c>
      <c r="S1268" s="127" t="str">
        <f>IF(tech_base!$T84&gt;S$1185,"",S1548+S1828)</f>
        <v/>
      </c>
      <c r="T1268" s="127" t="str">
        <f>IF(tech_base!$T84&gt;T$1185,"",T1548+T1828)</f>
        <v/>
      </c>
      <c r="U1268" s="127" t="str">
        <f>IF(tech_base!$T84&gt;U$1185,"",U1548+U1828)</f>
        <v/>
      </c>
      <c r="V1268" s="127" t="str">
        <f>IF(tech_base!$T84&gt;V$1185,"",V1548+V1828)</f>
        <v/>
      </c>
      <c r="W1268" s="127" t="str">
        <f>IF(tech_base!$T84&gt;W$1185,"",W1548+W1828)</f>
        <v/>
      </c>
      <c r="X1268" s="127" t="str">
        <f>IF(tech_base!$T84&gt;X$1185,"",X1548+X1828)</f>
        <v/>
      </c>
      <c r="Y1268" s="127" t="str">
        <f>IF(tech_base!$T84&gt;Y$1185,"",Y1548+Y1828)</f>
        <v/>
      </c>
      <c r="Z1268" s="127" t="str">
        <f>IF(tech_base!$T84&gt;Z$1185,"",Z1548+Z1828)</f>
        <v/>
      </c>
      <c r="AA1268" s="127" t="str">
        <f>IF(tech_base!$T84&gt;AA$1185,"",AA1548+AA1828)</f>
        <v/>
      </c>
      <c r="AB1268" s="127" t="str">
        <f>IF(tech_base!$T84&gt;AB$1185,"",AB1548+AB1828)</f>
        <v/>
      </c>
      <c r="AC1268" s="127" t="str">
        <f>IF(tech_base!$T84&gt;AC$1185,"",AC1548+AC1828)</f>
        <v/>
      </c>
      <c r="AD1268" s="127" t="str">
        <f>IF(tech_base!$T84&gt;AD$1185,"",AD1548+AD1828)</f>
        <v/>
      </c>
      <c r="AE1268" s="127">
        <f>IF(tech_base!$T84&gt;AE$1185,"",AE1548+AE1828)</f>
        <v>17.043465586310248</v>
      </c>
      <c r="AF1268" s="127">
        <f>IF(tech_base!$T84&gt;AF$1185,"",AF1548+AF1828)</f>
        <v>17.043465586310248</v>
      </c>
      <c r="AG1268" s="127">
        <f>IF(tech_base!$T84&gt;AG$1185,"",AG1548+AG1828)</f>
        <v>17.043465586310248</v>
      </c>
      <c r="AH1268" s="127">
        <f>IF(tech_base!$T84&gt;AH$1185,"",AH1548+AH1828)</f>
        <v>17.043465586310248</v>
      </c>
      <c r="AI1268" s="127">
        <f>IF(tech_base!$T84&gt;AI$1185,"",AI1548+AI1828)</f>
        <v>17.043465586310248</v>
      </c>
      <c r="AJ1268" s="127">
        <f>IF(tech_base!$T84&gt;AJ$1185,"",AJ1548+AJ1828)</f>
        <v>17.043465586310248</v>
      </c>
      <c r="AK1268" s="127">
        <f>IF(tech_base!$T84&gt;AK$1185,"",AK1548+AK1828)</f>
        <v>17.043465586310248</v>
      </c>
      <c r="AL1268" s="127">
        <f>IF(tech_base!$T84&gt;AL$1185,"",AL1548+AL1828)</f>
        <v>17.043465586310248</v>
      </c>
      <c r="AM1268" s="127">
        <f>IF(tech_base!$T84&gt;AM$1185,"",AM1548+AM1828)</f>
        <v>17.043465586310248</v>
      </c>
      <c r="AN1268" s="127">
        <f>IF(tech_base!$T84&gt;AN$1185,"",AN1548+AN1828)</f>
        <v>17.043465586310248</v>
      </c>
      <c r="AO1268" s="127">
        <f>IF(tech_base!$T84&gt;AO$1185,"",AO1548+AO1828)</f>
        <v>17.043465586310248</v>
      </c>
      <c r="AP1268" s="127">
        <f>IF(tech_base!$T84&gt;AP$1185,"",AP1548+AP1828)</f>
        <v>17.043465586310248</v>
      </c>
      <c r="AQ1268" s="127">
        <f>IF(tech_base!$T84&gt;AQ$1185,"",AQ1548+AQ1828)</f>
        <v>17.043465586310248</v>
      </c>
      <c r="AR1268" s="127">
        <f>IF(tech_base!$T84&gt;AR$1185,"",AR1548+AR1828)</f>
        <v>17.043465586310248</v>
      </c>
      <c r="AS1268" s="127">
        <f>IF(tech_base!$T84&gt;AS$1185,"",AS1548+AS1828)</f>
        <v>17.043465586310248</v>
      </c>
      <c r="AT1268" s="127">
        <f>IF(tech_base!$T84&gt;AT$1185,"",AT1548+AT1828)</f>
        <v>17.043465586310248</v>
      </c>
      <c r="AU1268" s="127">
        <f>IF(tech_base!$T84&gt;AU$1185,"",AU1548+AU1828)</f>
        <v>17.043465586310248</v>
      </c>
      <c r="AV1268" s="127">
        <f>IF(tech_base!$T84&gt;AV$1185,"",AV1548+AV1828)</f>
        <v>17.043465586310248</v>
      </c>
      <c r="AW1268" s="127">
        <f>IF(tech_base!$T84&gt;AW$1185,"",AW1548+AW1828)</f>
        <v>17.043465586310248</v>
      </c>
      <c r="AX1268" s="128">
        <f>IF(tech_base!$T84&gt;AX$1185,"",AX1548+AX1828)</f>
        <v>17.043465586310248</v>
      </c>
    </row>
    <row r="1269" spans="1:50" x14ac:dyDescent="0.25">
      <c r="A1269" s="356" t="s">
        <v>22</v>
      </c>
      <c r="B1269" s="358" t="s">
        <v>23</v>
      </c>
      <c r="C1269" s="353" t="s">
        <v>6</v>
      </c>
      <c r="D1269" s="3" t="s">
        <v>7</v>
      </c>
      <c r="E1269" s="162" t="str">
        <f>A1269&amp;"/"&amp;B1269&amp;"/"&amp;C1269&amp;"/"&amp;D1269</f>
        <v>Gas fired power plants (Natural gas, biogas)/Gas turbine combined cycle/Electricity only/L</v>
      </c>
      <c r="F1269" s="77" t="str">
        <f>A1269</f>
        <v>Gas fired power plants (Natural gas, biogas)</v>
      </c>
      <c r="G1269" s="77" t="str">
        <f>B1269</f>
        <v>Gas turbine combined cycle</v>
      </c>
      <c r="H1269" s="77" t="str">
        <f>C1269</f>
        <v>Electricity only</v>
      </c>
      <c r="I1269" s="163" t="str">
        <f t="shared" si="373"/>
        <v>L</v>
      </c>
      <c r="J1269" s="121">
        <f>IF(tech_base!$T85&gt;J$1185,"",J1549+J1829)</f>
        <v>0</v>
      </c>
      <c r="K1269" s="121">
        <f>IF(tech_base!$T85&gt;K$1185,"",K1549+K1829)</f>
        <v>0</v>
      </c>
      <c r="L1269" s="121">
        <f>IF(tech_base!$T85&gt;L$1185,"",L1549+L1829)</f>
        <v>0</v>
      </c>
      <c r="M1269" s="121">
        <f>IF(tech_base!$T85&gt;M$1185,"",M1549+M1829)</f>
        <v>0</v>
      </c>
      <c r="N1269" s="121">
        <f>IF(tech_base!$T85&gt;N$1185,"",N1549+N1829)</f>
        <v>0</v>
      </c>
      <c r="O1269" s="121">
        <f>IF(tech_base!$T85&gt;O$1185,"",O1549+O1829)</f>
        <v>0</v>
      </c>
      <c r="P1269" s="121">
        <f>IF(tech_base!$T85&gt;P$1185,"",P1549+P1829)</f>
        <v>0</v>
      </c>
      <c r="Q1269" s="121">
        <f>IF(tech_base!$T85&gt;Q$1185,"",Q1549+Q1829)</f>
        <v>0</v>
      </c>
      <c r="R1269" s="121">
        <f>IF(tech_base!$T85&gt;R$1185,"",R1549+R1829)</f>
        <v>0</v>
      </c>
      <c r="S1269" s="121">
        <f>IF(tech_base!$T85&gt;S$1185,"",S1549+S1829)</f>
        <v>0</v>
      </c>
      <c r="T1269" s="121">
        <f>IF(tech_base!$T85&gt;T$1185,"",T1549+T1829)</f>
        <v>0</v>
      </c>
      <c r="U1269" s="121">
        <f>IF(tech_base!$T85&gt;U$1185,"",U1549+U1829)</f>
        <v>0</v>
      </c>
      <c r="V1269" s="121">
        <f>IF(tech_base!$T85&gt;V$1185,"",V1549+V1829)</f>
        <v>0</v>
      </c>
      <c r="W1269" s="121">
        <f>IF(tech_base!$T85&gt;W$1185,"",W1549+W1829)</f>
        <v>0</v>
      </c>
      <c r="X1269" s="121">
        <f>IF(tech_base!$T85&gt;X$1185,"",X1549+X1829)</f>
        <v>0</v>
      </c>
      <c r="Y1269" s="121">
        <f>IF(tech_base!$T85&gt;Y$1185,"",Y1549+Y1829)</f>
        <v>0</v>
      </c>
      <c r="Z1269" s="121">
        <f>IF(tech_base!$T85&gt;Z$1185,"",Z1549+Z1829)</f>
        <v>0</v>
      </c>
      <c r="AA1269" s="121">
        <f>IF(tech_base!$T85&gt;AA$1185,"",AA1549+AA1829)</f>
        <v>0</v>
      </c>
      <c r="AB1269" s="121">
        <f>IF(tech_base!$T85&gt;AB$1185,"",AB1549+AB1829)</f>
        <v>0</v>
      </c>
      <c r="AC1269" s="121">
        <f>IF(tech_base!$T85&gt;AC$1185,"",AC1549+AC1829)</f>
        <v>0</v>
      </c>
      <c r="AD1269" s="121">
        <f>IF(tech_base!$T85&gt;AD$1185,"",AD1549+AD1829)</f>
        <v>0</v>
      </c>
      <c r="AE1269" s="121">
        <f>IF(tech_base!$T85&gt;AE$1185,"",AE1549+AE1829)</f>
        <v>0</v>
      </c>
      <c r="AF1269" s="121">
        <f>IF(tech_base!$T85&gt;AF$1185,"",AF1549+AF1829)</f>
        <v>0</v>
      </c>
      <c r="AG1269" s="121">
        <f>IF(tech_base!$T85&gt;AG$1185,"",AG1549+AG1829)</f>
        <v>0</v>
      </c>
      <c r="AH1269" s="121">
        <f>IF(tech_base!$T85&gt;AH$1185,"",AH1549+AH1829)</f>
        <v>0</v>
      </c>
      <c r="AI1269" s="121">
        <f>IF(tech_base!$T85&gt;AI$1185,"",AI1549+AI1829)</f>
        <v>0</v>
      </c>
      <c r="AJ1269" s="121">
        <f>IF(tech_base!$T85&gt;AJ$1185,"",AJ1549+AJ1829)</f>
        <v>0</v>
      </c>
      <c r="AK1269" s="121">
        <f>IF(tech_base!$T85&gt;AK$1185,"",AK1549+AK1829)</f>
        <v>0</v>
      </c>
      <c r="AL1269" s="121">
        <f>IF(tech_base!$T85&gt;AL$1185,"",AL1549+AL1829)</f>
        <v>0</v>
      </c>
      <c r="AM1269" s="121">
        <f>IF(tech_base!$T85&gt;AM$1185,"",AM1549+AM1829)</f>
        <v>0</v>
      </c>
      <c r="AN1269" s="121">
        <f>IF(tech_base!$T85&gt;AN$1185,"",AN1549+AN1829)</f>
        <v>0</v>
      </c>
      <c r="AO1269" s="121">
        <f>IF(tech_base!$T85&gt;AO$1185,"",AO1549+AO1829)</f>
        <v>0</v>
      </c>
      <c r="AP1269" s="121">
        <f>IF(tech_base!$T85&gt;AP$1185,"",AP1549+AP1829)</f>
        <v>0</v>
      </c>
      <c r="AQ1269" s="121">
        <f>IF(tech_base!$T85&gt;AQ$1185,"",AQ1549+AQ1829)</f>
        <v>0</v>
      </c>
      <c r="AR1269" s="121">
        <f>IF(tech_base!$T85&gt;AR$1185,"",AR1549+AR1829)</f>
        <v>0</v>
      </c>
      <c r="AS1269" s="121">
        <f>IF(tech_base!$T85&gt;AS$1185,"",AS1549+AS1829)</f>
        <v>0</v>
      </c>
      <c r="AT1269" s="121">
        <f>IF(tech_base!$T85&gt;AT$1185,"",AT1549+AT1829)</f>
        <v>0</v>
      </c>
      <c r="AU1269" s="121">
        <f>IF(tech_base!$T85&gt;AU$1185,"",AU1549+AU1829)</f>
        <v>0</v>
      </c>
      <c r="AV1269" s="121">
        <f>IF(tech_base!$T85&gt;AV$1185,"",AV1549+AV1829)</f>
        <v>0</v>
      </c>
      <c r="AW1269" s="121">
        <f>IF(tech_base!$T85&gt;AW$1185,"",AW1549+AW1829)</f>
        <v>0</v>
      </c>
      <c r="AX1269" s="122">
        <f>IF(tech_base!$T85&gt;AX$1185,"",AX1549+AX1829)</f>
        <v>0</v>
      </c>
    </row>
    <row r="1270" spans="1:50" x14ac:dyDescent="0.25">
      <c r="A1270" s="356"/>
      <c r="B1270" s="376"/>
      <c r="C1270" s="378"/>
      <c r="D1270" s="2" t="s">
        <v>8</v>
      </c>
      <c r="E1270" s="160" t="str">
        <f>A1269&amp;"/"&amp;B1269&amp;"/"&amp;C1269&amp;"/"&amp;D1270</f>
        <v>Gas fired power plants (Natural gas, biogas)/Gas turbine combined cycle/Electricity only/M</v>
      </c>
      <c r="F1270" s="76" t="str">
        <f>A1269</f>
        <v>Gas fired power plants (Natural gas, biogas)</v>
      </c>
      <c r="G1270" s="76" t="str">
        <f>B1269</f>
        <v>Gas turbine combined cycle</v>
      </c>
      <c r="H1270" s="76" t="str">
        <f>C1269</f>
        <v>Electricity only</v>
      </c>
      <c r="I1270" s="161" t="str">
        <f t="shared" si="373"/>
        <v>M</v>
      </c>
      <c r="J1270" s="119">
        <f>IF(tech_base!$T86&gt;J$1185,"",J1550+J1830)</f>
        <v>0</v>
      </c>
      <c r="K1270" s="119">
        <f>IF(tech_base!$T86&gt;K$1185,"",K1550+K1830)</f>
        <v>0</v>
      </c>
      <c r="L1270" s="119">
        <f>IF(tech_base!$T86&gt;L$1185,"",L1550+L1830)</f>
        <v>0</v>
      </c>
      <c r="M1270" s="119">
        <f>IF(tech_base!$T86&gt;M$1185,"",M1550+M1830)</f>
        <v>0</v>
      </c>
      <c r="N1270" s="119">
        <f>IF(tech_base!$T86&gt;N$1185,"",N1550+N1830)</f>
        <v>0</v>
      </c>
      <c r="O1270" s="119">
        <f>IF(tech_base!$T86&gt;O$1185,"",O1550+O1830)</f>
        <v>0</v>
      </c>
      <c r="P1270" s="119">
        <f>IF(tech_base!$T86&gt;P$1185,"",P1550+P1830)</f>
        <v>0</v>
      </c>
      <c r="Q1270" s="119">
        <f>IF(tech_base!$T86&gt;Q$1185,"",Q1550+Q1830)</f>
        <v>0</v>
      </c>
      <c r="R1270" s="119">
        <f>IF(tech_base!$T86&gt;R$1185,"",R1550+R1830)</f>
        <v>0</v>
      </c>
      <c r="S1270" s="119">
        <f>IF(tech_base!$T86&gt;S$1185,"",S1550+S1830)</f>
        <v>0</v>
      </c>
      <c r="T1270" s="119">
        <f>IF(tech_base!$T86&gt;T$1185,"",T1550+T1830)</f>
        <v>0</v>
      </c>
      <c r="U1270" s="119">
        <f>IF(tech_base!$T86&gt;U$1185,"",U1550+U1830)</f>
        <v>0</v>
      </c>
      <c r="V1270" s="119">
        <f>IF(tech_base!$T86&gt;V$1185,"",V1550+V1830)</f>
        <v>0</v>
      </c>
      <c r="W1270" s="119">
        <f>IF(tech_base!$T86&gt;W$1185,"",W1550+W1830)</f>
        <v>0</v>
      </c>
      <c r="X1270" s="119">
        <f>IF(tech_base!$T86&gt;X$1185,"",X1550+X1830)</f>
        <v>0</v>
      </c>
      <c r="Y1270" s="119">
        <f>IF(tech_base!$T86&gt;Y$1185,"",Y1550+Y1830)</f>
        <v>0</v>
      </c>
      <c r="Z1270" s="119">
        <f>IF(tech_base!$T86&gt;Z$1185,"",Z1550+Z1830)</f>
        <v>0</v>
      </c>
      <c r="AA1270" s="119">
        <f>IF(tech_base!$T86&gt;AA$1185,"",AA1550+AA1830)</f>
        <v>0</v>
      </c>
      <c r="AB1270" s="119">
        <f>IF(tech_base!$T86&gt;AB$1185,"",AB1550+AB1830)</f>
        <v>0</v>
      </c>
      <c r="AC1270" s="119">
        <f>IF(tech_base!$T86&gt;AC$1185,"",AC1550+AC1830)</f>
        <v>0</v>
      </c>
      <c r="AD1270" s="119">
        <f>IF(tech_base!$T86&gt;AD$1185,"",AD1550+AD1830)</f>
        <v>0</v>
      </c>
      <c r="AE1270" s="119">
        <f>IF(tech_base!$T86&gt;AE$1185,"",AE1550+AE1830)</f>
        <v>0</v>
      </c>
      <c r="AF1270" s="119">
        <f>IF(tech_base!$T86&gt;AF$1185,"",AF1550+AF1830)</f>
        <v>0</v>
      </c>
      <c r="AG1270" s="119">
        <f>IF(tech_base!$T86&gt;AG$1185,"",AG1550+AG1830)</f>
        <v>0</v>
      </c>
      <c r="AH1270" s="119">
        <f>IF(tech_base!$T86&gt;AH$1185,"",AH1550+AH1830)</f>
        <v>0</v>
      </c>
      <c r="AI1270" s="119">
        <f>IF(tech_base!$T86&gt;AI$1185,"",AI1550+AI1830)</f>
        <v>0</v>
      </c>
      <c r="AJ1270" s="119">
        <f>IF(tech_base!$T86&gt;AJ$1185,"",AJ1550+AJ1830)</f>
        <v>0</v>
      </c>
      <c r="AK1270" s="119">
        <f>IF(tech_base!$T86&gt;AK$1185,"",AK1550+AK1830)</f>
        <v>0</v>
      </c>
      <c r="AL1270" s="119">
        <f>IF(tech_base!$T86&gt;AL$1185,"",AL1550+AL1830)</f>
        <v>0</v>
      </c>
      <c r="AM1270" s="119">
        <f>IF(tech_base!$T86&gt;AM$1185,"",AM1550+AM1830)</f>
        <v>0</v>
      </c>
      <c r="AN1270" s="119">
        <f>IF(tech_base!$T86&gt;AN$1185,"",AN1550+AN1830)</f>
        <v>0</v>
      </c>
      <c r="AO1270" s="119">
        <f>IF(tech_base!$T86&gt;AO$1185,"",AO1550+AO1830)</f>
        <v>0</v>
      </c>
      <c r="AP1270" s="119">
        <f>IF(tech_base!$T86&gt;AP$1185,"",AP1550+AP1830)</f>
        <v>0</v>
      </c>
      <c r="AQ1270" s="119">
        <f>IF(tech_base!$T86&gt;AQ$1185,"",AQ1550+AQ1830)</f>
        <v>0</v>
      </c>
      <c r="AR1270" s="119">
        <f>IF(tech_base!$T86&gt;AR$1185,"",AR1550+AR1830)</f>
        <v>0</v>
      </c>
      <c r="AS1270" s="119">
        <f>IF(tech_base!$T86&gt;AS$1185,"",AS1550+AS1830)</f>
        <v>0</v>
      </c>
      <c r="AT1270" s="119">
        <f>IF(tech_base!$T86&gt;AT$1185,"",AT1550+AT1830)</f>
        <v>0</v>
      </c>
      <c r="AU1270" s="119">
        <f>IF(tech_base!$T86&gt;AU$1185,"",AU1550+AU1830)</f>
        <v>0</v>
      </c>
      <c r="AV1270" s="119">
        <f>IF(tech_base!$T86&gt;AV$1185,"",AV1550+AV1830)</f>
        <v>0</v>
      </c>
      <c r="AW1270" s="119">
        <f>IF(tech_base!$T86&gt;AW$1185,"",AW1550+AW1830)</f>
        <v>0</v>
      </c>
      <c r="AX1270" s="120">
        <f>IF(tech_base!$T86&gt;AX$1185,"",AX1550+AX1830)</f>
        <v>0</v>
      </c>
    </row>
    <row r="1271" spans="1:50" x14ac:dyDescent="0.25">
      <c r="A1271" s="356"/>
      <c r="B1271" s="376"/>
      <c r="C1271" s="378"/>
      <c r="D1271" s="2" t="s">
        <v>10</v>
      </c>
      <c r="E1271" s="160" t="str">
        <f>A1269&amp;"/"&amp;B1269&amp;"/"&amp;C1269&amp;"/"&amp;D1271</f>
        <v>Gas fired power plants (Natural gas, biogas)/Gas turbine combined cycle/Electricity only/S</v>
      </c>
      <c r="F1271" s="76" t="str">
        <f>A1269</f>
        <v>Gas fired power plants (Natural gas, biogas)</v>
      </c>
      <c r="G1271" s="76" t="str">
        <f>B1269</f>
        <v>Gas turbine combined cycle</v>
      </c>
      <c r="H1271" s="76" t="str">
        <f>C1269</f>
        <v>Electricity only</v>
      </c>
      <c r="I1271" s="161" t="str">
        <f t="shared" si="373"/>
        <v>S</v>
      </c>
      <c r="J1271" s="119">
        <f>IF(tech_base!$T87&gt;J$1185,"",J1551+J1831)</f>
        <v>0</v>
      </c>
      <c r="K1271" s="119">
        <f>IF(tech_base!$T87&gt;K$1185,"",K1551+K1831)</f>
        <v>0</v>
      </c>
      <c r="L1271" s="119">
        <f>IF(tech_base!$T87&gt;L$1185,"",L1551+L1831)</f>
        <v>0</v>
      </c>
      <c r="M1271" s="119">
        <f>IF(tech_base!$T87&gt;M$1185,"",M1551+M1831)</f>
        <v>0</v>
      </c>
      <c r="N1271" s="119">
        <f>IF(tech_base!$T87&gt;N$1185,"",N1551+N1831)</f>
        <v>0</v>
      </c>
      <c r="O1271" s="119">
        <f>IF(tech_base!$T87&gt;O$1185,"",O1551+O1831)</f>
        <v>0</v>
      </c>
      <c r="P1271" s="119">
        <f>IF(tech_base!$T87&gt;P$1185,"",P1551+P1831)</f>
        <v>0</v>
      </c>
      <c r="Q1271" s="119">
        <f>IF(tech_base!$T87&gt;Q$1185,"",Q1551+Q1831)</f>
        <v>0</v>
      </c>
      <c r="R1271" s="119">
        <f>IF(tech_base!$T87&gt;R$1185,"",R1551+R1831)</f>
        <v>0</v>
      </c>
      <c r="S1271" s="119">
        <f>IF(tech_base!$T87&gt;S$1185,"",S1551+S1831)</f>
        <v>0</v>
      </c>
      <c r="T1271" s="119">
        <f>IF(tech_base!$T87&gt;T$1185,"",T1551+T1831)</f>
        <v>0</v>
      </c>
      <c r="U1271" s="119">
        <f>IF(tech_base!$T87&gt;U$1185,"",U1551+U1831)</f>
        <v>0</v>
      </c>
      <c r="V1271" s="119">
        <f>IF(tech_base!$T87&gt;V$1185,"",V1551+V1831)</f>
        <v>0</v>
      </c>
      <c r="W1271" s="119">
        <f>IF(tech_base!$T87&gt;W$1185,"",W1551+W1831)</f>
        <v>0</v>
      </c>
      <c r="X1271" s="119">
        <f>IF(tech_base!$T87&gt;X$1185,"",X1551+X1831)</f>
        <v>0</v>
      </c>
      <c r="Y1271" s="119">
        <f>IF(tech_base!$T87&gt;Y$1185,"",Y1551+Y1831)</f>
        <v>0</v>
      </c>
      <c r="Z1271" s="119">
        <f>IF(tech_base!$T87&gt;Z$1185,"",Z1551+Z1831)</f>
        <v>0</v>
      </c>
      <c r="AA1271" s="119">
        <f>IF(tech_base!$T87&gt;AA$1185,"",AA1551+AA1831)</f>
        <v>0</v>
      </c>
      <c r="AB1271" s="119">
        <f>IF(tech_base!$T87&gt;AB$1185,"",AB1551+AB1831)</f>
        <v>0</v>
      </c>
      <c r="AC1271" s="119">
        <f>IF(tech_base!$T87&gt;AC$1185,"",AC1551+AC1831)</f>
        <v>0</v>
      </c>
      <c r="AD1271" s="119">
        <f>IF(tech_base!$T87&gt;AD$1185,"",AD1551+AD1831)</f>
        <v>0</v>
      </c>
      <c r="AE1271" s="119">
        <f>IF(tech_base!$T87&gt;AE$1185,"",AE1551+AE1831)</f>
        <v>0</v>
      </c>
      <c r="AF1271" s="119">
        <f>IF(tech_base!$T87&gt;AF$1185,"",AF1551+AF1831)</f>
        <v>0</v>
      </c>
      <c r="AG1271" s="119">
        <f>IF(tech_base!$T87&gt;AG$1185,"",AG1551+AG1831)</f>
        <v>0</v>
      </c>
      <c r="AH1271" s="119">
        <f>IF(tech_base!$T87&gt;AH$1185,"",AH1551+AH1831)</f>
        <v>0</v>
      </c>
      <c r="AI1271" s="119">
        <f>IF(tech_base!$T87&gt;AI$1185,"",AI1551+AI1831)</f>
        <v>0</v>
      </c>
      <c r="AJ1271" s="119">
        <f>IF(tech_base!$T87&gt;AJ$1185,"",AJ1551+AJ1831)</f>
        <v>0</v>
      </c>
      <c r="AK1271" s="119">
        <f>IF(tech_base!$T87&gt;AK$1185,"",AK1551+AK1831)</f>
        <v>0</v>
      </c>
      <c r="AL1271" s="119">
        <f>IF(tech_base!$T87&gt;AL$1185,"",AL1551+AL1831)</f>
        <v>0</v>
      </c>
      <c r="AM1271" s="119">
        <f>IF(tech_base!$T87&gt;AM$1185,"",AM1551+AM1831)</f>
        <v>0</v>
      </c>
      <c r="AN1271" s="119">
        <f>IF(tech_base!$T87&gt;AN$1185,"",AN1551+AN1831)</f>
        <v>0</v>
      </c>
      <c r="AO1271" s="119">
        <f>IF(tech_base!$T87&gt;AO$1185,"",AO1551+AO1831)</f>
        <v>0</v>
      </c>
      <c r="AP1271" s="119">
        <f>IF(tech_base!$T87&gt;AP$1185,"",AP1551+AP1831)</f>
        <v>0</v>
      </c>
      <c r="AQ1271" s="119">
        <f>IF(tech_base!$T87&gt;AQ$1185,"",AQ1551+AQ1831)</f>
        <v>0</v>
      </c>
      <c r="AR1271" s="119">
        <f>IF(tech_base!$T87&gt;AR$1185,"",AR1551+AR1831)</f>
        <v>0</v>
      </c>
      <c r="AS1271" s="119">
        <f>IF(tech_base!$T87&gt;AS$1185,"",AS1551+AS1831)</f>
        <v>0</v>
      </c>
      <c r="AT1271" s="119">
        <f>IF(tech_base!$T87&gt;AT$1185,"",AT1551+AT1831)</f>
        <v>0</v>
      </c>
      <c r="AU1271" s="119">
        <f>IF(tech_base!$T87&gt;AU$1185,"",AU1551+AU1831)</f>
        <v>0</v>
      </c>
      <c r="AV1271" s="119">
        <f>IF(tech_base!$T87&gt;AV$1185,"",AV1551+AV1831)</f>
        <v>0</v>
      </c>
      <c r="AW1271" s="119">
        <f>IF(tech_base!$T87&gt;AW$1185,"",AW1551+AW1831)</f>
        <v>0</v>
      </c>
      <c r="AX1271" s="120">
        <f>IF(tech_base!$T87&gt;AX$1185,"",AX1551+AX1831)</f>
        <v>0</v>
      </c>
    </row>
    <row r="1272" spans="1:50" x14ac:dyDescent="0.25">
      <c r="A1272" s="356"/>
      <c r="B1272" s="376"/>
      <c r="C1272" s="379"/>
      <c r="D1272" s="2" t="s">
        <v>20</v>
      </c>
      <c r="E1272" s="160" t="str">
        <f>A1269&amp;"/"&amp;B1269&amp;"/"&amp;C1269&amp;"/"&amp;D1272</f>
        <v>Gas fired power plants (Natural gas, biogas)/Gas turbine combined cycle/Electricity only/XS</v>
      </c>
      <c r="F1272" s="76" t="str">
        <f>A1269</f>
        <v>Gas fired power plants (Natural gas, biogas)</v>
      </c>
      <c r="G1272" s="76" t="str">
        <f>B1269</f>
        <v>Gas turbine combined cycle</v>
      </c>
      <c r="H1272" s="76" t="str">
        <f>C1269</f>
        <v>Electricity only</v>
      </c>
      <c r="I1272" s="161" t="str">
        <f t="shared" si="373"/>
        <v>XS</v>
      </c>
      <c r="J1272" s="119">
        <f>IF(tech_base!$T88&gt;J$1185,"",J1552+J1832)</f>
        <v>0</v>
      </c>
      <c r="K1272" s="119">
        <f>IF(tech_base!$T88&gt;K$1185,"",K1552+K1832)</f>
        <v>0</v>
      </c>
      <c r="L1272" s="119">
        <f>IF(tech_base!$T88&gt;L$1185,"",L1552+L1832)</f>
        <v>0</v>
      </c>
      <c r="M1272" s="119">
        <f>IF(tech_base!$T88&gt;M$1185,"",M1552+M1832)</f>
        <v>0</v>
      </c>
      <c r="N1272" s="119">
        <f>IF(tech_base!$T88&gt;N$1185,"",N1552+N1832)</f>
        <v>0</v>
      </c>
      <c r="O1272" s="119">
        <f>IF(tech_base!$T88&gt;O$1185,"",O1552+O1832)</f>
        <v>0</v>
      </c>
      <c r="P1272" s="119">
        <f>IF(tech_base!$T88&gt;P$1185,"",P1552+P1832)</f>
        <v>0</v>
      </c>
      <c r="Q1272" s="119">
        <f>IF(tech_base!$T88&gt;Q$1185,"",Q1552+Q1832)</f>
        <v>0</v>
      </c>
      <c r="R1272" s="119">
        <f>IF(tech_base!$T88&gt;R$1185,"",R1552+R1832)</f>
        <v>0</v>
      </c>
      <c r="S1272" s="119">
        <f>IF(tech_base!$T88&gt;S$1185,"",S1552+S1832)</f>
        <v>0</v>
      </c>
      <c r="T1272" s="119">
        <f>IF(tech_base!$T88&gt;T$1185,"",T1552+T1832)</f>
        <v>0</v>
      </c>
      <c r="U1272" s="119">
        <f>IF(tech_base!$T88&gt;U$1185,"",U1552+U1832)</f>
        <v>0</v>
      </c>
      <c r="V1272" s="119">
        <f>IF(tech_base!$T88&gt;V$1185,"",V1552+V1832)</f>
        <v>0</v>
      </c>
      <c r="W1272" s="119">
        <f>IF(tech_base!$T88&gt;W$1185,"",W1552+W1832)</f>
        <v>0</v>
      </c>
      <c r="X1272" s="119">
        <f>IF(tech_base!$T88&gt;X$1185,"",X1552+X1832)</f>
        <v>0</v>
      </c>
      <c r="Y1272" s="119">
        <f>IF(tech_base!$T88&gt;Y$1185,"",Y1552+Y1832)</f>
        <v>0</v>
      </c>
      <c r="Z1272" s="119">
        <f>IF(tech_base!$T88&gt;Z$1185,"",Z1552+Z1832)</f>
        <v>0</v>
      </c>
      <c r="AA1272" s="119">
        <f>IF(tech_base!$T88&gt;AA$1185,"",AA1552+AA1832)</f>
        <v>0</v>
      </c>
      <c r="AB1272" s="119">
        <f>IF(tech_base!$T88&gt;AB$1185,"",AB1552+AB1832)</f>
        <v>0</v>
      </c>
      <c r="AC1272" s="119">
        <f>IF(tech_base!$T88&gt;AC$1185,"",AC1552+AC1832)</f>
        <v>0</v>
      </c>
      <c r="AD1272" s="119">
        <f>IF(tech_base!$T88&gt;AD$1185,"",AD1552+AD1832)</f>
        <v>0</v>
      </c>
      <c r="AE1272" s="119">
        <f>IF(tech_base!$T88&gt;AE$1185,"",AE1552+AE1832)</f>
        <v>0</v>
      </c>
      <c r="AF1272" s="119">
        <f>IF(tech_base!$T88&gt;AF$1185,"",AF1552+AF1832)</f>
        <v>0</v>
      </c>
      <c r="AG1272" s="119">
        <f>IF(tech_base!$T88&gt;AG$1185,"",AG1552+AG1832)</f>
        <v>0</v>
      </c>
      <c r="AH1272" s="119">
        <f>IF(tech_base!$T88&gt;AH$1185,"",AH1552+AH1832)</f>
        <v>0</v>
      </c>
      <c r="AI1272" s="119">
        <f>IF(tech_base!$T88&gt;AI$1185,"",AI1552+AI1832)</f>
        <v>0</v>
      </c>
      <c r="AJ1272" s="119">
        <f>IF(tech_base!$T88&gt;AJ$1185,"",AJ1552+AJ1832)</f>
        <v>0</v>
      </c>
      <c r="AK1272" s="119">
        <f>IF(tech_base!$T88&gt;AK$1185,"",AK1552+AK1832)</f>
        <v>0</v>
      </c>
      <c r="AL1272" s="119">
        <f>IF(tech_base!$T88&gt;AL$1185,"",AL1552+AL1832)</f>
        <v>0</v>
      </c>
      <c r="AM1272" s="119">
        <f>IF(tech_base!$T88&gt;AM$1185,"",AM1552+AM1832)</f>
        <v>0</v>
      </c>
      <c r="AN1272" s="119">
        <f>IF(tech_base!$T88&gt;AN$1185,"",AN1552+AN1832)</f>
        <v>0</v>
      </c>
      <c r="AO1272" s="119">
        <f>IF(tech_base!$T88&gt;AO$1185,"",AO1552+AO1832)</f>
        <v>0</v>
      </c>
      <c r="AP1272" s="119">
        <f>IF(tech_base!$T88&gt;AP$1185,"",AP1552+AP1832)</f>
        <v>0</v>
      </c>
      <c r="AQ1272" s="119">
        <f>IF(tech_base!$T88&gt;AQ$1185,"",AQ1552+AQ1832)</f>
        <v>0</v>
      </c>
      <c r="AR1272" s="119">
        <f>IF(tech_base!$T88&gt;AR$1185,"",AR1552+AR1832)</f>
        <v>0</v>
      </c>
      <c r="AS1272" s="119">
        <f>IF(tech_base!$T88&gt;AS$1185,"",AS1552+AS1832)</f>
        <v>0</v>
      </c>
      <c r="AT1272" s="119">
        <f>IF(tech_base!$T88&gt;AT$1185,"",AT1552+AT1832)</f>
        <v>0</v>
      </c>
      <c r="AU1272" s="119">
        <f>IF(tech_base!$T88&gt;AU$1185,"",AU1552+AU1832)</f>
        <v>0</v>
      </c>
      <c r="AV1272" s="119">
        <f>IF(tech_base!$T88&gt;AV$1185,"",AV1552+AV1832)</f>
        <v>0</v>
      </c>
      <c r="AW1272" s="119">
        <f>IF(tech_base!$T88&gt;AW$1185,"",AW1552+AW1832)</f>
        <v>0</v>
      </c>
      <c r="AX1272" s="120">
        <f>IF(tech_base!$T88&gt;AX$1185,"",AX1552+AX1832)</f>
        <v>0</v>
      </c>
    </row>
    <row r="1273" spans="1:50" x14ac:dyDescent="0.25">
      <c r="A1273" s="356"/>
      <c r="B1273" s="376"/>
      <c r="C1273" s="361" t="s">
        <v>14</v>
      </c>
      <c r="D1273" s="58" t="s">
        <v>7</v>
      </c>
      <c r="E1273" s="164" t="str">
        <f>A1269&amp;"/"&amp;B1269&amp;"/"&amp;C1273&amp;"/"&amp;D1273</f>
        <v>Gas fired power plants (Natural gas, biogas)/Gas turbine combined cycle/CHP/L</v>
      </c>
      <c r="F1273" s="78" t="str">
        <f>A1269</f>
        <v>Gas fired power plants (Natural gas, biogas)</v>
      </c>
      <c r="G1273" s="78" t="str">
        <f>B1269</f>
        <v>Gas turbine combined cycle</v>
      </c>
      <c r="H1273" s="78" t="str">
        <f>C1273</f>
        <v>CHP</v>
      </c>
      <c r="I1273" s="165" t="str">
        <f t="shared" si="373"/>
        <v>L</v>
      </c>
      <c r="J1273" s="123">
        <f>IF(tech_base!$T89&gt;J$1185,"",J1553+J1833)</f>
        <v>0</v>
      </c>
      <c r="K1273" s="123">
        <f>IF(tech_base!$T89&gt;K$1185,"",K1553+K1833)</f>
        <v>0</v>
      </c>
      <c r="L1273" s="123">
        <f>IF(tech_base!$T89&gt;L$1185,"",L1553+L1833)</f>
        <v>0</v>
      </c>
      <c r="M1273" s="123">
        <f>IF(tech_base!$T89&gt;M$1185,"",M1553+M1833)</f>
        <v>0</v>
      </c>
      <c r="N1273" s="123">
        <f>IF(tech_base!$T89&gt;N$1185,"",N1553+N1833)</f>
        <v>0</v>
      </c>
      <c r="O1273" s="123">
        <f>IF(tech_base!$T89&gt;O$1185,"",O1553+O1833)</f>
        <v>0</v>
      </c>
      <c r="P1273" s="123">
        <f>IF(tech_base!$T89&gt;P$1185,"",P1553+P1833)</f>
        <v>0</v>
      </c>
      <c r="Q1273" s="123">
        <f>IF(tech_base!$T89&gt;Q$1185,"",Q1553+Q1833)</f>
        <v>0</v>
      </c>
      <c r="R1273" s="123">
        <f>IF(tech_base!$T89&gt;R$1185,"",R1553+R1833)</f>
        <v>0</v>
      </c>
      <c r="S1273" s="123">
        <f>IF(tech_base!$T89&gt;S$1185,"",S1553+S1833)</f>
        <v>0</v>
      </c>
      <c r="T1273" s="123">
        <f>IF(tech_base!$T89&gt;T$1185,"",T1553+T1833)</f>
        <v>0</v>
      </c>
      <c r="U1273" s="123">
        <f>IF(tech_base!$T89&gt;U$1185,"",U1553+U1833)</f>
        <v>0</v>
      </c>
      <c r="V1273" s="123">
        <f>IF(tech_base!$T89&gt;V$1185,"",V1553+V1833)</f>
        <v>0</v>
      </c>
      <c r="W1273" s="123">
        <f>IF(tech_base!$T89&gt;W$1185,"",W1553+W1833)</f>
        <v>0</v>
      </c>
      <c r="X1273" s="123">
        <f>IF(tech_base!$T89&gt;X$1185,"",X1553+X1833)</f>
        <v>0</v>
      </c>
      <c r="Y1273" s="123">
        <f>IF(tech_base!$T89&gt;Y$1185,"",Y1553+Y1833)</f>
        <v>0</v>
      </c>
      <c r="Z1273" s="123">
        <f>IF(tech_base!$T89&gt;Z$1185,"",Z1553+Z1833)</f>
        <v>0</v>
      </c>
      <c r="AA1273" s="123">
        <f>IF(tech_base!$T89&gt;AA$1185,"",AA1553+AA1833)</f>
        <v>0</v>
      </c>
      <c r="AB1273" s="123">
        <f>IF(tech_base!$T89&gt;AB$1185,"",AB1553+AB1833)</f>
        <v>0</v>
      </c>
      <c r="AC1273" s="123">
        <f>IF(tech_base!$T89&gt;AC$1185,"",AC1553+AC1833)</f>
        <v>0</v>
      </c>
      <c r="AD1273" s="123">
        <f>IF(tech_base!$T89&gt;AD$1185,"",AD1553+AD1833)</f>
        <v>0</v>
      </c>
      <c r="AE1273" s="123">
        <f>IF(tech_base!$T89&gt;AE$1185,"",AE1553+AE1833)</f>
        <v>0</v>
      </c>
      <c r="AF1273" s="123">
        <f>IF(tech_base!$T89&gt;AF$1185,"",AF1553+AF1833)</f>
        <v>0</v>
      </c>
      <c r="AG1273" s="123">
        <f>IF(tech_base!$T89&gt;AG$1185,"",AG1553+AG1833)</f>
        <v>0</v>
      </c>
      <c r="AH1273" s="123">
        <f>IF(tech_base!$T89&gt;AH$1185,"",AH1553+AH1833)</f>
        <v>0</v>
      </c>
      <c r="AI1273" s="123">
        <f>IF(tech_base!$T89&gt;AI$1185,"",AI1553+AI1833)</f>
        <v>0</v>
      </c>
      <c r="AJ1273" s="123">
        <f>IF(tech_base!$T89&gt;AJ$1185,"",AJ1553+AJ1833)</f>
        <v>0</v>
      </c>
      <c r="AK1273" s="123">
        <f>IF(tech_base!$T89&gt;AK$1185,"",AK1553+AK1833)</f>
        <v>0</v>
      </c>
      <c r="AL1273" s="123">
        <f>IF(tech_base!$T89&gt;AL$1185,"",AL1553+AL1833)</f>
        <v>0</v>
      </c>
      <c r="AM1273" s="123">
        <f>IF(tech_base!$T89&gt;AM$1185,"",AM1553+AM1833)</f>
        <v>0</v>
      </c>
      <c r="AN1273" s="123">
        <f>IF(tech_base!$T89&gt;AN$1185,"",AN1553+AN1833)</f>
        <v>0</v>
      </c>
      <c r="AO1273" s="123">
        <f>IF(tech_base!$T89&gt;AO$1185,"",AO1553+AO1833)</f>
        <v>0</v>
      </c>
      <c r="AP1273" s="123">
        <f>IF(tech_base!$T89&gt;AP$1185,"",AP1553+AP1833)</f>
        <v>0</v>
      </c>
      <c r="AQ1273" s="123">
        <f>IF(tech_base!$T89&gt;AQ$1185,"",AQ1553+AQ1833)</f>
        <v>0</v>
      </c>
      <c r="AR1273" s="123">
        <f>IF(tech_base!$T89&gt;AR$1185,"",AR1553+AR1833)</f>
        <v>0</v>
      </c>
      <c r="AS1273" s="123">
        <f>IF(tech_base!$T89&gt;AS$1185,"",AS1553+AS1833)</f>
        <v>0</v>
      </c>
      <c r="AT1273" s="123">
        <f>IF(tech_base!$T89&gt;AT$1185,"",AT1553+AT1833)</f>
        <v>0</v>
      </c>
      <c r="AU1273" s="123">
        <f>IF(tech_base!$T89&gt;AU$1185,"",AU1553+AU1833)</f>
        <v>0</v>
      </c>
      <c r="AV1273" s="123">
        <f>IF(tech_base!$T89&gt;AV$1185,"",AV1553+AV1833)</f>
        <v>0</v>
      </c>
      <c r="AW1273" s="123">
        <f>IF(tech_base!$T89&gt;AW$1185,"",AW1553+AW1833)</f>
        <v>0</v>
      </c>
      <c r="AX1273" s="124">
        <f>IF(tech_base!$T89&gt;AX$1185,"",AX1553+AX1833)</f>
        <v>0</v>
      </c>
    </row>
    <row r="1274" spans="1:50" x14ac:dyDescent="0.25">
      <c r="A1274" s="356"/>
      <c r="B1274" s="376"/>
      <c r="C1274" s="378"/>
      <c r="D1274" s="2" t="s">
        <v>8</v>
      </c>
      <c r="E1274" s="160" t="str">
        <f>A1269&amp;"/"&amp;B1269&amp;"/"&amp;C1273&amp;"/"&amp;D1274</f>
        <v>Gas fired power plants (Natural gas, biogas)/Gas turbine combined cycle/CHP/M</v>
      </c>
      <c r="F1274" s="76" t="str">
        <f>A1269</f>
        <v>Gas fired power plants (Natural gas, biogas)</v>
      </c>
      <c r="G1274" s="76" t="str">
        <f>B1269</f>
        <v>Gas turbine combined cycle</v>
      </c>
      <c r="H1274" s="76" t="str">
        <f>C1273</f>
        <v>CHP</v>
      </c>
      <c r="I1274" s="161" t="str">
        <f t="shared" si="373"/>
        <v>M</v>
      </c>
      <c r="J1274" s="119">
        <f>IF(tech_base!$T90&gt;J$1185,"",J1554+J1834)</f>
        <v>0</v>
      </c>
      <c r="K1274" s="119">
        <f>IF(tech_base!$T90&gt;K$1185,"",K1554+K1834)</f>
        <v>0</v>
      </c>
      <c r="L1274" s="119">
        <f>IF(tech_base!$T90&gt;L$1185,"",L1554+L1834)</f>
        <v>0</v>
      </c>
      <c r="M1274" s="119">
        <f>IF(tech_base!$T90&gt;M$1185,"",M1554+M1834)</f>
        <v>0</v>
      </c>
      <c r="N1274" s="119">
        <f>IF(tech_base!$T90&gt;N$1185,"",N1554+N1834)</f>
        <v>0</v>
      </c>
      <c r="O1274" s="119">
        <f>IF(tech_base!$T90&gt;O$1185,"",O1554+O1834)</f>
        <v>0</v>
      </c>
      <c r="P1274" s="119">
        <f>IF(tech_base!$T90&gt;P$1185,"",P1554+P1834)</f>
        <v>0</v>
      </c>
      <c r="Q1274" s="119">
        <f>IF(tech_base!$T90&gt;Q$1185,"",Q1554+Q1834)</f>
        <v>0</v>
      </c>
      <c r="R1274" s="119">
        <f>IF(tech_base!$T90&gt;R$1185,"",R1554+R1834)</f>
        <v>0</v>
      </c>
      <c r="S1274" s="119">
        <f>IF(tech_base!$T90&gt;S$1185,"",S1554+S1834)</f>
        <v>0</v>
      </c>
      <c r="T1274" s="119">
        <f>IF(tech_base!$T90&gt;T$1185,"",T1554+T1834)</f>
        <v>0</v>
      </c>
      <c r="U1274" s="119">
        <f>IF(tech_base!$T90&gt;U$1185,"",U1554+U1834)</f>
        <v>0</v>
      </c>
      <c r="V1274" s="119">
        <f>IF(tech_base!$T90&gt;V$1185,"",V1554+V1834)</f>
        <v>0</v>
      </c>
      <c r="W1274" s="119">
        <f>IF(tech_base!$T90&gt;W$1185,"",W1554+W1834)</f>
        <v>0</v>
      </c>
      <c r="X1274" s="119">
        <f>IF(tech_base!$T90&gt;X$1185,"",X1554+X1834)</f>
        <v>0</v>
      </c>
      <c r="Y1274" s="119">
        <f>IF(tech_base!$T90&gt;Y$1185,"",Y1554+Y1834)</f>
        <v>0</v>
      </c>
      <c r="Z1274" s="119">
        <f>IF(tech_base!$T90&gt;Z$1185,"",Z1554+Z1834)</f>
        <v>0</v>
      </c>
      <c r="AA1274" s="119">
        <f>IF(tech_base!$T90&gt;AA$1185,"",AA1554+AA1834)</f>
        <v>0</v>
      </c>
      <c r="AB1274" s="119">
        <f>IF(tech_base!$T90&gt;AB$1185,"",AB1554+AB1834)</f>
        <v>0</v>
      </c>
      <c r="AC1274" s="119">
        <f>IF(tech_base!$T90&gt;AC$1185,"",AC1554+AC1834)</f>
        <v>0</v>
      </c>
      <c r="AD1274" s="119">
        <f>IF(tech_base!$T90&gt;AD$1185,"",AD1554+AD1834)</f>
        <v>0</v>
      </c>
      <c r="AE1274" s="119">
        <f>IF(tech_base!$T90&gt;AE$1185,"",AE1554+AE1834)</f>
        <v>0</v>
      </c>
      <c r="AF1274" s="119">
        <f>IF(tech_base!$T90&gt;AF$1185,"",AF1554+AF1834)</f>
        <v>0</v>
      </c>
      <c r="AG1274" s="119">
        <f>IF(tech_base!$T90&gt;AG$1185,"",AG1554+AG1834)</f>
        <v>0</v>
      </c>
      <c r="AH1274" s="119">
        <f>IF(tech_base!$T90&gt;AH$1185,"",AH1554+AH1834)</f>
        <v>0</v>
      </c>
      <c r="AI1274" s="119">
        <f>IF(tech_base!$T90&gt;AI$1185,"",AI1554+AI1834)</f>
        <v>0</v>
      </c>
      <c r="AJ1274" s="119">
        <f>IF(tech_base!$T90&gt;AJ$1185,"",AJ1554+AJ1834)</f>
        <v>0</v>
      </c>
      <c r="AK1274" s="119">
        <f>IF(tech_base!$T90&gt;AK$1185,"",AK1554+AK1834)</f>
        <v>0</v>
      </c>
      <c r="AL1274" s="119">
        <f>IF(tech_base!$T90&gt;AL$1185,"",AL1554+AL1834)</f>
        <v>0</v>
      </c>
      <c r="AM1274" s="119">
        <f>IF(tech_base!$T90&gt;AM$1185,"",AM1554+AM1834)</f>
        <v>0</v>
      </c>
      <c r="AN1274" s="119">
        <f>IF(tech_base!$T90&gt;AN$1185,"",AN1554+AN1834)</f>
        <v>0</v>
      </c>
      <c r="AO1274" s="119">
        <f>IF(tech_base!$T90&gt;AO$1185,"",AO1554+AO1834)</f>
        <v>0</v>
      </c>
      <c r="AP1274" s="119">
        <f>IF(tech_base!$T90&gt;AP$1185,"",AP1554+AP1834)</f>
        <v>0</v>
      </c>
      <c r="AQ1274" s="119">
        <f>IF(tech_base!$T90&gt;AQ$1185,"",AQ1554+AQ1834)</f>
        <v>0</v>
      </c>
      <c r="AR1274" s="119">
        <f>IF(tech_base!$T90&gt;AR$1185,"",AR1554+AR1834)</f>
        <v>0</v>
      </c>
      <c r="AS1274" s="119">
        <f>IF(tech_base!$T90&gt;AS$1185,"",AS1554+AS1834)</f>
        <v>0</v>
      </c>
      <c r="AT1274" s="119">
        <f>IF(tech_base!$T90&gt;AT$1185,"",AT1554+AT1834)</f>
        <v>0</v>
      </c>
      <c r="AU1274" s="119">
        <f>IF(tech_base!$T90&gt;AU$1185,"",AU1554+AU1834)</f>
        <v>0</v>
      </c>
      <c r="AV1274" s="119">
        <f>IF(tech_base!$T90&gt;AV$1185,"",AV1554+AV1834)</f>
        <v>0</v>
      </c>
      <c r="AW1274" s="119">
        <f>IF(tech_base!$T90&gt;AW$1185,"",AW1554+AW1834)</f>
        <v>0</v>
      </c>
      <c r="AX1274" s="120">
        <f>IF(tech_base!$T90&gt;AX$1185,"",AX1554+AX1834)</f>
        <v>0</v>
      </c>
    </row>
    <row r="1275" spans="1:50" x14ac:dyDescent="0.25">
      <c r="A1275" s="356"/>
      <c r="B1275" s="376"/>
      <c r="C1275" s="378"/>
      <c r="D1275" s="2" t="s">
        <v>10</v>
      </c>
      <c r="E1275" s="160" t="str">
        <f>A1269&amp;"/"&amp;B1269&amp;"/"&amp;C1273&amp;"/"&amp;D1275</f>
        <v>Gas fired power plants (Natural gas, biogas)/Gas turbine combined cycle/CHP/S</v>
      </c>
      <c r="F1275" s="76" t="str">
        <f>A1269</f>
        <v>Gas fired power plants (Natural gas, biogas)</v>
      </c>
      <c r="G1275" s="76" t="str">
        <f>B1269</f>
        <v>Gas turbine combined cycle</v>
      </c>
      <c r="H1275" s="76" t="str">
        <f>C1273</f>
        <v>CHP</v>
      </c>
      <c r="I1275" s="161" t="str">
        <f t="shared" si="373"/>
        <v>S</v>
      </c>
      <c r="J1275" s="119">
        <f>IF(tech_base!$T91&gt;J$1185,"",J1555+J1835)</f>
        <v>0</v>
      </c>
      <c r="K1275" s="119">
        <f>IF(tech_base!$T91&gt;K$1185,"",K1555+K1835)</f>
        <v>0</v>
      </c>
      <c r="L1275" s="119">
        <f>IF(tech_base!$T91&gt;L$1185,"",L1555+L1835)</f>
        <v>0</v>
      </c>
      <c r="M1275" s="119">
        <f>IF(tech_base!$T91&gt;M$1185,"",M1555+M1835)</f>
        <v>0</v>
      </c>
      <c r="N1275" s="119">
        <f>IF(tech_base!$T91&gt;N$1185,"",N1555+N1835)</f>
        <v>0</v>
      </c>
      <c r="O1275" s="119">
        <f>IF(tech_base!$T91&gt;O$1185,"",O1555+O1835)</f>
        <v>0</v>
      </c>
      <c r="P1275" s="119">
        <f>IF(tech_base!$T91&gt;P$1185,"",P1555+P1835)</f>
        <v>0</v>
      </c>
      <c r="Q1275" s="119">
        <f>IF(tech_base!$T91&gt;Q$1185,"",Q1555+Q1835)</f>
        <v>0</v>
      </c>
      <c r="R1275" s="119">
        <f>IF(tech_base!$T91&gt;R$1185,"",R1555+R1835)</f>
        <v>0</v>
      </c>
      <c r="S1275" s="119">
        <f>IF(tech_base!$T91&gt;S$1185,"",S1555+S1835)</f>
        <v>0</v>
      </c>
      <c r="T1275" s="119">
        <f>IF(tech_base!$T91&gt;T$1185,"",T1555+T1835)</f>
        <v>0</v>
      </c>
      <c r="U1275" s="119">
        <f>IF(tech_base!$T91&gt;U$1185,"",U1555+U1835)</f>
        <v>0</v>
      </c>
      <c r="V1275" s="119">
        <f>IF(tech_base!$T91&gt;V$1185,"",V1555+V1835)</f>
        <v>0</v>
      </c>
      <c r="W1275" s="119">
        <f>IF(tech_base!$T91&gt;W$1185,"",W1555+W1835)</f>
        <v>0</v>
      </c>
      <c r="X1275" s="119">
        <f>IF(tech_base!$T91&gt;X$1185,"",X1555+X1835)</f>
        <v>0</v>
      </c>
      <c r="Y1275" s="119">
        <f>IF(tech_base!$T91&gt;Y$1185,"",Y1555+Y1835)</f>
        <v>0</v>
      </c>
      <c r="Z1275" s="119">
        <f>IF(tech_base!$T91&gt;Z$1185,"",Z1555+Z1835)</f>
        <v>0</v>
      </c>
      <c r="AA1275" s="119">
        <f>IF(tech_base!$T91&gt;AA$1185,"",AA1555+AA1835)</f>
        <v>0</v>
      </c>
      <c r="AB1275" s="119">
        <f>IF(tech_base!$T91&gt;AB$1185,"",AB1555+AB1835)</f>
        <v>0</v>
      </c>
      <c r="AC1275" s="119">
        <f>IF(tech_base!$T91&gt;AC$1185,"",AC1555+AC1835)</f>
        <v>0</v>
      </c>
      <c r="AD1275" s="119">
        <f>IF(tech_base!$T91&gt;AD$1185,"",AD1555+AD1835)</f>
        <v>0</v>
      </c>
      <c r="AE1275" s="119">
        <f>IF(tech_base!$T91&gt;AE$1185,"",AE1555+AE1835)</f>
        <v>0</v>
      </c>
      <c r="AF1275" s="119">
        <f>IF(tech_base!$T91&gt;AF$1185,"",AF1555+AF1835)</f>
        <v>0</v>
      </c>
      <c r="AG1275" s="119">
        <f>IF(tech_base!$T91&gt;AG$1185,"",AG1555+AG1835)</f>
        <v>0</v>
      </c>
      <c r="AH1275" s="119">
        <f>IF(tech_base!$T91&gt;AH$1185,"",AH1555+AH1835)</f>
        <v>0</v>
      </c>
      <c r="AI1275" s="119">
        <f>IF(tech_base!$T91&gt;AI$1185,"",AI1555+AI1835)</f>
        <v>0</v>
      </c>
      <c r="AJ1275" s="119">
        <f>IF(tech_base!$T91&gt;AJ$1185,"",AJ1555+AJ1835)</f>
        <v>0</v>
      </c>
      <c r="AK1275" s="119">
        <f>IF(tech_base!$T91&gt;AK$1185,"",AK1555+AK1835)</f>
        <v>0</v>
      </c>
      <c r="AL1275" s="119">
        <f>IF(tech_base!$T91&gt;AL$1185,"",AL1555+AL1835)</f>
        <v>0</v>
      </c>
      <c r="AM1275" s="119">
        <f>IF(tech_base!$T91&gt;AM$1185,"",AM1555+AM1835)</f>
        <v>0</v>
      </c>
      <c r="AN1275" s="119">
        <f>IF(tech_base!$T91&gt;AN$1185,"",AN1555+AN1835)</f>
        <v>0</v>
      </c>
      <c r="AO1275" s="119">
        <f>IF(tech_base!$T91&gt;AO$1185,"",AO1555+AO1835)</f>
        <v>0</v>
      </c>
      <c r="AP1275" s="119">
        <f>IF(tech_base!$T91&gt;AP$1185,"",AP1555+AP1835)</f>
        <v>0</v>
      </c>
      <c r="AQ1275" s="119">
        <f>IF(tech_base!$T91&gt;AQ$1185,"",AQ1555+AQ1835)</f>
        <v>0</v>
      </c>
      <c r="AR1275" s="119">
        <f>IF(tech_base!$T91&gt;AR$1185,"",AR1555+AR1835)</f>
        <v>0</v>
      </c>
      <c r="AS1275" s="119">
        <f>IF(tech_base!$T91&gt;AS$1185,"",AS1555+AS1835)</f>
        <v>0</v>
      </c>
      <c r="AT1275" s="119">
        <f>IF(tech_base!$T91&gt;AT$1185,"",AT1555+AT1835)</f>
        <v>0</v>
      </c>
      <c r="AU1275" s="119">
        <f>IF(tech_base!$T91&gt;AU$1185,"",AU1555+AU1835)</f>
        <v>0</v>
      </c>
      <c r="AV1275" s="119">
        <f>IF(tech_base!$T91&gt;AV$1185,"",AV1555+AV1835)</f>
        <v>0</v>
      </c>
      <c r="AW1275" s="119">
        <f>IF(tech_base!$T91&gt;AW$1185,"",AW1555+AW1835)</f>
        <v>0</v>
      </c>
      <c r="AX1275" s="120">
        <f>IF(tech_base!$T91&gt;AX$1185,"",AX1555+AX1835)</f>
        <v>0</v>
      </c>
    </row>
    <row r="1276" spans="1:50" x14ac:dyDescent="0.25">
      <c r="A1276" s="356"/>
      <c r="B1276" s="376"/>
      <c r="C1276" s="379"/>
      <c r="D1276" s="59" t="s">
        <v>20</v>
      </c>
      <c r="E1276" s="166" t="str">
        <f>A1269&amp;"/"&amp;B1269&amp;"/"&amp;C1273&amp;"/"&amp;D1276</f>
        <v>Gas fired power plants (Natural gas, biogas)/Gas turbine combined cycle/CHP/XS</v>
      </c>
      <c r="F1276" s="79" t="str">
        <f>A1269</f>
        <v>Gas fired power plants (Natural gas, biogas)</v>
      </c>
      <c r="G1276" s="79" t="str">
        <f>B1269</f>
        <v>Gas turbine combined cycle</v>
      </c>
      <c r="H1276" s="79" t="str">
        <f>C1273</f>
        <v>CHP</v>
      </c>
      <c r="I1276" s="167" t="str">
        <f t="shared" si="373"/>
        <v>XS</v>
      </c>
      <c r="J1276" s="125">
        <f>IF(tech_base!$T92&gt;J$1185,"",J1556+J1836)</f>
        <v>0</v>
      </c>
      <c r="K1276" s="125">
        <f>IF(tech_base!$T92&gt;K$1185,"",K1556+K1836)</f>
        <v>0</v>
      </c>
      <c r="L1276" s="125">
        <f>IF(tech_base!$T92&gt;L$1185,"",L1556+L1836)</f>
        <v>0</v>
      </c>
      <c r="M1276" s="125">
        <f>IF(tech_base!$T92&gt;M$1185,"",M1556+M1836)</f>
        <v>0</v>
      </c>
      <c r="N1276" s="125">
        <f>IF(tech_base!$T92&gt;N$1185,"",N1556+N1836)</f>
        <v>0</v>
      </c>
      <c r="O1276" s="125">
        <f>IF(tech_base!$T92&gt;O$1185,"",O1556+O1836)</f>
        <v>0</v>
      </c>
      <c r="P1276" s="125">
        <f>IF(tech_base!$T92&gt;P$1185,"",P1556+P1836)</f>
        <v>0</v>
      </c>
      <c r="Q1276" s="125">
        <f>IF(tech_base!$T92&gt;Q$1185,"",Q1556+Q1836)</f>
        <v>0</v>
      </c>
      <c r="R1276" s="125">
        <f>IF(tech_base!$T92&gt;R$1185,"",R1556+R1836)</f>
        <v>0</v>
      </c>
      <c r="S1276" s="125">
        <f>IF(tech_base!$T92&gt;S$1185,"",S1556+S1836)</f>
        <v>0</v>
      </c>
      <c r="T1276" s="125">
        <f>IF(tech_base!$T92&gt;T$1185,"",T1556+T1836)</f>
        <v>0</v>
      </c>
      <c r="U1276" s="125">
        <f>IF(tech_base!$T92&gt;U$1185,"",U1556+U1836)</f>
        <v>0</v>
      </c>
      <c r="V1276" s="125">
        <f>IF(tech_base!$T92&gt;V$1185,"",V1556+V1836)</f>
        <v>0</v>
      </c>
      <c r="W1276" s="125">
        <f>IF(tech_base!$T92&gt;W$1185,"",W1556+W1836)</f>
        <v>0</v>
      </c>
      <c r="X1276" s="125">
        <f>IF(tech_base!$T92&gt;X$1185,"",X1556+X1836)</f>
        <v>0</v>
      </c>
      <c r="Y1276" s="125">
        <f>IF(tech_base!$T92&gt;Y$1185,"",Y1556+Y1836)</f>
        <v>0</v>
      </c>
      <c r="Z1276" s="125">
        <f>IF(tech_base!$T92&gt;Z$1185,"",Z1556+Z1836)</f>
        <v>0</v>
      </c>
      <c r="AA1276" s="125">
        <f>IF(tech_base!$T92&gt;AA$1185,"",AA1556+AA1836)</f>
        <v>0</v>
      </c>
      <c r="AB1276" s="125">
        <f>IF(tech_base!$T92&gt;AB$1185,"",AB1556+AB1836)</f>
        <v>0</v>
      </c>
      <c r="AC1276" s="125">
        <f>IF(tech_base!$T92&gt;AC$1185,"",AC1556+AC1836)</f>
        <v>0</v>
      </c>
      <c r="AD1276" s="125">
        <f>IF(tech_base!$T92&gt;AD$1185,"",AD1556+AD1836)</f>
        <v>0</v>
      </c>
      <c r="AE1276" s="125">
        <f>IF(tech_base!$T92&gt;AE$1185,"",AE1556+AE1836)</f>
        <v>0</v>
      </c>
      <c r="AF1276" s="125">
        <f>IF(tech_base!$T92&gt;AF$1185,"",AF1556+AF1836)</f>
        <v>0</v>
      </c>
      <c r="AG1276" s="125">
        <f>IF(tech_base!$T92&gt;AG$1185,"",AG1556+AG1836)</f>
        <v>0</v>
      </c>
      <c r="AH1276" s="125">
        <f>IF(tech_base!$T92&gt;AH$1185,"",AH1556+AH1836)</f>
        <v>0</v>
      </c>
      <c r="AI1276" s="125">
        <f>IF(tech_base!$T92&gt;AI$1185,"",AI1556+AI1836)</f>
        <v>0</v>
      </c>
      <c r="AJ1276" s="125">
        <f>IF(tech_base!$T92&gt;AJ$1185,"",AJ1556+AJ1836)</f>
        <v>0</v>
      </c>
      <c r="AK1276" s="125">
        <f>IF(tech_base!$T92&gt;AK$1185,"",AK1556+AK1836)</f>
        <v>0</v>
      </c>
      <c r="AL1276" s="125">
        <f>IF(tech_base!$T92&gt;AL$1185,"",AL1556+AL1836)</f>
        <v>0</v>
      </c>
      <c r="AM1276" s="125">
        <f>IF(tech_base!$T92&gt;AM$1185,"",AM1556+AM1836)</f>
        <v>0</v>
      </c>
      <c r="AN1276" s="125">
        <f>IF(tech_base!$T92&gt;AN$1185,"",AN1556+AN1836)</f>
        <v>0</v>
      </c>
      <c r="AO1276" s="125">
        <f>IF(tech_base!$T92&gt;AO$1185,"",AO1556+AO1836)</f>
        <v>0</v>
      </c>
      <c r="AP1276" s="125">
        <f>IF(tech_base!$T92&gt;AP$1185,"",AP1556+AP1836)</f>
        <v>0</v>
      </c>
      <c r="AQ1276" s="125">
        <f>IF(tech_base!$T92&gt;AQ$1185,"",AQ1556+AQ1836)</f>
        <v>0</v>
      </c>
      <c r="AR1276" s="125">
        <f>IF(tech_base!$T92&gt;AR$1185,"",AR1556+AR1836)</f>
        <v>0</v>
      </c>
      <c r="AS1276" s="125">
        <f>IF(tech_base!$T92&gt;AS$1185,"",AS1556+AS1836)</f>
        <v>0</v>
      </c>
      <c r="AT1276" s="125">
        <f>IF(tech_base!$T92&gt;AT$1185,"",AT1556+AT1836)</f>
        <v>0</v>
      </c>
      <c r="AU1276" s="125">
        <f>IF(tech_base!$T92&gt;AU$1185,"",AU1556+AU1836)</f>
        <v>0</v>
      </c>
      <c r="AV1276" s="125">
        <f>IF(tech_base!$T92&gt;AV$1185,"",AV1556+AV1836)</f>
        <v>0</v>
      </c>
      <c r="AW1276" s="125">
        <f>IF(tech_base!$T92&gt;AW$1185,"",AW1556+AW1836)</f>
        <v>0</v>
      </c>
      <c r="AX1276" s="126">
        <f>IF(tech_base!$T92&gt;AX$1185,"",AX1556+AX1836)</f>
        <v>0</v>
      </c>
    </row>
    <row r="1277" spans="1:50" x14ac:dyDescent="0.25">
      <c r="A1277" s="356"/>
      <c r="B1277" s="376"/>
      <c r="C1277" s="361" t="s">
        <v>15</v>
      </c>
      <c r="D1277" s="58" t="s">
        <v>7</v>
      </c>
      <c r="E1277" s="164" t="str">
        <f>A1269&amp;"/"&amp;B1269&amp;"/"&amp;C1277&amp;"/"&amp;D1277</f>
        <v>Gas fired power plants (Natural gas, biogas)/Gas turbine combined cycle/Electricity only with CCS/L</v>
      </c>
      <c r="F1277" s="78" t="str">
        <f>A1269</f>
        <v>Gas fired power plants (Natural gas, biogas)</v>
      </c>
      <c r="G1277" s="78" t="str">
        <f>B1269</f>
        <v>Gas turbine combined cycle</v>
      </c>
      <c r="H1277" s="78" t="str">
        <f>C1277</f>
        <v>Electricity only with CCS</v>
      </c>
      <c r="I1277" s="165" t="str">
        <f t="shared" si="373"/>
        <v>L</v>
      </c>
      <c r="J1277" s="123" t="str">
        <f>IF(tech_base!$T93&gt;J$1185,"",J1557+J1837)</f>
        <v/>
      </c>
      <c r="K1277" s="123" t="str">
        <f>IF(tech_base!$T93&gt;K$1185,"",K1557+K1837)</f>
        <v/>
      </c>
      <c r="L1277" s="123" t="str">
        <f>IF(tech_base!$T93&gt;L$1185,"",L1557+L1837)</f>
        <v/>
      </c>
      <c r="M1277" s="123" t="str">
        <f>IF(tech_base!$T93&gt;M$1185,"",M1557+M1837)</f>
        <v/>
      </c>
      <c r="N1277" s="123" t="str">
        <f>IF(tech_base!$T93&gt;N$1185,"",N1557+N1837)</f>
        <v/>
      </c>
      <c r="O1277" s="123" t="str">
        <f>IF(tech_base!$T93&gt;O$1185,"",O1557+O1837)</f>
        <v/>
      </c>
      <c r="P1277" s="123" t="str">
        <f>IF(tech_base!$T93&gt;P$1185,"",P1557+P1837)</f>
        <v/>
      </c>
      <c r="Q1277" s="123" t="str">
        <f>IF(tech_base!$T93&gt;Q$1185,"",Q1557+Q1837)</f>
        <v/>
      </c>
      <c r="R1277" s="123" t="str">
        <f>IF(tech_base!$T93&gt;R$1185,"",R1557+R1837)</f>
        <v/>
      </c>
      <c r="S1277" s="123" t="str">
        <f>IF(tech_base!$T93&gt;S$1185,"",S1557+S1837)</f>
        <v/>
      </c>
      <c r="T1277" s="123" t="str">
        <f>IF(tech_base!$T93&gt;T$1185,"",T1557+T1837)</f>
        <v/>
      </c>
      <c r="U1277" s="123" t="str">
        <f>IF(tech_base!$T93&gt;U$1185,"",U1557+U1837)</f>
        <v/>
      </c>
      <c r="V1277" s="123" t="str">
        <f>IF(tech_base!$T93&gt;V$1185,"",V1557+V1837)</f>
        <v/>
      </c>
      <c r="W1277" s="123" t="str">
        <f>IF(tech_base!$T93&gt;W$1185,"",W1557+W1837)</f>
        <v/>
      </c>
      <c r="X1277" s="123" t="str">
        <f>IF(tech_base!$T93&gt;X$1185,"",X1557+X1837)</f>
        <v/>
      </c>
      <c r="Y1277" s="123" t="str">
        <f>IF(tech_base!$T93&gt;Y$1185,"",Y1557+Y1837)</f>
        <v/>
      </c>
      <c r="Z1277" s="123" t="str">
        <f>IF(tech_base!$T93&gt;Z$1185,"",Z1557+Z1837)</f>
        <v/>
      </c>
      <c r="AA1277" s="123" t="str">
        <f>IF(tech_base!$T93&gt;AA$1185,"",AA1557+AA1837)</f>
        <v/>
      </c>
      <c r="AB1277" s="123" t="str">
        <f>IF(tech_base!$T93&gt;AB$1185,"",AB1557+AB1837)</f>
        <v/>
      </c>
      <c r="AC1277" s="123" t="str">
        <f>IF(tech_base!$T93&gt;AC$1185,"",AC1557+AC1837)</f>
        <v/>
      </c>
      <c r="AD1277" s="123" t="str">
        <f>IF(tech_base!$T93&gt;AD$1185,"",AD1557+AD1837)</f>
        <v/>
      </c>
      <c r="AE1277" s="123">
        <f>IF(tech_base!$T93&gt;AE$1185,"",AE1557+AE1837)</f>
        <v>4.466496572369925</v>
      </c>
      <c r="AF1277" s="123">
        <f>IF(tech_base!$T93&gt;AF$1185,"",AF1557+AF1837)</f>
        <v>4.4657153683261575</v>
      </c>
      <c r="AG1277" s="123">
        <f>IF(tech_base!$T93&gt;AG$1185,"",AG1557+AG1837)</f>
        <v>4.4647146606454662</v>
      </c>
      <c r="AH1277" s="123">
        <f>IF(tech_base!$T93&gt;AH$1185,"",AH1557+AH1837)</f>
        <v>4.4634336329896351</v>
      </c>
      <c r="AI1277" s="123">
        <f>IF(tech_base!$T93&gt;AI$1185,"",AI1557+AI1837)</f>
        <v>4.4617951710339288</v>
      </c>
      <c r="AJ1277" s="123">
        <f>IF(tech_base!$T93&gt;AJ$1185,"",AJ1557+AJ1837)</f>
        <v>4.4597018485683506</v>
      </c>
      <c r="AK1277" s="123">
        <f>IF(tech_base!$T93&gt;AK$1185,"",AK1557+AK1837)</f>
        <v>4.4570311534002345</v>
      </c>
      <c r="AL1277" s="123">
        <f>IF(tech_base!$T93&gt;AL$1185,"",AL1557+AL1837)</f>
        <v>4.4536299629002061</v>
      </c>
      <c r="AM1277" s="123">
        <f>IF(tech_base!$T93&gt;AM$1185,"",AM1557+AM1837)</f>
        <v>4.4493084065210988</v>
      </c>
      <c r="AN1277" s="123">
        <f>IF(tech_base!$T93&gt;AN$1185,"",AN1557+AN1837)</f>
        <v>4.4438334750408544</v>
      </c>
      <c r="AO1277" s="123">
        <f>IF(tech_base!$T93&gt;AO$1185,"",AO1557+AO1837)</f>
        <v>4.4369230973380356</v>
      </c>
      <c r="AP1277" s="123">
        <f>IF(tech_base!$T93&gt;AP$1185,"",AP1557+AP1837)</f>
        <v>4.428241953527877</v>
      </c>
      <c r="AQ1277" s="123">
        <f>IF(tech_base!$T93&gt;AQ$1185,"",AQ1557+AQ1837)</f>
        <v>4.4174010641738173</v>
      </c>
      <c r="AR1277" s="123">
        <f>IF(tech_base!$T93&gt;AR$1185,"",AR1557+AR1837)</f>
        <v>4.4039641737820752</v>
      </c>
      <c r="AS1277" s="123">
        <f>IF(tech_base!$T93&gt;AS$1185,"",AS1557+AS1837)</f>
        <v>4.3874649943642874</v>
      </c>
      <c r="AT1277" s="123">
        <f>IF(tech_base!$T93&gt;AT$1185,"",AT1557+AT1837)</f>
        <v>4.3674401201033763</v>
      </c>
      <c r="AU1277" s="123">
        <f>IF(tech_base!$T93&gt;AU$1185,"",AU1557+AU1837)</f>
        <v>4.3434821420763008</v>
      </c>
      <c r="AV1277" s="123">
        <f>IF(tech_base!$T93&gt;AV$1185,"",AV1557+AV1837)</f>
        <v>4.3153150700208771</v>
      </c>
      <c r="AW1277" s="123">
        <f>IF(tech_base!$T93&gt;AW$1185,"",AW1557+AW1837)</f>
        <v>4.2828883660909272</v>
      </c>
      <c r="AX1277" s="124">
        <f>IF(tech_base!$T93&gt;AX$1185,"",AX1557+AX1837)</f>
        <v>4.2464761731375331</v>
      </c>
    </row>
    <row r="1278" spans="1:50" x14ac:dyDescent="0.25">
      <c r="A1278" s="356"/>
      <c r="B1278" s="376"/>
      <c r="C1278" s="379"/>
      <c r="D1278" s="59" t="s">
        <v>8</v>
      </c>
      <c r="E1278" s="166" t="str">
        <f>A1269&amp;"/"&amp;B1269&amp;"/"&amp;C1277&amp;"/"&amp;D1278</f>
        <v>Gas fired power plants (Natural gas, biogas)/Gas turbine combined cycle/Electricity only with CCS/M</v>
      </c>
      <c r="F1278" s="79" t="str">
        <f>A1269</f>
        <v>Gas fired power plants (Natural gas, biogas)</v>
      </c>
      <c r="G1278" s="79" t="str">
        <f>B1269</f>
        <v>Gas turbine combined cycle</v>
      </c>
      <c r="H1278" s="79" t="str">
        <f>C1277</f>
        <v>Electricity only with CCS</v>
      </c>
      <c r="I1278" s="167" t="str">
        <f t="shared" si="373"/>
        <v>M</v>
      </c>
      <c r="J1278" s="125" t="str">
        <f>IF(tech_base!$T94&gt;J$1185,"",J1558+J1838)</f>
        <v/>
      </c>
      <c r="K1278" s="125" t="str">
        <f>IF(tech_base!$T94&gt;K$1185,"",K1558+K1838)</f>
        <v/>
      </c>
      <c r="L1278" s="125" t="str">
        <f>IF(tech_base!$T94&gt;L$1185,"",L1558+L1838)</f>
        <v/>
      </c>
      <c r="M1278" s="125" t="str">
        <f>IF(tech_base!$T94&gt;M$1185,"",M1558+M1838)</f>
        <v/>
      </c>
      <c r="N1278" s="125" t="str">
        <f>IF(tech_base!$T94&gt;N$1185,"",N1558+N1838)</f>
        <v/>
      </c>
      <c r="O1278" s="125" t="str">
        <f>IF(tech_base!$T94&gt;O$1185,"",O1558+O1838)</f>
        <v/>
      </c>
      <c r="P1278" s="125" t="str">
        <f>IF(tech_base!$T94&gt;P$1185,"",P1558+P1838)</f>
        <v/>
      </c>
      <c r="Q1278" s="125" t="str">
        <f>IF(tech_base!$T94&gt;Q$1185,"",Q1558+Q1838)</f>
        <v/>
      </c>
      <c r="R1278" s="125" t="str">
        <f>IF(tech_base!$T94&gt;R$1185,"",R1558+R1838)</f>
        <v/>
      </c>
      <c r="S1278" s="125" t="str">
        <f>IF(tech_base!$T94&gt;S$1185,"",S1558+S1838)</f>
        <v/>
      </c>
      <c r="T1278" s="125" t="str">
        <f>IF(tech_base!$T94&gt;T$1185,"",T1558+T1838)</f>
        <v/>
      </c>
      <c r="U1278" s="125" t="str">
        <f>IF(tech_base!$T94&gt;U$1185,"",U1558+U1838)</f>
        <v/>
      </c>
      <c r="V1278" s="125" t="str">
        <f>IF(tech_base!$T94&gt;V$1185,"",V1558+V1838)</f>
        <v/>
      </c>
      <c r="W1278" s="125" t="str">
        <f>IF(tech_base!$T94&gt;W$1185,"",W1558+W1838)</f>
        <v/>
      </c>
      <c r="X1278" s="125" t="str">
        <f>IF(tech_base!$T94&gt;X$1185,"",X1558+X1838)</f>
        <v/>
      </c>
      <c r="Y1278" s="125" t="str">
        <f>IF(tech_base!$T94&gt;Y$1185,"",Y1558+Y1838)</f>
        <v/>
      </c>
      <c r="Z1278" s="125" t="str">
        <f>IF(tech_base!$T94&gt;Z$1185,"",Z1558+Z1838)</f>
        <v/>
      </c>
      <c r="AA1278" s="125" t="str">
        <f>IF(tech_base!$T94&gt;AA$1185,"",AA1558+AA1838)</f>
        <v/>
      </c>
      <c r="AB1278" s="125" t="str">
        <f>IF(tech_base!$T94&gt;AB$1185,"",AB1558+AB1838)</f>
        <v/>
      </c>
      <c r="AC1278" s="125" t="str">
        <f>IF(tech_base!$T94&gt;AC$1185,"",AC1558+AC1838)</f>
        <v/>
      </c>
      <c r="AD1278" s="125" t="str">
        <f>IF(tech_base!$T94&gt;AD$1185,"",AD1558+AD1838)</f>
        <v/>
      </c>
      <c r="AE1278" s="125">
        <f>IF(tech_base!$T94&gt;AE$1185,"",AE1558+AE1838)</f>
        <v>4.7368646631929945</v>
      </c>
      <c r="AF1278" s="125">
        <f>IF(tech_base!$T94&gt;AF$1185,"",AF1558+AF1838)</f>
        <v>4.7361053181947419</v>
      </c>
      <c r="AG1278" s="125">
        <f>IF(tech_base!$T94&gt;AG$1185,"",AG1558+AG1838)</f>
        <v>4.735132635843307</v>
      </c>
      <c r="AH1278" s="125">
        <f>IF(tech_base!$T94&gt;AH$1185,"",AH1558+AH1838)</f>
        <v>4.7338875238872786</v>
      </c>
      <c r="AI1278" s="125">
        <f>IF(tech_base!$T94&gt;AI$1185,"",AI1558+AI1838)</f>
        <v>4.7322950641876922</v>
      </c>
      <c r="AJ1278" s="125">
        <f>IF(tech_base!$T94&gt;AJ$1185,"",AJ1558+AJ1838)</f>
        <v>4.7302606216350309</v>
      </c>
      <c r="AK1278" s="125">
        <f>IF(tech_base!$T94&gt;AK$1185,"",AK1558+AK1838)</f>
        <v>4.7276652205903513</v>
      </c>
      <c r="AL1278" s="125">
        <f>IF(tech_base!$T94&gt;AL$1185,"",AL1558+AL1838)</f>
        <v>4.7243602020935533</v>
      </c>
      <c r="AM1278" s="125">
        <f>IF(tech_base!$T94&gt;AM$1185,"",AM1558+AM1838)</f>
        <v>4.7201613008274279</v>
      </c>
      <c r="AN1278" s="125">
        <f>IF(tech_base!$T94&gt;AN$1185,"",AN1558+AN1838)</f>
        <v>4.7148424994731197</v>
      </c>
      <c r="AO1278" s="125">
        <f>IF(tech_base!$T94&gt;AO$1185,"",AO1558+AO1838)</f>
        <v>4.7081303720131693</v>
      </c>
      <c r="AP1278" s="125">
        <f>IF(tech_base!$T94&gt;AP$1185,"",AP1558+AP1838)</f>
        <v>4.6997001631325794</v>
      </c>
      <c r="AQ1278" s="125">
        <f>IF(tech_base!$T94&gt;AQ$1185,"",AQ1558+AQ1838)</f>
        <v>4.6891756014923445</v>
      </c>
      <c r="AR1278" s="125">
        <f>IF(tech_base!$T94&gt;AR$1185,"",AR1558+AR1838)</f>
        <v>4.676135392185647</v>
      </c>
      <c r="AS1278" s="125">
        <f>IF(tech_base!$T94&gt;AS$1185,"",AS1558+AS1838)</f>
        <v>4.6601303376142269</v>
      </c>
      <c r="AT1278" s="125">
        <f>IF(tech_base!$T94&gt;AT$1185,"",AT1558+AT1838)</f>
        <v>4.6407157266567438</v>
      </c>
      <c r="AU1278" s="125">
        <f>IF(tech_base!$T94&gt;AU$1185,"",AU1558+AU1838)</f>
        <v>4.617503295474549</v>
      </c>
      <c r="AV1278" s="125">
        <f>IF(tech_base!$T94&gt;AV$1185,"",AV1558+AV1838)</f>
        <v>4.5902346165108687</v>
      </c>
      <c r="AW1278" s="125">
        <f>IF(tech_base!$T94&gt;AW$1185,"",AW1558+AW1838)</f>
        <v>4.5588720318559446</v>
      </c>
      <c r="AX1278" s="126">
        <f>IF(tech_base!$T94&gt;AX$1185,"",AX1558+AX1838)</f>
        <v>4.5236937549598562</v>
      </c>
    </row>
    <row r="1279" spans="1:50" x14ac:dyDescent="0.25">
      <c r="A1279" s="356"/>
      <c r="B1279" s="376"/>
      <c r="C1279" s="361" t="s">
        <v>16</v>
      </c>
      <c r="D1279" s="2" t="s">
        <v>7</v>
      </c>
      <c r="E1279" s="160" t="str">
        <f>A1269&amp;"/"&amp;B1269&amp;"/"&amp;C1279&amp;"/"&amp;D1279</f>
        <v>Gas fired power plants (Natural gas, biogas)/Gas turbine combined cycle/CHP with CCS/L</v>
      </c>
      <c r="F1279" s="76" t="str">
        <f>A1269</f>
        <v>Gas fired power plants (Natural gas, biogas)</v>
      </c>
      <c r="G1279" s="76" t="str">
        <f>B1269</f>
        <v>Gas turbine combined cycle</v>
      </c>
      <c r="H1279" s="76" t="str">
        <f>C1279</f>
        <v>CHP with CCS</v>
      </c>
      <c r="I1279" s="161" t="str">
        <f t="shared" si="373"/>
        <v>L</v>
      </c>
      <c r="J1279" s="119" t="str">
        <f>IF(tech_base!$T95&gt;J$1185,"",J1559+J1839)</f>
        <v/>
      </c>
      <c r="K1279" s="119" t="str">
        <f>IF(tech_base!$T95&gt;K$1185,"",K1559+K1839)</f>
        <v/>
      </c>
      <c r="L1279" s="119" t="str">
        <f>IF(tech_base!$T95&gt;L$1185,"",L1559+L1839)</f>
        <v/>
      </c>
      <c r="M1279" s="119" t="str">
        <f>IF(tech_base!$T95&gt;M$1185,"",M1559+M1839)</f>
        <v/>
      </c>
      <c r="N1279" s="119" t="str">
        <f>IF(tech_base!$T95&gt;N$1185,"",N1559+N1839)</f>
        <v/>
      </c>
      <c r="O1279" s="119" t="str">
        <f>IF(tech_base!$T95&gt;O$1185,"",O1559+O1839)</f>
        <v/>
      </c>
      <c r="P1279" s="119" t="str">
        <f>IF(tech_base!$T95&gt;P$1185,"",P1559+P1839)</f>
        <v/>
      </c>
      <c r="Q1279" s="119" t="str">
        <f>IF(tech_base!$T95&gt;Q$1185,"",Q1559+Q1839)</f>
        <v/>
      </c>
      <c r="R1279" s="119" t="str">
        <f>IF(tech_base!$T95&gt;R$1185,"",R1559+R1839)</f>
        <v/>
      </c>
      <c r="S1279" s="119" t="str">
        <f>IF(tech_base!$T95&gt;S$1185,"",S1559+S1839)</f>
        <v/>
      </c>
      <c r="T1279" s="119" t="str">
        <f>IF(tech_base!$T95&gt;T$1185,"",T1559+T1839)</f>
        <v/>
      </c>
      <c r="U1279" s="119" t="str">
        <f>IF(tech_base!$T95&gt;U$1185,"",U1559+U1839)</f>
        <v/>
      </c>
      <c r="V1279" s="119" t="str">
        <f>IF(tech_base!$T95&gt;V$1185,"",V1559+V1839)</f>
        <v/>
      </c>
      <c r="W1279" s="119" t="str">
        <f>IF(tech_base!$T95&gt;W$1185,"",W1559+W1839)</f>
        <v/>
      </c>
      <c r="X1279" s="119" t="str">
        <f>IF(tech_base!$T95&gt;X$1185,"",X1559+X1839)</f>
        <v/>
      </c>
      <c r="Y1279" s="119" t="str">
        <f>IF(tech_base!$T95&gt;Y$1185,"",Y1559+Y1839)</f>
        <v/>
      </c>
      <c r="Z1279" s="119" t="str">
        <f>IF(tech_base!$T95&gt;Z$1185,"",Z1559+Z1839)</f>
        <v/>
      </c>
      <c r="AA1279" s="119" t="str">
        <f>IF(tech_base!$T95&gt;AA$1185,"",AA1559+AA1839)</f>
        <v/>
      </c>
      <c r="AB1279" s="119" t="str">
        <f>IF(tech_base!$T95&gt;AB$1185,"",AB1559+AB1839)</f>
        <v/>
      </c>
      <c r="AC1279" s="119" t="str">
        <f>IF(tech_base!$T95&gt;AC$1185,"",AC1559+AC1839)</f>
        <v/>
      </c>
      <c r="AD1279" s="119" t="str">
        <f>IF(tech_base!$T95&gt;AD$1185,"",AD1559+AD1839)</f>
        <v/>
      </c>
      <c r="AE1279" s="119">
        <f>IF(tech_base!$T95&gt;AE$1185,"",AE1559+AE1839)</f>
        <v>5.0129376860218668</v>
      </c>
      <c r="AF1279" s="119">
        <f>IF(tech_base!$T95&gt;AF$1185,"",AF1559+AF1839)</f>
        <v>5.0122686160293606</v>
      </c>
      <c r="AG1279" s="119">
        <f>IF(tech_base!$T95&gt;AG$1185,"",AG1559+AG1839)</f>
        <v>5.0114112853859876</v>
      </c>
      <c r="AH1279" s="119">
        <f>IF(tech_base!$T95&gt;AH$1185,"",AH1559+AH1839)</f>
        <v>5.0103133634060786</v>
      </c>
      <c r="AI1279" s="119">
        <f>IF(tech_base!$T95&gt;AI$1185,"",AI1559+AI1839)</f>
        <v>5.0089083852000273</v>
      </c>
      <c r="AJ1279" s="119">
        <f>IF(tech_base!$T95&gt;AJ$1185,"",AJ1559+AJ1839)</f>
        <v>5.0071121984911349</v>
      </c>
      <c r="AK1279" s="119">
        <f>IF(tech_base!$T95&gt;AK$1185,"",AK1559+AK1839)</f>
        <v>5.0048186877492595</v>
      </c>
      <c r="AL1279" s="119">
        <f>IF(tech_base!$T95&gt;AL$1185,"",AL1559+AL1839)</f>
        <v>5.0018947424897302</v>
      </c>
      <c r="AM1279" s="119">
        <f>IF(tech_base!$T95&gt;AM$1185,"",AM1559+AM1839)</f>
        <v>4.9981745242370579</v>
      </c>
      <c r="AN1279" s="119">
        <f>IF(tech_base!$T95&gt;AN$1185,"",AN1559+AN1839)</f>
        <v>4.9934532471602866</v>
      </c>
      <c r="AO1279" s="119">
        <f>IF(tech_base!$T95&gt;AO$1185,"",AO1559+AO1839)</f>
        <v>4.9874809578460884</v>
      </c>
      <c r="AP1279" s="119">
        <f>IF(tech_base!$T95&gt;AP$1185,"",AP1559+AP1839)</f>
        <v>4.9799572251081488</v>
      </c>
      <c r="AQ1279" s="119">
        <f>IF(tech_base!$T95&gt;AQ$1185,"",AQ1559+AQ1839)</f>
        <v>4.9705282745258694</v>
      </c>
      <c r="AR1279" s="119">
        <f>IF(tech_base!$T95&gt;AR$1185,"",AR1559+AR1839)</f>
        <v>4.9587889414420516</v>
      </c>
      <c r="AS1279" s="119">
        <f>IF(tech_base!$T95&gt;AS$1185,"",AS1559+AS1839)</f>
        <v>4.9442928100552841</v>
      </c>
      <c r="AT1279" s="119">
        <f>IF(tech_base!$T95&gt;AT$1185,"",AT1559+AT1839)</f>
        <v>4.9265748319177334</v>
      </c>
      <c r="AU1279" s="119">
        <f>IF(tech_base!$T95&gt;AU$1185,"",AU1559+AU1839)</f>
        <v>4.905191075774697</v>
      </c>
      <c r="AV1279" s="119">
        <f>IF(tech_base!$T95&gt;AV$1185,"",AV1559+AV1839)</f>
        <v>4.8797791903974783</v>
      </c>
      <c r="AW1279" s="119">
        <f>IF(tech_base!$T95&gt;AW$1185,"",AW1559+AW1839)</f>
        <v>4.8501395154747593</v>
      </c>
      <c r="AX1279" s="120">
        <f>IF(tech_base!$T95&gt;AX$1185,"",AX1559+AX1839)</f>
        <v>4.8163295949865912</v>
      </c>
    </row>
    <row r="1280" spans="1:50" x14ac:dyDescent="0.25">
      <c r="A1280" s="356"/>
      <c r="B1280" s="380"/>
      <c r="C1280" s="381"/>
      <c r="D1280" s="4" t="s">
        <v>8</v>
      </c>
      <c r="E1280" s="168" t="str">
        <f>A1269&amp;"/"&amp;B1269&amp;"/"&amp;C1279&amp;"/"&amp;D1280</f>
        <v>Gas fired power plants (Natural gas, biogas)/Gas turbine combined cycle/CHP with CCS/M</v>
      </c>
      <c r="F1280" s="80" t="str">
        <f>A1269</f>
        <v>Gas fired power plants (Natural gas, biogas)</v>
      </c>
      <c r="G1280" s="80" t="str">
        <f>B1269</f>
        <v>Gas turbine combined cycle</v>
      </c>
      <c r="H1280" s="80" t="str">
        <f>C1279</f>
        <v>CHP with CCS</v>
      </c>
      <c r="I1280" s="169" t="str">
        <f t="shared" si="373"/>
        <v>M</v>
      </c>
      <c r="J1280" s="127" t="str">
        <f>IF(tech_base!$T96&gt;J$1185,"",J1560+J1840)</f>
        <v/>
      </c>
      <c r="K1280" s="127" t="str">
        <f>IF(tech_base!$T96&gt;K$1185,"",K1560+K1840)</f>
        <v/>
      </c>
      <c r="L1280" s="127" t="str">
        <f>IF(tech_base!$T96&gt;L$1185,"",L1560+L1840)</f>
        <v/>
      </c>
      <c r="M1280" s="127" t="str">
        <f>IF(tech_base!$T96&gt;M$1185,"",M1560+M1840)</f>
        <v/>
      </c>
      <c r="N1280" s="127" t="str">
        <f>IF(tech_base!$T96&gt;N$1185,"",N1560+N1840)</f>
        <v/>
      </c>
      <c r="O1280" s="127" t="str">
        <f>IF(tech_base!$T96&gt;O$1185,"",O1560+O1840)</f>
        <v/>
      </c>
      <c r="P1280" s="127" t="str">
        <f>IF(tech_base!$T96&gt;P$1185,"",P1560+P1840)</f>
        <v/>
      </c>
      <c r="Q1280" s="127" t="str">
        <f>IF(tech_base!$T96&gt;Q$1185,"",Q1560+Q1840)</f>
        <v/>
      </c>
      <c r="R1280" s="127" t="str">
        <f>IF(tech_base!$T96&gt;R$1185,"",R1560+R1840)</f>
        <v/>
      </c>
      <c r="S1280" s="127" t="str">
        <f>IF(tech_base!$T96&gt;S$1185,"",S1560+S1840)</f>
        <v/>
      </c>
      <c r="T1280" s="127" t="str">
        <f>IF(tech_base!$T96&gt;T$1185,"",T1560+T1840)</f>
        <v/>
      </c>
      <c r="U1280" s="127" t="str">
        <f>IF(tech_base!$T96&gt;U$1185,"",U1560+U1840)</f>
        <v/>
      </c>
      <c r="V1280" s="127" t="str">
        <f>IF(tech_base!$T96&gt;V$1185,"",V1560+V1840)</f>
        <v/>
      </c>
      <c r="W1280" s="127" t="str">
        <f>IF(tech_base!$T96&gt;W$1185,"",W1560+W1840)</f>
        <v/>
      </c>
      <c r="X1280" s="127" t="str">
        <f>IF(tech_base!$T96&gt;X$1185,"",X1560+X1840)</f>
        <v/>
      </c>
      <c r="Y1280" s="127" t="str">
        <f>IF(tech_base!$T96&gt;Y$1185,"",Y1560+Y1840)</f>
        <v/>
      </c>
      <c r="Z1280" s="127" t="str">
        <f>IF(tech_base!$T96&gt;Z$1185,"",Z1560+Z1840)</f>
        <v/>
      </c>
      <c r="AA1280" s="127" t="str">
        <f>IF(tech_base!$T96&gt;AA$1185,"",AA1560+AA1840)</f>
        <v/>
      </c>
      <c r="AB1280" s="127" t="str">
        <f>IF(tech_base!$T96&gt;AB$1185,"",AB1560+AB1840)</f>
        <v/>
      </c>
      <c r="AC1280" s="127" t="str">
        <f>IF(tech_base!$T96&gt;AC$1185,"",AC1560+AC1840)</f>
        <v/>
      </c>
      <c r="AD1280" s="127" t="str">
        <f>IF(tech_base!$T96&gt;AD$1185,"",AD1560+AD1840)</f>
        <v/>
      </c>
      <c r="AE1280" s="127">
        <f>IF(tech_base!$T96&gt;AE$1185,"",AE1560+AE1840)</f>
        <v>5.3228252887203782</v>
      </c>
      <c r="AF1280" s="127">
        <f>IF(tech_base!$T96&gt;AF$1185,"",AF1560+AF1840)</f>
        <v>5.3221795178150497</v>
      </c>
      <c r="AG1280" s="127">
        <f>IF(tech_base!$T96&gt;AG$1185,"",AG1560+AG1840)</f>
        <v>5.3213520592826251</v>
      </c>
      <c r="AH1280" s="127">
        <f>IF(tech_base!$T96&gt;AH$1185,"",AH1560+AH1840)</f>
        <v>5.3202924206164814</v>
      </c>
      <c r="AI1280" s="127">
        <f>IF(tech_base!$T96&gt;AI$1185,"",AI1560+AI1840)</f>
        <v>5.3189364787238507</v>
      </c>
      <c r="AJ1280" s="127">
        <f>IF(tech_base!$T96&gt;AJ$1185,"",AJ1560+AJ1840)</f>
        <v>5.3172030579819154</v>
      </c>
      <c r="AK1280" s="127">
        <f>IF(tech_base!$T96&gt;AK$1185,"",AK1560+AK1840)</f>
        <v>5.3149898154319493</v>
      </c>
      <c r="AL1280" s="127">
        <f>IF(tech_base!$T96&gt;AL$1185,"",AL1560+AL1840)</f>
        <v>5.3121684038163091</v>
      </c>
      <c r="AM1280" s="127">
        <f>IF(tech_base!$T96&gt;AM$1185,"",AM1560+AM1840)</f>
        <v>5.3085789691590746</v>
      </c>
      <c r="AN1280" s="127">
        <f>IF(tech_base!$T96&gt;AN$1185,"",AN1560+AN1840)</f>
        <v>5.3040241964504871</v>
      </c>
      <c r="AO1280" s="127">
        <f>IF(tech_base!$T96&gt;AO$1185,"",AO1560+AO1840)</f>
        <v>5.298263380535869</v>
      </c>
      <c r="AP1280" s="127">
        <f>IF(tech_base!$T96&gt;AP$1185,"",AP1560+AP1840)</f>
        <v>5.2910074127299813</v>
      </c>
      <c r="AQ1280" s="127">
        <f>IF(tech_base!$T96&gt;AQ$1185,"",AQ1560+AQ1840)</f>
        <v>5.2819161779910795</v>
      </c>
      <c r="AR1280" s="127">
        <f>IF(tech_base!$T96&gt;AR$1185,"",AR1560+AR1840)</f>
        <v>5.2706006669480834</v>
      </c>
      <c r="AS1280" s="127">
        <f>IF(tech_base!$T96&gt;AS$1185,"",AS1560+AS1840)</f>
        <v>5.2566330594382666</v>
      </c>
      <c r="AT1280" s="127">
        <f>IF(tech_base!$T96&gt;AT$1185,"",AT1560+AT1840)</f>
        <v>5.2395689096597291</v>
      </c>
      <c r="AU1280" s="127">
        <f>IF(tech_base!$T96&gt;AU$1185,"",AU1560+AU1840)</f>
        <v>5.2189858677678078</v>
      </c>
      <c r="AV1280" s="127">
        <f>IF(tech_base!$T96&gt;AV$1185,"",AV1560+AV1840)</f>
        <v>5.1945422707666404</v>
      </c>
      <c r="AW1280" s="127">
        <f>IF(tech_base!$T96&gt;AW$1185,"",AW1560+AW1840)</f>
        <v>5.1660553259071715</v>
      </c>
      <c r="AX1280" s="128">
        <f>IF(tech_base!$T96&gt;AX$1185,"",AX1560+AX1840)</f>
        <v>5.1335916042303724</v>
      </c>
    </row>
    <row r="1281" spans="1:50" x14ac:dyDescent="0.25">
      <c r="A1281" s="356"/>
      <c r="B1281" s="358" t="s">
        <v>24</v>
      </c>
      <c r="C1281" s="353" t="s">
        <v>6</v>
      </c>
      <c r="D1281" s="3" t="s">
        <v>8</v>
      </c>
      <c r="E1281" s="162" t="str">
        <f>A1269&amp;"/"&amp;B1281&amp;"/"&amp;C1281&amp;"/"&amp;D1281</f>
        <v>Gas fired power plants (Natural gas, biogas)/Gas turbine /Electricity only/M</v>
      </c>
      <c r="F1281" s="77" t="str">
        <f>A1269</f>
        <v>Gas fired power plants (Natural gas, biogas)</v>
      </c>
      <c r="G1281" s="77" t="str">
        <f>B1281</f>
        <v xml:space="preserve">Gas turbine </v>
      </c>
      <c r="H1281" s="77" t="str">
        <f>C1281</f>
        <v>Electricity only</v>
      </c>
      <c r="I1281" s="163" t="str">
        <f t="shared" si="373"/>
        <v>M</v>
      </c>
      <c r="J1281" s="121">
        <f>IF(tech_base!$T97&gt;J$1185,"",J1561+J1841)</f>
        <v>0</v>
      </c>
      <c r="K1281" s="121">
        <f>IF(tech_base!$T97&gt;K$1185,"",K1561+K1841)</f>
        <v>0</v>
      </c>
      <c r="L1281" s="121">
        <f>IF(tech_base!$T97&gt;L$1185,"",L1561+L1841)</f>
        <v>0</v>
      </c>
      <c r="M1281" s="121">
        <f>IF(tech_base!$T97&gt;M$1185,"",M1561+M1841)</f>
        <v>0</v>
      </c>
      <c r="N1281" s="121">
        <f>IF(tech_base!$T97&gt;N$1185,"",N1561+N1841)</f>
        <v>0</v>
      </c>
      <c r="O1281" s="121">
        <f>IF(tech_base!$T97&gt;O$1185,"",O1561+O1841)</f>
        <v>0</v>
      </c>
      <c r="P1281" s="121">
        <f>IF(tech_base!$T97&gt;P$1185,"",P1561+P1841)</f>
        <v>0</v>
      </c>
      <c r="Q1281" s="121">
        <f>IF(tech_base!$T97&gt;Q$1185,"",Q1561+Q1841)</f>
        <v>0</v>
      </c>
      <c r="R1281" s="121">
        <f>IF(tech_base!$T97&gt;R$1185,"",R1561+R1841)</f>
        <v>0</v>
      </c>
      <c r="S1281" s="121">
        <f>IF(tech_base!$T97&gt;S$1185,"",S1561+S1841)</f>
        <v>0</v>
      </c>
      <c r="T1281" s="121">
        <f>IF(tech_base!$T97&gt;T$1185,"",T1561+T1841)</f>
        <v>0</v>
      </c>
      <c r="U1281" s="121">
        <f>IF(tech_base!$T97&gt;U$1185,"",U1561+U1841)</f>
        <v>0</v>
      </c>
      <c r="V1281" s="121">
        <f>IF(tech_base!$T97&gt;V$1185,"",V1561+V1841)</f>
        <v>0</v>
      </c>
      <c r="W1281" s="121">
        <f>IF(tech_base!$T97&gt;W$1185,"",W1561+W1841)</f>
        <v>0</v>
      </c>
      <c r="X1281" s="121">
        <f>IF(tech_base!$T97&gt;X$1185,"",X1561+X1841)</f>
        <v>0</v>
      </c>
      <c r="Y1281" s="121">
        <f>IF(tech_base!$T97&gt;Y$1185,"",Y1561+Y1841)</f>
        <v>0</v>
      </c>
      <c r="Z1281" s="121">
        <f>IF(tech_base!$T97&gt;Z$1185,"",Z1561+Z1841)</f>
        <v>0</v>
      </c>
      <c r="AA1281" s="121">
        <f>IF(tech_base!$T97&gt;AA$1185,"",AA1561+AA1841)</f>
        <v>0</v>
      </c>
      <c r="AB1281" s="121">
        <f>IF(tech_base!$T97&gt;AB$1185,"",AB1561+AB1841)</f>
        <v>0</v>
      </c>
      <c r="AC1281" s="121">
        <f>IF(tech_base!$T97&gt;AC$1185,"",AC1561+AC1841)</f>
        <v>0</v>
      </c>
      <c r="AD1281" s="121">
        <f>IF(tech_base!$T97&gt;AD$1185,"",AD1561+AD1841)</f>
        <v>0</v>
      </c>
      <c r="AE1281" s="121">
        <f>IF(tech_base!$T97&gt;AE$1185,"",AE1561+AE1841)</f>
        <v>0</v>
      </c>
      <c r="AF1281" s="121">
        <f>IF(tech_base!$T97&gt;AF$1185,"",AF1561+AF1841)</f>
        <v>0</v>
      </c>
      <c r="AG1281" s="121">
        <f>IF(tech_base!$T97&gt;AG$1185,"",AG1561+AG1841)</f>
        <v>0</v>
      </c>
      <c r="AH1281" s="121">
        <f>IF(tech_base!$T97&gt;AH$1185,"",AH1561+AH1841)</f>
        <v>0</v>
      </c>
      <c r="AI1281" s="121">
        <f>IF(tech_base!$T97&gt;AI$1185,"",AI1561+AI1841)</f>
        <v>0</v>
      </c>
      <c r="AJ1281" s="121">
        <f>IF(tech_base!$T97&gt;AJ$1185,"",AJ1561+AJ1841)</f>
        <v>0</v>
      </c>
      <c r="AK1281" s="121">
        <f>IF(tech_base!$T97&gt;AK$1185,"",AK1561+AK1841)</f>
        <v>0</v>
      </c>
      <c r="AL1281" s="121">
        <f>IF(tech_base!$T97&gt;AL$1185,"",AL1561+AL1841)</f>
        <v>0</v>
      </c>
      <c r="AM1281" s="121">
        <f>IF(tech_base!$T97&gt;AM$1185,"",AM1561+AM1841)</f>
        <v>0</v>
      </c>
      <c r="AN1281" s="121">
        <f>IF(tech_base!$T97&gt;AN$1185,"",AN1561+AN1841)</f>
        <v>0</v>
      </c>
      <c r="AO1281" s="121">
        <f>IF(tech_base!$T97&gt;AO$1185,"",AO1561+AO1841)</f>
        <v>0</v>
      </c>
      <c r="AP1281" s="121">
        <f>IF(tech_base!$T97&gt;AP$1185,"",AP1561+AP1841)</f>
        <v>0</v>
      </c>
      <c r="AQ1281" s="121">
        <f>IF(tech_base!$T97&gt;AQ$1185,"",AQ1561+AQ1841)</f>
        <v>0</v>
      </c>
      <c r="AR1281" s="121">
        <f>IF(tech_base!$T97&gt;AR$1185,"",AR1561+AR1841)</f>
        <v>0</v>
      </c>
      <c r="AS1281" s="121">
        <f>IF(tech_base!$T97&gt;AS$1185,"",AS1561+AS1841)</f>
        <v>0</v>
      </c>
      <c r="AT1281" s="121">
        <f>IF(tech_base!$T97&gt;AT$1185,"",AT1561+AT1841)</f>
        <v>0</v>
      </c>
      <c r="AU1281" s="121">
        <f>IF(tech_base!$T97&gt;AU$1185,"",AU1561+AU1841)</f>
        <v>0</v>
      </c>
      <c r="AV1281" s="121">
        <f>IF(tech_base!$T97&gt;AV$1185,"",AV1561+AV1841)</f>
        <v>0</v>
      </c>
      <c r="AW1281" s="121">
        <f>IF(tech_base!$T97&gt;AW$1185,"",AW1561+AW1841)</f>
        <v>0</v>
      </c>
      <c r="AX1281" s="122">
        <f>IF(tech_base!$T97&gt;AX$1185,"",AX1561+AX1841)</f>
        <v>0</v>
      </c>
    </row>
    <row r="1282" spans="1:50" x14ac:dyDescent="0.25">
      <c r="A1282" s="356"/>
      <c r="B1282" s="376"/>
      <c r="C1282" s="378"/>
      <c r="D1282" s="2" t="s">
        <v>10</v>
      </c>
      <c r="E1282" s="160" t="str">
        <f>A1269&amp;"/"&amp;B1281&amp;"/"&amp;C1281&amp;"/"&amp;D1282</f>
        <v>Gas fired power plants (Natural gas, biogas)/Gas turbine /Electricity only/S</v>
      </c>
      <c r="F1282" s="76" t="str">
        <f>A1269</f>
        <v>Gas fired power plants (Natural gas, biogas)</v>
      </c>
      <c r="G1282" s="76" t="str">
        <f>B1281</f>
        <v xml:space="preserve">Gas turbine </v>
      </c>
      <c r="H1282" s="76" t="str">
        <f>C1281</f>
        <v>Electricity only</v>
      </c>
      <c r="I1282" s="161" t="str">
        <f t="shared" si="373"/>
        <v>S</v>
      </c>
      <c r="J1282" s="119">
        <f>IF(tech_base!$T98&gt;J$1185,"",J1562+J1842)</f>
        <v>0</v>
      </c>
      <c r="K1282" s="119">
        <f>IF(tech_base!$T98&gt;K$1185,"",K1562+K1842)</f>
        <v>0</v>
      </c>
      <c r="L1282" s="119">
        <f>IF(tech_base!$T98&gt;L$1185,"",L1562+L1842)</f>
        <v>0</v>
      </c>
      <c r="M1282" s="119">
        <f>IF(tech_base!$T98&gt;M$1185,"",M1562+M1842)</f>
        <v>0</v>
      </c>
      <c r="N1282" s="119">
        <f>IF(tech_base!$T98&gt;N$1185,"",N1562+N1842)</f>
        <v>0</v>
      </c>
      <c r="O1282" s="119">
        <f>IF(tech_base!$T98&gt;O$1185,"",O1562+O1842)</f>
        <v>0</v>
      </c>
      <c r="P1282" s="119">
        <f>IF(tech_base!$T98&gt;P$1185,"",P1562+P1842)</f>
        <v>0</v>
      </c>
      <c r="Q1282" s="119">
        <f>IF(tech_base!$T98&gt;Q$1185,"",Q1562+Q1842)</f>
        <v>0</v>
      </c>
      <c r="R1282" s="119">
        <f>IF(tech_base!$T98&gt;R$1185,"",R1562+R1842)</f>
        <v>0</v>
      </c>
      <c r="S1282" s="119">
        <f>IF(tech_base!$T98&gt;S$1185,"",S1562+S1842)</f>
        <v>0</v>
      </c>
      <c r="T1282" s="119">
        <f>IF(tech_base!$T98&gt;T$1185,"",T1562+T1842)</f>
        <v>0</v>
      </c>
      <c r="U1282" s="119">
        <f>IF(tech_base!$T98&gt;U$1185,"",U1562+U1842)</f>
        <v>0</v>
      </c>
      <c r="V1282" s="119">
        <f>IF(tech_base!$T98&gt;V$1185,"",V1562+V1842)</f>
        <v>0</v>
      </c>
      <c r="W1282" s="119">
        <f>IF(tech_base!$T98&gt;W$1185,"",W1562+W1842)</f>
        <v>0</v>
      </c>
      <c r="X1282" s="119">
        <f>IF(tech_base!$T98&gt;X$1185,"",X1562+X1842)</f>
        <v>0</v>
      </c>
      <c r="Y1282" s="119">
        <f>IF(tech_base!$T98&gt;Y$1185,"",Y1562+Y1842)</f>
        <v>0</v>
      </c>
      <c r="Z1282" s="119">
        <f>IF(tech_base!$T98&gt;Z$1185,"",Z1562+Z1842)</f>
        <v>0</v>
      </c>
      <c r="AA1282" s="119">
        <f>IF(tech_base!$T98&gt;AA$1185,"",AA1562+AA1842)</f>
        <v>0</v>
      </c>
      <c r="AB1282" s="119">
        <f>IF(tech_base!$T98&gt;AB$1185,"",AB1562+AB1842)</f>
        <v>0</v>
      </c>
      <c r="AC1282" s="119">
        <f>IF(tech_base!$T98&gt;AC$1185,"",AC1562+AC1842)</f>
        <v>0</v>
      </c>
      <c r="AD1282" s="119">
        <f>IF(tech_base!$T98&gt;AD$1185,"",AD1562+AD1842)</f>
        <v>0</v>
      </c>
      <c r="AE1282" s="119">
        <f>IF(tech_base!$T98&gt;AE$1185,"",AE1562+AE1842)</f>
        <v>0</v>
      </c>
      <c r="AF1282" s="119">
        <f>IF(tech_base!$T98&gt;AF$1185,"",AF1562+AF1842)</f>
        <v>0</v>
      </c>
      <c r="AG1282" s="119">
        <f>IF(tech_base!$T98&gt;AG$1185,"",AG1562+AG1842)</f>
        <v>0</v>
      </c>
      <c r="AH1282" s="119">
        <f>IF(tech_base!$T98&gt;AH$1185,"",AH1562+AH1842)</f>
        <v>0</v>
      </c>
      <c r="AI1282" s="119">
        <f>IF(tech_base!$T98&gt;AI$1185,"",AI1562+AI1842)</f>
        <v>0</v>
      </c>
      <c r="AJ1282" s="119">
        <f>IF(tech_base!$T98&gt;AJ$1185,"",AJ1562+AJ1842)</f>
        <v>0</v>
      </c>
      <c r="AK1282" s="119">
        <f>IF(tech_base!$T98&gt;AK$1185,"",AK1562+AK1842)</f>
        <v>0</v>
      </c>
      <c r="AL1282" s="119">
        <f>IF(tech_base!$T98&gt;AL$1185,"",AL1562+AL1842)</f>
        <v>0</v>
      </c>
      <c r="AM1282" s="119">
        <f>IF(tech_base!$T98&gt;AM$1185,"",AM1562+AM1842)</f>
        <v>0</v>
      </c>
      <c r="AN1282" s="119">
        <f>IF(tech_base!$T98&gt;AN$1185,"",AN1562+AN1842)</f>
        <v>0</v>
      </c>
      <c r="AO1282" s="119">
        <f>IF(tech_base!$T98&gt;AO$1185,"",AO1562+AO1842)</f>
        <v>0</v>
      </c>
      <c r="AP1282" s="119">
        <f>IF(tech_base!$T98&gt;AP$1185,"",AP1562+AP1842)</f>
        <v>0</v>
      </c>
      <c r="AQ1282" s="119">
        <f>IF(tech_base!$T98&gt;AQ$1185,"",AQ1562+AQ1842)</f>
        <v>0</v>
      </c>
      <c r="AR1282" s="119">
        <f>IF(tech_base!$T98&gt;AR$1185,"",AR1562+AR1842)</f>
        <v>0</v>
      </c>
      <c r="AS1282" s="119">
        <f>IF(tech_base!$T98&gt;AS$1185,"",AS1562+AS1842)</f>
        <v>0</v>
      </c>
      <c r="AT1282" s="119">
        <f>IF(tech_base!$T98&gt;AT$1185,"",AT1562+AT1842)</f>
        <v>0</v>
      </c>
      <c r="AU1282" s="119">
        <f>IF(tech_base!$T98&gt;AU$1185,"",AU1562+AU1842)</f>
        <v>0</v>
      </c>
      <c r="AV1282" s="119">
        <f>IF(tech_base!$T98&gt;AV$1185,"",AV1562+AV1842)</f>
        <v>0</v>
      </c>
      <c r="AW1282" s="119">
        <f>IF(tech_base!$T98&gt;AW$1185,"",AW1562+AW1842)</f>
        <v>0</v>
      </c>
      <c r="AX1282" s="120">
        <f>IF(tech_base!$T98&gt;AX$1185,"",AX1562+AX1842)</f>
        <v>0</v>
      </c>
    </row>
    <row r="1283" spans="1:50" x14ac:dyDescent="0.25">
      <c r="A1283" s="356"/>
      <c r="B1283" s="376"/>
      <c r="C1283" s="379"/>
      <c r="D1283" s="59" t="s">
        <v>20</v>
      </c>
      <c r="E1283" s="160" t="str">
        <f>A1269&amp;"/"&amp;B1281&amp;"/"&amp;C1281&amp;"/"&amp;D1283</f>
        <v>Gas fired power plants (Natural gas, biogas)/Gas turbine /Electricity only/XS</v>
      </c>
      <c r="F1283" s="76" t="str">
        <f>A1269</f>
        <v>Gas fired power plants (Natural gas, biogas)</v>
      </c>
      <c r="G1283" s="76" t="str">
        <f>B1281</f>
        <v xml:space="preserve">Gas turbine </v>
      </c>
      <c r="H1283" s="76" t="str">
        <f>C1281</f>
        <v>Electricity only</v>
      </c>
      <c r="I1283" s="161" t="str">
        <f t="shared" si="373"/>
        <v>XS</v>
      </c>
      <c r="J1283" s="119">
        <f>IF(tech_base!$T99&gt;J$1185,"",J1563+J1843)</f>
        <v>0</v>
      </c>
      <c r="K1283" s="119">
        <f>IF(tech_base!$T99&gt;K$1185,"",K1563+K1843)</f>
        <v>0</v>
      </c>
      <c r="L1283" s="119">
        <f>IF(tech_base!$T99&gt;L$1185,"",L1563+L1843)</f>
        <v>0</v>
      </c>
      <c r="M1283" s="119">
        <f>IF(tech_base!$T99&gt;M$1185,"",M1563+M1843)</f>
        <v>0</v>
      </c>
      <c r="N1283" s="119">
        <f>IF(tech_base!$T99&gt;N$1185,"",N1563+N1843)</f>
        <v>0</v>
      </c>
      <c r="O1283" s="119">
        <f>IF(tech_base!$T99&gt;O$1185,"",O1563+O1843)</f>
        <v>0</v>
      </c>
      <c r="P1283" s="119">
        <f>IF(tech_base!$T99&gt;P$1185,"",P1563+P1843)</f>
        <v>0</v>
      </c>
      <c r="Q1283" s="119">
        <f>IF(tech_base!$T99&gt;Q$1185,"",Q1563+Q1843)</f>
        <v>0</v>
      </c>
      <c r="R1283" s="119">
        <f>IF(tech_base!$T99&gt;R$1185,"",R1563+R1843)</f>
        <v>0</v>
      </c>
      <c r="S1283" s="119">
        <f>IF(tech_base!$T99&gt;S$1185,"",S1563+S1843)</f>
        <v>0</v>
      </c>
      <c r="T1283" s="119">
        <f>IF(tech_base!$T99&gt;T$1185,"",T1563+T1843)</f>
        <v>0</v>
      </c>
      <c r="U1283" s="119">
        <f>IF(tech_base!$T99&gt;U$1185,"",U1563+U1843)</f>
        <v>0</v>
      </c>
      <c r="V1283" s="119">
        <f>IF(tech_base!$T99&gt;V$1185,"",V1563+V1843)</f>
        <v>0</v>
      </c>
      <c r="W1283" s="119">
        <f>IF(tech_base!$T99&gt;W$1185,"",W1563+W1843)</f>
        <v>0</v>
      </c>
      <c r="X1283" s="119">
        <f>IF(tech_base!$T99&gt;X$1185,"",X1563+X1843)</f>
        <v>0</v>
      </c>
      <c r="Y1283" s="119">
        <f>IF(tech_base!$T99&gt;Y$1185,"",Y1563+Y1843)</f>
        <v>0</v>
      </c>
      <c r="Z1283" s="119">
        <f>IF(tech_base!$T99&gt;Z$1185,"",Z1563+Z1843)</f>
        <v>0</v>
      </c>
      <c r="AA1283" s="119">
        <f>IF(tech_base!$T99&gt;AA$1185,"",AA1563+AA1843)</f>
        <v>0</v>
      </c>
      <c r="AB1283" s="119">
        <f>IF(tech_base!$T99&gt;AB$1185,"",AB1563+AB1843)</f>
        <v>0</v>
      </c>
      <c r="AC1283" s="119">
        <f>IF(tech_base!$T99&gt;AC$1185,"",AC1563+AC1843)</f>
        <v>0</v>
      </c>
      <c r="AD1283" s="119">
        <f>IF(tech_base!$T99&gt;AD$1185,"",AD1563+AD1843)</f>
        <v>0</v>
      </c>
      <c r="AE1283" s="119">
        <f>IF(tech_base!$T99&gt;AE$1185,"",AE1563+AE1843)</f>
        <v>0</v>
      </c>
      <c r="AF1283" s="119">
        <f>IF(tech_base!$T99&gt;AF$1185,"",AF1563+AF1843)</f>
        <v>0</v>
      </c>
      <c r="AG1283" s="119">
        <f>IF(tech_base!$T99&gt;AG$1185,"",AG1563+AG1843)</f>
        <v>0</v>
      </c>
      <c r="AH1283" s="119">
        <f>IF(tech_base!$T99&gt;AH$1185,"",AH1563+AH1843)</f>
        <v>0</v>
      </c>
      <c r="AI1283" s="119">
        <f>IF(tech_base!$T99&gt;AI$1185,"",AI1563+AI1843)</f>
        <v>0</v>
      </c>
      <c r="AJ1283" s="119">
        <f>IF(tech_base!$T99&gt;AJ$1185,"",AJ1563+AJ1843)</f>
        <v>0</v>
      </c>
      <c r="AK1283" s="119">
        <f>IF(tech_base!$T99&gt;AK$1185,"",AK1563+AK1843)</f>
        <v>0</v>
      </c>
      <c r="AL1283" s="119">
        <f>IF(tech_base!$T99&gt;AL$1185,"",AL1563+AL1843)</f>
        <v>0</v>
      </c>
      <c r="AM1283" s="119">
        <f>IF(tech_base!$T99&gt;AM$1185,"",AM1563+AM1843)</f>
        <v>0</v>
      </c>
      <c r="AN1283" s="119">
        <f>IF(tech_base!$T99&gt;AN$1185,"",AN1563+AN1843)</f>
        <v>0</v>
      </c>
      <c r="AO1283" s="119">
        <f>IF(tech_base!$T99&gt;AO$1185,"",AO1563+AO1843)</f>
        <v>0</v>
      </c>
      <c r="AP1283" s="119">
        <f>IF(tech_base!$T99&gt;AP$1185,"",AP1563+AP1843)</f>
        <v>0</v>
      </c>
      <c r="AQ1283" s="119">
        <f>IF(tech_base!$T99&gt;AQ$1185,"",AQ1563+AQ1843)</f>
        <v>0</v>
      </c>
      <c r="AR1283" s="119">
        <f>IF(tech_base!$T99&gt;AR$1185,"",AR1563+AR1843)</f>
        <v>0</v>
      </c>
      <c r="AS1283" s="119">
        <f>IF(tech_base!$T99&gt;AS$1185,"",AS1563+AS1843)</f>
        <v>0</v>
      </c>
      <c r="AT1283" s="119">
        <f>IF(tech_base!$T99&gt;AT$1185,"",AT1563+AT1843)</f>
        <v>0</v>
      </c>
      <c r="AU1283" s="119">
        <f>IF(tech_base!$T99&gt;AU$1185,"",AU1563+AU1843)</f>
        <v>0</v>
      </c>
      <c r="AV1283" s="119">
        <f>IF(tech_base!$T99&gt;AV$1185,"",AV1563+AV1843)</f>
        <v>0</v>
      </c>
      <c r="AW1283" s="119">
        <f>IF(tech_base!$T99&gt;AW$1185,"",AW1563+AW1843)</f>
        <v>0</v>
      </c>
      <c r="AX1283" s="120">
        <f>IF(tech_base!$T99&gt;AX$1185,"",AX1563+AX1843)</f>
        <v>0</v>
      </c>
    </row>
    <row r="1284" spans="1:50" x14ac:dyDescent="0.25">
      <c r="A1284" s="356"/>
      <c r="B1284" s="376"/>
      <c r="C1284" s="361" t="s">
        <v>14</v>
      </c>
      <c r="D1284" s="2" t="s">
        <v>8</v>
      </c>
      <c r="E1284" s="164" t="str">
        <f>A1269&amp;"/"&amp;B1281&amp;"/"&amp;C1284&amp;"/"&amp;D1284</f>
        <v>Gas fired power plants (Natural gas, biogas)/Gas turbine /CHP/M</v>
      </c>
      <c r="F1284" s="78" t="str">
        <f>A1269</f>
        <v>Gas fired power plants (Natural gas, biogas)</v>
      </c>
      <c r="G1284" s="78" t="str">
        <f>B1281</f>
        <v xml:space="preserve">Gas turbine </v>
      </c>
      <c r="H1284" s="78" t="str">
        <f>C1284</f>
        <v>CHP</v>
      </c>
      <c r="I1284" s="165" t="str">
        <f t="shared" si="373"/>
        <v>M</v>
      </c>
      <c r="J1284" s="123">
        <f>IF(tech_base!$T100&gt;J$1185,"",J1564+J1844)</f>
        <v>0</v>
      </c>
      <c r="K1284" s="123">
        <f>IF(tech_base!$T100&gt;K$1185,"",K1564+K1844)</f>
        <v>0</v>
      </c>
      <c r="L1284" s="123">
        <f>IF(tech_base!$T100&gt;L$1185,"",L1564+L1844)</f>
        <v>0</v>
      </c>
      <c r="M1284" s="123">
        <f>IF(tech_base!$T100&gt;M$1185,"",M1564+M1844)</f>
        <v>0</v>
      </c>
      <c r="N1284" s="123">
        <f>IF(tech_base!$T100&gt;N$1185,"",N1564+N1844)</f>
        <v>0</v>
      </c>
      <c r="O1284" s="123">
        <f>IF(tech_base!$T100&gt;O$1185,"",O1564+O1844)</f>
        <v>0</v>
      </c>
      <c r="P1284" s="123">
        <f>IF(tech_base!$T100&gt;P$1185,"",P1564+P1844)</f>
        <v>0</v>
      </c>
      <c r="Q1284" s="123">
        <f>IF(tech_base!$T100&gt;Q$1185,"",Q1564+Q1844)</f>
        <v>0</v>
      </c>
      <c r="R1284" s="123">
        <f>IF(tech_base!$T100&gt;R$1185,"",R1564+R1844)</f>
        <v>0</v>
      </c>
      <c r="S1284" s="123">
        <f>IF(tech_base!$T100&gt;S$1185,"",S1564+S1844)</f>
        <v>0</v>
      </c>
      <c r="T1284" s="123">
        <f>IF(tech_base!$T100&gt;T$1185,"",T1564+T1844)</f>
        <v>0</v>
      </c>
      <c r="U1284" s="123">
        <f>IF(tech_base!$T100&gt;U$1185,"",U1564+U1844)</f>
        <v>0</v>
      </c>
      <c r="V1284" s="123">
        <f>IF(tech_base!$T100&gt;V$1185,"",V1564+V1844)</f>
        <v>0</v>
      </c>
      <c r="W1284" s="123">
        <f>IF(tech_base!$T100&gt;W$1185,"",W1564+W1844)</f>
        <v>0</v>
      </c>
      <c r="X1284" s="123">
        <f>IF(tech_base!$T100&gt;X$1185,"",X1564+X1844)</f>
        <v>0</v>
      </c>
      <c r="Y1284" s="123">
        <f>IF(tech_base!$T100&gt;Y$1185,"",Y1564+Y1844)</f>
        <v>0</v>
      </c>
      <c r="Z1284" s="123">
        <f>IF(tech_base!$T100&gt;Z$1185,"",Z1564+Z1844)</f>
        <v>0</v>
      </c>
      <c r="AA1284" s="123">
        <f>IF(tech_base!$T100&gt;AA$1185,"",AA1564+AA1844)</f>
        <v>0</v>
      </c>
      <c r="AB1284" s="123">
        <f>IF(tech_base!$T100&gt;AB$1185,"",AB1564+AB1844)</f>
        <v>0</v>
      </c>
      <c r="AC1284" s="123">
        <f>IF(tech_base!$T100&gt;AC$1185,"",AC1564+AC1844)</f>
        <v>0</v>
      </c>
      <c r="AD1284" s="123">
        <f>IF(tech_base!$T100&gt;AD$1185,"",AD1564+AD1844)</f>
        <v>0</v>
      </c>
      <c r="AE1284" s="123">
        <f>IF(tech_base!$T100&gt;AE$1185,"",AE1564+AE1844)</f>
        <v>0</v>
      </c>
      <c r="AF1284" s="123">
        <f>IF(tech_base!$T100&gt;AF$1185,"",AF1564+AF1844)</f>
        <v>0</v>
      </c>
      <c r="AG1284" s="123">
        <f>IF(tech_base!$T100&gt;AG$1185,"",AG1564+AG1844)</f>
        <v>0</v>
      </c>
      <c r="AH1284" s="123">
        <f>IF(tech_base!$T100&gt;AH$1185,"",AH1564+AH1844)</f>
        <v>0</v>
      </c>
      <c r="AI1284" s="123">
        <f>IF(tech_base!$T100&gt;AI$1185,"",AI1564+AI1844)</f>
        <v>0</v>
      </c>
      <c r="AJ1284" s="123">
        <f>IF(tech_base!$T100&gt;AJ$1185,"",AJ1564+AJ1844)</f>
        <v>0</v>
      </c>
      <c r="AK1284" s="123">
        <f>IF(tech_base!$T100&gt;AK$1185,"",AK1564+AK1844)</f>
        <v>0</v>
      </c>
      <c r="AL1284" s="123">
        <f>IF(tech_base!$T100&gt;AL$1185,"",AL1564+AL1844)</f>
        <v>0</v>
      </c>
      <c r="AM1284" s="123">
        <f>IF(tech_base!$T100&gt;AM$1185,"",AM1564+AM1844)</f>
        <v>0</v>
      </c>
      <c r="AN1284" s="123">
        <f>IF(tech_base!$T100&gt;AN$1185,"",AN1564+AN1844)</f>
        <v>0</v>
      </c>
      <c r="AO1284" s="123">
        <f>IF(tech_base!$T100&gt;AO$1185,"",AO1564+AO1844)</f>
        <v>0</v>
      </c>
      <c r="AP1284" s="123">
        <f>IF(tech_base!$T100&gt;AP$1185,"",AP1564+AP1844)</f>
        <v>0</v>
      </c>
      <c r="AQ1284" s="123">
        <f>IF(tech_base!$T100&gt;AQ$1185,"",AQ1564+AQ1844)</f>
        <v>0</v>
      </c>
      <c r="AR1284" s="123">
        <f>IF(tech_base!$T100&gt;AR$1185,"",AR1564+AR1844)</f>
        <v>0</v>
      </c>
      <c r="AS1284" s="123">
        <f>IF(tech_base!$T100&gt;AS$1185,"",AS1564+AS1844)</f>
        <v>0</v>
      </c>
      <c r="AT1284" s="123">
        <f>IF(tech_base!$T100&gt;AT$1185,"",AT1564+AT1844)</f>
        <v>0</v>
      </c>
      <c r="AU1284" s="123">
        <f>IF(tech_base!$T100&gt;AU$1185,"",AU1564+AU1844)</f>
        <v>0</v>
      </c>
      <c r="AV1284" s="123">
        <f>IF(tech_base!$T100&gt;AV$1185,"",AV1564+AV1844)</f>
        <v>0</v>
      </c>
      <c r="AW1284" s="123">
        <f>IF(tech_base!$T100&gt;AW$1185,"",AW1564+AW1844)</f>
        <v>0</v>
      </c>
      <c r="AX1284" s="124">
        <f>IF(tech_base!$T100&gt;AX$1185,"",AX1564+AX1844)</f>
        <v>0</v>
      </c>
    </row>
    <row r="1285" spans="1:50" x14ac:dyDescent="0.25">
      <c r="A1285" s="356"/>
      <c r="B1285" s="376"/>
      <c r="C1285" s="378"/>
      <c r="D1285" s="2" t="s">
        <v>10</v>
      </c>
      <c r="E1285" s="160" t="str">
        <f>A1269&amp;"/"&amp;B1281&amp;"/"&amp;C1284&amp;"/"&amp;D1285</f>
        <v>Gas fired power plants (Natural gas, biogas)/Gas turbine /CHP/S</v>
      </c>
      <c r="F1285" s="76" t="str">
        <f>A1269</f>
        <v>Gas fired power plants (Natural gas, biogas)</v>
      </c>
      <c r="G1285" s="76" t="str">
        <f>B1281</f>
        <v xml:space="preserve">Gas turbine </v>
      </c>
      <c r="H1285" s="76" t="str">
        <f>C1284</f>
        <v>CHP</v>
      </c>
      <c r="I1285" s="161" t="str">
        <f t="shared" si="373"/>
        <v>S</v>
      </c>
      <c r="J1285" s="119">
        <f>IF(tech_base!$T101&gt;J$1185,"",J1565+J1845)</f>
        <v>0</v>
      </c>
      <c r="K1285" s="119">
        <f>IF(tech_base!$T101&gt;K$1185,"",K1565+K1845)</f>
        <v>0</v>
      </c>
      <c r="L1285" s="119">
        <f>IF(tech_base!$T101&gt;L$1185,"",L1565+L1845)</f>
        <v>0</v>
      </c>
      <c r="M1285" s="119">
        <f>IF(tech_base!$T101&gt;M$1185,"",M1565+M1845)</f>
        <v>0</v>
      </c>
      <c r="N1285" s="119">
        <f>IF(tech_base!$T101&gt;N$1185,"",N1565+N1845)</f>
        <v>0</v>
      </c>
      <c r="O1285" s="119">
        <f>IF(tech_base!$T101&gt;O$1185,"",O1565+O1845)</f>
        <v>0</v>
      </c>
      <c r="P1285" s="119">
        <f>IF(tech_base!$T101&gt;P$1185,"",P1565+P1845)</f>
        <v>0</v>
      </c>
      <c r="Q1285" s="119">
        <f>IF(tech_base!$T101&gt;Q$1185,"",Q1565+Q1845)</f>
        <v>0</v>
      </c>
      <c r="R1285" s="119">
        <f>IF(tech_base!$T101&gt;R$1185,"",R1565+R1845)</f>
        <v>0</v>
      </c>
      <c r="S1285" s="119">
        <f>IF(tech_base!$T101&gt;S$1185,"",S1565+S1845)</f>
        <v>0</v>
      </c>
      <c r="T1285" s="119">
        <f>IF(tech_base!$T101&gt;T$1185,"",T1565+T1845)</f>
        <v>0</v>
      </c>
      <c r="U1285" s="119">
        <f>IF(tech_base!$T101&gt;U$1185,"",U1565+U1845)</f>
        <v>0</v>
      </c>
      <c r="V1285" s="119">
        <f>IF(tech_base!$T101&gt;V$1185,"",V1565+V1845)</f>
        <v>0</v>
      </c>
      <c r="W1285" s="119">
        <f>IF(tech_base!$T101&gt;W$1185,"",W1565+W1845)</f>
        <v>0</v>
      </c>
      <c r="X1285" s="119">
        <f>IF(tech_base!$T101&gt;X$1185,"",X1565+X1845)</f>
        <v>0</v>
      </c>
      <c r="Y1285" s="119">
        <f>IF(tech_base!$T101&gt;Y$1185,"",Y1565+Y1845)</f>
        <v>0</v>
      </c>
      <c r="Z1285" s="119">
        <f>IF(tech_base!$T101&gt;Z$1185,"",Z1565+Z1845)</f>
        <v>0</v>
      </c>
      <c r="AA1285" s="119">
        <f>IF(tech_base!$T101&gt;AA$1185,"",AA1565+AA1845)</f>
        <v>0</v>
      </c>
      <c r="AB1285" s="119">
        <f>IF(tech_base!$T101&gt;AB$1185,"",AB1565+AB1845)</f>
        <v>0</v>
      </c>
      <c r="AC1285" s="119">
        <f>IF(tech_base!$T101&gt;AC$1185,"",AC1565+AC1845)</f>
        <v>0</v>
      </c>
      <c r="AD1285" s="119">
        <f>IF(tech_base!$T101&gt;AD$1185,"",AD1565+AD1845)</f>
        <v>0</v>
      </c>
      <c r="AE1285" s="119">
        <f>IF(tech_base!$T101&gt;AE$1185,"",AE1565+AE1845)</f>
        <v>0</v>
      </c>
      <c r="AF1285" s="119">
        <f>IF(tech_base!$T101&gt;AF$1185,"",AF1565+AF1845)</f>
        <v>0</v>
      </c>
      <c r="AG1285" s="119">
        <f>IF(tech_base!$T101&gt;AG$1185,"",AG1565+AG1845)</f>
        <v>0</v>
      </c>
      <c r="AH1285" s="119">
        <f>IF(tech_base!$T101&gt;AH$1185,"",AH1565+AH1845)</f>
        <v>0</v>
      </c>
      <c r="AI1285" s="119">
        <f>IF(tech_base!$T101&gt;AI$1185,"",AI1565+AI1845)</f>
        <v>0</v>
      </c>
      <c r="AJ1285" s="119">
        <f>IF(tech_base!$T101&gt;AJ$1185,"",AJ1565+AJ1845)</f>
        <v>0</v>
      </c>
      <c r="AK1285" s="119">
        <f>IF(tech_base!$T101&gt;AK$1185,"",AK1565+AK1845)</f>
        <v>0</v>
      </c>
      <c r="AL1285" s="119">
        <f>IF(tech_base!$T101&gt;AL$1185,"",AL1565+AL1845)</f>
        <v>0</v>
      </c>
      <c r="AM1285" s="119">
        <f>IF(tech_base!$T101&gt;AM$1185,"",AM1565+AM1845)</f>
        <v>0</v>
      </c>
      <c r="AN1285" s="119">
        <f>IF(tech_base!$T101&gt;AN$1185,"",AN1565+AN1845)</f>
        <v>0</v>
      </c>
      <c r="AO1285" s="119">
        <f>IF(tech_base!$T101&gt;AO$1185,"",AO1565+AO1845)</f>
        <v>0</v>
      </c>
      <c r="AP1285" s="119">
        <f>IF(tech_base!$T101&gt;AP$1185,"",AP1565+AP1845)</f>
        <v>0</v>
      </c>
      <c r="AQ1285" s="119">
        <f>IF(tech_base!$T101&gt;AQ$1185,"",AQ1565+AQ1845)</f>
        <v>0</v>
      </c>
      <c r="AR1285" s="119">
        <f>IF(tech_base!$T101&gt;AR$1185,"",AR1565+AR1845)</f>
        <v>0</v>
      </c>
      <c r="AS1285" s="119">
        <f>IF(tech_base!$T101&gt;AS$1185,"",AS1565+AS1845)</f>
        <v>0</v>
      </c>
      <c r="AT1285" s="119">
        <f>IF(tech_base!$T101&gt;AT$1185,"",AT1565+AT1845)</f>
        <v>0</v>
      </c>
      <c r="AU1285" s="119">
        <f>IF(tech_base!$T101&gt;AU$1185,"",AU1565+AU1845)</f>
        <v>0</v>
      </c>
      <c r="AV1285" s="119">
        <f>IF(tech_base!$T101&gt;AV$1185,"",AV1565+AV1845)</f>
        <v>0</v>
      </c>
      <c r="AW1285" s="119">
        <f>IF(tech_base!$T101&gt;AW$1185,"",AW1565+AW1845)</f>
        <v>0</v>
      </c>
      <c r="AX1285" s="120">
        <f>IF(tech_base!$T101&gt;AX$1185,"",AX1565+AX1845)</f>
        <v>0</v>
      </c>
    </row>
    <row r="1286" spans="1:50" x14ac:dyDescent="0.25">
      <c r="A1286" s="356"/>
      <c r="B1286" s="380"/>
      <c r="C1286" s="381"/>
      <c r="D1286" s="4" t="s">
        <v>20</v>
      </c>
      <c r="E1286" s="168" t="str">
        <f>A1269&amp;"/"&amp;B1281&amp;"/"&amp;C1284&amp;"/"&amp;D1286</f>
        <v>Gas fired power plants (Natural gas, biogas)/Gas turbine /CHP/XS</v>
      </c>
      <c r="F1286" s="80" t="str">
        <f>A1269</f>
        <v>Gas fired power plants (Natural gas, biogas)</v>
      </c>
      <c r="G1286" s="80" t="str">
        <f>B1281</f>
        <v xml:space="preserve">Gas turbine </v>
      </c>
      <c r="H1286" s="80" t="str">
        <f>C1284</f>
        <v>CHP</v>
      </c>
      <c r="I1286" s="169" t="str">
        <f t="shared" si="373"/>
        <v>XS</v>
      </c>
      <c r="J1286" s="127">
        <f>IF(tech_base!$T102&gt;J$1185,"",J1566+J1846)</f>
        <v>0</v>
      </c>
      <c r="K1286" s="127">
        <f>IF(tech_base!$T102&gt;K$1185,"",K1566+K1846)</f>
        <v>0</v>
      </c>
      <c r="L1286" s="127">
        <f>IF(tech_base!$T102&gt;L$1185,"",L1566+L1846)</f>
        <v>0</v>
      </c>
      <c r="M1286" s="127">
        <f>IF(tech_base!$T102&gt;M$1185,"",M1566+M1846)</f>
        <v>0</v>
      </c>
      <c r="N1286" s="127">
        <f>IF(tech_base!$T102&gt;N$1185,"",N1566+N1846)</f>
        <v>0</v>
      </c>
      <c r="O1286" s="127">
        <f>IF(tech_base!$T102&gt;O$1185,"",O1566+O1846)</f>
        <v>0</v>
      </c>
      <c r="P1286" s="127">
        <f>IF(tech_base!$T102&gt;P$1185,"",P1566+P1846)</f>
        <v>0</v>
      </c>
      <c r="Q1286" s="127">
        <f>IF(tech_base!$T102&gt;Q$1185,"",Q1566+Q1846)</f>
        <v>0</v>
      </c>
      <c r="R1286" s="127">
        <f>IF(tech_base!$T102&gt;R$1185,"",R1566+R1846)</f>
        <v>0</v>
      </c>
      <c r="S1286" s="127">
        <f>IF(tech_base!$T102&gt;S$1185,"",S1566+S1846)</f>
        <v>0</v>
      </c>
      <c r="T1286" s="127">
        <f>IF(tech_base!$T102&gt;T$1185,"",T1566+T1846)</f>
        <v>0</v>
      </c>
      <c r="U1286" s="127">
        <f>IF(tech_base!$T102&gt;U$1185,"",U1566+U1846)</f>
        <v>0</v>
      </c>
      <c r="V1286" s="127">
        <f>IF(tech_base!$T102&gt;V$1185,"",V1566+V1846)</f>
        <v>0</v>
      </c>
      <c r="W1286" s="127">
        <f>IF(tech_base!$T102&gt;W$1185,"",W1566+W1846)</f>
        <v>0</v>
      </c>
      <c r="X1286" s="127">
        <f>IF(tech_base!$T102&gt;X$1185,"",X1566+X1846)</f>
        <v>0</v>
      </c>
      <c r="Y1286" s="127">
        <f>IF(tech_base!$T102&gt;Y$1185,"",Y1566+Y1846)</f>
        <v>0</v>
      </c>
      <c r="Z1286" s="127">
        <f>IF(tech_base!$T102&gt;Z$1185,"",Z1566+Z1846)</f>
        <v>0</v>
      </c>
      <c r="AA1286" s="127">
        <f>IF(tech_base!$T102&gt;AA$1185,"",AA1566+AA1846)</f>
        <v>0</v>
      </c>
      <c r="AB1286" s="127">
        <f>IF(tech_base!$T102&gt;AB$1185,"",AB1566+AB1846)</f>
        <v>0</v>
      </c>
      <c r="AC1286" s="127">
        <f>IF(tech_base!$T102&gt;AC$1185,"",AC1566+AC1846)</f>
        <v>0</v>
      </c>
      <c r="AD1286" s="127">
        <f>IF(tech_base!$T102&gt;AD$1185,"",AD1566+AD1846)</f>
        <v>0</v>
      </c>
      <c r="AE1286" s="127">
        <f>IF(tech_base!$T102&gt;AE$1185,"",AE1566+AE1846)</f>
        <v>0</v>
      </c>
      <c r="AF1286" s="127">
        <f>IF(tech_base!$T102&gt;AF$1185,"",AF1566+AF1846)</f>
        <v>0</v>
      </c>
      <c r="AG1286" s="127">
        <f>IF(tech_base!$T102&gt;AG$1185,"",AG1566+AG1846)</f>
        <v>0</v>
      </c>
      <c r="AH1286" s="127">
        <f>IF(tech_base!$T102&gt;AH$1185,"",AH1566+AH1846)</f>
        <v>0</v>
      </c>
      <c r="AI1286" s="127">
        <f>IF(tech_base!$T102&gt;AI$1185,"",AI1566+AI1846)</f>
        <v>0</v>
      </c>
      <c r="AJ1286" s="127">
        <f>IF(tech_base!$T102&gt;AJ$1185,"",AJ1566+AJ1846)</f>
        <v>0</v>
      </c>
      <c r="AK1286" s="127">
        <f>IF(tech_base!$T102&gt;AK$1185,"",AK1566+AK1846)</f>
        <v>0</v>
      </c>
      <c r="AL1286" s="127">
        <f>IF(tech_base!$T102&gt;AL$1185,"",AL1566+AL1846)</f>
        <v>0</v>
      </c>
      <c r="AM1286" s="127">
        <f>IF(tech_base!$T102&gt;AM$1185,"",AM1566+AM1846)</f>
        <v>0</v>
      </c>
      <c r="AN1286" s="127">
        <f>IF(tech_base!$T102&gt;AN$1185,"",AN1566+AN1846)</f>
        <v>0</v>
      </c>
      <c r="AO1286" s="127">
        <f>IF(tech_base!$T102&gt;AO$1185,"",AO1566+AO1846)</f>
        <v>0</v>
      </c>
      <c r="AP1286" s="127">
        <f>IF(tech_base!$T102&gt;AP$1185,"",AP1566+AP1846)</f>
        <v>0</v>
      </c>
      <c r="AQ1286" s="127">
        <f>IF(tech_base!$T102&gt;AQ$1185,"",AQ1566+AQ1846)</f>
        <v>0</v>
      </c>
      <c r="AR1286" s="127">
        <f>IF(tech_base!$T102&gt;AR$1185,"",AR1566+AR1846)</f>
        <v>0</v>
      </c>
      <c r="AS1286" s="127">
        <f>IF(tech_base!$T102&gt;AS$1185,"",AS1566+AS1846)</f>
        <v>0</v>
      </c>
      <c r="AT1286" s="127">
        <f>IF(tech_base!$T102&gt;AT$1185,"",AT1566+AT1846)</f>
        <v>0</v>
      </c>
      <c r="AU1286" s="127">
        <f>IF(tech_base!$T102&gt;AU$1185,"",AU1566+AU1846)</f>
        <v>0</v>
      </c>
      <c r="AV1286" s="127">
        <f>IF(tech_base!$T102&gt;AV$1185,"",AV1566+AV1846)</f>
        <v>0</v>
      </c>
      <c r="AW1286" s="127">
        <f>IF(tech_base!$T102&gt;AW$1185,"",AW1566+AW1846)</f>
        <v>0</v>
      </c>
      <c r="AX1286" s="128">
        <f>IF(tech_base!$T102&gt;AX$1185,"",AX1566+AX1846)</f>
        <v>0</v>
      </c>
    </row>
    <row r="1287" spans="1:50" x14ac:dyDescent="0.25">
      <c r="A1287" s="356"/>
      <c r="B1287" s="358" t="s">
        <v>19</v>
      </c>
      <c r="C1287" s="353" t="s">
        <v>6</v>
      </c>
      <c r="D1287" s="3" t="s">
        <v>7</v>
      </c>
      <c r="E1287" s="162" t="str">
        <f>A1269&amp;"/"&amp;B1287&amp;"/"&amp;C1287&amp;"/"&amp;D1287</f>
        <v>Gas fired power plants (Natural gas, biogas)/Steam turbine/Electricity only/L</v>
      </c>
      <c r="F1287" s="77" t="str">
        <f>A1269</f>
        <v>Gas fired power plants (Natural gas, biogas)</v>
      </c>
      <c r="G1287" s="77" t="str">
        <f>B1287</f>
        <v>Steam turbine</v>
      </c>
      <c r="H1287" s="77" t="str">
        <f>C1287</f>
        <v>Electricity only</v>
      </c>
      <c r="I1287" s="163" t="str">
        <f t="shared" si="373"/>
        <v>L</v>
      </c>
      <c r="J1287" s="121">
        <f>IF(tech_base!$T103&gt;J$1185,"",J1567+J1847)</f>
        <v>0</v>
      </c>
      <c r="K1287" s="121">
        <f>IF(tech_base!$T103&gt;K$1185,"",K1567+K1847)</f>
        <v>0</v>
      </c>
      <c r="L1287" s="121">
        <f>IF(tech_base!$T103&gt;L$1185,"",L1567+L1847)</f>
        <v>0</v>
      </c>
      <c r="M1287" s="121">
        <f>IF(tech_base!$T103&gt;M$1185,"",M1567+M1847)</f>
        <v>0</v>
      </c>
      <c r="N1287" s="121">
        <f>IF(tech_base!$T103&gt;N$1185,"",N1567+N1847)</f>
        <v>0</v>
      </c>
      <c r="O1287" s="121">
        <f>IF(tech_base!$T103&gt;O$1185,"",O1567+O1847)</f>
        <v>0</v>
      </c>
      <c r="P1287" s="121">
        <f>IF(tech_base!$T103&gt;P$1185,"",P1567+P1847)</f>
        <v>0</v>
      </c>
      <c r="Q1287" s="121">
        <f>IF(tech_base!$T103&gt;Q$1185,"",Q1567+Q1847)</f>
        <v>0</v>
      </c>
      <c r="R1287" s="121">
        <f>IF(tech_base!$T103&gt;R$1185,"",R1567+R1847)</f>
        <v>0</v>
      </c>
      <c r="S1287" s="121">
        <f>IF(tech_base!$T103&gt;S$1185,"",S1567+S1847)</f>
        <v>0</v>
      </c>
      <c r="T1287" s="121">
        <f>IF(tech_base!$T103&gt;T$1185,"",T1567+T1847)</f>
        <v>0</v>
      </c>
      <c r="U1287" s="121">
        <f>IF(tech_base!$T103&gt;U$1185,"",U1567+U1847)</f>
        <v>0</v>
      </c>
      <c r="V1287" s="121">
        <f>IF(tech_base!$T103&gt;V$1185,"",V1567+V1847)</f>
        <v>0</v>
      </c>
      <c r="W1287" s="121">
        <f>IF(tech_base!$T103&gt;W$1185,"",W1567+W1847)</f>
        <v>0</v>
      </c>
      <c r="X1287" s="121">
        <f>IF(tech_base!$T103&gt;X$1185,"",X1567+X1847)</f>
        <v>0</v>
      </c>
      <c r="Y1287" s="121">
        <f>IF(tech_base!$T103&gt;Y$1185,"",Y1567+Y1847)</f>
        <v>0</v>
      </c>
      <c r="Z1287" s="121">
        <f>IF(tech_base!$T103&gt;Z$1185,"",Z1567+Z1847)</f>
        <v>0</v>
      </c>
      <c r="AA1287" s="121">
        <f>IF(tech_base!$T103&gt;AA$1185,"",AA1567+AA1847)</f>
        <v>0</v>
      </c>
      <c r="AB1287" s="121">
        <f>IF(tech_base!$T103&gt;AB$1185,"",AB1567+AB1847)</f>
        <v>0</v>
      </c>
      <c r="AC1287" s="121">
        <f>IF(tech_base!$T103&gt;AC$1185,"",AC1567+AC1847)</f>
        <v>0</v>
      </c>
      <c r="AD1287" s="121">
        <f>IF(tech_base!$T103&gt;AD$1185,"",AD1567+AD1847)</f>
        <v>0</v>
      </c>
      <c r="AE1287" s="121">
        <f>IF(tech_base!$T103&gt;AE$1185,"",AE1567+AE1847)</f>
        <v>0</v>
      </c>
      <c r="AF1287" s="121">
        <f>IF(tech_base!$T103&gt;AF$1185,"",AF1567+AF1847)</f>
        <v>0</v>
      </c>
      <c r="AG1287" s="121">
        <f>IF(tech_base!$T103&gt;AG$1185,"",AG1567+AG1847)</f>
        <v>0</v>
      </c>
      <c r="AH1287" s="121">
        <f>IF(tech_base!$T103&gt;AH$1185,"",AH1567+AH1847)</f>
        <v>0</v>
      </c>
      <c r="AI1287" s="121">
        <f>IF(tech_base!$T103&gt;AI$1185,"",AI1567+AI1847)</f>
        <v>0</v>
      </c>
      <c r="AJ1287" s="121">
        <f>IF(tech_base!$T103&gt;AJ$1185,"",AJ1567+AJ1847)</f>
        <v>0</v>
      </c>
      <c r="AK1287" s="121">
        <f>IF(tech_base!$T103&gt;AK$1185,"",AK1567+AK1847)</f>
        <v>0</v>
      </c>
      <c r="AL1287" s="121">
        <f>IF(tech_base!$T103&gt;AL$1185,"",AL1567+AL1847)</f>
        <v>0</v>
      </c>
      <c r="AM1287" s="121">
        <f>IF(tech_base!$T103&gt;AM$1185,"",AM1567+AM1847)</f>
        <v>0</v>
      </c>
      <c r="AN1287" s="121">
        <f>IF(tech_base!$T103&gt;AN$1185,"",AN1567+AN1847)</f>
        <v>0</v>
      </c>
      <c r="AO1287" s="121">
        <f>IF(tech_base!$T103&gt;AO$1185,"",AO1567+AO1847)</f>
        <v>0</v>
      </c>
      <c r="AP1287" s="121">
        <f>IF(tech_base!$T103&gt;AP$1185,"",AP1567+AP1847)</f>
        <v>0</v>
      </c>
      <c r="AQ1287" s="121">
        <f>IF(tech_base!$T103&gt;AQ$1185,"",AQ1567+AQ1847)</f>
        <v>0</v>
      </c>
      <c r="AR1287" s="121">
        <f>IF(tech_base!$T103&gt;AR$1185,"",AR1567+AR1847)</f>
        <v>0</v>
      </c>
      <c r="AS1287" s="121">
        <f>IF(tech_base!$T103&gt;AS$1185,"",AS1567+AS1847)</f>
        <v>0</v>
      </c>
      <c r="AT1287" s="121">
        <f>IF(tech_base!$T103&gt;AT$1185,"",AT1567+AT1847)</f>
        <v>0</v>
      </c>
      <c r="AU1287" s="121">
        <f>IF(tech_base!$T103&gt;AU$1185,"",AU1567+AU1847)</f>
        <v>0</v>
      </c>
      <c r="AV1287" s="121">
        <f>IF(tech_base!$T103&gt;AV$1185,"",AV1567+AV1847)</f>
        <v>0</v>
      </c>
      <c r="AW1287" s="121">
        <f>IF(tech_base!$T103&gt;AW$1185,"",AW1567+AW1847)</f>
        <v>0</v>
      </c>
      <c r="AX1287" s="122">
        <f>IF(tech_base!$T103&gt;AX$1185,"",AX1567+AX1847)</f>
        <v>0</v>
      </c>
    </row>
    <row r="1288" spans="1:50" x14ac:dyDescent="0.25">
      <c r="A1288" s="356"/>
      <c r="B1288" s="376"/>
      <c r="C1288" s="378"/>
      <c r="D1288" s="2" t="s">
        <v>8</v>
      </c>
      <c r="E1288" s="160" t="str">
        <f>A1269&amp;"/"&amp;B1287&amp;"/"&amp;C1287&amp;"/"&amp;D1288</f>
        <v>Gas fired power plants (Natural gas, biogas)/Steam turbine/Electricity only/M</v>
      </c>
      <c r="F1288" s="76" t="str">
        <f>A1269</f>
        <v>Gas fired power plants (Natural gas, biogas)</v>
      </c>
      <c r="G1288" s="76" t="str">
        <f>B1287</f>
        <v>Steam turbine</v>
      </c>
      <c r="H1288" s="76" t="str">
        <f>C1287</f>
        <v>Electricity only</v>
      </c>
      <c r="I1288" s="161" t="str">
        <f t="shared" si="373"/>
        <v>M</v>
      </c>
      <c r="J1288" s="119">
        <f>IF(tech_base!$T104&gt;J$1185,"",J1568+J1848)</f>
        <v>0</v>
      </c>
      <c r="K1288" s="119">
        <f>IF(tech_base!$T104&gt;K$1185,"",K1568+K1848)</f>
        <v>0</v>
      </c>
      <c r="L1288" s="119">
        <f>IF(tech_base!$T104&gt;L$1185,"",L1568+L1848)</f>
        <v>0</v>
      </c>
      <c r="M1288" s="119">
        <f>IF(tech_base!$T104&gt;M$1185,"",M1568+M1848)</f>
        <v>0</v>
      </c>
      <c r="N1288" s="119">
        <f>IF(tech_base!$T104&gt;N$1185,"",N1568+N1848)</f>
        <v>0</v>
      </c>
      <c r="O1288" s="119">
        <f>IF(tech_base!$T104&gt;O$1185,"",O1568+O1848)</f>
        <v>0</v>
      </c>
      <c r="P1288" s="119">
        <f>IF(tech_base!$T104&gt;P$1185,"",P1568+P1848)</f>
        <v>0</v>
      </c>
      <c r="Q1288" s="119">
        <f>IF(tech_base!$T104&gt;Q$1185,"",Q1568+Q1848)</f>
        <v>0</v>
      </c>
      <c r="R1288" s="119">
        <f>IF(tech_base!$T104&gt;R$1185,"",R1568+R1848)</f>
        <v>0</v>
      </c>
      <c r="S1288" s="119">
        <f>IF(tech_base!$T104&gt;S$1185,"",S1568+S1848)</f>
        <v>0</v>
      </c>
      <c r="T1288" s="119">
        <f>IF(tech_base!$T104&gt;T$1185,"",T1568+T1848)</f>
        <v>0</v>
      </c>
      <c r="U1288" s="119">
        <f>IF(tech_base!$T104&gt;U$1185,"",U1568+U1848)</f>
        <v>0</v>
      </c>
      <c r="V1288" s="119">
        <f>IF(tech_base!$T104&gt;V$1185,"",V1568+V1848)</f>
        <v>0</v>
      </c>
      <c r="W1288" s="119">
        <f>IF(tech_base!$T104&gt;W$1185,"",W1568+W1848)</f>
        <v>0</v>
      </c>
      <c r="X1288" s="119">
        <f>IF(tech_base!$T104&gt;X$1185,"",X1568+X1848)</f>
        <v>0</v>
      </c>
      <c r="Y1288" s="119">
        <f>IF(tech_base!$T104&gt;Y$1185,"",Y1568+Y1848)</f>
        <v>0</v>
      </c>
      <c r="Z1288" s="119">
        <f>IF(tech_base!$T104&gt;Z$1185,"",Z1568+Z1848)</f>
        <v>0</v>
      </c>
      <c r="AA1288" s="119">
        <f>IF(tech_base!$T104&gt;AA$1185,"",AA1568+AA1848)</f>
        <v>0</v>
      </c>
      <c r="AB1288" s="119">
        <f>IF(tech_base!$T104&gt;AB$1185,"",AB1568+AB1848)</f>
        <v>0</v>
      </c>
      <c r="AC1288" s="119">
        <f>IF(tech_base!$T104&gt;AC$1185,"",AC1568+AC1848)</f>
        <v>0</v>
      </c>
      <c r="AD1288" s="119">
        <f>IF(tech_base!$T104&gt;AD$1185,"",AD1568+AD1848)</f>
        <v>0</v>
      </c>
      <c r="AE1288" s="119">
        <f>IF(tech_base!$T104&gt;AE$1185,"",AE1568+AE1848)</f>
        <v>0</v>
      </c>
      <c r="AF1288" s="119">
        <f>IF(tech_base!$T104&gt;AF$1185,"",AF1568+AF1848)</f>
        <v>0</v>
      </c>
      <c r="AG1288" s="119">
        <f>IF(tech_base!$T104&gt;AG$1185,"",AG1568+AG1848)</f>
        <v>0</v>
      </c>
      <c r="AH1288" s="119">
        <f>IF(tech_base!$T104&gt;AH$1185,"",AH1568+AH1848)</f>
        <v>0</v>
      </c>
      <c r="AI1288" s="119">
        <f>IF(tech_base!$T104&gt;AI$1185,"",AI1568+AI1848)</f>
        <v>0</v>
      </c>
      <c r="AJ1288" s="119">
        <f>IF(tech_base!$T104&gt;AJ$1185,"",AJ1568+AJ1848)</f>
        <v>0</v>
      </c>
      <c r="AK1288" s="119">
        <f>IF(tech_base!$T104&gt;AK$1185,"",AK1568+AK1848)</f>
        <v>0</v>
      </c>
      <c r="AL1288" s="119">
        <f>IF(tech_base!$T104&gt;AL$1185,"",AL1568+AL1848)</f>
        <v>0</v>
      </c>
      <c r="AM1288" s="119">
        <f>IF(tech_base!$T104&gt;AM$1185,"",AM1568+AM1848)</f>
        <v>0</v>
      </c>
      <c r="AN1288" s="119">
        <f>IF(tech_base!$T104&gt;AN$1185,"",AN1568+AN1848)</f>
        <v>0</v>
      </c>
      <c r="AO1288" s="119">
        <f>IF(tech_base!$T104&gt;AO$1185,"",AO1568+AO1848)</f>
        <v>0</v>
      </c>
      <c r="AP1288" s="119">
        <f>IF(tech_base!$T104&gt;AP$1185,"",AP1568+AP1848)</f>
        <v>0</v>
      </c>
      <c r="AQ1288" s="119">
        <f>IF(tech_base!$T104&gt;AQ$1185,"",AQ1568+AQ1848)</f>
        <v>0</v>
      </c>
      <c r="AR1288" s="119">
        <f>IF(tech_base!$T104&gt;AR$1185,"",AR1568+AR1848)</f>
        <v>0</v>
      </c>
      <c r="AS1288" s="119">
        <f>IF(tech_base!$T104&gt;AS$1185,"",AS1568+AS1848)</f>
        <v>0</v>
      </c>
      <c r="AT1288" s="119">
        <f>IF(tech_base!$T104&gt;AT$1185,"",AT1568+AT1848)</f>
        <v>0</v>
      </c>
      <c r="AU1288" s="119">
        <f>IF(tech_base!$T104&gt;AU$1185,"",AU1568+AU1848)</f>
        <v>0</v>
      </c>
      <c r="AV1288" s="119">
        <f>IF(tech_base!$T104&gt;AV$1185,"",AV1568+AV1848)</f>
        <v>0</v>
      </c>
      <c r="AW1288" s="119">
        <f>IF(tech_base!$T104&gt;AW$1185,"",AW1568+AW1848)</f>
        <v>0</v>
      </c>
      <c r="AX1288" s="120">
        <f>IF(tech_base!$T104&gt;AX$1185,"",AX1568+AX1848)</f>
        <v>0</v>
      </c>
    </row>
    <row r="1289" spans="1:50" x14ac:dyDescent="0.25">
      <c r="A1289" s="356"/>
      <c r="B1289" s="376"/>
      <c r="C1289" s="378"/>
      <c r="D1289" s="2" t="s">
        <v>10</v>
      </c>
      <c r="E1289" s="160" t="str">
        <f>A1269&amp;"/"&amp;B1287&amp;"/"&amp;C1287&amp;"/"&amp;D1289</f>
        <v>Gas fired power plants (Natural gas, biogas)/Steam turbine/Electricity only/S</v>
      </c>
      <c r="F1289" s="76" t="str">
        <f>A1269</f>
        <v>Gas fired power plants (Natural gas, biogas)</v>
      </c>
      <c r="G1289" s="76" t="str">
        <f>B1287</f>
        <v>Steam turbine</v>
      </c>
      <c r="H1289" s="76" t="str">
        <f>C1287</f>
        <v>Electricity only</v>
      </c>
      <c r="I1289" s="161" t="str">
        <f t="shared" si="373"/>
        <v>S</v>
      </c>
      <c r="J1289" s="119">
        <f>IF(tech_base!$T105&gt;J$1185,"",J1569+J1849)</f>
        <v>0</v>
      </c>
      <c r="K1289" s="119">
        <f>IF(tech_base!$T105&gt;K$1185,"",K1569+K1849)</f>
        <v>0</v>
      </c>
      <c r="L1289" s="119">
        <f>IF(tech_base!$T105&gt;L$1185,"",L1569+L1849)</f>
        <v>0</v>
      </c>
      <c r="M1289" s="119">
        <f>IF(tech_base!$T105&gt;M$1185,"",M1569+M1849)</f>
        <v>0</v>
      </c>
      <c r="N1289" s="119">
        <f>IF(tech_base!$T105&gt;N$1185,"",N1569+N1849)</f>
        <v>0</v>
      </c>
      <c r="O1289" s="119">
        <f>IF(tech_base!$T105&gt;O$1185,"",O1569+O1849)</f>
        <v>0</v>
      </c>
      <c r="P1289" s="119">
        <f>IF(tech_base!$T105&gt;P$1185,"",P1569+P1849)</f>
        <v>0</v>
      </c>
      <c r="Q1289" s="119">
        <f>IF(tech_base!$T105&gt;Q$1185,"",Q1569+Q1849)</f>
        <v>0</v>
      </c>
      <c r="R1289" s="119">
        <f>IF(tech_base!$T105&gt;R$1185,"",R1569+R1849)</f>
        <v>0</v>
      </c>
      <c r="S1289" s="119">
        <f>IF(tech_base!$T105&gt;S$1185,"",S1569+S1849)</f>
        <v>0</v>
      </c>
      <c r="T1289" s="119">
        <f>IF(tech_base!$T105&gt;T$1185,"",T1569+T1849)</f>
        <v>0</v>
      </c>
      <c r="U1289" s="119">
        <f>IF(tech_base!$T105&gt;U$1185,"",U1569+U1849)</f>
        <v>0</v>
      </c>
      <c r="V1289" s="119">
        <f>IF(tech_base!$T105&gt;V$1185,"",V1569+V1849)</f>
        <v>0</v>
      </c>
      <c r="W1289" s="119">
        <f>IF(tech_base!$T105&gt;W$1185,"",W1569+W1849)</f>
        <v>0</v>
      </c>
      <c r="X1289" s="119">
        <f>IF(tech_base!$T105&gt;X$1185,"",X1569+X1849)</f>
        <v>0</v>
      </c>
      <c r="Y1289" s="119">
        <f>IF(tech_base!$T105&gt;Y$1185,"",Y1569+Y1849)</f>
        <v>0</v>
      </c>
      <c r="Z1289" s="119">
        <f>IF(tech_base!$T105&gt;Z$1185,"",Z1569+Z1849)</f>
        <v>0</v>
      </c>
      <c r="AA1289" s="119">
        <f>IF(tech_base!$T105&gt;AA$1185,"",AA1569+AA1849)</f>
        <v>0</v>
      </c>
      <c r="AB1289" s="119">
        <f>IF(tech_base!$T105&gt;AB$1185,"",AB1569+AB1849)</f>
        <v>0</v>
      </c>
      <c r="AC1289" s="119">
        <f>IF(tech_base!$T105&gt;AC$1185,"",AC1569+AC1849)</f>
        <v>0</v>
      </c>
      <c r="AD1289" s="119">
        <f>IF(tech_base!$T105&gt;AD$1185,"",AD1569+AD1849)</f>
        <v>0</v>
      </c>
      <c r="AE1289" s="119">
        <f>IF(tech_base!$T105&gt;AE$1185,"",AE1569+AE1849)</f>
        <v>0</v>
      </c>
      <c r="AF1289" s="119">
        <f>IF(tech_base!$T105&gt;AF$1185,"",AF1569+AF1849)</f>
        <v>0</v>
      </c>
      <c r="AG1289" s="119">
        <f>IF(tech_base!$T105&gt;AG$1185,"",AG1569+AG1849)</f>
        <v>0</v>
      </c>
      <c r="AH1289" s="119">
        <f>IF(tech_base!$T105&gt;AH$1185,"",AH1569+AH1849)</f>
        <v>0</v>
      </c>
      <c r="AI1289" s="119">
        <f>IF(tech_base!$T105&gt;AI$1185,"",AI1569+AI1849)</f>
        <v>0</v>
      </c>
      <c r="AJ1289" s="119">
        <f>IF(tech_base!$T105&gt;AJ$1185,"",AJ1569+AJ1849)</f>
        <v>0</v>
      </c>
      <c r="AK1289" s="119">
        <f>IF(tech_base!$T105&gt;AK$1185,"",AK1569+AK1849)</f>
        <v>0</v>
      </c>
      <c r="AL1289" s="119">
        <f>IF(tech_base!$T105&gt;AL$1185,"",AL1569+AL1849)</f>
        <v>0</v>
      </c>
      <c r="AM1289" s="119">
        <f>IF(tech_base!$T105&gt;AM$1185,"",AM1569+AM1849)</f>
        <v>0</v>
      </c>
      <c r="AN1289" s="119">
        <f>IF(tech_base!$T105&gt;AN$1185,"",AN1569+AN1849)</f>
        <v>0</v>
      </c>
      <c r="AO1289" s="119">
        <f>IF(tech_base!$T105&gt;AO$1185,"",AO1569+AO1849)</f>
        <v>0</v>
      </c>
      <c r="AP1289" s="119">
        <f>IF(tech_base!$T105&gt;AP$1185,"",AP1569+AP1849)</f>
        <v>0</v>
      </c>
      <c r="AQ1289" s="119">
        <f>IF(tech_base!$T105&gt;AQ$1185,"",AQ1569+AQ1849)</f>
        <v>0</v>
      </c>
      <c r="AR1289" s="119">
        <f>IF(tech_base!$T105&gt;AR$1185,"",AR1569+AR1849)</f>
        <v>0</v>
      </c>
      <c r="AS1289" s="119">
        <f>IF(tech_base!$T105&gt;AS$1185,"",AS1569+AS1849)</f>
        <v>0</v>
      </c>
      <c r="AT1289" s="119">
        <f>IF(tech_base!$T105&gt;AT$1185,"",AT1569+AT1849)</f>
        <v>0</v>
      </c>
      <c r="AU1289" s="119">
        <f>IF(tech_base!$T105&gt;AU$1185,"",AU1569+AU1849)</f>
        <v>0</v>
      </c>
      <c r="AV1289" s="119">
        <f>IF(tech_base!$T105&gt;AV$1185,"",AV1569+AV1849)</f>
        <v>0</v>
      </c>
      <c r="AW1289" s="119">
        <f>IF(tech_base!$T105&gt;AW$1185,"",AW1569+AW1849)</f>
        <v>0</v>
      </c>
      <c r="AX1289" s="120">
        <f>IF(tech_base!$T105&gt;AX$1185,"",AX1569+AX1849)</f>
        <v>0</v>
      </c>
    </row>
    <row r="1290" spans="1:50" x14ac:dyDescent="0.25">
      <c r="A1290" s="356"/>
      <c r="B1290" s="376"/>
      <c r="C1290" s="379"/>
      <c r="D1290" s="2" t="s">
        <v>20</v>
      </c>
      <c r="E1290" s="160" t="str">
        <f>A1269&amp;"/"&amp;B1287&amp;"/"&amp;C1287&amp;"/"&amp;D1290</f>
        <v>Gas fired power plants (Natural gas, biogas)/Steam turbine/Electricity only/XS</v>
      </c>
      <c r="F1290" s="76" t="str">
        <f>A1269</f>
        <v>Gas fired power plants (Natural gas, biogas)</v>
      </c>
      <c r="G1290" s="76" t="str">
        <f>B1287</f>
        <v>Steam turbine</v>
      </c>
      <c r="H1290" s="76" t="str">
        <f>C1287</f>
        <v>Electricity only</v>
      </c>
      <c r="I1290" s="161" t="str">
        <f t="shared" si="373"/>
        <v>XS</v>
      </c>
      <c r="J1290" s="119">
        <f>IF(tech_base!$T106&gt;J$1185,"",J1570+J1850)</f>
        <v>0</v>
      </c>
      <c r="K1290" s="119">
        <f>IF(tech_base!$T106&gt;K$1185,"",K1570+K1850)</f>
        <v>0</v>
      </c>
      <c r="L1290" s="119">
        <f>IF(tech_base!$T106&gt;L$1185,"",L1570+L1850)</f>
        <v>0</v>
      </c>
      <c r="M1290" s="119">
        <f>IF(tech_base!$T106&gt;M$1185,"",M1570+M1850)</f>
        <v>0</v>
      </c>
      <c r="N1290" s="119">
        <f>IF(tech_base!$T106&gt;N$1185,"",N1570+N1850)</f>
        <v>0</v>
      </c>
      <c r="O1290" s="119">
        <f>IF(tech_base!$T106&gt;O$1185,"",O1570+O1850)</f>
        <v>0</v>
      </c>
      <c r="P1290" s="119">
        <f>IF(tech_base!$T106&gt;P$1185,"",P1570+P1850)</f>
        <v>0</v>
      </c>
      <c r="Q1290" s="119">
        <f>IF(tech_base!$T106&gt;Q$1185,"",Q1570+Q1850)</f>
        <v>0</v>
      </c>
      <c r="R1290" s="119">
        <f>IF(tech_base!$T106&gt;R$1185,"",R1570+R1850)</f>
        <v>0</v>
      </c>
      <c r="S1290" s="119">
        <f>IF(tech_base!$T106&gt;S$1185,"",S1570+S1850)</f>
        <v>0</v>
      </c>
      <c r="T1290" s="119">
        <f>IF(tech_base!$T106&gt;T$1185,"",T1570+T1850)</f>
        <v>0</v>
      </c>
      <c r="U1290" s="119">
        <f>IF(tech_base!$T106&gt;U$1185,"",U1570+U1850)</f>
        <v>0</v>
      </c>
      <c r="V1290" s="119">
        <f>IF(tech_base!$T106&gt;V$1185,"",V1570+V1850)</f>
        <v>0</v>
      </c>
      <c r="W1290" s="119">
        <f>IF(tech_base!$T106&gt;W$1185,"",W1570+W1850)</f>
        <v>0</v>
      </c>
      <c r="X1290" s="119">
        <f>IF(tech_base!$T106&gt;X$1185,"",X1570+X1850)</f>
        <v>0</v>
      </c>
      <c r="Y1290" s="119">
        <f>IF(tech_base!$T106&gt;Y$1185,"",Y1570+Y1850)</f>
        <v>0</v>
      </c>
      <c r="Z1290" s="119">
        <f>IF(tech_base!$T106&gt;Z$1185,"",Z1570+Z1850)</f>
        <v>0</v>
      </c>
      <c r="AA1290" s="119">
        <f>IF(tech_base!$T106&gt;AA$1185,"",AA1570+AA1850)</f>
        <v>0</v>
      </c>
      <c r="AB1290" s="119">
        <f>IF(tech_base!$T106&gt;AB$1185,"",AB1570+AB1850)</f>
        <v>0</v>
      </c>
      <c r="AC1290" s="119">
        <f>IF(tech_base!$T106&gt;AC$1185,"",AC1570+AC1850)</f>
        <v>0</v>
      </c>
      <c r="AD1290" s="119">
        <f>IF(tech_base!$T106&gt;AD$1185,"",AD1570+AD1850)</f>
        <v>0</v>
      </c>
      <c r="AE1290" s="119">
        <f>IF(tech_base!$T106&gt;AE$1185,"",AE1570+AE1850)</f>
        <v>0</v>
      </c>
      <c r="AF1290" s="119">
        <f>IF(tech_base!$T106&gt;AF$1185,"",AF1570+AF1850)</f>
        <v>0</v>
      </c>
      <c r="AG1290" s="119">
        <f>IF(tech_base!$T106&gt;AG$1185,"",AG1570+AG1850)</f>
        <v>0</v>
      </c>
      <c r="AH1290" s="119">
        <f>IF(tech_base!$T106&gt;AH$1185,"",AH1570+AH1850)</f>
        <v>0</v>
      </c>
      <c r="AI1290" s="119">
        <f>IF(tech_base!$T106&gt;AI$1185,"",AI1570+AI1850)</f>
        <v>0</v>
      </c>
      <c r="AJ1290" s="119">
        <f>IF(tech_base!$T106&gt;AJ$1185,"",AJ1570+AJ1850)</f>
        <v>0</v>
      </c>
      <c r="AK1290" s="119">
        <f>IF(tech_base!$T106&gt;AK$1185,"",AK1570+AK1850)</f>
        <v>0</v>
      </c>
      <c r="AL1290" s="119">
        <f>IF(tech_base!$T106&gt;AL$1185,"",AL1570+AL1850)</f>
        <v>0</v>
      </c>
      <c r="AM1290" s="119">
        <f>IF(tech_base!$T106&gt;AM$1185,"",AM1570+AM1850)</f>
        <v>0</v>
      </c>
      <c r="AN1290" s="119">
        <f>IF(tech_base!$T106&gt;AN$1185,"",AN1570+AN1850)</f>
        <v>0</v>
      </c>
      <c r="AO1290" s="119">
        <f>IF(tech_base!$T106&gt;AO$1185,"",AO1570+AO1850)</f>
        <v>0</v>
      </c>
      <c r="AP1290" s="119">
        <f>IF(tech_base!$T106&gt;AP$1185,"",AP1570+AP1850)</f>
        <v>0</v>
      </c>
      <c r="AQ1290" s="119">
        <f>IF(tech_base!$T106&gt;AQ$1185,"",AQ1570+AQ1850)</f>
        <v>0</v>
      </c>
      <c r="AR1290" s="119">
        <f>IF(tech_base!$T106&gt;AR$1185,"",AR1570+AR1850)</f>
        <v>0</v>
      </c>
      <c r="AS1290" s="119">
        <f>IF(tech_base!$T106&gt;AS$1185,"",AS1570+AS1850)</f>
        <v>0</v>
      </c>
      <c r="AT1290" s="119">
        <f>IF(tech_base!$T106&gt;AT$1185,"",AT1570+AT1850)</f>
        <v>0</v>
      </c>
      <c r="AU1290" s="119">
        <f>IF(tech_base!$T106&gt;AU$1185,"",AU1570+AU1850)</f>
        <v>0</v>
      </c>
      <c r="AV1290" s="119">
        <f>IF(tech_base!$T106&gt;AV$1185,"",AV1570+AV1850)</f>
        <v>0</v>
      </c>
      <c r="AW1290" s="119">
        <f>IF(tech_base!$T106&gt;AW$1185,"",AW1570+AW1850)</f>
        <v>0</v>
      </c>
      <c r="AX1290" s="120">
        <f>IF(tech_base!$T106&gt;AX$1185,"",AX1570+AX1850)</f>
        <v>0</v>
      </c>
    </row>
    <row r="1291" spans="1:50" x14ac:dyDescent="0.25">
      <c r="A1291" s="356"/>
      <c r="B1291" s="376"/>
      <c r="C1291" s="361" t="s">
        <v>14</v>
      </c>
      <c r="D1291" s="58" t="s">
        <v>7</v>
      </c>
      <c r="E1291" s="164" t="str">
        <f>A1269&amp;"/"&amp;B1287&amp;"/"&amp;C1291&amp;"/"&amp;D1291</f>
        <v>Gas fired power plants (Natural gas, biogas)/Steam turbine/CHP/L</v>
      </c>
      <c r="F1291" s="78" t="str">
        <f>A1269</f>
        <v>Gas fired power plants (Natural gas, biogas)</v>
      </c>
      <c r="G1291" s="78" t="str">
        <f>B1287</f>
        <v>Steam turbine</v>
      </c>
      <c r="H1291" s="78" t="str">
        <f>C1291</f>
        <v>CHP</v>
      </c>
      <c r="I1291" s="165" t="str">
        <f t="shared" si="373"/>
        <v>L</v>
      </c>
      <c r="J1291" s="123">
        <f>IF(tech_base!$T107&gt;J$1185,"",J1571+J1851)</f>
        <v>0</v>
      </c>
      <c r="K1291" s="123">
        <f>IF(tech_base!$T107&gt;K$1185,"",K1571+K1851)</f>
        <v>0</v>
      </c>
      <c r="L1291" s="123">
        <f>IF(tech_base!$T107&gt;L$1185,"",L1571+L1851)</f>
        <v>0</v>
      </c>
      <c r="M1291" s="123">
        <f>IF(tech_base!$T107&gt;M$1185,"",M1571+M1851)</f>
        <v>0</v>
      </c>
      <c r="N1291" s="123">
        <f>IF(tech_base!$T107&gt;N$1185,"",N1571+N1851)</f>
        <v>0</v>
      </c>
      <c r="O1291" s="123">
        <f>IF(tech_base!$T107&gt;O$1185,"",O1571+O1851)</f>
        <v>0</v>
      </c>
      <c r="P1291" s="123">
        <f>IF(tech_base!$T107&gt;P$1185,"",P1571+P1851)</f>
        <v>0</v>
      </c>
      <c r="Q1291" s="123">
        <f>IF(tech_base!$T107&gt;Q$1185,"",Q1571+Q1851)</f>
        <v>0</v>
      </c>
      <c r="R1291" s="123">
        <f>IF(tech_base!$T107&gt;R$1185,"",R1571+R1851)</f>
        <v>0</v>
      </c>
      <c r="S1291" s="123">
        <f>IF(tech_base!$T107&gt;S$1185,"",S1571+S1851)</f>
        <v>0</v>
      </c>
      <c r="T1291" s="123">
        <f>IF(tech_base!$T107&gt;T$1185,"",T1571+T1851)</f>
        <v>0</v>
      </c>
      <c r="U1291" s="123">
        <f>IF(tech_base!$T107&gt;U$1185,"",U1571+U1851)</f>
        <v>0</v>
      </c>
      <c r="V1291" s="123">
        <f>IF(tech_base!$T107&gt;V$1185,"",V1571+V1851)</f>
        <v>0</v>
      </c>
      <c r="W1291" s="123">
        <f>IF(tech_base!$T107&gt;W$1185,"",W1571+W1851)</f>
        <v>0</v>
      </c>
      <c r="X1291" s="123">
        <f>IF(tech_base!$T107&gt;X$1185,"",X1571+X1851)</f>
        <v>0</v>
      </c>
      <c r="Y1291" s="123">
        <f>IF(tech_base!$T107&gt;Y$1185,"",Y1571+Y1851)</f>
        <v>0</v>
      </c>
      <c r="Z1291" s="123">
        <f>IF(tech_base!$T107&gt;Z$1185,"",Z1571+Z1851)</f>
        <v>0</v>
      </c>
      <c r="AA1291" s="123">
        <f>IF(tech_base!$T107&gt;AA$1185,"",AA1571+AA1851)</f>
        <v>0</v>
      </c>
      <c r="AB1291" s="123">
        <f>IF(tech_base!$T107&gt;AB$1185,"",AB1571+AB1851)</f>
        <v>0</v>
      </c>
      <c r="AC1291" s="123">
        <f>IF(tech_base!$T107&gt;AC$1185,"",AC1571+AC1851)</f>
        <v>0</v>
      </c>
      <c r="AD1291" s="123">
        <f>IF(tech_base!$T107&gt;AD$1185,"",AD1571+AD1851)</f>
        <v>0</v>
      </c>
      <c r="AE1291" s="123">
        <f>IF(tech_base!$T107&gt;AE$1185,"",AE1571+AE1851)</f>
        <v>0</v>
      </c>
      <c r="AF1291" s="123">
        <f>IF(tech_base!$T107&gt;AF$1185,"",AF1571+AF1851)</f>
        <v>0</v>
      </c>
      <c r="AG1291" s="123">
        <f>IF(tech_base!$T107&gt;AG$1185,"",AG1571+AG1851)</f>
        <v>0</v>
      </c>
      <c r="AH1291" s="123">
        <f>IF(tech_base!$T107&gt;AH$1185,"",AH1571+AH1851)</f>
        <v>0</v>
      </c>
      <c r="AI1291" s="123">
        <f>IF(tech_base!$T107&gt;AI$1185,"",AI1571+AI1851)</f>
        <v>0</v>
      </c>
      <c r="AJ1291" s="123">
        <f>IF(tech_base!$T107&gt;AJ$1185,"",AJ1571+AJ1851)</f>
        <v>0</v>
      </c>
      <c r="AK1291" s="123">
        <f>IF(tech_base!$T107&gt;AK$1185,"",AK1571+AK1851)</f>
        <v>0</v>
      </c>
      <c r="AL1291" s="123">
        <f>IF(tech_base!$T107&gt;AL$1185,"",AL1571+AL1851)</f>
        <v>0</v>
      </c>
      <c r="AM1291" s="123">
        <f>IF(tech_base!$T107&gt;AM$1185,"",AM1571+AM1851)</f>
        <v>0</v>
      </c>
      <c r="AN1291" s="123">
        <f>IF(tech_base!$T107&gt;AN$1185,"",AN1571+AN1851)</f>
        <v>0</v>
      </c>
      <c r="AO1291" s="123">
        <f>IF(tech_base!$T107&gt;AO$1185,"",AO1571+AO1851)</f>
        <v>0</v>
      </c>
      <c r="AP1291" s="123">
        <f>IF(tech_base!$T107&gt;AP$1185,"",AP1571+AP1851)</f>
        <v>0</v>
      </c>
      <c r="AQ1291" s="123">
        <f>IF(tech_base!$T107&gt;AQ$1185,"",AQ1571+AQ1851)</f>
        <v>0</v>
      </c>
      <c r="AR1291" s="123">
        <f>IF(tech_base!$T107&gt;AR$1185,"",AR1571+AR1851)</f>
        <v>0</v>
      </c>
      <c r="AS1291" s="123">
        <f>IF(tech_base!$T107&gt;AS$1185,"",AS1571+AS1851)</f>
        <v>0</v>
      </c>
      <c r="AT1291" s="123">
        <f>IF(tech_base!$T107&gt;AT$1185,"",AT1571+AT1851)</f>
        <v>0</v>
      </c>
      <c r="AU1291" s="123">
        <f>IF(tech_base!$T107&gt;AU$1185,"",AU1571+AU1851)</f>
        <v>0</v>
      </c>
      <c r="AV1291" s="123">
        <f>IF(tech_base!$T107&gt;AV$1185,"",AV1571+AV1851)</f>
        <v>0</v>
      </c>
      <c r="AW1291" s="123">
        <f>IF(tech_base!$T107&gt;AW$1185,"",AW1571+AW1851)</f>
        <v>0</v>
      </c>
      <c r="AX1291" s="124">
        <f>IF(tech_base!$T107&gt;AX$1185,"",AX1571+AX1851)</f>
        <v>0</v>
      </c>
    </row>
    <row r="1292" spans="1:50" x14ac:dyDescent="0.25">
      <c r="A1292" s="356"/>
      <c r="B1292" s="376"/>
      <c r="C1292" s="378"/>
      <c r="D1292" s="2" t="s">
        <v>8</v>
      </c>
      <c r="E1292" s="160" t="str">
        <f>A1269&amp;"/"&amp;B1287&amp;"/"&amp;C1291&amp;"/"&amp;D1292</f>
        <v>Gas fired power plants (Natural gas, biogas)/Steam turbine/CHP/M</v>
      </c>
      <c r="F1292" s="76" t="str">
        <f>A1269</f>
        <v>Gas fired power plants (Natural gas, biogas)</v>
      </c>
      <c r="G1292" s="76" t="str">
        <f>B1287</f>
        <v>Steam turbine</v>
      </c>
      <c r="H1292" s="76" t="str">
        <f>C1291</f>
        <v>CHP</v>
      </c>
      <c r="I1292" s="161" t="str">
        <f t="shared" si="373"/>
        <v>M</v>
      </c>
      <c r="J1292" s="119">
        <f>IF(tech_base!$T108&gt;J$1185,"",J1572+J1852)</f>
        <v>0</v>
      </c>
      <c r="K1292" s="119">
        <f>IF(tech_base!$T108&gt;K$1185,"",K1572+K1852)</f>
        <v>0</v>
      </c>
      <c r="L1292" s="119">
        <f>IF(tech_base!$T108&gt;L$1185,"",L1572+L1852)</f>
        <v>0</v>
      </c>
      <c r="M1292" s="119">
        <f>IF(tech_base!$T108&gt;M$1185,"",M1572+M1852)</f>
        <v>0</v>
      </c>
      <c r="N1292" s="119">
        <f>IF(tech_base!$T108&gt;N$1185,"",N1572+N1852)</f>
        <v>0</v>
      </c>
      <c r="O1292" s="119">
        <f>IF(tech_base!$T108&gt;O$1185,"",O1572+O1852)</f>
        <v>0</v>
      </c>
      <c r="P1292" s="119">
        <f>IF(tech_base!$T108&gt;P$1185,"",P1572+P1852)</f>
        <v>0</v>
      </c>
      <c r="Q1292" s="119">
        <f>IF(tech_base!$T108&gt;Q$1185,"",Q1572+Q1852)</f>
        <v>0</v>
      </c>
      <c r="R1292" s="119">
        <f>IF(tech_base!$T108&gt;R$1185,"",R1572+R1852)</f>
        <v>0</v>
      </c>
      <c r="S1292" s="119">
        <f>IF(tech_base!$T108&gt;S$1185,"",S1572+S1852)</f>
        <v>0</v>
      </c>
      <c r="T1292" s="119">
        <f>IF(tech_base!$T108&gt;T$1185,"",T1572+T1852)</f>
        <v>0</v>
      </c>
      <c r="U1292" s="119">
        <f>IF(tech_base!$T108&gt;U$1185,"",U1572+U1852)</f>
        <v>0</v>
      </c>
      <c r="V1292" s="119">
        <f>IF(tech_base!$T108&gt;V$1185,"",V1572+V1852)</f>
        <v>0</v>
      </c>
      <c r="W1292" s="119">
        <f>IF(tech_base!$T108&gt;W$1185,"",W1572+W1852)</f>
        <v>0</v>
      </c>
      <c r="X1292" s="119">
        <f>IF(tech_base!$T108&gt;X$1185,"",X1572+X1852)</f>
        <v>0</v>
      </c>
      <c r="Y1292" s="119">
        <f>IF(tech_base!$T108&gt;Y$1185,"",Y1572+Y1852)</f>
        <v>0</v>
      </c>
      <c r="Z1292" s="119">
        <f>IF(tech_base!$T108&gt;Z$1185,"",Z1572+Z1852)</f>
        <v>0</v>
      </c>
      <c r="AA1292" s="119">
        <f>IF(tech_base!$T108&gt;AA$1185,"",AA1572+AA1852)</f>
        <v>0</v>
      </c>
      <c r="AB1292" s="119">
        <f>IF(tech_base!$T108&gt;AB$1185,"",AB1572+AB1852)</f>
        <v>0</v>
      </c>
      <c r="AC1292" s="119">
        <f>IF(tech_base!$T108&gt;AC$1185,"",AC1572+AC1852)</f>
        <v>0</v>
      </c>
      <c r="AD1292" s="119">
        <f>IF(tech_base!$T108&gt;AD$1185,"",AD1572+AD1852)</f>
        <v>0</v>
      </c>
      <c r="AE1292" s="119">
        <f>IF(tech_base!$T108&gt;AE$1185,"",AE1572+AE1852)</f>
        <v>0</v>
      </c>
      <c r="AF1292" s="119">
        <f>IF(tech_base!$T108&gt;AF$1185,"",AF1572+AF1852)</f>
        <v>0</v>
      </c>
      <c r="AG1292" s="119">
        <f>IF(tech_base!$T108&gt;AG$1185,"",AG1572+AG1852)</f>
        <v>0</v>
      </c>
      <c r="AH1292" s="119">
        <f>IF(tech_base!$T108&gt;AH$1185,"",AH1572+AH1852)</f>
        <v>0</v>
      </c>
      <c r="AI1292" s="119">
        <f>IF(tech_base!$T108&gt;AI$1185,"",AI1572+AI1852)</f>
        <v>0</v>
      </c>
      <c r="AJ1292" s="119">
        <f>IF(tech_base!$T108&gt;AJ$1185,"",AJ1572+AJ1852)</f>
        <v>0</v>
      </c>
      <c r="AK1292" s="119">
        <f>IF(tech_base!$T108&gt;AK$1185,"",AK1572+AK1852)</f>
        <v>0</v>
      </c>
      <c r="AL1292" s="119">
        <f>IF(tech_base!$T108&gt;AL$1185,"",AL1572+AL1852)</f>
        <v>0</v>
      </c>
      <c r="AM1292" s="119">
        <f>IF(tech_base!$T108&gt;AM$1185,"",AM1572+AM1852)</f>
        <v>0</v>
      </c>
      <c r="AN1292" s="119">
        <f>IF(tech_base!$T108&gt;AN$1185,"",AN1572+AN1852)</f>
        <v>0</v>
      </c>
      <c r="AO1292" s="119">
        <f>IF(tech_base!$T108&gt;AO$1185,"",AO1572+AO1852)</f>
        <v>0</v>
      </c>
      <c r="AP1292" s="119">
        <f>IF(tech_base!$T108&gt;AP$1185,"",AP1572+AP1852)</f>
        <v>0</v>
      </c>
      <c r="AQ1292" s="119">
        <f>IF(tech_base!$T108&gt;AQ$1185,"",AQ1572+AQ1852)</f>
        <v>0</v>
      </c>
      <c r="AR1292" s="119">
        <f>IF(tech_base!$T108&gt;AR$1185,"",AR1572+AR1852)</f>
        <v>0</v>
      </c>
      <c r="AS1292" s="119">
        <f>IF(tech_base!$T108&gt;AS$1185,"",AS1572+AS1852)</f>
        <v>0</v>
      </c>
      <c r="AT1292" s="119">
        <f>IF(tech_base!$T108&gt;AT$1185,"",AT1572+AT1852)</f>
        <v>0</v>
      </c>
      <c r="AU1292" s="119">
        <f>IF(tech_base!$T108&gt;AU$1185,"",AU1572+AU1852)</f>
        <v>0</v>
      </c>
      <c r="AV1292" s="119">
        <f>IF(tech_base!$T108&gt;AV$1185,"",AV1572+AV1852)</f>
        <v>0</v>
      </c>
      <c r="AW1292" s="119">
        <f>IF(tech_base!$T108&gt;AW$1185,"",AW1572+AW1852)</f>
        <v>0</v>
      </c>
      <c r="AX1292" s="120">
        <f>IF(tech_base!$T108&gt;AX$1185,"",AX1572+AX1852)</f>
        <v>0</v>
      </c>
    </row>
    <row r="1293" spans="1:50" x14ac:dyDescent="0.25">
      <c r="A1293" s="356"/>
      <c r="B1293" s="376"/>
      <c r="C1293" s="378"/>
      <c r="D1293" s="2" t="s">
        <v>10</v>
      </c>
      <c r="E1293" s="160" t="str">
        <f>A1269&amp;"/"&amp;B1287&amp;"/"&amp;C1291&amp;"/"&amp;D1293</f>
        <v>Gas fired power plants (Natural gas, biogas)/Steam turbine/CHP/S</v>
      </c>
      <c r="F1293" s="76" t="str">
        <f>A1269</f>
        <v>Gas fired power plants (Natural gas, biogas)</v>
      </c>
      <c r="G1293" s="76" t="str">
        <f>B1287</f>
        <v>Steam turbine</v>
      </c>
      <c r="H1293" s="76" t="str">
        <f>C1291</f>
        <v>CHP</v>
      </c>
      <c r="I1293" s="161" t="str">
        <f t="shared" si="373"/>
        <v>S</v>
      </c>
      <c r="J1293" s="119">
        <f>IF(tech_base!$T109&gt;J$1185,"",J1573+J1853)</f>
        <v>0</v>
      </c>
      <c r="K1293" s="119">
        <f>IF(tech_base!$T109&gt;K$1185,"",K1573+K1853)</f>
        <v>0</v>
      </c>
      <c r="L1293" s="119">
        <f>IF(tech_base!$T109&gt;L$1185,"",L1573+L1853)</f>
        <v>0</v>
      </c>
      <c r="M1293" s="119">
        <f>IF(tech_base!$T109&gt;M$1185,"",M1573+M1853)</f>
        <v>0</v>
      </c>
      <c r="N1293" s="119">
        <f>IF(tech_base!$T109&gt;N$1185,"",N1573+N1853)</f>
        <v>0</v>
      </c>
      <c r="O1293" s="119">
        <f>IF(tech_base!$T109&gt;O$1185,"",O1573+O1853)</f>
        <v>0</v>
      </c>
      <c r="P1293" s="119">
        <f>IF(tech_base!$T109&gt;P$1185,"",P1573+P1853)</f>
        <v>0</v>
      </c>
      <c r="Q1293" s="119">
        <f>IF(tech_base!$T109&gt;Q$1185,"",Q1573+Q1853)</f>
        <v>0</v>
      </c>
      <c r="R1293" s="119">
        <f>IF(tech_base!$T109&gt;R$1185,"",R1573+R1853)</f>
        <v>0</v>
      </c>
      <c r="S1293" s="119">
        <f>IF(tech_base!$T109&gt;S$1185,"",S1573+S1853)</f>
        <v>0</v>
      </c>
      <c r="T1293" s="119">
        <f>IF(tech_base!$T109&gt;T$1185,"",T1573+T1853)</f>
        <v>0</v>
      </c>
      <c r="U1293" s="119">
        <f>IF(tech_base!$T109&gt;U$1185,"",U1573+U1853)</f>
        <v>0</v>
      </c>
      <c r="V1293" s="119">
        <f>IF(tech_base!$T109&gt;V$1185,"",V1573+V1853)</f>
        <v>0</v>
      </c>
      <c r="W1293" s="119">
        <f>IF(tech_base!$T109&gt;W$1185,"",W1573+W1853)</f>
        <v>0</v>
      </c>
      <c r="X1293" s="119">
        <f>IF(tech_base!$T109&gt;X$1185,"",X1573+X1853)</f>
        <v>0</v>
      </c>
      <c r="Y1293" s="119">
        <f>IF(tech_base!$T109&gt;Y$1185,"",Y1573+Y1853)</f>
        <v>0</v>
      </c>
      <c r="Z1293" s="119">
        <f>IF(tech_base!$T109&gt;Z$1185,"",Z1573+Z1853)</f>
        <v>0</v>
      </c>
      <c r="AA1293" s="119">
        <f>IF(tech_base!$T109&gt;AA$1185,"",AA1573+AA1853)</f>
        <v>0</v>
      </c>
      <c r="AB1293" s="119">
        <f>IF(tech_base!$T109&gt;AB$1185,"",AB1573+AB1853)</f>
        <v>0</v>
      </c>
      <c r="AC1293" s="119">
        <f>IF(tech_base!$T109&gt;AC$1185,"",AC1573+AC1853)</f>
        <v>0</v>
      </c>
      <c r="AD1293" s="119">
        <f>IF(tech_base!$T109&gt;AD$1185,"",AD1573+AD1853)</f>
        <v>0</v>
      </c>
      <c r="AE1293" s="119">
        <f>IF(tech_base!$T109&gt;AE$1185,"",AE1573+AE1853)</f>
        <v>0</v>
      </c>
      <c r="AF1293" s="119">
        <f>IF(tech_base!$T109&gt;AF$1185,"",AF1573+AF1853)</f>
        <v>0</v>
      </c>
      <c r="AG1293" s="119">
        <f>IF(tech_base!$T109&gt;AG$1185,"",AG1573+AG1853)</f>
        <v>0</v>
      </c>
      <c r="AH1293" s="119">
        <f>IF(tech_base!$T109&gt;AH$1185,"",AH1573+AH1853)</f>
        <v>0</v>
      </c>
      <c r="AI1293" s="119">
        <f>IF(tech_base!$T109&gt;AI$1185,"",AI1573+AI1853)</f>
        <v>0</v>
      </c>
      <c r="AJ1293" s="119">
        <f>IF(tech_base!$T109&gt;AJ$1185,"",AJ1573+AJ1853)</f>
        <v>0</v>
      </c>
      <c r="AK1293" s="119">
        <f>IF(tech_base!$T109&gt;AK$1185,"",AK1573+AK1853)</f>
        <v>0</v>
      </c>
      <c r="AL1293" s="119">
        <f>IF(tech_base!$T109&gt;AL$1185,"",AL1573+AL1853)</f>
        <v>0</v>
      </c>
      <c r="AM1293" s="119">
        <f>IF(tech_base!$T109&gt;AM$1185,"",AM1573+AM1853)</f>
        <v>0</v>
      </c>
      <c r="AN1293" s="119">
        <f>IF(tech_base!$T109&gt;AN$1185,"",AN1573+AN1853)</f>
        <v>0</v>
      </c>
      <c r="AO1293" s="119">
        <f>IF(tech_base!$T109&gt;AO$1185,"",AO1573+AO1853)</f>
        <v>0</v>
      </c>
      <c r="AP1293" s="119">
        <f>IF(tech_base!$T109&gt;AP$1185,"",AP1573+AP1853)</f>
        <v>0</v>
      </c>
      <c r="AQ1293" s="119">
        <f>IF(tech_base!$T109&gt;AQ$1185,"",AQ1573+AQ1853)</f>
        <v>0</v>
      </c>
      <c r="AR1293" s="119">
        <f>IF(tech_base!$T109&gt;AR$1185,"",AR1573+AR1853)</f>
        <v>0</v>
      </c>
      <c r="AS1293" s="119">
        <f>IF(tech_base!$T109&gt;AS$1185,"",AS1573+AS1853)</f>
        <v>0</v>
      </c>
      <c r="AT1293" s="119">
        <f>IF(tech_base!$T109&gt;AT$1185,"",AT1573+AT1853)</f>
        <v>0</v>
      </c>
      <c r="AU1293" s="119">
        <f>IF(tech_base!$T109&gt;AU$1185,"",AU1573+AU1853)</f>
        <v>0</v>
      </c>
      <c r="AV1293" s="119">
        <f>IF(tech_base!$T109&gt;AV$1185,"",AV1573+AV1853)</f>
        <v>0</v>
      </c>
      <c r="AW1293" s="119">
        <f>IF(tech_base!$T109&gt;AW$1185,"",AW1573+AW1853)</f>
        <v>0</v>
      </c>
      <c r="AX1293" s="120">
        <f>IF(tech_base!$T109&gt;AX$1185,"",AX1573+AX1853)</f>
        <v>0</v>
      </c>
    </row>
    <row r="1294" spans="1:50" x14ac:dyDescent="0.25">
      <c r="A1294" s="356"/>
      <c r="B1294" s="376"/>
      <c r="C1294" s="379"/>
      <c r="D1294" s="59" t="s">
        <v>20</v>
      </c>
      <c r="E1294" s="166" t="str">
        <f>A1269&amp;"/"&amp;B1287&amp;"/"&amp;C1291&amp;"/"&amp;D1294</f>
        <v>Gas fired power plants (Natural gas, biogas)/Steam turbine/CHP/XS</v>
      </c>
      <c r="F1294" s="79" t="str">
        <f>A1269</f>
        <v>Gas fired power plants (Natural gas, biogas)</v>
      </c>
      <c r="G1294" s="79" t="str">
        <f>B1287</f>
        <v>Steam turbine</v>
      </c>
      <c r="H1294" s="79" t="str">
        <f>C1291</f>
        <v>CHP</v>
      </c>
      <c r="I1294" s="167" t="str">
        <f t="shared" si="373"/>
        <v>XS</v>
      </c>
      <c r="J1294" s="125">
        <f>IF(tech_base!$T110&gt;J$1185,"",J1574+J1854)</f>
        <v>0</v>
      </c>
      <c r="K1294" s="125">
        <f>IF(tech_base!$T110&gt;K$1185,"",K1574+K1854)</f>
        <v>0</v>
      </c>
      <c r="L1294" s="125">
        <f>IF(tech_base!$T110&gt;L$1185,"",L1574+L1854)</f>
        <v>0</v>
      </c>
      <c r="M1294" s="125">
        <f>IF(tech_base!$T110&gt;M$1185,"",M1574+M1854)</f>
        <v>0</v>
      </c>
      <c r="N1294" s="125">
        <f>IF(tech_base!$T110&gt;N$1185,"",N1574+N1854)</f>
        <v>0</v>
      </c>
      <c r="O1294" s="125">
        <f>IF(tech_base!$T110&gt;O$1185,"",O1574+O1854)</f>
        <v>0</v>
      </c>
      <c r="P1294" s="125">
        <f>IF(tech_base!$T110&gt;P$1185,"",P1574+P1854)</f>
        <v>0</v>
      </c>
      <c r="Q1294" s="125">
        <f>IF(tech_base!$T110&gt;Q$1185,"",Q1574+Q1854)</f>
        <v>0</v>
      </c>
      <c r="R1294" s="125">
        <f>IF(tech_base!$T110&gt;R$1185,"",R1574+R1854)</f>
        <v>0</v>
      </c>
      <c r="S1294" s="125">
        <f>IF(tech_base!$T110&gt;S$1185,"",S1574+S1854)</f>
        <v>0</v>
      </c>
      <c r="T1294" s="125">
        <f>IF(tech_base!$T110&gt;T$1185,"",T1574+T1854)</f>
        <v>0</v>
      </c>
      <c r="U1294" s="125">
        <f>IF(tech_base!$T110&gt;U$1185,"",U1574+U1854)</f>
        <v>0</v>
      </c>
      <c r="V1294" s="125">
        <f>IF(tech_base!$T110&gt;V$1185,"",V1574+V1854)</f>
        <v>0</v>
      </c>
      <c r="W1294" s="125">
        <f>IF(tech_base!$T110&gt;W$1185,"",W1574+W1854)</f>
        <v>0</v>
      </c>
      <c r="X1294" s="125">
        <f>IF(tech_base!$T110&gt;X$1185,"",X1574+X1854)</f>
        <v>0</v>
      </c>
      <c r="Y1294" s="125">
        <f>IF(tech_base!$T110&gt;Y$1185,"",Y1574+Y1854)</f>
        <v>0</v>
      </c>
      <c r="Z1294" s="125">
        <f>IF(tech_base!$T110&gt;Z$1185,"",Z1574+Z1854)</f>
        <v>0</v>
      </c>
      <c r="AA1294" s="125">
        <f>IF(tech_base!$T110&gt;AA$1185,"",AA1574+AA1854)</f>
        <v>0</v>
      </c>
      <c r="AB1294" s="125">
        <f>IF(tech_base!$T110&gt;AB$1185,"",AB1574+AB1854)</f>
        <v>0</v>
      </c>
      <c r="AC1294" s="125">
        <f>IF(tech_base!$T110&gt;AC$1185,"",AC1574+AC1854)</f>
        <v>0</v>
      </c>
      <c r="AD1294" s="125">
        <f>IF(tech_base!$T110&gt;AD$1185,"",AD1574+AD1854)</f>
        <v>0</v>
      </c>
      <c r="AE1294" s="125">
        <f>IF(tech_base!$T110&gt;AE$1185,"",AE1574+AE1854)</f>
        <v>0</v>
      </c>
      <c r="AF1294" s="125">
        <f>IF(tech_base!$T110&gt;AF$1185,"",AF1574+AF1854)</f>
        <v>0</v>
      </c>
      <c r="AG1294" s="125">
        <f>IF(tech_base!$T110&gt;AG$1185,"",AG1574+AG1854)</f>
        <v>0</v>
      </c>
      <c r="AH1294" s="125">
        <f>IF(tech_base!$T110&gt;AH$1185,"",AH1574+AH1854)</f>
        <v>0</v>
      </c>
      <c r="AI1294" s="125">
        <f>IF(tech_base!$T110&gt;AI$1185,"",AI1574+AI1854)</f>
        <v>0</v>
      </c>
      <c r="AJ1294" s="125">
        <f>IF(tech_base!$T110&gt;AJ$1185,"",AJ1574+AJ1854)</f>
        <v>0</v>
      </c>
      <c r="AK1294" s="125">
        <f>IF(tech_base!$T110&gt;AK$1185,"",AK1574+AK1854)</f>
        <v>0</v>
      </c>
      <c r="AL1294" s="125">
        <f>IF(tech_base!$T110&gt;AL$1185,"",AL1574+AL1854)</f>
        <v>0</v>
      </c>
      <c r="AM1294" s="125">
        <f>IF(tech_base!$T110&gt;AM$1185,"",AM1574+AM1854)</f>
        <v>0</v>
      </c>
      <c r="AN1294" s="125">
        <f>IF(tech_base!$T110&gt;AN$1185,"",AN1574+AN1854)</f>
        <v>0</v>
      </c>
      <c r="AO1294" s="125">
        <f>IF(tech_base!$T110&gt;AO$1185,"",AO1574+AO1854)</f>
        <v>0</v>
      </c>
      <c r="AP1294" s="125">
        <f>IF(tech_base!$T110&gt;AP$1185,"",AP1574+AP1854)</f>
        <v>0</v>
      </c>
      <c r="AQ1294" s="125">
        <f>IF(tech_base!$T110&gt;AQ$1185,"",AQ1574+AQ1854)</f>
        <v>0</v>
      </c>
      <c r="AR1294" s="125">
        <f>IF(tech_base!$T110&gt;AR$1185,"",AR1574+AR1854)</f>
        <v>0</v>
      </c>
      <c r="AS1294" s="125">
        <f>IF(tech_base!$T110&gt;AS$1185,"",AS1574+AS1854)</f>
        <v>0</v>
      </c>
      <c r="AT1294" s="125">
        <f>IF(tech_base!$T110&gt;AT$1185,"",AT1574+AT1854)</f>
        <v>0</v>
      </c>
      <c r="AU1294" s="125">
        <f>IF(tech_base!$T110&gt;AU$1185,"",AU1574+AU1854)</f>
        <v>0</v>
      </c>
      <c r="AV1294" s="125">
        <f>IF(tech_base!$T110&gt;AV$1185,"",AV1574+AV1854)</f>
        <v>0</v>
      </c>
      <c r="AW1294" s="125">
        <f>IF(tech_base!$T110&gt;AW$1185,"",AW1574+AW1854)</f>
        <v>0</v>
      </c>
      <c r="AX1294" s="126">
        <f>IF(tech_base!$T110&gt;AX$1185,"",AX1574+AX1854)</f>
        <v>0</v>
      </c>
    </row>
    <row r="1295" spans="1:50" x14ac:dyDescent="0.25">
      <c r="A1295" s="356"/>
      <c r="B1295" s="376"/>
      <c r="C1295" s="361" t="s">
        <v>15</v>
      </c>
      <c r="D1295" s="58" t="s">
        <v>7</v>
      </c>
      <c r="E1295" s="164" t="str">
        <f>A1269&amp;"/"&amp;B1287&amp;"/"&amp;C1295&amp;"/"&amp;D1295</f>
        <v>Gas fired power plants (Natural gas, biogas)/Steam turbine/Electricity only with CCS/L</v>
      </c>
      <c r="F1295" s="78" t="str">
        <f>A1269</f>
        <v>Gas fired power plants (Natural gas, biogas)</v>
      </c>
      <c r="G1295" s="78" t="str">
        <f>B1287</f>
        <v>Steam turbine</v>
      </c>
      <c r="H1295" s="78" t="str">
        <f>C1295</f>
        <v>Electricity only with CCS</v>
      </c>
      <c r="I1295" s="165" t="str">
        <f t="shared" si="373"/>
        <v>L</v>
      </c>
      <c r="J1295" s="123" t="str">
        <f>IF(tech_base!$T111&gt;J$1185,"",J1575+J1855)</f>
        <v/>
      </c>
      <c r="K1295" s="123" t="str">
        <f>IF(tech_base!$T111&gt;K$1185,"",K1575+K1855)</f>
        <v/>
      </c>
      <c r="L1295" s="123" t="str">
        <f>IF(tech_base!$T111&gt;L$1185,"",L1575+L1855)</f>
        <v/>
      </c>
      <c r="M1295" s="123" t="str">
        <f>IF(tech_base!$T111&gt;M$1185,"",M1575+M1855)</f>
        <v/>
      </c>
      <c r="N1295" s="123" t="str">
        <f>IF(tech_base!$T111&gt;N$1185,"",N1575+N1855)</f>
        <v/>
      </c>
      <c r="O1295" s="123" t="str">
        <f>IF(tech_base!$T111&gt;O$1185,"",O1575+O1855)</f>
        <v/>
      </c>
      <c r="P1295" s="123" t="str">
        <f>IF(tech_base!$T111&gt;P$1185,"",P1575+P1855)</f>
        <v/>
      </c>
      <c r="Q1295" s="123" t="str">
        <f>IF(tech_base!$T111&gt;Q$1185,"",Q1575+Q1855)</f>
        <v/>
      </c>
      <c r="R1295" s="123" t="str">
        <f>IF(tech_base!$T111&gt;R$1185,"",R1575+R1855)</f>
        <v/>
      </c>
      <c r="S1295" s="123" t="str">
        <f>IF(tech_base!$T111&gt;S$1185,"",S1575+S1855)</f>
        <v/>
      </c>
      <c r="T1295" s="123" t="str">
        <f>IF(tech_base!$T111&gt;T$1185,"",T1575+T1855)</f>
        <v/>
      </c>
      <c r="U1295" s="123" t="str">
        <f>IF(tech_base!$T111&gt;U$1185,"",U1575+U1855)</f>
        <v/>
      </c>
      <c r="V1295" s="123" t="str">
        <f>IF(tech_base!$T111&gt;V$1185,"",V1575+V1855)</f>
        <v/>
      </c>
      <c r="W1295" s="123" t="str">
        <f>IF(tech_base!$T111&gt;W$1185,"",W1575+W1855)</f>
        <v/>
      </c>
      <c r="X1295" s="123" t="str">
        <f>IF(tech_base!$T111&gt;X$1185,"",X1575+X1855)</f>
        <v/>
      </c>
      <c r="Y1295" s="123" t="str">
        <f>IF(tech_base!$T111&gt;Y$1185,"",Y1575+Y1855)</f>
        <v/>
      </c>
      <c r="Z1295" s="123" t="str">
        <f>IF(tech_base!$T111&gt;Z$1185,"",Z1575+Z1855)</f>
        <v/>
      </c>
      <c r="AA1295" s="123" t="str">
        <f>IF(tech_base!$T111&gt;AA$1185,"",AA1575+AA1855)</f>
        <v/>
      </c>
      <c r="AB1295" s="123" t="str">
        <f>IF(tech_base!$T111&gt;AB$1185,"",AB1575+AB1855)</f>
        <v/>
      </c>
      <c r="AC1295" s="123" t="str">
        <f>IF(tech_base!$T111&gt;AC$1185,"",AC1575+AC1855)</f>
        <v/>
      </c>
      <c r="AD1295" s="123" t="str">
        <f>IF(tech_base!$T111&gt;AD$1185,"",AD1575+AD1855)</f>
        <v/>
      </c>
      <c r="AE1295" s="123">
        <f>IF(tech_base!$T111&gt;AE$1185,"",AE1575+AE1855)</f>
        <v>6.0715213550101153</v>
      </c>
      <c r="AF1295" s="123">
        <f>IF(tech_base!$T111&gt;AF$1185,"",AF1575+AF1855)</f>
        <v>6.0715213550101153</v>
      </c>
      <c r="AG1295" s="123">
        <f>IF(tech_base!$T111&gt;AG$1185,"",AG1575+AG1855)</f>
        <v>6.0715213550101153</v>
      </c>
      <c r="AH1295" s="123">
        <f>IF(tech_base!$T111&gt;AH$1185,"",AH1575+AH1855)</f>
        <v>6.0715213550101153</v>
      </c>
      <c r="AI1295" s="123">
        <f>IF(tech_base!$T111&gt;AI$1185,"",AI1575+AI1855)</f>
        <v>6.0715213550101153</v>
      </c>
      <c r="AJ1295" s="123">
        <f>IF(tech_base!$T111&gt;AJ$1185,"",AJ1575+AJ1855)</f>
        <v>6.0715213550101153</v>
      </c>
      <c r="AK1295" s="123">
        <f>IF(tech_base!$T111&gt;AK$1185,"",AK1575+AK1855)</f>
        <v>6.0715213550101153</v>
      </c>
      <c r="AL1295" s="123">
        <f>IF(tech_base!$T111&gt;AL$1185,"",AL1575+AL1855)</f>
        <v>6.0715213550101153</v>
      </c>
      <c r="AM1295" s="123">
        <f>IF(tech_base!$T111&gt;AM$1185,"",AM1575+AM1855)</f>
        <v>6.0715213550101153</v>
      </c>
      <c r="AN1295" s="123">
        <f>IF(tech_base!$T111&gt;AN$1185,"",AN1575+AN1855)</f>
        <v>6.0715213550101153</v>
      </c>
      <c r="AO1295" s="123">
        <f>IF(tech_base!$T111&gt;AO$1185,"",AO1575+AO1855)</f>
        <v>6.0715213550101153</v>
      </c>
      <c r="AP1295" s="123">
        <f>IF(tech_base!$T111&gt;AP$1185,"",AP1575+AP1855)</f>
        <v>6.0715213550101153</v>
      </c>
      <c r="AQ1295" s="123">
        <f>IF(tech_base!$T111&gt;AQ$1185,"",AQ1575+AQ1855)</f>
        <v>6.0715213550101153</v>
      </c>
      <c r="AR1295" s="123">
        <f>IF(tech_base!$T111&gt;AR$1185,"",AR1575+AR1855)</f>
        <v>6.0715213550101153</v>
      </c>
      <c r="AS1295" s="123">
        <f>IF(tech_base!$T111&gt;AS$1185,"",AS1575+AS1855)</f>
        <v>6.0715213550101153</v>
      </c>
      <c r="AT1295" s="123">
        <f>IF(tech_base!$T111&gt;AT$1185,"",AT1575+AT1855)</f>
        <v>6.0715213550101153</v>
      </c>
      <c r="AU1295" s="123">
        <f>IF(tech_base!$T111&gt;AU$1185,"",AU1575+AU1855)</f>
        <v>6.0715213550101153</v>
      </c>
      <c r="AV1295" s="123">
        <f>IF(tech_base!$T111&gt;AV$1185,"",AV1575+AV1855)</f>
        <v>6.0715213550101153</v>
      </c>
      <c r="AW1295" s="123">
        <f>IF(tech_base!$T111&gt;AW$1185,"",AW1575+AW1855)</f>
        <v>6.0715213550101153</v>
      </c>
      <c r="AX1295" s="124">
        <f>IF(tech_base!$T111&gt;AX$1185,"",AX1575+AX1855)</f>
        <v>6.0715213550101153</v>
      </c>
    </row>
    <row r="1296" spans="1:50" x14ac:dyDescent="0.25">
      <c r="A1296" s="356"/>
      <c r="B1296" s="376"/>
      <c r="C1296" s="379"/>
      <c r="D1296" s="59" t="s">
        <v>8</v>
      </c>
      <c r="E1296" s="166" t="str">
        <f>A1269&amp;"/"&amp;B1287&amp;"/"&amp;C1295&amp;"/"&amp;D1296</f>
        <v>Gas fired power plants (Natural gas, biogas)/Steam turbine/Electricity only with CCS/M</v>
      </c>
      <c r="F1296" s="79" t="str">
        <f>A1269</f>
        <v>Gas fired power plants (Natural gas, biogas)</v>
      </c>
      <c r="G1296" s="79" t="str">
        <f>B1287</f>
        <v>Steam turbine</v>
      </c>
      <c r="H1296" s="79" t="str">
        <f>C1295</f>
        <v>Electricity only with CCS</v>
      </c>
      <c r="I1296" s="167" t="str">
        <f t="shared" si="373"/>
        <v>M</v>
      </c>
      <c r="J1296" s="125" t="str">
        <f>IF(tech_base!$T112&gt;J$1185,"",J1576+J1856)</f>
        <v/>
      </c>
      <c r="K1296" s="125" t="str">
        <f>IF(tech_base!$T112&gt;K$1185,"",K1576+K1856)</f>
        <v/>
      </c>
      <c r="L1296" s="125" t="str">
        <f>IF(tech_base!$T112&gt;L$1185,"",L1576+L1856)</f>
        <v/>
      </c>
      <c r="M1296" s="125" t="str">
        <f>IF(tech_base!$T112&gt;M$1185,"",M1576+M1856)</f>
        <v/>
      </c>
      <c r="N1296" s="125" t="str">
        <f>IF(tech_base!$T112&gt;N$1185,"",N1576+N1856)</f>
        <v/>
      </c>
      <c r="O1296" s="125" t="str">
        <f>IF(tech_base!$T112&gt;O$1185,"",O1576+O1856)</f>
        <v/>
      </c>
      <c r="P1296" s="125" t="str">
        <f>IF(tech_base!$T112&gt;P$1185,"",P1576+P1856)</f>
        <v/>
      </c>
      <c r="Q1296" s="125" t="str">
        <f>IF(tech_base!$T112&gt;Q$1185,"",Q1576+Q1856)</f>
        <v/>
      </c>
      <c r="R1296" s="125" t="str">
        <f>IF(tech_base!$T112&gt;R$1185,"",R1576+R1856)</f>
        <v/>
      </c>
      <c r="S1296" s="125" t="str">
        <f>IF(tech_base!$T112&gt;S$1185,"",S1576+S1856)</f>
        <v/>
      </c>
      <c r="T1296" s="125" t="str">
        <f>IF(tech_base!$T112&gt;T$1185,"",T1576+T1856)</f>
        <v/>
      </c>
      <c r="U1296" s="125" t="str">
        <f>IF(tech_base!$T112&gt;U$1185,"",U1576+U1856)</f>
        <v/>
      </c>
      <c r="V1296" s="125" t="str">
        <f>IF(tech_base!$T112&gt;V$1185,"",V1576+V1856)</f>
        <v/>
      </c>
      <c r="W1296" s="125" t="str">
        <f>IF(tech_base!$T112&gt;W$1185,"",W1576+W1856)</f>
        <v/>
      </c>
      <c r="X1296" s="125" t="str">
        <f>IF(tech_base!$T112&gt;X$1185,"",X1576+X1856)</f>
        <v/>
      </c>
      <c r="Y1296" s="125" t="str">
        <f>IF(tech_base!$T112&gt;Y$1185,"",Y1576+Y1856)</f>
        <v/>
      </c>
      <c r="Z1296" s="125" t="str">
        <f>IF(tech_base!$T112&gt;Z$1185,"",Z1576+Z1856)</f>
        <v/>
      </c>
      <c r="AA1296" s="125" t="str">
        <f>IF(tech_base!$T112&gt;AA$1185,"",AA1576+AA1856)</f>
        <v/>
      </c>
      <c r="AB1296" s="125" t="str">
        <f>IF(tech_base!$T112&gt;AB$1185,"",AB1576+AB1856)</f>
        <v/>
      </c>
      <c r="AC1296" s="125" t="str">
        <f>IF(tech_base!$T112&gt;AC$1185,"",AC1576+AC1856)</f>
        <v/>
      </c>
      <c r="AD1296" s="125" t="str">
        <f>IF(tech_base!$T112&gt;AD$1185,"",AD1576+AD1856)</f>
        <v/>
      </c>
      <c r="AE1296" s="125">
        <f>IF(tech_base!$T112&gt;AE$1185,"",AE1576+AE1856)</f>
        <v>6.460971089135203</v>
      </c>
      <c r="AF1296" s="125">
        <f>IF(tech_base!$T112&gt;AF$1185,"",AF1576+AF1856)</f>
        <v>6.460971089135203</v>
      </c>
      <c r="AG1296" s="125">
        <f>IF(tech_base!$T112&gt;AG$1185,"",AG1576+AG1856)</f>
        <v>6.460971089135203</v>
      </c>
      <c r="AH1296" s="125">
        <f>IF(tech_base!$T112&gt;AH$1185,"",AH1576+AH1856)</f>
        <v>6.460971089135203</v>
      </c>
      <c r="AI1296" s="125">
        <f>IF(tech_base!$T112&gt;AI$1185,"",AI1576+AI1856)</f>
        <v>6.460971089135203</v>
      </c>
      <c r="AJ1296" s="125">
        <f>IF(tech_base!$T112&gt;AJ$1185,"",AJ1576+AJ1856)</f>
        <v>6.460971089135203</v>
      </c>
      <c r="AK1296" s="125">
        <f>IF(tech_base!$T112&gt;AK$1185,"",AK1576+AK1856)</f>
        <v>6.460971089135203</v>
      </c>
      <c r="AL1296" s="125">
        <f>IF(tech_base!$T112&gt;AL$1185,"",AL1576+AL1856)</f>
        <v>6.460971089135203</v>
      </c>
      <c r="AM1296" s="125">
        <f>IF(tech_base!$T112&gt;AM$1185,"",AM1576+AM1856)</f>
        <v>6.460971089135203</v>
      </c>
      <c r="AN1296" s="125">
        <f>IF(tech_base!$T112&gt;AN$1185,"",AN1576+AN1856)</f>
        <v>6.460971089135203</v>
      </c>
      <c r="AO1296" s="125">
        <f>IF(tech_base!$T112&gt;AO$1185,"",AO1576+AO1856)</f>
        <v>6.460971089135203</v>
      </c>
      <c r="AP1296" s="125">
        <f>IF(tech_base!$T112&gt;AP$1185,"",AP1576+AP1856)</f>
        <v>6.460971089135203</v>
      </c>
      <c r="AQ1296" s="125">
        <f>IF(tech_base!$T112&gt;AQ$1185,"",AQ1576+AQ1856)</f>
        <v>6.460971089135203</v>
      </c>
      <c r="AR1296" s="125">
        <f>IF(tech_base!$T112&gt;AR$1185,"",AR1576+AR1856)</f>
        <v>6.460971089135203</v>
      </c>
      <c r="AS1296" s="125">
        <f>IF(tech_base!$T112&gt;AS$1185,"",AS1576+AS1856)</f>
        <v>6.460971089135203</v>
      </c>
      <c r="AT1296" s="125">
        <f>IF(tech_base!$T112&gt;AT$1185,"",AT1576+AT1856)</f>
        <v>6.460971089135203</v>
      </c>
      <c r="AU1296" s="125">
        <f>IF(tech_base!$T112&gt;AU$1185,"",AU1576+AU1856)</f>
        <v>6.460971089135203</v>
      </c>
      <c r="AV1296" s="125">
        <f>IF(tech_base!$T112&gt;AV$1185,"",AV1576+AV1856)</f>
        <v>6.460971089135203</v>
      </c>
      <c r="AW1296" s="125">
        <f>IF(tech_base!$T112&gt;AW$1185,"",AW1576+AW1856)</f>
        <v>6.460971089135203</v>
      </c>
      <c r="AX1296" s="126">
        <f>IF(tech_base!$T112&gt;AX$1185,"",AX1576+AX1856)</f>
        <v>6.460971089135203</v>
      </c>
    </row>
    <row r="1297" spans="1:50" x14ac:dyDescent="0.25">
      <c r="A1297" s="356"/>
      <c r="B1297" s="376"/>
      <c r="C1297" s="361" t="s">
        <v>16</v>
      </c>
      <c r="D1297" s="2" t="s">
        <v>7</v>
      </c>
      <c r="E1297" s="160" t="str">
        <f>A1269&amp;"/"&amp;B1287&amp;"/"&amp;C1297&amp;"/"&amp;D1297</f>
        <v>Gas fired power plants (Natural gas, biogas)/Steam turbine/CHP with CCS/L</v>
      </c>
      <c r="F1297" s="76" t="str">
        <f>A1269</f>
        <v>Gas fired power plants (Natural gas, biogas)</v>
      </c>
      <c r="G1297" s="76" t="str">
        <f>B1287</f>
        <v>Steam turbine</v>
      </c>
      <c r="H1297" s="76" t="str">
        <f>C1297</f>
        <v>CHP with CCS</v>
      </c>
      <c r="I1297" s="161" t="str">
        <f t="shared" si="373"/>
        <v>L</v>
      </c>
      <c r="J1297" s="119" t="str">
        <f>IF(tech_base!$T113&gt;J$1185,"",J1577+J1857)</f>
        <v/>
      </c>
      <c r="K1297" s="119" t="str">
        <f>IF(tech_base!$T113&gt;K$1185,"",K1577+K1857)</f>
        <v/>
      </c>
      <c r="L1297" s="119" t="str">
        <f>IF(tech_base!$T113&gt;L$1185,"",L1577+L1857)</f>
        <v/>
      </c>
      <c r="M1297" s="119" t="str">
        <f>IF(tech_base!$T113&gt;M$1185,"",M1577+M1857)</f>
        <v/>
      </c>
      <c r="N1297" s="119" t="str">
        <f>IF(tech_base!$T113&gt;N$1185,"",N1577+N1857)</f>
        <v/>
      </c>
      <c r="O1297" s="119" t="str">
        <f>IF(tech_base!$T113&gt;O$1185,"",O1577+O1857)</f>
        <v/>
      </c>
      <c r="P1297" s="119" t="str">
        <f>IF(tech_base!$T113&gt;P$1185,"",P1577+P1857)</f>
        <v/>
      </c>
      <c r="Q1297" s="119" t="str">
        <f>IF(tech_base!$T113&gt;Q$1185,"",Q1577+Q1857)</f>
        <v/>
      </c>
      <c r="R1297" s="119" t="str">
        <f>IF(tech_base!$T113&gt;R$1185,"",R1577+R1857)</f>
        <v/>
      </c>
      <c r="S1297" s="119" t="str">
        <f>IF(tech_base!$T113&gt;S$1185,"",S1577+S1857)</f>
        <v/>
      </c>
      <c r="T1297" s="119" t="str">
        <f>IF(tech_base!$T113&gt;T$1185,"",T1577+T1857)</f>
        <v/>
      </c>
      <c r="U1297" s="119" t="str">
        <f>IF(tech_base!$T113&gt;U$1185,"",U1577+U1857)</f>
        <v/>
      </c>
      <c r="V1297" s="119" t="str">
        <f>IF(tech_base!$T113&gt;V$1185,"",V1577+V1857)</f>
        <v/>
      </c>
      <c r="W1297" s="119" t="str">
        <f>IF(tech_base!$T113&gt;W$1185,"",W1577+W1857)</f>
        <v/>
      </c>
      <c r="X1297" s="119" t="str">
        <f>IF(tech_base!$T113&gt;X$1185,"",X1577+X1857)</f>
        <v/>
      </c>
      <c r="Y1297" s="119" t="str">
        <f>IF(tech_base!$T113&gt;Y$1185,"",Y1577+Y1857)</f>
        <v/>
      </c>
      <c r="Z1297" s="119" t="str">
        <f>IF(tech_base!$T113&gt;Z$1185,"",Z1577+Z1857)</f>
        <v/>
      </c>
      <c r="AA1297" s="119" t="str">
        <f>IF(tech_base!$T113&gt;AA$1185,"",AA1577+AA1857)</f>
        <v/>
      </c>
      <c r="AB1297" s="119" t="str">
        <f>IF(tech_base!$T113&gt;AB$1185,"",AB1577+AB1857)</f>
        <v/>
      </c>
      <c r="AC1297" s="119" t="str">
        <f>IF(tech_base!$T113&gt;AC$1185,"",AC1577+AC1857)</f>
        <v/>
      </c>
      <c r="AD1297" s="119" t="str">
        <f>IF(tech_base!$T113&gt;AD$1185,"",AD1577+AD1857)</f>
        <v/>
      </c>
      <c r="AE1297" s="119">
        <f>IF(tech_base!$T113&gt;AE$1185,"",AE1577+AE1857)</f>
        <v>6.8610559915523934</v>
      </c>
      <c r="AF1297" s="119">
        <f>IF(tech_base!$T113&gt;AF$1185,"",AF1577+AF1857)</f>
        <v>6.8610559915523934</v>
      </c>
      <c r="AG1297" s="119">
        <f>IF(tech_base!$T113&gt;AG$1185,"",AG1577+AG1857)</f>
        <v>6.8610559915523934</v>
      </c>
      <c r="AH1297" s="119">
        <f>IF(tech_base!$T113&gt;AH$1185,"",AH1577+AH1857)</f>
        <v>6.8610559915523934</v>
      </c>
      <c r="AI1297" s="119">
        <f>IF(tech_base!$T113&gt;AI$1185,"",AI1577+AI1857)</f>
        <v>6.8610559915523934</v>
      </c>
      <c r="AJ1297" s="119">
        <f>IF(tech_base!$T113&gt;AJ$1185,"",AJ1577+AJ1857)</f>
        <v>6.8610559915523934</v>
      </c>
      <c r="AK1297" s="119">
        <f>IF(tech_base!$T113&gt;AK$1185,"",AK1577+AK1857)</f>
        <v>6.8610559915523934</v>
      </c>
      <c r="AL1297" s="119">
        <f>IF(tech_base!$T113&gt;AL$1185,"",AL1577+AL1857)</f>
        <v>6.8610559915523934</v>
      </c>
      <c r="AM1297" s="119">
        <f>IF(tech_base!$T113&gt;AM$1185,"",AM1577+AM1857)</f>
        <v>6.8610559915523934</v>
      </c>
      <c r="AN1297" s="119">
        <f>IF(tech_base!$T113&gt;AN$1185,"",AN1577+AN1857)</f>
        <v>6.8610559915523934</v>
      </c>
      <c r="AO1297" s="119">
        <f>IF(tech_base!$T113&gt;AO$1185,"",AO1577+AO1857)</f>
        <v>6.8610559915523934</v>
      </c>
      <c r="AP1297" s="119">
        <f>IF(tech_base!$T113&gt;AP$1185,"",AP1577+AP1857)</f>
        <v>6.8610559915523934</v>
      </c>
      <c r="AQ1297" s="119">
        <f>IF(tech_base!$T113&gt;AQ$1185,"",AQ1577+AQ1857)</f>
        <v>6.8610559915523934</v>
      </c>
      <c r="AR1297" s="119">
        <f>IF(tech_base!$T113&gt;AR$1185,"",AR1577+AR1857)</f>
        <v>6.8610559915523934</v>
      </c>
      <c r="AS1297" s="119">
        <f>IF(tech_base!$T113&gt;AS$1185,"",AS1577+AS1857)</f>
        <v>6.8610559915523934</v>
      </c>
      <c r="AT1297" s="119">
        <f>IF(tech_base!$T113&gt;AT$1185,"",AT1577+AT1857)</f>
        <v>6.8610559915523934</v>
      </c>
      <c r="AU1297" s="119">
        <f>IF(tech_base!$T113&gt;AU$1185,"",AU1577+AU1857)</f>
        <v>6.8610559915523934</v>
      </c>
      <c r="AV1297" s="119">
        <f>IF(tech_base!$T113&gt;AV$1185,"",AV1577+AV1857)</f>
        <v>6.8610559915523934</v>
      </c>
      <c r="AW1297" s="119">
        <f>IF(tech_base!$T113&gt;AW$1185,"",AW1577+AW1857)</f>
        <v>6.8610559915523934</v>
      </c>
      <c r="AX1297" s="120">
        <f>IF(tech_base!$T113&gt;AX$1185,"",AX1577+AX1857)</f>
        <v>6.8610559915523934</v>
      </c>
    </row>
    <row r="1298" spans="1:50" x14ac:dyDescent="0.25">
      <c r="A1298" s="356"/>
      <c r="B1298" s="380"/>
      <c r="C1298" s="381"/>
      <c r="D1298" s="4" t="s">
        <v>8</v>
      </c>
      <c r="E1298" s="168" t="str">
        <f>A1269&amp;"/"&amp;B1287&amp;"/"&amp;C1297&amp;"/"&amp;D1298</f>
        <v>Gas fired power plants (Natural gas, biogas)/Steam turbine/CHP with CCS/M</v>
      </c>
      <c r="F1298" s="80" t="str">
        <f>A1269</f>
        <v>Gas fired power plants (Natural gas, biogas)</v>
      </c>
      <c r="G1298" s="80" t="str">
        <f>B1287</f>
        <v>Steam turbine</v>
      </c>
      <c r="H1298" s="80" t="str">
        <f>C1297</f>
        <v>CHP with CCS</v>
      </c>
      <c r="I1298" s="169" t="str">
        <f t="shared" si="373"/>
        <v>M</v>
      </c>
      <c r="J1298" s="127" t="str">
        <f>IF(tech_base!$T114&gt;J$1185,"",J1578+J1858)</f>
        <v/>
      </c>
      <c r="K1298" s="127" t="str">
        <f>IF(tech_base!$T114&gt;K$1185,"",K1578+K1858)</f>
        <v/>
      </c>
      <c r="L1298" s="127" t="str">
        <f>IF(tech_base!$T114&gt;L$1185,"",L1578+L1858)</f>
        <v/>
      </c>
      <c r="M1298" s="127" t="str">
        <f>IF(tech_base!$T114&gt;M$1185,"",M1578+M1858)</f>
        <v/>
      </c>
      <c r="N1298" s="127" t="str">
        <f>IF(tech_base!$T114&gt;N$1185,"",N1578+N1858)</f>
        <v/>
      </c>
      <c r="O1298" s="127" t="str">
        <f>IF(tech_base!$T114&gt;O$1185,"",O1578+O1858)</f>
        <v/>
      </c>
      <c r="P1298" s="127" t="str">
        <f>IF(tech_base!$T114&gt;P$1185,"",P1578+P1858)</f>
        <v/>
      </c>
      <c r="Q1298" s="127" t="str">
        <f>IF(tech_base!$T114&gt;Q$1185,"",Q1578+Q1858)</f>
        <v/>
      </c>
      <c r="R1298" s="127" t="str">
        <f>IF(tech_base!$T114&gt;R$1185,"",R1578+R1858)</f>
        <v/>
      </c>
      <c r="S1298" s="127" t="str">
        <f>IF(tech_base!$T114&gt;S$1185,"",S1578+S1858)</f>
        <v/>
      </c>
      <c r="T1298" s="127" t="str">
        <f>IF(tech_base!$T114&gt;T$1185,"",T1578+T1858)</f>
        <v/>
      </c>
      <c r="U1298" s="127" t="str">
        <f>IF(tech_base!$T114&gt;U$1185,"",U1578+U1858)</f>
        <v/>
      </c>
      <c r="V1298" s="127" t="str">
        <f>IF(tech_base!$T114&gt;V$1185,"",V1578+V1858)</f>
        <v/>
      </c>
      <c r="W1298" s="127" t="str">
        <f>IF(tech_base!$T114&gt;W$1185,"",W1578+W1858)</f>
        <v/>
      </c>
      <c r="X1298" s="127" t="str">
        <f>IF(tech_base!$T114&gt;X$1185,"",X1578+X1858)</f>
        <v/>
      </c>
      <c r="Y1298" s="127" t="str">
        <f>IF(tech_base!$T114&gt;Y$1185,"",Y1578+Y1858)</f>
        <v/>
      </c>
      <c r="Z1298" s="127" t="str">
        <f>IF(tech_base!$T114&gt;Z$1185,"",Z1578+Z1858)</f>
        <v/>
      </c>
      <c r="AA1298" s="127" t="str">
        <f>IF(tech_base!$T114&gt;AA$1185,"",AA1578+AA1858)</f>
        <v/>
      </c>
      <c r="AB1298" s="127" t="str">
        <f>IF(tech_base!$T114&gt;AB$1185,"",AB1578+AB1858)</f>
        <v/>
      </c>
      <c r="AC1298" s="127" t="str">
        <f>IF(tech_base!$T114&gt;AC$1185,"",AC1578+AC1858)</f>
        <v/>
      </c>
      <c r="AD1298" s="127" t="str">
        <f>IF(tech_base!$T114&gt;AD$1185,"",AD1578+AD1858)</f>
        <v/>
      </c>
      <c r="AE1298" s="127">
        <f>IF(tech_base!$T114&gt;AE$1185,"",AE1578+AE1858)</f>
        <v>7.3139608692045428</v>
      </c>
      <c r="AF1298" s="127">
        <f>IF(tech_base!$T114&gt;AF$1185,"",AF1578+AF1858)</f>
        <v>7.3139608692045428</v>
      </c>
      <c r="AG1298" s="127">
        <f>IF(tech_base!$T114&gt;AG$1185,"",AG1578+AG1858)</f>
        <v>7.3139608692045428</v>
      </c>
      <c r="AH1298" s="127">
        <f>IF(tech_base!$T114&gt;AH$1185,"",AH1578+AH1858)</f>
        <v>7.3139608692045428</v>
      </c>
      <c r="AI1298" s="127">
        <f>IF(tech_base!$T114&gt;AI$1185,"",AI1578+AI1858)</f>
        <v>7.3139608692045428</v>
      </c>
      <c r="AJ1298" s="127">
        <f>IF(tech_base!$T114&gt;AJ$1185,"",AJ1578+AJ1858)</f>
        <v>7.3139608692045428</v>
      </c>
      <c r="AK1298" s="127">
        <f>IF(tech_base!$T114&gt;AK$1185,"",AK1578+AK1858)</f>
        <v>7.3139608692045428</v>
      </c>
      <c r="AL1298" s="127">
        <f>IF(tech_base!$T114&gt;AL$1185,"",AL1578+AL1858)</f>
        <v>7.3139608692045428</v>
      </c>
      <c r="AM1298" s="127">
        <f>IF(tech_base!$T114&gt;AM$1185,"",AM1578+AM1858)</f>
        <v>7.3139608692045428</v>
      </c>
      <c r="AN1298" s="127">
        <f>IF(tech_base!$T114&gt;AN$1185,"",AN1578+AN1858)</f>
        <v>7.3139608692045428</v>
      </c>
      <c r="AO1298" s="127">
        <f>IF(tech_base!$T114&gt;AO$1185,"",AO1578+AO1858)</f>
        <v>7.3139608692045428</v>
      </c>
      <c r="AP1298" s="127">
        <f>IF(tech_base!$T114&gt;AP$1185,"",AP1578+AP1858)</f>
        <v>7.3139608692045428</v>
      </c>
      <c r="AQ1298" s="127">
        <f>IF(tech_base!$T114&gt;AQ$1185,"",AQ1578+AQ1858)</f>
        <v>7.3139608692045428</v>
      </c>
      <c r="AR1298" s="127">
        <f>IF(tech_base!$T114&gt;AR$1185,"",AR1578+AR1858)</f>
        <v>7.3139608692045428</v>
      </c>
      <c r="AS1298" s="127">
        <f>IF(tech_base!$T114&gt;AS$1185,"",AS1578+AS1858)</f>
        <v>7.3139608692045428</v>
      </c>
      <c r="AT1298" s="127">
        <f>IF(tech_base!$T114&gt;AT$1185,"",AT1578+AT1858)</f>
        <v>7.3139608692045428</v>
      </c>
      <c r="AU1298" s="127">
        <f>IF(tech_base!$T114&gt;AU$1185,"",AU1578+AU1858)</f>
        <v>7.3139608692045428</v>
      </c>
      <c r="AV1298" s="127">
        <f>IF(tech_base!$T114&gt;AV$1185,"",AV1578+AV1858)</f>
        <v>7.3139608692045428</v>
      </c>
      <c r="AW1298" s="127">
        <f>IF(tech_base!$T114&gt;AW$1185,"",AW1578+AW1858)</f>
        <v>7.3139608692045428</v>
      </c>
      <c r="AX1298" s="128">
        <f>IF(tech_base!$T114&gt;AX$1185,"",AX1578+AX1858)</f>
        <v>7.3139608692045428</v>
      </c>
    </row>
    <row r="1299" spans="1:50" x14ac:dyDescent="0.25">
      <c r="A1299" s="356"/>
      <c r="B1299" s="358" t="s">
        <v>25</v>
      </c>
      <c r="C1299" s="353" t="s">
        <v>6</v>
      </c>
      <c r="D1299" s="3" t="s">
        <v>10</v>
      </c>
      <c r="E1299" s="162" t="str">
        <f>A1269&amp;"/"&amp;B1299&amp;"/"&amp;C1299&amp;"/"&amp;D1299</f>
        <v>Gas fired power plants (Natural gas, biogas)/Internal combustion engine/Electricity only/S</v>
      </c>
      <c r="F1299" s="77" t="str">
        <f>A1269</f>
        <v>Gas fired power plants (Natural gas, biogas)</v>
      </c>
      <c r="G1299" s="77" t="str">
        <f>B1299</f>
        <v>Internal combustion engine</v>
      </c>
      <c r="H1299" s="77" t="str">
        <f>C1299</f>
        <v>Electricity only</v>
      </c>
      <c r="I1299" s="163" t="str">
        <f t="shared" si="373"/>
        <v>S</v>
      </c>
      <c r="J1299" s="121">
        <f>IF(tech_base!$T115&gt;J$1185,"",J1579+J1859)</f>
        <v>0</v>
      </c>
      <c r="K1299" s="121">
        <f>IF(tech_base!$T115&gt;K$1185,"",K1579+K1859)</f>
        <v>0</v>
      </c>
      <c r="L1299" s="121">
        <f>IF(tech_base!$T115&gt;L$1185,"",L1579+L1859)</f>
        <v>0</v>
      </c>
      <c r="M1299" s="121">
        <f>IF(tech_base!$T115&gt;M$1185,"",M1579+M1859)</f>
        <v>0</v>
      </c>
      <c r="N1299" s="121">
        <f>IF(tech_base!$T115&gt;N$1185,"",N1579+N1859)</f>
        <v>0</v>
      </c>
      <c r="O1299" s="121">
        <f>IF(tech_base!$T115&gt;O$1185,"",O1579+O1859)</f>
        <v>0</v>
      </c>
      <c r="P1299" s="121">
        <f>IF(tech_base!$T115&gt;P$1185,"",P1579+P1859)</f>
        <v>0</v>
      </c>
      <c r="Q1299" s="121">
        <f>IF(tech_base!$T115&gt;Q$1185,"",Q1579+Q1859)</f>
        <v>0</v>
      </c>
      <c r="R1299" s="121">
        <f>IF(tech_base!$T115&gt;R$1185,"",R1579+R1859)</f>
        <v>0</v>
      </c>
      <c r="S1299" s="121">
        <f>IF(tech_base!$T115&gt;S$1185,"",S1579+S1859)</f>
        <v>0</v>
      </c>
      <c r="T1299" s="121">
        <f>IF(tech_base!$T115&gt;T$1185,"",T1579+T1859)</f>
        <v>0</v>
      </c>
      <c r="U1299" s="121">
        <f>IF(tech_base!$T115&gt;U$1185,"",U1579+U1859)</f>
        <v>0</v>
      </c>
      <c r="V1299" s="121">
        <f>IF(tech_base!$T115&gt;V$1185,"",V1579+V1859)</f>
        <v>0</v>
      </c>
      <c r="W1299" s="121">
        <f>IF(tech_base!$T115&gt;W$1185,"",W1579+W1859)</f>
        <v>0</v>
      </c>
      <c r="X1299" s="121">
        <f>IF(tech_base!$T115&gt;X$1185,"",X1579+X1859)</f>
        <v>0</v>
      </c>
      <c r="Y1299" s="121">
        <f>IF(tech_base!$T115&gt;Y$1185,"",Y1579+Y1859)</f>
        <v>0</v>
      </c>
      <c r="Z1299" s="121">
        <f>IF(tech_base!$T115&gt;Z$1185,"",Z1579+Z1859)</f>
        <v>0</v>
      </c>
      <c r="AA1299" s="121">
        <f>IF(tech_base!$T115&gt;AA$1185,"",AA1579+AA1859)</f>
        <v>0</v>
      </c>
      <c r="AB1299" s="121">
        <f>IF(tech_base!$T115&gt;AB$1185,"",AB1579+AB1859)</f>
        <v>0</v>
      </c>
      <c r="AC1299" s="121">
        <f>IF(tech_base!$T115&gt;AC$1185,"",AC1579+AC1859)</f>
        <v>0</v>
      </c>
      <c r="AD1299" s="121">
        <f>IF(tech_base!$T115&gt;AD$1185,"",AD1579+AD1859)</f>
        <v>0</v>
      </c>
      <c r="AE1299" s="121">
        <f>IF(tech_base!$T115&gt;AE$1185,"",AE1579+AE1859)</f>
        <v>0</v>
      </c>
      <c r="AF1299" s="121">
        <f>IF(tech_base!$T115&gt;AF$1185,"",AF1579+AF1859)</f>
        <v>0</v>
      </c>
      <c r="AG1299" s="121">
        <f>IF(tech_base!$T115&gt;AG$1185,"",AG1579+AG1859)</f>
        <v>0</v>
      </c>
      <c r="AH1299" s="121">
        <f>IF(tech_base!$T115&gt;AH$1185,"",AH1579+AH1859)</f>
        <v>0</v>
      </c>
      <c r="AI1299" s="121">
        <f>IF(tech_base!$T115&gt;AI$1185,"",AI1579+AI1859)</f>
        <v>0</v>
      </c>
      <c r="AJ1299" s="121">
        <f>IF(tech_base!$T115&gt;AJ$1185,"",AJ1579+AJ1859)</f>
        <v>0</v>
      </c>
      <c r="AK1299" s="121">
        <f>IF(tech_base!$T115&gt;AK$1185,"",AK1579+AK1859)</f>
        <v>0</v>
      </c>
      <c r="AL1299" s="121">
        <f>IF(tech_base!$T115&gt;AL$1185,"",AL1579+AL1859)</f>
        <v>0</v>
      </c>
      <c r="AM1299" s="121">
        <f>IF(tech_base!$T115&gt;AM$1185,"",AM1579+AM1859)</f>
        <v>0</v>
      </c>
      <c r="AN1299" s="121">
        <f>IF(tech_base!$T115&gt;AN$1185,"",AN1579+AN1859)</f>
        <v>0</v>
      </c>
      <c r="AO1299" s="121">
        <f>IF(tech_base!$T115&gt;AO$1185,"",AO1579+AO1859)</f>
        <v>0</v>
      </c>
      <c r="AP1299" s="121">
        <f>IF(tech_base!$T115&gt;AP$1185,"",AP1579+AP1859)</f>
        <v>0</v>
      </c>
      <c r="AQ1299" s="121">
        <f>IF(tech_base!$T115&gt;AQ$1185,"",AQ1579+AQ1859)</f>
        <v>0</v>
      </c>
      <c r="AR1299" s="121">
        <f>IF(tech_base!$T115&gt;AR$1185,"",AR1579+AR1859)</f>
        <v>0</v>
      </c>
      <c r="AS1299" s="121">
        <f>IF(tech_base!$T115&gt;AS$1185,"",AS1579+AS1859)</f>
        <v>0</v>
      </c>
      <c r="AT1299" s="121">
        <f>IF(tech_base!$T115&gt;AT$1185,"",AT1579+AT1859)</f>
        <v>0</v>
      </c>
      <c r="AU1299" s="121">
        <f>IF(tech_base!$T115&gt;AU$1185,"",AU1579+AU1859)</f>
        <v>0</v>
      </c>
      <c r="AV1299" s="121">
        <f>IF(tech_base!$T115&gt;AV$1185,"",AV1579+AV1859)</f>
        <v>0</v>
      </c>
      <c r="AW1299" s="121">
        <f>IF(tech_base!$T115&gt;AW$1185,"",AW1579+AW1859)</f>
        <v>0</v>
      </c>
      <c r="AX1299" s="122">
        <f>IF(tech_base!$T115&gt;AX$1185,"",AX1579+AX1859)</f>
        <v>0</v>
      </c>
    </row>
    <row r="1300" spans="1:50" x14ac:dyDescent="0.25">
      <c r="A1300" s="356"/>
      <c r="B1300" s="376"/>
      <c r="C1300" s="379"/>
      <c r="D1300" s="59" t="s">
        <v>20</v>
      </c>
      <c r="E1300" s="160" t="str">
        <f>A1269&amp;"/"&amp;B1299&amp;"/"&amp;C1299&amp;"/"&amp;D1300</f>
        <v>Gas fired power plants (Natural gas, biogas)/Internal combustion engine/Electricity only/XS</v>
      </c>
      <c r="F1300" s="76" t="str">
        <f>A1269</f>
        <v>Gas fired power plants (Natural gas, biogas)</v>
      </c>
      <c r="G1300" s="76" t="str">
        <f>B1299</f>
        <v>Internal combustion engine</v>
      </c>
      <c r="H1300" s="76" t="str">
        <f>C1299</f>
        <v>Electricity only</v>
      </c>
      <c r="I1300" s="161" t="str">
        <f t="shared" si="373"/>
        <v>XS</v>
      </c>
      <c r="J1300" s="119">
        <f>IF(tech_base!$T116&gt;J$1185,"",J1580+J1860)</f>
        <v>0</v>
      </c>
      <c r="K1300" s="119">
        <f>IF(tech_base!$T116&gt;K$1185,"",K1580+K1860)</f>
        <v>0</v>
      </c>
      <c r="L1300" s="119">
        <f>IF(tech_base!$T116&gt;L$1185,"",L1580+L1860)</f>
        <v>0</v>
      </c>
      <c r="M1300" s="119">
        <f>IF(tech_base!$T116&gt;M$1185,"",M1580+M1860)</f>
        <v>0</v>
      </c>
      <c r="N1300" s="119">
        <f>IF(tech_base!$T116&gt;N$1185,"",N1580+N1860)</f>
        <v>0</v>
      </c>
      <c r="O1300" s="119">
        <f>IF(tech_base!$T116&gt;O$1185,"",O1580+O1860)</f>
        <v>0</v>
      </c>
      <c r="P1300" s="119">
        <f>IF(tech_base!$T116&gt;P$1185,"",P1580+P1860)</f>
        <v>0</v>
      </c>
      <c r="Q1300" s="119">
        <f>IF(tech_base!$T116&gt;Q$1185,"",Q1580+Q1860)</f>
        <v>0</v>
      </c>
      <c r="R1300" s="119">
        <f>IF(tech_base!$T116&gt;R$1185,"",R1580+R1860)</f>
        <v>0</v>
      </c>
      <c r="S1300" s="119">
        <f>IF(tech_base!$T116&gt;S$1185,"",S1580+S1860)</f>
        <v>0</v>
      </c>
      <c r="T1300" s="119">
        <f>IF(tech_base!$T116&gt;T$1185,"",T1580+T1860)</f>
        <v>0</v>
      </c>
      <c r="U1300" s="119">
        <f>IF(tech_base!$T116&gt;U$1185,"",U1580+U1860)</f>
        <v>0</v>
      </c>
      <c r="V1300" s="119">
        <f>IF(tech_base!$T116&gt;V$1185,"",V1580+V1860)</f>
        <v>0</v>
      </c>
      <c r="W1300" s="119">
        <f>IF(tech_base!$T116&gt;W$1185,"",W1580+W1860)</f>
        <v>0</v>
      </c>
      <c r="X1300" s="119">
        <f>IF(tech_base!$T116&gt;X$1185,"",X1580+X1860)</f>
        <v>0</v>
      </c>
      <c r="Y1300" s="119">
        <f>IF(tech_base!$T116&gt;Y$1185,"",Y1580+Y1860)</f>
        <v>0</v>
      </c>
      <c r="Z1300" s="119">
        <f>IF(tech_base!$T116&gt;Z$1185,"",Z1580+Z1860)</f>
        <v>0</v>
      </c>
      <c r="AA1300" s="119">
        <f>IF(tech_base!$T116&gt;AA$1185,"",AA1580+AA1860)</f>
        <v>0</v>
      </c>
      <c r="AB1300" s="119">
        <f>IF(tech_base!$T116&gt;AB$1185,"",AB1580+AB1860)</f>
        <v>0</v>
      </c>
      <c r="AC1300" s="119">
        <f>IF(tech_base!$T116&gt;AC$1185,"",AC1580+AC1860)</f>
        <v>0</v>
      </c>
      <c r="AD1300" s="119">
        <f>IF(tech_base!$T116&gt;AD$1185,"",AD1580+AD1860)</f>
        <v>0</v>
      </c>
      <c r="AE1300" s="119">
        <f>IF(tech_base!$T116&gt;AE$1185,"",AE1580+AE1860)</f>
        <v>0</v>
      </c>
      <c r="AF1300" s="119">
        <f>IF(tech_base!$T116&gt;AF$1185,"",AF1580+AF1860)</f>
        <v>0</v>
      </c>
      <c r="AG1300" s="119">
        <f>IF(tech_base!$T116&gt;AG$1185,"",AG1580+AG1860)</f>
        <v>0</v>
      </c>
      <c r="AH1300" s="119">
        <f>IF(tech_base!$T116&gt;AH$1185,"",AH1580+AH1860)</f>
        <v>0</v>
      </c>
      <c r="AI1300" s="119">
        <f>IF(tech_base!$T116&gt;AI$1185,"",AI1580+AI1860)</f>
        <v>0</v>
      </c>
      <c r="AJ1300" s="119">
        <f>IF(tech_base!$T116&gt;AJ$1185,"",AJ1580+AJ1860)</f>
        <v>0</v>
      </c>
      <c r="AK1300" s="119">
        <f>IF(tech_base!$T116&gt;AK$1185,"",AK1580+AK1860)</f>
        <v>0</v>
      </c>
      <c r="AL1300" s="119">
        <f>IF(tech_base!$T116&gt;AL$1185,"",AL1580+AL1860)</f>
        <v>0</v>
      </c>
      <c r="AM1300" s="119">
        <f>IF(tech_base!$T116&gt;AM$1185,"",AM1580+AM1860)</f>
        <v>0</v>
      </c>
      <c r="AN1300" s="119">
        <f>IF(tech_base!$T116&gt;AN$1185,"",AN1580+AN1860)</f>
        <v>0</v>
      </c>
      <c r="AO1300" s="119">
        <f>IF(tech_base!$T116&gt;AO$1185,"",AO1580+AO1860)</f>
        <v>0</v>
      </c>
      <c r="AP1300" s="119">
        <f>IF(tech_base!$T116&gt;AP$1185,"",AP1580+AP1860)</f>
        <v>0</v>
      </c>
      <c r="AQ1300" s="119">
        <f>IF(tech_base!$T116&gt;AQ$1185,"",AQ1580+AQ1860)</f>
        <v>0</v>
      </c>
      <c r="AR1300" s="119">
        <f>IF(tech_base!$T116&gt;AR$1185,"",AR1580+AR1860)</f>
        <v>0</v>
      </c>
      <c r="AS1300" s="119">
        <f>IF(tech_base!$T116&gt;AS$1185,"",AS1580+AS1860)</f>
        <v>0</v>
      </c>
      <c r="AT1300" s="119">
        <f>IF(tech_base!$T116&gt;AT$1185,"",AT1580+AT1860)</f>
        <v>0</v>
      </c>
      <c r="AU1300" s="119">
        <f>IF(tech_base!$T116&gt;AU$1185,"",AU1580+AU1860)</f>
        <v>0</v>
      </c>
      <c r="AV1300" s="119">
        <f>IF(tech_base!$T116&gt;AV$1185,"",AV1580+AV1860)</f>
        <v>0</v>
      </c>
      <c r="AW1300" s="119">
        <f>IF(tech_base!$T116&gt;AW$1185,"",AW1580+AW1860)</f>
        <v>0</v>
      </c>
      <c r="AX1300" s="120">
        <f>IF(tech_base!$T116&gt;AX$1185,"",AX1580+AX1860)</f>
        <v>0</v>
      </c>
    </row>
    <row r="1301" spans="1:50" x14ac:dyDescent="0.25">
      <c r="A1301" s="356"/>
      <c r="B1301" s="376"/>
      <c r="C1301" s="361" t="s">
        <v>14</v>
      </c>
      <c r="D1301" s="2" t="s">
        <v>10</v>
      </c>
      <c r="E1301" s="164" t="str">
        <f>A1269&amp;"/"&amp;B1299&amp;"/"&amp;C1301&amp;"/"&amp;D1301</f>
        <v>Gas fired power plants (Natural gas, biogas)/Internal combustion engine/CHP/S</v>
      </c>
      <c r="F1301" s="78" t="str">
        <f>A1269</f>
        <v>Gas fired power plants (Natural gas, biogas)</v>
      </c>
      <c r="G1301" s="78" t="str">
        <f>B1299</f>
        <v>Internal combustion engine</v>
      </c>
      <c r="H1301" s="78" t="str">
        <f>C1301</f>
        <v>CHP</v>
      </c>
      <c r="I1301" s="165" t="str">
        <f t="shared" si="373"/>
        <v>S</v>
      </c>
      <c r="J1301" s="123">
        <f>IF(tech_base!$T117&gt;J$1185,"",J1581+J1861)</f>
        <v>0</v>
      </c>
      <c r="K1301" s="123">
        <f>IF(tech_base!$T117&gt;K$1185,"",K1581+K1861)</f>
        <v>0</v>
      </c>
      <c r="L1301" s="123">
        <f>IF(tech_base!$T117&gt;L$1185,"",L1581+L1861)</f>
        <v>0</v>
      </c>
      <c r="M1301" s="123">
        <f>IF(tech_base!$T117&gt;M$1185,"",M1581+M1861)</f>
        <v>0</v>
      </c>
      <c r="N1301" s="123">
        <f>IF(tech_base!$T117&gt;N$1185,"",N1581+N1861)</f>
        <v>0</v>
      </c>
      <c r="O1301" s="123">
        <f>IF(tech_base!$T117&gt;O$1185,"",O1581+O1861)</f>
        <v>0</v>
      </c>
      <c r="P1301" s="123">
        <f>IF(tech_base!$T117&gt;P$1185,"",P1581+P1861)</f>
        <v>0</v>
      </c>
      <c r="Q1301" s="123">
        <f>IF(tech_base!$T117&gt;Q$1185,"",Q1581+Q1861)</f>
        <v>0</v>
      </c>
      <c r="R1301" s="123">
        <f>IF(tech_base!$T117&gt;R$1185,"",R1581+R1861)</f>
        <v>0</v>
      </c>
      <c r="S1301" s="123">
        <f>IF(tech_base!$T117&gt;S$1185,"",S1581+S1861)</f>
        <v>0</v>
      </c>
      <c r="T1301" s="123">
        <f>IF(tech_base!$T117&gt;T$1185,"",T1581+T1861)</f>
        <v>0</v>
      </c>
      <c r="U1301" s="123">
        <f>IF(tech_base!$T117&gt;U$1185,"",U1581+U1861)</f>
        <v>0</v>
      </c>
      <c r="V1301" s="123">
        <f>IF(tech_base!$T117&gt;V$1185,"",V1581+V1861)</f>
        <v>0</v>
      </c>
      <c r="W1301" s="123">
        <f>IF(tech_base!$T117&gt;W$1185,"",W1581+W1861)</f>
        <v>0</v>
      </c>
      <c r="X1301" s="123">
        <f>IF(tech_base!$T117&gt;X$1185,"",X1581+X1861)</f>
        <v>0</v>
      </c>
      <c r="Y1301" s="123">
        <f>IF(tech_base!$T117&gt;Y$1185,"",Y1581+Y1861)</f>
        <v>0</v>
      </c>
      <c r="Z1301" s="123">
        <f>IF(tech_base!$T117&gt;Z$1185,"",Z1581+Z1861)</f>
        <v>0</v>
      </c>
      <c r="AA1301" s="123">
        <f>IF(tech_base!$T117&gt;AA$1185,"",AA1581+AA1861)</f>
        <v>0</v>
      </c>
      <c r="AB1301" s="123">
        <f>IF(tech_base!$T117&gt;AB$1185,"",AB1581+AB1861)</f>
        <v>0</v>
      </c>
      <c r="AC1301" s="123">
        <f>IF(tech_base!$T117&gt;AC$1185,"",AC1581+AC1861)</f>
        <v>0</v>
      </c>
      <c r="AD1301" s="123">
        <f>IF(tech_base!$T117&gt;AD$1185,"",AD1581+AD1861)</f>
        <v>0</v>
      </c>
      <c r="AE1301" s="123">
        <f>IF(tech_base!$T117&gt;AE$1185,"",AE1581+AE1861)</f>
        <v>0</v>
      </c>
      <c r="AF1301" s="123">
        <f>IF(tech_base!$T117&gt;AF$1185,"",AF1581+AF1861)</f>
        <v>0</v>
      </c>
      <c r="AG1301" s="123">
        <f>IF(tech_base!$T117&gt;AG$1185,"",AG1581+AG1861)</f>
        <v>0</v>
      </c>
      <c r="AH1301" s="123">
        <f>IF(tech_base!$T117&gt;AH$1185,"",AH1581+AH1861)</f>
        <v>0</v>
      </c>
      <c r="AI1301" s="123">
        <f>IF(tech_base!$T117&gt;AI$1185,"",AI1581+AI1861)</f>
        <v>0</v>
      </c>
      <c r="AJ1301" s="123">
        <f>IF(tech_base!$T117&gt;AJ$1185,"",AJ1581+AJ1861)</f>
        <v>0</v>
      </c>
      <c r="AK1301" s="123">
        <f>IF(tech_base!$T117&gt;AK$1185,"",AK1581+AK1861)</f>
        <v>0</v>
      </c>
      <c r="AL1301" s="123">
        <f>IF(tech_base!$T117&gt;AL$1185,"",AL1581+AL1861)</f>
        <v>0</v>
      </c>
      <c r="AM1301" s="123">
        <f>IF(tech_base!$T117&gt;AM$1185,"",AM1581+AM1861)</f>
        <v>0</v>
      </c>
      <c r="AN1301" s="123">
        <f>IF(tech_base!$T117&gt;AN$1185,"",AN1581+AN1861)</f>
        <v>0</v>
      </c>
      <c r="AO1301" s="123">
        <f>IF(tech_base!$T117&gt;AO$1185,"",AO1581+AO1861)</f>
        <v>0</v>
      </c>
      <c r="AP1301" s="123">
        <f>IF(tech_base!$T117&gt;AP$1185,"",AP1581+AP1861)</f>
        <v>0</v>
      </c>
      <c r="AQ1301" s="123">
        <f>IF(tech_base!$T117&gt;AQ$1185,"",AQ1581+AQ1861)</f>
        <v>0</v>
      </c>
      <c r="AR1301" s="123">
        <f>IF(tech_base!$T117&gt;AR$1185,"",AR1581+AR1861)</f>
        <v>0</v>
      </c>
      <c r="AS1301" s="123">
        <f>IF(tech_base!$T117&gt;AS$1185,"",AS1581+AS1861)</f>
        <v>0</v>
      </c>
      <c r="AT1301" s="123">
        <f>IF(tech_base!$T117&gt;AT$1185,"",AT1581+AT1861)</f>
        <v>0</v>
      </c>
      <c r="AU1301" s="123">
        <f>IF(tech_base!$T117&gt;AU$1185,"",AU1581+AU1861)</f>
        <v>0</v>
      </c>
      <c r="AV1301" s="123">
        <f>IF(tech_base!$T117&gt;AV$1185,"",AV1581+AV1861)</f>
        <v>0</v>
      </c>
      <c r="AW1301" s="123">
        <f>IF(tech_base!$T117&gt;AW$1185,"",AW1581+AW1861)</f>
        <v>0</v>
      </c>
      <c r="AX1301" s="124">
        <f>IF(tech_base!$T117&gt;AX$1185,"",AX1581+AX1861)</f>
        <v>0</v>
      </c>
    </row>
    <row r="1302" spans="1:50" x14ac:dyDescent="0.25">
      <c r="A1302" s="356"/>
      <c r="B1302" s="380"/>
      <c r="C1302" s="381"/>
      <c r="D1302" s="4" t="s">
        <v>20</v>
      </c>
      <c r="E1302" s="168" t="str">
        <f>A1269&amp;"/"&amp;B1299&amp;"/"&amp;C1301&amp;"/"&amp;D1302</f>
        <v>Gas fired power plants (Natural gas, biogas)/Internal combustion engine/CHP/XS</v>
      </c>
      <c r="F1302" s="80" t="str">
        <f>A1269</f>
        <v>Gas fired power plants (Natural gas, biogas)</v>
      </c>
      <c r="G1302" s="80" t="str">
        <f>B1299</f>
        <v>Internal combustion engine</v>
      </c>
      <c r="H1302" s="80" t="str">
        <f>C1301</f>
        <v>CHP</v>
      </c>
      <c r="I1302" s="169" t="str">
        <f t="shared" si="373"/>
        <v>XS</v>
      </c>
      <c r="J1302" s="127">
        <f>IF(tech_base!$T118&gt;J$1185,"",J1582+J1862)</f>
        <v>0</v>
      </c>
      <c r="K1302" s="127">
        <f>IF(tech_base!$T118&gt;K$1185,"",K1582+K1862)</f>
        <v>0</v>
      </c>
      <c r="L1302" s="127">
        <f>IF(tech_base!$T118&gt;L$1185,"",L1582+L1862)</f>
        <v>0</v>
      </c>
      <c r="M1302" s="127">
        <f>IF(tech_base!$T118&gt;M$1185,"",M1582+M1862)</f>
        <v>0</v>
      </c>
      <c r="N1302" s="127">
        <f>IF(tech_base!$T118&gt;N$1185,"",N1582+N1862)</f>
        <v>0</v>
      </c>
      <c r="O1302" s="127">
        <f>IF(tech_base!$T118&gt;O$1185,"",O1582+O1862)</f>
        <v>0</v>
      </c>
      <c r="P1302" s="127">
        <f>IF(tech_base!$T118&gt;P$1185,"",P1582+P1862)</f>
        <v>0</v>
      </c>
      <c r="Q1302" s="127">
        <f>IF(tech_base!$T118&gt;Q$1185,"",Q1582+Q1862)</f>
        <v>0</v>
      </c>
      <c r="R1302" s="127">
        <f>IF(tech_base!$T118&gt;R$1185,"",R1582+R1862)</f>
        <v>0</v>
      </c>
      <c r="S1302" s="127">
        <f>IF(tech_base!$T118&gt;S$1185,"",S1582+S1862)</f>
        <v>0</v>
      </c>
      <c r="T1302" s="127">
        <f>IF(tech_base!$T118&gt;T$1185,"",T1582+T1862)</f>
        <v>0</v>
      </c>
      <c r="U1302" s="127">
        <f>IF(tech_base!$T118&gt;U$1185,"",U1582+U1862)</f>
        <v>0</v>
      </c>
      <c r="V1302" s="127">
        <f>IF(tech_base!$T118&gt;V$1185,"",V1582+V1862)</f>
        <v>0</v>
      </c>
      <c r="W1302" s="127">
        <f>IF(tech_base!$T118&gt;W$1185,"",W1582+W1862)</f>
        <v>0</v>
      </c>
      <c r="X1302" s="127">
        <f>IF(tech_base!$T118&gt;X$1185,"",X1582+X1862)</f>
        <v>0</v>
      </c>
      <c r="Y1302" s="127">
        <f>IF(tech_base!$T118&gt;Y$1185,"",Y1582+Y1862)</f>
        <v>0</v>
      </c>
      <c r="Z1302" s="127">
        <f>IF(tech_base!$T118&gt;Z$1185,"",Z1582+Z1862)</f>
        <v>0</v>
      </c>
      <c r="AA1302" s="127">
        <f>IF(tech_base!$T118&gt;AA$1185,"",AA1582+AA1862)</f>
        <v>0</v>
      </c>
      <c r="AB1302" s="127">
        <f>IF(tech_base!$T118&gt;AB$1185,"",AB1582+AB1862)</f>
        <v>0</v>
      </c>
      <c r="AC1302" s="127">
        <f>IF(tech_base!$T118&gt;AC$1185,"",AC1582+AC1862)</f>
        <v>0</v>
      </c>
      <c r="AD1302" s="127">
        <f>IF(tech_base!$T118&gt;AD$1185,"",AD1582+AD1862)</f>
        <v>0</v>
      </c>
      <c r="AE1302" s="127">
        <f>IF(tech_base!$T118&gt;AE$1185,"",AE1582+AE1862)</f>
        <v>0</v>
      </c>
      <c r="AF1302" s="127">
        <f>IF(tech_base!$T118&gt;AF$1185,"",AF1582+AF1862)</f>
        <v>0</v>
      </c>
      <c r="AG1302" s="127">
        <f>IF(tech_base!$T118&gt;AG$1185,"",AG1582+AG1862)</f>
        <v>0</v>
      </c>
      <c r="AH1302" s="127">
        <f>IF(tech_base!$T118&gt;AH$1185,"",AH1582+AH1862)</f>
        <v>0</v>
      </c>
      <c r="AI1302" s="127">
        <f>IF(tech_base!$T118&gt;AI$1185,"",AI1582+AI1862)</f>
        <v>0</v>
      </c>
      <c r="AJ1302" s="127">
        <f>IF(tech_base!$T118&gt;AJ$1185,"",AJ1582+AJ1862)</f>
        <v>0</v>
      </c>
      <c r="AK1302" s="127">
        <f>IF(tech_base!$T118&gt;AK$1185,"",AK1582+AK1862)</f>
        <v>0</v>
      </c>
      <c r="AL1302" s="127">
        <f>IF(tech_base!$T118&gt;AL$1185,"",AL1582+AL1862)</f>
        <v>0</v>
      </c>
      <c r="AM1302" s="127">
        <f>IF(tech_base!$T118&gt;AM$1185,"",AM1582+AM1862)</f>
        <v>0</v>
      </c>
      <c r="AN1302" s="127">
        <f>IF(tech_base!$T118&gt;AN$1185,"",AN1582+AN1862)</f>
        <v>0</v>
      </c>
      <c r="AO1302" s="127">
        <f>IF(tech_base!$T118&gt;AO$1185,"",AO1582+AO1862)</f>
        <v>0</v>
      </c>
      <c r="AP1302" s="127">
        <f>IF(tech_base!$T118&gt;AP$1185,"",AP1582+AP1862)</f>
        <v>0</v>
      </c>
      <c r="AQ1302" s="127">
        <f>IF(tech_base!$T118&gt;AQ$1185,"",AQ1582+AQ1862)</f>
        <v>0</v>
      </c>
      <c r="AR1302" s="127">
        <f>IF(tech_base!$T118&gt;AR$1185,"",AR1582+AR1862)</f>
        <v>0</v>
      </c>
      <c r="AS1302" s="127">
        <f>IF(tech_base!$T118&gt;AS$1185,"",AS1582+AS1862)</f>
        <v>0</v>
      </c>
      <c r="AT1302" s="127">
        <f>IF(tech_base!$T118&gt;AT$1185,"",AT1582+AT1862)</f>
        <v>0</v>
      </c>
      <c r="AU1302" s="127">
        <f>IF(tech_base!$T118&gt;AU$1185,"",AU1582+AU1862)</f>
        <v>0</v>
      </c>
      <c r="AV1302" s="127">
        <f>IF(tech_base!$T118&gt;AV$1185,"",AV1582+AV1862)</f>
        <v>0</v>
      </c>
      <c r="AW1302" s="127">
        <f>IF(tech_base!$T118&gt;AW$1185,"",AW1582+AW1862)</f>
        <v>0</v>
      </c>
      <c r="AX1302" s="128">
        <f>IF(tech_base!$T118&gt;AX$1185,"",AX1582+AX1862)</f>
        <v>0</v>
      </c>
    </row>
    <row r="1303" spans="1:50" x14ac:dyDescent="0.25">
      <c r="A1303" s="355" t="s">
        <v>26</v>
      </c>
      <c r="B1303" s="358" t="s">
        <v>19</v>
      </c>
      <c r="C1303" s="353" t="s">
        <v>6</v>
      </c>
      <c r="D1303" s="3" t="s">
        <v>7</v>
      </c>
      <c r="E1303" s="162" t="str">
        <f>A1303&amp;"/"&amp;B1303&amp;"/"&amp;C1303&amp;"/"&amp;D1303</f>
        <v>Derived gas fired power plants/Steam turbine/Electricity only/L</v>
      </c>
      <c r="F1303" s="77" t="str">
        <f>A1303</f>
        <v>Derived gas fired power plants</v>
      </c>
      <c r="G1303" s="77" t="str">
        <f>B1303</f>
        <v>Steam turbine</v>
      </c>
      <c r="H1303" s="77" t="str">
        <f>C1303</f>
        <v>Electricity only</v>
      </c>
      <c r="I1303" s="163" t="str">
        <f t="shared" si="373"/>
        <v>L</v>
      </c>
      <c r="J1303" s="121">
        <f>IF(tech_base!$T119&gt;J$1185,"",J1583+J1863)</f>
        <v>0</v>
      </c>
      <c r="K1303" s="121">
        <f>IF(tech_base!$T119&gt;K$1185,"",K1583+K1863)</f>
        <v>0</v>
      </c>
      <c r="L1303" s="121">
        <f>IF(tech_base!$T119&gt;L$1185,"",L1583+L1863)</f>
        <v>0</v>
      </c>
      <c r="M1303" s="121">
        <f>IF(tech_base!$T119&gt;M$1185,"",M1583+M1863)</f>
        <v>0</v>
      </c>
      <c r="N1303" s="121">
        <f>IF(tech_base!$T119&gt;N$1185,"",N1583+N1863)</f>
        <v>0</v>
      </c>
      <c r="O1303" s="121">
        <f>IF(tech_base!$T119&gt;O$1185,"",O1583+O1863)</f>
        <v>0</v>
      </c>
      <c r="P1303" s="121">
        <f>IF(tech_base!$T119&gt;P$1185,"",P1583+P1863)</f>
        <v>0</v>
      </c>
      <c r="Q1303" s="121">
        <f>IF(tech_base!$T119&gt;Q$1185,"",Q1583+Q1863)</f>
        <v>0</v>
      </c>
      <c r="R1303" s="121">
        <f>IF(tech_base!$T119&gt;R$1185,"",R1583+R1863)</f>
        <v>0</v>
      </c>
      <c r="S1303" s="121">
        <f>IF(tech_base!$T119&gt;S$1185,"",S1583+S1863)</f>
        <v>0</v>
      </c>
      <c r="T1303" s="121">
        <f>IF(tech_base!$T119&gt;T$1185,"",T1583+T1863)</f>
        <v>0</v>
      </c>
      <c r="U1303" s="121">
        <f>IF(tech_base!$T119&gt;U$1185,"",U1583+U1863)</f>
        <v>0</v>
      </c>
      <c r="V1303" s="121">
        <f>IF(tech_base!$T119&gt;V$1185,"",V1583+V1863)</f>
        <v>0</v>
      </c>
      <c r="W1303" s="121">
        <f>IF(tech_base!$T119&gt;W$1185,"",W1583+W1863)</f>
        <v>0</v>
      </c>
      <c r="X1303" s="121">
        <f>IF(tech_base!$T119&gt;X$1185,"",X1583+X1863)</f>
        <v>0</v>
      </c>
      <c r="Y1303" s="121">
        <f>IF(tech_base!$T119&gt;Y$1185,"",Y1583+Y1863)</f>
        <v>0</v>
      </c>
      <c r="Z1303" s="121">
        <f>IF(tech_base!$T119&gt;Z$1185,"",Z1583+Z1863)</f>
        <v>0</v>
      </c>
      <c r="AA1303" s="121">
        <f>IF(tech_base!$T119&gt;AA$1185,"",AA1583+AA1863)</f>
        <v>0</v>
      </c>
      <c r="AB1303" s="121">
        <f>IF(tech_base!$T119&gt;AB$1185,"",AB1583+AB1863)</f>
        <v>0</v>
      </c>
      <c r="AC1303" s="121">
        <f>IF(tech_base!$T119&gt;AC$1185,"",AC1583+AC1863)</f>
        <v>0</v>
      </c>
      <c r="AD1303" s="121">
        <f>IF(tech_base!$T119&gt;AD$1185,"",AD1583+AD1863)</f>
        <v>0</v>
      </c>
      <c r="AE1303" s="121">
        <f>IF(tech_base!$T119&gt;AE$1185,"",AE1583+AE1863)</f>
        <v>0</v>
      </c>
      <c r="AF1303" s="121">
        <f>IF(tech_base!$T119&gt;AF$1185,"",AF1583+AF1863)</f>
        <v>0</v>
      </c>
      <c r="AG1303" s="121">
        <f>IF(tech_base!$T119&gt;AG$1185,"",AG1583+AG1863)</f>
        <v>0</v>
      </c>
      <c r="AH1303" s="121">
        <f>IF(tech_base!$T119&gt;AH$1185,"",AH1583+AH1863)</f>
        <v>0</v>
      </c>
      <c r="AI1303" s="121">
        <f>IF(tech_base!$T119&gt;AI$1185,"",AI1583+AI1863)</f>
        <v>0</v>
      </c>
      <c r="AJ1303" s="121">
        <f>IF(tech_base!$T119&gt;AJ$1185,"",AJ1583+AJ1863)</f>
        <v>0</v>
      </c>
      <c r="AK1303" s="121">
        <f>IF(tech_base!$T119&gt;AK$1185,"",AK1583+AK1863)</f>
        <v>0</v>
      </c>
      <c r="AL1303" s="121">
        <f>IF(tech_base!$T119&gt;AL$1185,"",AL1583+AL1863)</f>
        <v>0</v>
      </c>
      <c r="AM1303" s="121">
        <f>IF(tech_base!$T119&gt;AM$1185,"",AM1583+AM1863)</f>
        <v>0</v>
      </c>
      <c r="AN1303" s="121">
        <f>IF(tech_base!$T119&gt;AN$1185,"",AN1583+AN1863)</f>
        <v>0</v>
      </c>
      <c r="AO1303" s="121">
        <f>IF(tech_base!$T119&gt;AO$1185,"",AO1583+AO1863)</f>
        <v>0</v>
      </c>
      <c r="AP1303" s="121">
        <f>IF(tech_base!$T119&gt;AP$1185,"",AP1583+AP1863)</f>
        <v>0</v>
      </c>
      <c r="AQ1303" s="121">
        <f>IF(tech_base!$T119&gt;AQ$1185,"",AQ1583+AQ1863)</f>
        <v>0</v>
      </c>
      <c r="AR1303" s="121">
        <f>IF(tech_base!$T119&gt;AR$1185,"",AR1583+AR1863)</f>
        <v>0</v>
      </c>
      <c r="AS1303" s="121">
        <f>IF(tech_base!$T119&gt;AS$1185,"",AS1583+AS1863)</f>
        <v>0</v>
      </c>
      <c r="AT1303" s="121">
        <f>IF(tech_base!$T119&gt;AT$1185,"",AT1583+AT1863)</f>
        <v>0</v>
      </c>
      <c r="AU1303" s="121">
        <f>IF(tech_base!$T119&gt;AU$1185,"",AU1583+AU1863)</f>
        <v>0</v>
      </c>
      <c r="AV1303" s="121">
        <f>IF(tech_base!$T119&gt;AV$1185,"",AV1583+AV1863)</f>
        <v>0</v>
      </c>
      <c r="AW1303" s="121">
        <f>IF(tech_base!$T119&gt;AW$1185,"",AW1583+AW1863)</f>
        <v>0</v>
      </c>
      <c r="AX1303" s="122">
        <f>IF(tech_base!$T119&gt;AX$1185,"",AX1583+AX1863)</f>
        <v>0</v>
      </c>
    </row>
    <row r="1304" spans="1:50" x14ac:dyDescent="0.25">
      <c r="A1304" s="356"/>
      <c r="B1304" s="359"/>
      <c r="C1304" s="378"/>
      <c r="D1304" s="2" t="s">
        <v>8</v>
      </c>
      <c r="E1304" s="160" t="str">
        <f>A1303&amp;"/"&amp;B1303&amp;"/"&amp;C1303&amp;"/"&amp;D1304</f>
        <v>Derived gas fired power plants/Steam turbine/Electricity only/M</v>
      </c>
      <c r="F1304" s="76" t="str">
        <f>A1303</f>
        <v>Derived gas fired power plants</v>
      </c>
      <c r="G1304" s="76" t="str">
        <f>B1303</f>
        <v>Steam turbine</v>
      </c>
      <c r="H1304" s="76" t="str">
        <f>C1303</f>
        <v>Electricity only</v>
      </c>
      <c r="I1304" s="161" t="str">
        <f t="shared" si="373"/>
        <v>M</v>
      </c>
      <c r="J1304" s="119">
        <f>IF(tech_base!$T120&gt;J$1185,"",J1584+J1864)</f>
        <v>0</v>
      </c>
      <c r="K1304" s="119">
        <f>IF(tech_base!$T120&gt;K$1185,"",K1584+K1864)</f>
        <v>0</v>
      </c>
      <c r="L1304" s="119">
        <f>IF(tech_base!$T120&gt;L$1185,"",L1584+L1864)</f>
        <v>0</v>
      </c>
      <c r="M1304" s="119">
        <f>IF(tech_base!$T120&gt;M$1185,"",M1584+M1864)</f>
        <v>0</v>
      </c>
      <c r="N1304" s="119">
        <f>IF(tech_base!$T120&gt;N$1185,"",N1584+N1864)</f>
        <v>0</v>
      </c>
      <c r="O1304" s="119">
        <f>IF(tech_base!$T120&gt;O$1185,"",O1584+O1864)</f>
        <v>0</v>
      </c>
      <c r="P1304" s="119">
        <f>IF(tech_base!$T120&gt;P$1185,"",P1584+P1864)</f>
        <v>0</v>
      </c>
      <c r="Q1304" s="119">
        <f>IF(tech_base!$T120&gt;Q$1185,"",Q1584+Q1864)</f>
        <v>0</v>
      </c>
      <c r="R1304" s="119">
        <f>IF(tech_base!$T120&gt;R$1185,"",R1584+R1864)</f>
        <v>0</v>
      </c>
      <c r="S1304" s="119">
        <f>IF(tech_base!$T120&gt;S$1185,"",S1584+S1864)</f>
        <v>0</v>
      </c>
      <c r="T1304" s="119">
        <f>IF(tech_base!$T120&gt;T$1185,"",T1584+T1864)</f>
        <v>0</v>
      </c>
      <c r="U1304" s="119">
        <f>IF(tech_base!$T120&gt;U$1185,"",U1584+U1864)</f>
        <v>0</v>
      </c>
      <c r="V1304" s="119">
        <f>IF(tech_base!$T120&gt;V$1185,"",V1584+V1864)</f>
        <v>0</v>
      </c>
      <c r="W1304" s="119">
        <f>IF(tech_base!$T120&gt;W$1185,"",W1584+W1864)</f>
        <v>0</v>
      </c>
      <c r="X1304" s="119">
        <f>IF(tech_base!$T120&gt;X$1185,"",X1584+X1864)</f>
        <v>0</v>
      </c>
      <c r="Y1304" s="119">
        <f>IF(tech_base!$T120&gt;Y$1185,"",Y1584+Y1864)</f>
        <v>0</v>
      </c>
      <c r="Z1304" s="119">
        <f>IF(tech_base!$T120&gt;Z$1185,"",Z1584+Z1864)</f>
        <v>0</v>
      </c>
      <c r="AA1304" s="119">
        <f>IF(tech_base!$T120&gt;AA$1185,"",AA1584+AA1864)</f>
        <v>0</v>
      </c>
      <c r="AB1304" s="119">
        <f>IF(tech_base!$T120&gt;AB$1185,"",AB1584+AB1864)</f>
        <v>0</v>
      </c>
      <c r="AC1304" s="119">
        <f>IF(tech_base!$T120&gt;AC$1185,"",AC1584+AC1864)</f>
        <v>0</v>
      </c>
      <c r="AD1304" s="119">
        <f>IF(tech_base!$T120&gt;AD$1185,"",AD1584+AD1864)</f>
        <v>0</v>
      </c>
      <c r="AE1304" s="119">
        <f>IF(tech_base!$T120&gt;AE$1185,"",AE1584+AE1864)</f>
        <v>0</v>
      </c>
      <c r="AF1304" s="119">
        <f>IF(tech_base!$T120&gt;AF$1185,"",AF1584+AF1864)</f>
        <v>0</v>
      </c>
      <c r="AG1304" s="119">
        <f>IF(tech_base!$T120&gt;AG$1185,"",AG1584+AG1864)</f>
        <v>0</v>
      </c>
      <c r="AH1304" s="119">
        <f>IF(tech_base!$T120&gt;AH$1185,"",AH1584+AH1864)</f>
        <v>0</v>
      </c>
      <c r="AI1304" s="119">
        <f>IF(tech_base!$T120&gt;AI$1185,"",AI1584+AI1864)</f>
        <v>0</v>
      </c>
      <c r="AJ1304" s="119">
        <f>IF(tech_base!$T120&gt;AJ$1185,"",AJ1584+AJ1864)</f>
        <v>0</v>
      </c>
      <c r="AK1304" s="119">
        <f>IF(tech_base!$T120&gt;AK$1185,"",AK1584+AK1864)</f>
        <v>0</v>
      </c>
      <c r="AL1304" s="119">
        <f>IF(tech_base!$T120&gt;AL$1185,"",AL1584+AL1864)</f>
        <v>0</v>
      </c>
      <c r="AM1304" s="119">
        <f>IF(tech_base!$T120&gt;AM$1185,"",AM1584+AM1864)</f>
        <v>0</v>
      </c>
      <c r="AN1304" s="119">
        <f>IF(tech_base!$T120&gt;AN$1185,"",AN1584+AN1864)</f>
        <v>0</v>
      </c>
      <c r="AO1304" s="119">
        <f>IF(tech_base!$T120&gt;AO$1185,"",AO1584+AO1864)</f>
        <v>0</v>
      </c>
      <c r="AP1304" s="119">
        <f>IF(tech_base!$T120&gt;AP$1185,"",AP1584+AP1864)</f>
        <v>0</v>
      </c>
      <c r="AQ1304" s="119">
        <f>IF(tech_base!$T120&gt;AQ$1185,"",AQ1584+AQ1864)</f>
        <v>0</v>
      </c>
      <c r="AR1304" s="119">
        <f>IF(tech_base!$T120&gt;AR$1185,"",AR1584+AR1864)</f>
        <v>0</v>
      </c>
      <c r="AS1304" s="119">
        <f>IF(tech_base!$T120&gt;AS$1185,"",AS1584+AS1864)</f>
        <v>0</v>
      </c>
      <c r="AT1304" s="119">
        <f>IF(tech_base!$T120&gt;AT$1185,"",AT1584+AT1864)</f>
        <v>0</v>
      </c>
      <c r="AU1304" s="119">
        <f>IF(tech_base!$T120&gt;AU$1185,"",AU1584+AU1864)</f>
        <v>0</v>
      </c>
      <c r="AV1304" s="119">
        <f>IF(tech_base!$T120&gt;AV$1185,"",AV1584+AV1864)</f>
        <v>0</v>
      </c>
      <c r="AW1304" s="119">
        <f>IF(tech_base!$T120&gt;AW$1185,"",AW1584+AW1864)</f>
        <v>0</v>
      </c>
      <c r="AX1304" s="120">
        <f>IF(tech_base!$T120&gt;AX$1185,"",AX1584+AX1864)</f>
        <v>0</v>
      </c>
    </row>
    <row r="1305" spans="1:50" x14ac:dyDescent="0.25">
      <c r="A1305" s="356"/>
      <c r="B1305" s="359"/>
      <c r="C1305" s="378"/>
      <c r="D1305" s="2" t="s">
        <v>10</v>
      </c>
      <c r="E1305" s="160" t="str">
        <f>A1303&amp;"/"&amp;B1303&amp;"/"&amp;C1303&amp;"/"&amp;D1305</f>
        <v>Derived gas fired power plants/Steam turbine/Electricity only/S</v>
      </c>
      <c r="F1305" s="76" t="str">
        <f>A1303</f>
        <v>Derived gas fired power plants</v>
      </c>
      <c r="G1305" s="76" t="str">
        <f>B1303</f>
        <v>Steam turbine</v>
      </c>
      <c r="H1305" s="76" t="str">
        <f>C1303</f>
        <v>Electricity only</v>
      </c>
      <c r="I1305" s="161" t="str">
        <f t="shared" si="373"/>
        <v>S</v>
      </c>
      <c r="J1305" s="119">
        <f>IF(tech_base!$T121&gt;J$1185,"",J1585+J1865)</f>
        <v>0</v>
      </c>
      <c r="K1305" s="119">
        <f>IF(tech_base!$T121&gt;K$1185,"",K1585+K1865)</f>
        <v>0</v>
      </c>
      <c r="L1305" s="119">
        <f>IF(tech_base!$T121&gt;L$1185,"",L1585+L1865)</f>
        <v>0</v>
      </c>
      <c r="M1305" s="119">
        <f>IF(tech_base!$T121&gt;M$1185,"",M1585+M1865)</f>
        <v>0</v>
      </c>
      <c r="N1305" s="119">
        <f>IF(tech_base!$T121&gt;N$1185,"",N1585+N1865)</f>
        <v>0</v>
      </c>
      <c r="O1305" s="119">
        <f>IF(tech_base!$T121&gt;O$1185,"",O1585+O1865)</f>
        <v>0</v>
      </c>
      <c r="P1305" s="119">
        <f>IF(tech_base!$T121&gt;P$1185,"",P1585+P1865)</f>
        <v>0</v>
      </c>
      <c r="Q1305" s="119">
        <f>IF(tech_base!$T121&gt;Q$1185,"",Q1585+Q1865)</f>
        <v>0</v>
      </c>
      <c r="R1305" s="119">
        <f>IF(tech_base!$T121&gt;R$1185,"",R1585+R1865)</f>
        <v>0</v>
      </c>
      <c r="S1305" s="119">
        <f>IF(tech_base!$T121&gt;S$1185,"",S1585+S1865)</f>
        <v>0</v>
      </c>
      <c r="T1305" s="119">
        <f>IF(tech_base!$T121&gt;T$1185,"",T1585+T1865)</f>
        <v>0</v>
      </c>
      <c r="U1305" s="119">
        <f>IF(tech_base!$T121&gt;U$1185,"",U1585+U1865)</f>
        <v>0</v>
      </c>
      <c r="V1305" s="119">
        <f>IF(tech_base!$T121&gt;V$1185,"",V1585+V1865)</f>
        <v>0</v>
      </c>
      <c r="W1305" s="119">
        <f>IF(tech_base!$T121&gt;W$1185,"",W1585+W1865)</f>
        <v>0</v>
      </c>
      <c r="X1305" s="119">
        <f>IF(tech_base!$T121&gt;X$1185,"",X1585+X1865)</f>
        <v>0</v>
      </c>
      <c r="Y1305" s="119">
        <f>IF(tech_base!$T121&gt;Y$1185,"",Y1585+Y1865)</f>
        <v>0</v>
      </c>
      <c r="Z1305" s="119">
        <f>IF(tech_base!$T121&gt;Z$1185,"",Z1585+Z1865)</f>
        <v>0</v>
      </c>
      <c r="AA1305" s="119">
        <f>IF(tech_base!$T121&gt;AA$1185,"",AA1585+AA1865)</f>
        <v>0</v>
      </c>
      <c r="AB1305" s="119">
        <f>IF(tech_base!$T121&gt;AB$1185,"",AB1585+AB1865)</f>
        <v>0</v>
      </c>
      <c r="AC1305" s="119">
        <f>IF(tech_base!$T121&gt;AC$1185,"",AC1585+AC1865)</f>
        <v>0</v>
      </c>
      <c r="AD1305" s="119">
        <f>IF(tech_base!$T121&gt;AD$1185,"",AD1585+AD1865)</f>
        <v>0</v>
      </c>
      <c r="AE1305" s="119">
        <f>IF(tech_base!$T121&gt;AE$1185,"",AE1585+AE1865)</f>
        <v>0</v>
      </c>
      <c r="AF1305" s="119">
        <f>IF(tech_base!$T121&gt;AF$1185,"",AF1585+AF1865)</f>
        <v>0</v>
      </c>
      <c r="AG1305" s="119">
        <f>IF(tech_base!$T121&gt;AG$1185,"",AG1585+AG1865)</f>
        <v>0</v>
      </c>
      <c r="AH1305" s="119">
        <f>IF(tech_base!$T121&gt;AH$1185,"",AH1585+AH1865)</f>
        <v>0</v>
      </c>
      <c r="AI1305" s="119">
        <f>IF(tech_base!$T121&gt;AI$1185,"",AI1585+AI1865)</f>
        <v>0</v>
      </c>
      <c r="AJ1305" s="119">
        <f>IF(tech_base!$T121&gt;AJ$1185,"",AJ1585+AJ1865)</f>
        <v>0</v>
      </c>
      <c r="AK1305" s="119">
        <f>IF(tech_base!$T121&gt;AK$1185,"",AK1585+AK1865)</f>
        <v>0</v>
      </c>
      <c r="AL1305" s="119">
        <f>IF(tech_base!$T121&gt;AL$1185,"",AL1585+AL1865)</f>
        <v>0</v>
      </c>
      <c r="AM1305" s="119">
        <f>IF(tech_base!$T121&gt;AM$1185,"",AM1585+AM1865)</f>
        <v>0</v>
      </c>
      <c r="AN1305" s="119">
        <f>IF(tech_base!$T121&gt;AN$1185,"",AN1585+AN1865)</f>
        <v>0</v>
      </c>
      <c r="AO1305" s="119">
        <f>IF(tech_base!$T121&gt;AO$1185,"",AO1585+AO1865)</f>
        <v>0</v>
      </c>
      <c r="AP1305" s="119">
        <f>IF(tech_base!$T121&gt;AP$1185,"",AP1585+AP1865)</f>
        <v>0</v>
      </c>
      <c r="AQ1305" s="119">
        <f>IF(tech_base!$T121&gt;AQ$1185,"",AQ1585+AQ1865)</f>
        <v>0</v>
      </c>
      <c r="AR1305" s="119">
        <f>IF(tech_base!$T121&gt;AR$1185,"",AR1585+AR1865)</f>
        <v>0</v>
      </c>
      <c r="AS1305" s="119">
        <f>IF(tech_base!$T121&gt;AS$1185,"",AS1585+AS1865)</f>
        <v>0</v>
      </c>
      <c r="AT1305" s="119">
        <f>IF(tech_base!$T121&gt;AT$1185,"",AT1585+AT1865)</f>
        <v>0</v>
      </c>
      <c r="AU1305" s="119">
        <f>IF(tech_base!$T121&gt;AU$1185,"",AU1585+AU1865)</f>
        <v>0</v>
      </c>
      <c r="AV1305" s="119">
        <f>IF(tech_base!$T121&gt;AV$1185,"",AV1585+AV1865)</f>
        <v>0</v>
      </c>
      <c r="AW1305" s="119">
        <f>IF(tech_base!$T121&gt;AW$1185,"",AW1585+AW1865)</f>
        <v>0</v>
      </c>
      <c r="AX1305" s="120">
        <f>IF(tech_base!$T121&gt;AX$1185,"",AX1585+AX1865)</f>
        <v>0</v>
      </c>
    </row>
    <row r="1306" spans="1:50" x14ac:dyDescent="0.25">
      <c r="A1306" s="356"/>
      <c r="B1306" s="359"/>
      <c r="C1306" s="379"/>
      <c r="D1306" s="2" t="s">
        <v>20</v>
      </c>
      <c r="E1306" s="160" t="str">
        <f>A1303&amp;"/"&amp;B1303&amp;"/"&amp;C1303&amp;"/"&amp;D1306</f>
        <v>Derived gas fired power plants/Steam turbine/Electricity only/XS</v>
      </c>
      <c r="F1306" s="76" t="str">
        <f>A1303</f>
        <v>Derived gas fired power plants</v>
      </c>
      <c r="G1306" s="76" t="str">
        <f>B1303</f>
        <v>Steam turbine</v>
      </c>
      <c r="H1306" s="76" t="str">
        <f>C1303</f>
        <v>Electricity only</v>
      </c>
      <c r="I1306" s="161" t="str">
        <f t="shared" si="373"/>
        <v>XS</v>
      </c>
      <c r="J1306" s="119">
        <f>IF(tech_base!$T122&gt;J$1185,"",J1586+J1866)</f>
        <v>0</v>
      </c>
      <c r="K1306" s="119">
        <f>IF(tech_base!$T122&gt;K$1185,"",K1586+K1866)</f>
        <v>0</v>
      </c>
      <c r="L1306" s="119">
        <f>IF(tech_base!$T122&gt;L$1185,"",L1586+L1866)</f>
        <v>0</v>
      </c>
      <c r="M1306" s="119">
        <f>IF(tech_base!$T122&gt;M$1185,"",M1586+M1866)</f>
        <v>0</v>
      </c>
      <c r="N1306" s="119">
        <f>IF(tech_base!$T122&gt;N$1185,"",N1586+N1866)</f>
        <v>0</v>
      </c>
      <c r="O1306" s="119">
        <f>IF(tech_base!$T122&gt;O$1185,"",O1586+O1866)</f>
        <v>0</v>
      </c>
      <c r="P1306" s="119">
        <f>IF(tech_base!$T122&gt;P$1185,"",P1586+P1866)</f>
        <v>0</v>
      </c>
      <c r="Q1306" s="119">
        <f>IF(tech_base!$T122&gt;Q$1185,"",Q1586+Q1866)</f>
        <v>0</v>
      </c>
      <c r="R1306" s="119">
        <f>IF(tech_base!$T122&gt;R$1185,"",R1586+R1866)</f>
        <v>0</v>
      </c>
      <c r="S1306" s="119">
        <f>IF(tech_base!$T122&gt;S$1185,"",S1586+S1866)</f>
        <v>0</v>
      </c>
      <c r="T1306" s="119">
        <f>IF(tech_base!$T122&gt;T$1185,"",T1586+T1866)</f>
        <v>0</v>
      </c>
      <c r="U1306" s="119">
        <f>IF(tech_base!$T122&gt;U$1185,"",U1586+U1866)</f>
        <v>0</v>
      </c>
      <c r="V1306" s="119">
        <f>IF(tech_base!$T122&gt;V$1185,"",V1586+V1866)</f>
        <v>0</v>
      </c>
      <c r="W1306" s="119">
        <f>IF(tech_base!$T122&gt;W$1185,"",W1586+W1866)</f>
        <v>0</v>
      </c>
      <c r="X1306" s="119">
        <f>IF(tech_base!$T122&gt;X$1185,"",X1586+X1866)</f>
        <v>0</v>
      </c>
      <c r="Y1306" s="119">
        <f>IF(tech_base!$T122&gt;Y$1185,"",Y1586+Y1866)</f>
        <v>0</v>
      </c>
      <c r="Z1306" s="119">
        <f>IF(tech_base!$T122&gt;Z$1185,"",Z1586+Z1866)</f>
        <v>0</v>
      </c>
      <c r="AA1306" s="119">
        <f>IF(tech_base!$T122&gt;AA$1185,"",AA1586+AA1866)</f>
        <v>0</v>
      </c>
      <c r="AB1306" s="119">
        <f>IF(tech_base!$T122&gt;AB$1185,"",AB1586+AB1866)</f>
        <v>0</v>
      </c>
      <c r="AC1306" s="119">
        <f>IF(tech_base!$T122&gt;AC$1185,"",AC1586+AC1866)</f>
        <v>0</v>
      </c>
      <c r="AD1306" s="119">
        <f>IF(tech_base!$T122&gt;AD$1185,"",AD1586+AD1866)</f>
        <v>0</v>
      </c>
      <c r="AE1306" s="119">
        <f>IF(tech_base!$T122&gt;AE$1185,"",AE1586+AE1866)</f>
        <v>0</v>
      </c>
      <c r="AF1306" s="119">
        <f>IF(tech_base!$T122&gt;AF$1185,"",AF1586+AF1866)</f>
        <v>0</v>
      </c>
      <c r="AG1306" s="119">
        <f>IF(tech_base!$T122&gt;AG$1185,"",AG1586+AG1866)</f>
        <v>0</v>
      </c>
      <c r="AH1306" s="119">
        <f>IF(tech_base!$T122&gt;AH$1185,"",AH1586+AH1866)</f>
        <v>0</v>
      </c>
      <c r="AI1306" s="119">
        <f>IF(tech_base!$T122&gt;AI$1185,"",AI1586+AI1866)</f>
        <v>0</v>
      </c>
      <c r="AJ1306" s="119">
        <f>IF(tech_base!$T122&gt;AJ$1185,"",AJ1586+AJ1866)</f>
        <v>0</v>
      </c>
      <c r="AK1306" s="119">
        <f>IF(tech_base!$T122&gt;AK$1185,"",AK1586+AK1866)</f>
        <v>0</v>
      </c>
      <c r="AL1306" s="119">
        <f>IF(tech_base!$T122&gt;AL$1185,"",AL1586+AL1866)</f>
        <v>0</v>
      </c>
      <c r="AM1306" s="119">
        <f>IF(tech_base!$T122&gt;AM$1185,"",AM1586+AM1866)</f>
        <v>0</v>
      </c>
      <c r="AN1306" s="119">
        <f>IF(tech_base!$T122&gt;AN$1185,"",AN1586+AN1866)</f>
        <v>0</v>
      </c>
      <c r="AO1306" s="119">
        <f>IF(tech_base!$T122&gt;AO$1185,"",AO1586+AO1866)</f>
        <v>0</v>
      </c>
      <c r="AP1306" s="119">
        <f>IF(tech_base!$T122&gt;AP$1185,"",AP1586+AP1866)</f>
        <v>0</v>
      </c>
      <c r="AQ1306" s="119">
        <f>IF(tech_base!$T122&gt;AQ$1185,"",AQ1586+AQ1866)</f>
        <v>0</v>
      </c>
      <c r="AR1306" s="119">
        <f>IF(tech_base!$T122&gt;AR$1185,"",AR1586+AR1866)</f>
        <v>0</v>
      </c>
      <c r="AS1306" s="119">
        <f>IF(tech_base!$T122&gt;AS$1185,"",AS1586+AS1866)</f>
        <v>0</v>
      </c>
      <c r="AT1306" s="119">
        <f>IF(tech_base!$T122&gt;AT$1185,"",AT1586+AT1866)</f>
        <v>0</v>
      </c>
      <c r="AU1306" s="119">
        <f>IF(tech_base!$T122&gt;AU$1185,"",AU1586+AU1866)</f>
        <v>0</v>
      </c>
      <c r="AV1306" s="119">
        <f>IF(tech_base!$T122&gt;AV$1185,"",AV1586+AV1866)</f>
        <v>0</v>
      </c>
      <c r="AW1306" s="119">
        <f>IF(tech_base!$T122&gt;AW$1185,"",AW1586+AW1866)</f>
        <v>0</v>
      </c>
      <c r="AX1306" s="120">
        <f>IF(tech_base!$T122&gt;AX$1185,"",AX1586+AX1866)</f>
        <v>0</v>
      </c>
    </row>
    <row r="1307" spans="1:50" x14ac:dyDescent="0.25">
      <c r="A1307" s="356"/>
      <c r="B1307" s="359"/>
      <c r="C1307" s="361" t="s">
        <v>14</v>
      </c>
      <c r="D1307" s="58" t="s">
        <v>7</v>
      </c>
      <c r="E1307" s="164" t="str">
        <f>A1303&amp;"/"&amp;B1303&amp;"/"&amp;C1307&amp;"/"&amp;D1307</f>
        <v>Derived gas fired power plants/Steam turbine/CHP/L</v>
      </c>
      <c r="F1307" s="78" t="str">
        <f>A1303</f>
        <v>Derived gas fired power plants</v>
      </c>
      <c r="G1307" s="78" t="str">
        <f>B1303</f>
        <v>Steam turbine</v>
      </c>
      <c r="H1307" s="78" t="str">
        <f>C1307</f>
        <v>CHP</v>
      </c>
      <c r="I1307" s="165" t="str">
        <f t="shared" si="373"/>
        <v>L</v>
      </c>
      <c r="J1307" s="123">
        <f>IF(tech_base!$T123&gt;J$1185,"",J1587+J1867)</f>
        <v>0</v>
      </c>
      <c r="K1307" s="123">
        <f>IF(tech_base!$T123&gt;K$1185,"",K1587+K1867)</f>
        <v>0</v>
      </c>
      <c r="L1307" s="123">
        <f>IF(tech_base!$T123&gt;L$1185,"",L1587+L1867)</f>
        <v>0</v>
      </c>
      <c r="M1307" s="123">
        <f>IF(tech_base!$T123&gt;M$1185,"",M1587+M1867)</f>
        <v>0</v>
      </c>
      <c r="N1307" s="123">
        <f>IF(tech_base!$T123&gt;N$1185,"",N1587+N1867)</f>
        <v>0</v>
      </c>
      <c r="O1307" s="123">
        <f>IF(tech_base!$T123&gt;O$1185,"",O1587+O1867)</f>
        <v>0</v>
      </c>
      <c r="P1307" s="123">
        <f>IF(tech_base!$T123&gt;P$1185,"",P1587+P1867)</f>
        <v>0</v>
      </c>
      <c r="Q1307" s="123">
        <f>IF(tech_base!$T123&gt;Q$1185,"",Q1587+Q1867)</f>
        <v>0</v>
      </c>
      <c r="R1307" s="123">
        <f>IF(tech_base!$T123&gt;R$1185,"",R1587+R1867)</f>
        <v>0</v>
      </c>
      <c r="S1307" s="123">
        <f>IF(tech_base!$T123&gt;S$1185,"",S1587+S1867)</f>
        <v>0</v>
      </c>
      <c r="T1307" s="123">
        <f>IF(tech_base!$T123&gt;T$1185,"",T1587+T1867)</f>
        <v>0</v>
      </c>
      <c r="U1307" s="123">
        <f>IF(tech_base!$T123&gt;U$1185,"",U1587+U1867)</f>
        <v>0</v>
      </c>
      <c r="V1307" s="123">
        <f>IF(tech_base!$T123&gt;V$1185,"",V1587+V1867)</f>
        <v>0</v>
      </c>
      <c r="W1307" s="123">
        <f>IF(tech_base!$T123&gt;W$1185,"",W1587+W1867)</f>
        <v>0</v>
      </c>
      <c r="X1307" s="123">
        <f>IF(tech_base!$T123&gt;X$1185,"",X1587+X1867)</f>
        <v>0</v>
      </c>
      <c r="Y1307" s="123">
        <f>IF(tech_base!$T123&gt;Y$1185,"",Y1587+Y1867)</f>
        <v>0</v>
      </c>
      <c r="Z1307" s="123">
        <f>IF(tech_base!$T123&gt;Z$1185,"",Z1587+Z1867)</f>
        <v>0</v>
      </c>
      <c r="AA1307" s="123">
        <f>IF(tech_base!$T123&gt;AA$1185,"",AA1587+AA1867)</f>
        <v>0</v>
      </c>
      <c r="AB1307" s="123">
        <f>IF(tech_base!$T123&gt;AB$1185,"",AB1587+AB1867)</f>
        <v>0</v>
      </c>
      <c r="AC1307" s="123">
        <f>IF(tech_base!$T123&gt;AC$1185,"",AC1587+AC1867)</f>
        <v>0</v>
      </c>
      <c r="AD1307" s="123">
        <f>IF(tech_base!$T123&gt;AD$1185,"",AD1587+AD1867)</f>
        <v>0</v>
      </c>
      <c r="AE1307" s="123">
        <f>IF(tech_base!$T123&gt;AE$1185,"",AE1587+AE1867)</f>
        <v>0</v>
      </c>
      <c r="AF1307" s="123">
        <f>IF(tech_base!$T123&gt;AF$1185,"",AF1587+AF1867)</f>
        <v>0</v>
      </c>
      <c r="AG1307" s="123">
        <f>IF(tech_base!$T123&gt;AG$1185,"",AG1587+AG1867)</f>
        <v>0</v>
      </c>
      <c r="AH1307" s="123">
        <f>IF(tech_base!$T123&gt;AH$1185,"",AH1587+AH1867)</f>
        <v>0</v>
      </c>
      <c r="AI1307" s="123">
        <f>IF(tech_base!$T123&gt;AI$1185,"",AI1587+AI1867)</f>
        <v>0</v>
      </c>
      <c r="AJ1307" s="123">
        <f>IF(tech_base!$T123&gt;AJ$1185,"",AJ1587+AJ1867)</f>
        <v>0</v>
      </c>
      <c r="AK1307" s="123">
        <f>IF(tech_base!$T123&gt;AK$1185,"",AK1587+AK1867)</f>
        <v>0</v>
      </c>
      <c r="AL1307" s="123">
        <f>IF(tech_base!$T123&gt;AL$1185,"",AL1587+AL1867)</f>
        <v>0</v>
      </c>
      <c r="AM1307" s="123">
        <f>IF(tech_base!$T123&gt;AM$1185,"",AM1587+AM1867)</f>
        <v>0</v>
      </c>
      <c r="AN1307" s="123">
        <f>IF(tech_base!$T123&gt;AN$1185,"",AN1587+AN1867)</f>
        <v>0</v>
      </c>
      <c r="AO1307" s="123">
        <f>IF(tech_base!$T123&gt;AO$1185,"",AO1587+AO1867)</f>
        <v>0</v>
      </c>
      <c r="AP1307" s="123">
        <f>IF(tech_base!$T123&gt;AP$1185,"",AP1587+AP1867)</f>
        <v>0</v>
      </c>
      <c r="AQ1307" s="123">
        <f>IF(tech_base!$T123&gt;AQ$1185,"",AQ1587+AQ1867)</f>
        <v>0</v>
      </c>
      <c r="AR1307" s="123">
        <f>IF(tech_base!$T123&gt;AR$1185,"",AR1587+AR1867)</f>
        <v>0</v>
      </c>
      <c r="AS1307" s="123">
        <f>IF(tech_base!$T123&gt;AS$1185,"",AS1587+AS1867)</f>
        <v>0</v>
      </c>
      <c r="AT1307" s="123">
        <f>IF(tech_base!$T123&gt;AT$1185,"",AT1587+AT1867)</f>
        <v>0</v>
      </c>
      <c r="AU1307" s="123">
        <f>IF(tech_base!$T123&gt;AU$1185,"",AU1587+AU1867)</f>
        <v>0</v>
      </c>
      <c r="AV1307" s="123">
        <f>IF(tech_base!$T123&gt;AV$1185,"",AV1587+AV1867)</f>
        <v>0</v>
      </c>
      <c r="AW1307" s="123">
        <f>IF(tech_base!$T123&gt;AW$1185,"",AW1587+AW1867)</f>
        <v>0</v>
      </c>
      <c r="AX1307" s="124">
        <f>IF(tech_base!$T123&gt;AX$1185,"",AX1587+AX1867)</f>
        <v>0</v>
      </c>
    </row>
    <row r="1308" spans="1:50" x14ac:dyDescent="0.25">
      <c r="A1308" s="356"/>
      <c r="B1308" s="359"/>
      <c r="C1308" s="378"/>
      <c r="D1308" s="2" t="s">
        <v>8</v>
      </c>
      <c r="E1308" s="160" t="str">
        <f>A1303&amp;"/"&amp;B1303&amp;"/"&amp;C1307&amp;"/"&amp;D1308</f>
        <v>Derived gas fired power plants/Steam turbine/CHP/M</v>
      </c>
      <c r="F1308" s="76" t="str">
        <f>A1303</f>
        <v>Derived gas fired power plants</v>
      </c>
      <c r="G1308" s="76" t="str">
        <f>B1303</f>
        <v>Steam turbine</v>
      </c>
      <c r="H1308" s="76" t="str">
        <f>C1307</f>
        <v>CHP</v>
      </c>
      <c r="I1308" s="161" t="str">
        <f t="shared" si="373"/>
        <v>M</v>
      </c>
      <c r="J1308" s="119">
        <f>IF(tech_base!$T124&gt;J$1185,"",J1588+J1868)</f>
        <v>0</v>
      </c>
      <c r="K1308" s="119">
        <f>IF(tech_base!$T124&gt;K$1185,"",K1588+K1868)</f>
        <v>0</v>
      </c>
      <c r="L1308" s="119">
        <f>IF(tech_base!$T124&gt;L$1185,"",L1588+L1868)</f>
        <v>0</v>
      </c>
      <c r="M1308" s="119">
        <f>IF(tech_base!$T124&gt;M$1185,"",M1588+M1868)</f>
        <v>0</v>
      </c>
      <c r="N1308" s="119">
        <f>IF(tech_base!$T124&gt;N$1185,"",N1588+N1868)</f>
        <v>0</v>
      </c>
      <c r="O1308" s="119">
        <f>IF(tech_base!$T124&gt;O$1185,"",O1588+O1868)</f>
        <v>0</v>
      </c>
      <c r="P1308" s="119">
        <f>IF(tech_base!$T124&gt;P$1185,"",P1588+P1868)</f>
        <v>0</v>
      </c>
      <c r="Q1308" s="119">
        <f>IF(tech_base!$T124&gt;Q$1185,"",Q1588+Q1868)</f>
        <v>0</v>
      </c>
      <c r="R1308" s="119">
        <f>IF(tech_base!$T124&gt;R$1185,"",R1588+R1868)</f>
        <v>0</v>
      </c>
      <c r="S1308" s="119">
        <f>IF(tech_base!$T124&gt;S$1185,"",S1588+S1868)</f>
        <v>0</v>
      </c>
      <c r="T1308" s="119">
        <f>IF(tech_base!$T124&gt;T$1185,"",T1588+T1868)</f>
        <v>0</v>
      </c>
      <c r="U1308" s="119">
        <f>IF(tech_base!$T124&gt;U$1185,"",U1588+U1868)</f>
        <v>0</v>
      </c>
      <c r="V1308" s="119">
        <f>IF(tech_base!$T124&gt;V$1185,"",V1588+V1868)</f>
        <v>0</v>
      </c>
      <c r="W1308" s="119">
        <f>IF(tech_base!$T124&gt;W$1185,"",W1588+W1868)</f>
        <v>0</v>
      </c>
      <c r="X1308" s="119">
        <f>IF(tech_base!$T124&gt;X$1185,"",X1588+X1868)</f>
        <v>0</v>
      </c>
      <c r="Y1308" s="119">
        <f>IF(tech_base!$T124&gt;Y$1185,"",Y1588+Y1868)</f>
        <v>0</v>
      </c>
      <c r="Z1308" s="119">
        <f>IF(tech_base!$T124&gt;Z$1185,"",Z1588+Z1868)</f>
        <v>0</v>
      </c>
      <c r="AA1308" s="119">
        <f>IF(tech_base!$T124&gt;AA$1185,"",AA1588+AA1868)</f>
        <v>0</v>
      </c>
      <c r="AB1308" s="119">
        <f>IF(tech_base!$T124&gt;AB$1185,"",AB1588+AB1868)</f>
        <v>0</v>
      </c>
      <c r="AC1308" s="119">
        <f>IF(tech_base!$T124&gt;AC$1185,"",AC1588+AC1868)</f>
        <v>0</v>
      </c>
      <c r="AD1308" s="119">
        <f>IF(tech_base!$T124&gt;AD$1185,"",AD1588+AD1868)</f>
        <v>0</v>
      </c>
      <c r="AE1308" s="119">
        <f>IF(tech_base!$T124&gt;AE$1185,"",AE1588+AE1868)</f>
        <v>0</v>
      </c>
      <c r="AF1308" s="119">
        <f>IF(tech_base!$T124&gt;AF$1185,"",AF1588+AF1868)</f>
        <v>0</v>
      </c>
      <c r="AG1308" s="119">
        <f>IF(tech_base!$T124&gt;AG$1185,"",AG1588+AG1868)</f>
        <v>0</v>
      </c>
      <c r="AH1308" s="119">
        <f>IF(tech_base!$T124&gt;AH$1185,"",AH1588+AH1868)</f>
        <v>0</v>
      </c>
      <c r="AI1308" s="119">
        <f>IF(tech_base!$T124&gt;AI$1185,"",AI1588+AI1868)</f>
        <v>0</v>
      </c>
      <c r="AJ1308" s="119">
        <f>IF(tech_base!$T124&gt;AJ$1185,"",AJ1588+AJ1868)</f>
        <v>0</v>
      </c>
      <c r="AK1308" s="119">
        <f>IF(tech_base!$T124&gt;AK$1185,"",AK1588+AK1868)</f>
        <v>0</v>
      </c>
      <c r="AL1308" s="119">
        <f>IF(tech_base!$T124&gt;AL$1185,"",AL1588+AL1868)</f>
        <v>0</v>
      </c>
      <c r="AM1308" s="119">
        <f>IF(tech_base!$T124&gt;AM$1185,"",AM1588+AM1868)</f>
        <v>0</v>
      </c>
      <c r="AN1308" s="119">
        <f>IF(tech_base!$T124&gt;AN$1185,"",AN1588+AN1868)</f>
        <v>0</v>
      </c>
      <c r="AO1308" s="119">
        <f>IF(tech_base!$T124&gt;AO$1185,"",AO1588+AO1868)</f>
        <v>0</v>
      </c>
      <c r="AP1308" s="119">
        <f>IF(tech_base!$T124&gt;AP$1185,"",AP1588+AP1868)</f>
        <v>0</v>
      </c>
      <c r="AQ1308" s="119">
        <f>IF(tech_base!$T124&gt;AQ$1185,"",AQ1588+AQ1868)</f>
        <v>0</v>
      </c>
      <c r="AR1308" s="119">
        <f>IF(tech_base!$T124&gt;AR$1185,"",AR1588+AR1868)</f>
        <v>0</v>
      </c>
      <c r="AS1308" s="119">
        <f>IF(tech_base!$T124&gt;AS$1185,"",AS1588+AS1868)</f>
        <v>0</v>
      </c>
      <c r="AT1308" s="119">
        <f>IF(tech_base!$T124&gt;AT$1185,"",AT1588+AT1868)</f>
        <v>0</v>
      </c>
      <c r="AU1308" s="119">
        <f>IF(tech_base!$T124&gt;AU$1185,"",AU1588+AU1868)</f>
        <v>0</v>
      </c>
      <c r="AV1308" s="119">
        <f>IF(tech_base!$T124&gt;AV$1185,"",AV1588+AV1868)</f>
        <v>0</v>
      </c>
      <c r="AW1308" s="119">
        <f>IF(tech_base!$T124&gt;AW$1185,"",AW1588+AW1868)</f>
        <v>0</v>
      </c>
      <c r="AX1308" s="120">
        <f>IF(tech_base!$T124&gt;AX$1185,"",AX1588+AX1868)</f>
        <v>0</v>
      </c>
    </row>
    <row r="1309" spans="1:50" x14ac:dyDescent="0.25">
      <c r="A1309" s="356"/>
      <c r="B1309" s="359"/>
      <c r="C1309" s="378"/>
      <c r="D1309" s="2" t="s">
        <v>10</v>
      </c>
      <c r="E1309" s="160" t="str">
        <f>A1303&amp;"/"&amp;B1303&amp;"/"&amp;C1307&amp;"/"&amp;D1309</f>
        <v>Derived gas fired power plants/Steam turbine/CHP/S</v>
      </c>
      <c r="F1309" s="76" t="str">
        <f>A1303</f>
        <v>Derived gas fired power plants</v>
      </c>
      <c r="G1309" s="76" t="str">
        <f>B1303</f>
        <v>Steam turbine</v>
      </c>
      <c r="H1309" s="76" t="str">
        <f>C1307</f>
        <v>CHP</v>
      </c>
      <c r="I1309" s="161" t="str">
        <f t="shared" si="373"/>
        <v>S</v>
      </c>
      <c r="J1309" s="119">
        <f>IF(tech_base!$T125&gt;J$1185,"",J1589+J1869)</f>
        <v>0</v>
      </c>
      <c r="K1309" s="119">
        <f>IF(tech_base!$T125&gt;K$1185,"",K1589+K1869)</f>
        <v>0</v>
      </c>
      <c r="L1309" s="119">
        <f>IF(tech_base!$T125&gt;L$1185,"",L1589+L1869)</f>
        <v>0</v>
      </c>
      <c r="M1309" s="119">
        <f>IF(tech_base!$T125&gt;M$1185,"",M1589+M1869)</f>
        <v>0</v>
      </c>
      <c r="N1309" s="119">
        <f>IF(tech_base!$T125&gt;N$1185,"",N1589+N1869)</f>
        <v>0</v>
      </c>
      <c r="O1309" s="119">
        <f>IF(tech_base!$T125&gt;O$1185,"",O1589+O1869)</f>
        <v>0</v>
      </c>
      <c r="P1309" s="119">
        <f>IF(tech_base!$T125&gt;P$1185,"",P1589+P1869)</f>
        <v>0</v>
      </c>
      <c r="Q1309" s="119">
        <f>IF(tech_base!$T125&gt;Q$1185,"",Q1589+Q1869)</f>
        <v>0</v>
      </c>
      <c r="R1309" s="119">
        <f>IF(tech_base!$T125&gt;R$1185,"",R1589+R1869)</f>
        <v>0</v>
      </c>
      <c r="S1309" s="119">
        <f>IF(tech_base!$T125&gt;S$1185,"",S1589+S1869)</f>
        <v>0</v>
      </c>
      <c r="T1309" s="119">
        <f>IF(tech_base!$T125&gt;T$1185,"",T1589+T1869)</f>
        <v>0</v>
      </c>
      <c r="U1309" s="119">
        <f>IF(tech_base!$T125&gt;U$1185,"",U1589+U1869)</f>
        <v>0</v>
      </c>
      <c r="V1309" s="119">
        <f>IF(tech_base!$T125&gt;V$1185,"",V1589+V1869)</f>
        <v>0</v>
      </c>
      <c r="W1309" s="119">
        <f>IF(tech_base!$T125&gt;W$1185,"",W1589+W1869)</f>
        <v>0</v>
      </c>
      <c r="X1309" s="119">
        <f>IF(tech_base!$T125&gt;X$1185,"",X1589+X1869)</f>
        <v>0</v>
      </c>
      <c r="Y1309" s="119">
        <f>IF(tech_base!$T125&gt;Y$1185,"",Y1589+Y1869)</f>
        <v>0</v>
      </c>
      <c r="Z1309" s="119">
        <f>IF(tech_base!$T125&gt;Z$1185,"",Z1589+Z1869)</f>
        <v>0</v>
      </c>
      <c r="AA1309" s="119">
        <f>IF(tech_base!$T125&gt;AA$1185,"",AA1589+AA1869)</f>
        <v>0</v>
      </c>
      <c r="AB1309" s="119">
        <f>IF(tech_base!$T125&gt;AB$1185,"",AB1589+AB1869)</f>
        <v>0</v>
      </c>
      <c r="AC1309" s="119">
        <f>IF(tech_base!$T125&gt;AC$1185,"",AC1589+AC1869)</f>
        <v>0</v>
      </c>
      <c r="AD1309" s="119">
        <f>IF(tech_base!$T125&gt;AD$1185,"",AD1589+AD1869)</f>
        <v>0</v>
      </c>
      <c r="AE1309" s="119">
        <f>IF(tech_base!$T125&gt;AE$1185,"",AE1589+AE1869)</f>
        <v>0</v>
      </c>
      <c r="AF1309" s="119">
        <f>IF(tech_base!$T125&gt;AF$1185,"",AF1589+AF1869)</f>
        <v>0</v>
      </c>
      <c r="AG1309" s="119">
        <f>IF(tech_base!$T125&gt;AG$1185,"",AG1589+AG1869)</f>
        <v>0</v>
      </c>
      <c r="AH1309" s="119">
        <f>IF(tech_base!$T125&gt;AH$1185,"",AH1589+AH1869)</f>
        <v>0</v>
      </c>
      <c r="AI1309" s="119">
        <f>IF(tech_base!$T125&gt;AI$1185,"",AI1589+AI1869)</f>
        <v>0</v>
      </c>
      <c r="AJ1309" s="119">
        <f>IF(tech_base!$T125&gt;AJ$1185,"",AJ1589+AJ1869)</f>
        <v>0</v>
      </c>
      <c r="AK1309" s="119">
        <f>IF(tech_base!$T125&gt;AK$1185,"",AK1589+AK1869)</f>
        <v>0</v>
      </c>
      <c r="AL1309" s="119">
        <f>IF(tech_base!$T125&gt;AL$1185,"",AL1589+AL1869)</f>
        <v>0</v>
      </c>
      <c r="AM1309" s="119">
        <f>IF(tech_base!$T125&gt;AM$1185,"",AM1589+AM1869)</f>
        <v>0</v>
      </c>
      <c r="AN1309" s="119">
        <f>IF(tech_base!$T125&gt;AN$1185,"",AN1589+AN1869)</f>
        <v>0</v>
      </c>
      <c r="AO1309" s="119">
        <f>IF(tech_base!$T125&gt;AO$1185,"",AO1589+AO1869)</f>
        <v>0</v>
      </c>
      <c r="AP1309" s="119">
        <f>IF(tech_base!$T125&gt;AP$1185,"",AP1589+AP1869)</f>
        <v>0</v>
      </c>
      <c r="AQ1309" s="119">
        <f>IF(tech_base!$T125&gt;AQ$1185,"",AQ1589+AQ1869)</f>
        <v>0</v>
      </c>
      <c r="AR1309" s="119">
        <f>IF(tech_base!$T125&gt;AR$1185,"",AR1589+AR1869)</f>
        <v>0</v>
      </c>
      <c r="AS1309" s="119">
        <f>IF(tech_base!$T125&gt;AS$1185,"",AS1589+AS1869)</f>
        <v>0</v>
      </c>
      <c r="AT1309" s="119">
        <f>IF(tech_base!$T125&gt;AT$1185,"",AT1589+AT1869)</f>
        <v>0</v>
      </c>
      <c r="AU1309" s="119">
        <f>IF(tech_base!$T125&gt;AU$1185,"",AU1589+AU1869)</f>
        <v>0</v>
      </c>
      <c r="AV1309" s="119">
        <f>IF(tech_base!$T125&gt;AV$1185,"",AV1589+AV1869)</f>
        <v>0</v>
      </c>
      <c r="AW1309" s="119">
        <f>IF(tech_base!$T125&gt;AW$1185,"",AW1589+AW1869)</f>
        <v>0</v>
      </c>
      <c r="AX1309" s="120">
        <f>IF(tech_base!$T125&gt;AX$1185,"",AX1589+AX1869)</f>
        <v>0</v>
      </c>
    </row>
    <row r="1310" spans="1:50" x14ac:dyDescent="0.25">
      <c r="A1310" s="356"/>
      <c r="B1310" s="359"/>
      <c r="C1310" s="379"/>
      <c r="D1310" s="59" t="s">
        <v>20</v>
      </c>
      <c r="E1310" s="166" t="str">
        <f>A1303&amp;"/"&amp;B1303&amp;"/"&amp;C1307&amp;"/"&amp;D1310</f>
        <v>Derived gas fired power plants/Steam turbine/CHP/XS</v>
      </c>
      <c r="F1310" s="79" t="str">
        <f>A1303</f>
        <v>Derived gas fired power plants</v>
      </c>
      <c r="G1310" s="79" t="str">
        <f>B1303</f>
        <v>Steam turbine</v>
      </c>
      <c r="H1310" s="79" t="str">
        <f>C1307</f>
        <v>CHP</v>
      </c>
      <c r="I1310" s="167" t="str">
        <f t="shared" si="373"/>
        <v>XS</v>
      </c>
      <c r="J1310" s="125">
        <f>IF(tech_base!$T126&gt;J$1185,"",J1590+J1870)</f>
        <v>0</v>
      </c>
      <c r="K1310" s="125">
        <f>IF(tech_base!$T126&gt;K$1185,"",K1590+K1870)</f>
        <v>0</v>
      </c>
      <c r="L1310" s="125">
        <f>IF(tech_base!$T126&gt;L$1185,"",L1590+L1870)</f>
        <v>0</v>
      </c>
      <c r="M1310" s="125">
        <f>IF(tech_base!$T126&gt;M$1185,"",M1590+M1870)</f>
        <v>0</v>
      </c>
      <c r="N1310" s="125">
        <f>IF(tech_base!$T126&gt;N$1185,"",N1590+N1870)</f>
        <v>0</v>
      </c>
      <c r="O1310" s="125">
        <f>IF(tech_base!$T126&gt;O$1185,"",O1590+O1870)</f>
        <v>0</v>
      </c>
      <c r="P1310" s="125">
        <f>IF(tech_base!$T126&gt;P$1185,"",P1590+P1870)</f>
        <v>0</v>
      </c>
      <c r="Q1310" s="125">
        <f>IF(tech_base!$T126&gt;Q$1185,"",Q1590+Q1870)</f>
        <v>0</v>
      </c>
      <c r="R1310" s="125">
        <f>IF(tech_base!$T126&gt;R$1185,"",R1590+R1870)</f>
        <v>0</v>
      </c>
      <c r="S1310" s="125">
        <f>IF(tech_base!$T126&gt;S$1185,"",S1590+S1870)</f>
        <v>0</v>
      </c>
      <c r="T1310" s="125">
        <f>IF(tech_base!$T126&gt;T$1185,"",T1590+T1870)</f>
        <v>0</v>
      </c>
      <c r="U1310" s="125">
        <f>IF(tech_base!$T126&gt;U$1185,"",U1590+U1870)</f>
        <v>0</v>
      </c>
      <c r="V1310" s="125">
        <f>IF(tech_base!$T126&gt;V$1185,"",V1590+V1870)</f>
        <v>0</v>
      </c>
      <c r="W1310" s="125">
        <f>IF(tech_base!$T126&gt;W$1185,"",W1590+W1870)</f>
        <v>0</v>
      </c>
      <c r="X1310" s="125">
        <f>IF(tech_base!$T126&gt;X$1185,"",X1590+X1870)</f>
        <v>0</v>
      </c>
      <c r="Y1310" s="125">
        <f>IF(tech_base!$T126&gt;Y$1185,"",Y1590+Y1870)</f>
        <v>0</v>
      </c>
      <c r="Z1310" s="125">
        <f>IF(tech_base!$T126&gt;Z$1185,"",Z1590+Z1870)</f>
        <v>0</v>
      </c>
      <c r="AA1310" s="125">
        <f>IF(tech_base!$T126&gt;AA$1185,"",AA1590+AA1870)</f>
        <v>0</v>
      </c>
      <c r="AB1310" s="125">
        <f>IF(tech_base!$T126&gt;AB$1185,"",AB1590+AB1870)</f>
        <v>0</v>
      </c>
      <c r="AC1310" s="125">
        <f>IF(tech_base!$T126&gt;AC$1185,"",AC1590+AC1870)</f>
        <v>0</v>
      </c>
      <c r="AD1310" s="125">
        <f>IF(tech_base!$T126&gt;AD$1185,"",AD1590+AD1870)</f>
        <v>0</v>
      </c>
      <c r="AE1310" s="125">
        <f>IF(tech_base!$T126&gt;AE$1185,"",AE1590+AE1870)</f>
        <v>0</v>
      </c>
      <c r="AF1310" s="125">
        <f>IF(tech_base!$T126&gt;AF$1185,"",AF1590+AF1870)</f>
        <v>0</v>
      </c>
      <c r="AG1310" s="125">
        <f>IF(tech_base!$T126&gt;AG$1185,"",AG1590+AG1870)</f>
        <v>0</v>
      </c>
      <c r="AH1310" s="125">
        <f>IF(tech_base!$T126&gt;AH$1185,"",AH1590+AH1870)</f>
        <v>0</v>
      </c>
      <c r="AI1310" s="125">
        <f>IF(tech_base!$T126&gt;AI$1185,"",AI1590+AI1870)</f>
        <v>0</v>
      </c>
      <c r="AJ1310" s="125">
        <f>IF(tech_base!$T126&gt;AJ$1185,"",AJ1590+AJ1870)</f>
        <v>0</v>
      </c>
      <c r="AK1310" s="125">
        <f>IF(tech_base!$T126&gt;AK$1185,"",AK1590+AK1870)</f>
        <v>0</v>
      </c>
      <c r="AL1310" s="125">
        <f>IF(tech_base!$T126&gt;AL$1185,"",AL1590+AL1870)</f>
        <v>0</v>
      </c>
      <c r="AM1310" s="125">
        <f>IF(tech_base!$T126&gt;AM$1185,"",AM1590+AM1870)</f>
        <v>0</v>
      </c>
      <c r="AN1310" s="125">
        <f>IF(tech_base!$T126&gt;AN$1185,"",AN1590+AN1870)</f>
        <v>0</v>
      </c>
      <c r="AO1310" s="125">
        <f>IF(tech_base!$T126&gt;AO$1185,"",AO1590+AO1870)</f>
        <v>0</v>
      </c>
      <c r="AP1310" s="125">
        <f>IF(tech_base!$T126&gt;AP$1185,"",AP1590+AP1870)</f>
        <v>0</v>
      </c>
      <c r="AQ1310" s="125">
        <f>IF(tech_base!$T126&gt;AQ$1185,"",AQ1590+AQ1870)</f>
        <v>0</v>
      </c>
      <c r="AR1310" s="125">
        <f>IF(tech_base!$T126&gt;AR$1185,"",AR1590+AR1870)</f>
        <v>0</v>
      </c>
      <c r="AS1310" s="125">
        <f>IF(tech_base!$T126&gt;AS$1185,"",AS1590+AS1870)</f>
        <v>0</v>
      </c>
      <c r="AT1310" s="125">
        <f>IF(tech_base!$T126&gt;AT$1185,"",AT1590+AT1870)</f>
        <v>0</v>
      </c>
      <c r="AU1310" s="125">
        <f>IF(tech_base!$T126&gt;AU$1185,"",AU1590+AU1870)</f>
        <v>0</v>
      </c>
      <c r="AV1310" s="125">
        <f>IF(tech_base!$T126&gt;AV$1185,"",AV1590+AV1870)</f>
        <v>0</v>
      </c>
      <c r="AW1310" s="125">
        <f>IF(tech_base!$T126&gt;AW$1185,"",AW1590+AW1870)</f>
        <v>0</v>
      </c>
      <c r="AX1310" s="126">
        <f>IF(tech_base!$T126&gt;AX$1185,"",AX1590+AX1870)</f>
        <v>0</v>
      </c>
    </row>
    <row r="1311" spans="1:50" x14ac:dyDescent="0.25">
      <c r="A1311" s="356"/>
      <c r="B1311" s="359"/>
      <c r="C1311" s="361" t="s">
        <v>15</v>
      </c>
      <c r="D1311" s="58" t="s">
        <v>7</v>
      </c>
      <c r="E1311" s="164" t="str">
        <f>A1303&amp;"/"&amp;B1303&amp;"/"&amp;C1311&amp;"/"&amp;D1311</f>
        <v>Derived gas fired power plants/Steam turbine/Electricity only with CCS/L</v>
      </c>
      <c r="F1311" s="78" t="str">
        <f>A1303</f>
        <v>Derived gas fired power plants</v>
      </c>
      <c r="G1311" s="78" t="str">
        <f>B1303</f>
        <v>Steam turbine</v>
      </c>
      <c r="H1311" s="78" t="str">
        <f>C1311</f>
        <v>Electricity only with CCS</v>
      </c>
      <c r="I1311" s="165" t="str">
        <f t="shared" si="373"/>
        <v>L</v>
      </c>
      <c r="J1311" s="123" t="str">
        <f>IF(tech_base!$T127&gt;J$1185,"",J1591+J1871)</f>
        <v/>
      </c>
      <c r="K1311" s="123" t="str">
        <f>IF(tech_base!$T127&gt;K$1185,"",K1591+K1871)</f>
        <v/>
      </c>
      <c r="L1311" s="123" t="str">
        <f>IF(tech_base!$T127&gt;L$1185,"",L1591+L1871)</f>
        <v/>
      </c>
      <c r="M1311" s="123" t="str">
        <f>IF(tech_base!$T127&gt;M$1185,"",M1591+M1871)</f>
        <v/>
      </c>
      <c r="N1311" s="123" t="str">
        <f>IF(tech_base!$T127&gt;N$1185,"",N1591+N1871)</f>
        <v/>
      </c>
      <c r="O1311" s="123" t="str">
        <f>IF(tech_base!$T127&gt;O$1185,"",O1591+O1871)</f>
        <v/>
      </c>
      <c r="P1311" s="123" t="str">
        <f>IF(tech_base!$T127&gt;P$1185,"",P1591+P1871)</f>
        <v/>
      </c>
      <c r="Q1311" s="123" t="str">
        <f>IF(tech_base!$T127&gt;Q$1185,"",Q1591+Q1871)</f>
        <v/>
      </c>
      <c r="R1311" s="123" t="str">
        <f>IF(tech_base!$T127&gt;R$1185,"",R1591+R1871)</f>
        <v/>
      </c>
      <c r="S1311" s="123" t="str">
        <f>IF(tech_base!$T127&gt;S$1185,"",S1591+S1871)</f>
        <v/>
      </c>
      <c r="T1311" s="123" t="str">
        <f>IF(tech_base!$T127&gt;T$1185,"",T1591+T1871)</f>
        <v/>
      </c>
      <c r="U1311" s="123" t="str">
        <f>IF(tech_base!$T127&gt;U$1185,"",U1591+U1871)</f>
        <v/>
      </c>
      <c r="V1311" s="123" t="str">
        <f>IF(tech_base!$T127&gt;V$1185,"",V1591+V1871)</f>
        <v/>
      </c>
      <c r="W1311" s="123" t="str">
        <f>IF(tech_base!$T127&gt;W$1185,"",W1591+W1871)</f>
        <v/>
      </c>
      <c r="X1311" s="123" t="str">
        <f>IF(tech_base!$T127&gt;X$1185,"",X1591+X1871)</f>
        <v/>
      </c>
      <c r="Y1311" s="123" t="str">
        <f>IF(tech_base!$T127&gt;Y$1185,"",Y1591+Y1871)</f>
        <v/>
      </c>
      <c r="Z1311" s="123" t="str">
        <f>IF(tech_base!$T127&gt;Z$1185,"",Z1591+Z1871)</f>
        <v/>
      </c>
      <c r="AA1311" s="123" t="str">
        <f>IF(tech_base!$T127&gt;AA$1185,"",AA1591+AA1871)</f>
        <v/>
      </c>
      <c r="AB1311" s="123" t="str">
        <f>IF(tech_base!$T127&gt;AB$1185,"",AB1591+AB1871)</f>
        <v/>
      </c>
      <c r="AC1311" s="123" t="str">
        <f>IF(tech_base!$T127&gt;AC$1185,"",AC1591+AC1871)</f>
        <v/>
      </c>
      <c r="AD1311" s="123" t="str">
        <f>IF(tech_base!$T127&gt;AD$1185,"",AD1591+AD1871)</f>
        <v/>
      </c>
      <c r="AE1311" s="123">
        <f>IF(tech_base!$T127&gt;AE$1185,"",AE1591+AE1871)</f>
        <v>6.8644492106576234</v>
      </c>
      <c r="AF1311" s="123">
        <f>IF(tech_base!$T127&gt;AF$1185,"",AF1591+AF1871)</f>
        <v>6.8644492106576234</v>
      </c>
      <c r="AG1311" s="123">
        <f>IF(tech_base!$T127&gt;AG$1185,"",AG1591+AG1871)</f>
        <v>6.8644492106576234</v>
      </c>
      <c r="AH1311" s="123">
        <f>IF(tech_base!$T127&gt;AH$1185,"",AH1591+AH1871)</f>
        <v>6.8644492106576234</v>
      </c>
      <c r="AI1311" s="123">
        <f>IF(tech_base!$T127&gt;AI$1185,"",AI1591+AI1871)</f>
        <v>6.8644492106576234</v>
      </c>
      <c r="AJ1311" s="123">
        <f>IF(tech_base!$T127&gt;AJ$1185,"",AJ1591+AJ1871)</f>
        <v>6.8644492106576234</v>
      </c>
      <c r="AK1311" s="123">
        <f>IF(tech_base!$T127&gt;AK$1185,"",AK1591+AK1871)</f>
        <v>6.8644492106576234</v>
      </c>
      <c r="AL1311" s="123">
        <f>IF(tech_base!$T127&gt;AL$1185,"",AL1591+AL1871)</f>
        <v>6.8644492106576234</v>
      </c>
      <c r="AM1311" s="123">
        <f>IF(tech_base!$T127&gt;AM$1185,"",AM1591+AM1871)</f>
        <v>6.8644492106576234</v>
      </c>
      <c r="AN1311" s="123">
        <f>IF(tech_base!$T127&gt;AN$1185,"",AN1591+AN1871)</f>
        <v>6.8644492106576234</v>
      </c>
      <c r="AO1311" s="123">
        <f>IF(tech_base!$T127&gt;AO$1185,"",AO1591+AO1871)</f>
        <v>6.8644492106576234</v>
      </c>
      <c r="AP1311" s="123">
        <f>IF(tech_base!$T127&gt;AP$1185,"",AP1591+AP1871)</f>
        <v>6.8644492106576234</v>
      </c>
      <c r="AQ1311" s="123">
        <f>IF(tech_base!$T127&gt;AQ$1185,"",AQ1591+AQ1871)</f>
        <v>6.8644492106576234</v>
      </c>
      <c r="AR1311" s="123">
        <f>IF(tech_base!$T127&gt;AR$1185,"",AR1591+AR1871)</f>
        <v>6.8644492106576234</v>
      </c>
      <c r="AS1311" s="123">
        <f>IF(tech_base!$T127&gt;AS$1185,"",AS1591+AS1871)</f>
        <v>6.8644492106576234</v>
      </c>
      <c r="AT1311" s="123">
        <f>IF(tech_base!$T127&gt;AT$1185,"",AT1591+AT1871)</f>
        <v>6.8644492106576234</v>
      </c>
      <c r="AU1311" s="123">
        <f>IF(tech_base!$T127&gt;AU$1185,"",AU1591+AU1871)</f>
        <v>6.8644492106576234</v>
      </c>
      <c r="AV1311" s="123">
        <f>IF(tech_base!$T127&gt;AV$1185,"",AV1591+AV1871)</f>
        <v>6.8644492106576234</v>
      </c>
      <c r="AW1311" s="123">
        <f>IF(tech_base!$T127&gt;AW$1185,"",AW1591+AW1871)</f>
        <v>6.8644492106576234</v>
      </c>
      <c r="AX1311" s="124">
        <f>IF(tech_base!$T127&gt;AX$1185,"",AX1591+AX1871)</f>
        <v>6.8644492106576234</v>
      </c>
    </row>
    <row r="1312" spans="1:50" x14ac:dyDescent="0.25">
      <c r="A1312" s="356"/>
      <c r="B1312" s="359"/>
      <c r="C1312" s="379"/>
      <c r="D1312" s="59" t="s">
        <v>8</v>
      </c>
      <c r="E1312" s="166" t="str">
        <f>A1303&amp;"/"&amp;B1303&amp;"/"&amp;C1311&amp;"/"&amp;D1312</f>
        <v>Derived gas fired power plants/Steam turbine/Electricity only with CCS/M</v>
      </c>
      <c r="F1312" s="79" t="str">
        <f>A1303</f>
        <v>Derived gas fired power plants</v>
      </c>
      <c r="G1312" s="79" t="str">
        <f>B1303</f>
        <v>Steam turbine</v>
      </c>
      <c r="H1312" s="79" t="str">
        <f>C1311</f>
        <v>Electricity only with CCS</v>
      </c>
      <c r="I1312" s="167" t="str">
        <f t="shared" si="373"/>
        <v>M</v>
      </c>
      <c r="J1312" s="125" t="str">
        <f>IF(tech_base!$T128&gt;J$1185,"",J1592+J1872)</f>
        <v/>
      </c>
      <c r="K1312" s="125" t="str">
        <f>IF(tech_base!$T128&gt;K$1185,"",K1592+K1872)</f>
        <v/>
      </c>
      <c r="L1312" s="125" t="str">
        <f>IF(tech_base!$T128&gt;L$1185,"",L1592+L1872)</f>
        <v/>
      </c>
      <c r="M1312" s="125" t="str">
        <f>IF(tech_base!$T128&gt;M$1185,"",M1592+M1872)</f>
        <v/>
      </c>
      <c r="N1312" s="125" t="str">
        <f>IF(tech_base!$T128&gt;N$1185,"",N1592+N1872)</f>
        <v/>
      </c>
      <c r="O1312" s="125" t="str">
        <f>IF(tech_base!$T128&gt;O$1185,"",O1592+O1872)</f>
        <v/>
      </c>
      <c r="P1312" s="125" t="str">
        <f>IF(tech_base!$T128&gt;P$1185,"",P1592+P1872)</f>
        <v/>
      </c>
      <c r="Q1312" s="125" t="str">
        <f>IF(tech_base!$T128&gt;Q$1185,"",Q1592+Q1872)</f>
        <v/>
      </c>
      <c r="R1312" s="125" t="str">
        <f>IF(tech_base!$T128&gt;R$1185,"",R1592+R1872)</f>
        <v/>
      </c>
      <c r="S1312" s="125" t="str">
        <f>IF(tech_base!$T128&gt;S$1185,"",S1592+S1872)</f>
        <v/>
      </c>
      <c r="T1312" s="125" t="str">
        <f>IF(tech_base!$T128&gt;T$1185,"",T1592+T1872)</f>
        <v/>
      </c>
      <c r="U1312" s="125" t="str">
        <f>IF(tech_base!$T128&gt;U$1185,"",U1592+U1872)</f>
        <v/>
      </c>
      <c r="V1312" s="125" t="str">
        <f>IF(tech_base!$T128&gt;V$1185,"",V1592+V1872)</f>
        <v/>
      </c>
      <c r="W1312" s="125" t="str">
        <f>IF(tech_base!$T128&gt;W$1185,"",W1592+W1872)</f>
        <v/>
      </c>
      <c r="X1312" s="125" t="str">
        <f>IF(tech_base!$T128&gt;X$1185,"",X1592+X1872)</f>
        <v/>
      </c>
      <c r="Y1312" s="125" t="str">
        <f>IF(tech_base!$T128&gt;Y$1185,"",Y1592+Y1872)</f>
        <v/>
      </c>
      <c r="Z1312" s="125" t="str">
        <f>IF(tech_base!$T128&gt;Z$1185,"",Z1592+Z1872)</f>
        <v/>
      </c>
      <c r="AA1312" s="125" t="str">
        <f>IF(tech_base!$T128&gt;AA$1185,"",AA1592+AA1872)</f>
        <v/>
      </c>
      <c r="AB1312" s="125" t="str">
        <f>IF(tech_base!$T128&gt;AB$1185,"",AB1592+AB1872)</f>
        <v/>
      </c>
      <c r="AC1312" s="125" t="str">
        <f>IF(tech_base!$T128&gt;AC$1185,"",AC1592+AC1872)</f>
        <v/>
      </c>
      <c r="AD1312" s="125" t="str">
        <f>IF(tech_base!$T128&gt;AD$1185,"",AD1592+AD1872)</f>
        <v/>
      </c>
      <c r="AE1312" s="125">
        <f>IF(tech_base!$T128&gt;AE$1185,"",AE1592+AE1872)</f>
        <v>7.3542422331804653</v>
      </c>
      <c r="AF1312" s="125">
        <f>IF(tech_base!$T128&gt;AF$1185,"",AF1592+AF1872)</f>
        <v>7.3542422331804653</v>
      </c>
      <c r="AG1312" s="125">
        <f>IF(tech_base!$T128&gt;AG$1185,"",AG1592+AG1872)</f>
        <v>7.3542422331804653</v>
      </c>
      <c r="AH1312" s="125">
        <f>IF(tech_base!$T128&gt;AH$1185,"",AH1592+AH1872)</f>
        <v>7.3542422331804653</v>
      </c>
      <c r="AI1312" s="125">
        <f>IF(tech_base!$T128&gt;AI$1185,"",AI1592+AI1872)</f>
        <v>7.3542422331804653</v>
      </c>
      <c r="AJ1312" s="125">
        <f>IF(tech_base!$T128&gt;AJ$1185,"",AJ1592+AJ1872)</f>
        <v>7.3542422331804653</v>
      </c>
      <c r="AK1312" s="125">
        <f>IF(tech_base!$T128&gt;AK$1185,"",AK1592+AK1872)</f>
        <v>7.3542422331804653</v>
      </c>
      <c r="AL1312" s="125">
        <f>IF(tech_base!$T128&gt;AL$1185,"",AL1592+AL1872)</f>
        <v>7.3542422331804653</v>
      </c>
      <c r="AM1312" s="125">
        <f>IF(tech_base!$T128&gt;AM$1185,"",AM1592+AM1872)</f>
        <v>7.3542422331804653</v>
      </c>
      <c r="AN1312" s="125">
        <f>IF(tech_base!$T128&gt;AN$1185,"",AN1592+AN1872)</f>
        <v>7.3542422331804653</v>
      </c>
      <c r="AO1312" s="125">
        <f>IF(tech_base!$T128&gt;AO$1185,"",AO1592+AO1872)</f>
        <v>7.3542422331804653</v>
      </c>
      <c r="AP1312" s="125">
        <f>IF(tech_base!$T128&gt;AP$1185,"",AP1592+AP1872)</f>
        <v>7.3542422331804653</v>
      </c>
      <c r="AQ1312" s="125">
        <f>IF(tech_base!$T128&gt;AQ$1185,"",AQ1592+AQ1872)</f>
        <v>7.3542422331804653</v>
      </c>
      <c r="AR1312" s="125">
        <f>IF(tech_base!$T128&gt;AR$1185,"",AR1592+AR1872)</f>
        <v>7.3542422331804653</v>
      </c>
      <c r="AS1312" s="125">
        <f>IF(tech_base!$T128&gt;AS$1185,"",AS1592+AS1872)</f>
        <v>7.3542422331804653</v>
      </c>
      <c r="AT1312" s="125">
        <f>IF(tech_base!$T128&gt;AT$1185,"",AT1592+AT1872)</f>
        <v>7.3542422331804653</v>
      </c>
      <c r="AU1312" s="125">
        <f>IF(tech_base!$T128&gt;AU$1185,"",AU1592+AU1872)</f>
        <v>7.3542422331804653</v>
      </c>
      <c r="AV1312" s="125">
        <f>IF(tech_base!$T128&gt;AV$1185,"",AV1592+AV1872)</f>
        <v>7.3542422331804653</v>
      </c>
      <c r="AW1312" s="125">
        <f>IF(tech_base!$T128&gt;AW$1185,"",AW1592+AW1872)</f>
        <v>7.3542422331804653</v>
      </c>
      <c r="AX1312" s="126">
        <f>IF(tech_base!$T128&gt;AX$1185,"",AX1592+AX1872)</f>
        <v>7.3542422331804653</v>
      </c>
    </row>
    <row r="1313" spans="1:50" x14ac:dyDescent="0.25">
      <c r="A1313" s="356"/>
      <c r="B1313" s="359"/>
      <c r="C1313" s="361" t="s">
        <v>16</v>
      </c>
      <c r="D1313" s="2" t="s">
        <v>7</v>
      </c>
      <c r="E1313" s="160" t="str">
        <f>A1303&amp;"/"&amp;B1303&amp;"/"&amp;C1313&amp;"/"&amp;D1313</f>
        <v>Derived gas fired power plants/Steam turbine/CHP with CCS/L</v>
      </c>
      <c r="F1313" s="76" t="str">
        <f>A1303</f>
        <v>Derived gas fired power plants</v>
      </c>
      <c r="G1313" s="76" t="str">
        <f>B1303</f>
        <v>Steam turbine</v>
      </c>
      <c r="H1313" s="76" t="str">
        <f>C1313</f>
        <v>CHP with CCS</v>
      </c>
      <c r="I1313" s="161" t="str">
        <f t="shared" si="373"/>
        <v>L</v>
      </c>
      <c r="J1313" s="119" t="str">
        <f>IF(tech_base!$T129&gt;J$1185,"",J1593+J1873)</f>
        <v/>
      </c>
      <c r="K1313" s="119" t="str">
        <f>IF(tech_base!$T129&gt;K$1185,"",K1593+K1873)</f>
        <v/>
      </c>
      <c r="L1313" s="119" t="str">
        <f>IF(tech_base!$T129&gt;L$1185,"",L1593+L1873)</f>
        <v/>
      </c>
      <c r="M1313" s="119" t="str">
        <f>IF(tech_base!$T129&gt;M$1185,"",M1593+M1873)</f>
        <v/>
      </c>
      <c r="N1313" s="119" t="str">
        <f>IF(tech_base!$T129&gt;N$1185,"",N1593+N1873)</f>
        <v/>
      </c>
      <c r="O1313" s="119" t="str">
        <f>IF(tech_base!$T129&gt;O$1185,"",O1593+O1873)</f>
        <v/>
      </c>
      <c r="P1313" s="119" t="str">
        <f>IF(tech_base!$T129&gt;P$1185,"",P1593+P1873)</f>
        <v/>
      </c>
      <c r="Q1313" s="119" t="str">
        <f>IF(tech_base!$T129&gt;Q$1185,"",Q1593+Q1873)</f>
        <v/>
      </c>
      <c r="R1313" s="119" t="str">
        <f>IF(tech_base!$T129&gt;R$1185,"",R1593+R1873)</f>
        <v/>
      </c>
      <c r="S1313" s="119" t="str">
        <f>IF(tech_base!$T129&gt;S$1185,"",S1593+S1873)</f>
        <v/>
      </c>
      <c r="T1313" s="119" t="str">
        <f>IF(tech_base!$T129&gt;T$1185,"",T1593+T1873)</f>
        <v/>
      </c>
      <c r="U1313" s="119" t="str">
        <f>IF(tech_base!$T129&gt;U$1185,"",U1593+U1873)</f>
        <v/>
      </c>
      <c r="V1313" s="119" t="str">
        <f>IF(tech_base!$T129&gt;V$1185,"",V1593+V1873)</f>
        <v/>
      </c>
      <c r="W1313" s="119" t="str">
        <f>IF(tech_base!$T129&gt;W$1185,"",W1593+W1873)</f>
        <v/>
      </c>
      <c r="X1313" s="119" t="str">
        <f>IF(tech_base!$T129&gt;X$1185,"",X1593+X1873)</f>
        <v/>
      </c>
      <c r="Y1313" s="119" t="str">
        <f>IF(tech_base!$T129&gt;Y$1185,"",Y1593+Y1873)</f>
        <v/>
      </c>
      <c r="Z1313" s="119" t="str">
        <f>IF(tech_base!$T129&gt;Z$1185,"",Z1593+Z1873)</f>
        <v/>
      </c>
      <c r="AA1313" s="119" t="str">
        <f>IF(tech_base!$T129&gt;AA$1185,"",AA1593+AA1873)</f>
        <v/>
      </c>
      <c r="AB1313" s="119" t="str">
        <f>IF(tech_base!$T129&gt;AB$1185,"",AB1593+AB1873)</f>
        <v/>
      </c>
      <c r="AC1313" s="119" t="str">
        <f>IF(tech_base!$T129&gt;AC$1185,"",AC1593+AC1873)</f>
        <v/>
      </c>
      <c r="AD1313" s="119" t="str">
        <f>IF(tech_base!$T129&gt;AD$1185,"",AD1593+AD1873)</f>
        <v/>
      </c>
      <c r="AE1313" s="119">
        <f>IF(tech_base!$T129&gt;AE$1185,"",AE1593+AE1873)</f>
        <v>7.8643689791438041</v>
      </c>
      <c r="AF1313" s="119">
        <f>IF(tech_base!$T129&gt;AF$1185,"",AF1593+AF1873)</f>
        <v>7.8643689791438041</v>
      </c>
      <c r="AG1313" s="119">
        <f>IF(tech_base!$T129&gt;AG$1185,"",AG1593+AG1873)</f>
        <v>7.8643689791438041</v>
      </c>
      <c r="AH1313" s="119">
        <f>IF(tech_base!$T129&gt;AH$1185,"",AH1593+AH1873)</f>
        <v>7.8643689791438041</v>
      </c>
      <c r="AI1313" s="119">
        <f>IF(tech_base!$T129&gt;AI$1185,"",AI1593+AI1873)</f>
        <v>7.8643689791438041</v>
      </c>
      <c r="AJ1313" s="119">
        <f>IF(tech_base!$T129&gt;AJ$1185,"",AJ1593+AJ1873)</f>
        <v>7.8643689791438041</v>
      </c>
      <c r="AK1313" s="119">
        <f>IF(tech_base!$T129&gt;AK$1185,"",AK1593+AK1873)</f>
        <v>7.8643689791438041</v>
      </c>
      <c r="AL1313" s="119">
        <f>IF(tech_base!$T129&gt;AL$1185,"",AL1593+AL1873)</f>
        <v>7.8643689791438041</v>
      </c>
      <c r="AM1313" s="119">
        <f>IF(tech_base!$T129&gt;AM$1185,"",AM1593+AM1873)</f>
        <v>7.8643689791438041</v>
      </c>
      <c r="AN1313" s="119">
        <f>IF(tech_base!$T129&gt;AN$1185,"",AN1593+AN1873)</f>
        <v>7.8643689791438041</v>
      </c>
      <c r="AO1313" s="119">
        <f>IF(tech_base!$T129&gt;AO$1185,"",AO1593+AO1873)</f>
        <v>7.8643689791438041</v>
      </c>
      <c r="AP1313" s="119">
        <f>IF(tech_base!$T129&gt;AP$1185,"",AP1593+AP1873)</f>
        <v>7.8643689791438041</v>
      </c>
      <c r="AQ1313" s="119">
        <f>IF(tech_base!$T129&gt;AQ$1185,"",AQ1593+AQ1873)</f>
        <v>7.8643689791438041</v>
      </c>
      <c r="AR1313" s="119">
        <f>IF(tech_base!$T129&gt;AR$1185,"",AR1593+AR1873)</f>
        <v>7.8643689791438041</v>
      </c>
      <c r="AS1313" s="119">
        <f>IF(tech_base!$T129&gt;AS$1185,"",AS1593+AS1873)</f>
        <v>7.8643689791438041</v>
      </c>
      <c r="AT1313" s="119">
        <f>IF(tech_base!$T129&gt;AT$1185,"",AT1593+AT1873)</f>
        <v>7.8643689791438041</v>
      </c>
      <c r="AU1313" s="119">
        <f>IF(tech_base!$T129&gt;AU$1185,"",AU1593+AU1873)</f>
        <v>7.8643689791438041</v>
      </c>
      <c r="AV1313" s="119">
        <f>IF(tech_base!$T129&gt;AV$1185,"",AV1593+AV1873)</f>
        <v>7.8643689791438041</v>
      </c>
      <c r="AW1313" s="119">
        <f>IF(tech_base!$T129&gt;AW$1185,"",AW1593+AW1873)</f>
        <v>7.8643689791438041</v>
      </c>
      <c r="AX1313" s="120">
        <f>IF(tech_base!$T129&gt;AX$1185,"",AX1593+AX1873)</f>
        <v>7.8643689791438041</v>
      </c>
    </row>
    <row r="1314" spans="1:50" x14ac:dyDescent="0.25">
      <c r="A1314" s="357"/>
      <c r="B1314" s="362"/>
      <c r="C1314" s="381"/>
      <c r="D1314" s="4" t="s">
        <v>8</v>
      </c>
      <c r="E1314" s="168" t="str">
        <f>A1303&amp;"/"&amp;B1303&amp;"/"&amp;C1313&amp;"/"&amp;D1314</f>
        <v>Derived gas fired power plants/Steam turbine/CHP with CCS/M</v>
      </c>
      <c r="F1314" s="80" t="str">
        <f>A1303</f>
        <v>Derived gas fired power plants</v>
      </c>
      <c r="G1314" s="80" t="str">
        <f>B1303</f>
        <v>Steam turbine</v>
      </c>
      <c r="H1314" s="80" t="str">
        <f>C1313</f>
        <v>CHP with CCS</v>
      </c>
      <c r="I1314" s="169" t="str">
        <f t="shared" si="373"/>
        <v>M</v>
      </c>
      <c r="J1314" s="127" t="str">
        <f>IF(tech_base!$T130&gt;J$1185,"",J1594+J1874)</f>
        <v/>
      </c>
      <c r="K1314" s="127" t="str">
        <f>IF(tech_base!$T130&gt;K$1185,"",K1594+K1874)</f>
        <v/>
      </c>
      <c r="L1314" s="127" t="str">
        <f>IF(tech_base!$T130&gt;L$1185,"",L1594+L1874)</f>
        <v/>
      </c>
      <c r="M1314" s="127" t="str">
        <f>IF(tech_base!$T130&gt;M$1185,"",M1594+M1874)</f>
        <v/>
      </c>
      <c r="N1314" s="127" t="str">
        <f>IF(tech_base!$T130&gt;N$1185,"",N1594+N1874)</f>
        <v/>
      </c>
      <c r="O1314" s="127" t="str">
        <f>IF(tech_base!$T130&gt;O$1185,"",O1594+O1874)</f>
        <v/>
      </c>
      <c r="P1314" s="127" t="str">
        <f>IF(tech_base!$T130&gt;P$1185,"",P1594+P1874)</f>
        <v/>
      </c>
      <c r="Q1314" s="127" t="str">
        <f>IF(tech_base!$T130&gt;Q$1185,"",Q1594+Q1874)</f>
        <v/>
      </c>
      <c r="R1314" s="127" t="str">
        <f>IF(tech_base!$T130&gt;R$1185,"",R1594+R1874)</f>
        <v/>
      </c>
      <c r="S1314" s="127" t="str">
        <f>IF(tech_base!$T130&gt;S$1185,"",S1594+S1874)</f>
        <v/>
      </c>
      <c r="T1314" s="127" t="str">
        <f>IF(tech_base!$T130&gt;T$1185,"",T1594+T1874)</f>
        <v/>
      </c>
      <c r="U1314" s="127" t="str">
        <f>IF(tech_base!$T130&gt;U$1185,"",U1594+U1874)</f>
        <v/>
      </c>
      <c r="V1314" s="127" t="str">
        <f>IF(tech_base!$T130&gt;V$1185,"",V1594+V1874)</f>
        <v/>
      </c>
      <c r="W1314" s="127" t="str">
        <f>IF(tech_base!$T130&gt;W$1185,"",W1594+W1874)</f>
        <v/>
      </c>
      <c r="X1314" s="127" t="str">
        <f>IF(tech_base!$T130&gt;X$1185,"",X1594+X1874)</f>
        <v/>
      </c>
      <c r="Y1314" s="127" t="str">
        <f>IF(tech_base!$T130&gt;Y$1185,"",Y1594+Y1874)</f>
        <v/>
      </c>
      <c r="Z1314" s="127" t="str">
        <f>IF(tech_base!$T130&gt;Z$1185,"",Z1594+Z1874)</f>
        <v/>
      </c>
      <c r="AA1314" s="127" t="str">
        <f>IF(tech_base!$T130&gt;AA$1185,"",AA1594+AA1874)</f>
        <v/>
      </c>
      <c r="AB1314" s="127" t="str">
        <f>IF(tech_base!$T130&gt;AB$1185,"",AB1594+AB1874)</f>
        <v/>
      </c>
      <c r="AC1314" s="127" t="str">
        <f>IF(tech_base!$T130&gt;AC$1185,"",AC1594+AC1874)</f>
        <v/>
      </c>
      <c r="AD1314" s="127" t="str">
        <f>IF(tech_base!$T130&gt;AD$1185,"",AD1594+AD1874)</f>
        <v/>
      </c>
      <c r="AE1314" s="127">
        <f>IF(tech_base!$T130&gt;AE$1185,"",AE1594+AE1874)</f>
        <v>8.4505404082902871</v>
      </c>
      <c r="AF1314" s="127">
        <f>IF(tech_base!$T130&gt;AF$1185,"",AF1594+AF1874)</f>
        <v>8.4505404082902871</v>
      </c>
      <c r="AG1314" s="127">
        <f>IF(tech_base!$T130&gt;AG$1185,"",AG1594+AG1874)</f>
        <v>8.4505404082902871</v>
      </c>
      <c r="AH1314" s="127">
        <f>IF(tech_base!$T130&gt;AH$1185,"",AH1594+AH1874)</f>
        <v>8.4505404082902871</v>
      </c>
      <c r="AI1314" s="127">
        <f>IF(tech_base!$T130&gt;AI$1185,"",AI1594+AI1874)</f>
        <v>8.4505404082902871</v>
      </c>
      <c r="AJ1314" s="127">
        <f>IF(tech_base!$T130&gt;AJ$1185,"",AJ1594+AJ1874)</f>
        <v>8.4505404082902871</v>
      </c>
      <c r="AK1314" s="127">
        <f>IF(tech_base!$T130&gt;AK$1185,"",AK1594+AK1874)</f>
        <v>8.4505404082902871</v>
      </c>
      <c r="AL1314" s="127">
        <f>IF(tech_base!$T130&gt;AL$1185,"",AL1594+AL1874)</f>
        <v>8.4505404082902871</v>
      </c>
      <c r="AM1314" s="127">
        <f>IF(tech_base!$T130&gt;AM$1185,"",AM1594+AM1874)</f>
        <v>8.4505404082902871</v>
      </c>
      <c r="AN1314" s="127">
        <f>IF(tech_base!$T130&gt;AN$1185,"",AN1594+AN1874)</f>
        <v>8.4505404082902871</v>
      </c>
      <c r="AO1314" s="127">
        <f>IF(tech_base!$T130&gt;AO$1185,"",AO1594+AO1874)</f>
        <v>8.4505404082902871</v>
      </c>
      <c r="AP1314" s="127">
        <f>IF(tech_base!$T130&gt;AP$1185,"",AP1594+AP1874)</f>
        <v>8.4505404082902871</v>
      </c>
      <c r="AQ1314" s="127">
        <f>IF(tech_base!$T130&gt;AQ$1185,"",AQ1594+AQ1874)</f>
        <v>8.4505404082902871</v>
      </c>
      <c r="AR1314" s="127">
        <f>IF(tech_base!$T130&gt;AR$1185,"",AR1594+AR1874)</f>
        <v>8.4505404082902871</v>
      </c>
      <c r="AS1314" s="127">
        <f>IF(tech_base!$T130&gt;AS$1185,"",AS1594+AS1874)</f>
        <v>8.4505404082902871</v>
      </c>
      <c r="AT1314" s="127">
        <f>IF(tech_base!$T130&gt;AT$1185,"",AT1594+AT1874)</f>
        <v>8.4505404082902871</v>
      </c>
      <c r="AU1314" s="127">
        <f>IF(tech_base!$T130&gt;AU$1185,"",AU1594+AU1874)</f>
        <v>8.4505404082902871</v>
      </c>
      <c r="AV1314" s="127">
        <f>IF(tech_base!$T130&gt;AV$1185,"",AV1594+AV1874)</f>
        <v>8.4505404082902871</v>
      </c>
      <c r="AW1314" s="127">
        <f>IF(tech_base!$T130&gt;AW$1185,"",AW1594+AW1874)</f>
        <v>8.4505404082902871</v>
      </c>
      <c r="AX1314" s="128">
        <f>IF(tech_base!$T130&gt;AX$1185,"",AX1594+AX1874)</f>
        <v>8.4505404082902871</v>
      </c>
    </row>
    <row r="1315" spans="1:50" x14ac:dyDescent="0.25">
      <c r="A1315" s="356" t="s">
        <v>27</v>
      </c>
      <c r="B1315" s="365" t="s">
        <v>19</v>
      </c>
      <c r="C1315" s="353" t="s">
        <v>6</v>
      </c>
      <c r="D1315" s="2" t="s">
        <v>7</v>
      </c>
      <c r="E1315" s="162" t="str">
        <f>A1315&amp;"/"&amp;B1315&amp;"/"&amp;C1315&amp;"/"&amp;D1315</f>
        <v>Refinery gas fired power plants/Steam turbine/Electricity only/L</v>
      </c>
      <c r="F1315" s="77" t="str">
        <f>A1315</f>
        <v>Refinery gas fired power plants</v>
      </c>
      <c r="G1315" s="77" t="str">
        <f>B1315</f>
        <v>Steam turbine</v>
      </c>
      <c r="H1315" s="77" t="str">
        <f>C1315</f>
        <v>Electricity only</v>
      </c>
      <c r="I1315" s="163" t="str">
        <f t="shared" ref="I1315:I1378" si="374">D1315</f>
        <v>L</v>
      </c>
      <c r="J1315" s="121">
        <f>IF(tech_base!$T131&gt;J$1185,"",J1595+J1875)</f>
        <v>0</v>
      </c>
      <c r="K1315" s="121">
        <f>IF(tech_base!$T131&gt;K$1185,"",K1595+K1875)</f>
        <v>0</v>
      </c>
      <c r="L1315" s="121">
        <f>IF(tech_base!$T131&gt;L$1185,"",L1595+L1875)</f>
        <v>0</v>
      </c>
      <c r="M1315" s="121">
        <f>IF(tech_base!$T131&gt;M$1185,"",M1595+M1875)</f>
        <v>0</v>
      </c>
      <c r="N1315" s="121">
        <f>IF(tech_base!$T131&gt;N$1185,"",N1595+N1875)</f>
        <v>0</v>
      </c>
      <c r="O1315" s="121">
        <f>IF(tech_base!$T131&gt;O$1185,"",O1595+O1875)</f>
        <v>0</v>
      </c>
      <c r="P1315" s="121">
        <f>IF(tech_base!$T131&gt;P$1185,"",P1595+P1875)</f>
        <v>0</v>
      </c>
      <c r="Q1315" s="121">
        <f>IF(tech_base!$T131&gt;Q$1185,"",Q1595+Q1875)</f>
        <v>0</v>
      </c>
      <c r="R1315" s="121">
        <f>IF(tech_base!$T131&gt;R$1185,"",R1595+R1875)</f>
        <v>0</v>
      </c>
      <c r="S1315" s="121">
        <f>IF(tech_base!$T131&gt;S$1185,"",S1595+S1875)</f>
        <v>0</v>
      </c>
      <c r="T1315" s="121">
        <f>IF(tech_base!$T131&gt;T$1185,"",T1595+T1875)</f>
        <v>0</v>
      </c>
      <c r="U1315" s="121">
        <f>IF(tech_base!$T131&gt;U$1185,"",U1595+U1875)</f>
        <v>0</v>
      </c>
      <c r="V1315" s="121">
        <f>IF(tech_base!$T131&gt;V$1185,"",V1595+V1875)</f>
        <v>0</v>
      </c>
      <c r="W1315" s="121">
        <f>IF(tech_base!$T131&gt;W$1185,"",W1595+W1875)</f>
        <v>0</v>
      </c>
      <c r="X1315" s="121">
        <f>IF(tech_base!$T131&gt;X$1185,"",X1595+X1875)</f>
        <v>0</v>
      </c>
      <c r="Y1315" s="121">
        <f>IF(tech_base!$T131&gt;Y$1185,"",Y1595+Y1875)</f>
        <v>0</v>
      </c>
      <c r="Z1315" s="121">
        <f>IF(tech_base!$T131&gt;Z$1185,"",Z1595+Z1875)</f>
        <v>0</v>
      </c>
      <c r="AA1315" s="121">
        <f>IF(tech_base!$T131&gt;AA$1185,"",AA1595+AA1875)</f>
        <v>0</v>
      </c>
      <c r="AB1315" s="121">
        <f>IF(tech_base!$T131&gt;AB$1185,"",AB1595+AB1875)</f>
        <v>0</v>
      </c>
      <c r="AC1315" s="121">
        <f>IF(tech_base!$T131&gt;AC$1185,"",AC1595+AC1875)</f>
        <v>0</v>
      </c>
      <c r="AD1315" s="121">
        <f>IF(tech_base!$T131&gt;AD$1185,"",AD1595+AD1875)</f>
        <v>0</v>
      </c>
      <c r="AE1315" s="121">
        <f>IF(tech_base!$T131&gt;AE$1185,"",AE1595+AE1875)</f>
        <v>0</v>
      </c>
      <c r="AF1315" s="121">
        <f>IF(tech_base!$T131&gt;AF$1185,"",AF1595+AF1875)</f>
        <v>0</v>
      </c>
      <c r="AG1315" s="121">
        <f>IF(tech_base!$T131&gt;AG$1185,"",AG1595+AG1875)</f>
        <v>0</v>
      </c>
      <c r="AH1315" s="121">
        <f>IF(tech_base!$T131&gt;AH$1185,"",AH1595+AH1875)</f>
        <v>0</v>
      </c>
      <c r="AI1315" s="121">
        <f>IF(tech_base!$T131&gt;AI$1185,"",AI1595+AI1875)</f>
        <v>0</v>
      </c>
      <c r="AJ1315" s="121">
        <f>IF(tech_base!$T131&gt;AJ$1185,"",AJ1595+AJ1875)</f>
        <v>0</v>
      </c>
      <c r="AK1315" s="121">
        <f>IF(tech_base!$T131&gt;AK$1185,"",AK1595+AK1875)</f>
        <v>0</v>
      </c>
      <c r="AL1315" s="121">
        <f>IF(tech_base!$T131&gt;AL$1185,"",AL1595+AL1875)</f>
        <v>0</v>
      </c>
      <c r="AM1315" s="121">
        <f>IF(tech_base!$T131&gt;AM$1185,"",AM1595+AM1875)</f>
        <v>0</v>
      </c>
      <c r="AN1315" s="121">
        <f>IF(tech_base!$T131&gt;AN$1185,"",AN1595+AN1875)</f>
        <v>0</v>
      </c>
      <c r="AO1315" s="121">
        <f>IF(tech_base!$T131&gt;AO$1185,"",AO1595+AO1875)</f>
        <v>0</v>
      </c>
      <c r="AP1315" s="121">
        <f>IF(tech_base!$T131&gt;AP$1185,"",AP1595+AP1875)</f>
        <v>0</v>
      </c>
      <c r="AQ1315" s="121">
        <f>IF(tech_base!$T131&gt;AQ$1185,"",AQ1595+AQ1875)</f>
        <v>0</v>
      </c>
      <c r="AR1315" s="121">
        <f>IF(tech_base!$T131&gt;AR$1185,"",AR1595+AR1875)</f>
        <v>0</v>
      </c>
      <c r="AS1315" s="121">
        <f>IF(tech_base!$T131&gt;AS$1185,"",AS1595+AS1875)</f>
        <v>0</v>
      </c>
      <c r="AT1315" s="121">
        <f>IF(tech_base!$T131&gt;AT$1185,"",AT1595+AT1875)</f>
        <v>0</v>
      </c>
      <c r="AU1315" s="121">
        <f>IF(tech_base!$T131&gt;AU$1185,"",AU1595+AU1875)</f>
        <v>0</v>
      </c>
      <c r="AV1315" s="121">
        <f>IF(tech_base!$T131&gt;AV$1185,"",AV1595+AV1875)</f>
        <v>0</v>
      </c>
      <c r="AW1315" s="121">
        <f>IF(tech_base!$T131&gt;AW$1185,"",AW1595+AW1875)</f>
        <v>0</v>
      </c>
      <c r="AX1315" s="122">
        <f>IF(tech_base!$T131&gt;AX$1185,"",AX1595+AX1875)</f>
        <v>0</v>
      </c>
    </row>
    <row r="1316" spans="1:50" x14ac:dyDescent="0.25">
      <c r="A1316" s="356"/>
      <c r="B1316" s="366"/>
      <c r="C1316" s="378"/>
      <c r="D1316" s="2" t="s">
        <v>8</v>
      </c>
      <c r="E1316" s="160" t="str">
        <f>A1315&amp;"/"&amp;B1315&amp;"/"&amp;C1315&amp;"/"&amp;D1316</f>
        <v>Refinery gas fired power plants/Steam turbine/Electricity only/M</v>
      </c>
      <c r="F1316" s="76" t="str">
        <f>A1315</f>
        <v>Refinery gas fired power plants</v>
      </c>
      <c r="G1316" s="76" t="str">
        <f>B1315</f>
        <v>Steam turbine</v>
      </c>
      <c r="H1316" s="76" t="str">
        <f>C1315</f>
        <v>Electricity only</v>
      </c>
      <c r="I1316" s="161" t="str">
        <f t="shared" si="374"/>
        <v>M</v>
      </c>
      <c r="J1316" s="119">
        <f>IF(tech_base!$T132&gt;J$1185,"",J1596+J1876)</f>
        <v>0</v>
      </c>
      <c r="K1316" s="119">
        <f>IF(tech_base!$T132&gt;K$1185,"",K1596+K1876)</f>
        <v>0</v>
      </c>
      <c r="L1316" s="119">
        <f>IF(tech_base!$T132&gt;L$1185,"",L1596+L1876)</f>
        <v>0</v>
      </c>
      <c r="M1316" s="119">
        <f>IF(tech_base!$T132&gt;M$1185,"",M1596+M1876)</f>
        <v>0</v>
      </c>
      <c r="N1316" s="119">
        <f>IF(tech_base!$T132&gt;N$1185,"",N1596+N1876)</f>
        <v>0</v>
      </c>
      <c r="O1316" s="119">
        <f>IF(tech_base!$T132&gt;O$1185,"",O1596+O1876)</f>
        <v>0</v>
      </c>
      <c r="P1316" s="119">
        <f>IF(tech_base!$T132&gt;P$1185,"",P1596+P1876)</f>
        <v>0</v>
      </c>
      <c r="Q1316" s="119">
        <f>IF(tech_base!$T132&gt;Q$1185,"",Q1596+Q1876)</f>
        <v>0</v>
      </c>
      <c r="R1316" s="119">
        <f>IF(tech_base!$T132&gt;R$1185,"",R1596+R1876)</f>
        <v>0</v>
      </c>
      <c r="S1316" s="119">
        <f>IF(tech_base!$T132&gt;S$1185,"",S1596+S1876)</f>
        <v>0</v>
      </c>
      <c r="T1316" s="119">
        <f>IF(tech_base!$T132&gt;T$1185,"",T1596+T1876)</f>
        <v>0</v>
      </c>
      <c r="U1316" s="119">
        <f>IF(tech_base!$T132&gt;U$1185,"",U1596+U1876)</f>
        <v>0</v>
      </c>
      <c r="V1316" s="119">
        <f>IF(tech_base!$T132&gt;V$1185,"",V1596+V1876)</f>
        <v>0</v>
      </c>
      <c r="W1316" s="119">
        <f>IF(tech_base!$T132&gt;W$1185,"",W1596+W1876)</f>
        <v>0</v>
      </c>
      <c r="X1316" s="119">
        <f>IF(tech_base!$T132&gt;X$1185,"",X1596+X1876)</f>
        <v>0</v>
      </c>
      <c r="Y1316" s="119">
        <f>IF(tech_base!$T132&gt;Y$1185,"",Y1596+Y1876)</f>
        <v>0</v>
      </c>
      <c r="Z1316" s="119">
        <f>IF(tech_base!$T132&gt;Z$1185,"",Z1596+Z1876)</f>
        <v>0</v>
      </c>
      <c r="AA1316" s="119">
        <f>IF(tech_base!$T132&gt;AA$1185,"",AA1596+AA1876)</f>
        <v>0</v>
      </c>
      <c r="AB1316" s="119">
        <f>IF(tech_base!$T132&gt;AB$1185,"",AB1596+AB1876)</f>
        <v>0</v>
      </c>
      <c r="AC1316" s="119">
        <f>IF(tech_base!$T132&gt;AC$1185,"",AC1596+AC1876)</f>
        <v>0</v>
      </c>
      <c r="AD1316" s="119">
        <f>IF(tech_base!$T132&gt;AD$1185,"",AD1596+AD1876)</f>
        <v>0</v>
      </c>
      <c r="AE1316" s="119">
        <f>IF(tech_base!$T132&gt;AE$1185,"",AE1596+AE1876)</f>
        <v>0</v>
      </c>
      <c r="AF1316" s="119">
        <f>IF(tech_base!$T132&gt;AF$1185,"",AF1596+AF1876)</f>
        <v>0</v>
      </c>
      <c r="AG1316" s="119">
        <f>IF(tech_base!$T132&gt;AG$1185,"",AG1596+AG1876)</f>
        <v>0</v>
      </c>
      <c r="AH1316" s="119">
        <f>IF(tech_base!$T132&gt;AH$1185,"",AH1596+AH1876)</f>
        <v>0</v>
      </c>
      <c r="AI1316" s="119">
        <f>IF(tech_base!$T132&gt;AI$1185,"",AI1596+AI1876)</f>
        <v>0</v>
      </c>
      <c r="AJ1316" s="119">
        <f>IF(tech_base!$T132&gt;AJ$1185,"",AJ1596+AJ1876)</f>
        <v>0</v>
      </c>
      <c r="AK1316" s="119">
        <f>IF(tech_base!$T132&gt;AK$1185,"",AK1596+AK1876)</f>
        <v>0</v>
      </c>
      <c r="AL1316" s="119">
        <f>IF(tech_base!$T132&gt;AL$1185,"",AL1596+AL1876)</f>
        <v>0</v>
      </c>
      <c r="AM1316" s="119">
        <f>IF(tech_base!$T132&gt;AM$1185,"",AM1596+AM1876)</f>
        <v>0</v>
      </c>
      <c r="AN1316" s="119">
        <f>IF(tech_base!$T132&gt;AN$1185,"",AN1596+AN1876)</f>
        <v>0</v>
      </c>
      <c r="AO1316" s="119">
        <f>IF(tech_base!$T132&gt;AO$1185,"",AO1596+AO1876)</f>
        <v>0</v>
      </c>
      <c r="AP1316" s="119">
        <f>IF(tech_base!$T132&gt;AP$1185,"",AP1596+AP1876)</f>
        <v>0</v>
      </c>
      <c r="AQ1316" s="119">
        <f>IF(tech_base!$T132&gt;AQ$1185,"",AQ1596+AQ1876)</f>
        <v>0</v>
      </c>
      <c r="AR1316" s="119">
        <f>IF(tech_base!$T132&gt;AR$1185,"",AR1596+AR1876)</f>
        <v>0</v>
      </c>
      <c r="AS1316" s="119">
        <f>IF(tech_base!$T132&gt;AS$1185,"",AS1596+AS1876)</f>
        <v>0</v>
      </c>
      <c r="AT1316" s="119">
        <f>IF(tech_base!$T132&gt;AT$1185,"",AT1596+AT1876)</f>
        <v>0</v>
      </c>
      <c r="AU1316" s="119">
        <f>IF(tech_base!$T132&gt;AU$1185,"",AU1596+AU1876)</f>
        <v>0</v>
      </c>
      <c r="AV1316" s="119">
        <f>IF(tech_base!$T132&gt;AV$1185,"",AV1596+AV1876)</f>
        <v>0</v>
      </c>
      <c r="AW1316" s="119">
        <f>IF(tech_base!$T132&gt;AW$1185,"",AW1596+AW1876)</f>
        <v>0</v>
      </c>
      <c r="AX1316" s="120">
        <f>IF(tech_base!$T132&gt;AX$1185,"",AX1596+AX1876)</f>
        <v>0</v>
      </c>
    </row>
    <row r="1317" spans="1:50" x14ac:dyDescent="0.25">
      <c r="A1317" s="356"/>
      <c r="B1317" s="366"/>
      <c r="C1317" s="379"/>
      <c r="D1317" s="2" t="s">
        <v>10</v>
      </c>
      <c r="E1317" s="160" t="str">
        <f>A1315&amp;"/"&amp;B1315&amp;"/"&amp;C1315&amp;"/"&amp;D1317</f>
        <v>Refinery gas fired power plants/Steam turbine/Electricity only/S</v>
      </c>
      <c r="F1317" s="76" t="str">
        <f>A1315</f>
        <v>Refinery gas fired power plants</v>
      </c>
      <c r="G1317" s="76" t="str">
        <f>B1315</f>
        <v>Steam turbine</v>
      </c>
      <c r="H1317" s="76" t="str">
        <f>C1315</f>
        <v>Electricity only</v>
      </c>
      <c r="I1317" s="161" t="str">
        <f t="shared" si="374"/>
        <v>S</v>
      </c>
      <c r="J1317" s="119">
        <f>IF(tech_base!$T133&gt;J$1185,"",J1597+J1877)</f>
        <v>0</v>
      </c>
      <c r="K1317" s="119">
        <f>IF(tech_base!$T133&gt;K$1185,"",K1597+K1877)</f>
        <v>0</v>
      </c>
      <c r="L1317" s="119">
        <f>IF(tech_base!$T133&gt;L$1185,"",L1597+L1877)</f>
        <v>0</v>
      </c>
      <c r="M1317" s="119">
        <f>IF(tech_base!$T133&gt;M$1185,"",M1597+M1877)</f>
        <v>0</v>
      </c>
      <c r="N1317" s="119">
        <f>IF(tech_base!$T133&gt;N$1185,"",N1597+N1877)</f>
        <v>0</v>
      </c>
      <c r="O1317" s="119">
        <f>IF(tech_base!$T133&gt;O$1185,"",O1597+O1877)</f>
        <v>0</v>
      </c>
      <c r="P1317" s="119">
        <f>IF(tech_base!$T133&gt;P$1185,"",P1597+P1877)</f>
        <v>0</v>
      </c>
      <c r="Q1317" s="119">
        <f>IF(tech_base!$T133&gt;Q$1185,"",Q1597+Q1877)</f>
        <v>0</v>
      </c>
      <c r="R1317" s="119">
        <f>IF(tech_base!$T133&gt;R$1185,"",R1597+R1877)</f>
        <v>0</v>
      </c>
      <c r="S1317" s="119">
        <f>IF(tech_base!$T133&gt;S$1185,"",S1597+S1877)</f>
        <v>0</v>
      </c>
      <c r="T1317" s="119">
        <f>IF(tech_base!$T133&gt;T$1185,"",T1597+T1877)</f>
        <v>0</v>
      </c>
      <c r="U1317" s="119">
        <f>IF(tech_base!$T133&gt;U$1185,"",U1597+U1877)</f>
        <v>0</v>
      </c>
      <c r="V1317" s="119">
        <f>IF(tech_base!$T133&gt;V$1185,"",V1597+V1877)</f>
        <v>0</v>
      </c>
      <c r="W1317" s="119">
        <f>IF(tech_base!$T133&gt;W$1185,"",W1597+W1877)</f>
        <v>0</v>
      </c>
      <c r="X1317" s="119">
        <f>IF(tech_base!$T133&gt;X$1185,"",X1597+X1877)</f>
        <v>0</v>
      </c>
      <c r="Y1317" s="119">
        <f>IF(tech_base!$T133&gt;Y$1185,"",Y1597+Y1877)</f>
        <v>0</v>
      </c>
      <c r="Z1317" s="119">
        <f>IF(tech_base!$T133&gt;Z$1185,"",Z1597+Z1877)</f>
        <v>0</v>
      </c>
      <c r="AA1317" s="119">
        <f>IF(tech_base!$T133&gt;AA$1185,"",AA1597+AA1877)</f>
        <v>0</v>
      </c>
      <c r="AB1317" s="119">
        <f>IF(tech_base!$T133&gt;AB$1185,"",AB1597+AB1877)</f>
        <v>0</v>
      </c>
      <c r="AC1317" s="119">
        <f>IF(tech_base!$T133&gt;AC$1185,"",AC1597+AC1877)</f>
        <v>0</v>
      </c>
      <c r="AD1317" s="119">
        <f>IF(tech_base!$T133&gt;AD$1185,"",AD1597+AD1877)</f>
        <v>0</v>
      </c>
      <c r="AE1317" s="119">
        <f>IF(tech_base!$T133&gt;AE$1185,"",AE1597+AE1877)</f>
        <v>0</v>
      </c>
      <c r="AF1317" s="119">
        <f>IF(tech_base!$T133&gt;AF$1185,"",AF1597+AF1877)</f>
        <v>0</v>
      </c>
      <c r="AG1317" s="119">
        <f>IF(tech_base!$T133&gt;AG$1185,"",AG1597+AG1877)</f>
        <v>0</v>
      </c>
      <c r="AH1317" s="119">
        <f>IF(tech_base!$T133&gt;AH$1185,"",AH1597+AH1877)</f>
        <v>0</v>
      </c>
      <c r="AI1317" s="119">
        <f>IF(tech_base!$T133&gt;AI$1185,"",AI1597+AI1877)</f>
        <v>0</v>
      </c>
      <c r="AJ1317" s="119">
        <f>IF(tech_base!$T133&gt;AJ$1185,"",AJ1597+AJ1877)</f>
        <v>0</v>
      </c>
      <c r="AK1317" s="119">
        <f>IF(tech_base!$T133&gt;AK$1185,"",AK1597+AK1877)</f>
        <v>0</v>
      </c>
      <c r="AL1317" s="119">
        <f>IF(tech_base!$T133&gt;AL$1185,"",AL1597+AL1877)</f>
        <v>0</v>
      </c>
      <c r="AM1317" s="119">
        <f>IF(tech_base!$T133&gt;AM$1185,"",AM1597+AM1877)</f>
        <v>0</v>
      </c>
      <c r="AN1317" s="119">
        <f>IF(tech_base!$T133&gt;AN$1185,"",AN1597+AN1877)</f>
        <v>0</v>
      </c>
      <c r="AO1317" s="119">
        <f>IF(tech_base!$T133&gt;AO$1185,"",AO1597+AO1877)</f>
        <v>0</v>
      </c>
      <c r="AP1317" s="119">
        <f>IF(tech_base!$T133&gt;AP$1185,"",AP1597+AP1877)</f>
        <v>0</v>
      </c>
      <c r="AQ1317" s="119">
        <f>IF(tech_base!$T133&gt;AQ$1185,"",AQ1597+AQ1877)</f>
        <v>0</v>
      </c>
      <c r="AR1317" s="119">
        <f>IF(tech_base!$T133&gt;AR$1185,"",AR1597+AR1877)</f>
        <v>0</v>
      </c>
      <c r="AS1317" s="119">
        <f>IF(tech_base!$T133&gt;AS$1185,"",AS1597+AS1877)</f>
        <v>0</v>
      </c>
      <c r="AT1317" s="119">
        <f>IF(tech_base!$T133&gt;AT$1185,"",AT1597+AT1877)</f>
        <v>0</v>
      </c>
      <c r="AU1317" s="119">
        <f>IF(tech_base!$T133&gt;AU$1185,"",AU1597+AU1877)</f>
        <v>0</v>
      </c>
      <c r="AV1317" s="119">
        <f>IF(tech_base!$T133&gt;AV$1185,"",AV1597+AV1877)</f>
        <v>0</v>
      </c>
      <c r="AW1317" s="119">
        <f>IF(tech_base!$T133&gt;AW$1185,"",AW1597+AW1877)</f>
        <v>0</v>
      </c>
      <c r="AX1317" s="120">
        <f>IF(tech_base!$T133&gt;AX$1185,"",AX1597+AX1877)</f>
        <v>0</v>
      </c>
    </row>
    <row r="1318" spans="1:50" x14ac:dyDescent="0.25">
      <c r="A1318" s="356"/>
      <c r="B1318" s="366"/>
      <c r="C1318" s="361" t="s">
        <v>14</v>
      </c>
      <c r="D1318" s="58" t="s">
        <v>7</v>
      </c>
      <c r="E1318" s="164" t="str">
        <f>A1315&amp;"/"&amp;B1315&amp;"/"&amp;C1318&amp;"/"&amp;D1318</f>
        <v>Refinery gas fired power plants/Steam turbine/CHP/L</v>
      </c>
      <c r="F1318" s="78" t="str">
        <f>A1315</f>
        <v>Refinery gas fired power plants</v>
      </c>
      <c r="G1318" s="78" t="str">
        <f>B1315</f>
        <v>Steam turbine</v>
      </c>
      <c r="H1318" s="78" t="str">
        <f>C1318</f>
        <v>CHP</v>
      </c>
      <c r="I1318" s="165" t="str">
        <f t="shared" si="374"/>
        <v>L</v>
      </c>
      <c r="J1318" s="123">
        <f>IF(tech_base!$T134&gt;J$1185,"",J1598+J1878)</f>
        <v>0</v>
      </c>
      <c r="K1318" s="123">
        <f>IF(tech_base!$T134&gt;K$1185,"",K1598+K1878)</f>
        <v>0</v>
      </c>
      <c r="L1318" s="123">
        <f>IF(tech_base!$T134&gt;L$1185,"",L1598+L1878)</f>
        <v>0</v>
      </c>
      <c r="M1318" s="123">
        <f>IF(tech_base!$T134&gt;M$1185,"",M1598+M1878)</f>
        <v>0</v>
      </c>
      <c r="N1318" s="123">
        <f>IF(tech_base!$T134&gt;N$1185,"",N1598+N1878)</f>
        <v>0</v>
      </c>
      <c r="O1318" s="123">
        <f>IF(tech_base!$T134&gt;O$1185,"",O1598+O1878)</f>
        <v>0</v>
      </c>
      <c r="P1318" s="123">
        <f>IF(tech_base!$T134&gt;P$1185,"",P1598+P1878)</f>
        <v>0</v>
      </c>
      <c r="Q1318" s="123">
        <f>IF(tech_base!$T134&gt;Q$1185,"",Q1598+Q1878)</f>
        <v>0</v>
      </c>
      <c r="R1318" s="123">
        <f>IF(tech_base!$T134&gt;R$1185,"",R1598+R1878)</f>
        <v>0</v>
      </c>
      <c r="S1318" s="123">
        <f>IF(tech_base!$T134&gt;S$1185,"",S1598+S1878)</f>
        <v>0</v>
      </c>
      <c r="T1318" s="123">
        <f>IF(tech_base!$T134&gt;T$1185,"",T1598+T1878)</f>
        <v>0</v>
      </c>
      <c r="U1318" s="123">
        <f>IF(tech_base!$T134&gt;U$1185,"",U1598+U1878)</f>
        <v>0</v>
      </c>
      <c r="V1318" s="123">
        <f>IF(tech_base!$T134&gt;V$1185,"",V1598+V1878)</f>
        <v>0</v>
      </c>
      <c r="W1318" s="123">
        <f>IF(tech_base!$T134&gt;W$1185,"",W1598+W1878)</f>
        <v>0</v>
      </c>
      <c r="X1318" s="123">
        <f>IF(tech_base!$T134&gt;X$1185,"",X1598+X1878)</f>
        <v>0</v>
      </c>
      <c r="Y1318" s="123">
        <f>IF(tech_base!$T134&gt;Y$1185,"",Y1598+Y1878)</f>
        <v>0</v>
      </c>
      <c r="Z1318" s="123">
        <f>IF(tech_base!$T134&gt;Z$1185,"",Z1598+Z1878)</f>
        <v>0</v>
      </c>
      <c r="AA1318" s="123">
        <f>IF(tech_base!$T134&gt;AA$1185,"",AA1598+AA1878)</f>
        <v>0</v>
      </c>
      <c r="AB1318" s="123">
        <f>IF(tech_base!$T134&gt;AB$1185,"",AB1598+AB1878)</f>
        <v>0</v>
      </c>
      <c r="AC1318" s="123">
        <f>IF(tech_base!$T134&gt;AC$1185,"",AC1598+AC1878)</f>
        <v>0</v>
      </c>
      <c r="AD1318" s="123">
        <f>IF(tech_base!$T134&gt;AD$1185,"",AD1598+AD1878)</f>
        <v>0</v>
      </c>
      <c r="AE1318" s="123">
        <f>IF(tech_base!$T134&gt;AE$1185,"",AE1598+AE1878)</f>
        <v>0</v>
      </c>
      <c r="AF1318" s="123">
        <f>IF(tech_base!$T134&gt;AF$1185,"",AF1598+AF1878)</f>
        <v>0</v>
      </c>
      <c r="AG1318" s="123">
        <f>IF(tech_base!$T134&gt;AG$1185,"",AG1598+AG1878)</f>
        <v>0</v>
      </c>
      <c r="AH1318" s="123">
        <f>IF(tech_base!$T134&gt;AH$1185,"",AH1598+AH1878)</f>
        <v>0</v>
      </c>
      <c r="AI1318" s="123">
        <f>IF(tech_base!$T134&gt;AI$1185,"",AI1598+AI1878)</f>
        <v>0</v>
      </c>
      <c r="AJ1318" s="123">
        <f>IF(tech_base!$T134&gt;AJ$1185,"",AJ1598+AJ1878)</f>
        <v>0</v>
      </c>
      <c r="AK1318" s="123">
        <f>IF(tech_base!$T134&gt;AK$1185,"",AK1598+AK1878)</f>
        <v>0</v>
      </c>
      <c r="AL1318" s="123">
        <f>IF(tech_base!$T134&gt;AL$1185,"",AL1598+AL1878)</f>
        <v>0</v>
      </c>
      <c r="AM1318" s="123">
        <f>IF(tech_base!$T134&gt;AM$1185,"",AM1598+AM1878)</f>
        <v>0</v>
      </c>
      <c r="AN1318" s="123">
        <f>IF(tech_base!$T134&gt;AN$1185,"",AN1598+AN1878)</f>
        <v>0</v>
      </c>
      <c r="AO1318" s="123">
        <f>IF(tech_base!$T134&gt;AO$1185,"",AO1598+AO1878)</f>
        <v>0</v>
      </c>
      <c r="AP1318" s="123">
        <f>IF(tech_base!$T134&gt;AP$1185,"",AP1598+AP1878)</f>
        <v>0</v>
      </c>
      <c r="AQ1318" s="123">
        <f>IF(tech_base!$T134&gt;AQ$1185,"",AQ1598+AQ1878)</f>
        <v>0</v>
      </c>
      <c r="AR1318" s="123">
        <f>IF(tech_base!$T134&gt;AR$1185,"",AR1598+AR1878)</f>
        <v>0</v>
      </c>
      <c r="AS1318" s="123">
        <f>IF(tech_base!$T134&gt;AS$1185,"",AS1598+AS1878)</f>
        <v>0</v>
      </c>
      <c r="AT1318" s="123">
        <f>IF(tech_base!$T134&gt;AT$1185,"",AT1598+AT1878)</f>
        <v>0</v>
      </c>
      <c r="AU1318" s="123">
        <f>IF(tech_base!$T134&gt;AU$1185,"",AU1598+AU1878)</f>
        <v>0</v>
      </c>
      <c r="AV1318" s="123">
        <f>IF(tech_base!$T134&gt;AV$1185,"",AV1598+AV1878)</f>
        <v>0</v>
      </c>
      <c r="AW1318" s="123">
        <f>IF(tech_base!$T134&gt;AW$1185,"",AW1598+AW1878)</f>
        <v>0</v>
      </c>
      <c r="AX1318" s="124">
        <f>IF(tech_base!$T134&gt;AX$1185,"",AX1598+AX1878)</f>
        <v>0</v>
      </c>
    </row>
    <row r="1319" spans="1:50" x14ac:dyDescent="0.25">
      <c r="A1319" s="356"/>
      <c r="B1319" s="366"/>
      <c r="C1319" s="378"/>
      <c r="D1319" s="2" t="s">
        <v>8</v>
      </c>
      <c r="E1319" s="160" t="str">
        <f>A1315&amp;"/"&amp;B1315&amp;"/"&amp;C1318&amp;"/"&amp;D1319</f>
        <v>Refinery gas fired power plants/Steam turbine/CHP/M</v>
      </c>
      <c r="F1319" s="76" t="str">
        <f>A1315</f>
        <v>Refinery gas fired power plants</v>
      </c>
      <c r="G1319" s="76" t="str">
        <f>B1315</f>
        <v>Steam turbine</v>
      </c>
      <c r="H1319" s="76" t="str">
        <f>C1318</f>
        <v>CHP</v>
      </c>
      <c r="I1319" s="161" t="str">
        <f t="shared" si="374"/>
        <v>M</v>
      </c>
      <c r="J1319" s="119">
        <f>IF(tech_base!$T135&gt;J$1185,"",J1599+J1879)</f>
        <v>0</v>
      </c>
      <c r="K1319" s="119">
        <f>IF(tech_base!$T135&gt;K$1185,"",K1599+K1879)</f>
        <v>0</v>
      </c>
      <c r="L1319" s="119">
        <f>IF(tech_base!$T135&gt;L$1185,"",L1599+L1879)</f>
        <v>0</v>
      </c>
      <c r="M1319" s="119">
        <f>IF(tech_base!$T135&gt;M$1185,"",M1599+M1879)</f>
        <v>0</v>
      </c>
      <c r="N1319" s="119">
        <f>IF(tech_base!$T135&gt;N$1185,"",N1599+N1879)</f>
        <v>0</v>
      </c>
      <c r="O1319" s="119">
        <f>IF(tech_base!$T135&gt;O$1185,"",O1599+O1879)</f>
        <v>0</v>
      </c>
      <c r="P1319" s="119">
        <f>IF(tech_base!$T135&gt;P$1185,"",P1599+P1879)</f>
        <v>0</v>
      </c>
      <c r="Q1319" s="119">
        <f>IF(tech_base!$T135&gt;Q$1185,"",Q1599+Q1879)</f>
        <v>0</v>
      </c>
      <c r="R1319" s="119">
        <f>IF(tech_base!$T135&gt;R$1185,"",R1599+R1879)</f>
        <v>0</v>
      </c>
      <c r="S1319" s="119">
        <f>IF(tech_base!$T135&gt;S$1185,"",S1599+S1879)</f>
        <v>0</v>
      </c>
      <c r="T1319" s="119">
        <f>IF(tech_base!$T135&gt;T$1185,"",T1599+T1879)</f>
        <v>0</v>
      </c>
      <c r="U1319" s="119">
        <f>IF(tech_base!$T135&gt;U$1185,"",U1599+U1879)</f>
        <v>0</v>
      </c>
      <c r="V1319" s="119">
        <f>IF(tech_base!$T135&gt;V$1185,"",V1599+V1879)</f>
        <v>0</v>
      </c>
      <c r="W1319" s="119">
        <f>IF(tech_base!$T135&gt;W$1185,"",W1599+W1879)</f>
        <v>0</v>
      </c>
      <c r="X1319" s="119">
        <f>IF(tech_base!$T135&gt;X$1185,"",X1599+X1879)</f>
        <v>0</v>
      </c>
      <c r="Y1319" s="119">
        <f>IF(tech_base!$T135&gt;Y$1185,"",Y1599+Y1879)</f>
        <v>0</v>
      </c>
      <c r="Z1319" s="119">
        <f>IF(tech_base!$T135&gt;Z$1185,"",Z1599+Z1879)</f>
        <v>0</v>
      </c>
      <c r="AA1319" s="119">
        <f>IF(tech_base!$T135&gt;AA$1185,"",AA1599+AA1879)</f>
        <v>0</v>
      </c>
      <c r="AB1319" s="119">
        <f>IF(tech_base!$T135&gt;AB$1185,"",AB1599+AB1879)</f>
        <v>0</v>
      </c>
      <c r="AC1319" s="119">
        <f>IF(tech_base!$T135&gt;AC$1185,"",AC1599+AC1879)</f>
        <v>0</v>
      </c>
      <c r="AD1319" s="119">
        <f>IF(tech_base!$T135&gt;AD$1185,"",AD1599+AD1879)</f>
        <v>0</v>
      </c>
      <c r="AE1319" s="119">
        <f>IF(tech_base!$T135&gt;AE$1185,"",AE1599+AE1879)</f>
        <v>0</v>
      </c>
      <c r="AF1319" s="119">
        <f>IF(tech_base!$T135&gt;AF$1185,"",AF1599+AF1879)</f>
        <v>0</v>
      </c>
      <c r="AG1319" s="119">
        <f>IF(tech_base!$T135&gt;AG$1185,"",AG1599+AG1879)</f>
        <v>0</v>
      </c>
      <c r="AH1319" s="119">
        <f>IF(tech_base!$T135&gt;AH$1185,"",AH1599+AH1879)</f>
        <v>0</v>
      </c>
      <c r="AI1319" s="119">
        <f>IF(tech_base!$T135&gt;AI$1185,"",AI1599+AI1879)</f>
        <v>0</v>
      </c>
      <c r="AJ1319" s="119">
        <f>IF(tech_base!$T135&gt;AJ$1185,"",AJ1599+AJ1879)</f>
        <v>0</v>
      </c>
      <c r="AK1319" s="119">
        <f>IF(tech_base!$T135&gt;AK$1185,"",AK1599+AK1879)</f>
        <v>0</v>
      </c>
      <c r="AL1319" s="119">
        <f>IF(tech_base!$T135&gt;AL$1185,"",AL1599+AL1879)</f>
        <v>0</v>
      </c>
      <c r="AM1319" s="119">
        <f>IF(tech_base!$T135&gt;AM$1185,"",AM1599+AM1879)</f>
        <v>0</v>
      </c>
      <c r="AN1319" s="119">
        <f>IF(tech_base!$T135&gt;AN$1185,"",AN1599+AN1879)</f>
        <v>0</v>
      </c>
      <c r="AO1319" s="119">
        <f>IF(tech_base!$T135&gt;AO$1185,"",AO1599+AO1879)</f>
        <v>0</v>
      </c>
      <c r="AP1319" s="119">
        <f>IF(tech_base!$T135&gt;AP$1185,"",AP1599+AP1879)</f>
        <v>0</v>
      </c>
      <c r="AQ1319" s="119">
        <f>IF(tech_base!$T135&gt;AQ$1185,"",AQ1599+AQ1879)</f>
        <v>0</v>
      </c>
      <c r="AR1319" s="119">
        <f>IF(tech_base!$T135&gt;AR$1185,"",AR1599+AR1879)</f>
        <v>0</v>
      </c>
      <c r="AS1319" s="119">
        <f>IF(tech_base!$T135&gt;AS$1185,"",AS1599+AS1879)</f>
        <v>0</v>
      </c>
      <c r="AT1319" s="119">
        <f>IF(tech_base!$T135&gt;AT$1185,"",AT1599+AT1879)</f>
        <v>0</v>
      </c>
      <c r="AU1319" s="119">
        <f>IF(tech_base!$T135&gt;AU$1185,"",AU1599+AU1879)</f>
        <v>0</v>
      </c>
      <c r="AV1319" s="119">
        <f>IF(tech_base!$T135&gt;AV$1185,"",AV1599+AV1879)</f>
        <v>0</v>
      </c>
      <c r="AW1319" s="119">
        <f>IF(tech_base!$T135&gt;AW$1185,"",AW1599+AW1879)</f>
        <v>0</v>
      </c>
      <c r="AX1319" s="120">
        <f>IF(tech_base!$T135&gt;AX$1185,"",AX1599+AX1879)</f>
        <v>0</v>
      </c>
    </row>
    <row r="1320" spans="1:50" x14ac:dyDescent="0.25">
      <c r="A1320" s="356"/>
      <c r="B1320" s="366"/>
      <c r="C1320" s="379"/>
      <c r="D1320" s="59" t="s">
        <v>10</v>
      </c>
      <c r="E1320" s="166" t="str">
        <f>A1315&amp;"/"&amp;B1315&amp;"/"&amp;C1318&amp;"/"&amp;D1320</f>
        <v>Refinery gas fired power plants/Steam turbine/CHP/S</v>
      </c>
      <c r="F1320" s="79" t="str">
        <f>A1315</f>
        <v>Refinery gas fired power plants</v>
      </c>
      <c r="G1320" s="79" t="str">
        <f>B1315</f>
        <v>Steam turbine</v>
      </c>
      <c r="H1320" s="79" t="str">
        <f>C1318</f>
        <v>CHP</v>
      </c>
      <c r="I1320" s="167" t="str">
        <f t="shared" si="374"/>
        <v>S</v>
      </c>
      <c r="J1320" s="125">
        <f>IF(tech_base!$T136&gt;J$1185,"",J1600+J1880)</f>
        <v>0</v>
      </c>
      <c r="K1320" s="125">
        <f>IF(tech_base!$T136&gt;K$1185,"",K1600+K1880)</f>
        <v>0</v>
      </c>
      <c r="L1320" s="125">
        <f>IF(tech_base!$T136&gt;L$1185,"",L1600+L1880)</f>
        <v>0</v>
      </c>
      <c r="M1320" s="125">
        <f>IF(tech_base!$T136&gt;M$1185,"",M1600+M1880)</f>
        <v>0</v>
      </c>
      <c r="N1320" s="125">
        <f>IF(tech_base!$T136&gt;N$1185,"",N1600+N1880)</f>
        <v>0</v>
      </c>
      <c r="O1320" s="125">
        <f>IF(tech_base!$T136&gt;O$1185,"",O1600+O1880)</f>
        <v>0</v>
      </c>
      <c r="P1320" s="125">
        <f>IF(tech_base!$T136&gt;P$1185,"",P1600+P1880)</f>
        <v>0</v>
      </c>
      <c r="Q1320" s="125">
        <f>IF(tech_base!$T136&gt;Q$1185,"",Q1600+Q1880)</f>
        <v>0</v>
      </c>
      <c r="R1320" s="125">
        <f>IF(tech_base!$T136&gt;R$1185,"",R1600+R1880)</f>
        <v>0</v>
      </c>
      <c r="S1320" s="125">
        <f>IF(tech_base!$T136&gt;S$1185,"",S1600+S1880)</f>
        <v>0</v>
      </c>
      <c r="T1320" s="125">
        <f>IF(tech_base!$T136&gt;T$1185,"",T1600+T1880)</f>
        <v>0</v>
      </c>
      <c r="U1320" s="125">
        <f>IF(tech_base!$T136&gt;U$1185,"",U1600+U1880)</f>
        <v>0</v>
      </c>
      <c r="V1320" s="125">
        <f>IF(tech_base!$T136&gt;V$1185,"",V1600+V1880)</f>
        <v>0</v>
      </c>
      <c r="W1320" s="125">
        <f>IF(tech_base!$T136&gt;W$1185,"",W1600+W1880)</f>
        <v>0</v>
      </c>
      <c r="X1320" s="125">
        <f>IF(tech_base!$T136&gt;X$1185,"",X1600+X1880)</f>
        <v>0</v>
      </c>
      <c r="Y1320" s="125">
        <f>IF(tech_base!$T136&gt;Y$1185,"",Y1600+Y1880)</f>
        <v>0</v>
      </c>
      <c r="Z1320" s="125">
        <f>IF(tech_base!$T136&gt;Z$1185,"",Z1600+Z1880)</f>
        <v>0</v>
      </c>
      <c r="AA1320" s="125">
        <f>IF(tech_base!$T136&gt;AA$1185,"",AA1600+AA1880)</f>
        <v>0</v>
      </c>
      <c r="AB1320" s="125">
        <f>IF(tech_base!$T136&gt;AB$1185,"",AB1600+AB1880)</f>
        <v>0</v>
      </c>
      <c r="AC1320" s="125">
        <f>IF(tech_base!$T136&gt;AC$1185,"",AC1600+AC1880)</f>
        <v>0</v>
      </c>
      <c r="AD1320" s="125">
        <f>IF(tech_base!$T136&gt;AD$1185,"",AD1600+AD1880)</f>
        <v>0</v>
      </c>
      <c r="AE1320" s="125">
        <f>IF(tech_base!$T136&gt;AE$1185,"",AE1600+AE1880)</f>
        <v>0</v>
      </c>
      <c r="AF1320" s="125">
        <f>IF(tech_base!$T136&gt;AF$1185,"",AF1600+AF1880)</f>
        <v>0</v>
      </c>
      <c r="AG1320" s="125">
        <f>IF(tech_base!$T136&gt;AG$1185,"",AG1600+AG1880)</f>
        <v>0</v>
      </c>
      <c r="AH1320" s="125">
        <f>IF(tech_base!$T136&gt;AH$1185,"",AH1600+AH1880)</f>
        <v>0</v>
      </c>
      <c r="AI1320" s="125">
        <f>IF(tech_base!$T136&gt;AI$1185,"",AI1600+AI1880)</f>
        <v>0</v>
      </c>
      <c r="AJ1320" s="125">
        <f>IF(tech_base!$T136&gt;AJ$1185,"",AJ1600+AJ1880)</f>
        <v>0</v>
      </c>
      <c r="AK1320" s="125">
        <f>IF(tech_base!$T136&gt;AK$1185,"",AK1600+AK1880)</f>
        <v>0</v>
      </c>
      <c r="AL1320" s="125">
        <f>IF(tech_base!$T136&gt;AL$1185,"",AL1600+AL1880)</f>
        <v>0</v>
      </c>
      <c r="AM1320" s="125">
        <f>IF(tech_base!$T136&gt;AM$1185,"",AM1600+AM1880)</f>
        <v>0</v>
      </c>
      <c r="AN1320" s="125">
        <f>IF(tech_base!$T136&gt;AN$1185,"",AN1600+AN1880)</f>
        <v>0</v>
      </c>
      <c r="AO1320" s="125">
        <f>IF(tech_base!$T136&gt;AO$1185,"",AO1600+AO1880)</f>
        <v>0</v>
      </c>
      <c r="AP1320" s="125">
        <f>IF(tech_base!$T136&gt;AP$1185,"",AP1600+AP1880)</f>
        <v>0</v>
      </c>
      <c r="AQ1320" s="125">
        <f>IF(tech_base!$T136&gt;AQ$1185,"",AQ1600+AQ1880)</f>
        <v>0</v>
      </c>
      <c r="AR1320" s="125">
        <f>IF(tech_base!$T136&gt;AR$1185,"",AR1600+AR1880)</f>
        <v>0</v>
      </c>
      <c r="AS1320" s="125">
        <f>IF(tech_base!$T136&gt;AS$1185,"",AS1600+AS1880)</f>
        <v>0</v>
      </c>
      <c r="AT1320" s="125">
        <f>IF(tech_base!$T136&gt;AT$1185,"",AT1600+AT1880)</f>
        <v>0</v>
      </c>
      <c r="AU1320" s="125">
        <f>IF(tech_base!$T136&gt;AU$1185,"",AU1600+AU1880)</f>
        <v>0</v>
      </c>
      <c r="AV1320" s="125">
        <f>IF(tech_base!$T136&gt;AV$1185,"",AV1600+AV1880)</f>
        <v>0</v>
      </c>
      <c r="AW1320" s="125">
        <f>IF(tech_base!$T136&gt;AW$1185,"",AW1600+AW1880)</f>
        <v>0</v>
      </c>
      <c r="AX1320" s="126">
        <f>IF(tech_base!$T136&gt;AX$1185,"",AX1600+AX1880)</f>
        <v>0</v>
      </c>
    </row>
    <row r="1321" spans="1:50" x14ac:dyDescent="0.25">
      <c r="A1321" s="356"/>
      <c r="B1321" s="366"/>
      <c r="C1321" s="361" t="s">
        <v>15</v>
      </c>
      <c r="D1321" s="58" t="s">
        <v>7</v>
      </c>
      <c r="E1321" s="164" t="str">
        <f>A1315&amp;"/"&amp;B1315&amp;"/"&amp;C1321&amp;"/"&amp;D1321</f>
        <v>Refinery gas fired power plants/Steam turbine/Electricity only with CCS/L</v>
      </c>
      <c r="F1321" s="78" t="str">
        <f>A1315</f>
        <v>Refinery gas fired power plants</v>
      </c>
      <c r="G1321" s="78" t="str">
        <f>B1315</f>
        <v>Steam turbine</v>
      </c>
      <c r="H1321" s="78" t="str">
        <f>C1321</f>
        <v>Electricity only with CCS</v>
      </c>
      <c r="I1321" s="165" t="str">
        <f t="shared" si="374"/>
        <v>L</v>
      </c>
      <c r="J1321" s="123" t="str">
        <f>IF(tech_base!$T137&gt;J$1185,"",J1601+J1881)</f>
        <v/>
      </c>
      <c r="K1321" s="123" t="str">
        <f>IF(tech_base!$T137&gt;K$1185,"",K1601+K1881)</f>
        <v/>
      </c>
      <c r="L1321" s="123" t="str">
        <f>IF(tech_base!$T137&gt;L$1185,"",L1601+L1881)</f>
        <v/>
      </c>
      <c r="M1321" s="123" t="str">
        <f>IF(tech_base!$T137&gt;M$1185,"",M1601+M1881)</f>
        <v/>
      </c>
      <c r="N1321" s="123" t="str">
        <f>IF(tech_base!$T137&gt;N$1185,"",N1601+N1881)</f>
        <v/>
      </c>
      <c r="O1321" s="123" t="str">
        <f>IF(tech_base!$T137&gt;O$1185,"",O1601+O1881)</f>
        <v/>
      </c>
      <c r="P1321" s="123" t="str">
        <f>IF(tech_base!$T137&gt;P$1185,"",P1601+P1881)</f>
        <v/>
      </c>
      <c r="Q1321" s="123" t="str">
        <f>IF(tech_base!$T137&gt;Q$1185,"",Q1601+Q1881)</f>
        <v/>
      </c>
      <c r="R1321" s="123" t="str">
        <f>IF(tech_base!$T137&gt;R$1185,"",R1601+R1881)</f>
        <v/>
      </c>
      <c r="S1321" s="123" t="str">
        <f>IF(tech_base!$T137&gt;S$1185,"",S1601+S1881)</f>
        <v/>
      </c>
      <c r="T1321" s="123" t="str">
        <f>IF(tech_base!$T137&gt;T$1185,"",T1601+T1881)</f>
        <v/>
      </c>
      <c r="U1321" s="123" t="str">
        <f>IF(tech_base!$T137&gt;U$1185,"",U1601+U1881)</f>
        <v/>
      </c>
      <c r="V1321" s="123" t="str">
        <f>IF(tech_base!$T137&gt;V$1185,"",V1601+V1881)</f>
        <v/>
      </c>
      <c r="W1321" s="123" t="str">
        <f>IF(tech_base!$T137&gt;W$1185,"",W1601+W1881)</f>
        <v/>
      </c>
      <c r="X1321" s="123" t="str">
        <f>IF(tech_base!$T137&gt;X$1185,"",X1601+X1881)</f>
        <v/>
      </c>
      <c r="Y1321" s="123" t="str">
        <f>IF(tech_base!$T137&gt;Y$1185,"",Y1601+Y1881)</f>
        <v/>
      </c>
      <c r="Z1321" s="123" t="str">
        <f>IF(tech_base!$T137&gt;Z$1185,"",Z1601+Z1881)</f>
        <v/>
      </c>
      <c r="AA1321" s="123" t="str">
        <f>IF(tech_base!$T137&gt;AA$1185,"",AA1601+AA1881)</f>
        <v/>
      </c>
      <c r="AB1321" s="123" t="str">
        <f>IF(tech_base!$T137&gt;AB$1185,"",AB1601+AB1881)</f>
        <v/>
      </c>
      <c r="AC1321" s="123" t="str">
        <f>IF(tech_base!$T137&gt;AC$1185,"",AC1601+AC1881)</f>
        <v/>
      </c>
      <c r="AD1321" s="123" t="str">
        <f>IF(tech_base!$T137&gt;AD$1185,"",AD1601+AD1881)</f>
        <v/>
      </c>
      <c r="AE1321" s="123">
        <f>IF(tech_base!$T137&gt;AE$1185,"",AE1601+AE1881)</f>
        <v>8.2939574673148861</v>
      </c>
      <c r="AF1321" s="123">
        <f>IF(tech_base!$T137&gt;AF$1185,"",AF1601+AF1881)</f>
        <v>8.2939574673148861</v>
      </c>
      <c r="AG1321" s="123">
        <f>IF(tech_base!$T137&gt;AG$1185,"",AG1601+AG1881)</f>
        <v>8.2939574673148861</v>
      </c>
      <c r="AH1321" s="123">
        <f>IF(tech_base!$T137&gt;AH$1185,"",AH1601+AH1881)</f>
        <v>8.2939574673148861</v>
      </c>
      <c r="AI1321" s="123">
        <f>IF(tech_base!$T137&gt;AI$1185,"",AI1601+AI1881)</f>
        <v>8.2939574673148861</v>
      </c>
      <c r="AJ1321" s="123">
        <f>IF(tech_base!$T137&gt;AJ$1185,"",AJ1601+AJ1881)</f>
        <v>8.2939574673148861</v>
      </c>
      <c r="AK1321" s="123">
        <f>IF(tech_base!$T137&gt;AK$1185,"",AK1601+AK1881)</f>
        <v>8.2939574673148861</v>
      </c>
      <c r="AL1321" s="123">
        <f>IF(tech_base!$T137&gt;AL$1185,"",AL1601+AL1881)</f>
        <v>8.2939574673148861</v>
      </c>
      <c r="AM1321" s="123">
        <f>IF(tech_base!$T137&gt;AM$1185,"",AM1601+AM1881)</f>
        <v>8.2939574673148861</v>
      </c>
      <c r="AN1321" s="123">
        <f>IF(tech_base!$T137&gt;AN$1185,"",AN1601+AN1881)</f>
        <v>8.2939574673148861</v>
      </c>
      <c r="AO1321" s="123">
        <f>IF(tech_base!$T137&gt;AO$1185,"",AO1601+AO1881)</f>
        <v>8.2939574673148861</v>
      </c>
      <c r="AP1321" s="123">
        <f>IF(tech_base!$T137&gt;AP$1185,"",AP1601+AP1881)</f>
        <v>8.2939574673148861</v>
      </c>
      <c r="AQ1321" s="123">
        <f>IF(tech_base!$T137&gt;AQ$1185,"",AQ1601+AQ1881)</f>
        <v>8.2939574673148861</v>
      </c>
      <c r="AR1321" s="123">
        <f>IF(tech_base!$T137&gt;AR$1185,"",AR1601+AR1881)</f>
        <v>8.2939574673148861</v>
      </c>
      <c r="AS1321" s="123">
        <f>IF(tech_base!$T137&gt;AS$1185,"",AS1601+AS1881)</f>
        <v>8.2939574673148861</v>
      </c>
      <c r="AT1321" s="123">
        <f>IF(tech_base!$T137&gt;AT$1185,"",AT1601+AT1881)</f>
        <v>8.2939574673148861</v>
      </c>
      <c r="AU1321" s="123">
        <f>IF(tech_base!$T137&gt;AU$1185,"",AU1601+AU1881)</f>
        <v>8.2939574673148861</v>
      </c>
      <c r="AV1321" s="123">
        <f>IF(tech_base!$T137&gt;AV$1185,"",AV1601+AV1881)</f>
        <v>8.2939574673148861</v>
      </c>
      <c r="AW1321" s="123">
        <f>IF(tech_base!$T137&gt;AW$1185,"",AW1601+AW1881)</f>
        <v>8.2939574673148861</v>
      </c>
      <c r="AX1321" s="124">
        <f>IF(tech_base!$T137&gt;AX$1185,"",AX1601+AX1881)</f>
        <v>8.2939574673148861</v>
      </c>
    </row>
    <row r="1322" spans="1:50" x14ac:dyDescent="0.25">
      <c r="A1322" s="356"/>
      <c r="B1322" s="366"/>
      <c r="C1322" s="379"/>
      <c r="D1322" s="59" t="s">
        <v>8</v>
      </c>
      <c r="E1322" s="166" t="str">
        <f>A1315&amp;"/"&amp;B1315&amp;"/"&amp;C1321&amp;"/"&amp;D1322</f>
        <v>Refinery gas fired power plants/Steam turbine/Electricity only with CCS/M</v>
      </c>
      <c r="F1322" s="79" t="str">
        <f>A1315</f>
        <v>Refinery gas fired power plants</v>
      </c>
      <c r="G1322" s="79" t="str">
        <f>B1315</f>
        <v>Steam turbine</v>
      </c>
      <c r="H1322" s="79" t="str">
        <f>C1321</f>
        <v>Electricity only with CCS</v>
      </c>
      <c r="I1322" s="167" t="str">
        <f t="shared" si="374"/>
        <v>M</v>
      </c>
      <c r="J1322" s="125" t="str">
        <f>IF(tech_base!$T138&gt;J$1185,"",J1602+J1882)</f>
        <v/>
      </c>
      <c r="K1322" s="125" t="str">
        <f>IF(tech_base!$T138&gt;K$1185,"",K1602+K1882)</f>
        <v/>
      </c>
      <c r="L1322" s="125" t="str">
        <f>IF(tech_base!$T138&gt;L$1185,"",L1602+L1882)</f>
        <v/>
      </c>
      <c r="M1322" s="125" t="str">
        <f>IF(tech_base!$T138&gt;M$1185,"",M1602+M1882)</f>
        <v/>
      </c>
      <c r="N1322" s="125" t="str">
        <f>IF(tech_base!$T138&gt;N$1185,"",N1602+N1882)</f>
        <v/>
      </c>
      <c r="O1322" s="125" t="str">
        <f>IF(tech_base!$T138&gt;O$1185,"",O1602+O1882)</f>
        <v/>
      </c>
      <c r="P1322" s="125" t="str">
        <f>IF(tech_base!$T138&gt;P$1185,"",P1602+P1882)</f>
        <v/>
      </c>
      <c r="Q1322" s="125" t="str">
        <f>IF(tech_base!$T138&gt;Q$1185,"",Q1602+Q1882)</f>
        <v/>
      </c>
      <c r="R1322" s="125" t="str">
        <f>IF(tech_base!$T138&gt;R$1185,"",R1602+R1882)</f>
        <v/>
      </c>
      <c r="S1322" s="125" t="str">
        <f>IF(tech_base!$T138&gt;S$1185,"",S1602+S1882)</f>
        <v/>
      </c>
      <c r="T1322" s="125" t="str">
        <f>IF(tech_base!$T138&gt;T$1185,"",T1602+T1882)</f>
        <v/>
      </c>
      <c r="U1322" s="125" t="str">
        <f>IF(tech_base!$T138&gt;U$1185,"",U1602+U1882)</f>
        <v/>
      </c>
      <c r="V1322" s="125" t="str">
        <f>IF(tech_base!$T138&gt;V$1185,"",V1602+V1882)</f>
        <v/>
      </c>
      <c r="W1322" s="125" t="str">
        <f>IF(tech_base!$T138&gt;W$1185,"",W1602+W1882)</f>
        <v/>
      </c>
      <c r="X1322" s="125" t="str">
        <f>IF(tech_base!$T138&gt;X$1185,"",X1602+X1882)</f>
        <v/>
      </c>
      <c r="Y1322" s="125" t="str">
        <f>IF(tech_base!$T138&gt;Y$1185,"",Y1602+Y1882)</f>
        <v/>
      </c>
      <c r="Z1322" s="125" t="str">
        <f>IF(tech_base!$T138&gt;Z$1185,"",Z1602+Z1882)</f>
        <v/>
      </c>
      <c r="AA1322" s="125" t="str">
        <f>IF(tech_base!$T138&gt;AA$1185,"",AA1602+AA1882)</f>
        <v/>
      </c>
      <c r="AB1322" s="125" t="str">
        <f>IF(tech_base!$T138&gt;AB$1185,"",AB1602+AB1882)</f>
        <v/>
      </c>
      <c r="AC1322" s="125" t="str">
        <f>IF(tech_base!$T138&gt;AC$1185,"",AC1602+AC1882)</f>
        <v/>
      </c>
      <c r="AD1322" s="125" t="str">
        <f>IF(tech_base!$T138&gt;AD$1185,"",AD1602+AD1882)</f>
        <v/>
      </c>
      <c r="AE1322" s="125">
        <f>IF(tech_base!$T138&gt;AE$1185,"",AE1602+AE1882)</f>
        <v>8.8540666984482392</v>
      </c>
      <c r="AF1322" s="125">
        <f>IF(tech_base!$T138&gt;AF$1185,"",AF1602+AF1882)</f>
        <v>8.8540666984482392</v>
      </c>
      <c r="AG1322" s="125">
        <f>IF(tech_base!$T138&gt;AG$1185,"",AG1602+AG1882)</f>
        <v>8.8540666984482392</v>
      </c>
      <c r="AH1322" s="125">
        <f>IF(tech_base!$T138&gt;AH$1185,"",AH1602+AH1882)</f>
        <v>8.8540666984482392</v>
      </c>
      <c r="AI1322" s="125">
        <f>IF(tech_base!$T138&gt;AI$1185,"",AI1602+AI1882)</f>
        <v>8.8540666984482392</v>
      </c>
      <c r="AJ1322" s="125">
        <f>IF(tech_base!$T138&gt;AJ$1185,"",AJ1602+AJ1882)</f>
        <v>8.8540666984482392</v>
      </c>
      <c r="AK1322" s="125">
        <f>IF(tech_base!$T138&gt;AK$1185,"",AK1602+AK1882)</f>
        <v>8.8540666984482392</v>
      </c>
      <c r="AL1322" s="125">
        <f>IF(tech_base!$T138&gt;AL$1185,"",AL1602+AL1882)</f>
        <v>8.8540666984482392</v>
      </c>
      <c r="AM1322" s="125">
        <f>IF(tech_base!$T138&gt;AM$1185,"",AM1602+AM1882)</f>
        <v>8.8540666984482392</v>
      </c>
      <c r="AN1322" s="125">
        <f>IF(tech_base!$T138&gt;AN$1185,"",AN1602+AN1882)</f>
        <v>8.8540666984482392</v>
      </c>
      <c r="AO1322" s="125">
        <f>IF(tech_base!$T138&gt;AO$1185,"",AO1602+AO1882)</f>
        <v>8.8540666984482392</v>
      </c>
      <c r="AP1322" s="125">
        <f>IF(tech_base!$T138&gt;AP$1185,"",AP1602+AP1882)</f>
        <v>8.8540666984482392</v>
      </c>
      <c r="AQ1322" s="125">
        <f>IF(tech_base!$T138&gt;AQ$1185,"",AQ1602+AQ1882)</f>
        <v>8.8540666984482392</v>
      </c>
      <c r="AR1322" s="125">
        <f>IF(tech_base!$T138&gt;AR$1185,"",AR1602+AR1882)</f>
        <v>8.8540666984482392</v>
      </c>
      <c r="AS1322" s="125">
        <f>IF(tech_base!$T138&gt;AS$1185,"",AS1602+AS1882)</f>
        <v>8.8540666984482392</v>
      </c>
      <c r="AT1322" s="125">
        <f>IF(tech_base!$T138&gt;AT$1185,"",AT1602+AT1882)</f>
        <v>8.8540666984482392</v>
      </c>
      <c r="AU1322" s="125">
        <f>IF(tech_base!$T138&gt;AU$1185,"",AU1602+AU1882)</f>
        <v>8.8540666984482392</v>
      </c>
      <c r="AV1322" s="125">
        <f>IF(tech_base!$T138&gt;AV$1185,"",AV1602+AV1882)</f>
        <v>8.8540666984482392</v>
      </c>
      <c r="AW1322" s="125">
        <f>IF(tech_base!$T138&gt;AW$1185,"",AW1602+AW1882)</f>
        <v>8.8540666984482392</v>
      </c>
      <c r="AX1322" s="126">
        <f>IF(tech_base!$T138&gt;AX$1185,"",AX1602+AX1882)</f>
        <v>8.8540666984482392</v>
      </c>
    </row>
    <row r="1323" spans="1:50" x14ac:dyDescent="0.25">
      <c r="A1323" s="356"/>
      <c r="B1323" s="366"/>
      <c r="C1323" s="361" t="s">
        <v>16</v>
      </c>
      <c r="D1323" s="2" t="s">
        <v>7</v>
      </c>
      <c r="E1323" s="160" t="str">
        <f>A1315&amp;"/"&amp;B1315&amp;"/"&amp;C1323&amp;"/"&amp;D1323</f>
        <v>Refinery gas fired power plants/Steam turbine/CHP with CCS/L</v>
      </c>
      <c r="F1323" s="76" t="str">
        <f>A1315</f>
        <v>Refinery gas fired power plants</v>
      </c>
      <c r="G1323" s="76" t="str">
        <f>B1315</f>
        <v>Steam turbine</v>
      </c>
      <c r="H1323" s="76" t="str">
        <f>C1323</f>
        <v>CHP with CCS</v>
      </c>
      <c r="I1323" s="161" t="str">
        <f t="shared" si="374"/>
        <v>L</v>
      </c>
      <c r="J1323" s="119" t="str">
        <f>IF(tech_base!$T139&gt;J$1185,"",J1603+J1883)</f>
        <v/>
      </c>
      <c r="K1323" s="119" t="str">
        <f>IF(tech_base!$T139&gt;K$1185,"",K1603+K1883)</f>
        <v/>
      </c>
      <c r="L1323" s="119" t="str">
        <f>IF(tech_base!$T139&gt;L$1185,"",L1603+L1883)</f>
        <v/>
      </c>
      <c r="M1323" s="119" t="str">
        <f>IF(tech_base!$T139&gt;M$1185,"",M1603+M1883)</f>
        <v/>
      </c>
      <c r="N1323" s="119" t="str">
        <f>IF(tech_base!$T139&gt;N$1185,"",N1603+N1883)</f>
        <v/>
      </c>
      <c r="O1323" s="119" t="str">
        <f>IF(tech_base!$T139&gt;O$1185,"",O1603+O1883)</f>
        <v/>
      </c>
      <c r="P1323" s="119" t="str">
        <f>IF(tech_base!$T139&gt;P$1185,"",P1603+P1883)</f>
        <v/>
      </c>
      <c r="Q1323" s="119" t="str">
        <f>IF(tech_base!$T139&gt;Q$1185,"",Q1603+Q1883)</f>
        <v/>
      </c>
      <c r="R1323" s="119" t="str">
        <f>IF(tech_base!$T139&gt;R$1185,"",R1603+R1883)</f>
        <v/>
      </c>
      <c r="S1323" s="119" t="str">
        <f>IF(tech_base!$T139&gt;S$1185,"",S1603+S1883)</f>
        <v/>
      </c>
      <c r="T1323" s="119" t="str">
        <f>IF(tech_base!$T139&gt;T$1185,"",T1603+T1883)</f>
        <v/>
      </c>
      <c r="U1323" s="119" t="str">
        <f>IF(tech_base!$T139&gt;U$1185,"",U1603+U1883)</f>
        <v/>
      </c>
      <c r="V1323" s="119" t="str">
        <f>IF(tech_base!$T139&gt;V$1185,"",V1603+V1883)</f>
        <v/>
      </c>
      <c r="W1323" s="119" t="str">
        <f>IF(tech_base!$T139&gt;W$1185,"",W1603+W1883)</f>
        <v/>
      </c>
      <c r="X1323" s="119" t="str">
        <f>IF(tech_base!$T139&gt;X$1185,"",X1603+X1883)</f>
        <v/>
      </c>
      <c r="Y1323" s="119" t="str">
        <f>IF(tech_base!$T139&gt;Y$1185,"",Y1603+Y1883)</f>
        <v/>
      </c>
      <c r="Z1323" s="119" t="str">
        <f>IF(tech_base!$T139&gt;Z$1185,"",Z1603+Z1883)</f>
        <v/>
      </c>
      <c r="AA1323" s="119" t="str">
        <f>IF(tech_base!$T139&gt;AA$1185,"",AA1603+AA1883)</f>
        <v/>
      </c>
      <c r="AB1323" s="119" t="str">
        <f>IF(tech_base!$T139&gt;AB$1185,"",AB1603+AB1883)</f>
        <v/>
      </c>
      <c r="AC1323" s="119" t="str">
        <f>IF(tech_base!$T139&gt;AC$1185,"",AC1603+AC1883)</f>
        <v/>
      </c>
      <c r="AD1323" s="119" t="str">
        <f>IF(tech_base!$T139&gt;AD$1185,"",AD1603+AD1883)</f>
        <v/>
      </c>
      <c r="AE1323" s="119">
        <f>IF(tech_base!$T139&gt;AE$1185,"",AE1603+AE1883)</f>
        <v>9.4331982169203101</v>
      </c>
      <c r="AF1323" s="119">
        <f>IF(tech_base!$T139&gt;AF$1185,"",AF1603+AF1883)</f>
        <v>9.4331982169203101</v>
      </c>
      <c r="AG1323" s="119">
        <f>IF(tech_base!$T139&gt;AG$1185,"",AG1603+AG1883)</f>
        <v>9.4331982169203101</v>
      </c>
      <c r="AH1323" s="119">
        <f>IF(tech_base!$T139&gt;AH$1185,"",AH1603+AH1883)</f>
        <v>9.4331982169203101</v>
      </c>
      <c r="AI1323" s="119">
        <f>IF(tech_base!$T139&gt;AI$1185,"",AI1603+AI1883)</f>
        <v>9.4331982169203101</v>
      </c>
      <c r="AJ1323" s="119">
        <f>IF(tech_base!$T139&gt;AJ$1185,"",AJ1603+AJ1883)</f>
        <v>9.4331982169203101</v>
      </c>
      <c r="AK1323" s="119">
        <f>IF(tech_base!$T139&gt;AK$1185,"",AK1603+AK1883)</f>
        <v>9.4331982169203101</v>
      </c>
      <c r="AL1323" s="119">
        <f>IF(tech_base!$T139&gt;AL$1185,"",AL1603+AL1883)</f>
        <v>9.4331982169203101</v>
      </c>
      <c r="AM1323" s="119">
        <f>IF(tech_base!$T139&gt;AM$1185,"",AM1603+AM1883)</f>
        <v>9.4331982169203101</v>
      </c>
      <c r="AN1323" s="119">
        <f>IF(tech_base!$T139&gt;AN$1185,"",AN1603+AN1883)</f>
        <v>9.4331982169203101</v>
      </c>
      <c r="AO1323" s="119">
        <f>IF(tech_base!$T139&gt;AO$1185,"",AO1603+AO1883)</f>
        <v>9.4331982169203101</v>
      </c>
      <c r="AP1323" s="119">
        <f>IF(tech_base!$T139&gt;AP$1185,"",AP1603+AP1883)</f>
        <v>9.4331982169203101</v>
      </c>
      <c r="AQ1323" s="119">
        <f>IF(tech_base!$T139&gt;AQ$1185,"",AQ1603+AQ1883)</f>
        <v>9.4331982169203101</v>
      </c>
      <c r="AR1323" s="119">
        <f>IF(tech_base!$T139&gt;AR$1185,"",AR1603+AR1883)</f>
        <v>9.4331982169203101</v>
      </c>
      <c r="AS1323" s="119">
        <f>IF(tech_base!$T139&gt;AS$1185,"",AS1603+AS1883)</f>
        <v>9.4331982169203101</v>
      </c>
      <c r="AT1323" s="119">
        <f>IF(tech_base!$T139&gt;AT$1185,"",AT1603+AT1883)</f>
        <v>9.4331982169203101</v>
      </c>
      <c r="AU1323" s="119">
        <f>IF(tech_base!$T139&gt;AU$1185,"",AU1603+AU1883)</f>
        <v>9.4331982169203101</v>
      </c>
      <c r="AV1323" s="119">
        <f>IF(tech_base!$T139&gt;AV$1185,"",AV1603+AV1883)</f>
        <v>9.4331982169203101</v>
      </c>
      <c r="AW1323" s="119">
        <f>IF(tech_base!$T139&gt;AW$1185,"",AW1603+AW1883)</f>
        <v>9.4331982169203101</v>
      </c>
      <c r="AX1323" s="120">
        <f>IF(tech_base!$T139&gt;AX$1185,"",AX1603+AX1883)</f>
        <v>9.4331982169203101</v>
      </c>
    </row>
    <row r="1324" spans="1:50" x14ac:dyDescent="0.25">
      <c r="A1324" s="357"/>
      <c r="B1324" s="367"/>
      <c r="C1324" s="381"/>
      <c r="D1324" s="4" t="s">
        <v>8</v>
      </c>
      <c r="E1324" s="168" t="str">
        <f>A1315&amp;"/"&amp;B1315&amp;"/"&amp;C1323&amp;"/"&amp;D1324</f>
        <v>Refinery gas fired power plants/Steam turbine/CHP with CCS/M</v>
      </c>
      <c r="F1324" s="80" t="str">
        <f>A1315</f>
        <v>Refinery gas fired power plants</v>
      </c>
      <c r="G1324" s="80" t="str">
        <f>B1315</f>
        <v>Steam turbine</v>
      </c>
      <c r="H1324" s="80" t="str">
        <f>C1323</f>
        <v>CHP with CCS</v>
      </c>
      <c r="I1324" s="169" t="str">
        <f t="shared" si="374"/>
        <v>M</v>
      </c>
      <c r="J1324" s="127" t="str">
        <f>IF(tech_base!$T140&gt;J$1185,"",J1604+J1884)</f>
        <v/>
      </c>
      <c r="K1324" s="127" t="str">
        <f>IF(tech_base!$T140&gt;K$1185,"",K1604+K1884)</f>
        <v/>
      </c>
      <c r="L1324" s="127" t="str">
        <f>IF(tech_base!$T140&gt;L$1185,"",L1604+L1884)</f>
        <v/>
      </c>
      <c r="M1324" s="127" t="str">
        <f>IF(tech_base!$T140&gt;M$1185,"",M1604+M1884)</f>
        <v/>
      </c>
      <c r="N1324" s="127" t="str">
        <f>IF(tech_base!$T140&gt;N$1185,"",N1604+N1884)</f>
        <v/>
      </c>
      <c r="O1324" s="127" t="str">
        <f>IF(tech_base!$T140&gt;O$1185,"",O1604+O1884)</f>
        <v/>
      </c>
      <c r="P1324" s="127" t="str">
        <f>IF(tech_base!$T140&gt;P$1185,"",P1604+P1884)</f>
        <v/>
      </c>
      <c r="Q1324" s="127" t="str">
        <f>IF(tech_base!$T140&gt;Q$1185,"",Q1604+Q1884)</f>
        <v/>
      </c>
      <c r="R1324" s="127" t="str">
        <f>IF(tech_base!$T140&gt;R$1185,"",R1604+R1884)</f>
        <v/>
      </c>
      <c r="S1324" s="127" t="str">
        <f>IF(tech_base!$T140&gt;S$1185,"",S1604+S1884)</f>
        <v/>
      </c>
      <c r="T1324" s="127" t="str">
        <f>IF(tech_base!$T140&gt;T$1185,"",T1604+T1884)</f>
        <v/>
      </c>
      <c r="U1324" s="127" t="str">
        <f>IF(tech_base!$T140&gt;U$1185,"",U1604+U1884)</f>
        <v/>
      </c>
      <c r="V1324" s="127" t="str">
        <f>IF(tech_base!$T140&gt;V$1185,"",V1604+V1884)</f>
        <v/>
      </c>
      <c r="W1324" s="127" t="str">
        <f>IF(tech_base!$T140&gt;W$1185,"",W1604+W1884)</f>
        <v/>
      </c>
      <c r="X1324" s="127" t="str">
        <f>IF(tech_base!$T140&gt;X$1185,"",X1604+X1884)</f>
        <v/>
      </c>
      <c r="Y1324" s="127" t="str">
        <f>IF(tech_base!$T140&gt;Y$1185,"",Y1604+Y1884)</f>
        <v/>
      </c>
      <c r="Z1324" s="127" t="str">
        <f>IF(tech_base!$T140&gt;Z$1185,"",Z1604+Z1884)</f>
        <v/>
      </c>
      <c r="AA1324" s="127" t="str">
        <f>IF(tech_base!$T140&gt;AA$1185,"",AA1604+AA1884)</f>
        <v/>
      </c>
      <c r="AB1324" s="127" t="str">
        <f>IF(tech_base!$T140&gt;AB$1185,"",AB1604+AB1884)</f>
        <v/>
      </c>
      <c r="AC1324" s="127" t="str">
        <f>IF(tech_base!$T140&gt;AC$1185,"",AC1604+AC1884)</f>
        <v/>
      </c>
      <c r="AD1324" s="127" t="str">
        <f>IF(tech_base!$T140&gt;AD$1185,"",AD1604+AD1884)</f>
        <v/>
      </c>
      <c r="AE1324" s="127">
        <f>IF(tech_base!$T140&gt;AE$1185,"",AE1604+AE1884)</f>
        <v>10.093392198938771</v>
      </c>
      <c r="AF1324" s="127">
        <f>IF(tech_base!$T140&gt;AF$1185,"",AF1604+AF1884)</f>
        <v>10.093392198938771</v>
      </c>
      <c r="AG1324" s="127">
        <f>IF(tech_base!$T140&gt;AG$1185,"",AG1604+AG1884)</f>
        <v>10.093392198938771</v>
      </c>
      <c r="AH1324" s="127">
        <f>IF(tech_base!$T140&gt;AH$1185,"",AH1604+AH1884)</f>
        <v>10.093392198938771</v>
      </c>
      <c r="AI1324" s="127">
        <f>IF(tech_base!$T140&gt;AI$1185,"",AI1604+AI1884)</f>
        <v>10.093392198938771</v>
      </c>
      <c r="AJ1324" s="127">
        <f>IF(tech_base!$T140&gt;AJ$1185,"",AJ1604+AJ1884)</f>
        <v>10.093392198938771</v>
      </c>
      <c r="AK1324" s="127">
        <f>IF(tech_base!$T140&gt;AK$1185,"",AK1604+AK1884)</f>
        <v>10.093392198938771</v>
      </c>
      <c r="AL1324" s="127">
        <f>IF(tech_base!$T140&gt;AL$1185,"",AL1604+AL1884)</f>
        <v>10.093392198938771</v>
      </c>
      <c r="AM1324" s="127">
        <f>IF(tech_base!$T140&gt;AM$1185,"",AM1604+AM1884)</f>
        <v>10.093392198938771</v>
      </c>
      <c r="AN1324" s="127">
        <f>IF(tech_base!$T140&gt;AN$1185,"",AN1604+AN1884)</f>
        <v>10.093392198938771</v>
      </c>
      <c r="AO1324" s="127">
        <f>IF(tech_base!$T140&gt;AO$1185,"",AO1604+AO1884)</f>
        <v>10.093392198938771</v>
      </c>
      <c r="AP1324" s="127">
        <f>IF(tech_base!$T140&gt;AP$1185,"",AP1604+AP1884)</f>
        <v>10.093392198938771</v>
      </c>
      <c r="AQ1324" s="127">
        <f>IF(tech_base!$T140&gt;AQ$1185,"",AQ1604+AQ1884)</f>
        <v>10.093392198938771</v>
      </c>
      <c r="AR1324" s="127">
        <f>IF(tech_base!$T140&gt;AR$1185,"",AR1604+AR1884)</f>
        <v>10.093392198938771</v>
      </c>
      <c r="AS1324" s="127">
        <f>IF(tech_base!$T140&gt;AS$1185,"",AS1604+AS1884)</f>
        <v>10.093392198938771</v>
      </c>
      <c r="AT1324" s="127">
        <f>IF(tech_base!$T140&gt;AT$1185,"",AT1604+AT1884)</f>
        <v>10.093392198938771</v>
      </c>
      <c r="AU1324" s="127">
        <f>IF(tech_base!$T140&gt;AU$1185,"",AU1604+AU1884)</f>
        <v>10.093392198938771</v>
      </c>
      <c r="AV1324" s="127">
        <f>IF(tech_base!$T140&gt;AV$1185,"",AV1604+AV1884)</f>
        <v>10.093392198938771</v>
      </c>
      <c r="AW1324" s="127">
        <f>IF(tech_base!$T140&gt;AW$1185,"",AW1604+AW1884)</f>
        <v>10.093392198938771</v>
      </c>
      <c r="AX1324" s="128">
        <f>IF(tech_base!$T140&gt;AX$1185,"",AX1604+AX1884)</f>
        <v>10.093392198938771</v>
      </c>
    </row>
    <row r="1325" spans="1:50" x14ac:dyDescent="0.25">
      <c r="A1325" s="355" t="s">
        <v>28</v>
      </c>
      <c r="B1325" s="358" t="s">
        <v>23</v>
      </c>
      <c r="C1325" s="353" t="s">
        <v>6</v>
      </c>
      <c r="D1325" s="3" t="s">
        <v>7</v>
      </c>
      <c r="E1325" s="162" t="str">
        <f>A1325&amp;"/"&amp;B1325&amp;"/"&amp;C1325&amp;"/"&amp;D1325</f>
        <v>Diesel oil fired power plants/Gas turbine combined cycle/Electricity only/L</v>
      </c>
      <c r="F1325" s="77" t="str">
        <f>A1325</f>
        <v>Diesel oil fired power plants</v>
      </c>
      <c r="G1325" s="77" t="str">
        <f>B1325</f>
        <v>Gas turbine combined cycle</v>
      </c>
      <c r="H1325" s="77" t="str">
        <f>C1325</f>
        <v>Electricity only</v>
      </c>
      <c r="I1325" s="163" t="str">
        <f t="shared" si="374"/>
        <v>L</v>
      </c>
      <c r="J1325" s="121">
        <f>IF(tech_base!$T141&gt;J$1185,"",J1605+J1885)</f>
        <v>0</v>
      </c>
      <c r="K1325" s="121">
        <f>IF(tech_base!$T141&gt;K$1185,"",K1605+K1885)</f>
        <v>0</v>
      </c>
      <c r="L1325" s="121">
        <f>IF(tech_base!$T141&gt;L$1185,"",L1605+L1885)</f>
        <v>0</v>
      </c>
      <c r="M1325" s="121">
        <f>IF(tech_base!$T141&gt;M$1185,"",M1605+M1885)</f>
        <v>0</v>
      </c>
      <c r="N1325" s="121">
        <f>IF(tech_base!$T141&gt;N$1185,"",N1605+N1885)</f>
        <v>0</v>
      </c>
      <c r="O1325" s="121">
        <f>IF(tech_base!$T141&gt;O$1185,"",O1605+O1885)</f>
        <v>0</v>
      </c>
      <c r="P1325" s="121">
        <f>IF(tech_base!$T141&gt;P$1185,"",P1605+P1885)</f>
        <v>0</v>
      </c>
      <c r="Q1325" s="121">
        <f>IF(tech_base!$T141&gt;Q$1185,"",Q1605+Q1885)</f>
        <v>0</v>
      </c>
      <c r="R1325" s="121">
        <f>IF(tech_base!$T141&gt;R$1185,"",R1605+R1885)</f>
        <v>0</v>
      </c>
      <c r="S1325" s="121">
        <f>IF(tech_base!$T141&gt;S$1185,"",S1605+S1885)</f>
        <v>0</v>
      </c>
      <c r="T1325" s="121">
        <f>IF(tech_base!$T141&gt;T$1185,"",T1605+T1885)</f>
        <v>0</v>
      </c>
      <c r="U1325" s="121">
        <f>IF(tech_base!$T141&gt;U$1185,"",U1605+U1885)</f>
        <v>0</v>
      </c>
      <c r="V1325" s="121">
        <f>IF(tech_base!$T141&gt;V$1185,"",V1605+V1885)</f>
        <v>0</v>
      </c>
      <c r="W1325" s="121">
        <f>IF(tech_base!$T141&gt;W$1185,"",W1605+W1885)</f>
        <v>0</v>
      </c>
      <c r="X1325" s="121">
        <f>IF(tech_base!$T141&gt;X$1185,"",X1605+X1885)</f>
        <v>0</v>
      </c>
      <c r="Y1325" s="121">
        <f>IF(tech_base!$T141&gt;Y$1185,"",Y1605+Y1885)</f>
        <v>0</v>
      </c>
      <c r="Z1325" s="121">
        <f>IF(tech_base!$T141&gt;Z$1185,"",Z1605+Z1885)</f>
        <v>0</v>
      </c>
      <c r="AA1325" s="121">
        <f>IF(tech_base!$T141&gt;AA$1185,"",AA1605+AA1885)</f>
        <v>0</v>
      </c>
      <c r="AB1325" s="121">
        <f>IF(tech_base!$T141&gt;AB$1185,"",AB1605+AB1885)</f>
        <v>0</v>
      </c>
      <c r="AC1325" s="121">
        <f>IF(tech_base!$T141&gt;AC$1185,"",AC1605+AC1885)</f>
        <v>0</v>
      </c>
      <c r="AD1325" s="121">
        <f>IF(tech_base!$T141&gt;AD$1185,"",AD1605+AD1885)</f>
        <v>0</v>
      </c>
      <c r="AE1325" s="121">
        <f>IF(tech_base!$T141&gt;AE$1185,"",AE1605+AE1885)</f>
        <v>0</v>
      </c>
      <c r="AF1325" s="121">
        <f>IF(tech_base!$T141&gt;AF$1185,"",AF1605+AF1885)</f>
        <v>0</v>
      </c>
      <c r="AG1325" s="121">
        <f>IF(tech_base!$T141&gt;AG$1185,"",AG1605+AG1885)</f>
        <v>0</v>
      </c>
      <c r="AH1325" s="121">
        <f>IF(tech_base!$T141&gt;AH$1185,"",AH1605+AH1885)</f>
        <v>0</v>
      </c>
      <c r="AI1325" s="121">
        <f>IF(tech_base!$T141&gt;AI$1185,"",AI1605+AI1885)</f>
        <v>0</v>
      </c>
      <c r="AJ1325" s="121">
        <f>IF(tech_base!$T141&gt;AJ$1185,"",AJ1605+AJ1885)</f>
        <v>0</v>
      </c>
      <c r="AK1325" s="121">
        <f>IF(tech_base!$T141&gt;AK$1185,"",AK1605+AK1885)</f>
        <v>0</v>
      </c>
      <c r="AL1325" s="121">
        <f>IF(tech_base!$T141&gt;AL$1185,"",AL1605+AL1885)</f>
        <v>0</v>
      </c>
      <c r="AM1325" s="121">
        <f>IF(tech_base!$T141&gt;AM$1185,"",AM1605+AM1885)</f>
        <v>0</v>
      </c>
      <c r="AN1325" s="121">
        <f>IF(tech_base!$T141&gt;AN$1185,"",AN1605+AN1885)</f>
        <v>0</v>
      </c>
      <c r="AO1325" s="121">
        <f>IF(tech_base!$T141&gt;AO$1185,"",AO1605+AO1885)</f>
        <v>0</v>
      </c>
      <c r="AP1325" s="121">
        <f>IF(tech_base!$T141&gt;AP$1185,"",AP1605+AP1885)</f>
        <v>0</v>
      </c>
      <c r="AQ1325" s="121">
        <f>IF(tech_base!$T141&gt;AQ$1185,"",AQ1605+AQ1885)</f>
        <v>0</v>
      </c>
      <c r="AR1325" s="121">
        <f>IF(tech_base!$T141&gt;AR$1185,"",AR1605+AR1885)</f>
        <v>0</v>
      </c>
      <c r="AS1325" s="121">
        <f>IF(tech_base!$T141&gt;AS$1185,"",AS1605+AS1885)</f>
        <v>0</v>
      </c>
      <c r="AT1325" s="121">
        <f>IF(tech_base!$T141&gt;AT$1185,"",AT1605+AT1885)</f>
        <v>0</v>
      </c>
      <c r="AU1325" s="121">
        <f>IF(tech_base!$T141&gt;AU$1185,"",AU1605+AU1885)</f>
        <v>0</v>
      </c>
      <c r="AV1325" s="121">
        <f>IF(tech_base!$T141&gt;AV$1185,"",AV1605+AV1885)</f>
        <v>0</v>
      </c>
      <c r="AW1325" s="121">
        <f>IF(tech_base!$T141&gt;AW$1185,"",AW1605+AW1885)</f>
        <v>0</v>
      </c>
      <c r="AX1325" s="122">
        <f>IF(tech_base!$T141&gt;AX$1185,"",AX1605+AX1885)</f>
        <v>0</v>
      </c>
    </row>
    <row r="1326" spans="1:50" x14ac:dyDescent="0.25">
      <c r="A1326" s="356"/>
      <c r="B1326" s="376"/>
      <c r="C1326" s="379"/>
      <c r="D1326" s="2" t="s">
        <v>8</v>
      </c>
      <c r="E1326" s="160" t="str">
        <f>A1325&amp;"/"&amp;B1325&amp;"/"&amp;C1325&amp;"/"&amp;D1326</f>
        <v>Diesel oil fired power plants/Gas turbine combined cycle/Electricity only/M</v>
      </c>
      <c r="F1326" s="76" t="str">
        <f>A1325</f>
        <v>Diesel oil fired power plants</v>
      </c>
      <c r="G1326" s="76" t="str">
        <f>B1325</f>
        <v>Gas turbine combined cycle</v>
      </c>
      <c r="H1326" s="76" t="str">
        <f>C1325</f>
        <v>Electricity only</v>
      </c>
      <c r="I1326" s="161" t="str">
        <f t="shared" si="374"/>
        <v>M</v>
      </c>
      <c r="J1326" s="119">
        <f>IF(tech_base!$T142&gt;J$1185,"",J1606+J1886)</f>
        <v>0</v>
      </c>
      <c r="K1326" s="119">
        <f>IF(tech_base!$T142&gt;K$1185,"",K1606+K1886)</f>
        <v>0</v>
      </c>
      <c r="L1326" s="119">
        <f>IF(tech_base!$T142&gt;L$1185,"",L1606+L1886)</f>
        <v>0</v>
      </c>
      <c r="M1326" s="119">
        <f>IF(tech_base!$T142&gt;M$1185,"",M1606+M1886)</f>
        <v>0</v>
      </c>
      <c r="N1326" s="119">
        <f>IF(tech_base!$T142&gt;N$1185,"",N1606+N1886)</f>
        <v>0</v>
      </c>
      <c r="O1326" s="119">
        <f>IF(tech_base!$T142&gt;O$1185,"",O1606+O1886)</f>
        <v>0</v>
      </c>
      <c r="P1326" s="119">
        <f>IF(tech_base!$T142&gt;P$1185,"",P1606+P1886)</f>
        <v>0</v>
      </c>
      <c r="Q1326" s="119">
        <f>IF(tech_base!$T142&gt;Q$1185,"",Q1606+Q1886)</f>
        <v>0</v>
      </c>
      <c r="R1326" s="119">
        <f>IF(tech_base!$T142&gt;R$1185,"",R1606+R1886)</f>
        <v>0</v>
      </c>
      <c r="S1326" s="119">
        <f>IF(tech_base!$T142&gt;S$1185,"",S1606+S1886)</f>
        <v>0</v>
      </c>
      <c r="T1326" s="119">
        <f>IF(tech_base!$T142&gt;T$1185,"",T1606+T1886)</f>
        <v>0</v>
      </c>
      <c r="U1326" s="119">
        <f>IF(tech_base!$T142&gt;U$1185,"",U1606+U1886)</f>
        <v>0</v>
      </c>
      <c r="V1326" s="119">
        <f>IF(tech_base!$T142&gt;V$1185,"",V1606+V1886)</f>
        <v>0</v>
      </c>
      <c r="W1326" s="119">
        <f>IF(tech_base!$T142&gt;W$1185,"",W1606+W1886)</f>
        <v>0</v>
      </c>
      <c r="X1326" s="119">
        <f>IF(tech_base!$T142&gt;X$1185,"",X1606+X1886)</f>
        <v>0</v>
      </c>
      <c r="Y1326" s="119">
        <f>IF(tech_base!$T142&gt;Y$1185,"",Y1606+Y1886)</f>
        <v>0</v>
      </c>
      <c r="Z1326" s="119">
        <f>IF(tech_base!$T142&gt;Z$1185,"",Z1606+Z1886)</f>
        <v>0</v>
      </c>
      <c r="AA1326" s="119">
        <f>IF(tech_base!$T142&gt;AA$1185,"",AA1606+AA1886)</f>
        <v>0</v>
      </c>
      <c r="AB1326" s="119">
        <f>IF(tech_base!$T142&gt;AB$1185,"",AB1606+AB1886)</f>
        <v>0</v>
      </c>
      <c r="AC1326" s="119">
        <f>IF(tech_base!$T142&gt;AC$1185,"",AC1606+AC1886)</f>
        <v>0</v>
      </c>
      <c r="AD1326" s="119">
        <f>IF(tech_base!$T142&gt;AD$1185,"",AD1606+AD1886)</f>
        <v>0</v>
      </c>
      <c r="AE1326" s="119">
        <f>IF(tech_base!$T142&gt;AE$1185,"",AE1606+AE1886)</f>
        <v>0</v>
      </c>
      <c r="AF1326" s="119">
        <f>IF(tech_base!$T142&gt;AF$1185,"",AF1606+AF1886)</f>
        <v>0</v>
      </c>
      <c r="AG1326" s="119">
        <f>IF(tech_base!$T142&gt;AG$1185,"",AG1606+AG1886)</f>
        <v>0</v>
      </c>
      <c r="AH1326" s="119">
        <f>IF(tech_base!$T142&gt;AH$1185,"",AH1606+AH1886)</f>
        <v>0</v>
      </c>
      <c r="AI1326" s="119">
        <f>IF(tech_base!$T142&gt;AI$1185,"",AI1606+AI1886)</f>
        <v>0</v>
      </c>
      <c r="AJ1326" s="119">
        <f>IF(tech_base!$T142&gt;AJ$1185,"",AJ1606+AJ1886)</f>
        <v>0</v>
      </c>
      <c r="AK1326" s="119">
        <f>IF(tech_base!$T142&gt;AK$1185,"",AK1606+AK1886)</f>
        <v>0</v>
      </c>
      <c r="AL1326" s="119">
        <f>IF(tech_base!$T142&gt;AL$1185,"",AL1606+AL1886)</f>
        <v>0</v>
      </c>
      <c r="AM1326" s="119">
        <f>IF(tech_base!$T142&gt;AM$1185,"",AM1606+AM1886)</f>
        <v>0</v>
      </c>
      <c r="AN1326" s="119">
        <f>IF(tech_base!$T142&gt;AN$1185,"",AN1606+AN1886)</f>
        <v>0</v>
      </c>
      <c r="AO1326" s="119">
        <f>IF(tech_base!$T142&gt;AO$1185,"",AO1606+AO1886)</f>
        <v>0</v>
      </c>
      <c r="AP1326" s="119">
        <f>IF(tech_base!$T142&gt;AP$1185,"",AP1606+AP1886)</f>
        <v>0</v>
      </c>
      <c r="AQ1326" s="119">
        <f>IF(tech_base!$T142&gt;AQ$1185,"",AQ1606+AQ1886)</f>
        <v>0</v>
      </c>
      <c r="AR1326" s="119">
        <f>IF(tech_base!$T142&gt;AR$1185,"",AR1606+AR1886)</f>
        <v>0</v>
      </c>
      <c r="AS1326" s="119">
        <f>IF(tech_base!$T142&gt;AS$1185,"",AS1606+AS1886)</f>
        <v>0</v>
      </c>
      <c r="AT1326" s="119">
        <f>IF(tech_base!$T142&gt;AT$1185,"",AT1606+AT1886)</f>
        <v>0</v>
      </c>
      <c r="AU1326" s="119">
        <f>IF(tech_base!$T142&gt;AU$1185,"",AU1606+AU1886)</f>
        <v>0</v>
      </c>
      <c r="AV1326" s="119">
        <f>IF(tech_base!$T142&gt;AV$1185,"",AV1606+AV1886)</f>
        <v>0</v>
      </c>
      <c r="AW1326" s="119">
        <f>IF(tech_base!$T142&gt;AW$1185,"",AW1606+AW1886)</f>
        <v>0</v>
      </c>
      <c r="AX1326" s="120">
        <f>IF(tech_base!$T142&gt;AX$1185,"",AX1606+AX1886)</f>
        <v>0</v>
      </c>
    </row>
    <row r="1327" spans="1:50" x14ac:dyDescent="0.25">
      <c r="A1327" s="356"/>
      <c r="B1327" s="376"/>
      <c r="C1327" s="361" t="s">
        <v>14</v>
      </c>
      <c r="D1327" s="58" t="s">
        <v>7</v>
      </c>
      <c r="E1327" s="164" t="str">
        <f>A1325&amp;"/"&amp;B1325&amp;"/"&amp;C1327&amp;"/"&amp;D1327</f>
        <v>Diesel oil fired power plants/Gas turbine combined cycle/CHP/L</v>
      </c>
      <c r="F1327" s="78" t="str">
        <f>A1325</f>
        <v>Diesel oil fired power plants</v>
      </c>
      <c r="G1327" s="78" t="str">
        <f>B1325</f>
        <v>Gas turbine combined cycle</v>
      </c>
      <c r="H1327" s="78" t="str">
        <f>C1327</f>
        <v>CHP</v>
      </c>
      <c r="I1327" s="165" t="str">
        <f t="shared" si="374"/>
        <v>L</v>
      </c>
      <c r="J1327" s="123">
        <f>IF(tech_base!$T143&gt;J$1185,"",J1607+J1887)</f>
        <v>0</v>
      </c>
      <c r="K1327" s="123">
        <f>IF(tech_base!$T143&gt;K$1185,"",K1607+K1887)</f>
        <v>0</v>
      </c>
      <c r="L1327" s="123">
        <f>IF(tech_base!$T143&gt;L$1185,"",L1607+L1887)</f>
        <v>0</v>
      </c>
      <c r="M1327" s="123">
        <f>IF(tech_base!$T143&gt;M$1185,"",M1607+M1887)</f>
        <v>0</v>
      </c>
      <c r="N1327" s="123">
        <f>IF(tech_base!$T143&gt;N$1185,"",N1607+N1887)</f>
        <v>0</v>
      </c>
      <c r="O1327" s="123">
        <f>IF(tech_base!$T143&gt;O$1185,"",O1607+O1887)</f>
        <v>0</v>
      </c>
      <c r="P1327" s="123">
        <f>IF(tech_base!$T143&gt;P$1185,"",P1607+P1887)</f>
        <v>0</v>
      </c>
      <c r="Q1327" s="123">
        <f>IF(tech_base!$T143&gt;Q$1185,"",Q1607+Q1887)</f>
        <v>0</v>
      </c>
      <c r="R1327" s="123">
        <f>IF(tech_base!$T143&gt;R$1185,"",R1607+R1887)</f>
        <v>0</v>
      </c>
      <c r="S1327" s="123">
        <f>IF(tech_base!$T143&gt;S$1185,"",S1607+S1887)</f>
        <v>0</v>
      </c>
      <c r="T1327" s="123">
        <f>IF(tech_base!$T143&gt;T$1185,"",T1607+T1887)</f>
        <v>0</v>
      </c>
      <c r="U1327" s="123">
        <f>IF(tech_base!$T143&gt;U$1185,"",U1607+U1887)</f>
        <v>0</v>
      </c>
      <c r="V1327" s="123">
        <f>IF(tech_base!$T143&gt;V$1185,"",V1607+V1887)</f>
        <v>0</v>
      </c>
      <c r="W1327" s="123">
        <f>IF(tech_base!$T143&gt;W$1185,"",W1607+W1887)</f>
        <v>0</v>
      </c>
      <c r="X1327" s="123">
        <f>IF(tech_base!$T143&gt;X$1185,"",X1607+X1887)</f>
        <v>0</v>
      </c>
      <c r="Y1327" s="123">
        <f>IF(tech_base!$T143&gt;Y$1185,"",Y1607+Y1887)</f>
        <v>0</v>
      </c>
      <c r="Z1327" s="123">
        <f>IF(tech_base!$T143&gt;Z$1185,"",Z1607+Z1887)</f>
        <v>0</v>
      </c>
      <c r="AA1327" s="123">
        <f>IF(tech_base!$T143&gt;AA$1185,"",AA1607+AA1887)</f>
        <v>0</v>
      </c>
      <c r="AB1327" s="123">
        <f>IF(tech_base!$T143&gt;AB$1185,"",AB1607+AB1887)</f>
        <v>0</v>
      </c>
      <c r="AC1327" s="123">
        <f>IF(tech_base!$T143&gt;AC$1185,"",AC1607+AC1887)</f>
        <v>0</v>
      </c>
      <c r="AD1327" s="123">
        <f>IF(tech_base!$T143&gt;AD$1185,"",AD1607+AD1887)</f>
        <v>0</v>
      </c>
      <c r="AE1327" s="123">
        <f>IF(tech_base!$T143&gt;AE$1185,"",AE1607+AE1887)</f>
        <v>0</v>
      </c>
      <c r="AF1327" s="123">
        <f>IF(tech_base!$T143&gt;AF$1185,"",AF1607+AF1887)</f>
        <v>0</v>
      </c>
      <c r="AG1327" s="123">
        <f>IF(tech_base!$T143&gt;AG$1185,"",AG1607+AG1887)</f>
        <v>0</v>
      </c>
      <c r="AH1327" s="123">
        <f>IF(tech_base!$T143&gt;AH$1185,"",AH1607+AH1887)</f>
        <v>0</v>
      </c>
      <c r="AI1327" s="123">
        <f>IF(tech_base!$T143&gt;AI$1185,"",AI1607+AI1887)</f>
        <v>0</v>
      </c>
      <c r="AJ1327" s="123">
        <f>IF(tech_base!$T143&gt;AJ$1185,"",AJ1607+AJ1887)</f>
        <v>0</v>
      </c>
      <c r="AK1327" s="123">
        <f>IF(tech_base!$T143&gt;AK$1185,"",AK1607+AK1887)</f>
        <v>0</v>
      </c>
      <c r="AL1327" s="123">
        <f>IF(tech_base!$T143&gt;AL$1185,"",AL1607+AL1887)</f>
        <v>0</v>
      </c>
      <c r="AM1327" s="123">
        <f>IF(tech_base!$T143&gt;AM$1185,"",AM1607+AM1887)</f>
        <v>0</v>
      </c>
      <c r="AN1327" s="123">
        <f>IF(tech_base!$T143&gt;AN$1185,"",AN1607+AN1887)</f>
        <v>0</v>
      </c>
      <c r="AO1327" s="123">
        <f>IF(tech_base!$T143&gt;AO$1185,"",AO1607+AO1887)</f>
        <v>0</v>
      </c>
      <c r="AP1327" s="123">
        <f>IF(tech_base!$T143&gt;AP$1185,"",AP1607+AP1887)</f>
        <v>0</v>
      </c>
      <c r="AQ1327" s="123">
        <f>IF(tech_base!$T143&gt;AQ$1185,"",AQ1607+AQ1887)</f>
        <v>0</v>
      </c>
      <c r="AR1327" s="123">
        <f>IF(tech_base!$T143&gt;AR$1185,"",AR1607+AR1887)</f>
        <v>0</v>
      </c>
      <c r="AS1327" s="123">
        <f>IF(tech_base!$T143&gt;AS$1185,"",AS1607+AS1887)</f>
        <v>0</v>
      </c>
      <c r="AT1327" s="123">
        <f>IF(tech_base!$T143&gt;AT$1185,"",AT1607+AT1887)</f>
        <v>0</v>
      </c>
      <c r="AU1327" s="123">
        <f>IF(tech_base!$T143&gt;AU$1185,"",AU1607+AU1887)</f>
        <v>0</v>
      </c>
      <c r="AV1327" s="123">
        <f>IF(tech_base!$T143&gt;AV$1185,"",AV1607+AV1887)</f>
        <v>0</v>
      </c>
      <c r="AW1327" s="123">
        <f>IF(tech_base!$T143&gt;AW$1185,"",AW1607+AW1887)</f>
        <v>0</v>
      </c>
      <c r="AX1327" s="124">
        <f>IF(tech_base!$T143&gt;AX$1185,"",AX1607+AX1887)</f>
        <v>0</v>
      </c>
    </row>
    <row r="1328" spans="1:50" x14ac:dyDescent="0.25">
      <c r="A1328" s="356"/>
      <c r="B1328" s="376"/>
      <c r="C1328" s="379"/>
      <c r="D1328" s="59" t="s">
        <v>8</v>
      </c>
      <c r="E1328" s="166" t="str">
        <f>A1325&amp;"/"&amp;B1325&amp;"/"&amp;C1327&amp;"/"&amp;D1328</f>
        <v>Diesel oil fired power plants/Gas turbine combined cycle/CHP/M</v>
      </c>
      <c r="F1328" s="79" t="str">
        <f>A1325</f>
        <v>Diesel oil fired power plants</v>
      </c>
      <c r="G1328" s="79" t="str">
        <f>B1325</f>
        <v>Gas turbine combined cycle</v>
      </c>
      <c r="H1328" s="79" t="str">
        <f>C1327</f>
        <v>CHP</v>
      </c>
      <c r="I1328" s="167" t="str">
        <f t="shared" si="374"/>
        <v>M</v>
      </c>
      <c r="J1328" s="125">
        <f>IF(tech_base!$T144&gt;J$1185,"",J1608+J1888)</f>
        <v>0</v>
      </c>
      <c r="K1328" s="125">
        <f>IF(tech_base!$T144&gt;K$1185,"",K1608+K1888)</f>
        <v>0</v>
      </c>
      <c r="L1328" s="125">
        <f>IF(tech_base!$T144&gt;L$1185,"",L1608+L1888)</f>
        <v>0</v>
      </c>
      <c r="M1328" s="125">
        <f>IF(tech_base!$T144&gt;M$1185,"",M1608+M1888)</f>
        <v>0</v>
      </c>
      <c r="N1328" s="125">
        <f>IF(tech_base!$T144&gt;N$1185,"",N1608+N1888)</f>
        <v>0</v>
      </c>
      <c r="O1328" s="125">
        <f>IF(tech_base!$T144&gt;O$1185,"",O1608+O1888)</f>
        <v>0</v>
      </c>
      <c r="P1328" s="125">
        <f>IF(tech_base!$T144&gt;P$1185,"",P1608+P1888)</f>
        <v>0</v>
      </c>
      <c r="Q1328" s="125">
        <f>IF(tech_base!$T144&gt;Q$1185,"",Q1608+Q1888)</f>
        <v>0</v>
      </c>
      <c r="R1328" s="125">
        <f>IF(tech_base!$T144&gt;R$1185,"",R1608+R1888)</f>
        <v>0</v>
      </c>
      <c r="S1328" s="125">
        <f>IF(tech_base!$T144&gt;S$1185,"",S1608+S1888)</f>
        <v>0</v>
      </c>
      <c r="T1328" s="125">
        <f>IF(tech_base!$T144&gt;T$1185,"",T1608+T1888)</f>
        <v>0</v>
      </c>
      <c r="U1328" s="125">
        <f>IF(tech_base!$T144&gt;U$1185,"",U1608+U1888)</f>
        <v>0</v>
      </c>
      <c r="V1328" s="125">
        <f>IF(tech_base!$T144&gt;V$1185,"",V1608+V1888)</f>
        <v>0</v>
      </c>
      <c r="W1328" s="125">
        <f>IF(tech_base!$T144&gt;W$1185,"",W1608+W1888)</f>
        <v>0</v>
      </c>
      <c r="X1328" s="125">
        <f>IF(tech_base!$T144&gt;X$1185,"",X1608+X1888)</f>
        <v>0</v>
      </c>
      <c r="Y1328" s="125">
        <f>IF(tech_base!$T144&gt;Y$1185,"",Y1608+Y1888)</f>
        <v>0</v>
      </c>
      <c r="Z1328" s="125">
        <f>IF(tech_base!$T144&gt;Z$1185,"",Z1608+Z1888)</f>
        <v>0</v>
      </c>
      <c r="AA1328" s="125">
        <f>IF(tech_base!$T144&gt;AA$1185,"",AA1608+AA1888)</f>
        <v>0</v>
      </c>
      <c r="AB1328" s="125">
        <f>IF(tech_base!$T144&gt;AB$1185,"",AB1608+AB1888)</f>
        <v>0</v>
      </c>
      <c r="AC1328" s="125">
        <f>IF(tech_base!$T144&gt;AC$1185,"",AC1608+AC1888)</f>
        <v>0</v>
      </c>
      <c r="AD1328" s="125">
        <f>IF(tech_base!$T144&gt;AD$1185,"",AD1608+AD1888)</f>
        <v>0</v>
      </c>
      <c r="AE1328" s="125">
        <f>IF(tech_base!$T144&gt;AE$1185,"",AE1608+AE1888)</f>
        <v>0</v>
      </c>
      <c r="AF1328" s="125">
        <f>IF(tech_base!$T144&gt;AF$1185,"",AF1608+AF1888)</f>
        <v>0</v>
      </c>
      <c r="AG1328" s="125">
        <f>IF(tech_base!$T144&gt;AG$1185,"",AG1608+AG1888)</f>
        <v>0</v>
      </c>
      <c r="AH1328" s="125">
        <f>IF(tech_base!$T144&gt;AH$1185,"",AH1608+AH1888)</f>
        <v>0</v>
      </c>
      <c r="AI1328" s="125">
        <f>IF(tech_base!$T144&gt;AI$1185,"",AI1608+AI1888)</f>
        <v>0</v>
      </c>
      <c r="AJ1328" s="125">
        <f>IF(tech_base!$T144&gt;AJ$1185,"",AJ1608+AJ1888)</f>
        <v>0</v>
      </c>
      <c r="AK1328" s="125">
        <f>IF(tech_base!$T144&gt;AK$1185,"",AK1608+AK1888)</f>
        <v>0</v>
      </c>
      <c r="AL1328" s="125">
        <f>IF(tech_base!$T144&gt;AL$1185,"",AL1608+AL1888)</f>
        <v>0</v>
      </c>
      <c r="AM1328" s="125">
        <f>IF(tech_base!$T144&gt;AM$1185,"",AM1608+AM1888)</f>
        <v>0</v>
      </c>
      <c r="AN1328" s="125">
        <f>IF(tech_base!$T144&gt;AN$1185,"",AN1608+AN1888)</f>
        <v>0</v>
      </c>
      <c r="AO1328" s="125">
        <f>IF(tech_base!$T144&gt;AO$1185,"",AO1608+AO1888)</f>
        <v>0</v>
      </c>
      <c r="AP1328" s="125">
        <f>IF(tech_base!$T144&gt;AP$1185,"",AP1608+AP1888)</f>
        <v>0</v>
      </c>
      <c r="AQ1328" s="125">
        <f>IF(tech_base!$T144&gt;AQ$1185,"",AQ1608+AQ1888)</f>
        <v>0</v>
      </c>
      <c r="AR1328" s="125">
        <f>IF(tech_base!$T144&gt;AR$1185,"",AR1608+AR1888)</f>
        <v>0</v>
      </c>
      <c r="AS1328" s="125">
        <f>IF(tech_base!$T144&gt;AS$1185,"",AS1608+AS1888)</f>
        <v>0</v>
      </c>
      <c r="AT1328" s="125">
        <f>IF(tech_base!$T144&gt;AT$1185,"",AT1608+AT1888)</f>
        <v>0</v>
      </c>
      <c r="AU1328" s="125">
        <f>IF(tech_base!$T144&gt;AU$1185,"",AU1608+AU1888)</f>
        <v>0</v>
      </c>
      <c r="AV1328" s="125">
        <f>IF(tech_base!$T144&gt;AV$1185,"",AV1608+AV1888)</f>
        <v>0</v>
      </c>
      <c r="AW1328" s="125">
        <f>IF(tech_base!$T144&gt;AW$1185,"",AW1608+AW1888)</f>
        <v>0</v>
      </c>
      <c r="AX1328" s="126">
        <f>IF(tech_base!$T144&gt;AX$1185,"",AX1608+AX1888)</f>
        <v>0</v>
      </c>
    </row>
    <row r="1329" spans="1:50" x14ac:dyDescent="0.25">
      <c r="A1329" s="356"/>
      <c r="B1329" s="376"/>
      <c r="C1329" s="361" t="s">
        <v>15</v>
      </c>
      <c r="D1329" s="58" t="s">
        <v>7</v>
      </c>
      <c r="E1329" s="164" t="str">
        <f>A1325&amp;"/"&amp;B1325&amp;"/"&amp;C1329&amp;"/"&amp;D1329</f>
        <v>Diesel oil fired power plants/Gas turbine combined cycle/Electricity only with CCS/L</v>
      </c>
      <c r="F1329" s="78" t="str">
        <f>A1325</f>
        <v>Diesel oil fired power plants</v>
      </c>
      <c r="G1329" s="78" t="str">
        <f>B1325</f>
        <v>Gas turbine combined cycle</v>
      </c>
      <c r="H1329" s="78" t="str">
        <f>C1329</f>
        <v>Electricity only with CCS</v>
      </c>
      <c r="I1329" s="165" t="str">
        <f t="shared" si="374"/>
        <v>L</v>
      </c>
      <c r="J1329" s="123" t="str">
        <f>IF(tech_base!$T145&gt;J$1185,"",J1609+J1889)</f>
        <v/>
      </c>
      <c r="K1329" s="123" t="str">
        <f>IF(tech_base!$T145&gt;K$1185,"",K1609+K1889)</f>
        <v/>
      </c>
      <c r="L1329" s="123" t="str">
        <f>IF(tech_base!$T145&gt;L$1185,"",L1609+L1889)</f>
        <v/>
      </c>
      <c r="M1329" s="123" t="str">
        <f>IF(tech_base!$T145&gt;M$1185,"",M1609+M1889)</f>
        <v/>
      </c>
      <c r="N1329" s="123" t="str">
        <f>IF(tech_base!$T145&gt;N$1185,"",N1609+N1889)</f>
        <v/>
      </c>
      <c r="O1329" s="123" t="str">
        <f>IF(tech_base!$T145&gt;O$1185,"",O1609+O1889)</f>
        <v/>
      </c>
      <c r="P1329" s="123" t="str">
        <f>IF(tech_base!$T145&gt;P$1185,"",P1609+P1889)</f>
        <v/>
      </c>
      <c r="Q1329" s="123" t="str">
        <f>IF(tech_base!$T145&gt;Q$1185,"",Q1609+Q1889)</f>
        <v/>
      </c>
      <c r="R1329" s="123" t="str">
        <f>IF(tech_base!$T145&gt;R$1185,"",R1609+R1889)</f>
        <v/>
      </c>
      <c r="S1329" s="123" t="str">
        <f>IF(tech_base!$T145&gt;S$1185,"",S1609+S1889)</f>
        <v/>
      </c>
      <c r="T1329" s="123" t="str">
        <f>IF(tech_base!$T145&gt;T$1185,"",T1609+T1889)</f>
        <v/>
      </c>
      <c r="U1329" s="123" t="str">
        <f>IF(tech_base!$T145&gt;U$1185,"",U1609+U1889)</f>
        <v/>
      </c>
      <c r="V1329" s="123" t="str">
        <f>IF(tech_base!$T145&gt;V$1185,"",V1609+V1889)</f>
        <v/>
      </c>
      <c r="W1329" s="123" t="str">
        <f>IF(tech_base!$T145&gt;W$1185,"",W1609+W1889)</f>
        <v/>
      </c>
      <c r="X1329" s="123" t="str">
        <f>IF(tech_base!$T145&gt;X$1185,"",X1609+X1889)</f>
        <v/>
      </c>
      <c r="Y1329" s="123" t="str">
        <f>IF(tech_base!$T145&gt;Y$1185,"",Y1609+Y1889)</f>
        <v/>
      </c>
      <c r="Z1329" s="123" t="str">
        <f>IF(tech_base!$T145&gt;Z$1185,"",Z1609+Z1889)</f>
        <v/>
      </c>
      <c r="AA1329" s="123" t="str">
        <f>IF(tech_base!$T145&gt;AA$1185,"",AA1609+AA1889)</f>
        <v/>
      </c>
      <c r="AB1329" s="123" t="str">
        <f>IF(tech_base!$T145&gt;AB$1185,"",AB1609+AB1889)</f>
        <v/>
      </c>
      <c r="AC1329" s="123" t="str">
        <f>IF(tech_base!$T145&gt;AC$1185,"",AC1609+AC1889)</f>
        <v/>
      </c>
      <c r="AD1329" s="123" t="str">
        <f>IF(tech_base!$T145&gt;AD$1185,"",AD1609+AD1889)</f>
        <v/>
      </c>
      <c r="AE1329" s="123">
        <f>IF(tech_base!$T145&gt;AE$1185,"",AE1609+AE1889)</f>
        <v>5.9174668206822165</v>
      </c>
      <c r="AF1329" s="123">
        <f>IF(tech_base!$T145&gt;AF$1185,"",AF1609+AF1889)</f>
        <v>5.9161731199418197</v>
      </c>
      <c r="AG1329" s="123">
        <f>IF(tech_base!$T145&gt;AG$1185,"",AG1609+AG1889)</f>
        <v>5.9145159962926526</v>
      </c>
      <c r="AH1329" s="123">
        <f>IF(tech_base!$T145&gt;AH$1185,"",AH1609+AH1889)</f>
        <v>5.9123948117995928</v>
      </c>
      <c r="AI1329" s="123">
        <f>IF(tech_base!$T145&gt;AI$1185,"",AI1609+AI1889)</f>
        <v>5.9096819929765418</v>
      </c>
      <c r="AJ1329" s="123">
        <f>IF(tech_base!$T145&gt;AJ$1185,"",AJ1609+AJ1889)</f>
        <v>5.9062164191373965</v>
      </c>
      <c r="AK1329" s="123">
        <f>IF(tech_base!$T145&gt;AK$1185,"",AK1609+AK1889)</f>
        <v>5.9017955735154022</v>
      </c>
      <c r="AL1329" s="123">
        <f>IF(tech_base!$T145&gt;AL$1185,"",AL1609+AL1889)</f>
        <v>5.8961664856655389</v>
      </c>
      <c r="AM1329" s="123">
        <f>IF(tech_base!$T145&gt;AM$1185,"",AM1609+AM1889)</f>
        <v>5.8890157106999776</v>
      </c>
      <c r="AN1329" s="123">
        <f>IF(tech_base!$T145&gt;AN$1185,"",AN1609+AN1889)</f>
        <v>5.8799589669990011</v>
      </c>
      <c r="AO1329" s="123">
        <f>IF(tech_base!$T145&gt;AO$1185,"",AO1609+AO1889)</f>
        <v>5.8685316609752034</v>
      </c>
      <c r="AP1329" s="123">
        <f>IF(tech_base!$T145&gt;AP$1185,"",AP1609+AP1889)</f>
        <v>5.8541824429825535</v>
      </c>
      <c r="AQ1329" s="123">
        <f>IF(tech_base!$T145&gt;AQ$1185,"",AQ1609+AQ1889)</f>
        <v>5.8362732163220903</v>
      </c>
      <c r="AR1329" s="123">
        <f>IF(tech_base!$T145&gt;AR$1185,"",AR1609+AR1889)</f>
        <v>5.8140906247347148</v>
      </c>
      <c r="AS1329" s="123">
        <f>IF(tech_base!$T145&gt;AS$1185,"",AS1609+AS1889)</f>
        <v>5.7868757238438473</v>
      </c>
      <c r="AT1329" s="123">
        <f>IF(tech_base!$T145&gt;AT$1185,"",AT1609+AT1889)</f>
        <v>5.7538796568309341</v>
      </c>
      <c r="AU1329" s="123">
        <f>IF(tech_base!$T145&gt;AU$1185,"",AU1609+AU1889)</f>
        <v>5.7144524797519907</v>
      </c>
      <c r="AV1329" s="123">
        <f>IF(tech_base!$T145&gt;AV$1185,"",AV1609+AV1889)</f>
        <v>5.6681679833650058</v>
      </c>
      <c r="AW1329" s="123">
        <f>IF(tech_base!$T145&gt;AW$1185,"",AW1609+AW1889)</f>
        <v>5.6149774761539586</v>
      </c>
      <c r="AX1329" s="124">
        <f>IF(tech_base!$T145&gt;AX$1185,"",AX1609+AX1889)</f>
        <v>5.5553693668888595</v>
      </c>
    </row>
    <row r="1330" spans="1:50" x14ac:dyDescent="0.25">
      <c r="A1330" s="356"/>
      <c r="B1330" s="376"/>
      <c r="C1330" s="379"/>
      <c r="D1330" s="59" t="s">
        <v>8</v>
      </c>
      <c r="E1330" s="166" t="str">
        <f>A1325&amp;"/"&amp;B1325&amp;"/"&amp;C1329&amp;"/"&amp;D1330</f>
        <v>Diesel oil fired power plants/Gas turbine combined cycle/Electricity only with CCS/M</v>
      </c>
      <c r="F1330" s="79" t="str">
        <f>A1325</f>
        <v>Diesel oil fired power plants</v>
      </c>
      <c r="G1330" s="79" t="str">
        <f>B1325</f>
        <v>Gas turbine combined cycle</v>
      </c>
      <c r="H1330" s="79" t="str">
        <f>C1329</f>
        <v>Electricity only with CCS</v>
      </c>
      <c r="I1330" s="167" t="str">
        <f t="shared" si="374"/>
        <v>M</v>
      </c>
      <c r="J1330" s="125" t="str">
        <f>IF(tech_base!$T146&gt;J$1185,"",J1610+J1890)</f>
        <v/>
      </c>
      <c r="K1330" s="125" t="str">
        <f>IF(tech_base!$T146&gt;K$1185,"",K1610+K1890)</f>
        <v/>
      </c>
      <c r="L1330" s="125" t="str">
        <f>IF(tech_base!$T146&gt;L$1185,"",L1610+L1890)</f>
        <v/>
      </c>
      <c r="M1330" s="125" t="str">
        <f>IF(tech_base!$T146&gt;M$1185,"",M1610+M1890)</f>
        <v/>
      </c>
      <c r="N1330" s="125" t="str">
        <f>IF(tech_base!$T146&gt;N$1185,"",N1610+N1890)</f>
        <v/>
      </c>
      <c r="O1330" s="125" t="str">
        <f>IF(tech_base!$T146&gt;O$1185,"",O1610+O1890)</f>
        <v/>
      </c>
      <c r="P1330" s="125" t="str">
        <f>IF(tech_base!$T146&gt;P$1185,"",P1610+P1890)</f>
        <v/>
      </c>
      <c r="Q1330" s="125" t="str">
        <f>IF(tech_base!$T146&gt;Q$1185,"",Q1610+Q1890)</f>
        <v/>
      </c>
      <c r="R1330" s="125" t="str">
        <f>IF(tech_base!$T146&gt;R$1185,"",R1610+R1890)</f>
        <v/>
      </c>
      <c r="S1330" s="125" t="str">
        <f>IF(tech_base!$T146&gt;S$1185,"",S1610+S1890)</f>
        <v/>
      </c>
      <c r="T1330" s="125" t="str">
        <f>IF(tech_base!$T146&gt;T$1185,"",T1610+T1890)</f>
        <v/>
      </c>
      <c r="U1330" s="125" t="str">
        <f>IF(tech_base!$T146&gt;U$1185,"",U1610+U1890)</f>
        <v/>
      </c>
      <c r="V1330" s="125" t="str">
        <f>IF(tech_base!$T146&gt;V$1185,"",V1610+V1890)</f>
        <v/>
      </c>
      <c r="W1330" s="125" t="str">
        <f>IF(tech_base!$T146&gt;W$1185,"",W1610+W1890)</f>
        <v/>
      </c>
      <c r="X1330" s="125" t="str">
        <f>IF(tech_base!$T146&gt;X$1185,"",X1610+X1890)</f>
        <v/>
      </c>
      <c r="Y1330" s="125" t="str">
        <f>IF(tech_base!$T146&gt;Y$1185,"",Y1610+Y1890)</f>
        <v/>
      </c>
      <c r="Z1330" s="125" t="str">
        <f>IF(tech_base!$T146&gt;Z$1185,"",Z1610+Z1890)</f>
        <v/>
      </c>
      <c r="AA1330" s="125" t="str">
        <f>IF(tech_base!$T146&gt;AA$1185,"",AA1610+AA1890)</f>
        <v/>
      </c>
      <c r="AB1330" s="125" t="str">
        <f>IF(tech_base!$T146&gt;AB$1185,"",AB1610+AB1890)</f>
        <v/>
      </c>
      <c r="AC1330" s="125" t="str">
        <f>IF(tech_base!$T146&gt;AC$1185,"",AC1610+AC1890)</f>
        <v/>
      </c>
      <c r="AD1330" s="125" t="str">
        <f>IF(tech_base!$T146&gt;AD$1185,"",AD1610+AD1890)</f>
        <v/>
      </c>
      <c r="AE1330" s="125">
        <f>IF(tech_base!$T146&gt;AE$1185,"",AE1610+AE1890)</f>
        <v>6.2500131735250326</v>
      </c>
      <c r="AF1330" s="125">
        <f>IF(tech_base!$T146&gt;AF$1185,"",AF1610+AF1890)</f>
        <v>6.2487608100218361</v>
      </c>
      <c r="AG1330" s="125">
        <f>IF(tech_base!$T146&gt;AG$1185,"",AG1610+AG1890)</f>
        <v>6.2471566693550971</v>
      </c>
      <c r="AH1330" s="125">
        <f>IF(tech_base!$T146&gt;AH$1185,"",AH1610+AH1890)</f>
        <v>6.2451033599831209</v>
      </c>
      <c r="AI1330" s="125">
        <f>IF(tech_base!$T146&gt;AI$1185,"",AI1610+AI1890)</f>
        <v>6.2424774375382972</v>
      </c>
      <c r="AJ1330" s="125">
        <f>IF(tech_base!$T146&gt;AJ$1185,"",AJ1610+AJ1890)</f>
        <v>6.2391230188541655</v>
      </c>
      <c r="AK1330" s="125">
        <f>IF(tech_base!$T146&gt;AK$1185,"",AK1610+AK1890)</f>
        <v>6.2348442071394485</v>
      </c>
      <c r="AL1330" s="125">
        <f>IF(tech_base!$T146&gt;AL$1185,"",AL1610+AL1890)</f>
        <v>6.2293963609319594</v>
      </c>
      <c r="AM1330" s="125">
        <f>IF(tech_base!$T146&gt;AM$1185,"",AM1610+AM1890)</f>
        <v>6.2224764520506293</v>
      </c>
      <c r="AN1330" s="125">
        <f>IF(tech_base!$T146&gt;AN$1185,"",AN1610+AN1890)</f>
        <v>6.2137131251585087</v>
      </c>
      <c r="AO1330" s="125">
        <f>IF(tech_base!$T146&gt;AO$1185,"",AO1610+AO1890)</f>
        <v>6.2026576630808004</v>
      </c>
      <c r="AP1330" s="125">
        <f>IF(tech_base!$T146&gt;AP$1185,"",AP1610+AP1890)</f>
        <v>6.1887779521250108</v>
      </c>
      <c r="AQ1330" s="125">
        <f>IF(tech_base!$T146&gt;AQ$1185,"",AQ1610+AQ1890)</f>
        <v>6.1714587802148362</v>
      </c>
      <c r="AR1330" s="125">
        <f>IF(tech_base!$T146&gt;AR$1185,"",AR1610+AR1890)</f>
        <v>6.1500133475414147</v>
      </c>
      <c r="AS1330" s="125">
        <f>IF(tech_base!$T146&gt;AS$1185,"",AS1610+AS1890)</f>
        <v>6.1237124756195174</v>
      </c>
      <c r="AT1330" s="125">
        <f>IF(tech_base!$T146&gt;AT$1185,"",AT1610+AT1890)</f>
        <v>6.0918390330347449</v>
      </c>
      <c r="AU1330" s="125">
        <f>IF(tech_base!$T146&gt;AU$1185,"",AU1610+AU1890)</f>
        <v>6.0537743574717648</v>
      </c>
      <c r="AV1330" s="125">
        <f>IF(tech_base!$T146&gt;AV$1185,"",AV1610+AV1890)</f>
        <v>6.0091191673049549</v>
      </c>
      <c r="AW1330" s="125">
        <f>IF(tech_base!$T146&gt;AW$1185,"",AW1610+AW1890)</f>
        <v>5.957841756767964</v>
      </c>
      <c r="AX1330" s="126">
        <f>IF(tech_base!$T146&gt;AX$1185,"",AX1610+AX1890)</f>
        <v>5.900430609789078</v>
      </c>
    </row>
    <row r="1331" spans="1:50" x14ac:dyDescent="0.25">
      <c r="A1331" s="356"/>
      <c r="B1331" s="376"/>
      <c r="C1331" s="361" t="s">
        <v>16</v>
      </c>
      <c r="D1331" s="2" t="s">
        <v>7</v>
      </c>
      <c r="E1331" s="160" t="str">
        <f>A1325&amp;"/"&amp;B1325&amp;"/"&amp;C1331&amp;"/"&amp;D1331</f>
        <v>Diesel oil fired power plants/Gas turbine combined cycle/CHP with CCS/L</v>
      </c>
      <c r="F1331" s="76" t="str">
        <f>A1325</f>
        <v>Diesel oil fired power plants</v>
      </c>
      <c r="G1331" s="76" t="str">
        <f>B1325</f>
        <v>Gas turbine combined cycle</v>
      </c>
      <c r="H1331" s="76" t="str">
        <f>C1331</f>
        <v>CHP with CCS</v>
      </c>
      <c r="I1331" s="161" t="str">
        <f t="shared" si="374"/>
        <v>L</v>
      </c>
      <c r="J1331" s="119" t="str">
        <f>IF(tech_base!$T147&gt;J$1185,"",J1611+J1891)</f>
        <v/>
      </c>
      <c r="K1331" s="119" t="str">
        <f>IF(tech_base!$T147&gt;K$1185,"",K1611+K1891)</f>
        <v/>
      </c>
      <c r="L1331" s="119" t="str">
        <f>IF(tech_base!$T147&gt;L$1185,"",L1611+L1891)</f>
        <v/>
      </c>
      <c r="M1331" s="119" t="str">
        <f>IF(tech_base!$T147&gt;M$1185,"",M1611+M1891)</f>
        <v/>
      </c>
      <c r="N1331" s="119" t="str">
        <f>IF(tech_base!$T147&gt;N$1185,"",N1611+N1891)</f>
        <v/>
      </c>
      <c r="O1331" s="119" t="str">
        <f>IF(tech_base!$T147&gt;O$1185,"",O1611+O1891)</f>
        <v/>
      </c>
      <c r="P1331" s="119" t="str">
        <f>IF(tech_base!$T147&gt;P$1185,"",P1611+P1891)</f>
        <v/>
      </c>
      <c r="Q1331" s="119" t="str">
        <f>IF(tech_base!$T147&gt;Q$1185,"",Q1611+Q1891)</f>
        <v/>
      </c>
      <c r="R1331" s="119" t="str">
        <f>IF(tech_base!$T147&gt;R$1185,"",R1611+R1891)</f>
        <v/>
      </c>
      <c r="S1331" s="119" t="str">
        <f>IF(tech_base!$T147&gt;S$1185,"",S1611+S1891)</f>
        <v/>
      </c>
      <c r="T1331" s="119" t="str">
        <f>IF(tech_base!$T147&gt;T$1185,"",T1611+T1891)</f>
        <v/>
      </c>
      <c r="U1331" s="119" t="str">
        <f>IF(tech_base!$T147&gt;U$1185,"",U1611+U1891)</f>
        <v/>
      </c>
      <c r="V1331" s="119" t="str">
        <f>IF(tech_base!$T147&gt;V$1185,"",V1611+V1891)</f>
        <v/>
      </c>
      <c r="W1331" s="119" t="str">
        <f>IF(tech_base!$T147&gt;W$1185,"",W1611+W1891)</f>
        <v/>
      </c>
      <c r="X1331" s="119" t="str">
        <f>IF(tech_base!$T147&gt;X$1185,"",X1611+X1891)</f>
        <v/>
      </c>
      <c r="Y1331" s="119" t="str">
        <f>IF(tech_base!$T147&gt;Y$1185,"",Y1611+Y1891)</f>
        <v/>
      </c>
      <c r="Z1331" s="119" t="str">
        <f>IF(tech_base!$T147&gt;Z$1185,"",Z1611+Z1891)</f>
        <v/>
      </c>
      <c r="AA1331" s="119" t="str">
        <f>IF(tech_base!$T147&gt;AA$1185,"",AA1611+AA1891)</f>
        <v/>
      </c>
      <c r="AB1331" s="119" t="str">
        <f>IF(tech_base!$T147&gt;AB$1185,"",AB1611+AB1891)</f>
        <v/>
      </c>
      <c r="AC1331" s="119" t="str">
        <f>IF(tech_base!$T147&gt;AC$1185,"",AC1611+AC1891)</f>
        <v/>
      </c>
      <c r="AD1331" s="119" t="str">
        <f>IF(tech_base!$T147&gt;AD$1185,"",AD1611+AD1891)</f>
        <v/>
      </c>
      <c r="AE1331" s="119">
        <f>IF(tech_base!$T147&gt;AE$1185,"",AE1611+AE1891)</f>
        <v>6.586882989902028</v>
      </c>
      <c r="AF1331" s="119">
        <f>IF(tech_base!$T147&gt;AF$1185,"",AF1611+AF1891)</f>
        <v>6.5857840803154035</v>
      </c>
      <c r="AG1331" s="119">
        <f>IF(tech_base!$T147&gt;AG$1185,"",AG1611+AG1891)</f>
        <v>6.5843760168690153</v>
      </c>
      <c r="AH1331" s="119">
        <f>IF(tech_base!$T147&gt;AH$1185,"",AH1611+AH1891)</f>
        <v>6.5825728987560064</v>
      </c>
      <c r="AI1331" s="119">
        <f>IF(tech_base!$T147&gt;AI$1185,"",AI1611+AI1891)</f>
        <v>6.5802656460470317</v>
      </c>
      <c r="AJ1331" s="119">
        <f>IF(tech_base!$T147&gt;AJ$1185,"",AJ1611+AJ1891)</f>
        <v>6.5773161870690595</v>
      </c>
      <c r="AK1331" s="119">
        <f>IF(tech_base!$T147&gt;AK$1185,"",AK1611+AK1891)</f>
        <v>6.573550473192757</v>
      </c>
      <c r="AL1331" s="119">
        <f>IF(tech_base!$T147&gt;AL$1185,"",AL1611+AL1891)</f>
        <v>6.5687502748528788</v>
      </c>
      <c r="AM1331" s="119">
        <f>IF(tech_base!$T147&gt;AM$1185,"",AM1611+AM1891)</f>
        <v>6.5626438607901614</v>
      </c>
      <c r="AN1331" s="119">
        <f>IF(tech_base!$T147&gt;AN$1185,"",AN1611+AN1891)</f>
        <v>6.5548959318802078</v>
      </c>
      <c r="AO1331" s="119">
        <f>IF(tech_base!$T147&gt;AO$1185,"",AO1611+AO1891)</f>
        <v>6.5450976323522756</v>
      </c>
      <c r="AP1331" s="119">
        <f>IF(tech_base!$T147&gt;AP$1185,"",AP1611+AP1891)</f>
        <v>6.5327581676489554</v>
      </c>
      <c r="AQ1331" s="119">
        <f>IF(tech_base!$T147&gt;AQ$1185,"",AQ1611+AQ1891)</f>
        <v>6.5173005879170214</v>
      </c>
      <c r="AR1331" s="119">
        <f>IF(tech_base!$T147&gt;AR$1185,"",AR1611+AR1891)</f>
        <v>6.4980656702052082</v>
      </c>
      <c r="AS1331" s="119">
        <f>IF(tech_base!$T147&gt;AS$1185,"",AS1611+AS1891)</f>
        <v>6.4743294392676631</v>
      </c>
      <c r="AT1331" s="119">
        <f>IF(tech_base!$T147&gt;AT$1185,"",AT1611+AT1891)</f>
        <v>6.4453413206337329</v>
      </c>
      <c r="AU1331" s="119">
        <f>IF(tech_base!$T147&gt;AU$1185,"",AU1611+AU1891)</f>
        <v>6.4103903781430809</v>
      </c>
      <c r="AV1331" s="119">
        <f>IF(tech_base!$T147&gt;AV$1185,"",AV1611+AV1891)</f>
        <v>6.3689051241011088</v>
      </c>
      <c r="AW1331" s="119">
        <f>IF(tech_base!$T147&gt;AW$1185,"",AW1611+AW1891)</f>
        <v>6.3205861512888966</v>
      </c>
      <c r="AX1331" s="120">
        <f>IF(tech_base!$T147&gt;AX$1185,"",AX1611+AX1891)</f>
        <v>6.2655588732855394</v>
      </c>
    </row>
    <row r="1332" spans="1:50" x14ac:dyDescent="0.25">
      <c r="A1332" s="356"/>
      <c r="B1332" s="380"/>
      <c r="C1332" s="381"/>
      <c r="D1332" s="4" t="s">
        <v>8</v>
      </c>
      <c r="E1332" s="168" t="str">
        <f>A1325&amp;"/"&amp;B1325&amp;"/"&amp;C1331&amp;"/"&amp;D1332</f>
        <v>Diesel oil fired power plants/Gas turbine combined cycle/CHP with CCS/M</v>
      </c>
      <c r="F1332" s="80" t="str">
        <f>A1325</f>
        <v>Diesel oil fired power plants</v>
      </c>
      <c r="G1332" s="80" t="str">
        <f>B1325</f>
        <v>Gas turbine combined cycle</v>
      </c>
      <c r="H1332" s="80" t="str">
        <f>C1331</f>
        <v>CHP with CCS</v>
      </c>
      <c r="I1332" s="169" t="str">
        <f t="shared" si="374"/>
        <v>M</v>
      </c>
      <c r="J1332" s="127" t="str">
        <f>IF(tech_base!$T148&gt;J$1185,"",J1612+J1892)</f>
        <v/>
      </c>
      <c r="K1332" s="127" t="str">
        <f>IF(tech_base!$T148&gt;K$1185,"",K1612+K1892)</f>
        <v/>
      </c>
      <c r="L1332" s="127" t="str">
        <f>IF(tech_base!$T148&gt;L$1185,"",L1612+L1892)</f>
        <v/>
      </c>
      <c r="M1332" s="127" t="str">
        <f>IF(tech_base!$T148&gt;M$1185,"",M1612+M1892)</f>
        <v/>
      </c>
      <c r="N1332" s="127" t="str">
        <f>IF(tech_base!$T148&gt;N$1185,"",N1612+N1892)</f>
        <v/>
      </c>
      <c r="O1332" s="127" t="str">
        <f>IF(tech_base!$T148&gt;O$1185,"",O1612+O1892)</f>
        <v/>
      </c>
      <c r="P1332" s="127" t="str">
        <f>IF(tech_base!$T148&gt;P$1185,"",P1612+P1892)</f>
        <v/>
      </c>
      <c r="Q1332" s="127" t="str">
        <f>IF(tech_base!$T148&gt;Q$1185,"",Q1612+Q1892)</f>
        <v/>
      </c>
      <c r="R1332" s="127" t="str">
        <f>IF(tech_base!$T148&gt;R$1185,"",R1612+R1892)</f>
        <v/>
      </c>
      <c r="S1332" s="127" t="str">
        <f>IF(tech_base!$T148&gt;S$1185,"",S1612+S1892)</f>
        <v/>
      </c>
      <c r="T1332" s="127" t="str">
        <f>IF(tech_base!$T148&gt;T$1185,"",T1612+T1892)</f>
        <v/>
      </c>
      <c r="U1332" s="127" t="str">
        <f>IF(tech_base!$T148&gt;U$1185,"",U1612+U1892)</f>
        <v/>
      </c>
      <c r="V1332" s="127" t="str">
        <f>IF(tech_base!$T148&gt;V$1185,"",V1612+V1892)</f>
        <v/>
      </c>
      <c r="W1332" s="127" t="str">
        <f>IF(tech_base!$T148&gt;W$1185,"",W1612+W1892)</f>
        <v/>
      </c>
      <c r="X1332" s="127" t="str">
        <f>IF(tech_base!$T148&gt;X$1185,"",X1612+X1892)</f>
        <v/>
      </c>
      <c r="Y1332" s="127" t="str">
        <f>IF(tech_base!$T148&gt;Y$1185,"",Y1612+Y1892)</f>
        <v/>
      </c>
      <c r="Z1332" s="127" t="str">
        <f>IF(tech_base!$T148&gt;Z$1185,"",Z1612+Z1892)</f>
        <v/>
      </c>
      <c r="AA1332" s="127" t="str">
        <f>IF(tech_base!$T148&gt;AA$1185,"",AA1612+AA1892)</f>
        <v/>
      </c>
      <c r="AB1332" s="127" t="str">
        <f>IF(tech_base!$T148&gt;AB$1185,"",AB1612+AB1892)</f>
        <v/>
      </c>
      <c r="AC1332" s="127" t="str">
        <f>IF(tech_base!$T148&gt;AC$1185,"",AC1612+AC1892)</f>
        <v/>
      </c>
      <c r="AD1332" s="127" t="str">
        <f>IF(tech_base!$T148&gt;AD$1185,"",AD1612+AD1892)</f>
        <v/>
      </c>
      <c r="AE1332" s="127">
        <f>IF(tech_base!$T148&gt;AE$1185,"",AE1612+AE1892)</f>
        <v>6.9615601539034513</v>
      </c>
      <c r="AF1332" s="127">
        <f>IF(tech_base!$T148&gt;AF$1185,"",AF1612+AF1892)</f>
        <v>6.9605044399307978</v>
      </c>
      <c r="AG1332" s="127">
        <f>IF(tech_base!$T148&gt;AG$1185,"",AG1612+AG1892)</f>
        <v>6.9591517476659748</v>
      </c>
      <c r="AH1332" s="127">
        <f>IF(tech_base!$T148&gt;AH$1185,"",AH1612+AH1892)</f>
        <v>6.957419574472075</v>
      </c>
      <c r="AI1332" s="127">
        <f>IF(tech_base!$T148&gt;AI$1185,"",AI1612+AI1892)</f>
        <v>6.9552031652602082</v>
      </c>
      <c r="AJ1332" s="127">
        <f>IF(tech_base!$T148&gt;AJ$1185,"",AJ1612+AJ1892)</f>
        <v>6.9523699385658695</v>
      </c>
      <c r="AK1332" s="127">
        <f>IF(tech_base!$T148&gt;AK$1185,"",AK1612+AK1892)</f>
        <v>6.9487527924562986</v>
      </c>
      <c r="AL1332" s="127">
        <f>IF(tech_base!$T148&gt;AL$1185,"",AL1612+AL1892)</f>
        <v>6.9441422495764735</v>
      </c>
      <c r="AM1332" s="127">
        <f>IF(tech_base!$T148&gt;AM$1185,"",AM1612+AM1892)</f>
        <v>6.9382775448716885</v>
      </c>
      <c r="AN1332" s="127">
        <f>IF(tech_base!$T148&gt;AN$1185,"",AN1612+AN1892)</f>
        <v>6.9308370209317705</v>
      </c>
      <c r="AO1332" s="127">
        <f>IF(tech_base!$T148&gt;AO$1185,"",AO1612+AO1892)</f>
        <v>6.9214286329499943</v>
      </c>
      <c r="AP1332" s="127">
        <f>IF(tech_base!$T148&gt;AP$1185,"",AP1612+AP1892)</f>
        <v>6.9095820476957002</v>
      </c>
      <c r="AQ1332" s="127">
        <f>IF(tech_base!$T148&gt;AQ$1185,"",AQ1612+AQ1892)</f>
        <v>6.8947448130570308</v>
      </c>
      <c r="AR1332" s="127">
        <f>IF(tech_base!$T148&gt;AR$1185,"",AR1612+AR1892)</f>
        <v>6.8762863940381607</v>
      </c>
      <c r="AS1332" s="127">
        <f>IF(tech_base!$T148&gt;AS$1185,"",AS1612+AS1892)</f>
        <v>6.8535154049539946</v>
      </c>
      <c r="AT1332" s="127">
        <f>IF(tech_base!$T148&gt;AT$1185,"",AT1612+AT1892)</f>
        <v>6.8257167365491354</v>
      </c>
      <c r="AU1332" s="127">
        <f>IF(tech_base!$T148&gt;AU$1185,"",AU1612+AU1892)</f>
        <v>6.7922156607054003</v>
      </c>
      <c r="AV1332" s="127">
        <f>IF(tech_base!$T148&gt;AV$1185,"",AV1612+AV1892)</f>
        <v>6.7524740153297911</v>
      </c>
      <c r="AW1332" s="127">
        <f>IF(tech_base!$T148&gt;AW$1185,"",AW1612+AW1892)</f>
        <v>6.706217458354141</v>
      </c>
      <c r="AX1332" s="128">
        <f>IF(tech_base!$T148&gt;AX$1185,"",AX1612+AX1892)</f>
        <v>6.6535811908128624</v>
      </c>
    </row>
    <row r="1333" spans="1:50" x14ac:dyDescent="0.25">
      <c r="A1333" s="356"/>
      <c r="B1333" s="358" t="s">
        <v>24</v>
      </c>
      <c r="C1333" s="353" t="s">
        <v>6</v>
      </c>
      <c r="D1333" s="3" t="s">
        <v>7</v>
      </c>
      <c r="E1333" s="162" t="str">
        <f>A1325&amp;"/"&amp;B1333&amp;"/"&amp;C1333&amp;"/"&amp;D1333</f>
        <v>Diesel oil fired power plants/Gas turbine /Electricity only/L</v>
      </c>
      <c r="F1333" s="77" t="str">
        <f>A1325</f>
        <v>Diesel oil fired power plants</v>
      </c>
      <c r="G1333" s="77" t="str">
        <f>B1333</f>
        <v xml:space="preserve">Gas turbine </v>
      </c>
      <c r="H1333" s="77" t="str">
        <f>C1333</f>
        <v>Electricity only</v>
      </c>
      <c r="I1333" s="163" t="str">
        <f t="shared" si="374"/>
        <v>L</v>
      </c>
      <c r="J1333" s="121">
        <f>IF(tech_base!$T149&gt;J$1185,"",J1613+J1893)</f>
        <v>0</v>
      </c>
      <c r="K1333" s="121">
        <f>IF(tech_base!$T149&gt;K$1185,"",K1613+K1893)</f>
        <v>0</v>
      </c>
      <c r="L1333" s="121">
        <f>IF(tech_base!$T149&gt;L$1185,"",L1613+L1893)</f>
        <v>0</v>
      </c>
      <c r="M1333" s="121">
        <f>IF(tech_base!$T149&gt;M$1185,"",M1613+M1893)</f>
        <v>0</v>
      </c>
      <c r="N1333" s="121">
        <f>IF(tech_base!$T149&gt;N$1185,"",N1613+N1893)</f>
        <v>0</v>
      </c>
      <c r="O1333" s="121">
        <f>IF(tech_base!$T149&gt;O$1185,"",O1613+O1893)</f>
        <v>0</v>
      </c>
      <c r="P1333" s="121">
        <f>IF(tech_base!$T149&gt;P$1185,"",P1613+P1893)</f>
        <v>0</v>
      </c>
      <c r="Q1333" s="121">
        <f>IF(tech_base!$T149&gt;Q$1185,"",Q1613+Q1893)</f>
        <v>0</v>
      </c>
      <c r="R1333" s="121">
        <f>IF(tech_base!$T149&gt;R$1185,"",R1613+R1893)</f>
        <v>0</v>
      </c>
      <c r="S1333" s="121">
        <f>IF(tech_base!$T149&gt;S$1185,"",S1613+S1893)</f>
        <v>0</v>
      </c>
      <c r="T1333" s="121">
        <f>IF(tech_base!$T149&gt;T$1185,"",T1613+T1893)</f>
        <v>0</v>
      </c>
      <c r="U1333" s="121">
        <f>IF(tech_base!$T149&gt;U$1185,"",U1613+U1893)</f>
        <v>0</v>
      </c>
      <c r="V1333" s="121">
        <f>IF(tech_base!$T149&gt;V$1185,"",V1613+V1893)</f>
        <v>0</v>
      </c>
      <c r="W1333" s="121">
        <f>IF(tech_base!$T149&gt;W$1185,"",W1613+W1893)</f>
        <v>0</v>
      </c>
      <c r="X1333" s="121">
        <f>IF(tech_base!$T149&gt;X$1185,"",X1613+X1893)</f>
        <v>0</v>
      </c>
      <c r="Y1333" s="121">
        <f>IF(tech_base!$T149&gt;Y$1185,"",Y1613+Y1893)</f>
        <v>0</v>
      </c>
      <c r="Z1333" s="121">
        <f>IF(tech_base!$T149&gt;Z$1185,"",Z1613+Z1893)</f>
        <v>0</v>
      </c>
      <c r="AA1333" s="121">
        <f>IF(tech_base!$T149&gt;AA$1185,"",AA1613+AA1893)</f>
        <v>0</v>
      </c>
      <c r="AB1333" s="121">
        <f>IF(tech_base!$T149&gt;AB$1185,"",AB1613+AB1893)</f>
        <v>0</v>
      </c>
      <c r="AC1333" s="121">
        <f>IF(tech_base!$T149&gt;AC$1185,"",AC1613+AC1893)</f>
        <v>0</v>
      </c>
      <c r="AD1333" s="121">
        <f>IF(tech_base!$T149&gt;AD$1185,"",AD1613+AD1893)</f>
        <v>0</v>
      </c>
      <c r="AE1333" s="121">
        <f>IF(tech_base!$T149&gt;AE$1185,"",AE1613+AE1893)</f>
        <v>0</v>
      </c>
      <c r="AF1333" s="121">
        <f>IF(tech_base!$T149&gt;AF$1185,"",AF1613+AF1893)</f>
        <v>0</v>
      </c>
      <c r="AG1333" s="121">
        <f>IF(tech_base!$T149&gt;AG$1185,"",AG1613+AG1893)</f>
        <v>0</v>
      </c>
      <c r="AH1333" s="121">
        <f>IF(tech_base!$T149&gt;AH$1185,"",AH1613+AH1893)</f>
        <v>0</v>
      </c>
      <c r="AI1333" s="121">
        <f>IF(tech_base!$T149&gt;AI$1185,"",AI1613+AI1893)</f>
        <v>0</v>
      </c>
      <c r="AJ1333" s="121">
        <f>IF(tech_base!$T149&gt;AJ$1185,"",AJ1613+AJ1893)</f>
        <v>0</v>
      </c>
      <c r="AK1333" s="121">
        <f>IF(tech_base!$T149&gt;AK$1185,"",AK1613+AK1893)</f>
        <v>0</v>
      </c>
      <c r="AL1333" s="121">
        <f>IF(tech_base!$T149&gt;AL$1185,"",AL1613+AL1893)</f>
        <v>0</v>
      </c>
      <c r="AM1333" s="121">
        <f>IF(tech_base!$T149&gt;AM$1185,"",AM1613+AM1893)</f>
        <v>0</v>
      </c>
      <c r="AN1333" s="121">
        <f>IF(tech_base!$T149&gt;AN$1185,"",AN1613+AN1893)</f>
        <v>0</v>
      </c>
      <c r="AO1333" s="121">
        <f>IF(tech_base!$T149&gt;AO$1185,"",AO1613+AO1893)</f>
        <v>0</v>
      </c>
      <c r="AP1333" s="121">
        <f>IF(tech_base!$T149&gt;AP$1185,"",AP1613+AP1893)</f>
        <v>0</v>
      </c>
      <c r="AQ1333" s="121">
        <f>IF(tech_base!$T149&gt;AQ$1185,"",AQ1613+AQ1893)</f>
        <v>0</v>
      </c>
      <c r="AR1333" s="121">
        <f>IF(tech_base!$T149&gt;AR$1185,"",AR1613+AR1893)</f>
        <v>0</v>
      </c>
      <c r="AS1333" s="121">
        <f>IF(tech_base!$T149&gt;AS$1185,"",AS1613+AS1893)</f>
        <v>0</v>
      </c>
      <c r="AT1333" s="121">
        <f>IF(tech_base!$T149&gt;AT$1185,"",AT1613+AT1893)</f>
        <v>0</v>
      </c>
      <c r="AU1333" s="121">
        <f>IF(tech_base!$T149&gt;AU$1185,"",AU1613+AU1893)</f>
        <v>0</v>
      </c>
      <c r="AV1333" s="121">
        <f>IF(tech_base!$T149&gt;AV$1185,"",AV1613+AV1893)</f>
        <v>0</v>
      </c>
      <c r="AW1333" s="121">
        <f>IF(tech_base!$T149&gt;AW$1185,"",AW1613+AW1893)</f>
        <v>0</v>
      </c>
      <c r="AX1333" s="122">
        <f>IF(tech_base!$T149&gt;AX$1185,"",AX1613+AX1893)</f>
        <v>0</v>
      </c>
    </row>
    <row r="1334" spans="1:50" x14ac:dyDescent="0.25">
      <c r="A1334" s="356"/>
      <c r="B1334" s="376"/>
      <c r="C1334" s="350"/>
      <c r="D1334" s="2" t="s">
        <v>8</v>
      </c>
      <c r="E1334" s="160" t="str">
        <f>A1325&amp;"/"&amp;B1333&amp;"/"&amp;C1333&amp;"/"&amp;D1334</f>
        <v>Diesel oil fired power plants/Gas turbine /Electricity only/M</v>
      </c>
      <c r="F1334" s="76" t="str">
        <f>A1325</f>
        <v>Diesel oil fired power plants</v>
      </c>
      <c r="G1334" s="76" t="str">
        <f>B1333</f>
        <v xml:space="preserve">Gas turbine </v>
      </c>
      <c r="H1334" s="76" t="str">
        <f>C1333</f>
        <v>Electricity only</v>
      </c>
      <c r="I1334" s="161" t="str">
        <f t="shared" si="374"/>
        <v>M</v>
      </c>
      <c r="J1334" s="119">
        <f>IF(tech_base!$T150&gt;J$1185,"",J1614+J1894)</f>
        <v>0</v>
      </c>
      <c r="K1334" s="119">
        <f>IF(tech_base!$T150&gt;K$1185,"",K1614+K1894)</f>
        <v>0</v>
      </c>
      <c r="L1334" s="119">
        <f>IF(tech_base!$T150&gt;L$1185,"",L1614+L1894)</f>
        <v>0</v>
      </c>
      <c r="M1334" s="119">
        <f>IF(tech_base!$T150&gt;M$1185,"",M1614+M1894)</f>
        <v>0</v>
      </c>
      <c r="N1334" s="119">
        <f>IF(tech_base!$T150&gt;N$1185,"",N1614+N1894)</f>
        <v>0</v>
      </c>
      <c r="O1334" s="119">
        <f>IF(tech_base!$T150&gt;O$1185,"",O1614+O1894)</f>
        <v>0</v>
      </c>
      <c r="P1334" s="119">
        <f>IF(tech_base!$T150&gt;P$1185,"",P1614+P1894)</f>
        <v>0</v>
      </c>
      <c r="Q1334" s="119">
        <f>IF(tech_base!$T150&gt;Q$1185,"",Q1614+Q1894)</f>
        <v>0</v>
      </c>
      <c r="R1334" s="119">
        <f>IF(tech_base!$T150&gt;R$1185,"",R1614+R1894)</f>
        <v>0</v>
      </c>
      <c r="S1334" s="119">
        <f>IF(tech_base!$T150&gt;S$1185,"",S1614+S1894)</f>
        <v>0</v>
      </c>
      <c r="T1334" s="119">
        <f>IF(tech_base!$T150&gt;T$1185,"",T1614+T1894)</f>
        <v>0</v>
      </c>
      <c r="U1334" s="119">
        <f>IF(tech_base!$T150&gt;U$1185,"",U1614+U1894)</f>
        <v>0</v>
      </c>
      <c r="V1334" s="119">
        <f>IF(tech_base!$T150&gt;V$1185,"",V1614+V1894)</f>
        <v>0</v>
      </c>
      <c r="W1334" s="119">
        <f>IF(tech_base!$T150&gt;W$1185,"",W1614+W1894)</f>
        <v>0</v>
      </c>
      <c r="X1334" s="119">
        <f>IF(tech_base!$T150&gt;X$1185,"",X1614+X1894)</f>
        <v>0</v>
      </c>
      <c r="Y1334" s="119">
        <f>IF(tech_base!$T150&gt;Y$1185,"",Y1614+Y1894)</f>
        <v>0</v>
      </c>
      <c r="Z1334" s="119">
        <f>IF(tech_base!$T150&gt;Z$1185,"",Z1614+Z1894)</f>
        <v>0</v>
      </c>
      <c r="AA1334" s="119">
        <f>IF(tech_base!$T150&gt;AA$1185,"",AA1614+AA1894)</f>
        <v>0</v>
      </c>
      <c r="AB1334" s="119">
        <f>IF(tech_base!$T150&gt;AB$1185,"",AB1614+AB1894)</f>
        <v>0</v>
      </c>
      <c r="AC1334" s="119">
        <f>IF(tech_base!$T150&gt;AC$1185,"",AC1614+AC1894)</f>
        <v>0</v>
      </c>
      <c r="AD1334" s="119">
        <f>IF(tech_base!$T150&gt;AD$1185,"",AD1614+AD1894)</f>
        <v>0</v>
      </c>
      <c r="AE1334" s="119">
        <f>IF(tech_base!$T150&gt;AE$1185,"",AE1614+AE1894)</f>
        <v>0</v>
      </c>
      <c r="AF1334" s="119">
        <f>IF(tech_base!$T150&gt;AF$1185,"",AF1614+AF1894)</f>
        <v>0</v>
      </c>
      <c r="AG1334" s="119">
        <f>IF(tech_base!$T150&gt;AG$1185,"",AG1614+AG1894)</f>
        <v>0</v>
      </c>
      <c r="AH1334" s="119">
        <f>IF(tech_base!$T150&gt;AH$1185,"",AH1614+AH1894)</f>
        <v>0</v>
      </c>
      <c r="AI1334" s="119">
        <f>IF(tech_base!$T150&gt;AI$1185,"",AI1614+AI1894)</f>
        <v>0</v>
      </c>
      <c r="AJ1334" s="119">
        <f>IF(tech_base!$T150&gt;AJ$1185,"",AJ1614+AJ1894)</f>
        <v>0</v>
      </c>
      <c r="AK1334" s="119">
        <f>IF(tech_base!$T150&gt;AK$1185,"",AK1614+AK1894)</f>
        <v>0</v>
      </c>
      <c r="AL1334" s="119">
        <f>IF(tech_base!$T150&gt;AL$1185,"",AL1614+AL1894)</f>
        <v>0</v>
      </c>
      <c r="AM1334" s="119">
        <f>IF(tech_base!$T150&gt;AM$1185,"",AM1614+AM1894)</f>
        <v>0</v>
      </c>
      <c r="AN1334" s="119">
        <f>IF(tech_base!$T150&gt;AN$1185,"",AN1614+AN1894)</f>
        <v>0</v>
      </c>
      <c r="AO1334" s="119">
        <f>IF(tech_base!$T150&gt;AO$1185,"",AO1614+AO1894)</f>
        <v>0</v>
      </c>
      <c r="AP1334" s="119">
        <f>IF(tech_base!$T150&gt;AP$1185,"",AP1614+AP1894)</f>
        <v>0</v>
      </c>
      <c r="AQ1334" s="119">
        <f>IF(tech_base!$T150&gt;AQ$1185,"",AQ1614+AQ1894)</f>
        <v>0</v>
      </c>
      <c r="AR1334" s="119">
        <f>IF(tech_base!$T150&gt;AR$1185,"",AR1614+AR1894)</f>
        <v>0</v>
      </c>
      <c r="AS1334" s="119">
        <f>IF(tech_base!$T150&gt;AS$1185,"",AS1614+AS1894)</f>
        <v>0</v>
      </c>
      <c r="AT1334" s="119">
        <f>IF(tech_base!$T150&gt;AT$1185,"",AT1614+AT1894)</f>
        <v>0</v>
      </c>
      <c r="AU1334" s="119">
        <f>IF(tech_base!$T150&gt;AU$1185,"",AU1614+AU1894)</f>
        <v>0</v>
      </c>
      <c r="AV1334" s="119">
        <f>IF(tech_base!$T150&gt;AV$1185,"",AV1614+AV1894)</f>
        <v>0</v>
      </c>
      <c r="AW1334" s="119">
        <f>IF(tech_base!$T150&gt;AW$1185,"",AW1614+AW1894)</f>
        <v>0</v>
      </c>
      <c r="AX1334" s="120">
        <f>IF(tech_base!$T150&gt;AX$1185,"",AX1614+AX1894)</f>
        <v>0</v>
      </c>
    </row>
    <row r="1335" spans="1:50" x14ac:dyDescent="0.25">
      <c r="A1335" s="356"/>
      <c r="B1335" s="376"/>
      <c r="C1335" s="350"/>
      <c r="D1335" s="2" t="s">
        <v>10</v>
      </c>
      <c r="E1335" s="160" t="str">
        <f>A1325&amp;"/"&amp;B1333&amp;"/"&amp;C1333&amp;"/"&amp;D1335</f>
        <v>Diesel oil fired power plants/Gas turbine /Electricity only/S</v>
      </c>
      <c r="F1335" s="76" t="str">
        <f>A1325</f>
        <v>Diesel oil fired power plants</v>
      </c>
      <c r="G1335" s="76" t="str">
        <f>B1333</f>
        <v xml:space="preserve">Gas turbine </v>
      </c>
      <c r="H1335" s="76" t="str">
        <f>C1333</f>
        <v>Electricity only</v>
      </c>
      <c r="I1335" s="161" t="str">
        <f t="shared" si="374"/>
        <v>S</v>
      </c>
      <c r="J1335" s="119">
        <f>IF(tech_base!$T151&gt;J$1185,"",J1615+J1895)</f>
        <v>0</v>
      </c>
      <c r="K1335" s="119">
        <f>IF(tech_base!$T151&gt;K$1185,"",K1615+K1895)</f>
        <v>0</v>
      </c>
      <c r="L1335" s="119">
        <f>IF(tech_base!$T151&gt;L$1185,"",L1615+L1895)</f>
        <v>0</v>
      </c>
      <c r="M1335" s="119">
        <f>IF(tech_base!$T151&gt;M$1185,"",M1615+M1895)</f>
        <v>0</v>
      </c>
      <c r="N1335" s="119">
        <f>IF(tech_base!$T151&gt;N$1185,"",N1615+N1895)</f>
        <v>0</v>
      </c>
      <c r="O1335" s="119">
        <f>IF(tech_base!$T151&gt;O$1185,"",O1615+O1895)</f>
        <v>0</v>
      </c>
      <c r="P1335" s="119">
        <f>IF(tech_base!$T151&gt;P$1185,"",P1615+P1895)</f>
        <v>0</v>
      </c>
      <c r="Q1335" s="119">
        <f>IF(tech_base!$T151&gt;Q$1185,"",Q1615+Q1895)</f>
        <v>0</v>
      </c>
      <c r="R1335" s="119">
        <f>IF(tech_base!$T151&gt;R$1185,"",R1615+R1895)</f>
        <v>0</v>
      </c>
      <c r="S1335" s="119">
        <f>IF(tech_base!$T151&gt;S$1185,"",S1615+S1895)</f>
        <v>0</v>
      </c>
      <c r="T1335" s="119">
        <f>IF(tech_base!$T151&gt;T$1185,"",T1615+T1895)</f>
        <v>0</v>
      </c>
      <c r="U1335" s="119">
        <f>IF(tech_base!$T151&gt;U$1185,"",U1615+U1895)</f>
        <v>0</v>
      </c>
      <c r="V1335" s="119">
        <f>IF(tech_base!$T151&gt;V$1185,"",V1615+V1895)</f>
        <v>0</v>
      </c>
      <c r="W1335" s="119">
        <f>IF(tech_base!$T151&gt;W$1185,"",W1615+W1895)</f>
        <v>0</v>
      </c>
      <c r="X1335" s="119">
        <f>IF(tech_base!$T151&gt;X$1185,"",X1615+X1895)</f>
        <v>0</v>
      </c>
      <c r="Y1335" s="119">
        <f>IF(tech_base!$T151&gt;Y$1185,"",Y1615+Y1895)</f>
        <v>0</v>
      </c>
      <c r="Z1335" s="119">
        <f>IF(tech_base!$T151&gt;Z$1185,"",Z1615+Z1895)</f>
        <v>0</v>
      </c>
      <c r="AA1335" s="119">
        <f>IF(tech_base!$T151&gt;AA$1185,"",AA1615+AA1895)</f>
        <v>0</v>
      </c>
      <c r="AB1335" s="119">
        <f>IF(tech_base!$T151&gt;AB$1185,"",AB1615+AB1895)</f>
        <v>0</v>
      </c>
      <c r="AC1335" s="119">
        <f>IF(tech_base!$T151&gt;AC$1185,"",AC1615+AC1895)</f>
        <v>0</v>
      </c>
      <c r="AD1335" s="119">
        <f>IF(tech_base!$T151&gt;AD$1185,"",AD1615+AD1895)</f>
        <v>0</v>
      </c>
      <c r="AE1335" s="119">
        <f>IF(tech_base!$T151&gt;AE$1185,"",AE1615+AE1895)</f>
        <v>0</v>
      </c>
      <c r="AF1335" s="119">
        <f>IF(tech_base!$T151&gt;AF$1185,"",AF1615+AF1895)</f>
        <v>0</v>
      </c>
      <c r="AG1335" s="119">
        <f>IF(tech_base!$T151&gt;AG$1185,"",AG1615+AG1895)</f>
        <v>0</v>
      </c>
      <c r="AH1335" s="119">
        <f>IF(tech_base!$T151&gt;AH$1185,"",AH1615+AH1895)</f>
        <v>0</v>
      </c>
      <c r="AI1335" s="119">
        <f>IF(tech_base!$T151&gt;AI$1185,"",AI1615+AI1895)</f>
        <v>0</v>
      </c>
      <c r="AJ1335" s="119">
        <f>IF(tech_base!$T151&gt;AJ$1185,"",AJ1615+AJ1895)</f>
        <v>0</v>
      </c>
      <c r="AK1335" s="119">
        <f>IF(tech_base!$T151&gt;AK$1185,"",AK1615+AK1895)</f>
        <v>0</v>
      </c>
      <c r="AL1335" s="119">
        <f>IF(tech_base!$T151&gt;AL$1185,"",AL1615+AL1895)</f>
        <v>0</v>
      </c>
      <c r="AM1335" s="119">
        <f>IF(tech_base!$T151&gt;AM$1185,"",AM1615+AM1895)</f>
        <v>0</v>
      </c>
      <c r="AN1335" s="119">
        <f>IF(tech_base!$T151&gt;AN$1185,"",AN1615+AN1895)</f>
        <v>0</v>
      </c>
      <c r="AO1335" s="119">
        <f>IF(tech_base!$T151&gt;AO$1185,"",AO1615+AO1895)</f>
        <v>0</v>
      </c>
      <c r="AP1335" s="119">
        <f>IF(tech_base!$T151&gt;AP$1185,"",AP1615+AP1895)</f>
        <v>0</v>
      </c>
      <c r="AQ1335" s="119">
        <f>IF(tech_base!$T151&gt;AQ$1185,"",AQ1615+AQ1895)</f>
        <v>0</v>
      </c>
      <c r="AR1335" s="119">
        <f>IF(tech_base!$T151&gt;AR$1185,"",AR1615+AR1895)</f>
        <v>0</v>
      </c>
      <c r="AS1335" s="119">
        <f>IF(tech_base!$T151&gt;AS$1185,"",AS1615+AS1895)</f>
        <v>0</v>
      </c>
      <c r="AT1335" s="119">
        <f>IF(tech_base!$T151&gt;AT$1185,"",AT1615+AT1895)</f>
        <v>0</v>
      </c>
      <c r="AU1335" s="119">
        <f>IF(tech_base!$T151&gt;AU$1185,"",AU1615+AU1895)</f>
        <v>0</v>
      </c>
      <c r="AV1335" s="119">
        <f>IF(tech_base!$T151&gt;AV$1185,"",AV1615+AV1895)</f>
        <v>0</v>
      </c>
      <c r="AW1335" s="119">
        <f>IF(tech_base!$T151&gt;AW$1185,"",AW1615+AW1895)</f>
        <v>0</v>
      </c>
      <c r="AX1335" s="120">
        <f>IF(tech_base!$T151&gt;AX$1185,"",AX1615+AX1895)</f>
        <v>0</v>
      </c>
    </row>
    <row r="1336" spans="1:50" x14ac:dyDescent="0.25">
      <c r="A1336" s="356"/>
      <c r="B1336" s="376"/>
      <c r="C1336" s="360"/>
      <c r="D1336" s="2" t="s">
        <v>20</v>
      </c>
      <c r="E1336" s="160" t="str">
        <f>A1325&amp;"/"&amp;B1333&amp;"/"&amp;C1333&amp;"/"&amp;D1336</f>
        <v>Diesel oil fired power plants/Gas turbine /Electricity only/XS</v>
      </c>
      <c r="F1336" s="76" t="str">
        <f>A1325</f>
        <v>Diesel oil fired power plants</v>
      </c>
      <c r="G1336" s="76" t="str">
        <f>B1333</f>
        <v xml:space="preserve">Gas turbine </v>
      </c>
      <c r="H1336" s="76" t="str">
        <f>C1333</f>
        <v>Electricity only</v>
      </c>
      <c r="I1336" s="161" t="str">
        <f t="shared" si="374"/>
        <v>XS</v>
      </c>
      <c r="J1336" s="119">
        <f>IF(tech_base!$T152&gt;J$1185,"",J1616+J1896)</f>
        <v>0</v>
      </c>
      <c r="K1336" s="119">
        <f>IF(tech_base!$T152&gt;K$1185,"",K1616+K1896)</f>
        <v>0</v>
      </c>
      <c r="L1336" s="119">
        <f>IF(tech_base!$T152&gt;L$1185,"",L1616+L1896)</f>
        <v>0</v>
      </c>
      <c r="M1336" s="119">
        <f>IF(tech_base!$T152&gt;M$1185,"",M1616+M1896)</f>
        <v>0</v>
      </c>
      <c r="N1336" s="119">
        <f>IF(tech_base!$T152&gt;N$1185,"",N1616+N1896)</f>
        <v>0</v>
      </c>
      <c r="O1336" s="119">
        <f>IF(tech_base!$T152&gt;O$1185,"",O1616+O1896)</f>
        <v>0</v>
      </c>
      <c r="P1336" s="119">
        <f>IF(tech_base!$T152&gt;P$1185,"",P1616+P1896)</f>
        <v>0</v>
      </c>
      <c r="Q1336" s="119">
        <f>IF(tech_base!$T152&gt;Q$1185,"",Q1616+Q1896)</f>
        <v>0</v>
      </c>
      <c r="R1336" s="119">
        <f>IF(tech_base!$T152&gt;R$1185,"",R1616+R1896)</f>
        <v>0</v>
      </c>
      <c r="S1336" s="119">
        <f>IF(tech_base!$T152&gt;S$1185,"",S1616+S1896)</f>
        <v>0</v>
      </c>
      <c r="T1336" s="119">
        <f>IF(tech_base!$T152&gt;T$1185,"",T1616+T1896)</f>
        <v>0</v>
      </c>
      <c r="U1336" s="119">
        <f>IF(tech_base!$T152&gt;U$1185,"",U1616+U1896)</f>
        <v>0</v>
      </c>
      <c r="V1336" s="119">
        <f>IF(tech_base!$T152&gt;V$1185,"",V1616+V1896)</f>
        <v>0</v>
      </c>
      <c r="W1336" s="119">
        <f>IF(tech_base!$T152&gt;W$1185,"",W1616+W1896)</f>
        <v>0</v>
      </c>
      <c r="X1336" s="119">
        <f>IF(tech_base!$T152&gt;X$1185,"",X1616+X1896)</f>
        <v>0</v>
      </c>
      <c r="Y1336" s="119">
        <f>IF(tech_base!$T152&gt;Y$1185,"",Y1616+Y1896)</f>
        <v>0</v>
      </c>
      <c r="Z1336" s="119">
        <f>IF(tech_base!$T152&gt;Z$1185,"",Z1616+Z1896)</f>
        <v>0</v>
      </c>
      <c r="AA1336" s="119">
        <f>IF(tech_base!$T152&gt;AA$1185,"",AA1616+AA1896)</f>
        <v>0</v>
      </c>
      <c r="AB1336" s="119">
        <f>IF(tech_base!$T152&gt;AB$1185,"",AB1616+AB1896)</f>
        <v>0</v>
      </c>
      <c r="AC1336" s="119">
        <f>IF(tech_base!$T152&gt;AC$1185,"",AC1616+AC1896)</f>
        <v>0</v>
      </c>
      <c r="AD1336" s="119">
        <f>IF(tech_base!$T152&gt;AD$1185,"",AD1616+AD1896)</f>
        <v>0</v>
      </c>
      <c r="AE1336" s="119">
        <f>IF(tech_base!$T152&gt;AE$1185,"",AE1616+AE1896)</f>
        <v>0</v>
      </c>
      <c r="AF1336" s="119">
        <f>IF(tech_base!$T152&gt;AF$1185,"",AF1616+AF1896)</f>
        <v>0</v>
      </c>
      <c r="AG1336" s="119">
        <f>IF(tech_base!$T152&gt;AG$1185,"",AG1616+AG1896)</f>
        <v>0</v>
      </c>
      <c r="AH1336" s="119">
        <f>IF(tech_base!$T152&gt;AH$1185,"",AH1616+AH1896)</f>
        <v>0</v>
      </c>
      <c r="AI1336" s="119">
        <f>IF(tech_base!$T152&gt;AI$1185,"",AI1616+AI1896)</f>
        <v>0</v>
      </c>
      <c r="AJ1336" s="119">
        <f>IF(tech_base!$T152&gt;AJ$1185,"",AJ1616+AJ1896)</f>
        <v>0</v>
      </c>
      <c r="AK1336" s="119">
        <f>IF(tech_base!$T152&gt;AK$1185,"",AK1616+AK1896)</f>
        <v>0</v>
      </c>
      <c r="AL1336" s="119">
        <f>IF(tech_base!$T152&gt;AL$1185,"",AL1616+AL1896)</f>
        <v>0</v>
      </c>
      <c r="AM1336" s="119">
        <f>IF(tech_base!$T152&gt;AM$1185,"",AM1616+AM1896)</f>
        <v>0</v>
      </c>
      <c r="AN1336" s="119">
        <f>IF(tech_base!$T152&gt;AN$1185,"",AN1616+AN1896)</f>
        <v>0</v>
      </c>
      <c r="AO1336" s="119">
        <f>IF(tech_base!$T152&gt;AO$1185,"",AO1616+AO1896)</f>
        <v>0</v>
      </c>
      <c r="AP1336" s="119">
        <f>IF(tech_base!$T152&gt;AP$1185,"",AP1616+AP1896)</f>
        <v>0</v>
      </c>
      <c r="AQ1336" s="119">
        <f>IF(tech_base!$T152&gt;AQ$1185,"",AQ1616+AQ1896)</f>
        <v>0</v>
      </c>
      <c r="AR1336" s="119">
        <f>IF(tech_base!$T152&gt;AR$1185,"",AR1616+AR1896)</f>
        <v>0</v>
      </c>
      <c r="AS1336" s="119">
        <f>IF(tech_base!$T152&gt;AS$1185,"",AS1616+AS1896)</f>
        <v>0</v>
      </c>
      <c r="AT1336" s="119">
        <f>IF(tech_base!$T152&gt;AT$1185,"",AT1616+AT1896)</f>
        <v>0</v>
      </c>
      <c r="AU1336" s="119">
        <f>IF(tech_base!$T152&gt;AU$1185,"",AU1616+AU1896)</f>
        <v>0</v>
      </c>
      <c r="AV1336" s="119">
        <f>IF(tech_base!$T152&gt;AV$1185,"",AV1616+AV1896)</f>
        <v>0</v>
      </c>
      <c r="AW1336" s="119">
        <f>IF(tech_base!$T152&gt;AW$1185,"",AW1616+AW1896)</f>
        <v>0</v>
      </c>
      <c r="AX1336" s="120">
        <f>IF(tech_base!$T152&gt;AX$1185,"",AX1616+AX1896)</f>
        <v>0</v>
      </c>
    </row>
    <row r="1337" spans="1:50" x14ac:dyDescent="0.25">
      <c r="A1337" s="356"/>
      <c r="B1337" s="376"/>
      <c r="C1337" s="361" t="s">
        <v>14</v>
      </c>
      <c r="D1337" s="58" t="s">
        <v>7</v>
      </c>
      <c r="E1337" s="164" t="str">
        <f>A1325&amp;"/"&amp;B1333&amp;"/"&amp;C1337&amp;"/"&amp;D1337</f>
        <v>Diesel oil fired power plants/Gas turbine /CHP/L</v>
      </c>
      <c r="F1337" s="78" t="str">
        <f>A1325</f>
        <v>Diesel oil fired power plants</v>
      </c>
      <c r="G1337" s="78" t="str">
        <f>B1333</f>
        <v xml:space="preserve">Gas turbine </v>
      </c>
      <c r="H1337" s="78" t="str">
        <f>C1337</f>
        <v>CHP</v>
      </c>
      <c r="I1337" s="165" t="str">
        <f t="shared" si="374"/>
        <v>L</v>
      </c>
      <c r="J1337" s="123">
        <f>IF(tech_base!$T153&gt;J$1185,"",J1617+J1897)</f>
        <v>0</v>
      </c>
      <c r="K1337" s="123">
        <f>IF(tech_base!$T153&gt;K$1185,"",K1617+K1897)</f>
        <v>0</v>
      </c>
      <c r="L1337" s="123">
        <f>IF(tech_base!$T153&gt;L$1185,"",L1617+L1897)</f>
        <v>0</v>
      </c>
      <c r="M1337" s="123">
        <f>IF(tech_base!$T153&gt;M$1185,"",M1617+M1897)</f>
        <v>0</v>
      </c>
      <c r="N1337" s="123">
        <f>IF(tech_base!$T153&gt;N$1185,"",N1617+N1897)</f>
        <v>0</v>
      </c>
      <c r="O1337" s="123">
        <f>IF(tech_base!$T153&gt;O$1185,"",O1617+O1897)</f>
        <v>0</v>
      </c>
      <c r="P1337" s="123">
        <f>IF(tech_base!$T153&gt;P$1185,"",P1617+P1897)</f>
        <v>0</v>
      </c>
      <c r="Q1337" s="123">
        <f>IF(tech_base!$T153&gt;Q$1185,"",Q1617+Q1897)</f>
        <v>0</v>
      </c>
      <c r="R1337" s="123">
        <f>IF(tech_base!$T153&gt;R$1185,"",R1617+R1897)</f>
        <v>0</v>
      </c>
      <c r="S1337" s="123">
        <f>IF(tech_base!$T153&gt;S$1185,"",S1617+S1897)</f>
        <v>0</v>
      </c>
      <c r="T1337" s="123">
        <f>IF(tech_base!$T153&gt;T$1185,"",T1617+T1897)</f>
        <v>0</v>
      </c>
      <c r="U1337" s="123">
        <f>IF(tech_base!$T153&gt;U$1185,"",U1617+U1897)</f>
        <v>0</v>
      </c>
      <c r="V1337" s="123">
        <f>IF(tech_base!$T153&gt;V$1185,"",V1617+V1897)</f>
        <v>0</v>
      </c>
      <c r="W1337" s="123">
        <f>IF(tech_base!$T153&gt;W$1185,"",W1617+W1897)</f>
        <v>0</v>
      </c>
      <c r="X1337" s="123">
        <f>IF(tech_base!$T153&gt;X$1185,"",X1617+X1897)</f>
        <v>0</v>
      </c>
      <c r="Y1337" s="123">
        <f>IF(tech_base!$T153&gt;Y$1185,"",Y1617+Y1897)</f>
        <v>0</v>
      </c>
      <c r="Z1337" s="123">
        <f>IF(tech_base!$T153&gt;Z$1185,"",Z1617+Z1897)</f>
        <v>0</v>
      </c>
      <c r="AA1337" s="123">
        <f>IF(tech_base!$T153&gt;AA$1185,"",AA1617+AA1897)</f>
        <v>0</v>
      </c>
      <c r="AB1337" s="123">
        <f>IF(tech_base!$T153&gt;AB$1185,"",AB1617+AB1897)</f>
        <v>0</v>
      </c>
      <c r="AC1337" s="123">
        <f>IF(tech_base!$T153&gt;AC$1185,"",AC1617+AC1897)</f>
        <v>0</v>
      </c>
      <c r="AD1337" s="123">
        <f>IF(tech_base!$T153&gt;AD$1185,"",AD1617+AD1897)</f>
        <v>0</v>
      </c>
      <c r="AE1337" s="123">
        <f>IF(tech_base!$T153&gt;AE$1185,"",AE1617+AE1897)</f>
        <v>0</v>
      </c>
      <c r="AF1337" s="123">
        <f>IF(tech_base!$T153&gt;AF$1185,"",AF1617+AF1897)</f>
        <v>0</v>
      </c>
      <c r="AG1337" s="123">
        <f>IF(tech_base!$T153&gt;AG$1185,"",AG1617+AG1897)</f>
        <v>0</v>
      </c>
      <c r="AH1337" s="123">
        <f>IF(tech_base!$T153&gt;AH$1185,"",AH1617+AH1897)</f>
        <v>0</v>
      </c>
      <c r="AI1337" s="123">
        <f>IF(tech_base!$T153&gt;AI$1185,"",AI1617+AI1897)</f>
        <v>0</v>
      </c>
      <c r="AJ1337" s="123">
        <f>IF(tech_base!$T153&gt;AJ$1185,"",AJ1617+AJ1897)</f>
        <v>0</v>
      </c>
      <c r="AK1337" s="123">
        <f>IF(tech_base!$T153&gt;AK$1185,"",AK1617+AK1897)</f>
        <v>0</v>
      </c>
      <c r="AL1337" s="123">
        <f>IF(tech_base!$T153&gt;AL$1185,"",AL1617+AL1897)</f>
        <v>0</v>
      </c>
      <c r="AM1337" s="123">
        <f>IF(tech_base!$T153&gt;AM$1185,"",AM1617+AM1897)</f>
        <v>0</v>
      </c>
      <c r="AN1337" s="123">
        <f>IF(tech_base!$T153&gt;AN$1185,"",AN1617+AN1897)</f>
        <v>0</v>
      </c>
      <c r="AO1337" s="123">
        <f>IF(tech_base!$T153&gt;AO$1185,"",AO1617+AO1897)</f>
        <v>0</v>
      </c>
      <c r="AP1337" s="123">
        <f>IF(tech_base!$T153&gt;AP$1185,"",AP1617+AP1897)</f>
        <v>0</v>
      </c>
      <c r="AQ1337" s="123">
        <f>IF(tech_base!$T153&gt;AQ$1185,"",AQ1617+AQ1897)</f>
        <v>0</v>
      </c>
      <c r="AR1337" s="123">
        <f>IF(tech_base!$T153&gt;AR$1185,"",AR1617+AR1897)</f>
        <v>0</v>
      </c>
      <c r="AS1337" s="123">
        <f>IF(tech_base!$T153&gt;AS$1185,"",AS1617+AS1897)</f>
        <v>0</v>
      </c>
      <c r="AT1337" s="123">
        <f>IF(tech_base!$T153&gt;AT$1185,"",AT1617+AT1897)</f>
        <v>0</v>
      </c>
      <c r="AU1337" s="123">
        <f>IF(tech_base!$T153&gt;AU$1185,"",AU1617+AU1897)</f>
        <v>0</v>
      </c>
      <c r="AV1337" s="123">
        <f>IF(tech_base!$T153&gt;AV$1185,"",AV1617+AV1897)</f>
        <v>0</v>
      </c>
      <c r="AW1337" s="123">
        <f>IF(tech_base!$T153&gt;AW$1185,"",AW1617+AW1897)</f>
        <v>0</v>
      </c>
      <c r="AX1337" s="124">
        <f>IF(tech_base!$T153&gt;AX$1185,"",AX1617+AX1897)</f>
        <v>0</v>
      </c>
    </row>
    <row r="1338" spans="1:50" x14ac:dyDescent="0.25">
      <c r="A1338" s="356"/>
      <c r="B1338" s="376"/>
      <c r="C1338" s="378"/>
      <c r="D1338" s="2" t="s">
        <v>8</v>
      </c>
      <c r="E1338" s="160" t="str">
        <f>A1325&amp;"/"&amp;B1333&amp;"/"&amp;C1337&amp;"/"&amp;D1338</f>
        <v>Diesel oil fired power plants/Gas turbine /CHP/M</v>
      </c>
      <c r="F1338" s="76" t="str">
        <f>A1325</f>
        <v>Diesel oil fired power plants</v>
      </c>
      <c r="G1338" s="76" t="str">
        <f>B1333</f>
        <v xml:space="preserve">Gas turbine </v>
      </c>
      <c r="H1338" s="76" t="str">
        <f>C1337</f>
        <v>CHP</v>
      </c>
      <c r="I1338" s="161" t="str">
        <f t="shared" si="374"/>
        <v>M</v>
      </c>
      <c r="J1338" s="119">
        <f>IF(tech_base!$T154&gt;J$1185,"",J1618+J1898)</f>
        <v>0</v>
      </c>
      <c r="K1338" s="119">
        <f>IF(tech_base!$T154&gt;K$1185,"",K1618+K1898)</f>
        <v>0</v>
      </c>
      <c r="L1338" s="119">
        <f>IF(tech_base!$T154&gt;L$1185,"",L1618+L1898)</f>
        <v>0</v>
      </c>
      <c r="M1338" s="119">
        <f>IF(tech_base!$T154&gt;M$1185,"",M1618+M1898)</f>
        <v>0</v>
      </c>
      <c r="N1338" s="119">
        <f>IF(tech_base!$T154&gt;N$1185,"",N1618+N1898)</f>
        <v>0</v>
      </c>
      <c r="O1338" s="119">
        <f>IF(tech_base!$T154&gt;O$1185,"",O1618+O1898)</f>
        <v>0</v>
      </c>
      <c r="P1338" s="119">
        <f>IF(tech_base!$T154&gt;P$1185,"",P1618+P1898)</f>
        <v>0</v>
      </c>
      <c r="Q1338" s="119">
        <f>IF(tech_base!$T154&gt;Q$1185,"",Q1618+Q1898)</f>
        <v>0</v>
      </c>
      <c r="R1338" s="119">
        <f>IF(tech_base!$T154&gt;R$1185,"",R1618+R1898)</f>
        <v>0</v>
      </c>
      <c r="S1338" s="119">
        <f>IF(tech_base!$T154&gt;S$1185,"",S1618+S1898)</f>
        <v>0</v>
      </c>
      <c r="T1338" s="119">
        <f>IF(tech_base!$T154&gt;T$1185,"",T1618+T1898)</f>
        <v>0</v>
      </c>
      <c r="U1338" s="119">
        <f>IF(tech_base!$T154&gt;U$1185,"",U1618+U1898)</f>
        <v>0</v>
      </c>
      <c r="V1338" s="119">
        <f>IF(tech_base!$T154&gt;V$1185,"",V1618+V1898)</f>
        <v>0</v>
      </c>
      <c r="W1338" s="119">
        <f>IF(tech_base!$T154&gt;W$1185,"",W1618+W1898)</f>
        <v>0</v>
      </c>
      <c r="X1338" s="119">
        <f>IF(tech_base!$T154&gt;X$1185,"",X1618+X1898)</f>
        <v>0</v>
      </c>
      <c r="Y1338" s="119">
        <f>IF(tech_base!$T154&gt;Y$1185,"",Y1618+Y1898)</f>
        <v>0</v>
      </c>
      <c r="Z1338" s="119">
        <f>IF(tech_base!$T154&gt;Z$1185,"",Z1618+Z1898)</f>
        <v>0</v>
      </c>
      <c r="AA1338" s="119">
        <f>IF(tech_base!$T154&gt;AA$1185,"",AA1618+AA1898)</f>
        <v>0</v>
      </c>
      <c r="AB1338" s="119">
        <f>IF(tech_base!$T154&gt;AB$1185,"",AB1618+AB1898)</f>
        <v>0</v>
      </c>
      <c r="AC1338" s="119">
        <f>IF(tech_base!$T154&gt;AC$1185,"",AC1618+AC1898)</f>
        <v>0</v>
      </c>
      <c r="AD1338" s="119">
        <f>IF(tech_base!$T154&gt;AD$1185,"",AD1618+AD1898)</f>
        <v>0</v>
      </c>
      <c r="AE1338" s="119">
        <f>IF(tech_base!$T154&gt;AE$1185,"",AE1618+AE1898)</f>
        <v>0</v>
      </c>
      <c r="AF1338" s="119">
        <f>IF(tech_base!$T154&gt;AF$1185,"",AF1618+AF1898)</f>
        <v>0</v>
      </c>
      <c r="AG1338" s="119">
        <f>IF(tech_base!$T154&gt;AG$1185,"",AG1618+AG1898)</f>
        <v>0</v>
      </c>
      <c r="AH1338" s="119">
        <f>IF(tech_base!$T154&gt;AH$1185,"",AH1618+AH1898)</f>
        <v>0</v>
      </c>
      <c r="AI1338" s="119">
        <f>IF(tech_base!$T154&gt;AI$1185,"",AI1618+AI1898)</f>
        <v>0</v>
      </c>
      <c r="AJ1338" s="119">
        <f>IF(tech_base!$T154&gt;AJ$1185,"",AJ1618+AJ1898)</f>
        <v>0</v>
      </c>
      <c r="AK1338" s="119">
        <f>IF(tech_base!$T154&gt;AK$1185,"",AK1618+AK1898)</f>
        <v>0</v>
      </c>
      <c r="AL1338" s="119">
        <f>IF(tech_base!$T154&gt;AL$1185,"",AL1618+AL1898)</f>
        <v>0</v>
      </c>
      <c r="AM1338" s="119">
        <f>IF(tech_base!$T154&gt;AM$1185,"",AM1618+AM1898)</f>
        <v>0</v>
      </c>
      <c r="AN1338" s="119">
        <f>IF(tech_base!$T154&gt;AN$1185,"",AN1618+AN1898)</f>
        <v>0</v>
      </c>
      <c r="AO1338" s="119">
        <f>IF(tech_base!$T154&gt;AO$1185,"",AO1618+AO1898)</f>
        <v>0</v>
      </c>
      <c r="AP1338" s="119">
        <f>IF(tech_base!$T154&gt;AP$1185,"",AP1618+AP1898)</f>
        <v>0</v>
      </c>
      <c r="AQ1338" s="119">
        <f>IF(tech_base!$T154&gt;AQ$1185,"",AQ1618+AQ1898)</f>
        <v>0</v>
      </c>
      <c r="AR1338" s="119">
        <f>IF(tech_base!$T154&gt;AR$1185,"",AR1618+AR1898)</f>
        <v>0</v>
      </c>
      <c r="AS1338" s="119">
        <f>IF(tech_base!$T154&gt;AS$1185,"",AS1618+AS1898)</f>
        <v>0</v>
      </c>
      <c r="AT1338" s="119">
        <f>IF(tech_base!$T154&gt;AT$1185,"",AT1618+AT1898)</f>
        <v>0</v>
      </c>
      <c r="AU1338" s="119">
        <f>IF(tech_base!$T154&gt;AU$1185,"",AU1618+AU1898)</f>
        <v>0</v>
      </c>
      <c r="AV1338" s="119">
        <f>IF(tech_base!$T154&gt;AV$1185,"",AV1618+AV1898)</f>
        <v>0</v>
      </c>
      <c r="AW1338" s="119">
        <f>IF(tech_base!$T154&gt;AW$1185,"",AW1618+AW1898)</f>
        <v>0</v>
      </c>
      <c r="AX1338" s="120">
        <f>IF(tech_base!$T154&gt;AX$1185,"",AX1618+AX1898)</f>
        <v>0</v>
      </c>
    </row>
    <row r="1339" spans="1:50" x14ac:dyDescent="0.25">
      <c r="A1339" s="356"/>
      <c r="B1339" s="376"/>
      <c r="C1339" s="378"/>
      <c r="D1339" s="2" t="s">
        <v>10</v>
      </c>
      <c r="E1339" s="160" t="str">
        <f>A1325&amp;"/"&amp;B1333&amp;"/"&amp;C1337&amp;"/"&amp;D1339</f>
        <v>Diesel oil fired power plants/Gas turbine /CHP/S</v>
      </c>
      <c r="F1339" s="76" t="str">
        <f>A1325</f>
        <v>Diesel oil fired power plants</v>
      </c>
      <c r="G1339" s="76" t="str">
        <f>B1333</f>
        <v xml:space="preserve">Gas turbine </v>
      </c>
      <c r="H1339" s="76" t="str">
        <f>C1337</f>
        <v>CHP</v>
      </c>
      <c r="I1339" s="161" t="str">
        <f t="shared" si="374"/>
        <v>S</v>
      </c>
      <c r="J1339" s="119">
        <f>IF(tech_base!$T155&gt;J$1185,"",J1619+J1899)</f>
        <v>0</v>
      </c>
      <c r="K1339" s="119">
        <f>IF(tech_base!$T155&gt;K$1185,"",K1619+K1899)</f>
        <v>0</v>
      </c>
      <c r="L1339" s="119">
        <f>IF(tech_base!$T155&gt;L$1185,"",L1619+L1899)</f>
        <v>0</v>
      </c>
      <c r="M1339" s="119">
        <f>IF(tech_base!$T155&gt;M$1185,"",M1619+M1899)</f>
        <v>0</v>
      </c>
      <c r="N1339" s="119">
        <f>IF(tech_base!$T155&gt;N$1185,"",N1619+N1899)</f>
        <v>0</v>
      </c>
      <c r="O1339" s="119">
        <f>IF(tech_base!$T155&gt;O$1185,"",O1619+O1899)</f>
        <v>0</v>
      </c>
      <c r="P1339" s="119">
        <f>IF(tech_base!$T155&gt;P$1185,"",P1619+P1899)</f>
        <v>0</v>
      </c>
      <c r="Q1339" s="119">
        <f>IF(tech_base!$T155&gt;Q$1185,"",Q1619+Q1899)</f>
        <v>0</v>
      </c>
      <c r="R1339" s="119">
        <f>IF(tech_base!$T155&gt;R$1185,"",R1619+R1899)</f>
        <v>0</v>
      </c>
      <c r="S1339" s="119">
        <f>IF(tech_base!$T155&gt;S$1185,"",S1619+S1899)</f>
        <v>0</v>
      </c>
      <c r="T1339" s="119">
        <f>IF(tech_base!$T155&gt;T$1185,"",T1619+T1899)</f>
        <v>0</v>
      </c>
      <c r="U1339" s="119">
        <f>IF(tech_base!$T155&gt;U$1185,"",U1619+U1899)</f>
        <v>0</v>
      </c>
      <c r="V1339" s="119">
        <f>IF(tech_base!$T155&gt;V$1185,"",V1619+V1899)</f>
        <v>0</v>
      </c>
      <c r="W1339" s="119">
        <f>IF(tech_base!$T155&gt;W$1185,"",W1619+W1899)</f>
        <v>0</v>
      </c>
      <c r="X1339" s="119">
        <f>IF(tech_base!$T155&gt;X$1185,"",X1619+X1899)</f>
        <v>0</v>
      </c>
      <c r="Y1339" s="119">
        <f>IF(tech_base!$T155&gt;Y$1185,"",Y1619+Y1899)</f>
        <v>0</v>
      </c>
      <c r="Z1339" s="119">
        <f>IF(tech_base!$T155&gt;Z$1185,"",Z1619+Z1899)</f>
        <v>0</v>
      </c>
      <c r="AA1339" s="119">
        <f>IF(tech_base!$T155&gt;AA$1185,"",AA1619+AA1899)</f>
        <v>0</v>
      </c>
      <c r="AB1339" s="119">
        <f>IF(tech_base!$T155&gt;AB$1185,"",AB1619+AB1899)</f>
        <v>0</v>
      </c>
      <c r="AC1339" s="119">
        <f>IF(tech_base!$T155&gt;AC$1185,"",AC1619+AC1899)</f>
        <v>0</v>
      </c>
      <c r="AD1339" s="119">
        <f>IF(tech_base!$T155&gt;AD$1185,"",AD1619+AD1899)</f>
        <v>0</v>
      </c>
      <c r="AE1339" s="119">
        <f>IF(tech_base!$T155&gt;AE$1185,"",AE1619+AE1899)</f>
        <v>0</v>
      </c>
      <c r="AF1339" s="119">
        <f>IF(tech_base!$T155&gt;AF$1185,"",AF1619+AF1899)</f>
        <v>0</v>
      </c>
      <c r="AG1339" s="119">
        <f>IF(tech_base!$T155&gt;AG$1185,"",AG1619+AG1899)</f>
        <v>0</v>
      </c>
      <c r="AH1339" s="119">
        <f>IF(tech_base!$T155&gt;AH$1185,"",AH1619+AH1899)</f>
        <v>0</v>
      </c>
      <c r="AI1339" s="119">
        <f>IF(tech_base!$T155&gt;AI$1185,"",AI1619+AI1899)</f>
        <v>0</v>
      </c>
      <c r="AJ1339" s="119">
        <f>IF(tech_base!$T155&gt;AJ$1185,"",AJ1619+AJ1899)</f>
        <v>0</v>
      </c>
      <c r="AK1339" s="119">
        <f>IF(tech_base!$T155&gt;AK$1185,"",AK1619+AK1899)</f>
        <v>0</v>
      </c>
      <c r="AL1339" s="119">
        <f>IF(tech_base!$T155&gt;AL$1185,"",AL1619+AL1899)</f>
        <v>0</v>
      </c>
      <c r="AM1339" s="119">
        <f>IF(tech_base!$T155&gt;AM$1185,"",AM1619+AM1899)</f>
        <v>0</v>
      </c>
      <c r="AN1339" s="119">
        <f>IF(tech_base!$T155&gt;AN$1185,"",AN1619+AN1899)</f>
        <v>0</v>
      </c>
      <c r="AO1339" s="119">
        <f>IF(tech_base!$T155&gt;AO$1185,"",AO1619+AO1899)</f>
        <v>0</v>
      </c>
      <c r="AP1339" s="119">
        <f>IF(tech_base!$T155&gt;AP$1185,"",AP1619+AP1899)</f>
        <v>0</v>
      </c>
      <c r="AQ1339" s="119">
        <f>IF(tech_base!$T155&gt;AQ$1185,"",AQ1619+AQ1899)</f>
        <v>0</v>
      </c>
      <c r="AR1339" s="119">
        <f>IF(tech_base!$T155&gt;AR$1185,"",AR1619+AR1899)</f>
        <v>0</v>
      </c>
      <c r="AS1339" s="119">
        <f>IF(tech_base!$T155&gt;AS$1185,"",AS1619+AS1899)</f>
        <v>0</v>
      </c>
      <c r="AT1339" s="119">
        <f>IF(tech_base!$T155&gt;AT$1185,"",AT1619+AT1899)</f>
        <v>0</v>
      </c>
      <c r="AU1339" s="119">
        <f>IF(tech_base!$T155&gt;AU$1185,"",AU1619+AU1899)</f>
        <v>0</v>
      </c>
      <c r="AV1339" s="119">
        <f>IF(tech_base!$T155&gt;AV$1185,"",AV1619+AV1899)</f>
        <v>0</v>
      </c>
      <c r="AW1339" s="119">
        <f>IF(tech_base!$T155&gt;AW$1185,"",AW1619+AW1899)</f>
        <v>0</v>
      </c>
      <c r="AX1339" s="120">
        <f>IF(tech_base!$T155&gt;AX$1185,"",AX1619+AX1899)</f>
        <v>0</v>
      </c>
    </row>
    <row r="1340" spans="1:50" x14ac:dyDescent="0.25">
      <c r="A1340" s="356"/>
      <c r="B1340" s="376"/>
      <c r="C1340" s="379"/>
      <c r="D1340" s="59" t="s">
        <v>20</v>
      </c>
      <c r="E1340" s="166" t="str">
        <f>A1325&amp;"/"&amp;B1333&amp;"/"&amp;C1337&amp;"/"&amp;D1340</f>
        <v>Diesel oil fired power plants/Gas turbine /CHP/XS</v>
      </c>
      <c r="F1340" s="79" t="str">
        <f>A1325</f>
        <v>Diesel oil fired power plants</v>
      </c>
      <c r="G1340" s="79" t="str">
        <f>B1333</f>
        <v xml:space="preserve">Gas turbine </v>
      </c>
      <c r="H1340" s="79" t="str">
        <f>C1337</f>
        <v>CHP</v>
      </c>
      <c r="I1340" s="167" t="str">
        <f t="shared" si="374"/>
        <v>XS</v>
      </c>
      <c r="J1340" s="125">
        <f>IF(tech_base!$T156&gt;J$1185,"",J1620+J1900)</f>
        <v>0</v>
      </c>
      <c r="K1340" s="125">
        <f>IF(tech_base!$T156&gt;K$1185,"",K1620+K1900)</f>
        <v>0</v>
      </c>
      <c r="L1340" s="125">
        <f>IF(tech_base!$T156&gt;L$1185,"",L1620+L1900)</f>
        <v>0</v>
      </c>
      <c r="M1340" s="125">
        <f>IF(tech_base!$T156&gt;M$1185,"",M1620+M1900)</f>
        <v>0</v>
      </c>
      <c r="N1340" s="125">
        <f>IF(tech_base!$T156&gt;N$1185,"",N1620+N1900)</f>
        <v>0</v>
      </c>
      <c r="O1340" s="125">
        <f>IF(tech_base!$T156&gt;O$1185,"",O1620+O1900)</f>
        <v>0</v>
      </c>
      <c r="P1340" s="125">
        <f>IF(tech_base!$T156&gt;P$1185,"",P1620+P1900)</f>
        <v>0</v>
      </c>
      <c r="Q1340" s="125">
        <f>IF(tech_base!$T156&gt;Q$1185,"",Q1620+Q1900)</f>
        <v>0</v>
      </c>
      <c r="R1340" s="125">
        <f>IF(tech_base!$T156&gt;R$1185,"",R1620+R1900)</f>
        <v>0</v>
      </c>
      <c r="S1340" s="125">
        <f>IF(tech_base!$T156&gt;S$1185,"",S1620+S1900)</f>
        <v>0</v>
      </c>
      <c r="T1340" s="125">
        <f>IF(tech_base!$T156&gt;T$1185,"",T1620+T1900)</f>
        <v>0</v>
      </c>
      <c r="U1340" s="125">
        <f>IF(tech_base!$T156&gt;U$1185,"",U1620+U1900)</f>
        <v>0</v>
      </c>
      <c r="V1340" s="125">
        <f>IF(tech_base!$T156&gt;V$1185,"",V1620+V1900)</f>
        <v>0</v>
      </c>
      <c r="W1340" s="125">
        <f>IF(tech_base!$T156&gt;W$1185,"",W1620+W1900)</f>
        <v>0</v>
      </c>
      <c r="X1340" s="125">
        <f>IF(tech_base!$T156&gt;X$1185,"",X1620+X1900)</f>
        <v>0</v>
      </c>
      <c r="Y1340" s="125">
        <f>IF(tech_base!$T156&gt;Y$1185,"",Y1620+Y1900)</f>
        <v>0</v>
      </c>
      <c r="Z1340" s="125">
        <f>IF(tech_base!$T156&gt;Z$1185,"",Z1620+Z1900)</f>
        <v>0</v>
      </c>
      <c r="AA1340" s="125">
        <f>IF(tech_base!$T156&gt;AA$1185,"",AA1620+AA1900)</f>
        <v>0</v>
      </c>
      <c r="AB1340" s="125">
        <f>IF(tech_base!$T156&gt;AB$1185,"",AB1620+AB1900)</f>
        <v>0</v>
      </c>
      <c r="AC1340" s="125">
        <f>IF(tech_base!$T156&gt;AC$1185,"",AC1620+AC1900)</f>
        <v>0</v>
      </c>
      <c r="AD1340" s="125">
        <f>IF(tech_base!$T156&gt;AD$1185,"",AD1620+AD1900)</f>
        <v>0</v>
      </c>
      <c r="AE1340" s="125">
        <f>IF(tech_base!$T156&gt;AE$1185,"",AE1620+AE1900)</f>
        <v>0</v>
      </c>
      <c r="AF1340" s="125">
        <f>IF(tech_base!$T156&gt;AF$1185,"",AF1620+AF1900)</f>
        <v>0</v>
      </c>
      <c r="AG1340" s="125">
        <f>IF(tech_base!$T156&gt;AG$1185,"",AG1620+AG1900)</f>
        <v>0</v>
      </c>
      <c r="AH1340" s="125">
        <f>IF(tech_base!$T156&gt;AH$1185,"",AH1620+AH1900)</f>
        <v>0</v>
      </c>
      <c r="AI1340" s="125">
        <f>IF(tech_base!$T156&gt;AI$1185,"",AI1620+AI1900)</f>
        <v>0</v>
      </c>
      <c r="AJ1340" s="125">
        <f>IF(tech_base!$T156&gt;AJ$1185,"",AJ1620+AJ1900)</f>
        <v>0</v>
      </c>
      <c r="AK1340" s="125">
        <f>IF(tech_base!$T156&gt;AK$1185,"",AK1620+AK1900)</f>
        <v>0</v>
      </c>
      <c r="AL1340" s="125">
        <f>IF(tech_base!$T156&gt;AL$1185,"",AL1620+AL1900)</f>
        <v>0</v>
      </c>
      <c r="AM1340" s="125">
        <f>IF(tech_base!$T156&gt;AM$1185,"",AM1620+AM1900)</f>
        <v>0</v>
      </c>
      <c r="AN1340" s="125">
        <f>IF(tech_base!$T156&gt;AN$1185,"",AN1620+AN1900)</f>
        <v>0</v>
      </c>
      <c r="AO1340" s="125">
        <f>IF(tech_base!$T156&gt;AO$1185,"",AO1620+AO1900)</f>
        <v>0</v>
      </c>
      <c r="AP1340" s="125">
        <f>IF(tech_base!$T156&gt;AP$1185,"",AP1620+AP1900)</f>
        <v>0</v>
      </c>
      <c r="AQ1340" s="125">
        <f>IF(tech_base!$T156&gt;AQ$1185,"",AQ1620+AQ1900)</f>
        <v>0</v>
      </c>
      <c r="AR1340" s="125">
        <f>IF(tech_base!$T156&gt;AR$1185,"",AR1620+AR1900)</f>
        <v>0</v>
      </c>
      <c r="AS1340" s="125">
        <f>IF(tech_base!$T156&gt;AS$1185,"",AS1620+AS1900)</f>
        <v>0</v>
      </c>
      <c r="AT1340" s="125">
        <f>IF(tech_base!$T156&gt;AT$1185,"",AT1620+AT1900)</f>
        <v>0</v>
      </c>
      <c r="AU1340" s="125">
        <f>IF(tech_base!$T156&gt;AU$1185,"",AU1620+AU1900)</f>
        <v>0</v>
      </c>
      <c r="AV1340" s="125">
        <f>IF(tech_base!$T156&gt;AV$1185,"",AV1620+AV1900)</f>
        <v>0</v>
      </c>
      <c r="AW1340" s="125">
        <f>IF(tech_base!$T156&gt;AW$1185,"",AW1620+AW1900)</f>
        <v>0</v>
      </c>
      <c r="AX1340" s="126">
        <f>IF(tech_base!$T156&gt;AX$1185,"",AX1620+AX1900)</f>
        <v>0</v>
      </c>
    </row>
    <row r="1341" spans="1:50" x14ac:dyDescent="0.25">
      <c r="A1341" s="356"/>
      <c r="B1341" s="376"/>
      <c r="C1341" s="361" t="s">
        <v>15</v>
      </c>
      <c r="D1341" s="58" t="s">
        <v>7</v>
      </c>
      <c r="E1341" s="164" t="str">
        <f>A1325&amp;"/"&amp;B1333&amp;"/"&amp;C1341&amp;"/"&amp;D1341</f>
        <v>Diesel oil fired power plants/Gas turbine /Electricity only with CCS/L</v>
      </c>
      <c r="F1341" s="78" t="str">
        <f>A1325</f>
        <v>Diesel oil fired power plants</v>
      </c>
      <c r="G1341" s="78" t="str">
        <f>B1333</f>
        <v xml:space="preserve">Gas turbine </v>
      </c>
      <c r="H1341" s="78" t="str">
        <f>C1341</f>
        <v>Electricity only with CCS</v>
      </c>
      <c r="I1341" s="165" t="str">
        <f t="shared" si="374"/>
        <v>L</v>
      </c>
      <c r="J1341" s="123" t="str">
        <f>IF(tech_base!$T157&gt;J$1185,"",J1621+J1901)</f>
        <v/>
      </c>
      <c r="K1341" s="123" t="str">
        <f>IF(tech_base!$T157&gt;K$1185,"",K1621+K1901)</f>
        <v/>
      </c>
      <c r="L1341" s="123" t="str">
        <f>IF(tech_base!$T157&gt;L$1185,"",L1621+L1901)</f>
        <v/>
      </c>
      <c r="M1341" s="123" t="str">
        <f>IF(tech_base!$T157&gt;M$1185,"",M1621+M1901)</f>
        <v/>
      </c>
      <c r="N1341" s="123" t="str">
        <f>IF(tech_base!$T157&gt;N$1185,"",N1621+N1901)</f>
        <v/>
      </c>
      <c r="O1341" s="123" t="str">
        <f>IF(tech_base!$T157&gt;O$1185,"",O1621+O1901)</f>
        <v/>
      </c>
      <c r="P1341" s="123" t="str">
        <f>IF(tech_base!$T157&gt;P$1185,"",P1621+P1901)</f>
        <v/>
      </c>
      <c r="Q1341" s="123" t="str">
        <f>IF(tech_base!$T157&gt;Q$1185,"",Q1621+Q1901)</f>
        <v/>
      </c>
      <c r="R1341" s="123" t="str">
        <f>IF(tech_base!$T157&gt;R$1185,"",R1621+R1901)</f>
        <v/>
      </c>
      <c r="S1341" s="123" t="str">
        <f>IF(tech_base!$T157&gt;S$1185,"",S1621+S1901)</f>
        <v/>
      </c>
      <c r="T1341" s="123" t="str">
        <f>IF(tech_base!$T157&gt;T$1185,"",T1621+T1901)</f>
        <v/>
      </c>
      <c r="U1341" s="123" t="str">
        <f>IF(tech_base!$T157&gt;U$1185,"",U1621+U1901)</f>
        <v/>
      </c>
      <c r="V1341" s="123" t="str">
        <f>IF(tech_base!$T157&gt;V$1185,"",V1621+V1901)</f>
        <v/>
      </c>
      <c r="W1341" s="123" t="str">
        <f>IF(tech_base!$T157&gt;W$1185,"",W1621+W1901)</f>
        <v/>
      </c>
      <c r="X1341" s="123" t="str">
        <f>IF(tech_base!$T157&gt;X$1185,"",X1621+X1901)</f>
        <v/>
      </c>
      <c r="Y1341" s="123" t="str">
        <f>IF(tech_base!$T157&gt;Y$1185,"",Y1621+Y1901)</f>
        <v/>
      </c>
      <c r="Z1341" s="123" t="str">
        <f>IF(tech_base!$T157&gt;Z$1185,"",Z1621+Z1901)</f>
        <v/>
      </c>
      <c r="AA1341" s="123" t="str">
        <f>IF(tech_base!$T157&gt;AA$1185,"",AA1621+AA1901)</f>
        <v/>
      </c>
      <c r="AB1341" s="123" t="str">
        <f>IF(tech_base!$T157&gt;AB$1185,"",AB1621+AB1901)</f>
        <v/>
      </c>
      <c r="AC1341" s="123" t="str">
        <f>IF(tech_base!$T157&gt;AC$1185,"",AC1621+AC1901)</f>
        <v/>
      </c>
      <c r="AD1341" s="123" t="str">
        <f>IF(tech_base!$T157&gt;AD$1185,"",AD1621+AD1901)</f>
        <v/>
      </c>
      <c r="AE1341" s="123">
        <f>IF(tech_base!$T157&gt;AE$1185,"",AE1621+AE1901)</f>
        <v>9.0886044543840008</v>
      </c>
      <c r="AF1341" s="123">
        <f>IF(tech_base!$T157&gt;AF$1185,"",AF1621+AF1901)</f>
        <v>9.0886044543840008</v>
      </c>
      <c r="AG1341" s="123">
        <f>IF(tech_base!$T157&gt;AG$1185,"",AG1621+AG1901)</f>
        <v>9.0886044543840008</v>
      </c>
      <c r="AH1341" s="123">
        <f>IF(tech_base!$T157&gt;AH$1185,"",AH1621+AH1901)</f>
        <v>9.0886044543840008</v>
      </c>
      <c r="AI1341" s="123">
        <f>IF(tech_base!$T157&gt;AI$1185,"",AI1621+AI1901)</f>
        <v>9.0886044543840008</v>
      </c>
      <c r="AJ1341" s="123">
        <f>IF(tech_base!$T157&gt;AJ$1185,"",AJ1621+AJ1901)</f>
        <v>9.0886044543840008</v>
      </c>
      <c r="AK1341" s="123">
        <f>IF(tech_base!$T157&gt;AK$1185,"",AK1621+AK1901)</f>
        <v>9.0886044543840008</v>
      </c>
      <c r="AL1341" s="123">
        <f>IF(tech_base!$T157&gt;AL$1185,"",AL1621+AL1901)</f>
        <v>9.0886044543840008</v>
      </c>
      <c r="AM1341" s="123">
        <f>IF(tech_base!$T157&gt;AM$1185,"",AM1621+AM1901)</f>
        <v>9.0886044543840008</v>
      </c>
      <c r="AN1341" s="123">
        <f>IF(tech_base!$T157&gt;AN$1185,"",AN1621+AN1901)</f>
        <v>9.0886044543840008</v>
      </c>
      <c r="AO1341" s="123">
        <f>IF(tech_base!$T157&gt;AO$1185,"",AO1621+AO1901)</f>
        <v>9.0886044543840008</v>
      </c>
      <c r="AP1341" s="123">
        <f>IF(tech_base!$T157&gt;AP$1185,"",AP1621+AP1901)</f>
        <v>9.0886044543840008</v>
      </c>
      <c r="AQ1341" s="123">
        <f>IF(tech_base!$T157&gt;AQ$1185,"",AQ1621+AQ1901)</f>
        <v>9.0886044543840008</v>
      </c>
      <c r="AR1341" s="123">
        <f>IF(tech_base!$T157&gt;AR$1185,"",AR1621+AR1901)</f>
        <v>9.0886044543840008</v>
      </c>
      <c r="AS1341" s="123">
        <f>IF(tech_base!$T157&gt;AS$1185,"",AS1621+AS1901)</f>
        <v>9.0886044543840008</v>
      </c>
      <c r="AT1341" s="123">
        <f>IF(tech_base!$T157&gt;AT$1185,"",AT1621+AT1901)</f>
        <v>9.0886044543840008</v>
      </c>
      <c r="AU1341" s="123">
        <f>IF(tech_base!$T157&gt;AU$1185,"",AU1621+AU1901)</f>
        <v>9.0886044543840008</v>
      </c>
      <c r="AV1341" s="123">
        <f>IF(tech_base!$T157&gt;AV$1185,"",AV1621+AV1901)</f>
        <v>9.0886044543840008</v>
      </c>
      <c r="AW1341" s="123">
        <f>IF(tech_base!$T157&gt;AW$1185,"",AW1621+AW1901)</f>
        <v>9.0886044543840008</v>
      </c>
      <c r="AX1341" s="124">
        <f>IF(tech_base!$T157&gt;AX$1185,"",AX1621+AX1901)</f>
        <v>9.0886044543840008</v>
      </c>
    </row>
    <row r="1342" spans="1:50" x14ac:dyDescent="0.25">
      <c r="A1342" s="356"/>
      <c r="B1342" s="376"/>
      <c r="C1342" s="379"/>
      <c r="D1342" s="59" t="s">
        <v>8</v>
      </c>
      <c r="E1342" s="166" t="str">
        <f>A1325&amp;"/"&amp;B1333&amp;"/"&amp;C1341&amp;"/"&amp;D1342</f>
        <v>Diesel oil fired power plants/Gas turbine /Electricity only with CCS/M</v>
      </c>
      <c r="F1342" s="79" t="str">
        <f>A1325</f>
        <v>Diesel oil fired power plants</v>
      </c>
      <c r="G1342" s="79" t="str">
        <f>B1333</f>
        <v xml:space="preserve">Gas turbine </v>
      </c>
      <c r="H1342" s="79" t="str">
        <f>C1341</f>
        <v>Electricity only with CCS</v>
      </c>
      <c r="I1342" s="167" t="str">
        <f t="shared" si="374"/>
        <v>M</v>
      </c>
      <c r="J1342" s="125" t="str">
        <f>IF(tech_base!$T158&gt;J$1185,"",J1622+J1902)</f>
        <v/>
      </c>
      <c r="K1342" s="125" t="str">
        <f>IF(tech_base!$T158&gt;K$1185,"",K1622+K1902)</f>
        <v/>
      </c>
      <c r="L1342" s="125" t="str">
        <f>IF(tech_base!$T158&gt;L$1185,"",L1622+L1902)</f>
        <v/>
      </c>
      <c r="M1342" s="125" t="str">
        <f>IF(tech_base!$T158&gt;M$1185,"",M1622+M1902)</f>
        <v/>
      </c>
      <c r="N1342" s="125" t="str">
        <f>IF(tech_base!$T158&gt;N$1185,"",N1622+N1902)</f>
        <v/>
      </c>
      <c r="O1342" s="125" t="str">
        <f>IF(tech_base!$T158&gt;O$1185,"",O1622+O1902)</f>
        <v/>
      </c>
      <c r="P1342" s="125" t="str">
        <f>IF(tech_base!$T158&gt;P$1185,"",P1622+P1902)</f>
        <v/>
      </c>
      <c r="Q1342" s="125" t="str">
        <f>IF(tech_base!$T158&gt;Q$1185,"",Q1622+Q1902)</f>
        <v/>
      </c>
      <c r="R1342" s="125" t="str">
        <f>IF(tech_base!$T158&gt;R$1185,"",R1622+R1902)</f>
        <v/>
      </c>
      <c r="S1342" s="125" t="str">
        <f>IF(tech_base!$T158&gt;S$1185,"",S1622+S1902)</f>
        <v/>
      </c>
      <c r="T1342" s="125" t="str">
        <f>IF(tech_base!$T158&gt;T$1185,"",T1622+T1902)</f>
        <v/>
      </c>
      <c r="U1342" s="125" t="str">
        <f>IF(tech_base!$T158&gt;U$1185,"",U1622+U1902)</f>
        <v/>
      </c>
      <c r="V1342" s="125" t="str">
        <f>IF(tech_base!$T158&gt;V$1185,"",V1622+V1902)</f>
        <v/>
      </c>
      <c r="W1342" s="125" t="str">
        <f>IF(tech_base!$T158&gt;W$1185,"",W1622+W1902)</f>
        <v/>
      </c>
      <c r="X1342" s="125" t="str">
        <f>IF(tech_base!$T158&gt;X$1185,"",X1622+X1902)</f>
        <v/>
      </c>
      <c r="Y1342" s="125" t="str">
        <f>IF(tech_base!$T158&gt;Y$1185,"",Y1622+Y1902)</f>
        <v/>
      </c>
      <c r="Z1342" s="125" t="str">
        <f>IF(tech_base!$T158&gt;Z$1185,"",Z1622+Z1902)</f>
        <v/>
      </c>
      <c r="AA1342" s="125" t="str">
        <f>IF(tech_base!$T158&gt;AA$1185,"",AA1622+AA1902)</f>
        <v/>
      </c>
      <c r="AB1342" s="125" t="str">
        <f>IF(tech_base!$T158&gt;AB$1185,"",AB1622+AB1902)</f>
        <v/>
      </c>
      <c r="AC1342" s="125" t="str">
        <f>IF(tech_base!$T158&gt;AC$1185,"",AC1622+AC1902)</f>
        <v/>
      </c>
      <c r="AD1342" s="125" t="str">
        <f>IF(tech_base!$T158&gt;AD$1185,"",AD1622+AD1902)</f>
        <v/>
      </c>
      <c r="AE1342" s="125">
        <f>IF(tech_base!$T158&gt;AE$1185,"",AE1622+AE1902)</f>
        <v>9.6246471824514774</v>
      </c>
      <c r="AF1342" s="125">
        <f>IF(tech_base!$T158&gt;AF$1185,"",AF1622+AF1902)</f>
        <v>9.6246471824514774</v>
      </c>
      <c r="AG1342" s="125">
        <f>IF(tech_base!$T158&gt;AG$1185,"",AG1622+AG1902)</f>
        <v>9.6246471824514774</v>
      </c>
      <c r="AH1342" s="125">
        <f>IF(tech_base!$T158&gt;AH$1185,"",AH1622+AH1902)</f>
        <v>9.6246471824514774</v>
      </c>
      <c r="AI1342" s="125">
        <f>IF(tech_base!$T158&gt;AI$1185,"",AI1622+AI1902)</f>
        <v>9.6246471824514774</v>
      </c>
      <c r="AJ1342" s="125">
        <f>IF(tech_base!$T158&gt;AJ$1185,"",AJ1622+AJ1902)</f>
        <v>9.6246471824514774</v>
      </c>
      <c r="AK1342" s="125">
        <f>IF(tech_base!$T158&gt;AK$1185,"",AK1622+AK1902)</f>
        <v>9.6246471824514774</v>
      </c>
      <c r="AL1342" s="125">
        <f>IF(tech_base!$T158&gt;AL$1185,"",AL1622+AL1902)</f>
        <v>9.6246471824514774</v>
      </c>
      <c r="AM1342" s="125">
        <f>IF(tech_base!$T158&gt;AM$1185,"",AM1622+AM1902)</f>
        <v>9.6246471824514774</v>
      </c>
      <c r="AN1342" s="125">
        <f>IF(tech_base!$T158&gt;AN$1185,"",AN1622+AN1902)</f>
        <v>9.6246471824514774</v>
      </c>
      <c r="AO1342" s="125">
        <f>IF(tech_base!$T158&gt;AO$1185,"",AO1622+AO1902)</f>
        <v>9.6246471824514774</v>
      </c>
      <c r="AP1342" s="125">
        <f>IF(tech_base!$T158&gt;AP$1185,"",AP1622+AP1902)</f>
        <v>9.6246471824514774</v>
      </c>
      <c r="AQ1342" s="125">
        <f>IF(tech_base!$T158&gt;AQ$1185,"",AQ1622+AQ1902)</f>
        <v>9.6246471824514774</v>
      </c>
      <c r="AR1342" s="125">
        <f>IF(tech_base!$T158&gt;AR$1185,"",AR1622+AR1902)</f>
        <v>9.6246471824514774</v>
      </c>
      <c r="AS1342" s="125">
        <f>IF(tech_base!$T158&gt;AS$1185,"",AS1622+AS1902)</f>
        <v>9.6246471824514774</v>
      </c>
      <c r="AT1342" s="125">
        <f>IF(tech_base!$T158&gt;AT$1185,"",AT1622+AT1902)</f>
        <v>9.6246471824514774</v>
      </c>
      <c r="AU1342" s="125">
        <f>IF(tech_base!$T158&gt;AU$1185,"",AU1622+AU1902)</f>
        <v>9.6246471824514774</v>
      </c>
      <c r="AV1342" s="125">
        <f>IF(tech_base!$T158&gt;AV$1185,"",AV1622+AV1902)</f>
        <v>9.6246471824514774</v>
      </c>
      <c r="AW1342" s="125">
        <f>IF(tech_base!$T158&gt;AW$1185,"",AW1622+AW1902)</f>
        <v>9.6246471824514774</v>
      </c>
      <c r="AX1342" s="126">
        <f>IF(tech_base!$T158&gt;AX$1185,"",AX1622+AX1902)</f>
        <v>9.6246471824514774</v>
      </c>
    </row>
    <row r="1343" spans="1:50" x14ac:dyDescent="0.25">
      <c r="A1343" s="356"/>
      <c r="B1343" s="376"/>
      <c r="C1343" s="361" t="s">
        <v>16</v>
      </c>
      <c r="D1343" s="2" t="s">
        <v>7</v>
      </c>
      <c r="E1343" s="160" t="str">
        <f>A1325&amp;"/"&amp;B1333&amp;"/"&amp;C1343&amp;"/"&amp;D1343</f>
        <v>Diesel oil fired power plants/Gas turbine /CHP with CCS/L</v>
      </c>
      <c r="F1343" s="76" t="str">
        <f>A1325</f>
        <v>Diesel oil fired power plants</v>
      </c>
      <c r="G1343" s="76" t="str">
        <f>B1333</f>
        <v xml:space="preserve">Gas turbine </v>
      </c>
      <c r="H1343" s="76" t="str">
        <f>C1343</f>
        <v>CHP with CCS</v>
      </c>
      <c r="I1343" s="161" t="str">
        <f t="shared" si="374"/>
        <v>L</v>
      </c>
      <c r="J1343" s="119" t="str">
        <f>IF(tech_base!$T159&gt;J$1185,"",J1623+J1903)</f>
        <v/>
      </c>
      <c r="K1343" s="119" t="str">
        <f>IF(tech_base!$T159&gt;K$1185,"",K1623+K1903)</f>
        <v/>
      </c>
      <c r="L1343" s="119" t="str">
        <f>IF(tech_base!$T159&gt;L$1185,"",L1623+L1903)</f>
        <v/>
      </c>
      <c r="M1343" s="119" t="str">
        <f>IF(tech_base!$T159&gt;M$1185,"",M1623+M1903)</f>
        <v/>
      </c>
      <c r="N1343" s="119" t="str">
        <f>IF(tech_base!$T159&gt;N$1185,"",N1623+N1903)</f>
        <v/>
      </c>
      <c r="O1343" s="119" t="str">
        <f>IF(tech_base!$T159&gt;O$1185,"",O1623+O1903)</f>
        <v/>
      </c>
      <c r="P1343" s="119" t="str">
        <f>IF(tech_base!$T159&gt;P$1185,"",P1623+P1903)</f>
        <v/>
      </c>
      <c r="Q1343" s="119" t="str">
        <f>IF(tech_base!$T159&gt;Q$1185,"",Q1623+Q1903)</f>
        <v/>
      </c>
      <c r="R1343" s="119" t="str">
        <f>IF(tech_base!$T159&gt;R$1185,"",R1623+R1903)</f>
        <v/>
      </c>
      <c r="S1343" s="119" t="str">
        <f>IF(tech_base!$T159&gt;S$1185,"",S1623+S1903)</f>
        <v/>
      </c>
      <c r="T1343" s="119" t="str">
        <f>IF(tech_base!$T159&gt;T$1185,"",T1623+T1903)</f>
        <v/>
      </c>
      <c r="U1343" s="119" t="str">
        <f>IF(tech_base!$T159&gt;U$1185,"",U1623+U1903)</f>
        <v/>
      </c>
      <c r="V1343" s="119" t="str">
        <f>IF(tech_base!$T159&gt;V$1185,"",V1623+V1903)</f>
        <v/>
      </c>
      <c r="W1343" s="119" t="str">
        <f>IF(tech_base!$T159&gt;W$1185,"",W1623+W1903)</f>
        <v/>
      </c>
      <c r="X1343" s="119" t="str">
        <f>IF(tech_base!$T159&gt;X$1185,"",X1623+X1903)</f>
        <v/>
      </c>
      <c r="Y1343" s="119" t="str">
        <f>IF(tech_base!$T159&gt;Y$1185,"",Y1623+Y1903)</f>
        <v/>
      </c>
      <c r="Z1343" s="119" t="str">
        <f>IF(tech_base!$T159&gt;Z$1185,"",Z1623+Z1903)</f>
        <v/>
      </c>
      <c r="AA1343" s="119" t="str">
        <f>IF(tech_base!$T159&gt;AA$1185,"",AA1623+AA1903)</f>
        <v/>
      </c>
      <c r="AB1343" s="119" t="str">
        <f>IF(tech_base!$T159&gt;AB$1185,"",AB1623+AB1903)</f>
        <v/>
      </c>
      <c r="AC1343" s="119" t="str">
        <f>IF(tech_base!$T159&gt;AC$1185,"",AC1623+AC1903)</f>
        <v/>
      </c>
      <c r="AD1343" s="119" t="str">
        <f>IF(tech_base!$T159&gt;AD$1185,"",AD1623+AD1903)</f>
        <v/>
      </c>
      <c r="AE1343" s="119">
        <f>IF(tech_base!$T159&gt;AE$1185,"",AE1623+AE1903)</f>
        <v>10.169937524507022</v>
      </c>
      <c r="AF1343" s="119">
        <f>IF(tech_base!$T159&gt;AF$1185,"",AF1623+AF1903)</f>
        <v>10.169937524507022</v>
      </c>
      <c r="AG1343" s="119">
        <f>IF(tech_base!$T159&gt;AG$1185,"",AG1623+AG1903)</f>
        <v>10.169937524507022</v>
      </c>
      <c r="AH1343" s="119">
        <f>IF(tech_base!$T159&gt;AH$1185,"",AH1623+AH1903)</f>
        <v>10.169937524507022</v>
      </c>
      <c r="AI1343" s="119">
        <f>IF(tech_base!$T159&gt;AI$1185,"",AI1623+AI1903)</f>
        <v>10.169937524507022</v>
      </c>
      <c r="AJ1343" s="119">
        <f>IF(tech_base!$T159&gt;AJ$1185,"",AJ1623+AJ1903)</f>
        <v>10.169937524507022</v>
      </c>
      <c r="AK1343" s="119">
        <f>IF(tech_base!$T159&gt;AK$1185,"",AK1623+AK1903)</f>
        <v>10.169937524507022</v>
      </c>
      <c r="AL1343" s="119">
        <f>IF(tech_base!$T159&gt;AL$1185,"",AL1623+AL1903)</f>
        <v>10.169937524507022</v>
      </c>
      <c r="AM1343" s="119">
        <f>IF(tech_base!$T159&gt;AM$1185,"",AM1623+AM1903)</f>
        <v>10.169937524507022</v>
      </c>
      <c r="AN1343" s="119">
        <f>IF(tech_base!$T159&gt;AN$1185,"",AN1623+AN1903)</f>
        <v>10.169937524507022</v>
      </c>
      <c r="AO1343" s="119">
        <f>IF(tech_base!$T159&gt;AO$1185,"",AO1623+AO1903)</f>
        <v>10.169937524507022</v>
      </c>
      <c r="AP1343" s="119">
        <f>IF(tech_base!$T159&gt;AP$1185,"",AP1623+AP1903)</f>
        <v>10.169937524507022</v>
      </c>
      <c r="AQ1343" s="119">
        <f>IF(tech_base!$T159&gt;AQ$1185,"",AQ1623+AQ1903)</f>
        <v>10.169937524507022</v>
      </c>
      <c r="AR1343" s="119">
        <f>IF(tech_base!$T159&gt;AR$1185,"",AR1623+AR1903)</f>
        <v>10.169937524507022</v>
      </c>
      <c r="AS1343" s="119">
        <f>IF(tech_base!$T159&gt;AS$1185,"",AS1623+AS1903)</f>
        <v>10.169937524507022</v>
      </c>
      <c r="AT1343" s="119">
        <f>IF(tech_base!$T159&gt;AT$1185,"",AT1623+AT1903)</f>
        <v>10.169937524507022</v>
      </c>
      <c r="AU1343" s="119">
        <f>IF(tech_base!$T159&gt;AU$1185,"",AU1623+AU1903)</f>
        <v>10.169937524507022</v>
      </c>
      <c r="AV1343" s="119">
        <f>IF(tech_base!$T159&gt;AV$1185,"",AV1623+AV1903)</f>
        <v>10.169937524507022</v>
      </c>
      <c r="AW1343" s="119">
        <f>IF(tech_base!$T159&gt;AW$1185,"",AW1623+AW1903)</f>
        <v>10.169937524507022</v>
      </c>
      <c r="AX1343" s="120">
        <f>IF(tech_base!$T159&gt;AX$1185,"",AX1623+AX1903)</f>
        <v>10.169937524507022</v>
      </c>
    </row>
    <row r="1344" spans="1:50" x14ac:dyDescent="0.25">
      <c r="A1344" s="356"/>
      <c r="B1344" s="380"/>
      <c r="C1344" s="381"/>
      <c r="D1344" s="4" t="s">
        <v>8</v>
      </c>
      <c r="E1344" s="168" t="str">
        <f>A1325&amp;"/"&amp;B1333&amp;"/"&amp;C1343&amp;"/"&amp;D1344</f>
        <v>Diesel oil fired power plants/Gas turbine /CHP with CCS/M</v>
      </c>
      <c r="F1344" s="80" t="str">
        <f>A1325</f>
        <v>Diesel oil fired power plants</v>
      </c>
      <c r="G1344" s="80" t="str">
        <f>B1333</f>
        <v xml:space="preserve">Gas turbine </v>
      </c>
      <c r="H1344" s="80" t="str">
        <f>C1343</f>
        <v>CHP with CCS</v>
      </c>
      <c r="I1344" s="169" t="str">
        <f t="shared" si="374"/>
        <v>M</v>
      </c>
      <c r="J1344" s="127" t="str">
        <f>IF(tech_base!$T160&gt;J$1185,"",J1624+J1904)</f>
        <v/>
      </c>
      <c r="K1344" s="127" t="str">
        <f>IF(tech_base!$T160&gt;K$1185,"",K1624+K1904)</f>
        <v/>
      </c>
      <c r="L1344" s="127" t="str">
        <f>IF(tech_base!$T160&gt;L$1185,"",L1624+L1904)</f>
        <v/>
      </c>
      <c r="M1344" s="127" t="str">
        <f>IF(tech_base!$T160&gt;M$1185,"",M1624+M1904)</f>
        <v/>
      </c>
      <c r="N1344" s="127" t="str">
        <f>IF(tech_base!$T160&gt;N$1185,"",N1624+N1904)</f>
        <v/>
      </c>
      <c r="O1344" s="127" t="str">
        <f>IF(tech_base!$T160&gt;O$1185,"",O1624+O1904)</f>
        <v/>
      </c>
      <c r="P1344" s="127" t="str">
        <f>IF(tech_base!$T160&gt;P$1185,"",P1624+P1904)</f>
        <v/>
      </c>
      <c r="Q1344" s="127" t="str">
        <f>IF(tech_base!$T160&gt;Q$1185,"",Q1624+Q1904)</f>
        <v/>
      </c>
      <c r="R1344" s="127" t="str">
        <f>IF(tech_base!$T160&gt;R$1185,"",R1624+R1904)</f>
        <v/>
      </c>
      <c r="S1344" s="127" t="str">
        <f>IF(tech_base!$T160&gt;S$1185,"",S1624+S1904)</f>
        <v/>
      </c>
      <c r="T1344" s="127" t="str">
        <f>IF(tech_base!$T160&gt;T$1185,"",T1624+T1904)</f>
        <v/>
      </c>
      <c r="U1344" s="127" t="str">
        <f>IF(tech_base!$T160&gt;U$1185,"",U1624+U1904)</f>
        <v/>
      </c>
      <c r="V1344" s="127" t="str">
        <f>IF(tech_base!$T160&gt;V$1185,"",V1624+V1904)</f>
        <v/>
      </c>
      <c r="W1344" s="127" t="str">
        <f>IF(tech_base!$T160&gt;W$1185,"",W1624+W1904)</f>
        <v/>
      </c>
      <c r="X1344" s="127" t="str">
        <f>IF(tech_base!$T160&gt;X$1185,"",X1624+X1904)</f>
        <v/>
      </c>
      <c r="Y1344" s="127" t="str">
        <f>IF(tech_base!$T160&gt;Y$1185,"",Y1624+Y1904)</f>
        <v/>
      </c>
      <c r="Z1344" s="127" t="str">
        <f>IF(tech_base!$T160&gt;Z$1185,"",Z1624+Z1904)</f>
        <v/>
      </c>
      <c r="AA1344" s="127" t="str">
        <f>IF(tech_base!$T160&gt;AA$1185,"",AA1624+AA1904)</f>
        <v/>
      </c>
      <c r="AB1344" s="127" t="str">
        <f>IF(tech_base!$T160&gt;AB$1185,"",AB1624+AB1904)</f>
        <v/>
      </c>
      <c r="AC1344" s="127" t="str">
        <f>IF(tech_base!$T160&gt;AC$1185,"",AC1624+AC1904)</f>
        <v/>
      </c>
      <c r="AD1344" s="127" t="str">
        <f>IF(tech_base!$T160&gt;AD$1185,"",AD1624+AD1904)</f>
        <v/>
      </c>
      <c r="AE1344" s="127">
        <f>IF(tech_base!$T160&gt;AE$1185,"",AE1624+AE1904)</f>
        <v>10.780726241032477</v>
      </c>
      <c r="AF1344" s="127">
        <f>IF(tech_base!$T160&gt;AF$1185,"",AF1624+AF1904)</f>
        <v>10.780726241032477</v>
      </c>
      <c r="AG1344" s="127">
        <f>IF(tech_base!$T160&gt;AG$1185,"",AG1624+AG1904)</f>
        <v>10.780726241032477</v>
      </c>
      <c r="AH1344" s="127">
        <f>IF(tech_base!$T160&gt;AH$1185,"",AH1624+AH1904)</f>
        <v>10.780726241032477</v>
      </c>
      <c r="AI1344" s="127">
        <f>IF(tech_base!$T160&gt;AI$1185,"",AI1624+AI1904)</f>
        <v>10.780726241032477</v>
      </c>
      <c r="AJ1344" s="127">
        <f>IF(tech_base!$T160&gt;AJ$1185,"",AJ1624+AJ1904)</f>
        <v>10.780726241032477</v>
      </c>
      <c r="AK1344" s="127">
        <f>IF(tech_base!$T160&gt;AK$1185,"",AK1624+AK1904)</f>
        <v>10.780726241032477</v>
      </c>
      <c r="AL1344" s="127">
        <f>IF(tech_base!$T160&gt;AL$1185,"",AL1624+AL1904)</f>
        <v>10.780726241032477</v>
      </c>
      <c r="AM1344" s="127">
        <f>IF(tech_base!$T160&gt;AM$1185,"",AM1624+AM1904)</f>
        <v>10.780726241032477</v>
      </c>
      <c r="AN1344" s="127">
        <f>IF(tech_base!$T160&gt;AN$1185,"",AN1624+AN1904)</f>
        <v>10.780726241032477</v>
      </c>
      <c r="AO1344" s="127">
        <f>IF(tech_base!$T160&gt;AO$1185,"",AO1624+AO1904)</f>
        <v>10.780726241032477</v>
      </c>
      <c r="AP1344" s="127">
        <f>IF(tech_base!$T160&gt;AP$1185,"",AP1624+AP1904)</f>
        <v>10.780726241032477</v>
      </c>
      <c r="AQ1344" s="127">
        <f>IF(tech_base!$T160&gt;AQ$1185,"",AQ1624+AQ1904)</f>
        <v>10.780726241032477</v>
      </c>
      <c r="AR1344" s="127">
        <f>IF(tech_base!$T160&gt;AR$1185,"",AR1624+AR1904)</f>
        <v>10.780726241032477</v>
      </c>
      <c r="AS1344" s="127">
        <f>IF(tech_base!$T160&gt;AS$1185,"",AS1624+AS1904)</f>
        <v>10.780726241032477</v>
      </c>
      <c r="AT1344" s="127">
        <f>IF(tech_base!$T160&gt;AT$1185,"",AT1624+AT1904)</f>
        <v>10.780726241032477</v>
      </c>
      <c r="AU1344" s="127">
        <f>IF(tech_base!$T160&gt;AU$1185,"",AU1624+AU1904)</f>
        <v>10.780726241032477</v>
      </c>
      <c r="AV1344" s="127">
        <f>IF(tech_base!$T160&gt;AV$1185,"",AV1624+AV1904)</f>
        <v>10.780726241032477</v>
      </c>
      <c r="AW1344" s="127">
        <f>IF(tech_base!$T160&gt;AW$1185,"",AW1624+AW1904)</f>
        <v>10.780726241032477</v>
      </c>
      <c r="AX1344" s="128">
        <f>IF(tech_base!$T160&gt;AX$1185,"",AX1624+AX1904)</f>
        <v>10.780726241032477</v>
      </c>
    </row>
    <row r="1345" spans="1:50" x14ac:dyDescent="0.25">
      <c r="A1345" s="356"/>
      <c r="B1345" s="358" t="s">
        <v>19</v>
      </c>
      <c r="C1345" s="353" t="s">
        <v>6</v>
      </c>
      <c r="D1345" s="3" t="s">
        <v>7</v>
      </c>
      <c r="E1345" s="162" t="str">
        <f>A1325&amp;"/"&amp;B1345&amp;"/"&amp;C1345&amp;"/"&amp;D1345</f>
        <v>Diesel oil fired power plants/Steam turbine/Electricity only/L</v>
      </c>
      <c r="F1345" s="77" t="str">
        <f>A1325</f>
        <v>Diesel oil fired power plants</v>
      </c>
      <c r="G1345" s="77" t="str">
        <f>B1345</f>
        <v>Steam turbine</v>
      </c>
      <c r="H1345" s="77" t="str">
        <f>C1345</f>
        <v>Electricity only</v>
      </c>
      <c r="I1345" s="163" t="str">
        <f t="shared" si="374"/>
        <v>L</v>
      </c>
      <c r="J1345" s="121">
        <f>IF(tech_base!$T161&gt;J$1185,"",J1625+J1905)</f>
        <v>0</v>
      </c>
      <c r="K1345" s="121">
        <f>IF(tech_base!$T161&gt;K$1185,"",K1625+K1905)</f>
        <v>0</v>
      </c>
      <c r="L1345" s="121">
        <f>IF(tech_base!$T161&gt;L$1185,"",L1625+L1905)</f>
        <v>0</v>
      </c>
      <c r="M1345" s="121">
        <f>IF(tech_base!$T161&gt;M$1185,"",M1625+M1905)</f>
        <v>0</v>
      </c>
      <c r="N1345" s="121">
        <f>IF(tech_base!$T161&gt;N$1185,"",N1625+N1905)</f>
        <v>0</v>
      </c>
      <c r="O1345" s="121">
        <f>IF(tech_base!$T161&gt;O$1185,"",O1625+O1905)</f>
        <v>0</v>
      </c>
      <c r="P1345" s="121">
        <f>IF(tech_base!$T161&gt;P$1185,"",P1625+P1905)</f>
        <v>0</v>
      </c>
      <c r="Q1345" s="121">
        <f>IF(tech_base!$T161&gt;Q$1185,"",Q1625+Q1905)</f>
        <v>0</v>
      </c>
      <c r="R1345" s="121">
        <f>IF(tech_base!$T161&gt;R$1185,"",R1625+R1905)</f>
        <v>0</v>
      </c>
      <c r="S1345" s="121">
        <f>IF(tech_base!$T161&gt;S$1185,"",S1625+S1905)</f>
        <v>0</v>
      </c>
      <c r="T1345" s="121">
        <f>IF(tech_base!$T161&gt;T$1185,"",T1625+T1905)</f>
        <v>0</v>
      </c>
      <c r="U1345" s="121">
        <f>IF(tech_base!$T161&gt;U$1185,"",U1625+U1905)</f>
        <v>0</v>
      </c>
      <c r="V1345" s="121">
        <f>IF(tech_base!$T161&gt;V$1185,"",V1625+V1905)</f>
        <v>0</v>
      </c>
      <c r="W1345" s="121">
        <f>IF(tech_base!$T161&gt;W$1185,"",W1625+W1905)</f>
        <v>0</v>
      </c>
      <c r="X1345" s="121">
        <f>IF(tech_base!$T161&gt;X$1185,"",X1625+X1905)</f>
        <v>0</v>
      </c>
      <c r="Y1345" s="121">
        <f>IF(tech_base!$T161&gt;Y$1185,"",Y1625+Y1905)</f>
        <v>0</v>
      </c>
      <c r="Z1345" s="121">
        <f>IF(tech_base!$T161&gt;Z$1185,"",Z1625+Z1905)</f>
        <v>0</v>
      </c>
      <c r="AA1345" s="121">
        <f>IF(tech_base!$T161&gt;AA$1185,"",AA1625+AA1905)</f>
        <v>0</v>
      </c>
      <c r="AB1345" s="121">
        <f>IF(tech_base!$T161&gt;AB$1185,"",AB1625+AB1905)</f>
        <v>0</v>
      </c>
      <c r="AC1345" s="121">
        <f>IF(tech_base!$T161&gt;AC$1185,"",AC1625+AC1905)</f>
        <v>0</v>
      </c>
      <c r="AD1345" s="121">
        <f>IF(tech_base!$T161&gt;AD$1185,"",AD1625+AD1905)</f>
        <v>0</v>
      </c>
      <c r="AE1345" s="121">
        <f>IF(tech_base!$T161&gt;AE$1185,"",AE1625+AE1905)</f>
        <v>0</v>
      </c>
      <c r="AF1345" s="121">
        <f>IF(tech_base!$T161&gt;AF$1185,"",AF1625+AF1905)</f>
        <v>0</v>
      </c>
      <c r="AG1345" s="121">
        <f>IF(tech_base!$T161&gt;AG$1185,"",AG1625+AG1905)</f>
        <v>0</v>
      </c>
      <c r="AH1345" s="121">
        <f>IF(tech_base!$T161&gt;AH$1185,"",AH1625+AH1905)</f>
        <v>0</v>
      </c>
      <c r="AI1345" s="121">
        <f>IF(tech_base!$T161&gt;AI$1185,"",AI1625+AI1905)</f>
        <v>0</v>
      </c>
      <c r="AJ1345" s="121">
        <f>IF(tech_base!$T161&gt;AJ$1185,"",AJ1625+AJ1905)</f>
        <v>0</v>
      </c>
      <c r="AK1345" s="121">
        <f>IF(tech_base!$T161&gt;AK$1185,"",AK1625+AK1905)</f>
        <v>0</v>
      </c>
      <c r="AL1345" s="121">
        <f>IF(tech_base!$T161&gt;AL$1185,"",AL1625+AL1905)</f>
        <v>0</v>
      </c>
      <c r="AM1345" s="121">
        <f>IF(tech_base!$T161&gt;AM$1185,"",AM1625+AM1905)</f>
        <v>0</v>
      </c>
      <c r="AN1345" s="121">
        <f>IF(tech_base!$T161&gt;AN$1185,"",AN1625+AN1905)</f>
        <v>0</v>
      </c>
      <c r="AO1345" s="121">
        <f>IF(tech_base!$T161&gt;AO$1185,"",AO1625+AO1905)</f>
        <v>0</v>
      </c>
      <c r="AP1345" s="121">
        <f>IF(tech_base!$T161&gt;AP$1185,"",AP1625+AP1905)</f>
        <v>0</v>
      </c>
      <c r="AQ1345" s="121">
        <f>IF(tech_base!$T161&gt;AQ$1185,"",AQ1625+AQ1905)</f>
        <v>0</v>
      </c>
      <c r="AR1345" s="121">
        <f>IF(tech_base!$T161&gt;AR$1185,"",AR1625+AR1905)</f>
        <v>0</v>
      </c>
      <c r="AS1345" s="121">
        <f>IF(tech_base!$T161&gt;AS$1185,"",AS1625+AS1905)</f>
        <v>0</v>
      </c>
      <c r="AT1345" s="121">
        <f>IF(tech_base!$T161&gt;AT$1185,"",AT1625+AT1905)</f>
        <v>0</v>
      </c>
      <c r="AU1345" s="121">
        <f>IF(tech_base!$T161&gt;AU$1185,"",AU1625+AU1905)</f>
        <v>0</v>
      </c>
      <c r="AV1345" s="121">
        <f>IF(tech_base!$T161&gt;AV$1185,"",AV1625+AV1905)</f>
        <v>0</v>
      </c>
      <c r="AW1345" s="121">
        <f>IF(tech_base!$T161&gt;AW$1185,"",AW1625+AW1905)</f>
        <v>0</v>
      </c>
      <c r="AX1345" s="122">
        <f>IF(tech_base!$T161&gt;AX$1185,"",AX1625+AX1905)</f>
        <v>0</v>
      </c>
    </row>
    <row r="1346" spans="1:50" x14ac:dyDescent="0.25">
      <c r="A1346" s="356"/>
      <c r="B1346" s="376"/>
      <c r="C1346" s="378"/>
      <c r="D1346" s="2" t="s">
        <v>8</v>
      </c>
      <c r="E1346" s="160" t="str">
        <f>A1325&amp;"/"&amp;B1345&amp;"/"&amp;C1345&amp;"/"&amp;D1346</f>
        <v>Diesel oil fired power plants/Steam turbine/Electricity only/M</v>
      </c>
      <c r="F1346" s="76" t="str">
        <f>A1325</f>
        <v>Diesel oil fired power plants</v>
      </c>
      <c r="G1346" s="76" t="str">
        <f>B1345</f>
        <v>Steam turbine</v>
      </c>
      <c r="H1346" s="76" t="str">
        <f>C1345</f>
        <v>Electricity only</v>
      </c>
      <c r="I1346" s="161" t="str">
        <f t="shared" si="374"/>
        <v>M</v>
      </c>
      <c r="J1346" s="119">
        <f>IF(tech_base!$T162&gt;J$1185,"",J1626+J1906)</f>
        <v>0</v>
      </c>
      <c r="K1346" s="119">
        <f>IF(tech_base!$T162&gt;K$1185,"",K1626+K1906)</f>
        <v>0</v>
      </c>
      <c r="L1346" s="119">
        <f>IF(tech_base!$T162&gt;L$1185,"",L1626+L1906)</f>
        <v>0</v>
      </c>
      <c r="M1346" s="119">
        <f>IF(tech_base!$T162&gt;M$1185,"",M1626+M1906)</f>
        <v>0</v>
      </c>
      <c r="N1346" s="119">
        <f>IF(tech_base!$T162&gt;N$1185,"",N1626+N1906)</f>
        <v>0</v>
      </c>
      <c r="O1346" s="119">
        <f>IF(tech_base!$T162&gt;O$1185,"",O1626+O1906)</f>
        <v>0</v>
      </c>
      <c r="P1346" s="119">
        <f>IF(tech_base!$T162&gt;P$1185,"",P1626+P1906)</f>
        <v>0</v>
      </c>
      <c r="Q1346" s="119">
        <f>IF(tech_base!$T162&gt;Q$1185,"",Q1626+Q1906)</f>
        <v>0</v>
      </c>
      <c r="R1346" s="119">
        <f>IF(tech_base!$T162&gt;R$1185,"",R1626+R1906)</f>
        <v>0</v>
      </c>
      <c r="S1346" s="119">
        <f>IF(tech_base!$T162&gt;S$1185,"",S1626+S1906)</f>
        <v>0</v>
      </c>
      <c r="T1346" s="119">
        <f>IF(tech_base!$T162&gt;T$1185,"",T1626+T1906)</f>
        <v>0</v>
      </c>
      <c r="U1346" s="119">
        <f>IF(tech_base!$T162&gt;U$1185,"",U1626+U1906)</f>
        <v>0</v>
      </c>
      <c r="V1346" s="119">
        <f>IF(tech_base!$T162&gt;V$1185,"",V1626+V1906)</f>
        <v>0</v>
      </c>
      <c r="W1346" s="119">
        <f>IF(tech_base!$T162&gt;W$1185,"",W1626+W1906)</f>
        <v>0</v>
      </c>
      <c r="X1346" s="119">
        <f>IF(tech_base!$T162&gt;X$1185,"",X1626+X1906)</f>
        <v>0</v>
      </c>
      <c r="Y1346" s="119">
        <f>IF(tech_base!$T162&gt;Y$1185,"",Y1626+Y1906)</f>
        <v>0</v>
      </c>
      <c r="Z1346" s="119">
        <f>IF(tech_base!$T162&gt;Z$1185,"",Z1626+Z1906)</f>
        <v>0</v>
      </c>
      <c r="AA1346" s="119">
        <f>IF(tech_base!$T162&gt;AA$1185,"",AA1626+AA1906)</f>
        <v>0</v>
      </c>
      <c r="AB1346" s="119">
        <f>IF(tech_base!$T162&gt;AB$1185,"",AB1626+AB1906)</f>
        <v>0</v>
      </c>
      <c r="AC1346" s="119">
        <f>IF(tech_base!$T162&gt;AC$1185,"",AC1626+AC1906)</f>
        <v>0</v>
      </c>
      <c r="AD1346" s="119">
        <f>IF(tech_base!$T162&gt;AD$1185,"",AD1626+AD1906)</f>
        <v>0</v>
      </c>
      <c r="AE1346" s="119">
        <f>IF(tech_base!$T162&gt;AE$1185,"",AE1626+AE1906)</f>
        <v>0</v>
      </c>
      <c r="AF1346" s="119">
        <f>IF(tech_base!$T162&gt;AF$1185,"",AF1626+AF1906)</f>
        <v>0</v>
      </c>
      <c r="AG1346" s="119">
        <f>IF(tech_base!$T162&gt;AG$1185,"",AG1626+AG1906)</f>
        <v>0</v>
      </c>
      <c r="AH1346" s="119">
        <f>IF(tech_base!$T162&gt;AH$1185,"",AH1626+AH1906)</f>
        <v>0</v>
      </c>
      <c r="AI1346" s="119">
        <f>IF(tech_base!$T162&gt;AI$1185,"",AI1626+AI1906)</f>
        <v>0</v>
      </c>
      <c r="AJ1346" s="119">
        <f>IF(tech_base!$T162&gt;AJ$1185,"",AJ1626+AJ1906)</f>
        <v>0</v>
      </c>
      <c r="AK1346" s="119">
        <f>IF(tech_base!$T162&gt;AK$1185,"",AK1626+AK1906)</f>
        <v>0</v>
      </c>
      <c r="AL1346" s="119">
        <f>IF(tech_base!$T162&gt;AL$1185,"",AL1626+AL1906)</f>
        <v>0</v>
      </c>
      <c r="AM1346" s="119">
        <f>IF(tech_base!$T162&gt;AM$1185,"",AM1626+AM1906)</f>
        <v>0</v>
      </c>
      <c r="AN1346" s="119">
        <f>IF(tech_base!$T162&gt;AN$1185,"",AN1626+AN1906)</f>
        <v>0</v>
      </c>
      <c r="AO1346" s="119">
        <f>IF(tech_base!$T162&gt;AO$1185,"",AO1626+AO1906)</f>
        <v>0</v>
      </c>
      <c r="AP1346" s="119">
        <f>IF(tech_base!$T162&gt;AP$1185,"",AP1626+AP1906)</f>
        <v>0</v>
      </c>
      <c r="AQ1346" s="119">
        <f>IF(tech_base!$T162&gt;AQ$1185,"",AQ1626+AQ1906)</f>
        <v>0</v>
      </c>
      <c r="AR1346" s="119">
        <f>IF(tech_base!$T162&gt;AR$1185,"",AR1626+AR1906)</f>
        <v>0</v>
      </c>
      <c r="AS1346" s="119">
        <f>IF(tech_base!$T162&gt;AS$1185,"",AS1626+AS1906)</f>
        <v>0</v>
      </c>
      <c r="AT1346" s="119">
        <f>IF(tech_base!$T162&gt;AT$1185,"",AT1626+AT1906)</f>
        <v>0</v>
      </c>
      <c r="AU1346" s="119">
        <f>IF(tech_base!$T162&gt;AU$1185,"",AU1626+AU1906)</f>
        <v>0</v>
      </c>
      <c r="AV1346" s="119">
        <f>IF(tech_base!$T162&gt;AV$1185,"",AV1626+AV1906)</f>
        <v>0</v>
      </c>
      <c r="AW1346" s="119">
        <f>IF(tech_base!$T162&gt;AW$1185,"",AW1626+AW1906)</f>
        <v>0</v>
      </c>
      <c r="AX1346" s="120">
        <f>IF(tech_base!$T162&gt;AX$1185,"",AX1626+AX1906)</f>
        <v>0</v>
      </c>
    </row>
    <row r="1347" spans="1:50" x14ac:dyDescent="0.25">
      <c r="A1347" s="356"/>
      <c r="B1347" s="376"/>
      <c r="C1347" s="379"/>
      <c r="D1347" s="2" t="s">
        <v>10</v>
      </c>
      <c r="E1347" s="160" t="str">
        <f>A1325&amp;"/"&amp;B1345&amp;"/"&amp;C1345&amp;"/"&amp;D1347</f>
        <v>Diesel oil fired power plants/Steam turbine/Electricity only/S</v>
      </c>
      <c r="F1347" s="76" t="str">
        <f>A1325</f>
        <v>Diesel oil fired power plants</v>
      </c>
      <c r="G1347" s="76" t="str">
        <f>B1345</f>
        <v>Steam turbine</v>
      </c>
      <c r="H1347" s="76" t="str">
        <f>C1345</f>
        <v>Electricity only</v>
      </c>
      <c r="I1347" s="161" t="str">
        <f t="shared" si="374"/>
        <v>S</v>
      </c>
      <c r="J1347" s="119">
        <f>IF(tech_base!$T163&gt;J$1185,"",J1627+J1907)</f>
        <v>0</v>
      </c>
      <c r="K1347" s="119">
        <f>IF(tech_base!$T163&gt;K$1185,"",K1627+K1907)</f>
        <v>0</v>
      </c>
      <c r="L1347" s="119">
        <f>IF(tech_base!$T163&gt;L$1185,"",L1627+L1907)</f>
        <v>0</v>
      </c>
      <c r="M1347" s="119">
        <f>IF(tech_base!$T163&gt;M$1185,"",M1627+M1907)</f>
        <v>0</v>
      </c>
      <c r="N1347" s="119">
        <f>IF(tech_base!$T163&gt;N$1185,"",N1627+N1907)</f>
        <v>0</v>
      </c>
      <c r="O1347" s="119">
        <f>IF(tech_base!$T163&gt;O$1185,"",O1627+O1907)</f>
        <v>0</v>
      </c>
      <c r="P1347" s="119">
        <f>IF(tech_base!$T163&gt;P$1185,"",P1627+P1907)</f>
        <v>0</v>
      </c>
      <c r="Q1347" s="119">
        <f>IF(tech_base!$T163&gt;Q$1185,"",Q1627+Q1907)</f>
        <v>0</v>
      </c>
      <c r="R1347" s="119">
        <f>IF(tech_base!$T163&gt;R$1185,"",R1627+R1907)</f>
        <v>0</v>
      </c>
      <c r="S1347" s="119">
        <f>IF(tech_base!$T163&gt;S$1185,"",S1627+S1907)</f>
        <v>0</v>
      </c>
      <c r="T1347" s="119">
        <f>IF(tech_base!$T163&gt;T$1185,"",T1627+T1907)</f>
        <v>0</v>
      </c>
      <c r="U1347" s="119">
        <f>IF(tech_base!$T163&gt;U$1185,"",U1627+U1907)</f>
        <v>0</v>
      </c>
      <c r="V1347" s="119">
        <f>IF(tech_base!$T163&gt;V$1185,"",V1627+V1907)</f>
        <v>0</v>
      </c>
      <c r="W1347" s="119">
        <f>IF(tech_base!$T163&gt;W$1185,"",W1627+W1907)</f>
        <v>0</v>
      </c>
      <c r="X1347" s="119">
        <f>IF(tech_base!$T163&gt;X$1185,"",X1627+X1907)</f>
        <v>0</v>
      </c>
      <c r="Y1347" s="119">
        <f>IF(tech_base!$T163&gt;Y$1185,"",Y1627+Y1907)</f>
        <v>0</v>
      </c>
      <c r="Z1347" s="119">
        <f>IF(tech_base!$T163&gt;Z$1185,"",Z1627+Z1907)</f>
        <v>0</v>
      </c>
      <c r="AA1347" s="119">
        <f>IF(tech_base!$T163&gt;AA$1185,"",AA1627+AA1907)</f>
        <v>0</v>
      </c>
      <c r="AB1347" s="119">
        <f>IF(tech_base!$T163&gt;AB$1185,"",AB1627+AB1907)</f>
        <v>0</v>
      </c>
      <c r="AC1347" s="119">
        <f>IF(tech_base!$T163&gt;AC$1185,"",AC1627+AC1907)</f>
        <v>0</v>
      </c>
      <c r="AD1347" s="119">
        <f>IF(tech_base!$T163&gt;AD$1185,"",AD1627+AD1907)</f>
        <v>0</v>
      </c>
      <c r="AE1347" s="119">
        <f>IF(tech_base!$T163&gt;AE$1185,"",AE1627+AE1907)</f>
        <v>0</v>
      </c>
      <c r="AF1347" s="119">
        <f>IF(tech_base!$T163&gt;AF$1185,"",AF1627+AF1907)</f>
        <v>0</v>
      </c>
      <c r="AG1347" s="119">
        <f>IF(tech_base!$T163&gt;AG$1185,"",AG1627+AG1907)</f>
        <v>0</v>
      </c>
      <c r="AH1347" s="119">
        <f>IF(tech_base!$T163&gt;AH$1185,"",AH1627+AH1907)</f>
        <v>0</v>
      </c>
      <c r="AI1347" s="119">
        <f>IF(tech_base!$T163&gt;AI$1185,"",AI1627+AI1907)</f>
        <v>0</v>
      </c>
      <c r="AJ1347" s="119">
        <f>IF(tech_base!$T163&gt;AJ$1185,"",AJ1627+AJ1907)</f>
        <v>0</v>
      </c>
      <c r="AK1347" s="119">
        <f>IF(tech_base!$T163&gt;AK$1185,"",AK1627+AK1907)</f>
        <v>0</v>
      </c>
      <c r="AL1347" s="119">
        <f>IF(tech_base!$T163&gt;AL$1185,"",AL1627+AL1907)</f>
        <v>0</v>
      </c>
      <c r="AM1347" s="119">
        <f>IF(tech_base!$T163&gt;AM$1185,"",AM1627+AM1907)</f>
        <v>0</v>
      </c>
      <c r="AN1347" s="119">
        <f>IF(tech_base!$T163&gt;AN$1185,"",AN1627+AN1907)</f>
        <v>0</v>
      </c>
      <c r="AO1347" s="119">
        <f>IF(tech_base!$T163&gt;AO$1185,"",AO1627+AO1907)</f>
        <v>0</v>
      </c>
      <c r="AP1347" s="119">
        <f>IF(tech_base!$T163&gt;AP$1185,"",AP1627+AP1907)</f>
        <v>0</v>
      </c>
      <c r="AQ1347" s="119">
        <f>IF(tech_base!$T163&gt;AQ$1185,"",AQ1627+AQ1907)</f>
        <v>0</v>
      </c>
      <c r="AR1347" s="119">
        <f>IF(tech_base!$T163&gt;AR$1185,"",AR1627+AR1907)</f>
        <v>0</v>
      </c>
      <c r="AS1347" s="119">
        <f>IF(tech_base!$T163&gt;AS$1185,"",AS1627+AS1907)</f>
        <v>0</v>
      </c>
      <c r="AT1347" s="119">
        <f>IF(tech_base!$T163&gt;AT$1185,"",AT1627+AT1907)</f>
        <v>0</v>
      </c>
      <c r="AU1347" s="119">
        <f>IF(tech_base!$T163&gt;AU$1185,"",AU1627+AU1907)</f>
        <v>0</v>
      </c>
      <c r="AV1347" s="119">
        <f>IF(tech_base!$T163&gt;AV$1185,"",AV1627+AV1907)</f>
        <v>0</v>
      </c>
      <c r="AW1347" s="119">
        <f>IF(tech_base!$T163&gt;AW$1185,"",AW1627+AW1907)</f>
        <v>0</v>
      </c>
      <c r="AX1347" s="120">
        <f>IF(tech_base!$T163&gt;AX$1185,"",AX1627+AX1907)</f>
        <v>0</v>
      </c>
    </row>
    <row r="1348" spans="1:50" x14ac:dyDescent="0.25">
      <c r="A1348" s="356"/>
      <c r="B1348" s="376"/>
      <c r="C1348" s="361" t="s">
        <v>14</v>
      </c>
      <c r="D1348" s="58" t="s">
        <v>7</v>
      </c>
      <c r="E1348" s="164" t="str">
        <f>A1325&amp;"/"&amp;B1345&amp;"/"&amp;C1348&amp;"/"&amp;D1348</f>
        <v>Diesel oil fired power plants/Steam turbine/CHP/L</v>
      </c>
      <c r="F1348" s="78" t="str">
        <f>A1325</f>
        <v>Diesel oil fired power plants</v>
      </c>
      <c r="G1348" s="78" t="str">
        <f>B1345</f>
        <v>Steam turbine</v>
      </c>
      <c r="H1348" s="78" t="str">
        <f>C1348</f>
        <v>CHP</v>
      </c>
      <c r="I1348" s="165" t="str">
        <f t="shared" si="374"/>
        <v>L</v>
      </c>
      <c r="J1348" s="123">
        <f>IF(tech_base!$T164&gt;J$1185,"",J1628+J1908)</f>
        <v>0</v>
      </c>
      <c r="K1348" s="123">
        <f>IF(tech_base!$T164&gt;K$1185,"",K1628+K1908)</f>
        <v>0</v>
      </c>
      <c r="L1348" s="123">
        <f>IF(tech_base!$T164&gt;L$1185,"",L1628+L1908)</f>
        <v>0</v>
      </c>
      <c r="M1348" s="123">
        <f>IF(tech_base!$T164&gt;M$1185,"",M1628+M1908)</f>
        <v>0</v>
      </c>
      <c r="N1348" s="123">
        <f>IF(tech_base!$T164&gt;N$1185,"",N1628+N1908)</f>
        <v>0</v>
      </c>
      <c r="O1348" s="123">
        <f>IF(tech_base!$T164&gt;O$1185,"",O1628+O1908)</f>
        <v>0</v>
      </c>
      <c r="P1348" s="123">
        <f>IF(tech_base!$T164&gt;P$1185,"",P1628+P1908)</f>
        <v>0</v>
      </c>
      <c r="Q1348" s="123">
        <f>IF(tech_base!$T164&gt;Q$1185,"",Q1628+Q1908)</f>
        <v>0</v>
      </c>
      <c r="R1348" s="123">
        <f>IF(tech_base!$T164&gt;R$1185,"",R1628+R1908)</f>
        <v>0</v>
      </c>
      <c r="S1348" s="123">
        <f>IF(tech_base!$T164&gt;S$1185,"",S1628+S1908)</f>
        <v>0</v>
      </c>
      <c r="T1348" s="123">
        <f>IF(tech_base!$T164&gt;T$1185,"",T1628+T1908)</f>
        <v>0</v>
      </c>
      <c r="U1348" s="123">
        <f>IF(tech_base!$T164&gt;U$1185,"",U1628+U1908)</f>
        <v>0</v>
      </c>
      <c r="V1348" s="123">
        <f>IF(tech_base!$T164&gt;V$1185,"",V1628+V1908)</f>
        <v>0</v>
      </c>
      <c r="W1348" s="123">
        <f>IF(tech_base!$T164&gt;W$1185,"",W1628+W1908)</f>
        <v>0</v>
      </c>
      <c r="X1348" s="123">
        <f>IF(tech_base!$T164&gt;X$1185,"",X1628+X1908)</f>
        <v>0</v>
      </c>
      <c r="Y1348" s="123">
        <f>IF(tech_base!$T164&gt;Y$1185,"",Y1628+Y1908)</f>
        <v>0</v>
      </c>
      <c r="Z1348" s="123">
        <f>IF(tech_base!$T164&gt;Z$1185,"",Z1628+Z1908)</f>
        <v>0</v>
      </c>
      <c r="AA1348" s="123">
        <f>IF(tech_base!$T164&gt;AA$1185,"",AA1628+AA1908)</f>
        <v>0</v>
      </c>
      <c r="AB1348" s="123">
        <f>IF(tech_base!$T164&gt;AB$1185,"",AB1628+AB1908)</f>
        <v>0</v>
      </c>
      <c r="AC1348" s="123">
        <f>IF(tech_base!$T164&gt;AC$1185,"",AC1628+AC1908)</f>
        <v>0</v>
      </c>
      <c r="AD1348" s="123">
        <f>IF(tech_base!$T164&gt;AD$1185,"",AD1628+AD1908)</f>
        <v>0</v>
      </c>
      <c r="AE1348" s="123">
        <f>IF(tech_base!$T164&gt;AE$1185,"",AE1628+AE1908)</f>
        <v>0</v>
      </c>
      <c r="AF1348" s="123">
        <f>IF(tech_base!$T164&gt;AF$1185,"",AF1628+AF1908)</f>
        <v>0</v>
      </c>
      <c r="AG1348" s="123">
        <f>IF(tech_base!$T164&gt;AG$1185,"",AG1628+AG1908)</f>
        <v>0</v>
      </c>
      <c r="AH1348" s="123">
        <f>IF(tech_base!$T164&gt;AH$1185,"",AH1628+AH1908)</f>
        <v>0</v>
      </c>
      <c r="AI1348" s="123">
        <f>IF(tech_base!$T164&gt;AI$1185,"",AI1628+AI1908)</f>
        <v>0</v>
      </c>
      <c r="AJ1348" s="123">
        <f>IF(tech_base!$T164&gt;AJ$1185,"",AJ1628+AJ1908)</f>
        <v>0</v>
      </c>
      <c r="AK1348" s="123">
        <f>IF(tech_base!$T164&gt;AK$1185,"",AK1628+AK1908)</f>
        <v>0</v>
      </c>
      <c r="AL1348" s="123">
        <f>IF(tech_base!$T164&gt;AL$1185,"",AL1628+AL1908)</f>
        <v>0</v>
      </c>
      <c r="AM1348" s="123">
        <f>IF(tech_base!$T164&gt;AM$1185,"",AM1628+AM1908)</f>
        <v>0</v>
      </c>
      <c r="AN1348" s="123">
        <f>IF(tech_base!$T164&gt;AN$1185,"",AN1628+AN1908)</f>
        <v>0</v>
      </c>
      <c r="AO1348" s="123">
        <f>IF(tech_base!$T164&gt;AO$1185,"",AO1628+AO1908)</f>
        <v>0</v>
      </c>
      <c r="AP1348" s="123">
        <f>IF(tech_base!$T164&gt;AP$1185,"",AP1628+AP1908)</f>
        <v>0</v>
      </c>
      <c r="AQ1348" s="123">
        <f>IF(tech_base!$T164&gt;AQ$1185,"",AQ1628+AQ1908)</f>
        <v>0</v>
      </c>
      <c r="AR1348" s="123">
        <f>IF(tech_base!$T164&gt;AR$1185,"",AR1628+AR1908)</f>
        <v>0</v>
      </c>
      <c r="AS1348" s="123">
        <f>IF(tech_base!$T164&gt;AS$1185,"",AS1628+AS1908)</f>
        <v>0</v>
      </c>
      <c r="AT1348" s="123">
        <f>IF(tech_base!$T164&gt;AT$1185,"",AT1628+AT1908)</f>
        <v>0</v>
      </c>
      <c r="AU1348" s="123">
        <f>IF(tech_base!$T164&gt;AU$1185,"",AU1628+AU1908)</f>
        <v>0</v>
      </c>
      <c r="AV1348" s="123">
        <f>IF(tech_base!$T164&gt;AV$1185,"",AV1628+AV1908)</f>
        <v>0</v>
      </c>
      <c r="AW1348" s="123">
        <f>IF(tech_base!$T164&gt;AW$1185,"",AW1628+AW1908)</f>
        <v>0</v>
      </c>
      <c r="AX1348" s="124">
        <f>IF(tech_base!$T164&gt;AX$1185,"",AX1628+AX1908)</f>
        <v>0</v>
      </c>
    </row>
    <row r="1349" spans="1:50" x14ac:dyDescent="0.25">
      <c r="A1349" s="356"/>
      <c r="B1349" s="376"/>
      <c r="C1349" s="378"/>
      <c r="D1349" s="2" t="s">
        <v>8</v>
      </c>
      <c r="E1349" s="160" t="str">
        <f>A1325&amp;"/"&amp;B1345&amp;"/"&amp;C1348&amp;"/"&amp;D1349</f>
        <v>Diesel oil fired power plants/Steam turbine/CHP/M</v>
      </c>
      <c r="F1349" s="76" t="str">
        <f>A1325</f>
        <v>Diesel oil fired power plants</v>
      </c>
      <c r="G1349" s="76" t="str">
        <f>B1345</f>
        <v>Steam turbine</v>
      </c>
      <c r="H1349" s="76" t="str">
        <f>C1348</f>
        <v>CHP</v>
      </c>
      <c r="I1349" s="161" t="str">
        <f t="shared" si="374"/>
        <v>M</v>
      </c>
      <c r="J1349" s="119">
        <f>IF(tech_base!$T165&gt;J$1185,"",J1629+J1909)</f>
        <v>0</v>
      </c>
      <c r="K1349" s="119">
        <f>IF(tech_base!$T165&gt;K$1185,"",K1629+K1909)</f>
        <v>0</v>
      </c>
      <c r="L1349" s="119">
        <f>IF(tech_base!$T165&gt;L$1185,"",L1629+L1909)</f>
        <v>0</v>
      </c>
      <c r="M1349" s="119">
        <f>IF(tech_base!$T165&gt;M$1185,"",M1629+M1909)</f>
        <v>0</v>
      </c>
      <c r="N1349" s="119">
        <f>IF(tech_base!$T165&gt;N$1185,"",N1629+N1909)</f>
        <v>0</v>
      </c>
      <c r="O1349" s="119">
        <f>IF(tech_base!$T165&gt;O$1185,"",O1629+O1909)</f>
        <v>0</v>
      </c>
      <c r="P1349" s="119">
        <f>IF(tech_base!$T165&gt;P$1185,"",P1629+P1909)</f>
        <v>0</v>
      </c>
      <c r="Q1349" s="119">
        <f>IF(tech_base!$T165&gt;Q$1185,"",Q1629+Q1909)</f>
        <v>0</v>
      </c>
      <c r="R1349" s="119">
        <f>IF(tech_base!$T165&gt;R$1185,"",R1629+R1909)</f>
        <v>0</v>
      </c>
      <c r="S1349" s="119">
        <f>IF(tech_base!$T165&gt;S$1185,"",S1629+S1909)</f>
        <v>0</v>
      </c>
      <c r="T1349" s="119">
        <f>IF(tech_base!$T165&gt;T$1185,"",T1629+T1909)</f>
        <v>0</v>
      </c>
      <c r="U1349" s="119">
        <f>IF(tech_base!$T165&gt;U$1185,"",U1629+U1909)</f>
        <v>0</v>
      </c>
      <c r="V1349" s="119">
        <f>IF(tech_base!$T165&gt;V$1185,"",V1629+V1909)</f>
        <v>0</v>
      </c>
      <c r="W1349" s="119">
        <f>IF(tech_base!$T165&gt;W$1185,"",W1629+W1909)</f>
        <v>0</v>
      </c>
      <c r="X1349" s="119">
        <f>IF(tech_base!$T165&gt;X$1185,"",X1629+X1909)</f>
        <v>0</v>
      </c>
      <c r="Y1349" s="119">
        <f>IF(tech_base!$T165&gt;Y$1185,"",Y1629+Y1909)</f>
        <v>0</v>
      </c>
      <c r="Z1349" s="119">
        <f>IF(tech_base!$T165&gt;Z$1185,"",Z1629+Z1909)</f>
        <v>0</v>
      </c>
      <c r="AA1349" s="119">
        <f>IF(tech_base!$T165&gt;AA$1185,"",AA1629+AA1909)</f>
        <v>0</v>
      </c>
      <c r="AB1349" s="119">
        <f>IF(tech_base!$T165&gt;AB$1185,"",AB1629+AB1909)</f>
        <v>0</v>
      </c>
      <c r="AC1349" s="119">
        <f>IF(tech_base!$T165&gt;AC$1185,"",AC1629+AC1909)</f>
        <v>0</v>
      </c>
      <c r="AD1349" s="119">
        <f>IF(tech_base!$T165&gt;AD$1185,"",AD1629+AD1909)</f>
        <v>0</v>
      </c>
      <c r="AE1349" s="119">
        <f>IF(tech_base!$T165&gt;AE$1185,"",AE1629+AE1909)</f>
        <v>0</v>
      </c>
      <c r="AF1349" s="119">
        <f>IF(tech_base!$T165&gt;AF$1185,"",AF1629+AF1909)</f>
        <v>0</v>
      </c>
      <c r="AG1349" s="119">
        <f>IF(tech_base!$T165&gt;AG$1185,"",AG1629+AG1909)</f>
        <v>0</v>
      </c>
      <c r="AH1349" s="119">
        <f>IF(tech_base!$T165&gt;AH$1185,"",AH1629+AH1909)</f>
        <v>0</v>
      </c>
      <c r="AI1349" s="119">
        <f>IF(tech_base!$T165&gt;AI$1185,"",AI1629+AI1909)</f>
        <v>0</v>
      </c>
      <c r="AJ1349" s="119">
        <f>IF(tech_base!$T165&gt;AJ$1185,"",AJ1629+AJ1909)</f>
        <v>0</v>
      </c>
      <c r="AK1349" s="119">
        <f>IF(tech_base!$T165&gt;AK$1185,"",AK1629+AK1909)</f>
        <v>0</v>
      </c>
      <c r="AL1349" s="119">
        <f>IF(tech_base!$T165&gt;AL$1185,"",AL1629+AL1909)</f>
        <v>0</v>
      </c>
      <c r="AM1349" s="119">
        <f>IF(tech_base!$T165&gt;AM$1185,"",AM1629+AM1909)</f>
        <v>0</v>
      </c>
      <c r="AN1349" s="119">
        <f>IF(tech_base!$T165&gt;AN$1185,"",AN1629+AN1909)</f>
        <v>0</v>
      </c>
      <c r="AO1349" s="119">
        <f>IF(tech_base!$T165&gt;AO$1185,"",AO1629+AO1909)</f>
        <v>0</v>
      </c>
      <c r="AP1349" s="119">
        <f>IF(tech_base!$T165&gt;AP$1185,"",AP1629+AP1909)</f>
        <v>0</v>
      </c>
      <c r="AQ1349" s="119">
        <f>IF(tech_base!$T165&gt;AQ$1185,"",AQ1629+AQ1909)</f>
        <v>0</v>
      </c>
      <c r="AR1349" s="119">
        <f>IF(tech_base!$T165&gt;AR$1185,"",AR1629+AR1909)</f>
        <v>0</v>
      </c>
      <c r="AS1349" s="119">
        <f>IF(tech_base!$T165&gt;AS$1185,"",AS1629+AS1909)</f>
        <v>0</v>
      </c>
      <c r="AT1349" s="119">
        <f>IF(tech_base!$T165&gt;AT$1185,"",AT1629+AT1909)</f>
        <v>0</v>
      </c>
      <c r="AU1349" s="119">
        <f>IF(tech_base!$T165&gt;AU$1185,"",AU1629+AU1909)</f>
        <v>0</v>
      </c>
      <c r="AV1349" s="119">
        <f>IF(tech_base!$T165&gt;AV$1185,"",AV1629+AV1909)</f>
        <v>0</v>
      </c>
      <c r="AW1349" s="119">
        <f>IF(tech_base!$T165&gt;AW$1185,"",AW1629+AW1909)</f>
        <v>0</v>
      </c>
      <c r="AX1349" s="120">
        <f>IF(tech_base!$T165&gt;AX$1185,"",AX1629+AX1909)</f>
        <v>0</v>
      </c>
    </row>
    <row r="1350" spans="1:50" x14ac:dyDescent="0.25">
      <c r="A1350" s="356"/>
      <c r="B1350" s="376"/>
      <c r="C1350" s="379"/>
      <c r="D1350" s="59" t="s">
        <v>10</v>
      </c>
      <c r="E1350" s="166" t="str">
        <f>A1325&amp;"/"&amp;B1345&amp;"/"&amp;C1348&amp;"/"&amp;D1350</f>
        <v>Diesel oil fired power plants/Steam turbine/CHP/S</v>
      </c>
      <c r="F1350" s="79" t="str">
        <f>A1325</f>
        <v>Diesel oil fired power plants</v>
      </c>
      <c r="G1350" s="79" t="str">
        <f>B1345</f>
        <v>Steam turbine</v>
      </c>
      <c r="H1350" s="79" t="str">
        <f>C1348</f>
        <v>CHP</v>
      </c>
      <c r="I1350" s="167" t="str">
        <f t="shared" si="374"/>
        <v>S</v>
      </c>
      <c r="J1350" s="125">
        <f>IF(tech_base!$T166&gt;J$1185,"",J1630+J1910)</f>
        <v>0</v>
      </c>
      <c r="K1350" s="125">
        <f>IF(tech_base!$T166&gt;K$1185,"",K1630+K1910)</f>
        <v>0</v>
      </c>
      <c r="L1350" s="125">
        <f>IF(tech_base!$T166&gt;L$1185,"",L1630+L1910)</f>
        <v>0</v>
      </c>
      <c r="M1350" s="125">
        <f>IF(tech_base!$T166&gt;M$1185,"",M1630+M1910)</f>
        <v>0</v>
      </c>
      <c r="N1350" s="125">
        <f>IF(tech_base!$T166&gt;N$1185,"",N1630+N1910)</f>
        <v>0</v>
      </c>
      <c r="O1350" s="125">
        <f>IF(tech_base!$T166&gt;O$1185,"",O1630+O1910)</f>
        <v>0</v>
      </c>
      <c r="P1350" s="125">
        <f>IF(tech_base!$T166&gt;P$1185,"",P1630+P1910)</f>
        <v>0</v>
      </c>
      <c r="Q1350" s="125">
        <f>IF(tech_base!$T166&gt;Q$1185,"",Q1630+Q1910)</f>
        <v>0</v>
      </c>
      <c r="R1350" s="125">
        <f>IF(tech_base!$T166&gt;R$1185,"",R1630+R1910)</f>
        <v>0</v>
      </c>
      <c r="S1350" s="125">
        <f>IF(tech_base!$T166&gt;S$1185,"",S1630+S1910)</f>
        <v>0</v>
      </c>
      <c r="T1350" s="125">
        <f>IF(tech_base!$T166&gt;T$1185,"",T1630+T1910)</f>
        <v>0</v>
      </c>
      <c r="U1350" s="125">
        <f>IF(tech_base!$T166&gt;U$1185,"",U1630+U1910)</f>
        <v>0</v>
      </c>
      <c r="V1350" s="125">
        <f>IF(tech_base!$T166&gt;V$1185,"",V1630+V1910)</f>
        <v>0</v>
      </c>
      <c r="W1350" s="125">
        <f>IF(tech_base!$T166&gt;W$1185,"",W1630+W1910)</f>
        <v>0</v>
      </c>
      <c r="X1350" s="125">
        <f>IF(tech_base!$T166&gt;X$1185,"",X1630+X1910)</f>
        <v>0</v>
      </c>
      <c r="Y1350" s="125">
        <f>IF(tech_base!$T166&gt;Y$1185,"",Y1630+Y1910)</f>
        <v>0</v>
      </c>
      <c r="Z1350" s="125">
        <f>IF(tech_base!$T166&gt;Z$1185,"",Z1630+Z1910)</f>
        <v>0</v>
      </c>
      <c r="AA1350" s="125">
        <f>IF(tech_base!$T166&gt;AA$1185,"",AA1630+AA1910)</f>
        <v>0</v>
      </c>
      <c r="AB1350" s="125">
        <f>IF(tech_base!$T166&gt;AB$1185,"",AB1630+AB1910)</f>
        <v>0</v>
      </c>
      <c r="AC1350" s="125">
        <f>IF(tech_base!$T166&gt;AC$1185,"",AC1630+AC1910)</f>
        <v>0</v>
      </c>
      <c r="AD1350" s="125">
        <f>IF(tech_base!$T166&gt;AD$1185,"",AD1630+AD1910)</f>
        <v>0</v>
      </c>
      <c r="AE1350" s="125">
        <f>IF(tech_base!$T166&gt;AE$1185,"",AE1630+AE1910)</f>
        <v>0</v>
      </c>
      <c r="AF1350" s="125">
        <f>IF(tech_base!$T166&gt;AF$1185,"",AF1630+AF1910)</f>
        <v>0</v>
      </c>
      <c r="AG1350" s="125">
        <f>IF(tech_base!$T166&gt;AG$1185,"",AG1630+AG1910)</f>
        <v>0</v>
      </c>
      <c r="AH1350" s="125">
        <f>IF(tech_base!$T166&gt;AH$1185,"",AH1630+AH1910)</f>
        <v>0</v>
      </c>
      <c r="AI1350" s="125">
        <f>IF(tech_base!$T166&gt;AI$1185,"",AI1630+AI1910)</f>
        <v>0</v>
      </c>
      <c r="AJ1350" s="125">
        <f>IF(tech_base!$T166&gt;AJ$1185,"",AJ1630+AJ1910)</f>
        <v>0</v>
      </c>
      <c r="AK1350" s="125">
        <f>IF(tech_base!$T166&gt;AK$1185,"",AK1630+AK1910)</f>
        <v>0</v>
      </c>
      <c r="AL1350" s="125">
        <f>IF(tech_base!$T166&gt;AL$1185,"",AL1630+AL1910)</f>
        <v>0</v>
      </c>
      <c r="AM1350" s="125">
        <f>IF(tech_base!$T166&gt;AM$1185,"",AM1630+AM1910)</f>
        <v>0</v>
      </c>
      <c r="AN1350" s="125">
        <f>IF(tech_base!$T166&gt;AN$1185,"",AN1630+AN1910)</f>
        <v>0</v>
      </c>
      <c r="AO1350" s="125">
        <f>IF(tech_base!$T166&gt;AO$1185,"",AO1630+AO1910)</f>
        <v>0</v>
      </c>
      <c r="AP1350" s="125">
        <f>IF(tech_base!$T166&gt;AP$1185,"",AP1630+AP1910)</f>
        <v>0</v>
      </c>
      <c r="AQ1350" s="125">
        <f>IF(tech_base!$T166&gt;AQ$1185,"",AQ1630+AQ1910)</f>
        <v>0</v>
      </c>
      <c r="AR1350" s="125">
        <f>IF(tech_base!$T166&gt;AR$1185,"",AR1630+AR1910)</f>
        <v>0</v>
      </c>
      <c r="AS1350" s="125">
        <f>IF(tech_base!$T166&gt;AS$1185,"",AS1630+AS1910)</f>
        <v>0</v>
      </c>
      <c r="AT1350" s="125">
        <f>IF(tech_base!$T166&gt;AT$1185,"",AT1630+AT1910)</f>
        <v>0</v>
      </c>
      <c r="AU1350" s="125">
        <f>IF(tech_base!$T166&gt;AU$1185,"",AU1630+AU1910)</f>
        <v>0</v>
      </c>
      <c r="AV1350" s="125">
        <f>IF(tech_base!$T166&gt;AV$1185,"",AV1630+AV1910)</f>
        <v>0</v>
      </c>
      <c r="AW1350" s="125">
        <f>IF(tech_base!$T166&gt;AW$1185,"",AW1630+AW1910)</f>
        <v>0</v>
      </c>
      <c r="AX1350" s="126">
        <f>IF(tech_base!$T166&gt;AX$1185,"",AX1630+AX1910)</f>
        <v>0</v>
      </c>
    </row>
    <row r="1351" spans="1:50" x14ac:dyDescent="0.25">
      <c r="A1351" s="356"/>
      <c r="B1351" s="376"/>
      <c r="C1351" s="361" t="s">
        <v>15</v>
      </c>
      <c r="D1351" s="58" t="s">
        <v>7</v>
      </c>
      <c r="E1351" s="164" t="str">
        <f>A1325&amp;"/"&amp;B1345&amp;"/"&amp;C1351&amp;"/"&amp;D1351</f>
        <v>Diesel oil fired power plants/Steam turbine/Electricity only with CCS/L</v>
      </c>
      <c r="F1351" s="78" t="str">
        <f>A1325</f>
        <v>Diesel oil fired power plants</v>
      </c>
      <c r="G1351" s="78" t="str">
        <f>B1345</f>
        <v>Steam turbine</v>
      </c>
      <c r="H1351" s="78" t="str">
        <f>C1351</f>
        <v>Electricity only with CCS</v>
      </c>
      <c r="I1351" s="165" t="str">
        <f t="shared" si="374"/>
        <v>L</v>
      </c>
      <c r="J1351" s="123" t="str">
        <f>IF(tech_base!$T167&gt;J$1185,"",J1631+J1911)</f>
        <v/>
      </c>
      <c r="K1351" s="123" t="str">
        <f>IF(tech_base!$T167&gt;K$1185,"",K1631+K1911)</f>
        <v/>
      </c>
      <c r="L1351" s="123" t="str">
        <f>IF(tech_base!$T167&gt;L$1185,"",L1631+L1911)</f>
        <v/>
      </c>
      <c r="M1351" s="123" t="str">
        <f>IF(tech_base!$T167&gt;M$1185,"",M1631+M1911)</f>
        <v/>
      </c>
      <c r="N1351" s="123" t="str">
        <f>IF(tech_base!$T167&gt;N$1185,"",N1631+N1911)</f>
        <v/>
      </c>
      <c r="O1351" s="123" t="str">
        <f>IF(tech_base!$T167&gt;O$1185,"",O1631+O1911)</f>
        <v/>
      </c>
      <c r="P1351" s="123" t="str">
        <f>IF(tech_base!$T167&gt;P$1185,"",P1631+P1911)</f>
        <v/>
      </c>
      <c r="Q1351" s="123" t="str">
        <f>IF(tech_base!$T167&gt;Q$1185,"",Q1631+Q1911)</f>
        <v/>
      </c>
      <c r="R1351" s="123" t="str">
        <f>IF(tech_base!$T167&gt;R$1185,"",R1631+R1911)</f>
        <v/>
      </c>
      <c r="S1351" s="123" t="str">
        <f>IF(tech_base!$T167&gt;S$1185,"",S1631+S1911)</f>
        <v/>
      </c>
      <c r="T1351" s="123" t="str">
        <f>IF(tech_base!$T167&gt;T$1185,"",T1631+T1911)</f>
        <v/>
      </c>
      <c r="U1351" s="123" t="str">
        <f>IF(tech_base!$T167&gt;U$1185,"",U1631+U1911)</f>
        <v/>
      </c>
      <c r="V1351" s="123" t="str">
        <f>IF(tech_base!$T167&gt;V$1185,"",V1631+V1911)</f>
        <v/>
      </c>
      <c r="W1351" s="123" t="str">
        <f>IF(tech_base!$T167&gt;W$1185,"",W1631+W1911)</f>
        <v/>
      </c>
      <c r="X1351" s="123" t="str">
        <f>IF(tech_base!$T167&gt;X$1185,"",X1631+X1911)</f>
        <v/>
      </c>
      <c r="Y1351" s="123" t="str">
        <f>IF(tech_base!$T167&gt;Y$1185,"",Y1631+Y1911)</f>
        <v/>
      </c>
      <c r="Z1351" s="123" t="str">
        <f>IF(tech_base!$T167&gt;Z$1185,"",Z1631+Z1911)</f>
        <v/>
      </c>
      <c r="AA1351" s="123" t="str">
        <f>IF(tech_base!$T167&gt;AA$1185,"",AA1631+AA1911)</f>
        <v/>
      </c>
      <c r="AB1351" s="123" t="str">
        <f>IF(tech_base!$T167&gt;AB$1185,"",AB1631+AB1911)</f>
        <v/>
      </c>
      <c r="AC1351" s="123" t="str">
        <f>IF(tech_base!$T167&gt;AC$1185,"",AC1631+AC1911)</f>
        <v/>
      </c>
      <c r="AD1351" s="123" t="str">
        <f>IF(tech_base!$T167&gt;AD$1185,"",AD1631+AD1911)</f>
        <v/>
      </c>
      <c r="AE1351" s="123">
        <f>IF(tech_base!$T167&gt;AE$1185,"",AE1631+AE1911)</f>
        <v>9.4128140793118291</v>
      </c>
      <c r="AF1351" s="123">
        <f>IF(tech_base!$T167&gt;AF$1185,"",AF1631+AF1911)</f>
        <v>9.4128140793118291</v>
      </c>
      <c r="AG1351" s="123">
        <f>IF(tech_base!$T167&gt;AG$1185,"",AG1631+AG1911)</f>
        <v>9.4128140793118291</v>
      </c>
      <c r="AH1351" s="123">
        <f>IF(tech_base!$T167&gt;AH$1185,"",AH1631+AH1911)</f>
        <v>9.4128140793118291</v>
      </c>
      <c r="AI1351" s="123">
        <f>IF(tech_base!$T167&gt;AI$1185,"",AI1631+AI1911)</f>
        <v>9.4128140793118291</v>
      </c>
      <c r="AJ1351" s="123">
        <f>IF(tech_base!$T167&gt;AJ$1185,"",AJ1631+AJ1911)</f>
        <v>9.4128140793118291</v>
      </c>
      <c r="AK1351" s="123">
        <f>IF(tech_base!$T167&gt;AK$1185,"",AK1631+AK1911)</f>
        <v>9.4128140793118291</v>
      </c>
      <c r="AL1351" s="123">
        <f>IF(tech_base!$T167&gt;AL$1185,"",AL1631+AL1911)</f>
        <v>9.4128140793118291</v>
      </c>
      <c r="AM1351" s="123">
        <f>IF(tech_base!$T167&gt;AM$1185,"",AM1631+AM1911)</f>
        <v>9.4128140793118291</v>
      </c>
      <c r="AN1351" s="123">
        <f>IF(tech_base!$T167&gt;AN$1185,"",AN1631+AN1911)</f>
        <v>9.4128140793118291</v>
      </c>
      <c r="AO1351" s="123">
        <f>IF(tech_base!$T167&gt;AO$1185,"",AO1631+AO1911)</f>
        <v>9.4128140793118291</v>
      </c>
      <c r="AP1351" s="123">
        <f>IF(tech_base!$T167&gt;AP$1185,"",AP1631+AP1911)</f>
        <v>9.4128140793118291</v>
      </c>
      <c r="AQ1351" s="123">
        <f>IF(tech_base!$T167&gt;AQ$1185,"",AQ1631+AQ1911)</f>
        <v>9.4128140793118291</v>
      </c>
      <c r="AR1351" s="123">
        <f>IF(tech_base!$T167&gt;AR$1185,"",AR1631+AR1911)</f>
        <v>9.4128140793118291</v>
      </c>
      <c r="AS1351" s="123">
        <f>IF(tech_base!$T167&gt;AS$1185,"",AS1631+AS1911)</f>
        <v>9.4128140793118291</v>
      </c>
      <c r="AT1351" s="123">
        <f>IF(tech_base!$T167&gt;AT$1185,"",AT1631+AT1911)</f>
        <v>9.4128140793118291</v>
      </c>
      <c r="AU1351" s="123">
        <f>IF(tech_base!$T167&gt;AU$1185,"",AU1631+AU1911)</f>
        <v>9.4128140793118291</v>
      </c>
      <c r="AV1351" s="123">
        <f>IF(tech_base!$T167&gt;AV$1185,"",AV1631+AV1911)</f>
        <v>9.4128140793118291</v>
      </c>
      <c r="AW1351" s="123">
        <f>IF(tech_base!$T167&gt;AW$1185,"",AW1631+AW1911)</f>
        <v>9.4128140793118291</v>
      </c>
      <c r="AX1351" s="124">
        <f>IF(tech_base!$T167&gt;AX$1185,"",AX1631+AX1911)</f>
        <v>9.4128140793118291</v>
      </c>
    </row>
    <row r="1352" spans="1:50" x14ac:dyDescent="0.25">
      <c r="A1352" s="356"/>
      <c r="B1352" s="376"/>
      <c r="C1352" s="379"/>
      <c r="D1352" s="59" t="s">
        <v>8</v>
      </c>
      <c r="E1352" s="166" t="str">
        <f>A1325&amp;"/"&amp;B1345&amp;"/"&amp;C1351&amp;"/"&amp;D1352</f>
        <v>Diesel oil fired power plants/Steam turbine/Electricity only with CCS/M</v>
      </c>
      <c r="F1352" s="79" t="str">
        <f>A1325</f>
        <v>Diesel oil fired power plants</v>
      </c>
      <c r="G1352" s="79" t="str">
        <f>B1345</f>
        <v>Steam turbine</v>
      </c>
      <c r="H1352" s="79" t="str">
        <f>C1351</f>
        <v>Electricity only with CCS</v>
      </c>
      <c r="I1352" s="167" t="str">
        <f t="shared" si="374"/>
        <v>M</v>
      </c>
      <c r="J1352" s="125" t="str">
        <f>IF(tech_base!$T168&gt;J$1185,"",J1632+J1912)</f>
        <v/>
      </c>
      <c r="K1352" s="125" t="str">
        <f>IF(tech_base!$T168&gt;K$1185,"",K1632+K1912)</f>
        <v/>
      </c>
      <c r="L1352" s="125" t="str">
        <f>IF(tech_base!$T168&gt;L$1185,"",L1632+L1912)</f>
        <v/>
      </c>
      <c r="M1352" s="125" t="str">
        <f>IF(tech_base!$T168&gt;M$1185,"",M1632+M1912)</f>
        <v/>
      </c>
      <c r="N1352" s="125" t="str">
        <f>IF(tech_base!$T168&gt;N$1185,"",N1632+N1912)</f>
        <v/>
      </c>
      <c r="O1352" s="125" t="str">
        <f>IF(tech_base!$T168&gt;O$1185,"",O1632+O1912)</f>
        <v/>
      </c>
      <c r="P1352" s="125" t="str">
        <f>IF(tech_base!$T168&gt;P$1185,"",P1632+P1912)</f>
        <v/>
      </c>
      <c r="Q1352" s="125" t="str">
        <f>IF(tech_base!$T168&gt;Q$1185,"",Q1632+Q1912)</f>
        <v/>
      </c>
      <c r="R1352" s="125" t="str">
        <f>IF(tech_base!$T168&gt;R$1185,"",R1632+R1912)</f>
        <v/>
      </c>
      <c r="S1352" s="125" t="str">
        <f>IF(tech_base!$T168&gt;S$1185,"",S1632+S1912)</f>
        <v/>
      </c>
      <c r="T1352" s="125" t="str">
        <f>IF(tech_base!$T168&gt;T$1185,"",T1632+T1912)</f>
        <v/>
      </c>
      <c r="U1352" s="125" t="str">
        <f>IF(tech_base!$T168&gt;U$1185,"",U1632+U1912)</f>
        <v/>
      </c>
      <c r="V1352" s="125" t="str">
        <f>IF(tech_base!$T168&gt;V$1185,"",V1632+V1912)</f>
        <v/>
      </c>
      <c r="W1352" s="125" t="str">
        <f>IF(tech_base!$T168&gt;W$1185,"",W1632+W1912)</f>
        <v/>
      </c>
      <c r="X1352" s="125" t="str">
        <f>IF(tech_base!$T168&gt;X$1185,"",X1632+X1912)</f>
        <v/>
      </c>
      <c r="Y1352" s="125" t="str">
        <f>IF(tech_base!$T168&gt;Y$1185,"",Y1632+Y1912)</f>
        <v/>
      </c>
      <c r="Z1352" s="125" t="str">
        <f>IF(tech_base!$T168&gt;Z$1185,"",Z1632+Z1912)</f>
        <v/>
      </c>
      <c r="AA1352" s="125" t="str">
        <f>IF(tech_base!$T168&gt;AA$1185,"",AA1632+AA1912)</f>
        <v/>
      </c>
      <c r="AB1352" s="125" t="str">
        <f>IF(tech_base!$T168&gt;AB$1185,"",AB1632+AB1912)</f>
        <v/>
      </c>
      <c r="AC1352" s="125" t="str">
        <f>IF(tech_base!$T168&gt;AC$1185,"",AC1632+AC1912)</f>
        <v/>
      </c>
      <c r="AD1352" s="125" t="str">
        <f>IF(tech_base!$T168&gt;AD$1185,"",AD1632+AD1912)</f>
        <v/>
      </c>
      <c r="AE1352" s="125">
        <f>IF(tech_base!$T168&gt;AE$1185,"",AE1632+AE1912)</f>
        <v>10.069915535135619</v>
      </c>
      <c r="AF1352" s="125">
        <f>IF(tech_base!$T168&gt;AF$1185,"",AF1632+AF1912)</f>
        <v>10.069915535135619</v>
      </c>
      <c r="AG1352" s="125">
        <f>IF(tech_base!$T168&gt;AG$1185,"",AG1632+AG1912)</f>
        <v>10.069915535135619</v>
      </c>
      <c r="AH1352" s="125">
        <f>IF(tech_base!$T168&gt;AH$1185,"",AH1632+AH1912)</f>
        <v>10.069915535135619</v>
      </c>
      <c r="AI1352" s="125">
        <f>IF(tech_base!$T168&gt;AI$1185,"",AI1632+AI1912)</f>
        <v>10.069915535135619</v>
      </c>
      <c r="AJ1352" s="125">
        <f>IF(tech_base!$T168&gt;AJ$1185,"",AJ1632+AJ1912)</f>
        <v>10.069915535135619</v>
      </c>
      <c r="AK1352" s="125">
        <f>IF(tech_base!$T168&gt;AK$1185,"",AK1632+AK1912)</f>
        <v>10.069915535135619</v>
      </c>
      <c r="AL1352" s="125">
        <f>IF(tech_base!$T168&gt;AL$1185,"",AL1632+AL1912)</f>
        <v>10.069915535135619</v>
      </c>
      <c r="AM1352" s="125">
        <f>IF(tech_base!$T168&gt;AM$1185,"",AM1632+AM1912)</f>
        <v>10.069915535135619</v>
      </c>
      <c r="AN1352" s="125">
        <f>IF(tech_base!$T168&gt;AN$1185,"",AN1632+AN1912)</f>
        <v>10.069915535135619</v>
      </c>
      <c r="AO1352" s="125">
        <f>IF(tech_base!$T168&gt;AO$1185,"",AO1632+AO1912)</f>
        <v>10.069915535135619</v>
      </c>
      <c r="AP1352" s="125">
        <f>IF(tech_base!$T168&gt;AP$1185,"",AP1632+AP1912)</f>
        <v>10.069915535135619</v>
      </c>
      <c r="AQ1352" s="125">
        <f>IF(tech_base!$T168&gt;AQ$1185,"",AQ1632+AQ1912)</f>
        <v>10.069915535135619</v>
      </c>
      <c r="AR1352" s="125">
        <f>IF(tech_base!$T168&gt;AR$1185,"",AR1632+AR1912)</f>
        <v>10.069915535135619</v>
      </c>
      <c r="AS1352" s="125">
        <f>IF(tech_base!$T168&gt;AS$1185,"",AS1632+AS1912)</f>
        <v>10.069915535135619</v>
      </c>
      <c r="AT1352" s="125">
        <f>IF(tech_base!$T168&gt;AT$1185,"",AT1632+AT1912)</f>
        <v>10.069915535135619</v>
      </c>
      <c r="AU1352" s="125">
        <f>IF(tech_base!$T168&gt;AU$1185,"",AU1632+AU1912)</f>
        <v>10.069915535135619</v>
      </c>
      <c r="AV1352" s="125">
        <f>IF(tech_base!$T168&gt;AV$1185,"",AV1632+AV1912)</f>
        <v>10.069915535135619</v>
      </c>
      <c r="AW1352" s="125">
        <f>IF(tech_base!$T168&gt;AW$1185,"",AW1632+AW1912)</f>
        <v>10.069915535135619</v>
      </c>
      <c r="AX1352" s="126">
        <f>IF(tech_base!$T168&gt;AX$1185,"",AX1632+AX1912)</f>
        <v>10.069915535135619</v>
      </c>
    </row>
    <row r="1353" spans="1:50" x14ac:dyDescent="0.25">
      <c r="A1353" s="356"/>
      <c r="B1353" s="376"/>
      <c r="C1353" s="361" t="s">
        <v>16</v>
      </c>
      <c r="D1353" s="2" t="s">
        <v>7</v>
      </c>
      <c r="E1353" s="160" t="str">
        <f>A1325&amp;"/"&amp;B1345&amp;"/"&amp;C1353&amp;"/"&amp;D1353</f>
        <v>Diesel oil fired power plants/Steam turbine/CHP with CCS/L</v>
      </c>
      <c r="F1353" s="76" t="str">
        <f>A1325</f>
        <v>Diesel oil fired power plants</v>
      </c>
      <c r="G1353" s="76" t="str">
        <f>B1345</f>
        <v>Steam turbine</v>
      </c>
      <c r="H1353" s="76" t="str">
        <f>C1353</f>
        <v>CHP with CCS</v>
      </c>
      <c r="I1353" s="161" t="str">
        <f t="shared" si="374"/>
        <v>L</v>
      </c>
      <c r="J1353" s="119" t="str">
        <f>IF(tech_base!$T169&gt;J$1185,"",J1633+J1913)</f>
        <v/>
      </c>
      <c r="K1353" s="119" t="str">
        <f>IF(tech_base!$T169&gt;K$1185,"",K1633+K1913)</f>
        <v/>
      </c>
      <c r="L1353" s="119" t="str">
        <f>IF(tech_base!$T169&gt;L$1185,"",L1633+L1913)</f>
        <v/>
      </c>
      <c r="M1353" s="119" t="str">
        <f>IF(tech_base!$T169&gt;M$1185,"",M1633+M1913)</f>
        <v/>
      </c>
      <c r="N1353" s="119" t="str">
        <f>IF(tech_base!$T169&gt;N$1185,"",N1633+N1913)</f>
        <v/>
      </c>
      <c r="O1353" s="119" t="str">
        <f>IF(tech_base!$T169&gt;O$1185,"",O1633+O1913)</f>
        <v/>
      </c>
      <c r="P1353" s="119" t="str">
        <f>IF(tech_base!$T169&gt;P$1185,"",P1633+P1913)</f>
        <v/>
      </c>
      <c r="Q1353" s="119" t="str">
        <f>IF(tech_base!$T169&gt;Q$1185,"",Q1633+Q1913)</f>
        <v/>
      </c>
      <c r="R1353" s="119" t="str">
        <f>IF(tech_base!$T169&gt;R$1185,"",R1633+R1913)</f>
        <v/>
      </c>
      <c r="S1353" s="119" t="str">
        <f>IF(tech_base!$T169&gt;S$1185,"",S1633+S1913)</f>
        <v/>
      </c>
      <c r="T1353" s="119" t="str">
        <f>IF(tech_base!$T169&gt;T$1185,"",T1633+T1913)</f>
        <v/>
      </c>
      <c r="U1353" s="119" t="str">
        <f>IF(tech_base!$T169&gt;U$1185,"",U1633+U1913)</f>
        <v/>
      </c>
      <c r="V1353" s="119" t="str">
        <f>IF(tech_base!$T169&gt;V$1185,"",V1633+V1913)</f>
        <v/>
      </c>
      <c r="W1353" s="119" t="str">
        <f>IF(tech_base!$T169&gt;W$1185,"",W1633+W1913)</f>
        <v/>
      </c>
      <c r="X1353" s="119" t="str">
        <f>IF(tech_base!$T169&gt;X$1185,"",X1633+X1913)</f>
        <v/>
      </c>
      <c r="Y1353" s="119" t="str">
        <f>IF(tech_base!$T169&gt;Y$1185,"",Y1633+Y1913)</f>
        <v/>
      </c>
      <c r="Z1353" s="119" t="str">
        <f>IF(tech_base!$T169&gt;Z$1185,"",Z1633+Z1913)</f>
        <v/>
      </c>
      <c r="AA1353" s="119" t="str">
        <f>IF(tech_base!$T169&gt;AA$1185,"",AA1633+AA1913)</f>
        <v/>
      </c>
      <c r="AB1353" s="119" t="str">
        <f>IF(tech_base!$T169&gt;AB$1185,"",AB1633+AB1913)</f>
        <v/>
      </c>
      <c r="AC1353" s="119" t="str">
        <f>IF(tech_base!$T169&gt;AC$1185,"",AC1633+AC1913)</f>
        <v/>
      </c>
      <c r="AD1353" s="119" t="str">
        <f>IF(tech_base!$T169&gt;AD$1185,"",AD1633+AD1913)</f>
        <v/>
      </c>
      <c r="AE1353" s="119">
        <f>IF(tech_base!$T169&gt;AE$1185,"",AE1633+AE1913)</f>
        <v>10.752287426540381</v>
      </c>
      <c r="AF1353" s="119">
        <f>IF(tech_base!$T169&gt;AF$1185,"",AF1633+AF1913)</f>
        <v>10.752287426540381</v>
      </c>
      <c r="AG1353" s="119">
        <f>IF(tech_base!$T169&gt;AG$1185,"",AG1633+AG1913)</f>
        <v>10.752287426540381</v>
      </c>
      <c r="AH1353" s="119">
        <f>IF(tech_base!$T169&gt;AH$1185,"",AH1633+AH1913)</f>
        <v>10.752287426540381</v>
      </c>
      <c r="AI1353" s="119">
        <f>IF(tech_base!$T169&gt;AI$1185,"",AI1633+AI1913)</f>
        <v>10.752287426540381</v>
      </c>
      <c r="AJ1353" s="119">
        <f>IF(tech_base!$T169&gt;AJ$1185,"",AJ1633+AJ1913)</f>
        <v>10.752287426540381</v>
      </c>
      <c r="AK1353" s="119">
        <f>IF(tech_base!$T169&gt;AK$1185,"",AK1633+AK1913)</f>
        <v>10.752287426540381</v>
      </c>
      <c r="AL1353" s="119">
        <f>IF(tech_base!$T169&gt;AL$1185,"",AL1633+AL1913)</f>
        <v>10.752287426540381</v>
      </c>
      <c r="AM1353" s="119">
        <f>IF(tech_base!$T169&gt;AM$1185,"",AM1633+AM1913)</f>
        <v>10.752287426540381</v>
      </c>
      <c r="AN1353" s="119">
        <f>IF(tech_base!$T169&gt;AN$1185,"",AN1633+AN1913)</f>
        <v>10.752287426540381</v>
      </c>
      <c r="AO1353" s="119">
        <f>IF(tech_base!$T169&gt;AO$1185,"",AO1633+AO1913)</f>
        <v>10.752287426540381</v>
      </c>
      <c r="AP1353" s="119">
        <f>IF(tech_base!$T169&gt;AP$1185,"",AP1633+AP1913)</f>
        <v>10.752287426540381</v>
      </c>
      <c r="AQ1353" s="119">
        <f>IF(tech_base!$T169&gt;AQ$1185,"",AQ1633+AQ1913)</f>
        <v>10.752287426540381</v>
      </c>
      <c r="AR1353" s="119">
        <f>IF(tech_base!$T169&gt;AR$1185,"",AR1633+AR1913)</f>
        <v>10.752287426540381</v>
      </c>
      <c r="AS1353" s="119">
        <f>IF(tech_base!$T169&gt;AS$1185,"",AS1633+AS1913)</f>
        <v>10.752287426540381</v>
      </c>
      <c r="AT1353" s="119">
        <f>IF(tech_base!$T169&gt;AT$1185,"",AT1633+AT1913)</f>
        <v>10.752287426540381</v>
      </c>
      <c r="AU1353" s="119">
        <f>IF(tech_base!$T169&gt;AU$1185,"",AU1633+AU1913)</f>
        <v>10.752287426540381</v>
      </c>
      <c r="AV1353" s="119">
        <f>IF(tech_base!$T169&gt;AV$1185,"",AV1633+AV1913)</f>
        <v>10.752287426540381</v>
      </c>
      <c r="AW1353" s="119">
        <f>IF(tech_base!$T169&gt;AW$1185,"",AW1633+AW1913)</f>
        <v>10.752287426540381</v>
      </c>
      <c r="AX1353" s="120">
        <f>IF(tech_base!$T169&gt;AX$1185,"",AX1633+AX1913)</f>
        <v>10.752287426540381</v>
      </c>
    </row>
    <row r="1354" spans="1:50" x14ac:dyDescent="0.25">
      <c r="A1354" s="356"/>
      <c r="B1354" s="380"/>
      <c r="C1354" s="381"/>
      <c r="D1354" s="4" t="s">
        <v>8</v>
      </c>
      <c r="E1354" s="168" t="str">
        <f>A1325&amp;"/"&amp;B1345&amp;"/"&amp;C1353&amp;"/"&amp;D1354</f>
        <v>Diesel oil fired power plants/Steam turbine/CHP with CCS/M</v>
      </c>
      <c r="F1354" s="80" t="str">
        <f>A1325</f>
        <v>Diesel oil fired power plants</v>
      </c>
      <c r="G1354" s="80" t="str">
        <f>B1345</f>
        <v>Steam turbine</v>
      </c>
      <c r="H1354" s="80" t="str">
        <f>C1353</f>
        <v>CHP with CCS</v>
      </c>
      <c r="I1354" s="169" t="str">
        <f t="shared" si="374"/>
        <v>M</v>
      </c>
      <c r="J1354" s="127" t="str">
        <f>IF(tech_base!$T170&gt;J$1185,"",J1634+J1914)</f>
        <v/>
      </c>
      <c r="K1354" s="127" t="str">
        <f>IF(tech_base!$T170&gt;K$1185,"",K1634+K1914)</f>
        <v/>
      </c>
      <c r="L1354" s="127" t="str">
        <f>IF(tech_base!$T170&gt;L$1185,"",L1634+L1914)</f>
        <v/>
      </c>
      <c r="M1354" s="127" t="str">
        <f>IF(tech_base!$T170&gt;M$1185,"",M1634+M1914)</f>
        <v/>
      </c>
      <c r="N1354" s="127" t="str">
        <f>IF(tech_base!$T170&gt;N$1185,"",N1634+N1914)</f>
        <v/>
      </c>
      <c r="O1354" s="127" t="str">
        <f>IF(tech_base!$T170&gt;O$1185,"",O1634+O1914)</f>
        <v/>
      </c>
      <c r="P1354" s="127" t="str">
        <f>IF(tech_base!$T170&gt;P$1185,"",P1634+P1914)</f>
        <v/>
      </c>
      <c r="Q1354" s="127" t="str">
        <f>IF(tech_base!$T170&gt;Q$1185,"",Q1634+Q1914)</f>
        <v/>
      </c>
      <c r="R1354" s="127" t="str">
        <f>IF(tech_base!$T170&gt;R$1185,"",R1634+R1914)</f>
        <v/>
      </c>
      <c r="S1354" s="127" t="str">
        <f>IF(tech_base!$T170&gt;S$1185,"",S1634+S1914)</f>
        <v/>
      </c>
      <c r="T1354" s="127" t="str">
        <f>IF(tech_base!$T170&gt;T$1185,"",T1634+T1914)</f>
        <v/>
      </c>
      <c r="U1354" s="127" t="str">
        <f>IF(tech_base!$T170&gt;U$1185,"",U1634+U1914)</f>
        <v/>
      </c>
      <c r="V1354" s="127" t="str">
        <f>IF(tech_base!$T170&gt;V$1185,"",V1634+V1914)</f>
        <v/>
      </c>
      <c r="W1354" s="127" t="str">
        <f>IF(tech_base!$T170&gt;W$1185,"",W1634+W1914)</f>
        <v/>
      </c>
      <c r="X1354" s="127" t="str">
        <f>IF(tech_base!$T170&gt;X$1185,"",X1634+X1914)</f>
        <v/>
      </c>
      <c r="Y1354" s="127" t="str">
        <f>IF(tech_base!$T170&gt;Y$1185,"",Y1634+Y1914)</f>
        <v/>
      </c>
      <c r="Z1354" s="127" t="str">
        <f>IF(tech_base!$T170&gt;Z$1185,"",Z1634+Z1914)</f>
        <v/>
      </c>
      <c r="AA1354" s="127" t="str">
        <f>IF(tech_base!$T170&gt;AA$1185,"",AA1634+AA1914)</f>
        <v/>
      </c>
      <c r="AB1354" s="127" t="str">
        <f>IF(tech_base!$T170&gt;AB$1185,"",AB1634+AB1914)</f>
        <v/>
      </c>
      <c r="AC1354" s="127" t="str">
        <f>IF(tech_base!$T170&gt;AC$1185,"",AC1634+AC1914)</f>
        <v/>
      </c>
      <c r="AD1354" s="127" t="str">
        <f>IF(tech_base!$T170&gt;AD$1185,"",AD1634+AD1914)</f>
        <v/>
      </c>
      <c r="AE1354" s="127">
        <f>IF(tech_base!$T170&gt;AE$1185,"",AE1634+AE1914)</f>
        <v>11.533861285115815</v>
      </c>
      <c r="AF1354" s="127">
        <f>IF(tech_base!$T170&gt;AF$1185,"",AF1634+AF1914)</f>
        <v>11.533861285115815</v>
      </c>
      <c r="AG1354" s="127">
        <f>IF(tech_base!$T170&gt;AG$1185,"",AG1634+AG1914)</f>
        <v>11.533861285115815</v>
      </c>
      <c r="AH1354" s="127">
        <f>IF(tech_base!$T170&gt;AH$1185,"",AH1634+AH1914)</f>
        <v>11.533861285115815</v>
      </c>
      <c r="AI1354" s="127">
        <f>IF(tech_base!$T170&gt;AI$1185,"",AI1634+AI1914)</f>
        <v>11.533861285115815</v>
      </c>
      <c r="AJ1354" s="127">
        <f>IF(tech_base!$T170&gt;AJ$1185,"",AJ1634+AJ1914)</f>
        <v>11.533861285115815</v>
      </c>
      <c r="AK1354" s="127">
        <f>IF(tech_base!$T170&gt;AK$1185,"",AK1634+AK1914)</f>
        <v>11.533861285115815</v>
      </c>
      <c r="AL1354" s="127">
        <f>IF(tech_base!$T170&gt;AL$1185,"",AL1634+AL1914)</f>
        <v>11.533861285115815</v>
      </c>
      <c r="AM1354" s="127">
        <f>IF(tech_base!$T170&gt;AM$1185,"",AM1634+AM1914)</f>
        <v>11.533861285115815</v>
      </c>
      <c r="AN1354" s="127">
        <f>IF(tech_base!$T170&gt;AN$1185,"",AN1634+AN1914)</f>
        <v>11.533861285115815</v>
      </c>
      <c r="AO1354" s="127">
        <f>IF(tech_base!$T170&gt;AO$1185,"",AO1634+AO1914)</f>
        <v>11.533861285115815</v>
      </c>
      <c r="AP1354" s="127">
        <f>IF(tech_base!$T170&gt;AP$1185,"",AP1634+AP1914)</f>
        <v>11.533861285115815</v>
      </c>
      <c r="AQ1354" s="127">
        <f>IF(tech_base!$T170&gt;AQ$1185,"",AQ1634+AQ1914)</f>
        <v>11.533861285115815</v>
      </c>
      <c r="AR1354" s="127">
        <f>IF(tech_base!$T170&gt;AR$1185,"",AR1634+AR1914)</f>
        <v>11.533861285115815</v>
      </c>
      <c r="AS1354" s="127">
        <f>IF(tech_base!$T170&gt;AS$1185,"",AS1634+AS1914)</f>
        <v>11.533861285115815</v>
      </c>
      <c r="AT1354" s="127">
        <f>IF(tech_base!$T170&gt;AT$1185,"",AT1634+AT1914)</f>
        <v>11.533861285115815</v>
      </c>
      <c r="AU1354" s="127">
        <f>IF(tech_base!$T170&gt;AU$1185,"",AU1634+AU1914)</f>
        <v>11.533861285115815</v>
      </c>
      <c r="AV1354" s="127">
        <f>IF(tech_base!$T170&gt;AV$1185,"",AV1634+AV1914)</f>
        <v>11.533861285115815</v>
      </c>
      <c r="AW1354" s="127">
        <f>IF(tech_base!$T170&gt;AW$1185,"",AW1634+AW1914)</f>
        <v>11.533861285115815</v>
      </c>
      <c r="AX1354" s="128">
        <f>IF(tech_base!$T170&gt;AX$1185,"",AX1634+AX1914)</f>
        <v>11.533861285115815</v>
      </c>
    </row>
    <row r="1355" spans="1:50" x14ac:dyDescent="0.25">
      <c r="A1355" s="356"/>
      <c r="B1355" s="358" t="s">
        <v>25</v>
      </c>
      <c r="C1355" s="353" t="s">
        <v>6</v>
      </c>
      <c r="D1355" s="3" t="s">
        <v>10</v>
      </c>
      <c r="E1355" s="162" t="str">
        <f>A1325&amp;"/"&amp;B1355&amp;"/"&amp;C1355&amp;"/"&amp;D1355</f>
        <v>Diesel oil fired power plants/Internal combustion engine/Electricity only/S</v>
      </c>
      <c r="F1355" s="77" t="str">
        <f>A1325</f>
        <v>Diesel oil fired power plants</v>
      </c>
      <c r="G1355" s="77" t="str">
        <f>B1355</f>
        <v>Internal combustion engine</v>
      </c>
      <c r="H1355" s="77" t="str">
        <f>C1355</f>
        <v>Electricity only</v>
      </c>
      <c r="I1355" s="163" t="str">
        <f t="shared" si="374"/>
        <v>S</v>
      </c>
      <c r="J1355" s="121">
        <f>IF(tech_base!$T171&gt;J$1185,"",J1635+J1915)</f>
        <v>0</v>
      </c>
      <c r="K1355" s="121">
        <f>IF(tech_base!$T171&gt;K$1185,"",K1635+K1915)</f>
        <v>0</v>
      </c>
      <c r="L1355" s="121">
        <f>IF(tech_base!$T171&gt;L$1185,"",L1635+L1915)</f>
        <v>0</v>
      </c>
      <c r="M1355" s="121">
        <f>IF(tech_base!$T171&gt;M$1185,"",M1635+M1915)</f>
        <v>0</v>
      </c>
      <c r="N1355" s="121">
        <f>IF(tech_base!$T171&gt;N$1185,"",N1635+N1915)</f>
        <v>0</v>
      </c>
      <c r="O1355" s="121">
        <f>IF(tech_base!$T171&gt;O$1185,"",O1635+O1915)</f>
        <v>0</v>
      </c>
      <c r="P1355" s="121">
        <f>IF(tech_base!$T171&gt;P$1185,"",P1635+P1915)</f>
        <v>0</v>
      </c>
      <c r="Q1355" s="121">
        <f>IF(tech_base!$T171&gt;Q$1185,"",Q1635+Q1915)</f>
        <v>0</v>
      </c>
      <c r="R1355" s="121">
        <f>IF(tech_base!$T171&gt;R$1185,"",R1635+R1915)</f>
        <v>0</v>
      </c>
      <c r="S1355" s="121">
        <f>IF(tech_base!$T171&gt;S$1185,"",S1635+S1915)</f>
        <v>0</v>
      </c>
      <c r="T1355" s="121">
        <f>IF(tech_base!$T171&gt;T$1185,"",T1635+T1915)</f>
        <v>0</v>
      </c>
      <c r="U1355" s="121">
        <f>IF(tech_base!$T171&gt;U$1185,"",U1635+U1915)</f>
        <v>0</v>
      </c>
      <c r="V1355" s="121">
        <f>IF(tech_base!$T171&gt;V$1185,"",V1635+V1915)</f>
        <v>0</v>
      </c>
      <c r="W1355" s="121">
        <f>IF(tech_base!$T171&gt;W$1185,"",W1635+W1915)</f>
        <v>0</v>
      </c>
      <c r="X1355" s="121">
        <f>IF(tech_base!$T171&gt;X$1185,"",X1635+X1915)</f>
        <v>0</v>
      </c>
      <c r="Y1355" s="121">
        <f>IF(tech_base!$T171&gt;Y$1185,"",Y1635+Y1915)</f>
        <v>0</v>
      </c>
      <c r="Z1355" s="121">
        <f>IF(tech_base!$T171&gt;Z$1185,"",Z1635+Z1915)</f>
        <v>0</v>
      </c>
      <c r="AA1355" s="121">
        <f>IF(tech_base!$T171&gt;AA$1185,"",AA1635+AA1915)</f>
        <v>0</v>
      </c>
      <c r="AB1355" s="121">
        <f>IF(tech_base!$T171&gt;AB$1185,"",AB1635+AB1915)</f>
        <v>0</v>
      </c>
      <c r="AC1355" s="121">
        <f>IF(tech_base!$T171&gt;AC$1185,"",AC1635+AC1915)</f>
        <v>0</v>
      </c>
      <c r="AD1355" s="121">
        <f>IF(tech_base!$T171&gt;AD$1185,"",AD1635+AD1915)</f>
        <v>0</v>
      </c>
      <c r="AE1355" s="121">
        <f>IF(tech_base!$T171&gt;AE$1185,"",AE1635+AE1915)</f>
        <v>0</v>
      </c>
      <c r="AF1355" s="121">
        <f>IF(tech_base!$T171&gt;AF$1185,"",AF1635+AF1915)</f>
        <v>0</v>
      </c>
      <c r="AG1355" s="121">
        <f>IF(tech_base!$T171&gt;AG$1185,"",AG1635+AG1915)</f>
        <v>0</v>
      </c>
      <c r="AH1355" s="121">
        <f>IF(tech_base!$T171&gt;AH$1185,"",AH1635+AH1915)</f>
        <v>0</v>
      </c>
      <c r="AI1355" s="121">
        <f>IF(tech_base!$T171&gt;AI$1185,"",AI1635+AI1915)</f>
        <v>0</v>
      </c>
      <c r="AJ1355" s="121">
        <f>IF(tech_base!$T171&gt;AJ$1185,"",AJ1635+AJ1915)</f>
        <v>0</v>
      </c>
      <c r="AK1355" s="121">
        <f>IF(tech_base!$T171&gt;AK$1185,"",AK1635+AK1915)</f>
        <v>0</v>
      </c>
      <c r="AL1355" s="121">
        <f>IF(tech_base!$T171&gt;AL$1185,"",AL1635+AL1915)</f>
        <v>0</v>
      </c>
      <c r="AM1355" s="121">
        <f>IF(tech_base!$T171&gt;AM$1185,"",AM1635+AM1915)</f>
        <v>0</v>
      </c>
      <c r="AN1355" s="121">
        <f>IF(tech_base!$T171&gt;AN$1185,"",AN1635+AN1915)</f>
        <v>0</v>
      </c>
      <c r="AO1355" s="121">
        <f>IF(tech_base!$T171&gt;AO$1185,"",AO1635+AO1915)</f>
        <v>0</v>
      </c>
      <c r="AP1355" s="121">
        <f>IF(tech_base!$T171&gt;AP$1185,"",AP1635+AP1915)</f>
        <v>0</v>
      </c>
      <c r="AQ1355" s="121">
        <f>IF(tech_base!$T171&gt;AQ$1185,"",AQ1635+AQ1915)</f>
        <v>0</v>
      </c>
      <c r="AR1355" s="121">
        <f>IF(tech_base!$T171&gt;AR$1185,"",AR1635+AR1915)</f>
        <v>0</v>
      </c>
      <c r="AS1355" s="121">
        <f>IF(tech_base!$T171&gt;AS$1185,"",AS1635+AS1915)</f>
        <v>0</v>
      </c>
      <c r="AT1355" s="121">
        <f>IF(tech_base!$T171&gt;AT$1185,"",AT1635+AT1915)</f>
        <v>0</v>
      </c>
      <c r="AU1355" s="121">
        <f>IF(tech_base!$T171&gt;AU$1185,"",AU1635+AU1915)</f>
        <v>0</v>
      </c>
      <c r="AV1355" s="121">
        <f>IF(tech_base!$T171&gt;AV$1185,"",AV1635+AV1915)</f>
        <v>0</v>
      </c>
      <c r="AW1355" s="121">
        <f>IF(tech_base!$T171&gt;AW$1185,"",AW1635+AW1915)</f>
        <v>0</v>
      </c>
      <c r="AX1355" s="122">
        <f>IF(tech_base!$T171&gt;AX$1185,"",AX1635+AX1915)</f>
        <v>0</v>
      </c>
    </row>
    <row r="1356" spans="1:50" x14ac:dyDescent="0.25">
      <c r="A1356" s="356"/>
      <c r="B1356" s="376"/>
      <c r="C1356" s="379"/>
      <c r="D1356" s="59" t="s">
        <v>20</v>
      </c>
      <c r="E1356" s="160" t="str">
        <f>A1325&amp;"/"&amp;B1355&amp;"/"&amp;C1355&amp;"/"&amp;D1356</f>
        <v>Diesel oil fired power plants/Internal combustion engine/Electricity only/XS</v>
      </c>
      <c r="F1356" s="76" t="str">
        <f>A1325</f>
        <v>Diesel oil fired power plants</v>
      </c>
      <c r="G1356" s="76" t="str">
        <f>B1355</f>
        <v>Internal combustion engine</v>
      </c>
      <c r="H1356" s="76" t="str">
        <f>C1355</f>
        <v>Electricity only</v>
      </c>
      <c r="I1356" s="161" t="str">
        <f t="shared" si="374"/>
        <v>XS</v>
      </c>
      <c r="J1356" s="119">
        <f>IF(tech_base!$T172&gt;J$1185,"",J1636+J1916)</f>
        <v>0</v>
      </c>
      <c r="K1356" s="119">
        <f>IF(tech_base!$T172&gt;K$1185,"",K1636+K1916)</f>
        <v>0</v>
      </c>
      <c r="L1356" s="119">
        <f>IF(tech_base!$T172&gt;L$1185,"",L1636+L1916)</f>
        <v>0</v>
      </c>
      <c r="M1356" s="119">
        <f>IF(tech_base!$T172&gt;M$1185,"",M1636+M1916)</f>
        <v>0</v>
      </c>
      <c r="N1356" s="119">
        <f>IF(tech_base!$T172&gt;N$1185,"",N1636+N1916)</f>
        <v>0</v>
      </c>
      <c r="O1356" s="119">
        <f>IF(tech_base!$T172&gt;O$1185,"",O1636+O1916)</f>
        <v>0</v>
      </c>
      <c r="P1356" s="119">
        <f>IF(tech_base!$T172&gt;P$1185,"",P1636+P1916)</f>
        <v>0</v>
      </c>
      <c r="Q1356" s="119">
        <f>IF(tech_base!$T172&gt;Q$1185,"",Q1636+Q1916)</f>
        <v>0</v>
      </c>
      <c r="R1356" s="119">
        <f>IF(tech_base!$T172&gt;R$1185,"",R1636+R1916)</f>
        <v>0</v>
      </c>
      <c r="S1356" s="119">
        <f>IF(tech_base!$T172&gt;S$1185,"",S1636+S1916)</f>
        <v>0</v>
      </c>
      <c r="T1356" s="119">
        <f>IF(tech_base!$T172&gt;T$1185,"",T1636+T1916)</f>
        <v>0</v>
      </c>
      <c r="U1356" s="119">
        <f>IF(tech_base!$T172&gt;U$1185,"",U1636+U1916)</f>
        <v>0</v>
      </c>
      <c r="V1356" s="119">
        <f>IF(tech_base!$T172&gt;V$1185,"",V1636+V1916)</f>
        <v>0</v>
      </c>
      <c r="W1356" s="119">
        <f>IF(tech_base!$T172&gt;W$1185,"",W1636+W1916)</f>
        <v>0</v>
      </c>
      <c r="X1356" s="119">
        <f>IF(tech_base!$T172&gt;X$1185,"",X1636+X1916)</f>
        <v>0</v>
      </c>
      <c r="Y1356" s="119">
        <f>IF(tech_base!$T172&gt;Y$1185,"",Y1636+Y1916)</f>
        <v>0</v>
      </c>
      <c r="Z1356" s="119">
        <f>IF(tech_base!$T172&gt;Z$1185,"",Z1636+Z1916)</f>
        <v>0</v>
      </c>
      <c r="AA1356" s="119">
        <f>IF(tech_base!$T172&gt;AA$1185,"",AA1636+AA1916)</f>
        <v>0</v>
      </c>
      <c r="AB1356" s="119">
        <f>IF(tech_base!$T172&gt;AB$1185,"",AB1636+AB1916)</f>
        <v>0</v>
      </c>
      <c r="AC1356" s="119">
        <f>IF(tech_base!$T172&gt;AC$1185,"",AC1636+AC1916)</f>
        <v>0</v>
      </c>
      <c r="AD1356" s="119">
        <f>IF(tech_base!$T172&gt;AD$1185,"",AD1636+AD1916)</f>
        <v>0</v>
      </c>
      <c r="AE1356" s="119">
        <f>IF(tech_base!$T172&gt;AE$1185,"",AE1636+AE1916)</f>
        <v>0</v>
      </c>
      <c r="AF1356" s="119">
        <f>IF(tech_base!$T172&gt;AF$1185,"",AF1636+AF1916)</f>
        <v>0</v>
      </c>
      <c r="AG1356" s="119">
        <f>IF(tech_base!$T172&gt;AG$1185,"",AG1636+AG1916)</f>
        <v>0</v>
      </c>
      <c r="AH1356" s="119">
        <f>IF(tech_base!$T172&gt;AH$1185,"",AH1636+AH1916)</f>
        <v>0</v>
      </c>
      <c r="AI1356" s="119">
        <f>IF(tech_base!$T172&gt;AI$1185,"",AI1636+AI1916)</f>
        <v>0</v>
      </c>
      <c r="AJ1356" s="119">
        <f>IF(tech_base!$T172&gt;AJ$1185,"",AJ1636+AJ1916)</f>
        <v>0</v>
      </c>
      <c r="AK1356" s="119">
        <f>IF(tech_base!$T172&gt;AK$1185,"",AK1636+AK1916)</f>
        <v>0</v>
      </c>
      <c r="AL1356" s="119">
        <f>IF(tech_base!$T172&gt;AL$1185,"",AL1636+AL1916)</f>
        <v>0</v>
      </c>
      <c r="AM1356" s="119">
        <f>IF(tech_base!$T172&gt;AM$1185,"",AM1636+AM1916)</f>
        <v>0</v>
      </c>
      <c r="AN1356" s="119">
        <f>IF(tech_base!$T172&gt;AN$1185,"",AN1636+AN1916)</f>
        <v>0</v>
      </c>
      <c r="AO1356" s="119">
        <f>IF(tech_base!$T172&gt;AO$1185,"",AO1636+AO1916)</f>
        <v>0</v>
      </c>
      <c r="AP1356" s="119">
        <f>IF(tech_base!$T172&gt;AP$1185,"",AP1636+AP1916)</f>
        <v>0</v>
      </c>
      <c r="AQ1356" s="119">
        <f>IF(tech_base!$T172&gt;AQ$1185,"",AQ1636+AQ1916)</f>
        <v>0</v>
      </c>
      <c r="AR1356" s="119">
        <f>IF(tech_base!$T172&gt;AR$1185,"",AR1636+AR1916)</f>
        <v>0</v>
      </c>
      <c r="AS1356" s="119">
        <f>IF(tech_base!$T172&gt;AS$1185,"",AS1636+AS1916)</f>
        <v>0</v>
      </c>
      <c r="AT1356" s="119">
        <f>IF(tech_base!$T172&gt;AT$1185,"",AT1636+AT1916)</f>
        <v>0</v>
      </c>
      <c r="AU1356" s="119">
        <f>IF(tech_base!$T172&gt;AU$1185,"",AU1636+AU1916)</f>
        <v>0</v>
      </c>
      <c r="AV1356" s="119">
        <f>IF(tech_base!$T172&gt;AV$1185,"",AV1636+AV1916)</f>
        <v>0</v>
      </c>
      <c r="AW1356" s="119">
        <f>IF(tech_base!$T172&gt;AW$1185,"",AW1636+AW1916)</f>
        <v>0</v>
      </c>
      <c r="AX1356" s="120">
        <f>IF(tech_base!$T172&gt;AX$1185,"",AX1636+AX1916)</f>
        <v>0</v>
      </c>
    </row>
    <row r="1357" spans="1:50" x14ac:dyDescent="0.25">
      <c r="A1357" s="356"/>
      <c r="B1357" s="376"/>
      <c r="C1357" s="350" t="s">
        <v>14</v>
      </c>
      <c r="D1357" s="2" t="s">
        <v>10</v>
      </c>
      <c r="E1357" s="164" t="str">
        <f>A1325&amp;"/"&amp;B1355&amp;"/"&amp;C1357&amp;"/"&amp;D1357</f>
        <v>Diesel oil fired power plants/Internal combustion engine/CHP/S</v>
      </c>
      <c r="F1357" s="78" t="str">
        <f>A1325</f>
        <v>Diesel oil fired power plants</v>
      </c>
      <c r="G1357" s="78" t="str">
        <f>B1355</f>
        <v>Internal combustion engine</v>
      </c>
      <c r="H1357" s="78" t="str">
        <f>C1357</f>
        <v>CHP</v>
      </c>
      <c r="I1357" s="165" t="str">
        <f t="shared" si="374"/>
        <v>S</v>
      </c>
      <c r="J1357" s="123">
        <f>IF(tech_base!$T173&gt;J$1185,"",J1637+J1917)</f>
        <v>0</v>
      </c>
      <c r="K1357" s="123">
        <f>IF(tech_base!$T173&gt;K$1185,"",K1637+K1917)</f>
        <v>0</v>
      </c>
      <c r="L1357" s="123">
        <f>IF(tech_base!$T173&gt;L$1185,"",L1637+L1917)</f>
        <v>0</v>
      </c>
      <c r="M1357" s="123">
        <f>IF(tech_base!$T173&gt;M$1185,"",M1637+M1917)</f>
        <v>0</v>
      </c>
      <c r="N1357" s="123">
        <f>IF(tech_base!$T173&gt;N$1185,"",N1637+N1917)</f>
        <v>0</v>
      </c>
      <c r="O1357" s="123">
        <f>IF(tech_base!$T173&gt;O$1185,"",O1637+O1917)</f>
        <v>0</v>
      </c>
      <c r="P1357" s="123">
        <f>IF(tech_base!$T173&gt;P$1185,"",P1637+P1917)</f>
        <v>0</v>
      </c>
      <c r="Q1357" s="123">
        <f>IF(tech_base!$T173&gt;Q$1185,"",Q1637+Q1917)</f>
        <v>0</v>
      </c>
      <c r="R1357" s="123">
        <f>IF(tech_base!$T173&gt;R$1185,"",R1637+R1917)</f>
        <v>0</v>
      </c>
      <c r="S1357" s="123">
        <f>IF(tech_base!$T173&gt;S$1185,"",S1637+S1917)</f>
        <v>0</v>
      </c>
      <c r="T1357" s="123">
        <f>IF(tech_base!$T173&gt;T$1185,"",T1637+T1917)</f>
        <v>0</v>
      </c>
      <c r="U1357" s="123">
        <f>IF(tech_base!$T173&gt;U$1185,"",U1637+U1917)</f>
        <v>0</v>
      </c>
      <c r="V1357" s="123">
        <f>IF(tech_base!$T173&gt;V$1185,"",V1637+V1917)</f>
        <v>0</v>
      </c>
      <c r="W1357" s="123">
        <f>IF(tech_base!$T173&gt;W$1185,"",W1637+W1917)</f>
        <v>0</v>
      </c>
      <c r="X1357" s="123">
        <f>IF(tech_base!$T173&gt;X$1185,"",X1637+X1917)</f>
        <v>0</v>
      </c>
      <c r="Y1357" s="123">
        <f>IF(tech_base!$T173&gt;Y$1185,"",Y1637+Y1917)</f>
        <v>0</v>
      </c>
      <c r="Z1357" s="123">
        <f>IF(tech_base!$T173&gt;Z$1185,"",Z1637+Z1917)</f>
        <v>0</v>
      </c>
      <c r="AA1357" s="123">
        <f>IF(tech_base!$T173&gt;AA$1185,"",AA1637+AA1917)</f>
        <v>0</v>
      </c>
      <c r="AB1357" s="123">
        <f>IF(tech_base!$T173&gt;AB$1185,"",AB1637+AB1917)</f>
        <v>0</v>
      </c>
      <c r="AC1357" s="123">
        <f>IF(tech_base!$T173&gt;AC$1185,"",AC1637+AC1917)</f>
        <v>0</v>
      </c>
      <c r="AD1357" s="123">
        <f>IF(tech_base!$T173&gt;AD$1185,"",AD1637+AD1917)</f>
        <v>0</v>
      </c>
      <c r="AE1357" s="123">
        <f>IF(tech_base!$T173&gt;AE$1185,"",AE1637+AE1917)</f>
        <v>0</v>
      </c>
      <c r="AF1357" s="123">
        <f>IF(tech_base!$T173&gt;AF$1185,"",AF1637+AF1917)</f>
        <v>0</v>
      </c>
      <c r="AG1357" s="123">
        <f>IF(tech_base!$T173&gt;AG$1185,"",AG1637+AG1917)</f>
        <v>0</v>
      </c>
      <c r="AH1357" s="123">
        <f>IF(tech_base!$T173&gt;AH$1185,"",AH1637+AH1917)</f>
        <v>0</v>
      </c>
      <c r="AI1357" s="123">
        <f>IF(tech_base!$T173&gt;AI$1185,"",AI1637+AI1917)</f>
        <v>0</v>
      </c>
      <c r="AJ1357" s="123">
        <f>IF(tech_base!$T173&gt;AJ$1185,"",AJ1637+AJ1917)</f>
        <v>0</v>
      </c>
      <c r="AK1357" s="123">
        <f>IF(tech_base!$T173&gt;AK$1185,"",AK1637+AK1917)</f>
        <v>0</v>
      </c>
      <c r="AL1357" s="123">
        <f>IF(tech_base!$T173&gt;AL$1185,"",AL1637+AL1917)</f>
        <v>0</v>
      </c>
      <c r="AM1357" s="123">
        <f>IF(tech_base!$T173&gt;AM$1185,"",AM1637+AM1917)</f>
        <v>0</v>
      </c>
      <c r="AN1357" s="123">
        <f>IF(tech_base!$T173&gt;AN$1185,"",AN1637+AN1917)</f>
        <v>0</v>
      </c>
      <c r="AO1357" s="123">
        <f>IF(tech_base!$T173&gt;AO$1185,"",AO1637+AO1917)</f>
        <v>0</v>
      </c>
      <c r="AP1357" s="123">
        <f>IF(tech_base!$T173&gt;AP$1185,"",AP1637+AP1917)</f>
        <v>0</v>
      </c>
      <c r="AQ1357" s="123">
        <f>IF(tech_base!$T173&gt;AQ$1185,"",AQ1637+AQ1917)</f>
        <v>0</v>
      </c>
      <c r="AR1357" s="123">
        <f>IF(tech_base!$T173&gt;AR$1185,"",AR1637+AR1917)</f>
        <v>0</v>
      </c>
      <c r="AS1357" s="123">
        <f>IF(tech_base!$T173&gt;AS$1185,"",AS1637+AS1917)</f>
        <v>0</v>
      </c>
      <c r="AT1357" s="123">
        <f>IF(tech_base!$T173&gt;AT$1185,"",AT1637+AT1917)</f>
        <v>0</v>
      </c>
      <c r="AU1357" s="123">
        <f>IF(tech_base!$T173&gt;AU$1185,"",AU1637+AU1917)</f>
        <v>0</v>
      </c>
      <c r="AV1357" s="123">
        <f>IF(tech_base!$T173&gt;AV$1185,"",AV1637+AV1917)</f>
        <v>0</v>
      </c>
      <c r="AW1357" s="123">
        <f>IF(tech_base!$T173&gt;AW$1185,"",AW1637+AW1917)</f>
        <v>0</v>
      </c>
      <c r="AX1357" s="124">
        <f>IF(tech_base!$T173&gt;AX$1185,"",AX1637+AX1917)</f>
        <v>0</v>
      </c>
    </row>
    <row r="1358" spans="1:50" x14ac:dyDescent="0.25">
      <c r="A1358" s="357"/>
      <c r="B1358" s="380"/>
      <c r="C1358" s="381"/>
      <c r="D1358" s="4" t="s">
        <v>20</v>
      </c>
      <c r="E1358" s="168" t="str">
        <f>A1325&amp;"/"&amp;B1355&amp;"/"&amp;C1357&amp;"/"&amp;D1358</f>
        <v>Diesel oil fired power plants/Internal combustion engine/CHP/XS</v>
      </c>
      <c r="F1358" s="80" t="str">
        <f>A1325</f>
        <v>Diesel oil fired power plants</v>
      </c>
      <c r="G1358" s="80" t="str">
        <f>B1355</f>
        <v>Internal combustion engine</v>
      </c>
      <c r="H1358" s="80" t="str">
        <f>C1357</f>
        <v>CHP</v>
      </c>
      <c r="I1358" s="169" t="str">
        <f t="shared" si="374"/>
        <v>XS</v>
      </c>
      <c r="J1358" s="127">
        <f>IF(tech_base!$T174&gt;J$1185,"",J1638+J1918)</f>
        <v>0</v>
      </c>
      <c r="K1358" s="127">
        <f>IF(tech_base!$T174&gt;K$1185,"",K1638+K1918)</f>
        <v>0</v>
      </c>
      <c r="L1358" s="127">
        <f>IF(tech_base!$T174&gt;L$1185,"",L1638+L1918)</f>
        <v>0</v>
      </c>
      <c r="M1358" s="127">
        <f>IF(tech_base!$T174&gt;M$1185,"",M1638+M1918)</f>
        <v>0</v>
      </c>
      <c r="N1358" s="127">
        <f>IF(tech_base!$T174&gt;N$1185,"",N1638+N1918)</f>
        <v>0</v>
      </c>
      <c r="O1358" s="127">
        <f>IF(tech_base!$T174&gt;O$1185,"",O1638+O1918)</f>
        <v>0</v>
      </c>
      <c r="P1358" s="127">
        <f>IF(tech_base!$T174&gt;P$1185,"",P1638+P1918)</f>
        <v>0</v>
      </c>
      <c r="Q1358" s="127">
        <f>IF(tech_base!$T174&gt;Q$1185,"",Q1638+Q1918)</f>
        <v>0</v>
      </c>
      <c r="R1358" s="127">
        <f>IF(tech_base!$T174&gt;R$1185,"",R1638+R1918)</f>
        <v>0</v>
      </c>
      <c r="S1358" s="127">
        <f>IF(tech_base!$T174&gt;S$1185,"",S1638+S1918)</f>
        <v>0</v>
      </c>
      <c r="T1358" s="127">
        <f>IF(tech_base!$T174&gt;T$1185,"",T1638+T1918)</f>
        <v>0</v>
      </c>
      <c r="U1358" s="127">
        <f>IF(tech_base!$T174&gt;U$1185,"",U1638+U1918)</f>
        <v>0</v>
      </c>
      <c r="V1358" s="127">
        <f>IF(tech_base!$T174&gt;V$1185,"",V1638+V1918)</f>
        <v>0</v>
      </c>
      <c r="W1358" s="127">
        <f>IF(tech_base!$T174&gt;W$1185,"",W1638+W1918)</f>
        <v>0</v>
      </c>
      <c r="X1358" s="127">
        <f>IF(tech_base!$T174&gt;X$1185,"",X1638+X1918)</f>
        <v>0</v>
      </c>
      <c r="Y1358" s="127">
        <f>IF(tech_base!$T174&gt;Y$1185,"",Y1638+Y1918)</f>
        <v>0</v>
      </c>
      <c r="Z1358" s="127">
        <f>IF(tech_base!$T174&gt;Z$1185,"",Z1638+Z1918)</f>
        <v>0</v>
      </c>
      <c r="AA1358" s="127">
        <f>IF(tech_base!$T174&gt;AA$1185,"",AA1638+AA1918)</f>
        <v>0</v>
      </c>
      <c r="AB1358" s="127">
        <f>IF(tech_base!$T174&gt;AB$1185,"",AB1638+AB1918)</f>
        <v>0</v>
      </c>
      <c r="AC1358" s="127">
        <f>IF(tech_base!$T174&gt;AC$1185,"",AC1638+AC1918)</f>
        <v>0</v>
      </c>
      <c r="AD1358" s="127">
        <f>IF(tech_base!$T174&gt;AD$1185,"",AD1638+AD1918)</f>
        <v>0</v>
      </c>
      <c r="AE1358" s="127">
        <f>IF(tech_base!$T174&gt;AE$1185,"",AE1638+AE1918)</f>
        <v>0</v>
      </c>
      <c r="AF1358" s="127">
        <f>IF(tech_base!$T174&gt;AF$1185,"",AF1638+AF1918)</f>
        <v>0</v>
      </c>
      <c r="AG1358" s="127">
        <f>IF(tech_base!$T174&gt;AG$1185,"",AG1638+AG1918)</f>
        <v>0</v>
      </c>
      <c r="AH1358" s="127">
        <f>IF(tech_base!$T174&gt;AH$1185,"",AH1638+AH1918)</f>
        <v>0</v>
      </c>
      <c r="AI1358" s="127">
        <f>IF(tech_base!$T174&gt;AI$1185,"",AI1638+AI1918)</f>
        <v>0</v>
      </c>
      <c r="AJ1358" s="127">
        <f>IF(tech_base!$T174&gt;AJ$1185,"",AJ1638+AJ1918)</f>
        <v>0</v>
      </c>
      <c r="AK1358" s="127">
        <f>IF(tech_base!$T174&gt;AK$1185,"",AK1638+AK1918)</f>
        <v>0</v>
      </c>
      <c r="AL1358" s="127">
        <f>IF(tech_base!$T174&gt;AL$1185,"",AL1638+AL1918)</f>
        <v>0</v>
      </c>
      <c r="AM1358" s="127">
        <f>IF(tech_base!$T174&gt;AM$1185,"",AM1638+AM1918)</f>
        <v>0</v>
      </c>
      <c r="AN1358" s="127">
        <f>IF(tech_base!$T174&gt;AN$1185,"",AN1638+AN1918)</f>
        <v>0</v>
      </c>
      <c r="AO1358" s="127">
        <f>IF(tech_base!$T174&gt;AO$1185,"",AO1638+AO1918)</f>
        <v>0</v>
      </c>
      <c r="AP1358" s="127">
        <f>IF(tech_base!$T174&gt;AP$1185,"",AP1638+AP1918)</f>
        <v>0</v>
      </c>
      <c r="AQ1358" s="127">
        <f>IF(tech_base!$T174&gt;AQ$1185,"",AQ1638+AQ1918)</f>
        <v>0</v>
      </c>
      <c r="AR1358" s="127">
        <f>IF(tech_base!$T174&gt;AR$1185,"",AR1638+AR1918)</f>
        <v>0</v>
      </c>
      <c r="AS1358" s="127">
        <f>IF(tech_base!$T174&gt;AS$1185,"",AS1638+AS1918)</f>
        <v>0</v>
      </c>
      <c r="AT1358" s="127">
        <f>IF(tech_base!$T174&gt;AT$1185,"",AT1638+AT1918)</f>
        <v>0</v>
      </c>
      <c r="AU1358" s="127">
        <f>IF(tech_base!$T174&gt;AU$1185,"",AU1638+AU1918)</f>
        <v>0</v>
      </c>
      <c r="AV1358" s="127">
        <f>IF(tech_base!$T174&gt;AV$1185,"",AV1638+AV1918)</f>
        <v>0</v>
      </c>
      <c r="AW1358" s="127">
        <f>IF(tech_base!$T174&gt;AW$1185,"",AW1638+AW1918)</f>
        <v>0</v>
      </c>
      <c r="AX1358" s="128">
        <f>IF(tech_base!$T174&gt;AX$1185,"",AX1638+AX1918)</f>
        <v>0</v>
      </c>
    </row>
    <row r="1359" spans="1:50" x14ac:dyDescent="0.25">
      <c r="A1359" s="355" t="s">
        <v>29</v>
      </c>
      <c r="B1359" s="358" t="s">
        <v>13</v>
      </c>
      <c r="C1359" s="353" t="s">
        <v>6</v>
      </c>
      <c r="D1359" s="3" t="s">
        <v>7</v>
      </c>
      <c r="E1359" s="162" t="str">
        <f>A1359&amp;"/"&amp;B1359&amp;"/"&amp;C1359&amp;"/"&amp;D1359</f>
        <v>Fuel oil fired power plants/Integrated gasification combined cycle/Electricity only/L</v>
      </c>
      <c r="F1359" s="77" t="str">
        <f>A1359</f>
        <v>Fuel oil fired power plants</v>
      </c>
      <c r="G1359" s="77" t="str">
        <f>B1359</f>
        <v>Integrated gasification combined cycle</v>
      </c>
      <c r="H1359" s="77" t="str">
        <f>C1359</f>
        <v>Electricity only</v>
      </c>
      <c r="I1359" s="163" t="str">
        <f t="shared" si="374"/>
        <v>L</v>
      </c>
      <c r="J1359" s="121">
        <f>IF(tech_base!$T175&gt;J$1185,"",J1639+J1919)</f>
        <v>0</v>
      </c>
      <c r="K1359" s="121">
        <f>IF(tech_base!$T175&gt;K$1185,"",K1639+K1919)</f>
        <v>0</v>
      </c>
      <c r="L1359" s="121">
        <f>IF(tech_base!$T175&gt;L$1185,"",L1639+L1919)</f>
        <v>0</v>
      </c>
      <c r="M1359" s="121">
        <f>IF(tech_base!$T175&gt;M$1185,"",M1639+M1919)</f>
        <v>0</v>
      </c>
      <c r="N1359" s="121">
        <f>IF(tech_base!$T175&gt;N$1185,"",N1639+N1919)</f>
        <v>0</v>
      </c>
      <c r="O1359" s="121">
        <f>IF(tech_base!$T175&gt;O$1185,"",O1639+O1919)</f>
        <v>0</v>
      </c>
      <c r="P1359" s="121">
        <f>IF(tech_base!$T175&gt;P$1185,"",P1639+P1919)</f>
        <v>0</v>
      </c>
      <c r="Q1359" s="121">
        <f>IF(tech_base!$T175&gt;Q$1185,"",Q1639+Q1919)</f>
        <v>0</v>
      </c>
      <c r="R1359" s="121">
        <f>IF(tech_base!$T175&gt;R$1185,"",R1639+R1919)</f>
        <v>0</v>
      </c>
      <c r="S1359" s="121">
        <f>IF(tech_base!$T175&gt;S$1185,"",S1639+S1919)</f>
        <v>0</v>
      </c>
      <c r="T1359" s="121">
        <f>IF(tech_base!$T175&gt;T$1185,"",T1639+T1919)</f>
        <v>0</v>
      </c>
      <c r="U1359" s="121">
        <f>IF(tech_base!$T175&gt;U$1185,"",U1639+U1919)</f>
        <v>0</v>
      </c>
      <c r="V1359" s="121">
        <f>IF(tech_base!$T175&gt;V$1185,"",V1639+V1919)</f>
        <v>0</v>
      </c>
      <c r="W1359" s="121">
        <f>IF(tech_base!$T175&gt;W$1185,"",W1639+W1919)</f>
        <v>0</v>
      </c>
      <c r="X1359" s="121">
        <f>IF(tech_base!$T175&gt;X$1185,"",X1639+X1919)</f>
        <v>0</v>
      </c>
      <c r="Y1359" s="121">
        <f>IF(tech_base!$T175&gt;Y$1185,"",Y1639+Y1919)</f>
        <v>0</v>
      </c>
      <c r="Z1359" s="121">
        <f>IF(tech_base!$T175&gt;Z$1185,"",Z1639+Z1919)</f>
        <v>0</v>
      </c>
      <c r="AA1359" s="121">
        <f>IF(tech_base!$T175&gt;AA$1185,"",AA1639+AA1919)</f>
        <v>0</v>
      </c>
      <c r="AB1359" s="121">
        <f>IF(tech_base!$T175&gt;AB$1185,"",AB1639+AB1919)</f>
        <v>0</v>
      </c>
      <c r="AC1359" s="121">
        <f>IF(tech_base!$T175&gt;AC$1185,"",AC1639+AC1919)</f>
        <v>0</v>
      </c>
      <c r="AD1359" s="121">
        <f>IF(tech_base!$T175&gt;AD$1185,"",AD1639+AD1919)</f>
        <v>0</v>
      </c>
      <c r="AE1359" s="121">
        <f>IF(tech_base!$T175&gt;AE$1185,"",AE1639+AE1919)</f>
        <v>0</v>
      </c>
      <c r="AF1359" s="121">
        <f>IF(tech_base!$T175&gt;AF$1185,"",AF1639+AF1919)</f>
        <v>0</v>
      </c>
      <c r="AG1359" s="121">
        <f>IF(tech_base!$T175&gt;AG$1185,"",AG1639+AG1919)</f>
        <v>0</v>
      </c>
      <c r="AH1359" s="121">
        <f>IF(tech_base!$T175&gt;AH$1185,"",AH1639+AH1919)</f>
        <v>0</v>
      </c>
      <c r="AI1359" s="121">
        <f>IF(tech_base!$T175&gt;AI$1185,"",AI1639+AI1919)</f>
        <v>0</v>
      </c>
      <c r="AJ1359" s="121">
        <f>IF(tech_base!$T175&gt;AJ$1185,"",AJ1639+AJ1919)</f>
        <v>0</v>
      </c>
      <c r="AK1359" s="121">
        <f>IF(tech_base!$T175&gt;AK$1185,"",AK1639+AK1919)</f>
        <v>0</v>
      </c>
      <c r="AL1359" s="121">
        <f>IF(tech_base!$T175&gt;AL$1185,"",AL1639+AL1919)</f>
        <v>0</v>
      </c>
      <c r="AM1359" s="121">
        <f>IF(tech_base!$T175&gt;AM$1185,"",AM1639+AM1919)</f>
        <v>0</v>
      </c>
      <c r="AN1359" s="121">
        <f>IF(tech_base!$T175&gt;AN$1185,"",AN1639+AN1919)</f>
        <v>0</v>
      </c>
      <c r="AO1359" s="121">
        <f>IF(tech_base!$T175&gt;AO$1185,"",AO1639+AO1919)</f>
        <v>0</v>
      </c>
      <c r="AP1359" s="121">
        <f>IF(tech_base!$T175&gt;AP$1185,"",AP1639+AP1919)</f>
        <v>0</v>
      </c>
      <c r="AQ1359" s="121">
        <f>IF(tech_base!$T175&gt;AQ$1185,"",AQ1639+AQ1919)</f>
        <v>0</v>
      </c>
      <c r="AR1359" s="121">
        <f>IF(tech_base!$T175&gt;AR$1185,"",AR1639+AR1919)</f>
        <v>0</v>
      </c>
      <c r="AS1359" s="121">
        <f>IF(tech_base!$T175&gt;AS$1185,"",AS1639+AS1919)</f>
        <v>0</v>
      </c>
      <c r="AT1359" s="121">
        <f>IF(tech_base!$T175&gt;AT$1185,"",AT1639+AT1919)</f>
        <v>0</v>
      </c>
      <c r="AU1359" s="121">
        <f>IF(tech_base!$T175&gt;AU$1185,"",AU1639+AU1919)</f>
        <v>0</v>
      </c>
      <c r="AV1359" s="121">
        <f>IF(tech_base!$T175&gt;AV$1185,"",AV1639+AV1919)</f>
        <v>0</v>
      </c>
      <c r="AW1359" s="121">
        <f>IF(tech_base!$T175&gt;AW$1185,"",AW1639+AW1919)</f>
        <v>0</v>
      </c>
      <c r="AX1359" s="122">
        <f>IF(tech_base!$T175&gt;AX$1185,"",AX1639+AX1919)</f>
        <v>0</v>
      </c>
    </row>
    <row r="1360" spans="1:50" x14ac:dyDescent="0.25">
      <c r="A1360" s="356"/>
      <c r="B1360" s="376"/>
      <c r="C1360" s="379"/>
      <c r="D1360" s="2" t="s">
        <v>8</v>
      </c>
      <c r="E1360" s="160" t="str">
        <f>A1359&amp;"/"&amp;B1359&amp;"/"&amp;C1359&amp;"/"&amp;D1360</f>
        <v>Fuel oil fired power plants/Integrated gasification combined cycle/Electricity only/M</v>
      </c>
      <c r="F1360" s="76" t="str">
        <f>A1359</f>
        <v>Fuel oil fired power plants</v>
      </c>
      <c r="G1360" s="76" t="str">
        <f>B1359</f>
        <v>Integrated gasification combined cycle</v>
      </c>
      <c r="H1360" s="76" t="str">
        <f>C1359</f>
        <v>Electricity only</v>
      </c>
      <c r="I1360" s="161" t="str">
        <f t="shared" si="374"/>
        <v>M</v>
      </c>
      <c r="J1360" s="119">
        <f>IF(tech_base!$T176&gt;J$1185,"",J1640+J1920)</f>
        <v>0</v>
      </c>
      <c r="K1360" s="119">
        <f>IF(tech_base!$T176&gt;K$1185,"",K1640+K1920)</f>
        <v>0</v>
      </c>
      <c r="L1360" s="119">
        <f>IF(tech_base!$T176&gt;L$1185,"",L1640+L1920)</f>
        <v>0</v>
      </c>
      <c r="M1360" s="119">
        <f>IF(tech_base!$T176&gt;M$1185,"",M1640+M1920)</f>
        <v>0</v>
      </c>
      <c r="N1360" s="119">
        <f>IF(tech_base!$T176&gt;N$1185,"",N1640+N1920)</f>
        <v>0</v>
      </c>
      <c r="O1360" s="119">
        <f>IF(tech_base!$T176&gt;O$1185,"",O1640+O1920)</f>
        <v>0</v>
      </c>
      <c r="P1360" s="119">
        <f>IF(tech_base!$T176&gt;P$1185,"",P1640+P1920)</f>
        <v>0</v>
      </c>
      <c r="Q1360" s="119">
        <f>IF(tech_base!$T176&gt;Q$1185,"",Q1640+Q1920)</f>
        <v>0</v>
      </c>
      <c r="R1360" s="119">
        <f>IF(tech_base!$T176&gt;R$1185,"",R1640+R1920)</f>
        <v>0</v>
      </c>
      <c r="S1360" s="119">
        <f>IF(tech_base!$T176&gt;S$1185,"",S1640+S1920)</f>
        <v>0</v>
      </c>
      <c r="T1360" s="119">
        <f>IF(tech_base!$T176&gt;T$1185,"",T1640+T1920)</f>
        <v>0</v>
      </c>
      <c r="U1360" s="119">
        <f>IF(tech_base!$T176&gt;U$1185,"",U1640+U1920)</f>
        <v>0</v>
      </c>
      <c r="V1360" s="119">
        <f>IF(tech_base!$T176&gt;V$1185,"",V1640+V1920)</f>
        <v>0</v>
      </c>
      <c r="W1360" s="119">
        <f>IF(tech_base!$T176&gt;W$1185,"",W1640+W1920)</f>
        <v>0</v>
      </c>
      <c r="X1360" s="119">
        <f>IF(tech_base!$T176&gt;X$1185,"",X1640+X1920)</f>
        <v>0</v>
      </c>
      <c r="Y1360" s="119">
        <f>IF(tech_base!$T176&gt;Y$1185,"",Y1640+Y1920)</f>
        <v>0</v>
      </c>
      <c r="Z1360" s="119">
        <f>IF(tech_base!$T176&gt;Z$1185,"",Z1640+Z1920)</f>
        <v>0</v>
      </c>
      <c r="AA1360" s="119">
        <f>IF(tech_base!$T176&gt;AA$1185,"",AA1640+AA1920)</f>
        <v>0</v>
      </c>
      <c r="AB1360" s="119">
        <f>IF(tech_base!$T176&gt;AB$1185,"",AB1640+AB1920)</f>
        <v>0</v>
      </c>
      <c r="AC1360" s="119">
        <f>IF(tech_base!$T176&gt;AC$1185,"",AC1640+AC1920)</f>
        <v>0</v>
      </c>
      <c r="AD1360" s="119">
        <f>IF(tech_base!$T176&gt;AD$1185,"",AD1640+AD1920)</f>
        <v>0</v>
      </c>
      <c r="AE1360" s="119">
        <f>IF(tech_base!$T176&gt;AE$1185,"",AE1640+AE1920)</f>
        <v>0</v>
      </c>
      <c r="AF1360" s="119">
        <f>IF(tech_base!$T176&gt;AF$1185,"",AF1640+AF1920)</f>
        <v>0</v>
      </c>
      <c r="AG1360" s="119">
        <f>IF(tech_base!$T176&gt;AG$1185,"",AG1640+AG1920)</f>
        <v>0</v>
      </c>
      <c r="AH1360" s="119">
        <f>IF(tech_base!$T176&gt;AH$1185,"",AH1640+AH1920)</f>
        <v>0</v>
      </c>
      <c r="AI1360" s="119">
        <f>IF(tech_base!$T176&gt;AI$1185,"",AI1640+AI1920)</f>
        <v>0</v>
      </c>
      <c r="AJ1360" s="119">
        <f>IF(tech_base!$T176&gt;AJ$1185,"",AJ1640+AJ1920)</f>
        <v>0</v>
      </c>
      <c r="AK1360" s="119">
        <f>IF(tech_base!$T176&gt;AK$1185,"",AK1640+AK1920)</f>
        <v>0</v>
      </c>
      <c r="AL1360" s="119">
        <f>IF(tech_base!$T176&gt;AL$1185,"",AL1640+AL1920)</f>
        <v>0</v>
      </c>
      <c r="AM1360" s="119">
        <f>IF(tech_base!$T176&gt;AM$1185,"",AM1640+AM1920)</f>
        <v>0</v>
      </c>
      <c r="AN1360" s="119">
        <f>IF(tech_base!$T176&gt;AN$1185,"",AN1640+AN1920)</f>
        <v>0</v>
      </c>
      <c r="AO1360" s="119">
        <f>IF(tech_base!$T176&gt;AO$1185,"",AO1640+AO1920)</f>
        <v>0</v>
      </c>
      <c r="AP1360" s="119">
        <f>IF(tech_base!$T176&gt;AP$1185,"",AP1640+AP1920)</f>
        <v>0</v>
      </c>
      <c r="AQ1360" s="119">
        <f>IF(tech_base!$T176&gt;AQ$1185,"",AQ1640+AQ1920)</f>
        <v>0</v>
      </c>
      <c r="AR1360" s="119">
        <f>IF(tech_base!$T176&gt;AR$1185,"",AR1640+AR1920)</f>
        <v>0</v>
      </c>
      <c r="AS1360" s="119">
        <f>IF(tech_base!$T176&gt;AS$1185,"",AS1640+AS1920)</f>
        <v>0</v>
      </c>
      <c r="AT1360" s="119">
        <f>IF(tech_base!$T176&gt;AT$1185,"",AT1640+AT1920)</f>
        <v>0</v>
      </c>
      <c r="AU1360" s="119">
        <f>IF(tech_base!$T176&gt;AU$1185,"",AU1640+AU1920)</f>
        <v>0</v>
      </c>
      <c r="AV1360" s="119">
        <f>IF(tech_base!$T176&gt;AV$1185,"",AV1640+AV1920)</f>
        <v>0</v>
      </c>
      <c r="AW1360" s="119">
        <f>IF(tech_base!$T176&gt;AW$1185,"",AW1640+AW1920)</f>
        <v>0</v>
      </c>
      <c r="AX1360" s="120">
        <f>IF(tech_base!$T176&gt;AX$1185,"",AX1640+AX1920)</f>
        <v>0</v>
      </c>
    </row>
    <row r="1361" spans="1:50" x14ac:dyDescent="0.25">
      <c r="A1361" s="356"/>
      <c r="B1361" s="376"/>
      <c r="C1361" s="361" t="s">
        <v>14</v>
      </c>
      <c r="D1361" s="58" t="s">
        <v>7</v>
      </c>
      <c r="E1361" s="164" t="str">
        <f>A1359&amp;"/"&amp;B1359&amp;"/"&amp;C1361&amp;"/"&amp;D1361</f>
        <v>Fuel oil fired power plants/Integrated gasification combined cycle/CHP/L</v>
      </c>
      <c r="F1361" s="78" t="str">
        <f>A1359</f>
        <v>Fuel oil fired power plants</v>
      </c>
      <c r="G1361" s="78" t="str">
        <f>B1359</f>
        <v>Integrated gasification combined cycle</v>
      </c>
      <c r="H1361" s="78" t="str">
        <f>C1361</f>
        <v>CHP</v>
      </c>
      <c r="I1361" s="165" t="str">
        <f t="shared" si="374"/>
        <v>L</v>
      </c>
      <c r="J1361" s="123">
        <f>IF(tech_base!$T177&gt;J$1185,"",J1641+J1921)</f>
        <v>0</v>
      </c>
      <c r="K1361" s="123">
        <f>IF(tech_base!$T177&gt;K$1185,"",K1641+K1921)</f>
        <v>0</v>
      </c>
      <c r="L1361" s="123">
        <f>IF(tech_base!$T177&gt;L$1185,"",L1641+L1921)</f>
        <v>0</v>
      </c>
      <c r="M1361" s="123">
        <f>IF(tech_base!$T177&gt;M$1185,"",M1641+M1921)</f>
        <v>0</v>
      </c>
      <c r="N1361" s="123">
        <f>IF(tech_base!$T177&gt;N$1185,"",N1641+N1921)</f>
        <v>0</v>
      </c>
      <c r="O1361" s="123">
        <f>IF(tech_base!$T177&gt;O$1185,"",O1641+O1921)</f>
        <v>0</v>
      </c>
      <c r="P1361" s="123">
        <f>IF(tech_base!$T177&gt;P$1185,"",P1641+P1921)</f>
        <v>0</v>
      </c>
      <c r="Q1361" s="123">
        <f>IF(tech_base!$T177&gt;Q$1185,"",Q1641+Q1921)</f>
        <v>0</v>
      </c>
      <c r="R1361" s="123">
        <f>IF(tech_base!$T177&gt;R$1185,"",R1641+R1921)</f>
        <v>0</v>
      </c>
      <c r="S1361" s="123">
        <f>IF(tech_base!$T177&gt;S$1185,"",S1641+S1921)</f>
        <v>0</v>
      </c>
      <c r="T1361" s="123">
        <f>IF(tech_base!$T177&gt;T$1185,"",T1641+T1921)</f>
        <v>0</v>
      </c>
      <c r="U1361" s="123">
        <f>IF(tech_base!$T177&gt;U$1185,"",U1641+U1921)</f>
        <v>0</v>
      </c>
      <c r="V1361" s="123">
        <f>IF(tech_base!$T177&gt;V$1185,"",V1641+V1921)</f>
        <v>0</v>
      </c>
      <c r="W1361" s="123">
        <f>IF(tech_base!$T177&gt;W$1185,"",W1641+W1921)</f>
        <v>0</v>
      </c>
      <c r="X1361" s="123">
        <f>IF(tech_base!$T177&gt;X$1185,"",X1641+X1921)</f>
        <v>0</v>
      </c>
      <c r="Y1361" s="123">
        <f>IF(tech_base!$T177&gt;Y$1185,"",Y1641+Y1921)</f>
        <v>0</v>
      </c>
      <c r="Z1361" s="123">
        <f>IF(tech_base!$T177&gt;Z$1185,"",Z1641+Z1921)</f>
        <v>0</v>
      </c>
      <c r="AA1361" s="123">
        <f>IF(tech_base!$T177&gt;AA$1185,"",AA1641+AA1921)</f>
        <v>0</v>
      </c>
      <c r="AB1361" s="123">
        <f>IF(tech_base!$T177&gt;AB$1185,"",AB1641+AB1921)</f>
        <v>0</v>
      </c>
      <c r="AC1361" s="123">
        <f>IF(tech_base!$T177&gt;AC$1185,"",AC1641+AC1921)</f>
        <v>0</v>
      </c>
      <c r="AD1361" s="123">
        <f>IF(tech_base!$T177&gt;AD$1185,"",AD1641+AD1921)</f>
        <v>0</v>
      </c>
      <c r="AE1361" s="123">
        <f>IF(tech_base!$T177&gt;AE$1185,"",AE1641+AE1921)</f>
        <v>0</v>
      </c>
      <c r="AF1361" s="123">
        <f>IF(tech_base!$T177&gt;AF$1185,"",AF1641+AF1921)</f>
        <v>0</v>
      </c>
      <c r="AG1361" s="123">
        <f>IF(tech_base!$T177&gt;AG$1185,"",AG1641+AG1921)</f>
        <v>0</v>
      </c>
      <c r="AH1361" s="123">
        <f>IF(tech_base!$T177&gt;AH$1185,"",AH1641+AH1921)</f>
        <v>0</v>
      </c>
      <c r="AI1361" s="123">
        <f>IF(tech_base!$T177&gt;AI$1185,"",AI1641+AI1921)</f>
        <v>0</v>
      </c>
      <c r="AJ1361" s="123">
        <f>IF(tech_base!$T177&gt;AJ$1185,"",AJ1641+AJ1921)</f>
        <v>0</v>
      </c>
      <c r="AK1361" s="123">
        <f>IF(tech_base!$T177&gt;AK$1185,"",AK1641+AK1921)</f>
        <v>0</v>
      </c>
      <c r="AL1361" s="123">
        <f>IF(tech_base!$T177&gt;AL$1185,"",AL1641+AL1921)</f>
        <v>0</v>
      </c>
      <c r="AM1361" s="123">
        <f>IF(tech_base!$T177&gt;AM$1185,"",AM1641+AM1921)</f>
        <v>0</v>
      </c>
      <c r="AN1361" s="123">
        <f>IF(tech_base!$T177&gt;AN$1185,"",AN1641+AN1921)</f>
        <v>0</v>
      </c>
      <c r="AO1361" s="123">
        <f>IF(tech_base!$T177&gt;AO$1185,"",AO1641+AO1921)</f>
        <v>0</v>
      </c>
      <c r="AP1361" s="123">
        <f>IF(tech_base!$T177&gt;AP$1185,"",AP1641+AP1921)</f>
        <v>0</v>
      </c>
      <c r="AQ1361" s="123">
        <f>IF(tech_base!$T177&gt;AQ$1185,"",AQ1641+AQ1921)</f>
        <v>0</v>
      </c>
      <c r="AR1361" s="123">
        <f>IF(tech_base!$T177&gt;AR$1185,"",AR1641+AR1921)</f>
        <v>0</v>
      </c>
      <c r="AS1361" s="123">
        <f>IF(tech_base!$T177&gt;AS$1185,"",AS1641+AS1921)</f>
        <v>0</v>
      </c>
      <c r="AT1361" s="123">
        <f>IF(tech_base!$T177&gt;AT$1185,"",AT1641+AT1921)</f>
        <v>0</v>
      </c>
      <c r="AU1361" s="123">
        <f>IF(tech_base!$T177&gt;AU$1185,"",AU1641+AU1921)</f>
        <v>0</v>
      </c>
      <c r="AV1361" s="123">
        <f>IF(tech_base!$T177&gt;AV$1185,"",AV1641+AV1921)</f>
        <v>0</v>
      </c>
      <c r="AW1361" s="123">
        <f>IF(tech_base!$T177&gt;AW$1185,"",AW1641+AW1921)</f>
        <v>0</v>
      </c>
      <c r="AX1361" s="124">
        <f>IF(tech_base!$T177&gt;AX$1185,"",AX1641+AX1921)</f>
        <v>0</v>
      </c>
    </row>
    <row r="1362" spans="1:50" x14ac:dyDescent="0.25">
      <c r="A1362" s="356"/>
      <c r="B1362" s="376"/>
      <c r="C1362" s="379"/>
      <c r="D1362" s="59" t="s">
        <v>8</v>
      </c>
      <c r="E1362" s="166" t="str">
        <f>A1359&amp;"/"&amp;B1359&amp;"/"&amp;C1361&amp;"/"&amp;D1362</f>
        <v>Fuel oil fired power plants/Integrated gasification combined cycle/CHP/M</v>
      </c>
      <c r="F1362" s="79" t="str">
        <f>A1359</f>
        <v>Fuel oil fired power plants</v>
      </c>
      <c r="G1362" s="79" t="str">
        <f>B1359</f>
        <v>Integrated gasification combined cycle</v>
      </c>
      <c r="H1362" s="79" t="str">
        <f>C1361</f>
        <v>CHP</v>
      </c>
      <c r="I1362" s="167" t="str">
        <f t="shared" si="374"/>
        <v>M</v>
      </c>
      <c r="J1362" s="125">
        <f>IF(tech_base!$T178&gt;J$1185,"",J1642+J1922)</f>
        <v>0</v>
      </c>
      <c r="K1362" s="125">
        <f>IF(tech_base!$T178&gt;K$1185,"",K1642+K1922)</f>
        <v>0</v>
      </c>
      <c r="L1362" s="125">
        <f>IF(tech_base!$T178&gt;L$1185,"",L1642+L1922)</f>
        <v>0</v>
      </c>
      <c r="M1362" s="125">
        <f>IF(tech_base!$T178&gt;M$1185,"",M1642+M1922)</f>
        <v>0</v>
      </c>
      <c r="N1362" s="125">
        <f>IF(tech_base!$T178&gt;N$1185,"",N1642+N1922)</f>
        <v>0</v>
      </c>
      <c r="O1362" s="125">
        <f>IF(tech_base!$T178&gt;O$1185,"",O1642+O1922)</f>
        <v>0</v>
      </c>
      <c r="P1362" s="125">
        <f>IF(tech_base!$T178&gt;P$1185,"",P1642+P1922)</f>
        <v>0</v>
      </c>
      <c r="Q1362" s="125">
        <f>IF(tech_base!$T178&gt;Q$1185,"",Q1642+Q1922)</f>
        <v>0</v>
      </c>
      <c r="R1362" s="125">
        <f>IF(tech_base!$T178&gt;R$1185,"",R1642+R1922)</f>
        <v>0</v>
      </c>
      <c r="S1362" s="125">
        <f>IF(tech_base!$T178&gt;S$1185,"",S1642+S1922)</f>
        <v>0</v>
      </c>
      <c r="T1362" s="125">
        <f>IF(tech_base!$T178&gt;T$1185,"",T1642+T1922)</f>
        <v>0</v>
      </c>
      <c r="U1362" s="125">
        <f>IF(tech_base!$T178&gt;U$1185,"",U1642+U1922)</f>
        <v>0</v>
      </c>
      <c r="V1362" s="125">
        <f>IF(tech_base!$T178&gt;V$1185,"",V1642+V1922)</f>
        <v>0</v>
      </c>
      <c r="W1362" s="125">
        <f>IF(tech_base!$T178&gt;W$1185,"",W1642+W1922)</f>
        <v>0</v>
      </c>
      <c r="X1362" s="125">
        <f>IF(tech_base!$T178&gt;X$1185,"",X1642+X1922)</f>
        <v>0</v>
      </c>
      <c r="Y1362" s="125">
        <f>IF(tech_base!$T178&gt;Y$1185,"",Y1642+Y1922)</f>
        <v>0</v>
      </c>
      <c r="Z1362" s="125">
        <f>IF(tech_base!$T178&gt;Z$1185,"",Z1642+Z1922)</f>
        <v>0</v>
      </c>
      <c r="AA1362" s="125">
        <f>IF(tech_base!$T178&gt;AA$1185,"",AA1642+AA1922)</f>
        <v>0</v>
      </c>
      <c r="AB1362" s="125">
        <f>IF(tech_base!$T178&gt;AB$1185,"",AB1642+AB1922)</f>
        <v>0</v>
      </c>
      <c r="AC1362" s="125">
        <f>IF(tech_base!$T178&gt;AC$1185,"",AC1642+AC1922)</f>
        <v>0</v>
      </c>
      <c r="AD1362" s="125">
        <f>IF(tech_base!$T178&gt;AD$1185,"",AD1642+AD1922)</f>
        <v>0</v>
      </c>
      <c r="AE1362" s="125">
        <f>IF(tech_base!$T178&gt;AE$1185,"",AE1642+AE1922)</f>
        <v>0</v>
      </c>
      <c r="AF1362" s="125">
        <f>IF(tech_base!$T178&gt;AF$1185,"",AF1642+AF1922)</f>
        <v>0</v>
      </c>
      <c r="AG1362" s="125">
        <f>IF(tech_base!$T178&gt;AG$1185,"",AG1642+AG1922)</f>
        <v>0</v>
      </c>
      <c r="AH1362" s="125">
        <f>IF(tech_base!$T178&gt;AH$1185,"",AH1642+AH1922)</f>
        <v>0</v>
      </c>
      <c r="AI1362" s="125">
        <f>IF(tech_base!$T178&gt;AI$1185,"",AI1642+AI1922)</f>
        <v>0</v>
      </c>
      <c r="AJ1362" s="125">
        <f>IF(tech_base!$T178&gt;AJ$1185,"",AJ1642+AJ1922)</f>
        <v>0</v>
      </c>
      <c r="AK1362" s="125">
        <f>IF(tech_base!$T178&gt;AK$1185,"",AK1642+AK1922)</f>
        <v>0</v>
      </c>
      <c r="AL1362" s="125">
        <f>IF(tech_base!$T178&gt;AL$1185,"",AL1642+AL1922)</f>
        <v>0</v>
      </c>
      <c r="AM1362" s="125">
        <f>IF(tech_base!$T178&gt;AM$1185,"",AM1642+AM1922)</f>
        <v>0</v>
      </c>
      <c r="AN1362" s="125">
        <f>IF(tech_base!$T178&gt;AN$1185,"",AN1642+AN1922)</f>
        <v>0</v>
      </c>
      <c r="AO1362" s="125">
        <f>IF(tech_base!$T178&gt;AO$1185,"",AO1642+AO1922)</f>
        <v>0</v>
      </c>
      <c r="AP1362" s="125">
        <f>IF(tech_base!$T178&gt;AP$1185,"",AP1642+AP1922)</f>
        <v>0</v>
      </c>
      <c r="AQ1362" s="125">
        <f>IF(tech_base!$T178&gt;AQ$1185,"",AQ1642+AQ1922)</f>
        <v>0</v>
      </c>
      <c r="AR1362" s="125">
        <f>IF(tech_base!$T178&gt;AR$1185,"",AR1642+AR1922)</f>
        <v>0</v>
      </c>
      <c r="AS1362" s="125">
        <f>IF(tech_base!$T178&gt;AS$1185,"",AS1642+AS1922)</f>
        <v>0</v>
      </c>
      <c r="AT1362" s="125">
        <f>IF(tech_base!$T178&gt;AT$1185,"",AT1642+AT1922)</f>
        <v>0</v>
      </c>
      <c r="AU1362" s="125">
        <f>IF(tech_base!$T178&gt;AU$1185,"",AU1642+AU1922)</f>
        <v>0</v>
      </c>
      <c r="AV1362" s="125">
        <f>IF(tech_base!$T178&gt;AV$1185,"",AV1642+AV1922)</f>
        <v>0</v>
      </c>
      <c r="AW1362" s="125">
        <f>IF(tech_base!$T178&gt;AW$1185,"",AW1642+AW1922)</f>
        <v>0</v>
      </c>
      <c r="AX1362" s="126">
        <f>IF(tech_base!$T178&gt;AX$1185,"",AX1642+AX1922)</f>
        <v>0</v>
      </c>
    </row>
    <row r="1363" spans="1:50" x14ac:dyDescent="0.25">
      <c r="A1363" s="356"/>
      <c r="B1363" s="376"/>
      <c r="C1363" s="361" t="s">
        <v>15</v>
      </c>
      <c r="D1363" s="58" t="s">
        <v>7</v>
      </c>
      <c r="E1363" s="164" t="str">
        <f>A1359&amp;"/"&amp;B1359&amp;"/"&amp;C1363&amp;"/"&amp;D1363</f>
        <v>Fuel oil fired power plants/Integrated gasification combined cycle/Electricity only with CCS/L</v>
      </c>
      <c r="F1363" s="78" t="str">
        <f>A1359</f>
        <v>Fuel oil fired power plants</v>
      </c>
      <c r="G1363" s="78" t="str">
        <f>B1359</f>
        <v>Integrated gasification combined cycle</v>
      </c>
      <c r="H1363" s="78" t="str">
        <f>C1363</f>
        <v>Electricity only with CCS</v>
      </c>
      <c r="I1363" s="165" t="str">
        <f t="shared" si="374"/>
        <v>L</v>
      </c>
      <c r="J1363" s="123" t="str">
        <f>IF(tech_base!$T179&gt;J$1185,"",J1643+J1923)</f>
        <v/>
      </c>
      <c r="K1363" s="123" t="str">
        <f>IF(tech_base!$T179&gt;K$1185,"",K1643+K1923)</f>
        <v/>
      </c>
      <c r="L1363" s="123" t="str">
        <f>IF(tech_base!$T179&gt;L$1185,"",L1643+L1923)</f>
        <v/>
      </c>
      <c r="M1363" s="123" t="str">
        <f>IF(tech_base!$T179&gt;M$1185,"",M1643+M1923)</f>
        <v/>
      </c>
      <c r="N1363" s="123" t="str">
        <f>IF(tech_base!$T179&gt;N$1185,"",N1643+N1923)</f>
        <v/>
      </c>
      <c r="O1363" s="123" t="str">
        <f>IF(tech_base!$T179&gt;O$1185,"",O1643+O1923)</f>
        <v/>
      </c>
      <c r="P1363" s="123" t="str">
        <f>IF(tech_base!$T179&gt;P$1185,"",P1643+P1923)</f>
        <v/>
      </c>
      <c r="Q1363" s="123" t="str">
        <f>IF(tech_base!$T179&gt;Q$1185,"",Q1643+Q1923)</f>
        <v/>
      </c>
      <c r="R1363" s="123" t="str">
        <f>IF(tech_base!$T179&gt;R$1185,"",R1643+R1923)</f>
        <v/>
      </c>
      <c r="S1363" s="123" t="str">
        <f>IF(tech_base!$T179&gt;S$1185,"",S1643+S1923)</f>
        <v/>
      </c>
      <c r="T1363" s="123" t="str">
        <f>IF(tech_base!$T179&gt;T$1185,"",T1643+T1923)</f>
        <v/>
      </c>
      <c r="U1363" s="123" t="str">
        <f>IF(tech_base!$T179&gt;U$1185,"",U1643+U1923)</f>
        <v/>
      </c>
      <c r="V1363" s="123" t="str">
        <f>IF(tech_base!$T179&gt;V$1185,"",V1643+V1923)</f>
        <v/>
      </c>
      <c r="W1363" s="123" t="str">
        <f>IF(tech_base!$T179&gt;W$1185,"",W1643+W1923)</f>
        <v/>
      </c>
      <c r="X1363" s="123" t="str">
        <f>IF(tech_base!$T179&gt;X$1185,"",X1643+X1923)</f>
        <v/>
      </c>
      <c r="Y1363" s="123" t="str">
        <f>IF(tech_base!$T179&gt;Y$1185,"",Y1643+Y1923)</f>
        <v/>
      </c>
      <c r="Z1363" s="123" t="str">
        <f>IF(tech_base!$T179&gt;Z$1185,"",Z1643+Z1923)</f>
        <v/>
      </c>
      <c r="AA1363" s="123" t="str">
        <f>IF(tech_base!$T179&gt;AA$1185,"",AA1643+AA1923)</f>
        <v/>
      </c>
      <c r="AB1363" s="123" t="str">
        <f>IF(tech_base!$T179&gt;AB$1185,"",AB1643+AB1923)</f>
        <v/>
      </c>
      <c r="AC1363" s="123" t="str">
        <f>IF(tech_base!$T179&gt;AC$1185,"",AC1643+AC1923)</f>
        <v/>
      </c>
      <c r="AD1363" s="123" t="str">
        <f>IF(tech_base!$T179&gt;AD$1185,"",AD1643+AD1923)</f>
        <v/>
      </c>
      <c r="AE1363" s="123">
        <f>IF(tech_base!$T179&gt;AE$1185,"",AE1643+AE1923)</f>
        <v>7.4306751794917281</v>
      </c>
      <c r="AF1363" s="123">
        <f>IF(tech_base!$T179&gt;AF$1185,"",AF1643+AF1923)</f>
        <v>7.4306751794917281</v>
      </c>
      <c r="AG1363" s="123">
        <f>IF(tech_base!$T179&gt;AG$1185,"",AG1643+AG1923)</f>
        <v>7.4306751794917281</v>
      </c>
      <c r="AH1363" s="123">
        <f>IF(tech_base!$T179&gt;AH$1185,"",AH1643+AH1923)</f>
        <v>7.4306751794917281</v>
      </c>
      <c r="AI1363" s="123">
        <f>IF(tech_base!$T179&gt;AI$1185,"",AI1643+AI1923)</f>
        <v>7.4306751794917281</v>
      </c>
      <c r="AJ1363" s="123">
        <f>IF(tech_base!$T179&gt;AJ$1185,"",AJ1643+AJ1923)</f>
        <v>7.4306751794917281</v>
      </c>
      <c r="AK1363" s="123">
        <f>IF(tech_base!$T179&gt;AK$1185,"",AK1643+AK1923)</f>
        <v>7.4306751794917281</v>
      </c>
      <c r="AL1363" s="123">
        <f>IF(tech_base!$T179&gt;AL$1185,"",AL1643+AL1923)</f>
        <v>7.4306751794917281</v>
      </c>
      <c r="AM1363" s="123">
        <f>IF(tech_base!$T179&gt;AM$1185,"",AM1643+AM1923)</f>
        <v>7.4306751794917281</v>
      </c>
      <c r="AN1363" s="123">
        <f>IF(tech_base!$T179&gt;AN$1185,"",AN1643+AN1923)</f>
        <v>7.4306751794917281</v>
      </c>
      <c r="AO1363" s="123">
        <f>IF(tech_base!$T179&gt;AO$1185,"",AO1643+AO1923)</f>
        <v>7.4306751794917281</v>
      </c>
      <c r="AP1363" s="123">
        <f>IF(tech_base!$T179&gt;AP$1185,"",AP1643+AP1923)</f>
        <v>7.4306751794917281</v>
      </c>
      <c r="AQ1363" s="123">
        <f>IF(tech_base!$T179&gt;AQ$1185,"",AQ1643+AQ1923)</f>
        <v>7.4306751794917281</v>
      </c>
      <c r="AR1363" s="123">
        <f>IF(tech_base!$T179&gt;AR$1185,"",AR1643+AR1923)</f>
        <v>7.4306751794917281</v>
      </c>
      <c r="AS1363" s="123">
        <f>IF(tech_base!$T179&gt;AS$1185,"",AS1643+AS1923)</f>
        <v>7.4300067212425027</v>
      </c>
      <c r="AT1363" s="123">
        <f>IF(tech_base!$T179&gt;AT$1185,"",AT1643+AT1923)</f>
        <v>7.4295790297196609</v>
      </c>
      <c r="AU1363" s="123">
        <f>IF(tech_base!$T179&gt;AU$1185,"",AU1643+AU1923)</f>
        <v>7.4288838867600662</v>
      </c>
      <c r="AV1363" s="123">
        <f>IF(tech_base!$T179&gt;AV$1185,"",AV1643+AV1923)</f>
        <v>7.4277642191102409</v>
      </c>
      <c r="AW1363" s="123">
        <f>IF(tech_base!$T179&gt;AW$1185,"",AW1643+AW1923)</f>
        <v>7.4259868184764661</v>
      </c>
      <c r="AX1363" s="124">
        <f>IF(tech_base!$T179&gt;AX$1185,"",AX1643+AX1923)</f>
        <v>7.4232295982211864</v>
      </c>
    </row>
    <row r="1364" spans="1:50" x14ac:dyDescent="0.25">
      <c r="A1364" s="356"/>
      <c r="B1364" s="376"/>
      <c r="C1364" s="379"/>
      <c r="D1364" s="59" t="s">
        <v>8</v>
      </c>
      <c r="E1364" s="166" t="str">
        <f>A1359&amp;"/"&amp;B1359&amp;"/"&amp;C1363&amp;"/"&amp;D1364</f>
        <v>Fuel oil fired power plants/Integrated gasification combined cycle/Electricity only with CCS/M</v>
      </c>
      <c r="F1364" s="79" t="str">
        <f>A1359</f>
        <v>Fuel oil fired power plants</v>
      </c>
      <c r="G1364" s="79" t="str">
        <f>B1359</f>
        <v>Integrated gasification combined cycle</v>
      </c>
      <c r="H1364" s="79" t="str">
        <f>C1363</f>
        <v>Electricity only with CCS</v>
      </c>
      <c r="I1364" s="167" t="str">
        <f t="shared" si="374"/>
        <v>M</v>
      </c>
      <c r="J1364" s="125" t="str">
        <f>IF(tech_base!$T180&gt;J$1185,"",J1644+J1924)</f>
        <v/>
      </c>
      <c r="K1364" s="125" t="str">
        <f>IF(tech_base!$T180&gt;K$1185,"",K1644+K1924)</f>
        <v/>
      </c>
      <c r="L1364" s="125" t="str">
        <f>IF(tech_base!$T180&gt;L$1185,"",L1644+L1924)</f>
        <v/>
      </c>
      <c r="M1364" s="125" t="str">
        <f>IF(tech_base!$T180&gt;M$1185,"",M1644+M1924)</f>
        <v/>
      </c>
      <c r="N1364" s="125" t="str">
        <f>IF(tech_base!$T180&gt;N$1185,"",N1644+N1924)</f>
        <v/>
      </c>
      <c r="O1364" s="125" t="str">
        <f>IF(tech_base!$T180&gt;O$1185,"",O1644+O1924)</f>
        <v/>
      </c>
      <c r="P1364" s="125" t="str">
        <f>IF(tech_base!$T180&gt;P$1185,"",P1644+P1924)</f>
        <v/>
      </c>
      <c r="Q1364" s="125" t="str">
        <f>IF(tech_base!$T180&gt;Q$1185,"",Q1644+Q1924)</f>
        <v/>
      </c>
      <c r="R1364" s="125" t="str">
        <f>IF(tech_base!$T180&gt;R$1185,"",R1644+R1924)</f>
        <v/>
      </c>
      <c r="S1364" s="125" t="str">
        <f>IF(tech_base!$T180&gt;S$1185,"",S1644+S1924)</f>
        <v/>
      </c>
      <c r="T1364" s="125" t="str">
        <f>IF(tech_base!$T180&gt;T$1185,"",T1644+T1924)</f>
        <v/>
      </c>
      <c r="U1364" s="125" t="str">
        <f>IF(tech_base!$T180&gt;U$1185,"",U1644+U1924)</f>
        <v/>
      </c>
      <c r="V1364" s="125" t="str">
        <f>IF(tech_base!$T180&gt;V$1185,"",V1644+V1924)</f>
        <v/>
      </c>
      <c r="W1364" s="125" t="str">
        <f>IF(tech_base!$T180&gt;W$1185,"",W1644+W1924)</f>
        <v/>
      </c>
      <c r="X1364" s="125" t="str">
        <f>IF(tech_base!$T180&gt;X$1185,"",X1644+X1924)</f>
        <v/>
      </c>
      <c r="Y1364" s="125" t="str">
        <f>IF(tech_base!$T180&gt;Y$1185,"",Y1644+Y1924)</f>
        <v/>
      </c>
      <c r="Z1364" s="125" t="str">
        <f>IF(tech_base!$T180&gt;Z$1185,"",Z1644+Z1924)</f>
        <v/>
      </c>
      <c r="AA1364" s="125" t="str">
        <f>IF(tech_base!$T180&gt;AA$1185,"",AA1644+AA1924)</f>
        <v/>
      </c>
      <c r="AB1364" s="125" t="str">
        <f>IF(tech_base!$T180&gt;AB$1185,"",AB1644+AB1924)</f>
        <v/>
      </c>
      <c r="AC1364" s="125" t="str">
        <f>IF(tech_base!$T180&gt;AC$1185,"",AC1644+AC1924)</f>
        <v/>
      </c>
      <c r="AD1364" s="125" t="str">
        <f>IF(tech_base!$T180&gt;AD$1185,"",AD1644+AD1924)</f>
        <v/>
      </c>
      <c r="AE1364" s="125">
        <f>IF(tech_base!$T180&gt;AE$1185,"",AE1644+AE1924)</f>
        <v>7.8958701260111726</v>
      </c>
      <c r="AF1364" s="125">
        <f>IF(tech_base!$T180&gt;AF$1185,"",AF1644+AF1924)</f>
        <v>7.8958701260111726</v>
      </c>
      <c r="AG1364" s="125">
        <f>IF(tech_base!$T180&gt;AG$1185,"",AG1644+AG1924)</f>
        <v>7.8958701260111726</v>
      </c>
      <c r="AH1364" s="125">
        <f>IF(tech_base!$T180&gt;AH$1185,"",AH1644+AH1924)</f>
        <v>7.8958701260111726</v>
      </c>
      <c r="AI1364" s="125">
        <f>IF(tech_base!$T180&gt;AI$1185,"",AI1644+AI1924)</f>
        <v>7.8958701260111726</v>
      </c>
      <c r="AJ1364" s="125">
        <f>IF(tech_base!$T180&gt;AJ$1185,"",AJ1644+AJ1924)</f>
        <v>7.8958701260111726</v>
      </c>
      <c r="AK1364" s="125">
        <f>IF(tech_base!$T180&gt;AK$1185,"",AK1644+AK1924)</f>
        <v>7.8958701260111726</v>
      </c>
      <c r="AL1364" s="125">
        <f>IF(tech_base!$T180&gt;AL$1185,"",AL1644+AL1924)</f>
        <v>7.8958701260111726</v>
      </c>
      <c r="AM1364" s="125">
        <f>IF(tech_base!$T180&gt;AM$1185,"",AM1644+AM1924)</f>
        <v>7.8958701260111726</v>
      </c>
      <c r="AN1364" s="125">
        <f>IF(tech_base!$T180&gt;AN$1185,"",AN1644+AN1924)</f>
        <v>7.8958701260111726</v>
      </c>
      <c r="AO1364" s="125">
        <f>IF(tech_base!$T180&gt;AO$1185,"",AO1644+AO1924)</f>
        <v>7.8958701260111726</v>
      </c>
      <c r="AP1364" s="125">
        <f>IF(tech_base!$T180&gt;AP$1185,"",AP1644+AP1924)</f>
        <v>7.8958701260111726</v>
      </c>
      <c r="AQ1364" s="125">
        <f>IF(tech_base!$T180&gt;AQ$1185,"",AQ1644+AQ1924)</f>
        <v>7.8958701260111726</v>
      </c>
      <c r="AR1364" s="125">
        <f>IF(tech_base!$T180&gt;AR$1185,"",AR1644+AR1924)</f>
        <v>7.8958701260111726</v>
      </c>
      <c r="AS1364" s="125">
        <f>IF(tech_base!$T180&gt;AS$1185,"",AS1644+AS1924)</f>
        <v>7.8951598191557304</v>
      </c>
      <c r="AT1364" s="125">
        <f>IF(tech_base!$T180&gt;AT$1185,"",AT1644+AT1924)</f>
        <v>7.8947053521474473</v>
      </c>
      <c r="AU1364" s="125">
        <f>IF(tech_base!$T180&gt;AU$1185,"",AU1644+AU1924)</f>
        <v>7.8939666899942287</v>
      </c>
      <c r="AV1364" s="125">
        <f>IF(tech_base!$T180&gt;AV$1185,"",AV1644+AV1924)</f>
        <v>7.8927769259238341</v>
      </c>
      <c r="AW1364" s="125">
        <f>IF(tech_base!$T180&gt;AW$1185,"",AW1644+AW1924)</f>
        <v>7.8908882517149408</v>
      </c>
      <c r="AX1364" s="126">
        <f>IF(tech_base!$T180&gt;AX$1185,"",AX1644+AX1924)</f>
        <v>7.8879584166032419</v>
      </c>
    </row>
    <row r="1365" spans="1:50" x14ac:dyDescent="0.25">
      <c r="A1365" s="356"/>
      <c r="B1365" s="376"/>
      <c r="C1365" s="361" t="s">
        <v>16</v>
      </c>
      <c r="D1365" s="2" t="s">
        <v>7</v>
      </c>
      <c r="E1365" s="160" t="str">
        <f>A1359&amp;"/"&amp;B1359&amp;"/"&amp;C1365&amp;"/"&amp;D1365</f>
        <v>Fuel oil fired power plants/Integrated gasification combined cycle/CHP with CCS/L</v>
      </c>
      <c r="F1365" s="76" t="str">
        <f>A1359</f>
        <v>Fuel oil fired power plants</v>
      </c>
      <c r="G1365" s="76" t="str">
        <f>B1359</f>
        <v>Integrated gasification combined cycle</v>
      </c>
      <c r="H1365" s="76" t="str">
        <f>C1365</f>
        <v>CHP with CCS</v>
      </c>
      <c r="I1365" s="161" t="str">
        <f t="shared" si="374"/>
        <v>L</v>
      </c>
      <c r="J1365" s="119" t="str">
        <f>IF(tech_base!$T181&gt;J$1185,"",J1645+J1925)</f>
        <v/>
      </c>
      <c r="K1365" s="119" t="str">
        <f>IF(tech_base!$T181&gt;K$1185,"",K1645+K1925)</f>
        <v/>
      </c>
      <c r="L1365" s="119" t="str">
        <f>IF(tech_base!$T181&gt;L$1185,"",L1645+L1925)</f>
        <v/>
      </c>
      <c r="M1365" s="119" t="str">
        <f>IF(tech_base!$T181&gt;M$1185,"",M1645+M1925)</f>
        <v/>
      </c>
      <c r="N1365" s="119" t="str">
        <f>IF(tech_base!$T181&gt;N$1185,"",N1645+N1925)</f>
        <v/>
      </c>
      <c r="O1365" s="119" t="str">
        <f>IF(tech_base!$T181&gt;O$1185,"",O1645+O1925)</f>
        <v/>
      </c>
      <c r="P1365" s="119" t="str">
        <f>IF(tech_base!$T181&gt;P$1185,"",P1645+P1925)</f>
        <v/>
      </c>
      <c r="Q1365" s="119" t="str">
        <f>IF(tech_base!$T181&gt;Q$1185,"",Q1645+Q1925)</f>
        <v/>
      </c>
      <c r="R1365" s="119" t="str">
        <f>IF(tech_base!$T181&gt;R$1185,"",R1645+R1925)</f>
        <v/>
      </c>
      <c r="S1365" s="119" t="str">
        <f>IF(tech_base!$T181&gt;S$1185,"",S1645+S1925)</f>
        <v/>
      </c>
      <c r="T1365" s="119" t="str">
        <f>IF(tech_base!$T181&gt;T$1185,"",T1645+T1925)</f>
        <v/>
      </c>
      <c r="U1365" s="119" t="str">
        <f>IF(tech_base!$T181&gt;U$1185,"",U1645+U1925)</f>
        <v/>
      </c>
      <c r="V1365" s="119" t="str">
        <f>IF(tech_base!$T181&gt;V$1185,"",V1645+V1925)</f>
        <v/>
      </c>
      <c r="W1365" s="119" t="str">
        <f>IF(tech_base!$T181&gt;W$1185,"",W1645+W1925)</f>
        <v/>
      </c>
      <c r="X1365" s="119" t="str">
        <f>IF(tech_base!$T181&gt;X$1185,"",X1645+X1925)</f>
        <v/>
      </c>
      <c r="Y1365" s="119" t="str">
        <f>IF(tech_base!$T181&gt;Y$1185,"",Y1645+Y1925)</f>
        <v/>
      </c>
      <c r="Z1365" s="119" t="str">
        <f>IF(tech_base!$T181&gt;Z$1185,"",Z1645+Z1925)</f>
        <v/>
      </c>
      <c r="AA1365" s="119" t="str">
        <f>IF(tech_base!$T181&gt;AA$1185,"",AA1645+AA1925)</f>
        <v/>
      </c>
      <c r="AB1365" s="119" t="str">
        <f>IF(tech_base!$T181&gt;AB$1185,"",AB1645+AB1925)</f>
        <v/>
      </c>
      <c r="AC1365" s="119" t="str">
        <f>IF(tech_base!$T181&gt;AC$1185,"",AC1645+AC1925)</f>
        <v/>
      </c>
      <c r="AD1365" s="119" t="str">
        <f>IF(tech_base!$T181&gt;AD$1185,"",AD1645+AD1925)</f>
        <v/>
      </c>
      <c r="AE1365" s="119">
        <f>IF(tech_base!$T181&gt;AE$1185,"",AE1645+AE1925)</f>
        <v>8.3723695912386127</v>
      </c>
      <c r="AF1365" s="119">
        <f>IF(tech_base!$T181&gt;AF$1185,"",AF1645+AF1925)</f>
        <v>8.3723695912386127</v>
      </c>
      <c r="AG1365" s="119">
        <f>IF(tech_base!$T181&gt;AG$1185,"",AG1645+AG1925)</f>
        <v>8.3723695912386127</v>
      </c>
      <c r="AH1365" s="119">
        <f>IF(tech_base!$T181&gt;AH$1185,"",AH1645+AH1925)</f>
        <v>8.3723695912386127</v>
      </c>
      <c r="AI1365" s="119">
        <f>IF(tech_base!$T181&gt;AI$1185,"",AI1645+AI1925)</f>
        <v>8.3723695912386127</v>
      </c>
      <c r="AJ1365" s="119">
        <f>IF(tech_base!$T181&gt;AJ$1185,"",AJ1645+AJ1925)</f>
        <v>8.3723695912386127</v>
      </c>
      <c r="AK1365" s="119">
        <f>IF(tech_base!$T181&gt;AK$1185,"",AK1645+AK1925)</f>
        <v>8.3723695912386127</v>
      </c>
      <c r="AL1365" s="119">
        <f>IF(tech_base!$T181&gt;AL$1185,"",AL1645+AL1925)</f>
        <v>8.3723695912386127</v>
      </c>
      <c r="AM1365" s="119">
        <f>IF(tech_base!$T181&gt;AM$1185,"",AM1645+AM1925)</f>
        <v>8.3723695912386127</v>
      </c>
      <c r="AN1365" s="119">
        <f>IF(tech_base!$T181&gt;AN$1185,"",AN1645+AN1925)</f>
        <v>8.3723695912386127</v>
      </c>
      <c r="AO1365" s="119">
        <f>IF(tech_base!$T181&gt;AO$1185,"",AO1645+AO1925)</f>
        <v>8.3723695912386127</v>
      </c>
      <c r="AP1365" s="119">
        <f>IF(tech_base!$T181&gt;AP$1185,"",AP1645+AP1925)</f>
        <v>8.3723695912386127</v>
      </c>
      <c r="AQ1365" s="119">
        <f>IF(tech_base!$T181&gt;AQ$1185,"",AQ1645+AQ1925)</f>
        <v>8.3723695912386127</v>
      </c>
      <c r="AR1365" s="119">
        <f>IF(tech_base!$T181&gt;AR$1185,"",AR1645+AR1925)</f>
        <v>8.3723695912386127</v>
      </c>
      <c r="AS1365" s="119">
        <f>IF(tech_base!$T181&gt;AS$1185,"",AS1645+AS1925)</f>
        <v>8.3716164188305022</v>
      </c>
      <c r="AT1365" s="119">
        <f>IF(tech_base!$T181&gt;AT$1185,"",AT1645+AT1925)</f>
        <v>8.3711345256762772</v>
      </c>
      <c r="AU1365" s="119">
        <f>IF(tech_base!$T181&gt;AU$1185,"",AU1645+AU1925)</f>
        <v>8.370351286786688</v>
      </c>
      <c r="AV1365" s="119">
        <f>IF(tech_base!$T181&gt;AV$1185,"",AV1645+AV1925)</f>
        <v>8.3690897229102923</v>
      </c>
      <c r="AW1365" s="119">
        <f>IF(tech_base!$T181&gt;AW$1185,"",AW1645+AW1925)</f>
        <v>8.367087071111067</v>
      </c>
      <c r="AX1365" s="120">
        <f>IF(tech_base!$T181&gt;AX$1185,"",AX1645+AX1925)</f>
        <v>8.3639804264974842</v>
      </c>
    </row>
    <row r="1366" spans="1:50" x14ac:dyDescent="0.25">
      <c r="A1366" s="356"/>
      <c r="B1366" s="380"/>
      <c r="C1366" s="354"/>
      <c r="D1366" s="4" t="s">
        <v>8</v>
      </c>
      <c r="E1366" s="168" t="str">
        <f>A1359&amp;"/"&amp;B1359&amp;"/"&amp;C1365&amp;"/"&amp;D1366</f>
        <v>Fuel oil fired power plants/Integrated gasification combined cycle/CHP with CCS/M</v>
      </c>
      <c r="F1366" s="80" t="str">
        <f>A1359</f>
        <v>Fuel oil fired power plants</v>
      </c>
      <c r="G1366" s="80" t="str">
        <f>B1359</f>
        <v>Integrated gasification combined cycle</v>
      </c>
      <c r="H1366" s="80" t="str">
        <f>C1365</f>
        <v>CHP with CCS</v>
      </c>
      <c r="I1366" s="169" t="str">
        <f t="shared" si="374"/>
        <v>M</v>
      </c>
      <c r="J1366" s="127" t="str">
        <f>IF(tech_base!$T182&gt;J$1185,"",J1646+J1926)</f>
        <v/>
      </c>
      <c r="K1366" s="127" t="str">
        <f>IF(tech_base!$T182&gt;K$1185,"",K1646+K1926)</f>
        <v/>
      </c>
      <c r="L1366" s="127" t="str">
        <f>IF(tech_base!$T182&gt;L$1185,"",L1646+L1926)</f>
        <v/>
      </c>
      <c r="M1366" s="127" t="str">
        <f>IF(tech_base!$T182&gt;M$1185,"",M1646+M1926)</f>
        <v/>
      </c>
      <c r="N1366" s="127" t="str">
        <f>IF(tech_base!$T182&gt;N$1185,"",N1646+N1926)</f>
        <v/>
      </c>
      <c r="O1366" s="127" t="str">
        <f>IF(tech_base!$T182&gt;O$1185,"",O1646+O1926)</f>
        <v/>
      </c>
      <c r="P1366" s="127" t="str">
        <f>IF(tech_base!$T182&gt;P$1185,"",P1646+P1926)</f>
        <v/>
      </c>
      <c r="Q1366" s="127" t="str">
        <f>IF(tech_base!$T182&gt;Q$1185,"",Q1646+Q1926)</f>
        <v/>
      </c>
      <c r="R1366" s="127" t="str">
        <f>IF(tech_base!$T182&gt;R$1185,"",R1646+R1926)</f>
        <v/>
      </c>
      <c r="S1366" s="127" t="str">
        <f>IF(tech_base!$T182&gt;S$1185,"",S1646+S1926)</f>
        <v/>
      </c>
      <c r="T1366" s="127" t="str">
        <f>IF(tech_base!$T182&gt;T$1185,"",T1646+T1926)</f>
        <v/>
      </c>
      <c r="U1366" s="127" t="str">
        <f>IF(tech_base!$T182&gt;U$1185,"",U1646+U1926)</f>
        <v/>
      </c>
      <c r="V1366" s="127" t="str">
        <f>IF(tech_base!$T182&gt;V$1185,"",V1646+V1926)</f>
        <v/>
      </c>
      <c r="W1366" s="127" t="str">
        <f>IF(tech_base!$T182&gt;W$1185,"",W1646+W1926)</f>
        <v/>
      </c>
      <c r="X1366" s="127" t="str">
        <f>IF(tech_base!$T182&gt;X$1185,"",X1646+X1926)</f>
        <v/>
      </c>
      <c r="Y1366" s="127" t="str">
        <f>IF(tech_base!$T182&gt;Y$1185,"",Y1646+Y1926)</f>
        <v/>
      </c>
      <c r="Z1366" s="127" t="str">
        <f>IF(tech_base!$T182&gt;Z$1185,"",Z1646+Z1926)</f>
        <v/>
      </c>
      <c r="AA1366" s="127" t="str">
        <f>IF(tech_base!$T182&gt;AA$1185,"",AA1646+AA1926)</f>
        <v/>
      </c>
      <c r="AB1366" s="127" t="str">
        <f>IF(tech_base!$T182&gt;AB$1185,"",AB1646+AB1926)</f>
        <v/>
      </c>
      <c r="AC1366" s="127" t="str">
        <f>IF(tech_base!$T182&gt;AC$1185,"",AC1646+AC1926)</f>
        <v/>
      </c>
      <c r="AD1366" s="127" t="str">
        <f>IF(tech_base!$T182&gt;AD$1185,"",AD1646+AD1926)</f>
        <v/>
      </c>
      <c r="AE1366" s="127">
        <f>IF(tech_base!$T182&gt;AE$1185,"",AE1646+AE1926)</f>
        <v>8.9100741776934242</v>
      </c>
      <c r="AF1366" s="127">
        <f>IF(tech_base!$T182&gt;AF$1185,"",AF1646+AF1926)</f>
        <v>8.9100741776934242</v>
      </c>
      <c r="AG1366" s="127">
        <f>IF(tech_base!$T182&gt;AG$1185,"",AG1646+AG1926)</f>
        <v>8.9100741776934242</v>
      </c>
      <c r="AH1366" s="127">
        <f>IF(tech_base!$T182&gt;AH$1185,"",AH1646+AH1926)</f>
        <v>8.9100741776934242</v>
      </c>
      <c r="AI1366" s="127">
        <f>IF(tech_base!$T182&gt;AI$1185,"",AI1646+AI1926)</f>
        <v>8.9100741776934242</v>
      </c>
      <c r="AJ1366" s="127">
        <f>IF(tech_base!$T182&gt;AJ$1185,"",AJ1646+AJ1926)</f>
        <v>8.9100741776934242</v>
      </c>
      <c r="AK1366" s="127">
        <f>IF(tech_base!$T182&gt;AK$1185,"",AK1646+AK1926)</f>
        <v>8.9100741776934242</v>
      </c>
      <c r="AL1366" s="127">
        <f>IF(tech_base!$T182&gt;AL$1185,"",AL1646+AL1926)</f>
        <v>8.9100741776934242</v>
      </c>
      <c r="AM1366" s="127">
        <f>IF(tech_base!$T182&gt;AM$1185,"",AM1646+AM1926)</f>
        <v>8.9100741776934242</v>
      </c>
      <c r="AN1366" s="127">
        <f>IF(tech_base!$T182&gt;AN$1185,"",AN1646+AN1926)</f>
        <v>8.9100741776934242</v>
      </c>
      <c r="AO1366" s="127">
        <f>IF(tech_base!$T182&gt;AO$1185,"",AO1646+AO1926)</f>
        <v>8.9100741776934242</v>
      </c>
      <c r="AP1366" s="127">
        <f>IF(tech_base!$T182&gt;AP$1185,"",AP1646+AP1926)</f>
        <v>8.9100741776934242</v>
      </c>
      <c r="AQ1366" s="127">
        <f>IF(tech_base!$T182&gt;AQ$1185,"",AQ1646+AQ1926)</f>
        <v>8.9100741776934242</v>
      </c>
      <c r="AR1366" s="127">
        <f>IF(tech_base!$T182&gt;AR$1185,"",AR1646+AR1926)</f>
        <v>8.9100741776934242</v>
      </c>
      <c r="AS1366" s="127">
        <f>IF(tech_base!$T182&gt;AS$1185,"",AS1646+AS1926)</f>
        <v>8.9092726337635071</v>
      </c>
      <c r="AT1366" s="127">
        <f>IF(tech_base!$T182&gt;AT$1185,"",AT1646+AT1926)</f>
        <v>8.9087597916459824</v>
      </c>
      <c r="AU1366" s="127">
        <f>IF(tech_base!$T182&gt;AU$1185,"",AU1646+AU1926)</f>
        <v>8.9079262502537855</v>
      </c>
      <c r="AV1366" s="127">
        <f>IF(tech_base!$T182&gt;AV$1185,"",AV1646+AV1926)</f>
        <v>8.9065836640724036</v>
      </c>
      <c r="AW1366" s="127">
        <f>IF(tech_base!$T182&gt;AW$1185,"",AW1646+AW1926)</f>
        <v>8.9044523945568006</v>
      </c>
      <c r="AX1366" s="128">
        <f>IF(tech_base!$T182&gt;AX$1185,"",AX1646+AX1926)</f>
        <v>8.9011462297191049</v>
      </c>
    </row>
    <row r="1367" spans="1:50" x14ac:dyDescent="0.25">
      <c r="A1367" s="356"/>
      <c r="B1367" s="358" t="s">
        <v>17</v>
      </c>
      <c r="C1367" s="353" t="s">
        <v>6</v>
      </c>
      <c r="D1367" s="3" t="s">
        <v>7</v>
      </c>
      <c r="E1367" s="162" t="str">
        <f>A1359&amp;"/"&amp;B1367&amp;"/"&amp;C1367&amp;"/"&amp;D1367</f>
        <v>Fuel oil fired power plants/Supercritical steam turbine/Electricity only/L</v>
      </c>
      <c r="F1367" s="77" t="str">
        <f>A1359</f>
        <v>Fuel oil fired power plants</v>
      </c>
      <c r="G1367" s="77" t="str">
        <f>B1367</f>
        <v>Supercritical steam turbine</v>
      </c>
      <c r="H1367" s="77" t="str">
        <f>C1367</f>
        <v>Electricity only</v>
      </c>
      <c r="I1367" s="163" t="str">
        <f t="shared" si="374"/>
        <v>L</v>
      </c>
      <c r="J1367" s="121">
        <f>IF(tech_base!$T183&gt;J$1185,"",J1647+J1927)</f>
        <v>0</v>
      </c>
      <c r="K1367" s="121">
        <f>IF(tech_base!$T183&gt;K$1185,"",K1647+K1927)</f>
        <v>0</v>
      </c>
      <c r="L1367" s="121">
        <f>IF(tech_base!$T183&gt;L$1185,"",L1647+L1927)</f>
        <v>0</v>
      </c>
      <c r="M1367" s="121">
        <f>IF(tech_base!$T183&gt;M$1185,"",M1647+M1927)</f>
        <v>0</v>
      </c>
      <c r="N1367" s="121">
        <f>IF(tech_base!$T183&gt;N$1185,"",N1647+N1927)</f>
        <v>0</v>
      </c>
      <c r="O1367" s="121">
        <f>IF(tech_base!$T183&gt;O$1185,"",O1647+O1927)</f>
        <v>0</v>
      </c>
      <c r="P1367" s="121">
        <f>IF(tech_base!$T183&gt;P$1185,"",P1647+P1927)</f>
        <v>0</v>
      </c>
      <c r="Q1367" s="121">
        <f>IF(tech_base!$T183&gt;Q$1185,"",Q1647+Q1927)</f>
        <v>0</v>
      </c>
      <c r="R1367" s="121">
        <f>IF(tech_base!$T183&gt;R$1185,"",R1647+R1927)</f>
        <v>0</v>
      </c>
      <c r="S1367" s="121">
        <f>IF(tech_base!$T183&gt;S$1185,"",S1647+S1927)</f>
        <v>0</v>
      </c>
      <c r="T1367" s="121">
        <f>IF(tech_base!$T183&gt;T$1185,"",T1647+T1927)</f>
        <v>0</v>
      </c>
      <c r="U1367" s="121">
        <f>IF(tech_base!$T183&gt;U$1185,"",U1647+U1927)</f>
        <v>0</v>
      </c>
      <c r="V1367" s="121">
        <f>IF(tech_base!$T183&gt;V$1185,"",V1647+V1927)</f>
        <v>0</v>
      </c>
      <c r="W1367" s="121">
        <f>IF(tech_base!$T183&gt;W$1185,"",W1647+W1927)</f>
        <v>0</v>
      </c>
      <c r="X1367" s="121">
        <f>IF(tech_base!$T183&gt;X$1185,"",X1647+X1927)</f>
        <v>0</v>
      </c>
      <c r="Y1367" s="121">
        <f>IF(tech_base!$T183&gt;Y$1185,"",Y1647+Y1927)</f>
        <v>0</v>
      </c>
      <c r="Z1367" s="121">
        <f>IF(tech_base!$T183&gt;Z$1185,"",Z1647+Z1927)</f>
        <v>0</v>
      </c>
      <c r="AA1367" s="121">
        <f>IF(tech_base!$T183&gt;AA$1185,"",AA1647+AA1927)</f>
        <v>0</v>
      </c>
      <c r="AB1367" s="121">
        <f>IF(tech_base!$T183&gt;AB$1185,"",AB1647+AB1927)</f>
        <v>0</v>
      </c>
      <c r="AC1367" s="121">
        <f>IF(tech_base!$T183&gt;AC$1185,"",AC1647+AC1927)</f>
        <v>0</v>
      </c>
      <c r="AD1367" s="121">
        <f>IF(tech_base!$T183&gt;AD$1185,"",AD1647+AD1927)</f>
        <v>0</v>
      </c>
      <c r="AE1367" s="121">
        <f>IF(tech_base!$T183&gt;AE$1185,"",AE1647+AE1927)</f>
        <v>0</v>
      </c>
      <c r="AF1367" s="121">
        <f>IF(tech_base!$T183&gt;AF$1185,"",AF1647+AF1927)</f>
        <v>0</v>
      </c>
      <c r="AG1367" s="121">
        <f>IF(tech_base!$T183&gt;AG$1185,"",AG1647+AG1927)</f>
        <v>0</v>
      </c>
      <c r="AH1367" s="121">
        <f>IF(tech_base!$T183&gt;AH$1185,"",AH1647+AH1927)</f>
        <v>0</v>
      </c>
      <c r="AI1367" s="121">
        <f>IF(tech_base!$T183&gt;AI$1185,"",AI1647+AI1927)</f>
        <v>0</v>
      </c>
      <c r="AJ1367" s="121">
        <f>IF(tech_base!$T183&gt;AJ$1185,"",AJ1647+AJ1927)</f>
        <v>0</v>
      </c>
      <c r="AK1367" s="121">
        <f>IF(tech_base!$T183&gt;AK$1185,"",AK1647+AK1927)</f>
        <v>0</v>
      </c>
      <c r="AL1367" s="121">
        <f>IF(tech_base!$T183&gt;AL$1185,"",AL1647+AL1927)</f>
        <v>0</v>
      </c>
      <c r="AM1367" s="121">
        <f>IF(tech_base!$T183&gt;AM$1185,"",AM1647+AM1927)</f>
        <v>0</v>
      </c>
      <c r="AN1367" s="121">
        <f>IF(tech_base!$T183&gt;AN$1185,"",AN1647+AN1927)</f>
        <v>0</v>
      </c>
      <c r="AO1367" s="121">
        <f>IF(tech_base!$T183&gt;AO$1185,"",AO1647+AO1927)</f>
        <v>0</v>
      </c>
      <c r="AP1367" s="121">
        <f>IF(tech_base!$T183&gt;AP$1185,"",AP1647+AP1927)</f>
        <v>0</v>
      </c>
      <c r="AQ1367" s="121">
        <f>IF(tech_base!$T183&gt;AQ$1185,"",AQ1647+AQ1927)</f>
        <v>0</v>
      </c>
      <c r="AR1367" s="121">
        <f>IF(tech_base!$T183&gt;AR$1185,"",AR1647+AR1927)</f>
        <v>0</v>
      </c>
      <c r="AS1367" s="121">
        <f>IF(tech_base!$T183&gt;AS$1185,"",AS1647+AS1927)</f>
        <v>0</v>
      </c>
      <c r="AT1367" s="121">
        <f>IF(tech_base!$T183&gt;AT$1185,"",AT1647+AT1927)</f>
        <v>0</v>
      </c>
      <c r="AU1367" s="121">
        <f>IF(tech_base!$T183&gt;AU$1185,"",AU1647+AU1927)</f>
        <v>0</v>
      </c>
      <c r="AV1367" s="121">
        <f>IF(tech_base!$T183&gt;AV$1185,"",AV1647+AV1927)</f>
        <v>0</v>
      </c>
      <c r="AW1367" s="121">
        <f>IF(tech_base!$T183&gt;AW$1185,"",AW1647+AW1927)</f>
        <v>0</v>
      </c>
      <c r="AX1367" s="122">
        <f>IF(tech_base!$T183&gt;AX$1185,"",AX1647+AX1927)</f>
        <v>0</v>
      </c>
    </row>
    <row r="1368" spans="1:50" x14ac:dyDescent="0.25">
      <c r="A1368" s="356"/>
      <c r="B1368" s="376"/>
      <c r="C1368" s="379"/>
      <c r="D1368" s="2" t="s">
        <v>8</v>
      </c>
      <c r="E1368" s="160" t="str">
        <f>A1359&amp;"/"&amp;B1367&amp;"/"&amp;C1367&amp;"/"&amp;D1368</f>
        <v>Fuel oil fired power plants/Supercritical steam turbine/Electricity only/M</v>
      </c>
      <c r="F1368" s="76" t="str">
        <f>A1359</f>
        <v>Fuel oil fired power plants</v>
      </c>
      <c r="G1368" s="76" t="str">
        <f>B1367</f>
        <v>Supercritical steam turbine</v>
      </c>
      <c r="H1368" s="76" t="str">
        <f>C1367</f>
        <v>Electricity only</v>
      </c>
      <c r="I1368" s="161" t="str">
        <f t="shared" si="374"/>
        <v>M</v>
      </c>
      <c r="J1368" s="119">
        <f>IF(tech_base!$T184&gt;J$1185,"",J1648+J1928)</f>
        <v>0</v>
      </c>
      <c r="K1368" s="119">
        <f>IF(tech_base!$T184&gt;K$1185,"",K1648+K1928)</f>
        <v>0</v>
      </c>
      <c r="L1368" s="119">
        <f>IF(tech_base!$T184&gt;L$1185,"",L1648+L1928)</f>
        <v>0</v>
      </c>
      <c r="M1368" s="119">
        <f>IF(tech_base!$T184&gt;M$1185,"",M1648+M1928)</f>
        <v>0</v>
      </c>
      <c r="N1368" s="119">
        <f>IF(tech_base!$T184&gt;N$1185,"",N1648+N1928)</f>
        <v>0</v>
      </c>
      <c r="O1368" s="119">
        <f>IF(tech_base!$T184&gt;O$1185,"",O1648+O1928)</f>
        <v>0</v>
      </c>
      <c r="P1368" s="119">
        <f>IF(tech_base!$T184&gt;P$1185,"",P1648+P1928)</f>
        <v>0</v>
      </c>
      <c r="Q1368" s="119">
        <f>IF(tech_base!$T184&gt;Q$1185,"",Q1648+Q1928)</f>
        <v>0</v>
      </c>
      <c r="R1368" s="119">
        <f>IF(tech_base!$T184&gt;R$1185,"",R1648+R1928)</f>
        <v>0</v>
      </c>
      <c r="S1368" s="119">
        <f>IF(tech_base!$T184&gt;S$1185,"",S1648+S1928)</f>
        <v>0</v>
      </c>
      <c r="T1368" s="119">
        <f>IF(tech_base!$T184&gt;T$1185,"",T1648+T1928)</f>
        <v>0</v>
      </c>
      <c r="U1368" s="119">
        <f>IF(tech_base!$T184&gt;U$1185,"",U1648+U1928)</f>
        <v>0</v>
      </c>
      <c r="V1368" s="119">
        <f>IF(tech_base!$T184&gt;V$1185,"",V1648+V1928)</f>
        <v>0</v>
      </c>
      <c r="W1368" s="119">
        <f>IF(tech_base!$T184&gt;W$1185,"",W1648+W1928)</f>
        <v>0</v>
      </c>
      <c r="X1368" s="119">
        <f>IF(tech_base!$T184&gt;X$1185,"",X1648+X1928)</f>
        <v>0</v>
      </c>
      <c r="Y1368" s="119">
        <f>IF(tech_base!$T184&gt;Y$1185,"",Y1648+Y1928)</f>
        <v>0</v>
      </c>
      <c r="Z1368" s="119">
        <f>IF(tech_base!$T184&gt;Z$1185,"",Z1648+Z1928)</f>
        <v>0</v>
      </c>
      <c r="AA1368" s="119">
        <f>IF(tech_base!$T184&gt;AA$1185,"",AA1648+AA1928)</f>
        <v>0</v>
      </c>
      <c r="AB1368" s="119">
        <f>IF(tech_base!$T184&gt;AB$1185,"",AB1648+AB1928)</f>
        <v>0</v>
      </c>
      <c r="AC1368" s="119">
        <f>IF(tech_base!$T184&gt;AC$1185,"",AC1648+AC1928)</f>
        <v>0</v>
      </c>
      <c r="AD1368" s="119">
        <f>IF(tech_base!$T184&gt;AD$1185,"",AD1648+AD1928)</f>
        <v>0</v>
      </c>
      <c r="AE1368" s="119">
        <f>IF(tech_base!$T184&gt;AE$1185,"",AE1648+AE1928)</f>
        <v>0</v>
      </c>
      <c r="AF1368" s="119">
        <f>IF(tech_base!$T184&gt;AF$1185,"",AF1648+AF1928)</f>
        <v>0</v>
      </c>
      <c r="AG1368" s="119">
        <f>IF(tech_base!$T184&gt;AG$1185,"",AG1648+AG1928)</f>
        <v>0</v>
      </c>
      <c r="AH1368" s="119">
        <f>IF(tech_base!$T184&gt;AH$1185,"",AH1648+AH1928)</f>
        <v>0</v>
      </c>
      <c r="AI1368" s="119">
        <f>IF(tech_base!$T184&gt;AI$1185,"",AI1648+AI1928)</f>
        <v>0</v>
      </c>
      <c r="AJ1368" s="119">
        <f>IF(tech_base!$T184&gt;AJ$1185,"",AJ1648+AJ1928)</f>
        <v>0</v>
      </c>
      <c r="AK1368" s="119">
        <f>IF(tech_base!$T184&gt;AK$1185,"",AK1648+AK1928)</f>
        <v>0</v>
      </c>
      <c r="AL1368" s="119">
        <f>IF(tech_base!$T184&gt;AL$1185,"",AL1648+AL1928)</f>
        <v>0</v>
      </c>
      <c r="AM1368" s="119">
        <f>IF(tech_base!$T184&gt;AM$1185,"",AM1648+AM1928)</f>
        <v>0</v>
      </c>
      <c r="AN1368" s="119">
        <f>IF(tech_base!$T184&gt;AN$1185,"",AN1648+AN1928)</f>
        <v>0</v>
      </c>
      <c r="AO1368" s="119">
        <f>IF(tech_base!$T184&gt;AO$1185,"",AO1648+AO1928)</f>
        <v>0</v>
      </c>
      <c r="AP1368" s="119">
        <f>IF(tech_base!$T184&gt;AP$1185,"",AP1648+AP1928)</f>
        <v>0</v>
      </c>
      <c r="AQ1368" s="119">
        <f>IF(tech_base!$T184&gt;AQ$1185,"",AQ1648+AQ1928)</f>
        <v>0</v>
      </c>
      <c r="AR1368" s="119">
        <f>IF(tech_base!$T184&gt;AR$1185,"",AR1648+AR1928)</f>
        <v>0</v>
      </c>
      <c r="AS1368" s="119">
        <f>IF(tech_base!$T184&gt;AS$1185,"",AS1648+AS1928)</f>
        <v>0</v>
      </c>
      <c r="AT1368" s="119">
        <f>IF(tech_base!$T184&gt;AT$1185,"",AT1648+AT1928)</f>
        <v>0</v>
      </c>
      <c r="AU1368" s="119">
        <f>IF(tech_base!$T184&gt;AU$1185,"",AU1648+AU1928)</f>
        <v>0</v>
      </c>
      <c r="AV1368" s="119">
        <f>IF(tech_base!$T184&gt;AV$1185,"",AV1648+AV1928)</f>
        <v>0</v>
      </c>
      <c r="AW1368" s="119">
        <f>IF(tech_base!$T184&gt;AW$1185,"",AW1648+AW1928)</f>
        <v>0</v>
      </c>
      <c r="AX1368" s="120">
        <f>IF(tech_base!$T184&gt;AX$1185,"",AX1648+AX1928)</f>
        <v>0</v>
      </c>
    </row>
    <row r="1369" spans="1:50" x14ac:dyDescent="0.25">
      <c r="A1369" s="356"/>
      <c r="B1369" s="376"/>
      <c r="C1369" s="361" t="s">
        <v>14</v>
      </c>
      <c r="D1369" s="58" t="s">
        <v>7</v>
      </c>
      <c r="E1369" s="164" t="str">
        <f>A1359&amp;"/"&amp;B1367&amp;"/"&amp;C1369&amp;"/"&amp;D1369</f>
        <v>Fuel oil fired power plants/Supercritical steam turbine/CHP/L</v>
      </c>
      <c r="F1369" s="78" t="str">
        <f>A1359</f>
        <v>Fuel oil fired power plants</v>
      </c>
      <c r="G1369" s="78" t="str">
        <f>B1367</f>
        <v>Supercritical steam turbine</v>
      </c>
      <c r="H1369" s="78" t="str">
        <f>C1369</f>
        <v>CHP</v>
      </c>
      <c r="I1369" s="165" t="str">
        <f t="shared" si="374"/>
        <v>L</v>
      </c>
      <c r="J1369" s="123">
        <f>IF(tech_base!$T185&gt;J$1185,"",J1649+J1929)</f>
        <v>0</v>
      </c>
      <c r="K1369" s="123">
        <f>IF(tech_base!$T185&gt;K$1185,"",K1649+K1929)</f>
        <v>0</v>
      </c>
      <c r="L1369" s="123">
        <f>IF(tech_base!$T185&gt;L$1185,"",L1649+L1929)</f>
        <v>0</v>
      </c>
      <c r="M1369" s="123">
        <f>IF(tech_base!$T185&gt;M$1185,"",M1649+M1929)</f>
        <v>0</v>
      </c>
      <c r="N1369" s="123">
        <f>IF(tech_base!$T185&gt;N$1185,"",N1649+N1929)</f>
        <v>0</v>
      </c>
      <c r="O1369" s="123">
        <f>IF(tech_base!$T185&gt;O$1185,"",O1649+O1929)</f>
        <v>0</v>
      </c>
      <c r="P1369" s="123">
        <f>IF(tech_base!$T185&gt;P$1185,"",P1649+P1929)</f>
        <v>0</v>
      </c>
      <c r="Q1369" s="123">
        <f>IF(tech_base!$T185&gt;Q$1185,"",Q1649+Q1929)</f>
        <v>0</v>
      </c>
      <c r="R1369" s="123">
        <f>IF(tech_base!$T185&gt;R$1185,"",R1649+R1929)</f>
        <v>0</v>
      </c>
      <c r="S1369" s="123">
        <f>IF(tech_base!$T185&gt;S$1185,"",S1649+S1929)</f>
        <v>0</v>
      </c>
      <c r="T1369" s="123">
        <f>IF(tech_base!$T185&gt;T$1185,"",T1649+T1929)</f>
        <v>0</v>
      </c>
      <c r="U1369" s="123">
        <f>IF(tech_base!$T185&gt;U$1185,"",U1649+U1929)</f>
        <v>0</v>
      </c>
      <c r="V1369" s="123">
        <f>IF(tech_base!$T185&gt;V$1185,"",V1649+V1929)</f>
        <v>0</v>
      </c>
      <c r="W1369" s="123">
        <f>IF(tech_base!$T185&gt;W$1185,"",W1649+W1929)</f>
        <v>0</v>
      </c>
      <c r="X1369" s="123">
        <f>IF(tech_base!$T185&gt;X$1185,"",X1649+X1929)</f>
        <v>0</v>
      </c>
      <c r="Y1369" s="123">
        <f>IF(tech_base!$T185&gt;Y$1185,"",Y1649+Y1929)</f>
        <v>0</v>
      </c>
      <c r="Z1369" s="123">
        <f>IF(tech_base!$T185&gt;Z$1185,"",Z1649+Z1929)</f>
        <v>0</v>
      </c>
      <c r="AA1369" s="123">
        <f>IF(tech_base!$T185&gt;AA$1185,"",AA1649+AA1929)</f>
        <v>0</v>
      </c>
      <c r="AB1369" s="123">
        <f>IF(tech_base!$T185&gt;AB$1185,"",AB1649+AB1929)</f>
        <v>0</v>
      </c>
      <c r="AC1369" s="123">
        <f>IF(tech_base!$T185&gt;AC$1185,"",AC1649+AC1929)</f>
        <v>0</v>
      </c>
      <c r="AD1369" s="123">
        <f>IF(tech_base!$T185&gt;AD$1185,"",AD1649+AD1929)</f>
        <v>0</v>
      </c>
      <c r="AE1369" s="123">
        <f>IF(tech_base!$T185&gt;AE$1185,"",AE1649+AE1929)</f>
        <v>0</v>
      </c>
      <c r="AF1369" s="123">
        <f>IF(tech_base!$T185&gt;AF$1185,"",AF1649+AF1929)</f>
        <v>0</v>
      </c>
      <c r="AG1369" s="123">
        <f>IF(tech_base!$T185&gt;AG$1185,"",AG1649+AG1929)</f>
        <v>0</v>
      </c>
      <c r="AH1369" s="123">
        <f>IF(tech_base!$T185&gt;AH$1185,"",AH1649+AH1929)</f>
        <v>0</v>
      </c>
      <c r="AI1369" s="123">
        <f>IF(tech_base!$T185&gt;AI$1185,"",AI1649+AI1929)</f>
        <v>0</v>
      </c>
      <c r="AJ1369" s="123">
        <f>IF(tech_base!$T185&gt;AJ$1185,"",AJ1649+AJ1929)</f>
        <v>0</v>
      </c>
      <c r="AK1369" s="123">
        <f>IF(tech_base!$T185&gt;AK$1185,"",AK1649+AK1929)</f>
        <v>0</v>
      </c>
      <c r="AL1369" s="123">
        <f>IF(tech_base!$T185&gt;AL$1185,"",AL1649+AL1929)</f>
        <v>0</v>
      </c>
      <c r="AM1369" s="123">
        <f>IF(tech_base!$T185&gt;AM$1185,"",AM1649+AM1929)</f>
        <v>0</v>
      </c>
      <c r="AN1369" s="123">
        <f>IF(tech_base!$T185&gt;AN$1185,"",AN1649+AN1929)</f>
        <v>0</v>
      </c>
      <c r="AO1369" s="123">
        <f>IF(tech_base!$T185&gt;AO$1185,"",AO1649+AO1929)</f>
        <v>0</v>
      </c>
      <c r="AP1369" s="123">
        <f>IF(tech_base!$T185&gt;AP$1185,"",AP1649+AP1929)</f>
        <v>0</v>
      </c>
      <c r="AQ1369" s="123">
        <f>IF(tech_base!$T185&gt;AQ$1185,"",AQ1649+AQ1929)</f>
        <v>0</v>
      </c>
      <c r="AR1369" s="123">
        <f>IF(tech_base!$T185&gt;AR$1185,"",AR1649+AR1929)</f>
        <v>0</v>
      </c>
      <c r="AS1369" s="123">
        <f>IF(tech_base!$T185&gt;AS$1185,"",AS1649+AS1929)</f>
        <v>0</v>
      </c>
      <c r="AT1369" s="123">
        <f>IF(tech_base!$T185&gt;AT$1185,"",AT1649+AT1929)</f>
        <v>0</v>
      </c>
      <c r="AU1369" s="123">
        <f>IF(tech_base!$T185&gt;AU$1185,"",AU1649+AU1929)</f>
        <v>0</v>
      </c>
      <c r="AV1369" s="123">
        <f>IF(tech_base!$T185&gt;AV$1185,"",AV1649+AV1929)</f>
        <v>0</v>
      </c>
      <c r="AW1369" s="123">
        <f>IF(tech_base!$T185&gt;AW$1185,"",AW1649+AW1929)</f>
        <v>0</v>
      </c>
      <c r="AX1369" s="124">
        <f>IF(tech_base!$T185&gt;AX$1185,"",AX1649+AX1929)</f>
        <v>0</v>
      </c>
    </row>
    <row r="1370" spans="1:50" x14ac:dyDescent="0.25">
      <c r="A1370" s="356"/>
      <c r="B1370" s="376"/>
      <c r="C1370" s="379"/>
      <c r="D1370" s="59" t="s">
        <v>8</v>
      </c>
      <c r="E1370" s="166" t="str">
        <f>A1359&amp;"/"&amp;B1367&amp;"/"&amp;C1369&amp;"/"&amp;D1370</f>
        <v>Fuel oil fired power plants/Supercritical steam turbine/CHP/M</v>
      </c>
      <c r="F1370" s="79" t="str">
        <f>A1359</f>
        <v>Fuel oil fired power plants</v>
      </c>
      <c r="G1370" s="79" t="str">
        <f>B1367</f>
        <v>Supercritical steam turbine</v>
      </c>
      <c r="H1370" s="79" t="str">
        <f>C1369</f>
        <v>CHP</v>
      </c>
      <c r="I1370" s="167" t="str">
        <f t="shared" si="374"/>
        <v>M</v>
      </c>
      <c r="J1370" s="125">
        <f>IF(tech_base!$T186&gt;J$1185,"",J1650+J1930)</f>
        <v>0</v>
      </c>
      <c r="K1370" s="125">
        <f>IF(tech_base!$T186&gt;K$1185,"",K1650+K1930)</f>
        <v>0</v>
      </c>
      <c r="L1370" s="125">
        <f>IF(tech_base!$T186&gt;L$1185,"",L1650+L1930)</f>
        <v>0</v>
      </c>
      <c r="M1370" s="125">
        <f>IF(tech_base!$T186&gt;M$1185,"",M1650+M1930)</f>
        <v>0</v>
      </c>
      <c r="N1370" s="125">
        <f>IF(tech_base!$T186&gt;N$1185,"",N1650+N1930)</f>
        <v>0</v>
      </c>
      <c r="O1370" s="125">
        <f>IF(tech_base!$T186&gt;O$1185,"",O1650+O1930)</f>
        <v>0</v>
      </c>
      <c r="P1370" s="125">
        <f>IF(tech_base!$T186&gt;P$1185,"",P1650+P1930)</f>
        <v>0</v>
      </c>
      <c r="Q1370" s="125">
        <f>IF(tech_base!$T186&gt;Q$1185,"",Q1650+Q1930)</f>
        <v>0</v>
      </c>
      <c r="R1370" s="125">
        <f>IF(tech_base!$T186&gt;R$1185,"",R1650+R1930)</f>
        <v>0</v>
      </c>
      <c r="S1370" s="125">
        <f>IF(tech_base!$T186&gt;S$1185,"",S1650+S1930)</f>
        <v>0</v>
      </c>
      <c r="T1370" s="125">
        <f>IF(tech_base!$T186&gt;T$1185,"",T1650+T1930)</f>
        <v>0</v>
      </c>
      <c r="U1370" s="125">
        <f>IF(tech_base!$T186&gt;U$1185,"",U1650+U1930)</f>
        <v>0</v>
      </c>
      <c r="V1370" s="125">
        <f>IF(tech_base!$T186&gt;V$1185,"",V1650+V1930)</f>
        <v>0</v>
      </c>
      <c r="W1370" s="125">
        <f>IF(tech_base!$T186&gt;W$1185,"",W1650+W1930)</f>
        <v>0</v>
      </c>
      <c r="X1370" s="125">
        <f>IF(tech_base!$T186&gt;X$1185,"",X1650+X1930)</f>
        <v>0</v>
      </c>
      <c r="Y1370" s="125">
        <f>IF(tech_base!$T186&gt;Y$1185,"",Y1650+Y1930)</f>
        <v>0</v>
      </c>
      <c r="Z1370" s="125">
        <f>IF(tech_base!$T186&gt;Z$1185,"",Z1650+Z1930)</f>
        <v>0</v>
      </c>
      <c r="AA1370" s="125">
        <f>IF(tech_base!$T186&gt;AA$1185,"",AA1650+AA1930)</f>
        <v>0</v>
      </c>
      <c r="AB1370" s="125">
        <f>IF(tech_base!$T186&gt;AB$1185,"",AB1650+AB1930)</f>
        <v>0</v>
      </c>
      <c r="AC1370" s="125">
        <f>IF(tech_base!$T186&gt;AC$1185,"",AC1650+AC1930)</f>
        <v>0</v>
      </c>
      <c r="AD1370" s="125">
        <f>IF(tech_base!$T186&gt;AD$1185,"",AD1650+AD1930)</f>
        <v>0</v>
      </c>
      <c r="AE1370" s="125">
        <f>IF(tech_base!$T186&gt;AE$1185,"",AE1650+AE1930)</f>
        <v>0</v>
      </c>
      <c r="AF1370" s="125">
        <f>IF(tech_base!$T186&gt;AF$1185,"",AF1650+AF1930)</f>
        <v>0</v>
      </c>
      <c r="AG1370" s="125">
        <f>IF(tech_base!$T186&gt;AG$1185,"",AG1650+AG1930)</f>
        <v>0</v>
      </c>
      <c r="AH1370" s="125">
        <f>IF(tech_base!$T186&gt;AH$1185,"",AH1650+AH1930)</f>
        <v>0</v>
      </c>
      <c r="AI1370" s="125">
        <f>IF(tech_base!$T186&gt;AI$1185,"",AI1650+AI1930)</f>
        <v>0</v>
      </c>
      <c r="AJ1370" s="125">
        <f>IF(tech_base!$T186&gt;AJ$1185,"",AJ1650+AJ1930)</f>
        <v>0</v>
      </c>
      <c r="AK1370" s="125">
        <f>IF(tech_base!$T186&gt;AK$1185,"",AK1650+AK1930)</f>
        <v>0</v>
      </c>
      <c r="AL1370" s="125">
        <f>IF(tech_base!$T186&gt;AL$1185,"",AL1650+AL1930)</f>
        <v>0</v>
      </c>
      <c r="AM1370" s="125">
        <f>IF(tech_base!$T186&gt;AM$1185,"",AM1650+AM1930)</f>
        <v>0</v>
      </c>
      <c r="AN1370" s="125">
        <f>IF(tech_base!$T186&gt;AN$1185,"",AN1650+AN1930)</f>
        <v>0</v>
      </c>
      <c r="AO1370" s="125">
        <f>IF(tech_base!$T186&gt;AO$1185,"",AO1650+AO1930)</f>
        <v>0</v>
      </c>
      <c r="AP1370" s="125">
        <f>IF(tech_base!$T186&gt;AP$1185,"",AP1650+AP1930)</f>
        <v>0</v>
      </c>
      <c r="AQ1370" s="125">
        <f>IF(tech_base!$T186&gt;AQ$1185,"",AQ1650+AQ1930)</f>
        <v>0</v>
      </c>
      <c r="AR1370" s="125">
        <f>IF(tech_base!$T186&gt;AR$1185,"",AR1650+AR1930)</f>
        <v>0</v>
      </c>
      <c r="AS1370" s="125">
        <f>IF(tech_base!$T186&gt;AS$1185,"",AS1650+AS1930)</f>
        <v>0</v>
      </c>
      <c r="AT1370" s="125">
        <f>IF(tech_base!$T186&gt;AT$1185,"",AT1650+AT1930)</f>
        <v>0</v>
      </c>
      <c r="AU1370" s="125">
        <f>IF(tech_base!$T186&gt;AU$1185,"",AU1650+AU1930)</f>
        <v>0</v>
      </c>
      <c r="AV1370" s="125">
        <f>IF(tech_base!$T186&gt;AV$1185,"",AV1650+AV1930)</f>
        <v>0</v>
      </c>
      <c r="AW1370" s="125">
        <f>IF(tech_base!$T186&gt;AW$1185,"",AW1650+AW1930)</f>
        <v>0</v>
      </c>
      <c r="AX1370" s="126">
        <f>IF(tech_base!$T186&gt;AX$1185,"",AX1650+AX1930)</f>
        <v>0</v>
      </c>
    </row>
    <row r="1371" spans="1:50" x14ac:dyDescent="0.25">
      <c r="A1371" s="356"/>
      <c r="B1371" s="376"/>
      <c r="C1371" s="361" t="s">
        <v>15</v>
      </c>
      <c r="D1371" s="58" t="s">
        <v>7</v>
      </c>
      <c r="E1371" s="164" t="str">
        <f>A1359&amp;"/"&amp;B1367&amp;"/"&amp;C1371&amp;"/"&amp;D1371</f>
        <v>Fuel oil fired power plants/Supercritical steam turbine/Electricity only with CCS/L</v>
      </c>
      <c r="F1371" s="78" t="str">
        <f>A1359</f>
        <v>Fuel oil fired power plants</v>
      </c>
      <c r="G1371" s="78" t="str">
        <f>B1367</f>
        <v>Supercritical steam turbine</v>
      </c>
      <c r="H1371" s="78" t="str">
        <f>C1371</f>
        <v>Electricity only with CCS</v>
      </c>
      <c r="I1371" s="165" t="str">
        <f t="shared" si="374"/>
        <v>L</v>
      </c>
      <c r="J1371" s="123" t="str">
        <f>IF(tech_base!$T187&gt;J$1185,"",J1651+J1931)</f>
        <v/>
      </c>
      <c r="K1371" s="123" t="str">
        <f>IF(tech_base!$T187&gt;K$1185,"",K1651+K1931)</f>
        <v/>
      </c>
      <c r="L1371" s="123" t="str">
        <f>IF(tech_base!$T187&gt;L$1185,"",L1651+L1931)</f>
        <v/>
      </c>
      <c r="M1371" s="123" t="str">
        <f>IF(tech_base!$T187&gt;M$1185,"",M1651+M1931)</f>
        <v/>
      </c>
      <c r="N1371" s="123" t="str">
        <f>IF(tech_base!$T187&gt;N$1185,"",N1651+N1931)</f>
        <v/>
      </c>
      <c r="O1371" s="123" t="str">
        <f>IF(tech_base!$T187&gt;O$1185,"",O1651+O1931)</f>
        <v/>
      </c>
      <c r="P1371" s="123" t="str">
        <f>IF(tech_base!$T187&gt;P$1185,"",P1651+P1931)</f>
        <v/>
      </c>
      <c r="Q1371" s="123" t="str">
        <f>IF(tech_base!$T187&gt;Q$1185,"",Q1651+Q1931)</f>
        <v/>
      </c>
      <c r="R1371" s="123" t="str">
        <f>IF(tech_base!$T187&gt;R$1185,"",R1651+R1931)</f>
        <v/>
      </c>
      <c r="S1371" s="123" t="str">
        <f>IF(tech_base!$T187&gt;S$1185,"",S1651+S1931)</f>
        <v/>
      </c>
      <c r="T1371" s="123" t="str">
        <f>IF(tech_base!$T187&gt;T$1185,"",T1651+T1931)</f>
        <v/>
      </c>
      <c r="U1371" s="123" t="str">
        <f>IF(tech_base!$T187&gt;U$1185,"",U1651+U1931)</f>
        <v/>
      </c>
      <c r="V1371" s="123" t="str">
        <f>IF(tech_base!$T187&gt;V$1185,"",V1651+V1931)</f>
        <v/>
      </c>
      <c r="W1371" s="123" t="str">
        <f>IF(tech_base!$T187&gt;W$1185,"",W1651+W1931)</f>
        <v/>
      </c>
      <c r="X1371" s="123" t="str">
        <f>IF(tech_base!$T187&gt;X$1185,"",X1651+X1931)</f>
        <v/>
      </c>
      <c r="Y1371" s="123" t="str">
        <f>IF(tech_base!$T187&gt;Y$1185,"",Y1651+Y1931)</f>
        <v/>
      </c>
      <c r="Z1371" s="123" t="str">
        <f>IF(tech_base!$T187&gt;Z$1185,"",Z1651+Z1931)</f>
        <v/>
      </c>
      <c r="AA1371" s="123" t="str">
        <f>IF(tech_base!$T187&gt;AA$1185,"",AA1651+AA1931)</f>
        <v/>
      </c>
      <c r="AB1371" s="123" t="str">
        <f>IF(tech_base!$T187&gt;AB$1185,"",AB1651+AB1931)</f>
        <v/>
      </c>
      <c r="AC1371" s="123" t="str">
        <f>IF(tech_base!$T187&gt;AC$1185,"",AC1651+AC1931)</f>
        <v/>
      </c>
      <c r="AD1371" s="123" t="str">
        <f>IF(tech_base!$T187&gt;AD$1185,"",AD1651+AD1931)</f>
        <v/>
      </c>
      <c r="AE1371" s="123">
        <f>IF(tech_base!$T187&gt;AE$1185,"",AE1651+AE1931)</f>
        <v>7.6880198267124245</v>
      </c>
      <c r="AF1371" s="123">
        <f>IF(tech_base!$T187&gt;AF$1185,"",AF1651+AF1931)</f>
        <v>7.6880198267124245</v>
      </c>
      <c r="AG1371" s="123">
        <f>IF(tech_base!$T187&gt;AG$1185,"",AG1651+AG1931)</f>
        <v>7.6880198267124245</v>
      </c>
      <c r="AH1371" s="123">
        <f>IF(tech_base!$T187&gt;AH$1185,"",AH1651+AH1931)</f>
        <v>7.6880198267124245</v>
      </c>
      <c r="AI1371" s="123">
        <f>IF(tech_base!$T187&gt;AI$1185,"",AI1651+AI1931)</f>
        <v>7.6880198267124245</v>
      </c>
      <c r="AJ1371" s="123">
        <f>IF(tech_base!$T187&gt;AJ$1185,"",AJ1651+AJ1931)</f>
        <v>7.6880198267124245</v>
      </c>
      <c r="AK1371" s="123">
        <f>IF(tech_base!$T187&gt;AK$1185,"",AK1651+AK1931)</f>
        <v>7.6880198267124245</v>
      </c>
      <c r="AL1371" s="123">
        <f>IF(tech_base!$T187&gt;AL$1185,"",AL1651+AL1931)</f>
        <v>7.6880198267124245</v>
      </c>
      <c r="AM1371" s="123">
        <f>IF(tech_base!$T187&gt;AM$1185,"",AM1651+AM1931)</f>
        <v>7.6880198267124245</v>
      </c>
      <c r="AN1371" s="123">
        <f>IF(tech_base!$T187&gt;AN$1185,"",AN1651+AN1931)</f>
        <v>7.6880198267124245</v>
      </c>
      <c r="AO1371" s="123">
        <f>IF(tech_base!$T187&gt;AO$1185,"",AO1651+AO1931)</f>
        <v>7.6880198267124245</v>
      </c>
      <c r="AP1371" s="123">
        <f>IF(tech_base!$T187&gt;AP$1185,"",AP1651+AP1931)</f>
        <v>7.6880198267124245</v>
      </c>
      <c r="AQ1371" s="123">
        <f>IF(tech_base!$T187&gt;AQ$1185,"",AQ1651+AQ1931)</f>
        <v>7.6880198267124245</v>
      </c>
      <c r="AR1371" s="123">
        <f>IF(tech_base!$T187&gt;AR$1185,"",AR1651+AR1931)</f>
        <v>7.6880198267124245</v>
      </c>
      <c r="AS1371" s="123">
        <f>IF(tech_base!$T187&gt;AS$1185,"",AS1651+AS1931)</f>
        <v>7.6873282179219409</v>
      </c>
      <c r="AT1371" s="123">
        <f>IF(tech_base!$T187&gt;AT$1185,"",AT1651+AT1931)</f>
        <v>7.6868857142694607</v>
      </c>
      <c r="AU1371" s="123">
        <f>IF(tech_base!$T187&gt;AU$1185,"",AU1651+AU1931)</f>
        <v>7.68616649660395</v>
      </c>
      <c r="AV1371" s="123">
        <f>IF(tech_base!$T187&gt;AV$1185,"",AV1651+AV1931)</f>
        <v>7.6850080517946617</v>
      </c>
      <c r="AW1371" s="123">
        <f>IF(tech_base!$T187&gt;AW$1185,"",AW1651+AW1931)</f>
        <v>7.6831690949054972</v>
      </c>
      <c r="AX1371" s="124">
        <f>IF(tech_base!$T187&gt;AX$1185,"",AX1651+AX1931)</f>
        <v>7.6803163845558755</v>
      </c>
    </row>
    <row r="1372" spans="1:50" x14ac:dyDescent="0.25">
      <c r="A1372" s="356"/>
      <c r="B1372" s="376"/>
      <c r="C1372" s="379"/>
      <c r="D1372" s="59" t="s">
        <v>8</v>
      </c>
      <c r="E1372" s="166" t="str">
        <f>A1359&amp;"/"&amp;B1367&amp;"/"&amp;C1371&amp;"/"&amp;D1372</f>
        <v>Fuel oil fired power plants/Supercritical steam turbine/Electricity only with CCS/M</v>
      </c>
      <c r="F1372" s="79" t="str">
        <f>A1359</f>
        <v>Fuel oil fired power plants</v>
      </c>
      <c r="G1372" s="79" t="str">
        <f>B1367</f>
        <v>Supercritical steam turbine</v>
      </c>
      <c r="H1372" s="79" t="str">
        <f>C1371</f>
        <v>Electricity only with CCS</v>
      </c>
      <c r="I1372" s="167" t="str">
        <f t="shared" si="374"/>
        <v>M</v>
      </c>
      <c r="J1372" s="125" t="str">
        <f>IF(tech_base!$T188&gt;J$1185,"",J1652+J1932)</f>
        <v/>
      </c>
      <c r="K1372" s="125" t="str">
        <f>IF(tech_base!$T188&gt;K$1185,"",K1652+K1932)</f>
        <v/>
      </c>
      <c r="L1372" s="125" t="str">
        <f>IF(tech_base!$T188&gt;L$1185,"",L1652+L1932)</f>
        <v/>
      </c>
      <c r="M1372" s="125" t="str">
        <f>IF(tech_base!$T188&gt;M$1185,"",M1652+M1932)</f>
        <v/>
      </c>
      <c r="N1372" s="125" t="str">
        <f>IF(tech_base!$T188&gt;N$1185,"",N1652+N1932)</f>
        <v/>
      </c>
      <c r="O1372" s="125" t="str">
        <f>IF(tech_base!$T188&gt;O$1185,"",O1652+O1932)</f>
        <v/>
      </c>
      <c r="P1372" s="125" t="str">
        <f>IF(tech_base!$T188&gt;P$1185,"",P1652+P1932)</f>
        <v/>
      </c>
      <c r="Q1372" s="125" t="str">
        <f>IF(tech_base!$T188&gt;Q$1185,"",Q1652+Q1932)</f>
        <v/>
      </c>
      <c r="R1372" s="125" t="str">
        <f>IF(tech_base!$T188&gt;R$1185,"",R1652+R1932)</f>
        <v/>
      </c>
      <c r="S1372" s="125" t="str">
        <f>IF(tech_base!$T188&gt;S$1185,"",S1652+S1932)</f>
        <v/>
      </c>
      <c r="T1372" s="125" t="str">
        <f>IF(tech_base!$T188&gt;T$1185,"",T1652+T1932)</f>
        <v/>
      </c>
      <c r="U1372" s="125" t="str">
        <f>IF(tech_base!$T188&gt;U$1185,"",U1652+U1932)</f>
        <v/>
      </c>
      <c r="V1372" s="125" t="str">
        <f>IF(tech_base!$T188&gt;V$1185,"",V1652+V1932)</f>
        <v/>
      </c>
      <c r="W1372" s="125" t="str">
        <f>IF(tech_base!$T188&gt;W$1185,"",W1652+W1932)</f>
        <v/>
      </c>
      <c r="X1372" s="125" t="str">
        <f>IF(tech_base!$T188&gt;X$1185,"",X1652+X1932)</f>
        <v/>
      </c>
      <c r="Y1372" s="125" t="str">
        <f>IF(tech_base!$T188&gt;Y$1185,"",Y1652+Y1932)</f>
        <v/>
      </c>
      <c r="Z1372" s="125" t="str">
        <f>IF(tech_base!$T188&gt;Z$1185,"",Z1652+Z1932)</f>
        <v/>
      </c>
      <c r="AA1372" s="125" t="str">
        <f>IF(tech_base!$T188&gt;AA$1185,"",AA1652+AA1932)</f>
        <v/>
      </c>
      <c r="AB1372" s="125" t="str">
        <f>IF(tech_base!$T188&gt;AB$1185,"",AB1652+AB1932)</f>
        <v/>
      </c>
      <c r="AC1372" s="125" t="str">
        <f>IF(tech_base!$T188&gt;AC$1185,"",AC1652+AC1932)</f>
        <v/>
      </c>
      <c r="AD1372" s="125" t="str">
        <f>IF(tech_base!$T188&gt;AD$1185,"",AD1652+AD1932)</f>
        <v/>
      </c>
      <c r="AE1372" s="125">
        <f>IF(tech_base!$T188&gt;AE$1185,"",AE1652+AE1932)</f>
        <v>8.172254210333179</v>
      </c>
      <c r="AF1372" s="125">
        <f>IF(tech_base!$T188&gt;AF$1185,"",AF1652+AF1932)</f>
        <v>8.172254210333179</v>
      </c>
      <c r="AG1372" s="125">
        <f>IF(tech_base!$T188&gt;AG$1185,"",AG1652+AG1932)</f>
        <v>8.172254210333179</v>
      </c>
      <c r="AH1372" s="125">
        <f>IF(tech_base!$T188&gt;AH$1185,"",AH1652+AH1932)</f>
        <v>8.172254210333179</v>
      </c>
      <c r="AI1372" s="125">
        <f>IF(tech_base!$T188&gt;AI$1185,"",AI1652+AI1932)</f>
        <v>8.172254210333179</v>
      </c>
      <c r="AJ1372" s="125">
        <f>IF(tech_base!$T188&gt;AJ$1185,"",AJ1652+AJ1932)</f>
        <v>8.172254210333179</v>
      </c>
      <c r="AK1372" s="125">
        <f>IF(tech_base!$T188&gt;AK$1185,"",AK1652+AK1932)</f>
        <v>8.172254210333179</v>
      </c>
      <c r="AL1372" s="125">
        <f>IF(tech_base!$T188&gt;AL$1185,"",AL1652+AL1932)</f>
        <v>8.172254210333179</v>
      </c>
      <c r="AM1372" s="125">
        <f>IF(tech_base!$T188&gt;AM$1185,"",AM1652+AM1932)</f>
        <v>8.172254210333179</v>
      </c>
      <c r="AN1372" s="125">
        <f>IF(tech_base!$T188&gt;AN$1185,"",AN1652+AN1932)</f>
        <v>8.172254210333179</v>
      </c>
      <c r="AO1372" s="125">
        <f>IF(tech_base!$T188&gt;AO$1185,"",AO1652+AO1932)</f>
        <v>8.172254210333179</v>
      </c>
      <c r="AP1372" s="125">
        <f>IF(tech_base!$T188&gt;AP$1185,"",AP1652+AP1932)</f>
        <v>8.172254210333179</v>
      </c>
      <c r="AQ1372" s="125">
        <f>IF(tech_base!$T188&gt;AQ$1185,"",AQ1652+AQ1932)</f>
        <v>8.172254210333179</v>
      </c>
      <c r="AR1372" s="125">
        <f>IF(tech_base!$T188&gt;AR$1185,"",AR1652+AR1932)</f>
        <v>8.172254210333179</v>
      </c>
      <c r="AS1372" s="125">
        <f>IF(tech_base!$T188&gt;AS$1185,"",AS1652+AS1932)</f>
        <v>8.1715190401622717</v>
      </c>
      <c r="AT1372" s="125">
        <f>IF(tech_base!$T188&gt;AT$1185,"",AT1652+AT1932)</f>
        <v>8.1710486651608303</v>
      </c>
      <c r="AU1372" s="125">
        <f>IF(tech_base!$T188&gt;AU$1185,"",AU1652+AU1932)</f>
        <v>8.1702841471539074</v>
      </c>
      <c r="AV1372" s="125">
        <f>IF(tech_base!$T188&gt;AV$1185,"",AV1652+AV1932)</f>
        <v>8.1690527370270409</v>
      </c>
      <c r="AW1372" s="125">
        <f>IF(tech_base!$T188&gt;AW$1185,"",AW1652+AW1932)</f>
        <v>8.167097952372627</v>
      </c>
      <c r="AX1372" s="126">
        <f>IF(tech_base!$T188&gt;AX$1185,"",AX1652+AX1932)</f>
        <v>8.1640655624086271</v>
      </c>
    </row>
    <row r="1373" spans="1:50" x14ac:dyDescent="0.25">
      <c r="A1373" s="356"/>
      <c r="B1373" s="376"/>
      <c r="C1373" s="361" t="s">
        <v>16</v>
      </c>
      <c r="D1373" s="2" t="s">
        <v>7</v>
      </c>
      <c r="E1373" s="160" t="str">
        <f>A1359&amp;"/"&amp;B1367&amp;"/"&amp;C1373&amp;"/"&amp;D1373</f>
        <v>Fuel oil fired power plants/Supercritical steam turbine/CHP with CCS/L</v>
      </c>
      <c r="F1373" s="76" t="str">
        <f>A1359</f>
        <v>Fuel oil fired power plants</v>
      </c>
      <c r="G1373" s="76" t="str">
        <f>B1367</f>
        <v>Supercritical steam turbine</v>
      </c>
      <c r="H1373" s="76" t="str">
        <f>C1373</f>
        <v>CHP with CCS</v>
      </c>
      <c r="I1373" s="161" t="str">
        <f t="shared" si="374"/>
        <v>L</v>
      </c>
      <c r="J1373" s="119" t="str">
        <f>IF(tech_base!$T189&gt;J$1185,"",J1653+J1933)</f>
        <v/>
      </c>
      <c r="K1373" s="119" t="str">
        <f>IF(tech_base!$T189&gt;K$1185,"",K1653+K1933)</f>
        <v/>
      </c>
      <c r="L1373" s="119" t="str">
        <f>IF(tech_base!$T189&gt;L$1185,"",L1653+L1933)</f>
        <v/>
      </c>
      <c r="M1373" s="119" t="str">
        <f>IF(tech_base!$T189&gt;M$1185,"",M1653+M1933)</f>
        <v/>
      </c>
      <c r="N1373" s="119" t="str">
        <f>IF(tech_base!$T189&gt;N$1185,"",N1653+N1933)</f>
        <v/>
      </c>
      <c r="O1373" s="119" t="str">
        <f>IF(tech_base!$T189&gt;O$1185,"",O1653+O1933)</f>
        <v/>
      </c>
      <c r="P1373" s="119" t="str">
        <f>IF(tech_base!$T189&gt;P$1185,"",P1653+P1933)</f>
        <v/>
      </c>
      <c r="Q1373" s="119" t="str">
        <f>IF(tech_base!$T189&gt;Q$1185,"",Q1653+Q1933)</f>
        <v/>
      </c>
      <c r="R1373" s="119" t="str">
        <f>IF(tech_base!$T189&gt;R$1185,"",R1653+R1933)</f>
        <v/>
      </c>
      <c r="S1373" s="119" t="str">
        <f>IF(tech_base!$T189&gt;S$1185,"",S1653+S1933)</f>
        <v/>
      </c>
      <c r="T1373" s="119" t="str">
        <f>IF(tech_base!$T189&gt;T$1185,"",T1653+T1933)</f>
        <v/>
      </c>
      <c r="U1373" s="119" t="str">
        <f>IF(tech_base!$T189&gt;U$1185,"",U1653+U1933)</f>
        <v/>
      </c>
      <c r="V1373" s="119" t="str">
        <f>IF(tech_base!$T189&gt;V$1185,"",V1653+V1933)</f>
        <v/>
      </c>
      <c r="W1373" s="119" t="str">
        <f>IF(tech_base!$T189&gt;W$1185,"",W1653+W1933)</f>
        <v/>
      </c>
      <c r="X1373" s="119" t="str">
        <f>IF(tech_base!$T189&gt;X$1185,"",X1653+X1933)</f>
        <v/>
      </c>
      <c r="Y1373" s="119" t="str">
        <f>IF(tech_base!$T189&gt;Y$1185,"",Y1653+Y1933)</f>
        <v/>
      </c>
      <c r="Z1373" s="119" t="str">
        <f>IF(tech_base!$T189&gt;Z$1185,"",Z1653+Z1933)</f>
        <v/>
      </c>
      <c r="AA1373" s="119" t="str">
        <f>IF(tech_base!$T189&gt;AA$1185,"",AA1653+AA1933)</f>
        <v/>
      </c>
      <c r="AB1373" s="119" t="str">
        <f>IF(tech_base!$T189&gt;AB$1185,"",AB1653+AB1933)</f>
        <v/>
      </c>
      <c r="AC1373" s="119" t="str">
        <f>IF(tech_base!$T189&gt;AC$1185,"",AC1653+AC1933)</f>
        <v/>
      </c>
      <c r="AD1373" s="119" t="str">
        <f>IF(tech_base!$T189&gt;AD$1185,"",AD1653+AD1933)</f>
        <v/>
      </c>
      <c r="AE1373" s="119">
        <f>IF(tech_base!$T189&gt;AE$1185,"",AE1653+AE1933)</f>
        <v>8.6686158391244863</v>
      </c>
      <c r="AF1373" s="119">
        <f>IF(tech_base!$T189&gt;AF$1185,"",AF1653+AF1933)</f>
        <v>8.6686158391244863</v>
      </c>
      <c r="AG1373" s="119">
        <f>IF(tech_base!$T189&gt;AG$1185,"",AG1653+AG1933)</f>
        <v>8.6686158391244863</v>
      </c>
      <c r="AH1373" s="119">
        <f>IF(tech_base!$T189&gt;AH$1185,"",AH1653+AH1933)</f>
        <v>8.6686158391244863</v>
      </c>
      <c r="AI1373" s="119">
        <f>IF(tech_base!$T189&gt;AI$1185,"",AI1653+AI1933)</f>
        <v>8.6686158391244863</v>
      </c>
      <c r="AJ1373" s="119">
        <f>IF(tech_base!$T189&gt;AJ$1185,"",AJ1653+AJ1933)</f>
        <v>8.6686158391244863</v>
      </c>
      <c r="AK1373" s="119">
        <f>IF(tech_base!$T189&gt;AK$1185,"",AK1653+AK1933)</f>
        <v>8.6686158391244863</v>
      </c>
      <c r="AL1373" s="119">
        <f>IF(tech_base!$T189&gt;AL$1185,"",AL1653+AL1933)</f>
        <v>8.6686158391244863</v>
      </c>
      <c r="AM1373" s="119">
        <f>IF(tech_base!$T189&gt;AM$1185,"",AM1653+AM1933)</f>
        <v>8.6686158391244863</v>
      </c>
      <c r="AN1373" s="119">
        <f>IF(tech_base!$T189&gt;AN$1185,"",AN1653+AN1933)</f>
        <v>8.6686158391244863</v>
      </c>
      <c r="AO1373" s="119">
        <f>IF(tech_base!$T189&gt;AO$1185,"",AO1653+AO1933)</f>
        <v>8.6686158391244863</v>
      </c>
      <c r="AP1373" s="119">
        <f>IF(tech_base!$T189&gt;AP$1185,"",AP1653+AP1933)</f>
        <v>8.6686158391244863</v>
      </c>
      <c r="AQ1373" s="119">
        <f>IF(tech_base!$T189&gt;AQ$1185,"",AQ1653+AQ1933)</f>
        <v>8.6686158391244863</v>
      </c>
      <c r="AR1373" s="119">
        <f>IF(tech_base!$T189&gt;AR$1185,"",AR1653+AR1933)</f>
        <v>8.6686158391244863</v>
      </c>
      <c r="AS1373" s="119">
        <f>IF(tech_base!$T189&gt;AS$1185,"",AS1653+AS1933)</f>
        <v>8.6678360166148138</v>
      </c>
      <c r="AT1373" s="119">
        <f>IF(tech_base!$T189&gt;AT$1185,"",AT1653+AT1933)</f>
        <v>8.6673370722497864</v>
      </c>
      <c r="AU1373" s="119">
        <f>IF(tech_base!$T189&gt;AU$1185,"",AU1653+AU1933)</f>
        <v>8.6665261193922838</v>
      </c>
      <c r="AV1373" s="119">
        <f>IF(tech_base!$T189&gt;AV$1185,"",AV1653+AV1933)</f>
        <v>8.6652199165924859</v>
      </c>
      <c r="AW1373" s="119">
        <f>IF(tech_base!$T189&gt;AW$1185,"",AW1653+AW1933)</f>
        <v>8.6631464033633065</v>
      </c>
      <c r="AX1373" s="120">
        <f>IF(tech_base!$T189&gt;AX$1185,"",AX1653+AX1933)</f>
        <v>8.6599298338592536</v>
      </c>
    </row>
    <row r="1374" spans="1:50" x14ac:dyDescent="0.25">
      <c r="A1374" s="356"/>
      <c r="B1374" s="380"/>
      <c r="C1374" s="381"/>
      <c r="D1374" s="4" t="s">
        <v>8</v>
      </c>
      <c r="E1374" s="168" t="str">
        <f>A1359&amp;"/"&amp;B1367&amp;"/"&amp;C1373&amp;"/"&amp;D1374</f>
        <v>Fuel oil fired power plants/Supercritical steam turbine/CHP with CCS/M</v>
      </c>
      <c r="F1374" s="80" t="str">
        <f>A1359</f>
        <v>Fuel oil fired power plants</v>
      </c>
      <c r="G1374" s="80" t="str">
        <f>B1367</f>
        <v>Supercritical steam turbine</v>
      </c>
      <c r="H1374" s="80" t="str">
        <f>C1373</f>
        <v>CHP with CCS</v>
      </c>
      <c r="I1374" s="169" t="str">
        <f t="shared" si="374"/>
        <v>M</v>
      </c>
      <c r="J1374" s="127" t="str">
        <f>IF(tech_base!$T190&gt;J$1185,"",J1654+J1934)</f>
        <v/>
      </c>
      <c r="K1374" s="127" t="str">
        <f>IF(tech_base!$T190&gt;K$1185,"",K1654+K1934)</f>
        <v/>
      </c>
      <c r="L1374" s="127" t="str">
        <f>IF(tech_base!$T190&gt;L$1185,"",L1654+L1934)</f>
        <v/>
      </c>
      <c r="M1374" s="127" t="str">
        <f>IF(tech_base!$T190&gt;M$1185,"",M1654+M1934)</f>
        <v/>
      </c>
      <c r="N1374" s="127" t="str">
        <f>IF(tech_base!$T190&gt;N$1185,"",N1654+N1934)</f>
        <v/>
      </c>
      <c r="O1374" s="127" t="str">
        <f>IF(tech_base!$T190&gt;O$1185,"",O1654+O1934)</f>
        <v/>
      </c>
      <c r="P1374" s="127" t="str">
        <f>IF(tech_base!$T190&gt;P$1185,"",P1654+P1934)</f>
        <v/>
      </c>
      <c r="Q1374" s="127" t="str">
        <f>IF(tech_base!$T190&gt;Q$1185,"",Q1654+Q1934)</f>
        <v/>
      </c>
      <c r="R1374" s="127" t="str">
        <f>IF(tech_base!$T190&gt;R$1185,"",R1654+R1934)</f>
        <v/>
      </c>
      <c r="S1374" s="127" t="str">
        <f>IF(tech_base!$T190&gt;S$1185,"",S1654+S1934)</f>
        <v/>
      </c>
      <c r="T1374" s="127" t="str">
        <f>IF(tech_base!$T190&gt;T$1185,"",T1654+T1934)</f>
        <v/>
      </c>
      <c r="U1374" s="127" t="str">
        <f>IF(tech_base!$T190&gt;U$1185,"",U1654+U1934)</f>
        <v/>
      </c>
      <c r="V1374" s="127" t="str">
        <f>IF(tech_base!$T190&gt;V$1185,"",V1654+V1934)</f>
        <v/>
      </c>
      <c r="W1374" s="127" t="str">
        <f>IF(tech_base!$T190&gt;W$1185,"",W1654+W1934)</f>
        <v/>
      </c>
      <c r="X1374" s="127" t="str">
        <f>IF(tech_base!$T190&gt;X$1185,"",X1654+X1934)</f>
        <v/>
      </c>
      <c r="Y1374" s="127" t="str">
        <f>IF(tech_base!$T190&gt;Y$1185,"",Y1654+Y1934)</f>
        <v/>
      </c>
      <c r="Z1374" s="127" t="str">
        <f>IF(tech_base!$T190&gt;Z$1185,"",Z1654+Z1934)</f>
        <v/>
      </c>
      <c r="AA1374" s="127" t="str">
        <f>IF(tech_base!$T190&gt;AA$1185,"",AA1654+AA1934)</f>
        <v/>
      </c>
      <c r="AB1374" s="127" t="str">
        <f>IF(tech_base!$T190&gt;AB$1185,"",AB1654+AB1934)</f>
        <v/>
      </c>
      <c r="AC1374" s="127" t="str">
        <f>IF(tech_base!$T190&gt;AC$1185,"",AC1654+AC1934)</f>
        <v/>
      </c>
      <c r="AD1374" s="127" t="str">
        <f>IF(tech_base!$T190&gt;AD$1185,"",AD1654+AD1934)</f>
        <v/>
      </c>
      <c r="AE1374" s="127">
        <f>IF(tech_base!$T190&gt;AE$1185,"",AE1654+AE1934)</f>
        <v>9.2291719218946913</v>
      </c>
      <c r="AF1374" s="127">
        <f>IF(tech_base!$T190&gt;AF$1185,"",AF1654+AF1934)</f>
        <v>9.2291719218946913</v>
      </c>
      <c r="AG1374" s="127">
        <f>IF(tech_base!$T190&gt;AG$1185,"",AG1654+AG1934)</f>
        <v>9.2291719218946913</v>
      </c>
      <c r="AH1374" s="127">
        <f>IF(tech_base!$T190&gt;AH$1185,"",AH1654+AH1934)</f>
        <v>9.2291719218946913</v>
      </c>
      <c r="AI1374" s="127">
        <f>IF(tech_base!$T190&gt;AI$1185,"",AI1654+AI1934)</f>
        <v>9.2291719218946913</v>
      </c>
      <c r="AJ1374" s="127">
        <f>IF(tech_base!$T190&gt;AJ$1185,"",AJ1654+AJ1934)</f>
        <v>9.2291719218946913</v>
      </c>
      <c r="AK1374" s="127">
        <f>IF(tech_base!$T190&gt;AK$1185,"",AK1654+AK1934)</f>
        <v>9.2291719218946913</v>
      </c>
      <c r="AL1374" s="127">
        <f>IF(tech_base!$T190&gt;AL$1185,"",AL1654+AL1934)</f>
        <v>9.2291719218946913</v>
      </c>
      <c r="AM1374" s="127">
        <f>IF(tech_base!$T190&gt;AM$1185,"",AM1654+AM1934)</f>
        <v>9.2291719218946913</v>
      </c>
      <c r="AN1374" s="127">
        <f>IF(tech_base!$T190&gt;AN$1185,"",AN1654+AN1934)</f>
        <v>9.2291719218946913</v>
      </c>
      <c r="AO1374" s="127">
        <f>IF(tech_base!$T190&gt;AO$1185,"",AO1654+AO1934)</f>
        <v>9.2291719218946913</v>
      </c>
      <c r="AP1374" s="127">
        <f>IF(tech_base!$T190&gt;AP$1185,"",AP1654+AP1934)</f>
        <v>9.2291719218946913</v>
      </c>
      <c r="AQ1374" s="127">
        <f>IF(tech_base!$T190&gt;AQ$1185,"",AQ1654+AQ1934)</f>
        <v>9.2291719218946913</v>
      </c>
      <c r="AR1374" s="127">
        <f>IF(tech_base!$T190&gt;AR$1185,"",AR1654+AR1934)</f>
        <v>9.2291719218946913</v>
      </c>
      <c r="AS1374" s="127">
        <f>IF(tech_base!$T190&gt;AS$1185,"",AS1654+AS1934)</f>
        <v>9.2283416721588747</v>
      </c>
      <c r="AT1374" s="127">
        <f>IF(tech_base!$T190&gt;AT$1185,"",AT1654+AT1934)</f>
        <v>9.2278104635542082</v>
      </c>
      <c r="AU1374" s="127">
        <f>IF(tech_base!$T190&gt;AU$1185,"",AU1654+AU1934)</f>
        <v>9.2269470704264744</v>
      </c>
      <c r="AV1374" s="127">
        <f>IF(tech_base!$T190&gt;AV$1185,"",AV1654+AV1934)</f>
        <v>9.2255564020166716</v>
      </c>
      <c r="AW1374" s="127">
        <f>IF(tech_base!$T190&gt;AW$1185,"",AW1654+AW1934)</f>
        <v>9.2233488050450738</v>
      </c>
      <c r="AX1374" s="128">
        <f>IF(tech_base!$T190&gt;AX$1185,"",AX1654+AX1934)</f>
        <v>9.2199242360593701</v>
      </c>
    </row>
    <row r="1375" spans="1:50" x14ac:dyDescent="0.25">
      <c r="A1375" s="356"/>
      <c r="B1375" s="358" t="s">
        <v>19</v>
      </c>
      <c r="C1375" s="353" t="s">
        <v>6</v>
      </c>
      <c r="D1375" s="3" t="s">
        <v>7</v>
      </c>
      <c r="E1375" s="162" t="str">
        <f>A1359&amp;"/"&amp;B1375&amp;"/"&amp;C1375&amp;"/"&amp;D1375</f>
        <v>Fuel oil fired power plants/Steam turbine/Electricity only/L</v>
      </c>
      <c r="F1375" s="77" t="str">
        <f>A1359</f>
        <v>Fuel oil fired power plants</v>
      </c>
      <c r="G1375" s="77" t="str">
        <f>B1375</f>
        <v>Steam turbine</v>
      </c>
      <c r="H1375" s="77" t="str">
        <f>C1375</f>
        <v>Electricity only</v>
      </c>
      <c r="I1375" s="163" t="str">
        <f t="shared" si="374"/>
        <v>L</v>
      </c>
      <c r="J1375" s="121">
        <f>IF(tech_base!$T191&gt;J$1185,"",J1655+J1935)</f>
        <v>0</v>
      </c>
      <c r="K1375" s="121">
        <f>IF(tech_base!$T191&gt;K$1185,"",K1655+K1935)</f>
        <v>0</v>
      </c>
      <c r="L1375" s="121">
        <f>IF(tech_base!$T191&gt;L$1185,"",L1655+L1935)</f>
        <v>0</v>
      </c>
      <c r="M1375" s="121">
        <f>IF(tech_base!$T191&gt;M$1185,"",M1655+M1935)</f>
        <v>0</v>
      </c>
      <c r="N1375" s="121">
        <f>IF(tech_base!$T191&gt;N$1185,"",N1655+N1935)</f>
        <v>0</v>
      </c>
      <c r="O1375" s="121">
        <f>IF(tech_base!$T191&gt;O$1185,"",O1655+O1935)</f>
        <v>0</v>
      </c>
      <c r="P1375" s="121">
        <f>IF(tech_base!$T191&gt;P$1185,"",P1655+P1935)</f>
        <v>0</v>
      </c>
      <c r="Q1375" s="121">
        <f>IF(tech_base!$T191&gt;Q$1185,"",Q1655+Q1935)</f>
        <v>0</v>
      </c>
      <c r="R1375" s="121">
        <f>IF(tech_base!$T191&gt;R$1185,"",R1655+R1935)</f>
        <v>0</v>
      </c>
      <c r="S1375" s="121">
        <f>IF(tech_base!$T191&gt;S$1185,"",S1655+S1935)</f>
        <v>0</v>
      </c>
      <c r="T1375" s="121">
        <f>IF(tech_base!$T191&gt;T$1185,"",T1655+T1935)</f>
        <v>0</v>
      </c>
      <c r="U1375" s="121">
        <f>IF(tech_base!$T191&gt;U$1185,"",U1655+U1935)</f>
        <v>0</v>
      </c>
      <c r="V1375" s="121">
        <f>IF(tech_base!$T191&gt;V$1185,"",V1655+V1935)</f>
        <v>0</v>
      </c>
      <c r="W1375" s="121">
        <f>IF(tech_base!$T191&gt;W$1185,"",W1655+W1935)</f>
        <v>0</v>
      </c>
      <c r="X1375" s="121">
        <f>IF(tech_base!$T191&gt;X$1185,"",X1655+X1935)</f>
        <v>0</v>
      </c>
      <c r="Y1375" s="121">
        <f>IF(tech_base!$T191&gt;Y$1185,"",Y1655+Y1935)</f>
        <v>0</v>
      </c>
      <c r="Z1375" s="121">
        <f>IF(tech_base!$T191&gt;Z$1185,"",Z1655+Z1935)</f>
        <v>0</v>
      </c>
      <c r="AA1375" s="121">
        <f>IF(tech_base!$T191&gt;AA$1185,"",AA1655+AA1935)</f>
        <v>0</v>
      </c>
      <c r="AB1375" s="121">
        <f>IF(tech_base!$T191&gt;AB$1185,"",AB1655+AB1935)</f>
        <v>0</v>
      </c>
      <c r="AC1375" s="121">
        <f>IF(tech_base!$T191&gt;AC$1185,"",AC1655+AC1935)</f>
        <v>0</v>
      </c>
      <c r="AD1375" s="121">
        <f>IF(tech_base!$T191&gt;AD$1185,"",AD1655+AD1935)</f>
        <v>0</v>
      </c>
      <c r="AE1375" s="121">
        <f>IF(tech_base!$T191&gt;AE$1185,"",AE1655+AE1935)</f>
        <v>0</v>
      </c>
      <c r="AF1375" s="121">
        <f>IF(tech_base!$T191&gt;AF$1185,"",AF1655+AF1935)</f>
        <v>0</v>
      </c>
      <c r="AG1375" s="121">
        <f>IF(tech_base!$T191&gt;AG$1185,"",AG1655+AG1935)</f>
        <v>0</v>
      </c>
      <c r="AH1375" s="121">
        <f>IF(tech_base!$T191&gt;AH$1185,"",AH1655+AH1935)</f>
        <v>0</v>
      </c>
      <c r="AI1375" s="121">
        <f>IF(tech_base!$T191&gt;AI$1185,"",AI1655+AI1935)</f>
        <v>0</v>
      </c>
      <c r="AJ1375" s="121">
        <f>IF(tech_base!$T191&gt;AJ$1185,"",AJ1655+AJ1935)</f>
        <v>0</v>
      </c>
      <c r="AK1375" s="121">
        <f>IF(tech_base!$T191&gt;AK$1185,"",AK1655+AK1935)</f>
        <v>0</v>
      </c>
      <c r="AL1375" s="121">
        <f>IF(tech_base!$T191&gt;AL$1185,"",AL1655+AL1935)</f>
        <v>0</v>
      </c>
      <c r="AM1375" s="121">
        <f>IF(tech_base!$T191&gt;AM$1185,"",AM1655+AM1935)</f>
        <v>0</v>
      </c>
      <c r="AN1375" s="121">
        <f>IF(tech_base!$T191&gt;AN$1185,"",AN1655+AN1935)</f>
        <v>0</v>
      </c>
      <c r="AO1375" s="121">
        <f>IF(tech_base!$T191&gt;AO$1185,"",AO1655+AO1935)</f>
        <v>0</v>
      </c>
      <c r="AP1375" s="121">
        <f>IF(tech_base!$T191&gt;AP$1185,"",AP1655+AP1935)</f>
        <v>0</v>
      </c>
      <c r="AQ1375" s="121">
        <f>IF(tech_base!$T191&gt;AQ$1185,"",AQ1655+AQ1935)</f>
        <v>0</v>
      </c>
      <c r="AR1375" s="121">
        <f>IF(tech_base!$T191&gt;AR$1185,"",AR1655+AR1935)</f>
        <v>0</v>
      </c>
      <c r="AS1375" s="121">
        <f>IF(tech_base!$T191&gt;AS$1185,"",AS1655+AS1935)</f>
        <v>0</v>
      </c>
      <c r="AT1375" s="121">
        <f>IF(tech_base!$T191&gt;AT$1185,"",AT1655+AT1935)</f>
        <v>0</v>
      </c>
      <c r="AU1375" s="121">
        <f>IF(tech_base!$T191&gt;AU$1185,"",AU1655+AU1935)</f>
        <v>0</v>
      </c>
      <c r="AV1375" s="121">
        <f>IF(tech_base!$T191&gt;AV$1185,"",AV1655+AV1935)</f>
        <v>0</v>
      </c>
      <c r="AW1375" s="121">
        <f>IF(tech_base!$T191&gt;AW$1185,"",AW1655+AW1935)</f>
        <v>0</v>
      </c>
      <c r="AX1375" s="122">
        <f>IF(tech_base!$T191&gt;AX$1185,"",AX1655+AX1935)</f>
        <v>0</v>
      </c>
    </row>
    <row r="1376" spans="1:50" x14ac:dyDescent="0.25">
      <c r="A1376" s="356"/>
      <c r="B1376" s="376"/>
      <c r="C1376" s="378"/>
      <c r="D1376" s="2" t="s">
        <v>8</v>
      </c>
      <c r="E1376" s="160" t="str">
        <f>A1359&amp;"/"&amp;B1375&amp;"/"&amp;C1375&amp;"/"&amp;D1376</f>
        <v>Fuel oil fired power plants/Steam turbine/Electricity only/M</v>
      </c>
      <c r="F1376" s="76" t="str">
        <f>A1359</f>
        <v>Fuel oil fired power plants</v>
      </c>
      <c r="G1376" s="76" t="str">
        <f>B1375</f>
        <v>Steam turbine</v>
      </c>
      <c r="H1376" s="76" t="str">
        <f>C1375</f>
        <v>Electricity only</v>
      </c>
      <c r="I1376" s="161" t="str">
        <f t="shared" si="374"/>
        <v>M</v>
      </c>
      <c r="J1376" s="119">
        <f>IF(tech_base!$T192&gt;J$1185,"",J1656+J1936)</f>
        <v>0</v>
      </c>
      <c r="K1376" s="119">
        <f>IF(tech_base!$T192&gt;K$1185,"",K1656+K1936)</f>
        <v>0</v>
      </c>
      <c r="L1376" s="119">
        <f>IF(tech_base!$T192&gt;L$1185,"",L1656+L1936)</f>
        <v>0</v>
      </c>
      <c r="M1376" s="119">
        <f>IF(tech_base!$T192&gt;M$1185,"",M1656+M1936)</f>
        <v>0</v>
      </c>
      <c r="N1376" s="119">
        <f>IF(tech_base!$T192&gt;N$1185,"",N1656+N1936)</f>
        <v>0</v>
      </c>
      <c r="O1376" s="119">
        <f>IF(tech_base!$T192&gt;O$1185,"",O1656+O1936)</f>
        <v>0</v>
      </c>
      <c r="P1376" s="119">
        <f>IF(tech_base!$T192&gt;P$1185,"",P1656+P1936)</f>
        <v>0</v>
      </c>
      <c r="Q1376" s="119">
        <f>IF(tech_base!$T192&gt;Q$1185,"",Q1656+Q1936)</f>
        <v>0</v>
      </c>
      <c r="R1376" s="119">
        <f>IF(tech_base!$T192&gt;R$1185,"",R1656+R1936)</f>
        <v>0</v>
      </c>
      <c r="S1376" s="119">
        <f>IF(tech_base!$T192&gt;S$1185,"",S1656+S1936)</f>
        <v>0</v>
      </c>
      <c r="T1376" s="119">
        <f>IF(tech_base!$T192&gt;T$1185,"",T1656+T1936)</f>
        <v>0</v>
      </c>
      <c r="U1376" s="119">
        <f>IF(tech_base!$T192&gt;U$1185,"",U1656+U1936)</f>
        <v>0</v>
      </c>
      <c r="V1376" s="119">
        <f>IF(tech_base!$T192&gt;V$1185,"",V1656+V1936)</f>
        <v>0</v>
      </c>
      <c r="W1376" s="119">
        <f>IF(tech_base!$T192&gt;W$1185,"",W1656+W1936)</f>
        <v>0</v>
      </c>
      <c r="X1376" s="119">
        <f>IF(tech_base!$T192&gt;X$1185,"",X1656+X1936)</f>
        <v>0</v>
      </c>
      <c r="Y1376" s="119">
        <f>IF(tech_base!$T192&gt;Y$1185,"",Y1656+Y1936)</f>
        <v>0</v>
      </c>
      <c r="Z1376" s="119">
        <f>IF(tech_base!$T192&gt;Z$1185,"",Z1656+Z1936)</f>
        <v>0</v>
      </c>
      <c r="AA1376" s="119">
        <f>IF(tech_base!$T192&gt;AA$1185,"",AA1656+AA1936)</f>
        <v>0</v>
      </c>
      <c r="AB1376" s="119">
        <f>IF(tech_base!$T192&gt;AB$1185,"",AB1656+AB1936)</f>
        <v>0</v>
      </c>
      <c r="AC1376" s="119">
        <f>IF(tech_base!$T192&gt;AC$1185,"",AC1656+AC1936)</f>
        <v>0</v>
      </c>
      <c r="AD1376" s="119">
        <f>IF(tech_base!$T192&gt;AD$1185,"",AD1656+AD1936)</f>
        <v>0</v>
      </c>
      <c r="AE1376" s="119">
        <f>IF(tech_base!$T192&gt;AE$1185,"",AE1656+AE1936)</f>
        <v>0</v>
      </c>
      <c r="AF1376" s="119">
        <f>IF(tech_base!$T192&gt;AF$1185,"",AF1656+AF1936)</f>
        <v>0</v>
      </c>
      <c r="AG1376" s="119">
        <f>IF(tech_base!$T192&gt;AG$1185,"",AG1656+AG1936)</f>
        <v>0</v>
      </c>
      <c r="AH1376" s="119">
        <f>IF(tech_base!$T192&gt;AH$1185,"",AH1656+AH1936)</f>
        <v>0</v>
      </c>
      <c r="AI1376" s="119">
        <f>IF(tech_base!$T192&gt;AI$1185,"",AI1656+AI1936)</f>
        <v>0</v>
      </c>
      <c r="AJ1376" s="119">
        <f>IF(tech_base!$T192&gt;AJ$1185,"",AJ1656+AJ1936)</f>
        <v>0</v>
      </c>
      <c r="AK1376" s="119">
        <f>IF(tech_base!$T192&gt;AK$1185,"",AK1656+AK1936)</f>
        <v>0</v>
      </c>
      <c r="AL1376" s="119">
        <f>IF(tech_base!$T192&gt;AL$1185,"",AL1656+AL1936)</f>
        <v>0</v>
      </c>
      <c r="AM1376" s="119">
        <f>IF(tech_base!$T192&gt;AM$1185,"",AM1656+AM1936)</f>
        <v>0</v>
      </c>
      <c r="AN1376" s="119">
        <f>IF(tech_base!$T192&gt;AN$1185,"",AN1656+AN1936)</f>
        <v>0</v>
      </c>
      <c r="AO1376" s="119">
        <f>IF(tech_base!$T192&gt;AO$1185,"",AO1656+AO1936)</f>
        <v>0</v>
      </c>
      <c r="AP1376" s="119">
        <f>IF(tech_base!$T192&gt;AP$1185,"",AP1656+AP1936)</f>
        <v>0</v>
      </c>
      <c r="AQ1376" s="119">
        <f>IF(tech_base!$T192&gt;AQ$1185,"",AQ1656+AQ1936)</f>
        <v>0</v>
      </c>
      <c r="AR1376" s="119">
        <f>IF(tech_base!$T192&gt;AR$1185,"",AR1656+AR1936)</f>
        <v>0</v>
      </c>
      <c r="AS1376" s="119">
        <f>IF(tech_base!$T192&gt;AS$1185,"",AS1656+AS1936)</f>
        <v>0</v>
      </c>
      <c r="AT1376" s="119">
        <f>IF(tech_base!$T192&gt;AT$1185,"",AT1656+AT1936)</f>
        <v>0</v>
      </c>
      <c r="AU1376" s="119">
        <f>IF(tech_base!$T192&gt;AU$1185,"",AU1656+AU1936)</f>
        <v>0</v>
      </c>
      <c r="AV1376" s="119">
        <f>IF(tech_base!$T192&gt;AV$1185,"",AV1656+AV1936)</f>
        <v>0</v>
      </c>
      <c r="AW1376" s="119">
        <f>IF(tech_base!$T192&gt;AW$1185,"",AW1656+AW1936)</f>
        <v>0</v>
      </c>
      <c r="AX1376" s="120">
        <f>IF(tech_base!$T192&gt;AX$1185,"",AX1656+AX1936)</f>
        <v>0</v>
      </c>
    </row>
    <row r="1377" spans="1:50" x14ac:dyDescent="0.25">
      <c r="A1377" s="356"/>
      <c r="B1377" s="376"/>
      <c r="C1377" s="378"/>
      <c r="D1377" s="2" t="s">
        <v>10</v>
      </c>
      <c r="E1377" s="160" t="str">
        <f>A1359&amp;"/"&amp;B1375&amp;"/"&amp;C1375&amp;"/"&amp;D1377</f>
        <v>Fuel oil fired power plants/Steam turbine/Electricity only/S</v>
      </c>
      <c r="F1377" s="76" t="str">
        <f>A1359</f>
        <v>Fuel oil fired power plants</v>
      </c>
      <c r="G1377" s="76" t="str">
        <f>B1375</f>
        <v>Steam turbine</v>
      </c>
      <c r="H1377" s="76" t="str">
        <f>C1375</f>
        <v>Electricity only</v>
      </c>
      <c r="I1377" s="161" t="str">
        <f t="shared" si="374"/>
        <v>S</v>
      </c>
      <c r="J1377" s="119">
        <f>IF(tech_base!$T193&gt;J$1185,"",J1657+J1937)</f>
        <v>0</v>
      </c>
      <c r="K1377" s="119">
        <f>IF(tech_base!$T193&gt;K$1185,"",K1657+K1937)</f>
        <v>0</v>
      </c>
      <c r="L1377" s="119">
        <f>IF(tech_base!$T193&gt;L$1185,"",L1657+L1937)</f>
        <v>0</v>
      </c>
      <c r="M1377" s="119">
        <f>IF(tech_base!$T193&gt;M$1185,"",M1657+M1937)</f>
        <v>0</v>
      </c>
      <c r="N1377" s="119">
        <f>IF(tech_base!$T193&gt;N$1185,"",N1657+N1937)</f>
        <v>0</v>
      </c>
      <c r="O1377" s="119">
        <f>IF(tech_base!$T193&gt;O$1185,"",O1657+O1937)</f>
        <v>0</v>
      </c>
      <c r="P1377" s="119">
        <f>IF(tech_base!$T193&gt;P$1185,"",P1657+P1937)</f>
        <v>0</v>
      </c>
      <c r="Q1377" s="119">
        <f>IF(tech_base!$T193&gt;Q$1185,"",Q1657+Q1937)</f>
        <v>0</v>
      </c>
      <c r="R1377" s="119">
        <f>IF(tech_base!$T193&gt;R$1185,"",R1657+R1937)</f>
        <v>0</v>
      </c>
      <c r="S1377" s="119">
        <f>IF(tech_base!$T193&gt;S$1185,"",S1657+S1937)</f>
        <v>0</v>
      </c>
      <c r="T1377" s="119">
        <f>IF(tech_base!$T193&gt;T$1185,"",T1657+T1937)</f>
        <v>0</v>
      </c>
      <c r="U1377" s="119">
        <f>IF(tech_base!$T193&gt;U$1185,"",U1657+U1937)</f>
        <v>0</v>
      </c>
      <c r="V1377" s="119">
        <f>IF(tech_base!$T193&gt;V$1185,"",V1657+V1937)</f>
        <v>0</v>
      </c>
      <c r="W1377" s="119">
        <f>IF(tech_base!$T193&gt;W$1185,"",W1657+W1937)</f>
        <v>0</v>
      </c>
      <c r="X1377" s="119">
        <f>IF(tech_base!$T193&gt;X$1185,"",X1657+X1937)</f>
        <v>0</v>
      </c>
      <c r="Y1377" s="119">
        <f>IF(tech_base!$T193&gt;Y$1185,"",Y1657+Y1937)</f>
        <v>0</v>
      </c>
      <c r="Z1377" s="119">
        <f>IF(tech_base!$T193&gt;Z$1185,"",Z1657+Z1937)</f>
        <v>0</v>
      </c>
      <c r="AA1377" s="119">
        <f>IF(tech_base!$T193&gt;AA$1185,"",AA1657+AA1937)</f>
        <v>0</v>
      </c>
      <c r="AB1377" s="119">
        <f>IF(tech_base!$T193&gt;AB$1185,"",AB1657+AB1937)</f>
        <v>0</v>
      </c>
      <c r="AC1377" s="119">
        <f>IF(tech_base!$T193&gt;AC$1185,"",AC1657+AC1937)</f>
        <v>0</v>
      </c>
      <c r="AD1377" s="119">
        <f>IF(tech_base!$T193&gt;AD$1185,"",AD1657+AD1937)</f>
        <v>0</v>
      </c>
      <c r="AE1377" s="119">
        <f>IF(tech_base!$T193&gt;AE$1185,"",AE1657+AE1937)</f>
        <v>0</v>
      </c>
      <c r="AF1377" s="119">
        <f>IF(tech_base!$T193&gt;AF$1185,"",AF1657+AF1937)</f>
        <v>0</v>
      </c>
      <c r="AG1377" s="119">
        <f>IF(tech_base!$T193&gt;AG$1185,"",AG1657+AG1937)</f>
        <v>0</v>
      </c>
      <c r="AH1377" s="119">
        <f>IF(tech_base!$T193&gt;AH$1185,"",AH1657+AH1937)</f>
        <v>0</v>
      </c>
      <c r="AI1377" s="119">
        <f>IF(tech_base!$T193&gt;AI$1185,"",AI1657+AI1937)</f>
        <v>0</v>
      </c>
      <c r="AJ1377" s="119">
        <f>IF(tech_base!$T193&gt;AJ$1185,"",AJ1657+AJ1937)</f>
        <v>0</v>
      </c>
      <c r="AK1377" s="119">
        <f>IF(tech_base!$T193&gt;AK$1185,"",AK1657+AK1937)</f>
        <v>0</v>
      </c>
      <c r="AL1377" s="119">
        <f>IF(tech_base!$T193&gt;AL$1185,"",AL1657+AL1937)</f>
        <v>0</v>
      </c>
      <c r="AM1377" s="119">
        <f>IF(tech_base!$T193&gt;AM$1185,"",AM1657+AM1937)</f>
        <v>0</v>
      </c>
      <c r="AN1377" s="119">
        <f>IF(tech_base!$T193&gt;AN$1185,"",AN1657+AN1937)</f>
        <v>0</v>
      </c>
      <c r="AO1377" s="119">
        <f>IF(tech_base!$T193&gt;AO$1185,"",AO1657+AO1937)</f>
        <v>0</v>
      </c>
      <c r="AP1377" s="119">
        <f>IF(tech_base!$T193&gt;AP$1185,"",AP1657+AP1937)</f>
        <v>0</v>
      </c>
      <c r="AQ1377" s="119">
        <f>IF(tech_base!$T193&gt;AQ$1185,"",AQ1657+AQ1937)</f>
        <v>0</v>
      </c>
      <c r="AR1377" s="119">
        <f>IF(tech_base!$T193&gt;AR$1185,"",AR1657+AR1937)</f>
        <v>0</v>
      </c>
      <c r="AS1377" s="119">
        <f>IF(tech_base!$T193&gt;AS$1185,"",AS1657+AS1937)</f>
        <v>0</v>
      </c>
      <c r="AT1377" s="119">
        <f>IF(tech_base!$T193&gt;AT$1185,"",AT1657+AT1937)</f>
        <v>0</v>
      </c>
      <c r="AU1377" s="119">
        <f>IF(tech_base!$T193&gt;AU$1185,"",AU1657+AU1937)</f>
        <v>0</v>
      </c>
      <c r="AV1377" s="119">
        <f>IF(tech_base!$T193&gt;AV$1185,"",AV1657+AV1937)</f>
        <v>0</v>
      </c>
      <c r="AW1377" s="119">
        <f>IF(tech_base!$T193&gt;AW$1185,"",AW1657+AW1937)</f>
        <v>0</v>
      </c>
      <c r="AX1377" s="120">
        <f>IF(tech_base!$T193&gt;AX$1185,"",AX1657+AX1937)</f>
        <v>0</v>
      </c>
    </row>
    <row r="1378" spans="1:50" x14ac:dyDescent="0.25">
      <c r="A1378" s="356"/>
      <c r="B1378" s="376"/>
      <c r="C1378" s="379"/>
      <c r="D1378" s="2" t="s">
        <v>20</v>
      </c>
      <c r="E1378" s="160" t="str">
        <f>A1359&amp;"/"&amp;B1375&amp;"/"&amp;C1375&amp;"/"&amp;D1378</f>
        <v>Fuel oil fired power plants/Steam turbine/Electricity only/XS</v>
      </c>
      <c r="F1378" s="76" t="str">
        <f>A1359</f>
        <v>Fuel oil fired power plants</v>
      </c>
      <c r="G1378" s="76" t="str">
        <f>B1375</f>
        <v>Steam turbine</v>
      </c>
      <c r="H1378" s="76" t="str">
        <f>C1375</f>
        <v>Electricity only</v>
      </c>
      <c r="I1378" s="161" t="str">
        <f t="shared" si="374"/>
        <v>XS</v>
      </c>
      <c r="J1378" s="119">
        <f>IF(tech_base!$T194&gt;J$1185,"",J1658+J1938)</f>
        <v>0</v>
      </c>
      <c r="K1378" s="119">
        <f>IF(tech_base!$T194&gt;K$1185,"",K1658+K1938)</f>
        <v>0</v>
      </c>
      <c r="L1378" s="119">
        <f>IF(tech_base!$T194&gt;L$1185,"",L1658+L1938)</f>
        <v>0</v>
      </c>
      <c r="M1378" s="119">
        <f>IF(tech_base!$T194&gt;M$1185,"",M1658+M1938)</f>
        <v>0</v>
      </c>
      <c r="N1378" s="119">
        <f>IF(tech_base!$T194&gt;N$1185,"",N1658+N1938)</f>
        <v>0</v>
      </c>
      <c r="O1378" s="119">
        <f>IF(tech_base!$T194&gt;O$1185,"",O1658+O1938)</f>
        <v>0</v>
      </c>
      <c r="P1378" s="119">
        <f>IF(tech_base!$T194&gt;P$1185,"",P1658+P1938)</f>
        <v>0</v>
      </c>
      <c r="Q1378" s="119">
        <f>IF(tech_base!$T194&gt;Q$1185,"",Q1658+Q1938)</f>
        <v>0</v>
      </c>
      <c r="R1378" s="119">
        <f>IF(tech_base!$T194&gt;R$1185,"",R1658+R1938)</f>
        <v>0</v>
      </c>
      <c r="S1378" s="119">
        <f>IF(tech_base!$T194&gt;S$1185,"",S1658+S1938)</f>
        <v>0</v>
      </c>
      <c r="T1378" s="119">
        <f>IF(tech_base!$T194&gt;T$1185,"",T1658+T1938)</f>
        <v>0</v>
      </c>
      <c r="U1378" s="119">
        <f>IF(tech_base!$T194&gt;U$1185,"",U1658+U1938)</f>
        <v>0</v>
      </c>
      <c r="V1378" s="119">
        <f>IF(tech_base!$T194&gt;V$1185,"",V1658+V1938)</f>
        <v>0</v>
      </c>
      <c r="W1378" s="119">
        <f>IF(tech_base!$T194&gt;W$1185,"",W1658+W1938)</f>
        <v>0</v>
      </c>
      <c r="X1378" s="119">
        <f>IF(tech_base!$T194&gt;X$1185,"",X1658+X1938)</f>
        <v>0</v>
      </c>
      <c r="Y1378" s="119">
        <f>IF(tech_base!$T194&gt;Y$1185,"",Y1658+Y1938)</f>
        <v>0</v>
      </c>
      <c r="Z1378" s="119">
        <f>IF(tech_base!$T194&gt;Z$1185,"",Z1658+Z1938)</f>
        <v>0</v>
      </c>
      <c r="AA1378" s="119">
        <f>IF(tech_base!$T194&gt;AA$1185,"",AA1658+AA1938)</f>
        <v>0</v>
      </c>
      <c r="AB1378" s="119">
        <f>IF(tech_base!$T194&gt;AB$1185,"",AB1658+AB1938)</f>
        <v>0</v>
      </c>
      <c r="AC1378" s="119">
        <f>IF(tech_base!$T194&gt;AC$1185,"",AC1658+AC1938)</f>
        <v>0</v>
      </c>
      <c r="AD1378" s="119">
        <f>IF(tech_base!$T194&gt;AD$1185,"",AD1658+AD1938)</f>
        <v>0</v>
      </c>
      <c r="AE1378" s="119">
        <f>IF(tech_base!$T194&gt;AE$1185,"",AE1658+AE1938)</f>
        <v>0</v>
      </c>
      <c r="AF1378" s="119">
        <f>IF(tech_base!$T194&gt;AF$1185,"",AF1658+AF1938)</f>
        <v>0</v>
      </c>
      <c r="AG1378" s="119">
        <f>IF(tech_base!$T194&gt;AG$1185,"",AG1658+AG1938)</f>
        <v>0</v>
      </c>
      <c r="AH1378" s="119">
        <f>IF(tech_base!$T194&gt;AH$1185,"",AH1658+AH1938)</f>
        <v>0</v>
      </c>
      <c r="AI1378" s="119">
        <f>IF(tech_base!$T194&gt;AI$1185,"",AI1658+AI1938)</f>
        <v>0</v>
      </c>
      <c r="AJ1378" s="119">
        <f>IF(tech_base!$T194&gt;AJ$1185,"",AJ1658+AJ1938)</f>
        <v>0</v>
      </c>
      <c r="AK1378" s="119">
        <f>IF(tech_base!$T194&gt;AK$1185,"",AK1658+AK1938)</f>
        <v>0</v>
      </c>
      <c r="AL1378" s="119">
        <f>IF(tech_base!$T194&gt;AL$1185,"",AL1658+AL1938)</f>
        <v>0</v>
      </c>
      <c r="AM1378" s="119">
        <f>IF(tech_base!$T194&gt;AM$1185,"",AM1658+AM1938)</f>
        <v>0</v>
      </c>
      <c r="AN1378" s="119">
        <f>IF(tech_base!$T194&gt;AN$1185,"",AN1658+AN1938)</f>
        <v>0</v>
      </c>
      <c r="AO1378" s="119">
        <f>IF(tech_base!$T194&gt;AO$1185,"",AO1658+AO1938)</f>
        <v>0</v>
      </c>
      <c r="AP1378" s="119">
        <f>IF(tech_base!$T194&gt;AP$1185,"",AP1658+AP1938)</f>
        <v>0</v>
      </c>
      <c r="AQ1378" s="119">
        <f>IF(tech_base!$T194&gt;AQ$1185,"",AQ1658+AQ1938)</f>
        <v>0</v>
      </c>
      <c r="AR1378" s="119">
        <f>IF(tech_base!$T194&gt;AR$1185,"",AR1658+AR1938)</f>
        <v>0</v>
      </c>
      <c r="AS1378" s="119">
        <f>IF(tech_base!$T194&gt;AS$1185,"",AS1658+AS1938)</f>
        <v>0</v>
      </c>
      <c r="AT1378" s="119">
        <f>IF(tech_base!$T194&gt;AT$1185,"",AT1658+AT1938)</f>
        <v>0</v>
      </c>
      <c r="AU1378" s="119">
        <f>IF(tech_base!$T194&gt;AU$1185,"",AU1658+AU1938)</f>
        <v>0</v>
      </c>
      <c r="AV1378" s="119">
        <f>IF(tech_base!$T194&gt;AV$1185,"",AV1658+AV1938)</f>
        <v>0</v>
      </c>
      <c r="AW1378" s="119">
        <f>IF(tech_base!$T194&gt;AW$1185,"",AW1658+AW1938)</f>
        <v>0</v>
      </c>
      <c r="AX1378" s="120">
        <f>IF(tech_base!$T194&gt;AX$1185,"",AX1658+AX1938)</f>
        <v>0</v>
      </c>
    </row>
    <row r="1379" spans="1:50" x14ac:dyDescent="0.25">
      <c r="A1379" s="356"/>
      <c r="B1379" s="376"/>
      <c r="C1379" s="361" t="s">
        <v>14</v>
      </c>
      <c r="D1379" s="58" t="s">
        <v>7</v>
      </c>
      <c r="E1379" s="164" t="str">
        <f>A1359&amp;"/"&amp;B1375&amp;"/"&amp;C1379&amp;"/"&amp;D1379</f>
        <v>Fuel oil fired power plants/Steam turbine/CHP/L</v>
      </c>
      <c r="F1379" s="78" t="str">
        <f>A1359</f>
        <v>Fuel oil fired power plants</v>
      </c>
      <c r="G1379" s="78" t="str">
        <f>B1375</f>
        <v>Steam turbine</v>
      </c>
      <c r="H1379" s="78" t="str">
        <f>C1379</f>
        <v>CHP</v>
      </c>
      <c r="I1379" s="165" t="str">
        <f t="shared" ref="I1379:I1442" si="375">D1379</f>
        <v>L</v>
      </c>
      <c r="J1379" s="123">
        <f>IF(tech_base!$T195&gt;J$1185,"",J1659+J1939)</f>
        <v>0</v>
      </c>
      <c r="K1379" s="123">
        <f>IF(tech_base!$T195&gt;K$1185,"",K1659+K1939)</f>
        <v>0</v>
      </c>
      <c r="L1379" s="123">
        <f>IF(tech_base!$T195&gt;L$1185,"",L1659+L1939)</f>
        <v>0</v>
      </c>
      <c r="M1379" s="123">
        <f>IF(tech_base!$T195&gt;M$1185,"",M1659+M1939)</f>
        <v>0</v>
      </c>
      <c r="N1379" s="123">
        <f>IF(tech_base!$T195&gt;N$1185,"",N1659+N1939)</f>
        <v>0</v>
      </c>
      <c r="O1379" s="123">
        <f>IF(tech_base!$T195&gt;O$1185,"",O1659+O1939)</f>
        <v>0</v>
      </c>
      <c r="P1379" s="123">
        <f>IF(tech_base!$T195&gt;P$1185,"",P1659+P1939)</f>
        <v>0</v>
      </c>
      <c r="Q1379" s="123">
        <f>IF(tech_base!$T195&gt;Q$1185,"",Q1659+Q1939)</f>
        <v>0</v>
      </c>
      <c r="R1379" s="123">
        <f>IF(tech_base!$T195&gt;R$1185,"",R1659+R1939)</f>
        <v>0</v>
      </c>
      <c r="S1379" s="123">
        <f>IF(tech_base!$T195&gt;S$1185,"",S1659+S1939)</f>
        <v>0</v>
      </c>
      <c r="T1379" s="123">
        <f>IF(tech_base!$T195&gt;T$1185,"",T1659+T1939)</f>
        <v>0</v>
      </c>
      <c r="U1379" s="123">
        <f>IF(tech_base!$T195&gt;U$1185,"",U1659+U1939)</f>
        <v>0</v>
      </c>
      <c r="V1379" s="123">
        <f>IF(tech_base!$T195&gt;V$1185,"",V1659+V1939)</f>
        <v>0</v>
      </c>
      <c r="W1379" s="123">
        <f>IF(tech_base!$T195&gt;W$1185,"",W1659+W1939)</f>
        <v>0</v>
      </c>
      <c r="X1379" s="123">
        <f>IF(tech_base!$T195&gt;X$1185,"",X1659+X1939)</f>
        <v>0</v>
      </c>
      <c r="Y1379" s="123">
        <f>IF(tech_base!$T195&gt;Y$1185,"",Y1659+Y1939)</f>
        <v>0</v>
      </c>
      <c r="Z1379" s="123">
        <f>IF(tech_base!$T195&gt;Z$1185,"",Z1659+Z1939)</f>
        <v>0</v>
      </c>
      <c r="AA1379" s="123">
        <f>IF(tech_base!$T195&gt;AA$1185,"",AA1659+AA1939)</f>
        <v>0</v>
      </c>
      <c r="AB1379" s="123">
        <f>IF(tech_base!$T195&gt;AB$1185,"",AB1659+AB1939)</f>
        <v>0</v>
      </c>
      <c r="AC1379" s="123">
        <f>IF(tech_base!$T195&gt;AC$1185,"",AC1659+AC1939)</f>
        <v>0</v>
      </c>
      <c r="AD1379" s="123">
        <f>IF(tech_base!$T195&gt;AD$1185,"",AD1659+AD1939)</f>
        <v>0</v>
      </c>
      <c r="AE1379" s="123">
        <f>IF(tech_base!$T195&gt;AE$1185,"",AE1659+AE1939)</f>
        <v>0</v>
      </c>
      <c r="AF1379" s="123">
        <f>IF(tech_base!$T195&gt;AF$1185,"",AF1659+AF1939)</f>
        <v>0</v>
      </c>
      <c r="AG1379" s="123">
        <f>IF(tech_base!$T195&gt;AG$1185,"",AG1659+AG1939)</f>
        <v>0</v>
      </c>
      <c r="AH1379" s="123">
        <f>IF(tech_base!$T195&gt;AH$1185,"",AH1659+AH1939)</f>
        <v>0</v>
      </c>
      <c r="AI1379" s="123">
        <f>IF(tech_base!$T195&gt;AI$1185,"",AI1659+AI1939)</f>
        <v>0</v>
      </c>
      <c r="AJ1379" s="123">
        <f>IF(tech_base!$T195&gt;AJ$1185,"",AJ1659+AJ1939)</f>
        <v>0</v>
      </c>
      <c r="AK1379" s="123">
        <f>IF(tech_base!$T195&gt;AK$1185,"",AK1659+AK1939)</f>
        <v>0</v>
      </c>
      <c r="AL1379" s="123">
        <f>IF(tech_base!$T195&gt;AL$1185,"",AL1659+AL1939)</f>
        <v>0</v>
      </c>
      <c r="AM1379" s="123">
        <f>IF(tech_base!$T195&gt;AM$1185,"",AM1659+AM1939)</f>
        <v>0</v>
      </c>
      <c r="AN1379" s="123">
        <f>IF(tech_base!$T195&gt;AN$1185,"",AN1659+AN1939)</f>
        <v>0</v>
      </c>
      <c r="AO1379" s="123">
        <f>IF(tech_base!$T195&gt;AO$1185,"",AO1659+AO1939)</f>
        <v>0</v>
      </c>
      <c r="AP1379" s="123">
        <f>IF(tech_base!$T195&gt;AP$1185,"",AP1659+AP1939)</f>
        <v>0</v>
      </c>
      <c r="AQ1379" s="123">
        <f>IF(tech_base!$T195&gt;AQ$1185,"",AQ1659+AQ1939)</f>
        <v>0</v>
      </c>
      <c r="AR1379" s="123">
        <f>IF(tech_base!$T195&gt;AR$1185,"",AR1659+AR1939)</f>
        <v>0</v>
      </c>
      <c r="AS1379" s="123">
        <f>IF(tech_base!$T195&gt;AS$1185,"",AS1659+AS1939)</f>
        <v>0</v>
      </c>
      <c r="AT1379" s="123">
        <f>IF(tech_base!$T195&gt;AT$1185,"",AT1659+AT1939)</f>
        <v>0</v>
      </c>
      <c r="AU1379" s="123">
        <f>IF(tech_base!$T195&gt;AU$1185,"",AU1659+AU1939)</f>
        <v>0</v>
      </c>
      <c r="AV1379" s="123">
        <f>IF(tech_base!$T195&gt;AV$1185,"",AV1659+AV1939)</f>
        <v>0</v>
      </c>
      <c r="AW1379" s="123">
        <f>IF(tech_base!$T195&gt;AW$1185,"",AW1659+AW1939)</f>
        <v>0</v>
      </c>
      <c r="AX1379" s="124">
        <f>IF(tech_base!$T195&gt;AX$1185,"",AX1659+AX1939)</f>
        <v>0</v>
      </c>
    </row>
    <row r="1380" spans="1:50" x14ac:dyDescent="0.25">
      <c r="A1380" s="356"/>
      <c r="B1380" s="376"/>
      <c r="C1380" s="378"/>
      <c r="D1380" s="2" t="s">
        <v>8</v>
      </c>
      <c r="E1380" s="160" t="str">
        <f>A1359&amp;"/"&amp;B1375&amp;"/"&amp;C1379&amp;"/"&amp;D1380</f>
        <v>Fuel oil fired power plants/Steam turbine/CHP/M</v>
      </c>
      <c r="F1380" s="76" t="str">
        <f>A1359</f>
        <v>Fuel oil fired power plants</v>
      </c>
      <c r="G1380" s="76" t="str">
        <f>B1375</f>
        <v>Steam turbine</v>
      </c>
      <c r="H1380" s="76" t="str">
        <f>C1379</f>
        <v>CHP</v>
      </c>
      <c r="I1380" s="161" t="str">
        <f t="shared" si="375"/>
        <v>M</v>
      </c>
      <c r="J1380" s="119">
        <f>IF(tech_base!$T196&gt;J$1185,"",J1660+J1940)</f>
        <v>0</v>
      </c>
      <c r="K1380" s="119">
        <f>IF(tech_base!$T196&gt;K$1185,"",K1660+K1940)</f>
        <v>0</v>
      </c>
      <c r="L1380" s="119">
        <f>IF(tech_base!$T196&gt;L$1185,"",L1660+L1940)</f>
        <v>0</v>
      </c>
      <c r="M1380" s="119">
        <f>IF(tech_base!$T196&gt;M$1185,"",M1660+M1940)</f>
        <v>0</v>
      </c>
      <c r="N1380" s="119">
        <f>IF(tech_base!$T196&gt;N$1185,"",N1660+N1940)</f>
        <v>0</v>
      </c>
      <c r="O1380" s="119">
        <f>IF(tech_base!$T196&gt;O$1185,"",O1660+O1940)</f>
        <v>0</v>
      </c>
      <c r="P1380" s="119">
        <f>IF(tech_base!$T196&gt;P$1185,"",P1660+P1940)</f>
        <v>0</v>
      </c>
      <c r="Q1380" s="119">
        <f>IF(tech_base!$T196&gt;Q$1185,"",Q1660+Q1940)</f>
        <v>0</v>
      </c>
      <c r="R1380" s="119">
        <f>IF(tech_base!$T196&gt;R$1185,"",R1660+R1940)</f>
        <v>0</v>
      </c>
      <c r="S1380" s="119">
        <f>IF(tech_base!$T196&gt;S$1185,"",S1660+S1940)</f>
        <v>0</v>
      </c>
      <c r="T1380" s="119">
        <f>IF(tech_base!$T196&gt;T$1185,"",T1660+T1940)</f>
        <v>0</v>
      </c>
      <c r="U1380" s="119">
        <f>IF(tech_base!$T196&gt;U$1185,"",U1660+U1940)</f>
        <v>0</v>
      </c>
      <c r="V1380" s="119">
        <f>IF(tech_base!$T196&gt;V$1185,"",V1660+V1940)</f>
        <v>0</v>
      </c>
      <c r="W1380" s="119">
        <f>IF(tech_base!$T196&gt;W$1185,"",W1660+W1940)</f>
        <v>0</v>
      </c>
      <c r="X1380" s="119">
        <f>IF(tech_base!$T196&gt;X$1185,"",X1660+X1940)</f>
        <v>0</v>
      </c>
      <c r="Y1380" s="119">
        <f>IF(tech_base!$T196&gt;Y$1185,"",Y1660+Y1940)</f>
        <v>0</v>
      </c>
      <c r="Z1380" s="119">
        <f>IF(tech_base!$T196&gt;Z$1185,"",Z1660+Z1940)</f>
        <v>0</v>
      </c>
      <c r="AA1380" s="119">
        <f>IF(tech_base!$T196&gt;AA$1185,"",AA1660+AA1940)</f>
        <v>0</v>
      </c>
      <c r="AB1380" s="119">
        <f>IF(tech_base!$T196&gt;AB$1185,"",AB1660+AB1940)</f>
        <v>0</v>
      </c>
      <c r="AC1380" s="119">
        <f>IF(tech_base!$T196&gt;AC$1185,"",AC1660+AC1940)</f>
        <v>0</v>
      </c>
      <c r="AD1380" s="119">
        <f>IF(tech_base!$T196&gt;AD$1185,"",AD1660+AD1940)</f>
        <v>0</v>
      </c>
      <c r="AE1380" s="119">
        <f>IF(tech_base!$T196&gt;AE$1185,"",AE1660+AE1940)</f>
        <v>0</v>
      </c>
      <c r="AF1380" s="119">
        <f>IF(tech_base!$T196&gt;AF$1185,"",AF1660+AF1940)</f>
        <v>0</v>
      </c>
      <c r="AG1380" s="119">
        <f>IF(tech_base!$T196&gt;AG$1185,"",AG1660+AG1940)</f>
        <v>0</v>
      </c>
      <c r="AH1380" s="119">
        <f>IF(tech_base!$T196&gt;AH$1185,"",AH1660+AH1940)</f>
        <v>0</v>
      </c>
      <c r="AI1380" s="119">
        <f>IF(tech_base!$T196&gt;AI$1185,"",AI1660+AI1940)</f>
        <v>0</v>
      </c>
      <c r="AJ1380" s="119">
        <f>IF(tech_base!$T196&gt;AJ$1185,"",AJ1660+AJ1940)</f>
        <v>0</v>
      </c>
      <c r="AK1380" s="119">
        <f>IF(tech_base!$T196&gt;AK$1185,"",AK1660+AK1940)</f>
        <v>0</v>
      </c>
      <c r="AL1380" s="119">
        <f>IF(tech_base!$T196&gt;AL$1185,"",AL1660+AL1940)</f>
        <v>0</v>
      </c>
      <c r="AM1380" s="119">
        <f>IF(tech_base!$T196&gt;AM$1185,"",AM1660+AM1940)</f>
        <v>0</v>
      </c>
      <c r="AN1380" s="119">
        <f>IF(tech_base!$T196&gt;AN$1185,"",AN1660+AN1940)</f>
        <v>0</v>
      </c>
      <c r="AO1380" s="119">
        <f>IF(tech_base!$T196&gt;AO$1185,"",AO1660+AO1940)</f>
        <v>0</v>
      </c>
      <c r="AP1380" s="119">
        <f>IF(tech_base!$T196&gt;AP$1185,"",AP1660+AP1940)</f>
        <v>0</v>
      </c>
      <c r="AQ1380" s="119">
        <f>IF(tech_base!$T196&gt;AQ$1185,"",AQ1660+AQ1940)</f>
        <v>0</v>
      </c>
      <c r="AR1380" s="119">
        <f>IF(tech_base!$T196&gt;AR$1185,"",AR1660+AR1940)</f>
        <v>0</v>
      </c>
      <c r="AS1380" s="119">
        <f>IF(tech_base!$T196&gt;AS$1185,"",AS1660+AS1940)</f>
        <v>0</v>
      </c>
      <c r="AT1380" s="119">
        <f>IF(tech_base!$T196&gt;AT$1185,"",AT1660+AT1940)</f>
        <v>0</v>
      </c>
      <c r="AU1380" s="119">
        <f>IF(tech_base!$T196&gt;AU$1185,"",AU1660+AU1940)</f>
        <v>0</v>
      </c>
      <c r="AV1380" s="119">
        <f>IF(tech_base!$T196&gt;AV$1185,"",AV1660+AV1940)</f>
        <v>0</v>
      </c>
      <c r="AW1380" s="119">
        <f>IF(tech_base!$T196&gt;AW$1185,"",AW1660+AW1940)</f>
        <v>0</v>
      </c>
      <c r="AX1380" s="120">
        <f>IF(tech_base!$T196&gt;AX$1185,"",AX1660+AX1940)</f>
        <v>0</v>
      </c>
    </row>
    <row r="1381" spans="1:50" x14ac:dyDescent="0.25">
      <c r="A1381" s="356"/>
      <c r="B1381" s="376"/>
      <c r="C1381" s="378"/>
      <c r="D1381" s="2" t="s">
        <v>10</v>
      </c>
      <c r="E1381" s="160" t="str">
        <f>A1359&amp;"/"&amp;B1375&amp;"/"&amp;C1379&amp;"/"&amp;D1381</f>
        <v>Fuel oil fired power plants/Steam turbine/CHP/S</v>
      </c>
      <c r="F1381" s="76" t="str">
        <f>A1359</f>
        <v>Fuel oil fired power plants</v>
      </c>
      <c r="G1381" s="76" t="str">
        <f>B1375</f>
        <v>Steam turbine</v>
      </c>
      <c r="H1381" s="76" t="str">
        <f>C1379</f>
        <v>CHP</v>
      </c>
      <c r="I1381" s="161" t="str">
        <f t="shared" si="375"/>
        <v>S</v>
      </c>
      <c r="J1381" s="119">
        <f>IF(tech_base!$T197&gt;J$1185,"",J1661+J1941)</f>
        <v>0</v>
      </c>
      <c r="K1381" s="119">
        <f>IF(tech_base!$T197&gt;K$1185,"",K1661+K1941)</f>
        <v>0</v>
      </c>
      <c r="L1381" s="119">
        <f>IF(tech_base!$T197&gt;L$1185,"",L1661+L1941)</f>
        <v>0</v>
      </c>
      <c r="M1381" s="119">
        <f>IF(tech_base!$T197&gt;M$1185,"",M1661+M1941)</f>
        <v>0</v>
      </c>
      <c r="N1381" s="119">
        <f>IF(tech_base!$T197&gt;N$1185,"",N1661+N1941)</f>
        <v>0</v>
      </c>
      <c r="O1381" s="119">
        <f>IF(tech_base!$T197&gt;O$1185,"",O1661+O1941)</f>
        <v>0</v>
      </c>
      <c r="P1381" s="119">
        <f>IF(tech_base!$T197&gt;P$1185,"",P1661+P1941)</f>
        <v>0</v>
      </c>
      <c r="Q1381" s="119">
        <f>IF(tech_base!$T197&gt;Q$1185,"",Q1661+Q1941)</f>
        <v>0</v>
      </c>
      <c r="R1381" s="119">
        <f>IF(tech_base!$T197&gt;R$1185,"",R1661+R1941)</f>
        <v>0</v>
      </c>
      <c r="S1381" s="119">
        <f>IF(tech_base!$T197&gt;S$1185,"",S1661+S1941)</f>
        <v>0</v>
      </c>
      <c r="T1381" s="119">
        <f>IF(tech_base!$T197&gt;T$1185,"",T1661+T1941)</f>
        <v>0</v>
      </c>
      <c r="U1381" s="119">
        <f>IF(tech_base!$T197&gt;U$1185,"",U1661+U1941)</f>
        <v>0</v>
      </c>
      <c r="V1381" s="119">
        <f>IF(tech_base!$T197&gt;V$1185,"",V1661+V1941)</f>
        <v>0</v>
      </c>
      <c r="W1381" s="119">
        <f>IF(tech_base!$T197&gt;W$1185,"",W1661+W1941)</f>
        <v>0</v>
      </c>
      <c r="X1381" s="119">
        <f>IF(tech_base!$T197&gt;X$1185,"",X1661+X1941)</f>
        <v>0</v>
      </c>
      <c r="Y1381" s="119">
        <f>IF(tech_base!$T197&gt;Y$1185,"",Y1661+Y1941)</f>
        <v>0</v>
      </c>
      <c r="Z1381" s="119">
        <f>IF(tech_base!$T197&gt;Z$1185,"",Z1661+Z1941)</f>
        <v>0</v>
      </c>
      <c r="AA1381" s="119">
        <f>IF(tech_base!$T197&gt;AA$1185,"",AA1661+AA1941)</f>
        <v>0</v>
      </c>
      <c r="AB1381" s="119">
        <f>IF(tech_base!$T197&gt;AB$1185,"",AB1661+AB1941)</f>
        <v>0</v>
      </c>
      <c r="AC1381" s="119">
        <f>IF(tech_base!$T197&gt;AC$1185,"",AC1661+AC1941)</f>
        <v>0</v>
      </c>
      <c r="AD1381" s="119">
        <f>IF(tech_base!$T197&gt;AD$1185,"",AD1661+AD1941)</f>
        <v>0</v>
      </c>
      <c r="AE1381" s="119">
        <f>IF(tech_base!$T197&gt;AE$1185,"",AE1661+AE1941)</f>
        <v>0</v>
      </c>
      <c r="AF1381" s="119">
        <f>IF(tech_base!$T197&gt;AF$1185,"",AF1661+AF1941)</f>
        <v>0</v>
      </c>
      <c r="AG1381" s="119">
        <f>IF(tech_base!$T197&gt;AG$1185,"",AG1661+AG1941)</f>
        <v>0</v>
      </c>
      <c r="AH1381" s="119">
        <f>IF(tech_base!$T197&gt;AH$1185,"",AH1661+AH1941)</f>
        <v>0</v>
      </c>
      <c r="AI1381" s="119">
        <f>IF(tech_base!$T197&gt;AI$1185,"",AI1661+AI1941)</f>
        <v>0</v>
      </c>
      <c r="AJ1381" s="119">
        <f>IF(tech_base!$T197&gt;AJ$1185,"",AJ1661+AJ1941)</f>
        <v>0</v>
      </c>
      <c r="AK1381" s="119">
        <f>IF(tech_base!$T197&gt;AK$1185,"",AK1661+AK1941)</f>
        <v>0</v>
      </c>
      <c r="AL1381" s="119">
        <f>IF(tech_base!$T197&gt;AL$1185,"",AL1661+AL1941)</f>
        <v>0</v>
      </c>
      <c r="AM1381" s="119">
        <f>IF(tech_base!$T197&gt;AM$1185,"",AM1661+AM1941)</f>
        <v>0</v>
      </c>
      <c r="AN1381" s="119">
        <f>IF(tech_base!$T197&gt;AN$1185,"",AN1661+AN1941)</f>
        <v>0</v>
      </c>
      <c r="AO1381" s="119">
        <f>IF(tech_base!$T197&gt;AO$1185,"",AO1661+AO1941)</f>
        <v>0</v>
      </c>
      <c r="AP1381" s="119">
        <f>IF(tech_base!$T197&gt;AP$1185,"",AP1661+AP1941)</f>
        <v>0</v>
      </c>
      <c r="AQ1381" s="119">
        <f>IF(tech_base!$T197&gt;AQ$1185,"",AQ1661+AQ1941)</f>
        <v>0</v>
      </c>
      <c r="AR1381" s="119">
        <f>IF(tech_base!$T197&gt;AR$1185,"",AR1661+AR1941)</f>
        <v>0</v>
      </c>
      <c r="AS1381" s="119">
        <f>IF(tech_base!$T197&gt;AS$1185,"",AS1661+AS1941)</f>
        <v>0</v>
      </c>
      <c r="AT1381" s="119">
        <f>IF(tech_base!$T197&gt;AT$1185,"",AT1661+AT1941)</f>
        <v>0</v>
      </c>
      <c r="AU1381" s="119">
        <f>IF(tech_base!$T197&gt;AU$1185,"",AU1661+AU1941)</f>
        <v>0</v>
      </c>
      <c r="AV1381" s="119">
        <f>IF(tech_base!$T197&gt;AV$1185,"",AV1661+AV1941)</f>
        <v>0</v>
      </c>
      <c r="AW1381" s="119">
        <f>IF(tech_base!$T197&gt;AW$1185,"",AW1661+AW1941)</f>
        <v>0</v>
      </c>
      <c r="AX1381" s="120">
        <f>IF(tech_base!$T197&gt;AX$1185,"",AX1661+AX1941)</f>
        <v>0</v>
      </c>
    </row>
    <row r="1382" spans="1:50" x14ac:dyDescent="0.25">
      <c r="A1382" s="356"/>
      <c r="B1382" s="376"/>
      <c r="C1382" s="379"/>
      <c r="D1382" s="59" t="s">
        <v>20</v>
      </c>
      <c r="E1382" s="166" t="str">
        <f>A1359&amp;"/"&amp;B1375&amp;"/"&amp;C1379&amp;"/"&amp;D1382</f>
        <v>Fuel oil fired power plants/Steam turbine/CHP/XS</v>
      </c>
      <c r="F1382" s="79" t="str">
        <f>A1359</f>
        <v>Fuel oil fired power plants</v>
      </c>
      <c r="G1382" s="79" t="str">
        <f>B1375</f>
        <v>Steam turbine</v>
      </c>
      <c r="H1382" s="79" t="str">
        <f>C1379</f>
        <v>CHP</v>
      </c>
      <c r="I1382" s="167" t="str">
        <f t="shared" si="375"/>
        <v>XS</v>
      </c>
      <c r="J1382" s="125">
        <f>IF(tech_base!$T198&gt;J$1185,"",J1662+J1942)</f>
        <v>0</v>
      </c>
      <c r="K1382" s="125">
        <f>IF(tech_base!$T198&gt;K$1185,"",K1662+K1942)</f>
        <v>0</v>
      </c>
      <c r="L1382" s="125">
        <f>IF(tech_base!$T198&gt;L$1185,"",L1662+L1942)</f>
        <v>0</v>
      </c>
      <c r="M1382" s="125">
        <f>IF(tech_base!$T198&gt;M$1185,"",M1662+M1942)</f>
        <v>0</v>
      </c>
      <c r="N1382" s="125">
        <f>IF(tech_base!$T198&gt;N$1185,"",N1662+N1942)</f>
        <v>0</v>
      </c>
      <c r="O1382" s="125">
        <f>IF(tech_base!$T198&gt;O$1185,"",O1662+O1942)</f>
        <v>0</v>
      </c>
      <c r="P1382" s="125">
        <f>IF(tech_base!$T198&gt;P$1185,"",P1662+P1942)</f>
        <v>0</v>
      </c>
      <c r="Q1382" s="125">
        <f>IF(tech_base!$T198&gt;Q$1185,"",Q1662+Q1942)</f>
        <v>0</v>
      </c>
      <c r="R1382" s="125">
        <f>IF(tech_base!$T198&gt;R$1185,"",R1662+R1942)</f>
        <v>0</v>
      </c>
      <c r="S1382" s="125">
        <f>IF(tech_base!$T198&gt;S$1185,"",S1662+S1942)</f>
        <v>0</v>
      </c>
      <c r="T1382" s="125">
        <f>IF(tech_base!$T198&gt;T$1185,"",T1662+T1942)</f>
        <v>0</v>
      </c>
      <c r="U1382" s="125">
        <f>IF(tech_base!$T198&gt;U$1185,"",U1662+U1942)</f>
        <v>0</v>
      </c>
      <c r="V1382" s="125">
        <f>IF(tech_base!$T198&gt;V$1185,"",V1662+V1942)</f>
        <v>0</v>
      </c>
      <c r="W1382" s="125">
        <f>IF(tech_base!$T198&gt;W$1185,"",W1662+W1942)</f>
        <v>0</v>
      </c>
      <c r="X1382" s="125">
        <f>IF(tech_base!$T198&gt;X$1185,"",X1662+X1942)</f>
        <v>0</v>
      </c>
      <c r="Y1382" s="125">
        <f>IF(tech_base!$T198&gt;Y$1185,"",Y1662+Y1942)</f>
        <v>0</v>
      </c>
      <c r="Z1382" s="125">
        <f>IF(tech_base!$T198&gt;Z$1185,"",Z1662+Z1942)</f>
        <v>0</v>
      </c>
      <c r="AA1382" s="125">
        <f>IF(tech_base!$T198&gt;AA$1185,"",AA1662+AA1942)</f>
        <v>0</v>
      </c>
      <c r="AB1382" s="125">
        <f>IF(tech_base!$T198&gt;AB$1185,"",AB1662+AB1942)</f>
        <v>0</v>
      </c>
      <c r="AC1382" s="125">
        <f>IF(tech_base!$T198&gt;AC$1185,"",AC1662+AC1942)</f>
        <v>0</v>
      </c>
      <c r="AD1382" s="125">
        <f>IF(tech_base!$T198&gt;AD$1185,"",AD1662+AD1942)</f>
        <v>0</v>
      </c>
      <c r="AE1382" s="125">
        <f>IF(tech_base!$T198&gt;AE$1185,"",AE1662+AE1942)</f>
        <v>0</v>
      </c>
      <c r="AF1382" s="125">
        <f>IF(tech_base!$T198&gt;AF$1185,"",AF1662+AF1942)</f>
        <v>0</v>
      </c>
      <c r="AG1382" s="125">
        <f>IF(tech_base!$T198&gt;AG$1185,"",AG1662+AG1942)</f>
        <v>0</v>
      </c>
      <c r="AH1382" s="125">
        <f>IF(tech_base!$T198&gt;AH$1185,"",AH1662+AH1942)</f>
        <v>0</v>
      </c>
      <c r="AI1382" s="125">
        <f>IF(tech_base!$T198&gt;AI$1185,"",AI1662+AI1942)</f>
        <v>0</v>
      </c>
      <c r="AJ1382" s="125">
        <f>IF(tech_base!$T198&gt;AJ$1185,"",AJ1662+AJ1942)</f>
        <v>0</v>
      </c>
      <c r="AK1382" s="125">
        <f>IF(tech_base!$T198&gt;AK$1185,"",AK1662+AK1942)</f>
        <v>0</v>
      </c>
      <c r="AL1382" s="125">
        <f>IF(tech_base!$T198&gt;AL$1185,"",AL1662+AL1942)</f>
        <v>0</v>
      </c>
      <c r="AM1382" s="125">
        <f>IF(tech_base!$T198&gt;AM$1185,"",AM1662+AM1942)</f>
        <v>0</v>
      </c>
      <c r="AN1382" s="125">
        <f>IF(tech_base!$T198&gt;AN$1185,"",AN1662+AN1942)</f>
        <v>0</v>
      </c>
      <c r="AO1382" s="125">
        <f>IF(tech_base!$T198&gt;AO$1185,"",AO1662+AO1942)</f>
        <v>0</v>
      </c>
      <c r="AP1382" s="125">
        <f>IF(tech_base!$T198&gt;AP$1185,"",AP1662+AP1942)</f>
        <v>0</v>
      </c>
      <c r="AQ1382" s="125">
        <f>IF(tech_base!$T198&gt;AQ$1185,"",AQ1662+AQ1942)</f>
        <v>0</v>
      </c>
      <c r="AR1382" s="125">
        <f>IF(tech_base!$T198&gt;AR$1185,"",AR1662+AR1942)</f>
        <v>0</v>
      </c>
      <c r="AS1382" s="125">
        <f>IF(tech_base!$T198&gt;AS$1185,"",AS1662+AS1942)</f>
        <v>0</v>
      </c>
      <c r="AT1382" s="125">
        <f>IF(tech_base!$T198&gt;AT$1185,"",AT1662+AT1942)</f>
        <v>0</v>
      </c>
      <c r="AU1382" s="125">
        <f>IF(tech_base!$T198&gt;AU$1185,"",AU1662+AU1942)</f>
        <v>0</v>
      </c>
      <c r="AV1382" s="125">
        <f>IF(tech_base!$T198&gt;AV$1185,"",AV1662+AV1942)</f>
        <v>0</v>
      </c>
      <c r="AW1382" s="125">
        <f>IF(tech_base!$T198&gt;AW$1185,"",AW1662+AW1942)</f>
        <v>0</v>
      </c>
      <c r="AX1382" s="126">
        <f>IF(tech_base!$T198&gt;AX$1185,"",AX1662+AX1942)</f>
        <v>0</v>
      </c>
    </row>
    <row r="1383" spans="1:50" x14ac:dyDescent="0.25">
      <c r="A1383" s="356"/>
      <c r="B1383" s="376"/>
      <c r="C1383" s="361" t="s">
        <v>15</v>
      </c>
      <c r="D1383" s="58" t="s">
        <v>7</v>
      </c>
      <c r="E1383" s="164" t="str">
        <f>A1359&amp;"/"&amp;B1375&amp;"/"&amp;C1383&amp;"/"&amp;D1383</f>
        <v>Fuel oil fired power plants/Steam turbine/Electricity only with CCS/L</v>
      </c>
      <c r="F1383" s="78" t="str">
        <f>A1359</f>
        <v>Fuel oil fired power plants</v>
      </c>
      <c r="G1383" s="78" t="str">
        <f>B1375</f>
        <v>Steam turbine</v>
      </c>
      <c r="H1383" s="78" t="str">
        <f>C1383</f>
        <v>Electricity only with CCS</v>
      </c>
      <c r="I1383" s="165" t="str">
        <f t="shared" si="375"/>
        <v>L</v>
      </c>
      <c r="J1383" s="123" t="str">
        <f>IF(tech_base!$T199&gt;J$1185,"",J1663+J1943)</f>
        <v/>
      </c>
      <c r="K1383" s="123" t="str">
        <f>IF(tech_base!$T199&gt;K$1185,"",K1663+K1943)</f>
        <v/>
      </c>
      <c r="L1383" s="123" t="str">
        <f>IF(tech_base!$T199&gt;L$1185,"",L1663+L1943)</f>
        <v/>
      </c>
      <c r="M1383" s="123" t="str">
        <f>IF(tech_base!$T199&gt;M$1185,"",M1663+M1943)</f>
        <v/>
      </c>
      <c r="N1383" s="123" t="str">
        <f>IF(tech_base!$T199&gt;N$1185,"",N1663+N1943)</f>
        <v/>
      </c>
      <c r="O1383" s="123" t="str">
        <f>IF(tech_base!$T199&gt;O$1185,"",O1663+O1943)</f>
        <v/>
      </c>
      <c r="P1383" s="123" t="str">
        <f>IF(tech_base!$T199&gt;P$1185,"",P1663+P1943)</f>
        <v/>
      </c>
      <c r="Q1383" s="123" t="str">
        <f>IF(tech_base!$T199&gt;Q$1185,"",Q1663+Q1943)</f>
        <v/>
      </c>
      <c r="R1383" s="123" t="str">
        <f>IF(tech_base!$T199&gt;R$1185,"",R1663+R1943)</f>
        <v/>
      </c>
      <c r="S1383" s="123" t="str">
        <f>IF(tech_base!$T199&gt;S$1185,"",S1663+S1943)</f>
        <v/>
      </c>
      <c r="T1383" s="123" t="str">
        <f>IF(tech_base!$T199&gt;T$1185,"",T1663+T1943)</f>
        <v/>
      </c>
      <c r="U1383" s="123" t="str">
        <f>IF(tech_base!$T199&gt;U$1185,"",U1663+U1943)</f>
        <v/>
      </c>
      <c r="V1383" s="123" t="str">
        <f>IF(tech_base!$T199&gt;V$1185,"",V1663+V1943)</f>
        <v/>
      </c>
      <c r="W1383" s="123" t="str">
        <f>IF(tech_base!$T199&gt;W$1185,"",W1663+W1943)</f>
        <v/>
      </c>
      <c r="X1383" s="123" t="str">
        <f>IF(tech_base!$T199&gt;X$1185,"",X1663+X1943)</f>
        <v/>
      </c>
      <c r="Y1383" s="123" t="str">
        <f>IF(tech_base!$T199&gt;Y$1185,"",Y1663+Y1943)</f>
        <v/>
      </c>
      <c r="Z1383" s="123" t="str">
        <f>IF(tech_base!$T199&gt;Z$1185,"",Z1663+Z1943)</f>
        <v/>
      </c>
      <c r="AA1383" s="123" t="str">
        <f>IF(tech_base!$T199&gt;AA$1185,"",AA1663+AA1943)</f>
        <v/>
      </c>
      <c r="AB1383" s="123" t="str">
        <f>IF(tech_base!$T199&gt;AB$1185,"",AB1663+AB1943)</f>
        <v/>
      </c>
      <c r="AC1383" s="123" t="str">
        <f>IF(tech_base!$T199&gt;AC$1185,"",AC1663+AC1943)</f>
        <v/>
      </c>
      <c r="AD1383" s="123" t="str">
        <f>IF(tech_base!$T199&gt;AD$1185,"",AD1663+AD1943)</f>
        <v/>
      </c>
      <c r="AE1383" s="123">
        <f>IF(tech_base!$T199&gt;AE$1185,"",AE1663+AE1943)</f>
        <v>8.7711740011326782</v>
      </c>
      <c r="AF1383" s="123">
        <f>IF(tech_base!$T199&gt;AF$1185,"",AF1663+AF1943)</f>
        <v>8.7711740011326782</v>
      </c>
      <c r="AG1383" s="123">
        <f>IF(tech_base!$T199&gt;AG$1185,"",AG1663+AG1943)</f>
        <v>8.7711740011326782</v>
      </c>
      <c r="AH1383" s="123">
        <f>IF(tech_base!$T199&gt;AH$1185,"",AH1663+AH1943)</f>
        <v>8.7711740011326782</v>
      </c>
      <c r="AI1383" s="123">
        <f>IF(tech_base!$T199&gt;AI$1185,"",AI1663+AI1943)</f>
        <v>8.7711740011326782</v>
      </c>
      <c r="AJ1383" s="123">
        <f>IF(tech_base!$T199&gt;AJ$1185,"",AJ1663+AJ1943)</f>
        <v>8.7711740011326782</v>
      </c>
      <c r="AK1383" s="123">
        <f>IF(tech_base!$T199&gt;AK$1185,"",AK1663+AK1943)</f>
        <v>8.7711740011326782</v>
      </c>
      <c r="AL1383" s="123">
        <f>IF(tech_base!$T199&gt;AL$1185,"",AL1663+AL1943)</f>
        <v>8.7711740011326782</v>
      </c>
      <c r="AM1383" s="123">
        <f>IF(tech_base!$T199&gt;AM$1185,"",AM1663+AM1943)</f>
        <v>8.7711740011326782</v>
      </c>
      <c r="AN1383" s="123">
        <f>IF(tech_base!$T199&gt;AN$1185,"",AN1663+AN1943)</f>
        <v>8.7711740011326782</v>
      </c>
      <c r="AO1383" s="123">
        <f>IF(tech_base!$T199&gt;AO$1185,"",AO1663+AO1943)</f>
        <v>8.7711740011326782</v>
      </c>
      <c r="AP1383" s="123">
        <f>IF(tech_base!$T199&gt;AP$1185,"",AP1663+AP1943)</f>
        <v>8.7711740011326782</v>
      </c>
      <c r="AQ1383" s="123">
        <f>IF(tech_base!$T199&gt;AQ$1185,"",AQ1663+AQ1943)</f>
        <v>8.7711740011326782</v>
      </c>
      <c r="AR1383" s="123">
        <f>IF(tech_base!$T199&gt;AR$1185,"",AR1663+AR1943)</f>
        <v>8.7711740011326782</v>
      </c>
      <c r="AS1383" s="123">
        <f>IF(tech_base!$T199&gt;AS$1185,"",AS1663+AS1943)</f>
        <v>8.7711740011326782</v>
      </c>
      <c r="AT1383" s="123">
        <f>IF(tech_base!$T199&gt;AT$1185,"",AT1663+AT1943)</f>
        <v>8.7711740011326782</v>
      </c>
      <c r="AU1383" s="123">
        <f>IF(tech_base!$T199&gt;AU$1185,"",AU1663+AU1943)</f>
        <v>8.7711740011326782</v>
      </c>
      <c r="AV1383" s="123">
        <f>IF(tech_base!$T199&gt;AV$1185,"",AV1663+AV1943)</f>
        <v>8.7711740011326782</v>
      </c>
      <c r="AW1383" s="123">
        <f>IF(tech_base!$T199&gt;AW$1185,"",AW1663+AW1943)</f>
        <v>8.7711740011326782</v>
      </c>
      <c r="AX1383" s="124">
        <f>IF(tech_base!$T199&gt;AX$1185,"",AX1663+AX1943)</f>
        <v>8.7711740011326782</v>
      </c>
    </row>
    <row r="1384" spans="1:50" x14ac:dyDescent="0.25">
      <c r="A1384" s="356"/>
      <c r="B1384" s="376"/>
      <c r="C1384" s="379"/>
      <c r="D1384" s="59" t="s">
        <v>8</v>
      </c>
      <c r="E1384" s="166" t="str">
        <f>A1359&amp;"/"&amp;B1375&amp;"/"&amp;C1383&amp;"/"&amp;D1384</f>
        <v>Fuel oil fired power plants/Steam turbine/Electricity only with CCS/M</v>
      </c>
      <c r="F1384" s="79" t="str">
        <f>A1359</f>
        <v>Fuel oil fired power plants</v>
      </c>
      <c r="G1384" s="79" t="str">
        <f>B1375</f>
        <v>Steam turbine</v>
      </c>
      <c r="H1384" s="79" t="str">
        <f>C1383</f>
        <v>Electricity only with CCS</v>
      </c>
      <c r="I1384" s="167" t="str">
        <f t="shared" si="375"/>
        <v>M</v>
      </c>
      <c r="J1384" s="125" t="str">
        <f>IF(tech_base!$T200&gt;J$1185,"",J1664+J1944)</f>
        <v/>
      </c>
      <c r="K1384" s="125" t="str">
        <f>IF(tech_base!$T200&gt;K$1185,"",K1664+K1944)</f>
        <v/>
      </c>
      <c r="L1384" s="125" t="str">
        <f>IF(tech_base!$T200&gt;L$1185,"",L1664+L1944)</f>
        <v/>
      </c>
      <c r="M1384" s="125" t="str">
        <f>IF(tech_base!$T200&gt;M$1185,"",M1664+M1944)</f>
        <v/>
      </c>
      <c r="N1384" s="125" t="str">
        <f>IF(tech_base!$T200&gt;N$1185,"",N1664+N1944)</f>
        <v/>
      </c>
      <c r="O1384" s="125" t="str">
        <f>IF(tech_base!$T200&gt;O$1185,"",O1664+O1944)</f>
        <v/>
      </c>
      <c r="P1384" s="125" t="str">
        <f>IF(tech_base!$T200&gt;P$1185,"",P1664+P1944)</f>
        <v/>
      </c>
      <c r="Q1384" s="125" t="str">
        <f>IF(tech_base!$T200&gt;Q$1185,"",Q1664+Q1944)</f>
        <v/>
      </c>
      <c r="R1384" s="125" t="str">
        <f>IF(tech_base!$T200&gt;R$1185,"",R1664+R1944)</f>
        <v/>
      </c>
      <c r="S1384" s="125" t="str">
        <f>IF(tech_base!$T200&gt;S$1185,"",S1664+S1944)</f>
        <v/>
      </c>
      <c r="T1384" s="125" t="str">
        <f>IF(tech_base!$T200&gt;T$1185,"",T1664+T1944)</f>
        <v/>
      </c>
      <c r="U1384" s="125" t="str">
        <f>IF(tech_base!$T200&gt;U$1185,"",U1664+U1944)</f>
        <v/>
      </c>
      <c r="V1384" s="125" t="str">
        <f>IF(tech_base!$T200&gt;V$1185,"",V1664+V1944)</f>
        <v/>
      </c>
      <c r="W1384" s="125" t="str">
        <f>IF(tech_base!$T200&gt;W$1185,"",W1664+W1944)</f>
        <v/>
      </c>
      <c r="X1384" s="125" t="str">
        <f>IF(tech_base!$T200&gt;X$1185,"",X1664+X1944)</f>
        <v/>
      </c>
      <c r="Y1384" s="125" t="str">
        <f>IF(tech_base!$T200&gt;Y$1185,"",Y1664+Y1944)</f>
        <v/>
      </c>
      <c r="Z1384" s="125" t="str">
        <f>IF(tech_base!$T200&gt;Z$1185,"",Z1664+Z1944)</f>
        <v/>
      </c>
      <c r="AA1384" s="125" t="str">
        <f>IF(tech_base!$T200&gt;AA$1185,"",AA1664+AA1944)</f>
        <v/>
      </c>
      <c r="AB1384" s="125" t="str">
        <f>IF(tech_base!$T200&gt;AB$1185,"",AB1664+AB1944)</f>
        <v/>
      </c>
      <c r="AC1384" s="125" t="str">
        <f>IF(tech_base!$T200&gt;AC$1185,"",AC1664+AC1944)</f>
        <v/>
      </c>
      <c r="AD1384" s="125" t="str">
        <f>IF(tech_base!$T200&gt;AD$1185,"",AD1664+AD1944)</f>
        <v/>
      </c>
      <c r="AE1384" s="125">
        <f>IF(tech_base!$T200&gt;AE$1185,"",AE1664+AE1944)</f>
        <v>9.3574824236682872</v>
      </c>
      <c r="AF1384" s="125">
        <f>IF(tech_base!$T200&gt;AF$1185,"",AF1664+AF1944)</f>
        <v>9.3574824236682872</v>
      </c>
      <c r="AG1384" s="125">
        <f>IF(tech_base!$T200&gt;AG$1185,"",AG1664+AG1944)</f>
        <v>9.3574824236682872</v>
      </c>
      <c r="AH1384" s="125">
        <f>IF(tech_base!$T200&gt;AH$1185,"",AH1664+AH1944)</f>
        <v>9.3574824236682872</v>
      </c>
      <c r="AI1384" s="125">
        <f>IF(tech_base!$T200&gt;AI$1185,"",AI1664+AI1944)</f>
        <v>9.3574824236682872</v>
      </c>
      <c r="AJ1384" s="125">
        <f>IF(tech_base!$T200&gt;AJ$1185,"",AJ1664+AJ1944)</f>
        <v>9.3574824236682872</v>
      </c>
      <c r="AK1384" s="125">
        <f>IF(tech_base!$T200&gt;AK$1185,"",AK1664+AK1944)</f>
        <v>9.3574824236682872</v>
      </c>
      <c r="AL1384" s="125">
        <f>IF(tech_base!$T200&gt;AL$1185,"",AL1664+AL1944)</f>
        <v>9.3574824236682872</v>
      </c>
      <c r="AM1384" s="125">
        <f>IF(tech_base!$T200&gt;AM$1185,"",AM1664+AM1944)</f>
        <v>9.3574824236682872</v>
      </c>
      <c r="AN1384" s="125">
        <f>IF(tech_base!$T200&gt;AN$1185,"",AN1664+AN1944)</f>
        <v>9.3574824236682872</v>
      </c>
      <c r="AO1384" s="125">
        <f>IF(tech_base!$T200&gt;AO$1185,"",AO1664+AO1944)</f>
        <v>9.3574824236682872</v>
      </c>
      <c r="AP1384" s="125">
        <f>IF(tech_base!$T200&gt;AP$1185,"",AP1664+AP1944)</f>
        <v>9.3574824236682872</v>
      </c>
      <c r="AQ1384" s="125">
        <f>IF(tech_base!$T200&gt;AQ$1185,"",AQ1664+AQ1944)</f>
        <v>9.3574824236682872</v>
      </c>
      <c r="AR1384" s="125">
        <f>IF(tech_base!$T200&gt;AR$1185,"",AR1664+AR1944)</f>
        <v>9.3574824236682872</v>
      </c>
      <c r="AS1384" s="125">
        <f>IF(tech_base!$T200&gt;AS$1185,"",AS1664+AS1944)</f>
        <v>9.3574824236682872</v>
      </c>
      <c r="AT1384" s="125">
        <f>IF(tech_base!$T200&gt;AT$1185,"",AT1664+AT1944)</f>
        <v>9.3574824236682872</v>
      </c>
      <c r="AU1384" s="125">
        <f>IF(tech_base!$T200&gt;AU$1185,"",AU1664+AU1944)</f>
        <v>9.3574824236682872</v>
      </c>
      <c r="AV1384" s="125">
        <f>IF(tech_base!$T200&gt;AV$1185,"",AV1664+AV1944)</f>
        <v>9.3574824236682872</v>
      </c>
      <c r="AW1384" s="125">
        <f>IF(tech_base!$T200&gt;AW$1185,"",AW1664+AW1944)</f>
        <v>9.3574824236682872</v>
      </c>
      <c r="AX1384" s="126">
        <f>IF(tech_base!$T200&gt;AX$1185,"",AX1664+AX1944)</f>
        <v>9.3574824236682872</v>
      </c>
    </row>
    <row r="1385" spans="1:50" x14ac:dyDescent="0.25">
      <c r="A1385" s="356"/>
      <c r="B1385" s="376"/>
      <c r="C1385" s="361" t="s">
        <v>16</v>
      </c>
      <c r="D1385" s="2" t="s">
        <v>7</v>
      </c>
      <c r="E1385" s="160" t="str">
        <f>A1359&amp;"/"&amp;B1375&amp;"/"&amp;C1385&amp;"/"&amp;D1385</f>
        <v>Fuel oil fired power plants/Steam turbine/CHP with CCS/L</v>
      </c>
      <c r="F1385" s="76" t="str">
        <f>A1359</f>
        <v>Fuel oil fired power plants</v>
      </c>
      <c r="G1385" s="76" t="str">
        <f>B1375</f>
        <v>Steam turbine</v>
      </c>
      <c r="H1385" s="76" t="str">
        <f>C1385</f>
        <v>CHP with CCS</v>
      </c>
      <c r="I1385" s="161" t="str">
        <f t="shared" si="375"/>
        <v>L</v>
      </c>
      <c r="J1385" s="119" t="str">
        <f>IF(tech_base!$T201&gt;J$1185,"",J1665+J1945)</f>
        <v/>
      </c>
      <c r="K1385" s="119" t="str">
        <f>IF(tech_base!$T201&gt;K$1185,"",K1665+K1945)</f>
        <v/>
      </c>
      <c r="L1385" s="119" t="str">
        <f>IF(tech_base!$T201&gt;L$1185,"",L1665+L1945)</f>
        <v/>
      </c>
      <c r="M1385" s="119" t="str">
        <f>IF(tech_base!$T201&gt;M$1185,"",M1665+M1945)</f>
        <v/>
      </c>
      <c r="N1385" s="119" t="str">
        <f>IF(tech_base!$T201&gt;N$1185,"",N1665+N1945)</f>
        <v/>
      </c>
      <c r="O1385" s="119" t="str">
        <f>IF(tech_base!$T201&gt;O$1185,"",O1665+O1945)</f>
        <v/>
      </c>
      <c r="P1385" s="119" t="str">
        <f>IF(tech_base!$T201&gt;P$1185,"",P1665+P1945)</f>
        <v/>
      </c>
      <c r="Q1385" s="119" t="str">
        <f>IF(tech_base!$T201&gt;Q$1185,"",Q1665+Q1945)</f>
        <v/>
      </c>
      <c r="R1385" s="119" t="str">
        <f>IF(tech_base!$T201&gt;R$1185,"",R1665+R1945)</f>
        <v/>
      </c>
      <c r="S1385" s="119" t="str">
        <f>IF(tech_base!$T201&gt;S$1185,"",S1665+S1945)</f>
        <v/>
      </c>
      <c r="T1385" s="119" t="str">
        <f>IF(tech_base!$T201&gt;T$1185,"",T1665+T1945)</f>
        <v/>
      </c>
      <c r="U1385" s="119" t="str">
        <f>IF(tech_base!$T201&gt;U$1185,"",U1665+U1945)</f>
        <v/>
      </c>
      <c r="V1385" s="119" t="str">
        <f>IF(tech_base!$T201&gt;V$1185,"",V1665+V1945)</f>
        <v/>
      </c>
      <c r="W1385" s="119" t="str">
        <f>IF(tech_base!$T201&gt;W$1185,"",W1665+W1945)</f>
        <v/>
      </c>
      <c r="X1385" s="119" t="str">
        <f>IF(tech_base!$T201&gt;X$1185,"",X1665+X1945)</f>
        <v/>
      </c>
      <c r="Y1385" s="119" t="str">
        <f>IF(tech_base!$T201&gt;Y$1185,"",Y1665+Y1945)</f>
        <v/>
      </c>
      <c r="Z1385" s="119" t="str">
        <f>IF(tech_base!$T201&gt;Z$1185,"",Z1665+Z1945)</f>
        <v/>
      </c>
      <c r="AA1385" s="119" t="str">
        <f>IF(tech_base!$T201&gt;AA$1185,"",AA1665+AA1945)</f>
        <v/>
      </c>
      <c r="AB1385" s="119" t="str">
        <f>IF(tech_base!$T201&gt;AB$1185,"",AB1665+AB1945)</f>
        <v/>
      </c>
      <c r="AC1385" s="119" t="str">
        <f>IF(tech_base!$T201&gt;AC$1185,"",AC1665+AC1945)</f>
        <v/>
      </c>
      <c r="AD1385" s="119" t="str">
        <f>IF(tech_base!$T201&gt;AD$1185,"",AD1665+AD1945)</f>
        <v/>
      </c>
      <c r="AE1385" s="119">
        <f>IF(tech_base!$T201&gt;AE$1185,"",AE1665+AE1945)</f>
        <v>9.962909599112665</v>
      </c>
      <c r="AF1385" s="119">
        <f>IF(tech_base!$T201&gt;AF$1185,"",AF1665+AF1945)</f>
        <v>9.962909599112665</v>
      </c>
      <c r="AG1385" s="119">
        <f>IF(tech_base!$T201&gt;AG$1185,"",AG1665+AG1945)</f>
        <v>9.962909599112665</v>
      </c>
      <c r="AH1385" s="119">
        <f>IF(tech_base!$T201&gt;AH$1185,"",AH1665+AH1945)</f>
        <v>9.962909599112665</v>
      </c>
      <c r="AI1385" s="119">
        <f>IF(tech_base!$T201&gt;AI$1185,"",AI1665+AI1945)</f>
        <v>9.962909599112665</v>
      </c>
      <c r="AJ1385" s="119">
        <f>IF(tech_base!$T201&gt;AJ$1185,"",AJ1665+AJ1945)</f>
        <v>9.962909599112665</v>
      </c>
      <c r="AK1385" s="119">
        <f>IF(tech_base!$T201&gt;AK$1185,"",AK1665+AK1945)</f>
        <v>9.962909599112665</v>
      </c>
      <c r="AL1385" s="119">
        <f>IF(tech_base!$T201&gt;AL$1185,"",AL1665+AL1945)</f>
        <v>9.962909599112665</v>
      </c>
      <c r="AM1385" s="119">
        <f>IF(tech_base!$T201&gt;AM$1185,"",AM1665+AM1945)</f>
        <v>9.962909599112665</v>
      </c>
      <c r="AN1385" s="119">
        <f>IF(tech_base!$T201&gt;AN$1185,"",AN1665+AN1945)</f>
        <v>9.962909599112665</v>
      </c>
      <c r="AO1385" s="119">
        <f>IF(tech_base!$T201&gt;AO$1185,"",AO1665+AO1945)</f>
        <v>9.962909599112665</v>
      </c>
      <c r="AP1385" s="119">
        <f>IF(tech_base!$T201&gt;AP$1185,"",AP1665+AP1945)</f>
        <v>9.962909599112665</v>
      </c>
      <c r="AQ1385" s="119">
        <f>IF(tech_base!$T201&gt;AQ$1185,"",AQ1665+AQ1945)</f>
        <v>9.962909599112665</v>
      </c>
      <c r="AR1385" s="119">
        <f>IF(tech_base!$T201&gt;AR$1185,"",AR1665+AR1945)</f>
        <v>9.962909599112665</v>
      </c>
      <c r="AS1385" s="119">
        <f>IF(tech_base!$T201&gt;AS$1185,"",AS1665+AS1945)</f>
        <v>9.962909599112665</v>
      </c>
      <c r="AT1385" s="119">
        <f>IF(tech_base!$T201&gt;AT$1185,"",AT1665+AT1945)</f>
        <v>9.962909599112665</v>
      </c>
      <c r="AU1385" s="119">
        <f>IF(tech_base!$T201&gt;AU$1185,"",AU1665+AU1945)</f>
        <v>9.962909599112665</v>
      </c>
      <c r="AV1385" s="119">
        <f>IF(tech_base!$T201&gt;AV$1185,"",AV1665+AV1945)</f>
        <v>9.962909599112665</v>
      </c>
      <c r="AW1385" s="119">
        <f>IF(tech_base!$T201&gt;AW$1185,"",AW1665+AW1945)</f>
        <v>9.962909599112665</v>
      </c>
      <c r="AX1385" s="120">
        <f>IF(tech_base!$T201&gt;AX$1185,"",AX1665+AX1945)</f>
        <v>9.962909599112665</v>
      </c>
    </row>
    <row r="1386" spans="1:50" x14ac:dyDescent="0.25">
      <c r="A1386" s="357"/>
      <c r="B1386" s="380"/>
      <c r="C1386" s="381"/>
      <c r="D1386" s="4" t="s">
        <v>8</v>
      </c>
      <c r="E1386" s="168" t="str">
        <f>A1359&amp;"/"&amp;B1375&amp;"/"&amp;C1385&amp;"/"&amp;D1386</f>
        <v>Fuel oil fired power plants/Steam turbine/CHP with CCS/M</v>
      </c>
      <c r="F1386" s="80" t="str">
        <f>A1359</f>
        <v>Fuel oil fired power plants</v>
      </c>
      <c r="G1386" s="80" t="str">
        <f>B1375</f>
        <v>Steam turbine</v>
      </c>
      <c r="H1386" s="80" t="str">
        <f>C1385</f>
        <v>CHP with CCS</v>
      </c>
      <c r="I1386" s="169" t="str">
        <f t="shared" si="375"/>
        <v>M</v>
      </c>
      <c r="J1386" s="127" t="str">
        <f>IF(tech_base!$T202&gt;J$1185,"",J1666+J1946)</f>
        <v/>
      </c>
      <c r="K1386" s="127" t="str">
        <f>IF(tech_base!$T202&gt;K$1185,"",K1666+K1946)</f>
        <v/>
      </c>
      <c r="L1386" s="127" t="str">
        <f>IF(tech_base!$T202&gt;L$1185,"",L1666+L1946)</f>
        <v/>
      </c>
      <c r="M1386" s="127" t="str">
        <f>IF(tech_base!$T202&gt;M$1185,"",M1666+M1946)</f>
        <v/>
      </c>
      <c r="N1386" s="127" t="str">
        <f>IF(tech_base!$T202&gt;N$1185,"",N1666+N1946)</f>
        <v/>
      </c>
      <c r="O1386" s="127" t="str">
        <f>IF(tech_base!$T202&gt;O$1185,"",O1666+O1946)</f>
        <v/>
      </c>
      <c r="P1386" s="127" t="str">
        <f>IF(tech_base!$T202&gt;P$1185,"",P1666+P1946)</f>
        <v/>
      </c>
      <c r="Q1386" s="127" t="str">
        <f>IF(tech_base!$T202&gt;Q$1185,"",Q1666+Q1946)</f>
        <v/>
      </c>
      <c r="R1386" s="127" t="str">
        <f>IF(tech_base!$T202&gt;R$1185,"",R1666+R1946)</f>
        <v/>
      </c>
      <c r="S1386" s="127" t="str">
        <f>IF(tech_base!$T202&gt;S$1185,"",S1666+S1946)</f>
        <v/>
      </c>
      <c r="T1386" s="127" t="str">
        <f>IF(tech_base!$T202&gt;T$1185,"",T1666+T1946)</f>
        <v/>
      </c>
      <c r="U1386" s="127" t="str">
        <f>IF(tech_base!$T202&gt;U$1185,"",U1666+U1946)</f>
        <v/>
      </c>
      <c r="V1386" s="127" t="str">
        <f>IF(tech_base!$T202&gt;V$1185,"",V1666+V1946)</f>
        <v/>
      </c>
      <c r="W1386" s="127" t="str">
        <f>IF(tech_base!$T202&gt;W$1185,"",W1666+W1946)</f>
        <v/>
      </c>
      <c r="X1386" s="127" t="str">
        <f>IF(tech_base!$T202&gt;X$1185,"",X1666+X1946)</f>
        <v/>
      </c>
      <c r="Y1386" s="127" t="str">
        <f>IF(tech_base!$T202&gt;Y$1185,"",Y1666+Y1946)</f>
        <v/>
      </c>
      <c r="Z1386" s="127" t="str">
        <f>IF(tech_base!$T202&gt;Z$1185,"",Z1666+Z1946)</f>
        <v/>
      </c>
      <c r="AA1386" s="127" t="str">
        <f>IF(tech_base!$T202&gt;AA$1185,"",AA1666+AA1946)</f>
        <v/>
      </c>
      <c r="AB1386" s="127" t="str">
        <f>IF(tech_base!$T202&gt;AB$1185,"",AB1666+AB1946)</f>
        <v/>
      </c>
      <c r="AC1386" s="127" t="str">
        <f>IF(tech_base!$T202&gt;AC$1185,"",AC1666+AC1946)</f>
        <v/>
      </c>
      <c r="AD1386" s="127" t="str">
        <f>IF(tech_base!$T202&gt;AD$1185,"",AD1666+AD1946)</f>
        <v/>
      </c>
      <c r="AE1386" s="127">
        <f>IF(tech_base!$T202&gt;AE$1185,"",AE1666+AE1946)</f>
        <v>10.652098143600258</v>
      </c>
      <c r="AF1386" s="127">
        <f>IF(tech_base!$T202&gt;AF$1185,"",AF1666+AF1946)</f>
        <v>10.652098143600258</v>
      </c>
      <c r="AG1386" s="127">
        <f>IF(tech_base!$T202&gt;AG$1185,"",AG1666+AG1946)</f>
        <v>10.652098143600258</v>
      </c>
      <c r="AH1386" s="127">
        <f>IF(tech_base!$T202&gt;AH$1185,"",AH1666+AH1946)</f>
        <v>10.652098143600258</v>
      </c>
      <c r="AI1386" s="127">
        <f>IF(tech_base!$T202&gt;AI$1185,"",AI1666+AI1946)</f>
        <v>10.652098143600258</v>
      </c>
      <c r="AJ1386" s="127">
        <f>IF(tech_base!$T202&gt;AJ$1185,"",AJ1666+AJ1946)</f>
        <v>10.652098143600258</v>
      </c>
      <c r="AK1386" s="127">
        <f>IF(tech_base!$T202&gt;AK$1185,"",AK1666+AK1946)</f>
        <v>10.652098143600258</v>
      </c>
      <c r="AL1386" s="127">
        <f>IF(tech_base!$T202&gt;AL$1185,"",AL1666+AL1946)</f>
        <v>10.652098143600258</v>
      </c>
      <c r="AM1386" s="127">
        <f>IF(tech_base!$T202&gt;AM$1185,"",AM1666+AM1946)</f>
        <v>10.652098143600258</v>
      </c>
      <c r="AN1386" s="127">
        <f>IF(tech_base!$T202&gt;AN$1185,"",AN1666+AN1946)</f>
        <v>10.652098143600258</v>
      </c>
      <c r="AO1386" s="127">
        <f>IF(tech_base!$T202&gt;AO$1185,"",AO1666+AO1946)</f>
        <v>10.652098143600258</v>
      </c>
      <c r="AP1386" s="127">
        <f>IF(tech_base!$T202&gt;AP$1185,"",AP1666+AP1946)</f>
        <v>10.652098143600258</v>
      </c>
      <c r="AQ1386" s="127">
        <f>IF(tech_base!$T202&gt;AQ$1185,"",AQ1666+AQ1946)</f>
        <v>10.652098143600258</v>
      </c>
      <c r="AR1386" s="127">
        <f>IF(tech_base!$T202&gt;AR$1185,"",AR1666+AR1946)</f>
        <v>10.652098143600258</v>
      </c>
      <c r="AS1386" s="127">
        <f>IF(tech_base!$T202&gt;AS$1185,"",AS1666+AS1946)</f>
        <v>10.652098143600258</v>
      </c>
      <c r="AT1386" s="127">
        <f>IF(tech_base!$T202&gt;AT$1185,"",AT1666+AT1946)</f>
        <v>10.652098143600258</v>
      </c>
      <c r="AU1386" s="127">
        <f>IF(tech_base!$T202&gt;AU$1185,"",AU1666+AU1946)</f>
        <v>10.652098143600258</v>
      </c>
      <c r="AV1386" s="127">
        <f>IF(tech_base!$T202&gt;AV$1185,"",AV1666+AV1946)</f>
        <v>10.652098143600258</v>
      </c>
      <c r="AW1386" s="127">
        <f>IF(tech_base!$T202&gt;AW$1185,"",AW1666+AW1946)</f>
        <v>10.652098143600258</v>
      </c>
      <c r="AX1386" s="128">
        <f>IF(tech_base!$T202&gt;AX$1185,"",AX1666+AX1946)</f>
        <v>10.652098143600258</v>
      </c>
    </row>
    <row r="1387" spans="1:50" x14ac:dyDescent="0.25">
      <c r="A1387" s="355" t="s">
        <v>30</v>
      </c>
      <c r="B1387" s="358" t="s">
        <v>13</v>
      </c>
      <c r="C1387" s="353" t="s">
        <v>6</v>
      </c>
      <c r="D1387" s="3" t="s">
        <v>7</v>
      </c>
      <c r="E1387" s="162" t="str">
        <f>A1387&amp;"/"&amp;B1387&amp;"/"&amp;C1387&amp;"/"&amp;D1387</f>
        <v>Biomass and waste fired power plants/Integrated gasification combined cycle/Electricity only/L</v>
      </c>
      <c r="F1387" s="77" t="str">
        <f>A1387</f>
        <v>Biomass and waste fired power plants</v>
      </c>
      <c r="G1387" s="77" t="str">
        <f>B1387</f>
        <v>Integrated gasification combined cycle</v>
      </c>
      <c r="H1387" s="77" t="str">
        <f>C1387</f>
        <v>Electricity only</v>
      </c>
      <c r="I1387" s="163" t="str">
        <f t="shared" si="375"/>
        <v>L</v>
      </c>
      <c r="J1387" s="121">
        <f>IF(tech_base!$T203&gt;J$1185,"",J1667+J1947)</f>
        <v>0</v>
      </c>
      <c r="K1387" s="121">
        <f>IF(tech_base!$T203&gt;K$1185,"",K1667+K1947)</f>
        <v>0</v>
      </c>
      <c r="L1387" s="121">
        <f>IF(tech_base!$T203&gt;L$1185,"",L1667+L1947)</f>
        <v>0</v>
      </c>
      <c r="M1387" s="121">
        <f>IF(tech_base!$T203&gt;M$1185,"",M1667+M1947)</f>
        <v>0</v>
      </c>
      <c r="N1387" s="121">
        <f>IF(tech_base!$T203&gt;N$1185,"",N1667+N1947)</f>
        <v>0</v>
      </c>
      <c r="O1387" s="121">
        <f>IF(tech_base!$T203&gt;O$1185,"",O1667+O1947)</f>
        <v>0</v>
      </c>
      <c r="P1387" s="121">
        <f>IF(tech_base!$T203&gt;P$1185,"",P1667+P1947)</f>
        <v>0</v>
      </c>
      <c r="Q1387" s="121">
        <f>IF(tech_base!$T203&gt;Q$1185,"",Q1667+Q1947)</f>
        <v>0</v>
      </c>
      <c r="R1387" s="121">
        <f>IF(tech_base!$T203&gt;R$1185,"",R1667+R1947)</f>
        <v>0</v>
      </c>
      <c r="S1387" s="121">
        <f>IF(tech_base!$T203&gt;S$1185,"",S1667+S1947)</f>
        <v>0</v>
      </c>
      <c r="T1387" s="121">
        <f>IF(tech_base!$T203&gt;T$1185,"",T1667+T1947)</f>
        <v>0</v>
      </c>
      <c r="U1387" s="121">
        <f>IF(tech_base!$T203&gt;U$1185,"",U1667+U1947)</f>
        <v>0</v>
      </c>
      <c r="V1387" s="121">
        <f>IF(tech_base!$T203&gt;V$1185,"",V1667+V1947)</f>
        <v>0</v>
      </c>
      <c r="W1387" s="121">
        <f>IF(tech_base!$T203&gt;W$1185,"",W1667+W1947)</f>
        <v>0</v>
      </c>
      <c r="X1387" s="121">
        <f>IF(tech_base!$T203&gt;X$1185,"",X1667+X1947)</f>
        <v>0</v>
      </c>
      <c r="Y1387" s="121">
        <f>IF(tech_base!$T203&gt;Y$1185,"",Y1667+Y1947)</f>
        <v>0</v>
      </c>
      <c r="Z1387" s="121">
        <f>IF(tech_base!$T203&gt;Z$1185,"",Z1667+Z1947)</f>
        <v>0</v>
      </c>
      <c r="AA1387" s="121">
        <f>IF(tech_base!$T203&gt;AA$1185,"",AA1667+AA1947)</f>
        <v>0</v>
      </c>
      <c r="AB1387" s="121">
        <f>IF(tech_base!$T203&gt;AB$1185,"",AB1667+AB1947)</f>
        <v>0</v>
      </c>
      <c r="AC1387" s="121">
        <f>IF(tech_base!$T203&gt;AC$1185,"",AC1667+AC1947)</f>
        <v>0</v>
      </c>
      <c r="AD1387" s="121">
        <f>IF(tech_base!$T203&gt;AD$1185,"",AD1667+AD1947)</f>
        <v>0</v>
      </c>
      <c r="AE1387" s="121">
        <f>IF(tech_base!$T203&gt;AE$1185,"",AE1667+AE1947)</f>
        <v>0</v>
      </c>
      <c r="AF1387" s="121">
        <f>IF(tech_base!$T203&gt;AF$1185,"",AF1667+AF1947)</f>
        <v>0</v>
      </c>
      <c r="AG1387" s="121">
        <f>IF(tech_base!$T203&gt;AG$1185,"",AG1667+AG1947)</f>
        <v>0</v>
      </c>
      <c r="AH1387" s="121">
        <f>IF(tech_base!$T203&gt;AH$1185,"",AH1667+AH1947)</f>
        <v>0</v>
      </c>
      <c r="AI1387" s="121">
        <f>IF(tech_base!$T203&gt;AI$1185,"",AI1667+AI1947)</f>
        <v>0</v>
      </c>
      <c r="AJ1387" s="121">
        <f>IF(tech_base!$T203&gt;AJ$1185,"",AJ1667+AJ1947)</f>
        <v>0</v>
      </c>
      <c r="AK1387" s="121">
        <f>IF(tech_base!$T203&gt;AK$1185,"",AK1667+AK1947)</f>
        <v>0</v>
      </c>
      <c r="AL1387" s="121">
        <f>IF(tech_base!$T203&gt;AL$1185,"",AL1667+AL1947)</f>
        <v>0</v>
      </c>
      <c r="AM1387" s="121">
        <f>IF(tech_base!$T203&gt;AM$1185,"",AM1667+AM1947)</f>
        <v>0</v>
      </c>
      <c r="AN1387" s="121">
        <f>IF(tech_base!$T203&gt;AN$1185,"",AN1667+AN1947)</f>
        <v>0</v>
      </c>
      <c r="AO1387" s="121">
        <f>IF(tech_base!$T203&gt;AO$1185,"",AO1667+AO1947)</f>
        <v>0</v>
      </c>
      <c r="AP1387" s="121">
        <f>IF(tech_base!$T203&gt;AP$1185,"",AP1667+AP1947)</f>
        <v>0</v>
      </c>
      <c r="AQ1387" s="121">
        <f>IF(tech_base!$T203&gt;AQ$1185,"",AQ1667+AQ1947)</f>
        <v>0</v>
      </c>
      <c r="AR1387" s="121">
        <f>IF(tech_base!$T203&gt;AR$1185,"",AR1667+AR1947)</f>
        <v>0</v>
      </c>
      <c r="AS1387" s="121">
        <f>IF(tech_base!$T203&gt;AS$1185,"",AS1667+AS1947)</f>
        <v>0</v>
      </c>
      <c r="AT1387" s="121">
        <f>IF(tech_base!$T203&gt;AT$1185,"",AT1667+AT1947)</f>
        <v>0</v>
      </c>
      <c r="AU1387" s="121">
        <f>IF(tech_base!$T203&gt;AU$1185,"",AU1667+AU1947)</f>
        <v>0</v>
      </c>
      <c r="AV1387" s="121">
        <f>IF(tech_base!$T203&gt;AV$1185,"",AV1667+AV1947)</f>
        <v>0</v>
      </c>
      <c r="AW1387" s="121">
        <f>IF(tech_base!$T203&gt;AW$1185,"",AW1667+AW1947)</f>
        <v>0</v>
      </c>
      <c r="AX1387" s="122">
        <f>IF(tech_base!$T203&gt;AX$1185,"",AX1667+AX1947)</f>
        <v>0</v>
      </c>
    </row>
    <row r="1388" spans="1:50" x14ac:dyDescent="0.25">
      <c r="A1388" s="356"/>
      <c r="B1388" s="376"/>
      <c r="C1388" s="379"/>
      <c r="D1388" s="2" t="s">
        <v>8</v>
      </c>
      <c r="E1388" s="160" t="str">
        <f>A1387&amp;"/"&amp;B1387&amp;"/"&amp;C1387&amp;"/"&amp;D1388</f>
        <v>Biomass and waste fired power plants/Integrated gasification combined cycle/Electricity only/M</v>
      </c>
      <c r="F1388" s="76" t="str">
        <f>A1387</f>
        <v>Biomass and waste fired power plants</v>
      </c>
      <c r="G1388" s="76" t="str">
        <f>B1387</f>
        <v>Integrated gasification combined cycle</v>
      </c>
      <c r="H1388" s="76" t="str">
        <f>C1387</f>
        <v>Electricity only</v>
      </c>
      <c r="I1388" s="161" t="str">
        <f t="shared" si="375"/>
        <v>M</v>
      </c>
      <c r="J1388" s="119">
        <f>IF(tech_base!$T204&gt;J$1185,"",J1668+J1948)</f>
        <v>0</v>
      </c>
      <c r="K1388" s="119">
        <f>IF(tech_base!$T204&gt;K$1185,"",K1668+K1948)</f>
        <v>0</v>
      </c>
      <c r="L1388" s="119">
        <f>IF(tech_base!$T204&gt;L$1185,"",L1668+L1948)</f>
        <v>0</v>
      </c>
      <c r="M1388" s="119">
        <f>IF(tech_base!$T204&gt;M$1185,"",M1668+M1948)</f>
        <v>0</v>
      </c>
      <c r="N1388" s="119">
        <f>IF(tech_base!$T204&gt;N$1185,"",N1668+N1948)</f>
        <v>0</v>
      </c>
      <c r="O1388" s="119">
        <f>IF(tech_base!$T204&gt;O$1185,"",O1668+O1948)</f>
        <v>0</v>
      </c>
      <c r="P1388" s="119">
        <f>IF(tech_base!$T204&gt;P$1185,"",P1668+P1948)</f>
        <v>0</v>
      </c>
      <c r="Q1388" s="119">
        <f>IF(tech_base!$T204&gt;Q$1185,"",Q1668+Q1948)</f>
        <v>0</v>
      </c>
      <c r="R1388" s="119">
        <f>IF(tech_base!$T204&gt;R$1185,"",R1668+R1948)</f>
        <v>0</v>
      </c>
      <c r="S1388" s="119">
        <f>IF(tech_base!$T204&gt;S$1185,"",S1668+S1948)</f>
        <v>0</v>
      </c>
      <c r="T1388" s="119">
        <f>IF(tech_base!$T204&gt;T$1185,"",T1668+T1948)</f>
        <v>0</v>
      </c>
      <c r="U1388" s="119">
        <f>IF(tech_base!$T204&gt;U$1185,"",U1668+U1948)</f>
        <v>0</v>
      </c>
      <c r="V1388" s="119">
        <f>IF(tech_base!$T204&gt;V$1185,"",V1668+V1948)</f>
        <v>0</v>
      </c>
      <c r="W1388" s="119">
        <f>IF(tech_base!$T204&gt;W$1185,"",W1668+W1948)</f>
        <v>0</v>
      </c>
      <c r="X1388" s="119">
        <f>IF(tech_base!$T204&gt;X$1185,"",X1668+X1948)</f>
        <v>0</v>
      </c>
      <c r="Y1388" s="119">
        <f>IF(tech_base!$T204&gt;Y$1185,"",Y1668+Y1948)</f>
        <v>0</v>
      </c>
      <c r="Z1388" s="119">
        <f>IF(tech_base!$T204&gt;Z$1185,"",Z1668+Z1948)</f>
        <v>0</v>
      </c>
      <c r="AA1388" s="119">
        <f>IF(tech_base!$T204&gt;AA$1185,"",AA1668+AA1948)</f>
        <v>0</v>
      </c>
      <c r="AB1388" s="119">
        <f>IF(tech_base!$T204&gt;AB$1185,"",AB1668+AB1948)</f>
        <v>0</v>
      </c>
      <c r="AC1388" s="119">
        <f>IF(tech_base!$T204&gt;AC$1185,"",AC1668+AC1948)</f>
        <v>0</v>
      </c>
      <c r="AD1388" s="119">
        <f>IF(tech_base!$T204&gt;AD$1185,"",AD1668+AD1948)</f>
        <v>0</v>
      </c>
      <c r="AE1388" s="119">
        <f>IF(tech_base!$T204&gt;AE$1185,"",AE1668+AE1948)</f>
        <v>0</v>
      </c>
      <c r="AF1388" s="119">
        <f>IF(tech_base!$T204&gt;AF$1185,"",AF1668+AF1948)</f>
        <v>0</v>
      </c>
      <c r="AG1388" s="119">
        <f>IF(tech_base!$T204&gt;AG$1185,"",AG1668+AG1948)</f>
        <v>0</v>
      </c>
      <c r="AH1388" s="119">
        <f>IF(tech_base!$T204&gt;AH$1185,"",AH1668+AH1948)</f>
        <v>0</v>
      </c>
      <c r="AI1388" s="119">
        <f>IF(tech_base!$T204&gt;AI$1185,"",AI1668+AI1948)</f>
        <v>0</v>
      </c>
      <c r="AJ1388" s="119">
        <f>IF(tech_base!$T204&gt;AJ$1185,"",AJ1668+AJ1948)</f>
        <v>0</v>
      </c>
      <c r="AK1388" s="119">
        <f>IF(tech_base!$T204&gt;AK$1185,"",AK1668+AK1948)</f>
        <v>0</v>
      </c>
      <c r="AL1388" s="119">
        <f>IF(tech_base!$T204&gt;AL$1185,"",AL1668+AL1948)</f>
        <v>0</v>
      </c>
      <c r="AM1388" s="119">
        <f>IF(tech_base!$T204&gt;AM$1185,"",AM1668+AM1948)</f>
        <v>0</v>
      </c>
      <c r="AN1388" s="119">
        <f>IF(tech_base!$T204&gt;AN$1185,"",AN1668+AN1948)</f>
        <v>0</v>
      </c>
      <c r="AO1388" s="119">
        <f>IF(tech_base!$T204&gt;AO$1185,"",AO1668+AO1948)</f>
        <v>0</v>
      </c>
      <c r="AP1388" s="119">
        <f>IF(tech_base!$T204&gt;AP$1185,"",AP1668+AP1948)</f>
        <v>0</v>
      </c>
      <c r="AQ1388" s="119">
        <f>IF(tech_base!$T204&gt;AQ$1185,"",AQ1668+AQ1948)</f>
        <v>0</v>
      </c>
      <c r="AR1388" s="119">
        <f>IF(tech_base!$T204&gt;AR$1185,"",AR1668+AR1948)</f>
        <v>0</v>
      </c>
      <c r="AS1388" s="119">
        <f>IF(tech_base!$T204&gt;AS$1185,"",AS1668+AS1948)</f>
        <v>0</v>
      </c>
      <c r="AT1388" s="119">
        <f>IF(tech_base!$T204&gt;AT$1185,"",AT1668+AT1948)</f>
        <v>0</v>
      </c>
      <c r="AU1388" s="119">
        <f>IF(tech_base!$T204&gt;AU$1185,"",AU1668+AU1948)</f>
        <v>0</v>
      </c>
      <c r="AV1388" s="119">
        <f>IF(tech_base!$T204&gt;AV$1185,"",AV1668+AV1948)</f>
        <v>0</v>
      </c>
      <c r="AW1388" s="119">
        <f>IF(tech_base!$T204&gt;AW$1185,"",AW1668+AW1948)</f>
        <v>0</v>
      </c>
      <c r="AX1388" s="120">
        <f>IF(tech_base!$T204&gt;AX$1185,"",AX1668+AX1948)</f>
        <v>0</v>
      </c>
    </row>
    <row r="1389" spans="1:50" x14ac:dyDescent="0.25">
      <c r="A1389" s="356"/>
      <c r="B1389" s="376"/>
      <c r="C1389" s="361" t="s">
        <v>14</v>
      </c>
      <c r="D1389" s="58" t="s">
        <v>7</v>
      </c>
      <c r="E1389" s="164" t="str">
        <f>A1387&amp;"/"&amp;B1387&amp;"/"&amp;C1389&amp;"/"&amp;D1389</f>
        <v>Biomass and waste fired power plants/Integrated gasification combined cycle/CHP/L</v>
      </c>
      <c r="F1389" s="78" t="str">
        <f>A1387</f>
        <v>Biomass and waste fired power plants</v>
      </c>
      <c r="G1389" s="78" t="str">
        <f>B1387</f>
        <v>Integrated gasification combined cycle</v>
      </c>
      <c r="H1389" s="78" t="str">
        <f>C1389</f>
        <v>CHP</v>
      </c>
      <c r="I1389" s="165" t="str">
        <f t="shared" si="375"/>
        <v>L</v>
      </c>
      <c r="J1389" s="123">
        <f>IF(tech_base!$T205&gt;J$1185,"",J1669+J1949)</f>
        <v>0</v>
      </c>
      <c r="K1389" s="123">
        <f>IF(tech_base!$T205&gt;K$1185,"",K1669+K1949)</f>
        <v>0</v>
      </c>
      <c r="L1389" s="123">
        <f>IF(tech_base!$T205&gt;L$1185,"",L1669+L1949)</f>
        <v>0</v>
      </c>
      <c r="M1389" s="123">
        <f>IF(tech_base!$T205&gt;M$1185,"",M1669+M1949)</f>
        <v>0</v>
      </c>
      <c r="N1389" s="123">
        <f>IF(tech_base!$T205&gt;N$1185,"",N1669+N1949)</f>
        <v>0</v>
      </c>
      <c r="O1389" s="123">
        <f>IF(tech_base!$T205&gt;O$1185,"",O1669+O1949)</f>
        <v>0</v>
      </c>
      <c r="P1389" s="123">
        <f>IF(tech_base!$T205&gt;P$1185,"",P1669+P1949)</f>
        <v>0</v>
      </c>
      <c r="Q1389" s="123">
        <f>IF(tech_base!$T205&gt;Q$1185,"",Q1669+Q1949)</f>
        <v>0</v>
      </c>
      <c r="R1389" s="123">
        <f>IF(tech_base!$T205&gt;R$1185,"",R1669+R1949)</f>
        <v>0</v>
      </c>
      <c r="S1389" s="123">
        <f>IF(tech_base!$T205&gt;S$1185,"",S1669+S1949)</f>
        <v>0</v>
      </c>
      <c r="T1389" s="123">
        <f>IF(tech_base!$T205&gt;T$1185,"",T1669+T1949)</f>
        <v>0</v>
      </c>
      <c r="U1389" s="123">
        <f>IF(tech_base!$T205&gt;U$1185,"",U1669+U1949)</f>
        <v>0</v>
      </c>
      <c r="V1389" s="123">
        <f>IF(tech_base!$T205&gt;V$1185,"",V1669+V1949)</f>
        <v>0</v>
      </c>
      <c r="W1389" s="123">
        <f>IF(tech_base!$T205&gt;W$1185,"",W1669+W1949)</f>
        <v>0</v>
      </c>
      <c r="X1389" s="123">
        <f>IF(tech_base!$T205&gt;X$1185,"",X1669+X1949)</f>
        <v>0</v>
      </c>
      <c r="Y1389" s="123">
        <f>IF(tech_base!$T205&gt;Y$1185,"",Y1669+Y1949)</f>
        <v>0</v>
      </c>
      <c r="Z1389" s="123">
        <f>IF(tech_base!$T205&gt;Z$1185,"",Z1669+Z1949)</f>
        <v>0</v>
      </c>
      <c r="AA1389" s="123">
        <f>IF(tech_base!$T205&gt;AA$1185,"",AA1669+AA1949)</f>
        <v>0</v>
      </c>
      <c r="AB1389" s="123">
        <f>IF(tech_base!$T205&gt;AB$1185,"",AB1669+AB1949)</f>
        <v>0</v>
      </c>
      <c r="AC1389" s="123">
        <f>IF(tech_base!$T205&gt;AC$1185,"",AC1669+AC1949)</f>
        <v>0</v>
      </c>
      <c r="AD1389" s="123">
        <f>IF(tech_base!$T205&gt;AD$1185,"",AD1669+AD1949)</f>
        <v>0</v>
      </c>
      <c r="AE1389" s="123">
        <f>IF(tech_base!$T205&gt;AE$1185,"",AE1669+AE1949)</f>
        <v>0</v>
      </c>
      <c r="AF1389" s="123">
        <f>IF(tech_base!$T205&gt;AF$1185,"",AF1669+AF1949)</f>
        <v>0</v>
      </c>
      <c r="AG1389" s="123">
        <f>IF(tech_base!$T205&gt;AG$1185,"",AG1669+AG1949)</f>
        <v>0</v>
      </c>
      <c r="AH1389" s="123">
        <f>IF(tech_base!$T205&gt;AH$1185,"",AH1669+AH1949)</f>
        <v>0</v>
      </c>
      <c r="AI1389" s="123">
        <f>IF(tech_base!$T205&gt;AI$1185,"",AI1669+AI1949)</f>
        <v>0</v>
      </c>
      <c r="AJ1389" s="123">
        <f>IF(tech_base!$T205&gt;AJ$1185,"",AJ1669+AJ1949)</f>
        <v>0</v>
      </c>
      <c r="AK1389" s="123">
        <f>IF(tech_base!$T205&gt;AK$1185,"",AK1669+AK1949)</f>
        <v>0</v>
      </c>
      <c r="AL1389" s="123">
        <f>IF(tech_base!$T205&gt;AL$1185,"",AL1669+AL1949)</f>
        <v>0</v>
      </c>
      <c r="AM1389" s="123">
        <f>IF(tech_base!$T205&gt;AM$1185,"",AM1669+AM1949)</f>
        <v>0</v>
      </c>
      <c r="AN1389" s="123">
        <f>IF(tech_base!$T205&gt;AN$1185,"",AN1669+AN1949)</f>
        <v>0</v>
      </c>
      <c r="AO1389" s="123">
        <f>IF(tech_base!$T205&gt;AO$1185,"",AO1669+AO1949)</f>
        <v>0</v>
      </c>
      <c r="AP1389" s="123">
        <f>IF(tech_base!$T205&gt;AP$1185,"",AP1669+AP1949)</f>
        <v>0</v>
      </c>
      <c r="AQ1389" s="123">
        <f>IF(tech_base!$T205&gt;AQ$1185,"",AQ1669+AQ1949)</f>
        <v>0</v>
      </c>
      <c r="AR1389" s="123">
        <f>IF(tech_base!$T205&gt;AR$1185,"",AR1669+AR1949)</f>
        <v>0</v>
      </c>
      <c r="AS1389" s="123">
        <f>IF(tech_base!$T205&gt;AS$1185,"",AS1669+AS1949)</f>
        <v>0</v>
      </c>
      <c r="AT1389" s="123">
        <f>IF(tech_base!$T205&gt;AT$1185,"",AT1669+AT1949)</f>
        <v>0</v>
      </c>
      <c r="AU1389" s="123">
        <f>IF(tech_base!$T205&gt;AU$1185,"",AU1669+AU1949)</f>
        <v>0</v>
      </c>
      <c r="AV1389" s="123">
        <f>IF(tech_base!$T205&gt;AV$1185,"",AV1669+AV1949)</f>
        <v>0</v>
      </c>
      <c r="AW1389" s="123">
        <f>IF(tech_base!$T205&gt;AW$1185,"",AW1669+AW1949)</f>
        <v>0</v>
      </c>
      <c r="AX1389" s="124">
        <f>IF(tech_base!$T205&gt;AX$1185,"",AX1669+AX1949)</f>
        <v>0</v>
      </c>
    </row>
    <row r="1390" spans="1:50" x14ac:dyDescent="0.25">
      <c r="A1390" s="356"/>
      <c r="B1390" s="376"/>
      <c r="C1390" s="379"/>
      <c r="D1390" s="59" t="s">
        <v>8</v>
      </c>
      <c r="E1390" s="166" t="str">
        <f>A1387&amp;"/"&amp;B1387&amp;"/"&amp;C1389&amp;"/"&amp;D1390</f>
        <v>Biomass and waste fired power plants/Integrated gasification combined cycle/CHP/M</v>
      </c>
      <c r="F1390" s="79" t="str">
        <f>A1387</f>
        <v>Biomass and waste fired power plants</v>
      </c>
      <c r="G1390" s="79" t="str">
        <f>B1387</f>
        <v>Integrated gasification combined cycle</v>
      </c>
      <c r="H1390" s="79" t="str">
        <f>C1389</f>
        <v>CHP</v>
      </c>
      <c r="I1390" s="167" t="str">
        <f t="shared" si="375"/>
        <v>M</v>
      </c>
      <c r="J1390" s="125">
        <f>IF(tech_base!$T206&gt;J$1185,"",J1670+J1950)</f>
        <v>0</v>
      </c>
      <c r="K1390" s="125">
        <f>IF(tech_base!$T206&gt;K$1185,"",K1670+K1950)</f>
        <v>0</v>
      </c>
      <c r="L1390" s="125">
        <f>IF(tech_base!$T206&gt;L$1185,"",L1670+L1950)</f>
        <v>0</v>
      </c>
      <c r="M1390" s="125">
        <f>IF(tech_base!$T206&gt;M$1185,"",M1670+M1950)</f>
        <v>0</v>
      </c>
      <c r="N1390" s="125">
        <f>IF(tech_base!$T206&gt;N$1185,"",N1670+N1950)</f>
        <v>0</v>
      </c>
      <c r="O1390" s="125">
        <f>IF(tech_base!$T206&gt;O$1185,"",O1670+O1950)</f>
        <v>0</v>
      </c>
      <c r="P1390" s="125">
        <f>IF(tech_base!$T206&gt;P$1185,"",P1670+P1950)</f>
        <v>0</v>
      </c>
      <c r="Q1390" s="125">
        <f>IF(tech_base!$T206&gt;Q$1185,"",Q1670+Q1950)</f>
        <v>0</v>
      </c>
      <c r="R1390" s="125">
        <f>IF(tech_base!$T206&gt;R$1185,"",R1670+R1950)</f>
        <v>0</v>
      </c>
      <c r="S1390" s="125">
        <f>IF(tech_base!$T206&gt;S$1185,"",S1670+S1950)</f>
        <v>0</v>
      </c>
      <c r="T1390" s="125">
        <f>IF(tech_base!$T206&gt;T$1185,"",T1670+T1950)</f>
        <v>0</v>
      </c>
      <c r="U1390" s="125">
        <f>IF(tech_base!$T206&gt;U$1185,"",U1670+U1950)</f>
        <v>0</v>
      </c>
      <c r="V1390" s="125">
        <f>IF(tech_base!$T206&gt;V$1185,"",V1670+V1950)</f>
        <v>0</v>
      </c>
      <c r="W1390" s="125">
        <f>IF(tech_base!$T206&gt;W$1185,"",W1670+W1950)</f>
        <v>0</v>
      </c>
      <c r="X1390" s="125">
        <f>IF(tech_base!$T206&gt;X$1185,"",X1670+X1950)</f>
        <v>0</v>
      </c>
      <c r="Y1390" s="125">
        <f>IF(tech_base!$T206&gt;Y$1185,"",Y1670+Y1950)</f>
        <v>0</v>
      </c>
      <c r="Z1390" s="125">
        <f>IF(tech_base!$T206&gt;Z$1185,"",Z1670+Z1950)</f>
        <v>0</v>
      </c>
      <c r="AA1390" s="125">
        <f>IF(tech_base!$T206&gt;AA$1185,"",AA1670+AA1950)</f>
        <v>0</v>
      </c>
      <c r="AB1390" s="125">
        <f>IF(tech_base!$T206&gt;AB$1185,"",AB1670+AB1950)</f>
        <v>0</v>
      </c>
      <c r="AC1390" s="125">
        <f>IF(tech_base!$T206&gt;AC$1185,"",AC1670+AC1950)</f>
        <v>0</v>
      </c>
      <c r="AD1390" s="125">
        <f>IF(tech_base!$T206&gt;AD$1185,"",AD1670+AD1950)</f>
        <v>0</v>
      </c>
      <c r="AE1390" s="125">
        <f>IF(tech_base!$T206&gt;AE$1185,"",AE1670+AE1950)</f>
        <v>0</v>
      </c>
      <c r="AF1390" s="125">
        <f>IF(tech_base!$T206&gt;AF$1185,"",AF1670+AF1950)</f>
        <v>0</v>
      </c>
      <c r="AG1390" s="125">
        <f>IF(tech_base!$T206&gt;AG$1185,"",AG1670+AG1950)</f>
        <v>0</v>
      </c>
      <c r="AH1390" s="125">
        <f>IF(tech_base!$T206&gt;AH$1185,"",AH1670+AH1950)</f>
        <v>0</v>
      </c>
      <c r="AI1390" s="125">
        <f>IF(tech_base!$T206&gt;AI$1185,"",AI1670+AI1950)</f>
        <v>0</v>
      </c>
      <c r="AJ1390" s="125">
        <f>IF(tech_base!$T206&gt;AJ$1185,"",AJ1670+AJ1950)</f>
        <v>0</v>
      </c>
      <c r="AK1390" s="125">
        <f>IF(tech_base!$T206&gt;AK$1185,"",AK1670+AK1950)</f>
        <v>0</v>
      </c>
      <c r="AL1390" s="125">
        <f>IF(tech_base!$T206&gt;AL$1185,"",AL1670+AL1950)</f>
        <v>0</v>
      </c>
      <c r="AM1390" s="125">
        <f>IF(tech_base!$T206&gt;AM$1185,"",AM1670+AM1950)</f>
        <v>0</v>
      </c>
      <c r="AN1390" s="125">
        <f>IF(tech_base!$T206&gt;AN$1185,"",AN1670+AN1950)</f>
        <v>0</v>
      </c>
      <c r="AO1390" s="125">
        <f>IF(tech_base!$T206&gt;AO$1185,"",AO1670+AO1950)</f>
        <v>0</v>
      </c>
      <c r="AP1390" s="125">
        <f>IF(tech_base!$T206&gt;AP$1185,"",AP1670+AP1950)</f>
        <v>0</v>
      </c>
      <c r="AQ1390" s="125">
        <f>IF(tech_base!$T206&gt;AQ$1185,"",AQ1670+AQ1950)</f>
        <v>0</v>
      </c>
      <c r="AR1390" s="125">
        <f>IF(tech_base!$T206&gt;AR$1185,"",AR1670+AR1950)</f>
        <v>0</v>
      </c>
      <c r="AS1390" s="125">
        <f>IF(tech_base!$T206&gt;AS$1185,"",AS1670+AS1950)</f>
        <v>0</v>
      </c>
      <c r="AT1390" s="125">
        <f>IF(tech_base!$T206&gt;AT$1185,"",AT1670+AT1950)</f>
        <v>0</v>
      </c>
      <c r="AU1390" s="125">
        <f>IF(tech_base!$T206&gt;AU$1185,"",AU1670+AU1950)</f>
        <v>0</v>
      </c>
      <c r="AV1390" s="125">
        <f>IF(tech_base!$T206&gt;AV$1185,"",AV1670+AV1950)</f>
        <v>0</v>
      </c>
      <c r="AW1390" s="125">
        <f>IF(tech_base!$T206&gt;AW$1185,"",AW1670+AW1950)</f>
        <v>0</v>
      </c>
      <c r="AX1390" s="126">
        <f>IF(tech_base!$T206&gt;AX$1185,"",AX1670+AX1950)</f>
        <v>0</v>
      </c>
    </row>
    <row r="1391" spans="1:50" x14ac:dyDescent="0.25">
      <c r="A1391" s="356"/>
      <c r="B1391" s="376"/>
      <c r="C1391" s="361" t="s">
        <v>15</v>
      </c>
      <c r="D1391" s="58" t="s">
        <v>7</v>
      </c>
      <c r="E1391" s="164" t="str">
        <f>A1387&amp;"/"&amp;B1387&amp;"/"&amp;C1391&amp;"/"&amp;D1391</f>
        <v>Biomass and waste fired power plants/Integrated gasification combined cycle/Electricity only with CCS/L</v>
      </c>
      <c r="F1391" s="78" t="str">
        <f>A1387</f>
        <v>Biomass and waste fired power plants</v>
      </c>
      <c r="G1391" s="78" t="str">
        <f>B1387</f>
        <v>Integrated gasification combined cycle</v>
      </c>
      <c r="H1391" s="78" t="str">
        <f>C1391</f>
        <v>Electricity only with CCS</v>
      </c>
      <c r="I1391" s="165" t="str">
        <f t="shared" si="375"/>
        <v>L</v>
      </c>
      <c r="J1391" s="123" t="str">
        <f>IF(tech_base!$T207&gt;J$1185,"",J1671+J1951)</f>
        <v/>
      </c>
      <c r="K1391" s="123" t="str">
        <f>IF(tech_base!$T207&gt;K$1185,"",K1671+K1951)</f>
        <v/>
      </c>
      <c r="L1391" s="123" t="str">
        <f>IF(tech_base!$T207&gt;L$1185,"",L1671+L1951)</f>
        <v/>
      </c>
      <c r="M1391" s="123" t="str">
        <f>IF(tech_base!$T207&gt;M$1185,"",M1671+M1951)</f>
        <v/>
      </c>
      <c r="N1391" s="123" t="str">
        <f>IF(tech_base!$T207&gt;N$1185,"",N1671+N1951)</f>
        <v/>
      </c>
      <c r="O1391" s="123" t="str">
        <f>IF(tech_base!$T207&gt;O$1185,"",O1671+O1951)</f>
        <v/>
      </c>
      <c r="P1391" s="123" t="str">
        <f>IF(tech_base!$T207&gt;P$1185,"",P1671+P1951)</f>
        <v/>
      </c>
      <c r="Q1391" s="123" t="str">
        <f>IF(tech_base!$T207&gt;Q$1185,"",Q1671+Q1951)</f>
        <v/>
      </c>
      <c r="R1391" s="123" t="str">
        <f>IF(tech_base!$T207&gt;R$1185,"",R1671+R1951)</f>
        <v/>
      </c>
      <c r="S1391" s="123" t="str">
        <f>IF(tech_base!$T207&gt;S$1185,"",S1671+S1951)</f>
        <v/>
      </c>
      <c r="T1391" s="123" t="str">
        <f>IF(tech_base!$T207&gt;T$1185,"",T1671+T1951)</f>
        <v/>
      </c>
      <c r="U1391" s="123" t="str">
        <f>IF(tech_base!$T207&gt;U$1185,"",U1671+U1951)</f>
        <v/>
      </c>
      <c r="V1391" s="123" t="str">
        <f>IF(tech_base!$T207&gt;V$1185,"",V1671+V1951)</f>
        <v/>
      </c>
      <c r="W1391" s="123" t="str">
        <f>IF(tech_base!$T207&gt;W$1185,"",W1671+W1951)</f>
        <v/>
      </c>
      <c r="X1391" s="123" t="str">
        <f>IF(tech_base!$T207&gt;X$1185,"",X1671+X1951)</f>
        <v/>
      </c>
      <c r="Y1391" s="123" t="str">
        <f>IF(tech_base!$T207&gt;Y$1185,"",Y1671+Y1951)</f>
        <v/>
      </c>
      <c r="Z1391" s="123" t="str">
        <f>IF(tech_base!$T207&gt;Z$1185,"",Z1671+Z1951)</f>
        <v/>
      </c>
      <c r="AA1391" s="123" t="str">
        <f>IF(tech_base!$T207&gt;AA$1185,"",AA1671+AA1951)</f>
        <v/>
      </c>
      <c r="AB1391" s="123" t="str">
        <f>IF(tech_base!$T207&gt;AB$1185,"",AB1671+AB1951)</f>
        <v/>
      </c>
      <c r="AC1391" s="123" t="str">
        <f>IF(tech_base!$T207&gt;AC$1185,"",AC1671+AC1951)</f>
        <v/>
      </c>
      <c r="AD1391" s="123" t="str">
        <f>IF(tech_base!$T207&gt;AD$1185,"",AD1671+AD1951)</f>
        <v/>
      </c>
      <c r="AE1391" s="123">
        <f>IF(tech_base!$T207&gt;AE$1185,"",AE1671+AE1951)</f>
        <v>0</v>
      </c>
      <c r="AF1391" s="123">
        <f>IF(tech_base!$T207&gt;AF$1185,"",AF1671+AF1951)</f>
        <v>0</v>
      </c>
      <c r="AG1391" s="123">
        <f>IF(tech_base!$T207&gt;AG$1185,"",AG1671+AG1951)</f>
        <v>0</v>
      </c>
      <c r="AH1391" s="123">
        <f>IF(tech_base!$T207&gt;AH$1185,"",AH1671+AH1951)</f>
        <v>0</v>
      </c>
      <c r="AI1391" s="123">
        <f>IF(tech_base!$T207&gt;AI$1185,"",AI1671+AI1951)</f>
        <v>0</v>
      </c>
      <c r="AJ1391" s="123">
        <f>IF(tech_base!$T207&gt;AJ$1185,"",AJ1671+AJ1951)</f>
        <v>0</v>
      </c>
      <c r="AK1391" s="123">
        <f>IF(tech_base!$T207&gt;AK$1185,"",AK1671+AK1951)</f>
        <v>0</v>
      </c>
      <c r="AL1391" s="123">
        <f>IF(tech_base!$T207&gt;AL$1185,"",AL1671+AL1951)</f>
        <v>0</v>
      </c>
      <c r="AM1391" s="123">
        <f>IF(tech_base!$T207&gt;AM$1185,"",AM1671+AM1951)</f>
        <v>0</v>
      </c>
      <c r="AN1391" s="123">
        <f>IF(tech_base!$T207&gt;AN$1185,"",AN1671+AN1951)</f>
        <v>0</v>
      </c>
      <c r="AO1391" s="123">
        <f>IF(tech_base!$T207&gt;AO$1185,"",AO1671+AO1951)</f>
        <v>0</v>
      </c>
      <c r="AP1391" s="123">
        <f>IF(tech_base!$T207&gt;AP$1185,"",AP1671+AP1951)</f>
        <v>0</v>
      </c>
      <c r="AQ1391" s="123">
        <f>IF(tech_base!$T207&gt;AQ$1185,"",AQ1671+AQ1951)</f>
        <v>0</v>
      </c>
      <c r="AR1391" s="123">
        <f>IF(tech_base!$T207&gt;AR$1185,"",AR1671+AR1951)</f>
        <v>0</v>
      </c>
      <c r="AS1391" s="123">
        <f>IF(tech_base!$T207&gt;AS$1185,"",AS1671+AS1951)</f>
        <v>0</v>
      </c>
      <c r="AT1391" s="123">
        <f>IF(tech_base!$T207&gt;AT$1185,"",AT1671+AT1951)</f>
        <v>0</v>
      </c>
      <c r="AU1391" s="123">
        <f>IF(tech_base!$T207&gt;AU$1185,"",AU1671+AU1951)</f>
        <v>0</v>
      </c>
      <c r="AV1391" s="123">
        <f>IF(tech_base!$T207&gt;AV$1185,"",AV1671+AV1951)</f>
        <v>0</v>
      </c>
      <c r="AW1391" s="123">
        <f>IF(tech_base!$T207&gt;AW$1185,"",AW1671+AW1951)</f>
        <v>0</v>
      </c>
      <c r="AX1391" s="124">
        <f>IF(tech_base!$T207&gt;AX$1185,"",AX1671+AX1951)</f>
        <v>0</v>
      </c>
    </row>
    <row r="1392" spans="1:50" x14ac:dyDescent="0.25">
      <c r="A1392" s="356"/>
      <c r="B1392" s="376"/>
      <c r="C1392" s="379"/>
      <c r="D1392" s="59" t="s">
        <v>8</v>
      </c>
      <c r="E1392" s="166" t="str">
        <f>A1387&amp;"/"&amp;B1387&amp;"/"&amp;C1391&amp;"/"&amp;D1392</f>
        <v>Biomass and waste fired power plants/Integrated gasification combined cycle/Electricity only with CCS/M</v>
      </c>
      <c r="F1392" s="79" t="str">
        <f>A1387</f>
        <v>Biomass and waste fired power plants</v>
      </c>
      <c r="G1392" s="79" t="str">
        <f>B1387</f>
        <v>Integrated gasification combined cycle</v>
      </c>
      <c r="H1392" s="79" t="str">
        <f>C1391</f>
        <v>Electricity only with CCS</v>
      </c>
      <c r="I1392" s="167" t="str">
        <f t="shared" si="375"/>
        <v>M</v>
      </c>
      <c r="J1392" s="125" t="str">
        <f>IF(tech_base!$T208&gt;J$1185,"",J1672+J1952)</f>
        <v/>
      </c>
      <c r="K1392" s="125" t="str">
        <f>IF(tech_base!$T208&gt;K$1185,"",K1672+K1952)</f>
        <v/>
      </c>
      <c r="L1392" s="125" t="str">
        <f>IF(tech_base!$T208&gt;L$1185,"",L1672+L1952)</f>
        <v/>
      </c>
      <c r="M1392" s="125" t="str">
        <f>IF(tech_base!$T208&gt;M$1185,"",M1672+M1952)</f>
        <v/>
      </c>
      <c r="N1392" s="125" t="str">
        <f>IF(tech_base!$T208&gt;N$1185,"",N1672+N1952)</f>
        <v/>
      </c>
      <c r="O1392" s="125" t="str">
        <f>IF(tech_base!$T208&gt;O$1185,"",O1672+O1952)</f>
        <v/>
      </c>
      <c r="P1392" s="125" t="str">
        <f>IF(tech_base!$T208&gt;P$1185,"",P1672+P1952)</f>
        <v/>
      </c>
      <c r="Q1392" s="125" t="str">
        <f>IF(tech_base!$T208&gt;Q$1185,"",Q1672+Q1952)</f>
        <v/>
      </c>
      <c r="R1392" s="125" t="str">
        <f>IF(tech_base!$T208&gt;R$1185,"",R1672+R1952)</f>
        <v/>
      </c>
      <c r="S1392" s="125" t="str">
        <f>IF(tech_base!$T208&gt;S$1185,"",S1672+S1952)</f>
        <v/>
      </c>
      <c r="T1392" s="125" t="str">
        <f>IF(tech_base!$T208&gt;T$1185,"",T1672+T1952)</f>
        <v/>
      </c>
      <c r="U1392" s="125" t="str">
        <f>IF(tech_base!$T208&gt;U$1185,"",U1672+U1952)</f>
        <v/>
      </c>
      <c r="V1392" s="125" t="str">
        <f>IF(tech_base!$T208&gt;V$1185,"",V1672+V1952)</f>
        <v/>
      </c>
      <c r="W1392" s="125" t="str">
        <f>IF(tech_base!$T208&gt;W$1185,"",W1672+W1952)</f>
        <v/>
      </c>
      <c r="X1392" s="125" t="str">
        <f>IF(tech_base!$T208&gt;X$1185,"",X1672+X1952)</f>
        <v/>
      </c>
      <c r="Y1392" s="125" t="str">
        <f>IF(tech_base!$T208&gt;Y$1185,"",Y1672+Y1952)</f>
        <v/>
      </c>
      <c r="Z1392" s="125" t="str">
        <f>IF(tech_base!$T208&gt;Z$1185,"",Z1672+Z1952)</f>
        <v/>
      </c>
      <c r="AA1392" s="125" t="str">
        <f>IF(tech_base!$T208&gt;AA$1185,"",AA1672+AA1952)</f>
        <v/>
      </c>
      <c r="AB1392" s="125" t="str">
        <f>IF(tech_base!$T208&gt;AB$1185,"",AB1672+AB1952)</f>
        <v/>
      </c>
      <c r="AC1392" s="125" t="str">
        <f>IF(tech_base!$T208&gt;AC$1185,"",AC1672+AC1952)</f>
        <v/>
      </c>
      <c r="AD1392" s="125" t="str">
        <f>IF(tech_base!$T208&gt;AD$1185,"",AD1672+AD1952)</f>
        <v/>
      </c>
      <c r="AE1392" s="125">
        <f>IF(tech_base!$T208&gt;AE$1185,"",AE1672+AE1952)</f>
        <v>0</v>
      </c>
      <c r="AF1392" s="125">
        <f>IF(tech_base!$T208&gt;AF$1185,"",AF1672+AF1952)</f>
        <v>0</v>
      </c>
      <c r="AG1392" s="125">
        <f>IF(tech_base!$T208&gt;AG$1185,"",AG1672+AG1952)</f>
        <v>0</v>
      </c>
      <c r="AH1392" s="125">
        <f>IF(tech_base!$T208&gt;AH$1185,"",AH1672+AH1952)</f>
        <v>0</v>
      </c>
      <c r="AI1392" s="125">
        <f>IF(tech_base!$T208&gt;AI$1185,"",AI1672+AI1952)</f>
        <v>0</v>
      </c>
      <c r="AJ1392" s="125">
        <f>IF(tech_base!$T208&gt;AJ$1185,"",AJ1672+AJ1952)</f>
        <v>0</v>
      </c>
      <c r="AK1392" s="125">
        <f>IF(tech_base!$T208&gt;AK$1185,"",AK1672+AK1952)</f>
        <v>0</v>
      </c>
      <c r="AL1392" s="125">
        <f>IF(tech_base!$T208&gt;AL$1185,"",AL1672+AL1952)</f>
        <v>0</v>
      </c>
      <c r="AM1392" s="125">
        <f>IF(tech_base!$T208&gt;AM$1185,"",AM1672+AM1952)</f>
        <v>0</v>
      </c>
      <c r="AN1392" s="125">
        <f>IF(tech_base!$T208&gt;AN$1185,"",AN1672+AN1952)</f>
        <v>0</v>
      </c>
      <c r="AO1392" s="125">
        <f>IF(tech_base!$T208&gt;AO$1185,"",AO1672+AO1952)</f>
        <v>0</v>
      </c>
      <c r="AP1392" s="125">
        <f>IF(tech_base!$T208&gt;AP$1185,"",AP1672+AP1952)</f>
        <v>0</v>
      </c>
      <c r="AQ1392" s="125">
        <f>IF(tech_base!$T208&gt;AQ$1185,"",AQ1672+AQ1952)</f>
        <v>0</v>
      </c>
      <c r="AR1392" s="125">
        <f>IF(tech_base!$T208&gt;AR$1185,"",AR1672+AR1952)</f>
        <v>0</v>
      </c>
      <c r="AS1392" s="125">
        <f>IF(tech_base!$T208&gt;AS$1185,"",AS1672+AS1952)</f>
        <v>0</v>
      </c>
      <c r="AT1392" s="125">
        <f>IF(tech_base!$T208&gt;AT$1185,"",AT1672+AT1952)</f>
        <v>0</v>
      </c>
      <c r="AU1392" s="125">
        <f>IF(tech_base!$T208&gt;AU$1185,"",AU1672+AU1952)</f>
        <v>0</v>
      </c>
      <c r="AV1392" s="125">
        <f>IF(tech_base!$T208&gt;AV$1185,"",AV1672+AV1952)</f>
        <v>0</v>
      </c>
      <c r="AW1392" s="125">
        <f>IF(tech_base!$T208&gt;AW$1185,"",AW1672+AW1952)</f>
        <v>0</v>
      </c>
      <c r="AX1392" s="126">
        <f>IF(tech_base!$T208&gt;AX$1185,"",AX1672+AX1952)</f>
        <v>0</v>
      </c>
    </row>
    <row r="1393" spans="1:50" x14ac:dyDescent="0.25">
      <c r="A1393" s="356"/>
      <c r="B1393" s="376"/>
      <c r="C1393" s="361" t="s">
        <v>16</v>
      </c>
      <c r="D1393" s="2" t="s">
        <v>7</v>
      </c>
      <c r="E1393" s="160" t="str">
        <f>A1387&amp;"/"&amp;B1387&amp;"/"&amp;C1393&amp;"/"&amp;D1393</f>
        <v>Biomass and waste fired power plants/Integrated gasification combined cycle/CHP with CCS/L</v>
      </c>
      <c r="F1393" s="76" t="str">
        <f>A1387</f>
        <v>Biomass and waste fired power plants</v>
      </c>
      <c r="G1393" s="76" t="str">
        <f>B1387</f>
        <v>Integrated gasification combined cycle</v>
      </c>
      <c r="H1393" s="76" t="str">
        <f>C1393</f>
        <v>CHP with CCS</v>
      </c>
      <c r="I1393" s="161" t="str">
        <f t="shared" si="375"/>
        <v>L</v>
      </c>
      <c r="J1393" s="119" t="str">
        <f>IF(tech_base!$T209&gt;J$1185,"",J1673+J1953)</f>
        <v/>
      </c>
      <c r="K1393" s="119" t="str">
        <f>IF(tech_base!$T209&gt;K$1185,"",K1673+K1953)</f>
        <v/>
      </c>
      <c r="L1393" s="119" t="str">
        <f>IF(tech_base!$T209&gt;L$1185,"",L1673+L1953)</f>
        <v/>
      </c>
      <c r="M1393" s="119" t="str">
        <f>IF(tech_base!$T209&gt;M$1185,"",M1673+M1953)</f>
        <v/>
      </c>
      <c r="N1393" s="119" t="str">
        <f>IF(tech_base!$T209&gt;N$1185,"",N1673+N1953)</f>
        <v/>
      </c>
      <c r="O1393" s="119" t="str">
        <f>IF(tech_base!$T209&gt;O$1185,"",O1673+O1953)</f>
        <v/>
      </c>
      <c r="P1393" s="119" t="str">
        <f>IF(tech_base!$T209&gt;P$1185,"",P1673+P1953)</f>
        <v/>
      </c>
      <c r="Q1393" s="119" t="str">
        <f>IF(tech_base!$T209&gt;Q$1185,"",Q1673+Q1953)</f>
        <v/>
      </c>
      <c r="R1393" s="119" t="str">
        <f>IF(tech_base!$T209&gt;R$1185,"",R1673+R1953)</f>
        <v/>
      </c>
      <c r="S1393" s="119" t="str">
        <f>IF(tech_base!$T209&gt;S$1185,"",S1673+S1953)</f>
        <v/>
      </c>
      <c r="T1393" s="119" t="str">
        <f>IF(tech_base!$T209&gt;T$1185,"",T1673+T1953)</f>
        <v/>
      </c>
      <c r="U1393" s="119" t="str">
        <f>IF(tech_base!$T209&gt;U$1185,"",U1673+U1953)</f>
        <v/>
      </c>
      <c r="V1393" s="119" t="str">
        <f>IF(tech_base!$T209&gt;V$1185,"",V1673+V1953)</f>
        <v/>
      </c>
      <c r="W1393" s="119" t="str">
        <f>IF(tech_base!$T209&gt;W$1185,"",W1673+W1953)</f>
        <v/>
      </c>
      <c r="X1393" s="119" t="str">
        <f>IF(tech_base!$T209&gt;X$1185,"",X1673+X1953)</f>
        <v/>
      </c>
      <c r="Y1393" s="119" t="str">
        <f>IF(tech_base!$T209&gt;Y$1185,"",Y1673+Y1953)</f>
        <v/>
      </c>
      <c r="Z1393" s="119" t="str">
        <f>IF(tech_base!$T209&gt;Z$1185,"",Z1673+Z1953)</f>
        <v/>
      </c>
      <c r="AA1393" s="119" t="str">
        <f>IF(tech_base!$T209&gt;AA$1185,"",AA1673+AA1953)</f>
        <v/>
      </c>
      <c r="AB1393" s="119" t="str">
        <f>IF(tech_base!$T209&gt;AB$1185,"",AB1673+AB1953)</f>
        <v/>
      </c>
      <c r="AC1393" s="119" t="str">
        <f>IF(tech_base!$T209&gt;AC$1185,"",AC1673+AC1953)</f>
        <v/>
      </c>
      <c r="AD1393" s="119" t="str">
        <f>IF(tech_base!$T209&gt;AD$1185,"",AD1673+AD1953)</f>
        <v/>
      </c>
      <c r="AE1393" s="119">
        <f>IF(tech_base!$T209&gt;AE$1185,"",AE1673+AE1953)</f>
        <v>0</v>
      </c>
      <c r="AF1393" s="119">
        <f>IF(tech_base!$T209&gt;AF$1185,"",AF1673+AF1953)</f>
        <v>0</v>
      </c>
      <c r="AG1393" s="119">
        <f>IF(tech_base!$T209&gt;AG$1185,"",AG1673+AG1953)</f>
        <v>0</v>
      </c>
      <c r="AH1393" s="119">
        <f>IF(tech_base!$T209&gt;AH$1185,"",AH1673+AH1953)</f>
        <v>0</v>
      </c>
      <c r="AI1393" s="119">
        <f>IF(tech_base!$T209&gt;AI$1185,"",AI1673+AI1953)</f>
        <v>0</v>
      </c>
      <c r="AJ1393" s="119">
        <f>IF(tech_base!$T209&gt;AJ$1185,"",AJ1673+AJ1953)</f>
        <v>0</v>
      </c>
      <c r="AK1393" s="119">
        <f>IF(tech_base!$T209&gt;AK$1185,"",AK1673+AK1953)</f>
        <v>0</v>
      </c>
      <c r="AL1393" s="119">
        <f>IF(tech_base!$T209&gt;AL$1185,"",AL1673+AL1953)</f>
        <v>0</v>
      </c>
      <c r="AM1393" s="119">
        <f>IF(tech_base!$T209&gt;AM$1185,"",AM1673+AM1953)</f>
        <v>0</v>
      </c>
      <c r="AN1393" s="119">
        <f>IF(tech_base!$T209&gt;AN$1185,"",AN1673+AN1953)</f>
        <v>0</v>
      </c>
      <c r="AO1393" s="119">
        <f>IF(tech_base!$T209&gt;AO$1185,"",AO1673+AO1953)</f>
        <v>0</v>
      </c>
      <c r="AP1393" s="119">
        <f>IF(tech_base!$T209&gt;AP$1185,"",AP1673+AP1953)</f>
        <v>0</v>
      </c>
      <c r="AQ1393" s="119">
        <f>IF(tech_base!$T209&gt;AQ$1185,"",AQ1673+AQ1953)</f>
        <v>0</v>
      </c>
      <c r="AR1393" s="119">
        <f>IF(tech_base!$T209&gt;AR$1185,"",AR1673+AR1953)</f>
        <v>0</v>
      </c>
      <c r="AS1393" s="119">
        <f>IF(tech_base!$T209&gt;AS$1185,"",AS1673+AS1953)</f>
        <v>0</v>
      </c>
      <c r="AT1393" s="119">
        <f>IF(tech_base!$T209&gt;AT$1185,"",AT1673+AT1953)</f>
        <v>0</v>
      </c>
      <c r="AU1393" s="119">
        <f>IF(tech_base!$T209&gt;AU$1185,"",AU1673+AU1953)</f>
        <v>0</v>
      </c>
      <c r="AV1393" s="119">
        <f>IF(tech_base!$T209&gt;AV$1185,"",AV1673+AV1953)</f>
        <v>0</v>
      </c>
      <c r="AW1393" s="119">
        <f>IF(tech_base!$T209&gt;AW$1185,"",AW1673+AW1953)</f>
        <v>0</v>
      </c>
      <c r="AX1393" s="120">
        <f>IF(tech_base!$T209&gt;AX$1185,"",AX1673+AX1953)</f>
        <v>0</v>
      </c>
    </row>
    <row r="1394" spans="1:50" x14ac:dyDescent="0.25">
      <c r="A1394" s="356"/>
      <c r="B1394" s="380"/>
      <c r="C1394" s="381"/>
      <c r="D1394" s="4" t="s">
        <v>8</v>
      </c>
      <c r="E1394" s="168" t="str">
        <f>A1387&amp;"/"&amp;B1387&amp;"/"&amp;C1393&amp;"/"&amp;D1394</f>
        <v>Biomass and waste fired power plants/Integrated gasification combined cycle/CHP with CCS/M</v>
      </c>
      <c r="F1394" s="80" t="str">
        <f>A1387</f>
        <v>Biomass and waste fired power plants</v>
      </c>
      <c r="G1394" s="80" t="str">
        <f>B1387</f>
        <v>Integrated gasification combined cycle</v>
      </c>
      <c r="H1394" s="80" t="str">
        <f>C1393</f>
        <v>CHP with CCS</v>
      </c>
      <c r="I1394" s="169" t="str">
        <f t="shared" si="375"/>
        <v>M</v>
      </c>
      <c r="J1394" s="127" t="str">
        <f>IF(tech_base!$T210&gt;J$1185,"",J1674+J1954)</f>
        <v/>
      </c>
      <c r="K1394" s="127" t="str">
        <f>IF(tech_base!$T210&gt;K$1185,"",K1674+K1954)</f>
        <v/>
      </c>
      <c r="L1394" s="127" t="str">
        <f>IF(tech_base!$T210&gt;L$1185,"",L1674+L1954)</f>
        <v/>
      </c>
      <c r="M1394" s="127" t="str">
        <f>IF(tech_base!$T210&gt;M$1185,"",M1674+M1954)</f>
        <v/>
      </c>
      <c r="N1394" s="127" t="str">
        <f>IF(tech_base!$T210&gt;N$1185,"",N1674+N1954)</f>
        <v/>
      </c>
      <c r="O1394" s="127" t="str">
        <f>IF(tech_base!$T210&gt;O$1185,"",O1674+O1954)</f>
        <v/>
      </c>
      <c r="P1394" s="127" t="str">
        <f>IF(tech_base!$T210&gt;P$1185,"",P1674+P1954)</f>
        <v/>
      </c>
      <c r="Q1394" s="127" t="str">
        <f>IF(tech_base!$T210&gt;Q$1185,"",Q1674+Q1954)</f>
        <v/>
      </c>
      <c r="R1394" s="127" t="str">
        <f>IF(tech_base!$T210&gt;R$1185,"",R1674+R1954)</f>
        <v/>
      </c>
      <c r="S1394" s="127" t="str">
        <f>IF(tech_base!$T210&gt;S$1185,"",S1674+S1954)</f>
        <v/>
      </c>
      <c r="T1394" s="127" t="str">
        <f>IF(tech_base!$T210&gt;T$1185,"",T1674+T1954)</f>
        <v/>
      </c>
      <c r="U1394" s="127" t="str">
        <f>IF(tech_base!$T210&gt;U$1185,"",U1674+U1954)</f>
        <v/>
      </c>
      <c r="V1394" s="127" t="str">
        <f>IF(tech_base!$T210&gt;V$1185,"",V1674+V1954)</f>
        <v/>
      </c>
      <c r="W1394" s="127" t="str">
        <f>IF(tech_base!$T210&gt;W$1185,"",W1674+W1954)</f>
        <v/>
      </c>
      <c r="X1394" s="127" t="str">
        <f>IF(tech_base!$T210&gt;X$1185,"",X1674+X1954)</f>
        <v/>
      </c>
      <c r="Y1394" s="127" t="str">
        <f>IF(tech_base!$T210&gt;Y$1185,"",Y1674+Y1954)</f>
        <v/>
      </c>
      <c r="Z1394" s="127" t="str">
        <f>IF(tech_base!$T210&gt;Z$1185,"",Z1674+Z1954)</f>
        <v/>
      </c>
      <c r="AA1394" s="127" t="str">
        <f>IF(tech_base!$T210&gt;AA$1185,"",AA1674+AA1954)</f>
        <v/>
      </c>
      <c r="AB1394" s="127" t="str">
        <f>IF(tech_base!$T210&gt;AB$1185,"",AB1674+AB1954)</f>
        <v/>
      </c>
      <c r="AC1394" s="127" t="str">
        <f>IF(tech_base!$T210&gt;AC$1185,"",AC1674+AC1954)</f>
        <v/>
      </c>
      <c r="AD1394" s="127" t="str">
        <f>IF(tech_base!$T210&gt;AD$1185,"",AD1674+AD1954)</f>
        <v/>
      </c>
      <c r="AE1394" s="127">
        <f>IF(tech_base!$T210&gt;AE$1185,"",AE1674+AE1954)</f>
        <v>0</v>
      </c>
      <c r="AF1394" s="127">
        <f>IF(tech_base!$T210&gt;AF$1185,"",AF1674+AF1954)</f>
        <v>0</v>
      </c>
      <c r="AG1394" s="127">
        <f>IF(tech_base!$T210&gt;AG$1185,"",AG1674+AG1954)</f>
        <v>0</v>
      </c>
      <c r="AH1394" s="127">
        <f>IF(tech_base!$T210&gt;AH$1185,"",AH1674+AH1954)</f>
        <v>0</v>
      </c>
      <c r="AI1394" s="127">
        <f>IF(tech_base!$T210&gt;AI$1185,"",AI1674+AI1954)</f>
        <v>0</v>
      </c>
      <c r="AJ1394" s="127">
        <f>IF(tech_base!$T210&gt;AJ$1185,"",AJ1674+AJ1954)</f>
        <v>0</v>
      </c>
      <c r="AK1394" s="127">
        <f>IF(tech_base!$T210&gt;AK$1185,"",AK1674+AK1954)</f>
        <v>0</v>
      </c>
      <c r="AL1394" s="127">
        <f>IF(tech_base!$T210&gt;AL$1185,"",AL1674+AL1954)</f>
        <v>0</v>
      </c>
      <c r="AM1394" s="127">
        <f>IF(tech_base!$T210&gt;AM$1185,"",AM1674+AM1954)</f>
        <v>0</v>
      </c>
      <c r="AN1394" s="127">
        <f>IF(tech_base!$T210&gt;AN$1185,"",AN1674+AN1954)</f>
        <v>0</v>
      </c>
      <c r="AO1394" s="127">
        <f>IF(tech_base!$T210&gt;AO$1185,"",AO1674+AO1954)</f>
        <v>0</v>
      </c>
      <c r="AP1394" s="127">
        <f>IF(tech_base!$T210&gt;AP$1185,"",AP1674+AP1954)</f>
        <v>0</v>
      </c>
      <c r="AQ1394" s="127">
        <f>IF(tech_base!$T210&gt;AQ$1185,"",AQ1674+AQ1954)</f>
        <v>0</v>
      </c>
      <c r="AR1394" s="127">
        <f>IF(tech_base!$T210&gt;AR$1185,"",AR1674+AR1954)</f>
        <v>0</v>
      </c>
      <c r="AS1394" s="127">
        <f>IF(tech_base!$T210&gt;AS$1185,"",AS1674+AS1954)</f>
        <v>0</v>
      </c>
      <c r="AT1394" s="127">
        <f>IF(tech_base!$T210&gt;AT$1185,"",AT1674+AT1954)</f>
        <v>0</v>
      </c>
      <c r="AU1394" s="127">
        <f>IF(tech_base!$T210&gt;AU$1185,"",AU1674+AU1954)</f>
        <v>0</v>
      </c>
      <c r="AV1394" s="127">
        <f>IF(tech_base!$T210&gt;AV$1185,"",AV1674+AV1954)</f>
        <v>0</v>
      </c>
      <c r="AW1394" s="127">
        <f>IF(tech_base!$T210&gt;AW$1185,"",AW1674+AW1954)</f>
        <v>0</v>
      </c>
      <c r="AX1394" s="128">
        <f>IF(tech_base!$T210&gt;AX$1185,"",AX1674+AX1954)</f>
        <v>0</v>
      </c>
    </row>
    <row r="1395" spans="1:50" x14ac:dyDescent="0.25">
      <c r="A1395" s="356"/>
      <c r="B1395" s="358" t="s">
        <v>18</v>
      </c>
      <c r="C1395" s="353" t="s">
        <v>6</v>
      </c>
      <c r="D1395" s="3" t="s">
        <v>7</v>
      </c>
      <c r="E1395" s="162" t="str">
        <f>A1387&amp;"/"&amp;B1395&amp;"/"&amp;C1395&amp;"/"&amp;D1395</f>
        <v>Biomass and waste fired power plants/Fluidized bed combustion/Electricity only/L</v>
      </c>
      <c r="F1395" s="77" t="str">
        <f>A1387</f>
        <v>Biomass and waste fired power plants</v>
      </c>
      <c r="G1395" s="77" t="str">
        <f>B1395</f>
        <v>Fluidized bed combustion</v>
      </c>
      <c r="H1395" s="77" t="str">
        <f>C1395</f>
        <v>Electricity only</v>
      </c>
      <c r="I1395" s="163" t="str">
        <f t="shared" si="375"/>
        <v>L</v>
      </c>
      <c r="J1395" s="121">
        <f>IF(tech_base!$T211&gt;J$1185,"",J1675+J1955)</f>
        <v>0</v>
      </c>
      <c r="K1395" s="121">
        <f>IF(tech_base!$T211&gt;K$1185,"",K1675+K1955)</f>
        <v>0</v>
      </c>
      <c r="L1395" s="121">
        <f>IF(tech_base!$T211&gt;L$1185,"",L1675+L1955)</f>
        <v>0</v>
      </c>
      <c r="M1395" s="121">
        <f>IF(tech_base!$T211&gt;M$1185,"",M1675+M1955)</f>
        <v>0</v>
      </c>
      <c r="N1395" s="121">
        <f>IF(tech_base!$T211&gt;N$1185,"",N1675+N1955)</f>
        <v>0</v>
      </c>
      <c r="O1395" s="121">
        <f>IF(tech_base!$T211&gt;O$1185,"",O1675+O1955)</f>
        <v>0</v>
      </c>
      <c r="P1395" s="121">
        <f>IF(tech_base!$T211&gt;P$1185,"",P1675+P1955)</f>
        <v>0</v>
      </c>
      <c r="Q1395" s="121">
        <f>IF(tech_base!$T211&gt;Q$1185,"",Q1675+Q1955)</f>
        <v>0</v>
      </c>
      <c r="R1395" s="121">
        <f>IF(tech_base!$T211&gt;R$1185,"",R1675+R1955)</f>
        <v>0</v>
      </c>
      <c r="S1395" s="121">
        <f>IF(tech_base!$T211&gt;S$1185,"",S1675+S1955)</f>
        <v>0</v>
      </c>
      <c r="T1395" s="121">
        <f>IF(tech_base!$T211&gt;T$1185,"",T1675+T1955)</f>
        <v>0</v>
      </c>
      <c r="U1395" s="121">
        <f>IF(tech_base!$T211&gt;U$1185,"",U1675+U1955)</f>
        <v>0</v>
      </c>
      <c r="V1395" s="121">
        <f>IF(tech_base!$T211&gt;V$1185,"",V1675+V1955)</f>
        <v>0</v>
      </c>
      <c r="W1395" s="121">
        <f>IF(tech_base!$T211&gt;W$1185,"",W1675+W1955)</f>
        <v>0</v>
      </c>
      <c r="X1395" s="121">
        <f>IF(tech_base!$T211&gt;X$1185,"",X1675+X1955)</f>
        <v>0</v>
      </c>
      <c r="Y1395" s="121">
        <f>IF(tech_base!$T211&gt;Y$1185,"",Y1675+Y1955)</f>
        <v>0</v>
      </c>
      <c r="Z1395" s="121">
        <f>IF(tech_base!$T211&gt;Z$1185,"",Z1675+Z1955)</f>
        <v>0</v>
      </c>
      <c r="AA1395" s="121">
        <f>IF(tech_base!$T211&gt;AA$1185,"",AA1675+AA1955)</f>
        <v>0</v>
      </c>
      <c r="AB1395" s="121">
        <f>IF(tech_base!$T211&gt;AB$1185,"",AB1675+AB1955)</f>
        <v>0</v>
      </c>
      <c r="AC1395" s="121">
        <f>IF(tech_base!$T211&gt;AC$1185,"",AC1675+AC1955)</f>
        <v>0</v>
      </c>
      <c r="AD1395" s="121">
        <f>IF(tech_base!$T211&gt;AD$1185,"",AD1675+AD1955)</f>
        <v>0</v>
      </c>
      <c r="AE1395" s="121">
        <f>IF(tech_base!$T211&gt;AE$1185,"",AE1675+AE1955)</f>
        <v>0</v>
      </c>
      <c r="AF1395" s="121">
        <f>IF(tech_base!$T211&gt;AF$1185,"",AF1675+AF1955)</f>
        <v>0</v>
      </c>
      <c r="AG1395" s="121">
        <f>IF(tech_base!$T211&gt;AG$1185,"",AG1675+AG1955)</f>
        <v>0</v>
      </c>
      <c r="AH1395" s="121">
        <f>IF(tech_base!$T211&gt;AH$1185,"",AH1675+AH1955)</f>
        <v>0</v>
      </c>
      <c r="AI1395" s="121">
        <f>IF(tech_base!$T211&gt;AI$1185,"",AI1675+AI1955)</f>
        <v>0</v>
      </c>
      <c r="AJ1395" s="121">
        <f>IF(tech_base!$T211&gt;AJ$1185,"",AJ1675+AJ1955)</f>
        <v>0</v>
      </c>
      <c r="AK1395" s="121">
        <f>IF(tech_base!$T211&gt;AK$1185,"",AK1675+AK1955)</f>
        <v>0</v>
      </c>
      <c r="AL1395" s="121">
        <f>IF(tech_base!$T211&gt;AL$1185,"",AL1675+AL1955)</f>
        <v>0</v>
      </c>
      <c r="AM1395" s="121">
        <f>IF(tech_base!$T211&gt;AM$1185,"",AM1675+AM1955)</f>
        <v>0</v>
      </c>
      <c r="AN1395" s="121">
        <f>IF(tech_base!$T211&gt;AN$1185,"",AN1675+AN1955)</f>
        <v>0</v>
      </c>
      <c r="AO1395" s="121">
        <f>IF(tech_base!$T211&gt;AO$1185,"",AO1675+AO1955)</f>
        <v>0</v>
      </c>
      <c r="AP1395" s="121">
        <f>IF(tech_base!$T211&gt;AP$1185,"",AP1675+AP1955)</f>
        <v>0</v>
      </c>
      <c r="AQ1395" s="121">
        <f>IF(tech_base!$T211&gt;AQ$1185,"",AQ1675+AQ1955)</f>
        <v>0</v>
      </c>
      <c r="AR1395" s="121">
        <f>IF(tech_base!$T211&gt;AR$1185,"",AR1675+AR1955)</f>
        <v>0</v>
      </c>
      <c r="AS1395" s="121">
        <f>IF(tech_base!$T211&gt;AS$1185,"",AS1675+AS1955)</f>
        <v>0</v>
      </c>
      <c r="AT1395" s="121">
        <f>IF(tech_base!$T211&gt;AT$1185,"",AT1675+AT1955)</f>
        <v>0</v>
      </c>
      <c r="AU1395" s="121">
        <f>IF(tech_base!$T211&gt;AU$1185,"",AU1675+AU1955)</f>
        <v>0</v>
      </c>
      <c r="AV1395" s="121">
        <f>IF(tech_base!$T211&gt;AV$1185,"",AV1675+AV1955)</f>
        <v>0</v>
      </c>
      <c r="AW1395" s="121">
        <f>IF(tech_base!$T211&gt;AW$1185,"",AW1675+AW1955)</f>
        <v>0</v>
      </c>
      <c r="AX1395" s="122">
        <f>IF(tech_base!$T211&gt;AX$1185,"",AX1675+AX1955)</f>
        <v>0</v>
      </c>
    </row>
    <row r="1396" spans="1:50" x14ac:dyDescent="0.25">
      <c r="A1396" s="356"/>
      <c r="B1396" s="376"/>
      <c r="C1396" s="378"/>
      <c r="D1396" s="2" t="s">
        <v>8</v>
      </c>
      <c r="E1396" s="160" t="str">
        <f>A1387&amp;"/"&amp;B1395&amp;"/"&amp;C1395&amp;"/"&amp;D1396</f>
        <v>Biomass and waste fired power plants/Fluidized bed combustion/Electricity only/M</v>
      </c>
      <c r="F1396" s="76" t="str">
        <f>A1387</f>
        <v>Biomass and waste fired power plants</v>
      </c>
      <c r="G1396" s="76" t="str">
        <f>B1395</f>
        <v>Fluidized bed combustion</v>
      </c>
      <c r="H1396" s="76" t="str">
        <f>C1395</f>
        <v>Electricity only</v>
      </c>
      <c r="I1396" s="161" t="str">
        <f t="shared" si="375"/>
        <v>M</v>
      </c>
      <c r="J1396" s="119">
        <f>IF(tech_base!$T212&gt;J$1185,"",J1676+J1956)</f>
        <v>0</v>
      </c>
      <c r="K1396" s="119">
        <f>IF(tech_base!$T212&gt;K$1185,"",K1676+K1956)</f>
        <v>0</v>
      </c>
      <c r="L1396" s="119">
        <f>IF(tech_base!$T212&gt;L$1185,"",L1676+L1956)</f>
        <v>0</v>
      </c>
      <c r="M1396" s="119">
        <f>IF(tech_base!$T212&gt;M$1185,"",M1676+M1956)</f>
        <v>0</v>
      </c>
      <c r="N1396" s="119">
        <f>IF(tech_base!$T212&gt;N$1185,"",N1676+N1956)</f>
        <v>0</v>
      </c>
      <c r="O1396" s="119">
        <f>IF(tech_base!$T212&gt;O$1185,"",O1676+O1956)</f>
        <v>0</v>
      </c>
      <c r="P1396" s="119">
        <f>IF(tech_base!$T212&gt;P$1185,"",P1676+P1956)</f>
        <v>0</v>
      </c>
      <c r="Q1396" s="119">
        <f>IF(tech_base!$T212&gt;Q$1185,"",Q1676+Q1956)</f>
        <v>0</v>
      </c>
      <c r="R1396" s="119">
        <f>IF(tech_base!$T212&gt;R$1185,"",R1676+R1956)</f>
        <v>0</v>
      </c>
      <c r="S1396" s="119">
        <f>IF(tech_base!$T212&gt;S$1185,"",S1676+S1956)</f>
        <v>0</v>
      </c>
      <c r="T1396" s="119">
        <f>IF(tech_base!$T212&gt;T$1185,"",T1676+T1956)</f>
        <v>0</v>
      </c>
      <c r="U1396" s="119">
        <f>IF(tech_base!$T212&gt;U$1185,"",U1676+U1956)</f>
        <v>0</v>
      </c>
      <c r="V1396" s="119">
        <f>IF(tech_base!$T212&gt;V$1185,"",V1676+V1956)</f>
        <v>0</v>
      </c>
      <c r="W1396" s="119">
        <f>IF(tech_base!$T212&gt;W$1185,"",W1676+W1956)</f>
        <v>0</v>
      </c>
      <c r="X1396" s="119">
        <f>IF(tech_base!$T212&gt;X$1185,"",X1676+X1956)</f>
        <v>0</v>
      </c>
      <c r="Y1396" s="119">
        <f>IF(tech_base!$T212&gt;Y$1185,"",Y1676+Y1956)</f>
        <v>0</v>
      </c>
      <c r="Z1396" s="119">
        <f>IF(tech_base!$T212&gt;Z$1185,"",Z1676+Z1956)</f>
        <v>0</v>
      </c>
      <c r="AA1396" s="119">
        <f>IF(tech_base!$T212&gt;AA$1185,"",AA1676+AA1956)</f>
        <v>0</v>
      </c>
      <c r="AB1396" s="119">
        <f>IF(tech_base!$T212&gt;AB$1185,"",AB1676+AB1956)</f>
        <v>0</v>
      </c>
      <c r="AC1396" s="119">
        <f>IF(tech_base!$T212&gt;AC$1185,"",AC1676+AC1956)</f>
        <v>0</v>
      </c>
      <c r="AD1396" s="119">
        <f>IF(tech_base!$T212&gt;AD$1185,"",AD1676+AD1956)</f>
        <v>0</v>
      </c>
      <c r="AE1396" s="119">
        <f>IF(tech_base!$T212&gt;AE$1185,"",AE1676+AE1956)</f>
        <v>0</v>
      </c>
      <c r="AF1396" s="119">
        <f>IF(tech_base!$T212&gt;AF$1185,"",AF1676+AF1956)</f>
        <v>0</v>
      </c>
      <c r="AG1396" s="119">
        <f>IF(tech_base!$T212&gt;AG$1185,"",AG1676+AG1956)</f>
        <v>0</v>
      </c>
      <c r="AH1396" s="119">
        <f>IF(tech_base!$T212&gt;AH$1185,"",AH1676+AH1956)</f>
        <v>0</v>
      </c>
      <c r="AI1396" s="119">
        <f>IF(tech_base!$T212&gt;AI$1185,"",AI1676+AI1956)</f>
        <v>0</v>
      </c>
      <c r="AJ1396" s="119">
        <f>IF(tech_base!$T212&gt;AJ$1185,"",AJ1676+AJ1956)</f>
        <v>0</v>
      </c>
      <c r="AK1396" s="119">
        <f>IF(tech_base!$T212&gt;AK$1185,"",AK1676+AK1956)</f>
        <v>0</v>
      </c>
      <c r="AL1396" s="119">
        <f>IF(tech_base!$T212&gt;AL$1185,"",AL1676+AL1956)</f>
        <v>0</v>
      </c>
      <c r="AM1396" s="119">
        <f>IF(tech_base!$T212&gt;AM$1185,"",AM1676+AM1956)</f>
        <v>0</v>
      </c>
      <c r="AN1396" s="119">
        <f>IF(tech_base!$T212&gt;AN$1185,"",AN1676+AN1956)</f>
        <v>0</v>
      </c>
      <c r="AO1396" s="119">
        <f>IF(tech_base!$T212&gt;AO$1185,"",AO1676+AO1956)</f>
        <v>0</v>
      </c>
      <c r="AP1396" s="119">
        <f>IF(tech_base!$T212&gt;AP$1185,"",AP1676+AP1956)</f>
        <v>0</v>
      </c>
      <c r="AQ1396" s="119">
        <f>IF(tech_base!$T212&gt;AQ$1185,"",AQ1676+AQ1956)</f>
        <v>0</v>
      </c>
      <c r="AR1396" s="119">
        <f>IF(tech_base!$T212&gt;AR$1185,"",AR1676+AR1956)</f>
        <v>0</v>
      </c>
      <c r="AS1396" s="119">
        <f>IF(tech_base!$T212&gt;AS$1185,"",AS1676+AS1956)</f>
        <v>0</v>
      </c>
      <c r="AT1396" s="119">
        <f>IF(tech_base!$T212&gt;AT$1185,"",AT1676+AT1956)</f>
        <v>0</v>
      </c>
      <c r="AU1396" s="119">
        <f>IF(tech_base!$T212&gt;AU$1185,"",AU1676+AU1956)</f>
        <v>0</v>
      </c>
      <c r="AV1396" s="119">
        <f>IF(tech_base!$T212&gt;AV$1185,"",AV1676+AV1956)</f>
        <v>0</v>
      </c>
      <c r="AW1396" s="119">
        <f>IF(tech_base!$T212&gt;AW$1185,"",AW1676+AW1956)</f>
        <v>0</v>
      </c>
      <c r="AX1396" s="120">
        <f>IF(tech_base!$T212&gt;AX$1185,"",AX1676+AX1956)</f>
        <v>0</v>
      </c>
    </row>
    <row r="1397" spans="1:50" x14ac:dyDescent="0.25">
      <c r="A1397" s="356"/>
      <c r="B1397" s="376"/>
      <c r="C1397" s="378"/>
      <c r="D1397" s="2" t="s">
        <v>10</v>
      </c>
      <c r="E1397" s="160" t="str">
        <f>A1387&amp;"/"&amp;B1395&amp;"/"&amp;C1395&amp;"/"&amp;D1397</f>
        <v>Biomass and waste fired power plants/Fluidized bed combustion/Electricity only/S</v>
      </c>
      <c r="F1397" s="76" t="str">
        <f>A1387</f>
        <v>Biomass and waste fired power plants</v>
      </c>
      <c r="G1397" s="76" t="str">
        <f>B1395</f>
        <v>Fluidized bed combustion</v>
      </c>
      <c r="H1397" s="76" t="str">
        <f>C1395</f>
        <v>Electricity only</v>
      </c>
      <c r="I1397" s="161" t="str">
        <f t="shared" si="375"/>
        <v>S</v>
      </c>
      <c r="J1397" s="119">
        <f>IF(tech_base!$T213&gt;J$1185,"",J1677+J1957)</f>
        <v>0</v>
      </c>
      <c r="K1397" s="119">
        <f>IF(tech_base!$T213&gt;K$1185,"",K1677+K1957)</f>
        <v>0</v>
      </c>
      <c r="L1397" s="119">
        <f>IF(tech_base!$T213&gt;L$1185,"",L1677+L1957)</f>
        <v>0</v>
      </c>
      <c r="M1397" s="119">
        <f>IF(tech_base!$T213&gt;M$1185,"",M1677+M1957)</f>
        <v>0</v>
      </c>
      <c r="N1397" s="119">
        <f>IF(tech_base!$T213&gt;N$1185,"",N1677+N1957)</f>
        <v>0</v>
      </c>
      <c r="O1397" s="119">
        <f>IF(tech_base!$T213&gt;O$1185,"",O1677+O1957)</f>
        <v>0</v>
      </c>
      <c r="P1397" s="119">
        <f>IF(tech_base!$T213&gt;P$1185,"",P1677+P1957)</f>
        <v>0</v>
      </c>
      <c r="Q1397" s="119">
        <f>IF(tech_base!$T213&gt;Q$1185,"",Q1677+Q1957)</f>
        <v>0</v>
      </c>
      <c r="R1397" s="119">
        <f>IF(tech_base!$T213&gt;R$1185,"",R1677+R1957)</f>
        <v>0</v>
      </c>
      <c r="S1397" s="119">
        <f>IF(tech_base!$T213&gt;S$1185,"",S1677+S1957)</f>
        <v>0</v>
      </c>
      <c r="T1397" s="119">
        <f>IF(tech_base!$T213&gt;T$1185,"",T1677+T1957)</f>
        <v>0</v>
      </c>
      <c r="U1397" s="119">
        <f>IF(tech_base!$T213&gt;U$1185,"",U1677+U1957)</f>
        <v>0</v>
      </c>
      <c r="V1397" s="119">
        <f>IF(tech_base!$T213&gt;V$1185,"",V1677+V1957)</f>
        <v>0</v>
      </c>
      <c r="W1397" s="119">
        <f>IF(tech_base!$T213&gt;W$1185,"",W1677+W1957)</f>
        <v>0</v>
      </c>
      <c r="X1397" s="119">
        <f>IF(tech_base!$T213&gt;X$1185,"",X1677+X1957)</f>
        <v>0</v>
      </c>
      <c r="Y1397" s="119">
        <f>IF(tech_base!$T213&gt;Y$1185,"",Y1677+Y1957)</f>
        <v>0</v>
      </c>
      <c r="Z1397" s="119">
        <f>IF(tech_base!$T213&gt;Z$1185,"",Z1677+Z1957)</f>
        <v>0</v>
      </c>
      <c r="AA1397" s="119">
        <f>IF(tech_base!$T213&gt;AA$1185,"",AA1677+AA1957)</f>
        <v>0</v>
      </c>
      <c r="AB1397" s="119">
        <f>IF(tech_base!$T213&gt;AB$1185,"",AB1677+AB1957)</f>
        <v>0</v>
      </c>
      <c r="AC1397" s="119">
        <f>IF(tech_base!$T213&gt;AC$1185,"",AC1677+AC1957)</f>
        <v>0</v>
      </c>
      <c r="AD1397" s="119">
        <f>IF(tech_base!$T213&gt;AD$1185,"",AD1677+AD1957)</f>
        <v>0</v>
      </c>
      <c r="AE1397" s="119">
        <f>IF(tech_base!$T213&gt;AE$1185,"",AE1677+AE1957)</f>
        <v>0</v>
      </c>
      <c r="AF1397" s="119">
        <f>IF(tech_base!$T213&gt;AF$1185,"",AF1677+AF1957)</f>
        <v>0</v>
      </c>
      <c r="AG1397" s="119">
        <f>IF(tech_base!$T213&gt;AG$1185,"",AG1677+AG1957)</f>
        <v>0</v>
      </c>
      <c r="AH1397" s="119">
        <f>IF(tech_base!$T213&gt;AH$1185,"",AH1677+AH1957)</f>
        <v>0</v>
      </c>
      <c r="AI1397" s="119">
        <f>IF(tech_base!$T213&gt;AI$1185,"",AI1677+AI1957)</f>
        <v>0</v>
      </c>
      <c r="AJ1397" s="119">
        <f>IF(tech_base!$T213&gt;AJ$1185,"",AJ1677+AJ1957)</f>
        <v>0</v>
      </c>
      <c r="AK1397" s="119">
        <f>IF(tech_base!$T213&gt;AK$1185,"",AK1677+AK1957)</f>
        <v>0</v>
      </c>
      <c r="AL1397" s="119">
        <f>IF(tech_base!$T213&gt;AL$1185,"",AL1677+AL1957)</f>
        <v>0</v>
      </c>
      <c r="AM1397" s="119">
        <f>IF(tech_base!$T213&gt;AM$1185,"",AM1677+AM1957)</f>
        <v>0</v>
      </c>
      <c r="AN1397" s="119">
        <f>IF(tech_base!$T213&gt;AN$1185,"",AN1677+AN1957)</f>
        <v>0</v>
      </c>
      <c r="AO1397" s="119">
        <f>IF(tech_base!$T213&gt;AO$1185,"",AO1677+AO1957)</f>
        <v>0</v>
      </c>
      <c r="AP1397" s="119">
        <f>IF(tech_base!$T213&gt;AP$1185,"",AP1677+AP1957)</f>
        <v>0</v>
      </c>
      <c r="AQ1397" s="119">
        <f>IF(tech_base!$T213&gt;AQ$1185,"",AQ1677+AQ1957)</f>
        <v>0</v>
      </c>
      <c r="AR1397" s="119">
        <f>IF(tech_base!$T213&gt;AR$1185,"",AR1677+AR1957)</f>
        <v>0</v>
      </c>
      <c r="AS1397" s="119">
        <f>IF(tech_base!$T213&gt;AS$1185,"",AS1677+AS1957)</f>
        <v>0</v>
      </c>
      <c r="AT1397" s="119">
        <f>IF(tech_base!$T213&gt;AT$1185,"",AT1677+AT1957)</f>
        <v>0</v>
      </c>
      <c r="AU1397" s="119">
        <f>IF(tech_base!$T213&gt;AU$1185,"",AU1677+AU1957)</f>
        <v>0</v>
      </c>
      <c r="AV1397" s="119">
        <f>IF(tech_base!$T213&gt;AV$1185,"",AV1677+AV1957)</f>
        <v>0</v>
      </c>
      <c r="AW1397" s="119">
        <f>IF(tech_base!$T213&gt;AW$1185,"",AW1677+AW1957)</f>
        <v>0</v>
      </c>
      <c r="AX1397" s="120">
        <f>IF(tech_base!$T213&gt;AX$1185,"",AX1677+AX1957)</f>
        <v>0</v>
      </c>
    </row>
    <row r="1398" spans="1:50" x14ac:dyDescent="0.25">
      <c r="A1398" s="356"/>
      <c r="B1398" s="376"/>
      <c r="C1398" s="379"/>
      <c r="D1398" s="2" t="s">
        <v>20</v>
      </c>
      <c r="E1398" s="160" t="str">
        <f>A1387&amp;"/"&amp;B1395&amp;"/"&amp;C1395&amp;"/"&amp;D1398</f>
        <v>Biomass and waste fired power plants/Fluidized bed combustion/Electricity only/XS</v>
      </c>
      <c r="F1398" s="76" t="str">
        <f>A1387</f>
        <v>Biomass and waste fired power plants</v>
      </c>
      <c r="G1398" s="76" t="str">
        <f>B1395</f>
        <v>Fluidized bed combustion</v>
      </c>
      <c r="H1398" s="76" t="str">
        <f>C1395</f>
        <v>Electricity only</v>
      </c>
      <c r="I1398" s="161" t="str">
        <f t="shared" si="375"/>
        <v>XS</v>
      </c>
      <c r="J1398" s="119">
        <f>IF(tech_base!$T214&gt;J$1185,"",J1678+J1958)</f>
        <v>0</v>
      </c>
      <c r="K1398" s="119">
        <f>IF(tech_base!$T214&gt;K$1185,"",K1678+K1958)</f>
        <v>0</v>
      </c>
      <c r="L1398" s="119">
        <f>IF(tech_base!$T214&gt;L$1185,"",L1678+L1958)</f>
        <v>0</v>
      </c>
      <c r="M1398" s="119">
        <f>IF(tech_base!$T214&gt;M$1185,"",M1678+M1958)</f>
        <v>0</v>
      </c>
      <c r="N1398" s="119">
        <f>IF(tech_base!$T214&gt;N$1185,"",N1678+N1958)</f>
        <v>0</v>
      </c>
      <c r="O1398" s="119">
        <f>IF(tech_base!$T214&gt;O$1185,"",O1678+O1958)</f>
        <v>0</v>
      </c>
      <c r="P1398" s="119">
        <f>IF(tech_base!$T214&gt;P$1185,"",P1678+P1958)</f>
        <v>0</v>
      </c>
      <c r="Q1398" s="119">
        <f>IF(tech_base!$T214&gt;Q$1185,"",Q1678+Q1958)</f>
        <v>0</v>
      </c>
      <c r="R1398" s="119">
        <f>IF(tech_base!$T214&gt;R$1185,"",R1678+R1958)</f>
        <v>0</v>
      </c>
      <c r="S1398" s="119">
        <f>IF(tech_base!$T214&gt;S$1185,"",S1678+S1958)</f>
        <v>0</v>
      </c>
      <c r="T1398" s="119">
        <f>IF(tech_base!$T214&gt;T$1185,"",T1678+T1958)</f>
        <v>0</v>
      </c>
      <c r="U1398" s="119">
        <f>IF(tech_base!$T214&gt;U$1185,"",U1678+U1958)</f>
        <v>0</v>
      </c>
      <c r="V1398" s="119">
        <f>IF(tech_base!$T214&gt;V$1185,"",V1678+V1958)</f>
        <v>0</v>
      </c>
      <c r="W1398" s="119">
        <f>IF(tech_base!$T214&gt;W$1185,"",W1678+W1958)</f>
        <v>0</v>
      </c>
      <c r="X1398" s="119">
        <f>IF(tech_base!$T214&gt;X$1185,"",X1678+X1958)</f>
        <v>0</v>
      </c>
      <c r="Y1398" s="119">
        <f>IF(tech_base!$T214&gt;Y$1185,"",Y1678+Y1958)</f>
        <v>0</v>
      </c>
      <c r="Z1398" s="119">
        <f>IF(tech_base!$T214&gt;Z$1185,"",Z1678+Z1958)</f>
        <v>0</v>
      </c>
      <c r="AA1398" s="119">
        <f>IF(tech_base!$T214&gt;AA$1185,"",AA1678+AA1958)</f>
        <v>0</v>
      </c>
      <c r="AB1398" s="119">
        <f>IF(tech_base!$T214&gt;AB$1185,"",AB1678+AB1958)</f>
        <v>0</v>
      </c>
      <c r="AC1398" s="119">
        <f>IF(tech_base!$T214&gt;AC$1185,"",AC1678+AC1958)</f>
        <v>0</v>
      </c>
      <c r="AD1398" s="119">
        <f>IF(tech_base!$T214&gt;AD$1185,"",AD1678+AD1958)</f>
        <v>0</v>
      </c>
      <c r="AE1398" s="119">
        <f>IF(tech_base!$T214&gt;AE$1185,"",AE1678+AE1958)</f>
        <v>0</v>
      </c>
      <c r="AF1398" s="119">
        <f>IF(tech_base!$T214&gt;AF$1185,"",AF1678+AF1958)</f>
        <v>0</v>
      </c>
      <c r="AG1398" s="119">
        <f>IF(tech_base!$T214&gt;AG$1185,"",AG1678+AG1958)</f>
        <v>0</v>
      </c>
      <c r="AH1398" s="119">
        <f>IF(tech_base!$T214&gt;AH$1185,"",AH1678+AH1958)</f>
        <v>0</v>
      </c>
      <c r="AI1398" s="119">
        <f>IF(tech_base!$T214&gt;AI$1185,"",AI1678+AI1958)</f>
        <v>0</v>
      </c>
      <c r="AJ1398" s="119">
        <f>IF(tech_base!$T214&gt;AJ$1185,"",AJ1678+AJ1958)</f>
        <v>0</v>
      </c>
      <c r="AK1398" s="119">
        <f>IF(tech_base!$T214&gt;AK$1185,"",AK1678+AK1958)</f>
        <v>0</v>
      </c>
      <c r="AL1398" s="119">
        <f>IF(tech_base!$T214&gt;AL$1185,"",AL1678+AL1958)</f>
        <v>0</v>
      </c>
      <c r="AM1398" s="119">
        <f>IF(tech_base!$T214&gt;AM$1185,"",AM1678+AM1958)</f>
        <v>0</v>
      </c>
      <c r="AN1398" s="119">
        <f>IF(tech_base!$T214&gt;AN$1185,"",AN1678+AN1958)</f>
        <v>0</v>
      </c>
      <c r="AO1398" s="119">
        <f>IF(tech_base!$T214&gt;AO$1185,"",AO1678+AO1958)</f>
        <v>0</v>
      </c>
      <c r="AP1398" s="119">
        <f>IF(tech_base!$T214&gt;AP$1185,"",AP1678+AP1958)</f>
        <v>0</v>
      </c>
      <c r="AQ1398" s="119">
        <f>IF(tech_base!$T214&gt;AQ$1185,"",AQ1678+AQ1958)</f>
        <v>0</v>
      </c>
      <c r="AR1398" s="119">
        <f>IF(tech_base!$T214&gt;AR$1185,"",AR1678+AR1958)</f>
        <v>0</v>
      </c>
      <c r="AS1398" s="119">
        <f>IF(tech_base!$T214&gt;AS$1185,"",AS1678+AS1958)</f>
        <v>0</v>
      </c>
      <c r="AT1398" s="119">
        <f>IF(tech_base!$T214&gt;AT$1185,"",AT1678+AT1958)</f>
        <v>0</v>
      </c>
      <c r="AU1398" s="119">
        <f>IF(tech_base!$T214&gt;AU$1185,"",AU1678+AU1958)</f>
        <v>0</v>
      </c>
      <c r="AV1398" s="119">
        <f>IF(tech_base!$T214&gt;AV$1185,"",AV1678+AV1958)</f>
        <v>0</v>
      </c>
      <c r="AW1398" s="119">
        <f>IF(tech_base!$T214&gt;AW$1185,"",AW1678+AW1958)</f>
        <v>0</v>
      </c>
      <c r="AX1398" s="120">
        <f>IF(tech_base!$T214&gt;AX$1185,"",AX1678+AX1958)</f>
        <v>0</v>
      </c>
    </row>
    <row r="1399" spans="1:50" x14ac:dyDescent="0.25">
      <c r="A1399" s="356"/>
      <c r="B1399" s="376"/>
      <c r="C1399" s="361" t="s">
        <v>14</v>
      </c>
      <c r="D1399" s="58" t="s">
        <v>7</v>
      </c>
      <c r="E1399" s="164" t="str">
        <f>A1387&amp;"/"&amp;B1395&amp;"/"&amp;C1399&amp;"/"&amp;D1399</f>
        <v>Biomass and waste fired power plants/Fluidized bed combustion/CHP/L</v>
      </c>
      <c r="F1399" s="78" t="str">
        <f>A1387</f>
        <v>Biomass and waste fired power plants</v>
      </c>
      <c r="G1399" s="78" t="str">
        <f>B1395</f>
        <v>Fluidized bed combustion</v>
      </c>
      <c r="H1399" s="78" t="str">
        <f>C1399</f>
        <v>CHP</v>
      </c>
      <c r="I1399" s="165" t="str">
        <f t="shared" si="375"/>
        <v>L</v>
      </c>
      <c r="J1399" s="123">
        <f>IF(tech_base!$T215&gt;J$1185,"",J1679+J1959)</f>
        <v>0</v>
      </c>
      <c r="K1399" s="123">
        <f>IF(tech_base!$T215&gt;K$1185,"",K1679+K1959)</f>
        <v>0</v>
      </c>
      <c r="L1399" s="123">
        <f>IF(tech_base!$T215&gt;L$1185,"",L1679+L1959)</f>
        <v>0</v>
      </c>
      <c r="M1399" s="123">
        <f>IF(tech_base!$T215&gt;M$1185,"",M1679+M1959)</f>
        <v>0</v>
      </c>
      <c r="N1399" s="123">
        <f>IF(tech_base!$T215&gt;N$1185,"",N1679+N1959)</f>
        <v>0</v>
      </c>
      <c r="O1399" s="123">
        <f>IF(tech_base!$T215&gt;O$1185,"",O1679+O1959)</f>
        <v>0</v>
      </c>
      <c r="P1399" s="123">
        <f>IF(tech_base!$T215&gt;P$1185,"",P1679+P1959)</f>
        <v>0</v>
      </c>
      <c r="Q1399" s="123">
        <f>IF(tech_base!$T215&gt;Q$1185,"",Q1679+Q1959)</f>
        <v>0</v>
      </c>
      <c r="R1399" s="123">
        <f>IF(tech_base!$T215&gt;R$1185,"",R1679+R1959)</f>
        <v>0</v>
      </c>
      <c r="S1399" s="123">
        <f>IF(tech_base!$T215&gt;S$1185,"",S1679+S1959)</f>
        <v>0</v>
      </c>
      <c r="T1399" s="123">
        <f>IF(tech_base!$T215&gt;T$1185,"",T1679+T1959)</f>
        <v>0</v>
      </c>
      <c r="U1399" s="123">
        <f>IF(tech_base!$T215&gt;U$1185,"",U1679+U1959)</f>
        <v>0</v>
      </c>
      <c r="V1399" s="123">
        <f>IF(tech_base!$T215&gt;V$1185,"",V1679+V1959)</f>
        <v>0</v>
      </c>
      <c r="W1399" s="123">
        <f>IF(tech_base!$T215&gt;W$1185,"",W1679+W1959)</f>
        <v>0</v>
      </c>
      <c r="X1399" s="123">
        <f>IF(tech_base!$T215&gt;X$1185,"",X1679+X1959)</f>
        <v>0</v>
      </c>
      <c r="Y1399" s="123">
        <f>IF(tech_base!$T215&gt;Y$1185,"",Y1679+Y1959)</f>
        <v>0</v>
      </c>
      <c r="Z1399" s="123">
        <f>IF(tech_base!$T215&gt;Z$1185,"",Z1679+Z1959)</f>
        <v>0</v>
      </c>
      <c r="AA1399" s="123">
        <f>IF(tech_base!$T215&gt;AA$1185,"",AA1679+AA1959)</f>
        <v>0</v>
      </c>
      <c r="AB1399" s="123">
        <f>IF(tech_base!$T215&gt;AB$1185,"",AB1679+AB1959)</f>
        <v>0</v>
      </c>
      <c r="AC1399" s="123">
        <f>IF(tech_base!$T215&gt;AC$1185,"",AC1679+AC1959)</f>
        <v>0</v>
      </c>
      <c r="AD1399" s="123">
        <f>IF(tech_base!$T215&gt;AD$1185,"",AD1679+AD1959)</f>
        <v>0</v>
      </c>
      <c r="AE1399" s="123">
        <f>IF(tech_base!$T215&gt;AE$1185,"",AE1679+AE1959)</f>
        <v>0</v>
      </c>
      <c r="AF1399" s="123">
        <f>IF(tech_base!$T215&gt;AF$1185,"",AF1679+AF1959)</f>
        <v>0</v>
      </c>
      <c r="AG1399" s="123">
        <f>IF(tech_base!$T215&gt;AG$1185,"",AG1679+AG1959)</f>
        <v>0</v>
      </c>
      <c r="AH1399" s="123">
        <f>IF(tech_base!$T215&gt;AH$1185,"",AH1679+AH1959)</f>
        <v>0</v>
      </c>
      <c r="AI1399" s="123">
        <f>IF(tech_base!$T215&gt;AI$1185,"",AI1679+AI1959)</f>
        <v>0</v>
      </c>
      <c r="AJ1399" s="123">
        <f>IF(tech_base!$T215&gt;AJ$1185,"",AJ1679+AJ1959)</f>
        <v>0</v>
      </c>
      <c r="AK1399" s="123">
        <f>IF(tech_base!$T215&gt;AK$1185,"",AK1679+AK1959)</f>
        <v>0</v>
      </c>
      <c r="AL1399" s="123">
        <f>IF(tech_base!$T215&gt;AL$1185,"",AL1679+AL1959)</f>
        <v>0</v>
      </c>
      <c r="AM1399" s="123">
        <f>IF(tech_base!$T215&gt;AM$1185,"",AM1679+AM1959)</f>
        <v>0</v>
      </c>
      <c r="AN1399" s="123">
        <f>IF(tech_base!$T215&gt;AN$1185,"",AN1679+AN1959)</f>
        <v>0</v>
      </c>
      <c r="AO1399" s="123">
        <f>IF(tech_base!$T215&gt;AO$1185,"",AO1679+AO1959)</f>
        <v>0</v>
      </c>
      <c r="AP1399" s="123">
        <f>IF(tech_base!$T215&gt;AP$1185,"",AP1679+AP1959)</f>
        <v>0</v>
      </c>
      <c r="AQ1399" s="123">
        <f>IF(tech_base!$T215&gt;AQ$1185,"",AQ1679+AQ1959)</f>
        <v>0</v>
      </c>
      <c r="AR1399" s="123">
        <f>IF(tech_base!$T215&gt;AR$1185,"",AR1679+AR1959)</f>
        <v>0</v>
      </c>
      <c r="AS1399" s="123">
        <f>IF(tech_base!$T215&gt;AS$1185,"",AS1679+AS1959)</f>
        <v>0</v>
      </c>
      <c r="AT1399" s="123">
        <f>IF(tech_base!$T215&gt;AT$1185,"",AT1679+AT1959)</f>
        <v>0</v>
      </c>
      <c r="AU1399" s="123">
        <f>IF(tech_base!$T215&gt;AU$1185,"",AU1679+AU1959)</f>
        <v>0</v>
      </c>
      <c r="AV1399" s="123">
        <f>IF(tech_base!$T215&gt;AV$1185,"",AV1679+AV1959)</f>
        <v>0</v>
      </c>
      <c r="AW1399" s="123">
        <f>IF(tech_base!$T215&gt;AW$1185,"",AW1679+AW1959)</f>
        <v>0</v>
      </c>
      <c r="AX1399" s="124">
        <f>IF(tech_base!$T215&gt;AX$1185,"",AX1679+AX1959)</f>
        <v>0</v>
      </c>
    </row>
    <row r="1400" spans="1:50" x14ac:dyDescent="0.25">
      <c r="A1400" s="356"/>
      <c r="B1400" s="376"/>
      <c r="C1400" s="378"/>
      <c r="D1400" s="2" t="s">
        <v>8</v>
      </c>
      <c r="E1400" s="160" t="str">
        <f>A1387&amp;"/"&amp;B1395&amp;"/"&amp;C1399&amp;"/"&amp;D1400</f>
        <v>Biomass and waste fired power plants/Fluidized bed combustion/CHP/M</v>
      </c>
      <c r="F1400" s="76" t="str">
        <f>A1387</f>
        <v>Biomass and waste fired power plants</v>
      </c>
      <c r="G1400" s="76" t="str">
        <f>B1395</f>
        <v>Fluidized bed combustion</v>
      </c>
      <c r="H1400" s="76" t="str">
        <f>C1399</f>
        <v>CHP</v>
      </c>
      <c r="I1400" s="161" t="str">
        <f t="shared" si="375"/>
        <v>M</v>
      </c>
      <c r="J1400" s="119">
        <f>IF(tech_base!$T216&gt;J$1185,"",J1680+J1960)</f>
        <v>0</v>
      </c>
      <c r="K1400" s="119">
        <f>IF(tech_base!$T216&gt;K$1185,"",K1680+K1960)</f>
        <v>0</v>
      </c>
      <c r="L1400" s="119">
        <f>IF(tech_base!$T216&gt;L$1185,"",L1680+L1960)</f>
        <v>0</v>
      </c>
      <c r="M1400" s="119">
        <f>IF(tech_base!$T216&gt;M$1185,"",M1680+M1960)</f>
        <v>0</v>
      </c>
      <c r="N1400" s="119">
        <f>IF(tech_base!$T216&gt;N$1185,"",N1680+N1960)</f>
        <v>0</v>
      </c>
      <c r="O1400" s="119">
        <f>IF(tech_base!$T216&gt;O$1185,"",O1680+O1960)</f>
        <v>0</v>
      </c>
      <c r="P1400" s="119">
        <f>IF(tech_base!$T216&gt;P$1185,"",P1680+P1960)</f>
        <v>0</v>
      </c>
      <c r="Q1400" s="119">
        <f>IF(tech_base!$T216&gt;Q$1185,"",Q1680+Q1960)</f>
        <v>0</v>
      </c>
      <c r="R1400" s="119">
        <f>IF(tech_base!$T216&gt;R$1185,"",R1680+R1960)</f>
        <v>0</v>
      </c>
      <c r="S1400" s="119">
        <f>IF(tech_base!$T216&gt;S$1185,"",S1680+S1960)</f>
        <v>0</v>
      </c>
      <c r="T1400" s="119">
        <f>IF(tech_base!$T216&gt;T$1185,"",T1680+T1960)</f>
        <v>0</v>
      </c>
      <c r="U1400" s="119">
        <f>IF(tech_base!$T216&gt;U$1185,"",U1680+U1960)</f>
        <v>0</v>
      </c>
      <c r="V1400" s="119">
        <f>IF(tech_base!$T216&gt;V$1185,"",V1680+V1960)</f>
        <v>0</v>
      </c>
      <c r="W1400" s="119">
        <f>IF(tech_base!$T216&gt;W$1185,"",W1680+W1960)</f>
        <v>0</v>
      </c>
      <c r="X1400" s="119">
        <f>IF(tech_base!$T216&gt;X$1185,"",X1680+X1960)</f>
        <v>0</v>
      </c>
      <c r="Y1400" s="119">
        <f>IF(tech_base!$T216&gt;Y$1185,"",Y1680+Y1960)</f>
        <v>0</v>
      </c>
      <c r="Z1400" s="119">
        <f>IF(tech_base!$T216&gt;Z$1185,"",Z1680+Z1960)</f>
        <v>0</v>
      </c>
      <c r="AA1400" s="119">
        <f>IF(tech_base!$T216&gt;AA$1185,"",AA1680+AA1960)</f>
        <v>0</v>
      </c>
      <c r="AB1400" s="119">
        <f>IF(tech_base!$T216&gt;AB$1185,"",AB1680+AB1960)</f>
        <v>0</v>
      </c>
      <c r="AC1400" s="119">
        <f>IF(tech_base!$T216&gt;AC$1185,"",AC1680+AC1960)</f>
        <v>0</v>
      </c>
      <c r="AD1400" s="119">
        <f>IF(tech_base!$T216&gt;AD$1185,"",AD1680+AD1960)</f>
        <v>0</v>
      </c>
      <c r="AE1400" s="119">
        <f>IF(tech_base!$T216&gt;AE$1185,"",AE1680+AE1960)</f>
        <v>0</v>
      </c>
      <c r="AF1400" s="119">
        <f>IF(tech_base!$T216&gt;AF$1185,"",AF1680+AF1960)</f>
        <v>0</v>
      </c>
      <c r="AG1400" s="119">
        <f>IF(tech_base!$T216&gt;AG$1185,"",AG1680+AG1960)</f>
        <v>0</v>
      </c>
      <c r="AH1400" s="119">
        <f>IF(tech_base!$T216&gt;AH$1185,"",AH1680+AH1960)</f>
        <v>0</v>
      </c>
      <c r="AI1400" s="119">
        <f>IF(tech_base!$T216&gt;AI$1185,"",AI1680+AI1960)</f>
        <v>0</v>
      </c>
      <c r="AJ1400" s="119">
        <f>IF(tech_base!$T216&gt;AJ$1185,"",AJ1680+AJ1960)</f>
        <v>0</v>
      </c>
      <c r="AK1400" s="119">
        <f>IF(tech_base!$T216&gt;AK$1185,"",AK1680+AK1960)</f>
        <v>0</v>
      </c>
      <c r="AL1400" s="119">
        <f>IF(tech_base!$T216&gt;AL$1185,"",AL1680+AL1960)</f>
        <v>0</v>
      </c>
      <c r="AM1400" s="119">
        <f>IF(tech_base!$T216&gt;AM$1185,"",AM1680+AM1960)</f>
        <v>0</v>
      </c>
      <c r="AN1400" s="119">
        <f>IF(tech_base!$T216&gt;AN$1185,"",AN1680+AN1960)</f>
        <v>0</v>
      </c>
      <c r="AO1400" s="119">
        <f>IF(tech_base!$T216&gt;AO$1185,"",AO1680+AO1960)</f>
        <v>0</v>
      </c>
      <c r="AP1400" s="119">
        <f>IF(tech_base!$T216&gt;AP$1185,"",AP1680+AP1960)</f>
        <v>0</v>
      </c>
      <c r="AQ1400" s="119">
        <f>IF(tech_base!$T216&gt;AQ$1185,"",AQ1680+AQ1960)</f>
        <v>0</v>
      </c>
      <c r="AR1400" s="119">
        <f>IF(tech_base!$T216&gt;AR$1185,"",AR1680+AR1960)</f>
        <v>0</v>
      </c>
      <c r="AS1400" s="119">
        <f>IF(tech_base!$T216&gt;AS$1185,"",AS1680+AS1960)</f>
        <v>0</v>
      </c>
      <c r="AT1400" s="119">
        <f>IF(tech_base!$T216&gt;AT$1185,"",AT1680+AT1960)</f>
        <v>0</v>
      </c>
      <c r="AU1400" s="119">
        <f>IF(tech_base!$T216&gt;AU$1185,"",AU1680+AU1960)</f>
        <v>0</v>
      </c>
      <c r="AV1400" s="119">
        <f>IF(tech_base!$T216&gt;AV$1185,"",AV1680+AV1960)</f>
        <v>0</v>
      </c>
      <c r="AW1400" s="119">
        <f>IF(tech_base!$T216&gt;AW$1185,"",AW1680+AW1960)</f>
        <v>0</v>
      </c>
      <c r="AX1400" s="120">
        <f>IF(tech_base!$T216&gt;AX$1185,"",AX1680+AX1960)</f>
        <v>0</v>
      </c>
    </row>
    <row r="1401" spans="1:50" x14ac:dyDescent="0.25">
      <c r="A1401" s="356"/>
      <c r="B1401" s="376"/>
      <c r="C1401" s="378"/>
      <c r="D1401" s="2" t="s">
        <v>10</v>
      </c>
      <c r="E1401" s="160" t="str">
        <f>A1387&amp;"/"&amp;B1395&amp;"/"&amp;C1399&amp;"/"&amp;D1401</f>
        <v>Biomass and waste fired power plants/Fluidized bed combustion/CHP/S</v>
      </c>
      <c r="F1401" s="76" t="str">
        <f>A1387</f>
        <v>Biomass and waste fired power plants</v>
      </c>
      <c r="G1401" s="76" t="str">
        <f>B1395</f>
        <v>Fluidized bed combustion</v>
      </c>
      <c r="H1401" s="76" t="str">
        <f>C1399</f>
        <v>CHP</v>
      </c>
      <c r="I1401" s="161" t="str">
        <f t="shared" si="375"/>
        <v>S</v>
      </c>
      <c r="J1401" s="119">
        <f>IF(tech_base!$T217&gt;J$1185,"",J1681+J1961)</f>
        <v>0</v>
      </c>
      <c r="K1401" s="119">
        <f>IF(tech_base!$T217&gt;K$1185,"",K1681+K1961)</f>
        <v>0</v>
      </c>
      <c r="L1401" s="119">
        <f>IF(tech_base!$T217&gt;L$1185,"",L1681+L1961)</f>
        <v>0</v>
      </c>
      <c r="M1401" s="119">
        <f>IF(tech_base!$T217&gt;M$1185,"",M1681+M1961)</f>
        <v>0</v>
      </c>
      <c r="N1401" s="119">
        <f>IF(tech_base!$T217&gt;N$1185,"",N1681+N1961)</f>
        <v>0</v>
      </c>
      <c r="O1401" s="119">
        <f>IF(tech_base!$T217&gt;O$1185,"",O1681+O1961)</f>
        <v>0</v>
      </c>
      <c r="P1401" s="119">
        <f>IF(tech_base!$T217&gt;P$1185,"",P1681+P1961)</f>
        <v>0</v>
      </c>
      <c r="Q1401" s="119">
        <f>IF(tech_base!$T217&gt;Q$1185,"",Q1681+Q1961)</f>
        <v>0</v>
      </c>
      <c r="R1401" s="119">
        <f>IF(tech_base!$T217&gt;R$1185,"",R1681+R1961)</f>
        <v>0</v>
      </c>
      <c r="S1401" s="119">
        <f>IF(tech_base!$T217&gt;S$1185,"",S1681+S1961)</f>
        <v>0</v>
      </c>
      <c r="T1401" s="119">
        <f>IF(tech_base!$T217&gt;T$1185,"",T1681+T1961)</f>
        <v>0</v>
      </c>
      <c r="U1401" s="119">
        <f>IF(tech_base!$T217&gt;U$1185,"",U1681+U1961)</f>
        <v>0</v>
      </c>
      <c r="V1401" s="119">
        <f>IF(tech_base!$T217&gt;V$1185,"",V1681+V1961)</f>
        <v>0</v>
      </c>
      <c r="W1401" s="119">
        <f>IF(tech_base!$T217&gt;W$1185,"",W1681+W1961)</f>
        <v>0</v>
      </c>
      <c r="X1401" s="119">
        <f>IF(tech_base!$T217&gt;X$1185,"",X1681+X1961)</f>
        <v>0</v>
      </c>
      <c r="Y1401" s="119">
        <f>IF(tech_base!$T217&gt;Y$1185,"",Y1681+Y1961)</f>
        <v>0</v>
      </c>
      <c r="Z1401" s="119">
        <f>IF(tech_base!$T217&gt;Z$1185,"",Z1681+Z1961)</f>
        <v>0</v>
      </c>
      <c r="AA1401" s="119">
        <f>IF(tech_base!$T217&gt;AA$1185,"",AA1681+AA1961)</f>
        <v>0</v>
      </c>
      <c r="AB1401" s="119">
        <f>IF(tech_base!$T217&gt;AB$1185,"",AB1681+AB1961)</f>
        <v>0</v>
      </c>
      <c r="AC1401" s="119">
        <f>IF(tech_base!$T217&gt;AC$1185,"",AC1681+AC1961)</f>
        <v>0</v>
      </c>
      <c r="AD1401" s="119">
        <f>IF(tech_base!$T217&gt;AD$1185,"",AD1681+AD1961)</f>
        <v>0</v>
      </c>
      <c r="AE1401" s="119">
        <f>IF(tech_base!$T217&gt;AE$1185,"",AE1681+AE1961)</f>
        <v>0</v>
      </c>
      <c r="AF1401" s="119">
        <f>IF(tech_base!$T217&gt;AF$1185,"",AF1681+AF1961)</f>
        <v>0</v>
      </c>
      <c r="AG1401" s="119">
        <f>IF(tech_base!$T217&gt;AG$1185,"",AG1681+AG1961)</f>
        <v>0</v>
      </c>
      <c r="AH1401" s="119">
        <f>IF(tech_base!$T217&gt;AH$1185,"",AH1681+AH1961)</f>
        <v>0</v>
      </c>
      <c r="AI1401" s="119">
        <f>IF(tech_base!$T217&gt;AI$1185,"",AI1681+AI1961)</f>
        <v>0</v>
      </c>
      <c r="AJ1401" s="119">
        <f>IF(tech_base!$T217&gt;AJ$1185,"",AJ1681+AJ1961)</f>
        <v>0</v>
      </c>
      <c r="AK1401" s="119">
        <f>IF(tech_base!$T217&gt;AK$1185,"",AK1681+AK1961)</f>
        <v>0</v>
      </c>
      <c r="AL1401" s="119">
        <f>IF(tech_base!$T217&gt;AL$1185,"",AL1681+AL1961)</f>
        <v>0</v>
      </c>
      <c r="AM1401" s="119">
        <f>IF(tech_base!$T217&gt;AM$1185,"",AM1681+AM1961)</f>
        <v>0</v>
      </c>
      <c r="AN1401" s="119">
        <f>IF(tech_base!$T217&gt;AN$1185,"",AN1681+AN1961)</f>
        <v>0</v>
      </c>
      <c r="AO1401" s="119">
        <f>IF(tech_base!$T217&gt;AO$1185,"",AO1681+AO1961)</f>
        <v>0</v>
      </c>
      <c r="AP1401" s="119">
        <f>IF(tech_base!$T217&gt;AP$1185,"",AP1681+AP1961)</f>
        <v>0</v>
      </c>
      <c r="AQ1401" s="119">
        <f>IF(tech_base!$T217&gt;AQ$1185,"",AQ1681+AQ1961)</f>
        <v>0</v>
      </c>
      <c r="AR1401" s="119">
        <f>IF(tech_base!$T217&gt;AR$1185,"",AR1681+AR1961)</f>
        <v>0</v>
      </c>
      <c r="AS1401" s="119">
        <f>IF(tech_base!$T217&gt;AS$1185,"",AS1681+AS1961)</f>
        <v>0</v>
      </c>
      <c r="AT1401" s="119">
        <f>IF(tech_base!$T217&gt;AT$1185,"",AT1681+AT1961)</f>
        <v>0</v>
      </c>
      <c r="AU1401" s="119">
        <f>IF(tech_base!$T217&gt;AU$1185,"",AU1681+AU1961)</f>
        <v>0</v>
      </c>
      <c r="AV1401" s="119">
        <f>IF(tech_base!$T217&gt;AV$1185,"",AV1681+AV1961)</f>
        <v>0</v>
      </c>
      <c r="AW1401" s="119">
        <f>IF(tech_base!$T217&gt;AW$1185,"",AW1681+AW1961)</f>
        <v>0</v>
      </c>
      <c r="AX1401" s="120">
        <f>IF(tech_base!$T217&gt;AX$1185,"",AX1681+AX1961)</f>
        <v>0</v>
      </c>
    </row>
    <row r="1402" spans="1:50" x14ac:dyDescent="0.25">
      <c r="A1402" s="356"/>
      <c r="B1402" s="376"/>
      <c r="C1402" s="379"/>
      <c r="D1402" s="59" t="s">
        <v>20</v>
      </c>
      <c r="E1402" s="166" t="str">
        <f>A1387&amp;"/"&amp;B1395&amp;"/"&amp;C1399&amp;"/"&amp;D1402</f>
        <v>Biomass and waste fired power plants/Fluidized bed combustion/CHP/XS</v>
      </c>
      <c r="F1402" s="79" t="str">
        <f>A1387</f>
        <v>Biomass and waste fired power plants</v>
      </c>
      <c r="G1402" s="79" t="str">
        <f>B1395</f>
        <v>Fluidized bed combustion</v>
      </c>
      <c r="H1402" s="79" t="str">
        <f>C1399</f>
        <v>CHP</v>
      </c>
      <c r="I1402" s="167" t="str">
        <f t="shared" si="375"/>
        <v>XS</v>
      </c>
      <c r="J1402" s="125">
        <f>IF(tech_base!$T218&gt;J$1185,"",J1682+J1962)</f>
        <v>0</v>
      </c>
      <c r="K1402" s="125">
        <f>IF(tech_base!$T218&gt;K$1185,"",K1682+K1962)</f>
        <v>0</v>
      </c>
      <c r="L1402" s="125">
        <f>IF(tech_base!$T218&gt;L$1185,"",L1682+L1962)</f>
        <v>0</v>
      </c>
      <c r="M1402" s="125">
        <f>IF(tech_base!$T218&gt;M$1185,"",M1682+M1962)</f>
        <v>0</v>
      </c>
      <c r="N1402" s="125">
        <f>IF(tech_base!$T218&gt;N$1185,"",N1682+N1962)</f>
        <v>0</v>
      </c>
      <c r="O1402" s="125">
        <f>IF(tech_base!$T218&gt;O$1185,"",O1682+O1962)</f>
        <v>0</v>
      </c>
      <c r="P1402" s="125">
        <f>IF(tech_base!$T218&gt;P$1185,"",P1682+P1962)</f>
        <v>0</v>
      </c>
      <c r="Q1402" s="125">
        <f>IF(tech_base!$T218&gt;Q$1185,"",Q1682+Q1962)</f>
        <v>0</v>
      </c>
      <c r="R1402" s="125">
        <f>IF(tech_base!$T218&gt;R$1185,"",R1682+R1962)</f>
        <v>0</v>
      </c>
      <c r="S1402" s="125">
        <f>IF(tech_base!$T218&gt;S$1185,"",S1682+S1962)</f>
        <v>0</v>
      </c>
      <c r="T1402" s="125">
        <f>IF(tech_base!$T218&gt;T$1185,"",T1682+T1962)</f>
        <v>0</v>
      </c>
      <c r="U1402" s="125">
        <f>IF(tech_base!$T218&gt;U$1185,"",U1682+U1962)</f>
        <v>0</v>
      </c>
      <c r="V1402" s="125">
        <f>IF(tech_base!$T218&gt;V$1185,"",V1682+V1962)</f>
        <v>0</v>
      </c>
      <c r="W1402" s="125">
        <f>IF(tech_base!$T218&gt;W$1185,"",W1682+W1962)</f>
        <v>0</v>
      </c>
      <c r="X1402" s="125">
        <f>IF(tech_base!$T218&gt;X$1185,"",X1682+X1962)</f>
        <v>0</v>
      </c>
      <c r="Y1402" s="125">
        <f>IF(tech_base!$T218&gt;Y$1185,"",Y1682+Y1962)</f>
        <v>0</v>
      </c>
      <c r="Z1402" s="125">
        <f>IF(tech_base!$T218&gt;Z$1185,"",Z1682+Z1962)</f>
        <v>0</v>
      </c>
      <c r="AA1402" s="125">
        <f>IF(tech_base!$T218&gt;AA$1185,"",AA1682+AA1962)</f>
        <v>0</v>
      </c>
      <c r="AB1402" s="125">
        <f>IF(tech_base!$T218&gt;AB$1185,"",AB1682+AB1962)</f>
        <v>0</v>
      </c>
      <c r="AC1402" s="125">
        <f>IF(tech_base!$T218&gt;AC$1185,"",AC1682+AC1962)</f>
        <v>0</v>
      </c>
      <c r="AD1402" s="125">
        <f>IF(tech_base!$T218&gt;AD$1185,"",AD1682+AD1962)</f>
        <v>0</v>
      </c>
      <c r="AE1402" s="125">
        <f>IF(tech_base!$T218&gt;AE$1185,"",AE1682+AE1962)</f>
        <v>0</v>
      </c>
      <c r="AF1402" s="125">
        <f>IF(tech_base!$T218&gt;AF$1185,"",AF1682+AF1962)</f>
        <v>0</v>
      </c>
      <c r="AG1402" s="125">
        <f>IF(tech_base!$T218&gt;AG$1185,"",AG1682+AG1962)</f>
        <v>0</v>
      </c>
      <c r="AH1402" s="125">
        <f>IF(tech_base!$T218&gt;AH$1185,"",AH1682+AH1962)</f>
        <v>0</v>
      </c>
      <c r="AI1402" s="125">
        <f>IF(tech_base!$T218&gt;AI$1185,"",AI1682+AI1962)</f>
        <v>0</v>
      </c>
      <c r="AJ1402" s="125">
        <f>IF(tech_base!$T218&gt;AJ$1185,"",AJ1682+AJ1962)</f>
        <v>0</v>
      </c>
      <c r="AK1402" s="125">
        <f>IF(tech_base!$T218&gt;AK$1185,"",AK1682+AK1962)</f>
        <v>0</v>
      </c>
      <c r="AL1402" s="125">
        <f>IF(tech_base!$T218&gt;AL$1185,"",AL1682+AL1962)</f>
        <v>0</v>
      </c>
      <c r="AM1402" s="125">
        <f>IF(tech_base!$T218&gt;AM$1185,"",AM1682+AM1962)</f>
        <v>0</v>
      </c>
      <c r="AN1402" s="125">
        <f>IF(tech_base!$T218&gt;AN$1185,"",AN1682+AN1962)</f>
        <v>0</v>
      </c>
      <c r="AO1402" s="125">
        <f>IF(tech_base!$T218&gt;AO$1185,"",AO1682+AO1962)</f>
        <v>0</v>
      </c>
      <c r="AP1402" s="125">
        <f>IF(tech_base!$T218&gt;AP$1185,"",AP1682+AP1962)</f>
        <v>0</v>
      </c>
      <c r="AQ1402" s="125">
        <f>IF(tech_base!$T218&gt;AQ$1185,"",AQ1682+AQ1962)</f>
        <v>0</v>
      </c>
      <c r="AR1402" s="125">
        <f>IF(tech_base!$T218&gt;AR$1185,"",AR1682+AR1962)</f>
        <v>0</v>
      </c>
      <c r="AS1402" s="125">
        <f>IF(tech_base!$T218&gt;AS$1185,"",AS1682+AS1962)</f>
        <v>0</v>
      </c>
      <c r="AT1402" s="125">
        <f>IF(tech_base!$T218&gt;AT$1185,"",AT1682+AT1962)</f>
        <v>0</v>
      </c>
      <c r="AU1402" s="125">
        <f>IF(tech_base!$T218&gt;AU$1185,"",AU1682+AU1962)</f>
        <v>0</v>
      </c>
      <c r="AV1402" s="125">
        <f>IF(tech_base!$T218&gt;AV$1185,"",AV1682+AV1962)</f>
        <v>0</v>
      </c>
      <c r="AW1402" s="125">
        <f>IF(tech_base!$T218&gt;AW$1185,"",AW1682+AW1962)</f>
        <v>0</v>
      </c>
      <c r="AX1402" s="126">
        <f>IF(tech_base!$T218&gt;AX$1185,"",AX1682+AX1962)</f>
        <v>0</v>
      </c>
    </row>
    <row r="1403" spans="1:50" x14ac:dyDescent="0.25">
      <c r="A1403" s="356"/>
      <c r="B1403" s="376"/>
      <c r="C1403" s="361" t="s">
        <v>15</v>
      </c>
      <c r="D1403" s="58" t="s">
        <v>7</v>
      </c>
      <c r="E1403" s="164" t="str">
        <f>A1387&amp;"/"&amp;B1395&amp;"/"&amp;C1403&amp;"/"&amp;D1403</f>
        <v>Biomass and waste fired power plants/Fluidized bed combustion/Electricity only with CCS/L</v>
      </c>
      <c r="F1403" s="78" t="str">
        <f>A1387</f>
        <v>Biomass and waste fired power plants</v>
      </c>
      <c r="G1403" s="78" t="str">
        <f>B1395</f>
        <v>Fluidized bed combustion</v>
      </c>
      <c r="H1403" s="78" t="str">
        <f>C1403</f>
        <v>Electricity only with CCS</v>
      </c>
      <c r="I1403" s="165" t="str">
        <f t="shared" si="375"/>
        <v>L</v>
      </c>
      <c r="J1403" s="123" t="str">
        <f>IF(tech_base!$T219&gt;J$1185,"",J1683+J1963)</f>
        <v/>
      </c>
      <c r="K1403" s="123" t="str">
        <f>IF(tech_base!$T219&gt;K$1185,"",K1683+K1963)</f>
        <v/>
      </c>
      <c r="L1403" s="123" t="str">
        <f>IF(tech_base!$T219&gt;L$1185,"",L1683+L1963)</f>
        <v/>
      </c>
      <c r="M1403" s="123" t="str">
        <f>IF(tech_base!$T219&gt;M$1185,"",M1683+M1963)</f>
        <v/>
      </c>
      <c r="N1403" s="123" t="str">
        <f>IF(tech_base!$T219&gt;N$1185,"",N1683+N1963)</f>
        <v/>
      </c>
      <c r="O1403" s="123" t="str">
        <f>IF(tech_base!$T219&gt;O$1185,"",O1683+O1963)</f>
        <v/>
      </c>
      <c r="P1403" s="123" t="str">
        <f>IF(tech_base!$T219&gt;P$1185,"",P1683+P1963)</f>
        <v/>
      </c>
      <c r="Q1403" s="123" t="str">
        <f>IF(tech_base!$T219&gt;Q$1185,"",Q1683+Q1963)</f>
        <v/>
      </c>
      <c r="R1403" s="123" t="str">
        <f>IF(tech_base!$T219&gt;R$1185,"",R1683+R1963)</f>
        <v/>
      </c>
      <c r="S1403" s="123" t="str">
        <f>IF(tech_base!$T219&gt;S$1185,"",S1683+S1963)</f>
        <v/>
      </c>
      <c r="T1403" s="123" t="str">
        <f>IF(tech_base!$T219&gt;T$1185,"",T1683+T1963)</f>
        <v/>
      </c>
      <c r="U1403" s="123" t="str">
        <f>IF(tech_base!$T219&gt;U$1185,"",U1683+U1963)</f>
        <v/>
      </c>
      <c r="V1403" s="123" t="str">
        <f>IF(tech_base!$T219&gt;V$1185,"",V1683+V1963)</f>
        <v/>
      </c>
      <c r="W1403" s="123" t="str">
        <f>IF(tech_base!$T219&gt;W$1185,"",W1683+W1963)</f>
        <v/>
      </c>
      <c r="X1403" s="123" t="str">
        <f>IF(tech_base!$T219&gt;X$1185,"",X1683+X1963)</f>
        <v/>
      </c>
      <c r="Y1403" s="123" t="str">
        <f>IF(tech_base!$T219&gt;Y$1185,"",Y1683+Y1963)</f>
        <v/>
      </c>
      <c r="Z1403" s="123" t="str">
        <f>IF(tech_base!$T219&gt;Z$1185,"",Z1683+Z1963)</f>
        <v/>
      </c>
      <c r="AA1403" s="123" t="str">
        <f>IF(tech_base!$T219&gt;AA$1185,"",AA1683+AA1963)</f>
        <v/>
      </c>
      <c r="AB1403" s="123" t="str">
        <f>IF(tech_base!$T219&gt;AB$1185,"",AB1683+AB1963)</f>
        <v/>
      </c>
      <c r="AC1403" s="123" t="str">
        <f>IF(tech_base!$T219&gt;AC$1185,"",AC1683+AC1963)</f>
        <v/>
      </c>
      <c r="AD1403" s="123" t="str">
        <f>IF(tech_base!$T219&gt;AD$1185,"",AD1683+AD1963)</f>
        <v/>
      </c>
      <c r="AE1403" s="123">
        <f>IF(tech_base!$T219&gt;AE$1185,"",AE1683+AE1963)</f>
        <v>0</v>
      </c>
      <c r="AF1403" s="123">
        <f>IF(tech_base!$T219&gt;AF$1185,"",AF1683+AF1963)</f>
        <v>0</v>
      </c>
      <c r="AG1403" s="123">
        <f>IF(tech_base!$T219&gt;AG$1185,"",AG1683+AG1963)</f>
        <v>0</v>
      </c>
      <c r="AH1403" s="123">
        <f>IF(tech_base!$T219&gt;AH$1185,"",AH1683+AH1963)</f>
        <v>0</v>
      </c>
      <c r="AI1403" s="123">
        <f>IF(tech_base!$T219&gt;AI$1185,"",AI1683+AI1963)</f>
        <v>0</v>
      </c>
      <c r="AJ1403" s="123">
        <f>IF(tech_base!$T219&gt;AJ$1185,"",AJ1683+AJ1963)</f>
        <v>0</v>
      </c>
      <c r="AK1403" s="123">
        <f>IF(tech_base!$T219&gt;AK$1185,"",AK1683+AK1963)</f>
        <v>0</v>
      </c>
      <c r="AL1403" s="123">
        <f>IF(tech_base!$T219&gt;AL$1185,"",AL1683+AL1963)</f>
        <v>0</v>
      </c>
      <c r="AM1403" s="123">
        <f>IF(tech_base!$T219&gt;AM$1185,"",AM1683+AM1963)</f>
        <v>0</v>
      </c>
      <c r="AN1403" s="123">
        <f>IF(tech_base!$T219&gt;AN$1185,"",AN1683+AN1963)</f>
        <v>0</v>
      </c>
      <c r="AO1403" s="123">
        <f>IF(tech_base!$T219&gt;AO$1185,"",AO1683+AO1963)</f>
        <v>0</v>
      </c>
      <c r="AP1403" s="123">
        <f>IF(tech_base!$T219&gt;AP$1185,"",AP1683+AP1963)</f>
        <v>0</v>
      </c>
      <c r="AQ1403" s="123">
        <f>IF(tech_base!$T219&gt;AQ$1185,"",AQ1683+AQ1963)</f>
        <v>0</v>
      </c>
      <c r="AR1403" s="123">
        <f>IF(tech_base!$T219&gt;AR$1185,"",AR1683+AR1963)</f>
        <v>0</v>
      </c>
      <c r="AS1403" s="123">
        <f>IF(tech_base!$T219&gt;AS$1185,"",AS1683+AS1963)</f>
        <v>0</v>
      </c>
      <c r="AT1403" s="123">
        <f>IF(tech_base!$T219&gt;AT$1185,"",AT1683+AT1963)</f>
        <v>0</v>
      </c>
      <c r="AU1403" s="123">
        <f>IF(tech_base!$T219&gt;AU$1185,"",AU1683+AU1963)</f>
        <v>0</v>
      </c>
      <c r="AV1403" s="123">
        <f>IF(tech_base!$T219&gt;AV$1185,"",AV1683+AV1963)</f>
        <v>0</v>
      </c>
      <c r="AW1403" s="123">
        <f>IF(tech_base!$T219&gt;AW$1185,"",AW1683+AW1963)</f>
        <v>0</v>
      </c>
      <c r="AX1403" s="124">
        <f>IF(tech_base!$T219&gt;AX$1185,"",AX1683+AX1963)</f>
        <v>0</v>
      </c>
    </row>
    <row r="1404" spans="1:50" x14ac:dyDescent="0.25">
      <c r="A1404" s="356"/>
      <c r="B1404" s="376"/>
      <c r="C1404" s="379"/>
      <c r="D1404" s="59" t="s">
        <v>8</v>
      </c>
      <c r="E1404" s="166" t="str">
        <f>A1387&amp;"/"&amp;B1395&amp;"/"&amp;C1403&amp;"/"&amp;D1404</f>
        <v>Biomass and waste fired power plants/Fluidized bed combustion/Electricity only with CCS/M</v>
      </c>
      <c r="F1404" s="79" t="str">
        <f>A1387</f>
        <v>Biomass and waste fired power plants</v>
      </c>
      <c r="G1404" s="79" t="str">
        <f>B1395</f>
        <v>Fluidized bed combustion</v>
      </c>
      <c r="H1404" s="79" t="str">
        <f>C1403</f>
        <v>Electricity only with CCS</v>
      </c>
      <c r="I1404" s="167" t="str">
        <f t="shared" si="375"/>
        <v>M</v>
      </c>
      <c r="J1404" s="125" t="str">
        <f>IF(tech_base!$T220&gt;J$1185,"",J1684+J1964)</f>
        <v/>
      </c>
      <c r="K1404" s="125" t="str">
        <f>IF(tech_base!$T220&gt;K$1185,"",K1684+K1964)</f>
        <v/>
      </c>
      <c r="L1404" s="125" t="str">
        <f>IF(tech_base!$T220&gt;L$1185,"",L1684+L1964)</f>
        <v/>
      </c>
      <c r="M1404" s="125" t="str">
        <f>IF(tech_base!$T220&gt;M$1185,"",M1684+M1964)</f>
        <v/>
      </c>
      <c r="N1404" s="125" t="str">
        <f>IF(tech_base!$T220&gt;N$1185,"",N1684+N1964)</f>
        <v/>
      </c>
      <c r="O1404" s="125" t="str">
        <f>IF(tech_base!$T220&gt;O$1185,"",O1684+O1964)</f>
        <v/>
      </c>
      <c r="P1404" s="125" t="str">
        <f>IF(tech_base!$T220&gt;P$1185,"",P1684+P1964)</f>
        <v/>
      </c>
      <c r="Q1404" s="125" t="str">
        <f>IF(tech_base!$T220&gt;Q$1185,"",Q1684+Q1964)</f>
        <v/>
      </c>
      <c r="R1404" s="125" t="str">
        <f>IF(tech_base!$T220&gt;R$1185,"",R1684+R1964)</f>
        <v/>
      </c>
      <c r="S1404" s="125" t="str">
        <f>IF(tech_base!$T220&gt;S$1185,"",S1684+S1964)</f>
        <v/>
      </c>
      <c r="T1404" s="125" t="str">
        <f>IF(tech_base!$T220&gt;T$1185,"",T1684+T1964)</f>
        <v/>
      </c>
      <c r="U1404" s="125" t="str">
        <f>IF(tech_base!$T220&gt;U$1185,"",U1684+U1964)</f>
        <v/>
      </c>
      <c r="V1404" s="125" t="str">
        <f>IF(tech_base!$T220&gt;V$1185,"",V1684+V1964)</f>
        <v/>
      </c>
      <c r="W1404" s="125" t="str">
        <f>IF(tech_base!$T220&gt;W$1185,"",W1684+W1964)</f>
        <v/>
      </c>
      <c r="X1404" s="125" t="str">
        <f>IF(tech_base!$T220&gt;X$1185,"",X1684+X1964)</f>
        <v/>
      </c>
      <c r="Y1404" s="125" t="str">
        <f>IF(tech_base!$T220&gt;Y$1185,"",Y1684+Y1964)</f>
        <v/>
      </c>
      <c r="Z1404" s="125" t="str">
        <f>IF(tech_base!$T220&gt;Z$1185,"",Z1684+Z1964)</f>
        <v/>
      </c>
      <c r="AA1404" s="125" t="str">
        <f>IF(tech_base!$T220&gt;AA$1185,"",AA1684+AA1964)</f>
        <v/>
      </c>
      <c r="AB1404" s="125" t="str">
        <f>IF(tech_base!$T220&gt;AB$1185,"",AB1684+AB1964)</f>
        <v/>
      </c>
      <c r="AC1404" s="125" t="str">
        <f>IF(tech_base!$T220&gt;AC$1185,"",AC1684+AC1964)</f>
        <v/>
      </c>
      <c r="AD1404" s="125" t="str">
        <f>IF(tech_base!$T220&gt;AD$1185,"",AD1684+AD1964)</f>
        <v/>
      </c>
      <c r="AE1404" s="125">
        <f>IF(tech_base!$T220&gt;AE$1185,"",AE1684+AE1964)</f>
        <v>0</v>
      </c>
      <c r="AF1404" s="125">
        <f>IF(tech_base!$T220&gt;AF$1185,"",AF1684+AF1964)</f>
        <v>0</v>
      </c>
      <c r="AG1404" s="125">
        <f>IF(tech_base!$T220&gt;AG$1185,"",AG1684+AG1964)</f>
        <v>0</v>
      </c>
      <c r="AH1404" s="125">
        <f>IF(tech_base!$T220&gt;AH$1185,"",AH1684+AH1964)</f>
        <v>0</v>
      </c>
      <c r="AI1404" s="125">
        <f>IF(tech_base!$T220&gt;AI$1185,"",AI1684+AI1964)</f>
        <v>0</v>
      </c>
      <c r="AJ1404" s="125">
        <f>IF(tech_base!$T220&gt;AJ$1185,"",AJ1684+AJ1964)</f>
        <v>0</v>
      </c>
      <c r="AK1404" s="125">
        <f>IF(tech_base!$T220&gt;AK$1185,"",AK1684+AK1964)</f>
        <v>0</v>
      </c>
      <c r="AL1404" s="125">
        <f>IF(tech_base!$T220&gt;AL$1185,"",AL1684+AL1964)</f>
        <v>0</v>
      </c>
      <c r="AM1404" s="125">
        <f>IF(tech_base!$T220&gt;AM$1185,"",AM1684+AM1964)</f>
        <v>0</v>
      </c>
      <c r="AN1404" s="125">
        <f>IF(tech_base!$T220&gt;AN$1185,"",AN1684+AN1964)</f>
        <v>0</v>
      </c>
      <c r="AO1404" s="125">
        <f>IF(tech_base!$T220&gt;AO$1185,"",AO1684+AO1964)</f>
        <v>0</v>
      </c>
      <c r="AP1404" s="125">
        <f>IF(tech_base!$T220&gt;AP$1185,"",AP1684+AP1964)</f>
        <v>0</v>
      </c>
      <c r="AQ1404" s="125">
        <f>IF(tech_base!$T220&gt;AQ$1185,"",AQ1684+AQ1964)</f>
        <v>0</v>
      </c>
      <c r="AR1404" s="125">
        <f>IF(tech_base!$T220&gt;AR$1185,"",AR1684+AR1964)</f>
        <v>0</v>
      </c>
      <c r="AS1404" s="125">
        <f>IF(tech_base!$T220&gt;AS$1185,"",AS1684+AS1964)</f>
        <v>0</v>
      </c>
      <c r="AT1404" s="125">
        <f>IF(tech_base!$T220&gt;AT$1185,"",AT1684+AT1964)</f>
        <v>0</v>
      </c>
      <c r="AU1404" s="125">
        <f>IF(tech_base!$T220&gt;AU$1185,"",AU1684+AU1964)</f>
        <v>0</v>
      </c>
      <c r="AV1404" s="125">
        <f>IF(tech_base!$T220&gt;AV$1185,"",AV1684+AV1964)</f>
        <v>0</v>
      </c>
      <c r="AW1404" s="125">
        <f>IF(tech_base!$T220&gt;AW$1185,"",AW1684+AW1964)</f>
        <v>0</v>
      </c>
      <c r="AX1404" s="126">
        <f>IF(tech_base!$T220&gt;AX$1185,"",AX1684+AX1964)</f>
        <v>0</v>
      </c>
    </row>
    <row r="1405" spans="1:50" x14ac:dyDescent="0.25">
      <c r="A1405" s="356"/>
      <c r="B1405" s="376"/>
      <c r="C1405" s="361" t="s">
        <v>16</v>
      </c>
      <c r="D1405" s="2" t="s">
        <v>7</v>
      </c>
      <c r="E1405" s="160" t="str">
        <f>A1387&amp;"/"&amp;B1395&amp;"/"&amp;C1405&amp;"/"&amp;D1405</f>
        <v>Biomass and waste fired power plants/Fluidized bed combustion/CHP with CCS/L</v>
      </c>
      <c r="F1405" s="76" t="str">
        <f>A1387</f>
        <v>Biomass and waste fired power plants</v>
      </c>
      <c r="G1405" s="76" t="str">
        <f>B1395</f>
        <v>Fluidized bed combustion</v>
      </c>
      <c r="H1405" s="76" t="str">
        <f>C1405</f>
        <v>CHP with CCS</v>
      </c>
      <c r="I1405" s="161" t="str">
        <f t="shared" si="375"/>
        <v>L</v>
      </c>
      <c r="J1405" s="119" t="str">
        <f>IF(tech_base!$T221&gt;J$1185,"",J1685+J1965)</f>
        <v/>
      </c>
      <c r="K1405" s="119" t="str">
        <f>IF(tech_base!$T221&gt;K$1185,"",K1685+K1965)</f>
        <v/>
      </c>
      <c r="L1405" s="119" t="str">
        <f>IF(tech_base!$T221&gt;L$1185,"",L1685+L1965)</f>
        <v/>
      </c>
      <c r="M1405" s="119" t="str">
        <f>IF(tech_base!$T221&gt;M$1185,"",M1685+M1965)</f>
        <v/>
      </c>
      <c r="N1405" s="119" t="str">
        <f>IF(tech_base!$T221&gt;N$1185,"",N1685+N1965)</f>
        <v/>
      </c>
      <c r="O1405" s="119" t="str">
        <f>IF(tech_base!$T221&gt;O$1185,"",O1685+O1965)</f>
        <v/>
      </c>
      <c r="P1405" s="119" t="str">
        <f>IF(tech_base!$T221&gt;P$1185,"",P1685+P1965)</f>
        <v/>
      </c>
      <c r="Q1405" s="119" t="str">
        <f>IF(tech_base!$T221&gt;Q$1185,"",Q1685+Q1965)</f>
        <v/>
      </c>
      <c r="R1405" s="119" t="str">
        <f>IF(tech_base!$T221&gt;R$1185,"",R1685+R1965)</f>
        <v/>
      </c>
      <c r="S1405" s="119" t="str">
        <f>IF(tech_base!$T221&gt;S$1185,"",S1685+S1965)</f>
        <v/>
      </c>
      <c r="T1405" s="119" t="str">
        <f>IF(tech_base!$T221&gt;T$1185,"",T1685+T1965)</f>
        <v/>
      </c>
      <c r="U1405" s="119" t="str">
        <f>IF(tech_base!$T221&gt;U$1185,"",U1685+U1965)</f>
        <v/>
      </c>
      <c r="V1405" s="119" t="str">
        <f>IF(tech_base!$T221&gt;V$1185,"",V1685+V1965)</f>
        <v/>
      </c>
      <c r="W1405" s="119" t="str">
        <f>IF(tech_base!$T221&gt;W$1185,"",W1685+W1965)</f>
        <v/>
      </c>
      <c r="X1405" s="119" t="str">
        <f>IF(tech_base!$T221&gt;X$1185,"",X1685+X1965)</f>
        <v/>
      </c>
      <c r="Y1405" s="119" t="str">
        <f>IF(tech_base!$T221&gt;Y$1185,"",Y1685+Y1965)</f>
        <v/>
      </c>
      <c r="Z1405" s="119" t="str">
        <f>IF(tech_base!$T221&gt;Z$1185,"",Z1685+Z1965)</f>
        <v/>
      </c>
      <c r="AA1405" s="119" t="str">
        <f>IF(tech_base!$T221&gt;AA$1185,"",AA1685+AA1965)</f>
        <v/>
      </c>
      <c r="AB1405" s="119" t="str">
        <f>IF(tech_base!$T221&gt;AB$1185,"",AB1685+AB1965)</f>
        <v/>
      </c>
      <c r="AC1405" s="119" t="str">
        <f>IF(tech_base!$T221&gt;AC$1185,"",AC1685+AC1965)</f>
        <v/>
      </c>
      <c r="AD1405" s="119" t="str">
        <f>IF(tech_base!$T221&gt;AD$1185,"",AD1685+AD1965)</f>
        <v/>
      </c>
      <c r="AE1405" s="119">
        <f>IF(tech_base!$T221&gt;AE$1185,"",AE1685+AE1965)</f>
        <v>0</v>
      </c>
      <c r="AF1405" s="119">
        <f>IF(tech_base!$T221&gt;AF$1185,"",AF1685+AF1965)</f>
        <v>0</v>
      </c>
      <c r="AG1405" s="119">
        <f>IF(tech_base!$T221&gt;AG$1185,"",AG1685+AG1965)</f>
        <v>0</v>
      </c>
      <c r="AH1405" s="119">
        <f>IF(tech_base!$T221&gt;AH$1185,"",AH1685+AH1965)</f>
        <v>0</v>
      </c>
      <c r="AI1405" s="119">
        <f>IF(tech_base!$T221&gt;AI$1185,"",AI1685+AI1965)</f>
        <v>0</v>
      </c>
      <c r="AJ1405" s="119">
        <f>IF(tech_base!$T221&gt;AJ$1185,"",AJ1685+AJ1965)</f>
        <v>0</v>
      </c>
      <c r="AK1405" s="119">
        <f>IF(tech_base!$T221&gt;AK$1185,"",AK1685+AK1965)</f>
        <v>0</v>
      </c>
      <c r="AL1405" s="119">
        <f>IF(tech_base!$T221&gt;AL$1185,"",AL1685+AL1965)</f>
        <v>0</v>
      </c>
      <c r="AM1405" s="119">
        <f>IF(tech_base!$T221&gt;AM$1185,"",AM1685+AM1965)</f>
        <v>0</v>
      </c>
      <c r="AN1405" s="119">
        <f>IF(tech_base!$T221&gt;AN$1185,"",AN1685+AN1965)</f>
        <v>0</v>
      </c>
      <c r="AO1405" s="119">
        <f>IF(tech_base!$T221&gt;AO$1185,"",AO1685+AO1965)</f>
        <v>0</v>
      </c>
      <c r="AP1405" s="119">
        <f>IF(tech_base!$T221&gt;AP$1185,"",AP1685+AP1965)</f>
        <v>0</v>
      </c>
      <c r="AQ1405" s="119">
        <f>IF(tech_base!$T221&gt;AQ$1185,"",AQ1685+AQ1965)</f>
        <v>0</v>
      </c>
      <c r="AR1405" s="119">
        <f>IF(tech_base!$T221&gt;AR$1185,"",AR1685+AR1965)</f>
        <v>0</v>
      </c>
      <c r="AS1405" s="119">
        <f>IF(tech_base!$T221&gt;AS$1185,"",AS1685+AS1965)</f>
        <v>0</v>
      </c>
      <c r="AT1405" s="119">
        <f>IF(tech_base!$T221&gt;AT$1185,"",AT1685+AT1965)</f>
        <v>0</v>
      </c>
      <c r="AU1405" s="119">
        <f>IF(tech_base!$T221&gt;AU$1185,"",AU1685+AU1965)</f>
        <v>0</v>
      </c>
      <c r="AV1405" s="119">
        <f>IF(tech_base!$T221&gt;AV$1185,"",AV1685+AV1965)</f>
        <v>0</v>
      </c>
      <c r="AW1405" s="119">
        <f>IF(tech_base!$T221&gt;AW$1185,"",AW1685+AW1965)</f>
        <v>0</v>
      </c>
      <c r="AX1405" s="120">
        <f>IF(tech_base!$T221&gt;AX$1185,"",AX1685+AX1965)</f>
        <v>0</v>
      </c>
    </row>
    <row r="1406" spans="1:50" x14ac:dyDescent="0.25">
      <c r="A1406" s="356"/>
      <c r="B1406" s="380"/>
      <c r="C1406" s="381"/>
      <c r="D1406" s="4" t="s">
        <v>8</v>
      </c>
      <c r="E1406" s="168" t="str">
        <f>A1387&amp;"/"&amp;B1395&amp;"/"&amp;C1405&amp;"/"&amp;D1406</f>
        <v>Biomass and waste fired power plants/Fluidized bed combustion/CHP with CCS/M</v>
      </c>
      <c r="F1406" s="80" t="str">
        <f>A1387</f>
        <v>Biomass and waste fired power plants</v>
      </c>
      <c r="G1406" s="80" t="str">
        <f>B1395</f>
        <v>Fluidized bed combustion</v>
      </c>
      <c r="H1406" s="80" t="str">
        <f>C1405</f>
        <v>CHP with CCS</v>
      </c>
      <c r="I1406" s="169" t="str">
        <f t="shared" si="375"/>
        <v>M</v>
      </c>
      <c r="J1406" s="127" t="str">
        <f>IF(tech_base!$T222&gt;J$1185,"",J1686+J1966)</f>
        <v/>
      </c>
      <c r="K1406" s="127" t="str">
        <f>IF(tech_base!$T222&gt;K$1185,"",K1686+K1966)</f>
        <v/>
      </c>
      <c r="L1406" s="127" t="str">
        <f>IF(tech_base!$T222&gt;L$1185,"",L1686+L1966)</f>
        <v/>
      </c>
      <c r="M1406" s="127" t="str">
        <f>IF(tech_base!$T222&gt;M$1185,"",M1686+M1966)</f>
        <v/>
      </c>
      <c r="N1406" s="127" t="str">
        <f>IF(tech_base!$T222&gt;N$1185,"",N1686+N1966)</f>
        <v/>
      </c>
      <c r="O1406" s="127" t="str">
        <f>IF(tech_base!$T222&gt;O$1185,"",O1686+O1966)</f>
        <v/>
      </c>
      <c r="P1406" s="127" t="str">
        <f>IF(tech_base!$T222&gt;P$1185,"",P1686+P1966)</f>
        <v/>
      </c>
      <c r="Q1406" s="127" t="str">
        <f>IF(tech_base!$T222&gt;Q$1185,"",Q1686+Q1966)</f>
        <v/>
      </c>
      <c r="R1406" s="127" t="str">
        <f>IF(tech_base!$T222&gt;R$1185,"",R1686+R1966)</f>
        <v/>
      </c>
      <c r="S1406" s="127" t="str">
        <f>IF(tech_base!$T222&gt;S$1185,"",S1686+S1966)</f>
        <v/>
      </c>
      <c r="T1406" s="127" t="str">
        <f>IF(tech_base!$T222&gt;T$1185,"",T1686+T1966)</f>
        <v/>
      </c>
      <c r="U1406" s="127" t="str">
        <f>IF(tech_base!$T222&gt;U$1185,"",U1686+U1966)</f>
        <v/>
      </c>
      <c r="V1406" s="127" t="str">
        <f>IF(tech_base!$T222&gt;V$1185,"",V1686+V1966)</f>
        <v/>
      </c>
      <c r="W1406" s="127" t="str">
        <f>IF(tech_base!$T222&gt;W$1185,"",W1686+W1966)</f>
        <v/>
      </c>
      <c r="X1406" s="127" t="str">
        <f>IF(tech_base!$T222&gt;X$1185,"",X1686+X1966)</f>
        <v/>
      </c>
      <c r="Y1406" s="127" t="str">
        <f>IF(tech_base!$T222&gt;Y$1185,"",Y1686+Y1966)</f>
        <v/>
      </c>
      <c r="Z1406" s="127" t="str">
        <f>IF(tech_base!$T222&gt;Z$1185,"",Z1686+Z1966)</f>
        <v/>
      </c>
      <c r="AA1406" s="127" t="str">
        <f>IF(tech_base!$T222&gt;AA$1185,"",AA1686+AA1966)</f>
        <v/>
      </c>
      <c r="AB1406" s="127" t="str">
        <f>IF(tech_base!$T222&gt;AB$1185,"",AB1686+AB1966)</f>
        <v/>
      </c>
      <c r="AC1406" s="127" t="str">
        <f>IF(tech_base!$T222&gt;AC$1185,"",AC1686+AC1966)</f>
        <v/>
      </c>
      <c r="AD1406" s="127" t="str">
        <f>IF(tech_base!$T222&gt;AD$1185,"",AD1686+AD1966)</f>
        <v/>
      </c>
      <c r="AE1406" s="127">
        <f>IF(tech_base!$T222&gt;AE$1185,"",AE1686+AE1966)</f>
        <v>0</v>
      </c>
      <c r="AF1406" s="127">
        <f>IF(tech_base!$T222&gt;AF$1185,"",AF1686+AF1966)</f>
        <v>0</v>
      </c>
      <c r="AG1406" s="127">
        <f>IF(tech_base!$T222&gt;AG$1185,"",AG1686+AG1966)</f>
        <v>0</v>
      </c>
      <c r="AH1406" s="127">
        <f>IF(tech_base!$T222&gt;AH$1185,"",AH1686+AH1966)</f>
        <v>0</v>
      </c>
      <c r="AI1406" s="127">
        <f>IF(tech_base!$T222&gt;AI$1185,"",AI1686+AI1966)</f>
        <v>0</v>
      </c>
      <c r="AJ1406" s="127">
        <f>IF(tech_base!$T222&gt;AJ$1185,"",AJ1686+AJ1966)</f>
        <v>0</v>
      </c>
      <c r="AK1406" s="127">
        <f>IF(tech_base!$T222&gt;AK$1185,"",AK1686+AK1966)</f>
        <v>0</v>
      </c>
      <c r="AL1406" s="127">
        <f>IF(tech_base!$T222&gt;AL$1185,"",AL1686+AL1966)</f>
        <v>0</v>
      </c>
      <c r="AM1406" s="127">
        <f>IF(tech_base!$T222&gt;AM$1185,"",AM1686+AM1966)</f>
        <v>0</v>
      </c>
      <c r="AN1406" s="127">
        <f>IF(tech_base!$T222&gt;AN$1185,"",AN1686+AN1966)</f>
        <v>0</v>
      </c>
      <c r="AO1406" s="127">
        <f>IF(tech_base!$T222&gt;AO$1185,"",AO1686+AO1966)</f>
        <v>0</v>
      </c>
      <c r="AP1406" s="127">
        <f>IF(tech_base!$T222&gt;AP$1185,"",AP1686+AP1966)</f>
        <v>0</v>
      </c>
      <c r="AQ1406" s="127">
        <f>IF(tech_base!$T222&gt;AQ$1185,"",AQ1686+AQ1966)</f>
        <v>0</v>
      </c>
      <c r="AR1406" s="127">
        <f>IF(tech_base!$T222&gt;AR$1185,"",AR1686+AR1966)</f>
        <v>0</v>
      </c>
      <c r="AS1406" s="127">
        <f>IF(tech_base!$T222&gt;AS$1185,"",AS1686+AS1966)</f>
        <v>0</v>
      </c>
      <c r="AT1406" s="127">
        <f>IF(tech_base!$T222&gt;AT$1185,"",AT1686+AT1966)</f>
        <v>0</v>
      </c>
      <c r="AU1406" s="127">
        <f>IF(tech_base!$T222&gt;AU$1185,"",AU1686+AU1966)</f>
        <v>0</v>
      </c>
      <c r="AV1406" s="127">
        <f>IF(tech_base!$T222&gt;AV$1185,"",AV1686+AV1966)</f>
        <v>0</v>
      </c>
      <c r="AW1406" s="127">
        <f>IF(tech_base!$T222&gt;AW$1185,"",AW1686+AW1966)</f>
        <v>0</v>
      </c>
      <c r="AX1406" s="128">
        <f>IF(tech_base!$T222&gt;AX$1185,"",AX1686+AX1966)</f>
        <v>0</v>
      </c>
    </row>
    <row r="1407" spans="1:50" x14ac:dyDescent="0.25">
      <c r="A1407" s="356"/>
      <c r="B1407" s="358" t="s">
        <v>19</v>
      </c>
      <c r="C1407" s="353" t="s">
        <v>6</v>
      </c>
      <c r="D1407" s="3" t="s">
        <v>7</v>
      </c>
      <c r="E1407" s="162" t="str">
        <f>A1387&amp;"/"&amp;B1407&amp;"/"&amp;C1407&amp;"/"&amp;D1407</f>
        <v>Biomass and waste fired power plants/Steam turbine/Electricity only/L</v>
      </c>
      <c r="F1407" s="77" t="str">
        <f>A1387</f>
        <v>Biomass and waste fired power plants</v>
      </c>
      <c r="G1407" s="77" t="str">
        <f>B1407</f>
        <v>Steam turbine</v>
      </c>
      <c r="H1407" s="77" t="str">
        <f>C1407</f>
        <v>Electricity only</v>
      </c>
      <c r="I1407" s="163" t="str">
        <f t="shared" si="375"/>
        <v>L</v>
      </c>
      <c r="J1407" s="121">
        <f>IF(tech_base!$T223&gt;J$1185,"",J1687+J1967)</f>
        <v>0</v>
      </c>
      <c r="K1407" s="121">
        <f>IF(tech_base!$T223&gt;K$1185,"",K1687+K1967)</f>
        <v>0</v>
      </c>
      <c r="L1407" s="121">
        <f>IF(tech_base!$T223&gt;L$1185,"",L1687+L1967)</f>
        <v>0</v>
      </c>
      <c r="M1407" s="121">
        <f>IF(tech_base!$T223&gt;M$1185,"",M1687+M1967)</f>
        <v>0</v>
      </c>
      <c r="N1407" s="121">
        <f>IF(tech_base!$T223&gt;N$1185,"",N1687+N1967)</f>
        <v>0</v>
      </c>
      <c r="O1407" s="121">
        <f>IF(tech_base!$T223&gt;O$1185,"",O1687+O1967)</f>
        <v>0</v>
      </c>
      <c r="P1407" s="121">
        <f>IF(tech_base!$T223&gt;P$1185,"",P1687+P1967)</f>
        <v>0</v>
      </c>
      <c r="Q1407" s="121">
        <f>IF(tech_base!$T223&gt;Q$1185,"",Q1687+Q1967)</f>
        <v>0</v>
      </c>
      <c r="R1407" s="121">
        <f>IF(tech_base!$T223&gt;R$1185,"",R1687+R1967)</f>
        <v>0</v>
      </c>
      <c r="S1407" s="121">
        <f>IF(tech_base!$T223&gt;S$1185,"",S1687+S1967)</f>
        <v>0</v>
      </c>
      <c r="T1407" s="121">
        <f>IF(tech_base!$T223&gt;T$1185,"",T1687+T1967)</f>
        <v>0</v>
      </c>
      <c r="U1407" s="121">
        <f>IF(tech_base!$T223&gt;U$1185,"",U1687+U1967)</f>
        <v>0</v>
      </c>
      <c r="V1407" s="121">
        <f>IF(tech_base!$T223&gt;V$1185,"",V1687+V1967)</f>
        <v>0</v>
      </c>
      <c r="W1407" s="121">
        <f>IF(tech_base!$T223&gt;W$1185,"",W1687+W1967)</f>
        <v>0</v>
      </c>
      <c r="X1407" s="121">
        <f>IF(tech_base!$T223&gt;X$1185,"",X1687+X1967)</f>
        <v>0</v>
      </c>
      <c r="Y1407" s="121">
        <f>IF(tech_base!$T223&gt;Y$1185,"",Y1687+Y1967)</f>
        <v>0</v>
      </c>
      <c r="Z1407" s="121">
        <f>IF(tech_base!$T223&gt;Z$1185,"",Z1687+Z1967)</f>
        <v>0</v>
      </c>
      <c r="AA1407" s="121">
        <f>IF(tech_base!$T223&gt;AA$1185,"",AA1687+AA1967)</f>
        <v>0</v>
      </c>
      <c r="AB1407" s="121">
        <f>IF(tech_base!$T223&gt;AB$1185,"",AB1687+AB1967)</f>
        <v>0</v>
      </c>
      <c r="AC1407" s="121">
        <f>IF(tech_base!$T223&gt;AC$1185,"",AC1687+AC1967)</f>
        <v>0</v>
      </c>
      <c r="AD1407" s="121">
        <f>IF(tech_base!$T223&gt;AD$1185,"",AD1687+AD1967)</f>
        <v>0</v>
      </c>
      <c r="AE1407" s="121">
        <f>IF(tech_base!$T223&gt;AE$1185,"",AE1687+AE1967)</f>
        <v>0</v>
      </c>
      <c r="AF1407" s="121">
        <f>IF(tech_base!$T223&gt;AF$1185,"",AF1687+AF1967)</f>
        <v>0</v>
      </c>
      <c r="AG1407" s="121">
        <f>IF(tech_base!$T223&gt;AG$1185,"",AG1687+AG1967)</f>
        <v>0</v>
      </c>
      <c r="AH1407" s="121">
        <f>IF(tech_base!$T223&gt;AH$1185,"",AH1687+AH1967)</f>
        <v>0</v>
      </c>
      <c r="AI1407" s="121">
        <f>IF(tech_base!$T223&gt;AI$1185,"",AI1687+AI1967)</f>
        <v>0</v>
      </c>
      <c r="AJ1407" s="121">
        <f>IF(tech_base!$T223&gt;AJ$1185,"",AJ1687+AJ1967)</f>
        <v>0</v>
      </c>
      <c r="AK1407" s="121">
        <f>IF(tech_base!$T223&gt;AK$1185,"",AK1687+AK1967)</f>
        <v>0</v>
      </c>
      <c r="AL1407" s="121">
        <f>IF(tech_base!$T223&gt;AL$1185,"",AL1687+AL1967)</f>
        <v>0</v>
      </c>
      <c r="AM1407" s="121">
        <f>IF(tech_base!$T223&gt;AM$1185,"",AM1687+AM1967)</f>
        <v>0</v>
      </c>
      <c r="AN1407" s="121">
        <f>IF(tech_base!$T223&gt;AN$1185,"",AN1687+AN1967)</f>
        <v>0</v>
      </c>
      <c r="AO1407" s="121">
        <f>IF(tech_base!$T223&gt;AO$1185,"",AO1687+AO1967)</f>
        <v>0</v>
      </c>
      <c r="AP1407" s="121">
        <f>IF(tech_base!$T223&gt;AP$1185,"",AP1687+AP1967)</f>
        <v>0</v>
      </c>
      <c r="AQ1407" s="121">
        <f>IF(tech_base!$T223&gt;AQ$1185,"",AQ1687+AQ1967)</f>
        <v>0</v>
      </c>
      <c r="AR1407" s="121">
        <f>IF(tech_base!$T223&gt;AR$1185,"",AR1687+AR1967)</f>
        <v>0</v>
      </c>
      <c r="AS1407" s="121">
        <f>IF(tech_base!$T223&gt;AS$1185,"",AS1687+AS1967)</f>
        <v>0</v>
      </c>
      <c r="AT1407" s="121">
        <f>IF(tech_base!$T223&gt;AT$1185,"",AT1687+AT1967)</f>
        <v>0</v>
      </c>
      <c r="AU1407" s="121">
        <f>IF(tech_base!$T223&gt;AU$1185,"",AU1687+AU1967)</f>
        <v>0</v>
      </c>
      <c r="AV1407" s="121">
        <f>IF(tech_base!$T223&gt;AV$1185,"",AV1687+AV1967)</f>
        <v>0</v>
      </c>
      <c r="AW1407" s="121">
        <f>IF(tech_base!$T223&gt;AW$1185,"",AW1687+AW1967)</f>
        <v>0</v>
      </c>
      <c r="AX1407" s="122">
        <f>IF(tech_base!$T223&gt;AX$1185,"",AX1687+AX1967)</f>
        <v>0</v>
      </c>
    </row>
    <row r="1408" spans="1:50" x14ac:dyDescent="0.25">
      <c r="A1408" s="356"/>
      <c r="B1408" s="376"/>
      <c r="C1408" s="378"/>
      <c r="D1408" s="2" t="s">
        <v>8</v>
      </c>
      <c r="E1408" s="160" t="str">
        <f>A1387&amp;"/"&amp;B1407&amp;"/"&amp;C1407&amp;"/"&amp;D1408</f>
        <v>Biomass and waste fired power plants/Steam turbine/Electricity only/M</v>
      </c>
      <c r="F1408" s="76" t="str">
        <f>A1387</f>
        <v>Biomass and waste fired power plants</v>
      </c>
      <c r="G1408" s="76" t="str">
        <f>B1407</f>
        <v>Steam turbine</v>
      </c>
      <c r="H1408" s="76" t="str">
        <f>C1407</f>
        <v>Electricity only</v>
      </c>
      <c r="I1408" s="161" t="str">
        <f t="shared" si="375"/>
        <v>M</v>
      </c>
      <c r="J1408" s="119">
        <f>IF(tech_base!$T224&gt;J$1185,"",J1688+J1968)</f>
        <v>0</v>
      </c>
      <c r="K1408" s="119">
        <f>IF(tech_base!$T224&gt;K$1185,"",K1688+K1968)</f>
        <v>0</v>
      </c>
      <c r="L1408" s="119">
        <f>IF(tech_base!$T224&gt;L$1185,"",L1688+L1968)</f>
        <v>0</v>
      </c>
      <c r="M1408" s="119">
        <f>IF(tech_base!$T224&gt;M$1185,"",M1688+M1968)</f>
        <v>0</v>
      </c>
      <c r="N1408" s="119">
        <f>IF(tech_base!$T224&gt;N$1185,"",N1688+N1968)</f>
        <v>0</v>
      </c>
      <c r="O1408" s="119">
        <f>IF(tech_base!$T224&gt;O$1185,"",O1688+O1968)</f>
        <v>0</v>
      </c>
      <c r="P1408" s="119">
        <f>IF(tech_base!$T224&gt;P$1185,"",P1688+P1968)</f>
        <v>0</v>
      </c>
      <c r="Q1408" s="119">
        <f>IF(tech_base!$T224&gt;Q$1185,"",Q1688+Q1968)</f>
        <v>0</v>
      </c>
      <c r="R1408" s="119">
        <f>IF(tech_base!$T224&gt;R$1185,"",R1688+R1968)</f>
        <v>0</v>
      </c>
      <c r="S1408" s="119">
        <f>IF(tech_base!$T224&gt;S$1185,"",S1688+S1968)</f>
        <v>0</v>
      </c>
      <c r="T1408" s="119">
        <f>IF(tech_base!$T224&gt;T$1185,"",T1688+T1968)</f>
        <v>0</v>
      </c>
      <c r="U1408" s="119">
        <f>IF(tech_base!$T224&gt;U$1185,"",U1688+U1968)</f>
        <v>0</v>
      </c>
      <c r="V1408" s="119">
        <f>IF(tech_base!$T224&gt;V$1185,"",V1688+V1968)</f>
        <v>0</v>
      </c>
      <c r="W1408" s="119">
        <f>IF(tech_base!$T224&gt;W$1185,"",W1688+W1968)</f>
        <v>0</v>
      </c>
      <c r="X1408" s="119">
        <f>IF(tech_base!$T224&gt;X$1185,"",X1688+X1968)</f>
        <v>0</v>
      </c>
      <c r="Y1408" s="119">
        <f>IF(tech_base!$T224&gt;Y$1185,"",Y1688+Y1968)</f>
        <v>0</v>
      </c>
      <c r="Z1408" s="119">
        <f>IF(tech_base!$T224&gt;Z$1185,"",Z1688+Z1968)</f>
        <v>0</v>
      </c>
      <c r="AA1408" s="119">
        <f>IF(tech_base!$T224&gt;AA$1185,"",AA1688+AA1968)</f>
        <v>0</v>
      </c>
      <c r="AB1408" s="119">
        <f>IF(tech_base!$T224&gt;AB$1185,"",AB1688+AB1968)</f>
        <v>0</v>
      </c>
      <c r="AC1408" s="119">
        <f>IF(tech_base!$T224&gt;AC$1185,"",AC1688+AC1968)</f>
        <v>0</v>
      </c>
      <c r="AD1408" s="119">
        <f>IF(tech_base!$T224&gt;AD$1185,"",AD1688+AD1968)</f>
        <v>0</v>
      </c>
      <c r="AE1408" s="119">
        <f>IF(tech_base!$T224&gt;AE$1185,"",AE1688+AE1968)</f>
        <v>0</v>
      </c>
      <c r="AF1408" s="119">
        <f>IF(tech_base!$T224&gt;AF$1185,"",AF1688+AF1968)</f>
        <v>0</v>
      </c>
      <c r="AG1408" s="119">
        <f>IF(tech_base!$T224&gt;AG$1185,"",AG1688+AG1968)</f>
        <v>0</v>
      </c>
      <c r="AH1408" s="119">
        <f>IF(tech_base!$T224&gt;AH$1185,"",AH1688+AH1968)</f>
        <v>0</v>
      </c>
      <c r="AI1408" s="119">
        <f>IF(tech_base!$T224&gt;AI$1185,"",AI1688+AI1968)</f>
        <v>0</v>
      </c>
      <c r="AJ1408" s="119">
        <f>IF(tech_base!$T224&gt;AJ$1185,"",AJ1688+AJ1968)</f>
        <v>0</v>
      </c>
      <c r="AK1408" s="119">
        <f>IF(tech_base!$T224&gt;AK$1185,"",AK1688+AK1968)</f>
        <v>0</v>
      </c>
      <c r="AL1408" s="119">
        <f>IF(tech_base!$T224&gt;AL$1185,"",AL1688+AL1968)</f>
        <v>0</v>
      </c>
      <c r="AM1408" s="119">
        <f>IF(tech_base!$T224&gt;AM$1185,"",AM1688+AM1968)</f>
        <v>0</v>
      </c>
      <c r="AN1408" s="119">
        <f>IF(tech_base!$T224&gt;AN$1185,"",AN1688+AN1968)</f>
        <v>0</v>
      </c>
      <c r="AO1408" s="119">
        <f>IF(tech_base!$T224&gt;AO$1185,"",AO1688+AO1968)</f>
        <v>0</v>
      </c>
      <c r="AP1408" s="119">
        <f>IF(tech_base!$T224&gt;AP$1185,"",AP1688+AP1968)</f>
        <v>0</v>
      </c>
      <c r="AQ1408" s="119">
        <f>IF(tech_base!$T224&gt;AQ$1185,"",AQ1688+AQ1968)</f>
        <v>0</v>
      </c>
      <c r="AR1408" s="119">
        <f>IF(tech_base!$T224&gt;AR$1185,"",AR1688+AR1968)</f>
        <v>0</v>
      </c>
      <c r="AS1408" s="119">
        <f>IF(tech_base!$T224&gt;AS$1185,"",AS1688+AS1968)</f>
        <v>0</v>
      </c>
      <c r="AT1408" s="119">
        <f>IF(tech_base!$T224&gt;AT$1185,"",AT1688+AT1968)</f>
        <v>0</v>
      </c>
      <c r="AU1408" s="119">
        <f>IF(tech_base!$T224&gt;AU$1185,"",AU1688+AU1968)</f>
        <v>0</v>
      </c>
      <c r="AV1408" s="119">
        <f>IF(tech_base!$T224&gt;AV$1185,"",AV1688+AV1968)</f>
        <v>0</v>
      </c>
      <c r="AW1408" s="119">
        <f>IF(tech_base!$T224&gt;AW$1185,"",AW1688+AW1968)</f>
        <v>0</v>
      </c>
      <c r="AX1408" s="120">
        <f>IF(tech_base!$T224&gt;AX$1185,"",AX1688+AX1968)</f>
        <v>0</v>
      </c>
    </row>
    <row r="1409" spans="1:50" x14ac:dyDescent="0.25">
      <c r="A1409" s="356"/>
      <c r="B1409" s="376"/>
      <c r="C1409" s="378"/>
      <c r="D1409" s="2" t="s">
        <v>10</v>
      </c>
      <c r="E1409" s="160" t="str">
        <f>A1387&amp;"/"&amp;B1407&amp;"/"&amp;C1407&amp;"/"&amp;D1409</f>
        <v>Biomass and waste fired power plants/Steam turbine/Electricity only/S</v>
      </c>
      <c r="F1409" s="76" t="str">
        <f>A1387</f>
        <v>Biomass and waste fired power plants</v>
      </c>
      <c r="G1409" s="76" t="str">
        <f>B1407</f>
        <v>Steam turbine</v>
      </c>
      <c r="H1409" s="76" t="str">
        <f>C1407</f>
        <v>Electricity only</v>
      </c>
      <c r="I1409" s="161" t="str">
        <f t="shared" si="375"/>
        <v>S</v>
      </c>
      <c r="J1409" s="119">
        <f>IF(tech_base!$T225&gt;J$1185,"",J1689+J1969)</f>
        <v>0</v>
      </c>
      <c r="K1409" s="119">
        <f>IF(tech_base!$T225&gt;K$1185,"",K1689+K1969)</f>
        <v>0</v>
      </c>
      <c r="L1409" s="119">
        <f>IF(tech_base!$T225&gt;L$1185,"",L1689+L1969)</f>
        <v>0</v>
      </c>
      <c r="M1409" s="119">
        <f>IF(tech_base!$T225&gt;M$1185,"",M1689+M1969)</f>
        <v>0</v>
      </c>
      <c r="N1409" s="119">
        <f>IF(tech_base!$T225&gt;N$1185,"",N1689+N1969)</f>
        <v>0</v>
      </c>
      <c r="O1409" s="119">
        <f>IF(tech_base!$T225&gt;O$1185,"",O1689+O1969)</f>
        <v>0</v>
      </c>
      <c r="P1409" s="119">
        <f>IF(tech_base!$T225&gt;P$1185,"",P1689+P1969)</f>
        <v>0</v>
      </c>
      <c r="Q1409" s="119">
        <f>IF(tech_base!$T225&gt;Q$1185,"",Q1689+Q1969)</f>
        <v>0</v>
      </c>
      <c r="R1409" s="119">
        <f>IF(tech_base!$T225&gt;R$1185,"",R1689+R1969)</f>
        <v>0</v>
      </c>
      <c r="S1409" s="119">
        <f>IF(tech_base!$T225&gt;S$1185,"",S1689+S1969)</f>
        <v>0</v>
      </c>
      <c r="T1409" s="119">
        <f>IF(tech_base!$T225&gt;T$1185,"",T1689+T1969)</f>
        <v>0</v>
      </c>
      <c r="U1409" s="119">
        <f>IF(tech_base!$T225&gt;U$1185,"",U1689+U1969)</f>
        <v>0</v>
      </c>
      <c r="V1409" s="119">
        <f>IF(tech_base!$T225&gt;V$1185,"",V1689+V1969)</f>
        <v>0</v>
      </c>
      <c r="W1409" s="119">
        <f>IF(tech_base!$T225&gt;W$1185,"",W1689+W1969)</f>
        <v>0</v>
      </c>
      <c r="X1409" s="119">
        <f>IF(tech_base!$T225&gt;X$1185,"",X1689+X1969)</f>
        <v>0</v>
      </c>
      <c r="Y1409" s="119">
        <f>IF(tech_base!$T225&gt;Y$1185,"",Y1689+Y1969)</f>
        <v>0</v>
      </c>
      <c r="Z1409" s="119">
        <f>IF(tech_base!$T225&gt;Z$1185,"",Z1689+Z1969)</f>
        <v>0</v>
      </c>
      <c r="AA1409" s="119">
        <f>IF(tech_base!$T225&gt;AA$1185,"",AA1689+AA1969)</f>
        <v>0</v>
      </c>
      <c r="AB1409" s="119">
        <f>IF(tech_base!$T225&gt;AB$1185,"",AB1689+AB1969)</f>
        <v>0</v>
      </c>
      <c r="AC1409" s="119">
        <f>IF(tech_base!$T225&gt;AC$1185,"",AC1689+AC1969)</f>
        <v>0</v>
      </c>
      <c r="AD1409" s="119">
        <f>IF(tech_base!$T225&gt;AD$1185,"",AD1689+AD1969)</f>
        <v>0</v>
      </c>
      <c r="AE1409" s="119">
        <f>IF(tech_base!$T225&gt;AE$1185,"",AE1689+AE1969)</f>
        <v>0</v>
      </c>
      <c r="AF1409" s="119">
        <f>IF(tech_base!$T225&gt;AF$1185,"",AF1689+AF1969)</f>
        <v>0</v>
      </c>
      <c r="AG1409" s="119">
        <f>IF(tech_base!$T225&gt;AG$1185,"",AG1689+AG1969)</f>
        <v>0</v>
      </c>
      <c r="AH1409" s="119">
        <f>IF(tech_base!$T225&gt;AH$1185,"",AH1689+AH1969)</f>
        <v>0</v>
      </c>
      <c r="AI1409" s="119">
        <f>IF(tech_base!$T225&gt;AI$1185,"",AI1689+AI1969)</f>
        <v>0</v>
      </c>
      <c r="AJ1409" s="119">
        <f>IF(tech_base!$T225&gt;AJ$1185,"",AJ1689+AJ1969)</f>
        <v>0</v>
      </c>
      <c r="AK1409" s="119">
        <f>IF(tech_base!$T225&gt;AK$1185,"",AK1689+AK1969)</f>
        <v>0</v>
      </c>
      <c r="AL1409" s="119">
        <f>IF(tech_base!$T225&gt;AL$1185,"",AL1689+AL1969)</f>
        <v>0</v>
      </c>
      <c r="AM1409" s="119">
        <f>IF(tech_base!$T225&gt;AM$1185,"",AM1689+AM1969)</f>
        <v>0</v>
      </c>
      <c r="AN1409" s="119">
        <f>IF(tech_base!$T225&gt;AN$1185,"",AN1689+AN1969)</f>
        <v>0</v>
      </c>
      <c r="AO1409" s="119">
        <f>IF(tech_base!$T225&gt;AO$1185,"",AO1689+AO1969)</f>
        <v>0</v>
      </c>
      <c r="AP1409" s="119">
        <f>IF(tech_base!$T225&gt;AP$1185,"",AP1689+AP1969)</f>
        <v>0</v>
      </c>
      <c r="AQ1409" s="119">
        <f>IF(tech_base!$T225&gt;AQ$1185,"",AQ1689+AQ1969)</f>
        <v>0</v>
      </c>
      <c r="AR1409" s="119">
        <f>IF(tech_base!$T225&gt;AR$1185,"",AR1689+AR1969)</f>
        <v>0</v>
      </c>
      <c r="AS1409" s="119">
        <f>IF(tech_base!$T225&gt;AS$1185,"",AS1689+AS1969)</f>
        <v>0</v>
      </c>
      <c r="AT1409" s="119">
        <f>IF(tech_base!$T225&gt;AT$1185,"",AT1689+AT1969)</f>
        <v>0</v>
      </c>
      <c r="AU1409" s="119">
        <f>IF(tech_base!$T225&gt;AU$1185,"",AU1689+AU1969)</f>
        <v>0</v>
      </c>
      <c r="AV1409" s="119">
        <f>IF(tech_base!$T225&gt;AV$1185,"",AV1689+AV1969)</f>
        <v>0</v>
      </c>
      <c r="AW1409" s="119">
        <f>IF(tech_base!$T225&gt;AW$1185,"",AW1689+AW1969)</f>
        <v>0</v>
      </c>
      <c r="AX1409" s="120">
        <f>IF(tech_base!$T225&gt;AX$1185,"",AX1689+AX1969)</f>
        <v>0</v>
      </c>
    </row>
    <row r="1410" spans="1:50" x14ac:dyDescent="0.25">
      <c r="A1410" s="356"/>
      <c r="B1410" s="376"/>
      <c r="C1410" s="379"/>
      <c r="D1410" s="2" t="s">
        <v>20</v>
      </c>
      <c r="E1410" s="160" t="str">
        <f>A1387&amp;"/"&amp;B1407&amp;"/"&amp;C1407&amp;"/"&amp;D1410</f>
        <v>Biomass and waste fired power plants/Steam turbine/Electricity only/XS</v>
      </c>
      <c r="F1410" s="76" t="str">
        <f>A1387</f>
        <v>Biomass and waste fired power plants</v>
      </c>
      <c r="G1410" s="76" t="str">
        <f>B1407</f>
        <v>Steam turbine</v>
      </c>
      <c r="H1410" s="76" t="str">
        <f>C1407</f>
        <v>Electricity only</v>
      </c>
      <c r="I1410" s="161" t="str">
        <f t="shared" si="375"/>
        <v>XS</v>
      </c>
      <c r="J1410" s="119">
        <f>IF(tech_base!$T226&gt;J$1185,"",J1690+J1970)</f>
        <v>0</v>
      </c>
      <c r="K1410" s="119">
        <f>IF(tech_base!$T226&gt;K$1185,"",K1690+K1970)</f>
        <v>0</v>
      </c>
      <c r="L1410" s="119">
        <f>IF(tech_base!$T226&gt;L$1185,"",L1690+L1970)</f>
        <v>0</v>
      </c>
      <c r="M1410" s="119">
        <f>IF(tech_base!$T226&gt;M$1185,"",M1690+M1970)</f>
        <v>0</v>
      </c>
      <c r="N1410" s="119">
        <f>IF(tech_base!$T226&gt;N$1185,"",N1690+N1970)</f>
        <v>0</v>
      </c>
      <c r="O1410" s="119">
        <f>IF(tech_base!$T226&gt;O$1185,"",O1690+O1970)</f>
        <v>0</v>
      </c>
      <c r="P1410" s="119">
        <f>IF(tech_base!$T226&gt;P$1185,"",P1690+P1970)</f>
        <v>0</v>
      </c>
      <c r="Q1410" s="119">
        <f>IF(tech_base!$T226&gt;Q$1185,"",Q1690+Q1970)</f>
        <v>0</v>
      </c>
      <c r="R1410" s="119">
        <f>IF(tech_base!$T226&gt;R$1185,"",R1690+R1970)</f>
        <v>0</v>
      </c>
      <c r="S1410" s="119">
        <f>IF(tech_base!$T226&gt;S$1185,"",S1690+S1970)</f>
        <v>0</v>
      </c>
      <c r="T1410" s="119">
        <f>IF(tech_base!$T226&gt;T$1185,"",T1690+T1970)</f>
        <v>0</v>
      </c>
      <c r="U1410" s="119">
        <f>IF(tech_base!$T226&gt;U$1185,"",U1690+U1970)</f>
        <v>0</v>
      </c>
      <c r="V1410" s="119">
        <f>IF(tech_base!$T226&gt;V$1185,"",V1690+V1970)</f>
        <v>0</v>
      </c>
      <c r="W1410" s="119">
        <f>IF(tech_base!$T226&gt;W$1185,"",W1690+W1970)</f>
        <v>0</v>
      </c>
      <c r="X1410" s="119">
        <f>IF(tech_base!$T226&gt;X$1185,"",X1690+X1970)</f>
        <v>0</v>
      </c>
      <c r="Y1410" s="119">
        <f>IF(tech_base!$T226&gt;Y$1185,"",Y1690+Y1970)</f>
        <v>0</v>
      </c>
      <c r="Z1410" s="119">
        <f>IF(tech_base!$T226&gt;Z$1185,"",Z1690+Z1970)</f>
        <v>0</v>
      </c>
      <c r="AA1410" s="119">
        <f>IF(tech_base!$T226&gt;AA$1185,"",AA1690+AA1970)</f>
        <v>0</v>
      </c>
      <c r="AB1410" s="119">
        <f>IF(tech_base!$T226&gt;AB$1185,"",AB1690+AB1970)</f>
        <v>0</v>
      </c>
      <c r="AC1410" s="119">
        <f>IF(tech_base!$T226&gt;AC$1185,"",AC1690+AC1970)</f>
        <v>0</v>
      </c>
      <c r="AD1410" s="119">
        <f>IF(tech_base!$T226&gt;AD$1185,"",AD1690+AD1970)</f>
        <v>0</v>
      </c>
      <c r="AE1410" s="119">
        <f>IF(tech_base!$T226&gt;AE$1185,"",AE1690+AE1970)</f>
        <v>0</v>
      </c>
      <c r="AF1410" s="119">
        <f>IF(tech_base!$T226&gt;AF$1185,"",AF1690+AF1970)</f>
        <v>0</v>
      </c>
      <c r="AG1410" s="119">
        <f>IF(tech_base!$T226&gt;AG$1185,"",AG1690+AG1970)</f>
        <v>0</v>
      </c>
      <c r="AH1410" s="119">
        <f>IF(tech_base!$T226&gt;AH$1185,"",AH1690+AH1970)</f>
        <v>0</v>
      </c>
      <c r="AI1410" s="119">
        <f>IF(tech_base!$T226&gt;AI$1185,"",AI1690+AI1970)</f>
        <v>0</v>
      </c>
      <c r="AJ1410" s="119">
        <f>IF(tech_base!$T226&gt;AJ$1185,"",AJ1690+AJ1970)</f>
        <v>0</v>
      </c>
      <c r="AK1410" s="119">
        <f>IF(tech_base!$T226&gt;AK$1185,"",AK1690+AK1970)</f>
        <v>0</v>
      </c>
      <c r="AL1410" s="119">
        <f>IF(tech_base!$T226&gt;AL$1185,"",AL1690+AL1970)</f>
        <v>0</v>
      </c>
      <c r="AM1410" s="119">
        <f>IF(tech_base!$T226&gt;AM$1185,"",AM1690+AM1970)</f>
        <v>0</v>
      </c>
      <c r="AN1410" s="119">
        <f>IF(tech_base!$T226&gt;AN$1185,"",AN1690+AN1970)</f>
        <v>0</v>
      </c>
      <c r="AO1410" s="119">
        <f>IF(tech_base!$T226&gt;AO$1185,"",AO1690+AO1970)</f>
        <v>0</v>
      </c>
      <c r="AP1410" s="119">
        <f>IF(tech_base!$T226&gt;AP$1185,"",AP1690+AP1970)</f>
        <v>0</v>
      </c>
      <c r="AQ1410" s="119">
        <f>IF(tech_base!$T226&gt;AQ$1185,"",AQ1690+AQ1970)</f>
        <v>0</v>
      </c>
      <c r="AR1410" s="119">
        <f>IF(tech_base!$T226&gt;AR$1185,"",AR1690+AR1970)</f>
        <v>0</v>
      </c>
      <c r="AS1410" s="119">
        <f>IF(tech_base!$T226&gt;AS$1185,"",AS1690+AS1970)</f>
        <v>0</v>
      </c>
      <c r="AT1410" s="119">
        <f>IF(tech_base!$T226&gt;AT$1185,"",AT1690+AT1970)</f>
        <v>0</v>
      </c>
      <c r="AU1410" s="119">
        <f>IF(tech_base!$T226&gt;AU$1185,"",AU1690+AU1970)</f>
        <v>0</v>
      </c>
      <c r="AV1410" s="119">
        <f>IF(tech_base!$T226&gt;AV$1185,"",AV1690+AV1970)</f>
        <v>0</v>
      </c>
      <c r="AW1410" s="119">
        <f>IF(tech_base!$T226&gt;AW$1185,"",AW1690+AW1970)</f>
        <v>0</v>
      </c>
      <c r="AX1410" s="120">
        <f>IF(tech_base!$T226&gt;AX$1185,"",AX1690+AX1970)</f>
        <v>0</v>
      </c>
    </row>
    <row r="1411" spans="1:50" x14ac:dyDescent="0.25">
      <c r="A1411" s="356"/>
      <c r="B1411" s="376"/>
      <c r="C1411" s="361" t="s">
        <v>14</v>
      </c>
      <c r="D1411" s="58" t="s">
        <v>7</v>
      </c>
      <c r="E1411" s="164" t="str">
        <f>A1387&amp;"/"&amp;B1407&amp;"/"&amp;C1411&amp;"/"&amp;D1411</f>
        <v>Biomass and waste fired power plants/Steam turbine/CHP/L</v>
      </c>
      <c r="F1411" s="78" t="str">
        <f>A1387</f>
        <v>Biomass and waste fired power plants</v>
      </c>
      <c r="G1411" s="78" t="str">
        <f>B1407</f>
        <v>Steam turbine</v>
      </c>
      <c r="H1411" s="78" t="str">
        <f>C1411</f>
        <v>CHP</v>
      </c>
      <c r="I1411" s="165" t="str">
        <f t="shared" si="375"/>
        <v>L</v>
      </c>
      <c r="J1411" s="123">
        <f>IF(tech_base!$T227&gt;J$1185,"",J1691+J1971)</f>
        <v>0</v>
      </c>
      <c r="K1411" s="123">
        <f>IF(tech_base!$T227&gt;K$1185,"",K1691+K1971)</f>
        <v>0</v>
      </c>
      <c r="L1411" s="123">
        <f>IF(tech_base!$T227&gt;L$1185,"",L1691+L1971)</f>
        <v>0</v>
      </c>
      <c r="M1411" s="123">
        <f>IF(tech_base!$T227&gt;M$1185,"",M1691+M1971)</f>
        <v>0</v>
      </c>
      <c r="N1411" s="123">
        <f>IF(tech_base!$T227&gt;N$1185,"",N1691+N1971)</f>
        <v>0</v>
      </c>
      <c r="O1411" s="123">
        <f>IF(tech_base!$T227&gt;O$1185,"",O1691+O1971)</f>
        <v>0</v>
      </c>
      <c r="P1411" s="123">
        <f>IF(tech_base!$T227&gt;P$1185,"",P1691+P1971)</f>
        <v>0</v>
      </c>
      <c r="Q1411" s="123">
        <f>IF(tech_base!$T227&gt;Q$1185,"",Q1691+Q1971)</f>
        <v>0</v>
      </c>
      <c r="R1411" s="123">
        <f>IF(tech_base!$T227&gt;R$1185,"",R1691+R1971)</f>
        <v>0</v>
      </c>
      <c r="S1411" s="123">
        <f>IF(tech_base!$T227&gt;S$1185,"",S1691+S1971)</f>
        <v>0</v>
      </c>
      <c r="T1411" s="123">
        <f>IF(tech_base!$T227&gt;T$1185,"",T1691+T1971)</f>
        <v>0</v>
      </c>
      <c r="U1411" s="123">
        <f>IF(tech_base!$T227&gt;U$1185,"",U1691+U1971)</f>
        <v>0</v>
      </c>
      <c r="V1411" s="123">
        <f>IF(tech_base!$T227&gt;V$1185,"",V1691+V1971)</f>
        <v>0</v>
      </c>
      <c r="W1411" s="123">
        <f>IF(tech_base!$T227&gt;W$1185,"",W1691+W1971)</f>
        <v>0</v>
      </c>
      <c r="X1411" s="123">
        <f>IF(tech_base!$T227&gt;X$1185,"",X1691+X1971)</f>
        <v>0</v>
      </c>
      <c r="Y1411" s="123">
        <f>IF(tech_base!$T227&gt;Y$1185,"",Y1691+Y1971)</f>
        <v>0</v>
      </c>
      <c r="Z1411" s="123">
        <f>IF(tech_base!$T227&gt;Z$1185,"",Z1691+Z1971)</f>
        <v>0</v>
      </c>
      <c r="AA1411" s="123">
        <f>IF(tech_base!$T227&gt;AA$1185,"",AA1691+AA1971)</f>
        <v>0</v>
      </c>
      <c r="AB1411" s="123">
        <f>IF(tech_base!$T227&gt;AB$1185,"",AB1691+AB1971)</f>
        <v>0</v>
      </c>
      <c r="AC1411" s="123">
        <f>IF(tech_base!$T227&gt;AC$1185,"",AC1691+AC1971)</f>
        <v>0</v>
      </c>
      <c r="AD1411" s="123">
        <f>IF(tech_base!$T227&gt;AD$1185,"",AD1691+AD1971)</f>
        <v>0</v>
      </c>
      <c r="AE1411" s="123">
        <f>IF(tech_base!$T227&gt;AE$1185,"",AE1691+AE1971)</f>
        <v>0</v>
      </c>
      <c r="AF1411" s="123">
        <f>IF(tech_base!$T227&gt;AF$1185,"",AF1691+AF1971)</f>
        <v>0</v>
      </c>
      <c r="AG1411" s="123">
        <f>IF(tech_base!$T227&gt;AG$1185,"",AG1691+AG1971)</f>
        <v>0</v>
      </c>
      <c r="AH1411" s="123">
        <f>IF(tech_base!$T227&gt;AH$1185,"",AH1691+AH1971)</f>
        <v>0</v>
      </c>
      <c r="AI1411" s="123">
        <f>IF(tech_base!$T227&gt;AI$1185,"",AI1691+AI1971)</f>
        <v>0</v>
      </c>
      <c r="AJ1411" s="123">
        <f>IF(tech_base!$T227&gt;AJ$1185,"",AJ1691+AJ1971)</f>
        <v>0</v>
      </c>
      <c r="AK1411" s="123">
        <f>IF(tech_base!$T227&gt;AK$1185,"",AK1691+AK1971)</f>
        <v>0</v>
      </c>
      <c r="AL1411" s="123">
        <f>IF(tech_base!$T227&gt;AL$1185,"",AL1691+AL1971)</f>
        <v>0</v>
      </c>
      <c r="AM1411" s="123">
        <f>IF(tech_base!$T227&gt;AM$1185,"",AM1691+AM1971)</f>
        <v>0</v>
      </c>
      <c r="AN1411" s="123">
        <f>IF(tech_base!$T227&gt;AN$1185,"",AN1691+AN1971)</f>
        <v>0</v>
      </c>
      <c r="AO1411" s="123">
        <f>IF(tech_base!$T227&gt;AO$1185,"",AO1691+AO1971)</f>
        <v>0</v>
      </c>
      <c r="AP1411" s="123">
        <f>IF(tech_base!$T227&gt;AP$1185,"",AP1691+AP1971)</f>
        <v>0</v>
      </c>
      <c r="AQ1411" s="123">
        <f>IF(tech_base!$T227&gt;AQ$1185,"",AQ1691+AQ1971)</f>
        <v>0</v>
      </c>
      <c r="AR1411" s="123">
        <f>IF(tech_base!$T227&gt;AR$1185,"",AR1691+AR1971)</f>
        <v>0</v>
      </c>
      <c r="AS1411" s="123">
        <f>IF(tech_base!$T227&gt;AS$1185,"",AS1691+AS1971)</f>
        <v>0</v>
      </c>
      <c r="AT1411" s="123">
        <f>IF(tech_base!$T227&gt;AT$1185,"",AT1691+AT1971)</f>
        <v>0</v>
      </c>
      <c r="AU1411" s="123">
        <f>IF(tech_base!$T227&gt;AU$1185,"",AU1691+AU1971)</f>
        <v>0</v>
      </c>
      <c r="AV1411" s="123">
        <f>IF(tech_base!$T227&gt;AV$1185,"",AV1691+AV1971)</f>
        <v>0</v>
      </c>
      <c r="AW1411" s="123">
        <f>IF(tech_base!$T227&gt;AW$1185,"",AW1691+AW1971)</f>
        <v>0</v>
      </c>
      <c r="AX1411" s="124">
        <f>IF(tech_base!$T227&gt;AX$1185,"",AX1691+AX1971)</f>
        <v>0</v>
      </c>
    </row>
    <row r="1412" spans="1:50" x14ac:dyDescent="0.25">
      <c r="A1412" s="356"/>
      <c r="B1412" s="376"/>
      <c r="C1412" s="378"/>
      <c r="D1412" s="2" t="s">
        <v>8</v>
      </c>
      <c r="E1412" s="160" t="str">
        <f>A1387&amp;"/"&amp;B1407&amp;"/"&amp;C1411&amp;"/"&amp;D1412</f>
        <v>Biomass and waste fired power plants/Steam turbine/CHP/M</v>
      </c>
      <c r="F1412" s="76" t="str">
        <f>A1387</f>
        <v>Biomass and waste fired power plants</v>
      </c>
      <c r="G1412" s="76" t="str">
        <f>B1407</f>
        <v>Steam turbine</v>
      </c>
      <c r="H1412" s="76" t="str">
        <f>C1411</f>
        <v>CHP</v>
      </c>
      <c r="I1412" s="161" t="str">
        <f t="shared" si="375"/>
        <v>M</v>
      </c>
      <c r="J1412" s="119">
        <f>IF(tech_base!$T228&gt;J$1185,"",J1692+J1972)</f>
        <v>0</v>
      </c>
      <c r="K1412" s="119">
        <f>IF(tech_base!$T228&gt;K$1185,"",K1692+K1972)</f>
        <v>0</v>
      </c>
      <c r="L1412" s="119">
        <f>IF(tech_base!$T228&gt;L$1185,"",L1692+L1972)</f>
        <v>0</v>
      </c>
      <c r="M1412" s="119">
        <f>IF(tech_base!$T228&gt;M$1185,"",M1692+M1972)</f>
        <v>0</v>
      </c>
      <c r="N1412" s="119">
        <f>IF(tech_base!$T228&gt;N$1185,"",N1692+N1972)</f>
        <v>0</v>
      </c>
      <c r="O1412" s="119">
        <f>IF(tech_base!$T228&gt;O$1185,"",O1692+O1972)</f>
        <v>0</v>
      </c>
      <c r="P1412" s="119">
        <f>IF(tech_base!$T228&gt;P$1185,"",P1692+P1972)</f>
        <v>0</v>
      </c>
      <c r="Q1412" s="119">
        <f>IF(tech_base!$T228&gt;Q$1185,"",Q1692+Q1972)</f>
        <v>0</v>
      </c>
      <c r="R1412" s="119">
        <f>IF(tech_base!$T228&gt;R$1185,"",R1692+R1972)</f>
        <v>0</v>
      </c>
      <c r="S1412" s="119">
        <f>IF(tech_base!$T228&gt;S$1185,"",S1692+S1972)</f>
        <v>0</v>
      </c>
      <c r="T1412" s="119">
        <f>IF(tech_base!$T228&gt;T$1185,"",T1692+T1972)</f>
        <v>0</v>
      </c>
      <c r="U1412" s="119">
        <f>IF(tech_base!$T228&gt;U$1185,"",U1692+U1972)</f>
        <v>0</v>
      </c>
      <c r="V1412" s="119">
        <f>IF(tech_base!$T228&gt;V$1185,"",V1692+V1972)</f>
        <v>0</v>
      </c>
      <c r="W1412" s="119">
        <f>IF(tech_base!$T228&gt;W$1185,"",W1692+W1972)</f>
        <v>0</v>
      </c>
      <c r="X1412" s="119">
        <f>IF(tech_base!$T228&gt;X$1185,"",X1692+X1972)</f>
        <v>0</v>
      </c>
      <c r="Y1412" s="119">
        <f>IF(tech_base!$T228&gt;Y$1185,"",Y1692+Y1972)</f>
        <v>0</v>
      </c>
      <c r="Z1412" s="119">
        <f>IF(tech_base!$T228&gt;Z$1185,"",Z1692+Z1972)</f>
        <v>0</v>
      </c>
      <c r="AA1412" s="119">
        <f>IF(tech_base!$T228&gt;AA$1185,"",AA1692+AA1972)</f>
        <v>0</v>
      </c>
      <c r="AB1412" s="119">
        <f>IF(tech_base!$T228&gt;AB$1185,"",AB1692+AB1972)</f>
        <v>0</v>
      </c>
      <c r="AC1412" s="119">
        <f>IF(tech_base!$T228&gt;AC$1185,"",AC1692+AC1972)</f>
        <v>0</v>
      </c>
      <c r="AD1412" s="119">
        <f>IF(tech_base!$T228&gt;AD$1185,"",AD1692+AD1972)</f>
        <v>0</v>
      </c>
      <c r="AE1412" s="119">
        <f>IF(tech_base!$T228&gt;AE$1185,"",AE1692+AE1972)</f>
        <v>0</v>
      </c>
      <c r="AF1412" s="119">
        <f>IF(tech_base!$T228&gt;AF$1185,"",AF1692+AF1972)</f>
        <v>0</v>
      </c>
      <c r="AG1412" s="119">
        <f>IF(tech_base!$T228&gt;AG$1185,"",AG1692+AG1972)</f>
        <v>0</v>
      </c>
      <c r="AH1412" s="119">
        <f>IF(tech_base!$T228&gt;AH$1185,"",AH1692+AH1972)</f>
        <v>0</v>
      </c>
      <c r="AI1412" s="119">
        <f>IF(tech_base!$T228&gt;AI$1185,"",AI1692+AI1972)</f>
        <v>0</v>
      </c>
      <c r="AJ1412" s="119">
        <f>IF(tech_base!$T228&gt;AJ$1185,"",AJ1692+AJ1972)</f>
        <v>0</v>
      </c>
      <c r="AK1412" s="119">
        <f>IF(tech_base!$T228&gt;AK$1185,"",AK1692+AK1972)</f>
        <v>0</v>
      </c>
      <c r="AL1412" s="119">
        <f>IF(tech_base!$T228&gt;AL$1185,"",AL1692+AL1972)</f>
        <v>0</v>
      </c>
      <c r="AM1412" s="119">
        <f>IF(tech_base!$T228&gt;AM$1185,"",AM1692+AM1972)</f>
        <v>0</v>
      </c>
      <c r="AN1412" s="119">
        <f>IF(tech_base!$T228&gt;AN$1185,"",AN1692+AN1972)</f>
        <v>0</v>
      </c>
      <c r="AO1412" s="119">
        <f>IF(tech_base!$T228&gt;AO$1185,"",AO1692+AO1972)</f>
        <v>0</v>
      </c>
      <c r="AP1412" s="119">
        <f>IF(tech_base!$T228&gt;AP$1185,"",AP1692+AP1972)</f>
        <v>0</v>
      </c>
      <c r="AQ1412" s="119">
        <f>IF(tech_base!$T228&gt;AQ$1185,"",AQ1692+AQ1972)</f>
        <v>0</v>
      </c>
      <c r="AR1412" s="119">
        <f>IF(tech_base!$T228&gt;AR$1185,"",AR1692+AR1972)</f>
        <v>0</v>
      </c>
      <c r="AS1412" s="119">
        <f>IF(tech_base!$T228&gt;AS$1185,"",AS1692+AS1972)</f>
        <v>0</v>
      </c>
      <c r="AT1412" s="119">
        <f>IF(tech_base!$T228&gt;AT$1185,"",AT1692+AT1972)</f>
        <v>0</v>
      </c>
      <c r="AU1412" s="119">
        <f>IF(tech_base!$T228&gt;AU$1185,"",AU1692+AU1972)</f>
        <v>0</v>
      </c>
      <c r="AV1412" s="119">
        <f>IF(tech_base!$T228&gt;AV$1185,"",AV1692+AV1972)</f>
        <v>0</v>
      </c>
      <c r="AW1412" s="119">
        <f>IF(tech_base!$T228&gt;AW$1185,"",AW1692+AW1972)</f>
        <v>0</v>
      </c>
      <c r="AX1412" s="120">
        <f>IF(tech_base!$T228&gt;AX$1185,"",AX1692+AX1972)</f>
        <v>0</v>
      </c>
    </row>
    <row r="1413" spans="1:50" x14ac:dyDescent="0.25">
      <c r="A1413" s="356"/>
      <c r="B1413" s="376"/>
      <c r="C1413" s="378"/>
      <c r="D1413" s="2" t="s">
        <v>10</v>
      </c>
      <c r="E1413" s="160" t="str">
        <f>A1387&amp;"/"&amp;B1407&amp;"/"&amp;C1411&amp;"/"&amp;D1413</f>
        <v>Biomass and waste fired power plants/Steam turbine/CHP/S</v>
      </c>
      <c r="F1413" s="76" t="str">
        <f>A1387</f>
        <v>Biomass and waste fired power plants</v>
      </c>
      <c r="G1413" s="76" t="str">
        <f>B1407</f>
        <v>Steam turbine</v>
      </c>
      <c r="H1413" s="76" t="str">
        <f>C1411</f>
        <v>CHP</v>
      </c>
      <c r="I1413" s="161" t="str">
        <f t="shared" si="375"/>
        <v>S</v>
      </c>
      <c r="J1413" s="119">
        <f>IF(tech_base!$T229&gt;J$1185,"",J1693+J1973)</f>
        <v>0</v>
      </c>
      <c r="K1413" s="119">
        <f>IF(tech_base!$T229&gt;K$1185,"",K1693+K1973)</f>
        <v>0</v>
      </c>
      <c r="L1413" s="119">
        <f>IF(tech_base!$T229&gt;L$1185,"",L1693+L1973)</f>
        <v>0</v>
      </c>
      <c r="M1413" s="119">
        <f>IF(tech_base!$T229&gt;M$1185,"",M1693+M1973)</f>
        <v>0</v>
      </c>
      <c r="N1413" s="119">
        <f>IF(tech_base!$T229&gt;N$1185,"",N1693+N1973)</f>
        <v>0</v>
      </c>
      <c r="O1413" s="119">
        <f>IF(tech_base!$T229&gt;O$1185,"",O1693+O1973)</f>
        <v>0</v>
      </c>
      <c r="P1413" s="119">
        <f>IF(tech_base!$T229&gt;P$1185,"",P1693+P1973)</f>
        <v>0</v>
      </c>
      <c r="Q1413" s="119">
        <f>IF(tech_base!$T229&gt;Q$1185,"",Q1693+Q1973)</f>
        <v>0</v>
      </c>
      <c r="R1413" s="119">
        <f>IF(tech_base!$T229&gt;R$1185,"",R1693+R1973)</f>
        <v>0</v>
      </c>
      <c r="S1413" s="119">
        <f>IF(tech_base!$T229&gt;S$1185,"",S1693+S1973)</f>
        <v>0</v>
      </c>
      <c r="T1413" s="119">
        <f>IF(tech_base!$T229&gt;T$1185,"",T1693+T1973)</f>
        <v>0</v>
      </c>
      <c r="U1413" s="119">
        <f>IF(tech_base!$T229&gt;U$1185,"",U1693+U1973)</f>
        <v>0</v>
      </c>
      <c r="V1413" s="119">
        <f>IF(tech_base!$T229&gt;V$1185,"",V1693+V1973)</f>
        <v>0</v>
      </c>
      <c r="W1413" s="119">
        <f>IF(tech_base!$T229&gt;W$1185,"",W1693+W1973)</f>
        <v>0</v>
      </c>
      <c r="X1413" s="119">
        <f>IF(tech_base!$T229&gt;X$1185,"",X1693+X1973)</f>
        <v>0</v>
      </c>
      <c r="Y1413" s="119">
        <f>IF(tech_base!$T229&gt;Y$1185,"",Y1693+Y1973)</f>
        <v>0</v>
      </c>
      <c r="Z1413" s="119">
        <f>IF(tech_base!$T229&gt;Z$1185,"",Z1693+Z1973)</f>
        <v>0</v>
      </c>
      <c r="AA1413" s="119">
        <f>IF(tech_base!$T229&gt;AA$1185,"",AA1693+AA1973)</f>
        <v>0</v>
      </c>
      <c r="AB1413" s="119">
        <f>IF(tech_base!$T229&gt;AB$1185,"",AB1693+AB1973)</f>
        <v>0</v>
      </c>
      <c r="AC1413" s="119">
        <f>IF(tech_base!$T229&gt;AC$1185,"",AC1693+AC1973)</f>
        <v>0</v>
      </c>
      <c r="AD1413" s="119">
        <f>IF(tech_base!$T229&gt;AD$1185,"",AD1693+AD1973)</f>
        <v>0</v>
      </c>
      <c r="AE1413" s="119">
        <f>IF(tech_base!$T229&gt;AE$1185,"",AE1693+AE1973)</f>
        <v>0</v>
      </c>
      <c r="AF1413" s="119">
        <f>IF(tech_base!$T229&gt;AF$1185,"",AF1693+AF1973)</f>
        <v>0</v>
      </c>
      <c r="AG1413" s="119">
        <f>IF(tech_base!$T229&gt;AG$1185,"",AG1693+AG1973)</f>
        <v>0</v>
      </c>
      <c r="AH1413" s="119">
        <f>IF(tech_base!$T229&gt;AH$1185,"",AH1693+AH1973)</f>
        <v>0</v>
      </c>
      <c r="AI1413" s="119">
        <f>IF(tech_base!$T229&gt;AI$1185,"",AI1693+AI1973)</f>
        <v>0</v>
      </c>
      <c r="AJ1413" s="119">
        <f>IF(tech_base!$T229&gt;AJ$1185,"",AJ1693+AJ1973)</f>
        <v>0</v>
      </c>
      <c r="AK1413" s="119">
        <f>IF(tech_base!$T229&gt;AK$1185,"",AK1693+AK1973)</f>
        <v>0</v>
      </c>
      <c r="AL1413" s="119">
        <f>IF(tech_base!$T229&gt;AL$1185,"",AL1693+AL1973)</f>
        <v>0</v>
      </c>
      <c r="AM1413" s="119">
        <f>IF(tech_base!$T229&gt;AM$1185,"",AM1693+AM1973)</f>
        <v>0</v>
      </c>
      <c r="AN1413" s="119">
        <f>IF(tech_base!$T229&gt;AN$1185,"",AN1693+AN1973)</f>
        <v>0</v>
      </c>
      <c r="AO1413" s="119">
        <f>IF(tech_base!$T229&gt;AO$1185,"",AO1693+AO1973)</f>
        <v>0</v>
      </c>
      <c r="AP1413" s="119">
        <f>IF(tech_base!$T229&gt;AP$1185,"",AP1693+AP1973)</f>
        <v>0</v>
      </c>
      <c r="AQ1413" s="119">
        <f>IF(tech_base!$T229&gt;AQ$1185,"",AQ1693+AQ1973)</f>
        <v>0</v>
      </c>
      <c r="AR1413" s="119">
        <f>IF(tech_base!$T229&gt;AR$1185,"",AR1693+AR1973)</f>
        <v>0</v>
      </c>
      <c r="AS1413" s="119">
        <f>IF(tech_base!$T229&gt;AS$1185,"",AS1693+AS1973)</f>
        <v>0</v>
      </c>
      <c r="AT1413" s="119">
        <f>IF(tech_base!$T229&gt;AT$1185,"",AT1693+AT1973)</f>
        <v>0</v>
      </c>
      <c r="AU1413" s="119">
        <f>IF(tech_base!$T229&gt;AU$1185,"",AU1693+AU1973)</f>
        <v>0</v>
      </c>
      <c r="AV1413" s="119">
        <f>IF(tech_base!$T229&gt;AV$1185,"",AV1693+AV1973)</f>
        <v>0</v>
      </c>
      <c r="AW1413" s="119">
        <f>IF(tech_base!$T229&gt;AW$1185,"",AW1693+AW1973)</f>
        <v>0</v>
      </c>
      <c r="AX1413" s="120">
        <f>IF(tech_base!$T229&gt;AX$1185,"",AX1693+AX1973)</f>
        <v>0</v>
      </c>
    </row>
    <row r="1414" spans="1:50" x14ac:dyDescent="0.25">
      <c r="A1414" s="356"/>
      <c r="B1414" s="376"/>
      <c r="C1414" s="379"/>
      <c r="D1414" s="59" t="s">
        <v>20</v>
      </c>
      <c r="E1414" s="166" t="str">
        <f>A1387&amp;"/"&amp;B1407&amp;"/"&amp;C1411&amp;"/"&amp;D1414</f>
        <v>Biomass and waste fired power plants/Steam turbine/CHP/XS</v>
      </c>
      <c r="F1414" s="79" t="str">
        <f>A1387</f>
        <v>Biomass and waste fired power plants</v>
      </c>
      <c r="G1414" s="79" t="str">
        <f>B1407</f>
        <v>Steam turbine</v>
      </c>
      <c r="H1414" s="79" t="str">
        <f>C1411</f>
        <v>CHP</v>
      </c>
      <c r="I1414" s="167" t="str">
        <f t="shared" si="375"/>
        <v>XS</v>
      </c>
      <c r="J1414" s="125">
        <f>IF(tech_base!$T230&gt;J$1185,"",J1694+J1974)</f>
        <v>0</v>
      </c>
      <c r="K1414" s="125">
        <f>IF(tech_base!$T230&gt;K$1185,"",K1694+K1974)</f>
        <v>0</v>
      </c>
      <c r="L1414" s="125">
        <f>IF(tech_base!$T230&gt;L$1185,"",L1694+L1974)</f>
        <v>0</v>
      </c>
      <c r="M1414" s="125">
        <f>IF(tech_base!$T230&gt;M$1185,"",M1694+M1974)</f>
        <v>0</v>
      </c>
      <c r="N1414" s="125">
        <f>IF(tech_base!$T230&gt;N$1185,"",N1694+N1974)</f>
        <v>0</v>
      </c>
      <c r="O1414" s="125">
        <f>IF(tech_base!$T230&gt;O$1185,"",O1694+O1974)</f>
        <v>0</v>
      </c>
      <c r="P1414" s="125">
        <f>IF(tech_base!$T230&gt;P$1185,"",P1694+P1974)</f>
        <v>0</v>
      </c>
      <c r="Q1414" s="125">
        <f>IF(tech_base!$T230&gt;Q$1185,"",Q1694+Q1974)</f>
        <v>0</v>
      </c>
      <c r="R1414" s="125">
        <f>IF(tech_base!$T230&gt;R$1185,"",R1694+R1974)</f>
        <v>0</v>
      </c>
      <c r="S1414" s="125">
        <f>IF(tech_base!$T230&gt;S$1185,"",S1694+S1974)</f>
        <v>0</v>
      </c>
      <c r="T1414" s="125">
        <f>IF(tech_base!$T230&gt;T$1185,"",T1694+T1974)</f>
        <v>0</v>
      </c>
      <c r="U1414" s="125">
        <f>IF(tech_base!$T230&gt;U$1185,"",U1694+U1974)</f>
        <v>0</v>
      </c>
      <c r="V1414" s="125">
        <f>IF(tech_base!$T230&gt;V$1185,"",V1694+V1974)</f>
        <v>0</v>
      </c>
      <c r="W1414" s="125">
        <f>IF(tech_base!$T230&gt;W$1185,"",W1694+W1974)</f>
        <v>0</v>
      </c>
      <c r="X1414" s="125">
        <f>IF(tech_base!$T230&gt;X$1185,"",X1694+X1974)</f>
        <v>0</v>
      </c>
      <c r="Y1414" s="125">
        <f>IF(tech_base!$T230&gt;Y$1185,"",Y1694+Y1974)</f>
        <v>0</v>
      </c>
      <c r="Z1414" s="125">
        <f>IF(tech_base!$T230&gt;Z$1185,"",Z1694+Z1974)</f>
        <v>0</v>
      </c>
      <c r="AA1414" s="125">
        <f>IF(tech_base!$T230&gt;AA$1185,"",AA1694+AA1974)</f>
        <v>0</v>
      </c>
      <c r="AB1414" s="125">
        <f>IF(tech_base!$T230&gt;AB$1185,"",AB1694+AB1974)</f>
        <v>0</v>
      </c>
      <c r="AC1414" s="125">
        <f>IF(tech_base!$T230&gt;AC$1185,"",AC1694+AC1974)</f>
        <v>0</v>
      </c>
      <c r="AD1414" s="125">
        <f>IF(tech_base!$T230&gt;AD$1185,"",AD1694+AD1974)</f>
        <v>0</v>
      </c>
      <c r="AE1414" s="125">
        <f>IF(tech_base!$T230&gt;AE$1185,"",AE1694+AE1974)</f>
        <v>0</v>
      </c>
      <c r="AF1414" s="125">
        <f>IF(tech_base!$T230&gt;AF$1185,"",AF1694+AF1974)</f>
        <v>0</v>
      </c>
      <c r="AG1414" s="125">
        <f>IF(tech_base!$T230&gt;AG$1185,"",AG1694+AG1974)</f>
        <v>0</v>
      </c>
      <c r="AH1414" s="125">
        <f>IF(tech_base!$T230&gt;AH$1185,"",AH1694+AH1974)</f>
        <v>0</v>
      </c>
      <c r="AI1414" s="125">
        <f>IF(tech_base!$T230&gt;AI$1185,"",AI1694+AI1974)</f>
        <v>0</v>
      </c>
      <c r="AJ1414" s="125">
        <f>IF(tech_base!$T230&gt;AJ$1185,"",AJ1694+AJ1974)</f>
        <v>0</v>
      </c>
      <c r="AK1414" s="125">
        <f>IF(tech_base!$T230&gt;AK$1185,"",AK1694+AK1974)</f>
        <v>0</v>
      </c>
      <c r="AL1414" s="125">
        <f>IF(tech_base!$T230&gt;AL$1185,"",AL1694+AL1974)</f>
        <v>0</v>
      </c>
      <c r="AM1414" s="125">
        <f>IF(tech_base!$T230&gt;AM$1185,"",AM1694+AM1974)</f>
        <v>0</v>
      </c>
      <c r="AN1414" s="125">
        <f>IF(tech_base!$T230&gt;AN$1185,"",AN1694+AN1974)</f>
        <v>0</v>
      </c>
      <c r="AO1414" s="125">
        <f>IF(tech_base!$T230&gt;AO$1185,"",AO1694+AO1974)</f>
        <v>0</v>
      </c>
      <c r="AP1414" s="125">
        <f>IF(tech_base!$T230&gt;AP$1185,"",AP1694+AP1974)</f>
        <v>0</v>
      </c>
      <c r="AQ1414" s="125">
        <f>IF(tech_base!$T230&gt;AQ$1185,"",AQ1694+AQ1974)</f>
        <v>0</v>
      </c>
      <c r="AR1414" s="125">
        <f>IF(tech_base!$T230&gt;AR$1185,"",AR1694+AR1974)</f>
        <v>0</v>
      </c>
      <c r="AS1414" s="125">
        <f>IF(tech_base!$T230&gt;AS$1185,"",AS1694+AS1974)</f>
        <v>0</v>
      </c>
      <c r="AT1414" s="125">
        <f>IF(tech_base!$T230&gt;AT$1185,"",AT1694+AT1974)</f>
        <v>0</v>
      </c>
      <c r="AU1414" s="125">
        <f>IF(tech_base!$T230&gt;AU$1185,"",AU1694+AU1974)</f>
        <v>0</v>
      </c>
      <c r="AV1414" s="125">
        <f>IF(tech_base!$T230&gt;AV$1185,"",AV1694+AV1974)</f>
        <v>0</v>
      </c>
      <c r="AW1414" s="125">
        <f>IF(tech_base!$T230&gt;AW$1185,"",AW1694+AW1974)</f>
        <v>0</v>
      </c>
      <c r="AX1414" s="126">
        <f>IF(tech_base!$T230&gt;AX$1185,"",AX1694+AX1974)</f>
        <v>0</v>
      </c>
    </row>
    <row r="1415" spans="1:50" x14ac:dyDescent="0.25">
      <c r="A1415" s="356"/>
      <c r="B1415" s="376"/>
      <c r="C1415" s="361" t="s">
        <v>15</v>
      </c>
      <c r="D1415" s="58" t="s">
        <v>7</v>
      </c>
      <c r="E1415" s="164" t="str">
        <f>A1387&amp;"/"&amp;B1407&amp;"/"&amp;C1415&amp;"/"&amp;D1415</f>
        <v>Biomass and waste fired power plants/Steam turbine/Electricity only with CCS/L</v>
      </c>
      <c r="F1415" s="78" t="str">
        <f>A1387</f>
        <v>Biomass and waste fired power plants</v>
      </c>
      <c r="G1415" s="78" t="str">
        <f>B1407</f>
        <v>Steam turbine</v>
      </c>
      <c r="H1415" s="78" t="str">
        <f>C1415</f>
        <v>Electricity only with CCS</v>
      </c>
      <c r="I1415" s="165" t="str">
        <f t="shared" si="375"/>
        <v>L</v>
      </c>
      <c r="J1415" s="123" t="str">
        <f>IF(tech_base!$T231&gt;J$1185,"",J1695+J1975)</f>
        <v/>
      </c>
      <c r="K1415" s="123" t="str">
        <f>IF(tech_base!$T231&gt;K$1185,"",K1695+K1975)</f>
        <v/>
      </c>
      <c r="L1415" s="123" t="str">
        <f>IF(tech_base!$T231&gt;L$1185,"",L1695+L1975)</f>
        <v/>
      </c>
      <c r="M1415" s="123" t="str">
        <f>IF(tech_base!$T231&gt;M$1185,"",M1695+M1975)</f>
        <v/>
      </c>
      <c r="N1415" s="123" t="str">
        <f>IF(tech_base!$T231&gt;N$1185,"",N1695+N1975)</f>
        <v/>
      </c>
      <c r="O1415" s="123" t="str">
        <f>IF(tech_base!$T231&gt;O$1185,"",O1695+O1975)</f>
        <v/>
      </c>
      <c r="P1415" s="123" t="str">
        <f>IF(tech_base!$T231&gt;P$1185,"",P1695+P1975)</f>
        <v/>
      </c>
      <c r="Q1415" s="123" t="str">
        <f>IF(tech_base!$T231&gt;Q$1185,"",Q1695+Q1975)</f>
        <v/>
      </c>
      <c r="R1415" s="123" t="str">
        <f>IF(tech_base!$T231&gt;R$1185,"",R1695+R1975)</f>
        <v/>
      </c>
      <c r="S1415" s="123" t="str">
        <f>IF(tech_base!$T231&gt;S$1185,"",S1695+S1975)</f>
        <v/>
      </c>
      <c r="T1415" s="123" t="str">
        <f>IF(tech_base!$T231&gt;T$1185,"",T1695+T1975)</f>
        <v/>
      </c>
      <c r="U1415" s="123" t="str">
        <f>IF(tech_base!$T231&gt;U$1185,"",U1695+U1975)</f>
        <v/>
      </c>
      <c r="V1415" s="123" t="str">
        <f>IF(tech_base!$T231&gt;V$1185,"",V1695+V1975)</f>
        <v/>
      </c>
      <c r="W1415" s="123" t="str">
        <f>IF(tech_base!$T231&gt;W$1185,"",W1695+W1975)</f>
        <v/>
      </c>
      <c r="X1415" s="123" t="str">
        <f>IF(tech_base!$T231&gt;X$1185,"",X1695+X1975)</f>
        <v/>
      </c>
      <c r="Y1415" s="123" t="str">
        <f>IF(tech_base!$T231&gt;Y$1185,"",Y1695+Y1975)</f>
        <v/>
      </c>
      <c r="Z1415" s="123" t="str">
        <f>IF(tech_base!$T231&gt;Z$1185,"",Z1695+Z1975)</f>
        <v/>
      </c>
      <c r="AA1415" s="123" t="str">
        <f>IF(tech_base!$T231&gt;AA$1185,"",AA1695+AA1975)</f>
        <v/>
      </c>
      <c r="AB1415" s="123" t="str">
        <f>IF(tech_base!$T231&gt;AB$1185,"",AB1695+AB1975)</f>
        <v/>
      </c>
      <c r="AC1415" s="123" t="str">
        <f>IF(tech_base!$T231&gt;AC$1185,"",AC1695+AC1975)</f>
        <v/>
      </c>
      <c r="AD1415" s="123" t="str">
        <f>IF(tech_base!$T231&gt;AD$1185,"",AD1695+AD1975)</f>
        <v/>
      </c>
      <c r="AE1415" s="123">
        <f>IF(tech_base!$T231&gt;AE$1185,"",AE1695+AE1975)</f>
        <v>0</v>
      </c>
      <c r="AF1415" s="123">
        <f>IF(tech_base!$T231&gt;AF$1185,"",AF1695+AF1975)</f>
        <v>0</v>
      </c>
      <c r="AG1415" s="123">
        <f>IF(tech_base!$T231&gt;AG$1185,"",AG1695+AG1975)</f>
        <v>0</v>
      </c>
      <c r="AH1415" s="123">
        <f>IF(tech_base!$T231&gt;AH$1185,"",AH1695+AH1975)</f>
        <v>0</v>
      </c>
      <c r="AI1415" s="123">
        <f>IF(tech_base!$T231&gt;AI$1185,"",AI1695+AI1975)</f>
        <v>0</v>
      </c>
      <c r="AJ1415" s="123">
        <f>IF(tech_base!$T231&gt;AJ$1185,"",AJ1695+AJ1975)</f>
        <v>0</v>
      </c>
      <c r="AK1415" s="123">
        <f>IF(tech_base!$T231&gt;AK$1185,"",AK1695+AK1975)</f>
        <v>0</v>
      </c>
      <c r="AL1415" s="123">
        <f>IF(tech_base!$T231&gt;AL$1185,"",AL1695+AL1975)</f>
        <v>0</v>
      </c>
      <c r="AM1415" s="123">
        <f>IF(tech_base!$T231&gt;AM$1185,"",AM1695+AM1975)</f>
        <v>0</v>
      </c>
      <c r="AN1415" s="123">
        <f>IF(tech_base!$T231&gt;AN$1185,"",AN1695+AN1975)</f>
        <v>0</v>
      </c>
      <c r="AO1415" s="123">
        <f>IF(tech_base!$T231&gt;AO$1185,"",AO1695+AO1975)</f>
        <v>0</v>
      </c>
      <c r="AP1415" s="123">
        <f>IF(tech_base!$T231&gt;AP$1185,"",AP1695+AP1975)</f>
        <v>0</v>
      </c>
      <c r="AQ1415" s="123">
        <f>IF(tech_base!$T231&gt;AQ$1185,"",AQ1695+AQ1975)</f>
        <v>0</v>
      </c>
      <c r="AR1415" s="123">
        <f>IF(tech_base!$T231&gt;AR$1185,"",AR1695+AR1975)</f>
        <v>0</v>
      </c>
      <c r="AS1415" s="123">
        <f>IF(tech_base!$T231&gt;AS$1185,"",AS1695+AS1975)</f>
        <v>0</v>
      </c>
      <c r="AT1415" s="123">
        <f>IF(tech_base!$T231&gt;AT$1185,"",AT1695+AT1975)</f>
        <v>0</v>
      </c>
      <c r="AU1415" s="123">
        <f>IF(tech_base!$T231&gt;AU$1185,"",AU1695+AU1975)</f>
        <v>0</v>
      </c>
      <c r="AV1415" s="123">
        <f>IF(tech_base!$T231&gt;AV$1185,"",AV1695+AV1975)</f>
        <v>0</v>
      </c>
      <c r="AW1415" s="123">
        <f>IF(tech_base!$T231&gt;AW$1185,"",AW1695+AW1975)</f>
        <v>0</v>
      </c>
      <c r="AX1415" s="124">
        <f>IF(tech_base!$T231&gt;AX$1185,"",AX1695+AX1975)</f>
        <v>0</v>
      </c>
    </row>
    <row r="1416" spans="1:50" x14ac:dyDescent="0.25">
      <c r="A1416" s="356"/>
      <c r="B1416" s="376"/>
      <c r="C1416" s="379"/>
      <c r="D1416" s="59" t="s">
        <v>8</v>
      </c>
      <c r="E1416" s="166" t="str">
        <f>A1387&amp;"/"&amp;B1407&amp;"/"&amp;C1415&amp;"/"&amp;D1416</f>
        <v>Biomass and waste fired power plants/Steam turbine/Electricity only with CCS/M</v>
      </c>
      <c r="F1416" s="79" t="str">
        <f>A1387</f>
        <v>Biomass and waste fired power plants</v>
      </c>
      <c r="G1416" s="79" t="str">
        <f>B1407</f>
        <v>Steam turbine</v>
      </c>
      <c r="H1416" s="79" t="str">
        <f>C1415</f>
        <v>Electricity only with CCS</v>
      </c>
      <c r="I1416" s="167" t="str">
        <f t="shared" si="375"/>
        <v>M</v>
      </c>
      <c r="J1416" s="125" t="str">
        <f>IF(tech_base!$T232&gt;J$1185,"",J1696+J1976)</f>
        <v/>
      </c>
      <c r="K1416" s="125" t="str">
        <f>IF(tech_base!$T232&gt;K$1185,"",K1696+K1976)</f>
        <v/>
      </c>
      <c r="L1416" s="125" t="str">
        <f>IF(tech_base!$T232&gt;L$1185,"",L1696+L1976)</f>
        <v/>
      </c>
      <c r="M1416" s="125" t="str">
        <f>IF(tech_base!$T232&gt;M$1185,"",M1696+M1976)</f>
        <v/>
      </c>
      <c r="N1416" s="125" t="str">
        <f>IF(tech_base!$T232&gt;N$1185,"",N1696+N1976)</f>
        <v/>
      </c>
      <c r="O1416" s="125" t="str">
        <f>IF(tech_base!$T232&gt;O$1185,"",O1696+O1976)</f>
        <v/>
      </c>
      <c r="P1416" s="125" t="str">
        <f>IF(tech_base!$T232&gt;P$1185,"",P1696+P1976)</f>
        <v/>
      </c>
      <c r="Q1416" s="125" t="str">
        <f>IF(tech_base!$T232&gt;Q$1185,"",Q1696+Q1976)</f>
        <v/>
      </c>
      <c r="R1416" s="125" t="str">
        <f>IF(tech_base!$T232&gt;R$1185,"",R1696+R1976)</f>
        <v/>
      </c>
      <c r="S1416" s="125" t="str">
        <f>IF(tech_base!$T232&gt;S$1185,"",S1696+S1976)</f>
        <v/>
      </c>
      <c r="T1416" s="125" t="str">
        <f>IF(tech_base!$T232&gt;T$1185,"",T1696+T1976)</f>
        <v/>
      </c>
      <c r="U1416" s="125" t="str">
        <f>IF(tech_base!$T232&gt;U$1185,"",U1696+U1976)</f>
        <v/>
      </c>
      <c r="V1416" s="125" t="str">
        <f>IF(tech_base!$T232&gt;V$1185,"",V1696+V1976)</f>
        <v/>
      </c>
      <c r="W1416" s="125" t="str">
        <f>IF(tech_base!$T232&gt;W$1185,"",W1696+W1976)</f>
        <v/>
      </c>
      <c r="X1416" s="125" t="str">
        <f>IF(tech_base!$T232&gt;X$1185,"",X1696+X1976)</f>
        <v/>
      </c>
      <c r="Y1416" s="125" t="str">
        <f>IF(tech_base!$T232&gt;Y$1185,"",Y1696+Y1976)</f>
        <v/>
      </c>
      <c r="Z1416" s="125" t="str">
        <f>IF(tech_base!$T232&gt;Z$1185,"",Z1696+Z1976)</f>
        <v/>
      </c>
      <c r="AA1416" s="125" t="str">
        <f>IF(tech_base!$T232&gt;AA$1185,"",AA1696+AA1976)</f>
        <v/>
      </c>
      <c r="AB1416" s="125" t="str">
        <f>IF(tech_base!$T232&gt;AB$1185,"",AB1696+AB1976)</f>
        <v/>
      </c>
      <c r="AC1416" s="125" t="str">
        <f>IF(tech_base!$T232&gt;AC$1185,"",AC1696+AC1976)</f>
        <v/>
      </c>
      <c r="AD1416" s="125" t="str">
        <f>IF(tech_base!$T232&gt;AD$1185,"",AD1696+AD1976)</f>
        <v/>
      </c>
      <c r="AE1416" s="125">
        <f>IF(tech_base!$T232&gt;AE$1185,"",AE1696+AE1976)</f>
        <v>0</v>
      </c>
      <c r="AF1416" s="125">
        <f>IF(tech_base!$T232&gt;AF$1185,"",AF1696+AF1976)</f>
        <v>0</v>
      </c>
      <c r="AG1416" s="125">
        <f>IF(tech_base!$T232&gt;AG$1185,"",AG1696+AG1976)</f>
        <v>0</v>
      </c>
      <c r="AH1416" s="125">
        <f>IF(tech_base!$T232&gt;AH$1185,"",AH1696+AH1976)</f>
        <v>0</v>
      </c>
      <c r="AI1416" s="125">
        <f>IF(tech_base!$T232&gt;AI$1185,"",AI1696+AI1976)</f>
        <v>0</v>
      </c>
      <c r="AJ1416" s="125">
        <f>IF(tech_base!$T232&gt;AJ$1185,"",AJ1696+AJ1976)</f>
        <v>0</v>
      </c>
      <c r="AK1416" s="125">
        <f>IF(tech_base!$T232&gt;AK$1185,"",AK1696+AK1976)</f>
        <v>0</v>
      </c>
      <c r="AL1416" s="125">
        <f>IF(tech_base!$T232&gt;AL$1185,"",AL1696+AL1976)</f>
        <v>0</v>
      </c>
      <c r="AM1416" s="125">
        <f>IF(tech_base!$T232&gt;AM$1185,"",AM1696+AM1976)</f>
        <v>0</v>
      </c>
      <c r="AN1416" s="125">
        <f>IF(tech_base!$T232&gt;AN$1185,"",AN1696+AN1976)</f>
        <v>0</v>
      </c>
      <c r="AO1416" s="125">
        <f>IF(tech_base!$T232&gt;AO$1185,"",AO1696+AO1976)</f>
        <v>0</v>
      </c>
      <c r="AP1416" s="125">
        <f>IF(tech_base!$T232&gt;AP$1185,"",AP1696+AP1976)</f>
        <v>0</v>
      </c>
      <c r="AQ1416" s="125">
        <f>IF(tech_base!$T232&gt;AQ$1185,"",AQ1696+AQ1976)</f>
        <v>0</v>
      </c>
      <c r="AR1416" s="125">
        <f>IF(tech_base!$T232&gt;AR$1185,"",AR1696+AR1976)</f>
        <v>0</v>
      </c>
      <c r="AS1416" s="125">
        <f>IF(tech_base!$T232&gt;AS$1185,"",AS1696+AS1976)</f>
        <v>0</v>
      </c>
      <c r="AT1416" s="125">
        <f>IF(tech_base!$T232&gt;AT$1185,"",AT1696+AT1976)</f>
        <v>0</v>
      </c>
      <c r="AU1416" s="125">
        <f>IF(tech_base!$T232&gt;AU$1185,"",AU1696+AU1976)</f>
        <v>0</v>
      </c>
      <c r="AV1416" s="125">
        <f>IF(tech_base!$T232&gt;AV$1185,"",AV1696+AV1976)</f>
        <v>0</v>
      </c>
      <c r="AW1416" s="125">
        <f>IF(tech_base!$T232&gt;AW$1185,"",AW1696+AW1976)</f>
        <v>0</v>
      </c>
      <c r="AX1416" s="126">
        <f>IF(tech_base!$T232&gt;AX$1185,"",AX1696+AX1976)</f>
        <v>0</v>
      </c>
    </row>
    <row r="1417" spans="1:50" x14ac:dyDescent="0.25">
      <c r="A1417" s="356"/>
      <c r="B1417" s="376"/>
      <c r="C1417" s="361" t="s">
        <v>16</v>
      </c>
      <c r="D1417" s="2" t="s">
        <v>7</v>
      </c>
      <c r="E1417" s="160" t="str">
        <f>A1387&amp;"/"&amp;B1407&amp;"/"&amp;C1417&amp;"/"&amp;D1417</f>
        <v>Biomass and waste fired power plants/Steam turbine/CHP with CCS/L</v>
      </c>
      <c r="F1417" s="76" t="str">
        <f>A1387</f>
        <v>Biomass and waste fired power plants</v>
      </c>
      <c r="G1417" s="76" t="str">
        <f>B1407</f>
        <v>Steam turbine</v>
      </c>
      <c r="H1417" s="76" t="str">
        <f>C1417</f>
        <v>CHP with CCS</v>
      </c>
      <c r="I1417" s="161" t="str">
        <f t="shared" si="375"/>
        <v>L</v>
      </c>
      <c r="J1417" s="119" t="str">
        <f>IF(tech_base!$T233&gt;J$1185,"",J1697+J1977)</f>
        <v/>
      </c>
      <c r="K1417" s="119" t="str">
        <f>IF(tech_base!$T233&gt;K$1185,"",K1697+K1977)</f>
        <v/>
      </c>
      <c r="L1417" s="119" t="str">
        <f>IF(tech_base!$T233&gt;L$1185,"",L1697+L1977)</f>
        <v/>
      </c>
      <c r="M1417" s="119" t="str">
        <f>IF(tech_base!$T233&gt;M$1185,"",M1697+M1977)</f>
        <v/>
      </c>
      <c r="N1417" s="119" t="str">
        <f>IF(tech_base!$T233&gt;N$1185,"",N1697+N1977)</f>
        <v/>
      </c>
      <c r="O1417" s="119" t="str">
        <f>IF(tech_base!$T233&gt;O$1185,"",O1697+O1977)</f>
        <v/>
      </c>
      <c r="P1417" s="119" t="str">
        <f>IF(tech_base!$T233&gt;P$1185,"",P1697+P1977)</f>
        <v/>
      </c>
      <c r="Q1417" s="119" t="str">
        <f>IF(tech_base!$T233&gt;Q$1185,"",Q1697+Q1977)</f>
        <v/>
      </c>
      <c r="R1417" s="119" t="str">
        <f>IF(tech_base!$T233&gt;R$1185,"",R1697+R1977)</f>
        <v/>
      </c>
      <c r="S1417" s="119" t="str">
        <f>IF(tech_base!$T233&gt;S$1185,"",S1697+S1977)</f>
        <v/>
      </c>
      <c r="T1417" s="119" t="str">
        <f>IF(tech_base!$T233&gt;T$1185,"",T1697+T1977)</f>
        <v/>
      </c>
      <c r="U1417" s="119" t="str">
        <f>IF(tech_base!$T233&gt;U$1185,"",U1697+U1977)</f>
        <v/>
      </c>
      <c r="V1417" s="119" t="str">
        <f>IF(tech_base!$T233&gt;V$1185,"",V1697+V1977)</f>
        <v/>
      </c>
      <c r="W1417" s="119" t="str">
        <f>IF(tech_base!$T233&gt;W$1185,"",W1697+W1977)</f>
        <v/>
      </c>
      <c r="X1417" s="119" t="str">
        <f>IF(tech_base!$T233&gt;X$1185,"",X1697+X1977)</f>
        <v/>
      </c>
      <c r="Y1417" s="119" t="str">
        <f>IF(tech_base!$T233&gt;Y$1185,"",Y1697+Y1977)</f>
        <v/>
      </c>
      <c r="Z1417" s="119" t="str">
        <f>IF(tech_base!$T233&gt;Z$1185,"",Z1697+Z1977)</f>
        <v/>
      </c>
      <c r="AA1417" s="119" t="str">
        <f>IF(tech_base!$T233&gt;AA$1185,"",AA1697+AA1977)</f>
        <v/>
      </c>
      <c r="AB1417" s="119" t="str">
        <f>IF(tech_base!$T233&gt;AB$1185,"",AB1697+AB1977)</f>
        <v/>
      </c>
      <c r="AC1417" s="119" t="str">
        <f>IF(tech_base!$T233&gt;AC$1185,"",AC1697+AC1977)</f>
        <v/>
      </c>
      <c r="AD1417" s="119" t="str">
        <f>IF(tech_base!$T233&gt;AD$1185,"",AD1697+AD1977)</f>
        <v/>
      </c>
      <c r="AE1417" s="119">
        <f>IF(tech_base!$T233&gt;AE$1185,"",AE1697+AE1977)</f>
        <v>0</v>
      </c>
      <c r="AF1417" s="119">
        <f>IF(tech_base!$T233&gt;AF$1185,"",AF1697+AF1977)</f>
        <v>0</v>
      </c>
      <c r="AG1417" s="119">
        <f>IF(tech_base!$T233&gt;AG$1185,"",AG1697+AG1977)</f>
        <v>0</v>
      </c>
      <c r="AH1417" s="119">
        <f>IF(tech_base!$T233&gt;AH$1185,"",AH1697+AH1977)</f>
        <v>0</v>
      </c>
      <c r="AI1417" s="119">
        <f>IF(tech_base!$T233&gt;AI$1185,"",AI1697+AI1977)</f>
        <v>0</v>
      </c>
      <c r="AJ1417" s="119">
        <f>IF(tech_base!$T233&gt;AJ$1185,"",AJ1697+AJ1977)</f>
        <v>0</v>
      </c>
      <c r="AK1417" s="119">
        <f>IF(tech_base!$T233&gt;AK$1185,"",AK1697+AK1977)</f>
        <v>0</v>
      </c>
      <c r="AL1417" s="119">
        <f>IF(tech_base!$T233&gt;AL$1185,"",AL1697+AL1977)</f>
        <v>0</v>
      </c>
      <c r="AM1417" s="119">
        <f>IF(tech_base!$T233&gt;AM$1185,"",AM1697+AM1977)</f>
        <v>0</v>
      </c>
      <c r="AN1417" s="119">
        <f>IF(tech_base!$T233&gt;AN$1185,"",AN1697+AN1977)</f>
        <v>0</v>
      </c>
      <c r="AO1417" s="119">
        <f>IF(tech_base!$T233&gt;AO$1185,"",AO1697+AO1977)</f>
        <v>0</v>
      </c>
      <c r="AP1417" s="119">
        <f>IF(tech_base!$T233&gt;AP$1185,"",AP1697+AP1977)</f>
        <v>0</v>
      </c>
      <c r="AQ1417" s="119">
        <f>IF(tech_base!$T233&gt;AQ$1185,"",AQ1697+AQ1977)</f>
        <v>0</v>
      </c>
      <c r="AR1417" s="119">
        <f>IF(tech_base!$T233&gt;AR$1185,"",AR1697+AR1977)</f>
        <v>0</v>
      </c>
      <c r="AS1417" s="119">
        <f>IF(tech_base!$T233&gt;AS$1185,"",AS1697+AS1977)</f>
        <v>0</v>
      </c>
      <c r="AT1417" s="119">
        <f>IF(tech_base!$T233&gt;AT$1185,"",AT1697+AT1977)</f>
        <v>0</v>
      </c>
      <c r="AU1417" s="119">
        <f>IF(tech_base!$T233&gt;AU$1185,"",AU1697+AU1977)</f>
        <v>0</v>
      </c>
      <c r="AV1417" s="119">
        <f>IF(tech_base!$T233&gt;AV$1185,"",AV1697+AV1977)</f>
        <v>0</v>
      </c>
      <c r="AW1417" s="119">
        <f>IF(tech_base!$T233&gt;AW$1185,"",AW1697+AW1977)</f>
        <v>0</v>
      </c>
      <c r="AX1417" s="120">
        <f>IF(tech_base!$T233&gt;AX$1185,"",AX1697+AX1977)</f>
        <v>0</v>
      </c>
    </row>
    <row r="1418" spans="1:50" x14ac:dyDescent="0.25">
      <c r="A1418" s="357"/>
      <c r="B1418" s="380"/>
      <c r="C1418" s="381"/>
      <c r="D1418" s="4" t="s">
        <v>8</v>
      </c>
      <c r="E1418" s="168" t="str">
        <f>A1387&amp;"/"&amp;B1407&amp;"/"&amp;C1417&amp;"/"&amp;D1418</f>
        <v>Biomass and waste fired power plants/Steam turbine/CHP with CCS/M</v>
      </c>
      <c r="F1418" s="80" t="str">
        <f>A1387</f>
        <v>Biomass and waste fired power plants</v>
      </c>
      <c r="G1418" s="80" t="str">
        <f>B1407</f>
        <v>Steam turbine</v>
      </c>
      <c r="H1418" s="80" t="str">
        <f>C1417</f>
        <v>CHP with CCS</v>
      </c>
      <c r="I1418" s="169" t="str">
        <f t="shared" si="375"/>
        <v>M</v>
      </c>
      <c r="J1418" s="127" t="str">
        <f>IF(tech_base!$T234&gt;J$1185,"",J1698+J1978)</f>
        <v/>
      </c>
      <c r="K1418" s="127" t="str">
        <f>IF(tech_base!$T234&gt;K$1185,"",K1698+K1978)</f>
        <v/>
      </c>
      <c r="L1418" s="127" t="str">
        <f>IF(tech_base!$T234&gt;L$1185,"",L1698+L1978)</f>
        <v/>
      </c>
      <c r="M1418" s="127" t="str">
        <f>IF(tech_base!$T234&gt;M$1185,"",M1698+M1978)</f>
        <v/>
      </c>
      <c r="N1418" s="127" t="str">
        <f>IF(tech_base!$T234&gt;N$1185,"",N1698+N1978)</f>
        <v/>
      </c>
      <c r="O1418" s="127" t="str">
        <f>IF(tech_base!$T234&gt;O$1185,"",O1698+O1978)</f>
        <v/>
      </c>
      <c r="P1418" s="127" t="str">
        <f>IF(tech_base!$T234&gt;P$1185,"",P1698+P1978)</f>
        <v/>
      </c>
      <c r="Q1418" s="127" t="str">
        <f>IF(tech_base!$T234&gt;Q$1185,"",Q1698+Q1978)</f>
        <v/>
      </c>
      <c r="R1418" s="127" t="str">
        <f>IF(tech_base!$T234&gt;R$1185,"",R1698+R1978)</f>
        <v/>
      </c>
      <c r="S1418" s="127" t="str">
        <f>IF(tech_base!$T234&gt;S$1185,"",S1698+S1978)</f>
        <v/>
      </c>
      <c r="T1418" s="127" t="str">
        <f>IF(tech_base!$T234&gt;T$1185,"",T1698+T1978)</f>
        <v/>
      </c>
      <c r="U1418" s="127" t="str">
        <f>IF(tech_base!$T234&gt;U$1185,"",U1698+U1978)</f>
        <v/>
      </c>
      <c r="V1418" s="127" t="str">
        <f>IF(tech_base!$T234&gt;V$1185,"",V1698+V1978)</f>
        <v/>
      </c>
      <c r="W1418" s="127" t="str">
        <f>IF(tech_base!$T234&gt;W$1185,"",W1698+W1978)</f>
        <v/>
      </c>
      <c r="X1418" s="127" t="str">
        <f>IF(tech_base!$T234&gt;X$1185,"",X1698+X1978)</f>
        <v/>
      </c>
      <c r="Y1418" s="127" t="str">
        <f>IF(tech_base!$T234&gt;Y$1185,"",Y1698+Y1978)</f>
        <v/>
      </c>
      <c r="Z1418" s="127" t="str">
        <f>IF(tech_base!$T234&gt;Z$1185,"",Z1698+Z1978)</f>
        <v/>
      </c>
      <c r="AA1418" s="127" t="str">
        <f>IF(tech_base!$T234&gt;AA$1185,"",AA1698+AA1978)</f>
        <v/>
      </c>
      <c r="AB1418" s="127" t="str">
        <f>IF(tech_base!$T234&gt;AB$1185,"",AB1698+AB1978)</f>
        <v/>
      </c>
      <c r="AC1418" s="127" t="str">
        <f>IF(tech_base!$T234&gt;AC$1185,"",AC1698+AC1978)</f>
        <v/>
      </c>
      <c r="AD1418" s="127" t="str">
        <f>IF(tech_base!$T234&gt;AD$1185,"",AD1698+AD1978)</f>
        <v/>
      </c>
      <c r="AE1418" s="127">
        <f>IF(tech_base!$T234&gt;AE$1185,"",AE1698+AE1978)</f>
        <v>0</v>
      </c>
      <c r="AF1418" s="127">
        <f>IF(tech_base!$T234&gt;AF$1185,"",AF1698+AF1978)</f>
        <v>0</v>
      </c>
      <c r="AG1418" s="127">
        <f>IF(tech_base!$T234&gt;AG$1185,"",AG1698+AG1978)</f>
        <v>0</v>
      </c>
      <c r="AH1418" s="127">
        <f>IF(tech_base!$T234&gt;AH$1185,"",AH1698+AH1978)</f>
        <v>0</v>
      </c>
      <c r="AI1418" s="127">
        <f>IF(tech_base!$T234&gt;AI$1185,"",AI1698+AI1978)</f>
        <v>0</v>
      </c>
      <c r="AJ1418" s="127">
        <f>IF(tech_base!$T234&gt;AJ$1185,"",AJ1698+AJ1978)</f>
        <v>0</v>
      </c>
      <c r="AK1418" s="127">
        <f>IF(tech_base!$T234&gt;AK$1185,"",AK1698+AK1978)</f>
        <v>0</v>
      </c>
      <c r="AL1418" s="127">
        <f>IF(tech_base!$T234&gt;AL$1185,"",AL1698+AL1978)</f>
        <v>0</v>
      </c>
      <c r="AM1418" s="127">
        <f>IF(tech_base!$T234&gt;AM$1185,"",AM1698+AM1978)</f>
        <v>0</v>
      </c>
      <c r="AN1418" s="127">
        <f>IF(tech_base!$T234&gt;AN$1185,"",AN1698+AN1978)</f>
        <v>0</v>
      </c>
      <c r="AO1418" s="127">
        <f>IF(tech_base!$T234&gt;AO$1185,"",AO1698+AO1978)</f>
        <v>0</v>
      </c>
      <c r="AP1418" s="127">
        <f>IF(tech_base!$T234&gt;AP$1185,"",AP1698+AP1978)</f>
        <v>0</v>
      </c>
      <c r="AQ1418" s="127">
        <f>IF(tech_base!$T234&gt;AQ$1185,"",AQ1698+AQ1978)</f>
        <v>0</v>
      </c>
      <c r="AR1418" s="127">
        <f>IF(tech_base!$T234&gt;AR$1185,"",AR1698+AR1978)</f>
        <v>0</v>
      </c>
      <c r="AS1418" s="127">
        <f>IF(tech_base!$T234&gt;AS$1185,"",AS1698+AS1978)</f>
        <v>0</v>
      </c>
      <c r="AT1418" s="127">
        <f>IF(tech_base!$T234&gt;AT$1185,"",AT1698+AT1978)</f>
        <v>0</v>
      </c>
      <c r="AU1418" s="127">
        <f>IF(tech_base!$T234&gt;AU$1185,"",AU1698+AU1978)</f>
        <v>0</v>
      </c>
      <c r="AV1418" s="127">
        <f>IF(tech_base!$T234&gt;AV$1185,"",AV1698+AV1978)</f>
        <v>0</v>
      </c>
      <c r="AW1418" s="127">
        <f>IF(tech_base!$T234&gt;AW$1185,"",AW1698+AW1978)</f>
        <v>0</v>
      </c>
      <c r="AX1418" s="128">
        <f>IF(tech_base!$T234&gt;AX$1185,"",AX1698+AX1978)</f>
        <v>0</v>
      </c>
    </row>
    <row r="1419" spans="1:50" x14ac:dyDescent="0.25">
      <c r="A1419" s="355" t="s">
        <v>31</v>
      </c>
      <c r="B1419" s="358" t="s">
        <v>32</v>
      </c>
      <c r="C1419" s="353" t="s">
        <v>6</v>
      </c>
      <c r="D1419" s="3" t="s">
        <v>8</v>
      </c>
      <c r="E1419" s="162" t="str">
        <f>A1419&amp;"/"&amp;B1419&amp;"/"&amp;C1419&amp;"/"&amp;D1419</f>
        <v>Fuel cells/Natural gas fuel cell power plant/Electricity only/M</v>
      </c>
      <c r="F1419" s="77" t="str">
        <f>A1419</f>
        <v>Fuel cells</v>
      </c>
      <c r="G1419" s="77" t="str">
        <f>B1419</f>
        <v>Natural gas fuel cell power plant</v>
      </c>
      <c r="H1419" s="77" t="str">
        <f>C1419</f>
        <v>Electricity only</v>
      </c>
      <c r="I1419" s="163" t="str">
        <f t="shared" si="375"/>
        <v>M</v>
      </c>
      <c r="J1419" s="121" t="str">
        <f>IF(tech_base!$T235&gt;J$1185,"",J1699+J1979)</f>
        <v/>
      </c>
      <c r="K1419" s="121" t="str">
        <f>IF(tech_base!$T235&gt;K$1185,"",K1699+K1979)</f>
        <v/>
      </c>
      <c r="L1419" s="121" t="str">
        <f>IF(tech_base!$T235&gt;L$1185,"",L1699+L1979)</f>
        <v/>
      </c>
      <c r="M1419" s="121" t="str">
        <f>IF(tech_base!$T235&gt;M$1185,"",M1699+M1979)</f>
        <v/>
      </c>
      <c r="N1419" s="121" t="str">
        <f>IF(tech_base!$T235&gt;N$1185,"",N1699+N1979)</f>
        <v/>
      </c>
      <c r="O1419" s="121" t="str">
        <f>IF(tech_base!$T235&gt;O$1185,"",O1699+O1979)</f>
        <v/>
      </c>
      <c r="P1419" s="121" t="str">
        <f>IF(tech_base!$T235&gt;P$1185,"",P1699+P1979)</f>
        <v/>
      </c>
      <c r="Q1419" s="121" t="str">
        <f>IF(tech_base!$T235&gt;Q$1185,"",Q1699+Q1979)</f>
        <v/>
      </c>
      <c r="R1419" s="121" t="str">
        <f>IF(tech_base!$T235&gt;R$1185,"",R1699+R1979)</f>
        <v/>
      </c>
      <c r="S1419" s="121" t="str">
        <f>IF(tech_base!$T235&gt;S$1185,"",S1699+S1979)</f>
        <v/>
      </c>
      <c r="T1419" s="121" t="str">
        <f>IF(tech_base!$T235&gt;T$1185,"",T1699+T1979)</f>
        <v/>
      </c>
      <c r="U1419" s="121" t="str">
        <f>IF(tech_base!$T235&gt;U$1185,"",U1699+U1979)</f>
        <v/>
      </c>
      <c r="V1419" s="121" t="str">
        <f>IF(tech_base!$T235&gt;V$1185,"",V1699+V1979)</f>
        <v/>
      </c>
      <c r="W1419" s="121" t="str">
        <f>IF(tech_base!$T235&gt;W$1185,"",W1699+W1979)</f>
        <v/>
      </c>
      <c r="X1419" s="121" t="str">
        <f>IF(tech_base!$T235&gt;X$1185,"",X1699+X1979)</f>
        <v/>
      </c>
      <c r="Y1419" s="121" t="str">
        <f>IF(tech_base!$T235&gt;Y$1185,"",Y1699+Y1979)</f>
        <v/>
      </c>
      <c r="Z1419" s="121" t="str">
        <f>IF(tech_base!$T235&gt;Z$1185,"",Z1699+Z1979)</f>
        <v/>
      </c>
      <c r="AA1419" s="121" t="str">
        <f>IF(tech_base!$T235&gt;AA$1185,"",AA1699+AA1979)</f>
        <v/>
      </c>
      <c r="AB1419" s="121" t="str">
        <f>IF(tech_base!$T235&gt;AB$1185,"",AB1699+AB1979)</f>
        <v/>
      </c>
      <c r="AC1419" s="121" t="str">
        <f>IF(tech_base!$T235&gt;AC$1185,"",AC1699+AC1979)</f>
        <v/>
      </c>
      <c r="AD1419" s="121" t="str">
        <f>IF(tech_base!$T235&gt;AD$1185,"",AD1699+AD1979)</f>
        <v/>
      </c>
      <c r="AE1419" s="121">
        <f>IF(tech_base!$T235&gt;AE$1185,"",AE1699+AE1979)</f>
        <v>0</v>
      </c>
      <c r="AF1419" s="121">
        <f>IF(tech_base!$T235&gt;AF$1185,"",AF1699+AF1979)</f>
        <v>0</v>
      </c>
      <c r="AG1419" s="121">
        <f>IF(tech_base!$T235&gt;AG$1185,"",AG1699+AG1979)</f>
        <v>0</v>
      </c>
      <c r="AH1419" s="121">
        <f>IF(tech_base!$T235&gt;AH$1185,"",AH1699+AH1979)</f>
        <v>0</v>
      </c>
      <c r="AI1419" s="121">
        <f>IF(tech_base!$T235&gt;AI$1185,"",AI1699+AI1979)</f>
        <v>0</v>
      </c>
      <c r="AJ1419" s="121">
        <f>IF(tech_base!$T235&gt;AJ$1185,"",AJ1699+AJ1979)</f>
        <v>0</v>
      </c>
      <c r="AK1419" s="121">
        <f>IF(tech_base!$T235&gt;AK$1185,"",AK1699+AK1979)</f>
        <v>0</v>
      </c>
      <c r="AL1419" s="121">
        <f>IF(tech_base!$T235&gt;AL$1185,"",AL1699+AL1979)</f>
        <v>0</v>
      </c>
      <c r="AM1419" s="121">
        <f>IF(tech_base!$T235&gt;AM$1185,"",AM1699+AM1979)</f>
        <v>0</v>
      </c>
      <c r="AN1419" s="121">
        <f>IF(tech_base!$T235&gt;AN$1185,"",AN1699+AN1979)</f>
        <v>0</v>
      </c>
      <c r="AO1419" s="121">
        <f>IF(tech_base!$T235&gt;AO$1185,"",AO1699+AO1979)</f>
        <v>0</v>
      </c>
      <c r="AP1419" s="121">
        <f>IF(tech_base!$T235&gt;AP$1185,"",AP1699+AP1979)</f>
        <v>0</v>
      </c>
      <c r="AQ1419" s="121">
        <f>IF(tech_base!$T235&gt;AQ$1185,"",AQ1699+AQ1979)</f>
        <v>0</v>
      </c>
      <c r="AR1419" s="121">
        <f>IF(tech_base!$T235&gt;AR$1185,"",AR1699+AR1979)</f>
        <v>0</v>
      </c>
      <c r="AS1419" s="121">
        <f>IF(tech_base!$T235&gt;AS$1185,"",AS1699+AS1979)</f>
        <v>0</v>
      </c>
      <c r="AT1419" s="121">
        <f>IF(tech_base!$T235&gt;AT$1185,"",AT1699+AT1979)</f>
        <v>0</v>
      </c>
      <c r="AU1419" s="121">
        <f>IF(tech_base!$T235&gt;AU$1185,"",AU1699+AU1979)</f>
        <v>0</v>
      </c>
      <c r="AV1419" s="121">
        <f>IF(tech_base!$T235&gt;AV$1185,"",AV1699+AV1979)</f>
        <v>0</v>
      </c>
      <c r="AW1419" s="121">
        <f>IF(tech_base!$T235&gt;AW$1185,"",AW1699+AW1979)</f>
        <v>0</v>
      </c>
      <c r="AX1419" s="122">
        <f>IF(tech_base!$T235&gt;AX$1185,"",AX1699+AX1979)</f>
        <v>0</v>
      </c>
    </row>
    <row r="1420" spans="1:50" x14ac:dyDescent="0.25">
      <c r="A1420" s="356"/>
      <c r="B1420" s="376"/>
      <c r="C1420" s="378"/>
      <c r="D1420" s="2" t="s">
        <v>10</v>
      </c>
      <c r="E1420" s="160" t="str">
        <f>A1419&amp;"/"&amp;B1419&amp;"/"&amp;C1419&amp;"/"&amp;D1420</f>
        <v>Fuel cells/Natural gas fuel cell power plant/Electricity only/S</v>
      </c>
      <c r="F1420" s="76" t="str">
        <f>A1419</f>
        <v>Fuel cells</v>
      </c>
      <c r="G1420" s="76" t="str">
        <f>B1419</f>
        <v>Natural gas fuel cell power plant</v>
      </c>
      <c r="H1420" s="76" t="str">
        <f>C1419</f>
        <v>Electricity only</v>
      </c>
      <c r="I1420" s="161" t="str">
        <f t="shared" si="375"/>
        <v>S</v>
      </c>
      <c r="J1420" s="119" t="str">
        <f>IF(tech_base!$T236&gt;J$1185,"",J1700+J1980)</f>
        <v/>
      </c>
      <c r="K1420" s="119" t="str">
        <f>IF(tech_base!$T236&gt;K$1185,"",K1700+K1980)</f>
        <v/>
      </c>
      <c r="L1420" s="119" t="str">
        <f>IF(tech_base!$T236&gt;L$1185,"",L1700+L1980)</f>
        <v/>
      </c>
      <c r="M1420" s="119" t="str">
        <f>IF(tech_base!$T236&gt;M$1185,"",M1700+M1980)</f>
        <v/>
      </c>
      <c r="N1420" s="119" t="str">
        <f>IF(tech_base!$T236&gt;N$1185,"",N1700+N1980)</f>
        <v/>
      </c>
      <c r="O1420" s="119" t="str">
        <f>IF(tech_base!$T236&gt;O$1185,"",O1700+O1980)</f>
        <v/>
      </c>
      <c r="P1420" s="119" t="str">
        <f>IF(tech_base!$T236&gt;P$1185,"",P1700+P1980)</f>
        <v/>
      </c>
      <c r="Q1420" s="119" t="str">
        <f>IF(tech_base!$T236&gt;Q$1185,"",Q1700+Q1980)</f>
        <v/>
      </c>
      <c r="R1420" s="119" t="str">
        <f>IF(tech_base!$T236&gt;R$1185,"",R1700+R1980)</f>
        <v/>
      </c>
      <c r="S1420" s="119" t="str">
        <f>IF(tech_base!$T236&gt;S$1185,"",S1700+S1980)</f>
        <v/>
      </c>
      <c r="T1420" s="119" t="str">
        <f>IF(tech_base!$T236&gt;T$1185,"",T1700+T1980)</f>
        <v/>
      </c>
      <c r="U1420" s="119" t="str">
        <f>IF(tech_base!$T236&gt;U$1185,"",U1700+U1980)</f>
        <v/>
      </c>
      <c r="V1420" s="119" t="str">
        <f>IF(tech_base!$T236&gt;V$1185,"",V1700+V1980)</f>
        <v/>
      </c>
      <c r="W1420" s="119" t="str">
        <f>IF(tech_base!$T236&gt;W$1185,"",W1700+W1980)</f>
        <v/>
      </c>
      <c r="X1420" s="119" t="str">
        <f>IF(tech_base!$T236&gt;X$1185,"",X1700+X1980)</f>
        <v/>
      </c>
      <c r="Y1420" s="119" t="str">
        <f>IF(tech_base!$T236&gt;Y$1185,"",Y1700+Y1980)</f>
        <v/>
      </c>
      <c r="Z1420" s="119" t="str">
        <f>IF(tech_base!$T236&gt;Z$1185,"",Z1700+Z1980)</f>
        <v/>
      </c>
      <c r="AA1420" s="119" t="str">
        <f>IF(tech_base!$T236&gt;AA$1185,"",AA1700+AA1980)</f>
        <v/>
      </c>
      <c r="AB1420" s="119" t="str">
        <f>IF(tech_base!$T236&gt;AB$1185,"",AB1700+AB1980)</f>
        <v/>
      </c>
      <c r="AC1420" s="119">
        <f>IF(tech_base!$T236&gt;AC$1185,"",AC1700+AC1980)</f>
        <v>0</v>
      </c>
      <c r="AD1420" s="119">
        <f>IF(tech_base!$T236&gt;AD$1185,"",AD1700+AD1980)</f>
        <v>0</v>
      </c>
      <c r="AE1420" s="119">
        <f>IF(tech_base!$T236&gt;AE$1185,"",AE1700+AE1980)</f>
        <v>0</v>
      </c>
      <c r="AF1420" s="119">
        <f>IF(tech_base!$T236&gt;AF$1185,"",AF1700+AF1980)</f>
        <v>0</v>
      </c>
      <c r="AG1420" s="119">
        <f>IF(tech_base!$T236&gt;AG$1185,"",AG1700+AG1980)</f>
        <v>0</v>
      </c>
      <c r="AH1420" s="119">
        <f>IF(tech_base!$T236&gt;AH$1185,"",AH1700+AH1980)</f>
        <v>0</v>
      </c>
      <c r="AI1420" s="119">
        <f>IF(tech_base!$T236&gt;AI$1185,"",AI1700+AI1980)</f>
        <v>0</v>
      </c>
      <c r="AJ1420" s="119">
        <f>IF(tech_base!$T236&gt;AJ$1185,"",AJ1700+AJ1980)</f>
        <v>0</v>
      </c>
      <c r="AK1420" s="119">
        <f>IF(tech_base!$T236&gt;AK$1185,"",AK1700+AK1980)</f>
        <v>0</v>
      </c>
      <c r="AL1420" s="119">
        <f>IF(tech_base!$T236&gt;AL$1185,"",AL1700+AL1980)</f>
        <v>0</v>
      </c>
      <c r="AM1420" s="119">
        <f>IF(tech_base!$T236&gt;AM$1185,"",AM1700+AM1980)</f>
        <v>0</v>
      </c>
      <c r="AN1420" s="119">
        <f>IF(tech_base!$T236&gt;AN$1185,"",AN1700+AN1980)</f>
        <v>0</v>
      </c>
      <c r="AO1420" s="119">
        <f>IF(tech_base!$T236&gt;AO$1185,"",AO1700+AO1980)</f>
        <v>0</v>
      </c>
      <c r="AP1420" s="119">
        <f>IF(tech_base!$T236&gt;AP$1185,"",AP1700+AP1980)</f>
        <v>0</v>
      </c>
      <c r="AQ1420" s="119">
        <f>IF(tech_base!$T236&gt;AQ$1185,"",AQ1700+AQ1980)</f>
        <v>0</v>
      </c>
      <c r="AR1420" s="119">
        <f>IF(tech_base!$T236&gt;AR$1185,"",AR1700+AR1980)</f>
        <v>0</v>
      </c>
      <c r="AS1420" s="119">
        <f>IF(tech_base!$T236&gt;AS$1185,"",AS1700+AS1980)</f>
        <v>0</v>
      </c>
      <c r="AT1420" s="119">
        <f>IF(tech_base!$T236&gt;AT$1185,"",AT1700+AT1980)</f>
        <v>0</v>
      </c>
      <c r="AU1420" s="119">
        <f>IF(tech_base!$T236&gt;AU$1185,"",AU1700+AU1980)</f>
        <v>0</v>
      </c>
      <c r="AV1420" s="119">
        <f>IF(tech_base!$T236&gt;AV$1185,"",AV1700+AV1980)</f>
        <v>0</v>
      </c>
      <c r="AW1420" s="119">
        <f>IF(tech_base!$T236&gt;AW$1185,"",AW1700+AW1980)</f>
        <v>0</v>
      </c>
      <c r="AX1420" s="120">
        <f>IF(tech_base!$T236&gt;AX$1185,"",AX1700+AX1980)</f>
        <v>0</v>
      </c>
    </row>
    <row r="1421" spans="1:50" x14ac:dyDescent="0.25">
      <c r="A1421" s="356"/>
      <c r="B1421" s="377"/>
      <c r="C1421" s="379"/>
      <c r="D1421" s="59" t="s">
        <v>20</v>
      </c>
      <c r="E1421" s="166" t="str">
        <f>A1419&amp;"/"&amp;B1419&amp;"/"&amp;C1419&amp;"/"&amp;D1421</f>
        <v>Fuel cells/Natural gas fuel cell power plant/Electricity only/XS</v>
      </c>
      <c r="F1421" s="79" t="str">
        <f>A1419</f>
        <v>Fuel cells</v>
      </c>
      <c r="G1421" s="79" t="str">
        <f>B1419</f>
        <v>Natural gas fuel cell power plant</v>
      </c>
      <c r="H1421" s="79" t="str">
        <f>C1419</f>
        <v>Electricity only</v>
      </c>
      <c r="I1421" s="167" t="str">
        <f t="shared" si="375"/>
        <v>XS</v>
      </c>
      <c r="J1421" s="125" t="str">
        <f>IF(tech_base!$T237&gt;J$1185,"",J1701+J1981)</f>
        <v/>
      </c>
      <c r="K1421" s="125" t="str">
        <f>IF(tech_base!$T237&gt;K$1185,"",K1701+K1981)</f>
        <v/>
      </c>
      <c r="L1421" s="125" t="str">
        <f>IF(tech_base!$T237&gt;L$1185,"",L1701+L1981)</f>
        <v/>
      </c>
      <c r="M1421" s="125" t="str">
        <f>IF(tech_base!$T237&gt;M$1185,"",M1701+M1981)</f>
        <v/>
      </c>
      <c r="N1421" s="125" t="str">
        <f>IF(tech_base!$T237&gt;N$1185,"",N1701+N1981)</f>
        <v/>
      </c>
      <c r="O1421" s="125" t="str">
        <f>IF(tech_base!$T237&gt;O$1185,"",O1701+O1981)</f>
        <v/>
      </c>
      <c r="P1421" s="125" t="str">
        <f>IF(tech_base!$T237&gt;P$1185,"",P1701+P1981)</f>
        <v/>
      </c>
      <c r="Q1421" s="125" t="str">
        <f>IF(tech_base!$T237&gt;Q$1185,"",Q1701+Q1981)</f>
        <v/>
      </c>
      <c r="R1421" s="125" t="str">
        <f>IF(tech_base!$T237&gt;R$1185,"",R1701+R1981)</f>
        <v/>
      </c>
      <c r="S1421" s="125" t="str">
        <f>IF(tech_base!$T237&gt;S$1185,"",S1701+S1981)</f>
        <v/>
      </c>
      <c r="T1421" s="125" t="str">
        <f>IF(tech_base!$T237&gt;T$1185,"",T1701+T1981)</f>
        <v/>
      </c>
      <c r="U1421" s="125" t="str">
        <f>IF(tech_base!$T237&gt;U$1185,"",U1701+U1981)</f>
        <v/>
      </c>
      <c r="V1421" s="125" t="str">
        <f>IF(tech_base!$T237&gt;V$1185,"",V1701+V1981)</f>
        <v/>
      </c>
      <c r="W1421" s="125" t="str">
        <f>IF(tech_base!$T237&gt;W$1185,"",W1701+W1981)</f>
        <v/>
      </c>
      <c r="X1421" s="125" t="str">
        <f>IF(tech_base!$T237&gt;X$1185,"",X1701+X1981)</f>
        <v/>
      </c>
      <c r="Y1421" s="125" t="str">
        <f>IF(tech_base!$T237&gt;Y$1185,"",Y1701+Y1981)</f>
        <v/>
      </c>
      <c r="Z1421" s="125">
        <f>IF(tech_base!$T237&gt;Z$1185,"",Z1701+Z1981)</f>
        <v>0</v>
      </c>
      <c r="AA1421" s="125">
        <f>IF(tech_base!$T237&gt;AA$1185,"",AA1701+AA1981)</f>
        <v>0</v>
      </c>
      <c r="AB1421" s="125">
        <f>IF(tech_base!$T237&gt;AB$1185,"",AB1701+AB1981)</f>
        <v>0</v>
      </c>
      <c r="AC1421" s="125">
        <f>IF(tech_base!$T237&gt;AC$1185,"",AC1701+AC1981)</f>
        <v>0</v>
      </c>
      <c r="AD1421" s="125">
        <f>IF(tech_base!$T237&gt;AD$1185,"",AD1701+AD1981)</f>
        <v>0</v>
      </c>
      <c r="AE1421" s="125">
        <f>IF(tech_base!$T237&gt;AE$1185,"",AE1701+AE1981)</f>
        <v>0</v>
      </c>
      <c r="AF1421" s="125">
        <f>IF(tech_base!$T237&gt;AF$1185,"",AF1701+AF1981)</f>
        <v>0</v>
      </c>
      <c r="AG1421" s="125">
        <f>IF(tech_base!$T237&gt;AG$1185,"",AG1701+AG1981)</f>
        <v>0</v>
      </c>
      <c r="AH1421" s="125">
        <f>IF(tech_base!$T237&gt;AH$1185,"",AH1701+AH1981)</f>
        <v>0</v>
      </c>
      <c r="AI1421" s="125">
        <f>IF(tech_base!$T237&gt;AI$1185,"",AI1701+AI1981)</f>
        <v>0</v>
      </c>
      <c r="AJ1421" s="125">
        <f>IF(tech_base!$T237&gt;AJ$1185,"",AJ1701+AJ1981)</f>
        <v>0</v>
      </c>
      <c r="AK1421" s="125">
        <f>IF(tech_base!$T237&gt;AK$1185,"",AK1701+AK1981)</f>
        <v>0</v>
      </c>
      <c r="AL1421" s="125">
        <f>IF(tech_base!$T237&gt;AL$1185,"",AL1701+AL1981)</f>
        <v>0</v>
      </c>
      <c r="AM1421" s="125">
        <f>IF(tech_base!$T237&gt;AM$1185,"",AM1701+AM1981)</f>
        <v>0</v>
      </c>
      <c r="AN1421" s="125">
        <f>IF(tech_base!$T237&gt;AN$1185,"",AN1701+AN1981)</f>
        <v>0</v>
      </c>
      <c r="AO1421" s="125">
        <f>IF(tech_base!$T237&gt;AO$1185,"",AO1701+AO1981)</f>
        <v>0</v>
      </c>
      <c r="AP1421" s="125">
        <f>IF(tech_base!$T237&gt;AP$1185,"",AP1701+AP1981)</f>
        <v>0</v>
      </c>
      <c r="AQ1421" s="125">
        <f>IF(tech_base!$T237&gt;AQ$1185,"",AQ1701+AQ1981)</f>
        <v>0</v>
      </c>
      <c r="AR1421" s="125">
        <f>IF(tech_base!$T237&gt;AR$1185,"",AR1701+AR1981)</f>
        <v>0</v>
      </c>
      <c r="AS1421" s="125">
        <f>IF(tech_base!$T237&gt;AS$1185,"",AS1701+AS1981)</f>
        <v>0</v>
      </c>
      <c r="AT1421" s="125">
        <f>IF(tech_base!$T237&gt;AT$1185,"",AT1701+AT1981)</f>
        <v>0</v>
      </c>
      <c r="AU1421" s="125">
        <f>IF(tech_base!$T237&gt;AU$1185,"",AU1701+AU1981)</f>
        <v>0</v>
      </c>
      <c r="AV1421" s="125">
        <f>IF(tech_base!$T237&gt;AV$1185,"",AV1701+AV1981)</f>
        <v>0</v>
      </c>
      <c r="AW1421" s="125">
        <f>IF(tech_base!$T237&gt;AW$1185,"",AW1701+AW1981)</f>
        <v>0</v>
      </c>
      <c r="AX1421" s="126">
        <f>IF(tech_base!$T237&gt;AX$1185,"",AX1701+AX1981)</f>
        <v>0</v>
      </c>
    </row>
    <row r="1422" spans="1:50" x14ac:dyDescent="0.25">
      <c r="A1422" s="356"/>
      <c r="B1422" s="359" t="s">
        <v>33</v>
      </c>
      <c r="C1422" s="350" t="s">
        <v>6</v>
      </c>
      <c r="D1422" s="2" t="s">
        <v>8</v>
      </c>
      <c r="E1422" s="160" t="str">
        <f>A1419&amp;"/"&amp;B1422&amp;"/"&amp;C1422&amp;"/"&amp;D1422</f>
        <v>Fuel cells/Hydrogen fuel cell power plant/Electricity only/M</v>
      </c>
      <c r="F1422" s="76" t="str">
        <f>A1419</f>
        <v>Fuel cells</v>
      </c>
      <c r="G1422" s="76" t="str">
        <f>B1422</f>
        <v>Hydrogen fuel cell power plant</v>
      </c>
      <c r="H1422" s="76" t="str">
        <f>C1422</f>
        <v>Electricity only</v>
      </c>
      <c r="I1422" s="161" t="str">
        <f t="shared" si="375"/>
        <v>M</v>
      </c>
      <c r="J1422" s="119" t="str">
        <f>IF(tech_base!$T238&gt;J$1185,"",J1702+J1982)</f>
        <v/>
      </c>
      <c r="K1422" s="119" t="str">
        <f>IF(tech_base!$T238&gt;K$1185,"",K1702+K1982)</f>
        <v/>
      </c>
      <c r="L1422" s="119" t="str">
        <f>IF(tech_base!$T238&gt;L$1185,"",L1702+L1982)</f>
        <v/>
      </c>
      <c r="M1422" s="119" t="str">
        <f>IF(tech_base!$T238&gt;M$1185,"",M1702+M1982)</f>
        <v/>
      </c>
      <c r="N1422" s="119" t="str">
        <f>IF(tech_base!$T238&gt;N$1185,"",N1702+N1982)</f>
        <v/>
      </c>
      <c r="O1422" s="119" t="str">
        <f>IF(tech_base!$T238&gt;O$1185,"",O1702+O1982)</f>
        <v/>
      </c>
      <c r="P1422" s="119" t="str">
        <f>IF(tech_base!$T238&gt;P$1185,"",P1702+P1982)</f>
        <v/>
      </c>
      <c r="Q1422" s="119" t="str">
        <f>IF(tech_base!$T238&gt;Q$1185,"",Q1702+Q1982)</f>
        <v/>
      </c>
      <c r="R1422" s="119" t="str">
        <f>IF(tech_base!$T238&gt;R$1185,"",R1702+R1982)</f>
        <v/>
      </c>
      <c r="S1422" s="119" t="str">
        <f>IF(tech_base!$T238&gt;S$1185,"",S1702+S1982)</f>
        <v/>
      </c>
      <c r="T1422" s="119" t="str">
        <f>IF(tech_base!$T238&gt;T$1185,"",T1702+T1982)</f>
        <v/>
      </c>
      <c r="U1422" s="119" t="str">
        <f>IF(tech_base!$T238&gt;U$1185,"",U1702+U1982)</f>
        <v/>
      </c>
      <c r="V1422" s="119" t="str">
        <f>IF(tech_base!$T238&gt;V$1185,"",V1702+V1982)</f>
        <v/>
      </c>
      <c r="W1422" s="119" t="str">
        <f>IF(tech_base!$T238&gt;W$1185,"",W1702+W1982)</f>
        <v/>
      </c>
      <c r="X1422" s="119" t="str">
        <f>IF(tech_base!$T238&gt;X$1185,"",X1702+X1982)</f>
        <v/>
      </c>
      <c r="Y1422" s="119" t="str">
        <f>IF(tech_base!$T238&gt;Y$1185,"",Y1702+Y1982)</f>
        <v/>
      </c>
      <c r="Z1422" s="119" t="str">
        <f>IF(tech_base!$T238&gt;Z$1185,"",Z1702+Z1982)</f>
        <v/>
      </c>
      <c r="AA1422" s="119" t="str">
        <f>IF(tech_base!$T238&gt;AA$1185,"",AA1702+AA1982)</f>
        <v/>
      </c>
      <c r="AB1422" s="119" t="str">
        <f>IF(tech_base!$T238&gt;AB$1185,"",AB1702+AB1982)</f>
        <v/>
      </c>
      <c r="AC1422" s="119" t="str">
        <f>IF(tech_base!$T238&gt;AC$1185,"",AC1702+AC1982)</f>
        <v/>
      </c>
      <c r="AD1422" s="119" t="str">
        <f>IF(tech_base!$T238&gt;AD$1185,"",AD1702+AD1982)</f>
        <v/>
      </c>
      <c r="AE1422" s="119" t="str">
        <f>IF(tech_base!$T238&gt;AE$1185,"",AE1702+AE1982)</f>
        <v/>
      </c>
      <c r="AF1422" s="119" t="str">
        <f>IF(tech_base!$T238&gt;AF$1185,"",AF1702+AF1982)</f>
        <v/>
      </c>
      <c r="AG1422" s="119">
        <f>IF(tech_base!$T238&gt;AG$1185,"",AG1702+AG1982)</f>
        <v>0</v>
      </c>
      <c r="AH1422" s="119">
        <f>IF(tech_base!$T238&gt;AH$1185,"",AH1702+AH1982)</f>
        <v>0</v>
      </c>
      <c r="AI1422" s="119">
        <f>IF(tech_base!$T238&gt;AI$1185,"",AI1702+AI1982)</f>
        <v>0</v>
      </c>
      <c r="AJ1422" s="119">
        <f>IF(tech_base!$T238&gt;AJ$1185,"",AJ1702+AJ1982)</f>
        <v>0</v>
      </c>
      <c r="AK1422" s="119">
        <f>IF(tech_base!$T238&gt;AK$1185,"",AK1702+AK1982)</f>
        <v>0</v>
      </c>
      <c r="AL1422" s="119">
        <f>IF(tech_base!$T238&gt;AL$1185,"",AL1702+AL1982)</f>
        <v>0</v>
      </c>
      <c r="AM1422" s="119">
        <f>IF(tech_base!$T238&gt;AM$1185,"",AM1702+AM1982)</f>
        <v>0</v>
      </c>
      <c r="AN1422" s="119">
        <f>IF(tech_base!$T238&gt;AN$1185,"",AN1702+AN1982)</f>
        <v>0</v>
      </c>
      <c r="AO1422" s="119">
        <f>IF(tech_base!$T238&gt;AO$1185,"",AO1702+AO1982)</f>
        <v>0</v>
      </c>
      <c r="AP1422" s="119">
        <f>IF(tech_base!$T238&gt;AP$1185,"",AP1702+AP1982)</f>
        <v>0</v>
      </c>
      <c r="AQ1422" s="119">
        <f>IF(tech_base!$T238&gt;AQ$1185,"",AQ1702+AQ1982)</f>
        <v>0</v>
      </c>
      <c r="AR1422" s="119">
        <f>IF(tech_base!$T238&gt;AR$1185,"",AR1702+AR1982)</f>
        <v>0</v>
      </c>
      <c r="AS1422" s="119">
        <f>IF(tech_base!$T238&gt;AS$1185,"",AS1702+AS1982)</f>
        <v>0</v>
      </c>
      <c r="AT1422" s="119">
        <f>IF(tech_base!$T238&gt;AT$1185,"",AT1702+AT1982)</f>
        <v>0</v>
      </c>
      <c r="AU1422" s="119">
        <f>IF(tech_base!$T238&gt;AU$1185,"",AU1702+AU1982)</f>
        <v>0</v>
      </c>
      <c r="AV1422" s="119">
        <f>IF(tech_base!$T238&gt;AV$1185,"",AV1702+AV1982)</f>
        <v>0</v>
      </c>
      <c r="AW1422" s="119">
        <f>IF(tech_base!$T238&gt;AW$1185,"",AW1702+AW1982)</f>
        <v>0</v>
      </c>
      <c r="AX1422" s="120">
        <f>IF(tech_base!$T238&gt;AX$1185,"",AX1702+AX1982)</f>
        <v>0</v>
      </c>
    </row>
    <row r="1423" spans="1:50" x14ac:dyDescent="0.25">
      <c r="A1423" s="356"/>
      <c r="B1423" s="376"/>
      <c r="C1423" s="378"/>
      <c r="D1423" s="2" t="s">
        <v>10</v>
      </c>
      <c r="E1423" s="160" t="str">
        <f>A1419&amp;"/"&amp;B1422&amp;"/"&amp;C1422&amp;"/"&amp;D1423</f>
        <v>Fuel cells/Hydrogen fuel cell power plant/Electricity only/S</v>
      </c>
      <c r="F1423" s="76" t="str">
        <f>A1419</f>
        <v>Fuel cells</v>
      </c>
      <c r="G1423" s="76" t="str">
        <f>B1422</f>
        <v>Hydrogen fuel cell power plant</v>
      </c>
      <c r="H1423" s="76" t="str">
        <f>C1422</f>
        <v>Electricity only</v>
      </c>
      <c r="I1423" s="161" t="str">
        <f t="shared" si="375"/>
        <v>S</v>
      </c>
      <c r="J1423" s="119" t="str">
        <f>IF(tech_base!$T239&gt;J$1185,"",J1703+J1983)</f>
        <v/>
      </c>
      <c r="K1423" s="119" t="str">
        <f>IF(tech_base!$T239&gt;K$1185,"",K1703+K1983)</f>
        <v/>
      </c>
      <c r="L1423" s="119" t="str">
        <f>IF(tech_base!$T239&gt;L$1185,"",L1703+L1983)</f>
        <v/>
      </c>
      <c r="M1423" s="119" t="str">
        <f>IF(tech_base!$T239&gt;M$1185,"",M1703+M1983)</f>
        <v/>
      </c>
      <c r="N1423" s="119" t="str">
        <f>IF(tech_base!$T239&gt;N$1185,"",N1703+N1983)</f>
        <v/>
      </c>
      <c r="O1423" s="119" t="str">
        <f>IF(tech_base!$T239&gt;O$1185,"",O1703+O1983)</f>
        <v/>
      </c>
      <c r="P1423" s="119" t="str">
        <f>IF(tech_base!$T239&gt;P$1185,"",P1703+P1983)</f>
        <v/>
      </c>
      <c r="Q1423" s="119" t="str">
        <f>IF(tech_base!$T239&gt;Q$1185,"",Q1703+Q1983)</f>
        <v/>
      </c>
      <c r="R1423" s="119" t="str">
        <f>IF(tech_base!$T239&gt;R$1185,"",R1703+R1983)</f>
        <v/>
      </c>
      <c r="S1423" s="119" t="str">
        <f>IF(tech_base!$T239&gt;S$1185,"",S1703+S1983)</f>
        <v/>
      </c>
      <c r="T1423" s="119" t="str">
        <f>IF(tech_base!$T239&gt;T$1185,"",T1703+T1983)</f>
        <v/>
      </c>
      <c r="U1423" s="119" t="str">
        <f>IF(tech_base!$T239&gt;U$1185,"",U1703+U1983)</f>
        <v/>
      </c>
      <c r="V1423" s="119" t="str">
        <f>IF(tech_base!$T239&gt;V$1185,"",V1703+V1983)</f>
        <v/>
      </c>
      <c r="W1423" s="119" t="str">
        <f>IF(tech_base!$T239&gt;W$1185,"",W1703+W1983)</f>
        <v/>
      </c>
      <c r="X1423" s="119" t="str">
        <f>IF(tech_base!$T239&gt;X$1185,"",X1703+X1983)</f>
        <v/>
      </c>
      <c r="Y1423" s="119" t="str">
        <f>IF(tech_base!$T239&gt;Y$1185,"",Y1703+Y1983)</f>
        <v/>
      </c>
      <c r="Z1423" s="119" t="str">
        <f>IF(tech_base!$T239&gt;Z$1185,"",Z1703+Z1983)</f>
        <v/>
      </c>
      <c r="AA1423" s="119" t="str">
        <f>IF(tech_base!$T239&gt;AA$1185,"",AA1703+AA1983)</f>
        <v/>
      </c>
      <c r="AB1423" s="119" t="str">
        <f>IF(tech_base!$T239&gt;AB$1185,"",AB1703+AB1983)</f>
        <v/>
      </c>
      <c r="AC1423" s="119" t="str">
        <f>IF(tech_base!$T239&gt;AC$1185,"",AC1703+AC1983)</f>
        <v/>
      </c>
      <c r="AD1423" s="119" t="str">
        <f>IF(tech_base!$T239&gt;AD$1185,"",AD1703+AD1983)</f>
        <v/>
      </c>
      <c r="AE1423" s="119">
        <f>IF(tech_base!$T239&gt;AE$1185,"",AE1703+AE1983)</f>
        <v>0</v>
      </c>
      <c r="AF1423" s="119">
        <f>IF(tech_base!$T239&gt;AF$1185,"",AF1703+AF1983)</f>
        <v>0</v>
      </c>
      <c r="AG1423" s="119">
        <f>IF(tech_base!$T239&gt;AG$1185,"",AG1703+AG1983)</f>
        <v>0</v>
      </c>
      <c r="AH1423" s="119">
        <f>IF(tech_base!$T239&gt;AH$1185,"",AH1703+AH1983)</f>
        <v>0</v>
      </c>
      <c r="AI1423" s="119">
        <f>IF(tech_base!$T239&gt;AI$1185,"",AI1703+AI1983)</f>
        <v>0</v>
      </c>
      <c r="AJ1423" s="119">
        <f>IF(tech_base!$T239&gt;AJ$1185,"",AJ1703+AJ1983)</f>
        <v>0</v>
      </c>
      <c r="AK1423" s="119">
        <f>IF(tech_base!$T239&gt;AK$1185,"",AK1703+AK1983)</f>
        <v>0</v>
      </c>
      <c r="AL1423" s="119">
        <f>IF(tech_base!$T239&gt;AL$1185,"",AL1703+AL1983)</f>
        <v>0</v>
      </c>
      <c r="AM1423" s="119">
        <f>IF(tech_base!$T239&gt;AM$1185,"",AM1703+AM1983)</f>
        <v>0</v>
      </c>
      <c r="AN1423" s="119">
        <f>IF(tech_base!$T239&gt;AN$1185,"",AN1703+AN1983)</f>
        <v>0</v>
      </c>
      <c r="AO1423" s="119">
        <f>IF(tech_base!$T239&gt;AO$1185,"",AO1703+AO1983)</f>
        <v>0</v>
      </c>
      <c r="AP1423" s="119">
        <f>IF(tech_base!$T239&gt;AP$1185,"",AP1703+AP1983)</f>
        <v>0</v>
      </c>
      <c r="AQ1423" s="119">
        <f>IF(tech_base!$T239&gt;AQ$1185,"",AQ1703+AQ1983)</f>
        <v>0</v>
      </c>
      <c r="AR1423" s="119">
        <f>IF(tech_base!$T239&gt;AR$1185,"",AR1703+AR1983)</f>
        <v>0</v>
      </c>
      <c r="AS1423" s="119">
        <f>IF(tech_base!$T239&gt;AS$1185,"",AS1703+AS1983)</f>
        <v>0</v>
      </c>
      <c r="AT1423" s="119">
        <f>IF(tech_base!$T239&gt;AT$1185,"",AT1703+AT1983)</f>
        <v>0</v>
      </c>
      <c r="AU1423" s="119">
        <f>IF(tech_base!$T239&gt;AU$1185,"",AU1703+AU1983)</f>
        <v>0</v>
      </c>
      <c r="AV1423" s="119">
        <f>IF(tech_base!$T239&gt;AV$1185,"",AV1703+AV1983)</f>
        <v>0</v>
      </c>
      <c r="AW1423" s="119">
        <f>IF(tech_base!$T239&gt;AW$1185,"",AW1703+AW1983)</f>
        <v>0</v>
      </c>
      <c r="AX1423" s="120">
        <f>IF(tech_base!$T239&gt;AX$1185,"",AX1703+AX1983)</f>
        <v>0</v>
      </c>
    </row>
    <row r="1424" spans="1:50" x14ac:dyDescent="0.25">
      <c r="A1424" s="357"/>
      <c r="B1424" s="380"/>
      <c r="C1424" s="381"/>
      <c r="D1424" s="4" t="s">
        <v>20</v>
      </c>
      <c r="E1424" s="160" t="str">
        <f>A1419&amp;"/"&amp;B1422&amp;"/"&amp;C1422&amp;"/"&amp;D1424</f>
        <v>Fuel cells/Hydrogen fuel cell power plant/Electricity only/XS</v>
      </c>
      <c r="F1424" s="76" t="str">
        <f>A1419</f>
        <v>Fuel cells</v>
      </c>
      <c r="G1424" s="76" t="str">
        <f>B1422</f>
        <v>Hydrogen fuel cell power plant</v>
      </c>
      <c r="H1424" s="76" t="str">
        <f>C1422</f>
        <v>Electricity only</v>
      </c>
      <c r="I1424" s="161" t="str">
        <f t="shared" si="375"/>
        <v>XS</v>
      </c>
      <c r="J1424" s="119" t="str">
        <f>IF(tech_base!$T240&gt;J$1185,"",J1704+J1984)</f>
        <v/>
      </c>
      <c r="K1424" s="119" t="str">
        <f>IF(tech_base!$T240&gt;K$1185,"",K1704+K1984)</f>
        <v/>
      </c>
      <c r="L1424" s="119" t="str">
        <f>IF(tech_base!$T240&gt;L$1185,"",L1704+L1984)</f>
        <v/>
      </c>
      <c r="M1424" s="119" t="str">
        <f>IF(tech_base!$T240&gt;M$1185,"",M1704+M1984)</f>
        <v/>
      </c>
      <c r="N1424" s="119" t="str">
        <f>IF(tech_base!$T240&gt;N$1185,"",N1704+N1984)</f>
        <v/>
      </c>
      <c r="O1424" s="119" t="str">
        <f>IF(tech_base!$T240&gt;O$1185,"",O1704+O1984)</f>
        <v/>
      </c>
      <c r="P1424" s="119" t="str">
        <f>IF(tech_base!$T240&gt;P$1185,"",P1704+P1984)</f>
        <v/>
      </c>
      <c r="Q1424" s="119" t="str">
        <f>IF(tech_base!$T240&gt;Q$1185,"",Q1704+Q1984)</f>
        <v/>
      </c>
      <c r="R1424" s="119" t="str">
        <f>IF(tech_base!$T240&gt;R$1185,"",R1704+R1984)</f>
        <v/>
      </c>
      <c r="S1424" s="119" t="str">
        <f>IF(tech_base!$T240&gt;S$1185,"",S1704+S1984)</f>
        <v/>
      </c>
      <c r="T1424" s="119" t="str">
        <f>IF(tech_base!$T240&gt;T$1185,"",T1704+T1984)</f>
        <v/>
      </c>
      <c r="U1424" s="119" t="str">
        <f>IF(tech_base!$T240&gt;U$1185,"",U1704+U1984)</f>
        <v/>
      </c>
      <c r="V1424" s="119" t="str">
        <f>IF(tech_base!$T240&gt;V$1185,"",V1704+V1984)</f>
        <v/>
      </c>
      <c r="W1424" s="119" t="str">
        <f>IF(tech_base!$T240&gt;W$1185,"",W1704+W1984)</f>
        <v/>
      </c>
      <c r="X1424" s="119" t="str">
        <f>IF(tech_base!$T240&gt;X$1185,"",X1704+X1984)</f>
        <v/>
      </c>
      <c r="Y1424" s="119" t="str">
        <f>IF(tech_base!$T240&gt;Y$1185,"",Y1704+Y1984)</f>
        <v/>
      </c>
      <c r="Z1424" s="119" t="str">
        <f>IF(tech_base!$T240&gt;Z$1185,"",Z1704+Z1984)</f>
        <v/>
      </c>
      <c r="AA1424" s="119" t="str">
        <f>IF(tech_base!$T240&gt;AA$1185,"",AA1704+AA1984)</f>
        <v/>
      </c>
      <c r="AB1424" s="119">
        <f>IF(tech_base!$T240&gt;AB$1185,"",AB1704+AB1984)</f>
        <v>0</v>
      </c>
      <c r="AC1424" s="119">
        <f>IF(tech_base!$T240&gt;AC$1185,"",AC1704+AC1984)</f>
        <v>0</v>
      </c>
      <c r="AD1424" s="119">
        <f>IF(tech_base!$T240&gt;AD$1185,"",AD1704+AD1984)</f>
        <v>0</v>
      </c>
      <c r="AE1424" s="119">
        <f>IF(tech_base!$T240&gt;AE$1185,"",AE1704+AE1984)</f>
        <v>0</v>
      </c>
      <c r="AF1424" s="119">
        <f>IF(tech_base!$T240&gt;AF$1185,"",AF1704+AF1984)</f>
        <v>0</v>
      </c>
      <c r="AG1424" s="119">
        <f>IF(tech_base!$T240&gt;AG$1185,"",AG1704+AG1984)</f>
        <v>0</v>
      </c>
      <c r="AH1424" s="119">
        <f>IF(tech_base!$T240&gt;AH$1185,"",AH1704+AH1984)</f>
        <v>0</v>
      </c>
      <c r="AI1424" s="119">
        <f>IF(tech_base!$T240&gt;AI$1185,"",AI1704+AI1984)</f>
        <v>0</v>
      </c>
      <c r="AJ1424" s="119">
        <f>IF(tech_base!$T240&gt;AJ$1185,"",AJ1704+AJ1984)</f>
        <v>0</v>
      </c>
      <c r="AK1424" s="119">
        <f>IF(tech_base!$T240&gt;AK$1185,"",AK1704+AK1984)</f>
        <v>0</v>
      </c>
      <c r="AL1424" s="119">
        <f>IF(tech_base!$T240&gt;AL$1185,"",AL1704+AL1984)</f>
        <v>0</v>
      </c>
      <c r="AM1424" s="119">
        <f>IF(tech_base!$T240&gt;AM$1185,"",AM1704+AM1984)</f>
        <v>0</v>
      </c>
      <c r="AN1424" s="119">
        <f>IF(tech_base!$T240&gt;AN$1185,"",AN1704+AN1984)</f>
        <v>0</v>
      </c>
      <c r="AO1424" s="119">
        <f>IF(tech_base!$T240&gt;AO$1185,"",AO1704+AO1984)</f>
        <v>0</v>
      </c>
      <c r="AP1424" s="119">
        <f>IF(tech_base!$T240&gt;AP$1185,"",AP1704+AP1984)</f>
        <v>0</v>
      </c>
      <c r="AQ1424" s="119">
        <f>IF(tech_base!$T240&gt;AQ$1185,"",AQ1704+AQ1984)</f>
        <v>0</v>
      </c>
      <c r="AR1424" s="119">
        <f>IF(tech_base!$T240&gt;AR$1185,"",AR1704+AR1984)</f>
        <v>0</v>
      </c>
      <c r="AS1424" s="119">
        <f>IF(tech_base!$T240&gt;AS$1185,"",AS1704+AS1984)</f>
        <v>0</v>
      </c>
      <c r="AT1424" s="119">
        <f>IF(tech_base!$T240&gt;AT$1185,"",AT1704+AT1984)</f>
        <v>0</v>
      </c>
      <c r="AU1424" s="119">
        <f>IF(tech_base!$T240&gt;AU$1185,"",AU1704+AU1984)</f>
        <v>0</v>
      </c>
      <c r="AV1424" s="119">
        <f>IF(tech_base!$T240&gt;AV$1185,"",AV1704+AV1984)</f>
        <v>0</v>
      </c>
      <c r="AW1424" s="119">
        <f>IF(tech_base!$T240&gt;AW$1185,"",AW1704+AW1984)</f>
        <v>0</v>
      </c>
      <c r="AX1424" s="120">
        <f>IF(tech_base!$T240&gt;AX$1185,"",AX1704+AX1984)</f>
        <v>0</v>
      </c>
    </row>
    <row r="1425" spans="1:50" x14ac:dyDescent="0.25">
      <c r="A1425" s="355" t="s">
        <v>34</v>
      </c>
      <c r="B1425" s="358" t="s">
        <v>35</v>
      </c>
      <c r="C1425" s="353" t="s">
        <v>6</v>
      </c>
      <c r="D1425" s="3" t="s">
        <v>7</v>
      </c>
      <c r="E1425" s="162" t="str">
        <f>A1425&amp;"/"&amp;B1425&amp;"/"&amp;C1425&amp;"/"&amp;D1425</f>
        <v>Wind power plants/Onshore/Electricity only/L</v>
      </c>
      <c r="F1425" s="77" t="str">
        <f>A1425</f>
        <v>Wind power plants</v>
      </c>
      <c r="G1425" s="77" t="str">
        <f>B1425</f>
        <v>Onshore</v>
      </c>
      <c r="H1425" s="77" t="str">
        <f>C1425</f>
        <v>Electricity only</v>
      </c>
      <c r="I1425" s="163" t="str">
        <f t="shared" si="375"/>
        <v>L</v>
      </c>
      <c r="J1425" s="121">
        <f>IF(tech_base!$T241&gt;J$1185,"",J1705+J1985)</f>
        <v>0</v>
      </c>
      <c r="K1425" s="121">
        <f>IF(tech_base!$T241&gt;K$1185,"",K1705+K1985)</f>
        <v>0</v>
      </c>
      <c r="L1425" s="121">
        <f>IF(tech_base!$T241&gt;L$1185,"",L1705+L1985)</f>
        <v>0</v>
      </c>
      <c r="M1425" s="121">
        <f>IF(tech_base!$T241&gt;M$1185,"",M1705+M1985)</f>
        <v>0</v>
      </c>
      <c r="N1425" s="121">
        <f>IF(tech_base!$T241&gt;N$1185,"",N1705+N1985)</f>
        <v>0</v>
      </c>
      <c r="O1425" s="121">
        <f>IF(tech_base!$T241&gt;O$1185,"",O1705+O1985)</f>
        <v>0</v>
      </c>
      <c r="P1425" s="121">
        <f>IF(tech_base!$T241&gt;P$1185,"",P1705+P1985)</f>
        <v>0</v>
      </c>
      <c r="Q1425" s="121">
        <f>IF(tech_base!$T241&gt;Q$1185,"",Q1705+Q1985)</f>
        <v>0</v>
      </c>
      <c r="R1425" s="121">
        <f>IF(tech_base!$T241&gt;R$1185,"",R1705+R1985)</f>
        <v>0</v>
      </c>
      <c r="S1425" s="121">
        <f>IF(tech_base!$T241&gt;S$1185,"",S1705+S1985)</f>
        <v>0</v>
      </c>
      <c r="T1425" s="121">
        <f>IF(tech_base!$T241&gt;T$1185,"",T1705+T1985)</f>
        <v>0</v>
      </c>
      <c r="U1425" s="121">
        <f>IF(tech_base!$T241&gt;U$1185,"",U1705+U1985)</f>
        <v>0</v>
      </c>
      <c r="V1425" s="121">
        <f>IF(tech_base!$T241&gt;V$1185,"",V1705+V1985)</f>
        <v>0</v>
      </c>
      <c r="W1425" s="121">
        <f>IF(tech_base!$T241&gt;W$1185,"",W1705+W1985)</f>
        <v>0</v>
      </c>
      <c r="X1425" s="121">
        <f>IF(tech_base!$T241&gt;X$1185,"",X1705+X1985)</f>
        <v>0</v>
      </c>
      <c r="Y1425" s="121">
        <f>IF(tech_base!$T241&gt;Y$1185,"",Y1705+Y1985)</f>
        <v>0</v>
      </c>
      <c r="Z1425" s="121">
        <f>IF(tech_base!$T241&gt;Z$1185,"",Z1705+Z1985)</f>
        <v>0</v>
      </c>
      <c r="AA1425" s="121">
        <f>IF(tech_base!$T241&gt;AA$1185,"",AA1705+AA1985)</f>
        <v>0</v>
      </c>
      <c r="AB1425" s="121">
        <f>IF(tech_base!$T241&gt;AB$1185,"",AB1705+AB1985)</f>
        <v>0</v>
      </c>
      <c r="AC1425" s="121">
        <f>IF(tech_base!$T241&gt;AC$1185,"",AC1705+AC1985)</f>
        <v>0</v>
      </c>
      <c r="AD1425" s="121">
        <f>IF(tech_base!$T241&gt;AD$1185,"",AD1705+AD1985)</f>
        <v>0</v>
      </c>
      <c r="AE1425" s="121">
        <f>IF(tech_base!$T241&gt;AE$1185,"",AE1705+AE1985)</f>
        <v>0</v>
      </c>
      <c r="AF1425" s="121">
        <f>IF(tech_base!$T241&gt;AF$1185,"",AF1705+AF1985)</f>
        <v>0</v>
      </c>
      <c r="AG1425" s="121">
        <f>IF(tech_base!$T241&gt;AG$1185,"",AG1705+AG1985)</f>
        <v>0</v>
      </c>
      <c r="AH1425" s="121">
        <f>IF(tech_base!$T241&gt;AH$1185,"",AH1705+AH1985)</f>
        <v>0</v>
      </c>
      <c r="AI1425" s="121">
        <f>IF(tech_base!$T241&gt;AI$1185,"",AI1705+AI1985)</f>
        <v>0</v>
      </c>
      <c r="AJ1425" s="121">
        <f>IF(tech_base!$T241&gt;AJ$1185,"",AJ1705+AJ1985)</f>
        <v>0</v>
      </c>
      <c r="AK1425" s="121">
        <f>IF(tech_base!$T241&gt;AK$1185,"",AK1705+AK1985)</f>
        <v>0</v>
      </c>
      <c r="AL1425" s="121">
        <f>IF(tech_base!$T241&gt;AL$1185,"",AL1705+AL1985)</f>
        <v>0</v>
      </c>
      <c r="AM1425" s="121">
        <f>IF(tech_base!$T241&gt;AM$1185,"",AM1705+AM1985)</f>
        <v>0</v>
      </c>
      <c r="AN1425" s="121">
        <f>IF(tech_base!$T241&gt;AN$1185,"",AN1705+AN1985)</f>
        <v>0</v>
      </c>
      <c r="AO1425" s="121">
        <f>IF(tech_base!$T241&gt;AO$1185,"",AO1705+AO1985)</f>
        <v>0</v>
      </c>
      <c r="AP1425" s="121">
        <f>IF(tech_base!$T241&gt;AP$1185,"",AP1705+AP1985)</f>
        <v>0</v>
      </c>
      <c r="AQ1425" s="121">
        <f>IF(tech_base!$T241&gt;AQ$1185,"",AQ1705+AQ1985)</f>
        <v>0</v>
      </c>
      <c r="AR1425" s="121">
        <f>IF(tech_base!$T241&gt;AR$1185,"",AR1705+AR1985)</f>
        <v>0</v>
      </c>
      <c r="AS1425" s="121">
        <f>IF(tech_base!$T241&gt;AS$1185,"",AS1705+AS1985)</f>
        <v>0</v>
      </c>
      <c r="AT1425" s="121">
        <f>IF(tech_base!$T241&gt;AT$1185,"",AT1705+AT1985)</f>
        <v>0</v>
      </c>
      <c r="AU1425" s="121">
        <f>IF(tech_base!$T241&gt;AU$1185,"",AU1705+AU1985)</f>
        <v>0</v>
      </c>
      <c r="AV1425" s="121">
        <f>IF(tech_base!$T241&gt;AV$1185,"",AV1705+AV1985)</f>
        <v>0</v>
      </c>
      <c r="AW1425" s="121">
        <f>IF(tech_base!$T241&gt;AW$1185,"",AW1705+AW1985)</f>
        <v>0</v>
      </c>
      <c r="AX1425" s="122">
        <f>IF(tech_base!$T241&gt;AX$1185,"",AX1705+AX1985)</f>
        <v>0</v>
      </c>
    </row>
    <row r="1426" spans="1:50" x14ac:dyDescent="0.25">
      <c r="A1426" s="356"/>
      <c r="B1426" s="376"/>
      <c r="C1426" s="378"/>
      <c r="D1426" s="2" t="s">
        <v>8</v>
      </c>
      <c r="E1426" s="160" t="str">
        <f>A1425&amp;"/"&amp;B1425&amp;"/"&amp;C1425&amp;"/"&amp;D1426</f>
        <v>Wind power plants/Onshore/Electricity only/M</v>
      </c>
      <c r="F1426" s="76" t="str">
        <f>A1425</f>
        <v>Wind power plants</v>
      </c>
      <c r="G1426" s="76" t="str">
        <f>B1425</f>
        <v>Onshore</v>
      </c>
      <c r="H1426" s="76" t="str">
        <f>C1425</f>
        <v>Electricity only</v>
      </c>
      <c r="I1426" s="161" t="str">
        <f t="shared" si="375"/>
        <v>M</v>
      </c>
      <c r="J1426" s="119">
        <f>IF(tech_base!$T242&gt;J$1185,"",J1706+J1986)</f>
        <v>0</v>
      </c>
      <c r="K1426" s="119">
        <f>IF(tech_base!$T242&gt;K$1185,"",K1706+K1986)</f>
        <v>0</v>
      </c>
      <c r="L1426" s="119">
        <f>IF(tech_base!$T242&gt;L$1185,"",L1706+L1986)</f>
        <v>0</v>
      </c>
      <c r="M1426" s="119">
        <f>IF(tech_base!$T242&gt;M$1185,"",M1706+M1986)</f>
        <v>0</v>
      </c>
      <c r="N1426" s="119">
        <f>IF(tech_base!$T242&gt;N$1185,"",N1706+N1986)</f>
        <v>0</v>
      </c>
      <c r="O1426" s="119">
        <f>IF(tech_base!$T242&gt;O$1185,"",O1706+O1986)</f>
        <v>0</v>
      </c>
      <c r="P1426" s="119">
        <f>IF(tech_base!$T242&gt;P$1185,"",P1706+P1986)</f>
        <v>0</v>
      </c>
      <c r="Q1426" s="119">
        <f>IF(tech_base!$T242&gt;Q$1185,"",Q1706+Q1986)</f>
        <v>0</v>
      </c>
      <c r="R1426" s="119">
        <f>IF(tech_base!$T242&gt;R$1185,"",R1706+R1986)</f>
        <v>0</v>
      </c>
      <c r="S1426" s="119">
        <f>IF(tech_base!$T242&gt;S$1185,"",S1706+S1986)</f>
        <v>0</v>
      </c>
      <c r="T1426" s="119">
        <f>IF(tech_base!$T242&gt;T$1185,"",T1706+T1986)</f>
        <v>0</v>
      </c>
      <c r="U1426" s="119">
        <f>IF(tech_base!$T242&gt;U$1185,"",U1706+U1986)</f>
        <v>0</v>
      </c>
      <c r="V1426" s="119">
        <f>IF(tech_base!$T242&gt;V$1185,"",V1706+V1986)</f>
        <v>0</v>
      </c>
      <c r="W1426" s="119">
        <f>IF(tech_base!$T242&gt;W$1185,"",W1706+W1986)</f>
        <v>0</v>
      </c>
      <c r="X1426" s="119">
        <f>IF(tech_base!$T242&gt;X$1185,"",X1706+X1986)</f>
        <v>0</v>
      </c>
      <c r="Y1426" s="119">
        <f>IF(tech_base!$T242&gt;Y$1185,"",Y1706+Y1986)</f>
        <v>0</v>
      </c>
      <c r="Z1426" s="119">
        <f>IF(tech_base!$T242&gt;Z$1185,"",Z1706+Z1986)</f>
        <v>0</v>
      </c>
      <c r="AA1426" s="119">
        <f>IF(tech_base!$T242&gt;AA$1185,"",AA1706+AA1986)</f>
        <v>0</v>
      </c>
      <c r="AB1426" s="119">
        <f>IF(tech_base!$T242&gt;AB$1185,"",AB1706+AB1986)</f>
        <v>0</v>
      </c>
      <c r="AC1426" s="119">
        <f>IF(tech_base!$T242&gt;AC$1185,"",AC1706+AC1986)</f>
        <v>0</v>
      </c>
      <c r="AD1426" s="119">
        <f>IF(tech_base!$T242&gt;AD$1185,"",AD1706+AD1986)</f>
        <v>0</v>
      </c>
      <c r="AE1426" s="119">
        <f>IF(tech_base!$T242&gt;AE$1185,"",AE1706+AE1986)</f>
        <v>0</v>
      </c>
      <c r="AF1426" s="119">
        <f>IF(tech_base!$T242&gt;AF$1185,"",AF1706+AF1986)</f>
        <v>0</v>
      </c>
      <c r="AG1426" s="119">
        <f>IF(tech_base!$T242&gt;AG$1185,"",AG1706+AG1986)</f>
        <v>0</v>
      </c>
      <c r="AH1426" s="119">
        <f>IF(tech_base!$T242&gt;AH$1185,"",AH1706+AH1986)</f>
        <v>0</v>
      </c>
      <c r="AI1426" s="119">
        <f>IF(tech_base!$T242&gt;AI$1185,"",AI1706+AI1986)</f>
        <v>0</v>
      </c>
      <c r="AJ1426" s="119">
        <f>IF(tech_base!$T242&gt;AJ$1185,"",AJ1706+AJ1986)</f>
        <v>0</v>
      </c>
      <c r="AK1426" s="119">
        <f>IF(tech_base!$T242&gt;AK$1185,"",AK1706+AK1986)</f>
        <v>0</v>
      </c>
      <c r="AL1426" s="119">
        <f>IF(tech_base!$T242&gt;AL$1185,"",AL1706+AL1986)</f>
        <v>0</v>
      </c>
      <c r="AM1426" s="119">
        <f>IF(tech_base!$T242&gt;AM$1185,"",AM1706+AM1986)</f>
        <v>0</v>
      </c>
      <c r="AN1426" s="119">
        <f>IF(tech_base!$T242&gt;AN$1185,"",AN1706+AN1986)</f>
        <v>0</v>
      </c>
      <c r="AO1426" s="119">
        <f>IF(tech_base!$T242&gt;AO$1185,"",AO1706+AO1986)</f>
        <v>0</v>
      </c>
      <c r="AP1426" s="119">
        <f>IF(tech_base!$T242&gt;AP$1185,"",AP1706+AP1986)</f>
        <v>0</v>
      </c>
      <c r="AQ1426" s="119">
        <f>IF(tech_base!$T242&gt;AQ$1185,"",AQ1706+AQ1986)</f>
        <v>0</v>
      </c>
      <c r="AR1426" s="119">
        <f>IF(tech_base!$T242&gt;AR$1185,"",AR1706+AR1986)</f>
        <v>0</v>
      </c>
      <c r="AS1426" s="119">
        <f>IF(tech_base!$T242&gt;AS$1185,"",AS1706+AS1986)</f>
        <v>0</v>
      </c>
      <c r="AT1426" s="119">
        <f>IF(tech_base!$T242&gt;AT$1185,"",AT1706+AT1986)</f>
        <v>0</v>
      </c>
      <c r="AU1426" s="119">
        <f>IF(tech_base!$T242&gt;AU$1185,"",AU1706+AU1986)</f>
        <v>0</v>
      </c>
      <c r="AV1426" s="119">
        <f>IF(tech_base!$T242&gt;AV$1185,"",AV1706+AV1986)</f>
        <v>0</v>
      </c>
      <c r="AW1426" s="119">
        <f>IF(tech_base!$T242&gt;AW$1185,"",AW1706+AW1986)</f>
        <v>0</v>
      </c>
      <c r="AX1426" s="120">
        <f>IF(tech_base!$T242&gt;AX$1185,"",AX1706+AX1986)</f>
        <v>0</v>
      </c>
    </row>
    <row r="1427" spans="1:50" x14ac:dyDescent="0.25">
      <c r="A1427" s="356"/>
      <c r="B1427" s="376"/>
      <c r="C1427" s="378"/>
      <c r="D1427" s="2" t="s">
        <v>10</v>
      </c>
      <c r="E1427" s="160" t="str">
        <f>A1425&amp;"/"&amp;B1425&amp;"/"&amp;C1425&amp;"/"&amp;D1427</f>
        <v>Wind power plants/Onshore/Electricity only/S</v>
      </c>
      <c r="F1427" s="76" t="str">
        <f>A1425</f>
        <v>Wind power plants</v>
      </c>
      <c r="G1427" s="76" t="str">
        <f>B1425</f>
        <v>Onshore</v>
      </c>
      <c r="H1427" s="76" t="str">
        <f>C1425</f>
        <v>Electricity only</v>
      </c>
      <c r="I1427" s="161" t="str">
        <f t="shared" si="375"/>
        <v>S</v>
      </c>
      <c r="J1427" s="119">
        <f>IF(tech_base!$T243&gt;J$1185,"",J1707+J1987)</f>
        <v>0</v>
      </c>
      <c r="K1427" s="119">
        <f>IF(tech_base!$T243&gt;K$1185,"",K1707+K1987)</f>
        <v>0</v>
      </c>
      <c r="L1427" s="119">
        <f>IF(tech_base!$T243&gt;L$1185,"",L1707+L1987)</f>
        <v>0</v>
      </c>
      <c r="M1427" s="119">
        <f>IF(tech_base!$T243&gt;M$1185,"",M1707+M1987)</f>
        <v>0</v>
      </c>
      <c r="N1427" s="119">
        <f>IF(tech_base!$T243&gt;N$1185,"",N1707+N1987)</f>
        <v>0</v>
      </c>
      <c r="O1427" s="119">
        <f>IF(tech_base!$T243&gt;O$1185,"",O1707+O1987)</f>
        <v>0</v>
      </c>
      <c r="P1427" s="119">
        <f>IF(tech_base!$T243&gt;P$1185,"",P1707+P1987)</f>
        <v>0</v>
      </c>
      <c r="Q1427" s="119">
        <f>IF(tech_base!$T243&gt;Q$1185,"",Q1707+Q1987)</f>
        <v>0</v>
      </c>
      <c r="R1427" s="119">
        <f>IF(tech_base!$T243&gt;R$1185,"",R1707+R1987)</f>
        <v>0</v>
      </c>
      <c r="S1427" s="119">
        <f>IF(tech_base!$T243&gt;S$1185,"",S1707+S1987)</f>
        <v>0</v>
      </c>
      <c r="T1427" s="119">
        <f>IF(tech_base!$T243&gt;T$1185,"",T1707+T1987)</f>
        <v>0</v>
      </c>
      <c r="U1427" s="119">
        <f>IF(tech_base!$T243&gt;U$1185,"",U1707+U1987)</f>
        <v>0</v>
      </c>
      <c r="V1427" s="119">
        <f>IF(tech_base!$T243&gt;V$1185,"",V1707+V1987)</f>
        <v>0</v>
      </c>
      <c r="W1427" s="119">
        <f>IF(tech_base!$T243&gt;W$1185,"",W1707+W1987)</f>
        <v>0</v>
      </c>
      <c r="X1427" s="119">
        <f>IF(tech_base!$T243&gt;X$1185,"",X1707+X1987)</f>
        <v>0</v>
      </c>
      <c r="Y1427" s="119">
        <f>IF(tech_base!$T243&gt;Y$1185,"",Y1707+Y1987)</f>
        <v>0</v>
      </c>
      <c r="Z1427" s="119">
        <f>IF(tech_base!$T243&gt;Z$1185,"",Z1707+Z1987)</f>
        <v>0</v>
      </c>
      <c r="AA1427" s="119">
        <f>IF(tech_base!$T243&gt;AA$1185,"",AA1707+AA1987)</f>
        <v>0</v>
      </c>
      <c r="AB1427" s="119">
        <f>IF(tech_base!$T243&gt;AB$1185,"",AB1707+AB1987)</f>
        <v>0</v>
      </c>
      <c r="AC1427" s="119">
        <f>IF(tech_base!$T243&gt;AC$1185,"",AC1707+AC1987)</f>
        <v>0</v>
      </c>
      <c r="AD1427" s="119">
        <f>IF(tech_base!$T243&gt;AD$1185,"",AD1707+AD1987)</f>
        <v>0</v>
      </c>
      <c r="AE1427" s="119">
        <f>IF(tech_base!$T243&gt;AE$1185,"",AE1707+AE1987)</f>
        <v>0</v>
      </c>
      <c r="AF1427" s="119">
        <f>IF(tech_base!$T243&gt;AF$1185,"",AF1707+AF1987)</f>
        <v>0</v>
      </c>
      <c r="AG1427" s="119">
        <f>IF(tech_base!$T243&gt;AG$1185,"",AG1707+AG1987)</f>
        <v>0</v>
      </c>
      <c r="AH1427" s="119">
        <f>IF(tech_base!$T243&gt;AH$1185,"",AH1707+AH1987)</f>
        <v>0</v>
      </c>
      <c r="AI1427" s="119">
        <f>IF(tech_base!$T243&gt;AI$1185,"",AI1707+AI1987)</f>
        <v>0</v>
      </c>
      <c r="AJ1427" s="119">
        <f>IF(tech_base!$T243&gt;AJ$1185,"",AJ1707+AJ1987)</f>
        <v>0</v>
      </c>
      <c r="AK1427" s="119">
        <f>IF(tech_base!$T243&gt;AK$1185,"",AK1707+AK1987)</f>
        <v>0</v>
      </c>
      <c r="AL1427" s="119">
        <f>IF(tech_base!$T243&gt;AL$1185,"",AL1707+AL1987)</f>
        <v>0</v>
      </c>
      <c r="AM1427" s="119">
        <f>IF(tech_base!$T243&gt;AM$1185,"",AM1707+AM1987)</f>
        <v>0</v>
      </c>
      <c r="AN1427" s="119">
        <f>IF(tech_base!$T243&gt;AN$1185,"",AN1707+AN1987)</f>
        <v>0</v>
      </c>
      <c r="AO1427" s="119">
        <f>IF(tech_base!$T243&gt;AO$1185,"",AO1707+AO1987)</f>
        <v>0</v>
      </c>
      <c r="AP1427" s="119">
        <f>IF(tech_base!$T243&gt;AP$1185,"",AP1707+AP1987)</f>
        <v>0</v>
      </c>
      <c r="AQ1427" s="119">
        <f>IF(tech_base!$T243&gt;AQ$1185,"",AQ1707+AQ1987)</f>
        <v>0</v>
      </c>
      <c r="AR1427" s="119">
        <f>IF(tech_base!$T243&gt;AR$1185,"",AR1707+AR1987)</f>
        <v>0</v>
      </c>
      <c r="AS1427" s="119">
        <f>IF(tech_base!$T243&gt;AS$1185,"",AS1707+AS1987)</f>
        <v>0</v>
      </c>
      <c r="AT1427" s="119">
        <f>IF(tech_base!$T243&gt;AT$1185,"",AT1707+AT1987)</f>
        <v>0</v>
      </c>
      <c r="AU1427" s="119">
        <f>IF(tech_base!$T243&gt;AU$1185,"",AU1707+AU1987)</f>
        <v>0</v>
      </c>
      <c r="AV1427" s="119">
        <f>IF(tech_base!$T243&gt;AV$1185,"",AV1707+AV1987)</f>
        <v>0</v>
      </c>
      <c r="AW1427" s="119">
        <f>IF(tech_base!$T243&gt;AW$1185,"",AW1707+AW1987)</f>
        <v>0</v>
      </c>
      <c r="AX1427" s="120">
        <f>IF(tech_base!$T243&gt;AX$1185,"",AX1707+AX1987)</f>
        <v>0</v>
      </c>
    </row>
    <row r="1428" spans="1:50" x14ac:dyDescent="0.25">
      <c r="A1428" s="356"/>
      <c r="B1428" s="377"/>
      <c r="C1428" s="379"/>
      <c r="D1428" s="59" t="s">
        <v>20</v>
      </c>
      <c r="E1428" s="166" t="str">
        <f>A1425&amp;"/"&amp;B1425&amp;"/"&amp;C1425&amp;"/"&amp;D1428</f>
        <v>Wind power plants/Onshore/Electricity only/XS</v>
      </c>
      <c r="F1428" s="79" t="str">
        <f>A1425</f>
        <v>Wind power plants</v>
      </c>
      <c r="G1428" s="79" t="str">
        <f>B1425</f>
        <v>Onshore</v>
      </c>
      <c r="H1428" s="79" t="str">
        <f>C1425</f>
        <v>Electricity only</v>
      </c>
      <c r="I1428" s="167" t="str">
        <f t="shared" si="375"/>
        <v>XS</v>
      </c>
      <c r="J1428" s="125">
        <f>IF(tech_base!$T244&gt;J$1185,"",J1708+J1988)</f>
        <v>0</v>
      </c>
      <c r="K1428" s="125">
        <f>IF(tech_base!$T244&gt;K$1185,"",K1708+K1988)</f>
        <v>0</v>
      </c>
      <c r="L1428" s="125">
        <f>IF(tech_base!$T244&gt;L$1185,"",L1708+L1988)</f>
        <v>0</v>
      </c>
      <c r="M1428" s="125">
        <f>IF(tech_base!$T244&gt;M$1185,"",M1708+M1988)</f>
        <v>0</v>
      </c>
      <c r="N1428" s="125">
        <f>IF(tech_base!$T244&gt;N$1185,"",N1708+N1988)</f>
        <v>0</v>
      </c>
      <c r="O1428" s="125">
        <f>IF(tech_base!$T244&gt;O$1185,"",O1708+O1988)</f>
        <v>0</v>
      </c>
      <c r="P1428" s="125">
        <f>IF(tech_base!$T244&gt;P$1185,"",P1708+P1988)</f>
        <v>0</v>
      </c>
      <c r="Q1428" s="125">
        <f>IF(tech_base!$T244&gt;Q$1185,"",Q1708+Q1988)</f>
        <v>0</v>
      </c>
      <c r="R1428" s="125">
        <f>IF(tech_base!$T244&gt;R$1185,"",R1708+R1988)</f>
        <v>0</v>
      </c>
      <c r="S1428" s="125">
        <f>IF(tech_base!$T244&gt;S$1185,"",S1708+S1988)</f>
        <v>0</v>
      </c>
      <c r="T1428" s="125">
        <f>IF(tech_base!$T244&gt;T$1185,"",T1708+T1988)</f>
        <v>0</v>
      </c>
      <c r="U1428" s="125">
        <f>IF(tech_base!$T244&gt;U$1185,"",U1708+U1988)</f>
        <v>0</v>
      </c>
      <c r="V1428" s="125">
        <f>IF(tech_base!$T244&gt;V$1185,"",V1708+V1988)</f>
        <v>0</v>
      </c>
      <c r="W1428" s="125">
        <f>IF(tech_base!$T244&gt;W$1185,"",W1708+W1988)</f>
        <v>0</v>
      </c>
      <c r="X1428" s="125">
        <f>IF(tech_base!$T244&gt;X$1185,"",X1708+X1988)</f>
        <v>0</v>
      </c>
      <c r="Y1428" s="125">
        <f>IF(tech_base!$T244&gt;Y$1185,"",Y1708+Y1988)</f>
        <v>0</v>
      </c>
      <c r="Z1428" s="125">
        <f>IF(tech_base!$T244&gt;Z$1185,"",Z1708+Z1988)</f>
        <v>0</v>
      </c>
      <c r="AA1428" s="125">
        <f>IF(tech_base!$T244&gt;AA$1185,"",AA1708+AA1988)</f>
        <v>0</v>
      </c>
      <c r="AB1428" s="125">
        <f>IF(tech_base!$T244&gt;AB$1185,"",AB1708+AB1988)</f>
        <v>0</v>
      </c>
      <c r="AC1428" s="125">
        <f>IF(tech_base!$T244&gt;AC$1185,"",AC1708+AC1988)</f>
        <v>0</v>
      </c>
      <c r="AD1428" s="125">
        <f>IF(tech_base!$T244&gt;AD$1185,"",AD1708+AD1988)</f>
        <v>0</v>
      </c>
      <c r="AE1428" s="125">
        <f>IF(tech_base!$T244&gt;AE$1185,"",AE1708+AE1988)</f>
        <v>0</v>
      </c>
      <c r="AF1428" s="125">
        <f>IF(tech_base!$T244&gt;AF$1185,"",AF1708+AF1988)</f>
        <v>0</v>
      </c>
      <c r="AG1428" s="125">
        <f>IF(tech_base!$T244&gt;AG$1185,"",AG1708+AG1988)</f>
        <v>0</v>
      </c>
      <c r="AH1428" s="125">
        <f>IF(tech_base!$T244&gt;AH$1185,"",AH1708+AH1988)</f>
        <v>0</v>
      </c>
      <c r="AI1428" s="125">
        <f>IF(tech_base!$T244&gt;AI$1185,"",AI1708+AI1988)</f>
        <v>0</v>
      </c>
      <c r="AJ1428" s="125">
        <f>IF(tech_base!$T244&gt;AJ$1185,"",AJ1708+AJ1988)</f>
        <v>0</v>
      </c>
      <c r="AK1428" s="125">
        <f>IF(tech_base!$T244&gt;AK$1185,"",AK1708+AK1988)</f>
        <v>0</v>
      </c>
      <c r="AL1428" s="125">
        <f>IF(tech_base!$T244&gt;AL$1185,"",AL1708+AL1988)</f>
        <v>0</v>
      </c>
      <c r="AM1428" s="125">
        <f>IF(tech_base!$T244&gt;AM$1185,"",AM1708+AM1988)</f>
        <v>0</v>
      </c>
      <c r="AN1428" s="125">
        <f>IF(tech_base!$T244&gt;AN$1185,"",AN1708+AN1988)</f>
        <v>0</v>
      </c>
      <c r="AO1428" s="125">
        <f>IF(tech_base!$T244&gt;AO$1185,"",AO1708+AO1988)</f>
        <v>0</v>
      </c>
      <c r="AP1428" s="125">
        <f>IF(tech_base!$T244&gt;AP$1185,"",AP1708+AP1988)</f>
        <v>0</v>
      </c>
      <c r="AQ1428" s="125">
        <f>IF(tech_base!$T244&gt;AQ$1185,"",AQ1708+AQ1988)</f>
        <v>0</v>
      </c>
      <c r="AR1428" s="125">
        <f>IF(tech_base!$T244&gt;AR$1185,"",AR1708+AR1988)</f>
        <v>0</v>
      </c>
      <c r="AS1428" s="125">
        <f>IF(tech_base!$T244&gt;AS$1185,"",AS1708+AS1988)</f>
        <v>0</v>
      </c>
      <c r="AT1428" s="125">
        <f>IF(tech_base!$T244&gt;AT$1185,"",AT1708+AT1988)</f>
        <v>0</v>
      </c>
      <c r="AU1428" s="125">
        <f>IF(tech_base!$T244&gt;AU$1185,"",AU1708+AU1988)</f>
        <v>0</v>
      </c>
      <c r="AV1428" s="125">
        <f>IF(tech_base!$T244&gt;AV$1185,"",AV1708+AV1988)</f>
        <v>0</v>
      </c>
      <c r="AW1428" s="125">
        <f>IF(tech_base!$T244&gt;AW$1185,"",AW1708+AW1988)</f>
        <v>0</v>
      </c>
      <c r="AX1428" s="126">
        <f>IF(tech_base!$T244&gt;AX$1185,"",AX1708+AX1988)</f>
        <v>0</v>
      </c>
    </row>
    <row r="1429" spans="1:50" x14ac:dyDescent="0.25">
      <c r="A1429" s="356"/>
      <c r="B1429" s="359" t="s">
        <v>36</v>
      </c>
      <c r="C1429" s="361" t="s">
        <v>6</v>
      </c>
      <c r="D1429" s="2" t="s">
        <v>7</v>
      </c>
      <c r="E1429" s="160" t="str">
        <f>A1425&amp;"/"&amp;B1429&amp;"/"&amp;C1429&amp;"/"&amp;D1429</f>
        <v>Wind power plants/Offshore/Electricity only/L</v>
      </c>
      <c r="F1429" s="76" t="str">
        <f>A1425</f>
        <v>Wind power plants</v>
      </c>
      <c r="G1429" s="76" t="str">
        <f>B1429</f>
        <v>Offshore</v>
      </c>
      <c r="H1429" s="76" t="str">
        <f>C1429</f>
        <v>Electricity only</v>
      </c>
      <c r="I1429" s="161" t="str">
        <f t="shared" si="375"/>
        <v>L</v>
      </c>
      <c r="J1429" s="119">
        <f>IF(tech_base!$T245&gt;J$1185,"",J1709+J1989)</f>
        <v>0</v>
      </c>
      <c r="K1429" s="119">
        <f>IF(tech_base!$T245&gt;K$1185,"",K1709+K1989)</f>
        <v>0</v>
      </c>
      <c r="L1429" s="119">
        <f>IF(tech_base!$T245&gt;L$1185,"",L1709+L1989)</f>
        <v>0</v>
      </c>
      <c r="M1429" s="119">
        <f>IF(tech_base!$T245&gt;M$1185,"",M1709+M1989)</f>
        <v>0</v>
      </c>
      <c r="N1429" s="119">
        <f>IF(tech_base!$T245&gt;N$1185,"",N1709+N1989)</f>
        <v>0</v>
      </c>
      <c r="O1429" s="119">
        <f>IF(tech_base!$T245&gt;O$1185,"",O1709+O1989)</f>
        <v>0</v>
      </c>
      <c r="P1429" s="119">
        <f>IF(tech_base!$T245&gt;P$1185,"",P1709+P1989)</f>
        <v>0</v>
      </c>
      <c r="Q1429" s="119">
        <f>IF(tech_base!$T245&gt;Q$1185,"",Q1709+Q1989)</f>
        <v>0</v>
      </c>
      <c r="R1429" s="119">
        <f>IF(tech_base!$T245&gt;R$1185,"",R1709+R1989)</f>
        <v>0</v>
      </c>
      <c r="S1429" s="119">
        <f>IF(tech_base!$T245&gt;S$1185,"",S1709+S1989)</f>
        <v>0</v>
      </c>
      <c r="T1429" s="119">
        <f>IF(tech_base!$T245&gt;T$1185,"",T1709+T1989)</f>
        <v>0</v>
      </c>
      <c r="U1429" s="119">
        <f>IF(tech_base!$T245&gt;U$1185,"",U1709+U1989)</f>
        <v>0</v>
      </c>
      <c r="V1429" s="119">
        <f>IF(tech_base!$T245&gt;V$1185,"",V1709+V1989)</f>
        <v>0</v>
      </c>
      <c r="W1429" s="119">
        <f>IF(tech_base!$T245&gt;W$1185,"",W1709+W1989)</f>
        <v>0</v>
      </c>
      <c r="X1429" s="119">
        <f>IF(tech_base!$T245&gt;X$1185,"",X1709+X1989)</f>
        <v>0</v>
      </c>
      <c r="Y1429" s="119">
        <f>IF(tech_base!$T245&gt;Y$1185,"",Y1709+Y1989)</f>
        <v>0</v>
      </c>
      <c r="Z1429" s="119">
        <f>IF(tech_base!$T245&gt;Z$1185,"",Z1709+Z1989)</f>
        <v>0</v>
      </c>
      <c r="AA1429" s="119">
        <f>IF(tech_base!$T245&gt;AA$1185,"",AA1709+AA1989)</f>
        <v>0</v>
      </c>
      <c r="AB1429" s="119">
        <f>IF(tech_base!$T245&gt;AB$1185,"",AB1709+AB1989)</f>
        <v>0</v>
      </c>
      <c r="AC1429" s="119">
        <f>IF(tech_base!$T245&gt;AC$1185,"",AC1709+AC1989)</f>
        <v>0</v>
      </c>
      <c r="AD1429" s="119">
        <f>IF(tech_base!$T245&gt;AD$1185,"",AD1709+AD1989)</f>
        <v>0</v>
      </c>
      <c r="AE1429" s="119">
        <f>IF(tech_base!$T245&gt;AE$1185,"",AE1709+AE1989)</f>
        <v>0</v>
      </c>
      <c r="AF1429" s="119">
        <f>IF(tech_base!$T245&gt;AF$1185,"",AF1709+AF1989)</f>
        <v>0</v>
      </c>
      <c r="AG1429" s="119">
        <f>IF(tech_base!$T245&gt;AG$1185,"",AG1709+AG1989)</f>
        <v>0</v>
      </c>
      <c r="AH1429" s="119">
        <f>IF(tech_base!$T245&gt;AH$1185,"",AH1709+AH1989)</f>
        <v>0</v>
      </c>
      <c r="AI1429" s="119">
        <f>IF(tech_base!$T245&gt;AI$1185,"",AI1709+AI1989)</f>
        <v>0</v>
      </c>
      <c r="AJ1429" s="119">
        <f>IF(tech_base!$T245&gt;AJ$1185,"",AJ1709+AJ1989)</f>
        <v>0</v>
      </c>
      <c r="AK1429" s="119">
        <f>IF(tech_base!$T245&gt;AK$1185,"",AK1709+AK1989)</f>
        <v>0</v>
      </c>
      <c r="AL1429" s="119">
        <f>IF(tech_base!$T245&gt;AL$1185,"",AL1709+AL1989)</f>
        <v>0</v>
      </c>
      <c r="AM1429" s="119">
        <f>IF(tech_base!$T245&gt;AM$1185,"",AM1709+AM1989)</f>
        <v>0</v>
      </c>
      <c r="AN1429" s="119">
        <f>IF(tech_base!$T245&gt;AN$1185,"",AN1709+AN1989)</f>
        <v>0</v>
      </c>
      <c r="AO1429" s="119">
        <f>IF(tech_base!$T245&gt;AO$1185,"",AO1709+AO1989)</f>
        <v>0</v>
      </c>
      <c r="AP1429" s="119">
        <f>IF(tech_base!$T245&gt;AP$1185,"",AP1709+AP1989)</f>
        <v>0</v>
      </c>
      <c r="AQ1429" s="119">
        <f>IF(tech_base!$T245&gt;AQ$1185,"",AQ1709+AQ1989)</f>
        <v>0</v>
      </c>
      <c r="AR1429" s="119">
        <f>IF(tech_base!$T245&gt;AR$1185,"",AR1709+AR1989)</f>
        <v>0</v>
      </c>
      <c r="AS1429" s="119">
        <f>IF(tech_base!$T245&gt;AS$1185,"",AS1709+AS1989)</f>
        <v>0</v>
      </c>
      <c r="AT1429" s="119">
        <f>IF(tech_base!$T245&gt;AT$1185,"",AT1709+AT1989)</f>
        <v>0</v>
      </c>
      <c r="AU1429" s="119">
        <f>IF(tech_base!$T245&gt;AU$1185,"",AU1709+AU1989)</f>
        <v>0</v>
      </c>
      <c r="AV1429" s="119">
        <f>IF(tech_base!$T245&gt;AV$1185,"",AV1709+AV1989)</f>
        <v>0</v>
      </c>
      <c r="AW1429" s="119">
        <f>IF(tech_base!$T245&gt;AW$1185,"",AW1709+AW1989)</f>
        <v>0</v>
      </c>
      <c r="AX1429" s="120">
        <f>IF(tech_base!$T245&gt;AX$1185,"",AX1709+AX1989)</f>
        <v>0</v>
      </c>
    </row>
    <row r="1430" spans="1:50" x14ac:dyDescent="0.25">
      <c r="A1430" s="356"/>
      <c r="B1430" s="376"/>
      <c r="C1430" s="378"/>
      <c r="D1430" s="2" t="s">
        <v>8</v>
      </c>
      <c r="E1430" s="160" t="str">
        <f>A1425&amp;"/"&amp;B1429&amp;"/"&amp;C1429&amp;"/"&amp;D1430</f>
        <v>Wind power plants/Offshore/Electricity only/M</v>
      </c>
      <c r="F1430" s="76" t="str">
        <f>A1425</f>
        <v>Wind power plants</v>
      </c>
      <c r="G1430" s="76" t="str">
        <f>B1429</f>
        <v>Offshore</v>
      </c>
      <c r="H1430" s="76" t="str">
        <f>C1429</f>
        <v>Electricity only</v>
      </c>
      <c r="I1430" s="161" t="str">
        <f t="shared" si="375"/>
        <v>M</v>
      </c>
      <c r="J1430" s="119">
        <f>IF(tech_base!$T246&gt;J$1185,"",J1710+J1990)</f>
        <v>0</v>
      </c>
      <c r="K1430" s="119">
        <f>IF(tech_base!$T246&gt;K$1185,"",K1710+K1990)</f>
        <v>0</v>
      </c>
      <c r="L1430" s="119">
        <f>IF(tech_base!$T246&gt;L$1185,"",L1710+L1990)</f>
        <v>0</v>
      </c>
      <c r="M1430" s="119">
        <f>IF(tech_base!$T246&gt;M$1185,"",M1710+M1990)</f>
        <v>0</v>
      </c>
      <c r="N1430" s="119">
        <f>IF(tech_base!$T246&gt;N$1185,"",N1710+N1990)</f>
        <v>0</v>
      </c>
      <c r="O1430" s="119">
        <f>IF(tech_base!$T246&gt;O$1185,"",O1710+O1990)</f>
        <v>0</v>
      </c>
      <c r="P1430" s="119">
        <f>IF(tech_base!$T246&gt;P$1185,"",P1710+P1990)</f>
        <v>0</v>
      </c>
      <c r="Q1430" s="119">
        <f>IF(tech_base!$T246&gt;Q$1185,"",Q1710+Q1990)</f>
        <v>0</v>
      </c>
      <c r="R1430" s="119">
        <f>IF(tech_base!$T246&gt;R$1185,"",R1710+R1990)</f>
        <v>0</v>
      </c>
      <c r="S1430" s="119">
        <f>IF(tech_base!$T246&gt;S$1185,"",S1710+S1990)</f>
        <v>0</v>
      </c>
      <c r="T1430" s="119">
        <f>IF(tech_base!$T246&gt;T$1185,"",T1710+T1990)</f>
        <v>0</v>
      </c>
      <c r="U1430" s="119">
        <f>IF(tech_base!$T246&gt;U$1185,"",U1710+U1990)</f>
        <v>0</v>
      </c>
      <c r="V1430" s="119">
        <f>IF(tech_base!$T246&gt;V$1185,"",V1710+V1990)</f>
        <v>0</v>
      </c>
      <c r="W1430" s="119">
        <f>IF(tech_base!$T246&gt;W$1185,"",W1710+W1990)</f>
        <v>0</v>
      </c>
      <c r="X1430" s="119">
        <f>IF(tech_base!$T246&gt;X$1185,"",X1710+X1990)</f>
        <v>0</v>
      </c>
      <c r="Y1430" s="119">
        <f>IF(tech_base!$T246&gt;Y$1185,"",Y1710+Y1990)</f>
        <v>0</v>
      </c>
      <c r="Z1430" s="119">
        <f>IF(tech_base!$T246&gt;Z$1185,"",Z1710+Z1990)</f>
        <v>0</v>
      </c>
      <c r="AA1430" s="119">
        <f>IF(tech_base!$T246&gt;AA$1185,"",AA1710+AA1990)</f>
        <v>0</v>
      </c>
      <c r="AB1430" s="119">
        <f>IF(tech_base!$T246&gt;AB$1185,"",AB1710+AB1990)</f>
        <v>0</v>
      </c>
      <c r="AC1430" s="119">
        <f>IF(tech_base!$T246&gt;AC$1185,"",AC1710+AC1990)</f>
        <v>0</v>
      </c>
      <c r="AD1430" s="119">
        <f>IF(tech_base!$T246&gt;AD$1185,"",AD1710+AD1990)</f>
        <v>0</v>
      </c>
      <c r="AE1430" s="119">
        <f>IF(tech_base!$T246&gt;AE$1185,"",AE1710+AE1990)</f>
        <v>0</v>
      </c>
      <c r="AF1430" s="119">
        <f>IF(tech_base!$T246&gt;AF$1185,"",AF1710+AF1990)</f>
        <v>0</v>
      </c>
      <c r="AG1430" s="119">
        <f>IF(tech_base!$T246&gt;AG$1185,"",AG1710+AG1990)</f>
        <v>0</v>
      </c>
      <c r="AH1430" s="119">
        <f>IF(tech_base!$T246&gt;AH$1185,"",AH1710+AH1990)</f>
        <v>0</v>
      </c>
      <c r="AI1430" s="119">
        <f>IF(tech_base!$T246&gt;AI$1185,"",AI1710+AI1990)</f>
        <v>0</v>
      </c>
      <c r="AJ1430" s="119">
        <f>IF(tech_base!$T246&gt;AJ$1185,"",AJ1710+AJ1990)</f>
        <v>0</v>
      </c>
      <c r="AK1430" s="119">
        <f>IF(tech_base!$T246&gt;AK$1185,"",AK1710+AK1990)</f>
        <v>0</v>
      </c>
      <c r="AL1430" s="119">
        <f>IF(tech_base!$T246&gt;AL$1185,"",AL1710+AL1990)</f>
        <v>0</v>
      </c>
      <c r="AM1430" s="119">
        <f>IF(tech_base!$T246&gt;AM$1185,"",AM1710+AM1990)</f>
        <v>0</v>
      </c>
      <c r="AN1430" s="119">
        <f>IF(tech_base!$T246&gt;AN$1185,"",AN1710+AN1990)</f>
        <v>0</v>
      </c>
      <c r="AO1430" s="119">
        <f>IF(tech_base!$T246&gt;AO$1185,"",AO1710+AO1990)</f>
        <v>0</v>
      </c>
      <c r="AP1430" s="119">
        <f>IF(tech_base!$T246&gt;AP$1185,"",AP1710+AP1990)</f>
        <v>0</v>
      </c>
      <c r="AQ1430" s="119">
        <f>IF(tech_base!$T246&gt;AQ$1185,"",AQ1710+AQ1990)</f>
        <v>0</v>
      </c>
      <c r="AR1430" s="119">
        <f>IF(tech_base!$T246&gt;AR$1185,"",AR1710+AR1990)</f>
        <v>0</v>
      </c>
      <c r="AS1430" s="119">
        <f>IF(tech_base!$T246&gt;AS$1185,"",AS1710+AS1990)</f>
        <v>0</v>
      </c>
      <c r="AT1430" s="119">
        <f>IF(tech_base!$T246&gt;AT$1185,"",AT1710+AT1990)</f>
        <v>0</v>
      </c>
      <c r="AU1430" s="119">
        <f>IF(tech_base!$T246&gt;AU$1185,"",AU1710+AU1990)</f>
        <v>0</v>
      </c>
      <c r="AV1430" s="119">
        <f>IF(tech_base!$T246&gt;AV$1185,"",AV1710+AV1990)</f>
        <v>0</v>
      </c>
      <c r="AW1430" s="119">
        <f>IF(tech_base!$T246&gt;AW$1185,"",AW1710+AW1990)</f>
        <v>0</v>
      </c>
      <c r="AX1430" s="120">
        <f>IF(tech_base!$T246&gt;AX$1185,"",AX1710+AX1990)</f>
        <v>0</v>
      </c>
    </row>
    <row r="1431" spans="1:50" x14ac:dyDescent="0.25">
      <c r="A1431" s="356"/>
      <c r="B1431" s="376"/>
      <c r="C1431" s="378"/>
      <c r="D1431" s="2" t="s">
        <v>10</v>
      </c>
      <c r="E1431" s="160" t="str">
        <f>A1425&amp;"/"&amp;B1429&amp;"/"&amp;C1429&amp;"/"&amp;D1431</f>
        <v>Wind power plants/Offshore/Electricity only/S</v>
      </c>
      <c r="F1431" s="76" t="str">
        <f>A1425</f>
        <v>Wind power plants</v>
      </c>
      <c r="G1431" s="76" t="str">
        <f>B1429</f>
        <v>Offshore</v>
      </c>
      <c r="H1431" s="76" t="str">
        <f>C1429</f>
        <v>Electricity only</v>
      </c>
      <c r="I1431" s="161" t="str">
        <f t="shared" si="375"/>
        <v>S</v>
      </c>
      <c r="J1431" s="119">
        <f>IF(tech_base!$T247&gt;J$1185,"",J1711+J1991)</f>
        <v>0</v>
      </c>
      <c r="K1431" s="119">
        <f>IF(tech_base!$T247&gt;K$1185,"",K1711+K1991)</f>
        <v>0</v>
      </c>
      <c r="L1431" s="119">
        <f>IF(tech_base!$T247&gt;L$1185,"",L1711+L1991)</f>
        <v>0</v>
      </c>
      <c r="M1431" s="119">
        <f>IF(tech_base!$T247&gt;M$1185,"",M1711+M1991)</f>
        <v>0</v>
      </c>
      <c r="N1431" s="119">
        <f>IF(tech_base!$T247&gt;N$1185,"",N1711+N1991)</f>
        <v>0</v>
      </c>
      <c r="O1431" s="119">
        <f>IF(tech_base!$T247&gt;O$1185,"",O1711+O1991)</f>
        <v>0</v>
      </c>
      <c r="P1431" s="119">
        <f>IF(tech_base!$T247&gt;P$1185,"",P1711+P1991)</f>
        <v>0</v>
      </c>
      <c r="Q1431" s="119">
        <f>IF(tech_base!$T247&gt;Q$1185,"",Q1711+Q1991)</f>
        <v>0</v>
      </c>
      <c r="R1431" s="119">
        <f>IF(tech_base!$T247&gt;R$1185,"",R1711+R1991)</f>
        <v>0</v>
      </c>
      <c r="S1431" s="119">
        <f>IF(tech_base!$T247&gt;S$1185,"",S1711+S1991)</f>
        <v>0</v>
      </c>
      <c r="T1431" s="119">
        <f>IF(tech_base!$T247&gt;T$1185,"",T1711+T1991)</f>
        <v>0</v>
      </c>
      <c r="U1431" s="119">
        <f>IF(tech_base!$T247&gt;U$1185,"",U1711+U1991)</f>
        <v>0</v>
      </c>
      <c r="V1431" s="119">
        <f>IF(tech_base!$T247&gt;V$1185,"",V1711+V1991)</f>
        <v>0</v>
      </c>
      <c r="W1431" s="119">
        <f>IF(tech_base!$T247&gt;W$1185,"",W1711+W1991)</f>
        <v>0</v>
      </c>
      <c r="X1431" s="119">
        <f>IF(tech_base!$T247&gt;X$1185,"",X1711+X1991)</f>
        <v>0</v>
      </c>
      <c r="Y1431" s="119">
        <f>IF(tech_base!$T247&gt;Y$1185,"",Y1711+Y1991)</f>
        <v>0</v>
      </c>
      <c r="Z1431" s="119">
        <f>IF(tech_base!$T247&gt;Z$1185,"",Z1711+Z1991)</f>
        <v>0</v>
      </c>
      <c r="AA1431" s="119">
        <f>IF(tech_base!$T247&gt;AA$1185,"",AA1711+AA1991)</f>
        <v>0</v>
      </c>
      <c r="AB1431" s="119">
        <f>IF(tech_base!$T247&gt;AB$1185,"",AB1711+AB1991)</f>
        <v>0</v>
      </c>
      <c r="AC1431" s="119">
        <f>IF(tech_base!$T247&gt;AC$1185,"",AC1711+AC1991)</f>
        <v>0</v>
      </c>
      <c r="AD1431" s="119">
        <f>IF(tech_base!$T247&gt;AD$1185,"",AD1711+AD1991)</f>
        <v>0</v>
      </c>
      <c r="AE1431" s="119">
        <f>IF(tech_base!$T247&gt;AE$1185,"",AE1711+AE1991)</f>
        <v>0</v>
      </c>
      <c r="AF1431" s="119">
        <f>IF(tech_base!$T247&gt;AF$1185,"",AF1711+AF1991)</f>
        <v>0</v>
      </c>
      <c r="AG1431" s="119">
        <f>IF(tech_base!$T247&gt;AG$1185,"",AG1711+AG1991)</f>
        <v>0</v>
      </c>
      <c r="AH1431" s="119">
        <f>IF(tech_base!$T247&gt;AH$1185,"",AH1711+AH1991)</f>
        <v>0</v>
      </c>
      <c r="AI1431" s="119">
        <f>IF(tech_base!$T247&gt;AI$1185,"",AI1711+AI1991)</f>
        <v>0</v>
      </c>
      <c r="AJ1431" s="119">
        <f>IF(tech_base!$T247&gt;AJ$1185,"",AJ1711+AJ1991)</f>
        <v>0</v>
      </c>
      <c r="AK1431" s="119">
        <f>IF(tech_base!$T247&gt;AK$1185,"",AK1711+AK1991)</f>
        <v>0</v>
      </c>
      <c r="AL1431" s="119">
        <f>IF(tech_base!$T247&gt;AL$1185,"",AL1711+AL1991)</f>
        <v>0</v>
      </c>
      <c r="AM1431" s="119">
        <f>IF(tech_base!$T247&gt;AM$1185,"",AM1711+AM1991)</f>
        <v>0</v>
      </c>
      <c r="AN1431" s="119">
        <f>IF(tech_base!$T247&gt;AN$1185,"",AN1711+AN1991)</f>
        <v>0</v>
      </c>
      <c r="AO1431" s="119">
        <f>IF(tech_base!$T247&gt;AO$1185,"",AO1711+AO1991)</f>
        <v>0</v>
      </c>
      <c r="AP1431" s="119">
        <f>IF(tech_base!$T247&gt;AP$1185,"",AP1711+AP1991)</f>
        <v>0</v>
      </c>
      <c r="AQ1431" s="119">
        <f>IF(tech_base!$T247&gt;AQ$1185,"",AQ1711+AQ1991)</f>
        <v>0</v>
      </c>
      <c r="AR1431" s="119">
        <f>IF(tech_base!$T247&gt;AR$1185,"",AR1711+AR1991)</f>
        <v>0</v>
      </c>
      <c r="AS1431" s="119">
        <f>IF(tech_base!$T247&gt;AS$1185,"",AS1711+AS1991)</f>
        <v>0</v>
      </c>
      <c r="AT1431" s="119">
        <f>IF(tech_base!$T247&gt;AT$1185,"",AT1711+AT1991)</f>
        <v>0</v>
      </c>
      <c r="AU1431" s="119">
        <f>IF(tech_base!$T247&gt;AU$1185,"",AU1711+AU1991)</f>
        <v>0</v>
      </c>
      <c r="AV1431" s="119">
        <f>IF(tech_base!$T247&gt;AV$1185,"",AV1711+AV1991)</f>
        <v>0</v>
      </c>
      <c r="AW1431" s="119">
        <f>IF(tech_base!$T247&gt;AW$1185,"",AW1711+AW1991)</f>
        <v>0</v>
      </c>
      <c r="AX1431" s="120">
        <f>IF(tech_base!$T247&gt;AX$1185,"",AX1711+AX1991)</f>
        <v>0</v>
      </c>
    </row>
    <row r="1432" spans="1:50" x14ac:dyDescent="0.25">
      <c r="A1432" s="357"/>
      <c r="B1432" s="380"/>
      <c r="C1432" s="381"/>
      <c r="D1432" s="4" t="s">
        <v>20</v>
      </c>
      <c r="E1432" s="168" t="str">
        <f>A1425&amp;"/"&amp;B1429&amp;"/"&amp;C1429&amp;"/"&amp;D1432</f>
        <v>Wind power plants/Offshore/Electricity only/XS</v>
      </c>
      <c r="F1432" s="80" t="str">
        <f>A1425</f>
        <v>Wind power plants</v>
      </c>
      <c r="G1432" s="80" t="str">
        <f>B1429</f>
        <v>Offshore</v>
      </c>
      <c r="H1432" s="80" t="str">
        <f>C1429</f>
        <v>Electricity only</v>
      </c>
      <c r="I1432" s="169" t="str">
        <f t="shared" si="375"/>
        <v>XS</v>
      </c>
      <c r="J1432" s="127">
        <f>IF(tech_base!$T248&gt;J$1185,"",J1712+J1992)</f>
        <v>0</v>
      </c>
      <c r="K1432" s="127">
        <f>IF(tech_base!$T248&gt;K$1185,"",K1712+K1992)</f>
        <v>0</v>
      </c>
      <c r="L1432" s="127">
        <f>IF(tech_base!$T248&gt;L$1185,"",L1712+L1992)</f>
        <v>0</v>
      </c>
      <c r="M1432" s="127">
        <f>IF(tech_base!$T248&gt;M$1185,"",M1712+M1992)</f>
        <v>0</v>
      </c>
      <c r="N1432" s="127">
        <f>IF(tech_base!$T248&gt;N$1185,"",N1712+N1992)</f>
        <v>0</v>
      </c>
      <c r="O1432" s="127">
        <f>IF(tech_base!$T248&gt;O$1185,"",O1712+O1992)</f>
        <v>0</v>
      </c>
      <c r="P1432" s="127">
        <f>IF(tech_base!$T248&gt;P$1185,"",P1712+P1992)</f>
        <v>0</v>
      </c>
      <c r="Q1432" s="127">
        <f>IF(tech_base!$T248&gt;Q$1185,"",Q1712+Q1992)</f>
        <v>0</v>
      </c>
      <c r="R1432" s="127">
        <f>IF(tech_base!$T248&gt;R$1185,"",R1712+R1992)</f>
        <v>0</v>
      </c>
      <c r="S1432" s="127">
        <f>IF(tech_base!$T248&gt;S$1185,"",S1712+S1992)</f>
        <v>0</v>
      </c>
      <c r="T1432" s="127">
        <f>IF(tech_base!$T248&gt;T$1185,"",T1712+T1992)</f>
        <v>0</v>
      </c>
      <c r="U1432" s="127">
        <f>IF(tech_base!$T248&gt;U$1185,"",U1712+U1992)</f>
        <v>0</v>
      </c>
      <c r="V1432" s="127">
        <f>IF(tech_base!$T248&gt;V$1185,"",V1712+V1992)</f>
        <v>0</v>
      </c>
      <c r="W1432" s="127">
        <f>IF(tech_base!$T248&gt;W$1185,"",W1712+W1992)</f>
        <v>0</v>
      </c>
      <c r="X1432" s="127">
        <f>IF(tech_base!$T248&gt;X$1185,"",X1712+X1992)</f>
        <v>0</v>
      </c>
      <c r="Y1432" s="127">
        <f>IF(tech_base!$T248&gt;Y$1185,"",Y1712+Y1992)</f>
        <v>0</v>
      </c>
      <c r="Z1432" s="127">
        <f>IF(tech_base!$T248&gt;Z$1185,"",Z1712+Z1992)</f>
        <v>0</v>
      </c>
      <c r="AA1432" s="127">
        <f>IF(tech_base!$T248&gt;AA$1185,"",AA1712+AA1992)</f>
        <v>0</v>
      </c>
      <c r="AB1432" s="127">
        <f>IF(tech_base!$T248&gt;AB$1185,"",AB1712+AB1992)</f>
        <v>0</v>
      </c>
      <c r="AC1432" s="127">
        <f>IF(tech_base!$T248&gt;AC$1185,"",AC1712+AC1992)</f>
        <v>0</v>
      </c>
      <c r="AD1432" s="127">
        <f>IF(tech_base!$T248&gt;AD$1185,"",AD1712+AD1992)</f>
        <v>0</v>
      </c>
      <c r="AE1432" s="127">
        <f>IF(tech_base!$T248&gt;AE$1185,"",AE1712+AE1992)</f>
        <v>0</v>
      </c>
      <c r="AF1432" s="127">
        <f>IF(tech_base!$T248&gt;AF$1185,"",AF1712+AF1992)</f>
        <v>0</v>
      </c>
      <c r="AG1432" s="127">
        <f>IF(tech_base!$T248&gt;AG$1185,"",AG1712+AG1992)</f>
        <v>0</v>
      </c>
      <c r="AH1432" s="127">
        <f>IF(tech_base!$T248&gt;AH$1185,"",AH1712+AH1992)</f>
        <v>0</v>
      </c>
      <c r="AI1432" s="127">
        <f>IF(tech_base!$T248&gt;AI$1185,"",AI1712+AI1992)</f>
        <v>0</v>
      </c>
      <c r="AJ1432" s="127">
        <f>IF(tech_base!$T248&gt;AJ$1185,"",AJ1712+AJ1992)</f>
        <v>0</v>
      </c>
      <c r="AK1432" s="127">
        <f>IF(tech_base!$T248&gt;AK$1185,"",AK1712+AK1992)</f>
        <v>0</v>
      </c>
      <c r="AL1432" s="127">
        <f>IF(tech_base!$T248&gt;AL$1185,"",AL1712+AL1992)</f>
        <v>0</v>
      </c>
      <c r="AM1432" s="127">
        <f>IF(tech_base!$T248&gt;AM$1185,"",AM1712+AM1992)</f>
        <v>0</v>
      </c>
      <c r="AN1432" s="127">
        <f>IF(tech_base!$T248&gt;AN$1185,"",AN1712+AN1992)</f>
        <v>0</v>
      </c>
      <c r="AO1432" s="127">
        <f>IF(tech_base!$T248&gt;AO$1185,"",AO1712+AO1992)</f>
        <v>0</v>
      </c>
      <c r="AP1432" s="127">
        <f>IF(tech_base!$T248&gt;AP$1185,"",AP1712+AP1992)</f>
        <v>0</v>
      </c>
      <c r="AQ1432" s="127">
        <f>IF(tech_base!$T248&gt;AQ$1185,"",AQ1712+AQ1992)</f>
        <v>0</v>
      </c>
      <c r="AR1432" s="127">
        <f>IF(tech_base!$T248&gt;AR$1185,"",AR1712+AR1992)</f>
        <v>0</v>
      </c>
      <c r="AS1432" s="127">
        <f>IF(tech_base!$T248&gt;AS$1185,"",AS1712+AS1992)</f>
        <v>0</v>
      </c>
      <c r="AT1432" s="127">
        <f>IF(tech_base!$T248&gt;AT$1185,"",AT1712+AT1992)</f>
        <v>0</v>
      </c>
      <c r="AU1432" s="127">
        <f>IF(tech_base!$T248&gt;AU$1185,"",AU1712+AU1992)</f>
        <v>0</v>
      </c>
      <c r="AV1432" s="127">
        <f>IF(tech_base!$T248&gt;AV$1185,"",AV1712+AV1992)</f>
        <v>0</v>
      </c>
      <c r="AW1432" s="127">
        <f>IF(tech_base!$T248&gt;AW$1185,"",AW1712+AW1992)</f>
        <v>0</v>
      </c>
      <c r="AX1432" s="128">
        <f>IF(tech_base!$T248&gt;AX$1185,"",AX1712+AX1992)</f>
        <v>0</v>
      </c>
    </row>
    <row r="1433" spans="1:50" x14ac:dyDescent="0.25">
      <c r="A1433" s="355" t="s">
        <v>37</v>
      </c>
      <c r="B1433" s="358" t="s">
        <v>37</v>
      </c>
      <c r="C1433" s="353" t="s">
        <v>6</v>
      </c>
      <c r="D1433" s="3" t="s">
        <v>7</v>
      </c>
      <c r="E1433" s="162" t="str">
        <f>A1433&amp;"/"&amp;B1433&amp;"/"&amp;C1433&amp;"/"&amp;D1433</f>
        <v>Solar PV power plants/Solar PV power plants/Electricity only/L</v>
      </c>
      <c r="F1433" s="77" t="str">
        <f>A1433</f>
        <v>Solar PV power plants</v>
      </c>
      <c r="G1433" s="77" t="str">
        <f>B1433</f>
        <v>Solar PV power plants</v>
      </c>
      <c r="H1433" s="77" t="str">
        <f>C1433</f>
        <v>Electricity only</v>
      </c>
      <c r="I1433" s="163" t="str">
        <f t="shared" si="375"/>
        <v>L</v>
      </c>
      <c r="J1433" s="121">
        <f>IF(tech_base!$T249&gt;J$1185,"",J1713+J1993)</f>
        <v>0</v>
      </c>
      <c r="K1433" s="121">
        <f>IF(tech_base!$T249&gt;K$1185,"",K1713+K1993)</f>
        <v>0</v>
      </c>
      <c r="L1433" s="121">
        <f>IF(tech_base!$T249&gt;L$1185,"",L1713+L1993)</f>
        <v>0</v>
      </c>
      <c r="M1433" s="121">
        <f>IF(tech_base!$T249&gt;M$1185,"",M1713+M1993)</f>
        <v>0</v>
      </c>
      <c r="N1433" s="121">
        <f>IF(tech_base!$T249&gt;N$1185,"",N1713+N1993)</f>
        <v>0</v>
      </c>
      <c r="O1433" s="121">
        <f>IF(tech_base!$T249&gt;O$1185,"",O1713+O1993)</f>
        <v>0</v>
      </c>
      <c r="P1433" s="121">
        <f>IF(tech_base!$T249&gt;P$1185,"",P1713+P1993)</f>
        <v>0</v>
      </c>
      <c r="Q1433" s="121">
        <f>IF(tech_base!$T249&gt;Q$1185,"",Q1713+Q1993)</f>
        <v>0</v>
      </c>
      <c r="R1433" s="121">
        <f>IF(tech_base!$T249&gt;R$1185,"",R1713+R1993)</f>
        <v>0</v>
      </c>
      <c r="S1433" s="121">
        <f>IF(tech_base!$T249&gt;S$1185,"",S1713+S1993)</f>
        <v>0</v>
      </c>
      <c r="T1433" s="121">
        <f>IF(tech_base!$T249&gt;T$1185,"",T1713+T1993)</f>
        <v>0</v>
      </c>
      <c r="U1433" s="121">
        <f>IF(tech_base!$T249&gt;U$1185,"",U1713+U1993)</f>
        <v>0</v>
      </c>
      <c r="V1433" s="121">
        <f>IF(tech_base!$T249&gt;V$1185,"",V1713+V1993)</f>
        <v>0</v>
      </c>
      <c r="W1433" s="121">
        <f>IF(tech_base!$T249&gt;W$1185,"",W1713+W1993)</f>
        <v>0</v>
      </c>
      <c r="X1433" s="121">
        <f>IF(tech_base!$T249&gt;X$1185,"",X1713+X1993)</f>
        <v>0</v>
      </c>
      <c r="Y1433" s="121">
        <f>IF(tech_base!$T249&gt;Y$1185,"",Y1713+Y1993)</f>
        <v>0</v>
      </c>
      <c r="Z1433" s="121">
        <f>IF(tech_base!$T249&gt;Z$1185,"",Z1713+Z1993)</f>
        <v>0</v>
      </c>
      <c r="AA1433" s="121">
        <f>IF(tech_base!$T249&gt;AA$1185,"",AA1713+AA1993)</f>
        <v>0</v>
      </c>
      <c r="AB1433" s="121">
        <f>IF(tech_base!$T249&gt;AB$1185,"",AB1713+AB1993)</f>
        <v>0</v>
      </c>
      <c r="AC1433" s="121">
        <f>IF(tech_base!$T249&gt;AC$1185,"",AC1713+AC1993)</f>
        <v>0</v>
      </c>
      <c r="AD1433" s="121">
        <f>IF(tech_base!$T249&gt;AD$1185,"",AD1713+AD1993)</f>
        <v>0</v>
      </c>
      <c r="AE1433" s="121">
        <f>IF(tech_base!$T249&gt;AE$1185,"",AE1713+AE1993)</f>
        <v>0</v>
      </c>
      <c r="AF1433" s="121">
        <f>IF(tech_base!$T249&gt;AF$1185,"",AF1713+AF1993)</f>
        <v>0</v>
      </c>
      <c r="AG1433" s="121">
        <f>IF(tech_base!$T249&gt;AG$1185,"",AG1713+AG1993)</f>
        <v>0</v>
      </c>
      <c r="AH1433" s="121">
        <f>IF(tech_base!$T249&gt;AH$1185,"",AH1713+AH1993)</f>
        <v>0</v>
      </c>
      <c r="AI1433" s="121">
        <f>IF(tech_base!$T249&gt;AI$1185,"",AI1713+AI1993)</f>
        <v>0</v>
      </c>
      <c r="AJ1433" s="121">
        <f>IF(tech_base!$T249&gt;AJ$1185,"",AJ1713+AJ1993)</f>
        <v>0</v>
      </c>
      <c r="AK1433" s="121">
        <f>IF(tech_base!$T249&gt;AK$1185,"",AK1713+AK1993)</f>
        <v>0</v>
      </c>
      <c r="AL1433" s="121">
        <f>IF(tech_base!$T249&gt;AL$1185,"",AL1713+AL1993)</f>
        <v>0</v>
      </c>
      <c r="AM1433" s="121">
        <f>IF(tech_base!$T249&gt;AM$1185,"",AM1713+AM1993)</f>
        <v>0</v>
      </c>
      <c r="AN1433" s="121">
        <f>IF(tech_base!$T249&gt;AN$1185,"",AN1713+AN1993)</f>
        <v>0</v>
      </c>
      <c r="AO1433" s="121">
        <f>IF(tech_base!$T249&gt;AO$1185,"",AO1713+AO1993)</f>
        <v>0</v>
      </c>
      <c r="AP1433" s="121">
        <f>IF(tech_base!$T249&gt;AP$1185,"",AP1713+AP1993)</f>
        <v>0</v>
      </c>
      <c r="AQ1433" s="121">
        <f>IF(tech_base!$T249&gt;AQ$1185,"",AQ1713+AQ1993)</f>
        <v>0</v>
      </c>
      <c r="AR1433" s="121">
        <f>IF(tech_base!$T249&gt;AR$1185,"",AR1713+AR1993)</f>
        <v>0</v>
      </c>
      <c r="AS1433" s="121">
        <f>IF(tech_base!$T249&gt;AS$1185,"",AS1713+AS1993)</f>
        <v>0</v>
      </c>
      <c r="AT1433" s="121">
        <f>IF(tech_base!$T249&gt;AT$1185,"",AT1713+AT1993)</f>
        <v>0</v>
      </c>
      <c r="AU1433" s="121">
        <f>IF(tech_base!$T249&gt;AU$1185,"",AU1713+AU1993)</f>
        <v>0</v>
      </c>
      <c r="AV1433" s="121">
        <f>IF(tech_base!$T249&gt;AV$1185,"",AV1713+AV1993)</f>
        <v>0</v>
      </c>
      <c r="AW1433" s="121">
        <f>IF(tech_base!$T249&gt;AW$1185,"",AW1713+AW1993)</f>
        <v>0</v>
      </c>
      <c r="AX1433" s="122">
        <f>IF(tech_base!$T249&gt;AX$1185,"",AX1713+AX1993)</f>
        <v>0</v>
      </c>
    </row>
    <row r="1434" spans="1:50" x14ac:dyDescent="0.25">
      <c r="A1434" s="356"/>
      <c r="B1434" s="376"/>
      <c r="C1434" s="378"/>
      <c r="D1434" s="2" t="s">
        <v>8</v>
      </c>
      <c r="E1434" s="160" t="str">
        <f>A1433&amp;"/"&amp;B1433&amp;"/"&amp;C1433&amp;"/"&amp;D1434</f>
        <v>Solar PV power plants/Solar PV power plants/Electricity only/M</v>
      </c>
      <c r="F1434" s="76" t="str">
        <f>A1433</f>
        <v>Solar PV power plants</v>
      </c>
      <c r="G1434" s="76" t="str">
        <f>B1433</f>
        <v>Solar PV power plants</v>
      </c>
      <c r="H1434" s="76" t="str">
        <f>C1433</f>
        <v>Electricity only</v>
      </c>
      <c r="I1434" s="161" t="str">
        <f t="shared" si="375"/>
        <v>M</v>
      </c>
      <c r="J1434" s="119">
        <f>IF(tech_base!$T250&gt;J$1185,"",J1714+J1994)</f>
        <v>0</v>
      </c>
      <c r="K1434" s="119">
        <f>IF(tech_base!$T250&gt;K$1185,"",K1714+K1994)</f>
        <v>0</v>
      </c>
      <c r="L1434" s="119">
        <f>IF(tech_base!$T250&gt;L$1185,"",L1714+L1994)</f>
        <v>0</v>
      </c>
      <c r="M1434" s="119">
        <f>IF(tech_base!$T250&gt;M$1185,"",M1714+M1994)</f>
        <v>0</v>
      </c>
      <c r="N1434" s="119">
        <f>IF(tech_base!$T250&gt;N$1185,"",N1714+N1994)</f>
        <v>0</v>
      </c>
      <c r="O1434" s="119">
        <f>IF(tech_base!$T250&gt;O$1185,"",O1714+O1994)</f>
        <v>0</v>
      </c>
      <c r="P1434" s="119">
        <f>IF(tech_base!$T250&gt;P$1185,"",P1714+P1994)</f>
        <v>0</v>
      </c>
      <c r="Q1434" s="119">
        <f>IF(tech_base!$T250&gt;Q$1185,"",Q1714+Q1994)</f>
        <v>0</v>
      </c>
      <c r="R1434" s="119">
        <f>IF(tech_base!$T250&gt;R$1185,"",R1714+R1994)</f>
        <v>0</v>
      </c>
      <c r="S1434" s="119">
        <f>IF(tech_base!$T250&gt;S$1185,"",S1714+S1994)</f>
        <v>0</v>
      </c>
      <c r="T1434" s="119">
        <f>IF(tech_base!$T250&gt;T$1185,"",T1714+T1994)</f>
        <v>0</v>
      </c>
      <c r="U1434" s="119">
        <f>IF(tech_base!$T250&gt;U$1185,"",U1714+U1994)</f>
        <v>0</v>
      </c>
      <c r="V1434" s="119">
        <f>IF(tech_base!$T250&gt;V$1185,"",V1714+V1994)</f>
        <v>0</v>
      </c>
      <c r="W1434" s="119">
        <f>IF(tech_base!$T250&gt;W$1185,"",W1714+W1994)</f>
        <v>0</v>
      </c>
      <c r="X1434" s="119">
        <f>IF(tech_base!$T250&gt;X$1185,"",X1714+X1994)</f>
        <v>0</v>
      </c>
      <c r="Y1434" s="119">
        <f>IF(tech_base!$T250&gt;Y$1185,"",Y1714+Y1994)</f>
        <v>0</v>
      </c>
      <c r="Z1434" s="119">
        <f>IF(tech_base!$T250&gt;Z$1185,"",Z1714+Z1994)</f>
        <v>0</v>
      </c>
      <c r="AA1434" s="119">
        <f>IF(tech_base!$T250&gt;AA$1185,"",AA1714+AA1994)</f>
        <v>0</v>
      </c>
      <c r="AB1434" s="119">
        <f>IF(tech_base!$T250&gt;AB$1185,"",AB1714+AB1994)</f>
        <v>0</v>
      </c>
      <c r="AC1434" s="119">
        <f>IF(tech_base!$T250&gt;AC$1185,"",AC1714+AC1994)</f>
        <v>0</v>
      </c>
      <c r="AD1434" s="119">
        <f>IF(tech_base!$T250&gt;AD$1185,"",AD1714+AD1994)</f>
        <v>0</v>
      </c>
      <c r="AE1434" s="119">
        <f>IF(tech_base!$T250&gt;AE$1185,"",AE1714+AE1994)</f>
        <v>0</v>
      </c>
      <c r="AF1434" s="119">
        <f>IF(tech_base!$T250&gt;AF$1185,"",AF1714+AF1994)</f>
        <v>0</v>
      </c>
      <c r="AG1434" s="119">
        <f>IF(tech_base!$T250&gt;AG$1185,"",AG1714+AG1994)</f>
        <v>0</v>
      </c>
      <c r="AH1434" s="119">
        <f>IF(tech_base!$T250&gt;AH$1185,"",AH1714+AH1994)</f>
        <v>0</v>
      </c>
      <c r="AI1434" s="119">
        <f>IF(tech_base!$T250&gt;AI$1185,"",AI1714+AI1994)</f>
        <v>0</v>
      </c>
      <c r="AJ1434" s="119">
        <f>IF(tech_base!$T250&gt;AJ$1185,"",AJ1714+AJ1994)</f>
        <v>0</v>
      </c>
      <c r="AK1434" s="119">
        <f>IF(tech_base!$T250&gt;AK$1185,"",AK1714+AK1994)</f>
        <v>0</v>
      </c>
      <c r="AL1434" s="119">
        <f>IF(tech_base!$T250&gt;AL$1185,"",AL1714+AL1994)</f>
        <v>0</v>
      </c>
      <c r="AM1434" s="119">
        <f>IF(tech_base!$T250&gt;AM$1185,"",AM1714+AM1994)</f>
        <v>0</v>
      </c>
      <c r="AN1434" s="119">
        <f>IF(tech_base!$T250&gt;AN$1185,"",AN1714+AN1994)</f>
        <v>0</v>
      </c>
      <c r="AO1434" s="119">
        <f>IF(tech_base!$T250&gt;AO$1185,"",AO1714+AO1994)</f>
        <v>0</v>
      </c>
      <c r="AP1434" s="119">
        <f>IF(tech_base!$T250&gt;AP$1185,"",AP1714+AP1994)</f>
        <v>0</v>
      </c>
      <c r="AQ1434" s="119">
        <f>IF(tech_base!$T250&gt;AQ$1185,"",AQ1714+AQ1994)</f>
        <v>0</v>
      </c>
      <c r="AR1434" s="119">
        <f>IF(tech_base!$T250&gt;AR$1185,"",AR1714+AR1994)</f>
        <v>0</v>
      </c>
      <c r="AS1434" s="119">
        <f>IF(tech_base!$T250&gt;AS$1185,"",AS1714+AS1994)</f>
        <v>0</v>
      </c>
      <c r="AT1434" s="119">
        <f>IF(tech_base!$T250&gt;AT$1185,"",AT1714+AT1994)</f>
        <v>0</v>
      </c>
      <c r="AU1434" s="119">
        <f>IF(tech_base!$T250&gt;AU$1185,"",AU1714+AU1994)</f>
        <v>0</v>
      </c>
      <c r="AV1434" s="119">
        <f>IF(tech_base!$T250&gt;AV$1185,"",AV1714+AV1994)</f>
        <v>0</v>
      </c>
      <c r="AW1434" s="119">
        <f>IF(tech_base!$T250&gt;AW$1185,"",AW1714+AW1994)</f>
        <v>0</v>
      </c>
      <c r="AX1434" s="120">
        <f>IF(tech_base!$T250&gt;AX$1185,"",AX1714+AX1994)</f>
        <v>0</v>
      </c>
    </row>
    <row r="1435" spans="1:50" x14ac:dyDescent="0.25">
      <c r="A1435" s="356"/>
      <c r="B1435" s="376"/>
      <c r="C1435" s="378"/>
      <c r="D1435" s="2" t="s">
        <v>10</v>
      </c>
      <c r="E1435" s="160" t="str">
        <f>A1433&amp;"/"&amp;B1433&amp;"/"&amp;C1433&amp;"/"&amp;D1435</f>
        <v>Solar PV power plants/Solar PV power plants/Electricity only/S</v>
      </c>
      <c r="F1435" s="76" t="str">
        <f>A1433</f>
        <v>Solar PV power plants</v>
      </c>
      <c r="G1435" s="76" t="str">
        <f>B1433</f>
        <v>Solar PV power plants</v>
      </c>
      <c r="H1435" s="76" t="str">
        <f>C1433</f>
        <v>Electricity only</v>
      </c>
      <c r="I1435" s="161" t="str">
        <f t="shared" si="375"/>
        <v>S</v>
      </c>
      <c r="J1435" s="119">
        <f>IF(tech_base!$T251&gt;J$1185,"",J1715+J1995)</f>
        <v>0</v>
      </c>
      <c r="K1435" s="119">
        <f>IF(tech_base!$T251&gt;K$1185,"",K1715+K1995)</f>
        <v>0</v>
      </c>
      <c r="L1435" s="119">
        <f>IF(tech_base!$T251&gt;L$1185,"",L1715+L1995)</f>
        <v>0</v>
      </c>
      <c r="M1435" s="119">
        <f>IF(tech_base!$T251&gt;M$1185,"",M1715+M1995)</f>
        <v>0</v>
      </c>
      <c r="N1435" s="119">
        <f>IF(tech_base!$T251&gt;N$1185,"",N1715+N1995)</f>
        <v>0</v>
      </c>
      <c r="O1435" s="119">
        <f>IF(tech_base!$T251&gt;O$1185,"",O1715+O1995)</f>
        <v>0</v>
      </c>
      <c r="P1435" s="119">
        <f>IF(tech_base!$T251&gt;P$1185,"",P1715+P1995)</f>
        <v>0</v>
      </c>
      <c r="Q1435" s="119">
        <f>IF(tech_base!$T251&gt;Q$1185,"",Q1715+Q1995)</f>
        <v>0</v>
      </c>
      <c r="R1435" s="119">
        <f>IF(tech_base!$T251&gt;R$1185,"",R1715+R1995)</f>
        <v>0</v>
      </c>
      <c r="S1435" s="119">
        <f>IF(tech_base!$T251&gt;S$1185,"",S1715+S1995)</f>
        <v>0</v>
      </c>
      <c r="T1435" s="119">
        <f>IF(tech_base!$T251&gt;T$1185,"",T1715+T1995)</f>
        <v>0</v>
      </c>
      <c r="U1435" s="119">
        <f>IF(tech_base!$T251&gt;U$1185,"",U1715+U1995)</f>
        <v>0</v>
      </c>
      <c r="V1435" s="119">
        <f>IF(tech_base!$T251&gt;V$1185,"",V1715+V1995)</f>
        <v>0</v>
      </c>
      <c r="W1435" s="119">
        <f>IF(tech_base!$T251&gt;W$1185,"",W1715+W1995)</f>
        <v>0</v>
      </c>
      <c r="X1435" s="119">
        <f>IF(tech_base!$T251&gt;X$1185,"",X1715+X1995)</f>
        <v>0</v>
      </c>
      <c r="Y1435" s="119">
        <f>IF(tech_base!$T251&gt;Y$1185,"",Y1715+Y1995)</f>
        <v>0</v>
      </c>
      <c r="Z1435" s="119">
        <f>IF(tech_base!$T251&gt;Z$1185,"",Z1715+Z1995)</f>
        <v>0</v>
      </c>
      <c r="AA1435" s="119">
        <f>IF(tech_base!$T251&gt;AA$1185,"",AA1715+AA1995)</f>
        <v>0</v>
      </c>
      <c r="AB1435" s="119">
        <f>IF(tech_base!$T251&gt;AB$1185,"",AB1715+AB1995)</f>
        <v>0</v>
      </c>
      <c r="AC1435" s="119">
        <f>IF(tech_base!$T251&gt;AC$1185,"",AC1715+AC1995)</f>
        <v>0</v>
      </c>
      <c r="AD1435" s="119">
        <f>IF(tech_base!$T251&gt;AD$1185,"",AD1715+AD1995)</f>
        <v>0</v>
      </c>
      <c r="AE1435" s="119">
        <f>IF(tech_base!$T251&gt;AE$1185,"",AE1715+AE1995)</f>
        <v>0</v>
      </c>
      <c r="AF1435" s="119">
        <f>IF(tech_base!$T251&gt;AF$1185,"",AF1715+AF1995)</f>
        <v>0</v>
      </c>
      <c r="AG1435" s="119">
        <f>IF(tech_base!$T251&gt;AG$1185,"",AG1715+AG1995)</f>
        <v>0</v>
      </c>
      <c r="AH1435" s="119">
        <f>IF(tech_base!$T251&gt;AH$1185,"",AH1715+AH1995)</f>
        <v>0</v>
      </c>
      <c r="AI1435" s="119">
        <f>IF(tech_base!$T251&gt;AI$1185,"",AI1715+AI1995)</f>
        <v>0</v>
      </c>
      <c r="AJ1435" s="119">
        <f>IF(tech_base!$T251&gt;AJ$1185,"",AJ1715+AJ1995)</f>
        <v>0</v>
      </c>
      <c r="AK1435" s="119">
        <f>IF(tech_base!$T251&gt;AK$1185,"",AK1715+AK1995)</f>
        <v>0</v>
      </c>
      <c r="AL1435" s="119">
        <f>IF(tech_base!$T251&gt;AL$1185,"",AL1715+AL1995)</f>
        <v>0</v>
      </c>
      <c r="AM1435" s="119">
        <f>IF(tech_base!$T251&gt;AM$1185,"",AM1715+AM1995)</f>
        <v>0</v>
      </c>
      <c r="AN1435" s="119">
        <f>IF(tech_base!$T251&gt;AN$1185,"",AN1715+AN1995)</f>
        <v>0</v>
      </c>
      <c r="AO1435" s="119">
        <f>IF(tech_base!$T251&gt;AO$1185,"",AO1715+AO1995)</f>
        <v>0</v>
      </c>
      <c r="AP1435" s="119">
        <f>IF(tech_base!$T251&gt;AP$1185,"",AP1715+AP1995)</f>
        <v>0</v>
      </c>
      <c r="AQ1435" s="119">
        <f>IF(tech_base!$T251&gt;AQ$1185,"",AQ1715+AQ1995)</f>
        <v>0</v>
      </c>
      <c r="AR1435" s="119">
        <f>IF(tech_base!$T251&gt;AR$1185,"",AR1715+AR1995)</f>
        <v>0</v>
      </c>
      <c r="AS1435" s="119">
        <f>IF(tech_base!$T251&gt;AS$1185,"",AS1715+AS1995)</f>
        <v>0</v>
      </c>
      <c r="AT1435" s="119">
        <f>IF(tech_base!$T251&gt;AT$1185,"",AT1715+AT1995)</f>
        <v>0</v>
      </c>
      <c r="AU1435" s="119">
        <f>IF(tech_base!$T251&gt;AU$1185,"",AU1715+AU1995)</f>
        <v>0</v>
      </c>
      <c r="AV1435" s="119">
        <f>IF(tech_base!$T251&gt;AV$1185,"",AV1715+AV1995)</f>
        <v>0</v>
      </c>
      <c r="AW1435" s="119">
        <f>IF(tech_base!$T251&gt;AW$1185,"",AW1715+AW1995)</f>
        <v>0</v>
      </c>
      <c r="AX1435" s="120">
        <f>IF(tech_base!$T251&gt;AX$1185,"",AX1715+AX1995)</f>
        <v>0</v>
      </c>
    </row>
    <row r="1436" spans="1:50" x14ac:dyDescent="0.25">
      <c r="A1436" s="357"/>
      <c r="B1436" s="380"/>
      <c r="C1436" s="381"/>
      <c r="D1436" s="4" t="s">
        <v>20</v>
      </c>
      <c r="E1436" s="168" t="str">
        <f>A1433&amp;"/"&amp;B1433&amp;"/"&amp;C1433&amp;"/"&amp;D1436</f>
        <v>Solar PV power plants/Solar PV power plants/Electricity only/XS</v>
      </c>
      <c r="F1436" s="80" t="str">
        <f>A1433</f>
        <v>Solar PV power plants</v>
      </c>
      <c r="G1436" s="80" t="str">
        <f>B1433</f>
        <v>Solar PV power plants</v>
      </c>
      <c r="H1436" s="80" t="str">
        <f>C1433</f>
        <v>Electricity only</v>
      </c>
      <c r="I1436" s="169" t="str">
        <f t="shared" si="375"/>
        <v>XS</v>
      </c>
      <c r="J1436" s="127">
        <f>IF(tech_base!$T252&gt;J$1185,"",J1716+J1996)</f>
        <v>0</v>
      </c>
      <c r="K1436" s="127">
        <f>IF(tech_base!$T252&gt;K$1185,"",K1716+K1996)</f>
        <v>0</v>
      </c>
      <c r="L1436" s="127">
        <f>IF(tech_base!$T252&gt;L$1185,"",L1716+L1996)</f>
        <v>0</v>
      </c>
      <c r="M1436" s="127">
        <f>IF(tech_base!$T252&gt;M$1185,"",M1716+M1996)</f>
        <v>0</v>
      </c>
      <c r="N1436" s="127">
        <f>IF(tech_base!$T252&gt;N$1185,"",N1716+N1996)</f>
        <v>0</v>
      </c>
      <c r="O1436" s="127">
        <f>IF(tech_base!$T252&gt;O$1185,"",O1716+O1996)</f>
        <v>0</v>
      </c>
      <c r="P1436" s="127">
        <f>IF(tech_base!$T252&gt;P$1185,"",P1716+P1996)</f>
        <v>0</v>
      </c>
      <c r="Q1436" s="127">
        <f>IF(tech_base!$T252&gt;Q$1185,"",Q1716+Q1996)</f>
        <v>0</v>
      </c>
      <c r="R1436" s="127">
        <f>IF(tech_base!$T252&gt;R$1185,"",R1716+R1996)</f>
        <v>0</v>
      </c>
      <c r="S1436" s="127">
        <f>IF(tech_base!$T252&gt;S$1185,"",S1716+S1996)</f>
        <v>0</v>
      </c>
      <c r="T1436" s="127">
        <f>IF(tech_base!$T252&gt;T$1185,"",T1716+T1996)</f>
        <v>0</v>
      </c>
      <c r="U1436" s="127">
        <f>IF(tech_base!$T252&gt;U$1185,"",U1716+U1996)</f>
        <v>0</v>
      </c>
      <c r="V1436" s="127">
        <f>IF(tech_base!$T252&gt;V$1185,"",V1716+V1996)</f>
        <v>0</v>
      </c>
      <c r="W1436" s="127">
        <f>IF(tech_base!$T252&gt;W$1185,"",W1716+W1996)</f>
        <v>0</v>
      </c>
      <c r="X1436" s="127">
        <f>IF(tech_base!$T252&gt;X$1185,"",X1716+X1996)</f>
        <v>0</v>
      </c>
      <c r="Y1436" s="127">
        <f>IF(tech_base!$T252&gt;Y$1185,"",Y1716+Y1996)</f>
        <v>0</v>
      </c>
      <c r="Z1436" s="127">
        <f>IF(tech_base!$T252&gt;Z$1185,"",Z1716+Z1996)</f>
        <v>0</v>
      </c>
      <c r="AA1436" s="127">
        <f>IF(tech_base!$T252&gt;AA$1185,"",AA1716+AA1996)</f>
        <v>0</v>
      </c>
      <c r="AB1436" s="127">
        <f>IF(tech_base!$T252&gt;AB$1185,"",AB1716+AB1996)</f>
        <v>0</v>
      </c>
      <c r="AC1436" s="127">
        <f>IF(tech_base!$T252&gt;AC$1185,"",AC1716+AC1996)</f>
        <v>0</v>
      </c>
      <c r="AD1436" s="127">
        <f>IF(tech_base!$T252&gt;AD$1185,"",AD1716+AD1996)</f>
        <v>0</v>
      </c>
      <c r="AE1436" s="127">
        <f>IF(tech_base!$T252&gt;AE$1185,"",AE1716+AE1996)</f>
        <v>0</v>
      </c>
      <c r="AF1436" s="127">
        <f>IF(tech_base!$T252&gt;AF$1185,"",AF1716+AF1996)</f>
        <v>0</v>
      </c>
      <c r="AG1436" s="127">
        <f>IF(tech_base!$T252&gt;AG$1185,"",AG1716+AG1996)</f>
        <v>0</v>
      </c>
      <c r="AH1436" s="127">
        <f>IF(tech_base!$T252&gt;AH$1185,"",AH1716+AH1996)</f>
        <v>0</v>
      </c>
      <c r="AI1436" s="127">
        <f>IF(tech_base!$T252&gt;AI$1185,"",AI1716+AI1996)</f>
        <v>0</v>
      </c>
      <c r="AJ1436" s="127">
        <f>IF(tech_base!$T252&gt;AJ$1185,"",AJ1716+AJ1996)</f>
        <v>0</v>
      </c>
      <c r="AK1436" s="127">
        <f>IF(tech_base!$T252&gt;AK$1185,"",AK1716+AK1996)</f>
        <v>0</v>
      </c>
      <c r="AL1436" s="127">
        <f>IF(tech_base!$T252&gt;AL$1185,"",AL1716+AL1996)</f>
        <v>0</v>
      </c>
      <c r="AM1436" s="127">
        <f>IF(tech_base!$T252&gt;AM$1185,"",AM1716+AM1996)</f>
        <v>0</v>
      </c>
      <c r="AN1436" s="127">
        <f>IF(tech_base!$T252&gt;AN$1185,"",AN1716+AN1996)</f>
        <v>0</v>
      </c>
      <c r="AO1436" s="127">
        <f>IF(tech_base!$T252&gt;AO$1185,"",AO1716+AO1996)</f>
        <v>0</v>
      </c>
      <c r="AP1436" s="127">
        <f>IF(tech_base!$T252&gt;AP$1185,"",AP1716+AP1996)</f>
        <v>0</v>
      </c>
      <c r="AQ1436" s="127">
        <f>IF(tech_base!$T252&gt;AQ$1185,"",AQ1716+AQ1996)</f>
        <v>0</v>
      </c>
      <c r="AR1436" s="127">
        <f>IF(tech_base!$T252&gt;AR$1185,"",AR1716+AR1996)</f>
        <v>0</v>
      </c>
      <c r="AS1436" s="127">
        <f>IF(tech_base!$T252&gt;AS$1185,"",AS1716+AS1996)</f>
        <v>0</v>
      </c>
      <c r="AT1436" s="127">
        <f>IF(tech_base!$T252&gt;AT$1185,"",AT1716+AT1996)</f>
        <v>0</v>
      </c>
      <c r="AU1436" s="127">
        <f>IF(tech_base!$T252&gt;AU$1185,"",AU1716+AU1996)</f>
        <v>0</v>
      </c>
      <c r="AV1436" s="127">
        <f>IF(tech_base!$T252&gt;AV$1185,"",AV1716+AV1996)</f>
        <v>0</v>
      </c>
      <c r="AW1436" s="127">
        <f>IF(tech_base!$T252&gt;AW$1185,"",AW1716+AW1996)</f>
        <v>0</v>
      </c>
      <c r="AX1436" s="128">
        <f>IF(tech_base!$T252&gt;AX$1185,"",AX1716+AX1996)</f>
        <v>0</v>
      </c>
    </row>
    <row r="1437" spans="1:50" x14ac:dyDescent="0.25">
      <c r="A1437" s="355" t="s">
        <v>38</v>
      </c>
      <c r="B1437" s="358" t="s">
        <v>38</v>
      </c>
      <c r="C1437" s="353" t="s">
        <v>6</v>
      </c>
      <c r="D1437" s="3" t="s">
        <v>7</v>
      </c>
      <c r="E1437" s="162" t="str">
        <f>A1437&amp;"/"&amp;B1437&amp;"/"&amp;C1437&amp;"/"&amp;D1437</f>
        <v>Solar thermal power plants/Solar thermal power plants/Electricity only/L</v>
      </c>
      <c r="F1437" s="77" t="str">
        <f>A1437</f>
        <v>Solar thermal power plants</v>
      </c>
      <c r="G1437" s="77" t="str">
        <f>B1437</f>
        <v>Solar thermal power plants</v>
      </c>
      <c r="H1437" s="77" t="str">
        <f>C1437</f>
        <v>Electricity only</v>
      </c>
      <c r="I1437" s="163" t="str">
        <f t="shared" si="375"/>
        <v>L</v>
      </c>
      <c r="J1437" s="121">
        <f>IF(tech_base!$T253&gt;J$1185,"",J1717+J1997)</f>
        <v>0</v>
      </c>
      <c r="K1437" s="121">
        <f>IF(tech_base!$T253&gt;K$1185,"",K1717+K1997)</f>
        <v>0</v>
      </c>
      <c r="L1437" s="121">
        <f>IF(tech_base!$T253&gt;L$1185,"",L1717+L1997)</f>
        <v>0</v>
      </c>
      <c r="M1437" s="121">
        <f>IF(tech_base!$T253&gt;M$1185,"",M1717+M1997)</f>
        <v>0</v>
      </c>
      <c r="N1437" s="121">
        <f>IF(tech_base!$T253&gt;N$1185,"",N1717+N1997)</f>
        <v>0</v>
      </c>
      <c r="O1437" s="121">
        <f>IF(tech_base!$T253&gt;O$1185,"",O1717+O1997)</f>
        <v>0</v>
      </c>
      <c r="P1437" s="121">
        <f>IF(tech_base!$T253&gt;P$1185,"",P1717+P1997)</f>
        <v>0</v>
      </c>
      <c r="Q1437" s="121">
        <f>IF(tech_base!$T253&gt;Q$1185,"",Q1717+Q1997)</f>
        <v>0</v>
      </c>
      <c r="R1437" s="121">
        <f>IF(tech_base!$T253&gt;R$1185,"",R1717+R1997)</f>
        <v>0</v>
      </c>
      <c r="S1437" s="121">
        <f>IF(tech_base!$T253&gt;S$1185,"",S1717+S1997)</f>
        <v>0</v>
      </c>
      <c r="T1437" s="121">
        <f>IF(tech_base!$T253&gt;T$1185,"",T1717+T1997)</f>
        <v>0</v>
      </c>
      <c r="U1437" s="121">
        <f>IF(tech_base!$T253&gt;U$1185,"",U1717+U1997)</f>
        <v>0</v>
      </c>
      <c r="V1437" s="121">
        <f>IF(tech_base!$T253&gt;V$1185,"",V1717+V1997)</f>
        <v>0</v>
      </c>
      <c r="W1437" s="121">
        <f>IF(tech_base!$T253&gt;W$1185,"",W1717+W1997)</f>
        <v>0</v>
      </c>
      <c r="X1437" s="121">
        <f>IF(tech_base!$T253&gt;X$1185,"",X1717+X1997)</f>
        <v>0</v>
      </c>
      <c r="Y1437" s="121">
        <f>IF(tech_base!$T253&gt;Y$1185,"",Y1717+Y1997)</f>
        <v>0</v>
      </c>
      <c r="Z1437" s="121">
        <f>IF(tech_base!$T253&gt;Z$1185,"",Z1717+Z1997)</f>
        <v>0</v>
      </c>
      <c r="AA1437" s="121">
        <f>IF(tech_base!$T253&gt;AA$1185,"",AA1717+AA1997)</f>
        <v>0</v>
      </c>
      <c r="AB1437" s="121">
        <f>IF(tech_base!$T253&gt;AB$1185,"",AB1717+AB1997)</f>
        <v>0</v>
      </c>
      <c r="AC1437" s="121">
        <f>IF(tech_base!$T253&gt;AC$1185,"",AC1717+AC1997)</f>
        <v>0</v>
      </c>
      <c r="AD1437" s="121">
        <f>IF(tech_base!$T253&gt;AD$1185,"",AD1717+AD1997)</f>
        <v>0</v>
      </c>
      <c r="AE1437" s="121">
        <f>IF(tech_base!$T253&gt;AE$1185,"",AE1717+AE1997)</f>
        <v>0</v>
      </c>
      <c r="AF1437" s="121">
        <f>IF(tech_base!$T253&gt;AF$1185,"",AF1717+AF1997)</f>
        <v>0</v>
      </c>
      <c r="AG1437" s="121">
        <f>IF(tech_base!$T253&gt;AG$1185,"",AG1717+AG1997)</f>
        <v>0</v>
      </c>
      <c r="AH1437" s="121">
        <f>IF(tech_base!$T253&gt;AH$1185,"",AH1717+AH1997)</f>
        <v>0</v>
      </c>
      <c r="AI1437" s="121">
        <f>IF(tech_base!$T253&gt;AI$1185,"",AI1717+AI1997)</f>
        <v>0</v>
      </c>
      <c r="AJ1437" s="121">
        <f>IF(tech_base!$T253&gt;AJ$1185,"",AJ1717+AJ1997)</f>
        <v>0</v>
      </c>
      <c r="AK1437" s="121">
        <f>IF(tech_base!$T253&gt;AK$1185,"",AK1717+AK1997)</f>
        <v>0</v>
      </c>
      <c r="AL1437" s="121">
        <f>IF(tech_base!$T253&gt;AL$1185,"",AL1717+AL1997)</f>
        <v>0</v>
      </c>
      <c r="AM1437" s="121">
        <f>IF(tech_base!$T253&gt;AM$1185,"",AM1717+AM1997)</f>
        <v>0</v>
      </c>
      <c r="AN1437" s="121">
        <f>IF(tech_base!$T253&gt;AN$1185,"",AN1717+AN1997)</f>
        <v>0</v>
      </c>
      <c r="AO1437" s="121">
        <f>IF(tech_base!$T253&gt;AO$1185,"",AO1717+AO1997)</f>
        <v>0</v>
      </c>
      <c r="AP1437" s="121">
        <f>IF(tech_base!$T253&gt;AP$1185,"",AP1717+AP1997)</f>
        <v>0</v>
      </c>
      <c r="AQ1437" s="121">
        <f>IF(tech_base!$T253&gt;AQ$1185,"",AQ1717+AQ1997)</f>
        <v>0</v>
      </c>
      <c r="AR1437" s="121">
        <f>IF(tech_base!$T253&gt;AR$1185,"",AR1717+AR1997)</f>
        <v>0</v>
      </c>
      <c r="AS1437" s="121">
        <f>IF(tech_base!$T253&gt;AS$1185,"",AS1717+AS1997)</f>
        <v>0</v>
      </c>
      <c r="AT1437" s="121">
        <f>IF(tech_base!$T253&gt;AT$1185,"",AT1717+AT1997)</f>
        <v>0</v>
      </c>
      <c r="AU1437" s="121">
        <f>IF(tech_base!$T253&gt;AU$1185,"",AU1717+AU1997)</f>
        <v>0</v>
      </c>
      <c r="AV1437" s="121">
        <f>IF(tech_base!$T253&gt;AV$1185,"",AV1717+AV1997)</f>
        <v>0</v>
      </c>
      <c r="AW1437" s="121">
        <f>IF(tech_base!$T253&gt;AW$1185,"",AW1717+AW1997)</f>
        <v>0</v>
      </c>
      <c r="AX1437" s="122">
        <f>IF(tech_base!$T253&gt;AX$1185,"",AX1717+AX1997)</f>
        <v>0</v>
      </c>
    </row>
    <row r="1438" spans="1:50" x14ac:dyDescent="0.25">
      <c r="A1438" s="382"/>
      <c r="B1438" s="376"/>
      <c r="C1438" s="378"/>
      <c r="D1438" s="2" t="s">
        <v>8</v>
      </c>
      <c r="E1438" s="160" t="str">
        <f>A1437&amp;"/"&amp;B1437&amp;"/"&amp;C1437&amp;"/"&amp;D1438</f>
        <v>Solar thermal power plants/Solar thermal power plants/Electricity only/M</v>
      </c>
      <c r="F1438" s="76" t="str">
        <f>A1437</f>
        <v>Solar thermal power plants</v>
      </c>
      <c r="G1438" s="76" t="str">
        <f>B1437</f>
        <v>Solar thermal power plants</v>
      </c>
      <c r="H1438" s="76" t="str">
        <f>C1437</f>
        <v>Electricity only</v>
      </c>
      <c r="I1438" s="161" t="str">
        <f t="shared" si="375"/>
        <v>M</v>
      </c>
      <c r="J1438" s="119">
        <f>IF(tech_base!$T254&gt;J$1185,"",J1718+J1998)</f>
        <v>0</v>
      </c>
      <c r="K1438" s="119">
        <f>IF(tech_base!$T254&gt;K$1185,"",K1718+K1998)</f>
        <v>0</v>
      </c>
      <c r="L1438" s="119">
        <f>IF(tech_base!$T254&gt;L$1185,"",L1718+L1998)</f>
        <v>0</v>
      </c>
      <c r="M1438" s="119">
        <f>IF(tech_base!$T254&gt;M$1185,"",M1718+M1998)</f>
        <v>0</v>
      </c>
      <c r="N1438" s="119">
        <f>IF(tech_base!$T254&gt;N$1185,"",N1718+N1998)</f>
        <v>0</v>
      </c>
      <c r="O1438" s="119">
        <f>IF(tech_base!$T254&gt;O$1185,"",O1718+O1998)</f>
        <v>0</v>
      </c>
      <c r="P1438" s="119">
        <f>IF(tech_base!$T254&gt;P$1185,"",P1718+P1998)</f>
        <v>0</v>
      </c>
      <c r="Q1438" s="119">
        <f>IF(tech_base!$T254&gt;Q$1185,"",Q1718+Q1998)</f>
        <v>0</v>
      </c>
      <c r="R1438" s="119">
        <f>IF(tech_base!$T254&gt;R$1185,"",R1718+R1998)</f>
        <v>0</v>
      </c>
      <c r="S1438" s="119">
        <f>IF(tech_base!$T254&gt;S$1185,"",S1718+S1998)</f>
        <v>0</v>
      </c>
      <c r="T1438" s="119">
        <f>IF(tech_base!$T254&gt;T$1185,"",T1718+T1998)</f>
        <v>0</v>
      </c>
      <c r="U1438" s="119">
        <f>IF(tech_base!$T254&gt;U$1185,"",U1718+U1998)</f>
        <v>0</v>
      </c>
      <c r="V1438" s="119">
        <f>IF(tech_base!$T254&gt;V$1185,"",V1718+V1998)</f>
        <v>0</v>
      </c>
      <c r="W1438" s="119">
        <f>IF(tech_base!$T254&gt;W$1185,"",W1718+W1998)</f>
        <v>0</v>
      </c>
      <c r="X1438" s="119">
        <f>IF(tech_base!$T254&gt;X$1185,"",X1718+X1998)</f>
        <v>0</v>
      </c>
      <c r="Y1438" s="119">
        <f>IF(tech_base!$T254&gt;Y$1185,"",Y1718+Y1998)</f>
        <v>0</v>
      </c>
      <c r="Z1438" s="119">
        <f>IF(tech_base!$T254&gt;Z$1185,"",Z1718+Z1998)</f>
        <v>0</v>
      </c>
      <c r="AA1438" s="119">
        <f>IF(tech_base!$T254&gt;AA$1185,"",AA1718+AA1998)</f>
        <v>0</v>
      </c>
      <c r="AB1438" s="119">
        <f>IF(tech_base!$T254&gt;AB$1185,"",AB1718+AB1998)</f>
        <v>0</v>
      </c>
      <c r="AC1438" s="119">
        <f>IF(tech_base!$T254&gt;AC$1185,"",AC1718+AC1998)</f>
        <v>0</v>
      </c>
      <c r="AD1438" s="119">
        <f>IF(tech_base!$T254&gt;AD$1185,"",AD1718+AD1998)</f>
        <v>0</v>
      </c>
      <c r="AE1438" s="119">
        <f>IF(tech_base!$T254&gt;AE$1185,"",AE1718+AE1998)</f>
        <v>0</v>
      </c>
      <c r="AF1438" s="119">
        <f>IF(tech_base!$T254&gt;AF$1185,"",AF1718+AF1998)</f>
        <v>0</v>
      </c>
      <c r="AG1438" s="119">
        <f>IF(tech_base!$T254&gt;AG$1185,"",AG1718+AG1998)</f>
        <v>0</v>
      </c>
      <c r="AH1438" s="119">
        <f>IF(tech_base!$T254&gt;AH$1185,"",AH1718+AH1998)</f>
        <v>0</v>
      </c>
      <c r="AI1438" s="119">
        <f>IF(tech_base!$T254&gt;AI$1185,"",AI1718+AI1998)</f>
        <v>0</v>
      </c>
      <c r="AJ1438" s="119">
        <f>IF(tech_base!$T254&gt;AJ$1185,"",AJ1718+AJ1998)</f>
        <v>0</v>
      </c>
      <c r="AK1438" s="119">
        <f>IF(tech_base!$T254&gt;AK$1185,"",AK1718+AK1998)</f>
        <v>0</v>
      </c>
      <c r="AL1438" s="119">
        <f>IF(tech_base!$T254&gt;AL$1185,"",AL1718+AL1998)</f>
        <v>0</v>
      </c>
      <c r="AM1438" s="119">
        <f>IF(tech_base!$T254&gt;AM$1185,"",AM1718+AM1998)</f>
        <v>0</v>
      </c>
      <c r="AN1438" s="119">
        <f>IF(tech_base!$T254&gt;AN$1185,"",AN1718+AN1998)</f>
        <v>0</v>
      </c>
      <c r="AO1438" s="119">
        <f>IF(tech_base!$T254&gt;AO$1185,"",AO1718+AO1998)</f>
        <v>0</v>
      </c>
      <c r="AP1438" s="119">
        <f>IF(tech_base!$T254&gt;AP$1185,"",AP1718+AP1998)</f>
        <v>0</v>
      </c>
      <c r="AQ1438" s="119">
        <f>IF(tech_base!$T254&gt;AQ$1185,"",AQ1718+AQ1998)</f>
        <v>0</v>
      </c>
      <c r="AR1438" s="119">
        <f>IF(tech_base!$T254&gt;AR$1185,"",AR1718+AR1998)</f>
        <v>0</v>
      </c>
      <c r="AS1438" s="119">
        <f>IF(tech_base!$T254&gt;AS$1185,"",AS1718+AS1998)</f>
        <v>0</v>
      </c>
      <c r="AT1438" s="119">
        <f>IF(tech_base!$T254&gt;AT$1185,"",AT1718+AT1998)</f>
        <v>0</v>
      </c>
      <c r="AU1438" s="119">
        <f>IF(tech_base!$T254&gt;AU$1185,"",AU1718+AU1998)</f>
        <v>0</v>
      </c>
      <c r="AV1438" s="119">
        <f>IF(tech_base!$T254&gt;AV$1185,"",AV1718+AV1998)</f>
        <v>0</v>
      </c>
      <c r="AW1438" s="119">
        <f>IF(tech_base!$T254&gt;AW$1185,"",AW1718+AW1998)</f>
        <v>0</v>
      </c>
      <c r="AX1438" s="120">
        <f>IF(tech_base!$T254&gt;AX$1185,"",AX1718+AX1998)</f>
        <v>0</v>
      </c>
    </row>
    <row r="1439" spans="1:50" x14ac:dyDescent="0.25">
      <c r="A1439" s="382"/>
      <c r="B1439" s="376"/>
      <c r="C1439" s="378"/>
      <c r="D1439" s="2" t="s">
        <v>10</v>
      </c>
      <c r="E1439" s="160" t="str">
        <f>A1437&amp;"/"&amp;B1437&amp;"/"&amp;C1437&amp;"/"&amp;D1439</f>
        <v>Solar thermal power plants/Solar thermal power plants/Electricity only/S</v>
      </c>
      <c r="F1439" s="76" t="str">
        <f>A1437</f>
        <v>Solar thermal power plants</v>
      </c>
      <c r="G1439" s="76" t="str">
        <f>B1437</f>
        <v>Solar thermal power plants</v>
      </c>
      <c r="H1439" s="76" t="str">
        <f>C1437</f>
        <v>Electricity only</v>
      </c>
      <c r="I1439" s="161" t="str">
        <f t="shared" si="375"/>
        <v>S</v>
      </c>
      <c r="J1439" s="119">
        <f>IF(tech_base!$T255&gt;J$1185,"",J1719+J1999)</f>
        <v>0</v>
      </c>
      <c r="K1439" s="119">
        <f>IF(tech_base!$T255&gt;K$1185,"",K1719+K1999)</f>
        <v>0</v>
      </c>
      <c r="L1439" s="119">
        <f>IF(tech_base!$T255&gt;L$1185,"",L1719+L1999)</f>
        <v>0</v>
      </c>
      <c r="M1439" s="119">
        <f>IF(tech_base!$T255&gt;M$1185,"",M1719+M1999)</f>
        <v>0</v>
      </c>
      <c r="N1439" s="119">
        <f>IF(tech_base!$T255&gt;N$1185,"",N1719+N1999)</f>
        <v>0</v>
      </c>
      <c r="O1439" s="119">
        <f>IF(tech_base!$T255&gt;O$1185,"",O1719+O1999)</f>
        <v>0</v>
      </c>
      <c r="P1439" s="119">
        <f>IF(tech_base!$T255&gt;P$1185,"",P1719+P1999)</f>
        <v>0</v>
      </c>
      <c r="Q1439" s="119">
        <f>IF(tech_base!$T255&gt;Q$1185,"",Q1719+Q1999)</f>
        <v>0</v>
      </c>
      <c r="R1439" s="119">
        <f>IF(tech_base!$T255&gt;R$1185,"",R1719+R1999)</f>
        <v>0</v>
      </c>
      <c r="S1439" s="119">
        <f>IF(tech_base!$T255&gt;S$1185,"",S1719+S1999)</f>
        <v>0</v>
      </c>
      <c r="T1439" s="119">
        <f>IF(tech_base!$T255&gt;T$1185,"",T1719+T1999)</f>
        <v>0</v>
      </c>
      <c r="U1439" s="119">
        <f>IF(tech_base!$T255&gt;U$1185,"",U1719+U1999)</f>
        <v>0</v>
      </c>
      <c r="V1439" s="119">
        <f>IF(tech_base!$T255&gt;V$1185,"",V1719+V1999)</f>
        <v>0</v>
      </c>
      <c r="W1439" s="119">
        <f>IF(tech_base!$T255&gt;W$1185,"",W1719+W1999)</f>
        <v>0</v>
      </c>
      <c r="X1439" s="119">
        <f>IF(tech_base!$T255&gt;X$1185,"",X1719+X1999)</f>
        <v>0</v>
      </c>
      <c r="Y1439" s="119">
        <f>IF(tech_base!$T255&gt;Y$1185,"",Y1719+Y1999)</f>
        <v>0</v>
      </c>
      <c r="Z1439" s="119">
        <f>IF(tech_base!$T255&gt;Z$1185,"",Z1719+Z1999)</f>
        <v>0</v>
      </c>
      <c r="AA1439" s="119">
        <f>IF(tech_base!$T255&gt;AA$1185,"",AA1719+AA1999)</f>
        <v>0</v>
      </c>
      <c r="AB1439" s="119">
        <f>IF(tech_base!$T255&gt;AB$1185,"",AB1719+AB1999)</f>
        <v>0</v>
      </c>
      <c r="AC1439" s="119">
        <f>IF(tech_base!$T255&gt;AC$1185,"",AC1719+AC1999)</f>
        <v>0</v>
      </c>
      <c r="AD1439" s="119">
        <f>IF(tech_base!$T255&gt;AD$1185,"",AD1719+AD1999)</f>
        <v>0</v>
      </c>
      <c r="AE1439" s="119">
        <f>IF(tech_base!$T255&gt;AE$1185,"",AE1719+AE1999)</f>
        <v>0</v>
      </c>
      <c r="AF1439" s="119">
        <f>IF(tech_base!$T255&gt;AF$1185,"",AF1719+AF1999)</f>
        <v>0</v>
      </c>
      <c r="AG1439" s="119">
        <f>IF(tech_base!$T255&gt;AG$1185,"",AG1719+AG1999)</f>
        <v>0</v>
      </c>
      <c r="AH1439" s="119">
        <f>IF(tech_base!$T255&gt;AH$1185,"",AH1719+AH1999)</f>
        <v>0</v>
      </c>
      <c r="AI1439" s="119">
        <f>IF(tech_base!$T255&gt;AI$1185,"",AI1719+AI1999)</f>
        <v>0</v>
      </c>
      <c r="AJ1439" s="119">
        <f>IF(tech_base!$T255&gt;AJ$1185,"",AJ1719+AJ1999)</f>
        <v>0</v>
      </c>
      <c r="AK1439" s="119">
        <f>IF(tech_base!$T255&gt;AK$1185,"",AK1719+AK1999)</f>
        <v>0</v>
      </c>
      <c r="AL1439" s="119">
        <f>IF(tech_base!$T255&gt;AL$1185,"",AL1719+AL1999)</f>
        <v>0</v>
      </c>
      <c r="AM1439" s="119">
        <f>IF(tech_base!$T255&gt;AM$1185,"",AM1719+AM1999)</f>
        <v>0</v>
      </c>
      <c r="AN1439" s="119">
        <f>IF(tech_base!$T255&gt;AN$1185,"",AN1719+AN1999)</f>
        <v>0</v>
      </c>
      <c r="AO1439" s="119">
        <f>IF(tech_base!$T255&gt;AO$1185,"",AO1719+AO1999)</f>
        <v>0</v>
      </c>
      <c r="AP1439" s="119">
        <f>IF(tech_base!$T255&gt;AP$1185,"",AP1719+AP1999)</f>
        <v>0</v>
      </c>
      <c r="AQ1439" s="119">
        <f>IF(tech_base!$T255&gt;AQ$1185,"",AQ1719+AQ1999)</f>
        <v>0</v>
      </c>
      <c r="AR1439" s="119">
        <f>IF(tech_base!$T255&gt;AR$1185,"",AR1719+AR1999)</f>
        <v>0</v>
      </c>
      <c r="AS1439" s="119">
        <f>IF(tech_base!$T255&gt;AS$1185,"",AS1719+AS1999)</f>
        <v>0</v>
      </c>
      <c r="AT1439" s="119">
        <f>IF(tech_base!$T255&gt;AT$1185,"",AT1719+AT1999)</f>
        <v>0</v>
      </c>
      <c r="AU1439" s="119">
        <f>IF(tech_base!$T255&gt;AU$1185,"",AU1719+AU1999)</f>
        <v>0</v>
      </c>
      <c r="AV1439" s="119">
        <f>IF(tech_base!$T255&gt;AV$1185,"",AV1719+AV1999)</f>
        <v>0</v>
      </c>
      <c r="AW1439" s="119">
        <f>IF(tech_base!$T255&gt;AW$1185,"",AW1719+AW1999)</f>
        <v>0</v>
      </c>
      <c r="AX1439" s="120">
        <f>IF(tech_base!$T255&gt;AX$1185,"",AX1719+AX1999)</f>
        <v>0</v>
      </c>
    </row>
    <row r="1440" spans="1:50" x14ac:dyDescent="0.25">
      <c r="A1440" s="375"/>
      <c r="B1440" s="380"/>
      <c r="C1440" s="381"/>
      <c r="D1440" s="4" t="s">
        <v>20</v>
      </c>
      <c r="E1440" s="168" t="str">
        <f>A1437&amp;"/"&amp;B1437&amp;"/"&amp;C1437&amp;"/"&amp;D1440</f>
        <v>Solar thermal power plants/Solar thermal power plants/Electricity only/XS</v>
      </c>
      <c r="F1440" s="80" t="str">
        <f>A1437</f>
        <v>Solar thermal power plants</v>
      </c>
      <c r="G1440" s="80" t="str">
        <f>B1437</f>
        <v>Solar thermal power plants</v>
      </c>
      <c r="H1440" s="80" t="str">
        <f>C1437</f>
        <v>Electricity only</v>
      </c>
      <c r="I1440" s="169" t="str">
        <f t="shared" si="375"/>
        <v>XS</v>
      </c>
      <c r="J1440" s="127">
        <f>IF(tech_base!$T256&gt;J$1185,"",J1720+J2000)</f>
        <v>0</v>
      </c>
      <c r="K1440" s="127">
        <f>IF(tech_base!$T256&gt;K$1185,"",K1720+K2000)</f>
        <v>0</v>
      </c>
      <c r="L1440" s="127">
        <f>IF(tech_base!$T256&gt;L$1185,"",L1720+L2000)</f>
        <v>0</v>
      </c>
      <c r="M1440" s="127">
        <f>IF(tech_base!$T256&gt;M$1185,"",M1720+M2000)</f>
        <v>0</v>
      </c>
      <c r="N1440" s="127">
        <f>IF(tech_base!$T256&gt;N$1185,"",N1720+N2000)</f>
        <v>0</v>
      </c>
      <c r="O1440" s="127">
        <f>IF(tech_base!$T256&gt;O$1185,"",O1720+O2000)</f>
        <v>0</v>
      </c>
      <c r="P1440" s="127">
        <f>IF(tech_base!$T256&gt;P$1185,"",P1720+P2000)</f>
        <v>0</v>
      </c>
      <c r="Q1440" s="127">
        <f>IF(tech_base!$T256&gt;Q$1185,"",Q1720+Q2000)</f>
        <v>0</v>
      </c>
      <c r="R1440" s="127">
        <f>IF(tech_base!$T256&gt;R$1185,"",R1720+R2000)</f>
        <v>0</v>
      </c>
      <c r="S1440" s="127">
        <f>IF(tech_base!$T256&gt;S$1185,"",S1720+S2000)</f>
        <v>0</v>
      </c>
      <c r="T1440" s="127">
        <f>IF(tech_base!$T256&gt;T$1185,"",T1720+T2000)</f>
        <v>0</v>
      </c>
      <c r="U1440" s="127">
        <f>IF(tech_base!$T256&gt;U$1185,"",U1720+U2000)</f>
        <v>0</v>
      </c>
      <c r="V1440" s="127">
        <f>IF(tech_base!$T256&gt;V$1185,"",V1720+V2000)</f>
        <v>0</v>
      </c>
      <c r="W1440" s="127">
        <f>IF(tech_base!$T256&gt;W$1185,"",W1720+W2000)</f>
        <v>0</v>
      </c>
      <c r="X1440" s="127">
        <f>IF(tech_base!$T256&gt;X$1185,"",X1720+X2000)</f>
        <v>0</v>
      </c>
      <c r="Y1440" s="127">
        <f>IF(tech_base!$T256&gt;Y$1185,"",Y1720+Y2000)</f>
        <v>0</v>
      </c>
      <c r="Z1440" s="127">
        <f>IF(tech_base!$T256&gt;Z$1185,"",Z1720+Z2000)</f>
        <v>0</v>
      </c>
      <c r="AA1440" s="127">
        <f>IF(tech_base!$T256&gt;AA$1185,"",AA1720+AA2000)</f>
        <v>0</v>
      </c>
      <c r="AB1440" s="127">
        <f>IF(tech_base!$T256&gt;AB$1185,"",AB1720+AB2000)</f>
        <v>0</v>
      </c>
      <c r="AC1440" s="127">
        <f>IF(tech_base!$T256&gt;AC$1185,"",AC1720+AC2000)</f>
        <v>0</v>
      </c>
      <c r="AD1440" s="127">
        <f>IF(tech_base!$T256&gt;AD$1185,"",AD1720+AD2000)</f>
        <v>0</v>
      </c>
      <c r="AE1440" s="127">
        <f>IF(tech_base!$T256&gt;AE$1185,"",AE1720+AE2000)</f>
        <v>0</v>
      </c>
      <c r="AF1440" s="127">
        <f>IF(tech_base!$T256&gt;AF$1185,"",AF1720+AF2000)</f>
        <v>0</v>
      </c>
      <c r="AG1440" s="127">
        <f>IF(tech_base!$T256&gt;AG$1185,"",AG1720+AG2000)</f>
        <v>0</v>
      </c>
      <c r="AH1440" s="127">
        <f>IF(tech_base!$T256&gt;AH$1185,"",AH1720+AH2000)</f>
        <v>0</v>
      </c>
      <c r="AI1440" s="127">
        <f>IF(tech_base!$T256&gt;AI$1185,"",AI1720+AI2000)</f>
        <v>0</v>
      </c>
      <c r="AJ1440" s="127">
        <f>IF(tech_base!$T256&gt;AJ$1185,"",AJ1720+AJ2000)</f>
        <v>0</v>
      </c>
      <c r="AK1440" s="127">
        <f>IF(tech_base!$T256&gt;AK$1185,"",AK1720+AK2000)</f>
        <v>0</v>
      </c>
      <c r="AL1440" s="127">
        <f>IF(tech_base!$T256&gt;AL$1185,"",AL1720+AL2000)</f>
        <v>0</v>
      </c>
      <c r="AM1440" s="127">
        <f>IF(tech_base!$T256&gt;AM$1185,"",AM1720+AM2000)</f>
        <v>0</v>
      </c>
      <c r="AN1440" s="127">
        <f>IF(tech_base!$T256&gt;AN$1185,"",AN1720+AN2000)</f>
        <v>0</v>
      </c>
      <c r="AO1440" s="127">
        <f>IF(tech_base!$T256&gt;AO$1185,"",AO1720+AO2000)</f>
        <v>0</v>
      </c>
      <c r="AP1440" s="127">
        <f>IF(tech_base!$T256&gt;AP$1185,"",AP1720+AP2000)</f>
        <v>0</v>
      </c>
      <c r="AQ1440" s="127">
        <f>IF(tech_base!$T256&gt;AQ$1185,"",AQ1720+AQ2000)</f>
        <v>0</v>
      </c>
      <c r="AR1440" s="127">
        <f>IF(tech_base!$T256&gt;AR$1185,"",AR1720+AR2000)</f>
        <v>0</v>
      </c>
      <c r="AS1440" s="127">
        <f>IF(tech_base!$T256&gt;AS$1185,"",AS1720+AS2000)</f>
        <v>0</v>
      </c>
      <c r="AT1440" s="127">
        <f>IF(tech_base!$T256&gt;AT$1185,"",AT1720+AT2000)</f>
        <v>0</v>
      </c>
      <c r="AU1440" s="127">
        <f>IF(tech_base!$T256&gt;AU$1185,"",AU1720+AU2000)</f>
        <v>0</v>
      </c>
      <c r="AV1440" s="127">
        <f>IF(tech_base!$T256&gt;AV$1185,"",AV1720+AV2000)</f>
        <v>0</v>
      </c>
      <c r="AW1440" s="127">
        <f>IF(tech_base!$T256&gt;AW$1185,"",AW1720+AW2000)</f>
        <v>0</v>
      </c>
      <c r="AX1440" s="128">
        <f>IF(tech_base!$T256&gt;AX$1185,"",AX1720+AX2000)</f>
        <v>0</v>
      </c>
    </row>
    <row r="1441" spans="1:50" x14ac:dyDescent="0.25">
      <c r="A1441" s="355" t="s">
        <v>39</v>
      </c>
      <c r="B1441" s="358" t="s">
        <v>39</v>
      </c>
      <c r="C1441" s="353" t="s">
        <v>6</v>
      </c>
      <c r="D1441" s="3" t="s">
        <v>7</v>
      </c>
      <c r="E1441" s="162" t="str">
        <f>A1441&amp;"/"&amp;B1441&amp;"/"&amp;C1441&amp;"/"&amp;D1441</f>
        <v>Geothermal power plants/Geothermal power plants/Electricity only/L</v>
      </c>
      <c r="F1441" s="77" t="str">
        <f>A1441</f>
        <v>Geothermal power plants</v>
      </c>
      <c r="G1441" s="77" t="str">
        <f>B1441</f>
        <v>Geothermal power plants</v>
      </c>
      <c r="H1441" s="77" t="str">
        <f>C1441</f>
        <v>Electricity only</v>
      </c>
      <c r="I1441" s="163" t="str">
        <f t="shared" si="375"/>
        <v>L</v>
      </c>
      <c r="J1441" s="121">
        <f>IF(tech_base!$T257&gt;J$1185,"",J1721+J2001)</f>
        <v>0</v>
      </c>
      <c r="K1441" s="121">
        <f>IF(tech_base!$T257&gt;K$1185,"",K1721+K2001)</f>
        <v>0</v>
      </c>
      <c r="L1441" s="121">
        <f>IF(tech_base!$T257&gt;L$1185,"",L1721+L2001)</f>
        <v>0</v>
      </c>
      <c r="M1441" s="121">
        <f>IF(tech_base!$T257&gt;M$1185,"",M1721+M2001)</f>
        <v>0</v>
      </c>
      <c r="N1441" s="121">
        <f>IF(tech_base!$T257&gt;N$1185,"",N1721+N2001)</f>
        <v>0</v>
      </c>
      <c r="O1441" s="121">
        <f>IF(tech_base!$T257&gt;O$1185,"",O1721+O2001)</f>
        <v>0</v>
      </c>
      <c r="P1441" s="121">
        <f>IF(tech_base!$T257&gt;P$1185,"",P1721+P2001)</f>
        <v>0</v>
      </c>
      <c r="Q1441" s="121">
        <f>IF(tech_base!$T257&gt;Q$1185,"",Q1721+Q2001)</f>
        <v>0</v>
      </c>
      <c r="R1441" s="121">
        <f>IF(tech_base!$T257&gt;R$1185,"",R1721+R2001)</f>
        <v>0</v>
      </c>
      <c r="S1441" s="121">
        <f>IF(tech_base!$T257&gt;S$1185,"",S1721+S2001)</f>
        <v>0</v>
      </c>
      <c r="T1441" s="121">
        <f>IF(tech_base!$T257&gt;T$1185,"",T1721+T2001)</f>
        <v>0</v>
      </c>
      <c r="U1441" s="121">
        <f>IF(tech_base!$T257&gt;U$1185,"",U1721+U2001)</f>
        <v>0</v>
      </c>
      <c r="V1441" s="121">
        <f>IF(tech_base!$T257&gt;V$1185,"",V1721+V2001)</f>
        <v>0</v>
      </c>
      <c r="W1441" s="121">
        <f>IF(tech_base!$T257&gt;W$1185,"",W1721+W2001)</f>
        <v>0</v>
      </c>
      <c r="X1441" s="121">
        <f>IF(tech_base!$T257&gt;X$1185,"",X1721+X2001)</f>
        <v>0</v>
      </c>
      <c r="Y1441" s="121">
        <f>IF(tech_base!$T257&gt;Y$1185,"",Y1721+Y2001)</f>
        <v>0</v>
      </c>
      <c r="Z1441" s="121">
        <f>IF(tech_base!$T257&gt;Z$1185,"",Z1721+Z2001)</f>
        <v>0</v>
      </c>
      <c r="AA1441" s="121">
        <f>IF(tech_base!$T257&gt;AA$1185,"",AA1721+AA2001)</f>
        <v>0</v>
      </c>
      <c r="AB1441" s="121">
        <f>IF(tech_base!$T257&gt;AB$1185,"",AB1721+AB2001)</f>
        <v>0</v>
      </c>
      <c r="AC1441" s="121">
        <f>IF(tech_base!$T257&gt;AC$1185,"",AC1721+AC2001)</f>
        <v>0</v>
      </c>
      <c r="AD1441" s="121">
        <f>IF(tech_base!$T257&gt;AD$1185,"",AD1721+AD2001)</f>
        <v>0</v>
      </c>
      <c r="AE1441" s="121">
        <f>IF(tech_base!$T257&gt;AE$1185,"",AE1721+AE2001)</f>
        <v>0</v>
      </c>
      <c r="AF1441" s="121">
        <f>IF(tech_base!$T257&gt;AF$1185,"",AF1721+AF2001)</f>
        <v>0</v>
      </c>
      <c r="AG1441" s="121">
        <f>IF(tech_base!$T257&gt;AG$1185,"",AG1721+AG2001)</f>
        <v>0</v>
      </c>
      <c r="AH1441" s="121">
        <f>IF(tech_base!$T257&gt;AH$1185,"",AH1721+AH2001)</f>
        <v>0</v>
      </c>
      <c r="AI1441" s="121">
        <f>IF(tech_base!$T257&gt;AI$1185,"",AI1721+AI2001)</f>
        <v>0</v>
      </c>
      <c r="AJ1441" s="121">
        <f>IF(tech_base!$T257&gt;AJ$1185,"",AJ1721+AJ2001)</f>
        <v>0</v>
      </c>
      <c r="AK1441" s="121">
        <f>IF(tech_base!$T257&gt;AK$1185,"",AK1721+AK2001)</f>
        <v>0</v>
      </c>
      <c r="AL1441" s="121">
        <f>IF(tech_base!$T257&gt;AL$1185,"",AL1721+AL2001)</f>
        <v>0</v>
      </c>
      <c r="AM1441" s="121">
        <f>IF(tech_base!$T257&gt;AM$1185,"",AM1721+AM2001)</f>
        <v>0</v>
      </c>
      <c r="AN1441" s="121">
        <f>IF(tech_base!$T257&gt;AN$1185,"",AN1721+AN2001)</f>
        <v>0</v>
      </c>
      <c r="AO1441" s="121">
        <f>IF(tech_base!$T257&gt;AO$1185,"",AO1721+AO2001)</f>
        <v>0</v>
      </c>
      <c r="AP1441" s="121">
        <f>IF(tech_base!$T257&gt;AP$1185,"",AP1721+AP2001)</f>
        <v>0</v>
      </c>
      <c r="AQ1441" s="121">
        <f>IF(tech_base!$T257&gt;AQ$1185,"",AQ1721+AQ2001)</f>
        <v>0</v>
      </c>
      <c r="AR1441" s="121">
        <f>IF(tech_base!$T257&gt;AR$1185,"",AR1721+AR2001)</f>
        <v>0</v>
      </c>
      <c r="AS1441" s="121">
        <f>IF(tech_base!$T257&gt;AS$1185,"",AS1721+AS2001)</f>
        <v>0</v>
      </c>
      <c r="AT1441" s="121">
        <f>IF(tech_base!$T257&gt;AT$1185,"",AT1721+AT2001)</f>
        <v>0</v>
      </c>
      <c r="AU1441" s="121">
        <f>IF(tech_base!$T257&gt;AU$1185,"",AU1721+AU2001)</f>
        <v>0</v>
      </c>
      <c r="AV1441" s="121">
        <f>IF(tech_base!$T257&gt;AV$1185,"",AV1721+AV2001)</f>
        <v>0</v>
      </c>
      <c r="AW1441" s="121">
        <f>IF(tech_base!$T257&gt;AW$1185,"",AW1721+AW2001)</f>
        <v>0</v>
      </c>
      <c r="AX1441" s="122">
        <f>IF(tech_base!$T257&gt;AX$1185,"",AX1721+AX2001)</f>
        <v>0</v>
      </c>
    </row>
    <row r="1442" spans="1:50" x14ac:dyDescent="0.25">
      <c r="A1442" s="356"/>
      <c r="B1442" s="376"/>
      <c r="C1442" s="378"/>
      <c r="D1442" s="2" t="s">
        <v>8</v>
      </c>
      <c r="E1442" s="160" t="str">
        <f>A1441&amp;"/"&amp;B1441&amp;"/"&amp;C1441&amp;"/"&amp;D1442</f>
        <v>Geothermal power plants/Geothermal power plants/Electricity only/M</v>
      </c>
      <c r="F1442" s="76" t="str">
        <f>A1441</f>
        <v>Geothermal power plants</v>
      </c>
      <c r="G1442" s="76" t="str">
        <f>B1441</f>
        <v>Geothermal power plants</v>
      </c>
      <c r="H1442" s="76" t="str">
        <f>C1441</f>
        <v>Electricity only</v>
      </c>
      <c r="I1442" s="161" t="str">
        <f t="shared" si="375"/>
        <v>M</v>
      </c>
      <c r="J1442" s="119">
        <f>IF(tech_base!$T258&gt;J$1185,"",J1722+J2002)</f>
        <v>0</v>
      </c>
      <c r="K1442" s="119">
        <f>IF(tech_base!$T258&gt;K$1185,"",K1722+K2002)</f>
        <v>0</v>
      </c>
      <c r="L1442" s="119">
        <f>IF(tech_base!$T258&gt;L$1185,"",L1722+L2002)</f>
        <v>0</v>
      </c>
      <c r="M1442" s="119">
        <f>IF(tech_base!$T258&gt;M$1185,"",M1722+M2002)</f>
        <v>0</v>
      </c>
      <c r="N1442" s="119">
        <f>IF(tech_base!$T258&gt;N$1185,"",N1722+N2002)</f>
        <v>0</v>
      </c>
      <c r="O1442" s="119">
        <f>IF(tech_base!$T258&gt;O$1185,"",O1722+O2002)</f>
        <v>0</v>
      </c>
      <c r="P1442" s="119">
        <f>IF(tech_base!$T258&gt;P$1185,"",P1722+P2002)</f>
        <v>0</v>
      </c>
      <c r="Q1442" s="119">
        <f>IF(tech_base!$T258&gt;Q$1185,"",Q1722+Q2002)</f>
        <v>0</v>
      </c>
      <c r="R1442" s="119">
        <f>IF(tech_base!$T258&gt;R$1185,"",R1722+R2002)</f>
        <v>0</v>
      </c>
      <c r="S1442" s="119">
        <f>IF(tech_base!$T258&gt;S$1185,"",S1722+S2002)</f>
        <v>0</v>
      </c>
      <c r="T1442" s="119">
        <f>IF(tech_base!$T258&gt;T$1185,"",T1722+T2002)</f>
        <v>0</v>
      </c>
      <c r="U1442" s="119">
        <f>IF(tech_base!$T258&gt;U$1185,"",U1722+U2002)</f>
        <v>0</v>
      </c>
      <c r="V1442" s="119">
        <f>IF(tech_base!$T258&gt;V$1185,"",V1722+V2002)</f>
        <v>0</v>
      </c>
      <c r="W1442" s="119">
        <f>IF(tech_base!$T258&gt;W$1185,"",W1722+W2002)</f>
        <v>0</v>
      </c>
      <c r="X1442" s="119">
        <f>IF(tech_base!$T258&gt;X$1185,"",X1722+X2002)</f>
        <v>0</v>
      </c>
      <c r="Y1442" s="119">
        <f>IF(tech_base!$T258&gt;Y$1185,"",Y1722+Y2002)</f>
        <v>0</v>
      </c>
      <c r="Z1442" s="119">
        <f>IF(tech_base!$T258&gt;Z$1185,"",Z1722+Z2002)</f>
        <v>0</v>
      </c>
      <c r="AA1442" s="119">
        <f>IF(tech_base!$T258&gt;AA$1185,"",AA1722+AA2002)</f>
        <v>0</v>
      </c>
      <c r="AB1442" s="119">
        <f>IF(tech_base!$T258&gt;AB$1185,"",AB1722+AB2002)</f>
        <v>0</v>
      </c>
      <c r="AC1442" s="119">
        <f>IF(tech_base!$T258&gt;AC$1185,"",AC1722+AC2002)</f>
        <v>0</v>
      </c>
      <c r="AD1442" s="119">
        <f>IF(tech_base!$T258&gt;AD$1185,"",AD1722+AD2002)</f>
        <v>0</v>
      </c>
      <c r="AE1442" s="119">
        <f>IF(tech_base!$T258&gt;AE$1185,"",AE1722+AE2002)</f>
        <v>0</v>
      </c>
      <c r="AF1442" s="119">
        <f>IF(tech_base!$T258&gt;AF$1185,"",AF1722+AF2002)</f>
        <v>0</v>
      </c>
      <c r="AG1442" s="119">
        <f>IF(tech_base!$T258&gt;AG$1185,"",AG1722+AG2002)</f>
        <v>0</v>
      </c>
      <c r="AH1442" s="119">
        <f>IF(tech_base!$T258&gt;AH$1185,"",AH1722+AH2002)</f>
        <v>0</v>
      </c>
      <c r="AI1442" s="119">
        <f>IF(tech_base!$T258&gt;AI$1185,"",AI1722+AI2002)</f>
        <v>0</v>
      </c>
      <c r="AJ1442" s="119">
        <f>IF(tech_base!$T258&gt;AJ$1185,"",AJ1722+AJ2002)</f>
        <v>0</v>
      </c>
      <c r="AK1442" s="119">
        <f>IF(tech_base!$T258&gt;AK$1185,"",AK1722+AK2002)</f>
        <v>0</v>
      </c>
      <c r="AL1442" s="119">
        <f>IF(tech_base!$T258&gt;AL$1185,"",AL1722+AL2002)</f>
        <v>0</v>
      </c>
      <c r="AM1442" s="119">
        <f>IF(tech_base!$T258&gt;AM$1185,"",AM1722+AM2002)</f>
        <v>0</v>
      </c>
      <c r="AN1442" s="119">
        <f>IF(tech_base!$T258&gt;AN$1185,"",AN1722+AN2002)</f>
        <v>0</v>
      </c>
      <c r="AO1442" s="119">
        <f>IF(tech_base!$T258&gt;AO$1185,"",AO1722+AO2002)</f>
        <v>0</v>
      </c>
      <c r="AP1442" s="119">
        <f>IF(tech_base!$T258&gt;AP$1185,"",AP1722+AP2002)</f>
        <v>0</v>
      </c>
      <c r="AQ1442" s="119">
        <f>IF(tech_base!$T258&gt;AQ$1185,"",AQ1722+AQ2002)</f>
        <v>0</v>
      </c>
      <c r="AR1442" s="119">
        <f>IF(tech_base!$T258&gt;AR$1185,"",AR1722+AR2002)</f>
        <v>0</v>
      </c>
      <c r="AS1442" s="119">
        <f>IF(tech_base!$T258&gt;AS$1185,"",AS1722+AS2002)</f>
        <v>0</v>
      </c>
      <c r="AT1442" s="119">
        <f>IF(tech_base!$T258&gt;AT$1185,"",AT1722+AT2002)</f>
        <v>0</v>
      </c>
      <c r="AU1442" s="119">
        <f>IF(tech_base!$T258&gt;AU$1185,"",AU1722+AU2002)</f>
        <v>0</v>
      </c>
      <c r="AV1442" s="119">
        <f>IF(tech_base!$T258&gt;AV$1185,"",AV1722+AV2002)</f>
        <v>0</v>
      </c>
      <c r="AW1442" s="119">
        <f>IF(tech_base!$T258&gt;AW$1185,"",AW1722+AW2002)</f>
        <v>0</v>
      </c>
      <c r="AX1442" s="120">
        <f>IF(tech_base!$T258&gt;AX$1185,"",AX1722+AX2002)</f>
        <v>0</v>
      </c>
    </row>
    <row r="1443" spans="1:50" x14ac:dyDescent="0.25">
      <c r="A1443" s="357"/>
      <c r="B1443" s="380"/>
      <c r="C1443" s="381"/>
      <c r="D1443" s="4" t="s">
        <v>10</v>
      </c>
      <c r="E1443" s="168" t="str">
        <f>A1441&amp;"/"&amp;B1441&amp;"/"&amp;C1441&amp;"/"&amp;D1443</f>
        <v>Geothermal power plants/Geothermal power plants/Electricity only/S</v>
      </c>
      <c r="F1443" s="80" t="str">
        <f>A1441</f>
        <v>Geothermal power plants</v>
      </c>
      <c r="G1443" s="80" t="str">
        <f>B1441</f>
        <v>Geothermal power plants</v>
      </c>
      <c r="H1443" s="80" t="str">
        <f>C1441</f>
        <v>Electricity only</v>
      </c>
      <c r="I1443" s="169" t="str">
        <f t="shared" ref="I1443:I1457" si="376">D1443</f>
        <v>S</v>
      </c>
      <c r="J1443" s="127">
        <f>IF(tech_base!$T259&gt;J$1185,"",J1723+J2003)</f>
        <v>0</v>
      </c>
      <c r="K1443" s="127">
        <f>IF(tech_base!$T259&gt;K$1185,"",K1723+K2003)</f>
        <v>0</v>
      </c>
      <c r="L1443" s="127">
        <f>IF(tech_base!$T259&gt;L$1185,"",L1723+L2003)</f>
        <v>0</v>
      </c>
      <c r="M1443" s="127">
        <f>IF(tech_base!$T259&gt;M$1185,"",M1723+M2003)</f>
        <v>0</v>
      </c>
      <c r="N1443" s="127">
        <f>IF(tech_base!$T259&gt;N$1185,"",N1723+N2003)</f>
        <v>0</v>
      </c>
      <c r="O1443" s="127">
        <f>IF(tech_base!$T259&gt;O$1185,"",O1723+O2003)</f>
        <v>0</v>
      </c>
      <c r="P1443" s="127">
        <f>IF(tech_base!$T259&gt;P$1185,"",P1723+P2003)</f>
        <v>0</v>
      </c>
      <c r="Q1443" s="127">
        <f>IF(tech_base!$T259&gt;Q$1185,"",Q1723+Q2003)</f>
        <v>0</v>
      </c>
      <c r="R1443" s="127">
        <f>IF(tech_base!$T259&gt;R$1185,"",R1723+R2003)</f>
        <v>0</v>
      </c>
      <c r="S1443" s="127">
        <f>IF(tech_base!$T259&gt;S$1185,"",S1723+S2003)</f>
        <v>0</v>
      </c>
      <c r="T1443" s="127">
        <f>IF(tech_base!$T259&gt;T$1185,"",T1723+T2003)</f>
        <v>0</v>
      </c>
      <c r="U1443" s="127">
        <f>IF(tech_base!$T259&gt;U$1185,"",U1723+U2003)</f>
        <v>0</v>
      </c>
      <c r="V1443" s="127">
        <f>IF(tech_base!$T259&gt;V$1185,"",V1723+V2003)</f>
        <v>0</v>
      </c>
      <c r="W1443" s="127">
        <f>IF(tech_base!$T259&gt;W$1185,"",W1723+W2003)</f>
        <v>0</v>
      </c>
      <c r="X1443" s="127">
        <f>IF(tech_base!$T259&gt;X$1185,"",X1723+X2003)</f>
        <v>0</v>
      </c>
      <c r="Y1443" s="127">
        <f>IF(tech_base!$T259&gt;Y$1185,"",Y1723+Y2003)</f>
        <v>0</v>
      </c>
      <c r="Z1443" s="127">
        <f>IF(tech_base!$T259&gt;Z$1185,"",Z1723+Z2003)</f>
        <v>0</v>
      </c>
      <c r="AA1443" s="127">
        <f>IF(tech_base!$T259&gt;AA$1185,"",AA1723+AA2003)</f>
        <v>0</v>
      </c>
      <c r="AB1443" s="127">
        <f>IF(tech_base!$T259&gt;AB$1185,"",AB1723+AB2003)</f>
        <v>0</v>
      </c>
      <c r="AC1443" s="127">
        <f>IF(tech_base!$T259&gt;AC$1185,"",AC1723+AC2003)</f>
        <v>0</v>
      </c>
      <c r="AD1443" s="127">
        <f>IF(tech_base!$T259&gt;AD$1185,"",AD1723+AD2003)</f>
        <v>0</v>
      </c>
      <c r="AE1443" s="127">
        <f>IF(tech_base!$T259&gt;AE$1185,"",AE1723+AE2003)</f>
        <v>0</v>
      </c>
      <c r="AF1443" s="127">
        <f>IF(tech_base!$T259&gt;AF$1185,"",AF1723+AF2003)</f>
        <v>0</v>
      </c>
      <c r="AG1443" s="127">
        <f>IF(tech_base!$T259&gt;AG$1185,"",AG1723+AG2003)</f>
        <v>0</v>
      </c>
      <c r="AH1443" s="127">
        <f>IF(tech_base!$T259&gt;AH$1185,"",AH1723+AH2003)</f>
        <v>0</v>
      </c>
      <c r="AI1443" s="127">
        <f>IF(tech_base!$T259&gt;AI$1185,"",AI1723+AI2003)</f>
        <v>0</v>
      </c>
      <c r="AJ1443" s="127">
        <f>IF(tech_base!$T259&gt;AJ$1185,"",AJ1723+AJ2003)</f>
        <v>0</v>
      </c>
      <c r="AK1443" s="127">
        <f>IF(tech_base!$T259&gt;AK$1185,"",AK1723+AK2003)</f>
        <v>0</v>
      </c>
      <c r="AL1443" s="127">
        <f>IF(tech_base!$T259&gt;AL$1185,"",AL1723+AL2003)</f>
        <v>0</v>
      </c>
      <c r="AM1443" s="127">
        <f>IF(tech_base!$T259&gt;AM$1185,"",AM1723+AM2003)</f>
        <v>0</v>
      </c>
      <c r="AN1443" s="127">
        <f>IF(tech_base!$T259&gt;AN$1185,"",AN1723+AN2003)</f>
        <v>0</v>
      </c>
      <c r="AO1443" s="127">
        <f>IF(tech_base!$T259&gt;AO$1185,"",AO1723+AO2003)</f>
        <v>0</v>
      </c>
      <c r="AP1443" s="127">
        <f>IF(tech_base!$T259&gt;AP$1185,"",AP1723+AP2003)</f>
        <v>0</v>
      </c>
      <c r="AQ1443" s="127">
        <f>IF(tech_base!$T259&gt;AQ$1185,"",AQ1723+AQ2003)</f>
        <v>0</v>
      </c>
      <c r="AR1443" s="127">
        <f>IF(tech_base!$T259&gt;AR$1185,"",AR1723+AR2003)</f>
        <v>0</v>
      </c>
      <c r="AS1443" s="127">
        <f>IF(tech_base!$T259&gt;AS$1185,"",AS1723+AS2003)</f>
        <v>0</v>
      </c>
      <c r="AT1443" s="127">
        <f>IF(tech_base!$T259&gt;AT$1185,"",AT1723+AT2003)</f>
        <v>0</v>
      </c>
      <c r="AU1443" s="127">
        <f>IF(tech_base!$T259&gt;AU$1185,"",AU1723+AU2003)</f>
        <v>0</v>
      </c>
      <c r="AV1443" s="127">
        <f>IF(tech_base!$T259&gt;AV$1185,"",AV1723+AV2003)</f>
        <v>0</v>
      </c>
      <c r="AW1443" s="127">
        <f>IF(tech_base!$T259&gt;AW$1185,"",AW1723+AW2003)</f>
        <v>0</v>
      </c>
      <c r="AX1443" s="128">
        <f>IF(tech_base!$T259&gt;AX$1185,"",AX1723+AX2003)</f>
        <v>0</v>
      </c>
    </row>
    <row r="1444" spans="1:50" x14ac:dyDescent="0.25">
      <c r="A1444" s="355" t="s">
        <v>40</v>
      </c>
      <c r="B1444" s="5" t="s">
        <v>41</v>
      </c>
      <c r="C1444" s="6" t="s">
        <v>6</v>
      </c>
      <c r="D1444" s="60" t="s">
        <v>8</v>
      </c>
      <c r="E1444" s="170" t="str">
        <f>A1444&amp;"/"&amp;B1444&amp;"/"&amp;C1444&amp;"/"&amp;D1444</f>
        <v>Tide, wave and ocean power plants/Tidal/Electricity only/M</v>
      </c>
      <c r="F1444" s="81" t="str">
        <f>A1444</f>
        <v>Tide, wave and ocean power plants</v>
      </c>
      <c r="G1444" s="81" t="str">
        <f>B1444</f>
        <v>Tidal</v>
      </c>
      <c r="H1444" s="81" t="str">
        <f>C1444</f>
        <v>Electricity only</v>
      </c>
      <c r="I1444" s="171" t="str">
        <f t="shared" si="376"/>
        <v>M</v>
      </c>
      <c r="J1444" s="129">
        <f>IF(tech_base!$T260&gt;J$1185,"",J1724+J2004)</f>
        <v>0</v>
      </c>
      <c r="K1444" s="129">
        <f>IF(tech_base!$T260&gt;K$1185,"",K1724+K2004)</f>
        <v>0</v>
      </c>
      <c r="L1444" s="129">
        <f>IF(tech_base!$T260&gt;L$1185,"",L1724+L2004)</f>
        <v>0</v>
      </c>
      <c r="M1444" s="129">
        <f>IF(tech_base!$T260&gt;M$1185,"",M1724+M2004)</f>
        <v>0</v>
      </c>
      <c r="N1444" s="129">
        <f>IF(tech_base!$T260&gt;N$1185,"",N1724+N2004)</f>
        <v>0</v>
      </c>
      <c r="O1444" s="129">
        <f>IF(tech_base!$T260&gt;O$1185,"",O1724+O2004)</f>
        <v>0</v>
      </c>
      <c r="P1444" s="129">
        <f>IF(tech_base!$T260&gt;P$1185,"",P1724+P2004)</f>
        <v>0</v>
      </c>
      <c r="Q1444" s="129">
        <f>IF(tech_base!$T260&gt;Q$1185,"",Q1724+Q2004)</f>
        <v>0</v>
      </c>
      <c r="R1444" s="129">
        <f>IF(tech_base!$T260&gt;R$1185,"",R1724+R2004)</f>
        <v>0</v>
      </c>
      <c r="S1444" s="129">
        <f>IF(tech_base!$T260&gt;S$1185,"",S1724+S2004)</f>
        <v>0</v>
      </c>
      <c r="T1444" s="129">
        <f>IF(tech_base!$T260&gt;T$1185,"",T1724+T2004)</f>
        <v>0</v>
      </c>
      <c r="U1444" s="129">
        <f>IF(tech_base!$T260&gt;U$1185,"",U1724+U2004)</f>
        <v>0</v>
      </c>
      <c r="V1444" s="129">
        <f>IF(tech_base!$T260&gt;V$1185,"",V1724+V2004)</f>
        <v>0</v>
      </c>
      <c r="W1444" s="129">
        <f>IF(tech_base!$T260&gt;W$1185,"",W1724+W2004)</f>
        <v>0</v>
      </c>
      <c r="X1444" s="129">
        <f>IF(tech_base!$T260&gt;X$1185,"",X1724+X2004)</f>
        <v>0</v>
      </c>
      <c r="Y1444" s="129">
        <f>IF(tech_base!$T260&gt;Y$1185,"",Y1724+Y2004)</f>
        <v>0</v>
      </c>
      <c r="Z1444" s="129">
        <f>IF(tech_base!$T260&gt;Z$1185,"",Z1724+Z2004)</f>
        <v>0</v>
      </c>
      <c r="AA1444" s="129">
        <f>IF(tech_base!$T260&gt;AA$1185,"",AA1724+AA2004)</f>
        <v>0</v>
      </c>
      <c r="AB1444" s="129">
        <f>IF(tech_base!$T260&gt;AB$1185,"",AB1724+AB2004)</f>
        <v>0</v>
      </c>
      <c r="AC1444" s="129">
        <f>IF(tech_base!$T260&gt;AC$1185,"",AC1724+AC2004)</f>
        <v>0</v>
      </c>
      <c r="AD1444" s="129">
        <f>IF(tech_base!$T260&gt;AD$1185,"",AD1724+AD2004)</f>
        <v>0</v>
      </c>
      <c r="AE1444" s="129">
        <f>IF(tech_base!$T260&gt;AE$1185,"",AE1724+AE2004)</f>
        <v>0</v>
      </c>
      <c r="AF1444" s="129">
        <f>IF(tech_base!$T260&gt;AF$1185,"",AF1724+AF2004)</f>
        <v>0</v>
      </c>
      <c r="AG1444" s="129">
        <f>IF(tech_base!$T260&gt;AG$1185,"",AG1724+AG2004)</f>
        <v>0</v>
      </c>
      <c r="AH1444" s="129">
        <f>IF(tech_base!$T260&gt;AH$1185,"",AH1724+AH2004)</f>
        <v>0</v>
      </c>
      <c r="AI1444" s="129">
        <f>IF(tech_base!$T260&gt;AI$1185,"",AI1724+AI2004)</f>
        <v>0</v>
      </c>
      <c r="AJ1444" s="129">
        <f>IF(tech_base!$T260&gt;AJ$1185,"",AJ1724+AJ2004)</f>
        <v>0</v>
      </c>
      <c r="AK1444" s="129">
        <f>IF(tech_base!$T260&gt;AK$1185,"",AK1724+AK2004)</f>
        <v>0</v>
      </c>
      <c r="AL1444" s="129">
        <f>IF(tech_base!$T260&gt;AL$1185,"",AL1724+AL2004)</f>
        <v>0</v>
      </c>
      <c r="AM1444" s="129">
        <f>IF(tech_base!$T260&gt;AM$1185,"",AM1724+AM2004)</f>
        <v>0</v>
      </c>
      <c r="AN1444" s="129">
        <f>IF(tech_base!$T260&gt;AN$1185,"",AN1724+AN2004)</f>
        <v>0</v>
      </c>
      <c r="AO1444" s="129">
        <f>IF(tech_base!$T260&gt;AO$1185,"",AO1724+AO2004)</f>
        <v>0</v>
      </c>
      <c r="AP1444" s="129">
        <f>IF(tech_base!$T260&gt;AP$1185,"",AP1724+AP2004)</f>
        <v>0</v>
      </c>
      <c r="AQ1444" s="129">
        <f>IF(tech_base!$T260&gt;AQ$1185,"",AQ1724+AQ2004)</f>
        <v>0</v>
      </c>
      <c r="AR1444" s="129">
        <f>IF(tech_base!$T260&gt;AR$1185,"",AR1724+AR2004)</f>
        <v>0</v>
      </c>
      <c r="AS1444" s="129">
        <f>IF(tech_base!$T260&gt;AS$1185,"",AS1724+AS2004)</f>
        <v>0</v>
      </c>
      <c r="AT1444" s="129">
        <f>IF(tech_base!$T260&gt;AT$1185,"",AT1724+AT2004)</f>
        <v>0</v>
      </c>
      <c r="AU1444" s="129">
        <f>IF(tech_base!$T260&gt;AU$1185,"",AU1724+AU2004)</f>
        <v>0</v>
      </c>
      <c r="AV1444" s="129">
        <f>IF(tech_base!$T260&gt;AV$1185,"",AV1724+AV2004)</f>
        <v>0</v>
      </c>
      <c r="AW1444" s="129">
        <f>IF(tech_base!$T260&gt;AW$1185,"",AW1724+AW2004)</f>
        <v>0</v>
      </c>
      <c r="AX1444" s="130">
        <f>IF(tech_base!$T260&gt;AX$1185,"",AX1724+AX2004)</f>
        <v>0</v>
      </c>
    </row>
    <row r="1445" spans="1:50" x14ac:dyDescent="0.25">
      <c r="A1445" s="375"/>
      <c r="B1445" s="279" t="s">
        <v>42</v>
      </c>
      <c r="C1445" s="7" t="s">
        <v>6</v>
      </c>
      <c r="D1445" s="4" t="s">
        <v>8</v>
      </c>
      <c r="E1445" s="168" t="str">
        <f>A1444&amp;"/"&amp;B1445&amp;"/"&amp;C1445&amp;"/"&amp;D1445</f>
        <v>Tide, wave and ocean power plants/Wave/Electricity only/M</v>
      </c>
      <c r="F1445" s="80" t="str">
        <f>A1444</f>
        <v>Tide, wave and ocean power plants</v>
      </c>
      <c r="G1445" s="80" t="str">
        <f>B1445</f>
        <v>Wave</v>
      </c>
      <c r="H1445" s="80" t="str">
        <f>C1445</f>
        <v>Electricity only</v>
      </c>
      <c r="I1445" s="169" t="str">
        <f t="shared" si="376"/>
        <v>M</v>
      </c>
      <c r="J1445" s="127">
        <f>IF(tech_base!$T261&gt;J$1185,"",J1725+J2005)</f>
        <v>0</v>
      </c>
      <c r="K1445" s="127">
        <f>IF(tech_base!$T261&gt;K$1185,"",K1725+K2005)</f>
        <v>0</v>
      </c>
      <c r="L1445" s="127">
        <f>IF(tech_base!$T261&gt;L$1185,"",L1725+L2005)</f>
        <v>0</v>
      </c>
      <c r="M1445" s="127">
        <f>IF(tech_base!$T261&gt;M$1185,"",M1725+M2005)</f>
        <v>0</v>
      </c>
      <c r="N1445" s="127">
        <f>IF(tech_base!$T261&gt;N$1185,"",N1725+N2005)</f>
        <v>0</v>
      </c>
      <c r="O1445" s="127">
        <f>IF(tech_base!$T261&gt;O$1185,"",O1725+O2005)</f>
        <v>0</v>
      </c>
      <c r="P1445" s="127">
        <f>IF(tech_base!$T261&gt;P$1185,"",P1725+P2005)</f>
        <v>0</v>
      </c>
      <c r="Q1445" s="127">
        <f>IF(tech_base!$T261&gt;Q$1185,"",Q1725+Q2005)</f>
        <v>0</v>
      </c>
      <c r="R1445" s="127">
        <f>IF(tech_base!$T261&gt;R$1185,"",R1725+R2005)</f>
        <v>0</v>
      </c>
      <c r="S1445" s="127">
        <f>IF(tech_base!$T261&gt;S$1185,"",S1725+S2005)</f>
        <v>0</v>
      </c>
      <c r="T1445" s="127">
        <f>IF(tech_base!$T261&gt;T$1185,"",T1725+T2005)</f>
        <v>0</v>
      </c>
      <c r="U1445" s="127">
        <f>IF(tech_base!$T261&gt;U$1185,"",U1725+U2005)</f>
        <v>0</v>
      </c>
      <c r="V1445" s="127">
        <f>IF(tech_base!$T261&gt;V$1185,"",V1725+V2005)</f>
        <v>0</v>
      </c>
      <c r="W1445" s="127">
        <f>IF(tech_base!$T261&gt;W$1185,"",W1725+W2005)</f>
        <v>0</v>
      </c>
      <c r="X1445" s="127">
        <f>IF(tech_base!$T261&gt;X$1185,"",X1725+X2005)</f>
        <v>0</v>
      </c>
      <c r="Y1445" s="127">
        <f>IF(tech_base!$T261&gt;Y$1185,"",Y1725+Y2005)</f>
        <v>0</v>
      </c>
      <c r="Z1445" s="127">
        <f>IF(tech_base!$T261&gt;Z$1185,"",Z1725+Z2005)</f>
        <v>0</v>
      </c>
      <c r="AA1445" s="127">
        <f>IF(tech_base!$T261&gt;AA$1185,"",AA1725+AA2005)</f>
        <v>0</v>
      </c>
      <c r="AB1445" s="127">
        <f>IF(tech_base!$T261&gt;AB$1185,"",AB1725+AB2005)</f>
        <v>0</v>
      </c>
      <c r="AC1445" s="127">
        <f>IF(tech_base!$T261&gt;AC$1185,"",AC1725+AC2005)</f>
        <v>0</v>
      </c>
      <c r="AD1445" s="127">
        <f>IF(tech_base!$T261&gt;AD$1185,"",AD1725+AD2005)</f>
        <v>0</v>
      </c>
      <c r="AE1445" s="127">
        <f>IF(tech_base!$T261&gt;AE$1185,"",AE1725+AE2005)</f>
        <v>0</v>
      </c>
      <c r="AF1445" s="127">
        <f>IF(tech_base!$T261&gt;AF$1185,"",AF1725+AF2005)</f>
        <v>0</v>
      </c>
      <c r="AG1445" s="127">
        <f>IF(tech_base!$T261&gt;AG$1185,"",AG1725+AG2005)</f>
        <v>0</v>
      </c>
      <c r="AH1445" s="127">
        <f>IF(tech_base!$T261&gt;AH$1185,"",AH1725+AH2005)</f>
        <v>0</v>
      </c>
      <c r="AI1445" s="127">
        <f>IF(tech_base!$T261&gt;AI$1185,"",AI1725+AI2005)</f>
        <v>0</v>
      </c>
      <c r="AJ1445" s="127">
        <f>IF(tech_base!$T261&gt;AJ$1185,"",AJ1725+AJ2005)</f>
        <v>0</v>
      </c>
      <c r="AK1445" s="127">
        <f>IF(tech_base!$T261&gt;AK$1185,"",AK1725+AK2005)</f>
        <v>0</v>
      </c>
      <c r="AL1445" s="127">
        <f>IF(tech_base!$T261&gt;AL$1185,"",AL1725+AL2005)</f>
        <v>0</v>
      </c>
      <c r="AM1445" s="127">
        <f>IF(tech_base!$T261&gt;AM$1185,"",AM1725+AM2005)</f>
        <v>0</v>
      </c>
      <c r="AN1445" s="127">
        <f>IF(tech_base!$T261&gt;AN$1185,"",AN1725+AN2005)</f>
        <v>0</v>
      </c>
      <c r="AO1445" s="127">
        <f>IF(tech_base!$T261&gt;AO$1185,"",AO1725+AO2005)</f>
        <v>0</v>
      </c>
      <c r="AP1445" s="127">
        <f>IF(tech_base!$T261&gt;AP$1185,"",AP1725+AP2005)</f>
        <v>0</v>
      </c>
      <c r="AQ1445" s="127">
        <f>IF(tech_base!$T261&gt;AQ$1185,"",AQ1725+AQ2005)</f>
        <v>0</v>
      </c>
      <c r="AR1445" s="127">
        <f>IF(tech_base!$T261&gt;AR$1185,"",AR1725+AR2005)</f>
        <v>0</v>
      </c>
      <c r="AS1445" s="127">
        <f>IF(tech_base!$T261&gt;AS$1185,"",AS1725+AS2005)</f>
        <v>0</v>
      </c>
      <c r="AT1445" s="127">
        <f>IF(tech_base!$T261&gt;AT$1185,"",AT1725+AT2005)</f>
        <v>0</v>
      </c>
      <c r="AU1445" s="127">
        <f>IF(tech_base!$T261&gt;AU$1185,"",AU1725+AU2005)</f>
        <v>0</v>
      </c>
      <c r="AV1445" s="127">
        <f>IF(tech_base!$T261&gt;AV$1185,"",AV1725+AV2005)</f>
        <v>0</v>
      </c>
      <c r="AW1445" s="127">
        <f>IF(tech_base!$T261&gt;AW$1185,"",AW1725+AW2005)</f>
        <v>0</v>
      </c>
      <c r="AX1445" s="128">
        <f>IF(tech_base!$T261&gt;AX$1185,"",AX1725+AX2005)</f>
        <v>0</v>
      </c>
    </row>
    <row r="1446" spans="1:50" x14ac:dyDescent="0.25">
      <c r="A1446" s="355" t="s">
        <v>43</v>
      </c>
      <c r="B1446" s="358" t="s">
        <v>44</v>
      </c>
      <c r="C1446" s="353" t="s">
        <v>6</v>
      </c>
      <c r="D1446" s="3" t="s">
        <v>7</v>
      </c>
      <c r="E1446" s="162" t="str">
        <f>A1446&amp;"/"&amp;B1446&amp;"/"&amp;C1446&amp;"/"&amp;D1446</f>
        <v>Hydro plants/Run-of-river/Electricity only/L</v>
      </c>
      <c r="F1446" s="77" t="str">
        <f>A1446</f>
        <v>Hydro plants</v>
      </c>
      <c r="G1446" s="77" t="str">
        <f>B1446</f>
        <v>Run-of-river</v>
      </c>
      <c r="H1446" s="77" t="str">
        <f>C1446</f>
        <v>Electricity only</v>
      </c>
      <c r="I1446" s="163" t="str">
        <f t="shared" si="376"/>
        <v>L</v>
      </c>
      <c r="J1446" s="121">
        <f>IF(tech_base!$T262&gt;J$1185,"",J1726+J2006)</f>
        <v>0</v>
      </c>
      <c r="K1446" s="121">
        <f>IF(tech_base!$T262&gt;K$1185,"",K1726+K2006)</f>
        <v>0</v>
      </c>
      <c r="L1446" s="121">
        <f>IF(tech_base!$T262&gt;L$1185,"",L1726+L2006)</f>
        <v>0</v>
      </c>
      <c r="M1446" s="121">
        <f>IF(tech_base!$T262&gt;M$1185,"",M1726+M2006)</f>
        <v>0</v>
      </c>
      <c r="N1446" s="121">
        <f>IF(tech_base!$T262&gt;N$1185,"",N1726+N2006)</f>
        <v>0</v>
      </c>
      <c r="O1446" s="121">
        <f>IF(tech_base!$T262&gt;O$1185,"",O1726+O2006)</f>
        <v>0</v>
      </c>
      <c r="P1446" s="121">
        <f>IF(tech_base!$T262&gt;P$1185,"",P1726+P2006)</f>
        <v>0</v>
      </c>
      <c r="Q1446" s="121">
        <f>IF(tech_base!$T262&gt;Q$1185,"",Q1726+Q2006)</f>
        <v>0</v>
      </c>
      <c r="R1446" s="121">
        <f>IF(tech_base!$T262&gt;R$1185,"",R1726+R2006)</f>
        <v>0</v>
      </c>
      <c r="S1446" s="121">
        <f>IF(tech_base!$T262&gt;S$1185,"",S1726+S2006)</f>
        <v>0</v>
      </c>
      <c r="T1446" s="121">
        <f>IF(tech_base!$T262&gt;T$1185,"",T1726+T2006)</f>
        <v>0</v>
      </c>
      <c r="U1446" s="121">
        <f>IF(tech_base!$T262&gt;U$1185,"",U1726+U2006)</f>
        <v>0</v>
      </c>
      <c r="V1446" s="121">
        <f>IF(tech_base!$T262&gt;V$1185,"",V1726+V2006)</f>
        <v>0</v>
      </c>
      <c r="W1446" s="121">
        <f>IF(tech_base!$T262&gt;W$1185,"",W1726+W2006)</f>
        <v>0</v>
      </c>
      <c r="X1446" s="121">
        <f>IF(tech_base!$T262&gt;X$1185,"",X1726+X2006)</f>
        <v>0</v>
      </c>
      <c r="Y1446" s="121">
        <f>IF(tech_base!$T262&gt;Y$1185,"",Y1726+Y2006)</f>
        <v>0</v>
      </c>
      <c r="Z1446" s="121">
        <f>IF(tech_base!$T262&gt;Z$1185,"",Z1726+Z2006)</f>
        <v>0</v>
      </c>
      <c r="AA1446" s="121">
        <f>IF(tech_base!$T262&gt;AA$1185,"",AA1726+AA2006)</f>
        <v>0</v>
      </c>
      <c r="AB1446" s="121">
        <f>IF(tech_base!$T262&gt;AB$1185,"",AB1726+AB2006)</f>
        <v>0</v>
      </c>
      <c r="AC1446" s="121">
        <f>IF(tech_base!$T262&gt;AC$1185,"",AC1726+AC2006)</f>
        <v>0</v>
      </c>
      <c r="AD1446" s="121">
        <f>IF(tech_base!$T262&gt;AD$1185,"",AD1726+AD2006)</f>
        <v>0</v>
      </c>
      <c r="AE1446" s="121">
        <f>IF(tech_base!$T262&gt;AE$1185,"",AE1726+AE2006)</f>
        <v>0</v>
      </c>
      <c r="AF1446" s="121">
        <f>IF(tech_base!$T262&gt;AF$1185,"",AF1726+AF2006)</f>
        <v>0</v>
      </c>
      <c r="AG1446" s="121">
        <f>IF(tech_base!$T262&gt;AG$1185,"",AG1726+AG2006)</f>
        <v>0</v>
      </c>
      <c r="AH1446" s="121">
        <f>IF(tech_base!$T262&gt;AH$1185,"",AH1726+AH2006)</f>
        <v>0</v>
      </c>
      <c r="AI1446" s="121">
        <f>IF(tech_base!$T262&gt;AI$1185,"",AI1726+AI2006)</f>
        <v>0</v>
      </c>
      <c r="AJ1446" s="121">
        <f>IF(tech_base!$T262&gt;AJ$1185,"",AJ1726+AJ2006)</f>
        <v>0</v>
      </c>
      <c r="AK1446" s="121">
        <f>IF(tech_base!$T262&gt;AK$1185,"",AK1726+AK2006)</f>
        <v>0</v>
      </c>
      <c r="AL1446" s="121">
        <f>IF(tech_base!$T262&gt;AL$1185,"",AL1726+AL2006)</f>
        <v>0</v>
      </c>
      <c r="AM1446" s="121">
        <f>IF(tech_base!$T262&gt;AM$1185,"",AM1726+AM2006)</f>
        <v>0</v>
      </c>
      <c r="AN1446" s="121">
        <f>IF(tech_base!$T262&gt;AN$1185,"",AN1726+AN2006)</f>
        <v>0</v>
      </c>
      <c r="AO1446" s="121">
        <f>IF(tech_base!$T262&gt;AO$1185,"",AO1726+AO2006)</f>
        <v>0</v>
      </c>
      <c r="AP1446" s="121">
        <f>IF(tech_base!$T262&gt;AP$1185,"",AP1726+AP2006)</f>
        <v>0</v>
      </c>
      <c r="AQ1446" s="121">
        <f>IF(tech_base!$T262&gt;AQ$1185,"",AQ1726+AQ2006)</f>
        <v>0</v>
      </c>
      <c r="AR1446" s="121">
        <f>IF(tech_base!$T262&gt;AR$1185,"",AR1726+AR2006)</f>
        <v>0</v>
      </c>
      <c r="AS1446" s="121">
        <f>IF(tech_base!$T262&gt;AS$1185,"",AS1726+AS2006)</f>
        <v>0</v>
      </c>
      <c r="AT1446" s="121">
        <f>IF(tech_base!$T262&gt;AT$1185,"",AT1726+AT2006)</f>
        <v>0</v>
      </c>
      <c r="AU1446" s="121">
        <f>IF(tech_base!$T262&gt;AU$1185,"",AU1726+AU2006)</f>
        <v>0</v>
      </c>
      <c r="AV1446" s="121">
        <f>IF(tech_base!$T262&gt;AV$1185,"",AV1726+AV2006)</f>
        <v>0</v>
      </c>
      <c r="AW1446" s="121">
        <f>IF(tech_base!$T262&gt;AW$1185,"",AW1726+AW2006)</f>
        <v>0</v>
      </c>
      <c r="AX1446" s="122">
        <f>IF(tech_base!$T262&gt;AX$1185,"",AX1726+AX2006)</f>
        <v>0</v>
      </c>
    </row>
    <row r="1447" spans="1:50" x14ac:dyDescent="0.25">
      <c r="A1447" s="356"/>
      <c r="B1447" s="376"/>
      <c r="C1447" s="378"/>
      <c r="D1447" s="2" t="s">
        <v>8</v>
      </c>
      <c r="E1447" s="160" t="str">
        <f>A1446&amp;"/"&amp;B1446&amp;"/"&amp;C1446&amp;"/"&amp;D1447</f>
        <v>Hydro plants/Run-of-river/Electricity only/M</v>
      </c>
      <c r="F1447" s="76" t="str">
        <f>A1446</f>
        <v>Hydro plants</v>
      </c>
      <c r="G1447" s="76" t="str">
        <f>B1446</f>
        <v>Run-of-river</v>
      </c>
      <c r="H1447" s="76" t="str">
        <f>C1446</f>
        <v>Electricity only</v>
      </c>
      <c r="I1447" s="161" t="str">
        <f t="shared" si="376"/>
        <v>M</v>
      </c>
      <c r="J1447" s="119">
        <f>IF(tech_base!$T263&gt;J$1185,"",J1727+J2007)</f>
        <v>0</v>
      </c>
      <c r="K1447" s="119">
        <f>IF(tech_base!$T263&gt;K$1185,"",K1727+K2007)</f>
        <v>0</v>
      </c>
      <c r="L1447" s="119">
        <f>IF(tech_base!$T263&gt;L$1185,"",L1727+L2007)</f>
        <v>0</v>
      </c>
      <c r="M1447" s="119">
        <f>IF(tech_base!$T263&gt;M$1185,"",M1727+M2007)</f>
        <v>0</v>
      </c>
      <c r="N1447" s="119">
        <f>IF(tech_base!$T263&gt;N$1185,"",N1727+N2007)</f>
        <v>0</v>
      </c>
      <c r="O1447" s="119">
        <f>IF(tech_base!$T263&gt;O$1185,"",O1727+O2007)</f>
        <v>0</v>
      </c>
      <c r="P1447" s="119">
        <f>IF(tech_base!$T263&gt;P$1185,"",P1727+P2007)</f>
        <v>0</v>
      </c>
      <c r="Q1447" s="119">
        <f>IF(tech_base!$T263&gt;Q$1185,"",Q1727+Q2007)</f>
        <v>0</v>
      </c>
      <c r="R1447" s="119">
        <f>IF(tech_base!$T263&gt;R$1185,"",R1727+R2007)</f>
        <v>0</v>
      </c>
      <c r="S1447" s="119">
        <f>IF(tech_base!$T263&gt;S$1185,"",S1727+S2007)</f>
        <v>0</v>
      </c>
      <c r="T1447" s="119">
        <f>IF(tech_base!$T263&gt;T$1185,"",T1727+T2007)</f>
        <v>0</v>
      </c>
      <c r="U1447" s="119">
        <f>IF(tech_base!$T263&gt;U$1185,"",U1727+U2007)</f>
        <v>0</v>
      </c>
      <c r="V1447" s="119">
        <f>IF(tech_base!$T263&gt;V$1185,"",V1727+V2007)</f>
        <v>0</v>
      </c>
      <c r="W1447" s="119">
        <f>IF(tech_base!$T263&gt;W$1185,"",W1727+W2007)</f>
        <v>0</v>
      </c>
      <c r="X1447" s="119">
        <f>IF(tech_base!$T263&gt;X$1185,"",X1727+X2007)</f>
        <v>0</v>
      </c>
      <c r="Y1447" s="119">
        <f>IF(tech_base!$T263&gt;Y$1185,"",Y1727+Y2007)</f>
        <v>0</v>
      </c>
      <c r="Z1447" s="119">
        <f>IF(tech_base!$T263&gt;Z$1185,"",Z1727+Z2007)</f>
        <v>0</v>
      </c>
      <c r="AA1447" s="119">
        <f>IF(tech_base!$T263&gt;AA$1185,"",AA1727+AA2007)</f>
        <v>0</v>
      </c>
      <c r="AB1447" s="119">
        <f>IF(tech_base!$T263&gt;AB$1185,"",AB1727+AB2007)</f>
        <v>0</v>
      </c>
      <c r="AC1447" s="119">
        <f>IF(tech_base!$T263&gt;AC$1185,"",AC1727+AC2007)</f>
        <v>0</v>
      </c>
      <c r="AD1447" s="119">
        <f>IF(tech_base!$T263&gt;AD$1185,"",AD1727+AD2007)</f>
        <v>0</v>
      </c>
      <c r="AE1447" s="119">
        <f>IF(tech_base!$T263&gt;AE$1185,"",AE1727+AE2007)</f>
        <v>0</v>
      </c>
      <c r="AF1447" s="119">
        <f>IF(tech_base!$T263&gt;AF$1185,"",AF1727+AF2007)</f>
        <v>0</v>
      </c>
      <c r="AG1447" s="119">
        <f>IF(tech_base!$T263&gt;AG$1185,"",AG1727+AG2007)</f>
        <v>0</v>
      </c>
      <c r="AH1447" s="119">
        <f>IF(tech_base!$T263&gt;AH$1185,"",AH1727+AH2007)</f>
        <v>0</v>
      </c>
      <c r="AI1447" s="119">
        <f>IF(tech_base!$T263&gt;AI$1185,"",AI1727+AI2007)</f>
        <v>0</v>
      </c>
      <c r="AJ1447" s="119">
        <f>IF(tech_base!$T263&gt;AJ$1185,"",AJ1727+AJ2007)</f>
        <v>0</v>
      </c>
      <c r="AK1447" s="119">
        <f>IF(tech_base!$T263&gt;AK$1185,"",AK1727+AK2007)</f>
        <v>0</v>
      </c>
      <c r="AL1447" s="119">
        <f>IF(tech_base!$T263&gt;AL$1185,"",AL1727+AL2007)</f>
        <v>0</v>
      </c>
      <c r="AM1447" s="119">
        <f>IF(tech_base!$T263&gt;AM$1185,"",AM1727+AM2007)</f>
        <v>0</v>
      </c>
      <c r="AN1447" s="119">
        <f>IF(tech_base!$T263&gt;AN$1185,"",AN1727+AN2007)</f>
        <v>0</v>
      </c>
      <c r="AO1447" s="119">
        <f>IF(tech_base!$T263&gt;AO$1185,"",AO1727+AO2007)</f>
        <v>0</v>
      </c>
      <c r="AP1447" s="119">
        <f>IF(tech_base!$T263&gt;AP$1185,"",AP1727+AP2007)</f>
        <v>0</v>
      </c>
      <c r="AQ1447" s="119">
        <f>IF(tech_base!$T263&gt;AQ$1185,"",AQ1727+AQ2007)</f>
        <v>0</v>
      </c>
      <c r="AR1447" s="119">
        <f>IF(tech_base!$T263&gt;AR$1185,"",AR1727+AR2007)</f>
        <v>0</v>
      </c>
      <c r="AS1447" s="119">
        <f>IF(tech_base!$T263&gt;AS$1185,"",AS1727+AS2007)</f>
        <v>0</v>
      </c>
      <c r="AT1447" s="119">
        <f>IF(tech_base!$T263&gt;AT$1185,"",AT1727+AT2007)</f>
        <v>0</v>
      </c>
      <c r="AU1447" s="119">
        <f>IF(tech_base!$T263&gt;AU$1185,"",AU1727+AU2007)</f>
        <v>0</v>
      </c>
      <c r="AV1447" s="119">
        <f>IF(tech_base!$T263&gt;AV$1185,"",AV1727+AV2007)</f>
        <v>0</v>
      </c>
      <c r="AW1447" s="119">
        <f>IF(tech_base!$T263&gt;AW$1185,"",AW1727+AW2007)</f>
        <v>0</v>
      </c>
      <c r="AX1447" s="120">
        <f>IF(tech_base!$T263&gt;AX$1185,"",AX1727+AX2007)</f>
        <v>0</v>
      </c>
    </row>
    <row r="1448" spans="1:50" x14ac:dyDescent="0.25">
      <c r="A1448" s="356"/>
      <c r="B1448" s="376"/>
      <c r="C1448" s="378"/>
      <c r="D1448" s="2" t="s">
        <v>10</v>
      </c>
      <c r="E1448" s="160" t="str">
        <f>A1446&amp;"/"&amp;B1446&amp;"/"&amp;C1446&amp;"/"&amp;D1448</f>
        <v>Hydro plants/Run-of-river/Electricity only/S</v>
      </c>
      <c r="F1448" s="76" t="str">
        <f>A1446</f>
        <v>Hydro plants</v>
      </c>
      <c r="G1448" s="76" t="str">
        <f>B1446</f>
        <v>Run-of-river</v>
      </c>
      <c r="H1448" s="76" t="str">
        <f>C1446</f>
        <v>Electricity only</v>
      </c>
      <c r="I1448" s="161" t="str">
        <f t="shared" si="376"/>
        <v>S</v>
      </c>
      <c r="J1448" s="119">
        <f>IF(tech_base!$T264&gt;J$1185,"",J1728+J2008)</f>
        <v>0</v>
      </c>
      <c r="K1448" s="119">
        <f>IF(tech_base!$T264&gt;K$1185,"",K1728+K2008)</f>
        <v>0</v>
      </c>
      <c r="L1448" s="119">
        <f>IF(tech_base!$T264&gt;L$1185,"",L1728+L2008)</f>
        <v>0</v>
      </c>
      <c r="M1448" s="119">
        <f>IF(tech_base!$T264&gt;M$1185,"",M1728+M2008)</f>
        <v>0</v>
      </c>
      <c r="N1448" s="119">
        <f>IF(tech_base!$T264&gt;N$1185,"",N1728+N2008)</f>
        <v>0</v>
      </c>
      <c r="O1448" s="119">
        <f>IF(tech_base!$T264&gt;O$1185,"",O1728+O2008)</f>
        <v>0</v>
      </c>
      <c r="P1448" s="119">
        <f>IF(tech_base!$T264&gt;P$1185,"",P1728+P2008)</f>
        <v>0</v>
      </c>
      <c r="Q1448" s="119">
        <f>IF(tech_base!$T264&gt;Q$1185,"",Q1728+Q2008)</f>
        <v>0</v>
      </c>
      <c r="R1448" s="119">
        <f>IF(tech_base!$T264&gt;R$1185,"",R1728+R2008)</f>
        <v>0</v>
      </c>
      <c r="S1448" s="119">
        <f>IF(tech_base!$T264&gt;S$1185,"",S1728+S2008)</f>
        <v>0</v>
      </c>
      <c r="T1448" s="119">
        <f>IF(tech_base!$T264&gt;T$1185,"",T1728+T2008)</f>
        <v>0</v>
      </c>
      <c r="U1448" s="119">
        <f>IF(tech_base!$T264&gt;U$1185,"",U1728+U2008)</f>
        <v>0</v>
      </c>
      <c r="V1448" s="119">
        <f>IF(tech_base!$T264&gt;V$1185,"",V1728+V2008)</f>
        <v>0</v>
      </c>
      <c r="W1448" s="119">
        <f>IF(tech_base!$T264&gt;W$1185,"",W1728+W2008)</f>
        <v>0</v>
      </c>
      <c r="X1448" s="119">
        <f>IF(tech_base!$T264&gt;X$1185,"",X1728+X2008)</f>
        <v>0</v>
      </c>
      <c r="Y1448" s="119">
        <f>IF(tech_base!$T264&gt;Y$1185,"",Y1728+Y2008)</f>
        <v>0</v>
      </c>
      <c r="Z1448" s="119">
        <f>IF(tech_base!$T264&gt;Z$1185,"",Z1728+Z2008)</f>
        <v>0</v>
      </c>
      <c r="AA1448" s="119">
        <f>IF(tech_base!$T264&gt;AA$1185,"",AA1728+AA2008)</f>
        <v>0</v>
      </c>
      <c r="AB1448" s="119">
        <f>IF(tech_base!$T264&gt;AB$1185,"",AB1728+AB2008)</f>
        <v>0</v>
      </c>
      <c r="AC1448" s="119">
        <f>IF(tech_base!$T264&gt;AC$1185,"",AC1728+AC2008)</f>
        <v>0</v>
      </c>
      <c r="AD1448" s="119">
        <f>IF(tech_base!$T264&gt;AD$1185,"",AD1728+AD2008)</f>
        <v>0</v>
      </c>
      <c r="AE1448" s="119">
        <f>IF(tech_base!$T264&gt;AE$1185,"",AE1728+AE2008)</f>
        <v>0</v>
      </c>
      <c r="AF1448" s="119">
        <f>IF(tech_base!$T264&gt;AF$1185,"",AF1728+AF2008)</f>
        <v>0</v>
      </c>
      <c r="AG1448" s="119">
        <f>IF(tech_base!$T264&gt;AG$1185,"",AG1728+AG2008)</f>
        <v>0</v>
      </c>
      <c r="AH1448" s="119">
        <f>IF(tech_base!$T264&gt;AH$1185,"",AH1728+AH2008)</f>
        <v>0</v>
      </c>
      <c r="AI1448" s="119">
        <f>IF(tech_base!$T264&gt;AI$1185,"",AI1728+AI2008)</f>
        <v>0</v>
      </c>
      <c r="AJ1448" s="119">
        <f>IF(tech_base!$T264&gt;AJ$1185,"",AJ1728+AJ2008)</f>
        <v>0</v>
      </c>
      <c r="AK1448" s="119">
        <f>IF(tech_base!$T264&gt;AK$1185,"",AK1728+AK2008)</f>
        <v>0</v>
      </c>
      <c r="AL1448" s="119">
        <f>IF(tech_base!$T264&gt;AL$1185,"",AL1728+AL2008)</f>
        <v>0</v>
      </c>
      <c r="AM1448" s="119">
        <f>IF(tech_base!$T264&gt;AM$1185,"",AM1728+AM2008)</f>
        <v>0</v>
      </c>
      <c r="AN1448" s="119">
        <f>IF(tech_base!$T264&gt;AN$1185,"",AN1728+AN2008)</f>
        <v>0</v>
      </c>
      <c r="AO1448" s="119">
        <f>IF(tech_base!$T264&gt;AO$1185,"",AO1728+AO2008)</f>
        <v>0</v>
      </c>
      <c r="AP1448" s="119">
        <f>IF(tech_base!$T264&gt;AP$1185,"",AP1728+AP2008)</f>
        <v>0</v>
      </c>
      <c r="AQ1448" s="119">
        <f>IF(tech_base!$T264&gt;AQ$1185,"",AQ1728+AQ2008)</f>
        <v>0</v>
      </c>
      <c r="AR1448" s="119">
        <f>IF(tech_base!$T264&gt;AR$1185,"",AR1728+AR2008)</f>
        <v>0</v>
      </c>
      <c r="AS1448" s="119">
        <f>IF(tech_base!$T264&gt;AS$1185,"",AS1728+AS2008)</f>
        <v>0</v>
      </c>
      <c r="AT1448" s="119">
        <f>IF(tech_base!$T264&gt;AT$1185,"",AT1728+AT2008)</f>
        <v>0</v>
      </c>
      <c r="AU1448" s="119">
        <f>IF(tech_base!$T264&gt;AU$1185,"",AU1728+AU2008)</f>
        <v>0</v>
      </c>
      <c r="AV1448" s="119">
        <f>IF(tech_base!$T264&gt;AV$1185,"",AV1728+AV2008)</f>
        <v>0</v>
      </c>
      <c r="AW1448" s="119">
        <f>IF(tech_base!$T264&gt;AW$1185,"",AW1728+AW2008)</f>
        <v>0</v>
      </c>
      <c r="AX1448" s="120">
        <f>IF(tech_base!$T264&gt;AX$1185,"",AX1728+AX2008)</f>
        <v>0</v>
      </c>
    </row>
    <row r="1449" spans="1:50" x14ac:dyDescent="0.25">
      <c r="A1449" s="356"/>
      <c r="B1449" s="377"/>
      <c r="C1449" s="379"/>
      <c r="D1449" s="59" t="s">
        <v>20</v>
      </c>
      <c r="E1449" s="166" t="str">
        <f>A1446&amp;"/"&amp;B1446&amp;"/"&amp;C1446&amp;"/"&amp;D1449</f>
        <v>Hydro plants/Run-of-river/Electricity only/XS</v>
      </c>
      <c r="F1449" s="79" t="str">
        <f>A1446</f>
        <v>Hydro plants</v>
      </c>
      <c r="G1449" s="79" t="str">
        <f>B1446</f>
        <v>Run-of-river</v>
      </c>
      <c r="H1449" s="79" t="str">
        <f>C1446</f>
        <v>Electricity only</v>
      </c>
      <c r="I1449" s="167" t="str">
        <f t="shared" si="376"/>
        <v>XS</v>
      </c>
      <c r="J1449" s="125">
        <f>IF(tech_base!$T265&gt;J$1185,"",J1729+J2009)</f>
        <v>0</v>
      </c>
      <c r="K1449" s="125">
        <f>IF(tech_base!$T265&gt;K$1185,"",K1729+K2009)</f>
        <v>0</v>
      </c>
      <c r="L1449" s="125">
        <f>IF(tech_base!$T265&gt;L$1185,"",L1729+L2009)</f>
        <v>0</v>
      </c>
      <c r="M1449" s="125">
        <f>IF(tech_base!$T265&gt;M$1185,"",M1729+M2009)</f>
        <v>0</v>
      </c>
      <c r="N1449" s="125">
        <f>IF(tech_base!$T265&gt;N$1185,"",N1729+N2009)</f>
        <v>0</v>
      </c>
      <c r="O1449" s="125">
        <f>IF(tech_base!$T265&gt;O$1185,"",O1729+O2009)</f>
        <v>0</v>
      </c>
      <c r="P1449" s="125">
        <f>IF(tech_base!$T265&gt;P$1185,"",P1729+P2009)</f>
        <v>0</v>
      </c>
      <c r="Q1449" s="125">
        <f>IF(tech_base!$T265&gt;Q$1185,"",Q1729+Q2009)</f>
        <v>0</v>
      </c>
      <c r="R1449" s="125">
        <f>IF(tech_base!$T265&gt;R$1185,"",R1729+R2009)</f>
        <v>0</v>
      </c>
      <c r="S1449" s="125">
        <f>IF(tech_base!$T265&gt;S$1185,"",S1729+S2009)</f>
        <v>0</v>
      </c>
      <c r="T1449" s="125">
        <f>IF(tech_base!$T265&gt;T$1185,"",T1729+T2009)</f>
        <v>0</v>
      </c>
      <c r="U1449" s="125">
        <f>IF(tech_base!$T265&gt;U$1185,"",U1729+U2009)</f>
        <v>0</v>
      </c>
      <c r="V1449" s="125">
        <f>IF(tech_base!$T265&gt;V$1185,"",V1729+V2009)</f>
        <v>0</v>
      </c>
      <c r="W1449" s="125">
        <f>IF(tech_base!$T265&gt;W$1185,"",W1729+W2009)</f>
        <v>0</v>
      </c>
      <c r="X1449" s="125">
        <f>IF(tech_base!$T265&gt;X$1185,"",X1729+X2009)</f>
        <v>0</v>
      </c>
      <c r="Y1449" s="125">
        <f>IF(tech_base!$T265&gt;Y$1185,"",Y1729+Y2009)</f>
        <v>0</v>
      </c>
      <c r="Z1449" s="125">
        <f>IF(tech_base!$T265&gt;Z$1185,"",Z1729+Z2009)</f>
        <v>0</v>
      </c>
      <c r="AA1449" s="125">
        <f>IF(tech_base!$T265&gt;AA$1185,"",AA1729+AA2009)</f>
        <v>0</v>
      </c>
      <c r="AB1449" s="125">
        <f>IF(tech_base!$T265&gt;AB$1185,"",AB1729+AB2009)</f>
        <v>0</v>
      </c>
      <c r="AC1449" s="125">
        <f>IF(tech_base!$T265&gt;AC$1185,"",AC1729+AC2009)</f>
        <v>0</v>
      </c>
      <c r="AD1449" s="125">
        <f>IF(tech_base!$T265&gt;AD$1185,"",AD1729+AD2009)</f>
        <v>0</v>
      </c>
      <c r="AE1449" s="125">
        <f>IF(tech_base!$T265&gt;AE$1185,"",AE1729+AE2009)</f>
        <v>0</v>
      </c>
      <c r="AF1449" s="125">
        <f>IF(tech_base!$T265&gt;AF$1185,"",AF1729+AF2009)</f>
        <v>0</v>
      </c>
      <c r="AG1449" s="125">
        <f>IF(tech_base!$T265&gt;AG$1185,"",AG1729+AG2009)</f>
        <v>0</v>
      </c>
      <c r="AH1449" s="125">
        <f>IF(tech_base!$T265&gt;AH$1185,"",AH1729+AH2009)</f>
        <v>0</v>
      </c>
      <c r="AI1449" s="125">
        <f>IF(tech_base!$T265&gt;AI$1185,"",AI1729+AI2009)</f>
        <v>0</v>
      </c>
      <c r="AJ1449" s="125">
        <f>IF(tech_base!$T265&gt;AJ$1185,"",AJ1729+AJ2009)</f>
        <v>0</v>
      </c>
      <c r="AK1449" s="125">
        <f>IF(tech_base!$T265&gt;AK$1185,"",AK1729+AK2009)</f>
        <v>0</v>
      </c>
      <c r="AL1449" s="125">
        <f>IF(tech_base!$T265&gt;AL$1185,"",AL1729+AL2009)</f>
        <v>0</v>
      </c>
      <c r="AM1449" s="125">
        <f>IF(tech_base!$T265&gt;AM$1185,"",AM1729+AM2009)</f>
        <v>0</v>
      </c>
      <c r="AN1449" s="125">
        <f>IF(tech_base!$T265&gt;AN$1185,"",AN1729+AN2009)</f>
        <v>0</v>
      </c>
      <c r="AO1449" s="125">
        <f>IF(tech_base!$T265&gt;AO$1185,"",AO1729+AO2009)</f>
        <v>0</v>
      </c>
      <c r="AP1449" s="125">
        <f>IF(tech_base!$T265&gt;AP$1185,"",AP1729+AP2009)</f>
        <v>0</v>
      </c>
      <c r="AQ1449" s="125">
        <f>IF(tech_base!$T265&gt;AQ$1185,"",AQ1729+AQ2009)</f>
        <v>0</v>
      </c>
      <c r="AR1449" s="125">
        <f>IF(tech_base!$T265&gt;AR$1185,"",AR1729+AR2009)</f>
        <v>0</v>
      </c>
      <c r="AS1449" s="125">
        <f>IF(tech_base!$T265&gt;AS$1185,"",AS1729+AS2009)</f>
        <v>0</v>
      </c>
      <c r="AT1449" s="125">
        <f>IF(tech_base!$T265&gt;AT$1185,"",AT1729+AT2009)</f>
        <v>0</v>
      </c>
      <c r="AU1449" s="125">
        <f>IF(tech_base!$T265&gt;AU$1185,"",AU1729+AU2009)</f>
        <v>0</v>
      </c>
      <c r="AV1449" s="125">
        <f>IF(tech_base!$T265&gt;AV$1185,"",AV1729+AV2009)</f>
        <v>0</v>
      </c>
      <c r="AW1449" s="125">
        <f>IF(tech_base!$T265&gt;AW$1185,"",AW1729+AW2009)</f>
        <v>0</v>
      </c>
      <c r="AX1449" s="126">
        <f>IF(tech_base!$T265&gt;AX$1185,"",AX1729+AX2009)</f>
        <v>0</v>
      </c>
    </row>
    <row r="1450" spans="1:50" x14ac:dyDescent="0.25">
      <c r="A1450" s="356"/>
      <c r="B1450" s="359" t="s">
        <v>45</v>
      </c>
      <c r="C1450" s="350" t="s">
        <v>6</v>
      </c>
      <c r="D1450" s="2" t="s">
        <v>7</v>
      </c>
      <c r="E1450" s="160" t="str">
        <f>A1446&amp;"/"&amp;B1450&amp;"/"&amp;C1450&amp;"/"&amp;D1450</f>
        <v>Hydro plants/Reservoirs (dams)/Electricity only/L</v>
      </c>
      <c r="F1450" s="76" t="str">
        <f>A1446</f>
        <v>Hydro plants</v>
      </c>
      <c r="G1450" s="76" t="str">
        <f>B1450</f>
        <v>Reservoirs (dams)</v>
      </c>
      <c r="H1450" s="76" t="str">
        <f>C1450</f>
        <v>Electricity only</v>
      </c>
      <c r="I1450" s="161" t="str">
        <f t="shared" si="376"/>
        <v>L</v>
      </c>
      <c r="J1450" s="119">
        <f>IF(tech_base!$T266&gt;J$1185,"",J1730+J2010)</f>
        <v>0</v>
      </c>
      <c r="K1450" s="119">
        <f>IF(tech_base!$T266&gt;K$1185,"",K1730+K2010)</f>
        <v>0</v>
      </c>
      <c r="L1450" s="119">
        <f>IF(tech_base!$T266&gt;L$1185,"",L1730+L2010)</f>
        <v>0</v>
      </c>
      <c r="M1450" s="119">
        <f>IF(tech_base!$T266&gt;M$1185,"",M1730+M2010)</f>
        <v>0</v>
      </c>
      <c r="N1450" s="119">
        <f>IF(tech_base!$T266&gt;N$1185,"",N1730+N2010)</f>
        <v>0</v>
      </c>
      <c r="O1450" s="119">
        <f>IF(tech_base!$T266&gt;O$1185,"",O1730+O2010)</f>
        <v>0</v>
      </c>
      <c r="P1450" s="119">
        <f>IF(tech_base!$T266&gt;P$1185,"",P1730+P2010)</f>
        <v>0</v>
      </c>
      <c r="Q1450" s="119">
        <f>IF(tech_base!$T266&gt;Q$1185,"",Q1730+Q2010)</f>
        <v>0</v>
      </c>
      <c r="R1450" s="119">
        <f>IF(tech_base!$T266&gt;R$1185,"",R1730+R2010)</f>
        <v>0</v>
      </c>
      <c r="S1450" s="119">
        <f>IF(tech_base!$T266&gt;S$1185,"",S1730+S2010)</f>
        <v>0</v>
      </c>
      <c r="T1450" s="119">
        <f>IF(tech_base!$T266&gt;T$1185,"",T1730+T2010)</f>
        <v>0</v>
      </c>
      <c r="U1450" s="119">
        <f>IF(tech_base!$T266&gt;U$1185,"",U1730+U2010)</f>
        <v>0</v>
      </c>
      <c r="V1450" s="119">
        <f>IF(tech_base!$T266&gt;V$1185,"",V1730+V2010)</f>
        <v>0</v>
      </c>
      <c r="W1450" s="119">
        <f>IF(tech_base!$T266&gt;W$1185,"",W1730+W2010)</f>
        <v>0</v>
      </c>
      <c r="X1450" s="119">
        <f>IF(tech_base!$T266&gt;X$1185,"",X1730+X2010)</f>
        <v>0</v>
      </c>
      <c r="Y1450" s="119">
        <f>IF(tech_base!$T266&gt;Y$1185,"",Y1730+Y2010)</f>
        <v>0</v>
      </c>
      <c r="Z1450" s="119">
        <f>IF(tech_base!$T266&gt;Z$1185,"",Z1730+Z2010)</f>
        <v>0</v>
      </c>
      <c r="AA1450" s="119">
        <f>IF(tech_base!$T266&gt;AA$1185,"",AA1730+AA2010)</f>
        <v>0</v>
      </c>
      <c r="AB1450" s="119">
        <f>IF(tech_base!$T266&gt;AB$1185,"",AB1730+AB2010)</f>
        <v>0</v>
      </c>
      <c r="AC1450" s="119">
        <f>IF(tech_base!$T266&gt;AC$1185,"",AC1730+AC2010)</f>
        <v>0</v>
      </c>
      <c r="AD1450" s="119">
        <f>IF(tech_base!$T266&gt;AD$1185,"",AD1730+AD2010)</f>
        <v>0</v>
      </c>
      <c r="AE1450" s="119">
        <f>IF(tech_base!$T266&gt;AE$1185,"",AE1730+AE2010)</f>
        <v>0</v>
      </c>
      <c r="AF1450" s="119">
        <f>IF(tech_base!$T266&gt;AF$1185,"",AF1730+AF2010)</f>
        <v>0</v>
      </c>
      <c r="AG1450" s="119">
        <f>IF(tech_base!$T266&gt;AG$1185,"",AG1730+AG2010)</f>
        <v>0</v>
      </c>
      <c r="AH1450" s="119">
        <f>IF(tech_base!$T266&gt;AH$1185,"",AH1730+AH2010)</f>
        <v>0</v>
      </c>
      <c r="AI1450" s="119">
        <f>IF(tech_base!$T266&gt;AI$1185,"",AI1730+AI2010)</f>
        <v>0</v>
      </c>
      <c r="AJ1450" s="119">
        <f>IF(tech_base!$T266&gt;AJ$1185,"",AJ1730+AJ2010)</f>
        <v>0</v>
      </c>
      <c r="AK1450" s="119">
        <f>IF(tech_base!$T266&gt;AK$1185,"",AK1730+AK2010)</f>
        <v>0</v>
      </c>
      <c r="AL1450" s="119">
        <f>IF(tech_base!$T266&gt;AL$1185,"",AL1730+AL2010)</f>
        <v>0</v>
      </c>
      <c r="AM1450" s="119">
        <f>IF(tech_base!$T266&gt;AM$1185,"",AM1730+AM2010)</f>
        <v>0</v>
      </c>
      <c r="AN1450" s="119">
        <f>IF(tech_base!$T266&gt;AN$1185,"",AN1730+AN2010)</f>
        <v>0</v>
      </c>
      <c r="AO1450" s="119">
        <f>IF(tech_base!$T266&gt;AO$1185,"",AO1730+AO2010)</f>
        <v>0</v>
      </c>
      <c r="AP1450" s="119">
        <f>IF(tech_base!$T266&gt;AP$1185,"",AP1730+AP2010)</f>
        <v>0</v>
      </c>
      <c r="AQ1450" s="119">
        <f>IF(tech_base!$T266&gt;AQ$1185,"",AQ1730+AQ2010)</f>
        <v>0</v>
      </c>
      <c r="AR1450" s="119">
        <f>IF(tech_base!$T266&gt;AR$1185,"",AR1730+AR2010)</f>
        <v>0</v>
      </c>
      <c r="AS1450" s="119">
        <f>IF(tech_base!$T266&gt;AS$1185,"",AS1730+AS2010)</f>
        <v>0</v>
      </c>
      <c r="AT1450" s="119">
        <f>IF(tech_base!$T266&gt;AT$1185,"",AT1730+AT2010)</f>
        <v>0</v>
      </c>
      <c r="AU1450" s="119">
        <f>IF(tech_base!$T266&gt;AU$1185,"",AU1730+AU2010)</f>
        <v>0</v>
      </c>
      <c r="AV1450" s="119">
        <f>IF(tech_base!$T266&gt;AV$1185,"",AV1730+AV2010)</f>
        <v>0</v>
      </c>
      <c r="AW1450" s="119">
        <f>IF(tech_base!$T266&gt;AW$1185,"",AW1730+AW2010)</f>
        <v>0</v>
      </c>
      <c r="AX1450" s="120">
        <f>IF(tech_base!$T266&gt;AX$1185,"",AX1730+AX2010)</f>
        <v>0</v>
      </c>
    </row>
    <row r="1451" spans="1:50" x14ac:dyDescent="0.25">
      <c r="A1451" s="356"/>
      <c r="B1451" s="376"/>
      <c r="C1451" s="378"/>
      <c r="D1451" s="2" t="s">
        <v>8</v>
      </c>
      <c r="E1451" s="160" t="str">
        <f>A1446&amp;"/"&amp;B1450&amp;"/"&amp;C1450&amp;"/"&amp;D1451</f>
        <v>Hydro plants/Reservoirs (dams)/Electricity only/M</v>
      </c>
      <c r="F1451" s="76" t="str">
        <f>A1446</f>
        <v>Hydro plants</v>
      </c>
      <c r="G1451" s="76" t="str">
        <f>B1450</f>
        <v>Reservoirs (dams)</v>
      </c>
      <c r="H1451" s="76" t="str">
        <f>C1450</f>
        <v>Electricity only</v>
      </c>
      <c r="I1451" s="161" t="str">
        <f t="shared" si="376"/>
        <v>M</v>
      </c>
      <c r="J1451" s="119">
        <f>IF(tech_base!$T267&gt;J$1185,"",J1731+J2011)</f>
        <v>0</v>
      </c>
      <c r="K1451" s="119">
        <f>IF(tech_base!$T267&gt;K$1185,"",K1731+K2011)</f>
        <v>0</v>
      </c>
      <c r="L1451" s="119">
        <f>IF(tech_base!$T267&gt;L$1185,"",L1731+L2011)</f>
        <v>0</v>
      </c>
      <c r="M1451" s="119">
        <f>IF(tech_base!$T267&gt;M$1185,"",M1731+M2011)</f>
        <v>0</v>
      </c>
      <c r="N1451" s="119">
        <f>IF(tech_base!$T267&gt;N$1185,"",N1731+N2011)</f>
        <v>0</v>
      </c>
      <c r="O1451" s="119">
        <f>IF(tech_base!$T267&gt;O$1185,"",O1731+O2011)</f>
        <v>0</v>
      </c>
      <c r="P1451" s="119">
        <f>IF(tech_base!$T267&gt;P$1185,"",P1731+P2011)</f>
        <v>0</v>
      </c>
      <c r="Q1451" s="119">
        <f>IF(tech_base!$T267&gt;Q$1185,"",Q1731+Q2011)</f>
        <v>0</v>
      </c>
      <c r="R1451" s="119">
        <f>IF(tech_base!$T267&gt;R$1185,"",R1731+R2011)</f>
        <v>0</v>
      </c>
      <c r="S1451" s="119">
        <f>IF(tech_base!$T267&gt;S$1185,"",S1731+S2011)</f>
        <v>0</v>
      </c>
      <c r="T1451" s="119">
        <f>IF(tech_base!$T267&gt;T$1185,"",T1731+T2011)</f>
        <v>0</v>
      </c>
      <c r="U1451" s="119">
        <f>IF(tech_base!$T267&gt;U$1185,"",U1731+U2011)</f>
        <v>0</v>
      </c>
      <c r="V1451" s="119">
        <f>IF(tech_base!$T267&gt;V$1185,"",V1731+V2011)</f>
        <v>0</v>
      </c>
      <c r="W1451" s="119">
        <f>IF(tech_base!$T267&gt;W$1185,"",W1731+W2011)</f>
        <v>0</v>
      </c>
      <c r="X1451" s="119">
        <f>IF(tech_base!$T267&gt;X$1185,"",X1731+X2011)</f>
        <v>0</v>
      </c>
      <c r="Y1451" s="119">
        <f>IF(tech_base!$T267&gt;Y$1185,"",Y1731+Y2011)</f>
        <v>0</v>
      </c>
      <c r="Z1451" s="119">
        <f>IF(tech_base!$T267&gt;Z$1185,"",Z1731+Z2011)</f>
        <v>0</v>
      </c>
      <c r="AA1451" s="119">
        <f>IF(tech_base!$T267&gt;AA$1185,"",AA1731+AA2011)</f>
        <v>0</v>
      </c>
      <c r="AB1451" s="119">
        <f>IF(tech_base!$T267&gt;AB$1185,"",AB1731+AB2011)</f>
        <v>0</v>
      </c>
      <c r="AC1451" s="119">
        <f>IF(tech_base!$T267&gt;AC$1185,"",AC1731+AC2011)</f>
        <v>0</v>
      </c>
      <c r="AD1451" s="119">
        <f>IF(tech_base!$T267&gt;AD$1185,"",AD1731+AD2011)</f>
        <v>0</v>
      </c>
      <c r="AE1451" s="119">
        <f>IF(tech_base!$T267&gt;AE$1185,"",AE1731+AE2011)</f>
        <v>0</v>
      </c>
      <c r="AF1451" s="119">
        <f>IF(tech_base!$T267&gt;AF$1185,"",AF1731+AF2011)</f>
        <v>0</v>
      </c>
      <c r="AG1451" s="119">
        <f>IF(tech_base!$T267&gt;AG$1185,"",AG1731+AG2011)</f>
        <v>0</v>
      </c>
      <c r="AH1451" s="119">
        <f>IF(tech_base!$T267&gt;AH$1185,"",AH1731+AH2011)</f>
        <v>0</v>
      </c>
      <c r="AI1451" s="119">
        <f>IF(tech_base!$T267&gt;AI$1185,"",AI1731+AI2011)</f>
        <v>0</v>
      </c>
      <c r="AJ1451" s="119">
        <f>IF(tech_base!$T267&gt;AJ$1185,"",AJ1731+AJ2011)</f>
        <v>0</v>
      </c>
      <c r="AK1451" s="119">
        <f>IF(tech_base!$T267&gt;AK$1185,"",AK1731+AK2011)</f>
        <v>0</v>
      </c>
      <c r="AL1451" s="119">
        <f>IF(tech_base!$T267&gt;AL$1185,"",AL1731+AL2011)</f>
        <v>0</v>
      </c>
      <c r="AM1451" s="119">
        <f>IF(tech_base!$T267&gt;AM$1185,"",AM1731+AM2011)</f>
        <v>0</v>
      </c>
      <c r="AN1451" s="119">
        <f>IF(tech_base!$T267&gt;AN$1185,"",AN1731+AN2011)</f>
        <v>0</v>
      </c>
      <c r="AO1451" s="119">
        <f>IF(tech_base!$T267&gt;AO$1185,"",AO1731+AO2011)</f>
        <v>0</v>
      </c>
      <c r="AP1451" s="119">
        <f>IF(tech_base!$T267&gt;AP$1185,"",AP1731+AP2011)</f>
        <v>0</v>
      </c>
      <c r="AQ1451" s="119">
        <f>IF(tech_base!$T267&gt;AQ$1185,"",AQ1731+AQ2011)</f>
        <v>0</v>
      </c>
      <c r="AR1451" s="119">
        <f>IF(tech_base!$T267&gt;AR$1185,"",AR1731+AR2011)</f>
        <v>0</v>
      </c>
      <c r="AS1451" s="119">
        <f>IF(tech_base!$T267&gt;AS$1185,"",AS1731+AS2011)</f>
        <v>0</v>
      </c>
      <c r="AT1451" s="119">
        <f>IF(tech_base!$T267&gt;AT$1185,"",AT1731+AT2011)</f>
        <v>0</v>
      </c>
      <c r="AU1451" s="119">
        <f>IF(tech_base!$T267&gt;AU$1185,"",AU1731+AU2011)</f>
        <v>0</v>
      </c>
      <c r="AV1451" s="119">
        <f>IF(tech_base!$T267&gt;AV$1185,"",AV1731+AV2011)</f>
        <v>0</v>
      </c>
      <c r="AW1451" s="119">
        <f>IF(tech_base!$T267&gt;AW$1185,"",AW1731+AW2011)</f>
        <v>0</v>
      </c>
      <c r="AX1451" s="120">
        <f>IF(tech_base!$T267&gt;AX$1185,"",AX1731+AX2011)</f>
        <v>0</v>
      </c>
    </row>
    <row r="1452" spans="1:50" x14ac:dyDescent="0.25">
      <c r="A1452" s="356"/>
      <c r="B1452" s="376"/>
      <c r="C1452" s="378"/>
      <c r="D1452" s="2" t="s">
        <v>10</v>
      </c>
      <c r="E1452" s="160" t="str">
        <f>A1446&amp;"/"&amp;B1450&amp;"/"&amp;C1450&amp;"/"&amp;D1452</f>
        <v>Hydro plants/Reservoirs (dams)/Electricity only/S</v>
      </c>
      <c r="F1452" s="76" t="str">
        <f>A1446</f>
        <v>Hydro plants</v>
      </c>
      <c r="G1452" s="76" t="str">
        <f>B1450</f>
        <v>Reservoirs (dams)</v>
      </c>
      <c r="H1452" s="76" t="str">
        <f>C1450</f>
        <v>Electricity only</v>
      </c>
      <c r="I1452" s="161" t="str">
        <f t="shared" si="376"/>
        <v>S</v>
      </c>
      <c r="J1452" s="119">
        <f>IF(tech_base!$T268&gt;J$1185,"",J1732+J2012)</f>
        <v>0</v>
      </c>
      <c r="K1452" s="119">
        <f>IF(tech_base!$T268&gt;K$1185,"",K1732+K2012)</f>
        <v>0</v>
      </c>
      <c r="L1452" s="119">
        <f>IF(tech_base!$T268&gt;L$1185,"",L1732+L2012)</f>
        <v>0</v>
      </c>
      <c r="M1452" s="119">
        <f>IF(tech_base!$T268&gt;M$1185,"",M1732+M2012)</f>
        <v>0</v>
      </c>
      <c r="N1452" s="119">
        <f>IF(tech_base!$T268&gt;N$1185,"",N1732+N2012)</f>
        <v>0</v>
      </c>
      <c r="O1452" s="119">
        <f>IF(tech_base!$T268&gt;O$1185,"",O1732+O2012)</f>
        <v>0</v>
      </c>
      <c r="P1452" s="119">
        <f>IF(tech_base!$T268&gt;P$1185,"",P1732+P2012)</f>
        <v>0</v>
      </c>
      <c r="Q1452" s="119">
        <f>IF(tech_base!$T268&gt;Q$1185,"",Q1732+Q2012)</f>
        <v>0</v>
      </c>
      <c r="R1452" s="119">
        <f>IF(tech_base!$T268&gt;R$1185,"",R1732+R2012)</f>
        <v>0</v>
      </c>
      <c r="S1452" s="119">
        <f>IF(tech_base!$T268&gt;S$1185,"",S1732+S2012)</f>
        <v>0</v>
      </c>
      <c r="T1452" s="119">
        <f>IF(tech_base!$T268&gt;T$1185,"",T1732+T2012)</f>
        <v>0</v>
      </c>
      <c r="U1452" s="119">
        <f>IF(tech_base!$T268&gt;U$1185,"",U1732+U2012)</f>
        <v>0</v>
      </c>
      <c r="V1452" s="119">
        <f>IF(tech_base!$T268&gt;V$1185,"",V1732+V2012)</f>
        <v>0</v>
      </c>
      <c r="W1452" s="119">
        <f>IF(tech_base!$T268&gt;W$1185,"",W1732+W2012)</f>
        <v>0</v>
      </c>
      <c r="X1452" s="119">
        <f>IF(tech_base!$T268&gt;X$1185,"",X1732+X2012)</f>
        <v>0</v>
      </c>
      <c r="Y1452" s="119">
        <f>IF(tech_base!$T268&gt;Y$1185,"",Y1732+Y2012)</f>
        <v>0</v>
      </c>
      <c r="Z1452" s="119">
        <f>IF(tech_base!$T268&gt;Z$1185,"",Z1732+Z2012)</f>
        <v>0</v>
      </c>
      <c r="AA1452" s="119">
        <f>IF(tech_base!$T268&gt;AA$1185,"",AA1732+AA2012)</f>
        <v>0</v>
      </c>
      <c r="AB1452" s="119">
        <f>IF(tech_base!$T268&gt;AB$1185,"",AB1732+AB2012)</f>
        <v>0</v>
      </c>
      <c r="AC1452" s="119">
        <f>IF(tech_base!$T268&gt;AC$1185,"",AC1732+AC2012)</f>
        <v>0</v>
      </c>
      <c r="AD1452" s="119">
        <f>IF(tech_base!$T268&gt;AD$1185,"",AD1732+AD2012)</f>
        <v>0</v>
      </c>
      <c r="AE1452" s="119">
        <f>IF(tech_base!$T268&gt;AE$1185,"",AE1732+AE2012)</f>
        <v>0</v>
      </c>
      <c r="AF1452" s="119">
        <f>IF(tech_base!$T268&gt;AF$1185,"",AF1732+AF2012)</f>
        <v>0</v>
      </c>
      <c r="AG1452" s="119">
        <f>IF(tech_base!$T268&gt;AG$1185,"",AG1732+AG2012)</f>
        <v>0</v>
      </c>
      <c r="AH1452" s="119">
        <f>IF(tech_base!$T268&gt;AH$1185,"",AH1732+AH2012)</f>
        <v>0</v>
      </c>
      <c r="AI1452" s="119">
        <f>IF(tech_base!$T268&gt;AI$1185,"",AI1732+AI2012)</f>
        <v>0</v>
      </c>
      <c r="AJ1452" s="119">
        <f>IF(tech_base!$T268&gt;AJ$1185,"",AJ1732+AJ2012)</f>
        <v>0</v>
      </c>
      <c r="AK1452" s="119">
        <f>IF(tech_base!$T268&gt;AK$1185,"",AK1732+AK2012)</f>
        <v>0</v>
      </c>
      <c r="AL1452" s="119">
        <f>IF(tech_base!$T268&gt;AL$1185,"",AL1732+AL2012)</f>
        <v>0</v>
      </c>
      <c r="AM1452" s="119">
        <f>IF(tech_base!$T268&gt;AM$1185,"",AM1732+AM2012)</f>
        <v>0</v>
      </c>
      <c r="AN1452" s="119">
        <f>IF(tech_base!$T268&gt;AN$1185,"",AN1732+AN2012)</f>
        <v>0</v>
      </c>
      <c r="AO1452" s="119">
        <f>IF(tech_base!$T268&gt;AO$1185,"",AO1732+AO2012)</f>
        <v>0</v>
      </c>
      <c r="AP1452" s="119">
        <f>IF(tech_base!$T268&gt;AP$1185,"",AP1732+AP2012)</f>
        <v>0</v>
      </c>
      <c r="AQ1452" s="119">
        <f>IF(tech_base!$T268&gt;AQ$1185,"",AQ1732+AQ2012)</f>
        <v>0</v>
      </c>
      <c r="AR1452" s="119">
        <f>IF(tech_base!$T268&gt;AR$1185,"",AR1732+AR2012)</f>
        <v>0</v>
      </c>
      <c r="AS1452" s="119">
        <f>IF(tech_base!$T268&gt;AS$1185,"",AS1732+AS2012)</f>
        <v>0</v>
      </c>
      <c r="AT1452" s="119">
        <f>IF(tech_base!$T268&gt;AT$1185,"",AT1732+AT2012)</f>
        <v>0</v>
      </c>
      <c r="AU1452" s="119">
        <f>IF(tech_base!$T268&gt;AU$1185,"",AU1732+AU2012)</f>
        <v>0</v>
      </c>
      <c r="AV1452" s="119">
        <f>IF(tech_base!$T268&gt;AV$1185,"",AV1732+AV2012)</f>
        <v>0</v>
      </c>
      <c r="AW1452" s="119">
        <f>IF(tech_base!$T268&gt;AW$1185,"",AW1732+AW2012)</f>
        <v>0</v>
      </c>
      <c r="AX1452" s="120">
        <f>IF(tech_base!$T268&gt;AX$1185,"",AX1732+AX2012)</f>
        <v>0</v>
      </c>
    </row>
    <row r="1453" spans="1:50" x14ac:dyDescent="0.25">
      <c r="A1453" s="357"/>
      <c r="B1453" s="380"/>
      <c r="C1453" s="381"/>
      <c r="D1453" s="4" t="s">
        <v>20</v>
      </c>
      <c r="E1453" s="168" t="str">
        <f>A1446&amp;"/"&amp;B1450&amp;"/"&amp;C1450&amp;"/"&amp;D1453</f>
        <v>Hydro plants/Reservoirs (dams)/Electricity only/XS</v>
      </c>
      <c r="F1453" s="80" t="str">
        <f>A1446</f>
        <v>Hydro plants</v>
      </c>
      <c r="G1453" s="80" t="str">
        <f>B1450</f>
        <v>Reservoirs (dams)</v>
      </c>
      <c r="H1453" s="80" t="str">
        <f>C1450</f>
        <v>Electricity only</v>
      </c>
      <c r="I1453" s="169" t="str">
        <f t="shared" si="376"/>
        <v>XS</v>
      </c>
      <c r="J1453" s="127">
        <f>IF(tech_base!$T269&gt;J$1185,"",J1733+J2013)</f>
        <v>0</v>
      </c>
      <c r="K1453" s="127">
        <f>IF(tech_base!$T269&gt;K$1185,"",K1733+K2013)</f>
        <v>0</v>
      </c>
      <c r="L1453" s="127">
        <f>IF(tech_base!$T269&gt;L$1185,"",L1733+L2013)</f>
        <v>0</v>
      </c>
      <c r="M1453" s="127">
        <f>IF(tech_base!$T269&gt;M$1185,"",M1733+M2013)</f>
        <v>0</v>
      </c>
      <c r="N1453" s="127">
        <f>IF(tech_base!$T269&gt;N$1185,"",N1733+N2013)</f>
        <v>0</v>
      </c>
      <c r="O1453" s="127">
        <f>IF(tech_base!$T269&gt;O$1185,"",O1733+O2013)</f>
        <v>0</v>
      </c>
      <c r="P1453" s="127">
        <f>IF(tech_base!$T269&gt;P$1185,"",P1733+P2013)</f>
        <v>0</v>
      </c>
      <c r="Q1453" s="127">
        <f>IF(tech_base!$T269&gt;Q$1185,"",Q1733+Q2013)</f>
        <v>0</v>
      </c>
      <c r="R1453" s="127">
        <f>IF(tech_base!$T269&gt;R$1185,"",R1733+R2013)</f>
        <v>0</v>
      </c>
      <c r="S1453" s="127">
        <f>IF(tech_base!$T269&gt;S$1185,"",S1733+S2013)</f>
        <v>0</v>
      </c>
      <c r="T1453" s="127">
        <f>IF(tech_base!$T269&gt;T$1185,"",T1733+T2013)</f>
        <v>0</v>
      </c>
      <c r="U1453" s="127">
        <f>IF(tech_base!$T269&gt;U$1185,"",U1733+U2013)</f>
        <v>0</v>
      </c>
      <c r="V1453" s="127">
        <f>IF(tech_base!$T269&gt;V$1185,"",V1733+V2013)</f>
        <v>0</v>
      </c>
      <c r="W1453" s="127">
        <f>IF(tech_base!$T269&gt;W$1185,"",W1733+W2013)</f>
        <v>0</v>
      </c>
      <c r="X1453" s="127">
        <f>IF(tech_base!$T269&gt;X$1185,"",X1733+X2013)</f>
        <v>0</v>
      </c>
      <c r="Y1453" s="127">
        <f>IF(tech_base!$T269&gt;Y$1185,"",Y1733+Y2013)</f>
        <v>0</v>
      </c>
      <c r="Z1453" s="127">
        <f>IF(tech_base!$T269&gt;Z$1185,"",Z1733+Z2013)</f>
        <v>0</v>
      </c>
      <c r="AA1453" s="127">
        <f>IF(tech_base!$T269&gt;AA$1185,"",AA1733+AA2013)</f>
        <v>0</v>
      </c>
      <c r="AB1453" s="127">
        <f>IF(tech_base!$T269&gt;AB$1185,"",AB1733+AB2013)</f>
        <v>0</v>
      </c>
      <c r="AC1453" s="127">
        <f>IF(tech_base!$T269&gt;AC$1185,"",AC1733+AC2013)</f>
        <v>0</v>
      </c>
      <c r="AD1453" s="127">
        <f>IF(tech_base!$T269&gt;AD$1185,"",AD1733+AD2013)</f>
        <v>0</v>
      </c>
      <c r="AE1453" s="127">
        <f>IF(tech_base!$T269&gt;AE$1185,"",AE1733+AE2013)</f>
        <v>0</v>
      </c>
      <c r="AF1453" s="127">
        <f>IF(tech_base!$T269&gt;AF$1185,"",AF1733+AF2013)</f>
        <v>0</v>
      </c>
      <c r="AG1453" s="127">
        <f>IF(tech_base!$T269&gt;AG$1185,"",AG1733+AG2013)</f>
        <v>0</v>
      </c>
      <c r="AH1453" s="127">
        <f>IF(tech_base!$T269&gt;AH$1185,"",AH1733+AH2013)</f>
        <v>0</v>
      </c>
      <c r="AI1453" s="127">
        <f>IF(tech_base!$T269&gt;AI$1185,"",AI1733+AI2013)</f>
        <v>0</v>
      </c>
      <c r="AJ1453" s="127">
        <f>IF(tech_base!$T269&gt;AJ$1185,"",AJ1733+AJ2013)</f>
        <v>0</v>
      </c>
      <c r="AK1453" s="127">
        <f>IF(tech_base!$T269&gt;AK$1185,"",AK1733+AK2013)</f>
        <v>0</v>
      </c>
      <c r="AL1453" s="127">
        <f>IF(tech_base!$T269&gt;AL$1185,"",AL1733+AL2013)</f>
        <v>0</v>
      </c>
      <c r="AM1453" s="127">
        <f>IF(tech_base!$T269&gt;AM$1185,"",AM1733+AM2013)</f>
        <v>0</v>
      </c>
      <c r="AN1453" s="127">
        <f>IF(tech_base!$T269&gt;AN$1185,"",AN1733+AN2013)</f>
        <v>0</v>
      </c>
      <c r="AO1453" s="127">
        <f>IF(tech_base!$T269&gt;AO$1185,"",AO1733+AO2013)</f>
        <v>0</v>
      </c>
      <c r="AP1453" s="127">
        <f>IF(tech_base!$T269&gt;AP$1185,"",AP1733+AP2013)</f>
        <v>0</v>
      </c>
      <c r="AQ1453" s="127">
        <f>IF(tech_base!$T269&gt;AQ$1185,"",AQ1733+AQ2013)</f>
        <v>0</v>
      </c>
      <c r="AR1453" s="127">
        <f>IF(tech_base!$T269&gt;AR$1185,"",AR1733+AR2013)</f>
        <v>0</v>
      </c>
      <c r="AS1453" s="127">
        <f>IF(tech_base!$T269&gt;AS$1185,"",AS1733+AS2013)</f>
        <v>0</v>
      </c>
      <c r="AT1453" s="127">
        <f>IF(tech_base!$T269&gt;AT$1185,"",AT1733+AT2013)</f>
        <v>0</v>
      </c>
      <c r="AU1453" s="127">
        <f>IF(tech_base!$T269&gt;AU$1185,"",AU1733+AU2013)</f>
        <v>0</v>
      </c>
      <c r="AV1453" s="127">
        <f>IF(tech_base!$T269&gt;AV$1185,"",AV1733+AV2013)</f>
        <v>0</v>
      </c>
      <c r="AW1453" s="127">
        <f>IF(tech_base!$T269&gt;AW$1185,"",AW1733+AW2013)</f>
        <v>0</v>
      </c>
      <c r="AX1453" s="128">
        <f>IF(tech_base!$T269&gt;AX$1185,"",AX1733+AX2013)</f>
        <v>0</v>
      </c>
    </row>
    <row r="1454" spans="1:50" x14ac:dyDescent="0.25">
      <c r="A1454" s="356" t="s">
        <v>46</v>
      </c>
      <c r="B1454" s="359" t="s">
        <v>46</v>
      </c>
      <c r="C1454" s="353" t="s">
        <v>6</v>
      </c>
      <c r="D1454" s="2" t="s">
        <v>7</v>
      </c>
      <c r="E1454" s="160" t="str">
        <f>A1454&amp;"/"&amp;B1454&amp;"/"&amp;C1454&amp;"/"&amp;D1454</f>
        <v>Pump storage/Pump storage/Electricity only/L</v>
      </c>
      <c r="F1454" s="76" t="str">
        <f>A1454</f>
        <v>Pump storage</v>
      </c>
      <c r="G1454" s="76" t="str">
        <f>B1454</f>
        <v>Pump storage</v>
      </c>
      <c r="H1454" s="76" t="str">
        <f>C1454</f>
        <v>Electricity only</v>
      </c>
      <c r="I1454" s="161" t="str">
        <f t="shared" si="376"/>
        <v>L</v>
      </c>
      <c r="J1454" s="119">
        <f>IF(tech_base!$T270&gt;J$1185,"",J1734+J2014)</f>
        <v>0</v>
      </c>
      <c r="K1454" s="119">
        <f>IF(tech_base!$T270&gt;K$1185,"",K1734+K2014)</f>
        <v>0</v>
      </c>
      <c r="L1454" s="119">
        <f>IF(tech_base!$T270&gt;L$1185,"",L1734+L2014)</f>
        <v>0</v>
      </c>
      <c r="M1454" s="119">
        <f>IF(tech_base!$T270&gt;M$1185,"",M1734+M2014)</f>
        <v>0</v>
      </c>
      <c r="N1454" s="119">
        <f>IF(tech_base!$T270&gt;N$1185,"",N1734+N2014)</f>
        <v>0</v>
      </c>
      <c r="O1454" s="119">
        <f>IF(tech_base!$T270&gt;O$1185,"",O1734+O2014)</f>
        <v>0</v>
      </c>
      <c r="P1454" s="119">
        <f>IF(tech_base!$T270&gt;P$1185,"",P1734+P2014)</f>
        <v>0</v>
      </c>
      <c r="Q1454" s="119">
        <f>IF(tech_base!$T270&gt;Q$1185,"",Q1734+Q2014)</f>
        <v>0</v>
      </c>
      <c r="R1454" s="119">
        <f>IF(tech_base!$T270&gt;R$1185,"",R1734+R2014)</f>
        <v>0</v>
      </c>
      <c r="S1454" s="119">
        <f>IF(tech_base!$T270&gt;S$1185,"",S1734+S2014)</f>
        <v>0</v>
      </c>
      <c r="T1454" s="119">
        <f>IF(tech_base!$T270&gt;T$1185,"",T1734+T2014)</f>
        <v>0</v>
      </c>
      <c r="U1454" s="119">
        <f>IF(tech_base!$T270&gt;U$1185,"",U1734+U2014)</f>
        <v>0</v>
      </c>
      <c r="V1454" s="119">
        <f>IF(tech_base!$T270&gt;V$1185,"",V1734+V2014)</f>
        <v>0</v>
      </c>
      <c r="W1454" s="119">
        <f>IF(tech_base!$T270&gt;W$1185,"",W1734+W2014)</f>
        <v>0</v>
      </c>
      <c r="X1454" s="119">
        <f>IF(tech_base!$T270&gt;X$1185,"",X1734+X2014)</f>
        <v>0</v>
      </c>
      <c r="Y1454" s="119">
        <f>IF(tech_base!$T270&gt;Y$1185,"",Y1734+Y2014)</f>
        <v>0</v>
      </c>
      <c r="Z1454" s="119">
        <f>IF(tech_base!$T270&gt;Z$1185,"",Z1734+Z2014)</f>
        <v>0</v>
      </c>
      <c r="AA1454" s="119">
        <f>IF(tech_base!$T270&gt;AA$1185,"",AA1734+AA2014)</f>
        <v>0</v>
      </c>
      <c r="AB1454" s="119">
        <f>IF(tech_base!$T270&gt;AB$1185,"",AB1734+AB2014)</f>
        <v>0</v>
      </c>
      <c r="AC1454" s="119">
        <f>IF(tech_base!$T270&gt;AC$1185,"",AC1734+AC2014)</f>
        <v>0</v>
      </c>
      <c r="AD1454" s="119">
        <f>IF(tech_base!$T270&gt;AD$1185,"",AD1734+AD2014)</f>
        <v>0</v>
      </c>
      <c r="AE1454" s="119">
        <f>IF(tech_base!$T270&gt;AE$1185,"",AE1734+AE2014)</f>
        <v>0</v>
      </c>
      <c r="AF1454" s="119">
        <f>IF(tech_base!$T270&gt;AF$1185,"",AF1734+AF2014)</f>
        <v>0</v>
      </c>
      <c r="AG1454" s="119">
        <f>IF(tech_base!$T270&gt;AG$1185,"",AG1734+AG2014)</f>
        <v>0</v>
      </c>
      <c r="AH1454" s="119">
        <f>IF(tech_base!$T270&gt;AH$1185,"",AH1734+AH2014)</f>
        <v>0</v>
      </c>
      <c r="AI1454" s="119">
        <f>IF(tech_base!$T270&gt;AI$1185,"",AI1734+AI2014)</f>
        <v>0</v>
      </c>
      <c r="AJ1454" s="119">
        <f>IF(tech_base!$T270&gt;AJ$1185,"",AJ1734+AJ2014)</f>
        <v>0</v>
      </c>
      <c r="AK1454" s="119">
        <f>IF(tech_base!$T270&gt;AK$1185,"",AK1734+AK2014)</f>
        <v>0</v>
      </c>
      <c r="AL1454" s="119">
        <f>IF(tech_base!$T270&gt;AL$1185,"",AL1734+AL2014)</f>
        <v>0</v>
      </c>
      <c r="AM1454" s="119">
        <f>IF(tech_base!$T270&gt;AM$1185,"",AM1734+AM2014)</f>
        <v>0</v>
      </c>
      <c r="AN1454" s="119">
        <f>IF(tech_base!$T270&gt;AN$1185,"",AN1734+AN2014)</f>
        <v>0</v>
      </c>
      <c r="AO1454" s="119">
        <f>IF(tech_base!$T270&gt;AO$1185,"",AO1734+AO2014)</f>
        <v>0</v>
      </c>
      <c r="AP1454" s="119">
        <f>IF(tech_base!$T270&gt;AP$1185,"",AP1734+AP2014)</f>
        <v>0</v>
      </c>
      <c r="AQ1454" s="119">
        <f>IF(tech_base!$T270&gt;AQ$1185,"",AQ1734+AQ2014)</f>
        <v>0</v>
      </c>
      <c r="AR1454" s="119">
        <f>IF(tech_base!$T270&gt;AR$1185,"",AR1734+AR2014)</f>
        <v>0</v>
      </c>
      <c r="AS1454" s="119">
        <f>IF(tech_base!$T270&gt;AS$1185,"",AS1734+AS2014)</f>
        <v>0</v>
      </c>
      <c r="AT1454" s="119">
        <f>IF(tech_base!$T270&gt;AT$1185,"",AT1734+AT2014)</f>
        <v>0</v>
      </c>
      <c r="AU1454" s="119">
        <f>IF(tech_base!$T270&gt;AU$1185,"",AU1734+AU2014)</f>
        <v>0</v>
      </c>
      <c r="AV1454" s="119">
        <f>IF(tech_base!$T270&gt;AV$1185,"",AV1734+AV2014)</f>
        <v>0</v>
      </c>
      <c r="AW1454" s="119">
        <f>IF(tech_base!$T270&gt;AW$1185,"",AW1734+AW2014)</f>
        <v>0</v>
      </c>
      <c r="AX1454" s="120">
        <f>IF(tech_base!$T270&gt;AX$1185,"",AX1734+AX2014)</f>
        <v>0</v>
      </c>
    </row>
    <row r="1455" spans="1:50" x14ac:dyDescent="0.25">
      <c r="A1455" s="382"/>
      <c r="B1455" s="376"/>
      <c r="C1455" s="378"/>
      <c r="D1455" s="2" t="s">
        <v>8</v>
      </c>
      <c r="E1455" s="160" t="str">
        <f>A1454&amp;"/"&amp;B1454&amp;"/"&amp;C1454&amp;"/"&amp;D1455</f>
        <v>Pump storage/Pump storage/Electricity only/M</v>
      </c>
      <c r="F1455" s="76" t="str">
        <f>A1454</f>
        <v>Pump storage</v>
      </c>
      <c r="G1455" s="76" t="str">
        <f>B1454</f>
        <v>Pump storage</v>
      </c>
      <c r="H1455" s="76" t="str">
        <f>C1454</f>
        <v>Electricity only</v>
      </c>
      <c r="I1455" s="161" t="str">
        <f t="shared" si="376"/>
        <v>M</v>
      </c>
      <c r="J1455" s="119">
        <f>IF(tech_base!$T271&gt;J$1185,"",J1735+J2015)</f>
        <v>0</v>
      </c>
      <c r="K1455" s="119">
        <f>IF(tech_base!$T271&gt;K$1185,"",K1735+K2015)</f>
        <v>0</v>
      </c>
      <c r="L1455" s="119">
        <f>IF(tech_base!$T271&gt;L$1185,"",L1735+L2015)</f>
        <v>0</v>
      </c>
      <c r="M1455" s="119">
        <f>IF(tech_base!$T271&gt;M$1185,"",M1735+M2015)</f>
        <v>0</v>
      </c>
      <c r="N1455" s="119">
        <f>IF(tech_base!$T271&gt;N$1185,"",N1735+N2015)</f>
        <v>0</v>
      </c>
      <c r="O1455" s="119">
        <f>IF(tech_base!$T271&gt;O$1185,"",O1735+O2015)</f>
        <v>0</v>
      </c>
      <c r="P1455" s="119">
        <f>IF(tech_base!$T271&gt;P$1185,"",P1735+P2015)</f>
        <v>0</v>
      </c>
      <c r="Q1455" s="119">
        <f>IF(tech_base!$T271&gt;Q$1185,"",Q1735+Q2015)</f>
        <v>0</v>
      </c>
      <c r="R1455" s="119">
        <f>IF(tech_base!$T271&gt;R$1185,"",R1735+R2015)</f>
        <v>0</v>
      </c>
      <c r="S1455" s="119">
        <f>IF(tech_base!$T271&gt;S$1185,"",S1735+S2015)</f>
        <v>0</v>
      </c>
      <c r="T1455" s="119">
        <f>IF(tech_base!$T271&gt;T$1185,"",T1735+T2015)</f>
        <v>0</v>
      </c>
      <c r="U1455" s="119">
        <f>IF(tech_base!$T271&gt;U$1185,"",U1735+U2015)</f>
        <v>0</v>
      </c>
      <c r="V1455" s="119">
        <f>IF(tech_base!$T271&gt;V$1185,"",V1735+V2015)</f>
        <v>0</v>
      </c>
      <c r="W1455" s="119">
        <f>IF(tech_base!$T271&gt;W$1185,"",W1735+W2015)</f>
        <v>0</v>
      </c>
      <c r="X1455" s="119">
        <f>IF(tech_base!$T271&gt;X$1185,"",X1735+X2015)</f>
        <v>0</v>
      </c>
      <c r="Y1455" s="119">
        <f>IF(tech_base!$T271&gt;Y$1185,"",Y1735+Y2015)</f>
        <v>0</v>
      </c>
      <c r="Z1455" s="119">
        <f>IF(tech_base!$T271&gt;Z$1185,"",Z1735+Z2015)</f>
        <v>0</v>
      </c>
      <c r="AA1455" s="119">
        <f>IF(tech_base!$T271&gt;AA$1185,"",AA1735+AA2015)</f>
        <v>0</v>
      </c>
      <c r="AB1455" s="119">
        <f>IF(tech_base!$T271&gt;AB$1185,"",AB1735+AB2015)</f>
        <v>0</v>
      </c>
      <c r="AC1455" s="119">
        <f>IF(tech_base!$T271&gt;AC$1185,"",AC1735+AC2015)</f>
        <v>0</v>
      </c>
      <c r="AD1455" s="119">
        <f>IF(tech_base!$T271&gt;AD$1185,"",AD1735+AD2015)</f>
        <v>0</v>
      </c>
      <c r="AE1455" s="119">
        <f>IF(tech_base!$T271&gt;AE$1185,"",AE1735+AE2015)</f>
        <v>0</v>
      </c>
      <c r="AF1455" s="119">
        <f>IF(tech_base!$T271&gt;AF$1185,"",AF1735+AF2015)</f>
        <v>0</v>
      </c>
      <c r="AG1455" s="119">
        <f>IF(tech_base!$T271&gt;AG$1185,"",AG1735+AG2015)</f>
        <v>0</v>
      </c>
      <c r="AH1455" s="119">
        <f>IF(tech_base!$T271&gt;AH$1185,"",AH1735+AH2015)</f>
        <v>0</v>
      </c>
      <c r="AI1455" s="119">
        <f>IF(tech_base!$T271&gt;AI$1185,"",AI1735+AI2015)</f>
        <v>0</v>
      </c>
      <c r="AJ1455" s="119">
        <f>IF(tech_base!$T271&gt;AJ$1185,"",AJ1735+AJ2015)</f>
        <v>0</v>
      </c>
      <c r="AK1455" s="119">
        <f>IF(tech_base!$T271&gt;AK$1185,"",AK1735+AK2015)</f>
        <v>0</v>
      </c>
      <c r="AL1455" s="119">
        <f>IF(tech_base!$T271&gt;AL$1185,"",AL1735+AL2015)</f>
        <v>0</v>
      </c>
      <c r="AM1455" s="119">
        <f>IF(tech_base!$T271&gt;AM$1185,"",AM1735+AM2015)</f>
        <v>0</v>
      </c>
      <c r="AN1455" s="119">
        <f>IF(tech_base!$T271&gt;AN$1185,"",AN1735+AN2015)</f>
        <v>0</v>
      </c>
      <c r="AO1455" s="119">
        <f>IF(tech_base!$T271&gt;AO$1185,"",AO1735+AO2015)</f>
        <v>0</v>
      </c>
      <c r="AP1455" s="119">
        <f>IF(tech_base!$T271&gt;AP$1185,"",AP1735+AP2015)</f>
        <v>0</v>
      </c>
      <c r="AQ1455" s="119">
        <f>IF(tech_base!$T271&gt;AQ$1185,"",AQ1735+AQ2015)</f>
        <v>0</v>
      </c>
      <c r="AR1455" s="119">
        <f>IF(tech_base!$T271&gt;AR$1185,"",AR1735+AR2015)</f>
        <v>0</v>
      </c>
      <c r="AS1455" s="119">
        <f>IF(tech_base!$T271&gt;AS$1185,"",AS1735+AS2015)</f>
        <v>0</v>
      </c>
      <c r="AT1455" s="119">
        <f>IF(tech_base!$T271&gt;AT$1185,"",AT1735+AT2015)</f>
        <v>0</v>
      </c>
      <c r="AU1455" s="119">
        <f>IF(tech_base!$T271&gt;AU$1185,"",AU1735+AU2015)</f>
        <v>0</v>
      </c>
      <c r="AV1455" s="119">
        <f>IF(tech_base!$T271&gt;AV$1185,"",AV1735+AV2015)</f>
        <v>0</v>
      </c>
      <c r="AW1455" s="119">
        <f>IF(tech_base!$T271&gt;AW$1185,"",AW1735+AW2015)</f>
        <v>0</v>
      </c>
      <c r="AX1455" s="120">
        <f>IF(tech_base!$T271&gt;AX$1185,"",AX1735+AX2015)</f>
        <v>0</v>
      </c>
    </row>
    <row r="1456" spans="1:50" x14ac:dyDescent="0.25">
      <c r="A1456" s="382"/>
      <c r="B1456" s="376"/>
      <c r="C1456" s="378"/>
      <c r="D1456" s="2" t="s">
        <v>10</v>
      </c>
      <c r="E1456" s="160" t="str">
        <f>A1454&amp;"/"&amp;B1454&amp;"/"&amp;C1454&amp;"/"&amp;D1456</f>
        <v>Pump storage/Pump storage/Electricity only/S</v>
      </c>
      <c r="F1456" s="76" t="str">
        <f>A1454</f>
        <v>Pump storage</v>
      </c>
      <c r="G1456" s="76" t="str">
        <f>B1454</f>
        <v>Pump storage</v>
      </c>
      <c r="H1456" s="76" t="str">
        <f>C1454</f>
        <v>Electricity only</v>
      </c>
      <c r="I1456" s="161" t="str">
        <f t="shared" si="376"/>
        <v>S</v>
      </c>
      <c r="J1456" s="119">
        <f>IF(tech_base!$T272&gt;J$1185,"",J1736+J2016)</f>
        <v>0</v>
      </c>
      <c r="K1456" s="119">
        <f>IF(tech_base!$T272&gt;K$1185,"",K1736+K2016)</f>
        <v>0</v>
      </c>
      <c r="L1456" s="119">
        <f>IF(tech_base!$T272&gt;L$1185,"",L1736+L2016)</f>
        <v>0</v>
      </c>
      <c r="M1456" s="119">
        <f>IF(tech_base!$T272&gt;M$1185,"",M1736+M2016)</f>
        <v>0</v>
      </c>
      <c r="N1456" s="119">
        <f>IF(tech_base!$T272&gt;N$1185,"",N1736+N2016)</f>
        <v>0</v>
      </c>
      <c r="O1456" s="119">
        <f>IF(tech_base!$T272&gt;O$1185,"",O1736+O2016)</f>
        <v>0</v>
      </c>
      <c r="P1456" s="119">
        <f>IF(tech_base!$T272&gt;P$1185,"",P1736+P2016)</f>
        <v>0</v>
      </c>
      <c r="Q1456" s="119">
        <f>IF(tech_base!$T272&gt;Q$1185,"",Q1736+Q2016)</f>
        <v>0</v>
      </c>
      <c r="R1456" s="119">
        <f>IF(tech_base!$T272&gt;R$1185,"",R1736+R2016)</f>
        <v>0</v>
      </c>
      <c r="S1456" s="119">
        <f>IF(tech_base!$T272&gt;S$1185,"",S1736+S2016)</f>
        <v>0</v>
      </c>
      <c r="T1456" s="119">
        <f>IF(tech_base!$T272&gt;T$1185,"",T1736+T2016)</f>
        <v>0</v>
      </c>
      <c r="U1456" s="119">
        <f>IF(tech_base!$T272&gt;U$1185,"",U1736+U2016)</f>
        <v>0</v>
      </c>
      <c r="V1456" s="119">
        <f>IF(tech_base!$T272&gt;V$1185,"",V1736+V2016)</f>
        <v>0</v>
      </c>
      <c r="W1456" s="119">
        <f>IF(tech_base!$T272&gt;W$1185,"",W1736+W2016)</f>
        <v>0</v>
      </c>
      <c r="X1456" s="119">
        <f>IF(tech_base!$T272&gt;X$1185,"",X1736+X2016)</f>
        <v>0</v>
      </c>
      <c r="Y1456" s="119">
        <f>IF(tech_base!$T272&gt;Y$1185,"",Y1736+Y2016)</f>
        <v>0</v>
      </c>
      <c r="Z1456" s="119">
        <f>IF(tech_base!$T272&gt;Z$1185,"",Z1736+Z2016)</f>
        <v>0</v>
      </c>
      <c r="AA1456" s="119">
        <f>IF(tech_base!$T272&gt;AA$1185,"",AA1736+AA2016)</f>
        <v>0</v>
      </c>
      <c r="AB1456" s="119">
        <f>IF(tech_base!$T272&gt;AB$1185,"",AB1736+AB2016)</f>
        <v>0</v>
      </c>
      <c r="AC1456" s="119">
        <f>IF(tech_base!$T272&gt;AC$1185,"",AC1736+AC2016)</f>
        <v>0</v>
      </c>
      <c r="AD1456" s="119">
        <f>IF(tech_base!$T272&gt;AD$1185,"",AD1736+AD2016)</f>
        <v>0</v>
      </c>
      <c r="AE1456" s="119">
        <f>IF(tech_base!$T272&gt;AE$1185,"",AE1736+AE2016)</f>
        <v>0</v>
      </c>
      <c r="AF1456" s="119">
        <f>IF(tech_base!$T272&gt;AF$1185,"",AF1736+AF2016)</f>
        <v>0</v>
      </c>
      <c r="AG1456" s="119">
        <f>IF(tech_base!$T272&gt;AG$1185,"",AG1736+AG2016)</f>
        <v>0</v>
      </c>
      <c r="AH1456" s="119">
        <f>IF(tech_base!$T272&gt;AH$1185,"",AH1736+AH2016)</f>
        <v>0</v>
      </c>
      <c r="AI1456" s="119">
        <f>IF(tech_base!$T272&gt;AI$1185,"",AI1736+AI2016)</f>
        <v>0</v>
      </c>
      <c r="AJ1456" s="119">
        <f>IF(tech_base!$T272&gt;AJ$1185,"",AJ1736+AJ2016)</f>
        <v>0</v>
      </c>
      <c r="AK1456" s="119">
        <f>IF(tech_base!$T272&gt;AK$1185,"",AK1736+AK2016)</f>
        <v>0</v>
      </c>
      <c r="AL1456" s="119">
        <f>IF(tech_base!$T272&gt;AL$1185,"",AL1736+AL2016)</f>
        <v>0</v>
      </c>
      <c r="AM1456" s="119">
        <f>IF(tech_base!$T272&gt;AM$1185,"",AM1736+AM2016)</f>
        <v>0</v>
      </c>
      <c r="AN1456" s="119">
        <f>IF(tech_base!$T272&gt;AN$1185,"",AN1736+AN2016)</f>
        <v>0</v>
      </c>
      <c r="AO1456" s="119">
        <f>IF(tech_base!$T272&gt;AO$1185,"",AO1736+AO2016)</f>
        <v>0</v>
      </c>
      <c r="AP1456" s="119">
        <f>IF(tech_base!$T272&gt;AP$1185,"",AP1736+AP2016)</f>
        <v>0</v>
      </c>
      <c r="AQ1456" s="119">
        <f>IF(tech_base!$T272&gt;AQ$1185,"",AQ1736+AQ2016)</f>
        <v>0</v>
      </c>
      <c r="AR1456" s="119">
        <f>IF(tech_base!$T272&gt;AR$1185,"",AR1736+AR2016)</f>
        <v>0</v>
      </c>
      <c r="AS1456" s="119">
        <f>IF(tech_base!$T272&gt;AS$1185,"",AS1736+AS2016)</f>
        <v>0</v>
      </c>
      <c r="AT1456" s="119">
        <f>IF(tech_base!$T272&gt;AT$1185,"",AT1736+AT2016)</f>
        <v>0</v>
      </c>
      <c r="AU1456" s="119">
        <f>IF(tech_base!$T272&gt;AU$1185,"",AU1736+AU2016)</f>
        <v>0</v>
      </c>
      <c r="AV1456" s="119">
        <f>IF(tech_base!$T272&gt;AV$1185,"",AV1736+AV2016)</f>
        <v>0</v>
      </c>
      <c r="AW1456" s="119">
        <f>IF(tech_base!$T272&gt;AW$1185,"",AW1736+AW2016)</f>
        <v>0</v>
      </c>
      <c r="AX1456" s="120">
        <f>IF(tech_base!$T272&gt;AX$1185,"",AX1736+AX2016)</f>
        <v>0</v>
      </c>
    </row>
    <row r="1457" spans="1:52" ht="11" thickBot="1" x14ac:dyDescent="0.3">
      <c r="A1457" s="383"/>
      <c r="B1457" s="384"/>
      <c r="C1457" s="385"/>
      <c r="D1457" s="158" t="s">
        <v>20</v>
      </c>
      <c r="E1457" s="172" t="str">
        <f>A1454&amp;"/"&amp;B1454&amp;"/"&amp;C1454&amp;"/"&amp;D1457</f>
        <v>Pump storage/Pump storage/Electricity only/XS</v>
      </c>
      <c r="F1457" s="82" t="str">
        <f>A1454</f>
        <v>Pump storage</v>
      </c>
      <c r="G1457" s="82" t="str">
        <f>B1454</f>
        <v>Pump storage</v>
      </c>
      <c r="H1457" s="82" t="str">
        <f>C1454</f>
        <v>Electricity only</v>
      </c>
      <c r="I1457" s="173" t="str">
        <f t="shared" si="376"/>
        <v>XS</v>
      </c>
      <c r="J1457" s="131">
        <f>IF(tech_base!$T273&gt;J$1185,"",J1737+J2017)</f>
        <v>0</v>
      </c>
      <c r="K1457" s="131">
        <f>IF(tech_base!$T273&gt;K$1185,"",K1737+K2017)</f>
        <v>0</v>
      </c>
      <c r="L1457" s="131">
        <f>IF(tech_base!$T273&gt;L$1185,"",L1737+L2017)</f>
        <v>0</v>
      </c>
      <c r="M1457" s="131">
        <f>IF(tech_base!$T273&gt;M$1185,"",M1737+M2017)</f>
        <v>0</v>
      </c>
      <c r="N1457" s="131">
        <f>IF(tech_base!$T273&gt;N$1185,"",N1737+N2017)</f>
        <v>0</v>
      </c>
      <c r="O1457" s="131">
        <f>IF(tech_base!$T273&gt;O$1185,"",O1737+O2017)</f>
        <v>0</v>
      </c>
      <c r="P1457" s="131">
        <f>IF(tech_base!$T273&gt;P$1185,"",P1737+P2017)</f>
        <v>0</v>
      </c>
      <c r="Q1457" s="131">
        <f>IF(tech_base!$T273&gt;Q$1185,"",Q1737+Q2017)</f>
        <v>0</v>
      </c>
      <c r="R1457" s="131">
        <f>IF(tech_base!$T273&gt;R$1185,"",R1737+R2017)</f>
        <v>0</v>
      </c>
      <c r="S1457" s="131">
        <f>IF(tech_base!$T273&gt;S$1185,"",S1737+S2017)</f>
        <v>0</v>
      </c>
      <c r="T1457" s="131">
        <f>IF(tech_base!$T273&gt;T$1185,"",T1737+T2017)</f>
        <v>0</v>
      </c>
      <c r="U1457" s="131">
        <f>IF(tech_base!$T273&gt;U$1185,"",U1737+U2017)</f>
        <v>0</v>
      </c>
      <c r="V1457" s="131">
        <f>IF(tech_base!$T273&gt;V$1185,"",V1737+V2017)</f>
        <v>0</v>
      </c>
      <c r="W1457" s="131">
        <f>IF(tech_base!$T273&gt;W$1185,"",W1737+W2017)</f>
        <v>0</v>
      </c>
      <c r="X1457" s="131">
        <f>IF(tech_base!$T273&gt;X$1185,"",X1737+X2017)</f>
        <v>0</v>
      </c>
      <c r="Y1457" s="131">
        <f>IF(tech_base!$T273&gt;Y$1185,"",Y1737+Y2017)</f>
        <v>0</v>
      </c>
      <c r="Z1457" s="131">
        <f>IF(tech_base!$T273&gt;Z$1185,"",Z1737+Z2017)</f>
        <v>0</v>
      </c>
      <c r="AA1457" s="131">
        <f>IF(tech_base!$T273&gt;AA$1185,"",AA1737+AA2017)</f>
        <v>0</v>
      </c>
      <c r="AB1457" s="131">
        <f>IF(tech_base!$T273&gt;AB$1185,"",AB1737+AB2017)</f>
        <v>0</v>
      </c>
      <c r="AC1457" s="131">
        <f>IF(tech_base!$T273&gt;AC$1185,"",AC1737+AC2017)</f>
        <v>0</v>
      </c>
      <c r="AD1457" s="131">
        <f>IF(tech_base!$T273&gt;AD$1185,"",AD1737+AD2017)</f>
        <v>0</v>
      </c>
      <c r="AE1457" s="131">
        <f>IF(tech_base!$T273&gt;AE$1185,"",AE1737+AE2017)</f>
        <v>0</v>
      </c>
      <c r="AF1457" s="131">
        <f>IF(tech_base!$T273&gt;AF$1185,"",AF1737+AF2017)</f>
        <v>0</v>
      </c>
      <c r="AG1457" s="131">
        <f>IF(tech_base!$T273&gt;AG$1185,"",AG1737+AG2017)</f>
        <v>0</v>
      </c>
      <c r="AH1457" s="131">
        <f>IF(tech_base!$T273&gt;AH$1185,"",AH1737+AH2017)</f>
        <v>0</v>
      </c>
      <c r="AI1457" s="131">
        <f>IF(tech_base!$T273&gt;AI$1185,"",AI1737+AI2017)</f>
        <v>0</v>
      </c>
      <c r="AJ1457" s="131">
        <f>IF(tech_base!$T273&gt;AJ$1185,"",AJ1737+AJ2017)</f>
        <v>0</v>
      </c>
      <c r="AK1457" s="131">
        <f>IF(tech_base!$T273&gt;AK$1185,"",AK1737+AK2017)</f>
        <v>0</v>
      </c>
      <c r="AL1457" s="131">
        <f>IF(tech_base!$T273&gt;AL$1185,"",AL1737+AL2017)</f>
        <v>0</v>
      </c>
      <c r="AM1457" s="131">
        <f>IF(tech_base!$T273&gt;AM$1185,"",AM1737+AM2017)</f>
        <v>0</v>
      </c>
      <c r="AN1457" s="131">
        <f>IF(tech_base!$T273&gt;AN$1185,"",AN1737+AN2017)</f>
        <v>0</v>
      </c>
      <c r="AO1457" s="131">
        <f>IF(tech_base!$T273&gt;AO$1185,"",AO1737+AO2017)</f>
        <v>0</v>
      </c>
      <c r="AP1457" s="131">
        <f>IF(tech_base!$T273&gt;AP$1185,"",AP1737+AP2017)</f>
        <v>0</v>
      </c>
      <c r="AQ1457" s="131">
        <f>IF(tech_base!$T273&gt;AQ$1185,"",AQ1737+AQ2017)</f>
        <v>0</v>
      </c>
      <c r="AR1457" s="131">
        <f>IF(tech_base!$T273&gt;AR$1185,"",AR1737+AR2017)</f>
        <v>0</v>
      </c>
      <c r="AS1457" s="131">
        <f>IF(tech_base!$T273&gt;AS$1185,"",AS1737+AS2017)</f>
        <v>0</v>
      </c>
      <c r="AT1457" s="131">
        <f>IF(tech_base!$T273&gt;AT$1185,"",AT1737+AT2017)</f>
        <v>0</v>
      </c>
      <c r="AU1457" s="131">
        <f>IF(tech_base!$T273&gt;AU$1185,"",AU1737+AU2017)</f>
        <v>0</v>
      </c>
      <c r="AV1457" s="131">
        <f>IF(tech_base!$T273&gt;AV$1185,"",AV1737+AV2017)</f>
        <v>0</v>
      </c>
      <c r="AW1457" s="131">
        <f>IF(tech_base!$T273&gt;AW$1185,"",AW1737+AW2017)</f>
        <v>0</v>
      </c>
      <c r="AX1457" s="132">
        <f>IF(tech_base!$T273&gt;AX$1185,"",AX1737+AX2017)</f>
        <v>0</v>
      </c>
    </row>
    <row r="1458" spans="1:52" ht="14.5" x14ac:dyDescent="0.35">
      <c r="A1458"/>
      <c r="B1458"/>
      <c r="C1458"/>
      <c r="D1458"/>
      <c r="E1458"/>
      <c r="F1458"/>
      <c r="G1458"/>
      <c r="H1458"/>
      <c r="I1458"/>
      <c r="J1458"/>
      <c r="K1458"/>
      <c r="L1458"/>
      <c r="M1458"/>
      <c r="N1458"/>
      <c r="O1458"/>
      <c r="P1458"/>
      <c r="Q1458"/>
      <c r="R1458"/>
      <c r="S1458"/>
      <c r="T1458"/>
      <c r="U1458"/>
      <c r="V1458"/>
      <c r="W1458"/>
      <c r="X1458"/>
      <c r="Y1458"/>
      <c r="Z1458"/>
      <c r="AA1458"/>
      <c r="AB1458"/>
      <c r="AC1458"/>
      <c r="AD1458"/>
      <c r="AE1458"/>
      <c r="AF1458"/>
      <c r="AG1458"/>
      <c r="AH1458"/>
      <c r="AI1458"/>
      <c r="AJ1458"/>
      <c r="AK1458"/>
      <c r="AL1458"/>
      <c r="AM1458"/>
      <c r="AN1458"/>
      <c r="AO1458"/>
      <c r="AP1458"/>
      <c r="AQ1458"/>
      <c r="AR1458"/>
      <c r="AS1458"/>
      <c r="AT1458"/>
      <c r="AU1458"/>
      <c r="AV1458"/>
      <c r="AW1458"/>
      <c r="AX1458"/>
    </row>
    <row r="1459" spans="1:52" ht="14.5" x14ac:dyDescent="0.35">
      <c r="A1459"/>
      <c r="B1459"/>
      <c r="C1459"/>
      <c r="D1459"/>
      <c r="E1459"/>
      <c r="F1459"/>
      <c r="G1459"/>
      <c r="H1459"/>
      <c r="I1459"/>
      <c r="J1459"/>
      <c r="K1459"/>
      <c r="L1459"/>
      <c r="M1459"/>
      <c r="N1459"/>
      <c r="O1459"/>
      <c r="P1459"/>
      <c r="Q1459"/>
      <c r="R1459"/>
      <c r="S1459"/>
      <c r="T1459"/>
      <c r="U1459"/>
      <c r="V1459"/>
      <c r="W1459"/>
      <c r="X1459"/>
      <c r="Y1459"/>
      <c r="Z1459"/>
      <c r="AA1459"/>
      <c r="AB1459"/>
      <c r="AC1459"/>
      <c r="AD1459"/>
      <c r="AE1459"/>
      <c r="AF1459"/>
      <c r="AG1459"/>
      <c r="AH1459"/>
      <c r="AI1459"/>
      <c r="AJ1459"/>
      <c r="AK1459"/>
      <c r="AL1459"/>
      <c r="AM1459"/>
      <c r="AN1459"/>
      <c r="AO1459"/>
      <c r="AP1459"/>
      <c r="AQ1459"/>
      <c r="AR1459"/>
      <c r="AS1459"/>
      <c r="AT1459"/>
      <c r="AU1459"/>
      <c r="AV1459"/>
      <c r="AW1459"/>
      <c r="AX1459"/>
    </row>
    <row r="1460" spans="1:52" ht="14.5" x14ac:dyDescent="0.35">
      <c r="A1460"/>
      <c r="B1460"/>
      <c r="C1460"/>
      <c r="D1460"/>
      <c r="E1460"/>
      <c r="F1460"/>
      <c r="G1460"/>
      <c r="H1460"/>
      <c r="I1460"/>
      <c r="J1460"/>
      <c r="K1460"/>
      <c r="L1460"/>
      <c r="M1460"/>
      <c r="N1460"/>
      <c r="O1460"/>
      <c r="P1460"/>
      <c r="Q1460"/>
      <c r="R1460"/>
      <c r="S1460"/>
      <c r="T1460"/>
      <c r="U1460"/>
      <c r="V1460"/>
      <c r="W1460"/>
      <c r="X1460"/>
      <c r="Y1460"/>
      <c r="Z1460"/>
      <c r="AA1460"/>
      <c r="AB1460"/>
      <c r="AC1460"/>
      <c r="AD1460"/>
      <c r="AE1460"/>
      <c r="AF1460"/>
      <c r="AG1460"/>
      <c r="AH1460"/>
      <c r="AI1460"/>
      <c r="AJ1460"/>
      <c r="AK1460"/>
      <c r="AL1460"/>
      <c r="AM1460"/>
      <c r="AN1460"/>
      <c r="AO1460"/>
      <c r="AP1460"/>
      <c r="AQ1460"/>
      <c r="AR1460"/>
      <c r="AS1460"/>
      <c r="AT1460"/>
      <c r="AU1460"/>
      <c r="AV1460"/>
      <c r="AW1460"/>
      <c r="AX1460"/>
    </row>
    <row r="1461" spans="1:52" ht="14.5" x14ac:dyDescent="0.35">
      <c r="A1461"/>
      <c r="B1461"/>
      <c r="C1461"/>
      <c r="D1461"/>
      <c r="E1461"/>
      <c r="F1461"/>
      <c r="G1461"/>
      <c r="H1461"/>
      <c r="I1461"/>
      <c r="J1461"/>
      <c r="K1461"/>
      <c r="L1461"/>
      <c r="M1461"/>
      <c r="N1461"/>
      <c r="O1461"/>
      <c r="P1461"/>
      <c r="Q1461"/>
      <c r="R1461"/>
      <c r="S1461"/>
      <c r="T1461"/>
      <c r="U1461"/>
      <c r="V1461"/>
      <c r="W1461"/>
      <c r="X1461"/>
      <c r="Y1461"/>
      <c r="Z1461"/>
      <c r="AA1461"/>
      <c r="AB1461"/>
      <c r="AC1461"/>
      <c r="AD1461"/>
      <c r="AE1461"/>
      <c r="AF1461"/>
      <c r="AG1461"/>
      <c r="AH1461"/>
      <c r="AI1461"/>
      <c r="AJ1461"/>
      <c r="AK1461"/>
      <c r="AL1461"/>
      <c r="AM1461"/>
      <c r="AN1461"/>
      <c r="AO1461"/>
      <c r="AP1461"/>
      <c r="AQ1461"/>
      <c r="AR1461"/>
      <c r="AS1461"/>
      <c r="AT1461"/>
      <c r="AU1461"/>
      <c r="AV1461"/>
      <c r="AW1461"/>
      <c r="AX1461"/>
    </row>
    <row r="1462" spans="1:52" ht="14.5" x14ac:dyDescent="0.35">
      <c r="A1462"/>
      <c r="B1462"/>
      <c r="C1462"/>
      <c r="D1462"/>
      <c r="E1462"/>
      <c r="F1462"/>
      <c r="G1462"/>
      <c r="H1462"/>
      <c r="I1462"/>
      <c r="J1462"/>
      <c r="K1462"/>
      <c r="L1462"/>
      <c r="M1462"/>
      <c r="N1462"/>
      <c r="O1462"/>
      <c r="P1462"/>
      <c r="Q1462"/>
      <c r="R1462"/>
      <c r="S1462"/>
      <c r="T1462"/>
      <c r="U1462"/>
      <c r="V1462"/>
      <c r="W1462"/>
      <c r="X1462"/>
      <c r="Y1462"/>
      <c r="Z1462"/>
      <c r="AA1462"/>
      <c r="AB1462"/>
      <c r="AC1462"/>
      <c r="AD1462"/>
      <c r="AE1462"/>
      <c r="AF1462"/>
      <c r="AG1462"/>
      <c r="AH1462"/>
      <c r="AI1462"/>
      <c r="AJ1462"/>
      <c r="AK1462"/>
      <c r="AL1462"/>
      <c r="AM1462"/>
      <c r="AN1462"/>
      <c r="AO1462"/>
      <c r="AP1462"/>
      <c r="AQ1462"/>
      <c r="AR1462"/>
      <c r="AS1462"/>
      <c r="AT1462"/>
      <c r="AU1462"/>
      <c r="AV1462"/>
      <c r="AW1462"/>
      <c r="AX1462"/>
    </row>
    <row r="1463" spans="1:52" ht="15" thickBot="1" x14ac:dyDescent="0.4">
      <c r="A1463"/>
      <c r="B1463"/>
      <c r="C1463"/>
      <c r="D1463"/>
      <c r="E1463"/>
      <c r="F1463"/>
      <c r="G1463"/>
      <c r="H1463"/>
      <c r="I1463"/>
      <c r="J1463"/>
      <c r="K1463"/>
      <c r="L1463"/>
      <c r="M1463"/>
      <c r="N1463"/>
      <c r="O1463"/>
      <c r="P1463"/>
      <c r="Q1463"/>
      <c r="R1463"/>
      <c r="S1463"/>
      <c r="T1463"/>
      <c r="U1463"/>
      <c r="V1463"/>
      <c r="W1463"/>
      <c r="X1463"/>
      <c r="Y1463"/>
      <c r="Z1463"/>
      <c r="AA1463"/>
      <c r="AB1463"/>
      <c r="AC1463"/>
      <c r="AD1463"/>
      <c r="AE1463"/>
      <c r="AF1463"/>
      <c r="AG1463"/>
      <c r="AH1463"/>
      <c r="AI1463"/>
      <c r="AJ1463"/>
      <c r="AK1463"/>
      <c r="AL1463"/>
      <c r="AM1463"/>
      <c r="AN1463"/>
      <c r="AO1463"/>
      <c r="AP1463"/>
      <c r="AQ1463"/>
      <c r="AR1463"/>
      <c r="AS1463"/>
      <c r="AT1463"/>
      <c r="AU1463"/>
      <c r="AV1463"/>
      <c r="AW1463"/>
      <c r="AX1463"/>
    </row>
    <row r="1464" spans="1:52" x14ac:dyDescent="0.25">
      <c r="A1464" s="343" t="s">
        <v>49</v>
      </c>
      <c r="B1464" s="345" t="s">
        <v>50</v>
      </c>
      <c r="C1464" s="345" t="s">
        <v>51</v>
      </c>
      <c r="D1464" s="345" t="s">
        <v>52</v>
      </c>
      <c r="E1464" s="290"/>
      <c r="F1464" s="290"/>
      <c r="G1464" s="290"/>
      <c r="H1464" s="290"/>
      <c r="I1464" s="290"/>
      <c r="J1464" s="1" t="s">
        <v>76</v>
      </c>
      <c r="K1464" s="1"/>
      <c r="L1464" s="1"/>
      <c r="M1464" s="1"/>
      <c r="N1464" s="1"/>
      <c r="O1464" s="1"/>
      <c r="P1464" s="289"/>
      <c r="Q1464" s="289"/>
      <c r="R1464" s="289"/>
      <c r="S1464" s="289"/>
      <c r="T1464" s="289"/>
      <c r="U1464" s="289"/>
      <c r="V1464" s="289"/>
      <c r="W1464" s="289"/>
      <c r="X1464" s="289"/>
      <c r="Y1464" s="289"/>
      <c r="Z1464" s="289"/>
      <c r="AA1464" s="289"/>
      <c r="AB1464" s="289"/>
      <c r="AC1464" s="289"/>
      <c r="AD1464" s="289"/>
      <c r="AE1464" s="289"/>
      <c r="AF1464" s="289"/>
      <c r="AG1464" s="289"/>
      <c r="AH1464" s="289"/>
      <c r="AI1464" s="289"/>
      <c r="AJ1464" s="289"/>
      <c r="AK1464" s="289"/>
      <c r="AL1464" s="289"/>
      <c r="AM1464" s="289"/>
      <c r="AN1464" s="289"/>
      <c r="AO1464" s="289"/>
      <c r="AP1464" s="289"/>
      <c r="AQ1464" s="289"/>
      <c r="AR1464" s="289"/>
      <c r="AS1464" s="289"/>
      <c r="AT1464" s="289"/>
      <c r="AU1464" s="289"/>
      <c r="AV1464" s="289"/>
      <c r="AW1464" s="289"/>
      <c r="AX1464" s="301" t="s">
        <v>77</v>
      </c>
    </row>
    <row r="1465" spans="1:52" ht="11" thickBot="1" x14ac:dyDescent="0.3">
      <c r="A1465" s="344"/>
      <c r="B1465" s="346"/>
      <c r="C1465" s="346"/>
      <c r="D1465" s="346"/>
      <c r="E1465" s="291"/>
      <c r="F1465" s="291"/>
      <c r="G1465" s="291"/>
      <c r="H1465" s="291"/>
      <c r="I1465" s="291"/>
      <c r="J1465" s="68">
        <v>2010</v>
      </c>
      <c r="K1465" s="68">
        <v>2011</v>
      </c>
      <c r="L1465" s="68">
        <v>2012</v>
      </c>
      <c r="M1465" s="68">
        <v>2013</v>
      </c>
      <c r="N1465" s="68">
        <v>2014</v>
      </c>
      <c r="O1465" s="68">
        <v>2015</v>
      </c>
      <c r="P1465" s="68">
        <v>2016</v>
      </c>
      <c r="Q1465" s="68">
        <v>2017</v>
      </c>
      <c r="R1465" s="68">
        <v>2018</v>
      </c>
      <c r="S1465" s="68">
        <v>2019</v>
      </c>
      <c r="T1465" s="68">
        <v>2020</v>
      </c>
      <c r="U1465" s="68">
        <v>2021</v>
      </c>
      <c r="V1465" s="68">
        <v>2022</v>
      </c>
      <c r="W1465" s="68">
        <v>2023</v>
      </c>
      <c r="X1465" s="68">
        <v>2024</v>
      </c>
      <c r="Y1465" s="68">
        <v>2025</v>
      </c>
      <c r="Z1465" s="68">
        <v>2026</v>
      </c>
      <c r="AA1465" s="68">
        <v>2027</v>
      </c>
      <c r="AB1465" s="68">
        <v>2028</v>
      </c>
      <c r="AC1465" s="68">
        <v>2029</v>
      </c>
      <c r="AD1465" s="68">
        <v>2030</v>
      </c>
      <c r="AE1465" s="68">
        <v>2031</v>
      </c>
      <c r="AF1465" s="68">
        <v>2032</v>
      </c>
      <c r="AG1465" s="68">
        <v>2033</v>
      </c>
      <c r="AH1465" s="68">
        <v>2034</v>
      </c>
      <c r="AI1465" s="68">
        <v>2035</v>
      </c>
      <c r="AJ1465" s="68">
        <v>2036</v>
      </c>
      <c r="AK1465" s="68">
        <v>2037</v>
      </c>
      <c r="AL1465" s="68">
        <v>2038</v>
      </c>
      <c r="AM1465" s="68">
        <v>2039</v>
      </c>
      <c r="AN1465" s="68">
        <v>2040</v>
      </c>
      <c r="AO1465" s="68">
        <v>2041</v>
      </c>
      <c r="AP1465" s="68">
        <v>2042</v>
      </c>
      <c r="AQ1465" s="68">
        <v>2043</v>
      </c>
      <c r="AR1465" s="68">
        <v>2044</v>
      </c>
      <c r="AS1465" s="68">
        <v>2045</v>
      </c>
      <c r="AT1465" s="68">
        <v>2046</v>
      </c>
      <c r="AU1465" s="68">
        <v>2047</v>
      </c>
      <c r="AV1465" s="68">
        <v>2048</v>
      </c>
      <c r="AW1465" s="68">
        <v>2049</v>
      </c>
      <c r="AX1465" s="83">
        <v>2050</v>
      </c>
    </row>
    <row r="1466" spans="1:52" x14ac:dyDescent="0.25">
      <c r="A1466" s="347" t="s">
        <v>4</v>
      </c>
      <c r="B1466" s="349" t="s">
        <v>5</v>
      </c>
      <c r="C1466" s="350" t="s">
        <v>6</v>
      </c>
      <c r="D1466" s="2" t="s">
        <v>7</v>
      </c>
      <c r="E1466" s="160" t="str">
        <f>A1466&amp;"/"&amp;B1466&amp;"/"&amp;C1466&amp;"/"&amp;D1466</f>
        <v>Nuclear power plants/Nuclear - current/Electricity only/L</v>
      </c>
      <c r="F1466" s="76" t="str">
        <f>A1466</f>
        <v>Nuclear power plants</v>
      </c>
      <c r="G1466" s="76" t="str">
        <f>B1466</f>
        <v>Nuclear - current</v>
      </c>
      <c r="H1466" s="76" t="str">
        <f>C1466</f>
        <v>Electricity only</v>
      </c>
      <c r="I1466" s="161" t="str">
        <f>D1466</f>
        <v>L</v>
      </c>
      <c r="J1466" s="119">
        <f>IF(tech_base!$T2&gt;J$1465,"",(tech_base!$J2/tech_proj!J126*0.086*$N$110)/(1-tech_proj!J406))</f>
        <v>0</v>
      </c>
      <c r="K1466" s="119">
        <f>IF(tech_base!$T2&gt;K$1465,"",(tech_base!$J2/tech_proj!K126*0.086*$N$110)/(1-tech_proj!K406))</f>
        <v>0</v>
      </c>
      <c r="L1466" s="119">
        <f>IF(tech_base!$T2&gt;L$1465,"",(tech_base!$J2/tech_proj!L126*0.086*$N$110)/(1-tech_proj!L406))</f>
        <v>0</v>
      </c>
      <c r="M1466" s="119">
        <f>IF(tech_base!$T2&gt;M$1465,"",(tech_base!$J2/tech_proj!M126*0.086*$N$110)/(1-tech_proj!M406))</f>
        <v>0</v>
      </c>
      <c r="N1466" s="119">
        <f>IF(tech_base!$T2&gt;N$1465,"",(tech_base!$J2/tech_proj!N126*0.086*$N$110)/(1-tech_proj!N406))</f>
        <v>0</v>
      </c>
      <c r="O1466" s="119">
        <f>IF(tech_base!$T2&gt;O$1465,"",(tech_base!$J2/tech_proj!O126*0.086*$N$110)/(1-tech_proj!O406))</f>
        <v>0</v>
      </c>
      <c r="P1466" s="119">
        <f>IF(tech_base!$T2&gt;P$1465,"",(tech_base!$J2/tech_proj!P126*0.086*$N$110)/(1-tech_proj!P406))</f>
        <v>0</v>
      </c>
      <c r="Q1466" s="119">
        <f>IF(tech_base!$T2&gt;Q$1465,"",(tech_base!$J2/tech_proj!Q126*0.086*$N$110)/(1-tech_proj!Q406))</f>
        <v>0</v>
      </c>
      <c r="R1466" s="119">
        <f>IF(tech_base!$T2&gt;R$1465,"",(tech_base!$J2/tech_proj!R126*0.086*$N$110)/(1-tech_proj!R406))</f>
        <v>0</v>
      </c>
      <c r="S1466" s="119">
        <f>IF(tech_base!$T2&gt;S$1465,"",(tech_base!$J2/tech_proj!S126*0.086*$N$110)/(1-tech_proj!S406))</f>
        <v>0</v>
      </c>
      <c r="T1466" s="119">
        <f>IF(tech_base!$T2&gt;T$1465,"",(tech_base!$J2/tech_proj!T126*0.086*$N$110)/(1-tech_proj!T406))</f>
        <v>0</v>
      </c>
      <c r="U1466" s="119">
        <f>IF(tech_base!$T2&gt;U$1465,"",(tech_base!$J2/tech_proj!U126*0.086*$N$110)/(1-tech_proj!U406))</f>
        <v>0</v>
      </c>
      <c r="V1466" s="119">
        <f>IF(tech_base!$T2&gt;V$1465,"",(tech_base!$J2/tech_proj!V126*0.086*$N$110)/(1-tech_proj!V406))</f>
        <v>0</v>
      </c>
      <c r="W1466" s="119">
        <f>IF(tech_base!$T2&gt;W$1465,"",(tech_base!$J2/tech_proj!W126*0.086*$N$110)/(1-tech_proj!W406))</f>
        <v>0</v>
      </c>
      <c r="X1466" s="119">
        <f>IF(tech_base!$T2&gt;X$1465,"",(tech_base!$J2/tech_proj!X126*0.086*$N$110)/(1-tech_proj!X406))</f>
        <v>0</v>
      </c>
      <c r="Y1466" s="119">
        <f>IF(tech_base!$T2&gt;Y$1465,"",(tech_base!$J2/tech_proj!Y126*0.086*$N$110)/(1-tech_proj!Y406))</f>
        <v>0</v>
      </c>
      <c r="Z1466" s="119">
        <f>IF(tech_base!$T2&gt;Z$1465,"",(tech_base!$J2/tech_proj!Z126*0.086*$N$110)/(1-tech_proj!Z406))</f>
        <v>0</v>
      </c>
      <c r="AA1466" s="119">
        <f>IF(tech_base!$T2&gt;AA$1465,"",(tech_base!$J2/tech_proj!AA126*0.086*$N$110)/(1-tech_proj!AA406))</f>
        <v>0</v>
      </c>
      <c r="AB1466" s="119">
        <f>IF(tech_base!$T2&gt;AB$1465,"",(tech_base!$J2/tech_proj!AB126*0.086*$N$110)/(1-tech_proj!AB406))</f>
        <v>0</v>
      </c>
      <c r="AC1466" s="119">
        <f>IF(tech_base!$T2&gt;AC$1465,"",(tech_base!$J2/tech_proj!AC126*0.086*$N$110)/(1-tech_proj!AC406))</f>
        <v>0</v>
      </c>
      <c r="AD1466" s="119">
        <f>IF(tech_base!$T2&gt;AD$1465,"",(tech_base!$J2/tech_proj!AD126*0.086*$N$110)/(1-tech_proj!AD406))</f>
        <v>0</v>
      </c>
      <c r="AE1466" s="119">
        <f>IF(tech_base!$T2&gt;AE$1465,"",(tech_base!$J2/tech_proj!AE126*0.086*$N$110)/(1-tech_proj!AE406))</f>
        <v>0</v>
      </c>
      <c r="AF1466" s="119">
        <f>IF(tech_base!$T2&gt;AF$1465,"",(tech_base!$J2/tech_proj!AF126*0.086*$N$110)/(1-tech_proj!AF406))</f>
        <v>0</v>
      </c>
      <c r="AG1466" s="119">
        <f>IF(tech_base!$T2&gt;AG$1465,"",(tech_base!$J2/tech_proj!AG126*0.086*$N$110)/(1-tech_proj!AG406))</f>
        <v>0</v>
      </c>
      <c r="AH1466" s="119">
        <f>IF(tech_base!$T2&gt;AH$1465,"",(tech_base!$J2/tech_proj!AH126*0.086*$N$110)/(1-tech_proj!AH406))</f>
        <v>0</v>
      </c>
      <c r="AI1466" s="119">
        <f>IF(tech_base!$T2&gt;AI$1465,"",(tech_base!$J2/tech_proj!AI126*0.086*$N$110)/(1-tech_proj!AI406))</f>
        <v>0</v>
      </c>
      <c r="AJ1466" s="119">
        <f>IF(tech_base!$T2&gt;AJ$1465,"",(tech_base!$J2/tech_proj!AJ126*0.086*$N$110)/(1-tech_proj!AJ406))</f>
        <v>0</v>
      </c>
      <c r="AK1466" s="119">
        <f>IF(tech_base!$T2&gt;AK$1465,"",(tech_base!$J2/tech_proj!AK126*0.086*$N$110)/(1-tech_proj!AK406))</f>
        <v>0</v>
      </c>
      <c r="AL1466" s="119">
        <f>IF(tech_base!$T2&gt;AL$1465,"",(tech_base!$J2/tech_proj!AL126*0.086*$N$110)/(1-tech_proj!AL406))</f>
        <v>0</v>
      </c>
      <c r="AM1466" s="119">
        <f>IF(tech_base!$T2&gt;AM$1465,"",(tech_base!$J2/tech_proj!AM126*0.086*$N$110)/(1-tech_proj!AM406))</f>
        <v>0</v>
      </c>
      <c r="AN1466" s="119">
        <f>IF(tech_base!$T2&gt;AN$1465,"",(tech_base!$J2/tech_proj!AN126*0.086*$N$110)/(1-tech_proj!AN406))</f>
        <v>0</v>
      </c>
      <c r="AO1466" s="119">
        <f>IF(tech_base!$T2&gt;AO$1465,"",(tech_base!$J2/tech_proj!AO126*0.086*$N$110)/(1-tech_proj!AO406))</f>
        <v>0</v>
      </c>
      <c r="AP1466" s="119">
        <f>IF(tech_base!$T2&gt;AP$1465,"",(tech_base!$J2/tech_proj!AP126*0.086*$N$110)/(1-tech_proj!AP406))</f>
        <v>0</v>
      </c>
      <c r="AQ1466" s="119">
        <f>IF(tech_base!$T2&gt;AQ$1465,"",(tech_base!$J2/tech_proj!AQ126*0.086*$N$110)/(1-tech_proj!AQ406))</f>
        <v>0</v>
      </c>
      <c r="AR1466" s="119">
        <f>IF(tech_base!$T2&gt;AR$1465,"",(tech_base!$J2/tech_proj!AR126*0.086*$N$110)/(1-tech_proj!AR406))</f>
        <v>0</v>
      </c>
      <c r="AS1466" s="119">
        <f>IF(tech_base!$T2&gt;AS$1465,"",(tech_base!$J2/tech_proj!AS126*0.086*$N$110)/(1-tech_proj!AS406))</f>
        <v>0</v>
      </c>
      <c r="AT1466" s="119">
        <f>IF(tech_base!$T2&gt;AT$1465,"",(tech_base!$J2/tech_proj!AT126*0.086*$N$110)/(1-tech_proj!AT406))</f>
        <v>0</v>
      </c>
      <c r="AU1466" s="119">
        <f>IF(tech_base!$T2&gt;AU$1465,"",(tech_base!$J2/tech_proj!AU126*0.086*$N$110)/(1-tech_proj!AU406))</f>
        <v>0</v>
      </c>
      <c r="AV1466" s="119">
        <f>IF(tech_base!$T2&gt;AV$1465,"",(tech_base!$J2/tech_proj!AV126*0.086*$N$110)/(1-tech_proj!AV406))</f>
        <v>0</v>
      </c>
      <c r="AW1466" s="119">
        <f>IF(tech_base!$T2&gt;AW$1465,"",(tech_base!$J2/tech_proj!AW126*0.086*$N$110)/(1-tech_proj!AW406))</f>
        <v>0</v>
      </c>
      <c r="AX1466" s="120">
        <f>IF(tech_base!$T2&gt;AX$1465,"",(tech_base!$J2/tech_proj!AX126*0.086*$N$110)/(1-tech_proj!AX406))</f>
        <v>0</v>
      </c>
    </row>
    <row r="1467" spans="1:52" x14ac:dyDescent="0.25">
      <c r="A1467" s="347"/>
      <c r="B1467" s="349"/>
      <c r="C1467" s="350"/>
      <c r="D1467" s="4" t="s">
        <v>8</v>
      </c>
      <c r="E1467" s="80" t="str">
        <f>A1466&amp;"/"&amp;B1466&amp;"/"&amp;C1466&amp;"/"&amp;D1467</f>
        <v>Nuclear power plants/Nuclear - current/Electricity only/M</v>
      </c>
      <c r="F1467" s="80" t="str">
        <f>A1466</f>
        <v>Nuclear power plants</v>
      </c>
      <c r="G1467" s="80" t="str">
        <f>B1466</f>
        <v>Nuclear - current</v>
      </c>
      <c r="H1467" s="80" t="str">
        <f>C1466</f>
        <v>Electricity only</v>
      </c>
      <c r="I1467" s="80" t="str">
        <f t="shared" ref="I1467:I1530" si="377">D1467</f>
        <v>M</v>
      </c>
      <c r="J1467" s="127">
        <f>IF(tech_base!$T3&gt;J$1465,"",(tech_base!$J3/tech_proj!J127*0.086*$N$110)/(1-tech_proj!J407))</f>
        <v>0</v>
      </c>
      <c r="K1467" s="127">
        <f>IF(tech_base!$T3&gt;K$1465,"",(tech_base!$J3/tech_proj!K127*0.086*$N$110)/(1-tech_proj!K407))</f>
        <v>0</v>
      </c>
      <c r="L1467" s="127">
        <f>IF(tech_base!$T3&gt;L$1465,"",(tech_base!$J3/tech_proj!L127*0.086*$N$110)/(1-tech_proj!L407))</f>
        <v>0</v>
      </c>
      <c r="M1467" s="127">
        <f>IF(tech_base!$T3&gt;M$1465,"",(tech_base!$J3/tech_proj!M127*0.086*$N$110)/(1-tech_proj!M407))</f>
        <v>0</v>
      </c>
      <c r="N1467" s="127">
        <f>IF(tech_base!$T3&gt;N$1465,"",(tech_base!$J3/tech_proj!N127*0.086*$N$110)/(1-tech_proj!N407))</f>
        <v>0</v>
      </c>
      <c r="O1467" s="127">
        <f>IF(tech_base!$T3&gt;O$1465,"",(tech_base!$J3/tech_proj!O127*0.086*$N$110)/(1-tech_proj!O407))</f>
        <v>0</v>
      </c>
      <c r="P1467" s="127">
        <f>IF(tech_base!$T3&gt;P$1465,"",(tech_base!$J3/tech_proj!P127*0.086*$N$110)/(1-tech_proj!P407))</f>
        <v>0</v>
      </c>
      <c r="Q1467" s="127">
        <f>IF(tech_base!$T3&gt;Q$1465,"",(tech_base!$J3/tech_proj!Q127*0.086*$N$110)/(1-tech_proj!Q407))</f>
        <v>0</v>
      </c>
      <c r="R1467" s="127">
        <f>IF(tech_base!$T3&gt;R$1465,"",(tech_base!$J3/tech_proj!R127*0.086*$N$110)/(1-tech_proj!R407))</f>
        <v>0</v>
      </c>
      <c r="S1467" s="127">
        <f>IF(tech_base!$T3&gt;S$1465,"",(tech_base!$J3/tech_proj!S127*0.086*$N$110)/(1-tech_proj!S407))</f>
        <v>0</v>
      </c>
      <c r="T1467" s="127">
        <f>IF(tech_base!$T3&gt;T$1465,"",(tech_base!$J3/tech_proj!T127*0.086*$N$110)/(1-tech_proj!T407))</f>
        <v>0</v>
      </c>
      <c r="U1467" s="127">
        <f>IF(tech_base!$T3&gt;U$1465,"",(tech_base!$J3/tech_proj!U127*0.086*$N$110)/(1-tech_proj!U407))</f>
        <v>0</v>
      </c>
      <c r="V1467" s="127">
        <f>IF(tech_base!$T3&gt;V$1465,"",(tech_base!$J3/tech_proj!V127*0.086*$N$110)/(1-tech_proj!V407))</f>
        <v>0</v>
      </c>
      <c r="W1467" s="127">
        <f>IF(tech_base!$T3&gt;W$1465,"",(tech_base!$J3/tech_proj!W127*0.086*$N$110)/(1-tech_proj!W407))</f>
        <v>0</v>
      </c>
      <c r="X1467" s="127">
        <f>IF(tech_base!$T3&gt;X$1465,"",(tech_base!$J3/tech_proj!X127*0.086*$N$110)/(1-tech_proj!X407))</f>
        <v>0</v>
      </c>
      <c r="Y1467" s="127">
        <f>IF(tech_base!$T3&gt;Y$1465,"",(tech_base!$J3/tech_proj!Y127*0.086*$N$110)/(1-tech_proj!Y407))</f>
        <v>0</v>
      </c>
      <c r="Z1467" s="127">
        <f>IF(tech_base!$T3&gt;Z$1465,"",(tech_base!$J3/tech_proj!Z127*0.086*$N$110)/(1-tech_proj!Z407))</f>
        <v>0</v>
      </c>
      <c r="AA1467" s="127">
        <f>IF(tech_base!$T3&gt;AA$1465,"",(tech_base!$J3/tech_proj!AA127*0.086*$N$110)/(1-tech_proj!AA407))</f>
        <v>0</v>
      </c>
      <c r="AB1467" s="127">
        <f>IF(tech_base!$T3&gt;AB$1465,"",(tech_base!$J3/tech_proj!AB127*0.086*$N$110)/(1-tech_proj!AB407))</f>
        <v>0</v>
      </c>
      <c r="AC1467" s="127">
        <f>IF(tech_base!$T3&gt;AC$1465,"",(tech_base!$J3/tech_proj!AC127*0.086*$N$110)/(1-tech_proj!AC407))</f>
        <v>0</v>
      </c>
      <c r="AD1467" s="127">
        <f>IF(tech_base!$T3&gt;AD$1465,"",(tech_base!$J3/tech_proj!AD127*0.086*$N$110)/(1-tech_proj!AD407))</f>
        <v>0</v>
      </c>
      <c r="AE1467" s="127">
        <f>IF(tech_base!$T3&gt;AE$1465,"",(tech_base!$J3/tech_proj!AE127*0.086*$N$110)/(1-tech_proj!AE407))</f>
        <v>0</v>
      </c>
      <c r="AF1467" s="127">
        <f>IF(tech_base!$T3&gt;AF$1465,"",(tech_base!$J3/tech_proj!AF127*0.086*$N$110)/(1-tech_proj!AF407))</f>
        <v>0</v>
      </c>
      <c r="AG1467" s="127">
        <f>IF(tech_base!$T3&gt;AG$1465,"",(tech_base!$J3/tech_proj!AG127*0.086*$N$110)/(1-tech_proj!AG407))</f>
        <v>0</v>
      </c>
      <c r="AH1467" s="127">
        <f>IF(tech_base!$T3&gt;AH$1465,"",(tech_base!$J3/tech_proj!AH127*0.086*$N$110)/(1-tech_proj!AH407))</f>
        <v>0</v>
      </c>
      <c r="AI1467" s="127">
        <f>IF(tech_base!$T3&gt;AI$1465,"",(tech_base!$J3/tech_proj!AI127*0.086*$N$110)/(1-tech_proj!AI407))</f>
        <v>0</v>
      </c>
      <c r="AJ1467" s="127">
        <f>IF(tech_base!$T3&gt;AJ$1465,"",(tech_base!$J3/tech_proj!AJ127*0.086*$N$110)/(1-tech_proj!AJ407))</f>
        <v>0</v>
      </c>
      <c r="AK1467" s="127">
        <f>IF(tech_base!$T3&gt;AK$1465,"",(tech_base!$J3/tech_proj!AK127*0.086*$N$110)/(1-tech_proj!AK407))</f>
        <v>0</v>
      </c>
      <c r="AL1467" s="127">
        <f>IF(tech_base!$T3&gt;AL$1465,"",(tech_base!$J3/tech_proj!AL127*0.086*$N$110)/(1-tech_proj!AL407))</f>
        <v>0</v>
      </c>
      <c r="AM1467" s="127">
        <f>IF(tech_base!$T3&gt;AM$1465,"",(tech_base!$J3/tech_proj!AM127*0.086*$N$110)/(1-tech_proj!AM407))</f>
        <v>0</v>
      </c>
      <c r="AN1467" s="127">
        <f>IF(tech_base!$T3&gt;AN$1465,"",(tech_base!$J3/tech_proj!AN127*0.086*$N$110)/(1-tech_proj!AN407))</f>
        <v>0</v>
      </c>
      <c r="AO1467" s="127">
        <f>IF(tech_base!$T3&gt;AO$1465,"",(tech_base!$J3/tech_proj!AO127*0.086*$N$110)/(1-tech_proj!AO407))</f>
        <v>0</v>
      </c>
      <c r="AP1467" s="127">
        <f>IF(tech_base!$T3&gt;AP$1465,"",(tech_base!$J3/tech_proj!AP127*0.086*$N$110)/(1-tech_proj!AP407))</f>
        <v>0</v>
      </c>
      <c r="AQ1467" s="127">
        <f>IF(tech_base!$T3&gt;AQ$1465,"",(tech_base!$J3/tech_proj!AQ127*0.086*$N$110)/(1-tech_proj!AQ407))</f>
        <v>0</v>
      </c>
      <c r="AR1467" s="127">
        <f>IF(tech_base!$T3&gt;AR$1465,"",(tech_base!$J3/tech_proj!AR127*0.086*$N$110)/(1-tech_proj!AR407))</f>
        <v>0</v>
      </c>
      <c r="AS1467" s="127">
        <f>IF(tech_base!$T3&gt;AS$1465,"",(tech_base!$J3/tech_proj!AS127*0.086*$N$110)/(1-tech_proj!AS407))</f>
        <v>0</v>
      </c>
      <c r="AT1467" s="127">
        <f>IF(tech_base!$T3&gt;AT$1465,"",(tech_base!$J3/tech_proj!AT127*0.086*$N$110)/(1-tech_proj!AT407))</f>
        <v>0</v>
      </c>
      <c r="AU1467" s="127">
        <f>IF(tech_base!$T3&gt;AU$1465,"",(tech_base!$J3/tech_proj!AU127*0.086*$N$110)/(1-tech_proj!AU407))</f>
        <v>0</v>
      </c>
      <c r="AV1467" s="127">
        <f>IF(tech_base!$T3&gt;AV$1465,"",(tech_base!$J3/tech_proj!AV127*0.086*$N$110)/(1-tech_proj!AV407))</f>
        <v>0</v>
      </c>
      <c r="AW1467" s="127">
        <f>IF(tech_base!$T3&gt;AW$1465,"",(tech_base!$J3/tech_proj!AW127*0.086*$N$110)/(1-tech_proj!AW407))</f>
        <v>0</v>
      </c>
      <c r="AX1467" s="128">
        <f>IF(tech_base!$T3&gt;AX$1465,"",(tech_base!$J3/tech_proj!AX127*0.086*$N$110)/(1-tech_proj!AX407))</f>
        <v>0</v>
      </c>
    </row>
    <row r="1468" spans="1:52" x14ac:dyDescent="0.25">
      <c r="A1468" s="347"/>
      <c r="B1468" s="351" t="s">
        <v>9</v>
      </c>
      <c r="C1468" s="353" t="s">
        <v>6</v>
      </c>
      <c r="D1468" s="2" t="s">
        <v>7</v>
      </c>
      <c r="E1468" s="160" t="str">
        <f>A1466&amp;"/"&amp;B1468&amp;"/"&amp;C1468&amp;"/"&amp;D1468</f>
        <v>Nuclear power plants/Nuclear III/Electricity only/L</v>
      </c>
      <c r="F1468" s="76" t="str">
        <f>A1466</f>
        <v>Nuclear power plants</v>
      </c>
      <c r="G1468" s="76" t="str">
        <f>B1468</f>
        <v>Nuclear III</v>
      </c>
      <c r="H1468" s="76" t="str">
        <f>C1468</f>
        <v>Electricity only</v>
      </c>
      <c r="I1468" s="161" t="str">
        <f t="shared" si="377"/>
        <v>L</v>
      </c>
      <c r="J1468" s="119">
        <f>IF(tech_base!$T4&gt;J$1465,"",(tech_base!$J4/tech_proj!J128*0.086*$N$110)/(1-tech_proj!J408))</f>
        <v>0</v>
      </c>
      <c r="K1468" s="119">
        <f>IF(tech_base!$T4&gt;K$1465,"",(tech_base!$J4/tech_proj!K128*0.086*$N$110)/(1-tech_proj!K408))</f>
        <v>0</v>
      </c>
      <c r="L1468" s="119">
        <f>IF(tech_base!$T4&gt;L$1465,"",(tech_base!$J4/tech_proj!L128*0.086*$N$110)/(1-tech_proj!L408))</f>
        <v>0</v>
      </c>
      <c r="M1468" s="119">
        <f>IF(tech_base!$T4&gt;M$1465,"",(tech_base!$J4/tech_proj!M128*0.086*$N$110)/(1-tech_proj!M408))</f>
        <v>0</v>
      </c>
      <c r="N1468" s="119">
        <f>IF(tech_base!$T4&gt;N$1465,"",(tech_base!$J4/tech_proj!N128*0.086*$N$110)/(1-tech_proj!N408))</f>
        <v>0</v>
      </c>
      <c r="O1468" s="119">
        <f>IF(tech_base!$T4&gt;O$1465,"",(tech_base!$J4/tech_proj!O128*0.086*$N$110)/(1-tech_proj!O408))</f>
        <v>0</v>
      </c>
      <c r="P1468" s="119">
        <f>IF(tech_base!$T4&gt;P$1465,"",(tech_base!$J4/tech_proj!P128*0.086*$N$110)/(1-tech_proj!P408))</f>
        <v>0</v>
      </c>
      <c r="Q1468" s="119">
        <f>IF(tech_base!$T4&gt;Q$1465,"",(tech_base!$J4/tech_proj!Q128*0.086*$N$110)/(1-tech_proj!Q408))</f>
        <v>0</v>
      </c>
      <c r="R1468" s="119">
        <f>IF(tech_base!$T4&gt;R$1465,"",(tech_base!$J4/tech_proj!R128*0.086*$N$110)/(1-tech_proj!R408))</f>
        <v>0</v>
      </c>
      <c r="S1468" s="119">
        <f>IF(tech_base!$T4&gt;S$1465,"",(tech_base!$J4/tech_proj!S128*0.086*$N$110)/(1-tech_proj!S408))</f>
        <v>0</v>
      </c>
      <c r="T1468" s="119">
        <f>IF(tech_base!$T4&gt;T$1465,"",(tech_base!$J4/tech_proj!T128*0.086*$N$110)/(1-tech_proj!T408))</f>
        <v>0</v>
      </c>
      <c r="U1468" s="119">
        <f>IF(tech_base!$T4&gt;U$1465,"",(tech_base!$J4/tech_proj!U128*0.086*$N$110)/(1-tech_proj!U408))</f>
        <v>0</v>
      </c>
      <c r="V1468" s="119">
        <f>IF(tech_base!$T4&gt;V$1465,"",(tech_base!$J4/tech_proj!V128*0.086*$N$110)/(1-tech_proj!V408))</f>
        <v>0</v>
      </c>
      <c r="W1468" s="119">
        <f>IF(tech_base!$T4&gt;W$1465,"",(tech_base!$J4/tech_proj!W128*0.086*$N$110)/(1-tech_proj!W408))</f>
        <v>0</v>
      </c>
      <c r="X1468" s="119">
        <f>IF(tech_base!$T4&gt;X$1465,"",(tech_base!$J4/tech_proj!X128*0.086*$N$110)/(1-tech_proj!X408))</f>
        <v>0</v>
      </c>
      <c r="Y1468" s="119">
        <f>IF(tech_base!$T4&gt;Y$1465,"",(tech_base!$J4/tech_proj!Y128*0.086*$N$110)/(1-tech_proj!Y408))</f>
        <v>0</v>
      </c>
      <c r="Z1468" s="119">
        <f>IF(tech_base!$T4&gt;Z$1465,"",(tech_base!$J4/tech_proj!Z128*0.086*$N$110)/(1-tech_proj!Z408))</f>
        <v>0</v>
      </c>
      <c r="AA1468" s="119">
        <f>IF(tech_base!$T4&gt;AA$1465,"",(tech_base!$J4/tech_proj!AA128*0.086*$N$110)/(1-tech_proj!AA408))</f>
        <v>0</v>
      </c>
      <c r="AB1468" s="119">
        <f>IF(tech_base!$T4&gt;AB$1465,"",(tech_base!$J4/tech_proj!AB128*0.086*$N$110)/(1-tech_proj!AB408))</f>
        <v>0</v>
      </c>
      <c r="AC1468" s="119">
        <f>IF(tech_base!$T4&gt;AC$1465,"",(tech_base!$J4/tech_proj!AC128*0.086*$N$110)/(1-tech_proj!AC408))</f>
        <v>0</v>
      </c>
      <c r="AD1468" s="119">
        <f>IF(tech_base!$T4&gt;AD$1465,"",(tech_base!$J4/tech_proj!AD128*0.086*$N$110)/(1-tech_proj!AD408))</f>
        <v>0</v>
      </c>
      <c r="AE1468" s="119">
        <f>IF(tech_base!$T4&gt;AE$1465,"",(tech_base!$J4/tech_proj!AE128*0.086*$N$110)/(1-tech_proj!AE408))</f>
        <v>0</v>
      </c>
      <c r="AF1468" s="119">
        <f>IF(tech_base!$T4&gt;AF$1465,"",(tech_base!$J4/tech_proj!AF128*0.086*$N$110)/(1-tech_proj!AF408))</f>
        <v>0</v>
      </c>
      <c r="AG1468" s="119">
        <f>IF(tech_base!$T4&gt;AG$1465,"",(tech_base!$J4/tech_proj!AG128*0.086*$N$110)/(1-tech_proj!AG408))</f>
        <v>0</v>
      </c>
      <c r="AH1468" s="119">
        <f>IF(tech_base!$T4&gt;AH$1465,"",(tech_base!$J4/tech_proj!AH128*0.086*$N$110)/(1-tech_proj!AH408))</f>
        <v>0</v>
      </c>
      <c r="AI1468" s="119">
        <f>IF(tech_base!$T4&gt;AI$1465,"",(tech_base!$J4/tech_proj!AI128*0.086*$N$110)/(1-tech_proj!AI408))</f>
        <v>0</v>
      </c>
      <c r="AJ1468" s="119">
        <f>IF(tech_base!$T4&gt;AJ$1465,"",(tech_base!$J4/tech_proj!AJ128*0.086*$N$110)/(1-tech_proj!AJ408))</f>
        <v>0</v>
      </c>
      <c r="AK1468" s="119">
        <f>IF(tech_base!$T4&gt;AK$1465,"",(tech_base!$J4/tech_proj!AK128*0.086*$N$110)/(1-tech_proj!AK408))</f>
        <v>0</v>
      </c>
      <c r="AL1468" s="119">
        <f>IF(tech_base!$T4&gt;AL$1465,"",(tech_base!$J4/tech_proj!AL128*0.086*$N$110)/(1-tech_proj!AL408))</f>
        <v>0</v>
      </c>
      <c r="AM1468" s="119">
        <f>IF(tech_base!$T4&gt;AM$1465,"",(tech_base!$J4/tech_proj!AM128*0.086*$N$110)/(1-tech_proj!AM408))</f>
        <v>0</v>
      </c>
      <c r="AN1468" s="119">
        <f>IF(tech_base!$T4&gt;AN$1465,"",(tech_base!$J4/tech_proj!AN128*0.086*$N$110)/(1-tech_proj!AN408))</f>
        <v>0</v>
      </c>
      <c r="AO1468" s="119">
        <f>IF(tech_base!$T4&gt;AO$1465,"",(tech_base!$J4/tech_proj!AO128*0.086*$N$110)/(1-tech_proj!AO408))</f>
        <v>0</v>
      </c>
      <c r="AP1468" s="119">
        <f>IF(tech_base!$T4&gt;AP$1465,"",(tech_base!$J4/tech_proj!AP128*0.086*$N$110)/(1-tech_proj!AP408))</f>
        <v>0</v>
      </c>
      <c r="AQ1468" s="119">
        <f>IF(tech_base!$T4&gt;AQ$1465,"",(tech_base!$J4/tech_proj!AQ128*0.086*$N$110)/(1-tech_proj!AQ408))</f>
        <v>0</v>
      </c>
      <c r="AR1468" s="119">
        <f>IF(tech_base!$T4&gt;AR$1465,"",(tech_base!$J4/tech_proj!AR128*0.086*$N$110)/(1-tech_proj!AR408))</f>
        <v>0</v>
      </c>
      <c r="AS1468" s="119">
        <f>IF(tech_base!$T4&gt;AS$1465,"",(tech_base!$J4/tech_proj!AS128*0.086*$N$110)/(1-tech_proj!AS408))</f>
        <v>0</v>
      </c>
      <c r="AT1468" s="119">
        <f>IF(tech_base!$T4&gt;AT$1465,"",(tech_base!$J4/tech_proj!AT128*0.086*$N$110)/(1-tech_proj!AT408))</f>
        <v>0</v>
      </c>
      <c r="AU1468" s="119">
        <f>IF(tech_base!$T4&gt;AU$1465,"",(tech_base!$J4/tech_proj!AU128*0.086*$N$110)/(1-tech_proj!AU408))</f>
        <v>0</v>
      </c>
      <c r="AV1468" s="119">
        <f>IF(tech_base!$T4&gt;AV$1465,"",(tech_base!$J4/tech_proj!AV128*0.086*$N$110)/(1-tech_proj!AV408))</f>
        <v>0</v>
      </c>
      <c r="AW1468" s="119">
        <f>IF(tech_base!$T4&gt;AW$1465,"",(tech_base!$J4/tech_proj!AW128*0.086*$N$110)/(1-tech_proj!AW408))</f>
        <v>0</v>
      </c>
      <c r="AX1468" s="120">
        <f>IF(tech_base!$T4&gt;AX$1465,"",(tech_base!$J4/tech_proj!AX128*0.086*$N$110)/(1-tech_proj!AX408))</f>
        <v>0</v>
      </c>
      <c r="AZ1468" s="174"/>
    </row>
    <row r="1469" spans="1:52" x14ac:dyDescent="0.25">
      <c r="A1469" s="347"/>
      <c r="B1469" s="349"/>
      <c r="C1469" s="350"/>
      <c r="D1469" s="2" t="s">
        <v>8</v>
      </c>
      <c r="E1469" s="160" t="str">
        <f>A1466&amp;"/"&amp;B1468&amp;"/"&amp;C1468&amp;"/"&amp;D1469</f>
        <v>Nuclear power plants/Nuclear III/Electricity only/M</v>
      </c>
      <c r="F1469" s="76" t="str">
        <f>A1466</f>
        <v>Nuclear power plants</v>
      </c>
      <c r="G1469" s="76" t="str">
        <f>B1468</f>
        <v>Nuclear III</v>
      </c>
      <c r="H1469" s="76" t="str">
        <f>C1468</f>
        <v>Electricity only</v>
      </c>
      <c r="I1469" s="161" t="str">
        <f t="shared" si="377"/>
        <v>M</v>
      </c>
      <c r="J1469" s="119">
        <f>IF(tech_base!$T5&gt;J$1465,"",(tech_base!$J5/tech_proj!J129*0.086*$N$110)/(1-tech_proj!J409))</f>
        <v>0</v>
      </c>
      <c r="K1469" s="119">
        <f>IF(tech_base!$T5&gt;K$1465,"",(tech_base!$J5/tech_proj!K129*0.086*$N$110)/(1-tech_proj!K409))</f>
        <v>0</v>
      </c>
      <c r="L1469" s="119">
        <f>IF(tech_base!$T5&gt;L$1465,"",(tech_base!$J5/tech_proj!L129*0.086*$N$110)/(1-tech_proj!L409))</f>
        <v>0</v>
      </c>
      <c r="M1469" s="119">
        <f>IF(tech_base!$T5&gt;M$1465,"",(tech_base!$J5/tech_proj!M129*0.086*$N$110)/(1-tech_proj!M409))</f>
        <v>0</v>
      </c>
      <c r="N1469" s="119">
        <f>IF(tech_base!$T5&gt;N$1465,"",(tech_base!$J5/tech_proj!N129*0.086*$N$110)/(1-tech_proj!N409))</f>
        <v>0</v>
      </c>
      <c r="O1469" s="119">
        <f>IF(tech_base!$T5&gt;O$1465,"",(tech_base!$J5/tech_proj!O129*0.086*$N$110)/(1-tech_proj!O409))</f>
        <v>0</v>
      </c>
      <c r="P1469" s="119">
        <f>IF(tech_base!$T5&gt;P$1465,"",(tech_base!$J5/tech_proj!P129*0.086*$N$110)/(1-tech_proj!P409))</f>
        <v>0</v>
      </c>
      <c r="Q1469" s="119">
        <f>IF(tech_base!$T5&gt;Q$1465,"",(tech_base!$J5/tech_proj!Q129*0.086*$N$110)/(1-tech_proj!Q409))</f>
        <v>0</v>
      </c>
      <c r="R1469" s="119">
        <f>IF(tech_base!$T5&gt;R$1465,"",(tech_base!$J5/tech_proj!R129*0.086*$N$110)/(1-tech_proj!R409))</f>
        <v>0</v>
      </c>
      <c r="S1469" s="119">
        <f>IF(tech_base!$T5&gt;S$1465,"",(tech_base!$J5/tech_proj!S129*0.086*$N$110)/(1-tech_proj!S409))</f>
        <v>0</v>
      </c>
      <c r="T1469" s="119">
        <f>IF(tech_base!$T5&gt;T$1465,"",(tech_base!$J5/tech_proj!T129*0.086*$N$110)/(1-tech_proj!T409))</f>
        <v>0</v>
      </c>
      <c r="U1469" s="119">
        <f>IF(tech_base!$T5&gt;U$1465,"",(tech_base!$J5/tech_proj!U129*0.086*$N$110)/(1-tech_proj!U409))</f>
        <v>0</v>
      </c>
      <c r="V1469" s="119">
        <f>IF(tech_base!$T5&gt;V$1465,"",(tech_base!$J5/tech_proj!V129*0.086*$N$110)/(1-tech_proj!V409))</f>
        <v>0</v>
      </c>
      <c r="W1469" s="119">
        <f>IF(tech_base!$T5&gt;W$1465,"",(tech_base!$J5/tech_proj!W129*0.086*$N$110)/(1-tech_proj!W409))</f>
        <v>0</v>
      </c>
      <c r="X1469" s="119">
        <f>IF(tech_base!$T5&gt;X$1465,"",(tech_base!$J5/tech_proj!X129*0.086*$N$110)/(1-tech_proj!X409))</f>
        <v>0</v>
      </c>
      <c r="Y1469" s="119">
        <f>IF(tech_base!$T5&gt;Y$1465,"",(tech_base!$J5/tech_proj!Y129*0.086*$N$110)/(1-tech_proj!Y409))</f>
        <v>0</v>
      </c>
      <c r="Z1469" s="119">
        <f>IF(tech_base!$T5&gt;Z$1465,"",(tech_base!$J5/tech_proj!Z129*0.086*$N$110)/(1-tech_proj!Z409))</f>
        <v>0</v>
      </c>
      <c r="AA1469" s="119">
        <f>IF(tech_base!$T5&gt;AA$1465,"",(tech_base!$J5/tech_proj!AA129*0.086*$N$110)/(1-tech_proj!AA409))</f>
        <v>0</v>
      </c>
      <c r="AB1469" s="119">
        <f>IF(tech_base!$T5&gt;AB$1465,"",(tech_base!$J5/tech_proj!AB129*0.086*$N$110)/(1-tech_proj!AB409))</f>
        <v>0</v>
      </c>
      <c r="AC1469" s="119">
        <f>IF(tech_base!$T5&gt;AC$1465,"",(tech_base!$J5/tech_proj!AC129*0.086*$N$110)/(1-tech_proj!AC409))</f>
        <v>0</v>
      </c>
      <c r="AD1469" s="119">
        <f>IF(tech_base!$T5&gt;AD$1465,"",(tech_base!$J5/tech_proj!AD129*0.086*$N$110)/(1-tech_proj!AD409))</f>
        <v>0</v>
      </c>
      <c r="AE1469" s="119">
        <f>IF(tech_base!$T5&gt;AE$1465,"",(tech_base!$J5/tech_proj!AE129*0.086*$N$110)/(1-tech_proj!AE409))</f>
        <v>0</v>
      </c>
      <c r="AF1469" s="119">
        <f>IF(tech_base!$T5&gt;AF$1465,"",(tech_base!$J5/tech_proj!AF129*0.086*$N$110)/(1-tech_proj!AF409))</f>
        <v>0</v>
      </c>
      <c r="AG1469" s="119">
        <f>IF(tech_base!$T5&gt;AG$1465,"",(tech_base!$J5/tech_proj!AG129*0.086*$N$110)/(1-tech_proj!AG409))</f>
        <v>0</v>
      </c>
      <c r="AH1469" s="119">
        <f>IF(tech_base!$T5&gt;AH$1465,"",(tech_base!$J5/tech_proj!AH129*0.086*$N$110)/(1-tech_proj!AH409))</f>
        <v>0</v>
      </c>
      <c r="AI1469" s="119">
        <f>IF(tech_base!$T5&gt;AI$1465,"",(tech_base!$J5/tech_proj!AI129*0.086*$N$110)/(1-tech_proj!AI409))</f>
        <v>0</v>
      </c>
      <c r="AJ1469" s="119">
        <f>IF(tech_base!$T5&gt;AJ$1465,"",(tech_base!$J5/tech_proj!AJ129*0.086*$N$110)/(1-tech_proj!AJ409))</f>
        <v>0</v>
      </c>
      <c r="AK1469" s="119">
        <f>IF(tech_base!$T5&gt;AK$1465,"",(tech_base!$J5/tech_proj!AK129*0.086*$N$110)/(1-tech_proj!AK409))</f>
        <v>0</v>
      </c>
      <c r="AL1469" s="119">
        <f>IF(tech_base!$T5&gt;AL$1465,"",(tech_base!$J5/tech_proj!AL129*0.086*$N$110)/(1-tech_proj!AL409))</f>
        <v>0</v>
      </c>
      <c r="AM1469" s="119">
        <f>IF(tech_base!$T5&gt;AM$1465,"",(tech_base!$J5/tech_proj!AM129*0.086*$N$110)/(1-tech_proj!AM409))</f>
        <v>0</v>
      </c>
      <c r="AN1469" s="119">
        <f>IF(tech_base!$T5&gt;AN$1465,"",(tech_base!$J5/tech_proj!AN129*0.086*$N$110)/(1-tech_proj!AN409))</f>
        <v>0</v>
      </c>
      <c r="AO1469" s="119">
        <f>IF(tech_base!$T5&gt;AO$1465,"",(tech_base!$J5/tech_proj!AO129*0.086*$N$110)/(1-tech_proj!AO409))</f>
        <v>0</v>
      </c>
      <c r="AP1469" s="119">
        <f>IF(tech_base!$T5&gt;AP$1465,"",(tech_base!$J5/tech_proj!AP129*0.086*$N$110)/(1-tech_proj!AP409))</f>
        <v>0</v>
      </c>
      <c r="AQ1469" s="119">
        <f>IF(tech_base!$T5&gt;AQ$1465,"",(tech_base!$J5/tech_proj!AQ129*0.086*$N$110)/(1-tech_proj!AQ409))</f>
        <v>0</v>
      </c>
      <c r="AR1469" s="119">
        <f>IF(tech_base!$T5&gt;AR$1465,"",(tech_base!$J5/tech_proj!AR129*0.086*$N$110)/(1-tech_proj!AR409))</f>
        <v>0</v>
      </c>
      <c r="AS1469" s="119">
        <f>IF(tech_base!$T5&gt;AS$1465,"",(tech_base!$J5/tech_proj!AS129*0.086*$N$110)/(1-tech_proj!AS409))</f>
        <v>0</v>
      </c>
      <c r="AT1469" s="119">
        <f>IF(tech_base!$T5&gt;AT$1465,"",(tech_base!$J5/tech_proj!AT129*0.086*$N$110)/(1-tech_proj!AT409))</f>
        <v>0</v>
      </c>
      <c r="AU1469" s="119">
        <f>IF(tech_base!$T5&gt;AU$1465,"",(tech_base!$J5/tech_proj!AU129*0.086*$N$110)/(1-tech_proj!AU409))</f>
        <v>0</v>
      </c>
      <c r="AV1469" s="119">
        <f>IF(tech_base!$T5&gt;AV$1465,"",(tech_base!$J5/tech_proj!AV129*0.086*$N$110)/(1-tech_proj!AV409))</f>
        <v>0</v>
      </c>
      <c r="AW1469" s="119">
        <f>IF(tech_base!$T5&gt;AW$1465,"",(tech_base!$J5/tech_proj!AW129*0.086*$N$110)/(1-tech_proj!AW409))</f>
        <v>0</v>
      </c>
      <c r="AX1469" s="120">
        <f>IF(tech_base!$T5&gt;AX$1465,"",(tech_base!$J5/tech_proj!AX129*0.086*$N$110)/(1-tech_proj!AX409))</f>
        <v>0</v>
      </c>
    </row>
    <row r="1470" spans="1:52" x14ac:dyDescent="0.25">
      <c r="A1470" s="347"/>
      <c r="B1470" s="352"/>
      <c r="C1470" s="381"/>
      <c r="D1470" s="4" t="s">
        <v>10</v>
      </c>
      <c r="E1470" s="168" t="str">
        <f>A1466&amp;"/"&amp;B1468&amp;"/"&amp;C1468&amp;"/"&amp;D1470</f>
        <v>Nuclear power plants/Nuclear III/Electricity only/S</v>
      </c>
      <c r="F1470" s="80" t="str">
        <f>A1466</f>
        <v>Nuclear power plants</v>
      </c>
      <c r="G1470" s="80" t="str">
        <f>B1468</f>
        <v>Nuclear III</v>
      </c>
      <c r="H1470" s="80" t="str">
        <f>C1468</f>
        <v>Electricity only</v>
      </c>
      <c r="I1470" s="169" t="str">
        <f t="shared" si="377"/>
        <v>S</v>
      </c>
      <c r="J1470" s="127" t="str">
        <f>IF(tech_base!$T6&gt;J$1465,"",(tech_base!$J6/tech_proj!J130*0.086*$N$110)/(1-tech_proj!J410))</f>
        <v/>
      </c>
      <c r="K1470" s="127" t="str">
        <f>IF(tech_base!$T6&gt;K$1465,"",(tech_base!$J6/tech_proj!K130*0.086*$N$110)/(1-tech_proj!K410))</f>
        <v/>
      </c>
      <c r="L1470" s="127" t="str">
        <f>IF(tech_base!$T6&gt;L$1465,"",(tech_base!$J6/tech_proj!L130*0.086*$N$110)/(1-tech_proj!L410))</f>
        <v/>
      </c>
      <c r="M1470" s="127" t="str">
        <f>IF(tech_base!$T6&gt;M$1465,"",(tech_base!$J6/tech_proj!M130*0.086*$N$110)/(1-tech_proj!M410))</f>
        <v/>
      </c>
      <c r="N1470" s="127" t="str">
        <f>IF(tech_base!$T6&gt;N$1465,"",(tech_base!$J6/tech_proj!N130*0.086*$N$110)/(1-tech_proj!N410))</f>
        <v/>
      </c>
      <c r="O1470" s="127" t="str">
        <f>IF(tech_base!$T6&gt;O$1465,"",(tech_base!$J6/tech_proj!O130*0.086*$N$110)/(1-tech_proj!O410))</f>
        <v/>
      </c>
      <c r="P1470" s="127" t="str">
        <f>IF(tech_base!$T6&gt;P$1465,"",(tech_base!$J6/tech_proj!P130*0.086*$N$110)/(1-tech_proj!P410))</f>
        <v/>
      </c>
      <c r="Q1470" s="127" t="str">
        <f>IF(tech_base!$T6&gt;Q$1465,"",(tech_base!$J6/tech_proj!Q130*0.086*$N$110)/(1-tech_proj!Q410))</f>
        <v/>
      </c>
      <c r="R1470" s="127" t="str">
        <f>IF(tech_base!$T6&gt;R$1465,"",(tech_base!$J6/tech_proj!R130*0.086*$N$110)/(1-tech_proj!R410))</f>
        <v/>
      </c>
      <c r="S1470" s="127" t="str">
        <f>IF(tech_base!$T6&gt;S$1465,"",(tech_base!$J6/tech_proj!S130*0.086*$N$110)/(1-tech_proj!S410))</f>
        <v/>
      </c>
      <c r="T1470" s="127" t="str">
        <f>IF(tech_base!$T6&gt;T$1465,"",(tech_base!$J6/tech_proj!T130*0.086*$N$110)/(1-tech_proj!T410))</f>
        <v/>
      </c>
      <c r="U1470" s="127" t="str">
        <f>IF(tech_base!$T6&gt;U$1465,"",(tech_base!$J6/tech_proj!U130*0.086*$N$110)/(1-tech_proj!U410))</f>
        <v/>
      </c>
      <c r="V1470" s="127" t="str">
        <f>IF(tech_base!$T6&gt;V$1465,"",(tech_base!$J6/tech_proj!V130*0.086*$N$110)/(1-tech_proj!V410))</f>
        <v/>
      </c>
      <c r="W1470" s="127" t="str">
        <f>IF(tech_base!$T6&gt;W$1465,"",(tech_base!$J6/tech_proj!W130*0.086*$N$110)/(1-tech_proj!W410))</f>
        <v/>
      </c>
      <c r="X1470" s="127" t="str">
        <f>IF(tech_base!$T6&gt;X$1465,"",(tech_base!$J6/tech_proj!X130*0.086*$N$110)/(1-tech_proj!X410))</f>
        <v/>
      </c>
      <c r="Y1470" s="127">
        <f>IF(tech_base!$T6&gt;Y$1465,"",(tech_base!$J6/tech_proj!Y130*0.086*$N$110)/(1-tech_proj!Y410))</f>
        <v>0</v>
      </c>
      <c r="Z1470" s="127">
        <f>IF(tech_base!$T6&gt;Z$1465,"",(tech_base!$J6/tech_proj!Z130*0.086*$N$110)/(1-tech_proj!Z410))</f>
        <v>0</v>
      </c>
      <c r="AA1470" s="127">
        <f>IF(tech_base!$T6&gt;AA$1465,"",(tech_base!$J6/tech_proj!AA130*0.086*$N$110)/(1-tech_proj!AA410))</f>
        <v>0</v>
      </c>
      <c r="AB1470" s="127">
        <f>IF(tech_base!$T6&gt;AB$1465,"",(tech_base!$J6/tech_proj!AB130*0.086*$N$110)/(1-tech_proj!AB410))</f>
        <v>0</v>
      </c>
      <c r="AC1470" s="127">
        <f>IF(tech_base!$T6&gt;AC$1465,"",(tech_base!$J6/tech_proj!AC130*0.086*$N$110)/(1-tech_proj!AC410))</f>
        <v>0</v>
      </c>
      <c r="AD1470" s="127">
        <f>IF(tech_base!$T6&gt;AD$1465,"",(tech_base!$J6/tech_proj!AD130*0.086*$N$110)/(1-tech_proj!AD410))</f>
        <v>0</v>
      </c>
      <c r="AE1470" s="127">
        <f>IF(tech_base!$T6&gt;AE$1465,"",(tech_base!$J6/tech_proj!AE130*0.086*$N$110)/(1-tech_proj!AE410))</f>
        <v>0</v>
      </c>
      <c r="AF1470" s="127">
        <f>IF(tech_base!$T6&gt;AF$1465,"",(tech_base!$J6/tech_proj!AF130*0.086*$N$110)/(1-tech_proj!AF410))</f>
        <v>0</v>
      </c>
      <c r="AG1470" s="127">
        <f>IF(tech_base!$T6&gt;AG$1465,"",(tech_base!$J6/tech_proj!AG130*0.086*$N$110)/(1-tech_proj!AG410))</f>
        <v>0</v>
      </c>
      <c r="AH1470" s="127">
        <f>IF(tech_base!$T6&gt;AH$1465,"",(tech_base!$J6/tech_proj!AH130*0.086*$N$110)/(1-tech_proj!AH410))</f>
        <v>0</v>
      </c>
      <c r="AI1470" s="127">
        <f>IF(tech_base!$T6&gt;AI$1465,"",(tech_base!$J6/tech_proj!AI130*0.086*$N$110)/(1-tech_proj!AI410))</f>
        <v>0</v>
      </c>
      <c r="AJ1470" s="127">
        <f>IF(tech_base!$T6&gt;AJ$1465,"",(tech_base!$J6/tech_proj!AJ130*0.086*$N$110)/(1-tech_proj!AJ410))</f>
        <v>0</v>
      </c>
      <c r="AK1470" s="127">
        <f>IF(tech_base!$T6&gt;AK$1465,"",(tech_base!$J6/tech_proj!AK130*0.086*$N$110)/(1-tech_proj!AK410))</f>
        <v>0</v>
      </c>
      <c r="AL1470" s="127">
        <f>IF(tech_base!$T6&gt;AL$1465,"",(tech_base!$J6/tech_proj!AL130*0.086*$N$110)/(1-tech_proj!AL410))</f>
        <v>0</v>
      </c>
      <c r="AM1470" s="127">
        <f>IF(tech_base!$T6&gt;AM$1465,"",(tech_base!$J6/tech_proj!AM130*0.086*$N$110)/(1-tech_proj!AM410))</f>
        <v>0</v>
      </c>
      <c r="AN1470" s="127">
        <f>IF(tech_base!$T6&gt;AN$1465,"",(tech_base!$J6/tech_proj!AN130*0.086*$N$110)/(1-tech_proj!AN410))</f>
        <v>0</v>
      </c>
      <c r="AO1470" s="127">
        <f>IF(tech_base!$T6&gt;AO$1465,"",(tech_base!$J6/tech_proj!AO130*0.086*$N$110)/(1-tech_proj!AO410))</f>
        <v>0</v>
      </c>
      <c r="AP1470" s="127">
        <f>IF(tech_base!$T6&gt;AP$1465,"",(tech_base!$J6/tech_proj!AP130*0.086*$N$110)/(1-tech_proj!AP410))</f>
        <v>0</v>
      </c>
      <c r="AQ1470" s="127">
        <f>IF(tech_base!$T6&gt;AQ$1465,"",(tech_base!$J6/tech_proj!AQ130*0.086*$N$110)/(1-tech_proj!AQ410))</f>
        <v>0</v>
      </c>
      <c r="AR1470" s="127">
        <f>IF(tech_base!$T6&gt;AR$1465,"",(tech_base!$J6/tech_proj!AR130*0.086*$N$110)/(1-tech_proj!AR410))</f>
        <v>0</v>
      </c>
      <c r="AS1470" s="127">
        <f>IF(tech_base!$T6&gt;AS$1465,"",(tech_base!$J6/tech_proj!AS130*0.086*$N$110)/(1-tech_proj!AS410))</f>
        <v>0</v>
      </c>
      <c r="AT1470" s="127">
        <f>IF(tech_base!$T6&gt;AT$1465,"",(tech_base!$J6/tech_proj!AT130*0.086*$N$110)/(1-tech_proj!AT410))</f>
        <v>0</v>
      </c>
      <c r="AU1470" s="127">
        <f>IF(tech_base!$T6&gt;AU$1465,"",(tech_base!$J6/tech_proj!AU130*0.086*$N$110)/(1-tech_proj!AU410))</f>
        <v>0</v>
      </c>
      <c r="AV1470" s="127">
        <f>IF(tech_base!$T6&gt;AV$1465,"",(tech_base!$J6/tech_proj!AV130*0.086*$N$110)/(1-tech_proj!AV410))</f>
        <v>0</v>
      </c>
      <c r="AW1470" s="127">
        <f>IF(tech_base!$T6&gt;AW$1465,"",(tech_base!$J6/tech_proj!AW130*0.086*$N$110)/(1-tech_proj!AW410))</f>
        <v>0</v>
      </c>
      <c r="AX1470" s="128">
        <f>IF(tech_base!$T6&gt;AX$1465,"",(tech_base!$J6/tech_proj!AX130*0.086*$N$110)/(1-tech_proj!AX410))</f>
        <v>0</v>
      </c>
    </row>
    <row r="1471" spans="1:52" x14ac:dyDescent="0.25">
      <c r="A1471" s="347"/>
      <c r="B1471" s="349" t="s">
        <v>11</v>
      </c>
      <c r="C1471" s="363" t="s">
        <v>6</v>
      </c>
      <c r="D1471" s="2" t="s">
        <v>7</v>
      </c>
      <c r="E1471" s="160" t="str">
        <f>A1466&amp;"/"&amp;B1471&amp;"/"&amp;C1471&amp;"/"&amp;D1471</f>
        <v>Nuclear power plants/Nuclear IV/Electricity only/L</v>
      </c>
      <c r="F1471" s="76" t="str">
        <f>A1466</f>
        <v>Nuclear power plants</v>
      </c>
      <c r="G1471" s="76" t="str">
        <f>B1471</f>
        <v>Nuclear IV</v>
      </c>
      <c r="H1471" s="76" t="str">
        <f>C1471</f>
        <v>Electricity only</v>
      </c>
      <c r="I1471" s="161" t="str">
        <f t="shared" si="377"/>
        <v>L</v>
      </c>
      <c r="J1471" s="119" t="str">
        <f>IF(tech_base!$T7&gt;J$1465,"",(tech_base!$J7/tech_proj!J131*0.086*$N$110)/(1-tech_proj!J411))</f>
        <v/>
      </c>
      <c r="K1471" s="119" t="str">
        <f>IF(tech_base!$T7&gt;K$1465,"",(tech_base!$J7/tech_proj!K131*0.086*$N$110)/(1-tech_proj!K411))</f>
        <v/>
      </c>
      <c r="L1471" s="119" t="str">
        <f>IF(tech_base!$T7&gt;L$1465,"",(tech_base!$J7/tech_proj!L131*0.086*$N$110)/(1-tech_proj!L411))</f>
        <v/>
      </c>
      <c r="M1471" s="119" t="str">
        <f>IF(tech_base!$T7&gt;M$1465,"",(tech_base!$J7/tech_proj!M131*0.086*$N$110)/(1-tech_proj!M411))</f>
        <v/>
      </c>
      <c r="N1471" s="119" t="str">
        <f>IF(tech_base!$T7&gt;N$1465,"",(tech_base!$J7/tech_proj!N131*0.086*$N$110)/(1-tech_proj!N411))</f>
        <v/>
      </c>
      <c r="O1471" s="119" t="str">
        <f>IF(tech_base!$T7&gt;O$1465,"",(tech_base!$J7/tech_proj!O131*0.086*$N$110)/(1-tech_proj!O411))</f>
        <v/>
      </c>
      <c r="P1471" s="119" t="str">
        <f>IF(tech_base!$T7&gt;P$1465,"",(tech_base!$J7/tech_proj!P131*0.086*$N$110)/(1-tech_proj!P411))</f>
        <v/>
      </c>
      <c r="Q1471" s="119" t="str">
        <f>IF(tech_base!$T7&gt;Q$1465,"",(tech_base!$J7/tech_proj!Q131*0.086*$N$110)/(1-tech_proj!Q411))</f>
        <v/>
      </c>
      <c r="R1471" s="119" t="str">
        <f>IF(tech_base!$T7&gt;R$1465,"",(tech_base!$J7/tech_proj!R131*0.086*$N$110)/(1-tech_proj!R411))</f>
        <v/>
      </c>
      <c r="S1471" s="119" t="str">
        <f>IF(tech_base!$T7&gt;S$1465,"",(tech_base!$J7/tech_proj!S131*0.086*$N$110)/(1-tech_proj!S411))</f>
        <v/>
      </c>
      <c r="T1471" s="119" t="str">
        <f>IF(tech_base!$T7&gt;T$1465,"",(tech_base!$J7/tech_proj!T131*0.086*$N$110)/(1-tech_proj!T411))</f>
        <v/>
      </c>
      <c r="U1471" s="119" t="str">
        <f>IF(tech_base!$T7&gt;U$1465,"",(tech_base!$J7/tech_proj!U131*0.086*$N$110)/(1-tech_proj!U411))</f>
        <v/>
      </c>
      <c r="V1471" s="119" t="str">
        <f>IF(tech_base!$T7&gt;V$1465,"",(tech_base!$J7/tech_proj!V131*0.086*$N$110)/(1-tech_proj!V411))</f>
        <v/>
      </c>
      <c r="W1471" s="119" t="str">
        <f>IF(tech_base!$T7&gt;W$1465,"",(tech_base!$J7/tech_proj!W131*0.086*$N$110)/(1-tech_proj!W411))</f>
        <v/>
      </c>
      <c r="X1471" s="119" t="str">
        <f>IF(tech_base!$T7&gt;X$1465,"",(tech_base!$J7/tech_proj!X131*0.086*$N$110)/(1-tech_proj!X411))</f>
        <v/>
      </c>
      <c r="Y1471" s="119" t="str">
        <f>IF(tech_base!$T7&gt;Y$1465,"",(tech_base!$J7/tech_proj!Y131*0.086*$N$110)/(1-tech_proj!Y411))</f>
        <v/>
      </c>
      <c r="Z1471" s="119" t="str">
        <f>IF(tech_base!$T7&gt;Z$1465,"",(tech_base!$J7/tech_proj!Z131*0.086*$N$110)/(1-tech_proj!Z411))</f>
        <v/>
      </c>
      <c r="AA1471" s="119" t="str">
        <f>IF(tech_base!$T7&gt;AA$1465,"",(tech_base!$J7/tech_proj!AA131*0.086*$N$110)/(1-tech_proj!AA411))</f>
        <v/>
      </c>
      <c r="AB1471" s="119" t="str">
        <f>IF(tech_base!$T7&gt;AB$1465,"",(tech_base!$J7/tech_proj!AB131*0.086*$N$110)/(1-tech_proj!AB411))</f>
        <v/>
      </c>
      <c r="AC1471" s="119" t="str">
        <f>IF(tech_base!$T7&gt;AC$1465,"",(tech_base!$J7/tech_proj!AC131*0.086*$N$110)/(1-tech_proj!AC411))</f>
        <v/>
      </c>
      <c r="AD1471" s="119" t="str">
        <f>IF(tech_base!$T7&gt;AD$1465,"",(tech_base!$J7/tech_proj!AD131*0.086*$N$110)/(1-tech_proj!AD411))</f>
        <v/>
      </c>
      <c r="AE1471" s="119" t="str">
        <f>IF(tech_base!$T7&gt;AE$1465,"",(tech_base!$J7/tech_proj!AE131*0.086*$N$110)/(1-tech_proj!AE411))</f>
        <v/>
      </c>
      <c r="AF1471" s="119" t="str">
        <f>IF(tech_base!$T7&gt;AF$1465,"",(tech_base!$J7/tech_proj!AF131*0.086*$N$110)/(1-tech_proj!AF411))</f>
        <v/>
      </c>
      <c r="AG1471" s="119" t="str">
        <f>IF(tech_base!$T7&gt;AG$1465,"",(tech_base!$J7/tech_proj!AG131*0.086*$N$110)/(1-tech_proj!AG411))</f>
        <v/>
      </c>
      <c r="AH1471" s="119" t="str">
        <f>IF(tech_base!$T7&gt;AH$1465,"",(tech_base!$J7/tech_proj!AH131*0.086*$N$110)/(1-tech_proj!AH411))</f>
        <v/>
      </c>
      <c r="AI1471" s="119">
        <f>IF(tech_base!$T7&gt;AI$1465,"",(tech_base!$J7/tech_proj!AI131*0.086*$N$110)/(1-tech_proj!AI411))</f>
        <v>0</v>
      </c>
      <c r="AJ1471" s="119">
        <f>IF(tech_base!$T7&gt;AJ$1465,"",(tech_base!$J7/tech_proj!AJ131*0.086*$N$110)/(1-tech_proj!AJ411))</f>
        <v>0</v>
      </c>
      <c r="AK1471" s="119">
        <f>IF(tech_base!$T7&gt;AK$1465,"",(tech_base!$J7/tech_proj!AK131*0.086*$N$110)/(1-tech_proj!AK411))</f>
        <v>0</v>
      </c>
      <c r="AL1471" s="119">
        <f>IF(tech_base!$T7&gt;AL$1465,"",(tech_base!$J7/tech_proj!AL131*0.086*$N$110)/(1-tech_proj!AL411))</f>
        <v>0</v>
      </c>
      <c r="AM1471" s="119">
        <f>IF(tech_base!$T7&gt;AM$1465,"",(tech_base!$J7/tech_proj!AM131*0.086*$N$110)/(1-tech_proj!AM411))</f>
        <v>0</v>
      </c>
      <c r="AN1471" s="119">
        <f>IF(tech_base!$T7&gt;AN$1465,"",(tech_base!$J7/tech_proj!AN131*0.086*$N$110)/(1-tech_proj!AN411))</f>
        <v>0</v>
      </c>
      <c r="AO1471" s="119">
        <f>IF(tech_base!$T7&gt;AO$1465,"",(tech_base!$J7/tech_proj!AO131*0.086*$N$110)/(1-tech_proj!AO411))</f>
        <v>0</v>
      </c>
      <c r="AP1471" s="119">
        <f>IF(tech_base!$T7&gt;AP$1465,"",(tech_base!$J7/tech_proj!AP131*0.086*$N$110)/(1-tech_proj!AP411))</f>
        <v>0</v>
      </c>
      <c r="AQ1471" s="119">
        <f>IF(tech_base!$T7&gt;AQ$1465,"",(tech_base!$J7/tech_proj!AQ131*0.086*$N$110)/(1-tech_proj!AQ411))</f>
        <v>0</v>
      </c>
      <c r="AR1471" s="119">
        <f>IF(tech_base!$T7&gt;AR$1465,"",(tech_base!$J7/tech_proj!AR131*0.086*$N$110)/(1-tech_proj!AR411))</f>
        <v>0</v>
      </c>
      <c r="AS1471" s="119">
        <f>IF(tech_base!$T7&gt;AS$1465,"",(tech_base!$J7/tech_proj!AS131*0.086*$N$110)/(1-tech_proj!AS411))</f>
        <v>0</v>
      </c>
      <c r="AT1471" s="119">
        <f>IF(tech_base!$T7&gt;AT$1465,"",(tech_base!$J7/tech_proj!AT131*0.086*$N$110)/(1-tech_proj!AT411))</f>
        <v>0</v>
      </c>
      <c r="AU1471" s="119">
        <f>IF(tech_base!$T7&gt;AU$1465,"",(tech_base!$J7/tech_proj!AU131*0.086*$N$110)/(1-tech_proj!AU411))</f>
        <v>0</v>
      </c>
      <c r="AV1471" s="119">
        <f>IF(tech_base!$T7&gt;AV$1465,"",(tech_base!$J7/tech_proj!AV131*0.086*$N$110)/(1-tech_proj!AV411))</f>
        <v>0</v>
      </c>
      <c r="AW1471" s="119">
        <f>IF(tech_base!$T7&gt;AW$1465,"",(tech_base!$J7/tech_proj!AW131*0.086*$N$110)/(1-tech_proj!AW411))</f>
        <v>0</v>
      </c>
      <c r="AX1471" s="120">
        <f>IF(tech_base!$T7&gt;AX$1465,"",(tech_base!$J7/tech_proj!AX131*0.086*$N$110)/(1-tech_proj!AX411))</f>
        <v>0</v>
      </c>
    </row>
    <row r="1472" spans="1:52" x14ac:dyDescent="0.25">
      <c r="A1472" s="348"/>
      <c r="B1472" s="352"/>
      <c r="C1472" s="364"/>
      <c r="D1472" s="4" t="s">
        <v>8</v>
      </c>
      <c r="E1472" s="160" t="str">
        <f>A1466&amp;"/"&amp;B1471&amp;"/"&amp;C1471&amp;"/"&amp;D1472</f>
        <v>Nuclear power plants/Nuclear IV/Electricity only/M</v>
      </c>
      <c r="F1472" s="76" t="str">
        <f>A1466</f>
        <v>Nuclear power plants</v>
      </c>
      <c r="G1472" s="76" t="str">
        <f>B1471</f>
        <v>Nuclear IV</v>
      </c>
      <c r="H1472" s="76" t="str">
        <f>C1471</f>
        <v>Electricity only</v>
      </c>
      <c r="I1472" s="161" t="str">
        <f t="shared" si="377"/>
        <v>M</v>
      </c>
      <c r="J1472" s="119" t="str">
        <f>IF(tech_base!$T8&gt;J$1465,"",(tech_base!$J8/tech_proj!J132*0.086*$N$110)/(1-tech_proj!J412))</f>
        <v/>
      </c>
      <c r="K1472" s="119" t="str">
        <f>IF(tech_base!$T8&gt;K$1465,"",(tech_base!$J8/tech_proj!K132*0.086*$N$110)/(1-tech_proj!K412))</f>
        <v/>
      </c>
      <c r="L1472" s="119" t="str">
        <f>IF(tech_base!$T8&gt;L$1465,"",(tech_base!$J8/tech_proj!L132*0.086*$N$110)/(1-tech_proj!L412))</f>
        <v/>
      </c>
      <c r="M1472" s="119" t="str">
        <f>IF(tech_base!$T8&gt;M$1465,"",(tech_base!$J8/tech_proj!M132*0.086*$N$110)/(1-tech_proj!M412))</f>
        <v/>
      </c>
      <c r="N1472" s="119" t="str">
        <f>IF(tech_base!$T8&gt;N$1465,"",(tech_base!$J8/tech_proj!N132*0.086*$N$110)/(1-tech_proj!N412))</f>
        <v/>
      </c>
      <c r="O1472" s="119" t="str">
        <f>IF(tech_base!$T8&gt;O$1465,"",(tech_base!$J8/tech_proj!O132*0.086*$N$110)/(1-tech_proj!O412))</f>
        <v/>
      </c>
      <c r="P1472" s="119" t="str">
        <f>IF(tech_base!$T8&gt;P$1465,"",(tech_base!$J8/tech_proj!P132*0.086*$N$110)/(1-tech_proj!P412))</f>
        <v/>
      </c>
      <c r="Q1472" s="119" t="str">
        <f>IF(tech_base!$T8&gt;Q$1465,"",(tech_base!$J8/tech_proj!Q132*0.086*$N$110)/(1-tech_proj!Q412))</f>
        <v/>
      </c>
      <c r="R1472" s="119" t="str">
        <f>IF(tech_base!$T8&gt;R$1465,"",(tech_base!$J8/tech_proj!R132*0.086*$N$110)/(1-tech_proj!R412))</f>
        <v/>
      </c>
      <c r="S1472" s="119" t="str">
        <f>IF(tech_base!$T8&gt;S$1465,"",(tech_base!$J8/tech_proj!S132*0.086*$N$110)/(1-tech_proj!S412))</f>
        <v/>
      </c>
      <c r="T1472" s="119" t="str">
        <f>IF(tech_base!$T8&gt;T$1465,"",(tech_base!$J8/tech_proj!T132*0.086*$N$110)/(1-tech_proj!T412))</f>
        <v/>
      </c>
      <c r="U1472" s="119" t="str">
        <f>IF(tech_base!$T8&gt;U$1465,"",(tech_base!$J8/tech_proj!U132*0.086*$N$110)/(1-tech_proj!U412))</f>
        <v/>
      </c>
      <c r="V1472" s="119" t="str">
        <f>IF(tech_base!$T8&gt;V$1465,"",(tech_base!$J8/tech_proj!V132*0.086*$N$110)/(1-tech_proj!V412))</f>
        <v/>
      </c>
      <c r="W1472" s="119" t="str">
        <f>IF(tech_base!$T8&gt;W$1465,"",(tech_base!$J8/tech_proj!W132*0.086*$N$110)/(1-tech_proj!W412))</f>
        <v/>
      </c>
      <c r="X1472" s="119" t="str">
        <f>IF(tech_base!$T8&gt;X$1465,"",(tech_base!$J8/tech_proj!X132*0.086*$N$110)/(1-tech_proj!X412))</f>
        <v/>
      </c>
      <c r="Y1472" s="119" t="str">
        <f>IF(tech_base!$T8&gt;Y$1465,"",(tech_base!$J8/tech_proj!Y132*0.086*$N$110)/(1-tech_proj!Y412))</f>
        <v/>
      </c>
      <c r="Z1472" s="119" t="str">
        <f>IF(tech_base!$T8&gt;Z$1465,"",(tech_base!$J8/tech_proj!Z132*0.086*$N$110)/(1-tech_proj!Z412))</f>
        <v/>
      </c>
      <c r="AA1472" s="119" t="str">
        <f>IF(tech_base!$T8&gt;AA$1465,"",(tech_base!$J8/tech_proj!AA132*0.086*$N$110)/(1-tech_proj!AA412))</f>
        <v/>
      </c>
      <c r="AB1472" s="119" t="str">
        <f>IF(tech_base!$T8&gt;AB$1465,"",(tech_base!$J8/tech_proj!AB132*0.086*$N$110)/(1-tech_proj!AB412))</f>
        <v/>
      </c>
      <c r="AC1472" s="119" t="str">
        <f>IF(tech_base!$T8&gt;AC$1465,"",(tech_base!$J8/tech_proj!AC132*0.086*$N$110)/(1-tech_proj!AC412))</f>
        <v/>
      </c>
      <c r="AD1472" s="119" t="str">
        <f>IF(tech_base!$T8&gt;AD$1465,"",(tech_base!$J8/tech_proj!AD132*0.086*$N$110)/(1-tech_proj!AD412))</f>
        <v/>
      </c>
      <c r="AE1472" s="119" t="str">
        <f>IF(tech_base!$T8&gt;AE$1465,"",(tech_base!$J8/tech_proj!AE132*0.086*$N$110)/(1-tech_proj!AE412))</f>
        <v/>
      </c>
      <c r="AF1472" s="119" t="str">
        <f>IF(tech_base!$T8&gt;AF$1465,"",(tech_base!$J8/tech_proj!AF132*0.086*$N$110)/(1-tech_proj!AF412))</f>
        <v/>
      </c>
      <c r="AG1472" s="119" t="str">
        <f>IF(tech_base!$T8&gt;AG$1465,"",(tech_base!$J8/tech_proj!AG132*0.086*$N$110)/(1-tech_proj!AG412))</f>
        <v/>
      </c>
      <c r="AH1472" s="119" t="str">
        <f>IF(tech_base!$T8&gt;AH$1465,"",(tech_base!$J8/tech_proj!AH132*0.086*$N$110)/(1-tech_proj!AH412))</f>
        <v/>
      </c>
      <c r="AI1472" s="119">
        <f>IF(tech_base!$T8&gt;AI$1465,"",(tech_base!$J8/tech_proj!AI132*0.086*$N$110)/(1-tech_proj!AI412))</f>
        <v>0</v>
      </c>
      <c r="AJ1472" s="119">
        <f>IF(tech_base!$T8&gt;AJ$1465,"",(tech_base!$J8/tech_proj!AJ132*0.086*$N$110)/(1-tech_proj!AJ412))</f>
        <v>0</v>
      </c>
      <c r="AK1472" s="119">
        <f>IF(tech_base!$T8&gt;AK$1465,"",(tech_base!$J8/tech_proj!AK132*0.086*$N$110)/(1-tech_proj!AK412))</f>
        <v>0</v>
      </c>
      <c r="AL1472" s="119">
        <f>IF(tech_base!$T8&gt;AL$1465,"",(tech_base!$J8/tech_proj!AL132*0.086*$N$110)/(1-tech_proj!AL412))</f>
        <v>0</v>
      </c>
      <c r="AM1472" s="119">
        <f>IF(tech_base!$T8&gt;AM$1465,"",(tech_base!$J8/tech_proj!AM132*0.086*$N$110)/(1-tech_proj!AM412))</f>
        <v>0</v>
      </c>
      <c r="AN1472" s="119">
        <f>IF(tech_base!$T8&gt;AN$1465,"",(tech_base!$J8/tech_proj!AN132*0.086*$N$110)/(1-tech_proj!AN412))</f>
        <v>0</v>
      </c>
      <c r="AO1472" s="119">
        <f>IF(tech_base!$T8&gt;AO$1465,"",(tech_base!$J8/tech_proj!AO132*0.086*$N$110)/(1-tech_proj!AO412))</f>
        <v>0</v>
      </c>
      <c r="AP1472" s="119">
        <f>IF(tech_base!$T8&gt;AP$1465,"",(tech_base!$J8/tech_proj!AP132*0.086*$N$110)/(1-tech_proj!AP412))</f>
        <v>0</v>
      </c>
      <c r="AQ1472" s="119">
        <f>IF(tech_base!$T8&gt;AQ$1465,"",(tech_base!$J8/tech_proj!AQ132*0.086*$N$110)/(1-tech_proj!AQ412))</f>
        <v>0</v>
      </c>
      <c r="AR1472" s="119">
        <f>IF(tech_base!$T8&gt;AR$1465,"",(tech_base!$J8/tech_proj!AR132*0.086*$N$110)/(1-tech_proj!AR412))</f>
        <v>0</v>
      </c>
      <c r="AS1472" s="119">
        <f>IF(tech_base!$T8&gt;AS$1465,"",(tech_base!$J8/tech_proj!AS132*0.086*$N$110)/(1-tech_proj!AS412))</f>
        <v>0</v>
      </c>
      <c r="AT1472" s="119">
        <f>IF(tech_base!$T8&gt;AT$1465,"",(tech_base!$J8/tech_proj!AT132*0.086*$N$110)/(1-tech_proj!AT412))</f>
        <v>0</v>
      </c>
      <c r="AU1472" s="119">
        <f>IF(tech_base!$T8&gt;AU$1465,"",(tech_base!$J8/tech_proj!AU132*0.086*$N$110)/(1-tech_proj!AU412))</f>
        <v>0</v>
      </c>
      <c r="AV1472" s="119">
        <f>IF(tech_base!$T8&gt;AV$1465,"",(tech_base!$J8/tech_proj!AV132*0.086*$N$110)/(1-tech_proj!AV412))</f>
        <v>0</v>
      </c>
      <c r="AW1472" s="119">
        <f>IF(tech_base!$T8&gt;AW$1465,"",(tech_base!$J8/tech_proj!AW132*0.086*$N$110)/(1-tech_proj!AW412))</f>
        <v>0</v>
      </c>
      <c r="AX1472" s="120">
        <f>IF(tech_base!$T8&gt;AX$1465,"",(tech_base!$J8/tech_proj!AX132*0.086*$N$110)/(1-tech_proj!AX412))</f>
        <v>0</v>
      </c>
    </row>
    <row r="1473" spans="1:50" x14ac:dyDescent="0.25">
      <c r="A1473" s="355" t="s">
        <v>12</v>
      </c>
      <c r="B1473" s="358" t="s">
        <v>13</v>
      </c>
      <c r="C1473" s="353" t="s">
        <v>6</v>
      </c>
      <c r="D1473" s="3" t="s">
        <v>7</v>
      </c>
      <c r="E1473" s="162" t="str">
        <f>A1473&amp;"/"&amp;B1473&amp;"/"&amp;C1473&amp;"/"&amp;D1473</f>
        <v>Coal fired power plants/Integrated gasification combined cycle/Electricity only/L</v>
      </c>
      <c r="F1473" s="77" t="str">
        <f>A1473</f>
        <v>Coal fired power plants</v>
      </c>
      <c r="G1473" s="77" t="str">
        <f>B1473</f>
        <v>Integrated gasification combined cycle</v>
      </c>
      <c r="H1473" s="77" t="str">
        <f>C1473</f>
        <v>Electricity only</v>
      </c>
      <c r="I1473" s="163" t="str">
        <f t="shared" si="377"/>
        <v>L</v>
      </c>
      <c r="J1473" s="121">
        <f>IF(tech_base!$T9&gt;J$1465,"",(tech_base!$J9/tech_proj!J133*0.086*$N$110)/(1-tech_proj!J413))</f>
        <v>0</v>
      </c>
      <c r="K1473" s="121">
        <f>IF(tech_base!$T9&gt;K$1465,"",(tech_base!$J9/tech_proj!K133*0.086*$N$110)/(1-tech_proj!K413))</f>
        <v>0</v>
      </c>
      <c r="L1473" s="121">
        <f>IF(tech_base!$T9&gt;L$1465,"",(tech_base!$J9/tech_proj!L133*0.086*$N$110)/(1-tech_proj!L413))</f>
        <v>0</v>
      </c>
      <c r="M1473" s="121">
        <f>IF(tech_base!$T9&gt;M$1465,"",(tech_base!$J9/tech_proj!M133*0.086*$N$110)/(1-tech_proj!M413))</f>
        <v>0</v>
      </c>
      <c r="N1473" s="121">
        <f>IF(tech_base!$T9&gt;N$1465,"",(tech_base!$J9/tech_proj!N133*0.086*$N$110)/(1-tech_proj!N413))</f>
        <v>0</v>
      </c>
      <c r="O1473" s="121">
        <f>IF(tech_base!$T9&gt;O$1465,"",(tech_base!$J9/tech_proj!O133*0.086*$N$110)/(1-tech_proj!O413))</f>
        <v>0</v>
      </c>
      <c r="P1473" s="121">
        <f>IF(tech_base!$T9&gt;P$1465,"",(tech_base!$J9/tech_proj!P133*0.086*$N$110)/(1-tech_proj!P413))</f>
        <v>0</v>
      </c>
      <c r="Q1473" s="121">
        <f>IF(tech_base!$T9&gt;Q$1465,"",(tech_base!$J9/tech_proj!Q133*0.086*$N$110)/(1-tech_proj!Q413))</f>
        <v>0</v>
      </c>
      <c r="R1473" s="121">
        <f>IF(tech_base!$T9&gt;R$1465,"",(tech_base!$J9/tech_proj!R133*0.086*$N$110)/(1-tech_proj!R413))</f>
        <v>0</v>
      </c>
      <c r="S1473" s="121">
        <f>IF(tech_base!$T9&gt;S$1465,"",(tech_base!$J9/tech_proj!S133*0.086*$N$110)/(1-tech_proj!S413))</f>
        <v>0</v>
      </c>
      <c r="T1473" s="121">
        <f>IF(tech_base!$T9&gt;T$1465,"",(tech_base!$J9/tech_proj!T133*0.086*$N$110)/(1-tech_proj!T413))</f>
        <v>0</v>
      </c>
      <c r="U1473" s="121">
        <f>IF(tech_base!$T9&gt;U$1465,"",(tech_base!$J9/tech_proj!U133*0.086*$N$110)/(1-tech_proj!U413))</f>
        <v>0</v>
      </c>
      <c r="V1473" s="121">
        <f>IF(tech_base!$T9&gt;V$1465,"",(tech_base!$J9/tech_proj!V133*0.086*$N$110)/(1-tech_proj!V413))</f>
        <v>0</v>
      </c>
      <c r="W1473" s="121">
        <f>IF(tech_base!$T9&gt;W$1465,"",(tech_base!$J9/tech_proj!W133*0.086*$N$110)/(1-tech_proj!W413))</f>
        <v>0</v>
      </c>
      <c r="X1473" s="121">
        <f>IF(tech_base!$T9&gt;X$1465,"",(tech_base!$J9/tech_proj!X133*0.086*$N$110)/(1-tech_proj!X413))</f>
        <v>0</v>
      </c>
      <c r="Y1473" s="121">
        <f>IF(tech_base!$T9&gt;Y$1465,"",(tech_base!$J9/tech_proj!Y133*0.086*$N$110)/(1-tech_proj!Y413))</f>
        <v>0</v>
      </c>
      <c r="Z1473" s="121">
        <f>IF(tech_base!$T9&gt;Z$1465,"",(tech_base!$J9/tech_proj!Z133*0.086*$N$110)/(1-tech_proj!Z413))</f>
        <v>0</v>
      </c>
      <c r="AA1473" s="121">
        <f>IF(tech_base!$T9&gt;AA$1465,"",(tech_base!$J9/tech_proj!AA133*0.086*$N$110)/(1-tech_proj!AA413))</f>
        <v>0</v>
      </c>
      <c r="AB1473" s="121">
        <f>IF(tech_base!$T9&gt;AB$1465,"",(tech_base!$J9/tech_proj!AB133*0.086*$N$110)/(1-tech_proj!AB413))</f>
        <v>0</v>
      </c>
      <c r="AC1473" s="121">
        <f>IF(tech_base!$T9&gt;AC$1465,"",(tech_base!$J9/tech_proj!AC133*0.086*$N$110)/(1-tech_proj!AC413))</f>
        <v>0</v>
      </c>
      <c r="AD1473" s="121">
        <f>IF(tech_base!$T9&gt;AD$1465,"",(tech_base!$J9/tech_proj!AD133*0.086*$N$110)/(1-tech_proj!AD413))</f>
        <v>0</v>
      </c>
      <c r="AE1473" s="121">
        <f>IF(tech_base!$T9&gt;AE$1465,"",(tech_base!$J9/tech_proj!AE133*0.086*$N$110)/(1-tech_proj!AE413))</f>
        <v>0</v>
      </c>
      <c r="AF1473" s="121">
        <f>IF(tech_base!$T9&gt;AF$1465,"",(tech_base!$J9/tech_proj!AF133*0.086*$N$110)/(1-tech_proj!AF413))</f>
        <v>0</v>
      </c>
      <c r="AG1473" s="121">
        <f>IF(tech_base!$T9&gt;AG$1465,"",(tech_base!$J9/tech_proj!AG133*0.086*$N$110)/(1-tech_proj!AG413))</f>
        <v>0</v>
      </c>
      <c r="AH1473" s="121">
        <f>IF(tech_base!$T9&gt;AH$1465,"",(tech_base!$J9/tech_proj!AH133*0.086*$N$110)/(1-tech_proj!AH413))</f>
        <v>0</v>
      </c>
      <c r="AI1473" s="121">
        <f>IF(tech_base!$T9&gt;AI$1465,"",(tech_base!$J9/tech_proj!AI133*0.086*$N$110)/(1-tech_proj!AI413))</f>
        <v>0</v>
      </c>
      <c r="AJ1473" s="121">
        <f>IF(tech_base!$T9&gt;AJ$1465,"",(tech_base!$J9/tech_proj!AJ133*0.086*$N$110)/(1-tech_proj!AJ413))</f>
        <v>0</v>
      </c>
      <c r="AK1473" s="121">
        <f>IF(tech_base!$T9&gt;AK$1465,"",(tech_base!$J9/tech_proj!AK133*0.086*$N$110)/(1-tech_proj!AK413))</f>
        <v>0</v>
      </c>
      <c r="AL1473" s="121">
        <f>IF(tech_base!$T9&gt;AL$1465,"",(tech_base!$J9/tech_proj!AL133*0.086*$N$110)/(1-tech_proj!AL413))</f>
        <v>0</v>
      </c>
      <c r="AM1473" s="121">
        <f>IF(tech_base!$T9&gt;AM$1465,"",(tech_base!$J9/tech_proj!AM133*0.086*$N$110)/(1-tech_proj!AM413))</f>
        <v>0</v>
      </c>
      <c r="AN1473" s="121">
        <f>IF(tech_base!$T9&gt;AN$1465,"",(tech_base!$J9/tech_proj!AN133*0.086*$N$110)/(1-tech_proj!AN413))</f>
        <v>0</v>
      </c>
      <c r="AO1473" s="121">
        <f>IF(tech_base!$T9&gt;AO$1465,"",(tech_base!$J9/tech_proj!AO133*0.086*$N$110)/(1-tech_proj!AO413))</f>
        <v>0</v>
      </c>
      <c r="AP1473" s="121">
        <f>IF(tech_base!$T9&gt;AP$1465,"",(tech_base!$J9/tech_proj!AP133*0.086*$N$110)/(1-tech_proj!AP413))</f>
        <v>0</v>
      </c>
      <c r="AQ1473" s="121">
        <f>IF(tech_base!$T9&gt;AQ$1465,"",(tech_base!$J9/tech_proj!AQ133*0.086*$N$110)/(1-tech_proj!AQ413))</f>
        <v>0</v>
      </c>
      <c r="AR1473" s="121">
        <f>IF(tech_base!$T9&gt;AR$1465,"",(tech_base!$J9/tech_proj!AR133*0.086*$N$110)/(1-tech_proj!AR413))</f>
        <v>0</v>
      </c>
      <c r="AS1473" s="121">
        <f>IF(tech_base!$T9&gt;AS$1465,"",(tech_base!$J9/tech_proj!AS133*0.086*$N$110)/(1-tech_proj!AS413))</f>
        <v>0</v>
      </c>
      <c r="AT1473" s="121">
        <f>IF(tech_base!$T9&gt;AT$1465,"",(tech_base!$J9/tech_proj!AT133*0.086*$N$110)/(1-tech_proj!AT413))</f>
        <v>0</v>
      </c>
      <c r="AU1473" s="121">
        <f>IF(tech_base!$T9&gt;AU$1465,"",(tech_base!$J9/tech_proj!AU133*0.086*$N$110)/(1-tech_proj!AU413))</f>
        <v>0</v>
      </c>
      <c r="AV1473" s="121">
        <f>IF(tech_base!$T9&gt;AV$1465,"",(tech_base!$J9/tech_proj!AV133*0.086*$N$110)/(1-tech_proj!AV413))</f>
        <v>0</v>
      </c>
      <c r="AW1473" s="121">
        <f>IF(tech_base!$T9&gt;AW$1465,"",(tech_base!$J9/tech_proj!AW133*0.086*$N$110)/(1-tech_proj!AW413))</f>
        <v>0</v>
      </c>
      <c r="AX1473" s="122">
        <f>IF(tech_base!$T9&gt;AX$1465,"",(tech_base!$J9/tech_proj!AX133*0.086*$N$110)/(1-tech_proj!AX413))</f>
        <v>0</v>
      </c>
    </row>
    <row r="1474" spans="1:50" x14ac:dyDescent="0.25">
      <c r="A1474" s="356"/>
      <c r="B1474" s="359"/>
      <c r="C1474" s="360"/>
      <c r="D1474" s="2" t="s">
        <v>8</v>
      </c>
      <c r="E1474" s="160" t="str">
        <f>A1473&amp;"/"&amp;B1473&amp;"/"&amp;C1473&amp;"/"&amp;D1474</f>
        <v>Coal fired power plants/Integrated gasification combined cycle/Electricity only/M</v>
      </c>
      <c r="F1474" s="76" t="str">
        <f>A1473</f>
        <v>Coal fired power plants</v>
      </c>
      <c r="G1474" s="76" t="str">
        <f>B1473</f>
        <v>Integrated gasification combined cycle</v>
      </c>
      <c r="H1474" s="76" t="str">
        <f>C1473</f>
        <v>Electricity only</v>
      </c>
      <c r="I1474" s="161" t="str">
        <f t="shared" si="377"/>
        <v>M</v>
      </c>
      <c r="J1474" s="119">
        <f>IF(tech_base!$T10&gt;J$1465,"",(tech_base!$J10/tech_proj!J134*0.086*$N$110)/(1-tech_proj!J414))</f>
        <v>0</v>
      </c>
      <c r="K1474" s="119">
        <f>IF(tech_base!$T10&gt;K$1465,"",(tech_base!$J10/tech_proj!K134*0.086*$N$110)/(1-tech_proj!K414))</f>
        <v>0</v>
      </c>
      <c r="L1474" s="119">
        <f>IF(tech_base!$T10&gt;L$1465,"",(tech_base!$J10/tech_proj!L134*0.086*$N$110)/(1-tech_proj!L414))</f>
        <v>0</v>
      </c>
      <c r="M1474" s="119">
        <f>IF(tech_base!$T10&gt;M$1465,"",(tech_base!$J10/tech_proj!M134*0.086*$N$110)/(1-tech_proj!M414))</f>
        <v>0</v>
      </c>
      <c r="N1474" s="119">
        <f>IF(tech_base!$T10&gt;N$1465,"",(tech_base!$J10/tech_proj!N134*0.086*$N$110)/(1-tech_proj!N414))</f>
        <v>0</v>
      </c>
      <c r="O1474" s="119">
        <f>IF(tech_base!$T10&gt;O$1465,"",(tech_base!$J10/tech_proj!O134*0.086*$N$110)/(1-tech_proj!O414))</f>
        <v>0</v>
      </c>
      <c r="P1474" s="119">
        <f>IF(tech_base!$T10&gt;P$1465,"",(tech_base!$J10/tech_proj!P134*0.086*$N$110)/(1-tech_proj!P414))</f>
        <v>0</v>
      </c>
      <c r="Q1474" s="119">
        <f>IF(tech_base!$T10&gt;Q$1465,"",(tech_base!$J10/tech_proj!Q134*0.086*$N$110)/(1-tech_proj!Q414))</f>
        <v>0</v>
      </c>
      <c r="R1474" s="119">
        <f>IF(tech_base!$T10&gt;R$1465,"",(tech_base!$J10/tech_proj!R134*0.086*$N$110)/(1-tech_proj!R414))</f>
        <v>0</v>
      </c>
      <c r="S1474" s="119">
        <f>IF(tech_base!$T10&gt;S$1465,"",(tech_base!$J10/tech_proj!S134*0.086*$N$110)/(1-tech_proj!S414))</f>
        <v>0</v>
      </c>
      <c r="T1474" s="119">
        <f>IF(tech_base!$T10&gt;T$1465,"",(tech_base!$J10/tech_proj!T134*0.086*$N$110)/(1-tech_proj!T414))</f>
        <v>0</v>
      </c>
      <c r="U1474" s="119">
        <f>IF(tech_base!$T10&gt;U$1465,"",(tech_base!$J10/tech_proj!U134*0.086*$N$110)/(1-tech_proj!U414))</f>
        <v>0</v>
      </c>
      <c r="V1474" s="119">
        <f>IF(tech_base!$T10&gt;V$1465,"",(tech_base!$J10/tech_proj!V134*0.086*$N$110)/(1-tech_proj!V414))</f>
        <v>0</v>
      </c>
      <c r="W1474" s="119">
        <f>IF(tech_base!$T10&gt;W$1465,"",(tech_base!$J10/tech_proj!W134*0.086*$N$110)/(1-tech_proj!W414))</f>
        <v>0</v>
      </c>
      <c r="X1474" s="119">
        <f>IF(tech_base!$T10&gt;X$1465,"",(tech_base!$J10/tech_proj!X134*0.086*$N$110)/(1-tech_proj!X414))</f>
        <v>0</v>
      </c>
      <c r="Y1474" s="119">
        <f>IF(tech_base!$T10&gt;Y$1465,"",(tech_base!$J10/tech_proj!Y134*0.086*$N$110)/(1-tech_proj!Y414))</f>
        <v>0</v>
      </c>
      <c r="Z1474" s="119">
        <f>IF(tech_base!$T10&gt;Z$1465,"",(tech_base!$J10/tech_proj!Z134*0.086*$N$110)/(1-tech_proj!Z414))</f>
        <v>0</v>
      </c>
      <c r="AA1474" s="119">
        <f>IF(tech_base!$T10&gt;AA$1465,"",(tech_base!$J10/tech_proj!AA134*0.086*$N$110)/(1-tech_proj!AA414))</f>
        <v>0</v>
      </c>
      <c r="AB1474" s="119">
        <f>IF(tech_base!$T10&gt;AB$1465,"",(tech_base!$J10/tech_proj!AB134*0.086*$N$110)/(1-tech_proj!AB414))</f>
        <v>0</v>
      </c>
      <c r="AC1474" s="119">
        <f>IF(tech_base!$T10&gt;AC$1465,"",(tech_base!$J10/tech_proj!AC134*0.086*$N$110)/(1-tech_proj!AC414))</f>
        <v>0</v>
      </c>
      <c r="AD1474" s="119">
        <f>IF(tech_base!$T10&gt;AD$1465,"",(tech_base!$J10/tech_proj!AD134*0.086*$N$110)/(1-tech_proj!AD414))</f>
        <v>0</v>
      </c>
      <c r="AE1474" s="119">
        <f>IF(tech_base!$T10&gt;AE$1465,"",(tech_base!$J10/tech_proj!AE134*0.086*$N$110)/(1-tech_proj!AE414))</f>
        <v>0</v>
      </c>
      <c r="AF1474" s="119">
        <f>IF(tech_base!$T10&gt;AF$1465,"",(tech_base!$J10/tech_proj!AF134*0.086*$N$110)/(1-tech_proj!AF414))</f>
        <v>0</v>
      </c>
      <c r="AG1474" s="119">
        <f>IF(tech_base!$T10&gt;AG$1465,"",(tech_base!$J10/tech_proj!AG134*0.086*$N$110)/(1-tech_proj!AG414))</f>
        <v>0</v>
      </c>
      <c r="AH1474" s="119">
        <f>IF(tech_base!$T10&gt;AH$1465,"",(tech_base!$J10/tech_proj!AH134*0.086*$N$110)/(1-tech_proj!AH414))</f>
        <v>0</v>
      </c>
      <c r="AI1474" s="119">
        <f>IF(tech_base!$T10&gt;AI$1465,"",(tech_base!$J10/tech_proj!AI134*0.086*$N$110)/(1-tech_proj!AI414))</f>
        <v>0</v>
      </c>
      <c r="AJ1474" s="119">
        <f>IF(tech_base!$T10&gt;AJ$1465,"",(tech_base!$J10/tech_proj!AJ134*0.086*$N$110)/(1-tech_proj!AJ414))</f>
        <v>0</v>
      </c>
      <c r="AK1474" s="119">
        <f>IF(tech_base!$T10&gt;AK$1465,"",(tech_base!$J10/tech_proj!AK134*0.086*$N$110)/(1-tech_proj!AK414))</f>
        <v>0</v>
      </c>
      <c r="AL1474" s="119">
        <f>IF(tech_base!$T10&gt;AL$1465,"",(tech_base!$J10/tech_proj!AL134*0.086*$N$110)/(1-tech_proj!AL414))</f>
        <v>0</v>
      </c>
      <c r="AM1474" s="119">
        <f>IF(tech_base!$T10&gt;AM$1465,"",(tech_base!$J10/tech_proj!AM134*0.086*$N$110)/(1-tech_proj!AM414))</f>
        <v>0</v>
      </c>
      <c r="AN1474" s="119">
        <f>IF(tech_base!$T10&gt;AN$1465,"",(tech_base!$J10/tech_proj!AN134*0.086*$N$110)/(1-tech_proj!AN414))</f>
        <v>0</v>
      </c>
      <c r="AO1474" s="119">
        <f>IF(tech_base!$T10&gt;AO$1465,"",(tech_base!$J10/tech_proj!AO134*0.086*$N$110)/(1-tech_proj!AO414))</f>
        <v>0</v>
      </c>
      <c r="AP1474" s="119">
        <f>IF(tech_base!$T10&gt;AP$1465,"",(tech_base!$J10/tech_proj!AP134*0.086*$N$110)/(1-tech_proj!AP414))</f>
        <v>0</v>
      </c>
      <c r="AQ1474" s="119">
        <f>IF(tech_base!$T10&gt;AQ$1465,"",(tech_base!$J10/tech_proj!AQ134*0.086*$N$110)/(1-tech_proj!AQ414))</f>
        <v>0</v>
      </c>
      <c r="AR1474" s="119">
        <f>IF(tech_base!$T10&gt;AR$1465,"",(tech_base!$J10/tech_proj!AR134*0.086*$N$110)/(1-tech_proj!AR414))</f>
        <v>0</v>
      </c>
      <c r="AS1474" s="119">
        <f>IF(tech_base!$T10&gt;AS$1465,"",(tech_base!$J10/tech_proj!AS134*0.086*$N$110)/(1-tech_proj!AS414))</f>
        <v>0</v>
      </c>
      <c r="AT1474" s="119">
        <f>IF(tech_base!$T10&gt;AT$1465,"",(tech_base!$J10/tech_proj!AT134*0.086*$N$110)/(1-tech_proj!AT414))</f>
        <v>0</v>
      </c>
      <c r="AU1474" s="119">
        <f>IF(tech_base!$T10&gt;AU$1465,"",(tech_base!$J10/tech_proj!AU134*0.086*$N$110)/(1-tech_proj!AU414))</f>
        <v>0</v>
      </c>
      <c r="AV1474" s="119">
        <f>IF(tech_base!$T10&gt;AV$1465,"",(tech_base!$J10/tech_proj!AV134*0.086*$N$110)/(1-tech_proj!AV414))</f>
        <v>0</v>
      </c>
      <c r="AW1474" s="119">
        <f>IF(tech_base!$T10&gt;AW$1465,"",(tech_base!$J10/tech_proj!AW134*0.086*$N$110)/(1-tech_proj!AW414))</f>
        <v>0</v>
      </c>
      <c r="AX1474" s="120">
        <f>IF(tech_base!$T10&gt;AX$1465,"",(tech_base!$J10/tech_proj!AX134*0.086*$N$110)/(1-tech_proj!AX414))</f>
        <v>0</v>
      </c>
    </row>
    <row r="1475" spans="1:50" x14ac:dyDescent="0.25">
      <c r="A1475" s="356"/>
      <c r="B1475" s="359"/>
      <c r="C1475" s="361" t="s">
        <v>14</v>
      </c>
      <c r="D1475" s="58" t="s">
        <v>7</v>
      </c>
      <c r="E1475" s="164" t="str">
        <f>A1473&amp;"/"&amp;B1473&amp;"/"&amp;C1475&amp;"/"&amp;D1475</f>
        <v>Coal fired power plants/Integrated gasification combined cycle/CHP/L</v>
      </c>
      <c r="F1475" s="78" t="str">
        <f>A1473</f>
        <v>Coal fired power plants</v>
      </c>
      <c r="G1475" s="78" t="str">
        <f>B1473</f>
        <v>Integrated gasification combined cycle</v>
      </c>
      <c r="H1475" s="78" t="str">
        <f>C1475</f>
        <v>CHP</v>
      </c>
      <c r="I1475" s="165" t="str">
        <f t="shared" si="377"/>
        <v>L</v>
      </c>
      <c r="J1475" s="123">
        <f>IF(tech_base!$T11&gt;J$1465,"",(tech_base!$J11/tech_proj!J135*0.086*$N$110)/(1-tech_proj!J415))</f>
        <v>0</v>
      </c>
      <c r="K1475" s="123">
        <f>IF(tech_base!$T11&gt;K$1465,"",(tech_base!$J11/tech_proj!K135*0.086*$N$110)/(1-tech_proj!K415))</f>
        <v>0</v>
      </c>
      <c r="L1475" s="123">
        <f>IF(tech_base!$T11&gt;L$1465,"",(tech_base!$J11/tech_proj!L135*0.086*$N$110)/(1-tech_proj!L415))</f>
        <v>0</v>
      </c>
      <c r="M1475" s="123">
        <f>IF(tech_base!$T11&gt;M$1465,"",(tech_base!$J11/tech_proj!M135*0.086*$N$110)/(1-tech_proj!M415))</f>
        <v>0</v>
      </c>
      <c r="N1475" s="123">
        <f>IF(tech_base!$T11&gt;N$1465,"",(tech_base!$J11/tech_proj!N135*0.086*$N$110)/(1-tech_proj!N415))</f>
        <v>0</v>
      </c>
      <c r="O1475" s="123">
        <f>IF(tech_base!$T11&gt;O$1465,"",(tech_base!$J11/tech_proj!O135*0.086*$N$110)/(1-tech_proj!O415))</f>
        <v>0</v>
      </c>
      <c r="P1475" s="123">
        <f>IF(tech_base!$T11&gt;P$1465,"",(tech_base!$J11/tech_proj!P135*0.086*$N$110)/(1-tech_proj!P415))</f>
        <v>0</v>
      </c>
      <c r="Q1475" s="123">
        <f>IF(tech_base!$T11&gt;Q$1465,"",(tech_base!$J11/tech_proj!Q135*0.086*$N$110)/(1-tech_proj!Q415))</f>
        <v>0</v>
      </c>
      <c r="R1475" s="123">
        <f>IF(tech_base!$T11&gt;R$1465,"",(tech_base!$J11/tech_proj!R135*0.086*$N$110)/(1-tech_proj!R415))</f>
        <v>0</v>
      </c>
      <c r="S1475" s="123">
        <f>IF(tech_base!$T11&gt;S$1465,"",(tech_base!$J11/tech_proj!S135*0.086*$N$110)/(1-tech_proj!S415))</f>
        <v>0</v>
      </c>
      <c r="T1475" s="123">
        <f>IF(tech_base!$T11&gt;T$1465,"",(tech_base!$J11/tech_proj!T135*0.086*$N$110)/(1-tech_proj!T415))</f>
        <v>0</v>
      </c>
      <c r="U1475" s="123">
        <f>IF(tech_base!$T11&gt;U$1465,"",(tech_base!$J11/tech_proj!U135*0.086*$N$110)/(1-tech_proj!U415))</f>
        <v>0</v>
      </c>
      <c r="V1475" s="123">
        <f>IF(tech_base!$T11&gt;V$1465,"",(tech_base!$J11/tech_proj!V135*0.086*$N$110)/(1-tech_proj!V415))</f>
        <v>0</v>
      </c>
      <c r="W1475" s="123">
        <f>IF(tech_base!$T11&gt;W$1465,"",(tech_base!$J11/tech_proj!W135*0.086*$N$110)/(1-tech_proj!W415))</f>
        <v>0</v>
      </c>
      <c r="X1475" s="123">
        <f>IF(tech_base!$T11&gt;X$1465,"",(tech_base!$J11/tech_proj!X135*0.086*$N$110)/(1-tech_proj!X415))</f>
        <v>0</v>
      </c>
      <c r="Y1475" s="123">
        <f>IF(tech_base!$T11&gt;Y$1465,"",(tech_base!$J11/tech_proj!Y135*0.086*$N$110)/(1-tech_proj!Y415))</f>
        <v>0</v>
      </c>
      <c r="Z1475" s="123">
        <f>IF(tech_base!$T11&gt;Z$1465,"",(tech_base!$J11/tech_proj!Z135*0.086*$N$110)/(1-tech_proj!Z415))</f>
        <v>0</v>
      </c>
      <c r="AA1475" s="123">
        <f>IF(tech_base!$T11&gt;AA$1465,"",(tech_base!$J11/tech_proj!AA135*0.086*$N$110)/(1-tech_proj!AA415))</f>
        <v>0</v>
      </c>
      <c r="AB1475" s="123">
        <f>IF(tech_base!$T11&gt;AB$1465,"",(tech_base!$J11/tech_proj!AB135*0.086*$N$110)/(1-tech_proj!AB415))</f>
        <v>0</v>
      </c>
      <c r="AC1475" s="123">
        <f>IF(tech_base!$T11&gt;AC$1465,"",(tech_base!$J11/tech_proj!AC135*0.086*$N$110)/(1-tech_proj!AC415))</f>
        <v>0</v>
      </c>
      <c r="AD1475" s="123">
        <f>IF(tech_base!$T11&gt;AD$1465,"",(tech_base!$J11/tech_proj!AD135*0.086*$N$110)/(1-tech_proj!AD415))</f>
        <v>0</v>
      </c>
      <c r="AE1475" s="123">
        <f>IF(tech_base!$T11&gt;AE$1465,"",(tech_base!$J11/tech_proj!AE135*0.086*$N$110)/(1-tech_proj!AE415))</f>
        <v>0</v>
      </c>
      <c r="AF1475" s="123">
        <f>IF(tech_base!$T11&gt;AF$1465,"",(tech_base!$J11/tech_proj!AF135*0.086*$N$110)/(1-tech_proj!AF415))</f>
        <v>0</v>
      </c>
      <c r="AG1475" s="123">
        <f>IF(tech_base!$T11&gt;AG$1465,"",(tech_base!$J11/tech_proj!AG135*0.086*$N$110)/(1-tech_proj!AG415))</f>
        <v>0</v>
      </c>
      <c r="AH1475" s="123">
        <f>IF(tech_base!$T11&gt;AH$1465,"",(tech_base!$J11/tech_proj!AH135*0.086*$N$110)/(1-tech_proj!AH415))</f>
        <v>0</v>
      </c>
      <c r="AI1475" s="123">
        <f>IF(tech_base!$T11&gt;AI$1465,"",(tech_base!$J11/tech_proj!AI135*0.086*$N$110)/(1-tech_proj!AI415))</f>
        <v>0</v>
      </c>
      <c r="AJ1475" s="123">
        <f>IF(tech_base!$T11&gt;AJ$1465,"",(tech_base!$J11/tech_proj!AJ135*0.086*$N$110)/(1-tech_proj!AJ415))</f>
        <v>0</v>
      </c>
      <c r="AK1475" s="123">
        <f>IF(tech_base!$T11&gt;AK$1465,"",(tech_base!$J11/tech_proj!AK135*0.086*$N$110)/(1-tech_proj!AK415))</f>
        <v>0</v>
      </c>
      <c r="AL1475" s="123">
        <f>IF(tech_base!$T11&gt;AL$1465,"",(tech_base!$J11/tech_proj!AL135*0.086*$N$110)/(1-tech_proj!AL415))</f>
        <v>0</v>
      </c>
      <c r="AM1475" s="123">
        <f>IF(tech_base!$T11&gt;AM$1465,"",(tech_base!$J11/tech_proj!AM135*0.086*$N$110)/(1-tech_proj!AM415))</f>
        <v>0</v>
      </c>
      <c r="AN1475" s="123">
        <f>IF(tech_base!$T11&gt;AN$1465,"",(tech_base!$J11/tech_proj!AN135*0.086*$N$110)/(1-tech_proj!AN415))</f>
        <v>0</v>
      </c>
      <c r="AO1475" s="123">
        <f>IF(tech_base!$T11&gt;AO$1465,"",(tech_base!$J11/tech_proj!AO135*0.086*$N$110)/(1-tech_proj!AO415))</f>
        <v>0</v>
      </c>
      <c r="AP1475" s="123">
        <f>IF(tech_base!$T11&gt;AP$1465,"",(tech_base!$J11/tech_proj!AP135*0.086*$N$110)/(1-tech_proj!AP415))</f>
        <v>0</v>
      </c>
      <c r="AQ1475" s="123">
        <f>IF(tech_base!$T11&gt;AQ$1465,"",(tech_base!$J11/tech_proj!AQ135*0.086*$N$110)/(1-tech_proj!AQ415))</f>
        <v>0</v>
      </c>
      <c r="AR1475" s="123">
        <f>IF(tech_base!$T11&gt;AR$1465,"",(tech_base!$J11/tech_proj!AR135*0.086*$N$110)/(1-tech_proj!AR415))</f>
        <v>0</v>
      </c>
      <c r="AS1475" s="123">
        <f>IF(tech_base!$T11&gt;AS$1465,"",(tech_base!$J11/tech_proj!AS135*0.086*$N$110)/(1-tech_proj!AS415))</f>
        <v>0</v>
      </c>
      <c r="AT1475" s="123">
        <f>IF(tech_base!$T11&gt;AT$1465,"",(tech_base!$J11/tech_proj!AT135*0.086*$N$110)/(1-tech_proj!AT415))</f>
        <v>0</v>
      </c>
      <c r="AU1475" s="123">
        <f>IF(tech_base!$T11&gt;AU$1465,"",(tech_base!$J11/tech_proj!AU135*0.086*$N$110)/(1-tech_proj!AU415))</f>
        <v>0</v>
      </c>
      <c r="AV1475" s="123">
        <f>IF(tech_base!$T11&gt;AV$1465,"",(tech_base!$J11/tech_proj!AV135*0.086*$N$110)/(1-tech_proj!AV415))</f>
        <v>0</v>
      </c>
      <c r="AW1475" s="123">
        <f>IF(tech_base!$T11&gt;AW$1465,"",(tech_base!$J11/tech_proj!AW135*0.086*$N$110)/(1-tech_proj!AW415))</f>
        <v>0</v>
      </c>
      <c r="AX1475" s="124">
        <f>IF(tech_base!$T11&gt;AX$1465,"",(tech_base!$J11/tech_proj!AX135*0.086*$N$110)/(1-tech_proj!AX415))</f>
        <v>0</v>
      </c>
    </row>
    <row r="1476" spans="1:50" x14ac:dyDescent="0.25">
      <c r="A1476" s="356"/>
      <c r="B1476" s="359"/>
      <c r="C1476" s="379"/>
      <c r="D1476" s="59" t="s">
        <v>8</v>
      </c>
      <c r="E1476" s="166" t="str">
        <f>A1473&amp;"/"&amp;B1473&amp;"/"&amp;C1475&amp;"/"&amp;D1476</f>
        <v>Coal fired power plants/Integrated gasification combined cycle/CHP/M</v>
      </c>
      <c r="F1476" s="79" t="str">
        <f>A1473</f>
        <v>Coal fired power plants</v>
      </c>
      <c r="G1476" s="79" t="str">
        <f>B1473</f>
        <v>Integrated gasification combined cycle</v>
      </c>
      <c r="H1476" s="79" t="str">
        <f>C1475</f>
        <v>CHP</v>
      </c>
      <c r="I1476" s="167" t="str">
        <f t="shared" si="377"/>
        <v>M</v>
      </c>
      <c r="J1476" s="125">
        <f>IF(tech_base!$T12&gt;J$1465,"",(tech_base!$J12/tech_proj!J136*0.086*$N$110)/(1-tech_proj!J416))</f>
        <v>0</v>
      </c>
      <c r="K1476" s="125">
        <f>IF(tech_base!$T12&gt;K$1465,"",(tech_base!$J12/tech_proj!K136*0.086*$N$110)/(1-tech_proj!K416))</f>
        <v>0</v>
      </c>
      <c r="L1476" s="125">
        <f>IF(tech_base!$T12&gt;L$1465,"",(tech_base!$J12/tech_proj!L136*0.086*$N$110)/(1-tech_proj!L416))</f>
        <v>0</v>
      </c>
      <c r="M1476" s="125">
        <f>IF(tech_base!$T12&gt;M$1465,"",(tech_base!$J12/tech_proj!M136*0.086*$N$110)/(1-tech_proj!M416))</f>
        <v>0</v>
      </c>
      <c r="N1476" s="125">
        <f>IF(tech_base!$T12&gt;N$1465,"",(tech_base!$J12/tech_proj!N136*0.086*$N$110)/(1-tech_proj!N416))</f>
        <v>0</v>
      </c>
      <c r="O1476" s="125">
        <f>IF(tech_base!$T12&gt;O$1465,"",(tech_base!$J12/tech_proj!O136*0.086*$N$110)/(1-tech_proj!O416))</f>
        <v>0</v>
      </c>
      <c r="P1476" s="125">
        <f>IF(tech_base!$T12&gt;P$1465,"",(tech_base!$J12/tech_proj!P136*0.086*$N$110)/(1-tech_proj!P416))</f>
        <v>0</v>
      </c>
      <c r="Q1476" s="125">
        <f>IF(tech_base!$T12&gt;Q$1465,"",(tech_base!$J12/tech_proj!Q136*0.086*$N$110)/(1-tech_proj!Q416))</f>
        <v>0</v>
      </c>
      <c r="R1476" s="125">
        <f>IF(tech_base!$T12&gt;R$1465,"",(tech_base!$J12/tech_proj!R136*0.086*$N$110)/(1-tech_proj!R416))</f>
        <v>0</v>
      </c>
      <c r="S1476" s="125">
        <f>IF(tech_base!$T12&gt;S$1465,"",(tech_base!$J12/tech_proj!S136*0.086*$N$110)/(1-tech_proj!S416))</f>
        <v>0</v>
      </c>
      <c r="T1476" s="125">
        <f>IF(tech_base!$T12&gt;T$1465,"",(tech_base!$J12/tech_proj!T136*0.086*$N$110)/(1-tech_proj!T416))</f>
        <v>0</v>
      </c>
      <c r="U1476" s="125">
        <f>IF(tech_base!$T12&gt;U$1465,"",(tech_base!$J12/tech_proj!U136*0.086*$N$110)/(1-tech_proj!U416))</f>
        <v>0</v>
      </c>
      <c r="V1476" s="125">
        <f>IF(tech_base!$T12&gt;V$1465,"",(tech_base!$J12/tech_proj!V136*0.086*$N$110)/(1-tech_proj!V416))</f>
        <v>0</v>
      </c>
      <c r="W1476" s="125">
        <f>IF(tech_base!$T12&gt;W$1465,"",(tech_base!$J12/tech_proj!W136*0.086*$N$110)/(1-tech_proj!W416))</f>
        <v>0</v>
      </c>
      <c r="X1476" s="125">
        <f>IF(tech_base!$T12&gt;X$1465,"",(tech_base!$J12/tech_proj!X136*0.086*$N$110)/(1-tech_proj!X416))</f>
        <v>0</v>
      </c>
      <c r="Y1476" s="125">
        <f>IF(tech_base!$T12&gt;Y$1465,"",(tech_base!$J12/tech_proj!Y136*0.086*$N$110)/(1-tech_proj!Y416))</f>
        <v>0</v>
      </c>
      <c r="Z1476" s="125">
        <f>IF(tech_base!$T12&gt;Z$1465,"",(tech_base!$J12/tech_proj!Z136*0.086*$N$110)/(1-tech_proj!Z416))</f>
        <v>0</v>
      </c>
      <c r="AA1476" s="125">
        <f>IF(tech_base!$T12&gt;AA$1465,"",(tech_base!$J12/tech_proj!AA136*0.086*$N$110)/(1-tech_proj!AA416))</f>
        <v>0</v>
      </c>
      <c r="AB1476" s="125">
        <f>IF(tech_base!$T12&gt;AB$1465,"",(tech_base!$J12/tech_proj!AB136*0.086*$N$110)/(1-tech_proj!AB416))</f>
        <v>0</v>
      </c>
      <c r="AC1476" s="125">
        <f>IF(tech_base!$T12&gt;AC$1465,"",(tech_base!$J12/tech_proj!AC136*0.086*$N$110)/(1-tech_proj!AC416))</f>
        <v>0</v>
      </c>
      <c r="AD1476" s="125">
        <f>IF(tech_base!$T12&gt;AD$1465,"",(tech_base!$J12/tech_proj!AD136*0.086*$N$110)/(1-tech_proj!AD416))</f>
        <v>0</v>
      </c>
      <c r="AE1476" s="125">
        <f>IF(tech_base!$T12&gt;AE$1465,"",(tech_base!$J12/tech_proj!AE136*0.086*$N$110)/(1-tech_proj!AE416))</f>
        <v>0</v>
      </c>
      <c r="AF1476" s="125">
        <f>IF(tech_base!$T12&gt;AF$1465,"",(tech_base!$J12/tech_proj!AF136*0.086*$N$110)/(1-tech_proj!AF416))</f>
        <v>0</v>
      </c>
      <c r="AG1476" s="125">
        <f>IF(tech_base!$T12&gt;AG$1465,"",(tech_base!$J12/tech_proj!AG136*0.086*$N$110)/(1-tech_proj!AG416))</f>
        <v>0</v>
      </c>
      <c r="AH1476" s="125">
        <f>IF(tech_base!$T12&gt;AH$1465,"",(tech_base!$J12/tech_proj!AH136*0.086*$N$110)/(1-tech_proj!AH416))</f>
        <v>0</v>
      </c>
      <c r="AI1476" s="125">
        <f>IF(tech_base!$T12&gt;AI$1465,"",(tech_base!$J12/tech_proj!AI136*0.086*$N$110)/(1-tech_proj!AI416))</f>
        <v>0</v>
      </c>
      <c r="AJ1476" s="125">
        <f>IF(tech_base!$T12&gt;AJ$1465,"",(tech_base!$J12/tech_proj!AJ136*0.086*$N$110)/(1-tech_proj!AJ416))</f>
        <v>0</v>
      </c>
      <c r="AK1476" s="125">
        <f>IF(tech_base!$T12&gt;AK$1465,"",(tech_base!$J12/tech_proj!AK136*0.086*$N$110)/(1-tech_proj!AK416))</f>
        <v>0</v>
      </c>
      <c r="AL1476" s="125">
        <f>IF(tech_base!$T12&gt;AL$1465,"",(tech_base!$J12/tech_proj!AL136*0.086*$N$110)/(1-tech_proj!AL416))</f>
        <v>0</v>
      </c>
      <c r="AM1476" s="125">
        <f>IF(tech_base!$T12&gt;AM$1465,"",(tech_base!$J12/tech_proj!AM136*0.086*$N$110)/(1-tech_proj!AM416))</f>
        <v>0</v>
      </c>
      <c r="AN1476" s="125">
        <f>IF(tech_base!$T12&gt;AN$1465,"",(tech_base!$J12/tech_proj!AN136*0.086*$N$110)/(1-tech_proj!AN416))</f>
        <v>0</v>
      </c>
      <c r="AO1476" s="125">
        <f>IF(tech_base!$T12&gt;AO$1465,"",(tech_base!$J12/tech_proj!AO136*0.086*$N$110)/(1-tech_proj!AO416))</f>
        <v>0</v>
      </c>
      <c r="AP1476" s="125">
        <f>IF(tech_base!$T12&gt;AP$1465,"",(tech_base!$J12/tech_proj!AP136*0.086*$N$110)/(1-tech_proj!AP416))</f>
        <v>0</v>
      </c>
      <c r="AQ1476" s="125">
        <f>IF(tech_base!$T12&gt;AQ$1465,"",(tech_base!$J12/tech_proj!AQ136*0.086*$N$110)/(1-tech_proj!AQ416))</f>
        <v>0</v>
      </c>
      <c r="AR1476" s="125">
        <f>IF(tech_base!$T12&gt;AR$1465,"",(tech_base!$J12/tech_proj!AR136*0.086*$N$110)/(1-tech_proj!AR416))</f>
        <v>0</v>
      </c>
      <c r="AS1476" s="125">
        <f>IF(tech_base!$T12&gt;AS$1465,"",(tech_base!$J12/tech_proj!AS136*0.086*$N$110)/(1-tech_proj!AS416))</f>
        <v>0</v>
      </c>
      <c r="AT1476" s="125">
        <f>IF(tech_base!$T12&gt;AT$1465,"",(tech_base!$J12/tech_proj!AT136*0.086*$N$110)/(1-tech_proj!AT416))</f>
        <v>0</v>
      </c>
      <c r="AU1476" s="125">
        <f>IF(tech_base!$T12&gt;AU$1465,"",(tech_base!$J12/tech_proj!AU136*0.086*$N$110)/(1-tech_proj!AU416))</f>
        <v>0</v>
      </c>
      <c r="AV1476" s="125">
        <f>IF(tech_base!$T12&gt;AV$1465,"",(tech_base!$J12/tech_proj!AV136*0.086*$N$110)/(1-tech_proj!AV416))</f>
        <v>0</v>
      </c>
      <c r="AW1476" s="125">
        <f>IF(tech_base!$T12&gt;AW$1465,"",(tech_base!$J12/tech_proj!AW136*0.086*$N$110)/(1-tech_proj!AW416))</f>
        <v>0</v>
      </c>
      <c r="AX1476" s="126">
        <f>IF(tech_base!$T12&gt;AX$1465,"",(tech_base!$J12/tech_proj!AX136*0.086*$N$110)/(1-tech_proj!AX416))</f>
        <v>0</v>
      </c>
    </row>
    <row r="1477" spans="1:50" x14ac:dyDescent="0.25">
      <c r="A1477" s="356"/>
      <c r="B1477" s="359"/>
      <c r="C1477" s="361" t="s">
        <v>15</v>
      </c>
      <c r="D1477" s="58" t="s">
        <v>7</v>
      </c>
      <c r="E1477" s="164" t="str">
        <f>A1473&amp;"/"&amp;B1473&amp;"/"&amp;C1477&amp;"/"&amp;D1477</f>
        <v>Coal fired power plants/Integrated gasification combined cycle/Electricity only with CCS/L</v>
      </c>
      <c r="F1477" s="78" t="str">
        <f>A1473</f>
        <v>Coal fired power plants</v>
      </c>
      <c r="G1477" s="78" t="str">
        <f>B1473</f>
        <v>Integrated gasification combined cycle</v>
      </c>
      <c r="H1477" s="78" t="str">
        <f>C1477</f>
        <v>Electricity only with CCS</v>
      </c>
      <c r="I1477" s="165" t="str">
        <f t="shared" si="377"/>
        <v>L</v>
      </c>
      <c r="J1477" s="123" t="str">
        <f>IF(tech_base!$T13&gt;J$1465,"",(tech_base!$J13/tech_proj!J137*0.086*$N$110)/(1-tech_proj!J417))</f>
        <v/>
      </c>
      <c r="K1477" s="123" t="str">
        <f>IF(tech_base!$T13&gt;K$1465,"",(tech_base!$J13/tech_proj!K137*0.086*$N$110)/(1-tech_proj!K417))</f>
        <v/>
      </c>
      <c r="L1477" s="123" t="str">
        <f>IF(tech_base!$T13&gt;L$1465,"",(tech_base!$J13/tech_proj!L137*0.086*$N$110)/(1-tech_proj!L417))</f>
        <v/>
      </c>
      <c r="M1477" s="123" t="str">
        <f>IF(tech_base!$T13&gt;M$1465,"",(tech_base!$J13/tech_proj!M137*0.086*$N$110)/(1-tech_proj!M417))</f>
        <v/>
      </c>
      <c r="N1477" s="123" t="str">
        <f>IF(tech_base!$T13&gt;N$1465,"",(tech_base!$J13/tech_proj!N137*0.086*$N$110)/(1-tech_proj!N417))</f>
        <v/>
      </c>
      <c r="O1477" s="123" t="str">
        <f>IF(tech_base!$T13&gt;O$1465,"",(tech_base!$J13/tech_proj!O137*0.086*$N$110)/(1-tech_proj!O417))</f>
        <v/>
      </c>
      <c r="P1477" s="123" t="str">
        <f>IF(tech_base!$T13&gt;P$1465,"",(tech_base!$J13/tech_proj!P137*0.086*$N$110)/(1-tech_proj!P417))</f>
        <v/>
      </c>
      <c r="Q1477" s="123" t="str">
        <f>IF(tech_base!$T13&gt;Q$1465,"",(tech_base!$J13/tech_proj!Q137*0.086*$N$110)/(1-tech_proj!Q417))</f>
        <v/>
      </c>
      <c r="R1477" s="123" t="str">
        <f>IF(tech_base!$T13&gt;R$1465,"",(tech_base!$J13/tech_proj!R137*0.086*$N$110)/(1-tech_proj!R417))</f>
        <v/>
      </c>
      <c r="S1477" s="123" t="str">
        <f>IF(tech_base!$T13&gt;S$1465,"",(tech_base!$J13/tech_proj!S137*0.086*$N$110)/(1-tech_proj!S417))</f>
        <v/>
      </c>
      <c r="T1477" s="123" t="str">
        <f>IF(tech_base!$T13&gt;T$1465,"",(tech_base!$J13/tech_proj!T137*0.086*$N$110)/(1-tech_proj!T417))</f>
        <v/>
      </c>
      <c r="U1477" s="123" t="str">
        <f>IF(tech_base!$T13&gt;U$1465,"",(tech_base!$J13/tech_proj!U137*0.086*$N$110)/(1-tech_proj!U417))</f>
        <v/>
      </c>
      <c r="V1477" s="123" t="str">
        <f>IF(tech_base!$T13&gt;V$1465,"",(tech_base!$J13/tech_proj!V137*0.086*$N$110)/(1-tech_proj!V417))</f>
        <v/>
      </c>
      <c r="W1477" s="123" t="str">
        <f>IF(tech_base!$T13&gt;W$1465,"",(tech_base!$J13/tech_proj!W137*0.086*$N$110)/(1-tech_proj!W417))</f>
        <v/>
      </c>
      <c r="X1477" s="123" t="str">
        <f>IF(tech_base!$T13&gt;X$1465,"",(tech_base!$J13/tech_proj!X137*0.086*$N$110)/(1-tech_proj!X417))</f>
        <v/>
      </c>
      <c r="Y1477" s="123" t="str">
        <f>IF(tech_base!$T13&gt;Y$1465,"",(tech_base!$J13/tech_proj!Y137*0.086*$N$110)/(1-tech_proj!Y417))</f>
        <v/>
      </c>
      <c r="Z1477" s="123" t="str">
        <f>IF(tech_base!$T13&gt;Z$1465,"",(tech_base!$J13/tech_proj!Z137*0.086*$N$110)/(1-tech_proj!Z417))</f>
        <v/>
      </c>
      <c r="AA1477" s="123" t="str">
        <f>IF(tech_base!$T13&gt;AA$1465,"",(tech_base!$J13/tech_proj!AA137*0.086*$N$110)/(1-tech_proj!AA417))</f>
        <v/>
      </c>
      <c r="AB1477" s="123" t="str">
        <f>IF(tech_base!$T13&gt;AB$1465,"",(tech_base!$J13/tech_proj!AB137*0.086*$N$110)/(1-tech_proj!AB417))</f>
        <v/>
      </c>
      <c r="AC1477" s="123" t="str">
        <f>IF(tech_base!$T13&gt;AC$1465,"",(tech_base!$J13/tech_proj!AC137*0.086*$N$110)/(1-tech_proj!AC417))</f>
        <v/>
      </c>
      <c r="AD1477" s="123" t="str">
        <f>IF(tech_base!$T13&gt;AD$1465,"",(tech_base!$J13/tech_proj!AD137*0.086*$N$110)/(1-tech_proj!AD417))</f>
        <v/>
      </c>
      <c r="AE1477" s="123">
        <f>IF(tech_base!$T13&gt;AE$1465,"",(tech_base!$J13/tech_proj!AE137*0.086*$N$110)/(1-tech_proj!AE417))</f>
        <v>0</v>
      </c>
      <c r="AF1477" s="123">
        <f>IF(tech_base!$T13&gt;AF$1465,"",(tech_base!$J13/tech_proj!AF137*0.086*$N$110)/(1-tech_proj!AF417))</f>
        <v>0</v>
      </c>
      <c r="AG1477" s="123">
        <f>IF(tech_base!$T13&gt;AG$1465,"",(tech_base!$J13/tech_proj!AG137*0.086*$N$110)/(1-tech_proj!AG417))</f>
        <v>0</v>
      </c>
      <c r="AH1477" s="123">
        <f>IF(tech_base!$T13&gt;AH$1465,"",(tech_base!$J13/tech_proj!AH137*0.086*$N$110)/(1-tech_proj!AH417))</f>
        <v>0</v>
      </c>
      <c r="AI1477" s="123">
        <f>IF(tech_base!$T13&gt;AI$1465,"",(tech_base!$J13/tech_proj!AI137*0.086*$N$110)/(1-tech_proj!AI417))</f>
        <v>0</v>
      </c>
      <c r="AJ1477" s="123">
        <f>IF(tech_base!$T13&gt;AJ$1465,"",(tech_base!$J13/tech_proj!AJ137*0.086*$N$110)/(1-tech_proj!AJ417))</f>
        <v>0</v>
      </c>
      <c r="AK1477" s="123">
        <f>IF(tech_base!$T13&gt;AK$1465,"",(tech_base!$J13/tech_proj!AK137*0.086*$N$110)/(1-tech_proj!AK417))</f>
        <v>0</v>
      </c>
      <c r="AL1477" s="123">
        <f>IF(tech_base!$T13&gt;AL$1465,"",(tech_base!$J13/tech_proj!AL137*0.086*$N$110)/(1-tech_proj!AL417))</f>
        <v>0</v>
      </c>
      <c r="AM1477" s="123">
        <f>IF(tech_base!$T13&gt;AM$1465,"",(tech_base!$J13/tech_proj!AM137*0.086*$N$110)/(1-tech_proj!AM417))</f>
        <v>0</v>
      </c>
      <c r="AN1477" s="123">
        <f>IF(tech_base!$T13&gt;AN$1465,"",(tech_base!$J13/tech_proj!AN137*0.086*$N$110)/(1-tech_proj!AN417))</f>
        <v>0</v>
      </c>
      <c r="AO1477" s="123">
        <f>IF(tech_base!$T13&gt;AO$1465,"",(tech_base!$J13/tech_proj!AO137*0.086*$N$110)/(1-tech_proj!AO417))</f>
        <v>0</v>
      </c>
      <c r="AP1477" s="123">
        <f>IF(tech_base!$T13&gt;AP$1465,"",(tech_base!$J13/tech_proj!AP137*0.086*$N$110)/(1-tech_proj!AP417))</f>
        <v>0</v>
      </c>
      <c r="AQ1477" s="123">
        <f>IF(tech_base!$T13&gt;AQ$1465,"",(tech_base!$J13/tech_proj!AQ137*0.086*$N$110)/(1-tech_proj!AQ417))</f>
        <v>0</v>
      </c>
      <c r="AR1477" s="123">
        <f>IF(tech_base!$T13&gt;AR$1465,"",(tech_base!$J13/tech_proj!AR137*0.086*$N$110)/(1-tech_proj!AR417))</f>
        <v>0</v>
      </c>
      <c r="AS1477" s="123">
        <f>IF(tech_base!$T13&gt;AS$1465,"",(tech_base!$J13/tech_proj!AS137*0.086*$N$110)/(1-tech_proj!AS417))</f>
        <v>0</v>
      </c>
      <c r="AT1477" s="123">
        <f>IF(tech_base!$T13&gt;AT$1465,"",(tech_base!$J13/tech_proj!AT137*0.086*$N$110)/(1-tech_proj!AT417))</f>
        <v>0</v>
      </c>
      <c r="AU1477" s="123">
        <f>IF(tech_base!$T13&gt;AU$1465,"",(tech_base!$J13/tech_proj!AU137*0.086*$N$110)/(1-tech_proj!AU417))</f>
        <v>0</v>
      </c>
      <c r="AV1477" s="123">
        <f>IF(tech_base!$T13&gt;AV$1465,"",(tech_base!$J13/tech_proj!AV137*0.086*$N$110)/(1-tech_proj!AV417))</f>
        <v>0</v>
      </c>
      <c r="AW1477" s="123">
        <f>IF(tech_base!$T13&gt;AW$1465,"",(tech_base!$J13/tech_proj!AW137*0.086*$N$110)/(1-tech_proj!AW417))</f>
        <v>0</v>
      </c>
      <c r="AX1477" s="124">
        <f>IF(tech_base!$T13&gt;AX$1465,"",(tech_base!$J13/tech_proj!AX137*0.086*$N$110)/(1-tech_proj!AX417))</f>
        <v>0</v>
      </c>
    </row>
    <row r="1478" spans="1:50" x14ac:dyDescent="0.25">
      <c r="A1478" s="356"/>
      <c r="B1478" s="359"/>
      <c r="C1478" s="379"/>
      <c r="D1478" s="59" t="s">
        <v>8</v>
      </c>
      <c r="E1478" s="166" t="str">
        <f>A1473&amp;"/"&amp;B1473&amp;"/"&amp;C1477&amp;"/"&amp;D1478</f>
        <v>Coal fired power plants/Integrated gasification combined cycle/Electricity only with CCS/M</v>
      </c>
      <c r="F1478" s="79" t="str">
        <f>A1473</f>
        <v>Coal fired power plants</v>
      </c>
      <c r="G1478" s="79" t="str">
        <f>B1473</f>
        <v>Integrated gasification combined cycle</v>
      </c>
      <c r="H1478" s="79" t="str">
        <f>C1477</f>
        <v>Electricity only with CCS</v>
      </c>
      <c r="I1478" s="167" t="str">
        <f t="shared" si="377"/>
        <v>M</v>
      </c>
      <c r="J1478" s="125" t="str">
        <f>IF(tech_base!$T14&gt;J$1465,"",(tech_base!$J14/tech_proj!J138*0.086*$N$110)/(1-tech_proj!J418))</f>
        <v/>
      </c>
      <c r="K1478" s="125" t="str">
        <f>IF(tech_base!$T14&gt;K$1465,"",(tech_base!$J14/tech_proj!K138*0.086*$N$110)/(1-tech_proj!K418))</f>
        <v/>
      </c>
      <c r="L1478" s="125" t="str">
        <f>IF(tech_base!$T14&gt;L$1465,"",(tech_base!$J14/tech_proj!L138*0.086*$N$110)/(1-tech_proj!L418))</f>
        <v/>
      </c>
      <c r="M1478" s="125" t="str">
        <f>IF(tech_base!$T14&gt;M$1465,"",(tech_base!$J14/tech_proj!M138*0.086*$N$110)/(1-tech_proj!M418))</f>
        <v/>
      </c>
      <c r="N1478" s="125" t="str">
        <f>IF(tech_base!$T14&gt;N$1465,"",(tech_base!$J14/tech_proj!N138*0.086*$N$110)/(1-tech_proj!N418))</f>
        <v/>
      </c>
      <c r="O1478" s="125" t="str">
        <f>IF(tech_base!$T14&gt;O$1465,"",(tech_base!$J14/tech_proj!O138*0.086*$N$110)/(1-tech_proj!O418))</f>
        <v/>
      </c>
      <c r="P1478" s="125" t="str">
        <f>IF(tech_base!$T14&gt;P$1465,"",(tech_base!$J14/tech_proj!P138*0.086*$N$110)/(1-tech_proj!P418))</f>
        <v/>
      </c>
      <c r="Q1478" s="125" t="str">
        <f>IF(tech_base!$T14&gt;Q$1465,"",(tech_base!$J14/tech_proj!Q138*0.086*$N$110)/(1-tech_proj!Q418))</f>
        <v/>
      </c>
      <c r="R1478" s="125" t="str">
        <f>IF(tech_base!$T14&gt;R$1465,"",(tech_base!$J14/tech_proj!R138*0.086*$N$110)/(1-tech_proj!R418))</f>
        <v/>
      </c>
      <c r="S1478" s="125" t="str">
        <f>IF(tech_base!$T14&gt;S$1465,"",(tech_base!$J14/tech_proj!S138*0.086*$N$110)/(1-tech_proj!S418))</f>
        <v/>
      </c>
      <c r="T1478" s="125" t="str">
        <f>IF(tech_base!$T14&gt;T$1465,"",(tech_base!$J14/tech_proj!T138*0.086*$N$110)/(1-tech_proj!T418))</f>
        <v/>
      </c>
      <c r="U1478" s="125" t="str">
        <f>IF(tech_base!$T14&gt;U$1465,"",(tech_base!$J14/tech_proj!U138*0.086*$N$110)/(1-tech_proj!U418))</f>
        <v/>
      </c>
      <c r="V1478" s="125" t="str">
        <f>IF(tech_base!$T14&gt;V$1465,"",(tech_base!$J14/tech_proj!V138*0.086*$N$110)/(1-tech_proj!V418))</f>
        <v/>
      </c>
      <c r="W1478" s="125" t="str">
        <f>IF(tech_base!$T14&gt;W$1465,"",(tech_base!$J14/tech_proj!W138*0.086*$N$110)/(1-tech_proj!W418))</f>
        <v/>
      </c>
      <c r="X1478" s="125" t="str">
        <f>IF(tech_base!$T14&gt;X$1465,"",(tech_base!$J14/tech_proj!X138*0.086*$N$110)/(1-tech_proj!X418))</f>
        <v/>
      </c>
      <c r="Y1478" s="125" t="str">
        <f>IF(tech_base!$T14&gt;Y$1465,"",(tech_base!$J14/tech_proj!Y138*0.086*$N$110)/(1-tech_proj!Y418))</f>
        <v/>
      </c>
      <c r="Z1478" s="125" t="str">
        <f>IF(tech_base!$T14&gt;Z$1465,"",(tech_base!$J14/tech_proj!Z138*0.086*$N$110)/(1-tech_proj!Z418))</f>
        <v/>
      </c>
      <c r="AA1478" s="125" t="str">
        <f>IF(tech_base!$T14&gt;AA$1465,"",(tech_base!$J14/tech_proj!AA138*0.086*$N$110)/(1-tech_proj!AA418))</f>
        <v/>
      </c>
      <c r="AB1478" s="125" t="str">
        <f>IF(tech_base!$T14&gt;AB$1465,"",(tech_base!$J14/tech_proj!AB138*0.086*$N$110)/(1-tech_proj!AB418))</f>
        <v/>
      </c>
      <c r="AC1478" s="125" t="str">
        <f>IF(tech_base!$T14&gt;AC$1465,"",(tech_base!$J14/tech_proj!AC138*0.086*$N$110)/(1-tech_proj!AC418))</f>
        <v/>
      </c>
      <c r="AD1478" s="125" t="str">
        <f>IF(tech_base!$T14&gt;AD$1465,"",(tech_base!$J14/tech_proj!AD138*0.086*$N$110)/(1-tech_proj!AD418))</f>
        <v/>
      </c>
      <c r="AE1478" s="125">
        <f>IF(tech_base!$T14&gt;AE$1465,"",(tech_base!$J14/tech_proj!AE138*0.086*$N$110)/(1-tech_proj!AE418))</f>
        <v>0</v>
      </c>
      <c r="AF1478" s="125">
        <f>IF(tech_base!$T14&gt;AF$1465,"",(tech_base!$J14/tech_proj!AF138*0.086*$N$110)/(1-tech_proj!AF418))</f>
        <v>0</v>
      </c>
      <c r="AG1478" s="125">
        <f>IF(tech_base!$T14&gt;AG$1465,"",(tech_base!$J14/tech_proj!AG138*0.086*$N$110)/(1-tech_proj!AG418))</f>
        <v>0</v>
      </c>
      <c r="AH1478" s="125">
        <f>IF(tech_base!$T14&gt;AH$1465,"",(tech_base!$J14/tech_proj!AH138*0.086*$N$110)/(1-tech_proj!AH418))</f>
        <v>0</v>
      </c>
      <c r="AI1478" s="125">
        <f>IF(tech_base!$T14&gt;AI$1465,"",(tech_base!$J14/tech_proj!AI138*0.086*$N$110)/(1-tech_proj!AI418))</f>
        <v>0</v>
      </c>
      <c r="AJ1478" s="125">
        <f>IF(tech_base!$T14&gt;AJ$1465,"",(tech_base!$J14/tech_proj!AJ138*0.086*$N$110)/(1-tech_proj!AJ418))</f>
        <v>0</v>
      </c>
      <c r="AK1478" s="125">
        <f>IF(tech_base!$T14&gt;AK$1465,"",(tech_base!$J14/tech_proj!AK138*0.086*$N$110)/(1-tech_proj!AK418))</f>
        <v>0</v>
      </c>
      <c r="AL1478" s="125">
        <f>IF(tech_base!$T14&gt;AL$1465,"",(tech_base!$J14/tech_proj!AL138*0.086*$N$110)/(1-tech_proj!AL418))</f>
        <v>0</v>
      </c>
      <c r="AM1478" s="125">
        <f>IF(tech_base!$T14&gt;AM$1465,"",(tech_base!$J14/tech_proj!AM138*0.086*$N$110)/(1-tech_proj!AM418))</f>
        <v>0</v>
      </c>
      <c r="AN1478" s="125">
        <f>IF(tech_base!$T14&gt;AN$1465,"",(tech_base!$J14/tech_proj!AN138*0.086*$N$110)/(1-tech_proj!AN418))</f>
        <v>0</v>
      </c>
      <c r="AO1478" s="125">
        <f>IF(tech_base!$T14&gt;AO$1465,"",(tech_base!$J14/tech_proj!AO138*0.086*$N$110)/(1-tech_proj!AO418))</f>
        <v>0</v>
      </c>
      <c r="AP1478" s="125">
        <f>IF(tech_base!$T14&gt;AP$1465,"",(tech_base!$J14/tech_proj!AP138*0.086*$N$110)/(1-tech_proj!AP418))</f>
        <v>0</v>
      </c>
      <c r="AQ1478" s="125">
        <f>IF(tech_base!$T14&gt;AQ$1465,"",(tech_base!$J14/tech_proj!AQ138*0.086*$N$110)/(1-tech_proj!AQ418))</f>
        <v>0</v>
      </c>
      <c r="AR1478" s="125">
        <f>IF(tech_base!$T14&gt;AR$1465,"",(tech_base!$J14/tech_proj!AR138*0.086*$N$110)/(1-tech_proj!AR418))</f>
        <v>0</v>
      </c>
      <c r="AS1478" s="125">
        <f>IF(tech_base!$T14&gt;AS$1465,"",(tech_base!$J14/tech_proj!AS138*0.086*$N$110)/(1-tech_proj!AS418))</f>
        <v>0</v>
      </c>
      <c r="AT1478" s="125">
        <f>IF(tech_base!$T14&gt;AT$1465,"",(tech_base!$J14/tech_proj!AT138*0.086*$N$110)/(1-tech_proj!AT418))</f>
        <v>0</v>
      </c>
      <c r="AU1478" s="125">
        <f>IF(tech_base!$T14&gt;AU$1465,"",(tech_base!$J14/tech_proj!AU138*0.086*$N$110)/(1-tech_proj!AU418))</f>
        <v>0</v>
      </c>
      <c r="AV1478" s="125">
        <f>IF(tech_base!$T14&gt;AV$1465,"",(tech_base!$J14/tech_proj!AV138*0.086*$N$110)/(1-tech_proj!AV418))</f>
        <v>0</v>
      </c>
      <c r="AW1478" s="125">
        <f>IF(tech_base!$T14&gt;AW$1465,"",(tech_base!$J14/tech_proj!AW138*0.086*$N$110)/(1-tech_proj!AW418))</f>
        <v>0</v>
      </c>
      <c r="AX1478" s="126">
        <f>IF(tech_base!$T14&gt;AX$1465,"",(tech_base!$J14/tech_proj!AX138*0.086*$N$110)/(1-tech_proj!AX418))</f>
        <v>0</v>
      </c>
    </row>
    <row r="1479" spans="1:50" x14ac:dyDescent="0.25">
      <c r="A1479" s="356"/>
      <c r="B1479" s="359"/>
      <c r="C1479" s="361" t="s">
        <v>16</v>
      </c>
      <c r="D1479" s="2" t="s">
        <v>7</v>
      </c>
      <c r="E1479" s="160" t="str">
        <f>A1473&amp;"/"&amp;B1473&amp;"/"&amp;C1479&amp;"/"&amp;D1479</f>
        <v>Coal fired power plants/Integrated gasification combined cycle/CHP with CCS/L</v>
      </c>
      <c r="F1479" s="76" t="str">
        <f>A1473</f>
        <v>Coal fired power plants</v>
      </c>
      <c r="G1479" s="76" t="str">
        <f>B1473</f>
        <v>Integrated gasification combined cycle</v>
      </c>
      <c r="H1479" s="76" t="str">
        <f>C1479</f>
        <v>CHP with CCS</v>
      </c>
      <c r="I1479" s="161" t="str">
        <f t="shared" si="377"/>
        <v>L</v>
      </c>
      <c r="J1479" s="119" t="str">
        <f>IF(tech_base!$T15&gt;J$1465,"",(tech_base!$J15/tech_proj!J139*0.086*$N$110)/(1-tech_proj!J419))</f>
        <v/>
      </c>
      <c r="K1479" s="119" t="str">
        <f>IF(tech_base!$T15&gt;K$1465,"",(tech_base!$J15/tech_proj!K139*0.086*$N$110)/(1-tech_proj!K419))</f>
        <v/>
      </c>
      <c r="L1479" s="119" t="str">
        <f>IF(tech_base!$T15&gt;L$1465,"",(tech_base!$J15/tech_proj!L139*0.086*$N$110)/(1-tech_proj!L419))</f>
        <v/>
      </c>
      <c r="M1479" s="119" t="str">
        <f>IF(tech_base!$T15&gt;M$1465,"",(tech_base!$J15/tech_proj!M139*0.086*$N$110)/(1-tech_proj!M419))</f>
        <v/>
      </c>
      <c r="N1479" s="119" t="str">
        <f>IF(tech_base!$T15&gt;N$1465,"",(tech_base!$J15/tech_proj!N139*0.086*$N$110)/(1-tech_proj!N419))</f>
        <v/>
      </c>
      <c r="O1479" s="119" t="str">
        <f>IF(tech_base!$T15&gt;O$1465,"",(tech_base!$J15/tech_proj!O139*0.086*$N$110)/(1-tech_proj!O419))</f>
        <v/>
      </c>
      <c r="P1479" s="119" t="str">
        <f>IF(tech_base!$T15&gt;P$1465,"",(tech_base!$J15/tech_proj!P139*0.086*$N$110)/(1-tech_proj!P419))</f>
        <v/>
      </c>
      <c r="Q1479" s="119" t="str">
        <f>IF(tech_base!$T15&gt;Q$1465,"",(tech_base!$J15/tech_proj!Q139*0.086*$N$110)/(1-tech_proj!Q419))</f>
        <v/>
      </c>
      <c r="R1479" s="119" t="str">
        <f>IF(tech_base!$T15&gt;R$1465,"",(tech_base!$J15/tech_proj!R139*0.086*$N$110)/(1-tech_proj!R419))</f>
        <v/>
      </c>
      <c r="S1479" s="119" t="str">
        <f>IF(tech_base!$T15&gt;S$1465,"",(tech_base!$J15/tech_proj!S139*0.086*$N$110)/(1-tech_proj!S419))</f>
        <v/>
      </c>
      <c r="T1479" s="119" t="str">
        <f>IF(tech_base!$T15&gt;T$1465,"",(tech_base!$J15/tech_proj!T139*0.086*$N$110)/(1-tech_proj!T419))</f>
        <v/>
      </c>
      <c r="U1479" s="119" t="str">
        <f>IF(tech_base!$T15&gt;U$1465,"",(tech_base!$J15/tech_proj!U139*0.086*$N$110)/(1-tech_proj!U419))</f>
        <v/>
      </c>
      <c r="V1479" s="119" t="str">
        <f>IF(tech_base!$T15&gt;V$1465,"",(tech_base!$J15/tech_proj!V139*0.086*$N$110)/(1-tech_proj!V419))</f>
        <v/>
      </c>
      <c r="W1479" s="119" t="str">
        <f>IF(tech_base!$T15&gt;W$1465,"",(tech_base!$J15/tech_proj!W139*0.086*$N$110)/(1-tech_proj!W419))</f>
        <v/>
      </c>
      <c r="X1479" s="119" t="str">
        <f>IF(tech_base!$T15&gt;X$1465,"",(tech_base!$J15/tech_proj!X139*0.086*$N$110)/(1-tech_proj!X419))</f>
        <v/>
      </c>
      <c r="Y1479" s="119" t="str">
        <f>IF(tech_base!$T15&gt;Y$1465,"",(tech_base!$J15/tech_proj!Y139*0.086*$N$110)/(1-tech_proj!Y419))</f>
        <v/>
      </c>
      <c r="Z1479" s="119" t="str">
        <f>IF(tech_base!$T15&gt;Z$1465,"",(tech_base!$J15/tech_proj!Z139*0.086*$N$110)/(1-tech_proj!Z419))</f>
        <v/>
      </c>
      <c r="AA1479" s="119" t="str">
        <f>IF(tech_base!$T15&gt;AA$1465,"",(tech_base!$J15/tech_proj!AA139*0.086*$N$110)/(1-tech_proj!AA419))</f>
        <v/>
      </c>
      <c r="AB1479" s="119" t="str">
        <f>IF(tech_base!$T15&gt;AB$1465,"",(tech_base!$J15/tech_proj!AB139*0.086*$N$110)/(1-tech_proj!AB419))</f>
        <v/>
      </c>
      <c r="AC1479" s="119" t="str">
        <f>IF(tech_base!$T15&gt;AC$1465,"",(tech_base!$J15/tech_proj!AC139*0.086*$N$110)/(1-tech_proj!AC419))</f>
        <v/>
      </c>
      <c r="AD1479" s="119" t="str">
        <f>IF(tech_base!$T15&gt;AD$1465,"",(tech_base!$J15/tech_proj!AD139*0.086*$N$110)/(1-tech_proj!AD419))</f>
        <v/>
      </c>
      <c r="AE1479" s="119">
        <f>IF(tech_base!$T15&gt;AE$1465,"",(tech_base!$J15/tech_proj!AE139*0.086*$N$110)/(1-tech_proj!AE419))</f>
        <v>0</v>
      </c>
      <c r="AF1479" s="119">
        <f>IF(tech_base!$T15&gt;AF$1465,"",(tech_base!$J15/tech_proj!AF139*0.086*$N$110)/(1-tech_proj!AF419))</f>
        <v>0</v>
      </c>
      <c r="AG1479" s="119">
        <f>IF(tech_base!$T15&gt;AG$1465,"",(tech_base!$J15/tech_proj!AG139*0.086*$N$110)/(1-tech_proj!AG419))</f>
        <v>0</v>
      </c>
      <c r="AH1479" s="119">
        <f>IF(tech_base!$T15&gt;AH$1465,"",(tech_base!$J15/tech_proj!AH139*0.086*$N$110)/(1-tech_proj!AH419))</f>
        <v>0</v>
      </c>
      <c r="AI1479" s="119">
        <f>IF(tech_base!$T15&gt;AI$1465,"",(tech_base!$J15/tech_proj!AI139*0.086*$N$110)/(1-tech_proj!AI419))</f>
        <v>0</v>
      </c>
      <c r="AJ1479" s="119">
        <f>IF(tech_base!$T15&gt;AJ$1465,"",(tech_base!$J15/tech_proj!AJ139*0.086*$N$110)/(1-tech_proj!AJ419))</f>
        <v>0</v>
      </c>
      <c r="AK1479" s="119">
        <f>IF(tech_base!$T15&gt;AK$1465,"",(tech_base!$J15/tech_proj!AK139*0.086*$N$110)/(1-tech_proj!AK419))</f>
        <v>0</v>
      </c>
      <c r="AL1479" s="119">
        <f>IF(tech_base!$T15&gt;AL$1465,"",(tech_base!$J15/tech_proj!AL139*0.086*$N$110)/(1-tech_proj!AL419))</f>
        <v>0</v>
      </c>
      <c r="AM1479" s="119">
        <f>IF(tech_base!$T15&gt;AM$1465,"",(tech_base!$J15/tech_proj!AM139*0.086*$N$110)/(1-tech_proj!AM419))</f>
        <v>0</v>
      </c>
      <c r="AN1479" s="119">
        <f>IF(tech_base!$T15&gt;AN$1465,"",(tech_base!$J15/tech_proj!AN139*0.086*$N$110)/(1-tech_proj!AN419))</f>
        <v>0</v>
      </c>
      <c r="AO1479" s="119">
        <f>IF(tech_base!$T15&gt;AO$1465,"",(tech_base!$J15/tech_proj!AO139*0.086*$N$110)/(1-tech_proj!AO419))</f>
        <v>0</v>
      </c>
      <c r="AP1479" s="119">
        <f>IF(tech_base!$T15&gt;AP$1465,"",(tech_base!$J15/tech_proj!AP139*0.086*$N$110)/(1-tech_proj!AP419))</f>
        <v>0</v>
      </c>
      <c r="AQ1479" s="119">
        <f>IF(tech_base!$T15&gt;AQ$1465,"",(tech_base!$J15/tech_proj!AQ139*0.086*$N$110)/(1-tech_proj!AQ419))</f>
        <v>0</v>
      </c>
      <c r="AR1479" s="119">
        <f>IF(tech_base!$T15&gt;AR$1465,"",(tech_base!$J15/tech_proj!AR139*0.086*$N$110)/(1-tech_proj!AR419))</f>
        <v>0</v>
      </c>
      <c r="AS1479" s="119">
        <f>IF(tech_base!$T15&gt;AS$1465,"",(tech_base!$J15/tech_proj!AS139*0.086*$N$110)/(1-tech_proj!AS419))</f>
        <v>0</v>
      </c>
      <c r="AT1479" s="119">
        <f>IF(tech_base!$T15&gt;AT$1465,"",(tech_base!$J15/tech_proj!AT139*0.086*$N$110)/(1-tech_proj!AT419))</f>
        <v>0</v>
      </c>
      <c r="AU1479" s="119">
        <f>IF(tech_base!$T15&gt;AU$1465,"",(tech_base!$J15/tech_proj!AU139*0.086*$N$110)/(1-tech_proj!AU419))</f>
        <v>0</v>
      </c>
      <c r="AV1479" s="119">
        <f>IF(tech_base!$T15&gt;AV$1465,"",(tech_base!$J15/tech_proj!AV139*0.086*$N$110)/(1-tech_proj!AV419))</f>
        <v>0</v>
      </c>
      <c r="AW1479" s="119">
        <f>IF(tech_base!$T15&gt;AW$1465,"",(tech_base!$J15/tech_proj!AW139*0.086*$N$110)/(1-tech_proj!AW419))</f>
        <v>0</v>
      </c>
      <c r="AX1479" s="120">
        <f>IF(tech_base!$T15&gt;AX$1465,"",(tech_base!$J15/tech_proj!AX139*0.086*$N$110)/(1-tech_proj!AX419))</f>
        <v>0</v>
      </c>
    </row>
    <row r="1480" spans="1:50" x14ac:dyDescent="0.25">
      <c r="A1480" s="356"/>
      <c r="B1480" s="362"/>
      <c r="C1480" s="381"/>
      <c r="D1480" s="4" t="s">
        <v>8</v>
      </c>
      <c r="E1480" s="168" t="str">
        <f>A1473&amp;"/"&amp;B1473&amp;"/"&amp;C1479&amp;"/"&amp;D1480</f>
        <v>Coal fired power plants/Integrated gasification combined cycle/CHP with CCS/M</v>
      </c>
      <c r="F1480" s="80" t="str">
        <f>A1473</f>
        <v>Coal fired power plants</v>
      </c>
      <c r="G1480" s="80" t="str">
        <f>B1473</f>
        <v>Integrated gasification combined cycle</v>
      </c>
      <c r="H1480" s="80" t="str">
        <f>C1479</f>
        <v>CHP with CCS</v>
      </c>
      <c r="I1480" s="169" t="str">
        <f t="shared" si="377"/>
        <v>M</v>
      </c>
      <c r="J1480" s="127" t="str">
        <f>IF(tech_base!$T16&gt;J$1465,"",(tech_base!$J16/tech_proj!J140*0.086*$N$110)/(1-tech_proj!J420))</f>
        <v/>
      </c>
      <c r="K1480" s="127" t="str">
        <f>IF(tech_base!$T16&gt;K$1465,"",(tech_base!$J16/tech_proj!K140*0.086*$N$110)/(1-tech_proj!K420))</f>
        <v/>
      </c>
      <c r="L1480" s="127" t="str">
        <f>IF(tech_base!$T16&gt;L$1465,"",(tech_base!$J16/tech_proj!L140*0.086*$N$110)/(1-tech_proj!L420))</f>
        <v/>
      </c>
      <c r="M1480" s="127" t="str">
        <f>IF(tech_base!$T16&gt;M$1465,"",(tech_base!$J16/tech_proj!M140*0.086*$N$110)/(1-tech_proj!M420))</f>
        <v/>
      </c>
      <c r="N1480" s="127" t="str">
        <f>IF(tech_base!$T16&gt;N$1465,"",(tech_base!$J16/tech_proj!N140*0.086*$N$110)/(1-tech_proj!N420))</f>
        <v/>
      </c>
      <c r="O1480" s="127" t="str">
        <f>IF(tech_base!$T16&gt;O$1465,"",(tech_base!$J16/tech_proj!O140*0.086*$N$110)/(1-tech_proj!O420))</f>
        <v/>
      </c>
      <c r="P1480" s="127" t="str">
        <f>IF(tech_base!$T16&gt;P$1465,"",(tech_base!$J16/tech_proj!P140*0.086*$N$110)/(1-tech_proj!P420))</f>
        <v/>
      </c>
      <c r="Q1480" s="127" t="str">
        <f>IF(tech_base!$T16&gt;Q$1465,"",(tech_base!$J16/tech_proj!Q140*0.086*$N$110)/(1-tech_proj!Q420))</f>
        <v/>
      </c>
      <c r="R1480" s="127" t="str">
        <f>IF(tech_base!$T16&gt;R$1465,"",(tech_base!$J16/tech_proj!R140*0.086*$N$110)/(1-tech_proj!R420))</f>
        <v/>
      </c>
      <c r="S1480" s="127" t="str">
        <f>IF(tech_base!$T16&gt;S$1465,"",(tech_base!$J16/tech_proj!S140*0.086*$N$110)/(1-tech_proj!S420))</f>
        <v/>
      </c>
      <c r="T1480" s="127" t="str">
        <f>IF(tech_base!$T16&gt;T$1465,"",(tech_base!$J16/tech_proj!T140*0.086*$N$110)/(1-tech_proj!T420))</f>
        <v/>
      </c>
      <c r="U1480" s="127" t="str">
        <f>IF(tech_base!$T16&gt;U$1465,"",(tech_base!$J16/tech_proj!U140*0.086*$N$110)/(1-tech_proj!U420))</f>
        <v/>
      </c>
      <c r="V1480" s="127" t="str">
        <f>IF(tech_base!$T16&gt;V$1465,"",(tech_base!$J16/tech_proj!V140*0.086*$N$110)/(1-tech_proj!V420))</f>
        <v/>
      </c>
      <c r="W1480" s="127" t="str">
        <f>IF(tech_base!$T16&gt;W$1465,"",(tech_base!$J16/tech_proj!W140*0.086*$N$110)/(1-tech_proj!W420))</f>
        <v/>
      </c>
      <c r="X1480" s="127" t="str">
        <f>IF(tech_base!$T16&gt;X$1465,"",(tech_base!$J16/tech_proj!X140*0.086*$N$110)/(1-tech_proj!X420))</f>
        <v/>
      </c>
      <c r="Y1480" s="127" t="str">
        <f>IF(tech_base!$T16&gt;Y$1465,"",(tech_base!$J16/tech_proj!Y140*0.086*$N$110)/(1-tech_proj!Y420))</f>
        <v/>
      </c>
      <c r="Z1480" s="127" t="str">
        <f>IF(tech_base!$T16&gt;Z$1465,"",(tech_base!$J16/tech_proj!Z140*0.086*$N$110)/(1-tech_proj!Z420))</f>
        <v/>
      </c>
      <c r="AA1480" s="127" t="str">
        <f>IF(tech_base!$T16&gt;AA$1465,"",(tech_base!$J16/tech_proj!AA140*0.086*$N$110)/(1-tech_proj!AA420))</f>
        <v/>
      </c>
      <c r="AB1480" s="127" t="str">
        <f>IF(tech_base!$T16&gt;AB$1465,"",(tech_base!$J16/tech_proj!AB140*0.086*$N$110)/(1-tech_proj!AB420))</f>
        <v/>
      </c>
      <c r="AC1480" s="127" t="str">
        <f>IF(tech_base!$T16&gt;AC$1465,"",(tech_base!$J16/tech_proj!AC140*0.086*$N$110)/(1-tech_proj!AC420))</f>
        <v/>
      </c>
      <c r="AD1480" s="127" t="str">
        <f>IF(tech_base!$T16&gt;AD$1465,"",(tech_base!$J16/tech_proj!AD140*0.086*$N$110)/(1-tech_proj!AD420))</f>
        <v/>
      </c>
      <c r="AE1480" s="127">
        <f>IF(tech_base!$T16&gt;AE$1465,"",(tech_base!$J16/tech_proj!AE140*0.086*$N$110)/(1-tech_proj!AE420))</f>
        <v>0</v>
      </c>
      <c r="AF1480" s="127">
        <f>IF(tech_base!$T16&gt;AF$1465,"",(tech_base!$J16/tech_proj!AF140*0.086*$N$110)/(1-tech_proj!AF420))</f>
        <v>0</v>
      </c>
      <c r="AG1480" s="127">
        <f>IF(tech_base!$T16&gt;AG$1465,"",(tech_base!$J16/tech_proj!AG140*0.086*$N$110)/(1-tech_proj!AG420))</f>
        <v>0</v>
      </c>
      <c r="AH1480" s="127">
        <f>IF(tech_base!$T16&gt;AH$1465,"",(tech_base!$J16/tech_proj!AH140*0.086*$N$110)/(1-tech_proj!AH420))</f>
        <v>0</v>
      </c>
      <c r="AI1480" s="127">
        <f>IF(tech_base!$T16&gt;AI$1465,"",(tech_base!$J16/tech_proj!AI140*0.086*$N$110)/(1-tech_proj!AI420))</f>
        <v>0</v>
      </c>
      <c r="AJ1480" s="127">
        <f>IF(tech_base!$T16&gt;AJ$1465,"",(tech_base!$J16/tech_proj!AJ140*0.086*$N$110)/(1-tech_proj!AJ420))</f>
        <v>0</v>
      </c>
      <c r="AK1480" s="127">
        <f>IF(tech_base!$T16&gt;AK$1465,"",(tech_base!$J16/tech_proj!AK140*0.086*$N$110)/(1-tech_proj!AK420))</f>
        <v>0</v>
      </c>
      <c r="AL1480" s="127">
        <f>IF(tech_base!$T16&gt;AL$1465,"",(tech_base!$J16/tech_proj!AL140*0.086*$N$110)/(1-tech_proj!AL420))</f>
        <v>0</v>
      </c>
      <c r="AM1480" s="127">
        <f>IF(tech_base!$T16&gt;AM$1465,"",(tech_base!$J16/tech_proj!AM140*0.086*$N$110)/(1-tech_proj!AM420))</f>
        <v>0</v>
      </c>
      <c r="AN1480" s="127">
        <f>IF(tech_base!$T16&gt;AN$1465,"",(tech_base!$J16/tech_proj!AN140*0.086*$N$110)/(1-tech_proj!AN420))</f>
        <v>0</v>
      </c>
      <c r="AO1480" s="127">
        <f>IF(tech_base!$T16&gt;AO$1465,"",(tech_base!$J16/tech_proj!AO140*0.086*$N$110)/(1-tech_proj!AO420))</f>
        <v>0</v>
      </c>
      <c r="AP1480" s="127">
        <f>IF(tech_base!$T16&gt;AP$1465,"",(tech_base!$J16/tech_proj!AP140*0.086*$N$110)/(1-tech_proj!AP420))</f>
        <v>0</v>
      </c>
      <c r="AQ1480" s="127">
        <f>IF(tech_base!$T16&gt;AQ$1465,"",(tech_base!$J16/tech_proj!AQ140*0.086*$N$110)/(1-tech_proj!AQ420))</f>
        <v>0</v>
      </c>
      <c r="AR1480" s="127">
        <f>IF(tech_base!$T16&gt;AR$1465,"",(tech_base!$J16/tech_proj!AR140*0.086*$N$110)/(1-tech_proj!AR420))</f>
        <v>0</v>
      </c>
      <c r="AS1480" s="127">
        <f>IF(tech_base!$T16&gt;AS$1465,"",(tech_base!$J16/tech_proj!AS140*0.086*$N$110)/(1-tech_proj!AS420))</f>
        <v>0</v>
      </c>
      <c r="AT1480" s="127">
        <f>IF(tech_base!$T16&gt;AT$1465,"",(tech_base!$J16/tech_proj!AT140*0.086*$N$110)/(1-tech_proj!AT420))</f>
        <v>0</v>
      </c>
      <c r="AU1480" s="127">
        <f>IF(tech_base!$T16&gt;AU$1465,"",(tech_base!$J16/tech_proj!AU140*0.086*$N$110)/(1-tech_proj!AU420))</f>
        <v>0</v>
      </c>
      <c r="AV1480" s="127">
        <f>IF(tech_base!$T16&gt;AV$1465,"",(tech_base!$J16/tech_proj!AV140*0.086*$N$110)/(1-tech_proj!AV420))</f>
        <v>0</v>
      </c>
      <c r="AW1480" s="127">
        <f>IF(tech_base!$T16&gt;AW$1465,"",(tech_base!$J16/tech_proj!AW140*0.086*$N$110)/(1-tech_proj!AW420))</f>
        <v>0</v>
      </c>
      <c r="AX1480" s="128">
        <f>IF(tech_base!$T16&gt;AX$1465,"",(tech_base!$J16/tech_proj!AX140*0.086*$N$110)/(1-tech_proj!AX420))</f>
        <v>0</v>
      </c>
    </row>
    <row r="1481" spans="1:50" x14ac:dyDescent="0.25">
      <c r="A1481" s="356"/>
      <c r="B1481" s="358" t="s">
        <v>17</v>
      </c>
      <c r="C1481" s="353" t="s">
        <v>6</v>
      </c>
      <c r="D1481" s="3" t="s">
        <v>7</v>
      </c>
      <c r="E1481" s="162" t="str">
        <f>A1473&amp;"/"&amp;B1481&amp;"/"&amp;C1481&amp;"/"&amp;D1481</f>
        <v>Coal fired power plants/Supercritical steam turbine/Electricity only/L</v>
      </c>
      <c r="F1481" s="77" t="str">
        <f>A1473</f>
        <v>Coal fired power plants</v>
      </c>
      <c r="G1481" s="77" t="str">
        <f>B1481</f>
        <v>Supercritical steam turbine</v>
      </c>
      <c r="H1481" s="77" t="str">
        <f>C1481</f>
        <v>Electricity only</v>
      </c>
      <c r="I1481" s="163" t="str">
        <f t="shared" si="377"/>
        <v>L</v>
      </c>
      <c r="J1481" s="121">
        <f>IF(tech_base!$T17&gt;J$1465,"",(tech_base!$J17/tech_proj!J141*0.086*$N$110)/(1-tech_proj!J421))</f>
        <v>0</v>
      </c>
      <c r="K1481" s="121">
        <f>IF(tech_base!$T17&gt;K$1465,"",(tech_base!$J17/tech_proj!K141*0.086*$N$110)/(1-tech_proj!K421))</f>
        <v>0</v>
      </c>
      <c r="L1481" s="121">
        <f>IF(tech_base!$T17&gt;L$1465,"",(tech_base!$J17/tech_proj!L141*0.086*$N$110)/(1-tech_proj!L421))</f>
        <v>0</v>
      </c>
      <c r="M1481" s="121">
        <f>IF(tech_base!$T17&gt;M$1465,"",(tech_base!$J17/tech_proj!M141*0.086*$N$110)/(1-tech_proj!M421))</f>
        <v>0</v>
      </c>
      <c r="N1481" s="121">
        <f>IF(tech_base!$T17&gt;N$1465,"",(tech_base!$J17/tech_proj!N141*0.086*$N$110)/(1-tech_proj!N421))</f>
        <v>0</v>
      </c>
      <c r="O1481" s="121">
        <f>IF(tech_base!$T17&gt;O$1465,"",(tech_base!$J17/tech_proj!O141*0.086*$N$110)/(1-tech_proj!O421))</f>
        <v>0</v>
      </c>
      <c r="P1481" s="121">
        <f>IF(tech_base!$T17&gt;P$1465,"",(tech_base!$J17/tech_proj!P141*0.086*$N$110)/(1-tech_proj!P421))</f>
        <v>0</v>
      </c>
      <c r="Q1481" s="121">
        <f>IF(tech_base!$T17&gt;Q$1465,"",(tech_base!$J17/tech_proj!Q141*0.086*$N$110)/(1-tech_proj!Q421))</f>
        <v>0</v>
      </c>
      <c r="R1481" s="121">
        <f>IF(tech_base!$T17&gt;R$1465,"",(tech_base!$J17/tech_proj!R141*0.086*$N$110)/(1-tech_proj!R421))</f>
        <v>0</v>
      </c>
      <c r="S1481" s="121">
        <f>IF(tech_base!$T17&gt;S$1465,"",(tech_base!$J17/tech_proj!S141*0.086*$N$110)/(1-tech_proj!S421))</f>
        <v>0</v>
      </c>
      <c r="T1481" s="121">
        <f>IF(tech_base!$T17&gt;T$1465,"",(tech_base!$J17/tech_proj!T141*0.086*$N$110)/(1-tech_proj!T421))</f>
        <v>0</v>
      </c>
      <c r="U1481" s="121">
        <f>IF(tech_base!$T17&gt;U$1465,"",(tech_base!$J17/tech_proj!U141*0.086*$N$110)/(1-tech_proj!U421))</f>
        <v>0</v>
      </c>
      <c r="V1481" s="121">
        <f>IF(tech_base!$T17&gt;V$1465,"",(tech_base!$J17/tech_proj!V141*0.086*$N$110)/(1-tech_proj!V421))</f>
        <v>0</v>
      </c>
      <c r="W1481" s="121">
        <f>IF(tech_base!$T17&gt;W$1465,"",(tech_base!$J17/tech_proj!W141*0.086*$N$110)/(1-tech_proj!W421))</f>
        <v>0</v>
      </c>
      <c r="X1481" s="121">
        <f>IF(tech_base!$T17&gt;X$1465,"",(tech_base!$J17/tech_proj!X141*0.086*$N$110)/(1-tech_proj!X421))</f>
        <v>0</v>
      </c>
      <c r="Y1481" s="121">
        <f>IF(tech_base!$T17&gt;Y$1465,"",(tech_base!$J17/tech_proj!Y141*0.086*$N$110)/(1-tech_proj!Y421))</f>
        <v>0</v>
      </c>
      <c r="Z1481" s="121">
        <f>IF(tech_base!$T17&gt;Z$1465,"",(tech_base!$J17/tech_proj!Z141*0.086*$N$110)/(1-tech_proj!Z421))</f>
        <v>0</v>
      </c>
      <c r="AA1481" s="121">
        <f>IF(tech_base!$T17&gt;AA$1465,"",(tech_base!$J17/tech_proj!AA141*0.086*$N$110)/(1-tech_proj!AA421))</f>
        <v>0</v>
      </c>
      <c r="AB1481" s="121">
        <f>IF(tech_base!$T17&gt;AB$1465,"",(tech_base!$J17/tech_proj!AB141*0.086*$N$110)/(1-tech_proj!AB421))</f>
        <v>0</v>
      </c>
      <c r="AC1481" s="121">
        <f>IF(tech_base!$T17&gt;AC$1465,"",(tech_base!$J17/tech_proj!AC141*0.086*$N$110)/(1-tech_proj!AC421))</f>
        <v>0</v>
      </c>
      <c r="AD1481" s="121">
        <f>IF(tech_base!$T17&gt;AD$1465,"",(tech_base!$J17/tech_proj!AD141*0.086*$N$110)/(1-tech_proj!AD421))</f>
        <v>0</v>
      </c>
      <c r="AE1481" s="121">
        <f>IF(tech_base!$T17&gt;AE$1465,"",(tech_base!$J17/tech_proj!AE141*0.086*$N$110)/(1-tech_proj!AE421))</f>
        <v>0</v>
      </c>
      <c r="AF1481" s="121">
        <f>IF(tech_base!$T17&gt;AF$1465,"",(tech_base!$J17/tech_proj!AF141*0.086*$N$110)/(1-tech_proj!AF421))</f>
        <v>0</v>
      </c>
      <c r="AG1481" s="121">
        <f>IF(tech_base!$T17&gt;AG$1465,"",(tech_base!$J17/tech_proj!AG141*0.086*$N$110)/(1-tech_proj!AG421))</f>
        <v>0</v>
      </c>
      <c r="AH1481" s="121">
        <f>IF(tech_base!$T17&gt;AH$1465,"",(tech_base!$J17/tech_proj!AH141*0.086*$N$110)/(1-tech_proj!AH421))</f>
        <v>0</v>
      </c>
      <c r="AI1481" s="121">
        <f>IF(tech_base!$T17&gt;AI$1465,"",(tech_base!$J17/tech_proj!AI141*0.086*$N$110)/(1-tech_proj!AI421))</f>
        <v>0</v>
      </c>
      <c r="AJ1481" s="121">
        <f>IF(tech_base!$T17&gt;AJ$1465,"",(tech_base!$J17/tech_proj!AJ141*0.086*$N$110)/(1-tech_proj!AJ421))</f>
        <v>0</v>
      </c>
      <c r="AK1481" s="121">
        <f>IF(tech_base!$T17&gt;AK$1465,"",(tech_base!$J17/tech_proj!AK141*0.086*$N$110)/(1-tech_proj!AK421))</f>
        <v>0</v>
      </c>
      <c r="AL1481" s="121">
        <f>IF(tech_base!$T17&gt;AL$1465,"",(tech_base!$J17/tech_proj!AL141*0.086*$N$110)/(1-tech_proj!AL421))</f>
        <v>0</v>
      </c>
      <c r="AM1481" s="121">
        <f>IF(tech_base!$T17&gt;AM$1465,"",(tech_base!$J17/tech_proj!AM141*0.086*$N$110)/(1-tech_proj!AM421))</f>
        <v>0</v>
      </c>
      <c r="AN1481" s="121">
        <f>IF(tech_base!$T17&gt;AN$1465,"",(tech_base!$J17/tech_proj!AN141*0.086*$N$110)/(1-tech_proj!AN421))</f>
        <v>0</v>
      </c>
      <c r="AO1481" s="121">
        <f>IF(tech_base!$T17&gt;AO$1465,"",(tech_base!$J17/tech_proj!AO141*0.086*$N$110)/(1-tech_proj!AO421))</f>
        <v>0</v>
      </c>
      <c r="AP1481" s="121">
        <f>IF(tech_base!$T17&gt;AP$1465,"",(tech_base!$J17/tech_proj!AP141*0.086*$N$110)/(1-tech_proj!AP421))</f>
        <v>0</v>
      </c>
      <c r="AQ1481" s="121">
        <f>IF(tech_base!$T17&gt;AQ$1465,"",(tech_base!$J17/tech_proj!AQ141*0.086*$N$110)/(1-tech_proj!AQ421))</f>
        <v>0</v>
      </c>
      <c r="AR1481" s="121">
        <f>IF(tech_base!$T17&gt;AR$1465,"",(tech_base!$J17/tech_proj!AR141*0.086*$N$110)/(1-tech_proj!AR421))</f>
        <v>0</v>
      </c>
      <c r="AS1481" s="121">
        <f>IF(tech_base!$T17&gt;AS$1465,"",(tech_base!$J17/tech_proj!AS141*0.086*$N$110)/(1-tech_proj!AS421))</f>
        <v>0</v>
      </c>
      <c r="AT1481" s="121">
        <f>IF(tech_base!$T17&gt;AT$1465,"",(tech_base!$J17/tech_proj!AT141*0.086*$N$110)/(1-tech_proj!AT421))</f>
        <v>0</v>
      </c>
      <c r="AU1481" s="121">
        <f>IF(tech_base!$T17&gt;AU$1465,"",(tech_base!$J17/tech_proj!AU141*0.086*$N$110)/(1-tech_proj!AU421))</f>
        <v>0</v>
      </c>
      <c r="AV1481" s="121">
        <f>IF(tech_base!$T17&gt;AV$1465,"",(tech_base!$J17/tech_proj!AV141*0.086*$N$110)/(1-tech_proj!AV421))</f>
        <v>0</v>
      </c>
      <c r="AW1481" s="121">
        <f>IF(tech_base!$T17&gt;AW$1465,"",(tech_base!$J17/tech_proj!AW141*0.086*$N$110)/(1-tech_proj!AW421))</f>
        <v>0</v>
      </c>
      <c r="AX1481" s="122">
        <f>IF(tech_base!$T17&gt;AX$1465,"",(tech_base!$J17/tech_proj!AX141*0.086*$N$110)/(1-tech_proj!AX421))</f>
        <v>0</v>
      </c>
    </row>
    <row r="1482" spans="1:50" x14ac:dyDescent="0.25">
      <c r="A1482" s="356"/>
      <c r="B1482" s="376"/>
      <c r="C1482" s="379"/>
      <c r="D1482" s="2" t="s">
        <v>8</v>
      </c>
      <c r="E1482" s="160" t="str">
        <f>A1473&amp;"/"&amp;B1481&amp;"/"&amp;C1481&amp;"/"&amp;D1482</f>
        <v>Coal fired power plants/Supercritical steam turbine/Electricity only/M</v>
      </c>
      <c r="F1482" s="76" t="str">
        <f>A1473</f>
        <v>Coal fired power plants</v>
      </c>
      <c r="G1482" s="76" t="str">
        <f>B1481</f>
        <v>Supercritical steam turbine</v>
      </c>
      <c r="H1482" s="76" t="str">
        <f>C1481</f>
        <v>Electricity only</v>
      </c>
      <c r="I1482" s="161" t="str">
        <f t="shared" si="377"/>
        <v>M</v>
      </c>
      <c r="J1482" s="119">
        <f>IF(tech_base!$T18&gt;J$1465,"",(tech_base!$J18/tech_proj!J142*0.086*$N$110)/(1-tech_proj!J422))</f>
        <v>0</v>
      </c>
      <c r="K1482" s="119">
        <f>IF(tech_base!$T18&gt;K$1465,"",(tech_base!$J18/tech_proj!K142*0.086*$N$110)/(1-tech_proj!K422))</f>
        <v>0</v>
      </c>
      <c r="L1482" s="119">
        <f>IF(tech_base!$T18&gt;L$1465,"",(tech_base!$J18/tech_proj!L142*0.086*$N$110)/(1-tech_proj!L422))</f>
        <v>0</v>
      </c>
      <c r="M1482" s="119">
        <f>IF(tech_base!$T18&gt;M$1465,"",(tech_base!$J18/tech_proj!M142*0.086*$N$110)/(1-tech_proj!M422))</f>
        <v>0</v>
      </c>
      <c r="N1482" s="119">
        <f>IF(tech_base!$T18&gt;N$1465,"",(tech_base!$J18/tech_proj!N142*0.086*$N$110)/(1-tech_proj!N422))</f>
        <v>0</v>
      </c>
      <c r="O1482" s="119">
        <f>IF(tech_base!$T18&gt;O$1465,"",(tech_base!$J18/tech_proj!O142*0.086*$N$110)/(1-tech_proj!O422))</f>
        <v>0</v>
      </c>
      <c r="P1482" s="119">
        <f>IF(tech_base!$T18&gt;P$1465,"",(tech_base!$J18/tech_proj!P142*0.086*$N$110)/(1-tech_proj!P422))</f>
        <v>0</v>
      </c>
      <c r="Q1482" s="119">
        <f>IF(tech_base!$T18&gt;Q$1465,"",(tech_base!$J18/tech_proj!Q142*0.086*$N$110)/(1-tech_proj!Q422))</f>
        <v>0</v>
      </c>
      <c r="R1482" s="119">
        <f>IF(tech_base!$T18&gt;R$1465,"",(tech_base!$J18/tech_proj!R142*0.086*$N$110)/(1-tech_proj!R422))</f>
        <v>0</v>
      </c>
      <c r="S1482" s="119">
        <f>IF(tech_base!$T18&gt;S$1465,"",(tech_base!$J18/tech_proj!S142*0.086*$N$110)/(1-tech_proj!S422))</f>
        <v>0</v>
      </c>
      <c r="T1482" s="119">
        <f>IF(tech_base!$T18&gt;T$1465,"",(tech_base!$J18/tech_proj!T142*0.086*$N$110)/(1-tech_proj!T422))</f>
        <v>0</v>
      </c>
      <c r="U1482" s="119">
        <f>IF(tech_base!$T18&gt;U$1465,"",(tech_base!$J18/tech_proj!U142*0.086*$N$110)/(1-tech_proj!U422))</f>
        <v>0</v>
      </c>
      <c r="V1482" s="119">
        <f>IF(tech_base!$T18&gt;V$1465,"",(tech_base!$J18/tech_proj!V142*0.086*$N$110)/(1-tech_proj!V422))</f>
        <v>0</v>
      </c>
      <c r="W1482" s="119">
        <f>IF(tech_base!$T18&gt;W$1465,"",(tech_base!$J18/tech_proj!W142*0.086*$N$110)/(1-tech_proj!W422))</f>
        <v>0</v>
      </c>
      <c r="X1482" s="119">
        <f>IF(tech_base!$T18&gt;X$1465,"",(tech_base!$J18/tech_proj!X142*0.086*$N$110)/(1-tech_proj!X422))</f>
        <v>0</v>
      </c>
      <c r="Y1482" s="119">
        <f>IF(tech_base!$T18&gt;Y$1465,"",(tech_base!$J18/tech_proj!Y142*0.086*$N$110)/(1-tech_proj!Y422))</f>
        <v>0</v>
      </c>
      <c r="Z1482" s="119">
        <f>IF(tech_base!$T18&gt;Z$1465,"",(tech_base!$J18/tech_proj!Z142*0.086*$N$110)/(1-tech_proj!Z422))</f>
        <v>0</v>
      </c>
      <c r="AA1482" s="119">
        <f>IF(tech_base!$T18&gt;AA$1465,"",(tech_base!$J18/tech_proj!AA142*0.086*$N$110)/(1-tech_proj!AA422))</f>
        <v>0</v>
      </c>
      <c r="AB1482" s="119">
        <f>IF(tech_base!$T18&gt;AB$1465,"",(tech_base!$J18/tech_proj!AB142*0.086*$N$110)/(1-tech_proj!AB422))</f>
        <v>0</v>
      </c>
      <c r="AC1482" s="119">
        <f>IF(tech_base!$T18&gt;AC$1465,"",(tech_base!$J18/tech_proj!AC142*0.086*$N$110)/(1-tech_proj!AC422))</f>
        <v>0</v>
      </c>
      <c r="AD1482" s="119">
        <f>IF(tech_base!$T18&gt;AD$1465,"",(tech_base!$J18/tech_proj!AD142*0.086*$N$110)/(1-tech_proj!AD422))</f>
        <v>0</v>
      </c>
      <c r="AE1482" s="119">
        <f>IF(tech_base!$T18&gt;AE$1465,"",(tech_base!$J18/tech_proj!AE142*0.086*$N$110)/(1-tech_proj!AE422))</f>
        <v>0</v>
      </c>
      <c r="AF1482" s="119">
        <f>IF(tech_base!$T18&gt;AF$1465,"",(tech_base!$J18/tech_proj!AF142*0.086*$N$110)/(1-tech_proj!AF422))</f>
        <v>0</v>
      </c>
      <c r="AG1482" s="119">
        <f>IF(tech_base!$T18&gt;AG$1465,"",(tech_base!$J18/tech_proj!AG142*0.086*$N$110)/(1-tech_proj!AG422))</f>
        <v>0</v>
      </c>
      <c r="AH1482" s="119">
        <f>IF(tech_base!$T18&gt;AH$1465,"",(tech_base!$J18/tech_proj!AH142*0.086*$N$110)/(1-tech_proj!AH422))</f>
        <v>0</v>
      </c>
      <c r="AI1482" s="119">
        <f>IF(tech_base!$T18&gt;AI$1465,"",(tech_base!$J18/tech_proj!AI142*0.086*$N$110)/(1-tech_proj!AI422))</f>
        <v>0</v>
      </c>
      <c r="AJ1482" s="119">
        <f>IF(tech_base!$T18&gt;AJ$1465,"",(tech_base!$J18/tech_proj!AJ142*0.086*$N$110)/(1-tech_proj!AJ422))</f>
        <v>0</v>
      </c>
      <c r="AK1482" s="119">
        <f>IF(tech_base!$T18&gt;AK$1465,"",(tech_base!$J18/tech_proj!AK142*0.086*$N$110)/(1-tech_proj!AK422))</f>
        <v>0</v>
      </c>
      <c r="AL1482" s="119">
        <f>IF(tech_base!$T18&gt;AL$1465,"",(tech_base!$J18/tech_proj!AL142*0.086*$N$110)/(1-tech_proj!AL422))</f>
        <v>0</v>
      </c>
      <c r="AM1482" s="119">
        <f>IF(tech_base!$T18&gt;AM$1465,"",(tech_base!$J18/tech_proj!AM142*0.086*$N$110)/(1-tech_proj!AM422))</f>
        <v>0</v>
      </c>
      <c r="AN1482" s="119">
        <f>IF(tech_base!$T18&gt;AN$1465,"",(tech_base!$J18/tech_proj!AN142*0.086*$N$110)/(1-tech_proj!AN422))</f>
        <v>0</v>
      </c>
      <c r="AO1482" s="119">
        <f>IF(tech_base!$T18&gt;AO$1465,"",(tech_base!$J18/tech_proj!AO142*0.086*$N$110)/(1-tech_proj!AO422))</f>
        <v>0</v>
      </c>
      <c r="AP1482" s="119">
        <f>IF(tech_base!$T18&gt;AP$1465,"",(tech_base!$J18/tech_proj!AP142*0.086*$N$110)/(1-tech_proj!AP422))</f>
        <v>0</v>
      </c>
      <c r="AQ1482" s="119">
        <f>IF(tech_base!$T18&gt;AQ$1465,"",(tech_base!$J18/tech_proj!AQ142*0.086*$N$110)/(1-tech_proj!AQ422))</f>
        <v>0</v>
      </c>
      <c r="AR1482" s="119">
        <f>IF(tech_base!$T18&gt;AR$1465,"",(tech_base!$J18/tech_proj!AR142*0.086*$N$110)/(1-tech_proj!AR422))</f>
        <v>0</v>
      </c>
      <c r="AS1482" s="119">
        <f>IF(tech_base!$T18&gt;AS$1465,"",(tech_base!$J18/tech_proj!AS142*0.086*$N$110)/(1-tech_proj!AS422))</f>
        <v>0</v>
      </c>
      <c r="AT1482" s="119">
        <f>IF(tech_base!$T18&gt;AT$1465,"",(tech_base!$J18/tech_proj!AT142*0.086*$N$110)/(1-tech_proj!AT422))</f>
        <v>0</v>
      </c>
      <c r="AU1482" s="119">
        <f>IF(tech_base!$T18&gt;AU$1465,"",(tech_base!$J18/tech_proj!AU142*0.086*$N$110)/(1-tech_proj!AU422))</f>
        <v>0</v>
      </c>
      <c r="AV1482" s="119">
        <f>IF(tech_base!$T18&gt;AV$1465,"",(tech_base!$J18/tech_proj!AV142*0.086*$N$110)/(1-tech_proj!AV422))</f>
        <v>0</v>
      </c>
      <c r="AW1482" s="119">
        <f>IF(tech_base!$T18&gt;AW$1465,"",(tech_base!$J18/tech_proj!AW142*0.086*$N$110)/(1-tech_proj!AW422))</f>
        <v>0</v>
      </c>
      <c r="AX1482" s="120">
        <f>IF(tech_base!$T18&gt;AX$1465,"",(tech_base!$J18/tech_proj!AX142*0.086*$N$110)/(1-tech_proj!AX422))</f>
        <v>0</v>
      </c>
    </row>
    <row r="1483" spans="1:50" x14ac:dyDescent="0.25">
      <c r="A1483" s="356"/>
      <c r="B1483" s="376"/>
      <c r="C1483" s="361" t="s">
        <v>14</v>
      </c>
      <c r="D1483" s="58" t="s">
        <v>7</v>
      </c>
      <c r="E1483" s="164" t="str">
        <f>A1473&amp;"/"&amp;B1481&amp;"/"&amp;C1483&amp;"/"&amp;D1483</f>
        <v>Coal fired power plants/Supercritical steam turbine/CHP/L</v>
      </c>
      <c r="F1483" s="78" t="str">
        <f>A1473</f>
        <v>Coal fired power plants</v>
      </c>
      <c r="G1483" s="78" t="str">
        <f>B1481</f>
        <v>Supercritical steam turbine</v>
      </c>
      <c r="H1483" s="78" t="str">
        <f>C1483</f>
        <v>CHP</v>
      </c>
      <c r="I1483" s="165" t="str">
        <f t="shared" si="377"/>
        <v>L</v>
      </c>
      <c r="J1483" s="123">
        <f>IF(tech_base!$T19&gt;J$1465,"",(tech_base!$J19/tech_proj!J143*0.086*$N$110)/(1-tech_proj!J423))</f>
        <v>0</v>
      </c>
      <c r="K1483" s="123">
        <f>IF(tech_base!$T19&gt;K$1465,"",(tech_base!$J19/tech_proj!K143*0.086*$N$110)/(1-tech_proj!K423))</f>
        <v>0</v>
      </c>
      <c r="L1483" s="123">
        <f>IF(tech_base!$T19&gt;L$1465,"",(tech_base!$J19/tech_proj!L143*0.086*$N$110)/(1-tech_proj!L423))</f>
        <v>0</v>
      </c>
      <c r="M1483" s="123">
        <f>IF(tech_base!$T19&gt;M$1465,"",(tech_base!$J19/tech_proj!M143*0.086*$N$110)/(1-tech_proj!M423))</f>
        <v>0</v>
      </c>
      <c r="N1483" s="123">
        <f>IF(tech_base!$T19&gt;N$1465,"",(tech_base!$J19/tech_proj!N143*0.086*$N$110)/(1-tech_proj!N423))</f>
        <v>0</v>
      </c>
      <c r="O1483" s="123">
        <f>IF(tech_base!$T19&gt;O$1465,"",(tech_base!$J19/tech_proj!O143*0.086*$N$110)/(1-tech_proj!O423))</f>
        <v>0</v>
      </c>
      <c r="P1483" s="123">
        <f>IF(tech_base!$T19&gt;P$1465,"",(tech_base!$J19/tech_proj!P143*0.086*$N$110)/(1-tech_proj!P423))</f>
        <v>0</v>
      </c>
      <c r="Q1483" s="123">
        <f>IF(tech_base!$T19&gt;Q$1465,"",(tech_base!$J19/tech_proj!Q143*0.086*$N$110)/(1-tech_proj!Q423))</f>
        <v>0</v>
      </c>
      <c r="R1483" s="123">
        <f>IF(tech_base!$T19&gt;R$1465,"",(tech_base!$J19/tech_proj!R143*0.086*$N$110)/(1-tech_proj!R423))</f>
        <v>0</v>
      </c>
      <c r="S1483" s="123">
        <f>IF(tech_base!$T19&gt;S$1465,"",(tech_base!$J19/tech_proj!S143*0.086*$N$110)/(1-tech_proj!S423))</f>
        <v>0</v>
      </c>
      <c r="T1483" s="123">
        <f>IF(tech_base!$T19&gt;T$1465,"",(tech_base!$J19/tech_proj!T143*0.086*$N$110)/(1-tech_proj!T423))</f>
        <v>0</v>
      </c>
      <c r="U1483" s="123">
        <f>IF(tech_base!$T19&gt;U$1465,"",(tech_base!$J19/tech_proj!U143*0.086*$N$110)/(1-tech_proj!U423))</f>
        <v>0</v>
      </c>
      <c r="V1483" s="123">
        <f>IF(tech_base!$T19&gt;V$1465,"",(tech_base!$J19/tech_proj!V143*0.086*$N$110)/(1-tech_proj!V423))</f>
        <v>0</v>
      </c>
      <c r="W1483" s="123">
        <f>IF(tech_base!$T19&gt;W$1465,"",(tech_base!$J19/tech_proj!W143*0.086*$N$110)/(1-tech_proj!W423))</f>
        <v>0</v>
      </c>
      <c r="X1483" s="123">
        <f>IF(tech_base!$T19&gt;X$1465,"",(tech_base!$J19/tech_proj!X143*0.086*$N$110)/(1-tech_proj!X423))</f>
        <v>0</v>
      </c>
      <c r="Y1483" s="123">
        <f>IF(tech_base!$T19&gt;Y$1465,"",(tech_base!$J19/tech_proj!Y143*0.086*$N$110)/(1-tech_proj!Y423))</f>
        <v>0</v>
      </c>
      <c r="Z1483" s="123">
        <f>IF(tech_base!$T19&gt;Z$1465,"",(tech_base!$J19/tech_proj!Z143*0.086*$N$110)/(1-tech_proj!Z423))</f>
        <v>0</v>
      </c>
      <c r="AA1483" s="123">
        <f>IF(tech_base!$T19&gt;AA$1465,"",(tech_base!$J19/tech_proj!AA143*0.086*$N$110)/(1-tech_proj!AA423))</f>
        <v>0</v>
      </c>
      <c r="AB1483" s="123">
        <f>IF(tech_base!$T19&gt;AB$1465,"",(tech_base!$J19/tech_proj!AB143*0.086*$N$110)/(1-tech_proj!AB423))</f>
        <v>0</v>
      </c>
      <c r="AC1483" s="123">
        <f>IF(tech_base!$T19&gt;AC$1465,"",(tech_base!$J19/tech_proj!AC143*0.086*$N$110)/(1-tech_proj!AC423))</f>
        <v>0</v>
      </c>
      <c r="AD1483" s="123">
        <f>IF(tech_base!$T19&gt;AD$1465,"",(tech_base!$J19/tech_proj!AD143*0.086*$N$110)/(1-tech_proj!AD423))</f>
        <v>0</v>
      </c>
      <c r="AE1483" s="123">
        <f>IF(tech_base!$T19&gt;AE$1465,"",(tech_base!$J19/tech_proj!AE143*0.086*$N$110)/(1-tech_proj!AE423))</f>
        <v>0</v>
      </c>
      <c r="AF1483" s="123">
        <f>IF(tech_base!$T19&gt;AF$1465,"",(tech_base!$J19/tech_proj!AF143*0.086*$N$110)/(1-tech_proj!AF423))</f>
        <v>0</v>
      </c>
      <c r="AG1483" s="123">
        <f>IF(tech_base!$T19&gt;AG$1465,"",(tech_base!$J19/tech_proj!AG143*0.086*$N$110)/(1-tech_proj!AG423))</f>
        <v>0</v>
      </c>
      <c r="AH1483" s="123">
        <f>IF(tech_base!$T19&gt;AH$1465,"",(tech_base!$J19/tech_proj!AH143*0.086*$N$110)/(1-tech_proj!AH423))</f>
        <v>0</v>
      </c>
      <c r="AI1483" s="123">
        <f>IF(tech_base!$T19&gt;AI$1465,"",(tech_base!$J19/tech_proj!AI143*0.086*$N$110)/(1-tech_proj!AI423))</f>
        <v>0</v>
      </c>
      <c r="AJ1483" s="123">
        <f>IF(tech_base!$T19&gt;AJ$1465,"",(tech_base!$J19/tech_proj!AJ143*0.086*$N$110)/(1-tech_proj!AJ423))</f>
        <v>0</v>
      </c>
      <c r="AK1483" s="123">
        <f>IF(tech_base!$T19&gt;AK$1465,"",(tech_base!$J19/tech_proj!AK143*0.086*$N$110)/(1-tech_proj!AK423))</f>
        <v>0</v>
      </c>
      <c r="AL1483" s="123">
        <f>IF(tech_base!$T19&gt;AL$1465,"",(tech_base!$J19/tech_proj!AL143*0.086*$N$110)/(1-tech_proj!AL423))</f>
        <v>0</v>
      </c>
      <c r="AM1483" s="123">
        <f>IF(tech_base!$T19&gt;AM$1465,"",(tech_base!$J19/tech_proj!AM143*0.086*$N$110)/(1-tech_proj!AM423))</f>
        <v>0</v>
      </c>
      <c r="AN1483" s="123">
        <f>IF(tech_base!$T19&gt;AN$1465,"",(tech_base!$J19/tech_proj!AN143*0.086*$N$110)/(1-tech_proj!AN423))</f>
        <v>0</v>
      </c>
      <c r="AO1483" s="123">
        <f>IF(tech_base!$T19&gt;AO$1465,"",(tech_base!$J19/tech_proj!AO143*0.086*$N$110)/(1-tech_proj!AO423))</f>
        <v>0</v>
      </c>
      <c r="AP1483" s="123">
        <f>IF(tech_base!$T19&gt;AP$1465,"",(tech_base!$J19/tech_proj!AP143*0.086*$N$110)/(1-tech_proj!AP423))</f>
        <v>0</v>
      </c>
      <c r="AQ1483" s="123">
        <f>IF(tech_base!$T19&gt;AQ$1465,"",(tech_base!$J19/tech_proj!AQ143*0.086*$N$110)/(1-tech_proj!AQ423))</f>
        <v>0</v>
      </c>
      <c r="AR1483" s="123">
        <f>IF(tech_base!$T19&gt;AR$1465,"",(tech_base!$J19/tech_proj!AR143*0.086*$N$110)/(1-tech_proj!AR423))</f>
        <v>0</v>
      </c>
      <c r="AS1483" s="123">
        <f>IF(tech_base!$T19&gt;AS$1465,"",(tech_base!$J19/tech_proj!AS143*0.086*$N$110)/(1-tech_proj!AS423))</f>
        <v>0</v>
      </c>
      <c r="AT1483" s="123">
        <f>IF(tech_base!$T19&gt;AT$1465,"",(tech_base!$J19/tech_proj!AT143*0.086*$N$110)/(1-tech_proj!AT423))</f>
        <v>0</v>
      </c>
      <c r="AU1483" s="123">
        <f>IF(tech_base!$T19&gt;AU$1465,"",(tech_base!$J19/tech_proj!AU143*0.086*$N$110)/(1-tech_proj!AU423))</f>
        <v>0</v>
      </c>
      <c r="AV1483" s="123">
        <f>IF(tech_base!$T19&gt;AV$1465,"",(tech_base!$J19/tech_proj!AV143*0.086*$N$110)/(1-tech_proj!AV423))</f>
        <v>0</v>
      </c>
      <c r="AW1483" s="123">
        <f>IF(tech_base!$T19&gt;AW$1465,"",(tech_base!$J19/tech_proj!AW143*0.086*$N$110)/(1-tech_proj!AW423))</f>
        <v>0</v>
      </c>
      <c r="AX1483" s="124">
        <f>IF(tech_base!$T19&gt;AX$1465,"",(tech_base!$J19/tech_proj!AX143*0.086*$N$110)/(1-tech_proj!AX423))</f>
        <v>0</v>
      </c>
    </row>
    <row r="1484" spans="1:50" x14ac:dyDescent="0.25">
      <c r="A1484" s="356"/>
      <c r="B1484" s="376"/>
      <c r="C1484" s="379"/>
      <c r="D1484" s="59" t="s">
        <v>8</v>
      </c>
      <c r="E1484" s="166" t="str">
        <f>A1473&amp;"/"&amp;B1481&amp;"/"&amp;C1483&amp;"/"&amp;D1484</f>
        <v>Coal fired power plants/Supercritical steam turbine/CHP/M</v>
      </c>
      <c r="F1484" s="79" t="str">
        <f>A1473</f>
        <v>Coal fired power plants</v>
      </c>
      <c r="G1484" s="79" t="str">
        <f>B1481</f>
        <v>Supercritical steam turbine</v>
      </c>
      <c r="H1484" s="79" t="str">
        <f>C1483</f>
        <v>CHP</v>
      </c>
      <c r="I1484" s="167" t="str">
        <f t="shared" si="377"/>
        <v>M</v>
      </c>
      <c r="J1484" s="125">
        <f>IF(tech_base!$T20&gt;J$1465,"",(tech_base!$J20/tech_proj!J144*0.086*$N$110)/(1-tech_proj!J424))</f>
        <v>0</v>
      </c>
      <c r="K1484" s="125">
        <f>IF(tech_base!$T20&gt;K$1465,"",(tech_base!$J20/tech_proj!K144*0.086*$N$110)/(1-tech_proj!K424))</f>
        <v>0</v>
      </c>
      <c r="L1484" s="125">
        <f>IF(tech_base!$T20&gt;L$1465,"",(tech_base!$J20/tech_proj!L144*0.086*$N$110)/(1-tech_proj!L424))</f>
        <v>0</v>
      </c>
      <c r="M1484" s="125">
        <f>IF(tech_base!$T20&gt;M$1465,"",(tech_base!$J20/tech_proj!M144*0.086*$N$110)/(1-tech_proj!M424))</f>
        <v>0</v>
      </c>
      <c r="N1484" s="125">
        <f>IF(tech_base!$T20&gt;N$1465,"",(tech_base!$J20/tech_proj!N144*0.086*$N$110)/(1-tech_proj!N424))</f>
        <v>0</v>
      </c>
      <c r="O1484" s="125">
        <f>IF(tech_base!$T20&gt;O$1465,"",(tech_base!$J20/tech_proj!O144*0.086*$N$110)/(1-tech_proj!O424))</f>
        <v>0</v>
      </c>
      <c r="P1484" s="125">
        <f>IF(tech_base!$T20&gt;P$1465,"",(tech_base!$J20/tech_proj!P144*0.086*$N$110)/(1-tech_proj!P424))</f>
        <v>0</v>
      </c>
      <c r="Q1484" s="125">
        <f>IF(tech_base!$T20&gt;Q$1465,"",(tech_base!$J20/tech_proj!Q144*0.086*$N$110)/(1-tech_proj!Q424))</f>
        <v>0</v>
      </c>
      <c r="R1484" s="125">
        <f>IF(tech_base!$T20&gt;R$1465,"",(tech_base!$J20/tech_proj!R144*0.086*$N$110)/(1-tech_proj!R424))</f>
        <v>0</v>
      </c>
      <c r="S1484" s="125">
        <f>IF(tech_base!$T20&gt;S$1465,"",(tech_base!$J20/tech_proj!S144*0.086*$N$110)/(1-tech_proj!S424))</f>
        <v>0</v>
      </c>
      <c r="T1484" s="125">
        <f>IF(tech_base!$T20&gt;T$1465,"",(tech_base!$J20/tech_proj!T144*0.086*$N$110)/(1-tech_proj!T424))</f>
        <v>0</v>
      </c>
      <c r="U1484" s="125">
        <f>IF(tech_base!$T20&gt;U$1465,"",(tech_base!$J20/tech_proj!U144*0.086*$N$110)/(1-tech_proj!U424))</f>
        <v>0</v>
      </c>
      <c r="V1484" s="125">
        <f>IF(tech_base!$T20&gt;V$1465,"",(tech_base!$J20/tech_proj!V144*0.086*$N$110)/(1-tech_proj!V424))</f>
        <v>0</v>
      </c>
      <c r="W1484" s="125">
        <f>IF(tech_base!$T20&gt;W$1465,"",(tech_base!$J20/tech_proj!W144*0.086*$N$110)/(1-tech_proj!W424))</f>
        <v>0</v>
      </c>
      <c r="X1484" s="125">
        <f>IF(tech_base!$T20&gt;X$1465,"",(tech_base!$J20/tech_proj!X144*0.086*$N$110)/(1-tech_proj!X424))</f>
        <v>0</v>
      </c>
      <c r="Y1484" s="125">
        <f>IF(tech_base!$T20&gt;Y$1465,"",(tech_base!$J20/tech_proj!Y144*0.086*$N$110)/(1-tech_proj!Y424))</f>
        <v>0</v>
      </c>
      <c r="Z1484" s="125">
        <f>IF(tech_base!$T20&gt;Z$1465,"",(tech_base!$J20/tech_proj!Z144*0.086*$N$110)/(1-tech_proj!Z424))</f>
        <v>0</v>
      </c>
      <c r="AA1484" s="125">
        <f>IF(tech_base!$T20&gt;AA$1465,"",(tech_base!$J20/tech_proj!AA144*0.086*$N$110)/(1-tech_proj!AA424))</f>
        <v>0</v>
      </c>
      <c r="AB1484" s="125">
        <f>IF(tech_base!$T20&gt;AB$1465,"",(tech_base!$J20/tech_proj!AB144*0.086*$N$110)/(1-tech_proj!AB424))</f>
        <v>0</v>
      </c>
      <c r="AC1484" s="125">
        <f>IF(tech_base!$T20&gt;AC$1465,"",(tech_base!$J20/tech_proj!AC144*0.086*$N$110)/(1-tech_proj!AC424))</f>
        <v>0</v>
      </c>
      <c r="AD1484" s="125">
        <f>IF(tech_base!$T20&gt;AD$1465,"",(tech_base!$J20/tech_proj!AD144*0.086*$N$110)/(1-tech_proj!AD424))</f>
        <v>0</v>
      </c>
      <c r="AE1484" s="125">
        <f>IF(tech_base!$T20&gt;AE$1465,"",(tech_base!$J20/tech_proj!AE144*0.086*$N$110)/(1-tech_proj!AE424))</f>
        <v>0</v>
      </c>
      <c r="AF1484" s="125">
        <f>IF(tech_base!$T20&gt;AF$1465,"",(tech_base!$J20/tech_proj!AF144*0.086*$N$110)/(1-tech_proj!AF424))</f>
        <v>0</v>
      </c>
      <c r="AG1484" s="125">
        <f>IF(tech_base!$T20&gt;AG$1465,"",(tech_base!$J20/tech_proj!AG144*0.086*$N$110)/(1-tech_proj!AG424))</f>
        <v>0</v>
      </c>
      <c r="AH1484" s="125">
        <f>IF(tech_base!$T20&gt;AH$1465,"",(tech_base!$J20/tech_proj!AH144*0.086*$N$110)/(1-tech_proj!AH424))</f>
        <v>0</v>
      </c>
      <c r="AI1484" s="125">
        <f>IF(tech_base!$T20&gt;AI$1465,"",(tech_base!$J20/tech_proj!AI144*0.086*$N$110)/(1-tech_proj!AI424))</f>
        <v>0</v>
      </c>
      <c r="AJ1484" s="125">
        <f>IF(tech_base!$T20&gt;AJ$1465,"",(tech_base!$J20/tech_proj!AJ144*0.086*$N$110)/(1-tech_proj!AJ424))</f>
        <v>0</v>
      </c>
      <c r="AK1484" s="125">
        <f>IF(tech_base!$T20&gt;AK$1465,"",(tech_base!$J20/tech_proj!AK144*0.086*$N$110)/(1-tech_proj!AK424))</f>
        <v>0</v>
      </c>
      <c r="AL1484" s="125">
        <f>IF(tech_base!$T20&gt;AL$1465,"",(tech_base!$J20/tech_proj!AL144*0.086*$N$110)/(1-tech_proj!AL424))</f>
        <v>0</v>
      </c>
      <c r="AM1484" s="125">
        <f>IF(tech_base!$T20&gt;AM$1465,"",(tech_base!$J20/tech_proj!AM144*0.086*$N$110)/(1-tech_proj!AM424))</f>
        <v>0</v>
      </c>
      <c r="AN1484" s="125">
        <f>IF(tech_base!$T20&gt;AN$1465,"",(tech_base!$J20/tech_proj!AN144*0.086*$N$110)/(1-tech_proj!AN424))</f>
        <v>0</v>
      </c>
      <c r="AO1484" s="125">
        <f>IF(tech_base!$T20&gt;AO$1465,"",(tech_base!$J20/tech_proj!AO144*0.086*$N$110)/(1-tech_proj!AO424))</f>
        <v>0</v>
      </c>
      <c r="AP1484" s="125">
        <f>IF(tech_base!$T20&gt;AP$1465,"",(tech_base!$J20/tech_proj!AP144*0.086*$N$110)/(1-tech_proj!AP424))</f>
        <v>0</v>
      </c>
      <c r="AQ1484" s="125">
        <f>IF(tech_base!$T20&gt;AQ$1465,"",(tech_base!$J20/tech_proj!AQ144*0.086*$N$110)/(1-tech_proj!AQ424))</f>
        <v>0</v>
      </c>
      <c r="AR1484" s="125">
        <f>IF(tech_base!$T20&gt;AR$1465,"",(tech_base!$J20/tech_proj!AR144*0.086*$N$110)/(1-tech_proj!AR424))</f>
        <v>0</v>
      </c>
      <c r="AS1484" s="125">
        <f>IF(tech_base!$T20&gt;AS$1465,"",(tech_base!$J20/tech_proj!AS144*0.086*$N$110)/(1-tech_proj!AS424))</f>
        <v>0</v>
      </c>
      <c r="AT1484" s="125">
        <f>IF(tech_base!$T20&gt;AT$1465,"",(tech_base!$J20/tech_proj!AT144*0.086*$N$110)/(1-tech_proj!AT424))</f>
        <v>0</v>
      </c>
      <c r="AU1484" s="125">
        <f>IF(tech_base!$T20&gt;AU$1465,"",(tech_base!$J20/tech_proj!AU144*0.086*$N$110)/(1-tech_proj!AU424))</f>
        <v>0</v>
      </c>
      <c r="AV1484" s="125">
        <f>IF(tech_base!$T20&gt;AV$1465,"",(tech_base!$J20/tech_proj!AV144*0.086*$N$110)/(1-tech_proj!AV424))</f>
        <v>0</v>
      </c>
      <c r="AW1484" s="125">
        <f>IF(tech_base!$T20&gt;AW$1465,"",(tech_base!$J20/tech_proj!AW144*0.086*$N$110)/(1-tech_proj!AW424))</f>
        <v>0</v>
      </c>
      <c r="AX1484" s="126">
        <f>IF(tech_base!$T20&gt;AX$1465,"",(tech_base!$J20/tech_proj!AX144*0.086*$N$110)/(1-tech_proj!AX424))</f>
        <v>0</v>
      </c>
    </row>
    <row r="1485" spans="1:50" x14ac:dyDescent="0.25">
      <c r="A1485" s="356"/>
      <c r="B1485" s="376"/>
      <c r="C1485" s="361" t="s">
        <v>15</v>
      </c>
      <c r="D1485" s="58" t="s">
        <v>7</v>
      </c>
      <c r="E1485" s="164" t="str">
        <f>A1473&amp;"/"&amp;B1481&amp;"/"&amp;C1485&amp;"/"&amp;D1485</f>
        <v>Coal fired power plants/Supercritical steam turbine/Electricity only with CCS/L</v>
      </c>
      <c r="F1485" s="78" t="str">
        <f>A1473</f>
        <v>Coal fired power plants</v>
      </c>
      <c r="G1485" s="78" t="str">
        <f>B1481</f>
        <v>Supercritical steam turbine</v>
      </c>
      <c r="H1485" s="78" t="str">
        <f>C1485</f>
        <v>Electricity only with CCS</v>
      </c>
      <c r="I1485" s="165" t="str">
        <f t="shared" si="377"/>
        <v>L</v>
      </c>
      <c r="J1485" s="123" t="str">
        <f>IF(tech_base!$T21&gt;J$1465,"",(tech_base!$J21/tech_proj!J145*0.086*$N$110)/(1-tech_proj!J425))</f>
        <v/>
      </c>
      <c r="K1485" s="123" t="str">
        <f>IF(tech_base!$T21&gt;K$1465,"",(tech_base!$J21/tech_proj!K145*0.086*$N$110)/(1-tech_proj!K425))</f>
        <v/>
      </c>
      <c r="L1485" s="123" t="str">
        <f>IF(tech_base!$T21&gt;L$1465,"",(tech_base!$J21/tech_proj!L145*0.086*$N$110)/(1-tech_proj!L425))</f>
        <v/>
      </c>
      <c r="M1485" s="123" t="str">
        <f>IF(tech_base!$T21&gt;M$1465,"",(tech_base!$J21/tech_proj!M145*0.086*$N$110)/(1-tech_proj!M425))</f>
        <v/>
      </c>
      <c r="N1485" s="123" t="str">
        <f>IF(tech_base!$T21&gt;N$1465,"",(tech_base!$J21/tech_proj!N145*0.086*$N$110)/(1-tech_proj!N425))</f>
        <v/>
      </c>
      <c r="O1485" s="123" t="str">
        <f>IF(tech_base!$T21&gt;O$1465,"",(tech_base!$J21/tech_proj!O145*0.086*$N$110)/(1-tech_proj!O425))</f>
        <v/>
      </c>
      <c r="P1485" s="123" t="str">
        <f>IF(tech_base!$T21&gt;P$1465,"",(tech_base!$J21/tech_proj!P145*0.086*$N$110)/(1-tech_proj!P425))</f>
        <v/>
      </c>
      <c r="Q1485" s="123" t="str">
        <f>IF(tech_base!$T21&gt;Q$1465,"",(tech_base!$J21/tech_proj!Q145*0.086*$N$110)/(1-tech_proj!Q425))</f>
        <v/>
      </c>
      <c r="R1485" s="123" t="str">
        <f>IF(tech_base!$T21&gt;R$1465,"",(tech_base!$J21/tech_proj!R145*0.086*$N$110)/(1-tech_proj!R425))</f>
        <v/>
      </c>
      <c r="S1485" s="123" t="str">
        <f>IF(tech_base!$T21&gt;S$1465,"",(tech_base!$J21/tech_proj!S145*0.086*$N$110)/(1-tech_proj!S425))</f>
        <v/>
      </c>
      <c r="T1485" s="123" t="str">
        <f>IF(tech_base!$T21&gt;T$1465,"",(tech_base!$J21/tech_proj!T145*0.086*$N$110)/(1-tech_proj!T425))</f>
        <v/>
      </c>
      <c r="U1485" s="123" t="str">
        <f>IF(tech_base!$T21&gt;U$1465,"",(tech_base!$J21/tech_proj!U145*0.086*$N$110)/(1-tech_proj!U425))</f>
        <v/>
      </c>
      <c r="V1485" s="123" t="str">
        <f>IF(tech_base!$T21&gt;V$1465,"",(tech_base!$J21/tech_proj!V145*0.086*$N$110)/(1-tech_proj!V425))</f>
        <v/>
      </c>
      <c r="W1485" s="123" t="str">
        <f>IF(tech_base!$T21&gt;W$1465,"",(tech_base!$J21/tech_proj!W145*0.086*$N$110)/(1-tech_proj!W425))</f>
        <v/>
      </c>
      <c r="X1485" s="123" t="str">
        <f>IF(tech_base!$T21&gt;X$1465,"",(tech_base!$J21/tech_proj!X145*0.086*$N$110)/(1-tech_proj!X425))</f>
        <v/>
      </c>
      <c r="Y1485" s="123" t="str">
        <f>IF(tech_base!$T21&gt;Y$1465,"",(tech_base!$J21/tech_proj!Y145*0.086*$N$110)/(1-tech_proj!Y425))</f>
        <v/>
      </c>
      <c r="Z1485" s="123" t="str">
        <f>IF(tech_base!$T21&gt;Z$1465,"",(tech_base!$J21/tech_proj!Z145*0.086*$N$110)/(1-tech_proj!Z425))</f>
        <v/>
      </c>
      <c r="AA1485" s="123" t="str">
        <f>IF(tech_base!$T21&gt;AA$1465,"",(tech_base!$J21/tech_proj!AA145*0.086*$N$110)/(1-tech_proj!AA425))</f>
        <v/>
      </c>
      <c r="AB1485" s="123" t="str">
        <f>IF(tech_base!$T21&gt;AB$1465,"",(tech_base!$J21/tech_proj!AB145*0.086*$N$110)/(1-tech_proj!AB425))</f>
        <v/>
      </c>
      <c r="AC1485" s="123" t="str">
        <f>IF(tech_base!$T21&gt;AC$1465,"",(tech_base!$J21/tech_proj!AC145*0.086*$N$110)/(1-tech_proj!AC425))</f>
        <v/>
      </c>
      <c r="AD1485" s="123" t="str">
        <f>IF(tech_base!$T21&gt;AD$1465,"",(tech_base!$J21/tech_proj!AD145*0.086*$N$110)/(1-tech_proj!AD425))</f>
        <v/>
      </c>
      <c r="AE1485" s="123">
        <f>IF(tech_base!$T21&gt;AE$1465,"",(tech_base!$J21/tech_proj!AE145*0.086*$N$110)/(1-tech_proj!AE425))</f>
        <v>0</v>
      </c>
      <c r="AF1485" s="123">
        <f>IF(tech_base!$T21&gt;AF$1465,"",(tech_base!$J21/tech_proj!AF145*0.086*$N$110)/(1-tech_proj!AF425))</f>
        <v>0</v>
      </c>
      <c r="AG1485" s="123">
        <f>IF(tech_base!$T21&gt;AG$1465,"",(tech_base!$J21/tech_proj!AG145*0.086*$N$110)/(1-tech_proj!AG425))</f>
        <v>0</v>
      </c>
      <c r="AH1485" s="123">
        <f>IF(tech_base!$T21&gt;AH$1465,"",(tech_base!$J21/tech_proj!AH145*0.086*$N$110)/(1-tech_proj!AH425))</f>
        <v>0</v>
      </c>
      <c r="AI1485" s="123">
        <f>IF(tech_base!$T21&gt;AI$1465,"",(tech_base!$J21/tech_proj!AI145*0.086*$N$110)/(1-tech_proj!AI425))</f>
        <v>0</v>
      </c>
      <c r="AJ1485" s="123">
        <f>IF(tech_base!$T21&gt;AJ$1465,"",(tech_base!$J21/tech_proj!AJ145*0.086*$N$110)/(1-tech_proj!AJ425))</f>
        <v>0</v>
      </c>
      <c r="AK1485" s="123">
        <f>IF(tech_base!$T21&gt;AK$1465,"",(tech_base!$J21/tech_proj!AK145*0.086*$N$110)/(1-tech_proj!AK425))</f>
        <v>0</v>
      </c>
      <c r="AL1485" s="123">
        <f>IF(tech_base!$T21&gt;AL$1465,"",(tech_base!$J21/tech_proj!AL145*0.086*$N$110)/(1-tech_proj!AL425))</f>
        <v>0</v>
      </c>
      <c r="AM1485" s="123">
        <f>IF(tech_base!$T21&gt;AM$1465,"",(tech_base!$J21/tech_proj!AM145*0.086*$N$110)/(1-tech_proj!AM425))</f>
        <v>0</v>
      </c>
      <c r="AN1485" s="123">
        <f>IF(tech_base!$T21&gt;AN$1465,"",(tech_base!$J21/tech_proj!AN145*0.086*$N$110)/(1-tech_proj!AN425))</f>
        <v>0</v>
      </c>
      <c r="AO1485" s="123">
        <f>IF(tech_base!$T21&gt;AO$1465,"",(tech_base!$J21/tech_proj!AO145*0.086*$N$110)/(1-tech_proj!AO425))</f>
        <v>0</v>
      </c>
      <c r="AP1485" s="123">
        <f>IF(tech_base!$T21&gt;AP$1465,"",(tech_base!$J21/tech_proj!AP145*0.086*$N$110)/(1-tech_proj!AP425))</f>
        <v>0</v>
      </c>
      <c r="AQ1485" s="123">
        <f>IF(tech_base!$T21&gt;AQ$1465,"",(tech_base!$J21/tech_proj!AQ145*0.086*$N$110)/(1-tech_proj!AQ425))</f>
        <v>0</v>
      </c>
      <c r="AR1485" s="123">
        <f>IF(tech_base!$T21&gt;AR$1465,"",(tech_base!$J21/tech_proj!AR145*0.086*$N$110)/(1-tech_proj!AR425))</f>
        <v>0</v>
      </c>
      <c r="AS1485" s="123">
        <f>IF(tech_base!$T21&gt;AS$1465,"",(tech_base!$J21/tech_proj!AS145*0.086*$N$110)/(1-tech_proj!AS425))</f>
        <v>0</v>
      </c>
      <c r="AT1485" s="123">
        <f>IF(tech_base!$T21&gt;AT$1465,"",(tech_base!$J21/tech_proj!AT145*0.086*$N$110)/(1-tech_proj!AT425))</f>
        <v>0</v>
      </c>
      <c r="AU1485" s="123">
        <f>IF(tech_base!$T21&gt;AU$1465,"",(tech_base!$J21/tech_proj!AU145*0.086*$N$110)/(1-tech_proj!AU425))</f>
        <v>0</v>
      </c>
      <c r="AV1485" s="123">
        <f>IF(tech_base!$T21&gt;AV$1465,"",(tech_base!$J21/tech_proj!AV145*0.086*$N$110)/(1-tech_proj!AV425))</f>
        <v>0</v>
      </c>
      <c r="AW1485" s="123">
        <f>IF(tech_base!$T21&gt;AW$1465,"",(tech_base!$J21/tech_proj!AW145*0.086*$N$110)/(1-tech_proj!AW425))</f>
        <v>0</v>
      </c>
      <c r="AX1485" s="124">
        <f>IF(tech_base!$T21&gt;AX$1465,"",(tech_base!$J21/tech_proj!AX145*0.086*$N$110)/(1-tech_proj!AX425))</f>
        <v>0</v>
      </c>
    </row>
    <row r="1486" spans="1:50" x14ac:dyDescent="0.25">
      <c r="A1486" s="356"/>
      <c r="B1486" s="376"/>
      <c r="C1486" s="379"/>
      <c r="D1486" s="59" t="s">
        <v>8</v>
      </c>
      <c r="E1486" s="166" t="str">
        <f>A1473&amp;"/"&amp;B1481&amp;"/"&amp;C1485&amp;"/"&amp;D1486</f>
        <v>Coal fired power plants/Supercritical steam turbine/Electricity only with CCS/M</v>
      </c>
      <c r="F1486" s="79" t="str">
        <f>A1473</f>
        <v>Coal fired power plants</v>
      </c>
      <c r="G1486" s="79" t="str">
        <f>B1481</f>
        <v>Supercritical steam turbine</v>
      </c>
      <c r="H1486" s="79" t="str">
        <f>C1485</f>
        <v>Electricity only with CCS</v>
      </c>
      <c r="I1486" s="167" t="str">
        <f t="shared" si="377"/>
        <v>M</v>
      </c>
      <c r="J1486" s="125" t="str">
        <f>IF(tech_base!$T22&gt;J$1465,"",(tech_base!$J22/tech_proj!J146*0.086*$N$110)/(1-tech_proj!J426))</f>
        <v/>
      </c>
      <c r="K1486" s="125" t="str">
        <f>IF(tech_base!$T22&gt;K$1465,"",(tech_base!$J22/tech_proj!K146*0.086*$N$110)/(1-tech_proj!K426))</f>
        <v/>
      </c>
      <c r="L1486" s="125" t="str">
        <f>IF(tech_base!$T22&gt;L$1465,"",(tech_base!$J22/tech_proj!L146*0.086*$N$110)/(1-tech_proj!L426))</f>
        <v/>
      </c>
      <c r="M1486" s="125" t="str">
        <f>IF(tech_base!$T22&gt;M$1465,"",(tech_base!$J22/tech_proj!M146*0.086*$N$110)/(1-tech_proj!M426))</f>
        <v/>
      </c>
      <c r="N1486" s="125" t="str">
        <f>IF(tech_base!$T22&gt;N$1465,"",(tech_base!$J22/tech_proj!N146*0.086*$N$110)/(1-tech_proj!N426))</f>
        <v/>
      </c>
      <c r="O1486" s="125" t="str">
        <f>IF(tech_base!$T22&gt;O$1465,"",(tech_base!$J22/tech_proj!O146*0.086*$N$110)/(1-tech_proj!O426))</f>
        <v/>
      </c>
      <c r="P1486" s="125" t="str">
        <f>IF(tech_base!$T22&gt;P$1465,"",(tech_base!$J22/tech_proj!P146*0.086*$N$110)/(1-tech_proj!P426))</f>
        <v/>
      </c>
      <c r="Q1486" s="125" t="str">
        <f>IF(tech_base!$T22&gt;Q$1465,"",(tech_base!$J22/tech_proj!Q146*0.086*$N$110)/(1-tech_proj!Q426))</f>
        <v/>
      </c>
      <c r="R1486" s="125" t="str">
        <f>IF(tech_base!$T22&gt;R$1465,"",(tech_base!$J22/tech_proj!R146*0.086*$N$110)/(1-tech_proj!R426))</f>
        <v/>
      </c>
      <c r="S1486" s="125" t="str">
        <f>IF(tech_base!$T22&gt;S$1465,"",(tech_base!$J22/tech_proj!S146*0.086*$N$110)/(1-tech_proj!S426))</f>
        <v/>
      </c>
      <c r="T1486" s="125" t="str">
        <f>IF(tech_base!$T22&gt;T$1465,"",(tech_base!$J22/tech_proj!T146*0.086*$N$110)/(1-tech_proj!T426))</f>
        <v/>
      </c>
      <c r="U1486" s="125" t="str">
        <f>IF(tech_base!$T22&gt;U$1465,"",(tech_base!$J22/tech_proj!U146*0.086*$N$110)/(1-tech_proj!U426))</f>
        <v/>
      </c>
      <c r="V1486" s="125" t="str">
        <f>IF(tech_base!$T22&gt;V$1465,"",(tech_base!$J22/tech_proj!V146*0.086*$N$110)/(1-tech_proj!V426))</f>
        <v/>
      </c>
      <c r="W1486" s="125" t="str">
        <f>IF(tech_base!$T22&gt;W$1465,"",(tech_base!$J22/tech_proj!W146*0.086*$N$110)/(1-tech_proj!W426))</f>
        <v/>
      </c>
      <c r="X1486" s="125" t="str">
        <f>IF(tech_base!$T22&gt;X$1465,"",(tech_base!$J22/tech_proj!X146*0.086*$N$110)/(1-tech_proj!X426))</f>
        <v/>
      </c>
      <c r="Y1486" s="125" t="str">
        <f>IF(tech_base!$T22&gt;Y$1465,"",(tech_base!$J22/tech_proj!Y146*0.086*$N$110)/(1-tech_proj!Y426))</f>
        <v/>
      </c>
      <c r="Z1486" s="125" t="str">
        <f>IF(tech_base!$T22&gt;Z$1465,"",(tech_base!$J22/tech_proj!Z146*0.086*$N$110)/(1-tech_proj!Z426))</f>
        <v/>
      </c>
      <c r="AA1486" s="125" t="str">
        <f>IF(tech_base!$T22&gt;AA$1465,"",(tech_base!$J22/tech_proj!AA146*0.086*$N$110)/(1-tech_proj!AA426))</f>
        <v/>
      </c>
      <c r="AB1486" s="125" t="str">
        <f>IF(tech_base!$T22&gt;AB$1465,"",(tech_base!$J22/tech_proj!AB146*0.086*$N$110)/(1-tech_proj!AB426))</f>
        <v/>
      </c>
      <c r="AC1486" s="125" t="str">
        <f>IF(tech_base!$T22&gt;AC$1465,"",(tech_base!$J22/tech_proj!AC146*0.086*$N$110)/(1-tech_proj!AC426))</f>
        <v/>
      </c>
      <c r="AD1486" s="125" t="str">
        <f>IF(tech_base!$T22&gt;AD$1465,"",(tech_base!$J22/tech_proj!AD146*0.086*$N$110)/(1-tech_proj!AD426))</f>
        <v/>
      </c>
      <c r="AE1486" s="125">
        <f>IF(tech_base!$T22&gt;AE$1465,"",(tech_base!$J22/tech_proj!AE146*0.086*$N$110)/(1-tech_proj!AE426))</f>
        <v>0</v>
      </c>
      <c r="AF1486" s="125">
        <f>IF(tech_base!$T22&gt;AF$1465,"",(tech_base!$J22/tech_proj!AF146*0.086*$N$110)/(1-tech_proj!AF426))</f>
        <v>0</v>
      </c>
      <c r="AG1486" s="125">
        <f>IF(tech_base!$T22&gt;AG$1465,"",(tech_base!$J22/tech_proj!AG146*0.086*$N$110)/(1-tech_proj!AG426))</f>
        <v>0</v>
      </c>
      <c r="AH1486" s="125">
        <f>IF(tech_base!$T22&gt;AH$1465,"",(tech_base!$J22/tech_proj!AH146*0.086*$N$110)/(1-tech_proj!AH426))</f>
        <v>0</v>
      </c>
      <c r="AI1486" s="125">
        <f>IF(tech_base!$T22&gt;AI$1465,"",(tech_base!$J22/tech_proj!AI146*0.086*$N$110)/(1-tech_proj!AI426))</f>
        <v>0</v>
      </c>
      <c r="AJ1486" s="125">
        <f>IF(tech_base!$T22&gt;AJ$1465,"",(tech_base!$J22/tech_proj!AJ146*0.086*$N$110)/(1-tech_proj!AJ426))</f>
        <v>0</v>
      </c>
      <c r="AK1486" s="125">
        <f>IF(tech_base!$T22&gt;AK$1465,"",(tech_base!$J22/tech_proj!AK146*0.086*$N$110)/(1-tech_proj!AK426))</f>
        <v>0</v>
      </c>
      <c r="AL1486" s="125">
        <f>IF(tech_base!$T22&gt;AL$1465,"",(tech_base!$J22/tech_proj!AL146*0.086*$N$110)/(1-tech_proj!AL426))</f>
        <v>0</v>
      </c>
      <c r="AM1486" s="125">
        <f>IF(tech_base!$T22&gt;AM$1465,"",(tech_base!$J22/tech_proj!AM146*0.086*$N$110)/(1-tech_proj!AM426))</f>
        <v>0</v>
      </c>
      <c r="AN1486" s="125">
        <f>IF(tech_base!$T22&gt;AN$1465,"",(tech_base!$J22/tech_proj!AN146*0.086*$N$110)/(1-tech_proj!AN426))</f>
        <v>0</v>
      </c>
      <c r="AO1486" s="125">
        <f>IF(tech_base!$T22&gt;AO$1465,"",(tech_base!$J22/tech_proj!AO146*0.086*$N$110)/(1-tech_proj!AO426))</f>
        <v>0</v>
      </c>
      <c r="AP1486" s="125">
        <f>IF(tech_base!$T22&gt;AP$1465,"",(tech_base!$J22/tech_proj!AP146*0.086*$N$110)/(1-tech_proj!AP426))</f>
        <v>0</v>
      </c>
      <c r="AQ1486" s="125">
        <f>IF(tech_base!$T22&gt;AQ$1465,"",(tech_base!$J22/tech_proj!AQ146*0.086*$N$110)/(1-tech_proj!AQ426))</f>
        <v>0</v>
      </c>
      <c r="AR1486" s="125">
        <f>IF(tech_base!$T22&gt;AR$1465,"",(tech_base!$J22/tech_proj!AR146*0.086*$N$110)/(1-tech_proj!AR426))</f>
        <v>0</v>
      </c>
      <c r="AS1486" s="125">
        <f>IF(tech_base!$T22&gt;AS$1465,"",(tech_base!$J22/tech_proj!AS146*0.086*$N$110)/(1-tech_proj!AS426))</f>
        <v>0</v>
      </c>
      <c r="AT1486" s="125">
        <f>IF(tech_base!$T22&gt;AT$1465,"",(tech_base!$J22/tech_proj!AT146*0.086*$N$110)/(1-tech_proj!AT426))</f>
        <v>0</v>
      </c>
      <c r="AU1486" s="125">
        <f>IF(tech_base!$T22&gt;AU$1465,"",(tech_base!$J22/tech_proj!AU146*0.086*$N$110)/(1-tech_proj!AU426))</f>
        <v>0</v>
      </c>
      <c r="AV1486" s="125">
        <f>IF(tech_base!$T22&gt;AV$1465,"",(tech_base!$J22/tech_proj!AV146*0.086*$N$110)/(1-tech_proj!AV426))</f>
        <v>0</v>
      </c>
      <c r="AW1486" s="125">
        <f>IF(tech_base!$T22&gt;AW$1465,"",(tech_base!$J22/tech_proj!AW146*0.086*$N$110)/(1-tech_proj!AW426))</f>
        <v>0</v>
      </c>
      <c r="AX1486" s="126">
        <f>IF(tech_base!$T22&gt;AX$1465,"",(tech_base!$J22/tech_proj!AX146*0.086*$N$110)/(1-tech_proj!AX426))</f>
        <v>0</v>
      </c>
    </row>
    <row r="1487" spans="1:50" x14ac:dyDescent="0.25">
      <c r="A1487" s="356"/>
      <c r="B1487" s="376"/>
      <c r="C1487" s="361" t="s">
        <v>16</v>
      </c>
      <c r="D1487" s="2" t="s">
        <v>7</v>
      </c>
      <c r="E1487" s="160" t="str">
        <f>A1473&amp;"/"&amp;B1481&amp;"/"&amp;C1487&amp;"/"&amp;D1487</f>
        <v>Coal fired power plants/Supercritical steam turbine/CHP with CCS/L</v>
      </c>
      <c r="F1487" s="76" t="str">
        <f>A1473</f>
        <v>Coal fired power plants</v>
      </c>
      <c r="G1487" s="76" t="str">
        <f>B1481</f>
        <v>Supercritical steam turbine</v>
      </c>
      <c r="H1487" s="76" t="str">
        <f>C1487</f>
        <v>CHP with CCS</v>
      </c>
      <c r="I1487" s="161" t="str">
        <f t="shared" si="377"/>
        <v>L</v>
      </c>
      <c r="J1487" s="119" t="str">
        <f>IF(tech_base!$T23&gt;J$1465,"",(tech_base!$J23/tech_proj!J147*0.086*$N$110)/(1-tech_proj!J427))</f>
        <v/>
      </c>
      <c r="K1487" s="119" t="str">
        <f>IF(tech_base!$T23&gt;K$1465,"",(tech_base!$J23/tech_proj!K147*0.086*$N$110)/(1-tech_proj!K427))</f>
        <v/>
      </c>
      <c r="L1487" s="119" t="str">
        <f>IF(tech_base!$T23&gt;L$1465,"",(tech_base!$J23/tech_proj!L147*0.086*$N$110)/(1-tech_proj!L427))</f>
        <v/>
      </c>
      <c r="M1487" s="119" t="str">
        <f>IF(tech_base!$T23&gt;M$1465,"",(tech_base!$J23/tech_proj!M147*0.086*$N$110)/(1-tech_proj!M427))</f>
        <v/>
      </c>
      <c r="N1487" s="119" t="str">
        <f>IF(tech_base!$T23&gt;N$1465,"",(tech_base!$J23/tech_proj!N147*0.086*$N$110)/(1-tech_proj!N427))</f>
        <v/>
      </c>
      <c r="O1487" s="119" t="str">
        <f>IF(tech_base!$T23&gt;O$1465,"",(tech_base!$J23/tech_proj!O147*0.086*$N$110)/(1-tech_proj!O427))</f>
        <v/>
      </c>
      <c r="P1487" s="119" t="str">
        <f>IF(tech_base!$T23&gt;P$1465,"",(tech_base!$J23/tech_proj!P147*0.086*$N$110)/(1-tech_proj!P427))</f>
        <v/>
      </c>
      <c r="Q1487" s="119" t="str">
        <f>IF(tech_base!$T23&gt;Q$1465,"",(tech_base!$J23/tech_proj!Q147*0.086*$N$110)/(1-tech_proj!Q427))</f>
        <v/>
      </c>
      <c r="R1487" s="119" t="str">
        <f>IF(tech_base!$T23&gt;R$1465,"",(tech_base!$J23/tech_proj!R147*0.086*$N$110)/(1-tech_proj!R427))</f>
        <v/>
      </c>
      <c r="S1487" s="119" t="str">
        <f>IF(tech_base!$T23&gt;S$1465,"",(tech_base!$J23/tech_proj!S147*0.086*$N$110)/(1-tech_proj!S427))</f>
        <v/>
      </c>
      <c r="T1487" s="119" t="str">
        <f>IF(tech_base!$T23&gt;T$1465,"",(tech_base!$J23/tech_proj!T147*0.086*$N$110)/(1-tech_proj!T427))</f>
        <v/>
      </c>
      <c r="U1487" s="119" t="str">
        <f>IF(tech_base!$T23&gt;U$1465,"",(tech_base!$J23/tech_proj!U147*0.086*$N$110)/(1-tech_proj!U427))</f>
        <v/>
      </c>
      <c r="V1487" s="119" t="str">
        <f>IF(tech_base!$T23&gt;V$1465,"",(tech_base!$J23/tech_proj!V147*0.086*$N$110)/(1-tech_proj!V427))</f>
        <v/>
      </c>
      <c r="W1487" s="119" t="str">
        <f>IF(tech_base!$T23&gt;W$1465,"",(tech_base!$J23/tech_proj!W147*0.086*$N$110)/(1-tech_proj!W427))</f>
        <v/>
      </c>
      <c r="X1487" s="119" t="str">
        <f>IF(tech_base!$T23&gt;X$1465,"",(tech_base!$J23/tech_proj!X147*0.086*$N$110)/(1-tech_proj!X427))</f>
        <v/>
      </c>
      <c r="Y1487" s="119" t="str">
        <f>IF(tech_base!$T23&gt;Y$1465,"",(tech_base!$J23/tech_proj!Y147*0.086*$N$110)/(1-tech_proj!Y427))</f>
        <v/>
      </c>
      <c r="Z1487" s="119" t="str">
        <f>IF(tech_base!$T23&gt;Z$1465,"",(tech_base!$J23/tech_proj!Z147*0.086*$N$110)/(1-tech_proj!Z427))</f>
        <v/>
      </c>
      <c r="AA1487" s="119" t="str">
        <f>IF(tech_base!$T23&gt;AA$1465,"",(tech_base!$J23/tech_proj!AA147*0.086*$N$110)/(1-tech_proj!AA427))</f>
        <v/>
      </c>
      <c r="AB1487" s="119" t="str">
        <f>IF(tech_base!$T23&gt;AB$1465,"",(tech_base!$J23/tech_proj!AB147*0.086*$N$110)/(1-tech_proj!AB427))</f>
        <v/>
      </c>
      <c r="AC1487" s="119" t="str">
        <f>IF(tech_base!$T23&gt;AC$1465,"",(tech_base!$J23/tech_proj!AC147*0.086*$N$110)/(1-tech_proj!AC427))</f>
        <v/>
      </c>
      <c r="AD1487" s="119" t="str">
        <f>IF(tech_base!$T23&gt;AD$1465,"",(tech_base!$J23/tech_proj!AD147*0.086*$N$110)/(1-tech_proj!AD427))</f>
        <v/>
      </c>
      <c r="AE1487" s="119">
        <f>IF(tech_base!$T23&gt;AE$1465,"",(tech_base!$J23/tech_proj!AE147*0.086*$N$110)/(1-tech_proj!AE427))</f>
        <v>0</v>
      </c>
      <c r="AF1487" s="119">
        <f>IF(tech_base!$T23&gt;AF$1465,"",(tech_base!$J23/tech_proj!AF147*0.086*$N$110)/(1-tech_proj!AF427))</f>
        <v>0</v>
      </c>
      <c r="AG1487" s="119">
        <f>IF(tech_base!$T23&gt;AG$1465,"",(tech_base!$J23/tech_proj!AG147*0.086*$N$110)/(1-tech_proj!AG427))</f>
        <v>0</v>
      </c>
      <c r="AH1487" s="119">
        <f>IF(tech_base!$T23&gt;AH$1465,"",(tech_base!$J23/tech_proj!AH147*0.086*$N$110)/(1-tech_proj!AH427))</f>
        <v>0</v>
      </c>
      <c r="AI1487" s="119">
        <f>IF(tech_base!$T23&gt;AI$1465,"",(tech_base!$J23/tech_proj!AI147*0.086*$N$110)/(1-tech_proj!AI427))</f>
        <v>0</v>
      </c>
      <c r="AJ1487" s="119">
        <f>IF(tech_base!$T23&gt;AJ$1465,"",(tech_base!$J23/tech_proj!AJ147*0.086*$N$110)/(1-tech_proj!AJ427))</f>
        <v>0</v>
      </c>
      <c r="AK1487" s="119">
        <f>IF(tech_base!$T23&gt;AK$1465,"",(tech_base!$J23/tech_proj!AK147*0.086*$N$110)/(1-tech_proj!AK427))</f>
        <v>0</v>
      </c>
      <c r="AL1487" s="119">
        <f>IF(tech_base!$T23&gt;AL$1465,"",(tech_base!$J23/tech_proj!AL147*0.086*$N$110)/(1-tech_proj!AL427))</f>
        <v>0</v>
      </c>
      <c r="AM1487" s="119">
        <f>IF(tech_base!$T23&gt;AM$1465,"",(tech_base!$J23/tech_proj!AM147*0.086*$N$110)/(1-tech_proj!AM427))</f>
        <v>0</v>
      </c>
      <c r="AN1487" s="119">
        <f>IF(tech_base!$T23&gt;AN$1465,"",(tech_base!$J23/tech_proj!AN147*0.086*$N$110)/(1-tech_proj!AN427))</f>
        <v>0</v>
      </c>
      <c r="AO1487" s="119">
        <f>IF(tech_base!$T23&gt;AO$1465,"",(tech_base!$J23/tech_proj!AO147*0.086*$N$110)/(1-tech_proj!AO427))</f>
        <v>0</v>
      </c>
      <c r="AP1487" s="119">
        <f>IF(tech_base!$T23&gt;AP$1465,"",(tech_base!$J23/tech_proj!AP147*0.086*$N$110)/(1-tech_proj!AP427))</f>
        <v>0</v>
      </c>
      <c r="AQ1487" s="119">
        <f>IF(tech_base!$T23&gt;AQ$1465,"",(tech_base!$J23/tech_proj!AQ147*0.086*$N$110)/(1-tech_proj!AQ427))</f>
        <v>0</v>
      </c>
      <c r="AR1487" s="119">
        <f>IF(tech_base!$T23&gt;AR$1465,"",(tech_base!$J23/tech_proj!AR147*0.086*$N$110)/(1-tech_proj!AR427))</f>
        <v>0</v>
      </c>
      <c r="AS1487" s="119">
        <f>IF(tech_base!$T23&gt;AS$1465,"",(tech_base!$J23/tech_proj!AS147*0.086*$N$110)/(1-tech_proj!AS427))</f>
        <v>0</v>
      </c>
      <c r="AT1487" s="119">
        <f>IF(tech_base!$T23&gt;AT$1465,"",(tech_base!$J23/tech_proj!AT147*0.086*$N$110)/(1-tech_proj!AT427))</f>
        <v>0</v>
      </c>
      <c r="AU1487" s="119">
        <f>IF(tech_base!$T23&gt;AU$1465,"",(tech_base!$J23/tech_proj!AU147*0.086*$N$110)/(1-tech_proj!AU427))</f>
        <v>0</v>
      </c>
      <c r="AV1487" s="119">
        <f>IF(tech_base!$T23&gt;AV$1465,"",(tech_base!$J23/tech_proj!AV147*0.086*$N$110)/(1-tech_proj!AV427))</f>
        <v>0</v>
      </c>
      <c r="AW1487" s="119">
        <f>IF(tech_base!$T23&gt;AW$1465,"",(tech_base!$J23/tech_proj!AW147*0.086*$N$110)/(1-tech_proj!AW427))</f>
        <v>0</v>
      </c>
      <c r="AX1487" s="120">
        <f>IF(tech_base!$T23&gt;AX$1465,"",(tech_base!$J23/tech_proj!AX147*0.086*$N$110)/(1-tech_proj!AX427))</f>
        <v>0</v>
      </c>
    </row>
    <row r="1488" spans="1:50" x14ac:dyDescent="0.25">
      <c r="A1488" s="356"/>
      <c r="B1488" s="380"/>
      <c r="C1488" s="381"/>
      <c r="D1488" s="4" t="s">
        <v>8</v>
      </c>
      <c r="E1488" s="168" t="str">
        <f>A1473&amp;"/"&amp;B1481&amp;"/"&amp;C1487&amp;"/"&amp;D1488</f>
        <v>Coal fired power plants/Supercritical steam turbine/CHP with CCS/M</v>
      </c>
      <c r="F1488" s="80" t="str">
        <f>A1473</f>
        <v>Coal fired power plants</v>
      </c>
      <c r="G1488" s="80" t="str">
        <f>B1481</f>
        <v>Supercritical steam turbine</v>
      </c>
      <c r="H1488" s="80" t="str">
        <f>C1487</f>
        <v>CHP with CCS</v>
      </c>
      <c r="I1488" s="169" t="str">
        <f t="shared" si="377"/>
        <v>M</v>
      </c>
      <c r="J1488" s="127" t="str">
        <f>IF(tech_base!$T24&gt;J$1465,"",(tech_base!$J24/tech_proj!J148*0.086*$N$110)/(1-tech_proj!J428))</f>
        <v/>
      </c>
      <c r="K1488" s="127" t="str">
        <f>IF(tech_base!$T24&gt;K$1465,"",(tech_base!$J24/tech_proj!K148*0.086*$N$110)/(1-tech_proj!K428))</f>
        <v/>
      </c>
      <c r="L1488" s="127" t="str">
        <f>IF(tech_base!$T24&gt;L$1465,"",(tech_base!$J24/tech_proj!L148*0.086*$N$110)/(1-tech_proj!L428))</f>
        <v/>
      </c>
      <c r="M1488" s="127" t="str">
        <f>IF(tech_base!$T24&gt;M$1465,"",(tech_base!$J24/tech_proj!M148*0.086*$N$110)/(1-tech_proj!M428))</f>
        <v/>
      </c>
      <c r="N1488" s="127" t="str">
        <f>IF(tech_base!$T24&gt;N$1465,"",(tech_base!$J24/tech_proj!N148*0.086*$N$110)/(1-tech_proj!N428))</f>
        <v/>
      </c>
      <c r="O1488" s="127" t="str">
        <f>IF(tech_base!$T24&gt;O$1465,"",(tech_base!$J24/tech_proj!O148*0.086*$N$110)/(1-tech_proj!O428))</f>
        <v/>
      </c>
      <c r="P1488" s="127" t="str">
        <f>IF(tech_base!$T24&gt;P$1465,"",(tech_base!$J24/tech_proj!P148*0.086*$N$110)/(1-tech_proj!P428))</f>
        <v/>
      </c>
      <c r="Q1488" s="127" t="str">
        <f>IF(tech_base!$T24&gt;Q$1465,"",(tech_base!$J24/tech_proj!Q148*0.086*$N$110)/(1-tech_proj!Q428))</f>
        <v/>
      </c>
      <c r="R1488" s="127" t="str">
        <f>IF(tech_base!$T24&gt;R$1465,"",(tech_base!$J24/tech_proj!R148*0.086*$N$110)/(1-tech_proj!R428))</f>
        <v/>
      </c>
      <c r="S1488" s="127" t="str">
        <f>IF(tech_base!$T24&gt;S$1465,"",(tech_base!$J24/tech_proj!S148*0.086*$N$110)/(1-tech_proj!S428))</f>
        <v/>
      </c>
      <c r="T1488" s="127" t="str">
        <f>IF(tech_base!$T24&gt;T$1465,"",(tech_base!$J24/tech_proj!T148*0.086*$N$110)/(1-tech_proj!T428))</f>
        <v/>
      </c>
      <c r="U1488" s="127" t="str">
        <f>IF(tech_base!$T24&gt;U$1465,"",(tech_base!$J24/tech_proj!U148*0.086*$N$110)/(1-tech_proj!U428))</f>
        <v/>
      </c>
      <c r="V1488" s="127" t="str">
        <f>IF(tech_base!$T24&gt;V$1465,"",(tech_base!$J24/tech_proj!V148*0.086*$N$110)/(1-tech_proj!V428))</f>
        <v/>
      </c>
      <c r="W1488" s="127" t="str">
        <f>IF(tech_base!$T24&gt;W$1465,"",(tech_base!$J24/tech_proj!W148*0.086*$N$110)/(1-tech_proj!W428))</f>
        <v/>
      </c>
      <c r="X1488" s="127" t="str">
        <f>IF(tech_base!$T24&gt;X$1465,"",(tech_base!$J24/tech_proj!X148*0.086*$N$110)/(1-tech_proj!X428))</f>
        <v/>
      </c>
      <c r="Y1488" s="127" t="str">
        <f>IF(tech_base!$T24&gt;Y$1465,"",(tech_base!$J24/tech_proj!Y148*0.086*$N$110)/(1-tech_proj!Y428))</f>
        <v/>
      </c>
      <c r="Z1488" s="127" t="str">
        <f>IF(tech_base!$T24&gt;Z$1465,"",(tech_base!$J24/tech_proj!Z148*0.086*$N$110)/(1-tech_proj!Z428))</f>
        <v/>
      </c>
      <c r="AA1488" s="127" t="str">
        <f>IF(tech_base!$T24&gt;AA$1465,"",(tech_base!$J24/tech_proj!AA148*0.086*$N$110)/(1-tech_proj!AA428))</f>
        <v/>
      </c>
      <c r="AB1488" s="127" t="str">
        <f>IF(tech_base!$T24&gt;AB$1465,"",(tech_base!$J24/tech_proj!AB148*0.086*$N$110)/(1-tech_proj!AB428))</f>
        <v/>
      </c>
      <c r="AC1488" s="127" t="str">
        <f>IF(tech_base!$T24&gt;AC$1465,"",(tech_base!$J24/tech_proj!AC148*0.086*$N$110)/(1-tech_proj!AC428))</f>
        <v/>
      </c>
      <c r="AD1488" s="127" t="str">
        <f>IF(tech_base!$T24&gt;AD$1465,"",(tech_base!$J24/tech_proj!AD148*0.086*$N$110)/(1-tech_proj!AD428))</f>
        <v/>
      </c>
      <c r="AE1488" s="127">
        <f>IF(tech_base!$T24&gt;AE$1465,"",(tech_base!$J24/tech_proj!AE148*0.086*$N$110)/(1-tech_proj!AE428))</f>
        <v>0</v>
      </c>
      <c r="AF1488" s="127">
        <f>IF(tech_base!$T24&gt;AF$1465,"",(tech_base!$J24/tech_proj!AF148*0.086*$N$110)/(1-tech_proj!AF428))</f>
        <v>0</v>
      </c>
      <c r="AG1488" s="127">
        <f>IF(tech_base!$T24&gt;AG$1465,"",(tech_base!$J24/tech_proj!AG148*0.086*$N$110)/(1-tech_proj!AG428))</f>
        <v>0</v>
      </c>
      <c r="AH1488" s="127">
        <f>IF(tech_base!$T24&gt;AH$1465,"",(tech_base!$J24/tech_proj!AH148*0.086*$N$110)/(1-tech_proj!AH428))</f>
        <v>0</v>
      </c>
      <c r="AI1488" s="127">
        <f>IF(tech_base!$T24&gt;AI$1465,"",(tech_base!$J24/tech_proj!AI148*0.086*$N$110)/(1-tech_proj!AI428))</f>
        <v>0</v>
      </c>
      <c r="AJ1488" s="127">
        <f>IF(tech_base!$T24&gt;AJ$1465,"",(tech_base!$J24/tech_proj!AJ148*0.086*$N$110)/(1-tech_proj!AJ428))</f>
        <v>0</v>
      </c>
      <c r="AK1488" s="127">
        <f>IF(tech_base!$T24&gt;AK$1465,"",(tech_base!$J24/tech_proj!AK148*0.086*$N$110)/(1-tech_proj!AK428))</f>
        <v>0</v>
      </c>
      <c r="AL1488" s="127">
        <f>IF(tech_base!$T24&gt;AL$1465,"",(tech_base!$J24/tech_proj!AL148*0.086*$N$110)/(1-tech_proj!AL428))</f>
        <v>0</v>
      </c>
      <c r="AM1488" s="127">
        <f>IF(tech_base!$T24&gt;AM$1465,"",(tech_base!$J24/tech_proj!AM148*0.086*$N$110)/(1-tech_proj!AM428))</f>
        <v>0</v>
      </c>
      <c r="AN1488" s="127">
        <f>IF(tech_base!$T24&gt;AN$1465,"",(tech_base!$J24/tech_proj!AN148*0.086*$N$110)/(1-tech_proj!AN428))</f>
        <v>0</v>
      </c>
      <c r="AO1488" s="127">
        <f>IF(tech_base!$T24&gt;AO$1465,"",(tech_base!$J24/tech_proj!AO148*0.086*$N$110)/(1-tech_proj!AO428))</f>
        <v>0</v>
      </c>
      <c r="AP1488" s="127">
        <f>IF(tech_base!$T24&gt;AP$1465,"",(tech_base!$J24/tech_proj!AP148*0.086*$N$110)/(1-tech_proj!AP428))</f>
        <v>0</v>
      </c>
      <c r="AQ1488" s="127">
        <f>IF(tech_base!$T24&gt;AQ$1465,"",(tech_base!$J24/tech_proj!AQ148*0.086*$N$110)/(1-tech_proj!AQ428))</f>
        <v>0</v>
      </c>
      <c r="AR1488" s="127">
        <f>IF(tech_base!$T24&gt;AR$1465,"",(tech_base!$J24/tech_proj!AR148*0.086*$N$110)/(1-tech_proj!AR428))</f>
        <v>0</v>
      </c>
      <c r="AS1488" s="127">
        <f>IF(tech_base!$T24&gt;AS$1465,"",(tech_base!$J24/tech_proj!AS148*0.086*$N$110)/(1-tech_proj!AS428))</f>
        <v>0</v>
      </c>
      <c r="AT1488" s="127">
        <f>IF(tech_base!$T24&gt;AT$1465,"",(tech_base!$J24/tech_proj!AT148*0.086*$N$110)/(1-tech_proj!AT428))</f>
        <v>0</v>
      </c>
      <c r="AU1488" s="127">
        <f>IF(tech_base!$T24&gt;AU$1465,"",(tech_base!$J24/tech_proj!AU148*0.086*$N$110)/(1-tech_proj!AU428))</f>
        <v>0</v>
      </c>
      <c r="AV1488" s="127">
        <f>IF(tech_base!$T24&gt;AV$1465,"",(tech_base!$J24/tech_proj!AV148*0.086*$N$110)/(1-tech_proj!AV428))</f>
        <v>0</v>
      </c>
      <c r="AW1488" s="127">
        <f>IF(tech_base!$T24&gt;AW$1465,"",(tech_base!$J24/tech_proj!AW148*0.086*$N$110)/(1-tech_proj!AW428))</f>
        <v>0</v>
      </c>
      <c r="AX1488" s="128">
        <f>IF(tech_base!$T24&gt;AX$1465,"",(tech_base!$J24/tech_proj!AX148*0.086*$N$110)/(1-tech_proj!AX428))</f>
        <v>0</v>
      </c>
    </row>
    <row r="1489" spans="1:50" x14ac:dyDescent="0.25">
      <c r="A1489" s="356"/>
      <c r="B1489" s="358" t="s">
        <v>18</v>
      </c>
      <c r="C1489" s="353" t="s">
        <v>6</v>
      </c>
      <c r="D1489" s="3" t="s">
        <v>7</v>
      </c>
      <c r="E1489" s="162" t="str">
        <f>A1473&amp;"/"&amp;B1489&amp;"/"&amp;C1489&amp;"/"&amp;D1489</f>
        <v>Coal fired power plants/Fluidized bed combustion/Electricity only/L</v>
      </c>
      <c r="F1489" s="77" t="str">
        <f>A1473</f>
        <v>Coal fired power plants</v>
      </c>
      <c r="G1489" s="77" t="str">
        <f>B1489</f>
        <v>Fluidized bed combustion</v>
      </c>
      <c r="H1489" s="77" t="str">
        <f>C1489</f>
        <v>Electricity only</v>
      </c>
      <c r="I1489" s="163" t="str">
        <f t="shared" si="377"/>
        <v>L</v>
      </c>
      <c r="J1489" s="121">
        <f>IF(tech_base!$T25&gt;J$1465,"",(tech_base!$J25/tech_proj!J149*0.086*$N$110)/(1-tech_proj!J429))</f>
        <v>0</v>
      </c>
      <c r="K1489" s="121">
        <f>IF(tech_base!$T25&gt;K$1465,"",(tech_base!$J25/tech_proj!K149*0.086*$N$110)/(1-tech_proj!K429))</f>
        <v>0</v>
      </c>
      <c r="L1489" s="121">
        <f>IF(tech_base!$T25&gt;L$1465,"",(tech_base!$J25/tech_proj!L149*0.086*$N$110)/(1-tech_proj!L429))</f>
        <v>0</v>
      </c>
      <c r="M1489" s="121">
        <f>IF(tech_base!$T25&gt;M$1465,"",(tech_base!$J25/tech_proj!M149*0.086*$N$110)/(1-tech_proj!M429))</f>
        <v>0</v>
      </c>
      <c r="N1489" s="121">
        <f>IF(tech_base!$T25&gt;N$1465,"",(tech_base!$J25/tech_proj!N149*0.086*$N$110)/(1-tech_proj!N429))</f>
        <v>0</v>
      </c>
      <c r="O1489" s="121">
        <f>IF(tech_base!$T25&gt;O$1465,"",(tech_base!$J25/tech_proj!O149*0.086*$N$110)/(1-tech_proj!O429))</f>
        <v>0</v>
      </c>
      <c r="P1489" s="121">
        <f>IF(tech_base!$T25&gt;P$1465,"",(tech_base!$J25/tech_proj!P149*0.086*$N$110)/(1-tech_proj!P429))</f>
        <v>0</v>
      </c>
      <c r="Q1489" s="121">
        <f>IF(tech_base!$T25&gt;Q$1465,"",(tech_base!$J25/tech_proj!Q149*0.086*$N$110)/(1-tech_proj!Q429))</f>
        <v>0</v>
      </c>
      <c r="R1489" s="121">
        <f>IF(tech_base!$T25&gt;R$1465,"",(tech_base!$J25/tech_proj!R149*0.086*$N$110)/(1-tech_proj!R429))</f>
        <v>0</v>
      </c>
      <c r="S1489" s="121">
        <f>IF(tech_base!$T25&gt;S$1465,"",(tech_base!$J25/tech_proj!S149*0.086*$N$110)/(1-tech_proj!S429))</f>
        <v>0</v>
      </c>
      <c r="T1489" s="121">
        <f>IF(tech_base!$T25&gt;T$1465,"",(tech_base!$J25/tech_proj!T149*0.086*$N$110)/(1-tech_proj!T429))</f>
        <v>0</v>
      </c>
      <c r="U1489" s="121">
        <f>IF(tech_base!$T25&gt;U$1465,"",(tech_base!$J25/tech_proj!U149*0.086*$N$110)/(1-tech_proj!U429))</f>
        <v>0</v>
      </c>
      <c r="V1489" s="121">
        <f>IF(tech_base!$T25&gt;V$1465,"",(tech_base!$J25/tech_proj!V149*0.086*$N$110)/(1-tech_proj!V429))</f>
        <v>0</v>
      </c>
      <c r="W1489" s="121">
        <f>IF(tech_base!$T25&gt;W$1465,"",(tech_base!$J25/tech_proj!W149*0.086*$N$110)/(1-tech_proj!W429))</f>
        <v>0</v>
      </c>
      <c r="X1489" s="121">
        <f>IF(tech_base!$T25&gt;X$1465,"",(tech_base!$J25/tech_proj!X149*0.086*$N$110)/(1-tech_proj!X429))</f>
        <v>0</v>
      </c>
      <c r="Y1489" s="121">
        <f>IF(tech_base!$T25&gt;Y$1465,"",(tech_base!$J25/tech_proj!Y149*0.086*$N$110)/(1-tech_proj!Y429))</f>
        <v>0</v>
      </c>
      <c r="Z1489" s="121">
        <f>IF(tech_base!$T25&gt;Z$1465,"",(tech_base!$J25/tech_proj!Z149*0.086*$N$110)/(1-tech_proj!Z429))</f>
        <v>0</v>
      </c>
      <c r="AA1489" s="121">
        <f>IF(tech_base!$T25&gt;AA$1465,"",(tech_base!$J25/tech_proj!AA149*0.086*$N$110)/(1-tech_proj!AA429))</f>
        <v>0</v>
      </c>
      <c r="AB1489" s="121">
        <f>IF(tech_base!$T25&gt;AB$1465,"",(tech_base!$J25/tech_proj!AB149*0.086*$N$110)/(1-tech_proj!AB429))</f>
        <v>0</v>
      </c>
      <c r="AC1489" s="121">
        <f>IF(tech_base!$T25&gt;AC$1465,"",(tech_base!$J25/tech_proj!AC149*0.086*$N$110)/(1-tech_proj!AC429))</f>
        <v>0</v>
      </c>
      <c r="AD1489" s="121">
        <f>IF(tech_base!$T25&gt;AD$1465,"",(tech_base!$J25/tech_proj!AD149*0.086*$N$110)/(1-tech_proj!AD429))</f>
        <v>0</v>
      </c>
      <c r="AE1489" s="121">
        <f>IF(tech_base!$T25&gt;AE$1465,"",(tech_base!$J25/tech_proj!AE149*0.086*$N$110)/(1-tech_proj!AE429))</f>
        <v>0</v>
      </c>
      <c r="AF1489" s="121">
        <f>IF(tech_base!$T25&gt;AF$1465,"",(tech_base!$J25/tech_proj!AF149*0.086*$N$110)/(1-tech_proj!AF429))</f>
        <v>0</v>
      </c>
      <c r="AG1489" s="121">
        <f>IF(tech_base!$T25&gt;AG$1465,"",(tech_base!$J25/tech_proj!AG149*0.086*$N$110)/(1-tech_proj!AG429))</f>
        <v>0</v>
      </c>
      <c r="AH1489" s="121">
        <f>IF(tech_base!$T25&gt;AH$1465,"",(tech_base!$J25/tech_proj!AH149*0.086*$N$110)/(1-tech_proj!AH429))</f>
        <v>0</v>
      </c>
      <c r="AI1489" s="121">
        <f>IF(tech_base!$T25&gt;AI$1465,"",(tech_base!$J25/tech_proj!AI149*0.086*$N$110)/(1-tech_proj!AI429))</f>
        <v>0</v>
      </c>
      <c r="AJ1489" s="121">
        <f>IF(tech_base!$T25&gt;AJ$1465,"",(tech_base!$J25/tech_proj!AJ149*0.086*$N$110)/(1-tech_proj!AJ429))</f>
        <v>0</v>
      </c>
      <c r="AK1489" s="121">
        <f>IF(tech_base!$T25&gt;AK$1465,"",(tech_base!$J25/tech_proj!AK149*0.086*$N$110)/(1-tech_proj!AK429))</f>
        <v>0</v>
      </c>
      <c r="AL1489" s="121">
        <f>IF(tech_base!$T25&gt;AL$1465,"",(tech_base!$J25/tech_proj!AL149*0.086*$N$110)/(1-tech_proj!AL429))</f>
        <v>0</v>
      </c>
      <c r="AM1489" s="121">
        <f>IF(tech_base!$T25&gt;AM$1465,"",(tech_base!$J25/tech_proj!AM149*0.086*$N$110)/(1-tech_proj!AM429))</f>
        <v>0</v>
      </c>
      <c r="AN1489" s="121">
        <f>IF(tech_base!$T25&gt;AN$1465,"",(tech_base!$J25/tech_proj!AN149*0.086*$N$110)/(1-tech_proj!AN429))</f>
        <v>0</v>
      </c>
      <c r="AO1489" s="121">
        <f>IF(tech_base!$T25&gt;AO$1465,"",(tech_base!$J25/tech_proj!AO149*0.086*$N$110)/(1-tech_proj!AO429))</f>
        <v>0</v>
      </c>
      <c r="AP1489" s="121">
        <f>IF(tech_base!$T25&gt;AP$1465,"",(tech_base!$J25/tech_proj!AP149*0.086*$N$110)/(1-tech_proj!AP429))</f>
        <v>0</v>
      </c>
      <c r="AQ1489" s="121">
        <f>IF(tech_base!$T25&gt;AQ$1465,"",(tech_base!$J25/tech_proj!AQ149*0.086*$N$110)/(1-tech_proj!AQ429))</f>
        <v>0</v>
      </c>
      <c r="AR1489" s="121">
        <f>IF(tech_base!$T25&gt;AR$1465,"",(tech_base!$J25/tech_proj!AR149*0.086*$N$110)/(1-tech_proj!AR429))</f>
        <v>0</v>
      </c>
      <c r="AS1489" s="121">
        <f>IF(tech_base!$T25&gt;AS$1465,"",(tech_base!$J25/tech_proj!AS149*0.086*$N$110)/(1-tech_proj!AS429))</f>
        <v>0</v>
      </c>
      <c r="AT1489" s="121">
        <f>IF(tech_base!$T25&gt;AT$1465,"",(tech_base!$J25/tech_proj!AT149*0.086*$N$110)/(1-tech_proj!AT429))</f>
        <v>0</v>
      </c>
      <c r="AU1489" s="121">
        <f>IF(tech_base!$T25&gt;AU$1465,"",(tech_base!$J25/tech_proj!AU149*0.086*$N$110)/(1-tech_proj!AU429))</f>
        <v>0</v>
      </c>
      <c r="AV1489" s="121">
        <f>IF(tech_base!$T25&gt;AV$1465,"",(tech_base!$J25/tech_proj!AV149*0.086*$N$110)/(1-tech_proj!AV429))</f>
        <v>0</v>
      </c>
      <c r="AW1489" s="121">
        <f>IF(tech_base!$T25&gt;AW$1465,"",(tech_base!$J25/tech_proj!AW149*0.086*$N$110)/(1-tech_proj!AW429))</f>
        <v>0</v>
      </c>
      <c r="AX1489" s="122">
        <f>IF(tech_base!$T25&gt;AX$1465,"",(tech_base!$J25/tech_proj!AX149*0.086*$N$110)/(1-tech_proj!AX429))</f>
        <v>0</v>
      </c>
    </row>
    <row r="1490" spans="1:50" x14ac:dyDescent="0.25">
      <c r="A1490" s="356"/>
      <c r="B1490" s="376"/>
      <c r="C1490" s="378"/>
      <c r="D1490" s="2" t="s">
        <v>8</v>
      </c>
      <c r="E1490" s="160" t="str">
        <f>A1473&amp;"/"&amp;B1489&amp;"/"&amp;C1489&amp;"/"&amp;D1490</f>
        <v>Coal fired power plants/Fluidized bed combustion/Electricity only/M</v>
      </c>
      <c r="F1490" s="76" t="str">
        <f>A1473</f>
        <v>Coal fired power plants</v>
      </c>
      <c r="G1490" s="76" t="str">
        <f>B1489</f>
        <v>Fluidized bed combustion</v>
      </c>
      <c r="H1490" s="76" t="str">
        <f>C1489</f>
        <v>Electricity only</v>
      </c>
      <c r="I1490" s="161" t="str">
        <f t="shared" si="377"/>
        <v>M</v>
      </c>
      <c r="J1490" s="119">
        <f>IF(tech_base!$T26&gt;J$1465,"",(tech_base!$J26/tech_proj!J150*0.086*$N$110)/(1-tech_proj!J430))</f>
        <v>0</v>
      </c>
      <c r="K1490" s="119">
        <f>IF(tech_base!$T26&gt;K$1465,"",(tech_base!$J26/tech_proj!K150*0.086*$N$110)/(1-tech_proj!K430))</f>
        <v>0</v>
      </c>
      <c r="L1490" s="119">
        <f>IF(tech_base!$T26&gt;L$1465,"",(tech_base!$J26/tech_proj!L150*0.086*$N$110)/(1-tech_proj!L430))</f>
        <v>0</v>
      </c>
      <c r="M1490" s="119">
        <f>IF(tech_base!$T26&gt;M$1465,"",(tech_base!$J26/tech_proj!M150*0.086*$N$110)/(1-tech_proj!M430))</f>
        <v>0</v>
      </c>
      <c r="N1490" s="119">
        <f>IF(tech_base!$T26&gt;N$1465,"",(tech_base!$J26/tech_proj!N150*0.086*$N$110)/(1-tech_proj!N430))</f>
        <v>0</v>
      </c>
      <c r="O1490" s="119">
        <f>IF(tech_base!$T26&gt;O$1465,"",(tech_base!$J26/tech_proj!O150*0.086*$N$110)/(1-tech_proj!O430))</f>
        <v>0</v>
      </c>
      <c r="P1490" s="119">
        <f>IF(tech_base!$T26&gt;P$1465,"",(tech_base!$J26/tech_proj!P150*0.086*$N$110)/(1-tech_proj!P430))</f>
        <v>0</v>
      </c>
      <c r="Q1490" s="119">
        <f>IF(tech_base!$T26&gt;Q$1465,"",(tech_base!$J26/tech_proj!Q150*0.086*$N$110)/(1-tech_proj!Q430))</f>
        <v>0</v>
      </c>
      <c r="R1490" s="119">
        <f>IF(tech_base!$T26&gt;R$1465,"",(tech_base!$J26/tech_proj!R150*0.086*$N$110)/(1-tech_proj!R430))</f>
        <v>0</v>
      </c>
      <c r="S1490" s="119">
        <f>IF(tech_base!$T26&gt;S$1465,"",(tech_base!$J26/tech_proj!S150*0.086*$N$110)/(1-tech_proj!S430))</f>
        <v>0</v>
      </c>
      <c r="T1490" s="119">
        <f>IF(tech_base!$T26&gt;T$1465,"",(tech_base!$J26/tech_proj!T150*0.086*$N$110)/(1-tech_proj!T430))</f>
        <v>0</v>
      </c>
      <c r="U1490" s="119">
        <f>IF(tech_base!$T26&gt;U$1465,"",(tech_base!$J26/tech_proj!U150*0.086*$N$110)/(1-tech_proj!U430))</f>
        <v>0</v>
      </c>
      <c r="V1490" s="119">
        <f>IF(tech_base!$T26&gt;V$1465,"",(tech_base!$J26/tech_proj!V150*0.086*$N$110)/(1-tech_proj!V430))</f>
        <v>0</v>
      </c>
      <c r="W1490" s="119">
        <f>IF(tech_base!$T26&gt;W$1465,"",(tech_base!$J26/tech_proj!W150*0.086*$N$110)/(1-tech_proj!W430))</f>
        <v>0</v>
      </c>
      <c r="X1490" s="119">
        <f>IF(tech_base!$T26&gt;X$1465,"",(tech_base!$J26/tech_proj!X150*0.086*$N$110)/(1-tech_proj!X430))</f>
        <v>0</v>
      </c>
      <c r="Y1490" s="119">
        <f>IF(tech_base!$T26&gt;Y$1465,"",(tech_base!$J26/tech_proj!Y150*0.086*$N$110)/(1-tech_proj!Y430))</f>
        <v>0</v>
      </c>
      <c r="Z1490" s="119">
        <f>IF(tech_base!$T26&gt;Z$1465,"",(tech_base!$J26/tech_proj!Z150*0.086*$N$110)/(1-tech_proj!Z430))</f>
        <v>0</v>
      </c>
      <c r="AA1490" s="119">
        <f>IF(tech_base!$T26&gt;AA$1465,"",(tech_base!$J26/tech_proj!AA150*0.086*$N$110)/(1-tech_proj!AA430))</f>
        <v>0</v>
      </c>
      <c r="AB1490" s="119">
        <f>IF(tech_base!$T26&gt;AB$1465,"",(tech_base!$J26/tech_proj!AB150*0.086*$N$110)/(1-tech_proj!AB430))</f>
        <v>0</v>
      </c>
      <c r="AC1490" s="119">
        <f>IF(tech_base!$T26&gt;AC$1465,"",(tech_base!$J26/tech_proj!AC150*0.086*$N$110)/(1-tech_proj!AC430))</f>
        <v>0</v>
      </c>
      <c r="AD1490" s="119">
        <f>IF(tech_base!$T26&gt;AD$1465,"",(tech_base!$J26/tech_proj!AD150*0.086*$N$110)/(1-tech_proj!AD430))</f>
        <v>0</v>
      </c>
      <c r="AE1490" s="119">
        <f>IF(tech_base!$T26&gt;AE$1465,"",(tech_base!$J26/tech_proj!AE150*0.086*$N$110)/(1-tech_proj!AE430))</f>
        <v>0</v>
      </c>
      <c r="AF1490" s="119">
        <f>IF(tech_base!$T26&gt;AF$1465,"",(tech_base!$J26/tech_proj!AF150*0.086*$N$110)/(1-tech_proj!AF430))</f>
        <v>0</v>
      </c>
      <c r="AG1490" s="119">
        <f>IF(tech_base!$T26&gt;AG$1465,"",(tech_base!$J26/tech_proj!AG150*0.086*$N$110)/(1-tech_proj!AG430))</f>
        <v>0</v>
      </c>
      <c r="AH1490" s="119">
        <f>IF(tech_base!$T26&gt;AH$1465,"",(tech_base!$J26/tech_proj!AH150*0.086*$N$110)/(1-tech_proj!AH430))</f>
        <v>0</v>
      </c>
      <c r="AI1490" s="119">
        <f>IF(tech_base!$T26&gt;AI$1465,"",(tech_base!$J26/tech_proj!AI150*0.086*$N$110)/(1-tech_proj!AI430))</f>
        <v>0</v>
      </c>
      <c r="AJ1490" s="119">
        <f>IF(tech_base!$T26&gt;AJ$1465,"",(tech_base!$J26/tech_proj!AJ150*0.086*$N$110)/(1-tech_proj!AJ430))</f>
        <v>0</v>
      </c>
      <c r="AK1490" s="119">
        <f>IF(tech_base!$T26&gt;AK$1465,"",(tech_base!$J26/tech_proj!AK150*0.086*$N$110)/(1-tech_proj!AK430))</f>
        <v>0</v>
      </c>
      <c r="AL1490" s="119">
        <f>IF(tech_base!$T26&gt;AL$1465,"",(tech_base!$J26/tech_proj!AL150*0.086*$N$110)/(1-tech_proj!AL430))</f>
        <v>0</v>
      </c>
      <c r="AM1490" s="119">
        <f>IF(tech_base!$T26&gt;AM$1465,"",(tech_base!$J26/tech_proj!AM150*0.086*$N$110)/(1-tech_proj!AM430))</f>
        <v>0</v>
      </c>
      <c r="AN1490" s="119">
        <f>IF(tech_base!$T26&gt;AN$1465,"",(tech_base!$J26/tech_proj!AN150*0.086*$N$110)/(1-tech_proj!AN430))</f>
        <v>0</v>
      </c>
      <c r="AO1490" s="119">
        <f>IF(tech_base!$T26&gt;AO$1465,"",(tech_base!$J26/tech_proj!AO150*0.086*$N$110)/(1-tech_proj!AO430))</f>
        <v>0</v>
      </c>
      <c r="AP1490" s="119">
        <f>IF(tech_base!$T26&gt;AP$1465,"",(tech_base!$J26/tech_proj!AP150*0.086*$N$110)/(1-tech_proj!AP430))</f>
        <v>0</v>
      </c>
      <c r="AQ1490" s="119">
        <f>IF(tech_base!$T26&gt;AQ$1465,"",(tech_base!$J26/tech_proj!AQ150*0.086*$N$110)/(1-tech_proj!AQ430))</f>
        <v>0</v>
      </c>
      <c r="AR1490" s="119">
        <f>IF(tech_base!$T26&gt;AR$1465,"",(tech_base!$J26/tech_proj!AR150*0.086*$N$110)/(1-tech_proj!AR430))</f>
        <v>0</v>
      </c>
      <c r="AS1490" s="119">
        <f>IF(tech_base!$T26&gt;AS$1465,"",(tech_base!$J26/tech_proj!AS150*0.086*$N$110)/(1-tech_proj!AS430))</f>
        <v>0</v>
      </c>
      <c r="AT1490" s="119">
        <f>IF(tech_base!$T26&gt;AT$1465,"",(tech_base!$J26/tech_proj!AT150*0.086*$N$110)/(1-tech_proj!AT430))</f>
        <v>0</v>
      </c>
      <c r="AU1490" s="119">
        <f>IF(tech_base!$T26&gt;AU$1465,"",(tech_base!$J26/tech_proj!AU150*0.086*$N$110)/(1-tech_proj!AU430))</f>
        <v>0</v>
      </c>
      <c r="AV1490" s="119">
        <f>IF(tech_base!$T26&gt;AV$1465,"",(tech_base!$J26/tech_proj!AV150*0.086*$N$110)/(1-tech_proj!AV430))</f>
        <v>0</v>
      </c>
      <c r="AW1490" s="119">
        <f>IF(tech_base!$T26&gt;AW$1465,"",(tech_base!$J26/tech_proj!AW150*0.086*$N$110)/(1-tech_proj!AW430))</f>
        <v>0</v>
      </c>
      <c r="AX1490" s="120">
        <f>IF(tech_base!$T26&gt;AX$1465,"",(tech_base!$J26/tech_proj!AX150*0.086*$N$110)/(1-tech_proj!AX430))</f>
        <v>0</v>
      </c>
    </row>
    <row r="1491" spans="1:50" x14ac:dyDescent="0.25">
      <c r="A1491" s="356"/>
      <c r="B1491" s="376"/>
      <c r="C1491" s="379"/>
      <c r="D1491" s="2" t="s">
        <v>10</v>
      </c>
      <c r="E1491" s="160" t="str">
        <f>A1473&amp;"/"&amp;B1489&amp;"/"&amp;C1489&amp;"/"&amp;D1491</f>
        <v>Coal fired power plants/Fluidized bed combustion/Electricity only/S</v>
      </c>
      <c r="F1491" s="76" t="str">
        <f>A1473</f>
        <v>Coal fired power plants</v>
      </c>
      <c r="G1491" s="76" t="str">
        <f>B1489</f>
        <v>Fluidized bed combustion</v>
      </c>
      <c r="H1491" s="76" t="str">
        <f>C1489</f>
        <v>Electricity only</v>
      </c>
      <c r="I1491" s="161" t="str">
        <f t="shared" si="377"/>
        <v>S</v>
      </c>
      <c r="J1491" s="119">
        <f>IF(tech_base!$T27&gt;J$1465,"",(tech_base!$J27/tech_proj!J151*0.086*$N$110)/(1-tech_proj!J431))</f>
        <v>0</v>
      </c>
      <c r="K1491" s="119">
        <f>IF(tech_base!$T27&gt;K$1465,"",(tech_base!$J27/tech_proj!K151*0.086*$N$110)/(1-tech_proj!K431))</f>
        <v>0</v>
      </c>
      <c r="L1491" s="119">
        <f>IF(tech_base!$T27&gt;L$1465,"",(tech_base!$J27/tech_proj!L151*0.086*$N$110)/(1-tech_proj!L431))</f>
        <v>0</v>
      </c>
      <c r="M1491" s="119">
        <f>IF(tech_base!$T27&gt;M$1465,"",(tech_base!$J27/tech_proj!M151*0.086*$N$110)/(1-tech_proj!M431))</f>
        <v>0</v>
      </c>
      <c r="N1491" s="119">
        <f>IF(tech_base!$T27&gt;N$1465,"",(tech_base!$J27/tech_proj!N151*0.086*$N$110)/(1-tech_proj!N431))</f>
        <v>0</v>
      </c>
      <c r="O1491" s="119">
        <f>IF(tech_base!$T27&gt;O$1465,"",(tech_base!$J27/tech_proj!O151*0.086*$N$110)/(1-tech_proj!O431))</f>
        <v>0</v>
      </c>
      <c r="P1491" s="119">
        <f>IF(tech_base!$T27&gt;P$1465,"",(tech_base!$J27/tech_proj!P151*0.086*$N$110)/(1-tech_proj!P431))</f>
        <v>0</v>
      </c>
      <c r="Q1491" s="119">
        <f>IF(tech_base!$T27&gt;Q$1465,"",(tech_base!$J27/tech_proj!Q151*0.086*$N$110)/(1-tech_proj!Q431))</f>
        <v>0</v>
      </c>
      <c r="R1491" s="119">
        <f>IF(tech_base!$T27&gt;R$1465,"",(tech_base!$J27/tech_proj!R151*0.086*$N$110)/(1-tech_proj!R431))</f>
        <v>0</v>
      </c>
      <c r="S1491" s="119">
        <f>IF(tech_base!$T27&gt;S$1465,"",(tech_base!$J27/tech_proj!S151*0.086*$N$110)/(1-tech_proj!S431))</f>
        <v>0</v>
      </c>
      <c r="T1491" s="119">
        <f>IF(tech_base!$T27&gt;T$1465,"",(tech_base!$J27/tech_proj!T151*0.086*$N$110)/(1-tech_proj!T431))</f>
        <v>0</v>
      </c>
      <c r="U1491" s="119">
        <f>IF(tech_base!$T27&gt;U$1465,"",(tech_base!$J27/tech_proj!U151*0.086*$N$110)/(1-tech_proj!U431))</f>
        <v>0</v>
      </c>
      <c r="V1491" s="119">
        <f>IF(tech_base!$T27&gt;V$1465,"",(tech_base!$J27/tech_proj!V151*0.086*$N$110)/(1-tech_proj!V431))</f>
        <v>0</v>
      </c>
      <c r="W1491" s="119">
        <f>IF(tech_base!$T27&gt;W$1465,"",(tech_base!$J27/tech_proj!W151*0.086*$N$110)/(1-tech_proj!W431))</f>
        <v>0</v>
      </c>
      <c r="X1491" s="119">
        <f>IF(tech_base!$T27&gt;X$1465,"",(tech_base!$J27/tech_proj!X151*0.086*$N$110)/(1-tech_proj!X431))</f>
        <v>0</v>
      </c>
      <c r="Y1491" s="119">
        <f>IF(tech_base!$T27&gt;Y$1465,"",(tech_base!$J27/tech_proj!Y151*0.086*$N$110)/(1-tech_proj!Y431))</f>
        <v>0</v>
      </c>
      <c r="Z1491" s="119">
        <f>IF(tech_base!$T27&gt;Z$1465,"",(tech_base!$J27/tech_proj!Z151*0.086*$N$110)/(1-tech_proj!Z431))</f>
        <v>0</v>
      </c>
      <c r="AA1491" s="119">
        <f>IF(tech_base!$T27&gt;AA$1465,"",(tech_base!$J27/tech_proj!AA151*0.086*$N$110)/(1-tech_proj!AA431))</f>
        <v>0</v>
      </c>
      <c r="AB1491" s="119">
        <f>IF(tech_base!$T27&gt;AB$1465,"",(tech_base!$J27/tech_proj!AB151*0.086*$N$110)/(1-tech_proj!AB431))</f>
        <v>0</v>
      </c>
      <c r="AC1491" s="119">
        <f>IF(tech_base!$T27&gt;AC$1465,"",(tech_base!$J27/tech_proj!AC151*0.086*$N$110)/(1-tech_proj!AC431))</f>
        <v>0</v>
      </c>
      <c r="AD1491" s="119">
        <f>IF(tech_base!$T27&gt;AD$1465,"",(tech_base!$J27/tech_proj!AD151*0.086*$N$110)/(1-tech_proj!AD431))</f>
        <v>0</v>
      </c>
      <c r="AE1491" s="119">
        <f>IF(tech_base!$T27&gt;AE$1465,"",(tech_base!$J27/tech_proj!AE151*0.086*$N$110)/(1-tech_proj!AE431))</f>
        <v>0</v>
      </c>
      <c r="AF1491" s="119">
        <f>IF(tech_base!$T27&gt;AF$1465,"",(tech_base!$J27/tech_proj!AF151*0.086*$N$110)/(1-tech_proj!AF431))</f>
        <v>0</v>
      </c>
      <c r="AG1491" s="119">
        <f>IF(tech_base!$T27&gt;AG$1465,"",(tech_base!$J27/tech_proj!AG151*0.086*$N$110)/(1-tech_proj!AG431))</f>
        <v>0</v>
      </c>
      <c r="AH1491" s="119">
        <f>IF(tech_base!$T27&gt;AH$1465,"",(tech_base!$J27/tech_proj!AH151*0.086*$N$110)/(1-tech_proj!AH431))</f>
        <v>0</v>
      </c>
      <c r="AI1491" s="119">
        <f>IF(tech_base!$T27&gt;AI$1465,"",(tech_base!$J27/tech_proj!AI151*0.086*$N$110)/(1-tech_proj!AI431))</f>
        <v>0</v>
      </c>
      <c r="AJ1491" s="119">
        <f>IF(tech_base!$T27&gt;AJ$1465,"",(tech_base!$J27/tech_proj!AJ151*0.086*$N$110)/(1-tech_proj!AJ431))</f>
        <v>0</v>
      </c>
      <c r="AK1491" s="119">
        <f>IF(tech_base!$T27&gt;AK$1465,"",(tech_base!$J27/tech_proj!AK151*0.086*$N$110)/(1-tech_proj!AK431))</f>
        <v>0</v>
      </c>
      <c r="AL1491" s="119">
        <f>IF(tech_base!$T27&gt;AL$1465,"",(tech_base!$J27/tech_proj!AL151*0.086*$N$110)/(1-tech_proj!AL431))</f>
        <v>0</v>
      </c>
      <c r="AM1491" s="119">
        <f>IF(tech_base!$T27&gt;AM$1465,"",(tech_base!$J27/tech_proj!AM151*0.086*$N$110)/(1-tech_proj!AM431))</f>
        <v>0</v>
      </c>
      <c r="AN1491" s="119">
        <f>IF(tech_base!$T27&gt;AN$1465,"",(tech_base!$J27/tech_proj!AN151*0.086*$N$110)/(1-tech_proj!AN431))</f>
        <v>0</v>
      </c>
      <c r="AO1491" s="119">
        <f>IF(tech_base!$T27&gt;AO$1465,"",(tech_base!$J27/tech_proj!AO151*0.086*$N$110)/(1-tech_proj!AO431))</f>
        <v>0</v>
      </c>
      <c r="AP1491" s="119">
        <f>IF(tech_base!$T27&gt;AP$1465,"",(tech_base!$J27/tech_proj!AP151*0.086*$N$110)/(1-tech_proj!AP431))</f>
        <v>0</v>
      </c>
      <c r="AQ1491" s="119">
        <f>IF(tech_base!$T27&gt;AQ$1465,"",(tech_base!$J27/tech_proj!AQ151*0.086*$N$110)/(1-tech_proj!AQ431))</f>
        <v>0</v>
      </c>
      <c r="AR1491" s="119">
        <f>IF(tech_base!$T27&gt;AR$1465,"",(tech_base!$J27/tech_proj!AR151*0.086*$N$110)/(1-tech_proj!AR431))</f>
        <v>0</v>
      </c>
      <c r="AS1491" s="119">
        <f>IF(tech_base!$T27&gt;AS$1465,"",(tech_base!$J27/tech_proj!AS151*0.086*$N$110)/(1-tech_proj!AS431))</f>
        <v>0</v>
      </c>
      <c r="AT1491" s="119">
        <f>IF(tech_base!$T27&gt;AT$1465,"",(tech_base!$J27/tech_proj!AT151*0.086*$N$110)/(1-tech_proj!AT431))</f>
        <v>0</v>
      </c>
      <c r="AU1491" s="119">
        <f>IF(tech_base!$T27&gt;AU$1465,"",(tech_base!$J27/tech_proj!AU151*0.086*$N$110)/(1-tech_proj!AU431))</f>
        <v>0</v>
      </c>
      <c r="AV1491" s="119">
        <f>IF(tech_base!$T27&gt;AV$1465,"",(tech_base!$J27/tech_proj!AV151*0.086*$N$110)/(1-tech_proj!AV431))</f>
        <v>0</v>
      </c>
      <c r="AW1491" s="119">
        <f>IF(tech_base!$T27&gt;AW$1465,"",(tech_base!$J27/tech_proj!AW151*0.086*$N$110)/(1-tech_proj!AW431))</f>
        <v>0</v>
      </c>
      <c r="AX1491" s="120">
        <f>IF(tech_base!$T27&gt;AX$1465,"",(tech_base!$J27/tech_proj!AX151*0.086*$N$110)/(1-tech_proj!AX431))</f>
        <v>0</v>
      </c>
    </row>
    <row r="1492" spans="1:50" x14ac:dyDescent="0.25">
      <c r="A1492" s="356"/>
      <c r="B1492" s="376"/>
      <c r="C1492" s="361" t="s">
        <v>14</v>
      </c>
      <c r="D1492" s="58" t="s">
        <v>7</v>
      </c>
      <c r="E1492" s="164" t="str">
        <f>A1473&amp;"/"&amp;B1489&amp;"/"&amp;C1492&amp;"/"&amp;D1492</f>
        <v>Coal fired power plants/Fluidized bed combustion/CHP/L</v>
      </c>
      <c r="F1492" s="78" t="str">
        <f>A1473</f>
        <v>Coal fired power plants</v>
      </c>
      <c r="G1492" s="78" t="str">
        <f>B1489</f>
        <v>Fluidized bed combustion</v>
      </c>
      <c r="H1492" s="78" t="str">
        <f>C1492</f>
        <v>CHP</v>
      </c>
      <c r="I1492" s="165" t="str">
        <f t="shared" si="377"/>
        <v>L</v>
      </c>
      <c r="J1492" s="123">
        <f>IF(tech_base!$T28&gt;J$1465,"",(tech_base!$J28/tech_proj!J152*0.086*$N$110)/(1-tech_proj!J432))</f>
        <v>0</v>
      </c>
      <c r="K1492" s="123">
        <f>IF(tech_base!$T28&gt;K$1465,"",(tech_base!$J28/tech_proj!K152*0.086*$N$110)/(1-tech_proj!K432))</f>
        <v>0</v>
      </c>
      <c r="L1492" s="123">
        <f>IF(tech_base!$T28&gt;L$1465,"",(tech_base!$J28/tech_proj!L152*0.086*$N$110)/(1-tech_proj!L432))</f>
        <v>0</v>
      </c>
      <c r="M1492" s="123">
        <f>IF(tech_base!$T28&gt;M$1465,"",(tech_base!$J28/tech_proj!M152*0.086*$N$110)/(1-tech_proj!M432))</f>
        <v>0</v>
      </c>
      <c r="N1492" s="123">
        <f>IF(tech_base!$T28&gt;N$1465,"",(tech_base!$J28/tech_proj!N152*0.086*$N$110)/(1-tech_proj!N432))</f>
        <v>0</v>
      </c>
      <c r="O1492" s="123">
        <f>IF(tech_base!$T28&gt;O$1465,"",(tech_base!$J28/tech_proj!O152*0.086*$N$110)/(1-tech_proj!O432))</f>
        <v>0</v>
      </c>
      <c r="P1492" s="123">
        <f>IF(tech_base!$T28&gt;P$1465,"",(tech_base!$J28/tech_proj!P152*0.086*$N$110)/(1-tech_proj!P432))</f>
        <v>0</v>
      </c>
      <c r="Q1492" s="123">
        <f>IF(tech_base!$T28&gt;Q$1465,"",(tech_base!$J28/tech_proj!Q152*0.086*$N$110)/(1-tech_proj!Q432))</f>
        <v>0</v>
      </c>
      <c r="R1492" s="123">
        <f>IF(tech_base!$T28&gt;R$1465,"",(tech_base!$J28/tech_proj!R152*0.086*$N$110)/(1-tech_proj!R432))</f>
        <v>0</v>
      </c>
      <c r="S1492" s="123">
        <f>IF(tech_base!$T28&gt;S$1465,"",(tech_base!$J28/tech_proj!S152*0.086*$N$110)/(1-tech_proj!S432))</f>
        <v>0</v>
      </c>
      <c r="T1492" s="123">
        <f>IF(tech_base!$T28&gt;T$1465,"",(tech_base!$J28/tech_proj!T152*0.086*$N$110)/(1-tech_proj!T432))</f>
        <v>0</v>
      </c>
      <c r="U1492" s="123">
        <f>IF(tech_base!$T28&gt;U$1465,"",(tech_base!$J28/tech_proj!U152*0.086*$N$110)/(1-tech_proj!U432))</f>
        <v>0</v>
      </c>
      <c r="V1492" s="123">
        <f>IF(tech_base!$T28&gt;V$1465,"",(tech_base!$J28/tech_proj!V152*0.086*$N$110)/(1-tech_proj!V432))</f>
        <v>0</v>
      </c>
      <c r="W1492" s="123">
        <f>IF(tech_base!$T28&gt;W$1465,"",(tech_base!$J28/tech_proj!W152*0.086*$N$110)/(1-tech_proj!W432))</f>
        <v>0</v>
      </c>
      <c r="X1492" s="123">
        <f>IF(tech_base!$T28&gt;X$1465,"",(tech_base!$J28/tech_proj!X152*0.086*$N$110)/(1-tech_proj!X432))</f>
        <v>0</v>
      </c>
      <c r="Y1492" s="123">
        <f>IF(tech_base!$T28&gt;Y$1465,"",(tech_base!$J28/tech_proj!Y152*0.086*$N$110)/(1-tech_proj!Y432))</f>
        <v>0</v>
      </c>
      <c r="Z1492" s="123">
        <f>IF(tech_base!$T28&gt;Z$1465,"",(tech_base!$J28/tech_proj!Z152*0.086*$N$110)/(1-tech_proj!Z432))</f>
        <v>0</v>
      </c>
      <c r="AA1492" s="123">
        <f>IF(tech_base!$T28&gt;AA$1465,"",(tech_base!$J28/tech_proj!AA152*0.086*$N$110)/(1-tech_proj!AA432))</f>
        <v>0</v>
      </c>
      <c r="AB1492" s="123">
        <f>IF(tech_base!$T28&gt;AB$1465,"",(tech_base!$J28/tech_proj!AB152*0.086*$N$110)/(1-tech_proj!AB432))</f>
        <v>0</v>
      </c>
      <c r="AC1492" s="123">
        <f>IF(tech_base!$T28&gt;AC$1465,"",(tech_base!$J28/tech_proj!AC152*0.086*$N$110)/(1-tech_proj!AC432))</f>
        <v>0</v>
      </c>
      <c r="AD1492" s="123">
        <f>IF(tech_base!$T28&gt;AD$1465,"",(tech_base!$J28/tech_proj!AD152*0.086*$N$110)/(1-tech_proj!AD432))</f>
        <v>0</v>
      </c>
      <c r="AE1492" s="123">
        <f>IF(tech_base!$T28&gt;AE$1465,"",(tech_base!$J28/tech_proj!AE152*0.086*$N$110)/(1-tech_proj!AE432))</f>
        <v>0</v>
      </c>
      <c r="AF1492" s="123">
        <f>IF(tech_base!$T28&gt;AF$1465,"",(tech_base!$J28/tech_proj!AF152*0.086*$N$110)/(1-tech_proj!AF432))</f>
        <v>0</v>
      </c>
      <c r="AG1492" s="123">
        <f>IF(tech_base!$T28&gt;AG$1465,"",(tech_base!$J28/tech_proj!AG152*0.086*$N$110)/(1-tech_proj!AG432))</f>
        <v>0</v>
      </c>
      <c r="AH1492" s="123">
        <f>IF(tech_base!$T28&gt;AH$1465,"",(tech_base!$J28/tech_proj!AH152*0.086*$N$110)/(1-tech_proj!AH432))</f>
        <v>0</v>
      </c>
      <c r="AI1492" s="123">
        <f>IF(tech_base!$T28&gt;AI$1465,"",(tech_base!$J28/tech_proj!AI152*0.086*$N$110)/(1-tech_proj!AI432))</f>
        <v>0</v>
      </c>
      <c r="AJ1492" s="123">
        <f>IF(tech_base!$T28&gt;AJ$1465,"",(tech_base!$J28/tech_proj!AJ152*0.086*$N$110)/(1-tech_proj!AJ432))</f>
        <v>0</v>
      </c>
      <c r="AK1492" s="123">
        <f>IF(tech_base!$T28&gt;AK$1465,"",(tech_base!$J28/tech_proj!AK152*0.086*$N$110)/(1-tech_proj!AK432))</f>
        <v>0</v>
      </c>
      <c r="AL1492" s="123">
        <f>IF(tech_base!$T28&gt;AL$1465,"",(tech_base!$J28/tech_proj!AL152*0.086*$N$110)/(1-tech_proj!AL432))</f>
        <v>0</v>
      </c>
      <c r="AM1492" s="123">
        <f>IF(tech_base!$T28&gt;AM$1465,"",(tech_base!$J28/tech_proj!AM152*0.086*$N$110)/(1-tech_proj!AM432))</f>
        <v>0</v>
      </c>
      <c r="AN1492" s="123">
        <f>IF(tech_base!$T28&gt;AN$1465,"",(tech_base!$J28/tech_proj!AN152*0.086*$N$110)/(1-tech_proj!AN432))</f>
        <v>0</v>
      </c>
      <c r="AO1492" s="123">
        <f>IF(tech_base!$T28&gt;AO$1465,"",(tech_base!$J28/tech_proj!AO152*0.086*$N$110)/(1-tech_proj!AO432))</f>
        <v>0</v>
      </c>
      <c r="AP1492" s="123">
        <f>IF(tech_base!$T28&gt;AP$1465,"",(tech_base!$J28/tech_proj!AP152*0.086*$N$110)/(1-tech_proj!AP432))</f>
        <v>0</v>
      </c>
      <c r="AQ1492" s="123">
        <f>IF(tech_base!$T28&gt;AQ$1465,"",(tech_base!$J28/tech_proj!AQ152*0.086*$N$110)/(1-tech_proj!AQ432))</f>
        <v>0</v>
      </c>
      <c r="AR1492" s="123">
        <f>IF(tech_base!$T28&gt;AR$1465,"",(tech_base!$J28/tech_proj!AR152*0.086*$N$110)/(1-tech_proj!AR432))</f>
        <v>0</v>
      </c>
      <c r="AS1492" s="123">
        <f>IF(tech_base!$T28&gt;AS$1465,"",(tech_base!$J28/tech_proj!AS152*0.086*$N$110)/(1-tech_proj!AS432))</f>
        <v>0</v>
      </c>
      <c r="AT1492" s="123">
        <f>IF(tech_base!$T28&gt;AT$1465,"",(tech_base!$J28/tech_proj!AT152*0.086*$N$110)/(1-tech_proj!AT432))</f>
        <v>0</v>
      </c>
      <c r="AU1492" s="123">
        <f>IF(tech_base!$T28&gt;AU$1465,"",(tech_base!$J28/tech_proj!AU152*0.086*$N$110)/(1-tech_proj!AU432))</f>
        <v>0</v>
      </c>
      <c r="AV1492" s="123">
        <f>IF(tech_base!$T28&gt;AV$1465,"",(tech_base!$J28/tech_proj!AV152*0.086*$N$110)/(1-tech_proj!AV432))</f>
        <v>0</v>
      </c>
      <c r="AW1492" s="123">
        <f>IF(tech_base!$T28&gt;AW$1465,"",(tech_base!$J28/tech_proj!AW152*0.086*$N$110)/(1-tech_proj!AW432))</f>
        <v>0</v>
      </c>
      <c r="AX1492" s="124">
        <f>IF(tech_base!$T28&gt;AX$1465,"",(tech_base!$J28/tech_proj!AX152*0.086*$N$110)/(1-tech_proj!AX432))</f>
        <v>0</v>
      </c>
    </row>
    <row r="1493" spans="1:50" x14ac:dyDescent="0.25">
      <c r="A1493" s="356"/>
      <c r="B1493" s="376"/>
      <c r="C1493" s="378"/>
      <c r="D1493" s="2" t="s">
        <v>8</v>
      </c>
      <c r="E1493" s="160" t="str">
        <f>A1473&amp;"/"&amp;B1489&amp;"/"&amp;C1492&amp;"/"&amp;D1493</f>
        <v>Coal fired power plants/Fluidized bed combustion/CHP/M</v>
      </c>
      <c r="F1493" s="76" t="str">
        <f>A1473</f>
        <v>Coal fired power plants</v>
      </c>
      <c r="G1493" s="76" t="str">
        <f>B1489</f>
        <v>Fluidized bed combustion</v>
      </c>
      <c r="H1493" s="76" t="str">
        <f>C1492</f>
        <v>CHP</v>
      </c>
      <c r="I1493" s="161" t="str">
        <f t="shared" si="377"/>
        <v>M</v>
      </c>
      <c r="J1493" s="119">
        <f>IF(tech_base!$T29&gt;J$1465,"",(tech_base!$J29/tech_proj!J153*0.086*$N$110)/(1-tech_proj!J433))</f>
        <v>0</v>
      </c>
      <c r="K1493" s="119">
        <f>IF(tech_base!$T29&gt;K$1465,"",(tech_base!$J29/tech_proj!K153*0.086*$N$110)/(1-tech_proj!K433))</f>
        <v>0</v>
      </c>
      <c r="L1493" s="119">
        <f>IF(tech_base!$T29&gt;L$1465,"",(tech_base!$J29/tech_proj!L153*0.086*$N$110)/(1-tech_proj!L433))</f>
        <v>0</v>
      </c>
      <c r="M1493" s="119">
        <f>IF(tech_base!$T29&gt;M$1465,"",(tech_base!$J29/tech_proj!M153*0.086*$N$110)/(1-tech_proj!M433))</f>
        <v>0</v>
      </c>
      <c r="N1493" s="119">
        <f>IF(tech_base!$T29&gt;N$1465,"",(tech_base!$J29/tech_proj!N153*0.086*$N$110)/(1-tech_proj!N433))</f>
        <v>0</v>
      </c>
      <c r="O1493" s="119">
        <f>IF(tech_base!$T29&gt;O$1465,"",(tech_base!$J29/tech_proj!O153*0.086*$N$110)/(1-tech_proj!O433))</f>
        <v>0</v>
      </c>
      <c r="P1493" s="119">
        <f>IF(tech_base!$T29&gt;P$1465,"",(tech_base!$J29/tech_proj!P153*0.086*$N$110)/(1-tech_proj!P433))</f>
        <v>0</v>
      </c>
      <c r="Q1493" s="119">
        <f>IF(tech_base!$T29&gt;Q$1465,"",(tech_base!$J29/tech_proj!Q153*0.086*$N$110)/(1-tech_proj!Q433))</f>
        <v>0</v>
      </c>
      <c r="R1493" s="119">
        <f>IF(tech_base!$T29&gt;R$1465,"",(tech_base!$J29/tech_proj!R153*0.086*$N$110)/(1-tech_proj!R433))</f>
        <v>0</v>
      </c>
      <c r="S1493" s="119">
        <f>IF(tech_base!$T29&gt;S$1465,"",(tech_base!$J29/tech_proj!S153*0.086*$N$110)/(1-tech_proj!S433))</f>
        <v>0</v>
      </c>
      <c r="T1493" s="119">
        <f>IF(tech_base!$T29&gt;T$1465,"",(tech_base!$J29/tech_proj!T153*0.086*$N$110)/(1-tech_proj!T433))</f>
        <v>0</v>
      </c>
      <c r="U1493" s="119">
        <f>IF(tech_base!$T29&gt;U$1465,"",(tech_base!$J29/tech_proj!U153*0.086*$N$110)/(1-tech_proj!U433))</f>
        <v>0</v>
      </c>
      <c r="V1493" s="119">
        <f>IF(tech_base!$T29&gt;V$1465,"",(tech_base!$J29/tech_proj!V153*0.086*$N$110)/(1-tech_proj!V433))</f>
        <v>0</v>
      </c>
      <c r="W1493" s="119">
        <f>IF(tech_base!$T29&gt;W$1465,"",(tech_base!$J29/tech_proj!W153*0.086*$N$110)/(1-tech_proj!W433))</f>
        <v>0</v>
      </c>
      <c r="X1493" s="119">
        <f>IF(tech_base!$T29&gt;X$1465,"",(tech_base!$J29/tech_proj!X153*0.086*$N$110)/(1-tech_proj!X433))</f>
        <v>0</v>
      </c>
      <c r="Y1493" s="119">
        <f>IF(tech_base!$T29&gt;Y$1465,"",(tech_base!$J29/tech_proj!Y153*0.086*$N$110)/(1-tech_proj!Y433))</f>
        <v>0</v>
      </c>
      <c r="Z1493" s="119">
        <f>IF(tech_base!$T29&gt;Z$1465,"",(tech_base!$J29/tech_proj!Z153*0.086*$N$110)/(1-tech_proj!Z433))</f>
        <v>0</v>
      </c>
      <c r="AA1493" s="119">
        <f>IF(tech_base!$T29&gt;AA$1465,"",(tech_base!$J29/tech_proj!AA153*0.086*$N$110)/(1-tech_proj!AA433))</f>
        <v>0</v>
      </c>
      <c r="AB1493" s="119">
        <f>IF(tech_base!$T29&gt;AB$1465,"",(tech_base!$J29/tech_proj!AB153*0.086*$N$110)/(1-tech_proj!AB433))</f>
        <v>0</v>
      </c>
      <c r="AC1493" s="119">
        <f>IF(tech_base!$T29&gt;AC$1465,"",(tech_base!$J29/tech_proj!AC153*0.086*$N$110)/(1-tech_proj!AC433))</f>
        <v>0</v>
      </c>
      <c r="AD1493" s="119">
        <f>IF(tech_base!$T29&gt;AD$1465,"",(tech_base!$J29/tech_proj!AD153*0.086*$N$110)/(1-tech_proj!AD433))</f>
        <v>0</v>
      </c>
      <c r="AE1493" s="119">
        <f>IF(tech_base!$T29&gt;AE$1465,"",(tech_base!$J29/tech_proj!AE153*0.086*$N$110)/(1-tech_proj!AE433))</f>
        <v>0</v>
      </c>
      <c r="AF1493" s="119">
        <f>IF(tech_base!$T29&gt;AF$1465,"",(tech_base!$J29/tech_proj!AF153*0.086*$N$110)/(1-tech_proj!AF433))</f>
        <v>0</v>
      </c>
      <c r="AG1493" s="119">
        <f>IF(tech_base!$T29&gt;AG$1465,"",(tech_base!$J29/tech_proj!AG153*0.086*$N$110)/(1-tech_proj!AG433))</f>
        <v>0</v>
      </c>
      <c r="AH1493" s="119">
        <f>IF(tech_base!$T29&gt;AH$1465,"",(tech_base!$J29/tech_proj!AH153*0.086*$N$110)/(1-tech_proj!AH433))</f>
        <v>0</v>
      </c>
      <c r="AI1493" s="119">
        <f>IF(tech_base!$T29&gt;AI$1465,"",(tech_base!$J29/tech_proj!AI153*0.086*$N$110)/(1-tech_proj!AI433))</f>
        <v>0</v>
      </c>
      <c r="AJ1493" s="119">
        <f>IF(tech_base!$T29&gt;AJ$1465,"",(tech_base!$J29/tech_proj!AJ153*0.086*$N$110)/(1-tech_proj!AJ433))</f>
        <v>0</v>
      </c>
      <c r="AK1493" s="119">
        <f>IF(tech_base!$T29&gt;AK$1465,"",(tech_base!$J29/tech_proj!AK153*0.086*$N$110)/(1-tech_proj!AK433))</f>
        <v>0</v>
      </c>
      <c r="AL1493" s="119">
        <f>IF(tech_base!$T29&gt;AL$1465,"",(tech_base!$J29/tech_proj!AL153*0.086*$N$110)/(1-tech_proj!AL433))</f>
        <v>0</v>
      </c>
      <c r="AM1493" s="119">
        <f>IF(tech_base!$T29&gt;AM$1465,"",(tech_base!$J29/tech_proj!AM153*0.086*$N$110)/(1-tech_proj!AM433))</f>
        <v>0</v>
      </c>
      <c r="AN1493" s="119">
        <f>IF(tech_base!$T29&gt;AN$1465,"",(tech_base!$J29/tech_proj!AN153*0.086*$N$110)/(1-tech_proj!AN433))</f>
        <v>0</v>
      </c>
      <c r="AO1493" s="119">
        <f>IF(tech_base!$T29&gt;AO$1465,"",(tech_base!$J29/tech_proj!AO153*0.086*$N$110)/(1-tech_proj!AO433))</f>
        <v>0</v>
      </c>
      <c r="AP1493" s="119">
        <f>IF(tech_base!$T29&gt;AP$1465,"",(tech_base!$J29/tech_proj!AP153*0.086*$N$110)/(1-tech_proj!AP433))</f>
        <v>0</v>
      </c>
      <c r="AQ1493" s="119">
        <f>IF(tech_base!$T29&gt;AQ$1465,"",(tech_base!$J29/tech_proj!AQ153*0.086*$N$110)/(1-tech_proj!AQ433))</f>
        <v>0</v>
      </c>
      <c r="AR1493" s="119">
        <f>IF(tech_base!$T29&gt;AR$1465,"",(tech_base!$J29/tech_proj!AR153*0.086*$N$110)/(1-tech_proj!AR433))</f>
        <v>0</v>
      </c>
      <c r="AS1493" s="119">
        <f>IF(tech_base!$T29&gt;AS$1465,"",(tech_base!$J29/tech_proj!AS153*0.086*$N$110)/(1-tech_proj!AS433))</f>
        <v>0</v>
      </c>
      <c r="AT1493" s="119">
        <f>IF(tech_base!$T29&gt;AT$1465,"",(tech_base!$J29/tech_proj!AT153*0.086*$N$110)/(1-tech_proj!AT433))</f>
        <v>0</v>
      </c>
      <c r="AU1493" s="119">
        <f>IF(tech_base!$T29&gt;AU$1465,"",(tech_base!$J29/tech_proj!AU153*0.086*$N$110)/(1-tech_proj!AU433))</f>
        <v>0</v>
      </c>
      <c r="AV1493" s="119">
        <f>IF(tech_base!$T29&gt;AV$1465,"",(tech_base!$J29/tech_proj!AV153*0.086*$N$110)/(1-tech_proj!AV433))</f>
        <v>0</v>
      </c>
      <c r="AW1493" s="119">
        <f>IF(tech_base!$T29&gt;AW$1465,"",(tech_base!$J29/tech_proj!AW153*0.086*$N$110)/(1-tech_proj!AW433))</f>
        <v>0</v>
      </c>
      <c r="AX1493" s="120">
        <f>IF(tech_base!$T29&gt;AX$1465,"",(tech_base!$J29/tech_proj!AX153*0.086*$N$110)/(1-tech_proj!AX433))</f>
        <v>0</v>
      </c>
    </row>
    <row r="1494" spans="1:50" x14ac:dyDescent="0.25">
      <c r="A1494" s="356"/>
      <c r="B1494" s="376"/>
      <c r="C1494" s="379"/>
      <c r="D1494" s="59" t="s">
        <v>10</v>
      </c>
      <c r="E1494" s="166" t="str">
        <f>A1473&amp;"/"&amp;B1489&amp;"/"&amp;C1492&amp;"/"&amp;D1494</f>
        <v>Coal fired power plants/Fluidized bed combustion/CHP/S</v>
      </c>
      <c r="F1494" s="79" t="str">
        <f>A1473</f>
        <v>Coal fired power plants</v>
      </c>
      <c r="G1494" s="79" t="str">
        <f>B1489</f>
        <v>Fluidized bed combustion</v>
      </c>
      <c r="H1494" s="79" t="str">
        <f>C1492</f>
        <v>CHP</v>
      </c>
      <c r="I1494" s="167" t="str">
        <f t="shared" si="377"/>
        <v>S</v>
      </c>
      <c r="J1494" s="125">
        <f>IF(tech_base!$T30&gt;J$1465,"",(tech_base!$J30/tech_proj!J154*0.086*$N$110)/(1-tech_proj!J434))</f>
        <v>0</v>
      </c>
      <c r="K1494" s="125">
        <f>IF(tech_base!$T30&gt;K$1465,"",(tech_base!$J30/tech_proj!K154*0.086*$N$110)/(1-tech_proj!K434))</f>
        <v>0</v>
      </c>
      <c r="L1494" s="125">
        <f>IF(tech_base!$T30&gt;L$1465,"",(tech_base!$J30/tech_proj!L154*0.086*$N$110)/(1-tech_proj!L434))</f>
        <v>0</v>
      </c>
      <c r="M1494" s="125">
        <f>IF(tech_base!$T30&gt;M$1465,"",(tech_base!$J30/tech_proj!M154*0.086*$N$110)/(1-tech_proj!M434))</f>
        <v>0</v>
      </c>
      <c r="N1494" s="125">
        <f>IF(tech_base!$T30&gt;N$1465,"",(tech_base!$J30/tech_proj!N154*0.086*$N$110)/(1-tech_proj!N434))</f>
        <v>0</v>
      </c>
      <c r="O1494" s="125">
        <f>IF(tech_base!$T30&gt;O$1465,"",(tech_base!$J30/tech_proj!O154*0.086*$N$110)/(1-tech_proj!O434))</f>
        <v>0</v>
      </c>
      <c r="P1494" s="125">
        <f>IF(tech_base!$T30&gt;P$1465,"",(tech_base!$J30/tech_proj!P154*0.086*$N$110)/(1-tech_proj!P434))</f>
        <v>0</v>
      </c>
      <c r="Q1494" s="125">
        <f>IF(tech_base!$T30&gt;Q$1465,"",(tech_base!$J30/tech_proj!Q154*0.086*$N$110)/(1-tech_proj!Q434))</f>
        <v>0</v>
      </c>
      <c r="R1494" s="125">
        <f>IF(tech_base!$T30&gt;R$1465,"",(tech_base!$J30/tech_proj!R154*0.086*$N$110)/(1-tech_proj!R434))</f>
        <v>0</v>
      </c>
      <c r="S1494" s="125">
        <f>IF(tech_base!$T30&gt;S$1465,"",(tech_base!$J30/tech_proj!S154*0.086*$N$110)/(1-tech_proj!S434))</f>
        <v>0</v>
      </c>
      <c r="T1494" s="125">
        <f>IF(tech_base!$T30&gt;T$1465,"",(tech_base!$J30/tech_proj!T154*0.086*$N$110)/(1-tech_proj!T434))</f>
        <v>0</v>
      </c>
      <c r="U1494" s="125">
        <f>IF(tech_base!$T30&gt;U$1465,"",(tech_base!$J30/tech_proj!U154*0.086*$N$110)/(1-tech_proj!U434))</f>
        <v>0</v>
      </c>
      <c r="V1494" s="125">
        <f>IF(tech_base!$T30&gt;V$1465,"",(tech_base!$J30/tech_proj!V154*0.086*$N$110)/(1-tech_proj!V434))</f>
        <v>0</v>
      </c>
      <c r="W1494" s="125">
        <f>IF(tech_base!$T30&gt;W$1465,"",(tech_base!$J30/tech_proj!W154*0.086*$N$110)/(1-tech_proj!W434))</f>
        <v>0</v>
      </c>
      <c r="X1494" s="125">
        <f>IF(tech_base!$T30&gt;X$1465,"",(tech_base!$J30/tech_proj!X154*0.086*$N$110)/(1-tech_proj!X434))</f>
        <v>0</v>
      </c>
      <c r="Y1494" s="125">
        <f>IF(tech_base!$T30&gt;Y$1465,"",(tech_base!$J30/tech_proj!Y154*0.086*$N$110)/(1-tech_proj!Y434))</f>
        <v>0</v>
      </c>
      <c r="Z1494" s="125">
        <f>IF(tech_base!$T30&gt;Z$1465,"",(tech_base!$J30/tech_proj!Z154*0.086*$N$110)/(1-tech_proj!Z434))</f>
        <v>0</v>
      </c>
      <c r="AA1494" s="125">
        <f>IF(tech_base!$T30&gt;AA$1465,"",(tech_base!$J30/tech_proj!AA154*0.086*$N$110)/(1-tech_proj!AA434))</f>
        <v>0</v>
      </c>
      <c r="AB1494" s="125">
        <f>IF(tech_base!$T30&gt;AB$1465,"",(tech_base!$J30/tech_proj!AB154*0.086*$N$110)/(1-tech_proj!AB434))</f>
        <v>0</v>
      </c>
      <c r="AC1494" s="125">
        <f>IF(tech_base!$T30&gt;AC$1465,"",(tech_base!$J30/tech_proj!AC154*0.086*$N$110)/(1-tech_proj!AC434))</f>
        <v>0</v>
      </c>
      <c r="AD1494" s="125">
        <f>IF(tech_base!$T30&gt;AD$1465,"",(tech_base!$J30/tech_proj!AD154*0.086*$N$110)/(1-tech_proj!AD434))</f>
        <v>0</v>
      </c>
      <c r="AE1494" s="125">
        <f>IF(tech_base!$T30&gt;AE$1465,"",(tech_base!$J30/tech_proj!AE154*0.086*$N$110)/(1-tech_proj!AE434))</f>
        <v>0</v>
      </c>
      <c r="AF1494" s="125">
        <f>IF(tech_base!$T30&gt;AF$1465,"",(tech_base!$J30/tech_proj!AF154*0.086*$N$110)/(1-tech_proj!AF434))</f>
        <v>0</v>
      </c>
      <c r="AG1494" s="125">
        <f>IF(tech_base!$T30&gt;AG$1465,"",(tech_base!$J30/tech_proj!AG154*0.086*$N$110)/(1-tech_proj!AG434))</f>
        <v>0</v>
      </c>
      <c r="AH1494" s="125">
        <f>IF(tech_base!$T30&gt;AH$1465,"",(tech_base!$J30/tech_proj!AH154*0.086*$N$110)/(1-tech_proj!AH434))</f>
        <v>0</v>
      </c>
      <c r="AI1494" s="125">
        <f>IF(tech_base!$T30&gt;AI$1465,"",(tech_base!$J30/tech_proj!AI154*0.086*$N$110)/(1-tech_proj!AI434))</f>
        <v>0</v>
      </c>
      <c r="AJ1494" s="125">
        <f>IF(tech_base!$T30&gt;AJ$1465,"",(tech_base!$J30/tech_proj!AJ154*0.086*$N$110)/(1-tech_proj!AJ434))</f>
        <v>0</v>
      </c>
      <c r="AK1494" s="125">
        <f>IF(tech_base!$T30&gt;AK$1465,"",(tech_base!$J30/tech_proj!AK154*0.086*$N$110)/(1-tech_proj!AK434))</f>
        <v>0</v>
      </c>
      <c r="AL1494" s="125">
        <f>IF(tech_base!$T30&gt;AL$1465,"",(tech_base!$J30/tech_proj!AL154*0.086*$N$110)/(1-tech_proj!AL434))</f>
        <v>0</v>
      </c>
      <c r="AM1494" s="125">
        <f>IF(tech_base!$T30&gt;AM$1465,"",(tech_base!$J30/tech_proj!AM154*0.086*$N$110)/(1-tech_proj!AM434))</f>
        <v>0</v>
      </c>
      <c r="AN1494" s="125">
        <f>IF(tech_base!$T30&gt;AN$1465,"",(tech_base!$J30/tech_proj!AN154*0.086*$N$110)/(1-tech_proj!AN434))</f>
        <v>0</v>
      </c>
      <c r="AO1494" s="125">
        <f>IF(tech_base!$T30&gt;AO$1465,"",(tech_base!$J30/tech_proj!AO154*0.086*$N$110)/(1-tech_proj!AO434))</f>
        <v>0</v>
      </c>
      <c r="AP1494" s="125">
        <f>IF(tech_base!$T30&gt;AP$1465,"",(tech_base!$J30/tech_proj!AP154*0.086*$N$110)/(1-tech_proj!AP434))</f>
        <v>0</v>
      </c>
      <c r="AQ1494" s="125">
        <f>IF(tech_base!$T30&gt;AQ$1465,"",(tech_base!$J30/tech_proj!AQ154*0.086*$N$110)/(1-tech_proj!AQ434))</f>
        <v>0</v>
      </c>
      <c r="AR1494" s="125">
        <f>IF(tech_base!$T30&gt;AR$1465,"",(tech_base!$J30/tech_proj!AR154*0.086*$N$110)/(1-tech_proj!AR434))</f>
        <v>0</v>
      </c>
      <c r="AS1494" s="125">
        <f>IF(tech_base!$T30&gt;AS$1465,"",(tech_base!$J30/tech_proj!AS154*0.086*$N$110)/(1-tech_proj!AS434))</f>
        <v>0</v>
      </c>
      <c r="AT1494" s="125">
        <f>IF(tech_base!$T30&gt;AT$1465,"",(tech_base!$J30/tech_proj!AT154*0.086*$N$110)/(1-tech_proj!AT434))</f>
        <v>0</v>
      </c>
      <c r="AU1494" s="125">
        <f>IF(tech_base!$T30&gt;AU$1465,"",(tech_base!$J30/tech_proj!AU154*0.086*$N$110)/(1-tech_proj!AU434))</f>
        <v>0</v>
      </c>
      <c r="AV1494" s="125">
        <f>IF(tech_base!$T30&gt;AV$1465,"",(tech_base!$J30/tech_proj!AV154*0.086*$N$110)/(1-tech_proj!AV434))</f>
        <v>0</v>
      </c>
      <c r="AW1494" s="125">
        <f>IF(tech_base!$T30&gt;AW$1465,"",(tech_base!$J30/tech_proj!AW154*0.086*$N$110)/(1-tech_proj!AW434))</f>
        <v>0</v>
      </c>
      <c r="AX1494" s="126">
        <f>IF(tech_base!$T30&gt;AX$1465,"",(tech_base!$J30/tech_proj!AX154*0.086*$N$110)/(1-tech_proj!AX434))</f>
        <v>0</v>
      </c>
    </row>
    <row r="1495" spans="1:50" x14ac:dyDescent="0.25">
      <c r="A1495" s="356"/>
      <c r="B1495" s="376"/>
      <c r="C1495" s="361" t="s">
        <v>15</v>
      </c>
      <c r="D1495" s="58" t="s">
        <v>7</v>
      </c>
      <c r="E1495" s="164" t="str">
        <f>A1473&amp;"/"&amp;B1489&amp;"/"&amp;C1495&amp;"/"&amp;D1495</f>
        <v>Coal fired power plants/Fluidized bed combustion/Electricity only with CCS/L</v>
      </c>
      <c r="F1495" s="78" t="str">
        <f>A1473</f>
        <v>Coal fired power plants</v>
      </c>
      <c r="G1495" s="78" t="str">
        <f>B1489</f>
        <v>Fluidized bed combustion</v>
      </c>
      <c r="H1495" s="78" t="str">
        <f>C1495</f>
        <v>Electricity only with CCS</v>
      </c>
      <c r="I1495" s="165" t="str">
        <f t="shared" si="377"/>
        <v>L</v>
      </c>
      <c r="J1495" s="123" t="str">
        <f>IF(tech_base!$T31&gt;J$1465,"",(tech_base!$J31/tech_proj!J155*0.086*$N$110)/(1-tech_proj!J435))</f>
        <v/>
      </c>
      <c r="K1495" s="123" t="str">
        <f>IF(tech_base!$T31&gt;K$1465,"",(tech_base!$J31/tech_proj!K155*0.086*$N$110)/(1-tech_proj!K435))</f>
        <v/>
      </c>
      <c r="L1495" s="123" t="str">
        <f>IF(tech_base!$T31&gt;L$1465,"",(tech_base!$J31/tech_proj!L155*0.086*$N$110)/(1-tech_proj!L435))</f>
        <v/>
      </c>
      <c r="M1495" s="123" t="str">
        <f>IF(tech_base!$T31&gt;M$1465,"",(tech_base!$J31/tech_proj!M155*0.086*$N$110)/(1-tech_proj!M435))</f>
        <v/>
      </c>
      <c r="N1495" s="123" t="str">
        <f>IF(tech_base!$T31&gt;N$1465,"",(tech_base!$J31/tech_proj!N155*0.086*$N$110)/(1-tech_proj!N435))</f>
        <v/>
      </c>
      <c r="O1495" s="123" t="str">
        <f>IF(tech_base!$T31&gt;O$1465,"",(tech_base!$J31/tech_proj!O155*0.086*$N$110)/(1-tech_proj!O435))</f>
        <v/>
      </c>
      <c r="P1495" s="123" t="str">
        <f>IF(tech_base!$T31&gt;P$1465,"",(tech_base!$J31/tech_proj!P155*0.086*$N$110)/(1-tech_proj!P435))</f>
        <v/>
      </c>
      <c r="Q1495" s="123" t="str">
        <f>IF(tech_base!$T31&gt;Q$1465,"",(tech_base!$J31/tech_proj!Q155*0.086*$N$110)/(1-tech_proj!Q435))</f>
        <v/>
      </c>
      <c r="R1495" s="123" t="str">
        <f>IF(tech_base!$T31&gt;R$1465,"",(tech_base!$J31/tech_proj!R155*0.086*$N$110)/(1-tech_proj!R435))</f>
        <v/>
      </c>
      <c r="S1495" s="123" t="str">
        <f>IF(tech_base!$T31&gt;S$1465,"",(tech_base!$J31/tech_proj!S155*0.086*$N$110)/(1-tech_proj!S435))</f>
        <v/>
      </c>
      <c r="T1495" s="123" t="str">
        <f>IF(tech_base!$T31&gt;T$1465,"",(tech_base!$J31/tech_proj!T155*0.086*$N$110)/(1-tech_proj!T435))</f>
        <v/>
      </c>
      <c r="U1495" s="123" t="str">
        <f>IF(tech_base!$T31&gt;U$1465,"",(tech_base!$J31/tech_proj!U155*0.086*$N$110)/(1-tech_proj!U435))</f>
        <v/>
      </c>
      <c r="V1495" s="123" t="str">
        <f>IF(tech_base!$T31&gt;V$1465,"",(tech_base!$J31/tech_proj!V155*0.086*$N$110)/(1-tech_proj!V435))</f>
        <v/>
      </c>
      <c r="W1495" s="123" t="str">
        <f>IF(tech_base!$T31&gt;W$1465,"",(tech_base!$J31/tech_proj!W155*0.086*$N$110)/(1-tech_proj!W435))</f>
        <v/>
      </c>
      <c r="X1495" s="123" t="str">
        <f>IF(tech_base!$T31&gt;X$1465,"",(tech_base!$J31/tech_proj!X155*0.086*$N$110)/(1-tech_proj!X435))</f>
        <v/>
      </c>
      <c r="Y1495" s="123" t="str">
        <f>IF(tech_base!$T31&gt;Y$1465,"",(tech_base!$J31/tech_proj!Y155*0.086*$N$110)/(1-tech_proj!Y435))</f>
        <v/>
      </c>
      <c r="Z1495" s="123" t="str">
        <f>IF(tech_base!$T31&gt;Z$1465,"",(tech_base!$J31/tech_proj!Z155*0.086*$N$110)/(1-tech_proj!Z435))</f>
        <v/>
      </c>
      <c r="AA1495" s="123" t="str">
        <f>IF(tech_base!$T31&gt;AA$1465,"",(tech_base!$J31/tech_proj!AA155*0.086*$N$110)/(1-tech_proj!AA435))</f>
        <v/>
      </c>
      <c r="AB1495" s="123" t="str">
        <f>IF(tech_base!$T31&gt;AB$1465,"",(tech_base!$J31/tech_proj!AB155*0.086*$N$110)/(1-tech_proj!AB435))</f>
        <v/>
      </c>
      <c r="AC1495" s="123" t="str">
        <f>IF(tech_base!$T31&gt;AC$1465,"",(tech_base!$J31/tech_proj!AC155*0.086*$N$110)/(1-tech_proj!AC435))</f>
        <v/>
      </c>
      <c r="AD1495" s="123" t="str">
        <f>IF(tech_base!$T31&gt;AD$1465,"",(tech_base!$J31/tech_proj!AD155*0.086*$N$110)/(1-tech_proj!AD435))</f>
        <v/>
      </c>
      <c r="AE1495" s="123">
        <f>IF(tech_base!$T31&gt;AE$1465,"",(tech_base!$J31/tech_proj!AE155*0.086*$N$110)/(1-tech_proj!AE435))</f>
        <v>0</v>
      </c>
      <c r="AF1495" s="123">
        <f>IF(tech_base!$T31&gt;AF$1465,"",(tech_base!$J31/tech_proj!AF155*0.086*$N$110)/(1-tech_proj!AF435))</f>
        <v>0</v>
      </c>
      <c r="AG1495" s="123">
        <f>IF(tech_base!$T31&gt;AG$1465,"",(tech_base!$J31/tech_proj!AG155*0.086*$N$110)/(1-tech_proj!AG435))</f>
        <v>0</v>
      </c>
      <c r="AH1495" s="123">
        <f>IF(tech_base!$T31&gt;AH$1465,"",(tech_base!$J31/tech_proj!AH155*0.086*$N$110)/(1-tech_proj!AH435))</f>
        <v>0</v>
      </c>
      <c r="AI1495" s="123">
        <f>IF(tech_base!$T31&gt;AI$1465,"",(tech_base!$J31/tech_proj!AI155*0.086*$N$110)/(1-tech_proj!AI435))</f>
        <v>0</v>
      </c>
      <c r="AJ1495" s="123">
        <f>IF(tech_base!$T31&gt;AJ$1465,"",(tech_base!$J31/tech_proj!AJ155*0.086*$N$110)/(1-tech_proj!AJ435))</f>
        <v>0</v>
      </c>
      <c r="AK1495" s="123">
        <f>IF(tech_base!$T31&gt;AK$1465,"",(tech_base!$J31/tech_proj!AK155*0.086*$N$110)/(1-tech_proj!AK435))</f>
        <v>0</v>
      </c>
      <c r="AL1495" s="123">
        <f>IF(tech_base!$T31&gt;AL$1465,"",(tech_base!$J31/tech_proj!AL155*0.086*$N$110)/(1-tech_proj!AL435))</f>
        <v>0</v>
      </c>
      <c r="AM1495" s="123">
        <f>IF(tech_base!$T31&gt;AM$1465,"",(tech_base!$J31/tech_proj!AM155*0.086*$N$110)/(1-tech_proj!AM435))</f>
        <v>0</v>
      </c>
      <c r="AN1495" s="123">
        <f>IF(tech_base!$T31&gt;AN$1465,"",(tech_base!$J31/tech_proj!AN155*0.086*$N$110)/(1-tech_proj!AN435))</f>
        <v>0</v>
      </c>
      <c r="AO1495" s="123">
        <f>IF(tech_base!$T31&gt;AO$1465,"",(tech_base!$J31/tech_proj!AO155*0.086*$N$110)/(1-tech_proj!AO435))</f>
        <v>0</v>
      </c>
      <c r="AP1495" s="123">
        <f>IF(tech_base!$T31&gt;AP$1465,"",(tech_base!$J31/tech_proj!AP155*0.086*$N$110)/(1-tech_proj!AP435))</f>
        <v>0</v>
      </c>
      <c r="AQ1495" s="123">
        <f>IF(tech_base!$T31&gt;AQ$1465,"",(tech_base!$J31/tech_proj!AQ155*0.086*$N$110)/(1-tech_proj!AQ435))</f>
        <v>0</v>
      </c>
      <c r="AR1495" s="123">
        <f>IF(tech_base!$T31&gt;AR$1465,"",(tech_base!$J31/tech_proj!AR155*0.086*$N$110)/(1-tech_proj!AR435))</f>
        <v>0</v>
      </c>
      <c r="AS1495" s="123">
        <f>IF(tech_base!$T31&gt;AS$1465,"",(tech_base!$J31/tech_proj!AS155*0.086*$N$110)/(1-tech_proj!AS435))</f>
        <v>0</v>
      </c>
      <c r="AT1495" s="123">
        <f>IF(tech_base!$T31&gt;AT$1465,"",(tech_base!$J31/tech_proj!AT155*0.086*$N$110)/(1-tech_proj!AT435))</f>
        <v>0</v>
      </c>
      <c r="AU1495" s="123">
        <f>IF(tech_base!$T31&gt;AU$1465,"",(tech_base!$J31/tech_proj!AU155*0.086*$N$110)/(1-tech_proj!AU435))</f>
        <v>0</v>
      </c>
      <c r="AV1495" s="123">
        <f>IF(tech_base!$T31&gt;AV$1465,"",(tech_base!$J31/tech_proj!AV155*0.086*$N$110)/(1-tech_proj!AV435))</f>
        <v>0</v>
      </c>
      <c r="AW1495" s="123">
        <f>IF(tech_base!$T31&gt;AW$1465,"",(tech_base!$J31/tech_proj!AW155*0.086*$N$110)/(1-tech_proj!AW435))</f>
        <v>0</v>
      </c>
      <c r="AX1495" s="124">
        <f>IF(tech_base!$T31&gt;AX$1465,"",(tech_base!$J31/tech_proj!AX155*0.086*$N$110)/(1-tech_proj!AX435))</f>
        <v>0</v>
      </c>
    </row>
    <row r="1496" spans="1:50" x14ac:dyDescent="0.25">
      <c r="A1496" s="356"/>
      <c r="B1496" s="376"/>
      <c r="C1496" s="379"/>
      <c r="D1496" s="59" t="s">
        <v>8</v>
      </c>
      <c r="E1496" s="166" t="str">
        <f>A1473&amp;"/"&amp;B1489&amp;"/"&amp;C1495&amp;"/"&amp;D1496</f>
        <v>Coal fired power plants/Fluidized bed combustion/Electricity only with CCS/M</v>
      </c>
      <c r="F1496" s="79" t="str">
        <f>A1473</f>
        <v>Coal fired power plants</v>
      </c>
      <c r="G1496" s="79" t="str">
        <f>B1489</f>
        <v>Fluidized bed combustion</v>
      </c>
      <c r="H1496" s="79" t="str">
        <f>C1495</f>
        <v>Electricity only with CCS</v>
      </c>
      <c r="I1496" s="167" t="str">
        <f t="shared" si="377"/>
        <v>M</v>
      </c>
      <c r="J1496" s="125" t="str">
        <f>IF(tech_base!$T32&gt;J$1465,"",(tech_base!$J32/tech_proj!J156*0.086*$N$110)/(1-tech_proj!J436))</f>
        <v/>
      </c>
      <c r="K1496" s="125" t="str">
        <f>IF(tech_base!$T32&gt;K$1465,"",(tech_base!$J32/tech_proj!K156*0.086*$N$110)/(1-tech_proj!K436))</f>
        <v/>
      </c>
      <c r="L1496" s="125" t="str">
        <f>IF(tech_base!$T32&gt;L$1465,"",(tech_base!$J32/tech_proj!L156*0.086*$N$110)/(1-tech_proj!L436))</f>
        <v/>
      </c>
      <c r="M1496" s="125" t="str">
        <f>IF(tech_base!$T32&gt;M$1465,"",(tech_base!$J32/tech_proj!M156*0.086*$N$110)/(1-tech_proj!M436))</f>
        <v/>
      </c>
      <c r="N1496" s="125" t="str">
        <f>IF(tech_base!$T32&gt;N$1465,"",(tech_base!$J32/tech_proj!N156*0.086*$N$110)/(1-tech_proj!N436))</f>
        <v/>
      </c>
      <c r="O1496" s="125" t="str">
        <f>IF(tech_base!$T32&gt;O$1465,"",(tech_base!$J32/tech_proj!O156*0.086*$N$110)/(1-tech_proj!O436))</f>
        <v/>
      </c>
      <c r="P1496" s="125" t="str">
        <f>IF(tech_base!$T32&gt;P$1465,"",(tech_base!$J32/tech_proj!P156*0.086*$N$110)/(1-tech_proj!P436))</f>
        <v/>
      </c>
      <c r="Q1496" s="125" t="str">
        <f>IF(tech_base!$T32&gt;Q$1465,"",(tech_base!$J32/tech_proj!Q156*0.086*$N$110)/(1-tech_proj!Q436))</f>
        <v/>
      </c>
      <c r="R1496" s="125" t="str">
        <f>IF(tech_base!$T32&gt;R$1465,"",(tech_base!$J32/tech_proj!R156*0.086*$N$110)/(1-tech_proj!R436))</f>
        <v/>
      </c>
      <c r="S1496" s="125" t="str">
        <f>IF(tech_base!$T32&gt;S$1465,"",(tech_base!$J32/tech_proj!S156*0.086*$N$110)/(1-tech_proj!S436))</f>
        <v/>
      </c>
      <c r="T1496" s="125" t="str">
        <f>IF(tech_base!$T32&gt;T$1465,"",(tech_base!$J32/tech_proj!T156*0.086*$N$110)/(1-tech_proj!T436))</f>
        <v/>
      </c>
      <c r="U1496" s="125" t="str">
        <f>IF(tech_base!$T32&gt;U$1465,"",(tech_base!$J32/tech_proj!U156*0.086*$N$110)/(1-tech_proj!U436))</f>
        <v/>
      </c>
      <c r="V1496" s="125" t="str">
        <f>IF(tech_base!$T32&gt;V$1465,"",(tech_base!$J32/tech_proj!V156*0.086*$N$110)/(1-tech_proj!V436))</f>
        <v/>
      </c>
      <c r="W1496" s="125" t="str">
        <f>IF(tech_base!$T32&gt;W$1465,"",(tech_base!$J32/tech_proj!W156*0.086*$N$110)/(1-tech_proj!W436))</f>
        <v/>
      </c>
      <c r="X1496" s="125" t="str">
        <f>IF(tech_base!$T32&gt;X$1465,"",(tech_base!$J32/tech_proj!X156*0.086*$N$110)/(1-tech_proj!X436))</f>
        <v/>
      </c>
      <c r="Y1496" s="125" t="str">
        <f>IF(tech_base!$T32&gt;Y$1465,"",(tech_base!$J32/tech_proj!Y156*0.086*$N$110)/(1-tech_proj!Y436))</f>
        <v/>
      </c>
      <c r="Z1496" s="125" t="str">
        <f>IF(tech_base!$T32&gt;Z$1465,"",(tech_base!$J32/tech_proj!Z156*0.086*$N$110)/(1-tech_proj!Z436))</f>
        <v/>
      </c>
      <c r="AA1496" s="125" t="str">
        <f>IF(tech_base!$T32&gt;AA$1465,"",(tech_base!$J32/tech_proj!AA156*0.086*$N$110)/(1-tech_proj!AA436))</f>
        <v/>
      </c>
      <c r="AB1496" s="125" t="str">
        <f>IF(tech_base!$T32&gt;AB$1465,"",(tech_base!$J32/tech_proj!AB156*0.086*$N$110)/(1-tech_proj!AB436))</f>
        <v/>
      </c>
      <c r="AC1496" s="125" t="str">
        <f>IF(tech_base!$T32&gt;AC$1465,"",(tech_base!$J32/tech_proj!AC156*0.086*$N$110)/(1-tech_proj!AC436))</f>
        <v/>
      </c>
      <c r="AD1496" s="125" t="str">
        <f>IF(tech_base!$T32&gt;AD$1465,"",(tech_base!$J32/tech_proj!AD156*0.086*$N$110)/(1-tech_proj!AD436))</f>
        <v/>
      </c>
      <c r="AE1496" s="125">
        <f>IF(tech_base!$T32&gt;AE$1465,"",(tech_base!$J32/tech_proj!AE156*0.086*$N$110)/(1-tech_proj!AE436))</f>
        <v>0</v>
      </c>
      <c r="AF1496" s="125">
        <f>IF(tech_base!$T32&gt;AF$1465,"",(tech_base!$J32/tech_proj!AF156*0.086*$N$110)/(1-tech_proj!AF436))</f>
        <v>0</v>
      </c>
      <c r="AG1496" s="125">
        <f>IF(tech_base!$T32&gt;AG$1465,"",(tech_base!$J32/tech_proj!AG156*0.086*$N$110)/(1-tech_proj!AG436))</f>
        <v>0</v>
      </c>
      <c r="AH1496" s="125">
        <f>IF(tech_base!$T32&gt;AH$1465,"",(tech_base!$J32/tech_proj!AH156*0.086*$N$110)/(1-tech_proj!AH436))</f>
        <v>0</v>
      </c>
      <c r="AI1496" s="125">
        <f>IF(tech_base!$T32&gt;AI$1465,"",(tech_base!$J32/tech_proj!AI156*0.086*$N$110)/(1-tech_proj!AI436))</f>
        <v>0</v>
      </c>
      <c r="AJ1496" s="125">
        <f>IF(tech_base!$T32&gt;AJ$1465,"",(tech_base!$J32/tech_proj!AJ156*0.086*$N$110)/(1-tech_proj!AJ436))</f>
        <v>0</v>
      </c>
      <c r="AK1496" s="125">
        <f>IF(tech_base!$T32&gt;AK$1465,"",(tech_base!$J32/tech_proj!AK156*0.086*$N$110)/(1-tech_proj!AK436))</f>
        <v>0</v>
      </c>
      <c r="AL1496" s="125">
        <f>IF(tech_base!$T32&gt;AL$1465,"",(tech_base!$J32/tech_proj!AL156*0.086*$N$110)/(1-tech_proj!AL436))</f>
        <v>0</v>
      </c>
      <c r="AM1496" s="125">
        <f>IF(tech_base!$T32&gt;AM$1465,"",(tech_base!$J32/tech_proj!AM156*0.086*$N$110)/(1-tech_proj!AM436))</f>
        <v>0</v>
      </c>
      <c r="AN1496" s="125">
        <f>IF(tech_base!$T32&gt;AN$1465,"",(tech_base!$J32/tech_proj!AN156*0.086*$N$110)/(1-tech_proj!AN436))</f>
        <v>0</v>
      </c>
      <c r="AO1496" s="125">
        <f>IF(tech_base!$T32&gt;AO$1465,"",(tech_base!$J32/tech_proj!AO156*0.086*$N$110)/(1-tech_proj!AO436))</f>
        <v>0</v>
      </c>
      <c r="AP1496" s="125">
        <f>IF(tech_base!$T32&gt;AP$1465,"",(tech_base!$J32/tech_proj!AP156*0.086*$N$110)/(1-tech_proj!AP436))</f>
        <v>0</v>
      </c>
      <c r="AQ1496" s="125">
        <f>IF(tech_base!$T32&gt;AQ$1465,"",(tech_base!$J32/tech_proj!AQ156*0.086*$N$110)/(1-tech_proj!AQ436))</f>
        <v>0</v>
      </c>
      <c r="AR1496" s="125">
        <f>IF(tech_base!$T32&gt;AR$1465,"",(tech_base!$J32/tech_proj!AR156*0.086*$N$110)/(1-tech_proj!AR436))</f>
        <v>0</v>
      </c>
      <c r="AS1496" s="125">
        <f>IF(tech_base!$T32&gt;AS$1465,"",(tech_base!$J32/tech_proj!AS156*0.086*$N$110)/(1-tech_proj!AS436))</f>
        <v>0</v>
      </c>
      <c r="AT1496" s="125">
        <f>IF(tech_base!$T32&gt;AT$1465,"",(tech_base!$J32/tech_proj!AT156*0.086*$N$110)/(1-tech_proj!AT436))</f>
        <v>0</v>
      </c>
      <c r="AU1496" s="125">
        <f>IF(tech_base!$T32&gt;AU$1465,"",(tech_base!$J32/tech_proj!AU156*0.086*$N$110)/(1-tech_proj!AU436))</f>
        <v>0</v>
      </c>
      <c r="AV1496" s="125">
        <f>IF(tech_base!$T32&gt;AV$1465,"",(tech_base!$J32/tech_proj!AV156*0.086*$N$110)/(1-tech_proj!AV436))</f>
        <v>0</v>
      </c>
      <c r="AW1496" s="125">
        <f>IF(tech_base!$T32&gt;AW$1465,"",(tech_base!$J32/tech_proj!AW156*0.086*$N$110)/(1-tech_proj!AW436))</f>
        <v>0</v>
      </c>
      <c r="AX1496" s="126">
        <f>IF(tech_base!$T32&gt;AX$1465,"",(tech_base!$J32/tech_proj!AX156*0.086*$N$110)/(1-tech_proj!AX436))</f>
        <v>0</v>
      </c>
    </row>
    <row r="1497" spans="1:50" x14ac:dyDescent="0.25">
      <c r="A1497" s="356"/>
      <c r="B1497" s="376"/>
      <c r="C1497" s="361" t="s">
        <v>16</v>
      </c>
      <c r="D1497" s="2" t="s">
        <v>7</v>
      </c>
      <c r="E1497" s="160" t="str">
        <f>A1473&amp;"/"&amp;B1489&amp;"/"&amp;C1497&amp;"/"&amp;D1497</f>
        <v>Coal fired power plants/Fluidized bed combustion/CHP with CCS/L</v>
      </c>
      <c r="F1497" s="76" t="str">
        <f>A1473</f>
        <v>Coal fired power plants</v>
      </c>
      <c r="G1497" s="76" t="str">
        <f>B1489</f>
        <v>Fluidized bed combustion</v>
      </c>
      <c r="H1497" s="76" t="str">
        <f>C1497</f>
        <v>CHP with CCS</v>
      </c>
      <c r="I1497" s="161" t="str">
        <f t="shared" si="377"/>
        <v>L</v>
      </c>
      <c r="J1497" s="119" t="str">
        <f>IF(tech_base!$T33&gt;J$1465,"",(tech_base!$J33/tech_proj!J157*0.086*$N$110)/(1-tech_proj!J437))</f>
        <v/>
      </c>
      <c r="K1497" s="119" t="str">
        <f>IF(tech_base!$T33&gt;K$1465,"",(tech_base!$J33/tech_proj!K157*0.086*$N$110)/(1-tech_proj!K437))</f>
        <v/>
      </c>
      <c r="L1497" s="119" t="str">
        <f>IF(tech_base!$T33&gt;L$1465,"",(tech_base!$J33/tech_proj!L157*0.086*$N$110)/(1-tech_proj!L437))</f>
        <v/>
      </c>
      <c r="M1497" s="119" t="str">
        <f>IF(tech_base!$T33&gt;M$1465,"",(tech_base!$J33/tech_proj!M157*0.086*$N$110)/(1-tech_proj!M437))</f>
        <v/>
      </c>
      <c r="N1497" s="119" t="str">
        <f>IF(tech_base!$T33&gt;N$1465,"",(tech_base!$J33/tech_proj!N157*0.086*$N$110)/(1-tech_proj!N437))</f>
        <v/>
      </c>
      <c r="O1497" s="119" t="str">
        <f>IF(tech_base!$T33&gt;O$1465,"",(tech_base!$J33/tech_proj!O157*0.086*$N$110)/(1-tech_proj!O437))</f>
        <v/>
      </c>
      <c r="P1497" s="119" t="str">
        <f>IF(tech_base!$T33&gt;P$1465,"",(tech_base!$J33/tech_proj!P157*0.086*$N$110)/(1-tech_proj!P437))</f>
        <v/>
      </c>
      <c r="Q1497" s="119" t="str">
        <f>IF(tech_base!$T33&gt;Q$1465,"",(tech_base!$J33/tech_proj!Q157*0.086*$N$110)/(1-tech_proj!Q437))</f>
        <v/>
      </c>
      <c r="R1497" s="119" t="str">
        <f>IF(tech_base!$T33&gt;R$1465,"",(tech_base!$J33/tech_proj!R157*0.086*$N$110)/(1-tech_proj!R437))</f>
        <v/>
      </c>
      <c r="S1497" s="119" t="str">
        <f>IF(tech_base!$T33&gt;S$1465,"",(tech_base!$J33/tech_proj!S157*0.086*$N$110)/(1-tech_proj!S437))</f>
        <v/>
      </c>
      <c r="T1497" s="119" t="str">
        <f>IF(tech_base!$T33&gt;T$1465,"",(tech_base!$J33/tech_proj!T157*0.086*$N$110)/(1-tech_proj!T437))</f>
        <v/>
      </c>
      <c r="U1497" s="119" t="str">
        <f>IF(tech_base!$T33&gt;U$1465,"",(tech_base!$J33/tech_proj!U157*0.086*$N$110)/(1-tech_proj!U437))</f>
        <v/>
      </c>
      <c r="V1497" s="119" t="str">
        <f>IF(tech_base!$T33&gt;V$1465,"",(tech_base!$J33/tech_proj!V157*0.086*$N$110)/(1-tech_proj!V437))</f>
        <v/>
      </c>
      <c r="W1497" s="119" t="str">
        <f>IF(tech_base!$T33&gt;W$1465,"",(tech_base!$J33/tech_proj!W157*0.086*$N$110)/(1-tech_proj!W437))</f>
        <v/>
      </c>
      <c r="X1497" s="119" t="str">
        <f>IF(tech_base!$T33&gt;X$1465,"",(tech_base!$J33/tech_proj!X157*0.086*$N$110)/(1-tech_proj!X437))</f>
        <v/>
      </c>
      <c r="Y1497" s="119" t="str">
        <f>IF(tech_base!$T33&gt;Y$1465,"",(tech_base!$J33/tech_proj!Y157*0.086*$N$110)/(1-tech_proj!Y437))</f>
        <v/>
      </c>
      <c r="Z1497" s="119" t="str">
        <f>IF(tech_base!$T33&gt;Z$1465,"",(tech_base!$J33/tech_proj!Z157*0.086*$N$110)/(1-tech_proj!Z437))</f>
        <v/>
      </c>
      <c r="AA1497" s="119" t="str">
        <f>IF(tech_base!$T33&gt;AA$1465,"",(tech_base!$J33/tech_proj!AA157*0.086*$N$110)/(1-tech_proj!AA437))</f>
        <v/>
      </c>
      <c r="AB1497" s="119" t="str">
        <f>IF(tech_base!$T33&gt;AB$1465,"",(tech_base!$J33/tech_proj!AB157*0.086*$N$110)/(1-tech_proj!AB437))</f>
        <v/>
      </c>
      <c r="AC1497" s="119" t="str">
        <f>IF(tech_base!$T33&gt;AC$1465,"",(tech_base!$J33/tech_proj!AC157*0.086*$N$110)/(1-tech_proj!AC437))</f>
        <v/>
      </c>
      <c r="AD1497" s="119" t="str">
        <f>IF(tech_base!$T33&gt;AD$1465,"",(tech_base!$J33/tech_proj!AD157*0.086*$N$110)/(1-tech_proj!AD437))</f>
        <v/>
      </c>
      <c r="AE1497" s="119">
        <f>IF(tech_base!$T33&gt;AE$1465,"",(tech_base!$J33/tech_proj!AE157*0.086*$N$110)/(1-tech_proj!AE437))</f>
        <v>0</v>
      </c>
      <c r="AF1497" s="119">
        <f>IF(tech_base!$T33&gt;AF$1465,"",(tech_base!$J33/tech_proj!AF157*0.086*$N$110)/(1-tech_proj!AF437))</f>
        <v>0</v>
      </c>
      <c r="AG1497" s="119">
        <f>IF(tech_base!$T33&gt;AG$1465,"",(tech_base!$J33/tech_proj!AG157*0.086*$N$110)/(1-tech_proj!AG437))</f>
        <v>0</v>
      </c>
      <c r="AH1497" s="119">
        <f>IF(tech_base!$T33&gt;AH$1465,"",(tech_base!$J33/tech_proj!AH157*0.086*$N$110)/(1-tech_proj!AH437))</f>
        <v>0</v>
      </c>
      <c r="AI1497" s="119">
        <f>IF(tech_base!$T33&gt;AI$1465,"",(tech_base!$J33/tech_proj!AI157*0.086*$N$110)/(1-tech_proj!AI437))</f>
        <v>0</v>
      </c>
      <c r="AJ1497" s="119">
        <f>IF(tech_base!$T33&gt;AJ$1465,"",(tech_base!$J33/tech_proj!AJ157*0.086*$N$110)/(1-tech_proj!AJ437))</f>
        <v>0</v>
      </c>
      <c r="AK1497" s="119">
        <f>IF(tech_base!$T33&gt;AK$1465,"",(tech_base!$J33/tech_proj!AK157*0.086*$N$110)/(1-tech_proj!AK437))</f>
        <v>0</v>
      </c>
      <c r="AL1497" s="119">
        <f>IF(tech_base!$T33&gt;AL$1465,"",(tech_base!$J33/tech_proj!AL157*0.086*$N$110)/(1-tech_proj!AL437))</f>
        <v>0</v>
      </c>
      <c r="AM1497" s="119">
        <f>IF(tech_base!$T33&gt;AM$1465,"",(tech_base!$J33/tech_proj!AM157*0.086*$N$110)/(1-tech_proj!AM437))</f>
        <v>0</v>
      </c>
      <c r="AN1497" s="119">
        <f>IF(tech_base!$T33&gt;AN$1465,"",(tech_base!$J33/tech_proj!AN157*0.086*$N$110)/(1-tech_proj!AN437))</f>
        <v>0</v>
      </c>
      <c r="AO1497" s="119">
        <f>IF(tech_base!$T33&gt;AO$1465,"",(tech_base!$J33/tech_proj!AO157*0.086*$N$110)/(1-tech_proj!AO437))</f>
        <v>0</v>
      </c>
      <c r="AP1497" s="119">
        <f>IF(tech_base!$T33&gt;AP$1465,"",(tech_base!$J33/tech_proj!AP157*0.086*$N$110)/(1-tech_proj!AP437))</f>
        <v>0</v>
      </c>
      <c r="AQ1497" s="119">
        <f>IF(tech_base!$T33&gt;AQ$1465,"",(tech_base!$J33/tech_proj!AQ157*0.086*$N$110)/(1-tech_proj!AQ437))</f>
        <v>0</v>
      </c>
      <c r="AR1497" s="119">
        <f>IF(tech_base!$T33&gt;AR$1465,"",(tech_base!$J33/tech_proj!AR157*0.086*$N$110)/(1-tech_proj!AR437))</f>
        <v>0</v>
      </c>
      <c r="AS1497" s="119">
        <f>IF(tech_base!$T33&gt;AS$1465,"",(tech_base!$J33/tech_proj!AS157*0.086*$N$110)/(1-tech_proj!AS437))</f>
        <v>0</v>
      </c>
      <c r="AT1497" s="119">
        <f>IF(tech_base!$T33&gt;AT$1465,"",(tech_base!$J33/tech_proj!AT157*0.086*$N$110)/(1-tech_proj!AT437))</f>
        <v>0</v>
      </c>
      <c r="AU1497" s="119">
        <f>IF(tech_base!$T33&gt;AU$1465,"",(tech_base!$J33/tech_proj!AU157*0.086*$N$110)/(1-tech_proj!AU437))</f>
        <v>0</v>
      </c>
      <c r="AV1497" s="119">
        <f>IF(tech_base!$T33&gt;AV$1465,"",(tech_base!$J33/tech_proj!AV157*0.086*$N$110)/(1-tech_proj!AV437))</f>
        <v>0</v>
      </c>
      <c r="AW1497" s="119">
        <f>IF(tech_base!$T33&gt;AW$1465,"",(tech_base!$J33/tech_proj!AW157*0.086*$N$110)/(1-tech_proj!AW437))</f>
        <v>0</v>
      </c>
      <c r="AX1497" s="120">
        <f>IF(tech_base!$T33&gt;AX$1465,"",(tech_base!$J33/tech_proj!AX157*0.086*$N$110)/(1-tech_proj!AX437))</f>
        <v>0</v>
      </c>
    </row>
    <row r="1498" spans="1:50" x14ac:dyDescent="0.25">
      <c r="A1498" s="356"/>
      <c r="B1498" s="380"/>
      <c r="C1498" s="381"/>
      <c r="D1498" s="4" t="s">
        <v>8</v>
      </c>
      <c r="E1498" s="168" t="str">
        <f>A1473&amp;"/"&amp;B1489&amp;"/"&amp;C1497&amp;"/"&amp;D1498</f>
        <v>Coal fired power plants/Fluidized bed combustion/CHP with CCS/M</v>
      </c>
      <c r="F1498" s="80" t="str">
        <f>A1473</f>
        <v>Coal fired power plants</v>
      </c>
      <c r="G1498" s="80" t="str">
        <f>B1489</f>
        <v>Fluidized bed combustion</v>
      </c>
      <c r="H1498" s="80" t="str">
        <f>C1497</f>
        <v>CHP with CCS</v>
      </c>
      <c r="I1498" s="169" t="str">
        <f t="shared" si="377"/>
        <v>M</v>
      </c>
      <c r="J1498" s="127" t="str">
        <f>IF(tech_base!$T34&gt;J$1465,"",(tech_base!$J34/tech_proj!J158*0.086*$N$110)/(1-tech_proj!J438))</f>
        <v/>
      </c>
      <c r="K1498" s="127" t="str">
        <f>IF(tech_base!$T34&gt;K$1465,"",(tech_base!$J34/tech_proj!K158*0.086*$N$110)/(1-tech_proj!K438))</f>
        <v/>
      </c>
      <c r="L1498" s="127" t="str">
        <f>IF(tech_base!$T34&gt;L$1465,"",(tech_base!$J34/tech_proj!L158*0.086*$N$110)/(1-tech_proj!L438))</f>
        <v/>
      </c>
      <c r="M1498" s="127" t="str">
        <f>IF(tech_base!$T34&gt;M$1465,"",(tech_base!$J34/tech_proj!M158*0.086*$N$110)/(1-tech_proj!M438))</f>
        <v/>
      </c>
      <c r="N1498" s="127" t="str">
        <f>IF(tech_base!$T34&gt;N$1465,"",(tech_base!$J34/tech_proj!N158*0.086*$N$110)/(1-tech_proj!N438))</f>
        <v/>
      </c>
      <c r="O1498" s="127" t="str">
        <f>IF(tech_base!$T34&gt;O$1465,"",(tech_base!$J34/tech_proj!O158*0.086*$N$110)/(1-tech_proj!O438))</f>
        <v/>
      </c>
      <c r="P1498" s="127" t="str">
        <f>IF(tech_base!$T34&gt;P$1465,"",(tech_base!$J34/tech_proj!P158*0.086*$N$110)/(1-tech_proj!P438))</f>
        <v/>
      </c>
      <c r="Q1498" s="127" t="str">
        <f>IF(tech_base!$T34&gt;Q$1465,"",(tech_base!$J34/tech_proj!Q158*0.086*$N$110)/(1-tech_proj!Q438))</f>
        <v/>
      </c>
      <c r="R1498" s="127" t="str">
        <f>IF(tech_base!$T34&gt;R$1465,"",(tech_base!$J34/tech_proj!R158*0.086*$N$110)/(1-tech_proj!R438))</f>
        <v/>
      </c>
      <c r="S1498" s="127" t="str">
        <f>IF(tech_base!$T34&gt;S$1465,"",(tech_base!$J34/tech_proj!S158*0.086*$N$110)/(1-tech_proj!S438))</f>
        <v/>
      </c>
      <c r="T1498" s="127" t="str">
        <f>IF(tech_base!$T34&gt;T$1465,"",(tech_base!$J34/tech_proj!T158*0.086*$N$110)/(1-tech_proj!T438))</f>
        <v/>
      </c>
      <c r="U1498" s="127" t="str">
        <f>IF(tech_base!$T34&gt;U$1465,"",(tech_base!$J34/tech_proj!U158*0.086*$N$110)/(1-tech_proj!U438))</f>
        <v/>
      </c>
      <c r="V1498" s="127" t="str">
        <f>IF(tech_base!$T34&gt;V$1465,"",(tech_base!$J34/tech_proj!V158*0.086*$N$110)/(1-tech_proj!V438))</f>
        <v/>
      </c>
      <c r="W1498" s="127" t="str">
        <f>IF(tech_base!$T34&gt;W$1465,"",(tech_base!$J34/tech_proj!W158*0.086*$N$110)/(1-tech_proj!W438))</f>
        <v/>
      </c>
      <c r="X1498" s="127" t="str">
        <f>IF(tech_base!$T34&gt;X$1465,"",(tech_base!$J34/tech_proj!X158*0.086*$N$110)/(1-tech_proj!X438))</f>
        <v/>
      </c>
      <c r="Y1498" s="127" t="str">
        <f>IF(tech_base!$T34&gt;Y$1465,"",(tech_base!$J34/tech_proj!Y158*0.086*$N$110)/(1-tech_proj!Y438))</f>
        <v/>
      </c>
      <c r="Z1498" s="127" t="str">
        <f>IF(tech_base!$T34&gt;Z$1465,"",(tech_base!$J34/tech_proj!Z158*0.086*$N$110)/(1-tech_proj!Z438))</f>
        <v/>
      </c>
      <c r="AA1498" s="127" t="str">
        <f>IF(tech_base!$T34&gt;AA$1465,"",(tech_base!$J34/tech_proj!AA158*0.086*$N$110)/(1-tech_proj!AA438))</f>
        <v/>
      </c>
      <c r="AB1498" s="127" t="str">
        <f>IF(tech_base!$T34&gt;AB$1465,"",(tech_base!$J34/tech_proj!AB158*0.086*$N$110)/(1-tech_proj!AB438))</f>
        <v/>
      </c>
      <c r="AC1498" s="127" t="str">
        <f>IF(tech_base!$T34&gt;AC$1465,"",(tech_base!$J34/tech_proj!AC158*0.086*$N$110)/(1-tech_proj!AC438))</f>
        <v/>
      </c>
      <c r="AD1498" s="127" t="str">
        <f>IF(tech_base!$T34&gt;AD$1465,"",(tech_base!$J34/tech_proj!AD158*0.086*$N$110)/(1-tech_proj!AD438))</f>
        <v/>
      </c>
      <c r="AE1498" s="127">
        <f>IF(tech_base!$T34&gt;AE$1465,"",(tech_base!$J34/tech_proj!AE158*0.086*$N$110)/(1-tech_proj!AE438))</f>
        <v>0</v>
      </c>
      <c r="AF1498" s="127">
        <f>IF(tech_base!$T34&gt;AF$1465,"",(tech_base!$J34/tech_proj!AF158*0.086*$N$110)/(1-tech_proj!AF438))</f>
        <v>0</v>
      </c>
      <c r="AG1498" s="127">
        <f>IF(tech_base!$T34&gt;AG$1465,"",(tech_base!$J34/tech_proj!AG158*0.086*$N$110)/(1-tech_proj!AG438))</f>
        <v>0</v>
      </c>
      <c r="AH1498" s="127">
        <f>IF(tech_base!$T34&gt;AH$1465,"",(tech_base!$J34/tech_proj!AH158*0.086*$N$110)/(1-tech_proj!AH438))</f>
        <v>0</v>
      </c>
      <c r="AI1498" s="127">
        <f>IF(tech_base!$T34&gt;AI$1465,"",(tech_base!$J34/tech_proj!AI158*0.086*$N$110)/(1-tech_proj!AI438))</f>
        <v>0</v>
      </c>
      <c r="AJ1498" s="127">
        <f>IF(tech_base!$T34&gt;AJ$1465,"",(tech_base!$J34/tech_proj!AJ158*0.086*$N$110)/(1-tech_proj!AJ438))</f>
        <v>0</v>
      </c>
      <c r="AK1498" s="127">
        <f>IF(tech_base!$T34&gt;AK$1465,"",(tech_base!$J34/tech_proj!AK158*0.086*$N$110)/(1-tech_proj!AK438))</f>
        <v>0</v>
      </c>
      <c r="AL1498" s="127">
        <f>IF(tech_base!$T34&gt;AL$1465,"",(tech_base!$J34/tech_proj!AL158*0.086*$N$110)/(1-tech_proj!AL438))</f>
        <v>0</v>
      </c>
      <c r="AM1498" s="127">
        <f>IF(tech_base!$T34&gt;AM$1465,"",(tech_base!$J34/tech_proj!AM158*0.086*$N$110)/(1-tech_proj!AM438))</f>
        <v>0</v>
      </c>
      <c r="AN1498" s="127">
        <f>IF(tech_base!$T34&gt;AN$1465,"",(tech_base!$J34/tech_proj!AN158*0.086*$N$110)/(1-tech_proj!AN438))</f>
        <v>0</v>
      </c>
      <c r="AO1498" s="127">
        <f>IF(tech_base!$T34&gt;AO$1465,"",(tech_base!$J34/tech_proj!AO158*0.086*$N$110)/(1-tech_proj!AO438))</f>
        <v>0</v>
      </c>
      <c r="AP1498" s="127">
        <f>IF(tech_base!$T34&gt;AP$1465,"",(tech_base!$J34/tech_proj!AP158*0.086*$N$110)/(1-tech_proj!AP438))</f>
        <v>0</v>
      </c>
      <c r="AQ1498" s="127">
        <f>IF(tech_base!$T34&gt;AQ$1465,"",(tech_base!$J34/tech_proj!AQ158*0.086*$N$110)/(1-tech_proj!AQ438))</f>
        <v>0</v>
      </c>
      <c r="AR1498" s="127">
        <f>IF(tech_base!$T34&gt;AR$1465,"",(tech_base!$J34/tech_proj!AR158*0.086*$N$110)/(1-tech_proj!AR438))</f>
        <v>0</v>
      </c>
      <c r="AS1498" s="127">
        <f>IF(tech_base!$T34&gt;AS$1465,"",(tech_base!$J34/tech_proj!AS158*0.086*$N$110)/(1-tech_proj!AS438))</f>
        <v>0</v>
      </c>
      <c r="AT1498" s="127">
        <f>IF(tech_base!$T34&gt;AT$1465,"",(tech_base!$J34/tech_proj!AT158*0.086*$N$110)/(1-tech_proj!AT438))</f>
        <v>0</v>
      </c>
      <c r="AU1498" s="127">
        <f>IF(tech_base!$T34&gt;AU$1465,"",(tech_base!$J34/tech_proj!AU158*0.086*$N$110)/(1-tech_proj!AU438))</f>
        <v>0</v>
      </c>
      <c r="AV1498" s="127">
        <f>IF(tech_base!$T34&gt;AV$1465,"",(tech_base!$J34/tech_proj!AV158*0.086*$N$110)/(1-tech_proj!AV438))</f>
        <v>0</v>
      </c>
      <c r="AW1498" s="127">
        <f>IF(tech_base!$T34&gt;AW$1465,"",(tech_base!$J34/tech_proj!AW158*0.086*$N$110)/(1-tech_proj!AW438))</f>
        <v>0</v>
      </c>
      <c r="AX1498" s="128">
        <f>IF(tech_base!$T34&gt;AX$1465,"",(tech_base!$J34/tech_proj!AX158*0.086*$N$110)/(1-tech_proj!AX438))</f>
        <v>0</v>
      </c>
    </row>
    <row r="1499" spans="1:50" x14ac:dyDescent="0.25">
      <c r="A1499" s="356"/>
      <c r="B1499" s="358" t="s">
        <v>19</v>
      </c>
      <c r="C1499" s="353" t="s">
        <v>6</v>
      </c>
      <c r="D1499" s="3" t="s">
        <v>7</v>
      </c>
      <c r="E1499" s="162" t="str">
        <f>A1473&amp;"/"&amp;B1499&amp;"/"&amp;C1499&amp;"/"&amp;D1499</f>
        <v>Coal fired power plants/Steam turbine/Electricity only/L</v>
      </c>
      <c r="F1499" s="77" t="str">
        <f>A1473</f>
        <v>Coal fired power plants</v>
      </c>
      <c r="G1499" s="77" t="str">
        <f>B1499</f>
        <v>Steam turbine</v>
      </c>
      <c r="H1499" s="77" t="str">
        <f>C1499</f>
        <v>Electricity only</v>
      </c>
      <c r="I1499" s="163" t="str">
        <f t="shared" si="377"/>
        <v>L</v>
      </c>
      <c r="J1499" s="121">
        <f>IF(tech_base!$T35&gt;J$1465,"",(tech_base!$J35/tech_proj!J159*0.086*$N$110)/(1-tech_proj!J439))</f>
        <v>0</v>
      </c>
      <c r="K1499" s="121">
        <f>IF(tech_base!$T35&gt;K$1465,"",(tech_base!$J35/tech_proj!K159*0.086*$N$110)/(1-tech_proj!K439))</f>
        <v>0</v>
      </c>
      <c r="L1499" s="121">
        <f>IF(tech_base!$T35&gt;L$1465,"",(tech_base!$J35/tech_proj!L159*0.086*$N$110)/(1-tech_proj!L439))</f>
        <v>0</v>
      </c>
      <c r="M1499" s="121">
        <f>IF(tech_base!$T35&gt;M$1465,"",(tech_base!$J35/tech_proj!M159*0.086*$N$110)/(1-tech_proj!M439))</f>
        <v>0</v>
      </c>
      <c r="N1499" s="121">
        <f>IF(tech_base!$T35&gt;N$1465,"",(tech_base!$J35/tech_proj!N159*0.086*$N$110)/(1-tech_proj!N439))</f>
        <v>0</v>
      </c>
      <c r="O1499" s="121">
        <f>IF(tech_base!$T35&gt;O$1465,"",(tech_base!$J35/tech_proj!O159*0.086*$N$110)/(1-tech_proj!O439))</f>
        <v>0</v>
      </c>
      <c r="P1499" s="121">
        <f>IF(tech_base!$T35&gt;P$1465,"",(tech_base!$J35/tech_proj!P159*0.086*$N$110)/(1-tech_proj!P439))</f>
        <v>0</v>
      </c>
      <c r="Q1499" s="121">
        <f>IF(tech_base!$T35&gt;Q$1465,"",(tech_base!$J35/tech_proj!Q159*0.086*$N$110)/(1-tech_proj!Q439))</f>
        <v>0</v>
      </c>
      <c r="R1499" s="121">
        <f>IF(tech_base!$T35&gt;R$1465,"",(tech_base!$J35/tech_proj!R159*0.086*$N$110)/(1-tech_proj!R439))</f>
        <v>0</v>
      </c>
      <c r="S1499" s="121">
        <f>IF(tech_base!$T35&gt;S$1465,"",(tech_base!$J35/tech_proj!S159*0.086*$N$110)/(1-tech_proj!S439))</f>
        <v>0</v>
      </c>
      <c r="T1499" s="121">
        <f>IF(tech_base!$T35&gt;T$1465,"",(tech_base!$J35/tech_proj!T159*0.086*$N$110)/(1-tech_proj!T439))</f>
        <v>0</v>
      </c>
      <c r="U1499" s="121">
        <f>IF(tech_base!$T35&gt;U$1465,"",(tech_base!$J35/tech_proj!U159*0.086*$N$110)/(1-tech_proj!U439))</f>
        <v>0</v>
      </c>
      <c r="V1499" s="121">
        <f>IF(tech_base!$T35&gt;V$1465,"",(tech_base!$J35/tech_proj!V159*0.086*$N$110)/(1-tech_proj!V439))</f>
        <v>0</v>
      </c>
      <c r="W1499" s="121">
        <f>IF(tech_base!$T35&gt;W$1465,"",(tech_base!$J35/tech_proj!W159*0.086*$N$110)/(1-tech_proj!W439))</f>
        <v>0</v>
      </c>
      <c r="X1499" s="121">
        <f>IF(tech_base!$T35&gt;X$1465,"",(tech_base!$J35/tech_proj!X159*0.086*$N$110)/(1-tech_proj!X439))</f>
        <v>0</v>
      </c>
      <c r="Y1499" s="121">
        <f>IF(tech_base!$T35&gt;Y$1465,"",(tech_base!$J35/tech_proj!Y159*0.086*$N$110)/(1-tech_proj!Y439))</f>
        <v>0</v>
      </c>
      <c r="Z1499" s="121">
        <f>IF(tech_base!$T35&gt;Z$1465,"",(tech_base!$J35/tech_proj!Z159*0.086*$N$110)/(1-tech_proj!Z439))</f>
        <v>0</v>
      </c>
      <c r="AA1499" s="121">
        <f>IF(tech_base!$T35&gt;AA$1465,"",(tech_base!$J35/tech_proj!AA159*0.086*$N$110)/(1-tech_proj!AA439))</f>
        <v>0</v>
      </c>
      <c r="AB1499" s="121">
        <f>IF(tech_base!$T35&gt;AB$1465,"",(tech_base!$J35/tech_proj!AB159*0.086*$N$110)/(1-tech_proj!AB439))</f>
        <v>0</v>
      </c>
      <c r="AC1499" s="121">
        <f>IF(tech_base!$T35&gt;AC$1465,"",(tech_base!$J35/tech_proj!AC159*0.086*$N$110)/(1-tech_proj!AC439))</f>
        <v>0</v>
      </c>
      <c r="AD1499" s="121">
        <f>IF(tech_base!$T35&gt;AD$1465,"",(tech_base!$J35/tech_proj!AD159*0.086*$N$110)/(1-tech_proj!AD439))</f>
        <v>0</v>
      </c>
      <c r="AE1499" s="121">
        <f>IF(tech_base!$T35&gt;AE$1465,"",(tech_base!$J35/tech_proj!AE159*0.086*$N$110)/(1-tech_proj!AE439))</f>
        <v>0</v>
      </c>
      <c r="AF1499" s="121">
        <f>IF(tech_base!$T35&gt;AF$1465,"",(tech_base!$J35/tech_proj!AF159*0.086*$N$110)/(1-tech_proj!AF439))</f>
        <v>0</v>
      </c>
      <c r="AG1499" s="121">
        <f>IF(tech_base!$T35&gt;AG$1465,"",(tech_base!$J35/tech_proj!AG159*0.086*$N$110)/(1-tech_proj!AG439))</f>
        <v>0</v>
      </c>
      <c r="AH1499" s="121">
        <f>IF(tech_base!$T35&gt;AH$1465,"",(tech_base!$J35/tech_proj!AH159*0.086*$N$110)/(1-tech_proj!AH439))</f>
        <v>0</v>
      </c>
      <c r="AI1499" s="121">
        <f>IF(tech_base!$T35&gt;AI$1465,"",(tech_base!$J35/tech_proj!AI159*0.086*$N$110)/(1-tech_proj!AI439))</f>
        <v>0</v>
      </c>
      <c r="AJ1499" s="121">
        <f>IF(tech_base!$T35&gt;AJ$1465,"",(tech_base!$J35/tech_proj!AJ159*0.086*$N$110)/(1-tech_proj!AJ439))</f>
        <v>0</v>
      </c>
      <c r="AK1499" s="121">
        <f>IF(tech_base!$T35&gt;AK$1465,"",(tech_base!$J35/tech_proj!AK159*0.086*$N$110)/(1-tech_proj!AK439))</f>
        <v>0</v>
      </c>
      <c r="AL1499" s="121">
        <f>IF(tech_base!$T35&gt;AL$1465,"",(tech_base!$J35/tech_proj!AL159*0.086*$N$110)/(1-tech_proj!AL439))</f>
        <v>0</v>
      </c>
      <c r="AM1499" s="121">
        <f>IF(tech_base!$T35&gt;AM$1465,"",(tech_base!$J35/tech_proj!AM159*0.086*$N$110)/(1-tech_proj!AM439))</f>
        <v>0</v>
      </c>
      <c r="AN1499" s="121">
        <f>IF(tech_base!$T35&gt;AN$1465,"",(tech_base!$J35/tech_proj!AN159*0.086*$N$110)/(1-tech_proj!AN439))</f>
        <v>0</v>
      </c>
      <c r="AO1499" s="121">
        <f>IF(tech_base!$T35&gt;AO$1465,"",(tech_base!$J35/tech_proj!AO159*0.086*$N$110)/(1-tech_proj!AO439))</f>
        <v>0</v>
      </c>
      <c r="AP1499" s="121">
        <f>IF(tech_base!$T35&gt;AP$1465,"",(tech_base!$J35/tech_proj!AP159*0.086*$N$110)/(1-tech_proj!AP439))</f>
        <v>0</v>
      </c>
      <c r="AQ1499" s="121">
        <f>IF(tech_base!$T35&gt;AQ$1465,"",(tech_base!$J35/tech_proj!AQ159*0.086*$N$110)/(1-tech_proj!AQ439))</f>
        <v>0</v>
      </c>
      <c r="AR1499" s="121">
        <f>IF(tech_base!$T35&gt;AR$1465,"",(tech_base!$J35/tech_proj!AR159*0.086*$N$110)/(1-tech_proj!AR439))</f>
        <v>0</v>
      </c>
      <c r="AS1499" s="121">
        <f>IF(tech_base!$T35&gt;AS$1465,"",(tech_base!$J35/tech_proj!AS159*0.086*$N$110)/(1-tech_proj!AS439))</f>
        <v>0</v>
      </c>
      <c r="AT1499" s="121">
        <f>IF(tech_base!$T35&gt;AT$1465,"",(tech_base!$J35/tech_proj!AT159*0.086*$N$110)/(1-tech_proj!AT439))</f>
        <v>0</v>
      </c>
      <c r="AU1499" s="121">
        <f>IF(tech_base!$T35&gt;AU$1465,"",(tech_base!$J35/tech_proj!AU159*0.086*$N$110)/(1-tech_proj!AU439))</f>
        <v>0</v>
      </c>
      <c r="AV1499" s="121">
        <f>IF(tech_base!$T35&gt;AV$1465,"",(tech_base!$J35/tech_proj!AV159*0.086*$N$110)/(1-tech_proj!AV439))</f>
        <v>0</v>
      </c>
      <c r="AW1499" s="121">
        <f>IF(tech_base!$T35&gt;AW$1465,"",(tech_base!$J35/tech_proj!AW159*0.086*$N$110)/(1-tech_proj!AW439))</f>
        <v>0</v>
      </c>
      <c r="AX1499" s="122">
        <f>IF(tech_base!$T35&gt;AX$1465,"",(tech_base!$J35/tech_proj!AX159*0.086*$N$110)/(1-tech_proj!AX439))</f>
        <v>0</v>
      </c>
    </row>
    <row r="1500" spans="1:50" x14ac:dyDescent="0.25">
      <c r="A1500" s="356"/>
      <c r="B1500" s="376"/>
      <c r="C1500" s="378"/>
      <c r="D1500" s="2" t="s">
        <v>8</v>
      </c>
      <c r="E1500" s="160" t="str">
        <f>A1473&amp;"/"&amp;B1499&amp;"/"&amp;C1499&amp;"/"&amp;D1500</f>
        <v>Coal fired power plants/Steam turbine/Electricity only/M</v>
      </c>
      <c r="F1500" s="76" t="str">
        <f>A1473</f>
        <v>Coal fired power plants</v>
      </c>
      <c r="G1500" s="76" t="str">
        <f>B1499</f>
        <v>Steam turbine</v>
      </c>
      <c r="H1500" s="76" t="str">
        <f>C1499</f>
        <v>Electricity only</v>
      </c>
      <c r="I1500" s="161" t="str">
        <f t="shared" si="377"/>
        <v>M</v>
      </c>
      <c r="J1500" s="119">
        <f>IF(tech_base!$T36&gt;J$1465,"",(tech_base!$J36/tech_proj!J160*0.086*$N$110)/(1-tech_proj!J440))</f>
        <v>0</v>
      </c>
      <c r="K1500" s="119">
        <f>IF(tech_base!$T36&gt;K$1465,"",(tech_base!$J36/tech_proj!K160*0.086*$N$110)/(1-tech_proj!K440))</f>
        <v>0</v>
      </c>
      <c r="L1500" s="119">
        <f>IF(tech_base!$T36&gt;L$1465,"",(tech_base!$J36/tech_proj!L160*0.086*$N$110)/(1-tech_proj!L440))</f>
        <v>0</v>
      </c>
      <c r="M1500" s="119">
        <f>IF(tech_base!$T36&gt;M$1465,"",(tech_base!$J36/tech_proj!M160*0.086*$N$110)/(1-tech_proj!M440))</f>
        <v>0</v>
      </c>
      <c r="N1500" s="119">
        <f>IF(tech_base!$T36&gt;N$1465,"",(tech_base!$J36/tech_proj!N160*0.086*$N$110)/(1-tech_proj!N440))</f>
        <v>0</v>
      </c>
      <c r="O1500" s="119">
        <f>IF(tech_base!$T36&gt;O$1465,"",(tech_base!$J36/tech_proj!O160*0.086*$N$110)/(1-tech_proj!O440))</f>
        <v>0</v>
      </c>
      <c r="P1500" s="119">
        <f>IF(tech_base!$T36&gt;P$1465,"",(tech_base!$J36/tech_proj!P160*0.086*$N$110)/(1-tech_proj!P440))</f>
        <v>0</v>
      </c>
      <c r="Q1500" s="119">
        <f>IF(tech_base!$T36&gt;Q$1465,"",(tech_base!$J36/tech_proj!Q160*0.086*$N$110)/(1-tech_proj!Q440))</f>
        <v>0</v>
      </c>
      <c r="R1500" s="119">
        <f>IF(tech_base!$T36&gt;R$1465,"",(tech_base!$J36/tech_proj!R160*0.086*$N$110)/(1-tech_proj!R440))</f>
        <v>0</v>
      </c>
      <c r="S1500" s="119">
        <f>IF(tech_base!$T36&gt;S$1465,"",(tech_base!$J36/tech_proj!S160*0.086*$N$110)/(1-tech_proj!S440))</f>
        <v>0</v>
      </c>
      <c r="T1500" s="119">
        <f>IF(tech_base!$T36&gt;T$1465,"",(tech_base!$J36/tech_proj!T160*0.086*$N$110)/(1-tech_proj!T440))</f>
        <v>0</v>
      </c>
      <c r="U1500" s="119">
        <f>IF(tech_base!$T36&gt;U$1465,"",(tech_base!$J36/tech_proj!U160*0.086*$N$110)/(1-tech_proj!U440))</f>
        <v>0</v>
      </c>
      <c r="V1500" s="119">
        <f>IF(tech_base!$T36&gt;V$1465,"",(tech_base!$J36/tech_proj!V160*0.086*$N$110)/(1-tech_proj!V440))</f>
        <v>0</v>
      </c>
      <c r="W1500" s="119">
        <f>IF(tech_base!$T36&gt;W$1465,"",(tech_base!$J36/tech_proj!W160*0.086*$N$110)/(1-tech_proj!W440))</f>
        <v>0</v>
      </c>
      <c r="X1500" s="119">
        <f>IF(tech_base!$T36&gt;X$1465,"",(tech_base!$J36/tech_proj!X160*0.086*$N$110)/(1-tech_proj!X440))</f>
        <v>0</v>
      </c>
      <c r="Y1500" s="119">
        <f>IF(tech_base!$T36&gt;Y$1465,"",(tech_base!$J36/tech_proj!Y160*0.086*$N$110)/(1-tech_proj!Y440))</f>
        <v>0</v>
      </c>
      <c r="Z1500" s="119">
        <f>IF(tech_base!$T36&gt;Z$1465,"",(tech_base!$J36/tech_proj!Z160*0.086*$N$110)/(1-tech_proj!Z440))</f>
        <v>0</v>
      </c>
      <c r="AA1500" s="119">
        <f>IF(tech_base!$T36&gt;AA$1465,"",(tech_base!$J36/tech_proj!AA160*0.086*$N$110)/(1-tech_proj!AA440))</f>
        <v>0</v>
      </c>
      <c r="AB1500" s="119">
        <f>IF(tech_base!$T36&gt;AB$1465,"",(tech_base!$J36/tech_proj!AB160*0.086*$N$110)/(1-tech_proj!AB440))</f>
        <v>0</v>
      </c>
      <c r="AC1500" s="119">
        <f>IF(tech_base!$T36&gt;AC$1465,"",(tech_base!$J36/tech_proj!AC160*0.086*$N$110)/(1-tech_proj!AC440))</f>
        <v>0</v>
      </c>
      <c r="AD1500" s="119">
        <f>IF(tech_base!$T36&gt;AD$1465,"",(tech_base!$J36/tech_proj!AD160*0.086*$N$110)/(1-tech_proj!AD440))</f>
        <v>0</v>
      </c>
      <c r="AE1500" s="119">
        <f>IF(tech_base!$T36&gt;AE$1465,"",(tech_base!$J36/tech_proj!AE160*0.086*$N$110)/(1-tech_proj!AE440))</f>
        <v>0</v>
      </c>
      <c r="AF1500" s="119">
        <f>IF(tech_base!$T36&gt;AF$1465,"",(tech_base!$J36/tech_proj!AF160*0.086*$N$110)/(1-tech_proj!AF440))</f>
        <v>0</v>
      </c>
      <c r="AG1500" s="119">
        <f>IF(tech_base!$T36&gt;AG$1465,"",(tech_base!$J36/tech_proj!AG160*0.086*$N$110)/(1-tech_proj!AG440))</f>
        <v>0</v>
      </c>
      <c r="AH1500" s="119">
        <f>IF(tech_base!$T36&gt;AH$1465,"",(tech_base!$J36/tech_proj!AH160*0.086*$N$110)/(1-tech_proj!AH440))</f>
        <v>0</v>
      </c>
      <c r="AI1500" s="119">
        <f>IF(tech_base!$T36&gt;AI$1465,"",(tech_base!$J36/tech_proj!AI160*0.086*$N$110)/(1-tech_proj!AI440))</f>
        <v>0</v>
      </c>
      <c r="AJ1500" s="119">
        <f>IF(tech_base!$T36&gt;AJ$1465,"",(tech_base!$J36/tech_proj!AJ160*0.086*$N$110)/(1-tech_proj!AJ440))</f>
        <v>0</v>
      </c>
      <c r="AK1500" s="119">
        <f>IF(tech_base!$T36&gt;AK$1465,"",(tech_base!$J36/tech_proj!AK160*0.086*$N$110)/(1-tech_proj!AK440))</f>
        <v>0</v>
      </c>
      <c r="AL1500" s="119">
        <f>IF(tech_base!$T36&gt;AL$1465,"",(tech_base!$J36/tech_proj!AL160*0.086*$N$110)/(1-tech_proj!AL440))</f>
        <v>0</v>
      </c>
      <c r="AM1500" s="119">
        <f>IF(tech_base!$T36&gt;AM$1465,"",(tech_base!$J36/tech_proj!AM160*0.086*$N$110)/(1-tech_proj!AM440))</f>
        <v>0</v>
      </c>
      <c r="AN1500" s="119">
        <f>IF(tech_base!$T36&gt;AN$1465,"",(tech_base!$J36/tech_proj!AN160*0.086*$N$110)/(1-tech_proj!AN440))</f>
        <v>0</v>
      </c>
      <c r="AO1500" s="119">
        <f>IF(tech_base!$T36&gt;AO$1465,"",(tech_base!$J36/tech_proj!AO160*0.086*$N$110)/(1-tech_proj!AO440))</f>
        <v>0</v>
      </c>
      <c r="AP1500" s="119">
        <f>IF(tech_base!$T36&gt;AP$1465,"",(tech_base!$J36/tech_proj!AP160*0.086*$N$110)/(1-tech_proj!AP440))</f>
        <v>0</v>
      </c>
      <c r="AQ1500" s="119">
        <f>IF(tech_base!$T36&gt;AQ$1465,"",(tech_base!$J36/tech_proj!AQ160*0.086*$N$110)/(1-tech_proj!AQ440))</f>
        <v>0</v>
      </c>
      <c r="AR1500" s="119">
        <f>IF(tech_base!$T36&gt;AR$1465,"",(tech_base!$J36/tech_proj!AR160*0.086*$N$110)/(1-tech_proj!AR440))</f>
        <v>0</v>
      </c>
      <c r="AS1500" s="119">
        <f>IF(tech_base!$T36&gt;AS$1465,"",(tech_base!$J36/tech_proj!AS160*0.086*$N$110)/(1-tech_proj!AS440))</f>
        <v>0</v>
      </c>
      <c r="AT1500" s="119">
        <f>IF(tech_base!$T36&gt;AT$1465,"",(tech_base!$J36/tech_proj!AT160*0.086*$N$110)/(1-tech_proj!AT440))</f>
        <v>0</v>
      </c>
      <c r="AU1500" s="119">
        <f>IF(tech_base!$T36&gt;AU$1465,"",(tech_base!$J36/tech_proj!AU160*0.086*$N$110)/(1-tech_proj!AU440))</f>
        <v>0</v>
      </c>
      <c r="AV1500" s="119">
        <f>IF(tech_base!$T36&gt;AV$1465,"",(tech_base!$J36/tech_proj!AV160*0.086*$N$110)/(1-tech_proj!AV440))</f>
        <v>0</v>
      </c>
      <c r="AW1500" s="119">
        <f>IF(tech_base!$T36&gt;AW$1465,"",(tech_base!$J36/tech_proj!AW160*0.086*$N$110)/(1-tech_proj!AW440))</f>
        <v>0</v>
      </c>
      <c r="AX1500" s="120">
        <f>IF(tech_base!$T36&gt;AX$1465,"",(tech_base!$J36/tech_proj!AX160*0.086*$N$110)/(1-tech_proj!AX440))</f>
        <v>0</v>
      </c>
    </row>
    <row r="1501" spans="1:50" x14ac:dyDescent="0.25">
      <c r="A1501" s="356"/>
      <c r="B1501" s="376"/>
      <c r="C1501" s="378"/>
      <c r="D1501" s="2" t="s">
        <v>10</v>
      </c>
      <c r="E1501" s="160" t="str">
        <f>A1473&amp;"/"&amp;B1499&amp;"/"&amp;C1499&amp;"/"&amp;D1501</f>
        <v>Coal fired power plants/Steam turbine/Electricity only/S</v>
      </c>
      <c r="F1501" s="76" t="str">
        <f>A1473</f>
        <v>Coal fired power plants</v>
      </c>
      <c r="G1501" s="76" t="str">
        <f>B1499</f>
        <v>Steam turbine</v>
      </c>
      <c r="H1501" s="76" t="str">
        <f>C1499</f>
        <v>Electricity only</v>
      </c>
      <c r="I1501" s="161" t="str">
        <f t="shared" si="377"/>
        <v>S</v>
      </c>
      <c r="J1501" s="119">
        <f>IF(tech_base!$T37&gt;J$1465,"",(tech_base!$J37/tech_proj!J161*0.086*$N$110)/(1-tech_proj!J441))</f>
        <v>0</v>
      </c>
      <c r="K1501" s="119">
        <f>IF(tech_base!$T37&gt;K$1465,"",(tech_base!$J37/tech_proj!K161*0.086*$N$110)/(1-tech_proj!K441))</f>
        <v>0</v>
      </c>
      <c r="L1501" s="119">
        <f>IF(tech_base!$T37&gt;L$1465,"",(tech_base!$J37/tech_proj!L161*0.086*$N$110)/(1-tech_proj!L441))</f>
        <v>0</v>
      </c>
      <c r="M1501" s="119">
        <f>IF(tech_base!$T37&gt;M$1465,"",(tech_base!$J37/tech_proj!M161*0.086*$N$110)/(1-tech_proj!M441))</f>
        <v>0</v>
      </c>
      <c r="N1501" s="119">
        <f>IF(tech_base!$T37&gt;N$1465,"",(tech_base!$J37/tech_proj!N161*0.086*$N$110)/(1-tech_proj!N441))</f>
        <v>0</v>
      </c>
      <c r="O1501" s="119">
        <f>IF(tech_base!$T37&gt;O$1465,"",(tech_base!$J37/tech_proj!O161*0.086*$N$110)/(1-tech_proj!O441))</f>
        <v>0</v>
      </c>
      <c r="P1501" s="119">
        <f>IF(tech_base!$T37&gt;P$1465,"",(tech_base!$J37/tech_proj!P161*0.086*$N$110)/(1-tech_proj!P441))</f>
        <v>0</v>
      </c>
      <c r="Q1501" s="119">
        <f>IF(tech_base!$T37&gt;Q$1465,"",(tech_base!$J37/tech_proj!Q161*0.086*$N$110)/(1-tech_proj!Q441))</f>
        <v>0</v>
      </c>
      <c r="R1501" s="119">
        <f>IF(tech_base!$T37&gt;R$1465,"",(tech_base!$J37/tech_proj!R161*0.086*$N$110)/(1-tech_proj!R441))</f>
        <v>0</v>
      </c>
      <c r="S1501" s="119">
        <f>IF(tech_base!$T37&gt;S$1465,"",(tech_base!$J37/tech_proj!S161*0.086*$N$110)/(1-tech_proj!S441))</f>
        <v>0</v>
      </c>
      <c r="T1501" s="119">
        <f>IF(tech_base!$T37&gt;T$1465,"",(tech_base!$J37/tech_proj!T161*0.086*$N$110)/(1-tech_proj!T441))</f>
        <v>0</v>
      </c>
      <c r="U1501" s="119">
        <f>IF(tech_base!$T37&gt;U$1465,"",(tech_base!$J37/tech_proj!U161*0.086*$N$110)/(1-tech_proj!U441))</f>
        <v>0</v>
      </c>
      <c r="V1501" s="119">
        <f>IF(tech_base!$T37&gt;V$1465,"",(tech_base!$J37/tech_proj!V161*0.086*$N$110)/(1-tech_proj!V441))</f>
        <v>0</v>
      </c>
      <c r="W1501" s="119">
        <f>IF(tech_base!$T37&gt;W$1465,"",(tech_base!$J37/tech_proj!W161*0.086*$N$110)/(1-tech_proj!W441))</f>
        <v>0</v>
      </c>
      <c r="X1501" s="119">
        <f>IF(tech_base!$T37&gt;X$1465,"",(tech_base!$J37/tech_proj!X161*0.086*$N$110)/(1-tech_proj!X441))</f>
        <v>0</v>
      </c>
      <c r="Y1501" s="119">
        <f>IF(tech_base!$T37&gt;Y$1465,"",(tech_base!$J37/tech_proj!Y161*0.086*$N$110)/(1-tech_proj!Y441))</f>
        <v>0</v>
      </c>
      <c r="Z1501" s="119">
        <f>IF(tech_base!$T37&gt;Z$1465,"",(tech_base!$J37/tech_proj!Z161*0.086*$N$110)/(1-tech_proj!Z441))</f>
        <v>0</v>
      </c>
      <c r="AA1501" s="119">
        <f>IF(tech_base!$T37&gt;AA$1465,"",(tech_base!$J37/tech_proj!AA161*0.086*$N$110)/(1-tech_proj!AA441))</f>
        <v>0</v>
      </c>
      <c r="AB1501" s="119">
        <f>IF(tech_base!$T37&gt;AB$1465,"",(tech_base!$J37/tech_proj!AB161*0.086*$N$110)/(1-tech_proj!AB441))</f>
        <v>0</v>
      </c>
      <c r="AC1501" s="119">
        <f>IF(tech_base!$T37&gt;AC$1465,"",(tech_base!$J37/tech_proj!AC161*0.086*$N$110)/(1-tech_proj!AC441))</f>
        <v>0</v>
      </c>
      <c r="AD1501" s="119">
        <f>IF(tech_base!$T37&gt;AD$1465,"",(tech_base!$J37/tech_proj!AD161*0.086*$N$110)/(1-tech_proj!AD441))</f>
        <v>0</v>
      </c>
      <c r="AE1501" s="119">
        <f>IF(tech_base!$T37&gt;AE$1465,"",(tech_base!$J37/tech_proj!AE161*0.086*$N$110)/(1-tech_proj!AE441))</f>
        <v>0</v>
      </c>
      <c r="AF1501" s="119">
        <f>IF(tech_base!$T37&gt;AF$1465,"",(tech_base!$J37/tech_proj!AF161*0.086*$N$110)/(1-tech_proj!AF441))</f>
        <v>0</v>
      </c>
      <c r="AG1501" s="119">
        <f>IF(tech_base!$T37&gt;AG$1465,"",(tech_base!$J37/tech_proj!AG161*0.086*$N$110)/(1-tech_proj!AG441))</f>
        <v>0</v>
      </c>
      <c r="AH1501" s="119">
        <f>IF(tech_base!$T37&gt;AH$1465,"",(tech_base!$J37/tech_proj!AH161*0.086*$N$110)/(1-tech_proj!AH441))</f>
        <v>0</v>
      </c>
      <c r="AI1501" s="119">
        <f>IF(tech_base!$T37&gt;AI$1465,"",(tech_base!$J37/tech_proj!AI161*0.086*$N$110)/(1-tech_proj!AI441))</f>
        <v>0</v>
      </c>
      <c r="AJ1501" s="119">
        <f>IF(tech_base!$T37&gt;AJ$1465,"",(tech_base!$J37/tech_proj!AJ161*0.086*$N$110)/(1-tech_proj!AJ441))</f>
        <v>0</v>
      </c>
      <c r="AK1501" s="119">
        <f>IF(tech_base!$T37&gt;AK$1465,"",(tech_base!$J37/tech_proj!AK161*0.086*$N$110)/(1-tech_proj!AK441))</f>
        <v>0</v>
      </c>
      <c r="AL1501" s="119">
        <f>IF(tech_base!$T37&gt;AL$1465,"",(tech_base!$J37/tech_proj!AL161*0.086*$N$110)/(1-tech_proj!AL441))</f>
        <v>0</v>
      </c>
      <c r="AM1501" s="119">
        <f>IF(tech_base!$T37&gt;AM$1465,"",(tech_base!$J37/tech_proj!AM161*0.086*$N$110)/(1-tech_proj!AM441))</f>
        <v>0</v>
      </c>
      <c r="AN1501" s="119">
        <f>IF(tech_base!$T37&gt;AN$1465,"",(tech_base!$J37/tech_proj!AN161*0.086*$N$110)/(1-tech_proj!AN441))</f>
        <v>0</v>
      </c>
      <c r="AO1501" s="119">
        <f>IF(tech_base!$T37&gt;AO$1465,"",(tech_base!$J37/tech_proj!AO161*0.086*$N$110)/(1-tech_proj!AO441))</f>
        <v>0</v>
      </c>
      <c r="AP1501" s="119">
        <f>IF(tech_base!$T37&gt;AP$1465,"",(tech_base!$J37/tech_proj!AP161*0.086*$N$110)/(1-tech_proj!AP441))</f>
        <v>0</v>
      </c>
      <c r="AQ1501" s="119">
        <f>IF(tech_base!$T37&gt;AQ$1465,"",(tech_base!$J37/tech_proj!AQ161*0.086*$N$110)/(1-tech_proj!AQ441))</f>
        <v>0</v>
      </c>
      <c r="AR1501" s="119">
        <f>IF(tech_base!$T37&gt;AR$1465,"",(tech_base!$J37/tech_proj!AR161*0.086*$N$110)/(1-tech_proj!AR441))</f>
        <v>0</v>
      </c>
      <c r="AS1501" s="119">
        <f>IF(tech_base!$T37&gt;AS$1465,"",(tech_base!$J37/tech_proj!AS161*0.086*$N$110)/(1-tech_proj!AS441))</f>
        <v>0</v>
      </c>
      <c r="AT1501" s="119">
        <f>IF(tech_base!$T37&gt;AT$1465,"",(tech_base!$J37/tech_proj!AT161*0.086*$N$110)/(1-tech_proj!AT441))</f>
        <v>0</v>
      </c>
      <c r="AU1501" s="119">
        <f>IF(tech_base!$T37&gt;AU$1465,"",(tech_base!$J37/tech_proj!AU161*0.086*$N$110)/(1-tech_proj!AU441))</f>
        <v>0</v>
      </c>
      <c r="AV1501" s="119">
        <f>IF(tech_base!$T37&gt;AV$1465,"",(tech_base!$J37/tech_proj!AV161*0.086*$N$110)/(1-tech_proj!AV441))</f>
        <v>0</v>
      </c>
      <c r="AW1501" s="119">
        <f>IF(tech_base!$T37&gt;AW$1465,"",(tech_base!$J37/tech_proj!AW161*0.086*$N$110)/(1-tech_proj!AW441))</f>
        <v>0</v>
      </c>
      <c r="AX1501" s="120">
        <f>IF(tech_base!$T37&gt;AX$1465,"",(tech_base!$J37/tech_proj!AX161*0.086*$N$110)/(1-tech_proj!AX441))</f>
        <v>0</v>
      </c>
    </row>
    <row r="1502" spans="1:50" x14ac:dyDescent="0.25">
      <c r="A1502" s="356"/>
      <c r="B1502" s="376"/>
      <c r="C1502" s="379"/>
      <c r="D1502" s="2" t="s">
        <v>20</v>
      </c>
      <c r="E1502" s="160" t="str">
        <f>A1473&amp;"/"&amp;B1499&amp;"/"&amp;C1499&amp;"/"&amp;D1502</f>
        <v>Coal fired power plants/Steam turbine/Electricity only/XS</v>
      </c>
      <c r="F1502" s="76" t="str">
        <f>A1473</f>
        <v>Coal fired power plants</v>
      </c>
      <c r="G1502" s="76" t="str">
        <f>B1499</f>
        <v>Steam turbine</v>
      </c>
      <c r="H1502" s="76" t="str">
        <f>C1499</f>
        <v>Electricity only</v>
      </c>
      <c r="I1502" s="161" t="str">
        <f t="shared" si="377"/>
        <v>XS</v>
      </c>
      <c r="J1502" s="119">
        <f>IF(tech_base!$T38&gt;J$1465,"",(tech_base!$J38/tech_proj!J162*0.086*$N$110)/(1-tech_proj!J442))</f>
        <v>0</v>
      </c>
      <c r="K1502" s="119">
        <f>IF(tech_base!$T38&gt;K$1465,"",(tech_base!$J38/tech_proj!K162*0.086*$N$110)/(1-tech_proj!K442))</f>
        <v>0</v>
      </c>
      <c r="L1502" s="119">
        <f>IF(tech_base!$T38&gt;L$1465,"",(tech_base!$J38/tech_proj!L162*0.086*$N$110)/(1-tech_proj!L442))</f>
        <v>0</v>
      </c>
      <c r="M1502" s="119">
        <f>IF(tech_base!$T38&gt;M$1465,"",(tech_base!$J38/tech_proj!M162*0.086*$N$110)/(1-tech_proj!M442))</f>
        <v>0</v>
      </c>
      <c r="N1502" s="119">
        <f>IF(tech_base!$T38&gt;N$1465,"",(tech_base!$J38/tech_proj!N162*0.086*$N$110)/(1-tech_proj!N442))</f>
        <v>0</v>
      </c>
      <c r="O1502" s="119">
        <f>IF(tech_base!$T38&gt;O$1465,"",(tech_base!$J38/tech_proj!O162*0.086*$N$110)/(1-tech_proj!O442))</f>
        <v>0</v>
      </c>
      <c r="P1502" s="119">
        <f>IF(tech_base!$T38&gt;P$1465,"",(tech_base!$J38/tech_proj!P162*0.086*$N$110)/(1-tech_proj!P442))</f>
        <v>0</v>
      </c>
      <c r="Q1502" s="119">
        <f>IF(tech_base!$T38&gt;Q$1465,"",(tech_base!$J38/tech_proj!Q162*0.086*$N$110)/(1-tech_proj!Q442))</f>
        <v>0</v>
      </c>
      <c r="R1502" s="119">
        <f>IF(tech_base!$T38&gt;R$1465,"",(tech_base!$J38/tech_proj!R162*0.086*$N$110)/(1-tech_proj!R442))</f>
        <v>0</v>
      </c>
      <c r="S1502" s="119">
        <f>IF(tech_base!$T38&gt;S$1465,"",(tech_base!$J38/tech_proj!S162*0.086*$N$110)/(1-tech_proj!S442))</f>
        <v>0</v>
      </c>
      <c r="T1502" s="119">
        <f>IF(tech_base!$T38&gt;T$1465,"",(tech_base!$J38/tech_proj!T162*0.086*$N$110)/(1-tech_proj!T442))</f>
        <v>0</v>
      </c>
      <c r="U1502" s="119">
        <f>IF(tech_base!$T38&gt;U$1465,"",(tech_base!$J38/tech_proj!U162*0.086*$N$110)/(1-tech_proj!U442))</f>
        <v>0</v>
      </c>
      <c r="V1502" s="119">
        <f>IF(tech_base!$T38&gt;V$1465,"",(tech_base!$J38/tech_proj!V162*0.086*$N$110)/(1-tech_proj!V442))</f>
        <v>0</v>
      </c>
      <c r="W1502" s="119">
        <f>IF(tech_base!$T38&gt;W$1465,"",(tech_base!$J38/tech_proj!W162*0.086*$N$110)/(1-tech_proj!W442))</f>
        <v>0</v>
      </c>
      <c r="X1502" s="119">
        <f>IF(tech_base!$T38&gt;X$1465,"",(tech_base!$J38/tech_proj!X162*0.086*$N$110)/(1-tech_proj!X442))</f>
        <v>0</v>
      </c>
      <c r="Y1502" s="119">
        <f>IF(tech_base!$T38&gt;Y$1465,"",(tech_base!$J38/tech_proj!Y162*0.086*$N$110)/(1-tech_proj!Y442))</f>
        <v>0</v>
      </c>
      <c r="Z1502" s="119">
        <f>IF(tech_base!$T38&gt;Z$1465,"",(tech_base!$J38/tech_proj!Z162*0.086*$N$110)/(1-tech_proj!Z442))</f>
        <v>0</v>
      </c>
      <c r="AA1502" s="119">
        <f>IF(tech_base!$T38&gt;AA$1465,"",(tech_base!$J38/tech_proj!AA162*0.086*$N$110)/(1-tech_proj!AA442))</f>
        <v>0</v>
      </c>
      <c r="AB1502" s="119">
        <f>IF(tech_base!$T38&gt;AB$1465,"",(tech_base!$J38/tech_proj!AB162*0.086*$N$110)/(1-tech_proj!AB442))</f>
        <v>0</v>
      </c>
      <c r="AC1502" s="119">
        <f>IF(tech_base!$T38&gt;AC$1465,"",(tech_base!$J38/tech_proj!AC162*0.086*$N$110)/(1-tech_proj!AC442))</f>
        <v>0</v>
      </c>
      <c r="AD1502" s="119">
        <f>IF(tech_base!$T38&gt;AD$1465,"",(tech_base!$J38/tech_proj!AD162*0.086*$N$110)/(1-tech_proj!AD442))</f>
        <v>0</v>
      </c>
      <c r="AE1502" s="119">
        <f>IF(tech_base!$T38&gt;AE$1465,"",(tech_base!$J38/tech_proj!AE162*0.086*$N$110)/(1-tech_proj!AE442))</f>
        <v>0</v>
      </c>
      <c r="AF1502" s="119">
        <f>IF(tech_base!$T38&gt;AF$1465,"",(tech_base!$J38/tech_proj!AF162*0.086*$N$110)/(1-tech_proj!AF442))</f>
        <v>0</v>
      </c>
      <c r="AG1502" s="119">
        <f>IF(tech_base!$T38&gt;AG$1465,"",(tech_base!$J38/tech_proj!AG162*0.086*$N$110)/(1-tech_proj!AG442))</f>
        <v>0</v>
      </c>
      <c r="AH1502" s="119">
        <f>IF(tech_base!$T38&gt;AH$1465,"",(tech_base!$J38/tech_proj!AH162*0.086*$N$110)/(1-tech_proj!AH442))</f>
        <v>0</v>
      </c>
      <c r="AI1502" s="119">
        <f>IF(tech_base!$T38&gt;AI$1465,"",(tech_base!$J38/tech_proj!AI162*0.086*$N$110)/(1-tech_proj!AI442))</f>
        <v>0</v>
      </c>
      <c r="AJ1502" s="119">
        <f>IF(tech_base!$T38&gt;AJ$1465,"",(tech_base!$J38/tech_proj!AJ162*0.086*$N$110)/(1-tech_proj!AJ442))</f>
        <v>0</v>
      </c>
      <c r="AK1502" s="119">
        <f>IF(tech_base!$T38&gt;AK$1465,"",(tech_base!$J38/tech_proj!AK162*0.086*$N$110)/(1-tech_proj!AK442))</f>
        <v>0</v>
      </c>
      <c r="AL1502" s="119">
        <f>IF(tech_base!$T38&gt;AL$1465,"",(tech_base!$J38/tech_proj!AL162*0.086*$N$110)/(1-tech_proj!AL442))</f>
        <v>0</v>
      </c>
      <c r="AM1502" s="119">
        <f>IF(tech_base!$T38&gt;AM$1465,"",(tech_base!$J38/tech_proj!AM162*0.086*$N$110)/(1-tech_proj!AM442))</f>
        <v>0</v>
      </c>
      <c r="AN1502" s="119">
        <f>IF(tech_base!$T38&gt;AN$1465,"",(tech_base!$J38/tech_proj!AN162*0.086*$N$110)/(1-tech_proj!AN442))</f>
        <v>0</v>
      </c>
      <c r="AO1502" s="119">
        <f>IF(tech_base!$T38&gt;AO$1465,"",(tech_base!$J38/tech_proj!AO162*0.086*$N$110)/(1-tech_proj!AO442))</f>
        <v>0</v>
      </c>
      <c r="AP1502" s="119">
        <f>IF(tech_base!$T38&gt;AP$1465,"",(tech_base!$J38/tech_proj!AP162*0.086*$N$110)/(1-tech_proj!AP442))</f>
        <v>0</v>
      </c>
      <c r="AQ1502" s="119">
        <f>IF(tech_base!$T38&gt;AQ$1465,"",(tech_base!$J38/tech_proj!AQ162*0.086*$N$110)/(1-tech_proj!AQ442))</f>
        <v>0</v>
      </c>
      <c r="AR1502" s="119">
        <f>IF(tech_base!$T38&gt;AR$1465,"",(tech_base!$J38/tech_proj!AR162*0.086*$N$110)/(1-tech_proj!AR442))</f>
        <v>0</v>
      </c>
      <c r="AS1502" s="119">
        <f>IF(tech_base!$T38&gt;AS$1465,"",(tech_base!$J38/tech_proj!AS162*0.086*$N$110)/(1-tech_proj!AS442))</f>
        <v>0</v>
      </c>
      <c r="AT1502" s="119">
        <f>IF(tech_base!$T38&gt;AT$1465,"",(tech_base!$J38/tech_proj!AT162*0.086*$N$110)/(1-tech_proj!AT442))</f>
        <v>0</v>
      </c>
      <c r="AU1502" s="119">
        <f>IF(tech_base!$T38&gt;AU$1465,"",(tech_base!$J38/tech_proj!AU162*0.086*$N$110)/(1-tech_proj!AU442))</f>
        <v>0</v>
      </c>
      <c r="AV1502" s="119">
        <f>IF(tech_base!$T38&gt;AV$1465,"",(tech_base!$J38/tech_proj!AV162*0.086*$N$110)/(1-tech_proj!AV442))</f>
        <v>0</v>
      </c>
      <c r="AW1502" s="119">
        <f>IF(tech_base!$T38&gt;AW$1465,"",(tech_base!$J38/tech_proj!AW162*0.086*$N$110)/(1-tech_proj!AW442))</f>
        <v>0</v>
      </c>
      <c r="AX1502" s="120">
        <f>IF(tech_base!$T38&gt;AX$1465,"",(tech_base!$J38/tech_proj!AX162*0.086*$N$110)/(1-tech_proj!AX442))</f>
        <v>0</v>
      </c>
    </row>
    <row r="1503" spans="1:50" x14ac:dyDescent="0.25">
      <c r="A1503" s="356"/>
      <c r="B1503" s="376"/>
      <c r="C1503" s="361" t="s">
        <v>14</v>
      </c>
      <c r="D1503" s="58" t="s">
        <v>7</v>
      </c>
      <c r="E1503" s="164" t="str">
        <f>A1473&amp;"/"&amp;B1499&amp;"/"&amp;C1503&amp;"/"&amp;D1503</f>
        <v>Coal fired power plants/Steam turbine/CHP/L</v>
      </c>
      <c r="F1503" s="78" t="str">
        <f>A1473</f>
        <v>Coal fired power plants</v>
      </c>
      <c r="G1503" s="78" t="str">
        <f>B1499</f>
        <v>Steam turbine</v>
      </c>
      <c r="H1503" s="78" t="str">
        <f>C1503</f>
        <v>CHP</v>
      </c>
      <c r="I1503" s="165" t="str">
        <f t="shared" si="377"/>
        <v>L</v>
      </c>
      <c r="J1503" s="123">
        <f>IF(tech_base!$T39&gt;J$1465,"",(tech_base!$J39/tech_proj!J163*0.086*$N$110)/(1-tech_proj!J443))</f>
        <v>0</v>
      </c>
      <c r="K1503" s="123">
        <f>IF(tech_base!$T39&gt;K$1465,"",(tech_base!$J39/tech_proj!K163*0.086*$N$110)/(1-tech_proj!K443))</f>
        <v>0</v>
      </c>
      <c r="L1503" s="123">
        <f>IF(tech_base!$T39&gt;L$1465,"",(tech_base!$J39/tech_proj!L163*0.086*$N$110)/(1-tech_proj!L443))</f>
        <v>0</v>
      </c>
      <c r="M1503" s="123">
        <f>IF(tech_base!$T39&gt;M$1465,"",(tech_base!$J39/tech_proj!M163*0.086*$N$110)/(1-tech_proj!M443))</f>
        <v>0</v>
      </c>
      <c r="N1503" s="123">
        <f>IF(tech_base!$T39&gt;N$1465,"",(tech_base!$J39/tech_proj!N163*0.086*$N$110)/(1-tech_proj!N443))</f>
        <v>0</v>
      </c>
      <c r="O1503" s="123">
        <f>IF(tech_base!$T39&gt;O$1465,"",(tech_base!$J39/tech_proj!O163*0.086*$N$110)/(1-tech_proj!O443))</f>
        <v>0</v>
      </c>
      <c r="P1503" s="123">
        <f>IF(tech_base!$T39&gt;P$1465,"",(tech_base!$J39/tech_proj!P163*0.086*$N$110)/(1-tech_proj!P443))</f>
        <v>0</v>
      </c>
      <c r="Q1503" s="123">
        <f>IF(tech_base!$T39&gt;Q$1465,"",(tech_base!$J39/tech_proj!Q163*0.086*$N$110)/(1-tech_proj!Q443))</f>
        <v>0</v>
      </c>
      <c r="R1503" s="123">
        <f>IF(tech_base!$T39&gt;R$1465,"",(tech_base!$J39/tech_proj!R163*0.086*$N$110)/(1-tech_proj!R443))</f>
        <v>0</v>
      </c>
      <c r="S1503" s="123">
        <f>IF(tech_base!$T39&gt;S$1465,"",(tech_base!$J39/tech_proj!S163*0.086*$N$110)/(1-tech_proj!S443))</f>
        <v>0</v>
      </c>
      <c r="T1503" s="123">
        <f>IF(tech_base!$T39&gt;T$1465,"",(tech_base!$J39/tech_proj!T163*0.086*$N$110)/(1-tech_proj!T443))</f>
        <v>0</v>
      </c>
      <c r="U1503" s="123">
        <f>IF(tech_base!$T39&gt;U$1465,"",(tech_base!$J39/tech_proj!U163*0.086*$N$110)/(1-tech_proj!U443))</f>
        <v>0</v>
      </c>
      <c r="V1503" s="123">
        <f>IF(tech_base!$T39&gt;V$1465,"",(tech_base!$J39/tech_proj!V163*0.086*$N$110)/(1-tech_proj!V443))</f>
        <v>0</v>
      </c>
      <c r="W1503" s="123">
        <f>IF(tech_base!$T39&gt;W$1465,"",(tech_base!$J39/tech_proj!W163*0.086*$N$110)/(1-tech_proj!W443))</f>
        <v>0</v>
      </c>
      <c r="X1503" s="123">
        <f>IF(tech_base!$T39&gt;X$1465,"",(tech_base!$J39/tech_proj!X163*0.086*$N$110)/(1-tech_proj!X443))</f>
        <v>0</v>
      </c>
      <c r="Y1503" s="123">
        <f>IF(tech_base!$T39&gt;Y$1465,"",(tech_base!$J39/tech_proj!Y163*0.086*$N$110)/(1-tech_proj!Y443))</f>
        <v>0</v>
      </c>
      <c r="Z1503" s="123">
        <f>IF(tech_base!$T39&gt;Z$1465,"",(tech_base!$J39/tech_proj!Z163*0.086*$N$110)/(1-tech_proj!Z443))</f>
        <v>0</v>
      </c>
      <c r="AA1503" s="123">
        <f>IF(tech_base!$T39&gt;AA$1465,"",(tech_base!$J39/tech_proj!AA163*0.086*$N$110)/(1-tech_proj!AA443))</f>
        <v>0</v>
      </c>
      <c r="AB1503" s="123">
        <f>IF(tech_base!$T39&gt;AB$1465,"",(tech_base!$J39/tech_proj!AB163*0.086*$N$110)/(1-tech_proj!AB443))</f>
        <v>0</v>
      </c>
      <c r="AC1503" s="123">
        <f>IF(tech_base!$T39&gt;AC$1465,"",(tech_base!$J39/tech_proj!AC163*0.086*$N$110)/(1-tech_proj!AC443))</f>
        <v>0</v>
      </c>
      <c r="AD1503" s="123">
        <f>IF(tech_base!$T39&gt;AD$1465,"",(tech_base!$J39/tech_proj!AD163*0.086*$N$110)/(1-tech_proj!AD443))</f>
        <v>0</v>
      </c>
      <c r="AE1503" s="123">
        <f>IF(tech_base!$T39&gt;AE$1465,"",(tech_base!$J39/tech_proj!AE163*0.086*$N$110)/(1-tech_proj!AE443))</f>
        <v>0</v>
      </c>
      <c r="AF1503" s="123">
        <f>IF(tech_base!$T39&gt;AF$1465,"",(tech_base!$J39/tech_proj!AF163*0.086*$N$110)/(1-tech_proj!AF443))</f>
        <v>0</v>
      </c>
      <c r="AG1503" s="123">
        <f>IF(tech_base!$T39&gt;AG$1465,"",(tech_base!$J39/tech_proj!AG163*0.086*$N$110)/(1-tech_proj!AG443))</f>
        <v>0</v>
      </c>
      <c r="AH1503" s="123">
        <f>IF(tech_base!$T39&gt;AH$1465,"",(tech_base!$J39/tech_proj!AH163*0.086*$N$110)/(1-tech_proj!AH443))</f>
        <v>0</v>
      </c>
      <c r="AI1503" s="123">
        <f>IF(tech_base!$T39&gt;AI$1465,"",(tech_base!$J39/tech_proj!AI163*0.086*$N$110)/(1-tech_proj!AI443))</f>
        <v>0</v>
      </c>
      <c r="AJ1503" s="123">
        <f>IF(tech_base!$T39&gt;AJ$1465,"",(tech_base!$J39/tech_proj!AJ163*0.086*$N$110)/(1-tech_proj!AJ443))</f>
        <v>0</v>
      </c>
      <c r="AK1503" s="123">
        <f>IF(tech_base!$T39&gt;AK$1465,"",(tech_base!$J39/tech_proj!AK163*0.086*$N$110)/(1-tech_proj!AK443))</f>
        <v>0</v>
      </c>
      <c r="AL1503" s="123">
        <f>IF(tech_base!$T39&gt;AL$1465,"",(tech_base!$J39/tech_proj!AL163*0.086*$N$110)/(1-tech_proj!AL443))</f>
        <v>0</v>
      </c>
      <c r="AM1503" s="123">
        <f>IF(tech_base!$T39&gt;AM$1465,"",(tech_base!$J39/tech_proj!AM163*0.086*$N$110)/(1-tech_proj!AM443))</f>
        <v>0</v>
      </c>
      <c r="AN1503" s="123">
        <f>IF(tech_base!$T39&gt;AN$1465,"",(tech_base!$J39/tech_proj!AN163*0.086*$N$110)/(1-tech_proj!AN443))</f>
        <v>0</v>
      </c>
      <c r="AO1503" s="123">
        <f>IF(tech_base!$T39&gt;AO$1465,"",(tech_base!$J39/tech_proj!AO163*0.086*$N$110)/(1-tech_proj!AO443))</f>
        <v>0</v>
      </c>
      <c r="AP1503" s="123">
        <f>IF(tech_base!$T39&gt;AP$1465,"",(tech_base!$J39/tech_proj!AP163*0.086*$N$110)/(1-tech_proj!AP443))</f>
        <v>0</v>
      </c>
      <c r="AQ1503" s="123">
        <f>IF(tech_base!$T39&gt;AQ$1465,"",(tech_base!$J39/tech_proj!AQ163*0.086*$N$110)/(1-tech_proj!AQ443))</f>
        <v>0</v>
      </c>
      <c r="AR1503" s="123">
        <f>IF(tech_base!$T39&gt;AR$1465,"",(tech_base!$J39/tech_proj!AR163*0.086*$N$110)/(1-tech_proj!AR443))</f>
        <v>0</v>
      </c>
      <c r="AS1503" s="123">
        <f>IF(tech_base!$T39&gt;AS$1465,"",(tech_base!$J39/tech_proj!AS163*0.086*$N$110)/(1-tech_proj!AS443))</f>
        <v>0</v>
      </c>
      <c r="AT1503" s="123">
        <f>IF(tech_base!$T39&gt;AT$1465,"",(tech_base!$J39/tech_proj!AT163*0.086*$N$110)/(1-tech_proj!AT443))</f>
        <v>0</v>
      </c>
      <c r="AU1503" s="123">
        <f>IF(tech_base!$T39&gt;AU$1465,"",(tech_base!$J39/tech_proj!AU163*0.086*$N$110)/(1-tech_proj!AU443))</f>
        <v>0</v>
      </c>
      <c r="AV1503" s="123">
        <f>IF(tech_base!$T39&gt;AV$1465,"",(tech_base!$J39/tech_proj!AV163*0.086*$N$110)/(1-tech_proj!AV443))</f>
        <v>0</v>
      </c>
      <c r="AW1503" s="123">
        <f>IF(tech_base!$T39&gt;AW$1465,"",(tech_base!$J39/tech_proj!AW163*0.086*$N$110)/(1-tech_proj!AW443))</f>
        <v>0</v>
      </c>
      <c r="AX1503" s="124">
        <f>IF(tech_base!$T39&gt;AX$1465,"",(tech_base!$J39/tech_proj!AX163*0.086*$N$110)/(1-tech_proj!AX443))</f>
        <v>0</v>
      </c>
    </row>
    <row r="1504" spans="1:50" x14ac:dyDescent="0.25">
      <c r="A1504" s="356"/>
      <c r="B1504" s="376"/>
      <c r="C1504" s="378"/>
      <c r="D1504" s="2" t="s">
        <v>8</v>
      </c>
      <c r="E1504" s="160" t="str">
        <f>A1473&amp;"/"&amp;B1499&amp;"/"&amp;C1503&amp;"/"&amp;D1504</f>
        <v>Coal fired power plants/Steam turbine/CHP/M</v>
      </c>
      <c r="F1504" s="76" t="str">
        <f>A1473</f>
        <v>Coal fired power plants</v>
      </c>
      <c r="G1504" s="76" t="str">
        <f>B1499</f>
        <v>Steam turbine</v>
      </c>
      <c r="H1504" s="76" t="str">
        <f>C1503</f>
        <v>CHP</v>
      </c>
      <c r="I1504" s="161" t="str">
        <f t="shared" si="377"/>
        <v>M</v>
      </c>
      <c r="J1504" s="119">
        <f>IF(tech_base!$T40&gt;J$1465,"",(tech_base!$J40/tech_proj!J164*0.086*$N$110)/(1-tech_proj!J444))</f>
        <v>0</v>
      </c>
      <c r="K1504" s="119">
        <f>IF(tech_base!$T40&gt;K$1465,"",(tech_base!$J40/tech_proj!K164*0.086*$N$110)/(1-tech_proj!K444))</f>
        <v>0</v>
      </c>
      <c r="L1504" s="119">
        <f>IF(tech_base!$T40&gt;L$1465,"",(tech_base!$J40/tech_proj!L164*0.086*$N$110)/(1-tech_proj!L444))</f>
        <v>0</v>
      </c>
      <c r="M1504" s="119">
        <f>IF(tech_base!$T40&gt;M$1465,"",(tech_base!$J40/tech_proj!M164*0.086*$N$110)/(1-tech_proj!M444))</f>
        <v>0</v>
      </c>
      <c r="N1504" s="119">
        <f>IF(tech_base!$T40&gt;N$1465,"",(tech_base!$J40/tech_proj!N164*0.086*$N$110)/(1-tech_proj!N444))</f>
        <v>0</v>
      </c>
      <c r="O1504" s="119">
        <f>IF(tech_base!$T40&gt;O$1465,"",(tech_base!$J40/tech_proj!O164*0.086*$N$110)/(1-tech_proj!O444))</f>
        <v>0</v>
      </c>
      <c r="P1504" s="119">
        <f>IF(tech_base!$T40&gt;P$1465,"",(tech_base!$J40/tech_proj!P164*0.086*$N$110)/(1-tech_proj!P444))</f>
        <v>0</v>
      </c>
      <c r="Q1504" s="119">
        <f>IF(tech_base!$T40&gt;Q$1465,"",(tech_base!$J40/tech_proj!Q164*0.086*$N$110)/(1-tech_proj!Q444))</f>
        <v>0</v>
      </c>
      <c r="R1504" s="119">
        <f>IF(tech_base!$T40&gt;R$1465,"",(tech_base!$J40/tech_proj!R164*0.086*$N$110)/(1-tech_proj!R444))</f>
        <v>0</v>
      </c>
      <c r="S1504" s="119">
        <f>IF(tech_base!$T40&gt;S$1465,"",(tech_base!$J40/tech_proj!S164*0.086*$N$110)/(1-tech_proj!S444))</f>
        <v>0</v>
      </c>
      <c r="T1504" s="119">
        <f>IF(tech_base!$T40&gt;T$1465,"",(tech_base!$J40/tech_proj!T164*0.086*$N$110)/(1-tech_proj!T444))</f>
        <v>0</v>
      </c>
      <c r="U1504" s="119">
        <f>IF(tech_base!$T40&gt;U$1465,"",(tech_base!$J40/tech_proj!U164*0.086*$N$110)/(1-tech_proj!U444))</f>
        <v>0</v>
      </c>
      <c r="V1504" s="119">
        <f>IF(tech_base!$T40&gt;V$1465,"",(tech_base!$J40/tech_proj!V164*0.086*$N$110)/(1-tech_proj!V444))</f>
        <v>0</v>
      </c>
      <c r="W1504" s="119">
        <f>IF(tech_base!$T40&gt;W$1465,"",(tech_base!$J40/tech_proj!W164*0.086*$N$110)/(1-tech_proj!W444))</f>
        <v>0</v>
      </c>
      <c r="X1504" s="119">
        <f>IF(tech_base!$T40&gt;X$1465,"",(tech_base!$J40/tech_proj!X164*0.086*$N$110)/(1-tech_proj!X444))</f>
        <v>0</v>
      </c>
      <c r="Y1504" s="119">
        <f>IF(tech_base!$T40&gt;Y$1465,"",(tech_base!$J40/tech_proj!Y164*0.086*$N$110)/(1-tech_proj!Y444))</f>
        <v>0</v>
      </c>
      <c r="Z1504" s="119">
        <f>IF(tech_base!$T40&gt;Z$1465,"",(tech_base!$J40/tech_proj!Z164*0.086*$N$110)/(1-tech_proj!Z444))</f>
        <v>0</v>
      </c>
      <c r="AA1504" s="119">
        <f>IF(tech_base!$T40&gt;AA$1465,"",(tech_base!$J40/tech_proj!AA164*0.086*$N$110)/(1-tech_proj!AA444))</f>
        <v>0</v>
      </c>
      <c r="AB1504" s="119">
        <f>IF(tech_base!$T40&gt;AB$1465,"",(tech_base!$J40/tech_proj!AB164*0.086*$N$110)/(1-tech_proj!AB444))</f>
        <v>0</v>
      </c>
      <c r="AC1504" s="119">
        <f>IF(tech_base!$T40&gt;AC$1465,"",(tech_base!$J40/tech_proj!AC164*0.086*$N$110)/(1-tech_proj!AC444))</f>
        <v>0</v>
      </c>
      <c r="AD1504" s="119">
        <f>IF(tech_base!$T40&gt;AD$1465,"",(tech_base!$J40/tech_proj!AD164*0.086*$N$110)/(1-tech_proj!AD444))</f>
        <v>0</v>
      </c>
      <c r="AE1504" s="119">
        <f>IF(tech_base!$T40&gt;AE$1465,"",(tech_base!$J40/tech_proj!AE164*0.086*$N$110)/(1-tech_proj!AE444))</f>
        <v>0</v>
      </c>
      <c r="AF1504" s="119">
        <f>IF(tech_base!$T40&gt;AF$1465,"",(tech_base!$J40/tech_proj!AF164*0.086*$N$110)/(1-tech_proj!AF444))</f>
        <v>0</v>
      </c>
      <c r="AG1504" s="119">
        <f>IF(tech_base!$T40&gt;AG$1465,"",(tech_base!$J40/tech_proj!AG164*0.086*$N$110)/(1-tech_proj!AG444))</f>
        <v>0</v>
      </c>
      <c r="AH1504" s="119">
        <f>IF(tech_base!$T40&gt;AH$1465,"",(tech_base!$J40/tech_proj!AH164*0.086*$N$110)/(1-tech_proj!AH444))</f>
        <v>0</v>
      </c>
      <c r="AI1504" s="119">
        <f>IF(tech_base!$T40&gt;AI$1465,"",(tech_base!$J40/tech_proj!AI164*0.086*$N$110)/(1-tech_proj!AI444))</f>
        <v>0</v>
      </c>
      <c r="AJ1504" s="119">
        <f>IF(tech_base!$T40&gt;AJ$1465,"",(tech_base!$J40/tech_proj!AJ164*0.086*$N$110)/(1-tech_proj!AJ444))</f>
        <v>0</v>
      </c>
      <c r="AK1504" s="119">
        <f>IF(tech_base!$T40&gt;AK$1465,"",(tech_base!$J40/tech_proj!AK164*0.086*$N$110)/(1-tech_proj!AK444))</f>
        <v>0</v>
      </c>
      <c r="AL1504" s="119">
        <f>IF(tech_base!$T40&gt;AL$1465,"",(tech_base!$J40/tech_proj!AL164*0.086*$N$110)/(1-tech_proj!AL444))</f>
        <v>0</v>
      </c>
      <c r="AM1504" s="119">
        <f>IF(tech_base!$T40&gt;AM$1465,"",(tech_base!$J40/tech_proj!AM164*0.086*$N$110)/(1-tech_proj!AM444))</f>
        <v>0</v>
      </c>
      <c r="AN1504" s="119">
        <f>IF(tech_base!$T40&gt;AN$1465,"",(tech_base!$J40/tech_proj!AN164*0.086*$N$110)/(1-tech_proj!AN444))</f>
        <v>0</v>
      </c>
      <c r="AO1504" s="119">
        <f>IF(tech_base!$T40&gt;AO$1465,"",(tech_base!$J40/tech_proj!AO164*0.086*$N$110)/(1-tech_proj!AO444))</f>
        <v>0</v>
      </c>
      <c r="AP1504" s="119">
        <f>IF(tech_base!$T40&gt;AP$1465,"",(tech_base!$J40/tech_proj!AP164*0.086*$N$110)/(1-tech_proj!AP444))</f>
        <v>0</v>
      </c>
      <c r="AQ1504" s="119">
        <f>IF(tech_base!$T40&gt;AQ$1465,"",(tech_base!$J40/tech_proj!AQ164*0.086*$N$110)/(1-tech_proj!AQ444))</f>
        <v>0</v>
      </c>
      <c r="AR1504" s="119">
        <f>IF(tech_base!$T40&gt;AR$1465,"",(tech_base!$J40/tech_proj!AR164*0.086*$N$110)/(1-tech_proj!AR444))</f>
        <v>0</v>
      </c>
      <c r="AS1504" s="119">
        <f>IF(tech_base!$T40&gt;AS$1465,"",(tech_base!$J40/tech_proj!AS164*0.086*$N$110)/(1-tech_proj!AS444))</f>
        <v>0</v>
      </c>
      <c r="AT1504" s="119">
        <f>IF(tech_base!$T40&gt;AT$1465,"",(tech_base!$J40/tech_proj!AT164*0.086*$N$110)/(1-tech_proj!AT444))</f>
        <v>0</v>
      </c>
      <c r="AU1504" s="119">
        <f>IF(tech_base!$T40&gt;AU$1465,"",(tech_base!$J40/tech_proj!AU164*0.086*$N$110)/(1-tech_proj!AU444))</f>
        <v>0</v>
      </c>
      <c r="AV1504" s="119">
        <f>IF(tech_base!$T40&gt;AV$1465,"",(tech_base!$J40/tech_proj!AV164*0.086*$N$110)/(1-tech_proj!AV444))</f>
        <v>0</v>
      </c>
      <c r="AW1504" s="119">
        <f>IF(tech_base!$T40&gt;AW$1465,"",(tech_base!$J40/tech_proj!AW164*0.086*$N$110)/(1-tech_proj!AW444))</f>
        <v>0</v>
      </c>
      <c r="AX1504" s="120">
        <f>IF(tech_base!$T40&gt;AX$1465,"",(tech_base!$J40/tech_proj!AX164*0.086*$N$110)/(1-tech_proj!AX444))</f>
        <v>0</v>
      </c>
    </row>
    <row r="1505" spans="1:50" x14ac:dyDescent="0.25">
      <c r="A1505" s="356"/>
      <c r="B1505" s="376"/>
      <c r="C1505" s="378"/>
      <c r="D1505" s="2" t="s">
        <v>10</v>
      </c>
      <c r="E1505" s="160" t="str">
        <f>A1473&amp;"/"&amp;B1499&amp;"/"&amp;C1503&amp;"/"&amp;D1505</f>
        <v>Coal fired power plants/Steam turbine/CHP/S</v>
      </c>
      <c r="F1505" s="76" t="str">
        <f>A1473</f>
        <v>Coal fired power plants</v>
      </c>
      <c r="G1505" s="76" t="str">
        <f>B1499</f>
        <v>Steam turbine</v>
      </c>
      <c r="H1505" s="76" t="str">
        <f>C1503</f>
        <v>CHP</v>
      </c>
      <c r="I1505" s="161" t="str">
        <f t="shared" si="377"/>
        <v>S</v>
      </c>
      <c r="J1505" s="119">
        <f>IF(tech_base!$T41&gt;J$1465,"",(tech_base!$J41/tech_proj!J165*0.086*$N$110)/(1-tech_proj!J445))</f>
        <v>0</v>
      </c>
      <c r="K1505" s="119">
        <f>IF(tech_base!$T41&gt;K$1465,"",(tech_base!$J41/tech_proj!K165*0.086*$N$110)/(1-tech_proj!K445))</f>
        <v>0</v>
      </c>
      <c r="L1505" s="119">
        <f>IF(tech_base!$T41&gt;L$1465,"",(tech_base!$J41/tech_proj!L165*0.086*$N$110)/(1-tech_proj!L445))</f>
        <v>0</v>
      </c>
      <c r="M1505" s="119">
        <f>IF(tech_base!$T41&gt;M$1465,"",(tech_base!$J41/tech_proj!M165*0.086*$N$110)/(1-tech_proj!M445))</f>
        <v>0</v>
      </c>
      <c r="N1505" s="119">
        <f>IF(tech_base!$T41&gt;N$1465,"",(tech_base!$J41/tech_proj!N165*0.086*$N$110)/(1-tech_proj!N445))</f>
        <v>0</v>
      </c>
      <c r="O1505" s="119">
        <f>IF(tech_base!$T41&gt;O$1465,"",(tech_base!$J41/tech_proj!O165*0.086*$N$110)/(1-tech_proj!O445))</f>
        <v>0</v>
      </c>
      <c r="P1505" s="119">
        <f>IF(tech_base!$T41&gt;P$1465,"",(tech_base!$J41/tech_proj!P165*0.086*$N$110)/(1-tech_proj!P445))</f>
        <v>0</v>
      </c>
      <c r="Q1505" s="119">
        <f>IF(tech_base!$T41&gt;Q$1465,"",(tech_base!$J41/tech_proj!Q165*0.086*$N$110)/(1-tech_proj!Q445))</f>
        <v>0</v>
      </c>
      <c r="R1505" s="119">
        <f>IF(tech_base!$T41&gt;R$1465,"",(tech_base!$J41/tech_proj!R165*0.086*$N$110)/(1-tech_proj!R445))</f>
        <v>0</v>
      </c>
      <c r="S1505" s="119">
        <f>IF(tech_base!$T41&gt;S$1465,"",(tech_base!$J41/tech_proj!S165*0.086*$N$110)/(1-tech_proj!S445))</f>
        <v>0</v>
      </c>
      <c r="T1505" s="119">
        <f>IF(tech_base!$T41&gt;T$1465,"",(tech_base!$J41/tech_proj!T165*0.086*$N$110)/(1-tech_proj!T445))</f>
        <v>0</v>
      </c>
      <c r="U1505" s="119">
        <f>IF(tech_base!$T41&gt;U$1465,"",(tech_base!$J41/tech_proj!U165*0.086*$N$110)/(1-tech_proj!U445))</f>
        <v>0</v>
      </c>
      <c r="V1505" s="119">
        <f>IF(tech_base!$T41&gt;V$1465,"",(tech_base!$J41/tech_proj!V165*0.086*$N$110)/(1-tech_proj!V445))</f>
        <v>0</v>
      </c>
      <c r="W1505" s="119">
        <f>IF(tech_base!$T41&gt;W$1465,"",(tech_base!$J41/tech_proj!W165*0.086*$N$110)/(1-tech_proj!W445))</f>
        <v>0</v>
      </c>
      <c r="X1505" s="119">
        <f>IF(tech_base!$T41&gt;X$1465,"",(tech_base!$J41/tech_proj!X165*0.086*$N$110)/(1-tech_proj!X445))</f>
        <v>0</v>
      </c>
      <c r="Y1505" s="119">
        <f>IF(tech_base!$T41&gt;Y$1465,"",(tech_base!$J41/tech_proj!Y165*0.086*$N$110)/(1-tech_proj!Y445))</f>
        <v>0</v>
      </c>
      <c r="Z1505" s="119">
        <f>IF(tech_base!$T41&gt;Z$1465,"",(tech_base!$J41/tech_proj!Z165*0.086*$N$110)/(1-tech_proj!Z445))</f>
        <v>0</v>
      </c>
      <c r="AA1505" s="119">
        <f>IF(tech_base!$T41&gt;AA$1465,"",(tech_base!$J41/tech_proj!AA165*0.086*$N$110)/(1-tech_proj!AA445))</f>
        <v>0</v>
      </c>
      <c r="AB1505" s="119">
        <f>IF(tech_base!$T41&gt;AB$1465,"",(tech_base!$J41/tech_proj!AB165*0.086*$N$110)/(1-tech_proj!AB445))</f>
        <v>0</v>
      </c>
      <c r="AC1505" s="119">
        <f>IF(tech_base!$T41&gt;AC$1465,"",(tech_base!$J41/tech_proj!AC165*0.086*$N$110)/(1-tech_proj!AC445))</f>
        <v>0</v>
      </c>
      <c r="AD1505" s="119">
        <f>IF(tech_base!$T41&gt;AD$1465,"",(tech_base!$J41/tech_proj!AD165*0.086*$N$110)/(1-tech_proj!AD445))</f>
        <v>0</v>
      </c>
      <c r="AE1505" s="119">
        <f>IF(tech_base!$T41&gt;AE$1465,"",(tech_base!$J41/tech_proj!AE165*0.086*$N$110)/(1-tech_proj!AE445))</f>
        <v>0</v>
      </c>
      <c r="AF1505" s="119">
        <f>IF(tech_base!$T41&gt;AF$1465,"",(tech_base!$J41/tech_proj!AF165*0.086*$N$110)/(1-tech_proj!AF445))</f>
        <v>0</v>
      </c>
      <c r="AG1505" s="119">
        <f>IF(tech_base!$T41&gt;AG$1465,"",(tech_base!$J41/tech_proj!AG165*0.086*$N$110)/(1-tech_proj!AG445))</f>
        <v>0</v>
      </c>
      <c r="AH1505" s="119">
        <f>IF(tech_base!$T41&gt;AH$1465,"",(tech_base!$J41/tech_proj!AH165*0.086*$N$110)/(1-tech_proj!AH445))</f>
        <v>0</v>
      </c>
      <c r="AI1505" s="119">
        <f>IF(tech_base!$T41&gt;AI$1465,"",(tech_base!$J41/tech_proj!AI165*0.086*$N$110)/(1-tech_proj!AI445))</f>
        <v>0</v>
      </c>
      <c r="AJ1505" s="119">
        <f>IF(tech_base!$T41&gt;AJ$1465,"",(tech_base!$J41/tech_proj!AJ165*0.086*$N$110)/(1-tech_proj!AJ445))</f>
        <v>0</v>
      </c>
      <c r="AK1505" s="119">
        <f>IF(tech_base!$T41&gt;AK$1465,"",(tech_base!$J41/tech_proj!AK165*0.086*$N$110)/(1-tech_proj!AK445))</f>
        <v>0</v>
      </c>
      <c r="AL1505" s="119">
        <f>IF(tech_base!$T41&gt;AL$1465,"",(tech_base!$J41/tech_proj!AL165*0.086*$N$110)/(1-tech_proj!AL445))</f>
        <v>0</v>
      </c>
      <c r="AM1505" s="119">
        <f>IF(tech_base!$T41&gt;AM$1465,"",(tech_base!$J41/tech_proj!AM165*0.086*$N$110)/(1-tech_proj!AM445))</f>
        <v>0</v>
      </c>
      <c r="AN1505" s="119">
        <f>IF(tech_base!$T41&gt;AN$1465,"",(tech_base!$J41/tech_proj!AN165*0.086*$N$110)/(1-tech_proj!AN445))</f>
        <v>0</v>
      </c>
      <c r="AO1505" s="119">
        <f>IF(tech_base!$T41&gt;AO$1465,"",(tech_base!$J41/tech_proj!AO165*0.086*$N$110)/(1-tech_proj!AO445))</f>
        <v>0</v>
      </c>
      <c r="AP1505" s="119">
        <f>IF(tech_base!$T41&gt;AP$1465,"",(tech_base!$J41/tech_proj!AP165*0.086*$N$110)/(1-tech_proj!AP445))</f>
        <v>0</v>
      </c>
      <c r="AQ1505" s="119">
        <f>IF(tech_base!$T41&gt;AQ$1465,"",(tech_base!$J41/tech_proj!AQ165*0.086*$N$110)/(1-tech_proj!AQ445))</f>
        <v>0</v>
      </c>
      <c r="AR1505" s="119">
        <f>IF(tech_base!$T41&gt;AR$1465,"",(tech_base!$J41/tech_proj!AR165*0.086*$N$110)/(1-tech_proj!AR445))</f>
        <v>0</v>
      </c>
      <c r="AS1505" s="119">
        <f>IF(tech_base!$T41&gt;AS$1465,"",(tech_base!$J41/tech_proj!AS165*0.086*$N$110)/(1-tech_proj!AS445))</f>
        <v>0</v>
      </c>
      <c r="AT1505" s="119">
        <f>IF(tech_base!$T41&gt;AT$1465,"",(tech_base!$J41/tech_proj!AT165*0.086*$N$110)/(1-tech_proj!AT445))</f>
        <v>0</v>
      </c>
      <c r="AU1505" s="119">
        <f>IF(tech_base!$T41&gt;AU$1465,"",(tech_base!$J41/tech_proj!AU165*0.086*$N$110)/(1-tech_proj!AU445))</f>
        <v>0</v>
      </c>
      <c r="AV1505" s="119">
        <f>IF(tech_base!$T41&gt;AV$1465,"",(tech_base!$J41/tech_proj!AV165*0.086*$N$110)/(1-tech_proj!AV445))</f>
        <v>0</v>
      </c>
      <c r="AW1505" s="119">
        <f>IF(tech_base!$T41&gt;AW$1465,"",(tech_base!$J41/tech_proj!AW165*0.086*$N$110)/(1-tech_proj!AW445))</f>
        <v>0</v>
      </c>
      <c r="AX1505" s="120">
        <f>IF(tech_base!$T41&gt;AX$1465,"",(tech_base!$J41/tech_proj!AX165*0.086*$N$110)/(1-tech_proj!AX445))</f>
        <v>0</v>
      </c>
    </row>
    <row r="1506" spans="1:50" x14ac:dyDescent="0.25">
      <c r="A1506" s="356"/>
      <c r="B1506" s="376"/>
      <c r="C1506" s="379"/>
      <c r="D1506" s="59" t="s">
        <v>20</v>
      </c>
      <c r="E1506" s="166" t="str">
        <f>A1473&amp;"/"&amp;B1499&amp;"/"&amp;C1503&amp;"/"&amp;D1506</f>
        <v>Coal fired power plants/Steam turbine/CHP/XS</v>
      </c>
      <c r="F1506" s="79" t="str">
        <f>A1473</f>
        <v>Coal fired power plants</v>
      </c>
      <c r="G1506" s="79" t="str">
        <f>B1499</f>
        <v>Steam turbine</v>
      </c>
      <c r="H1506" s="79" t="str">
        <f>C1503</f>
        <v>CHP</v>
      </c>
      <c r="I1506" s="167" t="str">
        <f t="shared" si="377"/>
        <v>XS</v>
      </c>
      <c r="J1506" s="125">
        <f>IF(tech_base!$T42&gt;J$1465,"",(tech_base!$J42/tech_proj!J166*0.086*$N$110)/(1-tech_proj!J446))</f>
        <v>0</v>
      </c>
      <c r="K1506" s="125">
        <f>IF(tech_base!$T42&gt;K$1465,"",(tech_base!$J42/tech_proj!K166*0.086*$N$110)/(1-tech_proj!K446))</f>
        <v>0</v>
      </c>
      <c r="L1506" s="125">
        <f>IF(tech_base!$T42&gt;L$1465,"",(tech_base!$J42/tech_proj!L166*0.086*$N$110)/(1-tech_proj!L446))</f>
        <v>0</v>
      </c>
      <c r="M1506" s="125">
        <f>IF(tech_base!$T42&gt;M$1465,"",(tech_base!$J42/tech_proj!M166*0.086*$N$110)/(1-tech_proj!M446))</f>
        <v>0</v>
      </c>
      <c r="N1506" s="125">
        <f>IF(tech_base!$T42&gt;N$1465,"",(tech_base!$J42/tech_proj!N166*0.086*$N$110)/(1-tech_proj!N446))</f>
        <v>0</v>
      </c>
      <c r="O1506" s="125">
        <f>IF(tech_base!$T42&gt;O$1465,"",(tech_base!$J42/tech_proj!O166*0.086*$N$110)/(1-tech_proj!O446))</f>
        <v>0</v>
      </c>
      <c r="P1506" s="125">
        <f>IF(tech_base!$T42&gt;P$1465,"",(tech_base!$J42/tech_proj!P166*0.086*$N$110)/(1-tech_proj!P446))</f>
        <v>0</v>
      </c>
      <c r="Q1506" s="125">
        <f>IF(tech_base!$T42&gt;Q$1465,"",(tech_base!$J42/tech_proj!Q166*0.086*$N$110)/(1-tech_proj!Q446))</f>
        <v>0</v>
      </c>
      <c r="R1506" s="125">
        <f>IF(tech_base!$T42&gt;R$1465,"",(tech_base!$J42/tech_proj!R166*0.086*$N$110)/(1-tech_proj!R446))</f>
        <v>0</v>
      </c>
      <c r="S1506" s="125">
        <f>IF(tech_base!$T42&gt;S$1465,"",(tech_base!$J42/tech_proj!S166*0.086*$N$110)/(1-tech_proj!S446))</f>
        <v>0</v>
      </c>
      <c r="T1506" s="125">
        <f>IF(tech_base!$T42&gt;T$1465,"",(tech_base!$J42/tech_proj!T166*0.086*$N$110)/(1-tech_proj!T446))</f>
        <v>0</v>
      </c>
      <c r="U1506" s="125">
        <f>IF(tech_base!$T42&gt;U$1465,"",(tech_base!$J42/tech_proj!U166*0.086*$N$110)/(1-tech_proj!U446))</f>
        <v>0</v>
      </c>
      <c r="V1506" s="125">
        <f>IF(tech_base!$T42&gt;V$1465,"",(tech_base!$J42/tech_proj!V166*0.086*$N$110)/(1-tech_proj!V446))</f>
        <v>0</v>
      </c>
      <c r="W1506" s="125">
        <f>IF(tech_base!$T42&gt;W$1465,"",(tech_base!$J42/tech_proj!W166*0.086*$N$110)/(1-tech_proj!W446))</f>
        <v>0</v>
      </c>
      <c r="X1506" s="125">
        <f>IF(tech_base!$T42&gt;X$1465,"",(tech_base!$J42/tech_proj!X166*0.086*$N$110)/(1-tech_proj!X446))</f>
        <v>0</v>
      </c>
      <c r="Y1506" s="125">
        <f>IF(tech_base!$T42&gt;Y$1465,"",(tech_base!$J42/tech_proj!Y166*0.086*$N$110)/(1-tech_proj!Y446))</f>
        <v>0</v>
      </c>
      <c r="Z1506" s="125">
        <f>IF(tech_base!$T42&gt;Z$1465,"",(tech_base!$J42/tech_proj!Z166*0.086*$N$110)/(1-tech_proj!Z446))</f>
        <v>0</v>
      </c>
      <c r="AA1506" s="125">
        <f>IF(tech_base!$T42&gt;AA$1465,"",(tech_base!$J42/tech_proj!AA166*0.086*$N$110)/(1-tech_proj!AA446))</f>
        <v>0</v>
      </c>
      <c r="AB1506" s="125">
        <f>IF(tech_base!$T42&gt;AB$1465,"",(tech_base!$J42/tech_proj!AB166*0.086*$N$110)/(1-tech_proj!AB446))</f>
        <v>0</v>
      </c>
      <c r="AC1506" s="125">
        <f>IF(tech_base!$T42&gt;AC$1465,"",(tech_base!$J42/tech_proj!AC166*0.086*$N$110)/(1-tech_proj!AC446))</f>
        <v>0</v>
      </c>
      <c r="AD1506" s="125">
        <f>IF(tech_base!$T42&gt;AD$1465,"",(tech_base!$J42/tech_proj!AD166*0.086*$N$110)/(1-tech_proj!AD446))</f>
        <v>0</v>
      </c>
      <c r="AE1506" s="125">
        <f>IF(tech_base!$T42&gt;AE$1465,"",(tech_base!$J42/tech_proj!AE166*0.086*$N$110)/(1-tech_proj!AE446))</f>
        <v>0</v>
      </c>
      <c r="AF1506" s="125">
        <f>IF(tech_base!$T42&gt;AF$1465,"",(tech_base!$J42/tech_proj!AF166*0.086*$N$110)/(1-tech_proj!AF446))</f>
        <v>0</v>
      </c>
      <c r="AG1506" s="125">
        <f>IF(tech_base!$T42&gt;AG$1465,"",(tech_base!$J42/tech_proj!AG166*0.086*$N$110)/(1-tech_proj!AG446))</f>
        <v>0</v>
      </c>
      <c r="AH1506" s="125">
        <f>IF(tech_base!$T42&gt;AH$1465,"",(tech_base!$J42/tech_proj!AH166*0.086*$N$110)/(1-tech_proj!AH446))</f>
        <v>0</v>
      </c>
      <c r="AI1506" s="125">
        <f>IF(tech_base!$T42&gt;AI$1465,"",(tech_base!$J42/tech_proj!AI166*0.086*$N$110)/(1-tech_proj!AI446))</f>
        <v>0</v>
      </c>
      <c r="AJ1506" s="125">
        <f>IF(tech_base!$T42&gt;AJ$1465,"",(tech_base!$J42/tech_proj!AJ166*0.086*$N$110)/(1-tech_proj!AJ446))</f>
        <v>0</v>
      </c>
      <c r="AK1506" s="125">
        <f>IF(tech_base!$T42&gt;AK$1465,"",(tech_base!$J42/tech_proj!AK166*0.086*$N$110)/(1-tech_proj!AK446))</f>
        <v>0</v>
      </c>
      <c r="AL1506" s="125">
        <f>IF(tech_base!$T42&gt;AL$1465,"",(tech_base!$J42/tech_proj!AL166*0.086*$N$110)/(1-tech_proj!AL446))</f>
        <v>0</v>
      </c>
      <c r="AM1506" s="125">
        <f>IF(tech_base!$T42&gt;AM$1465,"",(tech_base!$J42/tech_proj!AM166*0.086*$N$110)/(1-tech_proj!AM446))</f>
        <v>0</v>
      </c>
      <c r="AN1506" s="125">
        <f>IF(tech_base!$T42&gt;AN$1465,"",(tech_base!$J42/tech_proj!AN166*0.086*$N$110)/(1-tech_proj!AN446))</f>
        <v>0</v>
      </c>
      <c r="AO1506" s="125">
        <f>IF(tech_base!$T42&gt;AO$1465,"",(tech_base!$J42/tech_proj!AO166*0.086*$N$110)/(1-tech_proj!AO446))</f>
        <v>0</v>
      </c>
      <c r="AP1506" s="125">
        <f>IF(tech_base!$T42&gt;AP$1465,"",(tech_base!$J42/tech_proj!AP166*0.086*$N$110)/(1-tech_proj!AP446))</f>
        <v>0</v>
      </c>
      <c r="AQ1506" s="125">
        <f>IF(tech_base!$T42&gt;AQ$1465,"",(tech_base!$J42/tech_proj!AQ166*0.086*$N$110)/(1-tech_proj!AQ446))</f>
        <v>0</v>
      </c>
      <c r="AR1506" s="125">
        <f>IF(tech_base!$T42&gt;AR$1465,"",(tech_base!$J42/tech_proj!AR166*0.086*$N$110)/(1-tech_proj!AR446))</f>
        <v>0</v>
      </c>
      <c r="AS1506" s="125">
        <f>IF(tech_base!$T42&gt;AS$1465,"",(tech_base!$J42/tech_proj!AS166*0.086*$N$110)/(1-tech_proj!AS446))</f>
        <v>0</v>
      </c>
      <c r="AT1506" s="125">
        <f>IF(tech_base!$T42&gt;AT$1465,"",(tech_base!$J42/tech_proj!AT166*0.086*$N$110)/(1-tech_proj!AT446))</f>
        <v>0</v>
      </c>
      <c r="AU1506" s="125">
        <f>IF(tech_base!$T42&gt;AU$1465,"",(tech_base!$J42/tech_proj!AU166*0.086*$N$110)/(1-tech_proj!AU446))</f>
        <v>0</v>
      </c>
      <c r="AV1506" s="125">
        <f>IF(tech_base!$T42&gt;AV$1465,"",(tech_base!$J42/tech_proj!AV166*0.086*$N$110)/(1-tech_proj!AV446))</f>
        <v>0</v>
      </c>
      <c r="AW1506" s="125">
        <f>IF(tech_base!$T42&gt;AW$1465,"",(tech_base!$J42/tech_proj!AW166*0.086*$N$110)/(1-tech_proj!AW446))</f>
        <v>0</v>
      </c>
      <c r="AX1506" s="126">
        <f>IF(tech_base!$T42&gt;AX$1465,"",(tech_base!$J42/tech_proj!AX166*0.086*$N$110)/(1-tech_proj!AX446))</f>
        <v>0</v>
      </c>
    </row>
    <row r="1507" spans="1:50" x14ac:dyDescent="0.25">
      <c r="A1507" s="356"/>
      <c r="B1507" s="376"/>
      <c r="C1507" s="361" t="s">
        <v>15</v>
      </c>
      <c r="D1507" s="58" t="s">
        <v>7</v>
      </c>
      <c r="E1507" s="164" t="str">
        <f>A1473&amp;"/"&amp;B1499&amp;"/"&amp;C1507&amp;"/"&amp;D1507</f>
        <v>Coal fired power plants/Steam turbine/Electricity only with CCS/L</v>
      </c>
      <c r="F1507" s="78" t="str">
        <f>A1473</f>
        <v>Coal fired power plants</v>
      </c>
      <c r="G1507" s="78" t="str">
        <f>B1499</f>
        <v>Steam turbine</v>
      </c>
      <c r="H1507" s="78" t="str">
        <f>C1507</f>
        <v>Electricity only with CCS</v>
      </c>
      <c r="I1507" s="165" t="str">
        <f t="shared" si="377"/>
        <v>L</v>
      </c>
      <c r="J1507" s="123" t="str">
        <f>IF(tech_base!$T43&gt;J$1465,"",(tech_base!$J43/tech_proj!J167*0.086*$N$110)/(1-tech_proj!J447))</f>
        <v/>
      </c>
      <c r="K1507" s="123" t="str">
        <f>IF(tech_base!$T43&gt;K$1465,"",(tech_base!$J43/tech_proj!K167*0.086*$N$110)/(1-tech_proj!K447))</f>
        <v/>
      </c>
      <c r="L1507" s="123" t="str">
        <f>IF(tech_base!$T43&gt;L$1465,"",(tech_base!$J43/tech_proj!L167*0.086*$N$110)/(1-tech_proj!L447))</f>
        <v/>
      </c>
      <c r="M1507" s="123" t="str">
        <f>IF(tech_base!$T43&gt;M$1465,"",(tech_base!$J43/tech_proj!M167*0.086*$N$110)/(1-tech_proj!M447))</f>
        <v/>
      </c>
      <c r="N1507" s="123" t="str">
        <f>IF(tech_base!$T43&gt;N$1465,"",(tech_base!$J43/tech_proj!N167*0.086*$N$110)/(1-tech_proj!N447))</f>
        <v/>
      </c>
      <c r="O1507" s="123" t="str">
        <f>IF(tech_base!$T43&gt;O$1465,"",(tech_base!$J43/tech_proj!O167*0.086*$N$110)/(1-tech_proj!O447))</f>
        <v/>
      </c>
      <c r="P1507" s="123" t="str">
        <f>IF(tech_base!$T43&gt;P$1465,"",(tech_base!$J43/tech_proj!P167*0.086*$N$110)/(1-tech_proj!P447))</f>
        <v/>
      </c>
      <c r="Q1507" s="123" t="str">
        <f>IF(tech_base!$T43&gt;Q$1465,"",(tech_base!$J43/tech_proj!Q167*0.086*$N$110)/(1-tech_proj!Q447))</f>
        <v/>
      </c>
      <c r="R1507" s="123" t="str">
        <f>IF(tech_base!$T43&gt;R$1465,"",(tech_base!$J43/tech_proj!R167*0.086*$N$110)/(1-tech_proj!R447))</f>
        <v/>
      </c>
      <c r="S1507" s="123" t="str">
        <f>IF(tech_base!$T43&gt;S$1465,"",(tech_base!$J43/tech_proj!S167*0.086*$N$110)/(1-tech_proj!S447))</f>
        <v/>
      </c>
      <c r="T1507" s="123" t="str">
        <f>IF(tech_base!$T43&gt;T$1465,"",(tech_base!$J43/tech_proj!T167*0.086*$N$110)/(1-tech_proj!T447))</f>
        <v/>
      </c>
      <c r="U1507" s="123" t="str">
        <f>IF(tech_base!$T43&gt;U$1465,"",(tech_base!$J43/tech_proj!U167*0.086*$N$110)/(1-tech_proj!U447))</f>
        <v/>
      </c>
      <c r="V1507" s="123" t="str">
        <f>IF(tech_base!$T43&gt;V$1465,"",(tech_base!$J43/tech_proj!V167*0.086*$N$110)/(1-tech_proj!V447))</f>
        <v/>
      </c>
      <c r="W1507" s="123" t="str">
        <f>IF(tech_base!$T43&gt;W$1465,"",(tech_base!$J43/tech_proj!W167*0.086*$N$110)/(1-tech_proj!W447))</f>
        <v/>
      </c>
      <c r="X1507" s="123" t="str">
        <f>IF(tech_base!$T43&gt;X$1465,"",(tech_base!$J43/tech_proj!X167*0.086*$N$110)/(1-tech_proj!X447))</f>
        <v/>
      </c>
      <c r="Y1507" s="123" t="str">
        <f>IF(tech_base!$T43&gt;Y$1465,"",(tech_base!$J43/tech_proj!Y167*0.086*$N$110)/(1-tech_proj!Y447))</f>
        <v/>
      </c>
      <c r="Z1507" s="123" t="str">
        <f>IF(tech_base!$T43&gt;Z$1465,"",(tech_base!$J43/tech_proj!Z167*0.086*$N$110)/(1-tech_proj!Z447))</f>
        <v/>
      </c>
      <c r="AA1507" s="123" t="str">
        <f>IF(tech_base!$T43&gt;AA$1465,"",(tech_base!$J43/tech_proj!AA167*0.086*$N$110)/(1-tech_proj!AA447))</f>
        <v/>
      </c>
      <c r="AB1507" s="123" t="str">
        <f>IF(tech_base!$T43&gt;AB$1465,"",(tech_base!$J43/tech_proj!AB167*0.086*$N$110)/(1-tech_proj!AB447))</f>
        <v/>
      </c>
      <c r="AC1507" s="123" t="str">
        <f>IF(tech_base!$T43&gt;AC$1465,"",(tech_base!$J43/tech_proj!AC167*0.086*$N$110)/(1-tech_proj!AC447))</f>
        <v/>
      </c>
      <c r="AD1507" s="123" t="str">
        <f>IF(tech_base!$T43&gt;AD$1465,"",(tech_base!$J43/tech_proj!AD167*0.086*$N$110)/(1-tech_proj!AD447))</f>
        <v/>
      </c>
      <c r="AE1507" s="123">
        <f>IF(tech_base!$T43&gt;AE$1465,"",(tech_base!$J43/tech_proj!AE167*0.086*$N$110)/(1-tech_proj!AE447))</f>
        <v>0</v>
      </c>
      <c r="AF1507" s="123">
        <f>IF(tech_base!$T43&gt;AF$1465,"",(tech_base!$J43/tech_proj!AF167*0.086*$N$110)/(1-tech_proj!AF447))</f>
        <v>0</v>
      </c>
      <c r="AG1507" s="123">
        <f>IF(tech_base!$T43&gt;AG$1465,"",(tech_base!$J43/tech_proj!AG167*0.086*$N$110)/(1-tech_proj!AG447))</f>
        <v>0</v>
      </c>
      <c r="AH1507" s="123">
        <f>IF(tech_base!$T43&gt;AH$1465,"",(tech_base!$J43/tech_proj!AH167*0.086*$N$110)/(1-tech_proj!AH447))</f>
        <v>0</v>
      </c>
      <c r="AI1507" s="123">
        <f>IF(tech_base!$T43&gt;AI$1465,"",(tech_base!$J43/tech_proj!AI167*0.086*$N$110)/(1-tech_proj!AI447))</f>
        <v>0</v>
      </c>
      <c r="AJ1507" s="123">
        <f>IF(tech_base!$T43&gt;AJ$1465,"",(tech_base!$J43/tech_proj!AJ167*0.086*$N$110)/(1-tech_proj!AJ447))</f>
        <v>0</v>
      </c>
      <c r="AK1507" s="123">
        <f>IF(tech_base!$T43&gt;AK$1465,"",(tech_base!$J43/tech_proj!AK167*0.086*$N$110)/(1-tech_proj!AK447))</f>
        <v>0</v>
      </c>
      <c r="AL1507" s="123">
        <f>IF(tech_base!$T43&gt;AL$1465,"",(tech_base!$J43/tech_proj!AL167*0.086*$N$110)/(1-tech_proj!AL447))</f>
        <v>0</v>
      </c>
      <c r="AM1507" s="123">
        <f>IF(tech_base!$T43&gt;AM$1465,"",(tech_base!$J43/tech_proj!AM167*0.086*$N$110)/(1-tech_proj!AM447))</f>
        <v>0</v>
      </c>
      <c r="AN1507" s="123">
        <f>IF(tech_base!$T43&gt;AN$1465,"",(tech_base!$J43/tech_proj!AN167*0.086*$N$110)/(1-tech_proj!AN447))</f>
        <v>0</v>
      </c>
      <c r="AO1507" s="123">
        <f>IF(tech_base!$T43&gt;AO$1465,"",(tech_base!$J43/tech_proj!AO167*0.086*$N$110)/(1-tech_proj!AO447))</f>
        <v>0</v>
      </c>
      <c r="AP1507" s="123">
        <f>IF(tech_base!$T43&gt;AP$1465,"",(tech_base!$J43/tech_proj!AP167*0.086*$N$110)/(1-tech_proj!AP447))</f>
        <v>0</v>
      </c>
      <c r="AQ1507" s="123">
        <f>IF(tech_base!$T43&gt;AQ$1465,"",(tech_base!$J43/tech_proj!AQ167*0.086*$N$110)/(1-tech_proj!AQ447))</f>
        <v>0</v>
      </c>
      <c r="AR1507" s="123">
        <f>IF(tech_base!$T43&gt;AR$1465,"",(tech_base!$J43/tech_proj!AR167*0.086*$N$110)/(1-tech_proj!AR447))</f>
        <v>0</v>
      </c>
      <c r="AS1507" s="123">
        <f>IF(tech_base!$T43&gt;AS$1465,"",(tech_base!$J43/tech_proj!AS167*0.086*$N$110)/(1-tech_proj!AS447))</f>
        <v>0</v>
      </c>
      <c r="AT1507" s="123">
        <f>IF(tech_base!$T43&gt;AT$1465,"",(tech_base!$J43/tech_proj!AT167*0.086*$N$110)/(1-tech_proj!AT447))</f>
        <v>0</v>
      </c>
      <c r="AU1507" s="123">
        <f>IF(tech_base!$T43&gt;AU$1465,"",(tech_base!$J43/tech_proj!AU167*0.086*$N$110)/(1-tech_proj!AU447))</f>
        <v>0</v>
      </c>
      <c r="AV1507" s="123">
        <f>IF(tech_base!$T43&gt;AV$1465,"",(tech_base!$J43/tech_proj!AV167*0.086*$N$110)/(1-tech_proj!AV447))</f>
        <v>0</v>
      </c>
      <c r="AW1507" s="123">
        <f>IF(tech_base!$T43&gt;AW$1465,"",(tech_base!$J43/tech_proj!AW167*0.086*$N$110)/(1-tech_proj!AW447))</f>
        <v>0</v>
      </c>
      <c r="AX1507" s="124">
        <f>IF(tech_base!$T43&gt;AX$1465,"",(tech_base!$J43/tech_proj!AX167*0.086*$N$110)/(1-tech_proj!AX447))</f>
        <v>0</v>
      </c>
    </row>
    <row r="1508" spans="1:50" x14ac:dyDescent="0.25">
      <c r="A1508" s="356"/>
      <c r="B1508" s="376"/>
      <c r="C1508" s="379"/>
      <c r="D1508" s="59" t="s">
        <v>8</v>
      </c>
      <c r="E1508" s="166" t="str">
        <f>A1473&amp;"/"&amp;B1499&amp;"/"&amp;C1507&amp;"/"&amp;D1508</f>
        <v>Coal fired power plants/Steam turbine/Electricity only with CCS/M</v>
      </c>
      <c r="F1508" s="79" t="str">
        <f>A1473</f>
        <v>Coal fired power plants</v>
      </c>
      <c r="G1508" s="79" t="str">
        <f>B1499</f>
        <v>Steam turbine</v>
      </c>
      <c r="H1508" s="79" t="str">
        <f>C1507</f>
        <v>Electricity only with CCS</v>
      </c>
      <c r="I1508" s="167" t="str">
        <f t="shared" si="377"/>
        <v>M</v>
      </c>
      <c r="J1508" s="125" t="str">
        <f>IF(tech_base!$T44&gt;J$1465,"",(tech_base!$J44/tech_proj!J168*0.086*$N$110)/(1-tech_proj!J448))</f>
        <v/>
      </c>
      <c r="K1508" s="125" t="str">
        <f>IF(tech_base!$T44&gt;K$1465,"",(tech_base!$J44/tech_proj!K168*0.086*$N$110)/(1-tech_proj!K448))</f>
        <v/>
      </c>
      <c r="L1508" s="125" t="str">
        <f>IF(tech_base!$T44&gt;L$1465,"",(tech_base!$J44/tech_proj!L168*0.086*$N$110)/(1-tech_proj!L448))</f>
        <v/>
      </c>
      <c r="M1508" s="125" t="str">
        <f>IF(tech_base!$T44&gt;M$1465,"",(tech_base!$J44/tech_proj!M168*0.086*$N$110)/(1-tech_proj!M448))</f>
        <v/>
      </c>
      <c r="N1508" s="125" t="str">
        <f>IF(tech_base!$T44&gt;N$1465,"",(tech_base!$J44/tech_proj!N168*0.086*$N$110)/(1-tech_proj!N448))</f>
        <v/>
      </c>
      <c r="O1508" s="125" t="str">
        <f>IF(tech_base!$T44&gt;O$1465,"",(tech_base!$J44/tech_proj!O168*0.086*$N$110)/(1-tech_proj!O448))</f>
        <v/>
      </c>
      <c r="P1508" s="125" t="str">
        <f>IF(tech_base!$T44&gt;P$1465,"",(tech_base!$J44/tech_proj!P168*0.086*$N$110)/(1-tech_proj!P448))</f>
        <v/>
      </c>
      <c r="Q1508" s="125" t="str">
        <f>IF(tech_base!$T44&gt;Q$1465,"",(tech_base!$J44/tech_proj!Q168*0.086*$N$110)/(1-tech_proj!Q448))</f>
        <v/>
      </c>
      <c r="R1508" s="125" t="str">
        <f>IF(tech_base!$T44&gt;R$1465,"",(tech_base!$J44/tech_proj!R168*0.086*$N$110)/(1-tech_proj!R448))</f>
        <v/>
      </c>
      <c r="S1508" s="125" t="str">
        <f>IF(tech_base!$T44&gt;S$1465,"",(tech_base!$J44/tech_proj!S168*0.086*$N$110)/(1-tech_proj!S448))</f>
        <v/>
      </c>
      <c r="T1508" s="125" t="str">
        <f>IF(tech_base!$T44&gt;T$1465,"",(tech_base!$J44/tech_proj!T168*0.086*$N$110)/(1-tech_proj!T448))</f>
        <v/>
      </c>
      <c r="U1508" s="125" t="str">
        <f>IF(tech_base!$T44&gt;U$1465,"",(tech_base!$J44/tech_proj!U168*0.086*$N$110)/(1-tech_proj!U448))</f>
        <v/>
      </c>
      <c r="V1508" s="125" t="str">
        <f>IF(tech_base!$T44&gt;V$1465,"",(tech_base!$J44/tech_proj!V168*0.086*$N$110)/(1-tech_proj!V448))</f>
        <v/>
      </c>
      <c r="W1508" s="125" t="str">
        <f>IF(tech_base!$T44&gt;W$1465,"",(tech_base!$J44/tech_proj!W168*0.086*$N$110)/(1-tech_proj!W448))</f>
        <v/>
      </c>
      <c r="X1508" s="125" t="str">
        <f>IF(tech_base!$T44&gt;X$1465,"",(tech_base!$J44/tech_proj!X168*0.086*$N$110)/(1-tech_proj!X448))</f>
        <v/>
      </c>
      <c r="Y1508" s="125" t="str">
        <f>IF(tech_base!$T44&gt;Y$1465,"",(tech_base!$J44/tech_proj!Y168*0.086*$N$110)/(1-tech_proj!Y448))</f>
        <v/>
      </c>
      <c r="Z1508" s="125" t="str">
        <f>IF(tech_base!$T44&gt;Z$1465,"",(tech_base!$J44/tech_proj!Z168*0.086*$N$110)/(1-tech_proj!Z448))</f>
        <v/>
      </c>
      <c r="AA1508" s="125" t="str">
        <f>IF(tech_base!$T44&gt;AA$1465,"",(tech_base!$J44/tech_proj!AA168*0.086*$N$110)/(1-tech_proj!AA448))</f>
        <v/>
      </c>
      <c r="AB1508" s="125" t="str">
        <f>IF(tech_base!$T44&gt;AB$1465,"",(tech_base!$J44/tech_proj!AB168*0.086*$N$110)/(1-tech_proj!AB448))</f>
        <v/>
      </c>
      <c r="AC1508" s="125" t="str">
        <f>IF(tech_base!$T44&gt;AC$1465,"",(tech_base!$J44/tech_proj!AC168*0.086*$N$110)/(1-tech_proj!AC448))</f>
        <v/>
      </c>
      <c r="AD1508" s="125" t="str">
        <f>IF(tech_base!$T44&gt;AD$1465,"",(tech_base!$J44/tech_proj!AD168*0.086*$N$110)/(1-tech_proj!AD448))</f>
        <v/>
      </c>
      <c r="AE1508" s="125">
        <f>IF(tech_base!$T44&gt;AE$1465,"",(tech_base!$J44/tech_proj!AE168*0.086*$N$110)/(1-tech_proj!AE448))</f>
        <v>0</v>
      </c>
      <c r="AF1508" s="125">
        <f>IF(tech_base!$T44&gt;AF$1465,"",(tech_base!$J44/tech_proj!AF168*0.086*$N$110)/(1-tech_proj!AF448))</f>
        <v>0</v>
      </c>
      <c r="AG1508" s="125">
        <f>IF(tech_base!$T44&gt;AG$1465,"",(tech_base!$J44/tech_proj!AG168*0.086*$N$110)/(1-tech_proj!AG448))</f>
        <v>0</v>
      </c>
      <c r="AH1508" s="125">
        <f>IF(tech_base!$T44&gt;AH$1465,"",(tech_base!$J44/tech_proj!AH168*0.086*$N$110)/(1-tech_proj!AH448))</f>
        <v>0</v>
      </c>
      <c r="AI1508" s="125">
        <f>IF(tech_base!$T44&gt;AI$1465,"",(tech_base!$J44/tech_proj!AI168*0.086*$N$110)/(1-tech_proj!AI448))</f>
        <v>0</v>
      </c>
      <c r="AJ1508" s="125">
        <f>IF(tech_base!$T44&gt;AJ$1465,"",(tech_base!$J44/tech_proj!AJ168*0.086*$N$110)/(1-tech_proj!AJ448))</f>
        <v>0</v>
      </c>
      <c r="AK1508" s="125">
        <f>IF(tech_base!$T44&gt;AK$1465,"",(tech_base!$J44/tech_proj!AK168*0.086*$N$110)/(1-tech_proj!AK448))</f>
        <v>0</v>
      </c>
      <c r="AL1508" s="125">
        <f>IF(tech_base!$T44&gt;AL$1465,"",(tech_base!$J44/tech_proj!AL168*0.086*$N$110)/(1-tech_proj!AL448))</f>
        <v>0</v>
      </c>
      <c r="AM1508" s="125">
        <f>IF(tech_base!$T44&gt;AM$1465,"",(tech_base!$J44/tech_proj!AM168*0.086*$N$110)/(1-tech_proj!AM448))</f>
        <v>0</v>
      </c>
      <c r="AN1508" s="125">
        <f>IF(tech_base!$T44&gt;AN$1465,"",(tech_base!$J44/tech_proj!AN168*0.086*$N$110)/(1-tech_proj!AN448))</f>
        <v>0</v>
      </c>
      <c r="AO1508" s="125">
        <f>IF(tech_base!$T44&gt;AO$1465,"",(tech_base!$J44/tech_proj!AO168*0.086*$N$110)/(1-tech_proj!AO448))</f>
        <v>0</v>
      </c>
      <c r="AP1508" s="125">
        <f>IF(tech_base!$T44&gt;AP$1465,"",(tech_base!$J44/tech_proj!AP168*0.086*$N$110)/(1-tech_proj!AP448))</f>
        <v>0</v>
      </c>
      <c r="AQ1508" s="125">
        <f>IF(tech_base!$T44&gt;AQ$1465,"",(tech_base!$J44/tech_proj!AQ168*0.086*$N$110)/(1-tech_proj!AQ448))</f>
        <v>0</v>
      </c>
      <c r="AR1508" s="125">
        <f>IF(tech_base!$T44&gt;AR$1465,"",(tech_base!$J44/tech_proj!AR168*0.086*$N$110)/(1-tech_proj!AR448))</f>
        <v>0</v>
      </c>
      <c r="AS1508" s="125">
        <f>IF(tech_base!$T44&gt;AS$1465,"",(tech_base!$J44/tech_proj!AS168*0.086*$N$110)/(1-tech_proj!AS448))</f>
        <v>0</v>
      </c>
      <c r="AT1508" s="125">
        <f>IF(tech_base!$T44&gt;AT$1465,"",(tech_base!$J44/tech_proj!AT168*0.086*$N$110)/(1-tech_proj!AT448))</f>
        <v>0</v>
      </c>
      <c r="AU1508" s="125">
        <f>IF(tech_base!$T44&gt;AU$1465,"",(tech_base!$J44/tech_proj!AU168*0.086*$N$110)/(1-tech_proj!AU448))</f>
        <v>0</v>
      </c>
      <c r="AV1508" s="125">
        <f>IF(tech_base!$T44&gt;AV$1465,"",(tech_base!$J44/tech_proj!AV168*0.086*$N$110)/(1-tech_proj!AV448))</f>
        <v>0</v>
      </c>
      <c r="AW1508" s="125">
        <f>IF(tech_base!$T44&gt;AW$1465,"",(tech_base!$J44/tech_proj!AW168*0.086*$N$110)/(1-tech_proj!AW448))</f>
        <v>0</v>
      </c>
      <c r="AX1508" s="126">
        <f>IF(tech_base!$T44&gt;AX$1465,"",(tech_base!$J44/tech_proj!AX168*0.086*$N$110)/(1-tech_proj!AX448))</f>
        <v>0</v>
      </c>
    </row>
    <row r="1509" spans="1:50" x14ac:dyDescent="0.25">
      <c r="A1509" s="356"/>
      <c r="B1509" s="376"/>
      <c r="C1509" s="361" t="s">
        <v>16</v>
      </c>
      <c r="D1509" s="2" t="s">
        <v>7</v>
      </c>
      <c r="E1509" s="160" t="str">
        <f>A1473&amp;"/"&amp;B1499&amp;"/"&amp;C1509&amp;"/"&amp;D1509</f>
        <v>Coal fired power plants/Steam turbine/CHP with CCS/L</v>
      </c>
      <c r="F1509" s="76" t="str">
        <f>A1473</f>
        <v>Coal fired power plants</v>
      </c>
      <c r="G1509" s="76" t="str">
        <f>B1499</f>
        <v>Steam turbine</v>
      </c>
      <c r="H1509" s="76" t="str">
        <f>C1509</f>
        <v>CHP with CCS</v>
      </c>
      <c r="I1509" s="161" t="str">
        <f t="shared" si="377"/>
        <v>L</v>
      </c>
      <c r="J1509" s="119" t="str">
        <f>IF(tech_base!$T45&gt;J$1465,"",(tech_base!$J45/tech_proj!J169*0.086*$N$110)/(1-tech_proj!J449))</f>
        <v/>
      </c>
      <c r="K1509" s="119" t="str">
        <f>IF(tech_base!$T45&gt;K$1465,"",(tech_base!$J45/tech_proj!K169*0.086*$N$110)/(1-tech_proj!K449))</f>
        <v/>
      </c>
      <c r="L1509" s="119" t="str">
        <f>IF(tech_base!$T45&gt;L$1465,"",(tech_base!$J45/tech_proj!L169*0.086*$N$110)/(1-tech_proj!L449))</f>
        <v/>
      </c>
      <c r="M1509" s="119" t="str">
        <f>IF(tech_base!$T45&gt;M$1465,"",(tech_base!$J45/tech_proj!M169*0.086*$N$110)/(1-tech_proj!M449))</f>
        <v/>
      </c>
      <c r="N1509" s="119" t="str">
        <f>IF(tech_base!$T45&gt;N$1465,"",(tech_base!$J45/tech_proj!N169*0.086*$N$110)/(1-tech_proj!N449))</f>
        <v/>
      </c>
      <c r="O1509" s="119" t="str">
        <f>IF(tech_base!$T45&gt;O$1465,"",(tech_base!$J45/tech_proj!O169*0.086*$N$110)/(1-tech_proj!O449))</f>
        <v/>
      </c>
      <c r="P1509" s="119" t="str">
        <f>IF(tech_base!$T45&gt;P$1465,"",(tech_base!$J45/tech_proj!P169*0.086*$N$110)/(1-tech_proj!P449))</f>
        <v/>
      </c>
      <c r="Q1509" s="119" t="str">
        <f>IF(tech_base!$T45&gt;Q$1465,"",(tech_base!$J45/tech_proj!Q169*0.086*$N$110)/(1-tech_proj!Q449))</f>
        <v/>
      </c>
      <c r="R1509" s="119" t="str">
        <f>IF(tech_base!$T45&gt;R$1465,"",(tech_base!$J45/tech_proj!R169*0.086*$N$110)/(1-tech_proj!R449))</f>
        <v/>
      </c>
      <c r="S1509" s="119" t="str">
        <f>IF(tech_base!$T45&gt;S$1465,"",(tech_base!$J45/tech_proj!S169*0.086*$N$110)/(1-tech_proj!S449))</f>
        <v/>
      </c>
      <c r="T1509" s="119" t="str">
        <f>IF(tech_base!$T45&gt;T$1465,"",(tech_base!$J45/tech_proj!T169*0.086*$N$110)/(1-tech_proj!T449))</f>
        <v/>
      </c>
      <c r="U1509" s="119" t="str">
        <f>IF(tech_base!$T45&gt;U$1465,"",(tech_base!$J45/tech_proj!U169*0.086*$N$110)/(1-tech_proj!U449))</f>
        <v/>
      </c>
      <c r="V1509" s="119" t="str">
        <f>IF(tech_base!$T45&gt;V$1465,"",(tech_base!$J45/tech_proj!V169*0.086*$N$110)/(1-tech_proj!V449))</f>
        <v/>
      </c>
      <c r="W1509" s="119" t="str">
        <f>IF(tech_base!$T45&gt;W$1465,"",(tech_base!$J45/tech_proj!W169*0.086*$N$110)/(1-tech_proj!W449))</f>
        <v/>
      </c>
      <c r="X1509" s="119" t="str">
        <f>IF(tech_base!$T45&gt;X$1465,"",(tech_base!$J45/tech_proj!X169*0.086*$N$110)/(1-tech_proj!X449))</f>
        <v/>
      </c>
      <c r="Y1509" s="119" t="str">
        <f>IF(tech_base!$T45&gt;Y$1465,"",(tech_base!$J45/tech_proj!Y169*0.086*$N$110)/(1-tech_proj!Y449))</f>
        <v/>
      </c>
      <c r="Z1509" s="119" t="str">
        <f>IF(tech_base!$T45&gt;Z$1465,"",(tech_base!$J45/tech_proj!Z169*0.086*$N$110)/(1-tech_proj!Z449))</f>
        <v/>
      </c>
      <c r="AA1509" s="119" t="str">
        <f>IF(tech_base!$T45&gt;AA$1465,"",(tech_base!$J45/tech_proj!AA169*0.086*$N$110)/(1-tech_proj!AA449))</f>
        <v/>
      </c>
      <c r="AB1509" s="119" t="str">
        <f>IF(tech_base!$T45&gt;AB$1465,"",(tech_base!$J45/tech_proj!AB169*0.086*$N$110)/(1-tech_proj!AB449))</f>
        <v/>
      </c>
      <c r="AC1509" s="119" t="str">
        <f>IF(tech_base!$T45&gt;AC$1465,"",(tech_base!$J45/tech_proj!AC169*0.086*$N$110)/(1-tech_proj!AC449))</f>
        <v/>
      </c>
      <c r="AD1509" s="119" t="str">
        <f>IF(tech_base!$T45&gt;AD$1465,"",(tech_base!$J45/tech_proj!AD169*0.086*$N$110)/(1-tech_proj!AD449))</f>
        <v/>
      </c>
      <c r="AE1509" s="119">
        <f>IF(tech_base!$T45&gt;AE$1465,"",(tech_base!$J45/tech_proj!AE169*0.086*$N$110)/(1-tech_proj!AE449))</f>
        <v>0</v>
      </c>
      <c r="AF1509" s="119">
        <f>IF(tech_base!$T45&gt;AF$1465,"",(tech_base!$J45/tech_proj!AF169*0.086*$N$110)/(1-tech_proj!AF449))</f>
        <v>0</v>
      </c>
      <c r="AG1509" s="119">
        <f>IF(tech_base!$T45&gt;AG$1465,"",(tech_base!$J45/tech_proj!AG169*0.086*$N$110)/(1-tech_proj!AG449))</f>
        <v>0</v>
      </c>
      <c r="AH1509" s="119">
        <f>IF(tech_base!$T45&gt;AH$1465,"",(tech_base!$J45/tech_proj!AH169*0.086*$N$110)/(1-tech_proj!AH449))</f>
        <v>0</v>
      </c>
      <c r="AI1509" s="119">
        <f>IF(tech_base!$T45&gt;AI$1465,"",(tech_base!$J45/tech_proj!AI169*0.086*$N$110)/(1-tech_proj!AI449))</f>
        <v>0</v>
      </c>
      <c r="AJ1509" s="119">
        <f>IF(tech_base!$T45&gt;AJ$1465,"",(tech_base!$J45/tech_proj!AJ169*0.086*$N$110)/(1-tech_proj!AJ449))</f>
        <v>0</v>
      </c>
      <c r="AK1509" s="119">
        <f>IF(tech_base!$T45&gt;AK$1465,"",(tech_base!$J45/tech_proj!AK169*0.086*$N$110)/(1-tech_proj!AK449))</f>
        <v>0</v>
      </c>
      <c r="AL1509" s="119">
        <f>IF(tech_base!$T45&gt;AL$1465,"",(tech_base!$J45/tech_proj!AL169*0.086*$N$110)/(1-tech_proj!AL449))</f>
        <v>0</v>
      </c>
      <c r="AM1509" s="119">
        <f>IF(tech_base!$T45&gt;AM$1465,"",(tech_base!$J45/tech_proj!AM169*0.086*$N$110)/(1-tech_proj!AM449))</f>
        <v>0</v>
      </c>
      <c r="AN1509" s="119">
        <f>IF(tech_base!$T45&gt;AN$1465,"",(tech_base!$J45/tech_proj!AN169*0.086*$N$110)/(1-tech_proj!AN449))</f>
        <v>0</v>
      </c>
      <c r="AO1509" s="119">
        <f>IF(tech_base!$T45&gt;AO$1465,"",(tech_base!$J45/tech_proj!AO169*0.086*$N$110)/(1-tech_proj!AO449))</f>
        <v>0</v>
      </c>
      <c r="AP1509" s="119">
        <f>IF(tech_base!$T45&gt;AP$1465,"",(tech_base!$J45/tech_proj!AP169*0.086*$N$110)/(1-tech_proj!AP449))</f>
        <v>0</v>
      </c>
      <c r="AQ1509" s="119">
        <f>IF(tech_base!$T45&gt;AQ$1465,"",(tech_base!$J45/tech_proj!AQ169*0.086*$N$110)/(1-tech_proj!AQ449))</f>
        <v>0</v>
      </c>
      <c r="AR1509" s="119">
        <f>IF(tech_base!$T45&gt;AR$1465,"",(tech_base!$J45/tech_proj!AR169*0.086*$N$110)/(1-tech_proj!AR449))</f>
        <v>0</v>
      </c>
      <c r="AS1509" s="119">
        <f>IF(tech_base!$T45&gt;AS$1465,"",(tech_base!$J45/tech_proj!AS169*0.086*$N$110)/(1-tech_proj!AS449))</f>
        <v>0</v>
      </c>
      <c r="AT1509" s="119">
        <f>IF(tech_base!$T45&gt;AT$1465,"",(tech_base!$J45/tech_proj!AT169*0.086*$N$110)/(1-tech_proj!AT449))</f>
        <v>0</v>
      </c>
      <c r="AU1509" s="119">
        <f>IF(tech_base!$T45&gt;AU$1465,"",(tech_base!$J45/tech_proj!AU169*0.086*$N$110)/(1-tech_proj!AU449))</f>
        <v>0</v>
      </c>
      <c r="AV1509" s="119">
        <f>IF(tech_base!$T45&gt;AV$1465,"",(tech_base!$J45/tech_proj!AV169*0.086*$N$110)/(1-tech_proj!AV449))</f>
        <v>0</v>
      </c>
      <c r="AW1509" s="119">
        <f>IF(tech_base!$T45&gt;AW$1465,"",(tech_base!$J45/tech_proj!AW169*0.086*$N$110)/(1-tech_proj!AW449))</f>
        <v>0</v>
      </c>
      <c r="AX1509" s="120">
        <f>IF(tech_base!$T45&gt;AX$1465,"",(tech_base!$J45/tech_proj!AX169*0.086*$N$110)/(1-tech_proj!AX449))</f>
        <v>0</v>
      </c>
    </row>
    <row r="1510" spans="1:50" x14ac:dyDescent="0.25">
      <c r="A1510" s="357"/>
      <c r="B1510" s="380"/>
      <c r="C1510" s="381"/>
      <c r="D1510" s="4" t="s">
        <v>8</v>
      </c>
      <c r="E1510" s="168" t="str">
        <f>A1473&amp;"/"&amp;B1499&amp;"/"&amp;C1509&amp;"/"&amp;D1510</f>
        <v>Coal fired power plants/Steam turbine/CHP with CCS/M</v>
      </c>
      <c r="F1510" s="80" t="str">
        <f>A1473</f>
        <v>Coal fired power plants</v>
      </c>
      <c r="G1510" s="80" t="str">
        <f>B1499</f>
        <v>Steam turbine</v>
      </c>
      <c r="H1510" s="80" t="str">
        <f>C1509</f>
        <v>CHP with CCS</v>
      </c>
      <c r="I1510" s="169" t="str">
        <f t="shared" si="377"/>
        <v>M</v>
      </c>
      <c r="J1510" s="127" t="str">
        <f>IF(tech_base!$T46&gt;J$1465,"",(tech_base!$J46/tech_proj!J170*0.086*$N$110)/(1-tech_proj!J450))</f>
        <v/>
      </c>
      <c r="K1510" s="127" t="str">
        <f>IF(tech_base!$T46&gt;K$1465,"",(tech_base!$J46/tech_proj!K170*0.086*$N$110)/(1-tech_proj!K450))</f>
        <v/>
      </c>
      <c r="L1510" s="127" t="str">
        <f>IF(tech_base!$T46&gt;L$1465,"",(tech_base!$J46/tech_proj!L170*0.086*$N$110)/(1-tech_proj!L450))</f>
        <v/>
      </c>
      <c r="M1510" s="127" t="str">
        <f>IF(tech_base!$T46&gt;M$1465,"",(tech_base!$J46/tech_proj!M170*0.086*$N$110)/(1-tech_proj!M450))</f>
        <v/>
      </c>
      <c r="N1510" s="127" t="str">
        <f>IF(tech_base!$T46&gt;N$1465,"",(tech_base!$J46/tech_proj!N170*0.086*$N$110)/(1-tech_proj!N450))</f>
        <v/>
      </c>
      <c r="O1510" s="127" t="str">
        <f>IF(tech_base!$T46&gt;O$1465,"",(tech_base!$J46/tech_proj!O170*0.086*$N$110)/(1-tech_proj!O450))</f>
        <v/>
      </c>
      <c r="P1510" s="127" t="str">
        <f>IF(tech_base!$T46&gt;P$1465,"",(tech_base!$J46/tech_proj!P170*0.086*$N$110)/(1-tech_proj!P450))</f>
        <v/>
      </c>
      <c r="Q1510" s="127" t="str">
        <f>IF(tech_base!$T46&gt;Q$1465,"",(tech_base!$J46/tech_proj!Q170*0.086*$N$110)/(1-tech_proj!Q450))</f>
        <v/>
      </c>
      <c r="R1510" s="127" t="str">
        <f>IF(tech_base!$T46&gt;R$1465,"",(tech_base!$J46/tech_proj!R170*0.086*$N$110)/(1-tech_proj!R450))</f>
        <v/>
      </c>
      <c r="S1510" s="127" t="str">
        <f>IF(tech_base!$T46&gt;S$1465,"",(tech_base!$J46/tech_proj!S170*0.086*$N$110)/(1-tech_proj!S450))</f>
        <v/>
      </c>
      <c r="T1510" s="127" t="str">
        <f>IF(tech_base!$T46&gt;T$1465,"",(tech_base!$J46/tech_proj!T170*0.086*$N$110)/(1-tech_proj!T450))</f>
        <v/>
      </c>
      <c r="U1510" s="127" t="str">
        <f>IF(tech_base!$T46&gt;U$1465,"",(tech_base!$J46/tech_proj!U170*0.086*$N$110)/(1-tech_proj!U450))</f>
        <v/>
      </c>
      <c r="V1510" s="127" t="str">
        <f>IF(tech_base!$T46&gt;V$1465,"",(tech_base!$J46/tech_proj!V170*0.086*$N$110)/(1-tech_proj!V450))</f>
        <v/>
      </c>
      <c r="W1510" s="127" t="str">
        <f>IF(tech_base!$T46&gt;W$1465,"",(tech_base!$J46/tech_proj!W170*0.086*$N$110)/(1-tech_proj!W450))</f>
        <v/>
      </c>
      <c r="X1510" s="127" t="str">
        <f>IF(tech_base!$T46&gt;X$1465,"",(tech_base!$J46/tech_proj!X170*0.086*$N$110)/(1-tech_proj!X450))</f>
        <v/>
      </c>
      <c r="Y1510" s="127" t="str">
        <f>IF(tech_base!$T46&gt;Y$1465,"",(tech_base!$J46/tech_proj!Y170*0.086*$N$110)/(1-tech_proj!Y450))</f>
        <v/>
      </c>
      <c r="Z1510" s="127" t="str">
        <f>IF(tech_base!$T46&gt;Z$1465,"",(tech_base!$J46/tech_proj!Z170*0.086*$N$110)/(1-tech_proj!Z450))</f>
        <v/>
      </c>
      <c r="AA1510" s="127" t="str">
        <f>IF(tech_base!$T46&gt;AA$1465,"",(tech_base!$J46/tech_proj!AA170*0.086*$N$110)/(1-tech_proj!AA450))</f>
        <v/>
      </c>
      <c r="AB1510" s="127" t="str">
        <f>IF(tech_base!$T46&gt;AB$1465,"",(tech_base!$J46/tech_proj!AB170*0.086*$N$110)/(1-tech_proj!AB450))</f>
        <v/>
      </c>
      <c r="AC1510" s="127" t="str">
        <f>IF(tech_base!$T46&gt;AC$1465,"",(tech_base!$J46/tech_proj!AC170*0.086*$N$110)/(1-tech_proj!AC450))</f>
        <v/>
      </c>
      <c r="AD1510" s="127" t="str">
        <f>IF(tech_base!$T46&gt;AD$1465,"",(tech_base!$J46/tech_proj!AD170*0.086*$N$110)/(1-tech_proj!AD450))</f>
        <v/>
      </c>
      <c r="AE1510" s="127">
        <f>IF(tech_base!$T46&gt;AE$1465,"",(tech_base!$J46/tech_proj!AE170*0.086*$N$110)/(1-tech_proj!AE450))</f>
        <v>0</v>
      </c>
      <c r="AF1510" s="127">
        <f>IF(tech_base!$T46&gt;AF$1465,"",(tech_base!$J46/tech_proj!AF170*0.086*$N$110)/(1-tech_proj!AF450))</f>
        <v>0</v>
      </c>
      <c r="AG1510" s="127">
        <f>IF(tech_base!$T46&gt;AG$1465,"",(tech_base!$J46/tech_proj!AG170*0.086*$N$110)/(1-tech_proj!AG450))</f>
        <v>0</v>
      </c>
      <c r="AH1510" s="127">
        <f>IF(tech_base!$T46&gt;AH$1465,"",(tech_base!$J46/tech_proj!AH170*0.086*$N$110)/(1-tech_proj!AH450))</f>
        <v>0</v>
      </c>
      <c r="AI1510" s="127">
        <f>IF(tech_base!$T46&gt;AI$1465,"",(tech_base!$J46/tech_proj!AI170*0.086*$N$110)/(1-tech_proj!AI450))</f>
        <v>0</v>
      </c>
      <c r="AJ1510" s="127">
        <f>IF(tech_base!$T46&gt;AJ$1465,"",(tech_base!$J46/tech_proj!AJ170*0.086*$N$110)/(1-tech_proj!AJ450))</f>
        <v>0</v>
      </c>
      <c r="AK1510" s="127">
        <f>IF(tech_base!$T46&gt;AK$1465,"",(tech_base!$J46/tech_proj!AK170*0.086*$N$110)/(1-tech_proj!AK450))</f>
        <v>0</v>
      </c>
      <c r="AL1510" s="127">
        <f>IF(tech_base!$T46&gt;AL$1465,"",(tech_base!$J46/tech_proj!AL170*0.086*$N$110)/(1-tech_proj!AL450))</f>
        <v>0</v>
      </c>
      <c r="AM1510" s="127">
        <f>IF(tech_base!$T46&gt;AM$1465,"",(tech_base!$J46/tech_proj!AM170*0.086*$N$110)/(1-tech_proj!AM450))</f>
        <v>0</v>
      </c>
      <c r="AN1510" s="127">
        <f>IF(tech_base!$T46&gt;AN$1465,"",(tech_base!$J46/tech_proj!AN170*0.086*$N$110)/(1-tech_proj!AN450))</f>
        <v>0</v>
      </c>
      <c r="AO1510" s="127">
        <f>IF(tech_base!$T46&gt;AO$1465,"",(tech_base!$J46/tech_proj!AO170*0.086*$N$110)/(1-tech_proj!AO450))</f>
        <v>0</v>
      </c>
      <c r="AP1510" s="127">
        <f>IF(tech_base!$T46&gt;AP$1465,"",(tech_base!$J46/tech_proj!AP170*0.086*$N$110)/(1-tech_proj!AP450))</f>
        <v>0</v>
      </c>
      <c r="AQ1510" s="127">
        <f>IF(tech_base!$T46&gt;AQ$1465,"",(tech_base!$J46/tech_proj!AQ170*0.086*$N$110)/(1-tech_proj!AQ450))</f>
        <v>0</v>
      </c>
      <c r="AR1510" s="127">
        <f>IF(tech_base!$T46&gt;AR$1465,"",(tech_base!$J46/tech_proj!AR170*0.086*$N$110)/(1-tech_proj!AR450))</f>
        <v>0</v>
      </c>
      <c r="AS1510" s="127">
        <f>IF(tech_base!$T46&gt;AS$1465,"",(tech_base!$J46/tech_proj!AS170*0.086*$N$110)/(1-tech_proj!AS450))</f>
        <v>0</v>
      </c>
      <c r="AT1510" s="127">
        <f>IF(tech_base!$T46&gt;AT$1465,"",(tech_base!$J46/tech_proj!AT170*0.086*$N$110)/(1-tech_proj!AT450))</f>
        <v>0</v>
      </c>
      <c r="AU1510" s="127">
        <f>IF(tech_base!$T46&gt;AU$1465,"",(tech_base!$J46/tech_proj!AU170*0.086*$N$110)/(1-tech_proj!AU450))</f>
        <v>0</v>
      </c>
      <c r="AV1510" s="127">
        <f>IF(tech_base!$T46&gt;AV$1465,"",(tech_base!$J46/tech_proj!AV170*0.086*$N$110)/(1-tech_proj!AV450))</f>
        <v>0</v>
      </c>
      <c r="AW1510" s="127">
        <f>IF(tech_base!$T46&gt;AW$1465,"",(tech_base!$J46/tech_proj!AW170*0.086*$N$110)/(1-tech_proj!AW450))</f>
        <v>0</v>
      </c>
      <c r="AX1510" s="128">
        <f>IF(tech_base!$T46&gt;AX$1465,"",(tech_base!$J46/tech_proj!AX170*0.086*$N$110)/(1-tech_proj!AX450))</f>
        <v>0</v>
      </c>
    </row>
    <row r="1511" spans="1:50" x14ac:dyDescent="0.25">
      <c r="A1511" s="355" t="s">
        <v>21</v>
      </c>
      <c r="B1511" s="358" t="s">
        <v>13</v>
      </c>
      <c r="C1511" s="353" t="s">
        <v>6</v>
      </c>
      <c r="D1511" s="3" t="s">
        <v>7</v>
      </c>
      <c r="E1511" s="162" t="str">
        <f>A1511&amp;"/"&amp;B1511&amp;"/"&amp;C1511&amp;"/"&amp;D1511</f>
        <v>Lignite fired power plants/Integrated gasification combined cycle/Electricity only/L</v>
      </c>
      <c r="F1511" s="77" t="str">
        <f>A1511</f>
        <v>Lignite fired power plants</v>
      </c>
      <c r="G1511" s="77" t="str">
        <f>B1511</f>
        <v>Integrated gasification combined cycle</v>
      </c>
      <c r="H1511" s="77" t="str">
        <f>C1511</f>
        <v>Electricity only</v>
      </c>
      <c r="I1511" s="163" t="str">
        <f t="shared" si="377"/>
        <v>L</v>
      </c>
      <c r="J1511" s="121">
        <f>IF(tech_base!$T47&gt;J$1465,"",(tech_base!$J47/tech_proj!J171*0.086*$N$110)/(1-tech_proj!J451))</f>
        <v>0</v>
      </c>
      <c r="K1511" s="121">
        <f>IF(tech_base!$T47&gt;K$1465,"",(tech_base!$J47/tech_proj!K171*0.086*$N$110)/(1-tech_proj!K451))</f>
        <v>0</v>
      </c>
      <c r="L1511" s="121">
        <f>IF(tech_base!$T47&gt;L$1465,"",(tech_base!$J47/tech_proj!L171*0.086*$N$110)/(1-tech_proj!L451))</f>
        <v>0</v>
      </c>
      <c r="M1511" s="121">
        <f>IF(tech_base!$T47&gt;M$1465,"",(tech_base!$J47/tech_proj!M171*0.086*$N$110)/(1-tech_proj!M451))</f>
        <v>0</v>
      </c>
      <c r="N1511" s="121">
        <f>IF(tech_base!$T47&gt;N$1465,"",(tech_base!$J47/tech_proj!N171*0.086*$N$110)/(1-tech_proj!N451))</f>
        <v>0</v>
      </c>
      <c r="O1511" s="121">
        <f>IF(tech_base!$T47&gt;O$1465,"",(tech_base!$J47/tech_proj!O171*0.086*$N$110)/(1-tech_proj!O451))</f>
        <v>0</v>
      </c>
      <c r="P1511" s="121">
        <f>IF(tech_base!$T47&gt;P$1465,"",(tech_base!$J47/tech_proj!P171*0.086*$N$110)/(1-tech_proj!P451))</f>
        <v>0</v>
      </c>
      <c r="Q1511" s="121">
        <f>IF(tech_base!$T47&gt;Q$1465,"",(tech_base!$J47/tech_proj!Q171*0.086*$N$110)/(1-tech_proj!Q451))</f>
        <v>0</v>
      </c>
      <c r="R1511" s="121">
        <f>IF(tech_base!$T47&gt;R$1465,"",(tech_base!$J47/tech_proj!R171*0.086*$N$110)/(1-tech_proj!R451))</f>
        <v>0</v>
      </c>
      <c r="S1511" s="121">
        <f>IF(tech_base!$T47&gt;S$1465,"",(tech_base!$J47/tech_proj!S171*0.086*$N$110)/(1-tech_proj!S451))</f>
        <v>0</v>
      </c>
      <c r="T1511" s="121">
        <f>IF(tech_base!$T47&gt;T$1465,"",(tech_base!$J47/tech_proj!T171*0.086*$N$110)/(1-tech_proj!T451))</f>
        <v>0</v>
      </c>
      <c r="U1511" s="121">
        <f>IF(tech_base!$T47&gt;U$1465,"",(tech_base!$J47/tech_proj!U171*0.086*$N$110)/(1-tech_proj!U451))</f>
        <v>0</v>
      </c>
      <c r="V1511" s="121">
        <f>IF(tech_base!$T47&gt;V$1465,"",(tech_base!$J47/tech_proj!V171*0.086*$N$110)/(1-tech_proj!V451))</f>
        <v>0</v>
      </c>
      <c r="W1511" s="121">
        <f>IF(tech_base!$T47&gt;W$1465,"",(tech_base!$J47/tech_proj!W171*0.086*$N$110)/(1-tech_proj!W451))</f>
        <v>0</v>
      </c>
      <c r="X1511" s="121">
        <f>IF(tech_base!$T47&gt;X$1465,"",(tech_base!$J47/tech_proj!X171*0.086*$N$110)/(1-tech_proj!X451))</f>
        <v>0</v>
      </c>
      <c r="Y1511" s="121">
        <f>IF(tech_base!$T47&gt;Y$1465,"",(tech_base!$J47/tech_proj!Y171*0.086*$N$110)/(1-tech_proj!Y451))</f>
        <v>0</v>
      </c>
      <c r="Z1511" s="121">
        <f>IF(tech_base!$T47&gt;Z$1465,"",(tech_base!$J47/tech_proj!Z171*0.086*$N$110)/(1-tech_proj!Z451))</f>
        <v>0</v>
      </c>
      <c r="AA1511" s="121">
        <f>IF(tech_base!$T47&gt;AA$1465,"",(tech_base!$J47/tech_proj!AA171*0.086*$N$110)/(1-tech_proj!AA451))</f>
        <v>0</v>
      </c>
      <c r="AB1511" s="121">
        <f>IF(tech_base!$T47&gt;AB$1465,"",(tech_base!$J47/tech_proj!AB171*0.086*$N$110)/(1-tech_proj!AB451))</f>
        <v>0</v>
      </c>
      <c r="AC1511" s="121">
        <f>IF(tech_base!$T47&gt;AC$1465,"",(tech_base!$J47/tech_proj!AC171*0.086*$N$110)/(1-tech_proj!AC451))</f>
        <v>0</v>
      </c>
      <c r="AD1511" s="121">
        <f>IF(tech_base!$T47&gt;AD$1465,"",(tech_base!$J47/tech_proj!AD171*0.086*$N$110)/(1-tech_proj!AD451))</f>
        <v>0</v>
      </c>
      <c r="AE1511" s="121">
        <f>IF(tech_base!$T47&gt;AE$1465,"",(tech_base!$J47/tech_proj!AE171*0.086*$N$110)/(1-tech_proj!AE451))</f>
        <v>0</v>
      </c>
      <c r="AF1511" s="121">
        <f>IF(tech_base!$T47&gt;AF$1465,"",(tech_base!$J47/tech_proj!AF171*0.086*$N$110)/(1-tech_proj!AF451))</f>
        <v>0</v>
      </c>
      <c r="AG1511" s="121">
        <f>IF(tech_base!$T47&gt;AG$1465,"",(tech_base!$J47/tech_proj!AG171*0.086*$N$110)/(1-tech_proj!AG451))</f>
        <v>0</v>
      </c>
      <c r="AH1511" s="121">
        <f>IF(tech_base!$T47&gt;AH$1465,"",(tech_base!$J47/tech_proj!AH171*0.086*$N$110)/(1-tech_proj!AH451))</f>
        <v>0</v>
      </c>
      <c r="AI1511" s="121">
        <f>IF(tech_base!$T47&gt;AI$1465,"",(tech_base!$J47/tech_proj!AI171*0.086*$N$110)/(1-tech_proj!AI451))</f>
        <v>0</v>
      </c>
      <c r="AJ1511" s="121">
        <f>IF(tech_base!$T47&gt;AJ$1465,"",(tech_base!$J47/tech_proj!AJ171*0.086*$N$110)/(1-tech_proj!AJ451))</f>
        <v>0</v>
      </c>
      <c r="AK1511" s="121">
        <f>IF(tech_base!$T47&gt;AK$1465,"",(tech_base!$J47/tech_proj!AK171*0.086*$N$110)/(1-tech_proj!AK451))</f>
        <v>0</v>
      </c>
      <c r="AL1511" s="121">
        <f>IF(tech_base!$T47&gt;AL$1465,"",(tech_base!$J47/tech_proj!AL171*0.086*$N$110)/(1-tech_proj!AL451))</f>
        <v>0</v>
      </c>
      <c r="AM1511" s="121">
        <f>IF(tech_base!$T47&gt;AM$1465,"",(tech_base!$J47/tech_proj!AM171*0.086*$N$110)/(1-tech_proj!AM451))</f>
        <v>0</v>
      </c>
      <c r="AN1511" s="121">
        <f>IF(tech_base!$T47&gt;AN$1465,"",(tech_base!$J47/tech_proj!AN171*0.086*$N$110)/(1-tech_proj!AN451))</f>
        <v>0</v>
      </c>
      <c r="AO1511" s="121">
        <f>IF(tech_base!$T47&gt;AO$1465,"",(tech_base!$J47/tech_proj!AO171*0.086*$N$110)/(1-tech_proj!AO451))</f>
        <v>0</v>
      </c>
      <c r="AP1511" s="121">
        <f>IF(tech_base!$T47&gt;AP$1465,"",(tech_base!$J47/tech_proj!AP171*0.086*$N$110)/(1-tech_proj!AP451))</f>
        <v>0</v>
      </c>
      <c r="AQ1511" s="121">
        <f>IF(tech_base!$T47&gt;AQ$1465,"",(tech_base!$J47/tech_proj!AQ171*0.086*$N$110)/(1-tech_proj!AQ451))</f>
        <v>0</v>
      </c>
      <c r="AR1511" s="121">
        <f>IF(tech_base!$T47&gt;AR$1465,"",(tech_base!$J47/tech_proj!AR171*0.086*$N$110)/(1-tech_proj!AR451))</f>
        <v>0</v>
      </c>
      <c r="AS1511" s="121">
        <f>IF(tech_base!$T47&gt;AS$1465,"",(tech_base!$J47/tech_proj!AS171*0.086*$N$110)/(1-tech_proj!AS451))</f>
        <v>0</v>
      </c>
      <c r="AT1511" s="121">
        <f>IF(tech_base!$T47&gt;AT$1465,"",(tech_base!$J47/tech_proj!AT171*0.086*$N$110)/(1-tech_proj!AT451))</f>
        <v>0</v>
      </c>
      <c r="AU1511" s="121">
        <f>IF(tech_base!$T47&gt;AU$1465,"",(tech_base!$J47/tech_proj!AU171*0.086*$N$110)/(1-tech_proj!AU451))</f>
        <v>0</v>
      </c>
      <c r="AV1511" s="121">
        <f>IF(tech_base!$T47&gt;AV$1465,"",(tech_base!$J47/tech_proj!AV171*0.086*$N$110)/(1-tech_proj!AV451))</f>
        <v>0</v>
      </c>
      <c r="AW1511" s="121">
        <f>IF(tech_base!$T47&gt;AW$1465,"",(tech_base!$J47/tech_proj!AW171*0.086*$N$110)/(1-tech_proj!AW451))</f>
        <v>0</v>
      </c>
      <c r="AX1511" s="122">
        <f>IF(tech_base!$T47&gt;AX$1465,"",(tech_base!$J47/tech_proj!AX171*0.086*$N$110)/(1-tech_proj!AX451))</f>
        <v>0</v>
      </c>
    </row>
    <row r="1512" spans="1:50" x14ac:dyDescent="0.25">
      <c r="A1512" s="356"/>
      <c r="B1512" s="376"/>
      <c r="C1512" s="379"/>
      <c r="D1512" s="2" t="s">
        <v>8</v>
      </c>
      <c r="E1512" s="160" t="str">
        <f>A1511&amp;"/"&amp;B1511&amp;"/"&amp;C1511&amp;"/"&amp;D1512</f>
        <v>Lignite fired power plants/Integrated gasification combined cycle/Electricity only/M</v>
      </c>
      <c r="F1512" s="76" t="str">
        <f>A1511</f>
        <v>Lignite fired power plants</v>
      </c>
      <c r="G1512" s="76" t="str">
        <f>B1511</f>
        <v>Integrated gasification combined cycle</v>
      </c>
      <c r="H1512" s="76" t="str">
        <f>C1511</f>
        <v>Electricity only</v>
      </c>
      <c r="I1512" s="161" t="str">
        <f t="shared" si="377"/>
        <v>M</v>
      </c>
      <c r="J1512" s="119">
        <f>IF(tech_base!$T48&gt;J$1465,"",(tech_base!$J48/tech_proj!J172*0.086*$N$110)/(1-tech_proj!J452))</f>
        <v>0</v>
      </c>
      <c r="K1512" s="119">
        <f>IF(tech_base!$T48&gt;K$1465,"",(tech_base!$J48/tech_proj!K172*0.086*$N$110)/(1-tech_proj!K452))</f>
        <v>0</v>
      </c>
      <c r="L1512" s="119">
        <f>IF(tech_base!$T48&gt;L$1465,"",(tech_base!$J48/tech_proj!L172*0.086*$N$110)/(1-tech_proj!L452))</f>
        <v>0</v>
      </c>
      <c r="M1512" s="119">
        <f>IF(tech_base!$T48&gt;M$1465,"",(tech_base!$J48/tech_proj!M172*0.086*$N$110)/(1-tech_proj!M452))</f>
        <v>0</v>
      </c>
      <c r="N1512" s="119">
        <f>IF(tech_base!$T48&gt;N$1465,"",(tech_base!$J48/tech_proj!N172*0.086*$N$110)/(1-tech_proj!N452))</f>
        <v>0</v>
      </c>
      <c r="O1512" s="119">
        <f>IF(tech_base!$T48&gt;O$1465,"",(tech_base!$J48/tech_proj!O172*0.086*$N$110)/(1-tech_proj!O452))</f>
        <v>0</v>
      </c>
      <c r="P1512" s="119">
        <f>IF(tech_base!$T48&gt;P$1465,"",(tech_base!$J48/tech_proj!P172*0.086*$N$110)/(1-tech_proj!P452))</f>
        <v>0</v>
      </c>
      <c r="Q1512" s="119">
        <f>IF(tech_base!$T48&gt;Q$1465,"",(tech_base!$J48/tech_proj!Q172*0.086*$N$110)/(1-tech_proj!Q452))</f>
        <v>0</v>
      </c>
      <c r="R1512" s="119">
        <f>IF(tech_base!$T48&gt;R$1465,"",(tech_base!$J48/tech_proj!R172*0.086*$N$110)/(1-tech_proj!R452))</f>
        <v>0</v>
      </c>
      <c r="S1512" s="119">
        <f>IF(tech_base!$T48&gt;S$1465,"",(tech_base!$J48/tech_proj!S172*0.086*$N$110)/(1-tech_proj!S452))</f>
        <v>0</v>
      </c>
      <c r="T1512" s="119">
        <f>IF(tech_base!$T48&gt;T$1465,"",(tech_base!$J48/tech_proj!T172*0.086*$N$110)/(1-tech_proj!T452))</f>
        <v>0</v>
      </c>
      <c r="U1512" s="119">
        <f>IF(tech_base!$T48&gt;U$1465,"",(tech_base!$J48/tech_proj!U172*0.086*$N$110)/(1-tech_proj!U452))</f>
        <v>0</v>
      </c>
      <c r="V1512" s="119">
        <f>IF(tech_base!$T48&gt;V$1465,"",(tech_base!$J48/tech_proj!V172*0.086*$N$110)/(1-tech_proj!V452))</f>
        <v>0</v>
      </c>
      <c r="W1512" s="119">
        <f>IF(tech_base!$T48&gt;W$1465,"",(tech_base!$J48/tech_proj!W172*0.086*$N$110)/(1-tech_proj!W452))</f>
        <v>0</v>
      </c>
      <c r="X1512" s="119">
        <f>IF(tech_base!$T48&gt;X$1465,"",(tech_base!$J48/tech_proj!X172*0.086*$N$110)/(1-tech_proj!X452))</f>
        <v>0</v>
      </c>
      <c r="Y1512" s="119">
        <f>IF(tech_base!$T48&gt;Y$1465,"",(tech_base!$J48/tech_proj!Y172*0.086*$N$110)/(1-tech_proj!Y452))</f>
        <v>0</v>
      </c>
      <c r="Z1512" s="119">
        <f>IF(tech_base!$T48&gt;Z$1465,"",(tech_base!$J48/tech_proj!Z172*0.086*$N$110)/(1-tech_proj!Z452))</f>
        <v>0</v>
      </c>
      <c r="AA1512" s="119">
        <f>IF(tech_base!$T48&gt;AA$1465,"",(tech_base!$J48/tech_proj!AA172*0.086*$N$110)/(1-tech_proj!AA452))</f>
        <v>0</v>
      </c>
      <c r="AB1512" s="119">
        <f>IF(tech_base!$T48&gt;AB$1465,"",(tech_base!$J48/tech_proj!AB172*0.086*$N$110)/(1-tech_proj!AB452))</f>
        <v>0</v>
      </c>
      <c r="AC1512" s="119">
        <f>IF(tech_base!$T48&gt;AC$1465,"",(tech_base!$J48/tech_proj!AC172*0.086*$N$110)/(1-tech_proj!AC452))</f>
        <v>0</v>
      </c>
      <c r="AD1512" s="119">
        <f>IF(tech_base!$T48&gt;AD$1465,"",(tech_base!$J48/tech_proj!AD172*0.086*$N$110)/(1-tech_proj!AD452))</f>
        <v>0</v>
      </c>
      <c r="AE1512" s="119">
        <f>IF(tech_base!$T48&gt;AE$1465,"",(tech_base!$J48/tech_proj!AE172*0.086*$N$110)/(1-tech_proj!AE452))</f>
        <v>0</v>
      </c>
      <c r="AF1512" s="119">
        <f>IF(tech_base!$T48&gt;AF$1465,"",(tech_base!$J48/tech_proj!AF172*0.086*$N$110)/(1-tech_proj!AF452))</f>
        <v>0</v>
      </c>
      <c r="AG1512" s="119">
        <f>IF(tech_base!$T48&gt;AG$1465,"",(tech_base!$J48/tech_proj!AG172*0.086*$N$110)/(1-tech_proj!AG452))</f>
        <v>0</v>
      </c>
      <c r="AH1512" s="119">
        <f>IF(tech_base!$T48&gt;AH$1465,"",(tech_base!$J48/tech_proj!AH172*0.086*$N$110)/(1-tech_proj!AH452))</f>
        <v>0</v>
      </c>
      <c r="AI1512" s="119">
        <f>IF(tech_base!$T48&gt;AI$1465,"",(tech_base!$J48/tech_proj!AI172*0.086*$N$110)/(1-tech_proj!AI452))</f>
        <v>0</v>
      </c>
      <c r="AJ1512" s="119">
        <f>IF(tech_base!$T48&gt;AJ$1465,"",(tech_base!$J48/tech_proj!AJ172*0.086*$N$110)/(1-tech_proj!AJ452))</f>
        <v>0</v>
      </c>
      <c r="AK1512" s="119">
        <f>IF(tech_base!$T48&gt;AK$1465,"",(tech_base!$J48/tech_proj!AK172*0.086*$N$110)/(1-tech_proj!AK452))</f>
        <v>0</v>
      </c>
      <c r="AL1512" s="119">
        <f>IF(tech_base!$T48&gt;AL$1465,"",(tech_base!$J48/tech_proj!AL172*0.086*$N$110)/(1-tech_proj!AL452))</f>
        <v>0</v>
      </c>
      <c r="AM1512" s="119">
        <f>IF(tech_base!$T48&gt;AM$1465,"",(tech_base!$J48/tech_proj!AM172*0.086*$N$110)/(1-tech_proj!AM452))</f>
        <v>0</v>
      </c>
      <c r="AN1512" s="119">
        <f>IF(tech_base!$T48&gt;AN$1465,"",(tech_base!$J48/tech_proj!AN172*0.086*$N$110)/(1-tech_proj!AN452))</f>
        <v>0</v>
      </c>
      <c r="AO1512" s="119">
        <f>IF(tech_base!$T48&gt;AO$1465,"",(tech_base!$J48/tech_proj!AO172*0.086*$N$110)/(1-tech_proj!AO452))</f>
        <v>0</v>
      </c>
      <c r="AP1512" s="119">
        <f>IF(tech_base!$T48&gt;AP$1465,"",(tech_base!$J48/tech_proj!AP172*0.086*$N$110)/(1-tech_proj!AP452))</f>
        <v>0</v>
      </c>
      <c r="AQ1512" s="119">
        <f>IF(tech_base!$T48&gt;AQ$1465,"",(tech_base!$J48/tech_proj!AQ172*0.086*$N$110)/(1-tech_proj!AQ452))</f>
        <v>0</v>
      </c>
      <c r="AR1512" s="119">
        <f>IF(tech_base!$T48&gt;AR$1465,"",(tech_base!$J48/tech_proj!AR172*0.086*$N$110)/(1-tech_proj!AR452))</f>
        <v>0</v>
      </c>
      <c r="AS1512" s="119">
        <f>IF(tech_base!$T48&gt;AS$1465,"",(tech_base!$J48/tech_proj!AS172*0.086*$N$110)/(1-tech_proj!AS452))</f>
        <v>0</v>
      </c>
      <c r="AT1512" s="119">
        <f>IF(tech_base!$T48&gt;AT$1465,"",(tech_base!$J48/tech_proj!AT172*0.086*$N$110)/(1-tech_proj!AT452))</f>
        <v>0</v>
      </c>
      <c r="AU1512" s="119">
        <f>IF(tech_base!$T48&gt;AU$1465,"",(tech_base!$J48/tech_proj!AU172*0.086*$N$110)/(1-tech_proj!AU452))</f>
        <v>0</v>
      </c>
      <c r="AV1512" s="119">
        <f>IF(tech_base!$T48&gt;AV$1465,"",(tech_base!$J48/tech_proj!AV172*0.086*$N$110)/(1-tech_proj!AV452))</f>
        <v>0</v>
      </c>
      <c r="AW1512" s="119">
        <f>IF(tech_base!$T48&gt;AW$1465,"",(tech_base!$J48/tech_proj!AW172*0.086*$N$110)/(1-tech_proj!AW452))</f>
        <v>0</v>
      </c>
      <c r="AX1512" s="120">
        <f>IF(tech_base!$T48&gt;AX$1465,"",(tech_base!$J48/tech_proj!AX172*0.086*$N$110)/(1-tech_proj!AX452))</f>
        <v>0</v>
      </c>
    </row>
    <row r="1513" spans="1:50" x14ac:dyDescent="0.25">
      <c r="A1513" s="356"/>
      <c r="B1513" s="376"/>
      <c r="C1513" s="361" t="s">
        <v>14</v>
      </c>
      <c r="D1513" s="58" t="s">
        <v>7</v>
      </c>
      <c r="E1513" s="164" t="str">
        <f>A1511&amp;"/"&amp;B1511&amp;"/"&amp;C1513&amp;"/"&amp;D1513</f>
        <v>Lignite fired power plants/Integrated gasification combined cycle/CHP/L</v>
      </c>
      <c r="F1513" s="78" t="str">
        <f>A1511</f>
        <v>Lignite fired power plants</v>
      </c>
      <c r="G1513" s="78" t="str">
        <f>B1511</f>
        <v>Integrated gasification combined cycle</v>
      </c>
      <c r="H1513" s="78" t="str">
        <f>C1513</f>
        <v>CHP</v>
      </c>
      <c r="I1513" s="165" t="str">
        <f t="shared" si="377"/>
        <v>L</v>
      </c>
      <c r="J1513" s="123" t="str">
        <f>IF(tech_base!$T49&gt;J$1465,"",(tech_base!$J49/tech_proj!J173*0.086*$N$110)/(1-tech_proj!J453))</f>
        <v/>
      </c>
      <c r="K1513" s="123" t="str">
        <f>IF(tech_base!$T49&gt;K$1465,"",(tech_base!$J49/tech_proj!K173*0.086*$N$110)/(1-tech_proj!K453))</f>
        <v/>
      </c>
      <c r="L1513" s="123" t="str">
        <f>IF(tech_base!$T49&gt;L$1465,"",(tech_base!$J49/tech_proj!L173*0.086*$N$110)/(1-tech_proj!L453))</f>
        <v/>
      </c>
      <c r="M1513" s="123" t="str">
        <f>IF(tech_base!$T49&gt;M$1465,"",(tech_base!$J49/tech_proj!M173*0.086*$N$110)/(1-tech_proj!M453))</f>
        <v/>
      </c>
      <c r="N1513" s="123" t="str">
        <f>IF(tech_base!$T49&gt;N$1465,"",(tech_base!$J49/tech_proj!N173*0.086*$N$110)/(1-tech_proj!N453))</f>
        <v/>
      </c>
      <c r="O1513" s="123" t="str">
        <f>IF(tech_base!$T49&gt;O$1465,"",(tech_base!$J49/tech_proj!O173*0.086*$N$110)/(1-tech_proj!O453))</f>
        <v/>
      </c>
      <c r="P1513" s="123" t="str">
        <f>IF(tech_base!$T49&gt;P$1465,"",(tech_base!$J49/tech_proj!P173*0.086*$N$110)/(1-tech_proj!P453))</f>
        <v/>
      </c>
      <c r="Q1513" s="123" t="str">
        <f>IF(tech_base!$T49&gt;Q$1465,"",(tech_base!$J49/tech_proj!Q173*0.086*$N$110)/(1-tech_proj!Q453))</f>
        <v/>
      </c>
      <c r="R1513" s="123" t="str">
        <f>IF(tech_base!$T49&gt;R$1465,"",(tech_base!$J49/tech_proj!R173*0.086*$N$110)/(1-tech_proj!R453))</f>
        <v/>
      </c>
      <c r="S1513" s="123" t="str">
        <f>IF(tech_base!$T49&gt;S$1465,"",(tech_base!$J49/tech_proj!S173*0.086*$N$110)/(1-tech_proj!S453))</f>
        <v/>
      </c>
      <c r="T1513" s="123">
        <f>IF(tech_base!$T49&gt;T$1465,"",(tech_base!$J49/tech_proj!T173*0.086*$N$110)/(1-tech_proj!T453))</f>
        <v>0</v>
      </c>
      <c r="U1513" s="123">
        <f>IF(tech_base!$T49&gt;U$1465,"",(tech_base!$J49/tech_proj!U173*0.086*$N$110)/(1-tech_proj!U453))</f>
        <v>0</v>
      </c>
      <c r="V1513" s="123">
        <f>IF(tech_base!$T49&gt;V$1465,"",(tech_base!$J49/tech_proj!V173*0.086*$N$110)/(1-tech_proj!V453))</f>
        <v>0</v>
      </c>
      <c r="W1513" s="123">
        <f>IF(tech_base!$T49&gt;W$1465,"",(tech_base!$J49/tech_proj!W173*0.086*$N$110)/(1-tech_proj!W453))</f>
        <v>0</v>
      </c>
      <c r="X1513" s="123">
        <f>IF(tech_base!$T49&gt;X$1465,"",(tech_base!$J49/tech_proj!X173*0.086*$N$110)/(1-tech_proj!X453))</f>
        <v>0</v>
      </c>
      <c r="Y1513" s="123">
        <f>IF(tech_base!$T49&gt;Y$1465,"",(tech_base!$J49/tech_proj!Y173*0.086*$N$110)/(1-tech_proj!Y453))</f>
        <v>0</v>
      </c>
      <c r="Z1513" s="123">
        <f>IF(tech_base!$T49&gt;Z$1465,"",(tech_base!$J49/tech_proj!Z173*0.086*$N$110)/(1-tech_proj!Z453))</f>
        <v>0</v>
      </c>
      <c r="AA1513" s="123">
        <f>IF(tech_base!$T49&gt;AA$1465,"",(tech_base!$J49/tech_proj!AA173*0.086*$N$110)/(1-tech_proj!AA453))</f>
        <v>0</v>
      </c>
      <c r="AB1513" s="123">
        <f>IF(tech_base!$T49&gt;AB$1465,"",(tech_base!$J49/tech_proj!AB173*0.086*$N$110)/(1-tech_proj!AB453))</f>
        <v>0</v>
      </c>
      <c r="AC1513" s="123">
        <f>IF(tech_base!$T49&gt;AC$1465,"",(tech_base!$J49/tech_proj!AC173*0.086*$N$110)/(1-tech_proj!AC453))</f>
        <v>0</v>
      </c>
      <c r="AD1513" s="123">
        <f>IF(tech_base!$T49&gt;AD$1465,"",(tech_base!$J49/tech_proj!AD173*0.086*$N$110)/(1-tech_proj!AD453))</f>
        <v>0</v>
      </c>
      <c r="AE1513" s="123">
        <f>IF(tech_base!$T49&gt;AE$1465,"",(tech_base!$J49/tech_proj!AE173*0.086*$N$110)/(1-tech_proj!AE453))</f>
        <v>0</v>
      </c>
      <c r="AF1513" s="123">
        <f>IF(tech_base!$T49&gt;AF$1465,"",(tech_base!$J49/tech_proj!AF173*0.086*$N$110)/(1-tech_proj!AF453))</f>
        <v>0</v>
      </c>
      <c r="AG1513" s="123">
        <f>IF(tech_base!$T49&gt;AG$1465,"",(tech_base!$J49/tech_proj!AG173*0.086*$N$110)/(1-tech_proj!AG453))</f>
        <v>0</v>
      </c>
      <c r="AH1513" s="123">
        <f>IF(tech_base!$T49&gt;AH$1465,"",(tech_base!$J49/tech_proj!AH173*0.086*$N$110)/(1-tech_proj!AH453))</f>
        <v>0</v>
      </c>
      <c r="AI1513" s="123">
        <f>IF(tech_base!$T49&gt;AI$1465,"",(tech_base!$J49/tech_proj!AI173*0.086*$N$110)/(1-tech_proj!AI453))</f>
        <v>0</v>
      </c>
      <c r="AJ1513" s="123">
        <f>IF(tech_base!$T49&gt;AJ$1465,"",(tech_base!$J49/tech_proj!AJ173*0.086*$N$110)/(1-tech_proj!AJ453))</f>
        <v>0</v>
      </c>
      <c r="AK1513" s="123">
        <f>IF(tech_base!$T49&gt;AK$1465,"",(tech_base!$J49/tech_proj!AK173*0.086*$N$110)/(1-tech_proj!AK453))</f>
        <v>0</v>
      </c>
      <c r="AL1513" s="123">
        <f>IF(tech_base!$T49&gt;AL$1465,"",(tech_base!$J49/tech_proj!AL173*0.086*$N$110)/(1-tech_proj!AL453))</f>
        <v>0</v>
      </c>
      <c r="AM1513" s="123">
        <f>IF(tech_base!$T49&gt;AM$1465,"",(tech_base!$J49/tech_proj!AM173*0.086*$N$110)/(1-tech_proj!AM453))</f>
        <v>0</v>
      </c>
      <c r="AN1513" s="123">
        <f>IF(tech_base!$T49&gt;AN$1465,"",(tech_base!$J49/tech_proj!AN173*0.086*$N$110)/(1-tech_proj!AN453))</f>
        <v>0</v>
      </c>
      <c r="AO1513" s="123">
        <f>IF(tech_base!$T49&gt;AO$1465,"",(tech_base!$J49/tech_proj!AO173*0.086*$N$110)/(1-tech_proj!AO453))</f>
        <v>0</v>
      </c>
      <c r="AP1513" s="123">
        <f>IF(tech_base!$T49&gt;AP$1465,"",(tech_base!$J49/tech_proj!AP173*0.086*$N$110)/(1-tech_proj!AP453))</f>
        <v>0</v>
      </c>
      <c r="AQ1513" s="123">
        <f>IF(tech_base!$T49&gt;AQ$1465,"",(tech_base!$J49/tech_proj!AQ173*0.086*$N$110)/(1-tech_proj!AQ453))</f>
        <v>0</v>
      </c>
      <c r="AR1513" s="123">
        <f>IF(tech_base!$T49&gt;AR$1465,"",(tech_base!$J49/tech_proj!AR173*0.086*$N$110)/(1-tech_proj!AR453))</f>
        <v>0</v>
      </c>
      <c r="AS1513" s="123">
        <f>IF(tech_base!$T49&gt;AS$1465,"",(tech_base!$J49/tech_proj!AS173*0.086*$N$110)/(1-tech_proj!AS453))</f>
        <v>0</v>
      </c>
      <c r="AT1513" s="123">
        <f>IF(tech_base!$T49&gt;AT$1465,"",(tech_base!$J49/tech_proj!AT173*0.086*$N$110)/(1-tech_proj!AT453))</f>
        <v>0</v>
      </c>
      <c r="AU1513" s="123">
        <f>IF(tech_base!$T49&gt;AU$1465,"",(tech_base!$J49/tech_proj!AU173*0.086*$N$110)/(1-tech_proj!AU453))</f>
        <v>0</v>
      </c>
      <c r="AV1513" s="123">
        <f>IF(tech_base!$T49&gt;AV$1465,"",(tech_base!$J49/tech_proj!AV173*0.086*$N$110)/(1-tech_proj!AV453))</f>
        <v>0</v>
      </c>
      <c r="AW1513" s="123">
        <f>IF(tech_base!$T49&gt;AW$1465,"",(tech_base!$J49/tech_proj!AW173*0.086*$N$110)/(1-tech_proj!AW453))</f>
        <v>0</v>
      </c>
      <c r="AX1513" s="124">
        <f>IF(tech_base!$T49&gt;AX$1465,"",(tech_base!$J49/tech_proj!AX173*0.086*$N$110)/(1-tech_proj!AX453))</f>
        <v>0</v>
      </c>
    </row>
    <row r="1514" spans="1:50" x14ac:dyDescent="0.25">
      <c r="A1514" s="356"/>
      <c r="B1514" s="376"/>
      <c r="C1514" s="379"/>
      <c r="D1514" s="59" t="s">
        <v>8</v>
      </c>
      <c r="E1514" s="166" t="str">
        <f>A1511&amp;"/"&amp;B1511&amp;"/"&amp;C1513&amp;"/"&amp;D1514</f>
        <v>Lignite fired power plants/Integrated gasification combined cycle/CHP/M</v>
      </c>
      <c r="F1514" s="79" t="str">
        <f>A1511</f>
        <v>Lignite fired power plants</v>
      </c>
      <c r="G1514" s="79" t="str">
        <f>B1511</f>
        <v>Integrated gasification combined cycle</v>
      </c>
      <c r="H1514" s="79" t="str">
        <f>C1513</f>
        <v>CHP</v>
      </c>
      <c r="I1514" s="167" t="str">
        <f t="shared" si="377"/>
        <v>M</v>
      </c>
      <c r="J1514" s="125" t="str">
        <f>IF(tech_base!$T50&gt;J$1465,"",(tech_base!$J50/tech_proj!J174*0.086*$N$110)/(1-tech_proj!J454))</f>
        <v/>
      </c>
      <c r="K1514" s="125" t="str">
        <f>IF(tech_base!$T50&gt;K$1465,"",(tech_base!$J50/tech_proj!K174*0.086*$N$110)/(1-tech_proj!K454))</f>
        <v/>
      </c>
      <c r="L1514" s="125" t="str">
        <f>IF(tech_base!$T50&gt;L$1465,"",(tech_base!$J50/tech_proj!L174*0.086*$N$110)/(1-tech_proj!L454))</f>
        <v/>
      </c>
      <c r="M1514" s="125" t="str">
        <f>IF(tech_base!$T50&gt;M$1465,"",(tech_base!$J50/tech_proj!M174*0.086*$N$110)/(1-tech_proj!M454))</f>
        <v/>
      </c>
      <c r="N1514" s="125" t="str">
        <f>IF(tech_base!$T50&gt;N$1465,"",(tech_base!$J50/tech_proj!N174*0.086*$N$110)/(1-tech_proj!N454))</f>
        <v/>
      </c>
      <c r="O1514" s="125" t="str">
        <f>IF(tech_base!$T50&gt;O$1465,"",(tech_base!$J50/tech_proj!O174*0.086*$N$110)/(1-tech_proj!O454))</f>
        <v/>
      </c>
      <c r="P1514" s="125" t="str">
        <f>IF(tech_base!$T50&gt;P$1465,"",(tech_base!$J50/tech_proj!P174*0.086*$N$110)/(1-tech_proj!P454))</f>
        <v/>
      </c>
      <c r="Q1514" s="125" t="str">
        <f>IF(tech_base!$T50&gt;Q$1465,"",(tech_base!$J50/tech_proj!Q174*0.086*$N$110)/(1-tech_proj!Q454))</f>
        <v/>
      </c>
      <c r="R1514" s="125" t="str">
        <f>IF(tech_base!$T50&gt;R$1465,"",(tech_base!$J50/tech_proj!R174*0.086*$N$110)/(1-tech_proj!R454))</f>
        <v/>
      </c>
      <c r="S1514" s="125" t="str">
        <f>IF(tech_base!$T50&gt;S$1465,"",(tech_base!$J50/tech_proj!S174*0.086*$N$110)/(1-tech_proj!S454))</f>
        <v/>
      </c>
      <c r="T1514" s="125">
        <f>IF(tech_base!$T50&gt;T$1465,"",(tech_base!$J50/tech_proj!T174*0.086*$N$110)/(1-tech_proj!T454))</f>
        <v>0</v>
      </c>
      <c r="U1514" s="125">
        <f>IF(tech_base!$T50&gt;U$1465,"",(tech_base!$J50/tech_proj!U174*0.086*$N$110)/(1-tech_proj!U454))</f>
        <v>0</v>
      </c>
      <c r="V1514" s="125">
        <f>IF(tech_base!$T50&gt;V$1465,"",(tech_base!$J50/tech_proj!V174*0.086*$N$110)/(1-tech_proj!V454))</f>
        <v>0</v>
      </c>
      <c r="W1514" s="125">
        <f>IF(tech_base!$T50&gt;W$1465,"",(tech_base!$J50/tech_proj!W174*0.086*$N$110)/(1-tech_proj!W454))</f>
        <v>0</v>
      </c>
      <c r="X1514" s="125">
        <f>IF(tech_base!$T50&gt;X$1465,"",(tech_base!$J50/tech_proj!X174*0.086*$N$110)/(1-tech_proj!X454))</f>
        <v>0</v>
      </c>
      <c r="Y1514" s="125">
        <f>IF(tech_base!$T50&gt;Y$1465,"",(tech_base!$J50/tech_proj!Y174*0.086*$N$110)/(1-tech_proj!Y454))</f>
        <v>0</v>
      </c>
      <c r="Z1514" s="125">
        <f>IF(tech_base!$T50&gt;Z$1465,"",(tech_base!$J50/tech_proj!Z174*0.086*$N$110)/(1-tech_proj!Z454))</f>
        <v>0</v>
      </c>
      <c r="AA1514" s="125">
        <f>IF(tech_base!$T50&gt;AA$1465,"",(tech_base!$J50/tech_proj!AA174*0.086*$N$110)/(1-tech_proj!AA454))</f>
        <v>0</v>
      </c>
      <c r="AB1514" s="125">
        <f>IF(tech_base!$T50&gt;AB$1465,"",(tech_base!$J50/tech_proj!AB174*0.086*$N$110)/(1-tech_proj!AB454))</f>
        <v>0</v>
      </c>
      <c r="AC1514" s="125">
        <f>IF(tech_base!$T50&gt;AC$1465,"",(tech_base!$J50/tech_proj!AC174*0.086*$N$110)/(1-tech_proj!AC454))</f>
        <v>0</v>
      </c>
      <c r="AD1514" s="125">
        <f>IF(tech_base!$T50&gt;AD$1465,"",(tech_base!$J50/tech_proj!AD174*0.086*$N$110)/(1-tech_proj!AD454))</f>
        <v>0</v>
      </c>
      <c r="AE1514" s="125">
        <f>IF(tech_base!$T50&gt;AE$1465,"",(tech_base!$J50/tech_proj!AE174*0.086*$N$110)/(1-tech_proj!AE454))</f>
        <v>0</v>
      </c>
      <c r="AF1514" s="125">
        <f>IF(tech_base!$T50&gt;AF$1465,"",(tech_base!$J50/tech_proj!AF174*0.086*$N$110)/(1-tech_proj!AF454))</f>
        <v>0</v>
      </c>
      <c r="AG1514" s="125">
        <f>IF(tech_base!$T50&gt;AG$1465,"",(tech_base!$J50/tech_proj!AG174*0.086*$N$110)/(1-tech_proj!AG454))</f>
        <v>0</v>
      </c>
      <c r="AH1514" s="125">
        <f>IF(tech_base!$T50&gt;AH$1465,"",(tech_base!$J50/tech_proj!AH174*0.086*$N$110)/(1-tech_proj!AH454))</f>
        <v>0</v>
      </c>
      <c r="AI1514" s="125">
        <f>IF(tech_base!$T50&gt;AI$1465,"",(tech_base!$J50/tech_proj!AI174*0.086*$N$110)/(1-tech_proj!AI454))</f>
        <v>0</v>
      </c>
      <c r="AJ1514" s="125">
        <f>IF(tech_base!$T50&gt;AJ$1465,"",(tech_base!$J50/tech_proj!AJ174*0.086*$N$110)/(1-tech_proj!AJ454))</f>
        <v>0</v>
      </c>
      <c r="AK1514" s="125">
        <f>IF(tech_base!$T50&gt;AK$1465,"",(tech_base!$J50/tech_proj!AK174*0.086*$N$110)/(1-tech_proj!AK454))</f>
        <v>0</v>
      </c>
      <c r="AL1514" s="125">
        <f>IF(tech_base!$T50&gt;AL$1465,"",(tech_base!$J50/tech_proj!AL174*0.086*$N$110)/(1-tech_proj!AL454))</f>
        <v>0</v>
      </c>
      <c r="AM1514" s="125">
        <f>IF(tech_base!$T50&gt;AM$1465,"",(tech_base!$J50/tech_proj!AM174*0.086*$N$110)/(1-tech_proj!AM454))</f>
        <v>0</v>
      </c>
      <c r="AN1514" s="125">
        <f>IF(tech_base!$T50&gt;AN$1465,"",(tech_base!$J50/tech_proj!AN174*0.086*$N$110)/(1-tech_proj!AN454))</f>
        <v>0</v>
      </c>
      <c r="AO1514" s="125">
        <f>IF(tech_base!$T50&gt;AO$1465,"",(tech_base!$J50/tech_proj!AO174*0.086*$N$110)/(1-tech_proj!AO454))</f>
        <v>0</v>
      </c>
      <c r="AP1514" s="125">
        <f>IF(tech_base!$T50&gt;AP$1465,"",(tech_base!$J50/tech_proj!AP174*0.086*$N$110)/(1-tech_proj!AP454))</f>
        <v>0</v>
      </c>
      <c r="AQ1514" s="125">
        <f>IF(tech_base!$T50&gt;AQ$1465,"",(tech_base!$J50/tech_proj!AQ174*0.086*$N$110)/(1-tech_proj!AQ454))</f>
        <v>0</v>
      </c>
      <c r="AR1514" s="125">
        <f>IF(tech_base!$T50&gt;AR$1465,"",(tech_base!$J50/tech_proj!AR174*0.086*$N$110)/(1-tech_proj!AR454))</f>
        <v>0</v>
      </c>
      <c r="AS1514" s="125">
        <f>IF(tech_base!$T50&gt;AS$1465,"",(tech_base!$J50/tech_proj!AS174*0.086*$N$110)/(1-tech_proj!AS454))</f>
        <v>0</v>
      </c>
      <c r="AT1514" s="125">
        <f>IF(tech_base!$T50&gt;AT$1465,"",(tech_base!$J50/tech_proj!AT174*0.086*$N$110)/(1-tech_proj!AT454))</f>
        <v>0</v>
      </c>
      <c r="AU1514" s="125">
        <f>IF(tech_base!$T50&gt;AU$1465,"",(tech_base!$J50/tech_proj!AU174*0.086*$N$110)/(1-tech_proj!AU454))</f>
        <v>0</v>
      </c>
      <c r="AV1514" s="125">
        <f>IF(tech_base!$T50&gt;AV$1465,"",(tech_base!$J50/tech_proj!AV174*0.086*$N$110)/(1-tech_proj!AV454))</f>
        <v>0</v>
      </c>
      <c r="AW1514" s="125">
        <f>IF(tech_base!$T50&gt;AW$1465,"",(tech_base!$J50/tech_proj!AW174*0.086*$N$110)/(1-tech_proj!AW454))</f>
        <v>0</v>
      </c>
      <c r="AX1514" s="126">
        <f>IF(tech_base!$T50&gt;AX$1465,"",(tech_base!$J50/tech_proj!AX174*0.086*$N$110)/(1-tech_proj!AX454))</f>
        <v>0</v>
      </c>
    </row>
    <row r="1515" spans="1:50" x14ac:dyDescent="0.25">
      <c r="A1515" s="356"/>
      <c r="B1515" s="376"/>
      <c r="C1515" s="361" t="s">
        <v>15</v>
      </c>
      <c r="D1515" s="58" t="s">
        <v>7</v>
      </c>
      <c r="E1515" s="164" t="str">
        <f>A1511&amp;"/"&amp;B1511&amp;"/"&amp;C1515&amp;"/"&amp;D1515</f>
        <v>Lignite fired power plants/Integrated gasification combined cycle/Electricity only with CCS/L</v>
      </c>
      <c r="F1515" s="78" t="str">
        <f>A1511</f>
        <v>Lignite fired power plants</v>
      </c>
      <c r="G1515" s="78" t="str">
        <f>B1511</f>
        <v>Integrated gasification combined cycle</v>
      </c>
      <c r="H1515" s="78" t="str">
        <f>C1515</f>
        <v>Electricity only with CCS</v>
      </c>
      <c r="I1515" s="165" t="str">
        <f t="shared" si="377"/>
        <v>L</v>
      </c>
      <c r="J1515" s="123" t="str">
        <f>IF(tech_base!$T51&gt;J$1465,"",(tech_base!$J51/tech_proj!J175*0.086*$N$110)/(1-tech_proj!J455))</f>
        <v/>
      </c>
      <c r="K1515" s="123" t="str">
        <f>IF(tech_base!$T51&gt;K$1465,"",(tech_base!$J51/tech_proj!K175*0.086*$N$110)/(1-tech_proj!K455))</f>
        <v/>
      </c>
      <c r="L1515" s="123" t="str">
        <f>IF(tech_base!$T51&gt;L$1465,"",(tech_base!$J51/tech_proj!L175*0.086*$N$110)/(1-tech_proj!L455))</f>
        <v/>
      </c>
      <c r="M1515" s="123" t="str">
        <f>IF(tech_base!$T51&gt;M$1465,"",(tech_base!$J51/tech_proj!M175*0.086*$N$110)/(1-tech_proj!M455))</f>
        <v/>
      </c>
      <c r="N1515" s="123" t="str">
        <f>IF(tech_base!$T51&gt;N$1465,"",(tech_base!$J51/tech_proj!N175*0.086*$N$110)/(1-tech_proj!N455))</f>
        <v/>
      </c>
      <c r="O1515" s="123" t="str">
        <f>IF(tech_base!$T51&gt;O$1465,"",(tech_base!$J51/tech_proj!O175*0.086*$N$110)/(1-tech_proj!O455))</f>
        <v/>
      </c>
      <c r="P1515" s="123" t="str">
        <f>IF(tech_base!$T51&gt;P$1465,"",(tech_base!$J51/tech_proj!P175*0.086*$N$110)/(1-tech_proj!P455))</f>
        <v/>
      </c>
      <c r="Q1515" s="123" t="str">
        <f>IF(tech_base!$T51&gt;Q$1465,"",(tech_base!$J51/tech_proj!Q175*0.086*$N$110)/(1-tech_proj!Q455))</f>
        <v/>
      </c>
      <c r="R1515" s="123" t="str">
        <f>IF(tech_base!$T51&gt;R$1465,"",(tech_base!$J51/tech_proj!R175*0.086*$N$110)/(1-tech_proj!R455))</f>
        <v/>
      </c>
      <c r="S1515" s="123" t="str">
        <f>IF(tech_base!$T51&gt;S$1465,"",(tech_base!$J51/tech_proj!S175*0.086*$N$110)/(1-tech_proj!S455))</f>
        <v/>
      </c>
      <c r="T1515" s="123" t="str">
        <f>IF(tech_base!$T51&gt;T$1465,"",(tech_base!$J51/tech_proj!T175*0.086*$N$110)/(1-tech_proj!T455))</f>
        <v/>
      </c>
      <c r="U1515" s="123" t="str">
        <f>IF(tech_base!$T51&gt;U$1465,"",(tech_base!$J51/tech_proj!U175*0.086*$N$110)/(1-tech_proj!U455))</f>
        <v/>
      </c>
      <c r="V1515" s="123" t="str">
        <f>IF(tech_base!$T51&gt;V$1465,"",(tech_base!$J51/tech_proj!V175*0.086*$N$110)/(1-tech_proj!V455))</f>
        <v/>
      </c>
      <c r="W1515" s="123" t="str">
        <f>IF(tech_base!$T51&gt;W$1465,"",(tech_base!$J51/tech_proj!W175*0.086*$N$110)/(1-tech_proj!W455))</f>
        <v/>
      </c>
      <c r="X1515" s="123" t="str">
        <f>IF(tech_base!$T51&gt;X$1465,"",(tech_base!$J51/tech_proj!X175*0.086*$N$110)/(1-tech_proj!X455))</f>
        <v/>
      </c>
      <c r="Y1515" s="123" t="str">
        <f>IF(tech_base!$T51&gt;Y$1465,"",(tech_base!$J51/tech_proj!Y175*0.086*$N$110)/(1-tech_proj!Y455))</f>
        <v/>
      </c>
      <c r="Z1515" s="123" t="str">
        <f>IF(tech_base!$T51&gt;Z$1465,"",(tech_base!$J51/tech_proj!Z175*0.086*$N$110)/(1-tech_proj!Z455))</f>
        <v/>
      </c>
      <c r="AA1515" s="123" t="str">
        <f>IF(tech_base!$T51&gt;AA$1465,"",(tech_base!$J51/tech_proj!AA175*0.086*$N$110)/(1-tech_proj!AA455))</f>
        <v/>
      </c>
      <c r="AB1515" s="123" t="str">
        <f>IF(tech_base!$T51&gt;AB$1465,"",(tech_base!$J51/tech_proj!AB175*0.086*$N$110)/(1-tech_proj!AB455))</f>
        <v/>
      </c>
      <c r="AC1515" s="123" t="str">
        <f>IF(tech_base!$T51&gt;AC$1465,"",(tech_base!$J51/tech_proj!AC175*0.086*$N$110)/(1-tech_proj!AC455))</f>
        <v/>
      </c>
      <c r="AD1515" s="123" t="str">
        <f>IF(tech_base!$T51&gt;AD$1465,"",(tech_base!$J51/tech_proj!AD175*0.086*$N$110)/(1-tech_proj!AD455))</f>
        <v/>
      </c>
      <c r="AE1515" s="123">
        <f>IF(tech_base!$T51&gt;AE$1465,"",(tech_base!$J51/tech_proj!AE175*0.086*$N$110)/(1-tech_proj!AE455))</f>
        <v>0</v>
      </c>
      <c r="AF1515" s="123">
        <f>IF(tech_base!$T51&gt;AF$1465,"",(tech_base!$J51/tech_proj!AF175*0.086*$N$110)/(1-tech_proj!AF455))</f>
        <v>0</v>
      </c>
      <c r="AG1515" s="123">
        <f>IF(tech_base!$T51&gt;AG$1465,"",(tech_base!$J51/tech_proj!AG175*0.086*$N$110)/(1-tech_proj!AG455))</f>
        <v>0</v>
      </c>
      <c r="AH1515" s="123">
        <f>IF(tech_base!$T51&gt;AH$1465,"",(tech_base!$J51/tech_proj!AH175*0.086*$N$110)/(1-tech_proj!AH455))</f>
        <v>0</v>
      </c>
      <c r="AI1515" s="123">
        <f>IF(tech_base!$T51&gt;AI$1465,"",(tech_base!$J51/tech_proj!AI175*0.086*$N$110)/(1-tech_proj!AI455))</f>
        <v>0</v>
      </c>
      <c r="AJ1515" s="123">
        <f>IF(tech_base!$T51&gt;AJ$1465,"",(tech_base!$J51/tech_proj!AJ175*0.086*$N$110)/(1-tech_proj!AJ455))</f>
        <v>0</v>
      </c>
      <c r="AK1515" s="123">
        <f>IF(tech_base!$T51&gt;AK$1465,"",(tech_base!$J51/tech_proj!AK175*0.086*$N$110)/(1-tech_proj!AK455))</f>
        <v>0</v>
      </c>
      <c r="AL1515" s="123">
        <f>IF(tech_base!$T51&gt;AL$1465,"",(tech_base!$J51/tech_proj!AL175*0.086*$N$110)/(1-tech_proj!AL455))</f>
        <v>0</v>
      </c>
      <c r="AM1515" s="123">
        <f>IF(tech_base!$T51&gt;AM$1465,"",(tech_base!$J51/tech_proj!AM175*0.086*$N$110)/(1-tech_proj!AM455))</f>
        <v>0</v>
      </c>
      <c r="AN1515" s="123">
        <f>IF(tech_base!$T51&gt;AN$1465,"",(tech_base!$J51/tech_proj!AN175*0.086*$N$110)/(1-tech_proj!AN455))</f>
        <v>0</v>
      </c>
      <c r="AO1515" s="123">
        <f>IF(tech_base!$T51&gt;AO$1465,"",(tech_base!$J51/tech_proj!AO175*0.086*$N$110)/(1-tech_proj!AO455))</f>
        <v>0</v>
      </c>
      <c r="AP1515" s="123">
        <f>IF(tech_base!$T51&gt;AP$1465,"",(tech_base!$J51/tech_proj!AP175*0.086*$N$110)/(1-tech_proj!AP455))</f>
        <v>0</v>
      </c>
      <c r="AQ1515" s="123">
        <f>IF(tech_base!$T51&gt;AQ$1465,"",(tech_base!$J51/tech_proj!AQ175*0.086*$N$110)/(1-tech_proj!AQ455))</f>
        <v>0</v>
      </c>
      <c r="AR1515" s="123">
        <f>IF(tech_base!$T51&gt;AR$1465,"",(tech_base!$J51/tech_proj!AR175*0.086*$N$110)/(1-tech_proj!AR455))</f>
        <v>0</v>
      </c>
      <c r="AS1515" s="123">
        <f>IF(tech_base!$T51&gt;AS$1465,"",(tech_base!$J51/tech_proj!AS175*0.086*$N$110)/(1-tech_proj!AS455))</f>
        <v>0</v>
      </c>
      <c r="AT1515" s="123">
        <f>IF(tech_base!$T51&gt;AT$1465,"",(tech_base!$J51/tech_proj!AT175*0.086*$N$110)/(1-tech_proj!AT455))</f>
        <v>0</v>
      </c>
      <c r="AU1515" s="123">
        <f>IF(tech_base!$T51&gt;AU$1465,"",(tech_base!$J51/tech_proj!AU175*0.086*$N$110)/(1-tech_proj!AU455))</f>
        <v>0</v>
      </c>
      <c r="AV1515" s="123">
        <f>IF(tech_base!$T51&gt;AV$1465,"",(tech_base!$J51/tech_proj!AV175*0.086*$N$110)/(1-tech_proj!AV455))</f>
        <v>0</v>
      </c>
      <c r="AW1515" s="123">
        <f>IF(tech_base!$T51&gt;AW$1465,"",(tech_base!$J51/tech_proj!AW175*0.086*$N$110)/(1-tech_proj!AW455))</f>
        <v>0</v>
      </c>
      <c r="AX1515" s="124">
        <f>IF(tech_base!$T51&gt;AX$1465,"",(tech_base!$J51/tech_proj!AX175*0.086*$N$110)/(1-tech_proj!AX455))</f>
        <v>0</v>
      </c>
    </row>
    <row r="1516" spans="1:50" x14ac:dyDescent="0.25">
      <c r="A1516" s="356"/>
      <c r="B1516" s="376"/>
      <c r="C1516" s="379"/>
      <c r="D1516" s="59" t="s">
        <v>8</v>
      </c>
      <c r="E1516" s="166" t="str">
        <f>A1511&amp;"/"&amp;B1511&amp;"/"&amp;C1515&amp;"/"&amp;D1516</f>
        <v>Lignite fired power plants/Integrated gasification combined cycle/Electricity only with CCS/M</v>
      </c>
      <c r="F1516" s="79" t="str">
        <f>A1511</f>
        <v>Lignite fired power plants</v>
      </c>
      <c r="G1516" s="79" t="str">
        <f>B1511</f>
        <v>Integrated gasification combined cycle</v>
      </c>
      <c r="H1516" s="79" t="str">
        <f>C1515</f>
        <v>Electricity only with CCS</v>
      </c>
      <c r="I1516" s="167" t="str">
        <f t="shared" si="377"/>
        <v>M</v>
      </c>
      <c r="J1516" s="125" t="str">
        <f>IF(tech_base!$T52&gt;J$1465,"",(tech_base!$J52/tech_proj!J176*0.086*$N$110)/(1-tech_proj!J456))</f>
        <v/>
      </c>
      <c r="K1516" s="125" t="str">
        <f>IF(tech_base!$T52&gt;K$1465,"",(tech_base!$J52/tech_proj!K176*0.086*$N$110)/(1-tech_proj!K456))</f>
        <v/>
      </c>
      <c r="L1516" s="125" t="str">
        <f>IF(tech_base!$T52&gt;L$1465,"",(tech_base!$J52/tech_proj!L176*0.086*$N$110)/(1-tech_proj!L456))</f>
        <v/>
      </c>
      <c r="M1516" s="125" t="str">
        <f>IF(tech_base!$T52&gt;M$1465,"",(tech_base!$J52/tech_proj!M176*0.086*$N$110)/(1-tech_proj!M456))</f>
        <v/>
      </c>
      <c r="N1516" s="125" t="str">
        <f>IF(tech_base!$T52&gt;N$1465,"",(tech_base!$J52/tech_proj!N176*0.086*$N$110)/(1-tech_proj!N456))</f>
        <v/>
      </c>
      <c r="O1516" s="125" t="str">
        <f>IF(tech_base!$T52&gt;O$1465,"",(tech_base!$J52/tech_proj!O176*0.086*$N$110)/(1-tech_proj!O456))</f>
        <v/>
      </c>
      <c r="P1516" s="125" t="str">
        <f>IF(tech_base!$T52&gt;P$1465,"",(tech_base!$J52/tech_proj!P176*0.086*$N$110)/(1-tech_proj!P456))</f>
        <v/>
      </c>
      <c r="Q1516" s="125" t="str">
        <f>IF(tech_base!$T52&gt;Q$1465,"",(tech_base!$J52/tech_proj!Q176*0.086*$N$110)/(1-tech_proj!Q456))</f>
        <v/>
      </c>
      <c r="R1516" s="125" t="str">
        <f>IF(tech_base!$T52&gt;R$1465,"",(tech_base!$J52/tech_proj!R176*0.086*$N$110)/(1-tech_proj!R456))</f>
        <v/>
      </c>
      <c r="S1516" s="125" t="str">
        <f>IF(tech_base!$T52&gt;S$1465,"",(tech_base!$J52/tech_proj!S176*0.086*$N$110)/(1-tech_proj!S456))</f>
        <v/>
      </c>
      <c r="T1516" s="125" t="str">
        <f>IF(tech_base!$T52&gt;T$1465,"",(tech_base!$J52/tech_proj!T176*0.086*$N$110)/(1-tech_proj!T456))</f>
        <v/>
      </c>
      <c r="U1516" s="125" t="str">
        <f>IF(tech_base!$T52&gt;U$1465,"",(tech_base!$J52/tech_proj!U176*0.086*$N$110)/(1-tech_proj!U456))</f>
        <v/>
      </c>
      <c r="V1516" s="125" t="str">
        <f>IF(tech_base!$T52&gt;V$1465,"",(tech_base!$J52/tech_proj!V176*0.086*$N$110)/(1-tech_proj!V456))</f>
        <v/>
      </c>
      <c r="W1516" s="125" t="str">
        <f>IF(tech_base!$T52&gt;W$1465,"",(tech_base!$J52/tech_proj!W176*0.086*$N$110)/(1-tech_proj!W456))</f>
        <v/>
      </c>
      <c r="X1516" s="125" t="str">
        <f>IF(tech_base!$T52&gt;X$1465,"",(tech_base!$J52/tech_proj!X176*0.086*$N$110)/(1-tech_proj!X456))</f>
        <v/>
      </c>
      <c r="Y1516" s="125" t="str">
        <f>IF(tech_base!$T52&gt;Y$1465,"",(tech_base!$J52/tech_proj!Y176*0.086*$N$110)/(1-tech_proj!Y456))</f>
        <v/>
      </c>
      <c r="Z1516" s="125" t="str">
        <f>IF(tech_base!$T52&gt;Z$1465,"",(tech_base!$J52/tech_proj!Z176*0.086*$N$110)/(1-tech_proj!Z456))</f>
        <v/>
      </c>
      <c r="AA1516" s="125" t="str">
        <f>IF(tech_base!$T52&gt;AA$1465,"",(tech_base!$J52/tech_proj!AA176*0.086*$N$110)/(1-tech_proj!AA456))</f>
        <v/>
      </c>
      <c r="AB1516" s="125" t="str">
        <f>IF(tech_base!$T52&gt;AB$1465,"",(tech_base!$J52/tech_proj!AB176*0.086*$N$110)/(1-tech_proj!AB456))</f>
        <v/>
      </c>
      <c r="AC1516" s="125" t="str">
        <f>IF(tech_base!$T52&gt;AC$1465,"",(tech_base!$J52/tech_proj!AC176*0.086*$N$110)/(1-tech_proj!AC456))</f>
        <v/>
      </c>
      <c r="AD1516" s="125" t="str">
        <f>IF(tech_base!$T52&gt;AD$1465,"",(tech_base!$J52/tech_proj!AD176*0.086*$N$110)/(1-tech_proj!AD456))</f>
        <v/>
      </c>
      <c r="AE1516" s="125">
        <f>IF(tech_base!$T52&gt;AE$1465,"",(tech_base!$J52/tech_proj!AE176*0.086*$N$110)/(1-tech_proj!AE456))</f>
        <v>0</v>
      </c>
      <c r="AF1516" s="125">
        <f>IF(tech_base!$T52&gt;AF$1465,"",(tech_base!$J52/tech_proj!AF176*0.086*$N$110)/(1-tech_proj!AF456))</f>
        <v>0</v>
      </c>
      <c r="AG1516" s="125">
        <f>IF(tech_base!$T52&gt;AG$1465,"",(tech_base!$J52/tech_proj!AG176*0.086*$N$110)/(1-tech_proj!AG456))</f>
        <v>0</v>
      </c>
      <c r="AH1516" s="125">
        <f>IF(tech_base!$T52&gt;AH$1465,"",(tech_base!$J52/tech_proj!AH176*0.086*$N$110)/(1-tech_proj!AH456))</f>
        <v>0</v>
      </c>
      <c r="AI1516" s="125">
        <f>IF(tech_base!$T52&gt;AI$1465,"",(tech_base!$J52/tech_proj!AI176*0.086*$N$110)/(1-tech_proj!AI456))</f>
        <v>0</v>
      </c>
      <c r="AJ1516" s="125">
        <f>IF(tech_base!$T52&gt;AJ$1465,"",(tech_base!$J52/tech_proj!AJ176*0.086*$N$110)/(1-tech_proj!AJ456))</f>
        <v>0</v>
      </c>
      <c r="AK1516" s="125">
        <f>IF(tech_base!$T52&gt;AK$1465,"",(tech_base!$J52/tech_proj!AK176*0.086*$N$110)/(1-tech_proj!AK456))</f>
        <v>0</v>
      </c>
      <c r="AL1516" s="125">
        <f>IF(tech_base!$T52&gt;AL$1465,"",(tech_base!$J52/tech_proj!AL176*0.086*$N$110)/(1-tech_proj!AL456))</f>
        <v>0</v>
      </c>
      <c r="AM1516" s="125">
        <f>IF(tech_base!$T52&gt;AM$1465,"",(tech_base!$J52/tech_proj!AM176*0.086*$N$110)/(1-tech_proj!AM456))</f>
        <v>0</v>
      </c>
      <c r="AN1516" s="125">
        <f>IF(tech_base!$T52&gt;AN$1465,"",(tech_base!$J52/tech_proj!AN176*0.086*$N$110)/(1-tech_proj!AN456))</f>
        <v>0</v>
      </c>
      <c r="AO1516" s="125">
        <f>IF(tech_base!$T52&gt;AO$1465,"",(tech_base!$J52/tech_proj!AO176*0.086*$N$110)/(1-tech_proj!AO456))</f>
        <v>0</v>
      </c>
      <c r="AP1516" s="125">
        <f>IF(tech_base!$T52&gt;AP$1465,"",(tech_base!$J52/tech_proj!AP176*0.086*$N$110)/(1-tech_proj!AP456))</f>
        <v>0</v>
      </c>
      <c r="AQ1516" s="125">
        <f>IF(tech_base!$T52&gt;AQ$1465,"",(tech_base!$J52/tech_proj!AQ176*0.086*$N$110)/(1-tech_proj!AQ456))</f>
        <v>0</v>
      </c>
      <c r="AR1516" s="125">
        <f>IF(tech_base!$T52&gt;AR$1465,"",(tech_base!$J52/tech_proj!AR176*0.086*$N$110)/(1-tech_proj!AR456))</f>
        <v>0</v>
      </c>
      <c r="AS1516" s="125">
        <f>IF(tech_base!$T52&gt;AS$1465,"",(tech_base!$J52/tech_proj!AS176*0.086*$N$110)/(1-tech_proj!AS456))</f>
        <v>0</v>
      </c>
      <c r="AT1516" s="125">
        <f>IF(tech_base!$T52&gt;AT$1465,"",(tech_base!$J52/tech_proj!AT176*0.086*$N$110)/(1-tech_proj!AT456))</f>
        <v>0</v>
      </c>
      <c r="AU1516" s="125">
        <f>IF(tech_base!$T52&gt;AU$1465,"",(tech_base!$J52/tech_proj!AU176*0.086*$N$110)/(1-tech_proj!AU456))</f>
        <v>0</v>
      </c>
      <c r="AV1516" s="125">
        <f>IF(tech_base!$T52&gt;AV$1465,"",(tech_base!$J52/tech_proj!AV176*0.086*$N$110)/(1-tech_proj!AV456))</f>
        <v>0</v>
      </c>
      <c r="AW1516" s="125">
        <f>IF(tech_base!$T52&gt;AW$1465,"",(tech_base!$J52/tech_proj!AW176*0.086*$N$110)/(1-tech_proj!AW456))</f>
        <v>0</v>
      </c>
      <c r="AX1516" s="126">
        <f>IF(tech_base!$T52&gt;AX$1465,"",(tech_base!$J52/tech_proj!AX176*0.086*$N$110)/(1-tech_proj!AX456))</f>
        <v>0</v>
      </c>
    </row>
    <row r="1517" spans="1:50" x14ac:dyDescent="0.25">
      <c r="A1517" s="356"/>
      <c r="B1517" s="376"/>
      <c r="C1517" s="361" t="s">
        <v>16</v>
      </c>
      <c r="D1517" s="2" t="s">
        <v>7</v>
      </c>
      <c r="E1517" s="160" t="str">
        <f>A1511&amp;"/"&amp;B1511&amp;"/"&amp;C1517&amp;"/"&amp;D1517</f>
        <v>Lignite fired power plants/Integrated gasification combined cycle/CHP with CCS/L</v>
      </c>
      <c r="F1517" s="76" t="str">
        <f>A1511</f>
        <v>Lignite fired power plants</v>
      </c>
      <c r="G1517" s="76" t="str">
        <f>B1511</f>
        <v>Integrated gasification combined cycle</v>
      </c>
      <c r="H1517" s="76" t="str">
        <f>C1517</f>
        <v>CHP with CCS</v>
      </c>
      <c r="I1517" s="161" t="str">
        <f t="shared" si="377"/>
        <v>L</v>
      </c>
      <c r="J1517" s="119" t="str">
        <f>IF(tech_base!$T53&gt;J$1465,"",(tech_base!$J53/tech_proj!J177*0.086*$N$110)/(1-tech_proj!J457))</f>
        <v/>
      </c>
      <c r="K1517" s="119" t="str">
        <f>IF(tech_base!$T53&gt;K$1465,"",(tech_base!$J53/tech_proj!K177*0.086*$N$110)/(1-tech_proj!K457))</f>
        <v/>
      </c>
      <c r="L1517" s="119" t="str">
        <f>IF(tech_base!$T53&gt;L$1465,"",(tech_base!$J53/tech_proj!L177*0.086*$N$110)/(1-tech_proj!L457))</f>
        <v/>
      </c>
      <c r="M1517" s="119" t="str">
        <f>IF(tech_base!$T53&gt;M$1465,"",(tech_base!$J53/tech_proj!M177*0.086*$N$110)/(1-tech_proj!M457))</f>
        <v/>
      </c>
      <c r="N1517" s="119" t="str">
        <f>IF(tech_base!$T53&gt;N$1465,"",(tech_base!$J53/tech_proj!N177*0.086*$N$110)/(1-tech_proj!N457))</f>
        <v/>
      </c>
      <c r="O1517" s="119" t="str">
        <f>IF(tech_base!$T53&gt;O$1465,"",(tech_base!$J53/tech_proj!O177*0.086*$N$110)/(1-tech_proj!O457))</f>
        <v/>
      </c>
      <c r="P1517" s="119" t="str">
        <f>IF(tech_base!$T53&gt;P$1465,"",(tech_base!$J53/tech_proj!P177*0.086*$N$110)/(1-tech_proj!P457))</f>
        <v/>
      </c>
      <c r="Q1517" s="119" t="str">
        <f>IF(tech_base!$T53&gt;Q$1465,"",(tech_base!$J53/tech_proj!Q177*0.086*$N$110)/(1-tech_proj!Q457))</f>
        <v/>
      </c>
      <c r="R1517" s="119" t="str">
        <f>IF(tech_base!$T53&gt;R$1465,"",(tech_base!$J53/tech_proj!R177*0.086*$N$110)/(1-tech_proj!R457))</f>
        <v/>
      </c>
      <c r="S1517" s="119" t="str">
        <f>IF(tech_base!$T53&gt;S$1465,"",(tech_base!$J53/tech_proj!S177*0.086*$N$110)/(1-tech_proj!S457))</f>
        <v/>
      </c>
      <c r="T1517" s="119" t="str">
        <f>IF(tech_base!$T53&gt;T$1465,"",(tech_base!$J53/tech_proj!T177*0.086*$N$110)/(1-tech_proj!T457))</f>
        <v/>
      </c>
      <c r="U1517" s="119" t="str">
        <f>IF(tech_base!$T53&gt;U$1465,"",(tech_base!$J53/tech_proj!U177*0.086*$N$110)/(1-tech_proj!U457))</f>
        <v/>
      </c>
      <c r="V1517" s="119" t="str">
        <f>IF(tech_base!$T53&gt;V$1465,"",(tech_base!$J53/tech_proj!V177*0.086*$N$110)/(1-tech_proj!V457))</f>
        <v/>
      </c>
      <c r="W1517" s="119" t="str">
        <f>IF(tech_base!$T53&gt;W$1465,"",(tech_base!$J53/tech_proj!W177*0.086*$N$110)/(1-tech_proj!W457))</f>
        <v/>
      </c>
      <c r="X1517" s="119" t="str">
        <f>IF(tech_base!$T53&gt;X$1465,"",(tech_base!$J53/tech_proj!X177*0.086*$N$110)/(1-tech_proj!X457))</f>
        <v/>
      </c>
      <c r="Y1517" s="119" t="str">
        <f>IF(tech_base!$T53&gt;Y$1465,"",(tech_base!$J53/tech_proj!Y177*0.086*$N$110)/(1-tech_proj!Y457))</f>
        <v/>
      </c>
      <c r="Z1517" s="119" t="str">
        <f>IF(tech_base!$T53&gt;Z$1465,"",(tech_base!$J53/tech_proj!Z177*0.086*$N$110)/(1-tech_proj!Z457))</f>
        <v/>
      </c>
      <c r="AA1517" s="119" t="str">
        <f>IF(tech_base!$T53&gt;AA$1465,"",(tech_base!$J53/tech_proj!AA177*0.086*$N$110)/(1-tech_proj!AA457))</f>
        <v/>
      </c>
      <c r="AB1517" s="119" t="str">
        <f>IF(tech_base!$T53&gt;AB$1465,"",(tech_base!$J53/tech_proj!AB177*0.086*$N$110)/(1-tech_proj!AB457))</f>
        <v/>
      </c>
      <c r="AC1517" s="119" t="str">
        <f>IF(tech_base!$T53&gt;AC$1465,"",(tech_base!$J53/tech_proj!AC177*0.086*$N$110)/(1-tech_proj!AC457))</f>
        <v/>
      </c>
      <c r="AD1517" s="119" t="str">
        <f>IF(tech_base!$T53&gt;AD$1465,"",(tech_base!$J53/tech_proj!AD177*0.086*$N$110)/(1-tech_proj!AD457))</f>
        <v/>
      </c>
      <c r="AE1517" s="119">
        <f>IF(tech_base!$T53&gt;AE$1465,"",(tech_base!$J53/tech_proj!AE177*0.086*$N$110)/(1-tech_proj!AE457))</f>
        <v>0</v>
      </c>
      <c r="AF1517" s="119">
        <f>IF(tech_base!$T53&gt;AF$1465,"",(tech_base!$J53/tech_proj!AF177*0.086*$N$110)/(1-tech_proj!AF457))</f>
        <v>0</v>
      </c>
      <c r="AG1517" s="119">
        <f>IF(tech_base!$T53&gt;AG$1465,"",(tech_base!$J53/tech_proj!AG177*0.086*$N$110)/(1-tech_proj!AG457))</f>
        <v>0</v>
      </c>
      <c r="AH1517" s="119">
        <f>IF(tech_base!$T53&gt;AH$1465,"",(tech_base!$J53/tech_proj!AH177*0.086*$N$110)/(1-tech_proj!AH457))</f>
        <v>0</v>
      </c>
      <c r="AI1517" s="119">
        <f>IF(tech_base!$T53&gt;AI$1465,"",(tech_base!$J53/tech_proj!AI177*0.086*$N$110)/(1-tech_proj!AI457))</f>
        <v>0</v>
      </c>
      <c r="AJ1517" s="119">
        <f>IF(tech_base!$T53&gt;AJ$1465,"",(tech_base!$J53/tech_proj!AJ177*0.086*$N$110)/(1-tech_proj!AJ457))</f>
        <v>0</v>
      </c>
      <c r="AK1517" s="119">
        <f>IF(tech_base!$T53&gt;AK$1465,"",(tech_base!$J53/tech_proj!AK177*0.086*$N$110)/(1-tech_proj!AK457))</f>
        <v>0</v>
      </c>
      <c r="AL1517" s="119">
        <f>IF(tech_base!$T53&gt;AL$1465,"",(tech_base!$J53/tech_proj!AL177*0.086*$N$110)/(1-tech_proj!AL457))</f>
        <v>0</v>
      </c>
      <c r="AM1517" s="119">
        <f>IF(tech_base!$T53&gt;AM$1465,"",(tech_base!$J53/tech_proj!AM177*0.086*$N$110)/(1-tech_proj!AM457))</f>
        <v>0</v>
      </c>
      <c r="AN1517" s="119">
        <f>IF(tech_base!$T53&gt;AN$1465,"",(tech_base!$J53/tech_proj!AN177*0.086*$N$110)/(1-tech_proj!AN457))</f>
        <v>0</v>
      </c>
      <c r="AO1517" s="119">
        <f>IF(tech_base!$T53&gt;AO$1465,"",(tech_base!$J53/tech_proj!AO177*0.086*$N$110)/(1-tech_proj!AO457))</f>
        <v>0</v>
      </c>
      <c r="AP1517" s="119">
        <f>IF(tech_base!$T53&gt;AP$1465,"",(tech_base!$J53/tech_proj!AP177*0.086*$N$110)/(1-tech_proj!AP457))</f>
        <v>0</v>
      </c>
      <c r="AQ1517" s="119">
        <f>IF(tech_base!$T53&gt;AQ$1465,"",(tech_base!$J53/tech_proj!AQ177*0.086*$N$110)/(1-tech_proj!AQ457))</f>
        <v>0</v>
      </c>
      <c r="AR1517" s="119">
        <f>IF(tech_base!$T53&gt;AR$1465,"",(tech_base!$J53/tech_proj!AR177*0.086*$N$110)/(1-tech_proj!AR457))</f>
        <v>0</v>
      </c>
      <c r="AS1517" s="119">
        <f>IF(tech_base!$T53&gt;AS$1465,"",(tech_base!$J53/tech_proj!AS177*0.086*$N$110)/(1-tech_proj!AS457))</f>
        <v>0</v>
      </c>
      <c r="AT1517" s="119">
        <f>IF(tech_base!$T53&gt;AT$1465,"",(tech_base!$J53/tech_proj!AT177*0.086*$N$110)/(1-tech_proj!AT457))</f>
        <v>0</v>
      </c>
      <c r="AU1517" s="119">
        <f>IF(tech_base!$T53&gt;AU$1465,"",(tech_base!$J53/tech_proj!AU177*0.086*$N$110)/(1-tech_proj!AU457))</f>
        <v>0</v>
      </c>
      <c r="AV1517" s="119">
        <f>IF(tech_base!$T53&gt;AV$1465,"",(tech_base!$J53/tech_proj!AV177*0.086*$N$110)/(1-tech_proj!AV457))</f>
        <v>0</v>
      </c>
      <c r="AW1517" s="119">
        <f>IF(tech_base!$T53&gt;AW$1465,"",(tech_base!$J53/tech_proj!AW177*0.086*$N$110)/(1-tech_proj!AW457))</f>
        <v>0</v>
      </c>
      <c r="AX1517" s="120">
        <f>IF(tech_base!$T53&gt;AX$1465,"",(tech_base!$J53/tech_proj!AX177*0.086*$N$110)/(1-tech_proj!AX457))</f>
        <v>0</v>
      </c>
    </row>
    <row r="1518" spans="1:50" x14ac:dyDescent="0.25">
      <c r="A1518" s="356"/>
      <c r="B1518" s="376"/>
      <c r="C1518" s="381"/>
      <c r="D1518" s="2" t="s">
        <v>8</v>
      </c>
      <c r="E1518" s="168" t="str">
        <f>A1511&amp;"/"&amp;B1511&amp;"/"&amp;C1517&amp;"/"&amp;D1518</f>
        <v>Lignite fired power plants/Integrated gasification combined cycle/CHP with CCS/M</v>
      </c>
      <c r="F1518" s="80" t="str">
        <f>A1511</f>
        <v>Lignite fired power plants</v>
      </c>
      <c r="G1518" s="80" t="str">
        <f>B1511</f>
        <v>Integrated gasification combined cycle</v>
      </c>
      <c r="H1518" s="80" t="str">
        <f>C1517</f>
        <v>CHP with CCS</v>
      </c>
      <c r="I1518" s="169" t="str">
        <f t="shared" si="377"/>
        <v>M</v>
      </c>
      <c r="J1518" s="127" t="str">
        <f>IF(tech_base!$T54&gt;J$1465,"",(tech_base!$J54/tech_proj!J178*0.086*$N$110)/(1-tech_proj!J458))</f>
        <v/>
      </c>
      <c r="K1518" s="127" t="str">
        <f>IF(tech_base!$T54&gt;K$1465,"",(tech_base!$J54/tech_proj!K178*0.086*$N$110)/(1-tech_proj!K458))</f>
        <v/>
      </c>
      <c r="L1518" s="127" t="str">
        <f>IF(tech_base!$T54&gt;L$1465,"",(tech_base!$J54/tech_proj!L178*0.086*$N$110)/(1-tech_proj!L458))</f>
        <v/>
      </c>
      <c r="M1518" s="127" t="str">
        <f>IF(tech_base!$T54&gt;M$1465,"",(tech_base!$J54/tech_proj!M178*0.086*$N$110)/(1-tech_proj!M458))</f>
        <v/>
      </c>
      <c r="N1518" s="127" t="str">
        <f>IF(tech_base!$T54&gt;N$1465,"",(tech_base!$J54/tech_proj!N178*0.086*$N$110)/(1-tech_proj!N458))</f>
        <v/>
      </c>
      <c r="O1518" s="127" t="str">
        <f>IF(tech_base!$T54&gt;O$1465,"",(tech_base!$J54/tech_proj!O178*0.086*$N$110)/(1-tech_proj!O458))</f>
        <v/>
      </c>
      <c r="P1518" s="127" t="str">
        <f>IF(tech_base!$T54&gt;P$1465,"",(tech_base!$J54/tech_proj!P178*0.086*$N$110)/(1-tech_proj!P458))</f>
        <v/>
      </c>
      <c r="Q1518" s="127" t="str">
        <f>IF(tech_base!$T54&gt;Q$1465,"",(tech_base!$J54/tech_proj!Q178*0.086*$N$110)/(1-tech_proj!Q458))</f>
        <v/>
      </c>
      <c r="R1518" s="127" t="str">
        <f>IF(tech_base!$T54&gt;R$1465,"",(tech_base!$J54/tech_proj!R178*0.086*$N$110)/(1-tech_proj!R458))</f>
        <v/>
      </c>
      <c r="S1518" s="127" t="str">
        <f>IF(tech_base!$T54&gt;S$1465,"",(tech_base!$J54/tech_proj!S178*0.086*$N$110)/(1-tech_proj!S458))</f>
        <v/>
      </c>
      <c r="T1518" s="127" t="str">
        <f>IF(tech_base!$T54&gt;T$1465,"",(tech_base!$J54/tech_proj!T178*0.086*$N$110)/(1-tech_proj!T458))</f>
        <v/>
      </c>
      <c r="U1518" s="127" t="str">
        <f>IF(tech_base!$T54&gt;U$1465,"",(tech_base!$J54/tech_proj!U178*0.086*$N$110)/(1-tech_proj!U458))</f>
        <v/>
      </c>
      <c r="V1518" s="127" t="str">
        <f>IF(tech_base!$T54&gt;V$1465,"",(tech_base!$J54/tech_proj!V178*0.086*$N$110)/(1-tech_proj!V458))</f>
        <v/>
      </c>
      <c r="W1518" s="127" t="str">
        <f>IF(tech_base!$T54&gt;W$1465,"",(tech_base!$J54/tech_proj!W178*0.086*$N$110)/(1-tech_proj!W458))</f>
        <v/>
      </c>
      <c r="X1518" s="127" t="str">
        <f>IF(tech_base!$T54&gt;X$1465,"",(tech_base!$J54/tech_proj!X178*0.086*$N$110)/(1-tech_proj!X458))</f>
        <v/>
      </c>
      <c r="Y1518" s="127" t="str">
        <f>IF(tech_base!$T54&gt;Y$1465,"",(tech_base!$J54/tech_proj!Y178*0.086*$N$110)/(1-tech_proj!Y458))</f>
        <v/>
      </c>
      <c r="Z1518" s="127" t="str">
        <f>IF(tech_base!$T54&gt;Z$1465,"",(tech_base!$J54/tech_proj!Z178*0.086*$N$110)/(1-tech_proj!Z458))</f>
        <v/>
      </c>
      <c r="AA1518" s="127" t="str">
        <f>IF(tech_base!$T54&gt;AA$1465,"",(tech_base!$J54/tech_proj!AA178*0.086*$N$110)/(1-tech_proj!AA458))</f>
        <v/>
      </c>
      <c r="AB1518" s="127" t="str">
        <f>IF(tech_base!$T54&gt;AB$1465,"",(tech_base!$J54/tech_proj!AB178*0.086*$N$110)/(1-tech_proj!AB458))</f>
        <v/>
      </c>
      <c r="AC1518" s="127" t="str">
        <f>IF(tech_base!$T54&gt;AC$1465,"",(tech_base!$J54/tech_proj!AC178*0.086*$N$110)/(1-tech_proj!AC458))</f>
        <v/>
      </c>
      <c r="AD1518" s="127" t="str">
        <f>IF(tech_base!$T54&gt;AD$1465,"",(tech_base!$J54/tech_proj!AD178*0.086*$N$110)/(1-tech_proj!AD458))</f>
        <v/>
      </c>
      <c r="AE1518" s="127">
        <f>IF(tech_base!$T54&gt;AE$1465,"",(tech_base!$J54/tech_proj!AE178*0.086*$N$110)/(1-tech_proj!AE458))</f>
        <v>0</v>
      </c>
      <c r="AF1518" s="127">
        <f>IF(tech_base!$T54&gt;AF$1465,"",(tech_base!$J54/tech_proj!AF178*0.086*$N$110)/(1-tech_proj!AF458))</f>
        <v>0</v>
      </c>
      <c r="AG1518" s="127">
        <f>IF(tech_base!$T54&gt;AG$1465,"",(tech_base!$J54/tech_proj!AG178*0.086*$N$110)/(1-tech_proj!AG458))</f>
        <v>0</v>
      </c>
      <c r="AH1518" s="127">
        <f>IF(tech_base!$T54&gt;AH$1465,"",(tech_base!$J54/tech_proj!AH178*0.086*$N$110)/(1-tech_proj!AH458))</f>
        <v>0</v>
      </c>
      <c r="AI1518" s="127">
        <f>IF(tech_base!$T54&gt;AI$1465,"",(tech_base!$J54/tech_proj!AI178*0.086*$N$110)/(1-tech_proj!AI458))</f>
        <v>0</v>
      </c>
      <c r="AJ1518" s="127">
        <f>IF(tech_base!$T54&gt;AJ$1465,"",(tech_base!$J54/tech_proj!AJ178*0.086*$N$110)/(1-tech_proj!AJ458))</f>
        <v>0</v>
      </c>
      <c r="AK1518" s="127">
        <f>IF(tech_base!$T54&gt;AK$1465,"",(tech_base!$J54/tech_proj!AK178*0.086*$N$110)/(1-tech_proj!AK458))</f>
        <v>0</v>
      </c>
      <c r="AL1518" s="127">
        <f>IF(tech_base!$T54&gt;AL$1465,"",(tech_base!$J54/tech_proj!AL178*0.086*$N$110)/(1-tech_proj!AL458))</f>
        <v>0</v>
      </c>
      <c r="AM1518" s="127">
        <f>IF(tech_base!$T54&gt;AM$1465,"",(tech_base!$J54/tech_proj!AM178*0.086*$N$110)/(1-tech_proj!AM458))</f>
        <v>0</v>
      </c>
      <c r="AN1518" s="127">
        <f>IF(tech_base!$T54&gt;AN$1465,"",(tech_base!$J54/tech_proj!AN178*0.086*$N$110)/(1-tech_proj!AN458))</f>
        <v>0</v>
      </c>
      <c r="AO1518" s="127">
        <f>IF(tech_base!$T54&gt;AO$1465,"",(tech_base!$J54/tech_proj!AO178*0.086*$N$110)/(1-tech_proj!AO458))</f>
        <v>0</v>
      </c>
      <c r="AP1518" s="127">
        <f>IF(tech_base!$T54&gt;AP$1465,"",(tech_base!$J54/tech_proj!AP178*0.086*$N$110)/(1-tech_proj!AP458))</f>
        <v>0</v>
      </c>
      <c r="AQ1518" s="127">
        <f>IF(tech_base!$T54&gt;AQ$1465,"",(tech_base!$J54/tech_proj!AQ178*0.086*$N$110)/(1-tech_proj!AQ458))</f>
        <v>0</v>
      </c>
      <c r="AR1518" s="127">
        <f>IF(tech_base!$T54&gt;AR$1465,"",(tech_base!$J54/tech_proj!AR178*0.086*$N$110)/(1-tech_proj!AR458))</f>
        <v>0</v>
      </c>
      <c r="AS1518" s="127">
        <f>IF(tech_base!$T54&gt;AS$1465,"",(tech_base!$J54/tech_proj!AS178*0.086*$N$110)/(1-tech_proj!AS458))</f>
        <v>0</v>
      </c>
      <c r="AT1518" s="127">
        <f>IF(tech_base!$T54&gt;AT$1465,"",(tech_base!$J54/tech_proj!AT178*0.086*$N$110)/(1-tech_proj!AT458))</f>
        <v>0</v>
      </c>
      <c r="AU1518" s="127">
        <f>IF(tech_base!$T54&gt;AU$1465,"",(tech_base!$J54/tech_proj!AU178*0.086*$N$110)/(1-tech_proj!AU458))</f>
        <v>0</v>
      </c>
      <c r="AV1518" s="127">
        <f>IF(tech_base!$T54&gt;AV$1465,"",(tech_base!$J54/tech_proj!AV178*0.086*$N$110)/(1-tech_proj!AV458))</f>
        <v>0</v>
      </c>
      <c r="AW1518" s="127">
        <f>IF(tech_base!$T54&gt;AW$1465,"",(tech_base!$J54/tech_proj!AW178*0.086*$N$110)/(1-tech_proj!AW458))</f>
        <v>0</v>
      </c>
      <c r="AX1518" s="128">
        <f>IF(tech_base!$T54&gt;AX$1465,"",(tech_base!$J54/tech_proj!AX178*0.086*$N$110)/(1-tech_proj!AX458))</f>
        <v>0</v>
      </c>
    </row>
    <row r="1519" spans="1:50" x14ac:dyDescent="0.25">
      <c r="A1519" s="356"/>
      <c r="B1519" s="358" t="s">
        <v>17</v>
      </c>
      <c r="C1519" s="353" t="s">
        <v>6</v>
      </c>
      <c r="D1519" s="3" t="s">
        <v>7</v>
      </c>
      <c r="E1519" s="162" t="str">
        <f>A1511&amp;"/"&amp;B1519&amp;"/"&amp;C1519&amp;"/"&amp;D1519</f>
        <v>Lignite fired power plants/Supercritical steam turbine/Electricity only/L</v>
      </c>
      <c r="F1519" s="77" t="str">
        <f>A1511</f>
        <v>Lignite fired power plants</v>
      </c>
      <c r="G1519" s="77" t="str">
        <f>B1519</f>
        <v>Supercritical steam turbine</v>
      </c>
      <c r="H1519" s="77" t="str">
        <f>C1519</f>
        <v>Electricity only</v>
      </c>
      <c r="I1519" s="163" t="str">
        <f t="shared" si="377"/>
        <v>L</v>
      </c>
      <c r="J1519" s="121">
        <f>IF(tech_base!$T55&gt;J$1465,"",(tech_base!$J55/tech_proj!J179*0.086*$N$110)/(1-tech_proj!J459))</f>
        <v>0</v>
      </c>
      <c r="K1519" s="121">
        <f>IF(tech_base!$T55&gt;K$1465,"",(tech_base!$J55/tech_proj!K179*0.086*$N$110)/(1-tech_proj!K459))</f>
        <v>0</v>
      </c>
      <c r="L1519" s="121">
        <f>IF(tech_base!$T55&gt;L$1465,"",(tech_base!$J55/tech_proj!L179*0.086*$N$110)/(1-tech_proj!L459))</f>
        <v>0</v>
      </c>
      <c r="M1519" s="121">
        <f>IF(tech_base!$T55&gt;M$1465,"",(tech_base!$J55/tech_proj!M179*0.086*$N$110)/(1-tech_proj!M459))</f>
        <v>0</v>
      </c>
      <c r="N1519" s="121">
        <f>IF(tech_base!$T55&gt;N$1465,"",(tech_base!$J55/tech_proj!N179*0.086*$N$110)/(1-tech_proj!N459))</f>
        <v>0</v>
      </c>
      <c r="O1519" s="121">
        <f>IF(tech_base!$T55&gt;O$1465,"",(tech_base!$J55/tech_proj!O179*0.086*$N$110)/(1-tech_proj!O459))</f>
        <v>0</v>
      </c>
      <c r="P1519" s="121">
        <f>IF(tech_base!$T55&gt;P$1465,"",(tech_base!$J55/tech_proj!P179*0.086*$N$110)/(1-tech_proj!P459))</f>
        <v>0</v>
      </c>
      <c r="Q1519" s="121">
        <f>IF(tech_base!$T55&gt;Q$1465,"",(tech_base!$J55/tech_proj!Q179*0.086*$N$110)/(1-tech_proj!Q459))</f>
        <v>0</v>
      </c>
      <c r="R1519" s="121">
        <f>IF(tech_base!$T55&gt;R$1465,"",(tech_base!$J55/tech_proj!R179*0.086*$N$110)/(1-tech_proj!R459))</f>
        <v>0</v>
      </c>
      <c r="S1519" s="121">
        <f>IF(tech_base!$T55&gt;S$1465,"",(tech_base!$J55/tech_proj!S179*0.086*$N$110)/(1-tech_proj!S459))</f>
        <v>0</v>
      </c>
      <c r="T1519" s="121">
        <f>IF(tech_base!$T55&gt;T$1465,"",(tech_base!$J55/tech_proj!T179*0.086*$N$110)/(1-tech_proj!T459))</f>
        <v>0</v>
      </c>
      <c r="U1519" s="121">
        <f>IF(tech_base!$T55&gt;U$1465,"",(tech_base!$J55/tech_proj!U179*0.086*$N$110)/(1-tech_proj!U459))</f>
        <v>0</v>
      </c>
      <c r="V1519" s="121">
        <f>IF(tech_base!$T55&gt;V$1465,"",(tech_base!$J55/tech_proj!V179*0.086*$N$110)/(1-tech_proj!V459))</f>
        <v>0</v>
      </c>
      <c r="W1519" s="121">
        <f>IF(tech_base!$T55&gt;W$1465,"",(tech_base!$J55/tech_proj!W179*0.086*$N$110)/(1-tech_proj!W459))</f>
        <v>0</v>
      </c>
      <c r="X1519" s="121">
        <f>IF(tech_base!$T55&gt;X$1465,"",(tech_base!$J55/tech_proj!X179*0.086*$N$110)/(1-tech_proj!X459))</f>
        <v>0</v>
      </c>
      <c r="Y1519" s="121">
        <f>IF(tech_base!$T55&gt;Y$1465,"",(tech_base!$J55/tech_proj!Y179*0.086*$N$110)/(1-tech_proj!Y459))</f>
        <v>0</v>
      </c>
      <c r="Z1519" s="121">
        <f>IF(tech_base!$T55&gt;Z$1465,"",(tech_base!$J55/tech_proj!Z179*0.086*$N$110)/(1-tech_proj!Z459))</f>
        <v>0</v>
      </c>
      <c r="AA1519" s="121">
        <f>IF(tech_base!$T55&gt;AA$1465,"",(tech_base!$J55/tech_proj!AA179*0.086*$N$110)/(1-tech_proj!AA459))</f>
        <v>0</v>
      </c>
      <c r="AB1519" s="121">
        <f>IF(tech_base!$T55&gt;AB$1465,"",(tech_base!$J55/tech_proj!AB179*0.086*$N$110)/(1-tech_proj!AB459))</f>
        <v>0</v>
      </c>
      <c r="AC1519" s="121">
        <f>IF(tech_base!$T55&gt;AC$1465,"",(tech_base!$J55/tech_proj!AC179*0.086*$N$110)/(1-tech_proj!AC459))</f>
        <v>0</v>
      </c>
      <c r="AD1519" s="121">
        <f>IF(tech_base!$T55&gt;AD$1465,"",(tech_base!$J55/tech_proj!AD179*0.086*$N$110)/(1-tech_proj!AD459))</f>
        <v>0</v>
      </c>
      <c r="AE1519" s="121">
        <f>IF(tech_base!$T55&gt;AE$1465,"",(tech_base!$J55/tech_proj!AE179*0.086*$N$110)/(1-tech_proj!AE459))</f>
        <v>0</v>
      </c>
      <c r="AF1519" s="121">
        <f>IF(tech_base!$T55&gt;AF$1465,"",(tech_base!$J55/tech_proj!AF179*0.086*$N$110)/(1-tech_proj!AF459))</f>
        <v>0</v>
      </c>
      <c r="AG1519" s="121">
        <f>IF(tech_base!$T55&gt;AG$1465,"",(tech_base!$J55/tech_proj!AG179*0.086*$N$110)/(1-tech_proj!AG459))</f>
        <v>0</v>
      </c>
      <c r="AH1519" s="121">
        <f>IF(tech_base!$T55&gt;AH$1465,"",(tech_base!$J55/tech_proj!AH179*0.086*$N$110)/(1-tech_proj!AH459))</f>
        <v>0</v>
      </c>
      <c r="AI1519" s="121">
        <f>IF(tech_base!$T55&gt;AI$1465,"",(tech_base!$J55/tech_proj!AI179*0.086*$N$110)/(1-tech_proj!AI459))</f>
        <v>0</v>
      </c>
      <c r="AJ1519" s="121">
        <f>IF(tech_base!$T55&gt;AJ$1465,"",(tech_base!$J55/tech_proj!AJ179*0.086*$N$110)/(1-tech_proj!AJ459))</f>
        <v>0</v>
      </c>
      <c r="AK1519" s="121">
        <f>IF(tech_base!$T55&gt;AK$1465,"",(tech_base!$J55/tech_proj!AK179*0.086*$N$110)/(1-tech_proj!AK459))</f>
        <v>0</v>
      </c>
      <c r="AL1519" s="121">
        <f>IF(tech_base!$T55&gt;AL$1465,"",(tech_base!$J55/tech_proj!AL179*0.086*$N$110)/(1-tech_proj!AL459))</f>
        <v>0</v>
      </c>
      <c r="AM1519" s="121">
        <f>IF(tech_base!$T55&gt;AM$1465,"",(tech_base!$J55/tech_proj!AM179*0.086*$N$110)/(1-tech_proj!AM459))</f>
        <v>0</v>
      </c>
      <c r="AN1519" s="121">
        <f>IF(tech_base!$T55&gt;AN$1465,"",(tech_base!$J55/tech_proj!AN179*0.086*$N$110)/(1-tech_proj!AN459))</f>
        <v>0</v>
      </c>
      <c r="AO1519" s="121">
        <f>IF(tech_base!$T55&gt;AO$1465,"",(tech_base!$J55/tech_proj!AO179*0.086*$N$110)/(1-tech_proj!AO459))</f>
        <v>0</v>
      </c>
      <c r="AP1519" s="121">
        <f>IF(tech_base!$T55&gt;AP$1465,"",(tech_base!$J55/tech_proj!AP179*0.086*$N$110)/(1-tech_proj!AP459))</f>
        <v>0</v>
      </c>
      <c r="AQ1519" s="121">
        <f>IF(tech_base!$T55&gt;AQ$1465,"",(tech_base!$J55/tech_proj!AQ179*0.086*$N$110)/(1-tech_proj!AQ459))</f>
        <v>0</v>
      </c>
      <c r="AR1519" s="121">
        <f>IF(tech_base!$T55&gt;AR$1465,"",(tech_base!$J55/tech_proj!AR179*0.086*$N$110)/(1-tech_proj!AR459))</f>
        <v>0</v>
      </c>
      <c r="AS1519" s="121">
        <f>IF(tech_base!$T55&gt;AS$1465,"",(tech_base!$J55/tech_proj!AS179*0.086*$N$110)/(1-tech_proj!AS459))</f>
        <v>0</v>
      </c>
      <c r="AT1519" s="121">
        <f>IF(tech_base!$T55&gt;AT$1465,"",(tech_base!$J55/tech_proj!AT179*0.086*$N$110)/(1-tech_proj!AT459))</f>
        <v>0</v>
      </c>
      <c r="AU1519" s="121">
        <f>IF(tech_base!$T55&gt;AU$1465,"",(tech_base!$J55/tech_proj!AU179*0.086*$N$110)/(1-tech_proj!AU459))</f>
        <v>0</v>
      </c>
      <c r="AV1519" s="121">
        <f>IF(tech_base!$T55&gt;AV$1465,"",(tech_base!$J55/tech_proj!AV179*0.086*$N$110)/(1-tech_proj!AV459))</f>
        <v>0</v>
      </c>
      <c r="AW1519" s="121">
        <f>IF(tech_base!$T55&gt;AW$1465,"",(tech_base!$J55/tech_proj!AW179*0.086*$N$110)/(1-tech_proj!AW459))</f>
        <v>0</v>
      </c>
      <c r="AX1519" s="122">
        <f>IF(tech_base!$T55&gt;AX$1465,"",(tech_base!$J55/tech_proj!AX179*0.086*$N$110)/(1-tech_proj!AX459))</f>
        <v>0</v>
      </c>
    </row>
    <row r="1520" spans="1:50" x14ac:dyDescent="0.25">
      <c r="A1520" s="356"/>
      <c r="B1520" s="376"/>
      <c r="C1520" s="379"/>
      <c r="D1520" s="2" t="s">
        <v>8</v>
      </c>
      <c r="E1520" s="160" t="str">
        <f>A1511&amp;"/"&amp;B1519&amp;"/"&amp;C1519&amp;"/"&amp;D1520</f>
        <v>Lignite fired power plants/Supercritical steam turbine/Electricity only/M</v>
      </c>
      <c r="F1520" s="76" t="str">
        <f>A1511</f>
        <v>Lignite fired power plants</v>
      </c>
      <c r="G1520" s="76" t="str">
        <f>B1519</f>
        <v>Supercritical steam turbine</v>
      </c>
      <c r="H1520" s="76" t="str">
        <f>C1519</f>
        <v>Electricity only</v>
      </c>
      <c r="I1520" s="161" t="str">
        <f t="shared" si="377"/>
        <v>M</v>
      </c>
      <c r="J1520" s="119">
        <f>IF(tech_base!$T56&gt;J$1465,"",(tech_base!$J56/tech_proj!J180*0.086*$N$110)/(1-tech_proj!J460))</f>
        <v>0</v>
      </c>
      <c r="K1520" s="119">
        <f>IF(tech_base!$T56&gt;K$1465,"",(tech_base!$J56/tech_proj!K180*0.086*$N$110)/(1-tech_proj!K460))</f>
        <v>0</v>
      </c>
      <c r="L1520" s="119">
        <f>IF(tech_base!$T56&gt;L$1465,"",(tech_base!$J56/tech_proj!L180*0.086*$N$110)/(1-tech_proj!L460))</f>
        <v>0</v>
      </c>
      <c r="M1520" s="119">
        <f>IF(tech_base!$T56&gt;M$1465,"",(tech_base!$J56/tech_proj!M180*0.086*$N$110)/(1-tech_proj!M460))</f>
        <v>0</v>
      </c>
      <c r="N1520" s="119">
        <f>IF(tech_base!$T56&gt;N$1465,"",(tech_base!$J56/tech_proj!N180*0.086*$N$110)/(1-tech_proj!N460))</f>
        <v>0</v>
      </c>
      <c r="O1520" s="119">
        <f>IF(tech_base!$T56&gt;O$1465,"",(tech_base!$J56/tech_proj!O180*0.086*$N$110)/(1-tech_proj!O460))</f>
        <v>0</v>
      </c>
      <c r="P1520" s="119">
        <f>IF(tech_base!$T56&gt;P$1465,"",(tech_base!$J56/tech_proj!P180*0.086*$N$110)/(1-tech_proj!P460))</f>
        <v>0</v>
      </c>
      <c r="Q1520" s="119">
        <f>IF(tech_base!$T56&gt;Q$1465,"",(tech_base!$J56/tech_proj!Q180*0.086*$N$110)/(1-tech_proj!Q460))</f>
        <v>0</v>
      </c>
      <c r="R1520" s="119">
        <f>IF(tech_base!$T56&gt;R$1465,"",(tech_base!$J56/tech_proj!R180*0.086*$N$110)/(1-tech_proj!R460))</f>
        <v>0</v>
      </c>
      <c r="S1520" s="119">
        <f>IF(tech_base!$T56&gt;S$1465,"",(tech_base!$J56/tech_proj!S180*0.086*$N$110)/(1-tech_proj!S460))</f>
        <v>0</v>
      </c>
      <c r="T1520" s="119">
        <f>IF(tech_base!$T56&gt;T$1465,"",(tech_base!$J56/tech_proj!T180*0.086*$N$110)/(1-tech_proj!T460))</f>
        <v>0</v>
      </c>
      <c r="U1520" s="119">
        <f>IF(tech_base!$T56&gt;U$1465,"",(tech_base!$J56/tech_proj!U180*0.086*$N$110)/(1-tech_proj!U460))</f>
        <v>0</v>
      </c>
      <c r="V1520" s="119">
        <f>IF(tech_base!$T56&gt;V$1465,"",(tech_base!$J56/tech_proj!V180*0.086*$N$110)/(1-tech_proj!V460))</f>
        <v>0</v>
      </c>
      <c r="W1520" s="119">
        <f>IF(tech_base!$T56&gt;W$1465,"",(tech_base!$J56/tech_proj!W180*0.086*$N$110)/(1-tech_proj!W460))</f>
        <v>0</v>
      </c>
      <c r="X1520" s="119">
        <f>IF(tech_base!$T56&gt;X$1465,"",(tech_base!$J56/tech_proj!X180*0.086*$N$110)/(1-tech_proj!X460))</f>
        <v>0</v>
      </c>
      <c r="Y1520" s="119">
        <f>IF(tech_base!$T56&gt;Y$1465,"",(tech_base!$J56/tech_proj!Y180*0.086*$N$110)/(1-tech_proj!Y460))</f>
        <v>0</v>
      </c>
      <c r="Z1520" s="119">
        <f>IF(tech_base!$T56&gt;Z$1465,"",(tech_base!$J56/tech_proj!Z180*0.086*$N$110)/(1-tech_proj!Z460))</f>
        <v>0</v>
      </c>
      <c r="AA1520" s="119">
        <f>IF(tech_base!$T56&gt;AA$1465,"",(tech_base!$J56/tech_proj!AA180*0.086*$N$110)/(1-tech_proj!AA460))</f>
        <v>0</v>
      </c>
      <c r="AB1520" s="119">
        <f>IF(tech_base!$T56&gt;AB$1465,"",(tech_base!$J56/tech_proj!AB180*0.086*$N$110)/(1-tech_proj!AB460))</f>
        <v>0</v>
      </c>
      <c r="AC1520" s="119">
        <f>IF(tech_base!$T56&gt;AC$1465,"",(tech_base!$J56/tech_proj!AC180*0.086*$N$110)/(1-tech_proj!AC460))</f>
        <v>0</v>
      </c>
      <c r="AD1520" s="119">
        <f>IF(tech_base!$T56&gt;AD$1465,"",(tech_base!$J56/tech_proj!AD180*0.086*$N$110)/(1-tech_proj!AD460))</f>
        <v>0</v>
      </c>
      <c r="AE1520" s="119">
        <f>IF(tech_base!$T56&gt;AE$1465,"",(tech_base!$J56/tech_proj!AE180*0.086*$N$110)/(1-tech_proj!AE460))</f>
        <v>0</v>
      </c>
      <c r="AF1520" s="119">
        <f>IF(tech_base!$T56&gt;AF$1465,"",(tech_base!$J56/tech_proj!AF180*0.086*$N$110)/(1-tech_proj!AF460))</f>
        <v>0</v>
      </c>
      <c r="AG1520" s="119">
        <f>IF(tech_base!$T56&gt;AG$1465,"",(tech_base!$J56/tech_proj!AG180*0.086*$N$110)/(1-tech_proj!AG460))</f>
        <v>0</v>
      </c>
      <c r="AH1520" s="119">
        <f>IF(tech_base!$T56&gt;AH$1465,"",(tech_base!$J56/tech_proj!AH180*0.086*$N$110)/(1-tech_proj!AH460))</f>
        <v>0</v>
      </c>
      <c r="AI1520" s="119">
        <f>IF(tech_base!$T56&gt;AI$1465,"",(tech_base!$J56/tech_proj!AI180*0.086*$N$110)/(1-tech_proj!AI460))</f>
        <v>0</v>
      </c>
      <c r="AJ1520" s="119">
        <f>IF(tech_base!$T56&gt;AJ$1465,"",(tech_base!$J56/tech_proj!AJ180*0.086*$N$110)/(1-tech_proj!AJ460))</f>
        <v>0</v>
      </c>
      <c r="AK1520" s="119">
        <f>IF(tech_base!$T56&gt;AK$1465,"",(tech_base!$J56/tech_proj!AK180*0.086*$N$110)/(1-tech_proj!AK460))</f>
        <v>0</v>
      </c>
      <c r="AL1520" s="119">
        <f>IF(tech_base!$T56&gt;AL$1465,"",(tech_base!$J56/tech_proj!AL180*0.086*$N$110)/(1-tech_proj!AL460))</f>
        <v>0</v>
      </c>
      <c r="AM1520" s="119">
        <f>IF(tech_base!$T56&gt;AM$1465,"",(tech_base!$J56/tech_proj!AM180*0.086*$N$110)/(1-tech_proj!AM460))</f>
        <v>0</v>
      </c>
      <c r="AN1520" s="119">
        <f>IF(tech_base!$T56&gt;AN$1465,"",(tech_base!$J56/tech_proj!AN180*0.086*$N$110)/(1-tech_proj!AN460))</f>
        <v>0</v>
      </c>
      <c r="AO1520" s="119">
        <f>IF(tech_base!$T56&gt;AO$1465,"",(tech_base!$J56/tech_proj!AO180*0.086*$N$110)/(1-tech_proj!AO460))</f>
        <v>0</v>
      </c>
      <c r="AP1520" s="119">
        <f>IF(tech_base!$T56&gt;AP$1465,"",(tech_base!$J56/tech_proj!AP180*0.086*$N$110)/(1-tech_proj!AP460))</f>
        <v>0</v>
      </c>
      <c r="AQ1520" s="119">
        <f>IF(tech_base!$T56&gt;AQ$1465,"",(tech_base!$J56/tech_proj!AQ180*0.086*$N$110)/(1-tech_proj!AQ460))</f>
        <v>0</v>
      </c>
      <c r="AR1520" s="119">
        <f>IF(tech_base!$T56&gt;AR$1465,"",(tech_base!$J56/tech_proj!AR180*0.086*$N$110)/(1-tech_proj!AR460))</f>
        <v>0</v>
      </c>
      <c r="AS1520" s="119">
        <f>IF(tech_base!$T56&gt;AS$1465,"",(tech_base!$J56/tech_proj!AS180*0.086*$N$110)/(1-tech_proj!AS460))</f>
        <v>0</v>
      </c>
      <c r="AT1520" s="119">
        <f>IF(tech_base!$T56&gt;AT$1465,"",(tech_base!$J56/tech_proj!AT180*0.086*$N$110)/(1-tech_proj!AT460))</f>
        <v>0</v>
      </c>
      <c r="AU1520" s="119">
        <f>IF(tech_base!$T56&gt;AU$1465,"",(tech_base!$J56/tech_proj!AU180*0.086*$N$110)/(1-tech_proj!AU460))</f>
        <v>0</v>
      </c>
      <c r="AV1520" s="119">
        <f>IF(tech_base!$T56&gt;AV$1465,"",(tech_base!$J56/tech_proj!AV180*0.086*$N$110)/(1-tech_proj!AV460))</f>
        <v>0</v>
      </c>
      <c r="AW1520" s="119">
        <f>IF(tech_base!$T56&gt;AW$1465,"",(tech_base!$J56/tech_proj!AW180*0.086*$N$110)/(1-tech_proj!AW460))</f>
        <v>0</v>
      </c>
      <c r="AX1520" s="120">
        <f>IF(tech_base!$T56&gt;AX$1465,"",(tech_base!$J56/tech_proj!AX180*0.086*$N$110)/(1-tech_proj!AX460))</f>
        <v>0</v>
      </c>
    </row>
    <row r="1521" spans="1:50" x14ac:dyDescent="0.25">
      <c r="A1521" s="356"/>
      <c r="B1521" s="376"/>
      <c r="C1521" s="361" t="s">
        <v>14</v>
      </c>
      <c r="D1521" s="58" t="s">
        <v>7</v>
      </c>
      <c r="E1521" s="164" t="str">
        <f>A1511&amp;"/"&amp;B1519&amp;"/"&amp;C1521&amp;"/"&amp;D1521</f>
        <v>Lignite fired power plants/Supercritical steam turbine/CHP/L</v>
      </c>
      <c r="F1521" s="78" t="str">
        <f>A1511</f>
        <v>Lignite fired power plants</v>
      </c>
      <c r="G1521" s="78" t="str">
        <f>B1519</f>
        <v>Supercritical steam turbine</v>
      </c>
      <c r="H1521" s="78" t="str">
        <f>C1521</f>
        <v>CHP</v>
      </c>
      <c r="I1521" s="165" t="str">
        <f t="shared" si="377"/>
        <v>L</v>
      </c>
      <c r="J1521" s="123">
        <f>IF(tech_base!$T57&gt;J$1465,"",(tech_base!$J57/tech_proj!J181*0.086*$N$110)/(1-tech_proj!J461))</f>
        <v>0</v>
      </c>
      <c r="K1521" s="123">
        <f>IF(tech_base!$T57&gt;K$1465,"",(tech_base!$J57/tech_proj!K181*0.086*$N$110)/(1-tech_proj!K461))</f>
        <v>0</v>
      </c>
      <c r="L1521" s="123">
        <f>IF(tech_base!$T57&gt;L$1465,"",(tech_base!$J57/tech_proj!L181*0.086*$N$110)/(1-tech_proj!L461))</f>
        <v>0</v>
      </c>
      <c r="M1521" s="123">
        <f>IF(tech_base!$T57&gt;M$1465,"",(tech_base!$J57/tech_proj!M181*0.086*$N$110)/(1-tech_proj!M461))</f>
        <v>0</v>
      </c>
      <c r="N1521" s="123">
        <f>IF(tech_base!$T57&gt;N$1465,"",(tech_base!$J57/tech_proj!N181*0.086*$N$110)/(1-tech_proj!N461))</f>
        <v>0</v>
      </c>
      <c r="O1521" s="123">
        <f>IF(tech_base!$T57&gt;O$1465,"",(tech_base!$J57/tech_proj!O181*0.086*$N$110)/(1-tech_proj!O461))</f>
        <v>0</v>
      </c>
      <c r="P1521" s="123">
        <f>IF(tech_base!$T57&gt;P$1465,"",(tech_base!$J57/tech_proj!P181*0.086*$N$110)/(1-tech_proj!P461))</f>
        <v>0</v>
      </c>
      <c r="Q1521" s="123">
        <f>IF(tech_base!$T57&gt;Q$1465,"",(tech_base!$J57/tech_proj!Q181*0.086*$N$110)/(1-tech_proj!Q461))</f>
        <v>0</v>
      </c>
      <c r="R1521" s="123">
        <f>IF(tech_base!$T57&gt;R$1465,"",(tech_base!$J57/tech_proj!R181*0.086*$N$110)/(1-tech_proj!R461))</f>
        <v>0</v>
      </c>
      <c r="S1521" s="123">
        <f>IF(tech_base!$T57&gt;S$1465,"",(tech_base!$J57/tech_proj!S181*0.086*$N$110)/(1-tech_proj!S461))</f>
        <v>0</v>
      </c>
      <c r="T1521" s="123">
        <f>IF(tech_base!$T57&gt;T$1465,"",(tech_base!$J57/tech_proj!T181*0.086*$N$110)/(1-tech_proj!T461))</f>
        <v>0</v>
      </c>
      <c r="U1521" s="123">
        <f>IF(tech_base!$T57&gt;U$1465,"",(tech_base!$J57/tech_proj!U181*0.086*$N$110)/(1-tech_proj!U461))</f>
        <v>0</v>
      </c>
      <c r="V1521" s="123">
        <f>IF(tech_base!$T57&gt;V$1465,"",(tech_base!$J57/tech_proj!V181*0.086*$N$110)/(1-tech_proj!V461))</f>
        <v>0</v>
      </c>
      <c r="W1521" s="123">
        <f>IF(tech_base!$T57&gt;W$1465,"",(tech_base!$J57/tech_proj!W181*0.086*$N$110)/(1-tech_proj!W461))</f>
        <v>0</v>
      </c>
      <c r="X1521" s="123">
        <f>IF(tech_base!$T57&gt;X$1465,"",(tech_base!$J57/tech_proj!X181*0.086*$N$110)/(1-tech_proj!X461))</f>
        <v>0</v>
      </c>
      <c r="Y1521" s="123">
        <f>IF(tech_base!$T57&gt;Y$1465,"",(tech_base!$J57/tech_proj!Y181*0.086*$N$110)/(1-tech_proj!Y461))</f>
        <v>0</v>
      </c>
      <c r="Z1521" s="123">
        <f>IF(tech_base!$T57&gt;Z$1465,"",(tech_base!$J57/tech_proj!Z181*0.086*$N$110)/(1-tech_proj!Z461))</f>
        <v>0</v>
      </c>
      <c r="AA1521" s="123">
        <f>IF(tech_base!$T57&gt;AA$1465,"",(tech_base!$J57/tech_proj!AA181*0.086*$N$110)/(1-tech_proj!AA461))</f>
        <v>0</v>
      </c>
      <c r="AB1521" s="123">
        <f>IF(tech_base!$T57&gt;AB$1465,"",(tech_base!$J57/tech_proj!AB181*0.086*$N$110)/(1-tech_proj!AB461))</f>
        <v>0</v>
      </c>
      <c r="AC1521" s="123">
        <f>IF(tech_base!$T57&gt;AC$1465,"",(tech_base!$J57/tech_proj!AC181*0.086*$N$110)/(1-tech_proj!AC461))</f>
        <v>0</v>
      </c>
      <c r="AD1521" s="123">
        <f>IF(tech_base!$T57&gt;AD$1465,"",(tech_base!$J57/tech_proj!AD181*0.086*$N$110)/(1-tech_proj!AD461))</f>
        <v>0</v>
      </c>
      <c r="AE1521" s="123">
        <f>IF(tech_base!$T57&gt;AE$1465,"",(tech_base!$J57/tech_proj!AE181*0.086*$N$110)/(1-tech_proj!AE461))</f>
        <v>0</v>
      </c>
      <c r="AF1521" s="123">
        <f>IF(tech_base!$T57&gt;AF$1465,"",(tech_base!$J57/tech_proj!AF181*0.086*$N$110)/(1-tech_proj!AF461))</f>
        <v>0</v>
      </c>
      <c r="AG1521" s="123">
        <f>IF(tech_base!$T57&gt;AG$1465,"",(tech_base!$J57/tech_proj!AG181*0.086*$N$110)/(1-tech_proj!AG461))</f>
        <v>0</v>
      </c>
      <c r="AH1521" s="123">
        <f>IF(tech_base!$T57&gt;AH$1465,"",(tech_base!$J57/tech_proj!AH181*0.086*$N$110)/(1-tech_proj!AH461))</f>
        <v>0</v>
      </c>
      <c r="AI1521" s="123">
        <f>IF(tech_base!$T57&gt;AI$1465,"",(tech_base!$J57/tech_proj!AI181*0.086*$N$110)/(1-tech_proj!AI461))</f>
        <v>0</v>
      </c>
      <c r="AJ1521" s="123">
        <f>IF(tech_base!$T57&gt;AJ$1465,"",(tech_base!$J57/tech_proj!AJ181*0.086*$N$110)/(1-tech_proj!AJ461))</f>
        <v>0</v>
      </c>
      <c r="AK1521" s="123">
        <f>IF(tech_base!$T57&gt;AK$1465,"",(tech_base!$J57/tech_proj!AK181*0.086*$N$110)/(1-tech_proj!AK461))</f>
        <v>0</v>
      </c>
      <c r="AL1521" s="123">
        <f>IF(tech_base!$T57&gt;AL$1465,"",(tech_base!$J57/tech_proj!AL181*0.086*$N$110)/(1-tech_proj!AL461))</f>
        <v>0</v>
      </c>
      <c r="AM1521" s="123">
        <f>IF(tech_base!$T57&gt;AM$1465,"",(tech_base!$J57/tech_proj!AM181*0.086*$N$110)/(1-tech_proj!AM461))</f>
        <v>0</v>
      </c>
      <c r="AN1521" s="123">
        <f>IF(tech_base!$T57&gt;AN$1465,"",(tech_base!$J57/tech_proj!AN181*0.086*$N$110)/(1-tech_proj!AN461))</f>
        <v>0</v>
      </c>
      <c r="AO1521" s="123">
        <f>IF(tech_base!$T57&gt;AO$1465,"",(tech_base!$J57/tech_proj!AO181*0.086*$N$110)/(1-tech_proj!AO461))</f>
        <v>0</v>
      </c>
      <c r="AP1521" s="123">
        <f>IF(tech_base!$T57&gt;AP$1465,"",(tech_base!$J57/tech_proj!AP181*0.086*$N$110)/(1-tech_proj!AP461))</f>
        <v>0</v>
      </c>
      <c r="AQ1521" s="123">
        <f>IF(tech_base!$T57&gt;AQ$1465,"",(tech_base!$J57/tech_proj!AQ181*0.086*$N$110)/(1-tech_proj!AQ461))</f>
        <v>0</v>
      </c>
      <c r="AR1521" s="123">
        <f>IF(tech_base!$T57&gt;AR$1465,"",(tech_base!$J57/tech_proj!AR181*0.086*$N$110)/(1-tech_proj!AR461))</f>
        <v>0</v>
      </c>
      <c r="AS1521" s="123">
        <f>IF(tech_base!$T57&gt;AS$1465,"",(tech_base!$J57/tech_proj!AS181*0.086*$N$110)/(1-tech_proj!AS461))</f>
        <v>0</v>
      </c>
      <c r="AT1521" s="123">
        <f>IF(tech_base!$T57&gt;AT$1465,"",(tech_base!$J57/tech_proj!AT181*0.086*$N$110)/(1-tech_proj!AT461))</f>
        <v>0</v>
      </c>
      <c r="AU1521" s="123">
        <f>IF(tech_base!$T57&gt;AU$1465,"",(tech_base!$J57/tech_proj!AU181*0.086*$N$110)/(1-tech_proj!AU461))</f>
        <v>0</v>
      </c>
      <c r="AV1521" s="123">
        <f>IF(tech_base!$T57&gt;AV$1465,"",(tech_base!$J57/tech_proj!AV181*0.086*$N$110)/(1-tech_proj!AV461))</f>
        <v>0</v>
      </c>
      <c r="AW1521" s="123">
        <f>IF(tech_base!$T57&gt;AW$1465,"",(tech_base!$J57/tech_proj!AW181*0.086*$N$110)/(1-tech_proj!AW461))</f>
        <v>0</v>
      </c>
      <c r="AX1521" s="124">
        <f>IF(tech_base!$T57&gt;AX$1465,"",(tech_base!$J57/tech_proj!AX181*0.086*$N$110)/(1-tech_proj!AX461))</f>
        <v>0</v>
      </c>
    </row>
    <row r="1522" spans="1:50" x14ac:dyDescent="0.25">
      <c r="A1522" s="356"/>
      <c r="B1522" s="376"/>
      <c r="C1522" s="379"/>
      <c r="D1522" s="59" t="s">
        <v>8</v>
      </c>
      <c r="E1522" s="166" t="str">
        <f>A1511&amp;"/"&amp;B1519&amp;"/"&amp;C1521&amp;"/"&amp;D1522</f>
        <v>Lignite fired power plants/Supercritical steam turbine/CHP/M</v>
      </c>
      <c r="F1522" s="79" t="str">
        <f>A1511</f>
        <v>Lignite fired power plants</v>
      </c>
      <c r="G1522" s="79" t="str">
        <f>B1519</f>
        <v>Supercritical steam turbine</v>
      </c>
      <c r="H1522" s="79" t="str">
        <f>C1521</f>
        <v>CHP</v>
      </c>
      <c r="I1522" s="167" t="str">
        <f t="shared" si="377"/>
        <v>M</v>
      </c>
      <c r="J1522" s="125">
        <f>IF(tech_base!$T58&gt;J$1465,"",(tech_base!$J58/tech_proj!J182*0.086*$N$110)/(1-tech_proj!J462))</f>
        <v>0</v>
      </c>
      <c r="K1522" s="125">
        <f>IF(tech_base!$T58&gt;K$1465,"",(tech_base!$J58/tech_proj!K182*0.086*$N$110)/(1-tech_proj!K462))</f>
        <v>0</v>
      </c>
      <c r="L1522" s="125">
        <f>IF(tech_base!$T58&gt;L$1465,"",(tech_base!$J58/tech_proj!L182*0.086*$N$110)/(1-tech_proj!L462))</f>
        <v>0</v>
      </c>
      <c r="M1522" s="125">
        <f>IF(tech_base!$T58&gt;M$1465,"",(tech_base!$J58/tech_proj!M182*0.086*$N$110)/(1-tech_proj!M462))</f>
        <v>0</v>
      </c>
      <c r="N1522" s="125">
        <f>IF(tech_base!$T58&gt;N$1465,"",(tech_base!$J58/tech_proj!N182*0.086*$N$110)/(1-tech_proj!N462))</f>
        <v>0</v>
      </c>
      <c r="O1522" s="125">
        <f>IF(tech_base!$T58&gt;O$1465,"",(tech_base!$J58/tech_proj!O182*0.086*$N$110)/(1-tech_proj!O462))</f>
        <v>0</v>
      </c>
      <c r="P1522" s="125">
        <f>IF(tech_base!$T58&gt;P$1465,"",(tech_base!$J58/tech_proj!P182*0.086*$N$110)/(1-tech_proj!P462))</f>
        <v>0</v>
      </c>
      <c r="Q1522" s="125">
        <f>IF(tech_base!$T58&gt;Q$1465,"",(tech_base!$J58/tech_proj!Q182*0.086*$N$110)/(1-tech_proj!Q462))</f>
        <v>0</v>
      </c>
      <c r="R1522" s="125">
        <f>IF(tech_base!$T58&gt;R$1465,"",(tech_base!$J58/tech_proj!R182*0.086*$N$110)/(1-tech_proj!R462))</f>
        <v>0</v>
      </c>
      <c r="S1522" s="125">
        <f>IF(tech_base!$T58&gt;S$1465,"",(tech_base!$J58/tech_proj!S182*0.086*$N$110)/(1-tech_proj!S462))</f>
        <v>0</v>
      </c>
      <c r="T1522" s="125">
        <f>IF(tech_base!$T58&gt;T$1465,"",(tech_base!$J58/tech_proj!T182*0.086*$N$110)/(1-tech_proj!T462))</f>
        <v>0</v>
      </c>
      <c r="U1522" s="125">
        <f>IF(tech_base!$T58&gt;U$1465,"",(tech_base!$J58/tech_proj!U182*0.086*$N$110)/(1-tech_proj!U462))</f>
        <v>0</v>
      </c>
      <c r="V1522" s="125">
        <f>IF(tech_base!$T58&gt;V$1465,"",(tech_base!$J58/tech_proj!V182*0.086*$N$110)/(1-tech_proj!V462))</f>
        <v>0</v>
      </c>
      <c r="W1522" s="125">
        <f>IF(tech_base!$T58&gt;W$1465,"",(tech_base!$J58/tech_proj!W182*0.086*$N$110)/(1-tech_proj!W462))</f>
        <v>0</v>
      </c>
      <c r="X1522" s="125">
        <f>IF(tech_base!$T58&gt;X$1465,"",(tech_base!$J58/tech_proj!X182*0.086*$N$110)/(1-tech_proj!X462))</f>
        <v>0</v>
      </c>
      <c r="Y1522" s="125">
        <f>IF(tech_base!$T58&gt;Y$1465,"",(tech_base!$J58/tech_proj!Y182*0.086*$N$110)/(1-tech_proj!Y462))</f>
        <v>0</v>
      </c>
      <c r="Z1522" s="125">
        <f>IF(tech_base!$T58&gt;Z$1465,"",(tech_base!$J58/tech_proj!Z182*0.086*$N$110)/(1-tech_proj!Z462))</f>
        <v>0</v>
      </c>
      <c r="AA1522" s="125">
        <f>IF(tech_base!$T58&gt;AA$1465,"",(tech_base!$J58/tech_proj!AA182*0.086*$N$110)/(1-tech_proj!AA462))</f>
        <v>0</v>
      </c>
      <c r="AB1522" s="125">
        <f>IF(tech_base!$T58&gt;AB$1465,"",(tech_base!$J58/tech_proj!AB182*0.086*$N$110)/(1-tech_proj!AB462))</f>
        <v>0</v>
      </c>
      <c r="AC1522" s="125">
        <f>IF(tech_base!$T58&gt;AC$1465,"",(tech_base!$J58/tech_proj!AC182*0.086*$N$110)/(1-tech_proj!AC462))</f>
        <v>0</v>
      </c>
      <c r="AD1522" s="125">
        <f>IF(tech_base!$T58&gt;AD$1465,"",(tech_base!$J58/tech_proj!AD182*0.086*$N$110)/(1-tech_proj!AD462))</f>
        <v>0</v>
      </c>
      <c r="AE1522" s="125">
        <f>IF(tech_base!$T58&gt;AE$1465,"",(tech_base!$J58/tech_proj!AE182*0.086*$N$110)/(1-tech_proj!AE462))</f>
        <v>0</v>
      </c>
      <c r="AF1522" s="125">
        <f>IF(tech_base!$T58&gt;AF$1465,"",(tech_base!$J58/tech_proj!AF182*0.086*$N$110)/(1-tech_proj!AF462))</f>
        <v>0</v>
      </c>
      <c r="AG1522" s="125">
        <f>IF(tech_base!$T58&gt;AG$1465,"",(tech_base!$J58/tech_proj!AG182*0.086*$N$110)/(1-tech_proj!AG462))</f>
        <v>0</v>
      </c>
      <c r="AH1522" s="125">
        <f>IF(tech_base!$T58&gt;AH$1465,"",(tech_base!$J58/tech_proj!AH182*0.086*$N$110)/(1-tech_proj!AH462))</f>
        <v>0</v>
      </c>
      <c r="AI1522" s="125">
        <f>IF(tech_base!$T58&gt;AI$1465,"",(tech_base!$J58/tech_proj!AI182*0.086*$N$110)/(1-tech_proj!AI462))</f>
        <v>0</v>
      </c>
      <c r="AJ1522" s="125">
        <f>IF(tech_base!$T58&gt;AJ$1465,"",(tech_base!$J58/tech_proj!AJ182*0.086*$N$110)/(1-tech_proj!AJ462))</f>
        <v>0</v>
      </c>
      <c r="AK1522" s="125">
        <f>IF(tech_base!$T58&gt;AK$1465,"",(tech_base!$J58/tech_proj!AK182*0.086*$N$110)/(1-tech_proj!AK462))</f>
        <v>0</v>
      </c>
      <c r="AL1522" s="125">
        <f>IF(tech_base!$T58&gt;AL$1465,"",(tech_base!$J58/tech_proj!AL182*0.086*$N$110)/(1-tech_proj!AL462))</f>
        <v>0</v>
      </c>
      <c r="AM1522" s="125">
        <f>IF(tech_base!$T58&gt;AM$1465,"",(tech_base!$J58/tech_proj!AM182*0.086*$N$110)/(1-tech_proj!AM462))</f>
        <v>0</v>
      </c>
      <c r="AN1522" s="125">
        <f>IF(tech_base!$T58&gt;AN$1465,"",(tech_base!$J58/tech_proj!AN182*0.086*$N$110)/(1-tech_proj!AN462))</f>
        <v>0</v>
      </c>
      <c r="AO1522" s="125">
        <f>IF(tech_base!$T58&gt;AO$1465,"",(tech_base!$J58/tech_proj!AO182*0.086*$N$110)/(1-tech_proj!AO462))</f>
        <v>0</v>
      </c>
      <c r="AP1522" s="125">
        <f>IF(tech_base!$T58&gt;AP$1465,"",(tech_base!$J58/tech_proj!AP182*0.086*$N$110)/(1-tech_proj!AP462))</f>
        <v>0</v>
      </c>
      <c r="AQ1522" s="125">
        <f>IF(tech_base!$T58&gt;AQ$1465,"",(tech_base!$J58/tech_proj!AQ182*0.086*$N$110)/(1-tech_proj!AQ462))</f>
        <v>0</v>
      </c>
      <c r="AR1522" s="125">
        <f>IF(tech_base!$T58&gt;AR$1465,"",(tech_base!$J58/tech_proj!AR182*0.086*$N$110)/(1-tech_proj!AR462))</f>
        <v>0</v>
      </c>
      <c r="AS1522" s="125">
        <f>IF(tech_base!$T58&gt;AS$1465,"",(tech_base!$J58/tech_proj!AS182*0.086*$N$110)/(1-tech_proj!AS462))</f>
        <v>0</v>
      </c>
      <c r="AT1522" s="125">
        <f>IF(tech_base!$T58&gt;AT$1465,"",(tech_base!$J58/tech_proj!AT182*0.086*$N$110)/(1-tech_proj!AT462))</f>
        <v>0</v>
      </c>
      <c r="AU1522" s="125">
        <f>IF(tech_base!$T58&gt;AU$1465,"",(tech_base!$J58/tech_proj!AU182*0.086*$N$110)/(1-tech_proj!AU462))</f>
        <v>0</v>
      </c>
      <c r="AV1522" s="125">
        <f>IF(tech_base!$T58&gt;AV$1465,"",(tech_base!$J58/tech_proj!AV182*0.086*$N$110)/(1-tech_proj!AV462))</f>
        <v>0</v>
      </c>
      <c r="AW1522" s="125">
        <f>IF(tech_base!$T58&gt;AW$1465,"",(tech_base!$J58/tech_proj!AW182*0.086*$N$110)/(1-tech_proj!AW462))</f>
        <v>0</v>
      </c>
      <c r="AX1522" s="126">
        <f>IF(tech_base!$T58&gt;AX$1465,"",(tech_base!$J58/tech_proj!AX182*0.086*$N$110)/(1-tech_proj!AX462))</f>
        <v>0</v>
      </c>
    </row>
    <row r="1523" spans="1:50" x14ac:dyDescent="0.25">
      <c r="A1523" s="356"/>
      <c r="B1523" s="376"/>
      <c r="C1523" s="361" t="s">
        <v>15</v>
      </c>
      <c r="D1523" s="58" t="s">
        <v>7</v>
      </c>
      <c r="E1523" s="164" t="str">
        <f>A1511&amp;"/"&amp;B1519&amp;"/"&amp;C1523&amp;"/"&amp;D1523</f>
        <v>Lignite fired power plants/Supercritical steam turbine/Electricity only with CCS/L</v>
      </c>
      <c r="F1523" s="78" t="str">
        <f>A1511</f>
        <v>Lignite fired power plants</v>
      </c>
      <c r="G1523" s="78" t="str">
        <f>B1519</f>
        <v>Supercritical steam turbine</v>
      </c>
      <c r="H1523" s="78" t="str">
        <f>C1523</f>
        <v>Electricity only with CCS</v>
      </c>
      <c r="I1523" s="165" t="str">
        <f t="shared" si="377"/>
        <v>L</v>
      </c>
      <c r="J1523" s="123" t="str">
        <f>IF(tech_base!$T59&gt;J$1465,"",(tech_base!$J59/tech_proj!J183*0.086*$N$110)/(1-tech_proj!J463))</f>
        <v/>
      </c>
      <c r="K1523" s="123" t="str">
        <f>IF(tech_base!$T59&gt;K$1465,"",(tech_base!$J59/tech_proj!K183*0.086*$N$110)/(1-tech_proj!K463))</f>
        <v/>
      </c>
      <c r="L1523" s="123" t="str">
        <f>IF(tech_base!$T59&gt;L$1465,"",(tech_base!$J59/tech_proj!L183*0.086*$N$110)/(1-tech_proj!L463))</f>
        <v/>
      </c>
      <c r="M1523" s="123" t="str">
        <f>IF(tech_base!$T59&gt;M$1465,"",(tech_base!$J59/tech_proj!M183*0.086*$N$110)/(1-tech_proj!M463))</f>
        <v/>
      </c>
      <c r="N1523" s="123" t="str">
        <f>IF(tech_base!$T59&gt;N$1465,"",(tech_base!$J59/tech_proj!N183*0.086*$N$110)/(1-tech_proj!N463))</f>
        <v/>
      </c>
      <c r="O1523" s="123" t="str">
        <f>IF(tech_base!$T59&gt;O$1465,"",(tech_base!$J59/tech_proj!O183*0.086*$N$110)/(1-tech_proj!O463))</f>
        <v/>
      </c>
      <c r="P1523" s="123" t="str">
        <f>IF(tech_base!$T59&gt;P$1465,"",(tech_base!$J59/tech_proj!P183*0.086*$N$110)/(1-tech_proj!P463))</f>
        <v/>
      </c>
      <c r="Q1523" s="123" t="str">
        <f>IF(tech_base!$T59&gt;Q$1465,"",(tech_base!$J59/tech_proj!Q183*0.086*$N$110)/(1-tech_proj!Q463))</f>
        <v/>
      </c>
      <c r="R1523" s="123" t="str">
        <f>IF(tech_base!$T59&gt;R$1465,"",(tech_base!$J59/tech_proj!R183*0.086*$N$110)/(1-tech_proj!R463))</f>
        <v/>
      </c>
      <c r="S1523" s="123" t="str">
        <f>IF(tech_base!$T59&gt;S$1465,"",(tech_base!$J59/tech_proj!S183*0.086*$N$110)/(1-tech_proj!S463))</f>
        <v/>
      </c>
      <c r="T1523" s="123" t="str">
        <f>IF(tech_base!$T59&gt;T$1465,"",(tech_base!$J59/tech_proj!T183*0.086*$N$110)/(1-tech_proj!T463))</f>
        <v/>
      </c>
      <c r="U1523" s="123" t="str">
        <f>IF(tech_base!$T59&gt;U$1465,"",(tech_base!$J59/tech_proj!U183*0.086*$N$110)/(1-tech_proj!U463))</f>
        <v/>
      </c>
      <c r="V1523" s="123" t="str">
        <f>IF(tech_base!$T59&gt;V$1465,"",(tech_base!$J59/tech_proj!V183*0.086*$N$110)/(1-tech_proj!V463))</f>
        <v/>
      </c>
      <c r="W1523" s="123" t="str">
        <f>IF(tech_base!$T59&gt;W$1465,"",(tech_base!$J59/tech_proj!W183*0.086*$N$110)/(1-tech_proj!W463))</f>
        <v/>
      </c>
      <c r="X1523" s="123" t="str">
        <f>IF(tech_base!$T59&gt;X$1465,"",(tech_base!$J59/tech_proj!X183*0.086*$N$110)/(1-tech_proj!X463))</f>
        <v/>
      </c>
      <c r="Y1523" s="123" t="str">
        <f>IF(tech_base!$T59&gt;Y$1465,"",(tech_base!$J59/tech_proj!Y183*0.086*$N$110)/(1-tech_proj!Y463))</f>
        <v/>
      </c>
      <c r="Z1523" s="123" t="str">
        <f>IF(tech_base!$T59&gt;Z$1465,"",(tech_base!$J59/tech_proj!Z183*0.086*$N$110)/(1-tech_proj!Z463))</f>
        <v/>
      </c>
      <c r="AA1523" s="123" t="str">
        <f>IF(tech_base!$T59&gt;AA$1465,"",(tech_base!$J59/tech_proj!AA183*0.086*$N$110)/(1-tech_proj!AA463))</f>
        <v/>
      </c>
      <c r="AB1523" s="123" t="str">
        <f>IF(tech_base!$T59&gt;AB$1465,"",(tech_base!$J59/tech_proj!AB183*0.086*$N$110)/(1-tech_proj!AB463))</f>
        <v/>
      </c>
      <c r="AC1523" s="123" t="str">
        <f>IF(tech_base!$T59&gt;AC$1465,"",(tech_base!$J59/tech_proj!AC183*0.086*$N$110)/(1-tech_proj!AC463))</f>
        <v/>
      </c>
      <c r="AD1523" s="123" t="str">
        <f>IF(tech_base!$T59&gt;AD$1465,"",(tech_base!$J59/tech_proj!AD183*0.086*$N$110)/(1-tech_proj!AD463))</f>
        <v/>
      </c>
      <c r="AE1523" s="123">
        <f>IF(tech_base!$T59&gt;AE$1465,"",(tech_base!$J59/tech_proj!AE183*0.086*$N$110)/(1-tech_proj!AE463))</f>
        <v>0</v>
      </c>
      <c r="AF1523" s="123">
        <f>IF(tech_base!$T59&gt;AF$1465,"",(tech_base!$J59/tech_proj!AF183*0.086*$N$110)/(1-tech_proj!AF463))</f>
        <v>0</v>
      </c>
      <c r="AG1523" s="123">
        <f>IF(tech_base!$T59&gt;AG$1465,"",(tech_base!$J59/tech_proj!AG183*0.086*$N$110)/(1-tech_proj!AG463))</f>
        <v>0</v>
      </c>
      <c r="AH1523" s="123">
        <f>IF(tech_base!$T59&gt;AH$1465,"",(tech_base!$J59/tech_proj!AH183*0.086*$N$110)/(1-tech_proj!AH463))</f>
        <v>0</v>
      </c>
      <c r="AI1523" s="123">
        <f>IF(tech_base!$T59&gt;AI$1465,"",(tech_base!$J59/tech_proj!AI183*0.086*$N$110)/(1-tech_proj!AI463))</f>
        <v>0</v>
      </c>
      <c r="AJ1523" s="123">
        <f>IF(tech_base!$T59&gt;AJ$1465,"",(tech_base!$J59/tech_proj!AJ183*0.086*$N$110)/(1-tech_proj!AJ463))</f>
        <v>0</v>
      </c>
      <c r="AK1523" s="123">
        <f>IF(tech_base!$T59&gt;AK$1465,"",(tech_base!$J59/tech_proj!AK183*0.086*$N$110)/(1-tech_proj!AK463))</f>
        <v>0</v>
      </c>
      <c r="AL1523" s="123">
        <f>IF(tech_base!$T59&gt;AL$1465,"",(tech_base!$J59/tech_proj!AL183*0.086*$N$110)/(1-tech_proj!AL463))</f>
        <v>0</v>
      </c>
      <c r="AM1523" s="123">
        <f>IF(tech_base!$T59&gt;AM$1465,"",(tech_base!$J59/tech_proj!AM183*0.086*$N$110)/(1-tech_proj!AM463))</f>
        <v>0</v>
      </c>
      <c r="AN1523" s="123">
        <f>IF(tech_base!$T59&gt;AN$1465,"",(tech_base!$J59/tech_proj!AN183*0.086*$N$110)/(1-tech_proj!AN463))</f>
        <v>0</v>
      </c>
      <c r="AO1523" s="123">
        <f>IF(tech_base!$T59&gt;AO$1465,"",(tech_base!$J59/tech_proj!AO183*0.086*$N$110)/(1-tech_proj!AO463))</f>
        <v>0</v>
      </c>
      <c r="AP1523" s="123">
        <f>IF(tech_base!$T59&gt;AP$1465,"",(tech_base!$J59/tech_proj!AP183*0.086*$N$110)/(1-tech_proj!AP463))</f>
        <v>0</v>
      </c>
      <c r="AQ1523" s="123">
        <f>IF(tech_base!$T59&gt;AQ$1465,"",(tech_base!$J59/tech_proj!AQ183*0.086*$N$110)/(1-tech_proj!AQ463))</f>
        <v>0</v>
      </c>
      <c r="AR1523" s="123">
        <f>IF(tech_base!$T59&gt;AR$1465,"",(tech_base!$J59/tech_proj!AR183*0.086*$N$110)/(1-tech_proj!AR463))</f>
        <v>0</v>
      </c>
      <c r="AS1523" s="123">
        <f>IF(tech_base!$T59&gt;AS$1465,"",(tech_base!$J59/tech_proj!AS183*0.086*$N$110)/(1-tech_proj!AS463))</f>
        <v>0</v>
      </c>
      <c r="AT1523" s="123">
        <f>IF(tech_base!$T59&gt;AT$1465,"",(tech_base!$J59/tech_proj!AT183*0.086*$N$110)/(1-tech_proj!AT463))</f>
        <v>0</v>
      </c>
      <c r="AU1523" s="123">
        <f>IF(tech_base!$T59&gt;AU$1465,"",(tech_base!$J59/tech_proj!AU183*0.086*$N$110)/(1-tech_proj!AU463))</f>
        <v>0</v>
      </c>
      <c r="AV1523" s="123">
        <f>IF(tech_base!$T59&gt;AV$1465,"",(tech_base!$J59/tech_proj!AV183*0.086*$N$110)/(1-tech_proj!AV463))</f>
        <v>0</v>
      </c>
      <c r="AW1523" s="123">
        <f>IF(tech_base!$T59&gt;AW$1465,"",(tech_base!$J59/tech_proj!AW183*0.086*$N$110)/(1-tech_proj!AW463))</f>
        <v>0</v>
      </c>
      <c r="AX1523" s="124">
        <f>IF(tech_base!$T59&gt;AX$1465,"",(tech_base!$J59/tech_proj!AX183*0.086*$N$110)/(1-tech_proj!AX463))</f>
        <v>0</v>
      </c>
    </row>
    <row r="1524" spans="1:50" x14ac:dyDescent="0.25">
      <c r="A1524" s="356"/>
      <c r="B1524" s="376"/>
      <c r="C1524" s="379"/>
      <c r="D1524" s="59" t="s">
        <v>8</v>
      </c>
      <c r="E1524" s="166" t="str">
        <f>A1511&amp;"/"&amp;B1519&amp;"/"&amp;C1523&amp;"/"&amp;D1524</f>
        <v>Lignite fired power plants/Supercritical steam turbine/Electricity only with CCS/M</v>
      </c>
      <c r="F1524" s="79" t="str">
        <f>A1511</f>
        <v>Lignite fired power plants</v>
      </c>
      <c r="G1524" s="79" t="str">
        <f>B1519</f>
        <v>Supercritical steam turbine</v>
      </c>
      <c r="H1524" s="79" t="str">
        <f>C1523</f>
        <v>Electricity only with CCS</v>
      </c>
      <c r="I1524" s="167" t="str">
        <f t="shared" si="377"/>
        <v>M</v>
      </c>
      <c r="J1524" s="125" t="str">
        <f>IF(tech_base!$T60&gt;J$1465,"",(tech_base!$J60/tech_proj!J184*0.086*$N$110)/(1-tech_proj!J464))</f>
        <v/>
      </c>
      <c r="K1524" s="125" t="str">
        <f>IF(tech_base!$T60&gt;K$1465,"",(tech_base!$J60/tech_proj!K184*0.086*$N$110)/(1-tech_proj!K464))</f>
        <v/>
      </c>
      <c r="L1524" s="125" t="str">
        <f>IF(tech_base!$T60&gt;L$1465,"",(tech_base!$J60/tech_proj!L184*0.086*$N$110)/(1-tech_proj!L464))</f>
        <v/>
      </c>
      <c r="M1524" s="125" t="str">
        <f>IF(tech_base!$T60&gt;M$1465,"",(tech_base!$J60/tech_proj!M184*0.086*$N$110)/(1-tech_proj!M464))</f>
        <v/>
      </c>
      <c r="N1524" s="125" t="str">
        <f>IF(tech_base!$T60&gt;N$1465,"",(tech_base!$J60/tech_proj!N184*0.086*$N$110)/(1-tech_proj!N464))</f>
        <v/>
      </c>
      <c r="O1524" s="125" t="str">
        <f>IF(tech_base!$T60&gt;O$1465,"",(tech_base!$J60/tech_proj!O184*0.086*$N$110)/(1-tech_proj!O464))</f>
        <v/>
      </c>
      <c r="P1524" s="125" t="str">
        <f>IF(tech_base!$T60&gt;P$1465,"",(tech_base!$J60/tech_proj!P184*0.086*$N$110)/(1-tech_proj!P464))</f>
        <v/>
      </c>
      <c r="Q1524" s="125" t="str">
        <f>IF(tech_base!$T60&gt;Q$1465,"",(tech_base!$J60/tech_proj!Q184*0.086*$N$110)/(1-tech_proj!Q464))</f>
        <v/>
      </c>
      <c r="R1524" s="125" t="str">
        <f>IF(tech_base!$T60&gt;R$1465,"",(tech_base!$J60/tech_proj!R184*0.086*$N$110)/(1-tech_proj!R464))</f>
        <v/>
      </c>
      <c r="S1524" s="125" t="str">
        <f>IF(tech_base!$T60&gt;S$1465,"",(tech_base!$J60/tech_proj!S184*0.086*$N$110)/(1-tech_proj!S464))</f>
        <v/>
      </c>
      <c r="T1524" s="125" t="str">
        <f>IF(tech_base!$T60&gt;T$1465,"",(tech_base!$J60/tech_proj!T184*0.086*$N$110)/(1-tech_proj!T464))</f>
        <v/>
      </c>
      <c r="U1524" s="125" t="str">
        <f>IF(tech_base!$T60&gt;U$1465,"",(tech_base!$J60/tech_proj!U184*0.086*$N$110)/(1-tech_proj!U464))</f>
        <v/>
      </c>
      <c r="V1524" s="125" t="str">
        <f>IF(tech_base!$T60&gt;V$1465,"",(tech_base!$J60/tech_proj!V184*0.086*$N$110)/(1-tech_proj!V464))</f>
        <v/>
      </c>
      <c r="W1524" s="125" t="str">
        <f>IF(tech_base!$T60&gt;W$1465,"",(tech_base!$J60/tech_proj!W184*0.086*$N$110)/(1-tech_proj!W464))</f>
        <v/>
      </c>
      <c r="X1524" s="125" t="str">
        <f>IF(tech_base!$T60&gt;X$1465,"",(tech_base!$J60/tech_proj!X184*0.086*$N$110)/(1-tech_proj!X464))</f>
        <v/>
      </c>
      <c r="Y1524" s="125" t="str">
        <f>IF(tech_base!$T60&gt;Y$1465,"",(tech_base!$J60/tech_proj!Y184*0.086*$N$110)/(1-tech_proj!Y464))</f>
        <v/>
      </c>
      <c r="Z1524" s="125" t="str">
        <f>IF(tech_base!$T60&gt;Z$1465,"",(tech_base!$J60/tech_proj!Z184*0.086*$N$110)/(1-tech_proj!Z464))</f>
        <v/>
      </c>
      <c r="AA1524" s="125" t="str">
        <f>IF(tech_base!$T60&gt;AA$1465,"",(tech_base!$J60/tech_proj!AA184*0.086*$N$110)/(1-tech_proj!AA464))</f>
        <v/>
      </c>
      <c r="AB1524" s="125" t="str">
        <f>IF(tech_base!$T60&gt;AB$1465,"",(tech_base!$J60/tech_proj!AB184*0.086*$N$110)/(1-tech_proj!AB464))</f>
        <v/>
      </c>
      <c r="AC1524" s="125" t="str">
        <f>IF(tech_base!$T60&gt;AC$1465,"",(tech_base!$J60/tech_proj!AC184*0.086*$N$110)/(1-tech_proj!AC464))</f>
        <v/>
      </c>
      <c r="AD1524" s="125" t="str">
        <f>IF(tech_base!$T60&gt;AD$1465,"",(tech_base!$J60/tech_proj!AD184*0.086*$N$110)/(1-tech_proj!AD464))</f>
        <v/>
      </c>
      <c r="AE1524" s="125">
        <f>IF(tech_base!$T60&gt;AE$1465,"",(tech_base!$J60/tech_proj!AE184*0.086*$N$110)/(1-tech_proj!AE464))</f>
        <v>0</v>
      </c>
      <c r="AF1524" s="125">
        <f>IF(tech_base!$T60&gt;AF$1465,"",(tech_base!$J60/tech_proj!AF184*0.086*$N$110)/(1-tech_proj!AF464))</f>
        <v>0</v>
      </c>
      <c r="AG1524" s="125">
        <f>IF(tech_base!$T60&gt;AG$1465,"",(tech_base!$J60/tech_proj!AG184*0.086*$N$110)/(1-tech_proj!AG464))</f>
        <v>0</v>
      </c>
      <c r="AH1524" s="125">
        <f>IF(tech_base!$T60&gt;AH$1465,"",(tech_base!$J60/tech_proj!AH184*0.086*$N$110)/(1-tech_proj!AH464))</f>
        <v>0</v>
      </c>
      <c r="AI1524" s="125">
        <f>IF(tech_base!$T60&gt;AI$1465,"",(tech_base!$J60/tech_proj!AI184*0.086*$N$110)/(1-tech_proj!AI464))</f>
        <v>0</v>
      </c>
      <c r="AJ1524" s="125">
        <f>IF(tech_base!$T60&gt;AJ$1465,"",(tech_base!$J60/tech_proj!AJ184*0.086*$N$110)/(1-tech_proj!AJ464))</f>
        <v>0</v>
      </c>
      <c r="AK1524" s="125">
        <f>IF(tech_base!$T60&gt;AK$1465,"",(tech_base!$J60/tech_proj!AK184*0.086*$N$110)/(1-tech_proj!AK464))</f>
        <v>0</v>
      </c>
      <c r="AL1524" s="125">
        <f>IF(tech_base!$T60&gt;AL$1465,"",(tech_base!$J60/tech_proj!AL184*0.086*$N$110)/(1-tech_proj!AL464))</f>
        <v>0</v>
      </c>
      <c r="AM1524" s="125">
        <f>IF(tech_base!$T60&gt;AM$1465,"",(tech_base!$J60/tech_proj!AM184*0.086*$N$110)/(1-tech_proj!AM464))</f>
        <v>0</v>
      </c>
      <c r="AN1524" s="125">
        <f>IF(tech_base!$T60&gt;AN$1465,"",(tech_base!$J60/tech_proj!AN184*0.086*$N$110)/(1-tech_proj!AN464))</f>
        <v>0</v>
      </c>
      <c r="AO1524" s="125">
        <f>IF(tech_base!$T60&gt;AO$1465,"",(tech_base!$J60/tech_proj!AO184*0.086*$N$110)/(1-tech_proj!AO464))</f>
        <v>0</v>
      </c>
      <c r="AP1524" s="125">
        <f>IF(tech_base!$T60&gt;AP$1465,"",(tech_base!$J60/tech_proj!AP184*0.086*$N$110)/(1-tech_proj!AP464))</f>
        <v>0</v>
      </c>
      <c r="AQ1524" s="125">
        <f>IF(tech_base!$T60&gt;AQ$1465,"",(tech_base!$J60/tech_proj!AQ184*0.086*$N$110)/(1-tech_proj!AQ464))</f>
        <v>0</v>
      </c>
      <c r="AR1524" s="125">
        <f>IF(tech_base!$T60&gt;AR$1465,"",(tech_base!$J60/tech_proj!AR184*0.086*$N$110)/(1-tech_proj!AR464))</f>
        <v>0</v>
      </c>
      <c r="AS1524" s="125">
        <f>IF(tech_base!$T60&gt;AS$1465,"",(tech_base!$J60/tech_proj!AS184*0.086*$N$110)/(1-tech_proj!AS464))</f>
        <v>0</v>
      </c>
      <c r="AT1524" s="125">
        <f>IF(tech_base!$T60&gt;AT$1465,"",(tech_base!$J60/tech_proj!AT184*0.086*$N$110)/(1-tech_proj!AT464))</f>
        <v>0</v>
      </c>
      <c r="AU1524" s="125">
        <f>IF(tech_base!$T60&gt;AU$1465,"",(tech_base!$J60/tech_proj!AU184*0.086*$N$110)/(1-tech_proj!AU464))</f>
        <v>0</v>
      </c>
      <c r="AV1524" s="125">
        <f>IF(tech_base!$T60&gt;AV$1465,"",(tech_base!$J60/tech_proj!AV184*0.086*$N$110)/(1-tech_proj!AV464))</f>
        <v>0</v>
      </c>
      <c r="AW1524" s="125">
        <f>IF(tech_base!$T60&gt;AW$1465,"",(tech_base!$J60/tech_proj!AW184*0.086*$N$110)/(1-tech_proj!AW464))</f>
        <v>0</v>
      </c>
      <c r="AX1524" s="126">
        <f>IF(tech_base!$T60&gt;AX$1465,"",(tech_base!$J60/tech_proj!AX184*0.086*$N$110)/(1-tech_proj!AX464))</f>
        <v>0</v>
      </c>
    </row>
    <row r="1525" spans="1:50" x14ac:dyDescent="0.25">
      <c r="A1525" s="356"/>
      <c r="B1525" s="376"/>
      <c r="C1525" s="361" t="s">
        <v>16</v>
      </c>
      <c r="D1525" s="2" t="s">
        <v>7</v>
      </c>
      <c r="E1525" s="160" t="str">
        <f>A1511&amp;"/"&amp;B1519&amp;"/"&amp;C1525&amp;"/"&amp;D1525</f>
        <v>Lignite fired power plants/Supercritical steam turbine/CHP with CCS/L</v>
      </c>
      <c r="F1525" s="76" t="str">
        <f>A1511</f>
        <v>Lignite fired power plants</v>
      </c>
      <c r="G1525" s="76" t="str">
        <f>B1519</f>
        <v>Supercritical steam turbine</v>
      </c>
      <c r="H1525" s="76" t="str">
        <f>C1525</f>
        <v>CHP with CCS</v>
      </c>
      <c r="I1525" s="161" t="str">
        <f t="shared" si="377"/>
        <v>L</v>
      </c>
      <c r="J1525" s="119" t="str">
        <f>IF(tech_base!$T61&gt;J$1465,"",(tech_base!$J61/tech_proj!J185*0.086*$N$110)/(1-tech_proj!J465))</f>
        <v/>
      </c>
      <c r="K1525" s="119" t="str">
        <f>IF(tech_base!$T61&gt;K$1465,"",(tech_base!$J61/tech_proj!K185*0.086*$N$110)/(1-tech_proj!K465))</f>
        <v/>
      </c>
      <c r="L1525" s="119" t="str">
        <f>IF(tech_base!$T61&gt;L$1465,"",(tech_base!$J61/tech_proj!L185*0.086*$N$110)/(1-tech_proj!L465))</f>
        <v/>
      </c>
      <c r="M1525" s="119" t="str">
        <f>IF(tech_base!$T61&gt;M$1465,"",(tech_base!$J61/tech_proj!M185*0.086*$N$110)/(1-tech_proj!M465))</f>
        <v/>
      </c>
      <c r="N1525" s="119" t="str">
        <f>IF(tech_base!$T61&gt;N$1465,"",(tech_base!$J61/tech_proj!N185*0.086*$N$110)/(1-tech_proj!N465))</f>
        <v/>
      </c>
      <c r="O1525" s="119" t="str">
        <f>IF(tech_base!$T61&gt;O$1465,"",(tech_base!$J61/tech_proj!O185*0.086*$N$110)/(1-tech_proj!O465))</f>
        <v/>
      </c>
      <c r="P1525" s="119" t="str">
        <f>IF(tech_base!$T61&gt;P$1465,"",(tech_base!$J61/tech_proj!P185*0.086*$N$110)/(1-tech_proj!P465))</f>
        <v/>
      </c>
      <c r="Q1525" s="119" t="str">
        <f>IF(tech_base!$T61&gt;Q$1465,"",(tech_base!$J61/tech_proj!Q185*0.086*$N$110)/(1-tech_proj!Q465))</f>
        <v/>
      </c>
      <c r="R1525" s="119" t="str">
        <f>IF(tech_base!$T61&gt;R$1465,"",(tech_base!$J61/tech_proj!R185*0.086*$N$110)/(1-tech_proj!R465))</f>
        <v/>
      </c>
      <c r="S1525" s="119" t="str">
        <f>IF(tech_base!$T61&gt;S$1465,"",(tech_base!$J61/tech_proj!S185*0.086*$N$110)/(1-tech_proj!S465))</f>
        <v/>
      </c>
      <c r="T1525" s="119" t="str">
        <f>IF(tech_base!$T61&gt;T$1465,"",(tech_base!$J61/tech_proj!T185*0.086*$N$110)/(1-tech_proj!T465))</f>
        <v/>
      </c>
      <c r="U1525" s="119" t="str">
        <f>IF(tech_base!$T61&gt;U$1465,"",(tech_base!$J61/tech_proj!U185*0.086*$N$110)/(1-tech_proj!U465))</f>
        <v/>
      </c>
      <c r="V1525" s="119" t="str">
        <f>IF(tech_base!$T61&gt;V$1465,"",(tech_base!$J61/tech_proj!V185*0.086*$N$110)/(1-tech_proj!V465))</f>
        <v/>
      </c>
      <c r="W1525" s="119" t="str">
        <f>IF(tech_base!$T61&gt;W$1465,"",(tech_base!$J61/tech_proj!W185*0.086*$N$110)/(1-tech_proj!W465))</f>
        <v/>
      </c>
      <c r="X1525" s="119" t="str">
        <f>IF(tech_base!$T61&gt;X$1465,"",(tech_base!$J61/tech_proj!X185*0.086*$N$110)/(1-tech_proj!X465))</f>
        <v/>
      </c>
      <c r="Y1525" s="119" t="str">
        <f>IF(tech_base!$T61&gt;Y$1465,"",(tech_base!$J61/tech_proj!Y185*0.086*$N$110)/(1-tech_proj!Y465))</f>
        <v/>
      </c>
      <c r="Z1525" s="119" t="str">
        <f>IF(tech_base!$T61&gt;Z$1465,"",(tech_base!$J61/tech_proj!Z185*0.086*$N$110)/(1-tech_proj!Z465))</f>
        <v/>
      </c>
      <c r="AA1525" s="119" t="str">
        <f>IF(tech_base!$T61&gt;AA$1465,"",(tech_base!$J61/tech_proj!AA185*0.086*$N$110)/(1-tech_proj!AA465))</f>
        <v/>
      </c>
      <c r="AB1525" s="119" t="str">
        <f>IF(tech_base!$T61&gt;AB$1465,"",(tech_base!$J61/tech_proj!AB185*0.086*$N$110)/(1-tech_proj!AB465))</f>
        <v/>
      </c>
      <c r="AC1525" s="119" t="str">
        <f>IF(tech_base!$T61&gt;AC$1465,"",(tech_base!$J61/tech_proj!AC185*0.086*$N$110)/(1-tech_proj!AC465))</f>
        <v/>
      </c>
      <c r="AD1525" s="119" t="str">
        <f>IF(tech_base!$T61&gt;AD$1465,"",(tech_base!$J61/tech_proj!AD185*0.086*$N$110)/(1-tech_proj!AD465))</f>
        <v/>
      </c>
      <c r="AE1525" s="119">
        <f>IF(tech_base!$T61&gt;AE$1465,"",(tech_base!$J61/tech_proj!AE185*0.086*$N$110)/(1-tech_proj!AE465))</f>
        <v>0</v>
      </c>
      <c r="AF1525" s="119">
        <f>IF(tech_base!$T61&gt;AF$1465,"",(tech_base!$J61/tech_proj!AF185*0.086*$N$110)/(1-tech_proj!AF465))</f>
        <v>0</v>
      </c>
      <c r="AG1525" s="119">
        <f>IF(tech_base!$T61&gt;AG$1465,"",(tech_base!$J61/tech_proj!AG185*0.086*$N$110)/(1-tech_proj!AG465))</f>
        <v>0</v>
      </c>
      <c r="AH1525" s="119">
        <f>IF(tech_base!$T61&gt;AH$1465,"",(tech_base!$J61/tech_proj!AH185*0.086*$N$110)/(1-tech_proj!AH465))</f>
        <v>0</v>
      </c>
      <c r="AI1525" s="119">
        <f>IF(tech_base!$T61&gt;AI$1465,"",(tech_base!$J61/tech_proj!AI185*0.086*$N$110)/(1-tech_proj!AI465))</f>
        <v>0</v>
      </c>
      <c r="AJ1525" s="119">
        <f>IF(tech_base!$T61&gt;AJ$1465,"",(tech_base!$J61/tech_proj!AJ185*0.086*$N$110)/(1-tech_proj!AJ465))</f>
        <v>0</v>
      </c>
      <c r="AK1525" s="119">
        <f>IF(tech_base!$T61&gt;AK$1465,"",(tech_base!$J61/tech_proj!AK185*0.086*$N$110)/(1-tech_proj!AK465))</f>
        <v>0</v>
      </c>
      <c r="AL1525" s="119">
        <f>IF(tech_base!$T61&gt;AL$1465,"",(tech_base!$J61/tech_proj!AL185*0.086*$N$110)/(1-tech_proj!AL465))</f>
        <v>0</v>
      </c>
      <c r="AM1525" s="119">
        <f>IF(tech_base!$T61&gt;AM$1465,"",(tech_base!$J61/tech_proj!AM185*0.086*$N$110)/(1-tech_proj!AM465))</f>
        <v>0</v>
      </c>
      <c r="AN1525" s="119">
        <f>IF(tech_base!$T61&gt;AN$1465,"",(tech_base!$J61/tech_proj!AN185*0.086*$N$110)/(1-tech_proj!AN465))</f>
        <v>0</v>
      </c>
      <c r="AO1525" s="119">
        <f>IF(tech_base!$T61&gt;AO$1465,"",(tech_base!$J61/tech_proj!AO185*0.086*$N$110)/(1-tech_proj!AO465))</f>
        <v>0</v>
      </c>
      <c r="AP1525" s="119">
        <f>IF(tech_base!$T61&gt;AP$1465,"",(tech_base!$J61/tech_proj!AP185*0.086*$N$110)/(1-tech_proj!AP465))</f>
        <v>0</v>
      </c>
      <c r="AQ1525" s="119">
        <f>IF(tech_base!$T61&gt;AQ$1465,"",(tech_base!$J61/tech_proj!AQ185*0.086*$N$110)/(1-tech_proj!AQ465))</f>
        <v>0</v>
      </c>
      <c r="AR1525" s="119">
        <f>IF(tech_base!$T61&gt;AR$1465,"",(tech_base!$J61/tech_proj!AR185*0.086*$N$110)/(1-tech_proj!AR465))</f>
        <v>0</v>
      </c>
      <c r="AS1525" s="119">
        <f>IF(tech_base!$T61&gt;AS$1465,"",(tech_base!$J61/tech_proj!AS185*0.086*$N$110)/(1-tech_proj!AS465))</f>
        <v>0</v>
      </c>
      <c r="AT1525" s="119">
        <f>IF(tech_base!$T61&gt;AT$1465,"",(tech_base!$J61/tech_proj!AT185*0.086*$N$110)/(1-tech_proj!AT465))</f>
        <v>0</v>
      </c>
      <c r="AU1525" s="119">
        <f>IF(tech_base!$T61&gt;AU$1465,"",(tech_base!$J61/tech_proj!AU185*0.086*$N$110)/(1-tech_proj!AU465))</f>
        <v>0</v>
      </c>
      <c r="AV1525" s="119">
        <f>IF(tech_base!$T61&gt;AV$1465,"",(tech_base!$J61/tech_proj!AV185*0.086*$N$110)/(1-tech_proj!AV465))</f>
        <v>0</v>
      </c>
      <c r="AW1525" s="119">
        <f>IF(tech_base!$T61&gt;AW$1465,"",(tech_base!$J61/tech_proj!AW185*0.086*$N$110)/(1-tech_proj!AW465))</f>
        <v>0</v>
      </c>
      <c r="AX1525" s="120">
        <f>IF(tech_base!$T61&gt;AX$1465,"",(tech_base!$J61/tech_proj!AX185*0.086*$N$110)/(1-tech_proj!AX465))</f>
        <v>0</v>
      </c>
    </row>
    <row r="1526" spans="1:50" x14ac:dyDescent="0.25">
      <c r="A1526" s="356"/>
      <c r="B1526" s="380"/>
      <c r="C1526" s="381"/>
      <c r="D1526" s="4" t="s">
        <v>8</v>
      </c>
      <c r="E1526" s="168" t="str">
        <f>A1511&amp;"/"&amp;B1519&amp;"/"&amp;C1525&amp;"/"&amp;D1526</f>
        <v>Lignite fired power plants/Supercritical steam turbine/CHP with CCS/M</v>
      </c>
      <c r="F1526" s="80" t="str">
        <f>A1511</f>
        <v>Lignite fired power plants</v>
      </c>
      <c r="G1526" s="80" t="str">
        <f>B1519</f>
        <v>Supercritical steam turbine</v>
      </c>
      <c r="H1526" s="80" t="str">
        <f>C1525</f>
        <v>CHP with CCS</v>
      </c>
      <c r="I1526" s="169" t="str">
        <f t="shared" si="377"/>
        <v>M</v>
      </c>
      <c r="J1526" s="127" t="str">
        <f>IF(tech_base!$T62&gt;J$1465,"",(tech_base!$J62/tech_proj!J186*0.086*$N$110)/(1-tech_proj!J466))</f>
        <v/>
      </c>
      <c r="K1526" s="127" t="str">
        <f>IF(tech_base!$T62&gt;K$1465,"",(tech_base!$J62/tech_proj!K186*0.086*$N$110)/(1-tech_proj!K466))</f>
        <v/>
      </c>
      <c r="L1526" s="127" t="str">
        <f>IF(tech_base!$T62&gt;L$1465,"",(tech_base!$J62/tech_proj!L186*0.086*$N$110)/(1-tech_proj!L466))</f>
        <v/>
      </c>
      <c r="M1526" s="127" t="str">
        <f>IF(tech_base!$T62&gt;M$1465,"",(tech_base!$J62/tech_proj!M186*0.086*$N$110)/(1-tech_proj!M466))</f>
        <v/>
      </c>
      <c r="N1526" s="127" t="str">
        <f>IF(tech_base!$T62&gt;N$1465,"",(tech_base!$J62/tech_proj!N186*0.086*$N$110)/(1-tech_proj!N466))</f>
        <v/>
      </c>
      <c r="O1526" s="127" t="str">
        <f>IF(tech_base!$T62&gt;O$1465,"",(tech_base!$J62/tech_proj!O186*0.086*$N$110)/(1-tech_proj!O466))</f>
        <v/>
      </c>
      <c r="P1526" s="127" t="str">
        <f>IF(tech_base!$T62&gt;P$1465,"",(tech_base!$J62/tech_proj!P186*0.086*$N$110)/(1-tech_proj!P466))</f>
        <v/>
      </c>
      <c r="Q1526" s="127" t="str">
        <f>IF(tech_base!$T62&gt;Q$1465,"",(tech_base!$J62/tech_proj!Q186*0.086*$N$110)/(1-tech_proj!Q466))</f>
        <v/>
      </c>
      <c r="R1526" s="127" t="str">
        <f>IF(tech_base!$T62&gt;R$1465,"",(tech_base!$J62/tech_proj!R186*0.086*$N$110)/(1-tech_proj!R466))</f>
        <v/>
      </c>
      <c r="S1526" s="127" t="str">
        <f>IF(tech_base!$T62&gt;S$1465,"",(tech_base!$J62/tech_proj!S186*0.086*$N$110)/(1-tech_proj!S466))</f>
        <v/>
      </c>
      <c r="T1526" s="127" t="str">
        <f>IF(tech_base!$T62&gt;T$1465,"",(tech_base!$J62/tech_proj!T186*0.086*$N$110)/(1-tech_proj!T466))</f>
        <v/>
      </c>
      <c r="U1526" s="127" t="str">
        <f>IF(tech_base!$T62&gt;U$1465,"",(tech_base!$J62/tech_proj!U186*0.086*$N$110)/(1-tech_proj!U466))</f>
        <v/>
      </c>
      <c r="V1526" s="127" t="str">
        <f>IF(tech_base!$T62&gt;V$1465,"",(tech_base!$J62/tech_proj!V186*0.086*$N$110)/(1-tech_proj!V466))</f>
        <v/>
      </c>
      <c r="W1526" s="127" t="str">
        <f>IF(tech_base!$T62&gt;W$1465,"",(tech_base!$J62/tech_proj!W186*0.086*$N$110)/(1-tech_proj!W466))</f>
        <v/>
      </c>
      <c r="X1526" s="127" t="str">
        <f>IF(tech_base!$T62&gt;X$1465,"",(tech_base!$J62/tech_proj!X186*0.086*$N$110)/(1-tech_proj!X466))</f>
        <v/>
      </c>
      <c r="Y1526" s="127" t="str">
        <f>IF(tech_base!$T62&gt;Y$1465,"",(tech_base!$J62/tech_proj!Y186*0.086*$N$110)/(1-tech_proj!Y466))</f>
        <v/>
      </c>
      <c r="Z1526" s="127" t="str">
        <f>IF(tech_base!$T62&gt;Z$1465,"",(tech_base!$J62/tech_proj!Z186*0.086*$N$110)/(1-tech_proj!Z466))</f>
        <v/>
      </c>
      <c r="AA1526" s="127" t="str">
        <f>IF(tech_base!$T62&gt;AA$1465,"",(tech_base!$J62/tech_proj!AA186*0.086*$N$110)/(1-tech_proj!AA466))</f>
        <v/>
      </c>
      <c r="AB1526" s="127" t="str">
        <f>IF(tech_base!$T62&gt;AB$1465,"",(tech_base!$J62/tech_proj!AB186*0.086*$N$110)/(1-tech_proj!AB466))</f>
        <v/>
      </c>
      <c r="AC1526" s="127" t="str">
        <f>IF(tech_base!$T62&gt;AC$1465,"",(tech_base!$J62/tech_proj!AC186*0.086*$N$110)/(1-tech_proj!AC466))</f>
        <v/>
      </c>
      <c r="AD1526" s="127" t="str">
        <f>IF(tech_base!$T62&gt;AD$1465,"",(tech_base!$J62/tech_proj!AD186*0.086*$N$110)/(1-tech_proj!AD466))</f>
        <v/>
      </c>
      <c r="AE1526" s="127">
        <f>IF(tech_base!$T62&gt;AE$1465,"",(tech_base!$J62/tech_proj!AE186*0.086*$N$110)/(1-tech_proj!AE466))</f>
        <v>0</v>
      </c>
      <c r="AF1526" s="127">
        <f>IF(tech_base!$T62&gt;AF$1465,"",(tech_base!$J62/tech_proj!AF186*0.086*$N$110)/(1-tech_proj!AF466))</f>
        <v>0</v>
      </c>
      <c r="AG1526" s="127">
        <f>IF(tech_base!$T62&gt;AG$1465,"",(tech_base!$J62/tech_proj!AG186*0.086*$N$110)/(1-tech_proj!AG466))</f>
        <v>0</v>
      </c>
      <c r="AH1526" s="127">
        <f>IF(tech_base!$T62&gt;AH$1465,"",(tech_base!$J62/tech_proj!AH186*0.086*$N$110)/(1-tech_proj!AH466))</f>
        <v>0</v>
      </c>
      <c r="AI1526" s="127">
        <f>IF(tech_base!$T62&gt;AI$1465,"",(tech_base!$J62/tech_proj!AI186*0.086*$N$110)/(1-tech_proj!AI466))</f>
        <v>0</v>
      </c>
      <c r="AJ1526" s="127">
        <f>IF(tech_base!$T62&gt;AJ$1465,"",(tech_base!$J62/tech_proj!AJ186*0.086*$N$110)/(1-tech_proj!AJ466))</f>
        <v>0</v>
      </c>
      <c r="AK1526" s="127">
        <f>IF(tech_base!$T62&gt;AK$1465,"",(tech_base!$J62/tech_proj!AK186*0.086*$N$110)/(1-tech_proj!AK466))</f>
        <v>0</v>
      </c>
      <c r="AL1526" s="127">
        <f>IF(tech_base!$T62&gt;AL$1465,"",(tech_base!$J62/tech_proj!AL186*0.086*$N$110)/(1-tech_proj!AL466))</f>
        <v>0</v>
      </c>
      <c r="AM1526" s="127">
        <f>IF(tech_base!$T62&gt;AM$1465,"",(tech_base!$J62/tech_proj!AM186*0.086*$N$110)/(1-tech_proj!AM466))</f>
        <v>0</v>
      </c>
      <c r="AN1526" s="127">
        <f>IF(tech_base!$T62&gt;AN$1465,"",(tech_base!$J62/tech_proj!AN186*0.086*$N$110)/(1-tech_proj!AN466))</f>
        <v>0</v>
      </c>
      <c r="AO1526" s="127">
        <f>IF(tech_base!$T62&gt;AO$1465,"",(tech_base!$J62/tech_proj!AO186*0.086*$N$110)/(1-tech_proj!AO466))</f>
        <v>0</v>
      </c>
      <c r="AP1526" s="127">
        <f>IF(tech_base!$T62&gt;AP$1465,"",(tech_base!$J62/tech_proj!AP186*0.086*$N$110)/(1-tech_proj!AP466))</f>
        <v>0</v>
      </c>
      <c r="AQ1526" s="127">
        <f>IF(tech_base!$T62&gt;AQ$1465,"",(tech_base!$J62/tech_proj!AQ186*0.086*$N$110)/(1-tech_proj!AQ466))</f>
        <v>0</v>
      </c>
      <c r="AR1526" s="127">
        <f>IF(tech_base!$T62&gt;AR$1465,"",(tech_base!$J62/tech_proj!AR186*0.086*$N$110)/(1-tech_proj!AR466))</f>
        <v>0</v>
      </c>
      <c r="AS1526" s="127">
        <f>IF(tech_base!$T62&gt;AS$1465,"",(tech_base!$J62/tech_proj!AS186*0.086*$N$110)/(1-tech_proj!AS466))</f>
        <v>0</v>
      </c>
      <c r="AT1526" s="127">
        <f>IF(tech_base!$T62&gt;AT$1465,"",(tech_base!$J62/tech_proj!AT186*0.086*$N$110)/(1-tech_proj!AT466))</f>
        <v>0</v>
      </c>
      <c r="AU1526" s="127">
        <f>IF(tech_base!$T62&gt;AU$1465,"",(tech_base!$J62/tech_proj!AU186*0.086*$N$110)/(1-tech_proj!AU466))</f>
        <v>0</v>
      </c>
      <c r="AV1526" s="127">
        <f>IF(tech_base!$T62&gt;AV$1465,"",(tech_base!$J62/tech_proj!AV186*0.086*$N$110)/(1-tech_proj!AV466))</f>
        <v>0</v>
      </c>
      <c r="AW1526" s="127">
        <f>IF(tech_base!$T62&gt;AW$1465,"",(tech_base!$J62/tech_proj!AW186*0.086*$N$110)/(1-tech_proj!AW466))</f>
        <v>0</v>
      </c>
      <c r="AX1526" s="128">
        <f>IF(tech_base!$T62&gt;AX$1465,"",(tech_base!$J62/tech_proj!AX186*0.086*$N$110)/(1-tech_proj!AX466))</f>
        <v>0</v>
      </c>
    </row>
    <row r="1527" spans="1:50" x14ac:dyDescent="0.25">
      <c r="A1527" s="356"/>
      <c r="B1527" s="358" t="s">
        <v>18</v>
      </c>
      <c r="C1527" s="353" t="s">
        <v>6</v>
      </c>
      <c r="D1527" s="3" t="s">
        <v>7</v>
      </c>
      <c r="E1527" s="162" t="str">
        <f>A1511&amp;"/"&amp;B1527&amp;"/"&amp;C1527&amp;"/"&amp;D1527</f>
        <v>Lignite fired power plants/Fluidized bed combustion/Electricity only/L</v>
      </c>
      <c r="F1527" s="77" t="str">
        <f>A1511</f>
        <v>Lignite fired power plants</v>
      </c>
      <c r="G1527" s="77" t="str">
        <f>B1527</f>
        <v>Fluidized bed combustion</v>
      </c>
      <c r="H1527" s="77" t="str">
        <f>C1527</f>
        <v>Electricity only</v>
      </c>
      <c r="I1527" s="163" t="str">
        <f t="shared" si="377"/>
        <v>L</v>
      </c>
      <c r="J1527" s="121">
        <f>IF(tech_base!$T63&gt;J$1465,"",(tech_base!$J63/tech_proj!J187*0.086*$N$110)/(1-tech_proj!J467))</f>
        <v>0</v>
      </c>
      <c r="K1527" s="121">
        <f>IF(tech_base!$T63&gt;K$1465,"",(tech_base!$J63/tech_proj!K187*0.086*$N$110)/(1-tech_proj!K467))</f>
        <v>0</v>
      </c>
      <c r="L1527" s="121">
        <f>IF(tech_base!$T63&gt;L$1465,"",(tech_base!$J63/tech_proj!L187*0.086*$N$110)/(1-tech_proj!L467))</f>
        <v>0</v>
      </c>
      <c r="M1527" s="121">
        <f>IF(tech_base!$T63&gt;M$1465,"",(tech_base!$J63/tech_proj!M187*0.086*$N$110)/(1-tech_proj!M467))</f>
        <v>0</v>
      </c>
      <c r="N1527" s="121">
        <f>IF(tech_base!$T63&gt;N$1465,"",(tech_base!$J63/tech_proj!N187*0.086*$N$110)/(1-tech_proj!N467))</f>
        <v>0</v>
      </c>
      <c r="O1527" s="121">
        <f>IF(tech_base!$T63&gt;O$1465,"",(tech_base!$J63/tech_proj!O187*0.086*$N$110)/(1-tech_proj!O467))</f>
        <v>0</v>
      </c>
      <c r="P1527" s="121">
        <f>IF(tech_base!$T63&gt;P$1465,"",(tech_base!$J63/tech_proj!P187*0.086*$N$110)/(1-tech_proj!P467))</f>
        <v>0</v>
      </c>
      <c r="Q1527" s="121">
        <f>IF(tech_base!$T63&gt;Q$1465,"",(tech_base!$J63/tech_proj!Q187*0.086*$N$110)/(1-tech_proj!Q467))</f>
        <v>0</v>
      </c>
      <c r="R1527" s="121">
        <f>IF(tech_base!$T63&gt;R$1465,"",(tech_base!$J63/tech_proj!R187*0.086*$N$110)/(1-tech_proj!R467))</f>
        <v>0</v>
      </c>
      <c r="S1527" s="121">
        <f>IF(tech_base!$T63&gt;S$1465,"",(tech_base!$J63/tech_proj!S187*0.086*$N$110)/(1-tech_proj!S467))</f>
        <v>0</v>
      </c>
      <c r="T1527" s="121">
        <f>IF(tech_base!$T63&gt;T$1465,"",(tech_base!$J63/tech_proj!T187*0.086*$N$110)/(1-tech_proj!T467))</f>
        <v>0</v>
      </c>
      <c r="U1527" s="121">
        <f>IF(tech_base!$T63&gt;U$1465,"",(tech_base!$J63/tech_proj!U187*0.086*$N$110)/(1-tech_proj!U467))</f>
        <v>0</v>
      </c>
      <c r="V1527" s="121">
        <f>IF(tech_base!$T63&gt;V$1465,"",(tech_base!$J63/tech_proj!V187*0.086*$N$110)/(1-tech_proj!V467))</f>
        <v>0</v>
      </c>
      <c r="W1527" s="121">
        <f>IF(tech_base!$T63&gt;W$1465,"",(tech_base!$J63/tech_proj!W187*0.086*$N$110)/(1-tech_proj!W467))</f>
        <v>0</v>
      </c>
      <c r="X1527" s="121">
        <f>IF(tech_base!$T63&gt;X$1465,"",(tech_base!$J63/tech_proj!X187*0.086*$N$110)/(1-tech_proj!X467))</f>
        <v>0</v>
      </c>
      <c r="Y1527" s="121">
        <f>IF(tech_base!$T63&gt;Y$1465,"",(tech_base!$J63/tech_proj!Y187*0.086*$N$110)/(1-tech_proj!Y467))</f>
        <v>0</v>
      </c>
      <c r="Z1527" s="121">
        <f>IF(tech_base!$T63&gt;Z$1465,"",(tech_base!$J63/tech_proj!Z187*0.086*$N$110)/(1-tech_proj!Z467))</f>
        <v>0</v>
      </c>
      <c r="AA1527" s="121">
        <f>IF(tech_base!$T63&gt;AA$1465,"",(tech_base!$J63/tech_proj!AA187*0.086*$N$110)/(1-tech_proj!AA467))</f>
        <v>0</v>
      </c>
      <c r="AB1527" s="121">
        <f>IF(tech_base!$T63&gt;AB$1465,"",(tech_base!$J63/tech_proj!AB187*0.086*$N$110)/(1-tech_proj!AB467))</f>
        <v>0</v>
      </c>
      <c r="AC1527" s="121">
        <f>IF(tech_base!$T63&gt;AC$1465,"",(tech_base!$J63/tech_proj!AC187*0.086*$N$110)/(1-tech_proj!AC467))</f>
        <v>0</v>
      </c>
      <c r="AD1527" s="121">
        <f>IF(tech_base!$T63&gt;AD$1465,"",(tech_base!$J63/tech_proj!AD187*0.086*$N$110)/(1-tech_proj!AD467))</f>
        <v>0</v>
      </c>
      <c r="AE1527" s="121">
        <f>IF(tech_base!$T63&gt;AE$1465,"",(tech_base!$J63/tech_proj!AE187*0.086*$N$110)/(1-tech_proj!AE467))</f>
        <v>0</v>
      </c>
      <c r="AF1527" s="121">
        <f>IF(tech_base!$T63&gt;AF$1465,"",(tech_base!$J63/tech_proj!AF187*0.086*$N$110)/(1-tech_proj!AF467))</f>
        <v>0</v>
      </c>
      <c r="AG1527" s="121">
        <f>IF(tech_base!$T63&gt;AG$1465,"",(tech_base!$J63/tech_proj!AG187*0.086*$N$110)/(1-tech_proj!AG467))</f>
        <v>0</v>
      </c>
      <c r="AH1527" s="121">
        <f>IF(tech_base!$T63&gt;AH$1465,"",(tech_base!$J63/tech_proj!AH187*0.086*$N$110)/(1-tech_proj!AH467))</f>
        <v>0</v>
      </c>
      <c r="AI1527" s="121">
        <f>IF(tech_base!$T63&gt;AI$1465,"",(tech_base!$J63/tech_proj!AI187*0.086*$N$110)/(1-tech_proj!AI467))</f>
        <v>0</v>
      </c>
      <c r="AJ1527" s="121">
        <f>IF(tech_base!$T63&gt;AJ$1465,"",(tech_base!$J63/tech_proj!AJ187*0.086*$N$110)/(1-tech_proj!AJ467))</f>
        <v>0</v>
      </c>
      <c r="AK1527" s="121">
        <f>IF(tech_base!$T63&gt;AK$1465,"",(tech_base!$J63/tech_proj!AK187*0.086*$N$110)/(1-tech_proj!AK467))</f>
        <v>0</v>
      </c>
      <c r="AL1527" s="121">
        <f>IF(tech_base!$T63&gt;AL$1465,"",(tech_base!$J63/tech_proj!AL187*0.086*$N$110)/(1-tech_proj!AL467))</f>
        <v>0</v>
      </c>
      <c r="AM1527" s="121">
        <f>IF(tech_base!$T63&gt;AM$1465,"",(tech_base!$J63/tech_proj!AM187*0.086*$N$110)/(1-tech_proj!AM467))</f>
        <v>0</v>
      </c>
      <c r="AN1527" s="121">
        <f>IF(tech_base!$T63&gt;AN$1465,"",(tech_base!$J63/tech_proj!AN187*0.086*$N$110)/(1-tech_proj!AN467))</f>
        <v>0</v>
      </c>
      <c r="AO1527" s="121">
        <f>IF(tech_base!$T63&gt;AO$1465,"",(tech_base!$J63/tech_proj!AO187*0.086*$N$110)/(1-tech_proj!AO467))</f>
        <v>0</v>
      </c>
      <c r="AP1527" s="121">
        <f>IF(tech_base!$T63&gt;AP$1465,"",(tech_base!$J63/tech_proj!AP187*0.086*$N$110)/(1-tech_proj!AP467))</f>
        <v>0</v>
      </c>
      <c r="AQ1527" s="121">
        <f>IF(tech_base!$T63&gt;AQ$1465,"",(tech_base!$J63/tech_proj!AQ187*0.086*$N$110)/(1-tech_proj!AQ467))</f>
        <v>0</v>
      </c>
      <c r="AR1527" s="121">
        <f>IF(tech_base!$T63&gt;AR$1465,"",(tech_base!$J63/tech_proj!AR187*0.086*$N$110)/(1-tech_proj!AR467))</f>
        <v>0</v>
      </c>
      <c r="AS1527" s="121">
        <f>IF(tech_base!$T63&gt;AS$1465,"",(tech_base!$J63/tech_proj!AS187*0.086*$N$110)/(1-tech_proj!AS467))</f>
        <v>0</v>
      </c>
      <c r="AT1527" s="121">
        <f>IF(tech_base!$T63&gt;AT$1465,"",(tech_base!$J63/tech_proj!AT187*0.086*$N$110)/(1-tech_proj!AT467))</f>
        <v>0</v>
      </c>
      <c r="AU1527" s="121">
        <f>IF(tech_base!$T63&gt;AU$1465,"",(tech_base!$J63/tech_proj!AU187*0.086*$N$110)/(1-tech_proj!AU467))</f>
        <v>0</v>
      </c>
      <c r="AV1527" s="121">
        <f>IF(tech_base!$T63&gt;AV$1465,"",(tech_base!$J63/tech_proj!AV187*0.086*$N$110)/(1-tech_proj!AV467))</f>
        <v>0</v>
      </c>
      <c r="AW1527" s="121">
        <f>IF(tech_base!$T63&gt;AW$1465,"",(tech_base!$J63/tech_proj!AW187*0.086*$N$110)/(1-tech_proj!AW467))</f>
        <v>0</v>
      </c>
      <c r="AX1527" s="122">
        <f>IF(tech_base!$T63&gt;AX$1465,"",(tech_base!$J63/tech_proj!AX187*0.086*$N$110)/(1-tech_proj!AX467))</f>
        <v>0</v>
      </c>
    </row>
    <row r="1528" spans="1:50" x14ac:dyDescent="0.25">
      <c r="A1528" s="356"/>
      <c r="B1528" s="376"/>
      <c r="C1528" s="350"/>
      <c r="D1528" s="2" t="s">
        <v>8</v>
      </c>
      <c r="E1528" s="160" t="str">
        <f>A1511&amp;"/"&amp;B1527&amp;"/"&amp;C1527&amp;"/"&amp;D1528</f>
        <v>Lignite fired power plants/Fluidized bed combustion/Electricity only/M</v>
      </c>
      <c r="F1528" s="76" t="str">
        <f>A1511</f>
        <v>Lignite fired power plants</v>
      </c>
      <c r="G1528" s="76" t="str">
        <f>B1527</f>
        <v>Fluidized bed combustion</v>
      </c>
      <c r="H1528" s="76" t="str">
        <f>C1527</f>
        <v>Electricity only</v>
      </c>
      <c r="I1528" s="161" t="str">
        <f t="shared" si="377"/>
        <v>M</v>
      </c>
      <c r="J1528" s="119">
        <f>IF(tech_base!$T64&gt;J$1465,"",(tech_base!$J64/tech_proj!J188*0.086*$N$110)/(1-tech_proj!J468))</f>
        <v>0</v>
      </c>
      <c r="K1528" s="119">
        <f>IF(tech_base!$T64&gt;K$1465,"",(tech_base!$J64/tech_proj!K188*0.086*$N$110)/(1-tech_proj!K468))</f>
        <v>0</v>
      </c>
      <c r="L1528" s="119">
        <f>IF(tech_base!$T64&gt;L$1465,"",(tech_base!$J64/tech_proj!L188*0.086*$N$110)/(1-tech_proj!L468))</f>
        <v>0</v>
      </c>
      <c r="M1528" s="119">
        <f>IF(tech_base!$T64&gt;M$1465,"",(tech_base!$J64/tech_proj!M188*0.086*$N$110)/(1-tech_proj!M468))</f>
        <v>0</v>
      </c>
      <c r="N1528" s="119">
        <f>IF(tech_base!$T64&gt;N$1465,"",(tech_base!$J64/tech_proj!N188*0.086*$N$110)/(1-tech_proj!N468))</f>
        <v>0</v>
      </c>
      <c r="O1528" s="119">
        <f>IF(tech_base!$T64&gt;O$1465,"",(tech_base!$J64/tech_proj!O188*0.086*$N$110)/(1-tech_proj!O468))</f>
        <v>0</v>
      </c>
      <c r="P1528" s="119">
        <f>IF(tech_base!$T64&gt;P$1465,"",(tech_base!$J64/tech_proj!P188*0.086*$N$110)/(1-tech_proj!P468))</f>
        <v>0</v>
      </c>
      <c r="Q1528" s="119">
        <f>IF(tech_base!$T64&gt;Q$1465,"",(tech_base!$J64/tech_proj!Q188*0.086*$N$110)/(1-tech_proj!Q468))</f>
        <v>0</v>
      </c>
      <c r="R1528" s="119">
        <f>IF(tech_base!$T64&gt;R$1465,"",(tech_base!$J64/tech_proj!R188*0.086*$N$110)/(1-tech_proj!R468))</f>
        <v>0</v>
      </c>
      <c r="S1528" s="119">
        <f>IF(tech_base!$T64&gt;S$1465,"",(tech_base!$J64/tech_proj!S188*0.086*$N$110)/(1-tech_proj!S468))</f>
        <v>0</v>
      </c>
      <c r="T1528" s="119">
        <f>IF(tech_base!$T64&gt;T$1465,"",(tech_base!$J64/tech_proj!T188*0.086*$N$110)/(1-tech_proj!T468))</f>
        <v>0</v>
      </c>
      <c r="U1528" s="119">
        <f>IF(tech_base!$T64&gt;U$1465,"",(tech_base!$J64/tech_proj!U188*0.086*$N$110)/(1-tech_proj!U468))</f>
        <v>0</v>
      </c>
      <c r="V1528" s="119">
        <f>IF(tech_base!$T64&gt;V$1465,"",(tech_base!$J64/tech_proj!V188*0.086*$N$110)/(1-tech_proj!V468))</f>
        <v>0</v>
      </c>
      <c r="W1528" s="119">
        <f>IF(tech_base!$T64&gt;W$1465,"",(tech_base!$J64/tech_proj!W188*0.086*$N$110)/(1-tech_proj!W468))</f>
        <v>0</v>
      </c>
      <c r="X1528" s="119">
        <f>IF(tech_base!$T64&gt;X$1465,"",(tech_base!$J64/tech_proj!X188*0.086*$N$110)/(1-tech_proj!X468))</f>
        <v>0</v>
      </c>
      <c r="Y1528" s="119">
        <f>IF(tech_base!$T64&gt;Y$1465,"",(tech_base!$J64/tech_proj!Y188*0.086*$N$110)/(1-tech_proj!Y468))</f>
        <v>0</v>
      </c>
      <c r="Z1528" s="119">
        <f>IF(tech_base!$T64&gt;Z$1465,"",(tech_base!$J64/tech_proj!Z188*0.086*$N$110)/(1-tech_proj!Z468))</f>
        <v>0</v>
      </c>
      <c r="AA1528" s="119">
        <f>IF(tech_base!$T64&gt;AA$1465,"",(tech_base!$J64/tech_proj!AA188*0.086*$N$110)/(1-tech_proj!AA468))</f>
        <v>0</v>
      </c>
      <c r="AB1528" s="119">
        <f>IF(tech_base!$T64&gt;AB$1465,"",(tech_base!$J64/tech_proj!AB188*0.086*$N$110)/(1-tech_proj!AB468))</f>
        <v>0</v>
      </c>
      <c r="AC1528" s="119">
        <f>IF(tech_base!$T64&gt;AC$1465,"",(tech_base!$J64/tech_proj!AC188*0.086*$N$110)/(1-tech_proj!AC468))</f>
        <v>0</v>
      </c>
      <c r="AD1528" s="119">
        <f>IF(tech_base!$T64&gt;AD$1465,"",(tech_base!$J64/tech_proj!AD188*0.086*$N$110)/(1-tech_proj!AD468))</f>
        <v>0</v>
      </c>
      <c r="AE1528" s="119">
        <f>IF(tech_base!$T64&gt;AE$1465,"",(tech_base!$J64/tech_proj!AE188*0.086*$N$110)/(1-tech_proj!AE468))</f>
        <v>0</v>
      </c>
      <c r="AF1528" s="119">
        <f>IF(tech_base!$T64&gt;AF$1465,"",(tech_base!$J64/tech_proj!AF188*0.086*$N$110)/(1-tech_proj!AF468))</f>
        <v>0</v>
      </c>
      <c r="AG1528" s="119">
        <f>IF(tech_base!$T64&gt;AG$1465,"",(tech_base!$J64/tech_proj!AG188*0.086*$N$110)/(1-tech_proj!AG468))</f>
        <v>0</v>
      </c>
      <c r="AH1528" s="119">
        <f>IF(tech_base!$T64&gt;AH$1465,"",(tech_base!$J64/tech_proj!AH188*0.086*$N$110)/(1-tech_proj!AH468))</f>
        <v>0</v>
      </c>
      <c r="AI1528" s="119">
        <f>IF(tech_base!$T64&gt;AI$1465,"",(tech_base!$J64/tech_proj!AI188*0.086*$N$110)/(1-tech_proj!AI468))</f>
        <v>0</v>
      </c>
      <c r="AJ1528" s="119">
        <f>IF(tech_base!$T64&gt;AJ$1465,"",(tech_base!$J64/tech_proj!AJ188*0.086*$N$110)/(1-tech_proj!AJ468))</f>
        <v>0</v>
      </c>
      <c r="AK1528" s="119">
        <f>IF(tech_base!$T64&gt;AK$1465,"",(tech_base!$J64/tech_proj!AK188*0.086*$N$110)/(1-tech_proj!AK468))</f>
        <v>0</v>
      </c>
      <c r="AL1528" s="119">
        <f>IF(tech_base!$T64&gt;AL$1465,"",(tech_base!$J64/tech_proj!AL188*0.086*$N$110)/(1-tech_proj!AL468))</f>
        <v>0</v>
      </c>
      <c r="AM1528" s="119">
        <f>IF(tech_base!$T64&gt;AM$1465,"",(tech_base!$J64/tech_proj!AM188*0.086*$N$110)/(1-tech_proj!AM468))</f>
        <v>0</v>
      </c>
      <c r="AN1528" s="119">
        <f>IF(tech_base!$T64&gt;AN$1465,"",(tech_base!$J64/tech_proj!AN188*0.086*$N$110)/(1-tech_proj!AN468))</f>
        <v>0</v>
      </c>
      <c r="AO1528" s="119">
        <f>IF(tech_base!$T64&gt;AO$1465,"",(tech_base!$J64/tech_proj!AO188*0.086*$N$110)/(1-tech_proj!AO468))</f>
        <v>0</v>
      </c>
      <c r="AP1528" s="119">
        <f>IF(tech_base!$T64&gt;AP$1465,"",(tech_base!$J64/tech_proj!AP188*0.086*$N$110)/(1-tech_proj!AP468))</f>
        <v>0</v>
      </c>
      <c r="AQ1528" s="119">
        <f>IF(tech_base!$T64&gt;AQ$1465,"",(tech_base!$J64/tech_proj!AQ188*0.086*$N$110)/(1-tech_proj!AQ468))</f>
        <v>0</v>
      </c>
      <c r="AR1528" s="119">
        <f>IF(tech_base!$T64&gt;AR$1465,"",(tech_base!$J64/tech_proj!AR188*0.086*$N$110)/(1-tech_proj!AR468))</f>
        <v>0</v>
      </c>
      <c r="AS1528" s="119">
        <f>IF(tech_base!$T64&gt;AS$1465,"",(tech_base!$J64/tech_proj!AS188*0.086*$N$110)/(1-tech_proj!AS468))</f>
        <v>0</v>
      </c>
      <c r="AT1528" s="119">
        <f>IF(tech_base!$T64&gt;AT$1465,"",(tech_base!$J64/tech_proj!AT188*0.086*$N$110)/(1-tech_proj!AT468))</f>
        <v>0</v>
      </c>
      <c r="AU1528" s="119">
        <f>IF(tech_base!$T64&gt;AU$1465,"",(tech_base!$J64/tech_proj!AU188*0.086*$N$110)/(1-tech_proj!AU468))</f>
        <v>0</v>
      </c>
      <c r="AV1528" s="119">
        <f>IF(tech_base!$T64&gt;AV$1465,"",(tech_base!$J64/tech_proj!AV188*0.086*$N$110)/(1-tech_proj!AV468))</f>
        <v>0</v>
      </c>
      <c r="AW1528" s="119">
        <f>IF(tech_base!$T64&gt;AW$1465,"",(tech_base!$J64/tech_proj!AW188*0.086*$N$110)/(1-tech_proj!AW468))</f>
        <v>0</v>
      </c>
      <c r="AX1528" s="120">
        <f>IF(tech_base!$T64&gt;AX$1465,"",(tech_base!$J64/tech_proj!AX188*0.086*$N$110)/(1-tech_proj!AX468))</f>
        <v>0</v>
      </c>
    </row>
    <row r="1529" spans="1:50" x14ac:dyDescent="0.25">
      <c r="A1529" s="356"/>
      <c r="B1529" s="376"/>
      <c r="C1529" s="360"/>
      <c r="D1529" s="2" t="s">
        <v>10</v>
      </c>
      <c r="E1529" s="160" t="str">
        <f>A1511&amp;"/"&amp;B1527&amp;"/"&amp;C1527&amp;"/"&amp;D1529</f>
        <v>Lignite fired power plants/Fluidized bed combustion/Electricity only/S</v>
      </c>
      <c r="F1529" s="76" t="str">
        <f>A1511</f>
        <v>Lignite fired power plants</v>
      </c>
      <c r="G1529" s="76" t="str">
        <f>B1527</f>
        <v>Fluidized bed combustion</v>
      </c>
      <c r="H1529" s="76" t="str">
        <f>C1527</f>
        <v>Electricity only</v>
      </c>
      <c r="I1529" s="161" t="str">
        <f t="shared" si="377"/>
        <v>S</v>
      </c>
      <c r="J1529" s="119">
        <f>IF(tech_base!$T65&gt;J$1465,"",(tech_base!$J65/tech_proj!J189*0.086*$N$110)/(1-tech_proj!J469))</f>
        <v>0</v>
      </c>
      <c r="K1529" s="119">
        <f>IF(tech_base!$T65&gt;K$1465,"",(tech_base!$J65/tech_proj!K189*0.086*$N$110)/(1-tech_proj!K469))</f>
        <v>0</v>
      </c>
      <c r="L1529" s="119">
        <f>IF(tech_base!$T65&gt;L$1465,"",(tech_base!$J65/tech_proj!L189*0.086*$N$110)/(1-tech_proj!L469))</f>
        <v>0</v>
      </c>
      <c r="M1529" s="119">
        <f>IF(tech_base!$T65&gt;M$1465,"",(tech_base!$J65/tech_proj!M189*0.086*$N$110)/(1-tech_proj!M469))</f>
        <v>0</v>
      </c>
      <c r="N1529" s="119">
        <f>IF(tech_base!$T65&gt;N$1465,"",(tech_base!$J65/tech_proj!N189*0.086*$N$110)/(1-tech_proj!N469))</f>
        <v>0</v>
      </c>
      <c r="O1529" s="119">
        <f>IF(tech_base!$T65&gt;O$1465,"",(tech_base!$J65/tech_proj!O189*0.086*$N$110)/(1-tech_proj!O469))</f>
        <v>0</v>
      </c>
      <c r="P1529" s="119">
        <f>IF(tech_base!$T65&gt;P$1465,"",(tech_base!$J65/tech_proj!P189*0.086*$N$110)/(1-tech_proj!P469))</f>
        <v>0</v>
      </c>
      <c r="Q1529" s="119">
        <f>IF(tech_base!$T65&gt;Q$1465,"",(tech_base!$J65/tech_proj!Q189*0.086*$N$110)/(1-tech_proj!Q469))</f>
        <v>0</v>
      </c>
      <c r="R1529" s="119">
        <f>IF(tech_base!$T65&gt;R$1465,"",(tech_base!$J65/tech_proj!R189*0.086*$N$110)/(1-tech_proj!R469))</f>
        <v>0</v>
      </c>
      <c r="S1529" s="119">
        <f>IF(tech_base!$T65&gt;S$1465,"",(tech_base!$J65/tech_proj!S189*0.086*$N$110)/(1-tech_proj!S469))</f>
        <v>0</v>
      </c>
      <c r="T1529" s="119">
        <f>IF(tech_base!$T65&gt;T$1465,"",(tech_base!$J65/tech_proj!T189*0.086*$N$110)/(1-tech_proj!T469))</f>
        <v>0</v>
      </c>
      <c r="U1529" s="119">
        <f>IF(tech_base!$T65&gt;U$1465,"",(tech_base!$J65/tech_proj!U189*0.086*$N$110)/(1-tech_proj!U469))</f>
        <v>0</v>
      </c>
      <c r="V1529" s="119">
        <f>IF(tech_base!$T65&gt;V$1465,"",(tech_base!$J65/tech_proj!V189*0.086*$N$110)/(1-tech_proj!V469))</f>
        <v>0</v>
      </c>
      <c r="W1529" s="119">
        <f>IF(tech_base!$T65&gt;W$1465,"",(tech_base!$J65/tech_proj!W189*0.086*$N$110)/(1-tech_proj!W469))</f>
        <v>0</v>
      </c>
      <c r="X1529" s="119">
        <f>IF(tech_base!$T65&gt;X$1465,"",(tech_base!$J65/tech_proj!X189*0.086*$N$110)/(1-tech_proj!X469))</f>
        <v>0</v>
      </c>
      <c r="Y1529" s="119">
        <f>IF(tech_base!$T65&gt;Y$1465,"",(tech_base!$J65/tech_proj!Y189*0.086*$N$110)/(1-tech_proj!Y469))</f>
        <v>0</v>
      </c>
      <c r="Z1529" s="119">
        <f>IF(tech_base!$T65&gt;Z$1465,"",(tech_base!$J65/tech_proj!Z189*0.086*$N$110)/(1-tech_proj!Z469))</f>
        <v>0</v>
      </c>
      <c r="AA1529" s="119">
        <f>IF(tech_base!$T65&gt;AA$1465,"",(tech_base!$J65/tech_proj!AA189*0.086*$N$110)/(1-tech_proj!AA469))</f>
        <v>0</v>
      </c>
      <c r="AB1529" s="119">
        <f>IF(tech_base!$T65&gt;AB$1465,"",(tech_base!$J65/tech_proj!AB189*0.086*$N$110)/(1-tech_proj!AB469))</f>
        <v>0</v>
      </c>
      <c r="AC1529" s="119">
        <f>IF(tech_base!$T65&gt;AC$1465,"",(tech_base!$J65/tech_proj!AC189*0.086*$N$110)/(1-tech_proj!AC469))</f>
        <v>0</v>
      </c>
      <c r="AD1529" s="119">
        <f>IF(tech_base!$T65&gt;AD$1465,"",(tech_base!$J65/tech_proj!AD189*0.086*$N$110)/(1-tech_proj!AD469))</f>
        <v>0</v>
      </c>
      <c r="AE1529" s="119">
        <f>IF(tech_base!$T65&gt;AE$1465,"",(tech_base!$J65/tech_proj!AE189*0.086*$N$110)/(1-tech_proj!AE469))</f>
        <v>0</v>
      </c>
      <c r="AF1529" s="119">
        <f>IF(tech_base!$T65&gt;AF$1465,"",(tech_base!$J65/tech_proj!AF189*0.086*$N$110)/(1-tech_proj!AF469))</f>
        <v>0</v>
      </c>
      <c r="AG1529" s="119">
        <f>IF(tech_base!$T65&gt;AG$1465,"",(tech_base!$J65/tech_proj!AG189*0.086*$N$110)/(1-tech_proj!AG469))</f>
        <v>0</v>
      </c>
      <c r="AH1529" s="119">
        <f>IF(tech_base!$T65&gt;AH$1465,"",(tech_base!$J65/tech_proj!AH189*0.086*$N$110)/(1-tech_proj!AH469))</f>
        <v>0</v>
      </c>
      <c r="AI1529" s="119">
        <f>IF(tech_base!$T65&gt;AI$1465,"",(tech_base!$J65/tech_proj!AI189*0.086*$N$110)/(1-tech_proj!AI469))</f>
        <v>0</v>
      </c>
      <c r="AJ1529" s="119">
        <f>IF(tech_base!$T65&gt;AJ$1465,"",(tech_base!$J65/tech_proj!AJ189*0.086*$N$110)/(1-tech_proj!AJ469))</f>
        <v>0</v>
      </c>
      <c r="AK1529" s="119">
        <f>IF(tech_base!$T65&gt;AK$1465,"",(tech_base!$J65/tech_proj!AK189*0.086*$N$110)/(1-tech_proj!AK469))</f>
        <v>0</v>
      </c>
      <c r="AL1529" s="119">
        <f>IF(tech_base!$T65&gt;AL$1465,"",(tech_base!$J65/tech_proj!AL189*0.086*$N$110)/(1-tech_proj!AL469))</f>
        <v>0</v>
      </c>
      <c r="AM1529" s="119">
        <f>IF(tech_base!$T65&gt;AM$1465,"",(tech_base!$J65/tech_proj!AM189*0.086*$N$110)/(1-tech_proj!AM469))</f>
        <v>0</v>
      </c>
      <c r="AN1529" s="119">
        <f>IF(tech_base!$T65&gt;AN$1465,"",(tech_base!$J65/tech_proj!AN189*0.086*$N$110)/(1-tech_proj!AN469))</f>
        <v>0</v>
      </c>
      <c r="AO1529" s="119">
        <f>IF(tech_base!$T65&gt;AO$1465,"",(tech_base!$J65/tech_proj!AO189*0.086*$N$110)/(1-tech_proj!AO469))</f>
        <v>0</v>
      </c>
      <c r="AP1529" s="119">
        <f>IF(tech_base!$T65&gt;AP$1465,"",(tech_base!$J65/tech_proj!AP189*0.086*$N$110)/(1-tech_proj!AP469))</f>
        <v>0</v>
      </c>
      <c r="AQ1529" s="119">
        <f>IF(tech_base!$T65&gt;AQ$1465,"",(tech_base!$J65/tech_proj!AQ189*0.086*$N$110)/(1-tech_proj!AQ469))</f>
        <v>0</v>
      </c>
      <c r="AR1529" s="119">
        <f>IF(tech_base!$T65&gt;AR$1465,"",(tech_base!$J65/tech_proj!AR189*0.086*$N$110)/(1-tech_proj!AR469))</f>
        <v>0</v>
      </c>
      <c r="AS1529" s="119">
        <f>IF(tech_base!$T65&gt;AS$1465,"",(tech_base!$J65/tech_proj!AS189*0.086*$N$110)/(1-tech_proj!AS469))</f>
        <v>0</v>
      </c>
      <c r="AT1529" s="119">
        <f>IF(tech_base!$T65&gt;AT$1465,"",(tech_base!$J65/tech_proj!AT189*0.086*$N$110)/(1-tech_proj!AT469))</f>
        <v>0</v>
      </c>
      <c r="AU1529" s="119">
        <f>IF(tech_base!$T65&gt;AU$1465,"",(tech_base!$J65/tech_proj!AU189*0.086*$N$110)/(1-tech_proj!AU469))</f>
        <v>0</v>
      </c>
      <c r="AV1529" s="119">
        <f>IF(tech_base!$T65&gt;AV$1465,"",(tech_base!$J65/tech_proj!AV189*0.086*$N$110)/(1-tech_proj!AV469))</f>
        <v>0</v>
      </c>
      <c r="AW1529" s="119">
        <f>IF(tech_base!$T65&gt;AW$1465,"",(tech_base!$J65/tech_proj!AW189*0.086*$N$110)/(1-tech_proj!AW469))</f>
        <v>0</v>
      </c>
      <c r="AX1529" s="120">
        <f>IF(tech_base!$T65&gt;AX$1465,"",(tech_base!$J65/tech_proj!AX189*0.086*$N$110)/(1-tech_proj!AX469))</f>
        <v>0</v>
      </c>
    </row>
    <row r="1530" spans="1:50" x14ac:dyDescent="0.25">
      <c r="A1530" s="356"/>
      <c r="B1530" s="376"/>
      <c r="C1530" s="361" t="s">
        <v>14</v>
      </c>
      <c r="D1530" s="58" t="s">
        <v>7</v>
      </c>
      <c r="E1530" s="164" t="str">
        <f>A1511&amp;"/"&amp;B1527&amp;"/"&amp;C1530&amp;"/"&amp;D1530</f>
        <v>Lignite fired power plants/Fluidized bed combustion/CHP/L</v>
      </c>
      <c r="F1530" s="78" t="str">
        <f>A1511</f>
        <v>Lignite fired power plants</v>
      </c>
      <c r="G1530" s="78" t="str">
        <f>B1527</f>
        <v>Fluidized bed combustion</v>
      </c>
      <c r="H1530" s="78" t="str">
        <f>C1530</f>
        <v>CHP</v>
      </c>
      <c r="I1530" s="165" t="str">
        <f t="shared" si="377"/>
        <v>L</v>
      </c>
      <c r="J1530" s="123">
        <f>IF(tech_base!$T66&gt;J$1465,"",(tech_base!$J66/tech_proj!J190*0.086*$N$110)/(1-tech_proj!J470))</f>
        <v>0</v>
      </c>
      <c r="K1530" s="123">
        <f>IF(tech_base!$T66&gt;K$1465,"",(tech_base!$J66/tech_proj!K190*0.086*$N$110)/(1-tech_proj!K470))</f>
        <v>0</v>
      </c>
      <c r="L1530" s="123">
        <f>IF(tech_base!$T66&gt;L$1465,"",(tech_base!$J66/tech_proj!L190*0.086*$N$110)/(1-tech_proj!L470))</f>
        <v>0</v>
      </c>
      <c r="M1530" s="123">
        <f>IF(tech_base!$T66&gt;M$1465,"",(tech_base!$J66/tech_proj!M190*0.086*$N$110)/(1-tech_proj!M470))</f>
        <v>0</v>
      </c>
      <c r="N1530" s="123">
        <f>IF(tech_base!$T66&gt;N$1465,"",(tech_base!$J66/tech_proj!N190*0.086*$N$110)/(1-tech_proj!N470))</f>
        <v>0</v>
      </c>
      <c r="O1530" s="123">
        <f>IF(tech_base!$T66&gt;O$1465,"",(tech_base!$J66/tech_proj!O190*0.086*$N$110)/(1-tech_proj!O470))</f>
        <v>0</v>
      </c>
      <c r="P1530" s="123">
        <f>IF(tech_base!$T66&gt;P$1465,"",(tech_base!$J66/tech_proj!P190*0.086*$N$110)/(1-tech_proj!P470))</f>
        <v>0</v>
      </c>
      <c r="Q1530" s="123">
        <f>IF(tech_base!$T66&gt;Q$1465,"",(tech_base!$J66/tech_proj!Q190*0.086*$N$110)/(1-tech_proj!Q470))</f>
        <v>0</v>
      </c>
      <c r="R1530" s="123">
        <f>IF(tech_base!$T66&gt;R$1465,"",(tech_base!$J66/tech_proj!R190*0.086*$N$110)/(1-tech_proj!R470))</f>
        <v>0</v>
      </c>
      <c r="S1530" s="123">
        <f>IF(tech_base!$T66&gt;S$1465,"",(tech_base!$J66/tech_proj!S190*0.086*$N$110)/(1-tech_proj!S470))</f>
        <v>0</v>
      </c>
      <c r="T1530" s="123">
        <f>IF(tech_base!$T66&gt;T$1465,"",(tech_base!$J66/tech_proj!T190*0.086*$N$110)/(1-tech_proj!T470))</f>
        <v>0</v>
      </c>
      <c r="U1530" s="123">
        <f>IF(tech_base!$T66&gt;U$1465,"",(tech_base!$J66/tech_proj!U190*0.086*$N$110)/(1-tech_proj!U470))</f>
        <v>0</v>
      </c>
      <c r="V1530" s="123">
        <f>IF(tech_base!$T66&gt;V$1465,"",(tech_base!$J66/tech_proj!V190*0.086*$N$110)/(1-tech_proj!V470))</f>
        <v>0</v>
      </c>
      <c r="W1530" s="123">
        <f>IF(tech_base!$T66&gt;W$1465,"",(tech_base!$J66/tech_proj!W190*0.086*$N$110)/(1-tech_proj!W470))</f>
        <v>0</v>
      </c>
      <c r="X1530" s="123">
        <f>IF(tech_base!$T66&gt;X$1465,"",(tech_base!$J66/tech_proj!X190*0.086*$N$110)/(1-tech_proj!X470))</f>
        <v>0</v>
      </c>
      <c r="Y1530" s="123">
        <f>IF(tech_base!$T66&gt;Y$1465,"",(tech_base!$J66/tech_proj!Y190*0.086*$N$110)/(1-tech_proj!Y470))</f>
        <v>0</v>
      </c>
      <c r="Z1530" s="123">
        <f>IF(tech_base!$T66&gt;Z$1465,"",(tech_base!$J66/tech_proj!Z190*0.086*$N$110)/(1-tech_proj!Z470))</f>
        <v>0</v>
      </c>
      <c r="AA1530" s="123">
        <f>IF(tech_base!$T66&gt;AA$1465,"",(tech_base!$J66/tech_proj!AA190*0.086*$N$110)/(1-tech_proj!AA470))</f>
        <v>0</v>
      </c>
      <c r="AB1530" s="123">
        <f>IF(tech_base!$T66&gt;AB$1465,"",(tech_base!$J66/tech_proj!AB190*0.086*$N$110)/(1-tech_proj!AB470))</f>
        <v>0</v>
      </c>
      <c r="AC1530" s="123">
        <f>IF(tech_base!$T66&gt;AC$1465,"",(tech_base!$J66/tech_proj!AC190*0.086*$N$110)/(1-tech_proj!AC470))</f>
        <v>0</v>
      </c>
      <c r="AD1530" s="123">
        <f>IF(tech_base!$T66&gt;AD$1465,"",(tech_base!$J66/tech_proj!AD190*0.086*$N$110)/(1-tech_proj!AD470))</f>
        <v>0</v>
      </c>
      <c r="AE1530" s="123">
        <f>IF(tech_base!$T66&gt;AE$1465,"",(tech_base!$J66/tech_proj!AE190*0.086*$N$110)/(1-tech_proj!AE470))</f>
        <v>0</v>
      </c>
      <c r="AF1530" s="123">
        <f>IF(tech_base!$T66&gt;AF$1465,"",(tech_base!$J66/tech_proj!AF190*0.086*$N$110)/(1-tech_proj!AF470))</f>
        <v>0</v>
      </c>
      <c r="AG1530" s="123">
        <f>IF(tech_base!$T66&gt;AG$1465,"",(tech_base!$J66/tech_proj!AG190*0.086*$N$110)/(1-tech_proj!AG470))</f>
        <v>0</v>
      </c>
      <c r="AH1530" s="123">
        <f>IF(tech_base!$T66&gt;AH$1465,"",(tech_base!$J66/tech_proj!AH190*0.086*$N$110)/(1-tech_proj!AH470))</f>
        <v>0</v>
      </c>
      <c r="AI1530" s="123">
        <f>IF(tech_base!$T66&gt;AI$1465,"",(tech_base!$J66/tech_proj!AI190*0.086*$N$110)/(1-tech_proj!AI470))</f>
        <v>0</v>
      </c>
      <c r="AJ1530" s="123">
        <f>IF(tech_base!$T66&gt;AJ$1465,"",(tech_base!$J66/tech_proj!AJ190*0.086*$N$110)/(1-tech_proj!AJ470))</f>
        <v>0</v>
      </c>
      <c r="AK1530" s="123">
        <f>IF(tech_base!$T66&gt;AK$1465,"",(tech_base!$J66/tech_proj!AK190*0.086*$N$110)/(1-tech_proj!AK470))</f>
        <v>0</v>
      </c>
      <c r="AL1530" s="123">
        <f>IF(tech_base!$T66&gt;AL$1465,"",(tech_base!$J66/tech_proj!AL190*0.086*$N$110)/(1-tech_proj!AL470))</f>
        <v>0</v>
      </c>
      <c r="AM1530" s="123">
        <f>IF(tech_base!$T66&gt;AM$1465,"",(tech_base!$J66/tech_proj!AM190*0.086*$N$110)/(1-tech_proj!AM470))</f>
        <v>0</v>
      </c>
      <c r="AN1530" s="123">
        <f>IF(tech_base!$T66&gt;AN$1465,"",(tech_base!$J66/tech_proj!AN190*0.086*$N$110)/(1-tech_proj!AN470))</f>
        <v>0</v>
      </c>
      <c r="AO1530" s="123">
        <f>IF(tech_base!$T66&gt;AO$1465,"",(tech_base!$J66/tech_proj!AO190*0.086*$N$110)/(1-tech_proj!AO470))</f>
        <v>0</v>
      </c>
      <c r="AP1530" s="123">
        <f>IF(tech_base!$T66&gt;AP$1465,"",(tech_base!$J66/tech_proj!AP190*0.086*$N$110)/(1-tech_proj!AP470))</f>
        <v>0</v>
      </c>
      <c r="AQ1530" s="123">
        <f>IF(tech_base!$T66&gt;AQ$1465,"",(tech_base!$J66/tech_proj!AQ190*0.086*$N$110)/(1-tech_proj!AQ470))</f>
        <v>0</v>
      </c>
      <c r="AR1530" s="123">
        <f>IF(tech_base!$T66&gt;AR$1465,"",(tech_base!$J66/tech_proj!AR190*0.086*$N$110)/(1-tech_proj!AR470))</f>
        <v>0</v>
      </c>
      <c r="AS1530" s="123">
        <f>IF(tech_base!$T66&gt;AS$1465,"",(tech_base!$J66/tech_proj!AS190*0.086*$N$110)/(1-tech_proj!AS470))</f>
        <v>0</v>
      </c>
      <c r="AT1530" s="123">
        <f>IF(tech_base!$T66&gt;AT$1465,"",(tech_base!$J66/tech_proj!AT190*0.086*$N$110)/(1-tech_proj!AT470))</f>
        <v>0</v>
      </c>
      <c r="AU1530" s="123">
        <f>IF(tech_base!$T66&gt;AU$1465,"",(tech_base!$J66/tech_proj!AU190*0.086*$N$110)/(1-tech_proj!AU470))</f>
        <v>0</v>
      </c>
      <c r="AV1530" s="123">
        <f>IF(tech_base!$T66&gt;AV$1465,"",(tech_base!$J66/tech_proj!AV190*0.086*$N$110)/(1-tech_proj!AV470))</f>
        <v>0</v>
      </c>
      <c r="AW1530" s="123">
        <f>IF(tech_base!$T66&gt;AW$1465,"",(tech_base!$J66/tech_proj!AW190*0.086*$N$110)/(1-tech_proj!AW470))</f>
        <v>0</v>
      </c>
      <c r="AX1530" s="124">
        <f>IF(tech_base!$T66&gt;AX$1465,"",(tech_base!$J66/tech_proj!AX190*0.086*$N$110)/(1-tech_proj!AX470))</f>
        <v>0</v>
      </c>
    </row>
    <row r="1531" spans="1:50" x14ac:dyDescent="0.25">
      <c r="A1531" s="356"/>
      <c r="B1531" s="376"/>
      <c r="C1531" s="378"/>
      <c r="D1531" s="2" t="s">
        <v>8</v>
      </c>
      <c r="E1531" s="160" t="str">
        <f>A1511&amp;"/"&amp;B1527&amp;"/"&amp;C1530&amp;"/"&amp;D1531</f>
        <v>Lignite fired power plants/Fluidized bed combustion/CHP/M</v>
      </c>
      <c r="F1531" s="76" t="str">
        <f>A1511</f>
        <v>Lignite fired power plants</v>
      </c>
      <c r="G1531" s="76" t="str">
        <f>B1527</f>
        <v>Fluidized bed combustion</v>
      </c>
      <c r="H1531" s="76" t="str">
        <f>C1530</f>
        <v>CHP</v>
      </c>
      <c r="I1531" s="161" t="str">
        <f t="shared" ref="I1531:I1594" si="378">D1531</f>
        <v>M</v>
      </c>
      <c r="J1531" s="119">
        <f>IF(tech_base!$T67&gt;J$1465,"",(tech_base!$J67/tech_proj!J191*0.086*$N$110)/(1-tech_proj!J471))</f>
        <v>0</v>
      </c>
      <c r="K1531" s="119">
        <f>IF(tech_base!$T67&gt;K$1465,"",(tech_base!$J67/tech_proj!K191*0.086*$N$110)/(1-tech_proj!K471))</f>
        <v>0</v>
      </c>
      <c r="L1531" s="119">
        <f>IF(tech_base!$T67&gt;L$1465,"",(tech_base!$J67/tech_proj!L191*0.086*$N$110)/(1-tech_proj!L471))</f>
        <v>0</v>
      </c>
      <c r="M1531" s="119">
        <f>IF(tech_base!$T67&gt;M$1465,"",(tech_base!$J67/tech_proj!M191*0.086*$N$110)/(1-tech_proj!M471))</f>
        <v>0</v>
      </c>
      <c r="N1531" s="119">
        <f>IF(tech_base!$T67&gt;N$1465,"",(tech_base!$J67/tech_proj!N191*0.086*$N$110)/(1-tech_proj!N471))</f>
        <v>0</v>
      </c>
      <c r="O1531" s="119">
        <f>IF(tech_base!$T67&gt;O$1465,"",(tech_base!$J67/tech_proj!O191*0.086*$N$110)/(1-tech_proj!O471))</f>
        <v>0</v>
      </c>
      <c r="P1531" s="119">
        <f>IF(tech_base!$T67&gt;P$1465,"",(tech_base!$J67/tech_proj!P191*0.086*$N$110)/(1-tech_proj!P471))</f>
        <v>0</v>
      </c>
      <c r="Q1531" s="119">
        <f>IF(tech_base!$T67&gt;Q$1465,"",(tech_base!$J67/tech_proj!Q191*0.086*$N$110)/(1-tech_proj!Q471))</f>
        <v>0</v>
      </c>
      <c r="R1531" s="119">
        <f>IF(tech_base!$T67&gt;R$1465,"",(tech_base!$J67/tech_proj!R191*0.086*$N$110)/(1-tech_proj!R471))</f>
        <v>0</v>
      </c>
      <c r="S1531" s="119">
        <f>IF(tech_base!$T67&gt;S$1465,"",(tech_base!$J67/tech_proj!S191*0.086*$N$110)/(1-tech_proj!S471))</f>
        <v>0</v>
      </c>
      <c r="T1531" s="119">
        <f>IF(tech_base!$T67&gt;T$1465,"",(tech_base!$J67/tech_proj!T191*0.086*$N$110)/(1-tech_proj!T471))</f>
        <v>0</v>
      </c>
      <c r="U1531" s="119">
        <f>IF(tech_base!$T67&gt;U$1465,"",(tech_base!$J67/tech_proj!U191*0.086*$N$110)/(1-tech_proj!U471))</f>
        <v>0</v>
      </c>
      <c r="V1531" s="119">
        <f>IF(tech_base!$T67&gt;V$1465,"",(tech_base!$J67/tech_proj!V191*0.086*$N$110)/(1-tech_proj!V471))</f>
        <v>0</v>
      </c>
      <c r="W1531" s="119">
        <f>IF(tech_base!$T67&gt;W$1465,"",(tech_base!$J67/tech_proj!W191*0.086*$N$110)/(1-tech_proj!W471))</f>
        <v>0</v>
      </c>
      <c r="X1531" s="119">
        <f>IF(tech_base!$T67&gt;X$1465,"",(tech_base!$J67/tech_proj!X191*0.086*$N$110)/(1-tech_proj!X471))</f>
        <v>0</v>
      </c>
      <c r="Y1531" s="119">
        <f>IF(tech_base!$T67&gt;Y$1465,"",(tech_base!$J67/tech_proj!Y191*0.086*$N$110)/(1-tech_proj!Y471))</f>
        <v>0</v>
      </c>
      <c r="Z1531" s="119">
        <f>IF(tech_base!$T67&gt;Z$1465,"",(tech_base!$J67/tech_proj!Z191*0.086*$N$110)/(1-tech_proj!Z471))</f>
        <v>0</v>
      </c>
      <c r="AA1531" s="119">
        <f>IF(tech_base!$T67&gt;AA$1465,"",(tech_base!$J67/tech_proj!AA191*0.086*$N$110)/(1-tech_proj!AA471))</f>
        <v>0</v>
      </c>
      <c r="AB1531" s="119">
        <f>IF(tech_base!$T67&gt;AB$1465,"",(tech_base!$J67/tech_proj!AB191*0.086*$N$110)/(1-tech_proj!AB471))</f>
        <v>0</v>
      </c>
      <c r="AC1531" s="119">
        <f>IF(tech_base!$T67&gt;AC$1465,"",(tech_base!$J67/tech_proj!AC191*0.086*$N$110)/(1-tech_proj!AC471))</f>
        <v>0</v>
      </c>
      <c r="AD1531" s="119">
        <f>IF(tech_base!$T67&gt;AD$1465,"",(tech_base!$J67/tech_proj!AD191*0.086*$N$110)/(1-tech_proj!AD471))</f>
        <v>0</v>
      </c>
      <c r="AE1531" s="119">
        <f>IF(tech_base!$T67&gt;AE$1465,"",(tech_base!$J67/tech_proj!AE191*0.086*$N$110)/(1-tech_proj!AE471))</f>
        <v>0</v>
      </c>
      <c r="AF1531" s="119">
        <f>IF(tech_base!$T67&gt;AF$1465,"",(tech_base!$J67/tech_proj!AF191*0.086*$N$110)/(1-tech_proj!AF471))</f>
        <v>0</v>
      </c>
      <c r="AG1531" s="119">
        <f>IF(tech_base!$T67&gt;AG$1465,"",(tech_base!$J67/tech_proj!AG191*0.086*$N$110)/(1-tech_proj!AG471))</f>
        <v>0</v>
      </c>
      <c r="AH1531" s="119">
        <f>IF(tech_base!$T67&gt;AH$1465,"",(tech_base!$J67/tech_proj!AH191*0.086*$N$110)/(1-tech_proj!AH471))</f>
        <v>0</v>
      </c>
      <c r="AI1531" s="119">
        <f>IF(tech_base!$T67&gt;AI$1465,"",(tech_base!$J67/tech_proj!AI191*0.086*$N$110)/(1-tech_proj!AI471))</f>
        <v>0</v>
      </c>
      <c r="AJ1531" s="119">
        <f>IF(tech_base!$T67&gt;AJ$1465,"",(tech_base!$J67/tech_proj!AJ191*0.086*$N$110)/(1-tech_proj!AJ471))</f>
        <v>0</v>
      </c>
      <c r="AK1531" s="119">
        <f>IF(tech_base!$T67&gt;AK$1465,"",(tech_base!$J67/tech_proj!AK191*0.086*$N$110)/(1-tech_proj!AK471))</f>
        <v>0</v>
      </c>
      <c r="AL1531" s="119">
        <f>IF(tech_base!$T67&gt;AL$1465,"",(tech_base!$J67/tech_proj!AL191*0.086*$N$110)/(1-tech_proj!AL471))</f>
        <v>0</v>
      </c>
      <c r="AM1531" s="119">
        <f>IF(tech_base!$T67&gt;AM$1465,"",(tech_base!$J67/tech_proj!AM191*0.086*$N$110)/(1-tech_proj!AM471))</f>
        <v>0</v>
      </c>
      <c r="AN1531" s="119">
        <f>IF(tech_base!$T67&gt;AN$1465,"",(tech_base!$J67/tech_proj!AN191*0.086*$N$110)/(1-tech_proj!AN471))</f>
        <v>0</v>
      </c>
      <c r="AO1531" s="119">
        <f>IF(tech_base!$T67&gt;AO$1465,"",(tech_base!$J67/tech_proj!AO191*0.086*$N$110)/(1-tech_proj!AO471))</f>
        <v>0</v>
      </c>
      <c r="AP1531" s="119">
        <f>IF(tech_base!$T67&gt;AP$1465,"",(tech_base!$J67/tech_proj!AP191*0.086*$N$110)/(1-tech_proj!AP471))</f>
        <v>0</v>
      </c>
      <c r="AQ1531" s="119">
        <f>IF(tech_base!$T67&gt;AQ$1465,"",(tech_base!$J67/tech_proj!AQ191*0.086*$N$110)/(1-tech_proj!AQ471))</f>
        <v>0</v>
      </c>
      <c r="AR1531" s="119">
        <f>IF(tech_base!$T67&gt;AR$1465,"",(tech_base!$J67/tech_proj!AR191*0.086*$N$110)/(1-tech_proj!AR471))</f>
        <v>0</v>
      </c>
      <c r="AS1531" s="119">
        <f>IF(tech_base!$T67&gt;AS$1465,"",(tech_base!$J67/tech_proj!AS191*0.086*$N$110)/(1-tech_proj!AS471))</f>
        <v>0</v>
      </c>
      <c r="AT1531" s="119">
        <f>IF(tech_base!$T67&gt;AT$1465,"",(tech_base!$J67/tech_proj!AT191*0.086*$N$110)/(1-tech_proj!AT471))</f>
        <v>0</v>
      </c>
      <c r="AU1531" s="119">
        <f>IF(tech_base!$T67&gt;AU$1465,"",(tech_base!$J67/tech_proj!AU191*0.086*$N$110)/(1-tech_proj!AU471))</f>
        <v>0</v>
      </c>
      <c r="AV1531" s="119">
        <f>IF(tech_base!$T67&gt;AV$1465,"",(tech_base!$J67/tech_proj!AV191*0.086*$N$110)/(1-tech_proj!AV471))</f>
        <v>0</v>
      </c>
      <c r="AW1531" s="119">
        <f>IF(tech_base!$T67&gt;AW$1465,"",(tech_base!$J67/tech_proj!AW191*0.086*$N$110)/(1-tech_proj!AW471))</f>
        <v>0</v>
      </c>
      <c r="AX1531" s="120">
        <f>IF(tech_base!$T67&gt;AX$1465,"",(tech_base!$J67/tech_proj!AX191*0.086*$N$110)/(1-tech_proj!AX471))</f>
        <v>0</v>
      </c>
    </row>
    <row r="1532" spans="1:50" x14ac:dyDescent="0.25">
      <c r="A1532" s="356"/>
      <c r="B1532" s="376"/>
      <c r="C1532" s="379"/>
      <c r="D1532" s="59" t="s">
        <v>10</v>
      </c>
      <c r="E1532" s="166" t="str">
        <f>A1511&amp;"/"&amp;B1527&amp;"/"&amp;C1530&amp;"/"&amp;D1532</f>
        <v>Lignite fired power plants/Fluidized bed combustion/CHP/S</v>
      </c>
      <c r="F1532" s="79" t="str">
        <f>A1511</f>
        <v>Lignite fired power plants</v>
      </c>
      <c r="G1532" s="79" t="str">
        <f>B1527</f>
        <v>Fluidized bed combustion</v>
      </c>
      <c r="H1532" s="79" t="str">
        <f>C1530</f>
        <v>CHP</v>
      </c>
      <c r="I1532" s="167" t="str">
        <f t="shared" si="378"/>
        <v>S</v>
      </c>
      <c r="J1532" s="125">
        <f>IF(tech_base!$T68&gt;J$1465,"",(tech_base!$J68/tech_proj!J192*0.086*$N$110)/(1-tech_proj!J472))</f>
        <v>0</v>
      </c>
      <c r="K1532" s="125">
        <f>IF(tech_base!$T68&gt;K$1465,"",(tech_base!$J68/tech_proj!K192*0.086*$N$110)/(1-tech_proj!K472))</f>
        <v>0</v>
      </c>
      <c r="L1532" s="125">
        <f>IF(tech_base!$T68&gt;L$1465,"",(tech_base!$J68/tech_proj!L192*0.086*$N$110)/(1-tech_proj!L472))</f>
        <v>0</v>
      </c>
      <c r="M1532" s="125">
        <f>IF(tech_base!$T68&gt;M$1465,"",(tech_base!$J68/tech_proj!M192*0.086*$N$110)/(1-tech_proj!M472))</f>
        <v>0</v>
      </c>
      <c r="N1532" s="125">
        <f>IF(tech_base!$T68&gt;N$1465,"",(tech_base!$J68/tech_proj!N192*0.086*$N$110)/(1-tech_proj!N472))</f>
        <v>0</v>
      </c>
      <c r="O1532" s="125">
        <f>IF(tech_base!$T68&gt;O$1465,"",(tech_base!$J68/tech_proj!O192*0.086*$N$110)/(1-tech_proj!O472))</f>
        <v>0</v>
      </c>
      <c r="P1532" s="125">
        <f>IF(tech_base!$T68&gt;P$1465,"",(tech_base!$J68/tech_proj!P192*0.086*$N$110)/(1-tech_proj!P472))</f>
        <v>0</v>
      </c>
      <c r="Q1532" s="125">
        <f>IF(tech_base!$T68&gt;Q$1465,"",(tech_base!$J68/tech_proj!Q192*0.086*$N$110)/(1-tech_proj!Q472))</f>
        <v>0</v>
      </c>
      <c r="R1532" s="125">
        <f>IF(tech_base!$T68&gt;R$1465,"",(tech_base!$J68/tech_proj!R192*0.086*$N$110)/(1-tech_proj!R472))</f>
        <v>0</v>
      </c>
      <c r="S1532" s="125">
        <f>IF(tech_base!$T68&gt;S$1465,"",(tech_base!$J68/tech_proj!S192*0.086*$N$110)/(1-tech_proj!S472))</f>
        <v>0</v>
      </c>
      <c r="T1532" s="125">
        <f>IF(tech_base!$T68&gt;T$1465,"",(tech_base!$J68/tech_proj!T192*0.086*$N$110)/(1-tech_proj!T472))</f>
        <v>0</v>
      </c>
      <c r="U1532" s="125">
        <f>IF(tech_base!$T68&gt;U$1465,"",(tech_base!$J68/tech_proj!U192*0.086*$N$110)/(1-tech_proj!U472))</f>
        <v>0</v>
      </c>
      <c r="V1532" s="125">
        <f>IF(tech_base!$T68&gt;V$1465,"",(tech_base!$J68/tech_proj!V192*0.086*$N$110)/(1-tech_proj!V472))</f>
        <v>0</v>
      </c>
      <c r="W1532" s="125">
        <f>IF(tech_base!$T68&gt;W$1465,"",(tech_base!$J68/tech_proj!W192*0.086*$N$110)/(1-tech_proj!W472))</f>
        <v>0</v>
      </c>
      <c r="X1532" s="125">
        <f>IF(tech_base!$T68&gt;X$1465,"",(tech_base!$J68/tech_proj!X192*0.086*$N$110)/(1-tech_proj!X472))</f>
        <v>0</v>
      </c>
      <c r="Y1532" s="125">
        <f>IF(tech_base!$T68&gt;Y$1465,"",(tech_base!$J68/tech_proj!Y192*0.086*$N$110)/(1-tech_proj!Y472))</f>
        <v>0</v>
      </c>
      <c r="Z1532" s="125">
        <f>IF(tech_base!$T68&gt;Z$1465,"",(tech_base!$J68/tech_proj!Z192*0.086*$N$110)/(1-tech_proj!Z472))</f>
        <v>0</v>
      </c>
      <c r="AA1532" s="125">
        <f>IF(tech_base!$T68&gt;AA$1465,"",(tech_base!$J68/tech_proj!AA192*0.086*$N$110)/(1-tech_proj!AA472))</f>
        <v>0</v>
      </c>
      <c r="AB1532" s="125">
        <f>IF(tech_base!$T68&gt;AB$1465,"",(tech_base!$J68/tech_proj!AB192*0.086*$N$110)/(1-tech_proj!AB472))</f>
        <v>0</v>
      </c>
      <c r="AC1532" s="125">
        <f>IF(tech_base!$T68&gt;AC$1465,"",(tech_base!$J68/tech_proj!AC192*0.086*$N$110)/(1-tech_proj!AC472))</f>
        <v>0</v>
      </c>
      <c r="AD1532" s="125">
        <f>IF(tech_base!$T68&gt;AD$1465,"",(tech_base!$J68/tech_proj!AD192*0.086*$N$110)/(1-tech_proj!AD472))</f>
        <v>0</v>
      </c>
      <c r="AE1532" s="125">
        <f>IF(tech_base!$T68&gt;AE$1465,"",(tech_base!$J68/tech_proj!AE192*0.086*$N$110)/(1-tech_proj!AE472))</f>
        <v>0</v>
      </c>
      <c r="AF1532" s="125">
        <f>IF(tech_base!$T68&gt;AF$1465,"",(tech_base!$J68/tech_proj!AF192*0.086*$N$110)/(1-tech_proj!AF472))</f>
        <v>0</v>
      </c>
      <c r="AG1532" s="125">
        <f>IF(tech_base!$T68&gt;AG$1465,"",(tech_base!$J68/tech_proj!AG192*0.086*$N$110)/(1-tech_proj!AG472))</f>
        <v>0</v>
      </c>
      <c r="AH1532" s="125">
        <f>IF(tech_base!$T68&gt;AH$1465,"",(tech_base!$J68/tech_proj!AH192*0.086*$N$110)/(1-tech_proj!AH472))</f>
        <v>0</v>
      </c>
      <c r="AI1532" s="125">
        <f>IF(tech_base!$T68&gt;AI$1465,"",(tech_base!$J68/tech_proj!AI192*0.086*$N$110)/(1-tech_proj!AI472))</f>
        <v>0</v>
      </c>
      <c r="AJ1532" s="125">
        <f>IF(tech_base!$T68&gt;AJ$1465,"",(tech_base!$J68/tech_proj!AJ192*0.086*$N$110)/(1-tech_proj!AJ472))</f>
        <v>0</v>
      </c>
      <c r="AK1532" s="125">
        <f>IF(tech_base!$T68&gt;AK$1465,"",(tech_base!$J68/tech_proj!AK192*0.086*$N$110)/(1-tech_proj!AK472))</f>
        <v>0</v>
      </c>
      <c r="AL1532" s="125">
        <f>IF(tech_base!$T68&gt;AL$1465,"",(tech_base!$J68/tech_proj!AL192*0.086*$N$110)/(1-tech_proj!AL472))</f>
        <v>0</v>
      </c>
      <c r="AM1532" s="125">
        <f>IF(tech_base!$T68&gt;AM$1465,"",(tech_base!$J68/tech_proj!AM192*0.086*$N$110)/(1-tech_proj!AM472))</f>
        <v>0</v>
      </c>
      <c r="AN1532" s="125">
        <f>IF(tech_base!$T68&gt;AN$1465,"",(tech_base!$J68/tech_proj!AN192*0.086*$N$110)/(1-tech_proj!AN472))</f>
        <v>0</v>
      </c>
      <c r="AO1532" s="125">
        <f>IF(tech_base!$T68&gt;AO$1465,"",(tech_base!$J68/tech_proj!AO192*0.086*$N$110)/(1-tech_proj!AO472))</f>
        <v>0</v>
      </c>
      <c r="AP1532" s="125">
        <f>IF(tech_base!$T68&gt;AP$1465,"",(tech_base!$J68/tech_proj!AP192*0.086*$N$110)/(1-tech_proj!AP472))</f>
        <v>0</v>
      </c>
      <c r="AQ1532" s="125">
        <f>IF(tech_base!$T68&gt;AQ$1465,"",(tech_base!$J68/tech_proj!AQ192*0.086*$N$110)/(1-tech_proj!AQ472))</f>
        <v>0</v>
      </c>
      <c r="AR1532" s="125">
        <f>IF(tech_base!$T68&gt;AR$1465,"",(tech_base!$J68/tech_proj!AR192*0.086*$N$110)/(1-tech_proj!AR472))</f>
        <v>0</v>
      </c>
      <c r="AS1532" s="125">
        <f>IF(tech_base!$T68&gt;AS$1465,"",(tech_base!$J68/tech_proj!AS192*0.086*$N$110)/(1-tech_proj!AS472))</f>
        <v>0</v>
      </c>
      <c r="AT1532" s="125">
        <f>IF(tech_base!$T68&gt;AT$1465,"",(tech_base!$J68/tech_proj!AT192*0.086*$N$110)/(1-tech_proj!AT472))</f>
        <v>0</v>
      </c>
      <c r="AU1532" s="125">
        <f>IF(tech_base!$T68&gt;AU$1465,"",(tech_base!$J68/tech_proj!AU192*0.086*$N$110)/(1-tech_proj!AU472))</f>
        <v>0</v>
      </c>
      <c r="AV1532" s="125">
        <f>IF(tech_base!$T68&gt;AV$1465,"",(tech_base!$J68/tech_proj!AV192*0.086*$N$110)/(1-tech_proj!AV472))</f>
        <v>0</v>
      </c>
      <c r="AW1532" s="125">
        <f>IF(tech_base!$T68&gt;AW$1465,"",(tech_base!$J68/tech_proj!AW192*0.086*$N$110)/(1-tech_proj!AW472))</f>
        <v>0</v>
      </c>
      <c r="AX1532" s="126">
        <f>IF(tech_base!$T68&gt;AX$1465,"",(tech_base!$J68/tech_proj!AX192*0.086*$N$110)/(1-tech_proj!AX472))</f>
        <v>0</v>
      </c>
    </row>
    <row r="1533" spans="1:50" x14ac:dyDescent="0.25">
      <c r="A1533" s="356"/>
      <c r="B1533" s="376"/>
      <c r="C1533" s="361" t="s">
        <v>15</v>
      </c>
      <c r="D1533" s="58" t="s">
        <v>7</v>
      </c>
      <c r="E1533" s="164" t="str">
        <f>A1511&amp;"/"&amp;B1527&amp;"/"&amp;C1533&amp;"/"&amp;D1533</f>
        <v>Lignite fired power plants/Fluidized bed combustion/Electricity only with CCS/L</v>
      </c>
      <c r="F1533" s="78" t="str">
        <f>A1511</f>
        <v>Lignite fired power plants</v>
      </c>
      <c r="G1533" s="78" t="str">
        <f>B1527</f>
        <v>Fluidized bed combustion</v>
      </c>
      <c r="H1533" s="78" t="str">
        <f>C1533</f>
        <v>Electricity only with CCS</v>
      </c>
      <c r="I1533" s="165" t="str">
        <f t="shared" si="378"/>
        <v>L</v>
      </c>
      <c r="J1533" s="123" t="str">
        <f>IF(tech_base!$T69&gt;J$1465,"",(tech_base!$J69/tech_proj!J193*0.086*$N$110)/(1-tech_proj!J473))</f>
        <v/>
      </c>
      <c r="K1533" s="123" t="str">
        <f>IF(tech_base!$T69&gt;K$1465,"",(tech_base!$J69/tech_proj!K193*0.086*$N$110)/(1-tech_proj!K473))</f>
        <v/>
      </c>
      <c r="L1533" s="123" t="str">
        <f>IF(tech_base!$T69&gt;L$1465,"",(tech_base!$J69/tech_proj!L193*0.086*$N$110)/(1-tech_proj!L473))</f>
        <v/>
      </c>
      <c r="M1533" s="123" t="str">
        <f>IF(tech_base!$T69&gt;M$1465,"",(tech_base!$J69/tech_proj!M193*0.086*$N$110)/(1-tech_proj!M473))</f>
        <v/>
      </c>
      <c r="N1533" s="123" t="str">
        <f>IF(tech_base!$T69&gt;N$1465,"",(tech_base!$J69/tech_proj!N193*0.086*$N$110)/(1-tech_proj!N473))</f>
        <v/>
      </c>
      <c r="O1533" s="123" t="str">
        <f>IF(tech_base!$T69&gt;O$1465,"",(tech_base!$J69/tech_proj!O193*0.086*$N$110)/(1-tech_proj!O473))</f>
        <v/>
      </c>
      <c r="P1533" s="123" t="str">
        <f>IF(tech_base!$T69&gt;P$1465,"",(tech_base!$J69/tech_proj!P193*0.086*$N$110)/(1-tech_proj!P473))</f>
        <v/>
      </c>
      <c r="Q1533" s="123" t="str">
        <f>IF(tech_base!$T69&gt;Q$1465,"",(tech_base!$J69/tech_proj!Q193*0.086*$N$110)/(1-tech_proj!Q473))</f>
        <v/>
      </c>
      <c r="R1533" s="123" t="str">
        <f>IF(tech_base!$T69&gt;R$1465,"",(tech_base!$J69/tech_proj!R193*0.086*$N$110)/(1-tech_proj!R473))</f>
        <v/>
      </c>
      <c r="S1533" s="123" t="str">
        <f>IF(tech_base!$T69&gt;S$1465,"",(tech_base!$J69/tech_proj!S193*0.086*$N$110)/(1-tech_proj!S473))</f>
        <v/>
      </c>
      <c r="T1533" s="123" t="str">
        <f>IF(tech_base!$T69&gt;T$1465,"",(tech_base!$J69/tech_proj!T193*0.086*$N$110)/(1-tech_proj!T473))</f>
        <v/>
      </c>
      <c r="U1533" s="123" t="str">
        <f>IF(tech_base!$T69&gt;U$1465,"",(tech_base!$J69/tech_proj!U193*0.086*$N$110)/(1-tech_proj!U473))</f>
        <v/>
      </c>
      <c r="V1533" s="123" t="str">
        <f>IF(tech_base!$T69&gt;V$1465,"",(tech_base!$J69/tech_proj!V193*0.086*$N$110)/(1-tech_proj!V473))</f>
        <v/>
      </c>
      <c r="W1533" s="123" t="str">
        <f>IF(tech_base!$T69&gt;W$1465,"",(tech_base!$J69/tech_proj!W193*0.086*$N$110)/(1-tech_proj!W473))</f>
        <v/>
      </c>
      <c r="X1533" s="123" t="str">
        <f>IF(tech_base!$T69&gt;X$1465,"",(tech_base!$J69/tech_proj!X193*0.086*$N$110)/(1-tech_proj!X473))</f>
        <v/>
      </c>
      <c r="Y1533" s="123" t="str">
        <f>IF(tech_base!$T69&gt;Y$1465,"",(tech_base!$J69/tech_proj!Y193*0.086*$N$110)/(1-tech_proj!Y473))</f>
        <v/>
      </c>
      <c r="Z1533" s="123" t="str">
        <f>IF(tech_base!$T69&gt;Z$1465,"",(tech_base!$J69/tech_proj!Z193*0.086*$N$110)/(1-tech_proj!Z473))</f>
        <v/>
      </c>
      <c r="AA1533" s="123" t="str">
        <f>IF(tech_base!$T69&gt;AA$1465,"",(tech_base!$J69/tech_proj!AA193*0.086*$N$110)/(1-tech_proj!AA473))</f>
        <v/>
      </c>
      <c r="AB1533" s="123" t="str">
        <f>IF(tech_base!$T69&gt;AB$1465,"",(tech_base!$J69/tech_proj!AB193*0.086*$N$110)/(1-tech_proj!AB473))</f>
        <v/>
      </c>
      <c r="AC1533" s="123" t="str">
        <f>IF(tech_base!$T69&gt;AC$1465,"",(tech_base!$J69/tech_proj!AC193*0.086*$N$110)/(1-tech_proj!AC473))</f>
        <v/>
      </c>
      <c r="AD1533" s="123" t="str">
        <f>IF(tech_base!$T69&gt;AD$1465,"",(tech_base!$J69/tech_proj!AD193*0.086*$N$110)/(1-tech_proj!AD473))</f>
        <v/>
      </c>
      <c r="AE1533" s="123">
        <f>IF(tech_base!$T69&gt;AE$1465,"",(tech_base!$J69/tech_proj!AE193*0.086*$N$110)/(1-tech_proj!AE473))</f>
        <v>0</v>
      </c>
      <c r="AF1533" s="123">
        <f>IF(tech_base!$T69&gt;AF$1465,"",(tech_base!$J69/tech_proj!AF193*0.086*$N$110)/(1-tech_proj!AF473))</f>
        <v>0</v>
      </c>
      <c r="AG1533" s="123">
        <f>IF(tech_base!$T69&gt;AG$1465,"",(tech_base!$J69/tech_proj!AG193*0.086*$N$110)/(1-tech_proj!AG473))</f>
        <v>0</v>
      </c>
      <c r="AH1533" s="123">
        <f>IF(tech_base!$T69&gt;AH$1465,"",(tech_base!$J69/tech_proj!AH193*0.086*$N$110)/(1-tech_proj!AH473))</f>
        <v>0</v>
      </c>
      <c r="AI1533" s="123">
        <f>IF(tech_base!$T69&gt;AI$1465,"",(tech_base!$J69/tech_proj!AI193*0.086*$N$110)/(1-tech_proj!AI473))</f>
        <v>0</v>
      </c>
      <c r="AJ1533" s="123">
        <f>IF(tech_base!$T69&gt;AJ$1465,"",(tech_base!$J69/tech_proj!AJ193*0.086*$N$110)/(1-tech_proj!AJ473))</f>
        <v>0</v>
      </c>
      <c r="AK1533" s="123">
        <f>IF(tech_base!$T69&gt;AK$1465,"",(tech_base!$J69/tech_proj!AK193*0.086*$N$110)/(1-tech_proj!AK473))</f>
        <v>0</v>
      </c>
      <c r="AL1533" s="123">
        <f>IF(tech_base!$T69&gt;AL$1465,"",(tech_base!$J69/tech_proj!AL193*0.086*$N$110)/(1-tech_proj!AL473))</f>
        <v>0</v>
      </c>
      <c r="AM1533" s="123">
        <f>IF(tech_base!$T69&gt;AM$1465,"",(tech_base!$J69/tech_proj!AM193*0.086*$N$110)/(1-tech_proj!AM473))</f>
        <v>0</v>
      </c>
      <c r="AN1533" s="123">
        <f>IF(tech_base!$T69&gt;AN$1465,"",(tech_base!$J69/tech_proj!AN193*0.086*$N$110)/(1-tech_proj!AN473))</f>
        <v>0</v>
      </c>
      <c r="AO1533" s="123">
        <f>IF(tech_base!$T69&gt;AO$1465,"",(tech_base!$J69/tech_proj!AO193*0.086*$N$110)/(1-tech_proj!AO473))</f>
        <v>0</v>
      </c>
      <c r="AP1533" s="123">
        <f>IF(tech_base!$T69&gt;AP$1465,"",(tech_base!$J69/tech_proj!AP193*0.086*$N$110)/(1-tech_proj!AP473))</f>
        <v>0</v>
      </c>
      <c r="AQ1533" s="123">
        <f>IF(tech_base!$T69&gt;AQ$1465,"",(tech_base!$J69/tech_proj!AQ193*0.086*$N$110)/(1-tech_proj!AQ473))</f>
        <v>0</v>
      </c>
      <c r="AR1533" s="123">
        <f>IF(tech_base!$T69&gt;AR$1465,"",(tech_base!$J69/tech_proj!AR193*0.086*$N$110)/(1-tech_proj!AR473))</f>
        <v>0</v>
      </c>
      <c r="AS1533" s="123">
        <f>IF(tech_base!$T69&gt;AS$1465,"",(tech_base!$J69/tech_proj!AS193*0.086*$N$110)/(1-tech_proj!AS473))</f>
        <v>0</v>
      </c>
      <c r="AT1533" s="123">
        <f>IF(tech_base!$T69&gt;AT$1465,"",(tech_base!$J69/tech_proj!AT193*0.086*$N$110)/(1-tech_proj!AT473))</f>
        <v>0</v>
      </c>
      <c r="AU1533" s="123">
        <f>IF(tech_base!$T69&gt;AU$1465,"",(tech_base!$J69/tech_proj!AU193*0.086*$N$110)/(1-tech_proj!AU473))</f>
        <v>0</v>
      </c>
      <c r="AV1533" s="123">
        <f>IF(tech_base!$T69&gt;AV$1465,"",(tech_base!$J69/tech_proj!AV193*0.086*$N$110)/(1-tech_proj!AV473))</f>
        <v>0</v>
      </c>
      <c r="AW1533" s="123">
        <f>IF(tech_base!$T69&gt;AW$1465,"",(tech_base!$J69/tech_proj!AW193*0.086*$N$110)/(1-tech_proj!AW473))</f>
        <v>0</v>
      </c>
      <c r="AX1533" s="124">
        <f>IF(tech_base!$T69&gt;AX$1465,"",(tech_base!$J69/tech_proj!AX193*0.086*$N$110)/(1-tech_proj!AX473))</f>
        <v>0</v>
      </c>
    </row>
    <row r="1534" spans="1:50" x14ac:dyDescent="0.25">
      <c r="A1534" s="356"/>
      <c r="B1534" s="376"/>
      <c r="C1534" s="379"/>
      <c r="D1534" s="59" t="s">
        <v>8</v>
      </c>
      <c r="E1534" s="166" t="str">
        <f>A1511&amp;"/"&amp;B1527&amp;"/"&amp;C1533&amp;"/"&amp;D1534</f>
        <v>Lignite fired power plants/Fluidized bed combustion/Electricity only with CCS/M</v>
      </c>
      <c r="F1534" s="79" t="str">
        <f>A1511</f>
        <v>Lignite fired power plants</v>
      </c>
      <c r="G1534" s="79" t="str">
        <f>B1527</f>
        <v>Fluidized bed combustion</v>
      </c>
      <c r="H1534" s="79" t="str">
        <f>C1533</f>
        <v>Electricity only with CCS</v>
      </c>
      <c r="I1534" s="167" t="str">
        <f t="shared" si="378"/>
        <v>M</v>
      </c>
      <c r="J1534" s="125" t="str">
        <f>IF(tech_base!$T70&gt;J$1465,"",(tech_base!$J70/tech_proj!J194*0.086*$N$110)/(1-tech_proj!J474))</f>
        <v/>
      </c>
      <c r="K1534" s="125" t="str">
        <f>IF(tech_base!$T70&gt;K$1465,"",(tech_base!$J70/tech_proj!K194*0.086*$N$110)/(1-tech_proj!K474))</f>
        <v/>
      </c>
      <c r="L1534" s="125" t="str">
        <f>IF(tech_base!$T70&gt;L$1465,"",(tech_base!$J70/tech_proj!L194*0.086*$N$110)/(1-tech_proj!L474))</f>
        <v/>
      </c>
      <c r="M1534" s="125" t="str">
        <f>IF(tech_base!$T70&gt;M$1465,"",(tech_base!$J70/tech_proj!M194*0.086*$N$110)/(1-tech_proj!M474))</f>
        <v/>
      </c>
      <c r="N1534" s="125" t="str">
        <f>IF(tech_base!$T70&gt;N$1465,"",(tech_base!$J70/tech_proj!N194*0.086*$N$110)/(1-tech_proj!N474))</f>
        <v/>
      </c>
      <c r="O1534" s="125" t="str">
        <f>IF(tech_base!$T70&gt;O$1465,"",(tech_base!$J70/tech_proj!O194*0.086*$N$110)/(1-tech_proj!O474))</f>
        <v/>
      </c>
      <c r="P1534" s="125" t="str">
        <f>IF(tech_base!$T70&gt;P$1465,"",(tech_base!$J70/tech_proj!P194*0.086*$N$110)/(1-tech_proj!P474))</f>
        <v/>
      </c>
      <c r="Q1534" s="125" t="str">
        <f>IF(tech_base!$T70&gt;Q$1465,"",(tech_base!$J70/tech_proj!Q194*0.086*$N$110)/(1-tech_proj!Q474))</f>
        <v/>
      </c>
      <c r="R1534" s="125" t="str">
        <f>IF(tech_base!$T70&gt;R$1465,"",(tech_base!$J70/tech_proj!R194*0.086*$N$110)/(1-tech_proj!R474))</f>
        <v/>
      </c>
      <c r="S1534" s="125" t="str">
        <f>IF(tech_base!$T70&gt;S$1465,"",(tech_base!$J70/tech_proj!S194*0.086*$N$110)/(1-tech_proj!S474))</f>
        <v/>
      </c>
      <c r="T1534" s="125" t="str">
        <f>IF(tech_base!$T70&gt;T$1465,"",(tech_base!$J70/tech_proj!T194*0.086*$N$110)/(1-tech_proj!T474))</f>
        <v/>
      </c>
      <c r="U1534" s="125" t="str">
        <f>IF(tech_base!$T70&gt;U$1465,"",(tech_base!$J70/tech_proj!U194*0.086*$N$110)/(1-tech_proj!U474))</f>
        <v/>
      </c>
      <c r="V1534" s="125" t="str">
        <f>IF(tech_base!$T70&gt;V$1465,"",(tech_base!$J70/tech_proj!V194*0.086*$N$110)/(1-tech_proj!V474))</f>
        <v/>
      </c>
      <c r="W1534" s="125" t="str">
        <f>IF(tech_base!$T70&gt;W$1465,"",(tech_base!$J70/tech_proj!W194*0.086*$N$110)/(1-tech_proj!W474))</f>
        <v/>
      </c>
      <c r="X1534" s="125" t="str">
        <f>IF(tech_base!$T70&gt;X$1465,"",(tech_base!$J70/tech_proj!X194*0.086*$N$110)/(1-tech_proj!X474))</f>
        <v/>
      </c>
      <c r="Y1534" s="125" t="str">
        <f>IF(tech_base!$T70&gt;Y$1465,"",(tech_base!$J70/tech_proj!Y194*0.086*$N$110)/(1-tech_proj!Y474))</f>
        <v/>
      </c>
      <c r="Z1534" s="125" t="str">
        <f>IF(tech_base!$T70&gt;Z$1465,"",(tech_base!$J70/tech_proj!Z194*0.086*$N$110)/(1-tech_proj!Z474))</f>
        <v/>
      </c>
      <c r="AA1534" s="125" t="str">
        <f>IF(tech_base!$T70&gt;AA$1465,"",(tech_base!$J70/tech_proj!AA194*0.086*$N$110)/(1-tech_proj!AA474))</f>
        <v/>
      </c>
      <c r="AB1534" s="125" t="str">
        <f>IF(tech_base!$T70&gt;AB$1465,"",(tech_base!$J70/tech_proj!AB194*0.086*$N$110)/(1-tech_proj!AB474))</f>
        <v/>
      </c>
      <c r="AC1534" s="125" t="str">
        <f>IF(tech_base!$T70&gt;AC$1465,"",(tech_base!$J70/tech_proj!AC194*0.086*$N$110)/(1-tech_proj!AC474))</f>
        <v/>
      </c>
      <c r="AD1534" s="125" t="str">
        <f>IF(tech_base!$T70&gt;AD$1465,"",(tech_base!$J70/tech_proj!AD194*0.086*$N$110)/(1-tech_proj!AD474))</f>
        <v/>
      </c>
      <c r="AE1534" s="125">
        <f>IF(tech_base!$T70&gt;AE$1465,"",(tech_base!$J70/tech_proj!AE194*0.086*$N$110)/(1-tech_proj!AE474))</f>
        <v>0</v>
      </c>
      <c r="AF1534" s="125">
        <f>IF(tech_base!$T70&gt;AF$1465,"",(tech_base!$J70/tech_proj!AF194*0.086*$N$110)/(1-tech_proj!AF474))</f>
        <v>0</v>
      </c>
      <c r="AG1534" s="125">
        <f>IF(tech_base!$T70&gt;AG$1465,"",(tech_base!$J70/tech_proj!AG194*0.086*$N$110)/(1-tech_proj!AG474))</f>
        <v>0</v>
      </c>
      <c r="AH1534" s="125">
        <f>IF(tech_base!$T70&gt;AH$1465,"",(tech_base!$J70/tech_proj!AH194*0.086*$N$110)/(1-tech_proj!AH474))</f>
        <v>0</v>
      </c>
      <c r="AI1534" s="125">
        <f>IF(tech_base!$T70&gt;AI$1465,"",(tech_base!$J70/tech_proj!AI194*0.086*$N$110)/(1-tech_proj!AI474))</f>
        <v>0</v>
      </c>
      <c r="AJ1534" s="125">
        <f>IF(tech_base!$T70&gt;AJ$1465,"",(tech_base!$J70/tech_proj!AJ194*0.086*$N$110)/(1-tech_proj!AJ474))</f>
        <v>0</v>
      </c>
      <c r="AK1534" s="125">
        <f>IF(tech_base!$T70&gt;AK$1465,"",(tech_base!$J70/tech_proj!AK194*0.086*$N$110)/(1-tech_proj!AK474))</f>
        <v>0</v>
      </c>
      <c r="AL1534" s="125">
        <f>IF(tech_base!$T70&gt;AL$1465,"",(tech_base!$J70/tech_proj!AL194*0.086*$N$110)/(1-tech_proj!AL474))</f>
        <v>0</v>
      </c>
      <c r="AM1534" s="125">
        <f>IF(tech_base!$T70&gt;AM$1465,"",(tech_base!$J70/tech_proj!AM194*0.086*$N$110)/(1-tech_proj!AM474))</f>
        <v>0</v>
      </c>
      <c r="AN1534" s="125">
        <f>IF(tech_base!$T70&gt;AN$1465,"",(tech_base!$J70/tech_proj!AN194*0.086*$N$110)/(1-tech_proj!AN474))</f>
        <v>0</v>
      </c>
      <c r="AO1534" s="125">
        <f>IF(tech_base!$T70&gt;AO$1465,"",(tech_base!$J70/tech_proj!AO194*0.086*$N$110)/(1-tech_proj!AO474))</f>
        <v>0</v>
      </c>
      <c r="AP1534" s="125">
        <f>IF(tech_base!$T70&gt;AP$1465,"",(tech_base!$J70/tech_proj!AP194*0.086*$N$110)/(1-tech_proj!AP474))</f>
        <v>0</v>
      </c>
      <c r="AQ1534" s="125">
        <f>IF(tech_base!$T70&gt;AQ$1465,"",(tech_base!$J70/tech_proj!AQ194*0.086*$N$110)/(1-tech_proj!AQ474))</f>
        <v>0</v>
      </c>
      <c r="AR1534" s="125">
        <f>IF(tech_base!$T70&gt;AR$1465,"",(tech_base!$J70/tech_proj!AR194*0.086*$N$110)/(1-tech_proj!AR474))</f>
        <v>0</v>
      </c>
      <c r="AS1534" s="125">
        <f>IF(tech_base!$T70&gt;AS$1465,"",(tech_base!$J70/tech_proj!AS194*0.086*$N$110)/(1-tech_proj!AS474))</f>
        <v>0</v>
      </c>
      <c r="AT1534" s="125">
        <f>IF(tech_base!$T70&gt;AT$1465,"",(tech_base!$J70/tech_proj!AT194*0.086*$N$110)/(1-tech_proj!AT474))</f>
        <v>0</v>
      </c>
      <c r="AU1534" s="125">
        <f>IF(tech_base!$T70&gt;AU$1465,"",(tech_base!$J70/tech_proj!AU194*0.086*$N$110)/(1-tech_proj!AU474))</f>
        <v>0</v>
      </c>
      <c r="AV1534" s="125">
        <f>IF(tech_base!$T70&gt;AV$1465,"",(tech_base!$J70/tech_proj!AV194*0.086*$N$110)/(1-tech_proj!AV474))</f>
        <v>0</v>
      </c>
      <c r="AW1534" s="125">
        <f>IF(tech_base!$T70&gt;AW$1465,"",(tech_base!$J70/tech_proj!AW194*0.086*$N$110)/(1-tech_proj!AW474))</f>
        <v>0</v>
      </c>
      <c r="AX1534" s="126">
        <f>IF(tech_base!$T70&gt;AX$1465,"",(tech_base!$J70/tech_proj!AX194*0.086*$N$110)/(1-tech_proj!AX474))</f>
        <v>0</v>
      </c>
    </row>
    <row r="1535" spans="1:50" x14ac:dyDescent="0.25">
      <c r="A1535" s="356"/>
      <c r="B1535" s="376"/>
      <c r="C1535" s="361" t="s">
        <v>16</v>
      </c>
      <c r="D1535" s="2" t="s">
        <v>7</v>
      </c>
      <c r="E1535" s="160" t="str">
        <f>A1511&amp;"/"&amp;B1527&amp;"/"&amp;C1535&amp;"/"&amp;D1535</f>
        <v>Lignite fired power plants/Fluidized bed combustion/CHP with CCS/L</v>
      </c>
      <c r="F1535" s="76" t="str">
        <f>A1511</f>
        <v>Lignite fired power plants</v>
      </c>
      <c r="G1535" s="76" t="str">
        <f>B1527</f>
        <v>Fluidized bed combustion</v>
      </c>
      <c r="H1535" s="76" t="str">
        <f>C1535</f>
        <v>CHP with CCS</v>
      </c>
      <c r="I1535" s="161" t="str">
        <f t="shared" si="378"/>
        <v>L</v>
      </c>
      <c r="J1535" s="119" t="str">
        <f>IF(tech_base!$T71&gt;J$1465,"",(tech_base!$J71/tech_proj!J195*0.086*$N$110)/(1-tech_proj!J475))</f>
        <v/>
      </c>
      <c r="K1535" s="119" t="str">
        <f>IF(tech_base!$T71&gt;K$1465,"",(tech_base!$J71/tech_proj!K195*0.086*$N$110)/(1-tech_proj!K475))</f>
        <v/>
      </c>
      <c r="L1535" s="119" t="str">
        <f>IF(tech_base!$T71&gt;L$1465,"",(tech_base!$J71/tech_proj!L195*0.086*$N$110)/(1-tech_proj!L475))</f>
        <v/>
      </c>
      <c r="M1535" s="119" t="str">
        <f>IF(tech_base!$T71&gt;M$1465,"",(tech_base!$J71/tech_proj!M195*0.086*$N$110)/(1-tech_proj!M475))</f>
        <v/>
      </c>
      <c r="N1535" s="119" t="str">
        <f>IF(tech_base!$T71&gt;N$1465,"",(tech_base!$J71/tech_proj!N195*0.086*$N$110)/(1-tech_proj!N475))</f>
        <v/>
      </c>
      <c r="O1535" s="119" t="str">
        <f>IF(tech_base!$T71&gt;O$1465,"",(tech_base!$J71/tech_proj!O195*0.086*$N$110)/(1-tech_proj!O475))</f>
        <v/>
      </c>
      <c r="P1535" s="119" t="str">
        <f>IF(tech_base!$T71&gt;P$1465,"",(tech_base!$J71/tech_proj!P195*0.086*$N$110)/(1-tech_proj!P475))</f>
        <v/>
      </c>
      <c r="Q1535" s="119" t="str">
        <f>IF(tech_base!$T71&gt;Q$1465,"",(tech_base!$J71/tech_proj!Q195*0.086*$N$110)/(1-tech_proj!Q475))</f>
        <v/>
      </c>
      <c r="R1535" s="119" t="str">
        <f>IF(tech_base!$T71&gt;R$1465,"",(tech_base!$J71/tech_proj!R195*0.086*$N$110)/(1-tech_proj!R475))</f>
        <v/>
      </c>
      <c r="S1535" s="119" t="str">
        <f>IF(tech_base!$T71&gt;S$1465,"",(tech_base!$J71/tech_proj!S195*0.086*$N$110)/(1-tech_proj!S475))</f>
        <v/>
      </c>
      <c r="T1535" s="119" t="str">
        <f>IF(tech_base!$T71&gt;T$1465,"",(tech_base!$J71/tech_proj!T195*0.086*$N$110)/(1-tech_proj!T475))</f>
        <v/>
      </c>
      <c r="U1535" s="119" t="str">
        <f>IF(tech_base!$T71&gt;U$1465,"",(tech_base!$J71/tech_proj!U195*0.086*$N$110)/(1-tech_proj!U475))</f>
        <v/>
      </c>
      <c r="V1535" s="119" t="str">
        <f>IF(tech_base!$T71&gt;V$1465,"",(tech_base!$J71/tech_proj!V195*0.086*$N$110)/(1-tech_proj!V475))</f>
        <v/>
      </c>
      <c r="W1535" s="119" t="str">
        <f>IF(tech_base!$T71&gt;W$1465,"",(tech_base!$J71/tech_proj!W195*0.086*$N$110)/(1-tech_proj!W475))</f>
        <v/>
      </c>
      <c r="X1535" s="119" t="str">
        <f>IF(tech_base!$T71&gt;X$1465,"",(tech_base!$J71/tech_proj!X195*0.086*$N$110)/(1-tech_proj!X475))</f>
        <v/>
      </c>
      <c r="Y1535" s="119" t="str">
        <f>IF(tech_base!$T71&gt;Y$1465,"",(tech_base!$J71/tech_proj!Y195*0.086*$N$110)/(1-tech_proj!Y475))</f>
        <v/>
      </c>
      <c r="Z1535" s="119" t="str">
        <f>IF(tech_base!$T71&gt;Z$1465,"",(tech_base!$J71/tech_proj!Z195*0.086*$N$110)/(1-tech_proj!Z475))</f>
        <v/>
      </c>
      <c r="AA1535" s="119" t="str">
        <f>IF(tech_base!$T71&gt;AA$1465,"",(tech_base!$J71/tech_proj!AA195*0.086*$N$110)/(1-tech_proj!AA475))</f>
        <v/>
      </c>
      <c r="AB1535" s="119" t="str">
        <f>IF(tech_base!$T71&gt;AB$1465,"",(tech_base!$J71/tech_proj!AB195*0.086*$N$110)/(1-tech_proj!AB475))</f>
        <v/>
      </c>
      <c r="AC1535" s="119" t="str">
        <f>IF(tech_base!$T71&gt;AC$1465,"",(tech_base!$J71/tech_proj!AC195*0.086*$N$110)/(1-tech_proj!AC475))</f>
        <v/>
      </c>
      <c r="AD1535" s="119" t="str">
        <f>IF(tech_base!$T71&gt;AD$1465,"",(tech_base!$J71/tech_proj!AD195*0.086*$N$110)/(1-tech_proj!AD475))</f>
        <v/>
      </c>
      <c r="AE1535" s="119">
        <f>IF(tech_base!$T71&gt;AE$1465,"",(tech_base!$J71/tech_proj!AE195*0.086*$N$110)/(1-tech_proj!AE475))</f>
        <v>0</v>
      </c>
      <c r="AF1535" s="119">
        <f>IF(tech_base!$T71&gt;AF$1465,"",(tech_base!$J71/tech_proj!AF195*0.086*$N$110)/(1-tech_proj!AF475))</f>
        <v>0</v>
      </c>
      <c r="AG1535" s="119">
        <f>IF(tech_base!$T71&gt;AG$1465,"",(tech_base!$J71/tech_proj!AG195*0.086*$N$110)/(1-tech_proj!AG475))</f>
        <v>0</v>
      </c>
      <c r="AH1535" s="119">
        <f>IF(tech_base!$T71&gt;AH$1465,"",(tech_base!$J71/tech_proj!AH195*0.086*$N$110)/(1-tech_proj!AH475))</f>
        <v>0</v>
      </c>
      <c r="AI1535" s="119">
        <f>IF(tech_base!$T71&gt;AI$1465,"",(tech_base!$J71/tech_proj!AI195*0.086*$N$110)/(1-tech_proj!AI475))</f>
        <v>0</v>
      </c>
      <c r="AJ1535" s="119">
        <f>IF(tech_base!$T71&gt;AJ$1465,"",(tech_base!$J71/tech_proj!AJ195*0.086*$N$110)/(1-tech_proj!AJ475))</f>
        <v>0</v>
      </c>
      <c r="AK1535" s="119">
        <f>IF(tech_base!$T71&gt;AK$1465,"",(tech_base!$J71/tech_proj!AK195*0.086*$N$110)/(1-tech_proj!AK475))</f>
        <v>0</v>
      </c>
      <c r="AL1535" s="119">
        <f>IF(tech_base!$T71&gt;AL$1465,"",(tech_base!$J71/tech_proj!AL195*0.086*$N$110)/(1-tech_proj!AL475))</f>
        <v>0</v>
      </c>
      <c r="AM1535" s="119">
        <f>IF(tech_base!$T71&gt;AM$1465,"",(tech_base!$J71/tech_proj!AM195*0.086*$N$110)/(1-tech_proj!AM475))</f>
        <v>0</v>
      </c>
      <c r="AN1535" s="119">
        <f>IF(tech_base!$T71&gt;AN$1465,"",(tech_base!$J71/tech_proj!AN195*0.086*$N$110)/(1-tech_proj!AN475))</f>
        <v>0</v>
      </c>
      <c r="AO1535" s="119">
        <f>IF(tech_base!$T71&gt;AO$1465,"",(tech_base!$J71/tech_proj!AO195*0.086*$N$110)/(1-tech_proj!AO475))</f>
        <v>0</v>
      </c>
      <c r="AP1535" s="119">
        <f>IF(tech_base!$T71&gt;AP$1465,"",(tech_base!$J71/tech_proj!AP195*0.086*$N$110)/(1-tech_proj!AP475))</f>
        <v>0</v>
      </c>
      <c r="AQ1535" s="119">
        <f>IF(tech_base!$T71&gt;AQ$1465,"",(tech_base!$J71/tech_proj!AQ195*0.086*$N$110)/(1-tech_proj!AQ475))</f>
        <v>0</v>
      </c>
      <c r="AR1535" s="119">
        <f>IF(tech_base!$T71&gt;AR$1465,"",(tech_base!$J71/tech_proj!AR195*0.086*$N$110)/(1-tech_proj!AR475))</f>
        <v>0</v>
      </c>
      <c r="AS1535" s="119">
        <f>IF(tech_base!$T71&gt;AS$1465,"",(tech_base!$J71/tech_proj!AS195*0.086*$N$110)/(1-tech_proj!AS475))</f>
        <v>0</v>
      </c>
      <c r="AT1535" s="119">
        <f>IF(tech_base!$T71&gt;AT$1465,"",(tech_base!$J71/tech_proj!AT195*0.086*$N$110)/(1-tech_proj!AT475))</f>
        <v>0</v>
      </c>
      <c r="AU1535" s="119">
        <f>IF(tech_base!$T71&gt;AU$1465,"",(tech_base!$J71/tech_proj!AU195*0.086*$N$110)/(1-tech_proj!AU475))</f>
        <v>0</v>
      </c>
      <c r="AV1535" s="119">
        <f>IF(tech_base!$T71&gt;AV$1465,"",(tech_base!$J71/tech_proj!AV195*0.086*$N$110)/(1-tech_proj!AV475))</f>
        <v>0</v>
      </c>
      <c r="AW1535" s="119">
        <f>IF(tech_base!$T71&gt;AW$1465,"",(tech_base!$J71/tech_proj!AW195*0.086*$N$110)/(1-tech_proj!AW475))</f>
        <v>0</v>
      </c>
      <c r="AX1535" s="120">
        <f>IF(tech_base!$T71&gt;AX$1465,"",(tech_base!$J71/tech_proj!AX195*0.086*$N$110)/(1-tech_proj!AX475))</f>
        <v>0</v>
      </c>
    </row>
    <row r="1536" spans="1:50" x14ac:dyDescent="0.25">
      <c r="A1536" s="356"/>
      <c r="B1536" s="380"/>
      <c r="C1536" s="381"/>
      <c r="D1536" s="4" t="s">
        <v>8</v>
      </c>
      <c r="E1536" s="168" t="str">
        <f>A1511&amp;"/"&amp;B1527&amp;"/"&amp;C1535&amp;"/"&amp;D1536</f>
        <v>Lignite fired power plants/Fluidized bed combustion/CHP with CCS/M</v>
      </c>
      <c r="F1536" s="80" t="str">
        <f>A1511</f>
        <v>Lignite fired power plants</v>
      </c>
      <c r="G1536" s="80" t="str">
        <f>B1527</f>
        <v>Fluidized bed combustion</v>
      </c>
      <c r="H1536" s="80" t="str">
        <f>C1535</f>
        <v>CHP with CCS</v>
      </c>
      <c r="I1536" s="169" t="str">
        <f t="shared" si="378"/>
        <v>M</v>
      </c>
      <c r="J1536" s="127" t="str">
        <f>IF(tech_base!$T72&gt;J$1465,"",(tech_base!$J72/tech_proj!J196*0.086*$N$110)/(1-tech_proj!J476))</f>
        <v/>
      </c>
      <c r="K1536" s="127" t="str">
        <f>IF(tech_base!$T72&gt;K$1465,"",(tech_base!$J72/tech_proj!K196*0.086*$N$110)/(1-tech_proj!K476))</f>
        <v/>
      </c>
      <c r="L1536" s="127" t="str">
        <f>IF(tech_base!$T72&gt;L$1465,"",(tech_base!$J72/tech_proj!L196*0.086*$N$110)/(1-tech_proj!L476))</f>
        <v/>
      </c>
      <c r="M1536" s="127" t="str">
        <f>IF(tech_base!$T72&gt;M$1465,"",(tech_base!$J72/tech_proj!M196*0.086*$N$110)/(1-tech_proj!M476))</f>
        <v/>
      </c>
      <c r="N1536" s="127" t="str">
        <f>IF(tech_base!$T72&gt;N$1465,"",(tech_base!$J72/tech_proj!N196*0.086*$N$110)/(1-tech_proj!N476))</f>
        <v/>
      </c>
      <c r="O1536" s="127" t="str">
        <f>IF(tech_base!$T72&gt;O$1465,"",(tech_base!$J72/tech_proj!O196*0.086*$N$110)/(1-tech_proj!O476))</f>
        <v/>
      </c>
      <c r="P1536" s="127" t="str">
        <f>IF(tech_base!$T72&gt;P$1465,"",(tech_base!$J72/tech_proj!P196*0.086*$N$110)/(1-tech_proj!P476))</f>
        <v/>
      </c>
      <c r="Q1536" s="127" t="str">
        <f>IF(tech_base!$T72&gt;Q$1465,"",(tech_base!$J72/tech_proj!Q196*0.086*$N$110)/(1-tech_proj!Q476))</f>
        <v/>
      </c>
      <c r="R1536" s="127" t="str">
        <f>IF(tech_base!$T72&gt;R$1465,"",(tech_base!$J72/tech_proj!R196*0.086*$N$110)/(1-tech_proj!R476))</f>
        <v/>
      </c>
      <c r="S1536" s="127" t="str">
        <f>IF(tech_base!$T72&gt;S$1465,"",(tech_base!$J72/tech_proj!S196*0.086*$N$110)/(1-tech_proj!S476))</f>
        <v/>
      </c>
      <c r="T1536" s="127" t="str">
        <f>IF(tech_base!$T72&gt;T$1465,"",(tech_base!$J72/tech_proj!T196*0.086*$N$110)/(1-tech_proj!T476))</f>
        <v/>
      </c>
      <c r="U1536" s="127" t="str">
        <f>IF(tech_base!$T72&gt;U$1465,"",(tech_base!$J72/tech_proj!U196*0.086*$N$110)/(1-tech_proj!U476))</f>
        <v/>
      </c>
      <c r="V1536" s="127" t="str">
        <f>IF(tech_base!$T72&gt;V$1465,"",(tech_base!$J72/tech_proj!V196*0.086*$N$110)/(1-tech_proj!V476))</f>
        <v/>
      </c>
      <c r="W1536" s="127" t="str">
        <f>IF(tech_base!$T72&gt;W$1465,"",(tech_base!$J72/tech_proj!W196*0.086*$N$110)/(1-tech_proj!W476))</f>
        <v/>
      </c>
      <c r="X1536" s="127" t="str">
        <f>IF(tech_base!$T72&gt;X$1465,"",(tech_base!$J72/tech_proj!X196*0.086*$N$110)/(1-tech_proj!X476))</f>
        <v/>
      </c>
      <c r="Y1536" s="127" t="str">
        <f>IF(tech_base!$T72&gt;Y$1465,"",(tech_base!$J72/tech_proj!Y196*0.086*$N$110)/(1-tech_proj!Y476))</f>
        <v/>
      </c>
      <c r="Z1536" s="127" t="str">
        <f>IF(tech_base!$T72&gt;Z$1465,"",(tech_base!$J72/tech_proj!Z196*0.086*$N$110)/(1-tech_proj!Z476))</f>
        <v/>
      </c>
      <c r="AA1536" s="127" t="str">
        <f>IF(tech_base!$T72&gt;AA$1465,"",(tech_base!$J72/tech_proj!AA196*0.086*$N$110)/(1-tech_proj!AA476))</f>
        <v/>
      </c>
      <c r="AB1536" s="127" t="str">
        <f>IF(tech_base!$T72&gt;AB$1465,"",(tech_base!$J72/tech_proj!AB196*0.086*$N$110)/(1-tech_proj!AB476))</f>
        <v/>
      </c>
      <c r="AC1536" s="127" t="str">
        <f>IF(tech_base!$T72&gt;AC$1465,"",(tech_base!$J72/tech_proj!AC196*0.086*$N$110)/(1-tech_proj!AC476))</f>
        <v/>
      </c>
      <c r="AD1536" s="127" t="str">
        <f>IF(tech_base!$T72&gt;AD$1465,"",(tech_base!$J72/tech_proj!AD196*0.086*$N$110)/(1-tech_proj!AD476))</f>
        <v/>
      </c>
      <c r="AE1536" s="127">
        <f>IF(tech_base!$T72&gt;AE$1465,"",(tech_base!$J72/tech_proj!AE196*0.086*$N$110)/(1-tech_proj!AE476))</f>
        <v>0</v>
      </c>
      <c r="AF1536" s="127">
        <f>IF(tech_base!$T72&gt;AF$1465,"",(tech_base!$J72/tech_proj!AF196*0.086*$N$110)/(1-tech_proj!AF476))</f>
        <v>0</v>
      </c>
      <c r="AG1536" s="127">
        <f>IF(tech_base!$T72&gt;AG$1465,"",(tech_base!$J72/tech_proj!AG196*0.086*$N$110)/(1-tech_proj!AG476))</f>
        <v>0</v>
      </c>
      <c r="AH1536" s="127">
        <f>IF(tech_base!$T72&gt;AH$1465,"",(tech_base!$J72/tech_proj!AH196*0.086*$N$110)/(1-tech_proj!AH476))</f>
        <v>0</v>
      </c>
      <c r="AI1536" s="127">
        <f>IF(tech_base!$T72&gt;AI$1465,"",(tech_base!$J72/tech_proj!AI196*0.086*$N$110)/(1-tech_proj!AI476))</f>
        <v>0</v>
      </c>
      <c r="AJ1536" s="127">
        <f>IF(tech_base!$T72&gt;AJ$1465,"",(tech_base!$J72/tech_proj!AJ196*0.086*$N$110)/(1-tech_proj!AJ476))</f>
        <v>0</v>
      </c>
      <c r="AK1536" s="127">
        <f>IF(tech_base!$T72&gt;AK$1465,"",(tech_base!$J72/tech_proj!AK196*0.086*$N$110)/(1-tech_proj!AK476))</f>
        <v>0</v>
      </c>
      <c r="AL1536" s="127">
        <f>IF(tech_base!$T72&gt;AL$1465,"",(tech_base!$J72/tech_proj!AL196*0.086*$N$110)/(1-tech_proj!AL476))</f>
        <v>0</v>
      </c>
      <c r="AM1536" s="127">
        <f>IF(tech_base!$T72&gt;AM$1465,"",(tech_base!$J72/tech_proj!AM196*0.086*$N$110)/(1-tech_proj!AM476))</f>
        <v>0</v>
      </c>
      <c r="AN1536" s="127">
        <f>IF(tech_base!$T72&gt;AN$1465,"",(tech_base!$J72/tech_proj!AN196*0.086*$N$110)/(1-tech_proj!AN476))</f>
        <v>0</v>
      </c>
      <c r="AO1536" s="127">
        <f>IF(tech_base!$T72&gt;AO$1465,"",(tech_base!$J72/tech_proj!AO196*0.086*$N$110)/(1-tech_proj!AO476))</f>
        <v>0</v>
      </c>
      <c r="AP1536" s="127">
        <f>IF(tech_base!$T72&gt;AP$1465,"",(tech_base!$J72/tech_proj!AP196*0.086*$N$110)/(1-tech_proj!AP476))</f>
        <v>0</v>
      </c>
      <c r="AQ1536" s="127">
        <f>IF(tech_base!$T72&gt;AQ$1465,"",(tech_base!$J72/tech_proj!AQ196*0.086*$N$110)/(1-tech_proj!AQ476))</f>
        <v>0</v>
      </c>
      <c r="AR1536" s="127">
        <f>IF(tech_base!$T72&gt;AR$1465,"",(tech_base!$J72/tech_proj!AR196*0.086*$N$110)/(1-tech_proj!AR476))</f>
        <v>0</v>
      </c>
      <c r="AS1536" s="127">
        <f>IF(tech_base!$T72&gt;AS$1465,"",(tech_base!$J72/tech_proj!AS196*0.086*$N$110)/(1-tech_proj!AS476))</f>
        <v>0</v>
      </c>
      <c r="AT1536" s="127">
        <f>IF(tech_base!$T72&gt;AT$1465,"",(tech_base!$J72/tech_proj!AT196*0.086*$N$110)/(1-tech_proj!AT476))</f>
        <v>0</v>
      </c>
      <c r="AU1536" s="127">
        <f>IF(tech_base!$T72&gt;AU$1465,"",(tech_base!$J72/tech_proj!AU196*0.086*$N$110)/(1-tech_proj!AU476))</f>
        <v>0</v>
      </c>
      <c r="AV1536" s="127">
        <f>IF(tech_base!$T72&gt;AV$1465,"",(tech_base!$J72/tech_proj!AV196*0.086*$N$110)/(1-tech_proj!AV476))</f>
        <v>0</v>
      </c>
      <c r="AW1536" s="127">
        <f>IF(tech_base!$T72&gt;AW$1465,"",(tech_base!$J72/tech_proj!AW196*0.086*$N$110)/(1-tech_proj!AW476))</f>
        <v>0</v>
      </c>
      <c r="AX1536" s="128">
        <f>IF(tech_base!$T72&gt;AX$1465,"",(tech_base!$J72/tech_proj!AX196*0.086*$N$110)/(1-tech_proj!AX476))</f>
        <v>0</v>
      </c>
    </row>
    <row r="1537" spans="1:50" x14ac:dyDescent="0.25">
      <c r="A1537" s="356"/>
      <c r="B1537" s="358" t="s">
        <v>19</v>
      </c>
      <c r="C1537" s="353" t="s">
        <v>6</v>
      </c>
      <c r="D1537" s="3" t="s">
        <v>7</v>
      </c>
      <c r="E1537" s="162" t="str">
        <f>A1511&amp;"/"&amp;B1537&amp;"/"&amp;C1537&amp;"/"&amp;D1537</f>
        <v>Lignite fired power plants/Steam turbine/Electricity only/L</v>
      </c>
      <c r="F1537" s="77" t="str">
        <f>A1511</f>
        <v>Lignite fired power plants</v>
      </c>
      <c r="G1537" s="77" t="str">
        <f>B1537</f>
        <v>Steam turbine</v>
      </c>
      <c r="H1537" s="77" t="str">
        <f>C1537</f>
        <v>Electricity only</v>
      </c>
      <c r="I1537" s="163" t="str">
        <f t="shared" si="378"/>
        <v>L</v>
      </c>
      <c r="J1537" s="121">
        <f>IF(tech_base!$T73&gt;J$1465,"",(tech_base!$J73/tech_proj!J197*0.086*$N$110)/(1-tech_proj!J477))</f>
        <v>0</v>
      </c>
      <c r="K1537" s="121">
        <f>IF(tech_base!$T73&gt;K$1465,"",(tech_base!$J73/tech_proj!K197*0.086*$N$110)/(1-tech_proj!K477))</f>
        <v>0</v>
      </c>
      <c r="L1537" s="121">
        <f>IF(tech_base!$T73&gt;L$1465,"",(tech_base!$J73/tech_proj!L197*0.086*$N$110)/(1-tech_proj!L477))</f>
        <v>0</v>
      </c>
      <c r="M1537" s="121">
        <f>IF(tech_base!$T73&gt;M$1465,"",(tech_base!$J73/tech_proj!M197*0.086*$N$110)/(1-tech_proj!M477))</f>
        <v>0</v>
      </c>
      <c r="N1537" s="121">
        <f>IF(tech_base!$T73&gt;N$1465,"",(tech_base!$J73/tech_proj!N197*0.086*$N$110)/(1-tech_proj!N477))</f>
        <v>0</v>
      </c>
      <c r="O1537" s="121">
        <f>IF(tech_base!$T73&gt;O$1465,"",(tech_base!$J73/tech_proj!O197*0.086*$N$110)/(1-tech_proj!O477))</f>
        <v>0</v>
      </c>
      <c r="P1537" s="121">
        <f>IF(tech_base!$T73&gt;P$1465,"",(tech_base!$J73/tech_proj!P197*0.086*$N$110)/(1-tech_proj!P477))</f>
        <v>0</v>
      </c>
      <c r="Q1537" s="121">
        <f>IF(tech_base!$T73&gt;Q$1465,"",(tech_base!$J73/tech_proj!Q197*0.086*$N$110)/(1-tech_proj!Q477))</f>
        <v>0</v>
      </c>
      <c r="R1537" s="121">
        <f>IF(tech_base!$T73&gt;R$1465,"",(tech_base!$J73/tech_proj!R197*0.086*$N$110)/(1-tech_proj!R477))</f>
        <v>0</v>
      </c>
      <c r="S1537" s="121">
        <f>IF(tech_base!$T73&gt;S$1465,"",(tech_base!$J73/tech_proj!S197*0.086*$N$110)/(1-tech_proj!S477))</f>
        <v>0</v>
      </c>
      <c r="T1537" s="121">
        <f>IF(tech_base!$T73&gt;T$1465,"",(tech_base!$J73/tech_proj!T197*0.086*$N$110)/(1-tech_proj!T477))</f>
        <v>0</v>
      </c>
      <c r="U1537" s="121">
        <f>IF(tech_base!$T73&gt;U$1465,"",(tech_base!$J73/tech_proj!U197*0.086*$N$110)/(1-tech_proj!U477))</f>
        <v>0</v>
      </c>
      <c r="V1537" s="121">
        <f>IF(tech_base!$T73&gt;V$1465,"",(tech_base!$J73/tech_proj!V197*0.086*$N$110)/(1-tech_proj!V477))</f>
        <v>0</v>
      </c>
      <c r="W1537" s="121">
        <f>IF(tech_base!$T73&gt;W$1465,"",(tech_base!$J73/tech_proj!W197*0.086*$N$110)/(1-tech_proj!W477))</f>
        <v>0</v>
      </c>
      <c r="X1537" s="121">
        <f>IF(tech_base!$T73&gt;X$1465,"",(tech_base!$J73/tech_proj!X197*0.086*$N$110)/(1-tech_proj!X477))</f>
        <v>0</v>
      </c>
      <c r="Y1537" s="121">
        <f>IF(tech_base!$T73&gt;Y$1465,"",(tech_base!$J73/tech_proj!Y197*0.086*$N$110)/(1-tech_proj!Y477))</f>
        <v>0</v>
      </c>
      <c r="Z1537" s="121">
        <f>IF(tech_base!$T73&gt;Z$1465,"",(tech_base!$J73/tech_proj!Z197*0.086*$N$110)/(1-tech_proj!Z477))</f>
        <v>0</v>
      </c>
      <c r="AA1537" s="121">
        <f>IF(tech_base!$T73&gt;AA$1465,"",(tech_base!$J73/tech_proj!AA197*0.086*$N$110)/(1-tech_proj!AA477))</f>
        <v>0</v>
      </c>
      <c r="AB1537" s="121">
        <f>IF(tech_base!$T73&gt;AB$1465,"",(tech_base!$J73/tech_proj!AB197*0.086*$N$110)/(1-tech_proj!AB477))</f>
        <v>0</v>
      </c>
      <c r="AC1537" s="121">
        <f>IF(tech_base!$T73&gt;AC$1465,"",(tech_base!$J73/tech_proj!AC197*0.086*$N$110)/(1-tech_proj!AC477))</f>
        <v>0</v>
      </c>
      <c r="AD1537" s="121">
        <f>IF(tech_base!$T73&gt;AD$1465,"",(tech_base!$J73/tech_proj!AD197*0.086*$N$110)/(1-tech_proj!AD477))</f>
        <v>0</v>
      </c>
      <c r="AE1537" s="121">
        <f>IF(tech_base!$T73&gt;AE$1465,"",(tech_base!$J73/tech_proj!AE197*0.086*$N$110)/(1-tech_proj!AE477))</f>
        <v>0</v>
      </c>
      <c r="AF1537" s="121">
        <f>IF(tech_base!$T73&gt;AF$1465,"",(tech_base!$J73/tech_proj!AF197*0.086*$N$110)/(1-tech_proj!AF477))</f>
        <v>0</v>
      </c>
      <c r="AG1537" s="121">
        <f>IF(tech_base!$T73&gt;AG$1465,"",(tech_base!$J73/tech_proj!AG197*0.086*$N$110)/(1-tech_proj!AG477))</f>
        <v>0</v>
      </c>
      <c r="AH1537" s="121">
        <f>IF(tech_base!$T73&gt;AH$1465,"",(tech_base!$J73/tech_proj!AH197*0.086*$N$110)/(1-tech_proj!AH477))</f>
        <v>0</v>
      </c>
      <c r="AI1537" s="121">
        <f>IF(tech_base!$T73&gt;AI$1465,"",(tech_base!$J73/tech_proj!AI197*0.086*$N$110)/(1-tech_proj!AI477))</f>
        <v>0</v>
      </c>
      <c r="AJ1537" s="121">
        <f>IF(tech_base!$T73&gt;AJ$1465,"",(tech_base!$J73/tech_proj!AJ197*0.086*$N$110)/(1-tech_proj!AJ477))</f>
        <v>0</v>
      </c>
      <c r="AK1537" s="121">
        <f>IF(tech_base!$T73&gt;AK$1465,"",(tech_base!$J73/tech_proj!AK197*0.086*$N$110)/(1-tech_proj!AK477))</f>
        <v>0</v>
      </c>
      <c r="AL1537" s="121">
        <f>IF(tech_base!$T73&gt;AL$1465,"",(tech_base!$J73/tech_proj!AL197*0.086*$N$110)/(1-tech_proj!AL477))</f>
        <v>0</v>
      </c>
      <c r="AM1537" s="121">
        <f>IF(tech_base!$T73&gt;AM$1465,"",(tech_base!$J73/tech_proj!AM197*0.086*$N$110)/(1-tech_proj!AM477))</f>
        <v>0</v>
      </c>
      <c r="AN1537" s="121">
        <f>IF(tech_base!$T73&gt;AN$1465,"",(tech_base!$J73/tech_proj!AN197*0.086*$N$110)/(1-tech_proj!AN477))</f>
        <v>0</v>
      </c>
      <c r="AO1537" s="121">
        <f>IF(tech_base!$T73&gt;AO$1465,"",(tech_base!$J73/tech_proj!AO197*0.086*$N$110)/(1-tech_proj!AO477))</f>
        <v>0</v>
      </c>
      <c r="AP1537" s="121">
        <f>IF(tech_base!$T73&gt;AP$1465,"",(tech_base!$J73/tech_proj!AP197*0.086*$N$110)/(1-tech_proj!AP477))</f>
        <v>0</v>
      </c>
      <c r="AQ1537" s="121">
        <f>IF(tech_base!$T73&gt;AQ$1465,"",(tech_base!$J73/tech_proj!AQ197*0.086*$N$110)/(1-tech_proj!AQ477))</f>
        <v>0</v>
      </c>
      <c r="AR1537" s="121">
        <f>IF(tech_base!$T73&gt;AR$1465,"",(tech_base!$J73/tech_proj!AR197*0.086*$N$110)/(1-tech_proj!AR477))</f>
        <v>0</v>
      </c>
      <c r="AS1537" s="121">
        <f>IF(tech_base!$T73&gt;AS$1465,"",(tech_base!$J73/tech_proj!AS197*0.086*$N$110)/(1-tech_proj!AS477))</f>
        <v>0</v>
      </c>
      <c r="AT1537" s="121">
        <f>IF(tech_base!$T73&gt;AT$1465,"",(tech_base!$J73/tech_proj!AT197*0.086*$N$110)/(1-tech_proj!AT477))</f>
        <v>0</v>
      </c>
      <c r="AU1537" s="121">
        <f>IF(tech_base!$T73&gt;AU$1465,"",(tech_base!$J73/tech_proj!AU197*0.086*$N$110)/(1-tech_proj!AU477))</f>
        <v>0</v>
      </c>
      <c r="AV1537" s="121">
        <f>IF(tech_base!$T73&gt;AV$1465,"",(tech_base!$J73/tech_proj!AV197*0.086*$N$110)/(1-tech_proj!AV477))</f>
        <v>0</v>
      </c>
      <c r="AW1537" s="121">
        <f>IF(tech_base!$T73&gt;AW$1465,"",(tech_base!$J73/tech_proj!AW197*0.086*$N$110)/(1-tech_proj!AW477))</f>
        <v>0</v>
      </c>
      <c r="AX1537" s="122">
        <f>IF(tech_base!$T73&gt;AX$1465,"",(tech_base!$J73/tech_proj!AX197*0.086*$N$110)/(1-tech_proj!AX477))</f>
        <v>0</v>
      </c>
    </row>
    <row r="1538" spans="1:50" x14ac:dyDescent="0.25">
      <c r="A1538" s="356"/>
      <c r="B1538" s="376"/>
      <c r="C1538" s="378"/>
      <c r="D1538" s="2" t="s">
        <v>8</v>
      </c>
      <c r="E1538" s="160" t="str">
        <f>A1511&amp;"/"&amp;B1537&amp;"/"&amp;C1537&amp;"/"&amp;D1538</f>
        <v>Lignite fired power plants/Steam turbine/Electricity only/M</v>
      </c>
      <c r="F1538" s="76" t="str">
        <f>A1511</f>
        <v>Lignite fired power plants</v>
      </c>
      <c r="G1538" s="76" t="str">
        <f>B1537</f>
        <v>Steam turbine</v>
      </c>
      <c r="H1538" s="76" t="str">
        <f>C1537</f>
        <v>Electricity only</v>
      </c>
      <c r="I1538" s="161" t="str">
        <f t="shared" si="378"/>
        <v>M</v>
      </c>
      <c r="J1538" s="119">
        <f>IF(tech_base!$T74&gt;J$1465,"",(tech_base!$J74/tech_proj!J198*0.086*$N$110)/(1-tech_proj!J478))</f>
        <v>0</v>
      </c>
      <c r="K1538" s="119">
        <f>IF(tech_base!$T74&gt;K$1465,"",(tech_base!$J74/tech_proj!K198*0.086*$N$110)/(1-tech_proj!K478))</f>
        <v>0</v>
      </c>
      <c r="L1538" s="119">
        <f>IF(tech_base!$T74&gt;L$1465,"",(tech_base!$J74/tech_proj!L198*0.086*$N$110)/(1-tech_proj!L478))</f>
        <v>0</v>
      </c>
      <c r="M1538" s="119">
        <f>IF(tech_base!$T74&gt;M$1465,"",(tech_base!$J74/tech_proj!M198*0.086*$N$110)/(1-tech_proj!M478))</f>
        <v>0</v>
      </c>
      <c r="N1538" s="119">
        <f>IF(tech_base!$T74&gt;N$1465,"",(tech_base!$J74/tech_proj!N198*0.086*$N$110)/(1-tech_proj!N478))</f>
        <v>0</v>
      </c>
      <c r="O1538" s="119">
        <f>IF(tech_base!$T74&gt;O$1465,"",(tech_base!$J74/tech_proj!O198*0.086*$N$110)/(1-tech_proj!O478))</f>
        <v>0</v>
      </c>
      <c r="P1538" s="119">
        <f>IF(tech_base!$T74&gt;P$1465,"",(tech_base!$J74/tech_proj!P198*0.086*$N$110)/(1-tech_proj!P478))</f>
        <v>0</v>
      </c>
      <c r="Q1538" s="119">
        <f>IF(tech_base!$T74&gt;Q$1465,"",(tech_base!$J74/tech_proj!Q198*0.086*$N$110)/(1-tech_proj!Q478))</f>
        <v>0</v>
      </c>
      <c r="R1538" s="119">
        <f>IF(tech_base!$T74&gt;R$1465,"",(tech_base!$J74/tech_proj!R198*0.086*$N$110)/(1-tech_proj!R478))</f>
        <v>0</v>
      </c>
      <c r="S1538" s="119">
        <f>IF(tech_base!$T74&gt;S$1465,"",(tech_base!$J74/tech_proj!S198*0.086*$N$110)/(1-tech_proj!S478))</f>
        <v>0</v>
      </c>
      <c r="T1538" s="119">
        <f>IF(tech_base!$T74&gt;T$1465,"",(tech_base!$J74/tech_proj!T198*0.086*$N$110)/(1-tech_proj!T478))</f>
        <v>0</v>
      </c>
      <c r="U1538" s="119">
        <f>IF(tech_base!$T74&gt;U$1465,"",(tech_base!$J74/tech_proj!U198*0.086*$N$110)/(1-tech_proj!U478))</f>
        <v>0</v>
      </c>
      <c r="V1538" s="119">
        <f>IF(tech_base!$T74&gt;V$1465,"",(tech_base!$J74/tech_proj!V198*0.086*$N$110)/(1-tech_proj!V478))</f>
        <v>0</v>
      </c>
      <c r="W1538" s="119">
        <f>IF(tech_base!$T74&gt;W$1465,"",(tech_base!$J74/tech_proj!W198*0.086*$N$110)/(1-tech_proj!W478))</f>
        <v>0</v>
      </c>
      <c r="X1538" s="119">
        <f>IF(tech_base!$T74&gt;X$1465,"",(tech_base!$J74/tech_proj!X198*0.086*$N$110)/(1-tech_proj!X478))</f>
        <v>0</v>
      </c>
      <c r="Y1538" s="119">
        <f>IF(tech_base!$T74&gt;Y$1465,"",(tech_base!$J74/tech_proj!Y198*0.086*$N$110)/(1-tech_proj!Y478))</f>
        <v>0</v>
      </c>
      <c r="Z1538" s="119">
        <f>IF(tech_base!$T74&gt;Z$1465,"",(tech_base!$J74/tech_proj!Z198*0.086*$N$110)/(1-tech_proj!Z478))</f>
        <v>0</v>
      </c>
      <c r="AA1538" s="119">
        <f>IF(tech_base!$T74&gt;AA$1465,"",(tech_base!$J74/tech_proj!AA198*0.086*$N$110)/(1-tech_proj!AA478))</f>
        <v>0</v>
      </c>
      <c r="AB1538" s="119">
        <f>IF(tech_base!$T74&gt;AB$1465,"",(tech_base!$J74/tech_proj!AB198*0.086*$N$110)/(1-tech_proj!AB478))</f>
        <v>0</v>
      </c>
      <c r="AC1538" s="119">
        <f>IF(tech_base!$T74&gt;AC$1465,"",(tech_base!$J74/tech_proj!AC198*0.086*$N$110)/(1-tech_proj!AC478))</f>
        <v>0</v>
      </c>
      <c r="AD1538" s="119">
        <f>IF(tech_base!$T74&gt;AD$1465,"",(tech_base!$J74/tech_proj!AD198*0.086*$N$110)/(1-tech_proj!AD478))</f>
        <v>0</v>
      </c>
      <c r="AE1538" s="119">
        <f>IF(tech_base!$T74&gt;AE$1465,"",(tech_base!$J74/tech_proj!AE198*0.086*$N$110)/(1-tech_proj!AE478))</f>
        <v>0</v>
      </c>
      <c r="AF1538" s="119">
        <f>IF(tech_base!$T74&gt;AF$1465,"",(tech_base!$J74/tech_proj!AF198*0.086*$N$110)/(1-tech_proj!AF478))</f>
        <v>0</v>
      </c>
      <c r="AG1538" s="119">
        <f>IF(tech_base!$T74&gt;AG$1465,"",(tech_base!$J74/tech_proj!AG198*0.086*$N$110)/(1-tech_proj!AG478))</f>
        <v>0</v>
      </c>
      <c r="AH1538" s="119">
        <f>IF(tech_base!$T74&gt;AH$1465,"",(tech_base!$J74/tech_proj!AH198*0.086*$N$110)/(1-tech_proj!AH478))</f>
        <v>0</v>
      </c>
      <c r="AI1538" s="119">
        <f>IF(tech_base!$T74&gt;AI$1465,"",(tech_base!$J74/tech_proj!AI198*0.086*$N$110)/(1-tech_proj!AI478))</f>
        <v>0</v>
      </c>
      <c r="AJ1538" s="119">
        <f>IF(tech_base!$T74&gt;AJ$1465,"",(tech_base!$J74/tech_proj!AJ198*0.086*$N$110)/(1-tech_proj!AJ478))</f>
        <v>0</v>
      </c>
      <c r="AK1538" s="119">
        <f>IF(tech_base!$T74&gt;AK$1465,"",(tech_base!$J74/tech_proj!AK198*0.086*$N$110)/(1-tech_proj!AK478))</f>
        <v>0</v>
      </c>
      <c r="AL1538" s="119">
        <f>IF(tech_base!$T74&gt;AL$1465,"",(tech_base!$J74/tech_proj!AL198*0.086*$N$110)/(1-tech_proj!AL478))</f>
        <v>0</v>
      </c>
      <c r="AM1538" s="119">
        <f>IF(tech_base!$T74&gt;AM$1465,"",(tech_base!$J74/tech_proj!AM198*0.086*$N$110)/(1-tech_proj!AM478))</f>
        <v>0</v>
      </c>
      <c r="AN1538" s="119">
        <f>IF(tech_base!$T74&gt;AN$1465,"",(tech_base!$J74/tech_proj!AN198*0.086*$N$110)/(1-tech_proj!AN478))</f>
        <v>0</v>
      </c>
      <c r="AO1538" s="119">
        <f>IF(tech_base!$T74&gt;AO$1465,"",(tech_base!$J74/tech_proj!AO198*0.086*$N$110)/(1-tech_proj!AO478))</f>
        <v>0</v>
      </c>
      <c r="AP1538" s="119">
        <f>IF(tech_base!$T74&gt;AP$1465,"",(tech_base!$J74/tech_proj!AP198*0.086*$N$110)/(1-tech_proj!AP478))</f>
        <v>0</v>
      </c>
      <c r="AQ1538" s="119">
        <f>IF(tech_base!$T74&gt;AQ$1465,"",(tech_base!$J74/tech_proj!AQ198*0.086*$N$110)/(1-tech_proj!AQ478))</f>
        <v>0</v>
      </c>
      <c r="AR1538" s="119">
        <f>IF(tech_base!$T74&gt;AR$1465,"",(tech_base!$J74/tech_proj!AR198*0.086*$N$110)/(1-tech_proj!AR478))</f>
        <v>0</v>
      </c>
      <c r="AS1538" s="119">
        <f>IF(tech_base!$T74&gt;AS$1465,"",(tech_base!$J74/tech_proj!AS198*0.086*$N$110)/(1-tech_proj!AS478))</f>
        <v>0</v>
      </c>
      <c r="AT1538" s="119">
        <f>IF(tech_base!$T74&gt;AT$1465,"",(tech_base!$J74/tech_proj!AT198*0.086*$N$110)/(1-tech_proj!AT478))</f>
        <v>0</v>
      </c>
      <c r="AU1538" s="119">
        <f>IF(tech_base!$T74&gt;AU$1465,"",(tech_base!$J74/tech_proj!AU198*0.086*$N$110)/(1-tech_proj!AU478))</f>
        <v>0</v>
      </c>
      <c r="AV1538" s="119">
        <f>IF(tech_base!$T74&gt;AV$1465,"",(tech_base!$J74/tech_proj!AV198*0.086*$N$110)/(1-tech_proj!AV478))</f>
        <v>0</v>
      </c>
      <c r="AW1538" s="119">
        <f>IF(tech_base!$T74&gt;AW$1465,"",(tech_base!$J74/tech_proj!AW198*0.086*$N$110)/(1-tech_proj!AW478))</f>
        <v>0</v>
      </c>
      <c r="AX1538" s="120">
        <f>IF(tech_base!$T74&gt;AX$1465,"",(tech_base!$J74/tech_proj!AX198*0.086*$N$110)/(1-tech_proj!AX478))</f>
        <v>0</v>
      </c>
    </row>
    <row r="1539" spans="1:50" x14ac:dyDescent="0.25">
      <c r="A1539" s="356"/>
      <c r="B1539" s="376"/>
      <c r="C1539" s="378"/>
      <c r="D1539" s="2" t="s">
        <v>10</v>
      </c>
      <c r="E1539" s="160" t="str">
        <f>A1511&amp;"/"&amp;B1537&amp;"/"&amp;C1537&amp;"/"&amp;D1539</f>
        <v>Lignite fired power plants/Steam turbine/Electricity only/S</v>
      </c>
      <c r="F1539" s="76" t="str">
        <f>A1511</f>
        <v>Lignite fired power plants</v>
      </c>
      <c r="G1539" s="76" t="str">
        <f>B1537</f>
        <v>Steam turbine</v>
      </c>
      <c r="H1539" s="76" t="str">
        <f>C1537</f>
        <v>Electricity only</v>
      </c>
      <c r="I1539" s="161" t="str">
        <f t="shared" si="378"/>
        <v>S</v>
      </c>
      <c r="J1539" s="119">
        <f>IF(tech_base!$T75&gt;J$1465,"",(tech_base!$J75/tech_proj!J199*0.086*$N$110)/(1-tech_proj!J479))</f>
        <v>0</v>
      </c>
      <c r="K1539" s="119">
        <f>IF(tech_base!$T75&gt;K$1465,"",(tech_base!$J75/tech_proj!K199*0.086*$N$110)/(1-tech_proj!K479))</f>
        <v>0</v>
      </c>
      <c r="L1539" s="119">
        <f>IF(tech_base!$T75&gt;L$1465,"",(tech_base!$J75/tech_proj!L199*0.086*$N$110)/(1-tech_proj!L479))</f>
        <v>0</v>
      </c>
      <c r="M1539" s="119">
        <f>IF(tech_base!$T75&gt;M$1465,"",(tech_base!$J75/tech_proj!M199*0.086*$N$110)/(1-tech_proj!M479))</f>
        <v>0</v>
      </c>
      <c r="N1539" s="119">
        <f>IF(tech_base!$T75&gt;N$1465,"",(tech_base!$J75/tech_proj!N199*0.086*$N$110)/(1-tech_proj!N479))</f>
        <v>0</v>
      </c>
      <c r="O1539" s="119">
        <f>IF(tech_base!$T75&gt;O$1465,"",(tech_base!$J75/tech_proj!O199*0.086*$N$110)/(1-tech_proj!O479))</f>
        <v>0</v>
      </c>
      <c r="P1539" s="119">
        <f>IF(tech_base!$T75&gt;P$1465,"",(tech_base!$J75/tech_proj!P199*0.086*$N$110)/(1-tech_proj!P479))</f>
        <v>0</v>
      </c>
      <c r="Q1539" s="119">
        <f>IF(tech_base!$T75&gt;Q$1465,"",(tech_base!$J75/tech_proj!Q199*0.086*$N$110)/(1-tech_proj!Q479))</f>
        <v>0</v>
      </c>
      <c r="R1539" s="119">
        <f>IF(tech_base!$T75&gt;R$1465,"",(tech_base!$J75/tech_proj!R199*0.086*$N$110)/(1-tech_proj!R479))</f>
        <v>0</v>
      </c>
      <c r="S1539" s="119">
        <f>IF(tech_base!$T75&gt;S$1465,"",(tech_base!$J75/tech_proj!S199*0.086*$N$110)/(1-tech_proj!S479))</f>
        <v>0</v>
      </c>
      <c r="T1539" s="119">
        <f>IF(tech_base!$T75&gt;T$1465,"",(tech_base!$J75/tech_proj!T199*0.086*$N$110)/(1-tech_proj!T479))</f>
        <v>0</v>
      </c>
      <c r="U1539" s="119">
        <f>IF(tech_base!$T75&gt;U$1465,"",(tech_base!$J75/tech_proj!U199*0.086*$N$110)/(1-tech_proj!U479))</f>
        <v>0</v>
      </c>
      <c r="V1539" s="119">
        <f>IF(tech_base!$T75&gt;V$1465,"",(tech_base!$J75/tech_proj!V199*0.086*$N$110)/(1-tech_proj!V479))</f>
        <v>0</v>
      </c>
      <c r="W1539" s="119">
        <f>IF(tech_base!$T75&gt;W$1465,"",(tech_base!$J75/tech_proj!W199*0.086*$N$110)/(1-tech_proj!W479))</f>
        <v>0</v>
      </c>
      <c r="X1539" s="119">
        <f>IF(tech_base!$T75&gt;X$1465,"",(tech_base!$J75/tech_proj!X199*0.086*$N$110)/(1-tech_proj!X479))</f>
        <v>0</v>
      </c>
      <c r="Y1539" s="119">
        <f>IF(tech_base!$T75&gt;Y$1465,"",(tech_base!$J75/tech_proj!Y199*0.086*$N$110)/(1-tech_proj!Y479))</f>
        <v>0</v>
      </c>
      <c r="Z1539" s="119">
        <f>IF(tech_base!$T75&gt;Z$1465,"",(tech_base!$J75/tech_proj!Z199*0.086*$N$110)/(1-tech_proj!Z479))</f>
        <v>0</v>
      </c>
      <c r="AA1539" s="119">
        <f>IF(tech_base!$T75&gt;AA$1465,"",(tech_base!$J75/tech_proj!AA199*0.086*$N$110)/(1-tech_proj!AA479))</f>
        <v>0</v>
      </c>
      <c r="AB1539" s="119">
        <f>IF(tech_base!$T75&gt;AB$1465,"",(tech_base!$J75/tech_proj!AB199*0.086*$N$110)/(1-tech_proj!AB479))</f>
        <v>0</v>
      </c>
      <c r="AC1539" s="119">
        <f>IF(tech_base!$T75&gt;AC$1465,"",(tech_base!$J75/tech_proj!AC199*0.086*$N$110)/(1-tech_proj!AC479))</f>
        <v>0</v>
      </c>
      <c r="AD1539" s="119">
        <f>IF(tech_base!$T75&gt;AD$1465,"",(tech_base!$J75/tech_proj!AD199*0.086*$N$110)/(1-tech_proj!AD479))</f>
        <v>0</v>
      </c>
      <c r="AE1539" s="119">
        <f>IF(tech_base!$T75&gt;AE$1465,"",(tech_base!$J75/tech_proj!AE199*0.086*$N$110)/(1-tech_proj!AE479))</f>
        <v>0</v>
      </c>
      <c r="AF1539" s="119">
        <f>IF(tech_base!$T75&gt;AF$1465,"",(tech_base!$J75/tech_proj!AF199*0.086*$N$110)/(1-tech_proj!AF479))</f>
        <v>0</v>
      </c>
      <c r="AG1539" s="119">
        <f>IF(tech_base!$T75&gt;AG$1465,"",(tech_base!$J75/tech_proj!AG199*0.086*$N$110)/(1-tech_proj!AG479))</f>
        <v>0</v>
      </c>
      <c r="AH1539" s="119">
        <f>IF(tech_base!$T75&gt;AH$1465,"",(tech_base!$J75/tech_proj!AH199*0.086*$N$110)/(1-tech_proj!AH479))</f>
        <v>0</v>
      </c>
      <c r="AI1539" s="119">
        <f>IF(tech_base!$T75&gt;AI$1465,"",(tech_base!$J75/tech_proj!AI199*0.086*$N$110)/(1-tech_proj!AI479))</f>
        <v>0</v>
      </c>
      <c r="AJ1539" s="119">
        <f>IF(tech_base!$T75&gt;AJ$1465,"",(tech_base!$J75/tech_proj!AJ199*0.086*$N$110)/(1-tech_proj!AJ479))</f>
        <v>0</v>
      </c>
      <c r="AK1539" s="119">
        <f>IF(tech_base!$T75&gt;AK$1465,"",(tech_base!$J75/tech_proj!AK199*0.086*$N$110)/(1-tech_proj!AK479))</f>
        <v>0</v>
      </c>
      <c r="AL1539" s="119">
        <f>IF(tech_base!$T75&gt;AL$1465,"",(tech_base!$J75/tech_proj!AL199*0.086*$N$110)/(1-tech_proj!AL479))</f>
        <v>0</v>
      </c>
      <c r="AM1539" s="119">
        <f>IF(tech_base!$T75&gt;AM$1465,"",(tech_base!$J75/tech_proj!AM199*0.086*$N$110)/(1-tech_proj!AM479))</f>
        <v>0</v>
      </c>
      <c r="AN1539" s="119">
        <f>IF(tech_base!$T75&gt;AN$1465,"",(tech_base!$J75/tech_proj!AN199*0.086*$N$110)/(1-tech_proj!AN479))</f>
        <v>0</v>
      </c>
      <c r="AO1539" s="119">
        <f>IF(tech_base!$T75&gt;AO$1465,"",(tech_base!$J75/tech_proj!AO199*0.086*$N$110)/(1-tech_proj!AO479))</f>
        <v>0</v>
      </c>
      <c r="AP1539" s="119">
        <f>IF(tech_base!$T75&gt;AP$1465,"",(tech_base!$J75/tech_proj!AP199*0.086*$N$110)/(1-tech_proj!AP479))</f>
        <v>0</v>
      </c>
      <c r="AQ1539" s="119">
        <f>IF(tech_base!$T75&gt;AQ$1465,"",(tech_base!$J75/tech_proj!AQ199*0.086*$N$110)/(1-tech_proj!AQ479))</f>
        <v>0</v>
      </c>
      <c r="AR1539" s="119">
        <f>IF(tech_base!$T75&gt;AR$1465,"",(tech_base!$J75/tech_proj!AR199*0.086*$N$110)/(1-tech_proj!AR479))</f>
        <v>0</v>
      </c>
      <c r="AS1539" s="119">
        <f>IF(tech_base!$T75&gt;AS$1465,"",(tech_base!$J75/tech_proj!AS199*0.086*$N$110)/(1-tech_proj!AS479))</f>
        <v>0</v>
      </c>
      <c r="AT1539" s="119">
        <f>IF(tech_base!$T75&gt;AT$1465,"",(tech_base!$J75/tech_proj!AT199*0.086*$N$110)/(1-tech_proj!AT479))</f>
        <v>0</v>
      </c>
      <c r="AU1539" s="119">
        <f>IF(tech_base!$T75&gt;AU$1465,"",(tech_base!$J75/tech_proj!AU199*0.086*$N$110)/(1-tech_proj!AU479))</f>
        <v>0</v>
      </c>
      <c r="AV1539" s="119">
        <f>IF(tech_base!$T75&gt;AV$1465,"",(tech_base!$J75/tech_proj!AV199*0.086*$N$110)/(1-tech_proj!AV479))</f>
        <v>0</v>
      </c>
      <c r="AW1539" s="119">
        <f>IF(tech_base!$T75&gt;AW$1465,"",(tech_base!$J75/tech_proj!AW199*0.086*$N$110)/(1-tech_proj!AW479))</f>
        <v>0</v>
      </c>
      <c r="AX1539" s="120">
        <f>IF(tech_base!$T75&gt;AX$1465,"",(tech_base!$J75/tech_proj!AX199*0.086*$N$110)/(1-tech_proj!AX479))</f>
        <v>0</v>
      </c>
    </row>
    <row r="1540" spans="1:50" x14ac:dyDescent="0.25">
      <c r="A1540" s="356"/>
      <c r="B1540" s="376"/>
      <c r="C1540" s="379"/>
      <c r="D1540" s="2" t="s">
        <v>20</v>
      </c>
      <c r="E1540" s="160" t="str">
        <f>A1511&amp;"/"&amp;B1537&amp;"/"&amp;C1537&amp;"/"&amp;D1540</f>
        <v>Lignite fired power plants/Steam turbine/Electricity only/XS</v>
      </c>
      <c r="F1540" s="76" t="str">
        <f>A1511</f>
        <v>Lignite fired power plants</v>
      </c>
      <c r="G1540" s="76" t="str">
        <f>B1537</f>
        <v>Steam turbine</v>
      </c>
      <c r="H1540" s="76" t="str">
        <f>C1537</f>
        <v>Electricity only</v>
      </c>
      <c r="I1540" s="161" t="str">
        <f t="shared" si="378"/>
        <v>XS</v>
      </c>
      <c r="J1540" s="119">
        <f>IF(tech_base!$T76&gt;J$1465,"",(tech_base!$J76/tech_proj!J200*0.086*$N$110)/(1-tech_proj!J480))</f>
        <v>0</v>
      </c>
      <c r="K1540" s="119">
        <f>IF(tech_base!$T76&gt;K$1465,"",(tech_base!$J76/tech_proj!K200*0.086*$N$110)/(1-tech_proj!K480))</f>
        <v>0</v>
      </c>
      <c r="L1540" s="119">
        <f>IF(tech_base!$T76&gt;L$1465,"",(tech_base!$J76/tech_proj!L200*0.086*$N$110)/(1-tech_proj!L480))</f>
        <v>0</v>
      </c>
      <c r="M1540" s="119">
        <f>IF(tech_base!$T76&gt;M$1465,"",(tech_base!$J76/tech_proj!M200*0.086*$N$110)/(1-tech_proj!M480))</f>
        <v>0</v>
      </c>
      <c r="N1540" s="119">
        <f>IF(tech_base!$T76&gt;N$1465,"",(tech_base!$J76/tech_proj!N200*0.086*$N$110)/(1-tech_proj!N480))</f>
        <v>0</v>
      </c>
      <c r="O1540" s="119">
        <f>IF(tech_base!$T76&gt;O$1465,"",(tech_base!$J76/tech_proj!O200*0.086*$N$110)/(1-tech_proj!O480))</f>
        <v>0</v>
      </c>
      <c r="P1540" s="119">
        <f>IF(tech_base!$T76&gt;P$1465,"",(tech_base!$J76/tech_proj!P200*0.086*$N$110)/(1-tech_proj!P480))</f>
        <v>0</v>
      </c>
      <c r="Q1540" s="119">
        <f>IF(tech_base!$T76&gt;Q$1465,"",(tech_base!$J76/tech_proj!Q200*0.086*$N$110)/(1-tech_proj!Q480))</f>
        <v>0</v>
      </c>
      <c r="R1540" s="119">
        <f>IF(tech_base!$T76&gt;R$1465,"",(tech_base!$J76/tech_proj!R200*0.086*$N$110)/(1-tech_proj!R480))</f>
        <v>0</v>
      </c>
      <c r="S1540" s="119">
        <f>IF(tech_base!$T76&gt;S$1465,"",(tech_base!$J76/tech_proj!S200*0.086*$N$110)/(1-tech_proj!S480))</f>
        <v>0</v>
      </c>
      <c r="T1540" s="119">
        <f>IF(tech_base!$T76&gt;T$1465,"",(tech_base!$J76/tech_proj!T200*0.086*$N$110)/(1-tech_proj!T480))</f>
        <v>0</v>
      </c>
      <c r="U1540" s="119">
        <f>IF(tech_base!$T76&gt;U$1465,"",(tech_base!$J76/tech_proj!U200*0.086*$N$110)/(1-tech_proj!U480))</f>
        <v>0</v>
      </c>
      <c r="V1540" s="119">
        <f>IF(tech_base!$T76&gt;V$1465,"",(tech_base!$J76/tech_proj!V200*0.086*$N$110)/(1-tech_proj!V480))</f>
        <v>0</v>
      </c>
      <c r="W1540" s="119">
        <f>IF(tech_base!$T76&gt;W$1465,"",(tech_base!$J76/tech_proj!W200*0.086*$N$110)/(1-tech_proj!W480))</f>
        <v>0</v>
      </c>
      <c r="X1540" s="119">
        <f>IF(tech_base!$T76&gt;X$1465,"",(tech_base!$J76/tech_proj!X200*0.086*$N$110)/(1-tech_proj!X480))</f>
        <v>0</v>
      </c>
      <c r="Y1540" s="119">
        <f>IF(tech_base!$T76&gt;Y$1465,"",(tech_base!$J76/tech_proj!Y200*0.086*$N$110)/(1-tech_proj!Y480))</f>
        <v>0</v>
      </c>
      <c r="Z1540" s="119">
        <f>IF(tech_base!$T76&gt;Z$1465,"",(tech_base!$J76/tech_proj!Z200*0.086*$N$110)/(1-tech_proj!Z480))</f>
        <v>0</v>
      </c>
      <c r="AA1540" s="119">
        <f>IF(tech_base!$T76&gt;AA$1465,"",(tech_base!$J76/tech_proj!AA200*0.086*$N$110)/(1-tech_proj!AA480))</f>
        <v>0</v>
      </c>
      <c r="AB1540" s="119">
        <f>IF(tech_base!$T76&gt;AB$1465,"",(tech_base!$J76/tech_proj!AB200*0.086*$N$110)/(1-tech_proj!AB480))</f>
        <v>0</v>
      </c>
      <c r="AC1540" s="119">
        <f>IF(tech_base!$T76&gt;AC$1465,"",(tech_base!$J76/tech_proj!AC200*0.086*$N$110)/(1-tech_proj!AC480))</f>
        <v>0</v>
      </c>
      <c r="AD1540" s="119">
        <f>IF(tech_base!$T76&gt;AD$1465,"",(tech_base!$J76/tech_proj!AD200*0.086*$N$110)/(1-tech_proj!AD480))</f>
        <v>0</v>
      </c>
      <c r="AE1540" s="119">
        <f>IF(tech_base!$T76&gt;AE$1465,"",(tech_base!$J76/tech_proj!AE200*0.086*$N$110)/(1-tech_proj!AE480))</f>
        <v>0</v>
      </c>
      <c r="AF1540" s="119">
        <f>IF(tech_base!$T76&gt;AF$1465,"",(tech_base!$J76/tech_proj!AF200*0.086*$N$110)/(1-tech_proj!AF480))</f>
        <v>0</v>
      </c>
      <c r="AG1540" s="119">
        <f>IF(tech_base!$T76&gt;AG$1465,"",(tech_base!$J76/tech_proj!AG200*0.086*$N$110)/(1-tech_proj!AG480))</f>
        <v>0</v>
      </c>
      <c r="AH1540" s="119">
        <f>IF(tech_base!$T76&gt;AH$1465,"",(tech_base!$J76/tech_proj!AH200*0.086*$N$110)/(1-tech_proj!AH480))</f>
        <v>0</v>
      </c>
      <c r="AI1540" s="119">
        <f>IF(tech_base!$T76&gt;AI$1465,"",(tech_base!$J76/tech_proj!AI200*0.086*$N$110)/(1-tech_proj!AI480))</f>
        <v>0</v>
      </c>
      <c r="AJ1540" s="119">
        <f>IF(tech_base!$T76&gt;AJ$1465,"",(tech_base!$J76/tech_proj!AJ200*0.086*$N$110)/(1-tech_proj!AJ480))</f>
        <v>0</v>
      </c>
      <c r="AK1540" s="119">
        <f>IF(tech_base!$T76&gt;AK$1465,"",(tech_base!$J76/tech_proj!AK200*0.086*$N$110)/(1-tech_proj!AK480))</f>
        <v>0</v>
      </c>
      <c r="AL1540" s="119">
        <f>IF(tech_base!$T76&gt;AL$1465,"",(tech_base!$J76/tech_proj!AL200*0.086*$N$110)/(1-tech_proj!AL480))</f>
        <v>0</v>
      </c>
      <c r="AM1540" s="119">
        <f>IF(tech_base!$T76&gt;AM$1465,"",(tech_base!$J76/tech_proj!AM200*0.086*$N$110)/(1-tech_proj!AM480))</f>
        <v>0</v>
      </c>
      <c r="AN1540" s="119">
        <f>IF(tech_base!$T76&gt;AN$1465,"",(tech_base!$J76/tech_proj!AN200*0.086*$N$110)/(1-tech_proj!AN480))</f>
        <v>0</v>
      </c>
      <c r="AO1540" s="119">
        <f>IF(tech_base!$T76&gt;AO$1465,"",(tech_base!$J76/tech_proj!AO200*0.086*$N$110)/(1-tech_proj!AO480))</f>
        <v>0</v>
      </c>
      <c r="AP1540" s="119">
        <f>IF(tech_base!$T76&gt;AP$1465,"",(tech_base!$J76/tech_proj!AP200*0.086*$N$110)/(1-tech_proj!AP480))</f>
        <v>0</v>
      </c>
      <c r="AQ1540" s="119">
        <f>IF(tech_base!$T76&gt;AQ$1465,"",(tech_base!$J76/tech_proj!AQ200*0.086*$N$110)/(1-tech_proj!AQ480))</f>
        <v>0</v>
      </c>
      <c r="AR1540" s="119">
        <f>IF(tech_base!$T76&gt;AR$1465,"",(tech_base!$J76/tech_proj!AR200*0.086*$N$110)/(1-tech_proj!AR480))</f>
        <v>0</v>
      </c>
      <c r="AS1540" s="119">
        <f>IF(tech_base!$T76&gt;AS$1465,"",(tech_base!$J76/tech_proj!AS200*0.086*$N$110)/(1-tech_proj!AS480))</f>
        <v>0</v>
      </c>
      <c r="AT1540" s="119">
        <f>IF(tech_base!$T76&gt;AT$1465,"",(tech_base!$J76/tech_proj!AT200*0.086*$N$110)/(1-tech_proj!AT480))</f>
        <v>0</v>
      </c>
      <c r="AU1540" s="119">
        <f>IF(tech_base!$T76&gt;AU$1465,"",(tech_base!$J76/tech_proj!AU200*0.086*$N$110)/(1-tech_proj!AU480))</f>
        <v>0</v>
      </c>
      <c r="AV1540" s="119">
        <f>IF(tech_base!$T76&gt;AV$1465,"",(tech_base!$J76/tech_proj!AV200*0.086*$N$110)/(1-tech_proj!AV480))</f>
        <v>0</v>
      </c>
      <c r="AW1540" s="119">
        <f>IF(tech_base!$T76&gt;AW$1465,"",(tech_base!$J76/tech_proj!AW200*0.086*$N$110)/(1-tech_proj!AW480))</f>
        <v>0</v>
      </c>
      <c r="AX1540" s="120">
        <f>IF(tech_base!$T76&gt;AX$1465,"",(tech_base!$J76/tech_proj!AX200*0.086*$N$110)/(1-tech_proj!AX480))</f>
        <v>0</v>
      </c>
    </row>
    <row r="1541" spans="1:50" x14ac:dyDescent="0.25">
      <c r="A1541" s="356"/>
      <c r="B1541" s="376"/>
      <c r="C1541" s="361" t="s">
        <v>14</v>
      </c>
      <c r="D1541" s="58" t="s">
        <v>7</v>
      </c>
      <c r="E1541" s="164" t="str">
        <f>A1511&amp;"/"&amp;B1537&amp;"/"&amp;C1541&amp;"/"&amp;D1541</f>
        <v>Lignite fired power plants/Steam turbine/CHP/L</v>
      </c>
      <c r="F1541" s="78" t="str">
        <f>A1511</f>
        <v>Lignite fired power plants</v>
      </c>
      <c r="G1541" s="78" t="str">
        <f>B1537</f>
        <v>Steam turbine</v>
      </c>
      <c r="H1541" s="78" t="str">
        <f>C1541</f>
        <v>CHP</v>
      </c>
      <c r="I1541" s="165" t="str">
        <f t="shared" si="378"/>
        <v>L</v>
      </c>
      <c r="J1541" s="123">
        <f>IF(tech_base!$T77&gt;J$1465,"",(tech_base!$J77/tech_proj!J201*0.086*$N$110)/(1-tech_proj!J481))</f>
        <v>0</v>
      </c>
      <c r="K1541" s="123">
        <f>IF(tech_base!$T77&gt;K$1465,"",(tech_base!$J77/tech_proj!K201*0.086*$N$110)/(1-tech_proj!K481))</f>
        <v>0</v>
      </c>
      <c r="L1541" s="123">
        <f>IF(tech_base!$T77&gt;L$1465,"",(tech_base!$J77/tech_proj!L201*0.086*$N$110)/(1-tech_proj!L481))</f>
        <v>0</v>
      </c>
      <c r="M1541" s="123">
        <f>IF(tech_base!$T77&gt;M$1465,"",(tech_base!$J77/tech_proj!M201*0.086*$N$110)/(1-tech_proj!M481))</f>
        <v>0</v>
      </c>
      <c r="N1541" s="123">
        <f>IF(tech_base!$T77&gt;N$1465,"",(tech_base!$J77/tech_proj!N201*0.086*$N$110)/(1-tech_proj!N481))</f>
        <v>0</v>
      </c>
      <c r="O1541" s="123">
        <f>IF(tech_base!$T77&gt;O$1465,"",(tech_base!$J77/tech_proj!O201*0.086*$N$110)/(1-tech_proj!O481))</f>
        <v>0</v>
      </c>
      <c r="P1541" s="123">
        <f>IF(tech_base!$T77&gt;P$1465,"",(tech_base!$J77/tech_proj!P201*0.086*$N$110)/(1-tech_proj!P481))</f>
        <v>0</v>
      </c>
      <c r="Q1541" s="123">
        <f>IF(tech_base!$T77&gt;Q$1465,"",(tech_base!$J77/tech_proj!Q201*0.086*$N$110)/(1-tech_proj!Q481))</f>
        <v>0</v>
      </c>
      <c r="R1541" s="123">
        <f>IF(tech_base!$T77&gt;R$1465,"",(tech_base!$J77/tech_proj!R201*0.086*$N$110)/(1-tech_proj!R481))</f>
        <v>0</v>
      </c>
      <c r="S1541" s="123">
        <f>IF(tech_base!$T77&gt;S$1465,"",(tech_base!$J77/tech_proj!S201*0.086*$N$110)/(1-tech_proj!S481))</f>
        <v>0</v>
      </c>
      <c r="T1541" s="123">
        <f>IF(tech_base!$T77&gt;T$1465,"",(tech_base!$J77/tech_proj!T201*0.086*$N$110)/(1-tech_proj!T481))</f>
        <v>0</v>
      </c>
      <c r="U1541" s="123">
        <f>IF(tech_base!$T77&gt;U$1465,"",(tech_base!$J77/tech_proj!U201*0.086*$N$110)/(1-tech_proj!U481))</f>
        <v>0</v>
      </c>
      <c r="V1541" s="123">
        <f>IF(tech_base!$T77&gt;V$1465,"",(tech_base!$J77/tech_proj!V201*0.086*$N$110)/(1-tech_proj!V481))</f>
        <v>0</v>
      </c>
      <c r="W1541" s="123">
        <f>IF(tech_base!$T77&gt;W$1465,"",(tech_base!$J77/tech_proj!W201*0.086*$N$110)/(1-tech_proj!W481))</f>
        <v>0</v>
      </c>
      <c r="X1541" s="123">
        <f>IF(tech_base!$T77&gt;X$1465,"",(tech_base!$J77/tech_proj!X201*0.086*$N$110)/(1-tech_proj!X481))</f>
        <v>0</v>
      </c>
      <c r="Y1541" s="123">
        <f>IF(tech_base!$T77&gt;Y$1465,"",(tech_base!$J77/tech_proj!Y201*0.086*$N$110)/(1-tech_proj!Y481))</f>
        <v>0</v>
      </c>
      <c r="Z1541" s="123">
        <f>IF(tech_base!$T77&gt;Z$1465,"",(tech_base!$J77/tech_proj!Z201*0.086*$N$110)/(1-tech_proj!Z481))</f>
        <v>0</v>
      </c>
      <c r="AA1541" s="123">
        <f>IF(tech_base!$T77&gt;AA$1465,"",(tech_base!$J77/tech_proj!AA201*0.086*$N$110)/(1-tech_proj!AA481))</f>
        <v>0</v>
      </c>
      <c r="AB1541" s="123">
        <f>IF(tech_base!$T77&gt;AB$1465,"",(tech_base!$J77/tech_proj!AB201*0.086*$N$110)/(1-tech_proj!AB481))</f>
        <v>0</v>
      </c>
      <c r="AC1541" s="123">
        <f>IF(tech_base!$T77&gt;AC$1465,"",(tech_base!$J77/tech_proj!AC201*0.086*$N$110)/(1-tech_proj!AC481))</f>
        <v>0</v>
      </c>
      <c r="AD1541" s="123">
        <f>IF(tech_base!$T77&gt;AD$1465,"",(tech_base!$J77/tech_proj!AD201*0.086*$N$110)/(1-tech_proj!AD481))</f>
        <v>0</v>
      </c>
      <c r="AE1541" s="123">
        <f>IF(tech_base!$T77&gt;AE$1465,"",(tech_base!$J77/tech_proj!AE201*0.086*$N$110)/(1-tech_proj!AE481))</f>
        <v>0</v>
      </c>
      <c r="AF1541" s="123">
        <f>IF(tech_base!$T77&gt;AF$1465,"",(tech_base!$J77/tech_proj!AF201*0.086*$N$110)/(1-tech_proj!AF481))</f>
        <v>0</v>
      </c>
      <c r="AG1541" s="123">
        <f>IF(tech_base!$T77&gt;AG$1465,"",(tech_base!$J77/tech_proj!AG201*0.086*$N$110)/(1-tech_proj!AG481))</f>
        <v>0</v>
      </c>
      <c r="AH1541" s="123">
        <f>IF(tech_base!$T77&gt;AH$1465,"",(tech_base!$J77/tech_proj!AH201*0.086*$N$110)/(1-tech_proj!AH481))</f>
        <v>0</v>
      </c>
      <c r="AI1541" s="123">
        <f>IF(tech_base!$T77&gt;AI$1465,"",(tech_base!$J77/tech_proj!AI201*0.086*$N$110)/(1-tech_proj!AI481))</f>
        <v>0</v>
      </c>
      <c r="AJ1541" s="123">
        <f>IF(tech_base!$T77&gt;AJ$1465,"",(tech_base!$J77/tech_proj!AJ201*0.086*$N$110)/(1-tech_proj!AJ481))</f>
        <v>0</v>
      </c>
      <c r="AK1541" s="123">
        <f>IF(tech_base!$T77&gt;AK$1465,"",(tech_base!$J77/tech_proj!AK201*0.086*$N$110)/(1-tech_proj!AK481))</f>
        <v>0</v>
      </c>
      <c r="AL1541" s="123">
        <f>IF(tech_base!$T77&gt;AL$1465,"",(tech_base!$J77/tech_proj!AL201*0.086*$N$110)/(1-tech_proj!AL481))</f>
        <v>0</v>
      </c>
      <c r="AM1541" s="123">
        <f>IF(tech_base!$T77&gt;AM$1465,"",(tech_base!$J77/tech_proj!AM201*0.086*$N$110)/(1-tech_proj!AM481))</f>
        <v>0</v>
      </c>
      <c r="AN1541" s="123">
        <f>IF(tech_base!$T77&gt;AN$1465,"",(tech_base!$J77/tech_proj!AN201*0.086*$N$110)/(1-tech_proj!AN481))</f>
        <v>0</v>
      </c>
      <c r="AO1541" s="123">
        <f>IF(tech_base!$T77&gt;AO$1465,"",(tech_base!$J77/tech_proj!AO201*0.086*$N$110)/(1-tech_proj!AO481))</f>
        <v>0</v>
      </c>
      <c r="AP1541" s="123">
        <f>IF(tech_base!$T77&gt;AP$1465,"",(tech_base!$J77/tech_proj!AP201*0.086*$N$110)/(1-tech_proj!AP481))</f>
        <v>0</v>
      </c>
      <c r="AQ1541" s="123">
        <f>IF(tech_base!$T77&gt;AQ$1465,"",(tech_base!$J77/tech_proj!AQ201*0.086*$N$110)/(1-tech_proj!AQ481))</f>
        <v>0</v>
      </c>
      <c r="AR1541" s="123">
        <f>IF(tech_base!$T77&gt;AR$1465,"",(tech_base!$J77/tech_proj!AR201*0.086*$N$110)/(1-tech_proj!AR481))</f>
        <v>0</v>
      </c>
      <c r="AS1541" s="123">
        <f>IF(tech_base!$T77&gt;AS$1465,"",(tech_base!$J77/tech_proj!AS201*0.086*$N$110)/(1-tech_proj!AS481))</f>
        <v>0</v>
      </c>
      <c r="AT1541" s="123">
        <f>IF(tech_base!$T77&gt;AT$1465,"",(tech_base!$J77/tech_proj!AT201*0.086*$N$110)/(1-tech_proj!AT481))</f>
        <v>0</v>
      </c>
      <c r="AU1541" s="123">
        <f>IF(tech_base!$T77&gt;AU$1465,"",(tech_base!$J77/tech_proj!AU201*0.086*$N$110)/(1-tech_proj!AU481))</f>
        <v>0</v>
      </c>
      <c r="AV1541" s="123">
        <f>IF(tech_base!$T77&gt;AV$1465,"",(tech_base!$J77/tech_proj!AV201*0.086*$N$110)/(1-tech_proj!AV481))</f>
        <v>0</v>
      </c>
      <c r="AW1541" s="123">
        <f>IF(tech_base!$T77&gt;AW$1465,"",(tech_base!$J77/tech_proj!AW201*0.086*$N$110)/(1-tech_proj!AW481))</f>
        <v>0</v>
      </c>
      <c r="AX1541" s="124">
        <f>IF(tech_base!$T77&gt;AX$1465,"",(tech_base!$J77/tech_proj!AX201*0.086*$N$110)/(1-tech_proj!AX481))</f>
        <v>0</v>
      </c>
    </row>
    <row r="1542" spans="1:50" x14ac:dyDescent="0.25">
      <c r="A1542" s="356"/>
      <c r="B1542" s="376"/>
      <c r="C1542" s="378"/>
      <c r="D1542" s="2" t="s">
        <v>8</v>
      </c>
      <c r="E1542" s="160" t="str">
        <f>A1511&amp;"/"&amp;B1537&amp;"/"&amp;C1541&amp;"/"&amp;D1542</f>
        <v>Lignite fired power plants/Steam turbine/CHP/M</v>
      </c>
      <c r="F1542" s="76" t="str">
        <f>A1511</f>
        <v>Lignite fired power plants</v>
      </c>
      <c r="G1542" s="76" t="str">
        <f>B1537</f>
        <v>Steam turbine</v>
      </c>
      <c r="H1542" s="76" t="str">
        <f>C1541</f>
        <v>CHP</v>
      </c>
      <c r="I1542" s="161" t="str">
        <f t="shared" si="378"/>
        <v>M</v>
      </c>
      <c r="J1542" s="119">
        <f>IF(tech_base!$T78&gt;J$1465,"",(tech_base!$J78/tech_proj!J202*0.086*$N$110)/(1-tech_proj!J482))</f>
        <v>0</v>
      </c>
      <c r="K1542" s="119">
        <f>IF(tech_base!$T78&gt;K$1465,"",(tech_base!$J78/tech_proj!K202*0.086*$N$110)/(1-tech_proj!K482))</f>
        <v>0</v>
      </c>
      <c r="L1542" s="119">
        <f>IF(tech_base!$T78&gt;L$1465,"",(tech_base!$J78/tech_proj!L202*0.086*$N$110)/(1-tech_proj!L482))</f>
        <v>0</v>
      </c>
      <c r="M1542" s="119">
        <f>IF(tech_base!$T78&gt;M$1465,"",(tech_base!$J78/tech_proj!M202*0.086*$N$110)/(1-tech_proj!M482))</f>
        <v>0</v>
      </c>
      <c r="N1542" s="119">
        <f>IF(tech_base!$T78&gt;N$1465,"",(tech_base!$J78/tech_proj!N202*0.086*$N$110)/(1-tech_proj!N482))</f>
        <v>0</v>
      </c>
      <c r="O1542" s="119">
        <f>IF(tech_base!$T78&gt;O$1465,"",(tech_base!$J78/tech_proj!O202*0.086*$N$110)/(1-tech_proj!O482))</f>
        <v>0</v>
      </c>
      <c r="P1542" s="119">
        <f>IF(tech_base!$T78&gt;P$1465,"",(tech_base!$J78/tech_proj!P202*0.086*$N$110)/(1-tech_proj!P482))</f>
        <v>0</v>
      </c>
      <c r="Q1542" s="119">
        <f>IF(tech_base!$T78&gt;Q$1465,"",(tech_base!$J78/tech_proj!Q202*0.086*$N$110)/(1-tech_proj!Q482))</f>
        <v>0</v>
      </c>
      <c r="R1542" s="119">
        <f>IF(tech_base!$T78&gt;R$1465,"",(tech_base!$J78/tech_proj!R202*0.086*$N$110)/(1-tech_proj!R482))</f>
        <v>0</v>
      </c>
      <c r="S1542" s="119">
        <f>IF(tech_base!$T78&gt;S$1465,"",(tech_base!$J78/tech_proj!S202*0.086*$N$110)/(1-tech_proj!S482))</f>
        <v>0</v>
      </c>
      <c r="T1542" s="119">
        <f>IF(tech_base!$T78&gt;T$1465,"",(tech_base!$J78/tech_proj!T202*0.086*$N$110)/(1-tech_proj!T482))</f>
        <v>0</v>
      </c>
      <c r="U1542" s="119">
        <f>IF(tech_base!$T78&gt;U$1465,"",(tech_base!$J78/tech_proj!U202*0.086*$N$110)/(1-tech_proj!U482))</f>
        <v>0</v>
      </c>
      <c r="V1542" s="119">
        <f>IF(tech_base!$T78&gt;V$1465,"",(tech_base!$J78/tech_proj!V202*0.086*$N$110)/(1-tech_proj!V482))</f>
        <v>0</v>
      </c>
      <c r="W1542" s="119">
        <f>IF(tech_base!$T78&gt;W$1465,"",(tech_base!$J78/tech_proj!W202*0.086*$N$110)/(1-tech_proj!W482))</f>
        <v>0</v>
      </c>
      <c r="X1542" s="119">
        <f>IF(tech_base!$T78&gt;X$1465,"",(tech_base!$J78/tech_proj!X202*0.086*$N$110)/(1-tech_proj!X482))</f>
        <v>0</v>
      </c>
      <c r="Y1542" s="119">
        <f>IF(tech_base!$T78&gt;Y$1465,"",(tech_base!$J78/tech_proj!Y202*0.086*$N$110)/(1-tech_proj!Y482))</f>
        <v>0</v>
      </c>
      <c r="Z1542" s="119">
        <f>IF(tech_base!$T78&gt;Z$1465,"",(tech_base!$J78/tech_proj!Z202*0.086*$N$110)/(1-tech_proj!Z482))</f>
        <v>0</v>
      </c>
      <c r="AA1542" s="119">
        <f>IF(tech_base!$T78&gt;AA$1465,"",(tech_base!$J78/tech_proj!AA202*0.086*$N$110)/(1-tech_proj!AA482))</f>
        <v>0</v>
      </c>
      <c r="AB1542" s="119">
        <f>IF(tech_base!$T78&gt;AB$1465,"",(tech_base!$J78/tech_proj!AB202*0.086*$N$110)/(1-tech_proj!AB482))</f>
        <v>0</v>
      </c>
      <c r="AC1542" s="119">
        <f>IF(tech_base!$T78&gt;AC$1465,"",(tech_base!$J78/tech_proj!AC202*0.086*$N$110)/(1-tech_proj!AC482))</f>
        <v>0</v>
      </c>
      <c r="AD1542" s="119">
        <f>IF(tech_base!$T78&gt;AD$1465,"",(tech_base!$J78/tech_proj!AD202*0.086*$N$110)/(1-tech_proj!AD482))</f>
        <v>0</v>
      </c>
      <c r="AE1542" s="119">
        <f>IF(tech_base!$T78&gt;AE$1465,"",(tech_base!$J78/tech_proj!AE202*0.086*$N$110)/(1-tech_proj!AE482))</f>
        <v>0</v>
      </c>
      <c r="AF1542" s="119">
        <f>IF(tech_base!$T78&gt;AF$1465,"",(tech_base!$J78/tech_proj!AF202*0.086*$N$110)/(1-tech_proj!AF482))</f>
        <v>0</v>
      </c>
      <c r="AG1542" s="119">
        <f>IF(tech_base!$T78&gt;AG$1465,"",(tech_base!$J78/tech_proj!AG202*0.086*$N$110)/(1-tech_proj!AG482))</f>
        <v>0</v>
      </c>
      <c r="AH1542" s="119">
        <f>IF(tech_base!$T78&gt;AH$1465,"",(tech_base!$J78/tech_proj!AH202*0.086*$N$110)/(1-tech_proj!AH482))</f>
        <v>0</v>
      </c>
      <c r="AI1542" s="119">
        <f>IF(tech_base!$T78&gt;AI$1465,"",(tech_base!$J78/tech_proj!AI202*0.086*$N$110)/(1-tech_proj!AI482))</f>
        <v>0</v>
      </c>
      <c r="AJ1542" s="119">
        <f>IF(tech_base!$T78&gt;AJ$1465,"",(tech_base!$J78/tech_proj!AJ202*0.086*$N$110)/(1-tech_proj!AJ482))</f>
        <v>0</v>
      </c>
      <c r="AK1542" s="119">
        <f>IF(tech_base!$T78&gt;AK$1465,"",(tech_base!$J78/tech_proj!AK202*0.086*$N$110)/(1-tech_proj!AK482))</f>
        <v>0</v>
      </c>
      <c r="AL1542" s="119">
        <f>IF(tech_base!$T78&gt;AL$1465,"",(tech_base!$J78/tech_proj!AL202*0.086*$N$110)/(1-tech_proj!AL482))</f>
        <v>0</v>
      </c>
      <c r="AM1542" s="119">
        <f>IF(tech_base!$T78&gt;AM$1465,"",(tech_base!$J78/tech_proj!AM202*0.086*$N$110)/(1-tech_proj!AM482))</f>
        <v>0</v>
      </c>
      <c r="AN1542" s="119">
        <f>IF(tech_base!$T78&gt;AN$1465,"",(tech_base!$J78/tech_proj!AN202*0.086*$N$110)/(1-tech_proj!AN482))</f>
        <v>0</v>
      </c>
      <c r="AO1542" s="119">
        <f>IF(tech_base!$T78&gt;AO$1465,"",(tech_base!$J78/tech_proj!AO202*0.086*$N$110)/(1-tech_proj!AO482))</f>
        <v>0</v>
      </c>
      <c r="AP1542" s="119">
        <f>IF(tech_base!$T78&gt;AP$1465,"",(tech_base!$J78/tech_proj!AP202*0.086*$N$110)/(1-tech_proj!AP482))</f>
        <v>0</v>
      </c>
      <c r="AQ1542" s="119">
        <f>IF(tech_base!$T78&gt;AQ$1465,"",(tech_base!$J78/tech_proj!AQ202*0.086*$N$110)/(1-tech_proj!AQ482))</f>
        <v>0</v>
      </c>
      <c r="AR1542" s="119">
        <f>IF(tech_base!$T78&gt;AR$1465,"",(tech_base!$J78/tech_proj!AR202*0.086*$N$110)/(1-tech_proj!AR482))</f>
        <v>0</v>
      </c>
      <c r="AS1542" s="119">
        <f>IF(tech_base!$T78&gt;AS$1465,"",(tech_base!$J78/tech_proj!AS202*0.086*$N$110)/(1-tech_proj!AS482))</f>
        <v>0</v>
      </c>
      <c r="AT1542" s="119">
        <f>IF(tech_base!$T78&gt;AT$1465,"",(tech_base!$J78/tech_proj!AT202*0.086*$N$110)/(1-tech_proj!AT482))</f>
        <v>0</v>
      </c>
      <c r="AU1542" s="119">
        <f>IF(tech_base!$T78&gt;AU$1465,"",(tech_base!$J78/tech_proj!AU202*0.086*$N$110)/(1-tech_proj!AU482))</f>
        <v>0</v>
      </c>
      <c r="AV1542" s="119">
        <f>IF(tech_base!$T78&gt;AV$1465,"",(tech_base!$J78/tech_proj!AV202*0.086*$N$110)/(1-tech_proj!AV482))</f>
        <v>0</v>
      </c>
      <c r="AW1542" s="119">
        <f>IF(tech_base!$T78&gt;AW$1465,"",(tech_base!$J78/tech_proj!AW202*0.086*$N$110)/(1-tech_proj!AW482))</f>
        <v>0</v>
      </c>
      <c r="AX1542" s="120">
        <f>IF(tech_base!$T78&gt;AX$1465,"",(tech_base!$J78/tech_proj!AX202*0.086*$N$110)/(1-tech_proj!AX482))</f>
        <v>0</v>
      </c>
    </row>
    <row r="1543" spans="1:50" x14ac:dyDescent="0.25">
      <c r="A1543" s="356"/>
      <c r="B1543" s="376"/>
      <c r="C1543" s="378"/>
      <c r="D1543" s="2" t="s">
        <v>10</v>
      </c>
      <c r="E1543" s="160" t="str">
        <f>A1511&amp;"/"&amp;B1537&amp;"/"&amp;C1541&amp;"/"&amp;D1543</f>
        <v>Lignite fired power plants/Steam turbine/CHP/S</v>
      </c>
      <c r="F1543" s="76" t="str">
        <f>A1511</f>
        <v>Lignite fired power plants</v>
      </c>
      <c r="G1543" s="76" t="str">
        <f>B1537</f>
        <v>Steam turbine</v>
      </c>
      <c r="H1543" s="76" t="str">
        <f>C1541</f>
        <v>CHP</v>
      </c>
      <c r="I1543" s="161" t="str">
        <f t="shared" si="378"/>
        <v>S</v>
      </c>
      <c r="J1543" s="119">
        <f>IF(tech_base!$T79&gt;J$1465,"",(tech_base!$J79/tech_proj!J203*0.086*$N$110)/(1-tech_proj!J483))</f>
        <v>0</v>
      </c>
      <c r="K1543" s="119">
        <f>IF(tech_base!$T79&gt;K$1465,"",(tech_base!$J79/tech_proj!K203*0.086*$N$110)/(1-tech_proj!K483))</f>
        <v>0</v>
      </c>
      <c r="L1543" s="119">
        <f>IF(tech_base!$T79&gt;L$1465,"",(tech_base!$J79/tech_proj!L203*0.086*$N$110)/(1-tech_proj!L483))</f>
        <v>0</v>
      </c>
      <c r="M1543" s="119">
        <f>IF(tech_base!$T79&gt;M$1465,"",(tech_base!$J79/tech_proj!M203*0.086*$N$110)/(1-tech_proj!M483))</f>
        <v>0</v>
      </c>
      <c r="N1543" s="119">
        <f>IF(tech_base!$T79&gt;N$1465,"",(tech_base!$J79/tech_proj!N203*0.086*$N$110)/(1-tech_proj!N483))</f>
        <v>0</v>
      </c>
      <c r="O1543" s="119">
        <f>IF(tech_base!$T79&gt;O$1465,"",(tech_base!$J79/tech_proj!O203*0.086*$N$110)/(1-tech_proj!O483))</f>
        <v>0</v>
      </c>
      <c r="P1543" s="119">
        <f>IF(tech_base!$T79&gt;P$1465,"",(tech_base!$J79/tech_proj!P203*0.086*$N$110)/(1-tech_proj!P483))</f>
        <v>0</v>
      </c>
      <c r="Q1543" s="119">
        <f>IF(tech_base!$T79&gt;Q$1465,"",(tech_base!$J79/tech_proj!Q203*0.086*$N$110)/(1-tech_proj!Q483))</f>
        <v>0</v>
      </c>
      <c r="R1543" s="119">
        <f>IF(tech_base!$T79&gt;R$1465,"",(tech_base!$J79/tech_proj!R203*0.086*$N$110)/(1-tech_proj!R483))</f>
        <v>0</v>
      </c>
      <c r="S1543" s="119">
        <f>IF(tech_base!$T79&gt;S$1465,"",(tech_base!$J79/tech_proj!S203*0.086*$N$110)/(1-tech_proj!S483))</f>
        <v>0</v>
      </c>
      <c r="T1543" s="119">
        <f>IF(tech_base!$T79&gt;T$1465,"",(tech_base!$J79/tech_proj!T203*0.086*$N$110)/(1-tech_proj!T483))</f>
        <v>0</v>
      </c>
      <c r="U1543" s="119">
        <f>IF(tech_base!$T79&gt;U$1465,"",(tech_base!$J79/tech_proj!U203*0.086*$N$110)/(1-tech_proj!U483))</f>
        <v>0</v>
      </c>
      <c r="V1543" s="119">
        <f>IF(tech_base!$T79&gt;V$1465,"",(tech_base!$J79/tech_proj!V203*0.086*$N$110)/(1-tech_proj!V483))</f>
        <v>0</v>
      </c>
      <c r="W1543" s="119">
        <f>IF(tech_base!$T79&gt;W$1465,"",(tech_base!$J79/tech_proj!W203*0.086*$N$110)/(1-tech_proj!W483))</f>
        <v>0</v>
      </c>
      <c r="X1543" s="119">
        <f>IF(tech_base!$T79&gt;X$1465,"",(tech_base!$J79/tech_proj!X203*0.086*$N$110)/(1-tech_proj!X483))</f>
        <v>0</v>
      </c>
      <c r="Y1543" s="119">
        <f>IF(tech_base!$T79&gt;Y$1465,"",(tech_base!$J79/tech_proj!Y203*0.086*$N$110)/(1-tech_proj!Y483))</f>
        <v>0</v>
      </c>
      <c r="Z1543" s="119">
        <f>IF(tech_base!$T79&gt;Z$1465,"",(tech_base!$J79/tech_proj!Z203*0.086*$N$110)/(1-tech_proj!Z483))</f>
        <v>0</v>
      </c>
      <c r="AA1543" s="119">
        <f>IF(tech_base!$T79&gt;AA$1465,"",(tech_base!$J79/tech_proj!AA203*0.086*$N$110)/(1-tech_proj!AA483))</f>
        <v>0</v>
      </c>
      <c r="AB1543" s="119">
        <f>IF(tech_base!$T79&gt;AB$1465,"",(tech_base!$J79/tech_proj!AB203*0.086*$N$110)/(1-tech_proj!AB483))</f>
        <v>0</v>
      </c>
      <c r="AC1543" s="119">
        <f>IF(tech_base!$T79&gt;AC$1465,"",(tech_base!$J79/tech_proj!AC203*0.086*$N$110)/(1-tech_proj!AC483))</f>
        <v>0</v>
      </c>
      <c r="AD1543" s="119">
        <f>IF(tech_base!$T79&gt;AD$1465,"",(tech_base!$J79/tech_proj!AD203*0.086*$N$110)/(1-tech_proj!AD483))</f>
        <v>0</v>
      </c>
      <c r="AE1543" s="119">
        <f>IF(tech_base!$T79&gt;AE$1465,"",(tech_base!$J79/tech_proj!AE203*0.086*$N$110)/(1-tech_proj!AE483))</f>
        <v>0</v>
      </c>
      <c r="AF1543" s="119">
        <f>IF(tech_base!$T79&gt;AF$1465,"",(tech_base!$J79/tech_proj!AF203*0.086*$N$110)/(1-tech_proj!AF483))</f>
        <v>0</v>
      </c>
      <c r="AG1543" s="119">
        <f>IF(tech_base!$T79&gt;AG$1465,"",(tech_base!$J79/tech_proj!AG203*0.086*$N$110)/(1-tech_proj!AG483))</f>
        <v>0</v>
      </c>
      <c r="AH1543" s="119">
        <f>IF(tech_base!$T79&gt;AH$1465,"",(tech_base!$J79/tech_proj!AH203*0.086*$N$110)/(1-tech_proj!AH483))</f>
        <v>0</v>
      </c>
      <c r="AI1543" s="119">
        <f>IF(tech_base!$T79&gt;AI$1465,"",(tech_base!$J79/tech_proj!AI203*0.086*$N$110)/(1-tech_proj!AI483))</f>
        <v>0</v>
      </c>
      <c r="AJ1543" s="119">
        <f>IF(tech_base!$T79&gt;AJ$1465,"",(tech_base!$J79/tech_proj!AJ203*0.086*$N$110)/(1-tech_proj!AJ483))</f>
        <v>0</v>
      </c>
      <c r="AK1543" s="119">
        <f>IF(tech_base!$T79&gt;AK$1465,"",(tech_base!$J79/tech_proj!AK203*0.086*$N$110)/(1-tech_proj!AK483))</f>
        <v>0</v>
      </c>
      <c r="AL1543" s="119">
        <f>IF(tech_base!$T79&gt;AL$1465,"",(tech_base!$J79/tech_proj!AL203*0.086*$N$110)/(1-tech_proj!AL483))</f>
        <v>0</v>
      </c>
      <c r="AM1543" s="119">
        <f>IF(tech_base!$T79&gt;AM$1465,"",(tech_base!$J79/tech_proj!AM203*0.086*$N$110)/(1-tech_proj!AM483))</f>
        <v>0</v>
      </c>
      <c r="AN1543" s="119">
        <f>IF(tech_base!$T79&gt;AN$1465,"",(tech_base!$J79/tech_proj!AN203*0.086*$N$110)/(1-tech_proj!AN483))</f>
        <v>0</v>
      </c>
      <c r="AO1543" s="119">
        <f>IF(tech_base!$T79&gt;AO$1465,"",(tech_base!$J79/tech_proj!AO203*0.086*$N$110)/(1-tech_proj!AO483))</f>
        <v>0</v>
      </c>
      <c r="AP1543" s="119">
        <f>IF(tech_base!$T79&gt;AP$1465,"",(tech_base!$J79/tech_proj!AP203*0.086*$N$110)/(1-tech_proj!AP483))</f>
        <v>0</v>
      </c>
      <c r="AQ1543" s="119">
        <f>IF(tech_base!$T79&gt;AQ$1465,"",(tech_base!$J79/tech_proj!AQ203*0.086*$N$110)/(1-tech_proj!AQ483))</f>
        <v>0</v>
      </c>
      <c r="AR1543" s="119">
        <f>IF(tech_base!$T79&gt;AR$1465,"",(tech_base!$J79/tech_proj!AR203*0.086*$N$110)/(1-tech_proj!AR483))</f>
        <v>0</v>
      </c>
      <c r="AS1543" s="119">
        <f>IF(tech_base!$T79&gt;AS$1465,"",(tech_base!$J79/tech_proj!AS203*0.086*$N$110)/(1-tech_proj!AS483))</f>
        <v>0</v>
      </c>
      <c r="AT1543" s="119">
        <f>IF(tech_base!$T79&gt;AT$1465,"",(tech_base!$J79/tech_proj!AT203*0.086*$N$110)/(1-tech_proj!AT483))</f>
        <v>0</v>
      </c>
      <c r="AU1543" s="119">
        <f>IF(tech_base!$T79&gt;AU$1465,"",(tech_base!$J79/tech_proj!AU203*0.086*$N$110)/(1-tech_proj!AU483))</f>
        <v>0</v>
      </c>
      <c r="AV1543" s="119">
        <f>IF(tech_base!$T79&gt;AV$1465,"",(tech_base!$J79/tech_proj!AV203*0.086*$N$110)/(1-tech_proj!AV483))</f>
        <v>0</v>
      </c>
      <c r="AW1543" s="119">
        <f>IF(tech_base!$T79&gt;AW$1465,"",(tech_base!$J79/tech_proj!AW203*0.086*$N$110)/(1-tech_proj!AW483))</f>
        <v>0</v>
      </c>
      <c r="AX1543" s="120">
        <f>IF(tech_base!$T79&gt;AX$1465,"",(tech_base!$J79/tech_proj!AX203*0.086*$N$110)/(1-tech_proj!AX483))</f>
        <v>0</v>
      </c>
    </row>
    <row r="1544" spans="1:50" x14ac:dyDescent="0.25">
      <c r="A1544" s="356"/>
      <c r="B1544" s="376"/>
      <c r="C1544" s="379"/>
      <c r="D1544" s="59" t="s">
        <v>20</v>
      </c>
      <c r="E1544" s="166" t="str">
        <f>A1511&amp;"/"&amp;B1537&amp;"/"&amp;C1541&amp;"/"&amp;D1544</f>
        <v>Lignite fired power plants/Steam turbine/CHP/XS</v>
      </c>
      <c r="F1544" s="79" t="str">
        <f>A1511</f>
        <v>Lignite fired power plants</v>
      </c>
      <c r="G1544" s="79" t="str">
        <f>B1537</f>
        <v>Steam turbine</v>
      </c>
      <c r="H1544" s="79" t="str">
        <f>C1541</f>
        <v>CHP</v>
      </c>
      <c r="I1544" s="167" t="str">
        <f t="shared" si="378"/>
        <v>XS</v>
      </c>
      <c r="J1544" s="125">
        <f>IF(tech_base!$T80&gt;J$1465,"",(tech_base!$J80/tech_proj!J204*0.086*$N$110)/(1-tech_proj!J484))</f>
        <v>0</v>
      </c>
      <c r="K1544" s="125">
        <f>IF(tech_base!$T80&gt;K$1465,"",(tech_base!$J80/tech_proj!K204*0.086*$N$110)/(1-tech_proj!K484))</f>
        <v>0</v>
      </c>
      <c r="L1544" s="125">
        <f>IF(tech_base!$T80&gt;L$1465,"",(tech_base!$J80/tech_proj!L204*0.086*$N$110)/(1-tech_proj!L484))</f>
        <v>0</v>
      </c>
      <c r="M1544" s="125">
        <f>IF(tech_base!$T80&gt;M$1465,"",(tech_base!$J80/tech_proj!M204*0.086*$N$110)/(1-tech_proj!M484))</f>
        <v>0</v>
      </c>
      <c r="N1544" s="125">
        <f>IF(tech_base!$T80&gt;N$1465,"",(tech_base!$J80/tech_proj!N204*0.086*$N$110)/(1-tech_proj!N484))</f>
        <v>0</v>
      </c>
      <c r="O1544" s="125">
        <f>IF(tech_base!$T80&gt;O$1465,"",(tech_base!$J80/tech_proj!O204*0.086*$N$110)/(1-tech_proj!O484))</f>
        <v>0</v>
      </c>
      <c r="P1544" s="125">
        <f>IF(tech_base!$T80&gt;P$1465,"",(tech_base!$J80/tech_proj!P204*0.086*$N$110)/(1-tech_proj!P484))</f>
        <v>0</v>
      </c>
      <c r="Q1544" s="125">
        <f>IF(tech_base!$T80&gt;Q$1465,"",(tech_base!$J80/tech_proj!Q204*0.086*$N$110)/(1-tech_proj!Q484))</f>
        <v>0</v>
      </c>
      <c r="R1544" s="125">
        <f>IF(tech_base!$T80&gt;R$1465,"",(tech_base!$J80/tech_proj!R204*0.086*$N$110)/(1-tech_proj!R484))</f>
        <v>0</v>
      </c>
      <c r="S1544" s="125">
        <f>IF(tech_base!$T80&gt;S$1465,"",(tech_base!$J80/tech_proj!S204*0.086*$N$110)/(1-tech_proj!S484))</f>
        <v>0</v>
      </c>
      <c r="T1544" s="125">
        <f>IF(tech_base!$T80&gt;T$1465,"",(tech_base!$J80/tech_proj!T204*0.086*$N$110)/(1-tech_proj!T484))</f>
        <v>0</v>
      </c>
      <c r="U1544" s="125">
        <f>IF(tech_base!$T80&gt;U$1465,"",(tech_base!$J80/tech_proj!U204*0.086*$N$110)/(1-tech_proj!U484))</f>
        <v>0</v>
      </c>
      <c r="V1544" s="125">
        <f>IF(tech_base!$T80&gt;V$1465,"",(tech_base!$J80/tech_proj!V204*0.086*$N$110)/(1-tech_proj!V484))</f>
        <v>0</v>
      </c>
      <c r="W1544" s="125">
        <f>IF(tech_base!$T80&gt;W$1465,"",(tech_base!$J80/tech_proj!W204*0.086*$N$110)/(1-tech_proj!W484))</f>
        <v>0</v>
      </c>
      <c r="X1544" s="125">
        <f>IF(tech_base!$T80&gt;X$1465,"",(tech_base!$J80/tech_proj!X204*0.086*$N$110)/(1-tech_proj!X484))</f>
        <v>0</v>
      </c>
      <c r="Y1544" s="125">
        <f>IF(tech_base!$T80&gt;Y$1465,"",(tech_base!$J80/tech_proj!Y204*0.086*$N$110)/(1-tech_proj!Y484))</f>
        <v>0</v>
      </c>
      <c r="Z1544" s="125">
        <f>IF(tech_base!$T80&gt;Z$1465,"",(tech_base!$J80/tech_proj!Z204*0.086*$N$110)/(1-tech_proj!Z484))</f>
        <v>0</v>
      </c>
      <c r="AA1544" s="125">
        <f>IF(tech_base!$T80&gt;AA$1465,"",(tech_base!$J80/tech_proj!AA204*0.086*$N$110)/(1-tech_proj!AA484))</f>
        <v>0</v>
      </c>
      <c r="AB1544" s="125">
        <f>IF(tech_base!$T80&gt;AB$1465,"",(tech_base!$J80/tech_proj!AB204*0.086*$N$110)/(1-tech_proj!AB484))</f>
        <v>0</v>
      </c>
      <c r="AC1544" s="125">
        <f>IF(tech_base!$T80&gt;AC$1465,"",(tech_base!$J80/tech_proj!AC204*0.086*$N$110)/(1-tech_proj!AC484))</f>
        <v>0</v>
      </c>
      <c r="AD1544" s="125">
        <f>IF(tech_base!$T80&gt;AD$1465,"",(tech_base!$J80/tech_proj!AD204*0.086*$N$110)/(1-tech_proj!AD484))</f>
        <v>0</v>
      </c>
      <c r="AE1544" s="125">
        <f>IF(tech_base!$T80&gt;AE$1465,"",(tech_base!$J80/tech_proj!AE204*0.086*$N$110)/(1-tech_proj!AE484))</f>
        <v>0</v>
      </c>
      <c r="AF1544" s="125">
        <f>IF(tech_base!$T80&gt;AF$1465,"",(tech_base!$J80/tech_proj!AF204*0.086*$N$110)/(1-tech_proj!AF484))</f>
        <v>0</v>
      </c>
      <c r="AG1544" s="125">
        <f>IF(tech_base!$T80&gt;AG$1465,"",(tech_base!$J80/tech_proj!AG204*0.086*$N$110)/(1-tech_proj!AG484))</f>
        <v>0</v>
      </c>
      <c r="AH1544" s="125">
        <f>IF(tech_base!$T80&gt;AH$1465,"",(tech_base!$J80/tech_proj!AH204*0.086*$N$110)/(1-tech_proj!AH484))</f>
        <v>0</v>
      </c>
      <c r="AI1544" s="125">
        <f>IF(tech_base!$T80&gt;AI$1465,"",(tech_base!$J80/tech_proj!AI204*0.086*$N$110)/(1-tech_proj!AI484))</f>
        <v>0</v>
      </c>
      <c r="AJ1544" s="125">
        <f>IF(tech_base!$T80&gt;AJ$1465,"",(tech_base!$J80/tech_proj!AJ204*0.086*$N$110)/(1-tech_proj!AJ484))</f>
        <v>0</v>
      </c>
      <c r="AK1544" s="125">
        <f>IF(tech_base!$T80&gt;AK$1465,"",(tech_base!$J80/tech_proj!AK204*0.086*$N$110)/(1-tech_proj!AK484))</f>
        <v>0</v>
      </c>
      <c r="AL1544" s="125">
        <f>IF(tech_base!$T80&gt;AL$1465,"",(tech_base!$J80/tech_proj!AL204*0.086*$N$110)/(1-tech_proj!AL484))</f>
        <v>0</v>
      </c>
      <c r="AM1544" s="125">
        <f>IF(tech_base!$T80&gt;AM$1465,"",(tech_base!$J80/tech_proj!AM204*0.086*$N$110)/(1-tech_proj!AM484))</f>
        <v>0</v>
      </c>
      <c r="AN1544" s="125">
        <f>IF(tech_base!$T80&gt;AN$1465,"",(tech_base!$J80/tech_proj!AN204*0.086*$N$110)/(1-tech_proj!AN484))</f>
        <v>0</v>
      </c>
      <c r="AO1544" s="125">
        <f>IF(tech_base!$T80&gt;AO$1465,"",(tech_base!$J80/tech_proj!AO204*0.086*$N$110)/(1-tech_proj!AO484))</f>
        <v>0</v>
      </c>
      <c r="AP1544" s="125">
        <f>IF(tech_base!$T80&gt;AP$1465,"",(tech_base!$J80/tech_proj!AP204*0.086*$N$110)/(1-tech_proj!AP484))</f>
        <v>0</v>
      </c>
      <c r="AQ1544" s="125">
        <f>IF(tech_base!$T80&gt;AQ$1465,"",(tech_base!$J80/tech_proj!AQ204*0.086*$N$110)/(1-tech_proj!AQ484))</f>
        <v>0</v>
      </c>
      <c r="AR1544" s="125">
        <f>IF(tech_base!$T80&gt;AR$1465,"",(tech_base!$J80/tech_proj!AR204*0.086*$N$110)/(1-tech_proj!AR484))</f>
        <v>0</v>
      </c>
      <c r="AS1544" s="125">
        <f>IF(tech_base!$T80&gt;AS$1465,"",(tech_base!$J80/tech_proj!AS204*0.086*$N$110)/(1-tech_proj!AS484))</f>
        <v>0</v>
      </c>
      <c r="AT1544" s="125">
        <f>IF(tech_base!$T80&gt;AT$1465,"",(tech_base!$J80/tech_proj!AT204*0.086*$N$110)/(1-tech_proj!AT484))</f>
        <v>0</v>
      </c>
      <c r="AU1544" s="125">
        <f>IF(tech_base!$T80&gt;AU$1465,"",(tech_base!$J80/tech_proj!AU204*0.086*$N$110)/(1-tech_proj!AU484))</f>
        <v>0</v>
      </c>
      <c r="AV1544" s="125">
        <f>IF(tech_base!$T80&gt;AV$1465,"",(tech_base!$J80/tech_proj!AV204*0.086*$N$110)/(1-tech_proj!AV484))</f>
        <v>0</v>
      </c>
      <c r="AW1544" s="125">
        <f>IF(tech_base!$T80&gt;AW$1465,"",(tech_base!$J80/tech_proj!AW204*0.086*$N$110)/(1-tech_proj!AW484))</f>
        <v>0</v>
      </c>
      <c r="AX1544" s="126">
        <f>IF(tech_base!$T80&gt;AX$1465,"",(tech_base!$J80/tech_proj!AX204*0.086*$N$110)/(1-tech_proj!AX484))</f>
        <v>0</v>
      </c>
    </row>
    <row r="1545" spans="1:50" x14ac:dyDescent="0.25">
      <c r="A1545" s="356"/>
      <c r="B1545" s="376"/>
      <c r="C1545" s="361" t="s">
        <v>15</v>
      </c>
      <c r="D1545" s="58" t="s">
        <v>7</v>
      </c>
      <c r="E1545" s="164" t="str">
        <f>A1511&amp;"/"&amp;B1537&amp;"/"&amp;C1545&amp;"/"&amp;D1545</f>
        <v>Lignite fired power plants/Steam turbine/Electricity only with CCS/L</v>
      </c>
      <c r="F1545" s="78" t="str">
        <f>A1511</f>
        <v>Lignite fired power plants</v>
      </c>
      <c r="G1545" s="78" t="str">
        <f>B1537</f>
        <v>Steam turbine</v>
      </c>
      <c r="H1545" s="78" t="str">
        <f>C1545</f>
        <v>Electricity only with CCS</v>
      </c>
      <c r="I1545" s="165" t="str">
        <f t="shared" si="378"/>
        <v>L</v>
      </c>
      <c r="J1545" s="123" t="str">
        <f>IF(tech_base!$T81&gt;J$1465,"",(tech_base!$J81/tech_proj!J205*0.086*$N$110)/(1-tech_proj!J485))</f>
        <v/>
      </c>
      <c r="K1545" s="123" t="str">
        <f>IF(tech_base!$T81&gt;K$1465,"",(tech_base!$J81/tech_proj!K205*0.086*$N$110)/(1-tech_proj!K485))</f>
        <v/>
      </c>
      <c r="L1545" s="123" t="str">
        <f>IF(tech_base!$T81&gt;L$1465,"",(tech_base!$J81/tech_proj!L205*0.086*$N$110)/(1-tech_proj!L485))</f>
        <v/>
      </c>
      <c r="M1545" s="123" t="str">
        <f>IF(tech_base!$T81&gt;M$1465,"",(tech_base!$J81/tech_proj!M205*0.086*$N$110)/(1-tech_proj!M485))</f>
        <v/>
      </c>
      <c r="N1545" s="123" t="str">
        <f>IF(tech_base!$T81&gt;N$1465,"",(tech_base!$J81/tech_proj!N205*0.086*$N$110)/(1-tech_proj!N485))</f>
        <v/>
      </c>
      <c r="O1545" s="123" t="str">
        <f>IF(tech_base!$T81&gt;O$1465,"",(tech_base!$J81/tech_proj!O205*0.086*$N$110)/(1-tech_proj!O485))</f>
        <v/>
      </c>
      <c r="P1545" s="123" t="str">
        <f>IF(tech_base!$T81&gt;P$1465,"",(tech_base!$J81/tech_proj!P205*0.086*$N$110)/(1-tech_proj!P485))</f>
        <v/>
      </c>
      <c r="Q1545" s="123" t="str">
        <f>IF(tech_base!$T81&gt;Q$1465,"",(tech_base!$J81/tech_proj!Q205*0.086*$N$110)/(1-tech_proj!Q485))</f>
        <v/>
      </c>
      <c r="R1545" s="123" t="str">
        <f>IF(tech_base!$T81&gt;R$1465,"",(tech_base!$J81/tech_proj!R205*0.086*$N$110)/(1-tech_proj!R485))</f>
        <v/>
      </c>
      <c r="S1545" s="123" t="str">
        <f>IF(tech_base!$T81&gt;S$1465,"",(tech_base!$J81/tech_proj!S205*0.086*$N$110)/(1-tech_proj!S485))</f>
        <v/>
      </c>
      <c r="T1545" s="123" t="str">
        <f>IF(tech_base!$T81&gt;T$1465,"",(tech_base!$J81/tech_proj!T205*0.086*$N$110)/(1-tech_proj!T485))</f>
        <v/>
      </c>
      <c r="U1545" s="123" t="str">
        <f>IF(tech_base!$T81&gt;U$1465,"",(tech_base!$J81/tech_proj!U205*0.086*$N$110)/(1-tech_proj!U485))</f>
        <v/>
      </c>
      <c r="V1545" s="123" t="str">
        <f>IF(tech_base!$T81&gt;V$1465,"",(tech_base!$J81/tech_proj!V205*0.086*$N$110)/(1-tech_proj!V485))</f>
        <v/>
      </c>
      <c r="W1545" s="123" t="str">
        <f>IF(tech_base!$T81&gt;W$1465,"",(tech_base!$J81/tech_proj!W205*0.086*$N$110)/(1-tech_proj!W485))</f>
        <v/>
      </c>
      <c r="X1545" s="123" t="str">
        <f>IF(tech_base!$T81&gt;X$1465,"",(tech_base!$J81/tech_proj!X205*0.086*$N$110)/(1-tech_proj!X485))</f>
        <v/>
      </c>
      <c r="Y1545" s="123" t="str">
        <f>IF(tech_base!$T81&gt;Y$1465,"",(tech_base!$J81/tech_proj!Y205*0.086*$N$110)/(1-tech_proj!Y485))</f>
        <v/>
      </c>
      <c r="Z1545" s="123" t="str">
        <f>IF(tech_base!$T81&gt;Z$1465,"",(tech_base!$J81/tech_proj!Z205*0.086*$N$110)/(1-tech_proj!Z485))</f>
        <v/>
      </c>
      <c r="AA1545" s="123" t="str">
        <f>IF(tech_base!$T81&gt;AA$1465,"",(tech_base!$J81/tech_proj!AA205*0.086*$N$110)/(1-tech_proj!AA485))</f>
        <v/>
      </c>
      <c r="AB1545" s="123" t="str">
        <f>IF(tech_base!$T81&gt;AB$1465,"",(tech_base!$J81/tech_proj!AB205*0.086*$N$110)/(1-tech_proj!AB485))</f>
        <v/>
      </c>
      <c r="AC1545" s="123" t="str">
        <f>IF(tech_base!$T81&gt;AC$1465,"",(tech_base!$J81/tech_proj!AC205*0.086*$N$110)/(1-tech_proj!AC485))</f>
        <v/>
      </c>
      <c r="AD1545" s="123" t="str">
        <f>IF(tech_base!$T81&gt;AD$1465,"",(tech_base!$J81/tech_proj!AD205*0.086*$N$110)/(1-tech_proj!AD485))</f>
        <v/>
      </c>
      <c r="AE1545" s="123">
        <f>IF(tech_base!$T81&gt;AE$1465,"",(tech_base!$J81/tech_proj!AE205*0.086*$N$110)/(1-tech_proj!AE485))</f>
        <v>0</v>
      </c>
      <c r="AF1545" s="123">
        <f>IF(tech_base!$T81&gt;AF$1465,"",(tech_base!$J81/tech_proj!AF205*0.086*$N$110)/(1-tech_proj!AF485))</f>
        <v>0</v>
      </c>
      <c r="AG1545" s="123">
        <f>IF(tech_base!$T81&gt;AG$1465,"",(tech_base!$J81/tech_proj!AG205*0.086*$N$110)/(1-tech_proj!AG485))</f>
        <v>0</v>
      </c>
      <c r="AH1545" s="123">
        <f>IF(tech_base!$T81&gt;AH$1465,"",(tech_base!$J81/tech_proj!AH205*0.086*$N$110)/(1-tech_proj!AH485))</f>
        <v>0</v>
      </c>
      <c r="AI1545" s="123">
        <f>IF(tech_base!$T81&gt;AI$1465,"",(tech_base!$J81/tech_proj!AI205*0.086*$N$110)/(1-tech_proj!AI485))</f>
        <v>0</v>
      </c>
      <c r="AJ1545" s="123">
        <f>IF(tech_base!$T81&gt;AJ$1465,"",(tech_base!$J81/tech_proj!AJ205*0.086*$N$110)/(1-tech_proj!AJ485))</f>
        <v>0</v>
      </c>
      <c r="AK1545" s="123">
        <f>IF(tech_base!$T81&gt;AK$1465,"",(tech_base!$J81/tech_proj!AK205*0.086*$N$110)/(1-tech_proj!AK485))</f>
        <v>0</v>
      </c>
      <c r="AL1545" s="123">
        <f>IF(tech_base!$T81&gt;AL$1465,"",(tech_base!$J81/tech_proj!AL205*0.086*$N$110)/(1-tech_proj!AL485))</f>
        <v>0</v>
      </c>
      <c r="AM1545" s="123">
        <f>IF(tech_base!$T81&gt;AM$1465,"",(tech_base!$J81/tech_proj!AM205*0.086*$N$110)/(1-tech_proj!AM485))</f>
        <v>0</v>
      </c>
      <c r="AN1545" s="123">
        <f>IF(tech_base!$T81&gt;AN$1465,"",(tech_base!$J81/tech_proj!AN205*0.086*$N$110)/(1-tech_proj!AN485))</f>
        <v>0</v>
      </c>
      <c r="AO1545" s="123">
        <f>IF(tech_base!$T81&gt;AO$1465,"",(tech_base!$J81/tech_proj!AO205*0.086*$N$110)/(1-tech_proj!AO485))</f>
        <v>0</v>
      </c>
      <c r="AP1545" s="123">
        <f>IF(tech_base!$T81&gt;AP$1465,"",(tech_base!$J81/tech_proj!AP205*0.086*$N$110)/(1-tech_proj!AP485))</f>
        <v>0</v>
      </c>
      <c r="AQ1545" s="123">
        <f>IF(tech_base!$T81&gt;AQ$1465,"",(tech_base!$J81/tech_proj!AQ205*0.086*$N$110)/(1-tech_proj!AQ485))</f>
        <v>0</v>
      </c>
      <c r="AR1545" s="123">
        <f>IF(tech_base!$T81&gt;AR$1465,"",(tech_base!$J81/tech_proj!AR205*0.086*$N$110)/(1-tech_proj!AR485))</f>
        <v>0</v>
      </c>
      <c r="AS1545" s="123">
        <f>IF(tech_base!$T81&gt;AS$1465,"",(tech_base!$J81/tech_proj!AS205*0.086*$N$110)/(1-tech_proj!AS485))</f>
        <v>0</v>
      </c>
      <c r="AT1545" s="123">
        <f>IF(tech_base!$T81&gt;AT$1465,"",(tech_base!$J81/tech_proj!AT205*0.086*$N$110)/(1-tech_proj!AT485))</f>
        <v>0</v>
      </c>
      <c r="AU1545" s="123">
        <f>IF(tech_base!$T81&gt;AU$1465,"",(tech_base!$J81/tech_proj!AU205*0.086*$N$110)/(1-tech_proj!AU485))</f>
        <v>0</v>
      </c>
      <c r="AV1545" s="123">
        <f>IF(tech_base!$T81&gt;AV$1465,"",(tech_base!$J81/tech_proj!AV205*0.086*$N$110)/(1-tech_proj!AV485))</f>
        <v>0</v>
      </c>
      <c r="AW1545" s="123">
        <f>IF(tech_base!$T81&gt;AW$1465,"",(tech_base!$J81/tech_proj!AW205*0.086*$N$110)/(1-tech_proj!AW485))</f>
        <v>0</v>
      </c>
      <c r="AX1545" s="124">
        <f>IF(tech_base!$T81&gt;AX$1465,"",(tech_base!$J81/tech_proj!AX205*0.086*$N$110)/(1-tech_proj!AX485))</f>
        <v>0</v>
      </c>
    </row>
    <row r="1546" spans="1:50" x14ac:dyDescent="0.25">
      <c r="A1546" s="356"/>
      <c r="B1546" s="376"/>
      <c r="C1546" s="379"/>
      <c r="D1546" s="59" t="s">
        <v>8</v>
      </c>
      <c r="E1546" s="166" t="str">
        <f>A1511&amp;"/"&amp;B1537&amp;"/"&amp;C1545&amp;"/"&amp;D1546</f>
        <v>Lignite fired power plants/Steam turbine/Electricity only with CCS/M</v>
      </c>
      <c r="F1546" s="79" t="str">
        <f>A1511</f>
        <v>Lignite fired power plants</v>
      </c>
      <c r="G1546" s="79" t="str">
        <f>B1537</f>
        <v>Steam turbine</v>
      </c>
      <c r="H1546" s="79" t="str">
        <f>C1545</f>
        <v>Electricity only with CCS</v>
      </c>
      <c r="I1546" s="167" t="str">
        <f t="shared" si="378"/>
        <v>M</v>
      </c>
      <c r="J1546" s="125" t="str">
        <f>IF(tech_base!$T82&gt;J$1465,"",(tech_base!$J82/tech_proj!J206*0.086*$N$110)/(1-tech_proj!J486))</f>
        <v/>
      </c>
      <c r="K1546" s="125" t="str">
        <f>IF(tech_base!$T82&gt;K$1465,"",(tech_base!$J82/tech_proj!K206*0.086*$N$110)/(1-tech_proj!K486))</f>
        <v/>
      </c>
      <c r="L1546" s="125" t="str">
        <f>IF(tech_base!$T82&gt;L$1465,"",(tech_base!$J82/tech_proj!L206*0.086*$N$110)/(1-tech_proj!L486))</f>
        <v/>
      </c>
      <c r="M1546" s="125" t="str">
        <f>IF(tech_base!$T82&gt;M$1465,"",(tech_base!$J82/tech_proj!M206*0.086*$N$110)/(1-tech_proj!M486))</f>
        <v/>
      </c>
      <c r="N1546" s="125" t="str">
        <f>IF(tech_base!$T82&gt;N$1465,"",(tech_base!$J82/tech_proj!N206*0.086*$N$110)/(1-tech_proj!N486))</f>
        <v/>
      </c>
      <c r="O1546" s="125" t="str">
        <f>IF(tech_base!$T82&gt;O$1465,"",(tech_base!$J82/tech_proj!O206*0.086*$N$110)/(1-tech_proj!O486))</f>
        <v/>
      </c>
      <c r="P1546" s="125" t="str">
        <f>IF(tech_base!$T82&gt;P$1465,"",(tech_base!$J82/tech_proj!P206*0.086*$N$110)/(1-tech_proj!P486))</f>
        <v/>
      </c>
      <c r="Q1546" s="125" t="str">
        <f>IF(tech_base!$T82&gt;Q$1465,"",(tech_base!$J82/tech_proj!Q206*0.086*$N$110)/(1-tech_proj!Q486))</f>
        <v/>
      </c>
      <c r="R1546" s="125" t="str">
        <f>IF(tech_base!$T82&gt;R$1465,"",(tech_base!$J82/tech_proj!R206*0.086*$N$110)/(1-tech_proj!R486))</f>
        <v/>
      </c>
      <c r="S1546" s="125" t="str">
        <f>IF(tech_base!$T82&gt;S$1465,"",(tech_base!$J82/tech_proj!S206*0.086*$N$110)/(1-tech_proj!S486))</f>
        <v/>
      </c>
      <c r="T1546" s="125" t="str">
        <f>IF(tech_base!$T82&gt;T$1465,"",(tech_base!$J82/tech_proj!T206*0.086*$N$110)/(1-tech_proj!T486))</f>
        <v/>
      </c>
      <c r="U1546" s="125" t="str">
        <f>IF(tech_base!$T82&gt;U$1465,"",(tech_base!$J82/tech_proj!U206*0.086*$N$110)/(1-tech_proj!U486))</f>
        <v/>
      </c>
      <c r="V1546" s="125" t="str">
        <f>IF(tech_base!$T82&gt;V$1465,"",(tech_base!$J82/tech_proj!V206*0.086*$N$110)/(1-tech_proj!V486))</f>
        <v/>
      </c>
      <c r="W1546" s="125" t="str">
        <f>IF(tech_base!$T82&gt;W$1465,"",(tech_base!$J82/tech_proj!W206*0.086*$N$110)/(1-tech_proj!W486))</f>
        <v/>
      </c>
      <c r="X1546" s="125" t="str">
        <f>IF(tech_base!$T82&gt;X$1465,"",(tech_base!$J82/tech_proj!X206*0.086*$N$110)/(1-tech_proj!X486))</f>
        <v/>
      </c>
      <c r="Y1546" s="125" t="str">
        <f>IF(tech_base!$T82&gt;Y$1465,"",(tech_base!$J82/tech_proj!Y206*0.086*$N$110)/(1-tech_proj!Y486))</f>
        <v/>
      </c>
      <c r="Z1546" s="125" t="str">
        <f>IF(tech_base!$T82&gt;Z$1465,"",(tech_base!$J82/tech_proj!Z206*0.086*$N$110)/(1-tech_proj!Z486))</f>
        <v/>
      </c>
      <c r="AA1546" s="125" t="str">
        <f>IF(tech_base!$T82&gt;AA$1465,"",(tech_base!$J82/tech_proj!AA206*0.086*$N$110)/(1-tech_proj!AA486))</f>
        <v/>
      </c>
      <c r="AB1546" s="125" t="str">
        <f>IF(tech_base!$T82&gt;AB$1465,"",(tech_base!$J82/tech_proj!AB206*0.086*$N$110)/(1-tech_proj!AB486))</f>
        <v/>
      </c>
      <c r="AC1546" s="125" t="str">
        <f>IF(tech_base!$T82&gt;AC$1465,"",(tech_base!$J82/tech_proj!AC206*0.086*$N$110)/(1-tech_proj!AC486))</f>
        <v/>
      </c>
      <c r="AD1546" s="125" t="str">
        <f>IF(tech_base!$T82&gt;AD$1465,"",(tech_base!$J82/tech_proj!AD206*0.086*$N$110)/(1-tech_proj!AD486))</f>
        <v/>
      </c>
      <c r="AE1546" s="125">
        <f>IF(tech_base!$T82&gt;AE$1465,"",(tech_base!$J82/tech_proj!AE206*0.086*$N$110)/(1-tech_proj!AE486))</f>
        <v>0</v>
      </c>
      <c r="AF1546" s="125">
        <f>IF(tech_base!$T82&gt;AF$1465,"",(tech_base!$J82/tech_proj!AF206*0.086*$N$110)/(1-tech_proj!AF486))</f>
        <v>0</v>
      </c>
      <c r="AG1546" s="125">
        <f>IF(tech_base!$T82&gt;AG$1465,"",(tech_base!$J82/tech_proj!AG206*0.086*$N$110)/(1-tech_proj!AG486))</f>
        <v>0</v>
      </c>
      <c r="AH1546" s="125">
        <f>IF(tech_base!$T82&gt;AH$1465,"",(tech_base!$J82/tech_proj!AH206*0.086*$N$110)/(1-tech_proj!AH486))</f>
        <v>0</v>
      </c>
      <c r="AI1546" s="125">
        <f>IF(tech_base!$T82&gt;AI$1465,"",(tech_base!$J82/tech_proj!AI206*0.086*$N$110)/(1-tech_proj!AI486))</f>
        <v>0</v>
      </c>
      <c r="AJ1546" s="125">
        <f>IF(tech_base!$T82&gt;AJ$1465,"",(tech_base!$J82/tech_proj!AJ206*0.086*$N$110)/(1-tech_proj!AJ486))</f>
        <v>0</v>
      </c>
      <c r="AK1546" s="125">
        <f>IF(tech_base!$T82&gt;AK$1465,"",(tech_base!$J82/tech_proj!AK206*0.086*$N$110)/(1-tech_proj!AK486))</f>
        <v>0</v>
      </c>
      <c r="AL1546" s="125">
        <f>IF(tech_base!$T82&gt;AL$1465,"",(tech_base!$J82/tech_proj!AL206*0.086*$N$110)/(1-tech_proj!AL486))</f>
        <v>0</v>
      </c>
      <c r="AM1546" s="125">
        <f>IF(tech_base!$T82&gt;AM$1465,"",(tech_base!$J82/tech_proj!AM206*0.086*$N$110)/(1-tech_proj!AM486))</f>
        <v>0</v>
      </c>
      <c r="AN1546" s="125">
        <f>IF(tech_base!$T82&gt;AN$1465,"",(tech_base!$J82/tech_proj!AN206*0.086*$N$110)/(1-tech_proj!AN486))</f>
        <v>0</v>
      </c>
      <c r="AO1546" s="125">
        <f>IF(tech_base!$T82&gt;AO$1465,"",(tech_base!$J82/tech_proj!AO206*0.086*$N$110)/(1-tech_proj!AO486))</f>
        <v>0</v>
      </c>
      <c r="AP1546" s="125">
        <f>IF(tech_base!$T82&gt;AP$1465,"",(tech_base!$J82/tech_proj!AP206*0.086*$N$110)/(1-tech_proj!AP486))</f>
        <v>0</v>
      </c>
      <c r="AQ1546" s="125">
        <f>IF(tech_base!$T82&gt;AQ$1465,"",(tech_base!$J82/tech_proj!AQ206*0.086*$N$110)/(1-tech_proj!AQ486))</f>
        <v>0</v>
      </c>
      <c r="AR1546" s="125">
        <f>IF(tech_base!$T82&gt;AR$1465,"",(tech_base!$J82/tech_proj!AR206*0.086*$N$110)/(1-tech_proj!AR486))</f>
        <v>0</v>
      </c>
      <c r="AS1546" s="125">
        <f>IF(tech_base!$T82&gt;AS$1465,"",(tech_base!$J82/tech_proj!AS206*0.086*$N$110)/(1-tech_proj!AS486))</f>
        <v>0</v>
      </c>
      <c r="AT1546" s="125">
        <f>IF(tech_base!$T82&gt;AT$1465,"",(tech_base!$J82/tech_proj!AT206*0.086*$N$110)/(1-tech_proj!AT486))</f>
        <v>0</v>
      </c>
      <c r="AU1546" s="125">
        <f>IF(tech_base!$T82&gt;AU$1465,"",(tech_base!$J82/tech_proj!AU206*0.086*$N$110)/(1-tech_proj!AU486))</f>
        <v>0</v>
      </c>
      <c r="AV1546" s="125">
        <f>IF(tech_base!$T82&gt;AV$1465,"",(tech_base!$J82/tech_proj!AV206*0.086*$N$110)/(1-tech_proj!AV486))</f>
        <v>0</v>
      </c>
      <c r="AW1546" s="125">
        <f>IF(tech_base!$T82&gt;AW$1465,"",(tech_base!$J82/tech_proj!AW206*0.086*$N$110)/(1-tech_proj!AW486))</f>
        <v>0</v>
      </c>
      <c r="AX1546" s="126">
        <f>IF(tech_base!$T82&gt;AX$1465,"",(tech_base!$J82/tech_proj!AX206*0.086*$N$110)/(1-tech_proj!AX486))</f>
        <v>0</v>
      </c>
    </row>
    <row r="1547" spans="1:50" x14ac:dyDescent="0.25">
      <c r="A1547" s="356"/>
      <c r="B1547" s="376"/>
      <c r="C1547" s="361" t="s">
        <v>16</v>
      </c>
      <c r="D1547" s="2" t="s">
        <v>7</v>
      </c>
      <c r="E1547" s="160" t="str">
        <f>A1511&amp;"/"&amp;B1537&amp;"/"&amp;C1547&amp;"/"&amp;D1547</f>
        <v>Lignite fired power plants/Steam turbine/CHP with CCS/L</v>
      </c>
      <c r="F1547" s="76" t="str">
        <f>A1511</f>
        <v>Lignite fired power plants</v>
      </c>
      <c r="G1547" s="76" t="str">
        <f>B1537</f>
        <v>Steam turbine</v>
      </c>
      <c r="H1547" s="76" t="str">
        <f>C1547</f>
        <v>CHP with CCS</v>
      </c>
      <c r="I1547" s="161" t="str">
        <f t="shared" si="378"/>
        <v>L</v>
      </c>
      <c r="J1547" s="119" t="str">
        <f>IF(tech_base!$T83&gt;J$1465,"",(tech_base!$J83/tech_proj!J207*0.086*$N$110)/(1-tech_proj!J487))</f>
        <v/>
      </c>
      <c r="K1547" s="119" t="str">
        <f>IF(tech_base!$T83&gt;K$1465,"",(tech_base!$J83/tech_proj!K207*0.086*$N$110)/(1-tech_proj!K487))</f>
        <v/>
      </c>
      <c r="L1547" s="119" t="str">
        <f>IF(tech_base!$T83&gt;L$1465,"",(tech_base!$J83/tech_proj!L207*0.086*$N$110)/(1-tech_proj!L487))</f>
        <v/>
      </c>
      <c r="M1547" s="119" t="str">
        <f>IF(tech_base!$T83&gt;M$1465,"",(tech_base!$J83/tech_proj!M207*0.086*$N$110)/(1-tech_proj!M487))</f>
        <v/>
      </c>
      <c r="N1547" s="119" t="str">
        <f>IF(tech_base!$T83&gt;N$1465,"",(tech_base!$J83/tech_proj!N207*0.086*$N$110)/(1-tech_proj!N487))</f>
        <v/>
      </c>
      <c r="O1547" s="119" t="str">
        <f>IF(tech_base!$T83&gt;O$1465,"",(tech_base!$J83/tech_proj!O207*0.086*$N$110)/(1-tech_proj!O487))</f>
        <v/>
      </c>
      <c r="P1547" s="119" t="str">
        <f>IF(tech_base!$T83&gt;P$1465,"",(tech_base!$J83/tech_proj!P207*0.086*$N$110)/(1-tech_proj!P487))</f>
        <v/>
      </c>
      <c r="Q1547" s="119" t="str">
        <f>IF(tech_base!$T83&gt;Q$1465,"",(tech_base!$J83/tech_proj!Q207*0.086*$N$110)/(1-tech_proj!Q487))</f>
        <v/>
      </c>
      <c r="R1547" s="119" t="str">
        <f>IF(tech_base!$T83&gt;R$1465,"",(tech_base!$J83/tech_proj!R207*0.086*$N$110)/(1-tech_proj!R487))</f>
        <v/>
      </c>
      <c r="S1547" s="119" t="str">
        <f>IF(tech_base!$T83&gt;S$1465,"",(tech_base!$J83/tech_proj!S207*0.086*$N$110)/(1-tech_proj!S487))</f>
        <v/>
      </c>
      <c r="T1547" s="119" t="str">
        <f>IF(tech_base!$T83&gt;T$1465,"",(tech_base!$J83/tech_proj!T207*0.086*$N$110)/(1-tech_proj!T487))</f>
        <v/>
      </c>
      <c r="U1547" s="119" t="str">
        <f>IF(tech_base!$T83&gt;U$1465,"",(tech_base!$J83/tech_proj!U207*0.086*$N$110)/(1-tech_proj!U487))</f>
        <v/>
      </c>
      <c r="V1547" s="119" t="str">
        <f>IF(tech_base!$T83&gt;V$1465,"",(tech_base!$J83/tech_proj!V207*0.086*$N$110)/(1-tech_proj!V487))</f>
        <v/>
      </c>
      <c r="W1547" s="119" t="str">
        <f>IF(tech_base!$T83&gt;W$1465,"",(tech_base!$J83/tech_proj!W207*0.086*$N$110)/(1-tech_proj!W487))</f>
        <v/>
      </c>
      <c r="X1547" s="119" t="str">
        <f>IF(tech_base!$T83&gt;X$1465,"",(tech_base!$J83/tech_proj!X207*0.086*$N$110)/(1-tech_proj!X487))</f>
        <v/>
      </c>
      <c r="Y1547" s="119" t="str">
        <f>IF(tech_base!$T83&gt;Y$1465,"",(tech_base!$J83/tech_proj!Y207*0.086*$N$110)/(1-tech_proj!Y487))</f>
        <v/>
      </c>
      <c r="Z1547" s="119" t="str">
        <f>IF(tech_base!$T83&gt;Z$1465,"",(tech_base!$J83/tech_proj!Z207*0.086*$N$110)/(1-tech_proj!Z487))</f>
        <v/>
      </c>
      <c r="AA1547" s="119" t="str">
        <f>IF(tech_base!$T83&gt;AA$1465,"",(tech_base!$J83/tech_proj!AA207*0.086*$N$110)/(1-tech_proj!AA487))</f>
        <v/>
      </c>
      <c r="AB1547" s="119" t="str">
        <f>IF(tech_base!$T83&gt;AB$1465,"",(tech_base!$J83/tech_proj!AB207*0.086*$N$110)/(1-tech_proj!AB487))</f>
        <v/>
      </c>
      <c r="AC1547" s="119" t="str">
        <f>IF(tech_base!$T83&gt;AC$1465,"",(tech_base!$J83/tech_proj!AC207*0.086*$N$110)/(1-tech_proj!AC487))</f>
        <v/>
      </c>
      <c r="AD1547" s="119" t="str">
        <f>IF(tech_base!$T83&gt;AD$1465,"",(tech_base!$J83/tech_proj!AD207*0.086*$N$110)/(1-tech_proj!AD487))</f>
        <v/>
      </c>
      <c r="AE1547" s="119">
        <f>IF(tech_base!$T83&gt;AE$1465,"",(tech_base!$J83/tech_proj!AE207*0.086*$N$110)/(1-tech_proj!AE487))</f>
        <v>0</v>
      </c>
      <c r="AF1547" s="119">
        <f>IF(tech_base!$T83&gt;AF$1465,"",(tech_base!$J83/tech_proj!AF207*0.086*$N$110)/(1-tech_proj!AF487))</f>
        <v>0</v>
      </c>
      <c r="AG1547" s="119">
        <f>IF(tech_base!$T83&gt;AG$1465,"",(tech_base!$J83/tech_proj!AG207*0.086*$N$110)/(1-tech_proj!AG487))</f>
        <v>0</v>
      </c>
      <c r="AH1547" s="119">
        <f>IF(tech_base!$T83&gt;AH$1465,"",(tech_base!$J83/tech_proj!AH207*0.086*$N$110)/(1-tech_proj!AH487))</f>
        <v>0</v>
      </c>
      <c r="AI1547" s="119">
        <f>IF(tech_base!$T83&gt;AI$1465,"",(tech_base!$J83/tech_proj!AI207*0.086*$N$110)/(1-tech_proj!AI487))</f>
        <v>0</v>
      </c>
      <c r="AJ1547" s="119">
        <f>IF(tech_base!$T83&gt;AJ$1465,"",(tech_base!$J83/tech_proj!AJ207*0.086*$N$110)/(1-tech_proj!AJ487))</f>
        <v>0</v>
      </c>
      <c r="AK1547" s="119">
        <f>IF(tech_base!$T83&gt;AK$1465,"",(tech_base!$J83/tech_proj!AK207*0.086*$N$110)/(1-tech_proj!AK487))</f>
        <v>0</v>
      </c>
      <c r="AL1547" s="119">
        <f>IF(tech_base!$T83&gt;AL$1465,"",(tech_base!$J83/tech_proj!AL207*0.086*$N$110)/(1-tech_proj!AL487))</f>
        <v>0</v>
      </c>
      <c r="AM1547" s="119">
        <f>IF(tech_base!$T83&gt;AM$1465,"",(tech_base!$J83/tech_proj!AM207*0.086*$N$110)/(1-tech_proj!AM487))</f>
        <v>0</v>
      </c>
      <c r="AN1547" s="119">
        <f>IF(tech_base!$T83&gt;AN$1465,"",(tech_base!$J83/tech_proj!AN207*0.086*$N$110)/(1-tech_proj!AN487))</f>
        <v>0</v>
      </c>
      <c r="AO1547" s="119">
        <f>IF(tech_base!$T83&gt;AO$1465,"",(tech_base!$J83/tech_proj!AO207*0.086*$N$110)/(1-tech_proj!AO487))</f>
        <v>0</v>
      </c>
      <c r="AP1547" s="119">
        <f>IF(tech_base!$T83&gt;AP$1465,"",(tech_base!$J83/tech_proj!AP207*0.086*$N$110)/(1-tech_proj!AP487))</f>
        <v>0</v>
      </c>
      <c r="AQ1547" s="119">
        <f>IF(tech_base!$T83&gt;AQ$1465,"",(tech_base!$J83/tech_proj!AQ207*0.086*$N$110)/(1-tech_proj!AQ487))</f>
        <v>0</v>
      </c>
      <c r="AR1547" s="119">
        <f>IF(tech_base!$T83&gt;AR$1465,"",(tech_base!$J83/tech_proj!AR207*0.086*$N$110)/(1-tech_proj!AR487))</f>
        <v>0</v>
      </c>
      <c r="AS1547" s="119">
        <f>IF(tech_base!$T83&gt;AS$1465,"",(tech_base!$J83/tech_proj!AS207*0.086*$N$110)/(1-tech_proj!AS487))</f>
        <v>0</v>
      </c>
      <c r="AT1547" s="119">
        <f>IF(tech_base!$T83&gt;AT$1465,"",(tech_base!$J83/tech_proj!AT207*0.086*$N$110)/(1-tech_proj!AT487))</f>
        <v>0</v>
      </c>
      <c r="AU1547" s="119">
        <f>IF(tech_base!$T83&gt;AU$1465,"",(tech_base!$J83/tech_proj!AU207*0.086*$N$110)/(1-tech_proj!AU487))</f>
        <v>0</v>
      </c>
      <c r="AV1547" s="119">
        <f>IF(tech_base!$T83&gt;AV$1465,"",(tech_base!$J83/tech_proj!AV207*0.086*$N$110)/(1-tech_proj!AV487))</f>
        <v>0</v>
      </c>
      <c r="AW1547" s="119">
        <f>IF(tech_base!$T83&gt;AW$1465,"",(tech_base!$J83/tech_proj!AW207*0.086*$N$110)/(1-tech_proj!AW487))</f>
        <v>0</v>
      </c>
      <c r="AX1547" s="120">
        <f>IF(tech_base!$T83&gt;AX$1465,"",(tech_base!$J83/tech_proj!AX207*0.086*$N$110)/(1-tech_proj!AX487))</f>
        <v>0</v>
      </c>
    </row>
    <row r="1548" spans="1:50" x14ac:dyDescent="0.25">
      <c r="A1548" s="357"/>
      <c r="B1548" s="380"/>
      <c r="C1548" s="381"/>
      <c r="D1548" s="4" t="s">
        <v>8</v>
      </c>
      <c r="E1548" s="168" t="str">
        <f>A1511&amp;"/"&amp;B1537&amp;"/"&amp;C1547&amp;"/"&amp;D1548</f>
        <v>Lignite fired power plants/Steam turbine/CHP with CCS/M</v>
      </c>
      <c r="F1548" s="80" t="str">
        <f>A1511</f>
        <v>Lignite fired power plants</v>
      </c>
      <c r="G1548" s="80" t="str">
        <f>B1537</f>
        <v>Steam turbine</v>
      </c>
      <c r="H1548" s="80" t="str">
        <f>C1547</f>
        <v>CHP with CCS</v>
      </c>
      <c r="I1548" s="169" t="str">
        <f t="shared" si="378"/>
        <v>M</v>
      </c>
      <c r="J1548" s="127" t="str">
        <f>IF(tech_base!$T84&gt;J$1465,"",(tech_base!$J84/tech_proj!J208*0.086*$N$110)/(1-tech_proj!J488))</f>
        <v/>
      </c>
      <c r="K1548" s="127" t="str">
        <f>IF(tech_base!$T84&gt;K$1465,"",(tech_base!$J84/tech_proj!K208*0.086*$N$110)/(1-tech_proj!K488))</f>
        <v/>
      </c>
      <c r="L1548" s="127" t="str">
        <f>IF(tech_base!$T84&gt;L$1465,"",(tech_base!$J84/tech_proj!L208*0.086*$N$110)/(1-tech_proj!L488))</f>
        <v/>
      </c>
      <c r="M1548" s="127" t="str">
        <f>IF(tech_base!$T84&gt;M$1465,"",(tech_base!$J84/tech_proj!M208*0.086*$N$110)/(1-tech_proj!M488))</f>
        <v/>
      </c>
      <c r="N1548" s="127" t="str">
        <f>IF(tech_base!$T84&gt;N$1465,"",(tech_base!$J84/tech_proj!N208*0.086*$N$110)/(1-tech_proj!N488))</f>
        <v/>
      </c>
      <c r="O1548" s="127" t="str">
        <f>IF(tech_base!$T84&gt;O$1465,"",(tech_base!$J84/tech_proj!O208*0.086*$N$110)/(1-tech_proj!O488))</f>
        <v/>
      </c>
      <c r="P1548" s="127" t="str">
        <f>IF(tech_base!$T84&gt;P$1465,"",(tech_base!$J84/tech_proj!P208*0.086*$N$110)/(1-tech_proj!P488))</f>
        <v/>
      </c>
      <c r="Q1548" s="127" t="str">
        <f>IF(tech_base!$T84&gt;Q$1465,"",(tech_base!$J84/tech_proj!Q208*0.086*$N$110)/(1-tech_proj!Q488))</f>
        <v/>
      </c>
      <c r="R1548" s="127" t="str">
        <f>IF(tech_base!$T84&gt;R$1465,"",(tech_base!$J84/tech_proj!R208*0.086*$N$110)/(1-tech_proj!R488))</f>
        <v/>
      </c>
      <c r="S1548" s="127" t="str">
        <f>IF(tech_base!$T84&gt;S$1465,"",(tech_base!$J84/tech_proj!S208*0.086*$N$110)/(1-tech_proj!S488))</f>
        <v/>
      </c>
      <c r="T1548" s="127" t="str">
        <f>IF(tech_base!$T84&gt;T$1465,"",(tech_base!$J84/tech_proj!T208*0.086*$N$110)/(1-tech_proj!T488))</f>
        <v/>
      </c>
      <c r="U1548" s="127" t="str">
        <f>IF(tech_base!$T84&gt;U$1465,"",(tech_base!$J84/tech_proj!U208*0.086*$N$110)/(1-tech_proj!U488))</f>
        <v/>
      </c>
      <c r="V1548" s="127" t="str">
        <f>IF(tech_base!$T84&gt;V$1465,"",(tech_base!$J84/tech_proj!V208*0.086*$N$110)/(1-tech_proj!V488))</f>
        <v/>
      </c>
      <c r="W1548" s="127" t="str">
        <f>IF(tech_base!$T84&gt;W$1465,"",(tech_base!$J84/tech_proj!W208*0.086*$N$110)/(1-tech_proj!W488))</f>
        <v/>
      </c>
      <c r="X1548" s="127" t="str">
        <f>IF(tech_base!$T84&gt;X$1465,"",(tech_base!$J84/tech_proj!X208*0.086*$N$110)/(1-tech_proj!X488))</f>
        <v/>
      </c>
      <c r="Y1548" s="127" t="str">
        <f>IF(tech_base!$T84&gt;Y$1465,"",(tech_base!$J84/tech_proj!Y208*0.086*$N$110)/(1-tech_proj!Y488))</f>
        <v/>
      </c>
      <c r="Z1548" s="127" t="str">
        <f>IF(tech_base!$T84&gt;Z$1465,"",(tech_base!$J84/tech_proj!Z208*0.086*$N$110)/(1-tech_proj!Z488))</f>
        <v/>
      </c>
      <c r="AA1548" s="127" t="str">
        <f>IF(tech_base!$T84&gt;AA$1465,"",(tech_base!$J84/tech_proj!AA208*0.086*$N$110)/(1-tech_proj!AA488))</f>
        <v/>
      </c>
      <c r="AB1548" s="127" t="str">
        <f>IF(tech_base!$T84&gt;AB$1465,"",(tech_base!$J84/tech_proj!AB208*0.086*$N$110)/(1-tech_proj!AB488))</f>
        <v/>
      </c>
      <c r="AC1548" s="127" t="str">
        <f>IF(tech_base!$T84&gt;AC$1465,"",(tech_base!$J84/tech_proj!AC208*0.086*$N$110)/(1-tech_proj!AC488))</f>
        <v/>
      </c>
      <c r="AD1548" s="127" t="str">
        <f>IF(tech_base!$T84&gt;AD$1465,"",(tech_base!$J84/tech_proj!AD208*0.086*$N$110)/(1-tech_proj!AD488))</f>
        <v/>
      </c>
      <c r="AE1548" s="127">
        <f>IF(tech_base!$T84&gt;AE$1465,"",(tech_base!$J84/tech_proj!AE208*0.086*$N$110)/(1-tech_proj!AE488))</f>
        <v>0</v>
      </c>
      <c r="AF1548" s="127">
        <f>IF(tech_base!$T84&gt;AF$1465,"",(tech_base!$J84/tech_proj!AF208*0.086*$N$110)/(1-tech_proj!AF488))</f>
        <v>0</v>
      </c>
      <c r="AG1548" s="127">
        <f>IF(tech_base!$T84&gt;AG$1465,"",(tech_base!$J84/tech_proj!AG208*0.086*$N$110)/(1-tech_proj!AG488))</f>
        <v>0</v>
      </c>
      <c r="AH1548" s="127">
        <f>IF(tech_base!$T84&gt;AH$1465,"",(tech_base!$J84/tech_proj!AH208*0.086*$N$110)/(1-tech_proj!AH488))</f>
        <v>0</v>
      </c>
      <c r="AI1548" s="127">
        <f>IF(tech_base!$T84&gt;AI$1465,"",(tech_base!$J84/tech_proj!AI208*0.086*$N$110)/(1-tech_proj!AI488))</f>
        <v>0</v>
      </c>
      <c r="AJ1548" s="127">
        <f>IF(tech_base!$T84&gt;AJ$1465,"",(tech_base!$J84/tech_proj!AJ208*0.086*$N$110)/(1-tech_proj!AJ488))</f>
        <v>0</v>
      </c>
      <c r="AK1548" s="127">
        <f>IF(tech_base!$T84&gt;AK$1465,"",(tech_base!$J84/tech_proj!AK208*0.086*$N$110)/(1-tech_proj!AK488))</f>
        <v>0</v>
      </c>
      <c r="AL1548" s="127">
        <f>IF(tech_base!$T84&gt;AL$1465,"",(tech_base!$J84/tech_proj!AL208*0.086*$N$110)/(1-tech_proj!AL488))</f>
        <v>0</v>
      </c>
      <c r="AM1548" s="127">
        <f>IF(tech_base!$T84&gt;AM$1465,"",(tech_base!$J84/tech_proj!AM208*0.086*$N$110)/(1-tech_proj!AM488))</f>
        <v>0</v>
      </c>
      <c r="AN1548" s="127">
        <f>IF(tech_base!$T84&gt;AN$1465,"",(tech_base!$J84/tech_proj!AN208*0.086*$N$110)/(1-tech_proj!AN488))</f>
        <v>0</v>
      </c>
      <c r="AO1548" s="127">
        <f>IF(tech_base!$T84&gt;AO$1465,"",(tech_base!$J84/tech_proj!AO208*0.086*$N$110)/(1-tech_proj!AO488))</f>
        <v>0</v>
      </c>
      <c r="AP1548" s="127">
        <f>IF(tech_base!$T84&gt;AP$1465,"",(tech_base!$J84/tech_proj!AP208*0.086*$N$110)/(1-tech_proj!AP488))</f>
        <v>0</v>
      </c>
      <c r="AQ1548" s="127">
        <f>IF(tech_base!$T84&gt;AQ$1465,"",(tech_base!$J84/tech_proj!AQ208*0.086*$N$110)/(1-tech_proj!AQ488))</f>
        <v>0</v>
      </c>
      <c r="AR1548" s="127">
        <f>IF(tech_base!$T84&gt;AR$1465,"",(tech_base!$J84/tech_proj!AR208*0.086*$N$110)/(1-tech_proj!AR488))</f>
        <v>0</v>
      </c>
      <c r="AS1548" s="127">
        <f>IF(tech_base!$T84&gt;AS$1465,"",(tech_base!$J84/tech_proj!AS208*0.086*$N$110)/(1-tech_proj!AS488))</f>
        <v>0</v>
      </c>
      <c r="AT1548" s="127">
        <f>IF(tech_base!$T84&gt;AT$1465,"",(tech_base!$J84/tech_proj!AT208*0.086*$N$110)/(1-tech_proj!AT488))</f>
        <v>0</v>
      </c>
      <c r="AU1548" s="127">
        <f>IF(tech_base!$T84&gt;AU$1465,"",(tech_base!$J84/tech_proj!AU208*0.086*$N$110)/(1-tech_proj!AU488))</f>
        <v>0</v>
      </c>
      <c r="AV1548" s="127">
        <f>IF(tech_base!$T84&gt;AV$1465,"",(tech_base!$J84/tech_proj!AV208*0.086*$N$110)/(1-tech_proj!AV488))</f>
        <v>0</v>
      </c>
      <c r="AW1548" s="127">
        <f>IF(tech_base!$T84&gt;AW$1465,"",(tech_base!$J84/tech_proj!AW208*0.086*$N$110)/(1-tech_proj!AW488))</f>
        <v>0</v>
      </c>
      <c r="AX1548" s="128">
        <f>IF(tech_base!$T84&gt;AX$1465,"",(tech_base!$J84/tech_proj!AX208*0.086*$N$110)/(1-tech_proj!AX488))</f>
        <v>0</v>
      </c>
    </row>
    <row r="1549" spans="1:50" x14ac:dyDescent="0.25">
      <c r="A1549" s="356" t="s">
        <v>22</v>
      </c>
      <c r="B1549" s="358" t="s">
        <v>23</v>
      </c>
      <c r="C1549" s="353" t="s">
        <v>6</v>
      </c>
      <c r="D1549" s="3" t="s">
        <v>7</v>
      </c>
      <c r="E1549" s="162" t="str">
        <f>A1549&amp;"/"&amp;B1549&amp;"/"&amp;C1549&amp;"/"&amp;D1549</f>
        <v>Gas fired power plants (Natural gas, biogas)/Gas turbine combined cycle/Electricity only/L</v>
      </c>
      <c r="F1549" s="77" t="str">
        <f>A1549</f>
        <v>Gas fired power plants (Natural gas, biogas)</v>
      </c>
      <c r="G1549" s="77" t="str">
        <f>B1549</f>
        <v>Gas turbine combined cycle</v>
      </c>
      <c r="H1549" s="77" t="str">
        <f>C1549</f>
        <v>Electricity only</v>
      </c>
      <c r="I1549" s="163" t="str">
        <f t="shared" si="378"/>
        <v>L</v>
      </c>
      <c r="J1549" s="121">
        <f>IF(tech_base!$T85&gt;J$1465,"",(tech_base!$J85/tech_proj!J209*0.086*$N$110)/(1-tech_proj!J489))</f>
        <v>0</v>
      </c>
      <c r="K1549" s="121">
        <f>IF(tech_base!$T85&gt;K$1465,"",(tech_base!$J85/tech_proj!K209*0.086*$N$110)/(1-tech_proj!K489))</f>
        <v>0</v>
      </c>
      <c r="L1549" s="121">
        <f>IF(tech_base!$T85&gt;L$1465,"",(tech_base!$J85/tech_proj!L209*0.086*$N$110)/(1-tech_proj!L489))</f>
        <v>0</v>
      </c>
      <c r="M1549" s="121">
        <f>IF(tech_base!$T85&gt;M$1465,"",(tech_base!$J85/tech_proj!M209*0.086*$N$110)/(1-tech_proj!M489))</f>
        <v>0</v>
      </c>
      <c r="N1549" s="121">
        <f>IF(tech_base!$T85&gt;N$1465,"",(tech_base!$J85/tech_proj!N209*0.086*$N$110)/(1-tech_proj!N489))</f>
        <v>0</v>
      </c>
      <c r="O1549" s="121">
        <f>IF(tech_base!$T85&gt;O$1465,"",(tech_base!$J85/tech_proj!O209*0.086*$N$110)/(1-tech_proj!O489))</f>
        <v>0</v>
      </c>
      <c r="P1549" s="121">
        <f>IF(tech_base!$T85&gt;P$1465,"",(tech_base!$J85/tech_proj!P209*0.086*$N$110)/(1-tech_proj!P489))</f>
        <v>0</v>
      </c>
      <c r="Q1549" s="121">
        <f>IF(tech_base!$T85&gt;Q$1465,"",(tech_base!$J85/tech_proj!Q209*0.086*$N$110)/(1-tech_proj!Q489))</f>
        <v>0</v>
      </c>
      <c r="R1549" s="121">
        <f>IF(tech_base!$T85&gt;R$1465,"",(tech_base!$J85/tech_proj!R209*0.086*$N$110)/(1-tech_proj!R489))</f>
        <v>0</v>
      </c>
      <c r="S1549" s="121">
        <f>IF(tech_base!$T85&gt;S$1465,"",(tech_base!$J85/tech_proj!S209*0.086*$N$110)/(1-tech_proj!S489))</f>
        <v>0</v>
      </c>
      <c r="T1549" s="121">
        <f>IF(tech_base!$T85&gt;T$1465,"",(tech_base!$J85/tech_proj!T209*0.086*$N$110)/(1-tech_proj!T489))</f>
        <v>0</v>
      </c>
      <c r="U1549" s="121">
        <f>IF(tech_base!$T85&gt;U$1465,"",(tech_base!$J85/tech_proj!U209*0.086*$N$110)/(1-tech_proj!U489))</f>
        <v>0</v>
      </c>
      <c r="V1549" s="121">
        <f>IF(tech_base!$T85&gt;V$1465,"",(tech_base!$J85/tech_proj!V209*0.086*$N$110)/(1-tech_proj!V489))</f>
        <v>0</v>
      </c>
      <c r="W1549" s="121">
        <f>IF(tech_base!$T85&gt;W$1465,"",(tech_base!$J85/tech_proj!W209*0.086*$N$110)/(1-tech_proj!W489))</f>
        <v>0</v>
      </c>
      <c r="X1549" s="121">
        <f>IF(tech_base!$T85&gt;X$1465,"",(tech_base!$J85/tech_proj!X209*0.086*$N$110)/(1-tech_proj!X489))</f>
        <v>0</v>
      </c>
      <c r="Y1549" s="121">
        <f>IF(tech_base!$T85&gt;Y$1465,"",(tech_base!$J85/tech_proj!Y209*0.086*$N$110)/(1-tech_proj!Y489))</f>
        <v>0</v>
      </c>
      <c r="Z1549" s="121">
        <f>IF(tech_base!$T85&gt;Z$1465,"",(tech_base!$J85/tech_proj!Z209*0.086*$N$110)/(1-tech_proj!Z489))</f>
        <v>0</v>
      </c>
      <c r="AA1549" s="121">
        <f>IF(tech_base!$T85&gt;AA$1465,"",(tech_base!$J85/tech_proj!AA209*0.086*$N$110)/(1-tech_proj!AA489))</f>
        <v>0</v>
      </c>
      <c r="AB1549" s="121">
        <f>IF(tech_base!$T85&gt;AB$1465,"",(tech_base!$J85/tech_proj!AB209*0.086*$N$110)/(1-tech_proj!AB489))</f>
        <v>0</v>
      </c>
      <c r="AC1549" s="121">
        <f>IF(tech_base!$T85&gt;AC$1465,"",(tech_base!$J85/tech_proj!AC209*0.086*$N$110)/(1-tech_proj!AC489))</f>
        <v>0</v>
      </c>
      <c r="AD1549" s="121">
        <f>IF(tech_base!$T85&gt;AD$1465,"",(tech_base!$J85/tech_proj!AD209*0.086*$N$110)/(1-tech_proj!AD489))</f>
        <v>0</v>
      </c>
      <c r="AE1549" s="121">
        <f>IF(tech_base!$T85&gt;AE$1465,"",(tech_base!$J85/tech_proj!AE209*0.086*$N$110)/(1-tech_proj!AE489))</f>
        <v>0</v>
      </c>
      <c r="AF1549" s="121">
        <f>IF(tech_base!$T85&gt;AF$1465,"",(tech_base!$J85/tech_proj!AF209*0.086*$N$110)/(1-tech_proj!AF489))</f>
        <v>0</v>
      </c>
      <c r="AG1549" s="121">
        <f>IF(tech_base!$T85&gt;AG$1465,"",(tech_base!$J85/tech_proj!AG209*0.086*$N$110)/(1-tech_proj!AG489))</f>
        <v>0</v>
      </c>
      <c r="AH1549" s="121">
        <f>IF(tech_base!$T85&gt;AH$1465,"",(tech_base!$J85/tech_proj!AH209*0.086*$N$110)/(1-tech_proj!AH489))</f>
        <v>0</v>
      </c>
      <c r="AI1549" s="121">
        <f>IF(tech_base!$T85&gt;AI$1465,"",(tech_base!$J85/tech_proj!AI209*0.086*$N$110)/(1-tech_proj!AI489))</f>
        <v>0</v>
      </c>
      <c r="AJ1549" s="121">
        <f>IF(tech_base!$T85&gt;AJ$1465,"",(tech_base!$J85/tech_proj!AJ209*0.086*$N$110)/(1-tech_proj!AJ489))</f>
        <v>0</v>
      </c>
      <c r="AK1549" s="121">
        <f>IF(tech_base!$T85&gt;AK$1465,"",(tech_base!$J85/tech_proj!AK209*0.086*$N$110)/(1-tech_proj!AK489))</f>
        <v>0</v>
      </c>
      <c r="AL1549" s="121">
        <f>IF(tech_base!$T85&gt;AL$1465,"",(tech_base!$J85/tech_proj!AL209*0.086*$N$110)/(1-tech_proj!AL489))</f>
        <v>0</v>
      </c>
      <c r="AM1549" s="121">
        <f>IF(tech_base!$T85&gt;AM$1465,"",(tech_base!$J85/tech_proj!AM209*0.086*$N$110)/(1-tech_proj!AM489))</f>
        <v>0</v>
      </c>
      <c r="AN1549" s="121">
        <f>IF(tech_base!$T85&gt;AN$1465,"",(tech_base!$J85/tech_proj!AN209*0.086*$N$110)/(1-tech_proj!AN489))</f>
        <v>0</v>
      </c>
      <c r="AO1549" s="121">
        <f>IF(tech_base!$T85&gt;AO$1465,"",(tech_base!$J85/tech_proj!AO209*0.086*$N$110)/(1-tech_proj!AO489))</f>
        <v>0</v>
      </c>
      <c r="AP1549" s="121">
        <f>IF(tech_base!$T85&gt;AP$1465,"",(tech_base!$J85/tech_proj!AP209*0.086*$N$110)/(1-tech_proj!AP489))</f>
        <v>0</v>
      </c>
      <c r="AQ1549" s="121">
        <f>IF(tech_base!$T85&gt;AQ$1465,"",(tech_base!$J85/tech_proj!AQ209*0.086*$N$110)/(1-tech_proj!AQ489))</f>
        <v>0</v>
      </c>
      <c r="AR1549" s="121">
        <f>IF(tech_base!$T85&gt;AR$1465,"",(tech_base!$J85/tech_proj!AR209*0.086*$N$110)/(1-tech_proj!AR489))</f>
        <v>0</v>
      </c>
      <c r="AS1549" s="121">
        <f>IF(tech_base!$T85&gt;AS$1465,"",(tech_base!$J85/tech_proj!AS209*0.086*$N$110)/(1-tech_proj!AS489))</f>
        <v>0</v>
      </c>
      <c r="AT1549" s="121">
        <f>IF(tech_base!$T85&gt;AT$1465,"",(tech_base!$J85/tech_proj!AT209*0.086*$N$110)/(1-tech_proj!AT489))</f>
        <v>0</v>
      </c>
      <c r="AU1549" s="121">
        <f>IF(tech_base!$T85&gt;AU$1465,"",(tech_base!$J85/tech_proj!AU209*0.086*$N$110)/(1-tech_proj!AU489))</f>
        <v>0</v>
      </c>
      <c r="AV1549" s="121">
        <f>IF(tech_base!$T85&gt;AV$1465,"",(tech_base!$J85/tech_proj!AV209*0.086*$N$110)/(1-tech_proj!AV489))</f>
        <v>0</v>
      </c>
      <c r="AW1549" s="121">
        <f>IF(tech_base!$T85&gt;AW$1465,"",(tech_base!$J85/tech_proj!AW209*0.086*$N$110)/(1-tech_proj!AW489))</f>
        <v>0</v>
      </c>
      <c r="AX1549" s="122">
        <f>IF(tech_base!$T85&gt;AX$1465,"",(tech_base!$J85/tech_proj!AX209*0.086*$N$110)/(1-tech_proj!AX489))</f>
        <v>0</v>
      </c>
    </row>
    <row r="1550" spans="1:50" x14ac:dyDescent="0.25">
      <c r="A1550" s="356"/>
      <c r="B1550" s="376"/>
      <c r="C1550" s="378"/>
      <c r="D1550" s="2" t="s">
        <v>8</v>
      </c>
      <c r="E1550" s="160" t="str">
        <f>A1549&amp;"/"&amp;B1549&amp;"/"&amp;C1549&amp;"/"&amp;D1550</f>
        <v>Gas fired power plants (Natural gas, biogas)/Gas turbine combined cycle/Electricity only/M</v>
      </c>
      <c r="F1550" s="76" t="str">
        <f>A1549</f>
        <v>Gas fired power plants (Natural gas, biogas)</v>
      </c>
      <c r="G1550" s="76" t="str">
        <f>B1549</f>
        <v>Gas turbine combined cycle</v>
      </c>
      <c r="H1550" s="76" t="str">
        <f>C1549</f>
        <v>Electricity only</v>
      </c>
      <c r="I1550" s="161" t="str">
        <f t="shared" si="378"/>
        <v>M</v>
      </c>
      <c r="J1550" s="119">
        <f>IF(tech_base!$T86&gt;J$1465,"",(tech_base!$J86/tech_proj!J210*0.086*$N$110)/(1-tech_proj!J490))</f>
        <v>0</v>
      </c>
      <c r="K1550" s="119">
        <f>IF(tech_base!$T86&gt;K$1465,"",(tech_base!$J86/tech_proj!K210*0.086*$N$110)/(1-tech_proj!K490))</f>
        <v>0</v>
      </c>
      <c r="L1550" s="119">
        <f>IF(tech_base!$T86&gt;L$1465,"",(tech_base!$J86/tech_proj!L210*0.086*$N$110)/(1-tech_proj!L490))</f>
        <v>0</v>
      </c>
      <c r="M1550" s="119">
        <f>IF(tech_base!$T86&gt;M$1465,"",(tech_base!$J86/tech_proj!M210*0.086*$N$110)/(1-tech_proj!M490))</f>
        <v>0</v>
      </c>
      <c r="N1550" s="119">
        <f>IF(tech_base!$T86&gt;N$1465,"",(tech_base!$J86/tech_proj!N210*0.086*$N$110)/(1-tech_proj!N490))</f>
        <v>0</v>
      </c>
      <c r="O1550" s="119">
        <f>IF(tech_base!$T86&gt;O$1465,"",(tech_base!$J86/tech_proj!O210*0.086*$N$110)/(1-tech_proj!O490))</f>
        <v>0</v>
      </c>
      <c r="P1550" s="119">
        <f>IF(tech_base!$T86&gt;P$1465,"",(tech_base!$J86/tech_proj!P210*0.086*$N$110)/(1-tech_proj!P490))</f>
        <v>0</v>
      </c>
      <c r="Q1550" s="119">
        <f>IF(tech_base!$T86&gt;Q$1465,"",(tech_base!$J86/tech_proj!Q210*0.086*$N$110)/(1-tech_proj!Q490))</f>
        <v>0</v>
      </c>
      <c r="R1550" s="119">
        <f>IF(tech_base!$T86&gt;R$1465,"",(tech_base!$J86/tech_proj!R210*0.086*$N$110)/(1-tech_proj!R490))</f>
        <v>0</v>
      </c>
      <c r="S1550" s="119">
        <f>IF(tech_base!$T86&gt;S$1465,"",(tech_base!$J86/tech_proj!S210*0.086*$N$110)/(1-tech_proj!S490))</f>
        <v>0</v>
      </c>
      <c r="T1550" s="119">
        <f>IF(tech_base!$T86&gt;T$1465,"",(tech_base!$J86/tech_proj!T210*0.086*$N$110)/(1-tech_proj!T490))</f>
        <v>0</v>
      </c>
      <c r="U1550" s="119">
        <f>IF(tech_base!$T86&gt;U$1465,"",(tech_base!$J86/tech_proj!U210*0.086*$N$110)/(1-tech_proj!U490))</f>
        <v>0</v>
      </c>
      <c r="V1550" s="119">
        <f>IF(tech_base!$T86&gt;V$1465,"",(tech_base!$J86/tech_proj!V210*0.086*$N$110)/(1-tech_proj!V490))</f>
        <v>0</v>
      </c>
      <c r="W1550" s="119">
        <f>IF(tech_base!$T86&gt;W$1465,"",(tech_base!$J86/tech_proj!W210*0.086*$N$110)/(1-tech_proj!W490))</f>
        <v>0</v>
      </c>
      <c r="X1550" s="119">
        <f>IF(tech_base!$T86&gt;X$1465,"",(tech_base!$J86/tech_proj!X210*0.086*$N$110)/(1-tech_proj!X490))</f>
        <v>0</v>
      </c>
      <c r="Y1550" s="119">
        <f>IF(tech_base!$T86&gt;Y$1465,"",(tech_base!$J86/tech_proj!Y210*0.086*$N$110)/(1-tech_proj!Y490))</f>
        <v>0</v>
      </c>
      <c r="Z1550" s="119">
        <f>IF(tech_base!$T86&gt;Z$1465,"",(tech_base!$J86/tech_proj!Z210*0.086*$N$110)/(1-tech_proj!Z490))</f>
        <v>0</v>
      </c>
      <c r="AA1550" s="119">
        <f>IF(tech_base!$T86&gt;AA$1465,"",(tech_base!$J86/tech_proj!AA210*0.086*$N$110)/(1-tech_proj!AA490))</f>
        <v>0</v>
      </c>
      <c r="AB1550" s="119">
        <f>IF(tech_base!$T86&gt;AB$1465,"",(tech_base!$J86/tech_proj!AB210*0.086*$N$110)/(1-tech_proj!AB490))</f>
        <v>0</v>
      </c>
      <c r="AC1550" s="119">
        <f>IF(tech_base!$T86&gt;AC$1465,"",(tech_base!$J86/tech_proj!AC210*0.086*$N$110)/(1-tech_proj!AC490))</f>
        <v>0</v>
      </c>
      <c r="AD1550" s="119">
        <f>IF(tech_base!$T86&gt;AD$1465,"",(tech_base!$J86/tech_proj!AD210*0.086*$N$110)/(1-tech_proj!AD490))</f>
        <v>0</v>
      </c>
      <c r="AE1550" s="119">
        <f>IF(tech_base!$T86&gt;AE$1465,"",(tech_base!$J86/tech_proj!AE210*0.086*$N$110)/(1-tech_proj!AE490))</f>
        <v>0</v>
      </c>
      <c r="AF1550" s="119">
        <f>IF(tech_base!$T86&gt;AF$1465,"",(tech_base!$J86/tech_proj!AF210*0.086*$N$110)/(1-tech_proj!AF490))</f>
        <v>0</v>
      </c>
      <c r="AG1550" s="119">
        <f>IF(tech_base!$T86&gt;AG$1465,"",(tech_base!$J86/tech_proj!AG210*0.086*$N$110)/(1-tech_proj!AG490))</f>
        <v>0</v>
      </c>
      <c r="AH1550" s="119">
        <f>IF(tech_base!$T86&gt;AH$1465,"",(tech_base!$J86/tech_proj!AH210*0.086*$N$110)/(1-tech_proj!AH490))</f>
        <v>0</v>
      </c>
      <c r="AI1550" s="119">
        <f>IF(tech_base!$T86&gt;AI$1465,"",(tech_base!$J86/tech_proj!AI210*0.086*$N$110)/(1-tech_proj!AI490))</f>
        <v>0</v>
      </c>
      <c r="AJ1550" s="119">
        <f>IF(tech_base!$T86&gt;AJ$1465,"",(tech_base!$J86/tech_proj!AJ210*0.086*$N$110)/(1-tech_proj!AJ490))</f>
        <v>0</v>
      </c>
      <c r="AK1550" s="119">
        <f>IF(tech_base!$T86&gt;AK$1465,"",(tech_base!$J86/tech_proj!AK210*0.086*$N$110)/(1-tech_proj!AK490))</f>
        <v>0</v>
      </c>
      <c r="AL1550" s="119">
        <f>IF(tech_base!$T86&gt;AL$1465,"",(tech_base!$J86/tech_proj!AL210*0.086*$N$110)/(1-tech_proj!AL490))</f>
        <v>0</v>
      </c>
      <c r="AM1550" s="119">
        <f>IF(tech_base!$T86&gt;AM$1465,"",(tech_base!$J86/tech_proj!AM210*0.086*$N$110)/(1-tech_proj!AM490))</f>
        <v>0</v>
      </c>
      <c r="AN1550" s="119">
        <f>IF(tech_base!$T86&gt;AN$1465,"",(tech_base!$J86/tech_proj!AN210*0.086*$N$110)/(1-tech_proj!AN490))</f>
        <v>0</v>
      </c>
      <c r="AO1550" s="119">
        <f>IF(tech_base!$T86&gt;AO$1465,"",(tech_base!$J86/tech_proj!AO210*0.086*$N$110)/(1-tech_proj!AO490))</f>
        <v>0</v>
      </c>
      <c r="AP1550" s="119">
        <f>IF(tech_base!$T86&gt;AP$1465,"",(tech_base!$J86/tech_proj!AP210*0.086*$N$110)/(1-tech_proj!AP490))</f>
        <v>0</v>
      </c>
      <c r="AQ1550" s="119">
        <f>IF(tech_base!$T86&gt;AQ$1465,"",(tech_base!$J86/tech_proj!AQ210*0.086*$N$110)/(1-tech_proj!AQ490))</f>
        <v>0</v>
      </c>
      <c r="AR1550" s="119">
        <f>IF(tech_base!$T86&gt;AR$1465,"",(tech_base!$J86/tech_proj!AR210*0.086*$N$110)/(1-tech_proj!AR490))</f>
        <v>0</v>
      </c>
      <c r="AS1550" s="119">
        <f>IF(tech_base!$T86&gt;AS$1465,"",(tech_base!$J86/tech_proj!AS210*0.086*$N$110)/(1-tech_proj!AS490))</f>
        <v>0</v>
      </c>
      <c r="AT1550" s="119">
        <f>IF(tech_base!$T86&gt;AT$1465,"",(tech_base!$J86/tech_proj!AT210*0.086*$N$110)/(1-tech_proj!AT490))</f>
        <v>0</v>
      </c>
      <c r="AU1550" s="119">
        <f>IF(tech_base!$T86&gt;AU$1465,"",(tech_base!$J86/tech_proj!AU210*0.086*$N$110)/(1-tech_proj!AU490))</f>
        <v>0</v>
      </c>
      <c r="AV1550" s="119">
        <f>IF(tech_base!$T86&gt;AV$1465,"",(tech_base!$J86/tech_proj!AV210*0.086*$N$110)/(1-tech_proj!AV490))</f>
        <v>0</v>
      </c>
      <c r="AW1550" s="119">
        <f>IF(tech_base!$T86&gt;AW$1465,"",(tech_base!$J86/tech_proj!AW210*0.086*$N$110)/(1-tech_proj!AW490))</f>
        <v>0</v>
      </c>
      <c r="AX1550" s="120">
        <f>IF(tech_base!$T86&gt;AX$1465,"",(tech_base!$J86/tech_proj!AX210*0.086*$N$110)/(1-tech_proj!AX490))</f>
        <v>0</v>
      </c>
    </row>
    <row r="1551" spans="1:50" x14ac:dyDescent="0.25">
      <c r="A1551" s="356"/>
      <c r="B1551" s="376"/>
      <c r="C1551" s="378"/>
      <c r="D1551" s="2" t="s">
        <v>10</v>
      </c>
      <c r="E1551" s="160" t="str">
        <f>A1549&amp;"/"&amp;B1549&amp;"/"&amp;C1549&amp;"/"&amp;D1551</f>
        <v>Gas fired power plants (Natural gas, biogas)/Gas turbine combined cycle/Electricity only/S</v>
      </c>
      <c r="F1551" s="76" t="str">
        <f>A1549</f>
        <v>Gas fired power plants (Natural gas, biogas)</v>
      </c>
      <c r="G1551" s="76" t="str">
        <f>B1549</f>
        <v>Gas turbine combined cycle</v>
      </c>
      <c r="H1551" s="76" t="str">
        <f>C1549</f>
        <v>Electricity only</v>
      </c>
      <c r="I1551" s="161" t="str">
        <f t="shared" si="378"/>
        <v>S</v>
      </c>
      <c r="J1551" s="119">
        <f>IF(tech_base!$T87&gt;J$1465,"",(tech_base!$J87/tech_proj!J211*0.086*$N$110)/(1-tech_proj!J491))</f>
        <v>0</v>
      </c>
      <c r="K1551" s="119">
        <f>IF(tech_base!$T87&gt;K$1465,"",(tech_base!$J87/tech_proj!K211*0.086*$N$110)/(1-tech_proj!K491))</f>
        <v>0</v>
      </c>
      <c r="L1551" s="119">
        <f>IF(tech_base!$T87&gt;L$1465,"",(tech_base!$J87/tech_proj!L211*0.086*$N$110)/(1-tech_proj!L491))</f>
        <v>0</v>
      </c>
      <c r="M1551" s="119">
        <f>IF(tech_base!$T87&gt;M$1465,"",(tech_base!$J87/tech_proj!M211*0.086*$N$110)/(1-tech_proj!M491))</f>
        <v>0</v>
      </c>
      <c r="N1551" s="119">
        <f>IF(tech_base!$T87&gt;N$1465,"",(tech_base!$J87/tech_proj!N211*0.086*$N$110)/(1-tech_proj!N491))</f>
        <v>0</v>
      </c>
      <c r="O1551" s="119">
        <f>IF(tech_base!$T87&gt;O$1465,"",(tech_base!$J87/tech_proj!O211*0.086*$N$110)/(1-tech_proj!O491))</f>
        <v>0</v>
      </c>
      <c r="P1551" s="119">
        <f>IF(tech_base!$T87&gt;P$1465,"",(tech_base!$J87/tech_proj!P211*0.086*$N$110)/(1-tech_proj!P491))</f>
        <v>0</v>
      </c>
      <c r="Q1551" s="119">
        <f>IF(tech_base!$T87&gt;Q$1465,"",(tech_base!$J87/tech_proj!Q211*0.086*$N$110)/(1-tech_proj!Q491))</f>
        <v>0</v>
      </c>
      <c r="R1551" s="119">
        <f>IF(tech_base!$T87&gt;R$1465,"",(tech_base!$J87/tech_proj!R211*0.086*$N$110)/(1-tech_proj!R491))</f>
        <v>0</v>
      </c>
      <c r="S1551" s="119">
        <f>IF(tech_base!$T87&gt;S$1465,"",(tech_base!$J87/tech_proj!S211*0.086*$N$110)/(1-tech_proj!S491))</f>
        <v>0</v>
      </c>
      <c r="T1551" s="119">
        <f>IF(tech_base!$T87&gt;T$1465,"",(tech_base!$J87/tech_proj!T211*0.086*$N$110)/(1-tech_proj!T491))</f>
        <v>0</v>
      </c>
      <c r="U1551" s="119">
        <f>IF(tech_base!$T87&gt;U$1465,"",(tech_base!$J87/tech_proj!U211*0.086*$N$110)/(1-tech_proj!U491))</f>
        <v>0</v>
      </c>
      <c r="V1551" s="119">
        <f>IF(tech_base!$T87&gt;V$1465,"",(tech_base!$J87/tech_proj!V211*0.086*$N$110)/(1-tech_proj!V491))</f>
        <v>0</v>
      </c>
      <c r="W1551" s="119">
        <f>IF(tech_base!$T87&gt;W$1465,"",(tech_base!$J87/tech_proj!W211*0.086*$N$110)/(1-tech_proj!W491))</f>
        <v>0</v>
      </c>
      <c r="X1551" s="119">
        <f>IF(tech_base!$T87&gt;X$1465,"",(tech_base!$J87/tech_proj!X211*0.086*$N$110)/(1-tech_proj!X491))</f>
        <v>0</v>
      </c>
      <c r="Y1551" s="119">
        <f>IF(tech_base!$T87&gt;Y$1465,"",(tech_base!$J87/tech_proj!Y211*0.086*$N$110)/(1-tech_proj!Y491))</f>
        <v>0</v>
      </c>
      <c r="Z1551" s="119">
        <f>IF(tech_base!$T87&gt;Z$1465,"",(tech_base!$J87/tech_proj!Z211*0.086*$N$110)/(1-tech_proj!Z491))</f>
        <v>0</v>
      </c>
      <c r="AA1551" s="119">
        <f>IF(tech_base!$T87&gt;AA$1465,"",(tech_base!$J87/tech_proj!AA211*0.086*$N$110)/(1-tech_proj!AA491))</f>
        <v>0</v>
      </c>
      <c r="AB1551" s="119">
        <f>IF(tech_base!$T87&gt;AB$1465,"",(tech_base!$J87/tech_proj!AB211*0.086*$N$110)/(1-tech_proj!AB491))</f>
        <v>0</v>
      </c>
      <c r="AC1551" s="119">
        <f>IF(tech_base!$T87&gt;AC$1465,"",(tech_base!$J87/tech_proj!AC211*0.086*$N$110)/(1-tech_proj!AC491))</f>
        <v>0</v>
      </c>
      <c r="AD1551" s="119">
        <f>IF(tech_base!$T87&gt;AD$1465,"",(tech_base!$J87/tech_proj!AD211*0.086*$N$110)/(1-tech_proj!AD491))</f>
        <v>0</v>
      </c>
      <c r="AE1551" s="119">
        <f>IF(tech_base!$T87&gt;AE$1465,"",(tech_base!$J87/tech_proj!AE211*0.086*$N$110)/(1-tech_proj!AE491))</f>
        <v>0</v>
      </c>
      <c r="AF1551" s="119">
        <f>IF(tech_base!$T87&gt;AF$1465,"",(tech_base!$J87/tech_proj!AF211*0.086*$N$110)/(1-tech_proj!AF491))</f>
        <v>0</v>
      </c>
      <c r="AG1551" s="119">
        <f>IF(tech_base!$T87&gt;AG$1465,"",(tech_base!$J87/tech_proj!AG211*0.086*$N$110)/(1-tech_proj!AG491))</f>
        <v>0</v>
      </c>
      <c r="AH1551" s="119">
        <f>IF(tech_base!$T87&gt;AH$1465,"",(tech_base!$J87/tech_proj!AH211*0.086*$N$110)/(1-tech_proj!AH491))</f>
        <v>0</v>
      </c>
      <c r="AI1551" s="119">
        <f>IF(tech_base!$T87&gt;AI$1465,"",(tech_base!$J87/tech_proj!AI211*0.086*$N$110)/(1-tech_proj!AI491))</f>
        <v>0</v>
      </c>
      <c r="AJ1551" s="119">
        <f>IF(tech_base!$T87&gt;AJ$1465,"",(tech_base!$J87/tech_proj!AJ211*0.086*$N$110)/(1-tech_proj!AJ491))</f>
        <v>0</v>
      </c>
      <c r="AK1551" s="119">
        <f>IF(tech_base!$T87&gt;AK$1465,"",(tech_base!$J87/tech_proj!AK211*0.086*$N$110)/(1-tech_proj!AK491))</f>
        <v>0</v>
      </c>
      <c r="AL1551" s="119">
        <f>IF(tech_base!$T87&gt;AL$1465,"",(tech_base!$J87/tech_proj!AL211*0.086*$N$110)/(1-tech_proj!AL491))</f>
        <v>0</v>
      </c>
      <c r="AM1551" s="119">
        <f>IF(tech_base!$T87&gt;AM$1465,"",(tech_base!$J87/tech_proj!AM211*0.086*$N$110)/(1-tech_proj!AM491))</f>
        <v>0</v>
      </c>
      <c r="AN1551" s="119">
        <f>IF(tech_base!$T87&gt;AN$1465,"",(tech_base!$J87/tech_proj!AN211*0.086*$N$110)/(1-tech_proj!AN491))</f>
        <v>0</v>
      </c>
      <c r="AO1551" s="119">
        <f>IF(tech_base!$T87&gt;AO$1465,"",(tech_base!$J87/tech_proj!AO211*0.086*$N$110)/(1-tech_proj!AO491))</f>
        <v>0</v>
      </c>
      <c r="AP1551" s="119">
        <f>IF(tech_base!$T87&gt;AP$1465,"",(tech_base!$J87/tech_proj!AP211*0.086*$N$110)/(1-tech_proj!AP491))</f>
        <v>0</v>
      </c>
      <c r="AQ1551" s="119">
        <f>IF(tech_base!$T87&gt;AQ$1465,"",(tech_base!$J87/tech_proj!AQ211*0.086*$N$110)/(1-tech_proj!AQ491))</f>
        <v>0</v>
      </c>
      <c r="AR1551" s="119">
        <f>IF(tech_base!$T87&gt;AR$1465,"",(tech_base!$J87/tech_proj!AR211*0.086*$N$110)/(1-tech_proj!AR491))</f>
        <v>0</v>
      </c>
      <c r="AS1551" s="119">
        <f>IF(tech_base!$T87&gt;AS$1465,"",(tech_base!$J87/tech_proj!AS211*0.086*$N$110)/(1-tech_proj!AS491))</f>
        <v>0</v>
      </c>
      <c r="AT1551" s="119">
        <f>IF(tech_base!$T87&gt;AT$1465,"",(tech_base!$J87/tech_proj!AT211*0.086*$N$110)/(1-tech_proj!AT491))</f>
        <v>0</v>
      </c>
      <c r="AU1551" s="119">
        <f>IF(tech_base!$T87&gt;AU$1465,"",(tech_base!$J87/tech_proj!AU211*0.086*$N$110)/(1-tech_proj!AU491))</f>
        <v>0</v>
      </c>
      <c r="AV1551" s="119">
        <f>IF(tech_base!$T87&gt;AV$1465,"",(tech_base!$J87/tech_proj!AV211*0.086*$N$110)/(1-tech_proj!AV491))</f>
        <v>0</v>
      </c>
      <c r="AW1551" s="119">
        <f>IF(tech_base!$T87&gt;AW$1465,"",(tech_base!$J87/tech_proj!AW211*0.086*$N$110)/(1-tech_proj!AW491))</f>
        <v>0</v>
      </c>
      <c r="AX1551" s="120">
        <f>IF(tech_base!$T87&gt;AX$1465,"",(tech_base!$J87/tech_proj!AX211*0.086*$N$110)/(1-tech_proj!AX491))</f>
        <v>0</v>
      </c>
    </row>
    <row r="1552" spans="1:50" x14ac:dyDescent="0.25">
      <c r="A1552" s="356"/>
      <c r="B1552" s="376"/>
      <c r="C1552" s="379"/>
      <c r="D1552" s="2" t="s">
        <v>20</v>
      </c>
      <c r="E1552" s="160" t="str">
        <f>A1549&amp;"/"&amp;B1549&amp;"/"&amp;C1549&amp;"/"&amp;D1552</f>
        <v>Gas fired power plants (Natural gas, biogas)/Gas turbine combined cycle/Electricity only/XS</v>
      </c>
      <c r="F1552" s="76" t="str">
        <f>A1549</f>
        <v>Gas fired power plants (Natural gas, biogas)</v>
      </c>
      <c r="G1552" s="76" t="str">
        <f>B1549</f>
        <v>Gas turbine combined cycle</v>
      </c>
      <c r="H1552" s="76" t="str">
        <f>C1549</f>
        <v>Electricity only</v>
      </c>
      <c r="I1552" s="161" t="str">
        <f t="shared" si="378"/>
        <v>XS</v>
      </c>
      <c r="J1552" s="119">
        <f>IF(tech_base!$T88&gt;J$1465,"",(tech_base!$J88/tech_proj!J212*0.086*$N$110)/(1-tech_proj!J492))</f>
        <v>0</v>
      </c>
      <c r="K1552" s="119">
        <f>IF(tech_base!$T88&gt;K$1465,"",(tech_base!$J88/tech_proj!K212*0.086*$N$110)/(1-tech_proj!K492))</f>
        <v>0</v>
      </c>
      <c r="L1552" s="119">
        <f>IF(tech_base!$T88&gt;L$1465,"",(tech_base!$J88/tech_proj!L212*0.086*$N$110)/(1-tech_proj!L492))</f>
        <v>0</v>
      </c>
      <c r="M1552" s="119">
        <f>IF(tech_base!$T88&gt;M$1465,"",(tech_base!$J88/tech_proj!M212*0.086*$N$110)/(1-tech_proj!M492))</f>
        <v>0</v>
      </c>
      <c r="N1552" s="119">
        <f>IF(tech_base!$T88&gt;N$1465,"",(tech_base!$J88/tech_proj!N212*0.086*$N$110)/(1-tech_proj!N492))</f>
        <v>0</v>
      </c>
      <c r="O1552" s="119">
        <f>IF(tech_base!$T88&gt;O$1465,"",(tech_base!$J88/tech_proj!O212*0.086*$N$110)/(1-tech_proj!O492))</f>
        <v>0</v>
      </c>
      <c r="P1552" s="119">
        <f>IF(tech_base!$T88&gt;P$1465,"",(tech_base!$J88/tech_proj!P212*0.086*$N$110)/(1-tech_proj!P492))</f>
        <v>0</v>
      </c>
      <c r="Q1552" s="119">
        <f>IF(tech_base!$T88&gt;Q$1465,"",(tech_base!$J88/tech_proj!Q212*0.086*$N$110)/(1-tech_proj!Q492))</f>
        <v>0</v>
      </c>
      <c r="R1552" s="119">
        <f>IF(tech_base!$T88&gt;R$1465,"",(tech_base!$J88/tech_proj!R212*0.086*$N$110)/(1-tech_proj!R492))</f>
        <v>0</v>
      </c>
      <c r="S1552" s="119">
        <f>IF(tech_base!$T88&gt;S$1465,"",(tech_base!$J88/tech_proj!S212*0.086*$N$110)/(1-tech_proj!S492))</f>
        <v>0</v>
      </c>
      <c r="T1552" s="119">
        <f>IF(tech_base!$T88&gt;T$1465,"",(tech_base!$J88/tech_proj!T212*0.086*$N$110)/(1-tech_proj!T492))</f>
        <v>0</v>
      </c>
      <c r="U1552" s="119">
        <f>IF(tech_base!$T88&gt;U$1465,"",(tech_base!$J88/tech_proj!U212*0.086*$N$110)/(1-tech_proj!U492))</f>
        <v>0</v>
      </c>
      <c r="V1552" s="119">
        <f>IF(tech_base!$T88&gt;V$1465,"",(tech_base!$J88/tech_proj!V212*0.086*$N$110)/(1-tech_proj!V492))</f>
        <v>0</v>
      </c>
      <c r="W1552" s="119">
        <f>IF(tech_base!$T88&gt;W$1465,"",(tech_base!$J88/tech_proj!W212*0.086*$N$110)/(1-tech_proj!W492))</f>
        <v>0</v>
      </c>
      <c r="X1552" s="119">
        <f>IF(tech_base!$T88&gt;X$1465,"",(tech_base!$J88/tech_proj!X212*0.086*$N$110)/(1-tech_proj!X492))</f>
        <v>0</v>
      </c>
      <c r="Y1552" s="119">
        <f>IF(tech_base!$T88&gt;Y$1465,"",(tech_base!$J88/tech_proj!Y212*0.086*$N$110)/(1-tech_proj!Y492))</f>
        <v>0</v>
      </c>
      <c r="Z1552" s="119">
        <f>IF(tech_base!$T88&gt;Z$1465,"",(tech_base!$J88/tech_proj!Z212*0.086*$N$110)/(1-tech_proj!Z492))</f>
        <v>0</v>
      </c>
      <c r="AA1552" s="119">
        <f>IF(tech_base!$T88&gt;AA$1465,"",(tech_base!$J88/tech_proj!AA212*0.086*$N$110)/(1-tech_proj!AA492))</f>
        <v>0</v>
      </c>
      <c r="AB1552" s="119">
        <f>IF(tech_base!$T88&gt;AB$1465,"",(tech_base!$J88/tech_proj!AB212*0.086*$N$110)/(1-tech_proj!AB492))</f>
        <v>0</v>
      </c>
      <c r="AC1552" s="119">
        <f>IF(tech_base!$T88&gt;AC$1465,"",(tech_base!$J88/tech_proj!AC212*0.086*$N$110)/(1-tech_proj!AC492))</f>
        <v>0</v>
      </c>
      <c r="AD1552" s="119">
        <f>IF(tech_base!$T88&gt;AD$1465,"",(tech_base!$J88/tech_proj!AD212*0.086*$N$110)/(1-tech_proj!AD492))</f>
        <v>0</v>
      </c>
      <c r="AE1552" s="119">
        <f>IF(tech_base!$T88&gt;AE$1465,"",(tech_base!$J88/tech_proj!AE212*0.086*$N$110)/(1-tech_proj!AE492))</f>
        <v>0</v>
      </c>
      <c r="AF1552" s="119">
        <f>IF(tech_base!$T88&gt;AF$1465,"",(tech_base!$J88/tech_proj!AF212*0.086*$N$110)/(1-tech_proj!AF492))</f>
        <v>0</v>
      </c>
      <c r="AG1552" s="119">
        <f>IF(tech_base!$T88&gt;AG$1465,"",(tech_base!$J88/tech_proj!AG212*0.086*$N$110)/(1-tech_proj!AG492))</f>
        <v>0</v>
      </c>
      <c r="AH1552" s="119">
        <f>IF(tech_base!$T88&gt;AH$1465,"",(tech_base!$J88/tech_proj!AH212*0.086*$N$110)/(1-tech_proj!AH492))</f>
        <v>0</v>
      </c>
      <c r="AI1552" s="119">
        <f>IF(tech_base!$T88&gt;AI$1465,"",(tech_base!$J88/tech_proj!AI212*0.086*$N$110)/(1-tech_proj!AI492))</f>
        <v>0</v>
      </c>
      <c r="AJ1552" s="119">
        <f>IF(tech_base!$T88&gt;AJ$1465,"",(tech_base!$J88/tech_proj!AJ212*0.086*$N$110)/(1-tech_proj!AJ492))</f>
        <v>0</v>
      </c>
      <c r="AK1552" s="119">
        <f>IF(tech_base!$T88&gt;AK$1465,"",(tech_base!$J88/tech_proj!AK212*0.086*$N$110)/(1-tech_proj!AK492))</f>
        <v>0</v>
      </c>
      <c r="AL1552" s="119">
        <f>IF(tech_base!$T88&gt;AL$1465,"",(tech_base!$J88/tech_proj!AL212*0.086*$N$110)/(1-tech_proj!AL492))</f>
        <v>0</v>
      </c>
      <c r="AM1552" s="119">
        <f>IF(tech_base!$T88&gt;AM$1465,"",(tech_base!$J88/tech_proj!AM212*0.086*$N$110)/(1-tech_proj!AM492))</f>
        <v>0</v>
      </c>
      <c r="AN1552" s="119">
        <f>IF(tech_base!$T88&gt;AN$1465,"",(tech_base!$J88/tech_proj!AN212*0.086*$N$110)/(1-tech_proj!AN492))</f>
        <v>0</v>
      </c>
      <c r="AO1552" s="119">
        <f>IF(tech_base!$T88&gt;AO$1465,"",(tech_base!$J88/tech_proj!AO212*0.086*$N$110)/(1-tech_proj!AO492))</f>
        <v>0</v>
      </c>
      <c r="AP1552" s="119">
        <f>IF(tech_base!$T88&gt;AP$1465,"",(tech_base!$J88/tech_proj!AP212*0.086*$N$110)/(1-tech_proj!AP492))</f>
        <v>0</v>
      </c>
      <c r="AQ1552" s="119">
        <f>IF(tech_base!$T88&gt;AQ$1465,"",(tech_base!$J88/tech_proj!AQ212*0.086*$N$110)/(1-tech_proj!AQ492))</f>
        <v>0</v>
      </c>
      <c r="AR1552" s="119">
        <f>IF(tech_base!$T88&gt;AR$1465,"",(tech_base!$J88/tech_proj!AR212*0.086*$N$110)/(1-tech_proj!AR492))</f>
        <v>0</v>
      </c>
      <c r="AS1552" s="119">
        <f>IF(tech_base!$T88&gt;AS$1465,"",(tech_base!$J88/tech_proj!AS212*0.086*$N$110)/(1-tech_proj!AS492))</f>
        <v>0</v>
      </c>
      <c r="AT1552" s="119">
        <f>IF(tech_base!$T88&gt;AT$1465,"",(tech_base!$J88/tech_proj!AT212*0.086*$N$110)/(1-tech_proj!AT492))</f>
        <v>0</v>
      </c>
      <c r="AU1552" s="119">
        <f>IF(tech_base!$T88&gt;AU$1465,"",(tech_base!$J88/tech_proj!AU212*0.086*$N$110)/(1-tech_proj!AU492))</f>
        <v>0</v>
      </c>
      <c r="AV1552" s="119">
        <f>IF(tech_base!$T88&gt;AV$1465,"",(tech_base!$J88/tech_proj!AV212*0.086*$N$110)/(1-tech_proj!AV492))</f>
        <v>0</v>
      </c>
      <c r="AW1552" s="119">
        <f>IF(tech_base!$T88&gt;AW$1465,"",(tech_base!$J88/tech_proj!AW212*0.086*$N$110)/(1-tech_proj!AW492))</f>
        <v>0</v>
      </c>
      <c r="AX1552" s="120">
        <f>IF(tech_base!$T88&gt;AX$1465,"",(tech_base!$J88/tech_proj!AX212*0.086*$N$110)/(1-tech_proj!AX492))</f>
        <v>0</v>
      </c>
    </row>
    <row r="1553" spans="1:50" x14ac:dyDescent="0.25">
      <c r="A1553" s="356"/>
      <c r="B1553" s="376"/>
      <c r="C1553" s="361" t="s">
        <v>14</v>
      </c>
      <c r="D1553" s="58" t="s">
        <v>7</v>
      </c>
      <c r="E1553" s="164" t="str">
        <f>A1549&amp;"/"&amp;B1549&amp;"/"&amp;C1553&amp;"/"&amp;D1553</f>
        <v>Gas fired power plants (Natural gas, biogas)/Gas turbine combined cycle/CHP/L</v>
      </c>
      <c r="F1553" s="78" t="str">
        <f>A1549</f>
        <v>Gas fired power plants (Natural gas, biogas)</v>
      </c>
      <c r="G1553" s="78" t="str">
        <f>B1549</f>
        <v>Gas turbine combined cycle</v>
      </c>
      <c r="H1553" s="78" t="str">
        <f>C1553</f>
        <v>CHP</v>
      </c>
      <c r="I1553" s="165" t="str">
        <f t="shared" si="378"/>
        <v>L</v>
      </c>
      <c r="J1553" s="123">
        <f>IF(tech_base!$T89&gt;J$1465,"",(tech_base!$J89/tech_proj!J213*0.086*$N$110)/(1-tech_proj!J493))</f>
        <v>0</v>
      </c>
      <c r="K1553" s="123">
        <f>IF(tech_base!$T89&gt;K$1465,"",(tech_base!$J89/tech_proj!K213*0.086*$N$110)/(1-tech_proj!K493))</f>
        <v>0</v>
      </c>
      <c r="L1553" s="123">
        <f>IF(tech_base!$T89&gt;L$1465,"",(tech_base!$J89/tech_proj!L213*0.086*$N$110)/(1-tech_proj!L493))</f>
        <v>0</v>
      </c>
      <c r="M1553" s="123">
        <f>IF(tech_base!$T89&gt;M$1465,"",(tech_base!$J89/tech_proj!M213*0.086*$N$110)/(1-tech_proj!M493))</f>
        <v>0</v>
      </c>
      <c r="N1553" s="123">
        <f>IF(tech_base!$T89&gt;N$1465,"",(tech_base!$J89/tech_proj!N213*0.086*$N$110)/(1-tech_proj!N493))</f>
        <v>0</v>
      </c>
      <c r="O1553" s="123">
        <f>IF(tech_base!$T89&gt;O$1465,"",(tech_base!$J89/tech_proj!O213*0.086*$N$110)/(1-tech_proj!O493))</f>
        <v>0</v>
      </c>
      <c r="P1553" s="123">
        <f>IF(tech_base!$T89&gt;P$1465,"",(tech_base!$J89/tech_proj!P213*0.086*$N$110)/(1-tech_proj!P493))</f>
        <v>0</v>
      </c>
      <c r="Q1553" s="123">
        <f>IF(tech_base!$T89&gt;Q$1465,"",(tech_base!$J89/tech_proj!Q213*0.086*$N$110)/(1-tech_proj!Q493))</f>
        <v>0</v>
      </c>
      <c r="R1553" s="123">
        <f>IF(tech_base!$T89&gt;R$1465,"",(tech_base!$J89/tech_proj!R213*0.086*$N$110)/(1-tech_proj!R493))</f>
        <v>0</v>
      </c>
      <c r="S1553" s="123">
        <f>IF(tech_base!$T89&gt;S$1465,"",(tech_base!$J89/tech_proj!S213*0.086*$N$110)/(1-tech_proj!S493))</f>
        <v>0</v>
      </c>
      <c r="T1553" s="123">
        <f>IF(tech_base!$T89&gt;T$1465,"",(tech_base!$J89/tech_proj!T213*0.086*$N$110)/(1-tech_proj!T493))</f>
        <v>0</v>
      </c>
      <c r="U1553" s="123">
        <f>IF(tech_base!$T89&gt;U$1465,"",(tech_base!$J89/tech_proj!U213*0.086*$N$110)/(1-tech_proj!U493))</f>
        <v>0</v>
      </c>
      <c r="V1553" s="123">
        <f>IF(tech_base!$T89&gt;V$1465,"",(tech_base!$J89/tech_proj!V213*0.086*$N$110)/(1-tech_proj!V493))</f>
        <v>0</v>
      </c>
      <c r="W1553" s="123">
        <f>IF(tech_base!$T89&gt;W$1465,"",(tech_base!$J89/tech_proj!W213*0.086*$N$110)/(1-tech_proj!W493))</f>
        <v>0</v>
      </c>
      <c r="X1553" s="123">
        <f>IF(tech_base!$T89&gt;X$1465,"",(tech_base!$J89/tech_proj!X213*0.086*$N$110)/(1-tech_proj!X493))</f>
        <v>0</v>
      </c>
      <c r="Y1553" s="123">
        <f>IF(tech_base!$T89&gt;Y$1465,"",(tech_base!$J89/tech_proj!Y213*0.086*$N$110)/(1-tech_proj!Y493))</f>
        <v>0</v>
      </c>
      <c r="Z1553" s="123">
        <f>IF(tech_base!$T89&gt;Z$1465,"",(tech_base!$J89/tech_proj!Z213*0.086*$N$110)/(1-tech_proj!Z493))</f>
        <v>0</v>
      </c>
      <c r="AA1553" s="123">
        <f>IF(tech_base!$T89&gt;AA$1465,"",(tech_base!$J89/tech_proj!AA213*0.086*$N$110)/(1-tech_proj!AA493))</f>
        <v>0</v>
      </c>
      <c r="AB1553" s="123">
        <f>IF(tech_base!$T89&gt;AB$1465,"",(tech_base!$J89/tech_proj!AB213*0.086*$N$110)/(1-tech_proj!AB493))</f>
        <v>0</v>
      </c>
      <c r="AC1553" s="123">
        <f>IF(tech_base!$T89&gt;AC$1465,"",(tech_base!$J89/tech_proj!AC213*0.086*$N$110)/(1-tech_proj!AC493))</f>
        <v>0</v>
      </c>
      <c r="AD1553" s="123">
        <f>IF(tech_base!$T89&gt;AD$1465,"",(tech_base!$J89/tech_proj!AD213*0.086*$N$110)/(1-tech_proj!AD493))</f>
        <v>0</v>
      </c>
      <c r="AE1553" s="123">
        <f>IF(tech_base!$T89&gt;AE$1465,"",(tech_base!$J89/tech_proj!AE213*0.086*$N$110)/(1-tech_proj!AE493))</f>
        <v>0</v>
      </c>
      <c r="AF1553" s="123">
        <f>IF(tech_base!$T89&gt;AF$1465,"",(tech_base!$J89/tech_proj!AF213*0.086*$N$110)/(1-tech_proj!AF493))</f>
        <v>0</v>
      </c>
      <c r="AG1553" s="123">
        <f>IF(tech_base!$T89&gt;AG$1465,"",(tech_base!$J89/tech_proj!AG213*0.086*$N$110)/(1-tech_proj!AG493))</f>
        <v>0</v>
      </c>
      <c r="AH1553" s="123">
        <f>IF(tech_base!$T89&gt;AH$1465,"",(tech_base!$J89/tech_proj!AH213*0.086*$N$110)/(1-tech_proj!AH493))</f>
        <v>0</v>
      </c>
      <c r="AI1553" s="123">
        <f>IF(tech_base!$T89&gt;AI$1465,"",(tech_base!$J89/tech_proj!AI213*0.086*$N$110)/(1-tech_proj!AI493))</f>
        <v>0</v>
      </c>
      <c r="AJ1553" s="123">
        <f>IF(tech_base!$T89&gt;AJ$1465,"",(tech_base!$J89/tech_proj!AJ213*0.086*$N$110)/(1-tech_proj!AJ493))</f>
        <v>0</v>
      </c>
      <c r="AK1553" s="123">
        <f>IF(tech_base!$T89&gt;AK$1465,"",(tech_base!$J89/tech_proj!AK213*0.086*$N$110)/(1-tech_proj!AK493))</f>
        <v>0</v>
      </c>
      <c r="AL1553" s="123">
        <f>IF(tech_base!$T89&gt;AL$1465,"",(tech_base!$J89/tech_proj!AL213*0.086*$N$110)/(1-tech_proj!AL493))</f>
        <v>0</v>
      </c>
      <c r="AM1553" s="123">
        <f>IF(tech_base!$T89&gt;AM$1465,"",(tech_base!$J89/tech_proj!AM213*0.086*$N$110)/(1-tech_proj!AM493))</f>
        <v>0</v>
      </c>
      <c r="AN1553" s="123">
        <f>IF(tech_base!$T89&gt;AN$1465,"",(tech_base!$J89/tech_proj!AN213*0.086*$N$110)/(1-tech_proj!AN493))</f>
        <v>0</v>
      </c>
      <c r="AO1553" s="123">
        <f>IF(tech_base!$T89&gt;AO$1465,"",(tech_base!$J89/tech_proj!AO213*0.086*$N$110)/(1-tech_proj!AO493))</f>
        <v>0</v>
      </c>
      <c r="AP1553" s="123">
        <f>IF(tech_base!$T89&gt;AP$1465,"",(tech_base!$J89/tech_proj!AP213*0.086*$N$110)/(1-tech_proj!AP493))</f>
        <v>0</v>
      </c>
      <c r="AQ1553" s="123">
        <f>IF(tech_base!$T89&gt;AQ$1465,"",(tech_base!$J89/tech_proj!AQ213*0.086*$N$110)/(1-tech_proj!AQ493))</f>
        <v>0</v>
      </c>
      <c r="AR1553" s="123">
        <f>IF(tech_base!$T89&gt;AR$1465,"",(tech_base!$J89/tech_proj!AR213*0.086*$N$110)/(1-tech_proj!AR493))</f>
        <v>0</v>
      </c>
      <c r="AS1553" s="123">
        <f>IF(tech_base!$T89&gt;AS$1465,"",(tech_base!$J89/tech_proj!AS213*0.086*$N$110)/(1-tech_proj!AS493))</f>
        <v>0</v>
      </c>
      <c r="AT1553" s="123">
        <f>IF(tech_base!$T89&gt;AT$1465,"",(tech_base!$J89/tech_proj!AT213*0.086*$N$110)/(1-tech_proj!AT493))</f>
        <v>0</v>
      </c>
      <c r="AU1553" s="123">
        <f>IF(tech_base!$T89&gt;AU$1465,"",(tech_base!$J89/tech_proj!AU213*0.086*$N$110)/(1-tech_proj!AU493))</f>
        <v>0</v>
      </c>
      <c r="AV1553" s="123">
        <f>IF(tech_base!$T89&gt;AV$1465,"",(tech_base!$J89/tech_proj!AV213*0.086*$N$110)/(1-tech_proj!AV493))</f>
        <v>0</v>
      </c>
      <c r="AW1553" s="123">
        <f>IF(tech_base!$T89&gt;AW$1465,"",(tech_base!$J89/tech_proj!AW213*0.086*$N$110)/(1-tech_proj!AW493))</f>
        <v>0</v>
      </c>
      <c r="AX1553" s="124">
        <f>IF(tech_base!$T89&gt;AX$1465,"",(tech_base!$J89/tech_proj!AX213*0.086*$N$110)/(1-tech_proj!AX493))</f>
        <v>0</v>
      </c>
    </row>
    <row r="1554" spans="1:50" x14ac:dyDescent="0.25">
      <c r="A1554" s="356"/>
      <c r="B1554" s="376"/>
      <c r="C1554" s="378"/>
      <c r="D1554" s="2" t="s">
        <v>8</v>
      </c>
      <c r="E1554" s="160" t="str">
        <f>A1549&amp;"/"&amp;B1549&amp;"/"&amp;C1553&amp;"/"&amp;D1554</f>
        <v>Gas fired power plants (Natural gas, biogas)/Gas turbine combined cycle/CHP/M</v>
      </c>
      <c r="F1554" s="76" t="str">
        <f>A1549</f>
        <v>Gas fired power plants (Natural gas, biogas)</v>
      </c>
      <c r="G1554" s="76" t="str">
        <f>B1549</f>
        <v>Gas turbine combined cycle</v>
      </c>
      <c r="H1554" s="76" t="str">
        <f>C1553</f>
        <v>CHP</v>
      </c>
      <c r="I1554" s="161" t="str">
        <f t="shared" si="378"/>
        <v>M</v>
      </c>
      <c r="J1554" s="119">
        <f>IF(tech_base!$T90&gt;J$1465,"",(tech_base!$J90/tech_proj!J214*0.086*$N$110)/(1-tech_proj!J494))</f>
        <v>0</v>
      </c>
      <c r="K1554" s="119">
        <f>IF(tech_base!$T90&gt;K$1465,"",(tech_base!$J90/tech_proj!K214*0.086*$N$110)/(1-tech_proj!K494))</f>
        <v>0</v>
      </c>
      <c r="L1554" s="119">
        <f>IF(tech_base!$T90&gt;L$1465,"",(tech_base!$J90/tech_proj!L214*0.086*$N$110)/(1-tech_proj!L494))</f>
        <v>0</v>
      </c>
      <c r="M1554" s="119">
        <f>IF(tech_base!$T90&gt;M$1465,"",(tech_base!$J90/tech_proj!M214*0.086*$N$110)/(1-tech_proj!M494))</f>
        <v>0</v>
      </c>
      <c r="N1554" s="119">
        <f>IF(tech_base!$T90&gt;N$1465,"",(tech_base!$J90/tech_proj!N214*0.086*$N$110)/(1-tech_proj!N494))</f>
        <v>0</v>
      </c>
      <c r="O1554" s="119">
        <f>IF(tech_base!$T90&gt;O$1465,"",(tech_base!$J90/tech_proj!O214*0.086*$N$110)/(1-tech_proj!O494))</f>
        <v>0</v>
      </c>
      <c r="P1554" s="119">
        <f>IF(tech_base!$T90&gt;P$1465,"",(tech_base!$J90/tech_proj!P214*0.086*$N$110)/(1-tech_proj!P494))</f>
        <v>0</v>
      </c>
      <c r="Q1554" s="119">
        <f>IF(tech_base!$T90&gt;Q$1465,"",(tech_base!$J90/tech_proj!Q214*0.086*$N$110)/(1-tech_proj!Q494))</f>
        <v>0</v>
      </c>
      <c r="R1554" s="119">
        <f>IF(tech_base!$T90&gt;R$1465,"",(tech_base!$J90/tech_proj!R214*0.086*$N$110)/(1-tech_proj!R494))</f>
        <v>0</v>
      </c>
      <c r="S1554" s="119">
        <f>IF(tech_base!$T90&gt;S$1465,"",(tech_base!$J90/tech_proj!S214*0.086*$N$110)/(1-tech_proj!S494))</f>
        <v>0</v>
      </c>
      <c r="T1554" s="119">
        <f>IF(tech_base!$T90&gt;T$1465,"",(tech_base!$J90/tech_proj!T214*0.086*$N$110)/(1-tech_proj!T494))</f>
        <v>0</v>
      </c>
      <c r="U1554" s="119">
        <f>IF(tech_base!$T90&gt;U$1465,"",(tech_base!$J90/tech_proj!U214*0.086*$N$110)/(1-tech_proj!U494))</f>
        <v>0</v>
      </c>
      <c r="V1554" s="119">
        <f>IF(tech_base!$T90&gt;V$1465,"",(tech_base!$J90/tech_proj!V214*0.086*$N$110)/(1-tech_proj!V494))</f>
        <v>0</v>
      </c>
      <c r="W1554" s="119">
        <f>IF(tech_base!$T90&gt;W$1465,"",(tech_base!$J90/tech_proj!W214*0.086*$N$110)/(1-tech_proj!W494))</f>
        <v>0</v>
      </c>
      <c r="X1554" s="119">
        <f>IF(tech_base!$T90&gt;X$1465,"",(tech_base!$J90/tech_proj!X214*0.086*$N$110)/(1-tech_proj!X494))</f>
        <v>0</v>
      </c>
      <c r="Y1554" s="119">
        <f>IF(tech_base!$T90&gt;Y$1465,"",(tech_base!$J90/tech_proj!Y214*0.086*$N$110)/(1-tech_proj!Y494))</f>
        <v>0</v>
      </c>
      <c r="Z1554" s="119">
        <f>IF(tech_base!$T90&gt;Z$1465,"",(tech_base!$J90/tech_proj!Z214*0.086*$N$110)/(1-tech_proj!Z494))</f>
        <v>0</v>
      </c>
      <c r="AA1554" s="119">
        <f>IF(tech_base!$T90&gt;AA$1465,"",(tech_base!$J90/tech_proj!AA214*0.086*$N$110)/(1-tech_proj!AA494))</f>
        <v>0</v>
      </c>
      <c r="AB1554" s="119">
        <f>IF(tech_base!$T90&gt;AB$1465,"",(tech_base!$J90/tech_proj!AB214*0.086*$N$110)/(1-tech_proj!AB494))</f>
        <v>0</v>
      </c>
      <c r="AC1554" s="119">
        <f>IF(tech_base!$T90&gt;AC$1465,"",(tech_base!$J90/tech_proj!AC214*0.086*$N$110)/(1-tech_proj!AC494))</f>
        <v>0</v>
      </c>
      <c r="AD1554" s="119">
        <f>IF(tech_base!$T90&gt;AD$1465,"",(tech_base!$J90/tech_proj!AD214*0.086*$N$110)/(1-tech_proj!AD494))</f>
        <v>0</v>
      </c>
      <c r="AE1554" s="119">
        <f>IF(tech_base!$T90&gt;AE$1465,"",(tech_base!$J90/tech_proj!AE214*0.086*$N$110)/(1-tech_proj!AE494))</f>
        <v>0</v>
      </c>
      <c r="AF1554" s="119">
        <f>IF(tech_base!$T90&gt;AF$1465,"",(tech_base!$J90/tech_proj!AF214*0.086*$N$110)/(1-tech_proj!AF494))</f>
        <v>0</v>
      </c>
      <c r="AG1554" s="119">
        <f>IF(tech_base!$T90&gt;AG$1465,"",(tech_base!$J90/tech_proj!AG214*0.086*$N$110)/(1-tech_proj!AG494))</f>
        <v>0</v>
      </c>
      <c r="AH1554" s="119">
        <f>IF(tech_base!$T90&gt;AH$1465,"",(tech_base!$J90/tech_proj!AH214*0.086*$N$110)/(1-tech_proj!AH494))</f>
        <v>0</v>
      </c>
      <c r="AI1554" s="119">
        <f>IF(tech_base!$T90&gt;AI$1465,"",(tech_base!$J90/tech_proj!AI214*0.086*$N$110)/(1-tech_proj!AI494))</f>
        <v>0</v>
      </c>
      <c r="AJ1554" s="119">
        <f>IF(tech_base!$T90&gt;AJ$1465,"",(tech_base!$J90/tech_proj!AJ214*0.086*$N$110)/(1-tech_proj!AJ494))</f>
        <v>0</v>
      </c>
      <c r="AK1554" s="119">
        <f>IF(tech_base!$T90&gt;AK$1465,"",(tech_base!$J90/tech_proj!AK214*0.086*$N$110)/(1-tech_proj!AK494))</f>
        <v>0</v>
      </c>
      <c r="AL1554" s="119">
        <f>IF(tech_base!$T90&gt;AL$1465,"",(tech_base!$J90/tech_proj!AL214*0.086*$N$110)/(1-tech_proj!AL494))</f>
        <v>0</v>
      </c>
      <c r="AM1554" s="119">
        <f>IF(tech_base!$T90&gt;AM$1465,"",(tech_base!$J90/tech_proj!AM214*0.086*$N$110)/(1-tech_proj!AM494))</f>
        <v>0</v>
      </c>
      <c r="AN1554" s="119">
        <f>IF(tech_base!$T90&gt;AN$1465,"",(tech_base!$J90/tech_proj!AN214*0.086*$N$110)/(1-tech_proj!AN494))</f>
        <v>0</v>
      </c>
      <c r="AO1554" s="119">
        <f>IF(tech_base!$T90&gt;AO$1465,"",(tech_base!$J90/tech_proj!AO214*0.086*$N$110)/(1-tech_proj!AO494))</f>
        <v>0</v>
      </c>
      <c r="AP1554" s="119">
        <f>IF(tech_base!$T90&gt;AP$1465,"",(tech_base!$J90/tech_proj!AP214*0.086*$N$110)/(1-tech_proj!AP494))</f>
        <v>0</v>
      </c>
      <c r="AQ1554" s="119">
        <f>IF(tech_base!$T90&gt;AQ$1465,"",(tech_base!$J90/tech_proj!AQ214*0.086*$N$110)/(1-tech_proj!AQ494))</f>
        <v>0</v>
      </c>
      <c r="AR1554" s="119">
        <f>IF(tech_base!$T90&gt;AR$1465,"",(tech_base!$J90/tech_proj!AR214*0.086*$N$110)/(1-tech_proj!AR494))</f>
        <v>0</v>
      </c>
      <c r="AS1554" s="119">
        <f>IF(tech_base!$T90&gt;AS$1465,"",(tech_base!$J90/tech_proj!AS214*0.086*$N$110)/(1-tech_proj!AS494))</f>
        <v>0</v>
      </c>
      <c r="AT1554" s="119">
        <f>IF(tech_base!$T90&gt;AT$1465,"",(tech_base!$J90/tech_proj!AT214*0.086*$N$110)/(1-tech_proj!AT494))</f>
        <v>0</v>
      </c>
      <c r="AU1554" s="119">
        <f>IF(tech_base!$T90&gt;AU$1465,"",(tech_base!$J90/tech_proj!AU214*0.086*$N$110)/(1-tech_proj!AU494))</f>
        <v>0</v>
      </c>
      <c r="AV1554" s="119">
        <f>IF(tech_base!$T90&gt;AV$1465,"",(tech_base!$J90/tech_proj!AV214*0.086*$N$110)/(1-tech_proj!AV494))</f>
        <v>0</v>
      </c>
      <c r="AW1554" s="119">
        <f>IF(tech_base!$T90&gt;AW$1465,"",(tech_base!$J90/tech_proj!AW214*0.086*$N$110)/(1-tech_proj!AW494))</f>
        <v>0</v>
      </c>
      <c r="AX1554" s="120">
        <f>IF(tech_base!$T90&gt;AX$1465,"",(tech_base!$J90/tech_proj!AX214*0.086*$N$110)/(1-tech_proj!AX494))</f>
        <v>0</v>
      </c>
    </row>
    <row r="1555" spans="1:50" x14ac:dyDescent="0.25">
      <c r="A1555" s="356"/>
      <c r="B1555" s="376"/>
      <c r="C1555" s="378"/>
      <c r="D1555" s="2" t="s">
        <v>10</v>
      </c>
      <c r="E1555" s="160" t="str">
        <f>A1549&amp;"/"&amp;B1549&amp;"/"&amp;C1553&amp;"/"&amp;D1555</f>
        <v>Gas fired power plants (Natural gas, biogas)/Gas turbine combined cycle/CHP/S</v>
      </c>
      <c r="F1555" s="76" t="str">
        <f>A1549</f>
        <v>Gas fired power plants (Natural gas, biogas)</v>
      </c>
      <c r="G1555" s="76" t="str">
        <f>B1549</f>
        <v>Gas turbine combined cycle</v>
      </c>
      <c r="H1555" s="76" t="str">
        <f>C1553</f>
        <v>CHP</v>
      </c>
      <c r="I1555" s="161" t="str">
        <f t="shared" si="378"/>
        <v>S</v>
      </c>
      <c r="J1555" s="119">
        <f>IF(tech_base!$T91&gt;J$1465,"",(tech_base!$J91/tech_proj!J215*0.086*$N$110)/(1-tech_proj!J495))</f>
        <v>0</v>
      </c>
      <c r="K1555" s="119">
        <f>IF(tech_base!$T91&gt;K$1465,"",(tech_base!$J91/tech_proj!K215*0.086*$N$110)/(1-tech_proj!K495))</f>
        <v>0</v>
      </c>
      <c r="L1555" s="119">
        <f>IF(tech_base!$T91&gt;L$1465,"",(tech_base!$J91/tech_proj!L215*0.086*$N$110)/(1-tech_proj!L495))</f>
        <v>0</v>
      </c>
      <c r="M1555" s="119">
        <f>IF(tech_base!$T91&gt;M$1465,"",(tech_base!$J91/tech_proj!M215*0.086*$N$110)/(1-tech_proj!M495))</f>
        <v>0</v>
      </c>
      <c r="N1555" s="119">
        <f>IF(tech_base!$T91&gt;N$1465,"",(tech_base!$J91/tech_proj!N215*0.086*$N$110)/(1-tech_proj!N495))</f>
        <v>0</v>
      </c>
      <c r="O1555" s="119">
        <f>IF(tech_base!$T91&gt;O$1465,"",(tech_base!$J91/tech_proj!O215*0.086*$N$110)/(1-tech_proj!O495))</f>
        <v>0</v>
      </c>
      <c r="P1555" s="119">
        <f>IF(tech_base!$T91&gt;P$1465,"",(tech_base!$J91/tech_proj!P215*0.086*$N$110)/(1-tech_proj!P495))</f>
        <v>0</v>
      </c>
      <c r="Q1555" s="119">
        <f>IF(tech_base!$T91&gt;Q$1465,"",(tech_base!$J91/tech_proj!Q215*0.086*$N$110)/(1-tech_proj!Q495))</f>
        <v>0</v>
      </c>
      <c r="R1555" s="119">
        <f>IF(tech_base!$T91&gt;R$1465,"",(tech_base!$J91/tech_proj!R215*0.086*$N$110)/(1-tech_proj!R495))</f>
        <v>0</v>
      </c>
      <c r="S1555" s="119">
        <f>IF(tech_base!$T91&gt;S$1465,"",(tech_base!$J91/tech_proj!S215*0.086*$N$110)/(1-tech_proj!S495))</f>
        <v>0</v>
      </c>
      <c r="T1555" s="119">
        <f>IF(tech_base!$T91&gt;T$1465,"",(tech_base!$J91/tech_proj!T215*0.086*$N$110)/(1-tech_proj!T495))</f>
        <v>0</v>
      </c>
      <c r="U1555" s="119">
        <f>IF(tech_base!$T91&gt;U$1465,"",(tech_base!$J91/tech_proj!U215*0.086*$N$110)/(1-tech_proj!U495))</f>
        <v>0</v>
      </c>
      <c r="V1555" s="119">
        <f>IF(tech_base!$T91&gt;V$1465,"",(tech_base!$J91/tech_proj!V215*0.086*$N$110)/(1-tech_proj!V495))</f>
        <v>0</v>
      </c>
      <c r="W1555" s="119">
        <f>IF(tech_base!$T91&gt;W$1465,"",(tech_base!$J91/tech_proj!W215*0.086*$N$110)/(1-tech_proj!W495))</f>
        <v>0</v>
      </c>
      <c r="X1555" s="119">
        <f>IF(tech_base!$T91&gt;X$1465,"",(tech_base!$J91/tech_proj!X215*0.086*$N$110)/(1-tech_proj!X495))</f>
        <v>0</v>
      </c>
      <c r="Y1555" s="119">
        <f>IF(tech_base!$T91&gt;Y$1465,"",(tech_base!$J91/tech_proj!Y215*0.086*$N$110)/(1-tech_proj!Y495))</f>
        <v>0</v>
      </c>
      <c r="Z1555" s="119">
        <f>IF(tech_base!$T91&gt;Z$1465,"",(tech_base!$J91/tech_proj!Z215*0.086*$N$110)/(1-tech_proj!Z495))</f>
        <v>0</v>
      </c>
      <c r="AA1555" s="119">
        <f>IF(tech_base!$T91&gt;AA$1465,"",(tech_base!$J91/tech_proj!AA215*0.086*$N$110)/(1-tech_proj!AA495))</f>
        <v>0</v>
      </c>
      <c r="AB1555" s="119">
        <f>IF(tech_base!$T91&gt;AB$1465,"",(tech_base!$J91/tech_proj!AB215*0.086*$N$110)/(1-tech_proj!AB495))</f>
        <v>0</v>
      </c>
      <c r="AC1555" s="119">
        <f>IF(tech_base!$T91&gt;AC$1465,"",(tech_base!$J91/tech_proj!AC215*0.086*$N$110)/(1-tech_proj!AC495))</f>
        <v>0</v>
      </c>
      <c r="AD1555" s="119">
        <f>IF(tech_base!$T91&gt;AD$1465,"",(tech_base!$J91/tech_proj!AD215*0.086*$N$110)/(1-tech_proj!AD495))</f>
        <v>0</v>
      </c>
      <c r="AE1555" s="119">
        <f>IF(tech_base!$T91&gt;AE$1465,"",(tech_base!$J91/tech_proj!AE215*0.086*$N$110)/(1-tech_proj!AE495))</f>
        <v>0</v>
      </c>
      <c r="AF1555" s="119">
        <f>IF(tech_base!$T91&gt;AF$1465,"",(tech_base!$J91/tech_proj!AF215*0.086*$N$110)/(1-tech_proj!AF495))</f>
        <v>0</v>
      </c>
      <c r="AG1555" s="119">
        <f>IF(tech_base!$T91&gt;AG$1465,"",(tech_base!$J91/tech_proj!AG215*0.086*$N$110)/(1-tech_proj!AG495))</f>
        <v>0</v>
      </c>
      <c r="AH1555" s="119">
        <f>IF(tech_base!$T91&gt;AH$1465,"",(tech_base!$J91/tech_proj!AH215*0.086*$N$110)/(1-tech_proj!AH495))</f>
        <v>0</v>
      </c>
      <c r="AI1555" s="119">
        <f>IF(tech_base!$T91&gt;AI$1465,"",(tech_base!$J91/tech_proj!AI215*0.086*$N$110)/(1-tech_proj!AI495))</f>
        <v>0</v>
      </c>
      <c r="AJ1555" s="119">
        <f>IF(tech_base!$T91&gt;AJ$1465,"",(tech_base!$J91/tech_proj!AJ215*0.086*$N$110)/(1-tech_proj!AJ495))</f>
        <v>0</v>
      </c>
      <c r="AK1555" s="119">
        <f>IF(tech_base!$T91&gt;AK$1465,"",(tech_base!$J91/tech_proj!AK215*0.086*$N$110)/(1-tech_proj!AK495))</f>
        <v>0</v>
      </c>
      <c r="AL1555" s="119">
        <f>IF(tech_base!$T91&gt;AL$1465,"",(tech_base!$J91/tech_proj!AL215*0.086*$N$110)/(1-tech_proj!AL495))</f>
        <v>0</v>
      </c>
      <c r="AM1555" s="119">
        <f>IF(tech_base!$T91&gt;AM$1465,"",(tech_base!$J91/tech_proj!AM215*0.086*$N$110)/(1-tech_proj!AM495))</f>
        <v>0</v>
      </c>
      <c r="AN1555" s="119">
        <f>IF(tech_base!$T91&gt;AN$1465,"",(tech_base!$J91/tech_proj!AN215*0.086*$N$110)/(1-tech_proj!AN495))</f>
        <v>0</v>
      </c>
      <c r="AO1555" s="119">
        <f>IF(tech_base!$T91&gt;AO$1465,"",(tech_base!$J91/tech_proj!AO215*0.086*$N$110)/(1-tech_proj!AO495))</f>
        <v>0</v>
      </c>
      <c r="AP1555" s="119">
        <f>IF(tech_base!$T91&gt;AP$1465,"",(tech_base!$J91/tech_proj!AP215*0.086*$N$110)/(1-tech_proj!AP495))</f>
        <v>0</v>
      </c>
      <c r="AQ1555" s="119">
        <f>IF(tech_base!$T91&gt;AQ$1465,"",(tech_base!$J91/tech_proj!AQ215*0.086*$N$110)/(1-tech_proj!AQ495))</f>
        <v>0</v>
      </c>
      <c r="AR1555" s="119">
        <f>IF(tech_base!$T91&gt;AR$1465,"",(tech_base!$J91/tech_proj!AR215*0.086*$N$110)/(1-tech_proj!AR495))</f>
        <v>0</v>
      </c>
      <c r="AS1555" s="119">
        <f>IF(tech_base!$T91&gt;AS$1465,"",(tech_base!$J91/tech_proj!AS215*0.086*$N$110)/(1-tech_proj!AS495))</f>
        <v>0</v>
      </c>
      <c r="AT1555" s="119">
        <f>IF(tech_base!$T91&gt;AT$1465,"",(tech_base!$J91/tech_proj!AT215*0.086*$N$110)/(1-tech_proj!AT495))</f>
        <v>0</v>
      </c>
      <c r="AU1555" s="119">
        <f>IF(tech_base!$T91&gt;AU$1465,"",(tech_base!$J91/tech_proj!AU215*0.086*$N$110)/(1-tech_proj!AU495))</f>
        <v>0</v>
      </c>
      <c r="AV1555" s="119">
        <f>IF(tech_base!$T91&gt;AV$1465,"",(tech_base!$J91/tech_proj!AV215*0.086*$N$110)/(1-tech_proj!AV495))</f>
        <v>0</v>
      </c>
      <c r="AW1555" s="119">
        <f>IF(tech_base!$T91&gt;AW$1465,"",(tech_base!$J91/tech_proj!AW215*0.086*$N$110)/(1-tech_proj!AW495))</f>
        <v>0</v>
      </c>
      <c r="AX1555" s="120">
        <f>IF(tech_base!$T91&gt;AX$1465,"",(tech_base!$J91/tech_proj!AX215*0.086*$N$110)/(1-tech_proj!AX495))</f>
        <v>0</v>
      </c>
    </row>
    <row r="1556" spans="1:50" x14ac:dyDescent="0.25">
      <c r="A1556" s="356"/>
      <c r="B1556" s="376"/>
      <c r="C1556" s="379"/>
      <c r="D1556" s="59" t="s">
        <v>20</v>
      </c>
      <c r="E1556" s="166" t="str">
        <f>A1549&amp;"/"&amp;B1549&amp;"/"&amp;C1553&amp;"/"&amp;D1556</f>
        <v>Gas fired power plants (Natural gas, biogas)/Gas turbine combined cycle/CHP/XS</v>
      </c>
      <c r="F1556" s="79" t="str">
        <f>A1549</f>
        <v>Gas fired power plants (Natural gas, biogas)</v>
      </c>
      <c r="G1556" s="79" t="str">
        <f>B1549</f>
        <v>Gas turbine combined cycle</v>
      </c>
      <c r="H1556" s="79" t="str">
        <f>C1553</f>
        <v>CHP</v>
      </c>
      <c r="I1556" s="167" t="str">
        <f t="shared" si="378"/>
        <v>XS</v>
      </c>
      <c r="J1556" s="125">
        <f>IF(tech_base!$T92&gt;J$1465,"",(tech_base!$J92/tech_proj!J216*0.086*$N$110)/(1-tech_proj!J496))</f>
        <v>0</v>
      </c>
      <c r="K1556" s="125">
        <f>IF(tech_base!$T92&gt;K$1465,"",(tech_base!$J92/tech_proj!K216*0.086*$N$110)/(1-tech_proj!K496))</f>
        <v>0</v>
      </c>
      <c r="L1556" s="125">
        <f>IF(tech_base!$T92&gt;L$1465,"",(tech_base!$J92/tech_proj!L216*0.086*$N$110)/(1-tech_proj!L496))</f>
        <v>0</v>
      </c>
      <c r="M1556" s="125">
        <f>IF(tech_base!$T92&gt;M$1465,"",(tech_base!$J92/tech_proj!M216*0.086*$N$110)/(1-tech_proj!M496))</f>
        <v>0</v>
      </c>
      <c r="N1556" s="125">
        <f>IF(tech_base!$T92&gt;N$1465,"",(tech_base!$J92/tech_proj!N216*0.086*$N$110)/(1-tech_proj!N496))</f>
        <v>0</v>
      </c>
      <c r="O1556" s="125">
        <f>IF(tech_base!$T92&gt;O$1465,"",(tech_base!$J92/tech_proj!O216*0.086*$N$110)/(1-tech_proj!O496))</f>
        <v>0</v>
      </c>
      <c r="P1556" s="125">
        <f>IF(tech_base!$T92&gt;P$1465,"",(tech_base!$J92/tech_proj!P216*0.086*$N$110)/(1-tech_proj!P496))</f>
        <v>0</v>
      </c>
      <c r="Q1556" s="125">
        <f>IF(tech_base!$T92&gt;Q$1465,"",(tech_base!$J92/tech_proj!Q216*0.086*$N$110)/(1-tech_proj!Q496))</f>
        <v>0</v>
      </c>
      <c r="R1556" s="125">
        <f>IF(tech_base!$T92&gt;R$1465,"",(tech_base!$J92/tech_proj!R216*0.086*$N$110)/(1-tech_proj!R496))</f>
        <v>0</v>
      </c>
      <c r="S1556" s="125">
        <f>IF(tech_base!$T92&gt;S$1465,"",(tech_base!$J92/tech_proj!S216*0.086*$N$110)/(1-tech_proj!S496))</f>
        <v>0</v>
      </c>
      <c r="T1556" s="125">
        <f>IF(tech_base!$T92&gt;T$1465,"",(tech_base!$J92/tech_proj!T216*0.086*$N$110)/(1-tech_proj!T496))</f>
        <v>0</v>
      </c>
      <c r="U1556" s="125">
        <f>IF(tech_base!$T92&gt;U$1465,"",(tech_base!$J92/tech_proj!U216*0.086*$N$110)/(1-tech_proj!U496))</f>
        <v>0</v>
      </c>
      <c r="V1556" s="125">
        <f>IF(tech_base!$T92&gt;V$1465,"",(tech_base!$J92/tech_proj!V216*0.086*$N$110)/(1-tech_proj!V496))</f>
        <v>0</v>
      </c>
      <c r="W1556" s="125">
        <f>IF(tech_base!$T92&gt;W$1465,"",(tech_base!$J92/tech_proj!W216*0.086*$N$110)/(1-tech_proj!W496))</f>
        <v>0</v>
      </c>
      <c r="X1556" s="125">
        <f>IF(tech_base!$T92&gt;X$1465,"",(tech_base!$J92/tech_proj!X216*0.086*$N$110)/(1-tech_proj!X496))</f>
        <v>0</v>
      </c>
      <c r="Y1556" s="125">
        <f>IF(tech_base!$T92&gt;Y$1465,"",(tech_base!$J92/tech_proj!Y216*0.086*$N$110)/(1-tech_proj!Y496))</f>
        <v>0</v>
      </c>
      <c r="Z1556" s="125">
        <f>IF(tech_base!$T92&gt;Z$1465,"",(tech_base!$J92/tech_proj!Z216*0.086*$N$110)/(1-tech_proj!Z496))</f>
        <v>0</v>
      </c>
      <c r="AA1556" s="125">
        <f>IF(tech_base!$T92&gt;AA$1465,"",(tech_base!$J92/tech_proj!AA216*0.086*$N$110)/(1-tech_proj!AA496))</f>
        <v>0</v>
      </c>
      <c r="AB1556" s="125">
        <f>IF(tech_base!$T92&gt;AB$1465,"",(tech_base!$J92/tech_proj!AB216*0.086*$N$110)/(1-tech_proj!AB496))</f>
        <v>0</v>
      </c>
      <c r="AC1556" s="125">
        <f>IF(tech_base!$T92&gt;AC$1465,"",(tech_base!$J92/tech_proj!AC216*0.086*$N$110)/(1-tech_proj!AC496))</f>
        <v>0</v>
      </c>
      <c r="AD1556" s="125">
        <f>IF(tech_base!$T92&gt;AD$1465,"",(tech_base!$J92/tech_proj!AD216*0.086*$N$110)/(1-tech_proj!AD496))</f>
        <v>0</v>
      </c>
      <c r="AE1556" s="125">
        <f>IF(tech_base!$T92&gt;AE$1465,"",(tech_base!$J92/tech_proj!AE216*0.086*$N$110)/(1-tech_proj!AE496))</f>
        <v>0</v>
      </c>
      <c r="AF1556" s="125">
        <f>IF(tech_base!$T92&gt;AF$1465,"",(tech_base!$J92/tech_proj!AF216*0.086*$N$110)/(1-tech_proj!AF496))</f>
        <v>0</v>
      </c>
      <c r="AG1556" s="125">
        <f>IF(tech_base!$T92&gt;AG$1465,"",(tech_base!$J92/tech_proj!AG216*0.086*$N$110)/(1-tech_proj!AG496))</f>
        <v>0</v>
      </c>
      <c r="AH1556" s="125">
        <f>IF(tech_base!$T92&gt;AH$1465,"",(tech_base!$J92/tech_proj!AH216*0.086*$N$110)/(1-tech_proj!AH496))</f>
        <v>0</v>
      </c>
      <c r="AI1556" s="125">
        <f>IF(tech_base!$T92&gt;AI$1465,"",(tech_base!$J92/tech_proj!AI216*0.086*$N$110)/(1-tech_proj!AI496))</f>
        <v>0</v>
      </c>
      <c r="AJ1556" s="125">
        <f>IF(tech_base!$T92&gt;AJ$1465,"",(tech_base!$J92/tech_proj!AJ216*0.086*$N$110)/(1-tech_proj!AJ496))</f>
        <v>0</v>
      </c>
      <c r="AK1556" s="125">
        <f>IF(tech_base!$T92&gt;AK$1465,"",(tech_base!$J92/tech_proj!AK216*0.086*$N$110)/(1-tech_proj!AK496))</f>
        <v>0</v>
      </c>
      <c r="AL1556" s="125">
        <f>IF(tech_base!$T92&gt;AL$1465,"",(tech_base!$J92/tech_proj!AL216*0.086*$N$110)/(1-tech_proj!AL496))</f>
        <v>0</v>
      </c>
      <c r="AM1556" s="125">
        <f>IF(tech_base!$T92&gt;AM$1465,"",(tech_base!$J92/tech_proj!AM216*0.086*$N$110)/(1-tech_proj!AM496))</f>
        <v>0</v>
      </c>
      <c r="AN1556" s="125">
        <f>IF(tech_base!$T92&gt;AN$1465,"",(tech_base!$J92/tech_proj!AN216*0.086*$N$110)/(1-tech_proj!AN496))</f>
        <v>0</v>
      </c>
      <c r="AO1556" s="125">
        <f>IF(tech_base!$T92&gt;AO$1465,"",(tech_base!$J92/tech_proj!AO216*0.086*$N$110)/(1-tech_proj!AO496))</f>
        <v>0</v>
      </c>
      <c r="AP1556" s="125">
        <f>IF(tech_base!$T92&gt;AP$1465,"",(tech_base!$J92/tech_proj!AP216*0.086*$N$110)/(1-tech_proj!AP496))</f>
        <v>0</v>
      </c>
      <c r="AQ1556" s="125">
        <f>IF(tech_base!$T92&gt;AQ$1465,"",(tech_base!$J92/tech_proj!AQ216*0.086*$N$110)/(1-tech_proj!AQ496))</f>
        <v>0</v>
      </c>
      <c r="AR1556" s="125">
        <f>IF(tech_base!$T92&gt;AR$1465,"",(tech_base!$J92/tech_proj!AR216*0.086*$N$110)/(1-tech_proj!AR496))</f>
        <v>0</v>
      </c>
      <c r="AS1556" s="125">
        <f>IF(tech_base!$T92&gt;AS$1465,"",(tech_base!$J92/tech_proj!AS216*0.086*$N$110)/(1-tech_proj!AS496))</f>
        <v>0</v>
      </c>
      <c r="AT1556" s="125">
        <f>IF(tech_base!$T92&gt;AT$1465,"",(tech_base!$J92/tech_proj!AT216*0.086*$N$110)/(1-tech_proj!AT496))</f>
        <v>0</v>
      </c>
      <c r="AU1556" s="125">
        <f>IF(tech_base!$T92&gt;AU$1465,"",(tech_base!$J92/tech_proj!AU216*0.086*$N$110)/(1-tech_proj!AU496))</f>
        <v>0</v>
      </c>
      <c r="AV1556" s="125">
        <f>IF(tech_base!$T92&gt;AV$1465,"",(tech_base!$J92/tech_proj!AV216*0.086*$N$110)/(1-tech_proj!AV496))</f>
        <v>0</v>
      </c>
      <c r="AW1556" s="125">
        <f>IF(tech_base!$T92&gt;AW$1465,"",(tech_base!$J92/tech_proj!AW216*0.086*$N$110)/(1-tech_proj!AW496))</f>
        <v>0</v>
      </c>
      <c r="AX1556" s="126">
        <f>IF(tech_base!$T92&gt;AX$1465,"",(tech_base!$J92/tech_proj!AX216*0.086*$N$110)/(1-tech_proj!AX496))</f>
        <v>0</v>
      </c>
    </row>
    <row r="1557" spans="1:50" x14ac:dyDescent="0.25">
      <c r="A1557" s="356"/>
      <c r="B1557" s="376"/>
      <c r="C1557" s="361" t="s">
        <v>15</v>
      </c>
      <c r="D1557" s="58" t="s">
        <v>7</v>
      </c>
      <c r="E1557" s="164" t="str">
        <f>A1549&amp;"/"&amp;B1549&amp;"/"&amp;C1557&amp;"/"&amp;D1557</f>
        <v>Gas fired power plants (Natural gas, biogas)/Gas turbine combined cycle/Electricity only with CCS/L</v>
      </c>
      <c r="F1557" s="78" t="str">
        <f>A1549</f>
        <v>Gas fired power plants (Natural gas, biogas)</v>
      </c>
      <c r="G1557" s="78" t="str">
        <f>B1549</f>
        <v>Gas turbine combined cycle</v>
      </c>
      <c r="H1557" s="78" t="str">
        <f>C1557</f>
        <v>Electricity only with CCS</v>
      </c>
      <c r="I1557" s="165" t="str">
        <f t="shared" si="378"/>
        <v>L</v>
      </c>
      <c r="J1557" s="123" t="str">
        <f>IF(tech_base!$T93&gt;J$1465,"",(tech_base!$J93/tech_proj!J217*0.086*$N$110)/(1-tech_proj!J497))</f>
        <v/>
      </c>
      <c r="K1557" s="123" t="str">
        <f>IF(tech_base!$T93&gt;K$1465,"",(tech_base!$J93/tech_proj!K217*0.086*$N$110)/(1-tech_proj!K497))</f>
        <v/>
      </c>
      <c r="L1557" s="123" t="str">
        <f>IF(tech_base!$T93&gt;L$1465,"",(tech_base!$J93/tech_proj!L217*0.086*$N$110)/(1-tech_proj!L497))</f>
        <v/>
      </c>
      <c r="M1557" s="123" t="str">
        <f>IF(tech_base!$T93&gt;M$1465,"",(tech_base!$J93/tech_proj!M217*0.086*$N$110)/(1-tech_proj!M497))</f>
        <v/>
      </c>
      <c r="N1557" s="123" t="str">
        <f>IF(tech_base!$T93&gt;N$1465,"",(tech_base!$J93/tech_proj!N217*0.086*$N$110)/(1-tech_proj!N497))</f>
        <v/>
      </c>
      <c r="O1557" s="123" t="str">
        <f>IF(tech_base!$T93&gt;O$1465,"",(tech_base!$J93/tech_proj!O217*0.086*$N$110)/(1-tech_proj!O497))</f>
        <v/>
      </c>
      <c r="P1557" s="123" t="str">
        <f>IF(tech_base!$T93&gt;P$1465,"",(tech_base!$J93/tech_proj!P217*0.086*$N$110)/(1-tech_proj!P497))</f>
        <v/>
      </c>
      <c r="Q1557" s="123" t="str">
        <f>IF(tech_base!$T93&gt;Q$1465,"",(tech_base!$J93/tech_proj!Q217*0.086*$N$110)/(1-tech_proj!Q497))</f>
        <v/>
      </c>
      <c r="R1557" s="123" t="str">
        <f>IF(tech_base!$T93&gt;R$1465,"",(tech_base!$J93/tech_proj!R217*0.086*$N$110)/(1-tech_proj!R497))</f>
        <v/>
      </c>
      <c r="S1557" s="123" t="str">
        <f>IF(tech_base!$T93&gt;S$1465,"",(tech_base!$J93/tech_proj!S217*0.086*$N$110)/(1-tech_proj!S497))</f>
        <v/>
      </c>
      <c r="T1557" s="123" t="str">
        <f>IF(tech_base!$T93&gt;T$1465,"",(tech_base!$J93/tech_proj!T217*0.086*$N$110)/(1-tech_proj!T497))</f>
        <v/>
      </c>
      <c r="U1557" s="123" t="str">
        <f>IF(tech_base!$T93&gt;U$1465,"",(tech_base!$J93/tech_proj!U217*0.086*$N$110)/(1-tech_proj!U497))</f>
        <v/>
      </c>
      <c r="V1557" s="123" t="str">
        <f>IF(tech_base!$T93&gt;V$1465,"",(tech_base!$J93/tech_proj!V217*0.086*$N$110)/(1-tech_proj!V497))</f>
        <v/>
      </c>
      <c r="W1557" s="123" t="str">
        <f>IF(tech_base!$T93&gt;W$1465,"",(tech_base!$J93/tech_proj!W217*0.086*$N$110)/(1-tech_proj!W497))</f>
        <v/>
      </c>
      <c r="X1557" s="123" t="str">
        <f>IF(tech_base!$T93&gt;X$1465,"",(tech_base!$J93/tech_proj!X217*0.086*$N$110)/(1-tech_proj!X497))</f>
        <v/>
      </c>
      <c r="Y1557" s="123" t="str">
        <f>IF(tech_base!$T93&gt;Y$1465,"",(tech_base!$J93/tech_proj!Y217*0.086*$N$110)/(1-tech_proj!Y497))</f>
        <v/>
      </c>
      <c r="Z1557" s="123" t="str">
        <f>IF(tech_base!$T93&gt;Z$1465,"",(tech_base!$J93/tech_proj!Z217*0.086*$N$110)/(1-tech_proj!Z497))</f>
        <v/>
      </c>
      <c r="AA1557" s="123" t="str">
        <f>IF(tech_base!$T93&gt;AA$1465,"",(tech_base!$J93/tech_proj!AA217*0.086*$N$110)/(1-tech_proj!AA497))</f>
        <v/>
      </c>
      <c r="AB1557" s="123" t="str">
        <f>IF(tech_base!$T93&gt;AB$1465,"",(tech_base!$J93/tech_proj!AB217*0.086*$N$110)/(1-tech_proj!AB497))</f>
        <v/>
      </c>
      <c r="AC1557" s="123" t="str">
        <f>IF(tech_base!$T93&gt;AC$1465,"",(tech_base!$J93/tech_proj!AC217*0.086*$N$110)/(1-tech_proj!AC497))</f>
        <v/>
      </c>
      <c r="AD1557" s="123" t="str">
        <f>IF(tech_base!$T93&gt;AD$1465,"",(tech_base!$J93/tech_proj!AD217*0.086*$N$110)/(1-tech_proj!AD497))</f>
        <v/>
      </c>
      <c r="AE1557" s="123">
        <f>IF(tech_base!$T93&gt;AE$1465,"",(tech_base!$J93/tech_proj!AE217*0.086*$N$110)/(1-tech_proj!AE497))</f>
        <v>0</v>
      </c>
      <c r="AF1557" s="123">
        <f>IF(tech_base!$T93&gt;AF$1465,"",(tech_base!$J93/tech_proj!AF217*0.086*$N$110)/(1-tech_proj!AF497))</f>
        <v>0</v>
      </c>
      <c r="AG1557" s="123">
        <f>IF(tech_base!$T93&gt;AG$1465,"",(tech_base!$J93/tech_proj!AG217*0.086*$N$110)/(1-tech_proj!AG497))</f>
        <v>0</v>
      </c>
      <c r="AH1557" s="123">
        <f>IF(tech_base!$T93&gt;AH$1465,"",(tech_base!$J93/tech_proj!AH217*0.086*$N$110)/(1-tech_proj!AH497))</f>
        <v>0</v>
      </c>
      <c r="AI1557" s="123">
        <f>IF(tech_base!$T93&gt;AI$1465,"",(tech_base!$J93/tech_proj!AI217*0.086*$N$110)/(1-tech_proj!AI497))</f>
        <v>0</v>
      </c>
      <c r="AJ1557" s="123">
        <f>IF(tech_base!$T93&gt;AJ$1465,"",(tech_base!$J93/tech_proj!AJ217*0.086*$N$110)/(1-tech_proj!AJ497))</f>
        <v>0</v>
      </c>
      <c r="AK1557" s="123">
        <f>IF(tech_base!$T93&gt;AK$1465,"",(tech_base!$J93/tech_proj!AK217*0.086*$N$110)/(1-tech_proj!AK497))</f>
        <v>0</v>
      </c>
      <c r="AL1557" s="123">
        <f>IF(tech_base!$T93&gt;AL$1465,"",(tech_base!$J93/tech_proj!AL217*0.086*$N$110)/(1-tech_proj!AL497))</f>
        <v>0</v>
      </c>
      <c r="AM1557" s="123">
        <f>IF(tech_base!$T93&gt;AM$1465,"",(tech_base!$J93/tech_proj!AM217*0.086*$N$110)/(1-tech_proj!AM497))</f>
        <v>0</v>
      </c>
      <c r="AN1557" s="123">
        <f>IF(tech_base!$T93&gt;AN$1465,"",(tech_base!$J93/tech_proj!AN217*0.086*$N$110)/(1-tech_proj!AN497))</f>
        <v>0</v>
      </c>
      <c r="AO1557" s="123">
        <f>IF(tech_base!$T93&gt;AO$1465,"",(tech_base!$J93/tech_proj!AO217*0.086*$N$110)/(1-tech_proj!AO497))</f>
        <v>0</v>
      </c>
      <c r="AP1557" s="123">
        <f>IF(tech_base!$T93&gt;AP$1465,"",(tech_base!$J93/tech_proj!AP217*0.086*$N$110)/(1-tech_proj!AP497))</f>
        <v>0</v>
      </c>
      <c r="AQ1557" s="123">
        <f>IF(tech_base!$T93&gt;AQ$1465,"",(tech_base!$J93/tech_proj!AQ217*0.086*$N$110)/(1-tech_proj!AQ497))</f>
        <v>0</v>
      </c>
      <c r="AR1557" s="123">
        <f>IF(tech_base!$T93&gt;AR$1465,"",(tech_base!$J93/tech_proj!AR217*0.086*$N$110)/(1-tech_proj!AR497))</f>
        <v>0</v>
      </c>
      <c r="AS1557" s="123">
        <f>IF(tech_base!$T93&gt;AS$1465,"",(tech_base!$J93/tech_proj!AS217*0.086*$N$110)/(1-tech_proj!AS497))</f>
        <v>0</v>
      </c>
      <c r="AT1557" s="123">
        <f>IF(tech_base!$T93&gt;AT$1465,"",(tech_base!$J93/tech_proj!AT217*0.086*$N$110)/(1-tech_proj!AT497))</f>
        <v>0</v>
      </c>
      <c r="AU1557" s="123">
        <f>IF(tech_base!$T93&gt;AU$1465,"",(tech_base!$J93/tech_proj!AU217*0.086*$N$110)/(1-tech_proj!AU497))</f>
        <v>0</v>
      </c>
      <c r="AV1557" s="123">
        <f>IF(tech_base!$T93&gt;AV$1465,"",(tech_base!$J93/tech_proj!AV217*0.086*$N$110)/(1-tech_proj!AV497))</f>
        <v>0</v>
      </c>
      <c r="AW1557" s="123">
        <f>IF(tech_base!$T93&gt;AW$1465,"",(tech_base!$J93/tech_proj!AW217*0.086*$N$110)/(1-tech_proj!AW497))</f>
        <v>0</v>
      </c>
      <c r="AX1557" s="124">
        <f>IF(tech_base!$T93&gt;AX$1465,"",(tech_base!$J93/tech_proj!AX217*0.086*$N$110)/(1-tech_proj!AX497))</f>
        <v>0</v>
      </c>
    </row>
    <row r="1558" spans="1:50" x14ac:dyDescent="0.25">
      <c r="A1558" s="356"/>
      <c r="B1558" s="376"/>
      <c r="C1558" s="379"/>
      <c r="D1558" s="59" t="s">
        <v>8</v>
      </c>
      <c r="E1558" s="166" t="str">
        <f>A1549&amp;"/"&amp;B1549&amp;"/"&amp;C1557&amp;"/"&amp;D1558</f>
        <v>Gas fired power plants (Natural gas, biogas)/Gas turbine combined cycle/Electricity only with CCS/M</v>
      </c>
      <c r="F1558" s="79" t="str">
        <f>A1549</f>
        <v>Gas fired power plants (Natural gas, biogas)</v>
      </c>
      <c r="G1558" s="79" t="str">
        <f>B1549</f>
        <v>Gas turbine combined cycle</v>
      </c>
      <c r="H1558" s="79" t="str">
        <f>C1557</f>
        <v>Electricity only with CCS</v>
      </c>
      <c r="I1558" s="167" t="str">
        <f t="shared" si="378"/>
        <v>M</v>
      </c>
      <c r="J1558" s="125" t="str">
        <f>IF(tech_base!$T94&gt;J$1465,"",(tech_base!$J94/tech_proj!J218*0.086*$N$110)/(1-tech_proj!J498))</f>
        <v/>
      </c>
      <c r="K1558" s="125" t="str">
        <f>IF(tech_base!$T94&gt;K$1465,"",(tech_base!$J94/tech_proj!K218*0.086*$N$110)/(1-tech_proj!K498))</f>
        <v/>
      </c>
      <c r="L1558" s="125" t="str">
        <f>IF(tech_base!$T94&gt;L$1465,"",(tech_base!$J94/tech_proj!L218*0.086*$N$110)/(1-tech_proj!L498))</f>
        <v/>
      </c>
      <c r="M1558" s="125" t="str">
        <f>IF(tech_base!$T94&gt;M$1465,"",(tech_base!$J94/tech_proj!M218*0.086*$N$110)/(1-tech_proj!M498))</f>
        <v/>
      </c>
      <c r="N1558" s="125" t="str">
        <f>IF(tech_base!$T94&gt;N$1465,"",(tech_base!$J94/tech_proj!N218*0.086*$N$110)/(1-tech_proj!N498))</f>
        <v/>
      </c>
      <c r="O1558" s="125" t="str">
        <f>IF(tech_base!$T94&gt;O$1465,"",(tech_base!$J94/tech_proj!O218*0.086*$N$110)/(1-tech_proj!O498))</f>
        <v/>
      </c>
      <c r="P1558" s="125" t="str">
        <f>IF(tech_base!$T94&gt;P$1465,"",(tech_base!$J94/tech_proj!P218*0.086*$N$110)/(1-tech_proj!P498))</f>
        <v/>
      </c>
      <c r="Q1558" s="125" t="str">
        <f>IF(tech_base!$T94&gt;Q$1465,"",(tech_base!$J94/tech_proj!Q218*0.086*$N$110)/(1-tech_proj!Q498))</f>
        <v/>
      </c>
      <c r="R1558" s="125" t="str">
        <f>IF(tech_base!$T94&gt;R$1465,"",(tech_base!$J94/tech_proj!R218*0.086*$N$110)/(1-tech_proj!R498))</f>
        <v/>
      </c>
      <c r="S1558" s="125" t="str">
        <f>IF(tech_base!$T94&gt;S$1465,"",(tech_base!$J94/tech_proj!S218*0.086*$N$110)/(1-tech_proj!S498))</f>
        <v/>
      </c>
      <c r="T1558" s="125" t="str">
        <f>IF(tech_base!$T94&gt;T$1465,"",(tech_base!$J94/tech_proj!T218*0.086*$N$110)/(1-tech_proj!T498))</f>
        <v/>
      </c>
      <c r="U1558" s="125" t="str">
        <f>IF(tech_base!$T94&gt;U$1465,"",(tech_base!$J94/tech_proj!U218*0.086*$N$110)/(1-tech_proj!U498))</f>
        <v/>
      </c>
      <c r="V1558" s="125" t="str">
        <f>IF(tech_base!$T94&gt;V$1465,"",(tech_base!$J94/tech_proj!V218*0.086*$N$110)/(1-tech_proj!V498))</f>
        <v/>
      </c>
      <c r="W1558" s="125" t="str">
        <f>IF(tech_base!$T94&gt;W$1465,"",(tech_base!$J94/tech_proj!W218*0.086*$N$110)/(1-tech_proj!W498))</f>
        <v/>
      </c>
      <c r="X1558" s="125" t="str">
        <f>IF(tech_base!$T94&gt;X$1465,"",(tech_base!$J94/tech_proj!X218*0.086*$N$110)/(1-tech_proj!X498))</f>
        <v/>
      </c>
      <c r="Y1558" s="125" t="str">
        <f>IF(tech_base!$T94&gt;Y$1465,"",(tech_base!$J94/tech_proj!Y218*0.086*$N$110)/(1-tech_proj!Y498))</f>
        <v/>
      </c>
      <c r="Z1558" s="125" t="str">
        <f>IF(tech_base!$T94&gt;Z$1465,"",(tech_base!$J94/tech_proj!Z218*0.086*$N$110)/(1-tech_proj!Z498))</f>
        <v/>
      </c>
      <c r="AA1558" s="125" t="str">
        <f>IF(tech_base!$T94&gt;AA$1465,"",(tech_base!$J94/tech_proj!AA218*0.086*$N$110)/(1-tech_proj!AA498))</f>
        <v/>
      </c>
      <c r="AB1558" s="125" t="str">
        <f>IF(tech_base!$T94&gt;AB$1465,"",(tech_base!$J94/tech_proj!AB218*0.086*$N$110)/(1-tech_proj!AB498))</f>
        <v/>
      </c>
      <c r="AC1558" s="125" t="str">
        <f>IF(tech_base!$T94&gt;AC$1465,"",(tech_base!$J94/tech_proj!AC218*0.086*$N$110)/(1-tech_proj!AC498))</f>
        <v/>
      </c>
      <c r="AD1558" s="125" t="str">
        <f>IF(tech_base!$T94&gt;AD$1465,"",(tech_base!$J94/tech_proj!AD218*0.086*$N$110)/(1-tech_proj!AD498))</f>
        <v/>
      </c>
      <c r="AE1558" s="125">
        <f>IF(tech_base!$T94&gt;AE$1465,"",(tech_base!$J94/tech_proj!AE218*0.086*$N$110)/(1-tech_proj!AE498))</f>
        <v>0</v>
      </c>
      <c r="AF1558" s="125">
        <f>IF(tech_base!$T94&gt;AF$1465,"",(tech_base!$J94/tech_proj!AF218*0.086*$N$110)/(1-tech_proj!AF498))</f>
        <v>0</v>
      </c>
      <c r="AG1558" s="125">
        <f>IF(tech_base!$T94&gt;AG$1465,"",(tech_base!$J94/tech_proj!AG218*0.086*$N$110)/(1-tech_proj!AG498))</f>
        <v>0</v>
      </c>
      <c r="AH1558" s="125">
        <f>IF(tech_base!$T94&gt;AH$1465,"",(tech_base!$J94/tech_proj!AH218*0.086*$N$110)/(1-tech_proj!AH498))</f>
        <v>0</v>
      </c>
      <c r="AI1558" s="125">
        <f>IF(tech_base!$T94&gt;AI$1465,"",(tech_base!$J94/tech_proj!AI218*0.086*$N$110)/(1-tech_proj!AI498))</f>
        <v>0</v>
      </c>
      <c r="AJ1558" s="125">
        <f>IF(tech_base!$T94&gt;AJ$1465,"",(tech_base!$J94/tech_proj!AJ218*0.086*$N$110)/(1-tech_proj!AJ498))</f>
        <v>0</v>
      </c>
      <c r="AK1558" s="125">
        <f>IF(tech_base!$T94&gt;AK$1465,"",(tech_base!$J94/tech_proj!AK218*0.086*$N$110)/(1-tech_proj!AK498))</f>
        <v>0</v>
      </c>
      <c r="AL1558" s="125">
        <f>IF(tech_base!$T94&gt;AL$1465,"",(tech_base!$J94/tech_proj!AL218*0.086*$N$110)/(1-tech_proj!AL498))</f>
        <v>0</v>
      </c>
      <c r="AM1558" s="125">
        <f>IF(tech_base!$T94&gt;AM$1465,"",(tech_base!$J94/tech_proj!AM218*0.086*$N$110)/(1-tech_proj!AM498))</f>
        <v>0</v>
      </c>
      <c r="AN1558" s="125">
        <f>IF(tech_base!$T94&gt;AN$1465,"",(tech_base!$J94/tech_proj!AN218*0.086*$N$110)/(1-tech_proj!AN498))</f>
        <v>0</v>
      </c>
      <c r="AO1558" s="125">
        <f>IF(tech_base!$T94&gt;AO$1465,"",(tech_base!$J94/tech_proj!AO218*0.086*$N$110)/(1-tech_proj!AO498))</f>
        <v>0</v>
      </c>
      <c r="AP1558" s="125">
        <f>IF(tech_base!$T94&gt;AP$1465,"",(tech_base!$J94/tech_proj!AP218*0.086*$N$110)/(1-tech_proj!AP498))</f>
        <v>0</v>
      </c>
      <c r="AQ1558" s="125">
        <f>IF(tech_base!$T94&gt;AQ$1465,"",(tech_base!$J94/tech_proj!AQ218*0.086*$N$110)/(1-tech_proj!AQ498))</f>
        <v>0</v>
      </c>
      <c r="AR1558" s="125">
        <f>IF(tech_base!$T94&gt;AR$1465,"",(tech_base!$J94/tech_proj!AR218*0.086*$N$110)/(1-tech_proj!AR498))</f>
        <v>0</v>
      </c>
      <c r="AS1558" s="125">
        <f>IF(tech_base!$T94&gt;AS$1465,"",(tech_base!$J94/tech_proj!AS218*0.086*$N$110)/(1-tech_proj!AS498))</f>
        <v>0</v>
      </c>
      <c r="AT1558" s="125">
        <f>IF(tech_base!$T94&gt;AT$1465,"",(tech_base!$J94/tech_proj!AT218*0.086*$N$110)/(1-tech_proj!AT498))</f>
        <v>0</v>
      </c>
      <c r="AU1558" s="125">
        <f>IF(tech_base!$T94&gt;AU$1465,"",(tech_base!$J94/tech_proj!AU218*0.086*$N$110)/(1-tech_proj!AU498))</f>
        <v>0</v>
      </c>
      <c r="AV1558" s="125">
        <f>IF(tech_base!$T94&gt;AV$1465,"",(tech_base!$J94/tech_proj!AV218*0.086*$N$110)/(1-tech_proj!AV498))</f>
        <v>0</v>
      </c>
      <c r="AW1558" s="125">
        <f>IF(tech_base!$T94&gt;AW$1465,"",(tech_base!$J94/tech_proj!AW218*0.086*$N$110)/(1-tech_proj!AW498))</f>
        <v>0</v>
      </c>
      <c r="AX1558" s="126">
        <f>IF(tech_base!$T94&gt;AX$1465,"",(tech_base!$J94/tech_proj!AX218*0.086*$N$110)/(1-tech_proj!AX498))</f>
        <v>0</v>
      </c>
    </row>
    <row r="1559" spans="1:50" x14ac:dyDescent="0.25">
      <c r="A1559" s="356"/>
      <c r="B1559" s="376"/>
      <c r="C1559" s="361" t="s">
        <v>16</v>
      </c>
      <c r="D1559" s="2" t="s">
        <v>7</v>
      </c>
      <c r="E1559" s="160" t="str">
        <f>A1549&amp;"/"&amp;B1549&amp;"/"&amp;C1559&amp;"/"&amp;D1559</f>
        <v>Gas fired power plants (Natural gas, biogas)/Gas turbine combined cycle/CHP with CCS/L</v>
      </c>
      <c r="F1559" s="76" t="str">
        <f>A1549</f>
        <v>Gas fired power plants (Natural gas, biogas)</v>
      </c>
      <c r="G1559" s="76" t="str">
        <f>B1549</f>
        <v>Gas turbine combined cycle</v>
      </c>
      <c r="H1559" s="76" t="str">
        <f>C1559</f>
        <v>CHP with CCS</v>
      </c>
      <c r="I1559" s="161" t="str">
        <f t="shared" si="378"/>
        <v>L</v>
      </c>
      <c r="J1559" s="119" t="str">
        <f>IF(tech_base!$T95&gt;J$1465,"",(tech_base!$J95/tech_proj!J219*0.086*$N$110)/(1-tech_proj!J499))</f>
        <v/>
      </c>
      <c r="K1559" s="119" t="str">
        <f>IF(tech_base!$T95&gt;K$1465,"",(tech_base!$J95/tech_proj!K219*0.086*$N$110)/(1-tech_proj!K499))</f>
        <v/>
      </c>
      <c r="L1559" s="119" t="str">
        <f>IF(tech_base!$T95&gt;L$1465,"",(tech_base!$J95/tech_proj!L219*0.086*$N$110)/(1-tech_proj!L499))</f>
        <v/>
      </c>
      <c r="M1559" s="119" t="str">
        <f>IF(tech_base!$T95&gt;M$1465,"",(tech_base!$J95/tech_proj!M219*0.086*$N$110)/(1-tech_proj!M499))</f>
        <v/>
      </c>
      <c r="N1559" s="119" t="str">
        <f>IF(tech_base!$T95&gt;N$1465,"",(tech_base!$J95/tech_proj!N219*0.086*$N$110)/(1-tech_proj!N499))</f>
        <v/>
      </c>
      <c r="O1559" s="119" t="str">
        <f>IF(tech_base!$T95&gt;O$1465,"",(tech_base!$J95/tech_proj!O219*0.086*$N$110)/(1-tech_proj!O499))</f>
        <v/>
      </c>
      <c r="P1559" s="119" t="str">
        <f>IF(tech_base!$T95&gt;P$1465,"",(tech_base!$J95/tech_proj!P219*0.086*$N$110)/(1-tech_proj!P499))</f>
        <v/>
      </c>
      <c r="Q1559" s="119" t="str">
        <f>IF(tech_base!$T95&gt;Q$1465,"",(tech_base!$J95/tech_proj!Q219*0.086*$N$110)/(1-tech_proj!Q499))</f>
        <v/>
      </c>
      <c r="R1559" s="119" t="str">
        <f>IF(tech_base!$T95&gt;R$1465,"",(tech_base!$J95/tech_proj!R219*0.086*$N$110)/(1-tech_proj!R499))</f>
        <v/>
      </c>
      <c r="S1559" s="119" t="str">
        <f>IF(tech_base!$T95&gt;S$1465,"",(tech_base!$J95/tech_proj!S219*0.086*$N$110)/(1-tech_proj!S499))</f>
        <v/>
      </c>
      <c r="T1559" s="119" t="str">
        <f>IF(tech_base!$T95&gt;T$1465,"",(tech_base!$J95/tech_proj!T219*0.086*$N$110)/(1-tech_proj!T499))</f>
        <v/>
      </c>
      <c r="U1559" s="119" t="str">
        <f>IF(tech_base!$T95&gt;U$1465,"",(tech_base!$J95/tech_proj!U219*0.086*$N$110)/(1-tech_proj!U499))</f>
        <v/>
      </c>
      <c r="V1559" s="119" t="str">
        <f>IF(tech_base!$T95&gt;V$1465,"",(tech_base!$J95/tech_proj!V219*0.086*$N$110)/(1-tech_proj!V499))</f>
        <v/>
      </c>
      <c r="W1559" s="119" t="str">
        <f>IF(tech_base!$T95&gt;W$1465,"",(tech_base!$J95/tech_proj!W219*0.086*$N$110)/(1-tech_proj!W499))</f>
        <v/>
      </c>
      <c r="X1559" s="119" t="str">
        <f>IF(tech_base!$T95&gt;X$1465,"",(tech_base!$J95/tech_proj!X219*0.086*$N$110)/(1-tech_proj!X499))</f>
        <v/>
      </c>
      <c r="Y1559" s="119" t="str">
        <f>IF(tech_base!$T95&gt;Y$1465,"",(tech_base!$J95/tech_proj!Y219*0.086*$N$110)/(1-tech_proj!Y499))</f>
        <v/>
      </c>
      <c r="Z1559" s="119" t="str">
        <f>IF(tech_base!$T95&gt;Z$1465,"",(tech_base!$J95/tech_proj!Z219*0.086*$N$110)/(1-tech_proj!Z499))</f>
        <v/>
      </c>
      <c r="AA1559" s="119" t="str">
        <f>IF(tech_base!$T95&gt;AA$1465,"",(tech_base!$J95/tech_proj!AA219*0.086*$N$110)/(1-tech_proj!AA499))</f>
        <v/>
      </c>
      <c r="AB1559" s="119" t="str">
        <f>IF(tech_base!$T95&gt;AB$1465,"",(tech_base!$J95/tech_proj!AB219*0.086*$N$110)/(1-tech_proj!AB499))</f>
        <v/>
      </c>
      <c r="AC1559" s="119" t="str">
        <f>IF(tech_base!$T95&gt;AC$1465,"",(tech_base!$J95/tech_proj!AC219*0.086*$N$110)/(1-tech_proj!AC499))</f>
        <v/>
      </c>
      <c r="AD1559" s="119" t="str">
        <f>IF(tech_base!$T95&gt;AD$1465,"",(tech_base!$J95/tech_proj!AD219*0.086*$N$110)/(1-tech_proj!AD499))</f>
        <v/>
      </c>
      <c r="AE1559" s="119">
        <f>IF(tech_base!$T95&gt;AE$1465,"",(tech_base!$J95/tech_proj!AE219*0.086*$N$110)/(1-tech_proj!AE499))</f>
        <v>0</v>
      </c>
      <c r="AF1559" s="119">
        <f>IF(tech_base!$T95&gt;AF$1465,"",(tech_base!$J95/tech_proj!AF219*0.086*$N$110)/(1-tech_proj!AF499))</f>
        <v>0</v>
      </c>
      <c r="AG1559" s="119">
        <f>IF(tech_base!$T95&gt;AG$1465,"",(tech_base!$J95/tech_proj!AG219*0.086*$N$110)/(1-tech_proj!AG499))</f>
        <v>0</v>
      </c>
      <c r="AH1559" s="119">
        <f>IF(tech_base!$T95&gt;AH$1465,"",(tech_base!$J95/tech_proj!AH219*0.086*$N$110)/(1-tech_proj!AH499))</f>
        <v>0</v>
      </c>
      <c r="AI1559" s="119">
        <f>IF(tech_base!$T95&gt;AI$1465,"",(tech_base!$J95/tech_proj!AI219*0.086*$N$110)/(1-tech_proj!AI499))</f>
        <v>0</v>
      </c>
      <c r="AJ1559" s="119">
        <f>IF(tech_base!$T95&gt;AJ$1465,"",(tech_base!$J95/tech_proj!AJ219*0.086*$N$110)/(1-tech_proj!AJ499))</f>
        <v>0</v>
      </c>
      <c r="AK1559" s="119">
        <f>IF(tech_base!$T95&gt;AK$1465,"",(tech_base!$J95/tech_proj!AK219*0.086*$N$110)/(1-tech_proj!AK499))</f>
        <v>0</v>
      </c>
      <c r="AL1559" s="119">
        <f>IF(tech_base!$T95&gt;AL$1465,"",(tech_base!$J95/tech_proj!AL219*0.086*$N$110)/(1-tech_proj!AL499))</f>
        <v>0</v>
      </c>
      <c r="AM1559" s="119">
        <f>IF(tech_base!$T95&gt;AM$1465,"",(tech_base!$J95/tech_proj!AM219*0.086*$N$110)/(1-tech_proj!AM499))</f>
        <v>0</v>
      </c>
      <c r="AN1559" s="119">
        <f>IF(tech_base!$T95&gt;AN$1465,"",(tech_base!$J95/tech_proj!AN219*0.086*$N$110)/(1-tech_proj!AN499))</f>
        <v>0</v>
      </c>
      <c r="AO1559" s="119">
        <f>IF(tech_base!$T95&gt;AO$1465,"",(tech_base!$J95/tech_proj!AO219*0.086*$N$110)/(1-tech_proj!AO499))</f>
        <v>0</v>
      </c>
      <c r="AP1559" s="119">
        <f>IF(tech_base!$T95&gt;AP$1465,"",(tech_base!$J95/tech_proj!AP219*0.086*$N$110)/(1-tech_proj!AP499))</f>
        <v>0</v>
      </c>
      <c r="AQ1559" s="119">
        <f>IF(tech_base!$T95&gt;AQ$1465,"",(tech_base!$J95/tech_proj!AQ219*0.086*$N$110)/(1-tech_proj!AQ499))</f>
        <v>0</v>
      </c>
      <c r="AR1559" s="119">
        <f>IF(tech_base!$T95&gt;AR$1465,"",(tech_base!$J95/tech_proj!AR219*0.086*$N$110)/(1-tech_proj!AR499))</f>
        <v>0</v>
      </c>
      <c r="AS1559" s="119">
        <f>IF(tech_base!$T95&gt;AS$1465,"",(tech_base!$J95/tech_proj!AS219*0.086*$N$110)/(1-tech_proj!AS499))</f>
        <v>0</v>
      </c>
      <c r="AT1559" s="119">
        <f>IF(tech_base!$T95&gt;AT$1465,"",(tech_base!$J95/tech_proj!AT219*0.086*$N$110)/(1-tech_proj!AT499))</f>
        <v>0</v>
      </c>
      <c r="AU1559" s="119">
        <f>IF(tech_base!$T95&gt;AU$1465,"",(tech_base!$J95/tech_proj!AU219*0.086*$N$110)/(1-tech_proj!AU499))</f>
        <v>0</v>
      </c>
      <c r="AV1559" s="119">
        <f>IF(tech_base!$T95&gt;AV$1465,"",(tech_base!$J95/tech_proj!AV219*0.086*$N$110)/(1-tech_proj!AV499))</f>
        <v>0</v>
      </c>
      <c r="AW1559" s="119">
        <f>IF(tech_base!$T95&gt;AW$1465,"",(tech_base!$J95/tech_proj!AW219*0.086*$N$110)/(1-tech_proj!AW499))</f>
        <v>0</v>
      </c>
      <c r="AX1559" s="120">
        <f>IF(tech_base!$T95&gt;AX$1465,"",(tech_base!$J95/tech_proj!AX219*0.086*$N$110)/(1-tech_proj!AX499))</f>
        <v>0</v>
      </c>
    </row>
    <row r="1560" spans="1:50" x14ac:dyDescent="0.25">
      <c r="A1560" s="356"/>
      <c r="B1560" s="380"/>
      <c r="C1560" s="381"/>
      <c r="D1560" s="4" t="s">
        <v>8</v>
      </c>
      <c r="E1560" s="168" t="str">
        <f>A1549&amp;"/"&amp;B1549&amp;"/"&amp;C1559&amp;"/"&amp;D1560</f>
        <v>Gas fired power plants (Natural gas, biogas)/Gas turbine combined cycle/CHP with CCS/M</v>
      </c>
      <c r="F1560" s="80" t="str">
        <f>A1549</f>
        <v>Gas fired power plants (Natural gas, biogas)</v>
      </c>
      <c r="G1560" s="80" t="str">
        <f>B1549</f>
        <v>Gas turbine combined cycle</v>
      </c>
      <c r="H1560" s="80" t="str">
        <f>C1559</f>
        <v>CHP with CCS</v>
      </c>
      <c r="I1560" s="169" t="str">
        <f t="shared" si="378"/>
        <v>M</v>
      </c>
      <c r="J1560" s="127" t="str">
        <f>IF(tech_base!$T96&gt;J$1465,"",(tech_base!$J96/tech_proj!J220*0.086*$N$110)/(1-tech_proj!J500))</f>
        <v/>
      </c>
      <c r="K1560" s="127" t="str">
        <f>IF(tech_base!$T96&gt;K$1465,"",(tech_base!$J96/tech_proj!K220*0.086*$N$110)/(1-tech_proj!K500))</f>
        <v/>
      </c>
      <c r="L1560" s="127" t="str">
        <f>IF(tech_base!$T96&gt;L$1465,"",(tech_base!$J96/tech_proj!L220*0.086*$N$110)/(1-tech_proj!L500))</f>
        <v/>
      </c>
      <c r="M1560" s="127" t="str">
        <f>IF(tech_base!$T96&gt;M$1465,"",(tech_base!$J96/tech_proj!M220*0.086*$N$110)/(1-tech_proj!M500))</f>
        <v/>
      </c>
      <c r="N1560" s="127" t="str">
        <f>IF(tech_base!$T96&gt;N$1465,"",(tech_base!$J96/tech_proj!N220*0.086*$N$110)/(1-tech_proj!N500))</f>
        <v/>
      </c>
      <c r="O1560" s="127" t="str">
        <f>IF(tech_base!$T96&gt;O$1465,"",(tech_base!$J96/tech_proj!O220*0.086*$N$110)/(1-tech_proj!O500))</f>
        <v/>
      </c>
      <c r="P1560" s="127" t="str">
        <f>IF(tech_base!$T96&gt;P$1465,"",(tech_base!$J96/tech_proj!P220*0.086*$N$110)/(1-tech_proj!P500))</f>
        <v/>
      </c>
      <c r="Q1560" s="127" t="str">
        <f>IF(tech_base!$T96&gt;Q$1465,"",(tech_base!$J96/tech_proj!Q220*0.086*$N$110)/(1-tech_proj!Q500))</f>
        <v/>
      </c>
      <c r="R1560" s="127" t="str">
        <f>IF(tech_base!$T96&gt;R$1465,"",(tech_base!$J96/tech_proj!R220*0.086*$N$110)/(1-tech_proj!R500))</f>
        <v/>
      </c>
      <c r="S1560" s="127" t="str">
        <f>IF(tech_base!$T96&gt;S$1465,"",(tech_base!$J96/tech_proj!S220*0.086*$N$110)/(1-tech_proj!S500))</f>
        <v/>
      </c>
      <c r="T1560" s="127" t="str">
        <f>IF(tech_base!$T96&gt;T$1465,"",(tech_base!$J96/tech_proj!T220*0.086*$N$110)/(1-tech_proj!T500))</f>
        <v/>
      </c>
      <c r="U1560" s="127" t="str">
        <f>IF(tech_base!$T96&gt;U$1465,"",(tech_base!$J96/tech_proj!U220*0.086*$N$110)/(1-tech_proj!U500))</f>
        <v/>
      </c>
      <c r="V1560" s="127" t="str">
        <f>IF(tech_base!$T96&gt;V$1465,"",(tech_base!$J96/tech_proj!V220*0.086*$N$110)/(1-tech_proj!V500))</f>
        <v/>
      </c>
      <c r="W1560" s="127" t="str">
        <f>IF(tech_base!$T96&gt;W$1465,"",(tech_base!$J96/tech_proj!W220*0.086*$N$110)/(1-tech_proj!W500))</f>
        <v/>
      </c>
      <c r="X1560" s="127" t="str">
        <f>IF(tech_base!$T96&gt;X$1465,"",(tech_base!$J96/tech_proj!X220*0.086*$N$110)/(1-tech_proj!X500))</f>
        <v/>
      </c>
      <c r="Y1560" s="127" t="str">
        <f>IF(tech_base!$T96&gt;Y$1465,"",(tech_base!$J96/tech_proj!Y220*0.086*$N$110)/(1-tech_proj!Y500))</f>
        <v/>
      </c>
      <c r="Z1560" s="127" t="str">
        <f>IF(tech_base!$T96&gt;Z$1465,"",(tech_base!$J96/tech_proj!Z220*0.086*$N$110)/(1-tech_proj!Z500))</f>
        <v/>
      </c>
      <c r="AA1560" s="127" t="str">
        <f>IF(tech_base!$T96&gt;AA$1465,"",(tech_base!$J96/tech_proj!AA220*0.086*$N$110)/(1-tech_proj!AA500))</f>
        <v/>
      </c>
      <c r="AB1560" s="127" t="str">
        <f>IF(tech_base!$T96&gt;AB$1465,"",(tech_base!$J96/tech_proj!AB220*0.086*$N$110)/(1-tech_proj!AB500))</f>
        <v/>
      </c>
      <c r="AC1560" s="127" t="str">
        <f>IF(tech_base!$T96&gt;AC$1465,"",(tech_base!$J96/tech_proj!AC220*0.086*$N$110)/(1-tech_proj!AC500))</f>
        <v/>
      </c>
      <c r="AD1560" s="127" t="str">
        <f>IF(tech_base!$T96&gt;AD$1465,"",(tech_base!$J96/tech_proj!AD220*0.086*$N$110)/(1-tech_proj!AD500))</f>
        <v/>
      </c>
      <c r="AE1560" s="127">
        <f>IF(tech_base!$T96&gt;AE$1465,"",(tech_base!$J96/tech_proj!AE220*0.086*$N$110)/(1-tech_proj!AE500))</f>
        <v>0</v>
      </c>
      <c r="AF1560" s="127">
        <f>IF(tech_base!$T96&gt;AF$1465,"",(tech_base!$J96/tech_proj!AF220*0.086*$N$110)/(1-tech_proj!AF500))</f>
        <v>0</v>
      </c>
      <c r="AG1560" s="127">
        <f>IF(tech_base!$T96&gt;AG$1465,"",(tech_base!$J96/tech_proj!AG220*0.086*$N$110)/(1-tech_proj!AG500))</f>
        <v>0</v>
      </c>
      <c r="AH1560" s="127">
        <f>IF(tech_base!$T96&gt;AH$1465,"",(tech_base!$J96/tech_proj!AH220*0.086*$N$110)/(1-tech_proj!AH500))</f>
        <v>0</v>
      </c>
      <c r="AI1560" s="127">
        <f>IF(tech_base!$T96&gt;AI$1465,"",(tech_base!$J96/tech_proj!AI220*0.086*$N$110)/(1-tech_proj!AI500))</f>
        <v>0</v>
      </c>
      <c r="AJ1560" s="127">
        <f>IF(tech_base!$T96&gt;AJ$1465,"",(tech_base!$J96/tech_proj!AJ220*0.086*$N$110)/(1-tech_proj!AJ500))</f>
        <v>0</v>
      </c>
      <c r="AK1560" s="127">
        <f>IF(tech_base!$T96&gt;AK$1465,"",(tech_base!$J96/tech_proj!AK220*0.086*$N$110)/(1-tech_proj!AK500))</f>
        <v>0</v>
      </c>
      <c r="AL1560" s="127">
        <f>IF(tech_base!$T96&gt;AL$1465,"",(tech_base!$J96/tech_proj!AL220*0.086*$N$110)/(1-tech_proj!AL500))</f>
        <v>0</v>
      </c>
      <c r="AM1560" s="127">
        <f>IF(tech_base!$T96&gt;AM$1465,"",(tech_base!$J96/tech_proj!AM220*0.086*$N$110)/(1-tech_proj!AM500))</f>
        <v>0</v>
      </c>
      <c r="AN1560" s="127">
        <f>IF(tech_base!$T96&gt;AN$1465,"",(tech_base!$J96/tech_proj!AN220*0.086*$N$110)/(1-tech_proj!AN500))</f>
        <v>0</v>
      </c>
      <c r="AO1560" s="127">
        <f>IF(tech_base!$T96&gt;AO$1465,"",(tech_base!$J96/tech_proj!AO220*0.086*$N$110)/(1-tech_proj!AO500))</f>
        <v>0</v>
      </c>
      <c r="AP1560" s="127">
        <f>IF(tech_base!$T96&gt;AP$1465,"",(tech_base!$J96/tech_proj!AP220*0.086*$N$110)/(1-tech_proj!AP500))</f>
        <v>0</v>
      </c>
      <c r="AQ1560" s="127">
        <f>IF(tech_base!$T96&gt;AQ$1465,"",(tech_base!$J96/tech_proj!AQ220*0.086*$N$110)/(1-tech_proj!AQ500))</f>
        <v>0</v>
      </c>
      <c r="AR1560" s="127">
        <f>IF(tech_base!$T96&gt;AR$1465,"",(tech_base!$J96/tech_proj!AR220*0.086*$N$110)/(1-tech_proj!AR500))</f>
        <v>0</v>
      </c>
      <c r="AS1560" s="127">
        <f>IF(tech_base!$T96&gt;AS$1465,"",(tech_base!$J96/tech_proj!AS220*0.086*$N$110)/(1-tech_proj!AS500))</f>
        <v>0</v>
      </c>
      <c r="AT1560" s="127">
        <f>IF(tech_base!$T96&gt;AT$1465,"",(tech_base!$J96/tech_proj!AT220*0.086*$N$110)/(1-tech_proj!AT500))</f>
        <v>0</v>
      </c>
      <c r="AU1560" s="127">
        <f>IF(tech_base!$T96&gt;AU$1465,"",(tech_base!$J96/tech_proj!AU220*0.086*$N$110)/(1-tech_proj!AU500))</f>
        <v>0</v>
      </c>
      <c r="AV1560" s="127">
        <f>IF(tech_base!$T96&gt;AV$1465,"",(tech_base!$J96/tech_proj!AV220*0.086*$N$110)/(1-tech_proj!AV500))</f>
        <v>0</v>
      </c>
      <c r="AW1560" s="127">
        <f>IF(tech_base!$T96&gt;AW$1465,"",(tech_base!$J96/tech_proj!AW220*0.086*$N$110)/(1-tech_proj!AW500))</f>
        <v>0</v>
      </c>
      <c r="AX1560" s="128">
        <f>IF(tech_base!$T96&gt;AX$1465,"",(tech_base!$J96/tech_proj!AX220*0.086*$N$110)/(1-tech_proj!AX500))</f>
        <v>0</v>
      </c>
    </row>
    <row r="1561" spans="1:50" x14ac:dyDescent="0.25">
      <c r="A1561" s="356"/>
      <c r="B1561" s="358" t="s">
        <v>24</v>
      </c>
      <c r="C1561" s="353" t="s">
        <v>6</v>
      </c>
      <c r="D1561" s="3" t="s">
        <v>8</v>
      </c>
      <c r="E1561" s="162" t="str">
        <f>A1549&amp;"/"&amp;B1561&amp;"/"&amp;C1561&amp;"/"&amp;D1561</f>
        <v>Gas fired power plants (Natural gas, biogas)/Gas turbine /Electricity only/M</v>
      </c>
      <c r="F1561" s="77" t="str">
        <f>A1549</f>
        <v>Gas fired power plants (Natural gas, biogas)</v>
      </c>
      <c r="G1561" s="77" t="str">
        <f>B1561</f>
        <v xml:space="preserve">Gas turbine </v>
      </c>
      <c r="H1561" s="77" t="str">
        <f>C1561</f>
        <v>Electricity only</v>
      </c>
      <c r="I1561" s="163" t="str">
        <f t="shared" si="378"/>
        <v>M</v>
      </c>
      <c r="J1561" s="121">
        <f>IF(tech_base!$T97&gt;J$1465,"",(tech_base!$J97/tech_proj!J221*0.086*$N$110)/(1-tech_proj!J501))</f>
        <v>0</v>
      </c>
      <c r="K1561" s="121">
        <f>IF(tech_base!$T97&gt;K$1465,"",(tech_base!$J97/tech_proj!K221*0.086*$N$110)/(1-tech_proj!K501))</f>
        <v>0</v>
      </c>
      <c r="L1561" s="121">
        <f>IF(tech_base!$T97&gt;L$1465,"",(tech_base!$J97/tech_proj!L221*0.086*$N$110)/(1-tech_proj!L501))</f>
        <v>0</v>
      </c>
      <c r="M1561" s="121">
        <f>IF(tech_base!$T97&gt;M$1465,"",(tech_base!$J97/tech_proj!M221*0.086*$N$110)/(1-tech_proj!M501))</f>
        <v>0</v>
      </c>
      <c r="N1561" s="121">
        <f>IF(tech_base!$T97&gt;N$1465,"",(tech_base!$J97/tech_proj!N221*0.086*$N$110)/(1-tech_proj!N501))</f>
        <v>0</v>
      </c>
      <c r="O1561" s="121">
        <f>IF(tech_base!$T97&gt;O$1465,"",(tech_base!$J97/tech_proj!O221*0.086*$N$110)/(1-tech_proj!O501))</f>
        <v>0</v>
      </c>
      <c r="P1561" s="121">
        <f>IF(tech_base!$T97&gt;P$1465,"",(tech_base!$J97/tech_proj!P221*0.086*$N$110)/(1-tech_proj!P501))</f>
        <v>0</v>
      </c>
      <c r="Q1561" s="121">
        <f>IF(tech_base!$T97&gt;Q$1465,"",(tech_base!$J97/tech_proj!Q221*0.086*$N$110)/(1-tech_proj!Q501))</f>
        <v>0</v>
      </c>
      <c r="R1561" s="121">
        <f>IF(tech_base!$T97&gt;R$1465,"",(tech_base!$J97/tech_proj!R221*0.086*$N$110)/(1-tech_proj!R501))</f>
        <v>0</v>
      </c>
      <c r="S1561" s="121">
        <f>IF(tech_base!$T97&gt;S$1465,"",(tech_base!$J97/tech_proj!S221*0.086*$N$110)/(1-tech_proj!S501))</f>
        <v>0</v>
      </c>
      <c r="T1561" s="121">
        <f>IF(tech_base!$T97&gt;T$1465,"",(tech_base!$J97/tech_proj!T221*0.086*$N$110)/(1-tech_proj!T501))</f>
        <v>0</v>
      </c>
      <c r="U1561" s="121">
        <f>IF(tech_base!$T97&gt;U$1465,"",(tech_base!$J97/tech_proj!U221*0.086*$N$110)/(1-tech_proj!U501))</f>
        <v>0</v>
      </c>
      <c r="V1561" s="121">
        <f>IF(tech_base!$T97&gt;V$1465,"",(tech_base!$J97/tech_proj!V221*0.086*$N$110)/(1-tech_proj!V501))</f>
        <v>0</v>
      </c>
      <c r="W1561" s="121">
        <f>IF(tech_base!$T97&gt;W$1465,"",(tech_base!$J97/tech_proj!W221*0.086*$N$110)/(1-tech_proj!W501))</f>
        <v>0</v>
      </c>
      <c r="X1561" s="121">
        <f>IF(tech_base!$T97&gt;X$1465,"",(tech_base!$J97/tech_proj!X221*0.086*$N$110)/(1-tech_proj!X501))</f>
        <v>0</v>
      </c>
      <c r="Y1561" s="121">
        <f>IF(tech_base!$T97&gt;Y$1465,"",(tech_base!$J97/tech_proj!Y221*0.086*$N$110)/(1-tech_proj!Y501))</f>
        <v>0</v>
      </c>
      <c r="Z1561" s="121">
        <f>IF(tech_base!$T97&gt;Z$1465,"",(tech_base!$J97/tech_proj!Z221*0.086*$N$110)/(1-tech_proj!Z501))</f>
        <v>0</v>
      </c>
      <c r="AA1561" s="121">
        <f>IF(tech_base!$T97&gt;AA$1465,"",(tech_base!$J97/tech_proj!AA221*0.086*$N$110)/(1-tech_proj!AA501))</f>
        <v>0</v>
      </c>
      <c r="AB1561" s="121">
        <f>IF(tech_base!$T97&gt;AB$1465,"",(tech_base!$J97/tech_proj!AB221*0.086*$N$110)/(1-tech_proj!AB501))</f>
        <v>0</v>
      </c>
      <c r="AC1561" s="121">
        <f>IF(tech_base!$T97&gt;AC$1465,"",(tech_base!$J97/tech_proj!AC221*0.086*$N$110)/(1-tech_proj!AC501))</f>
        <v>0</v>
      </c>
      <c r="AD1561" s="121">
        <f>IF(tech_base!$T97&gt;AD$1465,"",(tech_base!$J97/tech_proj!AD221*0.086*$N$110)/(1-tech_proj!AD501))</f>
        <v>0</v>
      </c>
      <c r="AE1561" s="121">
        <f>IF(tech_base!$T97&gt;AE$1465,"",(tech_base!$J97/tech_proj!AE221*0.086*$N$110)/(1-tech_proj!AE501))</f>
        <v>0</v>
      </c>
      <c r="AF1561" s="121">
        <f>IF(tech_base!$T97&gt;AF$1465,"",(tech_base!$J97/tech_proj!AF221*0.086*$N$110)/(1-tech_proj!AF501))</f>
        <v>0</v>
      </c>
      <c r="AG1561" s="121">
        <f>IF(tech_base!$T97&gt;AG$1465,"",(tech_base!$J97/tech_proj!AG221*0.086*$N$110)/(1-tech_proj!AG501))</f>
        <v>0</v>
      </c>
      <c r="AH1561" s="121">
        <f>IF(tech_base!$T97&gt;AH$1465,"",(tech_base!$J97/tech_proj!AH221*0.086*$N$110)/(1-tech_proj!AH501))</f>
        <v>0</v>
      </c>
      <c r="AI1561" s="121">
        <f>IF(tech_base!$T97&gt;AI$1465,"",(tech_base!$J97/tech_proj!AI221*0.086*$N$110)/(1-tech_proj!AI501))</f>
        <v>0</v>
      </c>
      <c r="AJ1561" s="121">
        <f>IF(tech_base!$T97&gt;AJ$1465,"",(tech_base!$J97/tech_proj!AJ221*0.086*$N$110)/(1-tech_proj!AJ501))</f>
        <v>0</v>
      </c>
      <c r="AK1561" s="121">
        <f>IF(tech_base!$T97&gt;AK$1465,"",(tech_base!$J97/tech_proj!AK221*0.086*$N$110)/(1-tech_proj!AK501))</f>
        <v>0</v>
      </c>
      <c r="AL1561" s="121">
        <f>IF(tech_base!$T97&gt;AL$1465,"",(tech_base!$J97/tech_proj!AL221*0.086*$N$110)/(1-tech_proj!AL501))</f>
        <v>0</v>
      </c>
      <c r="AM1561" s="121">
        <f>IF(tech_base!$T97&gt;AM$1465,"",(tech_base!$J97/tech_proj!AM221*0.086*$N$110)/(1-tech_proj!AM501))</f>
        <v>0</v>
      </c>
      <c r="AN1561" s="121">
        <f>IF(tech_base!$T97&gt;AN$1465,"",(tech_base!$J97/tech_proj!AN221*0.086*$N$110)/(1-tech_proj!AN501))</f>
        <v>0</v>
      </c>
      <c r="AO1561" s="121">
        <f>IF(tech_base!$T97&gt;AO$1465,"",(tech_base!$J97/tech_proj!AO221*0.086*$N$110)/(1-tech_proj!AO501))</f>
        <v>0</v>
      </c>
      <c r="AP1561" s="121">
        <f>IF(tech_base!$T97&gt;AP$1465,"",(tech_base!$J97/tech_proj!AP221*0.086*$N$110)/(1-tech_proj!AP501))</f>
        <v>0</v>
      </c>
      <c r="AQ1561" s="121">
        <f>IF(tech_base!$T97&gt;AQ$1465,"",(tech_base!$J97/tech_proj!AQ221*0.086*$N$110)/(1-tech_proj!AQ501))</f>
        <v>0</v>
      </c>
      <c r="AR1561" s="121">
        <f>IF(tech_base!$T97&gt;AR$1465,"",(tech_base!$J97/tech_proj!AR221*0.086*$N$110)/(1-tech_proj!AR501))</f>
        <v>0</v>
      </c>
      <c r="AS1561" s="121">
        <f>IF(tech_base!$T97&gt;AS$1465,"",(tech_base!$J97/tech_proj!AS221*0.086*$N$110)/(1-tech_proj!AS501))</f>
        <v>0</v>
      </c>
      <c r="AT1561" s="121">
        <f>IF(tech_base!$T97&gt;AT$1465,"",(tech_base!$J97/tech_proj!AT221*0.086*$N$110)/(1-tech_proj!AT501))</f>
        <v>0</v>
      </c>
      <c r="AU1561" s="121">
        <f>IF(tech_base!$T97&gt;AU$1465,"",(tech_base!$J97/tech_proj!AU221*0.086*$N$110)/(1-tech_proj!AU501))</f>
        <v>0</v>
      </c>
      <c r="AV1561" s="121">
        <f>IF(tech_base!$T97&gt;AV$1465,"",(tech_base!$J97/tech_proj!AV221*0.086*$N$110)/(1-tech_proj!AV501))</f>
        <v>0</v>
      </c>
      <c r="AW1561" s="121">
        <f>IF(tech_base!$T97&gt;AW$1465,"",(tech_base!$J97/tech_proj!AW221*0.086*$N$110)/(1-tech_proj!AW501))</f>
        <v>0</v>
      </c>
      <c r="AX1561" s="122">
        <f>IF(tech_base!$T97&gt;AX$1465,"",(tech_base!$J97/tech_proj!AX221*0.086*$N$110)/(1-tech_proj!AX501))</f>
        <v>0</v>
      </c>
    </row>
    <row r="1562" spans="1:50" x14ac:dyDescent="0.25">
      <c r="A1562" s="356"/>
      <c r="B1562" s="376"/>
      <c r="C1562" s="378"/>
      <c r="D1562" s="2" t="s">
        <v>10</v>
      </c>
      <c r="E1562" s="160" t="str">
        <f>A1549&amp;"/"&amp;B1561&amp;"/"&amp;C1561&amp;"/"&amp;D1562</f>
        <v>Gas fired power plants (Natural gas, biogas)/Gas turbine /Electricity only/S</v>
      </c>
      <c r="F1562" s="76" t="str">
        <f>A1549</f>
        <v>Gas fired power plants (Natural gas, biogas)</v>
      </c>
      <c r="G1562" s="76" t="str">
        <f>B1561</f>
        <v xml:space="preserve">Gas turbine </v>
      </c>
      <c r="H1562" s="76" t="str">
        <f>C1561</f>
        <v>Electricity only</v>
      </c>
      <c r="I1562" s="161" t="str">
        <f t="shared" si="378"/>
        <v>S</v>
      </c>
      <c r="J1562" s="119">
        <f>IF(tech_base!$T98&gt;J$1465,"",(tech_base!$J98/tech_proj!J222*0.086*$N$110)/(1-tech_proj!J502))</f>
        <v>0</v>
      </c>
      <c r="K1562" s="119">
        <f>IF(tech_base!$T98&gt;K$1465,"",(tech_base!$J98/tech_proj!K222*0.086*$N$110)/(1-tech_proj!K502))</f>
        <v>0</v>
      </c>
      <c r="L1562" s="119">
        <f>IF(tech_base!$T98&gt;L$1465,"",(tech_base!$J98/tech_proj!L222*0.086*$N$110)/(1-tech_proj!L502))</f>
        <v>0</v>
      </c>
      <c r="M1562" s="119">
        <f>IF(tech_base!$T98&gt;M$1465,"",(tech_base!$J98/tech_proj!M222*0.086*$N$110)/(1-tech_proj!M502))</f>
        <v>0</v>
      </c>
      <c r="N1562" s="119">
        <f>IF(tech_base!$T98&gt;N$1465,"",(tech_base!$J98/tech_proj!N222*0.086*$N$110)/(1-tech_proj!N502))</f>
        <v>0</v>
      </c>
      <c r="O1562" s="119">
        <f>IF(tech_base!$T98&gt;O$1465,"",(tech_base!$J98/tech_proj!O222*0.086*$N$110)/(1-tech_proj!O502))</f>
        <v>0</v>
      </c>
      <c r="P1562" s="119">
        <f>IF(tech_base!$T98&gt;P$1465,"",(tech_base!$J98/tech_proj!P222*0.086*$N$110)/(1-tech_proj!P502))</f>
        <v>0</v>
      </c>
      <c r="Q1562" s="119">
        <f>IF(tech_base!$T98&gt;Q$1465,"",(tech_base!$J98/tech_proj!Q222*0.086*$N$110)/(1-tech_proj!Q502))</f>
        <v>0</v>
      </c>
      <c r="R1562" s="119">
        <f>IF(tech_base!$T98&gt;R$1465,"",(tech_base!$J98/tech_proj!R222*0.086*$N$110)/(1-tech_proj!R502))</f>
        <v>0</v>
      </c>
      <c r="S1562" s="119">
        <f>IF(tech_base!$T98&gt;S$1465,"",(tech_base!$J98/tech_proj!S222*0.086*$N$110)/(1-tech_proj!S502))</f>
        <v>0</v>
      </c>
      <c r="T1562" s="119">
        <f>IF(tech_base!$T98&gt;T$1465,"",(tech_base!$J98/tech_proj!T222*0.086*$N$110)/(1-tech_proj!T502))</f>
        <v>0</v>
      </c>
      <c r="U1562" s="119">
        <f>IF(tech_base!$T98&gt;U$1465,"",(tech_base!$J98/tech_proj!U222*0.086*$N$110)/(1-tech_proj!U502))</f>
        <v>0</v>
      </c>
      <c r="V1562" s="119">
        <f>IF(tech_base!$T98&gt;V$1465,"",(tech_base!$J98/tech_proj!V222*0.086*$N$110)/(1-tech_proj!V502))</f>
        <v>0</v>
      </c>
      <c r="W1562" s="119">
        <f>IF(tech_base!$T98&gt;W$1465,"",(tech_base!$J98/tech_proj!W222*0.086*$N$110)/(1-tech_proj!W502))</f>
        <v>0</v>
      </c>
      <c r="X1562" s="119">
        <f>IF(tech_base!$T98&gt;X$1465,"",(tech_base!$J98/tech_proj!X222*0.086*$N$110)/(1-tech_proj!X502))</f>
        <v>0</v>
      </c>
      <c r="Y1562" s="119">
        <f>IF(tech_base!$T98&gt;Y$1465,"",(tech_base!$J98/tech_proj!Y222*0.086*$N$110)/(1-tech_proj!Y502))</f>
        <v>0</v>
      </c>
      <c r="Z1562" s="119">
        <f>IF(tech_base!$T98&gt;Z$1465,"",(tech_base!$J98/tech_proj!Z222*0.086*$N$110)/(1-tech_proj!Z502))</f>
        <v>0</v>
      </c>
      <c r="AA1562" s="119">
        <f>IF(tech_base!$T98&gt;AA$1465,"",(tech_base!$J98/tech_proj!AA222*0.086*$N$110)/(1-tech_proj!AA502))</f>
        <v>0</v>
      </c>
      <c r="AB1562" s="119">
        <f>IF(tech_base!$T98&gt;AB$1465,"",(tech_base!$J98/tech_proj!AB222*0.086*$N$110)/(1-tech_proj!AB502))</f>
        <v>0</v>
      </c>
      <c r="AC1562" s="119">
        <f>IF(tech_base!$T98&gt;AC$1465,"",(tech_base!$J98/tech_proj!AC222*0.086*$N$110)/(1-tech_proj!AC502))</f>
        <v>0</v>
      </c>
      <c r="AD1562" s="119">
        <f>IF(tech_base!$T98&gt;AD$1465,"",(tech_base!$J98/tech_proj!AD222*0.086*$N$110)/(1-tech_proj!AD502))</f>
        <v>0</v>
      </c>
      <c r="AE1562" s="119">
        <f>IF(tech_base!$T98&gt;AE$1465,"",(tech_base!$J98/tech_proj!AE222*0.086*$N$110)/(1-tech_proj!AE502))</f>
        <v>0</v>
      </c>
      <c r="AF1562" s="119">
        <f>IF(tech_base!$T98&gt;AF$1465,"",(tech_base!$J98/tech_proj!AF222*0.086*$N$110)/(1-tech_proj!AF502))</f>
        <v>0</v>
      </c>
      <c r="AG1562" s="119">
        <f>IF(tech_base!$T98&gt;AG$1465,"",(tech_base!$J98/tech_proj!AG222*0.086*$N$110)/(1-tech_proj!AG502))</f>
        <v>0</v>
      </c>
      <c r="AH1562" s="119">
        <f>IF(tech_base!$T98&gt;AH$1465,"",(tech_base!$J98/tech_proj!AH222*0.086*$N$110)/(1-tech_proj!AH502))</f>
        <v>0</v>
      </c>
      <c r="AI1562" s="119">
        <f>IF(tech_base!$T98&gt;AI$1465,"",(tech_base!$J98/tech_proj!AI222*0.086*$N$110)/(1-tech_proj!AI502))</f>
        <v>0</v>
      </c>
      <c r="AJ1562" s="119">
        <f>IF(tech_base!$T98&gt;AJ$1465,"",(tech_base!$J98/tech_proj!AJ222*0.086*$N$110)/(1-tech_proj!AJ502))</f>
        <v>0</v>
      </c>
      <c r="AK1562" s="119">
        <f>IF(tech_base!$T98&gt;AK$1465,"",(tech_base!$J98/tech_proj!AK222*0.086*$N$110)/(1-tech_proj!AK502))</f>
        <v>0</v>
      </c>
      <c r="AL1562" s="119">
        <f>IF(tech_base!$T98&gt;AL$1465,"",(tech_base!$J98/tech_proj!AL222*0.086*$N$110)/(1-tech_proj!AL502))</f>
        <v>0</v>
      </c>
      <c r="AM1562" s="119">
        <f>IF(tech_base!$T98&gt;AM$1465,"",(tech_base!$J98/tech_proj!AM222*0.086*$N$110)/(1-tech_proj!AM502))</f>
        <v>0</v>
      </c>
      <c r="AN1562" s="119">
        <f>IF(tech_base!$T98&gt;AN$1465,"",(tech_base!$J98/tech_proj!AN222*0.086*$N$110)/(1-tech_proj!AN502))</f>
        <v>0</v>
      </c>
      <c r="AO1562" s="119">
        <f>IF(tech_base!$T98&gt;AO$1465,"",(tech_base!$J98/tech_proj!AO222*0.086*$N$110)/(1-tech_proj!AO502))</f>
        <v>0</v>
      </c>
      <c r="AP1562" s="119">
        <f>IF(tech_base!$T98&gt;AP$1465,"",(tech_base!$J98/tech_proj!AP222*0.086*$N$110)/(1-tech_proj!AP502))</f>
        <v>0</v>
      </c>
      <c r="AQ1562" s="119">
        <f>IF(tech_base!$T98&gt;AQ$1465,"",(tech_base!$J98/tech_proj!AQ222*0.086*$N$110)/(1-tech_proj!AQ502))</f>
        <v>0</v>
      </c>
      <c r="AR1562" s="119">
        <f>IF(tech_base!$T98&gt;AR$1465,"",(tech_base!$J98/tech_proj!AR222*0.086*$N$110)/(1-tech_proj!AR502))</f>
        <v>0</v>
      </c>
      <c r="AS1562" s="119">
        <f>IF(tech_base!$T98&gt;AS$1465,"",(tech_base!$J98/tech_proj!AS222*0.086*$N$110)/(1-tech_proj!AS502))</f>
        <v>0</v>
      </c>
      <c r="AT1562" s="119">
        <f>IF(tech_base!$T98&gt;AT$1465,"",(tech_base!$J98/tech_proj!AT222*0.086*$N$110)/(1-tech_proj!AT502))</f>
        <v>0</v>
      </c>
      <c r="AU1562" s="119">
        <f>IF(tech_base!$T98&gt;AU$1465,"",(tech_base!$J98/tech_proj!AU222*0.086*$N$110)/(1-tech_proj!AU502))</f>
        <v>0</v>
      </c>
      <c r="AV1562" s="119">
        <f>IF(tech_base!$T98&gt;AV$1465,"",(tech_base!$J98/tech_proj!AV222*0.086*$N$110)/(1-tech_proj!AV502))</f>
        <v>0</v>
      </c>
      <c r="AW1562" s="119">
        <f>IF(tech_base!$T98&gt;AW$1465,"",(tech_base!$J98/tech_proj!AW222*0.086*$N$110)/(1-tech_proj!AW502))</f>
        <v>0</v>
      </c>
      <c r="AX1562" s="120">
        <f>IF(tech_base!$T98&gt;AX$1465,"",(tech_base!$J98/tech_proj!AX222*0.086*$N$110)/(1-tech_proj!AX502))</f>
        <v>0</v>
      </c>
    </row>
    <row r="1563" spans="1:50" x14ac:dyDescent="0.25">
      <c r="A1563" s="356"/>
      <c r="B1563" s="376"/>
      <c r="C1563" s="379"/>
      <c r="D1563" s="59" t="s">
        <v>20</v>
      </c>
      <c r="E1563" s="160" t="str">
        <f>A1549&amp;"/"&amp;B1561&amp;"/"&amp;C1561&amp;"/"&amp;D1563</f>
        <v>Gas fired power plants (Natural gas, biogas)/Gas turbine /Electricity only/XS</v>
      </c>
      <c r="F1563" s="76" t="str">
        <f>A1549</f>
        <v>Gas fired power plants (Natural gas, biogas)</v>
      </c>
      <c r="G1563" s="76" t="str">
        <f>B1561</f>
        <v xml:space="preserve">Gas turbine </v>
      </c>
      <c r="H1563" s="76" t="str">
        <f>C1561</f>
        <v>Electricity only</v>
      </c>
      <c r="I1563" s="161" t="str">
        <f t="shared" si="378"/>
        <v>XS</v>
      </c>
      <c r="J1563" s="119">
        <f>IF(tech_base!$T99&gt;J$1465,"",(tech_base!$J99/tech_proj!J223*0.086*$N$110)/(1-tech_proj!J503))</f>
        <v>0</v>
      </c>
      <c r="K1563" s="119">
        <f>IF(tech_base!$T99&gt;K$1465,"",(tech_base!$J99/tech_proj!K223*0.086*$N$110)/(1-tech_proj!K503))</f>
        <v>0</v>
      </c>
      <c r="L1563" s="119">
        <f>IF(tech_base!$T99&gt;L$1465,"",(tech_base!$J99/tech_proj!L223*0.086*$N$110)/(1-tech_proj!L503))</f>
        <v>0</v>
      </c>
      <c r="M1563" s="119">
        <f>IF(tech_base!$T99&gt;M$1465,"",(tech_base!$J99/tech_proj!M223*0.086*$N$110)/(1-tech_proj!M503))</f>
        <v>0</v>
      </c>
      <c r="N1563" s="119">
        <f>IF(tech_base!$T99&gt;N$1465,"",(tech_base!$J99/tech_proj!N223*0.086*$N$110)/(1-tech_proj!N503))</f>
        <v>0</v>
      </c>
      <c r="O1563" s="119">
        <f>IF(tech_base!$T99&gt;O$1465,"",(tech_base!$J99/tech_proj!O223*0.086*$N$110)/(1-tech_proj!O503))</f>
        <v>0</v>
      </c>
      <c r="P1563" s="119">
        <f>IF(tech_base!$T99&gt;P$1465,"",(tech_base!$J99/tech_proj!P223*0.086*$N$110)/(1-tech_proj!P503))</f>
        <v>0</v>
      </c>
      <c r="Q1563" s="119">
        <f>IF(tech_base!$T99&gt;Q$1465,"",(tech_base!$J99/tech_proj!Q223*0.086*$N$110)/(1-tech_proj!Q503))</f>
        <v>0</v>
      </c>
      <c r="R1563" s="119">
        <f>IF(tech_base!$T99&gt;R$1465,"",(tech_base!$J99/tech_proj!R223*0.086*$N$110)/(1-tech_proj!R503))</f>
        <v>0</v>
      </c>
      <c r="S1563" s="119">
        <f>IF(tech_base!$T99&gt;S$1465,"",(tech_base!$J99/tech_proj!S223*0.086*$N$110)/(1-tech_proj!S503))</f>
        <v>0</v>
      </c>
      <c r="T1563" s="119">
        <f>IF(tech_base!$T99&gt;T$1465,"",(tech_base!$J99/tech_proj!T223*0.086*$N$110)/(1-tech_proj!T503))</f>
        <v>0</v>
      </c>
      <c r="U1563" s="119">
        <f>IF(tech_base!$T99&gt;U$1465,"",(tech_base!$J99/tech_proj!U223*0.086*$N$110)/(1-tech_proj!U503))</f>
        <v>0</v>
      </c>
      <c r="V1563" s="119">
        <f>IF(tech_base!$T99&gt;V$1465,"",(tech_base!$J99/tech_proj!V223*0.086*$N$110)/(1-tech_proj!V503))</f>
        <v>0</v>
      </c>
      <c r="W1563" s="119">
        <f>IF(tech_base!$T99&gt;W$1465,"",(tech_base!$J99/tech_proj!W223*0.086*$N$110)/(1-tech_proj!W503))</f>
        <v>0</v>
      </c>
      <c r="X1563" s="119">
        <f>IF(tech_base!$T99&gt;X$1465,"",(tech_base!$J99/tech_proj!X223*0.086*$N$110)/(1-tech_proj!X503))</f>
        <v>0</v>
      </c>
      <c r="Y1563" s="119">
        <f>IF(tech_base!$T99&gt;Y$1465,"",(tech_base!$J99/tech_proj!Y223*0.086*$N$110)/(1-tech_proj!Y503))</f>
        <v>0</v>
      </c>
      <c r="Z1563" s="119">
        <f>IF(tech_base!$T99&gt;Z$1465,"",(tech_base!$J99/tech_proj!Z223*0.086*$N$110)/(1-tech_proj!Z503))</f>
        <v>0</v>
      </c>
      <c r="AA1563" s="119">
        <f>IF(tech_base!$T99&gt;AA$1465,"",(tech_base!$J99/tech_proj!AA223*0.086*$N$110)/(1-tech_proj!AA503))</f>
        <v>0</v>
      </c>
      <c r="AB1563" s="119">
        <f>IF(tech_base!$T99&gt;AB$1465,"",(tech_base!$J99/tech_proj!AB223*0.086*$N$110)/(1-tech_proj!AB503))</f>
        <v>0</v>
      </c>
      <c r="AC1563" s="119">
        <f>IF(tech_base!$T99&gt;AC$1465,"",(tech_base!$J99/tech_proj!AC223*0.086*$N$110)/(1-tech_proj!AC503))</f>
        <v>0</v>
      </c>
      <c r="AD1563" s="119">
        <f>IF(tech_base!$T99&gt;AD$1465,"",(tech_base!$J99/tech_proj!AD223*0.086*$N$110)/(1-tech_proj!AD503))</f>
        <v>0</v>
      </c>
      <c r="AE1563" s="119">
        <f>IF(tech_base!$T99&gt;AE$1465,"",(tech_base!$J99/tech_proj!AE223*0.086*$N$110)/(1-tech_proj!AE503))</f>
        <v>0</v>
      </c>
      <c r="AF1563" s="119">
        <f>IF(tech_base!$T99&gt;AF$1465,"",(tech_base!$J99/tech_proj!AF223*0.086*$N$110)/(1-tech_proj!AF503))</f>
        <v>0</v>
      </c>
      <c r="AG1563" s="119">
        <f>IF(tech_base!$T99&gt;AG$1465,"",(tech_base!$J99/tech_proj!AG223*0.086*$N$110)/(1-tech_proj!AG503))</f>
        <v>0</v>
      </c>
      <c r="AH1563" s="119">
        <f>IF(tech_base!$T99&gt;AH$1465,"",(tech_base!$J99/tech_proj!AH223*0.086*$N$110)/(1-tech_proj!AH503))</f>
        <v>0</v>
      </c>
      <c r="AI1563" s="119">
        <f>IF(tech_base!$T99&gt;AI$1465,"",(tech_base!$J99/tech_proj!AI223*0.086*$N$110)/(1-tech_proj!AI503))</f>
        <v>0</v>
      </c>
      <c r="AJ1563" s="119">
        <f>IF(tech_base!$T99&gt;AJ$1465,"",(tech_base!$J99/tech_proj!AJ223*0.086*$N$110)/(1-tech_proj!AJ503))</f>
        <v>0</v>
      </c>
      <c r="AK1563" s="119">
        <f>IF(tech_base!$T99&gt;AK$1465,"",(tech_base!$J99/tech_proj!AK223*0.086*$N$110)/(1-tech_proj!AK503))</f>
        <v>0</v>
      </c>
      <c r="AL1563" s="119">
        <f>IF(tech_base!$T99&gt;AL$1465,"",(tech_base!$J99/tech_proj!AL223*0.086*$N$110)/(1-tech_proj!AL503))</f>
        <v>0</v>
      </c>
      <c r="AM1563" s="119">
        <f>IF(tech_base!$T99&gt;AM$1465,"",(tech_base!$J99/tech_proj!AM223*0.086*$N$110)/(1-tech_proj!AM503))</f>
        <v>0</v>
      </c>
      <c r="AN1563" s="119">
        <f>IF(tech_base!$T99&gt;AN$1465,"",(tech_base!$J99/tech_proj!AN223*0.086*$N$110)/(1-tech_proj!AN503))</f>
        <v>0</v>
      </c>
      <c r="AO1563" s="119">
        <f>IF(tech_base!$T99&gt;AO$1465,"",(tech_base!$J99/tech_proj!AO223*0.086*$N$110)/(1-tech_proj!AO503))</f>
        <v>0</v>
      </c>
      <c r="AP1563" s="119">
        <f>IF(tech_base!$T99&gt;AP$1465,"",(tech_base!$J99/tech_proj!AP223*0.086*$N$110)/(1-tech_proj!AP503))</f>
        <v>0</v>
      </c>
      <c r="AQ1563" s="119">
        <f>IF(tech_base!$T99&gt;AQ$1465,"",(tech_base!$J99/tech_proj!AQ223*0.086*$N$110)/(1-tech_proj!AQ503))</f>
        <v>0</v>
      </c>
      <c r="AR1563" s="119">
        <f>IF(tech_base!$T99&gt;AR$1465,"",(tech_base!$J99/tech_proj!AR223*0.086*$N$110)/(1-tech_proj!AR503))</f>
        <v>0</v>
      </c>
      <c r="AS1563" s="119">
        <f>IF(tech_base!$T99&gt;AS$1465,"",(tech_base!$J99/tech_proj!AS223*0.086*$N$110)/(1-tech_proj!AS503))</f>
        <v>0</v>
      </c>
      <c r="AT1563" s="119">
        <f>IF(tech_base!$T99&gt;AT$1465,"",(tech_base!$J99/tech_proj!AT223*0.086*$N$110)/(1-tech_proj!AT503))</f>
        <v>0</v>
      </c>
      <c r="AU1563" s="119">
        <f>IF(tech_base!$T99&gt;AU$1465,"",(tech_base!$J99/tech_proj!AU223*0.086*$N$110)/(1-tech_proj!AU503))</f>
        <v>0</v>
      </c>
      <c r="AV1563" s="119">
        <f>IF(tech_base!$T99&gt;AV$1465,"",(tech_base!$J99/tech_proj!AV223*0.086*$N$110)/(1-tech_proj!AV503))</f>
        <v>0</v>
      </c>
      <c r="AW1563" s="119">
        <f>IF(tech_base!$T99&gt;AW$1465,"",(tech_base!$J99/tech_proj!AW223*0.086*$N$110)/(1-tech_proj!AW503))</f>
        <v>0</v>
      </c>
      <c r="AX1563" s="120">
        <f>IF(tech_base!$T99&gt;AX$1465,"",(tech_base!$J99/tech_proj!AX223*0.086*$N$110)/(1-tech_proj!AX503))</f>
        <v>0</v>
      </c>
    </row>
    <row r="1564" spans="1:50" x14ac:dyDescent="0.25">
      <c r="A1564" s="356"/>
      <c r="B1564" s="376"/>
      <c r="C1564" s="361" t="s">
        <v>14</v>
      </c>
      <c r="D1564" s="2" t="s">
        <v>8</v>
      </c>
      <c r="E1564" s="164" t="str">
        <f>A1549&amp;"/"&amp;B1561&amp;"/"&amp;C1564&amp;"/"&amp;D1564</f>
        <v>Gas fired power plants (Natural gas, biogas)/Gas turbine /CHP/M</v>
      </c>
      <c r="F1564" s="78" t="str">
        <f>A1549</f>
        <v>Gas fired power plants (Natural gas, biogas)</v>
      </c>
      <c r="G1564" s="78" t="str">
        <f>B1561</f>
        <v xml:space="preserve">Gas turbine </v>
      </c>
      <c r="H1564" s="78" t="str">
        <f>C1564</f>
        <v>CHP</v>
      </c>
      <c r="I1564" s="165" t="str">
        <f t="shared" si="378"/>
        <v>M</v>
      </c>
      <c r="J1564" s="123">
        <f>IF(tech_base!$T100&gt;J$1465,"",(tech_base!$J100/tech_proj!J224*0.086*$N$110)/(1-tech_proj!J504))</f>
        <v>0</v>
      </c>
      <c r="K1564" s="123">
        <f>IF(tech_base!$T100&gt;K$1465,"",(tech_base!$J100/tech_proj!K224*0.086*$N$110)/(1-tech_proj!K504))</f>
        <v>0</v>
      </c>
      <c r="L1564" s="123">
        <f>IF(tech_base!$T100&gt;L$1465,"",(tech_base!$J100/tech_proj!L224*0.086*$N$110)/(1-tech_proj!L504))</f>
        <v>0</v>
      </c>
      <c r="M1564" s="123">
        <f>IF(tech_base!$T100&gt;M$1465,"",(tech_base!$J100/tech_proj!M224*0.086*$N$110)/(1-tech_proj!M504))</f>
        <v>0</v>
      </c>
      <c r="N1564" s="123">
        <f>IF(tech_base!$T100&gt;N$1465,"",(tech_base!$J100/tech_proj!N224*0.086*$N$110)/(1-tech_proj!N504))</f>
        <v>0</v>
      </c>
      <c r="O1564" s="123">
        <f>IF(tech_base!$T100&gt;O$1465,"",(tech_base!$J100/tech_proj!O224*0.086*$N$110)/(1-tech_proj!O504))</f>
        <v>0</v>
      </c>
      <c r="P1564" s="123">
        <f>IF(tech_base!$T100&gt;P$1465,"",(tech_base!$J100/tech_proj!P224*0.086*$N$110)/(1-tech_proj!P504))</f>
        <v>0</v>
      </c>
      <c r="Q1564" s="123">
        <f>IF(tech_base!$T100&gt;Q$1465,"",(tech_base!$J100/tech_proj!Q224*0.086*$N$110)/(1-tech_proj!Q504))</f>
        <v>0</v>
      </c>
      <c r="R1564" s="123">
        <f>IF(tech_base!$T100&gt;R$1465,"",(tech_base!$J100/tech_proj!R224*0.086*$N$110)/(1-tech_proj!R504))</f>
        <v>0</v>
      </c>
      <c r="S1564" s="123">
        <f>IF(tech_base!$T100&gt;S$1465,"",(tech_base!$J100/tech_proj!S224*0.086*$N$110)/(1-tech_proj!S504))</f>
        <v>0</v>
      </c>
      <c r="T1564" s="123">
        <f>IF(tech_base!$T100&gt;T$1465,"",(tech_base!$J100/tech_proj!T224*0.086*$N$110)/(1-tech_proj!T504))</f>
        <v>0</v>
      </c>
      <c r="U1564" s="123">
        <f>IF(tech_base!$T100&gt;U$1465,"",(tech_base!$J100/tech_proj!U224*0.086*$N$110)/(1-tech_proj!U504))</f>
        <v>0</v>
      </c>
      <c r="V1564" s="123">
        <f>IF(tech_base!$T100&gt;V$1465,"",(tech_base!$J100/tech_proj!V224*0.086*$N$110)/(1-tech_proj!V504))</f>
        <v>0</v>
      </c>
      <c r="W1564" s="123">
        <f>IF(tech_base!$T100&gt;W$1465,"",(tech_base!$J100/tech_proj!W224*0.086*$N$110)/(1-tech_proj!W504))</f>
        <v>0</v>
      </c>
      <c r="X1564" s="123">
        <f>IF(tech_base!$T100&gt;X$1465,"",(tech_base!$J100/tech_proj!X224*0.086*$N$110)/(1-tech_proj!X504))</f>
        <v>0</v>
      </c>
      <c r="Y1564" s="123">
        <f>IF(tech_base!$T100&gt;Y$1465,"",(tech_base!$J100/tech_proj!Y224*0.086*$N$110)/(1-tech_proj!Y504))</f>
        <v>0</v>
      </c>
      <c r="Z1564" s="123">
        <f>IF(tech_base!$T100&gt;Z$1465,"",(tech_base!$J100/tech_proj!Z224*0.086*$N$110)/(1-tech_proj!Z504))</f>
        <v>0</v>
      </c>
      <c r="AA1564" s="123">
        <f>IF(tech_base!$T100&gt;AA$1465,"",(tech_base!$J100/tech_proj!AA224*0.086*$N$110)/(1-tech_proj!AA504))</f>
        <v>0</v>
      </c>
      <c r="AB1564" s="123">
        <f>IF(tech_base!$T100&gt;AB$1465,"",(tech_base!$J100/tech_proj!AB224*0.086*$N$110)/(1-tech_proj!AB504))</f>
        <v>0</v>
      </c>
      <c r="AC1564" s="123">
        <f>IF(tech_base!$T100&gt;AC$1465,"",(tech_base!$J100/tech_proj!AC224*0.086*$N$110)/(1-tech_proj!AC504))</f>
        <v>0</v>
      </c>
      <c r="AD1564" s="123">
        <f>IF(tech_base!$T100&gt;AD$1465,"",(tech_base!$J100/tech_proj!AD224*0.086*$N$110)/(1-tech_proj!AD504))</f>
        <v>0</v>
      </c>
      <c r="AE1564" s="123">
        <f>IF(tech_base!$T100&gt;AE$1465,"",(tech_base!$J100/tech_proj!AE224*0.086*$N$110)/(1-tech_proj!AE504))</f>
        <v>0</v>
      </c>
      <c r="AF1564" s="123">
        <f>IF(tech_base!$T100&gt;AF$1465,"",(tech_base!$J100/tech_proj!AF224*0.086*$N$110)/(1-tech_proj!AF504))</f>
        <v>0</v>
      </c>
      <c r="AG1564" s="123">
        <f>IF(tech_base!$T100&gt;AG$1465,"",(tech_base!$J100/tech_proj!AG224*0.086*$N$110)/(1-tech_proj!AG504))</f>
        <v>0</v>
      </c>
      <c r="AH1564" s="123">
        <f>IF(tech_base!$T100&gt;AH$1465,"",(tech_base!$J100/tech_proj!AH224*0.086*$N$110)/(1-tech_proj!AH504))</f>
        <v>0</v>
      </c>
      <c r="AI1564" s="123">
        <f>IF(tech_base!$T100&gt;AI$1465,"",(tech_base!$J100/tech_proj!AI224*0.086*$N$110)/(1-tech_proj!AI504))</f>
        <v>0</v>
      </c>
      <c r="AJ1564" s="123">
        <f>IF(tech_base!$T100&gt;AJ$1465,"",(tech_base!$J100/tech_proj!AJ224*0.086*$N$110)/(1-tech_proj!AJ504))</f>
        <v>0</v>
      </c>
      <c r="AK1564" s="123">
        <f>IF(tech_base!$T100&gt;AK$1465,"",(tech_base!$J100/tech_proj!AK224*0.086*$N$110)/(1-tech_proj!AK504))</f>
        <v>0</v>
      </c>
      <c r="AL1564" s="123">
        <f>IF(tech_base!$T100&gt;AL$1465,"",(tech_base!$J100/tech_proj!AL224*0.086*$N$110)/(1-tech_proj!AL504))</f>
        <v>0</v>
      </c>
      <c r="AM1564" s="123">
        <f>IF(tech_base!$T100&gt;AM$1465,"",(tech_base!$J100/tech_proj!AM224*0.086*$N$110)/(1-tech_proj!AM504))</f>
        <v>0</v>
      </c>
      <c r="AN1564" s="123">
        <f>IF(tech_base!$T100&gt;AN$1465,"",(tech_base!$J100/tech_proj!AN224*0.086*$N$110)/(1-tech_proj!AN504))</f>
        <v>0</v>
      </c>
      <c r="AO1564" s="123">
        <f>IF(tech_base!$T100&gt;AO$1465,"",(tech_base!$J100/tech_proj!AO224*0.086*$N$110)/(1-tech_proj!AO504))</f>
        <v>0</v>
      </c>
      <c r="AP1564" s="123">
        <f>IF(tech_base!$T100&gt;AP$1465,"",(tech_base!$J100/tech_proj!AP224*0.086*$N$110)/(1-tech_proj!AP504))</f>
        <v>0</v>
      </c>
      <c r="AQ1564" s="123">
        <f>IF(tech_base!$T100&gt;AQ$1465,"",(tech_base!$J100/tech_proj!AQ224*0.086*$N$110)/(1-tech_proj!AQ504))</f>
        <v>0</v>
      </c>
      <c r="AR1564" s="123">
        <f>IF(tech_base!$T100&gt;AR$1465,"",(tech_base!$J100/tech_proj!AR224*0.086*$N$110)/(1-tech_proj!AR504))</f>
        <v>0</v>
      </c>
      <c r="AS1564" s="123">
        <f>IF(tech_base!$T100&gt;AS$1465,"",(tech_base!$J100/tech_proj!AS224*0.086*$N$110)/(1-tech_proj!AS504))</f>
        <v>0</v>
      </c>
      <c r="AT1564" s="123">
        <f>IF(tech_base!$T100&gt;AT$1465,"",(tech_base!$J100/tech_proj!AT224*0.086*$N$110)/(1-tech_proj!AT504))</f>
        <v>0</v>
      </c>
      <c r="AU1564" s="123">
        <f>IF(tech_base!$T100&gt;AU$1465,"",(tech_base!$J100/tech_proj!AU224*0.086*$N$110)/(1-tech_proj!AU504))</f>
        <v>0</v>
      </c>
      <c r="AV1564" s="123">
        <f>IF(tech_base!$T100&gt;AV$1465,"",(tech_base!$J100/tech_proj!AV224*0.086*$N$110)/(1-tech_proj!AV504))</f>
        <v>0</v>
      </c>
      <c r="AW1564" s="123">
        <f>IF(tech_base!$T100&gt;AW$1465,"",(tech_base!$J100/tech_proj!AW224*0.086*$N$110)/(1-tech_proj!AW504))</f>
        <v>0</v>
      </c>
      <c r="AX1564" s="124">
        <f>IF(tech_base!$T100&gt;AX$1465,"",(tech_base!$J100/tech_proj!AX224*0.086*$N$110)/(1-tech_proj!AX504))</f>
        <v>0</v>
      </c>
    </row>
    <row r="1565" spans="1:50" x14ac:dyDescent="0.25">
      <c r="A1565" s="356"/>
      <c r="B1565" s="376"/>
      <c r="C1565" s="378"/>
      <c r="D1565" s="2" t="s">
        <v>10</v>
      </c>
      <c r="E1565" s="160" t="str">
        <f>A1549&amp;"/"&amp;B1561&amp;"/"&amp;C1564&amp;"/"&amp;D1565</f>
        <v>Gas fired power plants (Natural gas, biogas)/Gas turbine /CHP/S</v>
      </c>
      <c r="F1565" s="76" t="str">
        <f>A1549</f>
        <v>Gas fired power plants (Natural gas, biogas)</v>
      </c>
      <c r="G1565" s="76" t="str">
        <f>B1561</f>
        <v xml:space="preserve">Gas turbine </v>
      </c>
      <c r="H1565" s="76" t="str">
        <f>C1564</f>
        <v>CHP</v>
      </c>
      <c r="I1565" s="161" t="str">
        <f t="shared" si="378"/>
        <v>S</v>
      </c>
      <c r="J1565" s="119">
        <f>IF(tech_base!$T101&gt;J$1465,"",(tech_base!$J101/tech_proj!J225*0.086*$N$110)/(1-tech_proj!J505))</f>
        <v>0</v>
      </c>
      <c r="K1565" s="119">
        <f>IF(tech_base!$T101&gt;K$1465,"",(tech_base!$J101/tech_proj!K225*0.086*$N$110)/(1-tech_proj!K505))</f>
        <v>0</v>
      </c>
      <c r="L1565" s="119">
        <f>IF(tech_base!$T101&gt;L$1465,"",(tech_base!$J101/tech_proj!L225*0.086*$N$110)/(1-tech_proj!L505))</f>
        <v>0</v>
      </c>
      <c r="M1565" s="119">
        <f>IF(tech_base!$T101&gt;M$1465,"",(tech_base!$J101/tech_proj!M225*0.086*$N$110)/(1-tech_proj!M505))</f>
        <v>0</v>
      </c>
      <c r="N1565" s="119">
        <f>IF(tech_base!$T101&gt;N$1465,"",(tech_base!$J101/tech_proj!N225*0.086*$N$110)/(1-tech_proj!N505))</f>
        <v>0</v>
      </c>
      <c r="O1565" s="119">
        <f>IF(tech_base!$T101&gt;O$1465,"",(tech_base!$J101/tech_proj!O225*0.086*$N$110)/(1-tech_proj!O505))</f>
        <v>0</v>
      </c>
      <c r="P1565" s="119">
        <f>IF(tech_base!$T101&gt;P$1465,"",(tech_base!$J101/tech_proj!P225*0.086*$N$110)/(1-tech_proj!P505))</f>
        <v>0</v>
      </c>
      <c r="Q1565" s="119">
        <f>IF(tech_base!$T101&gt;Q$1465,"",(tech_base!$J101/tech_proj!Q225*0.086*$N$110)/(1-tech_proj!Q505))</f>
        <v>0</v>
      </c>
      <c r="R1565" s="119">
        <f>IF(tech_base!$T101&gt;R$1465,"",(tech_base!$J101/tech_proj!R225*0.086*$N$110)/(1-tech_proj!R505))</f>
        <v>0</v>
      </c>
      <c r="S1565" s="119">
        <f>IF(tech_base!$T101&gt;S$1465,"",(tech_base!$J101/tech_proj!S225*0.086*$N$110)/(1-tech_proj!S505))</f>
        <v>0</v>
      </c>
      <c r="T1565" s="119">
        <f>IF(tech_base!$T101&gt;T$1465,"",(tech_base!$J101/tech_proj!T225*0.086*$N$110)/(1-tech_proj!T505))</f>
        <v>0</v>
      </c>
      <c r="U1565" s="119">
        <f>IF(tech_base!$T101&gt;U$1465,"",(tech_base!$J101/tech_proj!U225*0.086*$N$110)/(1-tech_proj!U505))</f>
        <v>0</v>
      </c>
      <c r="V1565" s="119">
        <f>IF(tech_base!$T101&gt;V$1465,"",(tech_base!$J101/tech_proj!V225*0.086*$N$110)/(1-tech_proj!V505))</f>
        <v>0</v>
      </c>
      <c r="W1565" s="119">
        <f>IF(tech_base!$T101&gt;W$1465,"",(tech_base!$J101/tech_proj!W225*0.086*$N$110)/(1-tech_proj!W505))</f>
        <v>0</v>
      </c>
      <c r="X1565" s="119">
        <f>IF(tech_base!$T101&gt;X$1465,"",(tech_base!$J101/tech_proj!X225*0.086*$N$110)/(1-tech_proj!X505))</f>
        <v>0</v>
      </c>
      <c r="Y1565" s="119">
        <f>IF(tech_base!$T101&gt;Y$1465,"",(tech_base!$J101/tech_proj!Y225*0.086*$N$110)/(1-tech_proj!Y505))</f>
        <v>0</v>
      </c>
      <c r="Z1565" s="119">
        <f>IF(tech_base!$T101&gt;Z$1465,"",(tech_base!$J101/tech_proj!Z225*0.086*$N$110)/(1-tech_proj!Z505))</f>
        <v>0</v>
      </c>
      <c r="AA1565" s="119">
        <f>IF(tech_base!$T101&gt;AA$1465,"",(tech_base!$J101/tech_proj!AA225*0.086*$N$110)/(1-tech_proj!AA505))</f>
        <v>0</v>
      </c>
      <c r="AB1565" s="119">
        <f>IF(tech_base!$T101&gt;AB$1465,"",(tech_base!$J101/tech_proj!AB225*0.086*$N$110)/(1-tech_proj!AB505))</f>
        <v>0</v>
      </c>
      <c r="AC1565" s="119">
        <f>IF(tech_base!$T101&gt;AC$1465,"",(tech_base!$J101/tech_proj!AC225*0.086*$N$110)/(1-tech_proj!AC505))</f>
        <v>0</v>
      </c>
      <c r="AD1565" s="119">
        <f>IF(tech_base!$T101&gt;AD$1465,"",(tech_base!$J101/tech_proj!AD225*0.086*$N$110)/(1-tech_proj!AD505))</f>
        <v>0</v>
      </c>
      <c r="AE1565" s="119">
        <f>IF(tech_base!$T101&gt;AE$1465,"",(tech_base!$J101/tech_proj!AE225*0.086*$N$110)/(1-tech_proj!AE505))</f>
        <v>0</v>
      </c>
      <c r="AF1565" s="119">
        <f>IF(tech_base!$T101&gt;AF$1465,"",(tech_base!$J101/tech_proj!AF225*0.086*$N$110)/(1-tech_proj!AF505))</f>
        <v>0</v>
      </c>
      <c r="AG1565" s="119">
        <f>IF(tech_base!$T101&gt;AG$1465,"",(tech_base!$J101/tech_proj!AG225*0.086*$N$110)/(1-tech_proj!AG505))</f>
        <v>0</v>
      </c>
      <c r="AH1565" s="119">
        <f>IF(tech_base!$T101&gt;AH$1465,"",(tech_base!$J101/tech_proj!AH225*0.086*$N$110)/(1-tech_proj!AH505))</f>
        <v>0</v>
      </c>
      <c r="AI1565" s="119">
        <f>IF(tech_base!$T101&gt;AI$1465,"",(tech_base!$J101/tech_proj!AI225*0.086*$N$110)/(1-tech_proj!AI505))</f>
        <v>0</v>
      </c>
      <c r="AJ1565" s="119">
        <f>IF(tech_base!$T101&gt;AJ$1465,"",(tech_base!$J101/tech_proj!AJ225*0.086*$N$110)/(1-tech_proj!AJ505))</f>
        <v>0</v>
      </c>
      <c r="AK1565" s="119">
        <f>IF(tech_base!$T101&gt;AK$1465,"",(tech_base!$J101/tech_proj!AK225*0.086*$N$110)/(1-tech_proj!AK505))</f>
        <v>0</v>
      </c>
      <c r="AL1565" s="119">
        <f>IF(tech_base!$T101&gt;AL$1465,"",(tech_base!$J101/tech_proj!AL225*0.086*$N$110)/(1-tech_proj!AL505))</f>
        <v>0</v>
      </c>
      <c r="AM1565" s="119">
        <f>IF(tech_base!$T101&gt;AM$1465,"",(tech_base!$J101/tech_proj!AM225*0.086*$N$110)/(1-tech_proj!AM505))</f>
        <v>0</v>
      </c>
      <c r="AN1565" s="119">
        <f>IF(tech_base!$T101&gt;AN$1465,"",(tech_base!$J101/tech_proj!AN225*0.086*$N$110)/(1-tech_proj!AN505))</f>
        <v>0</v>
      </c>
      <c r="AO1565" s="119">
        <f>IF(tech_base!$T101&gt;AO$1465,"",(tech_base!$J101/tech_proj!AO225*0.086*$N$110)/(1-tech_proj!AO505))</f>
        <v>0</v>
      </c>
      <c r="AP1565" s="119">
        <f>IF(tech_base!$T101&gt;AP$1465,"",(tech_base!$J101/tech_proj!AP225*0.086*$N$110)/(1-tech_proj!AP505))</f>
        <v>0</v>
      </c>
      <c r="AQ1565" s="119">
        <f>IF(tech_base!$T101&gt;AQ$1465,"",(tech_base!$J101/tech_proj!AQ225*0.086*$N$110)/(1-tech_proj!AQ505))</f>
        <v>0</v>
      </c>
      <c r="AR1565" s="119">
        <f>IF(tech_base!$T101&gt;AR$1465,"",(tech_base!$J101/tech_proj!AR225*0.086*$N$110)/(1-tech_proj!AR505))</f>
        <v>0</v>
      </c>
      <c r="AS1565" s="119">
        <f>IF(tech_base!$T101&gt;AS$1465,"",(tech_base!$J101/tech_proj!AS225*0.086*$N$110)/(1-tech_proj!AS505))</f>
        <v>0</v>
      </c>
      <c r="AT1565" s="119">
        <f>IF(tech_base!$T101&gt;AT$1465,"",(tech_base!$J101/tech_proj!AT225*0.086*$N$110)/(1-tech_proj!AT505))</f>
        <v>0</v>
      </c>
      <c r="AU1565" s="119">
        <f>IF(tech_base!$T101&gt;AU$1465,"",(tech_base!$J101/tech_proj!AU225*0.086*$N$110)/(1-tech_proj!AU505))</f>
        <v>0</v>
      </c>
      <c r="AV1565" s="119">
        <f>IF(tech_base!$T101&gt;AV$1465,"",(tech_base!$J101/tech_proj!AV225*0.086*$N$110)/(1-tech_proj!AV505))</f>
        <v>0</v>
      </c>
      <c r="AW1565" s="119">
        <f>IF(tech_base!$T101&gt;AW$1465,"",(tech_base!$J101/tech_proj!AW225*0.086*$N$110)/(1-tech_proj!AW505))</f>
        <v>0</v>
      </c>
      <c r="AX1565" s="120">
        <f>IF(tech_base!$T101&gt;AX$1465,"",(tech_base!$J101/tech_proj!AX225*0.086*$N$110)/(1-tech_proj!AX505))</f>
        <v>0</v>
      </c>
    </row>
    <row r="1566" spans="1:50" x14ac:dyDescent="0.25">
      <c r="A1566" s="356"/>
      <c r="B1566" s="380"/>
      <c r="C1566" s="381"/>
      <c r="D1566" s="4" t="s">
        <v>20</v>
      </c>
      <c r="E1566" s="168" t="str">
        <f>A1549&amp;"/"&amp;B1561&amp;"/"&amp;C1564&amp;"/"&amp;D1566</f>
        <v>Gas fired power plants (Natural gas, biogas)/Gas turbine /CHP/XS</v>
      </c>
      <c r="F1566" s="80" t="str">
        <f>A1549</f>
        <v>Gas fired power plants (Natural gas, biogas)</v>
      </c>
      <c r="G1566" s="80" t="str">
        <f>B1561</f>
        <v xml:space="preserve">Gas turbine </v>
      </c>
      <c r="H1566" s="80" t="str">
        <f>C1564</f>
        <v>CHP</v>
      </c>
      <c r="I1566" s="169" t="str">
        <f t="shared" si="378"/>
        <v>XS</v>
      </c>
      <c r="J1566" s="127">
        <f>IF(tech_base!$T102&gt;J$1465,"",(tech_base!$J102/tech_proj!J226*0.086*$N$110)/(1-tech_proj!J506))</f>
        <v>0</v>
      </c>
      <c r="K1566" s="127">
        <f>IF(tech_base!$T102&gt;K$1465,"",(tech_base!$J102/tech_proj!K226*0.086*$N$110)/(1-tech_proj!K506))</f>
        <v>0</v>
      </c>
      <c r="L1566" s="127">
        <f>IF(tech_base!$T102&gt;L$1465,"",(tech_base!$J102/tech_proj!L226*0.086*$N$110)/(1-tech_proj!L506))</f>
        <v>0</v>
      </c>
      <c r="M1566" s="127">
        <f>IF(tech_base!$T102&gt;M$1465,"",(tech_base!$J102/tech_proj!M226*0.086*$N$110)/(1-tech_proj!M506))</f>
        <v>0</v>
      </c>
      <c r="N1566" s="127">
        <f>IF(tech_base!$T102&gt;N$1465,"",(tech_base!$J102/tech_proj!N226*0.086*$N$110)/(1-tech_proj!N506))</f>
        <v>0</v>
      </c>
      <c r="O1566" s="127">
        <f>IF(tech_base!$T102&gt;O$1465,"",(tech_base!$J102/tech_proj!O226*0.086*$N$110)/(1-tech_proj!O506))</f>
        <v>0</v>
      </c>
      <c r="P1566" s="127">
        <f>IF(tech_base!$T102&gt;P$1465,"",(tech_base!$J102/tech_proj!P226*0.086*$N$110)/(1-tech_proj!P506))</f>
        <v>0</v>
      </c>
      <c r="Q1566" s="127">
        <f>IF(tech_base!$T102&gt;Q$1465,"",(tech_base!$J102/tech_proj!Q226*0.086*$N$110)/(1-tech_proj!Q506))</f>
        <v>0</v>
      </c>
      <c r="R1566" s="127">
        <f>IF(tech_base!$T102&gt;R$1465,"",(tech_base!$J102/tech_proj!R226*0.086*$N$110)/(1-tech_proj!R506))</f>
        <v>0</v>
      </c>
      <c r="S1566" s="127">
        <f>IF(tech_base!$T102&gt;S$1465,"",(tech_base!$J102/tech_proj!S226*0.086*$N$110)/(1-tech_proj!S506))</f>
        <v>0</v>
      </c>
      <c r="T1566" s="127">
        <f>IF(tech_base!$T102&gt;T$1465,"",(tech_base!$J102/tech_proj!T226*0.086*$N$110)/(1-tech_proj!T506))</f>
        <v>0</v>
      </c>
      <c r="U1566" s="127">
        <f>IF(tech_base!$T102&gt;U$1465,"",(tech_base!$J102/tech_proj!U226*0.086*$N$110)/(1-tech_proj!U506))</f>
        <v>0</v>
      </c>
      <c r="V1566" s="127">
        <f>IF(tech_base!$T102&gt;V$1465,"",(tech_base!$J102/tech_proj!V226*0.086*$N$110)/(1-tech_proj!V506))</f>
        <v>0</v>
      </c>
      <c r="W1566" s="127">
        <f>IF(tech_base!$T102&gt;W$1465,"",(tech_base!$J102/tech_proj!W226*0.086*$N$110)/(1-tech_proj!W506))</f>
        <v>0</v>
      </c>
      <c r="X1566" s="127">
        <f>IF(tech_base!$T102&gt;X$1465,"",(tech_base!$J102/tech_proj!X226*0.086*$N$110)/(1-tech_proj!X506))</f>
        <v>0</v>
      </c>
      <c r="Y1566" s="127">
        <f>IF(tech_base!$T102&gt;Y$1465,"",(tech_base!$J102/tech_proj!Y226*0.086*$N$110)/(1-tech_proj!Y506))</f>
        <v>0</v>
      </c>
      <c r="Z1566" s="127">
        <f>IF(tech_base!$T102&gt;Z$1465,"",(tech_base!$J102/tech_proj!Z226*0.086*$N$110)/(1-tech_proj!Z506))</f>
        <v>0</v>
      </c>
      <c r="AA1566" s="127">
        <f>IF(tech_base!$T102&gt;AA$1465,"",(tech_base!$J102/tech_proj!AA226*0.086*$N$110)/(1-tech_proj!AA506))</f>
        <v>0</v>
      </c>
      <c r="AB1566" s="127">
        <f>IF(tech_base!$T102&gt;AB$1465,"",(tech_base!$J102/tech_proj!AB226*0.086*$N$110)/(1-tech_proj!AB506))</f>
        <v>0</v>
      </c>
      <c r="AC1566" s="127">
        <f>IF(tech_base!$T102&gt;AC$1465,"",(tech_base!$J102/tech_proj!AC226*0.086*$N$110)/(1-tech_proj!AC506))</f>
        <v>0</v>
      </c>
      <c r="AD1566" s="127">
        <f>IF(tech_base!$T102&gt;AD$1465,"",(tech_base!$J102/tech_proj!AD226*0.086*$N$110)/(1-tech_proj!AD506))</f>
        <v>0</v>
      </c>
      <c r="AE1566" s="127">
        <f>IF(tech_base!$T102&gt;AE$1465,"",(tech_base!$J102/tech_proj!AE226*0.086*$N$110)/(1-tech_proj!AE506))</f>
        <v>0</v>
      </c>
      <c r="AF1566" s="127">
        <f>IF(tech_base!$T102&gt;AF$1465,"",(tech_base!$J102/tech_proj!AF226*0.086*$N$110)/(1-tech_proj!AF506))</f>
        <v>0</v>
      </c>
      <c r="AG1566" s="127">
        <f>IF(tech_base!$T102&gt;AG$1465,"",(tech_base!$J102/tech_proj!AG226*0.086*$N$110)/(1-tech_proj!AG506))</f>
        <v>0</v>
      </c>
      <c r="AH1566" s="127">
        <f>IF(tech_base!$T102&gt;AH$1465,"",(tech_base!$J102/tech_proj!AH226*0.086*$N$110)/(1-tech_proj!AH506))</f>
        <v>0</v>
      </c>
      <c r="AI1566" s="127">
        <f>IF(tech_base!$T102&gt;AI$1465,"",(tech_base!$J102/tech_proj!AI226*0.086*$N$110)/(1-tech_proj!AI506))</f>
        <v>0</v>
      </c>
      <c r="AJ1566" s="127">
        <f>IF(tech_base!$T102&gt;AJ$1465,"",(tech_base!$J102/tech_proj!AJ226*0.086*$N$110)/(1-tech_proj!AJ506))</f>
        <v>0</v>
      </c>
      <c r="AK1566" s="127">
        <f>IF(tech_base!$T102&gt;AK$1465,"",(tech_base!$J102/tech_proj!AK226*0.086*$N$110)/(1-tech_proj!AK506))</f>
        <v>0</v>
      </c>
      <c r="AL1566" s="127">
        <f>IF(tech_base!$T102&gt;AL$1465,"",(tech_base!$J102/tech_proj!AL226*0.086*$N$110)/(1-tech_proj!AL506))</f>
        <v>0</v>
      </c>
      <c r="AM1566" s="127">
        <f>IF(tech_base!$T102&gt;AM$1465,"",(tech_base!$J102/tech_proj!AM226*0.086*$N$110)/(1-tech_proj!AM506))</f>
        <v>0</v>
      </c>
      <c r="AN1566" s="127">
        <f>IF(tech_base!$T102&gt;AN$1465,"",(tech_base!$J102/tech_proj!AN226*0.086*$N$110)/(1-tech_proj!AN506))</f>
        <v>0</v>
      </c>
      <c r="AO1566" s="127">
        <f>IF(tech_base!$T102&gt;AO$1465,"",(tech_base!$J102/tech_proj!AO226*0.086*$N$110)/(1-tech_proj!AO506))</f>
        <v>0</v>
      </c>
      <c r="AP1566" s="127">
        <f>IF(tech_base!$T102&gt;AP$1465,"",(tech_base!$J102/tech_proj!AP226*0.086*$N$110)/(1-tech_proj!AP506))</f>
        <v>0</v>
      </c>
      <c r="AQ1566" s="127">
        <f>IF(tech_base!$T102&gt;AQ$1465,"",(tech_base!$J102/tech_proj!AQ226*0.086*$N$110)/(1-tech_proj!AQ506))</f>
        <v>0</v>
      </c>
      <c r="AR1566" s="127">
        <f>IF(tech_base!$T102&gt;AR$1465,"",(tech_base!$J102/tech_proj!AR226*0.086*$N$110)/(1-tech_proj!AR506))</f>
        <v>0</v>
      </c>
      <c r="AS1566" s="127">
        <f>IF(tech_base!$T102&gt;AS$1465,"",(tech_base!$J102/tech_proj!AS226*0.086*$N$110)/(1-tech_proj!AS506))</f>
        <v>0</v>
      </c>
      <c r="AT1566" s="127">
        <f>IF(tech_base!$T102&gt;AT$1465,"",(tech_base!$J102/tech_proj!AT226*0.086*$N$110)/(1-tech_proj!AT506))</f>
        <v>0</v>
      </c>
      <c r="AU1566" s="127">
        <f>IF(tech_base!$T102&gt;AU$1465,"",(tech_base!$J102/tech_proj!AU226*0.086*$N$110)/(1-tech_proj!AU506))</f>
        <v>0</v>
      </c>
      <c r="AV1566" s="127">
        <f>IF(tech_base!$T102&gt;AV$1465,"",(tech_base!$J102/tech_proj!AV226*0.086*$N$110)/(1-tech_proj!AV506))</f>
        <v>0</v>
      </c>
      <c r="AW1566" s="127">
        <f>IF(tech_base!$T102&gt;AW$1465,"",(tech_base!$J102/tech_proj!AW226*0.086*$N$110)/(1-tech_proj!AW506))</f>
        <v>0</v>
      </c>
      <c r="AX1566" s="128">
        <f>IF(tech_base!$T102&gt;AX$1465,"",(tech_base!$J102/tech_proj!AX226*0.086*$N$110)/(1-tech_proj!AX506))</f>
        <v>0</v>
      </c>
    </row>
    <row r="1567" spans="1:50" x14ac:dyDescent="0.25">
      <c r="A1567" s="356"/>
      <c r="B1567" s="358" t="s">
        <v>19</v>
      </c>
      <c r="C1567" s="353" t="s">
        <v>6</v>
      </c>
      <c r="D1567" s="3" t="s">
        <v>7</v>
      </c>
      <c r="E1567" s="162" t="str">
        <f>A1549&amp;"/"&amp;B1567&amp;"/"&amp;C1567&amp;"/"&amp;D1567</f>
        <v>Gas fired power plants (Natural gas, biogas)/Steam turbine/Electricity only/L</v>
      </c>
      <c r="F1567" s="77" t="str">
        <f>A1549</f>
        <v>Gas fired power plants (Natural gas, biogas)</v>
      </c>
      <c r="G1567" s="77" t="str">
        <f>B1567</f>
        <v>Steam turbine</v>
      </c>
      <c r="H1567" s="77" t="str">
        <f>C1567</f>
        <v>Electricity only</v>
      </c>
      <c r="I1567" s="163" t="str">
        <f t="shared" si="378"/>
        <v>L</v>
      </c>
      <c r="J1567" s="121">
        <f>IF(tech_base!$T103&gt;J$1465,"",(tech_base!$J103/tech_proj!J227*0.086*$N$110)/(1-tech_proj!J507))</f>
        <v>0</v>
      </c>
      <c r="K1567" s="121">
        <f>IF(tech_base!$T103&gt;K$1465,"",(tech_base!$J103/tech_proj!K227*0.086*$N$110)/(1-tech_proj!K507))</f>
        <v>0</v>
      </c>
      <c r="L1567" s="121">
        <f>IF(tech_base!$T103&gt;L$1465,"",(tech_base!$J103/tech_proj!L227*0.086*$N$110)/(1-tech_proj!L507))</f>
        <v>0</v>
      </c>
      <c r="M1567" s="121">
        <f>IF(tech_base!$T103&gt;M$1465,"",(tech_base!$J103/tech_proj!M227*0.086*$N$110)/(1-tech_proj!M507))</f>
        <v>0</v>
      </c>
      <c r="N1567" s="121">
        <f>IF(tech_base!$T103&gt;N$1465,"",(tech_base!$J103/tech_proj!N227*0.086*$N$110)/(1-tech_proj!N507))</f>
        <v>0</v>
      </c>
      <c r="O1567" s="121">
        <f>IF(tech_base!$T103&gt;O$1465,"",(tech_base!$J103/tech_proj!O227*0.086*$N$110)/(1-tech_proj!O507))</f>
        <v>0</v>
      </c>
      <c r="P1567" s="121">
        <f>IF(tech_base!$T103&gt;P$1465,"",(tech_base!$J103/tech_proj!P227*0.086*$N$110)/(1-tech_proj!P507))</f>
        <v>0</v>
      </c>
      <c r="Q1567" s="121">
        <f>IF(tech_base!$T103&gt;Q$1465,"",(tech_base!$J103/tech_proj!Q227*0.086*$N$110)/(1-tech_proj!Q507))</f>
        <v>0</v>
      </c>
      <c r="R1567" s="121">
        <f>IF(tech_base!$T103&gt;R$1465,"",(tech_base!$J103/tech_proj!R227*0.086*$N$110)/(1-tech_proj!R507))</f>
        <v>0</v>
      </c>
      <c r="S1567" s="121">
        <f>IF(tech_base!$T103&gt;S$1465,"",(tech_base!$J103/tech_proj!S227*0.086*$N$110)/(1-tech_proj!S507))</f>
        <v>0</v>
      </c>
      <c r="T1567" s="121">
        <f>IF(tech_base!$T103&gt;T$1465,"",(tech_base!$J103/tech_proj!T227*0.086*$N$110)/(1-tech_proj!T507))</f>
        <v>0</v>
      </c>
      <c r="U1567" s="121">
        <f>IF(tech_base!$T103&gt;U$1465,"",(tech_base!$J103/tech_proj!U227*0.086*$N$110)/(1-tech_proj!U507))</f>
        <v>0</v>
      </c>
      <c r="V1567" s="121">
        <f>IF(tech_base!$T103&gt;V$1465,"",(tech_base!$J103/tech_proj!V227*0.086*$N$110)/(1-tech_proj!V507))</f>
        <v>0</v>
      </c>
      <c r="W1567" s="121">
        <f>IF(tech_base!$T103&gt;W$1465,"",(tech_base!$J103/tech_proj!W227*0.086*$N$110)/(1-tech_proj!W507))</f>
        <v>0</v>
      </c>
      <c r="X1567" s="121">
        <f>IF(tech_base!$T103&gt;X$1465,"",(tech_base!$J103/tech_proj!X227*0.086*$N$110)/(1-tech_proj!X507))</f>
        <v>0</v>
      </c>
      <c r="Y1567" s="121">
        <f>IF(tech_base!$T103&gt;Y$1465,"",(tech_base!$J103/tech_proj!Y227*0.086*$N$110)/(1-tech_proj!Y507))</f>
        <v>0</v>
      </c>
      <c r="Z1567" s="121">
        <f>IF(tech_base!$T103&gt;Z$1465,"",(tech_base!$J103/tech_proj!Z227*0.086*$N$110)/(1-tech_proj!Z507))</f>
        <v>0</v>
      </c>
      <c r="AA1567" s="121">
        <f>IF(tech_base!$T103&gt;AA$1465,"",(tech_base!$J103/tech_proj!AA227*0.086*$N$110)/(1-tech_proj!AA507))</f>
        <v>0</v>
      </c>
      <c r="AB1567" s="121">
        <f>IF(tech_base!$T103&gt;AB$1465,"",(tech_base!$J103/tech_proj!AB227*0.086*$N$110)/(1-tech_proj!AB507))</f>
        <v>0</v>
      </c>
      <c r="AC1567" s="121">
        <f>IF(tech_base!$T103&gt;AC$1465,"",(tech_base!$J103/tech_proj!AC227*0.086*$N$110)/(1-tech_proj!AC507))</f>
        <v>0</v>
      </c>
      <c r="AD1567" s="121">
        <f>IF(tech_base!$T103&gt;AD$1465,"",(tech_base!$J103/tech_proj!AD227*0.086*$N$110)/(1-tech_proj!AD507))</f>
        <v>0</v>
      </c>
      <c r="AE1567" s="121">
        <f>IF(tech_base!$T103&gt;AE$1465,"",(tech_base!$J103/tech_proj!AE227*0.086*$N$110)/(1-tech_proj!AE507))</f>
        <v>0</v>
      </c>
      <c r="AF1567" s="121">
        <f>IF(tech_base!$T103&gt;AF$1465,"",(tech_base!$J103/tech_proj!AF227*0.086*$N$110)/(1-tech_proj!AF507))</f>
        <v>0</v>
      </c>
      <c r="AG1567" s="121">
        <f>IF(tech_base!$T103&gt;AG$1465,"",(tech_base!$J103/tech_proj!AG227*0.086*$N$110)/(1-tech_proj!AG507))</f>
        <v>0</v>
      </c>
      <c r="AH1567" s="121">
        <f>IF(tech_base!$T103&gt;AH$1465,"",(tech_base!$J103/tech_proj!AH227*0.086*$N$110)/(1-tech_proj!AH507))</f>
        <v>0</v>
      </c>
      <c r="AI1567" s="121">
        <f>IF(tech_base!$T103&gt;AI$1465,"",(tech_base!$J103/tech_proj!AI227*0.086*$N$110)/(1-tech_proj!AI507))</f>
        <v>0</v>
      </c>
      <c r="AJ1567" s="121">
        <f>IF(tech_base!$T103&gt;AJ$1465,"",(tech_base!$J103/tech_proj!AJ227*0.086*$N$110)/(1-tech_proj!AJ507))</f>
        <v>0</v>
      </c>
      <c r="AK1567" s="121">
        <f>IF(tech_base!$T103&gt;AK$1465,"",(tech_base!$J103/tech_proj!AK227*0.086*$N$110)/(1-tech_proj!AK507))</f>
        <v>0</v>
      </c>
      <c r="AL1567" s="121">
        <f>IF(tech_base!$T103&gt;AL$1465,"",(tech_base!$J103/tech_proj!AL227*0.086*$N$110)/(1-tech_proj!AL507))</f>
        <v>0</v>
      </c>
      <c r="AM1567" s="121">
        <f>IF(tech_base!$T103&gt;AM$1465,"",(tech_base!$J103/tech_proj!AM227*0.086*$N$110)/(1-tech_proj!AM507))</f>
        <v>0</v>
      </c>
      <c r="AN1567" s="121">
        <f>IF(tech_base!$T103&gt;AN$1465,"",(tech_base!$J103/tech_proj!AN227*0.086*$N$110)/(1-tech_proj!AN507))</f>
        <v>0</v>
      </c>
      <c r="AO1567" s="121">
        <f>IF(tech_base!$T103&gt;AO$1465,"",(tech_base!$J103/tech_proj!AO227*0.086*$N$110)/(1-tech_proj!AO507))</f>
        <v>0</v>
      </c>
      <c r="AP1567" s="121">
        <f>IF(tech_base!$T103&gt;AP$1465,"",(tech_base!$J103/tech_proj!AP227*0.086*$N$110)/(1-tech_proj!AP507))</f>
        <v>0</v>
      </c>
      <c r="AQ1567" s="121">
        <f>IF(tech_base!$T103&gt;AQ$1465,"",(tech_base!$J103/tech_proj!AQ227*0.086*$N$110)/(1-tech_proj!AQ507))</f>
        <v>0</v>
      </c>
      <c r="AR1567" s="121">
        <f>IF(tech_base!$T103&gt;AR$1465,"",(tech_base!$J103/tech_proj!AR227*0.086*$N$110)/(1-tech_proj!AR507))</f>
        <v>0</v>
      </c>
      <c r="AS1567" s="121">
        <f>IF(tech_base!$T103&gt;AS$1465,"",(tech_base!$J103/tech_proj!AS227*0.086*$N$110)/(1-tech_proj!AS507))</f>
        <v>0</v>
      </c>
      <c r="AT1567" s="121">
        <f>IF(tech_base!$T103&gt;AT$1465,"",(tech_base!$J103/tech_proj!AT227*0.086*$N$110)/(1-tech_proj!AT507))</f>
        <v>0</v>
      </c>
      <c r="AU1567" s="121">
        <f>IF(tech_base!$T103&gt;AU$1465,"",(tech_base!$J103/tech_proj!AU227*0.086*$N$110)/(1-tech_proj!AU507))</f>
        <v>0</v>
      </c>
      <c r="AV1567" s="121">
        <f>IF(tech_base!$T103&gt;AV$1465,"",(tech_base!$J103/tech_proj!AV227*0.086*$N$110)/(1-tech_proj!AV507))</f>
        <v>0</v>
      </c>
      <c r="AW1567" s="121">
        <f>IF(tech_base!$T103&gt;AW$1465,"",(tech_base!$J103/tech_proj!AW227*0.086*$N$110)/(1-tech_proj!AW507))</f>
        <v>0</v>
      </c>
      <c r="AX1567" s="122">
        <f>IF(tech_base!$T103&gt;AX$1465,"",(tech_base!$J103/tech_proj!AX227*0.086*$N$110)/(1-tech_proj!AX507))</f>
        <v>0</v>
      </c>
    </row>
    <row r="1568" spans="1:50" x14ac:dyDescent="0.25">
      <c r="A1568" s="356"/>
      <c r="B1568" s="376"/>
      <c r="C1568" s="378"/>
      <c r="D1568" s="2" t="s">
        <v>8</v>
      </c>
      <c r="E1568" s="160" t="str">
        <f>A1549&amp;"/"&amp;B1567&amp;"/"&amp;C1567&amp;"/"&amp;D1568</f>
        <v>Gas fired power plants (Natural gas, biogas)/Steam turbine/Electricity only/M</v>
      </c>
      <c r="F1568" s="76" t="str">
        <f>A1549</f>
        <v>Gas fired power plants (Natural gas, biogas)</v>
      </c>
      <c r="G1568" s="76" t="str">
        <f>B1567</f>
        <v>Steam turbine</v>
      </c>
      <c r="H1568" s="76" t="str">
        <f>C1567</f>
        <v>Electricity only</v>
      </c>
      <c r="I1568" s="161" t="str">
        <f t="shared" si="378"/>
        <v>M</v>
      </c>
      <c r="J1568" s="119">
        <f>IF(tech_base!$T104&gt;J$1465,"",(tech_base!$J104/tech_proj!J228*0.086*$N$110)/(1-tech_proj!J508))</f>
        <v>0</v>
      </c>
      <c r="K1568" s="119">
        <f>IF(tech_base!$T104&gt;K$1465,"",(tech_base!$J104/tech_proj!K228*0.086*$N$110)/(1-tech_proj!K508))</f>
        <v>0</v>
      </c>
      <c r="L1568" s="119">
        <f>IF(tech_base!$T104&gt;L$1465,"",(tech_base!$J104/tech_proj!L228*0.086*$N$110)/(1-tech_proj!L508))</f>
        <v>0</v>
      </c>
      <c r="M1568" s="119">
        <f>IF(tech_base!$T104&gt;M$1465,"",(tech_base!$J104/tech_proj!M228*0.086*$N$110)/(1-tech_proj!M508))</f>
        <v>0</v>
      </c>
      <c r="N1568" s="119">
        <f>IF(tech_base!$T104&gt;N$1465,"",(tech_base!$J104/tech_proj!N228*0.086*$N$110)/(1-tech_proj!N508))</f>
        <v>0</v>
      </c>
      <c r="O1568" s="119">
        <f>IF(tech_base!$T104&gt;O$1465,"",(tech_base!$J104/tech_proj!O228*0.086*$N$110)/(1-tech_proj!O508))</f>
        <v>0</v>
      </c>
      <c r="P1568" s="119">
        <f>IF(tech_base!$T104&gt;P$1465,"",(tech_base!$J104/tech_proj!P228*0.086*$N$110)/(1-tech_proj!P508))</f>
        <v>0</v>
      </c>
      <c r="Q1568" s="119">
        <f>IF(tech_base!$T104&gt;Q$1465,"",(tech_base!$J104/tech_proj!Q228*0.086*$N$110)/(1-tech_proj!Q508))</f>
        <v>0</v>
      </c>
      <c r="R1568" s="119">
        <f>IF(tech_base!$T104&gt;R$1465,"",(tech_base!$J104/tech_proj!R228*0.086*$N$110)/(1-tech_proj!R508))</f>
        <v>0</v>
      </c>
      <c r="S1568" s="119">
        <f>IF(tech_base!$T104&gt;S$1465,"",(tech_base!$J104/tech_proj!S228*0.086*$N$110)/(1-tech_proj!S508))</f>
        <v>0</v>
      </c>
      <c r="T1568" s="119">
        <f>IF(tech_base!$T104&gt;T$1465,"",(tech_base!$J104/tech_proj!T228*0.086*$N$110)/(1-tech_proj!T508))</f>
        <v>0</v>
      </c>
      <c r="U1568" s="119">
        <f>IF(tech_base!$T104&gt;U$1465,"",(tech_base!$J104/tech_proj!U228*0.086*$N$110)/(1-tech_proj!U508))</f>
        <v>0</v>
      </c>
      <c r="V1568" s="119">
        <f>IF(tech_base!$T104&gt;V$1465,"",(tech_base!$J104/tech_proj!V228*0.086*$N$110)/(1-tech_proj!V508))</f>
        <v>0</v>
      </c>
      <c r="W1568" s="119">
        <f>IF(tech_base!$T104&gt;W$1465,"",(tech_base!$J104/tech_proj!W228*0.086*$N$110)/(1-tech_proj!W508))</f>
        <v>0</v>
      </c>
      <c r="X1568" s="119">
        <f>IF(tech_base!$T104&gt;X$1465,"",(tech_base!$J104/tech_proj!X228*0.086*$N$110)/(1-tech_proj!X508))</f>
        <v>0</v>
      </c>
      <c r="Y1568" s="119">
        <f>IF(tech_base!$T104&gt;Y$1465,"",(tech_base!$J104/tech_proj!Y228*0.086*$N$110)/(1-tech_proj!Y508))</f>
        <v>0</v>
      </c>
      <c r="Z1568" s="119">
        <f>IF(tech_base!$T104&gt;Z$1465,"",(tech_base!$J104/tech_proj!Z228*0.086*$N$110)/(1-tech_proj!Z508))</f>
        <v>0</v>
      </c>
      <c r="AA1568" s="119">
        <f>IF(tech_base!$T104&gt;AA$1465,"",(tech_base!$J104/tech_proj!AA228*0.086*$N$110)/(1-tech_proj!AA508))</f>
        <v>0</v>
      </c>
      <c r="AB1568" s="119">
        <f>IF(tech_base!$T104&gt;AB$1465,"",(tech_base!$J104/tech_proj!AB228*0.086*$N$110)/(1-tech_proj!AB508))</f>
        <v>0</v>
      </c>
      <c r="AC1568" s="119">
        <f>IF(tech_base!$T104&gt;AC$1465,"",(tech_base!$J104/tech_proj!AC228*0.086*$N$110)/(1-tech_proj!AC508))</f>
        <v>0</v>
      </c>
      <c r="AD1568" s="119">
        <f>IF(tech_base!$T104&gt;AD$1465,"",(tech_base!$J104/tech_proj!AD228*0.086*$N$110)/(1-tech_proj!AD508))</f>
        <v>0</v>
      </c>
      <c r="AE1568" s="119">
        <f>IF(tech_base!$T104&gt;AE$1465,"",(tech_base!$J104/tech_proj!AE228*0.086*$N$110)/(1-tech_proj!AE508))</f>
        <v>0</v>
      </c>
      <c r="AF1568" s="119">
        <f>IF(tech_base!$T104&gt;AF$1465,"",(tech_base!$J104/tech_proj!AF228*0.086*$N$110)/(1-tech_proj!AF508))</f>
        <v>0</v>
      </c>
      <c r="AG1568" s="119">
        <f>IF(tech_base!$T104&gt;AG$1465,"",(tech_base!$J104/tech_proj!AG228*0.086*$N$110)/(1-tech_proj!AG508))</f>
        <v>0</v>
      </c>
      <c r="AH1568" s="119">
        <f>IF(tech_base!$T104&gt;AH$1465,"",(tech_base!$J104/tech_proj!AH228*0.086*$N$110)/(1-tech_proj!AH508))</f>
        <v>0</v>
      </c>
      <c r="AI1568" s="119">
        <f>IF(tech_base!$T104&gt;AI$1465,"",(tech_base!$J104/tech_proj!AI228*0.086*$N$110)/(1-tech_proj!AI508))</f>
        <v>0</v>
      </c>
      <c r="AJ1568" s="119">
        <f>IF(tech_base!$T104&gt;AJ$1465,"",(tech_base!$J104/tech_proj!AJ228*0.086*$N$110)/(1-tech_proj!AJ508))</f>
        <v>0</v>
      </c>
      <c r="AK1568" s="119">
        <f>IF(tech_base!$T104&gt;AK$1465,"",(tech_base!$J104/tech_proj!AK228*0.086*$N$110)/(1-tech_proj!AK508))</f>
        <v>0</v>
      </c>
      <c r="AL1568" s="119">
        <f>IF(tech_base!$T104&gt;AL$1465,"",(tech_base!$J104/tech_proj!AL228*0.086*$N$110)/(1-tech_proj!AL508))</f>
        <v>0</v>
      </c>
      <c r="AM1568" s="119">
        <f>IF(tech_base!$T104&gt;AM$1465,"",(tech_base!$J104/tech_proj!AM228*0.086*$N$110)/(1-tech_proj!AM508))</f>
        <v>0</v>
      </c>
      <c r="AN1568" s="119">
        <f>IF(tech_base!$T104&gt;AN$1465,"",(tech_base!$J104/tech_proj!AN228*0.086*$N$110)/(1-tech_proj!AN508))</f>
        <v>0</v>
      </c>
      <c r="AO1568" s="119">
        <f>IF(tech_base!$T104&gt;AO$1465,"",(tech_base!$J104/tech_proj!AO228*0.086*$N$110)/(1-tech_proj!AO508))</f>
        <v>0</v>
      </c>
      <c r="AP1568" s="119">
        <f>IF(tech_base!$T104&gt;AP$1465,"",(tech_base!$J104/tech_proj!AP228*0.086*$N$110)/(1-tech_proj!AP508))</f>
        <v>0</v>
      </c>
      <c r="AQ1568" s="119">
        <f>IF(tech_base!$T104&gt;AQ$1465,"",(tech_base!$J104/tech_proj!AQ228*0.086*$N$110)/(1-tech_proj!AQ508))</f>
        <v>0</v>
      </c>
      <c r="AR1568" s="119">
        <f>IF(tech_base!$T104&gt;AR$1465,"",(tech_base!$J104/tech_proj!AR228*0.086*$N$110)/(1-tech_proj!AR508))</f>
        <v>0</v>
      </c>
      <c r="AS1568" s="119">
        <f>IF(tech_base!$T104&gt;AS$1465,"",(tech_base!$J104/tech_proj!AS228*0.086*$N$110)/(1-tech_proj!AS508))</f>
        <v>0</v>
      </c>
      <c r="AT1568" s="119">
        <f>IF(tech_base!$T104&gt;AT$1465,"",(tech_base!$J104/tech_proj!AT228*0.086*$N$110)/(1-tech_proj!AT508))</f>
        <v>0</v>
      </c>
      <c r="AU1568" s="119">
        <f>IF(tech_base!$T104&gt;AU$1465,"",(tech_base!$J104/tech_proj!AU228*0.086*$N$110)/(1-tech_proj!AU508))</f>
        <v>0</v>
      </c>
      <c r="AV1568" s="119">
        <f>IF(tech_base!$T104&gt;AV$1465,"",(tech_base!$J104/tech_proj!AV228*0.086*$N$110)/(1-tech_proj!AV508))</f>
        <v>0</v>
      </c>
      <c r="AW1568" s="119">
        <f>IF(tech_base!$T104&gt;AW$1465,"",(tech_base!$J104/tech_proj!AW228*0.086*$N$110)/(1-tech_proj!AW508))</f>
        <v>0</v>
      </c>
      <c r="AX1568" s="120">
        <f>IF(tech_base!$T104&gt;AX$1465,"",(tech_base!$J104/tech_proj!AX228*0.086*$N$110)/(1-tech_proj!AX508))</f>
        <v>0</v>
      </c>
    </row>
    <row r="1569" spans="1:50" x14ac:dyDescent="0.25">
      <c r="A1569" s="356"/>
      <c r="B1569" s="376"/>
      <c r="C1569" s="378"/>
      <c r="D1569" s="2" t="s">
        <v>10</v>
      </c>
      <c r="E1569" s="160" t="str">
        <f>A1549&amp;"/"&amp;B1567&amp;"/"&amp;C1567&amp;"/"&amp;D1569</f>
        <v>Gas fired power plants (Natural gas, biogas)/Steam turbine/Electricity only/S</v>
      </c>
      <c r="F1569" s="76" t="str">
        <f>A1549</f>
        <v>Gas fired power plants (Natural gas, biogas)</v>
      </c>
      <c r="G1569" s="76" t="str">
        <f>B1567</f>
        <v>Steam turbine</v>
      </c>
      <c r="H1569" s="76" t="str">
        <f>C1567</f>
        <v>Electricity only</v>
      </c>
      <c r="I1569" s="161" t="str">
        <f t="shared" si="378"/>
        <v>S</v>
      </c>
      <c r="J1569" s="119">
        <f>IF(tech_base!$T105&gt;J$1465,"",(tech_base!$J105/tech_proj!J229*0.086*$N$110)/(1-tech_proj!J509))</f>
        <v>0</v>
      </c>
      <c r="K1569" s="119">
        <f>IF(tech_base!$T105&gt;K$1465,"",(tech_base!$J105/tech_proj!K229*0.086*$N$110)/(1-tech_proj!K509))</f>
        <v>0</v>
      </c>
      <c r="L1569" s="119">
        <f>IF(tech_base!$T105&gt;L$1465,"",(tech_base!$J105/tech_proj!L229*0.086*$N$110)/(1-tech_proj!L509))</f>
        <v>0</v>
      </c>
      <c r="M1569" s="119">
        <f>IF(tech_base!$T105&gt;M$1465,"",(tech_base!$J105/tech_proj!M229*0.086*$N$110)/(1-tech_proj!M509))</f>
        <v>0</v>
      </c>
      <c r="N1569" s="119">
        <f>IF(tech_base!$T105&gt;N$1465,"",(tech_base!$J105/tech_proj!N229*0.086*$N$110)/(1-tech_proj!N509))</f>
        <v>0</v>
      </c>
      <c r="O1569" s="119">
        <f>IF(tech_base!$T105&gt;O$1465,"",(tech_base!$J105/tech_proj!O229*0.086*$N$110)/(1-tech_proj!O509))</f>
        <v>0</v>
      </c>
      <c r="P1569" s="119">
        <f>IF(tech_base!$T105&gt;P$1465,"",(tech_base!$J105/tech_proj!P229*0.086*$N$110)/(1-tech_proj!P509))</f>
        <v>0</v>
      </c>
      <c r="Q1569" s="119">
        <f>IF(tech_base!$T105&gt;Q$1465,"",(tech_base!$J105/tech_proj!Q229*0.086*$N$110)/(1-tech_proj!Q509))</f>
        <v>0</v>
      </c>
      <c r="R1569" s="119">
        <f>IF(tech_base!$T105&gt;R$1465,"",(tech_base!$J105/tech_proj!R229*0.086*$N$110)/(1-tech_proj!R509))</f>
        <v>0</v>
      </c>
      <c r="S1569" s="119">
        <f>IF(tech_base!$T105&gt;S$1465,"",(tech_base!$J105/tech_proj!S229*0.086*$N$110)/(1-tech_proj!S509))</f>
        <v>0</v>
      </c>
      <c r="T1569" s="119">
        <f>IF(tech_base!$T105&gt;T$1465,"",(tech_base!$J105/tech_proj!T229*0.086*$N$110)/(1-tech_proj!T509))</f>
        <v>0</v>
      </c>
      <c r="U1569" s="119">
        <f>IF(tech_base!$T105&gt;U$1465,"",(tech_base!$J105/tech_proj!U229*0.086*$N$110)/(1-tech_proj!U509))</f>
        <v>0</v>
      </c>
      <c r="V1569" s="119">
        <f>IF(tech_base!$T105&gt;V$1465,"",(tech_base!$J105/tech_proj!V229*0.086*$N$110)/(1-tech_proj!V509))</f>
        <v>0</v>
      </c>
      <c r="W1569" s="119">
        <f>IF(tech_base!$T105&gt;W$1465,"",(tech_base!$J105/tech_proj!W229*0.086*$N$110)/(1-tech_proj!W509))</f>
        <v>0</v>
      </c>
      <c r="X1569" s="119">
        <f>IF(tech_base!$T105&gt;X$1465,"",(tech_base!$J105/tech_proj!X229*0.086*$N$110)/(1-tech_proj!X509))</f>
        <v>0</v>
      </c>
      <c r="Y1569" s="119">
        <f>IF(tech_base!$T105&gt;Y$1465,"",(tech_base!$J105/tech_proj!Y229*0.086*$N$110)/(1-tech_proj!Y509))</f>
        <v>0</v>
      </c>
      <c r="Z1569" s="119">
        <f>IF(tech_base!$T105&gt;Z$1465,"",(tech_base!$J105/tech_proj!Z229*0.086*$N$110)/(1-tech_proj!Z509))</f>
        <v>0</v>
      </c>
      <c r="AA1569" s="119">
        <f>IF(tech_base!$T105&gt;AA$1465,"",(tech_base!$J105/tech_proj!AA229*0.086*$N$110)/(1-tech_proj!AA509))</f>
        <v>0</v>
      </c>
      <c r="AB1569" s="119">
        <f>IF(tech_base!$T105&gt;AB$1465,"",(tech_base!$J105/tech_proj!AB229*0.086*$N$110)/(1-tech_proj!AB509))</f>
        <v>0</v>
      </c>
      <c r="AC1569" s="119">
        <f>IF(tech_base!$T105&gt;AC$1465,"",(tech_base!$J105/tech_proj!AC229*0.086*$N$110)/(1-tech_proj!AC509))</f>
        <v>0</v>
      </c>
      <c r="AD1569" s="119">
        <f>IF(tech_base!$T105&gt;AD$1465,"",(tech_base!$J105/tech_proj!AD229*0.086*$N$110)/(1-tech_proj!AD509))</f>
        <v>0</v>
      </c>
      <c r="AE1569" s="119">
        <f>IF(tech_base!$T105&gt;AE$1465,"",(tech_base!$J105/tech_proj!AE229*0.086*$N$110)/(1-tech_proj!AE509))</f>
        <v>0</v>
      </c>
      <c r="AF1569" s="119">
        <f>IF(tech_base!$T105&gt;AF$1465,"",(tech_base!$J105/tech_proj!AF229*0.086*$N$110)/(1-tech_proj!AF509))</f>
        <v>0</v>
      </c>
      <c r="AG1569" s="119">
        <f>IF(tech_base!$T105&gt;AG$1465,"",(tech_base!$J105/tech_proj!AG229*0.086*$N$110)/(1-tech_proj!AG509))</f>
        <v>0</v>
      </c>
      <c r="AH1569" s="119">
        <f>IF(tech_base!$T105&gt;AH$1465,"",(tech_base!$J105/tech_proj!AH229*0.086*$N$110)/(1-tech_proj!AH509))</f>
        <v>0</v>
      </c>
      <c r="AI1569" s="119">
        <f>IF(tech_base!$T105&gt;AI$1465,"",(tech_base!$J105/tech_proj!AI229*0.086*$N$110)/(1-tech_proj!AI509))</f>
        <v>0</v>
      </c>
      <c r="AJ1569" s="119">
        <f>IF(tech_base!$T105&gt;AJ$1465,"",(tech_base!$J105/tech_proj!AJ229*0.086*$N$110)/(1-tech_proj!AJ509))</f>
        <v>0</v>
      </c>
      <c r="AK1569" s="119">
        <f>IF(tech_base!$T105&gt;AK$1465,"",(tech_base!$J105/tech_proj!AK229*0.086*$N$110)/(1-tech_proj!AK509))</f>
        <v>0</v>
      </c>
      <c r="AL1569" s="119">
        <f>IF(tech_base!$T105&gt;AL$1465,"",(tech_base!$J105/tech_proj!AL229*0.086*$N$110)/(1-tech_proj!AL509))</f>
        <v>0</v>
      </c>
      <c r="AM1569" s="119">
        <f>IF(tech_base!$T105&gt;AM$1465,"",(tech_base!$J105/tech_proj!AM229*0.086*$N$110)/(1-tech_proj!AM509))</f>
        <v>0</v>
      </c>
      <c r="AN1569" s="119">
        <f>IF(tech_base!$T105&gt;AN$1465,"",(tech_base!$J105/tech_proj!AN229*0.086*$N$110)/(1-tech_proj!AN509))</f>
        <v>0</v>
      </c>
      <c r="AO1569" s="119">
        <f>IF(tech_base!$T105&gt;AO$1465,"",(tech_base!$J105/tech_proj!AO229*0.086*$N$110)/(1-tech_proj!AO509))</f>
        <v>0</v>
      </c>
      <c r="AP1569" s="119">
        <f>IF(tech_base!$T105&gt;AP$1465,"",(tech_base!$J105/tech_proj!AP229*0.086*$N$110)/(1-tech_proj!AP509))</f>
        <v>0</v>
      </c>
      <c r="AQ1569" s="119">
        <f>IF(tech_base!$T105&gt;AQ$1465,"",(tech_base!$J105/tech_proj!AQ229*0.086*$N$110)/(1-tech_proj!AQ509))</f>
        <v>0</v>
      </c>
      <c r="AR1569" s="119">
        <f>IF(tech_base!$T105&gt;AR$1465,"",(tech_base!$J105/tech_proj!AR229*0.086*$N$110)/(1-tech_proj!AR509))</f>
        <v>0</v>
      </c>
      <c r="AS1569" s="119">
        <f>IF(tech_base!$T105&gt;AS$1465,"",(tech_base!$J105/tech_proj!AS229*0.086*$N$110)/(1-tech_proj!AS509))</f>
        <v>0</v>
      </c>
      <c r="AT1569" s="119">
        <f>IF(tech_base!$T105&gt;AT$1465,"",(tech_base!$J105/tech_proj!AT229*0.086*$N$110)/(1-tech_proj!AT509))</f>
        <v>0</v>
      </c>
      <c r="AU1569" s="119">
        <f>IF(tech_base!$T105&gt;AU$1465,"",(tech_base!$J105/tech_proj!AU229*0.086*$N$110)/(1-tech_proj!AU509))</f>
        <v>0</v>
      </c>
      <c r="AV1569" s="119">
        <f>IF(tech_base!$T105&gt;AV$1465,"",(tech_base!$J105/tech_proj!AV229*0.086*$N$110)/(1-tech_proj!AV509))</f>
        <v>0</v>
      </c>
      <c r="AW1569" s="119">
        <f>IF(tech_base!$T105&gt;AW$1465,"",(tech_base!$J105/tech_proj!AW229*0.086*$N$110)/(1-tech_proj!AW509))</f>
        <v>0</v>
      </c>
      <c r="AX1569" s="120">
        <f>IF(tech_base!$T105&gt;AX$1465,"",(tech_base!$J105/tech_proj!AX229*0.086*$N$110)/(1-tech_proj!AX509))</f>
        <v>0</v>
      </c>
    </row>
    <row r="1570" spans="1:50" x14ac:dyDescent="0.25">
      <c r="A1570" s="356"/>
      <c r="B1570" s="376"/>
      <c r="C1570" s="379"/>
      <c r="D1570" s="2" t="s">
        <v>20</v>
      </c>
      <c r="E1570" s="160" t="str">
        <f>A1549&amp;"/"&amp;B1567&amp;"/"&amp;C1567&amp;"/"&amp;D1570</f>
        <v>Gas fired power plants (Natural gas, biogas)/Steam turbine/Electricity only/XS</v>
      </c>
      <c r="F1570" s="76" t="str">
        <f>A1549</f>
        <v>Gas fired power plants (Natural gas, biogas)</v>
      </c>
      <c r="G1570" s="76" t="str">
        <f>B1567</f>
        <v>Steam turbine</v>
      </c>
      <c r="H1570" s="76" t="str">
        <f>C1567</f>
        <v>Electricity only</v>
      </c>
      <c r="I1570" s="161" t="str">
        <f t="shared" si="378"/>
        <v>XS</v>
      </c>
      <c r="J1570" s="119">
        <f>IF(tech_base!$T106&gt;J$1465,"",(tech_base!$J106/tech_proj!J230*0.086*$N$110)/(1-tech_proj!J510))</f>
        <v>0</v>
      </c>
      <c r="K1570" s="119">
        <f>IF(tech_base!$T106&gt;K$1465,"",(tech_base!$J106/tech_proj!K230*0.086*$N$110)/(1-tech_proj!K510))</f>
        <v>0</v>
      </c>
      <c r="L1570" s="119">
        <f>IF(tech_base!$T106&gt;L$1465,"",(tech_base!$J106/tech_proj!L230*0.086*$N$110)/(1-tech_proj!L510))</f>
        <v>0</v>
      </c>
      <c r="M1570" s="119">
        <f>IF(tech_base!$T106&gt;M$1465,"",(tech_base!$J106/tech_proj!M230*0.086*$N$110)/(1-tech_proj!M510))</f>
        <v>0</v>
      </c>
      <c r="N1570" s="119">
        <f>IF(tech_base!$T106&gt;N$1465,"",(tech_base!$J106/tech_proj!N230*0.086*$N$110)/(1-tech_proj!N510))</f>
        <v>0</v>
      </c>
      <c r="O1570" s="119">
        <f>IF(tech_base!$T106&gt;O$1465,"",(tech_base!$J106/tech_proj!O230*0.086*$N$110)/(1-tech_proj!O510))</f>
        <v>0</v>
      </c>
      <c r="P1570" s="119">
        <f>IF(tech_base!$T106&gt;P$1465,"",(tech_base!$J106/tech_proj!P230*0.086*$N$110)/(1-tech_proj!P510))</f>
        <v>0</v>
      </c>
      <c r="Q1570" s="119">
        <f>IF(tech_base!$T106&gt;Q$1465,"",(tech_base!$J106/tech_proj!Q230*0.086*$N$110)/(1-tech_proj!Q510))</f>
        <v>0</v>
      </c>
      <c r="R1570" s="119">
        <f>IF(tech_base!$T106&gt;R$1465,"",(tech_base!$J106/tech_proj!R230*0.086*$N$110)/(1-tech_proj!R510))</f>
        <v>0</v>
      </c>
      <c r="S1570" s="119">
        <f>IF(tech_base!$T106&gt;S$1465,"",(tech_base!$J106/tech_proj!S230*0.086*$N$110)/(1-tech_proj!S510))</f>
        <v>0</v>
      </c>
      <c r="T1570" s="119">
        <f>IF(tech_base!$T106&gt;T$1465,"",(tech_base!$J106/tech_proj!T230*0.086*$N$110)/(1-tech_proj!T510))</f>
        <v>0</v>
      </c>
      <c r="U1570" s="119">
        <f>IF(tech_base!$T106&gt;U$1465,"",(tech_base!$J106/tech_proj!U230*0.086*$N$110)/(1-tech_proj!U510))</f>
        <v>0</v>
      </c>
      <c r="V1570" s="119">
        <f>IF(tech_base!$T106&gt;V$1465,"",(tech_base!$J106/tech_proj!V230*0.086*$N$110)/(1-tech_proj!V510))</f>
        <v>0</v>
      </c>
      <c r="W1570" s="119">
        <f>IF(tech_base!$T106&gt;W$1465,"",(tech_base!$J106/tech_proj!W230*0.086*$N$110)/(1-tech_proj!W510))</f>
        <v>0</v>
      </c>
      <c r="X1570" s="119">
        <f>IF(tech_base!$T106&gt;X$1465,"",(tech_base!$J106/tech_proj!X230*0.086*$N$110)/(1-tech_proj!X510))</f>
        <v>0</v>
      </c>
      <c r="Y1570" s="119">
        <f>IF(tech_base!$T106&gt;Y$1465,"",(tech_base!$J106/tech_proj!Y230*0.086*$N$110)/(1-tech_proj!Y510))</f>
        <v>0</v>
      </c>
      <c r="Z1570" s="119">
        <f>IF(tech_base!$T106&gt;Z$1465,"",(tech_base!$J106/tech_proj!Z230*0.086*$N$110)/(1-tech_proj!Z510))</f>
        <v>0</v>
      </c>
      <c r="AA1570" s="119">
        <f>IF(tech_base!$T106&gt;AA$1465,"",(tech_base!$J106/tech_proj!AA230*0.086*$N$110)/(1-tech_proj!AA510))</f>
        <v>0</v>
      </c>
      <c r="AB1570" s="119">
        <f>IF(tech_base!$T106&gt;AB$1465,"",(tech_base!$J106/tech_proj!AB230*0.086*$N$110)/(1-tech_proj!AB510))</f>
        <v>0</v>
      </c>
      <c r="AC1570" s="119">
        <f>IF(tech_base!$T106&gt;AC$1465,"",(tech_base!$J106/tech_proj!AC230*0.086*$N$110)/(1-tech_proj!AC510))</f>
        <v>0</v>
      </c>
      <c r="AD1570" s="119">
        <f>IF(tech_base!$T106&gt;AD$1465,"",(tech_base!$J106/tech_proj!AD230*0.086*$N$110)/(1-tech_proj!AD510))</f>
        <v>0</v>
      </c>
      <c r="AE1570" s="119">
        <f>IF(tech_base!$T106&gt;AE$1465,"",(tech_base!$J106/tech_proj!AE230*0.086*$N$110)/(1-tech_proj!AE510))</f>
        <v>0</v>
      </c>
      <c r="AF1570" s="119">
        <f>IF(tech_base!$T106&gt;AF$1465,"",(tech_base!$J106/tech_proj!AF230*0.086*$N$110)/(1-tech_proj!AF510))</f>
        <v>0</v>
      </c>
      <c r="AG1570" s="119">
        <f>IF(tech_base!$T106&gt;AG$1465,"",(tech_base!$J106/tech_proj!AG230*0.086*$N$110)/(1-tech_proj!AG510))</f>
        <v>0</v>
      </c>
      <c r="AH1570" s="119">
        <f>IF(tech_base!$T106&gt;AH$1465,"",(tech_base!$J106/tech_proj!AH230*0.086*$N$110)/(1-tech_proj!AH510))</f>
        <v>0</v>
      </c>
      <c r="AI1570" s="119">
        <f>IF(tech_base!$T106&gt;AI$1465,"",(tech_base!$J106/tech_proj!AI230*0.086*$N$110)/(1-tech_proj!AI510))</f>
        <v>0</v>
      </c>
      <c r="AJ1570" s="119">
        <f>IF(tech_base!$T106&gt;AJ$1465,"",(tech_base!$J106/tech_proj!AJ230*0.086*$N$110)/(1-tech_proj!AJ510))</f>
        <v>0</v>
      </c>
      <c r="AK1570" s="119">
        <f>IF(tech_base!$T106&gt;AK$1465,"",(tech_base!$J106/tech_proj!AK230*0.086*$N$110)/(1-tech_proj!AK510))</f>
        <v>0</v>
      </c>
      <c r="AL1570" s="119">
        <f>IF(tech_base!$T106&gt;AL$1465,"",(tech_base!$J106/tech_proj!AL230*0.086*$N$110)/(1-tech_proj!AL510))</f>
        <v>0</v>
      </c>
      <c r="AM1570" s="119">
        <f>IF(tech_base!$T106&gt;AM$1465,"",(tech_base!$J106/tech_proj!AM230*0.086*$N$110)/(1-tech_proj!AM510))</f>
        <v>0</v>
      </c>
      <c r="AN1570" s="119">
        <f>IF(tech_base!$T106&gt;AN$1465,"",(tech_base!$J106/tech_proj!AN230*0.086*$N$110)/(1-tech_proj!AN510))</f>
        <v>0</v>
      </c>
      <c r="AO1570" s="119">
        <f>IF(tech_base!$T106&gt;AO$1465,"",(tech_base!$J106/tech_proj!AO230*0.086*$N$110)/(1-tech_proj!AO510))</f>
        <v>0</v>
      </c>
      <c r="AP1570" s="119">
        <f>IF(tech_base!$T106&gt;AP$1465,"",(tech_base!$J106/tech_proj!AP230*0.086*$N$110)/(1-tech_proj!AP510))</f>
        <v>0</v>
      </c>
      <c r="AQ1570" s="119">
        <f>IF(tech_base!$T106&gt;AQ$1465,"",(tech_base!$J106/tech_proj!AQ230*0.086*$N$110)/(1-tech_proj!AQ510))</f>
        <v>0</v>
      </c>
      <c r="AR1570" s="119">
        <f>IF(tech_base!$T106&gt;AR$1465,"",(tech_base!$J106/tech_proj!AR230*0.086*$N$110)/(1-tech_proj!AR510))</f>
        <v>0</v>
      </c>
      <c r="AS1570" s="119">
        <f>IF(tech_base!$T106&gt;AS$1465,"",(tech_base!$J106/tech_proj!AS230*0.086*$N$110)/(1-tech_proj!AS510))</f>
        <v>0</v>
      </c>
      <c r="AT1570" s="119">
        <f>IF(tech_base!$T106&gt;AT$1465,"",(tech_base!$J106/tech_proj!AT230*0.086*$N$110)/(1-tech_proj!AT510))</f>
        <v>0</v>
      </c>
      <c r="AU1570" s="119">
        <f>IF(tech_base!$T106&gt;AU$1465,"",(tech_base!$J106/tech_proj!AU230*0.086*$N$110)/(1-tech_proj!AU510))</f>
        <v>0</v>
      </c>
      <c r="AV1570" s="119">
        <f>IF(tech_base!$T106&gt;AV$1465,"",(tech_base!$J106/tech_proj!AV230*0.086*$N$110)/(1-tech_proj!AV510))</f>
        <v>0</v>
      </c>
      <c r="AW1570" s="119">
        <f>IF(tech_base!$T106&gt;AW$1465,"",(tech_base!$J106/tech_proj!AW230*0.086*$N$110)/(1-tech_proj!AW510))</f>
        <v>0</v>
      </c>
      <c r="AX1570" s="120">
        <f>IF(tech_base!$T106&gt;AX$1465,"",(tech_base!$J106/tech_proj!AX230*0.086*$N$110)/(1-tech_proj!AX510))</f>
        <v>0</v>
      </c>
    </row>
    <row r="1571" spans="1:50" x14ac:dyDescent="0.25">
      <c r="A1571" s="356"/>
      <c r="B1571" s="376"/>
      <c r="C1571" s="361" t="s">
        <v>14</v>
      </c>
      <c r="D1571" s="58" t="s">
        <v>7</v>
      </c>
      <c r="E1571" s="164" t="str">
        <f>A1549&amp;"/"&amp;B1567&amp;"/"&amp;C1571&amp;"/"&amp;D1571</f>
        <v>Gas fired power plants (Natural gas, biogas)/Steam turbine/CHP/L</v>
      </c>
      <c r="F1571" s="78" t="str">
        <f>A1549</f>
        <v>Gas fired power plants (Natural gas, biogas)</v>
      </c>
      <c r="G1571" s="78" t="str">
        <f>B1567</f>
        <v>Steam turbine</v>
      </c>
      <c r="H1571" s="78" t="str">
        <f>C1571</f>
        <v>CHP</v>
      </c>
      <c r="I1571" s="165" t="str">
        <f t="shared" si="378"/>
        <v>L</v>
      </c>
      <c r="J1571" s="123">
        <f>IF(tech_base!$T107&gt;J$1465,"",(tech_base!$J107/tech_proj!J231*0.086*$N$110)/(1-tech_proj!J511))</f>
        <v>0</v>
      </c>
      <c r="K1571" s="123">
        <f>IF(tech_base!$T107&gt;K$1465,"",(tech_base!$J107/tech_proj!K231*0.086*$N$110)/(1-tech_proj!K511))</f>
        <v>0</v>
      </c>
      <c r="L1571" s="123">
        <f>IF(tech_base!$T107&gt;L$1465,"",(tech_base!$J107/tech_proj!L231*0.086*$N$110)/(1-tech_proj!L511))</f>
        <v>0</v>
      </c>
      <c r="M1571" s="123">
        <f>IF(tech_base!$T107&gt;M$1465,"",(tech_base!$J107/tech_proj!M231*0.086*$N$110)/(1-tech_proj!M511))</f>
        <v>0</v>
      </c>
      <c r="N1571" s="123">
        <f>IF(tech_base!$T107&gt;N$1465,"",(tech_base!$J107/tech_proj!N231*0.086*$N$110)/(1-tech_proj!N511))</f>
        <v>0</v>
      </c>
      <c r="O1571" s="123">
        <f>IF(tech_base!$T107&gt;O$1465,"",(tech_base!$J107/tech_proj!O231*0.086*$N$110)/(1-tech_proj!O511))</f>
        <v>0</v>
      </c>
      <c r="P1571" s="123">
        <f>IF(tech_base!$T107&gt;P$1465,"",(tech_base!$J107/tech_proj!P231*0.086*$N$110)/(1-tech_proj!P511))</f>
        <v>0</v>
      </c>
      <c r="Q1571" s="123">
        <f>IF(tech_base!$T107&gt;Q$1465,"",(tech_base!$J107/tech_proj!Q231*0.086*$N$110)/(1-tech_proj!Q511))</f>
        <v>0</v>
      </c>
      <c r="R1571" s="123">
        <f>IF(tech_base!$T107&gt;R$1465,"",(tech_base!$J107/tech_proj!R231*0.086*$N$110)/(1-tech_proj!R511))</f>
        <v>0</v>
      </c>
      <c r="S1571" s="123">
        <f>IF(tech_base!$T107&gt;S$1465,"",(tech_base!$J107/tech_proj!S231*0.086*$N$110)/(1-tech_proj!S511))</f>
        <v>0</v>
      </c>
      <c r="T1571" s="123">
        <f>IF(tech_base!$T107&gt;T$1465,"",(tech_base!$J107/tech_proj!T231*0.086*$N$110)/(1-tech_proj!T511))</f>
        <v>0</v>
      </c>
      <c r="U1571" s="123">
        <f>IF(tech_base!$T107&gt;U$1465,"",(tech_base!$J107/tech_proj!U231*0.086*$N$110)/(1-tech_proj!U511))</f>
        <v>0</v>
      </c>
      <c r="V1571" s="123">
        <f>IF(tech_base!$T107&gt;V$1465,"",(tech_base!$J107/tech_proj!V231*0.086*$N$110)/(1-tech_proj!V511))</f>
        <v>0</v>
      </c>
      <c r="W1571" s="123">
        <f>IF(tech_base!$T107&gt;W$1465,"",(tech_base!$J107/tech_proj!W231*0.086*$N$110)/(1-tech_proj!W511))</f>
        <v>0</v>
      </c>
      <c r="X1571" s="123">
        <f>IF(tech_base!$T107&gt;X$1465,"",(tech_base!$J107/tech_proj!X231*0.086*$N$110)/(1-tech_proj!X511))</f>
        <v>0</v>
      </c>
      <c r="Y1571" s="123">
        <f>IF(tech_base!$T107&gt;Y$1465,"",(tech_base!$J107/tech_proj!Y231*0.086*$N$110)/(1-tech_proj!Y511))</f>
        <v>0</v>
      </c>
      <c r="Z1571" s="123">
        <f>IF(tech_base!$T107&gt;Z$1465,"",(tech_base!$J107/tech_proj!Z231*0.086*$N$110)/(1-tech_proj!Z511))</f>
        <v>0</v>
      </c>
      <c r="AA1571" s="123">
        <f>IF(tech_base!$T107&gt;AA$1465,"",(tech_base!$J107/tech_proj!AA231*0.086*$N$110)/(1-tech_proj!AA511))</f>
        <v>0</v>
      </c>
      <c r="AB1571" s="123">
        <f>IF(tech_base!$T107&gt;AB$1465,"",(tech_base!$J107/tech_proj!AB231*0.086*$N$110)/(1-tech_proj!AB511))</f>
        <v>0</v>
      </c>
      <c r="AC1571" s="123">
        <f>IF(tech_base!$T107&gt;AC$1465,"",(tech_base!$J107/tech_proj!AC231*0.086*$N$110)/(1-tech_proj!AC511))</f>
        <v>0</v>
      </c>
      <c r="AD1571" s="123">
        <f>IF(tech_base!$T107&gt;AD$1465,"",(tech_base!$J107/tech_proj!AD231*0.086*$N$110)/(1-tech_proj!AD511))</f>
        <v>0</v>
      </c>
      <c r="AE1571" s="123">
        <f>IF(tech_base!$T107&gt;AE$1465,"",(tech_base!$J107/tech_proj!AE231*0.086*$N$110)/(1-tech_proj!AE511))</f>
        <v>0</v>
      </c>
      <c r="AF1571" s="123">
        <f>IF(tech_base!$T107&gt;AF$1465,"",(tech_base!$J107/tech_proj!AF231*0.086*$N$110)/(1-tech_proj!AF511))</f>
        <v>0</v>
      </c>
      <c r="AG1571" s="123">
        <f>IF(tech_base!$T107&gt;AG$1465,"",(tech_base!$J107/tech_proj!AG231*0.086*$N$110)/(1-tech_proj!AG511))</f>
        <v>0</v>
      </c>
      <c r="AH1571" s="123">
        <f>IF(tech_base!$T107&gt;AH$1465,"",(tech_base!$J107/tech_proj!AH231*0.086*$N$110)/(1-tech_proj!AH511))</f>
        <v>0</v>
      </c>
      <c r="AI1571" s="123">
        <f>IF(tech_base!$T107&gt;AI$1465,"",(tech_base!$J107/tech_proj!AI231*0.086*$N$110)/(1-tech_proj!AI511))</f>
        <v>0</v>
      </c>
      <c r="AJ1571" s="123">
        <f>IF(tech_base!$T107&gt;AJ$1465,"",(tech_base!$J107/tech_proj!AJ231*0.086*$N$110)/(1-tech_proj!AJ511))</f>
        <v>0</v>
      </c>
      <c r="AK1571" s="123">
        <f>IF(tech_base!$T107&gt;AK$1465,"",(tech_base!$J107/tech_proj!AK231*0.086*$N$110)/(1-tech_proj!AK511))</f>
        <v>0</v>
      </c>
      <c r="AL1571" s="123">
        <f>IF(tech_base!$T107&gt;AL$1465,"",(tech_base!$J107/tech_proj!AL231*0.086*$N$110)/(1-tech_proj!AL511))</f>
        <v>0</v>
      </c>
      <c r="AM1571" s="123">
        <f>IF(tech_base!$T107&gt;AM$1465,"",(tech_base!$J107/tech_proj!AM231*0.086*$N$110)/(1-tech_proj!AM511))</f>
        <v>0</v>
      </c>
      <c r="AN1571" s="123">
        <f>IF(tech_base!$T107&gt;AN$1465,"",(tech_base!$J107/tech_proj!AN231*0.086*$N$110)/(1-tech_proj!AN511))</f>
        <v>0</v>
      </c>
      <c r="AO1571" s="123">
        <f>IF(tech_base!$T107&gt;AO$1465,"",(tech_base!$J107/tech_proj!AO231*0.086*$N$110)/(1-tech_proj!AO511))</f>
        <v>0</v>
      </c>
      <c r="AP1571" s="123">
        <f>IF(tech_base!$T107&gt;AP$1465,"",(tech_base!$J107/tech_proj!AP231*0.086*$N$110)/(1-tech_proj!AP511))</f>
        <v>0</v>
      </c>
      <c r="AQ1571" s="123">
        <f>IF(tech_base!$T107&gt;AQ$1465,"",(tech_base!$J107/tech_proj!AQ231*0.086*$N$110)/(1-tech_proj!AQ511))</f>
        <v>0</v>
      </c>
      <c r="AR1571" s="123">
        <f>IF(tech_base!$T107&gt;AR$1465,"",(tech_base!$J107/tech_proj!AR231*0.086*$N$110)/(1-tech_proj!AR511))</f>
        <v>0</v>
      </c>
      <c r="AS1571" s="123">
        <f>IF(tech_base!$T107&gt;AS$1465,"",(tech_base!$J107/tech_proj!AS231*0.086*$N$110)/(1-tech_proj!AS511))</f>
        <v>0</v>
      </c>
      <c r="AT1571" s="123">
        <f>IF(tech_base!$T107&gt;AT$1465,"",(tech_base!$J107/tech_proj!AT231*0.086*$N$110)/(1-tech_proj!AT511))</f>
        <v>0</v>
      </c>
      <c r="AU1571" s="123">
        <f>IF(tech_base!$T107&gt;AU$1465,"",(tech_base!$J107/tech_proj!AU231*0.086*$N$110)/(1-tech_proj!AU511))</f>
        <v>0</v>
      </c>
      <c r="AV1571" s="123">
        <f>IF(tech_base!$T107&gt;AV$1465,"",(tech_base!$J107/tech_proj!AV231*0.086*$N$110)/(1-tech_proj!AV511))</f>
        <v>0</v>
      </c>
      <c r="AW1571" s="123">
        <f>IF(tech_base!$T107&gt;AW$1465,"",(tech_base!$J107/tech_proj!AW231*0.086*$N$110)/(1-tech_proj!AW511))</f>
        <v>0</v>
      </c>
      <c r="AX1571" s="124">
        <f>IF(tech_base!$T107&gt;AX$1465,"",(tech_base!$J107/tech_proj!AX231*0.086*$N$110)/(1-tech_proj!AX511))</f>
        <v>0</v>
      </c>
    </row>
    <row r="1572" spans="1:50" x14ac:dyDescent="0.25">
      <c r="A1572" s="356"/>
      <c r="B1572" s="376"/>
      <c r="C1572" s="378"/>
      <c r="D1572" s="2" t="s">
        <v>8</v>
      </c>
      <c r="E1572" s="160" t="str">
        <f>A1549&amp;"/"&amp;B1567&amp;"/"&amp;C1571&amp;"/"&amp;D1572</f>
        <v>Gas fired power plants (Natural gas, biogas)/Steam turbine/CHP/M</v>
      </c>
      <c r="F1572" s="76" t="str">
        <f>A1549</f>
        <v>Gas fired power plants (Natural gas, biogas)</v>
      </c>
      <c r="G1572" s="76" t="str">
        <f>B1567</f>
        <v>Steam turbine</v>
      </c>
      <c r="H1572" s="76" t="str">
        <f>C1571</f>
        <v>CHP</v>
      </c>
      <c r="I1572" s="161" t="str">
        <f t="shared" si="378"/>
        <v>M</v>
      </c>
      <c r="J1572" s="119">
        <f>IF(tech_base!$T108&gt;J$1465,"",(tech_base!$J108/tech_proj!J232*0.086*$N$110)/(1-tech_proj!J512))</f>
        <v>0</v>
      </c>
      <c r="K1572" s="119">
        <f>IF(tech_base!$T108&gt;K$1465,"",(tech_base!$J108/tech_proj!K232*0.086*$N$110)/(1-tech_proj!K512))</f>
        <v>0</v>
      </c>
      <c r="L1572" s="119">
        <f>IF(tech_base!$T108&gt;L$1465,"",(tech_base!$J108/tech_proj!L232*0.086*$N$110)/(1-tech_proj!L512))</f>
        <v>0</v>
      </c>
      <c r="M1572" s="119">
        <f>IF(tech_base!$T108&gt;M$1465,"",(tech_base!$J108/tech_proj!M232*0.086*$N$110)/(1-tech_proj!M512))</f>
        <v>0</v>
      </c>
      <c r="N1572" s="119">
        <f>IF(tech_base!$T108&gt;N$1465,"",(tech_base!$J108/tech_proj!N232*0.086*$N$110)/(1-tech_proj!N512))</f>
        <v>0</v>
      </c>
      <c r="O1572" s="119">
        <f>IF(tech_base!$T108&gt;O$1465,"",(tech_base!$J108/tech_proj!O232*0.086*$N$110)/(1-tech_proj!O512))</f>
        <v>0</v>
      </c>
      <c r="P1572" s="119">
        <f>IF(tech_base!$T108&gt;P$1465,"",(tech_base!$J108/tech_proj!P232*0.086*$N$110)/(1-tech_proj!P512))</f>
        <v>0</v>
      </c>
      <c r="Q1572" s="119">
        <f>IF(tech_base!$T108&gt;Q$1465,"",(tech_base!$J108/tech_proj!Q232*0.086*$N$110)/(1-tech_proj!Q512))</f>
        <v>0</v>
      </c>
      <c r="R1572" s="119">
        <f>IF(tech_base!$T108&gt;R$1465,"",(tech_base!$J108/tech_proj!R232*0.086*$N$110)/(1-tech_proj!R512))</f>
        <v>0</v>
      </c>
      <c r="S1572" s="119">
        <f>IF(tech_base!$T108&gt;S$1465,"",(tech_base!$J108/tech_proj!S232*0.086*$N$110)/(1-tech_proj!S512))</f>
        <v>0</v>
      </c>
      <c r="T1572" s="119">
        <f>IF(tech_base!$T108&gt;T$1465,"",(tech_base!$J108/tech_proj!T232*0.086*$N$110)/(1-tech_proj!T512))</f>
        <v>0</v>
      </c>
      <c r="U1572" s="119">
        <f>IF(tech_base!$T108&gt;U$1465,"",(tech_base!$J108/tech_proj!U232*0.086*$N$110)/(1-tech_proj!U512))</f>
        <v>0</v>
      </c>
      <c r="V1572" s="119">
        <f>IF(tech_base!$T108&gt;V$1465,"",(tech_base!$J108/tech_proj!V232*0.086*$N$110)/(1-tech_proj!V512))</f>
        <v>0</v>
      </c>
      <c r="W1572" s="119">
        <f>IF(tech_base!$T108&gt;W$1465,"",(tech_base!$J108/tech_proj!W232*0.086*$N$110)/(1-tech_proj!W512))</f>
        <v>0</v>
      </c>
      <c r="X1572" s="119">
        <f>IF(tech_base!$T108&gt;X$1465,"",(tech_base!$J108/tech_proj!X232*0.086*$N$110)/(1-tech_proj!X512))</f>
        <v>0</v>
      </c>
      <c r="Y1572" s="119">
        <f>IF(tech_base!$T108&gt;Y$1465,"",(tech_base!$J108/tech_proj!Y232*0.086*$N$110)/(1-tech_proj!Y512))</f>
        <v>0</v>
      </c>
      <c r="Z1572" s="119">
        <f>IF(tech_base!$T108&gt;Z$1465,"",(tech_base!$J108/tech_proj!Z232*0.086*$N$110)/(1-tech_proj!Z512))</f>
        <v>0</v>
      </c>
      <c r="AA1572" s="119">
        <f>IF(tech_base!$T108&gt;AA$1465,"",(tech_base!$J108/tech_proj!AA232*0.086*$N$110)/(1-tech_proj!AA512))</f>
        <v>0</v>
      </c>
      <c r="AB1572" s="119">
        <f>IF(tech_base!$T108&gt;AB$1465,"",(tech_base!$J108/tech_proj!AB232*0.086*$N$110)/(1-tech_proj!AB512))</f>
        <v>0</v>
      </c>
      <c r="AC1572" s="119">
        <f>IF(tech_base!$T108&gt;AC$1465,"",(tech_base!$J108/tech_proj!AC232*0.086*$N$110)/(1-tech_proj!AC512))</f>
        <v>0</v>
      </c>
      <c r="AD1572" s="119">
        <f>IF(tech_base!$T108&gt;AD$1465,"",(tech_base!$J108/tech_proj!AD232*0.086*$N$110)/(1-tech_proj!AD512))</f>
        <v>0</v>
      </c>
      <c r="AE1572" s="119">
        <f>IF(tech_base!$T108&gt;AE$1465,"",(tech_base!$J108/tech_proj!AE232*0.086*$N$110)/(1-tech_proj!AE512))</f>
        <v>0</v>
      </c>
      <c r="AF1572" s="119">
        <f>IF(tech_base!$T108&gt;AF$1465,"",(tech_base!$J108/tech_proj!AF232*0.086*$N$110)/(1-tech_proj!AF512))</f>
        <v>0</v>
      </c>
      <c r="AG1572" s="119">
        <f>IF(tech_base!$T108&gt;AG$1465,"",(tech_base!$J108/tech_proj!AG232*0.086*$N$110)/(1-tech_proj!AG512))</f>
        <v>0</v>
      </c>
      <c r="AH1572" s="119">
        <f>IF(tech_base!$T108&gt;AH$1465,"",(tech_base!$J108/tech_proj!AH232*0.086*$N$110)/(1-tech_proj!AH512))</f>
        <v>0</v>
      </c>
      <c r="AI1572" s="119">
        <f>IF(tech_base!$T108&gt;AI$1465,"",(tech_base!$J108/tech_proj!AI232*0.086*$N$110)/(1-tech_proj!AI512))</f>
        <v>0</v>
      </c>
      <c r="AJ1572" s="119">
        <f>IF(tech_base!$T108&gt;AJ$1465,"",(tech_base!$J108/tech_proj!AJ232*0.086*$N$110)/(1-tech_proj!AJ512))</f>
        <v>0</v>
      </c>
      <c r="AK1572" s="119">
        <f>IF(tech_base!$T108&gt;AK$1465,"",(tech_base!$J108/tech_proj!AK232*0.086*$N$110)/(1-tech_proj!AK512))</f>
        <v>0</v>
      </c>
      <c r="AL1572" s="119">
        <f>IF(tech_base!$T108&gt;AL$1465,"",(tech_base!$J108/tech_proj!AL232*0.086*$N$110)/(1-tech_proj!AL512))</f>
        <v>0</v>
      </c>
      <c r="AM1572" s="119">
        <f>IF(tech_base!$T108&gt;AM$1465,"",(tech_base!$J108/tech_proj!AM232*0.086*$N$110)/(1-tech_proj!AM512))</f>
        <v>0</v>
      </c>
      <c r="AN1572" s="119">
        <f>IF(tech_base!$T108&gt;AN$1465,"",(tech_base!$J108/tech_proj!AN232*0.086*$N$110)/(1-tech_proj!AN512))</f>
        <v>0</v>
      </c>
      <c r="AO1572" s="119">
        <f>IF(tech_base!$T108&gt;AO$1465,"",(tech_base!$J108/tech_proj!AO232*0.086*$N$110)/(1-tech_proj!AO512))</f>
        <v>0</v>
      </c>
      <c r="AP1572" s="119">
        <f>IF(tech_base!$T108&gt;AP$1465,"",(tech_base!$J108/tech_proj!AP232*0.086*$N$110)/(1-tech_proj!AP512))</f>
        <v>0</v>
      </c>
      <c r="AQ1572" s="119">
        <f>IF(tech_base!$T108&gt;AQ$1465,"",(tech_base!$J108/tech_proj!AQ232*0.086*$N$110)/(1-tech_proj!AQ512))</f>
        <v>0</v>
      </c>
      <c r="AR1572" s="119">
        <f>IF(tech_base!$T108&gt;AR$1465,"",(tech_base!$J108/tech_proj!AR232*0.086*$N$110)/(1-tech_proj!AR512))</f>
        <v>0</v>
      </c>
      <c r="AS1572" s="119">
        <f>IF(tech_base!$T108&gt;AS$1465,"",(tech_base!$J108/tech_proj!AS232*0.086*$N$110)/(1-tech_proj!AS512))</f>
        <v>0</v>
      </c>
      <c r="AT1572" s="119">
        <f>IF(tech_base!$T108&gt;AT$1465,"",(tech_base!$J108/tech_proj!AT232*0.086*$N$110)/(1-tech_proj!AT512))</f>
        <v>0</v>
      </c>
      <c r="AU1572" s="119">
        <f>IF(tech_base!$T108&gt;AU$1465,"",(tech_base!$J108/tech_proj!AU232*0.086*$N$110)/(1-tech_proj!AU512))</f>
        <v>0</v>
      </c>
      <c r="AV1572" s="119">
        <f>IF(tech_base!$T108&gt;AV$1465,"",(tech_base!$J108/tech_proj!AV232*0.086*$N$110)/(1-tech_proj!AV512))</f>
        <v>0</v>
      </c>
      <c r="AW1572" s="119">
        <f>IF(tech_base!$T108&gt;AW$1465,"",(tech_base!$J108/tech_proj!AW232*0.086*$N$110)/(1-tech_proj!AW512))</f>
        <v>0</v>
      </c>
      <c r="AX1572" s="120">
        <f>IF(tech_base!$T108&gt;AX$1465,"",(tech_base!$J108/tech_proj!AX232*0.086*$N$110)/(1-tech_proj!AX512))</f>
        <v>0</v>
      </c>
    </row>
    <row r="1573" spans="1:50" x14ac:dyDescent="0.25">
      <c r="A1573" s="356"/>
      <c r="B1573" s="376"/>
      <c r="C1573" s="378"/>
      <c r="D1573" s="2" t="s">
        <v>10</v>
      </c>
      <c r="E1573" s="160" t="str">
        <f>A1549&amp;"/"&amp;B1567&amp;"/"&amp;C1571&amp;"/"&amp;D1573</f>
        <v>Gas fired power plants (Natural gas, biogas)/Steam turbine/CHP/S</v>
      </c>
      <c r="F1573" s="76" t="str">
        <f>A1549</f>
        <v>Gas fired power plants (Natural gas, biogas)</v>
      </c>
      <c r="G1573" s="76" t="str">
        <f>B1567</f>
        <v>Steam turbine</v>
      </c>
      <c r="H1573" s="76" t="str">
        <f>C1571</f>
        <v>CHP</v>
      </c>
      <c r="I1573" s="161" t="str">
        <f t="shared" si="378"/>
        <v>S</v>
      </c>
      <c r="J1573" s="119">
        <f>IF(tech_base!$T109&gt;J$1465,"",(tech_base!$J109/tech_proj!J233*0.086*$N$110)/(1-tech_proj!J513))</f>
        <v>0</v>
      </c>
      <c r="K1573" s="119">
        <f>IF(tech_base!$T109&gt;K$1465,"",(tech_base!$J109/tech_proj!K233*0.086*$N$110)/(1-tech_proj!K513))</f>
        <v>0</v>
      </c>
      <c r="L1573" s="119">
        <f>IF(tech_base!$T109&gt;L$1465,"",(tech_base!$J109/tech_proj!L233*0.086*$N$110)/(1-tech_proj!L513))</f>
        <v>0</v>
      </c>
      <c r="M1573" s="119">
        <f>IF(tech_base!$T109&gt;M$1465,"",(tech_base!$J109/tech_proj!M233*0.086*$N$110)/(1-tech_proj!M513))</f>
        <v>0</v>
      </c>
      <c r="N1573" s="119">
        <f>IF(tech_base!$T109&gt;N$1465,"",(tech_base!$J109/tech_proj!N233*0.086*$N$110)/(1-tech_proj!N513))</f>
        <v>0</v>
      </c>
      <c r="O1573" s="119">
        <f>IF(tech_base!$T109&gt;O$1465,"",(tech_base!$J109/tech_proj!O233*0.086*$N$110)/(1-tech_proj!O513))</f>
        <v>0</v>
      </c>
      <c r="P1573" s="119">
        <f>IF(tech_base!$T109&gt;P$1465,"",(tech_base!$J109/tech_proj!P233*0.086*$N$110)/(1-tech_proj!P513))</f>
        <v>0</v>
      </c>
      <c r="Q1573" s="119">
        <f>IF(tech_base!$T109&gt;Q$1465,"",(tech_base!$J109/tech_proj!Q233*0.086*$N$110)/(1-tech_proj!Q513))</f>
        <v>0</v>
      </c>
      <c r="R1573" s="119">
        <f>IF(tech_base!$T109&gt;R$1465,"",(tech_base!$J109/tech_proj!R233*0.086*$N$110)/(1-tech_proj!R513))</f>
        <v>0</v>
      </c>
      <c r="S1573" s="119">
        <f>IF(tech_base!$T109&gt;S$1465,"",(tech_base!$J109/tech_proj!S233*0.086*$N$110)/(1-tech_proj!S513))</f>
        <v>0</v>
      </c>
      <c r="T1573" s="119">
        <f>IF(tech_base!$T109&gt;T$1465,"",(tech_base!$J109/tech_proj!T233*0.086*$N$110)/(1-tech_proj!T513))</f>
        <v>0</v>
      </c>
      <c r="U1573" s="119">
        <f>IF(tech_base!$T109&gt;U$1465,"",(tech_base!$J109/tech_proj!U233*0.086*$N$110)/(1-tech_proj!U513))</f>
        <v>0</v>
      </c>
      <c r="V1573" s="119">
        <f>IF(tech_base!$T109&gt;V$1465,"",(tech_base!$J109/tech_proj!V233*0.086*$N$110)/(1-tech_proj!V513))</f>
        <v>0</v>
      </c>
      <c r="W1573" s="119">
        <f>IF(tech_base!$T109&gt;W$1465,"",(tech_base!$J109/tech_proj!W233*0.086*$N$110)/(1-tech_proj!W513))</f>
        <v>0</v>
      </c>
      <c r="X1573" s="119">
        <f>IF(tech_base!$T109&gt;X$1465,"",(tech_base!$J109/tech_proj!X233*0.086*$N$110)/(1-tech_proj!X513))</f>
        <v>0</v>
      </c>
      <c r="Y1573" s="119">
        <f>IF(tech_base!$T109&gt;Y$1465,"",(tech_base!$J109/tech_proj!Y233*0.086*$N$110)/(1-tech_proj!Y513))</f>
        <v>0</v>
      </c>
      <c r="Z1573" s="119">
        <f>IF(tech_base!$T109&gt;Z$1465,"",(tech_base!$J109/tech_proj!Z233*0.086*$N$110)/(1-tech_proj!Z513))</f>
        <v>0</v>
      </c>
      <c r="AA1573" s="119">
        <f>IF(tech_base!$T109&gt;AA$1465,"",(tech_base!$J109/tech_proj!AA233*0.086*$N$110)/(1-tech_proj!AA513))</f>
        <v>0</v>
      </c>
      <c r="AB1573" s="119">
        <f>IF(tech_base!$T109&gt;AB$1465,"",(tech_base!$J109/tech_proj!AB233*0.086*$N$110)/(1-tech_proj!AB513))</f>
        <v>0</v>
      </c>
      <c r="AC1573" s="119">
        <f>IF(tech_base!$T109&gt;AC$1465,"",(tech_base!$J109/tech_proj!AC233*0.086*$N$110)/(1-tech_proj!AC513))</f>
        <v>0</v>
      </c>
      <c r="AD1573" s="119">
        <f>IF(tech_base!$T109&gt;AD$1465,"",(tech_base!$J109/tech_proj!AD233*0.086*$N$110)/(1-tech_proj!AD513))</f>
        <v>0</v>
      </c>
      <c r="AE1573" s="119">
        <f>IF(tech_base!$T109&gt;AE$1465,"",(tech_base!$J109/tech_proj!AE233*0.086*$N$110)/(1-tech_proj!AE513))</f>
        <v>0</v>
      </c>
      <c r="AF1573" s="119">
        <f>IF(tech_base!$T109&gt;AF$1465,"",(tech_base!$J109/tech_proj!AF233*0.086*$N$110)/(1-tech_proj!AF513))</f>
        <v>0</v>
      </c>
      <c r="AG1573" s="119">
        <f>IF(tech_base!$T109&gt;AG$1465,"",(tech_base!$J109/tech_proj!AG233*0.086*$N$110)/(1-tech_proj!AG513))</f>
        <v>0</v>
      </c>
      <c r="AH1573" s="119">
        <f>IF(tech_base!$T109&gt;AH$1465,"",(tech_base!$J109/tech_proj!AH233*0.086*$N$110)/(1-tech_proj!AH513))</f>
        <v>0</v>
      </c>
      <c r="AI1573" s="119">
        <f>IF(tech_base!$T109&gt;AI$1465,"",(tech_base!$J109/tech_proj!AI233*0.086*$N$110)/(1-tech_proj!AI513))</f>
        <v>0</v>
      </c>
      <c r="AJ1573" s="119">
        <f>IF(tech_base!$T109&gt;AJ$1465,"",(tech_base!$J109/tech_proj!AJ233*0.086*$N$110)/(1-tech_proj!AJ513))</f>
        <v>0</v>
      </c>
      <c r="AK1573" s="119">
        <f>IF(tech_base!$T109&gt;AK$1465,"",(tech_base!$J109/tech_proj!AK233*0.086*$N$110)/(1-tech_proj!AK513))</f>
        <v>0</v>
      </c>
      <c r="AL1573" s="119">
        <f>IF(tech_base!$T109&gt;AL$1465,"",(tech_base!$J109/tech_proj!AL233*0.086*$N$110)/(1-tech_proj!AL513))</f>
        <v>0</v>
      </c>
      <c r="AM1573" s="119">
        <f>IF(tech_base!$T109&gt;AM$1465,"",(tech_base!$J109/tech_proj!AM233*0.086*$N$110)/(1-tech_proj!AM513))</f>
        <v>0</v>
      </c>
      <c r="AN1573" s="119">
        <f>IF(tech_base!$T109&gt;AN$1465,"",(tech_base!$J109/tech_proj!AN233*0.086*$N$110)/(1-tech_proj!AN513))</f>
        <v>0</v>
      </c>
      <c r="AO1573" s="119">
        <f>IF(tech_base!$T109&gt;AO$1465,"",(tech_base!$J109/tech_proj!AO233*0.086*$N$110)/(1-tech_proj!AO513))</f>
        <v>0</v>
      </c>
      <c r="AP1573" s="119">
        <f>IF(tech_base!$T109&gt;AP$1465,"",(tech_base!$J109/tech_proj!AP233*0.086*$N$110)/(1-tech_proj!AP513))</f>
        <v>0</v>
      </c>
      <c r="AQ1573" s="119">
        <f>IF(tech_base!$T109&gt;AQ$1465,"",(tech_base!$J109/tech_proj!AQ233*0.086*$N$110)/(1-tech_proj!AQ513))</f>
        <v>0</v>
      </c>
      <c r="AR1573" s="119">
        <f>IF(tech_base!$T109&gt;AR$1465,"",(tech_base!$J109/tech_proj!AR233*0.086*$N$110)/(1-tech_proj!AR513))</f>
        <v>0</v>
      </c>
      <c r="AS1573" s="119">
        <f>IF(tech_base!$T109&gt;AS$1465,"",(tech_base!$J109/tech_proj!AS233*0.086*$N$110)/(1-tech_proj!AS513))</f>
        <v>0</v>
      </c>
      <c r="AT1573" s="119">
        <f>IF(tech_base!$T109&gt;AT$1465,"",(tech_base!$J109/tech_proj!AT233*0.086*$N$110)/(1-tech_proj!AT513))</f>
        <v>0</v>
      </c>
      <c r="AU1573" s="119">
        <f>IF(tech_base!$T109&gt;AU$1465,"",(tech_base!$J109/tech_proj!AU233*0.086*$N$110)/(1-tech_proj!AU513))</f>
        <v>0</v>
      </c>
      <c r="AV1573" s="119">
        <f>IF(tech_base!$T109&gt;AV$1465,"",(tech_base!$J109/tech_proj!AV233*0.086*$N$110)/(1-tech_proj!AV513))</f>
        <v>0</v>
      </c>
      <c r="AW1573" s="119">
        <f>IF(tech_base!$T109&gt;AW$1465,"",(tech_base!$J109/tech_proj!AW233*0.086*$N$110)/(1-tech_proj!AW513))</f>
        <v>0</v>
      </c>
      <c r="AX1573" s="120">
        <f>IF(tech_base!$T109&gt;AX$1465,"",(tech_base!$J109/tech_proj!AX233*0.086*$N$110)/(1-tech_proj!AX513))</f>
        <v>0</v>
      </c>
    </row>
    <row r="1574" spans="1:50" x14ac:dyDescent="0.25">
      <c r="A1574" s="356"/>
      <c r="B1574" s="376"/>
      <c r="C1574" s="379"/>
      <c r="D1574" s="59" t="s">
        <v>20</v>
      </c>
      <c r="E1574" s="166" t="str">
        <f>A1549&amp;"/"&amp;B1567&amp;"/"&amp;C1571&amp;"/"&amp;D1574</f>
        <v>Gas fired power plants (Natural gas, biogas)/Steam turbine/CHP/XS</v>
      </c>
      <c r="F1574" s="79" t="str">
        <f>A1549</f>
        <v>Gas fired power plants (Natural gas, biogas)</v>
      </c>
      <c r="G1574" s="79" t="str">
        <f>B1567</f>
        <v>Steam turbine</v>
      </c>
      <c r="H1574" s="79" t="str">
        <f>C1571</f>
        <v>CHP</v>
      </c>
      <c r="I1574" s="167" t="str">
        <f t="shared" si="378"/>
        <v>XS</v>
      </c>
      <c r="J1574" s="125">
        <f>IF(tech_base!$T110&gt;J$1465,"",(tech_base!$J110/tech_proj!J234*0.086*$N$110)/(1-tech_proj!J514))</f>
        <v>0</v>
      </c>
      <c r="K1574" s="125">
        <f>IF(tech_base!$T110&gt;K$1465,"",(tech_base!$J110/tech_proj!K234*0.086*$N$110)/(1-tech_proj!K514))</f>
        <v>0</v>
      </c>
      <c r="L1574" s="125">
        <f>IF(tech_base!$T110&gt;L$1465,"",(tech_base!$J110/tech_proj!L234*0.086*$N$110)/(1-tech_proj!L514))</f>
        <v>0</v>
      </c>
      <c r="M1574" s="125">
        <f>IF(tech_base!$T110&gt;M$1465,"",(tech_base!$J110/tech_proj!M234*0.086*$N$110)/(1-tech_proj!M514))</f>
        <v>0</v>
      </c>
      <c r="N1574" s="125">
        <f>IF(tech_base!$T110&gt;N$1465,"",(tech_base!$J110/tech_proj!N234*0.086*$N$110)/(1-tech_proj!N514))</f>
        <v>0</v>
      </c>
      <c r="O1574" s="125">
        <f>IF(tech_base!$T110&gt;O$1465,"",(tech_base!$J110/tech_proj!O234*0.086*$N$110)/(1-tech_proj!O514))</f>
        <v>0</v>
      </c>
      <c r="P1574" s="125">
        <f>IF(tech_base!$T110&gt;P$1465,"",(tech_base!$J110/tech_proj!P234*0.086*$N$110)/(1-tech_proj!P514))</f>
        <v>0</v>
      </c>
      <c r="Q1574" s="125">
        <f>IF(tech_base!$T110&gt;Q$1465,"",(tech_base!$J110/tech_proj!Q234*0.086*$N$110)/(1-tech_proj!Q514))</f>
        <v>0</v>
      </c>
      <c r="R1574" s="125">
        <f>IF(tech_base!$T110&gt;R$1465,"",(tech_base!$J110/tech_proj!R234*0.086*$N$110)/(1-tech_proj!R514))</f>
        <v>0</v>
      </c>
      <c r="S1574" s="125">
        <f>IF(tech_base!$T110&gt;S$1465,"",(tech_base!$J110/tech_proj!S234*0.086*$N$110)/(1-tech_proj!S514))</f>
        <v>0</v>
      </c>
      <c r="T1574" s="125">
        <f>IF(tech_base!$T110&gt;T$1465,"",(tech_base!$J110/tech_proj!T234*0.086*$N$110)/(1-tech_proj!T514))</f>
        <v>0</v>
      </c>
      <c r="U1574" s="125">
        <f>IF(tech_base!$T110&gt;U$1465,"",(tech_base!$J110/tech_proj!U234*0.086*$N$110)/(1-tech_proj!U514))</f>
        <v>0</v>
      </c>
      <c r="V1574" s="125">
        <f>IF(tech_base!$T110&gt;V$1465,"",(tech_base!$J110/tech_proj!V234*0.086*$N$110)/(1-tech_proj!V514))</f>
        <v>0</v>
      </c>
      <c r="W1574" s="125">
        <f>IF(tech_base!$T110&gt;W$1465,"",(tech_base!$J110/tech_proj!W234*0.086*$N$110)/(1-tech_proj!W514))</f>
        <v>0</v>
      </c>
      <c r="X1574" s="125">
        <f>IF(tech_base!$T110&gt;X$1465,"",(tech_base!$J110/tech_proj!X234*0.086*$N$110)/(1-tech_proj!X514))</f>
        <v>0</v>
      </c>
      <c r="Y1574" s="125">
        <f>IF(tech_base!$T110&gt;Y$1465,"",(tech_base!$J110/tech_proj!Y234*0.086*$N$110)/(1-tech_proj!Y514))</f>
        <v>0</v>
      </c>
      <c r="Z1574" s="125">
        <f>IF(tech_base!$T110&gt;Z$1465,"",(tech_base!$J110/tech_proj!Z234*0.086*$N$110)/(1-tech_proj!Z514))</f>
        <v>0</v>
      </c>
      <c r="AA1574" s="125">
        <f>IF(tech_base!$T110&gt;AA$1465,"",(tech_base!$J110/tech_proj!AA234*0.086*$N$110)/(1-tech_proj!AA514))</f>
        <v>0</v>
      </c>
      <c r="AB1574" s="125">
        <f>IF(tech_base!$T110&gt;AB$1465,"",(tech_base!$J110/tech_proj!AB234*0.086*$N$110)/(1-tech_proj!AB514))</f>
        <v>0</v>
      </c>
      <c r="AC1574" s="125">
        <f>IF(tech_base!$T110&gt;AC$1465,"",(tech_base!$J110/tech_proj!AC234*0.086*$N$110)/(1-tech_proj!AC514))</f>
        <v>0</v>
      </c>
      <c r="AD1574" s="125">
        <f>IF(tech_base!$T110&gt;AD$1465,"",(tech_base!$J110/tech_proj!AD234*0.086*$N$110)/(1-tech_proj!AD514))</f>
        <v>0</v>
      </c>
      <c r="AE1574" s="125">
        <f>IF(tech_base!$T110&gt;AE$1465,"",(tech_base!$J110/tech_proj!AE234*0.086*$N$110)/(1-tech_proj!AE514))</f>
        <v>0</v>
      </c>
      <c r="AF1574" s="125">
        <f>IF(tech_base!$T110&gt;AF$1465,"",(tech_base!$J110/tech_proj!AF234*0.086*$N$110)/(1-tech_proj!AF514))</f>
        <v>0</v>
      </c>
      <c r="AG1574" s="125">
        <f>IF(tech_base!$T110&gt;AG$1465,"",(tech_base!$J110/tech_proj!AG234*0.086*$N$110)/(1-tech_proj!AG514))</f>
        <v>0</v>
      </c>
      <c r="AH1574" s="125">
        <f>IF(tech_base!$T110&gt;AH$1465,"",(tech_base!$J110/tech_proj!AH234*0.086*$N$110)/(1-tech_proj!AH514))</f>
        <v>0</v>
      </c>
      <c r="AI1574" s="125">
        <f>IF(tech_base!$T110&gt;AI$1465,"",(tech_base!$J110/tech_proj!AI234*0.086*$N$110)/(1-tech_proj!AI514))</f>
        <v>0</v>
      </c>
      <c r="AJ1574" s="125">
        <f>IF(tech_base!$T110&gt;AJ$1465,"",(tech_base!$J110/tech_proj!AJ234*0.086*$N$110)/(1-tech_proj!AJ514))</f>
        <v>0</v>
      </c>
      <c r="AK1574" s="125">
        <f>IF(tech_base!$T110&gt;AK$1465,"",(tech_base!$J110/tech_proj!AK234*0.086*$N$110)/(1-tech_proj!AK514))</f>
        <v>0</v>
      </c>
      <c r="AL1574" s="125">
        <f>IF(tech_base!$T110&gt;AL$1465,"",(tech_base!$J110/tech_proj!AL234*0.086*$N$110)/(1-tech_proj!AL514))</f>
        <v>0</v>
      </c>
      <c r="AM1574" s="125">
        <f>IF(tech_base!$T110&gt;AM$1465,"",(tech_base!$J110/tech_proj!AM234*0.086*$N$110)/(1-tech_proj!AM514))</f>
        <v>0</v>
      </c>
      <c r="AN1574" s="125">
        <f>IF(tech_base!$T110&gt;AN$1465,"",(tech_base!$J110/tech_proj!AN234*0.086*$N$110)/(1-tech_proj!AN514))</f>
        <v>0</v>
      </c>
      <c r="AO1574" s="125">
        <f>IF(tech_base!$T110&gt;AO$1465,"",(tech_base!$J110/tech_proj!AO234*0.086*$N$110)/(1-tech_proj!AO514))</f>
        <v>0</v>
      </c>
      <c r="AP1574" s="125">
        <f>IF(tech_base!$T110&gt;AP$1465,"",(tech_base!$J110/tech_proj!AP234*0.086*$N$110)/(1-tech_proj!AP514))</f>
        <v>0</v>
      </c>
      <c r="AQ1574" s="125">
        <f>IF(tech_base!$T110&gt;AQ$1465,"",(tech_base!$J110/tech_proj!AQ234*0.086*$N$110)/(1-tech_proj!AQ514))</f>
        <v>0</v>
      </c>
      <c r="AR1574" s="125">
        <f>IF(tech_base!$T110&gt;AR$1465,"",(tech_base!$J110/tech_proj!AR234*0.086*$N$110)/(1-tech_proj!AR514))</f>
        <v>0</v>
      </c>
      <c r="AS1574" s="125">
        <f>IF(tech_base!$T110&gt;AS$1465,"",(tech_base!$J110/tech_proj!AS234*0.086*$N$110)/(1-tech_proj!AS514))</f>
        <v>0</v>
      </c>
      <c r="AT1574" s="125">
        <f>IF(tech_base!$T110&gt;AT$1465,"",(tech_base!$J110/tech_proj!AT234*0.086*$N$110)/(1-tech_proj!AT514))</f>
        <v>0</v>
      </c>
      <c r="AU1574" s="125">
        <f>IF(tech_base!$T110&gt;AU$1465,"",(tech_base!$J110/tech_proj!AU234*0.086*$N$110)/(1-tech_proj!AU514))</f>
        <v>0</v>
      </c>
      <c r="AV1574" s="125">
        <f>IF(tech_base!$T110&gt;AV$1465,"",(tech_base!$J110/tech_proj!AV234*0.086*$N$110)/(1-tech_proj!AV514))</f>
        <v>0</v>
      </c>
      <c r="AW1574" s="125">
        <f>IF(tech_base!$T110&gt;AW$1465,"",(tech_base!$J110/tech_proj!AW234*0.086*$N$110)/(1-tech_proj!AW514))</f>
        <v>0</v>
      </c>
      <c r="AX1574" s="126">
        <f>IF(tech_base!$T110&gt;AX$1465,"",(tech_base!$J110/tech_proj!AX234*0.086*$N$110)/(1-tech_proj!AX514))</f>
        <v>0</v>
      </c>
    </row>
    <row r="1575" spans="1:50" x14ac:dyDescent="0.25">
      <c r="A1575" s="356"/>
      <c r="B1575" s="376"/>
      <c r="C1575" s="361" t="s">
        <v>15</v>
      </c>
      <c r="D1575" s="58" t="s">
        <v>7</v>
      </c>
      <c r="E1575" s="164" t="str">
        <f>A1549&amp;"/"&amp;B1567&amp;"/"&amp;C1575&amp;"/"&amp;D1575</f>
        <v>Gas fired power plants (Natural gas, biogas)/Steam turbine/Electricity only with CCS/L</v>
      </c>
      <c r="F1575" s="78" t="str">
        <f>A1549</f>
        <v>Gas fired power plants (Natural gas, biogas)</v>
      </c>
      <c r="G1575" s="78" t="str">
        <f>B1567</f>
        <v>Steam turbine</v>
      </c>
      <c r="H1575" s="78" t="str">
        <f>C1575</f>
        <v>Electricity only with CCS</v>
      </c>
      <c r="I1575" s="165" t="str">
        <f t="shared" si="378"/>
        <v>L</v>
      </c>
      <c r="J1575" s="123" t="str">
        <f>IF(tech_base!$T111&gt;J$1465,"",(tech_base!$J111/tech_proj!J235*0.086*$N$110)/(1-tech_proj!J515))</f>
        <v/>
      </c>
      <c r="K1575" s="123" t="str">
        <f>IF(tech_base!$T111&gt;K$1465,"",(tech_base!$J111/tech_proj!K235*0.086*$N$110)/(1-tech_proj!K515))</f>
        <v/>
      </c>
      <c r="L1575" s="123" t="str">
        <f>IF(tech_base!$T111&gt;L$1465,"",(tech_base!$J111/tech_proj!L235*0.086*$N$110)/(1-tech_proj!L515))</f>
        <v/>
      </c>
      <c r="M1575" s="123" t="str">
        <f>IF(tech_base!$T111&gt;M$1465,"",(tech_base!$J111/tech_proj!M235*0.086*$N$110)/(1-tech_proj!M515))</f>
        <v/>
      </c>
      <c r="N1575" s="123" t="str">
        <f>IF(tech_base!$T111&gt;N$1465,"",(tech_base!$J111/tech_proj!N235*0.086*$N$110)/(1-tech_proj!N515))</f>
        <v/>
      </c>
      <c r="O1575" s="123" t="str">
        <f>IF(tech_base!$T111&gt;O$1465,"",(tech_base!$J111/tech_proj!O235*0.086*$N$110)/(1-tech_proj!O515))</f>
        <v/>
      </c>
      <c r="P1575" s="123" t="str">
        <f>IF(tech_base!$T111&gt;P$1465,"",(tech_base!$J111/tech_proj!P235*0.086*$N$110)/(1-tech_proj!P515))</f>
        <v/>
      </c>
      <c r="Q1575" s="123" t="str">
        <f>IF(tech_base!$T111&gt;Q$1465,"",(tech_base!$J111/tech_proj!Q235*0.086*$N$110)/(1-tech_proj!Q515))</f>
        <v/>
      </c>
      <c r="R1575" s="123" t="str">
        <f>IF(tech_base!$T111&gt;R$1465,"",(tech_base!$J111/tech_proj!R235*0.086*$N$110)/(1-tech_proj!R515))</f>
        <v/>
      </c>
      <c r="S1575" s="123" t="str">
        <f>IF(tech_base!$T111&gt;S$1465,"",(tech_base!$J111/tech_proj!S235*0.086*$N$110)/(1-tech_proj!S515))</f>
        <v/>
      </c>
      <c r="T1575" s="123" t="str">
        <f>IF(tech_base!$T111&gt;T$1465,"",(tech_base!$J111/tech_proj!T235*0.086*$N$110)/(1-tech_proj!T515))</f>
        <v/>
      </c>
      <c r="U1575" s="123" t="str">
        <f>IF(tech_base!$T111&gt;U$1465,"",(tech_base!$J111/tech_proj!U235*0.086*$N$110)/(1-tech_proj!U515))</f>
        <v/>
      </c>
      <c r="V1575" s="123" t="str">
        <f>IF(tech_base!$T111&gt;V$1465,"",(tech_base!$J111/tech_proj!V235*0.086*$N$110)/(1-tech_proj!V515))</f>
        <v/>
      </c>
      <c r="W1575" s="123" t="str">
        <f>IF(tech_base!$T111&gt;W$1465,"",(tech_base!$J111/tech_proj!W235*0.086*$N$110)/(1-tech_proj!W515))</f>
        <v/>
      </c>
      <c r="X1575" s="123" t="str">
        <f>IF(tech_base!$T111&gt;X$1465,"",(tech_base!$J111/tech_proj!X235*0.086*$N$110)/(1-tech_proj!X515))</f>
        <v/>
      </c>
      <c r="Y1575" s="123" t="str">
        <f>IF(tech_base!$T111&gt;Y$1465,"",(tech_base!$J111/tech_proj!Y235*0.086*$N$110)/(1-tech_proj!Y515))</f>
        <v/>
      </c>
      <c r="Z1575" s="123" t="str">
        <f>IF(tech_base!$T111&gt;Z$1465,"",(tech_base!$J111/tech_proj!Z235*0.086*$N$110)/(1-tech_proj!Z515))</f>
        <v/>
      </c>
      <c r="AA1575" s="123" t="str">
        <f>IF(tech_base!$T111&gt;AA$1465,"",(tech_base!$J111/tech_proj!AA235*0.086*$N$110)/(1-tech_proj!AA515))</f>
        <v/>
      </c>
      <c r="AB1575" s="123" t="str">
        <f>IF(tech_base!$T111&gt;AB$1465,"",(tech_base!$J111/tech_proj!AB235*0.086*$N$110)/(1-tech_proj!AB515))</f>
        <v/>
      </c>
      <c r="AC1575" s="123" t="str">
        <f>IF(tech_base!$T111&gt;AC$1465,"",(tech_base!$J111/tech_proj!AC235*0.086*$N$110)/(1-tech_proj!AC515))</f>
        <v/>
      </c>
      <c r="AD1575" s="123" t="str">
        <f>IF(tech_base!$T111&gt;AD$1465,"",(tech_base!$J111/tech_proj!AD235*0.086*$N$110)/(1-tech_proj!AD515))</f>
        <v/>
      </c>
      <c r="AE1575" s="123">
        <f>IF(tech_base!$T111&gt;AE$1465,"",(tech_base!$J111/tech_proj!AE235*0.086*$N$110)/(1-tech_proj!AE515))</f>
        <v>0</v>
      </c>
      <c r="AF1575" s="123">
        <f>IF(tech_base!$T111&gt;AF$1465,"",(tech_base!$J111/tech_proj!AF235*0.086*$N$110)/(1-tech_proj!AF515))</f>
        <v>0</v>
      </c>
      <c r="AG1575" s="123">
        <f>IF(tech_base!$T111&gt;AG$1465,"",(tech_base!$J111/tech_proj!AG235*0.086*$N$110)/(1-tech_proj!AG515))</f>
        <v>0</v>
      </c>
      <c r="AH1575" s="123">
        <f>IF(tech_base!$T111&gt;AH$1465,"",(tech_base!$J111/tech_proj!AH235*0.086*$N$110)/(1-tech_proj!AH515))</f>
        <v>0</v>
      </c>
      <c r="AI1575" s="123">
        <f>IF(tech_base!$T111&gt;AI$1465,"",(tech_base!$J111/tech_proj!AI235*0.086*$N$110)/(1-tech_proj!AI515))</f>
        <v>0</v>
      </c>
      <c r="AJ1575" s="123">
        <f>IF(tech_base!$T111&gt;AJ$1465,"",(tech_base!$J111/tech_proj!AJ235*0.086*$N$110)/(1-tech_proj!AJ515))</f>
        <v>0</v>
      </c>
      <c r="AK1575" s="123">
        <f>IF(tech_base!$T111&gt;AK$1465,"",(tech_base!$J111/tech_proj!AK235*0.086*$N$110)/(1-tech_proj!AK515))</f>
        <v>0</v>
      </c>
      <c r="AL1575" s="123">
        <f>IF(tech_base!$T111&gt;AL$1465,"",(tech_base!$J111/tech_proj!AL235*0.086*$N$110)/(1-tech_proj!AL515))</f>
        <v>0</v>
      </c>
      <c r="AM1575" s="123">
        <f>IF(tech_base!$T111&gt;AM$1465,"",(tech_base!$J111/tech_proj!AM235*0.086*$N$110)/(1-tech_proj!AM515))</f>
        <v>0</v>
      </c>
      <c r="AN1575" s="123">
        <f>IF(tech_base!$T111&gt;AN$1465,"",(tech_base!$J111/tech_proj!AN235*0.086*$N$110)/(1-tech_proj!AN515))</f>
        <v>0</v>
      </c>
      <c r="AO1575" s="123">
        <f>IF(tech_base!$T111&gt;AO$1465,"",(tech_base!$J111/tech_proj!AO235*0.086*$N$110)/(1-tech_proj!AO515))</f>
        <v>0</v>
      </c>
      <c r="AP1575" s="123">
        <f>IF(tech_base!$T111&gt;AP$1465,"",(tech_base!$J111/tech_proj!AP235*0.086*$N$110)/(1-tech_proj!AP515))</f>
        <v>0</v>
      </c>
      <c r="AQ1575" s="123">
        <f>IF(tech_base!$T111&gt;AQ$1465,"",(tech_base!$J111/tech_proj!AQ235*0.086*$N$110)/(1-tech_proj!AQ515))</f>
        <v>0</v>
      </c>
      <c r="AR1575" s="123">
        <f>IF(tech_base!$T111&gt;AR$1465,"",(tech_base!$J111/tech_proj!AR235*0.086*$N$110)/(1-tech_proj!AR515))</f>
        <v>0</v>
      </c>
      <c r="AS1575" s="123">
        <f>IF(tech_base!$T111&gt;AS$1465,"",(tech_base!$J111/tech_proj!AS235*0.086*$N$110)/(1-tech_proj!AS515))</f>
        <v>0</v>
      </c>
      <c r="AT1575" s="123">
        <f>IF(tech_base!$T111&gt;AT$1465,"",(tech_base!$J111/tech_proj!AT235*0.086*$N$110)/(1-tech_proj!AT515))</f>
        <v>0</v>
      </c>
      <c r="AU1575" s="123">
        <f>IF(tech_base!$T111&gt;AU$1465,"",(tech_base!$J111/tech_proj!AU235*0.086*$N$110)/(1-tech_proj!AU515))</f>
        <v>0</v>
      </c>
      <c r="AV1575" s="123">
        <f>IF(tech_base!$T111&gt;AV$1465,"",(tech_base!$J111/tech_proj!AV235*0.086*$N$110)/(1-tech_proj!AV515))</f>
        <v>0</v>
      </c>
      <c r="AW1575" s="123">
        <f>IF(tech_base!$T111&gt;AW$1465,"",(tech_base!$J111/tech_proj!AW235*0.086*$N$110)/(1-tech_proj!AW515))</f>
        <v>0</v>
      </c>
      <c r="AX1575" s="124">
        <f>IF(tech_base!$T111&gt;AX$1465,"",(tech_base!$J111/tech_proj!AX235*0.086*$N$110)/(1-tech_proj!AX515))</f>
        <v>0</v>
      </c>
    </row>
    <row r="1576" spans="1:50" x14ac:dyDescent="0.25">
      <c r="A1576" s="356"/>
      <c r="B1576" s="376"/>
      <c r="C1576" s="379"/>
      <c r="D1576" s="59" t="s">
        <v>8</v>
      </c>
      <c r="E1576" s="166" t="str">
        <f>A1549&amp;"/"&amp;B1567&amp;"/"&amp;C1575&amp;"/"&amp;D1576</f>
        <v>Gas fired power plants (Natural gas, biogas)/Steam turbine/Electricity only with CCS/M</v>
      </c>
      <c r="F1576" s="79" t="str">
        <f>A1549</f>
        <v>Gas fired power plants (Natural gas, biogas)</v>
      </c>
      <c r="G1576" s="79" t="str">
        <f>B1567</f>
        <v>Steam turbine</v>
      </c>
      <c r="H1576" s="79" t="str">
        <f>C1575</f>
        <v>Electricity only with CCS</v>
      </c>
      <c r="I1576" s="167" t="str">
        <f t="shared" si="378"/>
        <v>M</v>
      </c>
      <c r="J1576" s="125" t="str">
        <f>IF(tech_base!$T112&gt;J$1465,"",(tech_base!$J112/tech_proj!J236*0.086*$N$110)/(1-tech_proj!J516))</f>
        <v/>
      </c>
      <c r="K1576" s="125" t="str">
        <f>IF(tech_base!$T112&gt;K$1465,"",(tech_base!$J112/tech_proj!K236*0.086*$N$110)/(1-tech_proj!K516))</f>
        <v/>
      </c>
      <c r="L1576" s="125" t="str">
        <f>IF(tech_base!$T112&gt;L$1465,"",(tech_base!$J112/tech_proj!L236*0.086*$N$110)/(1-tech_proj!L516))</f>
        <v/>
      </c>
      <c r="M1576" s="125" t="str">
        <f>IF(tech_base!$T112&gt;M$1465,"",(tech_base!$J112/tech_proj!M236*0.086*$N$110)/(1-tech_proj!M516))</f>
        <v/>
      </c>
      <c r="N1576" s="125" t="str">
        <f>IF(tech_base!$T112&gt;N$1465,"",(tech_base!$J112/tech_proj!N236*0.086*$N$110)/(1-tech_proj!N516))</f>
        <v/>
      </c>
      <c r="O1576" s="125" t="str">
        <f>IF(tech_base!$T112&gt;O$1465,"",(tech_base!$J112/tech_proj!O236*0.086*$N$110)/(1-tech_proj!O516))</f>
        <v/>
      </c>
      <c r="P1576" s="125" t="str">
        <f>IF(tech_base!$T112&gt;P$1465,"",(tech_base!$J112/tech_proj!P236*0.086*$N$110)/(1-tech_proj!P516))</f>
        <v/>
      </c>
      <c r="Q1576" s="125" t="str">
        <f>IF(tech_base!$T112&gt;Q$1465,"",(tech_base!$J112/tech_proj!Q236*0.086*$N$110)/(1-tech_proj!Q516))</f>
        <v/>
      </c>
      <c r="R1576" s="125" t="str">
        <f>IF(tech_base!$T112&gt;R$1465,"",(tech_base!$J112/tech_proj!R236*0.086*$N$110)/(1-tech_proj!R516))</f>
        <v/>
      </c>
      <c r="S1576" s="125" t="str">
        <f>IF(tech_base!$T112&gt;S$1465,"",(tech_base!$J112/tech_proj!S236*0.086*$N$110)/(1-tech_proj!S516))</f>
        <v/>
      </c>
      <c r="T1576" s="125" t="str">
        <f>IF(tech_base!$T112&gt;T$1465,"",(tech_base!$J112/tech_proj!T236*0.086*$N$110)/(1-tech_proj!T516))</f>
        <v/>
      </c>
      <c r="U1576" s="125" t="str">
        <f>IF(tech_base!$T112&gt;U$1465,"",(tech_base!$J112/tech_proj!U236*0.086*$N$110)/(1-tech_proj!U516))</f>
        <v/>
      </c>
      <c r="V1576" s="125" t="str">
        <f>IF(tech_base!$T112&gt;V$1465,"",(tech_base!$J112/tech_proj!V236*0.086*$N$110)/(1-tech_proj!V516))</f>
        <v/>
      </c>
      <c r="W1576" s="125" t="str">
        <f>IF(tech_base!$T112&gt;W$1465,"",(tech_base!$J112/tech_proj!W236*0.086*$N$110)/(1-tech_proj!W516))</f>
        <v/>
      </c>
      <c r="X1576" s="125" t="str">
        <f>IF(tech_base!$T112&gt;X$1465,"",(tech_base!$J112/tech_proj!X236*0.086*$N$110)/(1-tech_proj!X516))</f>
        <v/>
      </c>
      <c r="Y1576" s="125" t="str">
        <f>IF(tech_base!$T112&gt;Y$1465,"",(tech_base!$J112/tech_proj!Y236*0.086*$N$110)/(1-tech_proj!Y516))</f>
        <v/>
      </c>
      <c r="Z1576" s="125" t="str">
        <f>IF(tech_base!$T112&gt;Z$1465,"",(tech_base!$J112/tech_proj!Z236*0.086*$N$110)/(1-tech_proj!Z516))</f>
        <v/>
      </c>
      <c r="AA1576" s="125" t="str">
        <f>IF(tech_base!$T112&gt;AA$1465,"",(tech_base!$J112/tech_proj!AA236*0.086*$N$110)/(1-tech_proj!AA516))</f>
        <v/>
      </c>
      <c r="AB1576" s="125" t="str">
        <f>IF(tech_base!$T112&gt;AB$1465,"",(tech_base!$J112/tech_proj!AB236*0.086*$N$110)/(1-tech_proj!AB516))</f>
        <v/>
      </c>
      <c r="AC1576" s="125" t="str">
        <f>IF(tech_base!$T112&gt;AC$1465,"",(tech_base!$J112/tech_proj!AC236*0.086*$N$110)/(1-tech_proj!AC516))</f>
        <v/>
      </c>
      <c r="AD1576" s="125" t="str">
        <f>IF(tech_base!$T112&gt;AD$1465,"",(tech_base!$J112/tech_proj!AD236*0.086*$N$110)/(1-tech_proj!AD516))</f>
        <v/>
      </c>
      <c r="AE1576" s="125">
        <f>IF(tech_base!$T112&gt;AE$1465,"",(tech_base!$J112/tech_proj!AE236*0.086*$N$110)/(1-tech_proj!AE516))</f>
        <v>0</v>
      </c>
      <c r="AF1576" s="125">
        <f>IF(tech_base!$T112&gt;AF$1465,"",(tech_base!$J112/tech_proj!AF236*0.086*$N$110)/(1-tech_proj!AF516))</f>
        <v>0</v>
      </c>
      <c r="AG1576" s="125">
        <f>IF(tech_base!$T112&gt;AG$1465,"",(tech_base!$J112/tech_proj!AG236*0.086*$N$110)/(1-tech_proj!AG516))</f>
        <v>0</v>
      </c>
      <c r="AH1576" s="125">
        <f>IF(tech_base!$T112&gt;AH$1465,"",(tech_base!$J112/tech_proj!AH236*0.086*$N$110)/(1-tech_proj!AH516))</f>
        <v>0</v>
      </c>
      <c r="AI1576" s="125">
        <f>IF(tech_base!$T112&gt;AI$1465,"",(tech_base!$J112/tech_proj!AI236*0.086*$N$110)/(1-tech_proj!AI516))</f>
        <v>0</v>
      </c>
      <c r="AJ1576" s="125">
        <f>IF(tech_base!$T112&gt;AJ$1465,"",(tech_base!$J112/tech_proj!AJ236*0.086*$N$110)/(1-tech_proj!AJ516))</f>
        <v>0</v>
      </c>
      <c r="AK1576" s="125">
        <f>IF(tech_base!$T112&gt;AK$1465,"",(tech_base!$J112/tech_proj!AK236*0.086*$N$110)/(1-tech_proj!AK516))</f>
        <v>0</v>
      </c>
      <c r="AL1576" s="125">
        <f>IF(tech_base!$T112&gt;AL$1465,"",(tech_base!$J112/tech_proj!AL236*0.086*$N$110)/(1-tech_proj!AL516))</f>
        <v>0</v>
      </c>
      <c r="AM1576" s="125">
        <f>IF(tech_base!$T112&gt;AM$1465,"",(tech_base!$J112/tech_proj!AM236*0.086*$N$110)/(1-tech_proj!AM516))</f>
        <v>0</v>
      </c>
      <c r="AN1576" s="125">
        <f>IF(tech_base!$T112&gt;AN$1465,"",(tech_base!$J112/tech_proj!AN236*0.086*$N$110)/(1-tech_proj!AN516))</f>
        <v>0</v>
      </c>
      <c r="AO1576" s="125">
        <f>IF(tech_base!$T112&gt;AO$1465,"",(tech_base!$J112/tech_proj!AO236*0.086*$N$110)/(1-tech_proj!AO516))</f>
        <v>0</v>
      </c>
      <c r="AP1576" s="125">
        <f>IF(tech_base!$T112&gt;AP$1465,"",(tech_base!$J112/tech_proj!AP236*0.086*$N$110)/(1-tech_proj!AP516))</f>
        <v>0</v>
      </c>
      <c r="AQ1576" s="125">
        <f>IF(tech_base!$T112&gt;AQ$1465,"",(tech_base!$J112/tech_proj!AQ236*0.086*$N$110)/(1-tech_proj!AQ516))</f>
        <v>0</v>
      </c>
      <c r="AR1576" s="125">
        <f>IF(tech_base!$T112&gt;AR$1465,"",(tech_base!$J112/tech_proj!AR236*0.086*$N$110)/(1-tech_proj!AR516))</f>
        <v>0</v>
      </c>
      <c r="AS1576" s="125">
        <f>IF(tech_base!$T112&gt;AS$1465,"",(tech_base!$J112/tech_proj!AS236*0.086*$N$110)/(1-tech_proj!AS516))</f>
        <v>0</v>
      </c>
      <c r="AT1576" s="125">
        <f>IF(tech_base!$T112&gt;AT$1465,"",(tech_base!$J112/tech_proj!AT236*0.086*$N$110)/(1-tech_proj!AT516))</f>
        <v>0</v>
      </c>
      <c r="AU1576" s="125">
        <f>IF(tech_base!$T112&gt;AU$1465,"",(tech_base!$J112/tech_proj!AU236*0.086*$N$110)/(1-tech_proj!AU516))</f>
        <v>0</v>
      </c>
      <c r="AV1576" s="125">
        <f>IF(tech_base!$T112&gt;AV$1465,"",(tech_base!$J112/tech_proj!AV236*0.086*$N$110)/(1-tech_proj!AV516))</f>
        <v>0</v>
      </c>
      <c r="AW1576" s="125">
        <f>IF(tech_base!$T112&gt;AW$1465,"",(tech_base!$J112/tech_proj!AW236*0.086*$N$110)/(1-tech_proj!AW516))</f>
        <v>0</v>
      </c>
      <c r="AX1576" s="126">
        <f>IF(tech_base!$T112&gt;AX$1465,"",(tech_base!$J112/tech_proj!AX236*0.086*$N$110)/(1-tech_proj!AX516))</f>
        <v>0</v>
      </c>
    </row>
    <row r="1577" spans="1:50" x14ac:dyDescent="0.25">
      <c r="A1577" s="356"/>
      <c r="B1577" s="376"/>
      <c r="C1577" s="361" t="s">
        <v>16</v>
      </c>
      <c r="D1577" s="2" t="s">
        <v>7</v>
      </c>
      <c r="E1577" s="160" t="str">
        <f>A1549&amp;"/"&amp;B1567&amp;"/"&amp;C1577&amp;"/"&amp;D1577</f>
        <v>Gas fired power plants (Natural gas, biogas)/Steam turbine/CHP with CCS/L</v>
      </c>
      <c r="F1577" s="76" t="str">
        <f>A1549</f>
        <v>Gas fired power plants (Natural gas, biogas)</v>
      </c>
      <c r="G1577" s="76" t="str">
        <f>B1567</f>
        <v>Steam turbine</v>
      </c>
      <c r="H1577" s="76" t="str">
        <f>C1577</f>
        <v>CHP with CCS</v>
      </c>
      <c r="I1577" s="161" t="str">
        <f t="shared" si="378"/>
        <v>L</v>
      </c>
      <c r="J1577" s="119" t="str">
        <f>IF(tech_base!$T113&gt;J$1465,"",(tech_base!$J113/tech_proj!J237*0.086*$N$110)/(1-tech_proj!J517))</f>
        <v/>
      </c>
      <c r="K1577" s="119" t="str">
        <f>IF(tech_base!$T113&gt;K$1465,"",(tech_base!$J113/tech_proj!K237*0.086*$N$110)/(1-tech_proj!K517))</f>
        <v/>
      </c>
      <c r="L1577" s="119" t="str">
        <f>IF(tech_base!$T113&gt;L$1465,"",(tech_base!$J113/tech_proj!L237*0.086*$N$110)/(1-tech_proj!L517))</f>
        <v/>
      </c>
      <c r="M1577" s="119" t="str">
        <f>IF(tech_base!$T113&gt;M$1465,"",(tech_base!$J113/tech_proj!M237*0.086*$N$110)/(1-tech_proj!M517))</f>
        <v/>
      </c>
      <c r="N1577" s="119" t="str">
        <f>IF(tech_base!$T113&gt;N$1465,"",(tech_base!$J113/tech_proj!N237*0.086*$N$110)/(1-tech_proj!N517))</f>
        <v/>
      </c>
      <c r="O1577" s="119" t="str">
        <f>IF(tech_base!$T113&gt;O$1465,"",(tech_base!$J113/tech_proj!O237*0.086*$N$110)/(1-tech_proj!O517))</f>
        <v/>
      </c>
      <c r="P1577" s="119" t="str">
        <f>IF(tech_base!$T113&gt;P$1465,"",(tech_base!$J113/tech_proj!P237*0.086*$N$110)/(1-tech_proj!P517))</f>
        <v/>
      </c>
      <c r="Q1577" s="119" t="str">
        <f>IF(tech_base!$T113&gt;Q$1465,"",(tech_base!$J113/tech_proj!Q237*0.086*$N$110)/(1-tech_proj!Q517))</f>
        <v/>
      </c>
      <c r="R1577" s="119" t="str">
        <f>IF(tech_base!$T113&gt;R$1465,"",(tech_base!$J113/tech_proj!R237*0.086*$N$110)/(1-tech_proj!R517))</f>
        <v/>
      </c>
      <c r="S1577" s="119" t="str">
        <f>IF(tech_base!$T113&gt;S$1465,"",(tech_base!$J113/tech_proj!S237*0.086*$N$110)/(1-tech_proj!S517))</f>
        <v/>
      </c>
      <c r="T1577" s="119" t="str">
        <f>IF(tech_base!$T113&gt;T$1465,"",(tech_base!$J113/tech_proj!T237*0.086*$N$110)/(1-tech_proj!T517))</f>
        <v/>
      </c>
      <c r="U1577" s="119" t="str">
        <f>IF(tech_base!$T113&gt;U$1465,"",(tech_base!$J113/tech_proj!U237*0.086*$N$110)/(1-tech_proj!U517))</f>
        <v/>
      </c>
      <c r="V1577" s="119" t="str">
        <f>IF(tech_base!$T113&gt;V$1465,"",(tech_base!$J113/tech_proj!V237*0.086*$N$110)/(1-tech_proj!V517))</f>
        <v/>
      </c>
      <c r="W1577" s="119" t="str">
        <f>IF(tech_base!$T113&gt;W$1465,"",(tech_base!$J113/tech_proj!W237*0.086*$N$110)/(1-tech_proj!W517))</f>
        <v/>
      </c>
      <c r="X1577" s="119" t="str">
        <f>IF(tech_base!$T113&gt;X$1465,"",(tech_base!$J113/tech_proj!X237*0.086*$N$110)/(1-tech_proj!X517))</f>
        <v/>
      </c>
      <c r="Y1577" s="119" t="str">
        <f>IF(tech_base!$T113&gt;Y$1465,"",(tech_base!$J113/tech_proj!Y237*0.086*$N$110)/(1-tech_proj!Y517))</f>
        <v/>
      </c>
      <c r="Z1577" s="119" t="str">
        <f>IF(tech_base!$T113&gt;Z$1465,"",(tech_base!$J113/tech_proj!Z237*0.086*$N$110)/(1-tech_proj!Z517))</f>
        <v/>
      </c>
      <c r="AA1577" s="119" t="str">
        <f>IF(tech_base!$T113&gt;AA$1465,"",(tech_base!$J113/tech_proj!AA237*0.086*$N$110)/(1-tech_proj!AA517))</f>
        <v/>
      </c>
      <c r="AB1577" s="119" t="str">
        <f>IF(tech_base!$T113&gt;AB$1465,"",(tech_base!$J113/tech_proj!AB237*0.086*$N$110)/(1-tech_proj!AB517))</f>
        <v/>
      </c>
      <c r="AC1577" s="119" t="str">
        <f>IF(tech_base!$T113&gt;AC$1465,"",(tech_base!$J113/tech_proj!AC237*0.086*$N$110)/(1-tech_proj!AC517))</f>
        <v/>
      </c>
      <c r="AD1577" s="119" t="str">
        <f>IF(tech_base!$T113&gt;AD$1465,"",(tech_base!$J113/tech_proj!AD237*0.086*$N$110)/(1-tech_proj!AD517))</f>
        <v/>
      </c>
      <c r="AE1577" s="119">
        <f>IF(tech_base!$T113&gt;AE$1465,"",(tech_base!$J113/tech_proj!AE237*0.086*$N$110)/(1-tech_proj!AE517))</f>
        <v>0</v>
      </c>
      <c r="AF1577" s="119">
        <f>IF(tech_base!$T113&gt;AF$1465,"",(tech_base!$J113/tech_proj!AF237*0.086*$N$110)/(1-tech_proj!AF517))</f>
        <v>0</v>
      </c>
      <c r="AG1577" s="119">
        <f>IF(tech_base!$T113&gt;AG$1465,"",(tech_base!$J113/tech_proj!AG237*0.086*$N$110)/(1-tech_proj!AG517))</f>
        <v>0</v>
      </c>
      <c r="AH1577" s="119">
        <f>IF(tech_base!$T113&gt;AH$1465,"",(tech_base!$J113/tech_proj!AH237*0.086*$N$110)/(1-tech_proj!AH517))</f>
        <v>0</v>
      </c>
      <c r="AI1577" s="119">
        <f>IF(tech_base!$T113&gt;AI$1465,"",(tech_base!$J113/tech_proj!AI237*0.086*$N$110)/(1-tech_proj!AI517))</f>
        <v>0</v>
      </c>
      <c r="AJ1577" s="119">
        <f>IF(tech_base!$T113&gt;AJ$1465,"",(tech_base!$J113/tech_proj!AJ237*0.086*$N$110)/(1-tech_proj!AJ517))</f>
        <v>0</v>
      </c>
      <c r="AK1577" s="119">
        <f>IF(tech_base!$T113&gt;AK$1465,"",(tech_base!$J113/tech_proj!AK237*0.086*$N$110)/(1-tech_proj!AK517))</f>
        <v>0</v>
      </c>
      <c r="AL1577" s="119">
        <f>IF(tech_base!$T113&gt;AL$1465,"",(tech_base!$J113/tech_proj!AL237*0.086*$N$110)/(1-tech_proj!AL517))</f>
        <v>0</v>
      </c>
      <c r="AM1577" s="119">
        <f>IF(tech_base!$T113&gt;AM$1465,"",(tech_base!$J113/tech_proj!AM237*0.086*$N$110)/(1-tech_proj!AM517))</f>
        <v>0</v>
      </c>
      <c r="AN1577" s="119">
        <f>IF(tech_base!$T113&gt;AN$1465,"",(tech_base!$J113/tech_proj!AN237*0.086*$N$110)/(1-tech_proj!AN517))</f>
        <v>0</v>
      </c>
      <c r="AO1577" s="119">
        <f>IF(tech_base!$T113&gt;AO$1465,"",(tech_base!$J113/tech_proj!AO237*0.086*$N$110)/(1-tech_proj!AO517))</f>
        <v>0</v>
      </c>
      <c r="AP1577" s="119">
        <f>IF(tech_base!$T113&gt;AP$1465,"",(tech_base!$J113/tech_proj!AP237*0.086*$N$110)/(1-tech_proj!AP517))</f>
        <v>0</v>
      </c>
      <c r="AQ1577" s="119">
        <f>IF(tech_base!$T113&gt;AQ$1465,"",(tech_base!$J113/tech_proj!AQ237*0.086*$N$110)/(1-tech_proj!AQ517))</f>
        <v>0</v>
      </c>
      <c r="AR1577" s="119">
        <f>IF(tech_base!$T113&gt;AR$1465,"",(tech_base!$J113/tech_proj!AR237*0.086*$N$110)/(1-tech_proj!AR517))</f>
        <v>0</v>
      </c>
      <c r="AS1577" s="119">
        <f>IF(tech_base!$T113&gt;AS$1465,"",(tech_base!$J113/tech_proj!AS237*0.086*$N$110)/(1-tech_proj!AS517))</f>
        <v>0</v>
      </c>
      <c r="AT1577" s="119">
        <f>IF(tech_base!$T113&gt;AT$1465,"",(tech_base!$J113/tech_proj!AT237*0.086*$N$110)/(1-tech_proj!AT517))</f>
        <v>0</v>
      </c>
      <c r="AU1577" s="119">
        <f>IF(tech_base!$T113&gt;AU$1465,"",(tech_base!$J113/tech_proj!AU237*0.086*$N$110)/(1-tech_proj!AU517))</f>
        <v>0</v>
      </c>
      <c r="AV1577" s="119">
        <f>IF(tech_base!$T113&gt;AV$1465,"",(tech_base!$J113/tech_proj!AV237*0.086*$N$110)/(1-tech_proj!AV517))</f>
        <v>0</v>
      </c>
      <c r="AW1577" s="119">
        <f>IF(tech_base!$T113&gt;AW$1465,"",(tech_base!$J113/tech_proj!AW237*0.086*$N$110)/(1-tech_proj!AW517))</f>
        <v>0</v>
      </c>
      <c r="AX1577" s="120">
        <f>IF(tech_base!$T113&gt;AX$1465,"",(tech_base!$J113/tech_proj!AX237*0.086*$N$110)/(1-tech_proj!AX517))</f>
        <v>0</v>
      </c>
    </row>
    <row r="1578" spans="1:50" x14ac:dyDescent="0.25">
      <c r="A1578" s="356"/>
      <c r="B1578" s="380"/>
      <c r="C1578" s="381"/>
      <c r="D1578" s="4" t="s">
        <v>8</v>
      </c>
      <c r="E1578" s="168" t="str">
        <f>A1549&amp;"/"&amp;B1567&amp;"/"&amp;C1577&amp;"/"&amp;D1578</f>
        <v>Gas fired power plants (Natural gas, biogas)/Steam turbine/CHP with CCS/M</v>
      </c>
      <c r="F1578" s="80" t="str">
        <f>A1549</f>
        <v>Gas fired power plants (Natural gas, biogas)</v>
      </c>
      <c r="G1578" s="80" t="str">
        <f>B1567</f>
        <v>Steam turbine</v>
      </c>
      <c r="H1578" s="80" t="str">
        <f>C1577</f>
        <v>CHP with CCS</v>
      </c>
      <c r="I1578" s="169" t="str">
        <f t="shared" si="378"/>
        <v>M</v>
      </c>
      <c r="J1578" s="127" t="str">
        <f>IF(tech_base!$T114&gt;J$1465,"",(tech_base!$J114/tech_proj!J238*0.086*$N$110)/(1-tech_proj!J518))</f>
        <v/>
      </c>
      <c r="K1578" s="127" t="str">
        <f>IF(tech_base!$T114&gt;K$1465,"",(tech_base!$J114/tech_proj!K238*0.086*$N$110)/(1-tech_proj!K518))</f>
        <v/>
      </c>
      <c r="L1578" s="127" t="str">
        <f>IF(tech_base!$T114&gt;L$1465,"",(tech_base!$J114/tech_proj!L238*0.086*$N$110)/(1-tech_proj!L518))</f>
        <v/>
      </c>
      <c r="M1578" s="127" t="str">
        <f>IF(tech_base!$T114&gt;M$1465,"",(tech_base!$J114/tech_proj!M238*0.086*$N$110)/(1-tech_proj!M518))</f>
        <v/>
      </c>
      <c r="N1578" s="127" t="str">
        <f>IF(tech_base!$T114&gt;N$1465,"",(tech_base!$J114/tech_proj!N238*0.086*$N$110)/(1-tech_proj!N518))</f>
        <v/>
      </c>
      <c r="O1578" s="127" t="str">
        <f>IF(tech_base!$T114&gt;O$1465,"",(tech_base!$J114/tech_proj!O238*0.086*$N$110)/(1-tech_proj!O518))</f>
        <v/>
      </c>
      <c r="P1578" s="127" t="str">
        <f>IF(tech_base!$T114&gt;P$1465,"",(tech_base!$J114/tech_proj!P238*0.086*$N$110)/(1-tech_proj!P518))</f>
        <v/>
      </c>
      <c r="Q1578" s="127" t="str">
        <f>IF(tech_base!$T114&gt;Q$1465,"",(tech_base!$J114/tech_proj!Q238*0.086*$N$110)/(1-tech_proj!Q518))</f>
        <v/>
      </c>
      <c r="R1578" s="127" t="str">
        <f>IF(tech_base!$T114&gt;R$1465,"",(tech_base!$J114/tech_proj!R238*0.086*$N$110)/(1-tech_proj!R518))</f>
        <v/>
      </c>
      <c r="S1578" s="127" t="str">
        <f>IF(tech_base!$T114&gt;S$1465,"",(tech_base!$J114/tech_proj!S238*0.086*$N$110)/(1-tech_proj!S518))</f>
        <v/>
      </c>
      <c r="T1578" s="127" t="str">
        <f>IF(tech_base!$T114&gt;T$1465,"",(tech_base!$J114/tech_proj!T238*0.086*$N$110)/(1-tech_proj!T518))</f>
        <v/>
      </c>
      <c r="U1578" s="127" t="str">
        <f>IF(tech_base!$T114&gt;U$1465,"",(tech_base!$J114/tech_proj!U238*0.086*$N$110)/(1-tech_proj!U518))</f>
        <v/>
      </c>
      <c r="V1578" s="127" t="str">
        <f>IF(tech_base!$T114&gt;V$1465,"",(tech_base!$J114/tech_proj!V238*0.086*$N$110)/(1-tech_proj!V518))</f>
        <v/>
      </c>
      <c r="W1578" s="127" t="str">
        <f>IF(tech_base!$T114&gt;W$1465,"",(tech_base!$J114/tech_proj!W238*0.086*$N$110)/(1-tech_proj!W518))</f>
        <v/>
      </c>
      <c r="X1578" s="127" t="str">
        <f>IF(tech_base!$T114&gt;X$1465,"",(tech_base!$J114/tech_proj!X238*0.086*$N$110)/(1-tech_proj!X518))</f>
        <v/>
      </c>
      <c r="Y1578" s="127" t="str">
        <f>IF(tech_base!$T114&gt;Y$1465,"",(tech_base!$J114/tech_proj!Y238*0.086*$N$110)/(1-tech_proj!Y518))</f>
        <v/>
      </c>
      <c r="Z1578" s="127" t="str">
        <f>IF(tech_base!$T114&gt;Z$1465,"",(tech_base!$J114/tech_proj!Z238*0.086*$N$110)/(1-tech_proj!Z518))</f>
        <v/>
      </c>
      <c r="AA1578" s="127" t="str">
        <f>IF(tech_base!$T114&gt;AA$1465,"",(tech_base!$J114/tech_proj!AA238*0.086*$N$110)/(1-tech_proj!AA518))</f>
        <v/>
      </c>
      <c r="AB1578" s="127" t="str">
        <f>IF(tech_base!$T114&gt;AB$1465,"",(tech_base!$J114/tech_proj!AB238*0.086*$N$110)/(1-tech_proj!AB518))</f>
        <v/>
      </c>
      <c r="AC1578" s="127" t="str">
        <f>IF(tech_base!$T114&gt;AC$1465,"",(tech_base!$J114/tech_proj!AC238*0.086*$N$110)/(1-tech_proj!AC518))</f>
        <v/>
      </c>
      <c r="AD1578" s="127" t="str">
        <f>IF(tech_base!$T114&gt;AD$1465,"",(tech_base!$J114/tech_proj!AD238*0.086*$N$110)/(1-tech_proj!AD518))</f>
        <v/>
      </c>
      <c r="AE1578" s="127">
        <f>IF(tech_base!$T114&gt;AE$1465,"",(tech_base!$J114/tech_proj!AE238*0.086*$N$110)/(1-tech_proj!AE518))</f>
        <v>0</v>
      </c>
      <c r="AF1578" s="127">
        <f>IF(tech_base!$T114&gt;AF$1465,"",(tech_base!$J114/tech_proj!AF238*0.086*$N$110)/(1-tech_proj!AF518))</f>
        <v>0</v>
      </c>
      <c r="AG1578" s="127">
        <f>IF(tech_base!$T114&gt;AG$1465,"",(tech_base!$J114/tech_proj!AG238*0.086*$N$110)/(1-tech_proj!AG518))</f>
        <v>0</v>
      </c>
      <c r="AH1578" s="127">
        <f>IF(tech_base!$T114&gt;AH$1465,"",(tech_base!$J114/tech_proj!AH238*0.086*$N$110)/(1-tech_proj!AH518))</f>
        <v>0</v>
      </c>
      <c r="AI1578" s="127">
        <f>IF(tech_base!$T114&gt;AI$1465,"",(tech_base!$J114/tech_proj!AI238*0.086*$N$110)/(1-tech_proj!AI518))</f>
        <v>0</v>
      </c>
      <c r="AJ1578" s="127">
        <f>IF(tech_base!$T114&gt;AJ$1465,"",(tech_base!$J114/tech_proj!AJ238*0.086*$N$110)/(1-tech_proj!AJ518))</f>
        <v>0</v>
      </c>
      <c r="AK1578" s="127">
        <f>IF(tech_base!$T114&gt;AK$1465,"",(tech_base!$J114/tech_proj!AK238*0.086*$N$110)/(1-tech_proj!AK518))</f>
        <v>0</v>
      </c>
      <c r="AL1578" s="127">
        <f>IF(tech_base!$T114&gt;AL$1465,"",(tech_base!$J114/tech_proj!AL238*0.086*$N$110)/(1-tech_proj!AL518))</f>
        <v>0</v>
      </c>
      <c r="AM1578" s="127">
        <f>IF(tech_base!$T114&gt;AM$1465,"",(tech_base!$J114/tech_proj!AM238*0.086*$N$110)/(1-tech_proj!AM518))</f>
        <v>0</v>
      </c>
      <c r="AN1578" s="127">
        <f>IF(tech_base!$T114&gt;AN$1465,"",(tech_base!$J114/tech_proj!AN238*0.086*$N$110)/(1-tech_proj!AN518))</f>
        <v>0</v>
      </c>
      <c r="AO1578" s="127">
        <f>IF(tech_base!$T114&gt;AO$1465,"",(tech_base!$J114/tech_proj!AO238*0.086*$N$110)/(1-tech_proj!AO518))</f>
        <v>0</v>
      </c>
      <c r="AP1578" s="127">
        <f>IF(tech_base!$T114&gt;AP$1465,"",(tech_base!$J114/tech_proj!AP238*0.086*$N$110)/(1-tech_proj!AP518))</f>
        <v>0</v>
      </c>
      <c r="AQ1578" s="127">
        <f>IF(tech_base!$T114&gt;AQ$1465,"",(tech_base!$J114/tech_proj!AQ238*0.086*$N$110)/(1-tech_proj!AQ518))</f>
        <v>0</v>
      </c>
      <c r="AR1578" s="127">
        <f>IF(tech_base!$T114&gt;AR$1465,"",(tech_base!$J114/tech_proj!AR238*0.086*$N$110)/(1-tech_proj!AR518))</f>
        <v>0</v>
      </c>
      <c r="AS1578" s="127">
        <f>IF(tech_base!$T114&gt;AS$1465,"",(tech_base!$J114/tech_proj!AS238*0.086*$N$110)/(1-tech_proj!AS518))</f>
        <v>0</v>
      </c>
      <c r="AT1578" s="127">
        <f>IF(tech_base!$T114&gt;AT$1465,"",(tech_base!$J114/tech_proj!AT238*0.086*$N$110)/(1-tech_proj!AT518))</f>
        <v>0</v>
      </c>
      <c r="AU1578" s="127">
        <f>IF(tech_base!$T114&gt;AU$1465,"",(tech_base!$J114/tech_proj!AU238*0.086*$N$110)/(1-tech_proj!AU518))</f>
        <v>0</v>
      </c>
      <c r="AV1578" s="127">
        <f>IF(tech_base!$T114&gt;AV$1465,"",(tech_base!$J114/tech_proj!AV238*0.086*$N$110)/(1-tech_proj!AV518))</f>
        <v>0</v>
      </c>
      <c r="AW1578" s="127">
        <f>IF(tech_base!$T114&gt;AW$1465,"",(tech_base!$J114/tech_proj!AW238*0.086*$N$110)/(1-tech_proj!AW518))</f>
        <v>0</v>
      </c>
      <c r="AX1578" s="128">
        <f>IF(tech_base!$T114&gt;AX$1465,"",(tech_base!$J114/tech_proj!AX238*0.086*$N$110)/(1-tech_proj!AX518))</f>
        <v>0</v>
      </c>
    </row>
    <row r="1579" spans="1:50" x14ac:dyDescent="0.25">
      <c r="A1579" s="356"/>
      <c r="B1579" s="358" t="s">
        <v>25</v>
      </c>
      <c r="C1579" s="353" t="s">
        <v>6</v>
      </c>
      <c r="D1579" s="3" t="s">
        <v>10</v>
      </c>
      <c r="E1579" s="162" t="str">
        <f>A1549&amp;"/"&amp;B1579&amp;"/"&amp;C1579&amp;"/"&amp;D1579</f>
        <v>Gas fired power plants (Natural gas, biogas)/Internal combustion engine/Electricity only/S</v>
      </c>
      <c r="F1579" s="77" t="str">
        <f>A1549</f>
        <v>Gas fired power plants (Natural gas, biogas)</v>
      </c>
      <c r="G1579" s="77" t="str">
        <f>B1579</f>
        <v>Internal combustion engine</v>
      </c>
      <c r="H1579" s="77" t="str">
        <f>C1579</f>
        <v>Electricity only</v>
      </c>
      <c r="I1579" s="163" t="str">
        <f t="shared" si="378"/>
        <v>S</v>
      </c>
      <c r="J1579" s="121">
        <f>IF(tech_base!$T115&gt;J$1465,"",(tech_base!$J115/tech_proj!J239*0.086*$N$110)/(1-tech_proj!J519))</f>
        <v>0</v>
      </c>
      <c r="K1579" s="121">
        <f>IF(tech_base!$T115&gt;K$1465,"",(tech_base!$J115/tech_proj!K239*0.086*$N$110)/(1-tech_proj!K519))</f>
        <v>0</v>
      </c>
      <c r="L1579" s="121">
        <f>IF(tech_base!$T115&gt;L$1465,"",(tech_base!$J115/tech_proj!L239*0.086*$N$110)/(1-tech_proj!L519))</f>
        <v>0</v>
      </c>
      <c r="M1579" s="121">
        <f>IF(tech_base!$T115&gt;M$1465,"",(tech_base!$J115/tech_proj!M239*0.086*$N$110)/(1-tech_proj!M519))</f>
        <v>0</v>
      </c>
      <c r="N1579" s="121">
        <f>IF(tech_base!$T115&gt;N$1465,"",(tech_base!$J115/tech_proj!N239*0.086*$N$110)/(1-tech_proj!N519))</f>
        <v>0</v>
      </c>
      <c r="O1579" s="121">
        <f>IF(tech_base!$T115&gt;O$1465,"",(tech_base!$J115/tech_proj!O239*0.086*$N$110)/(1-tech_proj!O519))</f>
        <v>0</v>
      </c>
      <c r="P1579" s="121">
        <f>IF(tech_base!$T115&gt;P$1465,"",(tech_base!$J115/tech_proj!P239*0.086*$N$110)/(1-tech_proj!P519))</f>
        <v>0</v>
      </c>
      <c r="Q1579" s="121">
        <f>IF(tech_base!$T115&gt;Q$1465,"",(tech_base!$J115/tech_proj!Q239*0.086*$N$110)/(1-tech_proj!Q519))</f>
        <v>0</v>
      </c>
      <c r="R1579" s="121">
        <f>IF(tech_base!$T115&gt;R$1465,"",(tech_base!$J115/tech_proj!R239*0.086*$N$110)/(1-tech_proj!R519))</f>
        <v>0</v>
      </c>
      <c r="S1579" s="121">
        <f>IF(tech_base!$T115&gt;S$1465,"",(tech_base!$J115/tech_proj!S239*0.086*$N$110)/(1-tech_proj!S519))</f>
        <v>0</v>
      </c>
      <c r="T1579" s="121">
        <f>IF(tech_base!$T115&gt;T$1465,"",(tech_base!$J115/tech_proj!T239*0.086*$N$110)/(1-tech_proj!T519))</f>
        <v>0</v>
      </c>
      <c r="U1579" s="121">
        <f>IF(tech_base!$T115&gt;U$1465,"",(tech_base!$J115/tech_proj!U239*0.086*$N$110)/(1-tech_proj!U519))</f>
        <v>0</v>
      </c>
      <c r="V1579" s="121">
        <f>IF(tech_base!$T115&gt;V$1465,"",(tech_base!$J115/tech_proj!V239*0.086*$N$110)/(1-tech_proj!V519))</f>
        <v>0</v>
      </c>
      <c r="W1579" s="121">
        <f>IF(tech_base!$T115&gt;W$1465,"",(tech_base!$J115/tech_proj!W239*0.086*$N$110)/(1-tech_proj!W519))</f>
        <v>0</v>
      </c>
      <c r="X1579" s="121">
        <f>IF(tech_base!$T115&gt;X$1465,"",(tech_base!$J115/tech_proj!X239*0.086*$N$110)/(1-tech_proj!X519))</f>
        <v>0</v>
      </c>
      <c r="Y1579" s="121">
        <f>IF(tech_base!$T115&gt;Y$1465,"",(tech_base!$J115/tech_proj!Y239*0.086*$N$110)/(1-tech_proj!Y519))</f>
        <v>0</v>
      </c>
      <c r="Z1579" s="121">
        <f>IF(tech_base!$T115&gt;Z$1465,"",(tech_base!$J115/tech_proj!Z239*0.086*$N$110)/(1-tech_proj!Z519))</f>
        <v>0</v>
      </c>
      <c r="AA1579" s="121">
        <f>IF(tech_base!$T115&gt;AA$1465,"",(tech_base!$J115/tech_proj!AA239*0.086*$N$110)/(1-tech_proj!AA519))</f>
        <v>0</v>
      </c>
      <c r="AB1579" s="121">
        <f>IF(tech_base!$T115&gt;AB$1465,"",(tech_base!$J115/tech_proj!AB239*0.086*$N$110)/(1-tech_proj!AB519))</f>
        <v>0</v>
      </c>
      <c r="AC1579" s="121">
        <f>IF(tech_base!$T115&gt;AC$1465,"",(tech_base!$J115/tech_proj!AC239*0.086*$N$110)/(1-tech_proj!AC519))</f>
        <v>0</v>
      </c>
      <c r="AD1579" s="121">
        <f>IF(tech_base!$T115&gt;AD$1465,"",(tech_base!$J115/tech_proj!AD239*0.086*$N$110)/(1-tech_proj!AD519))</f>
        <v>0</v>
      </c>
      <c r="AE1579" s="121">
        <f>IF(tech_base!$T115&gt;AE$1465,"",(tech_base!$J115/tech_proj!AE239*0.086*$N$110)/(1-tech_proj!AE519))</f>
        <v>0</v>
      </c>
      <c r="AF1579" s="121">
        <f>IF(tech_base!$T115&gt;AF$1465,"",(tech_base!$J115/tech_proj!AF239*0.086*$N$110)/(1-tech_proj!AF519))</f>
        <v>0</v>
      </c>
      <c r="AG1579" s="121">
        <f>IF(tech_base!$T115&gt;AG$1465,"",(tech_base!$J115/tech_proj!AG239*0.086*$N$110)/(1-tech_proj!AG519))</f>
        <v>0</v>
      </c>
      <c r="AH1579" s="121">
        <f>IF(tech_base!$T115&gt;AH$1465,"",(tech_base!$J115/tech_proj!AH239*0.086*$N$110)/(1-tech_proj!AH519))</f>
        <v>0</v>
      </c>
      <c r="AI1579" s="121">
        <f>IF(tech_base!$T115&gt;AI$1465,"",(tech_base!$J115/tech_proj!AI239*0.086*$N$110)/(1-tech_proj!AI519))</f>
        <v>0</v>
      </c>
      <c r="AJ1579" s="121">
        <f>IF(tech_base!$T115&gt;AJ$1465,"",(tech_base!$J115/tech_proj!AJ239*0.086*$N$110)/(1-tech_proj!AJ519))</f>
        <v>0</v>
      </c>
      <c r="AK1579" s="121">
        <f>IF(tech_base!$T115&gt;AK$1465,"",(tech_base!$J115/tech_proj!AK239*0.086*$N$110)/(1-tech_proj!AK519))</f>
        <v>0</v>
      </c>
      <c r="AL1579" s="121">
        <f>IF(tech_base!$T115&gt;AL$1465,"",(tech_base!$J115/tech_proj!AL239*0.086*$N$110)/(1-tech_proj!AL519))</f>
        <v>0</v>
      </c>
      <c r="AM1579" s="121">
        <f>IF(tech_base!$T115&gt;AM$1465,"",(tech_base!$J115/tech_proj!AM239*0.086*$N$110)/(1-tech_proj!AM519))</f>
        <v>0</v>
      </c>
      <c r="AN1579" s="121">
        <f>IF(tech_base!$T115&gt;AN$1465,"",(tech_base!$J115/tech_proj!AN239*0.086*$N$110)/(1-tech_proj!AN519))</f>
        <v>0</v>
      </c>
      <c r="AO1579" s="121">
        <f>IF(tech_base!$T115&gt;AO$1465,"",(tech_base!$J115/tech_proj!AO239*0.086*$N$110)/(1-tech_proj!AO519))</f>
        <v>0</v>
      </c>
      <c r="AP1579" s="121">
        <f>IF(tech_base!$T115&gt;AP$1465,"",(tech_base!$J115/tech_proj!AP239*0.086*$N$110)/(1-tech_proj!AP519))</f>
        <v>0</v>
      </c>
      <c r="AQ1579" s="121">
        <f>IF(tech_base!$T115&gt;AQ$1465,"",(tech_base!$J115/tech_proj!AQ239*0.086*$N$110)/(1-tech_proj!AQ519))</f>
        <v>0</v>
      </c>
      <c r="AR1579" s="121">
        <f>IF(tech_base!$T115&gt;AR$1465,"",(tech_base!$J115/tech_proj!AR239*0.086*$N$110)/(1-tech_proj!AR519))</f>
        <v>0</v>
      </c>
      <c r="AS1579" s="121">
        <f>IF(tech_base!$T115&gt;AS$1465,"",(tech_base!$J115/tech_proj!AS239*0.086*$N$110)/(1-tech_proj!AS519))</f>
        <v>0</v>
      </c>
      <c r="AT1579" s="121">
        <f>IF(tech_base!$T115&gt;AT$1465,"",(tech_base!$J115/tech_proj!AT239*0.086*$N$110)/(1-tech_proj!AT519))</f>
        <v>0</v>
      </c>
      <c r="AU1579" s="121">
        <f>IF(tech_base!$T115&gt;AU$1465,"",(tech_base!$J115/tech_proj!AU239*0.086*$N$110)/(1-tech_proj!AU519))</f>
        <v>0</v>
      </c>
      <c r="AV1579" s="121">
        <f>IF(tech_base!$T115&gt;AV$1465,"",(tech_base!$J115/tech_proj!AV239*0.086*$N$110)/(1-tech_proj!AV519))</f>
        <v>0</v>
      </c>
      <c r="AW1579" s="121">
        <f>IF(tech_base!$T115&gt;AW$1465,"",(tech_base!$J115/tech_proj!AW239*0.086*$N$110)/(1-tech_proj!AW519))</f>
        <v>0</v>
      </c>
      <c r="AX1579" s="122">
        <f>IF(tech_base!$T115&gt;AX$1465,"",(tech_base!$J115/tech_proj!AX239*0.086*$N$110)/(1-tech_proj!AX519))</f>
        <v>0</v>
      </c>
    </row>
    <row r="1580" spans="1:50" x14ac:dyDescent="0.25">
      <c r="A1580" s="356"/>
      <c r="B1580" s="376"/>
      <c r="C1580" s="379"/>
      <c r="D1580" s="59" t="s">
        <v>20</v>
      </c>
      <c r="E1580" s="160" t="str">
        <f>A1549&amp;"/"&amp;B1579&amp;"/"&amp;C1579&amp;"/"&amp;D1580</f>
        <v>Gas fired power plants (Natural gas, biogas)/Internal combustion engine/Electricity only/XS</v>
      </c>
      <c r="F1580" s="76" t="str">
        <f>A1549</f>
        <v>Gas fired power plants (Natural gas, biogas)</v>
      </c>
      <c r="G1580" s="76" t="str">
        <f>B1579</f>
        <v>Internal combustion engine</v>
      </c>
      <c r="H1580" s="76" t="str">
        <f>C1579</f>
        <v>Electricity only</v>
      </c>
      <c r="I1580" s="161" t="str">
        <f t="shared" si="378"/>
        <v>XS</v>
      </c>
      <c r="J1580" s="119">
        <f>IF(tech_base!$T116&gt;J$1465,"",(tech_base!$J116/tech_proj!J240*0.086*$N$110)/(1-tech_proj!J520))</f>
        <v>0</v>
      </c>
      <c r="K1580" s="119">
        <f>IF(tech_base!$T116&gt;K$1465,"",(tech_base!$J116/tech_proj!K240*0.086*$N$110)/(1-tech_proj!K520))</f>
        <v>0</v>
      </c>
      <c r="L1580" s="119">
        <f>IF(tech_base!$T116&gt;L$1465,"",(tech_base!$J116/tech_proj!L240*0.086*$N$110)/(1-tech_proj!L520))</f>
        <v>0</v>
      </c>
      <c r="M1580" s="119">
        <f>IF(tech_base!$T116&gt;M$1465,"",(tech_base!$J116/tech_proj!M240*0.086*$N$110)/(1-tech_proj!M520))</f>
        <v>0</v>
      </c>
      <c r="N1580" s="119">
        <f>IF(tech_base!$T116&gt;N$1465,"",(tech_base!$J116/tech_proj!N240*0.086*$N$110)/(1-tech_proj!N520))</f>
        <v>0</v>
      </c>
      <c r="O1580" s="119">
        <f>IF(tech_base!$T116&gt;O$1465,"",(tech_base!$J116/tech_proj!O240*0.086*$N$110)/(1-tech_proj!O520))</f>
        <v>0</v>
      </c>
      <c r="P1580" s="119">
        <f>IF(tech_base!$T116&gt;P$1465,"",(tech_base!$J116/tech_proj!P240*0.086*$N$110)/(1-tech_proj!P520))</f>
        <v>0</v>
      </c>
      <c r="Q1580" s="119">
        <f>IF(tech_base!$T116&gt;Q$1465,"",(tech_base!$J116/tech_proj!Q240*0.086*$N$110)/(1-tech_proj!Q520))</f>
        <v>0</v>
      </c>
      <c r="R1580" s="119">
        <f>IF(tech_base!$T116&gt;R$1465,"",(tech_base!$J116/tech_proj!R240*0.086*$N$110)/(1-tech_proj!R520))</f>
        <v>0</v>
      </c>
      <c r="S1580" s="119">
        <f>IF(tech_base!$T116&gt;S$1465,"",(tech_base!$J116/tech_proj!S240*0.086*$N$110)/(1-tech_proj!S520))</f>
        <v>0</v>
      </c>
      <c r="T1580" s="119">
        <f>IF(tech_base!$T116&gt;T$1465,"",(tech_base!$J116/tech_proj!T240*0.086*$N$110)/(1-tech_proj!T520))</f>
        <v>0</v>
      </c>
      <c r="U1580" s="119">
        <f>IF(tech_base!$T116&gt;U$1465,"",(tech_base!$J116/tech_proj!U240*0.086*$N$110)/(1-tech_proj!U520))</f>
        <v>0</v>
      </c>
      <c r="V1580" s="119">
        <f>IF(tech_base!$T116&gt;V$1465,"",(tech_base!$J116/tech_proj!V240*0.086*$N$110)/(1-tech_proj!V520))</f>
        <v>0</v>
      </c>
      <c r="W1580" s="119">
        <f>IF(tech_base!$T116&gt;W$1465,"",(tech_base!$J116/tech_proj!W240*0.086*$N$110)/(1-tech_proj!W520))</f>
        <v>0</v>
      </c>
      <c r="X1580" s="119">
        <f>IF(tech_base!$T116&gt;X$1465,"",(tech_base!$J116/tech_proj!X240*0.086*$N$110)/(1-tech_proj!X520))</f>
        <v>0</v>
      </c>
      <c r="Y1580" s="119">
        <f>IF(tech_base!$T116&gt;Y$1465,"",(tech_base!$J116/tech_proj!Y240*0.086*$N$110)/(1-tech_proj!Y520))</f>
        <v>0</v>
      </c>
      <c r="Z1580" s="119">
        <f>IF(tech_base!$T116&gt;Z$1465,"",(tech_base!$J116/tech_proj!Z240*0.086*$N$110)/(1-tech_proj!Z520))</f>
        <v>0</v>
      </c>
      <c r="AA1580" s="119">
        <f>IF(tech_base!$T116&gt;AA$1465,"",(tech_base!$J116/tech_proj!AA240*0.086*$N$110)/(1-tech_proj!AA520))</f>
        <v>0</v>
      </c>
      <c r="AB1580" s="119">
        <f>IF(tech_base!$T116&gt;AB$1465,"",(tech_base!$J116/tech_proj!AB240*0.086*$N$110)/(1-tech_proj!AB520))</f>
        <v>0</v>
      </c>
      <c r="AC1580" s="119">
        <f>IF(tech_base!$T116&gt;AC$1465,"",(tech_base!$J116/tech_proj!AC240*0.086*$N$110)/(1-tech_proj!AC520))</f>
        <v>0</v>
      </c>
      <c r="AD1580" s="119">
        <f>IF(tech_base!$T116&gt;AD$1465,"",(tech_base!$J116/tech_proj!AD240*0.086*$N$110)/(1-tech_proj!AD520))</f>
        <v>0</v>
      </c>
      <c r="AE1580" s="119">
        <f>IF(tech_base!$T116&gt;AE$1465,"",(tech_base!$J116/tech_proj!AE240*0.086*$N$110)/(1-tech_proj!AE520))</f>
        <v>0</v>
      </c>
      <c r="AF1580" s="119">
        <f>IF(tech_base!$T116&gt;AF$1465,"",(tech_base!$J116/tech_proj!AF240*0.086*$N$110)/(1-tech_proj!AF520))</f>
        <v>0</v>
      </c>
      <c r="AG1580" s="119">
        <f>IF(tech_base!$T116&gt;AG$1465,"",(tech_base!$J116/tech_proj!AG240*0.086*$N$110)/(1-tech_proj!AG520))</f>
        <v>0</v>
      </c>
      <c r="AH1580" s="119">
        <f>IF(tech_base!$T116&gt;AH$1465,"",(tech_base!$J116/tech_proj!AH240*0.086*$N$110)/(1-tech_proj!AH520))</f>
        <v>0</v>
      </c>
      <c r="AI1580" s="119">
        <f>IF(tech_base!$T116&gt;AI$1465,"",(tech_base!$J116/tech_proj!AI240*0.086*$N$110)/(1-tech_proj!AI520))</f>
        <v>0</v>
      </c>
      <c r="AJ1580" s="119">
        <f>IF(tech_base!$T116&gt;AJ$1465,"",(tech_base!$J116/tech_proj!AJ240*0.086*$N$110)/(1-tech_proj!AJ520))</f>
        <v>0</v>
      </c>
      <c r="AK1580" s="119">
        <f>IF(tech_base!$T116&gt;AK$1465,"",(tech_base!$J116/tech_proj!AK240*0.086*$N$110)/(1-tech_proj!AK520))</f>
        <v>0</v>
      </c>
      <c r="AL1580" s="119">
        <f>IF(tech_base!$T116&gt;AL$1465,"",(tech_base!$J116/tech_proj!AL240*0.086*$N$110)/(1-tech_proj!AL520))</f>
        <v>0</v>
      </c>
      <c r="AM1580" s="119">
        <f>IF(tech_base!$T116&gt;AM$1465,"",(tech_base!$J116/tech_proj!AM240*0.086*$N$110)/(1-tech_proj!AM520))</f>
        <v>0</v>
      </c>
      <c r="AN1580" s="119">
        <f>IF(tech_base!$T116&gt;AN$1465,"",(tech_base!$J116/tech_proj!AN240*0.086*$N$110)/(1-tech_proj!AN520))</f>
        <v>0</v>
      </c>
      <c r="AO1580" s="119">
        <f>IF(tech_base!$T116&gt;AO$1465,"",(tech_base!$J116/tech_proj!AO240*0.086*$N$110)/(1-tech_proj!AO520))</f>
        <v>0</v>
      </c>
      <c r="AP1580" s="119">
        <f>IF(tech_base!$T116&gt;AP$1465,"",(tech_base!$J116/tech_proj!AP240*0.086*$N$110)/(1-tech_proj!AP520))</f>
        <v>0</v>
      </c>
      <c r="AQ1580" s="119">
        <f>IF(tech_base!$T116&gt;AQ$1465,"",(tech_base!$J116/tech_proj!AQ240*0.086*$N$110)/(1-tech_proj!AQ520))</f>
        <v>0</v>
      </c>
      <c r="AR1580" s="119">
        <f>IF(tech_base!$T116&gt;AR$1465,"",(tech_base!$J116/tech_proj!AR240*0.086*$N$110)/(1-tech_proj!AR520))</f>
        <v>0</v>
      </c>
      <c r="AS1580" s="119">
        <f>IF(tech_base!$T116&gt;AS$1465,"",(tech_base!$J116/tech_proj!AS240*0.086*$N$110)/(1-tech_proj!AS520))</f>
        <v>0</v>
      </c>
      <c r="AT1580" s="119">
        <f>IF(tech_base!$T116&gt;AT$1465,"",(tech_base!$J116/tech_proj!AT240*0.086*$N$110)/(1-tech_proj!AT520))</f>
        <v>0</v>
      </c>
      <c r="AU1580" s="119">
        <f>IF(tech_base!$T116&gt;AU$1465,"",(tech_base!$J116/tech_proj!AU240*0.086*$N$110)/(1-tech_proj!AU520))</f>
        <v>0</v>
      </c>
      <c r="AV1580" s="119">
        <f>IF(tech_base!$T116&gt;AV$1465,"",(tech_base!$J116/tech_proj!AV240*0.086*$N$110)/(1-tech_proj!AV520))</f>
        <v>0</v>
      </c>
      <c r="AW1580" s="119">
        <f>IF(tech_base!$T116&gt;AW$1465,"",(tech_base!$J116/tech_proj!AW240*0.086*$N$110)/(1-tech_proj!AW520))</f>
        <v>0</v>
      </c>
      <c r="AX1580" s="120">
        <f>IF(tech_base!$T116&gt;AX$1465,"",(tech_base!$J116/tech_proj!AX240*0.086*$N$110)/(1-tech_proj!AX520))</f>
        <v>0</v>
      </c>
    </row>
    <row r="1581" spans="1:50" x14ac:dyDescent="0.25">
      <c r="A1581" s="356"/>
      <c r="B1581" s="376"/>
      <c r="C1581" s="361" t="s">
        <v>14</v>
      </c>
      <c r="D1581" s="2" t="s">
        <v>10</v>
      </c>
      <c r="E1581" s="164" t="str">
        <f>A1549&amp;"/"&amp;B1579&amp;"/"&amp;C1581&amp;"/"&amp;D1581</f>
        <v>Gas fired power plants (Natural gas, biogas)/Internal combustion engine/CHP/S</v>
      </c>
      <c r="F1581" s="78" t="str">
        <f>A1549</f>
        <v>Gas fired power plants (Natural gas, biogas)</v>
      </c>
      <c r="G1581" s="78" t="str">
        <f>B1579</f>
        <v>Internal combustion engine</v>
      </c>
      <c r="H1581" s="78" t="str">
        <f>C1581</f>
        <v>CHP</v>
      </c>
      <c r="I1581" s="165" t="str">
        <f t="shared" si="378"/>
        <v>S</v>
      </c>
      <c r="J1581" s="123">
        <f>IF(tech_base!$T117&gt;J$1465,"",(tech_base!$J117/tech_proj!J241*0.086*$N$110)/(1-tech_proj!J521))</f>
        <v>0</v>
      </c>
      <c r="K1581" s="123">
        <f>IF(tech_base!$T117&gt;K$1465,"",(tech_base!$J117/tech_proj!K241*0.086*$N$110)/(1-tech_proj!K521))</f>
        <v>0</v>
      </c>
      <c r="L1581" s="123">
        <f>IF(tech_base!$T117&gt;L$1465,"",(tech_base!$J117/tech_proj!L241*0.086*$N$110)/(1-tech_proj!L521))</f>
        <v>0</v>
      </c>
      <c r="M1581" s="123">
        <f>IF(tech_base!$T117&gt;M$1465,"",(tech_base!$J117/tech_proj!M241*0.086*$N$110)/(1-tech_proj!M521))</f>
        <v>0</v>
      </c>
      <c r="N1581" s="123">
        <f>IF(tech_base!$T117&gt;N$1465,"",(tech_base!$J117/tech_proj!N241*0.086*$N$110)/(1-tech_proj!N521))</f>
        <v>0</v>
      </c>
      <c r="O1581" s="123">
        <f>IF(tech_base!$T117&gt;O$1465,"",(tech_base!$J117/tech_proj!O241*0.086*$N$110)/(1-tech_proj!O521))</f>
        <v>0</v>
      </c>
      <c r="P1581" s="123">
        <f>IF(tech_base!$T117&gt;P$1465,"",(tech_base!$J117/tech_proj!P241*0.086*$N$110)/(1-tech_proj!P521))</f>
        <v>0</v>
      </c>
      <c r="Q1581" s="123">
        <f>IF(tech_base!$T117&gt;Q$1465,"",(tech_base!$J117/tech_proj!Q241*0.086*$N$110)/(1-tech_proj!Q521))</f>
        <v>0</v>
      </c>
      <c r="R1581" s="123">
        <f>IF(tech_base!$T117&gt;R$1465,"",(tech_base!$J117/tech_proj!R241*0.086*$N$110)/(1-tech_proj!R521))</f>
        <v>0</v>
      </c>
      <c r="S1581" s="123">
        <f>IF(tech_base!$T117&gt;S$1465,"",(tech_base!$J117/tech_proj!S241*0.086*$N$110)/(1-tech_proj!S521))</f>
        <v>0</v>
      </c>
      <c r="T1581" s="123">
        <f>IF(tech_base!$T117&gt;T$1465,"",(tech_base!$J117/tech_proj!T241*0.086*$N$110)/(1-tech_proj!T521))</f>
        <v>0</v>
      </c>
      <c r="U1581" s="123">
        <f>IF(tech_base!$T117&gt;U$1465,"",(tech_base!$J117/tech_proj!U241*0.086*$N$110)/(1-tech_proj!U521))</f>
        <v>0</v>
      </c>
      <c r="V1581" s="123">
        <f>IF(tech_base!$T117&gt;V$1465,"",(tech_base!$J117/tech_proj!V241*0.086*$N$110)/(1-tech_proj!V521))</f>
        <v>0</v>
      </c>
      <c r="W1581" s="123">
        <f>IF(tech_base!$T117&gt;W$1465,"",(tech_base!$J117/tech_proj!W241*0.086*$N$110)/(1-tech_proj!W521))</f>
        <v>0</v>
      </c>
      <c r="X1581" s="123">
        <f>IF(tech_base!$T117&gt;X$1465,"",(tech_base!$J117/tech_proj!X241*0.086*$N$110)/(1-tech_proj!X521))</f>
        <v>0</v>
      </c>
      <c r="Y1581" s="123">
        <f>IF(tech_base!$T117&gt;Y$1465,"",(tech_base!$J117/tech_proj!Y241*0.086*$N$110)/(1-tech_proj!Y521))</f>
        <v>0</v>
      </c>
      <c r="Z1581" s="123">
        <f>IF(tech_base!$T117&gt;Z$1465,"",(tech_base!$J117/tech_proj!Z241*0.086*$N$110)/(1-tech_proj!Z521))</f>
        <v>0</v>
      </c>
      <c r="AA1581" s="123">
        <f>IF(tech_base!$T117&gt;AA$1465,"",(tech_base!$J117/tech_proj!AA241*0.086*$N$110)/(1-tech_proj!AA521))</f>
        <v>0</v>
      </c>
      <c r="AB1581" s="123">
        <f>IF(tech_base!$T117&gt;AB$1465,"",(tech_base!$J117/tech_proj!AB241*0.086*$N$110)/(1-tech_proj!AB521))</f>
        <v>0</v>
      </c>
      <c r="AC1581" s="123">
        <f>IF(tech_base!$T117&gt;AC$1465,"",(tech_base!$J117/tech_proj!AC241*0.086*$N$110)/(1-tech_proj!AC521))</f>
        <v>0</v>
      </c>
      <c r="AD1581" s="123">
        <f>IF(tech_base!$T117&gt;AD$1465,"",(tech_base!$J117/tech_proj!AD241*0.086*$N$110)/(1-tech_proj!AD521))</f>
        <v>0</v>
      </c>
      <c r="AE1581" s="123">
        <f>IF(tech_base!$T117&gt;AE$1465,"",(tech_base!$J117/tech_proj!AE241*0.086*$N$110)/(1-tech_proj!AE521))</f>
        <v>0</v>
      </c>
      <c r="AF1581" s="123">
        <f>IF(tech_base!$T117&gt;AF$1465,"",(tech_base!$J117/tech_proj!AF241*0.086*$N$110)/(1-tech_proj!AF521))</f>
        <v>0</v>
      </c>
      <c r="AG1581" s="123">
        <f>IF(tech_base!$T117&gt;AG$1465,"",(tech_base!$J117/tech_proj!AG241*0.086*$N$110)/(1-tech_proj!AG521))</f>
        <v>0</v>
      </c>
      <c r="AH1581" s="123">
        <f>IF(tech_base!$T117&gt;AH$1465,"",(tech_base!$J117/tech_proj!AH241*0.086*$N$110)/(1-tech_proj!AH521))</f>
        <v>0</v>
      </c>
      <c r="AI1581" s="123">
        <f>IF(tech_base!$T117&gt;AI$1465,"",(tech_base!$J117/tech_proj!AI241*0.086*$N$110)/(1-tech_proj!AI521))</f>
        <v>0</v>
      </c>
      <c r="AJ1581" s="123">
        <f>IF(tech_base!$T117&gt;AJ$1465,"",(tech_base!$J117/tech_proj!AJ241*0.086*$N$110)/(1-tech_proj!AJ521))</f>
        <v>0</v>
      </c>
      <c r="AK1581" s="123">
        <f>IF(tech_base!$T117&gt;AK$1465,"",(tech_base!$J117/tech_proj!AK241*0.086*$N$110)/(1-tech_proj!AK521))</f>
        <v>0</v>
      </c>
      <c r="AL1581" s="123">
        <f>IF(tech_base!$T117&gt;AL$1465,"",(tech_base!$J117/tech_proj!AL241*0.086*$N$110)/(1-tech_proj!AL521))</f>
        <v>0</v>
      </c>
      <c r="AM1581" s="123">
        <f>IF(tech_base!$T117&gt;AM$1465,"",(tech_base!$J117/tech_proj!AM241*0.086*$N$110)/(1-tech_proj!AM521))</f>
        <v>0</v>
      </c>
      <c r="AN1581" s="123">
        <f>IF(tech_base!$T117&gt;AN$1465,"",(tech_base!$J117/tech_proj!AN241*0.086*$N$110)/(1-tech_proj!AN521))</f>
        <v>0</v>
      </c>
      <c r="AO1581" s="123">
        <f>IF(tech_base!$T117&gt;AO$1465,"",(tech_base!$J117/tech_proj!AO241*0.086*$N$110)/(1-tech_proj!AO521))</f>
        <v>0</v>
      </c>
      <c r="AP1581" s="123">
        <f>IF(tech_base!$T117&gt;AP$1465,"",(tech_base!$J117/tech_proj!AP241*0.086*$N$110)/(1-tech_proj!AP521))</f>
        <v>0</v>
      </c>
      <c r="AQ1581" s="123">
        <f>IF(tech_base!$T117&gt;AQ$1465,"",(tech_base!$J117/tech_proj!AQ241*0.086*$N$110)/(1-tech_proj!AQ521))</f>
        <v>0</v>
      </c>
      <c r="AR1581" s="123">
        <f>IF(tech_base!$T117&gt;AR$1465,"",(tech_base!$J117/tech_proj!AR241*0.086*$N$110)/(1-tech_proj!AR521))</f>
        <v>0</v>
      </c>
      <c r="AS1581" s="123">
        <f>IF(tech_base!$T117&gt;AS$1465,"",(tech_base!$J117/tech_proj!AS241*0.086*$N$110)/(1-tech_proj!AS521))</f>
        <v>0</v>
      </c>
      <c r="AT1581" s="123">
        <f>IF(tech_base!$T117&gt;AT$1465,"",(tech_base!$J117/tech_proj!AT241*0.086*$N$110)/(1-tech_proj!AT521))</f>
        <v>0</v>
      </c>
      <c r="AU1581" s="123">
        <f>IF(tech_base!$T117&gt;AU$1465,"",(tech_base!$J117/tech_proj!AU241*0.086*$N$110)/(1-tech_proj!AU521))</f>
        <v>0</v>
      </c>
      <c r="AV1581" s="123">
        <f>IF(tech_base!$T117&gt;AV$1465,"",(tech_base!$J117/tech_proj!AV241*0.086*$N$110)/(1-tech_proj!AV521))</f>
        <v>0</v>
      </c>
      <c r="AW1581" s="123">
        <f>IF(tech_base!$T117&gt;AW$1465,"",(tech_base!$J117/tech_proj!AW241*0.086*$N$110)/(1-tech_proj!AW521))</f>
        <v>0</v>
      </c>
      <c r="AX1581" s="124">
        <f>IF(tech_base!$T117&gt;AX$1465,"",(tech_base!$J117/tech_proj!AX241*0.086*$N$110)/(1-tech_proj!AX521))</f>
        <v>0</v>
      </c>
    </row>
    <row r="1582" spans="1:50" x14ac:dyDescent="0.25">
      <c r="A1582" s="356"/>
      <c r="B1582" s="380"/>
      <c r="C1582" s="381"/>
      <c r="D1582" s="4" t="s">
        <v>20</v>
      </c>
      <c r="E1582" s="168" t="str">
        <f>A1549&amp;"/"&amp;B1579&amp;"/"&amp;C1581&amp;"/"&amp;D1582</f>
        <v>Gas fired power plants (Natural gas, biogas)/Internal combustion engine/CHP/XS</v>
      </c>
      <c r="F1582" s="80" t="str">
        <f>A1549</f>
        <v>Gas fired power plants (Natural gas, biogas)</v>
      </c>
      <c r="G1582" s="80" t="str">
        <f>B1579</f>
        <v>Internal combustion engine</v>
      </c>
      <c r="H1582" s="80" t="str">
        <f>C1581</f>
        <v>CHP</v>
      </c>
      <c r="I1582" s="169" t="str">
        <f t="shared" si="378"/>
        <v>XS</v>
      </c>
      <c r="J1582" s="127">
        <f>IF(tech_base!$T118&gt;J$1465,"",(tech_base!$J118/tech_proj!J242*0.086*$N$110)/(1-tech_proj!J522))</f>
        <v>0</v>
      </c>
      <c r="K1582" s="127">
        <f>IF(tech_base!$T118&gt;K$1465,"",(tech_base!$J118/tech_proj!K242*0.086*$N$110)/(1-tech_proj!K522))</f>
        <v>0</v>
      </c>
      <c r="L1582" s="127">
        <f>IF(tech_base!$T118&gt;L$1465,"",(tech_base!$J118/tech_proj!L242*0.086*$N$110)/(1-tech_proj!L522))</f>
        <v>0</v>
      </c>
      <c r="M1582" s="127">
        <f>IF(tech_base!$T118&gt;M$1465,"",(tech_base!$J118/tech_proj!M242*0.086*$N$110)/(1-tech_proj!M522))</f>
        <v>0</v>
      </c>
      <c r="N1582" s="127">
        <f>IF(tech_base!$T118&gt;N$1465,"",(tech_base!$J118/tech_proj!N242*0.086*$N$110)/(1-tech_proj!N522))</f>
        <v>0</v>
      </c>
      <c r="O1582" s="127">
        <f>IF(tech_base!$T118&gt;O$1465,"",(tech_base!$J118/tech_proj!O242*0.086*$N$110)/(1-tech_proj!O522))</f>
        <v>0</v>
      </c>
      <c r="P1582" s="127">
        <f>IF(tech_base!$T118&gt;P$1465,"",(tech_base!$J118/tech_proj!P242*0.086*$N$110)/(1-tech_proj!P522))</f>
        <v>0</v>
      </c>
      <c r="Q1582" s="127">
        <f>IF(tech_base!$T118&gt;Q$1465,"",(tech_base!$J118/tech_proj!Q242*0.086*$N$110)/(1-tech_proj!Q522))</f>
        <v>0</v>
      </c>
      <c r="R1582" s="127">
        <f>IF(tech_base!$T118&gt;R$1465,"",(tech_base!$J118/tech_proj!R242*0.086*$N$110)/(1-tech_proj!R522))</f>
        <v>0</v>
      </c>
      <c r="S1582" s="127">
        <f>IF(tech_base!$T118&gt;S$1465,"",(tech_base!$J118/tech_proj!S242*0.086*$N$110)/(1-tech_proj!S522))</f>
        <v>0</v>
      </c>
      <c r="T1582" s="127">
        <f>IF(tech_base!$T118&gt;T$1465,"",(tech_base!$J118/tech_proj!T242*0.086*$N$110)/(1-tech_proj!T522))</f>
        <v>0</v>
      </c>
      <c r="U1582" s="127">
        <f>IF(tech_base!$T118&gt;U$1465,"",(tech_base!$J118/tech_proj!U242*0.086*$N$110)/(1-tech_proj!U522))</f>
        <v>0</v>
      </c>
      <c r="V1582" s="127">
        <f>IF(tech_base!$T118&gt;V$1465,"",(tech_base!$J118/tech_proj!V242*0.086*$N$110)/(1-tech_proj!V522))</f>
        <v>0</v>
      </c>
      <c r="W1582" s="127">
        <f>IF(tech_base!$T118&gt;W$1465,"",(tech_base!$J118/tech_proj!W242*0.086*$N$110)/(1-tech_proj!W522))</f>
        <v>0</v>
      </c>
      <c r="X1582" s="127">
        <f>IF(tech_base!$T118&gt;X$1465,"",(tech_base!$J118/tech_proj!X242*0.086*$N$110)/(1-tech_proj!X522))</f>
        <v>0</v>
      </c>
      <c r="Y1582" s="127">
        <f>IF(tech_base!$T118&gt;Y$1465,"",(tech_base!$J118/tech_proj!Y242*0.086*$N$110)/(1-tech_proj!Y522))</f>
        <v>0</v>
      </c>
      <c r="Z1582" s="127">
        <f>IF(tech_base!$T118&gt;Z$1465,"",(tech_base!$J118/tech_proj!Z242*0.086*$N$110)/(1-tech_proj!Z522))</f>
        <v>0</v>
      </c>
      <c r="AA1582" s="127">
        <f>IF(tech_base!$T118&gt;AA$1465,"",(tech_base!$J118/tech_proj!AA242*0.086*$N$110)/(1-tech_proj!AA522))</f>
        <v>0</v>
      </c>
      <c r="AB1582" s="127">
        <f>IF(tech_base!$T118&gt;AB$1465,"",(tech_base!$J118/tech_proj!AB242*0.086*$N$110)/(1-tech_proj!AB522))</f>
        <v>0</v>
      </c>
      <c r="AC1582" s="127">
        <f>IF(tech_base!$T118&gt;AC$1465,"",(tech_base!$J118/tech_proj!AC242*0.086*$N$110)/(1-tech_proj!AC522))</f>
        <v>0</v>
      </c>
      <c r="AD1582" s="127">
        <f>IF(tech_base!$T118&gt;AD$1465,"",(tech_base!$J118/tech_proj!AD242*0.086*$N$110)/(1-tech_proj!AD522))</f>
        <v>0</v>
      </c>
      <c r="AE1582" s="127">
        <f>IF(tech_base!$T118&gt;AE$1465,"",(tech_base!$J118/tech_proj!AE242*0.086*$N$110)/(1-tech_proj!AE522))</f>
        <v>0</v>
      </c>
      <c r="AF1582" s="127">
        <f>IF(tech_base!$T118&gt;AF$1465,"",(tech_base!$J118/tech_proj!AF242*0.086*$N$110)/(1-tech_proj!AF522))</f>
        <v>0</v>
      </c>
      <c r="AG1582" s="127">
        <f>IF(tech_base!$T118&gt;AG$1465,"",(tech_base!$J118/tech_proj!AG242*0.086*$N$110)/(1-tech_proj!AG522))</f>
        <v>0</v>
      </c>
      <c r="AH1582" s="127">
        <f>IF(tech_base!$T118&gt;AH$1465,"",(tech_base!$J118/tech_proj!AH242*0.086*$N$110)/(1-tech_proj!AH522))</f>
        <v>0</v>
      </c>
      <c r="AI1582" s="127">
        <f>IF(tech_base!$T118&gt;AI$1465,"",(tech_base!$J118/tech_proj!AI242*0.086*$N$110)/(1-tech_proj!AI522))</f>
        <v>0</v>
      </c>
      <c r="AJ1582" s="127">
        <f>IF(tech_base!$T118&gt;AJ$1465,"",(tech_base!$J118/tech_proj!AJ242*0.086*$N$110)/(1-tech_proj!AJ522))</f>
        <v>0</v>
      </c>
      <c r="AK1582" s="127">
        <f>IF(tech_base!$T118&gt;AK$1465,"",(tech_base!$J118/tech_proj!AK242*0.086*$N$110)/(1-tech_proj!AK522))</f>
        <v>0</v>
      </c>
      <c r="AL1582" s="127">
        <f>IF(tech_base!$T118&gt;AL$1465,"",(tech_base!$J118/tech_proj!AL242*0.086*$N$110)/(1-tech_proj!AL522))</f>
        <v>0</v>
      </c>
      <c r="AM1582" s="127">
        <f>IF(tech_base!$T118&gt;AM$1465,"",(tech_base!$J118/tech_proj!AM242*0.086*$N$110)/(1-tech_proj!AM522))</f>
        <v>0</v>
      </c>
      <c r="AN1582" s="127">
        <f>IF(tech_base!$T118&gt;AN$1465,"",(tech_base!$J118/tech_proj!AN242*0.086*$N$110)/(1-tech_proj!AN522))</f>
        <v>0</v>
      </c>
      <c r="AO1582" s="127">
        <f>IF(tech_base!$T118&gt;AO$1465,"",(tech_base!$J118/tech_proj!AO242*0.086*$N$110)/(1-tech_proj!AO522))</f>
        <v>0</v>
      </c>
      <c r="AP1582" s="127">
        <f>IF(tech_base!$T118&gt;AP$1465,"",(tech_base!$J118/tech_proj!AP242*0.086*$N$110)/(1-tech_proj!AP522))</f>
        <v>0</v>
      </c>
      <c r="AQ1582" s="127">
        <f>IF(tech_base!$T118&gt;AQ$1465,"",(tech_base!$J118/tech_proj!AQ242*0.086*$N$110)/(1-tech_proj!AQ522))</f>
        <v>0</v>
      </c>
      <c r="AR1582" s="127">
        <f>IF(tech_base!$T118&gt;AR$1465,"",(tech_base!$J118/tech_proj!AR242*0.086*$N$110)/(1-tech_proj!AR522))</f>
        <v>0</v>
      </c>
      <c r="AS1582" s="127">
        <f>IF(tech_base!$T118&gt;AS$1465,"",(tech_base!$J118/tech_proj!AS242*0.086*$N$110)/(1-tech_proj!AS522))</f>
        <v>0</v>
      </c>
      <c r="AT1582" s="127">
        <f>IF(tech_base!$T118&gt;AT$1465,"",(tech_base!$J118/tech_proj!AT242*0.086*$N$110)/(1-tech_proj!AT522))</f>
        <v>0</v>
      </c>
      <c r="AU1582" s="127">
        <f>IF(tech_base!$T118&gt;AU$1465,"",(tech_base!$J118/tech_proj!AU242*0.086*$N$110)/(1-tech_proj!AU522))</f>
        <v>0</v>
      </c>
      <c r="AV1582" s="127">
        <f>IF(tech_base!$T118&gt;AV$1465,"",(tech_base!$J118/tech_proj!AV242*0.086*$N$110)/(1-tech_proj!AV522))</f>
        <v>0</v>
      </c>
      <c r="AW1582" s="127">
        <f>IF(tech_base!$T118&gt;AW$1465,"",(tech_base!$J118/tech_proj!AW242*0.086*$N$110)/(1-tech_proj!AW522))</f>
        <v>0</v>
      </c>
      <c r="AX1582" s="128">
        <f>IF(tech_base!$T118&gt;AX$1465,"",(tech_base!$J118/tech_proj!AX242*0.086*$N$110)/(1-tech_proj!AX522))</f>
        <v>0</v>
      </c>
    </row>
    <row r="1583" spans="1:50" x14ac:dyDescent="0.25">
      <c r="A1583" s="355" t="s">
        <v>26</v>
      </c>
      <c r="B1583" s="358" t="s">
        <v>19</v>
      </c>
      <c r="C1583" s="353" t="s">
        <v>6</v>
      </c>
      <c r="D1583" s="3" t="s">
        <v>7</v>
      </c>
      <c r="E1583" s="162" t="str">
        <f>A1583&amp;"/"&amp;B1583&amp;"/"&amp;C1583&amp;"/"&amp;D1583</f>
        <v>Derived gas fired power plants/Steam turbine/Electricity only/L</v>
      </c>
      <c r="F1583" s="77" t="str">
        <f>A1583</f>
        <v>Derived gas fired power plants</v>
      </c>
      <c r="G1583" s="77" t="str">
        <f>B1583</f>
        <v>Steam turbine</v>
      </c>
      <c r="H1583" s="77" t="str">
        <f>C1583</f>
        <v>Electricity only</v>
      </c>
      <c r="I1583" s="163" t="str">
        <f t="shared" si="378"/>
        <v>L</v>
      </c>
      <c r="J1583" s="121">
        <f>IF(tech_base!$T119&gt;J$1465,"",(tech_base!$J119/tech_proj!J243*0.086*$N$110)/(1-tech_proj!J523))</f>
        <v>0</v>
      </c>
      <c r="K1583" s="121">
        <f>IF(tech_base!$T119&gt;K$1465,"",(tech_base!$J119/tech_proj!K243*0.086*$N$110)/(1-tech_proj!K523))</f>
        <v>0</v>
      </c>
      <c r="L1583" s="121">
        <f>IF(tech_base!$T119&gt;L$1465,"",(tech_base!$J119/tech_proj!L243*0.086*$N$110)/(1-tech_proj!L523))</f>
        <v>0</v>
      </c>
      <c r="M1583" s="121">
        <f>IF(tech_base!$T119&gt;M$1465,"",(tech_base!$J119/tech_proj!M243*0.086*$N$110)/(1-tech_proj!M523))</f>
        <v>0</v>
      </c>
      <c r="N1583" s="121">
        <f>IF(tech_base!$T119&gt;N$1465,"",(tech_base!$J119/tech_proj!N243*0.086*$N$110)/(1-tech_proj!N523))</f>
        <v>0</v>
      </c>
      <c r="O1583" s="121">
        <f>IF(tech_base!$T119&gt;O$1465,"",(tech_base!$J119/tech_proj!O243*0.086*$N$110)/(1-tech_proj!O523))</f>
        <v>0</v>
      </c>
      <c r="P1583" s="121">
        <f>IF(tech_base!$T119&gt;P$1465,"",(tech_base!$J119/tech_proj!P243*0.086*$N$110)/(1-tech_proj!P523))</f>
        <v>0</v>
      </c>
      <c r="Q1583" s="121">
        <f>IF(tech_base!$T119&gt;Q$1465,"",(tech_base!$J119/tech_proj!Q243*0.086*$N$110)/(1-tech_proj!Q523))</f>
        <v>0</v>
      </c>
      <c r="R1583" s="121">
        <f>IF(tech_base!$T119&gt;R$1465,"",(tech_base!$J119/tech_proj!R243*0.086*$N$110)/(1-tech_proj!R523))</f>
        <v>0</v>
      </c>
      <c r="S1583" s="121">
        <f>IF(tech_base!$T119&gt;S$1465,"",(tech_base!$J119/tech_proj!S243*0.086*$N$110)/(1-tech_proj!S523))</f>
        <v>0</v>
      </c>
      <c r="T1583" s="121">
        <f>IF(tech_base!$T119&gt;T$1465,"",(tech_base!$J119/tech_proj!T243*0.086*$N$110)/(1-tech_proj!T523))</f>
        <v>0</v>
      </c>
      <c r="U1583" s="121">
        <f>IF(tech_base!$T119&gt;U$1465,"",(tech_base!$J119/tech_proj!U243*0.086*$N$110)/(1-tech_proj!U523))</f>
        <v>0</v>
      </c>
      <c r="V1583" s="121">
        <f>IF(tech_base!$T119&gt;V$1465,"",(tech_base!$J119/tech_proj!V243*0.086*$N$110)/(1-tech_proj!V523))</f>
        <v>0</v>
      </c>
      <c r="W1583" s="121">
        <f>IF(tech_base!$T119&gt;W$1465,"",(tech_base!$J119/tech_proj!W243*0.086*$N$110)/(1-tech_proj!W523))</f>
        <v>0</v>
      </c>
      <c r="X1583" s="121">
        <f>IF(tech_base!$T119&gt;X$1465,"",(tech_base!$J119/tech_proj!X243*0.086*$N$110)/(1-tech_proj!X523))</f>
        <v>0</v>
      </c>
      <c r="Y1583" s="121">
        <f>IF(tech_base!$T119&gt;Y$1465,"",(tech_base!$J119/tech_proj!Y243*0.086*$N$110)/(1-tech_proj!Y523))</f>
        <v>0</v>
      </c>
      <c r="Z1583" s="121">
        <f>IF(tech_base!$T119&gt;Z$1465,"",(tech_base!$J119/tech_proj!Z243*0.086*$N$110)/(1-tech_proj!Z523))</f>
        <v>0</v>
      </c>
      <c r="AA1583" s="121">
        <f>IF(tech_base!$T119&gt;AA$1465,"",(tech_base!$J119/tech_proj!AA243*0.086*$N$110)/(1-tech_proj!AA523))</f>
        <v>0</v>
      </c>
      <c r="AB1583" s="121">
        <f>IF(tech_base!$T119&gt;AB$1465,"",(tech_base!$J119/tech_proj!AB243*0.086*$N$110)/(1-tech_proj!AB523))</f>
        <v>0</v>
      </c>
      <c r="AC1583" s="121">
        <f>IF(tech_base!$T119&gt;AC$1465,"",(tech_base!$J119/tech_proj!AC243*0.086*$N$110)/(1-tech_proj!AC523))</f>
        <v>0</v>
      </c>
      <c r="AD1583" s="121">
        <f>IF(tech_base!$T119&gt;AD$1465,"",(tech_base!$J119/tech_proj!AD243*0.086*$N$110)/(1-tech_proj!AD523))</f>
        <v>0</v>
      </c>
      <c r="AE1583" s="121">
        <f>IF(tech_base!$T119&gt;AE$1465,"",(tech_base!$J119/tech_proj!AE243*0.086*$N$110)/(1-tech_proj!AE523))</f>
        <v>0</v>
      </c>
      <c r="AF1583" s="121">
        <f>IF(tech_base!$T119&gt;AF$1465,"",(tech_base!$J119/tech_proj!AF243*0.086*$N$110)/(1-tech_proj!AF523))</f>
        <v>0</v>
      </c>
      <c r="AG1583" s="121">
        <f>IF(tech_base!$T119&gt;AG$1465,"",(tech_base!$J119/tech_proj!AG243*0.086*$N$110)/(1-tech_proj!AG523))</f>
        <v>0</v>
      </c>
      <c r="AH1583" s="121">
        <f>IF(tech_base!$T119&gt;AH$1465,"",(tech_base!$J119/tech_proj!AH243*0.086*$N$110)/(1-tech_proj!AH523))</f>
        <v>0</v>
      </c>
      <c r="AI1583" s="121">
        <f>IF(tech_base!$T119&gt;AI$1465,"",(tech_base!$J119/tech_proj!AI243*0.086*$N$110)/(1-tech_proj!AI523))</f>
        <v>0</v>
      </c>
      <c r="AJ1583" s="121">
        <f>IF(tech_base!$T119&gt;AJ$1465,"",(tech_base!$J119/tech_proj!AJ243*0.086*$N$110)/(1-tech_proj!AJ523))</f>
        <v>0</v>
      </c>
      <c r="AK1583" s="121">
        <f>IF(tech_base!$T119&gt;AK$1465,"",(tech_base!$J119/tech_proj!AK243*0.086*$N$110)/(1-tech_proj!AK523))</f>
        <v>0</v>
      </c>
      <c r="AL1583" s="121">
        <f>IF(tech_base!$T119&gt;AL$1465,"",(tech_base!$J119/tech_proj!AL243*0.086*$N$110)/(1-tech_proj!AL523))</f>
        <v>0</v>
      </c>
      <c r="AM1583" s="121">
        <f>IF(tech_base!$T119&gt;AM$1465,"",(tech_base!$J119/tech_proj!AM243*0.086*$N$110)/(1-tech_proj!AM523))</f>
        <v>0</v>
      </c>
      <c r="AN1583" s="121">
        <f>IF(tech_base!$T119&gt;AN$1465,"",(tech_base!$J119/tech_proj!AN243*0.086*$N$110)/(1-tech_proj!AN523))</f>
        <v>0</v>
      </c>
      <c r="AO1583" s="121">
        <f>IF(tech_base!$T119&gt;AO$1465,"",(tech_base!$J119/tech_proj!AO243*0.086*$N$110)/(1-tech_proj!AO523))</f>
        <v>0</v>
      </c>
      <c r="AP1583" s="121">
        <f>IF(tech_base!$T119&gt;AP$1465,"",(tech_base!$J119/tech_proj!AP243*0.086*$N$110)/(1-tech_proj!AP523))</f>
        <v>0</v>
      </c>
      <c r="AQ1583" s="121">
        <f>IF(tech_base!$T119&gt;AQ$1465,"",(tech_base!$J119/tech_proj!AQ243*0.086*$N$110)/(1-tech_proj!AQ523))</f>
        <v>0</v>
      </c>
      <c r="AR1583" s="121">
        <f>IF(tech_base!$T119&gt;AR$1465,"",(tech_base!$J119/tech_proj!AR243*0.086*$N$110)/(1-tech_proj!AR523))</f>
        <v>0</v>
      </c>
      <c r="AS1583" s="121">
        <f>IF(tech_base!$T119&gt;AS$1465,"",(tech_base!$J119/tech_proj!AS243*0.086*$N$110)/(1-tech_proj!AS523))</f>
        <v>0</v>
      </c>
      <c r="AT1583" s="121">
        <f>IF(tech_base!$T119&gt;AT$1465,"",(tech_base!$J119/tech_proj!AT243*0.086*$N$110)/(1-tech_proj!AT523))</f>
        <v>0</v>
      </c>
      <c r="AU1583" s="121">
        <f>IF(tech_base!$T119&gt;AU$1465,"",(tech_base!$J119/tech_proj!AU243*0.086*$N$110)/(1-tech_proj!AU523))</f>
        <v>0</v>
      </c>
      <c r="AV1583" s="121">
        <f>IF(tech_base!$T119&gt;AV$1465,"",(tech_base!$J119/tech_proj!AV243*0.086*$N$110)/(1-tech_proj!AV523))</f>
        <v>0</v>
      </c>
      <c r="AW1583" s="121">
        <f>IF(tech_base!$T119&gt;AW$1465,"",(tech_base!$J119/tech_proj!AW243*0.086*$N$110)/(1-tech_proj!AW523))</f>
        <v>0</v>
      </c>
      <c r="AX1583" s="122">
        <f>IF(tech_base!$T119&gt;AX$1465,"",(tech_base!$J119/tech_proj!AX243*0.086*$N$110)/(1-tech_proj!AX523))</f>
        <v>0</v>
      </c>
    </row>
    <row r="1584" spans="1:50" x14ac:dyDescent="0.25">
      <c r="A1584" s="356"/>
      <c r="B1584" s="359"/>
      <c r="C1584" s="378"/>
      <c r="D1584" s="2" t="s">
        <v>8</v>
      </c>
      <c r="E1584" s="160" t="str">
        <f>A1583&amp;"/"&amp;B1583&amp;"/"&amp;C1583&amp;"/"&amp;D1584</f>
        <v>Derived gas fired power plants/Steam turbine/Electricity only/M</v>
      </c>
      <c r="F1584" s="76" t="str">
        <f>A1583</f>
        <v>Derived gas fired power plants</v>
      </c>
      <c r="G1584" s="76" t="str">
        <f>B1583</f>
        <v>Steam turbine</v>
      </c>
      <c r="H1584" s="76" t="str">
        <f>C1583</f>
        <v>Electricity only</v>
      </c>
      <c r="I1584" s="161" t="str">
        <f t="shared" si="378"/>
        <v>M</v>
      </c>
      <c r="J1584" s="119">
        <f>IF(tech_base!$T120&gt;J$1465,"",(tech_base!$J120/tech_proj!J244*0.086*$N$110)/(1-tech_proj!J524))</f>
        <v>0</v>
      </c>
      <c r="K1584" s="119">
        <f>IF(tech_base!$T120&gt;K$1465,"",(tech_base!$J120/tech_proj!K244*0.086*$N$110)/(1-tech_proj!K524))</f>
        <v>0</v>
      </c>
      <c r="L1584" s="119">
        <f>IF(tech_base!$T120&gt;L$1465,"",(tech_base!$J120/tech_proj!L244*0.086*$N$110)/(1-tech_proj!L524))</f>
        <v>0</v>
      </c>
      <c r="M1584" s="119">
        <f>IF(tech_base!$T120&gt;M$1465,"",(tech_base!$J120/tech_proj!M244*0.086*$N$110)/(1-tech_proj!M524))</f>
        <v>0</v>
      </c>
      <c r="N1584" s="119">
        <f>IF(tech_base!$T120&gt;N$1465,"",(tech_base!$J120/tech_proj!N244*0.086*$N$110)/(1-tech_proj!N524))</f>
        <v>0</v>
      </c>
      <c r="O1584" s="119">
        <f>IF(tech_base!$T120&gt;O$1465,"",(tech_base!$J120/tech_proj!O244*0.086*$N$110)/(1-tech_proj!O524))</f>
        <v>0</v>
      </c>
      <c r="P1584" s="119">
        <f>IF(tech_base!$T120&gt;P$1465,"",(tech_base!$J120/tech_proj!P244*0.086*$N$110)/(1-tech_proj!P524))</f>
        <v>0</v>
      </c>
      <c r="Q1584" s="119">
        <f>IF(tech_base!$T120&gt;Q$1465,"",(tech_base!$J120/tech_proj!Q244*0.086*$N$110)/(1-tech_proj!Q524))</f>
        <v>0</v>
      </c>
      <c r="R1584" s="119">
        <f>IF(tech_base!$T120&gt;R$1465,"",(tech_base!$J120/tech_proj!R244*0.086*$N$110)/(1-tech_proj!R524))</f>
        <v>0</v>
      </c>
      <c r="S1584" s="119">
        <f>IF(tech_base!$T120&gt;S$1465,"",(tech_base!$J120/tech_proj!S244*0.086*$N$110)/(1-tech_proj!S524))</f>
        <v>0</v>
      </c>
      <c r="T1584" s="119">
        <f>IF(tech_base!$T120&gt;T$1465,"",(tech_base!$J120/tech_proj!T244*0.086*$N$110)/(1-tech_proj!T524))</f>
        <v>0</v>
      </c>
      <c r="U1584" s="119">
        <f>IF(tech_base!$T120&gt;U$1465,"",(tech_base!$J120/tech_proj!U244*0.086*$N$110)/(1-tech_proj!U524))</f>
        <v>0</v>
      </c>
      <c r="V1584" s="119">
        <f>IF(tech_base!$T120&gt;V$1465,"",(tech_base!$J120/tech_proj!V244*0.086*$N$110)/(1-tech_proj!V524))</f>
        <v>0</v>
      </c>
      <c r="W1584" s="119">
        <f>IF(tech_base!$T120&gt;W$1465,"",(tech_base!$J120/tech_proj!W244*0.086*$N$110)/(1-tech_proj!W524))</f>
        <v>0</v>
      </c>
      <c r="X1584" s="119">
        <f>IF(tech_base!$T120&gt;X$1465,"",(tech_base!$J120/tech_proj!X244*0.086*$N$110)/(1-tech_proj!X524))</f>
        <v>0</v>
      </c>
      <c r="Y1584" s="119">
        <f>IF(tech_base!$T120&gt;Y$1465,"",(tech_base!$J120/tech_proj!Y244*0.086*$N$110)/(1-tech_proj!Y524))</f>
        <v>0</v>
      </c>
      <c r="Z1584" s="119">
        <f>IF(tech_base!$T120&gt;Z$1465,"",(tech_base!$J120/tech_proj!Z244*0.086*$N$110)/(1-tech_proj!Z524))</f>
        <v>0</v>
      </c>
      <c r="AA1584" s="119">
        <f>IF(tech_base!$T120&gt;AA$1465,"",(tech_base!$J120/tech_proj!AA244*0.086*$N$110)/(1-tech_proj!AA524))</f>
        <v>0</v>
      </c>
      <c r="AB1584" s="119">
        <f>IF(tech_base!$T120&gt;AB$1465,"",(tech_base!$J120/tech_proj!AB244*0.086*$N$110)/(1-tech_proj!AB524))</f>
        <v>0</v>
      </c>
      <c r="AC1584" s="119">
        <f>IF(tech_base!$T120&gt;AC$1465,"",(tech_base!$J120/tech_proj!AC244*0.086*$N$110)/(1-tech_proj!AC524))</f>
        <v>0</v>
      </c>
      <c r="AD1584" s="119">
        <f>IF(tech_base!$T120&gt;AD$1465,"",(tech_base!$J120/tech_proj!AD244*0.086*$N$110)/(1-tech_proj!AD524))</f>
        <v>0</v>
      </c>
      <c r="AE1584" s="119">
        <f>IF(tech_base!$T120&gt;AE$1465,"",(tech_base!$J120/tech_proj!AE244*0.086*$N$110)/(1-tech_proj!AE524))</f>
        <v>0</v>
      </c>
      <c r="AF1584" s="119">
        <f>IF(tech_base!$T120&gt;AF$1465,"",(tech_base!$J120/tech_proj!AF244*0.086*$N$110)/(1-tech_proj!AF524))</f>
        <v>0</v>
      </c>
      <c r="AG1584" s="119">
        <f>IF(tech_base!$T120&gt;AG$1465,"",(tech_base!$J120/tech_proj!AG244*0.086*$N$110)/(1-tech_proj!AG524))</f>
        <v>0</v>
      </c>
      <c r="AH1584" s="119">
        <f>IF(tech_base!$T120&gt;AH$1465,"",(tech_base!$J120/tech_proj!AH244*0.086*$N$110)/(1-tech_proj!AH524))</f>
        <v>0</v>
      </c>
      <c r="AI1584" s="119">
        <f>IF(tech_base!$T120&gt;AI$1465,"",(tech_base!$J120/tech_proj!AI244*0.086*$N$110)/(1-tech_proj!AI524))</f>
        <v>0</v>
      </c>
      <c r="AJ1584" s="119">
        <f>IF(tech_base!$T120&gt;AJ$1465,"",(tech_base!$J120/tech_proj!AJ244*0.086*$N$110)/(1-tech_proj!AJ524))</f>
        <v>0</v>
      </c>
      <c r="AK1584" s="119">
        <f>IF(tech_base!$T120&gt;AK$1465,"",(tech_base!$J120/tech_proj!AK244*0.086*$N$110)/(1-tech_proj!AK524))</f>
        <v>0</v>
      </c>
      <c r="AL1584" s="119">
        <f>IF(tech_base!$T120&gt;AL$1465,"",(tech_base!$J120/tech_proj!AL244*0.086*$N$110)/(1-tech_proj!AL524))</f>
        <v>0</v>
      </c>
      <c r="AM1584" s="119">
        <f>IF(tech_base!$T120&gt;AM$1465,"",(tech_base!$J120/tech_proj!AM244*0.086*$N$110)/(1-tech_proj!AM524))</f>
        <v>0</v>
      </c>
      <c r="AN1584" s="119">
        <f>IF(tech_base!$T120&gt;AN$1465,"",(tech_base!$J120/tech_proj!AN244*0.086*$N$110)/(1-tech_proj!AN524))</f>
        <v>0</v>
      </c>
      <c r="AO1584" s="119">
        <f>IF(tech_base!$T120&gt;AO$1465,"",(tech_base!$J120/tech_proj!AO244*0.086*$N$110)/(1-tech_proj!AO524))</f>
        <v>0</v>
      </c>
      <c r="AP1584" s="119">
        <f>IF(tech_base!$T120&gt;AP$1465,"",(tech_base!$J120/tech_proj!AP244*0.086*$N$110)/(1-tech_proj!AP524))</f>
        <v>0</v>
      </c>
      <c r="AQ1584" s="119">
        <f>IF(tech_base!$T120&gt;AQ$1465,"",(tech_base!$J120/tech_proj!AQ244*0.086*$N$110)/(1-tech_proj!AQ524))</f>
        <v>0</v>
      </c>
      <c r="AR1584" s="119">
        <f>IF(tech_base!$T120&gt;AR$1465,"",(tech_base!$J120/tech_proj!AR244*0.086*$N$110)/(1-tech_proj!AR524))</f>
        <v>0</v>
      </c>
      <c r="AS1584" s="119">
        <f>IF(tech_base!$T120&gt;AS$1465,"",(tech_base!$J120/tech_proj!AS244*0.086*$N$110)/(1-tech_proj!AS524))</f>
        <v>0</v>
      </c>
      <c r="AT1584" s="119">
        <f>IF(tech_base!$T120&gt;AT$1465,"",(tech_base!$J120/tech_proj!AT244*0.086*$N$110)/(1-tech_proj!AT524))</f>
        <v>0</v>
      </c>
      <c r="AU1584" s="119">
        <f>IF(tech_base!$T120&gt;AU$1465,"",(tech_base!$J120/tech_proj!AU244*0.086*$N$110)/(1-tech_proj!AU524))</f>
        <v>0</v>
      </c>
      <c r="AV1584" s="119">
        <f>IF(tech_base!$T120&gt;AV$1465,"",(tech_base!$J120/tech_proj!AV244*0.086*$N$110)/(1-tech_proj!AV524))</f>
        <v>0</v>
      </c>
      <c r="AW1584" s="119">
        <f>IF(tech_base!$T120&gt;AW$1465,"",(tech_base!$J120/tech_proj!AW244*0.086*$N$110)/(1-tech_proj!AW524))</f>
        <v>0</v>
      </c>
      <c r="AX1584" s="120">
        <f>IF(tech_base!$T120&gt;AX$1465,"",(tech_base!$J120/tech_proj!AX244*0.086*$N$110)/(1-tech_proj!AX524))</f>
        <v>0</v>
      </c>
    </row>
    <row r="1585" spans="1:50" x14ac:dyDescent="0.25">
      <c r="A1585" s="356"/>
      <c r="B1585" s="359"/>
      <c r="C1585" s="378"/>
      <c r="D1585" s="2" t="s">
        <v>10</v>
      </c>
      <c r="E1585" s="160" t="str">
        <f>A1583&amp;"/"&amp;B1583&amp;"/"&amp;C1583&amp;"/"&amp;D1585</f>
        <v>Derived gas fired power plants/Steam turbine/Electricity only/S</v>
      </c>
      <c r="F1585" s="76" t="str">
        <f>A1583</f>
        <v>Derived gas fired power plants</v>
      </c>
      <c r="G1585" s="76" t="str">
        <f>B1583</f>
        <v>Steam turbine</v>
      </c>
      <c r="H1585" s="76" t="str">
        <f>C1583</f>
        <v>Electricity only</v>
      </c>
      <c r="I1585" s="161" t="str">
        <f t="shared" si="378"/>
        <v>S</v>
      </c>
      <c r="J1585" s="119">
        <f>IF(tech_base!$T121&gt;J$1465,"",(tech_base!$J121/tech_proj!J245*0.086*$N$110)/(1-tech_proj!J525))</f>
        <v>0</v>
      </c>
      <c r="K1585" s="119">
        <f>IF(tech_base!$T121&gt;K$1465,"",(tech_base!$J121/tech_proj!K245*0.086*$N$110)/(1-tech_proj!K525))</f>
        <v>0</v>
      </c>
      <c r="L1585" s="119">
        <f>IF(tech_base!$T121&gt;L$1465,"",(tech_base!$J121/tech_proj!L245*0.086*$N$110)/(1-tech_proj!L525))</f>
        <v>0</v>
      </c>
      <c r="M1585" s="119">
        <f>IF(tech_base!$T121&gt;M$1465,"",(tech_base!$J121/tech_proj!M245*0.086*$N$110)/(1-tech_proj!M525))</f>
        <v>0</v>
      </c>
      <c r="N1585" s="119">
        <f>IF(tech_base!$T121&gt;N$1465,"",(tech_base!$J121/tech_proj!N245*0.086*$N$110)/(1-tech_proj!N525))</f>
        <v>0</v>
      </c>
      <c r="O1585" s="119">
        <f>IF(tech_base!$T121&gt;O$1465,"",(tech_base!$J121/tech_proj!O245*0.086*$N$110)/(1-tech_proj!O525))</f>
        <v>0</v>
      </c>
      <c r="P1585" s="119">
        <f>IF(tech_base!$T121&gt;P$1465,"",(tech_base!$J121/tech_proj!P245*0.086*$N$110)/(1-tech_proj!P525))</f>
        <v>0</v>
      </c>
      <c r="Q1585" s="119">
        <f>IF(tech_base!$T121&gt;Q$1465,"",(tech_base!$J121/tech_proj!Q245*0.086*$N$110)/(1-tech_proj!Q525))</f>
        <v>0</v>
      </c>
      <c r="R1585" s="119">
        <f>IF(tech_base!$T121&gt;R$1465,"",(tech_base!$J121/tech_proj!R245*0.086*$N$110)/(1-tech_proj!R525))</f>
        <v>0</v>
      </c>
      <c r="S1585" s="119">
        <f>IF(tech_base!$T121&gt;S$1465,"",(tech_base!$J121/tech_proj!S245*0.086*$N$110)/(1-tech_proj!S525))</f>
        <v>0</v>
      </c>
      <c r="T1585" s="119">
        <f>IF(tech_base!$T121&gt;T$1465,"",(tech_base!$J121/tech_proj!T245*0.086*$N$110)/(1-tech_proj!T525))</f>
        <v>0</v>
      </c>
      <c r="U1585" s="119">
        <f>IF(tech_base!$T121&gt;U$1465,"",(tech_base!$J121/tech_proj!U245*0.086*$N$110)/(1-tech_proj!U525))</f>
        <v>0</v>
      </c>
      <c r="V1585" s="119">
        <f>IF(tech_base!$T121&gt;V$1465,"",(tech_base!$J121/tech_proj!V245*0.086*$N$110)/(1-tech_proj!V525))</f>
        <v>0</v>
      </c>
      <c r="W1585" s="119">
        <f>IF(tech_base!$T121&gt;W$1465,"",(tech_base!$J121/tech_proj!W245*0.086*$N$110)/(1-tech_proj!W525))</f>
        <v>0</v>
      </c>
      <c r="X1585" s="119">
        <f>IF(tech_base!$T121&gt;X$1465,"",(tech_base!$J121/tech_proj!X245*0.086*$N$110)/(1-tech_proj!X525))</f>
        <v>0</v>
      </c>
      <c r="Y1585" s="119">
        <f>IF(tech_base!$T121&gt;Y$1465,"",(tech_base!$J121/tech_proj!Y245*0.086*$N$110)/(1-tech_proj!Y525))</f>
        <v>0</v>
      </c>
      <c r="Z1585" s="119">
        <f>IF(tech_base!$T121&gt;Z$1465,"",(tech_base!$J121/tech_proj!Z245*0.086*$N$110)/(1-tech_proj!Z525))</f>
        <v>0</v>
      </c>
      <c r="AA1585" s="119">
        <f>IF(tech_base!$T121&gt;AA$1465,"",(tech_base!$J121/tech_proj!AA245*0.086*$N$110)/(1-tech_proj!AA525))</f>
        <v>0</v>
      </c>
      <c r="AB1585" s="119">
        <f>IF(tech_base!$T121&gt;AB$1465,"",(tech_base!$J121/tech_proj!AB245*0.086*$N$110)/(1-tech_proj!AB525))</f>
        <v>0</v>
      </c>
      <c r="AC1585" s="119">
        <f>IF(tech_base!$T121&gt;AC$1465,"",(tech_base!$J121/tech_proj!AC245*0.086*$N$110)/(1-tech_proj!AC525))</f>
        <v>0</v>
      </c>
      <c r="AD1585" s="119">
        <f>IF(tech_base!$T121&gt;AD$1465,"",(tech_base!$J121/tech_proj!AD245*0.086*$N$110)/(1-tech_proj!AD525))</f>
        <v>0</v>
      </c>
      <c r="AE1585" s="119">
        <f>IF(tech_base!$T121&gt;AE$1465,"",(tech_base!$J121/tech_proj!AE245*0.086*$N$110)/(1-tech_proj!AE525))</f>
        <v>0</v>
      </c>
      <c r="AF1585" s="119">
        <f>IF(tech_base!$T121&gt;AF$1465,"",(tech_base!$J121/tech_proj!AF245*0.086*$N$110)/(1-tech_proj!AF525))</f>
        <v>0</v>
      </c>
      <c r="AG1585" s="119">
        <f>IF(tech_base!$T121&gt;AG$1465,"",(tech_base!$J121/tech_proj!AG245*0.086*$N$110)/(1-tech_proj!AG525))</f>
        <v>0</v>
      </c>
      <c r="AH1585" s="119">
        <f>IF(tech_base!$T121&gt;AH$1465,"",(tech_base!$J121/tech_proj!AH245*0.086*$N$110)/(1-tech_proj!AH525))</f>
        <v>0</v>
      </c>
      <c r="AI1585" s="119">
        <f>IF(tech_base!$T121&gt;AI$1465,"",(tech_base!$J121/tech_proj!AI245*0.086*$N$110)/(1-tech_proj!AI525))</f>
        <v>0</v>
      </c>
      <c r="AJ1585" s="119">
        <f>IF(tech_base!$T121&gt;AJ$1465,"",(tech_base!$J121/tech_proj!AJ245*0.086*$N$110)/(1-tech_proj!AJ525))</f>
        <v>0</v>
      </c>
      <c r="AK1585" s="119">
        <f>IF(tech_base!$T121&gt;AK$1465,"",(tech_base!$J121/tech_proj!AK245*0.086*$N$110)/(1-tech_proj!AK525))</f>
        <v>0</v>
      </c>
      <c r="AL1585" s="119">
        <f>IF(tech_base!$T121&gt;AL$1465,"",(tech_base!$J121/tech_proj!AL245*0.086*$N$110)/(1-tech_proj!AL525))</f>
        <v>0</v>
      </c>
      <c r="AM1585" s="119">
        <f>IF(tech_base!$T121&gt;AM$1465,"",(tech_base!$J121/tech_proj!AM245*0.086*$N$110)/(1-tech_proj!AM525))</f>
        <v>0</v>
      </c>
      <c r="AN1585" s="119">
        <f>IF(tech_base!$T121&gt;AN$1465,"",(tech_base!$J121/tech_proj!AN245*0.086*$N$110)/(1-tech_proj!AN525))</f>
        <v>0</v>
      </c>
      <c r="AO1585" s="119">
        <f>IF(tech_base!$T121&gt;AO$1465,"",(tech_base!$J121/tech_proj!AO245*0.086*$N$110)/(1-tech_proj!AO525))</f>
        <v>0</v>
      </c>
      <c r="AP1585" s="119">
        <f>IF(tech_base!$T121&gt;AP$1465,"",(tech_base!$J121/tech_proj!AP245*0.086*$N$110)/(1-tech_proj!AP525))</f>
        <v>0</v>
      </c>
      <c r="AQ1585" s="119">
        <f>IF(tech_base!$T121&gt;AQ$1465,"",(tech_base!$J121/tech_proj!AQ245*0.086*$N$110)/(1-tech_proj!AQ525))</f>
        <v>0</v>
      </c>
      <c r="AR1585" s="119">
        <f>IF(tech_base!$T121&gt;AR$1465,"",(tech_base!$J121/tech_proj!AR245*0.086*$N$110)/(1-tech_proj!AR525))</f>
        <v>0</v>
      </c>
      <c r="AS1585" s="119">
        <f>IF(tech_base!$T121&gt;AS$1465,"",(tech_base!$J121/tech_proj!AS245*0.086*$N$110)/(1-tech_proj!AS525))</f>
        <v>0</v>
      </c>
      <c r="AT1585" s="119">
        <f>IF(tech_base!$T121&gt;AT$1465,"",(tech_base!$J121/tech_proj!AT245*0.086*$N$110)/(1-tech_proj!AT525))</f>
        <v>0</v>
      </c>
      <c r="AU1585" s="119">
        <f>IF(tech_base!$T121&gt;AU$1465,"",(tech_base!$J121/tech_proj!AU245*0.086*$N$110)/(1-tech_proj!AU525))</f>
        <v>0</v>
      </c>
      <c r="AV1585" s="119">
        <f>IF(tech_base!$T121&gt;AV$1465,"",(tech_base!$J121/tech_proj!AV245*0.086*$N$110)/(1-tech_proj!AV525))</f>
        <v>0</v>
      </c>
      <c r="AW1585" s="119">
        <f>IF(tech_base!$T121&gt;AW$1465,"",(tech_base!$J121/tech_proj!AW245*0.086*$N$110)/(1-tech_proj!AW525))</f>
        <v>0</v>
      </c>
      <c r="AX1585" s="120">
        <f>IF(tech_base!$T121&gt;AX$1465,"",(tech_base!$J121/tech_proj!AX245*0.086*$N$110)/(1-tech_proj!AX525))</f>
        <v>0</v>
      </c>
    </row>
    <row r="1586" spans="1:50" x14ac:dyDescent="0.25">
      <c r="A1586" s="356"/>
      <c r="B1586" s="359"/>
      <c r="C1586" s="379"/>
      <c r="D1586" s="2" t="s">
        <v>20</v>
      </c>
      <c r="E1586" s="160" t="str">
        <f>A1583&amp;"/"&amp;B1583&amp;"/"&amp;C1583&amp;"/"&amp;D1586</f>
        <v>Derived gas fired power plants/Steam turbine/Electricity only/XS</v>
      </c>
      <c r="F1586" s="76" t="str">
        <f>A1583</f>
        <v>Derived gas fired power plants</v>
      </c>
      <c r="G1586" s="76" t="str">
        <f>B1583</f>
        <v>Steam turbine</v>
      </c>
      <c r="H1586" s="76" t="str">
        <f>C1583</f>
        <v>Electricity only</v>
      </c>
      <c r="I1586" s="161" t="str">
        <f t="shared" si="378"/>
        <v>XS</v>
      </c>
      <c r="J1586" s="119">
        <f>IF(tech_base!$T122&gt;J$1465,"",(tech_base!$J122/tech_proj!J246*0.086*$N$110)/(1-tech_proj!J526))</f>
        <v>0</v>
      </c>
      <c r="K1586" s="119">
        <f>IF(tech_base!$T122&gt;K$1465,"",(tech_base!$J122/tech_proj!K246*0.086*$N$110)/(1-tech_proj!K526))</f>
        <v>0</v>
      </c>
      <c r="L1586" s="119">
        <f>IF(tech_base!$T122&gt;L$1465,"",(tech_base!$J122/tech_proj!L246*0.086*$N$110)/(1-tech_proj!L526))</f>
        <v>0</v>
      </c>
      <c r="M1586" s="119">
        <f>IF(tech_base!$T122&gt;M$1465,"",(tech_base!$J122/tech_proj!M246*0.086*$N$110)/(1-tech_proj!M526))</f>
        <v>0</v>
      </c>
      <c r="N1586" s="119">
        <f>IF(tech_base!$T122&gt;N$1465,"",(tech_base!$J122/tech_proj!N246*0.086*$N$110)/(1-tech_proj!N526))</f>
        <v>0</v>
      </c>
      <c r="O1586" s="119">
        <f>IF(tech_base!$T122&gt;O$1465,"",(tech_base!$J122/tech_proj!O246*0.086*$N$110)/(1-tech_proj!O526))</f>
        <v>0</v>
      </c>
      <c r="P1586" s="119">
        <f>IF(tech_base!$T122&gt;P$1465,"",(tech_base!$J122/tech_proj!P246*0.086*$N$110)/(1-tech_proj!P526))</f>
        <v>0</v>
      </c>
      <c r="Q1586" s="119">
        <f>IF(tech_base!$T122&gt;Q$1465,"",(tech_base!$J122/tech_proj!Q246*0.086*$N$110)/(1-tech_proj!Q526))</f>
        <v>0</v>
      </c>
      <c r="R1586" s="119">
        <f>IF(tech_base!$T122&gt;R$1465,"",(tech_base!$J122/tech_proj!R246*0.086*$N$110)/(1-tech_proj!R526))</f>
        <v>0</v>
      </c>
      <c r="S1586" s="119">
        <f>IF(tech_base!$T122&gt;S$1465,"",(tech_base!$J122/tech_proj!S246*0.086*$N$110)/(1-tech_proj!S526))</f>
        <v>0</v>
      </c>
      <c r="T1586" s="119">
        <f>IF(tech_base!$T122&gt;T$1465,"",(tech_base!$J122/tech_proj!T246*0.086*$N$110)/(1-tech_proj!T526))</f>
        <v>0</v>
      </c>
      <c r="U1586" s="119">
        <f>IF(tech_base!$T122&gt;U$1465,"",(tech_base!$J122/tech_proj!U246*0.086*$N$110)/(1-tech_proj!U526))</f>
        <v>0</v>
      </c>
      <c r="V1586" s="119">
        <f>IF(tech_base!$T122&gt;V$1465,"",(tech_base!$J122/tech_proj!V246*0.086*$N$110)/(1-tech_proj!V526))</f>
        <v>0</v>
      </c>
      <c r="W1586" s="119">
        <f>IF(tech_base!$T122&gt;W$1465,"",(tech_base!$J122/tech_proj!W246*0.086*$N$110)/(1-tech_proj!W526))</f>
        <v>0</v>
      </c>
      <c r="X1586" s="119">
        <f>IF(tech_base!$T122&gt;X$1465,"",(tech_base!$J122/tech_proj!X246*0.086*$N$110)/(1-tech_proj!X526))</f>
        <v>0</v>
      </c>
      <c r="Y1586" s="119">
        <f>IF(tech_base!$T122&gt;Y$1465,"",(tech_base!$J122/tech_proj!Y246*0.086*$N$110)/(1-tech_proj!Y526))</f>
        <v>0</v>
      </c>
      <c r="Z1586" s="119">
        <f>IF(tech_base!$T122&gt;Z$1465,"",(tech_base!$J122/tech_proj!Z246*0.086*$N$110)/(1-tech_proj!Z526))</f>
        <v>0</v>
      </c>
      <c r="AA1586" s="119">
        <f>IF(tech_base!$T122&gt;AA$1465,"",(tech_base!$J122/tech_proj!AA246*0.086*$N$110)/(1-tech_proj!AA526))</f>
        <v>0</v>
      </c>
      <c r="AB1586" s="119">
        <f>IF(tech_base!$T122&gt;AB$1465,"",(tech_base!$J122/tech_proj!AB246*0.086*$N$110)/(1-tech_proj!AB526))</f>
        <v>0</v>
      </c>
      <c r="AC1586" s="119">
        <f>IF(tech_base!$T122&gt;AC$1465,"",(tech_base!$J122/tech_proj!AC246*0.086*$N$110)/(1-tech_proj!AC526))</f>
        <v>0</v>
      </c>
      <c r="AD1586" s="119">
        <f>IF(tech_base!$T122&gt;AD$1465,"",(tech_base!$J122/tech_proj!AD246*0.086*$N$110)/(1-tech_proj!AD526))</f>
        <v>0</v>
      </c>
      <c r="AE1586" s="119">
        <f>IF(tech_base!$T122&gt;AE$1465,"",(tech_base!$J122/tech_proj!AE246*0.086*$N$110)/(1-tech_proj!AE526))</f>
        <v>0</v>
      </c>
      <c r="AF1586" s="119">
        <f>IF(tech_base!$T122&gt;AF$1465,"",(tech_base!$J122/tech_proj!AF246*0.086*$N$110)/(1-tech_proj!AF526))</f>
        <v>0</v>
      </c>
      <c r="AG1586" s="119">
        <f>IF(tech_base!$T122&gt;AG$1465,"",(tech_base!$J122/tech_proj!AG246*0.086*$N$110)/(1-tech_proj!AG526))</f>
        <v>0</v>
      </c>
      <c r="AH1586" s="119">
        <f>IF(tech_base!$T122&gt;AH$1465,"",(tech_base!$J122/tech_proj!AH246*0.086*$N$110)/(1-tech_proj!AH526))</f>
        <v>0</v>
      </c>
      <c r="AI1586" s="119">
        <f>IF(tech_base!$T122&gt;AI$1465,"",(tech_base!$J122/tech_proj!AI246*0.086*$N$110)/(1-tech_proj!AI526))</f>
        <v>0</v>
      </c>
      <c r="AJ1586" s="119">
        <f>IF(tech_base!$T122&gt;AJ$1465,"",(tech_base!$J122/tech_proj!AJ246*0.086*$N$110)/(1-tech_proj!AJ526))</f>
        <v>0</v>
      </c>
      <c r="AK1586" s="119">
        <f>IF(tech_base!$T122&gt;AK$1465,"",(tech_base!$J122/tech_proj!AK246*0.086*$N$110)/(1-tech_proj!AK526))</f>
        <v>0</v>
      </c>
      <c r="AL1586" s="119">
        <f>IF(tech_base!$T122&gt;AL$1465,"",(tech_base!$J122/tech_proj!AL246*0.086*$N$110)/(1-tech_proj!AL526))</f>
        <v>0</v>
      </c>
      <c r="AM1586" s="119">
        <f>IF(tech_base!$T122&gt;AM$1465,"",(tech_base!$J122/tech_proj!AM246*0.086*$N$110)/(1-tech_proj!AM526))</f>
        <v>0</v>
      </c>
      <c r="AN1586" s="119">
        <f>IF(tech_base!$T122&gt;AN$1465,"",(tech_base!$J122/tech_proj!AN246*0.086*$N$110)/(1-tech_proj!AN526))</f>
        <v>0</v>
      </c>
      <c r="AO1586" s="119">
        <f>IF(tech_base!$T122&gt;AO$1465,"",(tech_base!$J122/tech_proj!AO246*0.086*$N$110)/(1-tech_proj!AO526))</f>
        <v>0</v>
      </c>
      <c r="AP1586" s="119">
        <f>IF(tech_base!$T122&gt;AP$1465,"",(tech_base!$J122/tech_proj!AP246*0.086*$N$110)/(1-tech_proj!AP526))</f>
        <v>0</v>
      </c>
      <c r="AQ1586" s="119">
        <f>IF(tech_base!$T122&gt;AQ$1465,"",(tech_base!$J122/tech_proj!AQ246*0.086*$N$110)/(1-tech_proj!AQ526))</f>
        <v>0</v>
      </c>
      <c r="AR1586" s="119">
        <f>IF(tech_base!$T122&gt;AR$1465,"",(tech_base!$J122/tech_proj!AR246*0.086*$N$110)/(1-tech_proj!AR526))</f>
        <v>0</v>
      </c>
      <c r="AS1586" s="119">
        <f>IF(tech_base!$T122&gt;AS$1465,"",(tech_base!$J122/tech_proj!AS246*0.086*$N$110)/(1-tech_proj!AS526))</f>
        <v>0</v>
      </c>
      <c r="AT1586" s="119">
        <f>IF(tech_base!$T122&gt;AT$1465,"",(tech_base!$J122/tech_proj!AT246*0.086*$N$110)/(1-tech_proj!AT526))</f>
        <v>0</v>
      </c>
      <c r="AU1586" s="119">
        <f>IF(tech_base!$T122&gt;AU$1465,"",(tech_base!$J122/tech_proj!AU246*0.086*$N$110)/(1-tech_proj!AU526))</f>
        <v>0</v>
      </c>
      <c r="AV1586" s="119">
        <f>IF(tech_base!$T122&gt;AV$1465,"",(tech_base!$J122/tech_proj!AV246*0.086*$N$110)/(1-tech_proj!AV526))</f>
        <v>0</v>
      </c>
      <c r="AW1586" s="119">
        <f>IF(tech_base!$T122&gt;AW$1465,"",(tech_base!$J122/tech_proj!AW246*0.086*$N$110)/(1-tech_proj!AW526))</f>
        <v>0</v>
      </c>
      <c r="AX1586" s="120">
        <f>IF(tech_base!$T122&gt;AX$1465,"",(tech_base!$J122/tech_proj!AX246*0.086*$N$110)/(1-tech_proj!AX526))</f>
        <v>0</v>
      </c>
    </row>
    <row r="1587" spans="1:50" x14ac:dyDescent="0.25">
      <c r="A1587" s="356"/>
      <c r="B1587" s="359"/>
      <c r="C1587" s="361" t="s">
        <v>14</v>
      </c>
      <c r="D1587" s="58" t="s">
        <v>7</v>
      </c>
      <c r="E1587" s="164" t="str">
        <f>A1583&amp;"/"&amp;B1583&amp;"/"&amp;C1587&amp;"/"&amp;D1587</f>
        <v>Derived gas fired power plants/Steam turbine/CHP/L</v>
      </c>
      <c r="F1587" s="78" t="str">
        <f>A1583</f>
        <v>Derived gas fired power plants</v>
      </c>
      <c r="G1587" s="78" t="str">
        <f>B1583</f>
        <v>Steam turbine</v>
      </c>
      <c r="H1587" s="78" t="str">
        <f>C1587</f>
        <v>CHP</v>
      </c>
      <c r="I1587" s="165" t="str">
        <f t="shared" si="378"/>
        <v>L</v>
      </c>
      <c r="J1587" s="123">
        <f>IF(tech_base!$T123&gt;J$1465,"",(tech_base!$J123/tech_proj!J247*0.086*$N$110)/(1-tech_proj!J527))</f>
        <v>0</v>
      </c>
      <c r="K1587" s="123">
        <f>IF(tech_base!$T123&gt;K$1465,"",(tech_base!$J123/tech_proj!K247*0.086*$N$110)/(1-tech_proj!K527))</f>
        <v>0</v>
      </c>
      <c r="L1587" s="123">
        <f>IF(tech_base!$T123&gt;L$1465,"",(tech_base!$J123/tech_proj!L247*0.086*$N$110)/(1-tech_proj!L527))</f>
        <v>0</v>
      </c>
      <c r="M1587" s="123">
        <f>IF(tech_base!$T123&gt;M$1465,"",(tech_base!$J123/tech_proj!M247*0.086*$N$110)/(1-tech_proj!M527))</f>
        <v>0</v>
      </c>
      <c r="N1587" s="123">
        <f>IF(tech_base!$T123&gt;N$1465,"",(tech_base!$J123/tech_proj!N247*0.086*$N$110)/(1-tech_proj!N527))</f>
        <v>0</v>
      </c>
      <c r="O1587" s="123">
        <f>IF(tech_base!$T123&gt;O$1465,"",(tech_base!$J123/tech_proj!O247*0.086*$N$110)/(1-tech_proj!O527))</f>
        <v>0</v>
      </c>
      <c r="P1587" s="123">
        <f>IF(tech_base!$T123&gt;P$1465,"",(tech_base!$J123/tech_proj!P247*0.086*$N$110)/(1-tech_proj!P527))</f>
        <v>0</v>
      </c>
      <c r="Q1587" s="123">
        <f>IF(tech_base!$T123&gt;Q$1465,"",(tech_base!$J123/tech_proj!Q247*0.086*$N$110)/(1-tech_proj!Q527))</f>
        <v>0</v>
      </c>
      <c r="R1587" s="123">
        <f>IF(tech_base!$T123&gt;R$1465,"",(tech_base!$J123/tech_proj!R247*0.086*$N$110)/(1-tech_proj!R527))</f>
        <v>0</v>
      </c>
      <c r="S1587" s="123">
        <f>IF(tech_base!$T123&gt;S$1465,"",(tech_base!$J123/tech_proj!S247*0.086*$N$110)/(1-tech_proj!S527))</f>
        <v>0</v>
      </c>
      <c r="T1587" s="123">
        <f>IF(tech_base!$T123&gt;T$1465,"",(tech_base!$J123/tech_proj!T247*0.086*$N$110)/(1-tech_proj!T527))</f>
        <v>0</v>
      </c>
      <c r="U1587" s="123">
        <f>IF(tech_base!$T123&gt;U$1465,"",(tech_base!$J123/tech_proj!U247*0.086*$N$110)/(1-tech_proj!U527))</f>
        <v>0</v>
      </c>
      <c r="V1587" s="123">
        <f>IF(tech_base!$T123&gt;V$1465,"",(tech_base!$J123/tech_proj!V247*0.086*$N$110)/(1-tech_proj!V527))</f>
        <v>0</v>
      </c>
      <c r="W1587" s="123">
        <f>IF(tech_base!$T123&gt;W$1465,"",(tech_base!$J123/tech_proj!W247*0.086*$N$110)/(1-tech_proj!W527))</f>
        <v>0</v>
      </c>
      <c r="X1587" s="123">
        <f>IF(tech_base!$T123&gt;X$1465,"",(tech_base!$J123/tech_proj!X247*0.086*$N$110)/(1-tech_proj!X527))</f>
        <v>0</v>
      </c>
      <c r="Y1587" s="123">
        <f>IF(tech_base!$T123&gt;Y$1465,"",(tech_base!$J123/tech_proj!Y247*0.086*$N$110)/(1-tech_proj!Y527))</f>
        <v>0</v>
      </c>
      <c r="Z1587" s="123">
        <f>IF(tech_base!$T123&gt;Z$1465,"",(tech_base!$J123/tech_proj!Z247*0.086*$N$110)/(1-tech_proj!Z527))</f>
        <v>0</v>
      </c>
      <c r="AA1587" s="123">
        <f>IF(tech_base!$T123&gt;AA$1465,"",(tech_base!$J123/tech_proj!AA247*0.086*$N$110)/(1-tech_proj!AA527))</f>
        <v>0</v>
      </c>
      <c r="AB1587" s="123">
        <f>IF(tech_base!$T123&gt;AB$1465,"",(tech_base!$J123/tech_proj!AB247*0.086*$N$110)/(1-tech_proj!AB527))</f>
        <v>0</v>
      </c>
      <c r="AC1587" s="123">
        <f>IF(tech_base!$T123&gt;AC$1465,"",(tech_base!$J123/tech_proj!AC247*0.086*$N$110)/(1-tech_proj!AC527))</f>
        <v>0</v>
      </c>
      <c r="AD1587" s="123">
        <f>IF(tech_base!$T123&gt;AD$1465,"",(tech_base!$J123/tech_proj!AD247*0.086*$N$110)/(1-tech_proj!AD527))</f>
        <v>0</v>
      </c>
      <c r="AE1587" s="123">
        <f>IF(tech_base!$T123&gt;AE$1465,"",(tech_base!$J123/tech_proj!AE247*0.086*$N$110)/(1-tech_proj!AE527))</f>
        <v>0</v>
      </c>
      <c r="AF1587" s="123">
        <f>IF(tech_base!$T123&gt;AF$1465,"",(tech_base!$J123/tech_proj!AF247*0.086*$N$110)/(1-tech_proj!AF527))</f>
        <v>0</v>
      </c>
      <c r="AG1587" s="123">
        <f>IF(tech_base!$T123&gt;AG$1465,"",(tech_base!$J123/tech_proj!AG247*0.086*$N$110)/(1-tech_proj!AG527))</f>
        <v>0</v>
      </c>
      <c r="AH1587" s="123">
        <f>IF(tech_base!$T123&gt;AH$1465,"",(tech_base!$J123/tech_proj!AH247*0.086*$N$110)/(1-tech_proj!AH527))</f>
        <v>0</v>
      </c>
      <c r="AI1587" s="123">
        <f>IF(tech_base!$T123&gt;AI$1465,"",(tech_base!$J123/tech_proj!AI247*0.086*$N$110)/(1-tech_proj!AI527))</f>
        <v>0</v>
      </c>
      <c r="AJ1587" s="123">
        <f>IF(tech_base!$T123&gt;AJ$1465,"",(tech_base!$J123/tech_proj!AJ247*0.086*$N$110)/(1-tech_proj!AJ527))</f>
        <v>0</v>
      </c>
      <c r="AK1587" s="123">
        <f>IF(tech_base!$T123&gt;AK$1465,"",(tech_base!$J123/tech_proj!AK247*0.086*$N$110)/(1-tech_proj!AK527))</f>
        <v>0</v>
      </c>
      <c r="AL1587" s="123">
        <f>IF(tech_base!$T123&gt;AL$1465,"",(tech_base!$J123/tech_proj!AL247*0.086*$N$110)/(1-tech_proj!AL527))</f>
        <v>0</v>
      </c>
      <c r="AM1587" s="123">
        <f>IF(tech_base!$T123&gt;AM$1465,"",(tech_base!$J123/tech_proj!AM247*0.086*$N$110)/(1-tech_proj!AM527))</f>
        <v>0</v>
      </c>
      <c r="AN1587" s="123">
        <f>IF(tech_base!$T123&gt;AN$1465,"",(tech_base!$J123/tech_proj!AN247*0.086*$N$110)/(1-tech_proj!AN527))</f>
        <v>0</v>
      </c>
      <c r="AO1587" s="123">
        <f>IF(tech_base!$T123&gt;AO$1465,"",(tech_base!$J123/tech_proj!AO247*0.086*$N$110)/(1-tech_proj!AO527))</f>
        <v>0</v>
      </c>
      <c r="AP1587" s="123">
        <f>IF(tech_base!$T123&gt;AP$1465,"",(tech_base!$J123/tech_proj!AP247*0.086*$N$110)/(1-tech_proj!AP527))</f>
        <v>0</v>
      </c>
      <c r="AQ1587" s="123">
        <f>IF(tech_base!$T123&gt;AQ$1465,"",(tech_base!$J123/tech_proj!AQ247*0.086*$N$110)/(1-tech_proj!AQ527))</f>
        <v>0</v>
      </c>
      <c r="AR1587" s="123">
        <f>IF(tech_base!$T123&gt;AR$1465,"",(tech_base!$J123/tech_proj!AR247*0.086*$N$110)/(1-tech_proj!AR527))</f>
        <v>0</v>
      </c>
      <c r="AS1587" s="123">
        <f>IF(tech_base!$T123&gt;AS$1465,"",(tech_base!$J123/tech_proj!AS247*0.086*$N$110)/(1-tech_proj!AS527))</f>
        <v>0</v>
      </c>
      <c r="AT1587" s="123">
        <f>IF(tech_base!$T123&gt;AT$1465,"",(tech_base!$J123/tech_proj!AT247*0.086*$N$110)/(1-tech_proj!AT527))</f>
        <v>0</v>
      </c>
      <c r="AU1587" s="123">
        <f>IF(tech_base!$T123&gt;AU$1465,"",(tech_base!$J123/tech_proj!AU247*0.086*$N$110)/(1-tech_proj!AU527))</f>
        <v>0</v>
      </c>
      <c r="AV1587" s="123">
        <f>IF(tech_base!$T123&gt;AV$1465,"",(tech_base!$J123/tech_proj!AV247*0.086*$N$110)/(1-tech_proj!AV527))</f>
        <v>0</v>
      </c>
      <c r="AW1587" s="123">
        <f>IF(tech_base!$T123&gt;AW$1465,"",(tech_base!$J123/tech_proj!AW247*0.086*$N$110)/(1-tech_proj!AW527))</f>
        <v>0</v>
      </c>
      <c r="AX1587" s="124">
        <f>IF(tech_base!$T123&gt;AX$1465,"",(tech_base!$J123/tech_proj!AX247*0.086*$N$110)/(1-tech_proj!AX527))</f>
        <v>0</v>
      </c>
    </row>
    <row r="1588" spans="1:50" x14ac:dyDescent="0.25">
      <c r="A1588" s="356"/>
      <c r="B1588" s="359"/>
      <c r="C1588" s="378"/>
      <c r="D1588" s="2" t="s">
        <v>8</v>
      </c>
      <c r="E1588" s="160" t="str">
        <f>A1583&amp;"/"&amp;B1583&amp;"/"&amp;C1587&amp;"/"&amp;D1588</f>
        <v>Derived gas fired power plants/Steam turbine/CHP/M</v>
      </c>
      <c r="F1588" s="76" t="str">
        <f>A1583</f>
        <v>Derived gas fired power plants</v>
      </c>
      <c r="G1588" s="76" t="str">
        <f>B1583</f>
        <v>Steam turbine</v>
      </c>
      <c r="H1588" s="76" t="str">
        <f>C1587</f>
        <v>CHP</v>
      </c>
      <c r="I1588" s="161" t="str">
        <f t="shared" si="378"/>
        <v>M</v>
      </c>
      <c r="J1588" s="119">
        <f>IF(tech_base!$T124&gt;J$1465,"",(tech_base!$J124/tech_proj!J248*0.086*$N$110)/(1-tech_proj!J528))</f>
        <v>0</v>
      </c>
      <c r="K1588" s="119">
        <f>IF(tech_base!$T124&gt;K$1465,"",(tech_base!$J124/tech_proj!K248*0.086*$N$110)/(1-tech_proj!K528))</f>
        <v>0</v>
      </c>
      <c r="L1588" s="119">
        <f>IF(tech_base!$T124&gt;L$1465,"",(tech_base!$J124/tech_proj!L248*0.086*$N$110)/(1-tech_proj!L528))</f>
        <v>0</v>
      </c>
      <c r="M1588" s="119">
        <f>IF(tech_base!$T124&gt;M$1465,"",(tech_base!$J124/tech_proj!M248*0.086*$N$110)/(1-tech_proj!M528))</f>
        <v>0</v>
      </c>
      <c r="N1588" s="119">
        <f>IF(tech_base!$T124&gt;N$1465,"",(tech_base!$J124/tech_proj!N248*0.086*$N$110)/(1-tech_proj!N528))</f>
        <v>0</v>
      </c>
      <c r="O1588" s="119">
        <f>IF(tech_base!$T124&gt;O$1465,"",(tech_base!$J124/tech_proj!O248*0.086*$N$110)/(1-tech_proj!O528))</f>
        <v>0</v>
      </c>
      <c r="P1588" s="119">
        <f>IF(tech_base!$T124&gt;P$1465,"",(tech_base!$J124/tech_proj!P248*0.086*$N$110)/(1-tech_proj!P528))</f>
        <v>0</v>
      </c>
      <c r="Q1588" s="119">
        <f>IF(tech_base!$T124&gt;Q$1465,"",(tech_base!$J124/tech_proj!Q248*0.086*$N$110)/(1-tech_proj!Q528))</f>
        <v>0</v>
      </c>
      <c r="R1588" s="119">
        <f>IF(tech_base!$T124&gt;R$1465,"",(tech_base!$J124/tech_proj!R248*0.086*$N$110)/(1-tech_proj!R528))</f>
        <v>0</v>
      </c>
      <c r="S1588" s="119">
        <f>IF(tech_base!$T124&gt;S$1465,"",(tech_base!$J124/tech_proj!S248*0.086*$N$110)/(1-tech_proj!S528))</f>
        <v>0</v>
      </c>
      <c r="T1588" s="119">
        <f>IF(tech_base!$T124&gt;T$1465,"",(tech_base!$J124/tech_proj!T248*0.086*$N$110)/(1-tech_proj!T528))</f>
        <v>0</v>
      </c>
      <c r="U1588" s="119">
        <f>IF(tech_base!$T124&gt;U$1465,"",(tech_base!$J124/tech_proj!U248*0.086*$N$110)/(1-tech_proj!U528))</f>
        <v>0</v>
      </c>
      <c r="V1588" s="119">
        <f>IF(tech_base!$T124&gt;V$1465,"",(tech_base!$J124/tech_proj!V248*0.086*$N$110)/(1-tech_proj!V528))</f>
        <v>0</v>
      </c>
      <c r="W1588" s="119">
        <f>IF(tech_base!$T124&gt;W$1465,"",(tech_base!$J124/tech_proj!W248*0.086*$N$110)/(1-tech_proj!W528))</f>
        <v>0</v>
      </c>
      <c r="X1588" s="119">
        <f>IF(tech_base!$T124&gt;X$1465,"",(tech_base!$J124/tech_proj!X248*0.086*$N$110)/(1-tech_proj!X528))</f>
        <v>0</v>
      </c>
      <c r="Y1588" s="119">
        <f>IF(tech_base!$T124&gt;Y$1465,"",(tech_base!$J124/tech_proj!Y248*0.086*$N$110)/(1-tech_proj!Y528))</f>
        <v>0</v>
      </c>
      <c r="Z1588" s="119">
        <f>IF(tech_base!$T124&gt;Z$1465,"",(tech_base!$J124/tech_proj!Z248*0.086*$N$110)/(1-tech_proj!Z528))</f>
        <v>0</v>
      </c>
      <c r="AA1588" s="119">
        <f>IF(tech_base!$T124&gt;AA$1465,"",(tech_base!$J124/tech_proj!AA248*0.086*$N$110)/(1-tech_proj!AA528))</f>
        <v>0</v>
      </c>
      <c r="AB1588" s="119">
        <f>IF(tech_base!$T124&gt;AB$1465,"",(tech_base!$J124/tech_proj!AB248*0.086*$N$110)/(1-tech_proj!AB528))</f>
        <v>0</v>
      </c>
      <c r="AC1588" s="119">
        <f>IF(tech_base!$T124&gt;AC$1465,"",(tech_base!$J124/tech_proj!AC248*0.086*$N$110)/(1-tech_proj!AC528))</f>
        <v>0</v>
      </c>
      <c r="AD1588" s="119">
        <f>IF(tech_base!$T124&gt;AD$1465,"",(tech_base!$J124/tech_proj!AD248*0.086*$N$110)/(1-tech_proj!AD528))</f>
        <v>0</v>
      </c>
      <c r="AE1588" s="119">
        <f>IF(tech_base!$T124&gt;AE$1465,"",(tech_base!$J124/tech_proj!AE248*0.086*$N$110)/(1-tech_proj!AE528))</f>
        <v>0</v>
      </c>
      <c r="AF1588" s="119">
        <f>IF(tech_base!$T124&gt;AF$1465,"",(tech_base!$J124/tech_proj!AF248*0.086*$N$110)/(1-tech_proj!AF528))</f>
        <v>0</v>
      </c>
      <c r="AG1588" s="119">
        <f>IF(tech_base!$T124&gt;AG$1465,"",(tech_base!$J124/tech_proj!AG248*0.086*$N$110)/(1-tech_proj!AG528))</f>
        <v>0</v>
      </c>
      <c r="AH1588" s="119">
        <f>IF(tech_base!$T124&gt;AH$1465,"",(tech_base!$J124/tech_proj!AH248*0.086*$N$110)/(1-tech_proj!AH528))</f>
        <v>0</v>
      </c>
      <c r="AI1588" s="119">
        <f>IF(tech_base!$T124&gt;AI$1465,"",(tech_base!$J124/tech_proj!AI248*0.086*$N$110)/(1-tech_proj!AI528))</f>
        <v>0</v>
      </c>
      <c r="AJ1588" s="119">
        <f>IF(tech_base!$T124&gt;AJ$1465,"",(tech_base!$J124/tech_proj!AJ248*0.086*$N$110)/(1-tech_proj!AJ528))</f>
        <v>0</v>
      </c>
      <c r="AK1588" s="119">
        <f>IF(tech_base!$T124&gt;AK$1465,"",(tech_base!$J124/tech_proj!AK248*0.086*$N$110)/(1-tech_proj!AK528))</f>
        <v>0</v>
      </c>
      <c r="AL1588" s="119">
        <f>IF(tech_base!$T124&gt;AL$1465,"",(tech_base!$J124/tech_proj!AL248*0.086*$N$110)/(1-tech_proj!AL528))</f>
        <v>0</v>
      </c>
      <c r="AM1588" s="119">
        <f>IF(tech_base!$T124&gt;AM$1465,"",(tech_base!$J124/tech_proj!AM248*0.086*$N$110)/(1-tech_proj!AM528))</f>
        <v>0</v>
      </c>
      <c r="AN1588" s="119">
        <f>IF(tech_base!$T124&gt;AN$1465,"",(tech_base!$J124/tech_proj!AN248*0.086*$N$110)/(1-tech_proj!AN528))</f>
        <v>0</v>
      </c>
      <c r="AO1588" s="119">
        <f>IF(tech_base!$T124&gt;AO$1465,"",(tech_base!$J124/tech_proj!AO248*0.086*$N$110)/(1-tech_proj!AO528))</f>
        <v>0</v>
      </c>
      <c r="AP1588" s="119">
        <f>IF(tech_base!$T124&gt;AP$1465,"",(tech_base!$J124/tech_proj!AP248*0.086*$N$110)/(1-tech_proj!AP528))</f>
        <v>0</v>
      </c>
      <c r="AQ1588" s="119">
        <f>IF(tech_base!$T124&gt;AQ$1465,"",(tech_base!$J124/tech_proj!AQ248*0.086*$N$110)/(1-tech_proj!AQ528))</f>
        <v>0</v>
      </c>
      <c r="AR1588" s="119">
        <f>IF(tech_base!$T124&gt;AR$1465,"",(tech_base!$J124/tech_proj!AR248*0.086*$N$110)/(1-tech_proj!AR528))</f>
        <v>0</v>
      </c>
      <c r="AS1588" s="119">
        <f>IF(tech_base!$T124&gt;AS$1465,"",(tech_base!$J124/tech_proj!AS248*0.086*$N$110)/(1-tech_proj!AS528))</f>
        <v>0</v>
      </c>
      <c r="AT1588" s="119">
        <f>IF(tech_base!$T124&gt;AT$1465,"",(tech_base!$J124/tech_proj!AT248*0.086*$N$110)/(1-tech_proj!AT528))</f>
        <v>0</v>
      </c>
      <c r="AU1588" s="119">
        <f>IF(tech_base!$T124&gt;AU$1465,"",(tech_base!$J124/tech_proj!AU248*0.086*$N$110)/(1-tech_proj!AU528))</f>
        <v>0</v>
      </c>
      <c r="AV1588" s="119">
        <f>IF(tech_base!$T124&gt;AV$1465,"",(tech_base!$J124/tech_proj!AV248*0.086*$N$110)/(1-tech_proj!AV528))</f>
        <v>0</v>
      </c>
      <c r="AW1588" s="119">
        <f>IF(tech_base!$T124&gt;AW$1465,"",(tech_base!$J124/tech_proj!AW248*0.086*$N$110)/(1-tech_proj!AW528))</f>
        <v>0</v>
      </c>
      <c r="AX1588" s="120">
        <f>IF(tech_base!$T124&gt;AX$1465,"",(tech_base!$J124/tech_proj!AX248*0.086*$N$110)/(1-tech_proj!AX528))</f>
        <v>0</v>
      </c>
    </row>
    <row r="1589" spans="1:50" x14ac:dyDescent="0.25">
      <c r="A1589" s="356"/>
      <c r="B1589" s="359"/>
      <c r="C1589" s="378"/>
      <c r="D1589" s="2" t="s">
        <v>10</v>
      </c>
      <c r="E1589" s="160" t="str">
        <f>A1583&amp;"/"&amp;B1583&amp;"/"&amp;C1587&amp;"/"&amp;D1589</f>
        <v>Derived gas fired power plants/Steam turbine/CHP/S</v>
      </c>
      <c r="F1589" s="76" t="str">
        <f>A1583</f>
        <v>Derived gas fired power plants</v>
      </c>
      <c r="G1589" s="76" t="str">
        <f>B1583</f>
        <v>Steam turbine</v>
      </c>
      <c r="H1589" s="76" t="str">
        <f>C1587</f>
        <v>CHP</v>
      </c>
      <c r="I1589" s="161" t="str">
        <f t="shared" si="378"/>
        <v>S</v>
      </c>
      <c r="J1589" s="119">
        <f>IF(tech_base!$T125&gt;J$1465,"",(tech_base!$J125/tech_proj!J249*0.086*$N$110)/(1-tech_proj!J529))</f>
        <v>0</v>
      </c>
      <c r="K1589" s="119">
        <f>IF(tech_base!$T125&gt;K$1465,"",(tech_base!$J125/tech_proj!K249*0.086*$N$110)/(1-tech_proj!K529))</f>
        <v>0</v>
      </c>
      <c r="L1589" s="119">
        <f>IF(tech_base!$T125&gt;L$1465,"",(tech_base!$J125/tech_proj!L249*0.086*$N$110)/(1-tech_proj!L529))</f>
        <v>0</v>
      </c>
      <c r="M1589" s="119">
        <f>IF(tech_base!$T125&gt;M$1465,"",(tech_base!$J125/tech_proj!M249*0.086*$N$110)/(1-tech_proj!M529))</f>
        <v>0</v>
      </c>
      <c r="N1589" s="119">
        <f>IF(tech_base!$T125&gt;N$1465,"",(tech_base!$J125/tech_proj!N249*0.086*$N$110)/(1-tech_proj!N529))</f>
        <v>0</v>
      </c>
      <c r="O1589" s="119">
        <f>IF(tech_base!$T125&gt;O$1465,"",(tech_base!$J125/tech_proj!O249*0.086*$N$110)/(1-tech_proj!O529))</f>
        <v>0</v>
      </c>
      <c r="P1589" s="119">
        <f>IF(tech_base!$T125&gt;P$1465,"",(tech_base!$J125/tech_proj!P249*0.086*$N$110)/(1-tech_proj!P529))</f>
        <v>0</v>
      </c>
      <c r="Q1589" s="119">
        <f>IF(tech_base!$T125&gt;Q$1465,"",(tech_base!$J125/tech_proj!Q249*0.086*$N$110)/(1-tech_proj!Q529))</f>
        <v>0</v>
      </c>
      <c r="R1589" s="119">
        <f>IF(tech_base!$T125&gt;R$1465,"",(tech_base!$J125/tech_proj!R249*0.086*$N$110)/(1-tech_proj!R529))</f>
        <v>0</v>
      </c>
      <c r="S1589" s="119">
        <f>IF(tech_base!$T125&gt;S$1465,"",(tech_base!$J125/tech_proj!S249*0.086*$N$110)/(1-tech_proj!S529))</f>
        <v>0</v>
      </c>
      <c r="T1589" s="119">
        <f>IF(tech_base!$T125&gt;T$1465,"",(tech_base!$J125/tech_proj!T249*0.086*$N$110)/(1-tech_proj!T529))</f>
        <v>0</v>
      </c>
      <c r="U1589" s="119">
        <f>IF(tech_base!$T125&gt;U$1465,"",(tech_base!$J125/tech_proj!U249*0.086*$N$110)/(1-tech_proj!U529))</f>
        <v>0</v>
      </c>
      <c r="V1589" s="119">
        <f>IF(tech_base!$T125&gt;V$1465,"",(tech_base!$J125/tech_proj!V249*0.086*$N$110)/(1-tech_proj!V529))</f>
        <v>0</v>
      </c>
      <c r="W1589" s="119">
        <f>IF(tech_base!$T125&gt;W$1465,"",(tech_base!$J125/tech_proj!W249*0.086*$N$110)/(1-tech_proj!W529))</f>
        <v>0</v>
      </c>
      <c r="X1589" s="119">
        <f>IF(tech_base!$T125&gt;X$1465,"",(tech_base!$J125/tech_proj!X249*0.086*$N$110)/(1-tech_proj!X529))</f>
        <v>0</v>
      </c>
      <c r="Y1589" s="119">
        <f>IF(tech_base!$T125&gt;Y$1465,"",(tech_base!$J125/tech_proj!Y249*0.086*$N$110)/(1-tech_proj!Y529))</f>
        <v>0</v>
      </c>
      <c r="Z1589" s="119">
        <f>IF(tech_base!$T125&gt;Z$1465,"",(tech_base!$J125/tech_proj!Z249*0.086*$N$110)/(1-tech_proj!Z529))</f>
        <v>0</v>
      </c>
      <c r="AA1589" s="119">
        <f>IF(tech_base!$T125&gt;AA$1465,"",(tech_base!$J125/tech_proj!AA249*0.086*$N$110)/(1-tech_proj!AA529))</f>
        <v>0</v>
      </c>
      <c r="AB1589" s="119">
        <f>IF(tech_base!$T125&gt;AB$1465,"",(tech_base!$J125/tech_proj!AB249*0.086*$N$110)/(1-tech_proj!AB529))</f>
        <v>0</v>
      </c>
      <c r="AC1589" s="119">
        <f>IF(tech_base!$T125&gt;AC$1465,"",(tech_base!$J125/tech_proj!AC249*0.086*$N$110)/(1-tech_proj!AC529))</f>
        <v>0</v>
      </c>
      <c r="AD1589" s="119">
        <f>IF(tech_base!$T125&gt;AD$1465,"",(tech_base!$J125/tech_proj!AD249*0.086*$N$110)/(1-tech_proj!AD529))</f>
        <v>0</v>
      </c>
      <c r="AE1589" s="119">
        <f>IF(tech_base!$T125&gt;AE$1465,"",(tech_base!$J125/tech_proj!AE249*0.086*$N$110)/(1-tech_proj!AE529))</f>
        <v>0</v>
      </c>
      <c r="AF1589" s="119">
        <f>IF(tech_base!$T125&gt;AF$1465,"",(tech_base!$J125/tech_proj!AF249*0.086*$N$110)/(1-tech_proj!AF529))</f>
        <v>0</v>
      </c>
      <c r="AG1589" s="119">
        <f>IF(tech_base!$T125&gt;AG$1465,"",(tech_base!$J125/tech_proj!AG249*0.086*$N$110)/(1-tech_proj!AG529))</f>
        <v>0</v>
      </c>
      <c r="AH1589" s="119">
        <f>IF(tech_base!$T125&gt;AH$1465,"",(tech_base!$J125/tech_proj!AH249*0.086*$N$110)/(1-tech_proj!AH529))</f>
        <v>0</v>
      </c>
      <c r="AI1589" s="119">
        <f>IF(tech_base!$T125&gt;AI$1465,"",(tech_base!$J125/tech_proj!AI249*0.086*$N$110)/(1-tech_proj!AI529))</f>
        <v>0</v>
      </c>
      <c r="AJ1589" s="119">
        <f>IF(tech_base!$T125&gt;AJ$1465,"",(tech_base!$J125/tech_proj!AJ249*0.086*$N$110)/(1-tech_proj!AJ529))</f>
        <v>0</v>
      </c>
      <c r="AK1589" s="119">
        <f>IF(tech_base!$T125&gt;AK$1465,"",(tech_base!$J125/tech_proj!AK249*0.086*$N$110)/(1-tech_proj!AK529))</f>
        <v>0</v>
      </c>
      <c r="AL1589" s="119">
        <f>IF(tech_base!$T125&gt;AL$1465,"",(tech_base!$J125/tech_proj!AL249*0.086*$N$110)/(1-tech_proj!AL529))</f>
        <v>0</v>
      </c>
      <c r="AM1589" s="119">
        <f>IF(tech_base!$T125&gt;AM$1465,"",(tech_base!$J125/tech_proj!AM249*0.086*$N$110)/(1-tech_proj!AM529))</f>
        <v>0</v>
      </c>
      <c r="AN1589" s="119">
        <f>IF(tech_base!$T125&gt;AN$1465,"",(tech_base!$J125/tech_proj!AN249*0.086*$N$110)/(1-tech_proj!AN529))</f>
        <v>0</v>
      </c>
      <c r="AO1589" s="119">
        <f>IF(tech_base!$T125&gt;AO$1465,"",(tech_base!$J125/tech_proj!AO249*0.086*$N$110)/(1-tech_proj!AO529))</f>
        <v>0</v>
      </c>
      <c r="AP1589" s="119">
        <f>IF(tech_base!$T125&gt;AP$1465,"",(tech_base!$J125/tech_proj!AP249*0.086*$N$110)/(1-tech_proj!AP529))</f>
        <v>0</v>
      </c>
      <c r="AQ1589" s="119">
        <f>IF(tech_base!$T125&gt;AQ$1465,"",(tech_base!$J125/tech_proj!AQ249*0.086*$N$110)/(1-tech_proj!AQ529))</f>
        <v>0</v>
      </c>
      <c r="AR1589" s="119">
        <f>IF(tech_base!$T125&gt;AR$1465,"",(tech_base!$J125/tech_proj!AR249*0.086*$N$110)/(1-tech_proj!AR529))</f>
        <v>0</v>
      </c>
      <c r="AS1589" s="119">
        <f>IF(tech_base!$T125&gt;AS$1465,"",(tech_base!$J125/tech_proj!AS249*0.086*$N$110)/(1-tech_proj!AS529))</f>
        <v>0</v>
      </c>
      <c r="AT1589" s="119">
        <f>IF(tech_base!$T125&gt;AT$1465,"",(tech_base!$J125/tech_proj!AT249*0.086*$N$110)/(1-tech_proj!AT529))</f>
        <v>0</v>
      </c>
      <c r="AU1589" s="119">
        <f>IF(tech_base!$T125&gt;AU$1465,"",(tech_base!$J125/tech_proj!AU249*0.086*$N$110)/(1-tech_proj!AU529))</f>
        <v>0</v>
      </c>
      <c r="AV1589" s="119">
        <f>IF(tech_base!$T125&gt;AV$1465,"",(tech_base!$J125/tech_proj!AV249*0.086*$N$110)/(1-tech_proj!AV529))</f>
        <v>0</v>
      </c>
      <c r="AW1589" s="119">
        <f>IF(tech_base!$T125&gt;AW$1465,"",(tech_base!$J125/tech_proj!AW249*0.086*$N$110)/(1-tech_proj!AW529))</f>
        <v>0</v>
      </c>
      <c r="AX1589" s="120">
        <f>IF(tech_base!$T125&gt;AX$1465,"",(tech_base!$J125/tech_proj!AX249*0.086*$N$110)/(1-tech_proj!AX529))</f>
        <v>0</v>
      </c>
    </row>
    <row r="1590" spans="1:50" x14ac:dyDescent="0.25">
      <c r="A1590" s="356"/>
      <c r="B1590" s="359"/>
      <c r="C1590" s="379"/>
      <c r="D1590" s="59" t="s">
        <v>20</v>
      </c>
      <c r="E1590" s="166" t="str">
        <f>A1583&amp;"/"&amp;B1583&amp;"/"&amp;C1587&amp;"/"&amp;D1590</f>
        <v>Derived gas fired power plants/Steam turbine/CHP/XS</v>
      </c>
      <c r="F1590" s="79" t="str">
        <f>A1583</f>
        <v>Derived gas fired power plants</v>
      </c>
      <c r="G1590" s="79" t="str">
        <f>B1583</f>
        <v>Steam turbine</v>
      </c>
      <c r="H1590" s="79" t="str">
        <f>C1587</f>
        <v>CHP</v>
      </c>
      <c r="I1590" s="167" t="str">
        <f t="shared" si="378"/>
        <v>XS</v>
      </c>
      <c r="J1590" s="125">
        <f>IF(tech_base!$T126&gt;J$1465,"",(tech_base!$J126/tech_proj!J250*0.086*$N$110)/(1-tech_proj!J530))</f>
        <v>0</v>
      </c>
      <c r="K1590" s="125">
        <f>IF(tech_base!$T126&gt;K$1465,"",(tech_base!$J126/tech_proj!K250*0.086*$N$110)/(1-tech_proj!K530))</f>
        <v>0</v>
      </c>
      <c r="L1590" s="125">
        <f>IF(tech_base!$T126&gt;L$1465,"",(tech_base!$J126/tech_proj!L250*0.086*$N$110)/(1-tech_proj!L530))</f>
        <v>0</v>
      </c>
      <c r="M1590" s="125">
        <f>IF(tech_base!$T126&gt;M$1465,"",(tech_base!$J126/tech_proj!M250*0.086*$N$110)/(1-tech_proj!M530))</f>
        <v>0</v>
      </c>
      <c r="N1590" s="125">
        <f>IF(tech_base!$T126&gt;N$1465,"",(tech_base!$J126/tech_proj!N250*0.086*$N$110)/(1-tech_proj!N530))</f>
        <v>0</v>
      </c>
      <c r="O1590" s="125">
        <f>IF(tech_base!$T126&gt;O$1465,"",(tech_base!$J126/tech_proj!O250*0.086*$N$110)/(1-tech_proj!O530))</f>
        <v>0</v>
      </c>
      <c r="P1590" s="125">
        <f>IF(tech_base!$T126&gt;P$1465,"",(tech_base!$J126/tech_proj!P250*0.086*$N$110)/(1-tech_proj!P530))</f>
        <v>0</v>
      </c>
      <c r="Q1590" s="125">
        <f>IF(tech_base!$T126&gt;Q$1465,"",(tech_base!$J126/tech_proj!Q250*0.086*$N$110)/(1-tech_proj!Q530))</f>
        <v>0</v>
      </c>
      <c r="R1590" s="125">
        <f>IF(tech_base!$T126&gt;R$1465,"",(tech_base!$J126/tech_proj!R250*0.086*$N$110)/(1-tech_proj!R530))</f>
        <v>0</v>
      </c>
      <c r="S1590" s="125">
        <f>IF(tech_base!$T126&gt;S$1465,"",(tech_base!$J126/tech_proj!S250*0.086*$N$110)/(1-tech_proj!S530))</f>
        <v>0</v>
      </c>
      <c r="T1590" s="125">
        <f>IF(tech_base!$T126&gt;T$1465,"",(tech_base!$J126/tech_proj!T250*0.086*$N$110)/(1-tech_proj!T530))</f>
        <v>0</v>
      </c>
      <c r="U1590" s="125">
        <f>IF(tech_base!$T126&gt;U$1465,"",(tech_base!$J126/tech_proj!U250*0.086*$N$110)/(1-tech_proj!U530))</f>
        <v>0</v>
      </c>
      <c r="V1590" s="125">
        <f>IF(tech_base!$T126&gt;V$1465,"",(tech_base!$J126/tech_proj!V250*0.086*$N$110)/(1-tech_proj!V530))</f>
        <v>0</v>
      </c>
      <c r="W1590" s="125">
        <f>IF(tech_base!$T126&gt;W$1465,"",(tech_base!$J126/tech_proj!W250*0.086*$N$110)/(1-tech_proj!W530))</f>
        <v>0</v>
      </c>
      <c r="X1590" s="125">
        <f>IF(tech_base!$T126&gt;X$1465,"",(tech_base!$J126/tech_proj!X250*0.086*$N$110)/(1-tech_proj!X530))</f>
        <v>0</v>
      </c>
      <c r="Y1590" s="125">
        <f>IF(tech_base!$T126&gt;Y$1465,"",(tech_base!$J126/tech_proj!Y250*0.086*$N$110)/(1-tech_proj!Y530))</f>
        <v>0</v>
      </c>
      <c r="Z1590" s="125">
        <f>IF(tech_base!$T126&gt;Z$1465,"",(tech_base!$J126/tech_proj!Z250*0.086*$N$110)/(1-tech_proj!Z530))</f>
        <v>0</v>
      </c>
      <c r="AA1590" s="125">
        <f>IF(tech_base!$T126&gt;AA$1465,"",(tech_base!$J126/tech_proj!AA250*0.086*$N$110)/(1-tech_proj!AA530))</f>
        <v>0</v>
      </c>
      <c r="AB1590" s="125">
        <f>IF(tech_base!$T126&gt;AB$1465,"",(tech_base!$J126/tech_proj!AB250*0.086*$N$110)/(1-tech_proj!AB530))</f>
        <v>0</v>
      </c>
      <c r="AC1590" s="125">
        <f>IF(tech_base!$T126&gt;AC$1465,"",(tech_base!$J126/tech_proj!AC250*0.086*$N$110)/(1-tech_proj!AC530))</f>
        <v>0</v>
      </c>
      <c r="AD1590" s="125">
        <f>IF(tech_base!$T126&gt;AD$1465,"",(tech_base!$J126/tech_proj!AD250*0.086*$N$110)/(1-tech_proj!AD530))</f>
        <v>0</v>
      </c>
      <c r="AE1590" s="125">
        <f>IF(tech_base!$T126&gt;AE$1465,"",(tech_base!$J126/tech_proj!AE250*0.086*$N$110)/(1-tech_proj!AE530))</f>
        <v>0</v>
      </c>
      <c r="AF1590" s="125">
        <f>IF(tech_base!$T126&gt;AF$1465,"",(tech_base!$J126/tech_proj!AF250*0.086*$N$110)/(1-tech_proj!AF530))</f>
        <v>0</v>
      </c>
      <c r="AG1590" s="125">
        <f>IF(tech_base!$T126&gt;AG$1465,"",(tech_base!$J126/tech_proj!AG250*0.086*$N$110)/(1-tech_proj!AG530))</f>
        <v>0</v>
      </c>
      <c r="AH1590" s="125">
        <f>IF(tech_base!$T126&gt;AH$1465,"",(tech_base!$J126/tech_proj!AH250*0.086*$N$110)/(1-tech_proj!AH530))</f>
        <v>0</v>
      </c>
      <c r="AI1590" s="125">
        <f>IF(tech_base!$T126&gt;AI$1465,"",(tech_base!$J126/tech_proj!AI250*0.086*$N$110)/(1-tech_proj!AI530))</f>
        <v>0</v>
      </c>
      <c r="AJ1590" s="125">
        <f>IF(tech_base!$T126&gt;AJ$1465,"",(tech_base!$J126/tech_proj!AJ250*0.086*$N$110)/(1-tech_proj!AJ530))</f>
        <v>0</v>
      </c>
      <c r="AK1590" s="125">
        <f>IF(tech_base!$T126&gt;AK$1465,"",(tech_base!$J126/tech_proj!AK250*0.086*$N$110)/(1-tech_proj!AK530))</f>
        <v>0</v>
      </c>
      <c r="AL1590" s="125">
        <f>IF(tech_base!$T126&gt;AL$1465,"",(tech_base!$J126/tech_proj!AL250*0.086*$N$110)/(1-tech_proj!AL530))</f>
        <v>0</v>
      </c>
      <c r="AM1590" s="125">
        <f>IF(tech_base!$T126&gt;AM$1465,"",(tech_base!$J126/tech_proj!AM250*0.086*$N$110)/(1-tech_proj!AM530))</f>
        <v>0</v>
      </c>
      <c r="AN1590" s="125">
        <f>IF(tech_base!$T126&gt;AN$1465,"",(tech_base!$J126/tech_proj!AN250*0.086*$N$110)/(1-tech_proj!AN530))</f>
        <v>0</v>
      </c>
      <c r="AO1590" s="125">
        <f>IF(tech_base!$T126&gt;AO$1465,"",(tech_base!$J126/tech_proj!AO250*0.086*$N$110)/(1-tech_proj!AO530))</f>
        <v>0</v>
      </c>
      <c r="AP1590" s="125">
        <f>IF(tech_base!$T126&gt;AP$1465,"",(tech_base!$J126/tech_proj!AP250*0.086*$N$110)/(1-tech_proj!AP530))</f>
        <v>0</v>
      </c>
      <c r="AQ1590" s="125">
        <f>IF(tech_base!$T126&gt;AQ$1465,"",(tech_base!$J126/tech_proj!AQ250*0.086*$N$110)/(1-tech_proj!AQ530))</f>
        <v>0</v>
      </c>
      <c r="AR1590" s="125">
        <f>IF(tech_base!$T126&gt;AR$1465,"",(tech_base!$J126/tech_proj!AR250*0.086*$N$110)/(1-tech_proj!AR530))</f>
        <v>0</v>
      </c>
      <c r="AS1590" s="125">
        <f>IF(tech_base!$T126&gt;AS$1465,"",(tech_base!$J126/tech_proj!AS250*0.086*$N$110)/(1-tech_proj!AS530))</f>
        <v>0</v>
      </c>
      <c r="AT1590" s="125">
        <f>IF(tech_base!$T126&gt;AT$1465,"",(tech_base!$J126/tech_proj!AT250*0.086*$N$110)/(1-tech_proj!AT530))</f>
        <v>0</v>
      </c>
      <c r="AU1590" s="125">
        <f>IF(tech_base!$T126&gt;AU$1465,"",(tech_base!$J126/tech_proj!AU250*0.086*$N$110)/(1-tech_proj!AU530))</f>
        <v>0</v>
      </c>
      <c r="AV1590" s="125">
        <f>IF(tech_base!$T126&gt;AV$1465,"",(tech_base!$J126/tech_proj!AV250*0.086*$N$110)/(1-tech_proj!AV530))</f>
        <v>0</v>
      </c>
      <c r="AW1590" s="125">
        <f>IF(tech_base!$T126&gt;AW$1465,"",(tech_base!$J126/tech_proj!AW250*0.086*$N$110)/(1-tech_proj!AW530))</f>
        <v>0</v>
      </c>
      <c r="AX1590" s="126">
        <f>IF(tech_base!$T126&gt;AX$1465,"",(tech_base!$J126/tech_proj!AX250*0.086*$N$110)/(1-tech_proj!AX530))</f>
        <v>0</v>
      </c>
    </row>
    <row r="1591" spans="1:50" x14ac:dyDescent="0.25">
      <c r="A1591" s="356"/>
      <c r="B1591" s="359"/>
      <c r="C1591" s="361" t="s">
        <v>15</v>
      </c>
      <c r="D1591" s="58" t="s">
        <v>7</v>
      </c>
      <c r="E1591" s="164" t="str">
        <f>A1583&amp;"/"&amp;B1583&amp;"/"&amp;C1591&amp;"/"&amp;D1591</f>
        <v>Derived gas fired power plants/Steam turbine/Electricity only with CCS/L</v>
      </c>
      <c r="F1591" s="78" t="str">
        <f>A1583</f>
        <v>Derived gas fired power plants</v>
      </c>
      <c r="G1591" s="78" t="str">
        <f>B1583</f>
        <v>Steam turbine</v>
      </c>
      <c r="H1591" s="78" t="str">
        <f>C1591</f>
        <v>Electricity only with CCS</v>
      </c>
      <c r="I1591" s="165" t="str">
        <f t="shared" si="378"/>
        <v>L</v>
      </c>
      <c r="J1591" s="123" t="str">
        <f>IF(tech_base!$T127&gt;J$1465,"",(tech_base!$J127/tech_proj!J251*0.086*$N$110)/(1-tech_proj!J531))</f>
        <v/>
      </c>
      <c r="K1591" s="123" t="str">
        <f>IF(tech_base!$T127&gt;K$1465,"",(tech_base!$J127/tech_proj!K251*0.086*$N$110)/(1-tech_proj!K531))</f>
        <v/>
      </c>
      <c r="L1591" s="123" t="str">
        <f>IF(tech_base!$T127&gt;L$1465,"",(tech_base!$J127/tech_proj!L251*0.086*$N$110)/(1-tech_proj!L531))</f>
        <v/>
      </c>
      <c r="M1591" s="123" t="str">
        <f>IF(tech_base!$T127&gt;M$1465,"",(tech_base!$J127/tech_proj!M251*0.086*$N$110)/(1-tech_proj!M531))</f>
        <v/>
      </c>
      <c r="N1591" s="123" t="str">
        <f>IF(tech_base!$T127&gt;N$1465,"",(tech_base!$J127/tech_proj!N251*0.086*$N$110)/(1-tech_proj!N531))</f>
        <v/>
      </c>
      <c r="O1591" s="123" t="str">
        <f>IF(tech_base!$T127&gt;O$1465,"",(tech_base!$J127/tech_proj!O251*0.086*$N$110)/(1-tech_proj!O531))</f>
        <v/>
      </c>
      <c r="P1591" s="123" t="str">
        <f>IF(tech_base!$T127&gt;P$1465,"",(tech_base!$J127/tech_proj!P251*0.086*$N$110)/(1-tech_proj!P531))</f>
        <v/>
      </c>
      <c r="Q1591" s="123" t="str">
        <f>IF(tech_base!$T127&gt;Q$1465,"",(tech_base!$J127/tech_proj!Q251*0.086*$N$110)/(1-tech_proj!Q531))</f>
        <v/>
      </c>
      <c r="R1591" s="123" t="str">
        <f>IF(tech_base!$T127&gt;R$1465,"",(tech_base!$J127/tech_proj!R251*0.086*$N$110)/(1-tech_proj!R531))</f>
        <v/>
      </c>
      <c r="S1591" s="123" t="str">
        <f>IF(tech_base!$T127&gt;S$1465,"",(tech_base!$J127/tech_proj!S251*0.086*$N$110)/(1-tech_proj!S531))</f>
        <v/>
      </c>
      <c r="T1591" s="123" t="str">
        <f>IF(tech_base!$T127&gt;T$1465,"",(tech_base!$J127/tech_proj!T251*0.086*$N$110)/(1-tech_proj!T531))</f>
        <v/>
      </c>
      <c r="U1591" s="123" t="str">
        <f>IF(tech_base!$T127&gt;U$1465,"",(tech_base!$J127/tech_proj!U251*0.086*$N$110)/(1-tech_proj!U531))</f>
        <v/>
      </c>
      <c r="V1591" s="123" t="str">
        <f>IF(tech_base!$T127&gt;V$1465,"",(tech_base!$J127/tech_proj!V251*0.086*$N$110)/(1-tech_proj!V531))</f>
        <v/>
      </c>
      <c r="W1591" s="123" t="str">
        <f>IF(tech_base!$T127&gt;W$1465,"",(tech_base!$J127/tech_proj!W251*0.086*$N$110)/(1-tech_proj!W531))</f>
        <v/>
      </c>
      <c r="X1591" s="123" t="str">
        <f>IF(tech_base!$T127&gt;X$1465,"",(tech_base!$J127/tech_proj!X251*0.086*$N$110)/(1-tech_proj!X531))</f>
        <v/>
      </c>
      <c r="Y1591" s="123" t="str">
        <f>IF(tech_base!$T127&gt;Y$1465,"",(tech_base!$J127/tech_proj!Y251*0.086*$N$110)/(1-tech_proj!Y531))</f>
        <v/>
      </c>
      <c r="Z1591" s="123" t="str">
        <f>IF(tech_base!$T127&gt;Z$1465,"",(tech_base!$J127/tech_proj!Z251*0.086*$N$110)/(1-tech_proj!Z531))</f>
        <v/>
      </c>
      <c r="AA1591" s="123" t="str">
        <f>IF(tech_base!$T127&gt;AA$1465,"",(tech_base!$J127/tech_proj!AA251*0.086*$N$110)/(1-tech_proj!AA531))</f>
        <v/>
      </c>
      <c r="AB1591" s="123" t="str">
        <f>IF(tech_base!$T127&gt;AB$1465,"",(tech_base!$J127/tech_proj!AB251*0.086*$N$110)/(1-tech_proj!AB531))</f>
        <v/>
      </c>
      <c r="AC1591" s="123" t="str">
        <f>IF(tech_base!$T127&gt;AC$1465,"",(tech_base!$J127/tech_proj!AC251*0.086*$N$110)/(1-tech_proj!AC531))</f>
        <v/>
      </c>
      <c r="AD1591" s="123" t="str">
        <f>IF(tech_base!$T127&gt;AD$1465,"",(tech_base!$J127/tech_proj!AD251*0.086*$N$110)/(1-tech_proj!AD531))</f>
        <v/>
      </c>
      <c r="AE1591" s="123">
        <f>IF(tech_base!$T127&gt;AE$1465,"",(tech_base!$J127/tech_proj!AE251*0.086*$N$110)/(1-tech_proj!AE531))</f>
        <v>0</v>
      </c>
      <c r="AF1591" s="123">
        <f>IF(tech_base!$T127&gt;AF$1465,"",(tech_base!$J127/tech_proj!AF251*0.086*$N$110)/(1-tech_proj!AF531))</f>
        <v>0</v>
      </c>
      <c r="AG1591" s="123">
        <f>IF(tech_base!$T127&gt;AG$1465,"",(tech_base!$J127/tech_proj!AG251*0.086*$N$110)/(1-tech_proj!AG531))</f>
        <v>0</v>
      </c>
      <c r="AH1591" s="123">
        <f>IF(tech_base!$T127&gt;AH$1465,"",(tech_base!$J127/tech_proj!AH251*0.086*$N$110)/(1-tech_proj!AH531))</f>
        <v>0</v>
      </c>
      <c r="AI1591" s="123">
        <f>IF(tech_base!$T127&gt;AI$1465,"",(tech_base!$J127/tech_proj!AI251*0.086*$N$110)/(1-tech_proj!AI531))</f>
        <v>0</v>
      </c>
      <c r="AJ1591" s="123">
        <f>IF(tech_base!$T127&gt;AJ$1465,"",(tech_base!$J127/tech_proj!AJ251*0.086*$N$110)/(1-tech_proj!AJ531))</f>
        <v>0</v>
      </c>
      <c r="AK1591" s="123">
        <f>IF(tech_base!$T127&gt;AK$1465,"",(tech_base!$J127/tech_proj!AK251*0.086*$N$110)/(1-tech_proj!AK531))</f>
        <v>0</v>
      </c>
      <c r="AL1591" s="123">
        <f>IF(tech_base!$T127&gt;AL$1465,"",(tech_base!$J127/tech_proj!AL251*0.086*$N$110)/(1-tech_proj!AL531))</f>
        <v>0</v>
      </c>
      <c r="AM1591" s="123">
        <f>IF(tech_base!$T127&gt;AM$1465,"",(tech_base!$J127/tech_proj!AM251*0.086*$N$110)/(1-tech_proj!AM531))</f>
        <v>0</v>
      </c>
      <c r="AN1591" s="123">
        <f>IF(tech_base!$T127&gt;AN$1465,"",(tech_base!$J127/tech_proj!AN251*0.086*$N$110)/(1-tech_proj!AN531))</f>
        <v>0</v>
      </c>
      <c r="AO1591" s="123">
        <f>IF(tech_base!$T127&gt;AO$1465,"",(tech_base!$J127/tech_proj!AO251*0.086*$N$110)/(1-tech_proj!AO531))</f>
        <v>0</v>
      </c>
      <c r="AP1591" s="123">
        <f>IF(tech_base!$T127&gt;AP$1465,"",(tech_base!$J127/tech_proj!AP251*0.086*$N$110)/(1-tech_proj!AP531))</f>
        <v>0</v>
      </c>
      <c r="AQ1591" s="123">
        <f>IF(tech_base!$T127&gt;AQ$1465,"",(tech_base!$J127/tech_proj!AQ251*0.086*$N$110)/(1-tech_proj!AQ531))</f>
        <v>0</v>
      </c>
      <c r="AR1591" s="123">
        <f>IF(tech_base!$T127&gt;AR$1465,"",(tech_base!$J127/tech_proj!AR251*0.086*$N$110)/(1-tech_proj!AR531))</f>
        <v>0</v>
      </c>
      <c r="AS1591" s="123">
        <f>IF(tech_base!$T127&gt;AS$1465,"",(tech_base!$J127/tech_proj!AS251*0.086*$N$110)/(1-tech_proj!AS531))</f>
        <v>0</v>
      </c>
      <c r="AT1591" s="123">
        <f>IF(tech_base!$T127&gt;AT$1465,"",(tech_base!$J127/tech_proj!AT251*0.086*$N$110)/(1-tech_proj!AT531))</f>
        <v>0</v>
      </c>
      <c r="AU1591" s="123">
        <f>IF(tech_base!$T127&gt;AU$1465,"",(tech_base!$J127/tech_proj!AU251*0.086*$N$110)/(1-tech_proj!AU531))</f>
        <v>0</v>
      </c>
      <c r="AV1591" s="123">
        <f>IF(tech_base!$T127&gt;AV$1465,"",(tech_base!$J127/tech_proj!AV251*0.086*$N$110)/(1-tech_proj!AV531))</f>
        <v>0</v>
      </c>
      <c r="AW1591" s="123">
        <f>IF(tech_base!$T127&gt;AW$1465,"",(tech_base!$J127/tech_proj!AW251*0.086*$N$110)/(1-tech_proj!AW531))</f>
        <v>0</v>
      </c>
      <c r="AX1591" s="124">
        <f>IF(tech_base!$T127&gt;AX$1465,"",(tech_base!$J127/tech_proj!AX251*0.086*$N$110)/(1-tech_proj!AX531))</f>
        <v>0</v>
      </c>
    </row>
    <row r="1592" spans="1:50" x14ac:dyDescent="0.25">
      <c r="A1592" s="356"/>
      <c r="B1592" s="359"/>
      <c r="C1592" s="379"/>
      <c r="D1592" s="59" t="s">
        <v>8</v>
      </c>
      <c r="E1592" s="166" t="str">
        <f>A1583&amp;"/"&amp;B1583&amp;"/"&amp;C1591&amp;"/"&amp;D1592</f>
        <v>Derived gas fired power plants/Steam turbine/Electricity only with CCS/M</v>
      </c>
      <c r="F1592" s="79" t="str">
        <f>A1583</f>
        <v>Derived gas fired power plants</v>
      </c>
      <c r="G1592" s="79" t="str">
        <f>B1583</f>
        <v>Steam turbine</v>
      </c>
      <c r="H1592" s="79" t="str">
        <f>C1591</f>
        <v>Electricity only with CCS</v>
      </c>
      <c r="I1592" s="167" t="str">
        <f t="shared" si="378"/>
        <v>M</v>
      </c>
      <c r="J1592" s="125" t="str">
        <f>IF(tech_base!$T128&gt;J$1465,"",(tech_base!$J128/tech_proj!J252*0.086*$N$110)/(1-tech_proj!J532))</f>
        <v/>
      </c>
      <c r="K1592" s="125" t="str">
        <f>IF(tech_base!$T128&gt;K$1465,"",(tech_base!$J128/tech_proj!K252*0.086*$N$110)/(1-tech_proj!K532))</f>
        <v/>
      </c>
      <c r="L1592" s="125" t="str">
        <f>IF(tech_base!$T128&gt;L$1465,"",(tech_base!$J128/tech_proj!L252*0.086*$N$110)/(1-tech_proj!L532))</f>
        <v/>
      </c>
      <c r="M1592" s="125" t="str">
        <f>IF(tech_base!$T128&gt;M$1465,"",(tech_base!$J128/tech_proj!M252*0.086*$N$110)/(1-tech_proj!M532))</f>
        <v/>
      </c>
      <c r="N1592" s="125" t="str">
        <f>IF(tech_base!$T128&gt;N$1465,"",(tech_base!$J128/tech_proj!N252*0.086*$N$110)/(1-tech_proj!N532))</f>
        <v/>
      </c>
      <c r="O1592" s="125" t="str">
        <f>IF(tech_base!$T128&gt;O$1465,"",(tech_base!$J128/tech_proj!O252*0.086*$N$110)/(1-tech_proj!O532))</f>
        <v/>
      </c>
      <c r="P1592" s="125" t="str">
        <f>IF(tech_base!$T128&gt;P$1465,"",(tech_base!$J128/tech_proj!P252*0.086*$N$110)/(1-tech_proj!P532))</f>
        <v/>
      </c>
      <c r="Q1592" s="125" t="str">
        <f>IF(tech_base!$T128&gt;Q$1465,"",(tech_base!$J128/tech_proj!Q252*0.086*$N$110)/(1-tech_proj!Q532))</f>
        <v/>
      </c>
      <c r="R1592" s="125" t="str">
        <f>IF(tech_base!$T128&gt;R$1465,"",(tech_base!$J128/tech_proj!R252*0.086*$N$110)/(1-tech_proj!R532))</f>
        <v/>
      </c>
      <c r="S1592" s="125" t="str">
        <f>IF(tech_base!$T128&gt;S$1465,"",(tech_base!$J128/tech_proj!S252*0.086*$N$110)/(1-tech_proj!S532))</f>
        <v/>
      </c>
      <c r="T1592" s="125" t="str">
        <f>IF(tech_base!$T128&gt;T$1465,"",(tech_base!$J128/tech_proj!T252*0.086*$N$110)/(1-tech_proj!T532))</f>
        <v/>
      </c>
      <c r="U1592" s="125" t="str">
        <f>IF(tech_base!$T128&gt;U$1465,"",(tech_base!$J128/tech_proj!U252*0.086*$N$110)/(1-tech_proj!U532))</f>
        <v/>
      </c>
      <c r="V1592" s="125" t="str">
        <f>IF(tech_base!$T128&gt;V$1465,"",(tech_base!$J128/tech_proj!V252*0.086*$N$110)/(1-tech_proj!V532))</f>
        <v/>
      </c>
      <c r="W1592" s="125" t="str">
        <f>IF(tech_base!$T128&gt;W$1465,"",(tech_base!$J128/tech_proj!W252*0.086*$N$110)/(1-tech_proj!W532))</f>
        <v/>
      </c>
      <c r="X1592" s="125" t="str">
        <f>IF(tech_base!$T128&gt;X$1465,"",(tech_base!$J128/tech_proj!X252*0.086*$N$110)/(1-tech_proj!X532))</f>
        <v/>
      </c>
      <c r="Y1592" s="125" t="str">
        <f>IF(tech_base!$T128&gt;Y$1465,"",(tech_base!$J128/tech_proj!Y252*0.086*$N$110)/(1-tech_proj!Y532))</f>
        <v/>
      </c>
      <c r="Z1592" s="125" t="str">
        <f>IF(tech_base!$T128&gt;Z$1465,"",(tech_base!$J128/tech_proj!Z252*0.086*$N$110)/(1-tech_proj!Z532))</f>
        <v/>
      </c>
      <c r="AA1592" s="125" t="str">
        <f>IF(tech_base!$T128&gt;AA$1465,"",(tech_base!$J128/tech_proj!AA252*0.086*$N$110)/(1-tech_proj!AA532))</f>
        <v/>
      </c>
      <c r="AB1592" s="125" t="str">
        <f>IF(tech_base!$T128&gt;AB$1465,"",(tech_base!$J128/tech_proj!AB252*0.086*$N$110)/(1-tech_proj!AB532))</f>
        <v/>
      </c>
      <c r="AC1592" s="125" t="str">
        <f>IF(tech_base!$T128&gt;AC$1465,"",(tech_base!$J128/tech_proj!AC252*0.086*$N$110)/(1-tech_proj!AC532))</f>
        <v/>
      </c>
      <c r="AD1592" s="125" t="str">
        <f>IF(tech_base!$T128&gt;AD$1465,"",(tech_base!$J128/tech_proj!AD252*0.086*$N$110)/(1-tech_proj!AD532))</f>
        <v/>
      </c>
      <c r="AE1592" s="125">
        <f>IF(tech_base!$T128&gt;AE$1465,"",(tech_base!$J128/tech_proj!AE252*0.086*$N$110)/(1-tech_proj!AE532))</f>
        <v>0</v>
      </c>
      <c r="AF1592" s="125">
        <f>IF(tech_base!$T128&gt;AF$1465,"",(tech_base!$J128/tech_proj!AF252*0.086*$N$110)/(1-tech_proj!AF532))</f>
        <v>0</v>
      </c>
      <c r="AG1592" s="125">
        <f>IF(tech_base!$T128&gt;AG$1465,"",(tech_base!$J128/tech_proj!AG252*0.086*$N$110)/(1-tech_proj!AG532))</f>
        <v>0</v>
      </c>
      <c r="AH1592" s="125">
        <f>IF(tech_base!$T128&gt;AH$1465,"",(tech_base!$J128/tech_proj!AH252*0.086*$N$110)/(1-tech_proj!AH532))</f>
        <v>0</v>
      </c>
      <c r="AI1592" s="125">
        <f>IF(tech_base!$T128&gt;AI$1465,"",(tech_base!$J128/tech_proj!AI252*0.086*$N$110)/(1-tech_proj!AI532))</f>
        <v>0</v>
      </c>
      <c r="AJ1592" s="125">
        <f>IF(tech_base!$T128&gt;AJ$1465,"",(tech_base!$J128/tech_proj!AJ252*0.086*$N$110)/(1-tech_proj!AJ532))</f>
        <v>0</v>
      </c>
      <c r="AK1592" s="125">
        <f>IF(tech_base!$T128&gt;AK$1465,"",(tech_base!$J128/tech_proj!AK252*0.086*$N$110)/(1-tech_proj!AK532))</f>
        <v>0</v>
      </c>
      <c r="AL1592" s="125">
        <f>IF(tech_base!$T128&gt;AL$1465,"",(tech_base!$J128/tech_proj!AL252*0.086*$N$110)/(1-tech_proj!AL532))</f>
        <v>0</v>
      </c>
      <c r="AM1592" s="125">
        <f>IF(tech_base!$T128&gt;AM$1465,"",(tech_base!$J128/tech_proj!AM252*0.086*$N$110)/(1-tech_proj!AM532))</f>
        <v>0</v>
      </c>
      <c r="AN1592" s="125">
        <f>IF(tech_base!$T128&gt;AN$1465,"",(tech_base!$J128/tech_proj!AN252*0.086*$N$110)/(1-tech_proj!AN532))</f>
        <v>0</v>
      </c>
      <c r="AO1592" s="125">
        <f>IF(tech_base!$T128&gt;AO$1465,"",(tech_base!$J128/tech_proj!AO252*0.086*$N$110)/(1-tech_proj!AO532))</f>
        <v>0</v>
      </c>
      <c r="AP1592" s="125">
        <f>IF(tech_base!$T128&gt;AP$1465,"",(tech_base!$J128/tech_proj!AP252*0.086*$N$110)/(1-tech_proj!AP532))</f>
        <v>0</v>
      </c>
      <c r="AQ1592" s="125">
        <f>IF(tech_base!$T128&gt;AQ$1465,"",(tech_base!$J128/tech_proj!AQ252*0.086*$N$110)/(1-tech_proj!AQ532))</f>
        <v>0</v>
      </c>
      <c r="AR1592" s="125">
        <f>IF(tech_base!$T128&gt;AR$1465,"",(tech_base!$J128/tech_proj!AR252*0.086*$N$110)/(1-tech_proj!AR532))</f>
        <v>0</v>
      </c>
      <c r="AS1592" s="125">
        <f>IF(tech_base!$T128&gt;AS$1465,"",(tech_base!$J128/tech_proj!AS252*0.086*$N$110)/(1-tech_proj!AS532))</f>
        <v>0</v>
      </c>
      <c r="AT1592" s="125">
        <f>IF(tech_base!$T128&gt;AT$1465,"",(tech_base!$J128/tech_proj!AT252*0.086*$N$110)/(1-tech_proj!AT532))</f>
        <v>0</v>
      </c>
      <c r="AU1592" s="125">
        <f>IF(tech_base!$T128&gt;AU$1465,"",(tech_base!$J128/tech_proj!AU252*0.086*$N$110)/(1-tech_proj!AU532))</f>
        <v>0</v>
      </c>
      <c r="AV1592" s="125">
        <f>IF(tech_base!$T128&gt;AV$1465,"",(tech_base!$J128/tech_proj!AV252*0.086*$N$110)/(1-tech_proj!AV532))</f>
        <v>0</v>
      </c>
      <c r="AW1592" s="125">
        <f>IF(tech_base!$T128&gt;AW$1465,"",(tech_base!$J128/tech_proj!AW252*0.086*$N$110)/(1-tech_proj!AW532))</f>
        <v>0</v>
      </c>
      <c r="AX1592" s="126">
        <f>IF(tech_base!$T128&gt;AX$1465,"",(tech_base!$J128/tech_proj!AX252*0.086*$N$110)/(1-tech_proj!AX532))</f>
        <v>0</v>
      </c>
    </row>
    <row r="1593" spans="1:50" x14ac:dyDescent="0.25">
      <c r="A1593" s="356"/>
      <c r="B1593" s="359"/>
      <c r="C1593" s="361" t="s">
        <v>16</v>
      </c>
      <c r="D1593" s="2" t="s">
        <v>7</v>
      </c>
      <c r="E1593" s="160" t="str">
        <f>A1583&amp;"/"&amp;B1583&amp;"/"&amp;C1593&amp;"/"&amp;D1593</f>
        <v>Derived gas fired power plants/Steam turbine/CHP with CCS/L</v>
      </c>
      <c r="F1593" s="76" t="str">
        <f>A1583</f>
        <v>Derived gas fired power plants</v>
      </c>
      <c r="G1593" s="76" t="str">
        <f>B1583</f>
        <v>Steam turbine</v>
      </c>
      <c r="H1593" s="76" t="str">
        <f>C1593</f>
        <v>CHP with CCS</v>
      </c>
      <c r="I1593" s="161" t="str">
        <f t="shared" si="378"/>
        <v>L</v>
      </c>
      <c r="J1593" s="119" t="str">
        <f>IF(tech_base!$T129&gt;J$1465,"",(tech_base!$J129/tech_proj!J253*0.086*$N$110)/(1-tech_proj!J533))</f>
        <v/>
      </c>
      <c r="K1593" s="119" t="str">
        <f>IF(tech_base!$T129&gt;K$1465,"",(tech_base!$J129/tech_proj!K253*0.086*$N$110)/(1-tech_proj!K533))</f>
        <v/>
      </c>
      <c r="L1593" s="119" t="str">
        <f>IF(tech_base!$T129&gt;L$1465,"",(tech_base!$J129/tech_proj!L253*0.086*$N$110)/(1-tech_proj!L533))</f>
        <v/>
      </c>
      <c r="M1593" s="119" t="str">
        <f>IF(tech_base!$T129&gt;M$1465,"",(tech_base!$J129/tech_proj!M253*0.086*$N$110)/(1-tech_proj!M533))</f>
        <v/>
      </c>
      <c r="N1593" s="119" t="str">
        <f>IF(tech_base!$T129&gt;N$1465,"",(tech_base!$J129/tech_proj!N253*0.086*$N$110)/(1-tech_proj!N533))</f>
        <v/>
      </c>
      <c r="O1593" s="119" t="str">
        <f>IF(tech_base!$T129&gt;O$1465,"",(tech_base!$J129/tech_proj!O253*0.086*$N$110)/(1-tech_proj!O533))</f>
        <v/>
      </c>
      <c r="P1593" s="119" t="str">
        <f>IF(tech_base!$T129&gt;P$1465,"",(tech_base!$J129/tech_proj!P253*0.086*$N$110)/(1-tech_proj!P533))</f>
        <v/>
      </c>
      <c r="Q1593" s="119" t="str">
        <f>IF(tech_base!$T129&gt;Q$1465,"",(tech_base!$J129/tech_proj!Q253*0.086*$N$110)/(1-tech_proj!Q533))</f>
        <v/>
      </c>
      <c r="R1593" s="119" t="str">
        <f>IF(tech_base!$T129&gt;R$1465,"",(tech_base!$J129/tech_proj!R253*0.086*$N$110)/(1-tech_proj!R533))</f>
        <v/>
      </c>
      <c r="S1593" s="119" t="str">
        <f>IF(tech_base!$T129&gt;S$1465,"",(tech_base!$J129/tech_proj!S253*0.086*$N$110)/(1-tech_proj!S533))</f>
        <v/>
      </c>
      <c r="T1593" s="119" t="str">
        <f>IF(tech_base!$T129&gt;T$1465,"",(tech_base!$J129/tech_proj!T253*0.086*$N$110)/(1-tech_proj!T533))</f>
        <v/>
      </c>
      <c r="U1593" s="119" t="str">
        <f>IF(tech_base!$T129&gt;U$1465,"",(tech_base!$J129/tech_proj!U253*0.086*$N$110)/(1-tech_proj!U533))</f>
        <v/>
      </c>
      <c r="V1593" s="119" t="str">
        <f>IF(tech_base!$T129&gt;V$1465,"",(tech_base!$J129/tech_proj!V253*0.086*$N$110)/(1-tech_proj!V533))</f>
        <v/>
      </c>
      <c r="W1593" s="119" t="str">
        <f>IF(tech_base!$T129&gt;W$1465,"",(tech_base!$J129/tech_proj!W253*0.086*$N$110)/(1-tech_proj!W533))</f>
        <v/>
      </c>
      <c r="X1593" s="119" t="str">
        <f>IF(tech_base!$T129&gt;X$1465,"",(tech_base!$J129/tech_proj!X253*0.086*$N$110)/(1-tech_proj!X533))</f>
        <v/>
      </c>
      <c r="Y1593" s="119" t="str">
        <f>IF(tech_base!$T129&gt;Y$1465,"",(tech_base!$J129/tech_proj!Y253*0.086*$N$110)/(1-tech_proj!Y533))</f>
        <v/>
      </c>
      <c r="Z1593" s="119" t="str">
        <f>IF(tech_base!$T129&gt;Z$1465,"",(tech_base!$J129/tech_proj!Z253*0.086*$N$110)/(1-tech_proj!Z533))</f>
        <v/>
      </c>
      <c r="AA1593" s="119" t="str">
        <f>IF(tech_base!$T129&gt;AA$1465,"",(tech_base!$J129/tech_proj!AA253*0.086*$N$110)/(1-tech_proj!AA533))</f>
        <v/>
      </c>
      <c r="AB1593" s="119" t="str">
        <f>IF(tech_base!$T129&gt;AB$1465,"",(tech_base!$J129/tech_proj!AB253*0.086*$N$110)/(1-tech_proj!AB533))</f>
        <v/>
      </c>
      <c r="AC1593" s="119" t="str">
        <f>IF(tech_base!$T129&gt;AC$1465,"",(tech_base!$J129/tech_proj!AC253*0.086*$N$110)/(1-tech_proj!AC533))</f>
        <v/>
      </c>
      <c r="AD1593" s="119" t="str">
        <f>IF(tech_base!$T129&gt;AD$1465,"",(tech_base!$J129/tech_proj!AD253*0.086*$N$110)/(1-tech_proj!AD533))</f>
        <v/>
      </c>
      <c r="AE1593" s="119">
        <f>IF(tech_base!$T129&gt;AE$1465,"",(tech_base!$J129/tech_proj!AE253*0.086*$N$110)/(1-tech_proj!AE533))</f>
        <v>0</v>
      </c>
      <c r="AF1593" s="119">
        <f>IF(tech_base!$T129&gt;AF$1465,"",(tech_base!$J129/tech_proj!AF253*0.086*$N$110)/(1-tech_proj!AF533))</f>
        <v>0</v>
      </c>
      <c r="AG1593" s="119">
        <f>IF(tech_base!$T129&gt;AG$1465,"",(tech_base!$J129/tech_proj!AG253*0.086*$N$110)/(1-tech_proj!AG533))</f>
        <v>0</v>
      </c>
      <c r="AH1593" s="119">
        <f>IF(tech_base!$T129&gt;AH$1465,"",(tech_base!$J129/tech_proj!AH253*0.086*$N$110)/(1-tech_proj!AH533))</f>
        <v>0</v>
      </c>
      <c r="AI1593" s="119">
        <f>IF(tech_base!$T129&gt;AI$1465,"",(tech_base!$J129/tech_proj!AI253*0.086*$N$110)/(1-tech_proj!AI533))</f>
        <v>0</v>
      </c>
      <c r="AJ1593" s="119">
        <f>IF(tech_base!$T129&gt;AJ$1465,"",(tech_base!$J129/tech_proj!AJ253*0.086*$N$110)/(1-tech_proj!AJ533))</f>
        <v>0</v>
      </c>
      <c r="AK1593" s="119">
        <f>IF(tech_base!$T129&gt;AK$1465,"",(tech_base!$J129/tech_proj!AK253*0.086*$N$110)/(1-tech_proj!AK533))</f>
        <v>0</v>
      </c>
      <c r="AL1593" s="119">
        <f>IF(tech_base!$T129&gt;AL$1465,"",(tech_base!$J129/tech_proj!AL253*0.086*$N$110)/(1-tech_proj!AL533))</f>
        <v>0</v>
      </c>
      <c r="AM1593" s="119">
        <f>IF(tech_base!$T129&gt;AM$1465,"",(tech_base!$J129/tech_proj!AM253*0.086*$N$110)/(1-tech_proj!AM533))</f>
        <v>0</v>
      </c>
      <c r="AN1593" s="119">
        <f>IF(tech_base!$T129&gt;AN$1465,"",(tech_base!$J129/tech_proj!AN253*0.086*$N$110)/(1-tech_proj!AN533))</f>
        <v>0</v>
      </c>
      <c r="AO1593" s="119">
        <f>IF(tech_base!$T129&gt;AO$1465,"",(tech_base!$J129/tech_proj!AO253*0.086*$N$110)/(1-tech_proj!AO533))</f>
        <v>0</v>
      </c>
      <c r="AP1593" s="119">
        <f>IF(tech_base!$T129&gt;AP$1465,"",(tech_base!$J129/tech_proj!AP253*0.086*$N$110)/(1-tech_proj!AP533))</f>
        <v>0</v>
      </c>
      <c r="AQ1593" s="119">
        <f>IF(tech_base!$T129&gt;AQ$1465,"",(tech_base!$J129/tech_proj!AQ253*0.086*$N$110)/(1-tech_proj!AQ533))</f>
        <v>0</v>
      </c>
      <c r="AR1593" s="119">
        <f>IF(tech_base!$T129&gt;AR$1465,"",(tech_base!$J129/tech_proj!AR253*0.086*$N$110)/(1-tech_proj!AR533))</f>
        <v>0</v>
      </c>
      <c r="AS1593" s="119">
        <f>IF(tech_base!$T129&gt;AS$1465,"",(tech_base!$J129/tech_proj!AS253*0.086*$N$110)/(1-tech_proj!AS533))</f>
        <v>0</v>
      </c>
      <c r="AT1593" s="119">
        <f>IF(tech_base!$T129&gt;AT$1465,"",(tech_base!$J129/tech_proj!AT253*0.086*$N$110)/(1-tech_proj!AT533))</f>
        <v>0</v>
      </c>
      <c r="AU1593" s="119">
        <f>IF(tech_base!$T129&gt;AU$1465,"",(tech_base!$J129/tech_proj!AU253*0.086*$N$110)/(1-tech_proj!AU533))</f>
        <v>0</v>
      </c>
      <c r="AV1593" s="119">
        <f>IF(tech_base!$T129&gt;AV$1465,"",(tech_base!$J129/tech_proj!AV253*0.086*$N$110)/(1-tech_proj!AV533))</f>
        <v>0</v>
      </c>
      <c r="AW1593" s="119">
        <f>IF(tech_base!$T129&gt;AW$1465,"",(tech_base!$J129/tech_proj!AW253*0.086*$N$110)/(1-tech_proj!AW533))</f>
        <v>0</v>
      </c>
      <c r="AX1593" s="120">
        <f>IF(tech_base!$T129&gt;AX$1465,"",(tech_base!$J129/tech_proj!AX253*0.086*$N$110)/(1-tech_proj!AX533))</f>
        <v>0</v>
      </c>
    </row>
    <row r="1594" spans="1:50" x14ac:dyDescent="0.25">
      <c r="A1594" s="357"/>
      <c r="B1594" s="362"/>
      <c r="C1594" s="381"/>
      <c r="D1594" s="4" t="s">
        <v>8</v>
      </c>
      <c r="E1594" s="168" t="str">
        <f>A1583&amp;"/"&amp;B1583&amp;"/"&amp;C1593&amp;"/"&amp;D1594</f>
        <v>Derived gas fired power plants/Steam turbine/CHP with CCS/M</v>
      </c>
      <c r="F1594" s="80" t="str">
        <f>A1583</f>
        <v>Derived gas fired power plants</v>
      </c>
      <c r="G1594" s="80" t="str">
        <f>B1583</f>
        <v>Steam turbine</v>
      </c>
      <c r="H1594" s="80" t="str">
        <f>C1593</f>
        <v>CHP with CCS</v>
      </c>
      <c r="I1594" s="169" t="str">
        <f t="shared" si="378"/>
        <v>M</v>
      </c>
      <c r="J1594" s="127" t="str">
        <f>IF(tech_base!$T130&gt;J$1465,"",(tech_base!$J130/tech_proj!J254*0.086*$N$110)/(1-tech_proj!J534))</f>
        <v/>
      </c>
      <c r="K1594" s="127" t="str">
        <f>IF(tech_base!$T130&gt;K$1465,"",(tech_base!$J130/tech_proj!K254*0.086*$N$110)/(1-tech_proj!K534))</f>
        <v/>
      </c>
      <c r="L1594" s="127" t="str">
        <f>IF(tech_base!$T130&gt;L$1465,"",(tech_base!$J130/tech_proj!L254*0.086*$N$110)/(1-tech_proj!L534))</f>
        <v/>
      </c>
      <c r="M1594" s="127" t="str">
        <f>IF(tech_base!$T130&gt;M$1465,"",(tech_base!$J130/tech_proj!M254*0.086*$N$110)/(1-tech_proj!M534))</f>
        <v/>
      </c>
      <c r="N1594" s="127" t="str">
        <f>IF(tech_base!$T130&gt;N$1465,"",(tech_base!$J130/tech_proj!N254*0.086*$N$110)/(1-tech_proj!N534))</f>
        <v/>
      </c>
      <c r="O1594" s="127" t="str">
        <f>IF(tech_base!$T130&gt;O$1465,"",(tech_base!$J130/tech_proj!O254*0.086*$N$110)/(1-tech_proj!O534))</f>
        <v/>
      </c>
      <c r="P1594" s="127" t="str">
        <f>IF(tech_base!$T130&gt;P$1465,"",(tech_base!$J130/tech_proj!P254*0.086*$N$110)/(1-tech_proj!P534))</f>
        <v/>
      </c>
      <c r="Q1594" s="127" t="str">
        <f>IF(tech_base!$T130&gt;Q$1465,"",(tech_base!$J130/tech_proj!Q254*0.086*$N$110)/(1-tech_proj!Q534))</f>
        <v/>
      </c>
      <c r="R1594" s="127" t="str">
        <f>IF(tech_base!$T130&gt;R$1465,"",(tech_base!$J130/tech_proj!R254*0.086*$N$110)/(1-tech_proj!R534))</f>
        <v/>
      </c>
      <c r="S1594" s="127" t="str">
        <f>IF(tech_base!$T130&gt;S$1465,"",(tech_base!$J130/tech_proj!S254*0.086*$N$110)/(1-tech_proj!S534))</f>
        <v/>
      </c>
      <c r="T1594" s="127" t="str">
        <f>IF(tech_base!$T130&gt;T$1465,"",(tech_base!$J130/tech_proj!T254*0.086*$N$110)/(1-tech_proj!T534))</f>
        <v/>
      </c>
      <c r="U1594" s="127" t="str">
        <f>IF(tech_base!$T130&gt;U$1465,"",(tech_base!$J130/tech_proj!U254*0.086*$N$110)/(1-tech_proj!U534))</f>
        <v/>
      </c>
      <c r="V1594" s="127" t="str">
        <f>IF(tech_base!$T130&gt;V$1465,"",(tech_base!$J130/tech_proj!V254*0.086*$N$110)/(1-tech_proj!V534))</f>
        <v/>
      </c>
      <c r="W1594" s="127" t="str">
        <f>IF(tech_base!$T130&gt;W$1465,"",(tech_base!$J130/tech_proj!W254*0.086*$N$110)/(1-tech_proj!W534))</f>
        <v/>
      </c>
      <c r="X1594" s="127" t="str">
        <f>IF(tech_base!$T130&gt;X$1465,"",(tech_base!$J130/tech_proj!X254*0.086*$N$110)/(1-tech_proj!X534))</f>
        <v/>
      </c>
      <c r="Y1594" s="127" t="str">
        <f>IF(tech_base!$T130&gt;Y$1465,"",(tech_base!$J130/tech_proj!Y254*0.086*$N$110)/(1-tech_proj!Y534))</f>
        <v/>
      </c>
      <c r="Z1594" s="127" t="str">
        <f>IF(tech_base!$T130&gt;Z$1465,"",(tech_base!$J130/tech_proj!Z254*0.086*$N$110)/(1-tech_proj!Z534))</f>
        <v/>
      </c>
      <c r="AA1594" s="127" t="str">
        <f>IF(tech_base!$T130&gt;AA$1465,"",(tech_base!$J130/tech_proj!AA254*0.086*$N$110)/(1-tech_proj!AA534))</f>
        <v/>
      </c>
      <c r="AB1594" s="127" t="str">
        <f>IF(tech_base!$T130&gt;AB$1465,"",(tech_base!$J130/tech_proj!AB254*0.086*$N$110)/(1-tech_proj!AB534))</f>
        <v/>
      </c>
      <c r="AC1594" s="127" t="str">
        <f>IF(tech_base!$T130&gt;AC$1465,"",(tech_base!$J130/tech_proj!AC254*0.086*$N$110)/(1-tech_proj!AC534))</f>
        <v/>
      </c>
      <c r="AD1594" s="127" t="str">
        <f>IF(tech_base!$T130&gt;AD$1465,"",(tech_base!$J130/tech_proj!AD254*0.086*$N$110)/(1-tech_proj!AD534))</f>
        <v/>
      </c>
      <c r="AE1594" s="127">
        <f>IF(tech_base!$T130&gt;AE$1465,"",(tech_base!$J130/tech_proj!AE254*0.086*$N$110)/(1-tech_proj!AE534))</f>
        <v>0</v>
      </c>
      <c r="AF1594" s="127">
        <f>IF(tech_base!$T130&gt;AF$1465,"",(tech_base!$J130/tech_proj!AF254*0.086*$N$110)/(1-tech_proj!AF534))</f>
        <v>0</v>
      </c>
      <c r="AG1594" s="127">
        <f>IF(tech_base!$T130&gt;AG$1465,"",(tech_base!$J130/tech_proj!AG254*0.086*$N$110)/(1-tech_proj!AG534))</f>
        <v>0</v>
      </c>
      <c r="AH1594" s="127">
        <f>IF(tech_base!$T130&gt;AH$1465,"",(tech_base!$J130/tech_proj!AH254*0.086*$N$110)/(1-tech_proj!AH534))</f>
        <v>0</v>
      </c>
      <c r="AI1594" s="127">
        <f>IF(tech_base!$T130&gt;AI$1465,"",(tech_base!$J130/tech_proj!AI254*0.086*$N$110)/(1-tech_proj!AI534))</f>
        <v>0</v>
      </c>
      <c r="AJ1594" s="127">
        <f>IF(tech_base!$T130&gt;AJ$1465,"",(tech_base!$J130/tech_proj!AJ254*0.086*$N$110)/(1-tech_proj!AJ534))</f>
        <v>0</v>
      </c>
      <c r="AK1594" s="127">
        <f>IF(tech_base!$T130&gt;AK$1465,"",(tech_base!$J130/tech_proj!AK254*0.086*$N$110)/(1-tech_proj!AK534))</f>
        <v>0</v>
      </c>
      <c r="AL1594" s="127">
        <f>IF(tech_base!$T130&gt;AL$1465,"",(tech_base!$J130/tech_proj!AL254*0.086*$N$110)/(1-tech_proj!AL534))</f>
        <v>0</v>
      </c>
      <c r="AM1594" s="127">
        <f>IF(tech_base!$T130&gt;AM$1465,"",(tech_base!$J130/tech_proj!AM254*0.086*$N$110)/(1-tech_proj!AM534))</f>
        <v>0</v>
      </c>
      <c r="AN1594" s="127">
        <f>IF(tech_base!$T130&gt;AN$1465,"",(tech_base!$J130/tech_proj!AN254*0.086*$N$110)/(1-tech_proj!AN534))</f>
        <v>0</v>
      </c>
      <c r="AO1594" s="127">
        <f>IF(tech_base!$T130&gt;AO$1465,"",(tech_base!$J130/tech_proj!AO254*0.086*$N$110)/(1-tech_proj!AO534))</f>
        <v>0</v>
      </c>
      <c r="AP1594" s="127">
        <f>IF(tech_base!$T130&gt;AP$1465,"",(tech_base!$J130/tech_proj!AP254*0.086*$N$110)/(1-tech_proj!AP534))</f>
        <v>0</v>
      </c>
      <c r="AQ1594" s="127">
        <f>IF(tech_base!$T130&gt;AQ$1465,"",(tech_base!$J130/tech_proj!AQ254*0.086*$N$110)/(1-tech_proj!AQ534))</f>
        <v>0</v>
      </c>
      <c r="AR1594" s="127">
        <f>IF(tech_base!$T130&gt;AR$1465,"",(tech_base!$J130/tech_proj!AR254*0.086*$N$110)/(1-tech_proj!AR534))</f>
        <v>0</v>
      </c>
      <c r="AS1594" s="127">
        <f>IF(tech_base!$T130&gt;AS$1465,"",(tech_base!$J130/tech_proj!AS254*0.086*$N$110)/(1-tech_proj!AS534))</f>
        <v>0</v>
      </c>
      <c r="AT1594" s="127">
        <f>IF(tech_base!$T130&gt;AT$1465,"",(tech_base!$J130/tech_proj!AT254*0.086*$N$110)/(1-tech_proj!AT534))</f>
        <v>0</v>
      </c>
      <c r="AU1594" s="127">
        <f>IF(tech_base!$T130&gt;AU$1465,"",(tech_base!$J130/tech_proj!AU254*0.086*$N$110)/(1-tech_proj!AU534))</f>
        <v>0</v>
      </c>
      <c r="AV1594" s="127">
        <f>IF(tech_base!$T130&gt;AV$1465,"",(tech_base!$J130/tech_proj!AV254*0.086*$N$110)/(1-tech_proj!AV534))</f>
        <v>0</v>
      </c>
      <c r="AW1594" s="127">
        <f>IF(tech_base!$T130&gt;AW$1465,"",(tech_base!$J130/tech_proj!AW254*0.086*$N$110)/(1-tech_proj!AW534))</f>
        <v>0</v>
      </c>
      <c r="AX1594" s="128">
        <f>IF(tech_base!$T130&gt;AX$1465,"",(tech_base!$J130/tech_proj!AX254*0.086*$N$110)/(1-tech_proj!AX534))</f>
        <v>0</v>
      </c>
    </row>
    <row r="1595" spans="1:50" x14ac:dyDescent="0.25">
      <c r="A1595" s="356" t="s">
        <v>27</v>
      </c>
      <c r="B1595" s="365" t="s">
        <v>19</v>
      </c>
      <c r="C1595" s="353" t="s">
        <v>6</v>
      </c>
      <c r="D1595" s="2" t="s">
        <v>7</v>
      </c>
      <c r="E1595" s="162" t="str">
        <f>A1595&amp;"/"&amp;B1595&amp;"/"&amp;C1595&amp;"/"&amp;D1595</f>
        <v>Refinery gas fired power plants/Steam turbine/Electricity only/L</v>
      </c>
      <c r="F1595" s="77" t="str">
        <f>A1595</f>
        <v>Refinery gas fired power plants</v>
      </c>
      <c r="G1595" s="77" t="str">
        <f>B1595</f>
        <v>Steam turbine</v>
      </c>
      <c r="H1595" s="77" t="str">
        <f>C1595</f>
        <v>Electricity only</v>
      </c>
      <c r="I1595" s="163" t="str">
        <f t="shared" ref="I1595:I1658" si="379">D1595</f>
        <v>L</v>
      </c>
      <c r="J1595" s="121">
        <f>IF(tech_base!$T131&gt;J$1465,"",(tech_base!$J131/tech_proj!J255*0.086*$N$110)/(1-tech_proj!J535))</f>
        <v>0</v>
      </c>
      <c r="K1595" s="121">
        <f>IF(tech_base!$T131&gt;K$1465,"",(tech_base!$J131/tech_proj!K255*0.086*$N$110)/(1-tech_proj!K535))</f>
        <v>0</v>
      </c>
      <c r="L1595" s="121">
        <f>IF(tech_base!$T131&gt;L$1465,"",(tech_base!$J131/tech_proj!L255*0.086*$N$110)/(1-tech_proj!L535))</f>
        <v>0</v>
      </c>
      <c r="M1595" s="121">
        <f>IF(tech_base!$T131&gt;M$1465,"",(tech_base!$J131/tech_proj!M255*0.086*$N$110)/(1-tech_proj!M535))</f>
        <v>0</v>
      </c>
      <c r="N1595" s="121">
        <f>IF(tech_base!$T131&gt;N$1465,"",(tech_base!$J131/tech_proj!N255*0.086*$N$110)/(1-tech_proj!N535))</f>
        <v>0</v>
      </c>
      <c r="O1595" s="121">
        <f>IF(tech_base!$T131&gt;O$1465,"",(tech_base!$J131/tech_proj!O255*0.086*$N$110)/(1-tech_proj!O535))</f>
        <v>0</v>
      </c>
      <c r="P1595" s="121">
        <f>IF(tech_base!$T131&gt;P$1465,"",(tech_base!$J131/tech_proj!P255*0.086*$N$110)/(1-tech_proj!P535))</f>
        <v>0</v>
      </c>
      <c r="Q1595" s="121">
        <f>IF(tech_base!$T131&gt;Q$1465,"",(tech_base!$J131/tech_proj!Q255*0.086*$N$110)/(1-tech_proj!Q535))</f>
        <v>0</v>
      </c>
      <c r="R1595" s="121">
        <f>IF(tech_base!$T131&gt;R$1465,"",(tech_base!$J131/tech_proj!R255*0.086*$N$110)/(1-tech_proj!R535))</f>
        <v>0</v>
      </c>
      <c r="S1595" s="121">
        <f>IF(tech_base!$T131&gt;S$1465,"",(tech_base!$J131/tech_proj!S255*0.086*$N$110)/(1-tech_proj!S535))</f>
        <v>0</v>
      </c>
      <c r="T1595" s="121">
        <f>IF(tech_base!$T131&gt;T$1465,"",(tech_base!$J131/tech_proj!T255*0.086*$N$110)/(1-tech_proj!T535))</f>
        <v>0</v>
      </c>
      <c r="U1595" s="121">
        <f>IF(tech_base!$T131&gt;U$1465,"",(tech_base!$J131/tech_proj!U255*0.086*$N$110)/(1-tech_proj!U535))</f>
        <v>0</v>
      </c>
      <c r="V1595" s="121">
        <f>IF(tech_base!$T131&gt;V$1465,"",(tech_base!$J131/tech_proj!V255*0.086*$N$110)/(1-tech_proj!V535))</f>
        <v>0</v>
      </c>
      <c r="W1595" s="121">
        <f>IF(tech_base!$T131&gt;W$1465,"",(tech_base!$J131/tech_proj!W255*0.086*$N$110)/(1-tech_proj!W535))</f>
        <v>0</v>
      </c>
      <c r="X1595" s="121">
        <f>IF(tech_base!$T131&gt;X$1465,"",(tech_base!$J131/tech_proj!X255*0.086*$N$110)/(1-tech_proj!X535))</f>
        <v>0</v>
      </c>
      <c r="Y1595" s="121">
        <f>IF(tech_base!$T131&gt;Y$1465,"",(tech_base!$J131/tech_proj!Y255*0.086*$N$110)/(1-tech_proj!Y535))</f>
        <v>0</v>
      </c>
      <c r="Z1595" s="121">
        <f>IF(tech_base!$T131&gt;Z$1465,"",(tech_base!$J131/tech_proj!Z255*0.086*$N$110)/(1-tech_proj!Z535))</f>
        <v>0</v>
      </c>
      <c r="AA1595" s="121">
        <f>IF(tech_base!$T131&gt;AA$1465,"",(tech_base!$J131/tech_proj!AA255*0.086*$N$110)/(1-tech_proj!AA535))</f>
        <v>0</v>
      </c>
      <c r="AB1595" s="121">
        <f>IF(tech_base!$T131&gt;AB$1465,"",(tech_base!$J131/tech_proj!AB255*0.086*$N$110)/(1-tech_proj!AB535))</f>
        <v>0</v>
      </c>
      <c r="AC1595" s="121">
        <f>IF(tech_base!$T131&gt;AC$1465,"",(tech_base!$J131/tech_proj!AC255*0.086*$N$110)/(1-tech_proj!AC535))</f>
        <v>0</v>
      </c>
      <c r="AD1595" s="121">
        <f>IF(tech_base!$T131&gt;AD$1465,"",(tech_base!$J131/tech_proj!AD255*0.086*$N$110)/(1-tech_proj!AD535))</f>
        <v>0</v>
      </c>
      <c r="AE1595" s="121">
        <f>IF(tech_base!$T131&gt;AE$1465,"",(tech_base!$J131/tech_proj!AE255*0.086*$N$110)/(1-tech_proj!AE535))</f>
        <v>0</v>
      </c>
      <c r="AF1595" s="121">
        <f>IF(tech_base!$T131&gt;AF$1465,"",(tech_base!$J131/tech_proj!AF255*0.086*$N$110)/(1-tech_proj!AF535))</f>
        <v>0</v>
      </c>
      <c r="AG1595" s="121">
        <f>IF(tech_base!$T131&gt;AG$1465,"",(tech_base!$J131/tech_proj!AG255*0.086*$N$110)/(1-tech_proj!AG535))</f>
        <v>0</v>
      </c>
      <c r="AH1595" s="121">
        <f>IF(tech_base!$T131&gt;AH$1465,"",(tech_base!$J131/tech_proj!AH255*0.086*$N$110)/(1-tech_proj!AH535))</f>
        <v>0</v>
      </c>
      <c r="AI1595" s="121">
        <f>IF(tech_base!$T131&gt;AI$1465,"",(tech_base!$J131/tech_proj!AI255*0.086*$N$110)/(1-tech_proj!AI535))</f>
        <v>0</v>
      </c>
      <c r="AJ1595" s="121">
        <f>IF(tech_base!$T131&gt;AJ$1465,"",(tech_base!$J131/tech_proj!AJ255*0.086*$N$110)/(1-tech_proj!AJ535))</f>
        <v>0</v>
      </c>
      <c r="AK1595" s="121">
        <f>IF(tech_base!$T131&gt;AK$1465,"",(tech_base!$J131/tech_proj!AK255*0.086*$N$110)/(1-tech_proj!AK535))</f>
        <v>0</v>
      </c>
      <c r="AL1595" s="121">
        <f>IF(tech_base!$T131&gt;AL$1465,"",(tech_base!$J131/tech_proj!AL255*0.086*$N$110)/(1-tech_proj!AL535))</f>
        <v>0</v>
      </c>
      <c r="AM1595" s="121">
        <f>IF(tech_base!$T131&gt;AM$1465,"",(tech_base!$J131/tech_proj!AM255*0.086*$N$110)/(1-tech_proj!AM535))</f>
        <v>0</v>
      </c>
      <c r="AN1595" s="121">
        <f>IF(tech_base!$T131&gt;AN$1465,"",(tech_base!$J131/tech_proj!AN255*0.086*$N$110)/(1-tech_proj!AN535))</f>
        <v>0</v>
      </c>
      <c r="AO1595" s="121">
        <f>IF(tech_base!$T131&gt;AO$1465,"",(tech_base!$J131/tech_proj!AO255*0.086*$N$110)/(1-tech_proj!AO535))</f>
        <v>0</v>
      </c>
      <c r="AP1595" s="121">
        <f>IF(tech_base!$T131&gt;AP$1465,"",(tech_base!$J131/tech_proj!AP255*0.086*$N$110)/(1-tech_proj!AP535))</f>
        <v>0</v>
      </c>
      <c r="AQ1595" s="121">
        <f>IF(tech_base!$T131&gt;AQ$1465,"",(tech_base!$J131/tech_proj!AQ255*0.086*$N$110)/(1-tech_proj!AQ535))</f>
        <v>0</v>
      </c>
      <c r="AR1595" s="121">
        <f>IF(tech_base!$T131&gt;AR$1465,"",(tech_base!$J131/tech_proj!AR255*0.086*$N$110)/(1-tech_proj!AR535))</f>
        <v>0</v>
      </c>
      <c r="AS1595" s="121">
        <f>IF(tech_base!$T131&gt;AS$1465,"",(tech_base!$J131/tech_proj!AS255*0.086*$N$110)/(1-tech_proj!AS535))</f>
        <v>0</v>
      </c>
      <c r="AT1595" s="121">
        <f>IF(tech_base!$T131&gt;AT$1465,"",(tech_base!$J131/tech_proj!AT255*0.086*$N$110)/(1-tech_proj!AT535))</f>
        <v>0</v>
      </c>
      <c r="AU1595" s="121">
        <f>IF(tech_base!$T131&gt;AU$1465,"",(tech_base!$J131/tech_proj!AU255*0.086*$N$110)/(1-tech_proj!AU535))</f>
        <v>0</v>
      </c>
      <c r="AV1595" s="121">
        <f>IF(tech_base!$T131&gt;AV$1465,"",(tech_base!$J131/tech_proj!AV255*0.086*$N$110)/(1-tech_proj!AV535))</f>
        <v>0</v>
      </c>
      <c r="AW1595" s="121">
        <f>IF(tech_base!$T131&gt;AW$1465,"",(tech_base!$J131/tech_proj!AW255*0.086*$N$110)/(1-tech_proj!AW535))</f>
        <v>0</v>
      </c>
      <c r="AX1595" s="122">
        <f>IF(tech_base!$T131&gt;AX$1465,"",(tech_base!$J131/tech_proj!AX255*0.086*$N$110)/(1-tech_proj!AX535))</f>
        <v>0</v>
      </c>
    </row>
    <row r="1596" spans="1:50" x14ac:dyDescent="0.25">
      <c r="A1596" s="356"/>
      <c r="B1596" s="366"/>
      <c r="C1596" s="378"/>
      <c r="D1596" s="2" t="s">
        <v>8</v>
      </c>
      <c r="E1596" s="160" t="str">
        <f>A1595&amp;"/"&amp;B1595&amp;"/"&amp;C1595&amp;"/"&amp;D1596</f>
        <v>Refinery gas fired power plants/Steam turbine/Electricity only/M</v>
      </c>
      <c r="F1596" s="76" t="str">
        <f>A1595</f>
        <v>Refinery gas fired power plants</v>
      </c>
      <c r="G1596" s="76" t="str">
        <f>B1595</f>
        <v>Steam turbine</v>
      </c>
      <c r="H1596" s="76" t="str">
        <f>C1595</f>
        <v>Electricity only</v>
      </c>
      <c r="I1596" s="161" t="str">
        <f t="shared" si="379"/>
        <v>M</v>
      </c>
      <c r="J1596" s="119">
        <f>IF(tech_base!$T132&gt;J$1465,"",(tech_base!$J132/tech_proj!J256*0.086*$N$110)/(1-tech_proj!J536))</f>
        <v>0</v>
      </c>
      <c r="K1596" s="119">
        <f>IF(tech_base!$T132&gt;K$1465,"",(tech_base!$J132/tech_proj!K256*0.086*$N$110)/(1-tech_proj!K536))</f>
        <v>0</v>
      </c>
      <c r="L1596" s="119">
        <f>IF(tech_base!$T132&gt;L$1465,"",(tech_base!$J132/tech_proj!L256*0.086*$N$110)/(1-tech_proj!L536))</f>
        <v>0</v>
      </c>
      <c r="M1596" s="119">
        <f>IF(tech_base!$T132&gt;M$1465,"",(tech_base!$J132/tech_proj!M256*0.086*$N$110)/(1-tech_proj!M536))</f>
        <v>0</v>
      </c>
      <c r="N1596" s="119">
        <f>IF(tech_base!$T132&gt;N$1465,"",(tech_base!$J132/tech_proj!N256*0.086*$N$110)/(1-tech_proj!N536))</f>
        <v>0</v>
      </c>
      <c r="O1596" s="119">
        <f>IF(tech_base!$T132&gt;O$1465,"",(tech_base!$J132/tech_proj!O256*0.086*$N$110)/(1-tech_proj!O536))</f>
        <v>0</v>
      </c>
      <c r="P1596" s="119">
        <f>IF(tech_base!$T132&gt;P$1465,"",(tech_base!$J132/tech_proj!P256*0.086*$N$110)/(1-tech_proj!P536))</f>
        <v>0</v>
      </c>
      <c r="Q1596" s="119">
        <f>IF(tech_base!$T132&gt;Q$1465,"",(tech_base!$J132/tech_proj!Q256*0.086*$N$110)/(1-tech_proj!Q536))</f>
        <v>0</v>
      </c>
      <c r="R1596" s="119">
        <f>IF(tech_base!$T132&gt;R$1465,"",(tech_base!$J132/tech_proj!R256*0.086*$N$110)/(1-tech_proj!R536))</f>
        <v>0</v>
      </c>
      <c r="S1596" s="119">
        <f>IF(tech_base!$T132&gt;S$1465,"",(tech_base!$J132/tech_proj!S256*0.086*$N$110)/(1-tech_proj!S536))</f>
        <v>0</v>
      </c>
      <c r="T1596" s="119">
        <f>IF(tech_base!$T132&gt;T$1465,"",(tech_base!$J132/tech_proj!T256*0.086*$N$110)/(1-tech_proj!T536))</f>
        <v>0</v>
      </c>
      <c r="U1596" s="119">
        <f>IF(tech_base!$T132&gt;U$1465,"",(tech_base!$J132/tech_proj!U256*0.086*$N$110)/(1-tech_proj!U536))</f>
        <v>0</v>
      </c>
      <c r="V1596" s="119">
        <f>IF(tech_base!$T132&gt;V$1465,"",(tech_base!$J132/tech_proj!V256*0.086*$N$110)/(1-tech_proj!V536))</f>
        <v>0</v>
      </c>
      <c r="W1596" s="119">
        <f>IF(tech_base!$T132&gt;W$1465,"",(tech_base!$J132/tech_proj!W256*0.086*$N$110)/(1-tech_proj!W536))</f>
        <v>0</v>
      </c>
      <c r="X1596" s="119">
        <f>IF(tech_base!$T132&gt;X$1465,"",(tech_base!$J132/tech_proj!X256*0.086*$N$110)/(1-tech_proj!X536))</f>
        <v>0</v>
      </c>
      <c r="Y1596" s="119">
        <f>IF(tech_base!$T132&gt;Y$1465,"",(tech_base!$J132/tech_proj!Y256*0.086*$N$110)/(1-tech_proj!Y536))</f>
        <v>0</v>
      </c>
      <c r="Z1596" s="119">
        <f>IF(tech_base!$T132&gt;Z$1465,"",(tech_base!$J132/tech_proj!Z256*0.086*$N$110)/(1-tech_proj!Z536))</f>
        <v>0</v>
      </c>
      <c r="AA1596" s="119">
        <f>IF(tech_base!$T132&gt;AA$1465,"",(tech_base!$J132/tech_proj!AA256*0.086*$N$110)/(1-tech_proj!AA536))</f>
        <v>0</v>
      </c>
      <c r="AB1596" s="119">
        <f>IF(tech_base!$T132&gt;AB$1465,"",(tech_base!$J132/tech_proj!AB256*0.086*$N$110)/(1-tech_proj!AB536))</f>
        <v>0</v>
      </c>
      <c r="AC1596" s="119">
        <f>IF(tech_base!$T132&gt;AC$1465,"",(tech_base!$J132/tech_proj!AC256*0.086*$N$110)/(1-tech_proj!AC536))</f>
        <v>0</v>
      </c>
      <c r="AD1596" s="119">
        <f>IF(tech_base!$T132&gt;AD$1465,"",(tech_base!$J132/tech_proj!AD256*0.086*$N$110)/(1-tech_proj!AD536))</f>
        <v>0</v>
      </c>
      <c r="AE1596" s="119">
        <f>IF(tech_base!$T132&gt;AE$1465,"",(tech_base!$J132/tech_proj!AE256*0.086*$N$110)/(1-tech_proj!AE536))</f>
        <v>0</v>
      </c>
      <c r="AF1596" s="119">
        <f>IF(tech_base!$T132&gt;AF$1465,"",(tech_base!$J132/tech_proj!AF256*0.086*$N$110)/(1-tech_proj!AF536))</f>
        <v>0</v>
      </c>
      <c r="AG1596" s="119">
        <f>IF(tech_base!$T132&gt;AG$1465,"",(tech_base!$J132/tech_proj!AG256*0.086*$N$110)/(1-tech_proj!AG536))</f>
        <v>0</v>
      </c>
      <c r="AH1596" s="119">
        <f>IF(tech_base!$T132&gt;AH$1465,"",(tech_base!$J132/tech_proj!AH256*0.086*$N$110)/(1-tech_proj!AH536))</f>
        <v>0</v>
      </c>
      <c r="AI1596" s="119">
        <f>IF(tech_base!$T132&gt;AI$1465,"",(tech_base!$J132/tech_proj!AI256*0.086*$N$110)/(1-tech_proj!AI536))</f>
        <v>0</v>
      </c>
      <c r="AJ1596" s="119">
        <f>IF(tech_base!$T132&gt;AJ$1465,"",(tech_base!$J132/tech_proj!AJ256*0.086*$N$110)/(1-tech_proj!AJ536))</f>
        <v>0</v>
      </c>
      <c r="AK1596" s="119">
        <f>IF(tech_base!$T132&gt;AK$1465,"",(tech_base!$J132/tech_proj!AK256*0.086*$N$110)/(1-tech_proj!AK536))</f>
        <v>0</v>
      </c>
      <c r="AL1596" s="119">
        <f>IF(tech_base!$T132&gt;AL$1465,"",(tech_base!$J132/tech_proj!AL256*0.086*$N$110)/(1-tech_proj!AL536))</f>
        <v>0</v>
      </c>
      <c r="AM1596" s="119">
        <f>IF(tech_base!$T132&gt;AM$1465,"",(tech_base!$J132/tech_proj!AM256*0.086*$N$110)/(1-tech_proj!AM536))</f>
        <v>0</v>
      </c>
      <c r="AN1596" s="119">
        <f>IF(tech_base!$T132&gt;AN$1465,"",(tech_base!$J132/tech_proj!AN256*0.086*$N$110)/(1-tech_proj!AN536))</f>
        <v>0</v>
      </c>
      <c r="AO1596" s="119">
        <f>IF(tech_base!$T132&gt;AO$1465,"",(tech_base!$J132/tech_proj!AO256*0.086*$N$110)/(1-tech_proj!AO536))</f>
        <v>0</v>
      </c>
      <c r="AP1596" s="119">
        <f>IF(tech_base!$T132&gt;AP$1465,"",(tech_base!$J132/tech_proj!AP256*0.086*$N$110)/(1-tech_proj!AP536))</f>
        <v>0</v>
      </c>
      <c r="AQ1596" s="119">
        <f>IF(tech_base!$T132&gt;AQ$1465,"",(tech_base!$J132/tech_proj!AQ256*0.086*$N$110)/(1-tech_proj!AQ536))</f>
        <v>0</v>
      </c>
      <c r="AR1596" s="119">
        <f>IF(tech_base!$T132&gt;AR$1465,"",(tech_base!$J132/tech_proj!AR256*0.086*$N$110)/(1-tech_proj!AR536))</f>
        <v>0</v>
      </c>
      <c r="AS1596" s="119">
        <f>IF(tech_base!$T132&gt;AS$1465,"",(tech_base!$J132/tech_proj!AS256*0.086*$N$110)/(1-tech_proj!AS536))</f>
        <v>0</v>
      </c>
      <c r="AT1596" s="119">
        <f>IF(tech_base!$T132&gt;AT$1465,"",(tech_base!$J132/tech_proj!AT256*0.086*$N$110)/(1-tech_proj!AT536))</f>
        <v>0</v>
      </c>
      <c r="AU1596" s="119">
        <f>IF(tech_base!$T132&gt;AU$1465,"",(tech_base!$J132/tech_proj!AU256*0.086*$N$110)/(1-tech_proj!AU536))</f>
        <v>0</v>
      </c>
      <c r="AV1596" s="119">
        <f>IF(tech_base!$T132&gt;AV$1465,"",(tech_base!$J132/tech_proj!AV256*0.086*$N$110)/(1-tech_proj!AV536))</f>
        <v>0</v>
      </c>
      <c r="AW1596" s="119">
        <f>IF(tech_base!$T132&gt;AW$1465,"",(tech_base!$J132/tech_proj!AW256*0.086*$N$110)/(1-tech_proj!AW536))</f>
        <v>0</v>
      </c>
      <c r="AX1596" s="120">
        <f>IF(tech_base!$T132&gt;AX$1465,"",(tech_base!$J132/tech_proj!AX256*0.086*$N$110)/(1-tech_proj!AX536))</f>
        <v>0</v>
      </c>
    </row>
    <row r="1597" spans="1:50" x14ac:dyDescent="0.25">
      <c r="A1597" s="356"/>
      <c r="B1597" s="366"/>
      <c r="C1597" s="379"/>
      <c r="D1597" s="2" t="s">
        <v>10</v>
      </c>
      <c r="E1597" s="160" t="str">
        <f>A1595&amp;"/"&amp;B1595&amp;"/"&amp;C1595&amp;"/"&amp;D1597</f>
        <v>Refinery gas fired power plants/Steam turbine/Electricity only/S</v>
      </c>
      <c r="F1597" s="76" t="str">
        <f>A1595</f>
        <v>Refinery gas fired power plants</v>
      </c>
      <c r="G1597" s="76" t="str">
        <f>B1595</f>
        <v>Steam turbine</v>
      </c>
      <c r="H1597" s="76" t="str">
        <f>C1595</f>
        <v>Electricity only</v>
      </c>
      <c r="I1597" s="161" t="str">
        <f t="shared" si="379"/>
        <v>S</v>
      </c>
      <c r="J1597" s="119">
        <f>IF(tech_base!$T133&gt;J$1465,"",(tech_base!$J133/tech_proj!J257*0.086*$N$110)/(1-tech_proj!J537))</f>
        <v>0</v>
      </c>
      <c r="K1597" s="119">
        <f>IF(tech_base!$T133&gt;K$1465,"",(tech_base!$J133/tech_proj!K257*0.086*$N$110)/(1-tech_proj!K537))</f>
        <v>0</v>
      </c>
      <c r="L1597" s="119">
        <f>IF(tech_base!$T133&gt;L$1465,"",(tech_base!$J133/tech_proj!L257*0.086*$N$110)/(1-tech_proj!L537))</f>
        <v>0</v>
      </c>
      <c r="M1597" s="119">
        <f>IF(tech_base!$T133&gt;M$1465,"",(tech_base!$J133/tech_proj!M257*0.086*$N$110)/(1-tech_proj!M537))</f>
        <v>0</v>
      </c>
      <c r="N1597" s="119">
        <f>IF(tech_base!$T133&gt;N$1465,"",(tech_base!$J133/tech_proj!N257*0.086*$N$110)/(1-tech_proj!N537))</f>
        <v>0</v>
      </c>
      <c r="O1597" s="119">
        <f>IF(tech_base!$T133&gt;O$1465,"",(tech_base!$J133/tech_proj!O257*0.086*$N$110)/(1-tech_proj!O537))</f>
        <v>0</v>
      </c>
      <c r="P1597" s="119">
        <f>IF(tech_base!$T133&gt;P$1465,"",(tech_base!$J133/tech_proj!P257*0.086*$N$110)/(1-tech_proj!P537))</f>
        <v>0</v>
      </c>
      <c r="Q1597" s="119">
        <f>IF(tech_base!$T133&gt;Q$1465,"",(tech_base!$J133/tech_proj!Q257*0.086*$N$110)/(1-tech_proj!Q537))</f>
        <v>0</v>
      </c>
      <c r="R1597" s="119">
        <f>IF(tech_base!$T133&gt;R$1465,"",(tech_base!$J133/tech_proj!R257*0.086*$N$110)/(1-tech_proj!R537))</f>
        <v>0</v>
      </c>
      <c r="S1597" s="119">
        <f>IF(tech_base!$T133&gt;S$1465,"",(tech_base!$J133/tech_proj!S257*0.086*$N$110)/(1-tech_proj!S537))</f>
        <v>0</v>
      </c>
      <c r="T1597" s="119">
        <f>IF(tech_base!$T133&gt;T$1465,"",(tech_base!$J133/tech_proj!T257*0.086*$N$110)/(1-tech_proj!T537))</f>
        <v>0</v>
      </c>
      <c r="U1597" s="119">
        <f>IF(tech_base!$T133&gt;U$1465,"",(tech_base!$J133/tech_proj!U257*0.086*$N$110)/(1-tech_proj!U537))</f>
        <v>0</v>
      </c>
      <c r="V1597" s="119">
        <f>IF(tech_base!$T133&gt;V$1465,"",(tech_base!$J133/tech_proj!V257*0.086*$N$110)/(1-tech_proj!V537))</f>
        <v>0</v>
      </c>
      <c r="W1597" s="119">
        <f>IF(tech_base!$T133&gt;W$1465,"",(tech_base!$J133/tech_proj!W257*0.086*$N$110)/(1-tech_proj!W537))</f>
        <v>0</v>
      </c>
      <c r="X1597" s="119">
        <f>IF(tech_base!$T133&gt;X$1465,"",(tech_base!$J133/tech_proj!X257*0.086*$N$110)/(1-tech_proj!X537))</f>
        <v>0</v>
      </c>
      <c r="Y1597" s="119">
        <f>IF(tech_base!$T133&gt;Y$1465,"",(tech_base!$J133/tech_proj!Y257*0.086*$N$110)/(1-tech_proj!Y537))</f>
        <v>0</v>
      </c>
      <c r="Z1597" s="119">
        <f>IF(tech_base!$T133&gt;Z$1465,"",(tech_base!$J133/tech_proj!Z257*0.086*$N$110)/(1-tech_proj!Z537))</f>
        <v>0</v>
      </c>
      <c r="AA1597" s="119">
        <f>IF(tech_base!$T133&gt;AA$1465,"",(tech_base!$J133/tech_proj!AA257*0.086*$N$110)/(1-tech_proj!AA537))</f>
        <v>0</v>
      </c>
      <c r="AB1597" s="119">
        <f>IF(tech_base!$T133&gt;AB$1465,"",(tech_base!$J133/tech_proj!AB257*0.086*$N$110)/(1-tech_proj!AB537))</f>
        <v>0</v>
      </c>
      <c r="AC1597" s="119">
        <f>IF(tech_base!$T133&gt;AC$1465,"",(tech_base!$J133/tech_proj!AC257*0.086*$N$110)/(1-tech_proj!AC537))</f>
        <v>0</v>
      </c>
      <c r="AD1597" s="119">
        <f>IF(tech_base!$T133&gt;AD$1465,"",(tech_base!$J133/tech_proj!AD257*0.086*$N$110)/(1-tech_proj!AD537))</f>
        <v>0</v>
      </c>
      <c r="AE1597" s="119">
        <f>IF(tech_base!$T133&gt;AE$1465,"",(tech_base!$J133/tech_proj!AE257*0.086*$N$110)/(1-tech_proj!AE537))</f>
        <v>0</v>
      </c>
      <c r="AF1597" s="119">
        <f>IF(tech_base!$T133&gt;AF$1465,"",(tech_base!$J133/tech_proj!AF257*0.086*$N$110)/(1-tech_proj!AF537))</f>
        <v>0</v>
      </c>
      <c r="AG1597" s="119">
        <f>IF(tech_base!$T133&gt;AG$1465,"",(tech_base!$J133/tech_proj!AG257*0.086*$N$110)/(1-tech_proj!AG537))</f>
        <v>0</v>
      </c>
      <c r="AH1597" s="119">
        <f>IF(tech_base!$T133&gt;AH$1465,"",(tech_base!$J133/tech_proj!AH257*0.086*$N$110)/(1-tech_proj!AH537))</f>
        <v>0</v>
      </c>
      <c r="AI1597" s="119">
        <f>IF(tech_base!$T133&gt;AI$1465,"",(tech_base!$J133/tech_proj!AI257*0.086*$N$110)/(1-tech_proj!AI537))</f>
        <v>0</v>
      </c>
      <c r="AJ1597" s="119">
        <f>IF(tech_base!$T133&gt;AJ$1465,"",(tech_base!$J133/tech_proj!AJ257*0.086*$N$110)/(1-tech_proj!AJ537))</f>
        <v>0</v>
      </c>
      <c r="AK1597" s="119">
        <f>IF(tech_base!$T133&gt;AK$1465,"",(tech_base!$J133/tech_proj!AK257*0.086*$N$110)/(1-tech_proj!AK537))</f>
        <v>0</v>
      </c>
      <c r="AL1597" s="119">
        <f>IF(tech_base!$T133&gt;AL$1465,"",(tech_base!$J133/tech_proj!AL257*0.086*$N$110)/(1-tech_proj!AL537))</f>
        <v>0</v>
      </c>
      <c r="AM1597" s="119">
        <f>IF(tech_base!$T133&gt;AM$1465,"",(tech_base!$J133/tech_proj!AM257*0.086*$N$110)/(1-tech_proj!AM537))</f>
        <v>0</v>
      </c>
      <c r="AN1597" s="119">
        <f>IF(tech_base!$T133&gt;AN$1465,"",(tech_base!$J133/tech_proj!AN257*0.086*$N$110)/(1-tech_proj!AN537))</f>
        <v>0</v>
      </c>
      <c r="AO1597" s="119">
        <f>IF(tech_base!$T133&gt;AO$1465,"",(tech_base!$J133/tech_proj!AO257*0.086*$N$110)/(1-tech_proj!AO537))</f>
        <v>0</v>
      </c>
      <c r="AP1597" s="119">
        <f>IF(tech_base!$T133&gt;AP$1465,"",(tech_base!$J133/tech_proj!AP257*0.086*$N$110)/(1-tech_proj!AP537))</f>
        <v>0</v>
      </c>
      <c r="AQ1597" s="119">
        <f>IF(tech_base!$T133&gt;AQ$1465,"",(tech_base!$J133/tech_proj!AQ257*0.086*$N$110)/(1-tech_proj!AQ537))</f>
        <v>0</v>
      </c>
      <c r="AR1597" s="119">
        <f>IF(tech_base!$T133&gt;AR$1465,"",(tech_base!$J133/tech_proj!AR257*0.086*$N$110)/(1-tech_proj!AR537))</f>
        <v>0</v>
      </c>
      <c r="AS1597" s="119">
        <f>IF(tech_base!$T133&gt;AS$1465,"",(tech_base!$J133/tech_proj!AS257*0.086*$N$110)/(1-tech_proj!AS537))</f>
        <v>0</v>
      </c>
      <c r="AT1597" s="119">
        <f>IF(tech_base!$T133&gt;AT$1465,"",(tech_base!$J133/tech_proj!AT257*0.086*$N$110)/(1-tech_proj!AT537))</f>
        <v>0</v>
      </c>
      <c r="AU1597" s="119">
        <f>IF(tech_base!$T133&gt;AU$1465,"",(tech_base!$J133/tech_proj!AU257*0.086*$N$110)/(1-tech_proj!AU537))</f>
        <v>0</v>
      </c>
      <c r="AV1597" s="119">
        <f>IF(tech_base!$T133&gt;AV$1465,"",(tech_base!$J133/tech_proj!AV257*0.086*$N$110)/(1-tech_proj!AV537))</f>
        <v>0</v>
      </c>
      <c r="AW1597" s="119">
        <f>IF(tech_base!$T133&gt;AW$1465,"",(tech_base!$J133/tech_proj!AW257*0.086*$N$110)/(1-tech_proj!AW537))</f>
        <v>0</v>
      </c>
      <c r="AX1597" s="120">
        <f>IF(tech_base!$T133&gt;AX$1465,"",(tech_base!$J133/tech_proj!AX257*0.086*$N$110)/(1-tech_proj!AX537))</f>
        <v>0</v>
      </c>
    </row>
    <row r="1598" spans="1:50" x14ac:dyDescent="0.25">
      <c r="A1598" s="356"/>
      <c r="B1598" s="366"/>
      <c r="C1598" s="361" t="s">
        <v>14</v>
      </c>
      <c r="D1598" s="58" t="s">
        <v>7</v>
      </c>
      <c r="E1598" s="164" t="str">
        <f>A1595&amp;"/"&amp;B1595&amp;"/"&amp;C1598&amp;"/"&amp;D1598</f>
        <v>Refinery gas fired power plants/Steam turbine/CHP/L</v>
      </c>
      <c r="F1598" s="78" t="str">
        <f>A1595</f>
        <v>Refinery gas fired power plants</v>
      </c>
      <c r="G1598" s="78" t="str">
        <f>B1595</f>
        <v>Steam turbine</v>
      </c>
      <c r="H1598" s="78" t="str">
        <f>C1598</f>
        <v>CHP</v>
      </c>
      <c r="I1598" s="165" t="str">
        <f t="shared" si="379"/>
        <v>L</v>
      </c>
      <c r="J1598" s="123">
        <f>IF(tech_base!$T134&gt;J$1465,"",(tech_base!$J134/tech_proj!J258*0.086*$N$110)/(1-tech_proj!J538))</f>
        <v>0</v>
      </c>
      <c r="K1598" s="123">
        <f>IF(tech_base!$T134&gt;K$1465,"",(tech_base!$J134/tech_proj!K258*0.086*$N$110)/(1-tech_proj!K538))</f>
        <v>0</v>
      </c>
      <c r="L1598" s="123">
        <f>IF(tech_base!$T134&gt;L$1465,"",(tech_base!$J134/tech_proj!L258*0.086*$N$110)/(1-tech_proj!L538))</f>
        <v>0</v>
      </c>
      <c r="M1598" s="123">
        <f>IF(tech_base!$T134&gt;M$1465,"",(tech_base!$J134/tech_proj!M258*0.086*$N$110)/(1-tech_proj!M538))</f>
        <v>0</v>
      </c>
      <c r="N1598" s="123">
        <f>IF(tech_base!$T134&gt;N$1465,"",(tech_base!$J134/tech_proj!N258*0.086*$N$110)/(1-tech_proj!N538))</f>
        <v>0</v>
      </c>
      <c r="O1598" s="123">
        <f>IF(tech_base!$T134&gt;O$1465,"",(tech_base!$J134/tech_proj!O258*0.086*$N$110)/(1-tech_proj!O538))</f>
        <v>0</v>
      </c>
      <c r="P1598" s="123">
        <f>IF(tech_base!$T134&gt;P$1465,"",(tech_base!$J134/tech_proj!P258*0.086*$N$110)/(1-tech_proj!P538))</f>
        <v>0</v>
      </c>
      <c r="Q1598" s="123">
        <f>IF(tech_base!$T134&gt;Q$1465,"",(tech_base!$J134/tech_proj!Q258*0.086*$N$110)/(1-tech_proj!Q538))</f>
        <v>0</v>
      </c>
      <c r="R1598" s="123">
        <f>IF(tech_base!$T134&gt;R$1465,"",(tech_base!$J134/tech_proj!R258*0.086*$N$110)/(1-tech_proj!R538))</f>
        <v>0</v>
      </c>
      <c r="S1598" s="123">
        <f>IF(tech_base!$T134&gt;S$1465,"",(tech_base!$J134/tech_proj!S258*0.086*$N$110)/(1-tech_proj!S538))</f>
        <v>0</v>
      </c>
      <c r="T1598" s="123">
        <f>IF(tech_base!$T134&gt;T$1465,"",(tech_base!$J134/tech_proj!T258*0.086*$N$110)/(1-tech_proj!T538))</f>
        <v>0</v>
      </c>
      <c r="U1598" s="123">
        <f>IF(tech_base!$T134&gt;U$1465,"",(tech_base!$J134/tech_proj!U258*0.086*$N$110)/(1-tech_proj!U538))</f>
        <v>0</v>
      </c>
      <c r="V1598" s="123">
        <f>IF(tech_base!$T134&gt;V$1465,"",(tech_base!$J134/tech_proj!V258*0.086*$N$110)/(1-tech_proj!V538))</f>
        <v>0</v>
      </c>
      <c r="W1598" s="123">
        <f>IF(tech_base!$T134&gt;W$1465,"",(tech_base!$J134/tech_proj!W258*0.086*$N$110)/(1-tech_proj!W538))</f>
        <v>0</v>
      </c>
      <c r="X1598" s="123">
        <f>IF(tech_base!$T134&gt;X$1465,"",(tech_base!$J134/tech_proj!X258*0.086*$N$110)/(1-tech_proj!X538))</f>
        <v>0</v>
      </c>
      <c r="Y1598" s="123">
        <f>IF(tech_base!$T134&gt;Y$1465,"",(tech_base!$J134/tech_proj!Y258*0.086*$N$110)/(1-tech_proj!Y538))</f>
        <v>0</v>
      </c>
      <c r="Z1598" s="123">
        <f>IF(tech_base!$T134&gt;Z$1465,"",(tech_base!$J134/tech_proj!Z258*0.086*$N$110)/(1-tech_proj!Z538))</f>
        <v>0</v>
      </c>
      <c r="AA1598" s="123">
        <f>IF(tech_base!$T134&gt;AA$1465,"",(tech_base!$J134/tech_proj!AA258*0.086*$N$110)/(1-tech_proj!AA538))</f>
        <v>0</v>
      </c>
      <c r="AB1598" s="123">
        <f>IF(tech_base!$T134&gt;AB$1465,"",(tech_base!$J134/tech_proj!AB258*0.086*$N$110)/(1-tech_proj!AB538))</f>
        <v>0</v>
      </c>
      <c r="AC1598" s="123">
        <f>IF(tech_base!$T134&gt;AC$1465,"",(tech_base!$J134/tech_proj!AC258*0.086*$N$110)/(1-tech_proj!AC538))</f>
        <v>0</v>
      </c>
      <c r="AD1598" s="123">
        <f>IF(tech_base!$T134&gt;AD$1465,"",(tech_base!$J134/tech_proj!AD258*0.086*$N$110)/(1-tech_proj!AD538))</f>
        <v>0</v>
      </c>
      <c r="AE1598" s="123">
        <f>IF(tech_base!$T134&gt;AE$1465,"",(tech_base!$J134/tech_proj!AE258*0.086*$N$110)/(1-tech_proj!AE538))</f>
        <v>0</v>
      </c>
      <c r="AF1598" s="123">
        <f>IF(tech_base!$T134&gt;AF$1465,"",(tech_base!$J134/tech_proj!AF258*0.086*$N$110)/(1-tech_proj!AF538))</f>
        <v>0</v>
      </c>
      <c r="AG1598" s="123">
        <f>IF(tech_base!$T134&gt;AG$1465,"",(tech_base!$J134/tech_proj!AG258*0.086*$N$110)/(1-tech_proj!AG538))</f>
        <v>0</v>
      </c>
      <c r="AH1598" s="123">
        <f>IF(tech_base!$T134&gt;AH$1465,"",(tech_base!$J134/tech_proj!AH258*0.086*$N$110)/(1-tech_proj!AH538))</f>
        <v>0</v>
      </c>
      <c r="AI1598" s="123">
        <f>IF(tech_base!$T134&gt;AI$1465,"",(tech_base!$J134/tech_proj!AI258*0.086*$N$110)/(1-tech_proj!AI538))</f>
        <v>0</v>
      </c>
      <c r="AJ1598" s="123">
        <f>IF(tech_base!$T134&gt;AJ$1465,"",(tech_base!$J134/tech_proj!AJ258*0.086*$N$110)/(1-tech_proj!AJ538))</f>
        <v>0</v>
      </c>
      <c r="AK1598" s="123">
        <f>IF(tech_base!$T134&gt;AK$1465,"",(tech_base!$J134/tech_proj!AK258*0.086*$N$110)/(1-tech_proj!AK538))</f>
        <v>0</v>
      </c>
      <c r="AL1598" s="123">
        <f>IF(tech_base!$T134&gt;AL$1465,"",(tech_base!$J134/tech_proj!AL258*0.086*$N$110)/(1-tech_proj!AL538))</f>
        <v>0</v>
      </c>
      <c r="AM1598" s="123">
        <f>IF(tech_base!$T134&gt;AM$1465,"",(tech_base!$J134/tech_proj!AM258*0.086*$N$110)/(1-tech_proj!AM538))</f>
        <v>0</v>
      </c>
      <c r="AN1598" s="123">
        <f>IF(tech_base!$T134&gt;AN$1465,"",(tech_base!$J134/tech_proj!AN258*0.086*$N$110)/(1-tech_proj!AN538))</f>
        <v>0</v>
      </c>
      <c r="AO1598" s="123">
        <f>IF(tech_base!$T134&gt;AO$1465,"",(tech_base!$J134/tech_proj!AO258*0.086*$N$110)/(1-tech_proj!AO538))</f>
        <v>0</v>
      </c>
      <c r="AP1598" s="123">
        <f>IF(tech_base!$T134&gt;AP$1465,"",(tech_base!$J134/tech_proj!AP258*0.086*$N$110)/(1-tech_proj!AP538))</f>
        <v>0</v>
      </c>
      <c r="AQ1598" s="123">
        <f>IF(tech_base!$T134&gt;AQ$1465,"",(tech_base!$J134/tech_proj!AQ258*0.086*$N$110)/(1-tech_proj!AQ538))</f>
        <v>0</v>
      </c>
      <c r="AR1598" s="123">
        <f>IF(tech_base!$T134&gt;AR$1465,"",(tech_base!$J134/tech_proj!AR258*0.086*$N$110)/(1-tech_proj!AR538))</f>
        <v>0</v>
      </c>
      <c r="AS1598" s="123">
        <f>IF(tech_base!$T134&gt;AS$1465,"",(tech_base!$J134/tech_proj!AS258*0.086*$N$110)/(1-tech_proj!AS538))</f>
        <v>0</v>
      </c>
      <c r="AT1598" s="123">
        <f>IF(tech_base!$T134&gt;AT$1465,"",(tech_base!$J134/tech_proj!AT258*0.086*$N$110)/(1-tech_proj!AT538))</f>
        <v>0</v>
      </c>
      <c r="AU1598" s="123">
        <f>IF(tech_base!$T134&gt;AU$1465,"",(tech_base!$J134/tech_proj!AU258*0.086*$N$110)/(1-tech_proj!AU538))</f>
        <v>0</v>
      </c>
      <c r="AV1598" s="123">
        <f>IF(tech_base!$T134&gt;AV$1465,"",(tech_base!$J134/tech_proj!AV258*0.086*$N$110)/(1-tech_proj!AV538))</f>
        <v>0</v>
      </c>
      <c r="AW1598" s="123">
        <f>IF(tech_base!$T134&gt;AW$1465,"",(tech_base!$J134/tech_proj!AW258*0.086*$N$110)/(1-tech_proj!AW538))</f>
        <v>0</v>
      </c>
      <c r="AX1598" s="124">
        <f>IF(tech_base!$T134&gt;AX$1465,"",(tech_base!$J134/tech_proj!AX258*0.086*$N$110)/(1-tech_proj!AX538))</f>
        <v>0</v>
      </c>
    </row>
    <row r="1599" spans="1:50" x14ac:dyDescent="0.25">
      <c r="A1599" s="356"/>
      <c r="B1599" s="366"/>
      <c r="C1599" s="378"/>
      <c r="D1599" s="2" t="s">
        <v>8</v>
      </c>
      <c r="E1599" s="160" t="str">
        <f>A1595&amp;"/"&amp;B1595&amp;"/"&amp;C1598&amp;"/"&amp;D1599</f>
        <v>Refinery gas fired power plants/Steam turbine/CHP/M</v>
      </c>
      <c r="F1599" s="76" t="str">
        <f>A1595</f>
        <v>Refinery gas fired power plants</v>
      </c>
      <c r="G1599" s="76" t="str">
        <f>B1595</f>
        <v>Steam turbine</v>
      </c>
      <c r="H1599" s="76" t="str">
        <f>C1598</f>
        <v>CHP</v>
      </c>
      <c r="I1599" s="161" t="str">
        <f t="shared" si="379"/>
        <v>M</v>
      </c>
      <c r="J1599" s="119">
        <f>IF(tech_base!$T135&gt;J$1465,"",(tech_base!$J135/tech_proj!J259*0.086*$N$110)/(1-tech_proj!J539))</f>
        <v>0</v>
      </c>
      <c r="K1599" s="119">
        <f>IF(tech_base!$T135&gt;K$1465,"",(tech_base!$J135/tech_proj!K259*0.086*$N$110)/(1-tech_proj!K539))</f>
        <v>0</v>
      </c>
      <c r="L1599" s="119">
        <f>IF(tech_base!$T135&gt;L$1465,"",(tech_base!$J135/tech_proj!L259*0.086*$N$110)/(1-tech_proj!L539))</f>
        <v>0</v>
      </c>
      <c r="M1599" s="119">
        <f>IF(tech_base!$T135&gt;M$1465,"",(tech_base!$J135/tech_proj!M259*0.086*$N$110)/(1-tech_proj!M539))</f>
        <v>0</v>
      </c>
      <c r="N1599" s="119">
        <f>IF(tech_base!$T135&gt;N$1465,"",(tech_base!$J135/tech_proj!N259*0.086*$N$110)/(1-tech_proj!N539))</f>
        <v>0</v>
      </c>
      <c r="O1599" s="119">
        <f>IF(tech_base!$T135&gt;O$1465,"",(tech_base!$J135/tech_proj!O259*0.086*$N$110)/(1-tech_proj!O539))</f>
        <v>0</v>
      </c>
      <c r="P1599" s="119">
        <f>IF(tech_base!$T135&gt;P$1465,"",(tech_base!$J135/tech_proj!P259*0.086*$N$110)/(1-tech_proj!P539))</f>
        <v>0</v>
      </c>
      <c r="Q1599" s="119">
        <f>IF(tech_base!$T135&gt;Q$1465,"",(tech_base!$J135/tech_proj!Q259*0.086*$N$110)/(1-tech_proj!Q539))</f>
        <v>0</v>
      </c>
      <c r="R1599" s="119">
        <f>IF(tech_base!$T135&gt;R$1465,"",(tech_base!$J135/tech_proj!R259*0.086*$N$110)/(1-tech_proj!R539))</f>
        <v>0</v>
      </c>
      <c r="S1599" s="119">
        <f>IF(tech_base!$T135&gt;S$1465,"",(tech_base!$J135/tech_proj!S259*0.086*$N$110)/(1-tech_proj!S539))</f>
        <v>0</v>
      </c>
      <c r="T1599" s="119">
        <f>IF(tech_base!$T135&gt;T$1465,"",(tech_base!$J135/tech_proj!T259*0.086*$N$110)/(1-tech_proj!T539))</f>
        <v>0</v>
      </c>
      <c r="U1599" s="119">
        <f>IF(tech_base!$T135&gt;U$1465,"",(tech_base!$J135/tech_proj!U259*0.086*$N$110)/(1-tech_proj!U539))</f>
        <v>0</v>
      </c>
      <c r="V1599" s="119">
        <f>IF(tech_base!$T135&gt;V$1465,"",(tech_base!$J135/tech_proj!V259*0.086*$N$110)/(1-tech_proj!V539))</f>
        <v>0</v>
      </c>
      <c r="W1599" s="119">
        <f>IF(tech_base!$T135&gt;W$1465,"",(tech_base!$J135/tech_proj!W259*0.086*$N$110)/(1-tech_proj!W539))</f>
        <v>0</v>
      </c>
      <c r="X1599" s="119">
        <f>IF(tech_base!$T135&gt;X$1465,"",(tech_base!$J135/tech_proj!X259*0.086*$N$110)/(1-tech_proj!X539))</f>
        <v>0</v>
      </c>
      <c r="Y1599" s="119">
        <f>IF(tech_base!$T135&gt;Y$1465,"",(tech_base!$J135/tech_proj!Y259*0.086*$N$110)/(1-tech_proj!Y539))</f>
        <v>0</v>
      </c>
      <c r="Z1599" s="119">
        <f>IF(tech_base!$T135&gt;Z$1465,"",(tech_base!$J135/tech_proj!Z259*0.086*$N$110)/(1-tech_proj!Z539))</f>
        <v>0</v>
      </c>
      <c r="AA1599" s="119">
        <f>IF(tech_base!$T135&gt;AA$1465,"",(tech_base!$J135/tech_proj!AA259*0.086*$N$110)/(1-tech_proj!AA539))</f>
        <v>0</v>
      </c>
      <c r="AB1599" s="119">
        <f>IF(tech_base!$T135&gt;AB$1465,"",(tech_base!$J135/tech_proj!AB259*0.086*$N$110)/(1-tech_proj!AB539))</f>
        <v>0</v>
      </c>
      <c r="AC1599" s="119">
        <f>IF(tech_base!$T135&gt;AC$1465,"",(tech_base!$J135/tech_proj!AC259*0.086*$N$110)/(1-tech_proj!AC539))</f>
        <v>0</v>
      </c>
      <c r="AD1599" s="119">
        <f>IF(tech_base!$T135&gt;AD$1465,"",(tech_base!$J135/tech_proj!AD259*0.086*$N$110)/(1-tech_proj!AD539))</f>
        <v>0</v>
      </c>
      <c r="AE1599" s="119">
        <f>IF(tech_base!$T135&gt;AE$1465,"",(tech_base!$J135/tech_proj!AE259*0.086*$N$110)/(1-tech_proj!AE539))</f>
        <v>0</v>
      </c>
      <c r="AF1599" s="119">
        <f>IF(tech_base!$T135&gt;AF$1465,"",(tech_base!$J135/tech_proj!AF259*0.086*$N$110)/(1-tech_proj!AF539))</f>
        <v>0</v>
      </c>
      <c r="AG1599" s="119">
        <f>IF(tech_base!$T135&gt;AG$1465,"",(tech_base!$J135/tech_proj!AG259*0.086*$N$110)/(1-tech_proj!AG539))</f>
        <v>0</v>
      </c>
      <c r="AH1599" s="119">
        <f>IF(tech_base!$T135&gt;AH$1465,"",(tech_base!$J135/tech_proj!AH259*0.086*$N$110)/(1-tech_proj!AH539))</f>
        <v>0</v>
      </c>
      <c r="AI1599" s="119">
        <f>IF(tech_base!$T135&gt;AI$1465,"",(tech_base!$J135/tech_proj!AI259*0.086*$N$110)/(1-tech_proj!AI539))</f>
        <v>0</v>
      </c>
      <c r="AJ1599" s="119">
        <f>IF(tech_base!$T135&gt;AJ$1465,"",(tech_base!$J135/tech_proj!AJ259*0.086*$N$110)/(1-tech_proj!AJ539))</f>
        <v>0</v>
      </c>
      <c r="AK1599" s="119">
        <f>IF(tech_base!$T135&gt;AK$1465,"",(tech_base!$J135/tech_proj!AK259*0.086*$N$110)/(1-tech_proj!AK539))</f>
        <v>0</v>
      </c>
      <c r="AL1599" s="119">
        <f>IF(tech_base!$T135&gt;AL$1465,"",(tech_base!$J135/tech_proj!AL259*0.086*$N$110)/(1-tech_proj!AL539))</f>
        <v>0</v>
      </c>
      <c r="AM1599" s="119">
        <f>IF(tech_base!$T135&gt;AM$1465,"",(tech_base!$J135/tech_proj!AM259*0.086*$N$110)/(1-tech_proj!AM539))</f>
        <v>0</v>
      </c>
      <c r="AN1599" s="119">
        <f>IF(tech_base!$T135&gt;AN$1465,"",(tech_base!$J135/tech_proj!AN259*0.086*$N$110)/(1-tech_proj!AN539))</f>
        <v>0</v>
      </c>
      <c r="AO1599" s="119">
        <f>IF(tech_base!$T135&gt;AO$1465,"",(tech_base!$J135/tech_proj!AO259*0.086*$N$110)/(1-tech_proj!AO539))</f>
        <v>0</v>
      </c>
      <c r="AP1599" s="119">
        <f>IF(tech_base!$T135&gt;AP$1465,"",(tech_base!$J135/tech_proj!AP259*0.086*$N$110)/(1-tech_proj!AP539))</f>
        <v>0</v>
      </c>
      <c r="AQ1599" s="119">
        <f>IF(tech_base!$T135&gt;AQ$1465,"",(tech_base!$J135/tech_proj!AQ259*0.086*$N$110)/(1-tech_proj!AQ539))</f>
        <v>0</v>
      </c>
      <c r="AR1599" s="119">
        <f>IF(tech_base!$T135&gt;AR$1465,"",(tech_base!$J135/tech_proj!AR259*0.086*$N$110)/(1-tech_proj!AR539))</f>
        <v>0</v>
      </c>
      <c r="AS1599" s="119">
        <f>IF(tech_base!$T135&gt;AS$1465,"",(tech_base!$J135/tech_proj!AS259*0.086*$N$110)/(1-tech_proj!AS539))</f>
        <v>0</v>
      </c>
      <c r="AT1599" s="119">
        <f>IF(tech_base!$T135&gt;AT$1465,"",(tech_base!$J135/tech_proj!AT259*0.086*$N$110)/(1-tech_proj!AT539))</f>
        <v>0</v>
      </c>
      <c r="AU1599" s="119">
        <f>IF(tech_base!$T135&gt;AU$1465,"",(tech_base!$J135/tech_proj!AU259*0.086*$N$110)/(1-tech_proj!AU539))</f>
        <v>0</v>
      </c>
      <c r="AV1599" s="119">
        <f>IF(tech_base!$T135&gt;AV$1465,"",(tech_base!$J135/tech_proj!AV259*0.086*$N$110)/(1-tech_proj!AV539))</f>
        <v>0</v>
      </c>
      <c r="AW1599" s="119">
        <f>IF(tech_base!$T135&gt;AW$1465,"",(tech_base!$J135/tech_proj!AW259*0.086*$N$110)/(1-tech_proj!AW539))</f>
        <v>0</v>
      </c>
      <c r="AX1599" s="120">
        <f>IF(tech_base!$T135&gt;AX$1465,"",(tech_base!$J135/tech_proj!AX259*0.086*$N$110)/(1-tech_proj!AX539))</f>
        <v>0</v>
      </c>
    </row>
    <row r="1600" spans="1:50" x14ac:dyDescent="0.25">
      <c r="A1600" s="356"/>
      <c r="B1600" s="366"/>
      <c r="C1600" s="379"/>
      <c r="D1600" s="59" t="s">
        <v>10</v>
      </c>
      <c r="E1600" s="166" t="str">
        <f>A1595&amp;"/"&amp;B1595&amp;"/"&amp;C1598&amp;"/"&amp;D1600</f>
        <v>Refinery gas fired power plants/Steam turbine/CHP/S</v>
      </c>
      <c r="F1600" s="79" t="str">
        <f>A1595</f>
        <v>Refinery gas fired power plants</v>
      </c>
      <c r="G1600" s="79" t="str">
        <f>B1595</f>
        <v>Steam turbine</v>
      </c>
      <c r="H1600" s="79" t="str">
        <f>C1598</f>
        <v>CHP</v>
      </c>
      <c r="I1600" s="167" t="str">
        <f t="shared" si="379"/>
        <v>S</v>
      </c>
      <c r="J1600" s="125">
        <f>IF(tech_base!$T136&gt;J$1465,"",(tech_base!$J136/tech_proj!J260*0.086*$N$110)/(1-tech_proj!J540))</f>
        <v>0</v>
      </c>
      <c r="K1600" s="125">
        <f>IF(tech_base!$T136&gt;K$1465,"",(tech_base!$J136/tech_proj!K260*0.086*$N$110)/(1-tech_proj!K540))</f>
        <v>0</v>
      </c>
      <c r="L1600" s="125">
        <f>IF(tech_base!$T136&gt;L$1465,"",(tech_base!$J136/tech_proj!L260*0.086*$N$110)/(1-tech_proj!L540))</f>
        <v>0</v>
      </c>
      <c r="M1600" s="125">
        <f>IF(tech_base!$T136&gt;M$1465,"",(tech_base!$J136/tech_proj!M260*0.086*$N$110)/(1-tech_proj!M540))</f>
        <v>0</v>
      </c>
      <c r="N1600" s="125">
        <f>IF(tech_base!$T136&gt;N$1465,"",(tech_base!$J136/tech_proj!N260*0.086*$N$110)/(1-tech_proj!N540))</f>
        <v>0</v>
      </c>
      <c r="O1600" s="125">
        <f>IF(tech_base!$T136&gt;O$1465,"",(tech_base!$J136/tech_proj!O260*0.086*$N$110)/(1-tech_proj!O540))</f>
        <v>0</v>
      </c>
      <c r="P1600" s="125">
        <f>IF(tech_base!$T136&gt;P$1465,"",(tech_base!$J136/tech_proj!P260*0.086*$N$110)/(1-tech_proj!P540))</f>
        <v>0</v>
      </c>
      <c r="Q1600" s="125">
        <f>IF(tech_base!$T136&gt;Q$1465,"",(tech_base!$J136/tech_proj!Q260*0.086*$N$110)/(1-tech_proj!Q540))</f>
        <v>0</v>
      </c>
      <c r="R1600" s="125">
        <f>IF(tech_base!$T136&gt;R$1465,"",(tech_base!$J136/tech_proj!R260*0.086*$N$110)/(1-tech_proj!R540))</f>
        <v>0</v>
      </c>
      <c r="S1600" s="125">
        <f>IF(tech_base!$T136&gt;S$1465,"",(tech_base!$J136/tech_proj!S260*0.086*$N$110)/(1-tech_proj!S540))</f>
        <v>0</v>
      </c>
      <c r="T1600" s="125">
        <f>IF(tech_base!$T136&gt;T$1465,"",(tech_base!$J136/tech_proj!T260*0.086*$N$110)/(1-tech_proj!T540))</f>
        <v>0</v>
      </c>
      <c r="U1600" s="125">
        <f>IF(tech_base!$T136&gt;U$1465,"",(tech_base!$J136/tech_proj!U260*0.086*$N$110)/(1-tech_proj!U540))</f>
        <v>0</v>
      </c>
      <c r="V1600" s="125">
        <f>IF(tech_base!$T136&gt;V$1465,"",(tech_base!$J136/tech_proj!V260*0.086*$N$110)/(1-tech_proj!V540))</f>
        <v>0</v>
      </c>
      <c r="W1600" s="125">
        <f>IF(tech_base!$T136&gt;W$1465,"",(tech_base!$J136/tech_proj!W260*0.086*$N$110)/(1-tech_proj!W540))</f>
        <v>0</v>
      </c>
      <c r="X1600" s="125">
        <f>IF(tech_base!$T136&gt;X$1465,"",(tech_base!$J136/tech_proj!X260*0.086*$N$110)/(1-tech_proj!X540))</f>
        <v>0</v>
      </c>
      <c r="Y1600" s="125">
        <f>IF(tech_base!$T136&gt;Y$1465,"",(tech_base!$J136/tech_proj!Y260*0.086*$N$110)/(1-tech_proj!Y540))</f>
        <v>0</v>
      </c>
      <c r="Z1600" s="125">
        <f>IF(tech_base!$T136&gt;Z$1465,"",(tech_base!$J136/tech_proj!Z260*0.086*$N$110)/(1-tech_proj!Z540))</f>
        <v>0</v>
      </c>
      <c r="AA1600" s="125">
        <f>IF(tech_base!$T136&gt;AA$1465,"",(tech_base!$J136/tech_proj!AA260*0.086*$N$110)/(1-tech_proj!AA540))</f>
        <v>0</v>
      </c>
      <c r="AB1600" s="125">
        <f>IF(tech_base!$T136&gt;AB$1465,"",(tech_base!$J136/tech_proj!AB260*0.086*$N$110)/(1-tech_proj!AB540))</f>
        <v>0</v>
      </c>
      <c r="AC1600" s="125">
        <f>IF(tech_base!$T136&gt;AC$1465,"",(tech_base!$J136/tech_proj!AC260*0.086*$N$110)/(1-tech_proj!AC540))</f>
        <v>0</v>
      </c>
      <c r="AD1600" s="125">
        <f>IF(tech_base!$T136&gt;AD$1465,"",(tech_base!$J136/tech_proj!AD260*0.086*$N$110)/(1-tech_proj!AD540))</f>
        <v>0</v>
      </c>
      <c r="AE1600" s="125">
        <f>IF(tech_base!$T136&gt;AE$1465,"",(tech_base!$J136/tech_proj!AE260*0.086*$N$110)/(1-tech_proj!AE540))</f>
        <v>0</v>
      </c>
      <c r="AF1600" s="125">
        <f>IF(tech_base!$T136&gt;AF$1465,"",(tech_base!$J136/tech_proj!AF260*0.086*$N$110)/(1-tech_proj!AF540))</f>
        <v>0</v>
      </c>
      <c r="AG1600" s="125">
        <f>IF(tech_base!$T136&gt;AG$1465,"",(tech_base!$J136/tech_proj!AG260*0.086*$N$110)/(1-tech_proj!AG540))</f>
        <v>0</v>
      </c>
      <c r="AH1600" s="125">
        <f>IF(tech_base!$T136&gt;AH$1465,"",(tech_base!$J136/tech_proj!AH260*0.086*$N$110)/(1-tech_proj!AH540))</f>
        <v>0</v>
      </c>
      <c r="AI1600" s="125">
        <f>IF(tech_base!$T136&gt;AI$1465,"",(tech_base!$J136/tech_proj!AI260*0.086*$N$110)/(1-tech_proj!AI540))</f>
        <v>0</v>
      </c>
      <c r="AJ1600" s="125">
        <f>IF(tech_base!$T136&gt;AJ$1465,"",(tech_base!$J136/tech_proj!AJ260*0.086*$N$110)/(1-tech_proj!AJ540))</f>
        <v>0</v>
      </c>
      <c r="AK1600" s="125">
        <f>IF(tech_base!$T136&gt;AK$1465,"",(tech_base!$J136/tech_proj!AK260*0.086*$N$110)/(1-tech_proj!AK540))</f>
        <v>0</v>
      </c>
      <c r="AL1600" s="125">
        <f>IF(tech_base!$T136&gt;AL$1465,"",(tech_base!$J136/tech_proj!AL260*0.086*$N$110)/(1-tech_proj!AL540))</f>
        <v>0</v>
      </c>
      <c r="AM1600" s="125">
        <f>IF(tech_base!$T136&gt;AM$1465,"",(tech_base!$J136/tech_proj!AM260*0.086*$N$110)/(1-tech_proj!AM540))</f>
        <v>0</v>
      </c>
      <c r="AN1600" s="125">
        <f>IF(tech_base!$T136&gt;AN$1465,"",(tech_base!$J136/tech_proj!AN260*0.086*$N$110)/(1-tech_proj!AN540))</f>
        <v>0</v>
      </c>
      <c r="AO1600" s="125">
        <f>IF(tech_base!$T136&gt;AO$1465,"",(tech_base!$J136/tech_proj!AO260*0.086*$N$110)/(1-tech_proj!AO540))</f>
        <v>0</v>
      </c>
      <c r="AP1600" s="125">
        <f>IF(tech_base!$T136&gt;AP$1465,"",(tech_base!$J136/tech_proj!AP260*0.086*$N$110)/(1-tech_proj!AP540))</f>
        <v>0</v>
      </c>
      <c r="AQ1600" s="125">
        <f>IF(tech_base!$T136&gt;AQ$1465,"",(tech_base!$J136/tech_proj!AQ260*0.086*$N$110)/(1-tech_proj!AQ540))</f>
        <v>0</v>
      </c>
      <c r="AR1600" s="125">
        <f>IF(tech_base!$T136&gt;AR$1465,"",(tech_base!$J136/tech_proj!AR260*0.086*$N$110)/(1-tech_proj!AR540))</f>
        <v>0</v>
      </c>
      <c r="AS1600" s="125">
        <f>IF(tech_base!$T136&gt;AS$1465,"",(tech_base!$J136/tech_proj!AS260*0.086*$N$110)/(1-tech_proj!AS540))</f>
        <v>0</v>
      </c>
      <c r="AT1600" s="125">
        <f>IF(tech_base!$T136&gt;AT$1465,"",(tech_base!$J136/tech_proj!AT260*0.086*$N$110)/(1-tech_proj!AT540))</f>
        <v>0</v>
      </c>
      <c r="AU1600" s="125">
        <f>IF(tech_base!$T136&gt;AU$1465,"",(tech_base!$J136/tech_proj!AU260*0.086*$N$110)/(1-tech_proj!AU540))</f>
        <v>0</v>
      </c>
      <c r="AV1600" s="125">
        <f>IF(tech_base!$T136&gt;AV$1465,"",(tech_base!$J136/tech_proj!AV260*0.086*$N$110)/(1-tech_proj!AV540))</f>
        <v>0</v>
      </c>
      <c r="AW1600" s="125">
        <f>IF(tech_base!$T136&gt;AW$1465,"",(tech_base!$J136/tech_proj!AW260*0.086*$N$110)/(1-tech_proj!AW540))</f>
        <v>0</v>
      </c>
      <c r="AX1600" s="126">
        <f>IF(tech_base!$T136&gt;AX$1465,"",(tech_base!$J136/tech_proj!AX260*0.086*$N$110)/(1-tech_proj!AX540))</f>
        <v>0</v>
      </c>
    </row>
    <row r="1601" spans="1:50" x14ac:dyDescent="0.25">
      <c r="A1601" s="356"/>
      <c r="B1601" s="366"/>
      <c r="C1601" s="361" t="s">
        <v>15</v>
      </c>
      <c r="D1601" s="58" t="s">
        <v>7</v>
      </c>
      <c r="E1601" s="164" t="str">
        <f>A1595&amp;"/"&amp;B1595&amp;"/"&amp;C1601&amp;"/"&amp;D1601</f>
        <v>Refinery gas fired power plants/Steam turbine/Electricity only with CCS/L</v>
      </c>
      <c r="F1601" s="78" t="str">
        <f>A1595</f>
        <v>Refinery gas fired power plants</v>
      </c>
      <c r="G1601" s="78" t="str">
        <f>B1595</f>
        <v>Steam turbine</v>
      </c>
      <c r="H1601" s="78" t="str">
        <f>C1601</f>
        <v>Electricity only with CCS</v>
      </c>
      <c r="I1601" s="165" t="str">
        <f t="shared" si="379"/>
        <v>L</v>
      </c>
      <c r="J1601" s="123" t="str">
        <f>IF(tech_base!$T137&gt;J$1465,"",(tech_base!$J137/tech_proj!J261*0.086*$N$110)/(1-tech_proj!J541))</f>
        <v/>
      </c>
      <c r="K1601" s="123" t="str">
        <f>IF(tech_base!$T137&gt;K$1465,"",(tech_base!$J137/tech_proj!K261*0.086*$N$110)/(1-tech_proj!K541))</f>
        <v/>
      </c>
      <c r="L1601" s="123" t="str">
        <f>IF(tech_base!$T137&gt;L$1465,"",(tech_base!$J137/tech_proj!L261*0.086*$N$110)/(1-tech_proj!L541))</f>
        <v/>
      </c>
      <c r="M1601" s="123" t="str">
        <f>IF(tech_base!$T137&gt;M$1465,"",(tech_base!$J137/tech_proj!M261*0.086*$N$110)/(1-tech_proj!M541))</f>
        <v/>
      </c>
      <c r="N1601" s="123" t="str">
        <f>IF(tech_base!$T137&gt;N$1465,"",(tech_base!$J137/tech_proj!N261*0.086*$N$110)/(1-tech_proj!N541))</f>
        <v/>
      </c>
      <c r="O1601" s="123" t="str">
        <f>IF(tech_base!$T137&gt;O$1465,"",(tech_base!$J137/tech_proj!O261*0.086*$N$110)/(1-tech_proj!O541))</f>
        <v/>
      </c>
      <c r="P1601" s="123" t="str">
        <f>IF(tech_base!$T137&gt;P$1465,"",(tech_base!$J137/tech_proj!P261*0.086*$N$110)/(1-tech_proj!P541))</f>
        <v/>
      </c>
      <c r="Q1601" s="123" t="str">
        <f>IF(tech_base!$T137&gt;Q$1465,"",(tech_base!$J137/tech_proj!Q261*0.086*$N$110)/(1-tech_proj!Q541))</f>
        <v/>
      </c>
      <c r="R1601" s="123" t="str">
        <f>IF(tech_base!$T137&gt;R$1465,"",(tech_base!$J137/tech_proj!R261*0.086*$N$110)/(1-tech_proj!R541))</f>
        <v/>
      </c>
      <c r="S1601" s="123" t="str">
        <f>IF(tech_base!$T137&gt;S$1465,"",(tech_base!$J137/tech_proj!S261*0.086*$N$110)/(1-tech_proj!S541))</f>
        <v/>
      </c>
      <c r="T1601" s="123" t="str">
        <f>IF(tech_base!$T137&gt;T$1465,"",(tech_base!$J137/tech_proj!T261*0.086*$N$110)/(1-tech_proj!T541))</f>
        <v/>
      </c>
      <c r="U1601" s="123" t="str">
        <f>IF(tech_base!$T137&gt;U$1465,"",(tech_base!$J137/tech_proj!U261*0.086*$N$110)/(1-tech_proj!U541))</f>
        <v/>
      </c>
      <c r="V1601" s="123" t="str">
        <f>IF(tech_base!$T137&gt;V$1465,"",(tech_base!$J137/tech_proj!V261*0.086*$N$110)/(1-tech_proj!V541))</f>
        <v/>
      </c>
      <c r="W1601" s="123" t="str">
        <f>IF(tech_base!$T137&gt;W$1465,"",(tech_base!$J137/tech_proj!W261*0.086*$N$110)/(1-tech_proj!W541))</f>
        <v/>
      </c>
      <c r="X1601" s="123" t="str">
        <f>IF(tech_base!$T137&gt;X$1465,"",(tech_base!$J137/tech_proj!X261*0.086*$N$110)/(1-tech_proj!X541))</f>
        <v/>
      </c>
      <c r="Y1601" s="123" t="str">
        <f>IF(tech_base!$T137&gt;Y$1465,"",(tech_base!$J137/tech_proj!Y261*0.086*$N$110)/(1-tech_proj!Y541))</f>
        <v/>
      </c>
      <c r="Z1601" s="123" t="str">
        <f>IF(tech_base!$T137&gt;Z$1465,"",(tech_base!$J137/tech_proj!Z261*0.086*$N$110)/(1-tech_proj!Z541))</f>
        <v/>
      </c>
      <c r="AA1601" s="123" t="str">
        <f>IF(tech_base!$T137&gt;AA$1465,"",(tech_base!$J137/tech_proj!AA261*0.086*$N$110)/(1-tech_proj!AA541))</f>
        <v/>
      </c>
      <c r="AB1601" s="123" t="str">
        <f>IF(tech_base!$T137&gt;AB$1465,"",(tech_base!$J137/tech_proj!AB261*0.086*$N$110)/(1-tech_proj!AB541))</f>
        <v/>
      </c>
      <c r="AC1601" s="123" t="str">
        <f>IF(tech_base!$T137&gt;AC$1465,"",(tech_base!$J137/tech_proj!AC261*0.086*$N$110)/(1-tech_proj!AC541))</f>
        <v/>
      </c>
      <c r="AD1601" s="123" t="str">
        <f>IF(tech_base!$T137&gt;AD$1465,"",(tech_base!$J137/tech_proj!AD261*0.086*$N$110)/(1-tech_proj!AD541))</f>
        <v/>
      </c>
      <c r="AE1601" s="123">
        <f>IF(tech_base!$T137&gt;AE$1465,"",(tech_base!$J137/tech_proj!AE261*0.086*$N$110)/(1-tech_proj!AE541))</f>
        <v>0</v>
      </c>
      <c r="AF1601" s="123">
        <f>IF(tech_base!$T137&gt;AF$1465,"",(tech_base!$J137/tech_proj!AF261*0.086*$N$110)/(1-tech_proj!AF541))</f>
        <v>0</v>
      </c>
      <c r="AG1601" s="123">
        <f>IF(tech_base!$T137&gt;AG$1465,"",(tech_base!$J137/tech_proj!AG261*0.086*$N$110)/(1-tech_proj!AG541))</f>
        <v>0</v>
      </c>
      <c r="AH1601" s="123">
        <f>IF(tech_base!$T137&gt;AH$1465,"",(tech_base!$J137/tech_proj!AH261*0.086*$N$110)/(1-tech_proj!AH541))</f>
        <v>0</v>
      </c>
      <c r="AI1601" s="123">
        <f>IF(tech_base!$T137&gt;AI$1465,"",(tech_base!$J137/tech_proj!AI261*0.086*$N$110)/(1-tech_proj!AI541))</f>
        <v>0</v>
      </c>
      <c r="AJ1601" s="123">
        <f>IF(tech_base!$T137&gt;AJ$1465,"",(tech_base!$J137/tech_proj!AJ261*0.086*$N$110)/(1-tech_proj!AJ541))</f>
        <v>0</v>
      </c>
      <c r="AK1601" s="123">
        <f>IF(tech_base!$T137&gt;AK$1465,"",(tech_base!$J137/tech_proj!AK261*0.086*$N$110)/(1-tech_proj!AK541))</f>
        <v>0</v>
      </c>
      <c r="AL1601" s="123">
        <f>IF(tech_base!$T137&gt;AL$1465,"",(tech_base!$J137/tech_proj!AL261*0.086*$N$110)/(1-tech_proj!AL541))</f>
        <v>0</v>
      </c>
      <c r="AM1601" s="123">
        <f>IF(tech_base!$T137&gt;AM$1465,"",(tech_base!$J137/tech_proj!AM261*0.086*$N$110)/(1-tech_proj!AM541))</f>
        <v>0</v>
      </c>
      <c r="AN1601" s="123">
        <f>IF(tech_base!$T137&gt;AN$1465,"",(tech_base!$J137/tech_proj!AN261*0.086*$N$110)/(1-tech_proj!AN541))</f>
        <v>0</v>
      </c>
      <c r="AO1601" s="123">
        <f>IF(tech_base!$T137&gt;AO$1465,"",(tech_base!$J137/tech_proj!AO261*0.086*$N$110)/(1-tech_proj!AO541))</f>
        <v>0</v>
      </c>
      <c r="AP1601" s="123">
        <f>IF(tech_base!$T137&gt;AP$1465,"",(tech_base!$J137/tech_proj!AP261*0.086*$N$110)/(1-tech_proj!AP541))</f>
        <v>0</v>
      </c>
      <c r="AQ1601" s="123">
        <f>IF(tech_base!$T137&gt;AQ$1465,"",(tech_base!$J137/tech_proj!AQ261*0.086*$N$110)/(1-tech_proj!AQ541))</f>
        <v>0</v>
      </c>
      <c r="AR1601" s="123">
        <f>IF(tech_base!$T137&gt;AR$1465,"",(tech_base!$J137/tech_proj!AR261*0.086*$N$110)/(1-tech_proj!AR541))</f>
        <v>0</v>
      </c>
      <c r="AS1601" s="123">
        <f>IF(tech_base!$T137&gt;AS$1465,"",(tech_base!$J137/tech_proj!AS261*0.086*$N$110)/(1-tech_proj!AS541))</f>
        <v>0</v>
      </c>
      <c r="AT1601" s="123">
        <f>IF(tech_base!$T137&gt;AT$1465,"",(tech_base!$J137/tech_proj!AT261*0.086*$N$110)/(1-tech_proj!AT541))</f>
        <v>0</v>
      </c>
      <c r="AU1601" s="123">
        <f>IF(tech_base!$T137&gt;AU$1465,"",(tech_base!$J137/tech_proj!AU261*0.086*$N$110)/(1-tech_proj!AU541))</f>
        <v>0</v>
      </c>
      <c r="AV1601" s="123">
        <f>IF(tech_base!$T137&gt;AV$1465,"",(tech_base!$J137/tech_proj!AV261*0.086*$N$110)/(1-tech_proj!AV541))</f>
        <v>0</v>
      </c>
      <c r="AW1601" s="123">
        <f>IF(tech_base!$T137&gt;AW$1465,"",(tech_base!$J137/tech_proj!AW261*0.086*$N$110)/(1-tech_proj!AW541))</f>
        <v>0</v>
      </c>
      <c r="AX1601" s="124">
        <f>IF(tech_base!$T137&gt;AX$1465,"",(tech_base!$J137/tech_proj!AX261*0.086*$N$110)/(1-tech_proj!AX541))</f>
        <v>0</v>
      </c>
    </row>
    <row r="1602" spans="1:50" x14ac:dyDescent="0.25">
      <c r="A1602" s="356"/>
      <c r="B1602" s="366"/>
      <c r="C1602" s="379"/>
      <c r="D1602" s="59" t="s">
        <v>8</v>
      </c>
      <c r="E1602" s="166" t="str">
        <f>A1595&amp;"/"&amp;B1595&amp;"/"&amp;C1601&amp;"/"&amp;D1602</f>
        <v>Refinery gas fired power plants/Steam turbine/Electricity only with CCS/M</v>
      </c>
      <c r="F1602" s="79" t="str">
        <f>A1595</f>
        <v>Refinery gas fired power plants</v>
      </c>
      <c r="G1602" s="79" t="str">
        <f>B1595</f>
        <v>Steam turbine</v>
      </c>
      <c r="H1602" s="79" t="str">
        <f>C1601</f>
        <v>Electricity only with CCS</v>
      </c>
      <c r="I1602" s="167" t="str">
        <f t="shared" si="379"/>
        <v>M</v>
      </c>
      <c r="J1602" s="125" t="str">
        <f>IF(tech_base!$T138&gt;J$1465,"",(tech_base!$J138/tech_proj!J262*0.086*$N$110)/(1-tech_proj!J542))</f>
        <v/>
      </c>
      <c r="K1602" s="125" t="str">
        <f>IF(tech_base!$T138&gt;K$1465,"",(tech_base!$J138/tech_proj!K262*0.086*$N$110)/(1-tech_proj!K542))</f>
        <v/>
      </c>
      <c r="L1602" s="125" t="str">
        <f>IF(tech_base!$T138&gt;L$1465,"",(tech_base!$J138/tech_proj!L262*0.086*$N$110)/(1-tech_proj!L542))</f>
        <v/>
      </c>
      <c r="M1602" s="125" t="str">
        <f>IF(tech_base!$T138&gt;M$1465,"",(tech_base!$J138/tech_proj!M262*0.086*$N$110)/(1-tech_proj!M542))</f>
        <v/>
      </c>
      <c r="N1602" s="125" t="str">
        <f>IF(tech_base!$T138&gt;N$1465,"",(tech_base!$J138/tech_proj!N262*0.086*$N$110)/(1-tech_proj!N542))</f>
        <v/>
      </c>
      <c r="O1602" s="125" t="str">
        <f>IF(tech_base!$T138&gt;O$1465,"",(tech_base!$J138/tech_proj!O262*0.086*$N$110)/(1-tech_proj!O542))</f>
        <v/>
      </c>
      <c r="P1602" s="125" t="str">
        <f>IF(tech_base!$T138&gt;P$1465,"",(tech_base!$J138/tech_proj!P262*0.086*$N$110)/(1-tech_proj!P542))</f>
        <v/>
      </c>
      <c r="Q1602" s="125" t="str">
        <f>IF(tech_base!$T138&gt;Q$1465,"",(tech_base!$J138/tech_proj!Q262*0.086*$N$110)/(1-tech_proj!Q542))</f>
        <v/>
      </c>
      <c r="R1602" s="125" t="str">
        <f>IF(tech_base!$T138&gt;R$1465,"",(tech_base!$J138/tech_proj!R262*0.086*$N$110)/(1-tech_proj!R542))</f>
        <v/>
      </c>
      <c r="S1602" s="125" t="str">
        <f>IF(tech_base!$T138&gt;S$1465,"",(tech_base!$J138/tech_proj!S262*0.086*$N$110)/(1-tech_proj!S542))</f>
        <v/>
      </c>
      <c r="T1602" s="125" t="str">
        <f>IF(tech_base!$T138&gt;T$1465,"",(tech_base!$J138/tech_proj!T262*0.086*$N$110)/(1-tech_proj!T542))</f>
        <v/>
      </c>
      <c r="U1602" s="125" t="str">
        <f>IF(tech_base!$T138&gt;U$1465,"",(tech_base!$J138/tech_proj!U262*0.086*$N$110)/(1-tech_proj!U542))</f>
        <v/>
      </c>
      <c r="V1602" s="125" t="str">
        <f>IF(tech_base!$T138&gt;V$1465,"",(tech_base!$J138/tech_proj!V262*0.086*$N$110)/(1-tech_proj!V542))</f>
        <v/>
      </c>
      <c r="W1602" s="125" t="str">
        <f>IF(tech_base!$T138&gt;W$1465,"",(tech_base!$J138/tech_proj!W262*0.086*$N$110)/(1-tech_proj!W542))</f>
        <v/>
      </c>
      <c r="X1602" s="125" t="str">
        <f>IF(tech_base!$T138&gt;X$1465,"",(tech_base!$J138/tech_proj!X262*0.086*$N$110)/(1-tech_proj!X542))</f>
        <v/>
      </c>
      <c r="Y1602" s="125" t="str">
        <f>IF(tech_base!$T138&gt;Y$1465,"",(tech_base!$J138/tech_proj!Y262*0.086*$N$110)/(1-tech_proj!Y542))</f>
        <v/>
      </c>
      <c r="Z1602" s="125" t="str">
        <f>IF(tech_base!$T138&gt;Z$1465,"",(tech_base!$J138/tech_proj!Z262*0.086*$N$110)/(1-tech_proj!Z542))</f>
        <v/>
      </c>
      <c r="AA1602" s="125" t="str">
        <f>IF(tech_base!$T138&gt;AA$1465,"",(tech_base!$J138/tech_proj!AA262*0.086*$N$110)/(1-tech_proj!AA542))</f>
        <v/>
      </c>
      <c r="AB1602" s="125" t="str">
        <f>IF(tech_base!$T138&gt;AB$1465,"",(tech_base!$J138/tech_proj!AB262*0.086*$N$110)/(1-tech_proj!AB542))</f>
        <v/>
      </c>
      <c r="AC1602" s="125" t="str">
        <f>IF(tech_base!$T138&gt;AC$1465,"",(tech_base!$J138/tech_proj!AC262*0.086*$N$110)/(1-tech_proj!AC542))</f>
        <v/>
      </c>
      <c r="AD1602" s="125" t="str">
        <f>IF(tech_base!$T138&gt;AD$1465,"",(tech_base!$J138/tech_proj!AD262*0.086*$N$110)/(1-tech_proj!AD542))</f>
        <v/>
      </c>
      <c r="AE1602" s="125">
        <f>IF(tech_base!$T138&gt;AE$1465,"",(tech_base!$J138/tech_proj!AE262*0.086*$N$110)/(1-tech_proj!AE542))</f>
        <v>0</v>
      </c>
      <c r="AF1602" s="125">
        <f>IF(tech_base!$T138&gt;AF$1465,"",(tech_base!$J138/tech_proj!AF262*0.086*$N$110)/(1-tech_proj!AF542))</f>
        <v>0</v>
      </c>
      <c r="AG1602" s="125">
        <f>IF(tech_base!$T138&gt;AG$1465,"",(tech_base!$J138/tech_proj!AG262*0.086*$N$110)/(1-tech_proj!AG542))</f>
        <v>0</v>
      </c>
      <c r="AH1602" s="125">
        <f>IF(tech_base!$T138&gt;AH$1465,"",(tech_base!$J138/tech_proj!AH262*0.086*$N$110)/(1-tech_proj!AH542))</f>
        <v>0</v>
      </c>
      <c r="AI1602" s="125">
        <f>IF(tech_base!$T138&gt;AI$1465,"",(tech_base!$J138/tech_proj!AI262*0.086*$N$110)/(1-tech_proj!AI542))</f>
        <v>0</v>
      </c>
      <c r="AJ1602" s="125">
        <f>IF(tech_base!$T138&gt;AJ$1465,"",(tech_base!$J138/tech_proj!AJ262*0.086*$N$110)/(1-tech_proj!AJ542))</f>
        <v>0</v>
      </c>
      <c r="AK1602" s="125">
        <f>IF(tech_base!$T138&gt;AK$1465,"",(tech_base!$J138/tech_proj!AK262*0.086*$N$110)/(1-tech_proj!AK542))</f>
        <v>0</v>
      </c>
      <c r="AL1602" s="125">
        <f>IF(tech_base!$T138&gt;AL$1465,"",(tech_base!$J138/tech_proj!AL262*0.086*$N$110)/(1-tech_proj!AL542))</f>
        <v>0</v>
      </c>
      <c r="AM1602" s="125">
        <f>IF(tech_base!$T138&gt;AM$1465,"",(tech_base!$J138/tech_proj!AM262*0.086*$N$110)/(1-tech_proj!AM542))</f>
        <v>0</v>
      </c>
      <c r="AN1602" s="125">
        <f>IF(tech_base!$T138&gt;AN$1465,"",(tech_base!$J138/tech_proj!AN262*0.086*$N$110)/(1-tech_proj!AN542))</f>
        <v>0</v>
      </c>
      <c r="AO1602" s="125">
        <f>IF(tech_base!$T138&gt;AO$1465,"",(tech_base!$J138/tech_proj!AO262*0.086*$N$110)/(1-tech_proj!AO542))</f>
        <v>0</v>
      </c>
      <c r="AP1602" s="125">
        <f>IF(tech_base!$T138&gt;AP$1465,"",(tech_base!$J138/tech_proj!AP262*0.086*$N$110)/(1-tech_proj!AP542))</f>
        <v>0</v>
      </c>
      <c r="AQ1602" s="125">
        <f>IF(tech_base!$T138&gt;AQ$1465,"",(tech_base!$J138/tech_proj!AQ262*0.086*$N$110)/(1-tech_proj!AQ542))</f>
        <v>0</v>
      </c>
      <c r="AR1602" s="125">
        <f>IF(tech_base!$T138&gt;AR$1465,"",(tech_base!$J138/tech_proj!AR262*0.086*$N$110)/(1-tech_proj!AR542))</f>
        <v>0</v>
      </c>
      <c r="AS1602" s="125">
        <f>IF(tech_base!$T138&gt;AS$1465,"",(tech_base!$J138/tech_proj!AS262*0.086*$N$110)/(1-tech_proj!AS542))</f>
        <v>0</v>
      </c>
      <c r="AT1602" s="125">
        <f>IF(tech_base!$T138&gt;AT$1465,"",(tech_base!$J138/tech_proj!AT262*0.086*$N$110)/(1-tech_proj!AT542))</f>
        <v>0</v>
      </c>
      <c r="AU1602" s="125">
        <f>IF(tech_base!$T138&gt;AU$1465,"",(tech_base!$J138/tech_proj!AU262*0.086*$N$110)/(1-tech_proj!AU542))</f>
        <v>0</v>
      </c>
      <c r="AV1602" s="125">
        <f>IF(tech_base!$T138&gt;AV$1465,"",(tech_base!$J138/tech_proj!AV262*0.086*$N$110)/(1-tech_proj!AV542))</f>
        <v>0</v>
      </c>
      <c r="AW1602" s="125">
        <f>IF(tech_base!$T138&gt;AW$1465,"",(tech_base!$J138/tech_proj!AW262*0.086*$N$110)/(1-tech_proj!AW542))</f>
        <v>0</v>
      </c>
      <c r="AX1602" s="126">
        <f>IF(tech_base!$T138&gt;AX$1465,"",(tech_base!$J138/tech_proj!AX262*0.086*$N$110)/(1-tech_proj!AX542))</f>
        <v>0</v>
      </c>
    </row>
    <row r="1603" spans="1:50" x14ac:dyDescent="0.25">
      <c r="A1603" s="356"/>
      <c r="B1603" s="366"/>
      <c r="C1603" s="361" t="s">
        <v>16</v>
      </c>
      <c r="D1603" s="2" t="s">
        <v>7</v>
      </c>
      <c r="E1603" s="160" t="str">
        <f>A1595&amp;"/"&amp;B1595&amp;"/"&amp;C1603&amp;"/"&amp;D1603</f>
        <v>Refinery gas fired power plants/Steam turbine/CHP with CCS/L</v>
      </c>
      <c r="F1603" s="76" t="str">
        <f>A1595</f>
        <v>Refinery gas fired power plants</v>
      </c>
      <c r="G1603" s="76" t="str">
        <f>B1595</f>
        <v>Steam turbine</v>
      </c>
      <c r="H1603" s="76" t="str">
        <f>C1603</f>
        <v>CHP with CCS</v>
      </c>
      <c r="I1603" s="161" t="str">
        <f t="shared" si="379"/>
        <v>L</v>
      </c>
      <c r="J1603" s="119" t="str">
        <f>IF(tech_base!$T139&gt;J$1465,"",(tech_base!$J139/tech_proj!J263*0.086*$N$110)/(1-tech_proj!J543))</f>
        <v/>
      </c>
      <c r="K1603" s="119" t="str">
        <f>IF(tech_base!$T139&gt;K$1465,"",(tech_base!$J139/tech_proj!K263*0.086*$N$110)/(1-tech_proj!K543))</f>
        <v/>
      </c>
      <c r="L1603" s="119" t="str">
        <f>IF(tech_base!$T139&gt;L$1465,"",(tech_base!$J139/tech_proj!L263*0.086*$N$110)/(1-tech_proj!L543))</f>
        <v/>
      </c>
      <c r="M1603" s="119" t="str">
        <f>IF(tech_base!$T139&gt;M$1465,"",(tech_base!$J139/tech_proj!M263*0.086*$N$110)/(1-tech_proj!M543))</f>
        <v/>
      </c>
      <c r="N1603" s="119" t="str">
        <f>IF(tech_base!$T139&gt;N$1465,"",(tech_base!$J139/tech_proj!N263*0.086*$N$110)/(1-tech_proj!N543))</f>
        <v/>
      </c>
      <c r="O1603" s="119" t="str">
        <f>IF(tech_base!$T139&gt;O$1465,"",(tech_base!$J139/tech_proj!O263*0.086*$N$110)/(1-tech_proj!O543))</f>
        <v/>
      </c>
      <c r="P1603" s="119" t="str">
        <f>IF(tech_base!$T139&gt;P$1465,"",(tech_base!$J139/tech_proj!P263*0.086*$N$110)/(1-tech_proj!P543))</f>
        <v/>
      </c>
      <c r="Q1603" s="119" t="str">
        <f>IF(tech_base!$T139&gt;Q$1465,"",(tech_base!$J139/tech_proj!Q263*0.086*$N$110)/(1-tech_proj!Q543))</f>
        <v/>
      </c>
      <c r="R1603" s="119" t="str">
        <f>IF(tech_base!$T139&gt;R$1465,"",(tech_base!$J139/tech_proj!R263*0.086*$N$110)/(1-tech_proj!R543))</f>
        <v/>
      </c>
      <c r="S1603" s="119" t="str">
        <f>IF(tech_base!$T139&gt;S$1465,"",(tech_base!$J139/tech_proj!S263*0.086*$N$110)/(1-tech_proj!S543))</f>
        <v/>
      </c>
      <c r="T1603" s="119" t="str">
        <f>IF(tech_base!$T139&gt;T$1465,"",(tech_base!$J139/tech_proj!T263*0.086*$N$110)/(1-tech_proj!T543))</f>
        <v/>
      </c>
      <c r="U1603" s="119" t="str">
        <f>IF(tech_base!$T139&gt;U$1465,"",(tech_base!$J139/tech_proj!U263*0.086*$N$110)/(1-tech_proj!U543))</f>
        <v/>
      </c>
      <c r="V1603" s="119" t="str">
        <f>IF(tech_base!$T139&gt;V$1465,"",(tech_base!$J139/tech_proj!V263*0.086*$N$110)/(1-tech_proj!V543))</f>
        <v/>
      </c>
      <c r="W1603" s="119" t="str">
        <f>IF(tech_base!$T139&gt;W$1465,"",(tech_base!$J139/tech_proj!W263*0.086*$N$110)/(1-tech_proj!W543))</f>
        <v/>
      </c>
      <c r="X1603" s="119" t="str">
        <f>IF(tech_base!$T139&gt;X$1465,"",(tech_base!$J139/tech_proj!X263*0.086*$N$110)/(1-tech_proj!X543))</f>
        <v/>
      </c>
      <c r="Y1603" s="119" t="str">
        <f>IF(tech_base!$T139&gt;Y$1465,"",(tech_base!$J139/tech_proj!Y263*0.086*$N$110)/(1-tech_proj!Y543))</f>
        <v/>
      </c>
      <c r="Z1603" s="119" t="str">
        <f>IF(tech_base!$T139&gt;Z$1465,"",(tech_base!$J139/tech_proj!Z263*0.086*$N$110)/(1-tech_proj!Z543))</f>
        <v/>
      </c>
      <c r="AA1603" s="119" t="str">
        <f>IF(tech_base!$T139&gt;AA$1465,"",(tech_base!$J139/tech_proj!AA263*0.086*$N$110)/(1-tech_proj!AA543))</f>
        <v/>
      </c>
      <c r="AB1603" s="119" t="str">
        <f>IF(tech_base!$T139&gt;AB$1465,"",(tech_base!$J139/tech_proj!AB263*0.086*$N$110)/(1-tech_proj!AB543))</f>
        <v/>
      </c>
      <c r="AC1603" s="119" t="str">
        <f>IF(tech_base!$T139&gt;AC$1465,"",(tech_base!$J139/tech_proj!AC263*0.086*$N$110)/(1-tech_proj!AC543))</f>
        <v/>
      </c>
      <c r="AD1603" s="119" t="str">
        <f>IF(tech_base!$T139&gt;AD$1465,"",(tech_base!$J139/tech_proj!AD263*0.086*$N$110)/(1-tech_proj!AD543))</f>
        <v/>
      </c>
      <c r="AE1603" s="119">
        <f>IF(tech_base!$T139&gt;AE$1465,"",(tech_base!$J139/tech_proj!AE263*0.086*$N$110)/(1-tech_proj!AE543))</f>
        <v>0</v>
      </c>
      <c r="AF1603" s="119">
        <f>IF(tech_base!$T139&gt;AF$1465,"",(tech_base!$J139/tech_proj!AF263*0.086*$N$110)/(1-tech_proj!AF543))</f>
        <v>0</v>
      </c>
      <c r="AG1603" s="119">
        <f>IF(tech_base!$T139&gt;AG$1465,"",(tech_base!$J139/tech_proj!AG263*0.086*$N$110)/(1-tech_proj!AG543))</f>
        <v>0</v>
      </c>
      <c r="AH1603" s="119">
        <f>IF(tech_base!$T139&gt;AH$1465,"",(tech_base!$J139/tech_proj!AH263*0.086*$N$110)/(1-tech_proj!AH543))</f>
        <v>0</v>
      </c>
      <c r="AI1603" s="119">
        <f>IF(tech_base!$T139&gt;AI$1465,"",(tech_base!$J139/tech_proj!AI263*0.086*$N$110)/(1-tech_proj!AI543))</f>
        <v>0</v>
      </c>
      <c r="AJ1603" s="119">
        <f>IF(tech_base!$T139&gt;AJ$1465,"",(tech_base!$J139/tech_proj!AJ263*0.086*$N$110)/(1-tech_proj!AJ543))</f>
        <v>0</v>
      </c>
      <c r="AK1603" s="119">
        <f>IF(tech_base!$T139&gt;AK$1465,"",(tech_base!$J139/tech_proj!AK263*0.086*$N$110)/(1-tech_proj!AK543))</f>
        <v>0</v>
      </c>
      <c r="AL1603" s="119">
        <f>IF(tech_base!$T139&gt;AL$1465,"",(tech_base!$J139/tech_proj!AL263*0.086*$N$110)/(1-tech_proj!AL543))</f>
        <v>0</v>
      </c>
      <c r="AM1603" s="119">
        <f>IF(tech_base!$T139&gt;AM$1465,"",(tech_base!$J139/tech_proj!AM263*0.086*$N$110)/(1-tech_proj!AM543))</f>
        <v>0</v>
      </c>
      <c r="AN1603" s="119">
        <f>IF(tech_base!$T139&gt;AN$1465,"",(tech_base!$J139/tech_proj!AN263*0.086*$N$110)/(1-tech_proj!AN543))</f>
        <v>0</v>
      </c>
      <c r="AO1603" s="119">
        <f>IF(tech_base!$T139&gt;AO$1465,"",(tech_base!$J139/tech_proj!AO263*0.086*$N$110)/(1-tech_proj!AO543))</f>
        <v>0</v>
      </c>
      <c r="AP1603" s="119">
        <f>IF(tech_base!$T139&gt;AP$1465,"",(tech_base!$J139/tech_proj!AP263*0.086*$N$110)/(1-tech_proj!AP543))</f>
        <v>0</v>
      </c>
      <c r="AQ1603" s="119">
        <f>IF(tech_base!$T139&gt;AQ$1465,"",(tech_base!$J139/tech_proj!AQ263*0.086*$N$110)/(1-tech_proj!AQ543))</f>
        <v>0</v>
      </c>
      <c r="AR1603" s="119">
        <f>IF(tech_base!$T139&gt;AR$1465,"",(tech_base!$J139/tech_proj!AR263*0.086*$N$110)/(1-tech_proj!AR543))</f>
        <v>0</v>
      </c>
      <c r="AS1603" s="119">
        <f>IF(tech_base!$T139&gt;AS$1465,"",(tech_base!$J139/tech_proj!AS263*0.086*$N$110)/(1-tech_proj!AS543))</f>
        <v>0</v>
      </c>
      <c r="AT1603" s="119">
        <f>IF(tech_base!$T139&gt;AT$1465,"",(tech_base!$J139/tech_proj!AT263*0.086*$N$110)/(1-tech_proj!AT543))</f>
        <v>0</v>
      </c>
      <c r="AU1603" s="119">
        <f>IF(tech_base!$T139&gt;AU$1465,"",(tech_base!$J139/tech_proj!AU263*0.086*$N$110)/(1-tech_proj!AU543))</f>
        <v>0</v>
      </c>
      <c r="AV1603" s="119">
        <f>IF(tech_base!$T139&gt;AV$1465,"",(tech_base!$J139/tech_proj!AV263*0.086*$N$110)/(1-tech_proj!AV543))</f>
        <v>0</v>
      </c>
      <c r="AW1603" s="119">
        <f>IF(tech_base!$T139&gt;AW$1465,"",(tech_base!$J139/tech_proj!AW263*0.086*$N$110)/(1-tech_proj!AW543))</f>
        <v>0</v>
      </c>
      <c r="AX1603" s="120">
        <f>IF(tech_base!$T139&gt;AX$1465,"",(tech_base!$J139/tech_proj!AX263*0.086*$N$110)/(1-tech_proj!AX543))</f>
        <v>0</v>
      </c>
    </row>
    <row r="1604" spans="1:50" x14ac:dyDescent="0.25">
      <c r="A1604" s="357"/>
      <c r="B1604" s="367"/>
      <c r="C1604" s="381"/>
      <c r="D1604" s="4" t="s">
        <v>8</v>
      </c>
      <c r="E1604" s="168" t="str">
        <f>A1595&amp;"/"&amp;B1595&amp;"/"&amp;C1603&amp;"/"&amp;D1604</f>
        <v>Refinery gas fired power plants/Steam turbine/CHP with CCS/M</v>
      </c>
      <c r="F1604" s="80" t="str">
        <f>A1595</f>
        <v>Refinery gas fired power plants</v>
      </c>
      <c r="G1604" s="80" t="str">
        <f>B1595</f>
        <v>Steam turbine</v>
      </c>
      <c r="H1604" s="80" t="str">
        <f>C1603</f>
        <v>CHP with CCS</v>
      </c>
      <c r="I1604" s="169" t="str">
        <f t="shared" si="379"/>
        <v>M</v>
      </c>
      <c r="J1604" s="127" t="str">
        <f>IF(tech_base!$T140&gt;J$1465,"",(tech_base!$J140/tech_proj!J264*0.086*$N$110)/(1-tech_proj!J544))</f>
        <v/>
      </c>
      <c r="K1604" s="127" t="str">
        <f>IF(tech_base!$T140&gt;K$1465,"",(tech_base!$J140/tech_proj!K264*0.086*$N$110)/(1-tech_proj!K544))</f>
        <v/>
      </c>
      <c r="L1604" s="127" t="str">
        <f>IF(tech_base!$T140&gt;L$1465,"",(tech_base!$J140/tech_proj!L264*0.086*$N$110)/(1-tech_proj!L544))</f>
        <v/>
      </c>
      <c r="M1604" s="127" t="str">
        <f>IF(tech_base!$T140&gt;M$1465,"",(tech_base!$J140/tech_proj!M264*0.086*$N$110)/(1-tech_proj!M544))</f>
        <v/>
      </c>
      <c r="N1604" s="127" t="str">
        <f>IF(tech_base!$T140&gt;N$1465,"",(tech_base!$J140/tech_proj!N264*0.086*$N$110)/(1-tech_proj!N544))</f>
        <v/>
      </c>
      <c r="O1604" s="127" t="str">
        <f>IF(tech_base!$T140&gt;O$1465,"",(tech_base!$J140/tech_proj!O264*0.086*$N$110)/(1-tech_proj!O544))</f>
        <v/>
      </c>
      <c r="P1604" s="127" t="str">
        <f>IF(tech_base!$T140&gt;P$1465,"",(tech_base!$J140/tech_proj!P264*0.086*$N$110)/(1-tech_proj!P544))</f>
        <v/>
      </c>
      <c r="Q1604" s="127" t="str">
        <f>IF(tech_base!$T140&gt;Q$1465,"",(tech_base!$J140/tech_proj!Q264*0.086*$N$110)/(1-tech_proj!Q544))</f>
        <v/>
      </c>
      <c r="R1604" s="127" t="str">
        <f>IF(tech_base!$T140&gt;R$1465,"",(tech_base!$J140/tech_proj!R264*0.086*$N$110)/(1-tech_proj!R544))</f>
        <v/>
      </c>
      <c r="S1604" s="127" t="str">
        <f>IF(tech_base!$T140&gt;S$1465,"",(tech_base!$J140/tech_proj!S264*0.086*$N$110)/(1-tech_proj!S544))</f>
        <v/>
      </c>
      <c r="T1604" s="127" t="str">
        <f>IF(tech_base!$T140&gt;T$1465,"",(tech_base!$J140/tech_proj!T264*0.086*$N$110)/(1-tech_proj!T544))</f>
        <v/>
      </c>
      <c r="U1604" s="127" t="str">
        <f>IF(tech_base!$T140&gt;U$1465,"",(tech_base!$J140/tech_proj!U264*0.086*$N$110)/(1-tech_proj!U544))</f>
        <v/>
      </c>
      <c r="V1604" s="127" t="str">
        <f>IF(tech_base!$T140&gt;V$1465,"",(tech_base!$J140/tech_proj!V264*0.086*$N$110)/(1-tech_proj!V544))</f>
        <v/>
      </c>
      <c r="W1604" s="127" t="str">
        <f>IF(tech_base!$T140&gt;W$1465,"",(tech_base!$J140/tech_proj!W264*0.086*$N$110)/(1-tech_proj!W544))</f>
        <v/>
      </c>
      <c r="X1604" s="127" t="str">
        <f>IF(tech_base!$T140&gt;X$1465,"",(tech_base!$J140/tech_proj!X264*0.086*$N$110)/(1-tech_proj!X544))</f>
        <v/>
      </c>
      <c r="Y1604" s="127" t="str">
        <f>IF(tech_base!$T140&gt;Y$1465,"",(tech_base!$J140/tech_proj!Y264*0.086*$N$110)/(1-tech_proj!Y544))</f>
        <v/>
      </c>
      <c r="Z1604" s="127" t="str">
        <f>IF(tech_base!$T140&gt;Z$1465,"",(tech_base!$J140/tech_proj!Z264*0.086*$N$110)/(1-tech_proj!Z544))</f>
        <v/>
      </c>
      <c r="AA1604" s="127" t="str">
        <f>IF(tech_base!$T140&gt;AA$1465,"",(tech_base!$J140/tech_proj!AA264*0.086*$N$110)/(1-tech_proj!AA544))</f>
        <v/>
      </c>
      <c r="AB1604" s="127" t="str">
        <f>IF(tech_base!$T140&gt;AB$1465,"",(tech_base!$J140/tech_proj!AB264*0.086*$N$110)/(1-tech_proj!AB544))</f>
        <v/>
      </c>
      <c r="AC1604" s="127" t="str">
        <f>IF(tech_base!$T140&gt;AC$1465,"",(tech_base!$J140/tech_proj!AC264*0.086*$N$110)/(1-tech_proj!AC544))</f>
        <v/>
      </c>
      <c r="AD1604" s="127" t="str">
        <f>IF(tech_base!$T140&gt;AD$1465,"",(tech_base!$J140/tech_proj!AD264*0.086*$N$110)/(1-tech_proj!AD544))</f>
        <v/>
      </c>
      <c r="AE1604" s="127">
        <f>IF(tech_base!$T140&gt;AE$1465,"",(tech_base!$J140/tech_proj!AE264*0.086*$N$110)/(1-tech_proj!AE544))</f>
        <v>0</v>
      </c>
      <c r="AF1604" s="127">
        <f>IF(tech_base!$T140&gt;AF$1465,"",(tech_base!$J140/tech_proj!AF264*0.086*$N$110)/(1-tech_proj!AF544))</f>
        <v>0</v>
      </c>
      <c r="AG1604" s="127">
        <f>IF(tech_base!$T140&gt;AG$1465,"",(tech_base!$J140/tech_proj!AG264*0.086*$N$110)/(1-tech_proj!AG544))</f>
        <v>0</v>
      </c>
      <c r="AH1604" s="127">
        <f>IF(tech_base!$T140&gt;AH$1465,"",(tech_base!$J140/tech_proj!AH264*0.086*$N$110)/(1-tech_proj!AH544))</f>
        <v>0</v>
      </c>
      <c r="AI1604" s="127">
        <f>IF(tech_base!$T140&gt;AI$1465,"",(tech_base!$J140/tech_proj!AI264*0.086*$N$110)/(1-tech_proj!AI544))</f>
        <v>0</v>
      </c>
      <c r="AJ1604" s="127">
        <f>IF(tech_base!$T140&gt;AJ$1465,"",(tech_base!$J140/tech_proj!AJ264*0.086*$N$110)/(1-tech_proj!AJ544))</f>
        <v>0</v>
      </c>
      <c r="AK1604" s="127">
        <f>IF(tech_base!$T140&gt;AK$1465,"",(tech_base!$J140/tech_proj!AK264*0.086*$N$110)/(1-tech_proj!AK544))</f>
        <v>0</v>
      </c>
      <c r="AL1604" s="127">
        <f>IF(tech_base!$T140&gt;AL$1465,"",(tech_base!$J140/tech_proj!AL264*0.086*$N$110)/(1-tech_proj!AL544))</f>
        <v>0</v>
      </c>
      <c r="AM1604" s="127">
        <f>IF(tech_base!$T140&gt;AM$1465,"",(tech_base!$J140/tech_proj!AM264*0.086*$N$110)/(1-tech_proj!AM544))</f>
        <v>0</v>
      </c>
      <c r="AN1604" s="127">
        <f>IF(tech_base!$T140&gt;AN$1465,"",(tech_base!$J140/tech_proj!AN264*0.086*$N$110)/(1-tech_proj!AN544))</f>
        <v>0</v>
      </c>
      <c r="AO1604" s="127">
        <f>IF(tech_base!$T140&gt;AO$1465,"",(tech_base!$J140/tech_proj!AO264*0.086*$N$110)/(1-tech_proj!AO544))</f>
        <v>0</v>
      </c>
      <c r="AP1604" s="127">
        <f>IF(tech_base!$T140&gt;AP$1465,"",(tech_base!$J140/tech_proj!AP264*0.086*$N$110)/(1-tech_proj!AP544))</f>
        <v>0</v>
      </c>
      <c r="AQ1604" s="127">
        <f>IF(tech_base!$T140&gt;AQ$1465,"",(tech_base!$J140/tech_proj!AQ264*0.086*$N$110)/(1-tech_proj!AQ544))</f>
        <v>0</v>
      </c>
      <c r="AR1604" s="127">
        <f>IF(tech_base!$T140&gt;AR$1465,"",(tech_base!$J140/tech_proj!AR264*0.086*$N$110)/(1-tech_proj!AR544))</f>
        <v>0</v>
      </c>
      <c r="AS1604" s="127">
        <f>IF(tech_base!$T140&gt;AS$1465,"",(tech_base!$J140/tech_proj!AS264*0.086*$N$110)/(1-tech_proj!AS544))</f>
        <v>0</v>
      </c>
      <c r="AT1604" s="127">
        <f>IF(tech_base!$T140&gt;AT$1465,"",(tech_base!$J140/tech_proj!AT264*0.086*$N$110)/(1-tech_proj!AT544))</f>
        <v>0</v>
      </c>
      <c r="AU1604" s="127">
        <f>IF(tech_base!$T140&gt;AU$1465,"",(tech_base!$J140/tech_proj!AU264*0.086*$N$110)/(1-tech_proj!AU544))</f>
        <v>0</v>
      </c>
      <c r="AV1604" s="127">
        <f>IF(tech_base!$T140&gt;AV$1465,"",(tech_base!$J140/tech_proj!AV264*0.086*$N$110)/(1-tech_proj!AV544))</f>
        <v>0</v>
      </c>
      <c r="AW1604" s="127">
        <f>IF(tech_base!$T140&gt;AW$1465,"",(tech_base!$J140/tech_proj!AW264*0.086*$N$110)/(1-tech_proj!AW544))</f>
        <v>0</v>
      </c>
      <c r="AX1604" s="128">
        <f>IF(tech_base!$T140&gt;AX$1465,"",(tech_base!$J140/tech_proj!AX264*0.086*$N$110)/(1-tech_proj!AX544))</f>
        <v>0</v>
      </c>
    </row>
    <row r="1605" spans="1:50" x14ac:dyDescent="0.25">
      <c r="A1605" s="355" t="s">
        <v>28</v>
      </c>
      <c r="B1605" s="358" t="s">
        <v>23</v>
      </c>
      <c r="C1605" s="353" t="s">
        <v>6</v>
      </c>
      <c r="D1605" s="3" t="s">
        <v>7</v>
      </c>
      <c r="E1605" s="162" t="str">
        <f>A1605&amp;"/"&amp;B1605&amp;"/"&amp;C1605&amp;"/"&amp;D1605</f>
        <v>Diesel oil fired power plants/Gas turbine combined cycle/Electricity only/L</v>
      </c>
      <c r="F1605" s="77" t="str">
        <f>A1605</f>
        <v>Diesel oil fired power plants</v>
      </c>
      <c r="G1605" s="77" t="str">
        <f>B1605</f>
        <v>Gas turbine combined cycle</v>
      </c>
      <c r="H1605" s="77" t="str">
        <f>C1605</f>
        <v>Electricity only</v>
      </c>
      <c r="I1605" s="163" t="str">
        <f t="shared" si="379"/>
        <v>L</v>
      </c>
      <c r="J1605" s="121">
        <f>IF(tech_base!$T141&gt;J$1465,"",(tech_base!$J141/tech_proj!J265*0.086*$N$110)/(1-tech_proj!J545))</f>
        <v>0</v>
      </c>
      <c r="K1605" s="121">
        <f>IF(tech_base!$T141&gt;K$1465,"",(tech_base!$J141/tech_proj!K265*0.086*$N$110)/(1-tech_proj!K545))</f>
        <v>0</v>
      </c>
      <c r="L1605" s="121">
        <f>IF(tech_base!$T141&gt;L$1465,"",(tech_base!$J141/tech_proj!L265*0.086*$N$110)/(1-tech_proj!L545))</f>
        <v>0</v>
      </c>
      <c r="M1605" s="121">
        <f>IF(tech_base!$T141&gt;M$1465,"",(tech_base!$J141/tech_proj!M265*0.086*$N$110)/(1-tech_proj!M545))</f>
        <v>0</v>
      </c>
      <c r="N1605" s="121">
        <f>IF(tech_base!$T141&gt;N$1465,"",(tech_base!$J141/tech_proj!N265*0.086*$N$110)/(1-tech_proj!N545))</f>
        <v>0</v>
      </c>
      <c r="O1605" s="121">
        <f>IF(tech_base!$T141&gt;O$1465,"",(tech_base!$J141/tech_proj!O265*0.086*$N$110)/(1-tech_proj!O545))</f>
        <v>0</v>
      </c>
      <c r="P1605" s="121">
        <f>IF(tech_base!$T141&gt;P$1465,"",(tech_base!$J141/tech_proj!P265*0.086*$N$110)/(1-tech_proj!P545))</f>
        <v>0</v>
      </c>
      <c r="Q1605" s="121">
        <f>IF(tech_base!$T141&gt;Q$1465,"",(tech_base!$J141/tech_proj!Q265*0.086*$N$110)/(1-tech_proj!Q545))</f>
        <v>0</v>
      </c>
      <c r="R1605" s="121">
        <f>IF(tech_base!$T141&gt;R$1465,"",(tech_base!$J141/tech_proj!R265*0.086*$N$110)/(1-tech_proj!R545))</f>
        <v>0</v>
      </c>
      <c r="S1605" s="121">
        <f>IF(tech_base!$T141&gt;S$1465,"",(tech_base!$J141/tech_proj!S265*0.086*$N$110)/(1-tech_proj!S545))</f>
        <v>0</v>
      </c>
      <c r="T1605" s="121">
        <f>IF(tech_base!$T141&gt;T$1465,"",(tech_base!$J141/tech_proj!T265*0.086*$N$110)/(1-tech_proj!T545))</f>
        <v>0</v>
      </c>
      <c r="U1605" s="121">
        <f>IF(tech_base!$T141&gt;U$1465,"",(tech_base!$J141/tech_proj!U265*0.086*$N$110)/(1-tech_proj!U545))</f>
        <v>0</v>
      </c>
      <c r="V1605" s="121">
        <f>IF(tech_base!$T141&gt;V$1465,"",(tech_base!$J141/tech_proj!V265*0.086*$N$110)/(1-tech_proj!V545))</f>
        <v>0</v>
      </c>
      <c r="W1605" s="121">
        <f>IF(tech_base!$T141&gt;W$1465,"",(tech_base!$J141/tech_proj!W265*0.086*$N$110)/(1-tech_proj!W545))</f>
        <v>0</v>
      </c>
      <c r="X1605" s="121">
        <f>IF(tech_base!$T141&gt;X$1465,"",(tech_base!$J141/tech_proj!X265*0.086*$N$110)/(1-tech_proj!X545))</f>
        <v>0</v>
      </c>
      <c r="Y1605" s="121">
        <f>IF(tech_base!$T141&gt;Y$1465,"",(tech_base!$J141/tech_proj!Y265*0.086*$N$110)/(1-tech_proj!Y545))</f>
        <v>0</v>
      </c>
      <c r="Z1605" s="121">
        <f>IF(tech_base!$T141&gt;Z$1465,"",(tech_base!$J141/tech_proj!Z265*0.086*$N$110)/(1-tech_proj!Z545))</f>
        <v>0</v>
      </c>
      <c r="AA1605" s="121">
        <f>IF(tech_base!$T141&gt;AA$1465,"",(tech_base!$J141/tech_proj!AA265*0.086*$N$110)/(1-tech_proj!AA545))</f>
        <v>0</v>
      </c>
      <c r="AB1605" s="121">
        <f>IF(tech_base!$T141&gt;AB$1465,"",(tech_base!$J141/tech_proj!AB265*0.086*$N$110)/(1-tech_proj!AB545))</f>
        <v>0</v>
      </c>
      <c r="AC1605" s="121">
        <f>IF(tech_base!$T141&gt;AC$1465,"",(tech_base!$J141/tech_proj!AC265*0.086*$N$110)/(1-tech_proj!AC545))</f>
        <v>0</v>
      </c>
      <c r="AD1605" s="121">
        <f>IF(tech_base!$T141&gt;AD$1465,"",(tech_base!$J141/tech_proj!AD265*0.086*$N$110)/(1-tech_proj!AD545))</f>
        <v>0</v>
      </c>
      <c r="AE1605" s="121">
        <f>IF(tech_base!$T141&gt;AE$1465,"",(tech_base!$J141/tech_proj!AE265*0.086*$N$110)/(1-tech_proj!AE545))</f>
        <v>0</v>
      </c>
      <c r="AF1605" s="121">
        <f>IF(tech_base!$T141&gt;AF$1465,"",(tech_base!$J141/tech_proj!AF265*0.086*$N$110)/(1-tech_proj!AF545))</f>
        <v>0</v>
      </c>
      <c r="AG1605" s="121">
        <f>IF(tech_base!$T141&gt;AG$1465,"",(tech_base!$J141/tech_proj!AG265*0.086*$N$110)/(1-tech_proj!AG545))</f>
        <v>0</v>
      </c>
      <c r="AH1605" s="121">
        <f>IF(tech_base!$T141&gt;AH$1465,"",(tech_base!$J141/tech_proj!AH265*0.086*$N$110)/(1-tech_proj!AH545))</f>
        <v>0</v>
      </c>
      <c r="AI1605" s="121">
        <f>IF(tech_base!$T141&gt;AI$1465,"",(tech_base!$J141/tech_proj!AI265*0.086*$N$110)/(1-tech_proj!AI545))</f>
        <v>0</v>
      </c>
      <c r="AJ1605" s="121">
        <f>IF(tech_base!$T141&gt;AJ$1465,"",(tech_base!$J141/tech_proj!AJ265*0.086*$N$110)/(1-tech_proj!AJ545))</f>
        <v>0</v>
      </c>
      <c r="AK1605" s="121">
        <f>IF(tech_base!$T141&gt;AK$1465,"",(tech_base!$J141/tech_proj!AK265*0.086*$N$110)/(1-tech_proj!AK545))</f>
        <v>0</v>
      </c>
      <c r="AL1605" s="121">
        <f>IF(tech_base!$T141&gt;AL$1465,"",(tech_base!$J141/tech_proj!AL265*0.086*$N$110)/(1-tech_proj!AL545))</f>
        <v>0</v>
      </c>
      <c r="AM1605" s="121">
        <f>IF(tech_base!$T141&gt;AM$1465,"",(tech_base!$J141/tech_proj!AM265*0.086*$N$110)/(1-tech_proj!AM545))</f>
        <v>0</v>
      </c>
      <c r="AN1605" s="121">
        <f>IF(tech_base!$T141&gt;AN$1465,"",(tech_base!$J141/tech_proj!AN265*0.086*$N$110)/(1-tech_proj!AN545))</f>
        <v>0</v>
      </c>
      <c r="AO1605" s="121">
        <f>IF(tech_base!$T141&gt;AO$1465,"",(tech_base!$J141/tech_proj!AO265*0.086*$N$110)/(1-tech_proj!AO545))</f>
        <v>0</v>
      </c>
      <c r="AP1605" s="121">
        <f>IF(tech_base!$T141&gt;AP$1465,"",(tech_base!$J141/tech_proj!AP265*0.086*$N$110)/(1-tech_proj!AP545))</f>
        <v>0</v>
      </c>
      <c r="AQ1605" s="121">
        <f>IF(tech_base!$T141&gt;AQ$1465,"",(tech_base!$J141/tech_proj!AQ265*0.086*$N$110)/(1-tech_proj!AQ545))</f>
        <v>0</v>
      </c>
      <c r="AR1605" s="121">
        <f>IF(tech_base!$T141&gt;AR$1465,"",(tech_base!$J141/tech_proj!AR265*0.086*$N$110)/(1-tech_proj!AR545))</f>
        <v>0</v>
      </c>
      <c r="AS1605" s="121">
        <f>IF(tech_base!$T141&gt;AS$1465,"",(tech_base!$J141/tech_proj!AS265*0.086*$N$110)/(1-tech_proj!AS545))</f>
        <v>0</v>
      </c>
      <c r="AT1605" s="121">
        <f>IF(tech_base!$T141&gt;AT$1465,"",(tech_base!$J141/tech_proj!AT265*0.086*$N$110)/(1-tech_proj!AT545))</f>
        <v>0</v>
      </c>
      <c r="AU1605" s="121">
        <f>IF(tech_base!$T141&gt;AU$1465,"",(tech_base!$J141/tech_proj!AU265*0.086*$N$110)/(1-tech_proj!AU545))</f>
        <v>0</v>
      </c>
      <c r="AV1605" s="121">
        <f>IF(tech_base!$T141&gt;AV$1465,"",(tech_base!$J141/tech_proj!AV265*0.086*$N$110)/(1-tech_proj!AV545))</f>
        <v>0</v>
      </c>
      <c r="AW1605" s="121">
        <f>IF(tech_base!$T141&gt;AW$1465,"",(tech_base!$J141/tech_proj!AW265*0.086*$N$110)/(1-tech_proj!AW545))</f>
        <v>0</v>
      </c>
      <c r="AX1605" s="122">
        <f>IF(tech_base!$T141&gt;AX$1465,"",(tech_base!$J141/tech_proj!AX265*0.086*$N$110)/(1-tech_proj!AX545))</f>
        <v>0</v>
      </c>
    </row>
    <row r="1606" spans="1:50" x14ac:dyDescent="0.25">
      <c r="A1606" s="356"/>
      <c r="B1606" s="376"/>
      <c r="C1606" s="379"/>
      <c r="D1606" s="2" t="s">
        <v>8</v>
      </c>
      <c r="E1606" s="160" t="str">
        <f>A1605&amp;"/"&amp;B1605&amp;"/"&amp;C1605&amp;"/"&amp;D1606</f>
        <v>Diesel oil fired power plants/Gas turbine combined cycle/Electricity only/M</v>
      </c>
      <c r="F1606" s="76" t="str">
        <f>A1605</f>
        <v>Diesel oil fired power plants</v>
      </c>
      <c r="G1606" s="76" t="str">
        <f>B1605</f>
        <v>Gas turbine combined cycle</v>
      </c>
      <c r="H1606" s="76" t="str">
        <f>C1605</f>
        <v>Electricity only</v>
      </c>
      <c r="I1606" s="161" t="str">
        <f t="shared" si="379"/>
        <v>M</v>
      </c>
      <c r="J1606" s="119">
        <f>IF(tech_base!$T142&gt;J$1465,"",(tech_base!$J142/tech_proj!J266*0.086*$N$110)/(1-tech_proj!J546))</f>
        <v>0</v>
      </c>
      <c r="K1606" s="119">
        <f>IF(tech_base!$T142&gt;K$1465,"",(tech_base!$J142/tech_proj!K266*0.086*$N$110)/(1-tech_proj!K546))</f>
        <v>0</v>
      </c>
      <c r="L1606" s="119">
        <f>IF(tech_base!$T142&gt;L$1465,"",(tech_base!$J142/tech_proj!L266*0.086*$N$110)/(1-tech_proj!L546))</f>
        <v>0</v>
      </c>
      <c r="M1606" s="119">
        <f>IF(tech_base!$T142&gt;M$1465,"",(tech_base!$J142/tech_proj!M266*0.086*$N$110)/(1-tech_proj!M546))</f>
        <v>0</v>
      </c>
      <c r="N1606" s="119">
        <f>IF(tech_base!$T142&gt;N$1465,"",(tech_base!$J142/tech_proj!N266*0.086*$N$110)/(1-tech_proj!N546))</f>
        <v>0</v>
      </c>
      <c r="O1606" s="119">
        <f>IF(tech_base!$T142&gt;O$1465,"",(tech_base!$J142/tech_proj!O266*0.086*$N$110)/(1-tech_proj!O546))</f>
        <v>0</v>
      </c>
      <c r="P1606" s="119">
        <f>IF(tech_base!$T142&gt;P$1465,"",(tech_base!$J142/tech_proj!P266*0.086*$N$110)/(1-tech_proj!P546))</f>
        <v>0</v>
      </c>
      <c r="Q1606" s="119">
        <f>IF(tech_base!$T142&gt;Q$1465,"",(tech_base!$J142/tech_proj!Q266*0.086*$N$110)/(1-tech_proj!Q546))</f>
        <v>0</v>
      </c>
      <c r="R1606" s="119">
        <f>IF(tech_base!$T142&gt;R$1465,"",(tech_base!$J142/tech_proj!R266*0.086*$N$110)/(1-tech_proj!R546))</f>
        <v>0</v>
      </c>
      <c r="S1606" s="119">
        <f>IF(tech_base!$T142&gt;S$1465,"",(tech_base!$J142/tech_proj!S266*0.086*$N$110)/(1-tech_proj!S546))</f>
        <v>0</v>
      </c>
      <c r="T1606" s="119">
        <f>IF(tech_base!$T142&gt;T$1465,"",(tech_base!$J142/tech_proj!T266*0.086*$N$110)/(1-tech_proj!T546))</f>
        <v>0</v>
      </c>
      <c r="U1606" s="119">
        <f>IF(tech_base!$T142&gt;U$1465,"",(tech_base!$J142/tech_proj!U266*0.086*$N$110)/(1-tech_proj!U546))</f>
        <v>0</v>
      </c>
      <c r="V1606" s="119">
        <f>IF(tech_base!$T142&gt;V$1465,"",(tech_base!$J142/tech_proj!V266*0.086*$N$110)/(1-tech_proj!V546))</f>
        <v>0</v>
      </c>
      <c r="W1606" s="119">
        <f>IF(tech_base!$T142&gt;W$1465,"",(tech_base!$J142/tech_proj!W266*0.086*$N$110)/(1-tech_proj!W546))</f>
        <v>0</v>
      </c>
      <c r="X1606" s="119">
        <f>IF(tech_base!$T142&gt;X$1465,"",(tech_base!$J142/tech_proj!X266*0.086*$N$110)/(1-tech_proj!X546))</f>
        <v>0</v>
      </c>
      <c r="Y1606" s="119">
        <f>IF(tech_base!$T142&gt;Y$1465,"",(tech_base!$J142/tech_proj!Y266*0.086*$N$110)/(1-tech_proj!Y546))</f>
        <v>0</v>
      </c>
      <c r="Z1606" s="119">
        <f>IF(tech_base!$T142&gt;Z$1465,"",(tech_base!$J142/tech_proj!Z266*0.086*$N$110)/(1-tech_proj!Z546))</f>
        <v>0</v>
      </c>
      <c r="AA1606" s="119">
        <f>IF(tech_base!$T142&gt;AA$1465,"",(tech_base!$J142/tech_proj!AA266*0.086*$N$110)/(1-tech_proj!AA546))</f>
        <v>0</v>
      </c>
      <c r="AB1606" s="119">
        <f>IF(tech_base!$T142&gt;AB$1465,"",(tech_base!$J142/tech_proj!AB266*0.086*$N$110)/(1-tech_proj!AB546))</f>
        <v>0</v>
      </c>
      <c r="AC1606" s="119">
        <f>IF(tech_base!$T142&gt;AC$1465,"",(tech_base!$J142/tech_proj!AC266*0.086*$N$110)/(1-tech_proj!AC546))</f>
        <v>0</v>
      </c>
      <c r="AD1606" s="119">
        <f>IF(tech_base!$T142&gt;AD$1465,"",(tech_base!$J142/tech_proj!AD266*0.086*$N$110)/(1-tech_proj!AD546))</f>
        <v>0</v>
      </c>
      <c r="AE1606" s="119">
        <f>IF(tech_base!$T142&gt;AE$1465,"",(tech_base!$J142/tech_proj!AE266*0.086*$N$110)/(1-tech_proj!AE546))</f>
        <v>0</v>
      </c>
      <c r="AF1606" s="119">
        <f>IF(tech_base!$T142&gt;AF$1465,"",(tech_base!$J142/tech_proj!AF266*0.086*$N$110)/(1-tech_proj!AF546))</f>
        <v>0</v>
      </c>
      <c r="AG1606" s="119">
        <f>IF(tech_base!$T142&gt;AG$1465,"",(tech_base!$J142/tech_proj!AG266*0.086*$N$110)/(1-tech_proj!AG546))</f>
        <v>0</v>
      </c>
      <c r="AH1606" s="119">
        <f>IF(tech_base!$T142&gt;AH$1465,"",(tech_base!$J142/tech_proj!AH266*0.086*$N$110)/(1-tech_proj!AH546))</f>
        <v>0</v>
      </c>
      <c r="AI1606" s="119">
        <f>IF(tech_base!$T142&gt;AI$1465,"",(tech_base!$J142/tech_proj!AI266*0.086*$N$110)/(1-tech_proj!AI546))</f>
        <v>0</v>
      </c>
      <c r="AJ1606" s="119">
        <f>IF(tech_base!$T142&gt;AJ$1465,"",(tech_base!$J142/tech_proj!AJ266*0.086*$N$110)/(1-tech_proj!AJ546))</f>
        <v>0</v>
      </c>
      <c r="AK1606" s="119">
        <f>IF(tech_base!$T142&gt;AK$1465,"",(tech_base!$J142/tech_proj!AK266*0.086*$N$110)/(1-tech_proj!AK546))</f>
        <v>0</v>
      </c>
      <c r="AL1606" s="119">
        <f>IF(tech_base!$T142&gt;AL$1465,"",(tech_base!$J142/tech_proj!AL266*0.086*$N$110)/(1-tech_proj!AL546))</f>
        <v>0</v>
      </c>
      <c r="AM1606" s="119">
        <f>IF(tech_base!$T142&gt;AM$1465,"",(tech_base!$J142/tech_proj!AM266*0.086*$N$110)/(1-tech_proj!AM546))</f>
        <v>0</v>
      </c>
      <c r="AN1606" s="119">
        <f>IF(tech_base!$T142&gt;AN$1465,"",(tech_base!$J142/tech_proj!AN266*0.086*$N$110)/(1-tech_proj!AN546))</f>
        <v>0</v>
      </c>
      <c r="AO1606" s="119">
        <f>IF(tech_base!$T142&gt;AO$1465,"",(tech_base!$J142/tech_proj!AO266*0.086*$N$110)/(1-tech_proj!AO546))</f>
        <v>0</v>
      </c>
      <c r="AP1606" s="119">
        <f>IF(tech_base!$T142&gt;AP$1465,"",(tech_base!$J142/tech_proj!AP266*0.086*$N$110)/(1-tech_proj!AP546))</f>
        <v>0</v>
      </c>
      <c r="AQ1606" s="119">
        <f>IF(tech_base!$T142&gt;AQ$1465,"",(tech_base!$J142/tech_proj!AQ266*0.086*$N$110)/(1-tech_proj!AQ546))</f>
        <v>0</v>
      </c>
      <c r="AR1606" s="119">
        <f>IF(tech_base!$T142&gt;AR$1465,"",(tech_base!$J142/tech_proj!AR266*0.086*$N$110)/(1-tech_proj!AR546))</f>
        <v>0</v>
      </c>
      <c r="AS1606" s="119">
        <f>IF(tech_base!$T142&gt;AS$1465,"",(tech_base!$J142/tech_proj!AS266*0.086*$N$110)/(1-tech_proj!AS546))</f>
        <v>0</v>
      </c>
      <c r="AT1606" s="119">
        <f>IF(tech_base!$T142&gt;AT$1465,"",(tech_base!$J142/tech_proj!AT266*0.086*$N$110)/(1-tech_proj!AT546))</f>
        <v>0</v>
      </c>
      <c r="AU1606" s="119">
        <f>IF(tech_base!$T142&gt;AU$1465,"",(tech_base!$J142/tech_proj!AU266*0.086*$N$110)/(1-tech_proj!AU546))</f>
        <v>0</v>
      </c>
      <c r="AV1606" s="119">
        <f>IF(tech_base!$T142&gt;AV$1465,"",(tech_base!$J142/tech_proj!AV266*0.086*$N$110)/(1-tech_proj!AV546))</f>
        <v>0</v>
      </c>
      <c r="AW1606" s="119">
        <f>IF(tech_base!$T142&gt;AW$1465,"",(tech_base!$J142/tech_proj!AW266*0.086*$N$110)/(1-tech_proj!AW546))</f>
        <v>0</v>
      </c>
      <c r="AX1606" s="120">
        <f>IF(tech_base!$T142&gt;AX$1465,"",(tech_base!$J142/tech_proj!AX266*0.086*$N$110)/(1-tech_proj!AX546))</f>
        <v>0</v>
      </c>
    </row>
    <row r="1607" spans="1:50" x14ac:dyDescent="0.25">
      <c r="A1607" s="356"/>
      <c r="B1607" s="376"/>
      <c r="C1607" s="361" t="s">
        <v>14</v>
      </c>
      <c r="D1607" s="58" t="s">
        <v>7</v>
      </c>
      <c r="E1607" s="164" t="str">
        <f>A1605&amp;"/"&amp;B1605&amp;"/"&amp;C1607&amp;"/"&amp;D1607</f>
        <v>Diesel oil fired power plants/Gas turbine combined cycle/CHP/L</v>
      </c>
      <c r="F1607" s="78" t="str">
        <f>A1605</f>
        <v>Diesel oil fired power plants</v>
      </c>
      <c r="G1607" s="78" t="str">
        <f>B1605</f>
        <v>Gas turbine combined cycle</v>
      </c>
      <c r="H1607" s="78" t="str">
        <f>C1607</f>
        <v>CHP</v>
      </c>
      <c r="I1607" s="165" t="str">
        <f t="shared" si="379"/>
        <v>L</v>
      </c>
      <c r="J1607" s="123">
        <f>IF(tech_base!$T143&gt;J$1465,"",(tech_base!$J143/tech_proj!J267*0.086*$N$110)/(1-tech_proj!J547))</f>
        <v>0</v>
      </c>
      <c r="K1607" s="123">
        <f>IF(tech_base!$T143&gt;K$1465,"",(tech_base!$J143/tech_proj!K267*0.086*$N$110)/(1-tech_proj!K547))</f>
        <v>0</v>
      </c>
      <c r="L1607" s="123">
        <f>IF(tech_base!$T143&gt;L$1465,"",(tech_base!$J143/tech_proj!L267*0.086*$N$110)/(1-tech_proj!L547))</f>
        <v>0</v>
      </c>
      <c r="M1607" s="123">
        <f>IF(tech_base!$T143&gt;M$1465,"",(tech_base!$J143/tech_proj!M267*0.086*$N$110)/(1-tech_proj!M547))</f>
        <v>0</v>
      </c>
      <c r="N1607" s="123">
        <f>IF(tech_base!$T143&gt;N$1465,"",(tech_base!$J143/tech_proj!N267*0.086*$N$110)/(1-tech_proj!N547))</f>
        <v>0</v>
      </c>
      <c r="O1607" s="123">
        <f>IF(tech_base!$T143&gt;O$1465,"",(tech_base!$J143/tech_proj!O267*0.086*$N$110)/(1-tech_proj!O547))</f>
        <v>0</v>
      </c>
      <c r="P1607" s="123">
        <f>IF(tech_base!$T143&gt;P$1465,"",(tech_base!$J143/tech_proj!P267*0.086*$N$110)/(1-tech_proj!P547))</f>
        <v>0</v>
      </c>
      <c r="Q1607" s="123">
        <f>IF(tech_base!$T143&gt;Q$1465,"",(tech_base!$J143/tech_proj!Q267*0.086*$N$110)/(1-tech_proj!Q547))</f>
        <v>0</v>
      </c>
      <c r="R1607" s="123">
        <f>IF(tech_base!$T143&gt;R$1465,"",(tech_base!$J143/tech_proj!R267*0.086*$N$110)/(1-tech_proj!R547))</f>
        <v>0</v>
      </c>
      <c r="S1607" s="123">
        <f>IF(tech_base!$T143&gt;S$1465,"",(tech_base!$J143/tech_proj!S267*0.086*$N$110)/(1-tech_proj!S547))</f>
        <v>0</v>
      </c>
      <c r="T1607" s="123">
        <f>IF(tech_base!$T143&gt;T$1465,"",(tech_base!$J143/tech_proj!T267*0.086*$N$110)/(1-tech_proj!T547))</f>
        <v>0</v>
      </c>
      <c r="U1607" s="123">
        <f>IF(tech_base!$T143&gt;U$1465,"",(tech_base!$J143/tech_proj!U267*0.086*$N$110)/(1-tech_proj!U547))</f>
        <v>0</v>
      </c>
      <c r="V1607" s="123">
        <f>IF(tech_base!$T143&gt;V$1465,"",(tech_base!$J143/tech_proj!V267*0.086*$N$110)/(1-tech_proj!V547))</f>
        <v>0</v>
      </c>
      <c r="W1607" s="123">
        <f>IF(tech_base!$T143&gt;W$1465,"",(tech_base!$J143/tech_proj!W267*0.086*$N$110)/(1-tech_proj!W547))</f>
        <v>0</v>
      </c>
      <c r="X1607" s="123">
        <f>IF(tech_base!$T143&gt;X$1465,"",(tech_base!$J143/tech_proj!X267*0.086*$N$110)/(1-tech_proj!X547))</f>
        <v>0</v>
      </c>
      <c r="Y1607" s="123">
        <f>IF(tech_base!$T143&gt;Y$1465,"",(tech_base!$J143/tech_proj!Y267*0.086*$N$110)/(1-tech_proj!Y547))</f>
        <v>0</v>
      </c>
      <c r="Z1607" s="123">
        <f>IF(tech_base!$T143&gt;Z$1465,"",(tech_base!$J143/tech_proj!Z267*0.086*$N$110)/(1-tech_proj!Z547))</f>
        <v>0</v>
      </c>
      <c r="AA1607" s="123">
        <f>IF(tech_base!$T143&gt;AA$1465,"",(tech_base!$J143/tech_proj!AA267*0.086*$N$110)/(1-tech_proj!AA547))</f>
        <v>0</v>
      </c>
      <c r="AB1607" s="123">
        <f>IF(tech_base!$T143&gt;AB$1465,"",(tech_base!$J143/tech_proj!AB267*0.086*$N$110)/(1-tech_proj!AB547))</f>
        <v>0</v>
      </c>
      <c r="AC1607" s="123">
        <f>IF(tech_base!$T143&gt;AC$1465,"",(tech_base!$J143/tech_proj!AC267*0.086*$N$110)/(1-tech_proj!AC547))</f>
        <v>0</v>
      </c>
      <c r="AD1607" s="123">
        <f>IF(tech_base!$T143&gt;AD$1465,"",(tech_base!$J143/tech_proj!AD267*0.086*$N$110)/(1-tech_proj!AD547))</f>
        <v>0</v>
      </c>
      <c r="AE1607" s="123">
        <f>IF(tech_base!$T143&gt;AE$1465,"",(tech_base!$J143/tech_proj!AE267*0.086*$N$110)/(1-tech_proj!AE547))</f>
        <v>0</v>
      </c>
      <c r="AF1607" s="123">
        <f>IF(tech_base!$T143&gt;AF$1465,"",(tech_base!$J143/tech_proj!AF267*0.086*$N$110)/(1-tech_proj!AF547))</f>
        <v>0</v>
      </c>
      <c r="AG1607" s="123">
        <f>IF(tech_base!$T143&gt;AG$1465,"",(tech_base!$J143/tech_proj!AG267*0.086*$N$110)/(1-tech_proj!AG547))</f>
        <v>0</v>
      </c>
      <c r="AH1607" s="123">
        <f>IF(tech_base!$T143&gt;AH$1465,"",(tech_base!$J143/tech_proj!AH267*0.086*$N$110)/(1-tech_proj!AH547))</f>
        <v>0</v>
      </c>
      <c r="AI1607" s="123">
        <f>IF(tech_base!$T143&gt;AI$1465,"",(tech_base!$J143/tech_proj!AI267*0.086*$N$110)/(1-tech_proj!AI547))</f>
        <v>0</v>
      </c>
      <c r="AJ1607" s="123">
        <f>IF(tech_base!$T143&gt;AJ$1465,"",(tech_base!$J143/tech_proj!AJ267*0.086*$N$110)/(1-tech_proj!AJ547))</f>
        <v>0</v>
      </c>
      <c r="AK1607" s="123">
        <f>IF(tech_base!$T143&gt;AK$1465,"",(tech_base!$J143/tech_proj!AK267*0.086*$N$110)/(1-tech_proj!AK547))</f>
        <v>0</v>
      </c>
      <c r="AL1607" s="123">
        <f>IF(tech_base!$T143&gt;AL$1465,"",(tech_base!$J143/tech_proj!AL267*0.086*$N$110)/(1-tech_proj!AL547))</f>
        <v>0</v>
      </c>
      <c r="AM1607" s="123">
        <f>IF(tech_base!$T143&gt;AM$1465,"",(tech_base!$J143/tech_proj!AM267*0.086*$N$110)/(1-tech_proj!AM547))</f>
        <v>0</v>
      </c>
      <c r="AN1607" s="123">
        <f>IF(tech_base!$T143&gt;AN$1465,"",(tech_base!$J143/tech_proj!AN267*0.086*$N$110)/(1-tech_proj!AN547))</f>
        <v>0</v>
      </c>
      <c r="AO1607" s="123">
        <f>IF(tech_base!$T143&gt;AO$1465,"",(tech_base!$J143/tech_proj!AO267*0.086*$N$110)/(1-tech_proj!AO547))</f>
        <v>0</v>
      </c>
      <c r="AP1607" s="123">
        <f>IF(tech_base!$T143&gt;AP$1465,"",(tech_base!$J143/tech_proj!AP267*0.086*$N$110)/(1-tech_proj!AP547))</f>
        <v>0</v>
      </c>
      <c r="AQ1607" s="123">
        <f>IF(tech_base!$T143&gt;AQ$1465,"",(tech_base!$J143/tech_proj!AQ267*0.086*$N$110)/(1-tech_proj!AQ547))</f>
        <v>0</v>
      </c>
      <c r="AR1607" s="123">
        <f>IF(tech_base!$T143&gt;AR$1465,"",(tech_base!$J143/tech_proj!AR267*0.086*$N$110)/(1-tech_proj!AR547))</f>
        <v>0</v>
      </c>
      <c r="AS1607" s="123">
        <f>IF(tech_base!$T143&gt;AS$1465,"",(tech_base!$J143/tech_proj!AS267*0.086*$N$110)/(1-tech_proj!AS547))</f>
        <v>0</v>
      </c>
      <c r="AT1607" s="123">
        <f>IF(tech_base!$T143&gt;AT$1465,"",(tech_base!$J143/tech_proj!AT267*0.086*$N$110)/(1-tech_proj!AT547))</f>
        <v>0</v>
      </c>
      <c r="AU1607" s="123">
        <f>IF(tech_base!$T143&gt;AU$1465,"",(tech_base!$J143/tech_proj!AU267*0.086*$N$110)/(1-tech_proj!AU547))</f>
        <v>0</v>
      </c>
      <c r="AV1607" s="123">
        <f>IF(tech_base!$T143&gt;AV$1465,"",(tech_base!$J143/tech_proj!AV267*0.086*$N$110)/(1-tech_proj!AV547))</f>
        <v>0</v>
      </c>
      <c r="AW1607" s="123">
        <f>IF(tech_base!$T143&gt;AW$1465,"",(tech_base!$J143/tech_proj!AW267*0.086*$N$110)/(1-tech_proj!AW547))</f>
        <v>0</v>
      </c>
      <c r="AX1607" s="124">
        <f>IF(tech_base!$T143&gt;AX$1465,"",(tech_base!$J143/tech_proj!AX267*0.086*$N$110)/(1-tech_proj!AX547))</f>
        <v>0</v>
      </c>
    </row>
    <row r="1608" spans="1:50" x14ac:dyDescent="0.25">
      <c r="A1608" s="356"/>
      <c r="B1608" s="376"/>
      <c r="C1608" s="379"/>
      <c r="D1608" s="59" t="s">
        <v>8</v>
      </c>
      <c r="E1608" s="166" t="str">
        <f>A1605&amp;"/"&amp;B1605&amp;"/"&amp;C1607&amp;"/"&amp;D1608</f>
        <v>Diesel oil fired power plants/Gas turbine combined cycle/CHP/M</v>
      </c>
      <c r="F1608" s="79" t="str">
        <f>A1605</f>
        <v>Diesel oil fired power plants</v>
      </c>
      <c r="G1608" s="79" t="str">
        <f>B1605</f>
        <v>Gas turbine combined cycle</v>
      </c>
      <c r="H1608" s="79" t="str">
        <f>C1607</f>
        <v>CHP</v>
      </c>
      <c r="I1608" s="167" t="str">
        <f t="shared" si="379"/>
        <v>M</v>
      </c>
      <c r="J1608" s="125">
        <f>IF(tech_base!$T144&gt;J$1465,"",(tech_base!$J144/tech_proj!J268*0.086*$N$110)/(1-tech_proj!J548))</f>
        <v>0</v>
      </c>
      <c r="K1608" s="125">
        <f>IF(tech_base!$T144&gt;K$1465,"",(tech_base!$J144/tech_proj!K268*0.086*$N$110)/(1-tech_proj!K548))</f>
        <v>0</v>
      </c>
      <c r="L1608" s="125">
        <f>IF(tech_base!$T144&gt;L$1465,"",(tech_base!$J144/tech_proj!L268*0.086*$N$110)/(1-tech_proj!L548))</f>
        <v>0</v>
      </c>
      <c r="M1608" s="125">
        <f>IF(tech_base!$T144&gt;M$1465,"",(tech_base!$J144/tech_proj!M268*0.086*$N$110)/(1-tech_proj!M548))</f>
        <v>0</v>
      </c>
      <c r="N1608" s="125">
        <f>IF(tech_base!$T144&gt;N$1465,"",(tech_base!$J144/tech_proj!N268*0.086*$N$110)/(1-tech_proj!N548))</f>
        <v>0</v>
      </c>
      <c r="O1608" s="125">
        <f>IF(tech_base!$T144&gt;O$1465,"",(tech_base!$J144/tech_proj!O268*0.086*$N$110)/(1-tech_proj!O548))</f>
        <v>0</v>
      </c>
      <c r="P1608" s="125">
        <f>IF(tech_base!$T144&gt;P$1465,"",(tech_base!$J144/tech_proj!P268*0.086*$N$110)/(1-tech_proj!P548))</f>
        <v>0</v>
      </c>
      <c r="Q1608" s="125">
        <f>IF(tech_base!$T144&gt;Q$1465,"",(tech_base!$J144/tech_proj!Q268*0.086*$N$110)/(1-tech_proj!Q548))</f>
        <v>0</v>
      </c>
      <c r="R1608" s="125">
        <f>IF(tech_base!$T144&gt;R$1465,"",(tech_base!$J144/tech_proj!R268*0.086*$N$110)/(1-tech_proj!R548))</f>
        <v>0</v>
      </c>
      <c r="S1608" s="125">
        <f>IF(tech_base!$T144&gt;S$1465,"",(tech_base!$J144/tech_proj!S268*0.086*$N$110)/(1-tech_proj!S548))</f>
        <v>0</v>
      </c>
      <c r="T1608" s="125">
        <f>IF(tech_base!$T144&gt;T$1465,"",(tech_base!$J144/tech_proj!T268*0.086*$N$110)/(1-tech_proj!T548))</f>
        <v>0</v>
      </c>
      <c r="U1608" s="125">
        <f>IF(tech_base!$T144&gt;U$1465,"",(tech_base!$J144/tech_proj!U268*0.086*$N$110)/(1-tech_proj!U548))</f>
        <v>0</v>
      </c>
      <c r="V1608" s="125">
        <f>IF(tech_base!$T144&gt;V$1465,"",(tech_base!$J144/tech_proj!V268*0.086*$N$110)/(1-tech_proj!V548))</f>
        <v>0</v>
      </c>
      <c r="W1608" s="125">
        <f>IF(tech_base!$T144&gt;W$1465,"",(tech_base!$J144/tech_proj!W268*0.086*$N$110)/(1-tech_proj!W548))</f>
        <v>0</v>
      </c>
      <c r="X1608" s="125">
        <f>IF(tech_base!$T144&gt;X$1465,"",(tech_base!$J144/tech_proj!X268*0.086*$N$110)/(1-tech_proj!X548))</f>
        <v>0</v>
      </c>
      <c r="Y1608" s="125">
        <f>IF(tech_base!$T144&gt;Y$1465,"",(tech_base!$J144/tech_proj!Y268*0.086*$N$110)/(1-tech_proj!Y548))</f>
        <v>0</v>
      </c>
      <c r="Z1608" s="125">
        <f>IF(tech_base!$T144&gt;Z$1465,"",(tech_base!$J144/tech_proj!Z268*0.086*$N$110)/(1-tech_proj!Z548))</f>
        <v>0</v>
      </c>
      <c r="AA1608" s="125">
        <f>IF(tech_base!$T144&gt;AA$1465,"",(tech_base!$J144/tech_proj!AA268*0.086*$N$110)/(1-tech_proj!AA548))</f>
        <v>0</v>
      </c>
      <c r="AB1608" s="125">
        <f>IF(tech_base!$T144&gt;AB$1465,"",(tech_base!$J144/tech_proj!AB268*0.086*$N$110)/(1-tech_proj!AB548))</f>
        <v>0</v>
      </c>
      <c r="AC1608" s="125">
        <f>IF(tech_base!$T144&gt;AC$1465,"",(tech_base!$J144/tech_proj!AC268*0.086*$N$110)/(1-tech_proj!AC548))</f>
        <v>0</v>
      </c>
      <c r="AD1608" s="125">
        <f>IF(tech_base!$T144&gt;AD$1465,"",(tech_base!$J144/tech_proj!AD268*0.086*$N$110)/(1-tech_proj!AD548))</f>
        <v>0</v>
      </c>
      <c r="AE1608" s="125">
        <f>IF(tech_base!$T144&gt;AE$1465,"",(tech_base!$J144/tech_proj!AE268*0.086*$N$110)/(1-tech_proj!AE548))</f>
        <v>0</v>
      </c>
      <c r="AF1608" s="125">
        <f>IF(tech_base!$T144&gt;AF$1465,"",(tech_base!$J144/tech_proj!AF268*0.086*$N$110)/(1-tech_proj!AF548))</f>
        <v>0</v>
      </c>
      <c r="AG1608" s="125">
        <f>IF(tech_base!$T144&gt;AG$1465,"",(tech_base!$J144/tech_proj!AG268*0.086*$N$110)/(1-tech_proj!AG548))</f>
        <v>0</v>
      </c>
      <c r="AH1608" s="125">
        <f>IF(tech_base!$T144&gt;AH$1465,"",(tech_base!$J144/tech_proj!AH268*0.086*$N$110)/(1-tech_proj!AH548))</f>
        <v>0</v>
      </c>
      <c r="AI1608" s="125">
        <f>IF(tech_base!$T144&gt;AI$1465,"",(tech_base!$J144/tech_proj!AI268*0.086*$N$110)/(1-tech_proj!AI548))</f>
        <v>0</v>
      </c>
      <c r="AJ1608" s="125">
        <f>IF(tech_base!$T144&gt;AJ$1465,"",(tech_base!$J144/tech_proj!AJ268*0.086*$N$110)/(1-tech_proj!AJ548))</f>
        <v>0</v>
      </c>
      <c r="AK1608" s="125">
        <f>IF(tech_base!$T144&gt;AK$1465,"",(tech_base!$J144/tech_proj!AK268*0.086*$N$110)/(1-tech_proj!AK548))</f>
        <v>0</v>
      </c>
      <c r="AL1608" s="125">
        <f>IF(tech_base!$T144&gt;AL$1465,"",(tech_base!$J144/tech_proj!AL268*0.086*$N$110)/(1-tech_proj!AL548))</f>
        <v>0</v>
      </c>
      <c r="AM1608" s="125">
        <f>IF(tech_base!$T144&gt;AM$1465,"",(tech_base!$J144/tech_proj!AM268*0.086*$N$110)/(1-tech_proj!AM548))</f>
        <v>0</v>
      </c>
      <c r="AN1608" s="125">
        <f>IF(tech_base!$T144&gt;AN$1465,"",(tech_base!$J144/tech_proj!AN268*0.086*$N$110)/(1-tech_proj!AN548))</f>
        <v>0</v>
      </c>
      <c r="AO1608" s="125">
        <f>IF(tech_base!$T144&gt;AO$1465,"",(tech_base!$J144/tech_proj!AO268*0.086*$N$110)/(1-tech_proj!AO548))</f>
        <v>0</v>
      </c>
      <c r="AP1608" s="125">
        <f>IF(tech_base!$T144&gt;AP$1465,"",(tech_base!$J144/tech_proj!AP268*0.086*$N$110)/(1-tech_proj!AP548))</f>
        <v>0</v>
      </c>
      <c r="AQ1608" s="125">
        <f>IF(tech_base!$T144&gt;AQ$1465,"",(tech_base!$J144/tech_proj!AQ268*0.086*$N$110)/(1-tech_proj!AQ548))</f>
        <v>0</v>
      </c>
      <c r="AR1608" s="125">
        <f>IF(tech_base!$T144&gt;AR$1465,"",(tech_base!$J144/tech_proj!AR268*0.086*$N$110)/(1-tech_proj!AR548))</f>
        <v>0</v>
      </c>
      <c r="AS1608" s="125">
        <f>IF(tech_base!$T144&gt;AS$1465,"",(tech_base!$J144/tech_proj!AS268*0.086*$N$110)/(1-tech_proj!AS548))</f>
        <v>0</v>
      </c>
      <c r="AT1608" s="125">
        <f>IF(tech_base!$T144&gt;AT$1465,"",(tech_base!$J144/tech_proj!AT268*0.086*$N$110)/(1-tech_proj!AT548))</f>
        <v>0</v>
      </c>
      <c r="AU1608" s="125">
        <f>IF(tech_base!$T144&gt;AU$1465,"",(tech_base!$J144/tech_proj!AU268*0.086*$N$110)/(1-tech_proj!AU548))</f>
        <v>0</v>
      </c>
      <c r="AV1608" s="125">
        <f>IF(tech_base!$T144&gt;AV$1465,"",(tech_base!$J144/tech_proj!AV268*0.086*$N$110)/(1-tech_proj!AV548))</f>
        <v>0</v>
      </c>
      <c r="AW1608" s="125">
        <f>IF(tech_base!$T144&gt;AW$1465,"",(tech_base!$J144/tech_proj!AW268*0.086*$N$110)/(1-tech_proj!AW548))</f>
        <v>0</v>
      </c>
      <c r="AX1608" s="126">
        <f>IF(tech_base!$T144&gt;AX$1465,"",(tech_base!$J144/tech_proj!AX268*0.086*$N$110)/(1-tech_proj!AX548))</f>
        <v>0</v>
      </c>
    </row>
    <row r="1609" spans="1:50" x14ac:dyDescent="0.25">
      <c r="A1609" s="356"/>
      <c r="B1609" s="376"/>
      <c r="C1609" s="361" t="s">
        <v>15</v>
      </c>
      <c r="D1609" s="58" t="s">
        <v>7</v>
      </c>
      <c r="E1609" s="164" t="str">
        <f>A1605&amp;"/"&amp;B1605&amp;"/"&amp;C1609&amp;"/"&amp;D1609</f>
        <v>Diesel oil fired power plants/Gas turbine combined cycle/Electricity only with CCS/L</v>
      </c>
      <c r="F1609" s="78" t="str">
        <f>A1605</f>
        <v>Diesel oil fired power plants</v>
      </c>
      <c r="G1609" s="78" t="str">
        <f>B1605</f>
        <v>Gas turbine combined cycle</v>
      </c>
      <c r="H1609" s="78" t="str">
        <f>C1609</f>
        <v>Electricity only with CCS</v>
      </c>
      <c r="I1609" s="165" t="str">
        <f t="shared" si="379"/>
        <v>L</v>
      </c>
      <c r="J1609" s="123" t="str">
        <f>IF(tech_base!$T145&gt;J$1465,"",(tech_base!$J145/tech_proj!J269*0.086*$N$110)/(1-tech_proj!J549))</f>
        <v/>
      </c>
      <c r="K1609" s="123" t="str">
        <f>IF(tech_base!$T145&gt;K$1465,"",(tech_base!$J145/tech_proj!K269*0.086*$N$110)/(1-tech_proj!K549))</f>
        <v/>
      </c>
      <c r="L1609" s="123" t="str">
        <f>IF(tech_base!$T145&gt;L$1465,"",(tech_base!$J145/tech_proj!L269*0.086*$N$110)/(1-tech_proj!L549))</f>
        <v/>
      </c>
      <c r="M1609" s="123" t="str">
        <f>IF(tech_base!$T145&gt;M$1465,"",(tech_base!$J145/tech_proj!M269*0.086*$N$110)/(1-tech_proj!M549))</f>
        <v/>
      </c>
      <c r="N1609" s="123" t="str">
        <f>IF(tech_base!$T145&gt;N$1465,"",(tech_base!$J145/tech_proj!N269*0.086*$N$110)/(1-tech_proj!N549))</f>
        <v/>
      </c>
      <c r="O1609" s="123" t="str">
        <f>IF(tech_base!$T145&gt;O$1465,"",(tech_base!$J145/tech_proj!O269*0.086*$N$110)/(1-tech_proj!O549))</f>
        <v/>
      </c>
      <c r="P1609" s="123" t="str">
        <f>IF(tech_base!$T145&gt;P$1465,"",(tech_base!$J145/tech_proj!P269*0.086*$N$110)/(1-tech_proj!P549))</f>
        <v/>
      </c>
      <c r="Q1609" s="123" t="str">
        <f>IF(tech_base!$T145&gt;Q$1465,"",(tech_base!$J145/tech_proj!Q269*0.086*$N$110)/(1-tech_proj!Q549))</f>
        <v/>
      </c>
      <c r="R1609" s="123" t="str">
        <f>IF(tech_base!$T145&gt;R$1465,"",(tech_base!$J145/tech_proj!R269*0.086*$N$110)/(1-tech_proj!R549))</f>
        <v/>
      </c>
      <c r="S1609" s="123" t="str">
        <f>IF(tech_base!$T145&gt;S$1465,"",(tech_base!$J145/tech_proj!S269*0.086*$N$110)/(1-tech_proj!S549))</f>
        <v/>
      </c>
      <c r="T1609" s="123" t="str">
        <f>IF(tech_base!$T145&gt;T$1465,"",(tech_base!$J145/tech_proj!T269*0.086*$N$110)/(1-tech_proj!T549))</f>
        <v/>
      </c>
      <c r="U1609" s="123" t="str">
        <f>IF(tech_base!$T145&gt;U$1465,"",(tech_base!$J145/tech_proj!U269*0.086*$N$110)/(1-tech_proj!U549))</f>
        <v/>
      </c>
      <c r="V1609" s="123" t="str">
        <f>IF(tech_base!$T145&gt;V$1465,"",(tech_base!$J145/tech_proj!V269*0.086*$N$110)/(1-tech_proj!V549))</f>
        <v/>
      </c>
      <c r="W1609" s="123" t="str">
        <f>IF(tech_base!$T145&gt;W$1465,"",(tech_base!$J145/tech_proj!W269*0.086*$N$110)/(1-tech_proj!W549))</f>
        <v/>
      </c>
      <c r="X1609" s="123" t="str">
        <f>IF(tech_base!$T145&gt;X$1465,"",(tech_base!$J145/tech_proj!X269*0.086*$N$110)/(1-tech_proj!X549))</f>
        <v/>
      </c>
      <c r="Y1609" s="123" t="str">
        <f>IF(tech_base!$T145&gt;Y$1465,"",(tech_base!$J145/tech_proj!Y269*0.086*$N$110)/(1-tech_proj!Y549))</f>
        <v/>
      </c>
      <c r="Z1609" s="123" t="str">
        <f>IF(tech_base!$T145&gt;Z$1465,"",(tech_base!$J145/tech_proj!Z269*0.086*$N$110)/(1-tech_proj!Z549))</f>
        <v/>
      </c>
      <c r="AA1609" s="123" t="str">
        <f>IF(tech_base!$T145&gt;AA$1465,"",(tech_base!$J145/tech_proj!AA269*0.086*$N$110)/(1-tech_proj!AA549))</f>
        <v/>
      </c>
      <c r="AB1609" s="123" t="str">
        <f>IF(tech_base!$T145&gt;AB$1465,"",(tech_base!$J145/tech_proj!AB269*0.086*$N$110)/(1-tech_proj!AB549))</f>
        <v/>
      </c>
      <c r="AC1609" s="123" t="str">
        <f>IF(tech_base!$T145&gt;AC$1465,"",(tech_base!$J145/tech_proj!AC269*0.086*$N$110)/(1-tech_proj!AC549))</f>
        <v/>
      </c>
      <c r="AD1609" s="123" t="str">
        <f>IF(tech_base!$T145&gt;AD$1465,"",(tech_base!$J145/tech_proj!AD269*0.086*$N$110)/(1-tech_proj!AD549))</f>
        <v/>
      </c>
      <c r="AE1609" s="123">
        <f>IF(tech_base!$T145&gt;AE$1465,"",(tech_base!$J145/tech_proj!AE269*0.086*$N$110)/(1-tech_proj!AE549))</f>
        <v>0</v>
      </c>
      <c r="AF1609" s="123">
        <f>IF(tech_base!$T145&gt;AF$1465,"",(tech_base!$J145/tech_proj!AF269*0.086*$N$110)/(1-tech_proj!AF549))</f>
        <v>0</v>
      </c>
      <c r="AG1609" s="123">
        <f>IF(tech_base!$T145&gt;AG$1465,"",(tech_base!$J145/tech_proj!AG269*0.086*$N$110)/(1-tech_proj!AG549))</f>
        <v>0</v>
      </c>
      <c r="AH1609" s="123">
        <f>IF(tech_base!$T145&gt;AH$1465,"",(tech_base!$J145/tech_proj!AH269*0.086*$N$110)/(1-tech_proj!AH549))</f>
        <v>0</v>
      </c>
      <c r="AI1609" s="123">
        <f>IF(tech_base!$T145&gt;AI$1465,"",(tech_base!$J145/tech_proj!AI269*0.086*$N$110)/(1-tech_proj!AI549))</f>
        <v>0</v>
      </c>
      <c r="AJ1609" s="123">
        <f>IF(tech_base!$T145&gt;AJ$1465,"",(tech_base!$J145/tech_proj!AJ269*0.086*$N$110)/(1-tech_proj!AJ549))</f>
        <v>0</v>
      </c>
      <c r="AK1609" s="123">
        <f>IF(tech_base!$T145&gt;AK$1465,"",(tech_base!$J145/tech_proj!AK269*0.086*$N$110)/(1-tech_proj!AK549))</f>
        <v>0</v>
      </c>
      <c r="AL1609" s="123">
        <f>IF(tech_base!$T145&gt;AL$1465,"",(tech_base!$J145/tech_proj!AL269*0.086*$N$110)/(1-tech_proj!AL549))</f>
        <v>0</v>
      </c>
      <c r="AM1609" s="123">
        <f>IF(tech_base!$T145&gt;AM$1465,"",(tech_base!$J145/tech_proj!AM269*0.086*$N$110)/(1-tech_proj!AM549))</f>
        <v>0</v>
      </c>
      <c r="AN1609" s="123">
        <f>IF(tech_base!$T145&gt;AN$1465,"",(tech_base!$J145/tech_proj!AN269*0.086*$N$110)/(1-tech_proj!AN549))</f>
        <v>0</v>
      </c>
      <c r="AO1609" s="123">
        <f>IF(tech_base!$T145&gt;AO$1465,"",(tech_base!$J145/tech_proj!AO269*0.086*$N$110)/(1-tech_proj!AO549))</f>
        <v>0</v>
      </c>
      <c r="AP1609" s="123">
        <f>IF(tech_base!$T145&gt;AP$1465,"",(tech_base!$J145/tech_proj!AP269*0.086*$N$110)/(1-tech_proj!AP549))</f>
        <v>0</v>
      </c>
      <c r="AQ1609" s="123">
        <f>IF(tech_base!$T145&gt;AQ$1465,"",(tech_base!$J145/tech_proj!AQ269*0.086*$N$110)/(1-tech_proj!AQ549))</f>
        <v>0</v>
      </c>
      <c r="AR1609" s="123">
        <f>IF(tech_base!$T145&gt;AR$1465,"",(tech_base!$J145/tech_proj!AR269*0.086*$N$110)/(1-tech_proj!AR549))</f>
        <v>0</v>
      </c>
      <c r="AS1609" s="123">
        <f>IF(tech_base!$T145&gt;AS$1465,"",(tech_base!$J145/tech_proj!AS269*0.086*$N$110)/(1-tech_proj!AS549))</f>
        <v>0</v>
      </c>
      <c r="AT1609" s="123">
        <f>IF(tech_base!$T145&gt;AT$1465,"",(tech_base!$J145/tech_proj!AT269*0.086*$N$110)/(1-tech_proj!AT549))</f>
        <v>0</v>
      </c>
      <c r="AU1609" s="123">
        <f>IF(tech_base!$T145&gt;AU$1465,"",(tech_base!$J145/tech_proj!AU269*0.086*$N$110)/(1-tech_proj!AU549))</f>
        <v>0</v>
      </c>
      <c r="AV1609" s="123">
        <f>IF(tech_base!$T145&gt;AV$1465,"",(tech_base!$J145/tech_proj!AV269*0.086*$N$110)/(1-tech_proj!AV549))</f>
        <v>0</v>
      </c>
      <c r="AW1609" s="123">
        <f>IF(tech_base!$T145&gt;AW$1465,"",(tech_base!$J145/tech_proj!AW269*0.086*$N$110)/(1-tech_proj!AW549))</f>
        <v>0</v>
      </c>
      <c r="AX1609" s="124">
        <f>IF(tech_base!$T145&gt;AX$1465,"",(tech_base!$J145/tech_proj!AX269*0.086*$N$110)/(1-tech_proj!AX549))</f>
        <v>0</v>
      </c>
    </row>
    <row r="1610" spans="1:50" x14ac:dyDescent="0.25">
      <c r="A1610" s="356"/>
      <c r="B1610" s="376"/>
      <c r="C1610" s="379"/>
      <c r="D1610" s="59" t="s">
        <v>8</v>
      </c>
      <c r="E1610" s="166" t="str">
        <f>A1605&amp;"/"&amp;B1605&amp;"/"&amp;C1609&amp;"/"&amp;D1610</f>
        <v>Diesel oil fired power plants/Gas turbine combined cycle/Electricity only with CCS/M</v>
      </c>
      <c r="F1610" s="79" t="str">
        <f>A1605</f>
        <v>Diesel oil fired power plants</v>
      </c>
      <c r="G1610" s="79" t="str">
        <f>B1605</f>
        <v>Gas turbine combined cycle</v>
      </c>
      <c r="H1610" s="79" t="str">
        <f>C1609</f>
        <v>Electricity only with CCS</v>
      </c>
      <c r="I1610" s="167" t="str">
        <f t="shared" si="379"/>
        <v>M</v>
      </c>
      <c r="J1610" s="125" t="str">
        <f>IF(tech_base!$T146&gt;J$1465,"",(tech_base!$J146/tech_proj!J270*0.086*$N$110)/(1-tech_proj!J550))</f>
        <v/>
      </c>
      <c r="K1610" s="125" t="str">
        <f>IF(tech_base!$T146&gt;K$1465,"",(tech_base!$J146/tech_proj!K270*0.086*$N$110)/(1-tech_proj!K550))</f>
        <v/>
      </c>
      <c r="L1610" s="125" t="str">
        <f>IF(tech_base!$T146&gt;L$1465,"",(tech_base!$J146/tech_proj!L270*0.086*$N$110)/(1-tech_proj!L550))</f>
        <v/>
      </c>
      <c r="M1610" s="125" t="str">
        <f>IF(tech_base!$T146&gt;M$1465,"",(tech_base!$J146/tech_proj!M270*0.086*$N$110)/(1-tech_proj!M550))</f>
        <v/>
      </c>
      <c r="N1610" s="125" t="str">
        <f>IF(tech_base!$T146&gt;N$1465,"",(tech_base!$J146/tech_proj!N270*0.086*$N$110)/(1-tech_proj!N550))</f>
        <v/>
      </c>
      <c r="O1610" s="125" t="str">
        <f>IF(tech_base!$T146&gt;O$1465,"",(tech_base!$J146/tech_proj!O270*0.086*$N$110)/(1-tech_proj!O550))</f>
        <v/>
      </c>
      <c r="P1610" s="125" t="str">
        <f>IF(tech_base!$T146&gt;P$1465,"",(tech_base!$J146/tech_proj!P270*0.086*$N$110)/(1-tech_proj!P550))</f>
        <v/>
      </c>
      <c r="Q1610" s="125" t="str">
        <f>IF(tech_base!$T146&gt;Q$1465,"",(tech_base!$J146/tech_proj!Q270*0.086*$N$110)/(1-tech_proj!Q550))</f>
        <v/>
      </c>
      <c r="R1610" s="125" t="str">
        <f>IF(tech_base!$T146&gt;R$1465,"",(tech_base!$J146/tech_proj!R270*0.086*$N$110)/(1-tech_proj!R550))</f>
        <v/>
      </c>
      <c r="S1610" s="125" t="str">
        <f>IF(tech_base!$T146&gt;S$1465,"",(tech_base!$J146/tech_proj!S270*0.086*$N$110)/(1-tech_proj!S550))</f>
        <v/>
      </c>
      <c r="T1610" s="125" t="str">
        <f>IF(tech_base!$T146&gt;T$1465,"",(tech_base!$J146/tech_proj!T270*0.086*$N$110)/(1-tech_proj!T550))</f>
        <v/>
      </c>
      <c r="U1610" s="125" t="str">
        <f>IF(tech_base!$T146&gt;U$1465,"",(tech_base!$J146/tech_proj!U270*0.086*$N$110)/(1-tech_proj!U550))</f>
        <v/>
      </c>
      <c r="V1610" s="125" t="str">
        <f>IF(tech_base!$T146&gt;V$1465,"",(tech_base!$J146/tech_proj!V270*0.086*$N$110)/(1-tech_proj!V550))</f>
        <v/>
      </c>
      <c r="W1610" s="125" t="str">
        <f>IF(tech_base!$T146&gt;W$1465,"",(tech_base!$J146/tech_proj!W270*0.086*$N$110)/(1-tech_proj!W550))</f>
        <v/>
      </c>
      <c r="X1610" s="125" t="str">
        <f>IF(tech_base!$T146&gt;X$1465,"",(tech_base!$J146/tech_proj!X270*0.086*$N$110)/(1-tech_proj!X550))</f>
        <v/>
      </c>
      <c r="Y1610" s="125" t="str">
        <f>IF(tech_base!$T146&gt;Y$1465,"",(tech_base!$J146/tech_proj!Y270*0.086*$N$110)/(1-tech_proj!Y550))</f>
        <v/>
      </c>
      <c r="Z1610" s="125" t="str">
        <f>IF(tech_base!$T146&gt;Z$1465,"",(tech_base!$J146/tech_proj!Z270*0.086*$N$110)/(1-tech_proj!Z550))</f>
        <v/>
      </c>
      <c r="AA1610" s="125" t="str">
        <f>IF(tech_base!$T146&gt;AA$1465,"",(tech_base!$J146/tech_proj!AA270*0.086*$N$110)/(1-tech_proj!AA550))</f>
        <v/>
      </c>
      <c r="AB1610" s="125" t="str">
        <f>IF(tech_base!$T146&gt;AB$1465,"",(tech_base!$J146/tech_proj!AB270*0.086*$N$110)/(1-tech_proj!AB550))</f>
        <v/>
      </c>
      <c r="AC1610" s="125" t="str">
        <f>IF(tech_base!$T146&gt;AC$1465,"",(tech_base!$J146/tech_proj!AC270*0.086*$N$110)/(1-tech_proj!AC550))</f>
        <v/>
      </c>
      <c r="AD1610" s="125" t="str">
        <f>IF(tech_base!$T146&gt;AD$1465,"",(tech_base!$J146/tech_proj!AD270*0.086*$N$110)/(1-tech_proj!AD550))</f>
        <v/>
      </c>
      <c r="AE1610" s="125">
        <f>IF(tech_base!$T146&gt;AE$1465,"",(tech_base!$J146/tech_proj!AE270*0.086*$N$110)/(1-tech_proj!AE550))</f>
        <v>0</v>
      </c>
      <c r="AF1610" s="125">
        <f>IF(tech_base!$T146&gt;AF$1465,"",(tech_base!$J146/tech_proj!AF270*0.086*$N$110)/(1-tech_proj!AF550))</f>
        <v>0</v>
      </c>
      <c r="AG1610" s="125">
        <f>IF(tech_base!$T146&gt;AG$1465,"",(tech_base!$J146/tech_proj!AG270*0.086*$N$110)/(1-tech_proj!AG550))</f>
        <v>0</v>
      </c>
      <c r="AH1610" s="125">
        <f>IF(tech_base!$T146&gt;AH$1465,"",(tech_base!$J146/tech_proj!AH270*0.086*$N$110)/(1-tech_proj!AH550))</f>
        <v>0</v>
      </c>
      <c r="AI1610" s="125">
        <f>IF(tech_base!$T146&gt;AI$1465,"",(tech_base!$J146/tech_proj!AI270*0.086*$N$110)/(1-tech_proj!AI550))</f>
        <v>0</v>
      </c>
      <c r="AJ1610" s="125">
        <f>IF(tech_base!$T146&gt;AJ$1465,"",(tech_base!$J146/tech_proj!AJ270*0.086*$N$110)/(1-tech_proj!AJ550))</f>
        <v>0</v>
      </c>
      <c r="AK1610" s="125">
        <f>IF(tech_base!$T146&gt;AK$1465,"",(tech_base!$J146/tech_proj!AK270*0.086*$N$110)/(1-tech_proj!AK550))</f>
        <v>0</v>
      </c>
      <c r="AL1610" s="125">
        <f>IF(tech_base!$T146&gt;AL$1465,"",(tech_base!$J146/tech_proj!AL270*0.086*$N$110)/(1-tech_proj!AL550))</f>
        <v>0</v>
      </c>
      <c r="AM1610" s="125">
        <f>IF(tech_base!$T146&gt;AM$1465,"",(tech_base!$J146/tech_proj!AM270*0.086*$N$110)/(1-tech_proj!AM550))</f>
        <v>0</v>
      </c>
      <c r="AN1610" s="125">
        <f>IF(tech_base!$T146&gt;AN$1465,"",(tech_base!$J146/tech_proj!AN270*0.086*$N$110)/(1-tech_proj!AN550))</f>
        <v>0</v>
      </c>
      <c r="AO1610" s="125">
        <f>IF(tech_base!$T146&gt;AO$1465,"",(tech_base!$J146/tech_proj!AO270*0.086*$N$110)/(1-tech_proj!AO550))</f>
        <v>0</v>
      </c>
      <c r="AP1610" s="125">
        <f>IF(tech_base!$T146&gt;AP$1465,"",(tech_base!$J146/tech_proj!AP270*0.086*$N$110)/(1-tech_proj!AP550))</f>
        <v>0</v>
      </c>
      <c r="AQ1610" s="125">
        <f>IF(tech_base!$T146&gt;AQ$1465,"",(tech_base!$J146/tech_proj!AQ270*0.086*$N$110)/(1-tech_proj!AQ550))</f>
        <v>0</v>
      </c>
      <c r="AR1610" s="125">
        <f>IF(tech_base!$T146&gt;AR$1465,"",(tech_base!$J146/tech_proj!AR270*0.086*$N$110)/(1-tech_proj!AR550))</f>
        <v>0</v>
      </c>
      <c r="AS1610" s="125">
        <f>IF(tech_base!$T146&gt;AS$1465,"",(tech_base!$J146/tech_proj!AS270*0.086*$N$110)/(1-tech_proj!AS550))</f>
        <v>0</v>
      </c>
      <c r="AT1610" s="125">
        <f>IF(tech_base!$T146&gt;AT$1465,"",(tech_base!$J146/tech_proj!AT270*0.086*$N$110)/(1-tech_proj!AT550))</f>
        <v>0</v>
      </c>
      <c r="AU1610" s="125">
        <f>IF(tech_base!$T146&gt;AU$1465,"",(tech_base!$J146/tech_proj!AU270*0.086*$N$110)/(1-tech_proj!AU550))</f>
        <v>0</v>
      </c>
      <c r="AV1610" s="125">
        <f>IF(tech_base!$T146&gt;AV$1465,"",(tech_base!$J146/tech_proj!AV270*0.086*$N$110)/(1-tech_proj!AV550))</f>
        <v>0</v>
      </c>
      <c r="AW1610" s="125">
        <f>IF(tech_base!$T146&gt;AW$1465,"",(tech_base!$J146/tech_proj!AW270*0.086*$N$110)/(1-tech_proj!AW550))</f>
        <v>0</v>
      </c>
      <c r="AX1610" s="126">
        <f>IF(tech_base!$T146&gt;AX$1465,"",(tech_base!$J146/tech_proj!AX270*0.086*$N$110)/(1-tech_proj!AX550))</f>
        <v>0</v>
      </c>
    </row>
    <row r="1611" spans="1:50" x14ac:dyDescent="0.25">
      <c r="A1611" s="356"/>
      <c r="B1611" s="376"/>
      <c r="C1611" s="361" t="s">
        <v>16</v>
      </c>
      <c r="D1611" s="2" t="s">
        <v>7</v>
      </c>
      <c r="E1611" s="160" t="str">
        <f>A1605&amp;"/"&amp;B1605&amp;"/"&amp;C1611&amp;"/"&amp;D1611</f>
        <v>Diesel oil fired power plants/Gas turbine combined cycle/CHP with CCS/L</v>
      </c>
      <c r="F1611" s="76" t="str">
        <f>A1605</f>
        <v>Diesel oil fired power plants</v>
      </c>
      <c r="G1611" s="76" t="str">
        <f>B1605</f>
        <v>Gas turbine combined cycle</v>
      </c>
      <c r="H1611" s="76" t="str">
        <f>C1611</f>
        <v>CHP with CCS</v>
      </c>
      <c r="I1611" s="161" t="str">
        <f t="shared" si="379"/>
        <v>L</v>
      </c>
      <c r="J1611" s="119" t="str">
        <f>IF(tech_base!$T147&gt;J$1465,"",(tech_base!$J147/tech_proj!J271*0.086*$N$110)/(1-tech_proj!J551))</f>
        <v/>
      </c>
      <c r="K1611" s="119" t="str">
        <f>IF(tech_base!$T147&gt;K$1465,"",(tech_base!$J147/tech_proj!K271*0.086*$N$110)/(1-tech_proj!K551))</f>
        <v/>
      </c>
      <c r="L1611" s="119" t="str">
        <f>IF(tech_base!$T147&gt;L$1465,"",(tech_base!$J147/tech_proj!L271*0.086*$N$110)/(1-tech_proj!L551))</f>
        <v/>
      </c>
      <c r="M1611" s="119" t="str">
        <f>IF(tech_base!$T147&gt;M$1465,"",(tech_base!$J147/tech_proj!M271*0.086*$N$110)/(1-tech_proj!M551))</f>
        <v/>
      </c>
      <c r="N1611" s="119" t="str">
        <f>IF(tech_base!$T147&gt;N$1465,"",(tech_base!$J147/tech_proj!N271*0.086*$N$110)/(1-tech_proj!N551))</f>
        <v/>
      </c>
      <c r="O1611" s="119" t="str">
        <f>IF(tech_base!$T147&gt;O$1465,"",(tech_base!$J147/tech_proj!O271*0.086*$N$110)/(1-tech_proj!O551))</f>
        <v/>
      </c>
      <c r="P1611" s="119" t="str">
        <f>IF(tech_base!$T147&gt;P$1465,"",(tech_base!$J147/tech_proj!P271*0.086*$N$110)/(1-tech_proj!P551))</f>
        <v/>
      </c>
      <c r="Q1611" s="119" t="str">
        <f>IF(tech_base!$T147&gt;Q$1465,"",(tech_base!$J147/tech_proj!Q271*0.086*$N$110)/(1-tech_proj!Q551))</f>
        <v/>
      </c>
      <c r="R1611" s="119" t="str">
        <f>IF(tech_base!$T147&gt;R$1465,"",(tech_base!$J147/tech_proj!R271*0.086*$N$110)/(1-tech_proj!R551))</f>
        <v/>
      </c>
      <c r="S1611" s="119" t="str">
        <f>IF(tech_base!$T147&gt;S$1465,"",(tech_base!$J147/tech_proj!S271*0.086*$N$110)/(1-tech_proj!S551))</f>
        <v/>
      </c>
      <c r="T1611" s="119" t="str">
        <f>IF(tech_base!$T147&gt;T$1465,"",(tech_base!$J147/tech_proj!T271*0.086*$N$110)/(1-tech_proj!T551))</f>
        <v/>
      </c>
      <c r="U1611" s="119" t="str">
        <f>IF(tech_base!$T147&gt;U$1465,"",(tech_base!$J147/tech_proj!U271*0.086*$N$110)/(1-tech_proj!U551))</f>
        <v/>
      </c>
      <c r="V1611" s="119" t="str">
        <f>IF(tech_base!$T147&gt;V$1465,"",(tech_base!$J147/tech_proj!V271*0.086*$N$110)/(1-tech_proj!V551))</f>
        <v/>
      </c>
      <c r="W1611" s="119" t="str">
        <f>IF(tech_base!$T147&gt;W$1465,"",(tech_base!$J147/tech_proj!W271*0.086*$N$110)/(1-tech_proj!W551))</f>
        <v/>
      </c>
      <c r="X1611" s="119" t="str">
        <f>IF(tech_base!$T147&gt;X$1465,"",(tech_base!$J147/tech_proj!X271*0.086*$N$110)/(1-tech_proj!X551))</f>
        <v/>
      </c>
      <c r="Y1611" s="119" t="str">
        <f>IF(tech_base!$T147&gt;Y$1465,"",(tech_base!$J147/tech_proj!Y271*0.086*$N$110)/(1-tech_proj!Y551))</f>
        <v/>
      </c>
      <c r="Z1611" s="119" t="str">
        <f>IF(tech_base!$T147&gt;Z$1465,"",(tech_base!$J147/tech_proj!Z271*0.086*$N$110)/(1-tech_proj!Z551))</f>
        <v/>
      </c>
      <c r="AA1611" s="119" t="str">
        <f>IF(tech_base!$T147&gt;AA$1465,"",(tech_base!$J147/tech_proj!AA271*0.086*$N$110)/(1-tech_proj!AA551))</f>
        <v/>
      </c>
      <c r="AB1611" s="119" t="str">
        <f>IF(tech_base!$T147&gt;AB$1465,"",(tech_base!$J147/tech_proj!AB271*0.086*$N$110)/(1-tech_proj!AB551))</f>
        <v/>
      </c>
      <c r="AC1611" s="119" t="str">
        <f>IF(tech_base!$T147&gt;AC$1465,"",(tech_base!$J147/tech_proj!AC271*0.086*$N$110)/(1-tech_proj!AC551))</f>
        <v/>
      </c>
      <c r="AD1611" s="119" t="str">
        <f>IF(tech_base!$T147&gt;AD$1465,"",(tech_base!$J147/tech_proj!AD271*0.086*$N$110)/(1-tech_proj!AD551))</f>
        <v/>
      </c>
      <c r="AE1611" s="119">
        <f>IF(tech_base!$T147&gt;AE$1465,"",(tech_base!$J147/tech_proj!AE271*0.086*$N$110)/(1-tech_proj!AE551))</f>
        <v>0</v>
      </c>
      <c r="AF1611" s="119">
        <f>IF(tech_base!$T147&gt;AF$1465,"",(tech_base!$J147/tech_proj!AF271*0.086*$N$110)/(1-tech_proj!AF551))</f>
        <v>0</v>
      </c>
      <c r="AG1611" s="119">
        <f>IF(tech_base!$T147&gt;AG$1465,"",(tech_base!$J147/tech_proj!AG271*0.086*$N$110)/(1-tech_proj!AG551))</f>
        <v>0</v>
      </c>
      <c r="AH1611" s="119">
        <f>IF(tech_base!$T147&gt;AH$1465,"",(tech_base!$J147/tech_proj!AH271*0.086*$N$110)/(1-tech_proj!AH551))</f>
        <v>0</v>
      </c>
      <c r="AI1611" s="119">
        <f>IF(tech_base!$T147&gt;AI$1465,"",(tech_base!$J147/tech_proj!AI271*0.086*$N$110)/(1-tech_proj!AI551))</f>
        <v>0</v>
      </c>
      <c r="AJ1611" s="119">
        <f>IF(tech_base!$T147&gt;AJ$1465,"",(tech_base!$J147/tech_proj!AJ271*0.086*$N$110)/(1-tech_proj!AJ551))</f>
        <v>0</v>
      </c>
      <c r="AK1611" s="119">
        <f>IF(tech_base!$T147&gt;AK$1465,"",(tech_base!$J147/tech_proj!AK271*0.086*$N$110)/(1-tech_proj!AK551))</f>
        <v>0</v>
      </c>
      <c r="AL1611" s="119">
        <f>IF(tech_base!$T147&gt;AL$1465,"",(tech_base!$J147/tech_proj!AL271*0.086*$N$110)/(1-tech_proj!AL551))</f>
        <v>0</v>
      </c>
      <c r="AM1611" s="119">
        <f>IF(tech_base!$T147&gt;AM$1465,"",(tech_base!$J147/tech_proj!AM271*0.086*$N$110)/(1-tech_proj!AM551))</f>
        <v>0</v>
      </c>
      <c r="AN1611" s="119">
        <f>IF(tech_base!$T147&gt;AN$1465,"",(tech_base!$J147/tech_proj!AN271*0.086*$N$110)/(1-tech_proj!AN551))</f>
        <v>0</v>
      </c>
      <c r="AO1611" s="119">
        <f>IF(tech_base!$T147&gt;AO$1465,"",(tech_base!$J147/tech_proj!AO271*0.086*$N$110)/(1-tech_proj!AO551))</f>
        <v>0</v>
      </c>
      <c r="AP1611" s="119">
        <f>IF(tech_base!$T147&gt;AP$1465,"",(tech_base!$J147/tech_proj!AP271*0.086*$N$110)/(1-tech_proj!AP551))</f>
        <v>0</v>
      </c>
      <c r="AQ1611" s="119">
        <f>IF(tech_base!$T147&gt;AQ$1465,"",(tech_base!$J147/tech_proj!AQ271*0.086*$N$110)/(1-tech_proj!AQ551))</f>
        <v>0</v>
      </c>
      <c r="AR1611" s="119">
        <f>IF(tech_base!$T147&gt;AR$1465,"",(tech_base!$J147/tech_proj!AR271*0.086*$N$110)/(1-tech_proj!AR551))</f>
        <v>0</v>
      </c>
      <c r="AS1611" s="119">
        <f>IF(tech_base!$T147&gt;AS$1465,"",(tech_base!$J147/tech_proj!AS271*0.086*$N$110)/(1-tech_proj!AS551))</f>
        <v>0</v>
      </c>
      <c r="AT1611" s="119">
        <f>IF(tech_base!$T147&gt;AT$1465,"",(tech_base!$J147/tech_proj!AT271*0.086*$N$110)/(1-tech_proj!AT551))</f>
        <v>0</v>
      </c>
      <c r="AU1611" s="119">
        <f>IF(tech_base!$T147&gt;AU$1465,"",(tech_base!$J147/tech_proj!AU271*0.086*$N$110)/(1-tech_proj!AU551))</f>
        <v>0</v>
      </c>
      <c r="AV1611" s="119">
        <f>IF(tech_base!$T147&gt;AV$1465,"",(tech_base!$J147/tech_proj!AV271*0.086*$N$110)/(1-tech_proj!AV551))</f>
        <v>0</v>
      </c>
      <c r="AW1611" s="119">
        <f>IF(tech_base!$T147&gt;AW$1465,"",(tech_base!$J147/tech_proj!AW271*0.086*$N$110)/(1-tech_proj!AW551))</f>
        <v>0</v>
      </c>
      <c r="AX1611" s="120">
        <f>IF(tech_base!$T147&gt;AX$1465,"",(tech_base!$J147/tech_proj!AX271*0.086*$N$110)/(1-tech_proj!AX551))</f>
        <v>0</v>
      </c>
    </row>
    <row r="1612" spans="1:50" x14ac:dyDescent="0.25">
      <c r="A1612" s="356"/>
      <c r="B1612" s="380"/>
      <c r="C1612" s="381"/>
      <c r="D1612" s="4" t="s">
        <v>8</v>
      </c>
      <c r="E1612" s="168" t="str">
        <f>A1605&amp;"/"&amp;B1605&amp;"/"&amp;C1611&amp;"/"&amp;D1612</f>
        <v>Diesel oil fired power plants/Gas turbine combined cycle/CHP with CCS/M</v>
      </c>
      <c r="F1612" s="80" t="str">
        <f>A1605</f>
        <v>Diesel oil fired power plants</v>
      </c>
      <c r="G1612" s="80" t="str">
        <f>B1605</f>
        <v>Gas turbine combined cycle</v>
      </c>
      <c r="H1612" s="80" t="str">
        <f>C1611</f>
        <v>CHP with CCS</v>
      </c>
      <c r="I1612" s="169" t="str">
        <f t="shared" si="379"/>
        <v>M</v>
      </c>
      <c r="J1612" s="127" t="str">
        <f>IF(tech_base!$T148&gt;J$1465,"",(tech_base!$J148/tech_proj!J272*0.086*$N$110)/(1-tech_proj!J552))</f>
        <v/>
      </c>
      <c r="K1612" s="127" t="str">
        <f>IF(tech_base!$T148&gt;K$1465,"",(tech_base!$J148/tech_proj!K272*0.086*$N$110)/(1-tech_proj!K552))</f>
        <v/>
      </c>
      <c r="L1612" s="127" t="str">
        <f>IF(tech_base!$T148&gt;L$1465,"",(tech_base!$J148/tech_proj!L272*0.086*$N$110)/(1-tech_proj!L552))</f>
        <v/>
      </c>
      <c r="M1612" s="127" t="str">
        <f>IF(tech_base!$T148&gt;M$1465,"",(tech_base!$J148/tech_proj!M272*0.086*$N$110)/(1-tech_proj!M552))</f>
        <v/>
      </c>
      <c r="N1612" s="127" t="str">
        <f>IF(tech_base!$T148&gt;N$1465,"",(tech_base!$J148/tech_proj!N272*0.086*$N$110)/(1-tech_proj!N552))</f>
        <v/>
      </c>
      <c r="O1612" s="127" t="str">
        <f>IF(tech_base!$T148&gt;O$1465,"",(tech_base!$J148/tech_proj!O272*0.086*$N$110)/(1-tech_proj!O552))</f>
        <v/>
      </c>
      <c r="P1612" s="127" t="str">
        <f>IF(tech_base!$T148&gt;P$1465,"",(tech_base!$J148/tech_proj!P272*0.086*$N$110)/(1-tech_proj!P552))</f>
        <v/>
      </c>
      <c r="Q1612" s="127" t="str">
        <f>IF(tech_base!$T148&gt;Q$1465,"",(tech_base!$J148/tech_proj!Q272*0.086*$N$110)/(1-tech_proj!Q552))</f>
        <v/>
      </c>
      <c r="R1612" s="127" t="str">
        <f>IF(tech_base!$T148&gt;R$1465,"",(tech_base!$J148/tech_proj!R272*0.086*$N$110)/(1-tech_proj!R552))</f>
        <v/>
      </c>
      <c r="S1612" s="127" t="str">
        <f>IF(tech_base!$T148&gt;S$1465,"",(tech_base!$J148/tech_proj!S272*0.086*$N$110)/(1-tech_proj!S552))</f>
        <v/>
      </c>
      <c r="T1612" s="127" t="str">
        <f>IF(tech_base!$T148&gt;T$1465,"",(tech_base!$J148/tech_proj!T272*0.086*$N$110)/(1-tech_proj!T552))</f>
        <v/>
      </c>
      <c r="U1612" s="127" t="str">
        <f>IF(tech_base!$T148&gt;U$1465,"",(tech_base!$J148/tech_proj!U272*0.086*$N$110)/(1-tech_proj!U552))</f>
        <v/>
      </c>
      <c r="V1612" s="127" t="str">
        <f>IF(tech_base!$T148&gt;V$1465,"",(tech_base!$J148/tech_proj!V272*0.086*$N$110)/(1-tech_proj!V552))</f>
        <v/>
      </c>
      <c r="W1612" s="127" t="str">
        <f>IF(tech_base!$T148&gt;W$1465,"",(tech_base!$J148/tech_proj!W272*0.086*$N$110)/(1-tech_proj!W552))</f>
        <v/>
      </c>
      <c r="X1612" s="127" t="str">
        <f>IF(tech_base!$T148&gt;X$1465,"",(tech_base!$J148/tech_proj!X272*0.086*$N$110)/(1-tech_proj!X552))</f>
        <v/>
      </c>
      <c r="Y1612" s="127" t="str">
        <f>IF(tech_base!$T148&gt;Y$1465,"",(tech_base!$J148/tech_proj!Y272*0.086*$N$110)/(1-tech_proj!Y552))</f>
        <v/>
      </c>
      <c r="Z1612" s="127" t="str">
        <f>IF(tech_base!$T148&gt;Z$1465,"",(tech_base!$J148/tech_proj!Z272*0.086*$N$110)/(1-tech_proj!Z552))</f>
        <v/>
      </c>
      <c r="AA1612" s="127" t="str">
        <f>IF(tech_base!$T148&gt;AA$1465,"",(tech_base!$J148/tech_proj!AA272*0.086*$N$110)/(1-tech_proj!AA552))</f>
        <v/>
      </c>
      <c r="AB1612" s="127" t="str">
        <f>IF(tech_base!$T148&gt;AB$1465,"",(tech_base!$J148/tech_proj!AB272*0.086*$N$110)/(1-tech_proj!AB552))</f>
        <v/>
      </c>
      <c r="AC1612" s="127" t="str">
        <f>IF(tech_base!$T148&gt;AC$1465,"",(tech_base!$J148/tech_proj!AC272*0.086*$N$110)/(1-tech_proj!AC552))</f>
        <v/>
      </c>
      <c r="AD1612" s="127" t="str">
        <f>IF(tech_base!$T148&gt;AD$1465,"",(tech_base!$J148/tech_proj!AD272*0.086*$N$110)/(1-tech_proj!AD552))</f>
        <v/>
      </c>
      <c r="AE1612" s="127">
        <f>IF(tech_base!$T148&gt;AE$1465,"",(tech_base!$J148/tech_proj!AE272*0.086*$N$110)/(1-tech_proj!AE552))</f>
        <v>0</v>
      </c>
      <c r="AF1612" s="127">
        <f>IF(tech_base!$T148&gt;AF$1465,"",(tech_base!$J148/tech_proj!AF272*0.086*$N$110)/(1-tech_proj!AF552))</f>
        <v>0</v>
      </c>
      <c r="AG1612" s="127">
        <f>IF(tech_base!$T148&gt;AG$1465,"",(tech_base!$J148/tech_proj!AG272*0.086*$N$110)/(1-tech_proj!AG552))</f>
        <v>0</v>
      </c>
      <c r="AH1612" s="127">
        <f>IF(tech_base!$T148&gt;AH$1465,"",(tech_base!$J148/tech_proj!AH272*0.086*$N$110)/(1-tech_proj!AH552))</f>
        <v>0</v>
      </c>
      <c r="AI1612" s="127">
        <f>IF(tech_base!$T148&gt;AI$1465,"",(tech_base!$J148/tech_proj!AI272*0.086*$N$110)/(1-tech_proj!AI552))</f>
        <v>0</v>
      </c>
      <c r="AJ1612" s="127">
        <f>IF(tech_base!$T148&gt;AJ$1465,"",(tech_base!$J148/tech_proj!AJ272*0.086*$N$110)/(1-tech_proj!AJ552))</f>
        <v>0</v>
      </c>
      <c r="AK1612" s="127">
        <f>IF(tech_base!$T148&gt;AK$1465,"",(tech_base!$J148/tech_proj!AK272*0.086*$N$110)/(1-tech_proj!AK552))</f>
        <v>0</v>
      </c>
      <c r="AL1612" s="127">
        <f>IF(tech_base!$T148&gt;AL$1465,"",(tech_base!$J148/tech_proj!AL272*0.086*$N$110)/(1-tech_proj!AL552))</f>
        <v>0</v>
      </c>
      <c r="AM1612" s="127">
        <f>IF(tech_base!$T148&gt;AM$1465,"",(tech_base!$J148/tech_proj!AM272*0.086*$N$110)/(1-tech_proj!AM552))</f>
        <v>0</v>
      </c>
      <c r="AN1612" s="127">
        <f>IF(tech_base!$T148&gt;AN$1465,"",(tech_base!$J148/tech_proj!AN272*0.086*$N$110)/(1-tech_proj!AN552))</f>
        <v>0</v>
      </c>
      <c r="AO1612" s="127">
        <f>IF(tech_base!$T148&gt;AO$1465,"",(tech_base!$J148/tech_proj!AO272*0.086*$N$110)/(1-tech_proj!AO552))</f>
        <v>0</v>
      </c>
      <c r="AP1612" s="127">
        <f>IF(tech_base!$T148&gt;AP$1465,"",(tech_base!$J148/tech_proj!AP272*0.086*$N$110)/(1-tech_proj!AP552))</f>
        <v>0</v>
      </c>
      <c r="AQ1612" s="127">
        <f>IF(tech_base!$T148&gt;AQ$1465,"",(tech_base!$J148/tech_proj!AQ272*0.086*$N$110)/(1-tech_proj!AQ552))</f>
        <v>0</v>
      </c>
      <c r="AR1612" s="127">
        <f>IF(tech_base!$T148&gt;AR$1465,"",(tech_base!$J148/tech_proj!AR272*0.086*$N$110)/(1-tech_proj!AR552))</f>
        <v>0</v>
      </c>
      <c r="AS1612" s="127">
        <f>IF(tech_base!$T148&gt;AS$1465,"",(tech_base!$J148/tech_proj!AS272*0.086*$N$110)/(1-tech_proj!AS552))</f>
        <v>0</v>
      </c>
      <c r="AT1612" s="127">
        <f>IF(tech_base!$T148&gt;AT$1465,"",(tech_base!$J148/tech_proj!AT272*0.086*$N$110)/(1-tech_proj!AT552))</f>
        <v>0</v>
      </c>
      <c r="AU1612" s="127">
        <f>IF(tech_base!$T148&gt;AU$1465,"",(tech_base!$J148/tech_proj!AU272*0.086*$N$110)/(1-tech_proj!AU552))</f>
        <v>0</v>
      </c>
      <c r="AV1612" s="127">
        <f>IF(tech_base!$T148&gt;AV$1465,"",(tech_base!$J148/tech_proj!AV272*0.086*$N$110)/(1-tech_proj!AV552))</f>
        <v>0</v>
      </c>
      <c r="AW1612" s="127">
        <f>IF(tech_base!$T148&gt;AW$1465,"",(tech_base!$J148/tech_proj!AW272*0.086*$N$110)/(1-tech_proj!AW552))</f>
        <v>0</v>
      </c>
      <c r="AX1612" s="128">
        <f>IF(tech_base!$T148&gt;AX$1465,"",(tech_base!$J148/tech_proj!AX272*0.086*$N$110)/(1-tech_proj!AX552))</f>
        <v>0</v>
      </c>
    </row>
    <row r="1613" spans="1:50" x14ac:dyDescent="0.25">
      <c r="A1613" s="356"/>
      <c r="B1613" s="358" t="s">
        <v>24</v>
      </c>
      <c r="C1613" s="353" t="s">
        <v>6</v>
      </c>
      <c r="D1613" s="3" t="s">
        <v>7</v>
      </c>
      <c r="E1613" s="162" t="str">
        <f>A1605&amp;"/"&amp;B1613&amp;"/"&amp;C1613&amp;"/"&amp;D1613</f>
        <v>Diesel oil fired power plants/Gas turbine /Electricity only/L</v>
      </c>
      <c r="F1613" s="77" t="str">
        <f>A1605</f>
        <v>Diesel oil fired power plants</v>
      </c>
      <c r="G1613" s="77" t="str">
        <f>B1613</f>
        <v xml:space="preserve">Gas turbine </v>
      </c>
      <c r="H1613" s="77" t="str">
        <f>C1613</f>
        <v>Electricity only</v>
      </c>
      <c r="I1613" s="163" t="str">
        <f t="shared" si="379"/>
        <v>L</v>
      </c>
      <c r="J1613" s="121">
        <f>IF(tech_base!$T149&gt;J$1465,"",(tech_base!$J149/tech_proj!J273*0.086*$N$110)/(1-tech_proj!J553))</f>
        <v>0</v>
      </c>
      <c r="K1613" s="121">
        <f>IF(tech_base!$T149&gt;K$1465,"",(tech_base!$J149/tech_proj!K273*0.086*$N$110)/(1-tech_proj!K553))</f>
        <v>0</v>
      </c>
      <c r="L1613" s="121">
        <f>IF(tech_base!$T149&gt;L$1465,"",(tech_base!$J149/tech_proj!L273*0.086*$N$110)/(1-tech_proj!L553))</f>
        <v>0</v>
      </c>
      <c r="M1613" s="121">
        <f>IF(tech_base!$T149&gt;M$1465,"",(tech_base!$J149/tech_proj!M273*0.086*$N$110)/(1-tech_proj!M553))</f>
        <v>0</v>
      </c>
      <c r="N1613" s="121">
        <f>IF(tech_base!$T149&gt;N$1465,"",(tech_base!$J149/tech_proj!N273*0.086*$N$110)/(1-tech_proj!N553))</f>
        <v>0</v>
      </c>
      <c r="O1613" s="121">
        <f>IF(tech_base!$T149&gt;O$1465,"",(tech_base!$J149/tech_proj!O273*0.086*$N$110)/(1-tech_proj!O553))</f>
        <v>0</v>
      </c>
      <c r="P1613" s="121">
        <f>IF(tech_base!$T149&gt;P$1465,"",(tech_base!$J149/tech_proj!P273*0.086*$N$110)/(1-tech_proj!P553))</f>
        <v>0</v>
      </c>
      <c r="Q1613" s="121">
        <f>IF(tech_base!$T149&gt;Q$1465,"",(tech_base!$J149/tech_proj!Q273*0.086*$N$110)/(1-tech_proj!Q553))</f>
        <v>0</v>
      </c>
      <c r="R1613" s="121">
        <f>IF(tech_base!$T149&gt;R$1465,"",(tech_base!$J149/tech_proj!R273*0.086*$N$110)/(1-tech_proj!R553))</f>
        <v>0</v>
      </c>
      <c r="S1613" s="121">
        <f>IF(tech_base!$T149&gt;S$1465,"",(tech_base!$J149/tech_proj!S273*0.086*$N$110)/(1-tech_proj!S553))</f>
        <v>0</v>
      </c>
      <c r="T1613" s="121">
        <f>IF(tech_base!$T149&gt;T$1465,"",(tech_base!$J149/tech_proj!T273*0.086*$N$110)/(1-tech_proj!T553))</f>
        <v>0</v>
      </c>
      <c r="U1613" s="121">
        <f>IF(tech_base!$T149&gt;U$1465,"",(tech_base!$J149/tech_proj!U273*0.086*$N$110)/(1-tech_proj!U553))</f>
        <v>0</v>
      </c>
      <c r="V1613" s="121">
        <f>IF(tech_base!$T149&gt;V$1465,"",(tech_base!$J149/tech_proj!V273*0.086*$N$110)/(1-tech_proj!V553))</f>
        <v>0</v>
      </c>
      <c r="W1613" s="121">
        <f>IF(tech_base!$T149&gt;W$1465,"",(tech_base!$J149/tech_proj!W273*0.086*$N$110)/(1-tech_proj!W553))</f>
        <v>0</v>
      </c>
      <c r="X1613" s="121">
        <f>IF(tech_base!$T149&gt;X$1465,"",(tech_base!$J149/tech_proj!X273*0.086*$N$110)/(1-tech_proj!X553))</f>
        <v>0</v>
      </c>
      <c r="Y1613" s="121">
        <f>IF(tech_base!$T149&gt;Y$1465,"",(tech_base!$J149/tech_proj!Y273*0.086*$N$110)/(1-tech_proj!Y553))</f>
        <v>0</v>
      </c>
      <c r="Z1613" s="121">
        <f>IF(tech_base!$T149&gt;Z$1465,"",(tech_base!$J149/tech_proj!Z273*0.086*$N$110)/(1-tech_proj!Z553))</f>
        <v>0</v>
      </c>
      <c r="AA1613" s="121">
        <f>IF(tech_base!$T149&gt;AA$1465,"",(tech_base!$J149/tech_proj!AA273*0.086*$N$110)/(1-tech_proj!AA553))</f>
        <v>0</v>
      </c>
      <c r="AB1613" s="121">
        <f>IF(tech_base!$T149&gt;AB$1465,"",(tech_base!$J149/tech_proj!AB273*0.086*$N$110)/(1-tech_proj!AB553))</f>
        <v>0</v>
      </c>
      <c r="AC1613" s="121">
        <f>IF(tech_base!$T149&gt;AC$1465,"",(tech_base!$J149/tech_proj!AC273*0.086*$N$110)/(1-tech_proj!AC553))</f>
        <v>0</v>
      </c>
      <c r="AD1613" s="121">
        <f>IF(tech_base!$T149&gt;AD$1465,"",(tech_base!$J149/tech_proj!AD273*0.086*$N$110)/(1-tech_proj!AD553))</f>
        <v>0</v>
      </c>
      <c r="AE1613" s="121">
        <f>IF(tech_base!$T149&gt;AE$1465,"",(tech_base!$J149/tech_proj!AE273*0.086*$N$110)/(1-tech_proj!AE553))</f>
        <v>0</v>
      </c>
      <c r="AF1613" s="121">
        <f>IF(tech_base!$T149&gt;AF$1465,"",(tech_base!$J149/tech_proj!AF273*0.086*$N$110)/(1-tech_proj!AF553))</f>
        <v>0</v>
      </c>
      <c r="AG1613" s="121">
        <f>IF(tech_base!$T149&gt;AG$1465,"",(tech_base!$J149/tech_proj!AG273*0.086*$N$110)/(1-tech_proj!AG553))</f>
        <v>0</v>
      </c>
      <c r="AH1613" s="121">
        <f>IF(tech_base!$T149&gt;AH$1465,"",(tech_base!$J149/tech_proj!AH273*0.086*$N$110)/(1-tech_proj!AH553))</f>
        <v>0</v>
      </c>
      <c r="AI1613" s="121">
        <f>IF(tech_base!$T149&gt;AI$1465,"",(tech_base!$J149/tech_proj!AI273*0.086*$N$110)/(1-tech_proj!AI553))</f>
        <v>0</v>
      </c>
      <c r="AJ1613" s="121">
        <f>IF(tech_base!$T149&gt;AJ$1465,"",(tech_base!$J149/tech_proj!AJ273*0.086*$N$110)/(1-tech_proj!AJ553))</f>
        <v>0</v>
      </c>
      <c r="AK1613" s="121">
        <f>IF(tech_base!$T149&gt;AK$1465,"",(tech_base!$J149/tech_proj!AK273*0.086*$N$110)/(1-tech_proj!AK553))</f>
        <v>0</v>
      </c>
      <c r="AL1613" s="121">
        <f>IF(tech_base!$T149&gt;AL$1465,"",(tech_base!$J149/tech_proj!AL273*0.086*$N$110)/(1-tech_proj!AL553))</f>
        <v>0</v>
      </c>
      <c r="AM1613" s="121">
        <f>IF(tech_base!$T149&gt;AM$1465,"",(tech_base!$J149/tech_proj!AM273*0.086*$N$110)/(1-tech_proj!AM553))</f>
        <v>0</v>
      </c>
      <c r="AN1613" s="121">
        <f>IF(tech_base!$T149&gt;AN$1465,"",(tech_base!$J149/tech_proj!AN273*0.086*$N$110)/(1-tech_proj!AN553))</f>
        <v>0</v>
      </c>
      <c r="AO1613" s="121">
        <f>IF(tech_base!$T149&gt;AO$1465,"",(tech_base!$J149/tech_proj!AO273*0.086*$N$110)/(1-tech_proj!AO553))</f>
        <v>0</v>
      </c>
      <c r="AP1613" s="121">
        <f>IF(tech_base!$T149&gt;AP$1465,"",(tech_base!$J149/tech_proj!AP273*0.086*$N$110)/(1-tech_proj!AP553))</f>
        <v>0</v>
      </c>
      <c r="AQ1613" s="121">
        <f>IF(tech_base!$T149&gt;AQ$1465,"",(tech_base!$J149/tech_proj!AQ273*0.086*$N$110)/(1-tech_proj!AQ553))</f>
        <v>0</v>
      </c>
      <c r="AR1613" s="121">
        <f>IF(tech_base!$T149&gt;AR$1465,"",(tech_base!$J149/tech_proj!AR273*0.086*$N$110)/(1-tech_proj!AR553))</f>
        <v>0</v>
      </c>
      <c r="AS1613" s="121">
        <f>IF(tech_base!$T149&gt;AS$1465,"",(tech_base!$J149/tech_proj!AS273*0.086*$N$110)/(1-tech_proj!AS553))</f>
        <v>0</v>
      </c>
      <c r="AT1613" s="121">
        <f>IF(tech_base!$T149&gt;AT$1465,"",(tech_base!$J149/tech_proj!AT273*0.086*$N$110)/(1-tech_proj!AT553))</f>
        <v>0</v>
      </c>
      <c r="AU1613" s="121">
        <f>IF(tech_base!$T149&gt;AU$1465,"",(tech_base!$J149/tech_proj!AU273*0.086*$N$110)/(1-tech_proj!AU553))</f>
        <v>0</v>
      </c>
      <c r="AV1613" s="121">
        <f>IF(tech_base!$T149&gt;AV$1465,"",(tech_base!$J149/tech_proj!AV273*0.086*$N$110)/(1-tech_proj!AV553))</f>
        <v>0</v>
      </c>
      <c r="AW1613" s="121">
        <f>IF(tech_base!$T149&gt;AW$1465,"",(tech_base!$J149/tech_proj!AW273*0.086*$N$110)/(1-tech_proj!AW553))</f>
        <v>0</v>
      </c>
      <c r="AX1613" s="122">
        <f>IF(tech_base!$T149&gt;AX$1465,"",(tech_base!$J149/tech_proj!AX273*0.086*$N$110)/(1-tech_proj!AX553))</f>
        <v>0</v>
      </c>
    </row>
    <row r="1614" spans="1:50" x14ac:dyDescent="0.25">
      <c r="A1614" s="356"/>
      <c r="B1614" s="376"/>
      <c r="C1614" s="350"/>
      <c r="D1614" s="2" t="s">
        <v>8</v>
      </c>
      <c r="E1614" s="160" t="str">
        <f>A1605&amp;"/"&amp;B1613&amp;"/"&amp;C1613&amp;"/"&amp;D1614</f>
        <v>Diesel oil fired power plants/Gas turbine /Electricity only/M</v>
      </c>
      <c r="F1614" s="76" t="str">
        <f>A1605</f>
        <v>Diesel oil fired power plants</v>
      </c>
      <c r="G1614" s="76" t="str">
        <f>B1613</f>
        <v xml:space="preserve">Gas turbine </v>
      </c>
      <c r="H1614" s="76" t="str">
        <f>C1613</f>
        <v>Electricity only</v>
      </c>
      <c r="I1614" s="161" t="str">
        <f t="shared" si="379"/>
        <v>M</v>
      </c>
      <c r="J1614" s="119">
        <f>IF(tech_base!$T150&gt;J$1465,"",(tech_base!$J150/tech_proj!J274*0.086*$N$110)/(1-tech_proj!J554))</f>
        <v>0</v>
      </c>
      <c r="K1614" s="119">
        <f>IF(tech_base!$T150&gt;K$1465,"",(tech_base!$J150/tech_proj!K274*0.086*$N$110)/(1-tech_proj!K554))</f>
        <v>0</v>
      </c>
      <c r="L1614" s="119">
        <f>IF(tech_base!$T150&gt;L$1465,"",(tech_base!$J150/tech_proj!L274*0.086*$N$110)/(1-tech_proj!L554))</f>
        <v>0</v>
      </c>
      <c r="M1614" s="119">
        <f>IF(tech_base!$T150&gt;M$1465,"",(tech_base!$J150/tech_proj!M274*0.086*$N$110)/(1-tech_proj!M554))</f>
        <v>0</v>
      </c>
      <c r="N1614" s="119">
        <f>IF(tech_base!$T150&gt;N$1465,"",(tech_base!$J150/tech_proj!N274*0.086*$N$110)/(1-tech_proj!N554))</f>
        <v>0</v>
      </c>
      <c r="O1614" s="119">
        <f>IF(tech_base!$T150&gt;O$1465,"",(tech_base!$J150/tech_proj!O274*0.086*$N$110)/(1-tech_proj!O554))</f>
        <v>0</v>
      </c>
      <c r="P1614" s="119">
        <f>IF(tech_base!$T150&gt;P$1465,"",(tech_base!$J150/tech_proj!P274*0.086*$N$110)/(1-tech_proj!P554))</f>
        <v>0</v>
      </c>
      <c r="Q1614" s="119">
        <f>IF(tech_base!$T150&gt;Q$1465,"",(tech_base!$J150/tech_proj!Q274*0.086*$N$110)/(1-tech_proj!Q554))</f>
        <v>0</v>
      </c>
      <c r="R1614" s="119">
        <f>IF(tech_base!$T150&gt;R$1465,"",(tech_base!$J150/tech_proj!R274*0.086*$N$110)/(1-tech_proj!R554))</f>
        <v>0</v>
      </c>
      <c r="S1614" s="119">
        <f>IF(tech_base!$T150&gt;S$1465,"",(tech_base!$J150/tech_proj!S274*0.086*$N$110)/(1-tech_proj!S554))</f>
        <v>0</v>
      </c>
      <c r="T1614" s="119">
        <f>IF(tech_base!$T150&gt;T$1465,"",(tech_base!$J150/tech_proj!T274*0.086*$N$110)/(1-tech_proj!T554))</f>
        <v>0</v>
      </c>
      <c r="U1614" s="119">
        <f>IF(tech_base!$T150&gt;U$1465,"",(tech_base!$J150/tech_proj!U274*0.086*$N$110)/(1-tech_proj!U554))</f>
        <v>0</v>
      </c>
      <c r="V1614" s="119">
        <f>IF(tech_base!$T150&gt;V$1465,"",(tech_base!$J150/tech_proj!V274*0.086*$N$110)/(1-tech_proj!V554))</f>
        <v>0</v>
      </c>
      <c r="W1614" s="119">
        <f>IF(tech_base!$T150&gt;W$1465,"",(tech_base!$J150/tech_proj!W274*0.086*$N$110)/(1-tech_proj!W554))</f>
        <v>0</v>
      </c>
      <c r="X1614" s="119">
        <f>IF(tech_base!$T150&gt;X$1465,"",(tech_base!$J150/tech_proj!X274*0.086*$N$110)/(1-tech_proj!X554))</f>
        <v>0</v>
      </c>
      <c r="Y1614" s="119">
        <f>IF(tech_base!$T150&gt;Y$1465,"",(tech_base!$J150/tech_proj!Y274*0.086*$N$110)/(1-tech_proj!Y554))</f>
        <v>0</v>
      </c>
      <c r="Z1614" s="119">
        <f>IF(tech_base!$T150&gt;Z$1465,"",(tech_base!$J150/tech_proj!Z274*0.086*$N$110)/(1-tech_proj!Z554))</f>
        <v>0</v>
      </c>
      <c r="AA1614" s="119">
        <f>IF(tech_base!$T150&gt;AA$1465,"",(tech_base!$J150/tech_proj!AA274*0.086*$N$110)/(1-tech_proj!AA554))</f>
        <v>0</v>
      </c>
      <c r="AB1614" s="119">
        <f>IF(tech_base!$T150&gt;AB$1465,"",(tech_base!$J150/tech_proj!AB274*0.086*$N$110)/(1-tech_proj!AB554))</f>
        <v>0</v>
      </c>
      <c r="AC1614" s="119">
        <f>IF(tech_base!$T150&gt;AC$1465,"",(tech_base!$J150/tech_proj!AC274*0.086*$N$110)/(1-tech_proj!AC554))</f>
        <v>0</v>
      </c>
      <c r="AD1614" s="119">
        <f>IF(tech_base!$T150&gt;AD$1465,"",(tech_base!$J150/tech_proj!AD274*0.086*$N$110)/(1-tech_proj!AD554))</f>
        <v>0</v>
      </c>
      <c r="AE1614" s="119">
        <f>IF(tech_base!$T150&gt;AE$1465,"",(tech_base!$J150/tech_proj!AE274*0.086*$N$110)/(1-tech_proj!AE554))</f>
        <v>0</v>
      </c>
      <c r="AF1614" s="119">
        <f>IF(tech_base!$T150&gt;AF$1465,"",(tech_base!$J150/tech_proj!AF274*0.086*$N$110)/(1-tech_proj!AF554))</f>
        <v>0</v>
      </c>
      <c r="AG1614" s="119">
        <f>IF(tech_base!$T150&gt;AG$1465,"",(tech_base!$J150/tech_proj!AG274*0.086*$N$110)/(1-tech_proj!AG554))</f>
        <v>0</v>
      </c>
      <c r="AH1614" s="119">
        <f>IF(tech_base!$T150&gt;AH$1465,"",(tech_base!$J150/tech_proj!AH274*0.086*$N$110)/(1-tech_proj!AH554))</f>
        <v>0</v>
      </c>
      <c r="AI1614" s="119">
        <f>IF(tech_base!$T150&gt;AI$1465,"",(tech_base!$J150/tech_proj!AI274*0.086*$N$110)/(1-tech_proj!AI554))</f>
        <v>0</v>
      </c>
      <c r="AJ1614" s="119">
        <f>IF(tech_base!$T150&gt;AJ$1465,"",(tech_base!$J150/tech_proj!AJ274*0.086*$N$110)/(1-tech_proj!AJ554))</f>
        <v>0</v>
      </c>
      <c r="AK1614" s="119">
        <f>IF(tech_base!$T150&gt;AK$1465,"",(tech_base!$J150/tech_proj!AK274*0.086*$N$110)/(1-tech_proj!AK554))</f>
        <v>0</v>
      </c>
      <c r="AL1614" s="119">
        <f>IF(tech_base!$T150&gt;AL$1465,"",(tech_base!$J150/tech_proj!AL274*0.086*$N$110)/(1-tech_proj!AL554))</f>
        <v>0</v>
      </c>
      <c r="AM1614" s="119">
        <f>IF(tech_base!$T150&gt;AM$1465,"",(tech_base!$J150/tech_proj!AM274*0.086*$N$110)/(1-tech_proj!AM554))</f>
        <v>0</v>
      </c>
      <c r="AN1614" s="119">
        <f>IF(tech_base!$T150&gt;AN$1465,"",(tech_base!$J150/tech_proj!AN274*0.086*$N$110)/(1-tech_proj!AN554))</f>
        <v>0</v>
      </c>
      <c r="AO1614" s="119">
        <f>IF(tech_base!$T150&gt;AO$1465,"",(tech_base!$J150/tech_proj!AO274*0.086*$N$110)/(1-tech_proj!AO554))</f>
        <v>0</v>
      </c>
      <c r="AP1614" s="119">
        <f>IF(tech_base!$T150&gt;AP$1465,"",(tech_base!$J150/tech_proj!AP274*0.086*$N$110)/(1-tech_proj!AP554))</f>
        <v>0</v>
      </c>
      <c r="AQ1614" s="119">
        <f>IF(tech_base!$T150&gt;AQ$1465,"",(tech_base!$J150/tech_proj!AQ274*0.086*$N$110)/(1-tech_proj!AQ554))</f>
        <v>0</v>
      </c>
      <c r="AR1614" s="119">
        <f>IF(tech_base!$T150&gt;AR$1465,"",(tech_base!$J150/tech_proj!AR274*0.086*$N$110)/(1-tech_proj!AR554))</f>
        <v>0</v>
      </c>
      <c r="AS1614" s="119">
        <f>IF(tech_base!$T150&gt;AS$1465,"",(tech_base!$J150/tech_proj!AS274*0.086*$N$110)/(1-tech_proj!AS554))</f>
        <v>0</v>
      </c>
      <c r="AT1614" s="119">
        <f>IF(tech_base!$T150&gt;AT$1465,"",(tech_base!$J150/tech_proj!AT274*0.086*$N$110)/(1-tech_proj!AT554))</f>
        <v>0</v>
      </c>
      <c r="AU1614" s="119">
        <f>IF(tech_base!$T150&gt;AU$1465,"",(tech_base!$J150/tech_proj!AU274*0.086*$N$110)/(1-tech_proj!AU554))</f>
        <v>0</v>
      </c>
      <c r="AV1614" s="119">
        <f>IF(tech_base!$T150&gt;AV$1465,"",(tech_base!$J150/tech_proj!AV274*0.086*$N$110)/(1-tech_proj!AV554))</f>
        <v>0</v>
      </c>
      <c r="AW1614" s="119">
        <f>IF(tech_base!$T150&gt;AW$1465,"",(tech_base!$J150/tech_proj!AW274*0.086*$N$110)/(1-tech_proj!AW554))</f>
        <v>0</v>
      </c>
      <c r="AX1614" s="120">
        <f>IF(tech_base!$T150&gt;AX$1465,"",(tech_base!$J150/tech_proj!AX274*0.086*$N$110)/(1-tech_proj!AX554))</f>
        <v>0</v>
      </c>
    </row>
    <row r="1615" spans="1:50" x14ac:dyDescent="0.25">
      <c r="A1615" s="356"/>
      <c r="B1615" s="376"/>
      <c r="C1615" s="350"/>
      <c r="D1615" s="2" t="s">
        <v>10</v>
      </c>
      <c r="E1615" s="160" t="str">
        <f>A1605&amp;"/"&amp;B1613&amp;"/"&amp;C1613&amp;"/"&amp;D1615</f>
        <v>Diesel oil fired power plants/Gas turbine /Electricity only/S</v>
      </c>
      <c r="F1615" s="76" t="str">
        <f>A1605</f>
        <v>Diesel oil fired power plants</v>
      </c>
      <c r="G1615" s="76" t="str">
        <f>B1613</f>
        <v xml:space="preserve">Gas turbine </v>
      </c>
      <c r="H1615" s="76" t="str">
        <f>C1613</f>
        <v>Electricity only</v>
      </c>
      <c r="I1615" s="161" t="str">
        <f t="shared" si="379"/>
        <v>S</v>
      </c>
      <c r="J1615" s="119">
        <f>IF(tech_base!$T151&gt;J$1465,"",(tech_base!$J151/tech_proj!J275*0.086*$N$110)/(1-tech_proj!J555))</f>
        <v>0</v>
      </c>
      <c r="K1615" s="119">
        <f>IF(tech_base!$T151&gt;K$1465,"",(tech_base!$J151/tech_proj!K275*0.086*$N$110)/(1-tech_proj!K555))</f>
        <v>0</v>
      </c>
      <c r="L1615" s="119">
        <f>IF(tech_base!$T151&gt;L$1465,"",(tech_base!$J151/tech_proj!L275*0.086*$N$110)/(1-tech_proj!L555))</f>
        <v>0</v>
      </c>
      <c r="M1615" s="119">
        <f>IF(tech_base!$T151&gt;M$1465,"",(tech_base!$J151/tech_proj!M275*0.086*$N$110)/(1-tech_proj!M555))</f>
        <v>0</v>
      </c>
      <c r="N1615" s="119">
        <f>IF(tech_base!$T151&gt;N$1465,"",(tech_base!$J151/tech_proj!N275*0.086*$N$110)/(1-tech_proj!N555))</f>
        <v>0</v>
      </c>
      <c r="O1615" s="119">
        <f>IF(tech_base!$T151&gt;O$1465,"",(tech_base!$J151/tech_proj!O275*0.086*$N$110)/(1-tech_proj!O555))</f>
        <v>0</v>
      </c>
      <c r="P1615" s="119">
        <f>IF(tech_base!$T151&gt;P$1465,"",(tech_base!$J151/tech_proj!P275*0.086*$N$110)/(1-tech_proj!P555))</f>
        <v>0</v>
      </c>
      <c r="Q1615" s="119">
        <f>IF(tech_base!$T151&gt;Q$1465,"",(tech_base!$J151/tech_proj!Q275*0.086*$N$110)/(1-tech_proj!Q555))</f>
        <v>0</v>
      </c>
      <c r="R1615" s="119">
        <f>IF(tech_base!$T151&gt;R$1465,"",(tech_base!$J151/tech_proj!R275*0.086*$N$110)/(1-tech_proj!R555))</f>
        <v>0</v>
      </c>
      <c r="S1615" s="119">
        <f>IF(tech_base!$T151&gt;S$1465,"",(tech_base!$J151/tech_proj!S275*0.086*$N$110)/(1-tech_proj!S555))</f>
        <v>0</v>
      </c>
      <c r="T1615" s="119">
        <f>IF(tech_base!$T151&gt;T$1465,"",(tech_base!$J151/tech_proj!T275*0.086*$N$110)/(1-tech_proj!T555))</f>
        <v>0</v>
      </c>
      <c r="U1615" s="119">
        <f>IF(tech_base!$T151&gt;U$1465,"",(tech_base!$J151/tech_proj!U275*0.086*$N$110)/(1-tech_proj!U555))</f>
        <v>0</v>
      </c>
      <c r="V1615" s="119">
        <f>IF(tech_base!$T151&gt;V$1465,"",(tech_base!$J151/tech_proj!V275*0.086*$N$110)/(1-tech_proj!V555))</f>
        <v>0</v>
      </c>
      <c r="W1615" s="119">
        <f>IF(tech_base!$T151&gt;W$1465,"",(tech_base!$J151/tech_proj!W275*0.086*$N$110)/(1-tech_proj!W555))</f>
        <v>0</v>
      </c>
      <c r="X1615" s="119">
        <f>IF(tech_base!$T151&gt;X$1465,"",(tech_base!$J151/tech_proj!X275*0.086*$N$110)/(1-tech_proj!X555))</f>
        <v>0</v>
      </c>
      <c r="Y1615" s="119">
        <f>IF(tech_base!$T151&gt;Y$1465,"",(tech_base!$J151/tech_proj!Y275*0.086*$N$110)/(1-tech_proj!Y555))</f>
        <v>0</v>
      </c>
      <c r="Z1615" s="119">
        <f>IF(tech_base!$T151&gt;Z$1465,"",(tech_base!$J151/tech_proj!Z275*0.086*$N$110)/(1-tech_proj!Z555))</f>
        <v>0</v>
      </c>
      <c r="AA1615" s="119">
        <f>IF(tech_base!$T151&gt;AA$1465,"",(tech_base!$J151/tech_proj!AA275*0.086*$N$110)/(1-tech_proj!AA555))</f>
        <v>0</v>
      </c>
      <c r="AB1615" s="119">
        <f>IF(tech_base!$T151&gt;AB$1465,"",(tech_base!$J151/tech_proj!AB275*0.086*$N$110)/(1-tech_proj!AB555))</f>
        <v>0</v>
      </c>
      <c r="AC1615" s="119">
        <f>IF(tech_base!$T151&gt;AC$1465,"",(tech_base!$J151/tech_proj!AC275*0.086*$N$110)/(1-tech_proj!AC555))</f>
        <v>0</v>
      </c>
      <c r="AD1615" s="119">
        <f>IF(tech_base!$T151&gt;AD$1465,"",(tech_base!$J151/tech_proj!AD275*0.086*$N$110)/(1-tech_proj!AD555))</f>
        <v>0</v>
      </c>
      <c r="AE1615" s="119">
        <f>IF(tech_base!$T151&gt;AE$1465,"",(tech_base!$J151/tech_proj!AE275*0.086*$N$110)/(1-tech_proj!AE555))</f>
        <v>0</v>
      </c>
      <c r="AF1615" s="119">
        <f>IF(tech_base!$T151&gt;AF$1465,"",(tech_base!$J151/tech_proj!AF275*0.086*$N$110)/(1-tech_proj!AF555))</f>
        <v>0</v>
      </c>
      <c r="AG1615" s="119">
        <f>IF(tech_base!$T151&gt;AG$1465,"",(tech_base!$J151/tech_proj!AG275*0.086*$N$110)/(1-tech_proj!AG555))</f>
        <v>0</v>
      </c>
      <c r="AH1615" s="119">
        <f>IF(tech_base!$T151&gt;AH$1465,"",(tech_base!$J151/tech_proj!AH275*0.086*$N$110)/(1-tech_proj!AH555))</f>
        <v>0</v>
      </c>
      <c r="AI1615" s="119">
        <f>IF(tech_base!$T151&gt;AI$1465,"",(tech_base!$J151/tech_proj!AI275*0.086*$N$110)/(1-tech_proj!AI555))</f>
        <v>0</v>
      </c>
      <c r="AJ1615" s="119">
        <f>IF(tech_base!$T151&gt;AJ$1465,"",(tech_base!$J151/tech_proj!AJ275*0.086*$N$110)/(1-tech_proj!AJ555))</f>
        <v>0</v>
      </c>
      <c r="AK1615" s="119">
        <f>IF(tech_base!$T151&gt;AK$1465,"",(tech_base!$J151/tech_proj!AK275*0.086*$N$110)/(1-tech_proj!AK555))</f>
        <v>0</v>
      </c>
      <c r="AL1615" s="119">
        <f>IF(tech_base!$T151&gt;AL$1465,"",(tech_base!$J151/tech_proj!AL275*0.086*$N$110)/(1-tech_proj!AL555))</f>
        <v>0</v>
      </c>
      <c r="AM1615" s="119">
        <f>IF(tech_base!$T151&gt;AM$1465,"",(tech_base!$J151/tech_proj!AM275*0.086*$N$110)/(1-tech_proj!AM555))</f>
        <v>0</v>
      </c>
      <c r="AN1615" s="119">
        <f>IF(tech_base!$T151&gt;AN$1465,"",(tech_base!$J151/tech_proj!AN275*0.086*$N$110)/(1-tech_proj!AN555))</f>
        <v>0</v>
      </c>
      <c r="AO1615" s="119">
        <f>IF(tech_base!$T151&gt;AO$1465,"",(tech_base!$J151/tech_proj!AO275*0.086*$N$110)/(1-tech_proj!AO555))</f>
        <v>0</v>
      </c>
      <c r="AP1615" s="119">
        <f>IF(tech_base!$T151&gt;AP$1465,"",(tech_base!$J151/tech_proj!AP275*0.086*$N$110)/(1-tech_proj!AP555))</f>
        <v>0</v>
      </c>
      <c r="AQ1615" s="119">
        <f>IF(tech_base!$T151&gt;AQ$1465,"",(tech_base!$J151/tech_proj!AQ275*0.086*$N$110)/(1-tech_proj!AQ555))</f>
        <v>0</v>
      </c>
      <c r="AR1615" s="119">
        <f>IF(tech_base!$T151&gt;AR$1465,"",(tech_base!$J151/tech_proj!AR275*0.086*$N$110)/(1-tech_proj!AR555))</f>
        <v>0</v>
      </c>
      <c r="AS1615" s="119">
        <f>IF(tech_base!$T151&gt;AS$1465,"",(tech_base!$J151/tech_proj!AS275*0.086*$N$110)/(1-tech_proj!AS555))</f>
        <v>0</v>
      </c>
      <c r="AT1615" s="119">
        <f>IF(tech_base!$T151&gt;AT$1465,"",(tech_base!$J151/tech_proj!AT275*0.086*$N$110)/(1-tech_proj!AT555))</f>
        <v>0</v>
      </c>
      <c r="AU1615" s="119">
        <f>IF(tech_base!$T151&gt;AU$1465,"",(tech_base!$J151/tech_proj!AU275*0.086*$N$110)/(1-tech_proj!AU555))</f>
        <v>0</v>
      </c>
      <c r="AV1615" s="119">
        <f>IF(tech_base!$T151&gt;AV$1465,"",(tech_base!$J151/tech_proj!AV275*0.086*$N$110)/(1-tech_proj!AV555))</f>
        <v>0</v>
      </c>
      <c r="AW1615" s="119">
        <f>IF(tech_base!$T151&gt;AW$1465,"",(tech_base!$J151/tech_proj!AW275*0.086*$N$110)/(1-tech_proj!AW555))</f>
        <v>0</v>
      </c>
      <c r="AX1615" s="120">
        <f>IF(tech_base!$T151&gt;AX$1465,"",(tech_base!$J151/tech_proj!AX275*0.086*$N$110)/(1-tech_proj!AX555))</f>
        <v>0</v>
      </c>
    </row>
    <row r="1616" spans="1:50" x14ac:dyDescent="0.25">
      <c r="A1616" s="356"/>
      <c r="B1616" s="376"/>
      <c r="C1616" s="360"/>
      <c r="D1616" s="2" t="s">
        <v>20</v>
      </c>
      <c r="E1616" s="160" t="str">
        <f>A1605&amp;"/"&amp;B1613&amp;"/"&amp;C1613&amp;"/"&amp;D1616</f>
        <v>Diesel oil fired power plants/Gas turbine /Electricity only/XS</v>
      </c>
      <c r="F1616" s="76" t="str">
        <f>A1605</f>
        <v>Diesel oil fired power plants</v>
      </c>
      <c r="G1616" s="76" t="str">
        <f>B1613</f>
        <v xml:space="preserve">Gas turbine </v>
      </c>
      <c r="H1616" s="76" t="str">
        <f>C1613</f>
        <v>Electricity only</v>
      </c>
      <c r="I1616" s="161" t="str">
        <f t="shared" si="379"/>
        <v>XS</v>
      </c>
      <c r="J1616" s="119">
        <f>IF(tech_base!$T152&gt;J$1465,"",(tech_base!$J152/tech_proj!J276*0.086*$N$110)/(1-tech_proj!J556))</f>
        <v>0</v>
      </c>
      <c r="K1616" s="119">
        <f>IF(tech_base!$T152&gt;K$1465,"",(tech_base!$J152/tech_proj!K276*0.086*$N$110)/(1-tech_proj!K556))</f>
        <v>0</v>
      </c>
      <c r="L1616" s="119">
        <f>IF(tech_base!$T152&gt;L$1465,"",(tech_base!$J152/tech_proj!L276*0.086*$N$110)/(1-tech_proj!L556))</f>
        <v>0</v>
      </c>
      <c r="M1616" s="119">
        <f>IF(tech_base!$T152&gt;M$1465,"",(tech_base!$J152/tech_proj!M276*0.086*$N$110)/(1-tech_proj!M556))</f>
        <v>0</v>
      </c>
      <c r="N1616" s="119">
        <f>IF(tech_base!$T152&gt;N$1465,"",(tech_base!$J152/tech_proj!N276*0.086*$N$110)/(1-tech_proj!N556))</f>
        <v>0</v>
      </c>
      <c r="O1616" s="119">
        <f>IF(tech_base!$T152&gt;O$1465,"",(tech_base!$J152/tech_proj!O276*0.086*$N$110)/(1-tech_proj!O556))</f>
        <v>0</v>
      </c>
      <c r="P1616" s="119">
        <f>IF(tech_base!$T152&gt;P$1465,"",(tech_base!$J152/tech_proj!P276*0.086*$N$110)/(1-tech_proj!P556))</f>
        <v>0</v>
      </c>
      <c r="Q1616" s="119">
        <f>IF(tech_base!$T152&gt;Q$1465,"",(tech_base!$J152/tech_proj!Q276*0.086*$N$110)/(1-tech_proj!Q556))</f>
        <v>0</v>
      </c>
      <c r="R1616" s="119">
        <f>IF(tech_base!$T152&gt;R$1465,"",(tech_base!$J152/tech_proj!R276*0.086*$N$110)/(1-tech_proj!R556))</f>
        <v>0</v>
      </c>
      <c r="S1616" s="119">
        <f>IF(tech_base!$T152&gt;S$1465,"",(tech_base!$J152/tech_proj!S276*0.086*$N$110)/(1-tech_proj!S556))</f>
        <v>0</v>
      </c>
      <c r="T1616" s="119">
        <f>IF(tech_base!$T152&gt;T$1465,"",(tech_base!$J152/tech_proj!T276*0.086*$N$110)/(1-tech_proj!T556))</f>
        <v>0</v>
      </c>
      <c r="U1616" s="119">
        <f>IF(tech_base!$T152&gt;U$1465,"",(tech_base!$J152/tech_proj!U276*0.086*$N$110)/(1-tech_proj!U556))</f>
        <v>0</v>
      </c>
      <c r="V1616" s="119">
        <f>IF(tech_base!$T152&gt;V$1465,"",(tech_base!$J152/tech_proj!V276*0.086*$N$110)/(1-tech_proj!V556))</f>
        <v>0</v>
      </c>
      <c r="W1616" s="119">
        <f>IF(tech_base!$T152&gt;W$1465,"",(tech_base!$J152/tech_proj!W276*0.086*$N$110)/(1-tech_proj!W556))</f>
        <v>0</v>
      </c>
      <c r="X1616" s="119">
        <f>IF(tech_base!$T152&gt;X$1465,"",(tech_base!$J152/tech_proj!X276*0.086*$N$110)/(1-tech_proj!X556))</f>
        <v>0</v>
      </c>
      <c r="Y1616" s="119">
        <f>IF(tech_base!$T152&gt;Y$1465,"",(tech_base!$J152/tech_proj!Y276*0.086*$N$110)/(1-tech_proj!Y556))</f>
        <v>0</v>
      </c>
      <c r="Z1616" s="119">
        <f>IF(tech_base!$T152&gt;Z$1465,"",(tech_base!$J152/tech_proj!Z276*0.086*$N$110)/(1-tech_proj!Z556))</f>
        <v>0</v>
      </c>
      <c r="AA1616" s="119">
        <f>IF(tech_base!$T152&gt;AA$1465,"",(tech_base!$J152/tech_proj!AA276*0.086*$N$110)/(1-tech_proj!AA556))</f>
        <v>0</v>
      </c>
      <c r="AB1616" s="119">
        <f>IF(tech_base!$T152&gt;AB$1465,"",(tech_base!$J152/tech_proj!AB276*0.086*$N$110)/(1-tech_proj!AB556))</f>
        <v>0</v>
      </c>
      <c r="AC1616" s="119">
        <f>IF(tech_base!$T152&gt;AC$1465,"",(tech_base!$J152/tech_proj!AC276*0.086*$N$110)/(1-tech_proj!AC556))</f>
        <v>0</v>
      </c>
      <c r="AD1616" s="119">
        <f>IF(tech_base!$T152&gt;AD$1465,"",(tech_base!$J152/tech_proj!AD276*0.086*$N$110)/(1-tech_proj!AD556))</f>
        <v>0</v>
      </c>
      <c r="AE1616" s="119">
        <f>IF(tech_base!$T152&gt;AE$1465,"",(tech_base!$J152/tech_proj!AE276*0.086*$N$110)/(1-tech_proj!AE556))</f>
        <v>0</v>
      </c>
      <c r="AF1616" s="119">
        <f>IF(tech_base!$T152&gt;AF$1465,"",(tech_base!$J152/tech_proj!AF276*0.086*$N$110)/(1-tech_proj!AF556))</f>
        <v>0</v>
      </c>
      <c r="AG1616" s="119">
        <f>IF(tech_base!$T152&gt;AG$1465,"",(tech_base!$J152/tech_proj!AG276*0.086*$N$110)/(1-tech_proj!AG556))</f>
        <v>0</v>
      </c>
      <c r="AH1616" s="119">
        <f>IF(tech_base!$T152&gt;AH$1465,"",(tech_base!$J152/tech_proj!AH276*0.086*$N$110)/(1-tech_proj!AH556))</f>
        <v>0</v>
      </c>
      <c r="AI1616" s="119">
        <f>IF(tech_base!$T152&gt;AI$1465,"",(tech_base!$J152/tech_proj!AI276*0.086*$N$110)/(1-tech_proj!AI556))</f>
        <v>0</v>
      </c>
      <c r="AJ1616" s="119">
        <f>IF(tech_base!$T152&gt;AJ$1465,"",(tech_base!$J152/tech_proj!AJ276*0.086*$N$110)/(1-tech_proj!AJ556))</f>
        <v>0</v>
      </c>
      <c r="AK1616" s="119">
        <f>IF(tech_base!$T152&gt;AK$1465,"",(tech_base!$J152/tech_proj!AK276*0.086*$N$110)/(1-tech_proj!AK556))</f>
        <v>0</v>
      </c>
      <c r="AL1616" s="119">
        <f>IF(tech_base!$T152&gt;AL$1465,"",(tech_base!$J152/tech_proj!AL276*0.086*$N$110)/(1-tech_proj!AL556))</f>
        <v>0</v>
      </c>
      <c r="AM1616" s="119">
        <f>IF(tech_base!$T152&gt;AM$1465,"",(tech_base!$J152/tech_proj!AM276*0.086*$N$110)/(1-tech_proj!AM556))</f>
        <v>0</v>
      </c>
      <c r="AN1616" s="119">
        <f>IF(tech_base!$T152&gt;AN$1465,"",(tech_base!$J152/tech_proj!AN276*0.086*$N$110)/(1-tech_proj!AN556))</f>
        <v>0</v>
      </c>
      <c r="AO1616" s="119">
        <f>IF(tech_base!$T152&gt;AO$1465,"",(tech_base!$J152/tech_proj!AO276*0.086*$N$110)/(1-tech_proj!AO556))</f>
        <v>0</v>
      </c>
      <c r="AP1616" s="119">
        <f>IF(tech_base!$T152&gt;AP$1465,"",(tech_base!$J152/tech_proj!AP276*0.086*$N$110)/(1-tech_proj!AP556))</f>
        <v>0</v>
      </c>
      <c r="AQ1616" s="119">
        <f>IF(tech_base!$T152&gt;AQ$1465,"",(tech_base!$J152/tech_proj!AQ276*0.086*$N$110)/(1-tech_proj!AQ556))</f>
        <v>0</v>
      </c>
      <c r="AR1616" s="119">
        <f>IF(tech_base!$T152&gt;AR$1465,"",(tech_base!$J152/tech_proj!AR276*0.086*$N$110)/(1-tech_proj!AR556))</f>
        <v>0</v>
      </c>
      <c r="AS1616" s="119">
        <f>IF(tech_base!$T152&gt;AS$1465,"",(tech_base!$J152/tech_proj!AS276*0.086*$N$110)/(1-tech_proj!AS556))</f>
        <v>0</v>
      </c>
      <c r="AT1616" s="119">
        <f>IF(tech_base!$T152&gt;AT$1465,"",(tech_base!$J152/tech_proj!AT276*0.086*$N$110)/(1-tech_proj!AT556))</f>
        <v>0</v>
      </c>
      <c r="AU1616" s="119">
        <f>IF(tech_base!$T152&gt;AU$1465,"",(tech_base!$J152/tech_proj!AU276*0.086*$N$110)/(1-tech_proj!AU556))</f>
        <v>0</v>
      </c>
      <c r="AV1616" s="119">
        <f>IF(tech_base!$T152&gt;AV$1465,"",(tech_base!$J152/tech_proj!AV276*0.086*$N$110)/(1-tech_proj!AV556))</f>
        <v>0</v>
      </c>
      <c r="AW1616" s="119">
        <f>IF(tech_base!$T152&gt;AW$1465,"",(tech_base!$J152/tech_proj!AW276*0.086*$N$110)/(1-tech_proj!AW556))</f>
        <v>0</v>
      </c>
      <c r="AX1616" s="120">
        <f>IF(tech_base!$T152&gt;AX$1465,"",(tech_base!$J152/tech_proj!AX276*0.086*$N$110)/(1-tech_proj!AX556))</f>
        <v>0</v>
      </c>
    </row>
    <row r="1617" spans="1:50" x14ac:dyDescent="0.25">
      <c r="A1617" s="356"/>
      <c r="B1617" s="376"/>
      <c r="C1617" s="361" t="s">
        <v>14</v>
      </c>
      <c r="D1617" s="58" t="s">
        <v>7</v>
      </c>
      <c r="E1617" s="164" t="str">
        <f>A1605&amp;"/"&amp;B1613&amp;"/"&amp;C1617&amp;"/"&amp;D1617</f>
        <v>Diesel oil fired power plants/Gas turbine /CHP/L</v>
      </c>
      <c r="F1617" s="78" t="str">
        <f>A1605</f>
        <v>Diesel oil fired power plants</v>
      </c>
      <c r="G1617" s="78" t="str">
        <f>B1613</f>
        <v xml:space="preserve">Gas turbine </v>
      </c>
      <c r="H1617" s="78" t="str">
        <f>C1617</f>
        <v>CHP</v>
      </c>
      <c r="I1617" s="165" t="str">
        <f t="shared" si="379"/>
        <v>L</v>
      </c>
      <c r="J1617" s="123">
        <f>IF(tech_base!$T153&gt;J$1465,"",(tech_base!$J153/tech_proj!J277*0.086*$N$110)/(1-tech_proj!J557))</f>
        <v>0</v>
      </c>
      <c r="K1617" s="123">
        <f>IF(tech_base!$T153&gt;K$1465,"",(tech_base!$J153/tech_proj!K277*0.086*$N$110)/(1-tech_proj!K557))</f>
        <v>0</v>
      </c>
      <c r="L1617" s="123">
        <f>IF(tech_base!$T153&gt;L$1465,"",(tech_base!$J153/tech_proj!L277*0.086*$N$110)/(1-tech_proj!L557))</f>
        <v>0</v>
      </c>
      <c r="M1617" s="123">
        <f>IF(tech_base!$T153&gt;M$1465,"",(tech_base!$J153/tech_proj!M277*0.086*$N$110)/(1-tech_proj!M557))</f>
        <v>0</v>
      </c>
      <c r="N1617" s="123">
        <f>IF(tech_base!$T153&gt;N$1465,"",(tech_base!$J153/tech_proj!N277*0.086*$N$110)/(1-tech_proj!N557))</f>
        <v>0</v>
      </c>
      <c r="O1617" s="123">
        <f>IF(tech_base!$T153&gt;O$1465,"",(tech_base!$J153/tech_proj!O277*0.086*$N$110)/(1-tech_proj!O557))</f>
        <v>0</v>
      </c>
      <c r="P1617" s="123">
        <f>IF(tech_base!$T153&gt;P$1465,"",(tech_base!$J153/tech_proj!P277*0.086*$N$110)/(1-tech_proj!P557))</f>
        <v>0</v>
      </c>
      <c r="Q1617" s="123">
        <f>IF(tech_base!$T153&gt;Q$1465,"",(tech_base!$J153/tech_proj!Q277*0.086*$N$110)/(1-tech_proj!Q557))</f>
        <v>0</v>
      </c>
      <c r="R1617" s="123">
        <f>IF(tech_base!$T153&gt;R$1465,"",(tech_base!$J153/tech_proj!R277*0.086*$N$110)/(1-tech_proj!R557))</f>
        <v>0</v>
      </c>
      <c r="S1617" s="123">
        <f>IF(tech_base!$T153&gt;S$1465,"",(tech_base!$J153/tech_proj!S277*0.086*$N$110)/(1-tech_proj!S557))</f>
        <v>0</v>
      </c>
      <c r="T1617" s="123">
        <f>IF(tech_base!$T153&gt;T$1465,"",(tech_base!$J153/tech_proj!T277*0.086*$N$110)/(1-tech_proj!T557))</f>
        <v>0</v>
      </c>
      <c r="U1617" s="123">
        <f>IF(tech_base!$T153&gt;U$1465,"",(tech_base!$J153/tech_proj!U277*0.086*$N$110)/(1-tech_proj!U557))</f>
        <v>0</v>
      </c>
      <c r="V1617" s="123">
        <f>IF(tech_base!$T153&gt;V$1465,"",(tech_base!$J153/tech_proj!V277*0.086*$N$110)/(1-tech_proj!V557))</f>
        <v>0</v>
      </c>
      <c r="W1617" s="123">
        <f>IF(tech_base!$T153&gt;W$1465,"",(tech_base!$J153/tech_proj!W277*0.086*$N$110)/(1-tech_proj!W557))</f>
        <v>0</v>
      </c>
      <c r="X1617" s="123">
        <f>IF(tech_base!$T153&gt;X$1465,"",(tech_base!$J153/tech_proj!X277*0.086*$N$110)/(1-tech_proj!X557))</f>
        <v>0</v>
      </c>
      <c r="Y1617" s="123">
        <f>IF(tech_base!$T153&gt;Y$1465,"",(tech_base!$J153/tech_proj!Y277*0.086*$N$110)/(1-tech_proj!Y557))</f>
        <v>0</v>
      </c>
      <c r="Z1617" s="123">
        <f>IF(tech_base!$T153&gt;Z$1465,"",(tech_base!$J153/tech_proj!Z277*0.086*$N$110)/(1-tech_proj!Z557))</f>
        <v>0</v>
      </c>
      <c r="AA1617" s="123">
        <f>IF(tech_base!$T153&gt;AA$1465,"",(tech_base!$J153/tech_proj!AA277*0.086*$N$110)/(1-tech_proj!AA557))</f>
        <v>0</v>
      </c>
      <c r="AB1617" s="123">
        <f>IF(tech_base!$T153&gt;AB$1465,"",(tech_base!$J153/tech_proj!AB277*0.086*$N$110)/(1-tech_proj!AB557))</f>
        <v>0</v>
      </c>
      <c r="AC1617" s="123">
        <f>IF(tech_base!$T153&gt;AC$1465,"",(tech_base!$J153/tech_proj!AC277*0.086*$N$110)/(1-tech_proj!AC557))</f>
        <v>0</v>
      </c>
      <c r="AD1617" s="123">
        <f>IF(tech_base!$T153&gt;AD$1465,"",(tech_base!$J153/tech_proj!AD277*0.086*$N$110)/(1-tech_proj!AD557))</f>
        <v>0</v>
      </c>
      <c r="AE1617" s="123">
        <f>IF(tech_base!$T153&gt;AE$1465,"",(tech_base!$J153/tech_proj!AE277*0.086*$N$110)/(1-tech_proj!AE557))</f>
        <v>0</v>
      </c>
      <c r="AF1617" s="123">
        <f>IF(tech_base!$T153&gt;AF$1465,"",(tech_base!$J153/tech_proj!AF277*0.086*$N$110)/(1-tech_proj!AF557))</f>
        <v>0</v>
      </c>
      <c r="AG1617" s="123">
        <f>IF(tech_base!$T153&gt;AG$1465,"",(tech_base!$J153/tech_proj!AG277*0.086*$N$110)/(1-tech_proj!AG557))</f>
        <v>0</v>
      </c>
      <c r="AH1617" s="123">
        <f>IF(tech_base!$T153&gt;AH$1465,"",(tech_base!$J153/tech_proj!AH277*0.086*$N$110)/(1-tech_proj!AH557))</f>
        <v>0</v>
      </c>
      <c r="AI1617" s="123">
        <f>IF(tech_base!$T153&gt;AI$1465,"",(tech_base!$J153/tech_proj!AI277*0.086*$N$110)/(1-tech_proj!AI557))</f>
        <v>0</v>
      </c>
      <c r="AJ1617" s="123">
        <f>IF(tech_base!$T153&gt;AJ$1465,"",(tech_base!$J153/tech_proj!AJ277*0.086*$N$110)/(1-tech_proj!AJ557))</f>
        <v>0</v>
      </c>
      <c r="AK1617" s="123">
        <f>IF(tech_base!$T153&gt;AK$1465,"",(tech_base!$J153/tech_proj!AK277*0.086*$N$110)/(1-tech_proj!AK557))</f>
        <v>0</v>
      </c>
      <c r="AL1617" s="123">
        <f>IF(tech_base!$T153&gt;AL$1465,"",(tech_base!$J153/tech_proj!AL277*0.086*$N$110)/(1-tech_proj!AL557))</f>
        <v>0</v>
      </c>
      <c r="AM1617" s="123">
        <f>IF(tech_base!$T153&gt;AM$1465,"",(tech_base!$J153/tech_proj!AM277*0.086*$N$110)/(1-tech_proj!AM557))</f>
        <v>0</v>
      </c>
      <c r="AN1617" s="123">
        <f>IF(tech_base!$T153&gt;AN$1465,"",(tech_base!$J153/tech_proj!AN277*0.086*$N$110)/(1-tech_proj!AN557))</f>
        <v>0</v>
      </c>
      <c r="AO1617" s="123">
        <f>IF(tech_base!$T153&gt;AO$1465,"",(tech_base!$J153/tech_proj!AO277*0.086*$N$110)/(1-tech_proj!AO557))</f>
        <v>0</v>
      </c>
      <c r="AP1617" s="123">
        <f>IF(tech_base!$T153&gt;AP$1465,"",(tech_base!$J153/tech_proj!AP277*0.086*$N$110)/(1-tech_proj!AP557))</f>
        <v>0</v>
      </c>
      <c r="AQ1617" s="123">
        <f>IF(tech_base!$T153&gt;AQ$1465,"",(tech_base!$J153/tech_proj!AQ277*0.086*$N$110)/(1-tech_proj!AQ557))</f>
        <v>0</v>
      </c>
      <c r="AR1617" s="123">
        <f>IF(tech_base!$T153&gt;AR$1465,"",(tech_base!$J153/tech_proj!AR277*0.086*$N$110)/(1-tech_proj!AR557))</f>
        <v>0</v>
      </c>
      <c r="AS1617" s="123">
        <f>IF(tech_base!$T153&gt;AS$1465,"",(tech_base!$J153/tech_proj!AS277*0.086*$N$110)/(1-tech_proj!AS557))</f>
        <v>0</v>
      </c>
      <c r="AT1617" s="123">
        <f>IF(tech_base!$T153&gt;AT$1465,"",(tech_base!$J153/tech_proj!AT277*0.086*$N$110)/(1-tech_proj!AT557))</f>
        <v>0</v>
      </c>
      <c r="AU1617" s="123">
        <f>IF(tech_base!$T153&gt;AU$1465,"",(tech_base!$J153/tech_proj!AU277*0.086*$N$110)/(1-tech_proj!AU557))</f>
        <v>0</v>
      </c>
      <c r="AV1617" s="123">
        <f>IF(tech_base!$T153&gt;AV$1465,"",(tech_base!$J153/tech_proj!AV277*0.086*$N$110)/(1-tech_proj!AV557))</f>
        <v>0</v>
      </c>
      <c r="AW1617" s="123">
        <f>IF(tech_base!$T153&gt;AW$1465,"",(tech_base!$J153/tech_proj!AW277*0.086*$N$110)/(1-tech_proj!AW557))</f>
        <v>0</v>
      </c>
      <c r="AX1617" s="124">
        <f>IF(tech_base!$T153&gt;AX$1465,"",(tech_base!$J153/tech_proj!AX277*0.086*$N$110)/(1-tech_proj!AX557))</f>
        <v>0</v>
      </c>
    </row>
    <row r="1618" spans="1:50" x14ac:dyDescent="0.25">
      <c r="A1618" s="356"/>
      <c r="B1618" s="376"/>
      <c r="C1618" s="378"/>
      <c r="D1618" s="2" t="s">
        <v>8</v>
      </c>
      <c r="E1618" s="160" t="str">
        <f>A1605&amp;"/"&amp;B1613&amp;"/"&amp;C1617&amp;"/"&amp;D1618</f>
        <v>Diesel oil fired power plants/Gas turbine /CHP/M</v>
      </c>
      <c r="F1618" s="76" t="str">
        <f>A1605</f>
        <v>Diesel oil fired power plants</v>
      </c>
      <c r="G1618" s="76" t="str">
        <f>B1613</f>
        <v xml:space="preserve">Gas turbine </v>
      </c>
      <c r="H1618" s="76" t="str">
        <f>C1617</f>
        <v>CHP</v>
      </c>
      <c r="I1618" s="161" t="str">
        <f t="shared" si="379"/>
        <v>M</v>
      </c>
      <c r="J1618" s="119">
        <f>IF(tech_base!$T154&gt;J$1465,"",(tech_base!$J154/tech_proj!J278*0.086*$N$110)/(1-tech_proj!J558))</f>
        <v>0</v>
      </c>
      <c r="K1618" s="119">
        <f>IF(tech_base!$T154&gt;K$1465,"",(tech_base!$J154/tech_proj!K278*0.086*$N$110)/(1-tech_proj!K558))</f>
        <v>0</v>
      </c>
      <c r="L1618" s="119">
        <f>IF(tech_base!$T154&gt;L$1465,"",(tech_base!$J154/tech_proj!L278*0.086*$N$110)/(1-tech_proj!L558))</f>
        <v>0</v>
      </c>
      <c r="M1618" s="119">
        <f>IF(tech_base!$T154&gt;M$1465,"",(tech_base!$J154/tech_proj!M278*0.086*$N$110)/(1-tech_proj!M558))</f>
        <v>0</v>
      </c>
      <c r="N1618" s="119">
        <f>IF(tech_base!$T154&gt;N$1465,"",(tech_base!$J154/tech_proj!N278*0.086*$N$110)/(1-tech_proj!N558))</f>
        <v>0</v>
      </c>
      <c r="O1618" s="119">
        <f>IF(tech_base!$T154&gt;O$1465,"",(tech_base!$J154/tech_proj!O278*0.086*$N$110)/(1-tech_proj!O558))</f>
        <v>0</v>
      </c>
      <c r="P1618" s="119">
        <f>IF(tech_base!$T154&gt;P$1465,"",(tech_base!$J154/tech_proj!P278*0.086*$N$110)/(1-tech_proj!P558))</f>
        <v>0</v>
      </c>
      <c r="Q1618" s="119">
        <f>IF(tech_base!$T154&gt;Q$1465,"",(tech_base!$J154/tech_proj!Q278*0.086*$N$110)/(1-tech_proj!Q558))</f>
        <v>0</v>
      </c>
      <c r="R1618" s="119">
        <f>IF(tech_base!$T154&gt;R$1465,"",(tech_base!$J154/tech_proj!R278*0.086*$N$110)/(1-tech_proj!R558))</f>
        <v>0</v>
      </c>
      <c r="S1618" s="119">
        <f>IF(tech_base!$T154&gt;S$1465,"",(tech_base!$J154/tech_proj!S278*0.086*$N$110)/(1-tech_proj!S558))</f>
        <v>0</v>
      </c>
      <c r="T1618" s="119">
        <f>IF(tech_base!$T154&gt;T$1465,"",(tech_base!$J154/tech_proj!T278*0.086*$N$110)/(1-tech_proj!T558))</f>
        <v>0</v>
      </c>
      <c r="U1618" s="119">
        <f>IF(tech_base!$T154&gt;U$1465,"",(tech_base!$J154/tech_proj!U278*0.086*$N$110)/(1-tech_proj!U558))</f>
        <v>0</v>
      </c>
      <c r="V1618" s="119">
        <f>IF(tech_base!$T154&gt;V$1465,"",(tech_base!$J154/tech_proj!V278*0.086*$N$110)/(1-tech_proj!V558))</f>
        <v>0</v>
      </c>
      <c r="W1618" s="119">
        <f>IF(tech_base!$T154&gt;W$1465,"",(tech_base!$J154/tech_proj!W278*0.086*$N$110)/(1-tech_proj!W558))</f>
        <v>0</v>
      </c>
      <c r="X1618" s="119">
        <f>IF(tech_base!$T154&gt;X$1465,"",(tech_base!$J154/tech_proj!X278*0.086*$N$110)/(1-tech_proj!X558))</f>
        <v>0</v>
      </c>
      <c r="Y1618" s="119">
        <f>IF(tech_base!$T154&gt;Y$1465,"",(tech_base!$J154/tech_proj!Y278*0.086*$N$110)/(1-tech_proj!Y558))</f>
        <v>0</v>
      </c>
      <c r="Z1618" s="119">
        <f>IF(tech_base!$T154&gt;Z$1465,"",(tech_base!$J154/tech_proj!Z278*0.086*$N$110)/(1-tech_proj!Z558))</f>
        <v>0</v>
      </c>
      <c r="AA1618" s="119">
        <f>IF(tech_base!$T154&gt;AA$1465,"",(tech_base!$J154/tech_proj!AA278*0.086*$N$110)/(1-tech_proj!AA558))</f>
        <v>0</v>
      </c>
      <c r="AB1618" s="119">
        <f>IF(tech_base!$T154&gt;AB$1465,"",(tech_base!$J154/tech_proj!AB278*0.086*$N$110)/(1-tech_proj!AB558))</f>
        <v>0</v>
      </c>
      <c r="AC1618" s="119">
        <f>IF(tech_base!$T154&gt;AC$1465,"",(tech_base!$J154/tech_proj!AC278*0.086*$N$110)/(1-tech_proj!AC558))</f>
        <v>0</v>
      </c>
      <c r="AD1618" s="119">
        <f>IF(tech_base!$T154&gt;AD$1465,"",(tech_base!$J154/tech_proj!AD278*0.086*$N$110)/(1-tech_proj!AD558))</f>
        <v>0</v>
      </c>
      <c r="AE1618" s="119">
        <f>IF(tech_base!$T154&gt;AE$1465,"",(tech_base!$J154/tech_proj!AE278*0.086*$N$110)/(1-tech_proj!AE558))</f>
        <v>0</v>
      </c>
      <c r="AF1618" s="119">
        <f>IF(tech_base!$T154&gt;AF$1465,"",(tech_base!$J154/tech_proj!AF278*0.086*$N$110)/(1-tech_proj!AF558))</f>
        <v>0</v>
      </c>
      <c r="AG1618" s="119">
        <f>IF(tech_base!$T154&gt;AG$1465,"",(tech_base!$J154/tech_proj!AG278*0.086*$N$110)/(1-tech_proj!AG558))</f>
        <v>0</v>
      </c>
      <c r="AH1618" s="119">
        <f>IF(tech_base!$T154&gt;AH$1465,"",(tech_base!$J154/tech_proj!AH278*0.086*$N$110)/(1-tech_proj!AH558))</f>
        <v>0</v>
      </c>
      <c r="AI1618" s="119">
        <f>IF(tech_base!$T154&gt;AI$1465,"",(tech_base!$J154/tech_proj!AI278*0.086*$N$110)/(1-tech_proj!AI558))</f>
        <v>0</v>
      </c>
      <c r="AJ1618" s="119">
        <f>IF(tech_base!$T154&gt;AJ$1465,"",(tech_base!$J154/tech_proj!AJ278*0.086*$N$110)/(1-tech_proj!AJ558))</f>
        <v>0</v>
      </c>
      <c r="AK1618" s="119">
        <f>IF(tech_base!$T154&gt;AK$1465,"",(tech_base!$J154/tech_proj!AK278*0.086*$N$110)/(1-tech_proj!AK558))</f>
        <v>0</v>
      </c>
      <c r="AL1618" s="119">
        <f>IF(tech_base!$T154&gt;AL$1465,"",(tech_base!$J154/tech_proj!AL278*0.086*$N$110)/(1-tech_proj!AL558))</f>
        <v>0</v>
      </c>
      <c r="AM1618" s="119">
        <f>IF(tech_base!$T154&gt;AM$1465,"",(tech_base!$J154/tech_proj!AM278*0.086*$N$110)/(1-tech_proj!AM558))</f>
        <v>0</v>
      </c>
      <c r="AN1618" s="119">
        <f>IF(tech_base!$T154&gt;AN$1465,"",(tech_base!$J154/tech_proj!AN278*0.086*$N$110)/(1-tech_proj!AN558))</f>
        <v>0</v>
      </c>
      <c r="AO1618" s="119">
        <f>IF(tech_base!$T154&gt;AO$1465,"",(tech_base!$J154/tech_proj!AO278*0.086*$N$110)/(1-tech_proj!AO558))</f>
        <v>0</v>
      </c>
      <c r="AP1618" s="119">
        <f>IF(tech_base!$T154&gt;AP$1465,"",(tech_base!$J154/tech_proj!AP278*0.086*$N$110)/(1-tech_proj!AP558))</f>
        <v>0</v>
      </c>
      <c r="AQ1618" s="119">
        <f>IF(tech_base!$T154&gt;AQ$1465,"",(tech_base!$J154/tech_proj!AQ278*0.086*$N$110)/(1-tech_proj!AQ558))</f>
        <v>0</v>
      </c>
      <c r="AR1618" s="119">
        <f>IF(tech_base!$T154&gt;AR$1465,"",(tech_base!$J154/tech_proj!AR278*0.086*$N$110)/(1-tech_proj!AR558))</f>
        <v>0</v>
      </c>
      <c r="AS1618" s="119">
        <f>IF(tech_base!$T154&gt;AS$1465,"",(tech_base!$J154/tech_proj!AS278*0.086*$N$110)/(1-tech_proj!AS558))</f>
        <v>0</v>
      </c>
      <c r="AT1618" s="119">
        <f>IF(tech_base!$T154&gt;AT$1465,"",(tech_base!$J154/tech_proj!AT278*0.086*$N$110)/(1-tech_proj!AT558))</f>
        <v>0</v>
      </c>
      <c r="AU1618" s="119">
        <f>IF(tech_base!$T154&gt;AU$1465,"",(tech_base!$J154/tech_proj!AU278*0.086*$N$110)/(1-tech_proj!AU558))</f>
        <v>0</v>
      </c>
      <c r="AV1618" s="119">
        <f>IF(tech_base!$T154&gt;AV$1465,"",(tech_base!$J154/tech_proj!AV278*0.086*$N$110)/(1-tech_proj!AV558))</f>
        <v>0</v>
      </c>
      <c r="AW1618" s="119">
        <f>IF(tech_base!$T154&gt;AW$1465,"",(tech_base!$J154/tech_proj!AW278*0.086*$N$110)/(1-tech_proj!AW558))</f>
        <v>0</v>
      </c>
      <c r="AX1618" s="120">
        <f>IF(tech_base!$T154&gt;AX$1465,"",(tech_base!$J154/tech_proj!AX278*0.086*$N$110)/(1-tech_proj!AX558))</f>
        <v>0</v>
      </c>
    </row>
    <row r="1619" spans="1:50" x14ac:dyDescent="0.25">
      <c r="A1619" s="356"/>
      <c r="B1619" s="376"/>
      <c r="C1619" s="378"/>
      <c r="D1619" s="2" t="s">
        <v>10</v>
      </c>
      <c r="E1619" s="160" t="str">
        <f>A1605&amp;"/"&amp;B1613&amp;"/"&amp;C1617&amp;"/"&amp;D1619</f>
        <v>Diesel oil fired power plants/Gas turbine /CHP/S</v>
      </c>
      <c r="F1619" s="76" t="str">
        <f>A1605</f>
        <v>Diesel oil fired power plants</v>
      </c>
      <c r="G1619" s="76" t="str">
        <f>B1613</f>
        <v xml:space="preserve">Gas turbine </v>
      </c>
      <c r="H1619" s="76" t="str">
        <f>C1617</f>
        <v>CHP</v>
      </c>
      <c r="I1619" s="161" t="str">
        <f t="shared" si="379"/>
        <v>S</v>
      </c>
      <c r="J1619" s="119">
        <f>IF(tech_base!$T155&gt;J$1465,"",(tech_base!$J155/tech_proj!J279*0.086*$N$110)/(1-tech_proj!J559))</f>
        <v>0</v>
      </c>
      <c r="K1619" s="119">
        <f>IF(tech_base!$T155&gt;K$1465,"",(tech_base!$J155/tech_proj!K279*0.086*$N$110)/(1-tech_proj!K559))</f>
        <v>0</v>
      </c>
      <c r="L1619" s="119">
        <f>IF(tech_base!$T155&gt;L$1465,"",(tech_base!$J155/tech_proj!L279*0.086*$N$110)/(1-tech_proj!L559))</f>
        <v>0</v>
      </c>
      <c r="M1619" s="119">
        <f>IF(tech_base!$T155&gt;M$1465,"",(tech_base!$J155/tech_proj!M279*0.086*$N$110)/(1-tech_proj!M559))</f>
        <v>0</v>
      </c>
      <c r="N1619" s="119">
        <f>IF(tech_base!$T155&gt;N$1465,"",(tech_base!$J155/tech_proj!N279*0.086*$N$110)/(1-tech_proj!N559))</f>
        <v>0</v>
      </c>
      <c r="O1619" s="119">
        <f>IF(tech_base!$T155&gt;O$1465,"",(tech_base!$J155/tech_proj!O279*0.086*$N$110)/(1-tech_proj!O559))</f>
        <v>0</v>
      </c>
      <c r="P1619" s="119">
        <f>IF(tech_base!$T155&gt;P$1465,"",(tech_base!$J155/tech_proj!P279*0.086*$N$110)/(1-tech_proj!P559))</f>
        <v>0</v>
      </c>
      <c r="Q1619" s="119">
        <f>IF(tech_base!$T155&gt;Q$1465,"",(tech_base!$J155/tech_proj!Q279*0.086*$N$110)/(1-tech_proj!Q559))</f>
        <v>0</v>
      </c>
      <c r="R1619" s="119">
        <f>IF(tech_base!$T155&gt;R$1465,"",(tech_base!$J155/tech_proj!R279*0.086*$N$110)/(1-tech_proj!R559))</f>
        <v>0</v>
      </c>
      <c r="S1619" s="119">
        <f>IF(tech_base!$T155&gt;S$1465,"",(tech_base!$J155/tech_proj!S279*0.086*$N$110)/(1-tech_proj!S559))</f>
        <v>0</v>
      </c>
      <c r="T1619" s="119">
        <f>IF(tech_base!$T155&gt;T$1465,"",(tech_base!$J155/tech_proj!T279*0.086*$N$110)/(1-tech_proj!T559))</f>
        <v>0</v>
      </c>
      <c r="U1619" s="119">
        <f>IF(tech_base!$T155&gt;U$1465,"",(tech_base!$J155/tech_proj!U279*0.086*$N$110)/(1-tech_proj!U559))</f>
        <v>0</v>
      </c>
      <c r="V1619" s="119">
        <f>IF(tech_base!$T155&gt;V$1465,"",(tech_base!$J155/tech_proj!V279*0.086*$N$110)/(1-tech_proj!V559))</f>
        <v>0</v>
      </c>
      <c r="W1619" s="119">
        <f>IF(tech_base!$T155&gt;W$1465,"",(tech_base!$J155/tech_proj!W279*0.086*$N$110)/(1-tech_proj!W559))</f>
        <v>0</v>
      </c>
      <c r="X1619" s="119">
        <f>IF(tech_base!$T155&gt;X$1465,"",(tech_base!$J155/tech_proj!X279*0.086*$N$110)/(1-tech_proj!X559))</f>
        <v>0</v>
      </c>
      <c r="Y1619" s="119">
        <f>IF(tech_base!$T155&gt;Y$1465,"",(tech_base!$J155/tech_proj!Y279*0.086*$N$110)/(1-tech_proj!Y559))</f>
        <v>0</v>
      </c>
      <c r="Z1619" s="119">
        <f>IF(tech_base!$T155&gt;Z$1465,"",(tech_base!$J155/tech_proj!Z279*0.086*$N$110)/(1-tech_proj!Z559))</f>
        <v>0</v>
      </c>
      <c r="AA1619" s="119">
        <f>IF(tech_base!$T155&gt;AA$1465,"",(tech_base!$J155/tech_proj!AA279*0.086*$N$110)/(1-tech_proj!AA559))</f>
        <v>0</v>
      </c>
      <c r="AB1619" s="119">
        <f>IF(tech_base!$T155&gt;AB$1465,"",(tech_base!$J155/tech_proj!AB279*0.086*$N$110)/(1-tech_proj!AB559))</f>
        <v>0</v>
      </c>
      <c r="AC1619" s="119">
        <f>IF(tech_base!$T155&gt;AC$1465,"",(tech_base!$J155/tech_proj!AC279*0.086*$N$110)/(1-tech_proj!AC559))</f>
        <v>0</v>
      </c>
      <c r="AD1619" s="119">
        <f>IF(tech_base!$T155&gt;AD$1465,"",(tech_base!$J155/tech_proj!AD279*0.086*$N$110)/(1-tech_proj!AD559))</f>
        <v>0</v>
      </c>
      <c r="AE1619" s="119">
        <f>IF(tech_base!$T155&gt;AE$1465,"",(tech_base!$J155/tech_proj!AE279*0.086*$N$110)/(1-tech_proj!AE559))</f>
        <v>0</v>
      </c>
      <c r="AF1619" s="119">
        <f>IF(tech_base!$T155&gt;AF$1465,"",(tech_base!$J155/tech_proj!AF279*0.086*$N$110)/(1-tech_proj!AF559))</f>
        <v>0</v>
      </c>
      <c r="AG1619" s="119">
        <f>IF(tech_base!$T155&gt;AG$1465,"",(tech_base!$J155/tech_proj!AG279*0.086*$N$110)/(1-tech_proj!AG559))</f>
        <v>0</v>
      </c>
      <c r="AH1619" s="119">
        <f>IF(tech_base!$T155&gt;AH$1465,"",(tech_base!$J155/tech_proj!AH279*0.086*$N$110)/(1-tech_proj!AH559))</f>
        <v>0</v>
      </c>
      <c r="AI1619" s="119">
        <f>IF(tech_base!$T155&gt;AI$1465,"",(tech_base!$J155/tech_proj!AI279*0.086*$N$110)/(1-tech_proj!AI559))</f>
        <v>0</v>
      </c>
      <c r="AJ1619" s="119">
        <f>IF(tech_base!$T155&gt;AJ$1465,"",(tech_base!$J155/tech_proj!AJ279*0.086*$N$110)/(1-tech_proj!AJ559))</f>
        <v>0</v>
      </c>
      <c r="AK1619" s="119">
        <f>IF(tech_base!$T155&gt;AK$1465,"",(tech_base!$J155/tech_proj!AK279*0.086*$N$110)/(1-tech_proj!AK559))</f>
        <v>0</v>
      </c>
      <c r="AL1619" s="119">
        <f>IF(tech_base!$T155&gt;AL$1465,"",(tech_base!$J155/tech_proj!AL279*0.086*$N$110)/(1-tech_proj!AL559))</f>
        <v>0</v>
      </c>
      <c r="AM1619" s="119">
        <f>IF(tech_base!$T155&gt;AM$1465,"",(tech_base!$J155/tech_proj!AM279*0.086*$N$110)/(1-tech_proj!AM559))</f>
        <v>0</v>
      </c>
      <c r="AN1619" s="119">
        <f>IF(tech_base!$T155&gt;AN$1465,"",(tech_base!$J155/tech_proj!AN279*0.086*$N$110)/(1-tech_proj!AN559))</f>
        <v>0</v>
      </c>
      <c r="AO1619" s="119">
        <f>IF(tech_base!$T155&gt;AO$1465,"",(tech_base!$J155/tech_proj!AO279*0.086*$N$110)/(1-tech_proj!AO559))</f>
        <v>0</v>
      </c>
      <c r="AP1619" s="119">
        <f>IF(tech_base!$T155&gt;AP$1465,"",(tech_base!$J155/tech_proj!AP279*0.086*$N$110)/(1-tech_proj!AP559))</f>
        <v>0</v>
      </c>
      <c r="AQ1619" s="119">
        <f>IF(tech_base!$T155&gt;AQ$1465,"",(tech_base!$J155/tech_proj!AQ279*0.086*$N$110)/(1-tech_proj!AQ559))</f>
        <v>0</v>
      </c>
      <c r="AR1619" s="119">
        <f>IF(tech_base!$T155&gt;AR$1465,"",(tech_base!$J155/tech_proj!AR279*0.086*$N$110)/(1-tech_proj!AR559))</f>
        <v>0</v>
      </c>
      <c r="AS1619" s="119">
        <f>IF(tech_base!$T155&gt;AS$1465,"",(tech_base!$J155/tech_proj!AS279*0.086*$N$110)/(1-tech_proj!AS559))</f>
        <v>0</v>
      </c>
      <c r="AT1619" s="119">
        <f>IF(tech_base!$T155&gt;AT$1465,"",(tech_base!$J155/tech_proj!AT279*0.086*$N$110)/(1-tech_proj!AT559))</f>
        <v>0</v>
      </c>
      <c r="AU1619" s="119">
        <f>IF(tech_base!$T155&gt;AU$1465,"",(tech_base!$J155/tech_proj!AU279*0.086*$N$110)/(1-tech_proj!AU559))</f>
        <v>0</v>
      </c>
      <c r="AV1619" s="119">
        <f>IF(tech_base!$T155&gt;AV$1465,"",(tech_base!$J155/tech_proj!AV279*0.086*$N$110)/(1-tech_proj!AV559))</f>
        <v>0</v>
      </c>
      <c r="AW1619" s="119">
        <f>IF(tech_base!$T155&gt;AW$1465,"",(tech_base!$J155/tech_proj!AW279*0.086*$N$110)/(1-tech_proj!AW559))</f>
        <v>0</v>
      </c>
      <c r="AX1619" s="120">
        <f>IF(tech_base!$T155&gt;AX$1465,"",(tech_base!$J155/tech_proj!AX279*0.086*$N$110)/(1-tech_proj!AX559))</f>
        <v>0</v>
      </c>
    </row>
    <row r="1620" spans="1:50" x14ac:dyDescent="0.25">
      <c r="A1620" s="356"/>
      <c r="B1620" s="376"/>
      <c r="C1620" s="379"/>
      <c r="D1620" s="59" t="s">
        <v>20</v>
      </c>
      <c r="E1620" s="166" t="str">
        <f>A1605&amp;"/"&amp;B1613&amp;"/"&amp;C1617&amp;"/"&amp;D1620</f>
        <v>Diesel oil fired power plants/Gas turbine /CHP/XS</v>
      </c>
      <c r="F1620" s="79" t="str">
        <f>A1605</f>
        <v>Diesel oil fired power plants</v>
      </c>
      <c r="G1620" s="79" t="str">
        <f>B1613</f>
        <v xml:space="preserve">Gas turbine </v>
      </c>
      <c r="H1620" s="79" t="str">
        <f>C1617</f>
        <v>CHP</v>
      </c>
      <c r="I1620" s="167" t="str">
        <f t="shared" si="379"/>
        <v>XS</v>
      </c>
      <c r="J1620" s="125">
        <f>IF(tech_base!$T156&gt;J$1465,"",(tech_base!$J156/tech_proj!J280*0.086*$N$110)/(1-tech_proj!J560))</f>
        <v>0</v>
      </c>
      <c r="K1620" s="125">
        <f>IF(tech_base!$T156&gt;K$1465,"",(tech_base!$J156/tech_proj!K280*0.086*$N$110)/(1-tech_proj!K560))</f>
        <v>0</v>
      </c>
      <c r="L1620" s="125">
        <f>IF(tech_base!$T156&gt;L$1465,"",(tech_base!$J156/tech_proj!L280*0.086*$N$110)/(1-tech_proj!L560))</f>
        <v>0</v>
      </c>
      <c r="M1620" s="125">
        <f>IF(tech_base!$T156&gt;M$1465,"",(tech_base!$J156/tech_proj!M280*0.086*$N$110)/(1-tech_proj!M560))</f>
        <v>0</v>
      </c>
      <c r="N1620" s="125">
        <f>IF(tech_base!$T156&gt;N$1465,"",(tech_base!$J156/tech_proj!N280*0.086*$N$110)/(1-tech_proj!N560))</f>
        <v>0</v>
      </c>
      <c r="O1620" s="125">
        <f>IF(tech_base!$T156&gt;O$1465,"",(tech_base!$J156/tech_proj!O280*0.086*$N$110)/(1-tech_proj!O560))</f>
        <v>0</v>
      </c>
      <c r="P1620" s="125">
        <f>IF(tech_base!$T156&gt;P$1465,"",(tech_base!$J156/tech_proj!P280*0.086*$N$110)/(1-tech_proj!P560))</f>
        <v>0</v>
      </c>
      <c r="Q1620" s="125">
        <f>IF(tech_base!$T156&gt;Q$1465,"",(tech_base!$J156/tech_proj!Q280*0.086*$N$110)/(1-tech_proj!Q560))</f>
        <v>0</v>
      </c>
      <c r="R1620" s="125">
        <f>IF(tech_base!$T156&gt;R$1465,"",(tech_base!$J156/tech_proj!R280*0.086*$N$110)/(1-tech_proj!R560))</f>
        <v>0</v>
      </c>
      <c r="S1620" s="125">
        <f>IF(tech_base!$T156&gt;S$1465,"",(tech_base!$J156/tech_proj!S280*0.086*$N$110)/(1-tech_proj!S560))</f>
        <v>0</v>
      </c>
      <c r="T1620" s="125">
        <f>IF(tech_base!$T156&gt;T$1465,"",(tech_base!$J156/tech_proj!T280*0.086*$N$110)/(1-tech_proj!T560))</f>
        <v>0</v>
      </c>
      <c r="U1620" s="125">
        <f>IF(tech_base!$T156&gt;U$1465,"",(tech_base!$J156/tech_proj!U280*0.086*$N$110)/(1-tech_proj!U560))</f>
        <v>0</v>
      </c>
      <c r="V1620" s="125">
        <f>IF(tech_base!$T156&gt;V$1465,"",(tech_base!$J156/tech_proj!V280*0.086*$N$110)/(1-tech_proj!V560))</f>
        <v>0</v>
      </c>
      <c r="W1620" s="125">
        <f>IF(tech_base!$T156&gt;W$1465,"",(tech_base!$J156/tech_proj!W280*0.086*$N$110)/(1-tech_proj!W560))</f>
        <v>0</v>
      </c>
      <c r="X1620" s="125">
        <f>IF(tech_base!$T156&gt;X$1465,"",(tech_base!$J156/tech_proj!X280*0.086*$N$110)/(1-tech_proj!X560))</f>
        <v>0</v>
      </c>
      <c r="Y1620" s="125">
        <f>IF(tech_base!$T156&gt;Y$1465,"",(tech_base!$J156/tech_proj!Y280*0.086*$N$110)/(1-tech_proj!Y560))</f>
        <v>0</v>
      </c>
      <c r="Z1620" s="125">
        <f>IF(tech_base!$T156&gt;Z$1465,"",(tech_base!$J156/tech_proj!Z280*0.086*$N$110)/(1-tech_proj!Z560))</f>
        <v>0</v>
      </c>
      <c r="AA1620" s="125">
        <f>IF(tech_base!$T156&gt;AA$1465,"",(tech_base!$J156/tech_proj!AA280*0.086*$N$110)/(1-tech_proj!AA560))</f>
        <v>0</v>
      </c>
      <c r="AB1620" s="125">
        <f>IF(tech_base!$T156&gt;AB$1465,"",(tech_base!$J156/tech_proj!AB280*0.086*$N$110)/(1-tech_proj!AB560))</f>
        <v>0</v>
      </c>
      <c r="AC1620" s="125">
        <f>IF(tech_base!$T156&gt;AC$1465,"",(tech_base!$J156/tech_proj!AC280*0.086*$N$110)/(1-tech_proj!AC560))</f>
        <v>0</v>
      </c>
      <c r="AD1620" s="125">
        <f>IF(tech_base!$T156&gt;AD$1465,"",(tech_base!$J156/tech_proj!AD280*0.086*$N$110)/(1-tech_proj!AD560))</f>
        <v>0</v>
      </c>
      <c r="AE1620" s="125">
        <f>IF(tech_base!$T156&gt;AE$1465,"",(tech_base!$J156/tech_proj!AE280*0.086*$N$110)/(1-tech_proj!AE560))</f>
        <v>0</v>
      </c>
      <c r="AF1620" s="125">
        <f>IF(tech_base!$T156&gt;AF$1465,"",(tech_base!$J156/tech_proj!AF280*0.086*$N$110)/(1-tech_proj!AF560))</f>
        <v>0</v>
      </c>
      <c r="AG1620" s="125">
        <f>IF(tech_base!$T156&gt;AG$1465,"",(tech_base!$J156/tech_proj!AG280*0.086*$N$110)/(1-tech_proj!AG560))</f>
        <v>0</v>
      </c>
      <c r="AH1620" s="125">
        <f>IF(tech_base!$T156&gt;AH$1465,"",(tech_base!$J156/tech_proj!AH280*0.086*$N$110)/(1-tech_proj!AH560))</f>
        <v>0</v>
      </c>
      <c r="AI1620" s="125">
        <f>IF(tech_base!$T156&gt;AI$1465,"",(tech_base!$J156/tech_proj!AI280*0.086*$N$110)/(1-tech_proj!AI560))</f>
        <v>0</v>
      </c>
      <c r="AJ1620" s="125">
        <f>IF(tech_base!$T156&gt;AJ$1465,"",(tech_base!$J156/tech_proj!AJ280*0.086*$N$110)/(1-tech_proj!AJ560))</f>
        <v>0</v>
      </c>
      <c r="AK1620" s="125">
        <f>IF(tech_base!$T156&gt;AK$1465,"",(tech_base!$J156/tech_proj!AK280*0.086*$N$110)/(1-tech_proj!AK560))</f>
        <v>0</v>
      </c>
      <c r="AL1620" s="125">
        <f>IF(tech_base!$T156&gt;AL$1465,"",(tech_base!$J156/tech_proj!AL280*0.086*$N$110)/(1-tech_proj!AL560))</f>
        <v>0</v>
      </c>
      <c r="AM1620" s="125">
        <f>IF(tech_base!$T156&gt;AM$1465,"",(tech_base!$J156/tech_proj!AM280*0.086*$N$110)/(1-tech_proj!AM560))</f>
        <v>0</v>
      </c>
      <c r="AN1620" s="125">
        <f>IF(tech_base!$T156&gt;AN$1465,"",(tech_base!$J156/tech_proj!AN280*0.086*$N$110)/(1-tech_proj!AN560))</f>
        <v>0</v>
      </c>
      <c r="AO1620" s="125">
        <f>IF(tech_base!$T156&gt;AO$1465,"",(tech_base!$J156/tech_proj!AO280*0.086*$N$110)/(1-tech_proj!AO560))</f>
        <v>0</v>
      </c>
      <c r="AP1620" s="125">
        <f>IF(tech_base!$T156&gt;AP$1465,"",(tech_base!$J156/tech_proj!AP280*0.086*$N$110)/(1-tech_proj!AP560))</f>
        <v>0</v>
      </c>
      <c r="AQ1620" s="125">
        <f>IF(tech_base!$T156&gt;AQ$1465,"",(tech_base!$J156/tech_proj!AQ280*0.086*$N$110)/(1-tech_proj!AQ560))</f>
        <v>0</v>
      </c>
      <c r="AR1620" s="125">
        <f>IF(tech_base!$T156&gt;AR$1465,"",(tech_base!$J156/tech_proj!AR280*0.086*$N$110)/(1-tech_proj!AR560))</f>
        <v>0</v>
      </c>
      <c r="AS1620" s="125">
        <f>IF(tech_base!$T156&gt;AS$1465,"",(tech_base!$J156/tech_proj!AS280*0.086*$N$110)/(1-tech_proj!AS560))</f>
        <v>0</v>
      </c>
      <c r="AT1620" s="125">
        <f>IF(tech_base!$T156&gt;AT$1465,"",(tech_base!$J156/tech_proj!AT280*0.086*$N$110)/(1-tech_proj!AT560))</f>
        <v>0</v>
      </c>
      <c r="AU1620" s="125">
        <f>IF(tech_base!$T156&gt;AU$1465,"",(tech_base!$J156/tech_proj!AU280*0.086*$N$110)/(1-tech_proj!AU560))</f>
        <v>0</v>
      </c>
      <c r="AV1620" s="125">
        <f>IF(tech_base!$T156&gt;AV$1465,"",(tech_base!$J156/tech_proj!AV280*0.086*$N$110)/(1-tech_proj!AV560))</f>
        <v>0</v>
      </c>
      <c r="AW1620" s="125">
        <f>IF(tech_base!$T156&gt;AW$1465,"",(tech_base!$J156/tech_proj!AW280*0.086*$N$110)/(1-tech_proj!AW560))</f>
        <v>0</v>
      </c>
      <c r="AX1620" s="126">
        <f>IF(tech_base!$T156&gt;AX$1465,"",(tech_base!$J156/tech_proj!AX280*0.086*$N$110)/(1-tech_proj!AX560))</f>
        <v>0</v>
      </c>
    </row>
    <row r="1621" spans="1:50" x14ac:dyDescent="0.25">
      <c r="A1621" s="356"/>
      <c r="B1621" s="376"/>
      <c r="C1621" s="361" t="s">
        <v>15</v>
      </c>
      <c r="D1621" s="58" t="s">
        <v>7</v>
      </c>
      <c r="E1621" s="164" t="str">
        <f>A1605&amp;"/"&amp;B1613&amp;"/"&amp;C1621&amp;"/"&amp;D1621</f>
        <v>Diesel oil fired power plants/Gas turbine /Electricity only with CCS/L</v>
      </c>
      <c r="F1621" s="78" t="str">
        <f>A1605</f>
        <v>Diesel oil fired power plants</v>
      </c>
      <c r="G1621" s="78" t="str">
        <f>B1613</f>
        <v xml:space="preserve">Gas turbine </v>
      </c>
      <c r="H1621" s="78" t="str">
        <f>C1621</f>
        <v>Electricity only with CCS</v>
      </c>
      <c r="I1621" s="165" t="str">
        <f t="shared" si="379"/>
        <v>L</v>
      </c>
      <c r="J1621" s="123" t="str">
        <f>IF(tech_base!$T157&gt;J$1465,"",(tech_base!$J157/tech_proj!J281*0.086*$N$110)/(1-tech_proj!J561))</f>
        <v/>
      </c>
      <c r="K1621" s="123" t="str">
        <f>IF(tech_base!$T157&gt;K$1465,"",(tech_base!$J157/tech_proj!K281*0.086*$N$110)/(1-tech_proj!K561))</f>
        <v/>
      </c>
      <c r="L1621" s="123" t="str">
        <f>IF(tech_base!$T157&gt;L$1465,"",(tech_base!$J157/tech_proj!L281*0.086*$N$110)/(1-tech_proj!L561))</f>
        <v/>
      </c>
      <c r="M1621" s="123" t="str">
        <f>IF(tech_base!$T157&gt;M$1465,"",(tech_base!$J157/tech_proj!M281*0.086*$N$110)/(1-tech_proj!M561))</f>
        <v/>
      </c>
      <c r="N1621" s="123" t="str">
        <f>IF(tech_base!$T157&gt;N$1465,"",(tech_base!$J157/tech_proj!N281*0.086*$N$110)/(1-tech_proj!N561))</f>
        <v/>
      </c>
      <c r="O1621" s="123" t="str">
        <f>IF(tech_base!$T157&gt;O$1465,"",(tech_base!$J157/tech_proj!O281*0.086*$N$110)/(1-tech_proj!O561))</f>
        <v/>
      </c>
      <c r="P1621" s="123" t="str">
        <f>IF(tech_base!$T157&gt;P$1465,"",(tech_base!$J157/tech_proj!P281*0.086*$N$110)/(1-tech_proj!P561))</f>
        <v/>
      </c>
      <c r="Q1621" s="123" t="str">
        <f>IF(tech_base!$T157&gt;Q$1465,"",(tech_base!$J157/tech_proj!Q281*0.086*$N$110)/(1-tech_proj!Q561))</f>
        <v/>
      </c>
      <c r="R1621" s="123" t="str">
        <f>IF(tech_base!$T157&gt;R$1465,"",(tech_base!$J157/tech_proj!R281*0.086*$N$110)/(1-tech_proj!R561))</f>
        <v/>
      </c>
      <c r="S1621" s="123" t="str">
        <f>IF(tech_base!$T157&gt;S$1465,"",(tech_base!$J157/tech_proj!S281*0.086*$N$110)/(1-tech_proj!S561))</f>
        <v/>
      </c>
      <c r="T1621" s="123" t="str">
        <f>IF(tech_base!$T157&gt;T$1465,"",(tech_base!$J157/tech_proj!T281*0.086*$N$110)/(1-tech_proj!T561))</f>
        <v/>
      </c>
      <c r="U1621" s="123" t="str">
        <f>IF(tech_base!$T157&gt;U$1465,"",(tech_base!$J157/tech_proj!U281*0.086*$N$110)/(1-tech_proj!U561))</f>
        <v/>
      </c>
      <c r="V1621" s="123" t="str">
        <f>IF(tech_base!$T157&gt;V$1465,"",(tech_base!$J157/tech_proj!V281*0.086*$N$110)/(1-tech_proj!V561))</f>
        <v/>
      </c>
      <c r="W1621" s="123" t="str">
        <f>IF(tech_base!$T157&gt;W$1465,"",(tech_base!$J157/tech_proj!W281*0.086*$N$110)/(1-tech_proj!W561))</f>
        <v/>
      </c>
      <c r="X1621" s="123" t="str">
        <f>IF(tech_base!$T157&gt;X$1465,"",(tech_base!$J157/tech_proj!X281*0.086*$N$110)/(1-tech_proj!X561))</f>
        <v/>
      </c>
      <c r="Y1621" s="123" t="str">
        <f>IF(tech_base!$T157&gt;Y$1465,"",(tech_base!$J157/tech_proj!Y281*0.086*$N$110)/(1-tech_proj!Y561))</f>
        <v/>
      </c>
      <c r="Z1621" s="123" t="str">
        <f>IF(tech_base!$T157&gt;Z$1465,"",(tech_base!$J157/tech_proj!Z281*0.086*$N$110)/(1-tech_proj!Z561))</f>
        <v/>
      </c>
      <c r="AA1621" s="123" t="str">
        <f>IF(tech_base!$T157&gt;AA$1465,"",(tech_base!$J157/tech_proj!AA281*0.086*$N$110)/(1-tech_proj!AA561))</f>
        <v/>
      </c>
      <c r="AB1621" s="123" t="str">
        <f>IF(tech_base!$T157&gt;AB$1465,"",(tech_base!$J157/tech_proj!AB281*0.086*$N$110)/(1-tech_proj!AB561))</f>
        <v/>
      </c>
      <c r="AC1621" s="123" t="str">
        <f>IF(tech_base!$T157&gt;AC$1465,"",(tech_base!$J157/tech_proj!AC281*0.086*$N$110)/(1-tech_proj!AC561))</f>
        <v/>
      </c>
      <c r="AD1621" s="123" t="str">
        <f>IF(tech_base!$T157&gt;AD$1465,"",(tech_base!$J157/tech_proj!AD281*0.086*$N$110)/(1-tech_proj!AD561))</f>
        <v/>
      </c>
      <c r="AE1621" s="123">
        <f>IF(tech_base!$T157&gt;AE$1465,"",(tech_base!$J157/tech_proj!AE281*0.086*$N$110)/(1-tech_proj!AE561))</f>
        <v>0</v>
      </c>
      <c r="AF1621" s="123">
        <f>IF(tech_base!$T157&gt;AF$1465,"",(tech_base!$J157/tech_proj!AF281*0.086*$N$110)/(1-tech_proj!AF561))</f>
        <v>0</v>
      </c>
      <c r="AG1621" s="123">
        <f>IF(tech_base!$T157&gt;AG$1465,"",(tech_base!$J157/tech_proj!AG281*0.086*$N$110)/(1-tech_proj!AG561))</f>
        <v>0</v>
      </c>
      <c r="AH1621" s="123">
        <f>IF(tech_base!$T157&gt;AH$1465,"",(tech_base!$J157/tech_proj!AH281*0.086*$N$110)/(1-tech_proj!AH561))</f>
        <v>0</v>
      </c>
      <c r="AI1621" s="123">
        <f>IF(tech_base!$T157&gt;AI$1465,"",(tech_base!$J157/tech_proj!AI281*0.086*$N$110)/(1-tech_proj!AI561))</f>
        <v>0</v>
      </c>
      <c r="AJ1621" s="123">
        <f>IF(tech_base!$T157&gt;AJ$1465,"",(tech_base!$J157/tech_proj!AJ281*0.086*$N$110)/(1-tech_proj!AJ561))</f>
        <v>0</v>
      </c>
      <c r="AK1621" s="123">
        <f>IF(tech_base!$T157&gt;AK$1465,"",(tech_base!$J157/tech_proj!AK281*0.086*$N$110)/(1-tech_proj!AK561))</f>
        <v>0</v>
      </c>
      <c r="AL1621" s="123">
        <f>IF(tech_base!$T157&gt;AL$1465,"",(tech_base!$J157/tech_proj!AL281*0.086*$N$110)/(1-tech_proj!AL561))</f>
        <v>0</v>
      </c>
      <c r="AM1621" s="123">
        <f>IF(tech_base!$T157&gt;AM$1465,"",(tech_base!$J157/tech_proj!AM281*0.086*$N$110)/(1-tech_proj!AM561))</f>
        <v>0</v>
      </c>
      <c r="AN1621" s="123">
        <f>IF(tech_base!$T157&gt;AN$1465,"",(tech_base!$J157/tech_proj!AN281*0.086*$N$110)/(1-tech_proj!AN561))</f>
        <v>0</v>
      </c>
      <c r="AO1621" s="123">
        <f>IF(tech_base!$T157&gt;AO$1465,"",(tech_base!$J157/tech_proj!AO281*0.086*$N$110)/(1-tech_proj!AO561))</f>
        <v>0</v>
      </c>
      <c r="AP1621" s="123">
        <f>IF(tech_base!$T157&gt;AP$1465,"",(tech_base!$J157/tech_proj!AP281*0.086*$N$110)/(1-tech_proj!AP561))</f>
        <v>0</v>
      </c>
      <c r="AQ1621" s="123">
        <f>IF(tech_base!$T157&gt;AQ$1465,"",(tech_base!$J157/tech_proj!AQ281*0.086*$N$110)/(1-tech_proj!AQ561))</f>
        <v>0</v>
      </c>
      <c r="AR1621" s="123">
        <f>IF(tech_base!$T157&gt;AR$1465,"",(tech_base!$J157/tech_proj!AR281*0.086*$N$110)/(1-tech_proj!AR561))</f>
        <v>0</v>
      </c>
      <c r="AS1621" s="123">
        <f>IF(tech_base!$T157&gt;AS$1465,"",(tech_base!$J157/tech_proj!AS281*0.086*$N$110)/(1-tech_proj!AS561))</f>
        <v>0</v>
      </c>
      <c r="AT1621" s="123">
        <f>IF(tech_base!$T157&gt;AT$1465,"",(tech_base!$J157/tech_proj!AT281*0.086*$N$110)/(1-tech_proj!AT561))</f>
        <v>0</v>
      </c>
      <c r="AU1621" s="123">
        <f>IF(tech_base!$T157&gt;AU$1465,"",(tech_base!$J157/tech_proj!AU281*0.086*$N$110)/(1-tech_proj!AU561))</f>
        <v>0</v>
      </c>
      <c r="AV1621" s="123">
        <f>IF(tech_base!$T157&gt;AV$1465,"",(tech_base!$J157/tech_proj!AV281*0.086*$N$110)/(1-tech_proj!AV561))</f>
        <v>0</v>
      </c>
      <c r="AW1621" s="123">
        <f>IF(tech_base!$T157&gt;AW$1465,"",(tech_base!$J157/tech_proj!AW281*0.086*$N$110)/(1-tech_proj!AW561))</f>
        <v>0</v>
      </c>
      <c r="AX1621" s="124">
        <f>IF(tech_base!$T157&gt;AX$1465,"",(tech_base!$J157/tech_proj!AX281*0.086*$N$110)/(1-tech_proj!AX561))</f>
        <v>0</v>
      </c>
    </row>
    <row r="1622" spans="1:50" x14ac:dyDescent="0.25">
      <c r="A1622" s="356"/>
      <c r="B1622" s="376"/>
      <c r="C1622" s="379"/>
      <c r="D1622" s="59" t="s">
        <v>8</v>
      </c>
      <c r="E1622" s="166" t="str">
        <f>A1605&amp;"/"&amp;B1613&amp;"/"&amp;C1621&amp;"/"&amp;D1622</f>
        <v>Diesel oil fired power plants/Gas turbine /Electricity only with CCS/M</v>
      </c>
      <c r="F1622" s="79" t="str">
        <f>A1605</f>
        <v>Diesel oil fired power plants</v>
      </c>
      <c r="G1622" s="79" t="str">
        <f>B1613</f>
        <v xml:space="preserve">Gas turbine </v>
      </c>
      <c r="H1622" s="79" t="str">
        <f>C1621</f>
        <v>Electricity only with CCS</v>
      </c>
      <c r="I1622" s="167" t="str">
        <f t="shared" si="379"/>
        <v>M</v>
      </c>
      <c r="J1622" s="125" t="str">
        <f>IF(tech_base!$T158&gt;J$1465,"",(tech_base!$J158/tech_proj!J282*0.086*$N$110)/(1-tech_proj!J562))</f>
        <v/>
      </c>
      <c r="K1622" s="125" t="str">
        <f>IF(tech_base!$T158&gt;K$1465,"",(tech_base!$J158/tech_proj!K282*0.086*$N$110)/(1-tech_proj!K562))</f>
        <v/>
      </c>
      <c r="L1622" s="125" t="str">
        <f>IF(tech_base!$T158&gt;L$1465,"",(tech_base!$J158/tech_proj!L282*0.086*$N$110)/(1-tech_proj!L562))</f>
        <v/>
      </c>
      <c r="M1622" s="125" t="str">
        <f>IF(tech_base!$T158&gt;M$1465,"",(tech_base!$J158/tech_proj!M282*0.086*$N$110)/(1-tech_proj!M562))</f>
        <v/>
      </c>
      <c r="N1622" s="125" t="str">
        <f>IF(tech_base!$T158&gt;N$1465,"",(tech_base!$J158/tech_proj!N282*0.086*$N$110)/(1-tech_proj!N562))</f>
        <v/>
      </c>
      <c r="O1622" s="125" t="str">
        <f>IF(tech_base!$T158&gt;O$1465,"",(tech_base!$J158/tech_proj!O282*0.086*$N$110)/(1-tech_proj!O562))</f>
        <v/>
      </c>
      <c r="P1622" s="125" t="str">
        <f>IF(tech_base!$T158&gt;P$1465,"",(tech_base!$J158/tech_proj!P282*0.086*$N$110)/(1-tech_proj!P562))</f>
        <v/>
      </c>
      <c r="Q1622" s="125" t="str">
        <f>IF(tech_base!$T158&gt;Q$1465,"",(tech_base!$J158/tech_proj!Q282*0.086*$N$110)/(1-tech_proj!Q562))</f>
        <v/>
      </c>
      <c r="R1622" s="125" t="str">
        <f>IF(tech_base!$T158&gt;R$1465,"",(tech_base!$J158/tech_proj!R282*0.086*$N$110)/(1-tech_proj!R562))</f>
        <v/>
      </c>
      <c r="S1622" s="125" t="str">
        <f>IF(tech_base!$T158&gt;S$1465,"",(tech_base!$J158/tech_proj!S282*0.086*$N$110)/(1-tech_proj!S562))</f>
        <v/>
      </c>
      <c r="T1622" s="125" t="str">
        <f>IF(tech_base!$T158&gt;T$1465,"",(tech_base!$J158/tech_proj!T282*0.086*$N$110)/(1-tech_proj!T562))</f>
        <v/>
      </c>
      <c r="U1622" s="125" t="str">
        <f>IF(tech_base!$T158&gt;U$1465,"",(tech_base!$J158/tech_proj!U282*0.086*$N$110)/(1-tech_proj!U562))</f>
        <v/>
      </c>
      <c r="V1622" s="125" t="str">
        <f>IF(tech_base!$T158&gt;V$1465,"",(tech_base!$J158/tech_proj!V282*0.086*$N$110)/(1-tech_proj!V562))</f>
        <v/>
      </c>
      <c r="W1622" s="125" t="str">
        <f>IF(tech_base!$T158&gt;W$1465,"",(tech_base!$J158/tech_proj!W282*0.086*$N$110)/(1-tech_proj!W562))</f>
        <v/>
      </c>
      <c r="X1622" s="125" t="str">
        <f>IF(tech_base!$T158&gt;X$1465,"",(tech_base!$J158/tech_proj!X282*0.086*$N$110)/(1-tech_proj!X562))</f>
        <v/>
      </c>
      <c r="Y1622" s="125" t="str">
        <f>IF(tech_base!$T158&gt;Y$1465,"",(tech_base!$J158/tech_proj!Y282*0.086*$N$110)/(1-tech_proj!Y562))</f>
        <v/>
      </c>
      <c r="Z1622" s="125" t="str">
        <f>IF(tech_base!$T158&gt;Z$1465,"",(tech_base!$J158/tech_proj!Z282*0.086*$N$110)/(1-tech_proj!Z562))</f>
        <v/>
      </c>
      <c r="AA1622" s="125" t="str">
        <f>IF(tech_base!$T158&gt;AA$1465,"",(tech_base!$J158/tech_proj!AA282*0.086*$N$110)/(1-tech_proj!AA562))</f>
        <v/>
      </c>
      <c r="AB1622" s="125" t="str">
        <f>IF(tech_base!$T158&gt;AB$1465,"",(tech_base!$J158/tech_proj!AB282*0.086*$N$110)/(1-tech_proj!AB562))</f>
        <v/>
      </c>
      <c r="AC1622" s="125" t="str">
        <f>IF(tech_base!$T158&gt;AC$1465,"",(tech_base!$J158/tech_proj!AC282*0.086*$N$110)/(1-tech_proj!AC562))</f>
        <v/>
      </c>
      <c r="AD1622" s="125" t="str">
        <f>IF(tech_base!$T158&gt;AD$1465,"",(tech_base!$J158/tech_proj!AD282*0.086*$N$110)/(1-tech_proj!AD562))</f>
        <v/>
      </c>
      <c r="AE1622" s="125">
        <f>IF(tech_base!$T158&gt;AE$1465,"",(tech_base!$J158/tech_proj!AE282*0.086*$N$110)/(1-tech_proj!AE562))</f>
        <v>0</v>
      </c>
      <c r="AF1622" s="125">
        <f>IF(tech_base!$T158&gt;AF$1465,"",(tech_base!$J158/tech_proj!AF282*0.086*$N$110)/(1-tech_proj!AF562))</f>
        <v>0</v>
      </c>
      <c r="AG1622" s="125">
        <f>IF(tech_base!$T158&gt;AG$1465,"",(tech_base!$J158/tech_proj!AG282*0.086*$N$110)/(1-tech_proj!AG562))</f>
        <v>0</v>
      </c>
      <c r="AH1622" s="125">
        <f>IF(tech_base!$T158&gt;AH$1465,"",(tech_base!$J158/tech_proj!AH282*0.086*$N$110)/(1-tech_proj!AH562))</f>
        <v>0</v>
      </c>
      <c r="AI1622" s="125">
        <f>IF(tech_base!$T158&gt;AI$1465,"",(tech_base!$J158/tech_proj!AI282*0.086*$N$110)/(1-tech_proj!AI562))</f>
        <v>0</v>
      </c>
      <c r="AJ1622" s="125">
        <f>IF(tech_base!$T158&gt;AJ$1465,"",(tech_base!$J158/tech_proj!AJ282*0.086*$N$110)/(1-tech_proj!AJ562))</f>
        <v>0</v>
      </c>
      <c r="AK1622" s="125">
        <f>IF(tech_base!$T158&gt;AK$1465,"",(tech_base!$J158/tech_proj!AK282*0.086*$N$110)/(1-tech_proj!AK562))</f>
        <v>0</v>
      </c>
      <c r="AL1622" s="125">
        <f>IF(tech_base!$T158&gt;AL$1465,"",(tech_base!$J158/tech_proj!AL282*0.086*$N$110)/(1-tech_proj!AL562))</f>
        <v>0</v>
      </c>
      <c r="AM1622" s="125">
        <f>IF(tech_base!$T158&gt;AM$1465,"",(tech_base!$J158/tech_proj!AM282*0.086*$N$110)/(1-tech_proj!AM562))</f>
        <v>0</v>
      </c>
      <c r="AN1622" s="125">
        <f>IF(tech_base!$T158&gt;AN$1465,"",(tech_base!$J158/tech_proj!AN282*0.086*$N$110)/(1-tech_proj!AN562))</f>
        <v>0</v>
      </c>
      <c r="AO1622" s="125">
        <f>IF(tech_base!$T158&gt;AO$1465,"",(tech_base!$J158/tech_proj!AO282*0.086*$N$110)/(1-tech_proj!AO562))</f>
        <v>0</v>
      </c>
      <c r="AP1622" s="125">
        <f>IF(tech_base!$T158&gt;AP$1465,"",(tech_base!$J158/tech_proj!AP282*0.086*$N$110)/(1-tech_proj!AP562))</f>
        <v>0</v>
      </c>
      <c r="AQ1622" s="125">
        <f>IF(tech_base!$T158&gt;AQ$1465,"",(tech_base!$J158/tech_proj!AQ282*0.086*$N$110)/(1-tech_proj!AQ562))</f>
        <v>0</v>
      </c>
      <c r="AR1622" s="125">
        <f>IF(tech_base!$T158&gt;AR$1465,"",(tech_base!$J158/tech_proj!AR282*0.086*$N$110)/(1-tech_proj!AR562))</f>
        <v>0</v>
      </c>
      <c r="AS1622" s="125">
        <f>IF(tech_base!$T158&gt;AS$1465,"",(tech_base!$J158/tech_proj!AS282*0.086*$N$110)/(1-tech_proj!AS562))</f>
        <v>0</v>
      </c>
      <c r="AT1622" s="125">
        <f>IF(tech_base!$T158&gt;AT$1465,"",(tech_base!$J158/tech_proj!AT282*0.086*$N$110)/(1-tech_proj!AT562))</f>
        <v>0</v>
      </c>
      <c r="AU1622" s="125">
        <f>IF(tech_base!$T158&gt;AU$1465,"",(tech_base!$J158/tech_proj!AU282*0.086*$N$110)/(1-tech_proj!AU562))</f>
        <v>0</v>
      </c>
      <c r="AV1622" s="125">
        <f>IF(tech_base!$T158&gt;AV$1465,"",(tech_base!$J158/tech_proj!AV282*0.086*$N$110)/(1-tech_proj!AV562))</f>
        <v>0</v>
      </c>
      <c r="AW1622" s="125">
        <f>IF(tech_base!$T158&gt;AW$1465,"",(tech_base!$J158/tech_proj!AW282*0.086*$N$110)/(1-tech_proj!AW562))</f>
        <v>0</v>
      </c>
      <c r="AX1622" s="126">
        <f>IF(tech_base!$T158&gt;AX$1465,"",(tech_base!$J158/tech_proj!AX282*0.086*$N$110)/(1-tech_proj!AX562))</f>
        <v>0</v>
      </c>
    </row>
    <row r="1623" spans="1:50" x14ac:dyDescent="0.25">
      <c r="A1623" s="356"/>
      <c r="B1623" s="376"/>
      <c r="C1623" s="361" t="s">
        <v>16</v>
      </c>
      <c r="D1623" s="2" t="s">
        <v>7</v>
      </c>
      <c r="E1623" s="160" t="str">
        <f>A1605&amp;"/"&amp;B1613&amp;"/"&amp;C1623&amp;"/"&amp;D1623</f>
        <v>Diesel oil fired power plants/Gas turbine /CHP with CCS/L</v>
      </c>
      <c r="F1623" s="76" t="str">
        <f>A1605</f>
        <v>Diesel oil fired power plants</v>
      </c>
      <c r="G1623" s="76" t="str">
        <f>B1613</f>
        <v xml:space="preserve">Gas turbine </v>
      </c>
      <c r="H1623" s="76" t="str">
        <f>C1623</f>
        <v>CHP with CCS</v>
      </c>
      <c r="I1623" s="161" t="str">
        <f t="shared" si="379"/>
        <v>L</v>
      </c>
      <c r="J1623" s="119" t="str">
        <f>IF(tech_base!$T159&gt;J$1465,"",(tech_base!$J159/tech_proj!J283*0.086*$N$110)/(1-tech_proj!J563))</f>
        <v/>
      </c>
      <c r="K1623" s="119" t="str">
        <f>IF(tech_base!$T159&gt;K$1465,"",(tech_base!$J159/tech_proj!K283*0.086*$N$110)/(1-tech_proj!K563))</f>
        <v/>
      </c>
      <c r="L1623" s="119" t="str">
        <f>IF(tech_base!$T159&gt;L$1465,"",(tech_base!$J159/tech_proj!L283*0.086*$N$110)/(1-tech_proj!L563))</f>
        <v/>
      </c>
      <c r="M1623" s="119" t="str">
        <f>IF(tech_base!$T159&gt;M$1465,"",(tech_base!$J159/tech_proj!M283*0.086*$N$110)/(1-tech_proj!M563))</f>
        <v/>
      </c>
      <c r="N1623" s="119" t="str">
        <f>IF(tech_base!$T159&gt;N$1465,"",(tech_base!$J159/tech_proj!N283*0.086*$N$110)/(1-tech_proj!N563))</f>
        <v/>
      </c>
      <c r="O1623" s="119" t="str">
        <f>IF(tech_base!$T159&gt;O$1465,"",(tech_base!$J159/tech_proj!O283*0.086*$N$110)/(1-tech_proj!O563))</f>
        <v/>
      </c>
      <c r="P1623" s="119" t="str">
        <f>IF(tech_base!$T159&gt;P$1465,"",(tech_base!$J159/tech_proj!P283*0.086*$N$110)/(1-tech_proj!P563))</f>
        <v/>
      </c>
      <c r="Q1623" s="119" t="str">
        <f>IF(tech_base!$T159&gt;Q$1465,"",(tech_base!$J159/tech_proj!Q283*0.086*$N$110)/(1-tech_proj!Q563))</f>
        <v/>
      </c>
      <c r="R1623" s="119" t="str">
        <f>IF(tech_base!$T159&gt;R$1465,"",(tech_base!$J159/tech_proj!R283*0.086*$N$110)/(1-tech_proj!R563))</f>
        <v/>
      </c>
      <c r="S1623" s="119" t="str">
        <f>IF(tech_base!$T159&gt;S$1465,"",(tech_base!$J159/tech_proj!S283*0.086*$N$110)/(1-tech_proj!S563))</f>
        <v/>
      </c>
      <c r="T1623" s="119" t="str">
        <f>IF(tech_base!$T159&gt;T$1465,"",(tech_base!$J159/tech_proj!T283*0.086*$N$110)/(1-tech_proj!T563))</f>
        <v/>
      </c>
      <c r="U1623" s="119" t="str">
        <f>IF(tech_base!$T159&gt;U$1465,"",(tech_base!$J159/tech_proj!U283*0.086*$N$110)/(1-tech_proj!U563))</f>
        <v/>
      </c>
      <c r="V1623" s="119" t="str">
        <f>IF(tech_base!$T159&gt;V$1465,"",(tech_base!$J159/tech_proj!V283*0.086*$N$110)/(1-tech_proj!V563))</f>
        <v/>
      </c>
      <c r="W1623" s="119" t="str">
        <f>IF(tech_base!$T159&gt;W$1465,"",(tech_base!$J159/tech_proj!W283*0.086*$N$110)/(1-tech_proj!W563))</f>
        <v/>
      </c>
      <c r="X1623" s="119" t="str">
        <f>IF(tech_base!$T159&gt;X$1465,"",(tech_base!$J159/tech_proj!X283*0.086*$N$110)/(1-tech_proj!X563))</f>
        <v/>
      </c>
      <c r="Y1623" s="119" t="str">
        <f>IF(tech_base!$T159&gt;Y$1465,"",(tech_base!$J159/tech_proj!Y283*0.086*$N$110)/(1-tech_proj!Y563))</f>
        <v/>
      </c>
      <c r="Z1623" s="119" t="str">
        <f>IF(tech_base!$T159&gt;Z$1465,"",(tech_base!$J159/tech_proj!Z283*0.086*$N$110)/(1-tech_proj!Z563))</f>
        <v/>
      </c>
      <c r="AA1623" s="119" t="str">
        <f>IF(tech_base!$T159&gt;AA$1465,"",(tech_base!$J159/tech_proj!AA283*0.086*$N$110)/(1-tech_proj!AA563))</f>
        <v/>
      </c>
      <c r="AB1623" s="119" t="str">
        <f>IF(tech_base!$T159&gt;AB$1465,"",(tech_base!$J159/tech_proj!AB283*0.086*$N$110)/(1-tech_proj!AB563))</f>
        <v/>
      </c>
      <c r="AC1623" s="119" t="str">
        <f>IF(tech_base!$T159&gt;AC$1465,"",(tech_base!$J159/tech_proj!AC283*0.086*$N$110)/(1-tech_proj!AC563))</f>
        <v/>
      </c>
      <c r="AD1623" s="119" t="str">
        <f>IF(tech_base!$T159&gt;AD$1465,"",(tech_base!$J159/tech_proj!AD283*0.086*$N$110)/(1-tech_proj!AD563))</f>
        <v/>
      </c>
      <c r="AE1623" s="119">
        <f>IF(tech_base!$T159&gt;AE$1465,"",(tech_base!$J159/tech_proj!AE283*0.086*$N$110)/(1-tech_proj!AE563))</f>
        <v>0</v>
      </c>
      <c r="AF1623" s="119">
        <f>IF(tech_base!$T159&gt;AF$1465,"",(tech_base!$J159/tech_proj!AF283*0.086*$N$110)/(1-tech_proj!AF563))</f>
        <v>0</v>
      </c>
      <c r="AG1623" s="119">
        <f>IF(tech_base!$T159&gt;AG$1465,"",(tech_base!$J159/tech_proj!AG283*0.086*$N$110)/(1-tech_proj!AG563))</f>
        <v>0</v>
      </c>
      <c r="AH1623" s="119">
        <f>IF(tech_base!$T159&gt;AH$1465,"",(tech_base!$J159/tech_proj!AH283*0.086*$N$110)/(1-tech_proj!AH563))</f>
        <v>0</v>
      </c>
      <c r="AI1623" s="119">
        <f>IF(tech_base!$T159&gt;AI$1465,"",(tech_base!$J159/tech_proj!AI283*0.086*$N$110)/(1-tech_proj!AI563))</f>
        <v>0</v>
      </c>
      <c r="AJ1623" s="119">
        <f>IF(tech_base!$T159&gt;AJ$1465,"",(tech_base!$J159/tech_proj!AJ283*0.086*$N$110)/(1-tech_proj!AJ563))</f>
        <v>0</v>
      </c>
      <c r="AK1623" s="119">
        <f>IF(tech_base!$T159&gt;AK$1465,"",(tech_base!$J159/tech_proj!AK283*0.086*$N$110)/(1-tech_proj!AK563))</f>
        <v>0</v>
      </c>
      <c r="AL1623" s="119">
        <f>IF(tech_base!$T159&gt;AL$1465,"",(tech_base!$J159/tech_proj!AL283*0.086*$N$110)/(1-tech_proj!AL563))</f>
        <v>0</v>
      </c>
      <c r="AM1623" s="119">
        <f>IF(tech_base!$T159&gt;AM$1465,"",(tech_base!$J159/tech_proj!AM283*0.086*$N$110)/(1-tech_proj!AM563))</f>
        <v>0</v>
      </c>
      <c r="AN1623" s="119">
        <f>IF(tech_base!$T159&gt;AN$1465,"",(tech_base!$J159/tech_proj!AN283*0.086*$N$110)/(1-tech_proj!AN563))</f>
        <v>0</v>
      </c>
      <c r="AO1623" s="119">
        <f>IF(tech_base!$T159&gt;AO$1465,"",(tech_base!$J159/tech_proj!AO283*0.086*$N$110)/(1-tech_proj!AO563))</f>
        <v>0</v>
      </c>
      <c r="AP1623" s="119">
        <f>IF(tech_base!$T159&gt;AP$1465,"",(tech_base!$J159/tech_proj!AP283*0.086*$N$110)/(1-tech_proj!AP563))</f>
        <v>0</v>
      </c>
      <c r="AQ1623" s="119">
        <f>IF(tech_base!$T159&gt;AQ$1465,"",(tech_base!$J159/tech_proj!AQ283*0.086*$N$110)/(1-tech_proj!AQ563))</f>
        <v>0</v>
      </c>
      <c r="AR1623" s="119">
        <f>IF(tech_base!$T159&gt;AR$1465,"",(tech_base!$J159/tech_proj!AR283*0.086*$N$110)/(1-tech_proj!AR563))</f>
        <v>0</v>
      </c>
      <c r="AS1623" s="119">
        <f>IF(tech_base!$T159&gt;AS$1465,"",(tech_base!$J159/tech_proj!AS283*0.086*$N$110)/(1-tech_proj!AS563))</f>
        <v>0</v>
      </c>
      <c r="AT1623" s="119">
        <f>IF(tech_base!$T159&gt;AT$1465,"",(tech_base!$J159/tech_proj!AT283*0.086*$N$110)/(1-tech_proj!AT563))</f>
        <v>0</v>
      </c>
      <c r="AU1623" s="119">
        <f>IF(tech_base!$T159&gt;AU$1465,"",(tech_base!$J159/tech_proj!AU283*0.086*$N$110)/(1-tech_proj!AU563))</f>
        <v>0</v>
      </c>
      <c r="AV1623" s="119">
        <f>IF(tech_base!$T159&gt;AV$1465,"",(tech_base!$J159/tech_proj!AV283*0.086*$N$110)/(1-tech_proj!AV563))</f>
        <v>0</v>
      </c>
      <c r="AW1623" s="119">
        <f>IF(tech_base!$T159&gt;AW$1465,"",(tech_base!$J159/tech_proj!AW283*0.086*$N$110)/(1-tech_proj!AW563))</f>
        <v>0</v>
      </c>
      <c r="AX1623" s="120">
        <f>IF(tech_base!$T159&gt;AX$1465,"",(tech_base!$J159/tech_proj!AX283*0.086*$N$110)/(1-tech_proj!AX563))</f>
        <v>0</v>
      </c>
    </row>
    <row r="1624" spans="1:50" x14ac:dyDescent="0.25">
      <c r="A1624" s="356"/>
      <c r="B1624" s="380"/>
      <c r="C1624" s="381"/>
      <c r="D1624" s="4" t="s">
        <v>8</v>
      </c>
      <c r="E1624" s="168" t="str">
        <f>A1605&amp;"/"&amp;B1613&amp;"/"&amp;C1623&amp;"/"&amp;D1624</f>
        <v>Diesel oil fired power plants/Gas turbine /CHP with CCS/M</v>
      </c>
      <c r="F1624" s="80" t="str">
        <f>A1605</f>
        <v>Diesel oil fired power plants</v>
      </c>
      <c r="G1624" s="80" t="str">
        <f>B1613</f>
        <v xml:space="preserve">Gas turbine </v>
      </c>
      <c r="H1624" s="80" t="str">
        <f>C1623</f>
        <v>CHP with CCS</v>
      </c>
      <c r="I1624" s="169" t="str">
        <f t="shared" si="379"/>
        <v>M</v>
      </c>
      <c r="J1624" s="127" t="str">
        <f>IF(tech_base!$T160&gt;J$1465,"",(tech_base!$J160/tech_proj!J284*0.086*$N$110)/(1-tech_proj!J564))</f>
        <v/>
      </c>
      <c r="K1624" s="127" t="str">
        <f>IF(tech_base!$T160&gt;K$1465,"",(tech_base!$J160/tech_proj!K284*0.086*$N$110)/(1-tech_proj!K564))</f>
        <v/>
      </c>
      <c r="L1624" s="127" t="str">
        <f>IF(tech_base!$T160&gt;L$1465,"",(tech_base!$J160/tech_proj!L284*0.086*$N$110)/(1-tech_proj!L564))</f>
        <v/>
      </c>
      <c r="M1624" s="127" t="str">
        <f>IF(tech_base!$T160&gt;M$1465,"",(tech_base!$J160/tech_proj!M284*0.086*$N$110)/(1-tech_proj!M564))</f>
        <v/>
      </c>
      <c r="N1624" s="127" t="str">
        <f>IF(tech_base!$T160&gt;N$1465,"",(tech_base!$J160/tech_proj!N284*0.086*$N$110)/(1-tech_proj!N564))</f>
        <v/>
      </c>
      <c r="O1624" s="127" t="str">
        <f>IF(tech_base!$T160&gt;O$1465,"",(tech_base!$J160/tech_proj!O284*0.086*$N$110)/(1-tech_proj!O564))</f>
        <v/>
      </c>
      <c r="P1624" s="127" t="str">
        <f>IF(tech_base!$T160&gt;P$1465,"",(tech_base!$J160/tech_proj!P284*0.086*$N$110)/(1-tech_proj!P564))</f>
        <v/>
      </c>
      <c r="Q1624" s="127" t="str">
        <f>IF(tech_base!$T160&gt;Q$1465,"",(tech_base!$J160/tech_proj!Q284*0.086*$N$110)/(1-tech_proj!Q564))</f>
        <v/>
      </c>
      <c r="R1624" s="127" t="str">
        <f>IF(tech_base!$T160&gt;R$1465,"",(tech_base!$J160/tech_proj!R284*0.086*$N$110)/(1-tech_proj!R564))</f>
        <v/>
      </c>
      <c r="S1624" s="127" t="str">
        <f>IF(tech_base!$T160&gt;S$1465,"",(tech_base!$J160/tech_proj!S284*0.086*$N$110)/(1-tech_proj!S564))</f>
        <v/>
      </c>
      <c r="T1624" s="127" t="str">
        <f>IF(tech_base!$T160&gt;T$1465,"",(tech_base!$J160/tech_proj!T284*0.086*$N$110)/(1-tech_proj!T564))</f>
        <v/>
      </c>
      <c r="U1624" s="127" t="str">
        <f>IF(tech_base!$T160&gt;U$1465,"",(tech_base!$J160/tech_proj!U284*0.086*$N$110)/(1-tech_proj!U564))</f>
        <v/>
      </c>
      <c r="V1624" s="127" t="str">
        <f>IF(tech_base!$T160&gt;V$1465,"",(tech_base!$J160/tech_proj!V284*0.086*$N$110)/(1-tech_proj!V564))</f>
        <v/>
      </c>
      <c r="W1624" s="127" t="str">
        <f>IF(tech_base!$T160&gt;W$1465,"",(tech_base!$J160/tech_proj!W284*0.086*$N$110)/(1-tech_proj!W564))</f>
        <v/>
      </c>
      <c r="X1624" s="127" t="str">
        <f>IF(tech_base!$T160&gt;X$1465,"",(tech_base!$J160/tech_proj!X284*0.086*$N$110)/(1-tech_proj!X564))</f>
        <v/>
      </c>
      <c r="Y1624" s="127" t="str">
        <f>IF(tech_base!$T160&gt;Y$1465,"",(tech_base!$J160/tech_proj!Y284*0.086*$N$110)/(1-tech_proj!Y564))</f>
        <v/>
      </c>
      <c r="Z1624" s="127" t="str">
        <f>IF(tech_base!$T160&gt;Z$1465,"",(tech_base!$J160/tech_proj!Z284*0.086*$N$110)/(1-tech_proj!Z564))</f>
        <v/>
      </c>
      <c r="AA1624" s="127" t="str">
        <f>IF(tech_base!$T160&gt;AA$1465,"",(tech_base!$J160/tech_proj!AA284*0.086*$N$110)/(1-tech_proj!AA564))</f>
        <v/>
      </c>
      <c r="AB1624" s="127" t="str">
        <f>IF(tech_base!$T160&gt;AB$1465,"",(tech_base!$J160/tech_proj!AB284*0.086*$N$110)/(1-tech_proj!AB564))</f>
        <v/>
      </c>
      <c r="AC1624" s="127" t="str">
        <f>IF(tech_base!$T160&gt;AC$1465,"",(tech_base!$J160/tech_proj!AC284*0.086*$N$110)/(1-tech_proj!AC564))</f>
        <v/>
      </c>
      <c r="AD1624" s="127" t="str">
        <f>IF(tech_base!$T160&gt;AD$1465,"",(tech_base!$J160/tech_proj!AD284*0.086*$N$110)/(1-tech_proj!AD564))</f>
        <v/>
      </c>
      <c r="AE1624" s="127">
        <f>IF(tech_base!$T160&gt;AE$1465,"",(tech_base!$J160/tech_proj!AE284*0.086*$N$110)/(1-tech_proj!AE564))</f>
        <v>0</v>
      </c>
      <c r="AF1624" s="127">
        <f>IF(tech_base!$T160&gt;AF$1465,"",(tech_base!$J160/tech_proj!AF284*0.086*$N$110)/(1-tech_proj!AF564))</f>
        <v>0</v>
      </c>
      <c r="AG1624" s="127">
        <f>IF(tech_base!$T160&gt;AG$1465,"",(tech_base!$J160/tech_proj!AG284*0.086*$N$110)/(1-tech_proj!AG564))</f>
        <v>0</v>
      </c>
      <c r="AH1624" s="127">
        <f>IF(tech_base!$T160&gt;AH$1465,"",(tech_base!$J160/tech_proj!AH284*0.086*$N$110)/(1-tech_proj!AH564))</f>
        <v>0</v>
      </c>
      <c r="AI1624" s="127">
        <f>IF(tech_base!$T160&gt;AI$1465,"",(tech_base!$J160/tech_proj!AI284*0.086*$N$110)/(1-tech_proj!AI564))</f>
        <v>0</v>
      </c>
      <c r="AJ1624" s="127">
        <f>IF(tech_base!$T160&gt;AJ$1465,"",(tech_base!$J160/tech_proj!AJ284*0.086*$N$110)/(1-tech_proj!AJ564))</f>
        <v>0</v>
      </c>
      <c r="AK1624" s="127">
        <f>IF(tech_base!$T160&gt;AK$1465,"",(tech_base!$J160/tech_proj!AK284*0.086*$N$110)/(1-tech_proj!AK564))</f>
        <v>0</v>
      </c>
      <c r="AL1624" s="127">
        <f>IF(tech_base!$T160&gt;AL$1465,"",(tech_base!$J160/tech_proj!AL284*0.086*$N$110)/(1-tech_proj!AL564))</f>
        <v>0</v>
      </c>
      <c r="AM1624" s="127">
        <f>IF(tech_base!$T160&gt;AM$1465,"",(tech_base!$J160/tech_proj!AM284*0.086*$N$110)/(1-tech_proj!AM564))</f>
        <v>0</v>
      </c>
      <c r="AN1624" s="127">
        <f>IF(tech_base!$T160&gt;AN$1465,"",(tech_base!$J160/tech_proj!AN284*0.086*$N$110)/(1-tech_proj!AN564))</f>
        <v>0</v>
      </c>
      <c r="AO1624" s="127">
        <f>IF(tech_base!$T160&gt;AO$1465,"",(tech_base!$J160/tech_proj!AO284*0.086*$N$110)/(1-tech_proj!AO564))</f>
        <v>0</v>
      </c>
      <c r="AP1624" s="127">
        <f>IF(tech_base!$T160&gt;AP$1465,"",(tech_base!$J160/tech_proj!AP284*0.086*$N$110)/(1-tech_proj!AP564))</f>
        <v>0</v>
      </c>
      <c r="AQ1624" s="127">
        <f>IF(tech_base!$T160&gt;AQ$1465,"",(tech_base!$J160/tech_proj!AQ284*0.086*$N$110)/(1-tech_proj!AQ564))</f>
        <v>0</v>
      </c>
      <c r="AR1624" s="127">
        <f>IF(tech_base!$T160&gt;AR$1465,"",(tech_base!$J160/tech_proj!AR284*0.086*$N$110)/(1-tech_proj!AR564))</f>
        <v>0</v>
      </c>
      <c r="AS1624" s="127">
        <f>IF(tech_base!$T160&gt;AS$1465,"",(tech_base!$J160/tech_proj!AS284*0.086*$N$110)/(1-tech_proj!AS564))</f>
        <v>0</v>
      </c>
      <c r="AT1624" s="127">
        <f>IF(tech_base!$T160&gt;AT$1465,"",(tech_base!$J160/tech_proj!AT284*0.086*$N$110)/(1-tech_proj!AT564))</f>
        <v>0</v>
      </c>
      <c r="AU1624" s="127">
        <f>IF(tech_base!$T160&gt;AU$1465,"",(tech_base!$J160/tech_proj!AU284*0.086*$N$110)/(1-tech_proj!AU564))</f>
        <v>0</v>
      </c>
      <c r="AV1624" s="127">
        <f>IF(tech_base!$T160&gt;AV$1465,"",(tech_base!$J160/tech_proj!AV284*0.086*$N$110)/(1-tech_proj!AV564))</f>
        <v>0</v>
      </c>
      <c r="AW1624" s="127">
        <f>IF(tech_base!$T160&gt;AW$1465,"",(tech_base!$J160/tech_proj!AW284*0.086*$N$110)/(1-tech_proj!AW564))</f>
        <v>0</v>
      </c>
      <c r="AX1624" s="128">
        <f>IF(tech_base!$T160&gt;AX$1465,"",(tech_base!$J160/tech_proj!AX284*0.086*$N$110)/(1-tech_proj!AX564))</f>
        <v>0</v>
      </c>
    </row>
    <row r="1625" spans="1:50" x14ac:dyDescent="0.25">
      <c r="A1625" s="356"/>
      <c r="B1625" s="358" t="s">
        <v>19</v>
      </c>
      <c r="C1625" s="353" t="s">
        <v>6</v>
      </c>
      <c r="D1625" s="3" t="s">
        <v>7</v>
      </c>
      <c r="E1625" s="162" t="str">
        <f>A1605&amp;"/"&amp;B1625&amp;"/"&amp;C1625&amp;"/"&amp;D1625</f>
        <v>Diesel oil fired power plants/Steam turbine/Electricity only/L</v>
      </c>
      <c r="F1625" s="77" t="str">
        <f>A1605</f>
        <v>Diesel oil fired power plants</v>
      </c>
      <c r="G1625" s="77" t="str">
        <f>B1625</f>
        <v>Steam turbine</v>
      </c>
      <c r="H1625" s="77" t="str">
        <f>C1625</f>
        <v>Electricity only</v>
      </c>
      <c r="I1625" s="163" t="str">
        <f t="shared" si="379"/>
        <v>L</v>
      </c>
      <c r="J1625" s="121">
        <f>IF(tech_base!$T161&gt;J$1465,"",(tech_base!$J161/tech_proj!J285*0.086*$N$110)/(1-tech_proj!J565))</f>
        <v>0</v>
      </c>
      <c r="K1625" s="121">
        <f>IF(tech_base!$T161&gt;K$1465,"",(tech_base!$J161/tech_proj!K285*0.086*$N$110)/(1-tech_proj!K565))</f>
        <v>0</v>
      </c>
      <c r="L1625" s="121">
        <f>IF(tech_base!$T161&gt;L$1465,"",(tech_base!$J161/tech_proj!L285*0.086*$N$110)/(1-tech_proj!L565))</f>
        <v>0</v>
      </c>
      <c r="M1625" s="121">
        <f>IF(tech_base!$T161&gt;M$1465,"",(tech_base!$J161/tech_proj!M285*0.086*$N$110)/(1-tech_proj!M565))</f>
        <v>0</v>
      </c>
      <c r="N1625" s="121">
        <f>IF(tech_base!$T161&gt;N$1465,"",(tech_base!$J161/tech_proj!N285*0.086*$N$110)/(1-tech_proj!N565))</f>
        <v>0</v>
      </c>
      <c r="O1625" s="121">
        <f>IF(tech_base!$T161&gt;O$1465,"",(tech_base!$J161/tech_proj!O285*0.086*$N$110)/(1-tech_proj!O565))</f>
        <v>0</v>
      </c>
      <c r="P1625" s="121">
        <f>IF(tech_base!$T161&gt;P$1465,"",(tech_base!$J161/tech_proj!P285*0.086*$N$110)/(1-tech_proj!P565))</f>
        <v>0</v>
      </c>
      <c r="Q1625" s="121">
        <f>IF(tech_base!$T161&gt;Q$1465,"",(tech_base!$J161/tech_proj!Q285*0.086*$N$110)/(1-tech_proj!Q565))</f>
        <v>0</v>
      </c>
      <c r="R1625" s="121">
        <f>IF(tech_base!$T161&gt;R$1465,"",(tech_base!$J161/tech_proj!R285*0.086*$N$110)/(1-tech_proj!R565))</f>
        <v>0</v>
      </c>
      <c r="S1625" s="121">
        <f>IF(tech_base!$T161&gt;S$1465,"",(tech_base!$J161/tech_proj!S285*0.086*$N$110)/(1-tech_proj!S565))</f>
        <v>0</v>
      </c>
      <c r="T1625" s="121">
        <f>IF(tech_base!$T161&gt;T$1465,"",(tech_base!$J161/tech_proj!T285*0.086*$N$110)/(1-tech_proj!T565))</f>
        <v>0</v>
      </c>
      <c r="U1625" s="121">
        <f>IF(tech_base!$T161&gt;U$1465,"",(tech_base!$J161/tech_proj!U285*0.086*$N$110)/(1-tech_proj!U565))</f>
        <v>0</v>
      </c>
      <c r="V1625" s="121">
        <f>IF(tech_base!$T161&gt;V$1465,"",(tech_base!$J161/tech_proj!V285*0.086*$N$110)/(1-tech_proj!V565))</f>
        <v>0</v>
      </c>
      <c r="W1625" s="121">
        <f>IF(tech_base!$T161&gt;W$1465,"",(tech_base!$J161/tech_proj!W285*0.086*$N$110)/(1-tech_proj!W565))</f>
        <v>0</v>
      </c>
      <c r="X1625" s="121">
        <f>IF(tech_base!$T161&gt;X$1465,"",(tech_base!$J161/tech_proj!X285*0.086*$N$110)/(1-tech_proj!X565))</f>
        <v>0</v>
      </c>
      <c r="Y1625" s="121">
        <f>IF(tech_base!$T161&gt;Y$1465,"",(tech_base!$J161/tech_proj!Y285*0.086*$N$110)/(1-tech_proj!Y565))</f>
        <v>0</v>
      </c>
      <c r="Z1625" s="121">
        <f>IF(tech_base!$T161&gt;Z$1465,"",(tech_base!$J161/tech_proj!Z285*0.086*$N$110)/(1-tech_proj!Z565))</f>
        <v>0</v>
      </c>
      <c r="AA1625" s="121">
        <f>IF(tech_base!$T161&gt;AA$1465,"",(tech_base!$J161/tech_proj!AA285*0.086*$N$110)/(1-tech_proj!AA565))</f>
        <v>0</v>
      </c>
      <c r="AB1625" s="121">
        <f>IF(tech_base!$T161&gt;AB$1465,"",(tech_base!$J161/tech_proj!AB285*0.086*$N$110)/(1-tech_proj!AB565))</f>
        <v>0</v>
      </c>
      <c r="AC1625" s="121">
        <f>IF(tech_base!$T161&gt;AC$1465,"",(tech_base!$J161/tech_proj!AC285*0.086*$N$110)/(1-tech_proj!AC565))</f>
        <v>0</v>
      </c>
      <c r="AD1625" s="121">
        <f>IF(tech_base!$T161&gt;AD$1465,"",(tech_base!$J161/tech_proj!AD285*0.086*$N$110)/(1-tech_proj!AD565))</f>
        <v>0</v>
      </c>
      <c r="AE1625" s="121">
        <f>IF(tech_base!$T161&gt;AE$1465,"",(tech_base!$J161/tech_proj!AE285*0.086*$N$110)/(1-tech_proj!AE565))</f>
        <v>0</v>
      </c>
      <c r="AF1625" s="121">
        <f>IF(tech_base!$T161&gt;AF$1465,"",(tech_base!$J161/tech_proj!AF285*0.086*$N$110)/(1-tech_proj!AF565))</f>
        <v>0</v>
      </c>
      <c r="AG1625" s="121">
        <f>IF(tech_base!$T161&gt;AG$1465,"",(tech_base!$J161/tech_proj!AG285*0.086*$N$110)/(1-tech_proj!AG565))</f>
        <v>0</v>
      </c>
      <c r="AH1625" s="121">
        <f>IF(tech_base!$T161&gt;AH$1465,"",(tech_base!$J161/tech_proj!AH285*0.086*$N$110)/(1-tech_proj!AH565))</f>
        <v>0</v>
      </c>
      <c r="AI1625" s="121">
        <f>IF(tech_base!$T161&gt;AI$1465,"",(tech_base!$J161/tech_proj!AI285*0.086*$N$110)/(1-tech_proj!AI565))</f>
        <v>0</v>
      </c>
      <c r="AJ1625" s="121">
        <f>IF(tech_base!$T161&gt;AJ$1465,"",(tech_base!$J161/tech_proj!AJ285*0.086*$N$110)/(1-tech_proj!AJ565))</f>
        <v>0</v>
      </c>
      <c r="AK1625" s="121">
        <f>IF(tech_base!$T161&gt;AK$1465,"",(tech_base!$J161/tech_proj!AK285*0.086*$N$110)/(1-tech_proj!AK565))</f>
        <v>0</v>
      </c>
      <c r="AL1625" s="121">
        <f>IF(tech_base!$T161&gt;AL$1465,"",(tech_base!$J161/tech_proj!AL285*0.086*$N$110)/(1-tech_proj!AL565))</f>
        <v>0</v>
      </c>
      <c r="AM1625" s="121">
        <f>IF(tech_base!$T161&gt;AM$1465,"",(tech_base!$J161/tech_proj!AM285*0.086*$N$110)/(1-tech_proj!AM565))</f>
        <v>0</v>
      </c>
      <c r="AN1625" s="121">
        <f>IF(tech_base!$T161&gt;AN$1465,"",(tech_base!$J161/tech_proj!AN285*0.086*$N$110)/(1-tech_proj!AN565))</f>
        <v>0</v>
      </c>
      <c r="AO1625" s="121">
        <f>IF(tech_base!$T161&gt;AO$1465,"",(tech_base!$J161/tech_proj!AO285*0.086*$N$110)/(1-tech_proj!AO565))</f>
        <v>0</v>
      </c>
      <c r="AP1625" s="121">
        <f>IF(tech_base!$T161&gt;AP$1465,"",(tech_base!$J161/tech_proj!AP285*0.086*$N$110)/(1-tech_proj!AP565))</f>
        <v>0</v>
      </c>
      <c r="AQ1625" s="121">
        <f>IF(tech_base!$T161&gt;AQ$1465,"",(tech_base!$J161/tech_proj!AQ285*0.086*$N$110)/(1-tech_proj!AQ565))</f>
        <v>0</v>
      </c>
      <c r="AR1625" s="121">
        <f>IF(tech_base!$T161&gt;AR$1465,"",(tech_base!$J161/tech_proj!AR285*0.086*$N$110)/(1-tech_proj!AR565))</f>
        <v>0</v>
      </c>
      <c r="AS1625" s="121">
        <f>IF(tech_base!$T161&gt;AS$1465,"",(tech_base!$J161/tech_proj!AS285*0.086*$N$110)/(1-tech_proj!AS565))</f>
        <v>0</v>
      </c>
      <c r="AT1625" s="121">
        <f>IF(tech_base!$T161&gt;AT$1465,"",(tech_base!$J161/tech_proj!AT285*0.086*$N$110)/(1-tech_proj!AT565))</f>
        <v>0</v>
      </c>
      <c r="AU1625" s="121">
        <f>IF(tech_base!$T161&gt;AU$1465,"",(tech_base!$J161/tech_proj!AU285*0.086*$N$110)/(1-tech_proj!AU565))</f>
        <v>0</v>
      </c>
      <c r="AV1625" s="121">
        <f>IF(tech_base!$T161&gt;AV$1465,"",(tech_base!$J161/tech_proj!AV285*0.086*$N$110)/(1-tech_proj!AV565))</f>
        <v>0</v>
      </c>
      <c r="AW1625" s="121">
        <f>IF(tech_base!$T161&gt;AW$1465,"",(tech_base!$J161/tech_proj!AW285*0.086*$N$110)/(1-tech_proj!AW565))</f>
        <v>0</v>
      </c>
      <c r="AX1625" s="122">
        <f>IF(tech_base!$T161&gt;AX$1465,"",(tech_base!$J161/tech_proj!AX285*0.086*$N$110)/(1-tech_proj!AX565))</f>
        <v>0</v>
      </c>
    </row>
    <row r="1626" spans="1:50" x14ac:dyDescent="0.25">
      <c r="A1626" s="356"/>
      <c r="B1626" s="376"/>
      <c r="C1626" s="378"/>
      <c r="D1626" s="2" t="s">
        <v>8</v>
      </c>
      <c r="E1626" s="160" t="str">
        <f>A1605&amp;"/"&amp;B1625&amp;"/"&amp;C1625&amp;"/"&amp;D1626</f>
        <v>Diesel oil fired power plants/Steam turbine/Electricity only/M</v>
      </c>
      <c r="F1626" s="76" t="str">
        <f>A1605</f>
        <v>Diesel oil fired power plants</v>
      </c>
      <c r="G1626" s="76" t="str">
        <f>B1625</f>
        <v>Steam turbine</v>
      </c>
      <c r="H1626" s="76" t="str">
        <f>C1625</f>
        <v>Electricity only</v>
      </c>
      <c r="I1626" s="161" t="str">
        <f t="shared" si="379"/>
        <v>M</v>
      </c>
      <c r="J1626" s="119">
        <f>IF(tech_base!$T162&gt;J$1465,"",(tech_base!$J162/tech_proj!J286*0.086*$N$110)/(1-tech_proj!J566))</f>
        <v>0</v>
      </c>
      <c r="K1626" s="119">
        <f>IF(tech_base!$T162&gt;K$1465,"",(tech_base!$J162/tech_proj!K286*0.086*$N$110)/(1-tech_proj!K566))</f>
        <v>0</v>
      </c>
      <c r="L1626" s="119">
        <f>IF(tech_base!$T162&gt;L$1465,"",(tech_base!$J162/tech_proj!L286*0.086*$N$110)/(1-tech_proj!L566))</f>
        <v>0</v>
      </c>
      <c r="M1626" s="119">
        <f>IF(tech_base!$T162&gt;M$1465,"",(tech_base!$J162/tech_proj!M286*0.086*$N$110)/(1-tech_proj!M566))</f>
        <v>0</v>
      </c>
      <c r="N1626" s="119">
        <f>IF(tech_base!$T162&gt;N$1465,"",(tech_base!$J162/tech_proj!N286*0.086*$N$110)/(1-tech_proj!N566))</f>
        <v>0</v>
      </c>
      <c r="O1626" s="119">
        <f>IF(tech_base!$T162&gt;O$1465,"",(tech_base!$J162/tech_proj!O286*0.086*$N$110)/(1-tech_proj!O566))</f>
        <v>0</v>
      </c>
      <c r="P1626" s="119">
        <f>IF(tech_base!$T162&gt;P$1465,"",(tech_base!$J162/tech_proj!P286*0.086*$N$110)/(1-tech_proj!P566))</f>
        <v>0</v>
      </c>
      <c r="Q1626" s="119">
        <f>IF(tech_base!$T162&gt;Q$1465,"",(tech_base!$J162/tech_proj!Q286*0.086*$N$110)/(1-tech_proj!Q566))</f>
        <v>0</v>
      </c>
      <c r="R1626" s="119">
        <f>IF(tech_base!$T162&gt;R$1465,"",(tech_base!$J162/tech_proj!R286*0.086*$N$110)/(1-tech_proj!R566))</f>
        <v>0</v>
      </c>
      <c r="S1626" s="119">
        <f>IF(tech_base!$T162&gt;S$1465,"",(tech_base!$J162/tech_proj!S286*0.086*$N$110)/(1-tech_proj!S566))</f>
        <v>0</v>
      </c>
      <c r="T1626" s="119">
        <f>IF(tech_base!$T162&gt;T$1465,"",(tech_base!$J162/tech_proj!T286*0.086*$N$110)/(1-tech_proj!T566))</f>
        <v>0</v>
      </c>
      <c r="U1626" s="119">
        <f>IF(tech_base!$T162&gt;U$1465,"",(tech_base!$J162/tech_proj!U286*0.086*$N$110)/(1-tech_proj!U566))</f>
        <v>0</v>
      </c>
      <c r="V1626" s="119">
        <f>IF(tech_base!$T162&gt;V$1465,"",(tech_base!$J162/tech_proj!V286*0.086*$N$110)/(1-tech_proj!V566))</f>
        <v>0</v>
      </c>
      <c r="W1626" s="119">
        <f>IF(tech_base!$T162&gt;W$1465,"",(tech_base!$J162/tech_proj!W286*0.086*$N$110)/(1-tech_proj!W566))</f>
        <v>0</v>
      </c>
      <c r="X1626" s="119">
        <f>IF(tech_base!$T162&gt;X$1465,"",(tech_base!$J162/tech_proj!X286*0.086*$N$110)/(1-tech_proj!X566))</f>
        <v>0</v>
      </c>
      <c r="Y1626" s="119">
        <f>IF(tech_base!$T162&gt;Y$1465,"",(tech_base!$J162/tech_proj!Y286*0.086*$N$110)/(1-tech_proj!Y566))</f>
        <v>0</v>
      </c>
      <c r="Z1626" s="119">
        <f>IF(tech_base!$T162&gt;Z$1465,"",(tech_base!$J162/tech_proj!Z286*0.086*$N$110)/(1-tech_proj!Z566))</f>
        <v>0</v>
      </c>
      <c r="AA1626" s="119">
        <f>IF(tech_base!$T162&gt;AA$1465,"",(tech_base!$J162/tech_proj!AA286*0.086*$N$110)/(1-tech_proj!AA566))</f>
        <v>0</v>
      </c>
      <c r="AB1626" s="119">
        <f>IF(tech_base!$T162&gt;AB$1465,"",(tech_base!$J162/tech_proj!AB286*0.086*$N$110)/(1-tech_proj!AB566))</f>
        <v>0</v>
      </c>
      <c r="AC1626" s="119">
        <f>IF(tech_base!$T162&gt;AC$1465,"",(tech_base!$J162/tech_proj!AC286*0.086*$N$110)/(1-tech_proj!AC566))</f>
        <v>0</v>
      </c>
      <c r="AD1626" s="119">
        <f>IF(tech_base!$T162&gt;AD$1465,"",(tech_base!$J162/tech_proj!AD286*0.086*$N$110)/(1-tech_proj!AD566))</f>
        <v>0</v>
      </c>
      <c r="AE1626" s="119">
        <f>IF(tech_base!$T162&gt;AE$1465,"",(tech_base!$J162/tech_proj!AE286*0.086*$N$110)/(1-tech_proj!AE566))</f>
        <v>0</v>
      </c>
      <c r="AF1626" s="119">
        <f>IF(tech_base!$T162&gt;AF$1465,"",(tech_base!$J162/tech_proj!AF286*0.086*$N$110)/(1-tech_proj!AF566))</f>
        <v>0</v>
      </c>
      <c r="AG1626" s="119">
        <f>IF(tech_base!$T162&gt;AG$1465,"",(tech_base!$J162/tech_proj!AG286*0.086*$N$110)/(1-tech_proj!AG566))</f>
        <v>0</v>
      </c>
      <c r="AH1626" s="119">
        <f>IF(tech_base!$T162&gt;AH$1465,"",(tech_base!$J162/tech_proj!AH286*0.086*$N$110)/(1-tech_proj!AH566))</f>
        <v>0</v>
      </c>
      <c r="AI1626" s="119">
        <f>IF(tech_base!$T162&gt;AI$1465,"",(tech_base!$J162/tech_proj!AI286*0.086*$N$110)/(1-tech_proj!AI566))</f>
        <v>0</v>
      </c>
      <c r="AJ1626" s="119">
        <f>IF(tech_base!$T162&gt;AJ$1465,"",(tech_base!$J162/tech_proj!AJ286*0.086*$N$110)/(1-tech_proj!AJ566))</f>
        <v>0</v>
      </c>
      <c r="AK1626" s="119">
        <f>IF(tech_base!$T162&gt;AK$1465,"",(tech_base!$J162/tech_proj!AK286*0.086*$N$110)/(1-tech_proj!AK566))</f>
        <v>0</v>
      </c>
      <c r="AL1626" s="119">
        <f>IF(tech_base!$T162&gt;AL$1465,"",(tech_base!$J162/tech_proj!AL286*0.086*$N$110)/(1-tech_proj!AL566))</f>
        <v>0</v>
      </c>
      <c r="AM1626" s="119">
        <f>IF(tech_base!$T162&gt;AM$1465,"",(tech_base!$J162/tech_proj!AM286*0.086*$N$110)/(1-tech_proj!AM566))</f>
        <v>0</v>
      </c>
      <c r="AN1626" s="119">
        <f>IF(tech_base!$T162&gt;AN$1465,"",(tech_base!$J162/tech_proj!AN286*0.086*$N$110)/(1-tech_proj!AN566))</f>
        <v>0</v>
      </c>
      <c r="AO1626" s="119">
        <f>IF(tech_base!$T162&gt;AO$1465,"",(tech_base!$J162/tech_proj!AO286*0.086*$N$110)/(1-tech_proj!AO566))</f>
        <v>0</v>
      </c>
      <c r="AP1626" s="119">
        <f>IF(tech_base!$T162&gt;AP$1465,"",(tech_base!$J162/tech_proj!AP286*0.086*$N$110)/(1-tech_proj!AP566))</f>
        <v>0</v>
      </c>
      <c r="AQ1626" s="119">
        <f>IF(tech_base!$T162&gt;AQ$1465,"",(tech_base!$J162/tech_proj!AQ286*0.086*$N$110)/(1-tech_proj!AQ566))</f>
        <v>0</v>
      </c>
      <c r="AR1626" s="119">
        <f>IF(tech_base!$T162&gt;AR$1465,"",(tech_base!$J162/tech_proj!AR286*0.086*$N$110)/(1-tech_proj!AR566))</f>
        <v>0</v>
      </c>
      <c r="AS1626" s="119">
        <f>IF(tech_base!$T162&gt;AS$1465,"",(tech_base!$J162/tech_proj!AS286*0.086*$N$110)/(1-tech_proj!AS566))</f>
        <v>0</v>
      </c>
      <c r="AT1626" s="119">
        <f>IF(tech_base!$T162&gt;AT$1465,"",(tech_base!$J162/tech_proj!AT286*0.086*$N$110)/(1-tech_proj!AT566))</f>
        <v>0</v>
      </c>
      <c r="AU1626" s="119">
        <f>IF(tech_base!$T162&gt;AU$1465,"",(tech_base!$J162/tech_proj!AU286*0.086*$N$110)/(1-tech_proj!AU566))</f>
        <v>0</v>
      </c>
      <c r="AV1626" s="119">
        <f>IF(tech_base!$T162&gt;AV$1465,"",(tech_base!$J162/tech_proj!AV286*0.086*$N$110)/(1-tech_proj!AV566))</f>
        <v>0</v>
      </c>
      <c r="AW1626" s="119">
        <f>IF(tech_base!$T162&gt;AW$1465,"",(tech_base!$J162/tech_proj!AW286*0.086*$N$110)/(1-tech_proj!AW566))</f>
        <v>0</v>
      </c>
      <c r="AX1626" s="120">
        <f>IF(tech_base!$T162&gt;AX$1465,"",(tech_base!$J162/tech_proj!AX286*0.086*$N$110)/(1-tech_proj!AX566))</f>
        <v>0</v>
      </c>
    </row>
    <row r="1627" spans="1:50" x14ac:dyDescent="0.25">
      <c r="A1627" s="356"/>
      <c r="B1627" s="376"/>
      <c r="C1627" s="379"/>
      <c r="D1627" s="2" t="s">
        <v>10</v>
      </c>
      <c r="E1627" s="160" t="str">
        <f>A1605&amp;"/"&amp;B1625&amp;"/"&amp;C1625&amp;"/"&amp;D1627</f>
        <v>Diesel oil fired power plants/Steam turbine/Electricity only/S</v>
      </c>
      <c r="F1627" s="76" t="str">
        <f>A1605</f>
        <v>Diesel oil fired power plants</v>
      </c>
      <c r="G1627" s="76" t="str">
        <f>B1625</f>
        <v>Steam turbine</v>
      </c>
      <c r="H1627" s="76" t="str">
        <f>C1625</f>
        <v>Electricity only</v>
      </c>
      <c r="I1627" s="161" t="str">
        <f t="shared" si="379"/>
        <v>S</v>
      </c>
      <c r="J1627" s="119">
        <f>IF(tech_base!$T163&gt;J$1465,"",(tech_base!$J163/tech_proj!J287*0.086*$N$110)/(1-tech_proj!J567))</f>
        <v>0</v>
      </c>
      <c r="K1627" s="119">
        <f>IF(tech_base!$T163&gt;K$1465,"",(tech_base!$J163/tech_proj!K287*0.086*$N$110)/(1-tech_proj!K567))</f>
        <v>0</v>
      </c>
      <c r="L1627" s="119">
        <f>IF(tech_base!$T163&gt;L$1465,"",(tech_base!$J163/tech_proj!L287*0.086*$N$110)/(1-tech_proj!L567))</f>
        <v>0</v>
      </c>
      <c r="M1627" s="119">
        <f>IF(tech_base!$T163&gt;M$1465,"",(tech_base!$J163/tech_proj!M287*0.086*$N$110)/(1-tech_proj!M567))</f>
        <v>0</v>
      </c>
      <c r="N1627" s="119">
        <f>IF(tech_base!$T163&gt;N$1465,"",(tech_base!$J163/tech_proj!N287*0.086*$N$110)/(1-tech_proj!N567))</f>
        <v>0</v>
      </c>
      <c r="O1627" s="119">
        <f>IF(tech_base!$T163&gt;O$1465,"",(tech_base!$J163/tech_proj!O287*0.086*$N$110)/(1-tech_proj!O567))</f>
        <v>0</v>
      </c>
      <c r="P1627" s="119">
        <f>IF(tech_base!$T163&gt;P$1465,"",(tech_base!$J163/tech_proj!P287*0.086*$N$110)/(1-tech_proj!P567))</f>
        <v>0</v>
      </c>
      <c r="Q1627" s="119">
        <f>IF(tech_base!$T163&gt;Q$1465,"",(tech_base!$J163/tech_proj!Q287*0.086*$N$110)/(1-tech_proj!Q567))</f>
        <v>0</v>
      </c>
      <c r="R1627" s="119">
        <f>IF(tech_base!$T163&gt;R$1465,"",(tech_base!$J163/tech_proj!R287*0.086*$N$110)/(1-tech_proj!R567))</f>
        <v>0</v>
      </c>
      <c r="S1627" s="119">
        <f>IF(tech_base!$T163&gt;S$1465,"",(tech_base!$J163/tech_proj!S287*0.086*$N$110)/(1-tech_proj!S567))</f>
        <v>0</v>
      </c>
      <c r="T1627" s="119">
        <f>IF(tech_base!$T163&gt;T$1465,"",(tech_base!$J163/tech_proj!T287*0.086*$N$110)/(1-tech_proj!T567))</f>
        <v>0</v>
      </c>
      <c r="U1627" s="119">
        <f>IF(tech_base!$T163&gt;U$1465,"",(tech_base!$J163/tech_proj!U287*0.086*$N$110)/(1-tech_proj!U567))</f>
        <v>0</v>
      </c>
      <c r="V1627" s="119">
        <f>IF(tech_base!$T163&gt;V$1465,"",(tech_base!$J163/tech_proj!V287*0.086*$N$110)/(1-tech_proj!V567))</f>
        <v>0</v>
      </c>
      <c r="W1627" s="119">
        <f>IF(tech_base!$T163&gt;W$1465,"",(tech_base!$J163/tech_proj!W287*0.086*$N$110)/(1-tech_proj!W567))</f>
        <v>0</v>
      </c>
      <c r="X1627" s="119">
        <f>IF(tech_base!$T163&gt;X$1465,"",(tech_base!$J163/tech_proj!X287*0.086*$N$110)/(1-tech_proj!X567))</f>
        <v>0</v>
      </c>
      <c r="Y1627" s="119">
        <f>IF(tech_base!$T163&gt;Y$1465,"",(tech_base!$J163/tech_proj!Y287*0.086*$N$110)/(1-tech_proj!Y567))</f>
        <v>0</v>
      </c>
      <c r="Z1627" s="119">
        <f>IF(tech_base!$T163&gt;Z$1465,"",(tech_base!$J163/tech_proj!Z287*0.086*$N$110)/(1-tech_proj!Z567))</f>
        <v>0</v>
      </c>
      <c r="AA1627" s="119">
        <f>IF(tech_base!$T163&gt;AA$1465,"",(tech_base!$J163/tech_proj!AA287*0.086*$N$110)/(1-tech_proj!AA567))</f>
        <v>0</v>
      </c>
      <c r="AB1627" s="119">
        <f>IF(tech_base!$T163&gt;AB$1465,"",(tech_base!$J163/tech_proj!AB287*0.086*$N$110)/(1-tech_proj!AB567))</f>
        <v>0</v>
      </c>
      <c r="AC1627" s="119">
        <f>IF(tech_base!$T163&gt;AC$1465,"",(tech_base!$J163/tech_proj!AC287*0.086*$N$110)/(1-tech_proj!AC567))</f>
        <v>0</v>
      </c>
      <c r="AD1627" s="119">
        <f>IF(tech_base!$T163&gt;AD$1465,"",(tech_base!$J163/tech_proj!AD287*0.086*$N$110)/(1-tech_proj!AD567))</f>
        <v>0</v>
      </c>
      <c r="AE1627" s="119">
        <f>IF(tech_base!$T163&gt;AE$1465,"",(tech_base!$J163/tech_proj!AE287*0.086*$N$110)/(1-tech_proj!AE567))</f>
        <v>0</v>
      </c>
      <c r="AF1627" s="119">
        <f>IF(tech_base!$T163&gt;AF$1465,"",(tech_base!$J163/tech_proj!AF287*0.086*$N$110)/(1-tech_proj!AF567))</f>
        <v>0</v>
      </c>
      <c r="AG1627" s="119">
        <f>IF(tech_base!$T163&gt;AG$1465,"",(tech_base!$J163/tech_proj!AG287*0.086*$N$110)/(1-tech_proj!AG567))</f>
        <v>0</v>
      </c>
      <c r="AH1627" s="119">
        <f>IF(tech_base!$T163&gt;AH$1465,"",(tech_base!$J163/tech_proj!AH287*0.086*$N$110)/(1-tech_proj!AH567))</f>
        <v>0</v>
      </c>
      <c r="AI1627" s="119">
        <f>IF(tech_base!$T163&gt;AI$1465,"",(tech_base!$J163/tech_proj!AI287*0.086*$N$110)/(1-tech_proj!AI567))</f>
        <v>0</v>
      </c>
      <c r="AJ1627" s="119">
        <f>IF(tech_base!$T163&gt;AJ$1465,"",(tech_base!$J163/tech_proj!AJ287*0.086*$N$110)/(1-tech_proj!AJ567))</f>
        <v>0</v>
      </c>
      <c r="AK1627" s="119">
        <f>IF(tech_base!$T163&gt;AK$1465,"",(tech_base!$J163/tech_proj!AK287*0.086*$N$110)/(1-tech_proj!AK567))</f>
        <v>0</v>
      </c>
      <c r="AL1627" s="119">
        <f>IF(tech_base!$T163&gt;AL$1465,"",(tech_base!$J163/tech_proj!AL287*0.086*$N$110)/(1-tech_proj!AL567))</f>
        <v>0</v>
      </c>
      <c r="AM1627" s="119">
        <f>IF(tech_base!$T163&gt;AM$1465,"",(tech_base!$J163/tech_proj!AM287*0.086*$N$110)/(1-tech_proj!AM567))</f>
        <v>0</v>
      </c>
      <c r="AN1627" s="119">
        <f>IF(tech_base!$T163&gt;AN$1465,"",(tech_base!$J163/tech_proj!AN287*0.086*$N$110)/(1-tech_proj!AN567))</f>
        <v>0</v>
      </c>
      <c r="AO1627" s="119">
        <f>IF(tech_base!$T163&gt;AO$1465,"",(tech_base!$J163/tech_proj!AO287*0.086*$N$110)/(1-tech_proj!AO567))</f>
        <v>0</v>
      </c>
      <c r="AP1627" s="119">
        <f>IF(tech_base!$T163&gt;AP$1465,"",(tech_base!$J163/tech_proj!AP287*0.086*$N$110)/(1-tech_proj!AP567))</f>
        <v>0</v>
      </c>
      <c r="AQ1627" s="119">
        <f>IF(tech_base!$T163&gt;AQ$1465,"",(tech_base!$J163/tech_proj!AQ287*0.086*$N$110)/(1-tech_proj!AQ567))</f>
        <v>0</v>
      </c>
      <c r="AR1627" s="119">
        <f>IF(tech_base!$T163&gt;AR$1465,"",(tech_base!$J163/tech_proj!AR287*0.086*$N$110)/(1-tech_proj!AR567))</f>
        <v>0</v>
      </c>
      <c r="AS1627" s="119">
        <f>IF(tech_base!$T163&gt;AS$1465,"",(tech_base!$J163/tech_proj!AS287*0.086*$N$110)/(1-tech_proj!AS567))</f>
        <v>0</v>
      </c>
      <c r="AT1627" s="119">
        <f>IF(tech_base!$T163&gt;AT$1465,"",(tech_base!$J163/tech_proj!AT287*0.086*$N$110)/(1-tech_proj!AT567))</f>
        <v>0</v>
      </c>
      <c r="AU1627" s="119">
        <f>IF(tech_base!$T163&gt;AU$1465,"",(tech_base!$J163/tech_proj!AU287*0.086*$N$110)/(1-tech_proj!AU567))</f>
        <v>0</v>
      </c>
      <c r="AV1627" s="119">
        <f>IF(tech_base!$T163&gt;AV$1465,"",(tech_base!$J163/tech_proj!AV287*0.086*$N$110)/(1-tech_proj!AV567))</f>
        <v>0</v>
      </c>
      <c r="AW1627" s="119">
        <f>IF(tech_base!$T163&gt;AW$1465,"",(tech_base!$J163/tech_proj!AW287*0.086*$N$110)/(1-tech_proj!AW567))</f>
        <v>0</v>
      </c>
      <c r="AX1627" s="120">
        <f>IF(tech_base!$T163&gt;AX$1465,"",(tech_base!$J163/tech_proj!AX287*0.086*$N$110)/(1-tech_proj!AX567))</f>
        <v>0</v>
      </c>
    </row>
    <row r="1628" spans="1:50" x14ac:dyDescent="0.25">
      <c r="A1628" s="356"/>
      <c r="B1628" s="376"/>
      <c r="C1628" s="361" t="s">
        <v>14</v>
      </c>
      <c r="D1628" s="58" t="s">
        <v>7</v>
      </c>
      <c r="E1628" s="164" t="str">
        <f>A1605&amp;"/"&amp;B1625&amp;"/"&amp;C1628&amp;"/"&amp;D1628</f>
        <v>Diesel oil fired power plants/Steam turbine/CHP/L</v>
      </c>
      <c r="F1628" s="78" t="str">
        <f>A1605</f>
        <v>Diesel oil fired power plants</v>
      </c>
      <c r="G1628" s="78" t="str">
        <f>B1625</f>
        <v>Steam turbine</v>
      </c>
      <c r="H1628" s="78" t="str">
        <f>C1628</f>
        <v>CHP</v>
      </c>
      <c r="I1628" s="165" t="str">
        <f t="shared" si="379"/>
        <v>L</v>
      </c>
      <c r="J1628" s="123">
        <f>IF(tech_base!$T164&gt;J$1465,"",(tech_base!$J164/tech_proj!J288*0.086*$N$110)/(1-tech_proj!J568))</f>
        <v>0</v>
      </c>
      <c r="K1628" s="123">
        <f>IF(tech_base!$T164&gt;K$1465,"",(tech_base!$J164/tech_proj!K288*0.086*$N$110)/(1-tech_proj!K568))</f>
        <v>0</v>
      </c>
      <c r="L1628" s="123">
        <f>IF(tech_base!$T164&gt;L$1465,"",(tech_base!$J164/tech_proj!L288*0.086*$N$110)/(1-tech_proj!L568))</f>
        <v>0</v>
      </c>
      <c r="M1628" s="123">
        <f>IF(tech_base!$T164&gt;M$1465,"",(tech_base!$J164/tech_proj!M288*0.086*$N$110)/(1-tech_proj!M568))</f>
        <v>0</v>
      </c>
      <c r="N1628" s="123">
        <f>IF(tech_base!$T164&gt;N$1465,"",(tech_base!$J164/tech_proj!N288*0.086*$N$110)/(1-tech_proj!N568))</f>
        <v>0</v>
      </c>
      <c r="O1628" s="123">
        <f>IF(tech_base!$T164&gt;O$1465,"",(tech_base!$J164/tech_proj!O288*0.086*$N$110)/(1-tech_proj!O568))</f>
        <v>0</v>
      </c>
      <c r="P1628" s="123">
        <f>IF(tech_base!$T164&gt;P$1465,"",(tech_base!$J164/tech_proj!P288*0.086*$N$110)/(1-tech_proj!P568))</f>
        <v>0</v>
      </c>
      <c r="Q1628" s="123">
        <f>IF(tech_base!$T164&gt;Q$1465,"",(tech_base!$J164/tech_proj!Q288*0.086*$N$110)/(1-tech_proj!Q568))</f>
        <v>0</v>
      </c>
      <c r="R1628" s="123">
        <f>IF(tech_base!$T164&gt;R$1465,"",(tech_base!$J164/tech_proj!R288*0.086*$N$110)/(1-tech_proj!R568))</f>
        <v>0</v>
      </c>
      <c r="S1628" s="123">
        <f>IF(tech_base!$T164&gt;S$1465,"",(tech_base!$J164/tech_proj!S288*0.086*$N$110)/(1-tech_proj!S568))</f>
        <v>0</v>
      </c>
      <c r="T1628" s="123">
        <f>IF(tech_base!$T164&gt;T$1465,"",(tech_base!$J164/tech_proj!T288*0.086*$N$110)/(1-tech_proj!T568))</f>
        <v>0</v>
      </c>
      <c r="U1628" s="123">
        <f>IF(tech_base!$T164&gt;U$1465,"",(tech_base!$J164/tech_proj!U288*0.086*$N$110)/(1-tech_proj!U568))</f>
        <v>0</v>
      </c>
      <c r="V1628" s="123">
        <f>IF(tech_base!$T164&gt;V$1465,"",(tech_base!$J164/tech_proj!V288*0.086*$N$110)/(1-tech_proj!V568))</f>
        <v>0</v>
      </c>
      <c r="W1628" s="123">
        <f>IF(tech_base!$T164&gt;W$1465,"",(tech_base!$J164/tech_proj!W288*0.086*$N$110)/(1-tech_proj!W568))</f>
        <v>0</v>
      </c>
      <c r="X1628" s="123">
        <f>IF(tech_base!$T164&gt;X$1465,"",(tech_base!$J164/tech_proj!X288*0.086*$N$110)/(1-tech_proj!X568))</f>
        <v>0</v>
      </c>
      <c r="Y1628" s="123">
        <f>IF(tech_base!$T164&gt;Y$1465,"",(tech_base!$J164/tech_proj!Y288*0.086*$N$110)/(1-tech_proj!Y568))</f>
        <v>0</v>
      </c>
      <c r="Z1628" s="123">
        <f>IF(tech_base!$T164&gt;Z$1465,"",(tech_base!$J164/tech_proj!Z288*0.086*$N$110)/(1-tech_proj!Z568))</f>
        <v>0</v>
      </c>
      <c r="AA1628" s="123">
        <f>IF(tech_base!$T164&gt;AA$1465,"",(tech_base!$J164/tech_proj!AA288*0.086*$N$110)/(1-tech_proj!AA568))</f>
        <v>0</v>
      </c>
      <c r="AB1628" s="123">
        <f>IF(tech_base!$T164&gt;AB$1465,"",(tech_base!$J164/tech_proj!AB288*0.086*$N$110)/(1-tech_proj!AB568))</f>
        <v>0</v>
      </c>
      <c r="AC1628" s="123">
        <f>IF(tech_base!$T164&gt;AC$1465,"",(tech_base!$J164/tech_proj!AC288*0.086*$N$110)/(1-tech_proj!AC568))</f>
        <v>0</v>
      </c>
      <c r="AD1628" s="123">
        <f>IF(tech_base!$T164&gt;AD$1465,"",(tech_base!$J164/tech_proj!AD288*0.086*$N$110)/(1-tech_proj!AD568))</f>
        <v>0</v>
      </c>
      <c r="AE1628" s="123">
        <f>IF(tech_base!$T164&gt;AE$1465,"",(tech_base!$J164/tech_proj!AE288*0.086*$N$110)/(1-tech_proj!AE568))</f>
        <v>0</v>
      </c>
      <c r="AF1628" s="123">
        <f>IF(tech_base!$T164&gt;AF$1465,"",(tech_base!$J164/tech_proj!AF288*0.086*$N$110)/(1-tech_proj!AF568))</f>
        <v>0</v>
      </c>
      <c r="AG1628" s="123">
        <f>IF(tech_base!$T164&gt;AG$1465,"",(tech_base!$J164/tech_proj!AG288*0.086*$N$110)/(1-tech_proj!AG568))</f>
        <v>0</v>
      </c>
      <c r="AH1628" s="123">
        <f>IF(tech_base!$T164&gt;AH$1465,"",(tech_base!$J164/tech_proj!AH288*0.086*$N$110)/(1-tech_proj!AH568))</f>
        <v>0</v>
      </c>
      <c r="AI1628" s="123">
        <f>IF(tech_base!$T164&gt;AI$1465,"",(tech_base!$J164/tech_proj!AI288*0.086*$N$110)/(1-tech_proj!AI568))</f>
        <v>0</v>
      </c>
      <c r="AJ1628" s="123">
        <f>IF(tech_base!$T164&gt;AJ$1465,"",(tech_base!$J164/tech_proj!AJ288*0.086*$N$110)/(1-tech_proj!AJ568))</f>
        <v>0</v>
      </c>
      <c r="AK1628" s="123">
        <f>IF(tech_base!$T164&gt;AK$1465,"",(tech_base!$J164/tech_proj!AK288*0.086*$N$110)/(1-tech_proj!AK568))</f>
        <v>0</v>
      </c>
      <c r="AL1628" s="123">
        <f>IF(tech_base!$T164&gt;AL$1465,"",(tech_base!$J164/tech_proj!AL288*0.086*$N$110)/(1-tech_proj!AL568))</f>
        <v>0</v>
      </c>
      <c r="AM1628" s="123">
        <f>IF(tech_base!$T164&gt;AM$1465,"",(tech_base!$J164/tech_proj!AM288*0.086*$N$110)/(1-tech_proj!AM568))</f>
        <v>0</v>
      </c>
      <c r="AN1628" s="123">
        <f>IF(tech_base!$T164&gt;AN$1465,"",(tech_base!$J164/tech_proj!AN288*0.086*$N$110)/(1-tech_proj!AN568))</f>
        <v>0</v>
      </c>
      <c r="AO1628" s="123">
        <f>IF(tech_base!$T164&gt;AO$1465,"",(tech_base!$J164/tech_proj!AO288*0.086*$N$110)/(1-tech_proj!AO568))</f>
        <v>0</v>
      </c>
      <c r="AP1628" s="123">
        <f>IF(tech_base!$T164&gt;AP$1465,"",(tech_base!$J164/tech_proj!AP288*0.086*$N$110)/(1-tech_proj!AP568))</f>
        <v>0</v>
      </c>
      <c r="AQ1628" s="123">
        <f>IF(tech_base!$T164&gt;AQ$1465,"",(tech_base!$J164/tech_proj!AQ288*0.086*$N$110)/(1-tech_proj!AQ568))</f>
        <v>0</v>
      </c>
      <c r="AR1628" s="123">
        <f>IF(tech_base!$T164&gt;AR$1465,"",(tech_base!$J164/tech_proj!AR288*0.086*$N$110)/(1-tech_proj!AR568))</f>
        <v>0</v>
      </c>
      <c r="AS1628" s="123">
        <f>IF(tech_base!$T164&gt;AS$1465,"",(tech_base!$J164/tech_proj!AS288*0.086*$N$110)/(1-tech_proj!AS568))</f>
        <v>0</v>
      </c>
      <c r="AT1628" s="123">
        <f>IF(tech_base!$T164&gt;AT$1465,"",(tech_base!$J164/tech_proj!AT288*0.086*$N$110)/(1-tech_proj!AT568))</f>
        <v>0</v>
      </c>
      <c r="AU1628" s="123">
        <f>IF(tech_base!$T164&gt;AU$1465,"",(tech_base!$J164/tech_proj!AU288*0.086*$N$110)/(1-tech_proj!AU568))</f>
        <v>0</v>
      </c>
      <c r="AV1628" s="123">
        <f>IF(tech_base!$T164&gt;AV$1465,"",(tech_base!$J164/tech_proj!AV288*0.086*$N$110)/(1-tech_proj!AV568))</f>
        <v>0</v>
      </c>
      <c r="AW1628" s="123">
        <f>IF(tech_base!$T164&gt;AW$1465,"",(tech_base!$J164/tech_proj!AW288*0.086*$N$110)/(1-tech_proj!AW568))</f>
        <v>0</v>
      </c>
      <c r="AX1628" s="124">
        <f>IF(tech_base!$T164&gt;AX$1465,"",(tech_base!$J164/tech_proj!AX288*0.086*$N$110)/(1-tech_proj!AX568))</f>
        <v>0</v>
      </c>
    </row>
    <row r="1629" spans="1:50" x14ac:dyDescent="0.25">
      <c r="A1629" s="356"/>
      <c r="B1629" s="376"/>
      <c r="C1629" s="378"/>
      <c r="D1629" s="2" t="s">
        <v>8</v>
      </c>
      <c r="E1629" s="160" t="str">
        <f>A1605&amp;"/"&amp;B1625&amp;"/"&amp;C1628&amp;"/"&amp;D1629</f>
        <v>Diesel oil fired power plants/Steam turbine/CHP/M</v>
      </c>
      <c r="F1629" s="76" t="str">
        <f>A1605</f>
        <v>Diesel oil fired power plants</v>
      </c>
      <c r="G1629" s="76" t="str">
        <f>B1625</f>
        <v>Steam turbine</v>
      </c>
      <c r="H1629" s="76" t="str">
        <f>C1628</f>
        <v>CHP</v>
      </c>
      <c r="I1629" s="161" t="str">
        <f t="shared" si="379"/>
        <v>M</v>
      </c>
      <c r="J1629" s="119">
        <f>IF(tech_base!$T165&gt;J$1465,"",(tech_base!$J165/tech_proj!J289*0.086*$N$110)/(1-tech_proj!J569))</f>
        <v>0</v>
      </c>
      <c r="K1629" s="119">
        <f>IF(tech_base!$T165&gt;K$1465,"",(tech_base!$J165/tech_proj!K289*0.086*$N$110)/(1-tech_proj!K569))</f>
        <v>0</v>
      </c>
      <c r="L1629" s="119">
        <f>IF(tech_base!$T165&gt;L$1465,"",(tech_base!$J165/tech_proj!L289*0.086*$N$110)/(1-tech_proj!L569))</f>
        <v>0</v>
      </c>
      <c r="M1629" s="119">
        <f>IF(tech_base!$T165&gt;M$1465,"",(tech_base!$J165/tech_proj!M289*0.086*$N$110)/(1-tech_proj!M569))</f>
        <v>0</v>
      </c>
      <c r="N1629" s="119">
        <f>IF(tech_base!$T165&gt;N$1465,"",(tech_base!$J165/tech_proj!N289*0.086*$N$110)/(1-tech_proj!N569))</f>
        <v>0</v>
      </c>
      <c r="O1629" s="119">
        <f>IF(tech_base!$T165&gt;O$1465,"",(tech_base!$J165/tech_proj!O289*0.086*$N$110)/(1-tech_proj!O569))</f>
        <v>0</v>
      </c>
      <c r="P1629" s="119">
        <f>IF(tech_base!$T165&gt;P$1465,"",(tech_base!$J165/tech_proj!P289*0.086*$N$110)/(1-tech_proj!P569))</f>
        <v>0</v>
      </c>
      <c r="Q1629" s="119">
        <f>IF(tech_base!$T165&gt;Q$1465,"",(tech_base!$J165/tech_proj!Q289*0.086*$N$110)/(1-tech_proj!Q569))</f>
        <v>0</v>
      </c>
      <c r="R1629" s="119">
        <f>IF(tech_base!$T165&gt;R$1465,"",(tech_base!$J165/tech_proj!R289*0.086*$N$110)/(1-tech_proj!R569))</f>
        <v>0</v>
      </c>
      <c r="S1629" s="119">
        <f>IF(tech_base!$T165&gt;S$1465,"",(tech_base!$J165/tech_proj!S289*0.086*$N$110)/(1-tech_proj!S569))</f>
        <v>0</v>
      </c>
      <c r="T1629" s="119">
        <f>IF(tech_base!$T165&gt;T$1465,"",(tech_base!$J165/tech_proj!T289*0.086*$N$110)/(1-tech_proj!T569))</f>
        <v>0</v>
      </c>
      <c r="U1629" s="119">
        <f>IF(tech_base!$T165&gt;U$1465,"",(tech_base!$J165/tech_proj!U289*0.086*$N$110)/(1-tech_proj!U569))</f>
        <v>0</v>
      </c>
      <c r="V1629" s="119">
        <f>IF(tech_base!$T165&gt;V$1465,"",(tech_base!$J165/tech_proj!V289*0.086*$N$110)/(1-tech_proj!V569))</f>
        <v>0</v>
      </c>
      <c r="W1629" s="119">
        <f>IF(tech_base!$T165&gt;W$1465,"",(tech_base!$J165/tech_proj!W289*0.086*$N$110)/(1-tech_proj!W569))</f>
        <v>0</v>
      </c>
      <c r="X1629" s="119">
        <f>IF(tech_base!$T165&gt;X$1465,"",(tech_base!$J165/tech_proj!X289*0.086*$N$110)/(1-tech_proj!X569))</f>
        <v>0</v>
      </c>
      <c r="Y1629" s="119">
        <f>IF(tech_base!$T165&gt;Y$1465,"",(tech_base!$J165/tech_proj!Y289*0.086*$N$110)/(1-tech_proj!Y569))</f>
        <v>0</v>
      </c>
      <c r="Z1629" s="119">
        <f>IF(tech_base!$T165&gt;Z$1465,"",(tech_base!$J165/tech_proj!Z289*0.086*$N$110)/(1-tech_proj!Z569))</f>
        <v>0</v>
      </c>
      <c r="AA1629" s="119">
        <f>IF(tech_base!$T165&gt;AA$1465,"",(tech_base!$J165/tech_proj!AA289*0.086*$N$110)/(1-tech_proj!AA569))</f>
        <v>0</v>
      </c>
      <c r="AB1629" s="119">
        <f>IF(tech_base!$T165&gt;AB$1465,"",(tech_base!$J165/tech_proj!AB289*0.086*$N$110)/(1-tech_proj!AB569))</f>
        <v>0</v>
      </c>
      <c r="AC1629" s="119">
        <f>IF(tech_base!$T165&gt;AC$1465,"",(tech_base!$J165/tech_proj!AC289*0.086*$N$110)/(1-tech_proj!AC569))</f>
        <v>0</v>
      </c>
      <c r="AD1629" s="119">
        <f>IF(tech_base!$T165&gt;AD$1465,"",(tech_base!$J165/tech_proj!AD289*0.086*$N$110)/(1-tech_proj!AD569))</f>
        <v>0</v>
      </c>
      <c r="AE1629" s="119">
        <f>IF(tech_base!$T165&gt;AE$1465,"",(tech_base!$J165/tech_proj!AE289*0.086*$N$110)/(1-tech_proj!AE569))</f>
        <v>0</v>
      </c>
      <c r="AF1629" s="119">
        <f>IF(tech_base!$T165&gt;AF$1465,"",(tech_base!$J165/tech_proj!AF289*0.086*$N$110)/(1-tech_proj!AF569))</f>
        <v>0</v>
      </c>
      <c r="AG1629" s="119">
        <f>IF(tech_base!$T165&gt;AG$1465,"",(tech_base!$J165/tech_proj!AG289*0.086*$N$110)/(1-tech_proj!AG569))</f>
        <v>0</v>
      </c>
      <c r="AH1629" s="119">
        <f>IF(tech_base!$T165&gt;AH$1465,"",(tech_base!$J165/tech_proj!AH289*0.086*$N$110)/(1-tech_proj!AH569))</f>
        <v>0</v>
      </c>
      <c r="AI1629" s="119">
        <f>IF(tech_base!$T165&gt;AI$1465,"",(tech_base!$J165/tech_proj!AI289*0.086*$N$110)/(1-tech_proj!AI569))</f>
        <v>0</v>
      </c>
      <c r="AJ1629" s="119">
        <f>IF(tech_base!$T165&gt;AJ$1465,"",(tech_base!$J165/tech_proj!AJ289*0.086*$N$110)/(1-tech_proj!AJ569))</f>
        <v>0</v>
      </c>
      <c r="AK1629" s="119">
        <f>IF(tech_base!$T165&gt;AK$1465,"",(tech_base!$J165/tech_proj!AK289*0.086*$N$110)/(1-tech_proj!AK569))</f>
        <v>0</v>
      </c>
      <c r="AL1629" s="119">
        <f>IF(tech_base!$T165&gt;AL$1465,"",(tech_base!$J165/tech_proj!AL289*0.086*$N$110)/(1-tech_proj!AL569))</f>
        <v>0</v>
      </c>
      <c r="AM1629" s="119">
        <f>IF(tech_base!$T165&gt;AM$1465,"",(tech_base!$J165/tech_proj!AM289*0.086*$N$110)/(1-tech_proj!AM569))</f>
        <v>0</v>
      </c>
      <c r="AN1629" s="119">
        <f>IF(tech_base!$T165&gt;AN$1465,"",(tech_base!$J165/tech_proj!AN289*0.086*$N$110)/(1-tech_proj!AN569))</f>
        <v>0</v>
      </c>
      <c r="AO1629" s="119">
        <f>IF(tech_base!$T165&gt;AO$1465,"",(tech_base!$J165/tech_proj!AO289*0.086*$N$110)/(1-tech_proj!AO569))</f>
        <v>0</v>
      </c>
      <c r="AP1629" s="119">
        <f>IF(tech_base!$T165&gt;AP$1465,"",(tech_base!$J165/tech_proj!AP289*0.086*$N$110)/(1-tech_proj!AP569))</f>
        <v>0</v>
      </c>
      <c r="AQ1629" s="119">
        <f>IF(tech_base!$T165&gt;AQ$1465,"",(tech_base!$J165/tech_proj!AQ289*0.086*$N$110)/(1-tech_proj!AQ569))</f>
        <v>0</v>
      </c>
      <c r="AR1629" s="119">
        <f>IF(tech_base!$T165&gt;AR$1465,"",(tech_base!$J165/tech_proj!AR289*0.086*$N$110)/(1-tech_proj!AR569))</f>
        <v>0</v>
      </c>
      <c r="AS1629" s="119">
        <f>IF(tech_base!$T165&gt;AS$1465,"",(tech_base!$J165/tech_proj!AS289*0.086*$N$110)/(1-tech_proj!AS569))</f>
        <v>0</v>
      </c>
      <c r="AT1629" s="119">
        <f>IF(tech_base!$T165&gt;AT$1465,"",(tech_base!$J165/tech_proj!AT289*0.086*$N$110)/(1-tech_proj!AT569))</f>
        <v>0</v>
      </c>
      <c r="AU1629" s="119">
        <f>IF(tech_base!$T165&gt;AU$1465,"",(tech_base!$J165/tech_proj!AU289*0.086*$N$110)/(1-tech_proj!AU569))</f>
        <v>0</v>
      </c>
      <c r="AV1629" s="119">
        <f>IF(tech_base!$T165&gt;AV$1465,"",(tech_base!$J165/tech_proj!AV289*0.086*$N$110)/(1-tech_proj!AV569))</f>
        <v>0</v>
      </c>
      <c r="AW1629" s="119">
        <f>IF(tech_base!$T165&gt;AW$1465,"",(tech_base!$J165/tech_proj!AW289*0.086*$N$110)/(1-tech_proj!AW569))</f>
        <v>0</v>
      </c>
      <c r="AX1629" s="120">
        <f>IF(tech_base!$T165&gt;AX$1465,"",(tech_base!$J165/tech_proj!AX289*0.086*$N$110)/(1-tech_proj!AX569))</f>
        <v>0</v>
      </c>
    </row>
    <row r="1630" spans="1:50" x14ac:dyDescent="0.25">
      <c r="A1630" s="356"/>
      <c r="B1630" s="376"/>
      <c r="C1630" s="379"/>
      <c r="D1630" s="59" t="s">
        <v>10</v>
      </c>
      <c r="E1630" s="166" t="str">
        <f>A1605&amp;"/"&amp;B1625&amp;"/"&amp;C1628&amp;"/"&amp;D1630</f>
        <v>Diesel oil fired power plants/Steam turbine/CHP/S</v>
      </c>
      <c r="F1630" s="79" t="str">
        <f>A1605</f>
        <v>Diesel oil fired power plants</v>
      </c>
      <c r="G1630" s="79" t="str">
        <f>B1625</f>
        <v>Steam turbine</v>
      </c>
      <c r="H1630" s="79" t="str">
        <f>C1628</f>
        <v>CHP</v>
      </c>
      <c r="I1630" s="167" t="str">
        <f t="shared" si="379"/>
        <v>S</v>
      </c>
      <c r="J1630" s="125">
        <f>IF(tech_base!$T166&gt;J$1465,"",(tech_base!$J166/tech_proj!J290*0.086*$N$110)/(1-tech_proj!J570))</f>
        <v>0</v>
      </c>
      <c r="K1630" s="125">
        <f>IF(tech_base!$T166&gt;K$1465,"",(tech_base!$J166/tech_proj!K290*0.086*$N$110)/(1-tech_proj!K570))</f>
        <v>0</v>
      </c>
      <c r="L1630" s="125">
        <f>IF(tech_base!$T166&gt;L$1465,"",(tech_base!$J166/tech_proj!L290*0.086*$N$110)/(1-tech_proj!L570))</f>
        <v>0</v>
      </c>
      <c r="M1630" s="125">
        <f>IF(tech_base!$T166&gt;M$1465,"",(tech_base!$J166/tech_proj!M290*0.086*$N$110)/(1-tech_proj!M570))</f>
        <v>0</v>
      </c>
      <c r="N1630" s="125">
        <f>IF(tech_base!$T166&gt;N$1465,"",(tech_base!$J166/tech_proj!N290*0.086*$N$110)/(1-tech_proj!N570))</f>
        <v>0</v>
      </c>
      <c r="O1630" s="125">
        <f>IF(tech_base!$T166&gt;O$1465,"",(tech_base!$J166/tech_proj!O290*0.086*$N$110)/(1-tech_proj!O570))</f>
        <v>0</v>
      </c>
      <c r="P1630" s="125">
        <f>IF(tech_base!$T166&gt;P$1465,"",(tech_base!$J166/tech_proj!P290*0.086*$N$110)/(1-tech_proj!P570))</f>
        <v>0</v>
      </c>
      <c r="Q1630" s="125">
        <f>IF(tech_base!$T166&gt;Q$1465,"",(tech_base!$J166/tech_proj!Q290*0.086*$N$110)/(1-tech_proj!Q570))</f>
        <v>0</v>
      </c>
      <c r="R1630" s="125">
        <f>IF(tech_base!$T166&gt;R$1465,"",(tech_base!$J166/tech_proj!R290*0.086*$N$110)/(1-tech_proj!R570))</f>
        <v>0</v>
      </c>
      <c r="S1630" s="125">
        <f>IF(tech_base!$T166&gt;S$1465,"",(tech_base!$J166/tech_proj!S290*0.086*$N$110)/(1-tech_proj!S570))</f>
        <v>0</v>
      </c>
      <c r="T1630" s="125">
        <f>IF(tech_base!$T166&gt;T$1465,"",(tech_base!$J166/tech_proj!T290*0.086*$N$110)/(1-tech_proj!T570))</f>
        <v>0</v>
      </c>
      <c r="U1630" s="125">
        <f>IF(tech_base!$T166&gt;U$1465,"",(tech_base!$J166/tech_proj!U290*0.086*$N$110)/(1-tech_proj!U570))</f>
        <v>0</v>
      </c>
      <c r="V1630" s="125">
        <f>IF(tech_base!$T166&gt;V$1465,"",(tech_base!$J166/tech_proj!V290*0.086*$N$110)/(1-tech_proj!V570))</f>
        <v>0</v>
      </c>
      <c r="W1630" s="125">
        <f>IF(tech_base!$T166&gt;W$1465,"",(tech_base!$J166/tech_proj!W290*0.086*$N$110)/(1-tech_proj!W570))</f>
        <v>0</v>
      </c>
      <c r="X1630" s="125">
        <f>IF(tech_base!$T166&gt;X$1465,"",(tech_base!$J166/tech_proj!X290*0.086*$N$110)/(1-tech_proj!X570))</f>
        <v>0</v>
      </c>
      <c r="Y1630" s="125">
        <f>IF(tech_base!$T166&gt;Y$1465,"",(tech_base!$J166/tech_proj!Y290*0.086*$N$110)/(1-tech_proj!Y570))</f>
        <v>0</v>
      </c>
      <c r="Z1630" s="125">
        <f>IF(tech_base!$T166&gt;Z$1465,"",(tech_base!$J166/tech_proj!Z290*0.086*$N$110)/(1-tech_proj!Z570))</f>
        <v>0</v>
      </c>
      <c r="AA1630" s="125">
        <f>IF(tech_base!$T166&gt;AA$1465,"",(tech_base!$J166/tech_proj!AA290*0.086*$N$110)/(1-tech_proj!AA570))</f>
        <v>0</v>
      </c>
      <c r="AB1630" s="125">
        <f>IF(tech_base!$T166&gt;AB$1465,"",(tech_base!$J166/tech_proj!AB290*0.086*$N$110)/(1-tech_proj!AB570))</f>
        <v>0</v>
      </c>
      <c r="AC1630" s="125">
        <f>IF(tech_base!$T166&gt;AC$1465,"",(tech_base!$J166/tech_proj!AC290*0.086*$N$110)/(1-tech_proj!AC570))</f>
        <v>0</v>
      </c>
      <c r="AD1630" s="125">
        <f>IF(tech_base!$T166&gt;AD$1465,"",(tech_base!$J166/tech_proj!AD290*0.086*$N$110)/(1-tech_proj!AD570))</f>
        <v>0</v>
      </c>
      <c r="AE1630" s="125">
        <f>IF(tech_base!$T166&gt;AE$1465,"",(tech_base!$J166/tech_proj!AE290*0.086*$N$110)/(1-tech_proj!AE570))</f>
        <v>0</v>
      </c>
      <c r="AF1630" s="125">
        <f>IF(tech_base!$T166&gt;AF$1465,"",(tech_base!$J166/tech_proj!AF290*0.086*$N$110)/(1-tech_proj!AF570))</f>
        <v>0</v>
      </c>
      <c r="AG1630" s="125">
        <f>IF(tech_base!$T166&gt;AG$1465,"",(tech_base!$J166/tech_proj!AG290*0.086*$N$110)/(1-tech_proj!AG570))</f>
        <v>0</v>
      </c>
      <c r="AH1630" s="125">
        <f>IF(tech_base!$T166&gt;AH$1465,"",(tech_base!$J166/tech_proj!AH290*0.086*$N$110)/(1-tech_proj!AH570))</f>
        <v>0</v>
      </c>
      <c r="AI1630" s="125">
        <f>IF(tech_base!$T166&gt;AI$1465,"",(tech_base!$J166/tech_proj!AI290*0.086*$N$110)/(1-tech_proj!AI570))</f>
        <v>0</v>
      </c>
      <c r="AJ1630" s="125">
        <f>IF(tech_base!$T166&gt;AJ$1465,"",(tech_base!$J166/tech_proj!AJ290*0.086*$N$110)/(1-tech_proj!AJ570))</f>
        <v>0</v>
      </c>
      <c r="AK1630" s="125">
        <f>IF(tech_base!$T166&gt;AK$1465,"",(tech_base!$J166/tech_proj!AK290*0.086*$N$110)/(1-tech_proj!AK570))</f>
        <v>0</v>
      </c>
      <c r="AL1630" s="125">
        <f>IF(tech_base!$T166&gt;AL$1465,"",(tech_base!$J166/tech_proj!AL290*0.086*$N$110)/(1-tech_proj!AL570))</f>
        <v>0</v>
      </c>
      <c r="AM1630" s="125">
        <f>IF(tech_base!$T166&gt;AM$1465,"",(tech_base!$J166/tech_proj!AM290*0.086*$N$110)/(1-tech_proj!AM570))</f>
        <v>0</v>
      </c>
      <c r="AN1630" s="125">
        <f>IF(tech_base!$T166&gt;AN$1465,"",(tech_base!$J166/tech_proj!AN290*0.086*$N$110)/(1-tech_proj!AN570))</f>
        <v>0</v>
      </c>
      <c r="AO1630" s="125">
        <f>IF(tech_base!$T166&gt;AO$1465,"",(tech_base!$J166/tech_proj!AO290*0.086*$N$110)/(1-tech_proj!AO570))</f>
        <v>0</v>
      </c>
      <c r="AP1630" s="125">
        <f>IF(tech_base!$T166&gt;AP$1465,"",(tech_base!$J166/tech_proj!AP290*0.086*$N$110)/(1-tech_proj!AP570))</f>
        <v>0</v>
      </c>
      <c r="AQ1630" s="125">
        <f>IF(tech_base!$T166&gt;AQ$1465,"",(tech_base!$J166/tech_proj!AQ290*0.086*$N$110)/(1-tech_proj!AQ570))</f>
        <v>0</v>
      </c>
      <c r="AR1630" s="125">
        <f>IF(tech_base!$T166&gt;AR$1465,"",(tech_base!$J166/tech_proj!AR290*0.086*$N$110)/(1-tech_proj!AR570))</f>
        <v>0</v>
      </c>
      <c r="AS1630" s="125">
        <f>IF(tech_base!$T166&gt;AS$1465,"",(tech_base!$J166/tech_proj!AS290*0.086*$N$110)/(1-tech_proj!AS570))</f>
        <v>0</v>
      </c>
      <c r="AT1630" s="125">
        <f>IF(tech_base!$T166&gt;AT$1465,"",(tech_base!$J166/tech_proj!AT290*0.086*$N$110)/(1-tech_proj!AT570))</f>
        <v>0</v>
      </c>
      <c r="AU1630" s="125">
        <f>IF(tech_base!$T166&gt;AU$1465,"",(tech_base!$J166/tech_proj!AU290*0.086*$N$110)/(1-tech_proj!AU570))</f>
        <v>0</v>
      </c>
      <c r="AV1630" s="125">
        <f>IF(tech_base!$T166&gt;AV$1465,"",(tech_base!$J166/tech_proj!AV290*0.086*$N$110)/(1-tech_proj!AV570))</f>
        <v>0</v>
      </c>
      <c r="AW1630" s="125">
        <f>IF(tech_base!$T166&gt;AW$1465,"",(tech_base!$J166/tech_proj!AW290*0.086*$N$110)/(1-tech_proj!AW570))</f>
        <v>0</v>
      </c>
      <c r="AX1630" s="126">
        <f>IF(tech_base!$T166&gt;AX$1465,"",(tech_base!$J166/tech_proj!AX290*0.086*$N$110)/(1-tech_proj!AX570))</f>
        <v>0</v>
      </c>
    </row>
    <row r="1631" spans="1:50" x14ac:dyDescent="0.25">
      <c r="A1631" s="356"/>
      <c r="B1631" s="376"/>
      <c r="C1631" s="361" t="s">
        <v>15</v>
      </c>
      <c r="D1631" s="58" t="s">
        <v>7</v>
      </c>
      <c r="E1631" s="164" t="str">
        <f>A1605&amp;"/"&amp;B1625&amp;"/"&amp;C1631&amp;"/"&amp;D1631</f>
        <v>Diesel oil fired power plants/Steam turbine/Electricity only with CCS/L</v>
      </c>
      <c r="F1631" s="78" t="str">
        <f>A1605</f>
        <v>Diesel oil fired power plants</v>
      </c>
      <c r="G1631" s="78" t="str">
        <f>B1625</f>
        <v>Steam turbine</v>
      </c>
      <c r="H1631" s="78" t="str">
        <f>C1631</f>
        <v>Electricity only with CCS</v>
      </c>
      <c r="I1631" s="165" t="str">
        <f t="shared" si="379"/>
        <v>L</v>
      </c>
      <c r="J1631" s="123" t="str">
        <f>IF(tech_base!$T167&gt;J$1465,"",(tech_base!$J167/tech_proj!J291*0.086*$N$110)/(1-tech_proj!J571))</f>
        <v/>
      </c>
      <c r="K1631" s="123" t="str">
        <f>IF(tech_base!$T167&gt;K$1465,"",(tech_base!$J167/tech_proj!K291*0.086*$N$110)/(1-tech_proj!K571))</f>
        <v/>
      </c>
      <c r="L1631" s="123" t="str">
        <f>IF(tech_base!$T167&gt;L$1465,"",(tech_base!$J167/tech_proj!L291*0.086*$N$110)/(1-tech_proj!L571))</f>
        <v/>
      </c>
      <c r="M1631" s="123" t="str">
        <f>IF(tech_base!$T167&gt;M$1465,"",(tech_base!$J167/tech_proj!M291*0.086*$N$110)/(1-tech_proj!M571))</f>
        <v/>
      </c>
      <c r="N1631" s="123" t="str">
        <f>IF(tech_base!$T167&gt;N$1465,"",(tech_base!$J167/tech_proj!N291*0.086*$N$110)/(1-tech_proj!N571))</f>
        <v/>
      </c>
      <c r="O1631" s="123" t="str">
        <f>IF(tech_base!$T167&gt;O$1465,"",(tech_base!$J167/tech_proj!O291*0.086*$N$110)/(1-tech_proj!O571))</f>
        <v/>
      </c>
      <c r="P1631" s="123" t="str">
        <f>IF(tech_base!$T167&gt;P$1465,"",(tech_base!$J167/tech_proj!P291*0.086*$N$110)/(1-tech_proj!P571))</f>
        <v/>
      </c>
      <c r="Q1631" s="123" t="str">
        <f>IF(tech_base!$T167&gt;Q$1465,"",(tech_base!$J167/tech_proj!Q291*0.086*$N$110)/(1-tech_proj!Q571))</f>
        <v/>
      </c>
      <c r="R1631" s="123" t="str">
        <f>IF(tech_base!$T167&gt;R$1465,"",(tech_base!$J167/tech_proj!R291*0.086*$N$110)/(1-tech_proj!R571))</f>
        <v/>
      </c>
      <c r="S1631" s="123" t="str">
        <f>IF(tech_base!$T167&gt;S$1465,"",(tech_base!$J167/tech_proj!S291*0.086*$N$110)/(1-tech_proj!S571))</f>
        <v/>
      </c>
      <c r="T1631" s="123" t="str">
        <f>IF(tech_base!$T167&gt;T$1465,"",(tech_base!$J167/tech_proj!T291*0.086*$N$110)/(1-tech_proj!T571))</f>
        <v/>
      </c>
      <c r="U1631" s="123" t="str">
        <f>IF(tech_base!$T167&gt;U$1465,"",(tech_base!$J167/tech_proj!U291*0.086*$N$110)/(1-tech_proj!U571))</f>
        <v/>
      </c>
      <c r="V1631" s="123" t="str">
        <f>IF(tech_base!$T167&gt;V$1465,"",(tech_base!$J167/tech_proj!V291*0.086*$N$110)/(1-tech_proj!V571))</f>
        <v/>
      </c>
      <c r="W1631" s="123" t="str">
        <f>IF(tech_base!$T167&gt;W$1465,"",(tech_base!$J167/tech_proj!W291*0.086*$N$110)/(1-tech_proj!W571))</f>
        <v/>
      </c>
      <c r="X1631" s="123" t="str">
        <f>IF(tech_base!$T167&gt;X$1465,"",(tech_base!$J167/tech_proj!X291*0.086*$N$110)/(1-tech_proj!X571))</f>
        <v/>
      </c>
      <c r="Y1631" s="123" t="str">
        <f>IF(tech_base!$T167&gt;Y$1465,"",(tech_base!$J167/tech_proj!Y291*0.086*$N$110)/(1-tech_proj!Y571))</f>
        <v/>
      </c>
      <c r="Z1631" s="123" t="str">
        <f>IF(tech_base!$T167&gt;Z$1465,"",(tech_base!$J167/tech_proj!Z291*0.086*$N$110)/(1-tech_proj!Z571))</f>
        <v/>
      </c>
      <c r="AA1631" s="123" t="str">
        <f>IF(tech_base!$T167&gt;AA$1465,"",(tech_base!$J167/tech_proj!AA291*0.086*$N$110)/(1-tech_proj!AA571))</f>
        <v/>
      </c>
      <c r="AB1631" s="123" t="str">
        <f>IF(tech_base!$T167&gt;AB$1465,"",(tech_base!$J167/tech_proj!AB291*0.086*$N$110)/(1-tech_proj!AB571))</f>
        <v/>
      </c>
      <c r="AC1631" s="123" t="str">
        <f>IF(tech_base!$T167&gt;AC$1465,"",(tech_base!$J167/tech_proj!AC291*0.086*$N$110)/(1-tech_proj!AC571))</f>
        <v/>
      </c>
      <c r="AD1631" s="123" t="str">
        <f>IF(tech_base!$T167&gt;AD$1465,"",(tech_base!$J167/tech_proj!AD291*0.086*$N$110)/(1-tech_proj!AD571))</f>
        <v/>
      </c>
      <c r="AE1631" s="123">
        <f>IF(tech_base!$T167&gt;AE$1465,"",(tech_base!$J167/tech_proj!AE291*0.086*$N$110)/(1-tech_proj!AE571))</f>
        <v>0</v>
      </c>
      <c r="AF1631" s="123">
        <f>IF(tech_base!$T167&gt;AF$1465,"",(tech_base!$J167/tech_proj!AF291*0.086*$N$110)/(1-tech_proj!AF571))</f>
        <v>0</v>
      </c>
      <c r="AG1631" s="123">
        <f>IF(tech_base!$T167&gt;AG$1465,"",(tech_base!$J167/tech_proj!AG291*0.086*$N$110)/(1-tech_proj!AG571))</f>
        <v>0</v>
      </c>
      <c r="AH1631" s="123">
        <f>IF(tech_base!$T167&gt;AH$1465,"",(tech_base!$J167/tech_proj!AH291*0.086*$N$110)/(1-tech_proj!AH571))</f>
        <v>0</v>
      </c>
      <c r="AI1631" s="123">
        <f>IF(tech_base!$T167&gt;AI$1465,"",(tech_base!$J167/tech_proj!AI291*0.086*$N$110)/(1-tech_proj!AI571))</f>
        <v>0</v>
      </c>
      <c r="AJ1631" s="123">
        <f>IF(tech_base!$T167&gt;AJ$1465,"",(tech_base!$J167/tech_proj!AJ291*0.086*$N$110)/(1-tech_proj!AJ571))</f>
        <v>0</v>
      </c>
      <c r="AK1631" s="123">
        <f>IF(tech_base!$T167&gt;AK$1465,"",(tech_base!$J167/tech_proj!AK291*0.086*$N$110)/(1-tech_proj!AK571))</f>
        <v>0</v>
      </c>
      <c r="AL1631" s="123">
        <f>IF(tech_base!$T167&gt;AL$1465,"",(tech_base!$J167/tech_proj!AL291*0.086*$N$110)/(1-tech_proj!AL571))</f>
        <v>0</v>
      </c>
      <c r="AM1631" s="123">
        <f>IF(tech_base!$T167&gt;AM$1465,"",(tech_base!$J167/tech_proj!AM291*0.086*$N$110)/(1-tech_proj!AM571))</f>
        <v>0</v>
      </c>
      <c r="AN1631" s="123">
        <f>IF(tech_base!$T167&gt;AN$1465,"",(tech_base!$J167/tech_proj!AN291*0.086*$N$110)/(1-tech_proj!AN571))</f>
        <v>0</v>
      </c>
      <c r="AO1631" s="123">
        <f>IF(tech_base!$T167&gt;AO$1465,"",(tech_base!$J167/tech_proj!AO291*0.086*$N$110)/(1-tech_proj!AO571))</f>
        <v>0</v>
      </c>
      <c r="AP1631" s="123">
        <f>IF(tech_base!$T167&gt;AP$1465,"",(tech_base!$J167/tech_proj!AP291*0.086*$N$110)/(1-tech_proj!AP571))</f>
        <v>0</v>
      </c>
      <c r="AQ1631" s="123">
        <f>IF(tech_base!$T167&gt;AQ$1465,"",(tech_base!$J167/tech_proj!AQ291*0.086*$N$110)/(1-tech_proj!AQ571))</f>
        <v>0</v>
      </c>
      <c r="AR1631" s="123">
        <f>IF(tech_base!$T167&gt;AR$1465,"",(tech_base!$J167/tech_proj!AR291*0.086*$N$110)/(1-tech_proj!AR571))</f>
        <v>0</v>
      </c>
      <c r="AS1631" s="123">
        <f>IF(tech_base!$T167&gt;AS$1465,"",(tech_base!$J167/tech_proj!AS291*0.086*$N$110)/(1-tech_proj!AS571))</f>
        <v>0</v>
      </c>
      <c r="AT1631" s="123">
        <f>IF(tech_base!$T167&gt;AT$1465,"",(tech_base!$J167/tech_proj!AT291*0.086*$N$110)/(1-tech_proj!AT571))</f>
        <v>0</v>
      </c>
      <c r="AU1631" s="123">
        <f>IF(tech_base!$T167&gt;AU$1465,"",(tech_base!$J167/tech_proj!AU291*0.086*$N$110)/(1-tech_proj!AU571))</f>
        <v>0</v>
      </c>
      <c r="AV1631" s="123">
        <f>IF(tech_base!$T167&gt;AV$1465,"",(tech_base!$J167/tech_proj!AV291*0.086*$N$110)/(1-tech_proj!AV571))</f>
        <v>0</v>
      </c>
      <c r="AW1631" s="123">
        <f>IF(tech_base!$T167&gt;AW$1465,"",(tech_base!$J167/tech_proj!AW291*0.086*$N$110)/(1-tech_proj!AW571))</f>
        <v>0</v>
      </c>
      <c r="AX1631" s="124">
        <f>IF(tech_base!$T167&gt;AX$1465,"",(tech_base!$J167/tech_proj!AX291*0.086*$N$110)/(1-tech_proj!AX571))</f>
        <v>0</v>
      </c>
    </row>
    <row r="1632" spans="1:50" x14ac:dyDescent="0.25">
      <c r="A1632" s="356"/>
      <c r="B1632" s="376"/>
      <c r="C1632" s="379"/>
      <c r="D1632" s="59" t="s">
        <v>8</v>
      </c>
      <c r="E1632" s="166" t="str">
        <f>A1605&amp;"/"&amp;B1625&amp;"/"&amp;C1631&amp;"/"&amp;D1632</f>
        <v>Diesel oil fired power plants/Steam turbine/Electricity only with CCS/M</v>
      </c>
      <c r="F1632" s="79" t="str">
        <f>A1605</f>
        <v>Diesel oil fired power plants</v>
      </c>
      <c r="G1632" s="79" t="str">
        <f>B1625</f>
        <v>Steam turbine</v>
      </c>
      <c r="H1632" s="79" t="str">
        <f>C1631</f>
        <v>Electricity only with CCS</v>
      </c>
      <c r="I1632" s="167" t="str">
        <f t="shared" si="379"/>
        <v>M</v>
      </c>
      <c r="J1632" s="125" t="str">
        <f>IF(tech_base!$T168&gt;J$1465,"",(tech_base!$J168/tech_proj!J292*0.086*$N$110)/(1-tech_proj!J572))</f>
        <v/>
      </c>
      <c r="K1632" s="125" t="str">
        <f>IF(tech_base!$T168&gt;K$1465,"",(tech_base!$J168/tech_proj!K292*0.086*$N$110)/(1-tech_proj!K572))</f>
        <v/>
      </c>
      <c r="L1632" s="125" t="str">
        <f>IF(tech_base!$T168&gt;L$1465,"",(tech_base!$J168/tech_proj!L292*0.086*$N$110)/(1-tech_proj!L572))</f>
        <v/>
      </c>
      <c r="M1632" s="125" t="str">
        <f>IF(tech_base!$T168&gt;M$1465,"",(tech_base!$J168/tech_proj!M292*0.086*$N$110)/(1-tech_proj!M572))</f>
        <v/>
      </c>
      <c r="N1632" s="125" t="str">
        <f>IF(tech_base!$T168&gt;N$1465,"",(tech_base!$J168/tech_proj!N292*0.086*$N$110)/(1-tech_proj!N572))</f>
        <v/>
      </c>
      <c r="O1632" s="125" t="str">
        <f>IF(tech_base!$T168&gt;O$1465,"",(tech_base!$J168/tech_proj!O292*0.086*$N$110)/(1-tech_proj!O572))</f>
        <v/>
      </c>
      <c r="P1632" s="125" t="str">
        <f>IF(tech_base!$T168&gt;P$1465,"",(tech_base!$J168/tech_proj!P292*0.086*$N$110)/(1-tech_proj!P572))</f>
        <v/>
      </c>
      <c r="Q1632" s="125" t="str">
        <f>IF(tech_base!$T168&gt;Q$1465,"",(tech_base!$J168/tech_proj!Q292*0.086*$N$110)/(1-tech_proj!Q572))</f>
        <v/>
      </c>
      <c r="R1632" s="125" t="str">
        <f>IF(tech_base!$T168&gt;R$1465,"",(tech_base!$J168/tech_proj!R292*0.086*$N$110)/(1-tech_proj!R572))</f>
        <v/>
      </c>
      <c r="S1632" s="125" t="str">
        <f>IF(tech_base!$T168&gt;S$1465,"",(tech_base!$J168/tech_proj!S292*0.086*$N$110)/(1-tech_proj!S572))</f>
        <v/>
      </c>
      <c r="T1632" s="125" t="str">
        <f>IF(tech_base!$T168&gt;T$1465,"",(tech_base!$J168/tech_proj!T292*0.086*$N$110)/(1-tech_proj!T572))</f>
        <v/>
      </c>
      <c r="U1632" s="125" t="str">
        <f>IF(tech_base!$T168&gt;U$1465,"",(tech_base!$J168/tech_proj!U292*0.086*$N$110)/(1-tech_proj!U572))</f>
        <v/>
      </c>
      <c r="V1632" s="125" t="str">
        <f>IF(tech_base!$T168&gt;V$1465,"",(tech_base!$J168/tech_proj!V292*0.086*$N$110)/(1-tech_proj!V572))</f>
        <v/>
      </c>
      <c r="W1632" s="125" t="str">
        <f>IF(tech_base!$T168&gt;W$1465,"",(tech_base!$J168/tech_proj!W292*0.086*$N$110)/(1-tech_proj!W572))</f>
        <v/>
      </c>
      <c r="X1632" s="125" t="str">
        <f>IF(tech_base!$T168&gt;X$1465,"",(tech_base!$J168/tech_proj!X292*0.086*$N$110)/(1-tech_proj!X572))</f>
        <v/>
      </c>
      <c r="Y1632" s="125" t="str">
        <f>IF(tech_base!$T168&gt;Y$1465,"",(tech_base!$J168/tech_proj!Y292*0.086*$N$110)/(1-tech_proj!Y572))</f>
        <v/>
      </c>
      <c r="Z1632" s="125" t="str">
        <f>IF(tech_base!$T168&gt;Z$1465,"",(tech_base!$J168/tech_proj!Z292*0.086*$N$110)/(1-tech_proj!Z572))</f>
        <v/>
      </c>
      <c r="AA1632" s="125" t="str">
        <f>IF(tech_base!$T168&gt;AA$1465,"",(tech_base!$J168/tech_proj!AA292*0.086*$N$110)/(1-tech_proj!AA572))</f>
        <v/>
      </c>
      <c r="AB1632" s="125" t="str">
        <f>IF(tech_base!$T168&gt;AB$1465,"",(tech_base!$J168/tech_proj!AB292*0.086*$N$110)/(1-tech_proj!AB572))</f>
        <v/>
      </c>
      <c r="AC1632" s="125" t="str">
        <f>IF(tech_base!$T168&gt;AC$1465,"",(tech_base!$J168/tech_proj!AC292*0.086*$N$110)/(1-tech_proj!AC572))</f>
        <v/>
      </c>
      <c r="AD1632" s="125" t="str">
        <f>IF(tech_base!$T168&gt;AD$1465,"",(tech_base!$J168/tech_proj!AD292*0.086*$N$110)/(1-tech_proj!AD572))</f>
        <v/>
      </c>
      <c r="AE1632" s="125">
        <f>IF(tech_base!$T168&gt;AE$1465,"",(tech_base!$J168/tech_proj!AE292*0.086*$N$110)/(1-tech_proj!AE572))</f>
        <v>0</v>
      </c>
      <c r="AF1632" s="125">
        <f>IF(tech_base!$T168&gt;AF$1465,"",(tech_base!$J168/tech_proj!AF292*0.086*$N$110)/(1-tech_proj!AF572))</f>
        <v>0</v>
      </c>
      <c r="AG1632" s="125">
        <f>IF(tech_base!$T168&gt;AG$1465,"",(tech_base!$J168/tech_proj!AG292*0.086*$N$110)/(1-tech_proj!AG572))</f>
        <v>0</v>
      </c>
      <c r="AH1632" s="125">
        <f>IF(tech_base!$T168&gt;AH$1465,"",(tech_base!$J168/tech_proj!AH292*0.086*$N$110)/(1-tech_proj!AH572))</f>
        <v>0</v>
      </c>
      <c r="AI1632" s="125">
        <f>IF(tech_base!$T168&gt;AI$1465,"",(tech_base!$J168/tech_proj!AI292*0.086*$N$110)/(1-tech_proj!AI572))</f>
        <v>0</v>
      </c>
      <c r="AJ1632" s="125">
        <f>IF(tech_base!$T168&gt;AJ$1465,"",(tech_base!$J168/tech_proj!AJ292*0.086*$N$110)/(1-tech_proj!AJ572))</f>
        <v>0</v>
      </c>
      <c r="AK1632" s="125">
        <f>IF(tech_base!$T168&gt;AK$1465,"",(tech_base!$J168/tech_proj!AK292*0.086*$N$110)/(1-tech_proj!AK572))</f>
        <v>0</v>
      </c>
      <c r="AL1632" s="125">
        <f>IF(tech_base!$T168&gt;AL$1465,"",(tech_base!$J168/tech_proj!AL292*0.086*$N$110)/(1-tech_proj!AL572))</f>
        <v>0</v>
      </c>
      <c r="AM1632" s="125">
        <f>IF(tech_base!$T168&gt;AM$1465,"",(tech_base!$J168/tech_proj!AM292*0.086*$N$110)/(1-tech_proj!AM572))</f>
        <v>0</v>
      </c>
      <c r="AN1632" s="125">
        <f>IF(tech_base!$T168&gt;AN$1465,"",(tech_base!$J168/tech_proj!AN292*0.086*$N$110)/(1-tech_proj!AN572))</f>
        <v>0</v>
      </c>
      <c r="AO1632" s="125">
        <f>IF(tech_base!$T168&gt;AO$1465,"",(tech_base!$J168/tech_proj!AO292*0.086*$N$110)/(1-tech_proj!AO572))</f>
        <v>0</v>
      </c>
      <c r="AP1632" s="125">
        <f>IF(tech_base!$T168&gt;AP$1465,"",(tech_base!$J168/tech_proj!AP292*0.086*$N$110)/(1-tech_proj!AP572))</f>
        <v>0</v>
      </c>
      <c r="AQ1632" s="125">
        <f>IF(tech_base!$T168&gt;AQ$1465,"",(tech_base!$J168/tech_proj!AQ292*0.086*$N$110)/(1-tech_proj!AQ572))</f>
        <v>0</v>
      </c>
      <c r="AR1632" s="125">
        <f>IF(tech_base!$T168&gt;AR$1465,"",(tech_base!$J168/tech_proj!AR292*0.086*$N$110)/(1-tech_proj!AR572))</f>
        <v>0</v>
      </c>
      <c r="AS1632" s="125">
        <f>IF(tech_base!$T168&gt;AS$1465,"",(tech_base!$J168/tech_proj!AS292*0.086*$N$110)/(1-tech_proj!AS572))</f>
        <v>0</v>
      </c>
      <c r="AT1632" s="125">
        <f>IF(tech_base!$T168&gt;AT$1465,"",(tech_base!$J168/tech_proj!AT292*0.086*$N$110)/(1-tech_proj!AT572))</f>
        <v>0</v>
      </c>
      <c r="AU1632" s="125">
        <f>IF(tech_base!$T168&gt;AU$1465,"",(tech_base!$J168/tech_proj!AU292*0.086*$N$110)/(1-tech_proj!AU572))</f>
        <v>0</v>
      </c>
      <c r="AV1632" s="125">
        <f>IF(tech_base!$T168&gt;AV$1465,"",(tech_base!$J168/tech_proj!AV292*0.086*$N$110)/(1-tech_proj!AV572))</f>
        <v>0</v>
      </c>
      <c r="AW1632" s="125">
        <f>IF(tech_base!$T168&gt;AW$1465,"",(tech_base!$J168/tech_proj!AW292*0.086*$N$110)/(1-tech_proj!AW572))</f>
        <v>0</v>
      </c>
      <c r="AX1632" s="126">
        <f>IF(tech_base!$T168&gt;AX$1465,"",(tech_base!$J168/tech_proj!AX292*0.086*$N$110)/(1-tech_proj!AX572))</f>
        <v>0</v>
      </c>
    </row>
    <row r="1633" spans="1:50" x14ac:dyDescent="0.25">
      <c r="A1633" s="356"/>
      <c r="B1633" s="376"/>
      <c r="C1633" s="361" t="s">
        <v>16</v>
      </c>
      <c r="D1633" s="2" t="s">
        <v>7</v>
      </c>
      <c r="E1633" s="160" t="str">
        <f>A1605&amp;"/"&amp;B1625&amp;"/"&amp;C1633&amp;"/"&amp;D1633</f>
        <v>Diesel oil fired power plants/Steam turbine/CHP with CCS/L</v>
      </c>
      <c r="F1633" s="76" t="str">
        <f>A1605</f>
        <v>Diesel oil fired power plants</v>
      </c>
      <c r="G1633" s="76" t="str">
        <f>B1625</f>
        <v>Steam turbine</v>
      </c>
      <c r="H1633" s="76" t="str">
        <f>C1633</f>
        <v>CHP with CCS</v>
      </c>
      <c r="I1633" s="161" t="str">
        <f t="shared" si="379"/>
        <v>L</v>
      </c>
      <c r="J1633" s="119" t="str">
        <f>IF(tech_base!$T169&gt;J$1465,"",(tech_base!$J169/tech_proj!J293*0.086*$N$110)/(1-tech_proj!J573))</f>
        <v/>
      </c>
      <c r="K1633" s="119" t="str">
        <f>IF(tech_base!$T169&gt;K$1465,"",(tech_base!$J169/tech_proj!K293*0.086*$N$110)/(1-tech_proj!K573))</f>
        <v/>
      </c>
      <c r="L1633" s="119" t="str">
        <f>IF(tech_base!$T169&gt;L$1465,"",(tech_base!$J169/tech_proj!L293*0.086*$N$110)/(1-tech_proj!L573))</f>
        <v/>
      </c>
      <c r="M1633" s="119" t="str">
        <f>IF(tech_base!$T169&gt;M$1465,"",(tech_base!$J169/tech_proj!M293*0.086*$N$110)/(1-tech_proj!M573))</f>
        <v/>
      </c>
      <c r="N1633" s="119" t="str">
        <f>IF(tech_base!$T169&gt;N$1465,"",(tech_base!$J169/tech_proj!N293*0.086*$N$110)/(1-tech_proj!N573))</f>
        <v/>
      </c>
      <c r="O1633" s="119" t="str">
        <f>IF(tech_base!$T169&gt;O$1465,"",(tech_base!$J169/tech_proj!O293*0.086*$N$110)/(1-tech_proj!O573))</f>
        <v/>
      </c>
      <c r="P1633" s="119" t="str">
        <f>IF(tech_base!$T169&gt;P$1465,"",(tech_base!$J169/tech_proj!P293*0.086*$N$110)/(1-tech_proj!P573))</f>
        <v/>
      </c>
      <c r="Q1633" s="119" t="str">
        <f>IF(tech_base!$T169&gt;Q$1465,"",(tech_base!$J169/tech_proj!Q293*0.086*$N$110)/(1-tech_proj!Q573))</f>
        <v/>
      </c>
      <c r="R1633" s="119" t="str">
        <f>IF(tech_base!$T169&gt;R$1465,"",(tech_base!$J169/tech_proj!R293*0.086*$N$110)/(1-tech_proj!R573))</f>
        <v/>
      </c>
      <c r="S1633" s="119" t="str">
        <f>IF(tech_base!$T169&gt;S$1465,"",(tech_base!$J169/tech_proj!S293*0.086*$N$110)/(1-tech_proj!S573))</f>
        <v/>
      </c>
      <c r="T1633" s="119" t="str">
        <f>IF(tech_base!$T169&gt;T$1465,"",(tech_base!$J169/tech_proj!T293*0.086*$N$110)/(1-tech_proj!T573))</f>
        <v/>
      </c>
      <c r="U1633" s="119" t="str">
        <f>IF(tech_base!$T169&gt;U$1465,"",(tech_base!$J169/tech_proj!U293*0.086*$N$110)/(1-tech_proj!U573))</f>
        <v/>
      </c>
      <c r="V1633" s="119" t="str">
        <f>IF(tech_base!$T169&gt;V$1465,"",(tech_base!$J169/tech_proj!V293*0.086*$N$110)/(1-tech_proj!V573))</f>
        <v/>
      </c>
      <c r="W1633" s="119" t="str">
        <f>IF(tech_base!$T169&gt;W$1465,"",(tech_base!$J169/tech_proj!W293*0.086*$N$110)/(1-tech_proj!W573))</f>
        <v/>
      </c>
      <c r="X1633" s="119" t="str">
        <f>IF(tech_base!$T169&gt;X$1465,"",(tech_base!$J169/tech_proj!X293*0.086*$N$110)/(1-tech_proj!X573))</f>
        <v/>
      </c>
      <c r="Y1633" s="119" t="str">
        <f>IF(tech_base!$T169&gt;Y$1465,"",(tech_base!$J169/tech_proj!Y293*0.086*$N$110)/(1-tech_proj!Y573))</f>
        <v/>
      </c>
      <c r="Z1633" s="119" t="str">
        <f>IF(tech_base!$T169&gt;Z$1465,"",(tech_base!$J169/tech_proj!Z293*0.086*$N$110)/(1-tech_proj!Z573))</f>
        <v/>
      </c>
      <c r="AA1633" s="119" t="str">
        <f>IF(tech_base!$T169&gt;AA$1465,"",(tech_base!$J169/tech_proj!AA293*0.086*$N$110)/(1-tech_proj!AA573))</f>
        <v/>
      </c>
      <c r="AB1633" s="119" t="str">
        <f>IF(tech_base!$T169&gt;AB$1465,"",(tech_base!$J169/tech_proj!AB293*0.086*$N$110)/(1-tech_proj!AB573))</f>
        <v/>
      </c>
      <c r="AC1633" s="119" t="str">
        <f>IF(tech_base!$T169&gt;AC$1465,"",(tech_base!$J169/tech_proj!AC293*0.086*$N$110)/(1-tech_proj!AC573))</f>
        <v/>
      </c>
      <c r="AD1633" s="119" t="str">
        <f>IF(tech_base!$T169&gt;AD$1465,"",(tech_base!$J169/tech_proj!AD293*0.086*$N$110)/(1-tech_proj!AD573))</f>
        <v/>
      </c>
      <c r="AE1633" s="119">
        <f>IF(tech_base!$T169&gt;AE$1465,"",(tech_base!$J169/tech_proj!AE293*0.086*$N$110)/(1-tech_proj!AE573))</f>
        <v>0</v>
      </c>
      <c r="AF1633" s="119">
        <f>IF(tech_base!$T169&gt;AF$1465,"",(tech_base!$J169/tech_proj!AF293*0.086*$N$110)/(1-tech_proj!AF573))</f>
        <v>0</v>
      </c>
      <c r="AG1633" s="119">
        <f>IF(tech_base!$T169&gt;AG$1465,"",(tech_base!$J169/tech_proj!AG293*0.086*$N$110)/(1-tech_proj!AG573))</f>
        <v>0</v>
      </c>
      <c r="AH1633" s="119">
        <f>IF(tech_base!$T169&gt;AH$1465,"",(tech_base!$J169/tech_proj!AH293*0.086*$N$110)/(1-tech_proj!AH573))</f>
        <v>0</v>
      </c>
      <c r="AI1633" s="119">
        <f>IF(tech_base!$T169&gt;AI$1465,"",(tech_base!$J169/tech_proj!AI293*0.086*$N$110)/(1-tech_proj!AI573))</f>
        <v>0</v>
      </c>
      <c r="AJ1633" s="119">
        <f>IF(tech_base!$T169&gt;AJ$1465,"",(tech_base!$J169/tech_proj!AJ293*0.086*$N$110)/(1-tech_proj!AJ573))</f>
        <v>0</v>
      </c>
      <c r="AK1633" s="119">
        <f>IF(tech_base!$T169&gt;AK$1465,"",(tech_base!$J169/tech_proj!AK293*0.086*$N$110)/(1-tech_proj!AK573))</f>
        <v>0</v>
      </c>
      <c r="AL1633" s="119">
        <f>IF(tech_base!$T169&gt;AL$1465,"",(tech_base!$J169/tech_proj!AL293*0.086*$N$110)/(1-tech_proj!AL573))</f>
        <v>0</v>
      </c>
      <c r="AM1633" s="119">
        <f>IF(tech_base!$T169&gt;AM$1465,"",(tech_base!$J169/tech_proj!AM293*0.086*$N$110)/(1-tech_proj!AM573))</f>
        <v>0</v>
      </c>
      <c r="AN1633" s="119">
        <f>IF(tech_base!$T169&gt;AN$1465,"",(tech_base!$J169/tech_proj!AN293*0.086*$N$110)/(1-tech_proj!AN573))</f>
        <v>0</v>
      </c>
      <c r="AO1633" s="119">
        <f>IF(tech_base!$T169&gt;AO$1465,"",(tech_base!$J169/tech_proj!AO293*0.086*$N$110)/(1-tech_proj!AO573))</f>
        <v>0</v>
      </c>
      <c r="AP1633" s="119">
        <f>IF(tech_base!$T169&gt;AP$1465,"",(tech_base!$J169/tech_proj!AP293*0.086*$N$110)/(1-tech_proj!AP573))</f>
        <v>0</v>
      </c>
      <c r="AQ1633" s="119">
        <f>IF(tech_base!$T169&gt;AQ$1465,"",(tech_base!$J169/tech_proj!AQ293*0.086*$N$110)/(1-tech_proj!AQ573))</f>
        <v>0</v>
      </c>
      <c r="AR1633" s="119">
        <f>IF(tech_base!$T169&gt;AR$1465,"",(tech_base!$J169/tech_proj!AR293*0.086*$N$110)/(1-tech_proj!AR573))</f>
        <v>0</v>
      </c>
      <c r="AS1633" s="119">
        <f>IF(tech_base!$T169&gt;AS$1465,"",(tech_base!$J169/tech_proj!AS293*0.086*$N$110)/(1-tech_proj!AS573))</f>
        <v>0</v>
      </c>
      <c r="AT1633" s="119">
        <f>IF(tech_base!$T169&gt;AT$1465,"",(tech_base!$J169/tech_proj!AT293*0.086*$N$110)/(1-tech_proj!AT573))</f>
        <v>0</v>
      </c>
      <c r="AU1633" s="119">
        <f>IF(tech_base!$T169&gt;AU$1465,"",(tech_base!$J169/tech_proj!AU293*0.086*$N$110)/(1-tech_proj!AU573))</f>
        <v>0</v>
      </c>
      <c r="AV1633" s="119">
        <f>IF(tech_base!$T169&gt;AV$1465,"",(tech_base!$J169/tech_proj!AV293*0.086*$N$110)/(1-tech_proj!AV573))</f>
        <v>0</v>
      </c>
      <c r="AW1633" s="119">
        <f>IF(tech_base!$T169&gt;AW$1465,"",(tech_base!$J169/tech_proj!AW293*0.086*$N$110)/(1-tech_proj!AW573))</f>
        <v>0</v>
      </c>
      <c r="AX1633" s="120">
        <f>IF(tech_base!$T169&gt;AX$1465,"",(tech_base!$J169/tech_proj!AX293*0.086*$N$110)/(1-tech_proj!AX573))</f>
        <v>0</v>
      </c>
    </row>
    <row r="1634" spans="1:50" x14ac:dyDescent="0.25">
      <c r="A1634" s="356"/>
      <c r="B1634" s="380"/>
      <c r="C1634" s="381"/>
      <c r="D1634" s="4" t="s">
        <v>8</v>
      </c>
      <c r="E1634" s="168" t="str">
        <f>A1605&amp;"/"&amp;B1625&amp;"/"&amp;C1633&amp;"/"&amp;D1634</f>
        <v>Diesel oil fired power plants/Steam turbine/CHP with CCS/M</v>
      </c>
      <c r="F1634" s="80" t="str">
        <f>A1605</f>
        <v>Diesel oil fired power plants</v>
      </c>
      <c r="G1634" s="80" t="str">
        <f>B1625</f>
        <v>Steam turbine</v>
      </c>
      <c r="H1634" s="80" t="str">
        <f>C1633</f>
        <v>CHP with CCS</v>
      </c>
      <c r="I1634" s="169" t="str">
        <f t="shared" si="379"/>
        <v>M</v>
      </c>
      <c r="J1634" s="127" t="str">
        <f>IF(tech_base!$T170&gt;J$1465,"",(tech_base!$J170/tech_proj!J294*0.086*$N$110)/(1-tech_proj!J574))</f>
        <v/>
      </c>
      <c r="K1634" s="127" t="str">
        <f>IF(tech_base!$T170&gt;K$1465,"",(tech_base!$J170/tech_proj!K294*0.086*$N$110)/(1-tech_proj!K574))</f>
        <v/>
      </c>
      <c r="L1634" s="127" t="str">
        <f>IF(tech_base!$T170&gt;L$1465,"",(tech_base!$J170/tech_proj!L294*0.086*$N$110)/(1-tech_proj!L574))</f>
        <v/>
      </c>
      <c r="M1634" s="127" t="str">
        <f>IF(tech_base!$T170&gt;M$1465,"",(tech_base!$J170/tech_proj!M294*0.086*$N$110)/(1-tech_proj!M574))</f>
        <v/>
      </c>
      <c r="N1634" s="127" t="str">
        <f>IF(tech_base!$T170&gt;N$1465,"",(tech_base!$J170/tech_proj!N294*0.086*$N$110)/(1-tech_proj!N574))</f>
        <v/>
      </c>
      <c r="O1634" s="127" t="str">
        <f>IF(tech_base!$T170&gt;O$1465,"",(tech_base!$J170/tech_proj!O294*0.086*$N$110)/(1-tech_proj!O574))</f>
        <v/>
      </c>
      <c r="P1634" s="127" t="str">
        <f>IF(tech_base!$T170&gt;P$1465,"",(tech_base!$J170/tech_proj!P294*0.086*$N$110)/(1-tech_proj!P574))</f>
        <v/>
      </c>
      <c r="Q1634" s="127" t="str">
        <f>IF(tech_base!$T170&gt;Q$1465,"",(tech_base!$J170/tech_proj!Q294*0.086*$N$110)/(1-tech_proj!Q574))</f>
        <v/>
      </c>
      <c r="R1634" s="127" t="str">
        <f>IF(tech_base!$T170&gt;R$1465,"",(tech_base!$J170/tech_proj!R294*0.086*$N$110)/(1-tech_proj!R574))</f>
        <v/>
      </c>
      <c r="S1634" s="127" t="str">
        <f>IF(tech_base!$T170&gt;S$1465,"",(tech_base!$J170/tech_proj!S294*0.086*$N$110)/(1-tech_proj!S574))</f>
        <v/>
      </c>
      <c r="T1634" s="127" t="str">
        <f>IF(tech_base!$T170&gt;T$1465,"",(tech_base!$J170/tech_proj!T294*0.086*$N$110)/(1-tech_proj!T574))</f>
        <v/>
      </c>
      <c r="U1634" s="127" t="str">
        <f>IF(tech_base!$T170&gt;U$1465,"",(tech_base!$J170/tech_proj!U294*0.086*$N$110)/(1-tech_proj!U574))</f>
        <v/>
      </c>
      <c r="V1634" s="127" t="str">
        <f>IF(tech_base!$T170&gt;V$1465,"",(tech_base!$J170/tech_proj!V294*0.086*$N$110)/(1-tech_proj!V574))</f>
        <v/>
      </c>
      <c r="W1634" s="127" t="str">
        <f>IF(tech_base!$T170&gt;W$1465,"",(tech_base!$J170/tech_proj!W294*0.086*$N$110)/(1-tech_proj!W574))</f>
        <v/>
      </c>
      <c r="X1634" s="127" t="str">
        <f>IF(tech_base!$T170&gt;X$1465,"",(tech_base!$J170/tech_proj!X294*0.086*$N$110)/(1-tech_proj!X574))</f>
        <v/>
      </c>
      <c r="Y1634" s="127" t="str">
        <f>IF(tech_base!$T170&gt;Y$1465,"",(tech_base!$J170/tech_proj!Y294*0.086*$N$110)/(1-tech_proj!Y574))</f>
        <v/>
      </c>
      <c r="Z1634" s="127" t="str">
        <f>IF(tech_base!$T170&gt;Z$1465,"",(tech_base!$J170/tech_proj!Z294*0.086*$N$110)/(1-tech_proj!Z574))</f>
        <v/>
      </c>
      <c r="AA1634" s="127" t="str">
        <f>IF(tech_base!$T170&gt;AA$1465,"",(tech_base!$J170/tech_proj!AA294*0.086*$N$110)/(1-tech_proj!AA574))</f>
        <v/>
      </c>
      <c r="AB1634" s="127" t="str">
        <f>IF(tech_base!$T170&gt;AB$1465,"",(tech_base!$J170/tech_proj!AB294*0.086*$N$110)/(1-tech_proj!AB574))</f>
        <v/>
      </c>
      <c r="AC1634" s="127" t="str">
        <f>IF(tech_base!$T170&gt;AC$1465,"",(tech_base!$J170/tech_proj!AC294*0.086*$N$110)/(1-tech_proj!AC574))</f>
        <v/>
      </c>
      <c r="AD1634" s="127" t="str">
        <f>IF(tech_base!$T170&gt;AD$1465,"",(tech_base!$J170/tech_proj!AD294*0.086*$N$110)/(1-tech_proj!AD574))</f>
        <v/>
      </c>
      <c r="AE1634" s="127">
        <f>IF(tech_base!$T170&gt;AE$1465,"",(tech_base!$J170/tech_proj!AE294*0.086*$N$110)/(1-tech_proj!AE574))</f>
        <v>0</v>
      </c>
      <c r="AF1634" s="127">
        <f>IF(tech_base!$T170&gt;AF$1465,"",(tech_base!$J170/tech_proj!AF294*0.086*$N$110)/(1-tech_proj!AF574))</f>
        <v>0</v>
      </c>
      <c r="AG1634" s="127">
        <f>IF(tech_base!$T170&gt;AG$1465,"",(tech_base!$J170/tech_proj!AG294*0.086*$N$110)/(1-tech_proj!AG574))</f>
        <v>0</v>
      </c>
      <c r="AH1634" s="127">
        <f>IF(tech_base!$T170&gt;AH$1465,"",(tech_base!$J170/tech_proj!AH294*0.086*$N$110)/(1-tech_proj!AH574))</f>
        <v>0</v>
      </c>
      <c r="AI1634" s="127">
        <f>IF(tech_base!$T170&gt;AI$1465,"",(tech_base!$J170/tech_proj!AI294*0.086*$N$110)/(1-tech_proj!AI574))</f>
        <v>0</v>
      </c>
      <c r="AJ1634" s="127">
        <f>IF(tech_base!$T170&gt;AJ$1465,"",(tech_base!$J170/tech_proj!AJ294*0.086*$N$110)/(1-tech_proj!AJ574))</f>
        <v>0</v>
      </c>
      <c r="AK1634" s="127">
        <f>IF(tech_base!$T170&gt;AK$1465,"",(tech_base!$J170/tech_proj!AK294*0.086*$N$110)/(1-tech_proj!AK574))</f>
        <v>0</v>
      </c>
      <c r="AL1634" s="127">
        <f>IF(tech_base!$T170&gt;AL$1465,"",(tech_base!$J170/tech_proj!AL294*0.086*$N$110)/(1-tech_proj!AL574))</f>
        <v>0</v>
      </c>
      <c r="AM1634" s="127">
        <f>IF(tech_base!$T170&gt;AM$1465,"",(tech_base!$J170/tech_proj!AM294*0.086*$N$110)/(1-tech_proj!AM574))</f>
        <v>0</v>
      </c>
      <c r="AN1634" s="127">
        <f>IF(tech_base!$T170&gt;AN$1465,"",(tech_base!$J170/tech_proj!AN294*0.086*$N$110)/(1-tech_proj!AN574))</f>
        <v>0</v>
      </c>
      <c r="AO1634" s="127">
        <f>IF(tech_base!$T170&gt;AO$1465,"",(tech_base!$J170/tech_proj!AO294*0.086*$N$110)/(1-tech_proj!AO574))</f>
        <v>0</v>
      </c>
      <c r="AP1634" s="127">
        <f>IF(tech_base!$T170&gt;AP$1465,"",(tech_base!$J170/tech_proj!AP294*0.086*$N$110)/(1-tech_proj!AP574))</f>
        <v>0</v>
      </c>
      <c r="AQ1634" s="127">
        <f>IF(tech_base!$T170&gt;AQ$1465,"",(tech_base!$J170/tech_proj!AQ294*0.086*$N$110)/(1-tech_proj!AQ574))</f>
        <v>0</v>
      </c>
      <c r="AR1634" s="127">
        <f>IF(tech_base!$T170&gt;AR$1465,"",(tech_base!$J170/tech_proj!AR294*0.086*$N$110)/(1-tech_proj!AR574))</f>
        <v>0</v>
      </c>
      <c r="AS1634" s="127">
        <f>IF(tech_base!$T170&gt;AS$1465,"",(tech_base!$J170/tech_proj!AS294*0.086*$N$110)/(1-tech_proj!AS574))</f>
        <v>0</v>
      </c>
      <c r="AT1634" s="127">
        <f>IF(tech_base!$T170&gt;AT$1465,"",(tech_base!$J170/tech_proj!AT294*0.086*$N$110)/(1-tech_proj!AT574))</f>
        <v>0</v>
      </c>
      <c r="AU1634" s="127">
        <f>IF(tech_base!$T170&gt;AU$1465,"",(tech_base!$J170/tech_proj!AU294*0.086*$N$110)/(1-tech_proj!AU574))</f>
        <v>0</v>
      </c>
      <c r="AV1634" s="127">
        <f>IF(tech_base!$T170&gt;AV$1465,"",(tech_base!$J170/tech_proj!AV294*0.086*$N$110)/(1-tech_proj!AV574))</f>
        <v>0</v>
      </c>
      <c r="AW1634" s="127">
        <f>IF(tech_base!$T170&gt;AW$1465,"",(tech_base!$J170/tech_proj!AW294*0.086*$N$110)/(1-tech_proj!AW574))</f>
        <v>0</v>
      </c>
      <c r="AX1634" s="128">
        <f>IF(tech_base!$T170&gt;AX$1465,"",(tech_base!$J170/tech_proj!AX294*0.086*$N$110)/(1-tech_proj!AX574))</f>
        <v>0</v>
      </c>
    </row>
    <row r="1635" spans="1:50" x14ac:dyDescent="0.25">
      <c r="A1635" s="356"/>
      <c r="B1635" s="358" t="s">
        <v>25</v>
      </c>
      <c r="C1635" s="353" t="s">
        <v>6</v>
      </c>
      <c r="D1635" s="3" t="s">
        <v>10</v>
      </c>
      <c r="E1635" s="162" t="str">
        <f>A1605&amp;"/"&amp;B1635&amp;"/"&amp;C1635&amp;"/"&amp;D1635</f>
        <v>Diesel oil fired power plants/Internal combustion engine/Electricity only/S</v>
      </c>
      <c r="F1635" s="77" t="str">
        <f>A1605</f>
        <v>Diesel oil fired power plants</v>
      </c>
      <c r="G1635" s="77" t="str">
        <f>B1635</f>
        <v>Internal combustion engine</v>
      </c>
      <c r="H1635" s="77" t="str">
        <f>C1635</f>
        <v>Electricity only</v>
      </c>
      <c r="I1635" s="163" t="str">
        <f t="shared" si="379"/>
        <v>S</v>
      </c>
      <c r="J1635" s="121">
        <f>IF(tech_base!$T171&gt;J$1465,"",(tech_base!$J171/tech_proj!J295*0.086*$N$110)/(1-tech_proj!J575))</f>
        <v>0</v>
      </c>
      <c r="K1635" s="121">
        <f>IF(tech_base!$T171&gt;K$1465,"",(tech_base!$J171/tech_proj!K295*0.086*$N$110)/(1-tech_proj!K575))</f>
        <v>0</v>
      </c>
      <c r="L1635" s="121">
        <f>IF(tech_base!$T171&gt;L$1465,"",(tech_base!$J171/tech_proj!L295*0.086*$N$110)/(1-tech_proj!L575))</f>
        <v>0</v>
      </c>
      <c r="M1635" s="121">
        <f>IF(tech_base!$T171&gt;M$1465,"",(tech_base!$J171/tech_proj!M295*0.086*$N$110)/(1-tech_proj!M575))</f>
        <v>0</v>
      </c>
      <c r="N1635" s="121">
        <f>IF(tech_base!$T171&gt;N$1465,"",(tech_base!$J171/tech_proj!N295*0.086*$N$110)/(1-tech_proj!N575))</f>
        <v>0</v>
      </c>
      <c r="O1635" s="121">
        <f>IF(tech_base!$T171&gt;O$1465,"",(tech_base!$J171/tech_proj!O295*0.086*$N$110)/(1-tech_proj!O575))</f>
        <v>0</v>
      </c>
      <c r="P1635" s="121">
        <f>IF(tech_base!$T171&gt;P$1465,"",(tech_base!$J171/tech_proj!P295*0.086*$N$110)/(1-tech_proj!P575))</f>
        <v>0</v>
      </c>
      <c r="Q1635" s="121">
        <f>IF(tech_base!$T171&gt;Q$1465,"",(tech_base!$J171/tech_proj!Q295*0.086*$N$110)/(1-tech_proj!Q575))</f>
        <v>0</v>
      </c>
      <c r="R1635" s="121">
        <f>IF(tech_base!$T171&gt;R$1465,"",(tech_base!$J171/tech_proj!R295*0.086*$N$110)/(1-tech_proj!R575))</f>
        <v>0</v>
      </c>
      <c r="S1635" s="121">
        <f>IF(tech_base!$T171&gt;S$1465,"",(tech_base!$J171/tech_proj!S295*0.086*$N$110)/(1-tech_proj!S575))</f>
        <v>0</v>
      </c>
      <c r="T1635" s="121">
        <f>IF(tech_base!$T171&gt;T$1465,"",(tech_base!$J171/tech_proj!T295*0.086*$N$110)/(1-tech_proj!T575))</f>
        <v>0</v>
      </c>
      <c r="U1635" s="121">
        <f>IF(tech_base!$T171&gt;U$1465,"",(tech_base!$J171/tech_proj!U295*0.086*$N$110)/(1-tech_proj!U575))</f>
        <v>0</v>
      </c>
      <c r="V1635" s="121">
        <f>IF(tech_base!$T171&gt;V$1465,"",(tech_base!$J171/tech_proj!V295*0.086*$N$110)/(1-tech_proj!V575))</f>
        <v>0</v>
      </c>
      <c r="W1635" s="121">
        <f>IF(tech_base!$T171&gt;W$1465,"",(tech_base!$J171/tech_proj!W295*0.086*$N$110)/(1-tech_proj!W575))</f>
        <v>0</v>
      </c>
      <c r="X1635" s="121">
        <f>IF(tech_base!$T171&gt;X$1465,"",(tech_base!$J171/tech_proj!X295*0.086*$N$110)/(1-tech_proj!X575))</f>
        <v>0</v>
      </c>
      <c r="Y1635" s="121">
        <f>IF(tech_base!$T171&gt;Y$1465,"",(tech_base!$J171/tech_proj!Y295*0.086*$N$110)/(1-tech_proj!Y575))</f>
        <v>0</v>
      </c>
      <c r="Z1635" s="121">
        <f>IF(tech_base!$T171&gt;Z$1465,"",(tech_base!$J171/tech_proj!Z295*0.086*$N$110)/(1-tech_proj!Z575))</f>
        <v>0</v>
      </c>
      <c r="AA1635" s="121">
        <f>IF(tech_base!$T171&gt;AA$1465,"",(tech_base!$J171/tech_proj!AA295*0.086*$N$110)/(1-tech_proj!AA575))</f>
        <v>0</v>
      </c>
      <c r="AB1635" s="121">
        <f>IF(tech_base!$T171&gt;AB$1465,"",(tech_base!$J171/tech_proj!AB295*0.086*$N$110)/(1-tech_proj!AB575))</f>
        <v>0</v>
      </c>
      <c r="AC1635" s="121">
        <f>IF(tech_base!$T171&gt;AC$1465,"",(tech_base!$J171/tech_proj!AC295*0.086*$N$110)/(1-tech_proj!AC575))</f>
        <v>0</v>
      </c>
      <c r="AD1635" s="121">
        <f>IF(tech_base!$T171&gt;AD$1465,"",(tech_base!$J171/tech_proj!AD295*0.086*$N$110)/(1-tech_proj!AD575))</f>
        <v>0</v>
      </c>
      <c r="AE1635" s="121">
        <f>IF(tech_base!$T171&gt;AE$1465,"",(tech_base!$J171/tech_proj!AE295*0.086*$N$110)/(1-tech_proj!AE575))</f>
        <v>0</v>
      </c>
      <c r="AF1635" s="121">
        <f>IF(tech_base!$T171&gt;AF$1465,"",(tech_base!$J171/tech_proj!AF295*0.086*$N$110)/(1-tech_proj!AF575))</f>
        <v>0</v>
      </c>
      <c r="AG1635" s="121">
        <f>IF(tech_base!$T171&gt;AG$1465,"",(tech_base!$J171/tech_proj!AG295*0.086*$N$110)/(1-tech_proj!AG575))</f>
        <v>0</v>
      </c>
      <c r="AH1635" s="121">
        <f>IF(tech_base!$T171&gt;AH$1465,"",(tech_base!$J171/tech_proj!AH295*0.086*$N$110)/(1-tech_proj!AH575))</f>
        <v>0</v>
      </c>
      <c r="AI1635" s="121">
        <f>IF(tech_base!$T171&gt;AI$1465,"",(tech_base!$J171/tech_proj!AI295*0.086*$N$110)/(1-tech_proj!AI575))</f>
        <v>0</v>
      </c>
      <c r="AJ1635" s="121">
        <f>IF(tech_base!$T171&gt;AJ$1465,"",(tech_base!$J171/tech_proj!AJ295*0.086*$N$110)/(1-tech_proj!AJ575))</f>
        <v>0</v>
      </c>
      <c r="AK1635" s="121">
        <f>IF(tech_base!$T171&gt;AK$1465,"",(tech_base!$J171/tech_proj!AK295*0.086*$N$110)/(1-tech_proj!AK575))</f>
        <v>0</v>
      </c>
      <c r="AL1635" s="121">
        <f>IF(tech_base!$T171&gt;AL$1465,"",(tech_base!$J171/tech_proj!AL295*0.086*$N$110)/(1-tech_proj!AL575))</f>
        <v>0</v>
      </c>
      <c r="AM1635" s="121">
        <f>IF(tech_base!$T171&gt;AM$1465,"",(tech_base!$J171/tech_proj!AM295*0.086*$N$110)/(1-tech_proj!AM575))</f>
        <v>0</v>
      </c>
      <c r="AN1635" s="121">
        <f>IF(tech_base!$T171&gt;AN$1465,"",(tech_base!$J171/tech_proj!AN295*0.086*$N$110)/(1-tech_proj!AN575))</f>
        <v>0</v>
      </c>
      <c r="AO1635" s="121">
        <f>IF(tech_base!$T171&gt;AO$1465,"",(tech_base!$J171/tech_proj!AO295*0.086*$N$110)/(1-tech_proj!AO575))</f>
        <v>0</v>
      </c>
      <c r="AP1635" s="121">
        <f>IF(tech_base!$T171&gt;AP$1465,"",(tech_base!$J171/tech_proj!AP295*0.086*$N$110)/(1-tech_proj!AP575))</f>
        <v>0</v>
      </c>
      <c r="AQ1635" s="121">
        <f>IF(tech_base!$T171&gt;AQ$1465,"",(tech_base!$J171/tech_proj!AQ295*0.086*$N$110)/(1-tech_proj!AQ575))</f>
        <v>0</v>
      </c>
      <c r="AR1635" s="121">
        <f>IF(tech_base!$T171&gt;AR$1465,"",(tech_base!$J171/tech_proj!AR295*0.086*$N$110)/(1-tech_proj!AR575))</f>
        <v>0</v>
      </c>
      <c r="AS1635" s="121">
        <f>IF(tech_base!$T171&gt;AS$1465,"",(tech_base!$J171/tech_proj!AS295*0.086*$N$110)/(1-tech_proj!AS575))</f>
        <v>0</v>
      </c>
      <c r="AT1635" s="121">
        <f>IF(tech_base!$T171&gt;AT$1465,"",(tech_base!$J171/tech_proj!AT295*0.086*$N$110)/(1-tech_proj!AT575))</f>
        <v>0</v>
      </c>
      <c r="AU1635" s="121">
        <f>IF(tech_base!$T171&gt;AU$1465,"",(tech_base!$J171/tech_proj!AU295*0.086*$N$110)/(1-tech_proj!AU575))</f>
        <v>0</v>
      </c>
      <c r="AV1635" s="121">
        <f>IF(tech_base!$T171&gt;AV$1465,"",(tech_base!$J171/tech_proj!AV295*0.086*$N$110)/(1-tech_proj!AV575))</f>
        <v>0</v>
      </c>
      <c r="AW1635" s="121">
        <f>IF(tech_base!$T171&gt;AW$1465,"",(tech_base!$J171/tech_proj!AW295*0.086*$N$110)/(1-tech_proj!AW575))</f>
        <v>0</v>
      </c>
      <c r="AX1635" s="122">
        <f>IF(tech_base!$T171&gt;AX$1465,"",(tech_base!$J171/tech_proj!AX295*0.086*$N$110)/(1-tech_proj!AX575))</f>
        <v>0</v>
      </c>
    </row>
    <row r="1636" spans="1:50" x14ac:dyDescent="0.25">
      <c r="A1636" s="356"/>
      <c r="B1636" s="376"/>
      <c r="C1636" s="379"/>
      <c r="D1636" s="59" t="s">
        <v>20</v>
      </c>
      <c r="E1636" s="160" t="str">
        <f>A1605&amp;"/"&amp;B1635&amp;"/"&amp;C1635&amp;"/"&amp;D1636</f>
        <v>Diesel oil fired power plants/Internal combustion engine/Electricity only/XS</v>
      </c>
      <c r="F1636" s="76" t="str">
        <f>A1605</f>
        <v>Diesel oil fired power plants</v>
      </c>
      <c r="G1636" s="76" t="str">
        <f>B1635</f>
        <v>Internal combustion engine</v>
      </c>
      <c r="H1636" s="76" t="str">
        <f>C1635</f>
        <v>Electricity only</v>
      </c>
      <c r="I1636" s="161" t="str">
        <f t="shared" si="379"/>
        <v>XS</v>
      </c>
      <c r="J1636" s="119">
        <f>IF(tech_base!$T172&gt;J$1465,"",(tech_base!$J172/tech_proj!J296*0.086*$N$110)/(1-tech_proj!J576))</f>
        <v>0</v>
      </c>
      <c r="K1636" s="119">
        <f>IF(tech_base!$T172&gt;K$1465,"",(tech_base!$J172/tech_proj!K296*0.086*$N$110)/(1-tech_proj!K576))</f>
        <v>0</v>
      </c>
      <c r="L1636" s="119">
        <f>IF(tech_base!$T172&gt;L$1465,"",(tech_base!$J172/tech_proj!L296*0.086*$N$110)/(1-tech_proj!L576))</f>
        <v>0</v>
      </c>
      <c r="M1636" s="119">
        <f>IF(tech_base!$T172&gt;M$1465,"",(tech_base!$J172/tech_proj!M296*0.086*$N$110)/(1-tech_proj!M576))</f>
        <v>0</v>
      </c>
      <c r="N1636" s="119">
        <f>IF(tech_base!$T172&gt;N$1465,"",(tech_base!$J172/tech_proj!N296*0.086*$N$110)/(1-tech_proj!N576))</f>
        <v>0</v>
      </c>
      <c r="O1636" s="119">
        <f>IF(tech_base!$T172&gt;O$1465,"",(tech_base!$J172/tech_proj!O296*0.086*$N$110)/(1-tech_proj!O576))</f>
        <v>0</v>
      </c>
      <c r="P1636" s="119">
        <f>IF(tech_base!$T172&gt;P$1465,"",(tech_base!$J172/tech_proj!P296*0.086*$N$110)/(1-tech_proj!P576))</f>
        <v>0</v>
      </c>
      <c r="Q1636" s="119">
        <f>IF(tech_base!$T172&gt;Q$1465,"",(tech_base!$J172/tech_proj!Q296*0.086*$N$110)/(1-tech_proj!Q576))</f>
        <v>0</v>
      </c>
      <c r="R1636" s="119">
        <f>IF(tech_base!$T172&gt;R$1465,"",(tech_base!$J172/tech_proj!R296*0.086*$N$110)/(1-tech_proj!R576))</f>
        <v>0</v>
      </c>
      <c r="S1636" s="119">
        <f>IF(tech_base!$T172&gt;S$1465,"",(tech_base!$J172/tech_proj!S296*0.086*$N$110)/(1-tech_proj!S576))</f>
        <v>0</v>
      </c>
      <c r="T1636" s="119">
        <f>IF(tech_base!$T172&gt;T$1465,"",(tech_base!$J172/tech_proj!T296*0.086*$N$110)/(1-tech_proj!T576))</f>
        <v>0</v>
      </c>
      <c r="U1636" s="119">
        <f>IF(tech_base!$T172&gt;U$1465,"",(tech_base!$J172/tech_proj!U296*0.086*$N$110)/(1-tech_proj!U576))</f>
        <v>0</v>
      </c>
      <c r="V1636" s="119">
        <f>IF(tech_base!$T172&gt;V$1465,"",(tech_base!$J172/tech_proj!V296*0.086*$N$110)/(1-tech_proj!V576))</f>
        <v>0</v>
      </c>
      <c r="W1636" s="119">
        <f>IF(tech_base!$T172&gt;W$1465,"",(tech_base!$J172/tech_proj!W296*0.086*$N$110)/(1-tech_proj!W576))</f>
        <v>0</v>
      </c>
      <c r="X1636" s="119">
        <f>IF(tech_base!$T172&gt;X$1465,"",(tech_base!$J172/tech_proj!X296*0.086*$N$110)/(1-tech_proj!X576))</f>
        <v>0</v>
      </c>
      <c r="Y1636" s="119">
        <f>IF(tech_base!$T172&gt;Y$1465,"",(tech_base!$J172/tech_proj!Y296*0.086*$N$110)/(1-tech_proj!Y576))</f>
        <v>0</v>
      </c>
      <c r="Z1636" s="119">
        <f>IF(tech_base!$T172&gt;Z$1465,"",(tech_base!$J172/tech_proj!Z296*0.086*$N$110)/(1-tech_proj!Z576))</f>
        <v>0</v>
      </c>
      <c r="AA1636" s="119">
        <f>IF(tech_base!$T172&gt;AA$1465,"",(tech_base!$J172/tech_proj!AA296*0.086*$N$110)/(1-tech_proj!AA576))</f>
        <v>0</v>
      </c>
      <c r="AB1636" s="119">
        <f>IF(tech_base!$T172&gt;AB$1465,"",(tech_base!$J172/tech_proj!AB296*0.086*$N$110)/(1-tech_proj!AB576))</f>
        <v>0</v>
      </c>
      <c r="AC1636" s="119">
        <f>IF(tech_base!$T172&gt;AC$1465,"",(tech_base!$J172/tech_proj!AC296*0.086*$N$110)/(1-tech_proj!AC576))</f>
        <v>0</v>
      </c>
      <c r="AD1636" s="119">
        <f>IF(tech_base!$T172&gt;AD$1465,"",(tech_base!$J172/tech_proj!AD296*0.086*$N$110)/(1-tech_proj!AD576))</f>
        <v>0</v>
      </c>
      <c r="AE1636" s="119">
        <f>IF(tech_base!$T172&gt;AE$1465,"",(tech_base!$J172/tech_proj!AE296*0.086*$N$110)/(1-tech_proj!AE576))</f>
        <v>0</v>
      </c>
      <c r="AF1636" s="119">
        <f>IF(tech_base!$T172&gt;AF$1465,"",(tech_base!$J172/tech_proj!AF296*0.086*$N$110)/(1-tech_proj!AF576))</f>
        <v>0</v>
      </c>
      <c r="AG1636" s="119">
        <f>IF(tech_base!$T172&gt;AG$1465,"",(tech_base!$J172/tech_proj!AG296*0.086*$N$110)/(1-tech_proj!AG576))</f>
        <v>0</v>
      </c>
      <c r="AH1636" s="119">
        <f>IF(tech_base!$T172&gt;AH$1465,"",(tech_base!$J172/tech_proj!AH296*0.086*$N$110)/(1-tech_proj!AH576))</f>
        <v>0</v>
      </c>
      <c r="AI1636" s="119">
        <f>IF(tech_base!$T172&gt;AI$1465,"",(tech_base!$J172/tech_proj!AI296*0.086*$N$110)/(1-tech_proj!AI576))</f>
        <v>0</v>
      </c>
      <c r="AJ1636" s="119">
        <f>IF(tech_base!$T172&gt;AJ$1465,"",(tech_base!$J172/tech_proj!AJ296*0.086*$N$110)/(1-tech_proj!AJ576))</f>
        <v>0</v>
      </c>
      <c r="AK1636" s="119">
        <f>IF(tech_base!$T172&gt;AK$1465,"",(tech_base!$J172/tech_proj!AK296*0.086*$N$110)/(1-tech_proj!AK576))</f>
        <v>0</v>
      </c>
      <c r="AL1636" s="119">
        <f>IF(tech_base!$T172&gt;AL$1465,"",(tech_base!$J172/tech_proj!AL296*0.086*$N$110)/(1-tech_proj!AL576))</f>
        <v>0</v>
      </c>
      <c r="AM1636" s="119">
        <f>IF(tech_base!$T172&gt;AM$1465,"",(tech_base!$J172/tech_proj!AM296*0.086*$N$110)/(1-tech_proj!AM576))</f>
        <v>0</v>
      </c>
      <c r="AN1636" s="119">
        <f>IF(tech_base!$T172&gt;AN$1465,"",(tech_base!$J172/tech_proj!AN296*0.086*$N$110)/(1-tech_proj!AN576))</f>
        <v>0</v>
      </c>
      <c r="AO1636" s="119">
        <f>IF(tech_base!$T172&gt;AO$1465,"",(tech_base!$J172/tech_proj!AO296*0.086*$N$110)/(1-tech_proj!AO576))</f>
        <v>0</v>
      </c>
      <c r="AP1636" s="119">
        <f>IF(tech_base!$T172&gt;AP$1465,"",(tech_base!$J172/tech_proj!AP296*0.086*$N$110)/(1-tech_proj!AP576))</f>
        <v>0</v>
      </c>
      <c r="AQ1636" s="119">
        <f>IF(tech_base!$T172&gt;AQ$1465,"",(tech_base!$J172/tech_proj!AQ296*0.086*$N$110)/(1-tech_proj!AQ576))</f>
        <v>0</v>
      </c>
      <c r="AR1636" s="119">
        <f>IF(tech_base!$T172&gt;AR$1465,"",(tech_base!$J172/tech_proj!AR296*0.086*$N$110)/(1-tech_proj!AR576))</f>
        <v>0</v>
      </c>
      <c r="AS1636" s="119">
        <f>IF(tech_base!$T172&gt;AS$1465,"",(tech_base!$J172/tech_proj!AS296*0.086*$N$110)/(1-tech_proj!AS576))</f>
        <v>0</v>
      </c>
      <c r="AT1636" s="119">
        <f>IF(tech_base!$T172&gt;AT$1465,"",(tech_base!$J172/tech_proj!AT296*0.086*$N$110)/(1-tech_proj!AT576))</f>
        <v>0</v>
      </c>
      <c r="AU1636" s="119">
        <f>IF(tech_base!$T172&gt;AU$1465,"",(tech_base!$J172/tech_proj!AU296*0.086*$N$110)/(1-tech_proj!AU576))</f>
        <v>0</v>
      </c>
      <c r="AV1636" s="119">
        <f>IF(tech_base!$T172&gt;AV$1465,"",(tech_base!$J172/tech_proj!AV296*0.086*$N$110)/(1-tech_proj!AV576))</f>
        <v>0</v>
      </c>
      <c r="AW1636" s="119">
        <f>IF(tech_base!$T172&gt;AW$1465,"",(tech_base!$J172/tech_proj!AW296*0.086*$N$110)/(1-tech_proj!AW576))</f>
        <v>0</v>
      </c>
      <c r="AX1636" s="120">
        <f>IF(tech_base!$T172&gt;AX$1465,"",(tech_base!$J172/tech_proj!AX296*0.086*$N$110)/(1-tech_proj!AX576))</f>
        <v>0</v>
      </c>
    </row>
    <row r="1637" spans="1:50" x14ac:dyDescent="0.25">
      <c r="A1637" s="356"/>
      <c r="B1637" s="376"/>
      <c r="C1637" s="350" t="s">
        <v>14</v>
      </c>
      <c r="D1637" s="2" t="s">
        <v>10</v>
      </c>
      <c r="E1637" s="164" t="str">
        <f>A1605&amp;"/"&amp;B1635&amp;"/"&amp;C1637&amp;"/"&amp;D1637</f>
        <v>Diesel oil fired power plants/Internal combustion engine/CHP/S</v>
      </c>
      <c r="F1637" s="78" t="str">
        <f>A1605</f>
        <v>Diesel oil fired power plants</v>
      </c>
      <c r="G1637" s="78" t="str">
        <f>B1635</f>
        <v>Internal combustion engine</v>
      </c>
      <c r="H1637" s="78" t="str">
        <f>C1637</f>
        <v>CHP</v>
      </c>
      <c r="I1637" s="165" t="str">
        <f t="shared" si="379"/>
        <v>S</v>
      </c>
      <c r="J1637" s="123">
        <f>IF(tech_base!$T173&gt;J$1465,"",(tech_base!$J173/tech_proj!J297*0.086*$N$110)/(1-tech_proj!J577))</f>
        <v>0</v>
      </c>
      <c r="K1637" s="123">
        <f>IF(tech_base!$T173&gt;K$1465,"",(tech_base!$J173/tech_proj!K297*0.086*$N$110)/(1-tech_proj!K577))</f>
        <v>0</v>
      </c>
      <c r="L1637" s="123">
        <f>IF(tech_base!$T173&gt;L$1465,"",(tech_base!$J173/tech_proj!L297*0.086*$N$110)/(1-tech_proj!L577))</f>
        <v>0</v>
      </c>
      <c r="M1637" s="123">
        <f>IF(tech_base!$T173&gt;M$1465,"",(tech_base!$J173/tech_proj!M297*0.086*$N$110)/(1-tech_proj!M577))</f>
        <v>0</v>
      </c>
      <c r="N1637" s="123">
        <f>IF(tech_base!$T173&gt;N$1465,"",(tech_base!$J173/tech_proj!N297*0.086*$N$110)/(1-tech_proj!N577))</f>
        <v>0</v>
      </c>
      <c r="O1637" s="123">
        <f>IF(tech_base!$T173&gt;O$1465,"",(tech_base!$J173/tech_proj!O297*0.086*$N$110)/(1-tech_proj!O577))</f>
        <v>0</v>
      </c>
      <c r="P1637" s="123">
        <f>IF(tech_base!$T173&gt;P$1465,"",(tech_base!$J173/tech_proj!P297*0.086*$N$110)/(1-tech_proj!P577))</f>
        <v>0</v>
      </c>
      <c r="Q1637" s="123">
        <f>IF(tech_base!$T173&gt;Q$1465,"",(tech_base!$J173/tech_proj!Q297*0.086*$N$110)/(1-tech_proj!Q577))</f>
        <v>0</v>
      </c>
      <c r="R1637" s="123">
        <f>IF(tech_base!$T173&gt;R$1465,"",(tech_base!$J173/tech_proj!R297*0.086*$N$110)/(1-tech_proj!R577))</f>
        <v>0</v>
      </c>
      <c r="S1637" s="123">
        <f>IF(tech_base!$T173&gt;S$1465,"",(tech_base!$J173/tech_proj!S297*0.086*$N$110)/(1-tech_proj!S577))</f>
        <v>0</v>
      </c>
      <c r="T1637" s="123">
        <f>IF(tech_base!$T173&gt;T$1465,"",(tech_base!$J173/tech_proj!T297*0.086*$N$110)/(1-tech_proj!T577))</f>
        <v>0</v>
      </c>
      <c r="U1637" s="123">
        <f>IF(tech_base!$T173&gt;U$1465,"",(tech_base!$J173/tech_proj!U297*0.086*$N$110)/(1-tech_proj!U577))</f>
        <v>0</v>
      </c>
      <c r="V1637" s="123">
        <f>IF(tech_base!$T173&gt;V$1465,"",(tech_base!$J173/tech_proj!V297*0.086*$N$110)/(1-tech_proj!V577))</f>
        <v>0</v>
      </c>
      <c r="W1637" s="123">
        <f>IF(tech_base!$T173&gt;W$1465,"",(tech_base!$J173/tech_proj!W297*0.086*$N$110)/(1-tech_proj!W577))</f>
        <v>0</v>
      </c>
      <c r="X1637" s="123">
        <f>IF(tech_base!$T173&gt;X$1465,"",(tech_base!$J173/tech_proj!X297*0.086*$N$110)/(1-tech_proj!X577))</f>
        <v>0</v>
      </c>
      <c r="Y1637" s="123">
        <f>IF(tech_base!$T173&gt;Y$1465,"",(tech_base!$J173/tech_proj!Y297*0.086*$N$110)/(1-tech_proj!Y577))</f>
        <v>0</v>
      </c>
      <c r="Z1637" s="123">
        <f>IF(tech_base!$T173&gt;Z$1465,"",(tech_base!$J173/tech_proj!Z297*0.086*$N$110)/(1-tech_proj!Z577))</f>
        <v>0</v>
      </c>
      <c r="AA1637" s="123">
        <f>IF(tech_base!$T173&gt;AA$1465,"",(tech_base!$J173/tech_proj!AA297*0.086*$N$110)/(1-tech_proj!AA577))</f>
        <v>0</v>
      </c>
      <c r="AB1637" s="123">
        <f>IF(tech_base!$T173&gt;AB$1465,"",(tech_base!$J173/tech_proj!AB297*0.086*$N$110)/(1-tech_proj!AB577))</f>
        <v>0</v>
      </c>
      <c r="AC1637" s="123">
        <f>IF(tech_base!$T173&gt;AC$1465,"",(tech_base!$J173/tech_proj!AC297*0.086*$N$110)/(1-tech_proj!AC577))</f>
        <v>0</v>
      </c>
      <c r="AD1637" s="123">
        <f>IF(tech_base!$T173&gt;AD$1465,"",(tech_base!$J173/tech_proj!AD297*0.086*$N$110)/(1-tech_proj!AD577))</f>
        <v>0</v>
      </c>
      <c r="AE1637" s="123">
        <f>IF(tech_base!$T173&gt;AE$1465,"",(tech_base!$J173/tech_proj!AE297*0.086*$N$110)/(1-tech_proj!AE577))</f>
        <v>0</v>
      </c>
      <c r="AF1637" s="123">
        <f>IF(tech_base!$T173&gt;AF$1465,"",(tech_base!$J173/tech_proj!AF297*0.086*$N$110)/(1-tech_proj!AF577))</f>
        <v>0</v>
      </c>
      <c r="AG1637" s="123">
        <f>IF(tech_base!$T173&gt;AG$1465,"",(tech_base!$J173/tech_proj!AG297*0.086*$N$110)/(1-tech_proj!AG577))</f>
        <v>0</v>
      </c>
      <c r="AH1637" s="123">
        <f>IF(tech_base!$T173&gt;AH$1465,"",(tech_base!$J173/tech_proj!AH297*0.086*$N$110)/(1-tech_proj!AH577))</f>
        <v>0</v>
      </c>
      <c r="AI1637" s="123">
        <f>IF(tech_base!$T173&gt;AI$1465,"",(tech_base!$J173/tech_proj!AI297*0.086*$N$110)/(1-tech_proj!AI577))</f>
        <v>0</v>
      </c>
      <c r="AJ1637" s="123">
        <f>IF(tech_base!$T173&gt;AJ$1465,"",(tech_base!$J173/tech_proj!AJ297*0.086*$N$110)/(1-tech_proj!AJ577))</f>
        <v>0</v>
      </c>
      <c r="AK1637" s="123">
        <f>IF(tech_base!$T173&gt;AK$1465,"",(tech_base!$J173/tech_proj!AK297*0.086*$N$110)/(1-tech_proj!AK577))</f>
        <v>0</v>
      </c>
      <c r="AL1637" s="123">
        <f>IF(tech_base!$T173&gt;AL$1465,"",(tech_base!$J173/tech_proj!AL297*0.086*$N$110)/(1-tech_proj!AL577))</f>
        <v>0</v>
      </c>
      <c r="AM1637" s="123">
        <f>IF(tech_base!$T173&gt;AM$1465,"",(tech_base!$J173/tech_proj!AM297*0.086*$N$110)/(1-tech_proj!AM577))</f>
        <v>0</v>
      </c>
      <c r="AN1637" s="123">
        <f>IF(tech_base!$T173&gt;AN$1465,"",(tech_base!$J173/tech_proj!AN297*0.086*$N$110)/(1-tech_proj!AN577))</f>
        <v>0</v>
      </c>
      <c r="AO1637" s="123">
        <f>IF(tech_base!$T173&gt;AO$1465,"",(tech_base!$J173/tech_proj!AO297*0.086*$N$110)/(1-tech_proj!AO577))</f>
        <v>0</v>
      </c>
      <c r="AP1637" s="123">
        <f>IF(tech_base!$T173&gt;AP$1465,"",(tech_base!$J173/tech_proj!AP297*0.086*$N$110)/(1-tech_proj!AP577))</f>
        <v>0</v>
      </c>
      <c r="AQ1637" s="123">
        <f>IF(tech_base!$T173&gt;AQ$1465,"",(tech_base!$J173/tech_proj!AQ297*0.086*$N$110)/(1-tech_proj!AQ577))</f>
        <v>0</v>
      </c>
      <c r="AR1637" s="123">
        <f>IF(tech_base!$T173&gt;AR$1465,"",(tech_base!$J173/tech_proj!AR297*0.086*$N$110)/(1-tech_proj!AR577))</f>
        <v>0</v>
      </c>
      <c r="AS1637" s="123">
        <f>IF(tech_base!$T173&gt;AS$1465,"",(tech_base!$J173/tech_proj!AS297*0.086*$N$110)/(1-tech_proj!AS577))</f>
        <v>0</v>
      </c>
      <c r="AT1637" s="123">
        <f>IF(tech_base!$T173&gt;AT$1465,"",(tech_base!$J173/tech_proj!AT297*0.086*$N$110)/(1-tech_proj!AT577))</f>
        <v>0</v>
      </c>
      <c r="AU1637" s="123">
        <f>IF(tech_base!$T173&gt;AU$1465,"",(tech_base!$J173/tech_proj!AU297*0.086*$N$110)/(1-tech_proj!AU577))</f>
        <v>0</v>
      </c>
      <c r="AV1637" s="123">
        <f>IF(tech_base!$T173&gt;AV$1465,"",(tech_base!$J173/tech_proj!AV297*0.086*$N$110)/(1-tech_proj!AV577))</f>
        <v>0</v>
      </c>
      <c r="AW1637" s="123">
        <f>IF(tech_base!$T173&gt;AW$1465,"",(tech_base!$J173/tech_proj!AW297*0.086*$N$110)/(1-tech_proj!AW577))</f>
        <v>0</v>
      </c>
      <c r="AX1637" s="124">
        <f>IF(tech_base!$T173&gt;AX$1465,"",(tech_base!$J173/tech_proj!AX297*0.086*$N$110)/(1-tech_proj!AX577))</f>
        <v>0</v>
      </c>
    </row>
    <row r="1638" spans="1:50" x14ac:dyDescent="0.25">
      <c r="A1638" s="357"/>
      <c r="B1638" s="380"/>
      <c r="C1638" s="381"/>
      <c r="D1638" s="4" t="s">
        <v>20</v>
      </c>
      <c r="E1638" s="168" t="str">
        <f>A1605&amp;"/"&amp;B1635&amp;"/"&amp;C1637&amp;"/"&amp;D1638</f>
        <v>Diesel oil fired power plants/Internal combustion engine/CHP/XS</v>
      </c>
      <c r="F1638" s="80" t="str">
        <f>A1605</f>
        <v>Diesel oil fired power plants</v>
      </c>
      <c r="G1638" s="80" t="str">
        <f>B1635</f>
        <v>Internal combustion engine</v>
      </c>
      <c r="H1638" s="80" t="str">
        <f>C1637</f>
        <v>CHP</v>
      </c>
      <c r="I1638" s="169" t="str">
        <f t="shared" si="379"/>
        <v>XS</v>
      </c>
      <c r="J1638" s="127">
        <f>IF(tech_base!$T174&gt;J$1465,"",(tech_base!$J174/tech_proj!J298*0.086*$N$110)/(1-tech_proj!J578))</f>
        <v>0</v>
      </c>
      <c r="K1638" s="127">
        <f>IF(tech_base!$T174&gt;K$1465,"",(tech_base!$J174/tech_proj!K298*0.086*$N$110)/(1-tech_proj!K578))</f>
        <v>0</v>
      </c>
      <c r="L1638" s="127">
        <f>IF(tech_base!$T174&gt;L$1465,"",(tech_base!$J174/tech_proj!L298*0.086*$N$110)/(1-tech_proj!L578))</f>
        <v>0</v>
      </c>
      <c r="M1638" s="127">
        <f>IF(tech_base!$T174&gt;M$1465,"",(tech_base!$J174/tech_proj!M298*0.086*$N$110)/(1-tech_proj!M578))</f>
        <v>0</v>
      </c>
      <c r="N1638" s="127">
        <f>IF(tech_base!$T174&gt;N$1465,"",(tech_base!$J174/tech_proj!N298*0.086*$N$110)/(1-tech_proj!N578))</f>
        <v>0</v>
      </c>
      <c r="O1638" s="127">
        <f>IF(tech_base!$T174&gt;O$1465,"",(tech_base!$J174/tech_proj!O298*0.086*$N$110)/(1-tech_proj!O578))</f>
        <v>0</v>
      </c>
      <c r="P1638" s="127">
        <f>IF(tech_base!$T174&gt;P$1465,"",(tech_base!$J174/tech_proj!P298*0.086*$N$110)/(1-tech_proj!P578))</f>
        <v>0</v>
      </c>
      <c r="Q1638" s="127">
        <f>IF(tech_base!$T174&gt;Q$1465,"",(tech_base!$J174/tech_proj!Q298*0.086*$N$110)/(1-tech_proj!Q578))</f>
        <v>0</v>
      </c>
      <c r="R1638" s="127">
        <f>IF(tech_base!$T174&gt;R$1465,"",(tech_base!$J174/tech_proj!R298*0.086*$N$110)/(1-tech_proj!R578))</f>
        <v>0</v>
      </c>
      <c r="S1638" s="127">
        <f>IF(tech_base!$T174&gt;S$1465,"",(tech_base!$J174/tech_proj!S298*0.086*$N$110)/(1-tech_proj!S578))</f>
        <v>0</v>
      </c>
      <c r="T1638" s="127">
        <f>IF(tech_base!$T174&gt;T$1465,"",(tech_base!$J174/tech_proj!T298*0.086*$N$110)/(1-tech_proj!T578))</f>
        <v>0</v>
      </c>
      <c r="U1638" s="127">
        <f>IF(tech_base!$T174&gt;U$1465,"",(tech_base!$J174/tech_proj!U298*0.086*$N$110)/(1-tech_proj!U578))</f>
        <v>0</v>
      </c>
      <c r="V1638" s="127">
        <f>IF(tech_base!$T174&gt;V$1465,"",(tech_base!$J174/tech_proj!V298*0.086*$N$110)/(1-tech_proj!V578))</f>
        <v>0</v>
      </c>
      <c r="W1638" s="127">
        <f>IF(tech_base!$T174&gt;W$1465,"",(tech_base!$J174/tech_proj!W298*0.086*$N$110)/(1-tech_proj!W578))</f>
        <v>0</v>
      </c>
      <c r="X1638" s="127">
        <f>IF(tech_base!$T174&gt;X$1465,"",(tech_base!$J174/tech_proj!X298*0.086*$N$110)/(1-tech_proj!X578))</f>
        <v>0</v>
      </c>
      <c r="Y1638" s="127">
        <f>IF(tech_base!$T174&gt;Y$1465,"",(tech_base!$J174/tech_proj!Y298*0.086*$N$110)/(1-tech_proj!Y578))</f>
        <v>0</v>
      </c>
      <c r="Z1638" s="127">
        <f>IF(tech_base!$T174&gt;Z$1465,"",(tech_base!$J174/tech_proj!Z298*0.086*$N$110)/(1-tech_proj!Z578))</f>
        <v>0</v>
      </c>
      <c r="AA1638" s="127">
        <f>IF(tech_base!$T174&gt;AA$1465,"",(tech_base!$J174/tech_proj!AA298*0.086*$N$110)/(1-tech_proj!AA578))</f>
        <v>0</v>
      </c>
      <c r="AB1638" s="127">
        <f>IF(tech_base!$T174&gt;AB$1465,"",(tech_base!$J174/tech_proj!AB298*0.086*$N$110)/(1-tech_proj!AB578))</f>
        <v>0</v>
      </c>
      <c r="AC1638" s="127">
        <f>IF(tech_base!$T174&gt;AC$1465,"",(tech_base!$J174/tech_proj!AC298*0.086*$N$110)/(1-tech_proj!AC578))</f>
        <v>0</v>
      </c>
      <c r="AD1638" s="127">
        <f>IF(tech_base!$T174&gt;AD$1465,"",(tech_base!$J174/tech_proj!AD298*0.086*$N$110)/(1-tech_proj!AD578))</f>
        <v>0</v>
      </c>
      <c r="AE1638" s="127">
        <f>IF(tech_base!$T174&gt;AE$1465,"",(tech_base!$J174/tech_proj!AE298*0.086*$N$110)/(1-tech_proj!AE578))</f>
        <v>0</v>
      </c>
      <c r="AF1638" s="127">
        <f>IF(tech_base!$T174&gt;AF$1465,"",(tech_base!$J174/tech_proj!AF298*0.086*$N$110)/(1-tech_proj!AF578))</f>
        <v>0</v>
      </c>
      <c r="AG1638" s="127">
        <f>IF(tech_base!$T174&gt;AG$1465,"",(tech_base!$J174/tech_proj!AG298*0.086*$N$110)/(1-tech_proj!AG578))</f>
        <v>0</v>
      </c>
      <c r="AH1638" s="127">
        <f>IF(tech_base!$T174&gt;AH$1465,"",(tech_base!$J174/tech_proj!AH298*0.086*$N$110)/(1-tech_proj!AH578))</f>
        <v>0</v>
      </c>
      <c r="AI1638" s="127">
        <f>IF(tech_base!$T174&gt;AI$1465,"",(tech_base!$J174/tech_proj!AI298*0.086*$N$110)/(1-tech_proj!AI578))</f>
        <v>0</v>
      </c>
      <c r="AJ1638" s="127">
        <f>IF(tech_base!$T174&gt;AJ$1465,"",(tech_base!$J174/tech_proj!AJ298*0.086*$N$110)/(1-tech_proj!AJ578))</f>
        <v>0</v>
      </c>
      <c r="AK1638" s="127">
        <f>IF(tech_base!$T174&gt;AK$1465,"",(tech_base!$J174/tech_proj!AK298*0.086*$N$110)/(1-tech_proj!AK578))</f>
        <v>0</v>
      </c>
      <c r="AL1638" s="127">
        <f>IF(tech_base!$T174&gt;AL$1465,"",(tech_base!$J174/tech_proj!AL298*0.086*$N$110)/(1-tech_proj!AL578))</f>
        <v>0</v>
      </c>
      <c r="AM1638" s="127">
        <f>IF(tech_base!$T174&gt;AM$1465,"",(tech_base!$J174/tech_proj!AM298*0.086*$N$110)/(1-tech_proj!AM578))</f>
        <v>0</v>
      </c>
      <c r="AN1638" s="127">
        <f>IF(tech_base!$T174&gt;AN$1465,"",(tech_base!$J174/tech_proj!AN298*0.086*$N$110)/(1-tech_proj!AN578))</f>
        <v>0</v>
      </c>
      <c r="AO1638" s="127">
        <f>IF(tech_base!$T174&gt;AO$1465,"",(tech_base!$J174/tech_proj!AO298*0.086*$N$110)/(1-tech_proj!AO578))</f>
        <v>0</v>
      </c>
      <c r="AP1638" s="127">
        <f>IF(tech_base!$T174&gt;AP$1465,"",(tech_base!$J174/tech_proj!AP298*0.086*$N$110)/(1-tech_proj!AP578))</f>
        <v>0</v>
      </c>
      <c r="AQ1638" s="127">
        <f>IF(tech_base!$T174&gt;AQ$1465,"",(tech_base!$J174/tech_proj!AQ298*0.086*$N$110)/(1-tech_proj!AQ578))</f>
        <v>0</v>
      </c>
      <c r="AR1638" s="127">
        <f>IF(tech_base!$T174&gt;AR$1465,"",(tech_base!$J174/tech_proj!AR298*0.086*$N$110)/(1-tech_proj!AR578))</f>
        <v>0</v>
      </c>
      <c r="AS1638" s="127">
        <f>IF(tech_base!$T174&gt;AS$1465,"",(tech_base!$J174/tech_proj!AS298*0.086*$N$110)/(1-tech_proj!AS578))</f>
        <v>0</v>
      </c>
      <c r="AT1638" s="127">
        <f>IF(tech_base!$T174&gt;AT$1465,"",(tech_base!$J174/tech_proj!AT298*0.086*$N$110)/(1-tech_proj!AT578))</f>
        <v>0</v>
      </c>
      <c r="AU1638" s="127">
        <f>IF(tech_base!$T174&gt;AU$1465,"",(tech_base!$J174/tech_proj!AU298*0.086*$N$110)/(1-tech_proj!AU578))</f>
        <v>0</v>
      </c>
      <c r="AV1638" s="127">
        <f>IF(tech_base!$T174&gt;AV$1465,"",(tech_base!$J174/tech_proj!AV298*0.086*$N$110)/(1-tech_proj!AV578))</f>
        <v>0</v>
      </c>
      <c r="AW1638" s="127">
        <f>IF(tech_base!$T174&gt;AW$1465,"",(tech_base!$J174/tech_proj!AW298*0.086*$N$110)/(1-tech_proj!AW578))</f>
        <v>0</v>
      </c>
      <c r="AX1638" s="128">
        <f>IF(tech_base!$T174&gt;AX$1465,"",(tech_base!$J174/tech_proj!AX298*0.086*$N$110)/(1-tech_proj!AX578))</f>
        <v>0</v>
      </c>
    </row>
    <row r="1639" spans="1:50" x14ac:dyDescent="0.25">
      <c r="A1639" s="355" t="s">
        <v>29</v>
      </c>
      <c r="B1639" s="358" t="s">
        <v>13</v>
      </c>
      <c r="C1639" s="353" t="s">
        <v>6</v>
      </c>
      <c r="D1639" s="3" t="s">
        <v>7</v>
      </c>
      <c r="E1639" s="162" t="str">
        <f>A1639&amp;"/"&amp;B1639&amp;"/"&amp;C1639&amp;"/"&amp;D1639</f>
        <v>Fuel oil fired power plants/Integrated gasification combined cycle/Electricity only/L</v>
      </c>
      <c r="F1639" s="77" t="str">
        <f>A1639</f>
        <v>Fuel oil fired power plants</v>
      </c>
      <c r="G1639" s="77" t="str">
        <f>B1639</f>
        <v>Integrated gasification combined cycle</v>
      </c>
      <c r="H1639" s="77" t="str">
        <f>C1639</f>
        <v>Electricity only</v>
      </c>
      <c r="I1639" s="163" t="str">
        <f t="shared" si="379"/>
        <v>L</v>
      </c>
      <c r="J1639" s="121">
        <f>IF(tech_base!$T175&gt;J$1465,"",(tech_base!$J175/tech_proj!J299*0.086*$N$110)/(1-tech_proj!J579))</f>
        <v>0</v>
      </c>
      <c r="K1639" s="121">
        <f>IF(tech_base!$T175&gt;K$1465,"",(tech_base!$J175/tech_proj!K299*0.086*$N$110)/(1-tech_proj!K579))</f>
        <v>0</v>
      </c>
      <c r="L1639" s="121">
        <f>IF(tech_base!$T175&gt;L$1465,"",(tech_base!$J175/tech_proj!L299*0.086*$N$110)/(1-tech_proj!L579))</f>
        <v>0</v>
      </c>
      <c r="M1639" s="121">
        <f>IF(tech_base!$T175&gt;M$1465,"",(tech_base!$J175/tech_proj!M299*0.086*$N$110)/(1-tech_proj!M579))</f>
        <v>0</v>
      </c>
      <c r="N1639" s="121">
        <f>IF(tech_base!$T175&gt;N$1465,"",(tech_base!$J175/tech_proj!N299*0.086*$N$110)/(1-tech_proj!N579))</f>
        <v>0</v>
      </c>
      <c r="O1639" s="121">
        <f>IF(tech_base!$T175&gt;O$1465,"",(tech_base!$J175/tech_proj!O299*0.086*$N$110)/(1-tech_proj!O579))</f>
        <v>0</v>
      </c>
      <c r="P1639" s="121">
        <f>IF(tech_base!$T175&gt;P$1465,"",(tech_base!$J175/tech_proj!P299*0.086*$N$110)/(1-tech_proj!P579))</f>
        <v>0</v>
      </c>
      <c r="Q1639" s="121">
        <f>IF(tech_base!$T175&gt;Q$1465,"",(tech_base!$J175/tech_proj!Q299*0.086*$N$110)/(1-tech_proj!Q579))</f>
        <v>0</v>
      </c>
      <c r="R1639" s="121">
        <f>IF(tech_base!$T175&gt;R$1465,"",(tech_base!$J175/tech_proj!R299*0.086*$N$110)/(1-tech_proj!R579))</f>
        <v>0</v>
      </c>
      <c r="S1639" s="121">
        <f>IF(tech_base!$T175&gt;S$1465,"",(tech_base!$J175/tech_proj!S299*0.086*$N$110)/(1-tech_proj!S579))</f>
        <v>0</v>
      </c>
      <c r="T1639" s="121">
        <f>IF(tech_base!$T175&gt;T$1465,"",(tech_base!$J175/tech_proj!T299*0.086*$N$110)/(1-tech_proj!T579))</f>
        <v>0</v>
      </c>
      <c r="U1639" s="121">
        <f>IF(tech_base!$T175&gt;U$1465,"",(tech_base!$J175/tech_proj!U299*0.086*$N$110)/(1-tech_proj!U579))</f>
        <v>0</v>
      </c>
      <c r="V1639" s="121">
        <f>IF(tech_base!$T175&gt;V$1465,"",(tech_base!$J175/tech_proj!V299*0.086*$N$110)/(1-tech_proj!V579))</f>
        <v>0</v>
      </c>
      <c r="W1639" s="121">
        <f>IF(tech_base!$T175&gt;W$1465,"",(tech_base!$J175/tech_proj!W299*0.086*$N$110)/(1-tech_proj!W579))</f>
        <v>0</v>
      </c>
      <c r="X1639" s="121">
        <f>IF(tech_base!$T175&gt;X$1465,"",(tech_base!$J175/tech_proj!X299*0.086*$N$110)/(1-tech_proj!X579))</f>
        <v>0</v>
      </c>
      <c r="Y1639" s="121">
        <f>IF(tech_base!$T175&gt;Y$1465,"",(tech_base!$J175/tech_proj!Y299*0.086*$N$110)/(1-tech_proj!Y579))</f>
        <v>0</v>
      </c>
      <c r="Z1639" s="121">
        <f>IF(tech_base!$T175&gt;Z$1465,"",(tech_base!$J175/tech_proj!Z299*0.086*$N$110)/(1-tech_proj!Z579))</f>
        <v>0</v>
      </c>
      <c r="AA1639" s="121">
        <f>IF(tech_base!$T175&gt;AA$1465,"",(tech_base!$J175/tech_proj!AA299*0.086*$N$110)/(1-tech_proj!AA579))</f>
        <v>0</v>
      </c>
      <c r="AB1639" s="121">
        <f>IF(tech_base!$T175&gt;AB$1465,"",(tech_base!$J175/tech_proj!AB299*0.086*$N$110)/(1-tech_proj!AB579))</f>
        <v>0</v>
      </c>
      <c r="AC1639" s="121">
        <f>IF(tech_base!$T175&gt;AC$1465,"",(tech_base!$J175/tech_proj!AC299*0.086*$N$110)/(1-tech_proj!AC579))</f>
        <v>0</v>
      </c>
      <c r="AD1639" s="121">
        <f>IF(tech_base!$T175&gt;AD$1465,"",(tech_base!$J175/tech_proj!AD299*0.086*$N$110)/(1-tech_proj!AD579))</f>
        <v>0</v>
      </c>
      <c r="AE1639" s="121">
        <f>IF(tech_base!$T175&gt;AE$1465,"",(tech_base!$J175/tech_proj!AE299*0.086*$N$110)/(1-tech_proj!AE579))</f>
        <v>0</v>
      </c>
      <c r="AF1639" s="121">
        <f>IF(tech_base!$T175&gt;AF$1465,"",(tech_base!$J175/tech_proj!AF299*0.086*$N$110)/(1-tech_proj!AF579))</f>
        <v>0</v>
      </c>
      <c r="AG1639" s="121">
        <f>IF(tech_base!$T175&gt;AG$1465,"",(tech_base!$J175/tech_proj!AG299*0.086*$N$110)/(1-tech_proj!AG579))</f>
        <v>0</v>
      </c>
      <c r="AH1639" s="121">
        <f>IF(tech_base!$T175&gt;AH$1465,"",(tech_base!$J175/tech_proj!AH299*0.086*$N$110)/(1-tech_proj!AH579))</f>
        <v>0</v>
      </c>
      <c r="AI1639" s="121">
        <f>IF(tech_base!$T175&gt;AI$1465,"",(tech_base!$J175/tech_proj!AI299*0.086*$N$110)/(1-tech_proj!AI579))</f>
        <v>0</v>
      </c>
      <c r="AJ1639" s="121">
        <f>IF(tech_base!$T175&gt;AJ$1465,"",(tech_base!$J175/tech_proj!AJ299*0.086*$N$110)/(1-tech_proj!AJ579))</f>
        <v>0</v>
      </c>
      <c r="AK1639" s="121">
        <f>IF(tech_base!$T175&gt;AK$1465,"",(tech_base!$J175/tech_proj!AK299*0.086*$N$110)/(1-tech_proj!AK579))</f>
        <v>0</v>
      </c>
      <c r="AL1639" s="121">
        <f>IF(tech_base!$T175&gt;AL$1465,"",(tech_base!$J175/tech_proj!AL299*0.086*$N$110)/(1-tech_proj!AL579))</f>
        <v>0</v>
      </c>
      <c r="AM1639" s="121">
        <f>IF(tech_base!$T175&gt;AM$1465,"",(tech_base!$J175/tech_proj!AM299*0.086*$N$110)/(1-tech_proj!AM579))</f>
        <v>0</v>
      </c>
      <c r="AN1639" s="121">
        <f>IF(tech_base!$T175&gt;AN$1465,"",(tech_base!$J175/tech_proj!AN299*0.086*$N$110)/(1-tech_proj!AN579))</f>
        <v>0</v>
      </c>
      <c r="AO1639" s="121">
        <f>IF(tech_base!$T175&gt;AO$1465,"",(tech_base!$J175/tech_proj!AO299*0.086*$N$110)/(1-tech_proj!AO579))</f>
        <v>0</v>
      </c>
      <c r="AP1639" s="121">
        <f>IF(tech_base!$T175&gt;AP$1465,"",(tech_base!$J175/tech_proj!AP299*0.086*$N$110)/(1-tech_proj!AP579))</f>
        <v>0</v>
      </c>
      <c r="AQ1639" s="121">
        <f>IF(tech_base!$T175&gt;AQ$1465,"",(tech_base!$J175/tech_proj!AQ299*0.086*$N$110)/(1-tech_proj!AQ579))</f>
        <v>0</v>
      </c>
      <c r="AR1639" s="121">
        <f>IF(tech_base!$T175&gt;AR$1465,"",(tech_base!$J175/tech_proj!AR299*0.086*$N$110)/(1-tech_proj!AR579))</f>
        <v>0</v>
      </c>
      <c r="AS1639" s="121">
        <f>IF(tech_base!$T175&gt;AS$1465,"",(tech_base!$J175/tech_proj!AS299*0.086*$N$110)/(1-tech_proj!AS579))</f>
        <v>0</v>
      </c>
      <c r="AT1639" s="121">
        <f>IF(tech_base!$T175&gt;AT$1465,"",(tech_base!$J175/tech_proj!AT299*0.086*$N$110)/(1-tech_proj!AT579))</f>
        <v>0</v>
      </c>
      <c r="AU1639" s="121">
        <f>IF(tech_base!$T175&gt;AU$1465,"",(tech_base!$J175/tech_proj!AU299*0.086*$N$110)/(1-tech_proj!AU579))</f>
        <v>0</v>
      </c>
      <c r="AV1639" s="121">
        <f>IF(tech_base!$T175&gt;AV$1465,"",(tech_base!$J175/tech_proj!AV299*0.086*$N$110)/(1-tech_proj!AV579))</f>
        <v>0</v>
      </c>
      <c r="AW1639" s="121">
        <f>IF(tech_base!$T175&gt;AW$1465,"",(tech_base!$J175/tech_proj!AW299*0.086*$N$110)/(1-tech_proj!AW579))</f>
        <v>0</v>
      </c>
      <c r="AX1639" s="122">
        <f>IF(tech_base!$T175&gt;AX$1465,"",(tech_base!$J175/tech_proj!AX299*0.086*$N$110)/(1-tech_proj!AX579))</f>
        <v>0</v>
      </c>
    </row>
    <row r="1640" spans="1:50" x14ac:dyDescent="0.25">
      <c r="A1640" s="356"/>
      <c r="B1640" s="376"/>
      <c r="C1640" s="379"/>
      <c r="D1640" s="2" t="s">
        <v>8</v>
      </c>
      <c r="E1640" s="160" t="str">
        <f>A1639&amp;"/"&amp;B1639&amp;"/"&amp;C1639&amp;"/"&amp;D1640</f>
        <v>Fuel oil fired power plants/Integrated gasification combined cycle/Electricity only/M</v>
      </c>
      <c r="F1640" s="76" t="str">
        <f>A1639</f>
        <v>Fuel oil fired power plants</v>
      </c>
      <c r="G1640" s="76" t="str">
        <f>B1639</f>
        <v>Integrated gasification combined cycle</v>
      </c>
      <c r="H1640" s="76" t="str">
        <f>C1639</f>
        <v>Electricity only</v>
      </c>
      <c r="I1640" s="161" t="str">
        <f t="shared" si="379"/>
        <v>M</v>
      </c>
      <c r="J1640" s="119">
        <f>IF(tech_base!$T176&gt;J$1465,"",(tech_base!$J176/tech_proj!J300*0.086*$N$110)/(1-tech_proj!J580))</f>
        <v>0</v>
      </c>
      <c r="K1640" s="119">
        <f>IF(tech_base!$T176&gt;K$1465,"",(tech_base!$J176/tech_proj!K300*0.086*$N$110)/(1-tech_proj!K580))</f>
        <v>0</v>
      </c>
      <c r="L1640" s="119">
        <f>IF(tech_base!$T176&gt;L$1465,"",(tech_base!$J176/tech_proj!L300*0.086*$N$110)/(1-tech_proj!L580))</f>
        <v>0</v>
      </c>
      <c r="M1640" s="119">
        <f>IF(tech_base!$T176&gt;M$1465,"",(tech_base!$J176/tech_proj!M300*0.086*$N$110)/(1-tech_proj!M580))</f>
        <v>0</v>
      </c>
      <c r="N1640" s="119">
        <f>IF(tech_base!$T176&gt;N$1465,"",(tech_base!$J176/tech_proj!N300*0.086*$N$110)/(1-tech_proj!N580))</f>
        <v>0</v>
      </c>
      <c r="O1640" s="119">
        <f>IF(tech_base!$T176&gt;O$1465,"",(tech_base!$J176/tech_proj!O300*0.086*$N$110)/(1-tech_proj!O580))</f>
        <v>0</v>
      </c>
      <c r="P1640" s="119">
        <f>IF(tech_base!$T176&gt;P$1465,"",(tech_base!$J176/tech_proj!P300*0.086*$N$110)/(1-tech_proj!P580))</f>
        <v>0</v>
      </c>
      <c r="Q1640" s="119">
        <f>IF(tech_base!$T176&gt;Q$1465,"",(tech_base!$J176/tech_proj!Q300*0.086*$N$110)/(1-tech_proj!Q580))</f>
        <v>0</v>
      </c>
      <c r="R1640" s="119">
        <f>IF(tech_base!$T176&gt;R$1465,"",(tech_base!$J176/tech_proj!R300*0.086*$N$110)/(1-tech_proj!R580))</f>
        <v>0</v>
      </c>
      <c r="S1640" s="119">
        <f>IF(tech_base!$T176&gt;S$1465,"",(tech_base!$J176/tech_proj!S300*0.086*$N$110)/(1-tech_proj!S580))</f>
        <v>0</v>
      </c>
      <c r="T1640" s="119">
        <f>IF(tech_base!$T176&gt;T$1465,"",(tech_base!$J176/tech_proj!T300*0.086*$N$110)/(1-tech_proj!T580))</f>
        <v>0</v>
      </c>
      <c r="U1640" s="119">
        <f>IF(tech_base!$T176&gt;U$1465,"",(tech_base!$J176/tech_proj!U300*0.086*$N$110)/(1-tech_proj!U580))</f>
        <v>0</v>
      </c>
      <c r="V1640" s="119">
        <f>IF(tech_base!$T176&gt;V$1465,"",(tech_base!$J176/tech_proj!V300*0.086*$N$110)/(1-tech_proj!V580))</f>
        <v>0</v>
      </c>
      <c r="W1640" s="119">
        <f>IF(tech_base!$T176&gt;W$1465,"",(tech_base!$J176/tech_proj!W300*0.086*$N$110)/(1-tech_proj!W580))</f>
        <v>0</v>
      </c>
      <c r="X1640" s="119">
        <f>IF(tech_base!$T176&gt;X$1465,"",(tech_base!$J176/tech_proj!X300*0.086*$N$110)/(1-tech_proj!X580))</f>
        <v>0</v>
      </c>
      <c r="Y1640" s="119">
        <f>IF(tech_base!$T176&gt;Y$1465,"",(tech_base!$J176/tech_proj!Y300*0.086*$N$110)/(1-tech_proj!Y580))</f>
        <v>0</v>
      </c>
      <c r="Z1640" s="119">
        <f>IF(tech_base!$T176&gt;Z$1465,"",(tech_base!$J176/tech_proj!Z300*0.086*$N$110)/(1-tech_proj!Z580))</f>
        <v>0</v>
      </c>
      <c r="AA1640" s="119">
        <f>IF(tech_base!$T176&gt;AA$1465,"",(tech_base!$J176/tech_proj!AA300*0.086*$N$110)/(1-tech_proj!AA580))</f>
        <v>0</v>
      </c>
      <c r="AB1640" s="119">
        <f>IF(tech_base!$T176&gt;AB$1465,"",(tech_base!$J176/tech_proj!AB300*0.086*$N$110)/(1-tech_proj!AB580))</f>
        <v>0</v>
      </c>
      <c r="AC1640" s="119">
        <f>IF(tech_base!$T176&gt;AC$1465,"",(tech_base!$J176/tech_proj!AC300*0.086*$N$110)/(1-tech_proj!AC580))</f>
        <v>0</v>
      </c>
      <c r="AD1640" s="119">
        <f>IF(tech_base!$T176&gt;AD$1465,"",(tech_base!$J176/tech_proj!AD300*0.086*$N$110)/(1-tech_proj!AD580))</f>
        <v>0</v>
      </c>
      <c r="AE1640" s="119">
        <f>IF(tech_base!$T176&gt;AE$1465,"",(tech_base!$J176/tech_proj!AE300*0.086*$N$110)/(1-tech_proj!AE580))</f>
        <v>0</v>
      </c>
      <c r="AF1640" s="119">
        <f>IF(tech_base!$T176&gt;AF$1465,"",(tech_base!$J176/tech_proj!AF300*0.086*$N$110)/(1-tech_proj!AF580))</f>
        <v>0</v>
      </c>
      <c r="AG1640" s="119">
        <f>IF(tech_base!$T176&gt;AG$1465,"",(tech_base!$J176/tech_proj!AG300*0.086*$N$110)/(1-tech_proj!AG580))</f>
        <v>0</v>
      </c>
      <c r="AH1640" s="119">
        <f>IF(tech_base!$T176&gt;AH$1465,"",(tech_base!$J176/tech_proj!AH300*0.086*$N$110)/(1-tech_proj!AH580))</f>
        <v>0</v>
      </c>
      <c r="AI1640" s="119">
        <f>IF(tech_base!$T176&gt;AI$1465,"",(tech_base!$J176/tech_proj!AI300*0.086*$N$110)/(1-tech_proj!AI580))</f>
        <v>0</v>
      </c>
      <c r="AJ1640" s="119">
        <f>IF(tech_base!$T176&gt;AJ$1465,"",(tech_base!$J176/tech_proj!AJ300*0.086*$N$110)/(1-tech_proj!AJ580))</f>
        <v>0</v>
      </c>
      <c r="AK1640" s="119">
        <f>IF(tech_base!$T176&gt;AK$1465,"",(tech_base!$J176/tech_proj!AK300*0.086*$N$110)/(1-tech_proj!AK580))</f>
        <v>0</v>
      </c>
      <c r="AL1640" s="119">
        <f>IF(tech_base!$T176&gt;AL$1465,"",(tech_base!$J176/tech_proj!AL300*0.086*$N$110)/(1-tech_proj!AL580))</f>
        <v>0</v>
      </c>
      <c r="AM1640" s="119">
        <f>IF(tech_base!$T176&gt;AM$1465,"",(tech_base!$J176/tech_proj!AM300*0.086*$N$110)/(1-tech_proj!AM580))</f>
        <v>0</v>
      </c>
      <c r="AN1640" s="119">
        <f>IF(tech_base!$T176&gt;AN$1465,"",(tech_base!$J176/tech_proj!AN300*0.086*$N$110)/(1-tech_proj!AN580))</f>
        <v>0</v>
      </c>
      <c r="AO1640" s="119">
        <f>IF(tech_base!$T176&gt;AO$1465,"",(tech_base!$J176/tech_proj!AO300*0.086*$N$110)/(1-tech_proj!AO580))</f>
        <v>0</v>
      </c>
      <c r="AP1640" s="119">
        <f>IF(tech_base!$T176&gt;AP$1465,"",(tech_base!$J176/tech_proj!AP300*0.086*$N$110)/(1-tech_proj!AP580))</f>
        <v>0</v>
      </c>
      <c r="AQ1640" s="119">
        <f>IF(tech_base!$T176&gt;AQ$1465,"",(tech_base!$J176/tech_proj!AQ300*0.086*$N$110)/(1-tech_proj!AQ580))</f>
        <v>0</v>
      </c>
      <c r="AR1640" s="119">
        <f>IF(tech_base!$T176&gt;AR$1465,"",(tech_base!$J176/tech_proj!AR300*0.086*$N$110)/(1-tech_proj!AR580))</f>
        <v>0</v>
      </c>
      <c r="AS1640" s="119">
        <f>IF(tech_base!$T176&gt;AS$1465,"",(tech_base!$J176/tech_proj!AS300*0.086*$N$110)/(1-tech_proj!AS580))</f>
        <v>0</v>
      </c>
      <c r="AT1640" s="119">
        <f>IF(tech_base!$T176&gt;AT$1465,"",(tech_base!$J176/tech_proj!AT300*0.086*$N$110)/(1-tech_proj!AT580))</f>
        <v>0</v>
      </c>
      <c r="AU1640" s="119">
        <f>IF(tech_base!$T176&gt;AU$1465,"",(tech_base!$J176/tech_proj!AU300*0.086*$N$110)/(1-tech_proj!AU580))</f>
        <v>0</v>
      </c>
      <c r="AV1640" s="119">
        <f>IF(tech_base!$T176&gt;AV$1465,"",(tech_base!$J176/tech_proj!AV300*0.086*$N$110)/(1-tech_proj!AV580))</f>
        <v>0</v>
      </c>
      <c r="AW1640" s="119">
        <f>IF(tech_base!$T176&gt;AW$1465,"",(tech_base!$J176/tech_proj!AW300*0.086*$N$110)/(1-tech_proj!AW580))</f>
        <v>0</v>
      </c>
      <c r="AX1640" s="120">
        <f>IF(tech_base!$T176&gt;AX$1465,"",(tech_base!$J176/tech_proj!AX300*0.086*$N$110)/(1-tech_proj!AX580))</f>
        <v>0</v>
      </c>
    </row>
    <row r="1641" spans="1:50" x14ac:dyDescent="0.25">
      <c r="A1641" s="356"/>
      <c r="B1641" s="376"/>
      <c r="C1641" s="361" t="s">
        <v>14</v>
      </c>
      <c r="D1641" s="58" t="s">
        <v>7</v>
      </c>
      <c r="E1641" s="164" t="str">
        <f>A1639&amp;"/"&amp;B1639&amp;"/"&amp;C1641&amp;"/"&amp;D1641</f>
        <v>Fuel oil fired power plants/Integrated gasification combined cycle/CHP/L</v>
      </c>
      <c r="F1641" s="78" t="str">
        <f>A1639</f>
        <v>Fuel oil fired power plants</v>
      </c>
      <c r="G1641" s="78" t="str">
        <f>B1639</f>
        <v>Integrated gasification combined cycle</v>
      </c>
      <c r="H1641" s="78" t="str">
        <f>C1641</f>
        <v>CHP</v>
      </c>
      <c r="I1641" s="165" t="str">
        <f t="shared" si="379"/>
        <v>L</v>
      </c>
      <c r="J1641" s="123">
        <f>IF(tech_base!$T177&gt;J$1465,"",(tech_base!$J177/tech_proj!J301*0.086*$N$110)/(1-tech_proj!J581))</f>
        <v>0</v>
      </c>
      <c r="K1641" s="123">
        <f>IF(tech_base!$T177&gt;K$1465,"",(tech_base!$J177/tech_proj!K301*0.086*$N$110)/(1-tech_proj!K581))</f>
        <v>0</v>
      </c>
      <c r="L1641" s="123">
        <f>IF(tech_base!$T177&gt;L$1465,"",(tech_base!$J177/tech_proj!L301*0.086*$N$110)/(1-tech_proj!L581))</f>
        <v>0</v>
      </c>
      <c r="M1641" s="123">
        <f>IF(tech_base!$T177&gt;M$1465,"",(tech_base!$J177/tech_proj!M301*0.086*$N$110)/(1-tech_proj!M581))</f>
        <v>0</v>
      </c>
      <c r="N1641" s="123">
        <f>IF(tech_base!$T177&gt;N$1465,"",(tech_base!$J177/tech_proj!N301*0.086*$N$110)/(1-tech_proj!N581))</f>
        <v>0</v>
      </c>
      <c r="O1641" s="123">
        <f>IF(tech_base!$T177&gt;O$1465,"",(tech_base!$J177/tech_proj!O301*0.086*$N$110)/(1-tech_proj!O581))</f>
        <v>0</v>
      </c>
      <c r="P1641" s="123">
        <f>IF(tech_base!$T177&gt;P$1465,"",(tech_base!$J177/tech_proj!P301*0.086*$N$110)/(1-tech_proj!P581))</f>
        <v>0</v>
      </c>
      <c r="Q1641" s="123">
        <f>IF(tech_base!$T177&gt;Q$1465,"",(tech_base!$J177/tech_proj!Q301*0.086*$N$110)/(1-tech_proj!Q581))</f>
        <v>0</v>
      </c>
      <c r="R1641" s="123">
        <f>IF(tech_base!$T177&gt;R$1465,"",(tech_base!$J177/tech_proj!R301*0.086*$N$110)/(1-tech_proj!R581))</f>
        <v>0</v>
      </c>
      <c r="S1641" s="123">
        <f>IF(tech_base!$T177&gt;S$1465,"",(tech_base!$J177/tech_proj!S301*0.086*$N$110)/(1-tech_proj!S581))</f>
        <v>0</v>
      </c>
      <c r="T1641" s="123">
        <f>IF(tech_base!$T177&gt;T$1465,"",(tech_base!$J177/tech_proj!T301*0.086*$N$110)/(1-tech_proj!T581))</f>
        <v>0</v>
      </c>
      <c r="U1641" s="123">
        <f>IF(tech_base!$T177&gt;U$1465,"",(tech_base!$J177/tech_proj!U301*0.086*$N$110)/(1-tech_proj!U581))</f>
        <v>0</v>
      </c>
      <c r="V1641" s="123">
        <f>IF(tech_base!$T177&gt;V$1465,"",(tech_base!$J177/tech_proj!V301*0.086*$N$110)/(1-tech_proj!V581))</f>
        <v>0</v>
      </c>
      <c r="W1641" s="123">
        <f>IF(tech_base!$T177&gt;W$1465,"",(tech_base!$J177/tech_proj!W301*0.086*$N$110)/(1-tech_proj!W581))</f>
        <v>0</v>
      </c>
      <c r="X1641" s="123">
        <f>IF(tech_base!$T177&gt;X$1465,"",(tech_base!$J177/tech_proj!X301*0.086*$N$110)/(1-tech_proj!X581))</f>
        <v>0</v>
      </c>
      <c r="Y1641" s="123">
        <f>IF(tech_base!$T177&gt;Y$1465,"",(tech_base!$J177/tech_proj!Y301*0.086*$N$110)/(1-tech_proj!Y581))</f>
        <v>0</v>
      </c>
      <c r="Z1641" s="123">
        <f>IF(tech_base!$T177&gt;Z$1465,"",(tech_base!$J177/tech_proj!Z301*0.086*$N$110)/(1-tech_proj!Z581))</f>
        <v>0</v>
      </c>
      <c r="AA1641" s="123">
        <f>IF(tech_base!$T177&gt;AA$1465,"",(tech_base!$J177/tech_proj!AA301*0.086*$N$110)/(1-tech_proj!AA581))</f>
        <v>0</v>
      </c>
      <c r="AB1641" s="123">
        <f>IF(tech_base!$T177&gt;AB$1465,"",(tech_base!$J177/tech_proj!AB301*0.086*$N$110)/(1-tech_proj!AB581))</f>
        <v>0</v>
      </c>
      <c r="AC1641" s="123">
        <f>IF(tech_base!$T177&gt;AC$1465,"",(tech_base!$J177/tech_proj!AC301*0.086*$N$110)/(1-tech_proj!AC581))</f>
        <v>0</v>
      </c>
      <c r="AD1641" s="123">
        <f>IF(tech_base!$T177&gt;AD$1465,"",(tech_base!$J177/tech_proj!AD301*0.086*$N$110)/(1-tech_proj!AD581))</f>
        <v>0</v>
      </c>
      <c r="AE1641" s="123">
        <f>IF(tech_base!$T177&gt;AE$1465,"",(tech_base!$J177/tech_proj!AE301*0.086*$N$110)/(1-tech_proj!AE581))</f>
        <v>0</v>
      </c>
      <c r="AF1641" s="123">
        <f>IF(tech_base!$T177&gt;AF$1465,"",(tech_base!$J177/tech_proj!AF301*0.086*$N$110)/(1-tech_proj!AF581))</f>
        <v>0</v>
      </c>
      <c r="AG1641" s="123">
        <f>IF(tech_base!$T177&gt;AG$1465,"",(tech_base!$J177/tech_proj!AG301*0.086*$N$110)/(1-tech_proj!AG581))</f>
        <v>0</v>
      </c>
      <c r="AH1641" s="123">
        <f>IF(tech_base!$T177&gt;AH$1465,"",(tech_base!$J177/tech_proj!AH301*0.086*$N$110)/(1-tech_proj!AH581))</f>
        <v>0</v>
      </c>
      <c r="AI1641" s="123">
        <f>IF(tech_base!$T177&gt;AI$1465,"",(tech_base!$J177/tech_proj!AI301*0.086*$N$110)/(1-tech_proj!AI581))</f>
        <v>0</v>
      </c>
      <c r="AJ1641" s="123">
        <f>IF(tech_base!$T177&gt;AJ$1465,"",(tech_base!$J177/tech_proj!AJ301*0.086*$N$110)/(1-tech_proj!AJ581))</f>
        <v>0</v>
      </c>
      <c r="AK1641" s="123">
        <f>IF(tech_base!$T177&gt;AK$1465,"",(tech_base!$J177/tech_proj!AK301*0.086*$N$110)/(1-tech_proj!AK581))</f>
        <v>0</v>
      </c>
      <c r="AL1641" s="123">
        <f>IF(tech_base!$T177&gt;AL$1465,"",(tech_base!$J177/tech_proj!AL301*0.086*$N$110)/(1-tech_proj!AL581))</f>
        <v>0</v>
      </c>
      <c r="AM1641" s="123">
        <f>IF(tech_base!$T177&gt;AM$1465,"",(tech_base!$J177/tech_proj!AM301*0.086*$N$110)/(1-tech_proj!AM581))</f>
        <v>0</v>
      </c>
      <c r="AN1641" s="123">
        <f>IF(tech_base!$T177&gt;AN$1465,"",(tech_base!$J177/tech_proj!AN301*0.086*$N$110)/(1-tech_proj!AN581))</f>
        <v>0</v>
      </c>
      <c r="AO1641" s="123">
        <f>IF(tech_base!$T177&gt;AO$1465,"",(tech_base!$J177/tech_proj!AO301*0.086*$N$110)/(1-tech_proj!AO581))</f>
        <v>0</v>
      </c>
      <c r="AP1641" s="123">
        <f>IF(tech_base!$T177&gt;AP$1465,"",(tech_base!$J177/tech_proj!AP301*0.086*$N$110)/(1-tech_proj!AP581))</f>
        <v>0</v>
      </c>
      <c r="AQ1641" s="123">
        <f>IF(tech_base!$T177&gt;AQ$1465,"",(tech_base!$J177/tech_proj!AQ301*0.086*$N$110)/(1-tech_proj!AQ581))</f>
        <v>0</v>
      </c>
      <c r="AR1641" s="123">
        <f>IF(tech_base!$T177&gt;AR$1465,"",(tech_base!$J177/tech_proj!AR301*0.086*$N$110)/(1-tech_proj!AR581))</f>
        <v>0</v>
      </c>
      <c r="AS1641" s="123">
        <f>IF(tech_base!$T177&gt;AS$1465,"",(tech_base!$J177/tech_proj!AS301*0.086*$N$110)/(1-tech_proj!AS581))</f>
        <v>0</v>
      </c>
      <c r="AT1641" s="123">
        <f>IF(tech_base!$T177&gt;AT$1465,"",(tech_base!$J177/tech_proj!AT301*0.086*$N$110)/(1-tech_proj!AT581))</f>
        <v>0</v>
      </c>
      <c r="AU1641" s="123">
        <f>IF(tech_base!$T177&gt;AU$1465,"",(tech_base!$J177/tech_proj!AU301*0.086*$N$110)/(1-tech_proj!AU581))</f>
        <v>0</v>
      </c>
      <c r="AV1641" s="123">
        <f>IF(tech_base!$T177&gt;AV$1465,"",(tech_base!$J177/tech_proj!AV301*0.086*$N$110)/(1-tech_proj!AV581))</f>
        <v>0</v>
      </c>
      <c r="AW1641" s="123">
        <f>IF(tech_base!$T177&gt;AW$1465,"",(tech_base!$J177/tech_proj!AW301*0.086*$N$110)/(1-tech_proj!AW581))</f>
        <v>0</v>
      </c>
      <c r="AX1641" s="124">
        <f>IF(tech_base!$T177&gt;AX$1465,"",(tech_base!$J177/tech_proj!AX301*0.086*$N$110)/(1-tech_proj!AX581))</f>
        <v>0</v>
      </c>
    </row>
    <row r="1642" spans="1:50" x14ac:dyDescent="0.25">
      <c r="A1642" s="356"/>
      <c r="B1642" s="376"/>
      <c r="C1642" s="379"/>
      <c r="D1642" s="59" t="s">
        <v>8</v>
      </c>
      <c r="E1642" s="166" t="str">
        <f>A1639&amp;"/"&amp;B1639&amp;"/"&amp;C1641&amp;"/"&amp;D1642</f>
        <v>Fuel oil fired power plants/Integrated gasification combined cycle/CHP/M</v>
      </c>
      <c r="F1642" s="79" t="str">
        <f>A1639</f>
        <v>Fuel oil fired power plants</v>
      </c>
      <c r="G1642" s="79" t="str">
        <f>B1639</f>
        <v>Integrated gasification combined cycle</v>
      </c>
      <c r="H1642" s="79" t="str">
        <f>C1641</f>
        <v>CHP</v>
      </c>
      <c r="I1642" s="167" t="str">
        <f t="shared" si="379"/>
        <v>M</v>
      </c>
      <c r="J1642" s="125">
        <f>IF(tech_base!$T178&gt;J$1465,"",(tech_base!$J178/tech_proj!J302*0.086*$N$110)/(1-tech_proj!J582))</f>
        <v>0</v>
      </c>
      <c r="K1642" s="125">
        <f>IF(tech_base!$T178&gt;K$1465,"",(tech_base!$J178/tech_proj!K302*0.086*$N$110)/(1-tech_proj!K582))</f>
        <v>0</v>
      </c>
      <c r="L1642" s="125">
        <f>IF(tech_base!$T178&gt;L$1465,"",(tech_base!$J178/tech_proj!L302*0.086*$N$110)/(1-tech_proj!L582))</f>
        <v>0</v>
      </c>
      <c r="M1642" s="125">
        <f>IF(tech_base!$T178&gt;M$1465,"",(tech_base!$J178/tech_proj!M302*0.086*$N$110)/(1-tech_proj!M582))</f>
        <v>0</v>
      </c>
      <c r="N1642" s="125">
        <f>IF(tech_base!$T178&gt;N$1465,"",(tech_base!$J178/tech_proj!N302*0.086*$N$110)/(1-tech_proj!N582))</f>
        <v>0</v>
      </c>
      <c r="O1642" s="125">
        <f>IF(tech_base!$T178&gt;O$1465,"",(tech_base!$J178/tech_proj!O302*0.086*$N$110)/(1-tech_proj!O582))</f>
        <v>0</v>
      </c>
      <c r="P1642" s="125">
        <f>IF(tech_base!$T178&gt;P$1465,"",(tech_base!$J178/tech_proj!P302*0.086*$N$110)/(1-tech_proj!P582))</f>
        <v>0</v>
      </c>
      <c r="Q1642" s="125">
        <f>IF(tech_base!$T178&gt;Q$1465,"",(tech_base!$J178/tech_proj!Q302*0.086*$N$110)/(1-tech_proj!Q582))</f>
        <v>0</v>
      </c>
      <c r="R1642" s="125">
        <f>IF(tech_base!$T178&gt;R$1465,"",(tech_base!$J178/tech_proj!R302*0.086*$N$110)/(1-tech_proj!R582))</f>
        <v>0</v>
      </c>
      <c r="S1642" s="125">
        <f>IF(tech_base!$T178&gt;S$1465,"",(tech_base!$J178/tech_proj!S302*0.086*$N$110)/(1-tech_proj!S582))</f>
        <v>0</v>
      </c>
      <c r="T1642" s="125">
        <f>IF(tech_base!$T178&gt;T$1465,"",(tech_base!$J178/tech_proj!T302*0.086*$N$110)/(1-tech_proj!T582))</f>
        <v>0</v>
      </c>
      <c r="U1642" s="125">
        <f>IF(tech_base!$T178&gt;U$1465,"",(tech_base!$J178/tech_proj!U302*0.086*$N$110)/(1-tech_proj!U582))</f>
        <v>0</v>
      </c>
      <c r="V1642" s="125">
        <f>IF(tech_base!$T178&gt;V$1465,"",(tech_base!$J178/tech_proj!V302*0.086*$N$110)/(1-tech_proj!V582))</f>
        <v>0</v>
      </c>
      <c r="W1642" s="125">
        <f>IF(tech_base!$T178&gt;W$1465,"",(tech_base!$J178/tech_proj!W302*0.086*$N$110)/(1-tech_proj!W582))</f>
        <v>0</v>
      </c>
      <c r="X1642" s="125">
        <f>IF(tech_base!$T178&gt;X$1465,"",(tech_base!$J178/tech_proj!X302*0.086*$N$110)/(1-tech_proj!X582))</f>
        <v>0</v>
      </c>
      <c r="Y1642" s="125">
        <f>IF(tech_base!$T178&gt;Y$1465,"",(tech_base!$J178/tech_proj!Y302*0.086*$N$110)/(1-tech_proj!Y582))</f>
        <v>0</v>
      </c>
      <c r="Z1642" s="125">
        <f>IF(tech_base!$T178&gt;Z$1465,"",(tech_base!$J178/tech_proj!Z302*0.086*$N$110)/(1-tech_proj!Z582))</f>
        <v>0</v>
      </c>
      <c r="AA1642" s="125">
        <f>IF(tech_base!$T178&gt;AA$1465,"",(tech_base!$J178/tech_proj!AA302*0.086*$N$110)/(1-tech_proj!AA582))</f>
        <v>0</v>
      </c>
      <c r="AB1642" s="125">
        <f>IF(tech_base!$T178&gt;AB$1465,"",(tech_base!$J178/tech_proj!AB302*0.086*$N$110)/(1-tech_proj!AB582))</f>
        <v>0</v>
      </c>
      <c r="AC1642" s="125">
        <f>IF(tech_base!$T178&gt;AC$1465,"",(tech_base!$J178/tech_proj!AC302*0.086*$N$110)/(1-tech_proj!AC582))</f>
        <v>0</v>
      </c>
      <c r="AD1642" s="125">
        <f>IF(tech_base!$T178&gt;AD$1465,"",(tech_base!$J178/tech_proj!AD302*0.086*$N$110)/(1-tech_proj!AD582))</f>
        <v>0</v>
      </c>
      <c r="AE1642" s="125">
        <f>IF(tech_base!$T178&gt;AE$1465,"",(tech_base!$J178/tech_proj!AE302*0.086*$N$110)/(1-tech_proj!AE582))</f>
        <v>0</v>
      </c>
      <c r="AF1642" s="125">
        <f>IF(tech_base!$T178&gt;AF$1465,"",(tech_base!$J178/tech_proj!AF302*0.086*$N$110)/(1-tech_proj!AF582))</f>
        <v>0</v>
      </c>
      <c r="AG1642" s="125">
        <f>IF(tech_base!$T178&gt;AG$1465,"",(tech_base!$J178/tech_proj!AG302*0.086*$N$110)/(1-tech_proj!AG582))</f>
        <v>0</v>
      </c>
      <c r="AH1642" s="125">
        <f>IF(tech_base!$T178&gt;AH$1465,"",(tech_base!$J178/tech_proj!AH302*0.086*$N$110)/(1-tech_proj!AH582))</f>
        <v>0</v>
      </c>
      <c r="AI1642" s="125">
        <f>IF(tech_base!$T178&gt;AI$1465,"",(tech_base!$J178/tech_proj!AI302*0.086*$N$110)/(1-tech_proj!AI582))</f>
        <v>0</v>
      </c>
      <c r="AJ1642" s="125">
        <f>IF(tech_base!$T178&gt;AJ$1465,"",(tech_base!$J178/tech_proj!AJ302*0.086*$N$110)/(1-tech_proj!AJ582))</f>
        <v>0</v>
      </c>
      <c r="AK1642" s="125">
        <f>IF(tech_base!$T178&gt;AK$1465,"",(tech_base!$J178/tech_proj!AK302*0.086*$N$110)/(1-tech_proj!AK582))</f>
        <v>0</v>
      </c>
      <c r="AL1642" s="125">
        <f>IF(tech_base!$T178&gt;AL$1465,"",(tech_base!$J178/tech_proj!AL302*0.086*$N$110)/(1-tech_proj!AL582))</f>
        <v>0</v>
      </c>
      <c r="AM1642" s="125">
        <f>IF(tech_base!$T178&gt;AM$1465,"",(tech_base!$J178/tech_proj!AM302*0.086*$N$110)/(1-tech_proj!AM582))</f>
        <v>0</v>
      </c>
      <c r="AN1642" s="125">
        <f>IF(tech_base!$T178&gt;AN$1465,"",(tech_base!$J178/tech_proj!AN302*0.086*$N$110)/(1-tech_proj!AN582))</f>
        <v>0</v>
      </c>
      <c r="AO1642" s="125">
        <f>IF(tech_base!$T178&gt;AO$1465,"",(tech_base!$J178/tech_proj!AO302*0.086*$N$110)/(1-tech_proj!AO582))</f>
        <v>0</v>
      </c>
      <c r="AP1642" s="125">
        <f>IF(tech_base!$T178&gt;AP$1465,"",(tech_base!$J178/tech_proj!AP302*0.086*$N$110)/(1-tech_proj!AP582))</f>
        <v>0</v>
      </c>
      <c r="AQ1642" s="125">
        <f>IF(tech_base!$T178&gt;AQ$1465,"",(tech_base!$J178/tech_proj!AQ302*0.086*$N$110)/(1-tech_proj!AQ582))</f>
        <v>0</v>
      </c>
      <c r="AR1642" s="125">
        <f>IF(tech_base!$T178&gt;AR$1465,"",(tech_base!$J178/tech_proj!AR302*0.086*$N$110)/(1-tech_proj!AR582))</f>
        <v>0</v>
      </c>
      <c r="AS1642" s="125">
        <f>IF(tech_base!$T178&gt;AS$1465,"",(tech_base!$J178/tech_proj!AS302*0.086*$N$110)/(1-tech_proj!AS582))</f>
        <v>0</v>
      </c>
      <c r="AT1642" s="125">
        <f>IF(tech_base!$T178&gt;AT$1465,"",(tech_base!$J178/tech_proj!AT302*0.086*$N$110)/(1-tech_proj!AT582))</f>
        <v>0</v>
      </c>
      <c r="AU1642" s="125">
        <f>IF(tech_base!$T178&gt;AU$1465,"",(tech_base!$J178/tech_proj!AU302*0.086*$N$110)/(1-tech_proj!AU582))</f>
        <v>0</v>
      </c>
      <c r="AV1642" s="125">
        <f>IF(tech_base!$T178&gt;AV$1465,"",(tech_base!$J178/tech_proj!AV302*0.086*$N$110)/(1-tech_proj!AV582))</f>
        <v>0</v>
      </c>
      <c r="AW1642" s="125">
        <f>IF(tech_base!$T178&gt;AW$1465,"",(tech_base!$J178/tech_proj!AW302*0.086*$N$110)/(1-tech_proj!AW582))</f>
        <v>0</v>
      </c>
      <c r="AX1642" s="126">
        <f>IF(tech_base!$T178&gt;AX$1465,"",(tech_base!$J178/tech_proj!AX302*0.086*$N$110)/(1-tech_proj!AX582))</f>
        <v>0</v>
      </c>
    </row>
    <row r="1643" spans="1:50" x14ac:dyDescent="0.25">
      <c r="A1643" s="356"/>
      <c r="B1643" s="376"/>
      <c r="C1643" s="361" t="s">
        <v>15</v>
      </c>
      <c r="D1643" s="58" t="s">
        <v>7</v>
      </c>
      <c r="E1643" s="164" t="str">
        <f>A1639&amp;"/"&amp;B1639&amp;"/"&amp;C1643&amp;"/"&amp;D1643</f>
        <v>Fuel oil fired power plants/Integrated gasification combined cycle/Electricity only with CCS/L</v>
      </c>
      <c r="F1643" s="78" t="str">
        <f>A1639</f>
        <v>Fuel oil fired power plants</v>
      </c>
      <c r="G1643" s="78" t="str">
        <f>B1639</f>
        <v>Integrated gasification combined cycle</v>
      </c>
      <c r="H1643" s="78" t="str">
        <f>C1643</f>
        <v>Electricity only with CCS</v>
      </c>
      <c r="I1643" s="165" t="str">
        <f t="shared" si="379"/>
        <v>L</v>
      </c>
      <c r="J1643" s="123" t="str">
        <f>IF(tech_base!$T179&gt;J$1465,"",(tech_base!$J179/tech_proj!J303*0.086*$N$110)/(1-tech_proj!J583))</f>
        <v/>
      </c>
      <c r="K1643" s="123" t="str">
        <f>IF(tech_base!$T179&gt;K$1465,"",(tech_base!$J179/tech_proj!K303*0.086*$N$110)/(1-tech_proj!K583))</f>
        <v/>
      </c>
      <c r="L1643" s="123" t="str">
        <f>IF(tech_base!$T179&gt;L$1465,"",(tech_base!$J179/tech_proj!L303*0.086*$N$110)/(1-tech_proj!L583))</f>
        <v/>
      </c>
      <c r="M1643" s="123" t="str">
        <f>IF(tech_base!$T179&gt;M$1465,"",(tech_base!$J179/tech_proj!M303*0.086*$N$110)/(1-tech_proj!M583))</f>
        <v/>
      </c>
      <c r="N1643" s="123" t="str">
        <f>IF(tech_base!$T179&gt;N$1465,"",(tech_base!$J179/tech_proj!N303*0.086*$N$110)/(1-tech_proj!N583))</f>
        <v/>
      </c>
      <c r="O1643" s="123" t="str">
        <f>IF(tech_base!$T179&gt;O$1465,"",(tech_base!$J179/tech_proj!O303*0.086*$N$110)/(1-tech_proj!O583))</f>
        <v/>
      </c>
      <c r="P1643" s="123" t="str">
        <f>IF(tech_base!$T179&gt;P$1465,"",(tech_base!$J179/tech_proj!P303*0.086*$N$110)/(1-tech_proj!P583))</f>
        <v/>
      </c>
      <c r="Q1643" s="123" t="str">
        <f>IF(tech_base!$T179&gt;Q$1465,"",(tech_base!$J179/tech_proj!Q303*0.086*$N$110)/(1-tech_proj!Q583))</f>
        <v/>
      </c>
      <c r="R1643" s="123" t="str">
        <f>IF(tech_base!$T179&gt;R$1465,"",(tech_base!$J179/tech_proj!R303*0.086*$N$110)/(1-tech_proj!R583))</f>
        <v/>
      </c>
      <c r="S1643" s="123" t="str">
        <f>IF(tech_base!$T179&gt;S$1465,"",(tech_base!$J179/tech_proj!S303*0.086*$N$110)/(1-tech_proj!S583))</f>
        <v/>
      </c>
      <c r="T1643" s="123" t="str">
        <f>IF(tech_base!$T179&gt;T$1465,"",(tech_base!$J179/tech_proj!T303*0.086*$N$110)/(1-tech_proj!T583))</f>
        <v/>
      </c>
      <c r="U1643" s="123" t="str">
        <f>IF(tech_base!$T179&gt;U$1465,"",(tech_base!$J179/tech_proj!U303*0.086*$N$110)/(1-tech_proj!U583))</f>
        <v/>
      </c>
      <c r="V1643" s="123" t="str">
        <f>IF(tech_base!$T179&gt;V$1465,"",(tech_base!$J179/tech_proj!V303*0.086*$N$110)/(1-tech_proj!V583))</f>
        <v/>
      </c>
      <c r="W1643" s="123" t="str">
        <f>IF(tech_base!$T179&gt;W$1465,"",(tech_base!$J179/tech_proj!W303*0.086*$N$110)/(1-tech_proj!W583))</f>
        <v/>
      </c>
      <c r="X1643" s="123" t="str">
        <f>IF(tech_base!$T179&gt;X$1465,"",(tech_base!$J179/tech_proj!X303*0.086*$N$110)/(1-tech_proj!X583))</f>
        <v/>
      </c>
      <c r="Y1643" s="123" t="str">
        <f>IF(tech_base!$T179&gt;Y$1465,"",(tech_base!$J179/tech_proj!Y303*0.086*$N$110)/(1-tech_proj!Y583))</f>
        <v/>
      </c>
      <c r="Z1643" s="123" t="str">
        <f>IF(tech_base!$T179&gt;Z$1465,"",(tech_base!$J179/tech_proj!Z303*0.086*$N$110)/(1-tech_proj!Z583))</f>
        <v/>
      </c>
      <c r="AA1643" s="123" t="str">
        <f>IF(tech_base!$T179&gt;AA$1465,"",(tech_base!$J179/tech_proj!AA303*0.086*$N$110)/(1-tech_proj!AA583))</f>
        <v/>
      </c>
      <c r="AB1643" s="123" t="str">
        <f>IF(tech_base!$T179&gt;AB$1465,"",(tech_base!$J179/tech_proj!AB303*0.086*$N$110)/(1-tech_proj!AB583))</f>
        <v/>
      </c>
      <c r="AC1643" s="123" t="str">
        <f>IF(tech_base!$T179&gt;AC$1465,"",(tech_base!$J179/tech_proj!AC303*0.086*$N$110)/(1-tech_proj!AC583))</f>
        <v/>
      </c>
      <c r="AD1643" s="123" t="str">
        <f>IF(tech_base!$T179&gt;AD$1465,"",(tech_base!$J179/tech_proj!AD303*0.086*$N$110)/(1-tech_proj!AD583))</f>
        <v/>
      </c>
      <c r="AE1643" s="123">
        <f>IF(tech_base!$T179&gt;AE$1465,"",(tech_base!$J179/tech_proj!AE303*0.086*$N$110)/(1-tech_proj!AE583))</f>
        <v>0</v>
      </c>
      <c r="AF1643" s="123">
        <f>IF(tech_base!$T179&gt;AF$1465,"",(tech_base!$J179/tech_proj!AF303*0.086*$N$110)/(1-tech_proj!AF583))</f>
        <v>0</v>
      </c>
      <c r="AG1643" s="123">
        <f>IF(tech_base!$T179&gt;AG$1465,"",(tech_base!$J179/tech_proj!AG303*0.086*$N$110)/(1-tech_proj!AG583))</f>
        <v>0</v>
      </c>
      <c r="AH1643" s="123">
        <f>IF(tech_base!$T179&gt;AH$1465,"",(tech_base!$J179/tech_proj!AH303*0.086*$N$110)/(1-tech_proj!AH583))</f>
        <v>0</v>
      </c>
      <c r="AI1643" s="123">
        <f>IF(tech_base!$T179&gt;AI$1465,"",(tech_base!$J179/tech_proj!AI303*0.086*$N$110)/(1-tech_proj!AI583))</f>
        <v>0</v>
      </c>
      <c r="AJ1643" s="123">
        <f>IF(tech_base!$T179&gt;AJ$1465,"",(tech_base!$J179/tech_proj!AJ303*0.086*$N$110)/(1-tech_proj!AJ583))</f>
        <v>0</v>
      </c>
      <c r="AK1643" s="123">
        <f>IF(tech_base!$T179&gt;AK$1465,"",(tech_base!$J179/tech_proj!AK303*0.086*$N$110)/(1-tech_proj!AK583))</f>
        <v>0</v>
      </c>
      <c r="AL1643" s="123">
        <f>IF(tech_base!$T179&gt;AL$1465,"",(tech_base!$J179/tech_proj!AL303*0.086*$N$110)/(1-tech_proj!AL583))</f>
        <v>0</v>
      </c>
      <c r="AM1643" s="123">
        <f>IF(tech_base!$T179&gt;AM$1465,"",(tech_base!$J179/tech_proj!AM303*0.086*$N$110)/(1-tech_proj!AM583))</f>
        <v>0</v>
      </c>
      <c r="AN1643" s="123">
        <f>IF(tech_base!$T179&gt;AN$1465,"",(tech_base!$J179/tech_proj!AN303*0.086*$N$110)/(1-tech_proj!AN583))</f>
        <v>0</v>
      </c>
      <c r="AO1643" s="123">
        <f>IF(tech_base!$T179&gt;AO$1465,"",(tech_base!$J179/tech_proj!AO303*0.086*$N$110)/(1-tech_proj!AO583))</f>
        <v>0</v>
      </c>
      <c r="AP1643" s="123">
        <f>IF(tech_base!$T179&gt;AP$1465,"",(tech_base!$J179/tech_proj!AP303*0.086*$N$110)/(1-tech_proj!AP583))</f>
        <v>0</v>
      </c>
      <c r="AQ1643" s="123">
        <f>IF(tech_base!$T179&gt;AQ$1465,"",(tech_base!$J179/tech_proj!AQ303*0.086*$N$110)/(1-tech_proj!AQ583))</f>
        <v>0</v>
      </c>
      <c r="AR1643" s="123">
        <f>IF(tech_base!$T179&gt;AR$1465,"",(tech_base!$J179/tech_proj!AR303*0.086*$N$110)/(1-tech_proj!AR583))</f>
        <v>0</v>
      </c>
      <c r="AS1643" s="123">
        <f>IF(tech_base!$T179&gt;AS$1465,"",(tech_base!$J179/tech_proj!AS303*0.086*$N$110)/(1-tech_proj!AS583))</f>
        <v>0</v>
      </c>
      <c r="AT1643" s="123">
        <f>IF(tech_base!$T179&gt;AT$1465,"",(tech_base!$J179/tech_proj!AT303*0.086*$N$110)/(1-tech_proj!AT583))</f>
        <v>0</v>
      </c>
      <c r="AU1643" s="123">
        <f>IF(tech_base!$T179&gt;AU$1465,"",(tech_base!$J179/tech_proj!AU303*0.086*$N$110)/(1-tech_proj!AU583))</f>
        <v>0</v>
      </c>
      <c r="AV1643" s="123">
        <f>IF(tech_base!$T179&gt;AV$1465,"",(tech_base!$J179/tech_proj!AV303*0.086*$N$110)/(1-tech_proj!AV583))</f>
        <v>0</v>
      </c>
      <c r="AW1643" s="123">
        <f>IF(tech_base!$T179&gt;AW$1465,"",(tech_base!$J179/tech_proj!AW303*0.086*$N$110)/(1-tech_proj!AW583))</f>
        <v>0</v>
      </c>
      <c r="AX1643" s="124">
        <f>IF(tech_base!$T179&gt;AX$1465,"",(tech_base!$J179/tech_proj!AX303*0.086*$N$110)/(1-tech_proj!AX583))</f>
        <v>0</v>
      </c>
    </row>
    <row r="1644" spans="1:50" x14ac:dyDescent="0.25">
      <c r="A1644" s="356"/>
      <c r="B1644" s="376"/>
      <c r="C1644" s="379"/>
      <c r="D1644" s="59" t="s">
        <v>8</v>
      </c>
      <c r="E1644" s="166" t="str">
        <f>A1639&amp;"/"&amp;B1639&amp;"/"&amp;C1643&amp;"/"&amp;D1644</f>
        <v>Fuel oil fired power plants/Integrated gasification combined cycle/Electricity only with CCS/M</v>
      </c>
      <c r="F1644" s="79" t="str">
        <f>A1639</f>
        <v>Fuel oil fired power plants</v>
      </c>
      <c r="G1644" s="79" t="str">
        <f>B1639</f>
        <v>Integrated gasification combined cycle</v>
      </c>
      <c r="H1644" s="79" t="str">
        <f>C1643</f>
        <v>Electricity only with CCS</v>
      </c>
      <c r="I1644" s="167" t="str">
        <f t="shared" si="379"/>
        <v>M</v>
      </c>
      <c r="J1644" s="125" t="str">
        <f>IF(tech_base!$T180&gt;J$1465,"",(tech_base!$J180/tech_proj!J304*0.086*$N$110)/(1-tech_proj!J584))</f>
        <v/>
      </c>
      <c r="K1644" s="125" t="str">
        <f>IF(tech_base!$T180&gt;K$1465,"",(tech_base!$J180/tech_proj!K304*0.086*$N$110)/(1-tech_proj!K584))</f>
        <v/>
      </c>
      <c r="L1644" s="125" t="str">
        <f>IF(tech_base!$T180&gt;L$1465,"",(tech_base!$J180/tech_proj!L304*0.086*$N$110)/(1-tech_proj!L584))</f>
        <v/>
      </c>
      <c r="M1644" s="125" t="str">
        <f>IF(tech_base!$T180&gt;M$1465,"",(tech_base!$J180/tech_proj!M304*0.086*$N$110)/(1-tech_proj!M584))</f>
        <v/>
      </c>
      <c r="N1644" s="125" t="str">
        <f>IF(tech_base!$T180&gt;N$1465,"",(tech_base!$J180/tech_proj!N304*0.086*$N$110)/(1-tech_proj!N584))</f>
        <v/>
      </c>
      <c r="O1644" s="125" t="str">
        <f>IF(tech_base!$T180&gt;O$1465,"",(tech_base!$J180/tech_proj!O304*0.086*$N$110)/(1-tech_proj!O584))</f>
        <v/>
      </c>
      <c r="P1644" s="125" t="str">
        <f>IF(tech_base!$T180&gt;P$1465,"",(tech_base!$J180/tech_proj!P304*0.086*$N$110)/(1-tech_proj!P584))</f>
        <v/>
      </c>
      <c r="Q1644" s="125" t="str">
        <f>IF(tech_base!$T180&gt;Q$1465,"",(tech_base!$J180/tech_proj!Q304*0.086*$N$110)/(1-tech_proj!Q584))</f>
        <v/>
      </c>
      <c r="R1644" s="125" t="str">
        <f>IF(tech_base!$T180&gt;R$1465,"",(tech_base!$J180/tech_proj!R304*0.086*$N$110)/(1-tech_proj!R584))</f>
        <v/>
      </c>
      <c r="S1644" s="125" t="str">
        <f>IF(tech_base!$T180&gt;S$1465,"",(tech_base!$J180/tech_proj!S304*0.086*$N$110)/(1-tech_proj!S584))</f>
        <v/>
      </c>
      <c r="T1644" s="125" t="str">
        <f>IF(tech_base!$T180&gt;T$1465,"",(tech_base!$J180/tech_proj!T304*0.086*$N$110)/(1-tech_proj!T584))</f>
        <v/>
      </c>
      <c r="U1644" s="125" t="str">
        <f>IF(tech_base!$T180&gt;U$1465,"",(tech_base!$J180/tech_proj!U304*0.086*$N$110)/(1-tech_proj!U584))</f>
        <v/>
      </c>
      <c r="V1644" s="125" t="str">
        <f>IF(tech_base!$T180&gt;V$1465,"",(tech_base!$J180/tech_proj!V304*0.086*$N$110)/(1-tech_proj!V584))</f>
        <v/>
      </c>
      <c r="W1644" s="125" t="str">
        <f>IF(tech_base!$T180&gt;W$1465,"",(tech_base!$J180/tech_proj!W304*0.086*$N$110)/(1-tech_proj!W584))</f>
        <v/>
      </c>
      <c r="X1644" s="125" t="str">
        <f>IF(tech_base!$T180&gt;X$1465,"",(tech_base!$J180/tech_proj!X304*0.086*$N$110)/(1-tech_proj!X584))</f>
        <v/>
      </c>
      <c r="Y1644" s="125" t="str">
        <f>IF(tech_base!$T180&gt;Y$1465,"",(tech_base!$J180/tech_proj!Y304*0.086*$N$110)/(1-tech_proj!Y584))</f>
        <v/>
      </c>
      <c r="Z1644" s="125" t="str">
        <f>IF(tech_base!$T180&gt;Z$1465,"",(tech_base!$J180/tech_proj!Z304*0.086*$N$110)/(1-tech_proj!Z584))</f>
        <v/>
      </c>
      <c r="AA1644" s="125" t="str">
        <f>IF(tech_base!$T180&gt;AA$1465,"",(tech_base!$J180/tech_proj!AA304*0.086*$N$110)/(1-tech_proj!AA584))</f>
        <v/>
      </c>
      <c r="AB1644" s="125" t="str">
        <f>IF(tech_base!$T180&gt;AB$1465,"",(tech_base!$J180/tech_proj!AB304*0.086*$N$110)/(1-tech_proj!AB584))</f>
        <v/>
      </c>
      <c r="AC1644" s="125" t="str">
        <f>IF(tech_base!$T180&gt;AC$1465,"",(tech_base!$J180/tech_proj!AC304*0.086*$N$110)/(1-tech_proj!AC584))</f>
        <v/>
      </c>
      <c r="AD1644" s="125" t="str">
        <f>IF(tech_base!$T180&gt;AD$1465,"",(tech_base!$J180/tech_proj!AD304*0.086*$N$110)/(1-tech_proj!AD584))</f>
        <v/>
      </c>
      <c r="AE1644" s="125">
        <f>IF(tech_base!$T180&gt;AE$1465,"",(tech_base!$J180/tech_proj!AE304*0.086*$N$110)/(1-tech_proj!AE584))</f>
        <v>0</v>
      </c>
      <c r="AF1644" s="125">
        <f>IF(tech_base!$T180&gt;AF$1465,"",(tech_base!$J180/tech_proj!AF304*0.086*$N$110)/(1-tech_proj!AF584))</f>
        <v>0</v>
      </c>
      <c r="AG1644" s="125">
        <f>IF(tech_base!$T180&gt;AG$1465,"",(tech_base!$J180/tech_proj!AG304*0.086*$N$110)/(1-tech_proj!AG584))</f>
        <v>0</v>
      </c>
      <c r="AH1644" s="125">
        <f>IF(tech_base!$T180&gt;AH$1465,"",(tech_base!$J180/tech_proj!AH304*0.086*$N$110)/(1-tech_proj!AH584))</f>
        <v>0</v>
      </c>
      <c r="AI1644" s="125">
        <f>IF(tech_base!$T180&gt;AI$1465,"",(tech_base!$J180/tech_proj!AI304*0.086*$N$110)/(1-tech_proj!AI584))</f>
        <v>0</v>
      </c>
      <c r="AJ1644" s="125">
        <f>IF(tech_base!$T180&gt;AJ$1465,"",(tech_base!$J180/tech_proj!AJ304*0.086*$N$110)/(1-tech_proj!AJ584))</f>
        <v>0</v>
      </c>
      <c r="AK1644" s="125">
        <f>IF(tech_base!$T180&gt;AK$1465,"",(tech_base!$J180/tech_proj!AK304*0.086*$N$110)/(1-tech_proj!AK584))</f>
        <v>0</v>
      </c>
      <c r="AL1644" s="125">
        <f>IF(tech_base!$T180&gt;AL$1465,"",(tech_base!$J180/tech_proj!AL304*0.086*$N$110)/(1-tech_proj!AL584))</f>
        <v>0</v>
      </c>
      <c r="AM1644" s="125">
        <f>IF(tech_base!$T180&gt;AM$1465,"",(tech_base!$J180/tech_proj!AM304*0.086*$N$110)/(1-tech_proj!AM584))</f>
        <v>0</v>
      </c>
      <c r="AN1644" s="125">
        <f>IF(tech_base!$T180&gt;AN$1465,"",(tech_base!$J180/tech_proj!AN304*0.086*$N$110)/(1-tech_proj!AN584))</f>
        <v>0</v>
      </c>
      <c r="AO1644" s="125">
        <f>IF(tech_base!$T180&gt;AO$1465,"",(tech_base!$J180/tech_proj!AO304*0.086*$N$110)/(1-tech_proj!AO584))</f>
        <v>0</v>
      </c>
      <c r="AP1644" s="125">
        <f>IF(tech_base!$T180&gt;AP$1465,"",(tech_base!$J180/tech_proj!AP304*0.086*$N$110)/(1-tech_proj!AP584))</f>
        <v>0</v>
      </c>
      <c r="AQ1644" s="125">
        <f>IF(tech_base!$T180&gt;AQ$1465,"",(tech_base!$J180/tech_proj!AQ304*0.086*$N$110)/(1-tech_proj!AQ584))</f>
        <v>0</v>
      </c>
      <c r="AR1644" s="125">
        <f>IF(tech_base!$T180&gt;AR$1465,"",(tech_base!$J180/tech_proj!AR304*0.086*$N$110)/(1-tech_proj!AR584))</f>
        <v>0</v>
      </c>
      <c r="AS1644" s="125">
        <f>IF(tech_base!$T180&gt;AS$1465,"",(tech_base!$J180/tech_proj!AS304*0.086*$N$110)/(1-tech_proj!AS584))</f>
        <v>0</v>
      </c>
      <c r="AT1644" s="125">
        <f>IF(tech_base!$T180&gt;AT$1465,"",(tech_base!$J180/tech_proj!AT304*0.086*$N$110)/(1-tech_proj!AT584))</f>
        <v>0</v>
      </c>
      <c r="AU1644" s="125">
        <f>IF(tech_base!$T180&gt;AU$1465,"",(tech_base!$J180/tech_proj!AU304*0.086*$N$110)/(1-tech_proj!AU584))</f>
        <v>0</v>
      </c>
      <c r="AV1644" s="125">
        <f>IF(tech_base!$T180&gt;AV$1465,"",(tech_base!$J180/tech_proj!AV304*0.086*$N$110)/(1-tech_proj!AV584))</f>
        <v>0</v>
      </c>
      <c r="AW1644" s="125">
        <f>IF(tech_base!$T180&gt;AW$1465,"",(tech_base!$J180/tech_proj!AW304*0.086*$N$110)/(1-tech_proj!AW584))</f>
        <v>0</v>
      </c>
      <c r="AX1644" s="126">
        <f>IF(tech_base!$T180&gt;AX$1465,"",(tech_base!$J180/tech_proj!AX304*0.086*$N$110)/(1-tech_proj!AX584))</f>
        <v>0</v>
      </c>
    </row>
    <row r="1645" spans="1:50" x14ac:dyDescent="0.25">
      <c r="A1645" s="356"/>
      <c r="B1645" s="376"/>
      <c r="C1645" s="361" t="s">
        <v>16</v>
      </c>
      <c r="D1645" s="2" t="s">
        <v>7</v>
      </c>
      <c r="E1645" s="160" t="str">
        <f>A1639&amp;"/"&amp;B1639&amp;"/"&amp;C1645&amp;"/"&amp;D1645</f>
        <v>Fuel oil fired power plants/Integrated gasification combined cycle/CHP with CCS/L</v>
      </c>
      <c r="F1645" s="76" t="str">
        <f>A1639</f>
        <v>Fuel oil fired power plants</v>
      </c>
      <c r="G1645" s="76" t="str">
        <f>B1639</f>
        <v>Integrated gasification combined cycle</v>
      </c>
      <c r="H1645" s="76" t="str">
        <f>C1645</f>
        <v>CHP with CCS</v>
      </c>
      <c r="I1645" s="161" t="str">
        <f t="shared" si="379"/>
        <v>L</v>
      </c>
      <c r="J1645" s="119" t="str">
        <f>IF(tech_base!$T181&gt;J$1465,"",(tech_base!$J181/tech_proj!J305*0.086*$N$110)/(1-tech_proj!J585))</f>
        <v/>
      </c>
      <c r="K1645" s="119" t="str">
        <f>IF(tech_base!$T181&gt;K$1465,"",(tech_base!$J181/tech_proj!K305*0.086*$N$110)/(1-tech_proj!K585))</f>
        <v/>
      </c>
      <c r="L1645" s="119" t="str">
        <f>IF(tech_base!$T181&gt;L$1465,"",(tech_base!$J181/tech_proj!L305*0.086*$N$110)/(1-tech_proj!L585))</f>
        <v/>
      </c>
      <c r="M1645" s="119" t="str">
        <f>IF(tech_base!$T181&gt;M$1465,"",(tech_base!$J181/tech_proj!M305*0.086*$N$110)/(1-tech_proj!M585))</f>
        <v/>
      </c>
      <c r="N1645" s="119" t="str">
        <f>IF(tech_base!$T181&gt;N$1465,"",(tech_base!$J181/tech_proj!N305*0.086*$N$110)/(1-tech_proj!N585))</f>
        <v/>
      </c>
      <c r="O1645" s="119" t="str">
        <f>IF(tech_base!$T181&gt;O$1465,"",(tech_base!$J181/tech_proj!O305*0.086*$N$110)/(1-tech_proj!O585))</f>
        <v/>
      </c>
      <c r="P1645" s="119" t="str">
        <f>IF(tech_base!$T181&gt;P$1465,"",(tech_base!$J181/tech_proj!P305*0.086*$N$110)/(1-tech_proj!P585))</f>
        <v/>
      </c>
      <c r="Q1645" s="119" t="str">
        <f>IF(tech_base!$T181&gt;Q$1465,"",(tech_base!$J181/tech_proj!Q305*0.086*$N$110)/(1-tech_proj!Q585))</f>
        <v/>
      </c>
      <c r="R1645" s="119" t="str">
        <f>IF(tech_base!$T181&gt;R$1465,"",(tech_base!$J181/tech_proj!R305*0.086*$N$110)/(1-tech_proj!R585))</f>
        <v/>
      </c>
      <c r="S1645" s="119" t="str">
        <f>IF(tech_base!$T181&gt;S$1465,"",(tech_base!$J181/tech_proj!S305*0.086*$N$110)/(1-tech_proj!S585))</f>
        <v/>
      </c>
      <c r="T1645" s="119" t="str">
        <f>IF(tech_base!$T181&gt;T$1465,"",(tech_base!$J181/tech_proj!T305*0.086*$N$110)/(1-tech_proj!T585))</f>
        <v/>
      </c>
      <c r="U1645" s="119" t="str">
        <f>IF(tech_base!$T181&gt;U$1465,"",(tech_base!$J181/tech_proj!U305*0.086*$N$110)/(1-tech_proj!U585))</f>
        <v/>
      </c>
      <c r="V1645" s="119" t="str">
        <f>IF(tech_base!$T181&gt;V$1465,"",(tech_base!$J181/tech_proj!V305*0.086*$N$110)/(1-tech_proj!V585))</f>
        <v/>
      </c>
      <c r="W1645" s="119" t="str">
        <f>IF(tech_base!$T181&gt;W$1465,"",(tech_base!$J181/tech_proj!W305*0.086*$N$110)/(1-tech_proj!W585))</f>
        <v/>
      </c>
      <c r="X1645" s="119" t="str">
        <f>IF(tech_base!$T181&gt;X$1465,"",(tech_base!$J181/tech_proj!X305*0.086*$N$110)/(1-tech_proj!X585))</f>
        <v/>
      </c>
      <c r="Y1645" s="119" t="str">
        <f>IF(tech_base!$T181&gt;Y$1465,"",(tech_base!$J181/tech_proj!Y305*0.086*$N$110)/(1-tech_proj!Y585))</f>
        <v/>
      </c>
      <c r="Z1645" s="119" t="str">
        <f>IF(tech_base!$T181&gt;Z$1465,"",(tech_base!$J181/tech_proj!Z305*0.086*$N$110)/(1-tech_proj!Z585))</f>
        <v/>
      </c>
      <c r="AA1645" s="119" t="str">
        <f>IF(tech_base!$T181&gt;AA$1465,"",(tech_base!$J181/tech_proj!AA305*0.086*$N$110)/(1-tech_proj!AA585))</f>
        <v/>
      </c>
      <c r="AB1645" s="119" t="str">
        <f>IF(tech_base!$T181&gt;AB$1465,"",(tech_base!$J181/tech_proj!AB305*0.086*$N$110)/(1-tech_proj!AB585))</f>
        <v/>
      </c>
      <c r="AC1645" s="119" t="str">
        <f>IF(tech_base!$T181&gt;AC$1465,"",(tech_base!$J181/tech_proj!AC305*0.086*$N$110)/(1-tech_proj!AC585))</f>
        <v/>
      </c>
      <c r="AD1645" s="119" t="str">
        <f>IF(tech_base!$T181&gt;AD$1465,"",(tech_base!$J181/tech_proj!AD305*0.086*$N$110)/(1-tech_proj!AD585))</f>
        <v/>
      </c>
      <c r="AE1645" s="119">
        <f>IF(tech_base!$T181&gt;AE$1465,"",(tech_base!$J181/tech_proj!AE305*0.086*$N$110)/(1-tech_proj!AE585))</f>
        <v>0</v>
      </c>
      <c r="AF1645" s="119">
        <f>IF(tech_base!$T181&gt;AF$1465,"",(tech_base!$J181/tech_proj!AF305*0.086*$N$110)/(1-tech_proj!AF585))</f>
        <v>0</v>
      </c>
      <c r="AG1645" s="119">
        <f>IF(tech_base!$T181&gt;AG$1465,"",(tech_base!$J181/tech_proj!AG305*0.086*$N$110)/(1-tech_proj!AG585))</f>
        <v>0</v>
      </c>
      <c r="AH1645" s="119">
        <f>IF(tech_base!$T181&gt;AH$1465,"",(tech_base!$J181/tech_proj!AH305*0.086*$N$110)/(1-tech_proj!AH585))</f>
        <v>0</v>
      </c>
      <c r="AI1645" s="119">
        <f>IF(tech_base!$T181&gt;AI$1465,"",(tech_base!$J181/tech_proj!AI305*0.086*$N$110)/(1-tech_proj!AI585))</f>
        <v>0</v>
      </c>
      <c r="AJ1645" s="119">
        <f>IF(tech_base!$T181&gt;AJ$1465,"",(tech_base!$J181/tech_proj!AJ305*0.086*$N$110)/(1-tech_proj!AJ585))</f>
        <v>0</v>
      </c>
      <c r="AK1645" s="119">
        <f>IF(tech_base!$T181&gt;AK$1465,"",(tech_base!$J181/tech_proj!AK305*0.086*$N$110)/(1-tech_proj!AK585))</f>
        <v>0</v>
      </c>
      <c r="AL1645" s="119">
        <f>IF(tech_base!$T181&gt;AL$1465,"",(tech_base!$J181/tech_proj!AL305*0.086*$N$110)/(1-tech_proj!AL585))</f>
        <v>0</v>
      </c>
      <c r="AM1645" s="119">
        <f>IF(tech_base!$T181&gt;AM$1465,"",(tech_base!$J181/tech_proj!AM305*0.086*$N$110)/(1-tech_proj!AM585))</f>
        <v>0</v>
      </c>
      <c r="AN1645" s="119">
        <f>IF(tech_base!$T181&gt;AN$1465,"",(tech_base!$J181/tech_proj!AN305*0.086*$N$110)/(1-tech_proj!AN585))</f>
        <v>0</v>
      </c>
      <c r="AO1645" s="119">
        <f>IF(tech_base!$T181&gt;AO$1465,"",(tech_base!$J181/tech_proj!AO305*0.086*$N$110)/(1-tech_proj!AO585))</f>
        <v>0</v>
      </c>
      <c r="AP1645" s="119">
        <f>IF(tech_base!$T181&gt;AP$1465,"",(tech_base!$J181/tech_proj!AP305*0.086*$N$110)/(1-tech_proj!AP585))</f>
        <v>0</v>
      </c>
      <c r="AQ1645" s="119">
        <f>IF(tech_base!$T181&gt;AQ$1465,"",(tech_base!$J181/tech_proj!AQ305*0.086*$N$110)/(1-tech_proj!AQ585))</f>
        <v>0</v>
      </c>
      <c r="AR1645" s="119">
        <f>IF(tech_base!$T181&gt;AR$1465,"",(tech_base!$J181/tech_proj!AR305*0.086*$N$110)/(1-tech_proj!AR585))</f>
        <v>0</v>
      </c>
      <c r="AS1645" s="119">
        <f>IF(tech_base!$T181&gt;AS$1465,"",(tech_base!$J181/tech_proj!AS305*0.086*$N$110)/(1-tech_proj!AS585))</f>
        <v>0</v>
      </c>
      <c r="AT1645" s="119">
        <f>IF(tech_base!$T181&gt;AT$1465,"",(tech_base!$J181/tech_proj!AT305*0.086*$N$110)/(1-tech_proj!AT585))</f>
        <v>0</v>
      </c>
      <c r="AU1645" s="119">
        <f>IF(tech_base!$T181&gt;AU$1465,"",(tech_base!$J181/tech_proj!AU305*0.086*$N$110)/(1-tech_proj!AU585))</f>
        <v>0</v>
      </c>
      <c r="AV1645" s="119">
        <f>IF(tech_base!$T181&gt;AV$1465,"",(tech_base!$J181/tech_proj!AV305*0.086*$N$110)/(1-tech_proj!AV585))</f>
        <v>0</v>
      </c>
      <c r="AW1645" s="119">
        <f>IF(tech_base!$T181&gt;AW$1465,"",(tech_base!$J181/tech_proj!AW305*0.086*$N$110)/(1-tech_proj!AW585))</f>
        <v>0</v>
      </c>
      <c r="AX1645" s="120">
        <f>IF(tech_base!$T181&gt;AX$1465,"",(tech_base!$J181/tech_proj!AX305*0.086*$N$110)/(1-tech_proj!AX585))</f>
        <v>0</v>
      </c>
    </row>
    <row r="1646" spans="1:50" x14ac:dyDescent="0.25">
      <c r="A1646" s="356"/>
      <c r="B1646" s="380"/>
      <c r="C1646" s="354"/>
      <c r="D1646" s="4" t="s">
        <v>8</v>
      </c>
      <c r="E1646" s="168" t="str">
        <f>A1639&amp;"/"&amp;B1639&amp;"/"&amp;C1645&amp;"/"&amp;D1646</f>
        <v>Fuel oil fired power plants/Integrated gasification combined cycle/CHP with CCS/M</v>
      </c>
      <c r="F1646" s="80" t="str">
        <f>A1639</f>
        <v>Fuel oil fired power plants</v>
      </c>
      <c r="G1646" s="80" t="str">
        <f>B1639</f>
        <v>Integrated gasification combined cycle</v>
      </c>
      <c r="H1646" s="80" t="str">
        <f>C1645</f>
        <v>CHP with CCS</v>
      </c>
      <c r="I1646" s="169" t="str">
        <f t="shared" si="379"/>
        <v>M</v>
      </c>
      <c r="J1646" s="127" t="str">
        <f>IF(tech_base!$T182&gt;J$1465,"",(tech_base!$J182/tech_proj!J306*0.086*$N$110)/(1-tech_proj!J586))</f>
        <v/>
      </c>
      <c r="K1646" s="127" t="str">
        <f>IF(tech_base!$T182&gt;K$1465,"",(tech_base!$J182/tech_proj!K306*0.086*$N$110)/(1-tech_proj!K586))</f>
        <v/>
      </c>
      <c r="L1646" s="127" t="str">
        <f>IF(tech_base!$T182&gt;L$1465,"",(tech_base!$J182/tech_proj!L306*0.086*$N$110)/(1-tech_proj!L586))</f>
        <v/>
      </c>
      <c r="M1646" s="127" t="str">
        <f>IF(tech_base!$T182&gt;M$1465,"",(tech_base!$J182/tech_proj!M306*0.086*$N$110)/(1-tech_proj!M586))</f>
        <v/>
      </c>
      <c r="N1646" s="127" t="str">
        <f>IF(tech_base!$T182&gt;N$1465,"",(tech_base!$J182/tech_proj!N306*0.086*$N$110)/(1-tech_proj!N586))</f>
        <v/>
      </c>
      <c r="O1646" s="127" t="str">
        <f>IF(tech_base!$T182&gt;O$1465,"",(tech_base!$J182/tech_proj!O306*0.086*$N$110)/(1-tech_proj!O586))</f>
        <v/>
      </c>
      <c r="P1646" s="127" t="str">
        <f>IF(tech_base!$T182&gt;P$1465,"",(tech_base!$J182/tech_proj!P306*0.086*$N$110)/(1-tech_proj!P586))</f>
        <v/>
      </c>
      <c r="Q1646" s="127" t="str">
        <f>IF(tech_base!$T182&gt;Q$1465,"",(tech_base!$J182/tech_proj!Q306*0.086*$N$110)/(1-tech_proj!Q586))</f>
        <v/>
      </c>
      <c r="R1646" s="127" t="str">
        <f>IF(tech_base!$T182&gt;R$1465,"",(tech_base!$J182/tech_proj!R306*0.086*$N$110)/(1-tech_proj!R586))</f>
        <v/>
      </c>
      <c r="S1646" s="127" t="str">
        <f>IF(tech_base!$T182&gt;S$1465,"",(tech_base!$J182/tech_proj!S306*0.086*$N$110)/(1-tech_proj!S586))</f>
        <v/>
      </c>
      <c r="T1646" s="127" t="str">
        <f>IF(tech_base!$T182&gt;T$1465,"",(tech_base!$J182/tech_proj!T306*0.086*$N$110)/(1-tech_proj!T586))</f>
        <v/>
      </c>
      <c r="U1646" s="127" t="str">
        <f>IF(tech_base!$T182&gt;U$1465,"",(tech_base!$J182/tech_proj!U306*0.086*$N$110)/(1-tech_proj!U586))</f>
        <v/>
      </c>
      <c r="V1646" s="127" t="str">
        <f>IF(tech_base!$T182&gt;V$1465,"",(tech_base!$J182/tech_proj!V306*0.086*$N$110)/(1-tech_proj!V586))</f>
        <v/>
      </c>
      <c r="W1646" s="127" t="str">
        <f>IF(tech_base!$T182&gt;W$1465,"",(tech_base!$J182/tech_proj!W306*0.086*$N$110)/(1-tech_proj!W586))</f>
        <v/>
      </c>
      <c r="X1646" s="127" t="str">
        <f>IF(tech_base!$T182&gt;X$1465,"",(tech_base!$J182/tech_proj!X306*0.086*$N$110)/(1-tech_proj!X586))</f>
        <v/>
      </c>
      <c r="Y1646" s="127" t="str">
        <f>IF(tech_base!$T182&gt;Y$1465,"",(tech_base!$J182/tech_proj!Y306*0.086*$N$110)/(1-tech_proj!Y586))</f>
        <v/>
      </c>
      <c r="Z1646" s="127" t="str">
        <f>IF(tech_base!$T182&gt;Z$1465,"",(tech_base!$J182/tech_proj!Z306*0.086*$N$110)/(1-tech_proj!Z586))</f>
        <v/>
      </c>
      <c r="AA1646" s="127" t="str">
        <f>IF(tech_base!$T182&gt;AA$1465,"",(tech_base!$J182/tech_proj!AA306*0.086*$N$110)/(1-tech_proj!AA586))</f>
        <v/>
      </c>
      <c r="AB1646" s="127" t="str">
        <f>IF(tech_base!$T182&gt;AB$1465,"",(tech_base!$J182/tech_proj!AB306*0.086*$N$110)/(1-tech_proj!AB586))</f>
        <v/>
      </c>
      <c r="AC1646" s="127" t="str">
        <f>IF(tech_base!$T182&gt;AC$1465,"",(tech_base!$J182/tech_proj!AC306*0.086*$N$110)/(1-tech_proj!AC586))</f>
        <v/>
      </c>
      <c r="AD1646" s="127" t="str">
        <f>IF(tech_base!$T182&gt;AD$1465,"",(tech_base!$J182/tech_proj!AD306*0.086*$N$110)/(1-tech_proj!AD586))</f>
        <v/>
      </c>
      <c r="AE1646" s="127">
        <f>IF(tech_base!$T182&gt;AE$1465,"",(tech_base!$J182/tech_proj!AE306*0.086*$N$110)/(1-tech_proj!AE586))</f>
        <v>0</v>
      </c>
      <c r="AF1646" s="127">
        <f>IF(tech_base!$T182&gt;AF$1465,"",(tech_base!$J182/tech_proj!AF306*0.086*$N$110)/(1-tech_proj!AF586))</f>
        <v>0</v>
      </c>
      <c r="AG1646" s="127">
        <f>IF(tech_base!$T182&gt;AG$1465,"",(tech_base!$J182/tech_proj!AG306*0.086*$N$110)/(1-tech_proj!AG586))</f>
        <v>0</v>
      </c>
      <c r="AH1646" s="127">
        <f>IF(tech_base!$T182&gt;AH$1465,"",(tech_base!$J182/tech_proj!AH306*0.086*$N$110)/(1-tech_proj!AH586))</f>
        <v>0</v>
      </c>
      <c r="AI1646" s="127">
        <f>IF(tech_base!$T182&gt;AI$1465,"",(tech_base!$J182/tech_proj!AI306*0.086*$N$110)/(1-tech_proj!AI586))</f>
        <v>0</v>
      </c>
      <c r="AJ1646" s="127">
        <f>IF(tech_base!$T182&gt;AJ$1465,"",(tech_base!$J182/tech_proj!AJ306*0.086*$N$110)/(1-tech_proj!AJ586))</f>
        <v>0</v>
      </c>
      <c r="AK1646" s="127">
        <f>IF(tech_base!$T182&gt;AK$1465,"",(tech_base!$J182/tech_proj!AK306*0.086*$N$110)/(1-tech_proj!AK586))</f>
        <v>0</v>
      </c>
      <c r="AL1646" s="127">
        <f>IF(tech_base!$T182&gt;AL$1465,"",(tech_base!$J182/tech_proj!AL306*0.086*$N$110)/(1-tech_proj!AL586))</f>
        <v>0</v>
      </c>
      <c r="AM1646" s="127">
        <f>IF(tech_base!$T182&gt;AM$1465,"",(tech_base!$J182/tech_proj!AM306*0.086*$N$110)/(1-tech_proj!AM586))</f>
        <v>0</v>
      </c>
      <c r="AN1646" s="127">
        <f>IF(tech_base!$T182&gt;AN$1465,"",(tech_base!$J182/tech_proj!AN306*0.086*$N$110)/(1-tech_proj!AN586))</f>
        <v>0</v>
      </c>
      <c r="AO1646" s="127">
        <f>IF(tech_base!$T182&gt;AO$1465,"",(tech_base!$J182/tech_proj!AO306*0.086*$N$110)/(1-tech_proj!AO586))</f>
        <v>0</v>
      </c>
      <c r="AP1646" s="127">
        <f>IF(tech_base!$T182&gt;AP$1465,"",(tech_base!$J182/tech_proj!AP306*0.086*$N$110)/(1-tech_proj!AP586))</f>
        <v>0</v>
      </c>
      <c r="AQ1646" s="127">
        <f>IF(tech_base!$T182&gt;AQ$1465,"",(tech_base!$J182/tech_proj!AQ306*0.086*$N$110)/(1-tech_proj!AQ586))</f>
        <v>0</v>
      </c>
      <c r="AR1646" s="127">
        <f>IF(tech_base!$T182&gt;AR$1465,"",(tech_base!$J182/tech_proj!AR306*0.086*$N$110)/(1-tech_proj!AR586))</f>
        <v>0</v>
      </c>
      <c r="AS1646" s="127">
        <f>IF(tech_base!$T182&gt;AS$1465,"",(tech_base!$J182/tech_proj!AS306*0.086*$N$110)/(1-tech_proj!AS586))</f>
        <v>0</v>
      </c>
      <c r="AT1646" s="127">
        <f>IF(tech_base!$T182&gt;AT$1465,"",(tech_base!$J182/tech_proj!AT306*0.086*$N$110)/(1-tech_proj!AT586))</f>
        <v>0</v>
      </c>
      <c r="AU1646" s="127">
        <f>IF(tech_base!$T182&gt;AU$1465,"",(tech_base!$J182/tech_proj!AU306*0.086*$N$110)/(1-tech_proj!AU586))</f>
        <v>0</v>
      </c>
      <c r="AV1646" s="127">
        <f>IF(tech_base!$T182&gt;AV$1465,"",(tech_base!$J182/tech_proj!AV306*0.086*$N$110)/(1-tech_proj!AV586))</f>
        <v>0</v>
      </c>
      <c r="AW1646" s="127">
        <f>IF(tech_base!$T182&gt;AW$1465,"",(tech_base!$J182/tech_proj!AW306*0.086*$N$110)/(1-tech_proj!AW586))</f>
        <v>0</v>
      </c>
      <c r="AX1646" s="128">
        <f>IF(tech_base!$T182&gt;AX$1465,"",(tech_base!$J182/tech_proj!AX306*0.086*$N$110)/(1-tech_proj!AX586))</f>
        <v>0</v>
      </c>
    </row>
    <row r="1647" spans="1:50" x14ac:dyDescent="0.25">
      <c r="A1647" s="356"/>
      <c r="B1647" s="358" t="s">
        <v>17</v>
      </c>
      <c r="C1647" s="353" t="s">
        <v>6</v>
      </c>
      <c r="D1647" s="3" t="s">
        <v>7</v>
      </c>
      <c r="E1647" s="162" t="str">
        <f>A1639&amp;"/"&amp;B1647&amp;"/"&amp;C1647&amp;"/"&amp;D1647</f>
        <v>Fuel oil fired power plants/Supercritical steam turbine/Electricity only/L</v>
      </c>
      <c r="F1647" s="77" t="str">
        <f>A1639</f>
        <v>Fuel oil fired power plants</v>
      </c>
      <c r="G1647" s="77" t="str">
        <f>B1647</f>
        <v>Supercritical steam turbine</v>
      </c>
      <c r="H1647" s="77" t="str">
        <f>C1647</f>
        <v>Electricity only</v>
      </c>
      <c r="I1647" s="163" t="str">
        <f t="shared" si="379"/>
        <v>L</v>
      </c>
      <c r="J1647" s="121">
        <f>IF(tech_base!$T183&gt;J$1465,"",(tech_base!$J183/tech_proj!J307*0.086*$N$110)/(1-tech_proj!J587))</f>
        <v>0</v>
      </c>
      <c r="K1647" s="121">
        <f>IF(tech_base!$T183&gt;K$1465,"",(tech_base!$J183/tech_proj!K307*0.086*$N$110)/(1-tech_proj!K587))</f>
        <v>0</v>
      </c>
      <c r="L1647" s="121">
        <f>IF(tech_base!$T183&gt;L$1465,"",(tech_base!$J183/tech_proj!L307*0.086*$N$110)/(1-tech_proj!L587))</f>
        <v>0</v>
      </c>
      <c r="M1647" s="121">
        <f>IF(tech_base!$T183&gt;M$1465,"",(tech_base!$J183/tech_proj!M307*0.086*$N$110)/(1-tech_proj!M587))</f>
        <v>0</v>
      </c>
      <c r="N1647" s="121">
        <f>IF(tech_base!$T183&gt;N$1465,"",(tech_base!$J183/tech_proj!N307*0.086*$N$110)/(1-tech_proj!N587))</f>
        <v>0</v>
      </c>
      <c r="O1647" s="121">
        <f>IF(tech_base!$T183&gt;O$1465,"",(tech_base!$J183/tech_proj!O307*0.086*$N$110)/(1-tech_proj!O587))</f>
        <v>0</v>
      </c>
      <c r="P1647" s="121">
        <f>IF(tech_base!$T183&gt;P$1465,"",(tech_base!$J183/tech_proj!P307*0.086*$N$110)/(1-tech_proj!P587))</f>
        <v>0</v>
      </c>
      <c r="Q1647" s="121">
        <f>IF(tech_base!$T183&gt;Q$1465,"",(tech_base!$J183/tech_proj!Q307*0.086*$N$110)/(1-tech_proj!Q587))</f>
        <v>0</v>
      </c>
      <c r="R1647" s="121">
        <f>IF(tech_base!$T183&gt;R$1465,"",(tech_base!$J183/tech_proj!R307*0.086*$N$110)/(1-tech_proj!R587))</f>
        <v>0</v>
      </c>
      <c r="S1647" s="121">
        <f>IF(tech_base!$T183&gt;S$1465,"",(tech_base!$J183/tech_proj!S307*0.086*$N$110)/(1-tech_proj!S587))</f>
        <v>0</v>
      </c>
      <c r="T1647" s="121">
        <f>IF(tech_base!$T183&gt;T$1465,"",(tech_base!$J183/tech_proj!T307*0.086*$N$110)/(1-tech_proj!T587))</f>
        <v>0</v>
      </c>
      <c r="U1647" s="121">
        <f>IF(tech_base!$T183&gt;U$1465,"",(tech_base!$J183/tech_proj!U307*0.086*$N$110)/(1-tech_proj!U587))</f>
        <v>0</v>
      </c>
      <c r="V1647" s="121">
        <f>IF(tech_base!$T183&gt;V$1465,"",(tech_base!$J183/tech_proj!V307*0.086*$N$110)/(1-tech_proj!V587))</f>
        <v>0</v>
      </c>
      <c r="W1647" s="121">
        <f>IF(tech_base!$T183&gt;W$1465,"",(tech_base!$J183/tech_proj!W307*0.086*$N$110)/(1-tech_proj!W587))</f>
        <v>0</v>
      </c>
      <c r="X1647" s="121">
        <f>IF(tech_base!$T183&gt;X$1465,"",(tech_base!$J183/tech_proj!X307*0.086*$N$110)/(1-tech_proj!X587))</f>
        <v>0</v>
      </c>
      <c r="Y1647" s="121">
        <f>IF(tech_base!$T183&gt;Y$1465,"",(tech_base!$J183/tech_proj!Y307*0.086*$N$110)/(1-tech_proj!Y587))</f>
        <v>0</v>
      </c>
      <c r="Z1647" s="121">
        <f>IF(tech_base!$T183&gt;Z$1465,"",(tech_base!$J183/tech_proj!Z307*0.086*$N$110)/(1-tech_proj!Z587))</f>
        <v>0</v>
      </c>
      <c r="AA1647" s="121">
        <f>IF(tech_base!$T183&gt;AA$1465,"",(tech_base!$J183/tech_proj!AA307*0.086*$N$110)/(1-tech_proj!AA587))</f>
        <v>0</v>
      </c>
      <c r="AB1647" s="121">
        <f>IF(tech_base!$T183&gt;AB$1465,"",(tech_base!$J183/tech_proj!AB307*0.086*$N$110)/(1-tech_proj!AB587))</f>
        <v>0</v>
      </c>
      <c r="AC1647" s="121">
        <f>IF(tech_base!$T183&gt;AC$1465,"",(tech_base!$J183/tech_proj!AC307*0.086*$N$110)/(1-tech_proj!AC587))</f>
        <v>0</v>
      </c>
      <c r="AD1647" s="121">
        <f>IF(tech_base!$T183&gt;AD$1465,"",(tech_base!$J183/tech_proj!AD307*0.086*$N$110)/(1-tech_proj!AD587))</f>
        <v>0</v>
      </c>
      <c r="AE1647" s="121">
        <f>IF(tech_base!$T183&gt;AE$1465,"",(tech_base!$J183/tech_proj!AE307*0.086*$N$110)/(1-tech_proj!AE587))</f>
        <v>0</v>
      </c>
      <c r="AF1647" s="121">
        <f>IF(tech_base!$T183&gt;AF$1465,"",(tech_base!$J183/tech_proj!AF307*0.086*$N$110)/(1-tech_proj!AF587))</f>
        <v>0</v>
      </c>
      <c r="AG1647" s="121">
        <f>IF(tech_base!$T183&gt;AG$1465,"",(tech_base!$J183/tech_proj!AG307*0.086*$N$110)/(1-tech_proj!AG587))</f>
        <v>0</v>
      </c>
      <c r="AH1647" s="121">
        <f>IF(tech_base!$T183&gt;AH$1465,"",(tech_base!$J183/tech_proj!AH307*0.086*$N$110)/(1-tech_proj!AH587))</f>
        <v>0</v>
      </c>
      <c r="AI1647" s="121">
        <f>IF(tech_base!$T183&gt;AI$1465,"",(tech_base!$J183/tech_proj!AI307*0.086*$N$110)/(1-tech_proj!AI587))</f>
        <v>0</v>
      </c>
      <c r="AJ1647" s="121">
        <f>IF(tech_base!$T183&gt;AJ$1465,"",(tech_base!$J183/tech_proj!AJ307*0.086*$N$110)/(1-tech_proj!AJ587))</f>
        <v>0</v>
      </c>
      <c r="AK1647" s="121">
        <f>IF(tech_base!$T183&gt;AK$1465,"",(tech_base!$J183/tech_proj!AK307*0.086*$N$110)/(1-tech_proj!AK587))</f>
        <v>0</v>
      </c>
      <c r="AL1647" s="121">
        <f>IF(tech_base!$T183&gt;AL$1465,"",(tech_base!$J183/tech_proj!AL307*0.086*$N$110)/(1-tech_proj!AL587))</f>
        <v>0</v>
      </c>
      <c r="AM1647" s="121">
        <f>IF(tech_base!$T183&gt;AM$1465,"",(tech_base!$J183/tech_proj!AM307*0.086*$N$110)/(1-tech_proj!AM587))</f>
        <v>0</v>
      </c>
      <c r="AN1647" s="121">
        <f>IF(tech_base!$T183&gt;AN$1465,"",(tech_base!$J183/tech_proj!AN307*0.086*$N$110)/(1-tech_proj!AN587))</f>
        <v>0</v>
      </c>
      <c r="AO1647" s="121">
        <f>IF(tech_base!$T183&gt;AO$1465,"",(tech_base!$J183/tech_proj!AO307*0.086*$N$110)/(1-tech_proj!AO587))</f>
        <v>0</v>
      </c>
      <c r="AP1647" s="121">
        <f>IF(tech_base!$T183&gt;AP$1465,"",(tech_base!$J183/tech_proj!AP307*0.086*$N$110)/(1-tech_proj!AP587))</f>
        <v>0</v>
      </c>
      <c r="AQ1647" s="121">
        <f>IF(tech_base!$T183&gt;AQ$1465,"",(tech_base!$J183/tech_proj!AQ307*0.086*$N$110)/(1-tech_proj!AQ587))</f>
        <v>0</v>
      </c>
      <c r="AR1647" s="121">
        <f>IF(tech_base!$T183&gt;AR$1465,"",(tech_base!$J183/tech_proj!AR307*0.086*$N$110)/(1-tech_proj!AR587))</f>
        <v>0</v>
      </c>
      <c r="AS1647" s="121">
        <f>IF(tech_base!$T183&gt;AS$1465,"",(tech_base!$J183/tech_proj!AS307*0.086*$N$110)/(1-tech_proj!AS587))</f>
        <v>0</v>
      </c>
      <c r="AT1647" s="121">
        <f>IF(tech_base!$T183&gt;AT$1465,"",(tech_base!$J183/tech_proj!AT307*0.086*$N$110)/(1-tech_proj!AT587))</f>
        <v>0</v>
      </c>
      <c r="AU1647" s="121">
        <f>IF(tech_base!$T183&gt;AU$1465,"",(tech_base!$J183/tech_proj!AU307*0.086*$N$110)/(1-tech_proj!AU587))</f>
        <v>0</v>
      </c>
      <c r="AV1647" s="121">
        <f>IF(tech_base!$T183&gt;AV$1465,"",(tech_base!$J183/tech_proj!AV307*0.086*$N$110)/(1-tech_proj!AV587))</f>
        <v>0</v>
      </c>
      <c r="AW1647" s="121">
        <f>IF(tech_base!$T183&gt;AW$1465,"",(tech_base!$J183/tech_proj!AW307*0.086*$N$110)/(1-tech_proj!AW587))</f>
        <v>0</v>
      </c>
      <c r="AX1647" s="122">
        <f>IF(tech_base!$T183&gt;AX$1465,"",(tech_base!$J183/tech_proj!AX307*0.086*$N$110)/(1-tech_proj!AX587))</f>
        <v>0</v>
      </c>
    </row>
    <row r="1648" spans="1:50" x14ac:dyDescent="0.25">
      <c r="A1648" s="356"/>
      <c r="B1648" s="376"/>
      <c r="C1648" s="379"/>
      <c r="D1648" s="2" t="s">
        <v>8</v>
      </c>
      <c r="E1648" s="160" t="str">
        <f>A1639&amp;"/"&amp;B1647&amp;"/"&amp;C1647&amp;"/"&amp;D1648</f>
        <v>Fuel oil fired power plants/Supercritical steam turbine/Electricity only/M</v>
      </c>
      <c r="F1648" s="76" t="str">
        <f>A1639</f>
        <v>Fuel oil fired power plants</v>
      </c>
      <c r="G1648" s="76" t="str">
        <f>B1647</f>
        <v>Supercritical steam turbine</v>
      </c>
      <c r="H1648" s="76" t="str">
        <f>C1647</f>
        <v>Electricity only</v>
      </c>
      <c r="I1648" s="161" t="str">
        <f t="shared" si="379"/>
        <v>M</v>
      </c>
      <c r="J1648" s="119">
        <f>IF(tech_base!$T184&gt;J$1465,"",(tech_base!$J184/tech_proj!J308*0.086*$N$110)/(1-tech_proj!J588))</f>
        <v>0</v>
      </c>
      <c r="K1648" s="119">
        <f>IF(tech_base!$T184&gt;K$1465,"",(tech_base!$J184/tech_proj!K308*0.086*$N$110)/(1-tech_proj!K588))</f>
        <v>0</v>
      </c>
      <c r="L1648" s="119">
        <f>IF(tech_base!$T184&gt;L$1465,"",(tech_base!$J184/tech_proj!L308*0.086*$N$110)/(1-tech_proj!L588))</f>
        <v>0</v>
      </c>
      <c r="M1648" s="119">
        <f>IF(tech_base!$T184&gt;M$1465,"",(tech_base!$J184/tech_proj!M308*0.086*$N$110)/(1-tech_proj!M588))</f>
        <v>0</v>
      </c>
      <c r="N1648" s="119">
        <f>IF(tech_base!$T184&gt;N$1465,"",(tech_base!$J184/tech_proj!N308*0.086*$N$110)/(1-tech_proj!N588))</f>
        <v>0</v>
      </c>
      <c r="O1648" s="119">
        <f>IF(tech_base!$T184&gt;O$1465,"",(tech_base!$J184/tech_proj!O308*0.086*$N$110)/(1-tech_proj!O588))</f>
        <v>0</v>
      </c>
      <c r="P1648" s="119">
        <f>IF(tech_base!$T184&gt;P$1465,"",(tech_base!$J184/tech_proj!P308*0.086*$N$110)/(1-tech_proj!P588))</f>
        <v>0</v>
      </c>
      <c r="Q1648" s="119">
        <f>IF(tech_base!$T184&gt;Q$1465,"",(tech_base!$J184/tech_proj!Q308*0.086*$N$110)/(1-tech_proj!Q588))</f>
        <v>0</v>
      </c>
      <c r="R1648" s="119">
        <f>IF(tech_base!$T184&gt;R$1465,"",(tech_base!$J184/tech_proj!R308*0.086*$N$110)/(1-tech_proj!R588))</f>
        <v>0</v>
      </c>
      <c r="S1648" s="119">
        <f>IF(tech_base!$T184&gt;S$1465,"",(tech_base!$J184/tech_proj!S308*0.086*$N$110)/(1-tech_proj!S588))</f>
        <v>0</v>
      </c>
      <c r="T1648" s="119">
        <f>IF(tech_base!$T184&gt;T$1465,"",(tech_base!$J184/tech_proj!T308*0.086*$N$110)/(1-tech_proj!T588))</f>
        <v>0</v>
      </c>
      <c r="U1648" s="119">
        <f>IF(tech_base!$T184&gt;U$1465,"",(tech_base!$J184/tech_proj!U308*0.086*$N$110)/(1-tech_proj!U588))</f>
        <v>0</v>
      </c>
      <c r="V1648" s="119">
        <f>IF(tech_base!$T184&gt;V$1465,"",(tech_base!$J184/tech_proj!V308*0.086*$N$110)/(1-tech_proj!V588))</f>
        <v>0</v>
      </c>
      <c r="W1648" s="119">
        <f>IF(tech_base!$T184&gt;W$1465,"",(tech_base!$J184/tech_proj!W308*0.086*$N$110)/(1-tech_proj!W588))</f>
        <v>0</v>
      </c>
      <c r="X1648" s="119">
        <f>IF(tech_base!$T184&gt;X$1465,"",(tech_base!$J184/tech_proj!X308*0.086*$N$110)/(1-tech_proj!X588))</f>
        <v>0</v>
      </c>
      <c r="Y1648" s="119">
        <f>IF(tech_base!$T184&gt;Y$1465,"",(tech_base!$J184/tech_proj!Y308*0.086*$N$110)/(1-tech_proj!Y588))</f>
        <v>0</v>
      </c>
      <c r="Z1648" s="119">
        <f>IF(tech_base!$T184&gt;Z$1465,"",(tech_base!$J184/tech_proj!Z308*0.086*$N$110)/(1-tech_proj!Z588))</f>
        <v>0</v>
      </c>
      <c r="AA1648" s="119">
        <f>IF(tech_base!$T184&gt;AA$1465,"",(tech_base!$J184/tech_proj!AA308*0.086*$N$110)/(1-tech_proj!AA588))</f>
        <v>0</v>
      </c>
      <c r="AB1648" s="119">
        <f>IF(tech_base!$T184&gt;AB$1465,"",(tech_base!$J184/tech_proj!AB308*0.086*$N$110)/(1-tech_proj!AB588))</f>
        <v>0</v>
      </c>
      <c r="AC1648" s="119">
        <f>IF(tech_base!$T184&gt;AC$1465,"",(tech_base!$J184/tech_proj!AC308*0.086*$N$110)/(1-tech_proj!AC588))</f>
        <v>0</v>
      </c>
      <c r="AD1648" s="119">
        <f>IF(tech_base!$T184&gt;AD$1465,"",(tech_base!$J184/tech_proj!AD308*0.086*$N$110)/(1-tech_proj!AD588))</f>
        <v>0</v>
      </c>
      <c r="AE1648" s="119">
        <f>IF(tech_base!$T184&gt;AE$1465,"",(tech_base!$J184/tech_proj!AE308*0.086*$N$110)/(1-tech_proj!AE588))</f>
        <v>0</v>
      </c>
      <c r="AF1648" s="119">
        <f>IF(tech_base!$T184&gt;AF$1465,"",(tech_base!$J184/tech_proj!AF308*0.086*$N$110)/(1-tech_proj!AF588))</f>
        <v>0</v>
      </c>
      <c r="AG1648" s="119">
        <f>IF(tech_base!$T184&gt;AG$1465,"",(tech_base!$J184/tech_proj!AG308*0.086*$N$110)/(1-tech_proj!AG588))</f>
        <v>0</v>
      </c>
      <c r="AH1648" s="119">
        <f>IF(tech_base!$T184&gt;AH$1465,"",(tech_base!$J184/tech_proj!AH308*0.086*$N$110)/(1-tech_proj!AH588))</f>
        <v>0</v>
      </c>
      <c r="AI1648" s="119">
        <f>IF(tech_base!$T184&gt;AI$1465,"",(tech_base!$J184/tech_proj!AI308*0.086*$N$110)/(1-tech_proj!AI588))</f>
        <v>0</v>
      </c>
      <c r="AJ1648" s="119">
        <f>IF(tech_base!$T184&gt;AJ$1465,"",(tech_base!$J184/tech_proj!AJ308*0.086*$N$110)/(1-tech_proj!AJ588))</f>
        <v>0</v>
      </c>
      <c r="AK1648" s="119">
        <f>IF(tech_base!$T184&gt;AK$1465,"",(tech_base!$J184/tech_proj!AK308*0.086*$N$110)/(1-tech_proj!AK588))</f>
        <v>0</v>
      </c>
      <c r="AL1648" s="119">
        <f>IF(tech_base!$T184&gt;AL$1465,"",(tech_base!$J184/tech_proj!AL308*0.086*$N$110)/(1-tech_proj!AL588))</f>
        <v>0</v>
      </c>
      <c r="AM1648" s="119">
        <f>IF(tech_base!$T184&gt;AM$1465,"",(tech_base!$J184/tech_proj!AM308*0.086*$N$110)/(1-tech_proj!AM588))</f>
        <v>0</v>
      </c>
      <c r="AN1648" s="119">
        <f>IF(tech_base!$T184&gt;AN$1465,"",(tech_base!$J184/tech_proj!AN308*0.086*$N$110)/(1-tech_proj!AN588))</f>
        <v>0</v>
      </c>
      <c r="AO1648" s="119">
        <f>IF(tech_base!$T184&gt;AO$1465,"",(tech_base!$J184/tech_proj!AO308*0.086*$N$110)/(1-tech_proj!AO588))</f>
        <v>0</v>
      </c>
      <c r="AP1648" s="119">
        <f>IF(tech_base!$T184&gt;AP$1465,"",(tech_base!$J184/tech_proj!AP308*0.086*$N$110)/(1-tech_proj!AP588))</f>
        <v>0</v>
      </c>
      <c r="AQ1648" s="119">
        <f>IF(tech_base!$T184&gt;AQ$1465,"",(tech_base!$J184/tech_proj!AQ308*0.086*$N$110)/(1-tech_proj!AQ588))</f>
        <v>0</v>
      </c>
      <c r="AR1648" s="119">
        <f>IF(tech_base!$T184&gt;AR$1465,"",(tech_base!$J184/tech_proj!AR308*0.086*$N$110)/(1-tech_proj!AR588))</f>
        <v>0</v>
      </c>
      <c r="AS1648" s="119">
        <f>IF(tech_base!$T184&gt;AS$1465,"",(tech_base!$J184/tech_proj!AS308*0.086*$N$110)/(1-tech_proj!AS588))</f>
        <v>0</v>
      </c>
      <c r="AT1648" s="119">
        <f>IF(tech_base!$T184&gt;AT$1465,"",(tech_base!$J184/tech_proj!AT308*0.086*$N$110)/(1-tech_proj!AT588))</f>
        <v>0</v>
      </c>
      <c r="AU1648" s="119">
        <f>IF(tech_base!$T184&gt;AU$1465,"",(tech_base!$J184/tech_proj!AU308*0.086*$N$110)/(1-tech_proj!AU588))</f>
        <v>0</v>
      </c>
      <c r="AV1648" s="119">
        <f>IF(tech_base!$T184&gt;AV$1465,"",(tech_base!$J184/tech_proj!AV308*0.086*$N$110)/(1-tech_proj!AV588))</f>
        <v>0</v>
      </c>
      <c r="AW1648" s="119">
        <f>IF(tech_base!$T184&gt;AW$1465,"",(tech_base!$J184/tech_proj!AW308*0.086*$N$110)/(1-tech_proj!AW588))</f>
        <v>0</v>
      </c>
      <c r="AX1648" s="120">
        <f>IF(tech_base!$T184&gt;AX$1465,"",(tech_base!$J184/tech_proj!AX308*0.086*$N$110)/(1-tech_proj!AX588))</f>
        <v>0</v>
      </c>
    </row>
    <row r="1649" spans="1:50" x14ac:dyDescent="0.25">
      <c r="A1649" s="356"/>
      <c r="B1649" s="376"/>
      <c r="C1649" s="361" t="s">
        <v>14</v>
      </c>
      <c r="D1649" s="58" t="s">
        <v>7</v>
      </c>
      <c r="E1649" s="164" t="str">
        <f>A1639&amp;"/"&amp;B1647&amp;"/"&amp;C1649&amp;"/"&amp;D1649</f>
        <v>Fuel oil fired power plants/Supercritical steam turbine/CHP/L</v>
      </c>
      <c r="F1649" s="78" t="str">
        <f>A1639</f>
        <v>Fuel oil fired power plants</v>
      </c>
      <c r="G1649" s="78" t="str">
        <f>B1647</f>
        <v>Supercritical steam turbine</v>
      </c>
      <c r="H1649" s="78" t="str">
        <f>C1649</f>
        <v>CHP</v>
      </c>
      <c r="I1649" s="165" t="str">
        <f t="shared" si="379"/>
        <v>L</v>
      </c>
      <c r="J1649" s="123">
        <f>IF(tech_base!$T185&gt;J$1465,"",(tech_base!$J185/tech_proj!J309*0.086*$N$110)/(1-tech_proj!J589))</f>
        <v>0</v>
      </c>
      <c r="K1649" s="123">
        <f>IF(tech_base!$T185&gt;K$1465,"",(tech_base!$J185/tech_proj!K309*0.086*$N$110)/(1-tech_proj!K589))</f>
        <v>0</v>
      </c>
      <c r="L1649" s="123">
        <f>IF(tech_base!$T185&gt;L$1465,"",(tech_base!$J185/tech_proj!L309*0.086*$N$110)/(1-tech_proj!L589))</f>
        <v>0</v>
      </c>
      <c r="M1649" s="123">
        <f>IF(tech_base!$T185&gt;M$1465,"",(tech_base!$J185/tech_proj!M309*0.086*$N$110)/(1-tech_proj!M589))</f>
        <v>0</v>
      </c>
      <c r="N1649" s="123">
        <f>IF(tech_base!$T185&gt;N$1465,"",(tech_base!$J185/tech_proj!N309*0.086*$N$110)/(1-tech_proj!N589))</f>
        <v>0</v>
      </c>
      <c r="O1649" s="123">
        <f>IF(tech_base!$T185&gt;O$1465,"",(tech_base!$J185/tech_proj!O309*0.086*$N$110)/(1-tech_proj!O589))</f>
        <v>0</v>
      </c>
      <c r="P1649" s="123">
        <f>IF(tech_base!$T185&gt;P$1465,"",(tech_base!$J185/tech_proj!P309*0.086*$N$110)/(1-tech_proj!P589))</f>
        <v>0</v>
      </c>
      <c r="Q1649" s="123">
        <f>IF(tech_base!$T185&gt;Q$1465,"",(tech_base!$J185/tech_proj!Q309*0.086*$N$110)/(1-tech_proj!Q589))</f>
        <v>0</v>
      </c>
      <c r="R1649" s="123">
        <f>IF(tech_base!$T185&gt;R$1465,"",(tech_base!$J185/tech_proj!R309*0.086*$N$110)/(1-tech_proj!R589))</f>
        <v>0</v>
      </c>
      <c r="S1649" s="123">
        <f>IF(tech_base!$T185&gt;S$1465,"",(tech_base!$J185/tech_proj!S309*0.086*$N$110)/(1-tech_proj!S589))</f>
        <v>0</v>
      </c>
      <c r="T1649" s="123">
        <f>IF(tech_base!$T185&gt;T$1465,"",(tech_base!$J185/tech_proj!T309*0.086*$N$110)/(1-tech_proj!T589))</f>
        <v>0</v>
      </c>
      <c r="U1649" s="123">
        <f>IF(tech_base!$T185&gt;U$1465,"",(tech_base!$J185/tech_proj!U309*0.086*$N$110)/(1-tech_proj!U589))</f>
        <v>0</v>
      </c>
      <c r="V1649" s="123">
        <f>IF(tech_base!$T185&gt;V$1465,"",(tech_base!$J185/tech_proj!V309*0.086*$N$110)/(1-tech_proj!V589))</f>
        <v>0</v>
      </c>
      <c r="W1649" s="123">
        <f>IF(tech_base!$T185&gt;W$1465,"",(tech_base!$J185/tech_proj!W309*0.086*$N$110)/(1-tech_proj!W589))</f>
        <v>0</v>
      </c>
      <c r="X1649" s="123">
        <f>IF(tech_base!$T185&gt;X$1465,"",(tech_base!$J185/tech_proj!X309*0.086*$N$110)/(1-tech_proj!X589))</f>
        <v>0</v>
      </c>
      <c r="Y1649" s="123">
        <f>IF(tech_base!$T185&gt;Y$1465,"",(tech_base!$J185/tech_proj!Y309*0.086*$N$110)/(1-tech_proj!Y589))</f>
        <v>0</v>
      </c>
      <c r="Z1649" s="123">
        <f>IF(tech_base!$T185&gt;Z$1465,"",(tech_base!$J185/tech_proj!Z309*0.086*$N$110)/(1-tech_proj!Z589))</f>
        <v>0</v>
      </c>
      <c r="AA1649" s="123">
        <f>IF(tech_base!$T185&gt;AA$1465,"",(tech_base!$J185/tech_proj!AA309*0.086*$N$110)/(1-tech_proj!AA589))</f>
        <v>0</v>
      </c>
      <c r="AB1649" s="123">
        <f>IF(tech_base!$T185&gt;AB$1465,"",(tech_base!$J185/tech_proj!AB309*0.086*$N$110)/(1-tech_proj!AB589))</f>
        <v>0</v>
      </c>
      <c r="AC1649" s="123">
        <f>IF(tech_base!$T185&gt;AC$1465,"",(tech_base!$J185/tech_proj!AC309*0.086*$N$110)/(1-tech_proj!AC589))</f>
        <v>0</v>
      </c>
      <c r="AD1649" s="123">
        <f>IF(tech_base!$T185&gt;AD$1465,"",(tech_base!$J185/tech_proj!AD309*0.086*$N$110)/(1-tech_proj!AD589))</f>
        <v>0</v>
      </c>
      <c r="AE1649" s="123">
        <f>IF(tech_base!$T185&gt;AE$1465,"",(tech_base!$J185/tech_proj!AE309*0.086*$N$110)/(1-tech_proj!AE589))</f>
        <v>0</v>
      </c>
      <c r="AF1649" s="123">
        <f>IF(tech_base!$T185&gt;AF$1465,"",(tech_base!$J185/tech_proj!AF309*0.086*$N$110)/(1-tech_proj!AF589))</f>
        <v>0</v>
      </c>
      <c r="AG1649" s="123">
        <f>IF(tech_base!$T185&gt;AG$1465,"",(tech_base!$J185/tech_proj!AG309*0.086*$N$110)/(1-tech_proj!AG589))</f>
        <v>0</v>
      </c>
      <c r="AH1649" s="123">
        <f>IF(tech_base!$T185&gt;AH$1465,"",(tech_base!$J185/tech_proj!AH309*0.086*$N$110)/(1-tech_proj!AH589))</f>
        <v>0</v>
      </c>
      <c r="AI1649" s="123">
        <f>IF(tech_base!$T185&gt;AI$1465,"",(tech_base!$J185/tech_proj!AI309*0.086*$N$110)/(1-tech_proj!AI589))</f>
        <v>0</v>
      </c>
      <c r="AJ1649" s="123">
        <f>IF(tech_base!$T185&gt;AJ$1465,"",(tech_base!$J185/tech_proj!AJ309*0.086*$N$110)/(1-tech_proj!AJ589))</f>
        <v>0</v>
      </c>
      <c r="AK1649" s="123">
        <f>IF(tech_base!$T185&gt;AK$1465,"",(tech_base!$J185/tech_proj!AK309*0.086*$N$110)/(1-tech_proj!AK589))</f>
        <v>0</v>
      </c>
      <c r="AL1649" s="123">
        <f>IF(tech_base!$T185&gt;AL$1465,"",(tech_base!$J185/tech_proj!AL309*0.086*$N$110)/(1-tech_proj!AL589))</f>
        <v>0</v>
      </c>
      <c r="AM1649" s="123">
        <f>IF(tech_base!$T185&gt;AM$1465,"",(tech_base!$J185/tech_proj!AM309*0.086*$N$110)/(1-tech_proj!AM589))</f>
        <v>0</v>
      </c>
      <c r="AN1649" s="123">
        <f>IF(tech_base!$T185&gt;AN$1465,"",(tech_base!$J185/tech_proj!AN309*0.086*$N$110)/(1-tech_proj!AN589))</f>
        <v>0</v>
      </c>
      <c r="AO1649" s="123">
        <f>IF(tech_base!$T185&gt;AO$1465,"",(tech_base!$J185/tech_proj!AO309*0.086*$N$110)/(1-tech_proj!AO589))</f>
        <v>0</v>
      </c>
      <c r="AP1649" s="123">
        <f>IF(tech_base!$T185&gt;AP$1465,"",(tech_base!$J185/tech_proj!AP309*0.086*$N$110)/(1-tech_proj!AP589))</f>
        <v>0</v>
      </c>
      <c r="AQ1649" s="123">
        <f>IF(tech_base!$T185&gt;AQ$1465,"",(tech_base!$J185/tech_proj!AQ309*0.086*$N$110)/(1-tech_proj!AQ589))</f>
        <v>0</v>
      </c>
      <c r="AR1649" s="123">
        <f>IF(tech_base!$T185&gt;AR$1465,"",(tech_base!$J185/tech_proj!AR309*0.086*$N$110)/(1-tech_proj!AR589))</f>
        <v>0</v>
      </c>
      <c r="AS1649" s="123">
        <f>IF(tech_base!$T185&gt;AS$1465,"",(tech_base!$J185/tech_proj!AS309*0.086*$N$110)/(1-tech_proj!AS589))</f>
        <v>0</v>
      </c>
      <c r="AT1649" s="123">
        <f>IF(tech_base!$T185&gt;AT$1465,"",(tech_base!$J185/tech_proj!AT309*0.086*$N$110)/(1-tech_proj!AT589))</f>
        <v>0</v>
      </c>
      <c r="AU1649" s="123">
        <f>IF(tech_base!$T185&gt;AU$1465,"",(tech_base!$J185/tech_proj!AU309*0.086*$N$110)/(1-tech_proj!AU589))</f>
        <v>0</v>
      </c>
      <c r="AV1649" s="123">
        <f>IF(tech_base!$T185&gt;AV$1465,"",(tech_base!$J185/tech_proj!AV309*0.086*$N$110)/(1-tech_proj!AV589))</f>
        <v>0</v>
      </c>
      <c r="AW1649" s="123">
        <f>IF(tech_base!$T185&gt;AW$1465,"",(tech_base!$J185/tech_proj!AW309*0.086*$N$110)/(1-tech_proj!AW589))</f>
        <v>0</v>
      </c>
      <c r="AX1649" s="124">
        <f>IF(tech_base!$T185&gt;AX$1465,"",(tech_base!$J185/tech_proj!AX309*0.086*$N$110)/(1-tech_proj!AX589))</f>
        <v>0</v>
      </c>
    </row>
    <row r="1650" spans="1:50" x14ac:dyDescent="0.25">
      <c r="A1650" s="356"/>
      <c r="B1650" s="376"/>
      <c r="C1650" s="379"/>
      <c r="D1650" s="59" t="s">
        <v>8</v>
      </c>
      <c r="E1650" s="166" t="str">
        <f>A1639&amp;"/"&amp;B1647&amp;"/"&amp;C1649&amp;"/"&amp;D1650</f>
        <v>Fuel oil fired power plants/Supercritical steam turbine/CHP/M</v>
      </c>
      <c r="F1650" s="79" t="str">
        <f>A1639</f>
        <v>Fuel oil fired power plants</v>
      </c>
      <c r="G1650" s="79" t="str">
        <f>B1647</f>
        <v>Supercritical steam turbine</v>
      </c>
      <c r="H1650" s="79" t="str">
        <f>C1649</f>
        <v>CHP</v>
      </c>
      <c r="I1650" s="167" t="str">
        <f t="shared" si="379"/>
        <v>M</v>
      </c>
      <c r="J1650" s="125">
        <f>IF(tech_base!$T186&gt;J$1465,"",(tech_base!$J186/tech_proj!J310*0.086*$N$110)/(1-tech_proj!J590))</f>
        <v>0</v>
      </c>
      <c r="K1650" s="125">
        <f>IF(tech_base!$T186&gt;K$1465,"",(tech_base!$J186/tech_proj!K310*0.086*$N$110)/(1-tech_proj!K590))</f>
        <v>0</v>
      </c>
      <c r="L1650" s="125">
        <f>IF(tech_base!$T186&gt;L$1465,"",(tech_base!$J186/tech_proj!L310*0.086*$N$110)/(1-tech_proj!L590))</f>
        <v>0</v>
      </c>
      <c r="M1650" s="125">
        <f>IF(tech_base!$T186&gt;M$1465,"",(tech_base!$J186/tech_proj!M310*0.086*$N$110)/(1-tech_proj!M590))</f>
        <v>0</v>
      </c>
      <c r="N1650" s="125">
        <f>IF(tech_base!$T186&gt;N$1465,"",(tech_base!$J186/tech_proj!N310*0.086*$N$110)/(1-tech_proj!N590))</f>
        <v>0</v>
      </c>
      <c r="O1650" s="125">
        <f>IF(tech_base!$T186&gt;O$1465,"",(tech_base!$J186/tech_proj!O310*0.086*$N$110)/(1-tech_proj!O590))</f>
        <v>0</v>
      </c>
      <c r="P1650" s="125">
        <f>IF(tech_base!$T186&gt;P$1465,"",(tech_base!$J186/tech_proj!P310*0.086*$N$110)/(1-tech_proj!P590))</f>
        <v>0</v>
      </c>
      <c r="Q1650" s="125">
        <f>IF(tech_base!$T186&gt;Q$1465,"",(tech_base!$J186/tech_proj!Q310*0.086*$N$110)/(1-tech_proj!Q590))</f>
        <v>0</v>
      </c>
      <c r="R1650" s="125">
        <f>IF(tech_base!$T186&gt;R$1465,"",(tech_base!$J186/tech_proj!R310*0.086*$N$110)/(1-tech_proj!R590))</f>
        <v>0</v>
      </c>
      <c r="S1650" s="125">
        <f>IF(tech_base!$T186&gt;S$1465,"",(tech_base!$J186/tech_proj!S310*0.086*$N$110)/(1-tech_proj!S590))</f>
        <v>0</v>
      </c>
      <c r="T1650" s="125">
        <f>IF(tech_base!$T186&gt;T$1465,"",(tech_base!$J186/tech_proj!T310*0.086*$N$110)/(1-tech_proj!T590))</f>
        <v>0</v>
      </c>
      <c r="U1650" s="125">
        <f>IF(tech_base!$T186&gt;U$1465,"",(tech_base!$J186/tech_proj!U310*0.086*$N$110)/(1-tech_proj!U590))</f>
        <v>0</v>
      </c>
      <c r="V1650" s="125">
        <f>IF(tech_base!$T186&gt;V$1465,"",(tech_base!$J186/tech_proj!V310*0.086*$N$110)/(1-tech_proj!V590))</f>
        <v>0</v>
      </c>
      <c r="W1650" s="125">
        <f>IF(tech_base!$T186&gt;W$1465,"",(tech_base!$J186/tech_proj!W310*0.086*$N$110)/(1-tech_proj!W590))</f>
        <v>0</v>
      </c>
      <c r="X1650" s="125">
        <f>IF(tech_base!$T186&gt;X$1465,"",(tech_base!$J186/tech_proj!X310*0.086*$N$110)/(1-tech_proj!X590))</f>
        <v>0</v>
      </c>
      <c r="Y1650" s="125">
        <f>IF(tech_base!$T186&gt;Y$1465,"",(tech_base!$J186/tech_proj!Y310*0.086*$N$110)/(1-tech_proj!Y590))</f>
        <v>0</v>
      </c>
      <c r="Z1650" s="125">
        <f>IF(tech_base!$T186&gt;Z$1465,"",(tech_base!$J186/tech_proj!Z310*0.086*$N$110)/(1-tech_proj!Z590))</f>
        <v>0</v>
      </c>
      <c r="AA1650" s="125">
        <f>IF(tech_base!$T186&gt;AA$1465,"",(tech_base!$J186/tech_proj!AA310*0.086*$N$110)/(1-tech_proj!AA590))</f>
        <v>0</v>
      </c>
      <c r="AB1650" s="125">
        <f>IF(tech_base!$T186&gt;AB$1465,"",(tech_base!$J186/tech_proj!AB310*0.086*$N$110)/(1-tech_proj!AB590))</f>
        <v>0</v>
      </c>
      <c r="AC1650" s="125">
        <f>IF(tech_base!$T186&gt;AC$1465,"",(tech_base!$J186/tech_proj!AC310*0.086*$N$110)/(1-tech_proj!AC590))</f>
        <v>0</v>
      </c>
      <c r="AD1650" s="125">
        <f>IF(tech_base!$T186&gt;AD$1465,"",(tech_base!$J186/tech_proj!AD310*0.086*$N$110)/(1-tech_proj!AD590))</f>
        <v>0</v>
      </c>
      <c r="AE1650" s="125">
        <f>IF(tech_base!$T186&gt;AE$1465,"",(tech_base!$J186/tech_proj!AE310*0.086*$N$110)/(1-tech_proj!AE590))</f>
        <v>0</v>
      </c>
      <c r="AF1650" s="125">
        <f>IF(tech_base!$T186&gt;AF$1465,"",(tech_base!$J186/tech_proj!AF310*0.086*$N$110)/(1-tech_proj!AF590))</f>
        <v>0</v>
      </c>
      <c r="AG1650" s="125">
        <f>IF(tech_base!$T186&gt;AG$1465,"",(tech_base!$J186/tech_proj!AG310*0.086*$N$110)/(1-tech_proj!AG590))</f>
        <v>0</v>
      </c>
      <c r="AH1650" s="125">
        <f>IF(tech_base!$T186&gt;AH$1465,"",(tech_base!$J186/tech_proj!AH310*0.086*$N$110)/(1-tech_proj!AH590))</f>
        <v>0</v>
      </c>
      <c r="AI1650" s="125">
        <f>IF(tech_base!$T186&gt;AI$1465,"",(tech_base!$J186/tech_proj!AI310*0.086*$N$110)/(1-tech_proj!AI590))</f>
        <v>0</v>
      </c>
      <c r="AJ1650" s="125">
        <f>IF(tech_base!$T186&gt;AJ$1465,"",(tech_base!$J186/tech_proj!AJ310*0.086*$N$110)/(1-tech_proj!AJ590))</f>
        <v>0</v>
      </c>
      <c r="AK1650" s="125">
        <f>IF(tech_base!$T186&gt;AK$1465,"",(tech_base!$J186/tech_proj!AK310*0.086*$N$110)/(1-tech_proj!AK590))</f>
        <v>0</v>
      </c>
      <c r="AL1650" s="125">
        <f>IF(tech_base!$T186&gt;AL$1465,"",(tech_base!$J186/tech_proj!AL310*0.086*$N$110)/(1-tech_proj!AL590))</f>
        <v>0</v>
      </c>
      <c r="AM1650" s="125">
        <f>IF(tech_base!$T186&gt;AM$1465,"",(tech_base!$J186/tech_proj!AM310*0.086*$N$110)/(1-tech_proj!AM590))</f>
        <v>0</v>
      </c>
      <c r="AN1650" s="125">
        <f>IF(tech_base!$T186&gt;AN$1465,"",(tech_base!$J186/tech_proj!AN310*0.086*$N$110)/(1-tech_proj!AN590))</f>
        <v>0</v>
      </c>
      <c r="AO1650" s="125">
        <f>IF(tech_base!$T186&gt;AO$1465,"",(tech_base!$J186/tech_proj!AO310*0.086*$N$110)/(1-tech_proj!AO590))</f>
        <v>0</v>
      </c>
      <c r="AP1650" s="125">
        <f>IF(tech_base!$T186&gt;AP$1465,"",(tech_base!$J186/tech_proj!AP310*0.086*$N$110)/(1-tech_proj!AP590))</f>
        <v>0</v>
      </c>
      <c r="AQ1650" s="125">
        <f>IF(tech_base!$T186&gt;AQ$1465,"",(tech_base!$J186/tech_proj!AQ310*0.086*$N$110)/(1-tech_proj!AQ590))</f>
        <v>0</v>
      </c>
      <c r="AR1650" s="125">
        <f>IF(tech_base!$T186&gt;AR$1465,"",(tech_base!$J186/tech_proj!AR310*0.086*$N$110)/(1-tech_proj!AR590))</f>
        <v>0</v>
      </c>
      <c r="AS1650" s="125">
        <f>IF(tech_base!$T186&gt;AS$1465,"",(tech_base!$J186/tech_proj!AS310*0.086*$N$110)/(1-tech_proj!AS590))</f>
        <v>0</v>
      </c>
      <c r="AT1650" s="125">
        <f>IF(tech_base!$T186&gt;AT$1465,"",(tech_base!$J186/tech_proj!AT310*0.086*$N$110)/(1-tech_proj!AT590))</f>
        <v>0</v>
      </c>
      <c r="AU1650" s="125">
        <f>IF(tech_base!$T186&gt;AU$1465,"",(tech_base!$J186/tech_proj!AU310*0.086*$N$110)/(1-tech_proj!AU590))</f>
        <v>0</v>
      </c>
      <c r="AV1650" s="125">
        <f>IF(tech_base!$T186&gt;AV$1465,"",(tech_base!$J186/tech_proj!AV310*0.086*$N$110)/(1-tech_proj!AV590))</f>
        <v>0</v>
      </c>
      <c r="AW1650" s="125">
        <f>IF(tech_base!$T186&gt;AW$1465,"",(tech_base!$J186/tech_proj!AW310*0.086*$N$110)/(1-tech_proj!AW590))</f>
        <v>0</v>
      </c>
      <c r="AX1650" s="126">
        <f>IF(tech_base!$T186&gt;AX$1465,"",(tech_base!$J186/tech_proj!AX310*0.086*$N$110)/(1-tech_proj!AX590))</f>
        <v>0</v>
      </c>
    </row>
    <row r="1651" spans="1:50" x14ac:dyDescent="0.25">
      <c r="A1651" s="356"/>
      <c r="B1651" s="376"/>
      <c r="C1651" s="361" t="s">
        <v>15</v>
      </c>
      <c r="D1651" s="58" t="s">
        <v>7</v>
      </c>
      <c r="E1651" s="164" t="str">
        <f>A1639&amp;"/"&amp;B1647&amp;"/"&amp;C1651&amp;"/"&amp;D1651</f>
        <v>Fuel oil fired power plants/Supercritical steam turbine/Electricity only with CCS/L</v>
      </c>
      <c r="F1651" s="78" t="str">
        <f>A1639</f>
        <v>Fuel oil fired power plants</v>
      </c>
      <c r="G1651" s="78" t="str">
        <f>B1647</f>
        <v>Supercritical steam turbine</v>
      </c>
      <c r="H1651" s="78" t="str">
        <f>C1651</f>
        <v>Electricity only with CCS</v>
      </c>
      <c r="I1651" s="165" t="str">
        <f t="shared" si="379"/>
        <v>L</v>
      </c>
      <c r="J1651" s="123" t="str">
        <f>IF(tech_base!$T187&gt;J$1465,"",(tech_base!$J187/tech_proj!J311*0.086*$N$110)/(1-tech_proj!J591))</f>
        <v/>
      </c>
      <c r="K1651" s="123" t="str">
        <f>IF(tech_base!$T187&gt;K$1465,"",(tech_base!$J187/tech_proj!K311*0.086*$N$110)/(1-tech_proj!K591))</f>
        <v/>
      </c>
      <c r="L1651" s="123" t="str">
        <f>IF(tech_base!$T187&gt;L$1465,"",(tech_base!$J187/tech_proj!L311*0.086*$N$110)/(1-tech_proj!L591))</f>
        <v/>
      </c>
      <c r="M1651" s="123" t="str">
        <f>IF(tech_base!$T187&gt;M$1465,"",(tech_base!$J187/tech_proj!M311*0.086*$N$110)/(1-tech_proj!M591))</f>
        <v/>
      </c>
      <c r="N1651" s="123" t="str">
        <f>IF(tech_base!$T187&gt;N$1465,"",(tech_base!$J187/tech_proj!N311*0.086*$N$110)/(1-tech_proj!N591))</f>
        <v/>
      </c>
      <c r="O1651" s="123" t="str">
        <f>IF(tech_base!$T187&gt;O$1465,"",(tech_base!$J187/tech_proj!O311*0.086*$N$110)/(1-tech_proj!O591))</f>
        <v/>
      </c>
      <c r="P1651" s="123" t="str">
        <f>IF(tech_base!$T187&gt;P$1465,"",(tech_base!$J187/tech_proj!P311*0.086*$N$110)/(1-tech_proj!P591))</f>
        <v/>
      </c>
      <c r="Q1651" s="123" t="str">
        <f>IF(tech_base!$T187&gt;Q$1465,"",(tech_base!$J187/tech_proj!Q311*0.086*$N$110)/(1-tech_proj!Q591))</f>
        <v/>
      </c>
      <c r="R1651" s="123" t="str">
        <f>IF(tech_base!$T187&gt;R$1465,"",(tech_base!$J187/tech_proj!R311*0.086*$N$110)/(1-tech_proj!R591))</f>
        <v/>
      </c>
      <c r="S1651" s="123" t="str">
        <f>IF(tech_base!$T187&gt;S$1465,"",(tech_base!$J187/tech_proj!S311*0.086*$N$110)/(1-tech_proj!S591))</f>
        <v/>
      </c>
      <c r="T1651" s="123" t="str">
        <f>IF(tech_base!$T187&gt;T$1465,"",(tech_base!$J187/tech_proj!T311*0.086*$N$110)/(1-tech_proj!T591))</f>
        <v/>
      </c>
      <c r="U1651" s="123" t="str">
        <f>IF(tech_base!$T187&gt;U$1465,"",(tech_base!$J187/tech_proj!U311*0.086*$N$110)/(1-tech_proj!U591))</f>
        <v/>
      </c>
      <c r="V1651" s="123" t="str">
        <f>IF(tech_base!$T187&gt;V$1465,"",(tech_base!$J187/tech_proj!V311*0.086*$N$110)/(1-tech_proj!V591))</f>
        <v/>
      </c>
      <c r="W1651" s="123" t="str">
        <f>IF(tech_base!$T187&gt;W$1465,"",(tech_base!$J187/tech_proj!W311*0.086*$N$110)/(1-tech_proj!W591))</f>
        <v/>
      </c>
      <c r="X1651" s="123" t="str">
        <f>IF(tech_base!$T187&gt;X$1465,"",(tech_base!$J187/tech_proj!X311*0.086*$N$110)/(1-tech_proj!X591))</f>
        <v/>
      </c>
      <c r="Y1651" s="123" t="str">
        <f>IF(tech_base!$T187&gt;Y$1465,"",(tech_base!$J187/tech_proj!Y311*0.086*$N$110)/(1-tech_proj!Y591))</f>
        <v/>
      </c>
      <c r="Z1651" s="123" t="str">
        <f>IF(tech_base!$T187&gt;Z$1465,"",(tech_base!$J187/tech_proj!Z311*0.086*$N$110)/(1-tech_proj!Z591))</f>
        <v/>
      </c>
      <c r="AA1651" s="123" t="str">
        <f>IF(tech_base!$T187&gt;AA$1465,"",(tech_base!$J187/tech_proj!AA311*0.086*$N$110)/(1-tech_proj!AA591))</f>
        <v/>
      </c>
      <c r="AB1651" s="123" t="str">
        <f>IF(tech_base!$T187&gt;AB$1465,"",(tech_base!$J187/tech_proj!AB311*0.086*$N$110)/(1-tech_proj!AB591))</f>
        <v/>
      </c>
      <c r="AC1651" s="123" t="str">
        <f>IF(tech_base!$T187&gt;AC$1465,"",(tech_base!$J187/tech_proj!AC311*0.086*$N$110)/(1-tech_proj!AC591))</f>
        <v/>
      </c>
      <c r="AD1651" s="123" t="str">
        <f>IF(tech_base!$T187&gt;AD$1465,"",(tech_base!$J187/tech_proj!AD311*0.086*$N$110)/(1-tech_proj!AD591))</f>
        <v/>
      </c>
      <c r="AE1651" s="123">
        <f>IF(tech_base!$T187&gt;AE$1465,"",(tech_base!$J187/tech_proj!AE311*0.086*$N$110)/(1-tech_proj!AE591))</f>
        <v>0</v>
      </c>
      <c r="AF1651" s="123">
        <f>IF(tech_base!$T187&gt;AF$1465,"",(tech_base!$J187/tech_proj!AF311*0.086*$N$110)/(1-tech_proj!AF591))</f>
        <v>0</v>
      </c>
      <c r="AG1651" s="123">
        <f>IF(tech_base!$T187&gt;AG$1465,"",(tech_base!$J187/tech_proj!AG311*0.086*$N$110)/(1-tech_proj!AG591))</f>
        <v>0</v>
      </c>
      <c r="AH1651" s="123">
        <f>IF(tech_base!$T187&gt;AH$1465,"",(tech_base!$J187/tech_proj!AH311*0.086*$N$110)/(1-tech_proj!AH591))</f>
        <v>0</v>
      </c>
      <c r="AI1651" s="123">
        <f>IF(tech_base!$T187&gt;AI$1465,"",(tech_base!$J187/tech_proj!AI311*0.086*$N$110)/(1-tech_proj!AI591))</f>
        <v>0</v>
      </c>
      <c r="AJ1651" s="123">
        <f>IF(tech_base!$T187&gt;AJ$1465,"",(tech_base!$J187/tech_proj!AJ311*0.086*$N$110)/(1-tech_proj!AJ591))</f>
        <v>0</v>
      </c>
      <c r="AK1651" s="123">
        <f>IF(tech_base!$T187&gt;AK$1465,"",(tech_base!$J187/tech_proj!AK311*0.086*$N$110)/(1-tech_proj!AK591))</f>
        <v>0</v>
      </c>
      <c r="AL1651" s="123">
        <f>IF(tech_base!$T187&gt;AL$1465,"",(tech_base!$J187/tech_proj!AL311*0.086*$N$110)/(1-tech_proj!AL591))</f>
        <v>0</v>
      </c>
      <c r="AM1651" s="123">
        <f>IF(tech_base!$T187&gt;AM$1465,"",(tech_base!$J187/tech_proj!AM311*0.086*$N$110)/(1-tech_proj!AM591))</f>
        <v>0</v>
      </c>
      <c r="AN1651" s="123">
        <f>IF(tech_base!$T187&gt;AN$1465,"",(tech_base!$J187/tech_proj!AN311*0.086*$N$110)/(1-tech_proj!AN591))</f>
        <v>0</v>
      </c>
      <c r="AO1651" s="123">
        <f>IF(tech_base!$T187&gt;AO$1465,"",(tech_base!$J187/tech_proj!AO311*0.086*$N$110)/(1-tech_proj!AO591))</f>
        <v>0</v>
      </c>
      <c r="AP1651" s="123">
        <f>IF(tech_base!$T187&gt;AP$1465,"",(tech_base!$J187/tech_proj!AP311*0.086*$N$110)/(1-tech_proj!AP591))</f>
        <v>0</v>
      </c>
      <c r="AQ1651" s="123">
        <f>IF(tech_base!$T187&gt;AQ$1465,"",(tech_base!$J187/tech_proj!AQ311*0.086*$N$110)/(1-tech_proj!AQ591))</f>
        <v>0</v>
      </c>
      <c r="AR1651" s="123">
        <f>IF(tech_base!$T187&gt;AR$1465,"",(tech_base!$J187/tech_proj!AR311*0.086*$N$110)/(1-tech_proj!AR591))</f>
        <v>0</v>
      </c>
      <c r="AS1651" s="123">
        <f>IF(tech_base!$T187&gt;AS$1465,"",(tech_base!$J187/tech_proj!AS311*0.086*$N$110)/(1-tech_proj!AS591))</f>
        <v>0</v>
      </c>
      <c r="AT1651" s="123">
        <f>IF(tech_base!$T187&gt;AT$1465,"",(tech_base!$J187/tech_proj!AT311*0.086*$N$110)/(1-tech_proj!AT591))</f>
        <v>0</v>
      </c>
      <c r="AU1651" s="123">
        <f>IF(tech_base!$T187&gt;AU$1465,"",(tech_base!$J187/tech_proj!AU311*0.086*$N$110)/(1-tech_proj!AU591))</f>
        <v>0</v>
      </c>
      <c r="AV1651" s="123">
        <f>IF(tech_base!$T187&gt;AV$1465,"",(tech_base!$J187/tech_proj!AV311*0.086*$N$110)/(1-tech_proj!AV591))</f>
        <v>0</v>
      </c>
      <c r="AW1651" s="123">
        <f>IF(tech_base!$T187&gt;AW$1465,"",(tech_base!$J187/tech_proj!AW311*0.086*$N$110)/(1-tech_proj!AW591))</f>
        <v>0</v>
      </c>
      <c r="AX1651" s="124">
        <f>IF(tech_base!$T187&gt;AX$1465,"",(tech_base!$J187/tech_proj!AX311*0.086*$N$110)/(1-tech_proj!AX591))</f>
        <v>0</v>
      </c>
    </row>
    <row r="1652" spans="1:50" x14ac:dyDescent="0.25">
      <c r="A1652" s="356"/>
      <c r="B1652" s="376"/>
      <c r="C1652" s="379"/>
      <c r="D1652" s="59" t="s">
        <v>8</v>
      </c>
      <c r="E1652" s="166" t="str">
        <f>A1639&amp;"/"&amp;B1647&amp;"/"&amp;C1651&amp;"/"&amp;D1652</f>
        <v>Fuel oil fired power plants/Supercritical steam turbine/Electricity only with CCS/M</v>
      </c>
      <c r="F1652" s="79" t="str">
        <f>A1639</f>
        <v>Fuel oil fired power plants</v>
      </c>
      <c r="G1652" s="79" t="str">
        <f>B1647</f>
        <v>Supercritical steam turbine</v>
      </c>
      <c r="H1652" s="79" t="str">
        <f>C1651</f>
        <v>Electricity only with CCS</v>
      </c>
      <c r="I1652" s="167" t="str">
        <f t="shared" si="379"/>
        <v>M</v>
      </c>
      <c r="J1652" s="125" t="str">
        <f>IF(tech_base!$T188&gt;J$1465,"",(tech_base!$J188/tech_proj!J312*0.086*$N$110)/(1-tech_proj!J592))</f>
        <v/>
      </c>
      <c r="K1652" s="125" t="str">
        <f>IF(tech_base!$T188&gt;K$1465,"",(tech_base!$J188/tech_proj!K312*0.086*$N$110)/(1-tech_proj!K592))</f>
        <v/>
      </c>
      <c r="L1652" s="125" t="str">
        <f>IF(tech_base!$T188&gt;L$1465,"",(tech_base!$J188/tech_proj!L312*0.086*$N$110)/(1-tech_proj!L592))</f>
        <v/>
      </c>
      <c r="M1652" s="125" t="str">
        <f>IF(tech_base!$T188&gt;M$1465,"",(tech_base!$J188/tech_proj!M312*0.086*$N$110)/(1-tech_proj!M592))</f>
        <v/>
      </c>
      <c r="N1652" s="125" t="str">
        <f>IF(tech_base!$T188&gt;N$1465,"",(tech_base!$J188/tech_proj!N312*0.086*$N$110)/(1-tech_proj!N592))</f>
        <v/>
      </c>
      <c r="O1652" s="125" t="str">
        <f>IF(tech_base!$T188&gt;O$1465,"",(tech_base!$J188/tech_proj!O312*0.086*$N$110)/(1-tech_proj!O592))</f>
        <v/>
      </c>
      <c r="P1652" s="125" t="str">
        <f>IF(tech_base!$T188&gt;P$1465,"",(tech_base!$J188/tech_proj!P312*0.086*$N$110)/(1-tech_proj!P592))</f>
        <v/>
      </c>
      <c r="Q1652" s="125" t="str">
        <f>IF(tech_base!$T188&gt;Q$1465,"",(tech_base!$J188/tech_proj!Q312*0.086*$N$110)/(1-tech_proj!Q592))</f>
        <v/>
      </c>
      <c r="R1652" s="125" t="str">
        <f>IF(tech_base!$T188&gt;R$1465,"",(tech_base!$J188/tech_proj!R312*0.086*$N$110)/(1-tech_proj!R592))</f>
        <v/>
      </c>
      <c r="S1652" s="125" t="str">
        <f>IF(tech_base!$T188&gt;S$1465,"",(tech_base!$J188/tech_proj!S312*0.086*$N$110)/(1-tech_proj!S592))</f>
        <v/>
      </c>
      <c r="T1652" s="125" t="str">
        <f>IF(tech_base!$T188&gt;T$1465,"",(tech_base!$J188/tech_proj!T312*0.086*$N$110)/(1-tech_proj!T592))</f>
        <v/>
      </c>
      <c r="U1652" s="125" t="str">
        <f>IF(tech_base!$T188&gt;U$1465,"",(tech_base!$J188/tech_proj!U312*0.086*$N$110)/(1-tech_proj!U592))</f>
        <v/>
      </c>
      <c r="V1652" s="125" t="str">
        <f>IF(tech_base!$T188&gt;V$1465,"",(tech_base!$J188/tech_proj!V312*0.086*$N$110)/(1-tech_proj!V592))</f>
        <v/>
      </c>
      <c r="W1652" s="125" t="str">
        <f>IF(tech_base!$T188&gt;W$1465,"",(tech_base!$J188/tech_proj!W312*0.086*$N$110)/(1-tech_proj!W592))</f>
        <v/>
      </c>
      <c r="X1652" s="125" t="str">
        <f>IF(tech_base!$T188&gt;X$1465,"",(tech_base!$J188/tech_proj!X312*0.086*$N$110)/(1-tech_proj!X592))</f>
        <v/>
      </c>
      <c r="Y1652" s="125" t="str">
        <f>IF(tech_base!$T188&gt;Y$1465,"",(tech_base!$J188/tech_proj!Y312*0.086*$N$110)/(1-tech_proj!Y592))</f>
        <v/>
      </c>
      <c r="Z1652" s="125" t="str">
        <f>IF(tech_base!$T188&gt;Z$1465,"",(tech_base!$J188/tech_proj!Z312*0.086*$N$110)/(1-tech_proj!Z592))</f>
        <v/>
      </c>
      <c r="AA1652" s="125" t="str">
        <f>IF(tech_base!$T188&gt;AA$1465,"",(tech_base!$J188/tech_proj!AA312*0.086*$N$110)/(1-tech_proj!AA592))</f>
        <v/>
      </c>
      <c r="AB1652" s="125" t="str">
        <f>IF(tech_base!$T188&gt;AB$1465,"",(tech_base!$J188/tech_proj!AB312*0.086*$N$110)/(1-tech_proj!AB592))</f>
        <v/>
      </c>
      <c r="AC1652" s="125" t="str">
        <f>IF(tech_base!$T188&gt;AC$1465,"",(tech_base!$J188/tech_proj!AC312*0.086*$N$110)/(1-tech_proj!AC592))</f>
        <v/>
      </c>
      <c r="AD1652" s="125" t="str">
        <f>IF(tech_base!$T188&gt;AD$1465,"",(tech_base!$J188/tech_proj!AD312*0.086*$N$110)/(1-tech_proj!AD592))</f>
        <v/>
      </c>
      <c r="AE1652" s="125">
        <f>IF(tech_base!$T188&gt;AE$1465,"",(tech_base!$J188/tech_proj!AE312*0.086*$N$110)/(1-tech_proj!AE592))</f>
        <v>0</v>
      </c>
      <c r="AF1652" s="125">
        <f>IF(tech_base!$T188&gt;AF$1465,"",(tech_base!$J188/tech_proj!AF312*0.086*$N$110)/(1-tech_proj!AF592))</f>
        <v>0</v>
      </c>
      <c r="AG1652" s="125">
        <f>IF(tech_base!$T188&gt;AG$1465,"",(tech_base!$J188/tech_proj!AG312*0.086*$N$110)/(1-tech_proj!AG592))</f>
        <v>0</v>
      </c>
      <c r="AH1652" s="125">
        <f>IF(tech_base!$T188&gt;AH$1465,"",(tech_base!$J188/tech_proj!AH312*0.086*$N$110)/(1-tech_proj!AH592))</f>
        <v>0</v>
      </c>
      <c r="AI1652" s="125">
        <f>IF(tech_base!$T188&gt;AI$1465,"",(tech_base!$J188/tech_proj!AI312*0.086*$N$110)/(1-tech_proj!AI592))</f>
        <v>0</v>
      </c>
      <c r="AJ1652" s="125">
        <f>IF(tech_base!$T188&gt;AJ$1465,"",(tech_base!$J188/tech_proj!AJ312*0.086*$N$110)/(1-tech_proj!AJ592))</f>
        <v>0</v>
      </c>
      <c r="AK1652" s="125">
        <f>IF(tech_base!$T188&gt;AK$1465,"",(tech_base!$J188/tech_proj!AK312*0.086*$N$110)/(1-tech_proj!AK592))</f>
        <v>0</v>
      </c>
      <c r="AL1652" s="125">
        <f>IF(tech_base!$T188&gt;AL$1465,"",(tech_base!$J188/tech_proj!AL312*0.086*$N$110)/(1-tech_proj!AL592))</f>
        <v>0</v>
      </c>
      <c r="AM1652" s="125">
        <f>IF(tech_base!$T188&gt;AM$1465,"",(tech_base!$J188/tech_proj!AM312*0.086*$N$110)/(1-tech_proj!AM592))</f>
        <v>0</v>
      </c>
      <c r="AN1652" s="125">
        <f>IF(tech_base!$T188&gt;AN$1465,"",(tech_base!$J188/tech_proj!AN312*0.086*$N$110)/(1-tech_proj!AN592))</f>
        <v>0</v>
      </c>
      <c r="AO1652" s="125">
        <f>IF(tech_base!$T188&gt;AO$1465,"",(tech_base!$J188/tech_proj!AO312*0.086*$N$110)/(1-tech_proj!AO592))</f>
        <v>0</v>
      </c>
      <c r="AP1652" s="125">
        <f>IF(tech_base!$T188&gt;AP$1465,"",(tech_base!$J188/tech_proj!AP312*0.086*$N$110)/(1-tech_proj!AP592))</f>
        <v>0</v>
      </c>
      <c r="AQ1652" s="125">
        <f>IF(tech_base!$T188&gt;AQ$1465,"",(tech_base!$J188/tech_proj!AQ312*0.086*$N$110)/(1-tech_proj!AQ592))</f>
        <v>0</v>
      </c>
      <c r="AR1652" s="125">
        <f>IF(tech_base!$T188&gt;AR$1465,"",(tech_base!$J188/tech_proj!AR312*0.086*$N$110)/(1-tech_proj!AR592))</f>
        <v>0</v>
      </c>
      <c r="AS1652" s="125">
        <f>IF(tech_base!$T188&gt;AS$1465,"",(tech_base!$J188/tech_proj!AS312*0.086*$N$110)/(1-tech_proj!AS592))</f>
        <v>0</v>
      </c>
      <c r="AT1652" s="125">
        <f>IF(tech_base!$T188&gt;AT$1465,"",(tech_base!$J188/tech_proj!AT312*0.086*$N$110)/(1-tech_proj!AT592))</f>
        <v>0</v>
      </c>
      <c r="AU1652" s="125">
        <f>IF(tech_base!$T188&gt;AU$1465,"",(tech_base!$J188/tech_proj!AU312*0.086*$N$110)/(1-tech_proj!AU592))</f>
        <v>0</v>
      </c>
      <c r="AV1652" s="125">
        <f>IF(tech_base!$T188&gt;AV$1465,"",(tech_base!$J188/tech_proj!AV312*0.086*$N$110)/(1-tech_proj!AV592))</f>
        <v>0</v>
      </c>
      <c r="AW1652" s="125">
        <f>IF(tech_base!$T188&gt;AW$1465,"",(tech_base!$J188/tech_proj!AW312*0.086*$N$110)/(1-tech_proj!AW592))</f>
        <v>0</v>
      </c>
      <c r="AX1652" s="126">
        <f>IF(tech_base!$T188&gt;AX$1465,"",(tech_base!$J188/tech_proj!AX312*0.086*$N$110)/(1-tech_proj!AX592))</f>
        <v>0</v>
      </c>
    </row>
    <row r="1653" spans="1:50" x14ac:dyDescent="0.25">
      <c r="A1653" s="356"/>
      <c r="B1653" s="376"/>
      <c r="C1653" s="361" t="s">
        <v>16</v>
      </c>
      <c r="D1653" s="2" t="s">
        <v>7</v>
      </c>
      <c r="E1653" s="160" t="str">
        <f>A1639&amp;"/"&amp;B1647&amp;"/"&amp;C1653&amp;"/"&amp;D1653</f>
        <v>Fuel oil fired power plants/Supercritical steam turbine/CHP with CCS/L</v>
      </c>
      <c r="F1653" s="76" t="str">
        <f>A1639</f>
        <v>Fuel oil fired power plants</v>
      </c>
      <c r="G1653" s="76" t="str">
        <f>B1647</f>
        <v>Supercritical steam turbine</v>
      </c>
      <c r="H1653" s="76" t="str">
        <f>C1653</f>
        <v>CHP with CCS</v>
      </c>
      <c r="I1653" s="161" t="str">
        <f t="shared" si="379"/>
        <v>L</v>
      </c>
      <c r="J1653" s="119" t="str">
        <f>IF(tech_base!$T189&gt;J$1465,"",(tech_base!$J189/tech_proj!J313*0.086*$N$110)/(1-tech_proj!J593))</f>
        <v/>
      </c>
      <c r="K1653" s="119" t="str">
        <f>IF(tech_base!$T189&gt;K$1465,"",(tech_base!$J189/tech_proj!K313*0.086*$N$110)/(1-tech_proj!K593))</f>
        <v/>
      </c>
      <c r="L1653" s="119" t="str">
        <f>IF(tech_base!$T189&gt;L$1465,"",(tech_base!$J189/tech_proj!L313*0.086*$N$110)/(1-tech_proj!L593))</f>
        <v/>
      </c>
      <c r="M1653" s="119" t="str">
        <f>IF(tech_base!$T189&gt;M$1465,"",(tech_base!$J189/tech_proj!M313*0.086*$N$110)/(1-tech_proj!M593))</f>
        <v/>
      </c>
      <c r="N1653" s="119" t="str">
        <f>IF(tech_base!$T189&gt;N$1465,"",(tech_base!$J189/tech_proj!N313*0.086*$N$110)/(1-tech_proj!N593))</f>
        <v/>
      </c>
      <c r="O1653" s="119" t="str">
        <f>IF(tech_base!$T189&gt;O$1465,"",(tech_base!$J189/tech_proj!O313*0.086*$N$110)/(1-tech_proj!O593))</f>
        <v/>
      </c>
      <c r="P1653" s="119" t="str">
        <f>IF(tech_base!$T189&gt;P$1465,"",(tech_base!$J189/tech_proj!P313*0.086*$N$110)/(1-tech_proj!P593))</f>
        <v/>
      </c>
      <c r="Q1653" s="119" t="str">
        <f>IF(tech_base!$T189&gt;Q$1465,"",(tech_base!$J189/tech_proj!Q313*0.086*$N$110)/(1-tech_proj!Q593))</f>
        <v/>
      </c>
      <c r="R1653" s="119" t="str">
        <f>IF(tech_base!$T189&gt;R$1465,"",(tech_base!$J189/tech_proj!R313*0.086*$N$110)/(1-tech_proj!R593))</f>
        <v/>
      </c>
      <c r="S1653" s="119" t="str">
        <f>IF(tech_base!$T189&gt;S$1465,"",(tech_base!$J189/tech_proj!S313*0.086*$N$110)/(1-tech_proj!S593))</f>
        <v/>
      </c>
      <c r="T1653" s="119" t="str">
        <f>IF(tech_base!$T189&gt;T$1465,"",(tech_base!$J189/tech_proj!T313*0.086*$N$110)/(1-tech_proj!T593))</f>
        <v/>
      </c>
      <c r="U1653" s="119" t="str">
        <f>IF(tech_base!$T189&gt;U$1465,"",(tech_base!$J189/tech_proj!U313*0.086*$N$110)/(1-tech_proj!U593))</f>
        <v/>
      </c>
      <c r="V1653" s="119" t="str">
        <f>IF(tech_base!$T189&gt;V$1465,"",(tech_base!$J189/tech_proj!V313*0.086*$N$110)/(1-tech_proj!V593))</f>
        <v/>
      </c>
      <c r="W1653" s="119" t="str">
        <f>IF(tech_base!$T189&gt;W$1465,"",(tech_base!$J189/tech_proj!W313*0.086*$N$110)/(1-tech_proj!W593))</f>
        <v/>
      </c>
      <c r="X1653" s="119" t="str">
        <f>IF(tech_base!$T189&gt;X$1465,"",(tech_base!$J189/tech_proj!X313*0.086*$N$110)/(1-tech_proj!X593))</f>
        <v/>
      </c>
      <c r="Y1653" s="119" t="str">
        <f>IF(tech_base!$T189&gt;Y$1465,"",(tech_base!$J189/tech_proj!Y313*0.086*$N$110)/(1-tech_proj!Y593))</f>
        <v/>
      </c>
      <c r="Z1653" s="119" t="str">
        <f>IF(tech_base!$T189&gt;Z$1465,"",(tech_base!$J189/tech_proj!Z313*0.086*$N$110)/(1-tech_proj!Z593))</f>
        <v/>
      </c>
      <c r="AA1653" s="119" t="str">
        <f>IF(tech_base!$T189&gt;AA$1465,"",(tech_base!$J189/tech_proj!AA313*0.086*$N$110)/(1-tech_proj!AA593))</f>
        <v/>
      </c>
      <c r="AB1653" s="119" t="str">
        <f>IF(tech_base!$T189&gt;AB$1465,"",(tech_base!$J189/tech_proj!AB313*0.086*$N$110)/(1-tech_proj!AB593))</f>
        <v/>
      </c>
      <c r="AC1653" s="119" t="str">
        <f>IF(tech_base!$T189&gt;AC$1465,"",(tech_base!$J189/tech_proj!AC313*0.086*$N$110)/(1-tech_proj!AC593))</f>
        <v/>
      </c>
      <c r="AD1653" s="119" t="str">
        <f>IF(tech_base!$T189&gt;AD$1465,"",(tech_base!$J189/tech_proj!AD313*0.086*$N$110)/(1-tech_proj!AD593))</f>
        <v/>
      </c>
      <c r="AE1653" s="119">
        <f>IF(tech_base!$T189&gt;AE$1465,"",(tech_base!$J189/tech_proj!AE313*0.086*$N$110)/(1-tech_proj!AE593))</f>
        <v>0</v>
      </c>
      <c r="AF1653" s="119">
        <f>IF(tech_base!$T189&gt;AF$1465,"",(tech_base!$J189/tech_proj!AF313*0.086*$N$110)/(1-tech_proj!AF593))</f>
        <v>0</v>
      </c>
      <c r="AG1653" s="119">
        <f>IF(tech_base!$T189&gt;AG$1465,"",(tech_base!$J189/tech_proj!AG313*0.086*$N$110)/(1-tech_proj!AG593))</f>
        <v>0</v>
      </c>
      <c r="AH1653" s="119">
        <f>IF(tech_base!$T189&gt;AH$1465,"",(tech_base!$J189/tech_proj!AH313*0.086*$N$110)/(1-tech_proj!AH593))</f>
        <v>0</v>
      </c>
      <c r="AI1653" s="119">
        <f>IF(tech_base!$T189&gt;AI$1465,"",(tech_base!$J189/tech_proj!AI313*0.086*$N$110)/(1-tech_proj!AI593))</f>
        <v>0</v>
      </c>
      <c r="AJ1653" s="119">
        <f>IF(tech_base!$T189&gt;AJ$1465,"",(tech_base!$J189/tech_proj!AJ313*0.086*$N$110)/(1-tech_proj!AJ593))</f>
        <v>0</v>
      </c>
      <c r="AK1653" s="119">
        <f>IF(tech_base!$T189&gt;AK$1465,"",(tech_base!$J189/tech_proj!AK313*0.086*$N$110)/(1-tech_proj!AK593))</f>
        <v>0</v>
      </c>
      <c r="AL1653" s="119">
        <f>IF(tech_base!$T189&gt;AL$1465,"",(tech_base!$J189/tech_proj!AL313*0.086*$N$110)/(1-tech_proj!AL593))</f>
        <v>0</v>
      </c>
      <c r="AM1653" s="119">
        <f>IF(tech_base!$T189&gt;AM$1465,"",(tech_base!$J189/tech_proj!AM313*0.086*$N$110)/(1-tech_proj!AM593))</f>
        <v>0</v>
      </c>
      <c r="AN1653" s="119">
        <f>IF(tech_base!$T189&gt;AN$1465,"",(tech_base!$J189/tech_proj!AN313*0.086*$N$110)/(1-tech_proj!AN593))</f>
        <v>0</v>
      </c>
      <c r="AO1653" s="119">
        <f>IF(tech_base!$T189&gt;AO$1465,"",(tech_base!$J189/tech_proj!AO313*0.086*$N$110)/(1-tech_proj!AO593))</f>
        <v>0</v>
      </c>
      <c r="AP1653" s="119">
        <f>IF(tech_base!$T189&gt;AP$1465,"",(tech_base!$J189/tech_proj!AP313*0.086*$N$110)/(1-tech_proj!AP593))</f>
        <v>0</v>
      </c>
      <c r="AQ1653" s="119">
        <f>IF(tech_base!$T189&gt;AQ$1465,"",(tech_base!$J189/tech_proj!AQ313*0.086*$N$110)/(1-tech_proj!AQ593))</f>
        <v>0</v>
      </c>
      <c r="AR1653" s="119">
        <f>IF(tech_base!$T189&gt;AR$1465,"",(tech_base!$J189/tech_proj!AR313*0.086*$N$110)/(1-tech_proj!AR593))</f>
        <v>0</v>
      </c>
      <c r="AS1653" s="119">
        <f>IF(tech_base!$T189&gt;AS$1465,"",(tech_base!$J189/tech_proj!AS313*0.086*$N$110)/(1-tech_proj!AS593))</f>
        <v>0</v>
      </c>
      <c r="AT1653" s="119">
        <f>IF(tech_base!$T189&gt;AT$1465,"",(tech_base!$J189/tech_proj!AT313*0.086*$N$110)/(1-tech_proj!AT593))</f>
        <v>0</v>
      </c>
      <c r="AU1653" s="119">
        <f>IF(tech_base!$T189&gt;AU$1465,"",(tech_base!$J189/tech_proj!AU313*0.086*$N$110)/(1-tech_proj!AU593))</f>
        <v>0</v>
      </c>
      <c r="AV1653" s="119">
        <f>IF(tech_base!$T189&gt;AV$1465,"",(tech_base!$J189/tech_proj!AV313*0.086*$N$110)/(1-tech_proj!AV593))</f>
        <v>0</v>
      </c>
      <c r="AW1653" s="119">
        <f>IF(tech_base!$T189&gt;AW$1465,"",(tech_base!$J189/tech_proj!AW313*0.086*$N$110)/(1-tech_proj!AW593))</f>
        <v>0</v>
      </c>
      <c r="AX1653" s="120">
        <f>IF(tech_base!$T189&gt;AX$1465,"",(tech_base!$J189/tech_proj!AX313*0.086*$N$110)/(1-tech_proj!AX593))</f>
        <v>0</v>
      </c>
    </row>
    <row r="1654" spans="1:50" x14ac:dyDescent="0.25">
      <c r="A1654" s="356"/>
      <c r="B1654" s="380"/>
      <c r="C1654" s="381"/>
      <c r="D1654" s="4" t="s">
        <v>8</v>
      </c>
      <c r="E1654" s="168" t="str">
        <f>A1639&amp;"/"&amp;B1647&amp;"/"&amp;C1653&amp;"/"&amp;D1654</f>
        <v>Fuel oil fired power plants/Supercritical steam turbine/CHP with CCS/M</v>
      </c>
      <c r="F1654" s="80" t="str">
        <f>A1639</f>
        <v>Fuel oil fired power plants</v>
      </c>
      <c r="G1654" s="80" t="str">
        <f>B1647</f>
        <v>Supercritical steam turbine</v>
      </c>
      <c r="H1654" s="80" t="str">
        <f>C1653</f>
        <v>CHP with CCS</v>
      </c>
      <c r="I1654" s="169" t="str">
        <f t="shared" si="379"/>
        <v>M</v>
      </c>
      <c r="J1654" s="127" t="str">
        <f>IF(tech_base!$T190&gt;J$1465,"",(tech_base!$J190/tech_proj!J314*0.086*$N$110)/(1-tech_proj!J594))</f>
        <v/>
      </c>
      <c r="K1654" s="127" t="str">
        <f>IF(tech_base!$T190&gt;K$1465,"",(tech_base!$J190/tech_proj!K314*0.086*$N$110)/(1-tech_proj!K594))</f>
        <v/>
      </c>
      <c r="L1654" s="127" t="str">
        <f>IF(tech_base!$T190&gt;L$1465,"",(tech_base!$J190/tech_proj!L314*0.086*$N$110)/(1-tech_proj!L594))</f>
        <v/>
      </c>
      <c r="M1654" s="127" t="str">
        <f>IF(tech_base!$T190&gt;M$1465,"",(tech_base!$J190/tech_proj!M314*0.086*$N$110)/(1-tech_proj!M594))</f>
        <v/>
      </c>
      <c r="N1654" s="127" t="str">
        <f>IF(tech_base!$T190&gt;N$1465,"",(tech_base!$J190/tech_proj!N314*0.086*$N$110)/(1-tech_proj!N594))</f>
        <v/>
      </c>
      <c r="O1654" s="127" t="str">
        <f>IF(tech_base!$T190&gt;O$1465,"",(tech_base!$J190/tech_proj!O314*0.086*$N$110)/(1-tech_proj!O594))</f>
        <v/>
      </c>
      <c r="P1654" s="127" t="str">
        <f>IF(tech_base!$T190&gt;P$1465,"",(tech_base!$J190/tech_proj!P314*0.086*$N$110)/(1-tech_proj!P594))</f>
        <v/>
      </c>
      <c r="Q1654" s="127" t="str">
        <f>IF(tech_base!$T190&gt;Q$1465,"",(tech_base!$J190/tech_proj!Q314*0.086*$N$110)/(1-tech_proj!Q594))</f>
        <v/>
      </c>
      <c r="R1654" s="127" t="str">
        <f>IF(tech_base!$T190&gt;R$1465,"",(tech_base!$J190/tech_proj!R314*0.086*$N$110)/(1-tech_proj!R594))</f>
        <v/>
      </c>
      <c r="S1654" s="127" t="str">
        <f>IF(tech_base!$T190&gt;S$1465,"",(tech_base!$J190/tech_proj!S314*0.086*$N$110)/(1-tech_proj!S594))</f>
        <v/>
      </c>
      <c r="T1654" s="127" t="str">
        <f>IF(tech_base!$T190&gt;T$1465,"",(tech_base!$J190/tech_proj!T314*0.086*$N$110)/(1-tech_proj!T594))</f>
        <v/>
      </c>
      <c r="U1654" s="127" t="str">
        <f>IF(tech_base!$T190&gt;U$1465,"",(tech_base!$J190/tech_proj!U314*0.086*$N$110)/(1-tech_proj!U594))</f>
        <v/>
      </c>
      <c r="V1654" s="127" t="str">
        <f>IF(tech_base!$T190&gt;V$1465,"",(tech_base!$J190/tech_proj!V314*0.086*$N$110)/(1-tech_proj!V594))</f>
        <v/>
      </c>
      <c r="W1654" s="127" t="str">
        <f>IF(tech_base!$T190&gt;W$1465,"",(tech_base!$J190/tech_proj!W314*0.086*$N$110)/(1-tech_proj!W594))</f>
        <v/>
      </c>
      <c r="X1654" s="127" t="str">
        <f>IF(tech_base!$T190&gt;X$1465,"",(tech_base!$J190/tech_proj!X314*0.086*$N$110)/(1-tech_proj!X594))</f>
        <v/>
      </c>
      <c r="Y1654" s="127" t="str">
        <f>IF(tech_base!$T190&gt;Y$1465,"",(tech_base!$J190/tech_proj!Y314*0.086*$N$110)/(1-tech_proj!Y594))</f>
        <v/>
      </c>
      <c r="Z1654" s="127" t="str">
        <f>IF(tech_base!$T190&gt;Z$1465,"",(tech_base!$J190/tech_proj!Z314*0.086*$N$110)/(1-tech_proj!Z594))</f>
        <v/>
      </c>
      <c r="AA1654" s="127" t="str">
        <f>IF(tech_base!$T190&gt;AA$1465,"",(tech_base!$J190/tech_proj!AA314*0.086*$N$110)/(1-tech_proj!AA594))</f>
        <v/>
      </c>
      <c r="AB1654" s="127" t="str">
        <f>IF(tech_base!$T190&gt;AB$1465,"",(tech_base!$J190/tech_proj!AB314*0.086*$N$110)/(1-tech_proj!AB594))</f>
        <v/>
      </c>
      <c r="AC1654" s="127" t="str">
        <f>IF(tech_base!$T190&gt;AC$1465,"",(tech_base!$J190/tech_proj!AC314*0.086*$N$110)/(1-tech_proj!AC594))</f>
        <v/>
      </c>
      <c r="AD1654" s="127" t="str">
        <f>IF(tech_base!$T190&gt;AD$1465,"",(tech_base!$J190/tech_proj!AD314*0.086*$N$110)/(1-tech_proj!AD594))</f>
        <v/>
      </c>
      <c r="AE1654" s="127">
        <f>IF(tech_base!$T190&gt;AE$1465,"",(tech_base!$J190/tech_proj!AE314*0.086*$N$110)/(1-tech_proj!AE594))</f>
        <v>0</v>
      </c>
      <c r="AF1654" s="127">
        <f>IF(tech_base!$T190&gt;AF$1465,"",(tech_base!$J190/tech_proj!AF314*0.086*$N$110)/(1-tech_proj!AF594))</f>
        <v>0</v>
      </c>
      <c r="AG1654" s="127">
        <f>IF(tech_base!$T190&gt;AG$1465,"",(tech_base!$J190/tech_proj!AG314*0.086*$N$110)/(1-tech_proj!AG594))</f>
        <v>0</v>
      </c>
      <c r="AH1654" s="127">
        <f>IF(tech_base!$T190&gt;AH$1465,"",(tech_base!$J190/tech_proj!AH314*0.086*$N$110)/(1-tech_proj!AH594))</f>
        <v>0</v>
      </c>
      <c r="AI1654" s="127">
        <f>IF(tech_base!$T190&gt;AI$1465,"",(tech_base!$J190/tech_proj!AI314*0.086*$N$110)/(1-tech_proj!AI594))</f>
        <v>0</v>
      </c>
      <c r="AJ1654" s="127">
        <f>IF(tech_base!$T190&gt;AJ$1465,"",(tech_base!$J190/tech_proj!AJ314*0.086*$N$110)/(1-tech_proj!AJ594))</f>
        <v>0</v>
      </c>
      <c r="AK1654" s="127">
        <f>IF(tech_base!$T190&gt;AK$1465,"",(tech_base!$J190/tech_proj!AK314*0.086*$N$110)/(1-tech_proj!AK594))</f>
        <v>0</v>
      </c>
      <c r="AL1654" s="127">
        <f>IF(tech_base!$T190&gt;AL$1465,"",(tech_base!$J190/tech_proj!AL314*0.086*$N$110)/(1-tech_proj!AL594))</f>
        <v>0</v>
      </c>
      <c r="AM1654" s="127">
        <f>IF(tech_base!$T190&gt;AM$1465,"",(tech_base!$J190/tech_proj!AM314*0.086*$N$110)/(1-tech_proj!AM594))</f>
        <v>0</v>
      </c>
      <c r="AN1654" s="127">
        <f>IF(tech_base!$T190&gt;AN$1465,"",(tech_base!$J190/tech_proj!AN314*0.086*$N$110)/(1-tech_proj!AN594))</f>
        <v>0</v>
      </c>
      <c r="AO1654" s="127">
        <f>IF(tech_base!$T190&gt;AO$1465,"",(tech_base!$J190/tech_proj!AO314*0.086*$N$110)/(1-tech_proj!AO594))</f>
        <v>0</v>
      </c>
      <c r="AP1654" s="127">
        <f>IF(tech_base!$T190&gt;AP$1465,"",(tech_base!$J190/tech_proj!AP314*0.086*$N$110)/(1-tech_proj!AP594))</f>
        <v>0</v>
      </c>
      <c r="AQ1654" s="127">
        <f>IF(tech_base!$T190&gt;AQ$1465,"",(tech_base!$J190/tech_proj!AQ314*0.086*$N$110)/(1-tech_proj!AQ594))</f>
        <v>0</v>
      </c>
      <c r="AR1654" s="127">
        <f>IF(tech_base!$T190&gt;AR$1465,"",(tech_base!$J190/tech_proj!AR314*0.086*$N$110)/(1-tech_proj!AR594))</f>
        <v>0</v>
      </c>
      <c r="AS1654" s="127">
        <f>IF(tech_base!$T190&gt;AS$1465,"",(tech_base!$J190/tech_proj!AS314*0.086*$N$110)/(1-tech_proj!AS594))</f>
        <v>0</v>
      </c>
      <c r="AT1654" s="127">
        <f>IF(tech_base!$T190&gt;AT$1465,"",(tech_base!$J190/tech_proj!AT314*0.086*$N$110)/(1-tech_proj!AT594))</f>
        <v>0</v>
      </c>
      <c r="AU1654" s="127">
        <f>IF(tech_base!$T190&gt;AU$1465,"",(tech_base!$J190/tech_proj!AU314*0.086*$N$110)/(1-tech_proj!AU594))</f>
        <v>0</v>
      </c>
      <c r="AV1654" s="127">
        <f>IF(tech_base!$T190&gt;AV$1465,"",(tech_base!$J190/tech_proj!AV314*0.086*$N$110)/(1-tech_proj!AV594))</f>
        <v>0</v>
      </c>
      <c r="AW1654" s="127">
        <f>IF(tech_base!$T190&gt;AW$1465,"",(tech_base!$J190/tech_proj!AW314*0.086*$N$110)/(1-tech_proj!AW594))</f>
        <v>0</v>
      </c>
      <c r="AX1654" s="128">
        <f>IF(tech_base!$T190&gt;AX$1465,"",(tech_base!$J190/tech_proj!AX314*0.086*$N$110)/(1-tech_proj!AX594))</f>
        <v>0</v>
      </c>
    </row>
    <row r="1655" spans="1:50" x14ac:dyDescent="0.25">
      <c r="A1655" s="356"/>
      <c r="B1655" s="358" t="s">
        <v>19</v>
      </c>
      <c r="C1655" s="353" t="s">
        <v>6</v>
      </c>
      <c r="D1655" s="3" t="s">
        <v>7</v>
      </c>
      <c r="E1655" s="162" t="str">
        <f>A1639&amp;"/"&amp;B1655&amp;"/"&amp;C1655&amp;"/"&amp;D1655</f>
        <v>Fuel oil fired power plants/Steam turbine/Electricity only/L</v>
      </c>
      <c r="F1655" s="77" t="str">
        <f>A1639</f>
        <v>Fuel oil fired power plants</v>
      </c>
      <c r="G1655" s="77" t="str">
        <f>B1655</f>
        <v>Steam turbine</v>
      </c>
      <c r="H1655" s="77" t="str">
        <f>C1655</f>
        <v>Electricity only</v>
      </c>
      <c r="I1655" s="163" t="str">
        <f t="shared" si="379"/>
        <v>L</v>
      </c>
      <c r="J1655" s="121">
        <f>IF(tech_base!$T191&gt;J$1465,"",(tech_base!$J191/tech_proj!J315*0.086*$N$110)/(1-tech_proj!J595))</f>
        <v>0</v>
      </c>
      <c r="K1655" s="121">
        <f>IF(tech_base!$T191&gt;K$1465,"",(tech_base!$J191/tech_proj!K315*0.086*$N$110)/(1-tech_proj!K595))</f>
        <v>0</v>
      </c>
      <c r="L1655" s="121">
        <f>IF(tech_base!$T191&gt;L$1465,"",(tech_base!$J191/tech_proj!L315*0.086*$N$110)/(1-tech_proj!L595))</f>
        <v>0</v>
      </c>
      <c r="M1655" s="121">
        <f>IF(tech_base!$T191&gt;M$1465,"",(tech_base!$J191/tech_proj!M315*0.086*$N$110)/(1-tech_proj!M595))</f>
        <v>0</v>
      </c>
      <c r="N1655" s="121">
        <f>IF(tech_base!$T191&gt;N$1465,"",(tech_base!$J191/tech_proj!N315*0.086*$N$110)/(1-tech_proj!N595))</f>
        <v>0</v>
      </c>
      <c r="O1655" s="121">
        <f>IF(tech_base!$T191&gt;O$1465,"",(tech_base!$J191/tech_proj!O315*0.086*$N$110)/(1-tech_proj!O595))</f>
        <v>0</v>
      </c>
      <c r="P1655" s="121">
        <f>IF(tech_base!$T191&gt;P$1465,"",(tech_base!$J191/tech_proj!P315*0.086*$N$110)/(1-tech_proj!P595))</f>
        <v>0</v>
      </c>
      <c r="Q1655" s="121">
        <f>IF(tech_base!$T191&gt;Q$1465,"",(tech_base!$J191/tech_proj!Q315*0.086*$N$110)/(1-tech_proj!Q595))</f>
        <v>0</v>
      </c>
      <c r="R1655" s="121">
        <f>IF(tech_base!$T191&gt;R$1465,"",(tech_base!$J191/tech_proj!R315*0.086*$N$110)/(1-tech_proj!R595))</f>
        <v>0</v>
      </c>
      <c r="S1655" s="121">
        <f>IF(tech_base!$T191&gt;S$1465,"",(tech_base!$J191/tech_proj!S315*0.086*$N$110)/(1-tech_proj!S595))</f>
        <v>0</v>
      </c>
      <c r="T1655" s="121">
        <f>IF(tech_base!$T191&gt;T$1465,"",(tech_base!$J191/tech_proj!T315*0.086*$N$110)/(1-tech_proj!T595))</f>
        <v>0</v>
      </c>
      <c r="U1655" s="121">
        <f>IF(tech_base!$T191&gt;U$1465,"",(tech_base!$J191/tech_proj!U315*0.086*$N$110)/(1-tech_proj!U595))</f>
        <v>0</v>
      </c>
      <c r="V1655" s="121">
        <f>IF(tech_base!$T191&gt;V$1465,"",(tech_base!$J191/tech_proj!V315*0.086*$N$110)/(1-tech_proj!V595))</f>
        <v>0</v>
      </c>
      <c r="W1655" s="121">
        <f>IF(tech_base!$T191&gt;W$1465,"",(tech_base!$J191/tech_proj!W315*0.086*$N$110)/(1-tech_proj!W595))</f>
        <v>0</v>
      </c>
      <c r="X1655" s="121">
        <f>IF(tech_base!$T191&gt;X$1465,"",(tech_base!$J191/tech_proj!X315*0.086*$N$110)/(1-tech_proj!X595))</f>
        <v>0</v>
      </c>
      <c r="Y1655" s="121">
        <f>IF(tech_base!$T191&gt;Y$1465,"",(tech_base!$J191/tech_proj!Y315*0.086*$N$110)/(1-tech_proj!Y595))</f>
        <v>0</v>
      </c>
      <c r="Z1655" s="121">
        <f>IF(tech_base!$T191&gt;Z$1465,"",(tech_base!$J191/tech_proj!Z315*0.086*$N$110)/(1-tech_proj!Z595))</f>
        <v>0</v>
      </c>
      <c r="AA1655" s="121">
        <f>IF(tech_base!$T191&gt;AA$1465,"",(tech_base!$J191/tech_proj!AA315*0.086*$N$110)/(1-tech_proj!AA595))</f>
        <v>0</v>
      </c>
      <c r="AB1655" s="121">
        <f>IF(tech_base!$T191&gt;AB$1465,"",(tech_base!$J191/tech_proj!AB315*0.086*$N$110)/(1-tech_proj!AB595))</f>
        <v>0</v>
      </c>
      <c r="AC1655" s="121">
        <f>IF(tech_base!$T191&gt;AC$1465,"",(tech_base!$J191/tech_proj!AC315*0.086*$N$110)/(1-tech_proj!AC595))</f>
        <v>0</v>
      </c>
      <c r="AD1655" s="121">
        <f>IF(tech_base!$T191&gt;AD$1465,"",(tech_base!$J191/tech_proj!AD315*0.086*$N$110)/(1-tech_proj!AD595))</f>
        <v>0</v>
      </c>
      <c r="AE1655" s="121">
        <f>IF(tech_base!$T191&gt;AE$1465,"",(tech_base!$J191/tech_proj!AE315*0.086*$N$110)/(1-tech_proj!AE595))</f>
        <v>0</v>
      </c>
      <c r="AF1655" s="121">
        <f>IF(tech_base!$T191&gt;AF$1465,"",(tech_base!$J191/tech_proj!AF315*0.086*$N$110)/(1-tech_proj!AF595))</f>
        <v>0</v>
      </c>
      <c r="AG1655" s="121">
        <f>IF(tech_base!$T191&gt;AG$1465,"",(tech_base!$J191/tech_proj!AG315*0.086*$N$110)/(1-tech_proj!AG595))</f>
        <v>0</v>
      </c>
      <c r="AH1655" s="121">
        <f>IF(tech_base!$T191&gt;AH$1465,"",(tech_base!$J191/tech_proj!AH315*0.086*$N$110)/(1-tech_proj!AH595))</f>
        <v>0</v>
      </c>
      <c r="AI1655" s="121">
        <f>IF(tech_base!$T191&gt;AI$1465,"",(tech_base!$J191/tech_proj!AI315*0.086*$N$110)/(1-tech_proj!AI595))</f>
        <v>0</v>
      </c>
      <c r="AJ1655" s="121">
        <f>IF(tech_base!$T191&gt;AJ$1465,"",(tech_base!$J191/tech_proj!AJ315*0.086*$N$110)/(1-tech_proj!AJ595))</f>
        <v>0</v>
      </c>
      <c r="AK1655" s="121">
        <f>IF(tech_base!$T191&gt;AK$1465,"",(tech_base!$J191/tech_proj!AK315*0.086*$N$110)/(1-tech_proj!AK595))</f>
        <v>0</v>
      </c>
      <c r="AL1655" s="121">
        <f>IF(tech_base!$T191&gt;AL$1465,"",(tech_base!$J191/tech_proj!AL315*0.086*$N$110)/(1-tech_proj!AL595))</f>
        <v>0</v>
      </c>
      <c r="AM1655" s="121">
        <f>IF(tech_base!$T191&gt;AM$1465,"",(tech_base!$J191/tech_proj!AM315*0.086*$N$110)/(1-tech_proj!AM595))</f>
        <v>0</v>
      </c>
      <c r="AN1655" s="121">
        <f>IF(tech_base!$T191&gt;AN$1465,"",(tech_base!$J191/tech_proj!AN315*0.086*$N$110)/(1-tech_proj!AN595))</f>
        <v>0</v>
      </c>
      <c r="AO1655" s="121">
        <f>IF(tech_base!$T191&gt;AO$1465,"",(tech_base!$J191/tech_proj!AO315*0.086*$N$110)/(1-tech_proj!AO595))</f>
        <v>0</v>
      </c>
      <c r="AP1655" s="121">
        <f>IF(tech_base!$T191&gt;AP$1465,"",(tech_base!$J191/tech_proj!AP315*0.086*$N$110)/(1-tech_proj!AP595))</f>
        <v>0</v>
      </c>
      <c r="AQ1655" s="121">
        <f>IF(tech_base!$T191&gt;AQ$1465,"",(tech_base!$J191/tech_proj!AQ315*0.086*$N$110)/(1-tech_proj!AQ595))</f>
        <v>0</v>
      </c>
      <c r="AR1655" s="121">
        <f>IF(tech_base!$T191&gt;AR$1465,"",(tech_base!$J191/tech_proj!AR315*0.086*$N$110)/(1-tech_proj!AR595))</f>
        <v>0</v>
      </c>
      <c r="AS1655" s="121">
        <f>IF(tech_base!$T191&gt;AS$1465,"",(tech_base!$J191/tech_proj!AS315*0.086*$N$110)/(1-tech_proj!AS595))</f>
        <v>0</v>
      </c>
      <c r="AT1655" s="121">
        <f>IF(tech_base!$T191&gt;AT$1465,"",(tech_base!$J191/tech_proj!AT315*0.086*$N$110)/(1-tech_proj!AT595))</f>
        <v>0</v>
      </c>
      <c r="AU1655" s="121">
        <f>IF(tech_base!$T191&gt;AU$1465,"",(tech_base!$J191/tech_proj!AU315*0.086*$N$110)/(1-tech_proj!AU595))</f>
        <v>0</v>
      </c>
      <c r="AV1655" s="121">
        <f>IF(tech_base!$T191&gt;AV$1465,"",(tech_base!$J191/tech_proj!AV315*0.086*$N$110)/(1-tech_proj!AV595))</f>
        <v>0</v>
      </c>
      <c r="AW1655" s="121">
        <f>IF(tech_base!$T191&gt;AW$1465,"",(tech_base!$J191/tech_proj!AW315*0.086*$N$110)/(1-tech_proj!AW595))</f>
        <v>0</v>
      </c>
      <c r="AX1655" s="122">
        <f>IF(tech_base!$T191&gt;AX$1465,"",(tech_base!$J191/tech_proj!AX315*0.086*$N$110)/(1-tech_proj!AX595))</f>
        <v>0</v>
      </c>
    </row>
    <row r="1656" spans="1:50" x14ac:dyDescent="0.25">
      <c r="A1656" s="356"/>
      <c r="B1656" s="376"/>
      <c r="C1656" s="378"/>
      <c r="D1656" s="2" t="s">
        <v>8</v>
      </c>
      <c r="E1656" s="160" t="str">
        <f>A1639&amp;"/"&amp;B1655&amp;"/"&amp;C1655&amp;"/"&amp;D1656</f>
        <v>Fuel oil fired power plants/Steam turbine/Electricity only/M</v>
      </c>
      <c r="F1656" s="76" t="str">
        <f>A1639</f>
        <v>Fuel oil fired power plants</v>
      </c>
      <c r="G1656" s="76" t="str">
        <f>B1655</f>
        <v>Steam turbine</v>
      </c>
      <c r="H1656" s="76" t="str">
        <f>C1655</f>
        <v>Electricity only</v>
      </c>
      <c r="I1656" s="161" t="str">
        <f t="shared" si="379"/>
        <v>M</v>
      </c>
      <c r="J1656" s="119">
        <f>IF(tech_base!$T192&gt;J$1465,"",(tech_base!$J192/tech_proj!J316*0.086*$N$110)/(1-tech_proj!J596))</f>
        <v>0</v>
      </c>
      <c r="K1656" s="119">
        <f>IF(tech_base!$T192&gt;K$1465,"",(tech_base!$J192/tech_proj!K316*0.086*$N$110)/(1-tech_proj!K596))</f>
        <v>0</v>
      </c>
      <c r="L1656" s="119">
        <f>IF(tech_base!$T192&gt;L$1465,"",(tech_base!$J192/tech_proj!L316*0.086*$N$110)/(1-tech_proj!L596))</f>
        <v>0</v>
      </c>
      <c r="M1656" s="119">
        <f>IF(tech_base!$T192&gt;M$1465,"",(tech_base!$J192/tech_proj!M316*0.086*$N$110)/(1-tech_proj!M596))</f>
        <v>0</v>
      </c>
      <c r="N1656" s="119">
        <f>IF(tech_base!$T192&gt;N$1465,"",(tech_base!$J192/tech_proj!N316*0.086*$N$110)/(1-tech_proj!N596))</f>
        <v>0</v>
      </c>
      <c r="O1656" s="119">
        <f>IF(tech_base!$T192&gt;O$1465,"",(tech_base!$J192/tech_proj!O316*0.086*$N$110)/(1-tech_proj!O596))</f>
        <v>0</v>
      </c>
      <c r="P1656" s="119">
        <f>IF(tech_base!$T192&gt;P$1465,"",(tech_base!$J192/tech_proj!P316*0.086*$N$110)/(1-tech_proj!P596))</f>
        <v>0</v>
      </c>
      <c r="Q1656" s="119">
        <f>IF(tech_base!$T192&gt;Q$1465,"",(tech_base!$J192/tech_proj!Q316*0.086*$N$110)/(1-tech_proj!Q596))</f>
        <v>0</v>
      </c>
      <c r="R1656" s="119">
        <f>IF(tech_base!$T192&gt;R$1465,"",(tech_base!$J192/tech_proj!R316*0.086*$N$110)/(1-tech_proj!R596))</f>
        <v>0</v>
      </c>
      <c r="S1656" s="119">
        <f>IF(tech_base!$T192&gt;S$1465,"",(tech_base!$J192/tech_proj!S316*0.086*$N$110)/(1-tech_proj!S596))</f>
        <v>0</v>
      </c>
      <c r="T1656" s="119">
        <f>IF(tech_base!$T192&gt;T$1465,"",(tech_base!$J192/tech_proj!T316*0.086*$N$110)/(1-tech_proj!T596))</f>
        <v>0</v>
      </c>
      <c r="U1656" s="119">
        <f>IF(tech_base!$T192&gt;U$1465,"",(tech_base!$J192/tech_proj!U316*0.086*$N$110)/(1-tech_proj!U596))</f>
        <v>0</v>
      </c>
      <c r="V1656" s="119">
        <f>IF(tech_base!$T192&gt;V$1465,"",(tech_base!$J192/tech_proj!V316*0.086*$N$110)/(1-tech_proj!V596))</f>
        <v>0</v>
      </c>
      <c r="W1656" s="119">
        <f>IF(tech_base!$T192&gt;W$1465,"",(tech_base!$J192/tech_proj!W316*0.086*$N$110)/(1-tech_proj!W596))</f>
        <v>0</v>
      </c>
      <c r="X1656" s="119">
        <f>IF(tech_base!$T192&gt;X$1465,"",(tech_base!$J192/tech_proj!X316*0.086*$N$110)/(1-tech_proj!X596))</f>
        <v>0</v>
      </c>
      <c r="Y1656" s="119">
        <f>IF(tech_base!$T192&gt;Y$1465,"",(tech_base!$J192/tech_proj!Y316*0.086*$N$110)/(1-tech_proj!Y596))</f>
        <v>0</v>
      </c>
      <c r="Z1656" s="119">
        <f>IF(tech_base!$T192&gt;Z$1465,"",(tech_base!$J192/tech_proj!Z316*0.086*$N$110)/(1-tech_proj!Z596))</f>
        <v>0</v>
      </c>
      <c r="AA1656" s="119">
        <f>IF(tech_base!$T192&gt;AA$1465,"",(tech_base!$J192/tech_proj!AA316*0.086*$N$110)/(1-tech_proj!AA596))</f>
        <v>0</v>
      </c>
      <c r="AB1656" s="119">
        <f>IF(tech_base!$T192&gt;AB$1465,"",(tech_base!$J192/tech_proj!AB316*0.086*$N$110)/(1-tech_proj!AB596))</f>
        <v>0</v>
      </c>
      <c r="AC1656" s="119">
        <f>IF(tech_base!$T192&gt;AC$1465,"",(tech_base!$J192/tech_proj!AC316*0.086*$N$110)/(1-tech_proj!AC596))</f>
        <v>0</v>
      </c>
      <c r="AD1656" s="119">
        <f>IF(tech_base!$T192&gt;AD$1465,"",(tech_base!$J192/tech_proj!AD316*0.086*$N$110)/(1-tech_proj!AD596))</f>
        <v>0</v>
      </c>
      <c r="AE1656" s="119">
        <f>IF(tech_base!$T192&gt;AE$1465,"",(tech_base!$J192/tech_proj!AE316*0.086*$N$110)/(1-tech_proj!AE596))</f>
        <v>0</v>
      </c>
      <c r="AF1656" s="119">
        <f>IF(tech_base!$T192&gt;AF$1465,"",(tech_base!$J192/tech_proj!AF316*0.086*$N$110)/(1-tech_proj!AF596))</f>
        <v>0</v>
      </c>
      <c r="AG1656" s="119">
        <f>IF(tech_base!$T192&gt;AG$1465,"",(tech_base!$J192/tech_proj!AG316*0.086*$N$110)/(1-tech_proj!AG596))</f>
        <v>0</v>
      </c>
      <c r="AH1656" s="119">
        <f>IF(tech_base!$T192&gt;AH$1465,"",(tech_base!$J192/tech_proj!AH316*0.086*$N$110)/(1-tech_proj!AH596))</f>
        <v>0</v>
      </c>
      <c r="AI1656" s="119">
        <f>IF(tech_base!$T192&gt;AI$1465,"",(tech_base!$J192/tech_proj!AI316*0.086*$N$110)/(1-tech_proj!AI596))</f>
        <v>0</v>
      </c>
      <c r="AJ1656" s="119">
        <f>IF(tech_base!$T192&gt;AJ$1465,"",(tech_base!$J192/tech_proj!AJ316*0.086*$N$110)/(1-tech_proj!AJ596))</f>
        <v>0</v>
      </c>
      <c r="AK1656" s="119">
        <f>IF(tech_base!$T192&gt;AK$1465,"",(tech_base!$J192/tech_proj!AK316*0.086*$N$110)/(1-tech_proj!AK596))</f>
        <v>0</v>
      </c>
      <c r="AL1656" s="119">
        <f>IF(tech_base!$T192&gt;AL$1465,"",(tech_base!$J192/tech_proj!AL316*0.086*$N$110)/(1-tech_proj!AL596))</f>
        <v>0</v>
      </c>
      <c r="AM1656" s="119">
        <f>IF(tech_base!$T192&gt;AM$1465,"",(tech_base!$J192/tech_proj!AM316*0.086*$N$110)/(1-tech_proj!AM596))</f>
        <v>0</v>
      </c>
      <c r="AN1656" s="119">
        <f>IF(tech_base!$T192&gt;AN$1465,"",(tech_base!$J192/tech_proj!AN316*0.086*$N$110)/(1-tech_proj!AN596))</f>
        <v>0</v>
      </c>
      <c r="AO1656" s="119">
        <f>IF(tech_base!$T192&gt;AO$1465,"",(tech_base!$J192/tech_proj!AO316*0.086*$N$110)/(1-tech_proj!AO596))</f>
        <v>0</v>
      </c>
      <c r="AP1656" s="119">
        <f>IF(tech_base!$T192&gt;AP$1465,"",(tech_base!$J192/tech_proj!AP316*0.086*$N$110)/(1-tech_proj!AP596))</f>
        <v>0</v>
      </c>
      <c r="AQ1656" s="119">
        <f>IF(tech_base!$T192&gt;AQ$1465,"",(tech_base!$J192/tech_proj!AQ316*0.086*$N$110)/(1-tech_proj!AQ596))</f>
        <v>0</v>
      </c>
      <c r="AR1656" s="119">
        <f>IF(tech_base!$T192&gt;AR$1465,"",(tech_base!$J192/tech_proj!AR316*0.086*$N$110)/(1-tech_proj!AR596))</f>
        <v>0</v>
      </c>
      <c r="AS1656" s="119">
        <f>IF(tech_base!$T192&gt;AS$1465,"",(tech_base!$J192/tech_proj!AS316*0.086*$N$110)/(1-tech_proj!AS596))</f>
        <v>0</v>
      </c>
      <c r="AT1656" s="119">
        <f>IF(tech_base!$T192&gt;AT$1465,"",(tech_base!$J192/tech_proj!AT316*0.086*$N$110)/(1-tech_proj!AT596))</f>
        <v>0</v>
      </c>
      <c r="AU1656" s="119">
        <f>IF(tech_base!$T192&gt;AU$1465,"",(tech_base!$J192/tech_proj!AU316*0.086*$N$110)/(1-tech_proj!AU596))</f>
        <v>0</v>
      </c>
      <c r="AV1656" s="119">
        <f>IF(tech_base!$T192&gt;AV$1465,"",(tech_base!$J192/tech_proj!AV316*0.086*$N$110)/(1-tech_proj!AV596))</f>
        <v>0</v>
      </c>
      <c r="AW1656" s="119">
        <f>IF(tech_base!$T192&gt;AW$1465,"",(tech_base!$J192/tech_proj!AW316*0.086*$N$110)/(1-tech_proj!AW596))</f>
        <v>0</v>
      </c>
      <c r="AX1656" s="120">
        <f>IF(tech_base!$T192&gt;AX$1465,"",(tech_base!$J192/tech_proj!AX316*0.086*$N$110)/(1-tech_proj!AX596))</f>
        <v>0</v>
      </c>
    </row>
    <row r="1657" spans="1:50" x14ac:dyDescent="0.25">
      <c r="A1657" s="356"/>
      <c r="B1657" s="376"/>
      <c r="C1657" s="378"/>
      <c r="D1657" s="2" t="s">
        <v>10</v>
      </c>
      <c r="E1657" s="160" t="str">
        <f>A1639&amp;"/"&amp;B1655&amp;"/"&amp;C1655&amp;"/"&amp;D1657</f>
        <v>Fuel oil fired power plants/Steam turbine/Electricity only/S</v>
      </c>
      <c r="F1657" s="76" t="str">
        <f>A1639</f>
        <v>Fuel oil fired power plants</v>
      </c>
      <c r="G1657" s="76" t="str">
        <f>B1655</f>
        <v>Steam turbine</v>
      </c>
      <c r="H1657" s="76" t="str">
        <f>C1655</f>
        <v>Electricity only</v>
      </c>
      <c r="I1657" s="161" t="str">
        <f t="shared" si="379"/>
        <v>S</v>
      </c>
      <c r="J1657" s="119">
        <f>IF(tech_base!$T193&gt;J$1465,"",(tech_base!$J193/tech_proj!J317*0.086*$N$110)/(1-tech_proj!J597))</f>
        <v>0</v>
      </c>
      <c r="K1657" s="119">
        <f>IF(tech_base!$T193&gt;K$1465,"",(tech_base!$J193/tech_proj!K317*0.086*$N$110)/(1-tech_proj!K597))</f>
        <v>0</v>
      </c>
      <c r="L1657" s="119">
        <f>IF(tech_base!$T193&gt;L$1465,"",(tech_base!$J193/tech_proj!L317*0.086*$N$110)/(1-tech_proj!L597))</f>
        <v>0</v>
      </c>
      <c r="M1657" s="119">
        <f>IF(tech_base!$T193&gt;M$1465,"",(tech_base!$J193/tech_proj!M317*0.086*$N$110)/(1-tech_proj!M597))</f>
        <v>0</v>
      </c>
      <c r="N1657" s="119">
        <f>IF(tech_base!$T193&gt;N$1465,"",(tech_base!$J193/tech_proj!N317*0.086*$N$110)/(1-tech_proj!N597))</f>
        <v>0</v>
      </c>
      <c r="O1657" s="119">
        <f>IF(tech_base!$T193&gt;O$1465,"",(tech_base!$J193/tech_proj!O317*0.086*$N$110)/(1-tech_proj!O597))</f>
        <v>0</v>
      </c>
      <c r="P1657" s="119">
        <f>IF(tech_base!$T193&gt;P$1465,"",(tech_base!$J193/tech_proj!P317*0.086*$N$110)/(1-tech_proj!P597))</f>
        <v>0</v>
      </c>
      <c r="Q1657" s="119">
        <f>IF(tech_base!$T193&gt;Q$1465,"",(tech_base!$J193/tech_proj!Q317*0.086*$N$110)/(1-tech_proj!Q597))</f>
        <v>0</v>
      </c>
      <c r="R1657" s="119">
        <f>IF(tech_base!$T193&gt;R$1465,"",(tech_base!$J193/tech_proj!R317*0.086*$N$110)/(1-tech_proj!R597))</f>
        <v>0</v>
      </c>
      <c r="S1657" s="119">
        <f>IF(tech_base!$T193&gt;S$1465,"",(tech_base!$J193/tech_proj!S317*0.086*$N$110)/(1-tech_proj!S597))</f>
        <v>0</v>
      </c>
      <c r="T1657" s="119">
        <f>IF(tech_base!$T193&gt;T$1465,"",(tech_base!$J193/tech_proj!T317*0.086*$N$110)/(1-tech_proj!T597))</f>
        <v>0</v>
      </c>
      <c r="U1657" s="119">
        <f>IF(tech_base!$T193&gt;U$1465,"",(tech_base!$J193/tech_proj!U317*0.086*$N$110)/(1-tech_proj!U597))</f>
        <v>0</v>
      </c>
      <c r="V1657" s="119">
        <f>IF(tech_base!$T193&gt;V$1465,"",(tech_base!$J193/tech_proj!V317*0.086*$N$110)/(1-tech_proj!V597))</f>
        <v>0</v>
      </c>
      <c r="W1657" s="119">
        <f>IF(tech_base!$T193&gt;W$1465,"",(tech_base!$J193/tech_proj!W317*0.086*$N$110)/(1-tech_proj!W597))</f>
        <v>0</v>
      </c>
      <c r="X1657" s="119">
        <f>IF(tech_base!$T193&gt;X$1465,"",(tech_base!$J193/tech_proj!X317*0.086*$N$110)/(1-tech_proj!X597))</f>
        <v>0</v>
      </c>
      <c r="Y1657" s="119">
        <f>IF(tech_base!$T193&gt;Y$1465,"",(tech_base!$J193/tech_proj!Y317*0.086*$N$110)/(1-tech_proj!Y597))</f>
        <v>0</v>
      </c>
      <c r="Z1657" s="119">
        <f>IF(tech_base!$T193&gt;Z$1465,"",(tech_base!$J193/tech_proj!Z317*0.086*$N$110)/(1-tech_proj!Z597))</f>
        <v>0</v>
      </c>
      <c r="AA1657" s="119">
        <f>IF(tech_base!$T193&gt;AA$1465,"",(tech_base!$J193/tech_proj!AA317*0.086*$N$110)/(1-tech_proj!AA597))</f>
        <v>0</v>
      </c>
      <c r="AB1657" s="119">
        <f>IF(tech_base!$T193&gt;AB$1465,"",(tech_base!$J193/tech_proj!AB317*0.086*$N$110)/(1-tech_proj!AB597))</f>
        <v>0</v>
      </c>
      <c r="AC1657" s="119">
        <f>IF(tech_base!$T193&gt;AC$1465,"",(tech_base!$J193/tech_proj!AC317*0.086*$N$110)/(1-tech_proj!AC597))</f>
        <v>0</v>
      </c>
      <c r="AD1657" s="119">
        <f>IF(tech_base!$T193&gt;AD$1465,"",(tech_base!$J193/tech_proj!AD317*0.086*$N$110)/(1-tech_proj!AD597))</f>
        <v>0</v>
      </c>
      <c r="AE1657" s="119">
        <f>IF(tech_base!$T193&gt;AE$1465,"",(tech_base!$J193/tech_proj!AE317*0.086*$N$110)/(1-tech_proj!AE597))</f>
        <v>0</v>
      </c>
      <c r="AF1657" s="119">
        <f>IF(tech_base!$T193&gt;AF$1465,"",(tech_base!$J193/tech_proj!AF317*0.086*$N$110)/(1-tech_proj!AF597))</f>
        <v>0</v>
      </c>
      <c r="AG1657" s="119">
        <f>IF(tech_base!$T193&gt;AG$1465,"",(tech_base!$J193/tech_proj!AG317*0.086*$N$110)/(1-tech_proj!AG597))</f>
        <v>0</v>
      </c>
      <c r="AH1657" s="119">
        <f>IF(tech_base!$T193&gt;AH$1465,"",(tech_base!$J193/tech_proj!AH317*0.086*$N$110)/(1-tech_proj!AH597))</f>
        <v>0</v>
      </c>
      <c r="AI1657" s="119">
        <f>IF(tech_base!$T193&gt;AI$1465,"",(tech_base!$J193/tech_proj!AI317*0.086*$N$110)/(1-tech_proj!AI597))</f>
        <v>0</v>
      </c>
      <c r="AJ1657" s="119">
        <f>IF(tech_base!$T193&gt;AJ$1465,"",(tech_base!$J193/tech_proj!AJ317*0.086*$N$110)/(1-tech_proj!AJ597))</f>
        <v>0</v>
      </c>
      <c r="AK1657" s="119">
        <f>IF(tech_base!$T193&gt;AK$1465,"",(tech_base!$J193/tech_proj!AK317*0.086*$N$110)/(1-tech_proj!AK597))</f>
        <v>0</v>
      </c>
      <c r="AL1657" s="119">
        <f>IF(tech_base!$T193&gt;AL$1465,"",(tech_base!$J193/tech_proj!AL317*0.086*$N$110)/(1-tech_proj!AL597))</f>
        <v>0</v>
      </c>
      <c r="AM1657" s="119">
        <f>IF(tech_base!$T193&gt;AM$1465,"",(tech_base!$J193/tech_proj!AM317*0.086*$N$110)/(1-tech_proj!AM597))</f>
        <v>0</v>
      </c>
      <c r="AN1657" s="119">
        <f>IF(tech_base!$T193&gt;AN$1465,"",(tech_base!$J193/tech_proj!AN317*0.086*$N$110)/(1-tech_proj!AN597))</f>
        <v>0</v>
      </c>
      <c r="AO1657" s="119">
        <f>IF(tech_base!$T193&gt;AO$1465,"",(tech_base!$J193/tech_proj!AO317*0.086*$N$110)/(1-tech_proj!AO597))</f>
        <v>0</v>
      </c>
      <c r="AP1657" s="119">
        <f>IF(tech_base!$T193&gt;AP$1465,"",(tech_base!$J193/tech_proj!AP317*0.086*$N$110)/(1-tech_proj!AP597))</f>
        <v>0</v>
      </c>
      <c r="AQ1657" s="119">
        <f>IF(tech_base!$T193&gt;AQ$1465,"",(tech_base!$J193/tech_proj!AQ317*0.086*$N$110)/(1-tech_proj!AQ597))</f>
        <v>0</v>
      </c>
      <c r="AR1657" s="119">
        <f>IF(tech_base!$T193&gt;AR$1465,"",(tech_base!$J193/tech_proj!AR317*0.086*$N$110)/(1-tech_proj!AR597))</f>
        <v>0</v>
      </c>
      <c r="AS1657" s="119">
        <f>IF(tech_base!$T193&gt;AS$1465,"",(tech_base!$J193/tech_proj!AS317*0.086*$N$110)/(1-tech_proj!AS597))</f>
        <v>0</v>
      </c>
      <c r="AT1657" s="119">
        <f>IF(tech_base!$T193&gt;AT$1465,"",(tech_base!$J193/tech_proj!AT317*0.086*$N$110)/(1-tech_proj!AT597))</f>
        <v>0</v>
      </c>
      <c r="AU1657" s="119">
        <f>IF(tech_base!$T193&gt;AU$1465,"",(tech_base!$J193/tech_proj!AU317*0.086*$N$110)/(1-tech_proj!AU597))</f>
        <v>0</v>
      </c>
      <c r="AV1657" s="119">
        <f>IF(tech_base!$T193&gt;AV$1465,"",(tech_base!$J193/tech_proj!AV317*0.086*$N$110)/(1-tech_proj!AV597))</f>
        <v>0</v>
      </c>
      <c r="AW1657" s="119">
        <f>IF(tech_base!$T193&gt;AW$1465,"",(tech_base!$J193/tech_proj!AW317*0.086*$N$110)/(1-tech_proj!AW597))</f>
        <v>0</v>
      </c>
      <c r="AX1657" s="120">
        <f>IF(tech_base!$T193&gt;AX$1465,"",(tech_base!$J193/tech_proj!AX317*0.086*$N$110)/(1-tech_proj!AX597))</f>
        <v>0</v>
      </c>
    </row>
    <row r="1658" spans="1:50" x14ac:dyDescent="0.25">
      <c r="A1658" s="356"/>
      <c r="B1658" s="376"/>
      <c r="C1658" s="379"/>
      <c r="D1658" s="2" t="s">
        <v>20</v>
      </c>
      <c r="E1658" s="160" t="str">
        <f>A1639&amp;"/"&amp;B1655&amp;"/"&amp;C1655&amp;"/"&amp;D1658</f>
        <v>Fuel oil fired power plants/Steam turbine/Electricity only/XS</v>
      </c>
      <c r="F1658" s="76" t="str">
        <f>A1639</f>
        <v>Fuel oil fired power plants</v>
      </c>
      <c r="G1658" s="76" t="str">
        <f>B1655</f>
        <v>Steam turbine</v>
      </c>
      <c r="H1658" s="76" t="str">
        <f>C1655</f>
        <v>Electricity only</v>
      </c>
      <c r="I1658" s="161" t="str">
        <f t="shared" si="379"/>
        <v>XS</v>
      </c>
      <c r="J1658" s="119">
        <f>IF(tech_base!$T194&gt;J$1465,"",(tech_base!$J194/tech_proj!J318*0.086*$N$110)/(1-tech_proj!J598))</f>
        <v>0</v>
      </c>
      <c r="K1658" s="119">
        <f>IF(tech_base!$T194&gt;K$1465,"",(tech_base!$J194/tech_proj!K318*0.086*$N$110)/(1-tech_proj!K598))</f>
        <v>0</v>
      </c>
      <c r="L1658" s="119">
        <f>IF(tech_base!$T194&gt;L$1465,"",(tech_base!$J194/tech_proj!L318*0.086*$N$110)/(1-tech_proj!L598))</f>
        <v>0</v>
      </c>
      <c r="M1658" s="119">
        <f>IF(tech_base!$T194&gt;M$1465,"",(tech_base!$J194/tech_proj!M318*0.086*$N$110)/(1-tech_proj!M598))</f>
        <v>0</v>
      </c>
      <c r="N1658" s="119">
        <f>IF(tech_base!$T194&gt;N$1465,"",(tech_base!$J194/tech_proj!N318*0.086*$N$110)/(1-tech_proj!N598))</f>
        <v>0</v>
      </c>
      <c r="O1658" s="119">
        <f>IF(tech_base!$T194&gt;O$1465,"",(tech_base!$J194/tech_proj!O318*0.086*$N$110)/(1-tech_proj!O598))</f>
        <v>0</v>
      </c>
      <c r="P1658" s="119">
        <f>IF(tech_base!$T194&gt;P$1465,"",(tech_base!$J194/tech_proj!P318*0.086*$N$110)/(1-tech_proj!P598))</f>
        <v>0</v>
      </c>
      <c r="Q1658" s="119">
        <f>IF(tech_base!$T194&gt;Q$1465,"",(tech_base!$J194/tech_proj!Q318*0.086*$N$110)/(1-tech_proj!Q598))</f>
        <v>0</v>
      </c>
      <c r="R1658" s="119">
        <f>IF(tech_base!$T194&gt;R$1465,"",(tech_base!$J194/tech_proj!R318*0.086*$N$110)/(1-tech_proj!R598))</f>
        <v>0</v>
      </c>
      <c r="S1658" s="119">
        <f>IF(tech_base!$T194&gt;S$1465,"",(tech_base!$J194/tech_proj!S318*0.086*$N$110)/(1-tech_proj!S598))</f>
        <v>0</v>
      </c>
      <c r="T1658" s="119">
        <f>IF(tech_base!$T194&gt;T$1465,"",(tech_base!$J194/tech_proj!T318*0.086*$N$110)/(1-tech_proj!T598))</f>
        <v>0</v>
      </c>
      <c r="U1658" s="119">
        <f>IF(tech_base!$T194&gt;U$1465,"",(tech_base!$J194/tech_proj!U318*0.086*$N$110)/(1-tech_proj!U598))</f>
        <v>0</v>
      </c>
      <c r="V1658" s="119">
        <f>IF(tech_base!$T194&gt;V$1465,"",(tech_base!$J194/tech_proj!V318*0.086*$N$110)/(1-tech_proj!V598))</f>
        <v>0</v>
      </c>
      <c r="W1658" s="119">
        <f>IF(tech_base!$T194&gt;W$1465,"",(tech_base!$J194/tech_proj!W318*0.086*$N$110)/(1-tech_proj!W598))</f>
        <v>0</v>
      </c>
      <c r="X1658" s="119">
        <f>IF(tech_base!$T194&gt;X$1465,"",(tech_base!$J194/tech_proj!X318*0.086*$N$110)/(1-tech_proj!X598))</f>
        <v>0</v>
      </c>
      <c r="Y1658" s="119">
        <f>IF(tech_base!$T194&gt;Y$1465,"",(tech_base!$J194/tech_proj!Y318*0.086*$N$110)/(1-tech_proj!Y598))</f>
        <v>0</v>
      </c>
      <c r="Z1658" s="119">
        <f>IF(tech_base!$T194&gt;Z$1465,"",(tech_base!$J194/tech_proj!Z318*0.086*$N$110)/(1-tech_proj!Z598))</f>
        <v>0</v>
      </c>
      <c r="AA1658" s="119">
        <f>IF(tech_base!$T194&gt;AA$1465,"",(tech_base!$J194/tech_proj!AA318*0.086*$N$110)/(1-tech_proj!AA598))</f>
        <v>0</v>
      </c>
      <c r="AB1658" s="119">
        <f>IF(tech_base!$T194&gt;AB$1465,"",(tech_base!$J194/tech_proj!AB318*0.086*$N$110)/(1-tech_proj!AB598))</f>
        <v>0</v>
      </c>
      <c r="AC1658" s="119">
        <f>IF(tech_base!$T194&gt;AC$1465,"",(tech_base!$J194/tech_proj!AC318*0.086*$N$110)/(1-tech_proj!AC598))</f>
        <v>0</v>
      </c>
      <c r="AD1658" s="119">
        <f>IF(tech_base!$T194&gt;AD$1465,"",(tech_base!$J194/tech_proj!AD318*0.086*$N$110)/(1-tech_proj!AD598))</f>
        <v>0</v>
      </c>
      <c r="AE1658" s="119">
        <f>IF(tech_base!$T194&gt;AE$1465,"",(tech_base!$J194/tech_proj!AE318*0.086*$N$110)/(1-tech_proj!AE598))</f>
        <v>0</v>
      </c>
      <c r="AF1658" s="119">
        <f>IF(tech_base!$T194&gt;AF$1465,"",(tech_base!$J194/tech_proj!AF318*0.086*$N$110)/(1-tech_proj!AF598))</f>
        <v>0</v>
      </c>
      <c r="AG1658" s="119">
        <f>IF(tech_base!$T194&gt;AG$1465,"",(tech_base!$J194/tech_proj!AG318*0.086*$N$110)/(1-tech_proj!AG598))</f>
        <v>0</v>
      </c>
      <c r="AH1658" s="119">
        <f>IF(tech_base!$T194&gt;AH$1465,"",(tech_base!$J194/tech_proj!AH318*0.086*$N$110)/(1-tech_proj!AH598))</f>
        <v>0</v>
      </c>
      <c r="AI1658" s="119">
        <f>IF(tech_base!$T194&gt;AI$1465,"",(tech_base!$J194/tech_proj!AI318*0.086*$N$110)/(1-tech_proj!AI598))</f>
        <v>0</v>
      </c>
      <c r="AJ1658" s="119">
        <f>IF(tech_base!$T194&gt;AJ$1465,"",(tech_base!$J194/tech_proj!AJ318*0.086*$N$110)/(1-tech_proj!AJ598))</f>
        <v>0</v>
      </c>
      <c r="AK1658" s="119">
        <f>IF(tech_base!$T194&gt;AK$1465,"",(tech_base!$J194/tech_proj!AK318*0.086*$N$110)/(1-tech_proj!AK598))</f>
        <v>0</v>
      </c>
      <c r="AL1658" s="119">
        <f>IF(tech_base!$T194&gt;AL$1465,"",(tech_base!$J194/tech_proj!AL318*0.086*$N$110)/(1-tech_proj!AL598))</f>
        <v>0</v>
      </c>
      <c r="AM1658" s="119">
        <f>IF(tech_base!$T194&gt;AM$1465,"",(tech_base!$J194/tech_proj!AM318*0.086*$N$110)/(1-tech_proj!AM598))</f>
        <v>0</v>
      </c>
      <c r="AN1658" s="119">
        <f>IF(tech_base!$T194&gt;AN$1465,"",(tech_base!$J194/tech_proj!AN318*0.086*$N$110)/(1-tech_proj!AN598))</f>
        <v>0</v>
      </c>
      <c r="AO1658" s="119">
        <f>IF(tech_base!$T194&gt;AO$1465,"",(tech_base!$J194/tech_proj!AO318*0.086*$N$110)/(1-tech_proj!AO598))</f>
        <v>0</v>
      </c>
      <c r="AP1658" s="119">
        <f>IF(tech_base!$T194&gt;AP$1465,"",(tech_base!$J194/tech_proj!AP318*0.086*$N$110)/(1-tech_proj!AP598))</f>
        <v>0</v>
      </c>
      <c r="AQ1658" s="119">
        <f>IF(tech_base!$T194&gt;AQ$1465,"",(tech_base!$J194/tech_proj!AQ318*0.086*$N$110)/(1-tech_proj!AQ598))</f>
        <v>0</v>
      </c>
      <c r="AR1658" s="119">
        <f>IF(tech_base!$T194&gt;AR$1465,"",(tech_base!$J194/tech_proj!AR318*0.086*$N$110)/(1-tech_proj!AR598))</f>
        <v>0</v>
      </c>
      <c r="AS1658" s="119">
        <f>IF(tech_base!$T194&gt;AS$1465,"",(tech_base!$J194/tech_proj!AS318*0.086*$N$110)/(1-tech_proj!AS598))</f>
        <v>0</v>
      </c>
      <c r="AT1658" s="119">
        <f>IF(tech_base!$T194&gt;AT$1465,"",(tech_base!$J194/tech_proj!AT318*0.086*$N$110)/(1-tech_proj!AT598))</f>
        <v>0</v>
      </c>
      <c r="AU1658" s="119">
        <f>IF(tech_base!$T194&gt;AU$1465,"",(tech_base!$J194/tech_proj!AU318*0.086*$N$110)/(1-tech_proj!AU598))</f>
        <v>0</v>
      </c>
      <c r="AV1658" s="119">
        <f>IF(tech_base!$T194&gt;AV$1465,"",(tech_base!$J194/tech_proj!AV318*0.086*$N$110)/(1-tech_proj!AV598))</f>
        <v>0</v>
      </c>
      <c r="AW1658" s="119">
        <f>IF(tech_base!$T194&gt;AW$1465,"",(tech_base!$J194/tech_proj!AW318*0.086*$N$110)/(1-tech_proj!AW598))</f>
        <v>0</v>
      </c>
      <c r="AX1658" s="120">
        <f>IF(tech_base!$T194&gt;AX$1465,"",(tech_base!$J194/tech_proj!AX318*0.086*$N$110)/(1-tech_proj!AX598))</f>
        <v>0</v>
      </c>
    </row>
    <row r="1659" spans="1:50" x14ac:dyDescent="0.25">
      <c r="A1659" s="356"/>
      <c r="B1659" s="376"/>
      <c r="C1659" s="361" t="s">
        <v>14</v>
      </c>
      <c r="D1659" s="58" t="s">
        <v>7</v>
      </c>
      <c r="E1659" s="164" t="str">
        <f>A1639&amp;"/"&amp;B1655&amp;"/"&amp;C1659&amp;"/"&amp;D1659</f>
        <v>Fuel oil fired power plants/Steam turbine/CHP/L</v>
      </c>
      <c r="F1659" s="78" t="str">
        <f>A1639</f>
        <v>Fuel oil fired power plants</v>
      </c>
      <c r="G1659" s="78" t="str">
        <f>B1655</f>
        <v>Steam turbine</v>
      </c>
      <c r="H1659" s="78" t="str">
        <f>C1659</f>
        <v>CHP</v>
      </c>
      <c r="I1659" s="165" t="str">
        <f t="shared" ref="I1659:I1722" si="380">D1659</f>
        <v>L</v>
      </c>
      <c r="J1659" s="123">
        <f>IF(tech_base!$T195&gt;J$1465,"",(tech_base!$J195/tech_proj!J319*0.086*$N$110)/(1-tech_proj!J599))</f>
        <v>0</v>
      </c>
      <c r="K1659" s="123">
        <f>IF(tech_base!$T195&gt;K$1465,"",(tech_base!$J195/tech_proj!K319*0.086*$N$110)/(1-tech_proj!K599))</f>
        <v>0</v>
      </c>
      <c r="L1659" s="123">
        <f>IF(tech_base!$T195&gt;L$1465,"",(tech_base!$J195/tech_proj!L319*0.086*$N$110)/(1-tech_proj!L599))</f>
        <v>0</v>
      </c>
      <c r="M1659" s="123">
        <f>IF(tech_base!$T195&gt;M$1465,"",(tech_base!$J195/tech_proj!M319*0.086*$N$110)/(1-tech_proj!M599))</f>
        <v>0</v>
      </c>
      <c r="N1659" s="123">
        <f>IF(tech_base!$T195&gt;N$1465,"",(tech_base!$J195/tech_proj!N319*0.086*$N$110)/(1-tech_proj!N599))</f>
        <v>0</v>
      </c>
      <c r="O1659" s="123">
        <f>IF(tech_base!$T195&gt;O$1465,"",(tech_base!$J195/tech_proj!O319*0.086*$N$110)/(1-tech_proj!O599))</f>
        <v>0</v>
      </c>
      <c r="P1659" s="123">
        <f>IF(tech_base!$T195&gt;P$1465,"",(tech_base!$J195/tech_proj!P319*0.086*$N$110)/(1-tech_proj!P599))</f>
        <v>0</v>
      </c>
      <c r="Q1659" s="123">
        <f>IF(tech_base!$T195&gt;Q$1465,"",(tech_base!$J195/tech_proj!Q319*0.086*$N$110)/(1-tech_proj!Q599))</f>
        <v>0</v>
      </c>
      <c r="R1659" s="123">
        <f>IF(tech_base!$T195&gt;R$1465,"",(tech_base!$J195/tech_proj!R319*0.086*$N$110)/(1-tech_proj!R599))</f>
        <v>0</v>
      </c>
      <c r="S1659" s="123">
        <f>IF(tech_base!$T195&gt;S$1465,"",(tech_base!$J195/tech_proj!S319*0.086*$N$110)/(1-tech_proj!S599))</f>
        <v>0</v>
      </c>
      <c r="T1659" s="123">
        <f>IF(tech_base!$T195&gt;T$1465,"",(tech_base!$J195/tech_proj!T319*0.086*$N$110)/(1-tech_proj!T599))</f>
        <v>0</v>
      </c>
      <c r="U1659" s="123">
        <f>IF(tech_base!$T195&gt;U$1465,"",(tech_base!$J195/tech_proj!U319*0.086*$N$110)/(1-tech_proj!U599))</f>
        <v>0</v>
      </c>
      <c r="V1659" s="123">
        <f>IF(tech_base!$T195&gt;V$1465,"",(tech_base!$J195/tech_proj!V319*0.086*$N$110)/(1-tech_proj!V599))</f>
        <v>0</v>
      </c>
      <c r="W1659" s="123">
        <f>IF(tech_base!$T195&gt;W$1465,"",(tech_base!$J195/tech_proj!W319*0.086*$N$110)/(1-tech_proj!W599))</f>
        <v>0</v>
      </c>
      <c r="X1659" s="123">
        <f>IF(tech_base!$T195&gt;X$1465,"",(tech_base!$J195/tech_proj!X319*0.086*$N$110)/(1-tech_proj!X599))</f>
        <v>0</v>
      </c>
      <c r="Y1659" s="123">
        <f>IF(tech_base!$T195&gt;Y$1465,"",(tech_base!$J195/tech_proj!Y319*0.086*$N$110)/(1-tech_proj!Y599))</f>
        <v>0</v>
      </c>
      <c r="Z1659" s="123">
        <f>IF(tech_base!$T195&gt;Z$1465,"",(tech_base!$J195/tech_proj!Z319*0.086*$N$110)/(1-tech_proj!Z599))</f>
        <v>0</v>
      </c>
      <c r="AA1659" s="123">
        <f>IF(tech_base!$T195&gt;AA$1465,"",(tech_base!$J195/tech_proj!AA319*0.086*$N$110)/(1-tech_proj!AA599))</f>
        <v>0</v>
      </c>
      <c r="AB1659" s="123">
        <f>IF(tech_base!$T195&gt;AB$1465,"",(tech_base!$J195/tech_proj!AB319*0.086*$N$110)/(1-tech_proj!AB599))</f>
        <v>0</v>
      </c>
      <c r="AC1659" s="123">
        <f>IF(tech_base!$T195&gt;AC$1465,"",(tech_base!$J195/tech_proj!AC319*0.086*$N$110)/(1-tech_proj!AC599))</f>
        <v>0</v>
      </c>
      <c r="AD1659" s="123">
        <f>IF(tech_base!$T195&gt;AD$1465,"",(tech_base!$J195/tech_proj!AD319*0.086*$N$110)/(1-tech_proj!AD599))</f>
        <v>0</v>
      </c>
      <c r="AE1659" s="123">
        <f>IF(tech_base!$T195&gt;AE$1465,"",(tech_base!$J195/tech_proj!AE319*0.086*$N$110)/(1-tech_proj!AE599))</f>
        <v>0</v>
      </c>
      <c r="AF1659" s="123">
        <f>IF(tech_base!$T195&gt;AF$1465,"",(tech_base!$J195/tech_proj!AF319*0.086*$N$110)/(1-tech_proj!AF599))</f>
        <v>0</v>
      </c>
      <c r="AG1659" s="123">
        <f>IF(tech_base!$T195&gt;AG$1465,"",(tech_base!$J195/tech_proj!AG319*0.086*$N$110)/(1-tech_proj!AG599))</f>
        <v>0</v>
      </c>
      <c r="AH1659" s="123">
        <f>IF(tech_base!$T195&gt;AH$1465,"",(tech_base!$J195/tech_proj!AH319*0.086*$N$110)/(1-tech_proj!AH599))</f>
        <v>0</v>
      </c>
      <c r="AI1659" s="123">
        <f>IF(tech_base!$T195&gt;AI$1465,"",(tech_base!$J195/tech_proj!AI319*0.086*$N$110)/(1-tech_proj!AI599))</f>
        <v>0</v>
      </c>
      <c r="AJ1659" s="123">
        <f>IF(tech_base!$T195&gt;AJ$1465,"",(tech_base!$J195/tech_proj!AJ319*0.086*$N$110)/(1-tech_proj!AJ599))</f>
        <v>0</v>
      </c>
      <c r="AK1659" s="123">
        <f>IF(tech_base!$T195&gt;AK$1465,"",(tech_base!$J195/tech_proj!AK319*0.086*$N$110)/(1-tech_proj!AK599))</f>
        <v>0</v>
      </c>
      <c r="AL1659" s="123">
        <f>IF(tech_base!$T195&gt;AL$1465,"",(tech_base!$J195/tech_proj!AL319*0.086*$N$110)/(1-tech_proj!AL599))</f>
        <v>0</v>
      </c>
      <c r="AM1659" s="123">
        <f>IF(tech_base!$T195&gt;AM$1465,"",(tech_base!$J195/tech_proj!AM319*0.086*$N$110)/(1-tech_proj!AM599))</f>
        <v>0</v>
      </c>
      <c r="AN1659" s="123">
        <f>IF(tech_base!$T195&gt;AN$1465,"",(tech_base!$J195/tech_proj!AN319*0.086*$N$110)/(1-tech_proj!AN599))</f>
        <v>0</v>
      </c>
      <c r="AO1659" s="123">
        <f>IF(tech_base!$T195&gt;AO$1465,"",(tech_base!$J195/tech_proj!AO319*0.086*$N$110)/(1-tech_proj!AO599))</f>
        <v>0</v>
      </c>
      <c r="AP1659" s="123">
        <f>IF(tech_base!$T195&gt;AP$1465,"",(tech_base!$J195/tech_proj!AP319*0.086*$N$110)/(1-tech_proj!AP599))</f>
        <v>0</v>
      </c>
      <c r="AQ1659" s="123">
        <f>IF(tech_base!$T195&gt;AQ$1465,"",(tech_base!$J195/tech_proj!AQ319*0.086*$N$110)/(1-tech_proj!AQ599))</f>
        <v>0</v>
      </c>
      <c r="AR1659" s="123">
        <f>IF(tech_base!$T195&gt;AR$1465,"",(tech_base!$J195/tech_proj!AR319*0.086*$N$110)/(1-tech_proj!AR599))</f>
        <v>0</v>
      </c>
      <c r="AS1659" s="123">
        <f>IF(tech_base!$T195&gt;AS$1465,"",(tech_base!$J195/tech_proj!AS319*0.086*$N$110)/(1-tech_proj!AS599))</f>
        <v>0</v>
      </c>
      <c r="AT1659" s="123">
        <f>IF(tech_base!$T195&gt;AT$1465,"",(tech_base!$J195/tech_proj!AT319*0.086*$N$110)/(1-tech_proj!AT599))</f>
        <v>0</v>
      </c>
      <c r="AU1659" s="123">
        <f>IF(tech_base!$T195&gt;AU$1465,"",(tech_base!$J195/tech_proj!AU319*0.086*$N$110)/(1-tech_proj!AU599))</f>
        <v>0</v>
      </c>
      <c r="AV1659" s="123">
        <f>IF(tech_base!$T195&gt;AV$1465,"",(tech_base!$J195/tech_proj!AV319*0.086*$N$110)/(1-tech_proj!AV599))</f>
        <v>0</v>
      </c>
      <c r="AW1659" s="123">
        <f>IF(tech_base!$T195&gt;AW$1465,"",(tech_base!$J195/tech_proj!AW319*0.086*$N$110)/(1-tech_proj!AW599))</f>
        <v>0</v>
      </c>
      <c r="AX1659" s="124">
        <f>IF(tech_base!$T195&gt;AX$1465,"",(tech_base!$J195/tech_proj!AX319*0.086*$N$110)/(1-tech_proj!AX599))</f>
        <v>0</v>
      </c>
    </row>
    <row r="1660" spans="1:50" x14ac:dyDescent="0.25">
      <c r="A1660" s="356"/>
      <c r="B1660" s="376"/>
      <c r="C1660" s="378"/>
      <c r="D1660" s="2" t="s">
        <v>8</v>
      </c>
      <c r="E1660" s="160" t="str">
        <f>A1639&amp;"/"&amp;B1655&amp;"/"&amp;C1659&amp;"/"&amp;D1660</f>
        <v>Fuel oil fired power plants/Steam turbine/CHP/M</v>
      </c>
      <c r="F1660" s="76" t="str">
        <f>A1639</f>
        <v>Fuel oil fired power plants</v>
      </c>
      <c r="G1660" s="76" t="str">
        <f>B1655</f>
        <v>Steam turbine</v>
      </c>
      <c r="H1660" s="76" t="str">
        <f>C1659</f>
        <v>CHP</v>
      </c>
      <c r="I1660" s="161" t="str">
        <f t="shared" si="380"/>
        <v>M</v>
      </c>
      <c r="J1660" s="119">
        <f>IF(tech_base!$T196&gt;J$1465,"",(tech_base!$J196/tech_proj!J320*0.086*$N$110)/(1-tech_proj!J600))</f>
        <v>0</v>
      </c>
      <c r="K1660" s="119">
        <f>IF(tech_base!$T196&gt;K$1465,"",(tech_base!$J196/tech_proj!K320*0.086*$N$110)/(1-tech_proj!K600))</f>
        <v>0</v>
      </c>
      <c r="L1660" s="119">
        <f>IF(tech_base!$T196&gt;L$1465,"",(tech_base!$J196/tech_proj!L320*0.086*$N$110)/(1-tech_proj!L600))</f>
        <v>0</v>
      </c>
      <c r="M1660" s="119">
        <f>IF(tech_base!$T196&gt;M$1465,"",(tech_base!$J196/tech_proj!M320*0.086*$N$110)/(1-tech_proj!M600))</f>
        <v>0</v>
      </c>
      <c r="N1660" s="119">
        <f>IF(tech_base!$T196&gt;N$1465,"",(tech_base!$J196/tech_proj!N320*0.086*$N$110)/(1-tech_proj!N600))</f>
        <v>0</v>
      </c>
      <c r="O1660" s="119">
        <f>IF(tech_base!$T196&gt;O$1465,"",(tech_base!$J196/tech_proj!O320*0.086*$N$110)/(1-tech_proj!O600))</f>
        <v>0</v>
      </c>
      <c r="P1660" s="119">
        <f>IF(tech_base!$T196&gt;P$1465,"",(tech_base!$J196/tech_proj!P320*0.086*$N$110)/(1-tech_proj!P600))</f>
        <v>0</v>
      </c>
      <c r="Q1660" s="119">
        <f>IF(tech_base!$T196&gt;Q$1465,"",(tech_base!$J196/tech_proj!Q320*0.086*$N$110)/(1-tech_proj!Q600))</f>
        <v>0</v>
      </c>
      <c r="R1660" s="119">
        <f>IF(tech_base!$T196&gt;R$1465,"",(tech_base!$J196/tech_proj!R320*0.086*$N$110)/(1-tech_proj!R600))</f>
        <v>0</v>
      </c>
      <c r="S1660" s="119">
        <f>IF(tech_base!$T196&gt;S$1465,"",(tech_base!$J196/tech_proj!S320*0.086*$N$110)/(1-tech_proj!S600))</f>
        <v>0</v>
      </c>
      <c r="T1660" s="119">
        <f>IF(tech_base!$T196&gt;T$1465,"",(tech_base!$J196/tech_proj!T320*0.086*$N$110)/(1-tech_proj!T600))</f>
        <v>0</v>
      </c>
      <c r="U1660" s="119">
        <f>IF(tech_base!$T196&gt;U$1465,"",(tech_base!$J196/tech_proj!U320*0.086*$N$110)/(1-tech_proj!U600))</f>
        <v>0</v>
      </c>
      <c r="V1660" s="119">
        <f>IF(tech_base!$T196&gt;V$1465,"",(tech_base!$J196/tech_proj!V320*0.086*$N$110)/(1-tech_proj!V600))</f>
        <v>0</v>
      </c>
      <c r="W1660" s="119">
        <f>IF(tech_base!$T196&gt;W$1465,"",(tech_base!$J196/tech_proj!W320*0.086*$N$110)/(1-tech_proj!W600))</f>
        <v>0</v>
      </c>
      <c r="X1660" s="119">
        <f>IF(tech_base!$T196&gt;X$1465,"",(tech_base!$J196/tech_proj!X320*0.086*$N$110)/(1-tech_proj!X600))</f>
        <v>0</v>
      </c>
      <c r="Y1660" s="119">
        <f>IF(tech_base!$T196&gt;Y$1465,"",(tech_base!$J196/tech_proj!Y320*0.086*$N$110)/(1-tech_proj!Y600))</f>
        <v>0</v>
      </c>
      <c r="Z1660" s="119">
        <f>IF(tech_base!$T196&gt;Z$1465,"",(tech_base!$J196/tech_proj!Z320*0.086*$N$110)/(1-tech_proj!Z600))</f>
        <v>0</v>
      </c>
      <c r="AA1660" s="119">
        <f>IF(tech_base!$T196&gt;AA$1465,"",(tech_base!$J196/tech_proj!AA320*0.086*$N$110)/(1-tech_proj!AA600))</f>
        <v>0</v>
      </c>
      <c r="AB1660" s="119">
        <f>IF(tech_base!$T196&gt;AB$1465,"",(tech_base!$J196/tech_proj!AB320*0.086*$N$110)/(1-tech_proj!AB600))</f>
        <v>0</v>
      </c>
      <c r="AC1660" s="119">
        <f>IF(tech_base!$T196&gt;AC$1465,"",(tech_base!$J196/tech_proj!AC320*0.086*$N$110)/(1-tech_proj!AC600))</f>
        <v>0</v>
      </c>
      <c r="AD1660" s="119">
        <f>IF(tech_base!$T196&gt;AD$1465,"",(tech_base!$J196/tech_proj!AD320*0.086*$N$110)/(1-tech_proj!AD600))</f>
        <v>0</v>
      </c>
      <c r="AE1660" s="119">
        <f>IF(tech_base!$T196&gt;AE$1465,"",(tech_base!$J196/tech_proj!AE320*0.086*$N$110)/(1-tech_proj!AE600))</f>
        <v>0</v>
      </c>
      <c r="AF1660" s="119">
        <f>IF(tech_base!$T196&gt;AF$1465,"",(tech_base!$J196/tech_proj!AF320*0.086*$N$110)/(1-tech_proj!AF600))</f>
        <v>0</v>
      </c>
      <c r="AG1660" s="119">
        <f>IF(tech_base!$T196&gt;AG$1465,"",(tech_base!$J196/tech_proj!AG320*0.086*$N$110)/(1-tech_proj!AG600))</f>
        <v>0</v>
      </c>
      <c r="AH1660" s="119">
        <f>IF(tech_base!$T196&gt;AH$1465,"",(tech_base!$J196/tech_proj!AH320*0.086*$N$110)/(1-tech_proj!AH600))</f>
        <v>0</v>
      </c>
      <c r="AI1660" s="119">
        <f>IF(tech_base!$T196&gt;AI$1465,"",(tech_base!$J196/tech_proj!AI320*0.086*$N$110)/(1-tech_proj!AI600))</f>
        <v>0</v>
      </c>
      <c r="AJ1660" s="119">
        <f>IF(tech_base!$T196&gt;AJ$1465,"",(tech_base!$J196/tech_proj!AJ320*0.086*$N$110)/(1-tech_proj!AJ600))</f>
        <v>0</v>
      </c>
      <c r="AK1660" s="119">
        <f>IF(tech_base!$T196&gt;AK$1465,"",(tech_base!$J196/tech_proj!AK320*0.086*$N$110)/(1-tech_proj!AK600))</f>
        <v>0</v>
      </c>
      <c r="AL1660" s="119">
        <f>IF(tech_base!$T196&gt;AL$1465,"",(tech_base!$J196/tech_proj!AL320*0.086*$N$110)/(1-tech_proj!AL600))</f>
        <v>0</v>
      </c>
      <c r="AM1660" s="119">
        <f>IF(tech_base!$T196&gt;AM$1465,"",(tech_base!$J196/tech_proj!AM320*0.086*$N$110)/(1-tech_proj!AM600))</f>
        <v>0</v>
      </c>
      <c r="AN1660" s="119">
        <f>IF(tech_base!$T196&gt;AN$1465,"",(tech_base!$J196/tech_proj!AN320*0.086*$N$110)/(1-tech_proj!AN600))</f>
        <v>0</v>
      </c>
      <c r="AO1660" s="119">
        <f>IF(tech_base!$T196&gt;AO$1465,"",(tech_base!$J196/tech_proj!AO320*0.086*$N$110)/(1-tech_proj!AO600))</f>
        <v>0</v>
      </c>
      <c r="AP1660" s="119">
        <f>IF(tech_base!$T196&gt;AP$1465,"",(tech_base!$J196/tech_proj!AP320*0.086*$N$110)/(1-tech_proj!AP600))</f>
        <v>0</v>
      </c>
      <c r="AQ1660" s="119">
        <f>IF(tech_base!$T196&gt;AQ$1465,"",(tech_base!$J196/tech_proj!AQ320*0.086*$N$110)/(1-tech_proj!AQ600))</f>
        <v>0</v>
      </c>
      <c r="AR1660" s="119">
        <f>IF(tech_base!$T196&gt;AR$1465,"",(tech_base!$J196/tech_proj!AR320*0.086*$N$110)/(1-tech_proj!AR600))</f>
        <v>0</v>
      </c>
      <c r="AS1660" s="119">
        <f>IF(tech_base!$T196&gt;AS$1465,"",(tech_base!$J196/tech_proj!AS320*0.086*$N$110)/(1-tech_proj!AS600))</f>
        <v>0</v>
      </c>
      <c r="AT1660" s="119">
        <f>IF(tech_base!$T196&gt;AT$1465,"",(tech_base!$J196/tech_proj!AT320*0.086*$N$110)/(1-tech_proj!AT600))</f>
        <v>0</v>
      </c>
      <c r="AU1660" s="119">
        <f>IF(tech_base!$T196&gt;AU$1465,"",(tech_base!$J196/tech_proj!AU320*0.086*$N$110)/(1-tech_proj!AU600))</f>
        <v>0</v>
      </c>
      <c r="AV1660" s="119">
        <f>IF(tech_base!$T196&gt;AV$1465,"",(tech_base!$J196/tech_proj!AV320*0.086*$N$110)/(1-tech_proj!AV600))</f>
        <v>0</v>
      </c>
      <c r="AW1660" s="119">
        <f>IF(tech_base!$T196&gt;AW$1465,"",(tech_base!$J196/tech_proj!AW320*0.086*$N$110)/(1-tech_proj!AW600))</f>
        <v>0</v>
      </c>
      <c r="AX1660" s="120">
        <f>IF(tech_base!$T196&gt;AX$1465,"",(tech_base!$J196/tech_proj!AX320*0.086*$N$110)/(1-tech_proj!AX600))</f>
        <v>0</v>
      </c>
    </row>
    <row r="1661" spans="1:50" x14ac:dyDescent="0.25">
      <c r="A1661" s="356"/>
      <c r="B1661" s="376"/>
      <c r="C1661" s="378"/>
      <c r="D1661" s="2" t="s">
        <v>10</v>
      </c>
      <c r="E1661" s="160" t="str">
        <f>A1639&amp;"/"&amp;B1655&amp;"/"&amp;C1659&amp;"/"&amp;D1661</f>
        <v>Fuel oil fired power plants/Steam turbine/CHP/S</v>
      </c>
      <c r="F1661" s="76" t="str">
        <f>A1639</f>
        <v>Fuel oil fired power plants</v>
      </c>
      <c r="G1661" s="76" t="str">
        <f>B1655</f>
        <v>Steam turbine</v>
      </c>
      <c r="H1661" s="76" t="str">
        <f>C1659</f>
        <v>CHP</v>
      </c>
      <c r="I1661" s="161" t="str">
        <f t="shared" si="380"/>
        <v>S</v>
      </c>
      <c r="J1661" s="119">
        <f>IF(tech_base!$T197&gt;J$1465,"",(tech_base!$J197/tech_proj!J321*0.086*$N$110)/(1-tech_proj!J601))</f>
        <v>0</v>
      </c>
      <c r="K1661" s="119">
        <f>IF(tech_base!$T197&gt;K$1465,"",(tech_base!$J197/tech_proj!K321*0.086*$N$110)/(1-tech_proj!K601))</f>
        <v>0</v>
      </c>
      <c r="L1661" s="119">
        <f>IF(tech_base!$T197&gt;L$1465,"",(tech_base!$J197/tech_proj!L321*0.086*$N$110)/(1-tech_proj!L601))</f>
        <v>0</v>
      </c>
      <c r="M1661" s="119">
        <f>IF(tech_base!$T197&gt;M$1465,"",(tech_base!$J197/tech_proj!M321*0.086*$N$110)/(1-tech_proj!M601))</f>
        <v>0</v>
      </c>
      <c r="N1661" s="119">
        <f>IF(tech_base!$T197&gt;N$1465,"",(tech_base!$J197/tech_proj!N321*0.086*$N$110)/(1-tech_proj!N601))</f>
        <v>0</v>
      </c>
      <c r="O1661" s="119">
        <f>IF(tech_base!$T197&gt;O$1465,"",(tech_base!$J197/tech_proj!O321*0.086*$N$110)/(1-tech_proj!O601))</f>
        <v>0</v>
      </c>
      <c r="P1661" s="119">
        <f>IF(tech_base!$T197&gt;P$1465,"",(tech_base!$J197/tech_proj!P321*0.086*$N$110)/(1-tech_proj!P601))</f>
        <v>0</v>
      </c>
      <c r="Q1661" s="119">
        <f>IF(tech_base!$T197&gt;Q$1465,"",(tech_base!$J197/tech_proj!Q321*0.086*$N$110)/(1-tech_proj!Q601))</f>
        <v>0</v>
      </c>
      <c r="R1661" s="119">
        <f>IF(tech_base!$T197&gt;R$1465,"",(tech_base!$J197/tech_proj!R321*0.086*$N$110)/(1-tech_proj!R601))</f>
        <v>0</v>
      </c>
      <c r="S1661" s="119">
        <f>IF(tech_base!$T197&gt;S$1465,"",(tech_base!$J197/tech_proj!S321*0.086*$N$110)/(1-tech_proj!S601))</f>
        <v>0</v>
      </c>
      <c r="T1661" s="119">
        <f>IF(tech_base!$T197&gt;T$1465,"",(tech_base!$J197/tech_proj!T321*0.086*$N$110)/(1-tech_proj!T601))</f>
        <v>0</v>
      </c>
      <c r="U1661" s="119">
        <f>IF(tech_base!$T197&gt;U$1465,"",(tech_base!$J197/tech_proj!U321*0.086*$N$110)/(1-tech_proj!U601))</f>
        <v>0</v>
      </c>
      <c r="V1661" s="119">
        <f>IF(tech_base!$T197&gt;V$1465,"",(tech_base!$J197/tech_proj!V321*0.086*$N$110)/(1-tech_proj!V601))</f>
        <v>0</v>
      </c>
      <c r="W1661" s="119">
        <f>IF(tech_base!$T197&gt;W$1465,"",(tech_base!$J197/tech_proj!W321*0.086*$N$110)/(1-tech_proj!W601))</f>
        <v>0</v>
      </c>
      <c r="X1661" s="119">
        <f>IF(tech_base!$T197&gt;X$1465,"",(tech_base!$J197/tech_proj!X321*0.086*$N$110)/(1-tech_proj!X601))</f>
        <v>0</v>
      </c>
      <c r="Y1661" s="119">
        <f>IF(tech_base!$T197&gt;Y$1465,"",(tech_base!$J197/tech_proj!Y321*0.086*$N$110)/(1-tech_proj!Y601))</f>
        <v>0</v>
      </c>
      <c r="Z1661" s="119">
        <f>IF(tech_base!$T197&gt;Z$1465,"",(tech_base!$J197/tech_proj!Z321*0.086*$N$110)/(1-tech_proj!Z601))</f>
        <v>0</v>
      </c>
      <c r="AA1661" s="119">
        <f>IF(tech_base!$T197&gt;AA$1465,"",(tech_base!$J197/tech_proj!AA321*0.086*$N$110)/(1-tech_proj!AA601))</f>
        <v>0</v>
      </c>
      <c r="AB1661" s="119">
        <f>IF(tech_base!$T197&gt;AB$1465,"",(tech_base!$J197/tech_proj!AB321*0.086*$N$110)/(1-tech_proj!AB601))</f>
        <v>0</v>
      </c>
      <c r="AC1661" s="119">
        <f>IF(tech_base!$T197&gt;AC$1465,"",(tech_base!$J197/tech_proj!AC321*0.086*$N$110)/(1-tech_proj!AC601))</f>
        <v>0</v>
      </c>
      <c r="AD1661" s="119">
        <f>IF(tech_base!$T197&gt;AD$1465,"",(tech_base!$J197/tech_proj!AD321*0.086*$N$110)/(1-tech_proj!AD601))</f>
        <v>0</v>
      </c>
      <c r="AE1661" s="119">
        <f>IF(tech_base!$T197&gt;AE$1465,"",(tech_base!$J197/tech_proj!AE321*0.086*$N$110)/(1-tech_proj!AE601))</f>
        <v>0</v>
      </c>
      <c r="AF1661" s="119">
        <f>IF(tech_base!$T197&gt;AF$1465,"",(tech_base!$J197/tech_proj!AF321*0.086*$N$110)/(1-tech_proj!AF601))</f>
        <v>0</v>
      </c>
      <c r="AG1661" s="119">
        <f>IF(tech_base!$T197&gt;AG$1465,"",(tech_base!$J197/tech_proj!AG321*0.086*$N$110)/(1-tech_proj!AG601))</f>
        <v>0</v>
      </c>
      <c r="AH1661" s="119">
        <f>IF(tech_base!$T197&gt;AH$1465,"",(tech_base!$J197/tech_proj!AH321*0.086*$N$110)/(1-tech_proj!AH601))</f>
        <v>0</v>
      </c>
      <c r="AI1661" s="119">
        <f>IF(tech_base!$T197&gt;AI$1465,"",(tech_base!$J197/tech_proj!AI321*0.086*$N$110)/(1-tech_proj!AI601))</f>
        <v>0</v>
      </c>
      <c r="AJ1661" s="119">
        <f>IF(tech_base!$T197&gt;AJ$1465,"",(tech_base!$J197/tech_proj!AJ321*0.086*$N$110)/(1-tech_proj!AJ601))</f>
        <v>0</v>
      </c>
      <c r="AK1661" s="119">
        <f>IF(tech_base!$T197&gt;AK$1465,"",(tech_base!$J197/tech_proj!AK321*0.086*$N$110)/(1-tech_proj!AK601))</f>
        <v>0</v>
      </c>
      <c r="AL1661" s="119">
        <f>IF(tech_base!$T197&gt;AL$1465,"",(tech_base!$J197/tech_proj!AL321*0.086*$N$110)/(1-tech_proj!AL601))</f>
        <v>0</v>
      </c>
      <c r="AM1661" s="119">
        <f>IF(tech_base!$T197&gt;AM$1465,"",(tech_base!$J197/tech_proj!AM321*0.086*$N$110)/(1-tech_proj!AM601))</f>
        <v>0</v>
      </c>
      <c r="AN1661" s="119">
        <f>IF(tech_base!$T197&gt;AN$1465,"",(tech_base!$J197/tech_proj!AN321*0.086*$N$110)/(1-tech_proj!AN601))</f>
        <v>0</v>
      </c>
      <c r="AO1661" s="119">
        <f>IF(tech_base!$T197&gt;AO$1465,"",(tech_base!$J197/tech_proj!AO321*0.086*$N$110)/(1-tech_proj!AO601))</f>
        <v>0</v>
      </c>
      <c r="AP1661" s="119">
        <f>IF(tech_base!$T197&gt;AP$1465,"",(tech_base!$J197/tech_proj!AP321*0.086*$N$110)/(1-tech_proj!AP601))</f>
        <v>0</v>
      </c>
      <c r="AQ1661" s="119">
        <f>IF(tech_base!$T197&gt;AQ$1465,"",(tech_base!$J197/tech_proj!AQ321*0.086*$N$110)/(1-tech_proj!AQ601))</f>
        <v>0</v>
      </c>
      <c r="AR1661" s="119">
        <f>IF(tech_base!$T197&gt;AR$1465,"",(tech_base!$J197/tech_proj!AR321*0.086*$N$110)/(1-tech_proj!AR601))</f>
        <v>0</v>
      </c>
      <c r="AS1661" s="119">
        <f>IF(tech_base!$T197&gt;AS$1465,"",(tech_base!$J197/tech_proj!AS321*0.086*$N$110)/(1-tech_proj!AS601))</f>
        <v>0</v>
      </c>
      <c r="AT1661" s="119">
        <f>IF(tech_base!$T197&gt;AT$1465,"",(tech_base!$J197/tech_proj!AT321*0.086*$N$110)/(1-tech_proj!AT601))</f>
        <v>0</v>
      </c>
      <c r="AU1661" s="119">
        <f>IF(tech_base!$T197&gt;AU$1465,"",(tech_base!$J197/tech_proj!AU321*0.086*$N$110)/(1-tech_proj!AU601))</f>
        <v>0</v>
      </c>
      <c r="AV1661" s="119">
        <f>IF(tech_base!$T197&gt;AV$1465,"",(tech_base!$J197/tech_proj!AV321*0.086*$N$110)/(1-tech_proj!AV601))</f>
        <v>0</v>
      </c>
      <c r="AW1661" s="119">
        <f>IF(tech_base!$T197&gt;AW$1465,"",(tech_base!$J197/tech_proj!AW321*0.086*$N$110)/(1-tech_proj!AW601))</f>
        <v>0</v>
      </c>
      <c r="AX1661" s="120">
        <f>IF(tech_base!$T197&gt;AX$1465,"",(tech_base!$J197/tech_proj!AX321*0.086*$N$110)/(1-tech_proj!AX601))</f>
        <v>0</v>
      </c>
    </row>
    <row r="1662" spans="1:50" x14ac:dyDescent="0.25">
      <c r="A1662" s="356"/>
      <c r="B1662" s="376"/>
      <c r="C1662" s="379"/>
      <c r="D1662" s="59" t="s">
        <v>20</v>
      </c>
      <c r="E1662" s="166" t="str">
        <f>A1639&amp;"/"&amp;B1655&amp;"/"&amp;C1659&amp;"/"&amp;D1662</f>
        <v>Fuel oil fired power plants/Steam turbine/CHP/XS</v>
      </c>
      <c r="F1662" s="79" t="str">
        <f>A1639</f>
        <v>Fuel oil fired power plants</v>
      </c>
      <c r="G1662" s="79" t="str">
        <f>B1655</f>
        <v>Steam turbine</v>
      </c>
      <c r="H1662" s="79" t="str">
        <f>C1659</f>
        <v>CHP</v>
      </c>
      <c r="I1662" s="167" t="str">
        <f t="shared" si="380"/>
        <v>XS</v>
      </c>
      <c r="J1662" s="125">
        <f>IF(tech_base!$T198&gt;J$1465,"",(tech_base!$J198/tech_proj!J322*0.086*$N$110)/(1-tech_proj!J602))</f>
        <v>0</v>
      </c>
      <c r="K1662" s="125">
        <f>IF(tech_base!$T198&gt;K$1465,"",(tech_base!$J198/tech_proj!K322*0.086*$N$110)/(1-tech_proj!K602))</f>
        <v>0</v>
      </c>
      <c r="L1662" s="125">
        <f>IF(tech_base!$T198&gt;L$1465,"",(tech_base!$J198/tech_proj!L322*0.086*$N$110)/(1-tech_proj!L602))</f>
        <v>0</v>
      </c>
      <c r="M1662" s="125">
        <f>IF(tech_base!$T198&gt;M$1465,"",(tech_base!$J198/tech_proj!M322*0.086*$N$110)/(1-tech_proj!M602))</f>
        <v>0</v>
      </c>
      <c r="N1662" s="125">
        <f>IF(tech_base!$T198&gt;N$1465,"",(tech_base!$J198/tech_proj!N322*0.086*$N$110)/(1-tech_proj!N602))</f>
        <v>0</v>
      </c>
      <c r="O1662" s="125">
        <f>IF(tech_base!$T198&gt;O$1465,"",(tech_base!$J198/tech_proj!O322*0.086*$N$110)/(1-tech_proj!O602))</f>
        <v>0</v>
      </c>
      <c r="P1662" s="125">
        <f>IF(tech_base!$T198&gt;P$1465,"",(tech_base!$J198/tech_proj!P322*0.086*$N$110)/(1-tech_proj!P602))</f>
        <v>0</v>
      </c>
      <c r="Q1662" s="125">
        <f>IF(tech_base!$T198&gt;Q$1465,"",(tech_base!$J198/tech_proj!Q322*0.086*$N$110)/(1-tech_proj!Q602))</f>
        <v>0</v>
      </c>
      <c r="R1662" s="125">
        <f>IF(tech_base!$T198&gt;R$1465,"",(tech_base!$J198/tech_proj!R322*0.086*$N$110)/(1-tech_proj!R602))</f>
        <v>0</v>
      </c>
      <c r="S1662" s="125">
        <f>IF(tech_base!$T198&gt;S$1465,"",(tech_base!$J198/tech_proj!S322*0.086*$N$110)/(1-tech_proj!S602))</f>
        <v>0</v>
      </c>
      <c r="T1662" s="125">
        <f>IF(tech_base!$T198&gt;T$1465,"",(tech_base!$J198/tech_proj!T322*0.086*$N$110)/(1-tech_proj!T602))</f>
        <v>0</v>
      </c>
      <c r="U1662" s="125">
        <f>IF(tech_base!$T198&gt;U$1465,"",(tech_base!$J198/tech_proj!U322*0.086*$N$110)/(1-tech_proj!U602))</f>
        <v>0</v>
      </c>
      <c r="V1662" s="125">
        <f>IF(tech_base!$T198&gt;V$1465,"",(tech_base!$J198/tech_proj!V322*0.086*$N$110)/(1-tech_proj!V602))</f>
        <v>0</v>
      </c>
      <c r="W1662" s="125">
        <f>IF(tech_base!$T198&gt;W$1465,"",(tech_base!$J198/tech_proj!W322*0.086*$N$110)/(1-tech_proj!W602))</f>
        <v>0</v>
      </c>
      <c r="X1662" s="125">
        <f>IF(tech_base!$T198&gt;X$1465,"",(tech_base!$J198/tech_proj!X322*0.086*$N$110)/(1-tech_proj!X602))</f>
        <v>0</v>
      </c>
      <c r="Y1662" s="125">
        <f>IF(tech_base!$T198&gt;Y$1465,"",(tech_base!$J198/tech_proj!Y322*0.086*$N$110)/(1-tech_proj!Y602))</f>
        <v>0</v>
      </c>
      <c r="Z1662" s="125">
        <f>IF(tech_base!$T198&gt;Z$1465,"",(tech_base!$J198/tech_proj!Z322*0.086*$N$110)/(1-tech_proj!Z602))</f>
        <v>0</v>
      </c>
      <c r="AA1662" s="125">
        <f>IF(tech_base!$T198&gt;AA$1465,"",(tech_base!$J198/tech_proj!AA322*0.086*$N$110)/(1-tech_proj!AA602))</f>
        <v>0</v>
      </c>
      <c r="AB1662" s="125">
        <f>IF(tech_base!$T198&gt;AB$1465,"",(tech_base!$J198/tech_proj!AB322*0.086*$N$110)/(1-tech_proj!AB602))</f>
        <v>0</v>
      </c>
      <c r="AC1662" s="125">
        <f>IF(tech_base!$T198&gt;AC$1465,"",(tech_base!$J198/tech_proj!AC322*0.086*$N$110)/(1-tech_proj!AC602))</f>
        <v>0</v>
      </c>
      <c r="AD1662" s="125">
        <f>IF(tech_base!$T198&gt;AD$1465,"",(tech_base!$J198/tech_proj!AD322*0.086*$N$110)/(1-tech_proj!AD602))</f>
        <v>0</v>
      </c>
      <c r="AE1662" s="125">
        <f>IF(tech_base!$T198&gt;AE$1465,"",(tech_base!$J198/tech_proj!AE322*0.086*$N$110)/(1-tech_proj!AE602))</f>
        <v>0</v>
      </c>
      <c r="AF1662" s="125">
        <f>IF(tech_base!$T198&gt;AF$1465,"",(tech_base!$J198/tech_proj!AF322*0.086*$N$110)/(1-tech_proj!AF602))</f>
        <v>0</v>
      </c>
      <c r="AG1662" s="125">
        <f>IF(tech_base!$T198&gt;AG$1465,"",(tech_base!$J198/tech_proj!AG322*0.086*$N$110)/(1-tech_proj!AG602))</f>
        <v>0</v>
      </c>
      <c r="AH1662" s="125">
        <f>IF(tech_base!$T198&gt;AH$1465,"",(tech_base!$J198/tech_proj!AH322*0.086*$N$110)/(1-tech_proj!AH602))</f>
        <v>0</v>
      </c>
      <c r="AI1662" s="125">
        <f>IF(tech_base!$T198&gt;AI$1465,"",(tech_base!$J198/tech_proj!AI322*0.086*$N$110)/(1-tech_proj!AI602))</f>
        <v>0</v>
      </c>
      <c r="AJ1662" s="125">
        <f>IF(tech_base!$T198&gt;AJ$1465,"",(tech_base!$J198/tech_proj!AJ322*0.086*$N$110)/(1-tech_proj!AJ602))</f>
        <v>0</v>
      </c>
      <c r="AK1662" s="125">
        <f>IF(tech_base!$T198&gt;AK$1465,"",(tech_base!$J198/tech_proj!AK322*0.086*$N$110)/(1-tech_proj!AK602))</f>
        <v>0</v>
      </c>
      <c r="AL1662" s="125">
        <f>IF(tech_base!$T198&gt;AL$1465,"",(tech_base!$J198/tech_proj!AL322*0.086*$N$110)/(1-tech_proj!AL602))</f>
        <v>0</v>
      </c>
      <c r="AM1662" s="125">
        <f>IF(tech_base!$T198&gt;AM$1465,"",(tech_base!$J198/tech_proj!AM322*0.086*$N$110)/(1-tech_proj!AM602))</f>
        <v>0</v>
      </c>
      <c r="AN1662" s="125">
        <f>IF(tech_base!$T198&gt;AN$1465,"",(tech_base!$J198/tech_proj!AN322*0.086*$N$110)/(1-tech_proj!AN602))</f>
        <v>0</v>
      </c>
      <c r="AO1662" s="125">
        <f>IF(tech_base!$T198&gt;AO$1465,"",(tech_base!$J198/tech_proj!AO322*0.086*$N$110)/(1-tech_proj!AO602))</f>
        <v>0</v>
      </c>
      <c r="AP1662" s="125">
        <f>IF(tech_base!$T198&gt;AP$1465,"",(tech_base!$J198/tech_proj!AP322*0.086*$N$110)/(1-tech_proj!AP602))</f>
        <v>0</v>
      </c>
      <c r="AQ1662" s="125">
        <f>IF(tech_base!$T198&gt;AQ$1465,"",(tech_base!$J198/tech_proj!AQ322*0.086*$N$110)/(1-tech_proj!AQ602))</f>
        <v>0</v>
      </c>
      <c r="AR1662" s="125">
        <f>IF(tech_base!$T198&gt;AR$1465,"",(tech_base!$J198/tech_proj!AR322*0.086*$N$110)/(1-tech_proj!AR602))</f>
        <v>0</v>
      </c>
      <c r="AS1662" s="125">
        <f>IF(tech_base!$T198&gt;AS$1465,"",(tech_base!$J198/tech_proj!AS322*0.086*$N$110)/(1-tech_proj!AS602))</f>
        <v>0</v>
      </c>
      <c r="AT1662" s="125">
        <f>IF(tech_base!$T198&gt;AT$1465,"",(tech_base!$J198/tech_proj!AT322*0.086*$N$110)/(1-tech_proj!AT602))</f>
        <v>0</v>
      </c>
      <c r="AU1662" s="125">
        <f>IF(tech_base!$T198&gt;AU$1465,"",(tech_base!$J198/tech_proj!AU322*0.086*$N$110)/(1-tech_proj!AU602))</f>
        <v>0</v>
      </c>
      <c r="AV1662" s="125">
        <f>IF(tech_base!$T198&gt;AV$1465,"",(tech_base!$J198/tech_proj!AV322*0.086*$N$110)/(1-tech_proj!AV602))</f>
        <v>0</v>
      </c>
      <c r="AW1662" s="125">
        <f>IF(tech_base!$T198&gt;AW$1465,"",(tech_base!$J198/tech_proj!AW322*0.086*$N$110)/(1-tech_proj!AW602))</f>
        <v>0</v>
      </c>
      <c r="AX1662" s="126">
        <f>IF(tech_base!$T198&gt;AX$1465,"",(tech_base!$J198/tech_proj!AX322*0.086*$N$110)/(1-tech_proj!AX602))</f>
        <v>0</v>
      </c>
    </row>
    <row r="1663" spans="1:50" x14ac:dyDescent="0.25">
      <c r="A1663" s="356"/>
      <c r="B1663" s="376"/>
      <c r="C1663" s="361" t="s">
        <v>15</v>
      </c>
      <c r="D1663" s="58" t="s">
        <v>7</v>
      </c>
      <c r="E1663" s="164" t="str">
        <f>A1639&amp;"/"&amp;B1655&amp;"/"&amp;C1663&amp;"/"&amp;D1663</f>
        <v>Fuel oil fired power plants/Steam turbine/Electricity only with CCS/L</v>
      </c>
      <c r="F1663" s="78" t="str">
        <f>A1639</f>
        <v>Fuel oil fired power plants</v>
      </c>
      <c r="G1663" s="78" t="str">
        <f>B1655</f>
        <v>Steam turbine</v>
      </c>
      <c r="H1663" s="78" t="str">
        <f>C1663</f>
        <v>Electricity only with CCS</v>
      </c>
      <c r="I1663" s="165" t="str">
        <f t="shared" si="380"/>
        <v>L</v>
      </c>
      <c r="J1663" s="123" t="str">
        <f>IF(tech_base!$T199&gt;J$1465,"",(tech_base!$J199/tech_proj!J323*0.086*$N$110)/(1-tech_proj!J603))</f>
        <v/>
      </c>
      <c r="K1663" s="123" t="str">
        <f>IF(tech_base!$T199&gt;K$1465,"",(tech_base!$J199/tech_proj!K323*0.086*$N$110)/(1-tech_proj!K603))</f>
        <v/>
      </c>
      <c r="L1663" s="123" t="str">
        <f>IF(tech_base!$T199&gt;L$1465,"",(tech_base!$J199/tech_proj!L323*0.086*$N$110)/(1-tech_proj!L603))</f>
        <v/>
      </c>
      <c r="M1663" s="123" t="str">
        <f>IF(tech_base!$T199&gt;M$1465,"",(tech_base!$J199/tech_proj!M323*0.086*$N$110)/(1-tech_proj!M603))</f>
        <v/>
      </c>
      <c r="N1663" s="123" t="str">
        <f>IF(tech_base!$T199&gt;N$1465,"",(tech_base!$J199/tech_proj!N323*0.086*$N$110)/(1-tech_proj!N603))</f>
        <v/>
      </c>
      <c r="O1663" s="123" t="str">
        <f>IF(tech_base!$T199&gt;O$1465,"",(tech_base!$J199/tech_proj!O323*0.086*$N$110)/(1-tech_proj!O603))</f>
        <v/>
      </c>
      <c r="P1663" s="123" t="str">
        <f>IF(tech_base!$T199&gt;P$1465,"",(tech_base!$J199/tech_proj!P323*0.086*$N$110)/(1-tech_proj!P603))</f>
        <v/>
      </c>
      <c r="Q1663" s="123" t="str">
        <f>IF(tech_base!$T199&gt;Q$1465,"",(tech_base!$J199/tech_proj!Q323*0.086*$N$110)/(1-tech_proj!Q603))</f>
        <v/>
      </c>
      <c r="R1663" s="123" t="str">
        <f>IF(tech_base!$T199&gt;R$1465,"",(tech_base!$J199/tech_proj!R323*0.086*$N$110)/(1-tech_proj!R603))</f>
        <v/>
      </c>
      <c r="S1663" s="123" t="str">
        <f>IF(tech_base!$T199&gt;S$1465,"",(tech_base!$J199/tech_proj!S323*0.086*$N$110)/(1-tech_proj!S603))</f>
        <v/>
      </c>
      <c r="T1663" s="123" t="str">
        <f>IF(tech_base!$T199&gt;T$1465,"",(tech_base!$J199/tech_proj!T323*0.086*$N$110)/(1-tech_proj!T603))</f>
        <v/>
      </c>
      <c r="U1663" s="123" t="str">
        <f>IF(tech_base!$T199&gt;U$1465,"",(tech_base!$J199/tech_proj!U323*0.086*$N$110)/(1-tech_proj!U603))</f>
        <v/>
      </c>
      <c r="V1663" s="123" t="str">
        <f>IF(tech_base!$T199&gt;V$1465,"",(tech_base!$J199/tech_proj!V323*0.086*$N$110)/(1-tech_proj!V603))</f>
        <v/>
      </c>
      <c r="W1663" s="123" t="str">
        <f>IF(tech_base!$T199&gt;W$1465,"",(tech_base!$J199/tech_proj!W323*0.086*$N$110)/(1-tech_proj!W603))</f>
        <v/>
      </c>
      <c r="X1663" s="123" t="str">
        <f>IF(tech_base!$T199&gt;X$1465,"",(tech_base!$J199/tech_proj!X323*0.086*$N$110)/(1-tech_proj!X603))</f>
        <v/>
      </c>
      <c r="Y1663" s="123" t="str">
        <f>IF(tech_base!$T199&gt;Y$1465,"",(tech_base!$J199/tech_proj!Y323*0.086*$N$110)/(1-tech_proj!Y603))</f>
        <v/>
      </c>
      <c r="Z1663" s="123" t="str">
        <f>IF(tech_base!$T199&gt;Z$1465,"",(tech_base!$J199/tech_proj!Z323*0.086*$N$110)/(1-tech_proj!Z603))</f>
        <v/>
      </c>
      <c r="AA1663" s="123" t="str">
        <f>IF(tech_base!$T199&gt;AA$1465,"",(tech_base!$J199/tech_proj!AA323*0.086*$N$110)/(1-tech_proj!AA603))</f>
        <v/>
      </c>
      <c r="AB1663" s="123" t="str">
        <f>IF(tech_base!$T199&gt;AB$1465,"",(tech_base!$J199/tech_proj!AB323*0.086*$N$110)/(1-tech_proj!AB603))</f>
        <v/>
      </c>
      <c r="AC1663" s="123" t="str">
        <f>IF(tech_base!$T199&gt;AC$1465,"",(tech_base!$J199/tech_proj!AC323*0.086*$N$110)/(1-tech_proj!AC603))</f>
        <v/>
      </c>
      <c r="AD1663" s="123" t="str">
        <f>IF(tech_base!$T199&gt;AD$1465,"",(tech_base!$J199/tech_proj!AD323*0.086*$N$110)/(1-tech_proj!AD603))</f>
        <v/>
      </c>
      <c r="AE1663" s="123">
        <f>IF(tech_base!$T199&gt;AE$1465,"",(tech_base!$J199/tech_proj!AE323*0.086*$N$110)/(1-tech_proj!AE603))</f>
        <v>0</v>
      </c>
      <c r="AF1663" s="123">
        <f>IF(tech_base!$T199&gt;AF$1465,"",(tech_base!$J199/tech_proj!AF323*0.086*$N$110)/(1-tech_proj!AF603))</f>
        <v>0</v>
      </c>
      <c r="AG1663" s="123">
        <f>IF(tech_base!$T199&gt;AG$1465,"",(tech_base!$J199/tech_proj!AG323*0.086*$N$110)/(1-tech_proj!AG603))</f>
        <v>0</v>
      </c>
      <c r="AH1663" s="123">
        <f>IF(tech_base!$T199&gt;AH$1465,"",(tech_base!$J199/tech_proj!AH323*0.086*$N$110)/(1-tech_proj!AH603))</f>
        <v>0</v>
      </c>
      <c r="AI1663" s="123">
        <f>IF(tech_base!$T199&gt;AI$1465,"",(tech_base!$J199/tech_proj!AI323*0.086*$N$110)/(1-tech_proj!AI603))</f>
        <v>0</v>
      </c>
      <c r="AJ1663" s="123">
        <f>IF(tech_base!$T199&gt;AJ$1465,"",(tech_base!$J199/tech_proj!AJ323*0.086*$N$110)/(1-tech_proj!AJ603))</f>
        <v>0</v>
      </c>
      <c r="AK1663" s="123">
        <f>IF(tech_base!$T199&gt;AK$1465,"",(tech_base!$J199/tech_proj!AK323*0.086*$N$110)/(1-tech_proj!AK603))</f>
        <v>0</v>
      </c>
      <c r="AL1663" s="123">
        <f>IF(tech_base!$T199&gt;AL$1465,"",(tech_base!$J199/tech_proj!AL323*0.086*$N$110)/(1-tech_proj!AL603))</f>
        <v>0</v>
      </c>
      <c r="AM1663" s="123">
        <f>IF(tech_base!$T199&gt;AM$1465,"",(tech_base!$J199/tech_proj!AM323*0.086*$N$110)/(1-tech_proj!AM603))</f>
        <v>0</v>
      </c>
      <c r="AN1663" s="123">
        <f>IF(tech_base!$T199&gt;AN$1465,"",(tech_base!$J199/tech_proj!AN323*0.086*$N$110)/(1-tech_proj!AN603))</f>
        <v>0</v>
      </c>
      <c r="AO1663" s="123">
        <f>IF(tech_base!$T199&gt;AO$1465,"",(tech_base!$J199/tech_proj!AO323*0.086*$N$110)/(1-tech_proj!AO603))</f>
        <v>0</v>
      </c>
      <c r="AP1663" s="123">
        <f>IF(tech_base!$T199&gt;AP$1465,"",(tech_base!$J199/tech_proj!AP323*0.086*$N$110)/(1-tech_proj!AP603))</f>
        <v>0</v>
      </c>
      <c r="AQ1663" s="123">
        <f>IF(tech_base!$T199&gt;AQ$1465,"",(tech_base!$J199/tech_proj!AQ323*0.086*$N$110)/(1-tech_proj!AQ603))</f>
        <v>0</v>
      </c>
      <c r="AR1663" s="123">
        <f>IF(tech_base!$T199&gt;AR$1465,"",(tech_base!$J199/tech_proj!AR323*0.086*$N$110)/(1-tech_proj!AR603))</f>
        <v>0</v>
      </c>
      <c r="AS1663" s="123">
        <f>IF(tech_base!$T199&gt;AS$1465,"",(tech_base!$J199/tech_proj!AS323*0.086*$N$110)/(1-tech_proj!AS603))</f>
        <v>0</v>
      </c>
      <c r="AT1663" s="123">
        <f>IF(tech_base!$T199&gt;AT$1465,"",(tech_base!$J199/tech_proj!AT323*0.086*$N$110)/(1-tech_proj!AT603))</f>
        <v>0</v>
      </c>
      <c r="AU1663" s="123">
        <f>IF(tech_base!$T199&gt;AU$1465,"",(tech_base!$J199/tech_proj!AU323*0.086*$N$110)/(1-tech_proj!AU603))</f>
        <v>0</v>
      </c>
      <c r="AV1663" s="123">
        <f>IF(tech_base!$T199&gt;AV$1465,"",(tech_base!$J199/tech_proj!AV323*0.086*$N$110)/(1-tech_proj!AV603))</f>
        <v>0</v>
      </c>
      <c r="AW1663" s="123">
        <f>IF(tech_base!$T199&gt;AW$1465,"",(tech_base!$J199/tech_proj!AW323*0.086*$N$110)/(1-tech_proj!AW603))</f>
        <v>0</v>
      </c>
      <c r="AX1663" s="124">
        <f>IF(tech_base!$T199&gt;AX$1465,"",(tech_base!$J199/tech_proj!AX323*0.086*$N$110)/(1-tech_proj!AX603))</f>
        <v>0</v>
      </c>
    </row>
    <row r="1664" spans="1:50" x14ac:dyDescent="0.25">
      <c r="A1664" s="356"/>
      <c r="B1664" s="376"/>
      <c r="C1664" s="379"/>
      <c r="D1664" s="59" t="s">
        <v>8</v>
      </c>
      <c r="E1664" s="166" t="str">
        <f>A1639&amp;"/"&amp;B1655&amp;"/"&amp;C1663&amp;"/"&amp;D1664</f>
        <v>Fuel oil fired power plants/Steam turbine/Electricity only with CCS/M</v>
      </c>
      <c r="F1664" s="79" t="str">
        <f>A1639</f>
        <v>Fuel oil fired power plants</v>
      </c>
      <c r="G1664" s="79" t="str">
        <f>B1655</f>
        <v>Steam turbine</v>
      </c>
      <c r="H1664" s="79" t="str">
        <f>C1663</f>
        <v>Electricity only with CCS</v>
      </c>
      <c r="I1664" s="167" t="str">
        <f t="shared" si="380"/>
        <v>M</v>
      </c>
      <c r="J1664" s="125" t="str">
        <f>IF(tech_base!$T200&gt;J$1465,"",(tech_base!$J200/tech_proj!J324*0.086*$N$110)/(1-tech_proj!J604))</f>
        <v/>
      </c>
      <c r="K1664" s="125" t="str">
        <f>IF(tech_base!$T200&gt;K$1465,"",(tech_base!$J200/tech_proj!K324*0.086*$N$110)/(1-tech_proj!K604))</f>
        <v/>
      </c>
      <c r="L1664" s="125" t="str">
        <f>IF(tech_base!$T200&gt;L$1465,"",(tech_base!$J200/tech_proj!L324*0.086*$N$110)/(1-tech_proj!L604))</f>
        <v/>
      </c>
      <c r="M1664" s="125" t="str">
        <f>IF(tech_base!$T200&gt;M$1465,"",(tech_base!$J200/tech_proj!M324*0.086*$N$110)/(1-tech_proj!M604))</f>
        <v/>
      </c>
      <c r="N1664" s="125" t="str">
        <f>IF(tech_base!$T200&gt;N$1465,"",(tech_base!$J200/tech_proj!N324*0.086*$N$110)/(1-tech_proj!N604))</f>
        <v/>
      </c>
      <c r="O1664" s="125" t="str">
        <f>IF(tech_base!$T200&gt;O$1465,"",(tech_base!$J200/tech_proj!O324*0.086*$N$110)/(1-tech_proj!O604))</f>
        <v/>
      </c>
      <c r="P1664" s="125" t="str">
        <f>IF(tech_base!$T200&gt;P$1465,"",(tech_base!$J200/tech_proj!P324*0.086*$N$110)/(1-tech_proj!P604))</f>
        <v/>
      </c>
      <c r="Q1664" s="125" t="str">
        <f>IF(tech_base!$T200&gt;Q$1465,"",(tech_base!$J200/tech_proj!Q324*0.086*$N$110)/(1-tech_proj!Q604))</f>
        <v/>
      </c>
      <c r="R1664" s="125" t="str">
        <f>IF(tech_base!$T200&gt;R$1465,"",(tech_base!$J200/tech_proj!R324*0.086*$N$110)/(1-tech_proj!R604))</f>
        <v/>
      </c>
      <c r="S1664" s="125" t="str">
        <f>IF(tech_base!$T200&gt;S$1465,"",(tech_base!$J200/tech_proj!S324*0.086*$N$110)/(1-tech_proj!S604))</f>
        <v/>
      </c>
      <c r="T1664" s="125" t="str">
        <f>IF(tech_base!$T200&gt;T$1465,"",(tech_base!$J200/tech_proj!T324*0.086*$N$110)/(1-tech_proj!T604))</f>
        <v/>
      </c>
      <c r="U1664" s="125" t="str">
        <f>IF(tech_base!$T200&gt;U$1465,"",(tech_base!$J200/tech_proj!U324*0.086*$N$110)/(1-tech_proj!U604))</f>
        <v/>
      </c>
      <c r="V1664" s="125" t="str">
        <f>IF(tech_base!$T200&gt;V$1465,"",(tech_base!$J200/tech_proj!V324*0.086*$N$110)/(1-tech_proj!V604))</f>
        <v/>
      </c>
      <c r="W1664" s="125" t="str">
        <f>IF(tech_base!$T200&gt;W$1465,"",(tech_base!$J200/tech_proj!W324*0.086*$N$110)/(1-tech_proj!W604))</f>
        <v/>
      </c>
      <c r="X1664" s="125" t="str">
        <f>IF(tech_base!$T200&gt;X$1465,"",(tech_base!$J200/tech_proj!X324*0.086*$N$110)/(1-tech_proj!X604))</f>
        <v/>
      </c>
      <c r="Y1664" s="125" t="str">
        <f>IF(tech_base!$T200&gt;Y$1465,"",(tech_base!$J200/tech_proj!Y324*0.086*$N$110)/(1-tech_proj!Y604))</f>
        <v/>
      </c>
      <c r="Z1664" s="125" t="str">
        <f>IF(tech_base!$T200&gt;Z$1465,"",(tech_base!$J200/tech_proj!Z324*0.086*$N$110)/(1-tech_proj!Z604))</f>
        <v/>
      </c>
      <c r="AA1664" s="125" t="str">
        <f>IF(tech_base!$T200&gt;AA$1465,"",(tech_base!$J200/tech_proj!AA324*0.086*$N$110)/(1-tech_proj!AA604))</f>
        <v/>
      </c>
      <c r="AB1664" s="125" t="str">
        <f>IF(tech_base!$T200&gt;AB$1465,"",(tech_base!$J200/tech_proj!AB324*0.086*$N$110)/(1-tech_proj!AB604))</f>
        <v/>
      </c>
      <c r="AC1664" s="125" t="str">
        <f>IF(tech_base!$T200&gt;AC$1465,"",(tech_base!$J200/tech_proj!AC324*0.086*$N$110)/(1-tech_proj!AC604))</f>
        <v/>
      </c>
      <c r="AD1664" s="125" t="str">
        <f>IF(tech_base!$T200&gt;AD$1465,"",(tech_base!$J200/tech_proj!AD324*0.086*$N$110)/(1-tech_proj!AD604))</f>
        <v/>
      </c>
      <c r="AE1664" s="125">
        <f>IF(tech_base!$T200&gt;AE$1465,"",(tech_base!$J200/tech_proj!AE324*0.086*$N$110)/(1-tech_proj!AE604))</f>
        <v>0</v>
      </c>
      <c r="AF1664" s="125">
        <f>IF(tech_base!$T200&gt;AF$1465,"",(tech_base!$J200/tech_proj!AF324*0.086*$N$110)/(1-tech_proj!AF604))</f>
        <v>0</v>
      </c>
      <c r="AG1664" s="125">
        <f>IF(tech_base!$T200&gt;AG$1465,"",(tech_base!$J200/tech_proj!AG324*0.086*$N$110)/(1-tech_proj!AG604))</f>
        <v>0</v>
      </c>
      <c r="AH1664" s="125">
        <f>IF(tech_base!$T200&gt;AH$1465,"",(tech_base!$J200/tech_proj!AH324*0.086*$N$110)/(1-tech_proj!AH604))</f>
        <v>0</v>
      </c>
      <c r="AI1664" s="125">
        <f>IF(tech_base!$T200&gt;AI$1465,"",(tech_base!$J200/tech_proj!AI324*0.086*$N$110)/(1-tech_proj!AI604))</f>
        <v>0</v>
      </c>
      <c r="AJ1664" s="125">
        <f>IF(tech_base!$T200&gt;AJ$1465,"",(tech_base!$J200/tech_proj!AJ324*0.086*$N$110)/(1-tech_proj!AJ604))</f>
        <v>0</v>
      </c>
      <c r="AK1664" s="125">
        <f>IF(tech_base!$T200&gt;AK$1465,"",(tech_base!$J200/tech_proj!AK324*0.086*$N$110)/(1-tech_proj!AK604))</f>
        <v>0</v>
      </c>
      <c r="AL1664" s="125">
        <f>IF(tech_base!$T200&gt;AL$1465,"",(tech_base!$J200/tech_proj!AL324*0.086*$N$110)/(1-tech_proj!AL604))</f>
        <v>0</v>
      </c>
      <c r="AM1664" s="125">
        <f>IF(tech_base!$T200&gt;AM$1465,"",(tech_base!$J200/tech_proj!AM324*0.086*$N$110)/(1-tech_proj!AM604))</f>
        <v>0</v>
      </c>
      <c r="AN1664" s="125">
        <f>IF(tech_base!$T200&gt;AN$1465,"",(tech_base!$J200/tech_proj!AN324*0.086*$N$110)/(1-tech_proj!AN604))</f>
        <v>0</v>
      </c>
      <c r="AO1664" s="125">
        <f>IF(tech_base!$T200&gt;AO$1465,"",(tech_base!$J200/tech_proj!AO324*0.086*$N$110)/(1-tech_proj!AO604))</f>
        <v>0</v>
      </c>
      <c r="AP1664" s="125">
        <f>IF(tech_base!$T200&gt;AP$1465,"",(tech_base!$J200/tech_proj!AP324*0.086*$N$110)/(1-tech_proj!AP604))</f>
        <v>0</v>
      </c>
      <c r="AQ1664" s="125">
        <f>IF(tech_base!$T200&gt;AQ$1465,"",(tech_base!$J200/tech_proj!AQ324*0.086*$N$110)/(1-tech_proj!AQ604))</f>
        <v>0</v>
      </c>
      <c r="AR1664" s="125">
        <f>IF(tech_base!$T200&gt;AR$1465,"",(tech_base!$J200/tech_proj!AR324*0.086*$N$110)/(1-tech_proj!AR604))</f>
        <v>0</v>
      </c>
      <c r="AS1664" s="125">
        <f>IF(tech_base!$T200&gt;AS$1465,"",(tech_base!$J200/tech_proj!AS324*0.086*$N$110)/(1-tech_proj!AS604))</f>
        <v>0</v>
      </c>
      <c r="AT1664" s="125">
        <f>IF(tech_base!$T200&gt;AT$1465,"",(tech_base!$J200/tech_proj!AT324*0.086*$N$110)/(1-tech_proj!AT604))</f>
        <v>0</v>
      </c>
      <c r="AU1664" s="125">
        <f>IF(tech_base!$T200&gt;AU$1465,"",(tech_base!$J200/tech_proj!AU324*0.086*$N$110)/(1-tech_proj!AU604))</f>
        <v>0</v>
      </c>
      <c r="AV1664" s="125">
        <f>IF(tech_base!$T200&gt;AV$1465,"",(tech_base!$J200/tech_proj!AV324*0.086*$N$110)/(1-tech_proj!AV604))</f>
        <v>0</v>
      </c>
      <c r="AW1664" s="125">
        <f>IF(tech_base!$T200&gt;AW$1465,"",(tech_base!$J200/tech_proj!AW324*0.086*$N$110)/(1-tech_proj!AW604))</f>
        <v>0</v>
      </c>
      <c r="AX1664" s="126">
        <f>IF(tech_base!$T200&gt;AX$1465,"",(tech_base!$J200/tech_proj!AX324*0.086*$N$110)/(1-tech_proj!AX604))</f>
        <v>0</v>
      </c>
    </row>
    <row r="1665" spans="1:50" x14ac:dyDescent="0.25">
      <c r="A1665" s="356"/>
      <c r="B1665" s="376"/>
      <c r="C1665" s="361" t="s">
        <v>16</v>
      </c>
      <c r="D1665" s="2" t="s">
        <v>7</v>
      </c>
      <c r="E1665" s="160" t="str">
        <f>A1639&amp;"/"&amp;B1655&amp;"/"&amp;C1665&amp;"/"&amp;D1665</f>
        <v>Fuel oil fired power plants/Steam turbine/CHP with CCS/L</v>
      </c>
      <c r="F1665" s="76" t="str">
        <f>A1639</f>
        <v>Fuel oil fired power plants</v>
      </c>
      <c r="G1665" s="76" t="str">
        <f>B1655</f>
        <v>Steam turbine</v>
      </c>
      <c r="H1665" s="76" t="str">
        <f>C1665</f>
        <v>CHP with CCS</v>
      </c>
      <c r="I1665" s="161" t="str">
        <f t="shared" si="380"/>
        <v>L</v>
      </c>
      <c r="J1665" s="119" t="str">
        <f>IF(tech_base!$T201&gt;J$1465,"",(tech_base!$J201/tech_proj!J325*0.086*$N$110)/(1-tech_proj!J605))</f>
        <v/>
      </c>
      <c r="K1665" s="119" t="str">
        <f>IF(tech_base!$T201&gt;K$1465,"",(tech_base!$J201/tech_proj!K325*0.086*$N$110)/(1-tech_proj!K605))</f>
        <v/>
      </c>
      <c r="L1665" s="119" t="str">
        <f>IF(tech_base!$T201&gt;L$1465,"",(tech_base!$J201/tech_proj!L325*0.086*$N$110)/(1-tech_proj!L605))</f>
        <v/>
      </c>
      <c r="M1665" s="119" t="str">
        <f>IF(tech_base!$T201&gt;M$1465,"",(tech_base!$J201/tech_proj!M325*0.086*$N$110)/(1-tech_proj!M605))</f>
        <v/>
      </c>
      <c r="N1665" s="119" t="str">
        <f>IF(tech_base!$T201&gt;N$1465,"",(tech_base!$J201/tech_proj!N325*0.086*$N$110)/(1-tech_proj!N605))</f>
        <v/>
      </c>
      <c r="O1665" s="119" t="str">
        <f>IF(tech_base!$T201&gt;O$1465,"",(tech_base!$J201/tech_proj!O325*0.086*$N$110)/(1-tech_proj!O605))</f>
        <v/>
      </c>
      <c r="P1665" s="119" t="str">
        <f>IF(tech_base!$T201&gt;P$1465,"",(tech_base!$J201/tech_proj!P325*0.086*$N$110)/(1-tech_proj!P605))</f>
        <v/>
      </c>
      <c r="Q1665" s="119" t="str">
        <f>IF(tech_base!$T201&gt;Q$1465,"",(tech_base!$J201/tech_proj!Q325*0.086*$N$110)/(1-tech_proj!Q605))</f>
        <v/>
      </c>
      <c r="R1665" s="119" t="str">
        <f>IF(tech_base!$T201&gt;R$1465,"",(tech_base!$J201/tech_proj!R325*0.086*$N$110)/(1-tech_proj!R605))</f>
        <v/>
      </c>
      <c r="S1665" s="119" t="str">
        <f>IF(tech_base!$T201&gt;S$1465,"",(tech_base!$J201/tech_proj!S325*0.086*$N$110)/(1-tech_proj!S605))</f>
        <v/>
      </c>
      <c r="T1665" s="119" t="str">
        <f>IF(tech_base!$T201&gt;T$1465,"",(tech_base!$J201/tech_proj!T325*0.086*$N$110)/(1-tech_proj!T605))</f>
        <v/>
      </c>
      <c r="U1665" s="119" t="str">
        <f>IF(tech_base!$T201&gt;U$1465,"",(tech_base!$J201/tech_proj!U325*0.086*$N$110)/(1-tech_proj!U605))</f>
        <v/>
      </c>
      <c r="V1665" s="119" t="str">
        <f>IF(tech_base!$T201&gt;V$1465,"",(tech_base!$J201/tech_proj!V325*0.086*$N$110)/(1-tech_proj!V605))</f>
        <v/>
      </c>
      <c r="W1665" s="119" t="str">
        <f>IF(tech_base!$T201&gt;W$1465,"",(tech_base!$J201/tech_proj!W325*0.086*$N$110)/(1-tech_proj!W605))</f>
        <v/>
      </c>
      <c r="X1665" s="119" t="str">
        <f>IF(tech_base!$T201&gt;X$1465,"",(tech_base!$J201/tech_proj!X325*0.086*$N$110)/(1-tech_proj!X605))</f>
        <v/>
      </c>
      <c r="Y1665" s="119" t="str">
        <f>IF(tech_base!$T201&gt;Y$1465,"",(tech_base!$J201/tech_proj!Y325*0.086*$N$110)/(1-tech_proj!Y605))</f>
        <v/>
      </c>
      <c r="Z1665" s="119" t="str">
        <f>IF(tech_base!$T201&gt;Z$1465,"",(tech_base!$J201/tech_proj!Z325*0.086*$N$110)/(1-tech_proj!Z605))</f>
        <v/>
      </c>
      <c r="AA1665" s="119" t="str">
        <f>IF(tech_base!$T201&gt;AA$1465,"",(tech_base!$J201/tech_proj!AA325*0.086*$N$110)/(1-tech_proj!AA605))</f>
        <v/>
      </c>
      <c r="AB1665" s="119" t="str">
        <f>IF(tech_base!$T201&gt;AB$1465,"",(tech_base!$J201/tech_proj!AB325*0.086*$N$110)/(1-tech_proj!AB605))</f>
        <v/>
      </c>
      <c r="AC1665" s="119" t="str">
        <f>IF(tech_base!$T201&gt;AC$1465,"",(tech_base!$J201/tech_proj!AC325*0.086*$N$110)/(1-tech_proj!AC605))</f>
        <v/>
      </c>
      <c r="AD1665" s="119" t="str">
        <f>IF(tech_base!$T201&gt;AD$1465,"",(tech_base!$J201/tech_proj!AD325*0.086*$N$110)/(1-tech_proj!AD605))</f>
        <v/>
      </c>
      <c r="AE1665" s="119">
        <f>IF(tech_base!$T201&gt;AE$1465,"",(tech_base!$J201/tech_proj!AE325*0.086*$N$110)/(1-tech_proj!AE605))</f>
        <v>0</v>
      </c>
      <c r="AF1665" s="119">
        <f>IF(tech_base!$T201&gt;AF$1465,"",(tech_base!$J201/tech_proj!AF325*0.086*$N$110)/(1-tech_proj!AF605))</f>
        <v>0</v>
      </c>
      <c r="AG1665" s="119">
        <f>IF(tech_base!$T201&gt;AG$1465,"",(tech_base!$J201/tech_proj!AG325*0.086*$N$110)/(1-tech_proj!AG605))</f>
        <v>0</v>
      </c>
      <c r="AH1665" s="119">
        <f>IF(tech_base!$T201&gt;AH$1465,"",(tech_base!$J201/tech_proj!AH325*0.086*$N$110)/(1-tech_proj!AH605))</f>
        <v>0</v>
      </c>
      <c r="AI1665" s="119">
        <f>IF(tech_base!$T201&gt;AI$1465,"",(tech_base!$J201/tech_proj!AI325*0.086*$N$110)/(1-tech_proj!AI605))</f>
        <v>0</v>
      </c>
      <c r="AJ1665" s="119">
        <f>IF(tech_base!$T201&gt;AJ$1465,"",(tech_base!$J201/tech_proj!AJ325*0.086*$N$110)/(1-tech_proj!AJ605))</f>
        <v>0</v>
      </c>
      <c r="AK1665" s="119">
        <f>IF(tech_base!$T201&gt;AK$1465,"",(tech_base!$J201/tech_proj!AK325*0.086*$N$110)/(1-tech_proj!AK605))</f>
        <v>0</v>
      </c>
      <c r="AL1665" s="119">
        <f>IF(tech_base!$T201&gt;AL$1465,"",(tech_base!$J201/tech_proj!AL325*0.086*$N$110)/(1-tech_proj!AL605))</f>
        <v>0</v>
      </c>
      <c r="AM1665" s="119">
        <f>IF(tech_base!$T201&gt;AM$1465,"",(tech_base!$J201/tech_proj!AM325*0.086*$N$110)/(1-tech_proj!AM605))</f>
        <v>0</v>
      </c>
      <c r="AN1665" s="119">
        <f>IF(tech_base!$T201&gt;AN$1465,"",(tech_base!$J201/tech_proj!AN325*0.086*$N$110)/(1-tech_proj!AN605))</f>
        <v>0</v>
      </c>
      <c r="AO1665" s="119">
        <f>IF(tech_base!$T201&gt;AO$1465,"",(tech_base!$J201/tech_proj!AO325*0.086*$N$110)/(1-tech_proj!AO605))</f>
        <v>0</v>
      </c>
      <c r="AP1665" s="119">
        <f>IF(tech_base!$T201&gt;AP$1465,"",(tech_base!$J201/tech_proj!AP325*0.086*$N$110)/(1-tech_proj!AP605))</f>
        <v>0</v>
      </c>
      <c r="AQ1665" s="119">
        <f>IF(tech_base!$T201&gt;AQ$1465,"",(tech_base!$J201/tech_proj!AQ325*0.086*$N$110)/(1-tech_proj!AQ605))</f>
        <v>0</v>
      </c>
      <c r="AR1665" s="119">
        <f>IF(tech_base!$T201&gt;AR$1465,"",(tech_base!$J201/tech_proj!AR325*0.086*$N$110)/(1-tech_proj!AR605))</f>
        <v>0</v>
      </c>
      <c r="AS1665" s="119">
        <f>IF(tech_base!$T201&gt;AS$1465,"",(tech_base!$J201/tech_proj!AS325*0.086*$N$110)/(1-tech_proj!AS605))</f>
        <v>0</v>
      </c>
      <c r="AT1665" s="119">
        <f>IF(tech_base!$T201&gt;AT$1465,"",(tech_base!$J201/tech_proj!AT325*0.086*$N$110)/(1-tech_proj!AT605))</f>
        <v>0</v>
      </c>
      <c r="AU1665" s="119">
        <f>IF(tech_base!$T201&gt;AU$1465,"",(tech_base!$J201/tech_proj!AU325*0.086*$N$110)/(1-tech_proj!AU605))</f>
        <v>0</v>
      </c>
      <c r="AV1665" s="119">
        <f>IF(tech_base!$T201&gt;AV$1465,"",(tech_base!$J201/tech_proj!AV325*0.086*$N$110)/(1-tech_proj!AV605))</f>
        <v>0</v>
      </c>
      <c r="AW1665" s="119">
        <f>IF(tech_base!$T201&gt;AW$1465,"",(tech_base!$J201/tech_proj!AW325*0.086*$N$110)/(1-tech_proj!AW605))</f>
        <v>0</v>
      </c>
      <c r="AX1665" s="120">
        <f>IF(tech_base!$T201&gt;AX$1465,"",(tech_base!$J201/tech_proj!AX325*0.086*$N$110)/(1-tech_proj!AX605))</f>
        <v>0</v>
      </c>
    </row>
    <row r="1666" spans="1:50" x14ac:dyDescent="0.25">
      <c r="A1666" s="357"/>
      <c r="B1666" s="380"/>
      <c r="C1666" s="381"/>
      <c r="D1666" s="4" t="s">
        <v>8</v>
      </c>
      <c r="E1666" s="168" t="str">
        <f>A1639&amp;"/"&amp;B1655&amp;"/"&amp;C1665&amp;"/"&amp;D1666</f>
        <v>Fuel oil fired power plants/Steam turbine/CHP with CCS/M</v>
      </c>
      <c r="F1666" s="80" t="str">
        <f>A1639</f>
        <v>Fuel oil fired power plants</v>
      </c>
      <c r="G1666" s="80" t="str">
        <f>B1655</f>
        <v>Steam turbine</v>
      </c>
      <c r="H1666" s="80" t="str">
        <f>C1665</f>
        <v>CHP with CCS</v>
      </c>
      <c r="I1666" s="169" t="str">
        <f t="shared" si="380"/>
        <v>M</v>
      </c>
      <c r="J1666" s="127" t="str">
        <f>IF(tech_base!$T202&gt;J$1465,"",(tech_base!$J202/tech_proj!J326*0.086*$N$110)/(1-tech_proj!J606))</f>
        <v/>
      </c>
      <c r="K1666" s="127" t="str">
        <f>IF(tech_base!$T202&gt;K$1465,"",(tech_base!$J202/tech_proj!K326*0.086*$N$110)/(1-tech_proj!K606))</f>
        <v/>
      </c>
      <c r="L1666" s="127" t="str">
        <f>IF(tech_base!$T202&gt;L$1465,"",(tech_base!$J202/tech_proj!L326*0.086*$N$110)/(1-tech_proj!L606))</f>
        <v/>
      </c>
      <c r="M1666" s="127" t="str">
        <f>IF(tech_base!$T202&gt;M$1465,"",(tech_base!$J202/tech_proj!M326*0.086*$N$110)/(1-tech_proj!M606))</f>
        <v/>
      </c>
      <c r="N1666" s="127" t="str">
        <f>IF(tech_base!$T202&gt;N$1465,"",(tech_base!$J202/tech_proj!N326*0.086*$N$110)/(1-tech_proj!N606))</f>
        <v/>
      </c>
      <c r="O1666" s="127" t="str">
        <f>IF(tech_base!$T202&gt;O$1465,"",(tech_base!$J202/tech_proj!O326*0.086*$N$110)/(1-tech_proj!O606))</f>
        <v/>
      </c>
      <c r="P1666" s="127" t="str">
        <f>IF(tech_base!$T202&gt;P$1465,"",(tech_base!$J202/tech_proj!P326*0.086*$N$110)/(1-tech_proj!P606))</f>
        <v/>
      </c>
      <c r="Q1666" s="127" t="str">
        <f>IF(tech_base!$T202&gt;Q$1465,"",(tech_base!$J202/tech_proj!Q326*0.086*$N$110)/(1-tech_proj!Q606))</f>
        <v/>
      </c>
      <c r="R1666" s="127" t="str">
        <f>IF(tech_base!$T202&gt;R$1465,"",(tech_base!$J202/tech_proj!R326*0.086*$N$110)/(1-tech_proj!R606))</f>
        <v/>
      </c>
      <c r="S1666" s="127" t="str">
        <f>IF(tech_base!$T202&gt;S$1465,"",(tech_base!$J202/tech_proj!S326*0.086*$N$110)/(1-tech_proj!S606))</f>
        <v/>
      </c>
      <c r="T1666" s="127" t="str">
        <f>IF(tech_base!$T202&gt;T$1465,"",(tech_base!$J202/tech_proj!T326*0.086*$N$110)/(1-tech_proj!T606))</f>
        <v/>
      </c>
      <c r="U1666" s="127" t="str">
        <f>IF(tech_base!$T202&gt;U$1465,"",(tech_base!$J202/tech_proj!U326*0.086*$N$110)/(1-tech_proj!U606))</f>
        <v/>
      </c>
      <c r="V1666" s="127" t="str">
        <f>IF(tech_base!$T202&gt;V$1465,"",(tech_base!$J202/tech_proj!V326*0.086*$N$110)/(1-tech_proj!V606))</f>
        <v/>
      </c>
      <c r="W1666" s="127" t="str">
        <f>IF(tech_base!$T202&gt;W$1465,"",(tech_base!$J202/tech_proj!W326*0.086*$N$110)/(1-tech_proj!W606))</f>
        <v/>
      </c>
      <c r="X1666" s="127" t="str">
        <f>IF(tech_base!$T202&gt;X$1465,"",(tech_base!$J202/tech_proj!X326*0.086*$N$110)/(1-tech_proj!X606))</f>
        <v/>
      </c>
      <c r="Y1666" s="127" t="str">
        <f>IF(tech_base!$T202&gt;Y$1465,"",(tech_base!$J202/tech_proj!Y326*0.086*$N$110)/(1-tech_proj!Y606))</f>
        <v/>
      </c>
      <c r="Z1666" s="127" t="str">
        <f>IF(tech_base!$T202&gt;Z$1465,"",(tech_base!$J202/tech_proj!Z326*0.086*$N$110)/(1-tech_proj!Z606))</f>
        <v/>
      </c>
      <c r="AA1666" s="127" t="str">
        <f>IF(tech_base!$T202&gt;AA$1465,"",(tech_base!$J202/tech_proj!AA326*0.086*$N$110)/(1-tech_proj!AA606))</f>
        <v/>
      </c>
      <c r="AB1666" s="127" t="str">
        <f>IF(tech_base!$T202&gt;AB$1465,"",(tech_base!$J202/tech_proj!AB326*0.086*$N$110)/(1-tech_proj!AB606))</f>
        <v/>
      </c>
      <c r="AC1666" s="127" t="str">
        <f>IF(tech_base!$T202&gt;AC$1465,"",(tech_base!$J202/tech_proj!AC326*0.086*$N$110)/(1-tech_proj!AC606))</f>
        <v/>
      </c>
      <c r="AD1666" s="127" t="str">
        <f>IF(tech_base!$T202&gt;AD$1465,"",(tech_base!$J202/tech_proj!AD326*0.086*$N$110)/(1-tech_proj!AD606))</f>
        <v/>
      </c>
      <c r="AE1666" s="127">
        <f>IF(tech_base!$T202&gt;AE$1465,"",(tech_base!$J202/tech_proj!AE326*0.086*$N$110)/(1-tech_proj!AE606))</f>
        <v>0</v>
      </c>
      <c r="AF1666" s="127">
        <f>IF(tech_base!$T202&gt;AF$1465,"",(tech_base!$J202/tech_proj!AF326*0.086*$N$110)/(1-tech_proj!AF606))</f>
        <v>0</v>
      </c>
      <c r="AG1666" s="127">
        <f>IF(tech_base!$T202&gt;AG$1465,"",(tech_base!$J202/tech_proj!AG326*0.086*$N$110)/(1-tech_proj!AG606))</f>
        <v>0</v>
      </c>
      <c r="AH1666" s="127">
        <f>IF(tech_base!$T202&gt;AH$1465,"",(tech_base!$J202/tech_proj!AH326*0.086*$N$110)/(1-tech_proj!AH606))</f>
        <v>0</v>
      </c>
      <c r="AI1666" s="127">
        <f>IF(tech_base!$T202&gt;AI$1465,"",(tech_base!$J202/tech_proj!AI326*0.086*$N$110)/(1-tech_proj!AI606))</f>
        <v>0</v>
      </c>
      <c r="AJ1666" s="127">
        <f>IF(tech_base!$T202&gt;AJ$1465,"",(tech_base!$J202/tech_proj!AJ326*0.086*$N$110)/(1-tech_proj!AJ606))</f>
        <v>0</v>
      </c>
      <c r="AK1666" s="127">
        <f>IF(tech_base!$T202&gt;AK$1465,"",(tech_base!$J202/tech_proj!AK326*0.086*$N$110)/(1-tech_proj!AK606))</f>
        <v>0</v>
      </c>
      <c r="AL1666" s="127">
        <f>IF(tech_base!$T202&gt;AL$1465,"",(tech_base!$J202/tech_proj!AL326*0.086*$N$110)/(1-tech_proj!AL606))</f>
        <v>0</v>
      </c>
      <c r="AM1666" s="127">
        <f>IF(tech_base!$T202&gt;AM$1465,"",(tech_base!$J202/tech_proj!AM326*0.086*$N$110)/(1-tech_proj!AM606))</f>
        <v>0</v>
      </c>
      <c r="AN1666" s="127">
        <f>IF(tech_base!$T202&gt;AN$1465,"",(tech_base!$J202/tech_proj!AN326*0.086*$N$110)/(1-tech_proj!AN606))</f>
        <v>0</v>
      </c>
      <c r="AO1666" s="127">
        <f>IF(tech_base!$T202&gt;AO$1465,"",(tech_base!$J202/tech_proj!AO326*0.086*$N$110)/(1-tech_proj!AO606))</f>
        <v>0</v>
      </c>
      <c r="AP1666" s="127">
        <f>IF(tech_base!$T202&gt;AP$1465,"",(tech_base!$J202/tech_proj!AP326*0.086*$N$110)/(1-tech_proj!AP606))</f>
        <v>0</v>
      </c>
      <c r="AQ1666" s="127">
        <f>IF(tech_base!$T202&gt;AQ$1465,"",(tech_base!$J202/tech_proj!AQ326*0.086*$N$110)/(1-tech_proj!AQ606))</f>
        <v>0</v>
      </c>
      <c r="AR1666" s="127">
        <f>IF(tech_base!$T202&gt;AR$1465,"",(tech_base!$J202/tech_proj!AR326*0.086*$N$110)/(1-tech_proj!AR606))</f>
        <v>0</v>
      </c>
      <c r="AS1666" s="127">
        <f>IF(tech_base!$T202&gt;AS$1465,"",(tech_base!$J202/tech_proj!AS326*0.086*$N$110)/(1-tech_proj!AS606))</f>
        <v>0</v>
      </c>
      <c r="AT1666" s="127">
        <f>IF(tech_base!$T202&gt;AT$1465,"",(tech_base!$J202/tech_proj!AT326*0.086*$N$110)/(1-tech_proj!AT606))</f>
        <v>0</v>
      </c>
      <c r="AU1666" s="127">
        <f>IF(tech_base!$T202&gt;AU$1465,"",(tech_base!$J202/tech_proj!AU326*0.086*$N$110)/(1-tech_proj!AU606))</f>
        <v>0</v>
      </c>
      <c r="AV1666" s="127">
        <f>IF(tech_base!$T202&gt;AV$1465,"",(tech_base!$J202/tech_proj!AV326*0.086*$N$110)/(1-tech_proj!AV606))</f>
        <v>0</v>
      </c>
      <c r="AW1666" s="127">
        <f>IF(tech_base!$T202&gt;AW$1465,"",(tech_base!$J202/tech_proj!AW326*0.086*$N$110)/(1-tech_proj!AW606))</f>
        <v>0</v>
      </c>
      <c r="AX1666" s="128">
        <f>IF(tech_base!$T202&gt;AX$1465,"",(tech_base!$J202/tech_proj!AX326*0.086*$N$110)/(1-tech_proj!AX606))</f>
        <v>0</v>
      </c>
    </row>
    <row r="1667" spans="1:50" x14ac:dyDescent="0.25">
      <c r="A1667" s="355" t="s">
        <v>30</v>
      </c>
      <c r="B1667" s="358" t="s">
        <v>13</v>
      </c>
      <c r="C1667" s="353" t="s">
        <v>6</v>
      </c>
      <c r="D1667" s="3" t="s">
        <v>7</v>
      </c>
      <c r="E1667" s="162" t="str">
        <f>A1667&amp;"/"&amp;B1667&amp;"/"&amp;C1667&amp;"/"&amp;D1667</f>
        <v>Biomass and waste fired power plants/Integrated gasification combined cycle/Electricity only/L</v>
      </c>
      <c r="F1667" s="77" t="str">
        <f>A1667</f>
        <v>Biomass and waste fired power plants</v>
      </c>
      <c r="G1667" s="77" t="str">
        <f>B1667</f>
        <v>Integrated gasification combined cycle</v>
      </c>
      <c r="H1667" s="77" t="str">
        <f>C1667</f>
        <v>Electricity only</v>
      </c>
      <c r="I1667" s="163" t="str">
        <f t="shared" si="380"/>
        <v>L</v>
      </c>
      <c r="J1667" s="121">
        <f>IF(tech_base!$T203&gt;J$1465,"",(tech_base!$J203/tech_proj!J327*0.086*$N$110)/(1-tech_proj!J607))</f>
        <v>0</v>
      </c>
      <c r="K1667" s="121">
        <f>IF(tech_base!$T203&gt;K$1465,"",(tech_base!$J203/tech_proj!K327*0.086*$N$110)/(1-tech_proj!K607))</f>
        <v>0</v>
      </c>
      <c r="L1667" s="121">
        <f>IF(tech_base!$T203&gt;L$1465,"",(tech_base!$J203/tech_proj!L327*0.086*$N$110)/(1-tech_proj!L607))</f>
        <v>0</v>
      </c>
      <c r="M1667" s="121">
        <f>IF(tech_base!$T203&gt;M$1465,"",(tech_base!$J203/tech_proj!M327*0.086*$N$110)/(1-tech_proj!M607))</f>
        <v>0</v>
      </c>
      <c r="N1667" s="121">
        <f>IF(tech_base!$T203&gt;N$1465,"",(tech_base!$J203/tech_proj!N327*0.086*$N$110)/(1-tech_proj!N607))</f>
        <v>0</v>
      </c>
      <c r="O1667" s="121">
        <f>IF(tech_base!$T203&gt;O$1465,"",(tech_base!$J203/tech_proj!O327*0.086*$N$110)/(1-tech_proj!O607))</f>
        <v>0</v>
      </c>
      <c r="P1667" s="121">
        <f>IF(tech_base!$T203&gt;P$1465,"",(tech_base!$J203/tech_proj!P327*0.086*$N$110)/(1-tech_proj!P607))</f>
        <v>0</v>
      </c>
      <c r="Q1667" s="121">
        <f>IF(tech_base!$T203&gt;Q$1465,"",(tech_base!$J203/tech_proj!Q327*0.086*$N$110)/(1-tech_proj!Q607))</f>
        <v>0</v>
      </c>
      <c r="R1667" s="121">
        <f>IF(tech_base!$T203&gt;R$1465,"",(tech_base!$J203/tech_proj!R327*0.086*$N$110)/(1-tech_proj!R607))</f>
        <v>0</v>
      </c>
      <c r="S1667" s="121">
        <f>IF(tech_base!$T203&gt;S$1465,"",(tech_base!$J203/tech_proj!S327*0.086*$N$110)/(1-tech_proj!S607))</f>
        <v>0</v>
      </c>
      <c r="T1667" s="121">
        <f>IF(tech_base!$T203&gt;T$1465,"",(tech_base!$J203/tech_proj!T327*0.086*$N$110)/(1-tech_proj!T607))</f>
        <v>0</v>
      </c>
      <c r="U1667" s="121">
        <f>IF(tech_base!$T203&gt;U$1465,"",(tech_base!$J203/tech_proj!U327*0.086*$N$110)/(1-tech_proj!U607))</f>
        <v>0</v>
      </c>
      <c r="V1667" s="121">
        <f>IF(tech_base!$T203&gt;V$1465,"",(tech_base!$J203/tech_proj!V327*0.086*$N$110)/(1-tech_proj!V607))</f>
        <v>0</v>
      </c>
      <c r="W1667" s="121">
        <f>IF(tech_base!$T203&gt;W$1465,"",(tech_base!$J203/tech_proj!W327*0.086*$N$110)/(1-tech_proj!W607))</f>
        <v>0</v>
      </c>
      <c r="X1667" s="121">
        <f>IF(tech_base!$T203&gt;X$1465,"",(tech_base!$J203/tech_proj!X327*0.086*$N$110)/(1-tech_proj!X607))</f>
        <v>0</v>
      </c>
      <c r="Y1667" s="121">
        <f>IF(tech_base!$T203&gt;Y$1465,"",(tech_base!$J203/tech_proj!Y327*0.086*$N$110)/(1-tech_proj!Y607))</f>
        <v>0</v>
      </c>
      <c r="Z1667" s="121">
        <f>IF(tech_base!$T203&gt;Z$1465,"",(tech_base!$J203/tech_proj!Z327*0.086*$N$110)/(1-tech_proj!Z607))</f>
        <v>0</v>
      </c>
      <c r="AA1667" s="121">
        <f>IF(tech_base!$T203&gt;AA$1465,"",(tech_base!$J203/tech_proj!AA327*0.086*$N$110)/(1-tech_proj!AA607))</f>
        <v>0</v>
      </c>
      <c r="AB1667" s="121">
        <f>IF(tech_base!$T203&gt;AB$1465,"",(tech_base!$J203/tech_proj!AB327*0.086*$N$110)/(1-tech_proj!AB607))</f>
        <v>0</v>
      </c>
      <c r="AC1667" s="121">
        <f>IF(tech_base!$T203&gt;AC$1465,"",(tech_base!$J203/tech_proj!AC327*0.086*$N$110)/(1-tech_proj!AC607))</f>
        <v>0</v>
      </c>
      <c r="AD1667" s="121">
        <f>IF(tech_base!$T203&gt;AD$1465,"",(tech_base!$J203/tech_proj!AD327*0.086*$N$110)/(1-tech_proj!AD607))</f>
        <v>0</v>
      </c>
      <c r="AE1667" s="121">
        <f>IF(tech_base!$T203&gt;AE$1465,"",(tech_base!$J203/tech_proj!AE327*0.086*$N$110)/(1-tech_proj!AE607))</f>
        <v>0</v>
      </c>
      <c r="AF1667" s="121">
        <f>IF(tech_base!$T203&gt;AF$1465,"",(tech_base!$J203/tech_proj!AF327*0.086*$N$110)/(1-tech_proj!AF607))</f>
        <v>0</v>
      </c>
      <c r="AG1667" s="121">
        <f>IF(tech_base!$T203&gt;AG$1465,"",(tech_base!$J203/tech_proj!AG327*0.086*$N$110)/(1-tech_proj!AG607))</f>
        <v>0</v>
      </c>
      <c r="AH1667" s="121">
        <f>IF(tech_base!$T203&gt;AH$1465,"",(tech_base!$J203/tech_proj!AH327*0.086*$N$110)/(1-tech_proj!AH607))</f>
        <v>0</v>
      </c>
      <c r="AI1667" s="121">
        <f>IF(tech_base!$T203&gt;AI$1465,"",(tech_base!$J203/tech_proj!AI327*0.086*$N$110)/(1-tech_proj!AI607))</f>
        <v>0</v>
      </c>
      <c r="AJ1667" s="121">
        <f>IF(tech_base!$T203&gt;AJ$1465,"",(tech_base!$J203/tech_proj!AJ327*0.086*$N$110)/(1-tech_proj!AJ607))</f>
        <v>0</v>
      </c>
      <c r="AK1667" s="121">
        <f>IF(tech_base!$T203&gt;AK$1465,"",(tech_base!$J203/tech_proj!AK327*0.086*$N$110)/(1-tech_proj!AK607))</f>
        <v>0</v>
      </c>
      <c r="AL1667" s="121">
        <f>IF(tech_base!$T203&gt;AL$1465,"",(tech_base!$J203/tech_proj!AL327*0.086*$N$110)/(1-tech_proj!AL607))</f>
        <v>0</v>
      </c>
      <c r="AM1667" s="121">
        <f>IF(tech_base!$T203&gt;AM$1465,"",(tech_base!$J203/tech_proj!AM327*0.086*$N$110)/(1-tech_proj!AM607))</f>
        <v>0</v>
      </c>
      <c r="AN1667" s="121">
        <f>IF(tech_base!$T203&gt;AN$1465,"",(tech_base!$J203/tech_proj!AN327*0.086*$N$110)/(1-tech_proj!AN607))</f>
        <v>0</v>
      </c>
      <c r="AO1667" s="121">
        <f>IF(tech_base!$T203&gt;AO$1465,"",(tech_base!$J203/tech_proj!AO327*0.086*$N$110)/(1-tech_proj!AO607))</f>
        <v>0</v>
      </c>
      <c r="AP1667" s="121">
        <f>IF(tech_base!$T203&gt;AP$1465,"",(tech_base!$J203/tech_proj!AP327*0.086*$N$110)/(1-tech_proj!AP607))</f>
        <v>0</v>
      </c>
      <c r="AQ1667" s="121">
        <f>IF(tech_base!$T203&gt;AQ$1465,"",(tech_base!$J203/tech_proj!AQ327*0.086*$N$110)/(1-tech_proj!AQ607))</f>
        <v>0</v>
      </c>
      <c r="AR1667" s="121">
        <f>IF(tech_base!$T203&gt;AR$1465,"",(tech_base!$J203/tech_proj!AR327*0.086*$N$110)/(1-tech_proj!AR607))</f>
        <v>0</v>
      </c>
      <c r="AS1667" s="121">
        <f>IF(tech_base!$T203&gt;AS$1465,"",(tech_base!$J203/tech_proj!AS327*0.086*$N$110)/(1-tech_proj!AS607))</f>
        <v>0</v>
      </c>
      <c r="AT1667" s="121">
        <f>IF(tech_base!$T203&gt;AT$1465,"",(tech_base!$J203/tech_proj!AT327*0.086*$N$110)/(1-tech_proj!AT607))</f>
        <v>0</v>
      </c>
      <c r="AU1667" s="121">
        <f>IF(tech_base!$T203&gt;AU$1465,"",(tech_base!$J203/tech_proj!AU327*0.086*$N$110)/(1-tech_proj!AU607))</f>
        <v>0</v>
      </c>
      <c r="AV1667" s="121">
        <f>IF(tech_base!$T203&gt;AV$1465,"",(tech_base!$J203/tech_proj!AV327*0.086*$N$110)/(1-tech_proj!AV607))</f>
        <v>0</v>
      </c>
      <c r="AW1667" s="121">
        <f>IF(tech_base!$T203&gt;AW$1465,"",(tech_base!$J203/tech_proj!AW327*0.086*$N$110)/(1-tech_proj!AW607))</f>
        <v>0</v>
      </c>
      <c r="AX1667" s="122">
        <f>IF(tech_base!$T203&gt;AX$1465,"",(tech_base!$J203/tech_proj!AX327*0.086*$N$110)/(1-tech_proj!AX607))</f>
        <v>0</v>
      </c>
    </row>
    <row r="1668" spans="1:50" x14ac:dyDescent="0.25">
      <c r="A1668" s="356"/>
      <c r="B1668" s="376"/>
      <c r="C1668" s="379"/>
      <c r="D1668" s="2" t="s">
        <v>8</v>
      </c>
      <c r="E1668" s="160" t="str">
        <f>A1667&amp;"/"&amp;B1667&amp;"/"&amp;C1667&amp;"/"&amp;D1668</f>
        <v>Biomass and waste fired power plants/Integrated gasification combined cycle/Electricity only/M</v>
      </c>
      <c r="F1668" s="76" t="str">
        <f>A1667</f>
        <v>Biomass and waste fired power plants</v>
      </c>
      <c r="G1668" s="76" t="str">
        <f>B1667</f>
        <v>Integrated gasification combined cycle</v>
      </c>
      <c r="H1668" s="76" t="str">
        <f>C1667</f>
        <v>Electricity only</v>
      </c>
      <c r="I1668" s="161" t="str">
        <f t="shared" si="380"/>
        <v>M</v>
      </c>
      <c r="J1668" s="119">
        <f>IF(tech_base!$T204&gt;J$1465,"",(tech_base!$J204/tech_proj!J328*0.086*$N$110)/(1-tech_proj!J608))</f>
        <v>0</v>
      </c>
      <c r="K1668" s="119">
        <f>IF(tech_base!$T204&gt;K$1465,"",(tech_base!$J204/tech_proj!K328*0.086*$N$110)/(1-tech_proj!K608))</f>
        <v>0</v>
      </c>
      <c r="L1668" s="119">
        <f>IF(tech_base!$T204&gt;L$1465,"",(tech_base!$J204/tech_proj!L328*0.086*$N$110)/(1-tech_proj!L608))</f>
        <v>0</v>
      </c>
      <c r="M1668" s="119">
        <f>IF(tech_base!$T204&gt;M$1465,"",(tech_base!$J204/tech_proj!M328*0.086*$N$110)/(1-tech_proj!M608))</f>
        <v>0</v>
      </c>
      <c r="N1668" s="119">
        <f>IF(tech_base!$T204&gt;N$1465,"",(tech_base!$J204/tech_proj!N328*0.086*$N$110)/(1-tech_proj!N608))</f>
        <v>0</v>
      </c>
      <c r="O1668" s="119">
        <f>IF(tech_base!$T204&gt;O$1465,"",(tech_base!$J204/tech_proj!O328*0.086*$N$110)/(1-tech_proj!O608))</f>
        <v>0</v>
      </c>
      <c r="P1668" s="119">
        <f>IF(tech_base!$T204&gt;P$1465,"",(tech_base!$J204/tech_proj!P328*0.086*$N$110)/(1-tech_proj!P608))</f>
        <v>0</v>
      </c>
      <c r="Q1668" s="119">
        <f>IF(tech_base!$T204&gt;Q$1465,"",(tech_base!$J204/tech_proj!Q328*0.086*$N$110)/(1-tech_proj!Q608))</f>
        <v>0</v>
      </c>
      <c r="R1668" s="119">
        <f>IF(tech_base!$T204&gt;R$1465,"",(tech_base!$J204/tech_proj!R328*0.086*$N$110)/(1-tech_proj!R608))</f>
        <v>0</v>
      </c>
      <c r="S1668" s="119">
        <f>IF(tech_base!$T204&gt;S$1465,"",(tech_base!$J204/tech_proj!S328*0.086*$N$110)/(1-tech_proj!S608))</f>
        <v>0</v>
      </c>
      <c r="T1668" s="119">
        <f>IF(tech_base!$T204&gt;T$1465,"",(tech_base!$J204/tech_proj!T328*0.086*$N$110)/(1-tech_proj!T608))</f>
        <v>0</v>
      </c>
      <c r="U1668" s="119">
        <f>IF(tech_base!$T204&gt;U$1465,"",(tech_base!$J204/tech_proj!U328*0.086*$N$110)/(1-tech_proj!U608))</f>
        <v>0</v>
      </c>
      <c r="V1668" s="119">
        <f>IF(tech_base!$T204&gt;V$1465,"",(tech_base!$J204/tech_proj!V328*0.086*$N$110)/(1-tech_proj!V608))</f>
        <v>0</v>
      </c>
      <c r="W1668" s="119">
        <f>IF(tech_base!$T204&gt;W$1465,"",(tech_base!$J204/tech_proj!W328*0.086*$N$110)/(1-tech_proj!W608))</f>
        <v>0</v>
      </c>
      <c r="X1668" s="119">
        <f>IF(tech_base!$T204&gt;X$1465,"",(tech_base!$J204/tech_proj!X328*0.086*$N$110)/(1-tech_proj!X608))</f>
        <v>0</v>
      </c>
      <c r="Y1668" s="119">
        <f>IF(tech_base!$T204&gt;Y$1465,"",(tech_base!$J204/tech_proj!Y328*0.086*$N$110)/(1-tech_proj!Y608))</f>
        <v>0</v>
      </c>
      <c r="Z1668" s="119">
        <f>IF(tech_base!$T204&gt;Z$1465,"",(tech_base!$J204/tech_proj!Z328*0.086*$N$110)/(1-tech_proj!Z608))</f>
        <v>0</v>
      </c>
      <c r="AA1668" s="119">
        <f>IF(tech_base!$T204&gt;AA$1465,"",(tech_base!$J204/tech_proj!AA328*0.086*$N$110)/(1-tech_proj!AA608))</f>
        <v>0</v>
      </c>
      <c r="AB1668" s="119">
        <f>IF(tech_base!$T204&gt;AB$1465,"",(tech_base!$J204/tech_proj!AB328*0.086*$N$110)/(1-tech_proj!AB608))</f>
        <v>0</v>
      </c>
      <c r="AC1668" s="119">
        <f>IF(tech_base!$T204&gt;AC$1465,"",(tech_base!$J204/tech_proj!AC328*0.086*$N$110)/(1-tech_proj!AC608))</f>
        <v>0</v>
      </c>
      <c r="AD1668" s="119">
        <f>IF(tech_base!$T204&gt;AD$1465,"",(tech_base!$J204/tech_proj!AD328*0.086*$N$110)/(1-tech_proj!AD608))</f>
        <v>0</v>
      </c>
      <c r="AE1668" s="119">
        <f>IF(tech_base!$T204&gt;AE$1465,"",(tech_base!$J204/tech_proj!AE328*0.086*$N$110)/(1-tech_proj!AE608))</f>
        <v>0</v>
      </c>
      <c r="AF1668" s="119">
        <f>IF(tech_base!$T204&gt;AF$1465,"",(tech_base!$J204/tech_proj!AF328*0.086*$N$110)/(1-tech_proj!AF608))</f>
        <v>0</v>
      </c>
      <c r="AG1668" s="119">
        <f>IF(tech_base!$T204&gt;AG$1465,"",(tech_base!$J204/tech_proj!AG328*0.086*$N$110)/(1-tech_proj!AG608))</f>
        <v>0</v>
      </c>
      <c r="AH1668" s="119">
        <f>IF(tech_base!$T204&gt;AH$1465,"",(tech_base!$J204/tech_proj!AH328*0.086*$N$110)/(1-tech_proj!AH608))</f>
        <v>0</v>
      </c>
      <c r="AI1668" s="119">
        <f>IF(tech_base!$T204&gt;AI$1465,"",(tech_base!$J204/tech_proj!AI328*0.086*$N$110)/(1-tech_proj!AI608))</f>
        <v>0</v>
      </c>
      <c r="AJ1668" s="119">
        <f>IF(tech_base!$T204&gt;AJ$1465,"",(tech_base!$J204/tech_proj!AJ328*0.086*$N$110)/(1-tech_proj!AJ608))</f>
        <v>0</v>
      </c>
      <c r="AK1668" s="119">
        <f>IF(tech_base!$T204&gt;AK$1465,"",(tech_base!$J204/tech_proj!AK328*0.086*$N$110)/(1-tech_proj!AK608))</f>
        <v>0</v>
      </c>
      <c r="AL1668" s="119">
        <f>IF(tech_base!$T204&gt;AL$1465,"",(tech_base!$J204/tech_proj!AL328*0.086*$N$110)/(1-tech_proj!AL608))</f>
        <v>0</v>
      </c>
      <c r="AM1668" s="119">
        <f>IF(tech_base!$T204&gt;AM$1465,"",(tech_base!$J204/tech_proj!AM328*0.086*$N$110)/(1-tech_proj!AM608))</f>
        <v>0</v>
      </c>
      <c r="AN1668" s="119">
        <f>IF(tech_base!$T204&gt;AN$1465,"",(tech_base!$J204/tech_proj!AN328*0.086*$N$110)/(1-tech_proj!AN608))</f>
        <v>0</v>
      </c>
      <c r="AO1668" s="119">
        <f>IF(tech_base!$T204&gt;AO$1465,"",(tech_base!$J204/tech_proj!AO328*0.086*$N$110)/(1-tech_proj!AO608))</f>
        <v>0</v>
      </c>
      <c r="AP1668" s="119">
        <f>IF(tech_base!$T204&gt;AP$1465,"",(tech_base!$J204/tech_proj!AP328*0.086*$N$110)/(1-tech_proj!AP608))</f>
        <v>0</v>
      </c>
      <c r="AQ1668" s="119">
        <f>IF(tech_base!$T204&gt;AQ$1465,"",(tech_base!$J204/tech_proj!AQ328*0.086*$N$110)/(1-tech_proj!AQ608))</f>
        <v>0</v>
      </c>
      <c r="AR1668" s="119">
        <f>IF(tech_base!$T204&gt;AR$1465,"",(tech_base!$J204/tech_proj!AR328*0.086*$N$110)/(1-tech_proj!AR608))</f>
        <v>0</v>
      </c>
      <c r="AS1668" s="119">
        <f>IF(tech_base!$T204&gt;AS$1465,"",(tech_base!$J204/tech_proj!AS328*0.086*$N$110)/(1-tech_proj!AS608))</f>
        <v>0</v>
      </c>
      <c r="AT1668" s="119">
        <f>IF(tech_base!$T204&gt;AT$1465,"",(tech_base!$J204/tech_proj!AT328*0.086*$N$110)/(1-tech_proj!AT608))</f>
        <v>0</v>
      </c>
      <c r="AU1668" s="119">
        <f>IF(tech_base!$T204&gt;AU$1465,"",(tech_base!$J204/tech_proj!AU328*0.086*$N$110)/(1-tech_proj!AU608))</f>
        <v>0</v>
      </c>
      <c r="AV1668" s="119">
        <f>IF(tech_base!$T204&gt;AV$1465,"",(tech_base!$J204/tech_proj!AV328*0.086*$N$110)/(1-tech_proj!AV608))</f>
        <v>0</v>
      </c>
      <c r="AW1668" s="119">
        <f>IF(tech_base!$T204&gt;AW$1465,"",(tech_base!$J204/tech_proj!AW328*0.086*$N$110)/(1-tech_proj!AW608))</f>
        <v>0</v>
      </c>
      <c r="AX1668" s="120">
        <f>IF(tech_base!$T204&gt;AX$1465,"",(tech_base!$J204/tech_proj!AX328*0.086*$N$110)/(1-tech_proj!AX608))</f>
        <v>0</v>
      </c>
    </row>
    <row r="1669" spans="1:50" x14ac:dyDescent="0.25">
      <c r="A1669" s="356"/>
      <c r="B1669" s="376"/>
      <c r="C1669" s="361" t="s">
        <v>14</v>
      </c>
      <c r="D1669" s="58" t="s">
        <v>7</v>
      </c>
      <c r="E1669" s="164" t="str">
        <f>A1667&amp;"/"&amp;B1667&amp;"/"&amp;C1669&amp;"/"&amp;D1669</f>
        <v>Biomass and waste fired power plants/Integrated gasification combined cycle/CHP/L</v>
      </c>
      <c r="F1669" s="78" t="str">
        <f>A1667</f>
        <v>Biomass and waste fired power plants</v>
      </c>
      <c r="G1669" s="78" t="str">
        <f>B1667</f>
        <v>Integrated gasification combined cycle</v>
      </c>
      <c r="H1669" s="78" t="str">
        <f>C1669</f>
        <v>CHP</v>
      </c>
      <c r="I1669" s="165" t="str">
        <f t="shared" si="380"/>
        <v>L</v>
      </c>
      <c r="J1669" s="123">
        <f>IF(tech_base!$T205&gt;J$1465,"",(tech_base!$J205/tech_proj!J329*0.086*$N$110)/(1-tech_proj!J609))</f>
        <v>0</v>
      </c>
      <c r="K1669" s="123">
        <f>IF(tech_base!$T205&gt;K$1465,"",(tech_base!$J205/tech_proj!K329*0.086*$N$110)/(1-tech_proj!K609))</f>
        <v>0</v>
      </c>
      <c r="L1669" s="123">
        <f>IF(tech_base!$T205&gt;L$1465,"",(tech_base!$J205/tech_proj!L329*0.086*$N$110)/(1-tech_proj!L609))</f>
        <v>0</v>
      </c>
      <c r="M1669" s="123">
        <f>IF(tech_base!$T205&gt;M$1465,"",(tech_base!$J205/tech_proj!M329*0.086*$N$110)/(1-tech_proj!M609))</f>
        <v>0</v>
      </c>
      <c r="N1669" s="123">
        <f>IF(tech_base!$T205&gt;N$1465,"",(tech_base!$J205/tech_proj!N329*0.086*$N$110)/(1-tech_proj!N609))</f>
        <v>0</v>
      </c>
      <c r="O1669" s="123">
        <f>IF(tech_base!$T205&gt;O$1465,"",(tech_base!$J205/tech_proj!O329*0.086*$N$110)/(1-tech_proj!O609))</f>
        <v>0</v>
      </c>
      <c r="P1669" s="123">
        <f>IF(tech_base!$T205&gt;P$1465,"",(tech_base!$J205/tech_proj!P329*0.086*$N$110)/(1-tech_proj!P609))</f>
        <v>0</v>
      </c>
      <c r="Q1669" s="123">
        <f>IF(tech_base!$T205&gt;Q$1465,"",(tech_base!$J205/tech_proj!Q329*0.086*$N$110)/(1-tech_proj!Q609))</f>
        <v>0</v>
      </c>
      <c r="R1669" s="123">
        <f>IF(tech_base!$T205&gt;R$1465,"",(tech_base!$J205/tech_proj!R329*0.086*$N$110)/(1-tech_proj!R609))</f>
        <v>0</v>
      </c>
      <c r="S1669" s="123">
        <f>IF(tech_base!$T205&gt;S$1465,"",(tech_base!$J205/tech_proj!S329*0.086*$N$110)/(1-tech_proj!S609))</f>
        <v>0</v>
      </c>
      <c r="T1669" s="123">
        <f>IF(tech_base!$T205&gt;T$1465,"",(tech_base!$J205/tech_proj!T329*0.086*$N$110)/(1-tech_proj!T609))</f>
        <v>0</v>
      </c>
      <c r="U1669" s="123">
        <f>IF(tech_base!$T205&gt;U$1465,"",(tech_base!$J205/tech_proj!U329*0.086*$N$110)/(1-tech_proj!U609))</f>
        <v>0</v>
      </c>
      <c r="V1669" s="123">
        <f>IF(tech_base!$T205&gt;V$1465,"",(tech_base!$J205/tech_proj!V329*0.086*$N$110)/(1-tech_proj!V609))</f>
        <v>0</v>
      </c>
      <c r="W1669" s="123">
        <f>IF(tech_base!$T205&gt;W$1465,"",(tech_base!$J205/tech_proj!W329*0.086*$N$110)/(1-tech_proj!W609))</f>
        <v>0</v>
      </c>
      <c r="X1669" s="123">
        <f>IF(tech_base!$T205&gt;X$1465,"",(tech_base!$J205/tech_proj!X329*0.086*$N$110)/(1-tech_proj!X609))</f>
        <v>0</v>
      </c>
      <c r="Y1669" s="123">
        <f>IF(tech_base!$T205&gt;Y$1465,"",(tech_base!$J205/tech_proj!Y329*0.086*$N$110)/(1-tech_proj!Y609))</f>
        <v>0</v>
      </c>
      <c r="Z1669" s="123">
        <f>IF(tech_base!$T205&gt;Z$1465,"",(tech_base!$J205/tech_proj!Z329*0.086*$N$110)/(1-tech_proj!Z609))</f>
        <v>0</v>
      </c>
      <c r="AA1669" s="123">
        <f>IF(tech_base!$T205&gt;AA$1465,"",(tech_base!$J205/tech_proj!AA329*0.086*$N$110)/(1-tech_proj!AA609))</f>
        <v>0</v>
      </c>
      <c r="AB1669" s="123">
        <f>IF(tech_base!$T205&gt;AB$1465,"",(tech_base!$J205/tech_proj!AB329*0.086*$N$110)/(1-tech_proj!AB609))</f>
        <v>0</v>
      </c>
      <c r="AC1669" s="123">
        <f>IF(tech_base!$T205&gt;AC$1465,"",(tech_base!$J205/tech_proj!AC329*0.086*$N$110)/(1-tech_proj!AC609))</f>
        <v>0</v>
      </c>
      <c r="AD1669" s="123">
        <f>IF(tech_base!$T205&gt;AD$1465,"",(tech_base!$J205/tech_proj!AD329*0.086*$N$110)/(1-tech_proj!AD609))</f>
        <v>0</v>
      </c>
      <c r="AE1669" s="123">
        <f>IF(tech_base!$T205&gt;AE$1465,"",(tech_base!$J205/tech_proj!AE329*0.086*$N$110)/(1-tech_proj!AE609))</f>
        <v>0</v>
      </c>
      <c r="AF1669" s="123">
        <f>IF(tech_base!$T205&gt;AF$1465,"",(tech_base!$J205/tech_proj!AF329*0.086*$N$110)/(1-tech_proj!AF609))</f>
        <v>0</v>
      </c>
      <c r="AG1669" s="123">
        <f>IF(tech_base!$T205&gt;AG$1465,"",(tech_base!$J205/tech_proj!AG329*0.086*$N$110)/(1-tech_proj!AG609))</f>
        <v>0</v>
      </c>
      <c r="AH1669" s="123">
        <f>IF(tech_base!$T205&gt;AH$1465,"",(tech_base!$J205/tech_proj!AH329*0.086*$N$110)/(1-tech_proj!AH609))</f>
        <v>0</v>
      </c>
      <c r="AI1669" s="123">
        <f>IF(tech_base!$T205&gt;AI$1465,"",(tech_base!$J205/tech_proj!AI329*0.086*$N$110)/(1-tech_proj!AI609))</f>
        <v>0</v>
      </c>
      <c r="AJ1669" s="123">
        <f>IF(tech_base!$T205&gt;AJ$1465,"",(tech_base!$J205/tech_proj!AJ329*0.086*$N$110)/(1-tech_proj!AJ609))</f>
        <v>0</v>
      </c>
      <c r="AK1669" s="123">
        <f>IF(tech_base!$T205&gt;AK$1465,"",(tech_base!$J205/tech_proj!AK329*0.086*$N$110)/(1-tech_proj!AK609))</f>
        <v>0</v>
      </c>
      <c r="AL1669" s="123">
        <f>IF(tech_base!$T205&gt;AL$1465,"",(tech_base!$J205/tech_proj!AL329*0.086*$N$110)/(1-tech_proj!AL609))</f>
        <v>0</v>
      </c>
      <c r="AM1669" s="123">
        <f>IF(tech_base!$T205&gt;AM$1465,"",(tech_base!$J205/tech_proj!AM329*0.086*$N$110)/(1-tech_proj!AM609))</f>
        <v>0</v>
      </c>
      <c r="AN1669" s="123">
        <f>IF(tech_base!$T205&gt;AN$1465,"",(tech_base!$J205/tech_proj!AN329*0.086*$N$110)/(1-tech_proj!AN609))</f>
        <v>0</v>
      </c>
      <c r="AO1669" s="123">
        <f>IF(tech_base!$T205&gt;AO$1465,"",(tech_base!$J205/tech_proj!AO329*0.086*$N$110)/(1-tech_proj!AO609))</f>
        <v>0</v>
      </c>
      <c r="AP1669" s="123">
        <f>IF(tech_base!$T205&gt;AP$1465,"",(tech_base!$J205/tech_proj!AP329*0.086*$N$110)/(1-tech_proj!AP609))</f>
        <v>0</v>
      </c>
      <c r="AQ1669" s="123">
        <f>IF(tech_base!$T205&gt;AQ$1465,"",(tech_base!$J205/tech_proj!AQ329*0.086*$N$110)/(1-tech_proj!AQ609))</f>
        <v>0</v>
      </c>
      <c r="AR1669" s="123">
        <f>IF(tech_base!$T205&gt;AR$1465,"",(tech_base!$J205/tech_proj!AR329*0.086*$N$110)/(1-tech_proj!AR609))</f>
        <v>0</v>
      </c>
      <c r="AS1669" s="123">
        <f>IF(tech_base!$T205&gt;AS$1465,"",(tech_base!$J205/tech_proj!AS329*0.086*$N$110)/(1-tech_proj!AS609))</f>
        <v>0</v>
      </c>
      <c r="AT1669" s="123">
        <f>IF(tech_base!$T205&gt;AT$1465,"",(tech_base!$J205/tech_proj!AT329*0.086*$N$110)/(1-tech_proj!AT609))</f>
        <v>0</v>
      </c>
      <c r="AU1669" s="123">
        <f>IF(tech_base!$T205&gt;AU$1465,"",(tech_base!$J205/tech_proj!AU329*0.086*$N$110)/(1-tech_proj!AU609))</f>
        <v>0</v>
      </c>
      <c r="AV1669" s="123">
        <f>IF(tech_base!$T205&gt;AV$1465,"",(tech_base!$J205/tech_proj!AV329*0.086*$N$110)/(1-tech_proj!AV609))</f>
        <v>0</v>
      </c>
      <c r="AW1669" s="123">
        <f>IF(tech_base!$T205&gt;AW$1465,"",(tech_base!$J205/tech_proj!AW329*0.086*$N$110)/(1-tech_proj!AW609))</f>
        <v>0</v>
      </c>
      <c r="AX1669" s="124">
        <f>IF(tech_base!$T205&gt;AX$1465,"",(tech_base!$J205/tech_proj!AX329*0.086*$N$110)/(1-tech_proj!AX609))</f>
        <v>0</v>
      </c>
    </row>
    <row r="1670" spans="1:50" x14ac:dyDescent="0.25">
      <c r="A1670" s="356"/>
      <c r="B1670" s="376"/>
      <c r="C1670" s="379"/>
      <c r="D1670" s="59" t="s">
        <v>8</v>
      </c>
      <c r="E1670" s="166" t="str">
        <f>A1667&amp;"/"&amp;B1667&amp;"/"&amp;C1669&amp;"/"&amp;D1670</f>
        <v>Biomass and waste fired power plants/Integrated gasification combined cycle/CHP/M</v>
      </c>
      <c r="F1670" s="79" t="str">
        <f>A1667</f>
        <v>Biomass and waste fired power plants</v>
      </c>
      <c r="G1670" s="79" t="str">
        <f>B1667</f>
        <v>Integrated gasification combined cycle</v>
      </c>
      <c r="H1670" s="79" t="str">
        <f>C1669</f>
        <v>CHP</v>
      </c>
      <c r="I1670" s="167" t="str">
        <f t="shared" si="380"/>
        <v>M</v>
      </c>
      <c r="J1670" s="125">
        <f>IF(tech_base!$T206&gt;J$1465,"",(tech_base!$J206/tech_proj!J330*0.086*$N$110)/(1-tech_proj!J610))</f>
        <v>0</v>
      </c>
      <c r="K1670" s="125">
        <f>IF(tech_base!$T206&gt;K$1465,"",(tech_base!$J206/tech_proj!K330*0.086*$N$110)/(1-tech_proj!K610))</f>
        <v>0</v>
      </c>
      <c r="L1670" s="125">
        <f>IF(tech_base!$T206&gt;L$1465,"",(tech_base!$J206/tech_proj!L330*0.086*$N$110)/(1-tech_proj!L610))</f>
        <v>0</v>
      </c>
      <c r="M1670" s="125">
        <f>IF(tech_base!$T206&gt;M$1465,"",(tech_base!$J206/tech_proj!M330*0.086*$N$110)/(1-tech_proj!M610))</f>
        <v>0</v>
      </c>
      <c r="N1670" s="125">
        <f>IF(tech_base!$T206&gt;N$1465,"",(tech_base!$J206/tech_proj!N330*0.086*$N$110)/(1-tech_proj!N610))</f>
        <v>0</v>
      </c>
      <c r="O1670" s="125">
        <f>IF(tech_base!$T206&gt;O$1465,"",(tech_base!$J206/tech_proj!O330*0.086*$N$110)/(1-tech_proj!O610))</f>
        <v>0</v>
      </c>
      <c r="P1670" s="125">
        <f>IF(tech_base!$T206&gt;P$1465,"",(tech_base!$J206/tech_proj!P330*0.086*$N$110)/(1-tech_proj!P610))</f>
        <v>0</v>
      </c>
      <c r="Q1670" s="125">
        <f>IF(tech_base!$T206&gt;Q$1465,"",(tech_base!$J206/tech_proj!Q330*0.086*$N$110)/(1-tech_proj!Q610))</f>
        <v>0</v>
      </c>
      <c r="R1670" s="125">
        <f>IF(tech_base!$T206&gt;R$1465,"",(tech_base!$J206/tech_proj!R330*0.086*$N$110)/(1-tech_proj!R610))</f>
        <v>0</v>
      </c>
      <c r="S1670" s="125">
        <f>IF(tech_base!$T206&gt;S$1465,"",(tech_base!$J206/tech_proj!S330*0.086*$N$110)/(1-tech_proj!S610))</f>
        <v>0</v>
      </c>
      <c r="T1670" s="125">
        <f>IF(tech_base!$T206&gt;T$1465,"",(tech_base!$J206/tech_proj!T330*0.086*$N$110)/(1-tech_proj!T610))</f>
        <v>0</v>
      </c>
      <c r="U1670" s="125">
        <f>IF(tech_base!$T206&gt;U$1465,"",(tech_base!$J206/tech_proj!U330*0.086*$N$110)/(1-tech_proj!U610))</f>
        <v>0</v>
      </c>
      <c r="V1670" s="125">
        <f>IF(tech_base!$T206&gt;V$1465,"",(tech_base!$J206/tech_proj!V330*0.086*$N$110)/(1-tech_proj!V610))</f>
        <v>0</v>
      </c>
      <c r="W1670" s="125">
        <f>IF(tech_base!$T206&gt;W$1465,"",(tech_base!$J206/tech_proj!W330*0.086*$N$110)/(1-tech_proj!W610))</f>
        <v>0</v>
      </c>
      <c r="X1670" s="125">
        <f>IF(tech_base!$T206&gt;X$1465,"",(tech_base!$J206/tech_proj!X330*0.086*$N$110)/(1-tech_proj!X610))</f>
        <v>0</v>
      </c>
      <c r="Y1670" s="125">
        <f>IF(tech_base!$T206&gt;Y$1465,"",(tech_base!$J206/tech_proj!Y330*0.086*$N$110)/(1-tech_proj!Y610))</f>
        <v>0</v>
      </c>
      <c r="Z1670" s="125">
        <f>IF(tech_base!$T206&gt;Z$1465,"",(tech_base!$J206/tech_proj!Z330*0.086*$N$110)/(1-tech_proj!Z610))</f>
        <v>0</v>
      </c>
      <c r="AA1670" s="125">
        <f>IF(tech_base!$T206&gt;AA$1465,"",(tech_base!$J206/tech_proj!AA330*0.086*$N$110)/(1-tech_proj!AA610))</f>
        <v>0</v>
      </c>
      <c r="AB1670" s="125">
        <f>IF(tech_base!$T206&gt;AB$1465,"",(tech_base!$J206/tech_proj!AB330*0.086*$N$110)/(1-tech_proj!AB610))</f>
        <v>0</v>
      </c>
      <c r="AC1670" s="125">
        <f>IF(tech_base!$T206&gt;AC$1465,"",(tech_base!$J206/tech_proj!AC330*0.086*$N$110)/(1-tech_proj!AC610))</f>
        <v>0</v>
      </c>
      <c r="AD1670" s="125">
        <f>IF(tech_base!$T206&gt;AD$1465,"",(tech_base!$J206/tech_proj!AD330*0.086*$N$110)/(1-tech_proj!AD610))</f>
        <v>0</v>
      </c>
      <c r="AE1670" s="125">
        <f>IF(tech_base!$T206&gt;AE$1465,"",(tech_base!$J206/tech_proj!AE330*0.086*$N$110)/(1-tech_proj!AE610))</f>
        <v>0</v>
      </c>
      <c r="AF1670" s="125">
        <f>IF(tech_base!$T206&gt;AF$1465,"",(tech_base!$J206/tech_proj!AF330*0.086*$N$110)/(1-tech_proj!AF610))</f>
        <v>0</v>
      </c>
      <c r="AG1670" s="125">
        <f>IF(tech_base!$T206&gt;AG$1465,"",(tech_base!$J206/tech_proj!AG330*0.086*$N$110)/(1-tech_proj!AG610))</f>
        <v>0</v>
      </c>
      <c r="AH1670" s="125">
        <f>IF(tech_base!$T206&gt;AH$1465,"",(tech_base!$J206/tech_proj!AH330*0.086*$N$110)/(1-tech_proj!AH610))</f>
        <v>0</v>
      </c>
      <c r="AI1670" s="125">
        <f>IF(tech_base!$T206&gt;AI$1465,"",(tech_base!$J206/tech_proj!AI330*0.086*$N$110)/(1-tech_proj!AI610))</f>
        <v>0</v>
      </c>
      <c r="AJ1670" s="125">
        <f>IF(tech_base!$T206&gt;AJ$1465,"",(tech_base!$J206/tech_proj!AJ330*0.086*$N$110)/(1-tech_proj!AJ610))</f>
        <v>0</v>
      </c>
      <c r="AK1670" s="125">
        <f>IF(tech_base!$T206&gt;AK$1465,"",(tech_base!$J206/tech_proj!AK330*0.086*$N$110)/(1-tech_proj!AK610))</f>
        <v>0</v>
      </c>
      <c r="AL1670" s="125">
        <f>IF(tech_base!$T206&gt;AL$1465,"",(tech_base!$J206/tech_proj!AL330*0.086*$N$110)/(1-tech_proj!AL610))</f>
        <v>0</v>
      </c>
      <c r="AM1670" s="125">
        <f>IF(tech_base!$T206&gt;AM$1465,"",(tech_base!$J206/tech_proj!AM330*0.086*$N$110)/(1-tech_proj!AM610))</f>
        <v>0</v>
      </c>
      <c r="AN1670" s="125">
        <f>IF(tech_base!$T206&gt;AN$1465,"",(tech_base!$J206/tech_proj!AN330*0.086*$N$110)/(1-tech_proj!AN610))</f>
        <v>0</v>
      </c>
      <c r="AO1670" s="125">
        <f>IF(tech_base!$T206&gt;AO$1465,"",(tech_base!$J206/tech_proj!AO330*0.086*$N$110)/(1-tech_proj!AO610))</f>
        <v>0</v>
      </c>
      <c r="AP1670" s="125">
        <f>IF(tech_base!$T206&gt;AP$1465,"",(tech_base!$J206/tech_proj!AP330*0.086*$N$110)/(1-tech_proj!AP610))</f>
        <v>0</v>
      </c>
      <c r="AQ1670" s="125">
        <f>IF(tech_base!$T206&gt;AQ$1465,"",(tech_base!$J206/tech_proj!AQ330*0.086*$N$110)/(1-tech_proj!AQ610))</f>
        <v>0</v>
      </c>
      <c r="AR1670" s="125">
        <f>IF(tech_base!$T206&gt;AR$1465,"",(tech_base!$J206/tech_proj!AR330*0.086*$N$110)/(1-tech_proj!AR610))</f>
        <v>0</v>
      </c>
      <c r="AS1670" s="125">
        <f>IF(tech_base!$T206&gt;AS$1465,"",(tech_base!$J206/tech_proj!AS330*0.086*$N$110)/(1-tech_proj!AS610))</f>
        <v>0</v>
      </c>
      <c r="AT1670" s="125">
        <f>IF(tech_base!$T206&gt;AT$1465,"",(tech_base!$J206/tech_proj!AT330*0.086*$N$110)/(1-tech_proj!AT610))</f>
        <v>0</v>
      </c>
      <c r="AU1670" s="125">
        <f>IF(tech_base!$T206&gt;AU$1465,"",(tech_base!$J206/tech_proj!AU330*0.086*$N$110)/(1-tech_proj!AU610))</f>
        <v>0</v>
      </c>
      <c r="AV1670" s="125">
        <f>IF(tech_base!$T206&gt;AV$1465,"",(tech_base!$J206/tech_proj!AV330*0.086*$N$110)/(1-tech_proj!AV610))</f>
        <v>0</v>
      </c>
      <c r="AW1670" s="125">
        <f>IF(tech_base!$T206&gt;AW$1465,"",(tech_base!$J206/tech_proj!AW330*0.086*$N$110)/(1-tech_proj!AW610))</f>
        <v>0</v>
      </c>
      <c r="AX1670" s="126">
        <f>IF(tech_base!$T206&gt;AX$1465,"",(tech_base!$J206/tech_proj!AX330*0.086*$N$110)/(1-tech_proj!AX610))</f>
        <v>0</v>
      </c>
    </row>
    <row r="1671" spans="1:50" x14ac:dyDescent="0.25">
      <c r="A1671" s="356"/>
      <c r="B1671" s="376"/>
      <c r="C1671" s="361" t="s">
        <v>15</v>
      </c>
      <c r="D1671" s="58" t="s">
        <v>7</v>
      </c>
      <c r="E1671" s="164" t="str">
        <f>A1667&amp;"/"&amp;B1667&amp;"/"&amp;C1671&amp;"/"&amp;D1671</f>
        <v>Biomass and waste fired power plants/Integrated gasification combined cycle/Electricity only with CCS/L</v>
      </c>
      <c r="F1671" s="78" t="str">
        <f>A1667</f>
        <v>Biomass and waste fired power plants</v>
      </c>
      <c r="G1671" s="78" t="str">
        <f>B1667</f>
        <v>Integrated gasification combined cycle</v>
      </c>
      <c r="H1671" s="78" t="str">
        <f>C1671</f>
        <v>Electricity only with CCS</v>
      </c>
      <c r="I1671" s="165" t="str">
        <f t="shared" si="380"/>
        <v>L</v>
      </c>
      <c r="J1671" s="123" t="str">
        <f>IF(tech_base!$T207&gt;J$1465,"",(tech_base!$J207/tech_proj!J331*0.086*$N$110)/(1-tech_proj!J611))</f>
        <v/>
      </c>
      <c r="K1671" s="123" t="str">
        <f>IF(tech_base!$T207&gt;K$1465,"",(tech_base!$J207/tech_proj!K331*0.086*$N$110)/(1-tech_proj!K611))</f>
        <v/>
      </c>
      <c r="L1671" s="123" t="str">
        <f>IF(tech_base!$T207&gt;L$1465,"",(tech_base!$J207/tech_proj!L331*0.086*$N$110)/(1-tech_proj!L611))</f>
        <v/>
      </c>
      <c r="M1671" s="123" t="str">
        <f>IF(tech_base!$T207&gt;M$1465,"",(tech_base!$J207/tech_proj!M331*0.086*$N$110)/(1-tech_proj!M611))</f>
        <v/>
      </c>
      <c r="N1671" s="123" t="str">
        <f>IF(tech_base!$T207&gt;N$1465,"",(tech_base!$J207/tech_proj!N331*0.086*$N$110)/(1-tech_proj!N611))</f>
        <v/>
      </c>
      <c r="O1671" s="123" t="str">
        <f>IF(tech_base!$T207&gt;O$1465,"",(tech_base!$J207/tech_proj!O331*0.086*$N$110)/(1-tech_proj!O611))</f>
        <v/>
      </c>
      <c r="P1671" s="123" t="str">
        <f>IF(tech_base!$T207&gt;P$1465,"",(tech_base!$J207/tech_proj!P331*0.086*$N$110)/(1-tech_proj!P611))</f>
        <v/>
      </c>
      <c r="Q1671" s="123" t="str">
        <f>IF(tech_base!$T207&gt;Q$1465,"",(tech_base!$J207/tech_proj!Q331*0.086*$N$110)/(1-tech_proj!Q611))</f>
        <v/>
      </c>
      <c r="R1671" s="123" t="str">
        <f>IF(tech_base!$T207&gt;R$1465,"",(tech_base!$J207/tech_proj!R331*0.086*$N$110)/(1-tech_proj!R611))</f>
        <v/>
      </c>
      <c r="S1671" s="123" t="str">
        <f>IF(tech_base!$T207&gt;S$1465,"",(tech_base!$J207/tech_proj!S331*0.086*$N$110)/(1-tech_proj!S611))</f>
        <v/>
      </c>
      <c r="T1671" s="123" t="str">
        <f>IF(tech_base!$T207&gt;T$1465,"",(tech_base!$J207/tech_proj!T331*0.086*$N$110)/(1-tech_proj!T611))</f>
        <v/>
      </c>
      <c r="U1671" s="123" t="str">
        <f>IF(tech_base!$T207&gt;U$1465,"",(tech_base!$J207/tech_proj!U331*0.086*$N$110)/(1-tech_proj!U611))</f>
        <v/>
      </c>
      <c r="V1671" s="123" t="str">
        <f>IF(tech_base!$T207&gt;V$1465,"",(tech_base!$J207/tech_proj!V331*0.086*$N$110)/(1-tech_proj!V611))</f>
        <v/>
      </c>
      <c r="W1671" s="123" t="str">
        <f>IF(tech_base!$T207&gt;W$1465,"",(tech_base!$J207/tech_proj!W331*0.086*$N$110)/(1-tech_proj!W611))</f>
        <v/>
      </c>
      <c r="X1671" s="123" t="str">
        <f>IF(tech_base!$T207&gt;X$1465,"",(tech_base!$J207/tech_proj!X331*0.086*$N$110)/(1-tech_proj!X611))</f>
        <v/>
      </c>
      <c r="Y1671" s="123" t="str">
        <f>IF(tech_base!$T207&gt;Y$1465,"",(tech_base!$J207/tech_proj!Y331*0.086*$N$110)/(1-tech_proj!Y611))</f>
        <v/>
      </c>
      <c r="Z1671" s="123" t="str">
        <f>IF(tech_base!$T207&gt;Z$1465,"",(tech_base!$J207/tech_proj!Z331*0.086*$N$110)/(1-tech_proj!Z611))</f>
        <v/>
      </c>
      <c r="AA1671" s="123" t="str">
        <f>IF(tech_base!$T207&gt;AA$1465,"",(tech_base!$J207/tech_proj!AA331*0.086*$N$110)/(1-tech_proj!AA611))</f>
        <v/>
      </c>
      <c r="AB1671" s="123" t="str">
        <f>IF(tech_base!$T207&gt;AB$1465,"",(tech_base!$J207/tech_proj!AB331*0.086*$N$110)/(1-tech_proj!AB611))</f>
        <v/>
      </c>
      <c r="AC1671" s="123" t="str">
        <f>IF(tech_base!$T207&gt;AC$1465,"",(tech_base!$J207/tech_proj!AC331*0.086*$N$110)/(1-tech_proj!AC611))</f>
        <v/>
      </c>
      <c r="AD1671" s="123" t="str">
        <f>IF(tech_base!$T207&gt;AD$1465,"",(tech_base!$J207/tech_proj!AD331*0.086*$N$110)/(1-tech_proj!AD611))</f>
        <v/>
      </c>
      <c r="AE1671" s="123">
        <f>IF(tech_base!$T207&gt;AE$1465,"",(tech_base!$J207/tech_proj!AE331*0.086*$N$110)/(1-tech_proj!AE611))</f>
        <v>0</v>
      </c>
      <c r="AF1671" s="123">
        <f>IF(tech_base!$T207&gt;AF$1465,"",(tech_base!$J207/tech_proj!AF331*0.086*$N$110)/(1-tech_proj!AF611))</f>
        <v>0</v>
      </c>
      <c r="AG1671" s="123">
        <f>IF(tech_base!$T207&gt;AG$1465,"",(tech_base!$J207/tech_proj!AG331*0.086*$N$110)/(1-tech_proj!AG611))</f>
        <v>0</v>
      </c>
      <c r="AH1671" s="123">
        <f>IF(tech_base!$T207&gt;AH$1465,"",(tech_base!$J207/tech_proj!AH331*0.086*$N$110)/(1-tech_proj!AH611))</f>
        <v>0</v>
      </c>
      <c r="AI1671" s="123">
        <f>IF(tech_base!$T207&gt;AI$1465,"",(tech_base!$J207/tech_proj!AI331*0.086*$N$110)/(1-tech_proj!AI611))</f>
        <v>0</v>
      </c>
      <c r="AJ1671" s="123">
        <f>IF(tech_base!$T207&gt;AJ$1465,"",(tech_base!$J207/tech_proj!AJ331*0.086*$N$110)/(1-tech_proj!AJ611))</f>
        <v>0</v>
      </c>
      <c r="AK1671" s="123">
        <f>IF(tech_base!$T207&gt;AK$1465,"",(tech_base!$J207/tech_proj!AK331*0.086*$N$110)/(1-tech_proj!AK611))</f>
        <v>0</v>
      </c>
      <c r="AL1671" s="123">
        <f>IF(tech_base!$T207&gt;AL$1465,"",(tech_base!$J207/tech_proj!AL331*0.086*$N$110)/(1-tech_proj!AL611))</f>
        <v>0</v>
      </c>
      <c r="AM1671" s="123">
        <f>IF(tech_base!$T207&gt;AM$1465,"",(tech_base!$J207/tech_proj!AM331*0.086*$N$110)/(1-tech_proj!AM611))</f>
        <v>0</v>
      </c>
      <c r="AN1671" s="123">
        <f>IF(tech_base!$T207&gt;AN$1465,"",(tech_base!$J207/tech_proj!AN331*0.086*$N$110)/(1-tech_proj!AN611))</f>
        <v>0</v>
      </c>
      <c r="AO1671" s="123">
        <f>IF(tech_base!$T207&gt;AO$1465,"",(tech_base!$J207/tech_proj!AO331*0.086*$N$110)/(1-tech_proj!AO611))</f>
        <v>0</v>
      </c>
      <c r="AP1671" s="123">
        <f>IF(tech_base!$T207&gt;AP$1465,"",(tech_base!$J207/tech_proj!AP331*0.086*$N$110)/(1-tech_proj!AP611))</f>
        <v>0</v>
      </c>
      <c r="AQ1671" s="123">
        <f>IF(tech_base!$T207&gt;AQ$1465,"",(tech_base!$J207/tech_proj!AQ331*0.086*$N$110)/(1-tech_proj!AQ611))</f>
        <v>0</v>
      </c>
      <c r="AR1671" s="123">
        <f>IF(tech_base!$T207&gt;AR$1465,"",(tech_base!$J207/tech_proj!AR331*0.086*$N$110)/(1-tech_proj!AR611))</f>
        <v>0</v>
      </c>
      <c r="AS1671" s="123">
        <f>IF(tech_base!$T207&gt;AS$1465,"",(tech_base!$J207/tech_proj!AS331*0.086*$N$110)/(1-tech_proj!AS611))</f>
        <v>0</v>
      </c>
      <c r="AT1671" s="123">
        <f>IF(tech_base!$T207&gt;AT$1465,"",(tech_base!$J207/tech_proj!AT331*0.086*$N$110)/(1-tech_proj!AT611))</f>
        <v>0</v>
      </c>
      <c r="AU1671" s="123">
        <f>IF(tech_base!$T207&gt;AU$1465,"",(tech_base!$J207/tech_proj!AU331*0.086*$N$110)/(1-tech_proj!AU611))</f>
        <v>0</v>
      </c>
      <c r="AV1671" s="123">
        <f>IF(tech_base!$T207&gt;AV$1465,"",(tech_base!$J207/tech_proj!AV331*0.086*$N$110)/(1-tech_proj!AV611))</f>
        <v>0</v>
      </c>
      <c r="AW1671" s="123">
        <f>IF(tech_base!$T207&gt;AW$1465,"",(tech_base!$J207/tech_proj!AW331*0.086*$N$110)/(1-tech_proj!AW611))</f>
        <v>0</v>
      </c>
      <c r="AX1671" s="124">
        <f>IF(tech_base!$T207&gt;AX$1465,"",(tech_base!$J207/tech_proj!AX331*0.086*$N$110)/(1-tech_proj!AX611))</f>
        <v>0</v>
      </c>
    </row>
    <row r="1672" spans="1:50" x14ac:dyDescent="0.25">
      <c r="A1672" s="356"/>
      <c r="B1672" s="376"/>
      <c r="C1672" s="379"/>
      <c r="D1672" s="59" t="s">
        <v>8</v>
      </c>
      <c r="E1672" s="166" t="str">
        <f>A1667&amp;"/"&amp;B1667&amp;"/"&amp;C1671&amp;"/"&amp;D1672</f>
        <v>Biomass and waste fired power plants/Integrated gasification combined cycle/Electricity only with CCS/M</v>
      </c>
      <c r="F1672" s="79" t="str">
        <f>A1667</f>
        <v>Biomass and waste fired power plants</v>
      </c>
      <c r="G1672" s="79" t="str">
        <f>B1667</f>
        <v>Integrated gasification combined cycle</v>
      </c>
      <c r="H1672" s="79" t="str">
        <f>C1671</f>
        <v>Electricity only with CCS</v>
      </c>
      <c r="I1672" s="167" t="str">
        <f t="shared" si="380"/>
        <v>M</v>
      </c>
      <c r="J1672" s="125" t="str">
        <f>IF(tech_base!$T208&gt;J$1465,"",(tech_base!$J208/tech_proj!J332*0.086*$N$110)/(1-tech_proj!J612))</f>
        <v/>
      </c>
      <c r="K1672" s="125" t="str">
        <f>IF(tech_base!$T208&gt;K$1465,"",(tech_base!$J208/tech_proj!K332*0.086*$N$110)/(1-tech_proj!K612))</f>
        <v/>
      </c>
      <c r="L1672" s="125" t="str">
        <f>IF(tech_base!$T208&gt;L$1465,"",(tech_base!$J208/tech_proj!L332*0.086*$N$110)/(1-tech_proj!L612))</f>
        <v/>
      </c>
      <c r="M1672" s="125" t="str">
        <f>IF(tech_base!$T208&gt;M$1465,"",(tech_base!$J208/tech_proj!M332*0.086*$N$110)/(1-tech_proj!M612))</f>
        <v/>
      </c>
      <c r="N1672" s="125" t="str">
        <f>IF(tech_base!$T208&gt;N$1465,"",(tech_base!$J208/tech_proj!N332*0.086*$N$110)/(1-tech_proj!N612))</f>
        <v/>
      </c>
      <c r="O1672" s="125" t="str">
        <f>IF(tech_base!$T208&gt;O$1465,"",(tech_base!$J208/tech_proj!O332*0.086*$N$110)/(1-tech_proj!O612))</f>
        <v/>
      </c>
      <c r="P1672" s="125" t="str">
        <f>IF(tech_base!$T208&gt;P$1465,"",(tech_base!$J208/tech_proj!P332*0.086*$N$110)/(1-tech_proj!P612))</f>
        <v/>
      </c>
      <c r="Q1672" s="125" t="str">
        <f>IF(tech_base!$T208&gt;Q$1465,"",(tech_base!$J208/tech_proj!Q332*0.086*$N$110)/(1-tech_proj!Q612))</f>
        <v/>
      </c>
      <c r="R1672" s="125" t="str">
        <f>IF(tech_base!$T208&gt;R$1465,"",(tech_base!$J208/tech_proj!R332*0.086*$N$110)/(1-tech_proj!R612))</f>
        <v/>
      </c>
      <c r="S1672" s="125" t="str">
        <f>IF(tech_base!$T208&gt;S$1465,"",(tech_base!$J208/tech_proj!S332*0.086*$N$110)/(1-tech_proj!S612))</f>
        <v/>
      </c>
      <c r="T1672" s="125" t="str">
        <f>IF(tech_base!$T208&gt;T$1465,"",(tech_base!$J208/tech_proj!T332*0.086*$N$110)/(1-tech_proj!T612))</f>
        <v/>
      </c>
      <c r="U1672" s="125" t="str">
        <f>IF(tech_base!$T208&gt;U$1465,"",(tech_base!$J208/tech_proj!U332*0.086*$N$110)/(1-tech_proj!U612))</f>
        <v/>
      </c>
      <c r="V1672" s="125" t="str">
        <f>IF(tech_base!$T208&gt;V$1465,"",(tech_base!$J208/tech_proj!V332*0.086*$N$110)/(1-tech_proj!V612))</f>
        <v/>
      </c>
      <c r="W1672" s="125" t="str">
        <f>IF(tech_base!$T208&gt;W$1465,"",(tech_base!$J208/tech_proj!W332*0.086*$N$110)/(1-tech_proj!W612))</f>
        <v/>
      </c>
      <c r="X1672" s="125" t="str">
        <f>IF(tech_base!$T208&gt;X$1465,"",(tech_base!$J208/tech_proj!X332*0.086*$N$110)/(1-tech_proj!X612))</f>
        <v/>
      </c>
      <c r="Y1672" s="125" t="str">
        <f>IF(tech_base!$T208&gt;Y$1465,"",(tech_base!$J208/tech_proj!Y332*0.086*$N$110)/(1-tech_proj!Y612))</f>
        <v/>
      </c>
      <c r="Z1672" s="125" t="str">
        <f>IF(tech_base!$T208&gt;Z$1465,"",(tech_base!$J208/tech_proj!Z332*0.086*$N$110)/(1-tech_proj!Z612))</f>
        <v/>
      </c>
      <c r="AA1672" s="125" t="str">
        <f>IF(tech_base!$T208&gt;AA$1465,"",(tech_base!$J208/tech_proj!AA332*0.086*$N$110)/(1-tech_proj!AA612))</f>
        <v/>
      </c>
      <c r="AB1672" s="125" t="str">
        <f>IF(tech_base!$T208&gt;AB$1465,"",(tech_base!$J208/tech_proj!AB332*0.086*$N$110)/(1-tech_proj!AB612))</f>
        <v/>
      </c>
      <c r="AC1672" s="125" t="str">
        <f>IF(tech_base!$T208&gt;AC$1465,"",(tech_base!$J208/tech_proj!AC332*0.086*$N$110)/(1-tech_proj!AC612))</f>
        <v/>
      </c>
      <c r="AD1672" s="125" t="str">
        <f>IF(tech_base!$T208&gt;AD$1465,"",(tech_base!$J208/tech_proj!AD332*0.086*$N$110)/(1-tech_proj!AD612))</f>
        <v/>
      </c>
      <c r="AE1672" s="125">
        <f>IF(tech_base!$T208&gt;AE$1465,"",(tech_base!$J208/tech_proj!AE332*0.086*$N$110)/(1-tech_proj!AE612))</f>
        <v>0</v>
      </c>
      <c r="AF1672" s="125">
        <f>IF(tech_base!$T208&gt;AF$1465,"",(tech_base!$J208/tech_proj!AF332*0.086*$N$110)/(1-tech_proj!AF612))</f>
        <v>0</v>
      </c>
      <c r="AG1672" s="125">
        <f>IF(tech_base!$T208&gt;AG$1465,"",(tech_base!$J208/tech_proj!AG332*0.086*$N$110)/(1-tech_proj!AG612))</f>
        <v>0</v>
      </c>
      <c r="AH1672" s="125">
        <f>IF(tech_base!$T208&gt;AH$1465,"",(tech_base!$J208/tech_proj!AH332*0.086*$N$110)/(1-tech_proj!AH612))</f>
        <v>0</v>
      </c>
      <c r="AI1672" s="125">
        <f>IF(tech_base!$T208&gt;AI$1465,"",(tech_base!$J208/tech_proj!AI332*0.086*$N$110)/(1-tech_proj!AI612))</f>
        <v>0</v>
      </c>
      <c r="AJ1672" s="125">
        <f>IF(tech_base!$T208&gt;AJ$1465,"",(tech_base!$J208/tech_proj!AJ332*0.086*$N$110)/(1-tech_proj!AJ612))</f>
        <v>0</v>
      </c>
      <c r="AK1672" s="125">
        <f>IF(tech_base!$T208&gt;AK$1465,"",(tech_base!$J208/tech_proj!AK332*0.086*$N$110)/(1-tech_proj!AK612))</f>
        <v>0</v>
      </c>
      <c r="AL1672" s="125">
        <f>IF(tech_base!$T208&gt;AL$1465,"",(tech_base!$J208/tech_proj!AL332*0.086*$N$110)/(1-tech_proj!AL612))</f>
        <v>0</v>
      </c>
      <c r="AM1672" s="125">
        <f>IF(tech_base!$T208&gt;AM$1465,"",(tech_base!$J208/tech_proj!AM332*0.086*$N$110)/(1-tech_proj!AM612))</f>
        <v>0</v>
      </c>
      <c r="AN1672" s="125">
        <f>IF(tech_base!$T208&gt;AN$1465,"",(tech_base!$J208/tech_proj!AN332*0.086*$N$110)/(1-tech_proj!AN612))</f>
        <v>0</v>
      </c>
      <c r="AO1672" s="125">
        <f>IF(tech_base!$T208&gt;AO$1465,"",(tech_base!$J208/tech_proj!AO332*0.086*$N$110)/(1-tech_proj!AO612))</f>
        <v>0</v>
      </c>
      <c r="AP1672" s="125">
        <f>IF(tech_base!$T208&gt;AP$1465,"",(tech_base!$J208/tech_proj!AP332*0.086*$N$110)/(1-tech_proj!AP612))</f>
        <v>0</v>
      </c>
      <c r="AQ1672" s="125">
        <f>IF(tech_base!$T208&gt;AQ$1465,"",(tech_base!$J208/tech_proj!AQ332*0.086*$N$110)/(1-tech_proj!AQ612))</f>
        <v>0</v>
      </c>
      <c r="AR1672" s="125">
        <f>IF(tech_base!$T208&gt;AR$1465,"",(tech_base!$J208/tech_proj!AR332*0.086*$N$110)/(1-tech_proj!AR612))</f>
        <v>0</v>
      </c>
      <c r="AS1672" s="125">
        <f>IF(tech_base!$T208&gt;AS$1465,"",(tech_base!$J208/tech_proj!AS332*0.086*$N$110)/(1-tech_proj!AS612))</f>
        <v>0</v>
      </c>
      <c r="AT1672" s="125">
        <f>IF(tech_base!$T208&gt;AT$1465,"",(tech_base!$J208/tech_proj!AT332*0.086*$N$110)/(1-tech_proj!AT612))</f>
        <v>0</v>
      </c>
      <c r="AU1672" s="125">
        <f>IF(tech_base!$T208&gt;AU$1465,"",(tech_base!$J208/tech_proj!AU332*0.086*$N$110)/(1-tech_proj!AU612))</f>
        <v>0</v>
      </c>
      <c r="AV1672" s="125">
        <f>IF(tech_base!$T208&gt;AV$1465,"",(tech_base!$J208/tech_proj!AV332*0.086*$N$110)/(1-tech_proj!AV612))</f>
        <v>0</v>
      </c>
      <c r="AW1672" s="125">
        <f>IF(tech_base!$T208&gt;AW$1465,"",(tech_base!$J208/tech_proj!AW332*0.086*$N$110)/(1-tech_proj!AW612))</f>
        <v>0</v>
      </c>
      <c r="AX1672" s="126">
        <f>IF(tech_base!$T208&gt;AX$1465,"",(tech_base!$J208/tech_proj!AX332*0.086*$N$110)/(1-tech_proj!AX612))</f>
        <v>0</v>
      </c>
    </row>
    <row r="1673" spans="1:50" x14ac:dyDescent="0.25">
      <c r="A1673" s="356"/>
      <c r="B1673" s="376"/>
      <c r="C1673" s="361" t="s">
        <v>16</v>
      </c>
      <c r="D1673" s="2" t="s">
        <v>7</v>
      </c>
      <c r="E1673" s="160" t="str">
        <f>A1667&amp;"/"&amp;B1667&amp;"/"&amp;C1673&amp;"/"&amp;D1673</f>
        <v>Biomass and waste fired power plants/Integrated gasification combined cycle/CHP with CCS/L</v>
      </c>
      <c r="F1673" s="76" t="str">
        <f>A1667</f>
        <v>Biomass and waste fired power plants</v>
      </c>
      <c r="G1673" s="76" t="str">
        <f>B1667</f>
        <v>Integrated gasification combined cycle</v>
      </c>
      <c r="H1673" s="76" t="str">
        <f>C1673</f>
        <v>CHP with CCS</v>
      </c>
      <c r="I1673" s="161" t="str">
        <f t="shared" si="380"/>
        <v>L</v>
      </c>
      <c r="J1673" s="119" t="str">
        <f>IF(tech_base!$T209&gt;J$1465,"",(tech_base!$J209/tech_proj!J333*0.086*$N$110)/(1-tech_proj!J613))</f>
        <v/>
      </c>
      <c r="K1673" s="119" t="str">
        <f>IF(tech_base!$T209&gt;K$1465,"",(tech_base!$J209/tech_proj!K333*0.086*$N$110)/(1-tech_proj!K613))</f>
        <v/>
      </c>
      <c r="L1673" s="119" t="str">
        <f>IF(tech_base!$T209&gt;L$1465,"",(tech_base!$J209/tech_proj!L333*0.086*$N$110)/(1-tech_proj!L613))</f>
        <v/>
      </c>
      <c r="M1673" s="119" t="str">
        <f>IF(tech_base!$T209&gt;M$1465,"",(tech_base!$J209/tech_proj!M333*0.086*$N$110)/(1-tech_proj!M613))</f>
        <v/>
      </c>
      <c r="N1673" s="119" t="str">
        <f>IF(tech_base!$T209&gt;N$1465,"",(tech_base!$J209/tech_proj!N333*0.086*$N$110)/(1-tech_proj!N613))</f>
        <v/>
      </c>
      <c r="O1673" s="119" t="str">
        <f>IF(tech_base!$T209&gt;O$1465,"",(tech_base!$J209/tech_proj!O333*0.086*$N$110)/(1-tech_proj!O613))</f>
        <v/>
      </c>
      <c r="P1673" s="119" t="str">
        <f>IF(tech_base!$T209&gt;P$1465,"",(tech_base!$J209/tech_proj!P333*0.086*$N$110)/(1-tech_proj!P613))</f>
        <v/>
      </c>
      <c r="Q1673" s="119" t="str">
        <f>IF(tech_base!$T209&gt;Q$1465,"",(tech_base!$J209/tech_proj!Q333*0.086*$N$110)/(1-tech_proj!Q613))</f>
        <v/>
      </c>
      <c r="R1673" s="119" t="str">
        <f>IF(tech_base!$T209&gt;R$1465,"",(tech_base!$J209/tech_proj!R333*0.086*$N$110)/(1-tech_proj!R613))</f>
        <v/>
      </c>
      <c r="S1673" s="119" t="str">
        <f>IF(tech_base!$T209&gt;S$1465,"",(tech_base!$J209/tech_proj!S333*0.086*$N$110)/(1-tech_proj!S613))</f>
        <v/>
      </c>
      <c r="T1673" s="119" t="str">
        <f>IF(tech_base!$T209&gt;T$1465,"",(tech_base!$J209/tech_proj!T333*0.086*$N$110)/(1-tech_proj!T613))</f>
        <v/>
      </c>
      <c r="U1673" s="119" t="str">
        <f>IF(tech_base!$T209&gt;U$1465,"",(tech_base!$J209/tech_proj!U333*0.086*$N$110)/(1-tech_proj!U613))</f>
        <v/>
      </c>
      <c r="V1673" s="119" t="str">
        <f>IF(tech_base!$T209&gt;V$1465,"",(tech_base!$J209/tech_proj!V333*0.086*$N$110)/(1-tech_proj!V613))</f>
        <v/>
      </c>
      <c r="W1673" s="119" t="str">
        <f>IF(tech_base!$T209&gt;W$1465,"",(tech_base!$J209/tech_proj!W333*0.086*$N$110)/(1-tech_proj!W613))</f>
        <v/>
      </c>
      <c r="X1673" s="119" t="str">
        <f>IF(tech_base!$T209&gt;X$1465,"",(tech_base!$J209/tech_proj!X333*0.086*$N$110)/(1-tech_proj!X613))</f>
        <v/>
      </c>
      <c r="Y1673" s="119" t="str">
        <f>IF(tech_base!$T209&gt;Y$1465,"",(tech_base!$J209/tech_proj!Y333*0.086*$N$110)/(1-tech_proj!Y613))</f>
        <v/>
      </c>
      <c r="Z1673" s="119" t="str">
        <f>IF(tech_base!$T209&gt;Z$1465,"",(tech_base!$J209/tech_proj!Z333*0.086*$N$110)/(1-tech_proj!Z613))</f>
        <v/>
      </c>
      <c r="AA1673" s="119" t="str">
        <f>IF(tech_base!$T209&gt;AA$1465,"",(tech_base!$J209/tech_proj!AA333*0.086*$N$110)/(1-tech_proj!AA613))</f>
        <v/>
      </c>
      <c r="AB1673" s="119" t="str">
        <f>IF(tech_base!$T209&gt;AB$1465,"",(tech_base!$J209/tech_proj!AB333*0.086*$N$110)/(1-tech_proj!AB613))</f>
        <v/>
      </c>
      <c r="AC1673" s="119" t="str">
        <f>IF(tech_base!$T209&gt;AC$1465,"",(tech_base!$J209/tech_proj!AC333*0.086*$N$110)/(1-tech_proj!AC613))</f>
        <v/>
      </c>
      <c r="AD1673" s="119" t="str">
        <f>IF(tech_base!$T209&gt;AD$1465,"",(tech_base!$J209/tech_proj!AD333*0.086*$N$110)/(1-tech_proj!AD613))</f>
        <v/>
      </c>
      <c r="AE1673" s="119">
        <f>IF(tech_base!$T209&gt;AE$1465,"",(tech_base!$J209/tech_proj!AE333*0.086*$N$110)/(1-tech_proj!AE613))</f>
        <v>0</v>
      </c>
      <c r="AF1673" s="119">
        <f>IF(tech_base!$T209&gt;AF$1465,"",(tech_base!$J209/tech_proj!AF333*0.086*$N$110)/(1-tech_proj!AF613))</f>
        <v>0</v>
      </c>
      <c r="AG1673" s="119">
        <f>IF(tech_base!$T209&gt;AG$1465,"",(tech_base!$J209/tech_proj!AG333*0.086*$N$110)/(1-tech_proj!AG613))</f>
        <v>0</v>
      </c>
      <c r="AH1673" s="119">
        <f>IF(tech_base!$T209&gt;AH$1465,"",(tech_base!$J209/tech_proj!AH333*0.086*$N$110)/(1-tech_proj!AH613))</f>
        <v>0</v>
      </c>
      <c r="AI1673" s="119">
        <f>IF(tech_base!$T209&gt;AI$1465,"",(tech_base!$J209/tech_proj!AI333*0.086*$N$110)/(1-tech_proj!AI613))</f>
        <v>0</v>
      </c>
      <c r="AJ1673" s="119">
        <f>IF(tech_base!$T209&gt;AJ$1465,"",(tech_base!$J209/tech_proj!AJ333*0.086*$N$110)/(1-tech_proj!AJ613))</f>
        <v>0</v>
      </c>
      <c r="AK1673" s="119">
        <f>IF(tech_base!$T209&gt;AK$1465,"",(tech_base!$J209/tech_proj!AK333*0.086*$N$110)/(1-tech_proj!AK613))</f>
        <v>0</v>
      </c>
      <c r="AL1673" s="119">
        <f>IF(tech_base!$T209&gt;AL$1465,"",(tech_base!$J209/tech_proj!AL333*0.086*$N$110)/(1-tech_proj!AL613))</f>
        <v>0</v>
      </c>
      <c r="AM1673" s="119">
        <f>IF(tech_base!$T209&gt;AM$1465,"",(tech_base!$J209/tech_proj!AM333*0.086*$N$110)/(1-tech_proj!AM613))</f>
        <v>0</v>
      </c>
      <c r="AN1673" s="119">
        <f>IF(tech_base!$T209&gt;AN$1465,"",(tech_base!$J209/tech_proj!AN333*0.086*$N$110)/(1-tech_proj!AN613))</f>
        <v>0</v>
      </c>
      <c r="AO1673" s="119">
        <f>IF(tech_base!$T209&gt;AO$1465,"",(tech_base!$J209/tech_proj!AO333*0.086*$N$110)/(1-tech_proj!AO613))</f>
        <v>0</v>
      </c>
      <c r="AP1673" s="119">
        <f>IF(tech_base!$T209&gt;AP$1465,"",(tech_base!$J209/tech_proj!AP333*0.086*$N$110)/(1-tech_proj!AP613))</f>
        <v>0</v>
      </c>
      <c r="AQ1673" s="119">
        <f>IF(tech_base!$T209&gt;AQ$1465,"",(tech_base!$J209/tech_proj!AQ333*0.086*$N$110)/(1-tech_proj!AQ613))</f>
        <v>0</v>
      </c>
      <c r="AR1673" s="119">
        <f>IF(tech_base!$T209&gt;AR$1465,"",(tech_base!$J209/tech_proj!AR333*0.086*$N$110)/(1-tech_proj!AR613))</f>
        <v>0</v>
      </c>
      <c r="AS1673" s="119">
        <f>IF(tech_base!$T209&gt;AS$1465,"",(tech_base!$J209/tech_proj!AS333*0.086*$N$110)/(1-tech_proj!AS613))</f>
        <v>0</v>
      </c>
      <c r="AT1673" s="119">
        <f>IF(tech_base!$T209&gt;AT$1465,"",(tech_base!$J209/tech_proj!AT333*0.086*$N$110)/(1-tech_proj!AT613))</f>
        <v>0</v>
      </c>
      <c r="AU1673" s="119">
        <f>IF(tech_base!$T209&gt;AU$1465,"",(tech_base!$J209/tech_proj!AU333*0.086*$N$110)/(1-tech_proj!AU613))</f>
        <v>0</v>
      </c>
      <c r="AV1673" s="119">
        <f>IF(tech_base!$T209&gt;AV$1465,"",(tech_base!$J209/tech_proj!AV333*0.086*$N$110)/(1-tech_proj!AV613))</f>
        <v>0</v>
      </c>
      <c r="AW1673" s="119">
        <f>IF(tech_base!$T209&gt;AW$1465,"",(tech_base!$J209/tech_proj!AW333*0.086*$N$110)/(1-tech_proj!AW613))</f>
        <v>0</v>
      </c>
      <c r="AX1673" s="120">
        <f>IF(tech_base!$T209&gt;AX$1465,"",(tech_base!$J209/tech_proj!AX333*0.086*$N$110)/(1-tech_proj!AX613))</f>
        <v>0</v>
      </c>
    </row>
    <row r="1674" spans="1:50" x14ac:dyDescent="0.25">
      <c r="A1674" s="356"/>
      <c r="B1674" s="380"/>
      <c r="C1674" s="381"/>
      <c r="D1674" s="4" t="s">
        <v>8</v>
      </c>
      <c r="E1674" s="168" t="str">
        <f>A1667&amp;"/"&amp;B1667&amp;"/"&amp;C1673&amp;"/"&amp;D1674</f>
        <v>Biomass and waste fired power plants/Integrated gasification combined cycle/CHP with CCS/M</v>
      </c>
      <c r="F1674" s="80" t="str">
        <f>A1667</f>
        <v>Biomass and waste fired power plants</v>
      </c>
      <c r="G1674" s="80" t="str">
        <f>B1667</f>
        <v>Integrated gasification combined cycle</v>
      </c>
      <c r="H1674" s="80" t="str">
        <f>C1673</f>
        <v>CHP with CCS</v>
      </c>
      <c r="I1674" s="169" t="str">
        <f t="shared" si="380"/>
        <v>M</v>
      </c>
      <c r="J1674" s="127" t="str">
        <f>IF(tech_base!$T210&gt;J$1465,"",(tech_base!$J210/tech_proj!J334*0.086*$N$110)/(1-tech_proj!J614))</f>
        <v/>
      </c>
      <c r="K1674" s="127" t="str">
        <f>IF(tech_base!$T210&gt;K$1465,"",(tech_base!$J210/tech_proj!K334*0.086*$N$110)/(1-tech_proj!K614))</f>
        <v/>
      </c>
      <c r="L1674" s="127" t="str">
        <f>IF(tech_base!$T210&gt;L$1465,"",(tech_base!$J210/tech_proj!L334*0.086*$N$110)/(1-tech_proj!L614))</f>
        <v/>
      </c>
      <c r="M1674" s="127" t="str">
        <f>IF(tech_base!$T210&gt;M$1465,"",(tech_base!$J210/tech_proj!M334*0.086*$N$110)/(1-tech_proj!M614))</f>
        <v/>
      </c>
      <c r="N1674" s="127" t="str">
        <f>IF(tech_base!$T210&gt;N$1465,"",(tech_base!$J210/tech_proj!N334*0.086*$N$110)/(1-tech_proj!N614))</f>
        <v/>
      </c>
      <c r="O1674" s="127" t="str">
        <f>IF(tech_base!$T210&gt;O$1465,"",(tech_base!$J210/tech_proj!O334*0.086*$N$110)/(1-tech_proj!O614))</f>
        <v/>
      </c>
      <c r="P1674" s="127" t="str">
        <f>IF(tech_base!$T210&gt;P$1465,"",(tech_base!$J210/tech_proj!P334*0.086*$N$110)/(1-tech_proj!P614))</f>
        <v/>
      </c>
      <c r="Q1674" s="127" t="str">
        <f>IF(tech_base!$T210&gt;Q$1465,"",(tech_base!$J210/tech_proj!Q334*0.086*$N$110)/(1-tech_proj!Q614))</f>
        <v/>
      </c>
      <c r="R1674" s="127" t="str">
        <f>IF(tech_base!$T210&gt;R$1465,"",(tech_base!$J210/tech_proj!R334*0.086*$N$110)/(1-tech_proj!R614))</f>
        <v/>
      </c>
      <c r="S1674" s="127" t="str">
        <f>IF(tech_base!$T210&gt;S$1465,"",(tech_base!$J210/tech_proj!S334*0.086*$N$110)/(1-tech_proj!S614))</f>
        <v/>
      </c>
      <c r="T1674" s="127" t="str">
        <f>IF(tech_base!$T210&gt;T$1465,"",(tech_base!$J210/tech_proj!T334*0.086*$N$110)/(1-tech_proj!T614))</f>
        <v/>
      </c>
      <c r="U1674" s="127" t="str">
        <f>IF(tech_base!$T210&gt;U$1465,"",(tech_base!$J210/tech_proj!U334*0.086*$N$110)/(1-tech_proj!U614))</f>
        <v/>
      </c>
      <c r="V1674" s="127" t="str">
        <f>IF(tech_base!$T210&gt;V$1465,"",(tech_base!$J210/tech_proj!V334*0.086*$N$110)/(1-tech_proj!V614))</f>
        <v/>
      </c>
      <c r="W1674" s="127" t="str">
        <f>IF(tech_base!$T210&gt;W$1465,"",(tech_base!$J210/tech_proj!W334*0.086*$N$110)/(1-tech_proj!W614))</f>
        <v/>
      </c>
      <c r="X1674" s="127" t="str">
        <f>IF(tech_base!$T210&gt;X$1465,"",(tech_base!$J210/tech_proj!X334*0.086*$N$110)/(1-tech_proj!X614))</f>
        <v/>
      </c>
      <c r="Y1674" s="127" t="str">
        <f>IF(tech_base!$T210&gt;Y$1465,"",(tech_base!$J210/tech_proj!Y334*0.086*$N$110)/(1-tech_proj!Y614))</f>
        <v/>
      </c>
      <c r="Z1674" s="127" t="str">
        <f>IF(tech_base!$T210&gt;Z$1465,"",(tech_base!$J210/tech_proj!Z334*0.086*$N$110)/(1-tech_proj!Z614))</f>
        <v/>
      </c>
      <c r="AA1674" s="127" t="str">
        <f>IF(tech_base!$T210&gt;AA$1465,"",(tech_base!$J210/tech_proj!AA334*0.086*$N$110)/(1-tech_proj!AA614))</f>
        <v/>
      </c>
      <c r="AB1674" s="127" t="str">
        <f>IF(tech_base!$T210&gt;AB$1465,"",(tech_base!$J210/tech_proj!AB334*0.086*$N$110)/(1-tech_proj!AB614))</f>
        <v/>
      </c>
      <c r="AC1674" s="127" t="str">
        <f>IF(tech_base!$T210&gt;AC$1465,"",(tech_base!$J210/tech_proj!AC334*0.086*$N$110)/(1-tech_proj!AC614))</f>
        <v/>
      </c>
      <c r="AD1674" s="127" t="str">
        <f>IF(tech_base!$T210&gt;AD$1465,"",(tech_base!$J210/tech_proj!AD334*0.086*$N$110)/(1-tech_proj!AD614))</f>
        <v/>
      </c>
      <c r="AE1674" s="127">
        <f>IF(tech_base!$T210&gt;AE$1465,"",(tech_base!$J210/tech_proj!AE334*0.086*$N$110)/(1-tech_proj!AE614))</f>
        <v>0</v>
      </c>
      <c r="AF1674" s="127">
        <f>IF(tech_base!$T210&gt;AF$1465,"",(tech_base!$J210/tech_proj!AF334*0.086*$N$110)/(1-tech_proj!AF614))</f>
        <v>0</v>
      </c>
      <c r="AG1674" s="127">
        <f>IF(tech_base!$T210&gt;AG$1465,"",(tech_base!$J210/tech_proj!AG334*0.086*$N$110)/(1-tech_proj!AG614))</f>
        <v>0</v>
      </c>
      <c r="AH1674" s="127">
        <f>IF(tech_base!$T210&gt;AH$1465,"",(tech_base!$J210/tech_proj!AH334*0.086*$N$110)/(1-tech_proj!AH614))</f>
        <v>0</v>
      </c>
      <c r="AI1674" s="127">
        <f>IF(tech_base!$T210&gt;AI$1465,"",(tech_base!$J210/tech_proj!AI334*0.086*$N$110)/(1-tech_proj!AI614))</f>
        <v>0</v>
      </c>
      <c r="AJ1674" s="127">
        <f>IF(tech_base!$T210&gt;AJ$1465,"",(tech_base!$J210/tech_proj!AJ334*0.086*$N$110)/(1-tech_proj!AJ614))</f>
        <v>0</v>
      </c>
      <c r="AK1674" s="127">
        <f>IF(tech_base!$T210&gt;AK$1465,"",(tech_base!$J210/tech_proj!AK334*0.086*$N$110)/(1-tech_proj!AK614))</f>
        <v>0</v>
      </c>
      <c r="AL1674" s="127">
        <f>IF(tech_base!$T210&gt;AL$1465,"",(tech_base!$J210/tech_proj!AL334*0.086*$N$110)/(1-tech_proj!AL614))</f>
        <v>0</v>
      </c>
      <c r="AM1674" s="127">
        <f>IF(tech_base!$T210&gt;AM$1465,"",(tech_base!$J210/tech_proj!AM334*0.086*$N$110)/(1-tech_proj!AM614))</f>
        <v>0</v>
      </c>
      <c r="AN1674" s="127">
        <f>IF(tech_base!$T210&gt;AN$1465,"",(tech_base!$J210/tech_proj!AN334*0.086*$N$110)/(1-tech_proj!AN614))</f>
        <v>0</v>
      </c>
      <c r="AO1674" s="127">
        <f>IF(tech_base!$T210&gt;AO$1465,"",(tech_base!$J210/tech_proj!AO334*0.086*$N$110)/(1-tech_proj!AO614))</f>
        <v>0</v>
      </c>
      <c r="AP1674" s="127">
        <f>IF(tech_base!$T210&gt;AP$1465,"",(tech_base!$J210/tech_proj!AP334*0.086*$N$110)/(1-tech_proj!AP614))</f>
        <v>0</v>
      </c>
      <c r="AQ1674" s="127">
        <f>IF(tech_base!$T210&gt;AQ$1465,"",(tech_base!$J210/tech_proj!AQ334*0.086*$N$110)/(1-tech_proj!AQ614))</f>
        <v>0</v>
      </c>
      <c r="AR1674" s="127">
        <f>IF(tech_base!$T210&gt;AR$1465,"",(tech_base!$J210/tech_proj!AR334*0.086*$N$110)/(1-tech_proj!AR614))</f>
        <v>0</v>
      </c>
      <c r="AS1674" s="127">
        <f>IF(tech_base!$T210&gt;AS$1465,"",(tech_base!$J210/tech_proj!AS334*0.086*$N$110)/(1-tech_proj!AS614))</f>
        <v>0</v>
      </c>
      <c r="AT1674" s="127">
        <f>IF(tech_base!$T210&gt;AT$1465,"",(tech_base!$J210/tech_proj!AT334*0.086*$N$110)/(1-tech_proj!AT614))</f>
        <v>0</v>
      </c>
      <c r="AU1674" s="127">
        <f>IF(tech_base!$T210&gt;AU$1465,"",(tech_base!$J210/tech_proj!AU334*0.086*$N$110)/(1-tech_proj!AU614))</f>
        <v>0</v>
      </c>
      <c r="AV1674" s="127">
        <f>IF(tech_base!$T210&gt;AV$1465,"",(tech_base!$J210/tech_proj!AV334*0.086*$N$110)/(1-tech_proj!AV614))</f>
        <v>0</v>
      </c>
      <c r="AW1674" s="127">
        <f>IF(tech_base!$T210&gt;AW$1465,"",(tech_base!$J210/tech_proj!AW334*0.086*$N$110)/(1-tech_proj!AW614))</f>
        <v>0</v>
      </c>
      <c r="AX1674" s="128">
        <f>IF(tech_base!$T210&gt;AX$1465,"",(tech_base!$J210/tech_proj!AX334*0.086*$N$110)/(1-tech_proj!AX614))</f>
        <v>0</v>
      </c>
    </row>
    <row r="1675" spans="1:50" x14ac:dyDescent="0.25">
      <c r="A1675" s="356"/>
      <c r="B1675" s="358" t="s">
        <v>18</v>
      </c>
      <c r="C1675" s="353" t="s">
        <v>6</v>
      </c>
      <c r="D1675" s="3" t="s">
        <v>7</v>
      </c>
      <c r="E1675" s="162" t="str">
        <f>A1667&amp;"/"&amp;B1675&amp;"/"&amp;C1675&amp;"/"&amp;D1675</f>
        <v>Biomass and waste fired power plants/Fluidized bed combustion/Electricity only/L</v>
      </c>
      <c r="F1675" s="77" t="str">
        <f>A1667</f>
        <v>Biomass and waste fired power plants</v>
      </c>
      <c r="G1675" s="77" t="str">
        <f>B1675</f>
        <v>Fluidized bed combustion</v>
      </c>
      <c r="H1675" s="77" t="str">
        <f>C1675</f>
        <v>Electricity only</v>
      </c>
      <c r="I1675" s="163" t="str">
        <f t="shared" si="380"/>
        <v>L</v>
      </c>
      <c r="J1675" s="121">
        <f>IF(tech_base!$T211&gt;J$1465,"",(tech_base!$J211/tech_proj!J335*0.086*$N$110)/(1-tech_proj!J615))</f>
        <v>0</v>
      </c>
      <c r="K1675" s="121">
        <f>IF(tech_base!$T211&gt;K$1465,"",(tech_base!$J211/tech_proj!K335*0.086*$N$110)/(1-tech_proj!K615))</f>
        <v>0</v>
      </c>
      <c r="L1675" s="121">
        <f>IF(tech_base!$T211&gt;L$1465,"",(tech_base!$J211/tech_proj!L335*0.086*$N$110)/(1-tech_proj!L615))</f>
        <v>0</v>
      </c>
      <c r="M1675" s="121">
        <f>IF(tech_base!$T211&gt;M$1465,"",(tech_base!$J211/tech_proj!M335*0.086*$N$110)/(1-tech_proj!M615))</f>
        <v>0</v>
      </c>
      <c r="N1675" s="121">
        <f>IF(tech_base!$T211&gt;N$1465,"",(tech_base!$J211/tech_proj!N335*0.086*$N$110)/(1-tech_proj!N615))</f>
        <v>0</v>
      </c>
      <c r="O1675" s="121">
        <f>IF(tech_base!$T211&gt;O$1465,"",(tech_base!$J211/tech_proj!O335*0.086*$N$110)/(1-tech_proj!O615))</f>
        <v>0</v>
      </c>
      <c r="P1675" s="121">
        <f>IF(tech_base!$T211&gt;P$1465,"",(tech_base!$J211/tech_proj!P335*0.086*$N$110)/(1-tech_proj!P615))</f>
        <v>0</v>
      </c>
      <c r="Q1675" s="121">
        <f>IF(tech_base!$T211&gt;Q$1465,"",(tech_base!$J211/tech_proj!Q335*0.086*$N$110)/(1-tech_proj!Q615))</f>
        <v>0</v>
      </c>
      <c r="R1675" s="121">
        <f>IF(tech_base!$T211&gt;R$1465,"",(tech_base!$J211/tech_proj!R335*0.086*$N$110)/(1-tech_proj!R615))</f>
        <v>0</v>
      </c>
      <c r="S1675" s="121">
        <f>IF(tech_base!$T211&gt;S$1465,"",(tech_base!$J211/tech_proj!S335*0.086*$N$110)/(1-tech_proj!S615))</f>
        <v>0</v>
      </c>
      <c r="T1675" s="121">
        <f>IF(tech_base!$T211&gt;T$1465,"",(tech_base!$J211/tech_proj!T335*0.086*$N$110)/(1-tech_proj!T615))</f>
        <v>0</v>
      </c>
      <c r="U1675" s="121">
        <f>IF(tech_base!$T211&gt;U$1465,"",(tech_base!$J211/tech_proj!U335*0.086*$N$110)/(1-tech_proj!U615))</f>
        <v>0</v>
      </c>
      <c r="V1675" s="121">
        <f>IF(tech_base!$T211&gt;V$1465,"",(tech_base!$J211/tech_proj!V335*0.086*$N$110)/(1-tech_proj!V615))</f>
        <v>0</v>
      </c>
      <c r="W1675" s="121">
        <f>IF(tech_base!$T211&gt;W$1465,"",(tech_base!$J211/tech_proj!W335*0.086*$N$110)/(1-tech_proj!W615))</f>
        <v>0</v>
      </c>
      <c r="X1675" s="121">
        <f>IF(tech_base!$T211&gt;X$1465,"",(tech_base!$J211/tech_proj!X335*0.086*$N$110)/(1-tech_proj!X615))</f>
        <v>0</v>
      </c>
      <c r="Y1675" s="121">
        <f>IF(tech_base!$T211&gt;Y$1465,"",(tech_base!$J211/tech_proj!Y335*0.086*$N$110)/(1-tech_proj!Y615))</f>
        <v>0</v>
      </c>
      <c r="Z1675" s="121">
        <f>IF(tech_base!$T211&gt;Z$1465,"",(tech_base!$J211/tech_proj!Z335*0.086*$N$110)/(1-tech_proj!Z615))</f>
        <v>0</v>
      </c>
      <c r="AA1675" s="121">
        <f>IF(tech_base!$T211&gt;AA$1465,"",(tech_base!$J211/tech_proj!AA335*0.086*$N$110)/(1-tech_proj!AA615))</f>
        <v>0</v>
      </c>
      <c r="AB1675" s="121">
        <f>IF(tech_base!$T211&gt;AB$1465,"",(tech_base!$J211/tech_proj!AB335*0.086*$N$110)/(1-tech_proj!AB615))</f>
        <v>0</v>
      </c>
      <c r="AC1675" s="121">
        <f>IF(tech_base!$T211&gt;AC$1465,"",(tech_base!$J211/tech_proj!AC335*0.086*$N$110)/(1-tech_proj!AC615))</f>
        <v>0</v>
      </c>
      <c r="AD1675" s="121">
        <f>IF(tech_base!$T211&gt;AD$1465,"",(tech_base!$J211/tech_proj!AD335*0.086*$N$110)/(1-tech_proj!AD615))</f>
        <v>0</v>
      </c>
      <c r="AE1675" s="121">
        <f>IF(tech_base!$T211&gt;AE$1465,"",(tech_base!$J211/tech_proj!AE335*0.086*$N$110)/(1-tech_proj!AE615))</f>
        <v>0</v>
      </c>
      <c r="AF1675" s="121">
        <f>IF(tech_base!$T211&gt;AF$1465,"",(tech_base!$J211/tech_proj!AF335*0.086*$N$110)/(1-tech_proj!AF615))</f>
        <v>0</v>
      </c>
      <c r="AG1675" s="121">
        <f>IF(tech_base!$T211&gt;AG$1465,"",(tech_base!$J211/tech_proj!AG335*0.086*$N$110)/(1-tech_proj!AG615))</f>
        <v>0</v>
      </c>
      <c r="AH1675" s="121">
        <f>IF(tech_base!$T211&gt;AH$1465,"",(tech_base!$J211/tech_proj!AH335*0.086*$N$110)/(1-tech_proj!AH615))</f>
        <v>0</v>
      </c>
      <c r="AI1675" s="121">
        <f>IF(tech_base!$T211&gt;AI$1465,"",(tech_base!$J211/tech_proj!AI335*0.086*$N$110)/(1-tech_proj!AI615))</f>
        <v>0</v>
      </c>
      <c r="AJ1675" s="121">
        <f>IF(tech_base!$T211&gt;AJ$1465,"",(tech_base!$J211/tech_proj!AJ335*0.086*$N$110)/(1-tech_proj!AJ615))</f>
        <v>0</v>
      </c>
      <c r="AK1675" s="121">
        <f>IF(tech_base!$T211&gt;AK$1465,"",(tech_base!$J211/tech_proj!AK335*0.086*$N$110)/(1-tech_proj!AK615))</f>
        <v>0</v>
      </c>
      <c r="AL1675" s="121">
        <f>IF(tech_base!$T211&gt;AL$1465,"",(tech_base!$J211/tech_proj!AL335*0.086*$N$110)/(1-tech_proj!AL615))</f>
        <v>0</v>
      </c>
      <c r="AM1675" s="121">
        <f>IF(tech_base!$T211&gt;AM$1465,"",(tech_base!$J211/tech_proj!AM335*0.086*$N$110)/(1-tech_proj!AM615))</f>
        <v>0</v>
      </c>
      <c r="AN1675" s="121">
        <f>IF(tech_base!$T211&gt;AN$1465,"",(tech_base!$J211/tech_proj!AN335*0.086*$N$110)/(1-tech_proj!AN615))</f>
        <v>0</v>
      </c>
      <c r="AO1675" s="121">
        <f>IF(tech_base!$T211&gt;AO$1465,"",(tech_base!$J211/tech_proj!AO335*0.086*$N$110)/(1-tech_proj!AO615))</f>
        <v>0</v>
      </c>
      <c r="AP1675" s="121">
        <f>IF(tech_base!$T211&gt;AP$1465,"",(tech_base!$J211/tech_proj!AP335*0.086*$N$110)/(1-tech_proj!AP615))</f>
        <v>0</v>
      </c>
      <c r="AQ1675" s="121">
        <f>IF(tech_base!$T211&gt;AQ$1465,"",(tech_base!$J211/tech_proj!AQ335*0.086*$N$110)/(1-tech_proj!AQ615))</f>
        <v>0</v>
      </c>
      <c r="AR1675" s="121">
        <f>IF(tech_base!$T211&gt;AR$1465,"",(tech_base!$J211/tech_proj!AR335*0.086*$N$110)/(1-tech_proj!AR615))</f>
        <v>0</v>
      </c>
      <c r="AS1675" s="121">
        <f>IF(tech_base!$T211&gt;AS$1465,"",(tech_base!$J211/tech_proj!AS335*0.086*$N$110)/(1-tech_proj!AS615))</f>
        <v>0</v>
      </c>
      <c r="AT1675" s="121">
        <f>IF(tech_base!$T211&gt;AT$1465,"",(tech_base!$J211/tech_proj!AT335*0.086*$N$110)/(1-tech_proj!AT615))</f>
        <v>0</v>
      </c>
      <c r="AU1675" s="121">
        <f>IF(tech_base!$T211&gt;AU$1465,"",(tech_base!$J211/tech_proj!AU335*0.086*$N$110)/(1-tech_proj!AU615))</f>
        <v>0</v>
      </c>
      <c r="AV1675" s="121">
        <f>IF(tech_base!$T211&gt;AV$1465,"",(tech_base!$J211/tech_proj!AV335*0.086*$N$110)/(1-tech_proj!AV615))</f>
        <v>0</v>
      </c>
      <c r="AW1675" s="121">
        <f>IF(tech_base!$T211&gt;AW$1465,"",(tech_base!$J211/tech_proj!AW335*0.086*$N$110)/(1-tech_proj!AW615))</f>
        <v>0</v>
      </c>
      <c r="AX1675" s="122">
        <f>IF(tech_base!$T211&gt;AX$1465,"",(tech_base!$J211/tech_proj!AX335*0.086*$N$110)/(1-tech_proj!AX615))</f>
        <v>0</v>
      </c>
    </row>
    <row r="1676" spans="1:50" x14ac:dyDescent="0.25">
      <c r="A1676" s="356"/>
      <c r="B1676" s="376"/>
      <c r="C1676" s="378"/>
      <c r="D1676" s="2" t="s">
        <v>8</v>
      </c>
      <c r="E1676" s="160" t="str">
        <f>A1667&amp;"/"&amp;B1675&amp;"/"&amp;C1675&amp;"/"&amp;D1676</f>
        <v>Biomass and waste fired power plants/Fluidized bed combustion/Electricity only/M</v>
      </c>
      <c r="F1676" s="76" t="str">
        <f>A1667</f>
        <v>Biomass and waste fired power plants</v>
      </c>
      <c r="G1676" s="76" t="str">
        <f>B1675</f>
        <v>Fluidized bed combustion</v>
      </c>
      <c r="H1676" s="76" t="str">
        <f>C1675</f>
        <v>Electricity only</v>
      </c>
      <c r="I1676" s="161" t="str">
        <f t="shared" si="380"/>
        <v>M</v>
      </c>
      <c r="J1676" s="119">
        <f>IF(tech_base!$T212&gt;J$1465,"",(tech_base!$J212/tech_proj!J336*0.086*$N$110)/(1-tech_proj!J616))</f>
        <v>0</v>
      </c>
      <c r="K1676" s="119">
        <f>IF(tech_base!$T212&gt;K$1465,"",(tech_base!$J212/tech_proj!K336*0.086*$N$110)/(1-tech_proj!K616))</f>
        <v>0</v>
      </c>
      <c r="L1676" s="119">
        <f>IF(tech_base!$T212&gt;L$1465,"",(tech_base!$J212/tech_proj!L336*0.086*$N$110)/(1-tech_proj!L616))</f>
        <v>0</v>
      </c>
      <c r="M1676" s="119">
        <f>IF(tech_base!$T212&gt;M$1465,"",(tech_base!$J212/tech_proj!M336*0.086*$N$110)/(1-tech_proj!M616))</f>
        <v>0</v>
      </c>
      <c r="N1676" s="119">
        <f>IF(tech_base!$T212&gt;N$1465,"",(tech_base!$J212/tech_proj!N336*0.086*$N$110)/(1-tech_proj!N616))</f>
        <v>0</v>
      </c>
      <c r="O1676" s="119">
        <f>IF(tech_base!$T212&gt;O$1465,"",(tech_base!$J212/tech_proj!O336*0.086*$N$110)/(1-tech_proj!O616))</f>
        <v>0</v>
      </c>
      <c r="P1676" s="119">
        <f>IF(tech_base!$T212&gt;P$1465,"",(tech_base!$J212/tech_proj!P336*0.086*$N$110)/(1-tech_proj!P616))</f>
        <v>0</v>
      </c>
      <c r="Q1676" s="119">
        <f>IF(tech_base!$T212&gt;Q$1465,"",(tech_base!$J212/tech_proj!Q336*0.086*$N$110)/(1-tech_proj!Q616))</f>
        <v>0</v>
      </c>
      <c r="R1676" s="119">
        <f>IF(tech_base!$T212&gt;R$1465,"",(tech_base!$J212/tech_proj!R336*0.086*$N$110)/(1-tech_proj!R616))</f>
        <v>0</v>
      </c>
      <c r="S1676" s="119">
        <f>IF(tech_base!$T212&gt;S$1465,"",(tech_base!$J212/tech_proj!S336*0.086*$N$110)/(1-tech_proj!S616))</f>
        <v>0</v>
      </c>
      <c r="T1676" s="119">
        <f>IF(tech_base!$T212&gt;T$1465,"",(tech_base!$J212/tech_proj!T336*0.086*$N$110)/(1-tech_proj!T616))</f>
        <v>0</v>
      </c>
      <c r="U1676" s="119">
        <f>IF(tech_base!$T212&gt;U$1465,"",(tech_base!$J212/tech_proj!U336*0.086*$N$110)/(1-tech_proj!U616))</f>
        <v>0</v>
      </c>
      <c r="V1676" s="119">
        <f>IF(tech_base!$T212&gt;V$1465,"",(tech_base!$J212/tech_proj!V336*0.086*$N$110)/(1-tech_proj!V616))</f>
        <v>0</v>
      </c>
      <c r="W1676" s="119">
        <f>IF(tech_base!$T212&gt;W$1465,"",(tech_base!$J212/tech_proj!W336*0.086*$N$110)/(1-tech_proj!W616))</f>
        <v>0</v>
      </c>
      <c r="X1676" s="119">
        <f>IF(tech_base!$T212&gt;X$1465,"",(tech_base!$J212/tech_proj!X336*0.086*$N$110)/(1-tech_proj!X616))</f>
        <v>0</v>
      </c>
      <c r="Y1676" s="119">
        <f>IF(tech_base!$T212&gt;Y$1465,"",(tech_base!$J212/tech_proj!Y336*0.086*$N$110)/(1-tech_proj!Y616))</f>
        <v>0</v>
      </c>
      <c r="Z1676" s="119">
        <f>IF(tech_base!$T212&gt;Z$1465,"",(tech_base!$J212/tech_proj!Z336*0.086*$N$110)/(1-tech_proj!Z616))</f>
        <v>0</v>
      </c>
      <c r="AA1676" s="119">
        <f>IF(tech_base!$T212&gt;AA$1465,"",(tech_base!$J212/tech_proj!AA336*0.086*$N$110)/(1-tech_proj!AA616))</f>
        <v>0</v>
      </c>
      <c r="AB1676" s="119">
        <f>IF(tech_base!$T212&gt;AB$1465,"",(tech_base!$J212/tech_proj!AB336*0.086*$N$110)/(1-tech_proj!AB616))</f>
        <v>0</v>
      </c>
      <c r="AC1676" s="119">
        <f>IF(tech_base!$T212&gt;AC$1465,"",(tech_base!$J212/tech_proj!AC336*0.086*$N$110)/(1-tech_proj!AC616))</f>
        <v>0</v>
      </c>
      <c r="AD1676" s="119">
        <f>IF(tech_base!$T212&gt;AD$1465,"",(tech_base!$J212/tech_proj!AD336*0.086*$N$110)/(1-tech_proj!AD616))</f>
        <v>0</v>
      </c>
      <c r="AE1676" s="119">
        <f>IF(tech_base!$T212&gt;AE$1465,"",(tech_base!$J212/tech_proj!AE336*0.086*$N$110)/(1-tech_proj!AE616))</f>
        <v>0</v>
      </c>
      <c r="AF1676" s="119">
        <f>IF(tech_base!$T212&gt;AF$1465,"",(tech_base!$J212/tech_proj!AF336*0.086*$N$110)/(1-tech_proj!AF616))</f>
        <v>0</v>
      </c>
      <c r="AG1676" s="119">
        <f>IF(tech_base!$T212&gt;AG$1465,"",(tech_base!$J212/tech_proj!AG336*0.086*$N$110)/(1-tech_proj!AG616))</f>
        <v>0</v>
      </c>
      <c r="AH1676" s="119">
        <f>IF(tech_base!$T212&gt;AH$1465,"",(tech_base!$J212/tech_proj!AH336*0.086*$N$110)/(1-tech_proj!AH616))</f>
        <v>0</v>
      </c>
      <c r="AI1676" s="119">
        <f>IF(tech_base!$T212&gt;AI$1465,"",(tech_base!$J212/tech_proj!AI336*0.086*$N$110)/(1-tech_proj!AI616))</f>
        <v>0</v>
      </c>
      <c r="AJ1676" s="119">
        <f>IF(tech_base!$T212&gt;AJ$1465,"",(tech_base!$J212/tech_proj!AJ336*0.086*$N$110)/(1-tech_proj!AJ616))</f>
        <v>0</v>
      </c>
      <c r="AK1676" s="119">
        <f>IF(tech_base!$T212&gt;AK$1465,"",(tech_base!$J212/tech_proj!AK336*0.086*$N$110)/(1-tech_proj!AK616))</f>
        <v>0</v>
      </c>
      <c r="AL1676" s="119">
        <f>IF(tech_base!$T212&gt;AL$1465,"",(tech_base!$J212/tech_proj!AL336*0.086*$N$110)/(1-tech_proj!AL616))</f>
        <v>0</v>
      </c>
      <c r="AM1676" s="119">
        <f>IF(tech_base!$T212&gt;AM$1465,"",(tech_base!$J212/tech_proj!AM336*0.086*$N$110)/(1-tech_proj!AM616))</f>
        <v>0</v>
      </c>
      <c r="AN1676" s="119">
        <f>IF(tech_base!$T212&gt;AN$1465,"",(tech_base!$J212/tech_proj!AN336*0.086*$N$110)/(1-tech_proj!AN616))</f>
        <v>0</v>
      </c>
      <c r="AO1676" s="119">
        <f>IF(tech_base!$T212&gt;AO$1465,"",(tech_base!$J212/tech_proj!AO336*0.086*$N$110)/(1-tech_proj!AO616))</f>
        <v>0</v>
      </c>
      <c r="AP1676" s="119">
        <f>IF(tech_base!$T212&gt;AP$1465,"",(tech_base!$J212/tech_proj!AP336*0.086*$N$110)/(1-tech_proj!AP616))</f>
        <v>0</v>
      </c>
      <c r="AQ1676" s="119">
        <f>IF(tech_base!$T212&gt;AQ$1465,"",(tech_base!$J212/tech_proj!AQ336*0.086*$N$110)/(1-tech_proj!AQ616))</f>
        <v>0</v>
      </c>
      <c r="AR1676" s="119">
        <f>IF(tech_base!$T212&gt;AR$1465,"",(tech_base!$J212/tech_proj!AR336*0.086*$N$110)/(1-tech_proj!AR616))</f>
        <v>0</v>
      </c>
      <c r="AS1676" s="119">
        <f>IF(tech_base!$T212&gt;AS$1465,"",(tech_base!$J212/tech_proj!AS336*0.086*$N$110)/(1-tech_proj!AS616))</f>
        <v>0</v>
      </c>
      <c r="AT1676" s="119">
        <f>IF(tech_base!$T212&gt;AT$1465,"",(tech_base!$J212/tech_proj!AT336*0.086*$N$110)/(1-tech_proj!AT616))</f>
        <v>0</v>
      </c>
      <c r="AU1676" s="119">
        <f>IF(tech_base!$T212&gt;AU$1465,"",(tech_base!$J212/tech_proj!AU336*0.086*$N$110)/(1-tech_proj!AU616))</f>
        <v>0</v>
      </c>
      <c r="AV1676" s="119">
        <f>IF(tech_base!$T212&gt;AV$1465,"",(tech_base!$J212/tech_proj!AV336*0.086*$N$110)/(1-tech_proj!AV616))</f>
        <v>0</v>
      </c>
      <c r="AW1676" s="119">
        <f>IF(tech_base!$T212&gt;AW$1465,"",(tech_base!$J212/tech_proj!AW336*0.086*$N$110)/(1-tech_proj!AW616))</f>
        <v>0</v>
      </c>
      <c r="AX1676" s="120">
        <f>IF(tech_base!$T212&gt;AX$1465,"",(tech_base!$J212/tech_proj!AX336*0.086*$N$110)/(1-tech_proj!AX616))</f>
        <v>0</v>
      </c>
    </row>
    <row r="1677" spans="1:50" x14ac:dyDescent="0.25">
      <c r="A1677" s="356"/>
      <c r="B1677" s="376"/>
      <c r="C1677" s="378"/>
      <c r="D1677" s="2" t="s">
        <v>10</v>
      </c>
      <c r="E1677" s="160" t="str">
        <f>A1667&amp;"/"&amp;B1675&amp;"/"&amp;C1675&amp;"/"&amp;D1677</f>
        <v>Biomass and waste fired power plants/Fluidized bed combustion/Electricity only/S</v>
      </c>
      <c r="F1677" s="76" t="str">
        <f>A1667</f>
        <v>Biomass and waste fired power plants</v>
      </c>
      <c r="G1677" s="76" t="str">
        <f>B1675</f>
        <v>Fluidized bed combustion</v>
      </c>
      <c r="H1677" s="76" t="str">
        <f>C1675</f>
        <v>Electricity only</v>
      </c>
      <c r="I1677" s="161" t="str">
        <f t="shared" si="380"/>
        <v>S</v>
      </c>
      <c r="J1677" s="119">
        <f>IF(tech_base!$T213&gt;J$1465,"",(tech_base!$J213/tech_proj!J337*0.086*$N$110)/(1-tech_proj!J617))</f>
        <v>0</v>
      </c>
      <c r="K1677" s="119">
        <f>IF(tech_base!$T213&gt;K$1465,"",(tech_base!$J213/tech_proj!K337*0.086*$N$110)/(1-tech_proj!K617))</f>
        <v>0</v>
      </c>
      <c r="L1677" s="119">
        <f>IF(tech_base!$T213&gt;L$1465,"",(tech_base!$J213/tech_proj!L337*0.086*$N$110)/(1-tech_proj!L617))</f>
        <v>0</v>
      </c>
      <c r="M1677" s="119">
        <f>IF(tech_base!$T213&gt;M$1465,"",(tech_base!$J213/tech_proj!M337*0.086*$N$110)/(1-tech_proj!M617))</f>
        <v>0</v>
      </c>
      <c r="N1677" s="119">
        <f>IF(tech_base!$T213&gt;N$1465,"",(tech_base!$J213/tech_proj!N337*0.086*$N$110)/(1-tech_proj!N617))</f>
        <v>0</v>
      </c>
      <c r="O1677" s="119">
        <f>IF(tech_base!$T213&gt;O$1465,"",(tech_base!$J213/tech_proj!O337*0.086*$N$110)/(1-tech_proj!O617))</f>
        <v>0</v>
      </c>
      <c r="P1677" s="119">
        <f>IF(tech_base!$T213&gt;P$1465,"",(tech_base!$J213/tech_proj!P337*0.086*$N$110)/(1-tech_proj!P617))</f>
        <v>0</v>
      </c>
      <c r="Q1677" s="119">
        <f>IF(tech_base!$T213&gt;Q$1465,"",(tech_base!$J213/tech_proj!Q337*0.086*$N$110)/(1-tech_proj!Q617))</f>
        <v>0</v>
      </c>
      <c r="R1677" s="119">
        <f>IF(tech_base!$T213&gt;R$1465,"",(tech_base!$J213/tech_proj!R337*0.086*$N$110)/(1-tech_proj!R617))</f>
        <v>0</v>
      </c>
      <c r="S1677" s="119">
        <f>IF(tech_base!$T213&gt;S$1465,"",(tech_base!$J213/tech_proj!S337*0.086*$N$110)/(1-tech_proj!S617))</f>
        <v>0</v>
      </c>
      <c r="T1677" s="119">
        <f>IF(tech_base!$T213&gt;T$1465,"",(tech_base!$J213/tech_proj!T337*0.086*$N$110)/(1-tech_proj!T617))</f>
        <v>0</v>
      </c>
      <c r="U1677" s="119">
        <f>IF(tech_base!$T213&gt;U$1465,"",(tech_base!$J213/tech_proj!U337*0.086*$N$110)/(1-tech_proj!U617))</f>
        <v>0</v>
      </c>
      <c r="V1677" s="119">
        <f>IF(tech_base!$T213&gt;V$1465,"",(tech_base!$J213/tech_proj!V337*0.086*$N$110)/(1-tech_proj!V617))</f>
        <v>0</v>
      </c>
      <c r="W1677" s="119">
        <f>IF(tech_base!$T213&gt;W$1465,"",(tech_base!$J213/tech_proj!W337*0.086*$N$110)/(1-tech_proj!W617))</f>
        <v>0</v>
      </c>
      <c r="X1677" s="119">
        <f>IF(tech_base!$T213&gt;X$1465,"",(tech_base!$J213/tech_proj!X337*0.086*$N$110)/(1-tech_proj!X617))</f>
        <v>0</v>
      </c>
      <c r="Y1677" s="119">
        <f>IF(tech_base!$T213&gt;Y$1465,"",(tech_base!$J213/tech_proj!Y337*0.086*$N$110)/(1-tech_proj!Y617))</f>
        <v>0</v>
      </c>
      <c r="Z1677" s="119">
        <f>IF(tech_base!$T213&gt;Z$1465,"",(tech_base!$J213/tech_proj!Z337*0.086*$N$110)/(1-tech_proj!Z617))</f>
        <v>0</v>
      </c>
      <c r="AA1677" s="119">
        <f>IF(tech_base!$T213&gt;AA$1465,"",(tech_base!$J213/tech_proj!AA337*0.086*$N$110)/(1-tech_proj!AA617))</f>
        <v>0</v>
      </c>
      <c r="AB1677" s="119">
        <f>IF(tech_base!$T213&gt;AB$1465,"",(tech_base!$J213/tech_proj!AB337*0.086*$N$110)/(1-tech_proj!AB617))</f>
        <v>0</v>
      </c>
      <c r="AC1677" s="119">
        <f>IF(tech_base!$T213&gt;AC$1465,"",(tech_base!$J213/tech_proj!AC337*0.086*$N$110)/(1-tech_proj!AC617))</f>
        <v>0</v>
      </c>
      <c r="AD1677" s="119">
        <f>IF(tech_base!$T213&gt;AD$1465,"",(tech_base!$J213/tech_proj!AD337*0.086*$N$110)/(1-tech_proj!AD617))</f>
        <v>0</v>
      </c>
      <c r="AE1677" s="119">
        <f>IF(tech_base!$T213&gt;AE$1465,"",(tech_base!$J213/tech_proj!AE337*0.086*$N$110)/(1-tech_proj!AE617))</f>
        <v>0</v>
      </c>
      <c r="AF1677" s="119">
        <f>IF(tech_base!$T213&gt;AF$1465,"",(tech_base!$J213/tech_proj!AF337*0.086*$N$110)/(1-tech_proj!AF617))</f>
        <v>0</v>
      </c>
      <c r="AG1677" s="119">
        <f>IF(tech_base!$T213&gt;AG$1465,"",(tech_base!$J213/tech_proj!AG337*0.086*$N$110)/(1-tech_proj!AG617))</f>
        <v>0</v>
      </c>
      <c r="AH1677" s="119">
        <f>IF(tech_base!$T213&gt;AH$1465,"",(tech_base!$J213/tech_proj!AH337*0.086*$N$110)/(1-tech_proj!AH617))</f>
        <v>0</v>
      </c>
      <c r="AI1677" s="119">
        <f>IF(tech_base!$T213&gt;AI$1465,"",(tech_base!$J213/tech_proj!AI337*0.086*$N$110)/(1-tech_proj!AI617))</f>
        <v>0</v>
      </c>
      <c r="AJ1677" s="119">
        <f>IF(tech_base!$T213&gt;AJ$1465,"",(tech_base!$J213/tech_proj!AJ337*0.086*$N$110)/(1-tech_proj!AJ617))</f>
        <v>0</v>
      </c>
      <c r="AK1677" s="119">
        <f>IF(tech_base!$T213&gt;AK$1465,"",(tech_base!$J213/tech_proj!AK337*0.086*$N$110)/(1-tech_proj!AK617))</f>
        <v>0</v>
      </c>
      <c r="AL1677" s="119">
        <f>IF(tech_base!$T213&gt;AL$1465,"",(tech_base!$J213/tech_proj!AL337*0.086*$N$110)/(1-tech_proj!AL617))</f>
        <v>0</v>
      </c>
      <c r="AM1677" s="119">
        <f>IF(tech_base!$T213&gt;AM$1465,"",(tech_base!$J213/tech_proj!AM337*0.086*$N$110)/(1-tech_proj!AM617))</f>
        <v>0</v>
      </c>
      <c r="AN1677" s="119">
        <f>IF(tech_base!$T213&gt;AN$1465,"",(tech_base!$J213/tech_proj!AN337*0.086*$N$110)/(1-tech_proj!AN617))</f>
        <v>0</v>
      </c>
      <c r="AO1677" s="119">
        <f>IF(tech_base!$T213&gt;AO$1465,"",(tech_base!$J213/tech_proj!AO337*0.086*$N$110)/(1-tech_proj!AO617))</f>
        <v>0</v>
      </c>
      <c r="AP1677" s="119">
        <f>IF(tech_base!$T213&gt;AP$1465,"",(tech_base!$J213/tech_proj!AP337*0.086*$N$110)/(1-tech_proj!AP617))</f>
        <v>0</v>
      </c>
      <c r="AQ1677" s="119">
        <f>IF(tech_base!$T213&gt;AQ$1465,"",(tech_base!$J213/tech_proj!AQ337*0.086*$N$110)/(1-tech_proj!AQ617))</f>
        <v>0</v>
      </c>
      <c r="AR1677" s="119">
        <f>IF(tech_base!$T213&gt;AR$1465,"",(tech_base!$J213/tech_proj!AR337*0.086*$N$110)/(1-tech_proj!AR617))</f>
        <v>0</v>
      </c>
      <c r="AS1677" s="119">
        <f>IF(tech_base!$T213&gt;AS$1465,"",(tech_base!$J213/tech_proj!AS337*0.086*$N$110)/(1-tech_proj!AS617))</f>
        <v>0</v>
      </c>
      <c r="AT1677" s="119">
        <f>IF(tech_base!$T213&gt;AT$1465,"",(tech_base!$J213/tech_proj!AT337*0.086*$N$110)/(1-tech_proj!AT617))</f>
        <v>0</v>
      </c>
      <c r="AU1677" s="119">
        <f>IF(tech_base!$T213&gt;AU$1465,"",(tech_base!$J213/tech_proj!AU337*0.086*$N$110)/(1-tech_proj!AU617))</f>
        <v>0</v>
      </c>
      <c r="AV1677" s="119">
        <f>IF(tech_base!$T213&gt;AV$1465,"",(tech_base!$J213/tech_proj!AV337*0.086*$N$110)/(1-tech_proj!AV617))</f>
        <v>0</v>
      </c>
      <c r="AW1677" s="119">
        <f>IF(tech_base!$T213&gt;AW$1465,"",(tech_base!$J213/tech_proj!AW337*0.086*$N$110)/(1-tech_proj!AW617))</f>
        <v>0</v>
      </c>
      <c r="AX1677" s="120">
        <f>IF(tech_base!$T213&gt;AX$1465,"",(tech_base!$J213/tech_proj!AX337*0.086*$N$110)/(1-tech_proj!AX617))</f>
        <v>0</v>
      </c>
    </row>
    <row r="1678" spans="1:50" x14ac:dyDescent="0.25">
      <c r="A1678" s="356"/>
      <c r="B1678" s="376"/>
      <c r="C1678" s="379"/>
      <c r="D1678" s="2" t="s">
        <v>20</v>
      </c>
      <c r="E1678" s="160" t="str">
        <f>A1667&amp;"/"&amp;B1675&amp;"/"&amp;C1675&amp;"/"&amp;D1678</f>
        <v>Biomass and waste fired power plants/Fluidized bed combustion/Electricity only/XS</v>
      </c>
      <c r="F1678" s="76" t="str">
        <f>A1667</f>
        <v>Biomass and waste fired power plants</v>
      </c>
      <c r="G1678" s="76" t="str">
        <f>B1675</f>
        <v>Fluidized bed combustion</v>
      </c>
      <c r="H1678" s="76" t="str">
        <f>C1675</f>
        <v>Electricity only</v>
      </c>
      <c r="I1678" s="161" t="str">
        <f t="shared" si="380"/>
        <v>XS</v>
      </c>
      <c r="J1678" s="119">
        <f>IF(tech_base!$T214&gt;J$1465,"",(tech_base!$J214/tech_proj!J338*0.086*$N$110)/(1-tech_proj!J618))</f>
        <v>0</v>
      </c>
      <c r="K1678" s="119">
        <f>IF(tech_base!$T214&gt;K$1465,"",(tech_base!$J214/tech_proj!K338*0.086*$N$110)/(1-tech_proj!K618))</f>
        <v>0</v>
      </c>
      <c r="L1678" s="119">
        <f>IF(tech_base!$T214&gt;L$1465,"",(tech_base!$J214/tech_proj!L338*0.086*$N$110)/(1-tech_proj!L618))</f>
        <v>0</v>
      </c>
      <c r="M1678" s="119">
        <f>IF(tech_base!$T214&gt;M$1465,"",(tech_base!$J214/tech_proj!M338*0.086*$N$110)/(1-tech_proj!M618))</f>
        <v>0</v>
      </c>
      <c r="N1678" s="119">
        <f>IF(tech_base!$T214&gt;N$1465,"",(tech_base!$J214/tech_proj!N338*0.086*$N$110)/(1-tech_proj!N618))</f>
        <v>0</v>
      </c>
      <c r="O1678" s="119">
        <f>IF(tech_base!$T214&gt;O$1465,"",(tech_base!$J214/tech_proj!O338*0.086*$N$110)/(1-tech_proj!O618))</f>
        <v>0</v>
      </c>
      <c r="P1678" s="119">
        <f>IF(tech_base!$T214&gt;P$1465,"",(tech_base!$J214/tech_proj!P338*0.086*$N$110)/(1-tech_proj!P618))</f>
        <v>0</v>
      </c>
      <c r="Q1678" s="119">
        <f>IF(tech_base!$T214&gt;Q$1465,"",(tech_base!$J214/tech_proj!Q338*0.086*$N$110)/(1-tech_proj!Q618))</f>
        <v>0</v>
      </c>
      <c r="R1678" s="119">
        <f>IF(tech_base!$T214&gt;R$1465,"",(tech_base!$J214/tech_proj!R338*0.086*$N$110)/(1-tech_proj!R618))</f>
        <v>0</v>
      </c>
      <c r="S1678" s="119">
        <f>IF(tech_base!$T214&gt;S$1465,"",(tech_base!$J214/tech_proj!S338*0.086*$N$110)/(1-tech_proj!S618))</f>
        <v>0</v>
      </c>
      <c r="T1678" s="119">
        <f>IF(tech_base!$T214&gt;T$1465,"",(tech_base!$J214/tech_proj!T338*0.086*$N$110)/(1-tech_proj!T618))</f>
        <v>0</v>
      </c>
      <c r="U1678" s="119">
        <f>IF(tech_base!$T214&gt;U$1465,"",(tech_base!$J214/tech_proj!U338*0.086*$N$110)/(1-tech_proj!U618))</f>
        <v>0</v>
      </c>
      <c r="V1678" s="119">
        <f>IF(tech_base!$T214&gt;V$1465,"",(tech_base!$J214/tech_proj!V338*0.086*$N$110)/(1-tech_proj!V618))</f>
        <v>0</v>
      </c>
      <c r="W1678" s="119">
        <f>IF(tech_base!$T214&gt;W$1465,"",(tech_base!$J214/tech_proj!W338*0.086*$N$110)/(1-tech_proj!W618))</f>
        <v>0</v>
      </c>
      <c r="X1678" s="119">
        <f>IF(tech_base!$T214&gt;X$1465,"",(tech_base!$J214/tech_proj!X338*0.086*$N$110)/(1-tech_proj!X618))</f>
        <v>0</v>
      </c>
      <c r="Y1678" s="119">
        <f>IF(tech_base!$T214&gt;Y$1465,"",(tech_base!$J214/tech_proj!Y338*0.086*$N$110)/(1-tech_proj!Y618))</f>
        <v>0</v>
      </c>
      <c r="Z1678" s="119">
        <f>IF(tech_base!$T214&gt;Z$1465,"",(tech_base!$J214/tech_proj!Z338*0.086*$N$110)/(1-tech_proj!Z618))</f>
        <v>0</v>
      </c>
      <c r="AA1678" s="119">
        <f>IF(tech_base!$T214&gt;AA$1465,"",(tech_base!$J214/tech_proj!AA338*0.086*$N$110)/(1-tech_proj!AA618))</f>
        <v>0</v>
      </c>
      <c r="AB1678" s="119">
        <f>IF(tech_base!$T214&gt;AB$1465,"",(tech_base!$J214/tech_proj!AB338*0.086*$N$110)/(1-tech_proj!AB618))</f>
        <v>0</v>
      </c>
      <c r="AC1678" s="119">
        <f>IF(tech_base!$T214&gt;AC$1465,"",(tech_base!$J214/tech_proj!AC338*0.086*$N$110)/(1-tech_proj!AC618))</f>
        <v>0</v>
      </c>
      <c r="AD1678" s="119">
        <f>IF(tech_base!$T214&gt;AD$1465,"",(tech_base!$J214/tech_proj!AD338*0.086*$N$110)/(1-tech_proj!AD618))</f>
        <v>0</v>
      </c>
      <c r="AE1678" s="119">
        <f>IF(tech_base!$T214&gt;AE$1465,"",(tech_base!$J214/tech_proj!AE338*0.086*$N$110)/(1-tech_proj!AE618))</f>
        <v>0</v>
      </c>
      <c r="AF1678" s="119">
        <f>IF(tech_base!$T214&gt;AF$1465,"",(tech_base!$J214/tech_proj!AF338*0.086*$N$110)/(1-tech_proj!AF618))</f>
        <v>0</v>
      </c>
      <c r="AG1678" s="119">
        <f>IF(tech_base!$T214&gt;AG$1465,"",(tech_base!$J214/tech_proj!AG338*0.086*$N$110)/(1-tech_proj!AG618))</f>
        <v>0</v>
      </c>
      <c r="AH1678" s="119">
        <f>IF(tech_base!$T214&gt;AH$1465,"",(tech_base!$J214/tech_proj!AH338*0.086*$N$110)/(1-tech_proj!AH618))</f>
        <v>0</v>
      </c>
      <c r="AI1678" s="119">
        <f>IF(tech_base!$T214&gt;AI$1465,"",(tech_base!$J214/tech_proj!AI338*0.086*$N$110)/(1-tech_proj!AI618))</f>
        <v>0</v>
      </c>
      <c r="AJ1678" s="119">
        <f>IF(tech_base!$T214&gt;AJ$1465,"",(tech_base!$J214/tech_proj!AJ338*0.086*$N$110)/(1-tech_proj!AJ618))</f>
        <v>0</v>
      </c>
      <c r="AK1678" s="119">
        <f>IF(tech_base!$T214&gt;AK$1465,"",(tech_base!$J214/tech_proj!AK338*0.086*$N$110)/(1-tech_proj!AK618))</f>
        <v>0</v>
      </c>
      <c r="AL1678" s="119">
        <f>IF(tech_base!$T214&gt;AL$1465,"",(tech_base!$J214/tech_proj!AL338*0.086*$N$110)/(1-tech_proj!AL618))</f>
        <v>0</v>
      </c>
      <c r="AM1678" s="119">
        <f>IF(tech_base!$T214&gt;AM$1465,"",(tech_base!$J214/tech_proj!AM338*0.086*$N$110)/(1-tech_proj!AM618))</f>
        <v>0</v>
      </c>
      <c r="AN1678" s="119">
        <f>IF(tech_base!$T214&gt;AN$1465,"",(tech_base!$J214/tech_proj!AN338*0.086*$N$110)/(1-tech_proj!AN618))</f>
        <v>0</v>
      </c>
      <c r="AO1678" s="119">
        <f>IF(tech_base!$T214&gt;AO$1465,"",(tech_base!$J214/tech_proj!AO338*0.086*$N$110)/(1-tech_proj!AO618))</f>
        <v>0</v>
      </c>
      <c r="AP1678" s="119">
        <f>IF(tech_base!$T214&gt;AP$1465,"",(tech_base!$J214/tech_proj!AP338*0.086*$N$110)/(1-tech_proj!AP618))</f>
        <v>0</v>
      </c>
      <c r="AQ1678" s="119">
        <f>IF(tech_base!$T214&gt;AQ$1465,"",(tech_base!$J214/tech_proj!AQ338*0.086*$N$110)/(1-tech_proj!AQ618))</f>
        <v>0</v>
      </c>
      <c r="AR1678" s="119">
        <f>IF(tech_base!$T214&gt;AR$1465,"",(tech_base!$J214/tech_proj!AR338*0.086*$N$110)/(1-tech_proj!AR618))</f>
        <v>0</v>
      </c>
      <c r="AS1678" s="119">
        <f>IF(tech_base!$T214&gt;AS$1465,"",(tech_base!$J214/tech_proj!AS338*0.086*$N$110)/(1-tech_proj!AS618))</f>
        <v>0</v>
      </c>
      <c r="AT1678" s="119">
        <f>IF(tech_base!$T214&gt;AT$1465,"",(tech_base!$J214/tech_proj!AT338*0.086*$N$110)/(1-tech_proj!AT618))</f>
        <v>0</v>
      </c>
      <c r="AU1678" s="119">
        <f>IF(tech_base!$T214&gt;AU$1465,"",(tech_base!$J214/tech_proj!AU338*0.086*$N$110)/(1-tech_proj!AU618))</f>
        <v>0</v>
      </c>
      <c r="AV1678" s="119">
        <f>IF(tech_base!$T214&gt;AV$1465,"",(tech_base!$J214/tech_proj!AV338*0.086*$N$110)/(1-tech_proj!AV618))</f>
        <v>0</v>
      </c>
      <c r="AW1678" s="119">
        <f>IF(tech_base!$T214&gt;AW$1465,"",(tech_base!$J214/tech_proj!AW338*0.086*$N$110)/(1-tech_proj!AW618))</f>
        <v>0</v>
      </c>
      <c r="AX1678" s="120">
        <f>IF(tech_base!$T214&gt;AX$1465,"",(tech_base!$J214/tech_proj!AX338*0.086*$N$110)/(1-tech_proj!AX618))</f>
        <v>0</v>
      </c>
    </row>
    <row r="1679" spans="1:50" x14ac:dyDescent="0.25">
      <c r="A1679" s="356"/>
      <c r="B1679" s="376"/>
      <c r="C1679" s="361" t="s">
        <v>14</v>
      </c>
      <c r="D1679" s="58" t="s">
        <v>7</v>
      </c>
      <c r="E1679" s="164" t="str">
        <f>A1667&amp;"/"&amp;B1675&amp;"/"&amp;C1679&amp;"/"&amp;D1679</f>
        <v>Biomass and waste fired power plants/Fluidized bed combustion/CHP/L</v>
      </c>
      <c r="F1679" s="78" t="str">
        <f>A1667</f>
        <v>Biomass and waste fired power plants</v>
      </c>
      <c r="G1679" s="78" t="str">
        <f>B1675</f>
        <v>Fluidized bed combustion</v>
      </c>
      <c r="H1679" s="78" t="str">
        <f>C1679</f>
        <v>CHP</v>
      </c>
      <c r="I1679" s="165" t="str">
        <f t="shared" si="380"/>
        <v>L</v>
      </c>
      <c r="J1679" s="123">
        <f>IF(tech_base!$T215&gt;J$1465,"",(tech_base!$J215/tech_proj!J339*0.086*$N$110)/(1-tech_proj!J619))</f>
        <v>0</v>
      </c>
      <c r="K1679" s="123">
        <f>IF(tech_base!$T215&gt;K$1465,"",(tech_base!$J215/tech_proj!K339*0.086*$N$110)/(1-tech_proj!K619))</f>
        <v>0</v>
      </c>
      <c r="L1679" s="123">
        <f>IF(tech_base!$T215&gt;L$1465,"",(tech_base!$J215/tech_proj!L339*0.086*$N$110)/(1-tech_proj!L619))</f>
        <v>0</v>
      </c>
      <c r="M1679" s="123">
        <f>IF(tech_base!$T215&gt;M$1465,"",(tech_base!$J215/tech_proj!M339*0.086*$N$110)/(1-tech_proj!M619))</f>
        <v>0</v>
      </c>
      <c r="N1679" s="123">
        <f>IF(tech_base!$T215&gt;N$1465,"",(tech_base!$J215/tech_proj!N339*0.086*$N$110)/(1-tech_proj!N619))</f>
        <v>0</v>
      </c>
      <c r="O1679" s="123">
        <f>IF(tech_base!$T215&gt;O$1465,"",(tech_base!$J215/tech_proj!O339*0.086*$N$110)/(1-tech_proj!O619))</f>
        <v>0</v>
      </c>
      <c r="P1679" s="123">
        <f>IF(tech_base!$T215&gt;P$1465,"",(tech_base!$J215/tech_proj!P339*0.086*$N$110)/(1-tech_proj!P619))</f>
        <v>0</v>
      </c>
      <c r="Q1679" s="123">
        <f>IF(tech_base!$T215&gt;Q$1465,"",(tech_base!$J215/tech_proj!Q339*0.086*$N$110)/(1-tech_proj!Q619))</f>
        <v>0</v>
      </c>
      <c r="R1679" s="123">
        <f>IF(tech_base!$T215&gt;R$1465,"",(tech_base!$J215/tech_proj!R339*0.086*$N$110)/(1-tech_proj!R619))</f>
        <v>0</v>
      </c>
      <c r="S1679" s="123">
        <f>IF(tech_base!$T215&gt;S$1465,"",(tech_base!$J215/tech_proj!S339*0.086*$N$110)/(1-tech_proj!S619))</f>
        <v>0</v>
      </c>
      <c r="T1679" s="123">
        <f>IF(tech_base!$T215&gt;T$1465,"",(tech_base!$J215/tech_proj!T339*0.086*$N$110)/(1-tech_proj!T619))</f>
        <v>0</v>
      </c>
      <c r="U1679" s="123">
        <f>IF(tech_base!$T215&gt;U$1465,"",(tech_base!$J215/tech_proj!U339*0.086*$N$110)/(1-tech_proj!U619))</f>
        <v>0</v>
      </c>
      <c r="V1679" s="123">
        <f>IF(tech_base!$T215&gt;V$1465,"",(tech_base!$J215/tech_proj!V339*0.086*$N$110)/(1-tech_proj!V619))</f>
        <v>0</v>
      </c>
      <c r="W1679" s="123">
        <f>IF(tech_base!$T215&gt;W$1465,"",(tech_base!$J215/tech_proj!W339*0.086*$N$110)/(1-tech_proj!W619))</f>
        <v>0</v>
      </c>
      <c r="X1679" s="123">
        <f>IF(tech_base!$T215&gt;X$1465,"",(tech_base!$J215/tech_proj!X339*0.086*$N$110)/(1-tech_proj!X619))</f>
        <v>0</v>
      </c>
      <c r="Y1679" s="123">
        <f>IF(tech_base!$T215&gt;Y$1465,"",(tech_base!$J215/tech_proj!Y339*0.086*$N$110)/(1-tech_proj!Y619))</f>
        <v>0</v>
      </c>
      <c r="Z1679" s="123">
        <f>IF(tech_base!$T215&gt;Z$1465,"",(tech_base!$J215/tech_proj!Z339*0.086*$N$110)/(1-tech_proj!Z619))</f>
        <v>0</v>
      </c>
      <c r="AA1679" s="123">
        <f>IF(tech_base!$T215&gt;AA$1465,"",(tech_base!$J215/tech_proj!AA339*0.086*$N$110)/(1-tech_proj!AA619))</f>
        <v>0</v>
      </c>
      <c r="AB1679" s="123">
        <f>IF(tech_base!$T215&gt;AB$1465,"",(tech_base!$J215/tech_proj!AB339*0.086*$N$110)/(1-tech_proj!AB619))</f>
        <v>0</v>
      </c>
      <c r="AC1679" s="123">
        <f>IF(tech_base!$T215&gt;AC$1465,"",(tech_base!$J215/tech_proj!AC339*0.086*$N$110)/(1-tech_proj!AC619))</f>
        <v>0</v>
      </c>
      <c r="AD1679" s="123">
        <f>IF(tech_base!$T215&gt;AD$1465,"",(tech_base!$J215/tech_proj!AD339*0.086*$N$110)/(1-tech_proj!AD619))</f>
        <v>0</v>
      </c>
      <c r="AE1679" s="123">
        <f>IF(tech_base!$T215&gt;AE$1465,"",(tech_base!$J215/tech_proj!AE339*0.086*$N$110)/(1-tech_proj!AE619))</f>
        <v>0</v>
      </c>
      <c r="AF1679" s="123">
        <f>IF(tech_base!$T215&gt;AF$1465,"",(tech_base!$J215/tech_proj!AF339*0.086*$N$110)/(1-tech_proj!AF619))</f>
        <v>0</v>
      </c>
      <c r="AG1679" s="123">
        <f>IF(tech_base!$T215&gt;AG$1465,"",(tech_base!$J215/tech_proj!AG339*0.086*$N$110)/(1-tech_proj!AG619))</f>
        <v>0</v>
      </c>
      <c r="AH1679" s="123">
        <f>IF(tech_base!$T215&gt;AH$1465,"",(tech_base!$J215/tech_proj!AH339*0.086*$N$110)/(1-tech_proj!AH619))</f>
        <v>0</v>
      </c>
      <c r="AI1679" s="123">
        <f>IF(tech_base!$T215&gt;AI$1465,"",(tech_base!$J215/tech_proj!AI339*0.086*$N$110)/(1-tech_proj!AI619))</f>
        <v>0</v>
      </c>
      <c r="AJ1679" s="123">
        <f>IF(tech_base!$T215&gt;AJ$1465,"",(tech_base!$J215/tech_proj!AJ339*0.086*$N$110)/(1-tech_proj!AJ619))</f>
        <v>0</v>
      </c>
      <c r="AK1679" s="123">
        <f>IF(tech_base!$T215&gt;AK$1465,"",(tech_base!$J215/tech_proj!AK339*0.086*$N$110)/(1-tech_proj!AK619))</f>
        <v>0</v>
      </c>
      <c r="AL1679" s="123">
        <f>IF(tech_base!$T215&gt;AL$1465,"",(tech_base!$J215/tech_proj!AL339*0.086*$N$110)/(1-tech_proj!AL619))</f>
        <v>0</v>
      </c>
      <c r="AM1679" s="123">
        <f>IF(tech_base!$T215&gt;AM$1465,"",(tech_base!$J215/tech_proj!AM339*0.086*$N$110)/(1-tech_proj!AM619))</f>
        <v>0</v>
      </c>
      <c r="AN1679" s="123">
        <f>IF(tech_base!$T215&gt;AN$1465,"",(tech_base!$J215/tech_proj!AN339*0.086*$N$110)/(1-tech_proj!AN619))</f>
        <v>0</v>
      </c>
      <c r="AO1679" s="123">
        <f>IF(tech_base!$T215&gt;AO$1465,"",(tech_base!$J215/tech_proj!AO339*0.086*$N$110)/(1-tech_proj!AO619))</f>
        <v>0</v>
      </c>
      <c r="AP1679" s="123">
        <f>IF(tech_base!$T215&gt;AP$1465,"",(tech_base!$J215/tech_proj!AP339*0.086*$N$110)/(1-tech_proj!AP619))</f>
        <v>0</v>
      </c>
      <c r="AQ1679" s="123">
        <f>IF(tech_base!$T215&gt;AQ$1465,"",(tech_base!$J215/tech_proj!AQ339*0.086*$N$110)/(1-tech_proj!AQ619))</f>
        <v>0</v>
      </c>
      <c r="AR1679" s="123">
        <f>IF(tech_base!$T215&gt;AR$1465,"",(tech_base!$J215/tech_proj!AR339*0.086*$N$110)/(1-tech_proj!AR619))</f>
        <v>0</v>
      </c>
      <c r="AS1679" s="123">
        <f>IF(tech_base!$T215&gt;AS$1465,"",(tech_base!$J215/tech_proj!AS339*0.086*$N$110)/(1-tech_proj!AS619))</f>
        <v>0</v>
      </c>
      <c r="AT1679" s="123">
        <f>IF(tech_base!$T215&gt;AT$1465,"",(tech_base!$J215/tech_proj!AT339*0.086*$N$110)/(1-tech_proj!AT619))</f>
        <v>0</v>
      </c>
      <c r="AU1679" s="123">
        <f>IF(tech_base!$T215&gt;AU$1465,"",(tech_base!$J215/tech_proj!AU339*0.086*$N$110)/(1-tech_proj!AU619))</f>
        <v>0</v>
      </c>
      <c r="AV1679" s="123">
        <f>IF(tech_base!$T215&gt;AV$1465,"",(tech_base!$J215/tech_proj!AV339*0.086*$N$110)/(1-tech_proj!AV619))</f>
        <v>0</v>
      </c>
      <c r="AW1679" s="123">
        <f>IF(tech_base!$T215&gt;AW$1465,"",(tech_base!$J215/tech_proj!AW339*0.086*$N$110)/(1-tech_proj!AW619))</f>
        <v>0</v>
      </c>
      <c r="AX1679" s="124">
        <f>IF(tech_base!$T215&gt;AX$1465,"",(tech_base!$J215/tech_proj!AX339*0.086*$N$110)/(1-tech_proj!AX619))</f>
        <v>0</v>
      </c>
    </row>
    <row r="1680" spans="1:50" x14ac:dyDescent="0.25">
      <c r="A1680" s="356"/>
      <c r="B1680" s="376"/>
      <c r="C1680" s="378"/>
      <c r="D1680" s="2" t="s">
        <v>8</v>
      </c>
      <c r="E1680" s="160" t="str">
        <f>A1667&amp;"/"&amp;B1675&amp;"/"&amp;C1679&amp;"/"&amp;D1680</f>
        <v>Biomass and waste fired power plants/Fluidized bed combustion/CHP/M</v>
      </c>
      <c r="F1680" s="76" t="str">
        <f>A1667</f>
        <v>Biomass and waste fired power plants</v>
      </c>
      <c r="G1680" s="76" t="str">
        <f>B1675</f>
        <v>Fluidized bed combustion</v>
      </c>
      <c r="H1680" s="76" t="str">
        <f>C1679</f>
        <v>CHP</v>
      </c>
      <c r="I1680" s="161" t="str">
        <f t="shared" si="380"/>
        <v>M</v>
      </c>
      <c r="J1680" s="119">
        <f>IF(tech_base!$T216&gt;J$1465,"",(tech_base!$J216/tech_proj!J340*0.086*$N$110)/(1-tech_proj!J620))</f>
        <v>0</v>
      </c>
      <c r="K1680" s="119">
        <f>IF(tech_base!$T216&gt;K$1465,"",(tech_base!$J216/tech_proj!K340*0.086*$N$110)/(1-tech_proj!K620))</f>
        <v>0</v>
      </c>
      <c r="L1680" s="119">
        <f>IF(tech_base!$T216&gt;L$1465,"",(tech_base!$J216/tech_proj!L340*0.086*$N$110)/(1-tech_proj!L620))</f>
        <v>0</v>
      </c>
      <c r="M1680" s="119">
        <f>IF(tech_base!$T216&gt;M$1465,"",(tech_base!$J216/tech_proj!M340*0.086*$N$110)/(1-tech_proj!M620))</f>
        <v>0</v>
      </c>
      <c r="N1680" s="119">
        <f>IF(tech_base!$T216&gt;N$1465,"",(tech_base!$J216/tech_proj!N340*0.086*$N$110)/(1-tech_proj!N620))</f>
        <v>0</v>
      </c>
      <c r="O1680" s="119">
        <f>IF(tech_base!$T216&gt;O$1465,"",(tech_base!$J216/tech_proj!O340*0.086*$N$110)/(1-tech_proj!O620))</f>
        <v>0</v>
      </c>
      <c r="P1680" s="119">
        <f>IF(tech_base!$T216&gt;P$1465,"",(tech_base!$J216/tech_proj!P340*0.086*$N$110)/(1-tech_proj!P620))</f>
        <v>0</v>
      </c>
      <c r="Q1680" s="119">
        <f>IF(tech_base!$T216&gt;Q$1465,"",(tech_base!$J216/tech_proj!Q340*0.086*$N$110)/(1-tech_proj!Q620))</f>
        <v>0</v>
      </c>
      <c r="R1680" s="119">
        <f>IF(tech_base!$T216&gt;R$1465,"",(tech_base!$J216/tech_proj!R340*0.086*$N$110)/(1-tech_proj!R620))</f>
        <v>0</v>
      </c>
      <c r="S1680" s="119">
        <f>IF(tech_base!$T216&gt;S$1465,"",(tech_base!$J216/tech_proj!S340*0.086*$N$110)/(1-tech_proj!S620))</f>
        <v>0</v>
      </c>
      <c r="T1680" s="119">
        <f>IF(tech_base!$T216&gt;T$1465,"",(tech_base!$J216/tech_proj!T340*0.086*$N$110)/(1-tech_proj!T620))</f>
        <v>0</v>
      </c>
      <c r="U1680" s="119">
        <f>IF(tech_base!$T216&gt;U$1465,"",(tech_base!$J216/tech_proj!U340*0.086*$N$110)/(1-tech_proj!U620))</f>
        <v>0</v>
      </c>
      <c r="V1680" s="119">
        <f>IF(tech_base!$T216&gt;V$1465,"",(tech_base!$J216/tech_proj!V340*0.086*$N$110)/(1-tech_proj!V620))</f>
        <v>0</v>
      </c>
      <c r="W1680" s="119">
        <f>IF(tech_base!$T216&gt;W$1465,"",(tech_base!$J216/tech_proj!W340*0.086*$N$110)/(1-tech_proj!W620))</f>
        <v>0</v>
      </c>
      <c r="X1680" s="119">
        <f>IF(tech_base!$T216&gt;X$1465,"",(tech_base!$J216/tech_proj!X340*0.086*$N$110)/(1-tech_proj!X620))</f>
        <v>0</v>
      </c>
      <c r="Y1680" s="119">
        <f>IF(tech_base!$T216&gt;Y$1465,"",(tech_base!$J216/tech_proj!Y340*0.086*$N$110)/(1-tech_proj!Y620))</f>
        <v>0</v>
      </c>
      <c r="Z1680" s="119">
        <f>IF(tech_base!$T216&gt;Z$1465,"",(tech_base!$J216/tech_proj!Z340*0.086*$N$110)/(1-tech_proj!Z620))</f>
        <v>0</v>
      </c>
      <c r="AA1680" s="119">
        <f>IF(tech_base!$T216&gt;AA$1465,"",(tech_base!$J216/tech_proj!AA340*0.086*$N$110)/(1-tech_proj!AA620))</f>
        <v>0</v>
      </c>
      <c r="AB1680" s="119">
        <f>IF(tech_base!$T216&gt;AB$1465,"",(tech_base!$J216/tech_proj!AB340*0.086*$N$110)/(1-tech_proj!AB620))</f>
        <v>0</v>
      </c>
      <c r="AC1680" s="119">
        <f>IF(tech_base!$T216&gt;AC$1465,"",(tech_base!$J216/tech_proj!AC340*0.086*$N$110)/(1-tech_proj!AC620))</f>
        <v>0</v>
      </c>
      <c r="AD1680" s="119">
        <f>IF(tech_base!$T216&gt;AD$1465,"",(tech_base!$J216/tech_proj!AD340*0.086*$N$110)/(1-tech_proj!AD620))</f>
        <v>0</v>
      </c>
      <c r="AE1680" s="119">
        <f>IF(tech_base!$T216&gt;AE$1465,"",(tech_base!$J216/tech_proj!AE340*0.086*$N$110)/(1-tech_proj!AE620))</f>
        <v>0</v>
      </c>
      <c r="AF1680" s="119">
        <f>IF(tech_base!$T216&gt;AF$1465,"",(tech_base!$J216/tech_proj!AF340*0.086*$N$110)/(1-tech_proj!AF620))</f>
        <v>0</v>
      </c>
      <c r="AG1680" s="119">
        <f>IF(tech_base!$T216&gt;AG$1465,"",(tech_base!$J216/tech_proj!AG340*0.086*$N$110)/(1-tech_proj!AG620))</f>
        <v>0</v>
      </c>
      <c r="AH1680" s="119">
        <f>IF(tech_base!$T216&gt;AH$1465,"",(tech_base!$J216/tech_proj!AH340*0.086*$N$110)/(1-tech_proj!AH620))</f>
        <v>0</v>
      </c>
      <c r="AI1680" s="119">
        <f>IF(tech_base!$T216&gt;AI$1465,"",(tech_base!$J216/tech_proj!AI340*0.086*$N$110)/(1-tech_proj!AI620))</f>
        <v>0</v>
      </c>
      <c r="AJ1680" s="119">
        <f>IF(tech_base!$T216&gt;AJ$1465,"",(tech_base!$J216/tech_proj!AJ340*0.086*$N$110)/(1-tech_proj!AJ620))</f>
        <v>0</v>
      </c>
      <c r="AK1680" s="119">
        <f>IF(tech_base!$T216&gt;AK$1465,"",(tech_base!$J216/tech_proj!AK340*0.086*$N$110)/(1-tech_proj!AK620))</f>
        <v>0</v>
      </c>
      <c r="AL1680" s="119">
        <f>IF(tech_base!$T216&gt;AL$1465,"",(tech_base!$J216/tech_proj!AL340*0.086*$N$110)/(1-tech_proj!AL620))</f>
        <v>0</v>
      </c>
      <c r="AM1680" s="119">
        <f>IF(tech_base!$T216&gt;AM$1465,"",(tech_base!$J216/tech_proj!AM340*0.086*$N$110)/(1-tech_proj!AM620))</f>
        <v>0</v>
      </c>
      <c r="AN1680" s="119">
        <f>IF(tech_base!$T216&gt;AN$1465,"",(tech_base!$J216/tech_proj!AN340*0.086*$N$110)/(1-tech_proj!AN620))</f>
        <v>0</v>
      </c>
      <c r="AO1680" s="119">
        <f>IF(tech_base!$T216&gt;AO$1465,"",(tech_base!$J216/tech_proj!AO340*0.086*$N$110)/(1-tech_proj!AO620))</f>
        <v>0</v>
      </c>
      <c r="AP1680" s="119">
        <f>IF(tech_base!$T216&gt;AP$1465,"",(tech_base!$J216/tech_proj!AP340*0.086*$N$110)/(1-tech_proj!AP620))</f>
        <v>0</v>
      </c>
      <c r="AQ1680" s="119">
        <f>IF(tech_base!$T216&gt;AQ$1465,"",(tech_base!$J216/tech_proj!AQ340*0.086*$N$110)/(1-tech_proj!AQ620))</f>
        <v>0</v>
      </c>
      <c r="AR1680" s="119">
        <f>IF(tech_base!$T216&gt;AR$1465,"",(tech_base!$J216/tech_proj!AR340*0.086*$N$110)/(1-tech_proj!AR620))</f>
        <v>0</v>
      </c>
      <c r="AS1680" s="119">
        <f>IF(tech_base!$T216&gt;AS$1465,"",(tech_base!$J216/tech_proj!AS340*0.086*$N$110)/(1-tech_proj!AS620))</f>
        <v>0</v>
      </c>
      <c r="AT1680" s="119">
        <f>IF(tech_base!$T216&gt;AT$1465,"",(tech_base!$J216/tech_proj!AT340*0.086*$N$110)/(1-tech_proj!AT620))</f>
        <v>0</v>
      </c>
      <c r="AU1680" s="119">
        <f>IF(tech_base!$T216&gt;AU$1465,"",(tech_base!$J216/tech_proj!AU340*0.086*$N$110)/(1-tech_proj!AU620))</f>
        <v>0</v>
      </c>
      <c r="AV1680" s="119">
        <f>IF(tech_base!$T216&gt;AV$1465,"",(tech_base!$J216/tech_proj!AV340*0.086*$N$110)/(1-tech_proj!AV620))</f>
        <v>0</v>
      </c>
      <c r="AW1680" s="119">
        <f>IF(tech_base!$T216&gt;AW$1465,"",(tech_base!$J216/tech_proj!AW340*0.086*$N$110)/(1-tech_proj!AW620))</f>
        <v>0</v>
      </c>
      <c r="AX1680" s="120">
        <f>IF(tech_base!$T216&gt;AX$1465,"",(tech_base!$J216/tech_proj!AX340*0.086*$N$110)/(1-tech_proj!AX620))</f>
        <v>0</v>
      </c>
    </row>
    <row r="1681" spans="1:50" x14ac:dyDescent="0.25">
      <c r="A1681" s="356"/>
      <c r="B1681" s="376"/>
      <c r="C1681" s="378"/>
      <c r="D1681" s="2" t="s">
        <v>10</v>
      </c>
      <c r="E1681" s="160" t="str">
        <f>A1667&amp;"/"&amp;B1675&amp;"/"&amp;C1679&amp;"/"&amp;D1681</f>
        <v>Biomass and waste fired power plants/Fluidized bed combustion/CHP/S</v>
      </c>
      <c r="F1681" s="76" t="str">
        <f>A1667</f>
        <v>Biomass and waste fired power plants</v>
      </c>
      <c r="G1681" s="76" t="str">
        <f>B1675</f>
        <v>Fluidized bed combustion</v>
      </c>
      <c r="H1681" s="76" t="str">
        <f>C1679</f>
        <v>CHP</v>
      </c>
      <c r="I1681" s="161" t="str">
        <f t="shared" si="380"/>
        <v>S</v>
      </c>
      <c r="J1681" s="119">
        <f>IF(tech_base!$T217&gt;J$1465,"",(tech_base!$J217/tech_proj!J341*0.086*$N$110)/(1-tech_proj!J621))</f>
        <v>0</v>
      </c>
      <c r="K1681" s="119">
        <f>IF(tech_base!$T217&gt;K$1465,"",(tech_base!$J217/tech_proj!K341*0.086*$N$110)/(1-tech_proj!K621))</f>
        <v>0</v>
      </c>
      <c r="L1681" s="119">
        <f>IF(tech_base!$T217&gt;L$1465,"",(tech_base!$J217/tech_proj!L341*0.086*$N$110)/(1-tech_proj!L621))</f>
        <v>0</v>
      </c>
      <c r="M1681" s="119">
        <f>IF(tech_base!$T217&gt;M$1465,"",(tech_base!$J217/tech_proj!M341*0.086*$N$110)/(1-tech_proj!M621))</f>
        <v>0</v>
      </c>
      <c r="N1681" s="119">
        <f>IF(tech_base!$T217&gt;N$1465,"",(tech_base!$J217/tech_proj!N341*0.086*$N$110)/(1-tech_proj!N621))</f>
        <v>0</v>
      </c>
      <c r="O1681" s="119">
        <f>IF(tech_base!$T217&gt;O$1465,"",(tech_base!$J217/tech_proj!O341*0.086*$N$110)/(1-tech_proj!O621))</f>
        <v>0</v>
      </c>
      <c r="P1681" s="119">
        <f>IF(tech_base!$T217&gt;P$1465,"",(tech_base!$J217/tech_proj!P341*0.086*$N$110)/(1-tech_proj!P621))</f>
        <v>0</v>
      </c>
      <c r="Q1681" s="119">
        <f>IF(tech_base!$T217&gt;Q$1465,"",(tech_base!$J217/tech_proj!Q341*0.086*$N$110)/(1-tech_proj!Q621))</f>
        <v>0</v>
      </c>
      <c r="R1681" s="119">
        <f>IF(tech_base!$T217&gt;R$1465,"",(tech_base!$J217/tech_proj!R341*0.086*$N$110)/(1-tech_proj!R621))</f>
        <v>0</v>
      </c>
      <c r="S1681" s="119">
        <f>IF(tech_base!$T217&gt;S$1465,"",(tech_base!$J217/tech_proj!S341*0.086*$N$110)/(1-tech_proj!S621))</f>
        <v>0</v>
      </c>
      <c r="T1681" s="119">
        <f>IF(tech_base!$T217&gt;T$1465,"",(tech_base!$J217/tech_proj!T341*0.086*$N$110)/(1-tech_proj!T621))</f>
        <v>0</v>
      </c>
      <c r="U1681" s="119">
        <f>IF(tech_base!$T217&gt;U$1465,"",(tech_base!$J217/tech_proj!U341*0.086*$N$110)/(1-tech_proj!U621))</f>
        <v>0</v>
      </c>
      <c r="V1681" s="119">
        <f>IF(tech_base!$T217&gt;V$1465,"",(tech_base!$J217/tech_proj!V341*0.086*$N$110)/(1-tech_proj!V621))</f>
        <v>0</v>
      </c>
      <c r="W1681" s="119">
        <f>IF(tech_base!$T217&gt;W$1465,"",(tech_base!$J217/tech_proj!W341*0.086*$N$110)/(1-tech_proj!W621))</f>
        <v>0</v>
      </c>
      <c r="X1681" s="119">
        <f>IF(tech_base!$T217&gt;X$1465,"",(tech_base!$J217/tech_proj!X341*0.086*$N$110)/(1-tech_proj!X621))</f>
        <v>0</v>
      </c>
      <c r="Y1681" s="119">
        <f>IF(tech_base!$T217&gt;Y$1465,"",(tech_base!$J217/tech_proj!Y341*0.086*$N$110)/(1-tech_proj!Y621))</f>
        <v>0</v>
      </c>
      <c r="Z1681" s="119">
        <f>IF(tech_base!$T217&gt;Z$1465,"",(tech_base!$J217/tech_proj!Z341*0.086*$N$110)/(1-tech_proj!Z621))</f>
        <v>0</v>
      </c>
      <c r="AA1681" s="119">
        <f>IF(tech_base!$T217&gt;AA$1465,"",(tech_base!$J217/tech_proj!AA341*0.086*$N$110)/(1-tech_proj!AA621))</f>
        <v>0</v>
      </c>
      <c r="AB1681" s="119">
        <f>IF(tech_base!$T217&gt;AB$1465,"",(tech_base!$J217/tech_proj!AB341*0.086*$N$110)/(1-tech_proj!AB621))</f>
        <v>0</v>
      </c>
      <c r="AC1681" s="119">
        <f>IF(tech_base!$T217&gt;AC$1465,"",(tech_base!$J217/tech_proj!AC341*0.086*$N$110)/(1-tech_proj!AC621))</f>
        <v>0</v>
      </c>
      <c r="AD1681" s="119">
        <f>IF(tech_base!$T217&gt;AD$1465,"",(tech_base!$J217/tech_proj!AD341*0.086*$N$110)/(1-tech_proj!AD621))</f>
        <v>0</v>
      </c>
      <c r="AE1681" s="119">
        <f>IF(tech_base!$T217&gt;AE$1465,"",(tech_base!$J217/tech_proj!AE341*0.086*$N$110)/(1-tech_proj!AE621))</f>
        <v>0</v>
      </c>
      <c r="AF1681" s="119">
        <f>IF(tech_base!$T217&gt;AF$1465,"",(tech_base!$J217/tech_proj!AF341*0.086*$N$110)/(1-tech_proj!AF621))</f>
        <v>0</v>
      </c>
      <c r="AG1681" s="119">
        <f>IF(tech_base!$T217&gt;AG$1465,"",(tech_base!$J217/tech_proj!AG341*0.086*$N$110)/(1-tech_proj!AG621))</f>
        <v>0</v>
      </c>
      <c r="AH1681" s="119">
        <f>IF(tech_base!$T217&gt;AH$1465,"",(tech_base!$J217/tech_proj!AH341*0.086*$N$110)/(1-tech_proj!AH621))</f>
        <v>0</v>
      </c>
      <c r="AI1681" s="119">
        <f>IF(tech_base!$T217&gt;AI$1465,"",(tech_base!$J217/tech_proj!AI341*0.086*$N$110)/(1-tech_proj!AI621))</f>
        <v>0</v>
      </c>
      <c r="AJ1681" s="119">
        <f>IF(tech_base!$T217&gt;AJ$1465,"",(tech_base!$J217/tech_proj!AJ341*0.086*$N$110)/(1-tech_proj!AJ621))</f>
        <v>0</v>
      </c>
      <c r="AK1681" s="119">
        <f>IF(tech_base!$T217&gt;AK$1465,"",(tech_base!$J217/tech_proj!AK341*0.086*$N$110)/(1-tech_proj!AK621))</f>
        <v>0</v>
      </c>
      <c r="AL1681" s="119">
        <f>IF(tech_base!$T217&gt;AL$1465,"",(tech_base!$J217/tech_proj!AL341*0.086*$N$110)/(1-tech_proj!AL621))</f>
        <v>0</v>
      </c>
      <c r="AM1681" s="119">
        <f>IF(tech_base!$T217&gt;AM$1465,"",(tech_base!$J217/tech_proj!AM341*0.086*$N$110)/(1-tech_proj!AM621))</f>
        <v>0</v>
      </c>
      <c r="AN1681" s="119">
        <f>IF(tech_base!$T217&gt;AN$1465,"",(tech_base!$J217/tech_proj!AN341*0.086*$N$110)/(1-tech_proj!AN621))</f>
        <v>0</v>
      </c>
      <c r="AO1681" s="119">
        <f>IF(tech_base!$T217&gt;AO$1465,"",(tech_base!$J217/tech_proj!AO341*0.086*$N$110)/(1-tech_proj!AO621))</f>
        <v>0</v>
      </c>
      <c r="AP1681" s="119">
        <f>IF(tech_base!$T217&gt;AP$1465,"",(tech_base!$J217/tech_proj!AP341*0.086*$N$110)/(1-tech_proj!AP621))</f>
        <v>0</v>
      </c>
      <c r="AQ1681" s="119">
        <f>IF(tech_base!$T217&gt;AQ$1465,"",(tech_base!$J217/tech_proj!AQ341*0.086*$N$110)/(1-tech_proj!AQ621))</f>
        <v>0</v>
      </c>
      <c r="AR1681" s="119">
        <f>IF(tech_base!$T217&gt;AR$1465,"",(tech_base!$J217/tech_proj!AR341*0.086*$N$110)/(1-tech_proj!AR621))</f>
        <v>0</v>
      </c>
      <c r="AS1681" s="119">
        <f>IF(tech_base!$T217&gt;AS$1465,"",(tech_base!$J217/tech_proj!AS341*0.086*$N$110)/(1-tech_proj!AS621))</f>
        <v>0</v>
      </c>
      <c r="AT1681" s="119">
        <f>IF(tech_base!$T217&gt;AT$1465,"",(tech_base!$J217/tech_proj!AT341*0.086*$N$110)/(1-tech_proj!AT621))</f>
        <v>0</v>
      </c>
      <c r="AU1681" s="119">
        <f>IF(tech_base!$T217&gt;AU$1465,"",(tech_base!$J217/tech_proj!AU341*0.086*$N$110)/(1-tech_proj!AU621))</f>
        <v>0</v>
      </c>
      <c r="AV1681" s="119">
        <f>IF(tech_base!$T217&gt;AV$1465,"",(tech_base!$J217/tech_proj!AV341*0.086*$N$110)/(1-tech_proj!AV621))</f>
        <v>0</v>
      </c>
      <c r="AW1681" s="119">
        <f>IF(tech_base!$T217&gt;AW$1465,"",(tech_base!$J217/tech_proj!AW341*0.086*$N$110)/(1-tech_proj!AW621))</f>
        <v>0</v>
      </c>
      <c r="AX1681" s="120">
        <f>IF(tech_base!$T217&gt;AX$1465,"",(tech_base!$J217/tech_proj!AX341*0.086*$N$110)/(1-tech_proj!AX621))</f>
        <v>0</v>
      </c>
    </row>
    <row r="1682" spans="1:50" x14ac:dyDescent="0.25">
      <c r="A1682" s="356"/>
      <c r="B1682" s="376"/>
      <c r="C1682" s="379"/>
      <c r="D1682" s="59" t="s">
        <v>20</v>
      </c>
      <c r="E1682" s="166" t="str">
        <f>A1667&amp;"/"&amp;B1675&amp;"/"&amp;C1679&amp;"/"&amp;D1682</f>
        <v>Biomass and waste fired power plants/Fluidized bed combustion/CHP/XS</v>
      </c>
      <c r="F1682" s="79" t="str">
        <f>A1667</f>
        <v>Biomass and waste fired power plants</v>
      </c>
      <c r="G1682" s="79" t="str">
        <f>B1675</f>
        <v>Fluidized bed combustion</v>
      </c>
      <c r="H1682" s="79" t="str">
        <f>C1679</f>
        <v>CHP</v>
      </c>
      <c r="I1682" s="167" t="str">
        <f t="shared" si="380"/>
        <v>XS</v>
      </c>
      <c r="J1682" s="125">
        <f>IF(tech_base!$T218&gt;J$1465,"",(tech_base!$J218/tech_proj!J342*0.086*$N$110)/(1-tech_proj!J622))</f>
        <v>0</v>
      </c>
      <c r="K1682" s="125">
        <f>IF(tech_base!$T218&gt;K$1465,"",(tech_base!$J218/tech_proj!K342*0.086*$N$110)/(1-tech_proj!K622))</f>
        <v>0</v>
      </c>
      <c r="L1682" s="125">
        <f>IF(tech_base!$T218&gt;L$1465,"",(tech_base!$J218/tech_proj!L342*0.086*$N$110)/(1-tech_proj!L622))</f>
        <v>0</v>
      </c>
      <c r="M1682" s="125">
        <f>IF(tech_base!$T218&gt;M$1465,"",(tech_base!$J218/tech_proj!M342*0.086*$N$110)/(1-tech_proj!M622))</f>
        <v>0</v>
      </c>
      <c r="N1682" s="125">
        <f>IF(tech_base!$T218&gt;N$1465,"",(tech_base!$J218/tech_proj!N342*0.086*$N$110)/(1-tech_proj!N622))</f>
        <v>0</v>
      </c>
      <c r="O1682" s="125">
        <f>IF(tech_base!$T218&gt;O$1465,"",(tech_base!$J218/tech_proj!O342*0.086*$N$110)/(1-tech_proj!O622))</f>
        <v>0</v>
      </c>
      <c r="P1682" s="125">
        <f>IF(tech_base!$T218&gt;P$1465,"",(tech_base!$J218/tech_proj!P342*0.086*$N$110)/(1-tech_proj!P622))</f>
        <v>0</v>
      </c>
      <c r="Q1682" s="125">
        <f>IF(tech_base!$T218&gt;Q$1465,"",(tech_base!$J218/tech_proj!Q342*0.086*$N$110)/(1-tech_proj!Q622))</f>
        <v>0</v>
      </c>
      <c r="R1682" s="125">
        <f>IF(tech_base!$T218&gt;R$1465,"",(tech_base!$J218/tech_proj!R342*0.086*$N$110)/(1-tech_proj!R622))</f>
        <v>0</v>
      </c>
      <c r="S1682" s="125">
        <f>IF(tech_base!$T218&gt;S$1465,"",(tech_base!$J218/tech_proj!S342*0.086*$N$110)/(1-tech_proj!S622))</f>
        <v>0</v>
      </c>
      <c r="T1682" s="125">
        <f>IF(tech_base!$T218&gt;T$1465,"",(tech_base!$J218/tech_proj!T342*0.086*$N$110)/(1-tech_proj!T622))</f>
        <v>0</v>
      </c>
      <c r="U1682" s="125">
        <f>IF(tech_base!$T218&gt;U$1465,"",(tech_base!$J218/tech_proj!U342*0.086*$N$110)/(1-tech_proj!U622))</f>
        <v>0</v>
      </c>
      <c r="V1682" s="125">
        <f>IF(tech_base!$T218&gt;V$1465,"",(tech_base!$J218/tech_proj!V342*0.086*$N$110)/(1-tech_proj!V622))</f>
        <v>0</v>
      </c>
      <c r="W1682" s="125">
        <f>IF(tech_base!$T218&gt;W$1465,"",(tech_base!$J218/tech_proj!W342*0.086*$N$110)/(1-tech_proj!W622))</f>
        <v>0</v>
      </c>
      <c r="X1682" s="125">
        <f>IF(tech_base!$T218&gt;X$1465,"",(tech_base!$J218/tech_proj!X342*0.086*$N$110)/(1-tech_proj!X622))</f>
        <v>0</v>
      </c>
      <c r="Y1682" s="125">
        <f>IF(tech_base!$T218&gt;Y$1465,"",(tech_base!$J218/tech_proj!Y342*0.086*$N$110)/(1-tech_proj!Y622))</f>
        <v>0</v>
      </c>
      <c r="Z1682" s="125">
        <f>IF(tech_base!$T218&gt;Z$1465,"",(tech_base!$J218/tech_proj!Z342*0.086*$N$110)/(1-tech_proj!Z622))</f>
        <v>0</v>
      </c>
      <c r="AA1682" s="125">
        <f>IF(tech_base!$T218&gt;AA$1465,"",(tech_base!$J218/tech_proj!AA342*0.086*$N$110)/(1-tech_proj!AA622))</f>
        <v>0</v>
      </c>
      <c r="AB1682" s="125">
        <f>IF(tech_base!$T218&gt;AB$1465,"",(tech_base!$J218/tech_proj!AB342*0.086*$N$110)/(1-tech_proj!AB622))</f>
        <v>0</v>
      </c>
      <c r="AC1682" s="125">
        <f>IF(tech_base!$T218&gt;AC$1465,"",(tech_base!$J218/tech_proj!AC342*0.086*$N$110)/(1-tech_proj!AC622))</f>
        <v>0</v>
      </c>
      <c r="AD1682" s="125">
        <f>IF(tech_base!$T218&gt;AD$1465,"",(tech_base!$J218/tech_proj!AD342*0.086*$N$110)/(1-tech_proj!AD622))</f>
        <v>0</v>
      </c>
      <c r="AE1682" s="125">
        <f>IF(tech_base!$T218&gt;AE$1465,"",(tech_base!$J218/tech_proj!AE342*0.086*$N$110)/(1-tech_proj!AE622))</f>
        <v>0</v>
      </c>
      <c r="AF1682" s="125">
        <f>IF(tech_base!$T218&gt;AF$1465,"",(tech_base!$J218/tech_proj!AF342*0.086*$N$110)/(1-tech_proj!AF622))</f>
        <v>0</v>
      </c>
      <c r="AG1682" s="125">
        <f>IF(tech_base!$T218&gt;AG$1465,"",(tech_base!$J218/tech_proj!AG342*0.086*$N$110)/(1-tech_proj!AG622))</f>
        <v>0</v>
      </c>
      <c r="AH1682" s="125">
        <f>IF(tech_base!$T218&gt;AH$1465,"",(tech_base!$J218/tech_proj!AH342*0.086*$N$110)/(1-tech_proj!AH622))</f>
        <v>0</v>
      </c>
      <c r="AI1682" s="125">
        <f>IF(tech_base!$T218&gt;AI$1465,"",(tech_base!$J218/tech_proj!AI342*0.086*$N$110)/(1-tech_proj!AI622))</f>
        <v>0</v>
      </c>
      <c r="AJ1682" s="125">
        <f>IF(tech_base!$T218&gt;AJ$1465,"",(tech_base!$J218/tech_proj!AJ342*0.086*$N$110)/(1-tech_proj!AJ622))</f>
        <v>0</v>
      </c>
      <c r="AK1682" s="125">
        <f>IF(tech_base!$T218&gt;AK$1465,"",(tech_base!$J218/tech_proj!AK342*0.086*$N$110)/(1-tech_proj!AK622))</f>
        <v>0</v>
      </c>
      <c r="AL1682" s="125">
        <f>IF(tech_base!$T218&gt;AL$1465,"",(tech_base!$J218/tech_proj!AL342*0.086*$N$110)/(1-tech_proj!AL622))</f>
        <v>0</v>
      </c>
      <c r="AM1682" s="125">
        <f>IF(tech_base!$T218&gt;AM$1465,"",(tech_base!$J218/tech_proj!AM342*0.086*$N$110)/(1-tech_proj!AM622))</f>
        <v>0</v>
      </c>
      <c r="AN1682" s="125">
        <f>IF(tech_base!$T218&gt;AN$1465,"",(tech_base!$J218/tech_proj!AN342*0.086*$N$110)/(1-tech_proj!AN622))</f>
        <v>0</v>
      </c>
      <c r="AO1682" s="125">
        <f>IF(tech_base!$T218&gt;AO$1465,"",(tech_base!$J218/tech_proj!AO342*0.086*$N$110)/(1-tech_proj!AO622))</f>
        <v>0</v>
      </c>
      <c r="AP1682" s="125">
        <f>IF(tech_base!$T218&gt;AP$1465,"",(tech_base!$J218/tech_proj!AP342*0.086*$N$110)/(1-tech_proj!AP622))</f>
        <v>0</v>
      </c>
      <c r="AQ1682" s="125">
        <f>IF(tech_base!$T218&gt;AQ$1465,"",(tech_base!$J218/tech_proj!AQ342*0.086*$N$110)/(1-tech_proj!AQ622))</f>
        <v>0</v>
      </c>
      <c r="AR1682" s="125">
        <f>IF(tech_base!$T218&gt;AR$1465,"",(tech_base!$J218/tech_proj!AR342*0.086*$N$110)/(1-tech_proj!AR622))</f>
        <v>0</v>
      </c>
      <c r="AS1682" s="125">
        <f>IF(tech_base!$T218&gt;AS$1465,"",(tech_base!$J218/tech_proj!AS342*0.086*$N$110)/(1-tech_proj!AS622))</f>
        <v>0</v>
      </c>
      <c r="AT1682" s="125">
        <f>IF(tech_base!$T218&gt;AT$1465,"",(tech_base!$J218/tech_proj!AT342*0.086*$N$110)/(1-tech_proj!AT622))</f>
        <v>0</v>
      </c>
      <c r="AU1682" s="125">
        <f>IF(tech_base!$T218&gt;AU$1465,"",(tech_base!$J218/tech_proj!AU342*0.086*$N$110)/(1-tech_proj!AU622))</f>
        <v>0</v>
      </c>
      <c r="AV1682" s="125">
        <f>IF(tech_base!$T218&gt;AV$1465,"",(tech_base!$J218/tech_proj!AV342*0.086*$N$110)/(1-tech_proj!AV622))</f>
        <v>0</v>
      </c>
      <c r="AW1682" s="125">
        <f>IF(tech_base!$T218&gt;AW$1465,"",(tech_base!$J218/tech_proj!AW342*0.086*$N$110)/(1-tech_proj!AW622))</f>
        <v>0</v>
      </c>
      <c r="AX1682" s="126">
        <f>IF(tech_base!$T218&gt;AX$1465,"",(tech_base!$J218/tech_proj!AX342*0.086*$N$110)/(1-tech_proj!AX622))</f>
        <v>0</v>
      </c>
    </row>
    <row r="1683" spans="1:50" x14ac:dyDescent="0.25">
      <c r="A1683" s="356"/>
      <c r="B1683" s="376"/>
      <c r="C1683" s="361" t="s">
        <v>15</v>
      </c>
      <c r="D1683" s="58" t="s">
        <v>7</v>
      </c>
      <c r="E1683" s="164" t="str">
        <f>A1667&amp;"/"&amp;B1675&amp;"/"&amp;C1683&amp;"/"&amp;D1683</f>
        <v>Biomass and waste fired power plants/Fluidized bed combustion/Electricity only with CCS/L</v>
      </c>
      <c r="F1683" s="78" t="str">
        <f>A1667</f>
        <v>Biomass and waste fired power plants</v>
      </c>
      <c r="G1683" s="78" t="str">
        <f>B1675</f>
        <v>Fluidized bed combustion</v>
      </c>
      <c r="H1683" s="78" t="str">
        <f>C1683</f>
        <v>Electricity only with CCS</v>
      </c>
      <c r="I1683" s="165" t="str">
        <f t="shared" si="380"/>
        <v>L</v>
      </c>
      <c r="J1683" s="123" t="str">
        <f>IF(tech_base!$T219&gt;J$1465,"",(tech_base!$J219/tech_proj!J343*0.086*$N$110)/(1-tech_proj!J623))</f>
        <v/>
      </c>
      <c r="K1683" s="123" t="str">
        <f>IF(tech_base!$T219&gt;K$1465,"",(tech_base!$J219/tech_proj!K343*0.086*$N$110)/(1-tech_proj!K623))</f>
        <v/>
      </c>
      <c r="L1683" s="123" t="str">
        <f>IF(tech_base!$T219&gt;L$1465,"",(tech_base!$J219/tech_proj!L343*0.086*$N$110)/(1-tech_proj!L623))</f>
        <v/>
      </c>
      <c r="M1683" s="123" t="str">
        <f>IF(tech_base!$T219&gt;M$1465,"",(tech_base!$J219/tech_proj!M343*0.086*$N$110)/(1-tech_proj!M623))</f>
        <v/>
      </c>
      <c r="N1683" s="123" t="str">
        <f>IF(tech_base!$T219&gt;N$1465,"",(tech_base!$J219/tech_proj!N343*0.086*$N$110)/(1-tech_proj!N623))</f>
        <v/>
      </c>
      <c r="O1683" s="123" t="str">
        <f>IF(tech_base!$T219&gt;O$1465,"",(tech_base!$J219/tech_proj!O343*0.086*$N$110)/(1-tech_proj!O623))</f>
        <v/>
      </c>
      <c r="P1683" s="123" t="str">
        <f>IF(tech_base!$T219&gt;P$1465,"",(tech_base!$J219/tech_proj!P343*0.086*$N$110)/(1-tech_proj!P623))</f>
        <v/>
      </c>
      <c r="Q1683" s="123" t="str">
        <f>IF(tech_base!$T219&gt;Q$1465,"",(tech_base!$J219/tech_proj!Q343*0.086*$N$110)/(1-tech_proj!Q623))</f>
        <v/>
      </c>
      <c r="R1683" s="123" t="str">
        <f>IF(tech_base!$T219&gt;R$1465,"",(tech_base!$J219/tech_proj!R343*0.086*$N$110)/(1-tech_proj!R623))</f>
        <v/>
      </c>
      <c r="S1683" s="123" t="str">
        <f>IF(tech_base!$T219&gt;S$1465,"",(tech_base!$J219/tech_proj!S343*0.086*$N$110)/(1-tech_proj!S623))</f>
        <v/>
      </c>
      <c r="T1683" s="123" t="str">
        <f>IF(tech_base!$T219&gt;T$1465,"",(tech_base!$J219/tech_proj!T343*0.086*$N$110)/(1-tech_proj!T623))</f>
        <v/>
      </c>
      <c r="U1683" s="123" t="str">
        <f>IF(tech_base!$T219&gt;U$1465,"",(tech_base!$J219/tech_proj!U343*0.086*$N$110)/(1-tech_proj!U623))</f>
        <v/>
      </c>
      <c r="V1683" s="123" t="str">
        <f>IF(tech_base!$T219&gt;V$1465,"",(tech_base!$J219/tech_proj!V343*0.086*$N$110)/(1-tech_proj!V623))</f>
        <v/>
      </c>
      <c r="W1683" s="123" t="str">
        <f>IF(tech_base!$T219&gt;W$1465,"",(tech_base!$J219/tech_proj!W343*0.086*$N$110)/(1-tech_proj!W623))</f>
        <v/>
      </c>
      <c r="X1683" s="123" t="str">
        <f>IF(tech_base!$T219&gt;X$1465,"",(tech_base!$J219/tech_proj!X343*0.086*$N$110)/(1-tech_proj!X623))</f>
        <v/>
      </c>
      <c r="Y1683" s="123" t="str">
        <f>IF(tech_base!$T219&gt;Y$1465,"",(tech_base!$J219/tech_proj!Y343*0.086*$N$110)/(1-tech_proj!Y623))</f>
        <v/>
      </c>
      <c r="Z1683" s="123" t="str">
        <f>IF(tech_base!$T219&gt;Z$1465,"",(tech_base!$J219/tech_proj!Z343*0.086*$N$110)/(1-tech_proj!Z623))</f>
        <v/>
      </c>
      <c r="AA1683" s="123" t="str">
        <f>IF(tech_base!$T219&gt;AA$1465,"",(tech_base!$J219/tech_proj!AA343*0.086*$N$110)/(1-tech_proj!AA623))</f>
        <v/>
      </c>
      <c r="AB1683" s="123" t="str">
        <f>IF(tech_base!$T219&gt;AB$1465,"",(tech_base!$J219/tech_proj!AB343*0.086*$N$110)/(1-tech_proj!AB623))</f>
        <v/>
      </c>
      <c r="AC1683" s="123" t="str">
        <f>IF(tech_base!$T219&gt;AC$1465,"",(tech_base!$J219/tech_proj!AC343*0.086*$N$110)/(1-tech_proj!AC623))</f>
        <v/>
      </c>
      <c r="AD1683" s="123" t="str">
        <f>IF(tech_base!$T219&gt;AD$1465,"",(tech_base!$J219/tech_proj!AD343*0.086*$N$110)/(1-tech_proj!AD623))</f>
        <v/>
      </c>
      <c r="AE1683" s="123">
        <f>IF(tech_base!$T219&gt;AE$1465,"",(tech_base!$J219/tech_proj!AE343*0.086*$N$110)/(1-tech_proj!AE623))</f>
        <v>0</v>
      </c>
      <c r="AF1683" s="123">
        <f>IF(tech_base!$T219&gt;AF$1465,"",(tech_base!$J219/tech_proj!AF343*0.086*$N$110)/(1-tech_proj!AF623))</f>
        <v>0</v>
      </c>
      <c r="AG1683" s="123">
        <f>IF(tech_base!$T219&gt;AG$1465,"",(tech_base!$J219/tech_proj!AG343*0.086*$N$110)/(1-tech_proj!AG623))</f>
        <v>0</v>
      </c>
      <c r="AH1683" s="123">
        <f>IF(tech_base!$T219&gt;AH$1465,"",(tech_base!$J219/tech_proj!AH343*0.086*$N$110)/(1-tech_proj!AH623))</f>
        <v>0</v>
      </c>
      <c r="AI1683" s="123">
        <f>IF(tech_base!$T219&gt;AI$1465,"",(tech_base!$J219/tech_proj!AI343*0.086*$N$110)/(1-tech_proj!AI623))</f>
        <v>0</v>
      </c>
      <c r="AJ1683" s="123">
        <f>IF(tech_base!$T219&gt;AJ$1465,"",(tech_base!$J219/tech_proj!AJ343*0.086*$N$110)/(1-tech_proj!AJ623))</f>
        <v>0</v>
      </c>
      <c r="AK1683" s="123">
        <f>IF(tech_base!$T219&gt;AK$1465,"",(tech_base!$J219/tech_proj!AK343*0.086*$N$110)/(1-tech_proj!AK623))</f>
        <v>0</v>
      </c>
      <c r="AL1683" s="123">
        <f>IF(tech_base!$T219&gt;AL$1465,"",(tech_base!$J219/tech_proj!AL343*0.086*$N$110)/(1-tech_proj!AL623))</f>
        <v>0</v>
      </c>
      <c r="AM1683" s="123">
        <f>IF(tech_base!$T219&gt;AM$1465,"",(tech_base!$J219/tech_proj!AM343*0.086*$N$110)/(1-tech_proj!AM623))</f>
        <v>0</v>
      </c>
      <c r="AN1683" s="123">
        <f>IF(tech_base!$T219&gt;AN$1465,"",(tech_base!$J219/tech_proj!AN343*0.086*$N$110)/(1-tech_proj!AN623))</f>
        <v>0</v>
      </c>
      <c r="AO1683" s="123">
        <f>IF(tech_base!$T219&gt;AO$1465,"",(tech_base!$J219/tech_proj!AO343*0.086*$N$110)/(1-tech_proj!AO623))</f>
        <v>0</v>
      </c>
      <c r="AP1683" s="123">
        <f>IF(tech_base!$T219&gt;AP$1465,"",(tech_base!$J219/tech_proj!AP343*0.086*$N$110)/(1-tech_proj!AP623))</f>
        <v>0</v>
      </c>
      <c r="AQ1683" s="123">
        <f>IF(tech_base!$T219&gt;AQ$1465,"",(tech_base!$J219/tech_proj!AQ343*0.086*$N$110)/(1-tech_proj!AQ623))</f>
        <v>0</v>
      </c>
      <c r="AR1683" s="123">
        <f>IF(tech_base!$T219&gt;AR$1465,"",(tech_base!$J219/tech_proj!AR343*0.086*$N$110)/(1-tech_proj!AR623))</f>
        <v>0</v>
      </c>
      <c r="AS1683" s="123">
        <f>IF(tech_base!$T219&gt;AS$1465,"",(tech_base!$J219/tech_proj!AS343*0.086*$N$110)/(1-tech_proj!AS623))</f>
        <v>0</v>
      </c>
      <c r="AT1683" s="123">
        <f>IF(tech_base!$T219&gt;AT$1465,"",(tech_base!$J219/tech_proj!AT343*0.086*$N$110)/(1-tech_proj!AT623))</f>
        <v>0</v>
      </c>
      <c r="AU1683" s="123">
        <f>IF(tech_base!$T219&gt;AU$1465,"",(tech_base!$J219/tech_proj!AU343*0.086*$N$110)/(1-tech_proj!AU623))</f>
        <v>0</v>
      </c>
      <c r="AV1683" s="123">
        <f>IF(tech_base!$T219&gt;AV$1465,"",(tech_base!$J219/tech_proj!AV343*0.086*$N$110)/(1-tech_proj!AV623))</f>
        <v>0</v>
      </c>
      <c r="AW1683" s="123">
        <f>IF(tech_base!$T219&gt;AW$1465,"",(tech_base!$J219/tech_proj!AW343*0.086*$N$110)/(1-tech_proj!AW623))</f>
        <v>0</v>
      </c>
      <c r="AX1683" s="124">
        <f>IF(tech_base!$T219&gt;AX$1465,"",(tech_base!$J219/tech_proj!AX343*0.086*$N$110)/(1-tech_proj!AX623))</f>
        <v>0</v>
      </c>
    </row>
    <row r="1684" spans="1:50" x14ac:dyDescent="0.25">
      <c r="A1684" s="356"/>
      <c r="B1684" s="376"/>
      <c r="C1684" s="379"/>
      <c r="D1684" s="59" t="s">
        <v>8</v>
      </c>
      <c r="E1684" s="166" t="str">
        <f>A1667&amp;"/"&amp;B1675&amp;"/"&amp;C1683&amp;"/"&amp;D1684</f>
        <v>Biomass and waste fired power plants/Fluidized bed combustion/Electricity only with CCS/M</v>
      </c>
      <c r="F1684" s="79" t="str">
        <f>A1667</f>
        <v>Biomass and waste fired power plants</v>
      </c>
      <c r="G1684" s="79" t="str">
        <f>B1675</f>
        <v>Fluidized bed combustion</v>
      </c>
      <c r="H1684" s="79" t="str">
        <f>C1683</f>
        <v>Electricity only with CCS</v>
      </c>
      <c r="I1684" s="167" t="str">
        <f t="shared" si="380"/>
        <v>M</v>
      </c>
      <c r="J1684" s="125" t="str">
        <f>IF(tech_base!$T220&gt;J$1465,"",(tech_base!$J220/tech_proj!J344*0.086*$N$110)/(1-tech_proj!J624))</f>
        <v/>
      </c>
      <c r="K1684" s="125" t="str">
        <f>IF(tech_base!$T220&gt;K$1465,"",(tech_base!$J220/tech_proj!K344*0.086*$N$110)/(1-tech_proj!K624))</f>
        <v/>
      </c>
      <c r="L1684" s="125" t="str">
        <f>IF(tech_base!$T220&gt;L$1465,"",(tech_base!$J220/tech_proj!L344*0.086*$N$110)/(1-tech_proj!L624))</f>
        <v/>
      </c>
      <c r="M1684" s="125" t="str">
        <f>IF(tech_base!$T220&gt;M$1465,"",(tech_base!$J220/tech_proj!M344*0.086*$N$110)/(1-tech_proj!M624))</f>
        <v/>
      </c>
      <c r="N1684" s="125" t="str">
        <f>IF(tech_base!$T220&gt;N$1465,"",(tech_base!$J220/tech_proj!N344*0.086*$N$110)/(1-tech_proj!N624))</f>
        <v/>
      </c>
      <c r="O1684" s="125" t="str">
        <f>IF(tech_base!$T220&gt;O$1465,"",(tech_base!$J220/tech_proj!O344*0.086*$N$110)/(1-tech_proj!O624))</f>
        <v/>
      </c>
      <c r="P1684" s="125" t="str">
        <f>IF(tech_base!$T220&gt;P$1465,"",(tech_base!$J220/tech_proj!P344*0.086*$N$110)/(1-tech_proj!P624))</f>
        <v/>
      </c>
      <c r="Q1684" s="125" t="str">
        <f>IF(tech_base!$T220&gt;Q$1465,"",(tech_base!$J220/tech_proj!Q344*0.086*$N$110)/(1-tech_proj!Q624))</f>
        <v/>
      </c>
      <c r="R1684" s="125" t="str">
        <f>IF(tech_base!$T220&gt;R$1465,"",(tech_base!$J220/tech_proj!R344*0.086*$N$110)/(1-tech_proj!R624))</f>
        <v/>
      </c>
      <c r="S1684" s="125" t="str">
        <f>IF(tech_base!$T220&gt;S$1465,"",(tech_base!$J220/tech_proj!S344*0.086*$N$110)/(1-tech_proj!S624))</f>
        <v/>
      </c>
      <c r="T1684" s="125" t="str">
        <f>IF(tech_base!$T220&gt;T$1465,"",(tech_base!$J220/tech_proj!T344*0.086*$N$110)/(1-tech_proj!T624))</f>
        <v/>
      </c>
      <c r="U1684" s="125" t="str">
        <f>IF(tech_base!$T220&gt;U$1465,"",(tech_base!$J220/tech_proj!U344*0.086*$N$110)/(1-tech_proj!U624))</f>
        <v/>
      </c>
      <c r="V1684" s="125" t="str">
        <f>IF(tech_base!$T220&gt;V$1465,"",(tech_base!$J220/tech_proj!V344*0.086*$N$110)/(1-tech_proj!V624))</f>
        <v/>
      </c>
      <c r="W1684" s="125" t="str">
        <f>IF(tech_base!$T220&gt;W$1465,"",(tech_base!$J220/tech_proj!W344*0.086*$N$110)/(1-tech_proj!W624))</f>
        <v/>
      </c>
      <c r="X1684" s="125" t="str">
        <f>IF(tech_base!$T220&gt;X$1465,"",(tech_base!$J220/tech_proj!X344*0.086*$N$110)/(1-tech_proj!X624))</f>
        <v/>
      </c>
      <c r="Y1684" s="125" t="str">
        <f>IF(tech_base!$T220&gt;Y$1465,"",(tech_base!$J220/tech_proj!Y344*0.086*$N$110)/(1-tech_proj!Y624))</f>
        <v/>
      </c>
      <c r="Z1684" s="125" t="str">
        <f>IF(tech_base!$T220&gt;Z$1465,"",(tech_base!$J220/tech_proj!Z344*0.086*$N$110)/(1-tech_proj!Z624))</f>
        <v/>
      </c>
      <c r="AA1684" s="125" t="str">
        <f>IF(tech_base!$T220&gt;AA$1465,"",(tech_base!$J220/tech_proj!AA344*0.086*$N$110)/(1-tech_proj!AA624))</f>
        <v/>
      </c>
      <c r="AB1684" s="125" t="str">
        <f>IF(tech_base!$T220&gt;AB$1465,"",(tech_base!$J220/tech_proj!AB344*0.086*$N$110)/(1-tech_proj!AB624))</f>
        <v/>
      </c>
      <c r="AC1684" s="125" t="str">
        <f>IF(tech_base!$T220&gt;AC$1465,"",(tech_base!$J220/tech_proj!AC344*0.086*$N$110)/(1-tech_proj!AC624))</f>
        <v/>
      </c>
      <c r="AD1684" s="125" t="str">
        <f>IF(tech_base!$T220&gt;AD$1465,"",(tech_base!$J220/tech_proj!AD344*0.086*$N$110)/(1-tech_proj!AD624))</f>
        <v/>
      </c>
      <c r="AE1684" s="125">
        <f>IF(tech_base!$T220&gt;AE$1465,"",(tech_base!$J220/tech_proj!AE344*0.086*$N$110)/(1-tech_proj!AE624))</f>
        <v>0</v>
      </c>
      <c r="AF1684" s="125">
        <f>IF(tech_base!$T220&gt;AF$1465,"",(tech_base!$J220/tech_proj!AF344*0.086*$N$110)/(1-tech_proj!AF624))</f>
        <v>0</v>
      </c>
      <c r="AG1684" s="125">
        <f>IF(tech_base!$T220&gt;AG$1465,"",(tech_base!$J220/tech_proj!AG344*0.086*$N$110)/(1-tech_proj!AG624))</f>
        <v>0</v>
      </c>
      <c r="AH1684" s="125">
        <f>IF(tech_base!$T220&gt;AH$1465,"",(tech_base!$J220/tech_proj!AH344*0.086*$N$110)/(1-tech_proj!AH624))</f>
        <v>0</v>
      </c>
      <c r="AI1684" s="125">
        <f>IF(tech_base!$T220&gt;AI$1465,"",(tech_base!$J220/tech_proj!AI344*0.086*$N$110)/(1-tech_proj!AI624))</f>
        <v>0</v>
      </c>
      <c r="AJ1684" s="125">
        <f>IF(tech_base!$T220&gt;AJ$1465,"",(tech_base!$J220/tech_proj!AJ344*0.086*$N$110)/(1-tech_proj!AJ624))</f>
        <v>0</v>
      </c>
      <c r="AK1684" s="125">
        <f>IF(tech_base!$T220&gt;AK$1465,"",(tech_base!$J220/tech_proj!AK344*0.086*$N$110)/(1-tech_proj!AK624))</f>
        <v>0</v>
      </c>
      <c r="AL1684" s="125">
        <f>IF(tech_base!$T220&gt;AL$1465,"",(tech_base!$J220/tech_proj!AL344*0.086*$N$110)/(1-tech_proj!AL624))</f>
        <v>0</v>
      </c>
      <c r="AM1684" s="125">
        <f>IF(tech_base!$T220&gt;AM$1465,"",(tech_base!$J220/tech_proj!AM344*0.086*$N$110)/(1-tech_proj!AM624))</f>
        <v>0</v>
      </c>
      <c r="AN1684" s="125">
        <f>IF(tech_base!$T220&gt;AN$1465,"",(tech_base!$J220/tech_proj!AN344*0.086*$N$110)/(1-tech_proj!AN624))</f>
        <v>0</v>
      </c>
      <c r="AO1684" s="125">
        <f>IF(tech_base!$T220&gt;AO$1465,"",(tech_base!$J220/tech_proj!AO344*0.086*$N$110)/(1-tech_proj!AO624))</f>
        <v>0</v>
      </c>
      <c r="AP1684" s="125">
        <f>IF(tech_base!$T220&gt;AP$1465,"",(tech_base!$J220/tech_proj!AP344*0.086*$N$110)/(1-tech_proj!AP624))</f>
        <v>0</v>
      </c>
      <c r="AQ1684" s="125">
        <f>IF(tech_base!$T220&gt;AQ$1465,"",(tech_base!$J220/tech_proj!AQ344*0.086*$N$110)/(1-tech_proj!AQ624))</f>
        <v>0</v>
      </c>
      <c r="AR1684" s="125">
        <f>IF(tech_base!$T220&gt;AR$1465,"",(tech_base!$J220/tech_proj!AR344*0.086*$N$110)/(1-tech_proj!AR624))</f>
        <v>0</v>
      </c>
      <c r="AS1684" s="125">
        <f>IF(tech_base!$T220&gt;AS$1465,"",(tech_base!$J220/tech_proj!AS344*0.086*$N$110)/(1-tech_proj!AS624))</f>
        <v>0</v>
      </c>
      <c r="AT1684" s="125">
        <f>IF(tech_base!$T220&gt;AT$1465,"",(tech_base!$J220/tech_proj!AT344*0.086*$N$110)/(1-tech_proj!AT624))</f>
        <v>0</v>
      </c>
      <c r="AU1684" s="125">
        <f>IF(tech_base!$T220&gt;AU$1465,"",(tech_base!$J220/tech_proj!AU344*0.086*$N$110)/(1-tech_proj!AU624))</f>
        <v>0</v>
      </c>
      <c r="AV1684" s="125">
        <f>IF(tech_base!$T220&gt;AV$1465,"",(tech_base!$J220/tech_proj!AV344*0.086*$N$110)/(1-tech_proj!AV624))</f>
        <v>0</v>
      </c>
      <c r="AW1684" s="125">
        <f>IF(tech_base!$T220&gt;AW$1465,"",(tech_base!$J220/tech_proj!AW344*0.086*$N$110)/(1-tech_proj!AW624))</f>
        <v>0</v>
      </c>
      <c r="AX1684" s="126">
        <f>IF(tech_base!$T220&gt;AX$1465,"",(tech_base!$J220/tech_proj!AX344*0.086*$N$110)/(1-tech_proj!AX624))</f>
        <v>0</v>
      </c>
    </row>
    <row r="1685" spans="1:50" x14ac:dyDescent="0.25">
      <c r="A1685" s="356"/>
      <c r="B1685" s="376"/>
      <c r="C1685" s="361" t="s">
        <v>16</v>
      </c>
      <c r="D1685" s="2" t="s">
        <v>7</v>
      </c>
      <c r="E1685" s="160" t="str">
        <f>A1667&amp;"/"&amp;B1675&amp;"/"&amp;C1685&amp;"/"&amp;D1685</f>
        <v>Biomass and waste fired power plants/Fluidized bed combustion/CHP with CCS/L</v>
      </c>
      <c r="F1685" s="76" t="str">
        <f>A1667</f>
        <v>Biomass and waste fired power plants</v>
      </c>
      <c r="G1685" s="76" t="str">
        <f>B1675</f>
        <v>Fluidized bed combustion</v>
      </c>
      <c r="H1685" s="76" t="str">
        <f>C1685</f>
        <v>CHP with CCS</v>
      </c>
      <c r="I1685" s="161" t="str">
        <f t="shared" si="380"/>
        <v>L</v>
      </c>
      <c r="J1685" s="119" t="str">
        <f>IF(tech_base!$T221&gt;J$1465,"",(tech_base!$J221/tech_proj!J345*0.086*$N$110)/(1-tech_proj!J625))</f>
        <v/>
      </c>
      <c r="K1685" s="119" t="str">
        <f>IF(tech_base!$T221&gt;K$1465,"",(tech_base!$J221/tech_proj!K345*0.086*$N$110)/(1-tech_proj!K625))</f>
        <v/>
      </c>
      <c r="L1685" s="119" t="str">
        <f>IF(tech_base!$T221&gt;L$1465,"",(tech_base!$J221/tech_proj!L345*0.086*$N$110)/(1-tech_proj!L625))</f>
        <v/>
      </c>
      <c r="M1685" s="119" t="str">
        <f>IF(tech_base!$T221&gt;M$1465,"",(tech_base!$J221/tech_proj!M345*0.086*$N$110)/(1-tech_proj!M625))</f>
        <v/>
      </c>
      <c r="N1685" s="119" t="str">
        <f>IF(tech_base!$T221&gt;N$1465,"",(tech_base!$J221/tech_proj!N345*0.086*$N$110)/(1-tech_proj!N625))</f>
        <v/>
      </c>
      <c r="O1685" s="119" t="str">
        <f>IF(tech_base!$T221&gt;O$1465,"",(tech_base!$J221/tech_proj!O345*0.086*$N$110)/(1-tech_proj!O625))</f>
        <v/>
      </c>
      <c r="P1685" s="119" t="str">
        <f>IF(tech_base!$T221&gt;P$1465,"",(tech_base!$J221/tech_proj!P345*0.086*$N$110)/(1-tech_proj!P625))</f>
        <v/>
      </c>
      <c r="Q1685" s="119" t="str">
        <f>IF(tech_base!$T221&gt;Q$1465,"",(tech_base!$J221/tech_proj!Q345*0.086*$N$110)/(1-tech_proj!Q625))</f>
        <v/>
      </c>
      <c r="R1685" s="119" t="str">
        <f>IF(tech_base!$T221&gt;R$1465,"",(tech_base!$J221/tech_proj!R345*0.086*$N$110)/(1-tech_proj!R625))</f>
        <v/>
      </c>
      <c r="S1685" s="119" t="str">
        <f>IF(tech_base!$T221&gt;S$1465,"",(tech_base!$J221/tech_proj!S345*0.086*$N$110)/(1-tech_proj!S625))</f>
        <v/>
      </c>
      <c r="T1685" s="119" t="str">
        <f>IF(tech_base!$T221&gt;T$1465,"",(tech_base!$J221/tech_proj!T345*0.086*$N$110)/(1-tech_proj!T625))</f>
        <v/>
      </c>
      <c r="U1685" s="119" t="str">
        <f>IF(tech_base!$T221&gt;U$1465,"",(tech_base!$J221/tech_proj!U345*0.086*$N$110)/(1-tech_proj!U625))</f>
        <v/>
      </c>
      <c r="V1685" s="119" t="str">
        <f>IF(tech_base!$T221&gt;V$1465,"",(tech_base!$J221/tech_proj!V345*0.086*$N$110)/(1-tech_proj!V625))</f>
        <v/>
      </c>
      <c r="W1685" s="119" t="str">
        <f>IF(tech_base!$T221&gt;W$1465,"",(tech_base!$J221/tech_proj!W345*0.086*$N$110)/(1-tech_proj!W625))</f>
        <v/>
      </c>
      <c r="X1685" s="119" t="str">
        <f>IF(tech_base!$T221&gt;X$1465,"",(tech_base!$J221/tech_proj!X345*0.086*$N$110)/(1-tech_proj!X625))</f>
        <v/>
      </c>
      <c r="Y1685" s="119" t="str">
        <f>IF(tech_base!$T221&gt;Y$1465,"",(tech_base!$J221/tech_proj!Y345*0.086*$N$110)/(1-tech_proj!Y625))</f>
        <v/>
      </c>
      <c r="Z1685" s="119" t="str">
        <f>IF(tech_base!$T221&gt;Z$1465,"",(tech_base!$J221/tech_proj!Z345*0.086*$N$110)/(1-tech_proj!Z625))</f>
        <v/>
      </c>
      <c r="AA1685" s="119" t="str">
        <f>IF(tech_base!$T221&gt;AA$1465,"",(tech_base!$J221/tech_proj!AA345*0.086*$N$110)/(1-tech_proj!AA625))</f>
        <v/>
      </c>
      <c r="AB1685" s="119" t="str">
        <f>IF(tech_base!$T221&gt;AB$1465,"",(tech_base!$J221/tech_proj!AB345*0.086*$N$110)/(1-tech_proj!AB625))</f>
        <v/>
      </c>
      <c r="AC1685" s="119" t="str">
        <f>IF(tech_base!$T221&gt;AC$1465,"",(tech_base!$J221/tech_proj!AC345*0.086*$N$110)/(1-tech_proj!AC625))</f>
        <v/>
      </c>
      <c r="AD1685" s="119" t="str">
        <f>IF(tech_base!$T221&gt;AD$1465,"",(tech_base!$J221/tech_proj!AD345*0.086*$N$110)/(1-tech_proj!AD625))</f>
        <v/>
      </c>
      <c r="AE1685" s="119">
        <f>IF(tech_base!$T221&gt;AE$1465,"",(tech_base!$J221/tech_proj!AE345*0.086*$N$110)/(1-tech_proj!AE625))</f>
        <v>0</v>
      </c>
      <c r="AF1685" s="119">
        <f>IF(tech_base!$T221&gt;AF$1465,"",(tech_base!$J221/tech_proj!AF345*0.086*$N$110)/(1-tech_proj!AF625))</f>
        <v>0</v>
      </c>
      <c r="AG1685" s="119">
        <f>IF(tech_base!$T221&gt;AG$1465,"",(tech_base!$J221/tech_proj!AG345*0.086*$N$110)/(1-tech_proj!AG625))</f>
        <v>0</v>
      </c>
      <c r="AH1685" s="119">
        <f>IF(tech_base!$T221&gt;AH$1465,"",(tech_base!$J221/tech_proj!AH345*0.086*$N$110)/(1-tech_proj!AH625))</f>
        <v>0</v>
      </c>
      <c r="AI1685" s="119">
        <f>IF(tech_base!$T221&gt;AI$1465,"",(tech_base!$J221/tech_proj!AI345*0.086*$N$110)/(1-tech_proj!AI625))</f>
        <v>0</v>
      </c>
      <c r="AJ1685" s="119">
        <f>IF(tech_base!$T221&gt;AJ$1465,"",(tech_base!$J221/tech_proj!AJ345*0.086*$N$110)/(1-tech_proj!AJ625))</f>
        <v>0</v>
      </c>
      <c r="AK1685" s="119">
        <f>IF(tech_base!$T221&gt;AK$1465,"",(tech_base!$J221/tech_proj!AK345*0.086*$N$110)/(1-tech_proj!AK625))</f>
        <v>0</v>
      </c>
      <c r="AL1685" s="119">
        <f>IF(tech_base!$T221&gt;AL$1465,"",(tech_base!$J221/tech_proj!AL345*0.086*$N$110)/(1-tech_proj!AL625))</f>
        <v>0</v>
      </c>
      <c r="AM1685" s="119">
        <f>IF(tech_base!$T221&gt;AM$1465,"",(tech_base!$J221/tech_proj!AM345*0.086*$N$110)/(1-tech_proj!AM625))</f>
        <v>0</v>
      </c>
      <c r="AN1685" s="119">
        <f>IF(tech_base!$T221&gt;AN$1465,"",(tech_base!$J221/tech_proj!AN345*0.086*$N$110)/(1-tech_proj!AN625))</f>
        <v>0</v>
      </c>
      <c r="AO1685" s="119">
        <f>IF(tech_base!$T221&gt;AO$1465,"",(tech_base!$J221/tech_proj!AO345*0.086*$N$110)/(1-tech_proj!AO625))</f>
        <v>0</v>
      </c>
      <c r="AP1685" s="119">
        <f>IF(tech_base!$T221&gt;AP$1465,"",(tech_base!$J221/tech_proj!AP345*0.086*$N$110)/(1-tech_proj!AP625))</f>
        <v>0</v>
      </c>
      <c r="AQ1685" s="119">
        <f>IF(tech_base!$T221&gt;AQ$1465,"",(tech_base!$J221/tech_proj!AQ345*0.086*$N$110)/(1-tech_proj!AQ625))</f>
        <v>0</v>
      </c>
      <c r="AR1685" s="119">
        <f>IF(tech_base!$T221&gt;AR$1465,"",(tech_base!$J221/tech_proj!AR345*0.086*$N$110)/(1-tech_proj!AR625))</f>
        <v>0</v>
      </c>
      <c r="AS1685" s="119">
        <f>IF(tech_base!$T221&gt;AS$1465,"",(tech_base!$J221/tech_proj!AS345*0.086*$N$110)/(1-tech_proj!AS625))</f>
        <v>0</v>
      </c>
      <c r="AT1685" s="119">
        <f>IF(tech_base!$T221&gt;AT$1465,"",(tech_base!$J221/tech_proj!AT345*0.086*$N$110)/(1-tech_proj!AT625))</f>
        <v>0</v>
      </c>
      <c r="AU1685" s="119">
        <f>IF(tech_base!$T221&gt;AU$1465,"",(tech_base!$J221/tech_proj!AU345*0.086*$N$110)/(1-tech_proj!AU625))</f>
        <v>0</v>
      </c>
      <c r="AV1685" s="119">
        <f>IF(tech_base!$T221&gt;AV$1465,"",(tech_base!$J221/tech_proj!AV345*0.086*$N$110)/(1-tech_proj!AV625))</f>
        <v>0</v>
      </c>
      <c r="AW1685" s="119">
        <f>IF(tech_base!$T221&gt;AW$1465,"",(tech_base!$J221/tech_proj!AW345*0.086*$N$110)/(1-tech_proj!AW625))</f>
        <v>0</v>
      </c>
      <c r="AX1685" s="120">
        <f>IF(tech_base!$T221&gt;AX$1465,"",(tech_base!$J221/tech_proj!AX345*0.086*$N$110)/(1-tech_proj!AX625))</f>
        <v>0</v>
      </c>
    </row>
    <row r="1686" spans="1:50" x14ac:dyDescent="0.25">
      <c r="A1686" s="356"/>
      <c r="B1686" s="380"/>
      <c r="C1686" s="381"/>
      <c r="D1686" s="4" t="s">
        <v>8</v>
      </c>
      <c r="E1686" s="168" t="str">
        <f>A1667&amp;"/"&amp;B1675&amp;"/"&amp;C1685&amp;"/"&amp;D1686</f>
        <v>Biomass and waste fired power plants/Fluidized bed combustion/CHP with CCS/M</v>
      </c>
      <c r="F1686" s="80" t="str">
        <f>A1667</f>
        <v>Biomass and waste fired power plants</v>
      </c>
      <c r="G1686" s="80" t="str">
        <f>B1675</f>
        <v>Fluidized bed combustion</v>
      </c>
      <c r="H1686" s="80" t="str">
        <f>C1685</f>
        <v>CHP with CCS</v>
      </c>
      <c r="I1686" s="169" t="str">
        <f t="shared" si="380"/>
        <v>M</v>
      </c>
      <c r="J1686" s="127" t="str">
        <f>IF(tech_base!$T222&gt;J$1465,"",(tech_base!$J222/tech_proj!J346*0.086*$N$110)/(1-tech_proj!J626))</f>
        <v/>
      </c>
      <c r="K1686" s="127" t="str">
        <f>IF(tech_base!$T222&gt;K$1465,"",(tech_base!$J222/tech_proj!K346*0.086*$N$110)/(1-tech_proj!K626))</f>
        <v/>
      </c>
      <c r="L1686" s="127" t="str">
        <f>IF(tech_base!$T222&gt;L$1465,"",(tech_base!$J222/tech_proj!L346*0.086*$N$110)/(1-tech_proj!L626))</f>
        <v/>
      </c>
      <c r="M1686" s="127" t="str">
        <f>IF(tech_base!$T222&gt;M$1465,"",(tech_base!$J222/tech_proj!M346*0.086*$N$110)/(1-tech_proj!M626))</f>
        <v/>
      </c>
      <c r="N1686" s="127" t="str">
        <f>IF(tech_base!$T222&gt;N$1465,"",(tech_base!$J222/tech_proj!N346*0.086*$N$110)/(1-tech_proj!N626))</f>
        <v/>
      </c>
      <c r="O1686" s="127" t="str">
        <f>IF(tech_base!$T222&gt;O$1465,"",(tech_base!$J222/tech_proj!O346*0.086*$N$110)/(1-tech_proj!O626))</f>
        <v/>
      </c>
      <c r="P1686" s="127" t="str">
        <f>IF(tech_base!$T222&gt;P$1465,"",(tech_base!$J222/tech_proj!P346*0.086*$N$110)/(1-tech_proj!P626))</f>
        <v/>
      </c>
      <c r="Q1686" s="127" t="str">
        <f>IF(tech_base!$T222&gt;Q$1465,"",(tech_base!$J222/tech_proj!Q346*0.086*$N$110)/(1-tech_proj!Q626))</f>
        <v/>
      </c>
      <c r="R1686" s="127" t="str">
        <f>IF(tech_base!$T222&gt;R$1465,"",(tech_base!$J222/tech_proj!R346*0.086*$N$110)/(1-tech_proj!R626))</f>
        <v/>
      </c>
      <c r="S1686" s="127" t="str">
        <f>IF(tech_base!$T222&gt;S$1465,"",(tech_base!$J222/tech_proj!S346*0.086*$N$110)/(1-tech_proj!S626))</f>
        <v/>
      </c>
      <c r="T1686" s="127" t="str">
        <f>IF(tech_base!$T222&gt;T$1465,"",(tech_base!$J222/tech_proj!T346*0.086*$N$110)/(1-tech_proj!T626))</f>
        <v/>
      </c>
      <c r="U1686" s="127" t="str">
        <f>IF(tech_base!$T222&gt;U$1465,"",(tech_base!$J222/tech_proj!U346*0.086*$N$110)/(1-tech_proj!U626))</f>
        <v/>
      </c>
      <c r="V1686" s="127" t="str">
        <f>IF(tech_base!$T222&gt;V$1465,"",(tech_base!$J222/tech_proj!V346*0.086*$N$110)/(1-tech_proj!V626))</f>
        <v/>
      </c>
      <c r="W1686" s="127" t="str">
        <f>IF(tech_base!$T222&gt;W$1465,"",(tech_base!$J222/tech_proj!W346*0.086*$N$110)/(1-tech_proj!W626))</f>
        <v/>
      </c>
      <c r="X1686" s="127" t="str">
        <f>IF(tech_base!$T222&gt;X$1465,"",(tech_base!$J222/tech_proj!X346*0.086*$N$110)/(1-tech_proj!X626))</f>
        <v/>
      </c>
      <c r="Y1686" s="127" t="str">
        <f>IF(tech_base!$T222&gt;Y$1465,"",(tech_base!$J222/tech_proj!Y346*0.086*$N$110)/(1-tech_proj!Y626))</f>
        <v/>
      </c>
      <c r="Z1686" s="127" t="str">
        <f>IF(tech_base!$T222&gt;Z$1465,"",(tech_base!$J222/tech_proj!Z346*0.086*$N$110)/(1-tech_proj!Z626))</f>
        <v/>
      </c>
      <c r="AA1686" s="127" t="str">
        <f>IF(tech_base!$T222&gt;AA$1465,"",(tech_base!$J222/tech_proj!AA346*0.086*$N$110)/(1-tech_proj!AA626))</f>
        <v/>
      </c>
      <c r="AB1686" s="127" t="str">
        <f>IF(tech_base!$T222&gt;AB$1465,"",(tech_base!$J222/tech_proj!AB346*0.086*$N$110)/(1-tech_proj!AB626))</f>
        <v/>
      </c>
      <c r="AC1686" s="127" t="str">
        <f>IF(tech_base!$T222&gt;AC$1465,"",(tech_base!$J222/tech_proj!AC346*0.086*$N$110)/(1-tech_proj!AC626))</f>
        <v/>
      </c>
      <c r="AD1686" s="127" t="str">
        <f>IF(tech_base!$T222&gt;AD$1465,"",(tech_base!$J222/tech_proj!AD346*0.086*$N$110)/(1-tech_proj!AD626))</f>
        <v/>
      </c>
      <c r="AE1686" s="127">
        <f>IF(tech_base!$T222&gt;AE$1465,"",(tech_base!$J222/tech_proj!AE346*0.086*$N$110)/(1-tech_proj!AE626))</f>
        <v>0</v>
      </c>
      <c r="AF1686" s="127">
        <f>IF(tech_base!$T222&gt;AF$1465,"",(tech_base!$J222/tech_proj!AF346*0.086*$N$110)/(1-tech_proj!AF626))</f>
        <v>0</v>
      </c>
      <c r="AG1686" s="127">
        <f>IF(tech_base!$T222&gt;AG$1465,"",(tech_base!$J222/tech_proj!AG346*0.086*$N$110)/(1-tech_proj!AG626))</f>
        <v>0</v>
      </c>
      <c r="AH1686" s="127">
        <f>IF(tech_base!$T222&gt;AH$1465,"",(tech_base!$J222/tech_proj!AH346*0.086*$N$110)/(1-tech_proj!AH626))</f>
        <v>0</v>
      </c>
      <c r="AI1686" s="127">
        <f>IF(tech_base!$T222&gt;AI$1465,"",(tech_base!$J222/tech_proj!AI346*0.086*$N$110)/(1-tech_proj!AI626))</f>
        <v>0</v>
      </c>
      <c r="AJ1686" s="127">
        <f>IF(tech_base!$T222&gt;AJ$1465,"",(tech_base!$J222/tech_proj!AJ346*0.086*$N$110)/(1-tech_proj!AJ626))</f>
        <v>0</v>
      </c>
      <c r="AK1686" s="127">
        <f>IF(tech_base!$T222&gt;AK$1465,"",(tech_base!$J222/tech_proj!AK346*0.086*$N$110)/(1-tech_proj!AK626))</f>
        <v>0</v>
      </c>
      <c r="AL1686" s="127">
        <f>IF(tech_base!$T222&gt;AL$1465,"",(tech_base!$J222/tech_proj!AL346*0.086*$N$110)/(1-tech_proj!AL626))</f>
        <v>0</v>
      </c>
      <c r="AM1686" s="127">
        <f>IF(tech_base!$T222&gt;AM$1465,"",(tech_base!$J222/tech_proj!AM346*0.086*$N$110)/(1-tech_proj!AM626))</f>
        <v>0</v>
      </c>
      <c r="AN1686" s="127">
        <f>IF(tech_base!$T222&gt;AN$1465,"",(tech_base!$J222/tech_proj!AN346*0.086*$N$110)/(1-tech_proj!AN626))</f>
        <v>0</v>
      </c>
      <c r="AO1686" s="127">
        <f>IF(tech_base!$T222&gt;AO$1465,"",(tech_base!$J222/tech_proj!AO346*0.086*$N$110)/(1-tech_proj!AO626))</f>
        <v>0</v>
      </c>
      <c r="AP1686" s="127">
        <f>IF(tech_base!$T222&gt;AP$1465,"",(tech_base!$J222/tech_proj!AP346*0.086*$N$110)/(1-tech_proj!AP626))</f>
        <v>0</v>
      </c>
      <c r="AQ1686" s="127">
        <f>IF(tech_base!$T222&gt;AQ$1465,"",(tech_base!$J222/tech_proj!AQ346*0.086*$N$110)/(1-tech_proj!AQ626))</f>
        <v>0</v>
      </c>
      <c r="AR1686" s="127">
        <f>IF(tech_base!$T222&gt;AR$1465,"",(tech_base!$J222/tech_proj!AR346*0.086*$N$110)/(1-tech_proj!AR626))</f>
        <v>0</v>
      </c>
      <c r="AS1686" s="127">
        <f>IF(tech_base!$T222&gt;AS$1465,"",(tech_base!$J222/tech_proj!AS346*0.086*$N$110)/(1-tech_proj!AS626))</f>
        <v>0</v>
      </c>
      <c r="AT1686" s="127">
        <f>IF(tech_base!$T222&gt;AT$1465,"",(tech_base!$J222/tech_proj!AT346*0.086*$N$110)/(1-tech_proj!AT626))</f>
        <v>0</v>
      </c>
      <c r="AU1686" s="127">
        <f>IF(tech_base!$T222&gt;AU$1465,"",(tech_base!$J222/tech_proj!AU346*0.086*$N$110)/(1-tech_proj!AU626))</f>
        <v>0</v>
      </c>
      <c r="AV1686" s="127">
        <f>IF(tech_base!$T222&gt;AV$1465,"",(tech_base!$J222/tech_proj!AV346*0.086*$N$110)/(1-tech_proj!AV626))</f>
        <v>0</v>
      </c>
      <c r="AW1686" s="127">
        <f>IF(tech_base!$T222&gt;AW$1465,"",(tech_base!$J222/tech_proj!AW346*0.086*$N$110)/(1-tech_proj!AW626))</f>
        <v>0</v>
      </c>
      <c r="AX1686" s="128">
        <f>IF(tech_base!$T222&gt;AX$1465,"",(tech_base!$J222/tech_proj!AX346*0.086*$N$110)/(1-tech_proj!AX626))</f>
        <v>0</v>
      </c>
    </row>
    <row r="1687" spans="1:50" x14ac:dyDescent="0.25">
      <c r="A1687" s="356"/>
      <c r="B1687" s="358" t="s">
        <v>19</v>
      </c>
      <c r="C1687" s="353" t="s">
        <v>6</v>
      </c>
      <c r="D1687" s="3" t="s">
        <v>7</v>
      </c>
      <c r="E1687" s="162" t="str">
        <f>A1667&amp;"/"&amp;B1687&amp;"/"&amp;C1687&amp;"/"&amp;D1687</f>
        <v>Biomass and waste fired power plants/Steam turbine/Electricity only/L</v>
      </c>
      <c r="F1687" s="77" t="str">
        <f>A1667</f>
        <v>Biomass and waste fired power plants</v>
      </c>
      <c r="G1687" s="77" t="str">
        <f>B1687</f>
        <v>Steam turbine</v>
      </c>
      <c r="H1687" s="77" t="str">
        <f>C1687</f>
        <v>Electricity only</v>
      </c>
      <c r="I1687" s="163" t="str">
        <f t="shared" si="380"/>
        <v>L</v>
      </c>
      <c r="J1687" s="121">
        <f>IF(tech_base!$T223&gt;J$1465,"",(tech_base!$J223/tech_proj!J347*0.086*$N$110)/(1-tech_proj!J627))</f>
        <v>0</v>
      </c>
      <c r="K1687" s="121">
        <f>IF(tech_base!$T223&gt;K$1465,"",(tech_base!$J223/tech_proj!K347*0.086*$N$110)/(1-tech_proj!K627))</f>
        <v>0</v>
      </c>
      <c r="L1687" s="121">
        <f>IF(tech_base!$T223&gt;L$1465,"",(tech_base!$J223/tech_proj!L347*0.086*$N$110)/(1-tech_proj!L627))</f>
        <v>0</v>
      </c>
      <c r="M1687" s="121">
        <f>IF(tech_base!$T223&gt;M$1465,"",(tech_base!$J223/tech_proj!M347*0.086*$N$110)/(1-tech_proj!M627))</f>
        <v>0</v>
      </c>
      <c r="N1687" s="121">
        <f>IF(tech_base!$T223&gt;N$1465,"",(tech_base!$J223/tech_proj!N347*0.086*$N$110)/(1-tech_proj!N627))</f>
        <v>0</v>
      </c>
      <c r="O1687" s="121">
        <f>IF(tech_base!$T223&gt;O$1465,"",(tech_base!$J223/tech_proj!O347*0.086*$N$110)/(1-tech_proj!O627))</f>
        <v>0</v>
      </c>
      <c r="P1687" s="121">
        <f>IF(tech_base!$T223&gt;P$1465,"",(tech_base!$J223/tech_proj!P347*0.086*$N$110)/(1-tech_proj!P627))</f>
        <v>0</v>
      </c>
      <c r="Q1687" s="121">
        <f>IF(tech_base!$T223&gt;Q$1465,"",(tech_base!$J223/tech_proj!Q347*0.086*$N$110)/(1-tech_proj!Q627))</f>
        <v>0</v>
      </c>
      <c r="R1687" s="121">
        <f>IF(tech_base!$T223&gt;R$1465,"",(tech_base!$J223/tech_proj!R347*0.086*$N$110)/(1-tech_proj!R627))</f>
        <v>0</v>
      </c>
      <c r="S1687" s="121">
        <f>IF(tech_base!$T223&gt;S$1465,"",(tech_base!$J223/tech_proj!S347*0.086*$N$110)/(1-tech_proj!S627))</f>
        <v>0</v>
      </c>
      <c r="T1687" s="121">
        <f>IF(tech_base!$T223&gt;T$1465,"",(tech_base!$J223/tech_proj!T347*0.086*$N$110)/(1-tech_proj!T627))</f>
        <v>0</v>
      </c>
      <c r="U1687" s="121">
        <f>IF(tech_base!$T223&gt;U$1465,"",(tech_base!$J223/tech_proj!U347*0.086*$N$110)/(1-tech_proj!U627))</f>
        <v>0</v>
      </c>
      <c r="V1687" s="121">
        <f>IF(tech_base!$T223&gt;V$1465,"",(tech_base!$J223/tech_proj!V347*0.086*$N$110)/(1-tech_proj!V627))</f>
        <v>0</v>
      </c>
      <c r="W1687" s="121">
        <f>IF(tech_base!$T223&gt;W$1465,"",(tech_base!$J223/tech_proj!W347*0.086*$N$110)/(1-tech_proj!W627))</f>
        <v>0</v>
      </c>
      <c r="X1687" s="121">
        <f>IF(tech_base!$T223&gt;X$1465,"",(tech_base!$J223/tech_proj!X347*0.086*$N$110)/(1-tech_proj!X627))</f>
        <v>0</v>
      </c>
      <c r="Y1687" s="121">
        <f>IF(tech_base!$T223&gt;Y$1465,"",(tech_base!$J223/tech_proj!Y347*0.086*$N$110)/(1-tech_proj!Y627))</f>
        <v>0</v>
      </c>
      <c r="Z1687" s="121">
        <f>IF(tech_base!$T223&gt;Z$1465,"",(tech_base!$J223/tech_proj!Z347*0.086*$N$110)/(1-tech_proj!Z627))</f>
        <v>0</v>
      </c>
      <c r="AA1687" s="121">
        <f>IF(tech_base!$T223&gt;AA$1465,"",(tech_base!$J223/tech_proj!AA347*0.086*$N$110)/(1-tech_proj!AA627))</f>
        <v>0</v>
      </c>
      <c r="AB1687" s="121">
        <f>IF(tech_base!$T223&gt;AB$1465,"",(tech_base!$J223/tech_proj!AB347*0.086*$N$110)/(1-tech_proj!AB627))</f>
        <v>0</v>
      </c>
      <c r="AC1687" s="121">
        <f>IF(tech_base!$T223&gt;AC$1465,"",(tech_base!$J223/tech_proj!AC347*0.086*$N$110)/(1-tech_proj!AC627))</f>
        <v>0</v>
      </c>
      <c r="AD1687" s="121">
        <f>IF(tech_base!$T223&gt;AD$1465,"",(tech_base!$J223/tech_proj!AD347*0.086*$N$110)/(1-tech_proj!AD627))</f>
        <v>0</v>
      </c>
      <c r="AE1687" s="121">
        <f>IF(tech_base!$T223&gt;AE$1465,"",(tech_base!$J223/tech_proj!AE347*0.086*$N$110)/(1-tech_proj!AE627))</f>
        <v>0</v>
      </c>
      <c r="AF1687" s="121">
        <f>IF(tech_base!$T223&gt;AF$1465,"",(tech_base!$J223/tech_proj!AF347*0.086*$N$110)/(1-tech_proj!AF627))</f>
        <v>0</v>
      </c>
      <c r="AG1687" s="121">
        <f>IF(tech_base!$T223&gt;AG$1465,"",(tech_base!$J223/tech_proj!AG347*0.086*$N$110)/(1-tech_proj!AG627))</f>
        <v>0</v>
      </c>
      <c r="AH1687" s="121">
        <f>IF(tech_base!$T223&gt;AH$1465,"",(tech_base!$J223/tech_proj!AH347*0.086*$N$110)/(1-tech_proj!AH627))</f>
        <v>0</v>
      </c>
      <c r="AI1687" s="121">
        <f>IF(tech_base!$T223&gt;AI$1465,"",(tech_base!$J223/tech_proj!AI347*0.086*$N$110)/(1-tech_proj!AI627))</f>
        <v>0</v>
      </c>
      <c r="AJ1687" s="121">
        <f>IF(tech_base!$T223&gt;AJ$1465,"",(tech_base!$J223/tech_proj!AJ347*0.086*$N$110)/(1-tech_proj!AJ627))</f>
        <v>0</v>
      </c>
      <c r="AK1687" s="121">
        <f>IF(tech_base!$T223&gt;AK$1465,"",(tech_base!$J223/tech_proj!AK347*0.086*$N$110)/(1-tech_proj!AK627))</f>
        <v>0</v>
      </c>
      <c r="AL1687" s="121">
        <f>IF(tech_base!$T223&gt;AL$1465,"",(tech_base!$J223/tech_proj!AL347*0.086*$N$110)/(1-tech_proj!AL627))</f>
        <v>0</v>
      </c>
      <c r="AM1687" s="121">
        <f>IF(tech_base!$T223&gt;AM$1465,"",(tech_base!$J223/tech_proj!AM347*0.086*$N$110)/(1-tech_proj!AM627))</f>
        <v>0</v>
      </c>
      <c r="AN1687" s="121">
        <f>IF(tech_base!$T223&gt;AN$1465,"",(tech_base!$J223/tech_proj!AN347*0.086*$N$110)/(1-tech_proj!AN627))</f>
        <v>0</v>
      </c>
      <c r="AO1687" s="121">
        <f>IF(tech_base!$T223&gt;AO$1465,"",(tech_base!$J223/tech_proj!AO347*0.086*$N$110)/(1-tech_proj!AO627))</f>
        <v>0</v>
      </c>
      <c r="AP1687" s="121">
        <f>IF(tech_base!$T223&gt;AP$1465,"",(tech_base!$J223/tech_proj!AP347*0.086*$N$110)/(1-tech_proj!AP627))</f>
        <v>0</v>
      </c>
      <c r="AQ1687" s="121">
        <f>IF(tech_base!$T223&gt;AQ$1465,"",(tech_base!$J223/tech_proj!AQ347*0.086*$N$110)/(1-tech_proj!AQ627))</f>
        <v>0</v>
      </c>
      <c r="AR1687" s="121">
        <f>IF(tech_base!$T223&gt;AR$1465,"",(tech_base!$J223/tech_proj!AR347*0.086*$N$110)/(1-tech_proj!AR627))</f>
        <v>0</v>
      </c>
      <c r="AS1687" s="121">
        <f>IF(tech_base!$T223&gt;AS$1465,"",(tech_base!$J223/tech_proj!AS347*0.086*$N$110)/(1-tech_proj!AS627))</f>
        <v>0</v>
      </c>
      <c r="AT1687" s="121">
        <f>IF(tech_base!$T223&gt;AT$1465,"",(tech_base!$J223/tech_proj!AT347*0.086*$N$110)/(1-tech_proj!AT627))</f>
        <v>0</v>
      </c>
      <c r="AU1687" s="121">
        <f>IF(tech_base!$T223&gt;AU$1465,"",(tech_base!$J223/tech_proj!AU347*0.086*$N$110)/(1-tech_proj!AU627))</f>
        <v>0</v>
      </c>
      <c r="AV1687" s="121">
        <f>IF(tech_base!$T223&gt;AV$1465,"",(tech_base!$J223/tech_proj!AV347*0.086*$N$110)/(1-tech_proj!AV627))</f>
        <v>0</v>
      </c>
      <c r="AW1687" s="121">
        <f>IF(tech_base!$T223&gt;AW$1465,"",(tech_base!$J223/tech_proj!AW347*0.086*$N$110)/(1-tech_proj!AW627))</f>
        <v>0</v>
      </c>
      <c r="AX1687" s="122">
        <f>IF(tech_base!$T223&gt;AX$1465,"",(tech_base!$J223/tech_proj!AX347*0.086*$N$110)/(1-tech_proj!AX627))</f>
        <v>0</v>
      </c>
    </row>
    <row r="1688" spans="1:50" x14ac:dyDescent="0.25">
      <c r="A1688" s="356"/>
      <c r="B1688" s="376"/>
      <c r="C1688" s="378"/>
      <c r="D1688" s="2" t="s">
        <v>8</v>
      </c>
      <c r="E1688" s="160" t="str">
        <f>A1667&amp;"/"&amp;B1687&amp;"/"&amp;C1687&amp;"/"&amp;D1688</f>
        <v>Biomass and waste fired power plants/Steam turbine/Electricity only/M</v>
      </c>
      <c r="F1688" s="76" t="str">
        <f>A1667</f>
        <v>Biomass and waste fired power plants</v>
      </c>
      <c r="G1688" s="76" t="str">
        <f>B1687</f>
        <v>Steam turbine</v>
      </c>
      <c r="H1688" s="76" t="str">
        <f>C1687</f>
        <v>Electricity only</v>
      </c>
      <c r="I1688" s="161" t="str">
        <f t="shared" si="380"/>
        <v>M</v>
      </c>
      <c r="J1688" s="119">
        <f>IF(tech_base!$T224&gt;J$1465,"",(tech_base!$J224/tech_proj!J348*0.086*$N$110)/(1-tech_proj!J628))</f>
        <v>0</v>
      </c>
      <c r="K1688" s="119">
        <f>IF(tech_base!$T224&gt;K$1465,"",(tech_base!$J224/tech_proj!K348*0.086*$N$110)/(1-tech_proj!K628))</f>
        <v>0</v>
      </c>
      <c r="L1688" s="119">
        <f>IF(tech_base!$T224&gt;L$1465,"",(tech_base!$J224/tech_proj!L348*0.086*$N$110)/(1-tech_proj!L628))</f>
        <v>0</v>
      </c>
      <c r="M1688" s="119">
        <f>IF(tech_base!$T224&gt;M$1465,"",(tech_base!$J224/tech_proj!M348*0.086*$N$110)/(1-tech_proj!M628))</f>
        <v>0</v>
      </c>
      <c r="N1688" s="119">
        <f>IF(tech_base!$T224&gt;N$1465,"",(tech_base!$J224/tech_proj!N348*0.086*$N$110)/(1-tech_proj!N628))</f>
        <v>0</v>
      </c>
      <c r="O1688" s="119">
        <f>IF(tech_base!$T224&gt;O$1465,"",(tech_base!$J224/tech_proj!O348*0.086*$N$110)/(1-tech_proj!O628))</f>
        <v>0</v>
      </c>
      <c r="P1688" s="119">
        <f>IF(tech_base!$T224&gt;P$1465,"",(tech_base!$J224/tech_proj!P348*0.086*$N$110)/(1-tech_proj!P628))</f>
        <v>0</v>
      </c>
      <c r="Q1688" s="119">
        <f>IF(tech_base!$T224&gt;Q$1465,"",(tech_base!$J224/tech_proj!Q348*0.086*$N$110)/(1-tech_proj!Q628))</f>
        <v>0</v>
      </c>
      <c r="R1688" s="119">
        <f>IF(tech_base!$T224&gt;R$1465,"",(tech_base!$J224/tech_proj!R348*0.086*$N$110)/(1-tech_proj!R628))</f>
        <v>0</v>
      </c>
      <c r="S1688" s="119">
        <f>IF(tech_base!$T224&gt;S$1465,"",(tech_base!$J224/tech_proj!S348*0.086*$N$110)/(1-tech_proj!S628))</f>
        <v>0</v>
      </c>
      <c r="T1688" s="119">
        <f>IF(tech_base!$T224&gt;T$1465,"",(tech_base!$J224/tech_proj!T348*0.086*$N$110)/(1-tech_proj!T628))</f>
        <v>0</v>
      </c>
      <c r="U1688" s="119">
        <f>IF(tech_base!$T224&gt;U$1465,"",(tech_base!$J224/tech_proj!U348*0.086*$N$110)/(1-tech_proj!U628))</f>
        <v>0</v>
      </c>
      <c r="V1688" s="119">
        <f>IF(tech_base!$T224&gt;V$1465,"",(tech_base!$J224/tech_proj!V348*0.086*$N$110)/(1-tech_proj!V628))</f>
        <v>0</v>
      </c>
      <c r="W1688" s="119">
        <f>IF(tech_base!$T224&gt;W$1465,"",(tech_base!$J224/tech_proj!W348*0.086*$N$110)/(1-tech_proj!W628))</f>
        <v>0</v>
      </c>
      <c r="X1688" s="119">
        <f>IF(tech_base!$T224&gt;X$1465,"",(tech_base!$J224/tech_proj!X348*0.086*$N$110)/(1-tech_proj!X628))</f>
        <v>0</v>
      </c>
      <c r="Y1688" s="119">
        <f>IF(tech_base!$T224&gt;Y$1465,"",(tech_base!$J224/tech_proj!Y348*0.086*$N$110)/(1-tech_proj!Y628))</f>
        <v>0</v>
      </c>
      <c r="Z1688" s="119">
        <f>IF(tech_base!$T224&gt;Z$1465,"",(tech_base!$J224/tech_proj!Z348*0.086*$N$110)/(1-tech_proj!Z628))</f>
        <v>0</v>
      </c>
      <c r="AA1688" s="119">
        <f>IF(tech_base!$T224&gt;AA$1465,"",(tech_base!$J224/tech_proj!AA348*0.086*$N$110)/(1-tech_proj!AA628))</f>
        <v>0</v>
      </c>
      <c r="AB1688" s="119">
        <f>IF(tech_base!$T224&gt;AB$1465,"",(tech_base!$J224/tech_proj!AB348*0.086*$N$110)/(1-tech_proj!AB628))</f>
        <v>0</v>
      </c>
      <c r="AC1688" s="119">
        <f>IF(tech_base!$T224&gt;AC$1465,"",(tech_base!$J224/tech_proj!AC348*0.086*$N$110)/(1-tech_proj!AC628))</f>
        <v>0</v>
      </c>
      <c r="AD1688" s="119">
        <f>IF(tech_base!$T224&gt;AD$1465,"",(tech_base!$J224/tech_proj!AD348*0.086*$N$110)/(1-tech_proj!AD628))</f>
        <v>0</v>
      </c>
      <c r="AE1688" s="119">
        <f>IF(tech_base!$T224&gt;AE$1465,"",(tech_base!$J224/tech_proj!AE348*0.086*$N$110)/(1-tech_proj!AE628))</f>
        <v>0</v>
      </c>
      <c r="AF1688" s="119">
        <f>IF(tech_base!$T224&gt;AF$1465,"",(tech_base!$J224/tech_proj!AF348*0.086*$N$110)/(1-tech_proj!AF628))</f>
        <v>0</v>
      </c>
      <c r="AG1688" s="119">
        <f>IF(tech_base!$T224&gt;AG$1465,"",(tech_base!$J224/tech_proj!AG348*0.086*$N$110)/(1-tech_proj!AG628))</f>
        <v>0</v>
      </c>
      <c r="AH1688" s="119">
        <f>IF(tech_base!$T224&gt;AH$1465,"",(tech_base!$J224/tech_proj!AH348*0.086*$N$110)/(1-tech_proj!AH628))</f>
        <v>0</v>
      </c>
      <c r="AI1688" s="119">
        <f>IF(tech_base!$T224&gt;AI$1465,"",(tech_base!$J224/tech_proj!AI348*0.086*$N$110)/(1-tech_proj!AI628))</f>
        <v>0</v>
      </c>
      <c r="AJ1688" s="119">
        <f>IF(tech_base!$T224&gt;AJ$1465,"",(tech_base!$J224/tech_proj!AJ348*0.086*$N$110)/(1-tech_proj!AJ628))</f>
        <v>0</v>
      </c>
      <c r="AK1688" s="119">
        <f>IF(tech_base!$T224&gt;AK$1465,"",(tech_base!$J224/tech_proj!AK348*0.086*$N$110)/(1-tech_proj!AK628))</f>
        <v>0</v>
      </c>
      <c r="AL1688" s="119">
        <f>IF(tech_base!$T224&gt;AL$1465,"",(tech_base!$J224/tech_proj!AL348*0.086*$N$110)/(1-tech_proj!AL628))</f>
        <v>0</v>
      </c>
      <c r="AM1688" s="119">
        <f>IF(tech_base!$T224&gt;AM$1465,"",(tech_base!$J224/tech_proj!AM348*0.086*$N$110)/(1-tech_proj!AM628))</f>
        <v>0</v>
      </c>
      <c r="AN1688" s="119">
        <f>IF(tech_base!$T224&gt;AN$1465,"",(tech_base!$J224/tech_proj!AN348*0.086*$N$110)/(1-tech_proj!AN628))</f>
        <v>0</v>
      </c>
      <c r="AO1688" s="119">
        <f>IF(tech_base!$T224&gt;AO$1465,"",(tech_base!$J224/tech_proj!AO348*0.086*$N$110)/(1-tech_proj!AO628))</f>
        <v>0</v>
      </c>
      <c r="AP1688" s="119">
        <f>IF(tech_base!$T224&gt;AP$1465,"",(tech_base!$J224/tech_proj!AP348*0.086*$N$110)/(1-tech_proj!AP628))</f>
        <v>0</v>
      </c>
      <c r="AQ1688" s="119">
        <f>IF(tech_base!$T224&gt;AQ$1465,"",(tech_base!$J224/tech_proj!AQ348*0.086*$N$110)/(1-tech_proj!AQ628))</f>
        <v>0</v>
      </c>
      <c r="AR1688" s="119">
        <f>IF(tech_base!$T224&gt;AR$1465,"",(tech_base!$J224/tech_proj!AR348*0.086*$N$110)/(1-tech_proj!AR628))</f>
        <v>0</v>
      </c>
      <c r="AS1688" s="119">
        <f>IF(tech_base!$T224&gt;AS$1465,"",(tech_base!$J224/tech_proj!AS348*0.086*$N$110)/(1-tech_proj!AS628))</f>
        <v>0</v>
      </c>
      <c r="AT1688" s="119">
        <f>IF(tech_base!$T224&gt;AT$1465,"",(tech_base!$J224/tech_proj!AT348*0.086*$N$110)/(1-tech_proj!AT628))</f>
        <v>0</v>
      </c>
      <c r="AU1688" s="119">
        <f>IF(tech_base!$T224&gt;AU$1465,"",(tech_base!$J224/tech_proj!AU348*0.086*$N$110)/(1-tech_proj!AU628))</f>
        <v>0</v>
      </c>
      <c r="AV1688" s="119">
        <f>IF(tech_base!$T224&gt;AV$1465,"",(tech_base!$J224/tech_proj!AV348*0.086*$N$110)/(1-tech_proj!AV628))</f>
        <v>0</v>
      </c>
      <c r="AW1688" s="119">
        <f>IF(tech_base!$T224&gt;AW$1465,"",(tech_base!$J224/tech_proj!AW348*0.086*$N$110)/(1-tech_proj!AW628))</f>
        <v>0</v>
      </c>
      <c r="AX1688" s="120">
        <f>IF(tech_base!$T224&gt;AX$1465,"",(tech_base!$J224/tech_proj!AX348*0.086*$N$110)/(1-tech_proj!AX628))</f>
        <v>0</v>
      </c>
    </row>
    <row r="1689" spans="1:50" x14ac:dyDescent="0.25">
      <c r="A1689" s="356"/>
      <c r="B1689" s="376"/>
      <c r="C1689" s="378"/>
      <c r="D1689" s="2" t="s">
        <v>10</v>
      </c>
      <c r="E1689" s="160" t="str">
        <f>A1667&amp;"/"&amp;B1687&amp;"/"&amp;C1687&amp;"/"&amp;D1689</f>
        <v>Biomass and waste fired power plants/Steam turbine/Electricity only/S</v>
      </c>
      <c r="F1689" s="76" t="str">
        <f>A1667</f>
        <v>Biomass and waste fired power plants</v>
      </c>
      <c r="G1689" s="76" t="str">
        <f>B1687</f>
        <v>Steam turbine</v>
      </c>
      <c r="H1689" s="76" t="str">
        <f>C1687</f>
        <v>Electricity only</v>
      </c>
      <c r="I1689" s="161" t="str">
        <f t="shared" si="380"/>
        <v>S</v>
      </c>
      <c r="J1689" s="119">
        <f>IF(tech_base!$T225&gt;J$1465,"",(tech_base!$J225/tech_proj!J349*0.086*$N$110)/(1-tech_proj!J629))</f>
        <v>0</v>
      </c>
      <c r="K1689" s="119">
        <f>IF(tech_base!$T225&gt;K$1465,"",(tech_base!$J225/tech_proj!K349*0.086*$N$110)/(1-tech_proj!K629))</f>
        <v>0</v>
      </c>
      <c r="L1689" s="119">
        <f>IF(tech_base!$T225&gt;L$1465,"",(tech_base!$J225/tech_proj!L349*0.086*$N$110)/(1-tech_proj!L629))</f>
        <v>0</v>
      </c>
      <c r="M1689" s="119">
        <f>IF(tech_base!$T225&gt;M$1465,"",(tech_base!$J225/tech_proj!M349*0.086*$N$110)/(1-tech_proj!M629))</f>
        <v>0</v>
      </c>
      <c r="N1689" s="119">
        <f>IF(tech_base!$T225&gt;N$1465,"",(tech_base!$J225/tech_proj!N349*0.086*$N$110)/(1-tech_proj!N629))</f>
        <v>0</v>
      </c>
      <c r="O1689" s="119">
        <f>IF(tech_base!$T225&gt;O$1465,"",(tech_base!$J225/tech_proj!O349*0.086*$N$110)/(1-tech_proj!O629))</f>
        <v>0</v>
      </c>
      <c r="P1689" s="119">
        <f>IF(tech_base!$T225&gt;P$1465,"",(tech_base!$J225/tech_proj!P349*0.086*$N$110)/(1-tech_proj!P629))</f>
        <v>0</v>
      </c>
      <c r="Q1689" s="119">
        <f>IF(tech_base!$T225&gt;Q$1465,"",(tech_base!$J225/tech_proj!Q349*0.086*$N$110)/(1-tech_proj!Q629))</f>
        <v>0</v>
      </c>
      <c r="R1689" s="119">
        <f>IF(tech_base!$T225&gt;R$1465,"",(tech_base!$J225/tech_proj!R349*0.086*$N$110)/(1-tech_proj!R629))</f>
        <v>0</v>
      </c>
      <c r="S1689" s="119">
        <f>IF(tech_base!$T225&gt;S$1465,"",(tech_base!$J225/tech_proj!S349*0.086*$N$110)/(1-tech_proj!S629))</f>
        <v>0</v>
      </c>
      <c r="T1689" s="119">
        <f>IF(tech_base!$T225&gt;T$1465,"",(tech_base!$J225/tech_proj!T349*0.086*$N$110)/(1-tech_proj!T629))</f>
        <v>0</v>
      </c>
      <c r="U1689" s="119">
        <f>IF(tech_base!$T225&gt;U$1465,"",(tech_base!$J225/tech_proj!U349*0.086*$N$110)/(1-tech_proj!U629))</f>
        <v>0</v>
      </c>
      <c r="V1689" s="119">
        <f>IF(tech_base!$T225&gt;V$1465,"",(tech_base!$J225/tech_proj!V349*0.086*$N$110)/(1-tech_proj!V629))</f>
        <v>0</v>
      </c>
      <c r="W1689" s="119">
        <f>IF(tech_base!$T225&gt;W$1465,"",(tech_base!$J225/tech_proj!W349*0.086*$N$110)/(1-tech_proj!W629))</f>
        <v>0</v>
      </c>
      <c r="X1689" s="119">
        <f>IF(tech_base!$T225&gt;X$1465,"",(tech_base!$J225/tech_proj!X349*0.086*$N$110)/(1-tech_proj!X629))</f>
        <v>0</v>
      </c>
      <c r="Y1689" s="119">
        <f>IF(tech_base!$T225&gt;Y$1465,"",(tech_base!$J225/tech_proj!Y349*0.086*$N$110)/(1-tech_proj!Y629))</f>
        <v>0</v>
      </c>
      <c r="Z1689" s="119">
        <f>IF(tech_base!$T225&gt;Z$1465,"",(tech_base!$J225/tech_proj!Z349*0.086*$N$110)/(1-tech_proj!Z629))</f>
        <v>0</v>
      </c>
      <c r="AA1689" s="119">
        <f>IF(tech_base!$T225&gt;AA$1465,"",(tech_base!$J225/tech_proj!AA349*0.086*$N$110)/(1-tech_proj!AA629))</f>
        <v>0</v>
      </c>
      <c r="AB1689" s="119">
        <f>IF(tech_base!$T225&gt;AB$1465,"",(tech_base!$J225/tech_proj!AB349*0.086*$N$110)/(1-tech_proj!AB629))</f>
        <v>0</v>
      </c>
      <c r="AC1689" s="119">
        <f>IF(tech_base!$T225&gt;AC$1465,"",(tech_base!$J225/tech_proj!AC349*0.086*$N$110)/(1-tech_proj!AC629))</f>
        <v>0</v>
      </c>
      <c r="AD1689" s="119">
        <f>IF(tech_base!$T225&gt;AD$1465,"",(tech_base!$J225/tech_proj!AD349*0.086*$N$110)/(1-tech_proj!AD629))</f>
        <v>0</v>
      </c>
      <c r="AE1689" s="119">
        <f>IF(tech_base!$T225&gt;AE$1465,"",(tech_base!$J225/tech_proj!AE349*0.086*$N$110)/(1-tech_proj!AE629))</f>
        <v>0</v>
      </c>
      <c r="AF1689" s="119">
        <f>IF(tech_base!$T225&gt;AF$1465,"",(tech_base!$J225/tech_proj!AF349*0.086*$N$110)/(1-tech_proj!AF629))</f>
        <v>0</v>
      </c>
      <c r="AG1689" s="119">
        <f>IF(tech_base!$T225&gt;AG$1465,"",(tech_base!$J225/tech_proj!AG349*0.086*$N$110)/(1-tech_proj!AG629))</f>
        <v>0</v>
      </c>
      <c r="AH1689" s="119">
        <f>IF(tech_base!$T225&gt;AH$1465,"",(tech_base!$J225/tech_proj!AH349*0.086*$N$110)/(1-tech_proj!AH629))</f>
        <v>0</v>
      </c>
      <c r="AI1689" s="119">
        <f>IF(tech_base!$T225&gt;AI$1465,"",(tech_base!$J225/tech_proj!AI349*0.086*$N$110)/(1-tech_proj!AI629))</f>
        <v>0</v>
      </c>
      <c r="AJ1689" s="119">
        <f>IF(tech_base!$T225&gt;AJ$1465,"",(tech_base!$J225/tech_proj!AJ349*0.086*$N$110)/(1-tech_proj!AJ629))</f>
        <v>0</v>
      </c>
      <c r="AK1689" s="119">
        <f>IF(tech_base!$T225&gt;AK$1465,"",(tech_base!$J225/tech_proj!AK349*0.086*$N$110)/(1-tech_proj!AK629))</f>
        <v>0</v>
      </c>
      <c r="AL1689" s="119">
        <f>IF(tech_base!$T225&gt;AL$1465,"",(tech_base!$J225/tech_proj!AL349*0.086*$N$110)/(1-tech_proj!AL629))</f>
        <v>0</v>
      </c>
      <c r="AM1689" s="119">
        <f>IF(tech_base!$T225&gt;AM$1465,"",(tech_base!$J225/tech_proj!AM349*0.086*$N$110)/(1-tech_proj!AM629))</f>
        <v>0</v>
      </c>
      <c r="AN1689" s="119">
        <f>IF(tech_base!$T225&gt;AN$1465,"",(tech_base!$J225/tech_proj!AN349*0.086*$N$110)/(1-tech_proj!AN629))</f>
        <v>0</v>
      </c>
      <c r="AO1689" s="119">
        <f>IF(tech_base!$T225&gt;AO$1465,"",(tech_base!$J225/tech_proj!AO349*0.086*$N$110)/(1-tech_proj!AO629))</f>
        <v>0</v>
      </c>
      <c r="AP1689" s="119">
        <f>IF(tech_base!$T225&gt;AP$1465,"",(tech_base!$J225/tech_proj!AP349*0.086*$N$110)/(1-tech_proj!AP629))</f>
        <v>0</v>
      </c>
      <c r="AQ1689" s="119">
        <f>IF(tech_base!$T225&gt;AQ$1465,"",(tech_base!$J225/tech_proj!AQ349*0.086*$N$110)/(1-tech_proj!AQ629))</f>
        <v>0</v>
      </c>
      <c r="AR1689" s="119">
        <f>IF(tech_base!$T225&gt;AR$1465,"",(tech_base!$J225/tech_proj!AR349*0.086*$N$110)/(1-tech_proj!AR629))</f>
        <v>0</v>
      </c>
      <c r="AS1689" s="119">
        <f>IF(tech_base!$T225&gt;AS$1465,"",(tech_base!$J225/tech_proj!AS349*0.086*$N$110)/(1-tech_proj!AS629))</f>
        <v>0</v>
      </c>
      <c r="AT1689" s="119">
        <f>IF(tech_base!$T225&gt;AT$1465,"",(tech_base!$J225/tech_proj!AT349*0.086*$N$110)/(1-tech_proj!AT629))</f>
        <v>0</v>
      </c>
      <c r="AU1689" s="119">
        <f>IF(tech_base!$T225&gt;AU$1465,"",(tech_base!$J225/tech_proj!AU349*0.086*$N$110)/(1-tech_proj!AU629))</f>
        <v>0</v>
      </c>
      <c r="AV1689" s="119">
        <f>IF(tech_base!$T225&gt;AV$1465,"",(tech_base!$J225/tech_proj!AV349*0.086*$N$110)/(1-tech_proj!AV629))</f>
        <v>0</v>
      </c>
      <c r="AW1689" s="119">
        <f>IF(tech_base!$T225&gt;AW$1465,"",(tech_base!$J225/tech_proj!AW349*0.086*$N$110)/(1-tech_proj!AW629))</f>
        <v>0</v>
      </c>
      <c r="AX1689" s="120">
        <f>IF(tech_base!$T225&gt;AX$1465,"",(tech_base!$J225/tech_proj!AX349*0.086*$N$110)/(1-tech_proj!AX629))</f>
        <v>0</v>
      </c>
    </row>
    <row r="1690" spans="1:50" x14ac:dyDescent="0.25">
      <c r="A1690" s="356"/>
      <c r="B1690" s="376"/>
      <c r="C1690" s="379"/>
      <c r="D1690" s="2" t="s">
        <v>20</v>
      </c>
      <c r="E1690" s="160" t="str">
        <f>A1667&amp;"/"&amp;B1687&amp;"/"&amp;C1687&amp;"/"&amp;D1690</f>
        <v>Biomass and waste fired power plants/Steam turbine/Electricity only/XS</v>
      </c>
      <c r="F1690" s="76" t="str">
        <f>A1667</f>
        <v>Biomass and waste fired power plants</v>
      </c>
      <c r="G1690" s="76" t="str">
        <f>B1687</f>
        <v>Steam turbine</v>
      </c>
      <c r="H1690" s="76" t="str">
        <f>C1687</f>
        <v>Electricity only</v>
      </c>
      <c r="I1690" s="161" t="str">
        <f t="shared" si="380"/>
        <v>XS</v>
      </c>
      <c r="J1690" s="119">
        <f>IF(tech_base!$T226&gt;J$1465,"",(tech_base!$J226/tech_proj!J350*0.086*$N$110)/(1-tech_proj!J630))</f>
        <v>0</v>
      </c>
      <c r="K1690" s="119">
        <f>IF(tech_base!$T226&gt;K$1465,"",(tech_base!$J226/tech_proj!K350*0.086*$N$110)/(1-tech_proj!K630))</f>
        <v>0</v>
      </c>
      <c r="L1690" s="119">
        <f>IF(tech_base!$T226&gt;L$1465,"",(tech_base!$J226/tech_proj!L350*0.086*$N$110)/(1-tech_proj!L630))</f>
        <v>0</v>
      </c>
      <c r="M1690" s="119">
        <f>IF(tech_base!$T226&gt;M$1465,"",(tech_base!$J226/tech_proj!M350*0.086*$N$110)/(1-tech_proj!M630))</f>
        <v>0</v>
      </c>
      <c r="N1690" s="119">
        <f>IF(tech_base!$T226&gt;N$1465,"",(tech_base!$J226/tech_proj!N350*0.086*$N$110)/(1-tech_proj!N630))</f>
        <v>0</v>
      </c>
      <c r="O1690" s="119">
        <f>IF(tech_base!$T226&gt;O$1465,"",(tech_base!$J226/tech_proj!O350*0.086*$N$110)/(1-tech_proj!O630))</f>
        <v>0</v>
      </c>
      <c r="P1690" s="119">
        <f>IF(tech_base!$T226&gt;P$1465,"",(tech_base!$J226/tech_proj!P350*0.086*$N$110)/(1-tech_proj!P630))</f>
        <v>0</v>
      </c>
      <c r="Q1690" s="119">
        <f>IF(tech_base!$T226&gt;Q$1465,"",(tech_base!$J226/tech_proj!Q350*0.086*$N$110)/(1-tech_proj!Q630))</f>
        <v>0</v>
      </c>
      <c r="R1690" s="119">
        <f>IF(tech_base!$T226&gt;R$1465,"",(tech_base!$J226/tech_proj!R350*0.086*$N$110)/(1-tech_proj!R630))</f>
        <v>0</v>
      </c>
      <c r="S1690" s="119">
        <f>IF(tech_base!$T226&gt;S$1465,"",(tech_base!$J226/tech_proj!S350*0.086*$N$110)/(1-tech_proj!S630))</f>
        <v>0</v>
      </c>
      <c r="T1690" s="119">
        <f>IF(tech_base!$T226&gt;T$1465,"",(tech_base!$J226/tech_proj!T350*0.086*$N$110)/(1-tech_proj!T630))</f>
        <v>0</v>
      </c>
      <c r="U1690" s="119">
        <f>IF(tech_base!$T226&gt;U$1465,"",(tech_base!$J226/tech_proj!U350*0.086*$N$110)/(1-tech_proj!U630))</f>
        <v>0</v>
      </c>
      <c r="V1690" s="119">
        <f>IF(tech_base!$T226&gt;V$1465,"",(tech_base!$J226/tech_proj!V350*0.086*$N$110)/(1-tech_proj!V630))</f>
        <v>0</v>
      </c>
      <c r="W1690" s="119">
        <f>IF(tech_base!$T226&gt;W$1465,"",(tech_base!$J226/tech_proj!W350*0.086*$N$110)/(1-tech_proj!W630))</f>
        <v>0</v>
      </c>
      <c r="X1690" s="119">
        <f>IF(tech_base!$T226&gt;X$1465,"",(tech_base!$J226/tech_proj!X350*0.086*$N$110)/(1-tech_proj!X630))</f>
        <v>0</v>
      </c>
      <c r="Y1690" s="119">
        <f>IF(tech_base!$T226&gt;Y$1465,"",(tech_base!$J226/tech_proj!Y350*0.086*$N$110)/(1-tech_proj!Y630))</f>
        <v>0</v>
      </c>
      <c r="Z1690" s="119">
        <f>IF(tech_base!$T226&gt;Z$1465,"",(tech_base!$J226/tech_proj!Z350*0.086*$N$110)/(1-tech_proj!Z630))</f>
        <v>0</v>
      </c>
      <c r="AA1690" s="119">
        <f>IF(tech_base!$T226&gt;AA$1465,"",(tech_base!$J226/tech_proj!AA350*0.086*$N$110)/(1-tech_proj!AA630))</f>
        <v>0</v>
      </c>
      <c r="AB1690" s="119">
        <f>IF(tech_base!$T226&gt;AB$1465,"",(tech_base!$J226/tech_proj!AB350*0.086*$N$110)/(1-tech_proj!AB630))</f>
        <v>0</v>
      </c>
      <c r="AC1690" s="119">
        <f>IF(tech_base!$T226&gt;AC$1465,"",(tech_base!$J226/tech_proj!AC350*0.086*$N$110)/(1-tech_proj!AC630))</f>
        <v>0</v>
      </c>
      <c r="AD1690" s="119">
        <f>IF(tech_base!$T226&gt;AD$1465,"",(tech_base!$J226/tech_proj!AD350*0.086*$N$110)/(1-tech_proj!AD630))</f>
        <v>0</v>
      </c>
      <c r="AE1690" s="119">
        <f>IF(tech_base!$T226&gt;AE$1465,"",(tech_base!$J226/tech_proj!AE350*0.086*$N$110)/(1-tech_proj!AE630))</f>
        <v>0</v>
      </c>
      <c r="AF1690" s="119">
        <f>IF(tech_base!$T226&gt;AF$1465,"",(tech_base!$J226/tech_proj!AF350*0.086*$N$110)/(1-tech_proj!AF630))</f>
        <v>0</v>
      </c>
      <c r="AG1690" s="119">
        <f>IF(tech_base!$T226&gt;AG$1465,"",(tech_base!$J226/tech_proj!AG350*0.086*$N$110)/(1-tech_proj!AG630))</f>
        <v>0</v>
      </c>
      <c r="AH1690" s="119">
        <f>IF(tech_base!$T226&gt;AH$1465,"",(tech_base!$J226/tech_proj!AH350*0.086*$N$110)/(1-tech_proj!AH630))</f>
        <v>0</v>
      </c>
      <c r="AI1690" s="119">
        <f>IF(tech_base!$T226&gt;AI$1465,"",(tech_base!$J226/tech_proj!AI350*0.086*$N$110)/(1-tech_proj!AI630))</f>
        <v>0</v>
      </c>
      <c r="AJ1690" s="119">
        <f>IF(tech_base!$T226&gt;AJ$1465,"",(tech_base!$J226/tech_proj!AJ350*0.086*$N$110)/(1-tech_proj!AJ630))</f>
        <v>0</v>
      </c>
      <c r="AK1690" s="119">
        <f>IF(tech_base!$T226&gt;AK$1465,"",(tech_base!$J226/tech_proj!AK350*0.086*$N$110)/(1-tech_proj!AK630))</f>
        <v>0</v>
      </c>
      <c r="AL1690" s="119">
        <f>IF(tech_base!$T226&gt;AL$1465,"",(tech_base!$J226/tech_proj!AL350*0.086*$N$110)/(1-tech_proj!AL630))</f>
        <v>0</v>
      </c>
      <c r="AM1690" s="119">
        <f>IF(tech_base!$T226&gt;AM$1465,"",(tech_base!$J226/tech_proj!AM350*0.086*$N$110)/(1-tech_proj!AM630))</f>
        <v>0</v>
      </c>
      <c r="AN1690" s="119">
        <f>IF(tech_base!$T226&gt;AN$1465,"",(tech_base!$J226/tech_proj!AN350*0.086*$N$110)/(1-tech_proj!AN630))</f>
        <v>0</v>
      </c>
      <c r="AO1690" s="119">
        <f>IF(tech_base!$T226&gt;AO$1465,"",(tech_base!$J226/tech_proj!AO350*0.086*$N$110)/(1-tech_proj!AO630))</f>
        <v>0</v>
      </c>
      <c r="AP1690" s="119">
        <f>IF(tech_base!$T226&gt;AP$1465,"",(tech_base!$J226/tech_proj!AP350*0.086*$N$110)/(1-tech_proj!AP630))</f>
        <v>0</v>
      </c>
      <c r="AQ1690" s="119">
        <f>IF(tech_base!$T226&gt;AQ$1465,"",(tech_base!$J226/tech_proj!AQ350*0.086*$N$110)/(1-tech_proj!AQ630))</f>
        <v>0</v>
      </c>
      <c r="AR1690" s="119">
        <f>IF(tech_base!$T226&gt;AR$1465,"",(tech_base!$J226/tech_proj!AR350*0.086*$N$110)/(1-tech_proj!AR630))</f>
        <v>0</v>
      </c>
      <c r="AS1690" s="119">
        <f>IF(tech_base!$T226&gt;AS$1465,"",(tech_base!$J226/tech_proj!AS350*0.086*$N$110)/(1-tech_proj!AS630))</f>
        <v>0</v>
      </c>
      <c r="AT1690" s="119">
        <f>IF(tech_base!$T226&gt;AT$1465,"",(tech_base!$J226/tech_proj!AT350*0.086*$N$110)/(1-tech_proj!AT630))</f>
        <v>0</v>
      </c>
      <c r="AU1690" s="119">
        <f>IF(tech_base!$T226&gt;AU$1465,"",(tech_base!$J226/tech_proj!AU350*0.086*$N$110)/(1-tech_proj!AU630))</f>
        <v>0</v>
      </c>
      <c r="AV1690" s="119">
        <f>IF(tech_base!$T226&gt;AV$1465,"",(tech_base!$J226/tech_proj!AV350*0.086*$N$110)/(1-tech_proj!AV630))</f>
        <v>0</v>
      </c>
      <c r="AW1690" s="119">
        <f>IF(tech_base!$T226&gt;AW$1465,"",(tech_base!$J226/tech_proj!AW350*0.086*$N$110)/(1-tech_proj!AW630))</f>
        <v>0</v>
      </c>
      <c r="AX1690" s="120">
        <f>IF(tech_base!$T226&gt;AX$1465,"",(tech_base!$J226/tech_proj!AX350*0.086*$N$110)/(1-tech_proj!AX630))</f>
        <v>0</v>
      </c>
    </row>
    <row r="1691" spans="1:50" x14ac:dyDescent="0.25">
      <c r="A1691" s="356"/>
      <c r="B1691" s="376"/>
      <c r="C1691" s="361" t="s">
        <v>14</v>
      </c>
      <c r="D1691" s="58" t="s">
        <v>7</v>
      </c>
      <c r="E1691" s="164" t="str">
        <f>A1667&amp;"/"&amp;B1687&amp;"/"&amp;C1691&amp;"/"&amp;D1691</f>
        <v>Biomass and waste fired power plants/Steam turbine/CHP/L</v>
      </c>
      <c r="F1691" s="78" t="str">
        <f>A1667</f>
        <v>Biomass and waste fired power plants</v>
      </c>
      <c r="G1691" s="78" t="str">
        <f>B1687</f>
        <v>Steam turbine</v>
      </c>
      <c r="H1691" s="78" t="str">
        <f>C1691</f>
        <v>CHP</v>
      </c>
      <c r="I1691" s="165" t="str">
        <f t="shared" si="380"/>
        <v>L</v>
      </c>
      <c r="J1691" s="123">
        <f>IF(tech_base!$T227&gt;J$1465,"",(tech_base!$J227/tech_proj!J351*0.086*$N$110)/(1-tech_proj!J631))</f>
        <v>0</v>
      </c>
      <c r="K1691" s="123">
        <f>IF(tech_base!$T227&gt;K$1465,"",(tech_base!$J227/tech_proj!K351*0.086*$N$110)/(1-tech_proj!K631))</f>
        <v>0</v>
      </c>
      <c r="L1691" s="123">
        <f>IF(tech_base!$T227&gt;L$1465,"",(tech_base!$J227/tech_proj!L351*0.086*$N$110)/(1-tech_proj!L631))</f>
        <v>0</v>
      </c>
      <c r="M1691" s="123">
        <f>IF(tech_base!$T227&gt;M$1465,"",(tech_base!$J227/tech_proj!M351*0.086*$N$110)/(1-tech_proj!M631))</f>
        <v>0</v>
      </c>
      <c r="N1691" s="123">
        <f>IF(tech_base!$T227&gt;N$1465,"",(tech_base!$J227/tech_proj!N351*0.086*$N$110)/(1-tech_proj!N631))</f>
        <v>0</v>
      </c>
      <c r="O1691" s="123">
        <f>IF(tech_base!$T227&gt;O$1465,"",(tech_base!$J227/tech_proj!O351*0.086*$N$110)/(1-tech_proj!O631))</f>
        <v>0</v>
      </c>
      <c r="P1691" s="123">
        <f>IF(tech_base!$T227&gt;P$1465,"",(tech_base!$J227/tech_proj!P351*0.086*$N$110)/(1-tech_proj!P631))</f>
        <v>0</v>
      </c>
      <c r="Q1691" s="123">
        <f>IF(tech_base!$T227&gt;Q$1465,"",(tech_base!$J227/tech_proj!Q351*0.086*$N$110)/(1-tech_proj!Q631))</f>
        <v>0</v>
      </c>
      <c r="R1691" s="123">
        <f>IF(tech_base!$T227&gt;R$1465,"",(tech_base!$J227/tech_proj!R351*0.086*$N$110)/(1-tech_proj!R631))</f>
        <v>0</v>
      </c>
      <c r="S1691" s="123">
        <f>IF(tech_base!$T227&gt;S$1465,"",(tech_base!$J227/tech_proj!S351*0.086*$N$110)/(1-tech_proj!S631))</f>
        <v>0</v>
      </c>
      <c r="T1691" s="123">
        <f>IF(tech_base!$T227&gt;T$1465,"",(tech_base!$J227/tech_proj!T351*0.086*$N$110)/(1-tech_proj!T631))</f>
        <v>0</v>
      </c>
      <c r="U1691" s="123">
        <f>IF(tech_base!$T227&gt;U$1465,"",(tech_base!$J227/tech_proj!U351*0.086*$N$110)/(1-tech_proj!U631))</f>
        <v>0</v>
      </c>
      <c r="V1691" s="123">
        <f>IF(tech_base!$T227&gt;V$1465,"",(tech_base!$J227/tech_proj!V351*0.086*$N$110)/(1-tech_proj!V631))</f>
        <v>0</v>
      </c>
      <c r="W1691" s="123">
        <f>IF(tech_base!$T227&gt;W$1465,"",(tech_base!$J227/tech_proj!W351*0.086*$N$110)/(1-tech_proj!W631))</f>
        <v>0</v>
      </c>
      <c r="X1691" s="123">
        <f>IF(tech_base!$T227&gt;X$1465,"",(tech_base!$J227/tech_proj!X351*0.086*$N$110)/(1-tech_proj!X631))</f>
        <v>0</v>
      </c>
      <c r="Y1691" s="123">
        <f>IF(tech_base!$T227&gt;Y$1465,"",(tech_base!$J227/tech_proj!Y351*0.086*$N$110)/(1-tech_proj!Y631))</f>
        <v>0</v>
      </c>
      <c r="Z1691" s="123">
        <f>IF(tech_base!$T227&gt;Z$1465,"",(tech_base!$J227/tech_proj!Z351*0.086*$N$110)/(1-tech_proj!Z631))</f>
        <v>0</v>
      </c>
      <c r="AA1691" s="123">
        <f>IF(tech_base!$T227&gt;AA$1465,"",(tech_base!$J227/tech_proj!AA351*0.086*$N$110)/(1-tech_proj!AA631))</f>
        <v>0</v>
      </c>
      <c r="AB1691" s="123">
        <f>IF(tech_base!$T227&gt;AB$1465,"",(tech_base!$J227/tech_proj!AB351*0.086*$N$110)/(1-tech_proj!AB631))</f>
        <v>0</v>
      </c>
      <c r="AC1691" s="123">
        <f>IF(tech_base!$T227&gt;AC$1465,"",(tech_base!$J227/tech_proj!AC351*0.086*$N$110)/(1-tech_proj!AC631))</f>
        <v>0</v>
      </c>
      <c r="AD1691" s="123">
        <f>IF(tech_base!$T227&gt;AD$1465,"",(tech_base!$J227/tech_proj!AD351*0.086*$N$110)/(1-tech_proj!AD631))</f>
        <v>0</v>
      </c>
      <c r="AE1691" s="123">
        <f>IF(tech_base!$T227&gt;AE$1465,"",(tech_base!$J227/tech_proj!AE351*0.086*$N$110)/(1-tech_proj!AE631))</f>
        <v>0</v>
      </c>
      <c r="AF1691" s="123">
        <f>IF(tech_base!$T227&gt;AF$1465,"",(tech_base!$J227/tech_proj!AF351*0.086*$N$110)/(1-tech_proj!AF631))</f>
        <v>0</v>
      </c>
      <c r="AG1691" s="123">
        <f>IF(tech_base!$T227&gt;AG$1465,"",(tech_base!$J227/tech_proj!AG351*0.086*$N$110)/(1-tech_proj!AG631))</f>
        <v>0</v>
      </c>
      <c r="AH1691" s="123">
        <f>IF(tech_base!$T227&gt;AH$1465,"",(tech_base!$J227/tech_proj!AH351*0.086*$N$110)/(1-tech_proj!AH631))</f>
        <v>0</v>
      </c>
      <c r="AI1691" s="123">
        <f>IF(tech_base!$T227&gt;AI$1465,"",(tech_base!$J227/tech_proj!AI351*0.086*$N$110)/(1-tech_proj!AI631))</f>
        <v>0</v>
      </c>
      <c r="AJ1691" s="123">
        <f>IF(tech_base!$T227&gt;AJ$1465,"",(tech_base!$J227/tech_proj!AJ351*0.086*$N$110)/(1-tech_proj!AJ631))</f>
        <v>0</v>
      </c>
      <c r="AK1691" s="123">
        <f>IF(tech_base!$T227&gt;AK$1465,"",(tech_base!$J227/tech_proj!AK351*0.086*$N$110)/(1-tech_proj!AK631))</f>
        <v>0</v>
      </c>
      <c r="AL1691" s="123">
        <f>IF(tech_base!$T227&gt;AL$1465,"",(tech_base!$J227/tech_proj!AL351*0.086*$N$110)/(1-tech_proj!AL631))</f>
        <v>0</v>
      </c>
      <c r="AM1691" s="123">
        <f>IF(tech_base!$T227&gt;AM$1465,"",(tech_base!$J227/tech_proj!AM351*0.086*$N$110)/(1-tech_proj!AM631))</f>
        <v>0</v>
      </c>
      <c r="AN1691" s="123">
        <f>IF(tech_base!$T227&gt;AN$1465,"",(tech_base!$J227/tech_proj!AN351*0.086*$N$110)/(1-tech_proj!AN631))</f>
        <v>0</v>
      </c>
      <c r="AO1691" s="123">
        <f>IF(tech_base!$T227&gt;AO$1465,"",(tech_base!$J227/tech_proj!AO351*0.086*$N$110)/(1-tech_proj!AO631))</f>
        <v>0</v>
      </c>
      <c r="AP1691" s="123">
        <f>IF(tech_base!$T227&gt;AP$1465,"",(tech_base!$J227/tech_proj!AP351*0.086*$N$110)/(1-tech_proj!AP631))</f>
        <v>0</v>
      </c>
      <c r="AQ1691" s="123">
        <f>IF(tech_base!$T227&gt;AQ$1465,"",(tech_base!$J227/tech_proj!AQ351*0.086*$N$110)/(1-tech_proj!AQ631))</f>
        <v>0</v>
      </c>
      <c r="AR1691" s="123">
        <f>IF(tech_base!$T227&gt;AR$1465,"",(tech_base!$J227/tech_proj!AR351*0.086*$N$110)/(1-tech_proj!AR631))</f>
        <v>0</v>
      </c>
      <c r="AS1691" s="123">
        <f>IF(tech_base!$T227&gt;AS$1465,"",(tech_base!$J227/tech_proj!AS351*0.086*$N$110)/(1-tech_proj!AS631))</f>
        <v>0</v>
      </c>
      <c r="AT1691" s="123">
        <f>IF(tech_base!$T227&gt;AT$1465,"",(tech_base!$J227/tech_proj!AT351*0.086*$N$110)/(1-tech_proj!AT631))</f>
        <v>0</v>
      </c>
      <c r="AU1691" s="123">
        <f>IF(tech_base!$T227&gt;AU$1465,"",(tech_base!$J227/tech_proj!AU351*0.086*$N$110)/(1-tech_proj!AU631))</f>
        <v>0</v>
      </c>
      <c r="AV1691" s="123">
        <f>IF(tech_base!$T227&gt;AV$1465,"",(tech_base!$J227/tech_proj!AV351*0.086*$N$110)/(1-tech_proj!AV631))</f>
        <v>0</v>
      </c>
      <c r="AW1691" s="123">
        <f>IF(tech_base!$T227&gt;AW$1465,"",(tech_base!$J227/tech_proj!AW351*0.086*$N$110)/(1-tech_proj!AW631))</f>
        <v>0</v>
      </c>
      <c r="AX1691" s="124">
        <f>IF(tech_base!$T227&gt;AX$1465,"",(tech_base!$J227/tech_proj!AX351*0.086*$N$110)/(1-tech_proj!AX631))</f>
        <v>0</v>
      </c>
    </row>
    <row r="1692" spans="1:50" x14ac:dyDescent="0.25">
      <c r="A1692" s="356"/>
      <c r="B1692" s="376"/>
      <c r="C1692" s="378"/>
      <c r="D1692" s="2" t="s">
        <v>8</v>
      </c>
      <c r="E1692" s="160" t="str">
        <f>A1667&amp;"/"&amp;B1687&amp;"/"&amp;C1691&amp;"/"&amp;D1692</f>
        <v>Biomass and waste fired power plants/Steam turbine/CHP/M</v>
      </c>
      <c r="F1692" s="76" t="str">
        <f>A1667</f>
        <v>Biomass and waste fired power plants</v>
      </c>
      <c r="G1692" s="76" t="str">
        <f>B1687</f>
        <v>Steam turbine</v>
      </c>
      <c r="H1692" s="76" t="str">
        <f>C1691</f>
        <v>CHP</v>
      </c>
      <c r="I1692" s="161" t="str">
        <f t="shared" si="380"/>
        <v>M</v>
      </c>
      <c r="J1692" s="119">
        <f>IF(tech_base!$T228&gt;J$1465,"",(tech_base!$J228/tech_proj!J352*0.086*$N$110)/(1-tech_proj!J632))</f>
        <v>0</v>
      </c>
      <c r="K1692" s="119">
        <f>IF(tech_base!$T228&gt;K$1465,"",(tech_base!$J228/tech_proj!K352*0.086*$N$110)/(1-tech_proj!K632))</f>
        <v>0</v>
      </c>
      <c r="L1692" s="119">
        <f>IF(tech_base!$T228&gt;L$1465,"",(tech_base!$J228/tech_proj!L352*0.086*$N$110)/(1-tech_proj!L632))</f>
        <v>0</v>
      </c>
      <c r="M1692" s="119">
        <f>IF(tech_base!$T228&gt;M$1465,"",(tech_base!$J228/tech_proj!M352*0.086*$N$110)/(1-tech_proj!M632))</f>
        <v>0</v>
      </c>
      <c r="N1692" s="119">
        <f>IF(tech_base!$T228&gt;N$1465,"",(tech_base!$J228/tech_proj!N352*0.086*$N$110)/(1-tech_proj!N632))</f>
        <v>0</v>
      </c>
      <c r="O1692" s="119">
        <f>IF(tech_base!$T228&gt;O$1465,"",(tech_base!$J228/tech_proj!O352*0.086*$N$110)/(1-tech_proj!O632))</f>
        <v>0</v>
      </c>
      <c r="P1692" s="119">
        <f>IF(tech_base!$T228&gt;P$1465,"",(tech_base!$J228/tech_proj!P352*0.086*$N$110)/(1-tech_proj!P632))</f>
        <v>0</v>
      </c>
      <c r="Q1692" s="119">
        <f>IF(tech_base!$T228&gt;Q$1465,"",(tech_base!$J228/tech_proj!Q352*0.086*$N$110)/(1-tech_proj!Q632))</f>
        <v>0</v>
      </c>
      <c r="R1692" s="119">
        <f>IF(tech_base!$T228&gt;R$1465,"",(tech_base!$J228/tech_proj!R352*0.086*$N$110)/(1-tech_proj!R632))</f>
        <v>0</v>
      </c>
      <c r="S1692" s="119">
        <f>IF(tech_base!$T228&gt;S$1465,"",(tech_base!$J228/tech_proj!S352*0.086*$N$110)/(1-tech_proj!S632))</f>
        <v>0</v>
      </c>
      <c r="T1692" s="119">
        <f>IF(tech_base!$T228&gt;T$1465,"",(tech_base!$J228/tech_proj!T352*0.086*$N$110)/(1-tech_proj!T632))</f>
        <v>0</v>
      </c>
      <c r="U1692" s="119">
        <f>IF(tech_base!$T228&gt;U$1465,"",(tech_base!$J228/tech_proj!U352*0.086*$N$110)/(1-tech_proj!U632))</f>
        <v>0</v>
      </c>
      <c r="V1692" s="119">
        <f>IF(tech_base!$T228&gt;V$1465,"",(tech_base!$J228/tech_proj!V352*0.086*$N$110)/(1-tech_proj!V632))</f>
        <v>0</v>
      </c>
      <c r="W1692" s="119">
        <f>IF(tech_base!$T228&gt;W$1465,"",(tech_base!$J228/tech_proj!W352*0.086*$N$110)/(1-tech_proj!W632))</f>
        <v>0</v>
      </c>
      <c r="X1692" s="119">
        <f>IF(tech_base!$T228&gt;X$1465,"",(tech_base!$J228/tech_proj!X352*0.086*$N$110)/(1-tech_proj!X632))</f>
        <v>0</v>
      </c>
      <c r="Y1692" s="119">
        <f>IF(tech_base!$T228&gt;Y$1465,"",(tech_base!$J228/tech_proj!Y352*0.086*$N$110)/(1-tech_proj!Y632))</f>
        <v>0</v>
      </c>
      <c r="Z1692" s="119">
        <f>IF(tech_base!$T228&gt;Z$1465,"",(tech_base!$J228/tech_proj!Z352*0.086*$N$110)/(1-tech_proj!Z632))</f>
        <v>0</v>
      </c>
      <c r="AA1692" s="119">
        <f>IF(tech_base!$T228&gt;AA$1465,"",(tech_base!$J228/tech_proj!AA352*0.086*$N$110)/(1-tech_proj!AA632))</f>
        <v>0</v>
      </c>
      <c r="AB1692" s="119">
        <f>IF(tech_base!$T228&gt;AB$1465,"",(tech_base!$J228/tech_proj!AB352*0.086*$N$110)/(1-tech_proj!AB632))</f>
        <v>0</v>
      </c>
      <c r="AC1692" s="119">
        <f>IF(tech_base!$T228&gt;AC$1465,"",(tech_base!$J228/tech_proj!AC352*0.086*$N$110)/(1-tech_proj!AC632))</f>
        <v>0</v>
      </c>
      <c r="AD1692" s="119">
        <f>IF(tech_base!$T228&gt;AD$1465,"",(tech_base!$J228/tech_proj!AD352*0.086*$N$110)/(1-tech_proj!AD632))</f>
        <v>0</v>
      </c>
      <c r="AE1692" s="119">
        <f>IF(tech_base!$T228&gt;AE$1465,"",(tech_base!$J228/tech_proj!AE352*0.086*$N$110)/(1-tech_proj!AE632))</f>
        <v>0</v>
      </c>
      <c r="AF1692" s="119">
        <f>IF(tech_base!$T228&gt;AF$1465,"",(tech_base!$J228/tech_proj!AF352*0.086*$N$110)/(1-tech_proj!AF632))</f>
        <v>0</v>
      </c>
      <c r="AG1692" s="119">
        <f>IF(tech_base!$T228&gt;AG$1465,"",(tech_base!$J228/tech_proj!AG352*0.086*$N$110)/(1-tech_proj!AG632))</f>
        <v>0</v>
      </c>
      <c r="AH1692" s="119">
        <f>IF(tech_base!$T228&gt;AH$1465,"",(tech_base!$J228/tech_proj!AH352*0.086*$N$110)/(1-tech_proj!AH632))</f>
        <v>0</v>
      </c>
      <c r="AI1692" s="119">
        <f>IF(tech_base!$T228&gt;AI$1465,"",(tech_base!$J228/tech_proj!AI352*0.086*$N$110)/(1-tech_proj!AI632))</f>
        <v>0</v>
      </c>
      <c r="AJ1692" s="119">
        <f>IF(tech_base!$T228&gt;AJ$1465,"",(tech_base!$J228/tech_proj!AJ352*0.086*$N$110)/(1-tech_proj!AJ632))</f>
        <v>0</v>
      </c>
      <c r="AK1692" s="119">
        <f>IF(tech_base!$T228&gt;AK$1465,"",(tech_base!$J228/tech_proj!AK352*0.086*$N$110)/(1-tech_proj!AK632))</f>
        <v>0</v>
      </c>
      <c r="AL1692" s="119">
        <f>IF(tech_base!$T228&gt;AL$1465,"",(tech_base!$J228/tech_proj!AL352*0.086*$N$110)/(1-tech_proj!AL632))</f>
        <v>0</v>
      </c>
      <c r="AM1692" s="119">
        <f>IF(tech_base!$T228&gt;AM$1465,"",(tech_base!$J228/tech_proj!AM352*0.086*$N$110)/(1-tech_proj!AM632))</f>
        <v>0</v>
      </c>
      <c r="AN1692" s="119">
        <f>IF(tech_base!$T228&gt;AN$1465,"",(tech_base!$J228/tech_proj!AN352*0.086*$N$110)/(1-tech_proj!AN632))</f>
        <v>0</v>
      </c>
      <c r="AO1692" s="119">
        <f>IF(tech_base!$T228&gt;AO$1465,"",(tech_base!$J228/tech_proj!AO352*0.086*$N$110)/(1-tech_proj!AO632))</f>
        <v>0</v>
      </c>
      <c r="AP1692" s="119">
        <f>IF(tech_base!$T228&gt;AP$1465,"",(tech_base!$J228/tech_proj!AP352*0.086*$N$110)/(1-tech_proj!AP632))</f>
        <v>0</v>
      </c>
      <c r="AQ1692" s="119">
        <f>IF(tech_base!$T228&gt;AQ$1465,"",(tech_base!$J228/tech_proj!AQ352*0.086*$N$110)/(1-tech_proj!AQ632))</f>
        <v>0</v>
      </c>
      <c r="AR1692" s="119">
        <f>IF(tech_base!$T228&gt;AR$1465,"",(tech_base!$J228/tech_proj!AR352*0.086*$N$110)/(1-tech_proj!AR632))</f>
        <v>0</v>
      </c>
      <c r="AS1692" s="119">
        <f>IF(tech_base!$T228&gt;AS$1465,"",(tech_base!$J228/tech_proj!AS352*0.086*$N$110)/(1-tech_proj!AS632))</f>
        <v>0</v>
      </c>
      <c r="AT1692" s="119">
        <f>IF(tech_base!$T228&gt;AT$1465,"",(tech_base!$J228/tech_proj!AT352*0.086*$N$110)/(1-tech_proj!AT632))</f>
        <v>0</v>
      </c>
      <c r="AU1692" s="119">
        <f>IF(tech_base!$T228&gt;AU$1465,"",(tech_base!$J228/tech_proj!AU352*0.086*$N$110)/(1-tech_proj!AU632))</f>
        <v>0</v>
      </c>
      <c r="AV1692" s="119">
        <f>IF(tech_base!$T228&gt;AV$1465,"",(tech_base!$J228/tech_proj!AV352*0.086*$N$110)/(1-tech_proj!AV632))</f>
        <v>0</v>
      </c>
      <c r="AW1692" s="119">
        <f>IF(tech_base!$T228&gt;AW$1465,"",(tech_base!$J228/tech_proj!AW352*0.086*$N$110)/(1-tech_proj!AW632))</f>
        <v>0</v>
      </c>
      <c r="AX1692" s="120">
        <f>IF(tech_base!$T228&gt;AX$1465,"",(tech_base!$J228/tech_proj!AX352*0.086*$N$110)/(1-tech_proj!AX632))</f>
        <v>0</v>
      </c>
    </row>
    <row r="1693" spans="1:50" x14ac:dyDescent="0.25">
      <c r="A1693" s="356"/>
      <c r="B1693" s="376"/>
      <c r="C1693" s="378"/>
      <c r="D1693" s="2" t="s">
        <v>10</v>
      </c>
      <c r="E1693" s="160" t="str">
        <f>A1667&amp;"/"&amp;B1687&amp;"/"&amp;C1691&amp;"/"&amp;D1693</f>
        <v>Biomass and waste fired power plants/Steam turbine/CHP/S</v>
      </c>
      <c r="F1693" s="76" t="str">
        <f>A1667</f>
        <v>Biomass and waste fired power plants</v>
      </c>
      <c r="G1693" s="76" t="str">
        <f>B1687</f>
        <v>Steam turbine</v>
      </c>
      <c r="H1693" s="76" t="str">
        <f>C1691</f>
        <v>CHP</v>
      </c>
      <c r="I1693" s="161" t="str">
        <f t="shared" si="380"/>
        <v>S</v>
      </c>
      <c r="J1693" s="119">
        <f>IF(tech_base!$T229&gt;J$1465,"",(tech_base!$J229/tech_proj!J353*0.086*$N$110)/(1-tech_proj!J633))</f>
        <v>0</v>
      </c>
      <c r="K1693" s="119">
        <f>IF(tech_base!$T229&gt;K$1465,"",(tech_base!$J229/tech_proj!K353*0.086*$N$110)/(1-tech_proj!K633))</f>
        <v>0</v>
      </c>
      <c r="L1693" s="119">
        <f>IF(tech_base!$T229&gt;L$1465,"",(tech_base!$J229/tech_proj!L353*0.086*$N$110)/(1-tech_proj!L633))</f>
        <v>0</v>
      </c>
      <c r="M1693" s="119">
        <f>IF(tech_base!$T229&gt;M$1465,"",(tech_base!$J229/tech_proj!M353*0.086*$N$110)/(1-tech_proj!M633))</f>
        <v>0</v>
      </c>
      <c r="N1693" s="119">
        <f>IF(tech_base!$T229&gt;N$1465,"",(tech_base!$J229/tech_proj!N353*0.086*$N$110)/(1-tech_proj!N633))</f>
        <v>0</v>
      </c>
      <c r="O1693" s="119">
        <f>IF(tech_base!$T229&gt;O$1465,"",(tech_base!$J229/tech_proj!O353*0.086*$N$110)/(1-tech_proj!O633))</f>
        <v>0</v>
      </c>
      <c r="P1693" s="119">
        <f>IF(tech_base!$T229&gt;P$1465,"",(tech_base!$J229/tech_proj!P353*0.086*$N$110)/(1-tech_proj!P633))</f>
        <v>0</v>
      </c>
      <c r="Q1693" s="119">
        <f>IF(tech_base!$T229&gt;Q$1465,"",(tech_base!$J229/tech_proj!Q353*0.086*$N$110)/(1-tech_proj!Q633))</f>
        <v>0</v>
      </c>
      <c r="R1693" s="119">
        <f>IF(tech_base!$T229&gt;R$1465,"",(tech_base!$J229/tech_proj!R353*0.086*$N$110)/(1-tech_proj!R633))</f>
        <v>0</v>
      </c>
      <c r="S1693" s="119">
        <f>IF(tech_base!$T229&gt;S$1465,"",(tech_base!$J229/tech_proj!S353*0.086*$N$110)/(1-tech_proj!S633))</f>
        <v>0</v>
      </c>
      <c r="T1693" s="119">
        <f>IF(tech_base!$T229&gt;T$1465,"",(tech_base!$J229/tech_proj!T353*0.086*$N$110)/(1-tech_proj!T633))</f>
        <v>0</v>
      </c>
      <c r="U1693" s="119">
        <f>IF(tech_base!$T229&gt;U$1465,"",(tech_base!$J229/tech_proj!U353*0.086*$N$110)/(1-tech_proj!U633))</f>
        <v>0</v>
      </c>
      <c r="V1693" s="119">
        <f>IF(tech_base!$T229&gt;V$1465,"",(tech_base!$J229/tech_proj!V353*0.086*$N$110)/(1-tech_proj!V633))</f>
        <v>0</v>
      </c>
      <c r="W1693" s="119">
        <f>IF(tech_base!$T229&gt;W$1465,"",(tech_base!$J229/tech_proj!W353*0.086*$N$110)/(1-tech_proj!W633))</f>
        <v>0</v>
      </c>
      <c r="X1693" s="119">
        <f>IF(tech_base!$T229&gt;X$1465,"",(tech_base!$J229/tech_proj!X353*0.086*$N$110)/(1-tech_proj!X633))</f>
        <v>0</v>
      </c>
      <c r="Y1693" s="119">
        <f>IF(tech_base!$T229&gt;Y$1465,"",(tech_base!$J229/tech_proj!Y353*0.086*$N$110)/(1-tech_proj!Y633))</f>
        <v>0</v>
      </c>
      <c r="Z1693" s="119">
        <f>IF(tech_base!$T229&gt;Z$1465,"",(tech_base!$J229/tech_proj!Z353*0.086*$N$110)/(1-tech_proj!Z633))</f>
        <v>0</v>
      </c>
      <c r="AA1693" s="119">
        <f>IF(tech_base!$T229&gt;AA$1465,"",(tech_base!$J229/tech_proj!AA353*0.086*$N$110)/(1-tech_proj!AA633))</f>
        <v>0</v>
      </c>
      <c r="AB1693" s="119">
        <f>IF(tech_base!$T229&gt;AB$1465,"",(tech_base!$J229/tech_proj!AB353*0.086*$N$110)/(1-tech_proj!AB633))</f>
        <v>0</v>
      </c>
      <c r="AC1693" s="119">
        <f>IF(tech_base!$T229&gt;AC$1465,"",(tech_base!$J229/tech_proj!AC353*0.086*$N$110)/(1-tech_proj!AC633))</f>
        <v>0</v>
      </c>
      <c r="AD1693" s="119">
        <f>IF(tech_base!$T229&gt;AD$1465,"",(tech_base!$J229/tech_proj!AD353*0.086*$N$110)/(1-tech_proj!AD633))</f>
        <v>0</v>
      </c>
      <c r="AE1693" s="119">
        <f>IF(tech_base!$T229&gt;AE$1465,"",(tech_base!$J229/tech_proj!AE353*0.086*$N$110)/(1-tech_proj!AE633))</f>
        <v>0</v>
      </c>
      <c r="AF1693" s="119">
        <f>IF(tech_base!$T229&gt;AF$1465,"",(tech_base!$J229/tech_proj!AF353*0.086*$N$110)/(1-tech_proj!AF633))</f>
        <v>0</v>
      </c>
      <c r="AG1693" s="119">
        <f>IF(tech_base!$T229&gt;AG$1465,"",(tech_base!$J229/tech_proj!AG353*0.086*$N$110)/(1-tech_proj!AG633))</f>
        <v>0</v>
      </c>
      <c r="AH1693" s="119">
        <f>IF(tech_base!$T229&gt;AH$1465,"",(tech_base!$J229/tech_proj!AH353*0.086*$N$110)/(1-tech_proj!AH633))</f>
        <v>0</v>
      </c>
      <c r="AI1693" s="119">
        <f>IF(tech_base!$T229&gt;AI$1465,"",(tech_base!$J229/tech_proj!AI353*0.086*$N$110)/(1-tech_proj!AI633))</f>
        <v>0</v>
      </c>
      <c r="AJ1693" s="119">
        <f>IF(tech_base!$T229&gt;AJ$1465,"",(tech_base!$J229/tech_proj!AJ353*0.086*$N$110)/(1-tech_proj!AJ633))</f>
        <v>0</v>
      </c>
      <c r="AK1693" s="119">
        <f>IF(tech_base!$T229&gt;AK$1465,"",(tech_base!$J229/tech_proj!AK353*0.086*$N$110)/(1-tech_proj!AK633))</f>
        <v>0</v>
      </c>
      <c r="AL1693" s="119">
        <f>IF(tech_base!$T229&gt;AL$1465,"",(tech_base!$J229/tech_proj!AL353*0.086*$N$110)/(1-tech_proj!AL633))</f>
        <v>0</v>
      </c>
      <c r="AM1693" s="119">
        <f>IF(tech_base!$T229&gt;AM$1465,"",(tech_base!$J229/tech_proj!AM353*0.086*$N$110)/(1-tech_proj!AM633))</f>
        <v>0</v>
      </c>
      <c r="AN1693" s="119">
        <f>IF(tech_base!$T229&gt;AN$1465,"",(tech_base!$J229/tech_proj!AN353*0.086*$N$110)/(1-tech_proj!AN633))</f>
        <v>0</v>
      </c>
      <c r="AO1693" s="119">
        <f>IF(tech_base!$T229&gt;AO$1465,"",(tech_base!$J229/tech_proj!AO353*0.086*$N$110)/(1-tech_proj!AO633))</f>
        <v>0</v>
      </c>
      <c r="AP1693" s="119">
        <f>IF(tech_base!$T229&gt;AP$1465,"",(tech_base!$J229/tech_proj!AP353*0.086*$N$110)/(1-tech_proj!AP633))</f>
        <v>0</v>
      </c>
      <c r="AQ1693" s="119">
        <f>IF(tech_base!$T229&gt;AQ$1465,"",(tech_base!$J229/tech_proj!AQ353*0.086*$N$110)/(1-tech_proj!AQ633))</f>
        <v>0</v>
      </c>
      <c r="AR1693" s="119">
        <f>IF(tech_base!$T229&gt;AR$1465,"",(tech_base!$J229/tech_proj!AR353*0.086*$N$110)/(1-tech_proj!AR633))</f>
        <v>0</v>
      </c>
      <c r="AS1693" s="119">
        <f>IF(tech_base!$T229&gt;AS$1465,"",(tech_base!$J229/tech_proj!AS353*0.086*$N$110)/(1-tech_proj!AS633))</f>
        <v>0</v>
      </c>
      <c r="AT1693" s="119">
        <f>IF(tech_base!$T229&gt;AT$1465,"",(tech_base!$J229/tech_proj!AT353*0.086*$N$110)/(1-tech_proj!AT633))</f>
        <v>0</v>
      </c>
      <c r="AU1693" s="119">
        <f>IF(tech_base!$T229&gt;AU$1465,"",(tech_base!$J229/tech_proj!AU353*0.086*$N$110)/(1-tech_proj!AU633))</f>
        <v>0</v>
      </c>
      <c r="AV1693" s="119">
        <f>IF(tech_base!$T229&gt;AV$1465,"",(tech_base!$J229/tech_proj!AV353*0.086*$N$110)/(1-tech_proj!AV633))</f>
        <v>0</v>
      </c>
      <c r="AW1693" s="119">
        <f>IF(tech_base!$T229&gt;AW$1465,"",(tech_base!$J229/tech_proj!AW353*0.086*$N$110)/(1-tech_proj!AW633))</f>
        <v>0</v>
      </c>
      <c r="AX1693" s="120">
        <f>IF(tech_base!$T229&gt;AX$1465,"",(tech_base!$J229/tech_proj!AX353*0.086*$N$110)/(1-tech_proj!AX633))</f>
        <v>0</v>
      </c>
    </row>
    <row r="1694" spans="1:50" x14ac:dyDescent="0.25">
      <c r="A1694" s="356"/>
      <c r="B1694" s="376"/>
      <c r="C1694" s="379"/>
      <c r="D1694" s="59" t="s">
        <v>20</v>
      </c>
      <c r="E1694" s="166" t="str">
        <f>A1667&amp;"/"&amp;B1687&amp;"/"&amp;C1691&amp;"/"&amp;D1694</f>
        <v>Biomass and waste fired power plants/Steam turbine/CHP/XS</v>
      </c>
      <c r="F1694" s="79" t="str">
        <f>A1667</f>
        <v>Biomass and waste fired power plants</v>
      </c>
      <c r="G1694" s="79" t="str">
        <f>B1687</f>
        <v>Steam turbine</v>
      </c>
      <c r="H1694" s="79" t="str">
        <f>C1691</f>
        <v>CHP</v>
      </c>
      <c r="I1694" s="167" t="str">
        <f t="shared" si="380"/>
        <v>XS</v>
      </c>
      <c r="J1694" s="125">
        <f>IF(tech_base!$T230&gt;J$1465,"",(tech_base!$J230/tech_proj!J354*0.086*$N$110)/(1-tech_proj!J634))</f>
        <v>0</v>
      </c>
      <c r="K1694" s="125">
        <f>IF(tech_base!$T230&gt;K$1465,"",(tech_base!$J230/tech_proj!K354*0.086*$N$110)/(1-tech_proj!K634))</f>
        <v>0</v>
      </c>
      <c r="L1694" s="125">
        <f>IF(tech_base!$T230&gt;L$1465,"",(tech_base!$J230/tech_proj!L354*0.086*$N$110)/(1-tech_proj!L634))</f>
        <v>0</v>
      </c>
      <c r="M1694" s="125">
        <f>IF(tech_base!$T230&gt;M$1465,"",(tech_base!$J230/tech_proj!M354*0.086*$N$110)/(1-tech_proj!M634))</f>
        <v>0</v>
      </c>
      <c r="N1694" s="125">
        <f>IF(tech_base!$T230&gt;N$1465,"",(tech_base!$J230/tech_proj!N354*0.086*$N$110)/(1-tech_proj!N634))</f>
        <v>0</v>
      </c>
      <c r="O1694" s="125">
        <f>IF(tech_base!$T230&gt;O$1465,"",(tech_base!$J230/tech_proj!O354*0.086*$N$110)/(1-tech_proj!O634))</f>
        <v>0</v>
      </c>
      <c r="P1694" s="125">
        <f>IF(tech_base!$T230&gt;P$1465,"",(tech_base!$J230/tech_proj!P354*0.086*$N$110)/(1-tech_proj!P634))</f>
        <v>0</v>
      </c>
      <c r="Q1694" s="125">
        <f>IF(tech_base!$T230&gt;Q$1465,"",(tech_base!$J230/tech_proj!Q354*0.086*$N$110)/(1-tech_proj!Q634))</f>
        <v>0</v>
      </c>
      <c r="R1694" s="125">
        <f>IF(tech_base!$T230&gt;R$1465,"",(tech_base!$J230/tech_proj!R354*0.086*$N$110)/(1-tech_proj!R634))</f>
        <v>0</v>
      </c>
      <c r="S1694" s="125">
        <f>IF(tech_base!$T230&gt;S$1465,"",(tech_base!$J230/tech_proj!S354*0.086*$N$110)/(1-tech_proj!S634))</f>
        <v>0</v>
      </c>
      <c r="T1694" s="125">
        <f>IF(tech_base!$T230&gt;T$1465,"",(tech_base!$J230/tech_proj!T354*0.086*$N$110)/(1-tech_proj!T634))</f>
        <v>0</v>
      </c>
      <c r="U1694" s="125">
        <f>IF(tech_base!$T230&gt;U$1465,"",(tech_base!$J230/tech_proj!U354*0.086*$N$110)/(1-tech_proj!U634))</f>
        <v>0</v>
      </c>
      <c r="V1694" s="125">
        <f>IF(tech_base!$T230&gt;V$1465,"",(tech_base!$J230/tech_proj!V354*0.086*$N$110)/(1-tech_proj!V634))</f>
        <v>0</v>
      </c>
      <c r="W1694" s="125">
        <f>IF(tech_base!$T230&gt;W$1465,"",(tech_base!$J230/tech_proj!W354*0.086*$N$110)/(1-tech_proj!W634))</f>
        <v>0</v>
      </c>
      <c r="X1694" s="125">
        <f>IF(tech_base!$T230&gt;X$1465,"",(tech_base!$J230/tech_proj!X354*0.086*$N$110)/(1-tech_proj!X634))</f>
        <v>0</v>
      </c>
      <c r="Y1694" s="125">
        <f>IF(tech_base!$T230&gt;Y$1465,"",(tech_base!$J230/tech_proj!Y354*0.086*$N$110)/(1-tech_proj!Y634))</f>
        <v>0</v>
      </c>
      <c r="Z1694" s="125">
        <f>IF(tech_base!$T230&gt;Z$1465,"",(tech_base!$J230/tech_proj!Z354*0.086*$N$110)/(1-tech_proj!Z634))</f>
        <v>0</v>
      </c>
      <c r="AA1694" s="125">
        <f>IF(tech_base!$T230&gt;AA$1465,"",(tech_base!$J230/tech_proj!AA354*0.086*$N$110)/(1-tech_proj!AA634))</f>
        <v>0</v>
      </c>
      <c r="AB1694" s="125">
        <f>IF(tech_base!$T230&gt;AB$1465,"",(tech_base!$J230/tech_proj!AB354*0.086*$N$110)/(1-tech_proj!AB634))</f>
        <v>0</v>
      </c>
      <c r="AC1694" s="125">
        <f>IF(tech_base!$T230&gt;AC$1465,"",(tech_base!$J230/tech_proj!AC354*0.086*$N$110)/(1-tech_proj!AC634))</f>
        <v>0</v>
      </c>
      <c r="AD1694" s="125">
        <f>IF(tech_base!$T230&gt;AD$1465,"",(tech_base!$J230/tech_proj!AD354*0.086*$N$110)/(1-tech_proj!AD634))</f>
        <v>0</v>
      </c>
      <c r="AE1694" s="125">
        <f>IF(tech_base!$T230&gt;AE$1465,"",(tech_base!$J230/tech_proj!AE354*0.086*$N$110)/(1-tech_proj!AE634))</f>
        <v>0</v>
      </c>
      <c r="AF1694" s="125">
        <f>IF(tech_base!$T230&gt;AF$1465,"",(tech_base!$J230/tech_proj!AF354*0.086*$N$110)/(1-tech_proj!AF634))</f>
        <v>0</v>
      </c>
      <c r="AG1694" s="125">
        <f>IF(tech_base!$T230&gt;AG$1465,"",(tech_base!$J230/tech_proj!AG354*0.086*$N$110)/(1-tech_proj!AG634))</f>
        <v>0</v>
      </c>
      <c r="AH1694" s="125">
        <f>IF(tech_base!$T230&gt;AH$1465,"",(tech_base!$J230/tech_proj!AH354*0.086*$N$110)/(1-tech_proj!AH634))</f>
        <v>0</v>
      </c>
      <c r="AI1694" s="125">
        <f>IF(tech_base!$T230&gt;AI$1465,"",(tech_base!$J230/tech_proj!AI354*0.086*$N$110)/(1-tech_proj!AI634))</f>
        <v>0</v>
      </c>
      <c r="AJ1694" s="125">
        <f>IF(tech_base!$T230&gt;AJ$1465,"",(tech_base!$J230/tech_proj!AJ354*0.086*$N$110)/(1-tech_proj!AJ634))</f>
        <v>0</v>
      </c>
      <c r="AK1694" s="125">
        <f>IF(tech_base!$T230&gt;AK$1465,"",(tech_base!$J230/tech_proj!AK354*0.086*$N$110)/(1-tech_proj!AK634))</f>
        <v>0</v>
      </c>
      <c r="AL1694" s="125">
        <f>IF(tech_base!$T230&gt;AL$1465,"",(tech_base!$J230/tech_proj!AL354*0.086*$N$110)/(1-tech_proj!AL634))</f>
        <v>0</v>
      </c>
      <c r="AM1694" s="125">
        <f>IF(tech_base!$T230&gt;AM$1465,"",(tech_base!$J230/tech_proj!AM354*0.086*$N$110)/(1-tech_proj!AM634))</f>
        <v>0</v>
      </c>
      <c r="AN1694" s="125">
        <f>IF(tech_base!$T230&gt;AN$1465,"",(tech_base!$J230/tech_proj!AN354*0.086*$N$110)/(1-tech_proj!AN634))</f>
        <v>0</v>
      </c>
      <c r="AO1694" s="125">
        <f>IF(tech_base!$T230&gt;AO$1465,"",(tech_base!$J230/tech_proj!AO354*0.086*$N$110)/(1-tech_proj!AO634))</f>
        <v>0</v>
      </c>
      <c r="AP1694" s="125">
        <f>IF(tech_base!$T230&gt;AP$1465,"",(tech_base!$J230/tech_proj!AP354*0.086*$N$110)/(1-tech_proj!AP634))</f>
        <v>0</v>
      </c>
      <c r="AQ1694" s="125">
        <f>IF(tech_base!$T230&gt;AQ$1465,"",(tech_base!$J230/tech_proj!AQ354*0.086*$N$110)/(1-tech_proj!AQ634))</f>
        <v>0</v>
      </c>
      <c r="AR1694" s="125">
        <f>IF(tech_base!$T230&gt;AR$1465,"",(tech_base!$J230/tech_proj!AR354*0.086*$N$110)/(1-tech_proj!AR634))</f>
        <v>0</v>
      </c>
      <c r="AS1694" s="125">
        <f>IF(tech_base!$T230&gt;AS$1465,"",(tech_base!$J230/tech_proj!AS354*0.086*$N$110)/(1-tech_proj!AS634))</f>
        <v>0</v>
      </c>
      <c r="AT1694" s="125">
        <f>IF(tech_base!$T230&gt;AT$1465,"",(tech_base!$J230/tech_proj!AT354*0.086*$N$110)/(1-tech_proj!AT634))</f>
        <v>0</v>
      </c>
      <c r="AU1694" s="125">
        <f>IF(tech_base!$T230&gt;AU$1465,"",(tech_base!$J230/tech_proj!AU354*0.086*$N$110)/(1-tech_proj!AU634))</f>
        <v>0</v>
      </c>
      <c r="AV1694" s="125">
        <f>IF(tech_base!$T230&gt;AV$1465,"",(tech_base!$J230/tech_proj!AV354*0.086*$N$110)/(1-tech_proj!AV634))</f>
        <v>0</v>
      </c>
      <c r="AW1694" s="125">
        <f>IF(tech_base!$T230&gt;AW$1465,"",(tech_base!$J230/tech_proj!AW354*0.086*$N$110)/(1-tech_proj!AW634))</f>
        <v>0</v>
      </c>
      <c r="AX1694" s="126">
        <f>IF(tech_base!$T230&gt;AX$1465,"",(tech_base!$J230/tech_proj!AX354*0.086*$N$110)/(1-tech_proj!AX634))</f>
        <v>0</v>
      </c>
    </row>
    <row r="1695" spans="1:50" x14ac:dyDescent="0.25">
      <c r="A1695" s="356"/>
      <c r="B1695" s="376"/>
      <c r="C1695" s="361" t="s">
        <v>15</v>
      </c>
      <c r="D1695" s="58" t="s">
        <v>7</v>
      </c>
      <c r="E1695" s="164" t="str">
        <f>A1667&amp;"/"&amp;B1687&amp;"/"&amp;C1695&amp;"/"&amp;D1695</f>
        <v>Biomass and waste fired power plants/Steam turbine/Electricity only with CCS/L</v>
      </c>
      <c r="F1695" s="78" t="str">
        <f>A1667</f>
        <v>Biomass and waste fired power plants</v>
      </c>
      <c r="G1695" s="78" t="str">
        <f>B1687</f>
        <v>Steam turbine</v>
      </c>
      <c r="H1695" s="78" t="str">
        <f>C1695</f>
        <v>Electricity only with CCS</v>
      </c>
      <c r="I1695" s="165" t="str">
        <f t="shared" si="380"/>
        <v>L</v>
      </c>
      <c r="J1695" s="123" t="str">
        <f>IF(tech_base!$T231&gt;J$1465,"",(tech_base!$J231/tech_proj!J355*0.086*$N$110)/(1-tech_proj!J635))</f>
        <v/>
      </c>
      <c r="K1695" s="123" t="str">
        <f>IF(tech_base!$T231&gt;K$1465,"",(tech_base!$J231/tech_proj!K355*0.086*$N$110)/(1-tech_proj!K635))</f>
        <v/>
      </c>
      <c r="L1695" s="123" t="str">
        <f>IF(tech_base!$T231&gt;L$1465,"",(tech_base!$J231/tech_proj!L355*0.086*$N$110)/(1-tech_proj!L635))</f>
        <v/>
      </c>
      <c r="M1695" s="123" t="str">
        <f>IF(tech_base!$T231&gt;M$1465,"",(tech_base!$J231/tech_proj!M355*0.086*$N$110)/(1-tech_proj!M635))</f>
        <v/>
      </c>
      <c r="N1695" s="123" t="str">
        <f>IF(tech_base!$T231&gt;N$1465,"",(tech_base!$J231/tech_proj!N355*0.086*$N$110)/(1-tech_proj!N635))</f>
        <v/>
      </c>
      <c r="O1695" s="123" t="str">
        <f>IF(tech_base!$T231&gt;O$1465,"",(tech_base!$J231/tech_proj!O355*0.086*$N$110)/(1-tech_proj!O635))</f>
        <v/>
      </c>
      <c r="P1695" s="123" t="str">
        <f>IF(tech_base!$T231&gt;P$1465,"",(tech_base!$J231/tech_proj!P355*0.086*$N$110)/(1-tech_proj!P635))</f>
        <v/>
      </c>
      <c r="Q1695" s="123" t="str">
        <f>IF(tech_base!$T231&gt;Q$1465,"",(tech_base!$J231/tech_proj!Q355*0.086*$N$110)/(1-tech_proj!Q635))</f>
        <v/>
      </c>
      <c r="R1695" s="123" t="str">
        <f>IF(tech_base!$T231&gt;R$1465,"",(tech_base!$J231/tech_proj!R355*0.086*$N$110)/(1-tech_proj!R635))</f>
        <v/>
      </c>
      <c r="S1695" s="123" t="str">
        <f>IF(tech_base!$T231&gt;S$1465,"",(tech_base!$J231/tech_proj!S355*0.086*$N$110)/(1-tech_proj!S635))</f>
        <v/>
      </c>
      <c r="T1695" s="123" t="str">
        <f>IF(tech_base!$T231&gt;T$1465,"",(tech_base!$J231/tech_proj!T355*0.086*$N$110)/(1-tech_proj!T635))</f>
        <v/>
      </c>
      <c r="U1695" s="123" t="str">
        <f>IF(tech_base!$T231&gt;U$1465,"",(tech_base!$J231/tech_proj!U355*0.086*$N$110)/(1-tech_proj!U635))</f>
        <v/>
      </c>
      <c r="V1695" s="123" t="str">
        <f>IF(tech_base!$T231&gt;V$1465,"",(tech_base!$J231/tech_proj!V355*0.086*$N$110)/(1-tech_proj!V635))</f>
        <v/>
      </c>
      <c r="W1695" s="123" t="str">
        <f>IF(tech_base!$T231&gt;W$1465,"",(tech_base!$J231/tech_proj!W355*0.086*$N$110)/(1-tech_proj!W635))</f>
        <v/>
      </c>
      <c r="X1695" s="123" t="str">
        <f>IF(tech_base!$T231&gt;X$1465,"",(tech_base!$J231/tech_proj!X355*0.086*$N$110)/(1-tech_proj!X635))</f>
        <v/>
      </c>
      <c r="Y1695" s="123" t="str">
        <f>IF(tech_base!$T231&gt;Y$1465,"",(tech_base!$J231/tech_proj!Y355*0.086*$N$110)/(1-tech_proj!Y635))</f>
        <v/>
      </c>
      <c r="Z1695" s="123" t="str">
        <f>IF(tech_base!$T231&gt;Z$1465,"",(tech_base!$J231/tech_proj!Z355*0.086*$N$110)/(1-tech_proj!Z635))</f>
        <v/>
      </c>
      <c r="AA1695" s="123" t="str">
        <f>IF(tech_base!$T231&gt;AA$1465,"",(tech_base!$J231/tech_proj!AA355*0.086*$N$110)/(1-tech_proj!AA635))</f>
        <v/>
      </c>
      <c r="AB1695" s="123" t="str">
        <f>IF(tech_base!$T231&gt;AB$1465,"",(tech_base!$J231/tech_proj!AB355*0.086*$N$110)/(1-tech_proj!AB635))</f>
        <v/>
      </c>
      <c r="AC1695" s="123" t="str">
        <f>IF(tech_base!$T231&gt;AC$1465,"",(tech_base!$J231/tech_proj!AC355*0.086*$N$110)/(1-tech_proj!AC635))</f>
        <v/>
      </c>
      <c r="AD1695" s="123" t="str">
        <f>IF(tech_base!$T231&gt;AD$1465,"",(tech_base!$J231/tech_proj!AD355*0.086*$N$110)/(1-tech_proj!AD635))</f>
        <v/>
      </c>
      <c r="AE1695" s="123">
        <f>IF(tech_base!$T231&gt;AE$1465,"",(tech_base!$J231/tech_proj!AE355*0.086*$N$110)/(1-tech_proj!AE635))</f>
        <v>0</v>
      </c>
      <c r="AF1695" s="123">
        <f>IF(tech_base!$T231&gt;AF$1465,"",(tech_base!$J231/tech_proj!AF355*0.086*$N$110)/(1-tech_proj!AF635))</f>
        <v>0</v>
      </c>
      <c r="AG1695" s="123">
        <f>IF(tech_base!$T231&gt;AG$1465,"",(tech_base!$J231/tech_proj!AG355*0.086*$N$110)/(1-tech_proj!AG635))</f>
        <v>0</v>
      </c>
      <c r="AH1695" s="123">
        <f>IF(tech_base!$T231&gt;AH$1465,"",(tech_base!$J231/tech_proj!AH355*0.086*$N$110)/(1-tech_proj!AH635))</f>
        <v>0</v>
      </c>
      <c r="AI1695" s="123">
        <f>IF(tech_base!$T231&gt;AI$1465,"",(tech_base!$J231/tech_proj!AI355*0.086*$N$110)/(1-tech_proj!AI635))</f>
        <v>0</v>
      </c>
      <c r="AJ1695" s="123">
        <f>IF(tech_base!$T231&gt;AJ$1465,"",(tech_base!$J231/tech_proj!AJ355*0.086*$N$110)/(1-tech_proj!AJ635))</f>
        <v>0</v>
      </c>
      <c r="AK1695" s="123">
        <f>IF(tech_base!$T231&gt;AK$1465,"",(tech_base!$J231/tech_proj!AK355*0.086*$N$110)/(1-tech_proj!AK635))</f>
        <v>0</v>
      </c>
      <c r="AL1695" s="123">
        <f>IF(tech_base!$T231&gt;AL$1465,"",(tech_base!$J231/tech_proj!AL355*0.086*$N$110)/(1-tech_proj!AL635))</f>
        <v>0</v>
      </c>
      <c r="AM1695" s="123">
        <f>IF(tech_base!$T231&gt;AM$1465,"",(tech_base!$J231/tech_proj!AM355*0.086*$N$110)/(1-tech_proj!AM635))</f>
        <v>0</v>
      </c>
      <c r="AN1695" s="123">
        <f>IF(tech_base!$T231&gt;AN$1465,"",(tech_base!$J231/tech_proj!AN355*0.086*$N$110)/(1-tech_proj!AN635))</f>
        <v>0</v>
      </c>
      <c r="AO1695" s="123">
        <f>IF(tech_base!$T231&gt;AO$1465,"",(tech_base!$J231/tech_proj!AO355*0.086*$N$110)/(1-tech_proj!AO635))</f>
        <v>0</v>
      </c>
      <c r="AP1695" s="123">
        <f>IF(tech_base!$T231&gt;AP$1465,"",(tech_base!$J231/tech_proj!AP355*0.086*$N$110)/(1-tech_proj!AP635))</f>
        <v>0</v>
      </c>
      <c r="AQ1695" s="123">
        <f>IF(tech_base!$T231&gt;AQ$1465,"",(tech_base!$J231/tech_proj!AQ355*0.086*$N$110)/(1-tech_proj!AQ635))</f>
        <v>0</v>
      </c>
      <c r="AR1695" s="123">
        <f>IF(tech_base!$T231&gt;AR$1465,"",(tech_base!$J231/tech_proj!AR355*0.086*$N$110)/(1-tech_proj!AR635))</f>
        <v>0</v>
      </c>
      <c r="AS1695" s="123">
        <f>IF(tech_base!$T231&gt;AS$1465,"",(tech_base!$J231/tech_proj!AS355*0.086*$N$110)/(1-tech_proj!AS635))</f>
        <v>0</v>
      </c>
      <c r="AT1695" s="123">
        <f>IF(tech_base!$T231&gt;AT$1465,"",(tech_base!$J231/tech_proj!AT355*0.086*$N$110)/(1-tech_proj!AT635))</f>
        <v>0</v>
      </c>
      <c r="AU1695" s="123">
        <f>IF(tech_base!$T231&gt;AU$1465,"",(tech_base!$J231/tech_proj!AU355*0.086*$N$110)/(1-tech_proj!AU635))</f>
        <v>0</v>
      </c>
      <c r="AV1695" s="123">
        <f>IF(tech_base!$T231&gt;AV$1465,"",(tech_base!$J231/tech_proj!AV355*0.086*$N$110)/(1-tech_proj!AV635))</f>
        <v>0</v>
      </c>
      <c r="AW1695" s="123">
        <f>IF(tech_base!$T231&gt;AW$1465,"",(tech_base!$J231/tech_proj!AW355*0.086*$N$110)/(1-tech_proj!AW635))</f>
        <v>0</v>
      </c>
      <c r="AX1695" s="124">
        <f>IF(tech_base!$T231&gt;AX$1465,"",(tech_base!$J231/tech_proj!AX355*0.086*$N$110)/(1-tech_proj!AX635))</f>
        <v>0</v>
      </c>
    </row>
    <row r="1696" spans="1:50" x14ac:dyDescent="0.25">
      <c r="A1696" s="356"/>
      <c r="B1696" s="376"/>
      <c r="C1696" s="379"/>
      <c r="D1696" s="59" t="s">
        <v>8</v>
      </c>
      <c r="E1696" s="166" t="str">
        <f>A1667&amp;"/"&amp;B1687&amp;"/"&amp;C1695&amp;"/"&amp;D1696</f>
        <v>Biomass and waste fired power plants/Steam turbine/Electricity only with CCS/M</v>
      </c>
      <c r="F1696" s="79" t="str">
        <f>A1667</f>
        <v>Biomass and waste fired power plants</v>
      </c>
      <c r="G1696" s="79" t="str">
        <f>B1687</f>
        <v>Steam turbine</v>
      </c>
      <c r="H1696" s="79" t="str">
        <f>C1695</f>
        <v>Electricity only with CCS</v>
      </c>
      <c r="I1696" s="167" t="str">
        <f t="shared" si="380"/>
        <v>M</v>
      </c>
      <c r="J1696" s="125" t="str">
        <f>IF(tech_base!$T232&gt;J$1465,"",(tech_base!$J232/tech_proj!J356*0.086*$N$110)/(1-tech_proj!J636))</f>
        <v/>
      </c>
      <c r="K1696" s="125" t="str">
        <f>IF(tech_base!$T232&gt;K$1465,"",(tech_base!$J232/tech_proj!K356*0.086*$N$110)/(1-tech_proj!K636))</f>
        <v/>
      </c>
      <c r="L1696" s="125" t="str">
        <f>IF(tech_base!$T232&gt;L$1465,"",(tech_base!$J232/tech_proj!L356*0.086*$N$110)/(1-tech_proj!L636))</f>
        <v/>
      </c>
      <c r="M1696" s="125" t="str">
        <f>IF(tech_base!$T232&gt;M$1465,"",(tech_base!$J232/tech_proj!M356*0.086*$N$110)/(1-tech_proj!M636))</f>
        <v/>
      </c>
      <c r="N1696" s="125" t="str">
        <f>IF(tech_base!$T232&gt;N$1465,"",(tech_base!$J232/tech_proj!N356*0.086*$N$110)/(1-tech_proj!N636))</f>
        <v/>
      </c>
      <c r="O1696" s="125" t="str">
        <f>IF(tech_base!$T232&gt;O$1465,"",(tech_base!$J232/tech_proj!O356*0.086*$N$110)/(1-tech_proj!O636))</f>
        <v/>
      </c>
      <c r="P1696" s="125" t="str">
        <f>IF(tech_base!$T232&gt;P$1465,"",(tech_base!$J232/tech_proj!P356*0.086*$N$110)/(1-tech_proj!P636))</f>
        <v/>
      </c>
      <c r="Q1696" s="125" t="str">
        <f>IF(tech_base!$T232&gt;Q$1465,"",(tech_base!$J232/tech_proj!Q356*0.086*$N$110)/(1-tech_proj!Q636))</f>
        <v/>
      </c>
      <c r="R1696" s="125" t="str">
        <f>IF(tech_base!$T232&gt;R$1465,"",(tech_base!$J232/tech_proj!R356*0.086*$N$110)/(1-tech_proj!R636))</f>
        <v/>
      </c>
      <c r="S1696" s="125" t="str">
        <f>IF(tech_base!$T232&gt;S$1465,"",(tech_base!$J232/tech_proj!S356*0.086*$N$110)/(1-tech_proj!S636))</f>
        <v/>
      </c>
      <c r="T1696" s="125" t="str">
        <f>IF(tech_base!$T232&gt;T$1465,"",(tech_base!$J232/tech_proj!T356*0.086*$N$110)/(1-tech_proj!T636))</f>
        <v/>
      </c>
      <c r="U1696" s="125" t="str">
        <f>IF(tech_base!$T232&gt;U$1465,"",(tech_base!$J232/tech_proj!U356*0.086*$N$110)/(1-tech_proj!U636))</f>
        <v/>
      </c>
      <c r="V1696" s="125" t="str">
        <f>IF(tech_base!$T232&gt;V$1465,"",(tech_base!$J232/tech_proj!V356*0.086*$N$110)/(1-tech_proj!V636))</f>
        <v/>
      </c>
      <c r="W1696" s="125" t="str">
        <f>IF(tech_base!$T232&gt;W$1465,"",(tech_base!$J232/tech_proj!W356*0.086*$N$110)/(1-tech_proj!W636))</f>
        <v/>
      </c>
      <c r="X1696" s="125" t="str">
        <f>IF(tech_base!$T232&gt;X$1465,"",(tech_base!$J232/tech_proj!X356*0.086*$N$110)/(1-tech_proj!X636))</f>
        <v/>
      </c>
      <c r="Y1696" s="125" t="str">
        <f>IF(tech_base!$T232&gt;Y$1465,"",(tech_base!$J232/tech_proj!Y356*0.086*$N$110)/(1-tech_proj!Y636))</f>
        <v/>
      </c>
      <c r="Z1696" s="125" t="str">
        <f>IF(tech_base!$T232&gt;Z$1465,"",(tech_base!$J232/tech_proj!Z356*0.086*$N$110)/(1-tech_proj!Z636))</f>
        <v/>
      </c>
      <c r="AA1696" s="125" t="str">
        <f>IF(tech_base!$T232&gt;AA$1465,"",(tech_base!$J232/tech_proj!AA356*0.086*$N$110)/(1-tech_proj!AA636))</f>
        <v/>
      </c>
      <c r="AB1696" s="125" t="str">
        <f>IF(tech_base!$T232&gt;AB$1465,"",(tech_base!$J232/tech_proj!AB356*0.086*$N$110)/(1-tech_proj!AB636))</f>
        <v/>
      </c>
      <c r="AC1696" s="125" t="str">
        <f>IF(tech_base!$T232&gt;AC$1465,"",(tech_base!$J232/tech_proj!AC356*0.086*$N$110)/(1-tech_proj!AC636))</f>
        <v/>
      </c>
      <c r="AD1696" s="125" t="str">
        <f>IF(tech_base!$T232&gt;AD$1465,"",(tech_base!$J232/tech_proj!AD356*0.086*$N$110)/(1-tech_proj!AD636))</f>
        <v/>
      </c>
      <c r="AE1696" s="125">
        <f>IF(tech_base!$T232&gt;AE$1465,"",(tech_base!$J232/tech_proj!AE356*0.086*$N$110)/(1-tech_proj!AE636))</f>
        <v>0</v>
      </c>
      <c r="AF1696" s="125">
        <f>IF(tech_base!$T232&gt;AF$1465,"",(tech_base!$J232/tech_proj!AF356*0.086*$N$110)/(1-tech_proj!AF636))</f>
        <v>0</v>
      </c>
      <c r="AG1696" s="125">
        <f>IF(tech_base!$T232&gt;AG$1465,"",(tech_base!$J232/tech_proj!AG356*0.086*$N$110)/(1-tech_proj!AG636))</f>
        <v>0</v>
      </c>
      <c r="AH1696" s="125">
        <f>IF(tech_base!$T232&gt;AH$1465,"",(tech_base!$J232/tech_proj!AH356*0.086*$N$110)/(1-tech_proj!AH636))</f>
        <v>0</v>
      </c>
      <c r="AI1696" s="125">
        <f>IF(tech_base!$T232&gt;AI$1465,"",(tech_base!$J232/tech_proj!AI356*0.086*$N$110)/(1-tech_proj!AI636))</f>
        <v>0</v>
      </c>
      <c r="AJ1696" s="125">
        <f>IF(tech_base!$T232&gt;AJ$1465,"",(tech_base!$J232/tech_proj!AJ356*0.086*$N$110)/(1-tech_proj!AJ636))</f>
        <v>0</v>
      </c>
      <c r="AK1696" s="125">
        <f>IF(tech_base!$T232&gt;AK$1465,"",(tech_base!$J232/tech_proj!AK356*0.086*$N$110)/(1-tech_proj!AK636))</f>
        <v>0</v>
      </c>
      <c r="AL1696" s="125">
        <f>IF(tech_base!$T232&gt;AL$1465,"",(tech_base!$J232/tech_proj!AL356*0.086*$N$110)/(1-tech_proj!AL636))</f>
        <v>0</v>
      </c>
      <c r="AM1696" s="125">
        <f>IF(tech_base!$T232&gt;AM$1465,"",(tech_base!$J232/tech_proj!AM356*0.086*$N$110)/(1-tech_proj!AM636))</f>
        <v>0</v>
      </c>
      <c r="AN1696" s="125">
        <f>IF(tech_base!$T232&gt;AN$1465,"",(tech_base!$J232/tech_proj!AN356*0.086*$N$110)/(1-tech_proj!AN636))</f>
        <v>0</v>
      </c>
      <c r="AO1696" s="125">
        <f>IF(tech_base!$T232&gt;AO$1465,"",(tech_base!$J232/tech_proj!AO356*0.086*$N$110)/(1-tech_proj!AO636))</f>
        <v>0</v>
      </c>
      <c r="AP1696" s="125">
        <f>IF(tech_base!$T232&gt;AP$1465,"",(tech_base!$J232/tech_proj!AP356*0.086*$N$110)/(1-tech_proj!AP636))</f>
        <v>0</v>
      </c>
      <c r="AQ1696" s="125">
        <f>IF(tech_base!$T232&gt;AQ$1465,"",(tech_base!$J232/tech_proj!AQ356*0.086*$N$110)/(1-tech_proj!AQ636))</f>
        <v>0</v>
      </c>
      <c r="AR1696" s="125">
        <f>IF(tech_base!$T232&gt;AR$1465,"",(tech_base!$J232/tech_proj!AR356*0.086*$N$110)/(1-tech_proj!AR636))</f>
        <v>0</v>
      </c>
      <c r="AS1696" s="125">
        <f>IF(tech_base!$T232&gt;AS$1465,"",(tech_base!$J232/tech_proj!AS356*0.086*$N$110)/(1-tech_proj!AS636))</f>
        <v>0</v>
      </c>
      <c r="AT1696" s="125">
        <f>IF(tech_base!$T232&gt;AT$1465,"",(tech_base!$J232/tech_proj!AT356*0.086*$N$110)/(1-tech_proj!AT636))</f>
        <v>0</v>
      </c>
      <c r="AU1696" s="125">
        <f>IF(tech_base!$T232&gt;AU$1465,"",(tech_base!$J232/tech_proj!AU356*0.086*$N$110)/(1-tech_proj!AU636))</f>
        <v>0</v>
      </c>
      <c r="AV1696" s="125">
        <f>IF(tech_base!$T232&gt;AV$1465,"",(tech_base!$J232/tech_proj!AV356*0.086*$N$110)/(1-tech_proj!AV636))</f>
        <v>0</v>
      </c>
      <c r="AW1696" s="125">
        <f>IF(tech_base!$T232&gt;AW$1465,"",(tech_base!$J232/tech_proj!AW356*0.086*$N$110)/(1-tech_proj!AW636))</f>
        <v>0</v>
      </c>
      <c r="AX1696" s="126">
        <f>IF(tech_base!$T232&gt;AX$1465,"",(tech_base!$J232/tech_proj!AX356*0.086*$N$110)/(1-tech_proj!AX636))</f>
        <v>0</v>
      </c>
    </row>
    <row r="1697" spans="1:50" x14ac:dyDescent="0.25">
      <c r="A1697" s="356"/>
      <c r="B1697" s="376"/>
      <c r="C1697" s="361" t="s">
        <v>16</v>
      </c>
      <c r="D1697" s="2" t="s">
        <v>7</v>
      </c>
      <c r="E1697" s="160" t="str">
        <f>A1667&amp;"/"&amp;B1687&amp;"/"&amp;C1697&amp;"/"&amp;D1697</f>
        <v>Biomass and waste fired power plants/Steam turbine/CHP with CCS/L</v>
      </c>
      <c r="F1697" s="76" t="str">
        <f>A1667</f>
        <v>Biomass and waste fired power plants</v>
      </c>
      <c r="G1697" s="76" t="str">
        <f>B1687</f>
        <v>Steam turbine</v>
      </c>
      <c r="H1697" s="76" t="str">
        <f>C1697</f>
        <v>CHP with CCS</v>
      </c>
      <c r="I1697" s="161" t="str">
        <f t="shared" si="380"/>
        <v>L</v>
      </c>
      <c r="J1697" s="119" t="str">
        <f>IF(tech_base!$T233&gt;J$1465,"",(tech_base!$J233/tech_proj!J357*0.086*$N$110)/(1-tech_proj!J637))</f>
        <v/>
      </c>
      <c r="K1697" s="119" t="str">
        <f>IF(tech_base!$T233&gt;K$1465,"",(tech_base!$J233/tech_proj!K357*0.086*$N$110)/(1-tech_proj!K637))</f>
        <v/>
      </c>
      <c r="L1697" s="119" t="str">
        <f>IF(tech_base!$T233&gt;L$1465,"",(tech_base!$J233/tech_proj!L357*0.086*$N$110)/(1-tech_proj!L637))</f>
        <v/>
      </c>
      <c r="M1697" s="119" t="str">
        <f>IF(tech_base!$T233&gt;M$1465,"",(tech_base!$J233/tech_proj!M357*0.086*$N$110)/(1-tech_proj!M637))</f>
        <v/>
      </c>
      <c r="N1697" s="119" t="str">
        <f>IF(tech_base!$T233&gt;N$1465,"",(tech_base!$J233/tech_proj!N357*0.086*$N$110)/(1-tech_proj!N637))</f>
        <v/>
      </c>
      <c r="O1697" s="119" t="str">
        <f>IF(tech_base!$T233&gt;O$1465,"",(tech_base!$J233/tech_proj!O357*0.086*$N$110)/(1-tech_proj!O637))</f>
        <v/>
      </c>
      <c r="P1697" s="119" t="str">
        <f>IF(tech_base!$T233&gt;P$1465,"",(tech_base!$J233/tech_proj!P357*0.086*$N$110)/(1-tech_proj!P637))</f>
        <v/>
      </c>
      <c r="Q1697" s="119" t="str">
        <f>IF(tech_base!$T233&gt;Q$1465,"",(tech_base!$J233/tech_proj!Q357*0.086*$N$110)/(1-tech_proj!Q637))</f>
        <v/>
      </c>
      <c r="R1697" s="119" t="str">
        <f>IF(tech_base!$T233&gt;R$1465,"",(tech_base!$J233/tech_proj!R357*0.086*$N$110)/(1-tech_proj!R637))</f>
        <v/>
      </c>
      <c r="S1697" s="119" t="str">
        <f>IF(tech_base!$T233&gt;S$1465,"",(tech_base!$J233/tech_proj!S357*0.086*$N$110)/(1-tech_proj!S637))</f>
        <v/>
      </c>
      <c r="T1697" s="119" t="str">
        <f>IF(tech_base!$T233&gt;T$1465,"",(tech_base!$J233/tech_proj!T357*0.086*$N$110)/(1-tech_proj!T637))</f>
        <v/>
      </c>
      <c r="U1697" s="119" t="str">
        <f>IF(tech_base!$T233&gt;U$1465,"",(tech_base!$J233/tech_proj!U357*0.086*$N$110)/(1-tech_proj!U637))</f>
        <v/>
      </c>
      <c r="V1697" s="119" t="str">
        <f>IF(tech_base!$T233&gt;V$1465,"",(tech_base!$J233/tech_proj!V357*0.086*$N$110)/(1-tech_proj!V637))</f>
        <v/>
      </c>
      <c r="W1697" s="119" t="str">
        <f>IF(tech_base!$T233&gt;W$1465,"",(tech_base!$J233/tech_proj!W357*0.086*$N$110)/(1-tech_proj!W637))</f>
        <v/>
      </c>
      <c r="X1697" s="119" t="str">
        <f>IF(tech_base!$T233&gt;X$1465,"",(tech_base!$J233/tech_proj!X357*0.086*$N$110)/(1-tech_proj!X637))</f>
        <v/>
      </c>
      <c r="Y1697" s="119" t="str">
        <f>IF(tech_base!$T233&gt;Y$1465,"",(tech_base!$J233/tech_proj!Y357*0.086*$N$110)/(1-tech_proj!Y637))</f>
        <v/>
      </c>
      <c r="Z1697" s="119" t="str">
        <f>IF(tech_base!$T233&gt;Z$1465,"",(tech_base!$J233/tech_proj!Z357*0.086*$N$110)/(1-tech_proj!Z637))</f>
        <v/>
      </c>
      <c r="AA1697" s="119" t="str">
        <f>IF(tech_base!$T233&gt;AA$1465,"",(tech_base!$J233/tech_proj!AA357*0.086*$N$110)/(1-tech_proj!AA637))</f>
        <v/>
      </c>
      <c r="AB1697" s="119" t="str">
        <f>IF(tech_base!$T233&gt;AB$1465,"",(tech_base!$J233/tech_proj!AB357*0.086*$N$110)/(1-tech_proj!AB637))</f>
        <v/>
      </c>
      <c r="AC1697" s="119" t="str">
        <f>IF(tech_base!$T233&gt;AC$1465,"",(tech_base!$J233/tech_proj!AC357*0.086*$N$110)/(1-tech_proj!AC637))</f>
        <v/>
      </c>
      <c r="AD1697" s="119" t="str">
        <f>IF(tech_base!$T233&gt;AD$1465,"",(tech_base!$J233/tech_proj!AD357*0.086*$N$110)/(1-tech_proj!AD637))</f>
        <v/>
      </c>
      <c r="AE1697" s="119">
        <f>IF(tech_base!$T233&gt;AE$1465,"",(tech_base!$J233/tech_proj!AE357*0.086*$N$110)/(1-tech_proj!AE637))</f>
        <v>0</v>
      </c>
      <c r="AF1697" s="119">
        <f>IF(tech_base!$T233&gt;AF$1465,"",(tech_base!$J233/tech_proj!AF357*0.086*$N$110)/(1-tech_proj!AF637))</f>
        <v>0</v>
      </c>
      <c r="AG1697" s="119">
        <f>IF(tech_base!$T233&gt;AG$1465,"",(tech_base!$J233/tech_proj!AG357*0.086*$N$110)/(1-tech_proj!AG637))</f>
        <v>0</v>
      </c>
      <c r="AH1697" s="119">
        <f>IF(tech_base!$T233&gt;AH$1465,"",(tech_base!$J233/tech_proj!AH357*0.086*$N$110)/(1-tech_proj!AH637))</f>
        <v>0</v>
      </c>
      <c r="AI1697" s="119">
        <f>IF(tech_base!$T233&gt;AI$1465,"",(tech_base!$J233/tech_proj!AI357*0.086*$N$110)/(1-tech_proj!AI637))</f>
        <v>0</v>
      </c>
      <c r="AJ1697" s="119">
        <f>IF(tech_base!$T233&gt;AJ$1465,"",(tech_base!$J233/tech_proj!AJ357*0.086*$N$110)/(1-tech_proj!AJ637))</f>
        <v>0</v>
      </c>
      <c r="AK1697" s="119">
        <f>IF(tech_base!$T233&gt;AK$1465,"",(tech_base!$J233/tech_proj!AK357*0.086*$N$110)/(1-tech_proj!AK637))</f>
        <v>0</v>
      </c>
      <c r="AL1697" s="119">
        <f>IF(tech_base!$T233&gt;AL$1465,"",(tech_base!$J233/tech_proj!AL357*0.086*$N$110)/(1-tech_proj!AL637))</f>
        <v>0</v>
      </c>
      <c r="AM1697" s="119">
        <f>IF(tech_base!$T233&gt;AM$1465,"",(tech_base!$J233/tech_proj!AM357*0.086*$N$110)/(1-tech_proj!AM637))</f>
        <v>0</v>
      </c>
      <c r="AN1697" s="119">
        <f>IF(tech_base!$T233&gt;AN$1465,"",(tech_base!$J233/tech_proj!AN357*0.086*$N$110)/(1-tech_proj!AN637))</f>
        <v>0</v>
      </c>
      <c r="AO1697" s="119">
        <f>IF(tech_base!$T233&gt;AO$1465,"",(tech_base!$J233/tech_proj!AO357*0.086*$N$110)/(1-tech_proj!AO637))</f>
        <v>0</v>
      </c>
      <c r="AP1697" s="119">
        <f>IF(tech_base!$T233&gt;AP$1465,"",(tech_base!$J233/tech_proj!AP357*0.086*$N$110)/(1-tech_proj!AP637))</f>
        <v>0</v>
      </c>
      <c r="AQ1697" s="119">
        <f>IF(tech_base!$T233&gt;AQ$1465,"",(tech_base!$J233/tech_proj!AQ357*0.086*$N$110)/(1-tech_proj!AQ637))</f>
        <v>0</v>
      </c>
      <c r="AR1697" s="119">
        <f>IF(tech_base!$T233&gt;AR$1465,"",(tech_base!$J233/tech_proj!AR357*0.086*$N$110)/(1-tech_proj!AR637))</f>
        <v>0</v>
      </c>
      <c r="AS1697" s="119">
        <f>IF(tech_base!$T233&gt;AS$1465,"",(tech_base!$J233/tech_proj!AS357*0.086*$N$110)/(1-tech_proj!AS637))</f>
        <v>0</v>
      </c>
      <c r="AT1697" s="119">
        <f>IF(tech_base!$T233&gt;AT$1465,"",(tech_base!$J233/tech_proj!AT357*0.086*$N$110)/(1-tech_proj!AT637))</f>
        <v>0</v>
      </c>
      <c r="AU1697" s="119">
        <f>IF(tech_base!$T233&gt;AU$1465,"",(tech_base!$J233/tech_proj!AU357*0.086*$N$110)/(1-tech_proj!AU637))</f>
        <v>0</v>
      </c>
      <c r="AV1697" s="119">
        <f>IF(tech_base!$T233&gt;AV$1465,"",(tech_base!$J233/tech_proj!AV357*0.086*$N$110)/(1-tech_proj!AV637))</f>
        <v>0</v>
      </c>
      <c r="AW1697" s="119">
        <f>IF(tech_base!$T233&gt;AW$1465,"",(tech_base!$J233/tech_proj!AW357*0.086*$N$110)/(1-tech_proj!AW637))</f>
        <v>0</v>
      </c>
      <c r="AX1697" s="120">
        <f>IF(tech_base!$T233&gt;AX$1465,"",(tech_base!$J233/tech_proj!AX357*0.086*$N$110)/(1-tech_proj!AX637))</f>
        <v>0</v>
      </c>
    </row>
    <row r="1698" spans="1:50" x14ac:dyDescent="0.25">
      <c r="A1698" s="357"/>
      <c r="B1698" s="380"/>
      <c r="C1698" s="381"/>
      <c r="D1698" s="4" t="s">
        <v>8</v>
      </c>
      <c r="E1698" s="168" t="str">
        <f>A1667&amp;"/"&amp;B1687&amp;"/"&amp;C1697&amp;"/"&amp;D1698</f>
        <v>Biomass and waste fired power plants/Steam turbine/CHP with CCS/M</v>
      </c>
      <c r="F1698" s="80" t="str">
        <f>A1667</f>
        <v>Biomass and waste fired power plants</v>
      </c>
      <c r="G1698" s="80" t="str">
        <f>B1687</f>
        <v>Steam turbine</v>
      </c>
      <c r="H1698" s="80" t="str">
        <f>C1697</f>
        <v>CHP with CCS</v>
      </c>
      <c r="I1698" s="169" t="str">
        <f t="shared" si="380"/>
        <v>M</v>
      </c>
      <c r="J1698" s="127" t="str">
        <f>IF(tech_base!$T234&gt;J$1465,"",(tech_base!$J234/tech_proj!J358*0.086*$N$110)/(1-tech_proj!J638))</f>
        <v/>
      </c>
      <c r="K1698" s="127" t="str">
        <f>IF(tech_base!$T234&gt;K$1465,"",(tech_base!$J234/tech_proj!K358*0.086*$N$110)/(1-tech_proj!K638))</f>
        <v/>
      </c>
      <c r="L1698" s="127" t="str">
        <f>IF(tech_base!$T234&gt;L$1465,"",(tech_base!$J234/tech_proj!L358*0.086*$N$110)/(1-tech_proj!L638))</f>
        <v/>
      </c>
      <c r="M1698" s="127" t="str">
        <f>IF(tech_base!$T234&gt;M$1465,"",(tech_base!$J234/tech_proj!M358*0.086*$N$110)/(1-tech_proj!M638))</f>
        <v/>
      </c>
      <c r="N1698" s="127" t="str">
        <f>IF(tech_base!$T234&gt;N$1465,"",(tech_base!$J234/tech_proj!N358*0.086*$N$110)/(1-tech_proj!N638))</f>
        <v/>
      </c>
      <c r="O1698" s="127" t="str">
        <f>IF(tech_base!$T234&gt;O$1465,"",(tech_base!$J234/tech_proj!O358*0.086*$N$110)/(1-tech_proj!O638))</f>
        <v/>
      </c>
      <c r="P1698" s="127" t="str">
        <f>IF(tech_base!$T234&gt;P$1465,"",(tech_base!$J234/tech_proj!P358*0.086*$N$110)/(1-tech_proj!P638))</f>
        <v/>
      </c>
      <c r="Q1698" s="127" t="str">
        <f>IF(tech_base!$T234&gt;Q$1465,"",(tech_base!$J234/tech_proj!Q358*0.086*$N$110)/(1-tech_proj!Q638))</f>
        <v/>
      </c>
      <c r="R1698" s="127" t="str">
        <f>IF(tech_base!$T234&gt;R$1465,"",(tech_base!$J234/tech_proj!R358*0.086*$N$110)/(1-tech_proj!R638))</f>
        <v/>
      </c>
      <c r="S1698" s="127" t="str">
        <f>IF(tech_base!$T234&gt;S$1465,"",(tech_base!$J234/tech_proj!S358*0.086*$N$110)/(1-tech_proj!S638))</f>
        <v/>
      </c>
      <c r="T1698" s="127" t="str">
        <f>IF(tech_base!$T234&gt;T$1465,"",(tech_base!$J234/tech_proj!T358*0.086*$N$110)/(1-tech_proj!T638))</f>
        <v/>
      </c>
      <c r="U1698" s="127" t="str">
        <f>IF(tech_base!$T234&gt;U$1465,"",(tech_base!$J234/tech_proj!U358*0.086*$N$110)/(1-tech_proj!U638))</f>
        <v/>
      </c>
      <c r="V1698" s="127" t="str">
        <f>IF(tech_base!$T234&gt;V$1465,"",(tech_base!$J234/tech_proj!V358*0.086*$N$110)/(1-tech_proj!V638))</f>
        <v/>
      </c>
      <c r="W1698" s="127" t="str">
        <f>IF(tech_base!$T234&gt;W$1465,"",(tech_base!$J234/tech_proj!W358*0.086*$N$110)/(1-tech_proj!W638))</f>
        <v/>
      </c>
      <c r="X1698" s="127" t="str">
        <f>IF(tech_base!$T234&gt;X$1465,"",(tech_base!$J234/tech_proj!X358*0.086*$N$110)/(1-tech_proj!X638))</f>
        <v/>
      </c>
      <c r="Y1698" s="127" t="str">
        <f>IF(tech_base!$T234&gt;Y$1465,"",(tech_base!$J234/tech_proj!Y358*0.086*$N$110)/(1-tech_proj!Y638))</f>
        <v/>
      </c>
      <c r="Z1698" s="127" t="str">
        <f>IF(tech_base!$T234&gt;Z$1465,"",(tech_base!$J234/tech_proj!Z358*0.086*$N$110)/(1-tech_proj!Z638))</f>
        <v/>
      </c>
      <c r="AA1698" s="127" t="str">
        <f>IF(tech_base!$T234&gt;AA$1465,"",(tech_base!$J234/tech_proj!AA358*0.086*$N$110)/(1-tech_proj!AA638))</f>
        <v/>
      </c>
      <c r="AB1698" s="127" t="str">
        <f>IF(tech_base!$T234&gt;AB$1465,"",(tech_base!$J234/tech_proj!AB358*0.086*$N$110)/(1-tech_proj!AB638))</f>
        <v/>
      </c>
      <c r="AC1698" s="127" t="str">
        <f>IF(tech_base!$T234&gt;AC$1465,"",(tech_base!$J234/tech_proj!AC358*0.086*$N$110)/(1-tech_proj!AC638))</f>
        <v/>
      </c>
      <c r="AD1698" s="127" t="str">
        <f>IF(tech_base!$T234&gt;AD$1465,"",(tech_base!$J234/tech_proj!AD358*0.086*$N$110)/(1-tech_proj!AD638))</f>
        <v/>
      </c>
      <c r="AE1698" s="127">
        <f>IF(tech_base!$T234&gt;AE$1465,"",(tech_base!$J234/tech_proj!AE358*0.086*$N$110)/(1-tech_proj!AE638))</f>
        <v>0</v>
      </c>
      <c r="AF1698" s="127">
        <f>IF(tech_base!$T234&gt;AF$1465,"",(tech_base!$J234/tech_proj!AF358*0.086*$N$110)/(1-tech_proj!AF638))</f>
        <v>0</v>
      </c>
      <c r="AG1698" s="127">
        <f>IF(tech_base!$T234&gt;AG$1465,"",(tech_base!$J234/tech_proj!AG358*0.086*$N$110)/(1-tech_proj!AG638))</f>
        <v>0</v>
      </c>
      <c r="AH1698" s="127">
        <f>IF(tech_base!$T234&gt;AH$1465,"",(tech_base!$J234/tech_proj!AH358*0.086*$N$110)/(1-tech_proj!AH638))</f>
        <v>0</v>
      </c>
      <c r="AI1698" s="127">
        <f>IF(tech_base!$T234&gt;AI$1465,"",(tech_base!$J234/tech_proj!AI358*0.086*$N$110)/(1-tech_proj!AI638))</f>
        <v>0</v>
      </c>
      <c r="AJ1698" s="127">
        <f>IF(tech_base!$T234&gt;AJ$1465,"",(tech_base!$J234/tech_proj!AJ358*0.086*$N$110)/(1-tech_proj!AJ638))</f>
        <v>0</v>
      </c>
      <c r="AK1698" s="127">
        <f>IF(tech_base!$T234&gt;AK$1465,"",(tech_base!$J234/tech_proj!AK358*0.086*$N$110)/(1-tech_proj!AK638))</f>
        <v>0</v>
      </c>
      <c r="AL1698" s="127">
        <f>IF(tech_base!$T234&gt;AL$1465,"",(tech_base!$J234/tech_proj!AL358*0.086*$N$110)/(1-tech_proj!AL638))</f>
        <v>0</v>
      </c>
      <c r="AM1698" s="127">
        <f>IF(tech_base!$T234&gt;AM$1465,"",(tech_base!$J234/tech_proj!AM358*0.086*$N$110)/(1-tech_proj!AM638))</f>
        <v>0</v>
      </c>
      <c r="AN1698" s="127">
        <f>IF(tech_base!$T234&gt;AN$1465,"",(tech_base!$J234/tech_proj!AN358*0.086*$N$110)/(1-tech_proj!AN638))</f>
        <v>0</v>
      </c>
      <c r="AO1698" s="127">
        <f>IF(tech_base!$T234&gt;AO$1465,"",(tech_base!$J234/tech_proj!AO358*0.086*$N$110)/(1-tech_proj!AO638))</f>
        <v>0</v>
      </c>
      <c r="AP1698" s="127">
        <f>IF(tech_base!$T234&gt;AP$1465,"",(tech_base!$J234/tech_proj!AP358*0.086*$N$110)/(1-tech_proj!AP638))</f>
        <v>0</v>
      </c>
      <c r="AQ1698" s="127">
        <f>IF(tech_base!$T234&gt;AQ$1465,"",(tech_base!$J234/tech_proj!AQ358*0.086*$N$110)/(1-tech_proj!AQ638))</f>
        <v>0</v>
      </c>
      <c r="AR1698" s="127">
        <f>IF(tech_base!$T234&gt;AR$1465,"",(tech_base!$J234/tech_proj!AR358*0.086*$N$110)/(1-tech_proj!AR638))</f>
        <v>0</v>
      </c>
      <c r="AS1698" s="127">
        <f>IF(tech_base!$T234&gt;AS$1465,"",(tech_base!$J234/tech_proj!AS358*0.086*$N$110)/(1-tech_proj!AS638))</f>
        <v>0</v>
      </c>
      <c r="AT1698" s="127">
        <f>IF(tech_base!$T234&gt;AT$1465,"",(tech_base!$J234/tech_proj!AT358*0.086*$N$110)/(1-tech_proj!AT638))</f>
        <v>0</v>
      </c>
      <c r="AU1698" s="127">
        <f>IF(tech_base!$T234&gt;AU$1465,"",(tech_base!$J234/tech_proj!AU358*0.086*$N$110)/(1-tech_proj!AU638))</f>
        <v>0</v>
      </c>
      <c r="AV1698" s="127">
        <f>IF(tech_base!$T234&gt;AV$1465,"",(tech_base!$J234/tech_proj!AV358*0.086*$N$110)/(1-tech_proj!AV638))</f>
        <v>0</v>
      </c>
      <c r="AW1698" s="127">
        <f>IF(tech_base!$T234&gt;AW$1465,"",(tech_base!$J234/tech_proj!AW358*0.086*$N$110)/(1-tech_proj!AW638))</f>
        <v>0</v>
      </c>
      <c r="AX1698" s="128">
        <f>IF(tech_base!$T234&gt;AX$1465,"",(tech_base!$J234/tech_proj!AX358*0.086*$N$110)/(1-tech_proj!AX638))</f>
        <v>0</v>
      </c>
    </row>
    <row r="1699" spans="1:50" x14ac:dyDescent="0.25">
      <c r="A1699" s="355" t="s">
        <v>31</v>
      </c>
      <c r="B1699" s="358" t="s">
        <v>32</v>
      </c>
      <c r="C1699" s="353" t="s">
        <v>6</v>
      </c>
      <c r="D1699" s="3" t="s">
        <v>8</v>
      </c>
      <c r="E1699" s="162" t="str">
        <f>A1699&amp;"/"&amp;B1699&amp;"/"&amp;C1699&amp;"/"&amp;D1699</f>
        <v>Fuel cells/Natural gas fuel cell power plant/Electricity only/M</v>
      </c>
      <c r="F1699" s="77" t="str">
        <f>A1699</f>
        <v>Fuel cells</v>
      </c>
      <c r="G1699" s="77" t="str">
        <f>B1699</f>
        <v>Natural gas fuel cell power plant</v>
      </c>
      <c r="H1699" s="77" t="str">
        <f>C1699</f>
        <v>Electricity only</v>
      </c>
      <c r="I1699" s="163" t="str">
        <f t="shared" si="380"/>
        <v>M</v>
      </c>
      <c r="J1699" s="121" t="str">
        <f>IF(tech_base!$T235&gt;J$1465,"",(tech_base!$J235/tech_proj!J359*0.086*$N$110)/(1-tech_proj!J639))</f>
        <v/>
      </c>
      <c r="K1699" s="121" t="str">
        <f>IF(tech_base!$T235&gt;K$1465,"",(tech_base!$J235/tech_proj!K359*0.086*$N$110)/(1-tech_proj!K639))</f>
        <v/>
      </c>
      <c r="L1699" s="121" t="str">
        <f>IF(tech_base!$T235&gt;L$1465,"",(tech_base!$J235/tech_proj!L359*0.086*$N$110)/(1-tech_proj!L639))</f>
        <v/>
      </c>
      <c r="M1699" s="121" t="str">
        <f>IF(tech_base!$T235&gt;M$1465,"",(tech_base!$J235/tech_proj!M359*0.086*$N$110)/(1-tech_proj!M639))</f>
        <v/>
      </c>
      <c r="N1699" s="121" t="str">
        <f>IF(tech_base!$T235&gt;N$1465,"",(tech_base!$J235/tech_proj!N359*0.086*$N$110)/(1-tech_proj!N639))</f>
        <v/>
      </c>
      <c r="O1699" s="121" t="str">
        <f>IF(tech_base!$T235&gt;O$1465,"",(tech_base!$J235/tech_proj!O359*0.086*$N$110)/(1-tech_proj!O639))</f>
        <v/>
      </c>
      <c r="P1699" s="121" t="str">
        <f>IF(tech_base!$T235&gt;P$1465,"",(tech_base!$J235/tech_proj!P359*0.086*$N$110)/(1-tech_proj!P639))</f>
        <v/>
      </c>
      <c r="Q1699" s="121" t="str">
        <f>IF(tech_base!$T235&gt;Q$1465,"",(tech_base!$J235/tech_proj!Q359*0.086*$N$110)/(1-tech_proj!Q639))</f>
        <v/>
      </c>
      <c r="R1699" s="121" t="str">
        <f>IF(tech_base!$T235&gt;R$1465,"",(tech_base!$J235/tech_proj!R359*0.086*$N$110)/(1-tech_proj!R639))</f>
        <v/>
      </c>
      <c r="S1699" s="121" t="str">
        <f>IF(tech_base!$T235&gt;S$1465,"",(tech_base!$J235/tech_proj!S359*0.086*$N$110)/(1-tech_proj!S639))</f>
        <v/>
      </c>
      <c r="T1699" s="121" t="str">
        <f>IF(tech_base!$T235&gt;T$1465,"",(tech_base!$J235/tech_proj!T359*0.086*$N$110)/(1-tech_proj!T639))</f>
        <v/>
      </c>
      <c r="U1699" s="121" t="str">
        <f>IF(tech_base!$T235&gt;U$1465,"",(tech_base!$J235/tech_proj!U359*0.086*$N$110)/(1-tech_proj!U639))</f>
        <v/>
      </c>
      <c r="V1699" s="121" t="str">
        <f>IF(tech_base!$T235&gt;V$1465,"",(tech_base!$J235/tech_proj!V359*0.086*$N$110)/(1-tech_proj!V639))</f>
        <v/>
      </c>
      <c r="W1699" s="121" t="str">
        <f>IF(tech_base!$T235&gt;W$1465,"",(tech_base!$J235/tech_proj!W359*0.086*$N$110)/(1-tech_proj!W639))</f>
        <v/>
      </c>
      <c r="X1699" s="121" t="str">
        <f>IF(tech_base!$T235&gt;X$1465,"",(tech_base!$J235/tech_proj!X359*0.086*$N$110)/(1-tech_proj!X639))</f>
        <v/>
      </c>
      <c r="Y1699" s="121" t="str">
        <f>IF(tech_base!$T235&gt;Y$1465,"",(tech_base!$J235/tech_proj!Y359*0.086*$N$110)/(1-tech_proj!Y639))</f>
        <v/>
      </c>
      <c r="Z1699" s="121" t="str">
        <f>IF(tech_base!$T235&gt;Z$1465,"",(tech_base!$J235/tech_proj!Z359*0.086*$N$110)/(1-tech_proj!Z639))</f>
        <v/>
      </c>
      <c r="AA1699" s="121" t="str">
        <f>IF(tech_base!$T235&gt;AA$1465,"",(tech_base!$J235/tech_proj!AA359*0.086*$N$110)/(1-tech_proj!AA639))</f>
        <v/>
      </c>
      <c r="AB1699" s="121" t="str">
        <f>IF(tech_base!$T235&gt;AB$1465,"",(tech_base!$J235/tech_proj!AB359*0.086*$N$110)/(1-tech_proj!AB639))</f>
        <v/>
      </c>
      <c r="AC1699" s="121" t="str">
        <f>IF(tech_base!$T235&gt;AC$1465,"",(tech_base!$J235/tech_proj!AC359*0.086*$N$110)/(1-tech_proj!AC639))</f>
        <v/>
      </c>
      <c r="AD1699" s="121" t="str">
        <f>IF(tech_base!$T235&gt;AD$1465,"",(tech_base!$J235/tech_proj!AD359*0.086*$N$110)/(1-tech_proj!AD639))</f>
        <v/>
      </c>
      <c r="AE1699" s="121">
        <f>IF(tech_base!$T235&gt;AE$1465,"",(tech_base!$J235/tech_proj!AE359*0.086*$N$110)/(1-tech_proj!AE639))</f>
        <v>0</v>
      </c>
      <c r="AF1699" s="121">
        <f>IF(tech_base!$T235&gt;AF$1465,"",(tech_base!$J235/tech_proj!AF359*0.086*$N$110)/(1-tech_proj!AF639))</f>
        <v>0</v>
      </c>
      <c r="AG1699" s="121">
        <f>IF(tech_base!$T235&gt;AG$1465,"",(tech_base!$J235/tech_proj!AG359*0.086*$N$110)/(1-tech_proj!AG639))</f>
        <v>0</v>
      </c>
      <c r="AH1699" s="121">
        <f>IF(tech_base!$T235&gt;AH$1465,"",(tech_base!$J235/tech_proj!AH359*0.086*$N$110)/(1-tech_proj!AH639))</f>
        <v>0</v>
      </c>
      <c r="AI1699" s="121">
        <f>IF(tech_base!$T235&gt;AI$1465,"",(tech_base!$J235/tech_proj!AI359*0.086*$N$110)/(1-tech_proj!AI639))</f>
        <v>0</v>
      </c>
      <c r="AJ1699" s="121">
        <f>IF(tech_base!$T235&gt;AJ$1465,"",(tech_base!$J235/tech_proj!AJ359*0.086*$N$110)/(1-tech_proj!AJ639))</f>
        <v>0</v>
      </c>
      <c r="AK1699" s="121">
        <f>IF(tech_base!$T235&gt;AK$1465,"",(tech_base!$J235/tech_proj!AK359*0.086*$N$110)/(1-tech_proj!AK639))</f>
        <v>0</v>
      </c>
      <c r="AL1699" s="121">
        <f>IF(tech_base!$T235&gt;AL$1465,"",(tech_base!$J235/tech_proj!AL359*0.086*$N$110)/(1-tech_proj!AL639))</f>
        <v>0</v>
      </c>
      <c r="AM1699" s="121">
        <f>IF(tech_base!$T235&gt;AM$1465,"",(tech_base!$J235/tech_proj!AM359*0.086*$N$110)/(1-tech_proj!AM639))</f>
        <v>0</v>
      </c>
      <c r="AN1699" s="121">
        <f>IF(tech_base!$T235&gt;AN$1465,"",(tech_base!$J235/tech_proj!AN359*0.086*$N$110)/(1-tech_proj!AN639))</f>
        <v>0</v>
      </c>
      <c r="AO1699" s="121">
        <f>IF(tech_base!$T235&gt;AO$1465,"",(tech_base!$J235/tech_proj!AO359*0.086*$N$110)/(1-tech_proj!AO639))</f>
        <v>0</v>
      </c>
      <c r="AP1699" s="121">
        <f>IF(tech_base!$T235&gt;AP$1465,"",(tech_base!$J235/tech_proj!AP359*0.086*$N$110)/(1-tech_proj!AP639))</f>
        <v>0</v>
      </c>
      <c r="AQ1699" s="121">
        <f>IF(tech_base!$T235&gt;AQ$1465,"",(tech_base!$J235/tech_proj!AQ359*0.086*$N$110)/(1-tech_proj!AQ639))</f>
        <v>0</v>
      </c>
      <c r="AR1699" s="121">
        <f>IF(tech_base!$T235&gt;AR$1465,"",(tech_base!$J235/tech_proj!AR359*0.086*$N$110)/(1-tech_proj!AR639))</f>
        <v>0</v>
      </c>
      <c r="AS1699" s="121">
        <f>IF(tech_base!$T235&gt;AS$1465,"",(tech_base!$J235/tech_proj!AS359*0.086*$N$110)/(1-tech_proj!AS639))</f>
        <v>0</v>
      </c>
      <c r="AT1699" s="121">
        <f>IF(tech_base!$T235&gt;AT$1465,"",(tech_base!$J235/tech_proj!AT359*0.086*$N$110)/(1-tech_proj!AT639))</f>
        <v>0</v>
      </c>
      <c r="AU1699" s="121">
        <f>IF(tech_base!$T235&gt;AU$1465,"",(tech_base!$J235/tech_proj!AU359*0.086*$N$110)/(1-tech_proj!AU639))</f>
        <v>0</v>
      </c>
      <c r="AV1699" s="121">
        <f>IF(tech_base!$T235&gt;AV$1465,"",(tech_base!$J235/tech_proj!AV359*0.086*$N$110)/(1-tech_proj!AV639))</f>
        <v>0</v>
      </c>
      <c r="AW1699" s="121">
        <f>IF(tech_base!$T235&gt;AW$1465,"",(tech_base!$J235/tech_proj!AW359*0.086*$N$110)/(1-tech_proj!AW639))</f>
        <v>0</v>
      </c>
      <c r="AX1699" s="122">
        <f>IF(tech_base!$T235&gt;AX$1465,"",(tech_base!$J235/tech_proj!AX359*0.086*$N$110)/(1-tech_proj!AX639))</f>
        <v>0</v>
      </c>
    </row>
    <row r="1700" spans="1:50" x14ac:dyDescent="0.25">
      <c r="A1700" s="356"/>
      <c r="B1700" s="376"/>
      <c r="C1700" s="378"/>
      <c r="D1700" s="2" t="s">
        <v>10</v>
      </c>
      <c r="E1700" s="160" t="str">
        <f>A1699&amp;"/"&amp;B1699&amp;"/"&amp;C1699&amp;"/"&amp;D1700</f>
        <v>Fuel cells/Natural gas fuel cell power plant/Electricity only/S</v>
      </c>
      <c r="F1700" s="76" t="str">
        <f>A1699</f>
        <v>Fuel cells</v>
      </c>
      <c r="G1700" s="76" t="str">
        <f>B1699</f>
        <v>Natural gas fuel cell power plant</v>
      </c>
      <c r="H1700" s="76" t="str">
        <f>C1699</f>
        <v>Electricity only</v>
      </c>
      <c r="I1700" s="161" t="str">
        <f t="shared" si="380"/>
        <v>S</v>
      </c>
      <c r="J1700" s="119" t="str">
        <f>IF(tech_base!$T236&gt;J$1465,"",(tech_base!$J236/tech_proj!J360*0.086*$N$110)/(1-tech_proj!J640))</f>
        <v/>
      </c>
      <c r="K1700" s="119" t="str">
        <f>IF(tech_base!$T236&gt;K$1465,"",(tech_base!$J236/tech_proj!K360*0.086*$N$110)/(1-tech_proj!K640))</f>
        <v/>
      </c>
      <c r="L1700" s="119" t="str">
        <f>IF(tech_base!$T236&gt;L$1465,"",(tech_base!$J236/tech_proj!L360*0.086*$N$110)/(1-tech_proj!L640))</f>
        <v/>
      </c>
      <c r="M1700" s="119" t="str">
        <f>IF(tech_base!$T236&gt;M$1465,"",(tech_base!$J236/tech_proj!M360*0.086*$N$110)/(1-tech_proj!M640))</f>
        <v/>
      </c>
      <c r="N1700" s="119" t="str">
        <f>IF(tech_base!$T236&gt;N$1465,"",(tech_base!$J236/tech_proj!N360*0.086*$N$110)/(1-tech_proj!N640))</f>
        <v/>
      </c>
      <c r="O1700" s="119" t="str">
        <f>IF(tech_base!$T236&gt;O$1465,"",(tech_base!$J236/tech_proj!O360*0.086*$N$110)/(1-tech_proj!O640))</f>
        <v/>
      </c>
      <c r="P1700" s="119" t="str">
        <f>IF(tech_base!$T236&gt;P$1465,"",(tech_base!$J236/tech_proj!P360*0.086*$N$110)/(1-tech_proj!P640))</f>
        <v/>
      </c>
      <c r="Q1700" s="119" t="str">
        <f>IF(tech_base!$T236&gt;Q$1465,"",(tech_base!$J236/tech_proj!Q360*0.086*$N$110)/(1-tech_proj!Q640))</f>
        <v/>
      </c>
      <c r="R1700" s="119" t="str">
        <f>IF(tech_base!$T236&gt;R$1465,"",(tech_base!$J236/tech_proj!R360*0.086*$N$110)/(1-tech_proj!R640))</f>
        <v/>
      </c>
      <c r="S1700" s="119" t="str">
        <f>IF(tech_base!$T236&gt;S$1465,"",(tech_base!$J236/tech_proj!S360*0.086*$N$110)/(1-tech_proj!S640))</f>
        <v/>
      </c>
      <c r="T1700" s="119" t="str">
        <f>IF(tech_base!$T236&gt;T$1465,"",(tech_base!$J236/tech_proj!T360*0.086*$N$110)/(1-tech_proj!T640))</f>
        <v/>
      </c>
      <c r="U1700" s="119" t="str">
        <f>IF(tech_base!$T236&gt;U$1465,"",(tech_base!$J236/tech_proj!U360*0.086*$N$110)/(1-tech_proj!U640))</f>
        <v/>
      </c>
      <c r="V1700" s="119" t="str">
        <f>IF(tech_base!$T236&gt;V$1465,"",(tech_base!$J236/tech_proj!V360*0.086*$N$110)/(1-tech_proj!V640))</f>
        <v/>
      </c>
      <c r="W1700" s="119" t="str">
        <f>IF(tech_base!$T236&gt;W$1465,"",(tech_base!$J236/tech_proj!W360*0.086*$N$110)/(1-tech_proj!W640))</f>
        <v/>
      </c>
      <c r="X1700" s="119" t="str">
        <f>IF(tech_base!$T236&gt;X$1465,"",(tech_base!$J236/tech_proj!X360*0.086*$N$110)/(1-tech_proj!X640))</f>
        <v/>
      </c>
      <c r="Y1700" s="119" t="str">
        <f>IF(tech_base!$T236&gt;Y$1465,"",(tech_base!$J236/tech_proj!Y360*0.086*$N$110)/(1-tech_proj!Y640))</f>
        <v/>
      </c>
      <c r="Z1700" s="119" t="str">
        <f>IF(tech_base!$T236&gt;Z$1465,"",(tech_base!$J236/tech_proj!Z360*0.086*$N$110)/(1-tech_proj!Z640))</f>
        <v/>
      </c>
      <c r="AA1700" s="119" t="str">
        <f>IF(tech_base!$T236&gt;AA$1465,"",(tech_base!$J236/tech_proj!AA360*0.086*$N$110)/(1-tech_proj!AA640))</f>
        <v/>
      </c>
      <c r="AB1700" s="119" t="str">
        <f>IF(tech_base!$T236&gt;AB$1465,"",(tech_base!$J236/tech_proj!AB360*0.086*$N$110)/(1-tech_proj!AB640))</f>
        <v/>
      </c>
      <c r="AC1700" s="119">
        <f>IF(tech_base!$T236&gt;AC$1465,"",(tech_base!$J236/tech_proj!AC360*0.086*$N$110)/(1-tech_proj!AC640))</f>
        <v>0</v>
      </c>
      <c r="AD1700" s="119">
        <f>IF(tech_base!$T236&gt;AD$1465,"",(tech_base!$J236/tech_proj!AD360*0.086*$N$110)/(1-tech_proj!AD640))</f>
        <v>0</v>
      </c>
      <c r="AE1700" s="119">
        <f>IF(tech_base!$T236&gt;AE$1465,"",(tech_base!$J236/tech_proj!AE360*0.086*$N$110)/(1-tech_proj!AE640))</f>
        <v>0</v>
      </c>
      <c r="AF1700" s="119">
        <f>IF(tech_base!$T236&gt;AF$1465,"",(tech_base!$J236/tech_proj!AF360*0.086*$N$110)/(1-tech_proj!AF640))</f>
        <v>0</v>
      </c>
      <c r="AG1700" s="119">
        <f>IF(tech_base!$T236&gt;AG$1465,"",(tech_base!$J236/tech_proj!AG360*0.086*$N$110)/(1-tech_proj!AG640))</f>
        <v>0</v>
      </c>
      <c r="AH1700" s="119">
        <f>IF(tech_base!$T236&gt;AH$1465,"",(tech_base!$J236/tech_proj!AH360*0.086*$N$110)/(1-tech_proj!AH640))</f>
        <v>0</v>
      </c>
      <c r="AI1700" s="119">
        <f>IF(tech_base!$T236&gt;AI$1465,"",(tech_base!$J236/tech_proj!AI360*0.086*$N$110)/(1-tech_proj!AI640))</f>
        <v>0</v>
      </c>
      <c r="AJ1700" s="119">
        <f>IF(tech_base!$T236&gt;AJ$1465,"",(tech_base!$J236/tech_proj!AJ360*0.086*$N$110)/(1-tech_proj!AJ640))</f>
        <v>0</v>
      </c>
      <c r="AK1700" s="119">
        <f>IF(tech_base!$T236&gt;AK$1465,"",(tech_base!$J236/tech_proj!AK360*0.086*$N$110)/(1-tech_proj!AK640))</f>
        <v>0</v>
      </c>
      <c r="AL1700" s="119">
        <f>IF(tech_base!$T236&gt;AL$1465,"",(tech_base!$J236/tech_proj!AL360*0.086*$N$110)/(1-tech_proj!AL640))</f>
        <v>0</v>
      </c>
      <c r="AM1700" s="119">
        <f>IF(tech_base!$T236&gt;AM$1465,"",(tech_base!$J236/tech_proj!AM360*0.086*$N$110)/(1-tech_proj!AM640))</f>
        <v>0</v>
      </c>
      <c r="AN1700" s="119">
        <f>IF(tech_base!$T236&gt;AN$1465,"",(tech_base!$J236/tech_proj!AN360*0.086*$N$110)/(1-tech_proj!AN640))</f>
        <v>0</v>
      </c>
      <c r="AO1700" s="119">
        <f>IF(tech_base!$T236&gt;AO$1465,"",(tech_base!$J236/tech_proj!AO360*0.086*$N$110)/(1-tech_proj!AO640))</f>
        <v>0</v>
      </c>
      <c r="AP1700" s="119">
        <f>IF(tech_base!$T236&gt;AP$1465,"",(tech_base!$J236/tech_proj!AP360*0.086*$N$110)/(1-tech_proj!AP640))</f>
        <v>0</v>
      </c>
      <c r="AQ1700" s="119">
        <f>IF(tech_base!$T236&gt;AQ$1465,"",(tech_base!$J236/tech_proj!AQ360*0.086*$N$110)/(1-tech_proj!AQ640))</f>
        <v>0</v>
      </c>
      <c r="AR1700" s="119">
        <f>IF(tech_base!$T236&gt;AR$1465,"",(tech_base!$J236/tech_proj!AR360*0.086*$N$110)/(1-tech_proj!AR640))</f>
        <v>0</v>
      </c>
      <c r="AS1700" s="119">
        <f>IF(tech_base!$T236&gt;AS$1465,"",(tech_base!$J236/tech_proj!AS360*0.086*$N$110)/(1-tech_proj!AS640))</f>
        <v>0</v>
      </c>
      <c r="AT1700" s="119">
        <f>IF(tech_base!$T236&gt;AT$1465,"",(tech_base!$J236/tech_proj!AT360*0.086*$N$110)/(1-tech_proj!AT640))</f>
        <v>0</v>
      </c>
      <c r="AU1700" s="119">
        <f>IF(tech_base!$T236&gt;AU$1465,"",(tech_base!$J236/tech_proj!AU360*0.086*$N$110)/(1-tech_proj!AU640))</f>
        <v>0</v>
      </c>
      <c r="AV1700" s="119">
        <f>IF(tech_base!$T236&gt;AV$1465,"",(tech_base!$J236/tech_proj!AV360*0.086*$N$110)/(1-tech_proj!AV640))</f>
        <v>0</v>
      </c>
      <c r="AW1700" s="119">
        <f>IF(tech_base!$T236&gt;AW$1465,"",(tech_base!$J236/tech_proj!AW360*0.086*$N$110)/(1-tech_proj!AW640))</f>
        <v>0</v>
      </c>
      <c r="AX1700" s="120">
        <f>IF(tech_base!$T236&gt;AX$1465,"",(tech_base!$J236/tech_proj!AX360*0.086*$N$110)/(1-tech_proj!AX640))</f>
        <v>0</v>
      </c>
    </row>
    <row r="1701" spans="1:50" x14ac:dyDescent="0.25">
      <c r="A1701" s="356"/>
      <c r="B1701" s="377"/>
      <c r="C1701" s="379"/>
      <c r="D1701" s="59" t="s">
        <v>20</v>
      </c>
      <c r="E1701" s="166" t="str">
        <f>A1699&amp;"/"&amp;B1699&amp;"/"&amp;C1699&amp;"/"&amp;D1701</f>
        <v>Fuel cells/Natural gas fuel cell power plant/Electricity only/XS</v>
      </c>
      <c r="F1701" s="79" t="str">
        <f>A1699</f>
        <v>Fuel cells</v>
      </c>
      <c r="G1701" s="79" t="str">
        <f>B1699</f>
        <v>Natural gas fuel cell power plant</v>
      </c>
      <c r="H1701" s="79" t="str">
        <f>C1699</f>
        <v>Electricity only</v>
      </c>
      <c r="I1701" s="167" t="str">
        <f t="shared" si="380"/>
        <v>XS</v>
      </c>
      <c r="J1701" s="125" t="str">
        <f>IF(tech_base!$T237&gt;J$1465,"",(tech_base!$J237/tech_proj!J361*0.086*$N$110)/(1-tech_proj!J641))</f>
        <v/>
      </c>
      <c r="K1701" s="125" t="str">
        <f>IF(tech_base!$T237&gt;K$1465,"",(tech_base!$J237/tech_proj!K361*0.086*$N$110)/(1-tech_proj!K641))</f>
        <v/>
      </c>
      <c r="L1701" s="125" t="str">
        <f>IF(tech_base!$T237&gt;L$1465,"",(tech_base!$J237/tech_proj!L361*0.086*$N$110)/(1-tech_proj!L641))</f>
        <v/>
      </c>
      <c r="M1701" s="125" t="str">
        <f>IF(tech_base!$T237&gt;M$1465,"",(tech_base!$J237/tech_proj!M361*0.086*$N$110)/(1-tech_proj!M641))</f>
        <v/>
      </c>
      <c r="N1701" s="125" t="str">
        <f>IF(tech_base!$T237&gt;N$1465,"",(tech_base!$J237/tech_proj!N361*0.086*$N$110)/(1-tech_proj!N641))</f>
        <v/>
      </c>
      <c r="O1701" s="125" t="str">
        <f>IF(tech_base!$T237&gt;O$1465,"",(tech_base!$J237/tech_proj!O361*0.086*$N$110)/(1-tech_proj!O641))</f>
        <v/>
      </c>
      <c r="P1701" s="125" t="str">
        <f>IF(tech_base!$T237&gt;P$1465,"",(tech_base!$J237/tech_proj!P361*0.086*$N$110)/(1-tech_proj!P641))</f>
        <v/>
      </c>
      <c r="Q1701" s="125" t="str">
        <f>IF(tech_base!$T237&gt;Q$1465,"",(tech_base!$J237/tech_proj!Q361*0.086*$N$110)/(1-tech_proj!Q641))</f>
        <v/>
      </c>
      <c r="R1701" s="125" t="str">
        <f>IF(tech_base!$T237&gt;R$1465,"",(tech_base!$J237/tech_proj!R361*0.086*$N$110)/(1-tech_proj!R641))</f>
        <v/>
      </c>
      <c r="S1701" s="125" t="str">
        <f>IF(tech_base!$T237&gt;S$1465,"",(tech_base!$J237/tech_proj!S361*0.086*$N$110)/(1-tech_proj!S641))</f>
        <v/>
      </c>
      <c r="T1701" s="125" t="str">
        <f>IF(tech_base!$T237&gt;T$1465,"",(tech_base!$J237/tech_proj!T361*0.086*$N$110)/(1-tech_proj!T641))</f>
        <v/>
      </c>
      <c r="U1701" s="125" t="str">
        <f>IF(tech_base!$T237&gt;U$1465,"",(tech_base!$J237/tech_proj!U361*0.086*$N$110)/(1-tech_proj!U641))</f>
        <v/>
      </c>
      <c r="V1701" s="125" t="str">
        <f>IF(tech_base!$T237&gt;V$1465,"",(tech_base!$J237/tech_proj!V361*0.086*$N$110)/(1-tech_proj!V641))</f>
        <v/>
      </c>
      <c r="W1701" s="125" t="str">
        <f>IF(tech_base!$T237&gt;W$1465,"",(tech_base!$J237/tech_proj!W361*0.086*$N$110)/(1-tech_proj!W641))</f>
        <v/>
      </c>
      <c r="X1701" s="125" t="str">
        <f>IF(tech_base!$T237&gt;X$1465,"",(tech_base!$J237/tech_proj!X361*0.086*$N$110)/(1-tech_proj!X641))</f>
        <v/>
      </c>
      <c r="Y1701" s="125" t="str">
        <f>IF(tech_base!$T237&gt;Y$1465,"",(tech_base!$J237/tech_proj!Y361*0.086*$N$110)/(1-tech_proj!Y641))</f>
        <v/>
      </c>
      <c r="Z1701" s="125">
        <f>IF(tech_base!$T237&gt;Z$1465,"",(tech_base!$J237/tech_proj!Z361*0.086*$N$110)/(1-tech_proj!Z641))</f>
        <v>0</v>
      </c>
      <c r="AA1701" s="125">
        <f>IF(tech_base!$T237&gt;AA$1465,"",(tech_base!$J237/tech_proj!AA361*0.086*$N$110)/(1-tech_proj!AA641))</f>
        <v>0</v>
      </c>
      <c r="AB1701" s="125">
        <f>IF(tech_base!$T237&gt;AB$1465,"",(tech_base!$J237/tech_proj!AB361*0.086*$N$110)/(1-tech_proj!AB641))</f>
        <v>0</v>
      </c>
      <c r="AC1701" s="125">
        <f>IF(tech_base!$T237&gt;AC$1465,"",(tech_base!$J237/tech_proj!AC361*0.086*$N$110)/(1-tech_proj!AC641))</f>
        <v>0</v>
      </c>
      <c r="AD1701" s="125">
        <f>IF(tech_base!$T237&gt;AD$1465,"",(tech_base!$J237/tech_proj!AD361*0.086*$N$110)/(1-tech_proj!AD641))</f>
        <v>0</v>
      </c>
      <c r="AE1701" s="125">
        <f>IF(tech_base!$T237&gt;AE$1465,"",(tech_base!$J237/tech_proj!AE361*0.086*$N$110)/(1-tech_proj!AE641))</f>
        <v>0</v>
      </c>
      <c r="AF1701" s="125">
        <f>IF(tech_base!$T237&gt;AF$1465,"",(tech_base!$J237/tech_proj!AF361*0.086*$N$110)/(1-tech_proj!AF641))</f>
        <v>0</v>
      </c>
      <c r="AG1701" s="125">
        <f>IF(tech_base!$T237&gt;AG$1465,"",(tech_base!$J237/tech_proj!AG361*0.086*$N$110)/(1-tech_proj!AG641))</f>
        <v>0</v>
      </c>
      <c r="AH1701" s="125">
        <f>IF(tech_base!$T237&gt;AH$1465,"",(tech_base!$J237/tech_proj!AH361*0.086*$N$110)/(1-tech_proj!AH641))</f>
        <v>0</v>
      </c>
      <c r="AI1701" s="125">
        <f>IF(tech_base!$T237&gt;AI$1465,"",(tech_base!$J237/tech_proj!AI361*0.086*$N$110)/(1-tech_proj!AI641))</f>
        <v>0</v>
      </c>
      <c r="AJ1701" s="125">
        <f>IF(tech_base!$T237&gt;AJ$1465,"",(tech_base!$J237/tech_proj!AJ361*0.086*$N$110)/(1-tech_proj!AJ641))</f>
        <v>0</v>
      </c>
      <c r="AK1701" s="125">
        <f>IF(tech_base!$T237&gt;AK$1465,"",(tech_base!$J237/tech_proj!AK361*0.086*$N$110)/(1-tech_proj!AK641))</f>
        <v>0</v>
      </c>
      <c r="AL1701" s="125">
        <f>IF(tech_base!$T237&gt;AL$1465,"",(tech_base!$J237/tech_proj!AL361*0.086*$N$110)/(1-tech_proj!AL641))</f>
        <v>0</v>
      </c>
      <c r="AM1701" s="125">
        <f>IF(tech_base!$T237&gt;AM$1465,"",(tech_base!$J237/tech_proj!AM361*0.086*$N$110)/(1-tech_proj!AM641))</f>
        <v>0</v>
      </c>
      <c r="AN1701" s="125">
        <f>IF(tech_base!$T237&gt;AN$1465,"",(tech_base!$J237/tech_proj!AN361*0.086*$N$110)/(1-tech_proj!AN641))</f>
        <v>0</v>
      </c>
      <c r="AO1701" s="125">
        <f>IF(tech_base!$T237&gt;AO$1465,"",(tech_base!$J237/tech_proj!AO361*0.086*$N$110)/(1-tech_proj!AO641))</f>
        <v>0</v>
      </c>
      <c r="AP1701" s="125">
        <f>IF(tech_base!$T237&gt;AP$1465,"",(tech_base!$J237/tech_proj!AP361*0.086*$N$110)/(1-tech_proj!AP641))</f>
        <v>0</v>
      </c>
      <c r="AQ1701" s="125">
        <f>IF(tech_base!$T237&gt;AQ$1465,"",(tech_base!$J237/tech_proj!AQ361*0.086*$N$110)/(1-tech_proj!AQ641))</f>
        <v>0</v>
      </c>
      <c r="AR1701" s="125">
        <f>IF(tech_base!$T237&gt;AR$1465,"",(tech_base!$J237/tech_proj!AR361*0.086*$N$110)/(1-tech_proj!AR641))</f>
        <v>0</v>
      </c>
      <c r="AS1701" s="125">
        <f>IF(tech_base!$T237&gt;AS$1465,"",(tech_base!$J237/tech_proj!AS361*0.086*$N$110)/(1-tech_proj!AS641))</f>
        <v>0</v>
      </c>
      <c r="AT1701" s="125">
        <f>IF(tech_base!$T237&gt;AT$1465,"",(tech_base!$J237/tech_proj!AT361*0.086*$N$110)/(1-tech_proj!AT641))</f>
        <v>0</v>
      </c>
      <c r="AU1701" s="125">
        <f>IF(tech_base!$T237&gt;AU$1465,"",(tech_base!$J237/tech_proj!AU361*0.086*$N$110)/(1-tech_proj!AU641))</f>
        <v>0</v>
      </c>
      <c r="AV1701" s="125">
        <f>IF(tech_base!$T237&gt;AV$1465,"",(tech_base!$J237/tech_proj!AV361*0.086*$N$110)/(1-tech_proj!AV641))</f>
        <v>0</v>
      </c>
      <c r="AW1701" s="125">
        <f>IF(tech_base!$T237&gt;AW$1465,"",(tech_base!$J237/tech_proj!AW361*0.086*$N$110)/(1-tech_proj!AW641))</f>
        <v>0</v>
      </c>
      <c r="AX1701" s="126">
        <f>IF(tech_base!$T237&gt;AX$1465,"",(tech_base!$J237/tech_proj!AX361*0.086*$N$110)/(1-tech_proj!AX641))</f>
        <v>0</v>
      </c>
    </row>
    <row r="1702" spans="1:50" x14ac:dyDescent="0.25">
      <c r="A1702" s="356"/>
      <c r="B1702" s="359" t="s">
        <v>33</v>
      </c>
      <c r="C1702" s="350" t="s">
        <v>6</v>
      </c>
      <c r="D1702" s="2" t="s">
        <v>8</v>
      </c>
      <c r="E1702" s="160" t="str">
        <f>A1699&amp;"/"&amp;B1702&amp;"/"&amp;C1702&amp;"/"&amp;D1702</f>
        <v>Fuel cells/Hydrogen fuel cell power plant/Electricity only/M</v>
      </c>
      <c r="F1702" s="76" t="str">
        <f>A1699</f>
        <v>Fuel cells</v>
      </c>
      <c r="G1702" s="76" t="str">
        <f>B1702</f>
        <v>Hydrogen fuel cell power plant</v>
      </c>
      <c r="H1702" s="76" t="str">
        <f>C1702</f>
        <v>Electricity only</v>
      </c>
      <c r="I1702" s="161" t="str">
        <f t="shared" si="380"/>
        <v>M</v>
      </c>
      <c r="J1702" s="119" t="str">
        <f>IF(tech_base!$T238&gt;J$1465,"",(tech_base!$J238/tech_proj!J362*0.086*$N$110)/(1-tech_proj!J642))</f>
        <v/>
      </c>
      <c r="K1702" s="119" t="str">
        <f>IF(tech_base!$T238&gt;K$1465,"",(tech_base!$J238/tech_proj!K362*0.086*$N$110)/(1-tech_proj!K642))</f>
        <v/>
      </c>
      <c r="L1702" s="119" t="str">
        <f>IF(tech_base!$T238&gt;L$1465,"",(tech_base!$J238/tech_proj!L362*0.086*$N$110)/(1-tech_proj!L642))</f>
        <v/>
      </c>
      <c r="M1702" s="119" t="str">
        <f>IF(tech_base!$T238&gt;M$1465,"",(tech_base!$J238/tech_proj!M362*0.086*$N$110)/(1-tech_proj!M642))</f>
        <v/>
      </c>
      <c r="N1702" s="119" t="str">
        <f>IF(tech_base!$T238&gt;N$1465,"",(tech_base!$J238/tech_proj!N362*0.086*$N$110)/(1-tech_proj!N642))</f>
        <v/>
      </c>
      <c r="O1702" s="119" t="str">
        <f>IF(tech_base!$T238&gt;O$1465,"",(tech_base!$J238/tech_proj!O362*0.086*$N$110)/(1-tech_proj!O642))</f>
        <v/>
      </c>
      <c r="P1702" s="119" t="str">
        <f>IF(tech_base!$T238&gt;P$1465,"",(tech_base!$J238/tech_proj!P362*0.086*$N$110)/(1-tech_proj!P642))</f>
        <v/>
      </c>
      <c r="Q1702" s="119" t="str">
        <f>IF(tech_base!$T238&gt;Q$1465,"",(tech_base!$J238/tech_proj!Q362*0.086*$N$110)/(1-tech_proj!Q642))</f>
        <v/>
      </c>
      <c r="R1702" s="119" t="str">
        <f>IF(tech_base!$T238&gt;R$1465,"",(tech_base!$J238/tech_proj!R362*0.086*$N$110)/(1-tech_proj!R642))</f>
        <v/>
      </c>
      <c r="S1702" s="119" t="str">
        <f>IF(tech_base!$T238&gt;S$1465,"",(tech_base!$J238/tech_proj!S362*0.086*$N$110)/(1-tech_proj!S642))</f>
        <v/>
      </c>
      <c r="T1702" s="119" t="str">
        <f>IF(tech_base!$T238&gt;T$1465,"",(tech_base!$J238/tech_proj!T362*0.086*$N$110)/(1-tech_proj!T642))</f>
        <v/>
      </c>
      <c r="U1702" s="119" t="str">
        <f>IF(tech_base!$T238&gt;U$1465,"",(tech_base!$J238/tech_proj!U362*0.086*$N$110)/(1-tech_proj!U642))</f>
        <v/>
      </c>
      <c r="V1702" s="119" t="str">
        <f>IF(tech_base!$T238&gt;V$1465,"",(tech_base!$J238/tech_proj!V362*0.086*$N$110)/(1-tech_proj!V642))</f>
        <v/>
      </c>
      <c r="W1702" s="119" t="str">
        <f>IF(tech_base!$T238&gt;W$1465,"",(tech_base!$J238/tech_proj!W362*0.086*$N$110)/(1-tech_proj!W642))</f>
        <v/>
      </c>
      <c r="X1702" s="119" t="str">
        <f>IF(tech_base!$T238&gt;X$1465,"",(tech_base!$J238/tech_proj!X362*0.086*$N$110)/(1-tech_proj!X642))</f>
        <v/>
      </c>
      <c r="Y1702" s="119" t="str">
        <f>IF(tech_base!$T238&gt;Y$1465,"",(tech_base!$J238/tech_proj!Y362*0.086*$N$110)/(1-tech_proj!Y642))</f>
        <v/>
      </c>
      <c r="Z1702" s="119" t="str">
        <f>IF(tech_base!$T238&gt;Z$1465,"",(tech_base!$J238/tech_proj!Z362*0.086*$N$110)/(1-tech_proj!Z642))</f>
        <v/>
      </c>
      <c r="AA1702" s="119" t="str">
        <f>IF(tech_base!$T238&gt;AA$1465,"",(tech_base!$J238/tech_proj!AA362*0.086*$N$110)/(1-tech_proj!AA642))</f>
        <v/>
      </c>
      <c r="AB1702" s="119" t="str">
        <f>IF(tech_base!$T238&gt;AB$1465,"",(tech_base!$J238/tech_proj!AB362*0.086*$N$110)/(1-tech_proj!AB642))</f>
        <v/>
      </c>
      <c r="AC1702" s="119" t="str">
        <f>IF(tech_base!$T238&gt;AC$1465,"",(tech_base!$J238/tech_proj!AC362*0.086*$N$110)/(1-tech_proj!AC642))</f>
        <v/>
      </c>
      <c r="AD1702" s="119" t="str">
        <f>IF(tech_base!$T238&gt;AD$1465,"",(tech_base!$J238/tech_proj!AD362*0.086*$N$110)/(1-tech_proj!AD642))</f>
        <v/>
      </c>
      <c r="AE1702" s="119" t="str">
        <f>IF(tech_base!$T238&gt;AE$1465,"",(tech_base!$J238/tech_proj!AE362*0.086*$N$110)/(1-tech_proj!AE642))</f>
        <v/>
      </c>
      <c r="AF1702" s="119" t="str">
        <f>IF(tech_base!$T238&gt;AF$1465,"",(tech_base!$J238/tech_proj!AF362*0.086*$N$110)/(1-tech_proj!AF642))</f>
        <v/>
      </c>
      <c r="AG1702" s="119">
        <f>IF(tech_base!$T238&gt;AG$1465,"",(tech_base!$J238/tech_proj!AG362*0.086*$N$110)/(1-tech_proj!AG642))</f>
        <v>0</v>
      </c>
      <c r="AH1702" s="119">
        <f>IF(tech_base!$T238&gt;AH$1465,"",(tech_base!$J238/tech_proj!AH362*0.086*$N$110)/(1-tech_proj!AH642))</f>
        <v>0</v>
      </c>
      <c r="AI1702" s="119">
        <f>IF(tech_base!$T238&gt;AI$1465,"",(tech_base!$J238/tech_proj!AI362*0.086*$N$110)/(1-tech_proj!AI642))</f>
        <v>0</v>
      </c>
      <c r="AJ1702" s="119">
        <f>IF(tech_base!$T238&gt;AJ$1465,"",(tech_base!$J238/tech_proj!AJ362*0.086*$N$110)/(1-tech_proj!AJ642))</f>
        <v>0</v>
      </c>
      <c r="AK1702" s="119">
        <f>IF(tech_base!$T238&gt;AK$1465,"",(tech_base!$J238/tech_proj!AK362*0.086*$N$110)/(1-tech_proj!AK642))</f>
        <v>0</v>
      </c>
      <c r="AL1702" s="119">
        <f>IF(tech_base!$T238&gt;AL$1465,"",(tech_base!$J238/tech_proj!AL362*0.086*$N$110)/(1-tech_proj!AL642))</f>
        <v>0</v>
      </c>
      <c r="AM1702" s="119">
        <f>IF(tech_base!$T238&gt;AM$1465,"",(tech_base!$J238/tech_proj!AM362*0.086*$N$110)/(1-tech_proj!AM642))</f>
        <v>0</v>
      </c>
      <c r="AN1702" s="119">
        <f>IF(tech_base!$T238&gt;AN$1465,"",(tech_base!$J238/tech_proj!AN362*0.086*$N$110)/(1-tech_proj!AN642))</f>
        <v>0</v>
      </c>
      <c r="AO1702" s="119">
        <f>IF(tech_base!$T238&gt;AO$1465,"",(tech_base!$J238/tech_proj!AO362*0.086*$N$110)/(1-tech_proj!AO642))</f>
        <v>0</v>
      </c>
      <c r="AP1702" s="119">
        <f>IF(tech_base!$T238&gt;AP$1465,"",(tech_base!$J238/tech_proj!AP362*0.086*$N$110)/(1-tech_proj!AP642))</f>
        <v>0</v>
      </c>
      <c r="AQ1702" s="119">
        <f>IF(tech_base!$T238&gt;AQ$1465,"",(tech_base!$J238/tech_proj!AQ362*0.086*$N$110)/(1-tech_proj!AQ642))</f>
        <v>0</v>
      </c>
      <c r="AR1702" s="119">
        <f>IF(tech_base!$T238&gt;AR$1465,"",(tech_base!$J238/tech_proj!AR362*0.086*$N$110)/(1-tech_proj!AR642))</f>
        <v>0</v>
      </c>
      <c r="AS1702" s="119">
        <f>IF(tech_base!$T238&gt;AS$1465,"",(tech_base!$J238/tech_proj!AS362*0.086*$N$110)/(1-tech_proj!AS642))</f>
        <v>0</v>
      </c>
      <c r="AT1702" s="119">
        <f>IF(tech_base!$T238&gt;AT$1465,"",(tech_base!$J238/tech_proj!AT362*0.086*$N$110)/(1-tech_proj!AT642))</f>
        <v>0</v>
      </c>
      <c r="AU1702" s="119">
        <f>IF(tech_base!$T238&gt;AU$1465,"",(tech_base!$J238/tech_proj!AU362*0.086*$N$110)/(1-tech_proj!AU642))</f>
        <v>0</v>
      </c>
      <c r="AV1702" s="119">
        <f>IF(tech_base!$T238&gt;AV$1465,"",(tech_base!$J238/tech_proj!AV362*0.086*$N$110)/(1-tech_proj!AV642))</f>
        <v>0</v>
      </c>
      <c r="AW1702" s="119">
        <f>IF(tech_base!$T238&gt;AW$1465,"",(tech_base!$J238/tech_proj!AW362*0.086*$N$110)/(1-tech_proj!AW642))</f>
        <v>0</v>
      </c>
      <c r="AX1702" s="120">
        <f>IF(tech_base!$T238&gt;AX$1465,"",(tech_base!$J238/tech_proj!AX362*0.086*$N$110)/(1-tech_proj!AX642))</f>
        <v>0</v>
      </c>
    </row>
    <row r="1703" spans="1:50" x14ac:dyDescent="0.25">
      <c r="A1703" s="356"/>
      <c r="B1703" s="376"/>
      <c r="C1703" s="378"/>
      <c r="D1703" s="2" t="s">
        <v>10</v>
      </c>
      <c r="E1703" s="160" t="str">
        <f>A1699&amp;"/"&amp;B1702&amp;"/"&amp;C1702&amp;"/"&amp;D1703</f>
        <v>Fuel cells/Hydrogen fuel cell power plant/Electricity only/S</v>
      </c>
      <c r="F1703" s="76" t="str">
        <f>A1699</f>
        <v>Fuel cells</v>
      </c>
      <c r="G1703" s="76" t="str">
        <f>B1702</f>
        <v>Hydrogen fuel cell power plant</v>
      </c>
      <c r="H1703" s="76" t="str">
        <f>C1702</f>
        <v>Electricity only</v>
      </c>
      <c r="I1703" s="161" t="str">
        <f t="shared" si="380"/>
        <v>S</v>
      </c>
      <c r="J1703" s="119" t="str">
        <f>IF(tech_base!$T239&gt;J$1465,"",(tech_base!$J239/tech_proj!J363*0.086*$N$110)/(1-tech_proj!J643))</f>
        <v/>
      </c>
      <c r="K1703" s="119" t="str">
        <f>IF(tech_base!$T239&gt;K$1465,"",(tech_base!$J239/tech_proj!K363*0.086*$N$110)/(1-tech_proj!K643))</f>
        <v/>
      </c>
      <c r="L1703" s="119" t="str">
        <f>IF(tech_base!$T239&gt;L$1465,"",(tech_base!$J239/tech_proj!L363*0.086*$N$110)/(1-tech_proj!L643))</f>
        <v/>
      </c>
      <c r="M1703" s="119" t="str">
        <f>IF(tech_base!$T239&gt;M$1465,"",(tech_base!$J239/tech_proj!M363*0.086*$N$110)/(1-tech_proj!M643))</f>
        <v/>
      </c>
      <c r="N1703" s="119" t="str">
        <f>IF(tech_base!$T239&gt;N$1465,"",(tech_base!$J239/tech_proj!N363*0.086*$N$110)/(1-tech_proj!N643))</f>
        <v/>
      </c>
      <c r="O1703" s="119" t="str">
        <f>IF(tech_base!$T239&gt;O$1465,"",(tech_base!$J239/tech_proj!O363*0.086*$N$110)/(1-tech_proj!O643))</f>
        <v/>
      </c>
      <c r="P1703" s="119" t="str">
        <f>IF(tech_base!$T239&gt;P$1465,"",(tech_base!$J239/tech_proj!P363*0.086*$N$110)/(1-tech_proj!P643))</f>
        <v/>
      </c>
      <c r="Q1703" s="119" t="str">
        <f>IF(tech_base!$T239&gt;Q$1465,"",(tech_base!$J239/tech_proj!Q363*0.086*$N$110)/(1-tech_proj!Q643))</f>
        <v/>
      </c>
      <c r="R1703" s="119" t="str">
        <f>IF(tech_base!$T239&gt;R$1465,"",(tech_base!$J239/tech_proj!R363*0.086*$N$110)/(1-tech_proj!R643))</f>
        <v/>
      </c>
      <c r="S1703" s="119" t="str">
        <f>IF(tech_base!$T239&gt;S$1465,"",(tech_base!$J239/tech_proj!S363*0.086*$N$110)/(1-tech_proj!S643))</f>
        <v/>
      </c>
      <c r="T1703" s="119" t="str">
        <f>IF(tech_base!$T239&gt;T$1465,"",(tech_base!$J239/tech_proj!T363*0.086*$N$110)/(1-tech_proj!T643))</f>
        <v/>
      </c>
      <c r="U1703" s="119" t="str">
        <f>IF(tech_base!$T239&gt;U$1465,"",(tech_base!$J239/tech_proj!U363*0.086*$N$110)/(1-tech_proj!U643))</f>
        <v/>
      </c>
      <c r="V1703" s="119" t="str">
        <f>IF(tech_base!$T239&gt;V$1465,"",(tech_base!$J239/tech_proj!V363*0.086*$N$110)/(1-tech_proj!V643))</f>
        <v/>
      </c>
      <c r="W1703" s="119" t="str">
        <f>IF(tech_base!$T239&gt;W$1465,"",(tech_base!$J239/tech_proj!W363*0.086*$N$110)/(1-tech_proj!W643))</f>
        <v/>
      </c>
      <c r="X1703" s="119" t="str">
        <f>IF(tech_base!$T239&gt;X$1465,"",(tech_base!$J239/tech_proj!X363*0.086*$N$110)/(1-tech_proj!X643))</f>
        <v/>
      </c>
      <c r="Y1703" s="119" t="str">
        <f>IF(tech_base!$T239&gt;Y$1465,"",(tech_base!$J239/tech_proj!Y363*0.086*$N$110)/(1-tech_proj!Y643))</f>
        <v/>
      </c>
      <c r="Z1703" s="119" t="str">
        <f>IF(tech_base!$T239&gt;Z$1465,"",(tech_base!$J239/tech_proj!Z363*0.086*$N$110)/(1-tech_proj!Z643))</f>
        <v/>
      </c>
      <c r="AA1703" s="119" t="str">
        <f>IF(tech_base!$T239&gt;AA$1465,"",(tech_base!$J239/tech_proj!AA363*0.086*$N$110)/(1-tech_proj!AA643))</f>
        <v/>
      </c>
      <c r="AB1703" s="119" t="str">
        <f>IF(tech_base!$T239&gt;AB$1465,"",(tech_base!$J239/tech_proj!AB363*0.086*$N$110)/(1-tech_proj!AB643))</f>
        <v/>
      </c>
      <c r="AC1703" s="119" t="str">
        <f>IF(tech_base!$T239&gt;AC$1465,"",(tech_base!$J239/tech_proj!AC363*0.086*$N$110)/(1-tech_proj!AC643))</f>
        <v/>
      </c>
      <c r="AD1703" s="119" t="str">
        <f>IF(tech_base!$T239&gt;AD$1465,"",(tech_base!$J239/tech_proj!AD363*0.086*$N$110)/(1-tech_proj!AD643))</f>
        <v/>
      </c>
      <c r="AE1703" s="119">
        <f>IF(tech_base!$T239&gt;AE$1465,"",(tech_base!$J239/tech_proj!AE363*0.086*$N$110)/(1-tech_proj!AE643))</f>
        <v>0</v>
      </c>
      <c r="AF1703" s="119">
        <f>IF(tech_base!$T239&gt;AF$1465,"",(tech_base!$J239/tech_proj!AF363*0.086*$N$110)/(1-tech_proj!AF643))</f>
        <v>0</v>
      </c>
      <c r="AG1703" s="119">
        <f>IF(tech_base!$T239&gt;AG$1465,"",(tech_base!$J239/tech_proj!AG363*0.086*$N$110)/(1-tech_proj!AG643))</f>
        <v>0</v>
      </c>
      <c r="AH1703" s="119">
        <f>IF(tech_base!$T239&gt;AH$1465,"",(tech_base!$J239/tech_proj!AH363*0.086*$N$110)/(1-tech_proj!AH643))</f>
        <v>0</v>
      </c>
      <c r="AI1703" s="119">
        <f>IF(tech_base!$T239&gt;AI$1465,"",(tech_base!$J239/tech_proj!AI363*0.086*$N$110)/(1-tech_proj!AI643))</f>
        <v>0</v>
      </c>
      <c r="AJ1703" s="119">
        <f>IF(tech_base!$T239&gt;AJ$1465,"",(tech_base!$J239/tech_proj!AJ363*0.086*$N$110)/(1-tech_proj!AJ643))</f>
        <v>0</v>
      </c>
      <c r="AK1703" s="119">
        <f>IF(tech_base!$T239&gt;AK$1465,"",(tech_base!$J239/tech_proj!AK363*0.086*$N$110)/(1-tech_proj!AK643))</f>
        <v>0</v>
      </c>
      <c r="AL1703" s="119">
        <f>IF(tech_base!$T239&gt;AL$1465,"",(tech_base!$J239/tech_proj!AL363*0.086*$N$110)/(1-tech_proj!AL643))</f>
        <v>0</v>
      </c>
      <c r="AM1703" s="119">
        <f>IF(tech_base!$T239&gt;AM$1465,"",(tech_base!$J239/tech_proj!AM363*0.086*$N$110)/(1-tech_proj!AM643))</f>
        <v>0</v>
      </c>
      <c r="AN1703" s="119">
        <f>IF(tech_base!$T239&gt;AN$1465,"",(tech_base!$J239/tech_proj!AN363*0.086*$N$110)/(1-tech_proj!AN643))</f>
        <v>0</v>
      </c>
      <c r="AO1703" s="119">
        <f>IF(tech_base!$T239&gt;AO$1465,"",(tech_base!$J239/tech_proj!AO363*0.086*$N$110)/(1-tech_proj!AO643))</f>
        <v>0</v>
      </c>
      <c r="AP1703" s="119">
        <f>IF(tech_base!$T239&gt;AP$1465,"",(tech_base!$J239/tech_proj!AP363*0.086*$N$110)/(1-tech_proj!AP643))</f>
        <v>0</v>
      </c>
      <c r="AQ1703" s="119">
        <f>IF(tech_base!$T239&gt;AQ$1465,"",(tech_base!$J239/tech_proj!AQ363*0.086*$N$110)/(1-tech_proj!AQ643))</f>
        <v>0</v>
      </c>
      <c r="AR1703" s="119">
        <f>IF(tech_base!$T239&gt;AR$1465,"",(tech_base!$J239/tech_proj!AR363*0.086*$N$110)/(1-tech_proj!AR643))</f>
        <v>0</v>
      </c>
      <c r="AS1703" s="119">
        <f>IF(tech_base!$T239&gt;AS$1465,"",(tech_base!$J239/tech_proj!AS363*0.086*$N$110)/(1-tech_proj!AS643))</f>
        <v>0</v>
      </c>
      <c r="AT1703" s="119">
        <f>IF(tech_base!$T239&gt;AT$1465,"",(tech_base!$J239/tech_proj!AT363*0.086*$N$110)/(1-tech_proj!AT643))</f>
        <v>0</v>
      </c>
      <c r="AU1703" s="119">
        <f>IF(tech_base!$T239&gt;AU$1465,"",(tech_base!$J239/tech_proj!AU363*0.086*$N$110)/(1-tech_proj!AU643))</f>
        <v>0</v>
      </c>
      <c r="AV1703" s="119">
        <f>IF(tech_base!$T239&gt;AV$1465,"",(tech_base!$J239/tech_proj!AV363*0.086*$N$110)/(1-tech_proj!AV643))</f>
        <v>0</v>
      </c>
      <c r="AW1703" s="119">
        <f>IF(tech_base!$T239&gt;AW$1465,"",(tech_base!$J239/tech_proj!AW363*0.086*$N$110)/(1-tech_proj!AW643))</f>
        <v>0</v>
      </c>
      <c r="AX1703" s="120">
        <f>IF(tech_base!$T239&gt;AX$1465,"",(tech_base!$J239/tech_proj!AX363*0.086*$N$110)/(1-tech_proj!AX643))</f>
        <v>0</v>
      </c>
    </row>
    <row r="1704" spans="1:50" x14ac:dyDescent="0.25">
      <c r="A1704" s="357"/>
      <c r="B1704" s="380"/>
      <c r="C1704" s="381"/>
      <c r="D1704" s="4" t="s">
        <v>20</v>
      </c>
      <c r="E1704" s="160" t="str">
        <f>A1699&amp;"/"&amp;B1702&amp;"/"&amp;C1702&amp;"/"&amp;D1704</f>
        <v>Fuel cells/Hydrogen fuel cell power plant/Electricity only/XS</v>
      </c>
      <c r="F1704" s="76" t="str">
        <f>A1699</f>
        <v>Fuel cells</v>
      </c>
      <c r="G1704" s="76" t="str">
        <f>B1702</f>
        <v>Hydrogen fuel cell power plant</v>
      </c>
      <c r="H1704" s="76" t="str">
        <f>C1702</f>
        <v>Electricity only</v>
      </c>
      <c r="I1704" s="161" t="str">
        <f t="shared" si="380"/>
        <v>XS</v>
      </c>
      <c r="J1704" s="119" t="str">
        <f>IF(tech_base!$T240&gt;J$1465,"",(tech_base!$J240/tech_proj!J364*0.086*$N$110)/(1-tech_proj!J644))</f>
        <v/>
      </c>
      <c r="K1704" s="119" t="str">
        <f>IF(tech_base!$T240&gt;K$1465,"",(tech_base!$J240/tech_proj!K364*0.086*$N$110)/(1-tech_proj!K644))</f>
        <v/>
      </c>
      <c r="L1704" s="119" t="str">
        <f>IF(tech_base!$T240&gt;L$1465,"",(tech_base!$J240/tech_proj!L364*0.086*$N$110)/(1-tech_proj!L644))</f>
        <v/>
      </c>
      <c r="M1704" s="119" t="str">
        <f>IF(tech_base!$T240&gt;M$1465,"",(tech_base!$J240/tech_proj!M364*0.086*$N$110)/(1-tech_proj!M644))</f>
        <v/>
      </c>
      <c r="N1704" s="119" t="str">
        <f>IF(tech_base!$T240&gt;N$1465,"",(tech_base!$J240/tech_proj!N364*0.086*$N$110)/(1-tech_proj!N644))</f>
        <v/>
      </c>
      <c r="O1704" s="119" t="str">
        <f>IF(tech_base!$T240&gt;O$1465,"",(tech_base!$J240/tech_proj!O364*0.086*$N$110)/(1-tech_proj!O644))</f>
        <v/>
      </c>
      <c r="P1704" s="119" t="str">
        <f>IF(tech_base!$T240&gt;P$1465,"",(tech_base!$J240/tech_proj!P364*0.086*$N$110)/(1-tech_proj!P644))</f>
        <v/>
      </c>
      <c r="Q1704" s="119" t="str">
        <f>IF(tech_base!$T240&gt;Q$1465,"",(tech_base!$J240/tech_proj!Q364*0.086*$N$110)/(1-tech_proj!Q644))</f>
        <v/>
      </c>
      <c r="R1704" s="119" t="str">
        <f>IF(tech_base!$T240&gt;R$1465,"",(tech_base!$J240/tech_proj!R364*0.086*$N$110)/(1-tech_proj!R644))</f>
        <v/>
      </c>
      <c r="S1704" s="119" t="str">
        <f>IF(tech_base!$T240&gt;S$1465,"",(tech_base!$J240/tech_proj!S364*0.086*$N$110)/(1-tech_proj!S644))</f>
        <v/>
      </c>
      <c r="T1704" s="119" t="str">
        <f>IF(tech_base!$T240&gt;T$1465,"",(tech_base!$J240/tech_proj!T364*0.086*$N$110)/(1-tech_proj!T644))</f>
        <v/>
      </c>
      <c r="U1704" s="119" t="str">
        <f>IF(tech_base!$T240&gt;U$1465,"",(tech_base!$J240/tech_proj!U364*0.086*$N$110)/(1-tech_proj!U644))</f>
        <v/>
      </c>
      <c r="V1704" s="119" t="str">
        <f>IF(tech_base!$T240&gt;V$1465,"",(tech_base!$J240/tech_proj!V364*0.086*$N$110)/(1-tech_proj!V644))</f>
        <v/>
      </c>
      <c r="W1704" s="119" t="str">
        <f>IF(tech_base!$T240&gt;W$1465,"",(tech_base!$J240/tech_proj!W364*0.086*$N$110)/(1-tech_proj!W644))</f>
        <v/>
      </c>
      <c r="X1704" s="119" t="str">
        <f>IF(tech_base!$T240&gt;X$1465,"",(tech_base!$J240/tech_proj!X364*0.086*$N$110)/(1-tech_proj!X644))</f>
        <v/>
      </c>
      <c r="Y1704" s="119" t="str">
        <f>IF(tech_base!$T240&gt;Y$1465,"",(tech_base!$J240/tech_proj!Y364*0.086*$N$110)/(1-tech_proj!Y644))</f>
        <v/>
      </c>
      <c r="Z1704" s="119" t="str">
        <f>IF(tech_base!$T240&gt;Z$1465,"",(tech_base!$J240/tech_proj!Z364*0.086*$N$110)/(1-tech_proj!Z644))</f>
        <v/>
      </c>
      <c r="AA1704" s="119" t="str">
        <f>IF(tech_base!$T240&gt;AA$1465,"",(tech_base!$J240/tech_proj!AA364*0.086*$N$110)/(1-tech_proj!AA644))</f>
        <v/>
      </c>
      <c r="AB1704" s="119">
        <f>IF(tech_base!$T240&gt;AB$1465,"",(tech_base!$J240/tech_proj!AB364*0.086*$N$110)/(1-tech_proj!AB644))</f>
        <v>0</v>
      </c>
      <c r="AC1704" s="119">
        <f>IF(tech_base!$T240&gt;AC$1465,"",(tech_base!$J240/tech_proj!AC364*0.086*$N$110)/(1-tech_proj!AC644))</f>
        <v>0</v>
      </c>
      <c r="AD1704" s="119">
        <f>IF(tech_base!$T240&gt;AD$1465,"",(tech_base!$J240/tech_proj!AD364*0.086*$N$110)/(1-tech_proj!AD644))</f>
        <v>0</v>
      </c>
      <c r="AE1704" s="119">
        <f>IF(tech_base!$T240&gt;AE$1465,"",(tech_base!$J240/tech_proj!AE364*0.086*$N$110)/(1-tech_proj!AE644))</f>
        <v>0</v>
      </c>
      <c r="AF1704" s="119">
        <f>IF(tech_base!$T240&gt;AF$1465,"",(tech_base!$J240/tech_proj!AF364*0.086*$N$110)/(1-tech_proj!AF644))</f>
        <v>0</v>
      </c>
      <c r="AG1704" s="119">
        <f>IF(tech_base!$T240&gt;AG$1465,"",(tech_base!$J240/tech_proj!AG364*0.086*$N$110)/(1-tech_proj!AG644))</f>
        <v>0</v>
      </c>
      <c r="AH1704" s="119">
        <f>IF(tech_base!$T240&gt;AH$1465,"",(tech_base!$J240/tech_proj!AH364*0.086*$N$110)/(1-tech_proj!AH644))</f>
        <v>0</v>
      </c>
      <c r="AI1704" s="119">
        <f>IF(tech_base!$T240&gt;AI$1465,"",(tech_base!$J240/tech_proj!AI364*0.086*$N$110)/(1-tech_proj!AI644))</f>
        <v>0</v>
      </c>
      <c r="AJ1704" s="119">
        <f>IF(tech_base!$T240&gt;AJ$1465,"",(tech_base!$J240/tech_proj!AJ364*0.086*$N$110)/(1-tech_proj!AJ644))</f>
        <v>0</v>
      </c>
      <c r="AK1704" s="119">
        <f>IF(tech_base!$T240&gt;AK$1465,"",(tech_base!$J240/tech_proj!AK364*0.086*$N$110)/(1-tech_proj!AK644))</f>
        <v>0</v>
      </c>
      <c r="AL1704" s="119">
        <f>IF(tech_base!$T240&gt;AL$1465,"",(tech_base!$J240/tech_proj!AL364*0.086*$N$110)/(1-tech_proj!AL644))</f>
        <v>0</v>
      </c>
      <c r="AM1704" s="119">
        <f>IF(tech_base!$T240&gt;AM$1465,"",(tech_base!$J240/tech_proj!AM364*0.086*$N$110)/(1-tech_proj!AM644))</f>
        <v>0</v>
      </c>
      <c r="AN1704" s="119">
        <f>IF(tech_base!$T240&gt;AN$1465,"",(tech_base!$J240/tech_proj!AN364*0.086*$N$110)/(1-tech_proj!AN644))</f>
        <v>0</v>
      </c>
      <c r="AO1704" s="119">
        <f>IF(tech_base!$T240&gt;AO$1465,"",(tech_base!$J240/tech_proj!AO364*0.086*$N$110)/(1-tech_proj!AO644))</f>
        <v>0</v>
      </c>
      <c r="AP1704" s="119">
        <f>IF(tech_base!$T240&gt;AP$1465,"",(tech_base!$J240/tech_proj!AP364*0.086*$N$110)/(1-tech_proj!AP644))</f>
        <v>0</v>
      </c>
      <c r="AQ1704" s="119">
        <f>IF(tech_base!$T240&gt;AQ$1465,"",(tech_base!$J240/tech_proj!AQ364*0.086*$N$110)/(1-tech_proj!AQ644))</f>
        <v>0</v>
      </c>
      <c r="AR1704" s="119">
        <f>IF(tech_base!$T240&gt;AR$1465,"",(tech_base!$J240/tech_proj!AR364*0.086*$N$110)/(1-tech_proj!AR644))</f>
        <v>0</v>
      </c>
      <c r="AS1704" s="119">
        <f>IF(tech_base!$T240&gt;AS$1465,"",(tech_base!$J240/tech_proj!AS364*0.086*$N$110)/(1-tech_proj!AS644))</f>
        <v>0</v>
      </c>
      <c r="AT1704" s="119">
        <f>IF(tech_base!$T240&gt;AT$1465,"",(tech_base!$J240/tech_proj!AT364*0.086*$N$110)/(1-tech_proj!AT644))</f>
        <v>0</v>
      </c>
      <c r="AU1704" s="119">
        <f>IF(tech_base!$T240&gt;AU$1465,"",(tech_base!$J240/tech_proj!AU364*0.086*$N$110)/(1-tech_proj!AU644))</f>
        <v>0</v>
      </c>
      <c r="AV1704" s="119">
        <f>IF(tech_base!$T240&gt;AV$1465,"",(tech_base!$J240/tech_proj!AV364*0.086*$N$110)/(1-tech_proj!AV644))</f>
        <v>0</v>
      </c>
      <c r="AW1704" s="119">
        <f>IF(tech_base!$T240&gt;AW$1465,"",(tech_base!$J240/tech_proj!AW364*0.086*$N$110)/(1-tech_proj!AW644))</f>
        <v>0</v>
      </c>
      <c r="AX1704" s="120">
        <f>IF(tech_base!$T240&gt;AX$1465,"",(tech_base!$J240/tech_proj!AX364*0.086*$N$110)/(1-tech_proj!AX644))</f>
        <v>0</v>
      </c>
    </row>
    <row r="1705" spans="1:50" x14ac:dyDescent="0.25">
      <c r="A1705" s="355" t="s">
        <v>34</v>
      </c>
      <c r="B1705" s="358" t="s">
        <v>35</v>
      </c>
      <c r="C1705" s="353" t="s">
        <v>6</v>
      </c>
      <c r="D1705" s="3" t="s">
        <v>7</v>
      </c>
      <c r="E1705" s="162" t="str">
        <f>A1705&amp;"/"&amp;B1705&amp;"/"&amp;C1705&amp;"/"&amp;D1705</f>
        <v>Wind power plants/Onshore/Electricity only/L</v>
      </c>
      <c r="F1705" s="77" t="str">
        <f>A1705</f>
        <v>Wind power plants</v>
      </c>
      <c r="G1705" s="77" t="str">
        <f>B1705</f>
        <v>Onshore</v>
      </c>
      <c r="H1705" s="77" t="str">
        <f>C1705</f>
        <v>Electricity only</v>
      </c>
      <c r="I1705" s="163" t="str">
        <f t="shared" si="380"/>
        <v>L</v>
      </c>
      <c r="J1705" s="121">
        <f>IF(tech_base!$T241&gt;J$1465,"",(tech_base!$J241/tech_proj!J365*0.086*$N$110)/(1-tech_proj!J645))</f>
        <v>0</v>
      </c>
      <c r="K1705" s="121">
        <f>IF(tech_base!$T241&gt;K$1465,"",(tech_base!$J241/tech_proj!K365*0.086*$N$110)/(1-tech_proj!K645))</f>
        <v>0</v>
      </c>
      <c r="L1705" s="121">
        <f>IF(tech_base!$T241&gt;L$1465,"",(tech_base!$J241/tech_proj!L365*0.086*$N$110)/(1-tech_proj!L645))</f>
        <v>0</v>
      </c>
      <c r="M1705" s="121">
        <f>IF(tech_base!$T241&gt;M$1465,"",(tech_base!$J241/tech_proj!M365*0.086*$N$110)/(1-tech_proj!M645))</f>
        <v>0</v>
      </c>
      <c r="N1705" s="121">
        <f>IF(tech_base!$T241&gt;N$1465,"",(tech_base!$J241/tech_proj!N365*0.086*$N$110)/(1-tech_proj!N645))</f>
        <v>0</v>
      </c>
      <c r="O1705" s="121">
        <f>IF(tech_base!$T241&gt;O$1465,"",(tech_base!$J241/tech_proj!O365*0.086*$N$110)/(1-tech_proj!O645))</f>
        <v>0</v>
      </c>
      <c r="P1705" s="121">
        <f>IF(tech_base!$T241&gt;P$1465,"",(tech_base!$J241/tech_proj!P365*0.086*$N$110)/(1-tech_proj!P645))</f>
        <v>0</v>
      </c>
      <c r="Q1705" s="121">
        <f>IF(tech_base!$T241&gt;Q$1465,"",(tech_base!$J241/tech_proj!Q365*0.086*$N$110)/(1-tech_proj!Q645))</f>
        <v>0</v>
      </c>
      <c r="R1705" s="121">
        <f>IF(tech_base!$T241&gt;R$1465,"",(tech_base!$J241/tech_proj!R365*0.086*$N$110)/(1-tech_proj!R645))</f>
        <v>0</v>
      </c>
      <c r="S1705" s="121">
        <f>IF(tech_base!$T241&gt;S$1465,"",(tech_base!$J241/tech_proj!S365*0.086*$N$110)/(1-tech_proj!S645))</f>
        <v>0</v>
      </c>
      <c r="T1705" s="121">
        <f>IF(tech_base!$T241&gt;T$1465,"",(tech_base!$J241/tech_proj!T365*0.086*$N$110)/(1-tech_proj!T645))</f>
        <v>0</v>
      </c>
      <c r="U1705" s="121">
        <f>IF(tech_base!$T241&gt;U$1465,"",(tech_base!$J241/tech_proj!U365*0.086*$N$110)/(1-tech_proj!U645))</f>
        <v>0</v>
      </c>
      <c r="V1705" s="121">
        <f>IF(tech_base!$T241&gt;V$1465,"",(tech_base!$J241/tech_proj!V365*0.086*$N$110)/(1-tech_proj!V645))</f>
        <v>0</v>
      </c>
      <c r="W1705" s="121">
        <f>IF(tech_base!$T241&gt;W$1465,"",(tech_base!$J241/tech_proj!W365*0.086*$N$110)/(1-tech_proj!W645))</f>
        <v>0</v>
      </c>
      <c r="X1705" s="121">
        <f>IF(tech_base!$T241&gt;X$1465,"",(tech_base!$J241/tech_proj!X365*0.086*$N$110)/(1-tech_proj!X645))</f>
        <v>0</v>
      </c>
      <c r="Y1705" s="121">
        <f>IF(tech_base!$T241&gt;Y$1465,"",(tech_base!$J241/tech_proj!Y365*0.086*$N$110)/(1-tech_proj!Y645))</f>
        <v>0</v>
      </c>
      <c r="Z1705" s="121">
        <f>IF(tech_base!$T241&gt;Z$1465,"",(tech_base!$J241/tech_proj!Z365*0.086*$N$110)/(1-tech_proj!Z645))</f>
        <v>0</v>
      </c>
      <c r="AA1705" s="121">
        <f>IF(tech_base!$T241&gt;AA$1465,"",(tech_base!$J241/tech_proj!AA365*0.086*$N$110)/(1-tech_proj!AA645))</f>
        <v>0</v>
      </c>
      <c r="AB1705" s="121">
        <f>IF(tech_base!$T241&gt;AB$1465,"",(tech_base!$J241/tech_proj!AB365*0.086*$N$110)/(1-tech_proj!AB645))</f>
        <v>0</v>
      </c>
      <c r="AC1705" s="121">
        <f>IF(tech_base!$T241&gt;AC$1465,"",(tech_base!$J241/tech_proj!AC365*0.086*$N$110)/(1-tech_proj!AC645))</f>
        <v>0</v>
      </c>
      <c r="AD1705" s="121">
        <f>IF(tech_base!$T241&gt;AD$1465,"",(tech_base!$J241/tech_proj!AD365*0.086*$N$110)/(1-tech_proj!AD645))</f>
        <v>0</v>
      </c>
      <c r="AE1705" s="121">
        <f>IF(tech_base!$T241&gt;AE$1465,"",(tech_base!$J241/tech_proj!AE365*0.086*$N$110)/(1-tech_proj!AE645))</f>
        <v>0</v>
      </c>
      <c r="AF1705" s="121">
        <f>IF(tech_base!$T241&gt;AF$1465,"",(tech_base!$J241/tech_proj!AF365*0.086*$N$110)/(1-tech_proj!AF645))</f>
        <v>0</v>
      </c>
      <c r="AG1705" s="121">
        <f>IF(tech_base!$T241&gt;AG$1465,"",(tech_base!$J241/tech_proj!AG365*0.086*$N$110)/(1-tech_proj!AG645))</f>
        <v>0</v>
      </c>
      <c r="AH1705" s="121">
        <f>IF(tech_base!$T241&gt;AH$1465,"",(tech_base!$J241/tech_proj!AH365*0.086*$N$110)/(1-tech_proj!AH645))</f>
        <v>0</v>
      </c>
      <c r="AI1705" s="121">
        <f>IF(tech_base!$T241&gt;AI$1465,"",(tech_base!$J241/tech_proj!AI365*0.086*$N$110)/(1-tech_proj!AI645))</f>
        <v>0</v>
      </c>
      <c r="AJ1705" s="121">
        <f>IF(tech_base!$T241&gt;AJ$1465,"",(tech_base!$J241/tech_proj!AJ365*0.086*$N$110)/(1-tech_proj!AJ645))</f>
        <v>0</v>
      </c>
      <c r="AK1705" s="121">
        <f>IF(tech_base!$T241&gt;AK$1465,"",(tech_base!$J241/tech_proj!AK365*0.086*$N$110)/(1-tech_proj!AK645))</f>
        <v>0</v>
      </c>
      <c r="AL1705" s="121">
        <f>IF(tech_base!$T241&gt;AL$1465,"",(tech_base!$J241/tech_proj!AL365*0.086*$N$110)/(1-tech_proj!AL645))</f>
        <v>0</v>
      </c>
      <c r="AM1705" s="121">
        <f>IF(tech_base!$T241&gt;AM$1465,"",(tech_base!$J241/tech_proj!AM365*0.086*$N$110)/(1-tech_proj!AM645))</f>
        <v>0</v>
      </c>
      <c r="AN1705" s="121">
        <f>IF(tech_base!$T241&gt;AN$1465,"",(tech_base!$J241/tech_proj!AN365*0.086*$N$110)/(1-tech_proj!AN645))</f>
        <v>0</v>
      </c>
      <c r="AO1705" s="121">
        <f>IF(tech_base!$T241&gt;AO$1465,"",(tech_base!$J241/tech_proj!AO365*0.086*$N$110)/(1-tech_proj!AO645))</f>
        <v>0</v>
      </c>
      <c r="AP1705" s="121">
        <f>IF(tech_base!$T241&gt;AP$1465,"",(tech_base!$J241/tech_proj!AP365*0.086*$N$110)/(1-tech_proj!AP645))</f>
        <v>0</v>
      </c>
      <c r="AQ1705" s="121">
        <f>IF(tech_base!$T241&gt;AQ$1465,"",(tech_base!$J241/tech_proj!AQ365*0.086*$N$110)/(1-tech_proj!AQ645))</f>
        <v>0</v>
      </c>
      <c r="AR1705" s="121">
        <f>IF(tech_base!$T241&gt;AR$1465,"",(tech_base!$J241/tech_proj!AR365*0.086*$N$110)/(1-tech_proj!AR645))</f>
        <v>0</v>
      </c>
      <c r="AS1705" s="121">
        <f>IF(tech_base!$T241&gt;AS$1465,"",(tech_base!$J241/tech_proj!AS365*0.086*$N$110)/(1-tech_proj!AS645))</f>
        <v>0</v>
      </c>
      <c r="AT1705" s="121">
        <f>IF(tech_base!$T241&gt;AT$1465,"",(tech_base!$J241/tech_proj!AT365*0.086*$N$110)/(1-tech_proj!AT645))</f>
        <v>0</v>
      </c>
      <c r="AU1705" s="121">
        <f>IF(tech_base!$T241&gt;AU$1465,"",(tech_base!$J241/tech_proj!AU365*0.086*$N$110)/(1-tech_proj!AU645))</f>
        <v>0</v>
      </c>
      <c r="AV1705" s="121">
        <f>IF(tech_base!$T241&gt;AV$1465,"",(tech_base!$J241/tech_proj!AV365*0.086*$N$110)/(1-tech_proj!AV645))</f>
        <v>0</v>
      </c>
      <c r="AW1705" s="121">
        <f>IF(tech_base!$T241&gt;AW$1465,"",(tech_base!$J241/tech_proj!AW365*0.086*$N$110)/(1-tech_proj!AW645))</f>
        <v>0</v>
      </c>
      <c r="AX1705" s="122">
        <f>IF(tech_base!$T241&gt;AX$1465,"",(tech_base!$J241/tech_proj!AX365*0.086*$N$110)/(1-tech_proj!AX645))</f>
        <v>0</v>
      </c>
    </row>
    <row r="1706" spans="1:50" x14ac:dyDescent="0.25">
      <c r="A1706" s="356"/>
      <c r="B1706" s="376"/>
      <c r="C1706" s="378"/>
      <c r="D1706" s="2" t="s">
        <v>8</v>
      </c>
      <c r="E1706" s="160" t="str">
        <f>A1705&amp;"/"&amp;B1705&amp;"/"&amp;C1705&amp;"/"&amp;D1706</f>
        <v>Wind power plants/Onshore/Electricity only/M</v>
      </c>
      <c r="F1706" s="76" t="str">
        <f>A1705</f>
        <v>Wind power plants</v>
      </c>
      <c r="G1706" s="76" t="str">
        <f>B1705</f>
        <v>Onshore</v>
      </c>
      <c r="H1706" s="76" t="str">
        <f>C1705</f>
        <v>Electricity only</v>
      </c>
      <c r="I1706" s="161" t="str">
        <f t="shared" si="380"/>
        <v>M</v>
      </c>
      <c r="J1706" s="119">
        <f>IF(tech_base!$T242&gt;J$1465,"",(tech_base!$J242/tech_proj!J366*0.086*$N$110)/(1-tech_proj!J646))</f>
        <v>0</v>
      </c>
      <c r="K1706" s="119">
        <f>IF(tech_base!$T242&gt;K$1465,"",(tech_base!$J242/tech_proj!K366*0.086*$N$110)/(1-tech_proj!K646))</f>
        <v>0</v>
      </c>
      <c r="L1706" s="119">
        <f>IF(tech_base!$T242&gt;L$1465,"",(tech_base!$J242/tech_proj!L366*0.086*$N$110)/(1-tech_proj!L646))</f>
        <v>0</v>
      </c>
      <c r="M1706" s="119">
        <f>IF(tech_base!$T242&gt;M$1465,"",(tech_base!$J242/tech_proj!M366*0.086*$N$110)/(1-tech_proj!M646))</f>
        <v>0</v>
      </c>
      <c r="N1706" s="119">
        <f>IF(tech_base!$T242&gt;N$1465,"",(tech_base!$J242/tech_proj!N366*0.086*$N$110)/(1-tech_proj!N646))</f>
        <v>0</v>
      </c>
      <c r="O1706" s="119">
        <f>IF(tech_base!$T242&gt;O$1465,"",(tech_base!$J242/tech_proj!O366*0.086*$N$110)/(1-tech_proj!O646))</f>
        <v>0</v>
      </c>
      <c r="P1706" s="119">
        <f>IF(tech_base!$T242&gt;P$1465,"",(tech_base!$J242/tech_proj!P366*0.086*$N$110)/(1-tech_proj!P646))</f>
        <v>0</v>
      </c>
      <c r="Q1706" s="119">
        <f>IF(tech_base!$T242&gt;Q$1465,"",(tech_base!$J242/tech_proj!Q366*0.086*$N$110)/(1-tech_proj!Q646))</f>
        <v>0</v>
      </c>
      <c r="R1706" s="119">
        <f>IF(tech_base!$T242&gt;R$1465,"",(tech_base!$J242/tech_proj!R366*0.086*$N$110)/(1-tech_proj!R646))</f>
        <v>0</v>
      </c>
      <c r="S1706" s="119">
        <f>IF(tech_base!$T242&gt;S$1465,"",(tech_base!$J242/tech_proj!S366*0.086*$N$110)/(1-tech_proj!S646))</f>
        <v>0</v>
      </c>
      <c r="T1706" s="119">
        <f>IF(tech_base!$T242&gt;T$1465,"",(tech_base!$J242/tech_proj!T366*0.086*$N$110)/(1-tech_proj!T646))</f>
        <v>0</v>
      </c>
      <c r="U1706" s="119">
        <f>IF(tech_base!$T242&gt;U$1465,"",(tech_base!$J242/tech_proj!U366*0.086*$N$110)/(1-tech_proj!U646))</f>
        <v>0</v>
      </c>
      <c r="V1706" s="119">
        <f>IF(tech_base!$T242&gt;V$1465,"",(tech_base!$J242/tech_proj!V366*0.086*$N$110)/(1-tech_proj!V646))</f>
        <v>0</v>
      </c>
      <c r="W1706" s="119">
        <f>IF(tech_base!$T242&gt;W$1465,"",(tech_base!$J242/tech_proj!W366*0.086*$N$110)/(1-tech_proj!W646))</f>
        <v>0</v>
      </c>
      <c r="X1706" s="119">
        <f>IF(tech_base!$T242&gt;X$1465,"",(tech_base!$J242/tech_proj!X366*0.086*$N$110)/(1-tech_proj!X646))</f>
        <v>0</v>
      </c>
      <c r="Y1706" s="119">
        <f>IF(tech_base!$T242&gt;Y$1465,"",(tech_base!$J242/tech_proj!Y366*0.086*$N$110)/(1-tech_proj!Y646))</f>
        <v>0</v>
      </c>
      <c r="Z1706" s="119">
        <f>IF(tech_base!$T242&gt;Z$1465,"",(tech_base!$J242/tech_proj!Z366*0.086*$N$110)/(1-tech_proj!Z646))</f>
        <v>0</v>
      </c>
      <c r="AA1706" s="119">
        <f>IF(tech_base!$T242&gt;AA$1465,"",(tech_base!$J242/tech_proj!AA366*0.086*$N$110)/(1-tech_proj!AA646))</f>
        <v>0</v>
      </c>
      <c r="AB1706" s="119">
        <f>IF(tech_base!$T242&gt;AB$1465,"",(tech_base!$J242/tech_proj!AB366*0.086*$N$110)/(1-tech_proj!AB646))</f>
        <v>0</v>
      </c>
      <c r="AC1706" s="119">
        <f>IF(tech_base!$T242&gt;AC$1465,"",(tech_base!$J242/tech_proj!AC366*0.086*$N$110)/(1-tech_proj!AC646))</f>
        <v>0</v>
      </c>
      <c r="AD1706" s="119">
        <f>IF(tech_base!$T242&gt;AD$1465,"",(tech_base!$J242/tech_proj!AD366*0.086*$N$110)/(1-tech_proj!AD646))</f>
        <v>0</v>
      </c>
      <c r="AE1706" s="119">
        <f>IF(tech_base!$T242&gt;AE$1465,"",(tech_base!$J242/tech_proj!AE366*0.086*$N$110)/(1-tech_proj!AE646))</f>
        <v>0</v>
      </c>
      <c r="AF1706" s="119">
        <f>IF(tech_base!$T242&gt;AF$1465,"",(tech_base!$J242/tech_proj!AF366*0.086*$N$110)/(1-tech_proj!AF646))</f>
        <v>0</v>
      </c>
      <c r="AG1706" s="119">
        <f>IF(tech_base!$T242&gt;AG$1465,"",(tech_base!$J242/tech_proj!AG366*0.086*$N$110)/(1-tech_proj!AG646))</f>
        <v>0</v>
      </c>
      <c r="AH1706" s="119">
        <f>IF(tech_base!$T242&gt;AH$1465,"",(tech_base!$J242/tech_proj!AH366*0.086*$N$110)/(1-tech_proj!AH646))</f>
        <v>0</v>
      </c>
      <c r="AI1706" s="119">
        <f>IF(tech_base!$T242&gt;AI$1465,"",(tech_base!$J242/tech_proj!AI366*0.086*$N$110)/(1-tech_proj!AI646))</f>
        <v>0</v>
      </c>
      <c r="AJ1706" s="119">
        <f>IF(tech_base!$T242&gt;AJ$1465,"",(tech_base!$J242/tech_proj!AJ366*0.086*$N$110)/(1-tech_proj!AJ646))</f>
        <v>0</v>
      </c>
      <c r="AK1706" s="119">
        <f>IF(tech_base!$T242&gt;AK$1465,"",(tech_base!$J242/tech_proj!AK366*0.086*$N$110)/(1-tech_proj!AK646))</f>
        <v>0</v>
      </c>
      <c r="AL1706" s="119">
        <f>IF(tech_base!$T242&gt;AL$1465,"",(tech_base!$J242/tech_proj!AL366*0.086*$N$110)/(1-tech_proj!AL646))</f>
        <v>0</v>
      </c>
      <c r="AM1706" s="119">
        <f>IF(tech_base!$T242&gt;AM$1465,"",(tech_base!$J242/tech_proj!AM366*0.086*$N$110)/(1-tech_proj!AM646))</f>
        <v>0</v>
      </c>
      <c r="AN1706" s="119">
        <f>IF(tech_base!$T242&gt;AN$1465,"",(tech_base!$J242/tech_proj!AN366*0.086*$N$110)/(1-tech_proj!AN646))</f>
        <v>0</v>
      </c>
      <c r="AO1706" s="119">
        <f>IF(tech_base!$T242&gt;AO$1465,"",(tech_base!$J242/tech_proj!AO366*0.086*$N$110)/(1-tech_proj!AO646))</f>
        <v>0</v>
      </c>
      <c r="AP1706" s="119">
        <f>IF(tech_base!$T242&gt;AP$1465,"",(tech_base!$J242/tech_proj!AP366*0.086*$N$110)/(1-tech_proj!AP646))</f>
        <v>0</v>
      </c>
      <c r="AQ1706" s="119">
        <f>IF(tech_base!$T242&gt;AQ$1465,"",(tech_base!$J242/tech_proj!AQ366*0.086*$N$110)/(1-tech_proj!AQ646))</f>
        <v>0</v>
      </c>
      <c r="AR1706" s="119">
        <f>IF(tech_base!$T242&gt;AR$1465,"",(tech_base!$J242/tech_proj!AR366*0.086*$N$110)/(1-tech_proj!AR646))</f>
        <v>0</v>
      </c>
      <c r="AS1706" s="119">
        <f>IF(tech_base!$T242&gt;AS$1465,"",(tech_base!$J242/tech_proj!AS366*0.086*$N$110)/(1-tech_proj!AS646))</f>
        <v>0</v>
      </c>
      <c r="AT1706" s="119">
        <f>IF(tech_base!$T242&gt;AT$1465,"",(tech_base!$J242/tech_proj!AT366*0.086*$N$110)/(1-tech_proj!AT646))</f>
        <v>0</v>
      </c>
      <c r="AU1706" s="119">
        <f>IF(tech_base!$T242&gt;AU$1465,"",(tech_base!$J242/tech_proj!AU366*0.086*$N$110)/(1-tech_proj!AU646))</f>
        <v>0</v>
      </c>
      <c r="AV1706" s="119">
        <f>IF(tech_base!$T242&gt;AV$1465,"",(tech_base!$J242/tech_proj!AV366*0.086*$N$110)/(1-tech_proj!AV646))</f>
        <v>0</v>
      </c>
      <c r="AW1706" s="119">
        <f>IF(tech_base!$T242&gt;AW$1465,"",(tech_base!$J242/tech_proj!AW366*0.086*$N$110)/(1-tech_proj!AW646))</f>
        <v>0</v>
      </c>
      <c r="AX1706" s="120">
        <f>IF(tech_base!$T242&gt;AX$1465,"",(tech_base!$J242/tech_proj!AX366*0.086*$N$110)/(1-tech_proj!AX646))</f>
        <v>0</v>
      </c>
    </row>
    <row r="1707" spans="1:50" x14ac:dyDescent="0.25">
      <c r="A1707" s="356"/>
      <c r="B1707" s="376"/>
      <c r="C1707" s="378"/>
      <c r="D1707" s="2" t="s">
        <v>10</v>
      </c>
      <c r="E1707" s="160" t="str">
        <f>A1705&amp;"/"&amp;B1705&amp;"/"&amp;C1705&amp;"/"&amp;D1707</f>
        <v>Wind power plants/Onshore/Electricity only/S</v>
      </c>
      <c r="F1707" s="76" t="str">
        <f>A1705</f>
        <v>Wind power plants</v>
      </c>
      <c r="G1707" s="76" t="str">
        <f>B1705</f>
        <v>Onshore</v>
      </c>
      <c r="H1707" s="76" t="str">
        <f>C1705</f>
        <v>Electricity only</v>
      </c>
      <c r="I1707" s="161" t="str">
        <f t="shared" si="380"/>
        <v>S</v>
      </c>
      <c r="J1707" s="119">
        <f>IF(tech_base!$T243&gt;J$1465,"",(tech_base!$J243/tech_proj!J367*0.086*$N$110)/(1-tech_proj!J647))</f>
        <v>0</v>
      </c>
      <c r="K1707" s="119">
        <f>IF(tech_base!$T243&gt;K$1465,"",(tech_base!$J243/tech_proj!K367*0.086*$N$110)/(1-tech_proj!K647))</f>
        <v>0</v>
      </c>
      <c r="L1707" s="119">
        <f>IF(tech_base!$T243&gt;L$1465,"",(tech_base!$J243/tech_proj!L367*0.086*$N$110)/(1-tech_proj!L647))</f>
        <v>0</v>
      </c>
      <c r="M1707" s="119">
        <f>IF(tech_base!$T243&gt;M$1465,"",(tech_base!$J243/tech_proj!M367*0.086*$N$110)/(1-tech_proj!M647))</f>
        <v>0</v>
      </c>
      <c r="N1707" s="119">
        <f>IF(tech_base!$T243&gt;N$1465,"",(tech_base!$J243/tech_proj!N367*0.086*$N$110)/(1-tech_proj!N647))</f>
        <v>0</v>
      </c>
      <c r="O1707" s="119">
        <f>IF(tech_base!$T243&gt;O$1465,"",(tech_base!$J243/tech_proj!O367*0.086*$N$110)/(1-tech_proj!O647))</f>
        <v>0</v>
      </c>
      <c r="P1707" s="119">
        <f>IF(tech_base!$T243&gt;P$1465,"",(tech_base!$J243/tech_proj!P367*0.086*$N$110)/(1-tech_proj!P647))</f>
        <v>0</v>
      </c>
      <c r="Q1707" s="119">
        <f>IF(tech_base!$T243&gt;Q$1465,"",(tech_base!$J243/tech_proj!Q367*0.086*$N$110)/(1-tech_proj!Q647))</f>
        <v>0</v>
      </c>
      <c r="R1707" s="119">
        <f>IF(tech_base!$T243&gt;R$1465,"",(tech_base!$J243/tech_proj!R367*0.086*$N$110)/(1-tech_proj!R647))</f>
        <v>0</v>
      </c>
      <c r="S1707" s="119">
        <f>IF(tech_base!$T243&gt;S$1465,"",(tech_base!$J243/tech_proj!S367*0.086*$N$110)/(1-tech_proj!S647))</f>
        <v>0</v>
      </c>
      <c r="T1707" s="119">
        <f>IF(tech_base!$T243&gt;T$1465,"",(tech_base!$J243/tech_proj!T367*0.086*$N$110)/(1-tech_proj!T647))</f>
        <v>0</v>
      </c>
      <c r="U1707" s="119">
        <f>IF(tech_base!$T243&gt;U$1465,"",(tech_base!$J243/tech_proj!U367*0.086*$N$110)/(1-tech_proj!U647))</f>
        <v>0</v>
      </c>
      <c r="V1707" s="119">
        <f>IF(tech_base!$T243&gt;V$1465,"",(tech_base!$J243/tech_proj!V367*0.086*$N$110)/(1-tech_proj!V647))</f>
        <v>0</v>
      </c>
      <c r="W1707" s="119">
        <f>IF(tech_base!$T243&gt;W$1465,"",(tech_base!$J243/tech_proj!W367*0.086*$N$110)/(1-tech_proj!W647))</f>
        <v>0</v>
      </c>
      <c r="X1707" s="119">
        <f>IF(tech_base!$T243&gt;X$1465,"",(tech_base!$J243/tech_proj!X367*0.086*$N$110)/(1-tech_proj!X647))</f>
        <v>0</v>
      </c>
      <c r="Y1707" s="119">
        <f>IF(tech_base!$T243&gt;Y$1465,"",(tech_base!$J243/tech_proj!Y367*0.086*$N$110)/(1-tech_proj!Y647))</f>
        <v>0</v>
      </c>
      <c r="Z1707" s="119">
        <f>IF(tech_base!$T243&gt;Z$1465,"",(tech_base!$J243/tech_proj!Z367*0.086*$N$110)/(1-tech_proj!Z647))</f>
        <v>0</v>
      </c>
      <c r="AA1707" s="119">
        <f>IF(tech_base!$T243&gt;AA$1465,"",(tech_base!$J243/tech_proj!AA367*0.086*$N$110)/(1-tech_proj!AA647))</f>
        <v>0</v>
      </c>
      <c r="AB1707" s="119">
        <f>IF(tech_base!$T243&gt;AB$1465,"",(tech_base!$J243/tech_proj!AB367*0.086*$N$110)/(1-tech_proj!AB647))</f>
        <v>0</v>
      </c>
      <c r="AC1707" s="119">
        <f>IF(tech_base!$T243&gt;AC$1465,"",(tech_base!$J243/tech_proj!AC367*0.086*$N$110)/(1-tech_proj!AC647))</f>
        <v>0</v>
      </c>
      <c r="AD1707" s="119">
        <f>IF(tech_base!$T243&gt;AD$1465,"",(tech_base!$J243/tech_proj!AD367*0.086*$N$110)/(1-tech_proj!AD647))</f>
        <v>0</v>
      </c>
      <c r="AE1707" s="119">
        <f>IF(tech_base!$T243&gt;AE$1465,"",(tech_base!$J243/tech_proj!AE367*0.086*$N$110)/(1-tech_proj!AE647))</f>
        <v>0</v>
      </c>
      <c r="AF1707" s="119">
        <f>IF(tech_base!$T243&gt;AF$1465,"",(tech_base!$J243/tech_proj!AF367*0.086*$N$110)/(1-tech_proj!AF647))</f>
        <v>0</v>
      </c>
      <c r="AG1707" s="119">
        <f>IF(tech_base!$T243&gt;AG$1465,"",(tech_base!$J243/tech_proj!AG367*0.086*$N$110)/(1-tech_proj!AG647))</f>
        <v>0</v>
      </c>
      <c r="AH1707" s="119">
        <f>IF(tech_base!$T243&gt;AH$1465,"",(tech_base!$J243/tech_proj!AH367*0.086*$N$110)/(1-tech_proj!AH647))</f>
        <v>0</v>
      </c>
      <c r="AI1707" s="119">
        <f>IF(tech_base!$T243&gt;AI$1465,"",(tech_base!$J243/tech_proj!AI367*0.086*$N$110)/(1-tech_proj!AI647))</f>
        <v>0</v>
      </c>
      <c r="AJ1707" s="119">
        <f>IF(tech_base!$T243&gt;AJ$1465,"",(tech_base!$J243/tech_proj!AJ367*0.086*$N$110)/(1-tech_proj!AJ647))</f>
        <v>0</v>
      </c>
      <c r="AK1707" s="119">
        <f>IF(tech_base!$T243&gt;AK$1465,"",(tech_base!$J243/tech_proj!AK367*0.086*$N$110)/(1-tech_proj!AK647))</f>
        <v>0</v>
      </c>
      <c r="AL1707" s="119">
        <f>IF(tech_base!$T243&gt;AL$1465,"",(tech_base!$J243/tech_proj!AL367*0.086*$N$110)/(1-tech_proj!AL647))</f>
        <v>0</v>
      </c>
      <c r="AM1707" s="119">
        <f>IF(tech_base!$T243&gt;AM$1465,"",(tech_base!$J243/tech_proj!AM367*0.086*$N$110)/(1-tech_proj!AM647))</f>
        <v>0</v>
      </c>
      <c r="AN1707" s="119">
        <f>IF(tech_base!$T243&gt;AN$1465,"",(tech_base!$J243/tech_proj!AN367*0.086*$N$110)/(1-tech_proj!AN647))</f>
        <v>0</v>
      </c>
      <c r="AO1707" s="119">
        <f>IF(tech_base!$T243&gt;AO$1465,"",(tech_base!$J243/tech_proj!AO367*0.086*$N$110)/(1-tech_proj!AO647))</f>
        <v>0</v>
      </c>
      <c r="AP1707" s="119">
        <f>IF(tech_base!$T243&gt;AP$1465,"",(tech_base!$J243/tech_proj!AP367*0.086*$N$110)/(1-tech_proj!AP647))</f>
        <v>0</v>
      </c>
      <c r="AQ1707" s="119">
        <f>IF(tech_base!$T243&gt;AQ$1465,"",(tech_base!$J243/tech_proj!AQ367*0.086*$N$110)/(1-tech_proj!AQ647))</f>
        <v>0</v>
      </c>
      <c r="AR1707" s="119">
        <f>IF(tech_base!$T243&gt;AR$1465,"",(tech_base!$J243/tech_proj!AR367*0.086*$N$110)/(1-tech_proj!AR647))</f>
        <v>0</v>
      </c>
      <c r="AS1707" s="119">
        <f>IF(tech_base!$T243&gt;AS$1465,"",(tech_base!$J243/tech_proj!AS367*0.086*$N$110)/(1-tech_proj!AS647))</f>
        <v>0</v>
      </c>
      <c r="AT1707" s="119">
        <f>IF(tech_base!$T243&gt;AT$1465,"",(tech_base!$J243/tech_proj!AT367*0.086*$N$110)/(1-tech_proj!AT647))</f>
        <v>0</v>
      </c>
      <c r="AU1707" s="119">
        <f>IF(tech_base!$T243&gt;AU$1465,"",(tech_base!$J243/tech_proj!AU367*0.086*$N$110)/(1-tech_proj!AU647))</f>
        <v>0</v>
      </c>
      <c r="AV1707" s="119">
        <f>IF(tech_base!$T243&gt;AV$1465,"",(tech_base!$J243/tech_proj!AV367*0.086*$N$110)/(1-tech_proj!AV647))</f>
        <v>0</v>
      </c>
      <c r="AW1707" s="119">
        <f>IF(tech_base!$T243&gt;AW$1465,"",(tech_base!$J243/tech_proj!AW367*0.086*$N$110)/(1-tech_proj!AW647))</f>
        <v>0</v>
      </c>
      <c r="AX1707" s="120">
        <f>IF(tech_base!$T243&gt;AX$1465,"",(tech_base!$J243/tech_proj!AX367*0.086*$N$110)/(1-tech_proj!AX647))</f>
        <v>0</v>
      </c>
    </row>
    <row r="1708" spans="1:50" x14ac:dyDescent="0.25">
      <c r="A1708" s="356"/>
      <c r="B1708" s="377"/>
      <c r="C1708" s="379"/>
      <c r="D1708" s="59" t="s">
        <v>20</v>
      </c>
      <c r="E1708" s="166" t="str">
        <f>A1705&amp;"/"&amp;B1705&amp;"/"&amp;C1705&amp;"/"&amp;D1708</f>
        <v>Wind power plants/Onshore/Electricity only/XS</v>
      </c>
      <c r="F1708" s="79" t="str">
        <f>A1705</f>
        <v>Wind power plants</v>
      </c>
      <c r="G1708" s="79" t="str">
        <f>B1705</f>
        <v>Onshore</v>
      </c>
      <c r="H1708" s="79" t="str">
        <f>C1705</f>
        <v>Electricity only</v>
      </c>
      <c r="I1708" s="167" t="str">
        <f t="shared" si="380"/>
        <v>XS</v>
      </c>
      <c r="J1708" s="125">
        <f>IF(tech_base!$T244&gt;J$1465,"",(tech_base!$J244/tech_proj!J368*0.086*$N$110)/(1-tech_proj!J648))</f>
        <v>0</v>
      </c>
      <c r="K1708" s="125">
        <f>IF(tech_base!$T244&gt;K$1465,"",(tech_base!$J244/tech_proj!K368*0.086*$N$110)/(1-tech_proj!K648))</f>
        <v>0</v>
      </c>
      <c r="L1708" s="125">
        <f>IF(tech_base!$T244&gt;L$1465,"",(tech_base!$J244/tech_proj!L368*0.086*$N$110)/(1-tech_proj!L648))</f>
        <v>0</v>
      </c>
      <c r="M1708" s="125">
        <f>IF(tech_base!$T244&gt;M$1465,"",(tech_base!$J244/tech_proj!M368*0.086*$N$110)/(1-tech_proj!M648))</f>
        <v>0</v>
      </c>
      <c r="N1708" s="125">
        <f>IF(tech_base!$T244&gt;N$1465,"",(tech_base!$J244/tech_proj!N368*0.086*$N$110)/(1-tech_proj!N648))</f>
        <v>0</v>
      </c>
      <c r="O1708" s="125">
        <f>IF(tech_base!$T244&gt;O$1465,"",(tech_base!$J244/tech_proj!O368*0.086*$N$110)/(1-tech_proj!O648))</f>
        <v>0</v>
      </c>
      <c r="P1708" s="125">
        <f>IF(tech_base!$T244&gt;P$1465,"",(tech_base!$J244/tech_proj!P368*0.086*$N$110)/(1-tech_proj!P648))</f>
        <v>0</v>
      </c>
      <c r="Q1708" s="125">
        <f>IF(tech_base!$T244&gt;Q$1465,"",(tech_base!$J244/tech_proj!Q368*0.086*$N$110)/(1-tech_proj!Q648))</f>
        <v>0</v>
      </c>
      <c r="R1708" s="125">
        <f>IF(tech_base!$T244&gt;R$1465,"",(tech_base!$J244/tech_proj!R368*0.086*$N$110)/(1-tech_proj!R648))</f>
        <v>0</v>
      </c>
      <c r="S1708" s="125">
        <f>IF(tech_base!$T244&gt;S$1465,"",(tech_base!$J244/tech_proj!S368*0.086*$N$110)/(1-tech_proj!S648))</f>
        <v>0</v>
      </c>
      <c r="T1708" s="125">
        <f>IF(tech_base!$T244&gt;T$1465,"",(tech_base!$J244/tech_proj!T368*0.086*$N$110)/(1-tech_proj!T648))</f>
        <v>0</v>
      </c>
      <c r="U1708" s="125">
        <f>IF(tech_base!$T244&gt;U$1465,"",(tech_base!$J244/tech_proj!U368*0.086*$N$110)/(1-tech_proj!U648))</f>
        <v>0</v>
      </c>
      <c r="V1708" s="125">
        <f>IF(tech_base!$T244&gt;V$1465,"",(tech_base!$J244/tech_proj!V368*0.086*$N$110)/(1-tech_proj!V648))</f>
        <v>0</v>
      </c>
      <c r="W1708" s="125">
        <f>IF(tech_base!$T244&gt;W$1465,"",(tech_base!$J244/tech_proj!W368*0.086*$N$110)/(1-tech_proj!W648))</f>
        <v>0</v>
      </c>
      <c r="X1708" s="125">
        <f>IF(tech_base!$T244&gt;X$1465,"",(tech_base!$J244/tech_proj!X368*0.086*$N$110)/(1-tech_proj!X648))</f>
        <v>0</v>
      </c>
      <c r="Y1708" s="125">
        <f>IF(tech_base!$T244&gt;Y$1465,"",(tech_base!$J244/tech_proj!Y368*0.086*$N$110)/(1-tech_proj!Y648))</f>
        <v>0</v>
      </c>
      <c r="Z1708" s="125">
        <f>IF(tech_base!$T244&gt;Z$1465,"",(tech_base!$J244/tech_proj!Z368*0.086*$N$110)/(1-tech_proj!Z648))</f>
        <v>0</v>
      </c>
      <c r="AA1708" s="125">
        <f>IF(tech_base!$T244&gt;AA$1465,"",(tech_base!$J244/tech_proj!AA368*0.086*$N$110)/(1-tech_proj!AA648))</f>
        <v>0</v>
      </c>
      <c r="AB1708" s="125">
        <f>IF(tech_base!$T244&gt;AB$1465,"",(tech_base!$J244/tech_proj!AB368*0.086*$N$110)/(1-tech_proj!AB648))</f>
        <v>0</v>
      </c>
      <c r="AC1708" s="125">
        <f>IF(tech_base!$T244&gt;AC$1465,"",(tech_base!$J244/tech_proj!AC368*0.086*$N$110)/(1-tech_proj!AC648))</f>
        <v>0</v>
      </c>
      <c r="AD1708" s="125">
        <f>IF(tech_base!$T244&gt;AD$1465,"",(tech_base!$J244/tech_proj!AD368*0.086*$N$110)/(1-tech_proj!AD648))</f>
        <v>0</v>
      </c>
      <c r="AE1708" s="125">
        <f>IF(tech_base!$T244&gt;AE$1465,"",(tech_base!$J244/tech_proj!AE368*0.086*$N$110)/(1-tech_proj!AE648))</f>
        <v>0</v>
      </c>
      <c r="AF1708" s="125">
        <f>IF(tech_base!$T244&gt;AF$1465,"",(tech_base!$J244/tech_proj!AF368*0.086*$N$110)/(1-tech_proj!AF648))</f>
        <v>0</v>
      </c>
      <c r="AG1708" s="125">
        <f>IF(tech_base!$T244&gt;AG$1465,"",(tech_base!$J244/tech_proj!AG368*0.086*$N$110)/(1-tech_proj!AG648))</f>
        <v>0</v>
      </c>
      <c r="AH1708" s="125">
        <f>IF(tech_base!$T244&gt;AH$1465,"",(tech_base!$J244/tech_proj!AH368*0.086*$N$110)/(1-tech_proj!AH648))</f>
        <v>0</v>
      </c>
      <c r="AI1708" s="125">
        <f>IF(tech_base!$T244&gt;AI$1465,"",(tech_base!$J244/tech_proj!AI368*0.086*$N$110)/(1-tech_proj!AI648))</f>
        <v>0</v>
      </c>
      <c r="AJ1708" s="125">
        <f>IF(tech_base!$T244&gt;AJ$1465,"",(tech_base!$J244/tech_proj!AJ368*0.086*$N$110)/(1-tech_proj!AJ648))</f>
        <v>0</v>
      </c>
      <c r="AK1708" s="125">
        <f>IF(tech_base!$T244&gt;AK$1465,"",(tech_base!$J244/tech_proj!AK368*0.086*$N$110)/(1-tech_proj!AK648))</f>
        <v>0</v>
      </c>
      <c r="AL1708" s="125">
        <f>IF(tech_base!$T244&gt;AL$1465,"",(tech_base!$J244/tech_proj!AL368*0.086*$N$110)/(1-tech_proj!AL648))</f>
        <v>0</v>
      </c>
      <c r="AM1708" s="125">
        <f>IF(tech_base!$T244&gt;AM$1465,"",(tech_base!$J244/tech_proj!AM368*0.086*$N$110)/(1-tech_proj!AM648))</f>
        <v>0</v>
      </c>
      <c r="AN1708" s="125">
        <f>IF(tech_base!$T244&gt;AN$1465,"",(tech_base!$J244/tech_proj!AN368*0.086*$N$110)/(1-tech_proj!AN648))</f>
        <v>0</v>
      </c>
      <c r="AO1708" s="125">
        <f>IF(tech_base!$T244&gt;AO$1465,"",(tech_base!$J244/tech_proj!AO368*0.086*$N$110)/(1-tech_proj!AO648))</f>
        <v>0</v>
      </c>
      <c r="AP1708" s="125">
        <f>IF(tech_base!$T244&gt;AP$1465,"",(tech_base!$J244/tech_proj!AP368*0.086*$N$110)/(1-tech_proj!AP648))</f>
        <v>0</v>
      </c>
      <c r="AQ1708" s="125">
        <f>IF(tech_base!$T244&gt;AQ$1465,"",(tech_base!$J244/tech_proj!AQ368*0.086*$N$110)/(1-tech_proj!AQ648))</f>
        <v>0</v>
      </c>
      <c r="AR1708" s="125">
        <f>IF(tech_base!$T244&gt;AR$1465,"",(tech_base!$J244/tech_proj!AR368*0.086*$N$110)/(1-tech_proj!AR648))</f>
        <v>0</v>
      </c>
      <c r="AS1708" s="125">
        <f>IF(tech_base!$T244&gt;AS$1465,"",(tech_base!$J244/tech_proj!AS368*0.086*$N$110)/(1-tech_proj!AS648))</f>
        <v>0</v>
      </c>
      <c r="AT1708" s="125">
        <f>IF(tech_base!$T244&gt;AT$1465,"",(tech_base!$J244/tech_proj!AT368*0.086*$N$110)/(1-tech_proj!AT648))</f>
        <v>0</v>
      </c>
      <c r="AU1708" s="125">
        <f>IF(tech_base!$T244&gt;AU$1465,"",(tech_base!$J244/tech_proj!AU368*0.086*$N$110)/(1-tech_proj!AU648))</f>
        <v>0</v>
      </c>
      <c r="AV1708" s="125">
        <f>IF(tech_base!$T244&gt;AV$1465,"",(tech_base!$J244/tech_proj!AV368*0.086*$N$110)/(1-tech_proj!AV648))</f>
        <v>0</v>
      </c>
      <c r="AW1708" s="125">
        <f>IF(tech_base!$T244&gt;AW$1465,"",(tech_base!$J244/tech_proj!AW368*0.086*$N$110)/(1-tech_proj!AW648))</f>
        <v>0</v>
      </c>
      <c r="AX1708" s="126">
        <f>IF(tech_base!$T244&gt;AX$1465,"",(tech_base!$J244/tech_proj!AX368*0.086*$N$110)/(1-tech_proj!AX648))</f>
        <v>0</v>
      </c>
    </row>
    <row r="1709" spans="1:50" x14ac:dyDescent="0.25">
      <c r="A1709" s="356"/>
      <c r="B1709" s="359" t="s">
        <v>36</v>
      </c>
      <c r="C1709" s="361" t="s">
        <v>6</v>
      </c>
      <c r="D1709" s="2" t="s">
        <v>7</v>
      </c>
      <c r="E1709" s="160" t="str">
        <f>A1705&amp;"/"&amp;B1709&amp;"/"&amp;C1709&amp;"/"&amp;D1709</f>
        <v>Wind power plants/Offshore/Electricity only/L</v>
      </c>
      <c r="F1709" s="76" t="str">
        <f>A1705</f>
        <v>Wind power plants</v>
      </c>
      <c r="G1709" s="76" t="str">
        <f>B1709</f>
        <v>Offshore</v>
      </c>
      <c r="H1709" s="76" t="str">
        <f>C1709</f>
        <v>Electricity only</v>
      </c>
      <c r="I1709" s="161" t="str">
        <f t="shared" si="380"/>
        <v>L</v>
      </c>
      <c r="J1709" s="119">
        <f>IF(tech_base!$T245&gt;J$1465,"",(tech_base!$J245/tech_proj!J369*0.086*$N$110)/(1-tech_proj!J649))</f>
        <v>0</v>
      </c>
      <c r="K1709" s="119">
        <f>IF(tech_base!$T245&gt;K$1465,"",(tech_base!$J245/tech_proj!K369*0.086*$N$110)/(1-tech_proj!K649))</f>
        <v>0</v>
      </c>
      <c r="L1709" s="119">
        <f>IF(tech_base!$T245&gt;L$1465,"",(tech_base!$J245/tech_proj!L369*0.086*$N$110)/(1-tech_proj!L649))</f>
        <v>0</v>
      </c>
      <c r="M1709" s="119">
        <f>IF(tech_base!$T245&gt;M$1465,"",(tech_base!$J245/tech_proj!M369*0.086*$N$110)/(1-tech_proj!M649))</f>
        <v>0</v>
      </c>
      <c r="N1709" s="119">
        <f>IF(tech_base!$T245&gt;N$1465,"",(tech_base!$J245/tech_proj!N369*0.086*$N$110)/(1-tech_proj!N649))</f>
        <v>0</v>
      </c>
      <c r="O1709" s="119">
        <f>IF(tech_base!$T245&gt;O$1465,"",(tech_base!$J245/tech_proj!O369*0.086*$N$110)/(1-tech_proj!O649))</f>
        <v>0</v>
      </c>
      <c r="P1709" s="119">
        <f>IF(tech_base!$T245&gt;P$1465,"",(tech_base!$J245/tech_proj!P369*0.086*$N$110)/(1-tech_proj!P649))</f>
        <v>0</v>
      </c>
      <c r="Q1709" s="119">
        <f>IF(tech_base!$T245&gt;Q$1465,"",(tech_base!$J245/tech_proj!Q369*0.086*$N$110)/(1-tech_proj!Q649))</f>
        <v>0</v>
      </c>
      <c r="R1709" s="119">
        <f>IF(tech_base!$T245&gt;R$1465,"",(tech_base!$J245/tech_proj!R369*0.086*$N$110)/(1-tech_proj!R649))</f>
        <v>0</v>
      </c>
      <c r="S1709" s="119">
        <f>IF(tech_base!$T245&gt;S$1465,"",(tech_base!$J245/tech_proj!S369*0.086*$N$110)/(1-tech_proj!S649))</f>
        <v>0</v>
      </c>
      <c r="T1709" s="119">
        <f>IF(tech_base!$T245&gt;T$1465,"",(tech_base!$J245/tech_proj!T369*0.086*$N$110)/(1-tech_proj!T649))</f>
        <v>0</v>
      </c>
      <c r="U1709" s="119">
        <f>IF(tech_base!$T245&gt;U$1465,"",(tech_base!$J245/tech_proj!U369*0.086*$N$110)/(1-tech_proj!U649))</f>
        <v>0</v>
      </c>
      <c r="V1709" s="119">
        <f>IF(tech_base!$T245&gt;V$1465,"",(tech_base!$J245/tech_proj!V369*0.086*$N$110)/(1-tech_proj!V649))</f>
        <v>0</v>
      </c>
      <c r="W1709" s="119">
        <f>IF(tech_base!$T245&gt;W$1465,"",(tech_base!$J245/tech_proj!W369*0.086*$N$110)/(1-tech_proj!W649))</f>
        <v>0</v>
      </c>
      <c r="X1709" s="119">
        <f>IF(tech_base!$T245&gt;X$1465,"",(tech_base!$J245/tech_proj!X369*0.086*$N$110)/(1-tech_proj!X649))</f>
        <v>0</v>
      </c>
      <c r="Y1709" s="119">
        <f>IF(tech_base!$T245&gt;Y$1465,"",(tech_base!$J245/tech_proj!Y369*0.086*$N$110)/(1-tech_proj!Y649))</f>
        <v>0</v>
      </c>
      <c r="Z1709" s="119">
        <f>IF(tech_base!$T245&gt;Z$1465,"",(tech_base!$J245/tech_proj!Z369*0.086*$N$110)/(1-tech_proj!Z649))</f>
        <v>0</v>
      </c>
      <c r="AA1709" s="119">
        <f>IF(tech_base!$T245&gt;AA$1465,"",(tech_base!$J245/tech_proj!AA369*0.086*$N$110)/(1-tech_proj!AA649))</f>
        <v>0</v>
      </c>
      <c r="AB1709" s="119">
        <f>IF(tech_base!$T245&gt;AB$1465,"",(tech_base!$J245/tech_proj!AB369*0.086*$N$110)/(1-tech_proj!AB649))</f>
        <v>0</v>
      </c>
      <c r="AC1709" s="119">
        <f>IF(tech_base!$T245&gt;AC$1465,"",(tech_base!$J245/tech_proj!AC369*0.086*$N$110)/(1-tech_proj!AC649))</f>
        <v>0</v>
      </c>
      <c r="AD1709" s="119">
        <f>IF(tech_base!$T245&gt;AD$1465,"",(tech_base!$J245/tech_proj!AD369*0.086*$N$110)/(1-tech_proj!AD649))</f>
        <v>0</v>
      </c>
      <c r="AE1709" s="119">
        <f>IF(tech_base!$T245&gt;AE$1465,"",(tech_base!$J245/tech_proj!AE369*0.086*$N$110)/(1-tech_proj!AE649))</f>
        <v>0</v>
      </c>
      <c r="AF1709" s="119">
        <f>IF(tech_base!$T245&gt;AF$1465,"",(tech_base!$J245/tech_proj!AF369*0.086*$N$110)/(1-tech_proj!AF649))</f>
        <v>0</v>
      </c>
      <c r="AG1709" s="119">
        <f>IF(tech_base!$T245&gt;AG$1465,"",(tech_base!$J245/tech_proj!AG369*0.086*$N$110)/(1-tech_proj!AG649))</f>
        <v>0</v>
      </c>
      <c r="AH1709" s="119">
        <f>IF(tech_base!$T245&gt;AH$1465,"",(tech_base!$J245/tech_proj!AH369*0.086*$N$110)/(1-tech_proj!AH649))</f>
        <v>0</v>
      </c>
      <c r="AI1709" s="119">
        <f>IF(tech_base!$T245&gt;AI$1465,"",(tech_base!$J245/tech_proj!AI369*0.086*$N$110)/(1-tech_proj!AI649))</f>
        <v>0</v>
      </c>
      <c r="AJ1709" s="119">
        <f>IF(tech_base!$T245&gt;AJ$1465,"",(tech_base!$J245/tech_proj!AJ369*0.086*$N$110)/(1-tech_proj!AJ649))</f>
        <v>0</v>
      </c>
      <c r="AK1709" s="119">
        <f>IF(tech_base!$T245&gt;AK$1465,"",(tech_base!$J245/tech_proj!AK369*0.086*$N$110)/(1-tech_proj!AK649))</f>
        <v>0</v>
      </c>
      <c r="AL1709" s="119">
        <f>IF(tech_base!$T245&gt;AL$1465,"",(tech_base!$J245/tech_proj!AL369*0.086*$N$110)/(1-tech_proj!AL649))</f>
        <v>0</v>
      </c>
      <c r="AM1709" s="119">
        <f>IF(tech_base!$T245&gt;AM$1465,"",(tech_base!$J245/tech_proj!AM369*0.086*$N$110)/(1-tech_proj!AM649))</f>
        <v>0</v>
      </c>
      <c r="AN1709" s="119">
        <f>IF(tech_base!$T245&gt;AN$1465,"",(tech_base!$J245/tech_proj!AN369*0.086*$N$110)/(1-tech_proj!AN649))</f>
        <v>0</v>
      </c>
      <c r="AO1709" s="119">
        <f>IF(tech_base!$T245&gt;AO$1465,"",(tech_base!$J245/tech_proj!AO369*0.086*$N$110)/(1-tech_proj!AO649))</f>
        <v>0</v>
      </c>
      <c r="AP1709" s="119">
        <f>IF(tech_base!$T245&gt;AP$1465,"",(tech_base!$J245/tech_proj!AP369*0.086*$N$110)/(1-tech_proj!AP649))</f>
        <v>0</v>
      </c>
      <c r="AQ1709" s="119">
        <f>IF(tech_base!$T245&gt;AQ$1465,"",(tech_base!$J245/tech_proj!AQ369*0.086*$N$110)/(1-tech_proj!AQ649))</f>
        <v>0</v>
      </c>
      <c r="AR1709" s="119">
        <f>IF(tech_base!$T245&gt;AR$1465,"",(tech_base!$J245/tech_proj!AR369*0.086*$N$110)/(1-tech_proj!AR649))</f>
        <v>0</v>
      </c>
      <c r="AS1709" s="119">
        <f>IF(tech_base!$T245&gt;AS$1465,"",(tech_base!$J245/tech_proj!AS369*0.086*$N$110)/(1-tech_proj!AS649))</f>
        <v>0</v>
      </c>
      <c r="AT1709" s="119">
        <f>IF(tech_base!$T245&gt;AT$1465,"",(tech_base!$J245/tech_proj!AT369*0.086*$N$110)/(1-tech_proj!AT649))</f>
        <v>0</v>
      </c>
      <c r="AU1709" s="119">
        <f>IF(tech_base!$T245&gt;AU$1465,"",(tech_base!$J245/tech_proj!AU369*0.086*$N$110)/(1-tech_proj!AU649))</f>
        <v>0</v>
      </c>
      <c r="AV1709" s="119">
        <f>IF(tech_base!$T245&gt;AV$1465,"",(tech_base!$J245/tech_proj!AV369*0.086*$N$110)/(1-tech_proj!AV649))</f>
        <v>0</v>
      </c>
      <c r="AW1709" s="119">
        <f>IF(tech_base!$T245&gt;AW$1465,"",(tech_base!$J245/tech_proj!AW369*0.086*$N$110)/(1-tech_proj!AW649))</f>
        <v>0</v>
      </c>
      <c r="AX1709" s="120">
        <f>IF(tech_base!$T245&gt;AX$1465,"",(tech_base!$J245/tech_proj!AX369*0.086*$N$110)/(1-tech_proj!AX649))</f>
        <v>0</v>
      </c>
    </row>
    <row r="1710" spans="1:50" x14ac:dyDescent="0.25">
      <c r="A1710" s="356"/>
      <c r="B1710" s="376"/>
      <c r="C1710" s="378"/>
      <c r="D1710" s="2" t="s">
        <v>8</v>
      </c>
      <c r="E1710" s="160" t="str">
        <f>A1705&amp;"/"&amp;B1709&amp;"/"&amp;C1709&amp;"/"&amp;D1710</f>
        <v>Wind power plants/Offshore/Electricity only/M</v>
      </c>
      <c r="F1710" s="76" t="str">
        <f>A1705</f>
        <v>Wind power plants</v>
      </c>
      <c r="G1710" s="76" t="str">
        <f>B1709</f>
        <v>Offshore</v>
      </c>
      <c r="H1710" s="76" t="str">
        <f>C1709</f>
        <v>Electricity only</v>
      </c>
      <c r="I1710" s="161" t="str">
        <f t="shared" si="380"/>
        <v>M</v>
      </c>
      <c r="J1710" s="119">
        <f>IF(tech_base!$T246&gt;J$1465,"",(tech_base!$J246/tech_proj!J370*0.086*$N$110)/(1-tech_proj!J650))</f>
        <v>0</v>
      </c>
      <c r="K1710" s="119">
        <f>IF(tech_base!$T246&gt;K$1465,"",(tech_base!$J246/tech_proj!K370*0.086*$N$110)/(1-tech_proj!K650))</f>
        <v>0</v>
      </c>
      <c r="L1710" s="119">
        <f>IF(tech_base!$T246&gt;L$1465,"",(tech_base!$J246/tech_proj!L370*0.086*$N$110)/(1-tech_proj!L650))</f>
        <v>0</v>
      </c>
      <c r="M1710" s="119">
        <f>IF(tech_base!$T246&gt;M$1465,"",(tech_base!$J246/tech_proj!M370*0.086*$N$110)/(1-tech_proj!M650))</f>
        <v>0</v>
      </c>
      <c r="N1710" s="119">
        <f>IF(tech_base!$T246&gt;N$1465,"",(tech_base!$J246/tech_proj!N370*0.086*$N$110)/(1-tech_proj!N650))</f>
        <v>0</v>
      </c>
      <c r="O1710" s="119">
        <f>IF(tech_base!$T246&gt;O$1465,"",(tech_base!$J246/tech_proj!O370*0.086*$N$110)/(1-tech_proj!O650))</f>
        <v>0</v>
      </c>
      <c r="P1710" s="119">
        <f>IF(tech_base!$T246&gt;P$1465,"",(tech_base!$J246/tech_proj!P370*0.086*$N$110)/(1-tech_proj!P650))</f>
        <v>0</v>
      </c>
      <c r="Q1710" s="119">
        <f>IF(tech_base!$T246&gt;Q$1465,"",(tech_base!$J246/tech_proj!Q370*0.086*$N$110)/(1-tech_proj!Q650))</f>
        <v>0</v>
      </c>
      <c r="R1710" s="119">
        <f>IF(tech_base!$T246&gt;R$1465,"",(tech_base!$J246/tech_proj!R370*0.086*$N$110)/(1-tech_proj!R650))</f>
        <v>0</v>
      </c>
      <c r="S1710" s="119">
        <f>IF(tech_base!$T246&gt;S$1465,"",(tech_base!$J246/tech_proj!S370*0.086*$N$110)/(1-tech_proj!S650))</f>
        <v>0</v>
      </c>
      <c r="T1710" s="119">
        <f>IF(tech_base!$T246&gt;T$1465,"",(tech_base!$J246/tech_proj!T370*0.086*$N$110)/(1-tech_proj!T650))</f>
        <v>0</v>
      </c>
      <c r="U1710" s="119">
        <f>IF(tech_base!$T246&gt;U$1465,"",(tech_base!$J246/tech_proj!U370*0.086*$N$110)/(1-tech_proj!U650))</f>
        <v>0</v>
      </c>
      <c r="V1710" s="119">
        <f>IF(tech_base!$T246&gt;V$1465,"",(tech_base!$J246/tech_proj!V370*0.086*$N$110)/(1-tech_proj!V650))</f>
        <v>0</v>
      </c>
      <c r="W1710" s="119">
        <f>IF(tech_base!$T246&gt;W$1465,"",(tech_base!$J246/tech_proj!W370*0.086*$N$110)/(1-tech_proj!W650))</f>
        <v>0</v>
      </c>
      <c r="X1710" s="119">
        <f>IF(tech_base!$T246&gt;X$1465,"",(tech_base!$J246/tech_proj!X370*0.086*$N$110)/(1-tech_proj!X650))</f>
        <v>0</v>
      </c>
      <c r="Y1710" s="119">
        <f>IF(tech_base!$T246&gt;Y$1465,"",(tech_base!$J246/tech_proj!Y370*0.086*$N$110)/(1-tech_proj!Y650))</f>
        <v>0</v>
      </c>
      <c r="Z1710" s="119">
        <f>IF(tech_base!$T246&gt;Z$1465,"",(tech_base!$J246/tech_proj!Z370*0.086*$N$110)/(1-tech_proj!Z650))</f>
        <v>0</v>
      </c>
      <c r="AA1710" s="119">
        <f>IF(tech_base!$T246&gt;AA$1465,"",(tech_base!$J246/tech_proj!AA370*0.086*$N$110)/(1-tech_proj!AA650))</f>
        <v>0</v>
      </c>
      <c r="AB1710" s="119">
        <f>IF(tech_base!$T246&gt;AB$1465,"",(tech_base!$J246/tech_proj!AB370*0.086*$N$110)/(1-tech_proj!AB650))</f>
        <v>0</v>
      </c>
      <c r="AC1710" s="119">
        <f>IF(tech_base!$T246&gt;AC$1465,"",(tech_base!$J246/tech_proj!AC370*0.086*$N$110)/(1-tech_proj!AC650))</f>
        <v>0</v>
      </c>
      <c r="AD1710" s="119">
        <f>IF(tech_base!$T246&gt;AD$1465,"",(tech_base!$J246/tech_proj!AD370*0.086*$N$110)/(1-tech_proj!AD650))</f>
        <v>0</v>
      </c>
      <c r="AE1710" s="119">
        <f>IF(tech_base!$T246&gt;AE$1465,"",(tech_base!$J246/tech_proj!AE370*0.086*$N$110)/(1-tech_proj!AE650))</f>
        <v>0</v>
      </c>
      <c r="AF1710" s="119">
        <f>IF(tech_base!$T246&gt;AF$1465,"",(tech_base!$J246/tech_proj!AF370*0.086*$N$110)/(1-tech_proj!AF650))</f>
        <v>0</v>
      </c>
      <c r="AG1710" s="119">
        <f>IF(tech_base!$T246&gt;AG$1465,"",(tech_base!$J246/tech_proj!AG370*0.086*$N$110)/(1-tech_proj!AG650))</f>
        <v>0</v>
      </c>
      <c r="AH1710" s="119">
        <f>IF(tech_base!$T246&gt;AH$1465,"",(tech_base!$J246/tech_proj!AH370*0.086*$N$110)/(1-tech_proj!AH650))</f>
        <v>0</v>
      </c>
      <c r="AI1710" s="119">
        <f>IF(tech_base!$T246&gt;AI$1465,"",(tech_base!$J246/tech_proj!AI370*0.086*$N$110)/(1-tech_proj!AI650))</f>
        <v>0</v>
      </c>
      <c r="AJ1710" s="119">
        <f>IF(tech_base!$T246&gt;AJ$1465,"",(tech_base!$J246/tech_proj!AJ370*0.086*$N$110)/(1-tech_proj!AJ650))</f>
        <v>0</v>
      </c>
      <c r="AK1710" s="119">
        <f>IF(tech_base!$T246&gt;AK$1465,"",(tech_base!$J246/tech_proj!AK370*0.086*$N$110)/(1-tech_proj!AK650))</f>
        <v>0</v>
      </c>
      <c r="AL1710" s="119">
        <f>IF(tech_base!$T246&gt;AL$1465,"",(tech_base!$J246/tech_proj!AL370*0.086*$N$110)/(1-tech_proj!AL650))</f>
        <v>0</v>
      </c>
      <c r="AM1710" s="119">
        <f>IF(tech_base!$T246&gt;AM$1465,"",(tech_base!$J246/tech_proj!AM370*0.086*$N$110)/(1-tech_proj!AM650))</f>
        <v>0</v>
      </c>
      <c r="AN1710" s="119">
        <f>IF(tech_base!$T246&gt;AN$1465,"",(tech_base!$J246/tech_proj!AN370*0.086*$N$110)/(1-tech_proj!AN650))</f>
        <v>0</v>
      </c>
      <c r="AO1710" s="119">
        <f>IF(tech_base!$T246&gt;AO$1465,"",(tech_base!$J246/tech_proj!AO370*0.086*$N$110)/(1-tech_proj!AO650))</f>
        <v>0</v>
      </c>
      <c r="AP1710" s="119">
        <f>IF(tech_base!$T246&gt;AP$1465,"",(tech_base!$J246/tech_proj!AP370*0.086*$N$110)/(1-tech_proj!AP650))</f>
        <v>0</v>
      </c>
      <c r="AQ1710" s="119">
        <f>IF(tech_base!$T246&gt;AQ$1465,"",(tech_base!$J246/tech_proj!AQ370*0.086*$N$110)/(1-tech_proj!AQ650))</f>
        <v>0</v>
      </c>
      <c r="AR1710" s="119">
        <f>IF(tech_base!$T246&gt;AR$1465,"",(tech_base!$J246/tech_proj!AR370*0.086*$N$110)/(1-tech_proj!AR650))</f>
        <v>0</v>
      </c>
      <c r="AS1710" s="119">
        <f>IF(tech_base!$T246&gt;AS$1465,"",(tech_base!$J246/tech_proj!AS370*0.086*$N$110)/(1-tech_proj!AS650))</f>
        <v>0</v>
      </c>
      <c r="AT1710" s="119">
        <f>IF(tech_base!$T246&gt;AT$1465,"",(tech_base!$J246/tech_proj!AT370*0.086*$N$110)/(1-tech_proj!AT650))</f>
        <v>0</v>
      </c>
      <c r="AU1710" s="119">
        <f>IF(tech_base!$T246&gt;AU$1465,"",(tech_base!$J246/tech_proj!AU370*0.086*$N$110)/(1-tech_proj!AU650))</f>
        <v>0</v>
      </c>
      <c r="AV1710" s="119">
        <f>IF(tech_base!$T246&gt;AV$1465,"",(tech_base!$J246/tech_proj!AV370*0.086*$N$110)/(1-tech_proj!AV650))</f>
        <v>0</v>
      </c>
      <c r="AW1710" s="119">
        <f>IF(tech_base!$T246&gt;AW$1465,"",(tech_base!$J246/tech_proj!AW370*0.086*$N$110)/(1-tech_proj!AW650))</f>
        <v>0</v>
      </c>
      <c r="AX1710" s="120">
        <f>IF(tech_base!$T246&gt;AX$1465,"",(tech_base!$J246/tech_proj!AX370*0.086*$N$110)/(1-tech_proj!AX650))</f>
        <v>0</v>
      </c>
    </row>
    <row r="1711" spans="1:50" x14ac:dyDescent="0.25">
      <c r="A1711" s="356"/>
      <c r="B1711" s="376"/>
      <c r="C1711" s="378"/>
      <c r="D1711" s="2" t="s">
        <v>10</v>
      </c>
      <c r="E1711" s="160" t="str">
        <f>A1705&amp;"/"&amp;B1709&amp;"/"&amp;C1709&amp;"/"&amp;D1711</f>
        <v>Wind power plants/Offshore/Electricity only/S</v>
      </c>
      <c r="F1711" s="76" t="str">
        <f>A1705</f>
        <v>Wind power plants</v>
      </c>
      <c r="G1711" s="76" t="str">
        <f>B1709</f>
        <v>Offshore</v>
      </c>
      <c r="H1711" s="76" t="str">
        <f>C1709</f>
        <v>Electricity only</v>
      </c>
      <c r="I1711" s="161" t="str">
        <f t="shared" si="380"/>
        <v>S</v>
      </c>
      <c r="J1711" s="119">
        <f>IF(tech_base!$T247&gt;J$1465,"",(tech_base!$J247/tech_proj!J371*0.086*$N$110)/(1-tech_proj!J651))</f>
        <v>0</v>
      </c>
      <c r="K1711" s="119">
        <f>IF(tech_base!$T247&gt;K$1465,"",(tech_base!$J247/tech_proj!K371*0.086*$N$110)/(1-tech_proj!K651))</f>
        <v>0</v>
      </c>
      <c r="L1711" s="119">
        <f>IF(tech_base!$T247&gt;L$1465,"",(tech_base!$J247/tech_proj!L371*0.086*$N$110)/(1-tech_proj!L651))</f>
        <v>0</v>
      </c>
      <c r="M1711" s="119">
        <f>IF(tech_base!$T247&gt;M$1465,"",(tech_base!$J247/tech_proj!M371*0.086*$N$110)/(1-tech_proj!M651))</f>
        <v>0</v>
      </c>
      <c r="N1711" s="119">
        <f>IF(tech_base!$T247&gt;N$1465,"",(tech_base!$J247/tech_proj!N371*0.086*$N$110)/(1-tech_proj!N651))</f>
        <v>0</v>
      </c>
      <c r="O1711" s="119">
        <f>IF(tech_base!$T247&gt;O$1465,"",(tech_base!$J247/tech_proj!O371*0.086*$N$110)/(1-tech_proj!O651))</f>
        <v>0</v>
      </c>
      <c r="P1711" s="119">
        <f>IF(tech_base!$T247&gt;P$1465,"",(tech_base!$J247/tech_proj!P371*0.086*$N$110)/(1-tech_proj!P651))</f>
        <v>0</v>
      </c>
      <c r="Q1711" s="119">
        <f>IF(tech_base!$T247&gt;Q$1465,"",(tech_base!$J247/tech_proj!Q371*0.086*$N$110)/(1-tech_proj!Q651))</f>
        <v>0</v>
      </c>
      <c r="R1711" s="119">
        <f>IF(tech_base!$T247&gt;R$1465,"",(tech_base!$J247/tech_proj!R371*0.086*$N$110)/(1-tech_proj!R651))</f>
        <v>0</v>
      </c>
      <c r="S1711" s="119">
        <f>IF(tech_base!$T247&gt;S$1465,"",(tech_base!$J247/tech_proj!S371*0.086*$N$110)/(1-tech_proj!S651))</f>
        <v>0</v>
      </c>
      <c r="T1711" s="119">
        <f>IF(tech_base!$T247&gt;T$1465,"",(tech_base!$J247/tech_proj!T371*0.086*$N$110)/(1-tech_proj!T651))</f>
        <v>0</v>
      </c>
      <c r="U1711" s="119">
        <f>IF(tech_base!$T247&gt;U$1465,"",(tech_base!$J247/tech_proj!U371*0.086*$N$110)/(1-tech_proj!U651))</f>
        <v>0</v>
      </c>
      <c r="V1711" s="119">
        <f>IF(tech_base!$T247&gt;V$1465,"",(tech_base!$J247/tech_proj!V371*0.086*$N$110)/(1-tech_proj!V651))</f>
        <v>0</v>
      </c>
      <c r="W1711" s="119">
        <f>IF(tech_base!$T247&gt;W$1465,"",(tech_base!$J247/tech_proj!W371*0.086*$N$110)/(1-tech_proj!W651))</f>
        <v>0</v>
      </c>
      <c r="X1711" s="119">
        <f>IF(tech_base!$T247&gt;X$1465,"",(tech_base!$J247/tech_proj!X371*0.086*$N$110)/(1-tech_proj!X651))</f>
        <v>0</v>
      </c>
      <c r="Y1711" s="119">
        <f>IF(tech_base!$T247&gt;Y$1465,"",(tech_base!$J247/tech_proj!Y371*0.086*$N$110)/(1-tech_proj!Y651))</f>
        <v>0</v>
      </c>
      <c r="Z1711" s="119">
        <f>IF(tech_base!$T247&gt;Z$1465,"",(tech_base!$J247/tech_proj!Z371*0.086*$N$110)/(1-tech_proj!Z651))</f>
        <v>0</v>
      </c>
      <c r="AA1711" s="119">
        <f>IF(tech_base!$T247&gt;AA$1465,"",(tech_base!$J247/tech_proj!AA371*0.086*$N$110)/(1-tech_proj!AA651))</f>
        <v>0</v>
      </c>
      <c r="AB1711" s="119">
        <f>IF(tech_base!$T247&gt;AB$1465,"",(tech_base!$J247/tech_proj!AB371*0.086*$N$110)/(1-tech_proj!AB651))</f>
        <v>0</v>
      </c>
      <c r="AC1711" s="119">
        <f>IF(tech_base!$T247&gt;AC$1465,"",(tech_base!$J247/tech_proj!AC371*0.086*$N$110)/(1-tech_proj!AC651))</f>
        <v>0</v>
      </c>
      <c r="AD1711" s="119">
        <f>IF(tech_base!$T247&gt;AD$1465,"",(tech_base!$J247/tech_proj!AD371*0.086*$N$110)/(1-tech_proj!AD651))</f>
        <v>0</v>
      </c>
      <c r="AE1711" s="119">
        <f>IF(tech_base!$T247&gt;AE$1465,"",(tech_base!$J247/tech_proj!AE371*0.086*$N$110)/(1-tech_proj!AE651))</f>
        <v>0</v>
      </c>
      <c r="AF1711" s="119">
        <f>IF(tech_base!$T247&gt;AF$1465,"",(tech_base!$J247/tech_proj!AF371*0.086*$N$110)/(1-tech_proj!AF651))</f>
        <v>0</v>
      </c>
      <c r="AG1711" s="119">
        <f>IF(tech_base!$T247&gt;AG$1465,"",(tech_base!$J247/tech_proj!AG371*0.086*$N$110)/(1-tech_proj!AG651))</f>
        <v>0</v>
      </c>
      <c r="AH1711" s="119">
        <f>IF(tech_base!$T247&gt;AH$1465,"",(tech_base!$J247/tech_proj!AH371*0.086*$N$110)/(1-tech_proj!AH651))</f>
        <v>0</v>
      </c>
      <c r="AI1711" s="119">
        <f>IF(tech_base!$T247&gt;AI$1465,"",(tech_base!$J247/tech_proj!AI371*0.086*$N$110)/(1-tech_proj!AI651))</f>
        <v>0</v>
      </c>
      <c r="AJ1711" s="119">
        <f>IF(tech_base!$T247&gt;AJ$1465,"",(tech_base!$J247/tech_proj!AJ371*0.086*$N$110)/(1-tech_proj!AJ651))</f>
        <v>0</v>
      </c>
      <c r="AK1711" s="119">
        <f>IF(tech_base!$T247&gt;AK$1465,"",(tech_base!$J247/tech_proj!AK371*0.086*$N$110)/(1-tech_proj!AK651))</f>
        <v>0</v>
      </c>
      <c r="AL1711" s="119">
        <f>IF(tech_base!$T247&gt;AL$1465,"",(tech_base!$J247/tech_proj!AL371*0.086*$N$110)/(1-tech_proj!AL651))</f>
        <v>0</v>
      </c>
      <c r="AM1711" s="119">
        <f>IF(tech_base!$T247&gt;AM$1465,"",(tech_base!$J247/tech_proj!AM371*0.086*$N$110)/(1-tech_proj!AM651))</f>
        <v>0</v>
      </c>
      <c r="AN1711" s="119">
        <f>IF(tech_base!$T247&gt;AN$1465,"",(tech_base!$J247/tech_proj!AN371*0.086*$N$110)/(1-tech_proj!AN651))</f>
        <v>0</v>
      </c>
      <c r="AO1711" s="119">
        <f>IF(tech_base!$T247&gt;AO$1465,"",(tech_base!$J247/tech_proj!AO371*0.086*$N$110)/(1-tech_proj!AO651))</f>
        <v>0</v>
      </c>
      <c r="AP1711" s="119">
        <f>IF(tech_base!$T247&gt;AP$1465,"",(tech_base!$J247/tech_proj!AP371*0.086*$N$110)/(1-tech_proj!AP651))</f>
        <v>0</v>
      </c>
      <c r="AQ1711" s="119">
        <f>IF(tech_base!$T247&gt;AQ$1465,"",(tech_base!$J247/tech_proj!AQ371*0.086*$N$110)/(1-tech_proj!AQ651))</f>
        <v>0</v>
      </c>
      <c r="AR1711" s="119">
        <f>IF(tech_base!$T247&gt;AR$1465,"",(tech_base!$J247/tech_proj!AR371*0.086*$N$110)/(1-tech_proj!AR651))</f>
        <v>0</v>
      </c>
      <c r="AS1711" s="119">
        <f>IF(tech_base!$T247&gt;AS$1465,"",(tech_base!$J247/tech_proj!AS371*0.086*$N$110)/(1-tech_proj!AS651))</f>
        <v>0</v>
      </c>
      <c r="AT1711" s="119">
        <f>IF(tech_base!$T247&gt;AT$1465,"",(tech_base!$J247/tech_proj!AT371*0.086*$N$110)/(1-tech_proj!AT651))</f>
        <v>0</v>
      </c>
      <c r="AU1711" s="119">
        <f>IF(tech_base!$T247&gt;AU$1465,"",(tech_base!$J247/tech_proj!AU371*0.086*$N$110)/(1-tech_proj!AU651))</f>
        <v>0</v>
      </c>
      <c r="AV1711" s="119">
        <f>IF(tech_base!$T247&gt;AV$1465,"",(tech_base!$J247/tech_proj!AV371*0.086*$N$110)/(1-tech_proj!AV651))</f>
        <v>0</v>
      </c>
      <c r="AW1711" s="119">
        <f>IF(tech_base!$T247&gt;AW$1465,"",(tech_base!$J247/tech_proj!AW371*0.086*$N$110)/(1-tech_proj!AW651))</f>
        <v>0</v>
      </c>
      <c r="AX1711" s="120">
        <f>IF(tech_base!$T247&gt;AX$1465,"",(tech_base!$J247/tech_proj!AX371*0.086*$N$110)/(1-tech_proj!AX651))</f>
        <v>0</v>
      </c>
    </row>
    <row r="1712" spans="1:50" x14ac:dyDescent="0.25">
      <c r="A1712" s="357"/>
      <c r="B1712" s="380"/>
      <c r="C1712" s="381"/>
      <c r="D1712" s="4" t="s">
        <v>20</v>
      </c>
      <c r="E1712" s="168" t="str">
        <f>A1705&amp;"/"&amp;B1709&amp;"/"&amp;C1709&amp;"/"&amp;D1712</f>
        <v>Wind power plants/Offshore/Electricity only/XS</v>
      </c>
      <c r="F1712" s="80" t="str">
        <f>A1705</f>
        <v>Wind power plants</v>
      </c>
      <c r="G1712" s="80" t="str">
        <f>B1709</f>
        <v>Offshore</v>
      </c>
      <c r="H1712" s="80" t="str">
        <f>C1709</f>
        <v>Electricity only</v>
      </c>
      <c r="I1712" s="169" t="str">
        <f t="shared" si="380"/>
        <v>XS</v>
      </c>
      <c r="J1712" s="127">
        <f>IF(tech_base!$T248&gt;J$1465,"",(tech_base!$J248/tech_proj!J372*0.086*$N$110)/(1-tech_proj!J652))</f>
        <v>0</v>
      </c>
      <c r="K1712" s="127">
        <f>IF(tech_base!$T248&gt;K$1465,"",(tech_base!$J248/tech_proj!K372*0.086*$N$110)/(1-tech_proj!K652))</f>
        <v>0</v>
      </c>
      <c r="L1712" s="127">
        <f>IF(tech_base!$T248&gt;L$1465,"",(tech_base!$J248/tech_proj!L372*0.086*$N$110)/(1-tech_proj!L652))</f>
        <v>0</v>
      </c>
      <c r="M1712" s="127">
        <f>IF(tech_base!$T248&gt;M$1465,"",(tech_base!$J248/tech_proj!M372*0.086*$N$110)/(1-tech_proj!M652))</f>
        <v>0</v>
      </c>
      <c r="N1712" s="127">
        <f>IF(tech_base!$T248&gt;N$1465,"",(tech_base!$J248/tech_proj!N372*0.086*$N$110)/(1-tech_proj!N652))</f>
        <v>0</v>
      </c>
      <c r="O1712" s="127">
        <f>IF(tech_base!$T248&gt;O$1465,"",(tech_base!$J248/tech_proj!O372*0.086*$N$110)/(1-tech_proj!O652))</f>
        <v>0</v>
      </c>
      <c r="P1712" s="127">
        <f>IF(tech_base!$T248&gt;P$1465,"",(tech_base!$J248/tech_proj!P372*0.086*$N$110)/(1-tech_proj!P652))</f>
        <v>0</v>
      </c>
      <c r="Q1712" s="127">
        <f>IF(tech_base!$T248&gt;Q$1465,"",(tech_base!$J248/tech_proj!Q372*0.086*$N$110)/(1-tech_proj!Q652))</f>
        <v>0</v>
      </c>
      <c r="R1712" s="127">
        <f>IF(tech_base!$T248&gt;R$1465,"",(tech_base!$J248/tech_proj!R372*0.086*$N$110)/(1-tech_proj!R652))</f>
        <v>0</v>
      </c>
      <c r="S1712" s="127">
        <f>IF(tech_base!$T248&gt;S$1465,"",(tech_base!$J248/tech_proj!S372*0.086*$N$110)/(1-tech_proj!S652))</f>
        <v>0</v>
      </c>
      <c r="T1712" s="127">
        <f>IF(tech_base!$T248&gt;T$1465,"",(tech_base!$J248/tech_proj!T372*0.086*$N$110)/(1-tech_proj!T652))</f>
        <v>0</v>
      </c>
      <c r="U1712" s="127">
        <f>IF(tech_base!$T248&gt;U$1465,"",(tech_base!$J248/tech_proj!U372*0.086*$N$110)/(1-tech_proj!U652))</f>
        <v>0</v>
      </c>
      <c r="V1712" s="127">
        <f>IF(tech_base!$T248&gt;V$1465,"",(tech_base!$J248/tech_proj!V372*0.086*$N$110)/(1-tech_proj!V652))</f>
        <v>0</v>
      </c>
      <c r="W1712" s="127">
        <f>IF(tech_base!$T248&gt;W$1465,"",(tech_base!$J248/tech_proj!W372*0.086*$N$110)/(1-tech_proj!W652))</f>
        <v>0</v>
      </c>
      <c r="X1712" s="127">
        <f>IF(tech_base!$T248&gt;X$1465,"",(tech_base!$J248/tech_proj!X372*0.086*$N$110)/(1-tech_proj!X652))</f>
        <v>0</v>
      </c>
      <c r="Y1712" s="127">
        <f>IF(tech_base!$T248&gt;Y$1465,"",(tech_base!$J248/tech_proj!Y372*0.086*$N$110)/(1-tech_proj!Y652))</f>
        <v>0</v>
      </c>
      <c r="Z1712" s="127">
        <f>IF(tech_base!$T248&gt;Z$1465,"",(tech_base!$J248/tech_proj!Z372*0.086*$N$110)/(1-tech_proj!Z652))</f>
        <v>0</v>
      </c>
      <c r="AA1712" s="127">
        <f>IF(tech_base!$T248&gt;AA$1465,"",(tech_base!$J248/tech_proj!AA372*0.086*$N$110)/(1-tech_proj!AA652))</f>
        <v>0</v>
      </c>
      <c r="AB1712" s="127">
        <f>IF(tech_base!$T248&gt;AB$1465,"",(tech_base!$J248/tech_proj!AB372*0.086*$N$110)/(1-tech_proj!AB652))</f>
        <v>0</v>
      </c>
      <c r="AC1712" s="127">
        <f>IF(tech_base!$T248&gt;AC$1465,"",(tech_base!$J248/tech_proj!AC372*0.086*$N$110)/(1-tech_proj!AC652))</f>
        <v>0</v>
      </c>
      <c r="AD1712" s="127">
        <f>IF(tech_base!$T248&gt;AD$1465,"",(tech_base!$J248/tech_proj!AD372*0.086*$N$110)/(1-tech_proj!AD652))</f>
        <v>0</v>
      </c>
      <c r="AE1712" s="127">
        <f>IF(tech_base!$T248&gt;AE$1465,"",(tech_base!$J248/tech_proj!AE372*0.086*$N$110)/(1-tech_proj!AE652))</f>
        <v>0</v>
      </c>
      <c r="AF1712" s="127">
        <f>IF(tech_base!$T248&gt;AF$1465,"",(tech_base!$J248/tech_proj!AF372*0.086*$N$110)/(1-tech_proj!AF652))</f>
        <v>0</v>
      </c>
      <c r="AG1712" s="127">
        <f>IF(tech_base!$T248&gt;AG$1465,"",(tech_base!$J248/tech_proj!AG372*0.086*$N$110)/(1-tech_proj!AG652))</f>
        <v>0</v>
      </c>
      <c r="AH1712" s="127">
        <f>IF(tech_base!$T248&gt;AH$1465,"",(tech_base!$J248/tech_proj!AH372*0.086*$N$110)/(1-tech_proj!AH652))</f>
        <v>0</v>
      </c>
      <c r="AI1712" s="127">
        <f>IF(tech_base!$T248&gt;AI$1465,"",(tech_base!$J248/tech_proj!AI372*0.086*$N$110)/(1-tech_proj!AI652))</f>
        <v>0</v>
      </c>
      <c r="AJ1712" s="127">
        <f>IF(tech_base!$T248&gt;AJ$1465,"",(tech_base!$J248/tech_proj!AJ372*0.086*$N$110)/(1-tech_proj!AJ652))</f>
        <v>0</v>
      </c>
      <c r="AK1712" s="127">
        <f>IF(tech_base!$T248&gt;AK$1465,"",(tech_base!$J248/tech_proj!AK372*0.086*$N$110)/(1-tech_proj!AK652))</f>
        <v>0</v>
      </c>
      <c r="AL1712" s="127">
        <f>IF(tech_base!$T248&gt;AL$1465,"",(tech_base!$J248/tech_proj!AL372*0.086*$N$110)/(1-tech_proj!AL652))</f>
        <v>0</v>
      </c>
      <c r="AM1712" s="127">
        <f>IF(tech_base!$T248&gt;AM$1465,"",(tech_base!$J248/tech_proj!AM372*0.086*$N$110)/(1-tech_proj!AM652))</f>
        <v>0</v>
      </c>
      <c r="AN1712" s="127">
        <f>IF(tech_base!$T248&gt;AN$1465,"",(tech_base!$J248/tech_proj!AN372*0.086*$N$110)/(1-tech_proj!AN652))</f>
        <v>0</v>
      </c>
      <c r="AO1712" s="127">
        <f>IF(tech_base!$T248&gt;AO$1465,"",(tech_base!$J248/tech_proj!AO372*0.086*$N$110)/(1-tech_proj!AO652))</f>
        <v>0</v>
      </c>
      <c r="AP1712" s="127">
        <f>IF(tech_base!$T248&gt;AP$1465,"",(tech_base!$J248/tech_proj!AP372*0.086*$N$110)/(1-tech_proj!AP652))</f>
        <v>0</v>
      </c>
      <c r="AQ1712" s="127">
        <f>IF(tech_base!$T248&gt;AQ$1465,"",(tech_base!$J248/tech_proj!AQ372*0.086*$N$110)/(1-tech_proj!AQ652))</f>
        <v>0</v>
      </c>
      <c r="AR1712" s="127">
        <f>IF(tech_base!$T248&gt;AR$1465,"",(tech_base!$J248/tech_proj!AR372*0.086*$N$110)/(1-tech_proj!AR652))</f>
        <v>0</v>
      </c>
      <c r="AS1712" s="127">
        <f>IF(tech_base!$T248&gt;AS$1465,"",(tech_base!$J248/tech_proj!AS372*0.086*$N$110)/(1-tech_proj!AS652))</f>
        <v>0</v>
      </c>
      <c r="AT1712" s="127">
        <f>IF(tech_base!$T248&gt;AT$1465,"",(tech_base!$J248/tech_proj!AT372*0.086*$N$110)/(1-tech_proj!AT652))</f>
        <v>0</v>
      </c>
      <c r="AU1712" s="127">
        <f>IF(tech_base!$T248&gt;AU$1465,"",(tech_base!$J248/tech_proj!AU372*0.086*$N$110)/(1-tech_proj!AU652))</f>
        <v>0</v>
      </c>
      <c r="AV1712" s="127">
        <f>IF(tech_base!$T248&gt;AV$1465,"",(tech_base!$J248/tech_proj!AV372*0.086*$N$110)/(1-tech_proj!AV652))</f>
        <v>0</v>
      </c>
      <c r="AW1712" s="127">
        <f>IF(tech_base!$T248&gt;AW$1465,"",(tech_base!$J248/tech_proj!AW372*0.086*$N$110)/(1-tech_proj!AW652))</f>
        <v>0</v>
      </c>
      <c r="AX1712" s="128">
        <f>IF(tech_base!$T248&gt;AX$1465,"",(tech_base!$J248/tech_proj!AX372*0.086*$N$110)/(1-tech_proj!AX652))</f>
        <v>0</v>
      </c>
    </row>
    <row r="1713" spans="1:50" x14ac:dyDescent="0.25">
      <c r="A1713" s="355" t="s">
        <v>37</v>
      </c>
      <c r="B1713" s="358" t="s">
        <v>37</v>
      </c>
      <c r="C1713" s="353" t="s">
        <v>6</v>
      </c>
      <c r="D1713" s="3" t="s">
        <v>7</v>
      </c>
      <c r="E1713" s="162" t="str">
        <f>A1713&amp;"/"&amp;B1713&amp;"/"&amp;C1713&amp;"/"&amp;D1713</f>
        <v>Solar PV power plants/Solar PV power plants/Electricity only/L</v>
      </c>
      <c r="F1713" s="77" t="str">
        <f>A1713</f>
        <v>Solar PV power plants</v>
      </c>
      <c r="G1713" s="77" t="str">
        <f>B1713</f>
        <v>Solar PV power plants</v>
      </c>
      <c r="H1713" s="77" t="str">
        <f>C1713</f>
        <v>Electricity only</v>
      </c>
      <c r="I1713" s="163" t="str">
        <f t="shared" si="380"/>
        <v>L</v>
      </c>
      <c r="J1713" s="121">
        <f>IF(tech_base!$T249&gt;J$1465,"",(tech_base!$J249/tech_proj!J373*0.086*$N$110)/(1-tech_proj!J653))</f>
        <v>0</v>
      </c>
      <c r="K1713" s="121">
        <f>IF(tech_base!$T249&gt;K$1465,"",(tech_base!$J249/tech_proj!K373*0.086*$N$110)/(1-tech_proj!K653))</f>
        <v>0</v>
      </c>
      <c r="L1713" s="121">
        <f>IF(tech_base!$T249&gt;L$1465,"",(tech_base!$J249/tech_proj!L373*0.086*$N$110)/(1-tech_proj!L653))</f>
        <v>0</v>
      </c>
      <c r="M1713" s="121">
        <f>IF(tech_base!$T249&gt;M$1465,"",(tech_base!$J249/tech_proj!M373*0.086*$N$110)/(1-tech_proj!M653))</f>
        <v>0</v>
      </c>
      <c r="N1713" s="121">
        <f>IF(tech_base!$T249&gt;N$1465,"",(tech_base!$J249/tech_proj!N373*0.086*$N$110)/(1-tech_proj!N653))</f>
        <v>0</v>
      </c>
      <c r="O1713" s="121">
        <f>IF(tech_base!$T249&gt;O$1465,"",(tech_base!$J249/tech_proj!O373*0.086*$N$110)/(1-tech_proj!O653))</f>
        <v>0</v>
      </c>
      <c r="P1713" s="121">
        <f>IF(tech_base!$T249&gt;P$1465,"",(tech_base!$J249/tech_proj!P373*0.086*$N$110)/(1-tech_proj!P653))</f>
        <v>0</v>
      </c>
      <c r="Q1713" s="121">
        <f>IF(tech_base!$T249&gt;Q$1465,"",(tech_base!$J249/tech_proj!Q373*0.086*$N$110)/(1-tech_proj!Q653))</f>
        <v>0</v>
      </c>
      <c r="R1713" s="121">
        <f>IF(tech_base!$T249&gt;R$1465,"",(tech_base!$J249/tech_proj!R373*0.086*$N$110)/(1-tech_proj!R653))</f>
        <v>0</v>
      </c>
      <c r="S1713" s="121">
        <f>IF(tech_base!$T249&gt;S$1465,"",(tech_base!$J249/tech_proj!S373*0.086*$N$110)/(1-tech_proj!S653))</f>
        <v>0</v>
      </c>
      <c r="T1713" s="121">
        <f>IF(tech_base!$T249&gt;T$1465,"",(tech_base!$J249/tech_proj!T373*0.086*$N$110)/(1-tech_proj!T653))</f>
        <v>0</v>
      </c>
      <c r="U1713" s="121">
        <f>IF(tech_base!$T249&gt;U$1465,"",(tech_base!$J249/tech_proj!U373*0.086*$N$110)/(1-tech_proj!U653))</f>
        <v>0</v>
      </c>
      <c r="V1713" s="121">
        <f>IF(tech_base!$T249&gt;V$1465,"",(tech_base!$J249/tech_proj!V373*0.086*$N$110)/(1-tech_proj!V653))</f>
        <v>0</v>
      </c>
      <c r="W1713" s="121">
        <f>IF(tech_base!$T249&gt;W$1465,"",(tech_base!$J249/tech_proj!W373*0.086*$N$110)/(1-tech_proj!W653))</f>
        <v>0</v>
      </c>
      <c r="X1713" s="121">
        <f>IF(tech_base!$T249&gt;X$1465,"",(tech_base!$J249/tech_proj!X373*0.086*$N$110)/(1-tech_proj!X653))</f>
        <v>0</v>
      </c>
      <c r="Y1713" s="121">
        <f>IF(tech_base!$T249&gt;Y$1465,"",(tech_base!$J249/tech_proj!Y373*0.086*$N$110)/(1-tech_proj!Y653))</f>
        <v>0</v>
      </c>
      <c r="Z1713" s="121">
        <f>IF(tech_base!$T249&gt;Z$1465,"",(tech_base!$J249/tech_proj!Z373*0.086*$N$110)/(1-tech_proj!Z653))</f>
        <v>0</v>
      </c>
      <c r="AA1713" s="121">
        <f>IF(tech_base!$T249&gt;AA$1465,"",(tech_base!$J249/tech_proj!AA373*0.086*$N$110)/(1-tech_proj!AA653))</f>
        <v>0</v>
      </c>
      <c r="AB1713" s="121">
        <f>IF(tech_base!$T249&gt;AB$1465,"",(tech_base!$J249/tech_proj!AB373*0.086*$N$110)/(1-tech_proj!AB653))</f>
        <v>0</v>
      </c>
      <c r="AC1713" s="121">
        <f>IF(tech_base!$T249&gt;AC$1465,"",(tech_base!$J249/tech_proj!AC373*0.086*$N$110)/(1-tech_proj!AC653))</f>
        <v>0</v>
      </c>
      <c r="AD1713" s="121">
        <f>IF(tech_base!$T249&gt;AD$1465,"",(tech_base!$J249/tech_proj!AD373*0.086*$N$110)/(1-tech_proj!AD653))</f>
        <v>0</v>
      </c>
      <c r="AE1713" s="121">
        <f>IF(tech_base!$T249&gt;AE$1465,"",(tech_base!$J249/tech_proj!AE373*0.086*$N$110)/(1-tech_proj!AE653))</f>
        <v>0</v>
      </c>
      <c r="AF1713" s="121">
        <f>IF(tech_base!$T249&gt;AF$1465,"",(tech_base!$J249/tech_proj!AF373*0.086*$N$110)/(1-tech_proj!AF653))</f>
        <v>0</v>
      </c>
      <c r="AG1713" s="121">
        <f>IF(tech_base!$T249&gt;AG$1465,"",(tech_base!$J249/tech_proj!AG373*0.086*$N$110)/(1-tech_proj!AG653))</f>
        <v>0</v>
      </c>
      <c r="AH1713" s="121">
        <f>IF(tech_base!$T249&gt;AH$1465,"",(tech_base!$J249/tech_proj!AH373*0.086*$N$110)/(1-tech_proj!AH653))</f>
        <v>0</v>
      </c>
      <c r="AI1713" s="121">
        <f>IF(tech_base!$T249&gt;AI$1465,"",(tech_base!$J249/tech_proj!AI373*0.086*$N$110)/(1-tech_proj!AI653))</f>
        <v>0</v>
      </c>
      <c r="AJ1713" s="121">
        <f>IF(tech_base!$T249&gt;AJ$1465,"",(tech_base!$J249/tech_proj!AJ373*0.086*$N$110)/(1-tech_proj!AJ653))</f>
        <v>0</v>
      </c>
      <c r="AK1713" s="121">
        <f>IF(tech_base!$T249&gt;AK$1465,"",(tech_base!$J249/tech_proj!AK373*0.086*$N$110)/(1-tech_proj!AK653))</f>
        <v>0</v>
      </c>
      <c r="AL1713" s="121">
        <f>IF(tech_base!$T249&gt;AL$1465,"",(tech_base!$J249/tech_proj!AL373*0.086*$N$110)/(1-tech_proj!AL653))</f>
        <v>0</v>
      </c>
      <c r="AM1713" s="121">
        <f>IF(tech_base!$T249&gt;AM$1465,"",(tech_base!$J249/tech_proj!AM373*0.086*$N$110)/(1-tech_proj!AM653))</f>
        <v>0</v>
      </c>
      <c r="AN1713" s="121">
        <f>IF(tech_base!$T249&gt;AN$1465,"",(tech_base!$J249/tech_proj!AN373*0.086*$N$110)/(1-tech_proj!AN653))</f>
        <v>0</v>
      </c>
      <c r="AO1713" s="121">
        <f>IF(tech_base!$T249&gt;AO$1465,"",(tech_base!$J249/tech_proj!AO373*0.086*$N$110)/(1-tech_proj!AO653))</f>
        <v>0</v>
      </c>
      <c r="AP1713" s="121">
        <f>IF(tech_base!$T249&gt;AP$1465,"",(tech_base!$J249/tech_proj!AP373*0.086*$N$110)/(1-tech_proj!AP653))</f>
        <v>0</v>
      </c>
      <c r="AQ1713" s="121">
        <f>IF(tech_base!$T249&gt;AQ$1465,"",(tech_base!$J249/tech_proj!AQ373*0.086*$N$110)/(1-tech_proj!AQ653))</f>
        <v>0</v>
      </c>
      <c r="AR1713" s="121">
        <f>IF(tech_base!$T249&gt;AR$1465,"",(tech_base!$J249/tech_proj!AR373*0.086*$N$110)/(1-tech_proj!AR653))</f>
        <v>0</v>
      </c>
      <c r="AS1713" s="121">
        <f>IF(tech_base!$T249&gt;AS$1465,"",(tech_base!$J249/tech_proj!AS373*0.086*$N$110)/(1-tech_proj!AS653))</f>
        <v>0</v>
      </c>
      <c r="AT1713" s="121">
        <f>IF(tech_base!$T249&gt;AT$1465,"",(tech_base!$J249/tech_proj!AT373*0.086*$N$110)/(1-tech_proj!AT653))</f>
        <v>0</v>
      </c>
      <c r="AU1713" s="121">
        <f>IF(tech_base!$T249&gt;AU$1465,"",(tech_base!$J249/tech_proj!AU373*0.086*$N$110)/(1-tech_proj!AU653))</f>
        <v>0</v>
      </c>
      <c r="AV1713" s="121">
        <f>IF(tech_base!$T249&gt;AV$1465,"",(tech_base!$J249/tech_proj!AV373*0.086*$N$110)/(1-tech_proj!AV653))</f>
        <v>0</v>
      </c>
      <c r="AW1713" s="121">
        <f>IF(tech_base!$T249&gt;AW$1465,"",(tech_base!$J249/tech_proj!AW373*0.086*$N$110)/(1-tech_proj!AW653))</f>
        <v>0</v>
      </c>
      <c r="AX1713" s="122">
        <f>IF(tech_base!$T249&gt;AX$1465,"",(tech_base!$J249/tech_proj!AX373*0.086*$N$110)/(1-tech_proj!AX653))</f>
        <v>0</v>
      </c>
    </row>
    <row r="1714" spans="1:50" x14ac:dyDescent="0.25">
      <c r="A1714" s="356"/>
      <c r="B1714" s="376"/>
      <c r="C1714" s="378"/>
      <c r="D1714" s="2" t="s">
        <v>8</v>
      </c>
      <c r="E1714" s="160" t="str">
        <f>A1713&amp;"/"&amp;B1713&amp;"/"&amp;C1713&amp;"/"&amp;D1714</f>
        <v>Solar PV power plants/Solar PV power plants/Electricity only/M</v>
      </c>
      <c r="F1714" s="76" t="str">
        <f>A1713</f>
        <v>Solar PV power plants</v>
      </c>
      <c r="G1714" s="76" t="str">
        <f>B1713</f>
        <v>Solar PV power plants</v>
      </c>
      <c r="H1714" s="76" t="str">
        <f>C1713</f>
        <v>Electricity only</v>
      </c>
      <c r="I1714" s="161" t="str">
        <f t="shared" si="380"/>
        <v>M</v>
      </c>
      <c r="J1714" s="119">
        <f>IF(tech_base!$T250&gt;J$1465,"",(tech_base!$J250/tech_proj!J374*0.086*$N$110)/(1-tech_proj!J654))</f>
        <v>0</v>
      </c>
      <c r="K1714" s="119">
        <f>IF(tech_base!$T250&gt;K$1465,"",(tech_base!$J250/tech_proj!K374*0.086*$N$110)/(1-tech_proj!K654))</f>
        <v>0</v>
      </c>
      <c r="L1714" s="119">
        <f>IF(tech_base!$T250&gt;L$1465,"",(tech_base!$J250/tech_proj!L374*0.086*$N$110)/(1-tech_proj!L654))</f>
        <v>0</v>
      </c>
      <c r="M1714" s="119">
        <f>IF(tech_base!$T250&gt;M$1465,"",(tech_base!$J250/tech_proj!M374*0.086*$N$110)/(1-tech_proj!M654))</f>
        <v>0</v>
      </c>
      <c r="N1714" s="119">
        <f>IF(tech_base!$T250&gt;N$1465,"",(tech_base!$J250/tech_proj!N374*0.086*$N$110)/(1-tech_proj!N654))</f>
        <v>0</v>
      </c>
      <c r="O1714" s="119">
        <f>IF(tech_base!$T250&gt;O$1465,"",(tech_base!$J250/tech_proj!O374*0.086*$N$110)/(1-tech_proj!O654))</f>
        <v>0</v>
      </c>
      <c r="P1714" s="119">
        <f>IF(tech_base!$T250&gt;P$1465,"",(tech_base!$J250/tech_proj!P374*0.086*$N$110)/(1-tech_proj!P654))</f>
        <v>0</v>
      </c>
      <c r="Q1714" s="119">
        <f>IF(tech_base!$T250&gt;Q$1465,"",(tech_base!$J250/tech_proj!Q374*0.086*$N$110)/(1-tech_proj!Q654))</f>
        <v>0</v>
      </c>
      <c r="R1714" s="119">
        <f>IF(tech_base!$T250&gt;R$1465,"",(tech_base!$J250/tech_proj!R374*0.086*$N$110)/(1-tech_proj!R654))</f>
        <v>0</v>
      </c>
      <c r="S1714" s="119">
        <f>IF(tech_base!$T250&gt;S$1465,"",(tech_base!$J250/tech_proj!S374*0.086*$N$110)/(1-tech_proj!S654))</f>
        <v>0</v>
      </c>
      <c r="T1714" s="119">
        <f>IF(tech_base!$T250&gt;T$1465,"",(tech_base!$J250/tech_proj!T374*0.086*$N$110)/(1-tech_proj!T654))</f>
        <v>0</v>
      </c>
      <c r="U1714" s="119">
        <f>IF(tech_base!$T250&gt;U$1465,"",(tech_base!$J250/tech_proj!U374*0.086*$N$110)/(1-tech_proj!U654))</f>
        <v>0</v>
      </c>
      <c r="V1714" s="119">
        <f>IF(tech_base!$T250&gt;V$1465,"",(tech_base!$J250/tech_proj!V374*0.086*$N$110)/(1-tech_proj!V654))</f>
        <v>0</v>
      </c>
      <c r="W1714" s="119">
        <f>IF(tech_base!$T250&gt;W$1465,"",(tech_base!$J250/tech_proj!W374*0.086*$N$110)/(1-tech_proj!W654))</f>
        <v>0</v>
      </c>
      <c r="X1714" s="119">
        <f>IF(tech_base!$T250&gt;X$1465,"",(tech_base!$J250/tech_proj!X374*0.086*$N$110)/(1-tech_proj!X654))</f>
        <v>0</v>
      </c>
      <c r="Y1714" s="119">
        <f>IF(tech_base!$T250&gt;Y$1465,"",(tech_base!$J250/tech_proj!Y374*0.086*$N$110)/(1-tech_proj!Y654))</f>
        <v>0</v>
      </c>
      <c r="Z1714" s="119">
        <f>IF(tech_base!$T250&gt;Z$1465,"",(tech_base!$J250/tech_proj!Z374*0.086*$N$110)/(1-tech_proj!Z654))</f>
        <v>0</v>
      </c>
      <c r="AA1714" s="119">
        <f>IF(tech_base!$T250&gt;AA$1465,"",(tech_base!$J250/tech_proj!AA374*0.086*$N$110)/(1-tech_proj!AA654))</f>
        <v>0</v>
      </c>
      <c r="AB1714" s="119">
        <f>IF(tech_base!$T250&gt;AB$1465,"",(tech_base!$J250/tech_proj!AB374*0.086*$N$110)/(1-tech_proj!AB654))</f>
        <v>0</v>
      </c>
      <c r="AC1714" s="119">
        <f>IF(tech_base!$T250&gt;AC$1465,"",(tech_base!$J250/tech_proj!AC374*0.086*$N$110)/(1-tech_proj!AC654))</f>
        <v>0</v>
      </c>
      <c r="AD1714" s="119">
        <f>IF(tech_base!$T250&gt;AD$1465,"",(tech_base!$J250/tech_proj!AD374*0.086*$N$110)/(1-tech_proj!AD654))</f>
        <v>0</v>
      </c>
      <c r="AE1714" s="119">
        <f>IF(tech_base!$T250&gt;AE$1465,"",(tech_base!$J250/tech_proj!AE374*0.086*$N$110)/(1-tech_proj!AE654))</f>
        <v>0</v>
      </c>
      <c r="AF1714" s="119">
        <f>IF(tech_base!$T250&gt;AF$1465,"",(tech_base!$J250/tech_proj!AF374*0.086*$N$110)/(1-tech_proj!AF654))</f>
        <v>0</v>
      </c>
      <c r="AG1714" s="119">
        <f>IF(tech_base!$T250&gt;AG$1465,"",(tech_base!$J250/tech_proj!AG374*0.086*$N$110)/(1-tech_proj!AG654))</f>
        <v>0</v>
      </c>
      <c r="AH1714" s="119">
        <f>IF(tech_base!$T250&gt;AH$1465,"",(tech_base!$J250/tech_proj!AH374*0.086*$N$110)/(1-tech_proj!AH654))</f>
        <v>0</v>
      </c>
      <c r="AI1714" s="119">
        <f>IF(tech_base!$T250&gt;AI$1465,"",(tech_base!$J250/tech_proj!AI374*0.086*$N$110)/(1-tech_proj!AI654))</f>
        <v>0</v>
      </c>
      <c r="AJ1714" s="119">
        <f>IF(tech_base!$T250&gt;AJ$1465,"",(tech_base!$J250/tech_proj!AJ374*0.086*$N$110)/(1-tech_proj!AJ654))</f>
        <v>0</v>
      </c>
      <c r="AK1714" s="119">
        <f>IF(tech_base!$T250&gt;AK$1465,"",(tech_base!$J250/tech_proj!AK374*0.086*$N$110)/(1-tech_proj!AK654))</f>
        <v>0</v>
      </c>
      <c r="AL1714" s="119">
        <f>IF(tech_base!$T250&gt;AL$1465,"",(tech_base!$J250/tech_proj!AL374*0.086*$N$110)/(1-tech_proj!AL654))</f>
        <v>0</v>
      </c>
      <c r="AM1714" s="119">
        <f>IF(tech_base!$T250&gt;AM$1465,"",(tech_base!$J250/tech_proj!AM374*0.086*$N$110)/(1-tech_proj!AM654))</f>
        <v>0</v>
      </c>
      <c r="AN1714" s="119">
        <f>IF(tech_base!$T250&gt;AN$1465,"",(tech_base!$J250/tech_proj!AN374*0.086*$N$110)/(1-tech_proj!AN654))</f>
        <v>0</v>
      </c>
      <c r="AO1714" s="119">
        <f>IF(tech_base!$T250&gt;AO$1465,"",(tech_base!$J250/tech_proj!AO374*0.086*$N$110)/(1-tech_proj!AO654))</f>
        <v>0</v>
      </c>
      <c r="AP1714" s="119">
        <f>IF(tech_base!$T250&gt;AP$1465,"",(tech_base!$J250/tech_proj!AP374*0.086*$N$110)/(1-tech_proj!AP654))</f>
        <v>0</v>
      </c>
      <c r="AQ1714" s="119">
        <f>IF(tech_base!$T250&gt;AQ$1465,"",(tech_base!$J250/tech_proj!AQ374*0.086*$N$110)/(1-tech_proj!AQ654))</f>
        <v>0</v>
      </c>
      <c r="AR1714" s="119">
        <f>IF(tech_base!$T250&gt;AR$1465,"",(tech_base!$J250/tech_proj!AR374*0.086*$N$110)/(1-tech_proj!AR654))</f>
        <v>0</v>
      </c>
      <c r="AS1714" s="119">
        <f>IF(tech_base!$T250&gt;AS$1465,"",(tech_base!$J250/tech_proj!AS374*0.086*$N$110)/(1-tech_proj!AS654))</f>
        <v>0</v>
      </c>
      <c r="AT1714" s="119">
        <f>IF(tech_base!$T250&gt;AT$1465,"",(tech_base!$J250/tech_proj!AT374*0.086*$N$110)/(1-tech_proj!AT654))</f>
        <v>0</v>
      </c>
      <c r="AU1714" s="119">
        <f>IF(tech_base!$T250&gt;AU$1465,"",(tech_base!$J250/tech_proj!AU374*0.086*$N$110)/(1-tech_proj!AU654))</f>
        <v>0</v>
      </c>
      <c r="AV1714" s="119">
        <f>IF(tech_base!$T250&gt;AV$1465,"",(tech_base!$J250/tech_proj!AV374*0.086*$N$110)/(1-tech_proj!AV654))</f>
        <v>0</v>
      </c>
      <c r="AW1714" s="119">
        <f>IF(tech_base!$T250&gt;AW$1465,"",(tech_base!$J250/tech_proj!AW374*0.086*$N$110)/(1-tech_proj!AW654))</f>
        <v>0</v>
      </c>
      <c r="AX1714" s="120">
        <f>IF(tech_base!$T250&gt;AX$1465,"",(tech_base!$J250/tech_proj!AX374*0.086*$N$110)/(1-tech_proj!AX654))</f>
        <v>0</v>
      </c>
    </row>
    <row r="1715" spans="1:50" x14ac:dyDescent="0.25">
      <c r="A1715" s="356"/>
      <c r="B1715" s="376"/>
      <c r="C1715" s="378"/>
      <c r="D1715" s="2" t="s">
        <v>10</v>
      </c>
      <c r="E1715" s="160" t="str">
        <f>A1713&amp;"/"&amp;B1713&amp;"/"&amp;C1713&amp;"/"&amp;D1715</f>
        <v>Solar PV power plants/Solar PV power plants/Electricity only/S</v>
      </c>
      <c r="F1715" s="76" t="str">
        <f>A1713</f>
        <v>Solar PV power plants</v>
      </c>
      <c r="G1715" s="76" t="str">
        <f>B1713</f>
        <v>Solar PV power plants</v>
      </c>
      <c r="H1715" s="76" t="str">
        <f>C1713</f>
        <v>Electricity only</v>
      </c>
      <c r="I1715" s="161" t="str">
        <f t="shared" si="380"/>
        <v>S</v>
      </c>
      <c r="J1715" s="119">
        <f>IF(tech_base!$T251&gt;J$1465,"",(tech_base!$J251/tech_proj!J375*0.086*$N$110)/(1-tech_proj!J655))</f>
        <v>0</v>
      </c>
      <c r="K1715" s="119">
        <f>IF(tech_base!$T251&gt;K$1465,"",(tech_base!$J251/tech_proj!K375*0.086*$N$110)/(1-tech_proj!K655))</f>
        <v>0</v>
      </c>
      <c r="L1715" s="119">
        <f>IF(tech_base!$T251&gt;L$1465,"",(tech_base!$J251/tech_proj!L375*0.086*$N$110)/(1-tech_proj!L655))</f>
        <v>0</v>
      </c>
      <c r="M1715" s="119">
        <f>IF(tech_base!$T251&gt;M$1465,"",(tech_base!$J251/tech_proj!M375*0.086*$N$110)/(1-tech_proj!M655))</f>
        <v>0</v>
      </c>
      <c r="N1715" s="119">
        <f>IF(tech_base!$T251&gt;N$1465,"",(tech_base!$J251/tech_proj!N375*0.086*$N$110)/(1-tech_proj!N655))</f>
        <v>0</v>
      </c>
      <c r="O1715" s="119">
        <f>IF(tech_base!$T251&gt;O$1465,"",(tech_base!$J251/tech_proj!O375*0.086*$N$110)/(1-tech_proj!O655))</f>
        <v>0</v>
      </c>
      <c r="P1715" s="119">
        <f>IF(tech_base!$T251&gt;P$1465,"",(tech_base!$J251/tech_proj!P375*0.086*$N$110)/(1-tech_proj!P655))</f>
        <v>0</v>
      </c>
      <c r="Q1715" s="119">
        <f>IF(tech_base!$T251&gt;Q$1465,"",(tech_base!$J251/tech_proj!Q375*0.086*$N$110)/(1-tech_proj!Q655))</f>
        <v>0</v>
      </c>
      <c r="R1715" s="119">
        <f>IF(tech_base!$T251&gt;R$1465,"",(tech_base!$J251/tech_proj!R375*0.086*$N$110)/(1-tech_proj!R655))</f>
        <v>0</v>
      </c>
      <c r="S1715" s="119">
        <f>IF(tech_base!$T251&gt;S$1465,"",(tech_base!$J251/tech_proj!S375*0.086*$N$110)/(1-tech_proj!S655))</f>
        <v>0</v>
      </c>
      <c r="T1715" s="119">
        <f>IF(tech_base!$T251&gt;T$1465,"",(tech_base!$J251/tech_proj!T375*0.086*$N$110)/(1-tech_proj!T655))</f>
        <v>0</v>
      </c>
      <c r="U1715" s="119">
        <f>IF(tech_base!$T251&gt;U$1465,"",(tech_base!$J251/tech_proj!U375*0.086*$N$110)/(1-tech_proj!U655))</f>
        <v>0</v>
      </c>
      <c r="V1715" s="119">
        <f>IF(tech_base!$T251&gt;V$1465,"",(tech_base!$J251/tech_proj!V375*0.086*$N$110)/(1-tech_proj!V655))</f>
        <v>0</v>
      </c>
      <c r="W1715" s="119">
        <f>IF(tech_base!$T251&gt;W$1465,"",(tech_base!$J251/tech_proj!W375*0.086*$N$110)/(1-tech_proj!W655))</f>
        <v>0</v>
      </c>
      <c r="X1715" s="119">
        <f>IF(tech_base!$T251&gt;X$1465,"",(tech_base!$J251/tech_proj!X375*0.086*$N$110)/(1-tech_proj!X655))</f>
        <v>0</v>
      </c>
      <c r="Y1715" s="119">
        <f>IF(tech_base!$T251&gt;Y$1465,"",(tech_base!$J251/tech_proj!Y375*0.086*$N$110)/(1-tech_proj!Y655))</f>
        <v>0</v>
      </c>
      <c r="Z1715" s="119">
        <f>IF(tech_base!$T251&gt;Z$1465,"",(tech_base!$J251/tech_proj!Z375*0.086*$N$110)/(1-tech_proj!Z655))</f>
        <v>0</v>
      </c>
      <c r="AA1715" s="119">
        <f>IF(tech_base!$T251&gt;AA$1465,"",(tech_base!$J251/tech_proj!AA375*0.086*$N$110)/(1-tech_proj!AA655))</f>
        <v>0</v>
      </c>
      <c r="AB1715" s="119">
        <f>IF(tech_base!$T251&gt;AB$1465,"",(tech_base!$J251/tech_proj!AB375*0.086*$N$110)/(1-tech_proj!AB655))</f>
        <v>0</v>
      </c>
      <c r="AC1715" s="119">
        <f>IF(tech_base!$T251&gt;AC$1465,"",(tech_base!$J251/tech_proj!AC375*0.086*$N$110)/(1-tech_proj!AC655))</f>
        <v>0</v>
      </c>
      <c r="AD1715" s="119">
        <f>IF(tech_base!$T251&gt;AD$1465,"",(tech_base!$J251/tech_proj!AD375*0.086*$N$110)/(1-tech_proj!AD655))</f>
        <v>0</v>
      </c>
      <c r="AE1715" s="119">
        <f>IF(tech_base!$T251&gt;AE$1465,"",(tech_base!$J251/tech_proj!AE375*0.086*$N$110)/(1-tech_proj!AE655))</f>
        <v>0</v>
      </c>
      <c r="AF1715" s="119">
        <f>IF(tech_base!$T251&gt;AF$1465,"",(tech_base!$J251/tech_proj!AF375*0.086*$N$110)/(1-tech_proj!AF655))</f>
        <v>0</v>
      </c>
      <c r="AG1715" s="119">
        <f>IF(tech_base!$T251&gt;AG$1465,"",(tech_base!$J251/tech_proj!AG375*0.086*$N$110)/(1-tech_proj!AG655))</f>
        <v>0</v>
      </c>
      <c r="AH1715" s="119">
        <f>IF(tech_base!$T251&gt;AH$1465,"",(tech_base!$J251/tech_proj!AH375*0.086*$N$110)/(1-tech_proj!AH655))</f>
        <v>0</v>
      </c>
      <c r="AI1715" s="119">
        <f>IF(tech_base!$T251&gt;AI$1465,"",(tech_base!$J251/tech_proj!AI375*0.086*$N$110)/(1-tech_proj!AI655))</f>
        <v>0</v>
      </c>
      <c r="AJ1715" s="119">
        <f>IF(tech_base!$T251&gt;AJ$1465,"",(tech_base!$J251/tech_proj!AJ375*0.086*$N$110)/(1-tech_proj!AJ655))</f>
        <v>0</v>
      </c>
      <c r="AK1715" s="119">
        <f>IF(tech_base!$T251&gt;AK$1465,"",(tech_base!$J251/tech_proj!AK375*0.086*$N$110)/(1-tech_proj!AK655))</f>
        <v>0</v>
      </c>
      <c r="AL1715" s="119">
        <f>IF(tech_base!$T251&gt;AL$1465,"",(tech_base!$J251/tech_proj!AL375*0.086*$N$110)/(1-tech_proj!AL655))</f>
        <v>0</v>
      </c>
      <c r="AM1715" s="119">
        <f>IF(tech_base!$T251&gt;AM$1465,"",(tech_base!$J251/tech_proj!AM375*0.086*$N$110)/(1-tech_proj!AM655))</f>
        <v>0</v>
      </c>
      <c r="AN1715" s="119">
        <f>IF(tech_base!$T251&gt;AN$1465,"",(tech_base!$J251/tech_proj!AN375*0.086*$N$110)/(1-tech_proj!AN655))</f>
        <v>0</v>
      </c>
      <c r="AO1715" s="119">
        <f>IF(tech_base!$T251&gt;AO$1465,"",(tech_base!$J251/tech_proj!AO375*0.086*$N$110)/(1-tech_proj!AO655))</f>
        <v>0</v>
      </c>
      <c r="AP1715" s="119">
        <f>IF(tech_base!$T251&gt;AP$1465,"",(tech_base!$J251/tech_proj!AP375*0.086*$N$110)/(1-tech_proj!AP655))</f>
        <v>0</v>
      </c>
      <c r="AQ1715" s="119">
        <f>IF(tech_base!$T251&gt;AQ$1465,"",(tech_base!$J251/tech_proj!AQ375*0.086*$N$110)/(1-tech_proj!AQ655))</f>
        <v>0</v>
      </c>
      <c r="AR1715" s="119">
        <f>IF(tech_base!$T251&gt;AR$1465,"",(tech_base!$J251/tech_proj!AR375*0.086*$N$110)/(1-tech_proj!AR655))</f>
        <v>0</v>
      </c>
      <c r="AS1715" s="119">
        <f>IF(tech_base!$T251&gt;AS$1465,"",(tech_base!$J251/tech_proj!AS375*0.086*$N$110)/(1-tech_proj!AS655))</f>
        <v>0</v>
      </c>
      <c r="AT1715" s="119">
        <f>IF(tech_base!$T251&gt;AT$1465,"",(tech_base!$J251/tech_proj!AT375*0.086*$N$110)/(1-tech_proj!AT655))</f>
        <v>0</v>
      </c>
      <c r="AU1715" s="119">
        <f>IF(tech_base!$T251&gt;AU$1465,"",(tech_base!$J251/tech_proj!AU375*0.086*$N$110)/(1-tech_proj!AU655))</f>
        <v>0</v>
      </c>
      <c r="AV1715" s="119">
        <f>IF(tech_base!$T251&gt;AV$1465,"",(tech_base!$J251/tech_proj!AV375*0.086*$N$110)/(1-tech_proj!AV655))</f>
        <v>0</v>
      </c>
      <c r="AW1715" s="119">
        <f>IF(tech_base!$T251&gt;AW$1465,"",(tech_base!$J251/tech_proj!AW375*0.086*$N$110)/(1-tech_proj!AW655))</f>
        <v>0</v>
      </c>
      <c r="AX1715" s="120">
        <f>IF(tech_base!$T251&gt;AX$1465,"",(tech_base!$J251/tech_proj!AX375*0.086*$N$110)/(1-tech_proj!AX655))</f>
        <v>0</v>
      </c>
    </row>
    <row r="1716" spans="1:50" x14ac:dyDescent="0.25">
      <c r="A1716" s="357"/>
      <c r="B1716" s="380"/>
      <c r="C1716" s="381"/>
      <c r="D1716" s="4" t="s">
        <v>20</v>
      </c>
      <c r="E1716" s="168" t="str">
        <f>A1713&amp;"/"&amp;B1713&amp;"/"&amp;C1713&amp;"/"&amp;D1716</f>
        <v>Solar PV power plants/Solar PV power plants/Electricity only/XS</v>
      </c>
      <c r="F1716" s="80" t="str">
        <f>A1713</f>
        <v>Solar PV power plants</v>
      </c>
      <c r="G1716" s="80" t="str">
        <f>B1713</f>
        <v>Solar PV power plants</v>
      </c>
      <c r="H1716" s="80" t="str">
        <f>C1713</f>
        <v>Electricity only</v>
      </c>
      <c r="I1716" s="169" t="str">
        <f t="shared" si="380"/>
        <v>XS</v>
      </c>
      <c r="J1716" s="127">
        <f>IF(tech_base!$T252&gt;J$1465,"",(tech_base!$J252/tech_proj!J376*0.086*$N$110)/(1-tech_proj!J656))</f>
        <v>0</v>
      </c>
      <c r="K1716" s="127">
        <f>IF(tech_base!$T252&gt;K$1465,"",(tech_base!$J252/tech_proj!K376*0.086*$N$110)/(1-tech_proj!K656))</f>
        <v>0</v>
      </c>
      <c r="L1716" s="127">
        <f>IF(tech_base!$T252&gt;L$1465,"",(tech_base!$J252/tech_proj!L376*0.086*$N$110)/(1-tech_proj!L656))</f>
        <v>0</v>
      </c>
      <c r="M1716" s="127">
        <f>IF(tech_base!$T252&gt;M$1465,"",(tech_base!$J252/tech_proj!M376*0.086*$N$110)/(1-tech_proj!M656))</f>
        <v>0</v>
      </c>
      <c r="N1716" s="127">
        <f>IF(tech_base!$T252&gt;N$1465,"",(tech_base!$J252/tech_proj!N376*0.086*$N$110)/(1-tech_proj!N656))</f>
        <v>0</v>
      </c>
      <c r="O1716" s="127">
        <f>IF(tech_base!$T252&gt;O$1465,"",(tech_base!$J252/tech_proj!O376*0.086*$N$110)/(1-tech_proj!O656))</f>
        <v>0</v>
      </c>
      <c r="P1716" s="127">
        <f>IF(tech_base!$T252&gt;P$1465,"",(tech_base!$J252/tech_proj!P376*0.086*$N$110)/(1-tech_proj!P656))</f>
        <v>0</v>
      </c>
      <c r="Q1716" s="127">
        <f>IF(tech_base!$T252&gt;Q$1465,"",(tech_base!$J252/tech_proj!Q376*0.086*$N$110)/(1-tech_proj!Q656))</f>
        <v>0</v>
      </c>
      <c r="R1716" s="127">
        <f>IF(tech_base!$T252&gt;R$1465,"",(tech_base!$J252/tech_proj!R376*0.086*$N$110)/(1-tech_proj!R656))</f>
        <v>0</v>
      </c>
      <c r="S1716" s="127">
        <f>IF(tech_base!$T252&gt;S$1465,"",(tech_base!$J252/tech_proj!S376*0.086*$N$110)/(1-tech_proj!S656))</f>
        <v>0</v>
      </c>
      <c r="T1716" s="127">
        <f>IF(tech_base!$T252&gt;T$1465,"",(tech_base!$J252/tech_proj!T376*0.086*$N$110)/(1-tech_proj!T656))</f>
        <v>0</v>
      </c>
      <c r="U1716" s="127">
        <f>IF(tech_base!$T252&gt;U$1465,"",(tech_base!$J252/tech_proj!U376*0.086*$N$110)/(1-tech_proj!U656))</f>
        <v>0</v>
      </c>
      <c r="V1716" s="127">
        <f>IF(tech_base!$T252&gt;V$1465,"",(tech_base!$J252/tech_proj!V376*0.086*$N$110)/(1-tech_proj!V656))</f>
        <v>0</v>
      </c>
      <c r="W1716" s="127">
        <f>IF(tech_base!$T252&gt;W$1465,"",(tech_base!$J252/tech_proj!W376*0.086*$N$110)/(1-tech_proj!W656))</f>
        <v>0</v>
      </c>
      <c r="X1716" s="127">
        <f>IF(tech_base!$T252&gt;X$1465,"",(tech_base!$J252/tech_proj!X376*0.086*$N$110)/(1-tech_proj!X656))</f>
        <v>0</v>
      </c>
      <c r="Y1716" s="127">
        <f>IF(tech_base!$T252&gt;Y$1465,"",(tech_base!$J252/tech_proj!Y376*0.086*$N$110)/(1-tech_proj!Y656))</f>
        <v>0</v>
      </c>
      <c r="Z1716" s="127">
        <f>IF(tech_base!$T252&gt;Z$1465,"",(tech_base!$J252/tech_proj!Z376*0.086*$N$110)/(1-tech_proj!Z656))</f>
        <v>0</v>
      </c>
      <c r="AA1716" s="127">
        <f>IF(tech_base!$T252&gt;AA$1465,"",(tech_base!$J252/tech_proj!AA376*0.086*$N$110)/(1-tech_proj!AA656))</f>
        <v>0</v>
      </c>
      <c r="AB1716" s="127">
        <f>IF(tech_base!$T252&gt;AB$1465,"",(tech_base!$J252/tech_proj!AB376*0.086*$N$110)/(1-tech_proj!AB656))</f>
        <v>0</v>
      </c>
      <c r="AC1716" s="127">
        <f>IF(tech_base!$T252&gt;AC$1465,"",(tech_base!$J252/tech_proj!AC376*0.086*$N$110)/(1-tech_proj!AC656))</f>
        <v>0</v>
      </c>
      <c r="AD1716" s="127">
        <f>IF(tech_base!$T252&gt;AD$1465,"",(tech_base!$J252/tech_proj!AD376*0.086*$N$110)/(1-tech_proj!AD656))</f>
        <v>0</v>
      </c>
      <c r="AE1716" s="127">
        <f>IF(tech_base!$T252&gt;AE$1465,"",(tech_base!$J252/tech_proj!AE376*0.086*$N$110)/(1-tech_proj!AE656))</f>
        <v>0</v>
      </c>
      <c r="AF1716" s="127">
        <f>IF(tech_base!$T252&gt;AF$1465,"",(tech_base!$J252/tech_proj!AF376*0.086*$N$110)/(1-tech_proj!AF656))</f>
        <v>0</v>
      </c>
      <c r="AG1716" s="127">
        <f>IF(tech_base!$T252&gt;AG$1465,"",(tech_base!$J252/tech_proj!AG376*0.086*$N$110)/(1-tech_proj!AG656))</f>
        <v>0</v>
      </c>
      <c r="AH1716" s="127">
        <f>IF(tech_base!$T252&gt;AH$1465,"",(tech_base!$J252/tech_proj!AH376*0.086*$N$110)/(1-tech_proj!AH656))</f>
        <v>0</v>
      </c>
      <c r="AI1716" s="127">
        <f>IF(tech_base!$T252&gt;AI$1465,"",(tech_base!$J252/tech_proj!AI376*0.086*$N$110)/(1-tech_proj!AI656))</f>
        <v>0</v>
      </c>
      <c r="AJ1716" s="127">
        <f>IF(tech_base!$T252&gt;AJ$1465,"",(tech_base!$J252/tech_proj!AJ376*0.086*$N$110)/(1-tech_proj!AJ656))</f>
        <v>0</v>
      </c>
      <c r="AK1716" s="127">
        <f>IF(tech_base!$T252&gt;AK$1465,"",(tech_base!$J252/tech_proj!AK376*0.086*$N$110)/(1-tech_proj!AK656))</f>
        <v>0</v>
      </c>
      <c r="AL1716" s="127">
        <f>IF(tech_base!$T252&gt;AL$1465,"",(tech_base!$J252/tech_proj!AL376*0.086*$N$110)/(1-tech_proj!AL656))</f>
        <v>0</v>
      </c>
      <c r="AM1716" s="127">
        <f>IF(tech_base!$T252&gt;AM$1465,"",(tech_base!$J252/tech_proj!AM376*0.086*$N$110)/(1-tech_proj!AM656))</f>
        <v>0</v>
      </c>
      <c r="AN1716" s="127">
        <f>IF(tech_base!$T252&gt;AN$1465,"",(tech_base!$J252/tech_proj!AN376*0.086*$N$110)/(1-tech_proj!AN656))</f>
        <v>0</v>
      </c>
      <c r="AO1716" s="127">
        <f>IF(tech_base!$T252&gt;AO$1465,"",(tech_base!$J252/tech_proj!AO376*0.086*$N$110)/(1-tech_proj!AO656))</f>
        <v>0</v>
      </c>
      <c r="AP1716" s="127">
        <f>IF(tech_base!$T252&gt;AP$1465,"",(tech_base!$J252/tech_proj!AP376*0.086*$N$110)/(1-tech_proj!AP656))</f>
        <v>0</v>
      </c>
      <c r="AQ1716" s="127">
        <f>IF(tech_base!$T252&gt;AQ$1465,"",(tech_base!$J252/tech_proj!AQ376*0.086*$N$110)/(1-tech_proj!AQ656))</f>
        <v>0</v>
      </c>
      <c r="AR1716" s="127">
        <f>IF(tech_base!$T252&gt;AR$1465,"",(tech_base!$J252/tech_proj!AR376*0.086*$N$110)/(1-tech_proj!AR656))</f>
        <v>0</v>
      </c>
      <c r="AS1716" s="127">
        <f>IF(tech_base!$T252&gt;AS$1465,"",(tech_base!$J252/tech_proj!AS376*0.086*$N$110)/(1-tech_proj!AS656))</f>
        <v>0</v>
      </c>
      <c r="AT1716" s="127">
        <f>IF(tech_base!$T252&gt;AT$1465,"",(tech_base!$J252/tech_proj!AT376*0.086*$N$110)/(1-tech_proj!AT656))</f>
        <v>0</v>
      </c>
      <c r="AU1716" s="127">
        <f>IF(tech_base!$T252&gt;AU$1465,"",(tech_base!$J252/tech_proj!AU376*0.086*$N$110)/(1-tech_proj!AU656))</f>
        <v>0</v>
      </c>
      <c r="AV1716" s="127">
        <f>IF(tech_base!$T252&gt;AV$1465,"",(tech_base!$J252/tech_proj!AV376*0.086*$N$110)/(1-tech_proj!AV656))</f>
        <v>0</v>
      </c>
      <c r="AW1716" s="127">
        <f>IF(tech_base!$T252&gt;AW$1465,"",(tech_base!$J252/tech_proj!AW376*0.086*$N$110)/(1-tech_proj!AW656))</f>
        <v>0</v>
      </c>
      <c r="AX1716" s="128">
        <f>IF(tech_base!$T252&gt;AX$1465,"",(tech_base!$J252/tech_proj!AX376*0.086*$N$110)/(1-tech_proj!AX656))</f>
        <v>0</v>
      </c>
    </row>
    <row r="1717" spans="1:50" x14ac:dyDescent="0.25">
      <c r="A1717" s="355" t="s">
        <v>38</v>
      </c>
      <c r="B1717" s="358" t="s">
        <v>38</v>
      </c>
      <c r="C1717" s="353" t="s">
        <v>6</v>
      </c>
      <c r="D1717" s="3" t="s">
        <v>7</v>
      </c>
      <c r="E1717" s="162" t="str">
        <f>A1717&amp;"/"&amp;B1717&amp;"/"&amp;C1717&amp;"/"&amp;D1717</f>
        <v>Solar thermal power plants/Solar thermal power plants/Electricity only/L</v>
      </c>
      <c r="F1717" s="77" t="str">
        <f>A1717</f>
        <v>Solar thermal power plants</v>
      </c>
      <c r="G1717" s="77" t="str">
        <f>B1717</f>
        <v>Solar thermal power plants</v>
      </c>
      <c r="H1717" s="77" t="str">
        <f>C1717</f>
        <v>Electricity only</v>
      </c>
      <c r="I1717" s="163" t="str">
        <f t="shared" si="380"/>
        <v>L</v>
      </c>
      <c r="J1717" s="121">
        <f>IF(tech_base!$T253&gt;J$1465,"",(tech_base!$J253/tech_proj!J377*0.086*$N$110)/(1-tech_proj!J657))</f>
        <v>0</v>
      </c>
      <c r="K1717" s="121">
        <f>IF(tech_base!$T253&gt;K$1465,"",(tech_base!$J253/tech_proj!K377*0.086*$N$110)/(1-tech_proj!K657))</f>
        <v>0</v>
      </c>
      <c r="L1717" s="121">
        <f>IF(tech_base!$T253&gt;L$1465,"",(tech_base!$J253/tech_proj!L377*0.086*$N$110)/(1-tech_proj!L657))</f>
        <v>0</v>
      </c>
      <c r="M1717" s="121">
        <f>IF(tech_base!$T253&gt;M$1465,"",(tech_base!$J253/tech_proj!M377*0.086*$N$110)/(1-tech_proj!M657))</f>
        <v>0</v>
      </c>
      <c r="N1717" s="121">
        <f>IF(tech_base!$T253&gt;N$1465,"",(tech_base!$J253/tech_proj!N377*0.086*$N$110)/(1-tech_proj!N657))</f>
        <v>0</v>
      </c>
      <c r="O1717" s="121">
        <f>IF(tech_base!$T253&gt;O$1465,"",(tech_base!$J253/tech_proj!O377*0.086*$N$110)/(1-tech_proj!O657))</f>
        <v>0</v>
      </c>
      <c r="P1717" s="121">
        <f>IF(tech_base!$T253&gt;P$1465,"",(tech_base!$J253/tech_proj!P377*0.086*$N$110)/(1-tech_proj!P657))</f>
        <v>0</v>
      </c>
      <c r="Q1717" s="121">
        <f>IF(tech_base!$T253&gt;Q$1465,"",(tech_base!$J253/tech_proj!Q377*0.086*$N$110)/(1-tech_proj!Q657))</f>
        <v>0</v>
      </c>
      <c r="R1717" s="121">
        <f>IF(tech_base!$T253&gt;R$1465,"",(tech_base!$J253/tech_proj!R377*0.086*$N$110)/(1-tech_proj!R657))</f>
        <v>0</v>
      </c>
      <c r="S1717" s="121">
        <f>IF(tech_base!$T253&gt;S$1465,"",(tech_base!$J253/tech_proj!S377*0.086*$N$110)/(1-tech_proj!S657))</f>
        <v>0</v>
      </c>
      <c r="T1717" s="121">
        <f>IF(tech_base!$T253&gt;T$1465,"",(tech_base!$J253/tech_proj!T377*0.086*$N$110)/(1-tech_proj!T657))</f>
        <v>0</v>
      </c>
      <c r="U1717" s="121">
        <f>IF(tech_base!$T253&gt;U$1465,"",(tech_base!$J253/tech_proj!U377*0.086*$N$110)/(1-tech_proj!U657))</f>
        <v>0</v>
      </c>
      <c r="V1717" s="121">
        <f>IF(tech_base!$T253&gt;V$1465,"",(tech_base!$J253/tech_proj!V377*0.086*$N$110)/(1-tech_proj!V657))</f>
        <v>0</v>
      </c>
      <c r="W1717" s="121">
        <f>IF(tech_base!$T253&gt;W$1465,"",(tech_base!$J253/tech_proj!W377*0.086*$N$110)/(1-tech_proj!W657))</f>
        <v>0</v>
      </c>
      <c r="X1717" s="121">
        <f>IF(tech_base!$T253&gt;X$1465,"",(tech_base!$J253/tech_proj!X377*0.086*$N$110)/(1-tech_proj!X657))</f>
        <v>0</v>
      </c>
      <c r="Y1717" s="121">
        <f>IF(tech_base!$T253&gt;Y$1465,"",(tech_base!$J253/tech_proj!Y377*0.086*$N$110)/(1-tech_proj!Y657))</f>
        <v>0</v>
      </c>
      <c r="Z1717" s="121">
        <f>IF(tech_base!$T253&gt;Z$1465,"",(tech_base!$J253/tech_proj!Z377*0.086*$N$110)/(1-tech_proj!Z657))</f>
        <v>0</v>
      </c>
      <c r="AA1717" s="121">
        <f>IF(tech_base!$T253&gt;AA$1465,"",(tech_base!$J253/tech_proj!AA377*0.086*$N$110)/(1-tech_proj!AA657))</f>
        <v>0</v>
      </c>
      <c r="AB1717" s="121">
        <f>IF(tech_base!$T253&gt;AB$1465,"",(tech_base!$J253/tech_proj!AB377*0.086*$N$110)/(1-tech_proj!AB657))</f>
        <v>0</v>
      </c>
      <c r="AC1717" s="121">
        <f>IF(tech_base!$T253&gt;AC$1465,"",(tech_base!$J253/tech_proj!AC377*0.086*$N$110)/(1-tech_proj!AC657))</f>
        <v>0</v>
      </c>
      <c r="AD1717" s="121">
        <f>IF(tech_base!$T253&gt;AD$1465,"",(tech_base!$J253/tech_proj!AD377*0.086*$N$110)/(1-tech_proj!AD657))</f>
        <v>0</v>
      </c>
      <c r="AE1717" s="121">
        <f>IF(tech_base!$T253&gt;AE$1465,"",(tech_base!$J253/tech_proj!AE377*0.086*$N$110)/(1-tech_proj!AE657))</f>
        <v>0</v>
      </c>
      <c r="AF1717" s="121">
        <f>IF(tech_base!$T253&gt;AF$1465,"",(tech_base!$J253/tech_proj!AF377*0.086*$N$110)/(1-tech_proj!AF657))</f>
        <v>0</v>
      </c>
      <c r="AG1717" s="121">
        <f>IF(tech_base!$T253&gt;AG$1465,"",(tech_base!$J253/tech_proj!AG377*0.086*$N$110)/(1-tech_proj!AG657))</f>
        <v>0</v>
      </c>
      <c r="AH1717" s="121">
        <f>IF(tech_base!$T253&gt;AH$1465,"",(tech_base!$J253/tech_proj!AH377*0.086*$N$110)/(1-tech_proj!AH657))</f>
        <v>0</v>
      </c>
      <c r="AI1717" s="121">
        <f>IF(tech_base!$T253&gt;AI$1465,"",(tech_base!$J253/tech_proj!AI377*0.086*$N$110)/(1-tech_proj!AI657))</f>
        <v>0</v>
      </c>
      <c r="AJ1717" s="121">
        <f>IF(tech_base!$T253&gt;AJ$1465,"",(tech_base!$J253/tech_proj!AJ377*0.086*$N$110)/(1-tech_proj!AJ657))</f>
        <v>0</v>
      </c>
      <c r="AK1717" s="121">
        <f>IF(tech_base!$T253&gt;AK$1465,"",(tech_base!$J253/tech_proj!AK377*0.086*$N$110)/(1-tech_proj!AK657))</f>
        <v>0</v>
      </c>
      <c r="AL1717" s="121">
        <f>IF(tech_base!$T253&gt;AL$1465,"",(tech_base!$J253/tech_proj!AL377*0.086*$N$110)/(1-tech_proj!AL657))</f>
        <v>0</v>
      </c>
      <c r="AM1717" s="121">
        <f>IF(tech_base!$T253&gt;AM$1465,"",(tech_base!$J253/tech_proj!AM377*0.086*$N$110)/(1-tech_proj!AM657))</f>
        <v>0</v>
      </c>
      <c r="AN1717" s="121">
        <f>IF(tech_base!$T253&gt;AN$1465,"",(tech_base!$J253/tech_proj!AN377*0.086*$N$110)/(1-tech_proj!AN657))</f>
        <v>0</v>
      </c>
      <c r="AO1717" s="121">
        <f>IF(tech_base!$T253&gt;AO$1465,"",(tech_base!$J253/tech_proj!AO377*0.086*$N$110)/(1-tech_proj!AO657))</f>
        <v>0</v>
      </c>
      <c r="AP1717" s="121">
        <f>IF(tech_base!$T253&gt;AP$1465,"",(tech_base!$J253/tech_proj!AP377*0.086*$N$110)/(1-tech_proj!AP657))</f>
        <v>0</v>
      </c>
      <c r="AQ1717" s="121">
        <f>IF(tech_base!$T253&gt;AQ$1465,"",(tech_base!$J253/tech_proj!AQ377*0.086*$N$110)/(1-tech_proj!AQ657))</f>
        <v>0</v>
      </c>
      <c r="AR1717" s="121">
        <f>IF(tech_base!$T253&gt;AR$1465,"",(tech_base!$J253/tech_proj!AR377*0.086*$N$110)/(1-tech_proj!AR657))</f>
        <v>0</v>
      </c>
      <c r="AS1717" s="121">
        <f>IF(tech_base!$T253&gt;AS$1465,"",(tech_base!$J253/tech_proj!AS377*0.086*$N$110)/(1-tech_proj!AS657))</f>
        <v>0</v>
      </c>
      <c r="AT1717" s="121">
        <f>IF(tech_base!$T253&gt;AT$1465,"",(tech_base!$J253/tech_proj!AT377*0.086*$N$110)/(1-tech_proj!AT657))</f>
        <v>0</v>
      </c>
      <c r="AU1717" s="121">
        <f>IF(tech_base!$T253&gt;AU$1465,"",(tech_base!$J253/tech_proj!AU377*0.086*$N$110)/(1-tech_proj!AU657))</f>
        <v>0</v>
      </c>
      <c r="AV1717" s="121">
        <f>IF(tech_base!$T253&gt;AV$1465,"",(tech_base!$J253/tech_proj!AV377*0.086*$N$110)/(1-tech_proj!AV657))</f>
        <v>0</v>
      </c>
      <c r="AW1717" s="121">
        <f>IF(tech_base!$T253&gt;AW$1465,"",(tech_base!$J253/tech_proj!AW377*0.086*$N$110)/(1-tech_proj!AW657))</f>
        <v>0</v>
      </c>
      <c r="AX1717" s="122">
        <f>IF(tech_base!$T253&gt;AX$1465,"",(tech_base!$J253/tech_proj!AX377*0.086*$N$110)/(1-tech_proj!AX657))</f>
        <v>0</v>
      </c>
    </row>
    <row r="1718" spans="1:50" x14ac:dyDescent="0.25">
      <c r="A1718" s="382"/>
      <c r="B1718" s="376"/>
      <c r="C1718" s="378"/>
      <c r="D1718" s="2" t="s">
        <v>8</v>
      </c>
      <c r="E1718" s="160" t="str">
        <f>A1717&amp;"/"&amp;B1717&amp;"/"&amp;C1717&amp;"/"&amp;D1718</f>
        <v>Solar thermal power plants/Solar thermal power plants/Electricity only/M</v>
      </c>
      <c r="F1718" s="76" t="str">
        <f>A1717</f>
        <v>Solar thermal power plants</v>
      </c>
      <c r="G1718" s="76" t="str">
        <f>B1717</f>
        <v>Solar thermal power plants</v>
      </c>
      <c r="H1718" s="76" t="str">
        <f>C1717</f>
        <v>Electricity only</v>
      </c>
      <c r="I1718" s="161" t="str">
        <f t="shared" si="380"/>
        <v>M</v>
      </c>
      <c r="J1718" s="119">
        <f>IF(tech_base!$T254&gt;J$1465,"",(tech_base!$J254/tech_proj!J378*0.086*$N$110)/(1-tech_proj!J658))</f>
        <v>0</v>
      </c>
      <c r="K1718" s="119">
        <f>IF(tech_base!$T254&gt;K$1465,"",(tech_base!$J254/tech_proj!K378*0.086*$N$110)/(1-tech_proj!K658))</f>
        <v>0</v>
      </c>
      <c r="L1718" s="119">
        <f>IF(tech_base!$T254&gt;L$1465,"",(tech_base!$J254/tech_proj!L378*0.086*$N$110)/(1-tech_proj!L658))</f>
        <v>0</v>
      </c>
      <c r="M1718" s="119">
        <f>IF(tech_base!$T254&gt;M$1465,"",(tech_base!$J254/tech_proj!M378*0.086*$N$110)/(1-tech_proj!M658))</f>
        <v>0</v>
      </c>
      <c r="N1718" s="119">
        <f>IF(tech_base!$T254&gt;N$1465,"",(tech_base!$J254/tech_proj!N378*0.086*$N$110)/(1-tech_proj!N658))</f>
        <v>0</v>
      </c>
      <c r="O1718" s="119">
        <f>IF(tech_base!$T254&gt;O$1465,"",(tech_base!$J254/tech_proj!O378*0.086*$N$110)/(1-tech_proj!O658))</f>
        <v>0</v>
      </c>
      <c r="P1718" s="119">
        <f>IF(tech_base!$T254&gt;P$1465,"",(tech_base!$J254/tech_proj!P378*0.086*$N$110)/(1-tech_proj!P658))</f>
        <v>0</v>
      </c>
      <c r="Q1718" s="119">
        <f>IF(tech_base!$T254&gt;Q$1465,"",(tech_base!$J254/tech_proj!Q378*0.086*$N$110)/(1-tech_proj!Q658))</f>
        <v>0</v>
      </c>
      <c r="R1718" s="119">
        <f>IF(tech_base!$T254&gt;R$1465,"",(tech_base!$J254/tech_proj!R378*0.086*$N$110)/(1-tech_proj!R658))</f>
        <v>0</v>
      </c>
      <c r="S1718" s="119">
        <f>IF(tech_base!$T254&gt;S$1465,"",(tech_base!$J254/tech_proj!S378*0.086*$N$110)/(1-tech_proj!S658))</f>
        <v>0</v>
      </c>
      <c r="T1718" s="119">
        <f>IF(tech_base!$T254&gt;T$1465,"",(tech_base!$J254/tech_proj!T378*0.086*$N$110)/(1-tech_proj!T658))</f>
        <v>0</v>
      </c>
      <c r="U1718" s="119">
        <f>IF(tech_base!$T254&gt;U$1465,"",(tech_base!$J254/tech_proj!U378*0.086*$N$110)/(1-tech_proj!U658))</f>
        <v>0</v>
      </c>
      <c r="V1718" s="119">
        <f>IF(tech_base!$T254&gt;V$1465,"",(tech_base!$J254/tech_proj!V378*0.086*$N$110)/(1-tech_proj!V658))</f>
        <v>0</v>
      </c>
      <c r="W1718" s="119">
        <f>IF(tech_base!$T254&gt;W$1465,"",(tech_base!$J254/tech_proj!W378*0.086*$N$110)/(1-tech_proj!W658))</f>
        <v>0</v>
      </c>
      <c r="X1718" s="119">
        <f>IF(tech_base!$T254&gt;X$1465,"",(tech_base!$J254/tech_proj!X378*0.086*$N$110)/(1-tech_proj!X658))</f>
        <v>0</v>
      </c>
      <c r="Y1718" s="119">
        <f>IF(tech_base!$T254&gt;Y$1465,"",(tech_base!$J254/tech_proj!Y378*0.086*$N$110)/(1-tech_proj!Y658))</f>
        <v>0</v>
      </c>
      <c r="Z1718" s="119">
        <f>IF(tech_base!$T254&gt;Z$1465,"",(tech_base!$J254/tech_proj!Z378*0.086*$N$110)/(1-tech_proj!Z658))</f>
        <v>0</v>
      </c>
      <c r="AA1718" s="119">
        <f>IF(tech_base!$T254&gt;AA$1465,"",(tech_base!$J254/tech_proj!AA378*0.086*$N$110)/(1-tech_proj!AA658))</f>
        <v>0</v>
      </c>
      <c r="AB1718" s="119">
        <f>IF(tech_base!$T254&gt;AB$1465,"",(tech_base!$J254/tech_proj!AB378*0.086*$N$110)/(1-tech_proj!AB658))</f>
        <v>0</v>
      </c>
      <c r="AC1718" s="119">
        <f>IF(tech_base!$T254&gt;AC$1465,"",(tech_base!$J254/tech_proj!AC378*0.086*$N$110)/(1-tech_proj!AC658))</f>
        <v>0</v>
      </c>
      <c r="AD1718" s="119">
        <f>IF(tech_base!$T254&gt;AD$1465,"",(tech_base!$J254/tech_proj!AD378*0.086*$N$110)/(1-tech_proj!AD658))</f>
        <v>0</v>
      </c>
      <c r="AE1718" s="119">
        <f>IF(tech_base!$T254&gt;AE$1465,"",(tech_base!$J254/tech_proj!AE378*0.086*$N$110)/(1-tech_proj!AE658))</f>
        <v>0</v>
      </c>
      <c r="AF1718" s="119">
        <f>IF(tech_base!$T254&gt;AF$1465,"",(tech_base!$J254/tech_proj!AF378*0.086*$N$110)/(1-tech_proj!AF658))</f>
        <v>0</v>
      </c>
      <c r="AG1718" s="119">
        <f>IF(tech_base!$T254&gt;AG$1465,"",(tech_base!$J254/tech_proj!AG378*0.086*$N$110)/(1-tech_proj!AG658))</f>
        <v>0</v>
      </c>
      <c r="AH1718" s="119">
        <f>IF(tech_base!$T254&gt;AH$1465,"",(tech_base!$J254/tech_proj!AH378*0.086*$N$110)/(1-tech_proj!AH658))</f>
        <v>0</v>
      </c>
      <c r="AI1718" s="119">
        <f>IF(tech_base!$T254&gt;AI$1465,"",(tech_base!$J254/tech_proj!AI378*0.086*$N$110)/(1-tech_proj!AI658))</f>
        <v>0</v>
      </c>
      <c r="AJ1718" s="119">
        <f>IF(tech_base!$T254&gt;AJ$1465,"",(tech_base!$J254/tech_proj!AJ378*0.086*$N$110)/(1-tech_proj!AJ658))</f>
        <v>0</v>
      </c>
      <c r="AK1718" s="119">
        <f>IF(tech_base!$T254&gt;AK$1465,"",(tech_base!$J254/tech_proj!AK378*0.086*$N$110)/(1-tech_proj!AK658))</f>
        <v>0</v>
      </c>
      <c r="AL1718" s="119">
        <f>IF(tech_base!$T254&gt;AL$1465,"",(tech_base!$J254/tech_proj!AL378*0.086*$N$110)/(1-tech_proj!AL658))</f>
        <v>0</v>
      </c>
      <c r="AM1718" s="119">
        <f>IF(tech_base!$T254&gt;AM$1465,"",(tech_base!$J254/tech_proj!AM378*0.086*$N$110)/(1-tech_proj!AM658))</f>
        <v>0</v>
      </c>
      <c r="AN1718" s="119">
        <f>IF(tech_base!$T254&gt;AN$1465,"",(tech_base!$J254/tech_proj!AN378*0.086*$N$110)/(1-tech_proj!AN658))</f>
        <v>0</v>
      </c>
      <c r="AO1718" s="119">
        <f>IF(tech_base!$T254&gt;AO$1465,"",(tech_base!$J254/tech_proj!AO378*0.086*$N$110)/(1-tech_proj!AO658))</f>
        <v>0</v>
      </c>
      <c r="AP1718" s="119">
        <f>IF(tech_base!$T254&gt;AP$1465,"",(tech_base!$J254/tech_proj!AP378*0.086*$N$110)/(1-tech_proj!AP658))</f>
        <v>0</v>
      </c>
      <c r="AQ1718" s="119">
        <f>IF(tech_base!$T254&gt;AQ$1465,"",(tech_base!$J254/tech_proj!AQ378*0.086*$N$110)/(1-tech_proj!AQ658))</f>
        <v>0</v>
      </c>
      <c r="AR1718" s="119">
        <f>IF(tech_base!$T254&gt;AR$1465,"",(tech_base!$J254/tech_proj!AR378*0.086*$N$110)/(1-tech_proj!AR658))</f>
        <v>0</v>
      </c>
      <c r="AS1718" s="119">
        <f>IF(tech_base!$T254&gt;AS$1465,"",(tech_base!$J254/tech_proj!AS378*0.086*$N$110)/(1-tech_proj!AS658))</f>
        <v>0</v>
      </c>
      <c r="AT1718" s="119">
        <f>IF(tech_base!$T254&gt;AT$1465,"",(tech_base!$J254/tech_proj!AT378*0.086*$N$110)/(1-tech_proj!AT658))</f>
        <v>0</v>
      </c>
      <c r="AU1718" s="119">
        <f>IF(tech_base!$T254&gt;AU$1465,"",(tech_base!$J254/tech_proj!AU378*0.086*$N$110)/(1-tech_proj!AU658))</f>
        <v>0</v>
      </c>
      <c r="AV1718" s="119">
        <f>IF(tech_base!$T254&gt;AV$1465,"",(tech_base!$J254/tech_proj!AV378*0.086*$N$110)/(1-tech_proj!AV658))</f>
        <v>0</v>
      </c>
      <c r="AW1718" s="119">
        <f>IF(tech_base!$T254&gt;AW$1465,"",(tech_base!$J254/tech_proj!AW378*0.086*$N$110)/(1-tech_proj!AW658))</f>
        <v>0</v>
      </c>
      <c r="AX1718" s="120">
        <f>IF(tech_base!$T254&gt;AX$1465,"",(tech_base!$J254/tech_proj!AX378*0.086*$N$110)/(1-tech_proj!AX658))</f>
        <v>0</v>
      </c>
    </row>
    <row r="1719" spans="1:50" x14ac:dyDescent="0.25">
      <c r="A1719" s="382"/>
      <c r="B1719" s="376"/>
      <c r="C1719" s="378"/>
      <c r="D1719" s="2" t="s">
        <v>10</v>
      </c>
      <c r="E1719" s="160" t="str">
        <f>A1717&amp;"/"&amp;B1717&amp;"/"&amp;C1717&amp;"/"&amp;D1719</f>
        <v>Solar thermal power plants/Solar thermal power plants/Electricity only/S</v>
      </c>
      <c r="F1719" s="76" t="str">
        <f>A1717</f>
        <v>Solar thermal power plants</v>
      </c>
      <c r="G1719" s="76" t="str">
        <f>B1717</f>
        <v>Solar thermal power plants</v>
      </c>
      <c r="H1719" s="76" t="str">
        <f>C1717</f>
        <v>Electricity only</v>
      </c>
      <c r="I1719" s="161" t="str">
        <f t="shared" si="380"/>
        <v>S</v>
      </c>
      <c r="J1719" s="119">
        <f>IF(tech_base!$T255&gt;J$1465,"",(tech_base!$J255/tech_proj!J379*0.086*$N$110)/(1-tech_proj!J659))</f>
        <v>0</v>
      </c>
      <c r="K1719" s="119">
        <f>IF(tech_base!$T255&gt;K$1465,"",(tech_base!$J255/tech_proj!K379*0.086*$N$110)/(1-tech_proj!K659))</f>
        <v>0</v>
      </c>
      <c r="L1719" s="119">
        <f>IF(tech_base!$T255&gt;L$1465,"",(tech_base!$J255/tech_proj!L379*0.086*$N$110)/(1-tech_proj!L659))</f>
        <v>0</v>
      </c>
      <c r="M1719" s="119">
        <f>IF(tech_base!$T255&gt;M$1465,"",(tech_base!$J255/tech_proj!M379*0.086*$N$110)/(1-tech_proj!M659))</f>
        <v>0</v>
      </c>
      <c r="N1719" s="119">
        <f>IF(tech_base!$T255&gt;N$1465,"",(tech_base!$J255/tech_proj!N379*0.086*$N$110)/(1-tech_proj!N659))</f>
        <v>0</v>
      </c>
      <c r="O1719" s="119">
        <f>IF(tech_base!$T255&gt;O$1465,"",(tech_base!$J255/tech_proj!O379*0.086*$N$110)/(1-tech_proj!O659))</f>
        <v>0</v>
      </c>
      <c r="P1719" s="119">
        <f>IF(tech_base!$T255&gt;P$1465,"",(tech_base!$J255/tech_proj!P379*0.086*$N$110)/(1-tech_proj!P659))</f>
        <v>0</v>
      </c>
      <c r="Q1719" s="119">
        <f>IF(tech_base!$T255&gt;Q$1465,"",(tech_base!$J255/tech_proj!Q379*0.086*$N$110)/(1-tech_proj!Q659))</f>
        <v>0</v>
      </c>
      <c r="R1719" s="119">
        <f>IF(tech_base!$T255&gt;R$1465,"",(tech_base!$J255/tech_proj!R379*0.086*$N$110)/(1-tech_proj!R659))</f>
        <v>0</v>
      </c>
      <c r="S1719" s="119">
        <f>IF(tech_base!$T255&gt;S$1465,"",(tech_base!$J255/tech_proj!S379*0.086*$N$110)/(1-tech_proj!S659))</f>
        <v>0</v>
      </c>
      <c r="T1719" s="119">
        <f>IF(tech_base!$T255&gt;T$1465,"",(tech_base!$J255/tech_proj!T379*0.086*$N$110)/(1-tech_proj!T659))</f>
        <v>0</v>
      </c>
      <c r="U1719" s="119">
        <f>IF(tech_base!$T255&gt;U$1465,"",(tech_base!$J255/tech_proj!U379*0.086*$N$110)/(1-tech_proj!U659))</f>
        <v>0</v>
      </c>
      <c r="V1719" s="119">
        <f>IF(tech_base!$T255&gt;V$1465,"",(tech_base!$J255/tech_proj!V379*0.086*$N$110)/(1-tech_proj!V659))</f>
        <v>0</v>
      </c>
      <c r="W1719" s="119">
        <f>IF(tech_base!$T255&gt;W$1465,"",(tech_base!$J255/tech_proj!W379*0.086*$N$110)/(1-tech_proj!W659))</f>
        <v>0</v>
      </c>
      <c r="X1719" s="119">
        <f>IF(tech_base!$T255&gt;X$1465,"",(tech_base!$J255/tech_proj!X379*0.086*$N$110)/(1-tech_proj!X659))</f>
        <v>0</v>
      </c>
      <c r="Y1719" s="119">
        <f>IF(tech_base!$T255&gt;Y$1465,"",(tech_base!$J255/tech_proj!Y379*0.086*$N$110)/(1-tech_proj!Y659))</f>
        <v>0</v>
      </c>
      <c r="Z1719" s="119">
        <f>IF(tech_base!$T255&gt;Z$1465,"",(tech_base!$J255/tech_proj!Z379*0.086*$N$110)/(1-tech_proj!Z659))</f>
        <v>0</v>
      </c>
      <c r="AA1719" s="119">
        <f>IF(tech_base!$T255&gt;AA$1465,"",(tech_base!$J255/tech_proj!AA379*0.086*$N$110)/(1-tech_proj!AA659))</f>
        <v>0</v>
      </c>
      <c r="AB1719" s="119">
        <f>IF(tech_base!$T255&gt;AB$1465,"",(tech_base!$J255/tech_proj!AB379*0.086*$N$110)/(1-tech_proj!AB659))</f>
        <v>0</v>
      </c>
      <c r="AC1719" s="119">
        <f>IF(tech_base!$T255&gt;AC$1465,"",(tech_base!$J255/tech_proj!AC379*0.086*$N$110)/(1-tech_proj!AC659))</f>
        <v>0</v>
      </c>
      <c r="AD1719" s="119">
        <f>IF(tech_base!$T255&gt;AD$1465,"",(tech_base!$J255/tech_proj!AD379*0.086*$N$110)/(1-tech_proj!AD659))</f>
        <v>0</v>
      </c>
      <c r="AE1719" s="119">
        <f>IF(tech_base!$T255&gt;AE$1465,"",(tech_base!$J255/tech_proj!AE379*0.086*$N$110)/(1-tech_proj!AE659))</f>
        <v>0</v>
      </c>
      <c r="AF1719" s="119">
        <f>IF(tech_base!$T255&gt;AF$1465,"",(tech_base!$J255/tech_proj!AF379*0.086*$N$110)/(1-tech_proj!AF659))</f>
        <v>0</v>
      </c>
      <c r="AG1719" s="119">
        <f>IF(tech_base!$T255&gt;AG$1465,"",(tech_base!$J255/tech_proj!AG379*0.086*$N$110)/(1-tech_proj!AG659))</f>
        <v>0</v>
      </c>
      <c r="AH1719" s="119">
        <f>IF(tech_base!$T255&gt;AH$1465,"",(tech_base!$J255/tech_proj!AH379*0.086*$N$110)/(1-tech_proj!AH659))</f>
        <v>0</v>
      </c>
      <c r="AI1719" s="119">
        <f>IF(tech_base!$T255&gt;AI$1465,"",(tech_base!$J255/tech_proj!AI379*0.086*$N$110)/(1-tech_proj!AI659))</f>
        <v>0</v>
      </c>
      <c r="AJ1719" s="119">
        <f>IF(tech_base!$T255&gt;AJ$1465,"",(tech_base!$J255/tech_proj!AJ379*0.086*$N$110)/(1-tech_proj!AJ659))</f>
        <v>0</v>
      </c>
      <c r="AK1719" s="119">
        <f>IF(tech_base!$T255&gt;AK$1465,"",(tech_base!$J255/tech_proj!AK379*0.086*$N$110)/(1-tech_proj!AK659))</f>
        <v>0</v>
      </c>
      <c r="AL1719" s="119">
        <f>IF(tech_base!$T255&gt;AL$1465,"",(tech_base!$J255/tech_proj!AL379*0.086*$N$110)/(1-tech_proj!AL659))</f>
        <v>0</v>
      </c>
      <c r="AM1719" s="119">
        <f>IF(tech_base!$T255&gt;AM$1465,"",(tech_base!$J255/tech_proj!AM379*0.086*$N$110)/(1-tech_proj!AM659))</f>
        <v>0</v>
      </c>
      <c r="AN1719" s="119">
        <f>IF(tech_base!$T255&gt;AN$1465,"",(tech_base!$J255/tech_proj!AN379*0.086*$N$110)/(1-tech_proj!AN659))</f>
        <v>0</v>
      </c>
      <c r="AO1719" s="119">
        <f>IF(tech_base!$T255&gt;AO$1465,"",(tech_base!$J255/tech_proj!AO379*0.086*$N$110)/(1-tech_proj!AO659))</f>
        <v>0</v>
      </c>
      <c r="AP1719" s="119">
        <f>IF(tech_base!$T255&gt;AP$1465,"",(tech_base!$J255/tech_proj!AP379*0.086*$N$110)/(1-tech_proj!AP659))</f>
        <v>0</v>
      </c>
      <c r="AQ1719" s="119">
        <f>IF(tech_base!$T255&gt;AQ$1465,"",(tech_base!$J255/tech_proj!AQ379*0.086*$N$110)/(1-tech_proj!AQ659))</f>
        <v>0</v>
      </c>
      <c r="AR1719" s="119">
        <f>IF(tech_base!$T255&gt;AR$1465,"",(tech_base!$J255/tech_proj!AR379*0.086*$N$110)/(1-tech_proj!AR659))</f>
        <v>0</v>
      </c>
      <c r="AS1719" s="119">
        <f>IF(tech_base!$T255&gt;AS$1465,"",(tech_base!$J255/tech_proj!AS379*0.086*$N$110)/(1-tech_proj!AS659))</f>
        <v>0</v>
      </c>
      <c r="AT1719" s="119">
        <f>IF(tech_base!$T255&gt;AT$1465,"",(tech_base!$J255/tech_proj!AT379*0.086*$N$110)/(1-tech_proj!AT659))</f>
        <v>0</v>
      </c>
      <c r="AU1719" s="119">
        <f>IF(tech_base!$T255&gt;AU$1465,"",(tech_base!$J255/tech_proj!AU379*0.086*$N$110)/(1-tech_proj!AU659))</f>
        <v>0</v>
      </c>
      <c r="AV1719" s="119">
        <f>IF(tech_base!$T255&gt;AV$1465,"",(tech_base!$J255/tech_proj!AV379*0.086*$N$110)/(1-tech_proj!AV659))</f>
        <v>0</v>
      </c>
      <c r="AW1719" s="119">
        <f>IF(tech_base!$T255&gt;AW$1465,"",(tech_base!$J255/tech_proj!AW379*0.086*$N$110)/(1-tech_proj!AW659))</f>
        <v>0</v>
      </c>
      <c r="AX1719" s="120">
        <f>IF(tech_base!$T255&gt;AX$1465,"",(tech_base!$J255/tech_proj!AX379*0.086*$N$110)/(1-tech_proj!AX659))</f>
        <v>0</v>
      </c>
    </row>
    <row r="1720" spans="1:50" x14ac:dyDescent="0.25">
      <c r="A1720" s="375"/>
      <c r="B1720" s="380"/>
      <c r="C1720" s="381"/>
      <c r="D1720" s="4" t="s">
        <v>20</v>
      </c>
      <c r="E1720" s="168" t="str">
        <f>A1717&amp;"/"&amp;B1717&amp;"/"&amp;C1717&amp;"/"&amp;D1720</f>
        <v>Solar thermal power plants/Solar thermal power plants/Electricity only/XS</v>
      </c>
      <c r="F1720" s="80" t="str">
        <f>A1717</f>
        <v>Solar thermal power plants</v>
      </c>
      <c r="G1720" s="80" t="str">
        <f>B1717</f>
        <v>Solar thermal power plants</v>
      </c>
      <c r="H1720" s="80" t="str">
        <f>C1717</f>
        <v>Electricity only</v>
      </c>
      <c r="I1720" s="169" t="str">
        <f t="shared" si="380"/>
        <v>XS</v>
      </c>
      <c r="J1720" s="127">
        <f>IF(tech_base!$T256&gt;J$1465,"",(tech_base!$J256/tech_proj!J380*0.086*$N$110)/(1-tech_proj!J660))</f>
        <v>0</v>
      </c>
      <c r="K1720" s="127">
        <f>IF(tech_base!$T256&gt;K$1465,"",(tech_base!$J256/tech_proj!K380*0.086*$N$110)/(1-tech_proj!K660))</f>
        <v>0</v>
      </c>
      <c r="L1720" s="127">
        <f>IF(tech_base!$T256&gt;L$1465,"",(tech_base!$J256/tech_proj!L380*0.086*$N$110)/(1-tech_proj!L660))</f>
        <v>0</v>
      </c>
      <c r="M1720" s="127">
        <f>IF(tech_base!$T256&gt;M$1465,"",(tech_base!$J256/tech_proj!M380*0.086*$N$110)/(1-tech_proj!M660))</f>
        <v>0</v>
      </c>
      <c r="N1720" s="127">
        <f>IF(tech_base!$T256&gt;N$1465,"",(tech_base!$J256/tech_proj!N380*0.086*$N$110)/(1-tech_proj!N660))</f>
        <v>0</v>
      </c>
      <c r="O1720" s="127">
        <f>IF(tech_base!$T256&gt;O$1465,"",(tech_base!$J256/tech_proj!O380*0.086*$N$110)/(1-tech_proj!O660))</f>
        <v>0</v>
      </c>
      <c r="P1720" s="127">
        <f>IF(tech_base!$T256&gt;P$1465,"",(tech_base!$J256/tech_proj!P380*0.086*$N$110)/(1-tech_proj!P660))</f>
        <v>0</v>
      </c>
      <c r="Q1720" s="127">
        <f>IF(tech_base!$T256&gt;Q$1465,"",(tech_base!$J256/tech_proj!Q380*0.086*$N$110)/(1-tech_proj!Q660))</f>
        <v>0</v>
      </c>
      <c r="R1720" s="127">
        <f>IF(tech_base!$T256&gt;R$1465,"",(tech_base!$J256/tech_proj!R380*0.086*$N$110)/(1-tech_proj!R660))</f>
        <v>0</v>
      </c>
      <c r="S1720" s="127">
        <f>IF(tech_base!$T256&gt;S$1465,"",(tech_base!$J256/tech_proj!S380*0.086*$N$110)/(1-tech_proj!S660))</f>
        <v>0</v>
      </c>
      <c r="T1720" s="127">
        <f>IF(tech_base!$T256&gt;T$1465,"",(tech_base!$J256/tech_proj!T380*0.086*$N$110)/(1-tech_proj!T660))</f>
        <v>0</v>
      </c>
      <c r="U1720" s="127">
        <f>IF(tech_base!$T256&gt;U$1465,"",(tech_base!$J256/tech_proj!U380*0.086*$N$110)/(1-tech_proj!U660))</f>
        <v>0</v>
      </c>
      <c r="V1720" s="127">
        <f>IF(tech_base!$T256&gt;V$1465,"",(tech_base!$J256/tech_proj!V380*0.086*$N$110)/(1-tech_proj!V660))</f>
        <v>0</v>
      </c>
      <c r="W1720" s="127">
        <f>IF(tech_base!$T256&gt;W$1465,"",(tech_base!$J256/tech_proj!W380*0.086*$N$110)/(1-tech_proj!W660))</f>
        <v>0</v>
      </c>
      <c r="X1720" s="127">
        <f>IF(tech_base!$T256&gt;X$1465,"",(tech_base!$J256/tech_proj!X380*0.086*$N$110)/(1-tech_proj!X660))</f>
        <v>0</v>
      </c>
      <c r="Y1720" s="127">
        <f>IF(tech_base!$T256&gt;Y$1465,"",(tech_base!$J256/tech_proj!Y380*0.086*$N$110)/(1-tech_proj!Y660))</f>
        <v>0</v>
      </c>
      <c r="Z1720" s="127">
        <f>IF(tech_base!$T256&gt;Z$1465,"",(tech_base!$J256/tech_proj!Z380*0.086*$N$110)/(1-tech_proj!Z660))</f>
        <v>0</v>
      </c>
      <c r="AA1720" s="127">
        <f>IF(tech_base!$T256&gt;AA$1465,"",(tech_base!$J256/tech_proj!AA380*0.086*$N$110)/(1-tech_proj!AA660))</f>
        <v>0</v>
      </c>
      <c r="AB1720" s="127">
        <f>IF(tech_base!$T256&gt;AB$1465,"",(tech_base!$J256/tech_proj!AB380*0.086*$N$110)/(1-tech_proj!AB660))</f>
        <v>0</v>
      </c>
      <c r="AC1720" s="127">
        <f>IF(tech_base!$T256&gt;AC$1465,"",(tech_base!$J256/tech_proj!AC380*0.086*$N$110)/(1-tech_proj!AC660))</f>
        <v>0</v>
      </c>
      <c r="AD1720" s="127">
        <f>IF(tech_base!$T256&gt;AD$1465,"",(tech_base!$J256/tech_proj!AD380*0.086*$N$110)/(1-tech_proj!AD660))</f>
        <v>0</v>
      </c>
      <c r="AE1720" s="127">
        <f>IF(tech_base!$T256&gt;AE$1465,"",(tech_base!$J256/tech_proj!AE380*0.086*$N$110)/(1-tech_proj!AE660))</f>
        <v>0</v>
      </c>
      <c r="AF1720" s="127">
        <f>IF(tech_base!$T256&gt;AF$1465,"",(tech_base!$J256/tech_proj!AF380*0.086*$N$110)/(1-tech_proj!AF660))</f>
        <v>0</v>
      </c>
      <c r="AG1720" s="127">
        <f>IF(tech_base!$T256&gt;AG$1465,"",(tech_base!$J256/tech_proj!AG380*0.086*$N$110)/(1-tech_proj!AG660))</f>
        <v>0</v>
      </c>
      <c r="AH1720" s="127">
        <f>IF(tech_base!$T256&gt;AH$1465,"",(tech_base!$J256/tech_proj!AH380*0.086*$N$110)/(1-tech_proj!AH660))</f>
        <v>0</v>
      </c>
      <c r="AI1720" s="127">
        <f>IF(tech_base!$T256&gt;AI$1465,"",(tech_base!$J256/tech_proj!AI380*0.086*$N$110)/(1-tech_proj!AI660))</f>
        <v>0</v>
      </c>
      <c r="AJ1720" s="127">
        <f>IF(tech_base!$T256&gt;AJ$1465,"",(tech_base!$J256/tech_proj!AJ380*0.086*$N$110)/(1-tech_proj!AJ660))</f>
        <v>0</v>
      </c>
      <c r="AK1720" s="127">
        <f>IF(tech_base!$T256&gt;AK$1465,"",(tech_base!$J256/tech_proj!AK380*0.086*$N$110)/(1-tech_proj!AK660))</f>
        <v>0</v>
      </c>
      <c r="AL1720" s="127">
        <f>IF(tech_base!$T256&gt;AL$1465,"",(tech_base!$J256/tech_proj!AL380*0.086*$N$110)/(1-tech_proj!AL660))</f>
        <v>0</v>
      </c>
      <c r="AM1720" s="127">
        <f>IF(tech_base!$T256&gt;AM$1465,"",(tech_base!$J256/tech_proj!AM380*0.086*$N$110)/(1-tech_proj!AM660))</f>
        <v>0</v>
      </c>
      <c r="AN1720" s="127">
        <f>IF(tech_base!$T256&gt;AN$1465,"",(tech_base!$J256/tech_proj!AN380*0.086*$N$110)/(1-tech_proj!AN660))</f>
        <v>0</v>
      </c>
      <c r="AO1720" s="127">
        <f>IF(tech_base!$T256&gt;AO$1465,"",(tech_base!$J256/tech_proj!AO380*0.086*$N$110)/(1-tech_proj!AO660))</f>
        <v>0</v>
      </c>
      <c r="AP1720" s="127">
        <f>IF(tech_base!$T256&gt;AP$1465,"",(tech_base!$J256/tech_proj!AP380*0.086*$N$110)/(1-tech_proj!AP660))</f>
        <v>0</v>
      </c>
      <c r="AQ1720" s="127">
        <f>IF(tech_base!$T256&gt;AQ$1465,"",(tech_base!$J256/tech_proj!AQ380*0.086*$N$110)/(1-tech_proj!AQ660))</f>
        <v>0</v>
      </c>
      <c r="AR1720" s="127">
        <f>IF(tech_base!$T256&gt;AR$1465,"",(tech_base!$J256/tech_proj!AR380*0.086*$N$110)/(1-tech_proj!AR660))</f>
        <v>0</v>
      </c>
      <c r="AS1720" s="127">
        <f>IF(tech_base!$T256&gt;AS$1465,"",(tech_base!$J256/tech_proj!AS380*0.086*$N$110)/(1-tech_proj!AS660))</f>
        <v>0</v>
      </c>
      <c r="AT1720" s="127">
        <f>IF(tech_base!$T256&gt;AT$1465,"",(tech_base!$J256/tech_proj!AT380*0.086*$N$110)/(1-tech_proj!AT660))</f>
        <v>0</v>
      </c>
      <c r="AU1720" s="127">
        <f>IF(tech_base!$T256&gt;AU$1465,"",(tech_base!$J256/tech_proj!AU380*0.086*$N$110)/(1-tech_proj!AU660))</f>
        <v>0</v>
      </c>
      <c r="AV1720" s="127">
        <f>IF(tech_base!$T256&gt;AV$1465,"",(tech_base!$J256/tech_proj!AV380*0.086*$N$110)/(1-tech_proj!AV660))</f>
        <v>0</v>
      </c>
      <c r="AW1720" s="127">
        <f>IF(tech_base!$T256&gt;AW$1465,"",(tech_base!$J256/tech_proj!AW380*0.086*$N$110)/(1-tech_proj!AW660))</f>
        <v>0</v>
      </c>
      <c r="AX1720" s="128">
        <f>IF(tech_base!$T256&gt;AX$1465,"",(tech_base!$J256/tech_proj!AX380*0.086*$N$110)/(1-tech_proj!AX660))</f>
        <v>0</v>
      </c>
    </row>
    <row r="1721" spans="1:50" x14ac:dyDescent="0.25">
      <c r="A1721" s="355" t="s">
        <v>39</v>
      </c>
      <c r="B1721" s="358" t="s">
        <v>39</v>
      </c>
      <c r="C1721" s="353" t="s">
        <v>6</v>
      </c>
      <c r="D1721" s="3" t="s">
        <v>7</v>
      </c>
      <c r="E1721" s="162" t="str">
        <f>A1721&amp;"/"&amp;B1721&amp;"/"&amp;C1721&amp;"/"&amp;D1721</f>
        <v>Geothermal power plants/Geothermal power plants/Electricity only/L</v>
      </c>
      <c r="F1721" s="77" t="str">
        <f>A1721</f>
        <v>Geothermal power plants</v>
      </c>
      <c r="G1721" s="77" t="str">
        <f>B1721</f>
        <v>Geothermal power plants</v>
      </c>
      <c r="H1721" s="77" t="str">
        <f>C1721</f>
        <v>Electricity only</v>
      </c>
      <c r="I1721" s="163" t="str">
        <f t="shared" si="380"/>
        <v>L</v>
      </c>
      <c r="J1721" s="121">
        <f>IF(tech_base!$T257&gt;J$1465,"",(tech_base!$J257/tech_proj!J381*0.086*$N$110)/(1-tech_proj!J661))</f>
        <v>0</v>
      </c>
      <c r="K1721" s="121">
        <f>IF(tech_base!$T257&gt;K$1465,"",(tech_base!$J257/tech_proj!K381*0.086*$N$110)/(1-tech_proj!K661))</f>
        <v>0</v>
      </c>
      <c r="L1721" s="121">
        <f>IF(tech_base!$T257&gt;L$1465,"",(tech_base!$J257/tech_proj!L381*0.086*$N$110)/(1-tech_proj!L661))</f>
        <v>0</v>
      </c>
      <c r="M1721" s="121">
        <f>IF(tech_base!$T257&gt;M$1465,"",(tech_base!$J257/tech_proj!M381*0.086*$N$110)/(1-tech_proj!M661))</f>
        <v>0</v>
      </c>
      <c r="N1721" s="121">
        <f>IF(tech_base!$T257&gt;N$1465,"",(tech_base!$J257/tech_proj!N381*0.086*$N$110)/(1-tech_proj!N661))</f>
        <v>0</v>
      </c>
      <c r="O1721" s="121">
        <f>IF(tech_base!$T257&gt;O$1465,"",(tech_base!$J257/tech_proj!O381*0.086*$N$110)/(1-tech_proj!O661))</f>
        <v>0</v>
      </c>
      <c r="P1721" s="121">
        <f>IF(tech_base!$T257&gt;P$1465,"",(tech_base!$J257/tech_proj!P381*0.086*$N$110)/(1-tech_proj!P661))</f>
        <v>0</v>
      </c>
      <c r="Q1721" s="121">
        <f>IF(tech_base!$T257&gt;Q$1465,"",(tech_base!$J257/tech_proj!Q381*0.086*$N$110)/(1-tech_proj!Q661))</f>
        <v>0</v>
      </c>
      <c r="R1721" s="121">
        <f>IF(tech_base!$T257&gt;R$1465,"",(tech_base!$J257/tech_proj!R381*0.086*$N$110)/(1-tech_proj!R661))</f>
        <v>0</v>
      </c>
      <c r="S1721" s="121">
        <f>IF(tech_base!$T257&gt;S$1465,"",(tech_base!$J257/tech_proj!S381*0.086*$N$110)/(1-tech_proj!S661))</f>
        <v>0</v>
      </c>
      <c r="T1721" s="121">
        <f>IF(tech_base!$T257&gt;T$1465,"",(tech_base!$J257/tech_proj!T381*0.086*$N$110)/(1-tech_proj!T661))</f>
        <v>0</v>
      </c>
      <c r="U1721" s="121">
        <f>IF(tech_base!$T257&gt;U$1465,"",(tech_base!$J257/tech_proj!U381*0.086*$N$110)/(1-tech_proj!U661))</f>
        <v>0</v>
      </c>
      <c r="V1721" s="121">
        <f>IF(tech_base!$T257&gt;V$1465,"",(tech_base!$J257/tech_proj!V381*0.086*$N$110)/(1-tech_proj!V661))</f>
        <v>0</v>
      </c>
      <c r="W1721" s="121">
        <f>IF(tech_base!$T257&gt;W$1465,"",(tech_base!$J257/tech_proj!W381*0.086*$N$110)/(1-tech_proj!W661))</f>
        <v>0</v>
      </c>
      <c r="X1721" s="121">
        <f>IF(tech_base!$T257&gt;X$1465,"",(tech_base!$J257/tech_proj!X381*0.086*$N$110)/(1-tech_proj!X661))</f>
        <v>0</v>
      </c>
      <c r="Y1721" s="121">
        <f>IF(tech_base!$T257&gt;Y$1465,"",(tech_base!$J257/tech_proj!Y381*0.086*$N$110)/(1-tech_proj!Y661))</f>
        <v>0</v>
      </c>
      <c r="Z1721" s="121">
        <f>IF(tech_base!$T257&gt;Z$1465,"",(tech_base!$J257/tech_proj!Z381*0.086*$N$110)/(1-tech_proj!Z661))</f>
        <v>0</v>
      </c>
      <c r="AA1721" s="121">
        <f>IF(tech_base!$T257&gt;AA$1465,"",(tech_base!$J257/tech_proj!AA381*0.086*$N$110)/(1-tech_proj!AA661))</f>
        <v>0</v>
      </c>
      <c r="AB1721" s="121">
        <f>IF(tech_base!$T257&gt;AB$1465,"",(tech_base!$J257/tech_proj!AB381*0.086*$N$110)/(1-tech_proj!AB661))</f>
        <v>0</v>
      </c>
      <c r="AC1721" s="121">
        <f>IF(tech_base!$T257&gt;AC$1465,"",(tech_base!$J257/tech_proj!AC381*0.086*$N$110)/(1-tech_proj!AC661))</f>
        <v>0</v>
      </c>
      <c r="AD1721" s="121">
        <f>IF(tech_base!$T257&gt;AD$1465,"",(tech_base!$J257/tech_proj!AD381*0.086*$N$110)/(1-tech_proj!AD661))</f>
        <v>0</v>
      </c>
      <c r="AE1721" s="121">
        <f>IF(tech_base!$T257&gt;AE$1465,"",(tech_base!$J257/tech_proj!AE381*0.086*$N$110)/(1-tech_proj!AE661))</f>
        <v>0</v>
      </c>
      <c r="AF1721" s="121">
        <f>IF(tech_base!$T257&gt;AF$1465,"",(tech_base!$J257/tech_proj!AF381*0.086*$N$110)/(1-tech_proj!AF661))</f>
        <v>0</v>
      </c>
      <c r="AG1721" s="121">
        <f>IF(tech_base!$T257&gt;AG$1465,"",(tech_base!$J257/tech_proj!AG381*0.086*$N$110)/(1-tech_proj!AG661))</f>
        <v>0</v>
      </c>
      <c r="AH1721" s="121">
        <f>IF(tech_base!$T257&gt;AH$1465,"",(tech_base!$J257/tech_proj!AH381*0.086*$N$110)/(1-tech_proj!AH661))</f>
        <v>0</v>
      </c>
      <c r="AI1721" s="121">
        <f>IF(tech_base!$T257&gt;AI$1465,"",(tech_base!$J257/tech_proj!AI381*0.086*$N$110)/(1-tech_proj!AI661))</f>
        <v>0</v>
      </c>
      <c r="AJ1721" s="121">
        <f>IF(tech_base!$T257&gt;AJ$1465,"",(tech_base!$J257/tech_proj!AJ381*0.086*$N$110)/(1-tech_proj!AJ661))</f>
        <v>0</v>
      </c>
      <c r="AK1721" s="121">
        <f>IF(tech_base!$T257&gt;AK$1465,"",(tech_base!$J257/tech_proj!AK381*0.086*$N$110)/(1-tech_proj!AK661))</f>
        <v>0</v>
      </c>
      <c r="AL1721" s="121">
        <f>IF(tech_base!$T257&gt;AL$1465,"",(tech_base!$J257/tech_proj!AL381*0.086*$N$110)/(1-tech_proj!AL661))</f>
        <v>0</v>
      </c>
      <c r="AM1721" s="121">
        <f>IF(tech_base!$T257&gt;AM$1465,"",(tech_base!$J257/tech_proj!AM381*0.086*$N$110)/(1-tech_proj!AM661))</f>
        <v>0</v>
      </c>
      <c r="AN1721" s="121">
        <f>IF(tech_base!$T257&gt;AN$1465,"",(tech_base!$J257/tech_proj!AN381*0.086*$N$110)/(1-tech_proj!AN661))</f>
        <v>0</v>
      </c>
      <c r="AO1721" s="121">
        <f>IF(tech_base!$T257&gt;AO$1465,"",(tech_base!$J257/tech_proj!AO381*0.086*$N$110)/(1-tech_proj!AO661))</f>
        <v>0</v>
      </c>
      <c r="AP1721" s="121">
        <f>IF(tech_base!$T257&gt;AP$1465,"",(tech_base!$J257/tech_proj!AP381*0.086*$N$110)/(1-tech_proj!AP661))</f>
        <v>0</v>
      </c>
      <c r="AQ1721" s="121">
        <f>IF(tech_base!$T257&gt;AQ$1465,"",(tech_base!$J257/tech_proj!AQ381*0.086*$N$110)/(1-tech_proj!AQ661))</f>
        <v>0</v>
      </c>
      <c r="AR1721" s="121">
        <f>IF(tech_base!$T257&gt;AR$1465,"",(tech_base!$J257/tech_proj!AR381*0.086*$N$110)/(1-tech_proj!AR661))</f>
        <v>0</v>
      </c>
      <c r="AS1721" s="121">
        <f>IF(tech_base!$T257&gt;AS$1465,"",(tech_base!$J257/tech_proj!AS381*0.086*$N$110)/(1-tech_proj!AS661))</f>
        <v>0</v>
      </c>
      <c r="AT1721" s="121">
        <f>IF(tech_base!$T257&gt;AT$1465,"",(tech_base!$J257/tech_proj!AT381*0.086*$N$110)/(1-tech_proj!AT661))</f>
        <v>0</v>
      </c>
      <c r="AU1721" s="121">
        <f>IF(tech_base!$T257&gt;AU$1465,"",(tech_base!$J257/tech_proj!AU381*0.086*$N$110)/(1-tech_proj!AU661))</f>
        <v>0</v>
      </c>
      <c r="AV1721" s="121">
        <f>IF(tech_base!$T257&gt;AV$1465,"",(tech_base!$J257/tech_proj!AV381*0.086*$N$110)/(1-tech_proj!AV661))</f>
        <v>0</v>
      </c>
      <c r="AW1721" s="121">
        <f>IF(tech_base!$T257&gt;AW$1465,"",(tech_base!$J257/tech_proj!AW381*0.086*$N$110)/(1-tech_proj!AW661))</f>
        <v>0</v>
      </c>
      <c r="AX1721" s="122">
        <f>IF(tech_base!$T257&gt;AX$1465,"",(tech_base!$J257/tech_proj!AX381*0.086*$N$110)/(1-tech_proj!AX661))</f>
        <v>0</v>
      </c>
    </row>
    <row r="1722" spans="1:50" x14ac:dyDescent="0.25">
      <c r="A1722" s="356"/>
      <c r="B1722" s="376"/>
      <c r="C1722" s="378"/>
      <c r="D1722" s="2" t="s">
        <v>8</v>
      </c>
      <c r="E1722" s="160" t="str">
        <f>A1721&amp;"/"&amp;B1721&amp;"/"&amp;C1721&amp;"/"&amp;D1722</f>
        <v>Geothermal power plants/Geothermal power plants/Electricity only/M</v>
      </c>
      <c r="F1722" s="76" t="str">
        <f>A1721</f>
        <v>Geothermal power plants</v>
      </c>
      <c r="G1722" s="76" t="str">
        <f>B1721</f>
        <v>Geothermal power plants</v>
      </c>
      <c r="H1722" s="76" t="str">
        <f>C1721</f>
        <v>Electricity only</v>
      </c>
      <c r="I1722" s="161" t="str">
        <f t="shared" si="380"/>
        <v>M</v>
      </c>
      <c r="J1722" s="119">
        <f>IF(tech_base!$T258&gt;J$1465,"",(tech_base!$J258/tech_proj!J382*0.086*$N$110)/(1-tech_proj!J662))</f>
        <v>0</v>
      </c>
      <c r="K1722" s="119">
        <f>IF(tech_base!$T258&gt;K$1465,"",(tech_base!$J258/tech_proj!K382*0.086*$N$110)/(1-tech_proj!K662))</f>
        <v>0</v>
      </c>
      <c r="L1722" s="119">
        <f>IF(tech_base!$T258&gt;L$1465,"",(tech_base!$J258/tech_proj!L382*0.086*$N$110)/(1-tech_proj!L662))</f>
        <v>0</v>
      </c>
      <c r="M1722" s="119">
        <f>IF(tech_base!$T258&gt;M$1465,"",(tech_base!$J258/tech_proj!M382*0.086*$N$110)/(1-tech_proj!M662))</f>
        <v>0</v>
      </c>
      <c r="N1722" s="119">
        <f>IF(tech_base!$T258&gt;N$1465,"",(tech_base!$J258/tech_proj!N382*0.086*$N$110)/(1-tech_proj!N662))</f>
        <v>0</v>
      </c>
      <c r="O1722" s="119">
        <f>IF(tech_base!$T258&gt;O$1465,"",(tech_base!$J258/tech_proj!O382*0.086*$N$110)/(1-tech_proj!O662))</f>
        <v>0</v>
      </c>
      <c r="P1722" s="119">
        <f>IF(tech_base!$T258&gt;P$1465,"",(tech_base!$J258/tech_proj!P382*0.086*$N$110)/(1-tech_proj!P662))</f>
        <v>0</v>
      </c>
      <c r="Q1722" s="119">
        <f>IF(tech_base!$T258&gt;Q$1465,"",(tech_base!$J258/tech_proj!Q382*0.086*$N$110)/(1-tech_proj!Q662))</f>
        <v>0</v>
      </c>
      <c r="R1722" s="119">
        <f>IF(tech_base!$T258&gt;R$1465,"",(tech_base!$J258/tech_proj!R382*0.086*$N$110)/(1-tech_proj!R662))</f>
        <v>0</v>
      </c>
      <c r="S1722" s="119">
        <f>IF(tech_base!$T258&gt;S$1465,"",(tech_base!$J258/tech_proj!S382*0.086*$N$110)/(1-tech_proj!S662))</f>
        <v>0</v>
      </c>
      <c r="T1722" s="119">
        <f>IF(tech_base!$T258&gt;T$1465,"",(tech_base!$J258/tech_proj!T382*0.086*$N$110)/(1-tech_proj!T662))</f>
        <v>0</v>
      </c>
      <c r="U1722" s="119">
        <f>IF(tech_base!$T258&gt;U$1465,"",(tech_base!$J258/tech_proj!U382*0.086*$N$110)/(1-tech_proj!U662))</f>
        <v>0</v>
      </c>
      <c r="V1722" s="119">
        <f>IF(tech_base!$T258&gt;V$1465,"",(tech_base!$J258/tech_proj!V382*0.086*$N$110)/(1-tech_proj!V662))</f>
        <v>0</v>
      </c>
      <c r="W1722" s="119">
        <f>IF(tech_base!$T258&gt;W$1465,"",(tech_base!$J258/tech_proj!W382*0.086*$N$110)/(1-tech_proj!W662))</f>
        <v>0</v>
      </c>
      <c r="X1722" s="119">
        <f>IF(tech_base!$T258&gt;X$1465,"",(tech_base!$J258/tech_proj!X382*0.086*$N$110)/(1-tech_proj!X662))</f>
        <v>0</v>
      </c>
      <c r="Y1722" s="119">
        <f>IF(tech_base!$T258&gt;Y$1465,"",(tech_base!$J258/tech_proj!Y382*0.086*$N$110)/(1-tech_proj!Y662))</f>
        <v>0</v>
      </c>
      <c r="Z1722" s="119">
        <f>IF(tech_base!$T258&gt;Z$1465,"",(tech_base!$J258/tech_proj!Z382*0.086*$N$110)/(1-tech_proj!Z662))</f>
        <v>0</v>
      </c>
      <c r="AA1722" s="119">
        <f>IF(tech_base!$T258&gt;AA$1465,"",(tech_base!$J258/tech_proj!AA382*0.086*$N$110)/(1-tech_proj!AA662))</f>
        <v>0</v>
      </c>
      <c r="AB1722" s="119">
        <f>IF(tech_base!$T258&gt;AB$1465,"",(tech_base!$J258/tech_proj!AB382*0.086*$N$110)/(1-tech_proj!AB662))</f>
        <v>0</v>
      </c>
      <c r="AC1722" s="119">
        <f>IF(tech_base!$T258&gt;AC$1465,"",(tech_base!$J258/tech_proj!AC382*0.086*$N$110)/(1-tech_proj!AC662))</f>
        <v>0</v>
      </c>
      <c r="AD1722" s="119">
        <f>IF(tech_base!$T258&gt;AD$1465,"",(tech_base!$J258/tech_proj!AD382*0.086*$N$110)/(1-tech_proj!AD662))</f>
        <v>0</v>
      </c>
      <c r="AE1722" s="119">
        <f>IF(tech_base!$T258&gt;AE$1465,"",(tech_base!$J258/tech_proj!AE382*0.086*$N$110)/(1-tech_proj!AE662))</f>
        <v>0</v>
      </c>
      <c r="AF1722" s="119">
        <f>IF(tech_base!$T258&gt;AF$1465,"",(tech_base!$J258/tech_proj!AF382*0.086*$N$110)/(1-tech_proj!AF662))</f>
        <v>0</v>
      </c>
      <c r="AG1722" s="119">
        <f>IF(tech_base!$T258&gt;AG$1465,"",(tech_base!$J258/tech_proj!AG382*0.086*$N$110)/(1-tech_proj!AG662))</f>
        <v>0</v>
      </c>
      <c r="AH1722" s="119">
        <f>IF(tech_base!$T258&gt;AH$1465,"",(tech_base!$J258/tech_proj!AH382*0.086*$N$110)/(1-tech_proj!AH662))</f>
        <v>0</v>
      </c>
      <c r="AI1722" s="119">
        <f>IF(tech_base!$T258&gt;AI$1465,"",(tech_base!$J258/tech_proj!AI382*0.086*$N$110)/(1-tech_proj!AI662))</f>
        <v>0</v>
      </c>
      <c r="AJ1722" s="119">
        <f>IF(tech_base!$T258&gt;AJ$1465,"",(tech_base!$J258/tech_proj!AJ382*0.086*$N$110)/(1-tech_proj!AJ662))</f>
        <v>0</v>
      </c>
      <c r="AK1722" s="119">
        <f>IF(tech_base!$T258&gt;AK$1465,"",(tech_base!$J258/tech_proj!AK382*0.086*$N$110)/(1-tech_proj!AK662))</f>
        <v>0</v>
      </c>
      <c r="AL1722" s="119">
        <f>IF(tech_base!$T258&gt;AL$1465,"",(tech_base!$J258/tech_proj!AL382*0.086*$N$110)/(1-tech_proj!AL662))</f>
        <v>0</v>
      </c>
      <c r="AM1722" s="119">
        <f>IF(tech_base!$T258&gt;AM$1465,"",(tech_base!$J258/tech_proj!AM382*0.086*$N$110)/(1-tech_proj!AM662))</f>
        <v>0</v>
      </c>
      <c r="AN1722" s="119">
        <f>IF(tech_base!$T258&gt;AN$1465,"",(tech_base!$J258/tech_proj!AN382*0.086*$N$110)/(1-tech_proj!AN662))</f>
        <v>0</v>
      </c>
      <c r="AO1722" s="119">
        <f>IF(tech_base!$T258&gt;AO$1465,"",(tech_base!$J258/tech_proj!AO382*0.086*$N$110)/(1-tech_proj!AO662))</f>
        <v>0</v>
      </c>
      <c r="AP1722" s="119">
        <f>IF(tech_base!$T258&gt;AP$1465,"",(tech_base!$J258/tech_proj!AP382*0.086*$N$110)/(1-tech_proj!AP662))</f>
        <v>0</v>
      </c>
      <c r="AQ1722" s="119">
        <f>IF(tech_base!$T258&gt;AQ$1465,"",(tech_base!$J258/tech_proj!AQ382*0.086*$N$110)/(1-tech_proj!AQ662))</f>
        <v>0</v>
      </c>
      <c r="AR1722" s="119">
        <f>IF(tech_base!$T258&gt;AR$1465,"",(tech_base!$J258/tech_proj!AR382*0.086*$N$110)/(1-tech_proj!AR662))</f>
        <v>0</v>
      </c>
      <c r="AS1722" s="119">
        <f>IF(tech_base!$T258&gt;AS$1465,"",(tech_base!$J258/tech_proj!AS382*0.086*$N$110)/(1-tech_proj!AS662))</f>
        <v>0</v>
      </c>
      <c r="AT1722" s="119">
        <f>IF(tech_base!$T258&gt;AT$1465,"",(tech_base!$J258/tech_proj!AT382*0.086*$N$110)/(1-tech_proj!AT662))</f>
        <v>0</v>
      </c>
      <c r="AU1722" s="119">
        <f>IF(tech_base!$T258&gt;AU$1465,"",(tech_base!$J258/tech_proj!AU382*0.086*$N$110)/(1-tech_proj!AU662))</f>
        <v>0</v>
      </c>
      <c r="AV1722" s="119">
        <f>IF(tech_base!$T258&gt;AV$1465,"",(tech_base!$J258/tech_proj!AV382*0.086*$N$110)/(1-tech_proj!AV662))</f>
        <v>0</v>
      </c>
      <c r="AW1722" s="119">
        <f>IF(tech_base!$T258&gt;AW$1465,"",(tech_base!$J258/tech_proj!AW382*0.086*$N$110)/(1-tech_proj!AW662))</f>
        <v>0</v>
      </c>
      <c r="AX1722" s="120">
        <f>IF(tech_base!$T258&gt;AX$1465,"",(tech_base!$J258/tech_proj!AX382*0.086*$N$110)/(1-tech_proj!AX662))</f>
        <v>0</v>
      </c>
    </row>
    <row r="1723" spans="1:50" x14ac:dyDescent="0.25">
      <c r="A1723" s="357"/>
      <c r="B1723" s="380"/>
      <c r="C1723" s="381"/>
      <c r="D1723" s="4" t="s">
        <v>10</v>
      </c>
      <c r="E1723" s="168" t="str">
        <f>A1721&amp;"/"&amp;B1721&amp;"/"&amp;C1721&amp;"/"&amp;D1723</f>
        <v>Geothermal power plants/Geothermal power plants/Electricity only/S</v>
      </c>
      <c r="F1723" s="80" t="str">
        <f>A1721</f>
        <v>Geothermal power plants</v>
      </c>
      <c r="G1723" s="80" t="str">
        <f>B1721</f>
        <v>Geothermal power plants</v>
      </c>
      <c r="H1723" s="80" t="str">
        <f>C1721</f>
        <v>Electricity only</v>
      </c>
      <c r="I1723" s="169" t="str">
        <f t="shared" ref="I1723:I1737" si="381">D1723</f>
        <v>S</v>
      </c>
      <c r="J1723" s="127">
        <f>IF(tech_base!$T259&gt;J$1465,"",(tech_base!$J259/tech_proj!J383*0.086*$N$110)/(1-tech_proj!J663))</f>
        <v>0</v>
      </c>
      <c r="K1723" s="127">
        <f>IF(tech_base!$T259&gt;K$1465,"",(tech_base!$J259/tech_proj!K383*0.086*$N$110)/(1-tech_proj!K663))</f>
        <v>0</v>
      </c>
      <c r="L1723" s="127">
        <f>IF(tech_base!$T259&gt;L$1465,"",(tech_base!$J259/tech_proj!L383*0.086*$N$110)/(1-tech_proj!L663))</f>
        <v>0</v>
      </c>
      <c r="M1723" s="127">
        <f>IF(tech_base!$T259&gt;M$1465,"",(tech_base!$J259/tech_proj!M383*0.086*$N$110)/(1-tech_proj!M663))</f>
        <v>0</v>
      </c>
      <c r="N1723" s="127">
        <f>IF(tech_base!$T259&gt;N$1465,"",(tech_base!$J259/tech_proj!N383*0.086*$N$110)/(1-tech_proj!N663))</f>
        <v>0</v>
      </c>
      <c r="O1723" s="127">
        <f>IF(tech_base!$T259&gt;O$1465,"",(tech_base!$J259/tech_proj!O383*0.086*$N$110)/(1-tech_proj!O663))</f>
        <v>0</v>
      </c>
      <c r="P1723" s="127">
        <f>IF(tech_base!$T259&gt;P$1465,"",(tech_base!$J259/tech_proj!P383*0.086*$N$110)/(1-tech_proj!P663))</f>
        <v>0</v>
      </c>
      <c r="Q1723" s="127">
        <f>IF(tech_base!$T259&gt;Q$1465,"",(tech_base!$J259/tech_proj!Q383*0.086*$N$110)/(1-tech_proj!Q663))</f>
        <v>0</v>
      </c>
      <c r="R1723" s="127">
        <f>IF(tech_base!$T259&gt;R$1465,"",(tech_base!$J259/tech_proj!R383*0.086*$N$110)/(1-tech_proj!R663))</f>
        <v>0</v>
      </c>
      <c r="S1723" s="127">
        <f>IF(tech_base!$T259&gt;S$1465,"",(tech_base!$J259/tech_proj!S383*0.086*$N$110)/(1-tech_proj!S663))</f>
        <v>0</v>
      </c>
      <c r="T1723" s="127">
        <f>IF(tech_base!$T259&gt;T$1465,"",(tech_base!$J259/tech_proj!T383*0.086*$N$110)/(1-tech_proj!T663))</f>
        <v>0</v>
      </c>
      <c r="U1723" s="127">
        <f>IF(tech_base!$T259&gt;U$1465,"",(tech_base!$J259/tech_proj!U383*0.086*$N$110)/(1-tech_proj!U663))</f>
        <v>0</v>
      </c>
      <c r="V1723" s="127">
        <f>IF(tech_base!$T259&gt;V$1465,"",(tech_base!$J259/tech_proj!V383*0.086*$N$110)/(1-tech_proj!V663))</f>
        <v>0</v>
      </c>
      <c r="W1723" s="127">
        <f>IF(tech_base!$T259&gt;W$1465,"",(tech_base!$J259/tech_proj!W383*0.086*$N$110)/(1-tech_proj!W663))</f>
        <v>0</v>
      </c>
      <c r="X1723" s="127">
        <f>IF(tech_base!$T259&gt;X$1465,"",(tech_base!$J259/tech_proj!X383*0.086*$N$110)/(1-tech_proj!X663))</f>
        <v>0</v>
      </c>
      <c r="Y1723" s="127">
        <f>IF(tech_base!$T259&gt;Y$1465,"",(tech_base!$J259/tech_proj!Y383*0.086*$N$110)/(1-tech_proj!Y663))</f>
        <v>0</v>
      </c>
      <c r="Z1723" s="127">
        <f>IF(tech_base!$T259&gt;Z$1465,"",(tech_base!$J259/tech_proj!Z383*0.086*$N$110)/(1-tech_proj!Z663))</f>
        <v>0</v>
      </c>
      <c r="AA1723" s="127">
        <f>IF(tech_base!$T259&gt;AA$1465,"",(tech_base!$J259/tech_proj!AA383*0.086*$N$110)/(1-tech_proj!AA663))</f>
        <v>0</v>
      </c>
      <c r="AB1723" s="127">
        <f>IF(tech_base!$T259&gt;AB$1465,"",(tech_base!$J259/tech_proj!AB383*0.086*$N$110)/(1-tech_proj!AB663))</f>
        <v>0</v>
      </c>
      <c r="AC1723" s="127">
        <f>IF(tech_base!$T259&gt;AC$1465,"",(tech_base!$J259/tech_proj!AC383*0.086*$N$110)/(1-tech_proj!AC663))</f>
        <v>0</v>
      </c>
      <c r="AD1723" s="127">
        <f>IF(tech_base!$T259&gt;AD$1465,"",(tech_base!$J259/tech_proj!AD383*0.086*$N$110)/(1-tech_proj!AD663))</f>
        <v>0</v>
      </c>
      <c r="AE1723" s="127">
        <f>IF(tech_base!$T259&gt;AE$1465,"",(tech_base!$J259/tech_proj!AE383*0.086*$N$110)/(1-tech_proj!AE663))</f>
        <v>0</v>
      </c>
      <c r="AF1723" s="127">
        <f>IF(tech_base!$T259&gt;AF$1465,"",(tech_base!$J259/tech_proj!AF383*0.086*$N$110)/(1-tech_proj!AF663))</f>
        <v>0</v>
      </c>
      <c r="AG1723" s="127">
        <f>IF(tech_base!$T259&gt;AG$1465,"",(tech_base!$J259/tech_proj!AG383*0.086*$N$110)/(1-tech_proj!AG663))</f>
        <v>0</v>
      </c>
      <c r="AH1723" s="127">
        <f>IF(tech_base!$T259&gt;AH$1465,"",(tech_base!$J259/tech_proj!AH383*0.086*$N$110)/(1-tech_proj!AH663))</f>
        <v>0</v>
      </c>
      <c r="AI1723" s="127">
        <f>IF(tech_base!$T259&gt;AI$1465,"",(tech_base!$J259/tech_proj!AI383*0.086*$N$110)/(1-tech_proj!AI663))</f>
        <v>0</v>
      </c>
      <c r="AJ1723" s="127">
        <f>IF(tech_base!$T259&gt;AJ$1465,"",(tech_base!$J259/tech_proj!AJ383*0.086*$N$110)/(1-tech_proj!AJ663))</f>
        <v>0</v>
      </c>
      <c r="AK1723" s="127">
        <f>IF(tech_base!$T259&gt;AK$1465,"",(tech_base!$J259/tech_proj!AK383*0.086*$N$110)/(1-tech_proj!AK663))</f>
        <v>0</v>
      </c>
      <c r="AL1723" s="127">
        <f>IF(tech_base!$T259&gt;AL$1465,"",(tech_base!$J259/tech_proj!AL383*0.086*$N$110)/(1-tech_proj!AL663))</f>
        <v>0</v>
      </c>
      <c r="AM1723" s="127">
        <f>IF(tech_base!$T259&gt;AM$1465,"",(tech_base!$J259/tech_proj!AM383*0.086*$N$110)/(1-tech_proj!AM663))</f>
        <v>0</v>
      </c>
      <c r="AN1723" s="127">
        <f>IF(tech_base!$T259&gt;AN$1465,"",(tech_base!$J259/tech_proj!AN383*0.086*$N$110)/(1-tech_proj!AN663))</f>
        <v>0</v>
      </c>
      <c r="AO1723" s="127">
        <f>IF(tech_base!$T259&gt;AO$1465,"",(tech_base!$J259/tech_proj!AO383*0.086*$N$110)/(1-tech_proj!AO663))</f>
        <v>0</v>
      </c>
      <c r="AP1723" s="127">
        <f>IF(tech_base!$T259&gt;AP$1465,"",(tech_base!$J259/tech_proj!AP383*0.086*$N$110)/(1-tech_proj!AP663))</f>
        <v>0</v>
      </c>
      <c r="AQ1723" s="127">
        <f>IF(tech_base!$T259&gt;AQ$1465,"",(tech_base!$J259/tech_proj!AQ383*0.086*$N$110)/(1-tech_proj!AQ663))</f>
        <v>0</v>
      </c>
      <c r="AR1723" s="127">
        <f>IF(tech_base!$T259&gt;AR$1465,"",(tech_base!$J259/tech_proj!AR383*0.086*$N$110)/(1-tech_proj!AR663))</f>
        <v>0</v>
      </c>
      <c r="AS1723" s="127">
        <f>IF(tech_base!$T259&gt;AS$1465,"",(tech_base!$J259/tech_proj!AS383*0.086*$N$110)/(1-tech_proj!AS663))</f>
        <v>0</v>
      </c>
      <c r="AT1723" s="127">
        <f>IF(tech_base!$T259&gt;AT$1465,"",(tech_base!$J259/tech_proj!AT383*0.086*$N$110)/(1-tech_proj!AT663))</f>
        <v>0</v>
      </c>
      <c r="AU1723" s="127">
        <f>IF(tech_base!$T259&gt;AU$1465,"",(tech_base!$J259/tech_proj!AU383*0.086*$N$110)/(1-tech_proj!AU663))</f>
        <v>0</v>
      </c>
      <c r="AV1723" s="127">
        <f>IF(tech_base!$T259&gt;AV$1465,"",(tech_base!$J259/tech_proj!AV383*0.086*$N$110)/(1-tech_proj!AV663))</f>
        <v>0</v>
      </c>
      <c r="AW1723" s="127">
        <f>IF(tech_base!$T259&gt;AW$1465,"",(tech_base!$J259/tech_proj!AW383*0.086*$N$110)/(1-tech_proj!AW663))</f>
        <v>0</v>
      </c>
      <c r="AX1723" s="128">
        <f>IF(tech_base!$T259&gt;AX$1465,"",(tech_base!$J259/tech_proj!AX383*0.086*$N$110)/(1-tech_proj!AX663))</f>
        <v>0</v>
      </c>
    </row>
    <row r="1724" spans="1:50" x14ac:dyDescent="0.25">
      <c r="A1724" s="355" t="s">
        <v>40</v>
      </c>
      <c r="B1724" s="5" t="s">
        <v>41</v>
      </c>
      <c r="C1724" s="6" t="s">
        <v>6</v>
      </c>
      <c r="D1724" s="60" t="s">
        <v>8</v>
      </c>
      <c r="E1724" s="170" t="str">
        <f>A1724&amp;"/"&amp;B1724&amp;"/"&amp;C1724&amp;"/"&amp;D1724</f>
        <v>Tide, wave and ocean power plants/Tidal/Electricity only/M</v>
      </c>
      <c r="F1724" s="81" t="str">
        <f>A1724</f>
        <v>Tide, wave and ocean power plants</v>
      </c>
      <c r="G1724" s="81" t="str">
        <f>B1724</f>
        <v>Tidal</v>
      </c>
      <c r="H1724" s="81" t="str">
        <f>C1724</f>
        <v>Electricity only</v>
      </c>
      <c r="I1724" s="171" t="str">
        <f t="shared" si="381"/>
        <v>M</v>
      </c>
      <c r="J1724" s="129">
        <f>IF(tech_base!$T260&gt;J$1465,"",(tech_base!$J260/tech_proj!J384*0.086*$N$110)/(1-tech_proj!J664))</f>
        <v>0</v>
      </c>
      <c r="K1724" s="129">
        <f>IF(tech_base!$T260&gt;K$1465,"",(tech_base!$J260/tech_proj!K384*0.086*$N$110)/(1-tech_proj!K664))</f>
        <v>0</v>
      </c>
      <c r="L1724" s="129">
        <f>IF(tech_base!$T260&gt;L$1465,"",(tech_base!$J260/tech_proj!L384*0.086*$N$110)/(1-tech_proj!L664))</f>
        <v>0</v>
      </c>
      <c r="M1724" s="129">
        <f>IF(tech_base!$T260&gt;M$1465,"",(tech_base!$J260/tech_proj!M384*0.086*$N$110)/(1-tech_proj!M664))</f>
        <v>0</v>
      </c>
      <c r="N1724" s="129">
        <f>IF(tech_base!$T260&gt;N$1465,"",(tech_base!$J260/tech_proj!N384*0.086*$N$110)/(1-tech_proj!N664))</f>
        <v>0</v>
      </c>
      <c r="O1724" s="129">
        <f>IF(tech_base!$T260&gt;O$1465,"",(tech_base!$J260/tech_proj!O384*0.086*$N$110)/(1-tech_proj!O664))</f>
        <v>0</v>
      </c>
      <c r="P1724" s="129">
        <f>IF(tech_base!$T260&gt;P$1465,"",(tech_base!$J260/tech_proj!P384*0.086*$N$110)/(1-tech_proj!P664))</f>
        <v>0</v>
      </c>
      <c r="Q1724" s="129">
        <f>IF(tech_base!$T260&gt;Q$1465,"",(tech_base!$J260/tech_proj!Q384*0.086*$N$110)/(1-tech_proj!Q664))</f>
        <v>0</v>
      </c>
      <c r="R1724" s="129">
        <f>IF(tech_base!$T260&gt;R$1465,"",(tech_base!$J260/tech_proj!R384*0.086*$N$110)/(1-tech_proj!R664))</f>
        <v>0</v>
      </c>
      <c r="S1724" s="129">
        <f>IF(tech_base!$T260&gt;S$1465,"",(tech_base!$J260/tech_proj!S384*0.086*$N$110)/(1-tech_proj!S664))</f>
        <v>0</v>
      </c>
      <c r="T1724" s="129">
        <f>IF(tech_base!$T260&gt;T$1465,"",(tech_base!$J260/tech_proj!T384*0.086*$N$110)/(1-tech_proj!T664))</f>
        <v>0</v>
      </c>
      <c r="U1724" s="129">
        <f>IF(tech_base!$T260&gt;U$1465,"",(tech_base!$J260/tech_proj!U384*0.086*$N$110)/(1-tech_proj!U664))</f>
        <v>0</v>
      </c>
      <c r="V1724" s="129">
        <f>IF(tech_base!$T260&gt;V$1465,"",(tech_base!$J260/tech_proj!V384*0.086*$N$110)/(1-tech_proj!V664))</f>
        <v>0</v>
      </c>
      <c r="W1724" s="129">
        <f>IF(tech_base!$T260&gt;W$1465,"",(tech_base!$J260/tech_proj!W384*0.086*$N$110)/(1-tech_proj!W664))</f>
        <v>0</v>
      </c>
      <c r="X1724" s="129">
        <f>IF(tech_base!$T260&gt;X$1465,"",(tech_base!$J260/tech_proj!X384*0.086*$N$110)/(1-tech_proj!X664))</f>
        <v>0</v>
      </c>
      <c r="Y1724" s="129">
        <f>IF(tech_base!$T260&gt;Y$1465,"",(tech_base!$J260/tech_proj!Y384*0.086*$N$110)/(1-tech_proj!Y664))</f>
        <v>0</v>
      </c>
      <c r="Z1724" s="129">
        <f>IF(tech_base!$T260&gt;Z$1465,"",(tech_base!$J260/tech_proj!Z384*0.086*$N$110)/(1-tech_proj!Z664))</f>
        <v>0</v>
      </c>
      <c r="AA1724" s="129">
        <f>IF(tech_base!$T260&gt;AA$1465,"",(tech_base!$J260/tech_proj!AA384*0.086*$N$110)/(1-tech_proj!AA664))</f>
        <v>0</v>
      </c>
      <c r="AB1724" s="129">
        <f>IF(tech_base!$T260&gt;AB$1465,"",(tech_base!$J260/tech_proj!AB384*0.086*$N$110)/(1-tech_proj!AB664))</f>
        <v>0</v>
      </c>
      <c r="AC1724" s="129">
        <f>IF(tech_base!$T260&gt;AC$1465,"",(tech_base!$J260/tech_proj!AC384*0.086*$N$110)/(1-tech_proj!AC664))</f>
        <v>0</v>
      </c>
      <c r="AD1724" s="129">
        <f>IF(tech_base!$T260&gt;AD$1465,"",(tech_base!$J260/tech_proj!AD384*0.086*$N$110)/(1-tech_proj!AD664))</f>
        <v>0</v>
      </c>
      <c r="AE1724" s="129">
        <f>IF(tech_base!$T260&gt;AE$1465,"",(tech_base!$J260/tech_proj!AE384*0.086*$N$110)/(1-tech_proj!AE664))</f>
        <v>0</v>
      </c>
      <c r="AF1724" s="129">
        <f>IF(tech_base!$T260&gt;AF$1465,"",(tech_base!$J260/tech_proj!AF384*0.086*$N$110)/(1-tech_proj!AF664))</f>
        <v>0</v>
      </c>
      <c r="AG1724" s="129">
        <f>IF(tech_base!$T260&gt;AG$1465,"",(tech_base!$J260/tech_proj!AG384*0.086*$N$110)/(1-tech_proj!AG664))</f>
        <v>0</v>
      </c>
      <c r="AH1724" s="129">
        <f>IF(tech_base!$T260&gt;AH$1465,"",(tech_base!$J260/tech_proj!AH384*0.086*$N$110)/(1-tech_proj!AH664))</f>
        <v>0</v>
      </c>
      <c r="AI1724" s="129">
        <f>IF(tech_base!$T260&gt;AI$1465,"",(tech_base!$J260/tech_proj!AI384*0.086*$N$110)/(1-tech_proj!AI664))</f>
        <v>0</v>
      </c>
      <c r="AJ1724" s="129">
        <f>IF(tech_base!$T260&gt;AJ$1465,"",(tech_base!$J260/tech_proj!AJ384*0.086*$N$110)/(1-tech_proj!AJ664))</f>
        <v>0</v>
      </c>
      <c r="AK1724" s="129">
        <f>IF(tech_base!$T260&gt;AK$1465,"",(tech_base!$J260/tech_proj!AK384*0.086*$N$110)/(1-tech_proj!AK664))</f>
        <v>0</v>
      </c>
      <c r="AL1724" s="129">
        <f>IF(tech_base!$T260&gt;AL$1465,"",(tech_base!$J260/tech_proj!AL384*0.086*$N$110)/(1-tech_proj!AL664))</f>
        <v>0</v>
      </c>
      <c r="AM1724" s="129">
        <f>IF(tech_base!$T260&gt;AM$1465,"",(tech_base!$J260/tech_proj!AM384*0.086*$N$110)/(1-tech_proj!AM664))</f>
        <v>0</v>
      </c>
      <c r="AN1724" s="129">
        <f>IF(tech_base!$T260&gt;AN$1465,"",(tech_base!$J260/tech_proj!AN384*0.086*$N$110)/(1-tech_proj!AN664))</f>
        <v>0</v>
      </c>
      <c r="AO1724" s="129">
        <f>IF(tech_base!$T260&gt;AO$1465,"",(tech_base!$J260/tech_proj!AO384*0.086*$N$110)/(1-tech_proj!AO664))</f>
        <v>0</v>
      </c>
      <c r="AP1724" s="129">
        <f>IF(tech_base!$T260&gt;AP$1465,"",(tech_base!$J260/tech_proj!AP384*0.086*$N$110)/(1-tech_proj!AP664))</f>
        <v>0</v>
      </c>
      <c r="AQ1724" s="129">
        <f>IF(tech_base!$T260&gt;AQ$1465,"",(tech_base!$J260/tech_proj!AQ384*0.086*$N$110)/(1-tech_proj!AQ664))</f>
        <v>0</v>
      </c>
      <c r="AR1724" s="129">
        <f>IF(tech_base!$T260&gt;AR$1465,"",(tech_base!$J260/tech_proj!AR384*0.086*$N$110)/(1-tech_proj!AR664))</f>
        <v>0</v>
      </c>
      <c r="AS1724" s="129">
        <f>IF(tech_base!$T260&gt;AS$1465,"",(tech_base!$J260/tech_proj!AS384*0.086*$N$110)/(1-tech_proj!AS664))</f>
        <v>0</v>
      </c>
      <c r="AT1724" s="129">
        <f>IF(tech_base!$T260&gt;AT$1465,"",(tech_base!$J260/tech_proj!AT384*0.086*$N$110)/(1-tech_proj!AT664))</f>
        <v>0</v>
      </c>
      <c r="AU1724" s="129">
        <f>IF(tech_base!$T260&gt;AU$1465,"",(tech_base!$J260/tech_proj!AU384*0.086*$N$110)/(1-tech_proj!AU664))</f>
        <v>0</v>
      </c>
      <c r="AV1724" s="129">
        <f>IF(tech_base!$T260&gt;AV$1465,"",(tech_base!$J260/tech_proj!AV384*0.086*$N$110)/(1-tech_proj!AV664))</f>
        <v>0</v>
      </c>
      <c r="AW1724" s="129">
        <f>IF(tech_base!$T260&gt;AW$1465,"",(tech_base!$J260/tech_proj!AW384*0.086*$N$110)/(1-tech_proj!AW664))</f>
        <v>0</v>
      </c>
      <c r="AX1724" s="130">
        <f>IF(tech_base!$T260&gt;AX$1465,"",(tech_base!$J260/tech_proj!AX384*0.086*$N$110)/(1-tech_proj!AX664))</f>
        <v>0</v>
      </c>
    </row>
    <row r="1725" spans="1:50" x14ac:dyDescent="0.25">
      <c r="A1725" s="375"/>
      <c r="B1725" s="279" t="s">
        <v>42</v>
      </c>
      <c r="C1725" s="7" t="s">
        <v>6</v>
      </c>
      <c r="D1725" s="4" t="s">
        <v>8</v>
      </c>
      <c r="E1725" s="168" t="str">
        <f>A1724&amp;"/"&amp;B1725&amp;"/"&amp;C1725&amp;"/"&amp;D1725</f>
        <v>Tide, wave and ocean power plants/Wave/Electricity only/M</v>
      </c>
      <c r="F1725" s="80" t="str">
        <f>A1724</f>
        <v>Tide, wave and ocean power plants</v>
      </c>
      <c r="G1725" s="80" t="str">
        <f>B1725</f>
        <v>Wave</v>
      </c>
      <c r="H1725" s="80" t="str">
        <f>C1725</f>
        <v>Electricity only</v>
      </c>
      <c r="I1725" s="169" t="str">
        <f t="shared" si="381"/>
        <v>M</v>
      </c>
      <c r="J1725" s="127">
        <f>IF(tech_base!$T261&gt;J$1465,"",(tech_base!$J261/tech_proj!J385*0.086*$N$110)/(1-tech_proj!J665))</f>
        <v>0</v>
      </c>
      <c r="K1725" s="127">
        <f>IF(tech_base!$T261&gt;K$1465,"",(tech_base!$J261/tech_proj!K385*0.086*$N$110)/(1-tech_proj!K665))</f>
        <v>0</v>
      </c>
      <c r="L1725" s="127">
        <f>IF(tech_base!$T261&gt;L$1465,"",(tech_base!$J261/tech_proj!L385*0.086*$N$110)/(1-tech_proj!L665))</f>
        <v>0</v>
      </c>
      <c r="M1725" s="127">
        <f>IF(tech_base!$T261&gt;M$1465,"",(tech_base!$J261/tech_proj!M385*0.086*$N$110)/(1-tech_proj!M665))</f>
        <v>0</v>
      </c>
      <c r="N1725" s="127">
        <f>IF(tech_base!$T261&gt;N$1465,"",(tech_base!$J261/tech_proj!N385*0.086*$N$110)/(1-tech_proj!N665))</f>
        <v>0</v>
      </c>
      <c r="O1725" s="127">
        <f>IF(tech_base!$T261&gt;O$1465,"",(tech_base!$J261/tech_proj!O385*0.086*$N$110)/(1-tech_proj!O665))</f>
        <v>0</v>
      </c>
      <c r="P1725" s="127">
        <f>IF(tech_base!$T261&gt;P$1465,"",(tech_base!$J261/tech_proj!P385*0.086*$N$110)/(1-tech_proj!P665))</f>
        <v>0</v>
      </c>
      <c r="Q1725" s="127">
        <f>IF(tech_base!$T261&gt;Q$1465,"",(tech_base!$J261/tech_proj!Q385*0.086*$N$110)/(1-tech_proj!Q665))</f>
        <v>0</v>
      </c>
      <c r="R1725" s="127">
        <f>IF(tech_base!$T261&gt;R$1465,"",(tech_base!$J261/tech_proj!R385*0.086*$N$110)/(1-tech_proj!R665))</f>
        <v>0</v>
      </c>
      <c r="S1725" s="127">
        <f>IF(tech_base!$T261&gt;S$1465,"",(tech_base!$J261/tech_proj!S385*0.086*$N$110)/(1-tech_proj!S665))</f>
        <v>0</v>
      </c>
      <c r="T1725" s="127">
        <f>IF(tech_base!$T261&gt;T$1465,"",(tech_base!$J261/tech_proj!T385*0.086*$N$110)/(1-tech_proj!T665))</f>
        <v>0</v>
      </c>
      <c r="U1725" s="127">
        <f>IF(tech_base!$T261&gt;U$1465,"",(tech_base!$J261/tech_proj!U385*0.086*$N$110)/(1-tech_proj!U665))</f>
        <v>0</v>
      </c>
      <c r="V1725" s="127">
        <f>IF(tech_base!$T261&gt;V$1465,"",(tech_base!$J261/tech_proj!V385*0.086*$N$110)/(1-tech_proj!V665))</f>
        <v>0</v>
      </c>
      <c r="W1725" s="127">
        <f>IF(tech_base!$T261&gt;W$1465,"",(tech_base!$J261/tech_proj!W385*0.086*$N$110)/(1-tech_proj!W665))</f>
        <v>0</v>
      </c>
      <c r="X1725" s="127">
        <f>IF(tech_base!$T261&gt;X$1465,"",(tech_base!$J261/tech_proj!X385*0.086*$N$110)/(1-tech_proj!X665))</f>
        <v>0</v>
      </c>
      <c r="Y1725" s="127">
        <f>IF(tech_base!$T261&gt;Y$1465,"",(tech_base!$J261/tech_proj!Y385*0.086*$N$110)/(1-tech_proj!Y665))</f>
        <v>0</v>
      </c>
      <c r="Z1725" s="127">
        <f>IF(tech_base!$T261&gt;Z$1465,"",(tech_base!$J261/tech_proj!Z385*0.086*$N$110)/(1-tech_proj!Z665))</f>
        <v>0</v>
      </c>
      <c r="AA1725" s="127">
        <f>IF(tech_base!$T261&gt;AA$1465,"",(tech_base!$J261/tech_proj!AA385*0.086*$N$110)/(1-tech_proj!AA665))</f>
        <v>0</v>
      </c>
      <c r="AB1725" s="127">
        <f>IF(tech_base!$T261&gt;AB$1465,"",(tech_base!$J261/tech_proj!AB385*0.086*$N$110)/(1-tech_proj!AB665))</f>
        <v>0</v>
      </c>
      <c r="AC1725" s="127">
        <f>IF(tech_base!$T261&gt;AC$1465,"",(tech_base!$J261/tech_proj!AC385*0.086*$N$110)/(1-tech_proj!AC665))</f>
        <v>0</v>
      </c>
      <c r="AD1725" s="127">
        <f>IF(tech_base!$T261&gt;AD$1465,"",(tech_base!$J261/tech_proj!AD385*0.086*$N$110)/(1-tech_proj!AD665))</f>
        <v>0</v>
      </c>
      <c r="AE1725" s="127">
        <f>IF(tech_base!$T261&gt;AE$1465,"",(tech_base!$J261/tech_proj!AE385*0.086*$N$110)/(1-tech_proj!AE665))</f>
        <v>0</v>
      </c>
      <c r="AF1725" s="127">
        <f>IF(tech_base!$T261&gt;AF$1465,"",(tech_base!$J261/tech_proj!AF385*0.086*$N$110)/(1-tech_proj!AF665))</f>
        <v>0</v>
      </c>
      <c r="AG1725" s="127">
        <f>IF(tech_base!$T261&gt;AG$1465,"",(tech_base!$J261/tech_proj!AG385*0.086*$N$110)/(1-tech_proj!AG665))</f>
        <v>0</v>
      </c>
      <c r="AH1725" s="127">
        <f>IF(tech_base!$T261&gt;AH$1465,"",(tech_base!$J261/tech_proj!AH385*0.086*$N$110)/(1-tech_proj!AH665))</f>
        <v>0</v>
      </c>
      <c r="AI1725" s="127">
        <f>IF(tech_base!$T261&gt;AI$1465,"",(tech_base!$J261/tech_proj!AI385*0.086*$N$110)/(1-tech_proj!AI665))</f>
        <v>0</v>
      </c>
      <c r="AJ1725" s="127">
        <f>IF(tech_base!$T261&gt;AJ$1465,"",(tech_base!$J261/tech_proj!AJ385*0.086*$N$110)/(1-tech_proj!AJ665))</f>
        <v>0</v>
      </c>
      <c r="AK1725" s="127">
        <f>IF(tech_base!$T261&gt;AK$1465,"",(tech_base!$J261/tech_proj!AK385*0.086*$N$110)/(1-tech_proj!AK665))</f>
        <v>0</v>
      </c>
      <c r="AL1725" s="127">
        <f>IF(tech_base!$T261&gt;AL$1465,"",(tech_base!$J261/tech_proj!AL385*0.086*$N$110)/(1-tech_proj!AL665))</f>
        <v>0</v>
      </c>
      <c r="AM1725" s="127">
        <f>IF(tech_base!$T261&gt;AM$1465,"",(tech_base!$J261/tech_proj!AM385*0.086*$N$110)/(1-tech_proj!AM665))</f>
        <v>0</v>
      </c>
      <c r="AN1725" s="127">
        <f>IF(tech_base!$T261&gt;AN$1465,"",(tech_base!$J261/tech_proj!AN385*0.086*$N$110)/(1-tech_proj!AN665))</f>
        <v>0</v>
      </c>
      <c r="AO1725" s="127">
        <f>IF(tech_base!$T261&gt;AO$1465,"",(tech_base!$J261/tech_proj!AO385*0.086*$N$110)/(1-tech_proj!AO665))</f>
        <v>0</v>
      </c>
      <c r="AP1725" s="127">
        <f>IF(tech_base!$T261&gt;AP$1465,"",(tech_base!$J261/tech_proj!AP385*0.086*$N$110)/(1-tech_proj!AP665))</f>
        <v>0</v>
      </c>
      <c r="AQ1725" s="127">
        <f>IF(tech_base!$T261&gt;AQ$1465,"",(tech_base!$J261/tech_proj!AQ385*0.086*$N$110)/(1-tech_proj!AQ665))</f>
        <v>0</v>
      </c>
      <c r="AR1725" s="127">
        <f>IF(tech_base!$T261&gt;AR$1465,"",(tech_base!$J261/tech_proj!AR385*0.086*$N$110)/(1-tech_proj!AR665))</f>
        <v>0</v>
      </c>
      <c r="AS1725" s="127">
        <f>IF(tech_base!$T261&gt;AS$1465,"",(tech_base!$J261/tech_proj!AS385*0.086*$N$110)/(1-tech_proj!AS665))</f>
        <v>0</v>
      </c>
      <c r="AT1725" s="127">
        <f>IF(tech_base!$T261&gt;AT$1465,"",(tech_base!$J261/tech_proj!AT385*0.086*$N$110)/(1-tech_proj!AT665))</f>
        <v>0</v>
      </c>
      <c r="AU1725" s="127">
        <f>IF(tech_base!$T261&gt;AU$1465,"",(tech_base!$J261/tech_proj!AU385*0.086*$N$110)/(1-tech_proj!AU665))</f>
        <v>0</v>
      </c>
      <c r="AV1725" s="127">
        <f>IF(tech_base!$T261&gt;AV$1465,"",(tech_base!$J261/tech_proj!AV385*0.086*$N$110)/(1-tech_proj!AV665))</f>
        <v>0</v>
      </c>
      <c r="AW1725" s="127">
        <f>IF(tech_base!$T261&gt;AW$1465,"",(tech_base!$J261/tech_proj!AW385*0.086*$N$110)/(1-tech_proj!AW665))</f>
        <v>0</v>
      </c>
      <c r="AX1725" s="128">
        <f>IF(tech_base!$T261&gt;AX$1465,"",(tech_base!$J261/tech_proj!AX385*0.086*$N$110)/(1-tech_proj!AX665))</f>
        <v>0</v>
      </c>
    </row>
    <row r="1726" spans="1:50" x14ac:dyDescent="0.25">
      <c r="A1726" s="355" t="s">
        <v>43</v>
      </c>
      <c r="B1726" s="358" t="s">
        <v>44</v>
      </c>
      <c r="C1726" s="353" t="s">
        <v>6</v>
      </c>
      <c r="D1726" s="3" t="s">
        <v>7</v>
      </c>
      <c r="E1726" s="162" t="str">
        <f>A1726&amp;"/"&amp;B1726&amp;"/"&amp;C1726&amp;"/"&amp;D1726</f>
        <v>Hydro plants/Run-of-river/Electricity only/L</v>
      </c>
      <c r="F1726" s="77" t="str">
        <f>A1726</f>
        <v>Hydro plants</v>
      </c>
      <c r="G1726" s="77" t="str">
        <f>B1726</f>
        <v>Run-of-river</v>
      </c>
      <c r="H1726" s="77" t="str">
        <f>C1726</f>
        <v>Electricity only</v>
      </c>
      <c r="I1726" s="163" t="str">
        <f t="shared" si="381"/>
        <v>L</v>
      </c>
      <c r="J1726" s="121">
        <f>IF(tech_base!$T262&gt;J$1465,"",(tech_base!$J262/tech_proj!J386*0.086*$N$110)/(1-tech_proj!J666))</f>
        <v>0</v>
      </c>
      <c r="K1726" s="121">
        <f>IF(tech_base!$T262&gt;K$1465,"",(tech_base!$J262/tech_proj!K386*0.086*$N$110)/(1-tech_proj!K666))</f>
        <v>0</v>
      </c>
      <c r="L1726" s="121">
        <f>IF(tech_base!$T262&gt;L$1465,"",(tech_base!$J262/tech_proj!L386*0.086*$N$110)/(1-tech_proj!L666))</f>
        <v>0</v>
      </c>
      <c r="M1726" s="121">
        <f>IF(tech_base!$T262&gt;M$1465,"",(tech_base!$J262/tech_proj!M386*0.086*$N$110)/(1-tech_proj!M666))</f>
        <v>0</v>
      </c>
      <c r="N1726" s="121">
        <f>IF(tech_base!$T262&gt;N$1465,"",(tech_base!$J262/tech_proj!N386*0.086*$N$110)/(1-tech_proj!N666))</f>
        <v>0</v>
      </c>
      <c r="O1726" s="121">
        <f>IF(tech_base!$T262&gt;O$1465,"",(tech_base!$J262/tech_proj!O386*0.086*$N$110)/(1-tech_proj!O666))</f>
        <v>0</v>
      </c>
      <c r="P1726" s="121">
        <f>IF(tech_base!$T262&gt;P$1465,"",(tech_base!$J262/tech_proj!P386*0.086*$N$110)/(1-tech_proj!P666))</f>
        <v>0</v>
      </c>
      <c r="Q1726" s="121">
        <f>IF(tech_base!$T262&gt;Q$1465,"",(tech_base!$J262/tech_proj!Q386*0.086*$N$110)/(1-tech_proj!Q666))</f>
        <v>0</v>
      </c>
      <c r="R1726" s="121">
        <f>IF(tech_base!$T262&gt;R$1465,"",(tech_base!$J262/tech_proj!R386*0.086*$N$110)/(1-tech_proj!R666))</f>
        <v>0</v>
      </c>
      <c r="S1726" s="121">
        <f>IF(tech_base!$T262&gt;S$1465,"",(tech_base!$J262/tech_proj!S386*0.086*$N$110)/(1-tech_proj!S666))</f>
        <v>0</v>
      </c>
      <c r="T1726" s="121">
        <f>IF(tech_base!$T262&gt;T$1465,"",(tech_base!$J262/tech_proj!T386*0.086*$N$110)/(1-tech_proj!T666))</f>
        <v>0</v>
      </c>
      <c r="U1726" s="121">
        <f>IF(tech_base!$T262&gt;U$1465,"",(tech_base!$J262/tech_proj!U386*0.086*$N$110)/(1-tech_proj!U666))</f>
        <v>0</v>
      </c>
      <c r="V1726" s="121">
        <f>IF(tech_base!$T262&gt;V$1465,"",(tech_base!$J262/tech_proj!V386*0.086*$N$110)/(1-tech_proj!V666))</f>
        <v>0</v>
      </c>
      <c r="W1726" s="121">
        <f>IF(tech_base!$T262&gt;W$1465,"",(tech_base!$J262/tech_proj!W386*0.086*$N$110)/(1-tech_proj!W666))</f>
        <v>0</v>
      </c>
      <c r="X1726" s="121">
        <f>IF(tech_base!$T262&gt;X$1465,"",(tech_base!$J262/tech_proj!X386*0.086*$N$110)/(1-tech_proj!X666))</f>
        <v>0</v>
      </c>
      <c r="Y1726" s="121">
        <f>IF(tech_base!$T262&gt;Y$1465,"",(tech_base!$J262/tech_proj!Y386*0.086*$N$110)/(1-tech_proj!Y666))</f>
        <v>0</v>
      </c>
      <c r="Z1726" s="121">
        <f>IF(tech_base!$T262&gt;Z$1465,"",(tech_base!$J262/tech_proj!Z386*0.086*$N$110)/(1-tech_proj!Z666))</f>
        <v>0</v>
      </c>
      <c r="AA1726" s="121">
        <f>IF(tech_base!$T262&gt;AA$1465,"",(tech_base!$J262/tech_proj!AA386*0.086*$N$110)/(1-tech_proj!AA666))</f>
        <v>0</v>
      </c>
      <c r="AB1726" s="121">
        <f>IF(tech_base!$T262&gt;AB$1465,"",(tech_base!$J262/tech_proj!AB386*0.086*$N$110)/(1-tech_proj!AB666))</f>
        <v>0</v>
      </c>
      <c r="AC1726" s="121">
        <f>IF(tech_base!$T262&gt;AC$1465,"",(tech_base!$J262/tech_proj!AC386*0.086*$N$110)/(1-tech_proj!AC666))</f>
        <v>0</v>
      </c>
      <c r="AD1726" s="121">
        <f>IF(tech_base!$T262&gt;AD$1465,"",(tech_base!$J262/tech_proj!AD386*0.086*$N$110)/(1-tech_proj!AD666))</f>
        <v>0</v>
      </c>
      <c r="AE1726" s="121">
        <f>IF(tech_base!$T262&gt;AE$1465,"",(tech_base!$J262/tech_proj!AE386*0.086*$N$110)/(1-tech_proj!AE666))</f>
        <v>0</v>
      </c>
      <c r="AF1726" s="121">
        <f>IF(tech_base!$T262&gt;AF$1465,"",(tech_base!$J262/tech_proj!AF386*0.086*$N$110)/(1-tech_proj!AF666))</f>
        <v>0</v>
      </c>
      <c r="AG1726" s="121">
        <f>IF(tech_base!$T262&gt;AG$1465,"",(tech_base!$J262/tech_proj!AG386*0.086*$N$110)/(1-tech_proj!AG666))</f>
        <v>0</v>
      </c>
      <c r="AH1726" s="121">
        <f>IF(tech_base!$T262&gt;AH$1465,"",(tech_base!$J262/tech_proj!AH386*0.086*$N$110)/(1-tech_proj!AH666))</f>
        <v>0</v>
      </c>
      <c r="AI1726" s="121">
        <f>IF(tech_base!$T262&gt;AI$1465,"",(tech_base!$J262/tech_proj!AI386*0.086*$N$110)/(1-tech_proj!AI666))</f>
        <v>0</v>
      </c>
      <c r="AJ1726" s="121">
        <f>IF(tech_base!$T262&gt;AJ$1465,"",(tech_base!$J262/tech_proj!AJ386*0.086*$N$110)/(1-tech_proj!AJ666))</f>
        <v>0</v>
      </c>
      <c r="AK1726" s="121">
        <f>IF(tech_base!$T262&gt;AK$1465,"",(tech_base!$J262/tech_proj!AK386*0.086*$N$110)/(1-tech_proj!AK666))</f>
        <v>0</v>
      </c>
      <c r="AL1726" s="121">
        <f>IF(tech_base!$T262&gt;AL$1465,"",(tech_base!$J262/tech_proj!AL386*0.086*$N$110)/(1-tech_proj!AL666))</f>
        <v>0</v>
      </c>
      <c r="AM1726" s="121">
        <f>IF(tech_base!$T262&gt;AM$1465,"",(tech_base!$J262/tech_proj!AM386*0.086*$N$110)/(1-tech_proj!AM666))</f>
        <v>0</v>
      </c>
      <c r="AN1726" s="121">
        <f>IF(tech_base!$T262&gt;AN$1465,"",(tech_base!$J262/tech_proj!AN386*0.086*$N$110)/(1-tech_proj!AN666))</f>
        <v>0</v>
      </c>
      <c r="AO1726" s="121">
        <f>IF(tech_base!$T262&gt;AO$1465,"",(tech_base!$J262/tech_proj!AO386*0.086*$N$110)/(1-tech_proj!AO666))</f>
        <v>0</v>
      </c>
      <c r="AP1726" s="121">
        <f>IF(tech_base!$T262&gt;AP$1465,"",(tech_base!$J262/tech_proj!AP386*0.086*$N$110)/(1-tech_proj!AP666))</f>
        <v>0</v>
      </c>
      <c r="AQ1726" s="121">
        <f>IF(tech_base!$T262&gt;AQ$1465,"",(tech_base!$J262/tech_proj!AQ386*0.086*$N$110)/(1-tech_proj!AQ666))</f>
        <v>0</v>
      </c>
      <c r="AR1726" s="121">
        <f>IF(tech_base!$T262&gt;AR$1465,"",(tech_base!$J262/tech_proj!AR386*0.086*$N$110)/(1-tech_proj!AR666))</f>
        <v>0</v>
      </c>
      <c r="AS1726" s="121">
        <f>IF(tech_base!$T262&gt;AS$1465,"",(tech_base!$J262/tech_proj!AS386*0.086*$N$110)/(1-tech_proj!AS666))</f>
        <v>0</v>
      </c>
      <c r="AT1726" s="121">
        <f>IF(tech_base!$T262&gt;AT$1465,"",(tech_base!$J262/tech_proj!AT386*0.086*$N$110)/(1-tech_proj!AT666))</f>
        <v>0</v>
      </c>
      <c r="AU1726" s="121">
        <f>IF(tech_base!$T262&gt;AU$1465,"",(tech_base!$J262/tech_proj!AU386*0.086*$N$110)/(1-tech_proj!AU666))</f>
        <v>0</v>
      </c>
      <c r="AV1726" s="121">
        <f>IF(tech_base!$T262&gt;AV$1465,"",(tech_base!$J262/tech_proj!AV386*0.086*$N$110)/(1-tech_proj!AV666))</f>
        <v>0</v>
      </c>
      <c r="AW1726" s="121">
        <f>IF(tech_base!$T262&gt;AW$1465,"",(tech_base!$J262/tech_proj!AW386*0.086*$N$110)/(1-tech_proj!AW666))</f>
        <v>0</v>
      </c>
      <c r="AX1726" s="122">
        <f>IF(tech_base!$T262&gt;AX$1465,"",(tech_base!$J262/tech_proj!AX386*0.086*$N$110)/(1-tech_proj!AX666))</f>
        <v>0</v>
      </c>
    </row>
    <row r="1727" spans="1:50" x14ac:dyDescent="0.25">
      <c r="A1727" s="356"/>
      <c r="B1727" s="376"/>
      <c r="C1727" s="378"/>
      <c r="D1727" s="2" t="s">
        <v>8</v>
      </c>
      <c r="E1727" s="160" t="str">
        <f>A1726&amp;"/"&amp;B1726&amp;"/"&amp;C1726&amp;"/"&amp;D1727</f>
        <v>Hydro plants/Run-of-river/Electricity only/M</v>
      </c>
      <c r="F1727" s="76" t="str">
        <f>A1726</f>
        <v>Hydro plants</v>
      </c>
      <c r="G1727" s="76" t="str">
        <f>B1726</f>
        <v>Run-of-river</v>
      </c>
      <c r="H1727" s="76" t="str">
        <f>C1726</f>
        <v>Electricity only</v>
      </c>
      <c r="I1727" s="161" t="str">
        <f t="shared" si="381"/>
        <v>M</v>
      </c>
      <c r="J1727" s="119">
        <f>IF(tech_base!$T263&gt;J$1465,"",(tech_base!$J263/tech_proj!J387*0.086*$N$110)/(1-tech_proj!J667))</f>
        <v>0</v>
      </c>
      <c r="K1727" s="119">
        <f>IF(tech_base!$T263&gt;K$1465,"",(tech_base!$J263/tech_proj!K387*0.086*$N$110)/(1-tech_proj!K667))</f>
        <v>0</v>
      </c>
      <c r="L1727" s="119">
        <f>IF(tech_base!$T263&gt;L$1465,"",(tech_base!$J263/tech_proj!L387*0.086*$N$110)/(1-tech_proj!L667))</f>
        <v>0</v>
      </c>
      <c r="M1727" s="119">
        <f>IF(tech_base!$T263&gt;M$1465,"",(tech_base!$J263/tech_proj!M387*0.086*$N$110)/(1-tech_proj!M667))</f>
        <v>0</v>
      </c>
      <c r="N1727" s="119">
        <f>IF(tech_base!$T263&gt;N$1465,"",(tech_base!$J263/tech_proj!N387*0.086*$N$110)/(1-tech_proj!N667))</f>
        <v>0</v>
      </c>
      <c r="O1727" s="119">
        <f>IF(tech_base!$T263&gt;O$1465,"",(tech_base!$J263/tech_proj!O387*0.086*$N$110)/(1-tech_proj!O667))</f>
        <v>0</v>
      </c>
      <c r="P1727" s="119">
        <f>IF(tech_base!$T263&gt;P$1465,"",(tech_base!$J263/tech_proj!P387*0.086*$N$110)/(1-tech_proj!P667))</f>
        <v>0</v>
      </c>
      <c r="Q1727" s="119">
        <f>IF(tech_base!$T263&gt;Q$1465,"",(tech_base!$J263/tech_proj!Q387*0.086*$N$110)/(1-tech_proj!Q667))</f>
        <v>0</v>
      </c>
      <c r="R1727" s="119">
        <f>IF(tech_base!$T263&gt;R$1465,"",(tech_base!$J263/tech_proj!R387*0.086*$N$110)/(1-tech_proj!R667))</f>
        <v>0</v>
      </c>
      <c r="S1727" s="119">
        <f>IF(tech_base!$T263&gt;S$1465,"",(tech_base!$J263/tech_proj!S387*0.086*$N$110)/(1-tech_proj!S667))</f>
        <v>0</v>
      </c>
      <c r="T1727" s="119">
        <f>IF(tech_base!$T263&gt;T$1465,"",(tech_base!$J263/tech_proj!T387*0.086*$N$110)/(1-tech_proj!T667))</f>
        <v>0</v>
      </c>
      <c r="U1727" s="119">
        <f>IF(tech_base!$T263&gt;U$1465,"",(tech_base!$J263/tech_proj!U387*0.086*$N$110)/(1-tech_proj!U667))</f>
        <v>0</v>
      </c>
      <c r="V1727" s="119">
        <f>IF(tech_base!$T263&gt;V$1465,"",(tech_base!$J263/tech_proj!V387*0.086*$N$110)/(1-tech_proj!V667))</f>
        <v>0</v>
      </c>
      <c r="W1727" s="119">
        <f>IF(tech_base!$T263&gt;W$1465,"",(tech_base!$J263/tech_proj!W387*0.086*$N$110)/(1-tech_proj!W667))</f>
        <v>0</v>
      </c>
      <c r="X1727" s="119">
        <f>IF(tech_base!$T263&gt;X$1465,"",(tech_base!$J263/tech_proj!X387*0.086*$N$110)/(1-tech_proj!X667))</f>
        <v>0</v>
      </c>
      <c r="Y1727" s="119">
        <f>IF(tech_base!$T263&gt;Y$1465,"",(tech_base!$J263/tech_proj!Y387*0.086*$N$110)/(1-tech_proj!Y667))</f>
        <v>0</v>
      </c>
      <c r="Z1727" s="119">
        <f>IF(tech_base!$T263&gt;Z$1465,"",(tech_base!$J263/tech_proj!Z387*0.086*$N$110)/(1-tech_proj!Z667))</f>
        <v>0</v>
      </c>
      <c r="AA1727" s="119">
        <f>IF(tech_base!$T263&gt;AA$1465,"",(tech_base!$J263/tech_proj!AA387*0.086*$N$110)/(1-tech_proj!AA667))</f>
        <v>0</v>
      </c>
      <c r="AB1727" s="119">
        <f>IF(tech_base!$T263&gt;AB$1465,"",(tech_base!$J263/tech_proj!AB387*0.086*$N$110)/(1-tech_proj!AB667))</f>
        <v>0</v>
      </c>
      <c r="AC1727" s="119">
        <f>IF(tech_base!$T263&gt;AC$1465,"",(tech_base!$J263/tech_proj!AC387*0.086*$N$110)/(1-tech_proj!AC667))</f>
        <v>0</v>
      </c>
      <c r="AD1727" s="119">
        <f>IF(tech_base!$T263&gt;AD$1465,"",(tech_base!$J263/tech_proj!AD387*0.086*$N$110)/(1-tech_proj!AD667))</f>
        <v>0</v>
      </c>
      <c r="AE1727" s="119">
        <f>IF(tech_base!$T263&gt;AE$1465,"",(tech_base!$J263/tech_proj!AE387*0.086*$N$110)/(1-tech_proj!AE667))</f>
        <v>0</v>
      </c>
      <c r="AF1727" s="119">
        <f>IF(tech_base!$T263&gt;AF$1465,"",(tech_base!$J263/tech_proj!AF387*0.086*$N$110)/(1-tech_proj!AF667))</f>
        <v>0</v>
      </c>
      <c r="AG1727" s="119">
        <f>IF(tech_base!$T263&gt;AG$1465,"",(tech_base!$J263/tech_proj!AG387*0.086*$N$110)/(1-tech_proj!AG667))</f>
        <v>0</v>
      </c>
      <c r="AH1727" s="119">
        <f>IF(tech_base!$T263&gt;AH$1465,"",(tech_base!$J263/tech_proj!AH387*0.086*$N$110)/(1-tech_proj!AH667))</f>
        <v>0</v>
      </c>
      <c r="AI1727" s="119">
        <f>IF(tech_base!$T263&gt;AI$1465,"",(tech_base!$J263/tech_proj!AI387*0.086*$N$110)/(1-tech_proj!AI667))</f>
        <v>0</v>
      </c>
      <c r="AJ1727" s="119">
        <f>IF(tech_base!$T263&gt;AJ$1465,"",(tech_base!$J263/tech_proj!AJ387*0.086*$N$110)/(1-tech_proj!AJ667))</f>
        <v>0</v>
      </c>
      <c r="AK1727" s="119">
        <f>IF(tech_base!$T263&gt;AK$1465,"",(tech_base!$J263/tech_proj!AK387*0.086*$N$110)/(1-tech_proj!AK667))</f>
        <v>0</v>
      </c>
      <c r="AL1727" s="119">
        <f>IF(tech_base!$T263&gt;AL$1465,"",(tech_base!$J263/tech_proj!AL387*0.086*$N$110)/(1-tech_proj!AL667))</f>
        <v>0</v>
      </c>
      <c r="AM1727" s="119">
        <f>IF(tech_base!$T263&gt;AM$1465,"",(tech_base!$J263/tech_proj!AM387*0.086*$N$110)/(1-tech_proj!AM667))</f>
        <v>0</v>
      </c>
      <c r="AN1727" s="119">
        <f>IF(tech_base!$T263&gt;AN$1465,"",(tech_base!$J263/tech_proj!AN387*0.086*$N$110)/(1-tech_proj!AN667))</f>
        <v>0</v>
      </c>
      <c r="AO1727" s="119">
        <f>IF(tech_base!$T263&gt;AO$1465,"",(tech_base!$J263/tech_proj!AO387*0.086*$N$110)/(1-tech_proj!AO667))</f>
        <v>0</v>
      </c>
      <c r="AP1727" s="119">
        <f>IF(tech_base!$T263&gt;AP$1465,"",(tech_base!$J263/tech_proj!AP387*0.086*$N$110)/(1-tech_proj!AP667))</f>
        <v>0</v>
      </c>
      <c r="AQ1727" s="119">
        <f>IF(tech_base!$T263&gt;AQ$1465,"",(tech_base!$J263/tech_proj!AQ387*0.086*$N$110)/(1-tech_proj!AQ667))</f>
        <v>0</v>
      </c>
      <c r="AR1727" s="119">
        <f>IF(tech_base!$T263&gt;AR$1465,"",(tech_base!$J263/tech_proj!AR387*0.086*$N$110)/(1-tech_proj!AR667))</f>
        <v>0</v>
      </c>
      <c r="AS1727" s="119">
        <f>IF(tech_base!$T263&gt;AS$1465,"",(tech_base!$J263/tech_proj!AS387*0.086*$N$110)/(1-tech_proj!AS667))</f>
        <v>0</v>
      </c>
      <c r="AT1727" s="119">
        <f>IF(tech_base!$T263&gt;AT$1465,"",(tech_base!$J263/tech_proj!AT387*0.086*$N$110)/(1-tech_proj!AT667))</f>
        <v>0</v>
      </c>
      <c r="AU1727" s="119">
        <f>IF(tech_base!$T263&gt;AU$1465,"",(tech_base!$J263/tech_proj!AU387*0.086*$N$110)/(1-tech_proj!AU667))</f>
        <v>0</v>
      </c>
      <c r="AV1727" s="119">
        <f>IF(tech_base!$T263&gt;AV$1465,"",(tech_base!$J263/tech_proj!AV387*0.086*$N$110)/(1-tech_proj!AV667))</f>
        <v>0</v>
      </c>
      <c r="AW1727" s="119">
        <f>IF(tech_base!$T263&gt;AW$1465,"",(tech_base!$J263/tech_proj!AW387*0.086*$N$110)/(1-tech_proj!AW667))</f>
        <v>0</v>
      </c>
      <c r="AX1727" s="120">
        <f>IF(tech_base!$T263&gt;AX$1465,"",(tech_base!$J263/tech_proj!AX387*0.086*$N$110)/(1-tech_proj!AX667))</f>
        <v>0</v>
      </c>
    </row>
    <row r="1728" spans="1:50" x14ac:dyDescent="0.25">
      <c r="A1728" s="356"/>
      <c r="B1728" s="376"/>
      <c r="C1728" s="378"/>
      <c r="D1728" s="2" t="s">
        <v>10</v>
      </c>
      <c r="E1728" s="160" t="str">
        <f>A1726&amp;"/"&amp;B1726&amp;"/"&amp;C1726&amp;"/"&amp;D1728</f>
        <v>Hydro plants/Run-of-river/Electricity only/S</v>
      </c>
      <c r="F1728" s="76" t="str">
        <f>A1726</f>
        <v>Hydro plants</v>
      </c>
      <c r="G1728" s="76" t="str">
        <f>B1726</f>
        <v>Run-of-river</v>
      </c>
      <c r="H1728" s="76" t="str">
        <f>C1726</f>
        <v>Electricity only</v>
      </c>
      <c r="I1728" s="161" t="str">
        <f t="shared" si="381"/>
        <v>S</v>
      </c>
      <c r="J1728" s="119">
        <f>IF(tech_base!$T264&gt;J$1465,"",(tech_base!$J264/tech_proj!J388*0.086*$N$110)/(1-tech_proj!J668))</f>
        <v>0</v>
      </c>
      <c r="K1728" s="119">
        <f>IF(tech_base!$T264&gt;K$1465,"",(tech_base!$J264/tech_proj!K388*0.086*$N$110)/(1-tech_proj!K668))</f>
        <v>0</v>
      </c>
      <c r="L1728" s="119">
        <f>IF(tech_base!$T264&gt;L$1465,"",(tech_base!$J264/tech_proj!L388*0.086*$N$110)/(1-tech_proj!L668))</f>
        <v>0</v>
      </c>
      <c r="M1728" s="119">
        <f>IF(tech_base!$T264&gt;M$1465,"",(tech_base!$J264/tech_proj!M388*0.086*$N$110)/(1-tech_proj!M668))</f>
        <v>0</v>
      </c>
      <c r="N1728" s="119">
        <f>IF(tech_base!$T264&gt;N$1465,"",(tech_base!$J264/tech_proj!N388*0.086*$N$110)/(1-tech_proj!N668))</f>
        <v>0</v>
      </c>
      <c r="O1728" s="119">
        <f>IF(tech_base!$T264&gt;O$1465,"",(tech_base!$J264/tech_proj!O388*0.086*$N$110)/(1-tech_proj!O668))</f>
        <v>0</v>
      </c>
      <c r="P1728" s="119">
        <f>IF(tech_base!$T264&gt;P$1465,"",(tech_base!$J264/tech_proj!P388*0.086*$N$110)/(1-tech_proj!P668))</f>
        <v>0</v>
      </c>
      <c r="Q1728" s="119">
        <f>IF(tech_base!$T264&gt;Q$1465,"",(tech_base!$J264/tech_proj!Q388*0.086*$N$110)/(1-tech_proj!Q668))</f>
        <v>0</v>
      </c>
      <c r="R1728" s="119">
        <f>IF(tech_base!$T264&gt;R$1465,"",(tech_base!$J264/tech_proj!R388*0.086*$N$110)/(1-tech_proj!R668))</f>
        <v>0</v>
      </c>
      <c r="S1728" s="119">
        <f>IF(tech_base!$T264&gt;S$1465,"",(tech_base!$J264/tech_proj!S388*0.086*$N$110)/(1-tech_proj!S668))</f>
        <v>0</v>
      </c>
      <c r="T1728" s="119">
        <f>IF(tech_base!$T264&gt;T$1465,"",(tech_base!$J264/tech_proj!T388*0.086*$N$110)/(1-tech_proj!T668))</f>
        <v>0</v>
      </c>
      <c r="U1728" s="119">
        <f>IF(tech_base!$T264&gt;U$1465,"",(tech_base!$J264/tech_proj!U388*0.086*$N$110)/(1-tech_proj!U668))</f>
        <v>0</v>
      </c>
      <c r="V1728" s="119">
        <f>IF(tech_base!$T264&gt;V$1465,"",(tech_base!$J264/tech_proj!V388*0.086*$N$110)/(1-tech_proj!V668))</f>
        <v>0</v>
      </c>
      <c r="W1728" s="119">
        <f>IF(tech_base!$T264&gt;W$1465,"",(tech_base!$J264/tech_proj!W388*0.086*$N$110)/(1-tech_proj!W668))</f>
        <v>0</v>
      </c>
      <c r="X1728" s="119">
        <f>IF(tech_base!$T264&gt;X$1465,"",(tech_base!$J264/tech_proj!X388*0.086*$N$110)/(1-tech_proj!X668))</f>
        <v>0</v>
      </c>
      <c r="Y1728" s="119">
        <f>IF(tech_base!$T264&gt;Y$1465,"",(tech_base!$J264/tech_proj!Y388*0.086*$N$110)/(1-tech_proj!Y668))</f>
        <v>0</v>
      </c>
      <c r="Z1728" s="119">
        <f>IF(tech_base!$T264&gt;Z$1465,"",(tech_base!$J264/tech_proj!Z388*0.086*$N$110)/(1-tech_proj!Z668))</f>
        <v>0</v>
      </c>
      <c r="AA1728" s="119">
        <f>IF(tech_base!$T264&gt;AA$1465,"",(tech_base!$J264/tech_proj!AA388*0.086*$N$110)/(1-tech_proj!AA668))</f>
        <v>0</v>
      </c>
      <c r="AB1728" s="119">
        <f>IF(tech_base!$T264&gt;AB$1465,"",(tech_base!$J264/tech_proj!AB388*0.086*$N$110)/(1-tech_proj!AB668))</f>
        <v>0</v>
      </c>
      <c r="AC1728" s="119">
        <f>IF(tech_base!$T264&gt;AC$1465,"",(tech_base!$J264/tech_proj!AC388*0.086*$N$110)/(1-tech_proj!AC668))</f>
        <v>0</v>
      </c>
      <c r="AD1728" s="119">
        <f>IF(tech_base!$T264&gt;AD$1465,"",(tech_base!$J264/tech_proj!AD388*0.086*$N$110)/(1-tech_proj!AD668))</f>
        <v>0</v>
      </c>
      <c r="AE1728" s="119">
        <f>IF(tech_base!$T264&gt;AE$1465,"",(tech_base!$J264/tech_proj!AE388*0.086*$N$110)/(1-tech_proj!AE668))</f>
        <v>0</v>
      </c>
      <c r="AF1728" s="119">
        <f>IF(tech_base!$T264&gt;AF$1465,"",(tech_base!$J264/tech_proj!AF388*0.086*$N$110)/(1-tech_proj!AF668))</f>
        <v>0</v>
      </c>
      <c r="AG1728" s="119">
        <f>IF(tech_base!$T264&gt;AG$1465,"",(tech_base!$J264/tech_proj!AG388*0.086*$N$110)/(1-tech_proj!AG668))</f>
        <v>0</v>
      </c>
      <c r="AH1728" s="119">
        <f>IF(tech_base!$T264&gt;AH$1465,"",(tech_base!$J264/tech_proj!AH388*0.086*$N$110)/(1-tech_proj!AH668))</f>
        <v>0</v>
      </c>
      <c r="AI1728" s="119">
        <f>IF(tech_base!$T264&gt;AI$1465,"",(tech_base!$J264/tech_proj!AI388*0.086*$N$110)/(1-tech_proj!AI668))</f>
        <v>0</v>
      </c>
      <c r="AJ1728" s="119">
        <f>IF(tech_base!$T264&gt;AJ$1465,"",(tech_base!$J264/tech_proj!AJ388*0.086*$N$110)/(1-tech_proj!AJ668))</f>
        <v>0</v>
      </c>
      <c r="AK1728" s="119">
        <f>IF(tech_base!$T264&gt;AK$1465,"",(tech_base!$J264/tech_proj!AK388*0.086*$N$110)/(1-tech_proj!AK668))</f>
        <v>0</v>
      </c>
      <c r="AL1728" s="119">
        <f>IF(tech_base!$T264&gt;AL$1465,"",(tech_base!$J264/tech_proj!AL388*0.086*$N$110)/(1-tech_proj!AL668))</f>
        <v>0</v>
      </c>
      <c r="AM1728" s="119">
        <f>IF(tech_base!$T264&gt;AM$1465,"",(tech_base!$J264/tech_proj!AM388*0.086*$N$110)/(1-tech_proj!AM668))</f>
        <v>0</v>
      </c>
      <c r="AN1728" s="119">
        <f>IF(tech_base!$T264&gt;AN$1465,"",(tech_base!$J264/tech_proj!AN388*0.086*$N$110)/(1-tech_proj!AN668))</f>
        <v>0</v>
      </c>
      <c r="AO1728" s="119">
        <f>IF(tech_base!$T264&gt;AO$1465,"",(tech_base!$J264/tech_proj!AO388*0.086*$N$110)/(1-tech_proj!AO668))</f>
        <v>0</v>
      </c>
      <c r="AP1728" s="119">
        <f>IF(tech_base!$T264&gt;AP$1465,"",(tech_base!$J264/tech_proj!AP388*0.086*$N$110)/(1-tech_proj!AP668))</f>
        <v>0</v>
      </c>
      <c r="AQ1728" s="119">
        <f>IF(tech_base!$T264&gt;AQ$1465,"",(tech_base!$J264/tech_proj!AQ388*0.086*$N$110)/(1-tech_proj!AQ668))</f>
        <v>0</v>
      </c>
      <c r="AR1728" s="119">
        <f>IF(tech_base!$T264&gt;AR$1465,"",(tech_base!$J264/tech_proj!AR388*0.086*$N$110)/(1-tech_proj!AR668))</f>
        <v>0</v>
      </c>
      <c r="AS1728" s="119">
        <f>IF(tech_base!$T264&gt;AS$1465,"",(tech_base!$J264/tech_proj!AS388*0.086*$N$110)/(1-tech_proj!AS668))</f>
        <v>0</v>
      </c>
      <c r="AT1728" s="119">
        <f>IF(tech_base!$T264&gt;AT$1465,"",(tech_base!$J264/tech_proj!AT388*0.086*$N$110)/(1-tech_proj!AT668))</f>
        <v>0</v>
      </c>
      <c r="AU1728" s="119">
        <f>IF(tech_base!$T264&gt;AU$1465,"",(tech_base!$J264/tech_proj!AU388*0.086*$N$110)/(1-tech_proj!AU668))</f>
        <v>0</v>
      </c>
      <c r="AV1728" s="119">
        <f>IF(tech_base!$T264&gt;AV$1465,"",(tech_base!$J264/tech_proj!AV388*0.086*$N$110)/(1-tech_proj!AV668))</f>
        <v>0</v>
      </c>
      <c r="AW1728" s="119">
        <f>IF(tech_base!$T264&gt;AW$1465,"",(tech_base!$J264/tech_proj!AW388*0.086*$N$110)/(1-tech_proj!AW668))</f>
        <v>0</v>
      </c>
      <c r="AX1728" s="120">
        <f>IF(tech_base!$T264&gt;AX$1465,"",(tech_base!$J264/tech_proj!AX388*0.086*$N$110)/(1-tech_proj!AX668))</f>
        <v>0</v>
      </c>
    </row>
    <row r="1729" spans="1:50" x14ac:dyDescent="0.25">
      <c r="A1729" s="356"/>
      <c r="B1729" s="377"/>
      <c r="C1729" s="379"/>
      <c r="D1729" s="59" t="s">
        <v>20</v>
      </c>
      <c r="E1729" s="166" t="str">
        <f>A1726&amp;"/"&amp;B1726&amp;"/"&amp;C1726&amp;"/"&amp;D1729</f>
        <v>Hydro plants/Run-of-river/Electricity only/XS</v>
      </c>
      <c r="F1729" s="79" t="str">
        <f>A1726</f>
        <v>Hydro plants</v>
      </c>
      <c r="G1729" s="79" t="str">
        <f>B1726</f>
        <v>Run-of-river</v>
      </c>
      <c r="H1729" s="79" t="str">
        <f>C1726</f>
        <v>Electricity only</v>
      </c>
      <c r="I1729" s="167" t="str">
        <f t="shared" si="381"/>
        <v>XS</v>
      </c>
      <c r="J1729" s="125">
        <f>IF(tech_base!$T265&gt;J$1465,"",(tech_base!$J265/tech_proj!J389*0.086*$N$110)/(1-tech_proj!J669))</f>
        <v>0</v>
      </c>
      <c r="K1729" s="125">
        <f>IF(tech_base!$T265&gt;K$1465,"",(tech_base!$J265/tech_proj!K389*0.086*$N$110)/(1-tech_proj!K669))</f>
        <v>0</v>
      </c>
      <c r="L1729" s="125">
        <f>IF(tech_base!$T265&gt;L$1465,"",(tech_base!$J265/tech_proj!L389*0.086*$N$110)/(1-tech_proj!L669))</f>
        <v>0</v>
      </c>
      <c r="M1729" s="125">
        <f>IF(tech_base!$T265&gt;M$1465,"",(tech_base!$J265/tech_proj!M389*0.086*$N$110)/(1-tech_proj!M669))</f>
        <v>0</v>
      </c>
      <c r="N1729" s="125">
        <f>IF(tech_base!$T265&gt;N$1465,"",(tech_base!$J265/tech_proj!N389*0.086*$N$110)/(1-tech_proj!N669))</f>
        <v>0</v>
      </c>
      <c r="O1729" s="125">
        <f>IF(tech_base!$T265&gt;O$1465,"",(tech_base!$J265/tech_proj!O389*0.086*$N$110)/(1-tech_proj!O669))</f>
        <v>0</v>
      </c>
      <c r="P1729" s="125">
        <f>IF(tech_base!$T265&gt;P$1465,"",(tech_base!$J265/tech_proj!P389*0.086*$N$110)/(1-tech_proj!P669))</f>
        <v>0</v>
      </c>
      <c r="Q1729" s="125">
        <f>IF(tech_base!$T265&gt;Q$1465,"",(tech_base!$J265/tech_proj!Q389*0.086*$N$110)/(1-tech_proj!Q669))</f>
        <v>0</v>
      </c>
      <c r="R1729" s="125">
        <f>IF(tech_base!$T265&gt;R$1465,"",(tech_base!$J265/tech_proj!R389*0.086*$N$110)/(1-tech_proj!R669))</f>
        <v>0</v>
      </c>
      <c r="S1729" s="125">
        <f>IF(tech_base!$T265&gt;S$1465,"",(tech_base!$J265/tech_proj!S389*0.086*$N$110)/(1-tech_proj!S669))</f>
        <v>0</v>
      </c>
      <c r="T1729" s="125">
        <f>IF(tech_base!$T265&gt;T$1465,"",(tech_base!$J265/tech_proj!T389*0.086*$N$110)/(1-tech_proj!T669))</f>
        <v>0</v>
      </c>
      <c r="U1729" s="125">
        <f>IF(tech_base!$T265&gt;U$1465,"",(tech_base!$J265/tech_proj!U389*0.086*$N$110)/(1-tech_proj!U669))</f>
        <v>0</v>
      </c>
      <c r="V1729" s="125">
        <f>IF(tech_base!$T265&gt;V$1465,"",(tech_base!$J265/tech_proj!V389*0.086*$N$110)/(1-tech_proj!V669))</f>
        <v>0</v>
      </c>
      <c r="W1729" s="125">
        <f>IF(tech_base!$T265&gt;W$1465,"",(tech_base!$J265/tech_proj!W389*0.086*$N$110)/(1-tech_proj!W669))</f>
        <v>0</v>
      </c>
      <c r="X1729" s="125">
        <f>IF(tech_base!$T265&gt;X$1465,"",(tech_base!$J265/tech_proj!X389*0.086*$N$110)/(1-tech_proj!X669))</f>
        <v>0</v>
      </c>
      <c r="Y1729" s="125">
        <f>IF(tech_base!$T265&gt;Y$1465,"",(tech_base!$J265/tech_proj!Y389*0.086*$N$110)/(1-tech_proj!Y669))</f>
        <v>0</v>
      </c>
      <c r="Z1729" s="125">
        <f>IF(tech_base!$T265&gt;Z$1465,"",(tech_base!$J265/tech_proj!Z389*0.086*$N$110)/(1-tech_proj!Z669))</f>
        <v>0</v>
      </c>
      <c r="AA1729" s="125">
        <f>IF(tech_base!$T265&gt;AA$1465,"",(tech_base!$J265/tech_proj!AA389*0.086*$N$110)/(1-tech_proj!AA669))</f>
        <v>0</v>
      </c>
      <c r="AB1729" s="125">
        <f>IF(tech_base!$T265&gt;AB$1465,"",(tech_base!$J265/tech_proj!AB389*0.086*$N$110)/(1-tech_proj!AB669))</f>
        <v>0</v>
      </c>
      <c r="AC1729" s="125">
        <f>IF(tech_base!$T265&gt;AC$1465,"",(tech_base!$J265/tech_proj!AC389*0.086*$N$110)/(1-tech_proj!AC669))</f>
        <v>0</v>
      </c>
      <c r="AD1729" s="125">
        <f>IF(tech_base!$T265&gt;AD$1465,"",(tech_base!$J265/tech_proj!AD389*0.086*$N$110)/(1-tech_proj!AD669))</f>
        <v>0</v>
      </c>
      <c r="AE1729" s="125">
        <f>IF(tech_base!$T265&gt;AE$1465,"",(tech_base!$J265/tech_proj!AE389*0.086*$N$110)/(1-tech_proj!AE669))</f>
        <v>0</v>
      </c>
      <c r="AF1729" s="125">
        <f>IF(tech_base!$T265&gt;AF$1465,"",(tech_base!$J265/tech_proj!AF389*0.086*$N$110)/(1-tech_proj!AF669))</f>
        <v>0</v>
      </c>
      <c r="AG1729" s="125">
        <f>IF(tech_base!$T265&gt;AG$1465,"",(tech_base!$J265/tech_proj!AG389*0.086*$N$110)/(1-tech_proj!AG669))</f>
        <v>0</v>
      </c>
      <c r="AH1729" s="125">
        <f>IF(tech_base!$T265&gt;AH$1465,"",(tech_base!$J265/tech_proj!AH389*0.086*$N$110)/(1-tech_proj!AH669))</f>
        <v>0</v>
      </c>
      <c r="AI1729" s="125">
        <f>IF(tech_base!$T265&gt;AI$1465,"",(tech_base!$J265/tech_proj!AI389*0.086*$N$110)/(1-tech_proj!AI669))</f>
        <v>0</v>
      </c>
      <c r="AJ1729" s="125">
        <f>IF(tech_base!$T265&gt;AJ$1465,"",(tech_base!$J265/tech_proj!AJ389*0.086*$N$110)/(1-tech_proj!AJ669))</f>
        <v>0</v>
      </c>
      <c r="AK1729" s="125">
        <f>IF(tech_base!$T265&gt;AK$1465,"",(tech_base!$J265/tech_proj!AK389*0.086*$N$110)/(1-tech_proj!AK669))</f>
        <v>0</v>
      </c>
      <c r="AL1729" s="125">
        <f>IF(tech_base!$T265&gt;AL$1465,"",(tech_base!$J265/tech_proj!AL389*0.086*$N$110)/(1-tech_proj!AL669))</f>
        <v>0</v>
      </c>
      <c r="AM1729" s="125">
        <f>IF(tech_base!$T265&gt;AM$1465,"",(tech_base!$J265/tech_proj!AM389*0.086*$N$110)/(1-tech_proj!AM669))</f>
        <v>0</v>
      </c>
      <c r="AN1729" s="125">
        <f>IF(tech_base!$T265&gt;AN$1465,"",(tech_base!$J265/tech_proj!AN389*0.086*$N$110)/(1-tech_proj!AN669))</f>
        <v>0</v>
      </c>
      <c r="AO1729" s="125">
        <f>IF(tech_base!$T265&gt;AO$1465,"",(tech_base!$J265/tech_proj!AO389*0.086*$N$110)/(1-tech_proj!AO669))</f>
        <v>0</v>
      </c>
      <c r="AP1729" s="125">
        <f>IF(tech_base!$T265&gt;AP$1465,"",(tech_base!$J265/tech_proj!AP389*0.086*$N$110)/(1-tech_proj!AP669))</f>
        <v>0</v>
      </c>
      <c r="AQ1729" s="125">
        <f>IF(tech_base!$T265&gt;AQ$1465,"",(tech_base!$J265/tech_proj!AQ389*0.086*$N$110)/(1-tech_proj!AQ669))</f>
        <v>0</v>
      </c>
      <c r="AR1729" s="125">
        <f>IF(tech_base!$T265&gt;AR$1465,"",(tech_base!$J265/tech_proj!AR389*0.086*$N$110)/(1-tech_proj!AR669))</f>
        <v>0</v>
      </c>
      <c r="AS1729" s="125">
        <f>IF(tech_base!$T265&gt;AS$1465,"",(tech_base!$J265/tech_proj!AS389*0.086*$N$110)/(1-tech_proj!AS669))</f>
        <v>0</v>
      </c>
      <c r="AT1729" s="125">
        <f>IF(tech_base!$T265&gt;AT$1465,"",(tech_base!$J265/tech_proj!AT389*0.086*$N$110)/(1-tech_proj!AT669))</f>
        <v>0</v>
      </c>
      <c r="AU1729" s="125">
        <f>IF(tech_base!$T265&gt;AU$1465,"",(tech_base!$J265/tech_proj!AU389*0.086*$N$110)/(1-tech_proj!AU669))</f>
        <v>0</v>
      </c>
      <c r="AV1729" s="125">
        <f>IF(tech_base!$T265&gt;AV$1465,"",(tech_base!$J265/tech_proj!AV389*0.086*$N$110)/(1-tech_proj!AV669))</f>
        <v>0</v>
      </c>
      <c r="AW1729" s="125">
        <f>IF(tech_base!$T265&gt;AW$1465,"",(tech_base!$J265/tech_proj!AW389*0.086*$N$110)/(1-tech_proj!AW669))</f>
        <v>0</v>
      </c>
      <c r="AX1729" s="126">
        <f>IF(tech_base!$T265&gt;AX$1465,"",(tech_base!$J265/tech_proj!AX389*0.086*$N$110)/(1-tech_proj!AX669))</f>
        <v>0</v>
      </c>
    </row>
    <row r="1730" spans="1:50" x14ac:dyDescent="0.25">
      <c r="A1730" s="356"/>
      <c r="B1730" s="359" t="s">
        <v>45</v>
      </c>
      <c r="C1730" s="350" t="s">
        <v>6</v>
      </c>
      <c r="D1730" s="2" t="s">
        <v>7</v>
      </c>
      <c r="E1730" s="160" t="str">
        <f>A1726&amp;"/"&amp;B1730&amp;"/"&amp;C1730&amp;"/"&amp;D1730</f>
        <v>Hydro plants/Reservoirs (dams)/Electricity only/L</v>
      </c>
      <c r="F1730" s="76" t="str">
        <f>A1726</f>
        <v>Hydro plants</v>
      </c>
      <c r="G1730" s="76" t="str">
        <f>B1730</f>
        <v>Reservoirs (dams)</v>
      </c>
      <c r="H1730" s="76" t="str">
        <f>C1730</f>
        <v>Electricity only</v>
      </c>
      <c r="I1730" s="161" t="str">
        <f t="shared" si="381"/>
        <v>L</v>
      </c>
      <c r="J1730" s="119">
        <f>IF(tech_base!$T266&gt;J$1465,"",(tech_base!$J266/tech_proj!J390*0.086*$N$110)/(1-tech_proj!J670))</f>
        <v>0</v>
      </c>
      <c r="K1730" s="119">
        <f>IF(tech_base!$T266&gt;K$1465,"",(tech_base!$J266/tech_proj!K390*0.086*$N$110)/(1-tech_proj!K670))</f>
        <v>0</v>
      </c>
      <c r="L1730" s="119">
        <f>IF(tech_base!$T266&gt;L$1465,"",(tech_base!$J266/tech_proj!L390*0.086*$N$110)/(1-tech_proj!L670))</f>
        <v>0</v>
      </c>
      <c r="M1730" s="119">
        <f>IF(tech_base!$T266&gt;M$1465,"",(tech_base!$J266/tech_proj!M390*0.086*$N$110)/(1-tech_proj!M670))</f>
        <v>0</v>
      </c>
      <c r="N1730" s="119">
        <f>IF(tech_base!$T266&gt;N$1465,"",(tech_base!$J266/tech_proj!N390*0.086*$N$110)/(1-tech_proj!N670))</f>
        <v>0</v>
      </c>
      <c r="O1730" s="119">
        <f>IF(tech_base!$T266&gt;O$1465,"",(tech_base!$J266/tech_proj!O390*0.086*$N$110)/(1-tech_proj!O670))</f>
        <v>0</v>
      </c>
      <c r="P1730" s="119">
        <f>IF(tech_base!$T266&gt;P$1465,"",(tech_base!$J266/tech_proj!P390*0.086*$N$110)/(1-tech_proj!P670))</f>
        <v>0</v>
      </c>
      <c r="Q1730" s="119">
        <f>IF(tech_base!$T266&gt;Q$1465,"",(tech_base!$J266/tech_proj!Q390*0.086*$N$110)/(1-tech_proj!Q670))</f>
        <v>0</v>
      </c>
      <c r="R1730" s="119">
        <f>IF(tech_base!$T266&gt;R$1465,"",(tech_base!$J266/tech_proj!R390*0.086*$N$110)/(1-tech_proj!R670))</f>
        <v>0</v>
      </c>
      <c r="S1730" s="119">
        <f>IF(tech_base!$T266&gt;S$1465,"",(tech_base!$J266/tech_proj!S390*0.086*$N$110)/(1-tech_proj!S670))</f>
        <v>0</v>
      </c>
      <c r="T1730" s="119">
        <f>IF(tech_base!$T266&gt;T$1465,"",(tech_base!$J266/tech_proj!T390*0.086*$N$110)/(1-tech_proj!T670))</f>
        <v>0</v>
      </c>
      <c r="U1730" s="119">
        <f>IF(tech_base!$T266&gt;U$1465,"",(tech_base!$J266/tech_proj!U390*0.086*$N$110)/(1-tech_proj!U670))</f>
        <v>0</v>
      </c>
      <c r="V1730" s="119">
        <f>IF(tech_base!$T266&gt;V$1465,"",(tech_base!$J266/tech_proj!V390*0.086*$N$110)/(1-tech_proj!V670))</f>
        <v>0</v>
      </c>
      <c r="W1730" s="119">
        <f>IF(tech_base!$T266&gt;W$1465,"",(tech_base!$J266/tech_proj!W390*0.086*$N$110)/(1-tech_proj!W670))</f>
        <v>0</v>
      </c>
      <c r="X1730" s="119">
        <f>IF(tech_base!$T266&gt;X$1465,"",(tech_base!$J266/tech_proj!X390*0.086*$N$110)/(1-tech_proj!X670))</f>
        <v>0</v>
      </c>
      <c r="Y1730" s="119">
        <f>IF(tech_base!$T266&gt;Y$1465,"",(tech_base!$J266/tech_proj!Y390*0.086*$N$110)/(1-tech_proj!Y670))</f>
        <v>0</v>
      </c>
      <c r="Z1730" s="119">
        <f>IF(tech_base!$T266&gt;Z$1465,"",(tech_base!$J266/tech_proj!Z390*0.086*$N$110)/(1-tech_proj!Z670))</f>
        <v>0</v>
      </c>
      <c r="AA1730" s="119">
        <f>IF(tech_base!$T266&gt;AA$1465,"",(tech_base!$J266/tech_proj!AA390*0.086*$N$110)/(1-tech_proj!AA670))</f>
        <v>0</v>
      </c>
      <c r="AB1730" s="119">
        <f>IF(tech_base!$T266&gt;AB$1465,"",(tech_base!$J266/tech_proj!AB390*0.086*$N$110)/(1-tech_proj!AB670))</f>
        <v>0</v>
      </c>
      <c r="AC1730" s="119">
        <f>IF(tech_base!$T266&gt;AC$1465,"",(tech_base!$J266/tech_proj!AC390*0.086*$N$110)/(1-tech_proj!AC670))</f>
        <v>0</v>
      </c>
      <c r="AD1730" s="119">
        <f>IF(tech_base!$T266&gt;AD$1465,"",(tech_base!$J266/tech_proj!AD390*0.086*$N$110)/(1-tech_proj!AD670))</f>
        <v>0</v>
      </c>
      <c r="AE1730" s="119">
        <f>IF(tech_base!$T266&gt;AE$1465,"",(tech_base!$J266/tech_proj!AE390*0.086*$N$110)/(1-tech_proj!AE670))</f>
        <v>0</v>
      </c>
      <c r="AF1730" s="119">
        <f>IF(tech_base!$T266&gt;AF$1465,"",(tech_base!$J266/tech_proj!AF390*0.086*$N$110)/(1-tech_proj!AF670))</f>
        <v>0</v>
      </c>
      <c r="AG1730" s="119">
        <f>IF(tech_base!$T266&gt;AG$1465,"",(tech_base!$J266/tech_proj!AG390*0.086*$N$110)/(1-tech_proj!AG670))</f>
        <v>0</v>
      </c>
      <c r="AH1730" s="119">
        <f>IF(tech_base!$T266&gt;AH$1465,"",(tech_base!$J266/tech_proj!AH390*0.086*$N$110)/(1-tech_proj!AH670))</f>
        <v>0</v>
      </c>
      <c r="AI1730" s="119">
        <f>IF(tech_base!$T266&gt;AI$1465,"",(tech_base!$J266/tech_proj!AI390*0.086*$N$110)/(1-tech_proj!AI670))</f>
        <v>0</v>
      </c>
      <c r="AJ1730" s="119">
        <f>IF(tech_base!$T266&gt;AJ$1465,"",(tech_base!$J266/tech_proj!AJ390*0.086*$N$110)/(1-tech_proj!AJ670))</f>
        <v>0</v>
      </c>
      <c r="AK1730" s="119">
        <f>IF(tech_base!$T266&gt;AK$1465,"",(tech_base!$J266/tech_proj!AK390*0.086*$N$110)/(1-tech_proj!AK670))</f>
        <v>0</v>
      </c>
      <c r="AL1730" s="119">
        <f>IF(tech_base!$T266&gt;AL$1465,"",(tech_base!$J266/tech_proj!AL390*0.086*$N$110)/(1-tech_proj!AL670))</f>
        <v>0</v>
      </c>
      <c r="AM1730" s="119">
        <f>IF(tech_base!$T266&gt;AM$1465,"",(tech_base!$J266/tech_proj!AM390*0.086*$N$110)/(1-tech_proj!AM670))</f>
        <v>0</v>
      </c>
      <c r="AN1730" s="119">
        <f>IF(tech_base!$T266&gt;AN$1465,"",(tech_base!$J266/tech_proj!AN390*0.086*$N$110)/(1-tech_proj!AN670))</f>
        <v>0</v>
      </c>
      <c r="AO1730" s="119">
        <f>IF(tech_base!$T266&gt;AO$1465,"",(tech_base!$J266/tech_proj!AO390*0.086*$N$110)/(1-tech_proj!AO670))</f>
        <v>0</v>
      </c>
      <c r="AP1730" s="119">
        <f>IF(tech_base!$T266&gt;AP$1465,"",(tech_base!$J266/tech_proj!AP390*0.086*$N$110)/(1-tech_proj!AP670))</f>
        <v>0</v>
      </c>
      <c r="AQ1730" s="119">
        <f>IF(tech_base!$T266&gt;AQ$1465,"",(tech_base!$J266/tech_proj!AQ390*0.086*$N$110)/(1-tech_proj!AQ670))</f>
        <v>0</v>
      </c>
      <c r="AR1730" s="119">
        <f>IF(tech_base!$T266&gt;AR$1465,"",(tech_base!$J266/tech_proj!AR390*0.086*$N$110)/(1-tech_proj!AR670))</f>
        <v>0</v>
      </c>
      <c r="AS1730" s="119">
        <f>IF(tech_base!$T266&gt;AS$1465,"",(tech_base!$J266/tech_proj!AS390*0.086*$N$110)/(1-tech_proj!AS670))</f>
        <v>0</v>
      </c>
      <c r="AT1730" s="119">
        <f>IF(tech_base!$T266&gt;AT$1465,"",(tech_base!$J266/tech_proj!AT390*0.086*$N$110)/(1-tech_proj!AT670))</f>
        <v>0</v>
      </c>
      <c r="AU1730" s="119">
        <f>IF(tech_base!$T266&gt;AU$1465,"",(tech_base!$J266/tech_proj!AU390*0.086*$N$110)/(1-tech_proj!AU670))</f>
        <v>0</v>
      </c>
      <c r="AV1730" s="119">
        <f>IF(tech_base!$T266&gt;AV$1465,"",(tech_base!$J266/tech_proj!AV390*0.086*$N$110)/(1-tech_proj!AV670))</f>
        <v>0</v>
      </c>
      <c r="AW1730" s="119">
        <f>IF(tech_base!$T266&gt;AW$1465,"",(tech_base!$J266/tech_proj!AW390*0.086*$N$110)/(1-tech_proj!AW670))</f>
        <v>0</v>
      </c>
      <c r="AX1730" s="120">
        <f>IF(tech_base!$T266&gt;AX$1465,"",(tech_base!$J266/tech_proj!AX390*0.086*$N$110)/(1-tech_proj!AX670))</f>
        <v>0</v>
      </c>
    </row>
    <row r="1731" spans="1:50" x14ac:dyDescent="0.25">
      <c r="A1731" s="356"/>
      <c r="B1731" s="376"/>
      <c r="C1731" s="378"/>
      <c r="D1731" s="2" t="s">
        <v>8</v>
      </c>
      <c r="E1731" s="160" t="str">
        <f>A1726&amp;"/"&amp;B1730&amp;"/"&amp;C1730&amp;"/"&amp;D1731</f>
        <v>Hydro plants/Reservoirs (dams)/Electricity only/M</v>
      </c>
      <c r="F1731" s="76" t="str">
        <f>A1726</f>
        <v>Hydro plants</v>
      </c>
      <c r="G1731" s="76" t="str">
        <f>B1730</f>
        <v>Reservoirs (dams)</v>
      </c>
      <c r="H1731" s="76" t="str">
        <f>C1730</f>
        <v>Electricity only</v>
      </c>
      <c r="I1731" s="161" t="str">
        <f t="shared" si="381"/>
        <v>M</v>
      </c>
      <c r="J1731" s="119">
        <f>IF(tech_base!$T267&gt;J$1465,"",(tech_base!$J267/tech_proj!J391*0.086*$N$110)/(1-tech_proj!J671))</f>
        <v>0</v>
      </c>
      <c r="K1731" s="119">
        <f>IF(tech_base!$T267&gt;K$1465,"",(tech_base!$J267/tech_proj!K391*0.086*$N$110)/(1-tech_proj!K671))</f>
        <v>0</v>
      </c>
      <c r="L1731" s="119">
        <f>IF(tech_base!$T267&gt;L$1465,"",(tech_base!$J267/tech_proj!L391*0.086*$N$110)/(1-tech_proj!L671))</f>
        <v>0</v>
      </c>
      <c r="M1731" s="119">
        <f>IF(tech_base!$T267&gt;M$1465,"",(tech_base!$J267/tech_proj!M391*0.086*$N$110)/(1-tech_proj!M671))</f>
        <v>0</v>
      </c>
      <c r="N1731" s="119">
        <f>IF(tech_base!$T267&gt;N$1465,"",(tech_base!$J267/tech_proj!N391*0.086*$N$110)/(1-tech_proj!N671))</f>
        <v>0</v>
      </c>
      <c r="O1731" s="119">
        <f>IF(tech_base!$T267&gt;O$1465,"",(tech_base!$J267/tech_proj!O391*0.086*$N$110)/(1-tech_proj!O671))</f>
        <v>0</v>
      </c>
      <c r="P1731" s="119">
        <f>IF(tech_base!$T267&gt;P$1465,"",(tech_base!$J267/tech_proj!P391*0.086*$N$110)/(1-tech_proj!P671))</f>
        <v>0</v>
      </c>
      <c r="Q1731" s="119">
        <f>IF(tech_base!$T267&gt;Q$1465,"",(tech_base!$J267/tech_proj!Q391*0.086*$N$110)/(1-tech_proj!Q671))</f>
        <v>0</v>
      </c>
      <c r="R1731" s="119">
        <f>IF(tech_base!$T267&gt;R$1465,"",(tech_base!$J267/tech_proj!R391*0.086*$N$110)/(1-tech_proj!R671))</f>
        <v>0</v>
      </c>
      <c r="S1731" s="119">
        <f>IF(tech_base!$T267&gt;S$1465,"",(tech_base!$J267/tech_proj!S391*0.086*$N$110)/(1-tech_proj!S671))</f>
        <v>0</v>
      </c>
      <c r="T1731" s="119">
        <f>IF(tech_base!$T267&gt;T$1465,"",(tech_base!$J267/tech_proj!T391*0.086*$N$110)/(1-tech_proj!T671))</f>
        <v>0</v>
      </c>
      <c r="U1731" s="119">
        <f>IF(tech_base!$T267&gt;U$1465,"",(tech_base!$J267/tech_proj!U391*0.086*$N$110)/(1-tech_proj!U671))</f>
        <v>0</v>
      </c>
      <c r="V1731" s="119">
        <f>IF(tech_base!$T267&gt;V$1465,"",(tech_base!$J267/tech_proj!V391*0.086*$N$110)/(1-tech_proj!V671))</f>
        <v>0</v>
      </c>
      <c r="W1731" s="119">
        <f>IF(tech_base!$T267&gt;W$1465,"",(tech_base!$J267/tech_proj!W391*0.086*$N$110)/(1-tech_proj!W671))</f>
        <v>0</v>
      </c>
      <c r="X1731" s="119">
        <f>IF(tech_base!$T267&gt;X$1465,"",(tech_base!$J267/tech_proj!X391*0.086*$N$110)/(1-tech_proj!X671))</f>
        <v>0</v>
      </c>
      <c r="Y1731" s="119">
        <f>IF(tech_base!$T267&gt;Y$1465,"",(tech_base!$J267/tech_proj!Y391*0.086*$N$110)/(1-tech_proj!Y671))</f>
        <v>0</v>
      </c>
      <c r="Z1731" s="119">
        <f>IF(tech_base!$T267&gt;Z$1465,"",(tech_base!$J267/tech_proj!Z391*0.086*$N$110)/(1-tech_proj!Z671))</f>
        <v>0</v>
      </c>
      <c r="AA1731" s="119">
        <f>IF(tech_base!$T267&gt;AA$1465,"",(tech_base!$J267/tech_proj!AA391*0.086*$N$110)/(1-tech_proj!AA671))</f>
        <v>0</v>
      </c>
      <c r="AB1731" s="119">
        <f>IF(tech_base!$T267&gt;AB$1465,"",(tech_base!$J267/tech_proj!AB391*0.086*$N$110)/(1-tech_proj!AB671))</f>
        <v>0</v>
      </c>
      <c r="AC1731" s="119">
        <f>IF(tech_base!$T267&gt;AC$1465,"",(tech_base!$J267/tech_proj!AC391*0.086*$N$110)/(1-tech_proj!AC671))</f>
        <v>0</v>
      </c>
      <c r="AD1731" s="119">
        <f>IF(tech_base!$T267&gt;AD$1465,"",(tech_base!$J267/tech_proj!AD391*0.086*$N$110)/(1-tech_proj!AD671))</f>
        <v>0</v>
      </c>
      <c r="AE1731" s="119">
        <f>IF(tech_base!$T267&gt;AE$1465,"",(tech_base!$J267/tech_proj!AE391*0.086*$N$110)/(1-tech_proj!AE671))</f>
        <v>0</v>
      </c>
      <c r="AF1731" s="119">
        <f>IF(tech_base!$T267&gt;AF$1465,"",(tech_base!$J267/tech_proj!AF391*0.086*$N$110)/(1-tech_proj!AF671))</f>
        <v>0</v>
      </c>
      <c r="AG1731" s="119">
        <f>IF(tech_base!$T267&gt;AG$1465,"",(tech_base!$J267/tech_proj!AG391*0.086*$N$110)/(1-tech_proj!AG671))</f>
        <v>0</v>
      </c>
      <c r="AH1731" s="119">
        <f>IF(tech_base!$T267&gt;AH$1465,"",(tech_base!$J267/tech_proj!AH391*0.086*$N$110)/(1-tech_proj!AH671))</f>
        <v>0</v>
      </c>
      <c r="AI1731" s="119">
        <f>IF(tech_base!$T267&gt;AI$1465,"",(tech_base!$J267/tech_proj!AI391*0.086*$N$110)/(1-tech_proj!AI671))</f>
        <v>0</v>
      </c>
      <c r="AJ1731" s="119">
        <f>IF(tech_base!$T267&gt;AJ$1465,"",(tech_base!$J267/tech_proj!AJ391*0.086*$N$110)/(1-tech_proj!AJ671))</f>
        <v>0</v>
      </c>
      <c r="AK1731" s="119">
        <f>IF(tech_base!$T267&gt;AK$1465,"",(tech_base!$J267/tech_proj!AK391*0.086*$N$110)/(1-tech_proj!AK671))</f>
        <v>0</v>
      </c>
      <c r="AL1731" s="119">
        <f>IF(tech_base!$T267&gt;AL$1465,"",(tech_base!$J267/tech_proj!AL391*0.086*$N$110)/(1-tech_proj!AL671))</f>
        <v>0</v>
      </c>
      <c r="AM1731" s="119">
        <f>IF(tech_base!$T267&gt;AM$1465,"",(tech_base!$J267/tech_proj!AM391*0.086*$N$110)/(1-tech_proj!AM671))</f>
        <v>0</v>
      </c>
      <c r="AN1731" s="119">
        <f>IF(tech_base!$T267&gt;AN$1465,"",(tech_base!$J267/tech_proj!AN391*0.086*$N$110)/(1-tech_proj!AN671))</f>
        <v>0</v>
      </c>
      <c r="AO1731" s="119">
        <f>IF(tech_base!$T267&gt;AO$1465,"",(tech_base!$J267/tech_proj!AO391*0.086*$N$110)/(1-tech_proj!AO671))</f>
        <v>0</v>
      </c>
      <c r="AP1731" s="119">
        <f>IF(tech_base!$T267&gt;AP$1465,"",(tech_base!$J267/tech_proj!AP391*0.086*$N$110)/(1-tech_proj!AP671))</f>
        <v>0</v>
      </c>
      <c r="AQ1731" s="119">
        <f>IF(tech_base!$T267&gt;AQ$1465,"",(tech_base!$J267/tech_proj!AQ391*0.086*$N$110)/(1-tech_proj!AQ671))</f>
        <v>0</v>
      </c>
      <c r="AR1731" s="119">
        <f>IF(tech_base!$T267&gt;AR$1465,"",(tech_base!$J267/tech_proj!AR391*0.086*$N$110)/(1-tech_proj!AR671))</f>
        <v>0</v>
      </c>
      <c r="AS1731" s="119">
        <f>IF(tech_base!$T267&gt;AS$1465,"",(tech_base!$J267/tech_proj!AS391*0.086*$N$110)/(1-tech_proj!AS671))</f>
        <v>0</v>
      </c>
      <c r="AT1731" s="119">
        <f>IF(tech_base!$T267&gt;AT$1465,"",(tech_base!$J267/tech_proj!AT391*0.086*$N$110)/(1-tech_proj!AT671))</f>
        <v>0</v>
      </c>
      <c r="AU1731" s="119">
        <f>IF(tech_base!$T267&gt;AU$1465,"",(tech_base!$J267/tech_proj!AU391*0.086*$N$110)/(1-tech_proj!AU671))</f>
        <v>0</v>
      </c>
      <c r="AV1731" s="119">
        <f>IF(tech_base!$T267&gt;AV$1465,"",(tech_base!$J267/tech_proj!AV391*0.086*$N$110)/(1-tech_proj!AV671))</f>
        <v>0</v>
      </c>
      <c r="AW1731" s="119">
        <f>IF(tech_base!$T267&gt;AW$1465,"",(tech_base!$J267/tech_proj!AW391*0.086*$N$110)/(1-tech_proj!AW671))</f>
        <v>0</v>
      </c>
      <c r="AX1731" s="120">
        <f>IF(tech_base!$T267&gt;AX$1465,"",(tech_base!$J267/tech_proj!AX391*0.086*$N$110)/(1-tech_proj!AX671))</f>
        <v>0</v>
      </c>
    </row>
    <row r="1732" spans="1:50" x14ac:dyDescent="0.25">
      <c r="A1732" s="356"/>
      <c r="B1732" s="376"/>
      <c r="C1732" s="378"/>
      <c r="D1732" s="2" t="s">
        <v>10</v>
      </c>
      <c r="E1732" s="160" t="str">
        <f>A1726&amp;"/"&amp;B1730&amp;"/"&amp;C1730&amp;"/"&amp;D1732</f>
        <v>Hydro plants/Reservoirs (dams)/Electricity only/S</v>
      </c>
      <c r="F1732" s="76" t="str">
        <f>A1726</f>
        <v>Hydro plants</v>
      </c>
      <c r="G1732" s="76" t="str">
        <f>B1730</f>
        <v>Reservoirs (dams)</v>
      </c>
      <c r="H1732" s="76" t="str">
        <f>C1730</f>
        <v>Electricity only</v>
      </c>
      <c r="I1732" s="161" t="str">
        <f t="shared" si="381"/>
        <v>S</v>
      </c>
      <c r="J1732" s="119">
        <f>IF(tech_base!$T268&gt;J$1465,"",(tech_base!$J268/tech_proj!J392*0.086*$N$110)/(1-tech_proj!J672))</f>
        <v>0</v>
      </c>
      <c r="K1732" s="119">
        <f>IF(tech_base!$T268&gt;K$1465,"",(tech_base!$J268/tech_proj!K392*0.086*$N$110)/(1-tech_proj!K672))</f>
        <v>0</v>
      </c>
      <c r="L1732" s="119">
        <f>IF(tech_base!$T268&gt;L$1465,"",(tech_base!$J268/tech_proj!L392*0.086*$N$110)/(1-tech_proj!L672))</f>
        <v>0</v>
      </c>
      <c r="M1732" s="119">
        <f>IF(tech_base!$T268&gt;M$1465,"",(tech_base!$J268/tech_proj!M392*0.086*$N$110)/(1-tech_proj!M672))</f>
        <v>0</v>
      </c>
      <c r="N1732" s="119">
        <f>IF(tech_base!$T268&gt;N$1465,"",(tech_base!$J268/tech_proj!N392*0.086*$N$110)/(1-tech_proj!N672))</f>
        <v>0</v>
      </c>
      <c r="O1732" s="119">
        <f>IF(tech_base!$T268&gt;O$1465,"",(tech_base!$J268/tech_proj!O392*0.086*$N$110)/(1-tech_proj!O672))</f>
        <v>0</v>
      </c>
      <c r="P1732" s="119">
        <f>IF(tech_base!$T268&gt;P$1465,"",(tech_base!$J268/tech_proj!P392*0.086*$N$110)/(1-tech_proj!P672))</f>
        <v>0</v>
      </c>
      <c r="Q1732" s="119">
        <f>IF(tech_base!$T268&gt;Q$1465,"",(tech_base!$J268/tech_proj!Q392*0.086*$N$110)/(1-tech_proj!Q672))</f>
        <v>0</v>
      </c>
      <c r="R1732" s="119">
        <f>IF(tech_base!$T268&gt;R$1465,"",(tech_base!$J268/tech_proj!R392*0.086*$N$110)/(1-tech_proj!R672))</f>
        <v>0</v>
      </c>
      <c r="S1732" s="119">
        <f>IF(tech_base!$T268&gt;S$1465,"",(tech_base!$J268/tech_proj!S392*0.086*$N$110)/(1-tech_proj!S672))</f>
        <v>0</v>
      </c>
      <c r="T1732" s="119">
        <f>IF(tech_base!$T268&gt;T$1465,"",(tech_base!$J268/tech_proj!T392*0.086*$N$110)/(1-tech_proj!T672))</f>
        <v>0</v>
      </c>
      <c r="U1732" s="119">
        <f>IF(tech_base!$T268&gt;U$1465,"",(tech_base!$J268/tech_proj!U392*0.086*$N$110)/(1-tech_proj!U672))</f>
        <v>0</v>
      </c>
      <c r="V1732" s="119">
        <f>IF(tech_base!$T268&gt;V$1465,"",(tech_base!$J268/tech_proj!V392*0.086*$N$110)/(1-tech_proj!V672))</f>
        <v>0</v>
      </c>
      <c r="W1732" s="119">
        <f>IF(tech_base!$T268&gt;W$1465,"",(tech_base!$J268/tech_proj!W392*0.086*$N$110)/(1-tech_proj!W672))</f>
        <v>0</v>
      </c>
      <c r="X1732" s="119">
        <f>IF(tech_base!$T268&gt;X$1465,"",(tech_base!$J268/tech_proj!X392*0.086*$N$110)/(1-tech_proj!X672))</f>
        <v>0</v>
      </c>
      <c r="Y1732" s="119">
        <f>IF(tech_base!$T268&gt;Y$1465,"",(tech_base!$J268/tech_proj!Y392*0.086*$N$110)/(1-tech_proj!Y672))</f>
        <v>0</v>
      </c>
      <c r="Z1732" s="119">
        <f>IF(tech_base!$T268&gt;Z$1465,"",(tech_base!$J268/tech_proj!Z392*0.086*$N$110)/(1-tech_proj!Z672))</f>
        <v>0</v>
      </c>
      <c r="AA1732" s="119">
        <f>IF(tech_base!$T268&gt;AA$1465,"",(tech_base!$J268/tech_proj!AA392*0.086*$N$110)/(1-tech_proj!AA672))</f>
        <v>0</v>
      </c>
      <c r="AB1732" s="119">
        <f>IF(tech_base!$T268&gt;AB$1465,"",(tech_base!$J268/tech_proj!AB392*0.086*$N$110)/(1-tech_proj!AB672))</f>
        <v>0</v>
      </c>
      <c r="AC1732" s="119">
        <f>IF(tech_base!$T268&gt;AC$1465,"",(tech_base!$J268/tech_proj!AC392*0.086*$N$110)/(1-tech_proj!AC672))</f>
        <v>0</v>
      </c>
      <c r="AD1732" s="119">
        <f>IF(tech_base!$T268&gt;AD$1465,"",(tech_base!$J268/tech_proj!AD392*0.086*$N$110)/(1-tech_proj!AD672))</f>
        <v>0</v>
      </c>
      <c r="AE1732" s="119">
        <f>IF(tech_base!$T268&gt;AE$1465,"",(tech_base!$J268/tech_proj!AE392*0.086*$N$110)/(1-tech_proj!AE672))</f>
        <v>0</v>
      </c>
      <c r="AF1732" s="119">
        <f>IF(tech_base!$T268&gt;AF$1465,"",(tech_base!$J268/tech_proj!AF392*0.086*$N$110)/(1-tech_proj!AF672))</f>
        <v>0</v>
      </c>
      <c r="AG1732" s="119">
        <f>IF(tech_base!$T268&gt;AG$1465,"",(tech_base!$J268/tech_proj!AG392*0.086*$N$110)/(1-tech_proj!AG672))</f>
        <v>0</v>
      </c>
      <c r="AH1732" s="119">
        <f>IF(tech_base!$T268&gt;AH$1465,"",(tech_base!$J268/tech_proj!AH392*0.086*$N$110)/(1-tech_proj!AH672))</f>
        <v>0</v>
      </c>
      <c r="AI1732" s="119">
        <f>IF(tech_base!$T268&gt;AI$1465,"",(tech_base!$J268/tech_proj!AI392*0.086*$N$110)/(1-tech_proj!AI672))</f>
        <v>0</v>
      </c>
      <c r="AJ1732" s="119">
        <f>IF(tech_base!$T268&gt;AJ$1465,"",(tech_base!$J268/tech_proj!AJ392*0.086*$N$110)/(1-tech_proj!AJ672))</f>
        <v>0</v>
      </c>
      <c r="AK1732" s="119">
        <f>IF(tech_base!$T268&gt;AK$1465,"",(tech_base!$J268/tech_proj!AK392*0.086*$N$110)/(1-tech_proj!AK672))</f>
        <v>0</v>
      </c>
      <c r="AL1732" s="119">
        <f>IF(tech_base!$T268&gt;AL$1465,"",(tech_base!$J268/tech_proj!AL392*0.086*$N$110)/(1-tech_proj!AL672))</f>
        <v>0</v>
      </c>
      <c r="AM1732" s="119">
        <f>IF(tech_base!$T268&gt;AM$1465,"",(tech_base!$J268/tech_proj!AM392*0.086*$N$110)/(1-tech_proj!AM672))</f>
        <v>0</v>
      </c>
      <c r="AN1732" s="119">
        <f>IF(tech_base!$T268&gt;AN$1465,"",(tech_base!$J268/tech_proj!AN392*0.086*$N$110)/(1-tech_proj!AN672))</f>
        <v>0</v>
      </c>
      <c r="AO1732" s="119">
        <f>IF(tech_base!$T268&gt;AO$1465,"",(tech_base!$J268/tech_proj!AO392*0.086*$N$110)/(1-tech_proj!AO672))</f>
        <v>0</v>
      </c>
      <c r="AP1732" s="119">
        <f>IF(tech_base!$T268&gt;AP$1465,"",(tech_base!$J268/tech_proj!AP392*0.086*$N$110)/(1-tech_proj!AP672))</f>
        <v>0</v>
      </c>
      <c r="AQ1732" s="119">
        <f>IF(tech_base!$T268&gt;AQ$1465,"",(tech_base!$J268/tech_proj!AQ392*0.086*$N$110)/(1-tech_proj!AQ672))</f>
        <v>0</v>
      </c>
      <c r="AR1732" s="119">
        <f>IF(tech_base!$T268&gt;AR$1465,"",(tech_base!$J268/tech_proj!AR392*0.086*$N$110)/(1-tech_proj!AR672))</f>
        <v>0</v>
      </c>
      <c r="AS1732" s="119">
        <f>IF(tech_base!$T268&gt;AS$1465,"",(tech_base!$J268/tech_proj!AS392*0.086*$N$110)/(1-tech_proj!AS672))</f>
        <v>0</v>
      </c>
      <c r="AT1732" s="119">
        <f>IF(tech_base!$T268&gt;AT$1465,"",(tech_base!$J268/tech_proj!AT392*0.086*$N$110)/(1-tech_proj!AT672))</f>
        <v>0</v>
      </c>
      <c r="AU1732" s="119">
        <f>IF(tech_base!$T268&gt;AU$1465,"",(tech_base!$J268/tech_proj!AU392*0.086*$N$110)/(1-tech_proj!AU672))</f>
        <v>0</v>
      </c>
      <c r="AV1732" s="119">
        <f>IF(tech_base!$T268&gt;AV$1465,"",(tech_base!$J268/tech_proj!AV392*0.086*$N$110)/(1-tech_proj!AV672))</f>
        <v>0</v>
      </c>
      <c r="AW1732" s="119">
        <f>IF(tech_base!$T268&gt;AW$1465,"",(tech_base!$J268/tech_proj!AW392*0.086*$N$110)/(1-tech_proj!AW672))</f>
        <v>0</v>
      </c>
      <c r="AX1732" s="120">
        <f>IF(tech_base!$T268&gt;AX$1465,"",(tech_base!$J268/tech_proj!AX392*0.086*$N$110)/(1-tech_proj!AX672))</f>
        <v>0</v>
      </c>
    </row>
    <row r="1733" spans="1:50" x14ac:dyDescent="0.25">
      <c r="A1733" s="357"/>
      <c r="B1733" s="380"/>
      <c r="C1733" s="381"/>
      <c r="D1733" s="4" t="s">
        <v>20</v>
      </c>
      <c r="E1733" s="168" t="str">
        <f>A1726&amp;"/"&amp;B1730&amp;"/"&amp;C1730&amp;"/"&amp;D1733</f>
        <v>Hydro plants/Reservoirs (dams)/Electricity only/XS</v>
      </c>
      <c r="F1733" s="80" t="str">
        <f>A1726</f>
        <v>Hydro plants</v>
      </c>
      <c r="G1733" s="80" t="str">
        <f>B1730</f>
        <v>Reservoirs (dams)</v>
      </c>
      <c r="H1733" s="80" t="str">
        <f>C1730</f>
        <v>Electricity only</v>
      </c>
      <c r="I1733" s="169" t="str">
        <f t="shared" si="381"/>
        <v>XS</v>
      </c>
      <c r="J1733" s="127">
        <f>IF(tech_base!$T269&gt;J$1465,"",(tech_base!$J269/tech_proj!J393*0.086*$N$110)/(1-tech_proj!J673))</f>
        <v>0</v>
      </c>
      <c r="K1733" s="127">
        <f>IF(tech_base!$T269&gt;K$1465,"",(tech_base!$J269/tech_proj!K393*0.086*$N$110)/(1-tech_proj!K673))</f>
        <v>0</v>
      </c>
      <c r="L1733" s="127">
        <f>IF(tech_base!$T269&gt;L$1465,"",(tech_base!$J269/tech_proj!L393*0.086*$N$110)/(1-tech_proj!L673))</f>
        <v>0</v>
      </c>
      <c r="M1733" s="127">
        <f>IF(tech_base!$T269&gt;M$1465,"",(tech_base!$J269/tech_proj!M393*0.086*$N$110)/(1-tech_proj!M673))</f>
        <v>0</v>
      </c>
      <c r="N1733" s="127">
        <f>IF(tech_base!$T269&gt;N$1465,"",(tech_base!$J269/tech_proj!N393*0.086*$N$110)/(1-tech_proj!N673))</f>
        <v>0</v>
      </c>
      <c r="O1733" s="127">
        <f>IF(tech_base!$T269&gt;O$1465,"",(tech_base!$J269/tech_proj!O393*0.086*$N$110)/(1-tech_proj!O673))</f>
        <v>0</v>
      </c>
      <c r="P1733" s="127">
        <f>IF(tech_base!$T269&gt;P$1465,"",(tech_base!$J269/tech_proj!P393*0.086*$N$110)/(1-tech_proj!P673))</f>
        <v>0</v>
      </c>
      <c r="Q1733" s="127">
        <f>IF(tech_base!$T269&gt;Q$1465,"",(tech_base!$J269/tech_proj!Q393*0.086*$N$110)/(1-tech_proj!Q673))</f>
        <v>0</v>
      </c>
      <c r="R1733" s="127">
        <f>IF(tech_base!$T269&gt;R$1465,"",(tech_base!$J269/tech_proj!R393*0.086*$N$110)/(1-tech_proj!R673))</f>
        <v>0</v>
      </c>
      <c r="S1733" s="127">
        <f>IF(tech_base!$T269&gt;S$1465,"",(tech_base!$J269/tech_proj!S393*0.086*$N$110)/(1-tech_proj!S673))</f>
        <v>0</v>
      </c>
      <c r="T1733" s="127">
        <f>IF(tech_base!$T269&gt;T$1465,"",(tech_base!$J269/tech_proj!T393*0.086*$N$110)/(1-tech_proj!T673))</f>
        <v>0</v>
      </c>
      <c r="U1733" s="127">
        <f>IF(tech_base!$T269&gt;U$1465,"",(tech_base!$J269/tech_proj!U393*0.086*$N$110)/(1-tech_proj!U673))</f>
        <v>0</v>
      </c>
      <c r="V1733" s="127">
        <f>IF(tech_base!$T269&gt;V$1465,"",(tech_base!$J269/tech_proj!V393*0.086*$N$110)/(1-tech_proj!V673))</f>
        <v>0</v>
      </c>
      <c r="W1733" s="127">
        <f>IF(tech_base!$T269&gt;W$1465,"",(tech_base!$J269/tech_proj!W393*0.086*$N$110)/(1-tech_proj!W673))</f>
        <v>0</v>
      </c>
      <c r="X1733" s="127">
        <f>IF(tech_base!$T269&gt;X$1465,"",(tech_base!$J269/tech_proj!X393*0.086*$N$110)/(1-tech_proj!X673))</f>
        <v>0</v>
      </c>
      <c r="Y1733" s="127">
        <f>IF(tech_base!$T269&gt;Y$1465,"",(tech_base!$J269/tech_proj!Y393*0.086*$N$110)/(1-tech_proj!Y673))</f>
        <v>0</v>
      </c>
      <c r="Z1733" s="127">
        <f>IF(tech_base!$T269&gt;Z$1465,"",(tech_base!$J269/tech_proj!Z393*0.086*$N$110)/(1-tech_proj!Z673))</f>
        <v>0</v>
      </c>
      <c r="AA1733" s="127">
        <f>IF(tech_base!$T269&gt;AA$1465,"",(tech_base!$J269/tech_proj!AA393*0.086*$N$110)/(1-tech_proj!AA673))</f>
        <v>0</v>
      </c>
      <c r="AB1733" s="127">
        <f>IF(tech_base!$T269&gt;AB$1465,"",(tech_base!$J269/tech_proj!AB393*0.086*$N$110)/(1-tech_proj!AB673))</f>
        <v>0</v>
      </c>
      <c r="AC1733" s="127">
        <f>IF(tech_base!$T269&gt;AC$1465,"",(tech_base!$J269/tech_proj!AC393*0.086*$N$110)/(1-tech_proj!AC673))</f>
        <v>0</v>
      </c>
      <c r="AD1733" s="127">
        <f>IF(tech_base!$T269&gt;AD$1465,"",(tech_base!$J269/tech_proj!AD393*0.086*$N$110)/(1-tech_proj!AD673))</f>
        <v>0</v>
      </c>
      <c r="AE1733" s="127">
        <f>IF(tech_base!$T269&gt;AE$1465,"",(tech_base!$J269/tech_proj!AE393*0.086*$N$110)/(1-tech_proj!AE673))</f>
        <v>0</v>
      </c>
      <c r="AF1733" s="127">
        <f>IF(tech_base!$T269&gt;AF$1465,"",(tech_base!$J269/tech_proj!AF393*0.086*$N$110)/(1-tech_proj!AF673))</f>
        <v>0</v>
      </c>
      <c r="AG1733" s="127">
        <f>IF(tech_base!$T269&gt;AG$1465,"",(tech_base!$J269/tech_proj!AG393*0.086*$N$110)/(1-tech_proj!AG673))</f>
        <v>0</v>
      </c>
      <c r="AH1733" s="127">
        <f>IF(tech_base!$T269&gt;AH$1465,"",(tech_base!$J269/tech_proj!AH393*0.086*$N$110)/(1-tech_proj!AH673))</f>
        <v>0</v>
      </c>
      <c r="AI1733" s="127">
        <f>IF(tech_base!$T269&gt;AI$1465,"",(tech_base!$J269/tech_proj!AI393*0.086*$N$110)/(1-tech_proj!AI673))</f>
        <v>0</v>
      </c>
      <c r="AJ1733" s="127">
        <f>IF(tech_base!$T269&gt;AJ$1465,"",(tech_base!$J269/tech_proj!AJ393*0.086*$N$110)/(1-tech_proj!AJ673))</f>
        <v>0</v>
      </c>
      <c r="AK1733" s="127">
        <f>IF(tech_base!$T269&gt;AK$1465,"",(tech_base!$J269/tech_proj!AK393*0.086*$N$110)/(1-tech_proj!AK673))</f>
        <v>0</v>
      </c>
      <c r="AL1733" s="127">
        <f>IF(tech_base!$T269&gt;AL$1465,"",(tech_base!$J269/tech_proj!AL393*0.086*$N$110)/(1-tech_proj!AL673))</f>
        <v>0</v>
      </c>
      <c r="AM1733" s="127">
        <f>IF(tech_base!$T269&gt;AM$1465,"",(tech_base!$J269/tech_proj!AM393*0.086*$N$110)/(1-tech_proj!AM673))</f>
        <v>0</v>
      </c>
      <c r="AN1733" s="127">
        <f>IF(tech_base!$T269&gt;AN$1465,"",(tech_base!$J269/tech_proj!AN393*0.086*$N$110)/(1-tech_proj!AN673))</f>
        <v>0</v>
      </c>
      <c r="AO1733" s="127">
        <f>IF(tech_base!$T269&gt;AO$1465,"",(tech_base!$J269/tech_proj!AO393*0.086*$N$110)/(1-tech_proj!AO673))</f>
        <v>0</v>
      </c>
      <c r="AP1733" s="127">
        <f>IF(tech_base!$T269&gt;AP$1465,"",(tech_base!$J269/tech_proj!AP393*0.086*$N$110)/(1-tech_proj!AP673))</f>
        <v>0</v>
      </c>
      <c r="AQ1733" s="127">
        <f>IF(tech_base!$T269&gt;AQ$1465,"",(tech_base!$J269/tech_proj!AQ393*0.086*$N$110)/(1-tech_proj!AQ673))</f>
        <v>0</v>
      </c>
      <c r="AR1733" s="127">
        <f>IF(tech_base!$T269&gt;AR$1465,"",(tech_base!$J269/tech_proj!AR393*0.086*$N$110)/(1-tech_proj!AR673))</f>
        <v>0</v>
      </c>
      <c r="AS1733" s="127">
        <f>IF(tech_base!$T269&gt;AS$1465,"",(tech_base!$J269/tech_proj!AS393*0.086*$N$110)/(1-tech_proj!AS673))</f>
        <v>0</v>
      </c>
      <c r="AT1733" s="127">
        <f>IF(tech_base!$T269&gt;AT$1465,"",(tech_base!$J269/tech_proj!AT393*0.086*$N$110)/(1-tech_proj!AT673))</f>
        <v>0</v>
      </c>
      <c r="AU1733" s="127">
        <f>IF(tech_base!$T269&gt;AU$1465,"",(tech_base!$J269/tech_proj!AU393*0.086*$N$110)/(1-tech_proj!AU673))</f>
        <v>0</v>
      </c>
      <c r="AV1733" s="127">
        <f>IF(tech_base!$T269&gt;AV$1465,"",(tech_base!$J269/tech_proj!AV393*0.086*$N$110)/(1-tech_proj!AV673))</f>
        <v>0</v>
      </c>
      <c r="AW1733" s="127">
        <f>IF(tech_base!$T269&gt;AW$1465,"",(tech_base!$J269/tech_proj!AW393*0.086*$N$110)/(1-tech_proj!AW673))</f>
        <v>0</v>
      </c>
      <c r="AX1733" s="128">
        <f>IF(tech_base!$T269&gt;AX$1465,"",(tech_base!$J269/tech_proj!AX393*0.086*$N$110)/(1-tech_proj!AX673))</f>
        <v>0</v>
      </c>
    </row>
    <row r="1734" spans="1:50" x14ac:dyDescent="0.25">
      <c r="A1734" s="356" t="s">
        <v>46</v>
      </c>
      <c r="B1734" s="359" t="s">
        <v>46</v>
      </c>
      <c r="C1734" s="353" t="s">
        <v>6</v>
      </c>
      <c r="D1734" s="2" t="s">
        <v>7</v>
      </c>
      <c r="E1734" s="160" t="str">
        <f>A1734&amp;"/"&amp;B1734&amp;"/"&amp;C1734&amp;"/"&amp;D1734</f>
        <v>Pump storage/Pump storage/Electricity only/L</v>
      </c>
      <c r="F1734" s="76" t="str">
        <f>A1734</f>
        <v>Pump storage</v>
      </c>
      <c r="G1734" s="76" t="str">
        <f>B1734</f>
        <v>Pump storage</v>
      </c>
      <c r="H1734" s="76" t="str">
        <f>C1734</f>
        <v>Electricity only</v>
      </c>
      <c r="I1734" s="161" t="str">
        <f t="shared" si="381"/>
        <v>L</v>
      </c>
      <c r="J1734" s="119">
        <f>IF(tech_base!$T270&gt;J$1465,"",(tech_base!$J270/tech_proj!J394*0.086*$N$110)/(1-tech_proj!J674))</f>
        <v>0</v>
      </c>
      <c r="K1734" s="119">
        <f>IF(tech_base!$T270&gt;K$1465,"",(tech_base!$J270/tech_proj!K394*0.086*$N$110)/(1-tech_proj!K674))</f>
        <v>0</v>
      </c>
      <c r="L1734" s="119">
        <f>IF(tech_base!$T270&gt;L$1465,"",(tech_base!$J270/tech_proj!L394*0.086*$N$110)/(1-tech_proj!L674))</f>
        <v>0</v>
      </c>
      <c r="M1734" s="119">
        <f>IF(tech_base!$T270&gt;M$1465,"",(tech_base!$J270/tech_proj!M394*0.086*$N$110)/(1-tech_proj!M674))</f>
        <v>0</v>
      </c>
      <c r="N1734" s="119">
        <f>IF(tech_base!$T270&gt;N$1465,"",(tech_base!$J270/tech_proj!N394*0.086*$N$110)/(1-tech_proj!N674))</f>
        <v>0</v>
      </c>
      <c r="O1734" s="119">
        <f>IF(tech_base!$T270&gt;O$1465,"",(tech_base!$J270/tech_proj!O394*0.086*$N$110)/(1-tech_proj!O674))</f>
        <v>0</v>
      </c>
      <c r="P1734" s="119">
        <f>IF(tech_base!$T270&gt;P$1465,"",(tech_base!$J270/tech_proj!P394*0.086*$N$110)/(1-tech_proj!P674))</f>
        <v>0</v>
      </c>
      <c r="Q1734" s="119">
        <f>IF(tech_base!$T270&gt;Q$1465,"",(tech_base!$J270/tech_proj!Q394*0.086*$N$110)/(1-tech_proj!Q674))</f>
        <v>0</v>
      </c>
      <c r="R1734" s="119">
        <f>IF(tech_base!$T270&gt;R$1465,"",(tech_base!$J270/tech_proj!R394*0.086*$N$110)/(1-tech_proj!R674))</f>
        <v>0</v>
      </c>
      <c r="S1734" s="119">
        <f>IF(tech_base!$T270&gt;S$1465,"",(tech_base!$J270/tech_proj!S394*0.086*$N$110)/(1-tech_proj!S674))</f>
        <v>0</v>
      </c>
      <c r="T1734" s="119">
        <f>IF(tech_base!$T270&gt;T$1465,"",(tech_base!$J270/tech_proj!T394*0.086*$N$110)/(1-tech_proj!T674))</f>
        <v>0</v>
      </c>
      <c r="U1734" s="119">
        <f>IF(tech_base!$T270&gt;U$1465,"",(tech_base!$J270/tech_proj!U394*0.086*$N$110)/(1-tech_proj!U674))</f>
        <v>0</v>
      </c>
      <c r="V1734" s="119">
        <f>IF(tech_base!$T270&gt;V$1465,"",(tech_base!$J270/tech_proj!V394*0.086*$N$110)/(1-tech_proj!V674))</f>
        <v>0</v>
      </c>
      <c r="W1734" s="119">
        <f>IF(tech_base!$T270&gt;W$1465,"",(tech_base!$J270/tech_proj!W394*0.086*$N$110)/(1-tech_proj!W674))</f>
        <v>0</v>
      </c>
      <c r="X1734" s="119">
        <f>IF(tech_base!$T270&gt;X$1465,"",(tech_base!$J270/tech_proj!X394*0.086*$N$110)/(1-tech_proj!X674))</f>
        <v>0</v>
      </c>
      <c r="Y1734" s="119">
        <f>IF(tech_base!$T270&gt;Y$1465,"",(tech_base!$J270/tech_proj!Y394*0.086*$N$110)/(1-tech_proj!Y674))</f>
        <v>0</v>
      </c>
      <c r="Z1734" s="119">
        <f>IF(tech_base!$T270&gt;Z$1465,"",(tech_base!$J270/tech_proj!Z394*0.086*$N$110)/(1-tech_proj!Z674))</f>
        <v>0</v>
      </c>
      <c r="AA1734" s="119">
        <f>IF(tech_base!$T270&gt;AA$1465,"",(tech_base!$J270/tech_proj!AA394*0.086*$N$110)/(1-tech_proj!AA674))</f>
        <v>0</v>
      </c>
      <c r="AB1734" s="119">
        <f>IF(tech_base!$T270&gt;AB$1465,"",(tech_base!$J270/tech_proj!AB394*0.086*$N$110)/(1-tech_proj!AB674))</f>
        <v>0</v>
      </c>
      <c r="AC1734" s="119">
        <f>IF(tech_base!$T270&gt;AC$1465,"",(tech_base!$J270/tech_proj!AC394*0.086*$N$110)/(1-tech_proj!AC674))</f>
        <v>0</v>
      </c>
      <c r="AD1734" s="119">
        <f>IF(tech_base!$T270&gt;AD$1465,"",(tech_base!$J270/tech_proj!AD394*0.086*$N$110)/(1-tech_proj!AD674))</f>
        <v>0</v>
      </c>
      <c r="AE1734" s="119">
        <f>IF(tech_base!$T270&gt;AE$1465,"",(tech_base!$J270/tech_proj!AE394*0.086*$N$110)/(1-tech_proj!AE674))</f>
        <v>0</v>
      </c>
      <c r="AF1734" s="119">
        <f>IF(tech_base!$T270&gt;AF$1465,"",(tech_base!$J270/tech_proj!AF394*0.086*$N$110)/(1-tech_proj!AF674))</f>
        <v>0</v>
      </c>
      <c r="AG1734" s="119">
        <f>IF(tech_base!$T270&gt;AG$1465,"",(tech_base!$J270/tech_proj!AG394*0.086*$N$110)/(1-tech_proj!AG674))</f>
        <v>0</v>
      </c>
      <c r="AH1734" s="119">
        <f>IF(tech_base!$T270&gt;AH$1465,"",(tech_base!$J270/tech_proj!AH394*0.086*$N$110)/(1-tech_proj!AH674))</f>
        <v>0</v>
      </c>
      <c r="AI1734" s="119">
        <f>IF(tech_base!$T270&gt;AI$1465,"",(tech_base!$J270/tech_proj!AI394*0.086*$N$110)/(1-tech_proj!AI674))</f>
        <v>0</v>
      </c>
      <c r="AJ1734" s="119">
        <f>IF(tech_base!$T270&gt;AJ$1465,"",(tech_base!$J270/tech_proj!AJ394*0.086*$N$110)/(1-tech_proj!AJ674))</f>
        <v>0</v>
      </c>
      <c r="AK1734" s="119">
        <f>IF(tech_base!$T270&gt;AK$1465,"",(tech_base!$J270/tech_proj!AK394*0.086*$N$110)/(1-tech_proj!AK674))</f>
        <v>0</v>
      </c>
      <c r="AL1734" s="119">
        <f>IF(tech_base!$T270&gt;AL$1465,"",(tech_base!$J270/tech_proj!AL394*0.086*$N$110)/(1-tech_proj!AL674))</f>
        <v>0</v>
      </c>
      <c r="AM1734" s="119">
        <f>IF(tech_base!$T270&gt;AM$1465,"",(tech_base!$J270/tech_proj!AM394*0.086*$N$110)/(1-tech_proj!AM674))</f>
        <v>0</v>
      </c>
      <c r="AN1734" s="119">
        <f>IF(tech_base!$T270&gt;AN$1465,"",(tech_base!$J270/tech_proj!AN394*0.086*$N$110)/(1-tech_proj!AN674))</f>
        <v>0</v>
      </c>
      <c r="AO1734" s="119">
        <f>IF(tech_base!$T270&gt;AO$1465,"",(tech_base!$J270/tech_proj!AO394*0.086*$N$110)/(1-tech_proj!AO674))</f>
        <v>0</v>
      </c>
      <c r="AP1734" s="119">
        <f>IF(tech_base!$T270&gt;AP$1465,"",(tech_base!$J270/tech_proj!AP394*0.086*$N$110)/(1-tech_proj!AP674))</f>
        <v>0</v>
      </c>
      <c r="AQ1734" s="119">
        <f>IF(tech_base!$T270&gt;AQ$1465,"",(tech_base!$J270/tech_proj!AQ394*0.086*$N$110)/(1-tech_proj!AQ674))</f>
        <v>0</v>
      </c>
      <c r="AR1734" s="119">
        <f>IF(tech_base!$T270&gt;AR$1465,"",(tech_base!$J270/tech_proj!AR394*0.086*$N$110)/(1-tech_proj!AR674))</f>
        <v>0</v>
      </c>
      <c r="AS1734" s="119">
        <f>IF(tech_base!$T270&gt;AS$1465,"",(tech_base!$J270/tech_proj!AS394*0.086*$N$110)/(1-tech_proj!AS674))</f>
        <v>0</v>
      </c>
      <c r="AT1734" s="119">
        <f>IF(tech_base!$T270&gt;AT$1465,"",(tech_base!$J270/tech_proj!AT394*0.086*$N$110)/(1-tech_proj!AT674))</f>
        <v>0</v>
      </c>
      <c r="AU1734" s="119">
        <f>IF(tech_base!$T270&gt;AU$1465,"",(tech_base!$J270/tech_proj!AU394*0.086*$N$110)/(1-tech_proj!AU674))</f>
        <v>0</v>
      </c>
      <c r="AV1734" s="119">
        <f>IF(tech_base!$T270&gt;AV$1465,"",(tech_base!$J270/tech_proj!AV394*0.086*$N$110)/(1-tech_proj!AV674))</f>
        <v>0</v>
      </c>
      <c r="AW1734" s="119">
        <f>IF(tech_base!$T270&gt;AW$1465,"",(tech_base!$J270/tech_proj!AW394*0.086*$N$110)/(1-tech_proj!AW674))</f>
        <v>0</v>
      </c>
      <c r="AX1734" s="120">
        <f>IF(tech_base!$T270&gt;AX$1465,"",(tech_base!$J270/tech_proj!AX394*0.086*$N$110)/(1-tech_proj!AX674))</f>
        <v>0</v>
      </c>
    </row>
    <row r="1735" spans="1:50" x14ac:dyDescent="0.25">
      <c r="A1735" s="382"/>
      <c r="B1735" s="376"/>
      <c r="C1735" s="378"/>
      <c r="D1735" s="2" t="s">
        <v>8</v>
      </c>
      <c r="E1735" s="160" t="str">
        <f>A1734&amp;"/"&amp;B1734&amp;"/"&amp;C1734&amp;"/"&amp;D1735</f>
        <v>Pump storage/Pump storage/Electricity only/M</v>
      </c>
      <c r="F1735" s="76" t="str">
        <f>A1734</f>
        <v>Pump storage</v>
      </c>
      <c r="G1735" s="76" t="str">
        <f>B1734</f>
        <v>Pump storage</v>
      </c>
      <c r="H1735" s="76" t="str">
        <f>C1734</f>
        <v>Electricity only</v>
      </c>
      <c r="I1735" s="161" t="str">
        <f t="shared" si="381"/>
        <v>M</v>
      </c>
      <c r="J1735" s="119">
        <f>IF(tech_base!$T271&gt;J$1465,"",(tech_base!$J271/tech_proj!J395*0.086*$N$110)/(1-tech_proj!J675))</f>
        <v>0</v>
      </c>
      <c r="K1735" s="119">
        <f>IF(tech_base!$T271&gt;K$1465,"",(tech_base!$J271/tech_proj!K395*0.086*$N$110)/(1-tech_proj!K675))</f>
        <v>0</v>
      </c>
      <c r="L1735" s="119">
        <f>IF(tech_base!$T271&gt;L$1465,"",(tech_base!$J271/tech_proj!L395*0.086*$N$110)/(1-tech_proj!L675))</f>
        <v>0</v>
      </c>
      <c r="M1735" s="119">
        <f>IF(tech_base!$T271&gt;M$1465,"",(tech_base!$J271/tech_proj!M395*0.086*$N$110)/(1-tech_proj!M675))</f>
        <v>0</v>
      </c>
      <c r="N1735" s="119">
        <f>IF(tech_base!$T271&gt;N$1465,"",(tech_base!$J271/tech_proj!N395*0.086*$N$110)/(1-tech_proj!N675))</f>
        <v>0</v>
      </c>
      <c r="O1735" s="119">
        <f>IF(tech_base!$T271&gt;O$1465,"",(tech_base!$J271/tech_proj!O395*0.086*$N$110)/(1-tech_proj!O675))</f>
        <v>0</v>
      </c>
      <c r="P1735" s="119">
        <f>IF(tech_base!$T271&gt;P$1465,"",(tech_base!$J271/tech_proj!P395*0.086*$N$110)/(1-tech_proj!P675))</f>
        <v>0</v>
      </c>
      <c r="Q1735" s="119">
        <f>IF(tech_base!$T271&gt;Q$1465,"",(tech_base!$J271/tech_proj!Q395*0.086*$N$110)/(1-tech_proj!Q675))</f>
        <v>0</v>
      </c>
      <c r="R1735" s="119">
        <f>IF(tech_base!$T271&gt;R$1465,"",(tech_base!$J271/tech_proj!R395*0.086*$N$110)/(1-tech_proj!R675))</f>
        <v>0</v>
      </c>
      <c r="S1735" s="119">
        <f>IF(tech_base!$T271&gt;S$1465,"",(tech_base!$J271/tech_proj!S395*0.086*$N$110)/(1-tech_proj!S675))</f>
        <v>0</v>
      </c>
      <c r="T1735" s="119">
        <f>IF(tech_base!$T271&gt;T$1465,"",(tech_base!$J271/tech_proj!T395*0.086*$N$110)/(1-tech_proj!T675))</f>
        <v>0</v>
      </c>
      <c r="U1735" s="119">
        <f>IF(tech_base!$T271&gt;U$1465,"",(tech_base!$J271/tech_proj!U395*0.086*$N$110)/(1-tech_proj!U675))</f>
        <v>0</v>
      </c>
      <c r="V1735" s="119">
        <f>IF(tech_base!$T271&gt;V$1465,"",(tech_base!$J271/tech_proj!V395*0.086*$N$110)/(1-tech_proj!V675))</f>
        <v>0</v>
      </c>
      <c r="W1735" s="119">
        <f>IF(tech_base!$T271&gt;W$1465,"",(tech_base!$J271/tech_proj!W395*0.086*$N$110)/(1-tech_proj!W675))</f>
        <v>0</v>
      </c>
      <c r="X1735" s="119">
        <f>IF(tech_base!$T271&gt;X$1465,"",(tech_base!$J271/tech_proj!X395*0.086*$N$110)/(1-tech_proj!X675))</f>
        <v>0</v>
      </c>
      <c r="Y1735" s="119">
        <f>IF(tech_base!$T271&gt;Y$1465,"",(tech_base!$J271/tech_proj!Y395*0.086*$N$110)/(1-tech_proj!Y675))</f>
        <v>0</v>
      </c>
      <c r="Z1735" s="119">
        <f>IF(tech_base!$T271&gt;Z$1465,"",(tech_base!$J271/tech_proj!Z395*0.086*$N$110)/(1-tech_proj!Z675))</f>
        <v>0</v>
      </c>
      <c r="AA1735" s="119">
        <f>IF(tech_base!$T271&gt;AA$1465,"",(tech_base!$J271/tech_proj!AA395*0.086*$N$110)/(1-tech_proj!AA675))</f>
        <v>0</v>
      </c>
      <c r="AB1735" s="119">
        <f>IF(tech_base!$T271&gt;AB$1465,"",(tech_base!$J271/tech_proj!AB395*0.086*$N$110)/(1-tech_proj!AB675))</f>
        <v>0</v>
      </c>
      <c r="AC1735" s="119">
        <f>IF(tech_base!$T271&gt;AC$1465,"",(tech_base!$J271/tech_proj!AC395*0.086*$N$110)/(1-tech_proj!AC675))</f>
        <v>0</v>
      </c>
      <c r="AD1735" s="119">
        <f>IF(tech_base!$T271&gt;AD$1465,"",(tech_base!$J271/tech_proj!AD395*0.086*$N$110)/(1-tech_proj!AD675))</f>
        <v>0</v>
      </c>
      <c r="AE1735" s="119">
        <f>IF(tech_base!$T271&gt;AE$1465,"",(tech_base!$J271/tech_proj!AE395*0.086*$N$110)/(1-tech_proj!AE675))</f>
        <v>0</v>
      </c>
      <c r="AF1735" s="119">
        <f>IF(tech_base!$T271&gt;AF$1465,"",(tech_base!$J271/tech_proj!AF395*0.086*$N$110)/(1-tech_proj!AF675))</f>
        <v>0</v>
      </c>
      <c r="AG1735" s="119">
        <f>IF(tech_base!$T271&gt;AG$1465,"",(tech_base!$J271/tech_proj!AG395*0.086*$N$110)/(1-tech_proj!AG675))</f>
        <v>0</v>
      </c>
      <c r="AH1735" s="119">
        <f>IF(tech_base!$T271&gt;AH$1465,"",(tech_base!$J271/tech_proj!AH395*0.086*$N$110)/(1-tech_proj!AH675))</f>
        <v>0</v>
      </c>
      <c r="AI1735" s="119">
        <f>IF(tech_base!$T271&gt;AI$1465,"",(tech_base!$J271/tech_proj!AI395*0.086*$N$110)/(1-tech_proj!AI675))</f>
        <v>0</v>
      </c>
      <c r="AJ1735" s="119">
        <f>IF(tech_base!$T271&gt;AJ$1465,"",(tech_base!$J271/tech_proj!AJ395*0.086*$N$110)/(1-tech_proj!AJ675))</f>
        <v>0</v>
      </c>
      <c r="AK1735" s="119">
        <f>IF(tech_base!$T271&gt;AK$1465,"",(tech_base!$J271/tech_proj!AK395*0.086*$N$110)/(1-tech_proj!AK675))</f>
        <v>0</v>
      </c>
      <c r="AL1735" s="119">
        <f>IF(tech_base!$T271&gt;AL$1465,"",(tech_base!$J271/tech_proj!AL395*0.086*$N$110)/(1-tech_proj!AL675))</f>
        <v>0</v>
      </c>
      <c r="AM1735" s="119">
        <f>IF(tech_base!$T271&gt;AM$1465,"",(tech_base!$J271/tech_proj!AM395*0.086*$N$110)/(1-tech_proj!AM675))</f>
        <v>0</v>
      </c>
      <c r="AN1735" s="119">
        <f>IF(tech_base!$T271&gt;AN$1465,"",(tech_base!$J271/tech_proj!AN395*0.086*$N$110)/(1-tech_proj!AN675))</f>
        <v>0</v>
      </c>
      <c r="AO1735" s="119">
        <f>IF(tech_base!$T271&gt;AO$1465,"",(tech_base!$J271/tech_proj!AO395*0.086*$N$110)/(1-tech_proj!AO675))</f>
        <v>0</v>
      </c>
      <c r="AP1735" s="119">
        <f>IF(tech_base!$T271&gt;AP$1465,"",(tech_base!$J271/tech_proj!AP395*0.086*$N$110)/(1-tech_proj!AP675))</f>
        <v>0</v>
      </c>
      <c r="AQ1735" s="119">
        <f>IF(tech_base!$T271&gt;AQ$1465,"",(tech_base!$J271/tech_proj!AQ395*0.086*$N$110)/(1-tech_proj!AQ675))</f>
        <v>0</v>
      </c>
      <c r="AR1735" s="119">
        <f>IF(tech_base!$T271&gt;AR$1465,"",(tech_base!$J271/tech_proj!AR395*0.086*$N$110)/(1-tech_proj!AR675))</f>
        <v>0</v>
      </c>
      <c r="AS1735" s="119">
        <f>IF(tech_base!$T271&gt;AS$1465,"",(tech_base!$J271/tech_proj!AS395*0.086*$N$110)/(1-tech_proj!AS675))</f>
        <v>0</v>
      </c>
      <c r="AT1735" s="119">
        <f>IF(tech_base!$T271&gt;AT$1465,"",(tech_base!$J271/tech_proj!AT395*0.086*$N$110)/(1-tech_proj!AT675))</f>
        <v>0</v>
      </c>
      <c r="AU1735" s="119">
        <f>IF(tech_base!$T271&gt;AU$1465,"",(tech_base!$J271/tech_proj!AU395*0.086*$N$110)/(1-tech_proj!AU675))</f>
        <v>0</v>
      </c>
      <c r="AV1735" s="119">
        <f>IF(tech_base!$T271&gt;AV$1465,"",(tech_base!$J271/tech_proj!AV395*0.086*$N$110)/(1-tech_proj!AV675))</f>
        <v>0</v>
      </c>
      <c r="AW1735" s="119">
        <f>IF(tech_base!$T271&gt;AW$1465,"",(tech_base!$J271/tech_proj!AW395*0.086*$N$110)/(1-tech_proj!AW675))</f>
        <v>0</v>
      </c>
      <c r="AX1735" s="120">
        <f>IF(tech_base!$T271&gt;AX$1465,"",(tech_base!$J271/tech_proj!AX395*0.086*$N$110)/(1-tech_proj!AX675))</f>
        <v>0</v>
      </c>
    </row>
    <row r="1736" spans="1:50" x14ac:dyDescent="0.25">
      <c r="A1736" s="382"/>
      <c r="B1736" s="376"/>
      <c r="C1736" s="378"/>
      <c r="D1736" s="2" t="s">
        <v>10</v>
      </c>
      <c r="E1736" s="160" t="str">
        <f>A1734&amp;"/"&amp;B1734&amp;"/"&amp;C1734&amp;"/"&amp;D1736</f>
        <v>Pump storage/Pump storage/Electricity only/S</v>
      </c>
      <c r="F1736" s="76" t="str">
        <f>A1734</f>
        <v>Pump storage</v>
      </c>
      <c r="G1736" s="76" t="str">
        <f>B1734</f>
        <v>Pump storage</v>
      </c>
      <c r="H1736" s="76" t="str">
        <f>C1734</f>
        <v>Electricity only</v>
      </c>
      <c r="I1736" s="161" t="str">
        <f t="shared" si="381"/>
        <v>S</v>
      </c>
      <c r="J1736" s="119">
        <f>IF(tech_base!$T272&gt;J$1465,"",(tech_base!$J272/tech_proj!J396*0.086*$N$110)/(1-tech_proj!J676))</f>
        <v>0</v>
      </c>
      <c r="K1736" s="119">
        <f>IF(tech_base!$T272&gt;K$1465,"",(tech_base!$J272/tech_proj!K396*0.086*$N$110)/(1-tech_proj!K676))</f>
        <v>0</v>
      </c>
      <c r="L1736" s="119">
        <f>IF(tech_base!$T272&gt;L$1465,"",(tech_base!$J272/tech_proj!L396*0.086*$N$110)/(1-tech_proj!L676))</f>
        <v>0</v>
      </c>
      <c r="M1736" s="119">
        <f>IF(tech_base!$T272&gt;M$1465,"",(tech_base!$J272/tech_proj!M396*0.086*$N$110)/(1-tech_proj!M676))</f>
        <v>0</v>
      </c>
      <c r="N1736" s="119">
        <f>IF(tech_base!$T272&gt;N$1465,"",(tech_base!$J272/tech_proj!N396*0.086*$N$110)/(1-tech_proj!N676))</f>
        <v>0</v>
      </c>
      <c r="O1736" s="119">
        <f>IF(tech_base!$T272&gt;O$1465,"",(tech_base!$J272/tech_proj!O396*0.086*$N$110)/(1-tech_proj!O676))</f>
        <v>0</v>
      </c>
      <c r="P1736" s="119">
        <f>IF(tech_base!$T272&gt;P$1465,"",(tech_base!$J272/tech_proj!P396*0.086*$N$110)/(1-tech_proj!P676))</f>
        <v>0</v>
      </c>
      <c r="Q1736" s="119">
        <f>IF(tech_base!$T272&gt;Q$1465,"",(tech_base!$J272/tech_proj!Q396*0.086*$N$110)/(1-tech_proj!Q676))</f>
        <v>0</v>
      </c>
      <c r="R1736" s="119">
        <f>IF(tech_base!$T272&gt;R$1465,"",(tech_base!$J272/tech_proj!R396*0.086*$N$110)/(1-tech_proj!R676))</f>
        <v>0</v>
      </c>
      <c r="S1736" s="119">
        <f>IF(tech_base!$T272&gt;S$1465,"",(tech_base!$J272/tech_proj!S396*0.086*$N$110)/(1-tech_proj!S676))</f>
        <v>0</v>
      </c>
      <c r="T1736" s="119">
        <f>IF(tech_base!$T272&gt;T$1465,"",(tech_base!$J272/tech_proj!T396*0.086*$N$110)/(1-tech_proj!T676))</f>
        <v>0</v>
      </c>
      <c r="U1736" s="119">
        <f>IF(tech_base!$T272&gt;U$1465,"",(tech_base!$J272/tech_proj!U396*0.086*$N$110)/(1-tech_proj!U676))</f>
        <v>0</v>
      </c>
      <c r="V1736" s="119">
        <f>IF(tech_base!$T272&gt;V$1465,"",(tech_base!$J272/tech_proj!V396*0.086*$N$110)/(1-tech_proj!V676))</f>
        <v>0</v>
      </c>
      <c r="W1736" s="119">
        <f>IF(tech_base!$T272&gt;W$1465,"",(tech_base!$J272/tech_proj!W396*0.086*$N$110)/(1-tech_proj!W676))</f>
        <v>0</v>
      </c>
      <c r="X1736" s="119">
        <f>IF(tech_base!$T272&gt;X$1465,"",(tech_base!$J272/tech_proj!X396*0.086*$N$110)/(1-tech_proj!X676))</f>
        <v>0</v>
      </c>
      <c r="Y1736" s="119">
        <f>IF(tech_base!$T272&gt;Y$1465,"",(tech_base!$J272/tech_proj!Y396*0.086*$N$110)/(1-tech_proj!Y676))</f>
        <v>0</v>
      </c>
      <c r="Z1736" s="119">
        <f>IF(tech_base!$T272&gt;Z$1465,"",(tech_base!$J272/tech_proj!Z396*0.086*$N$110)/(1-tech_proj!Z676))</f>
        <v>0</v>
      </c>
      <c r="AA1736" s="119">
        <f>IF(tech_base!$T272&gt;AA$1465,"",(tech_base!$J272/tech_proj!AA396*0.086*$N$110)/(1-tech_proj!AA676))</f>
        <v>0</v>
      </c>
      <c r="AB1736" s="119">
        <f>IF(tech_base!$T272&gt;AB$1465,"",(tech_base!$J272/tech_proj!AB396*0.086*$N$110)/(1-tech_proj!AB676))</f>
        <v>0</v>
      </c>
      <c r="AC1736" s="119">
        <f>IF(tech_base!$T272&gt;AC$1465,"",(tech_base!$J272/tech_proj!AC396*0.086*$N$110)/(1-tech_proj!AC676))</f>
        <v>0</v>
      </c>
      <c r="AD1736" s="119">
        <f>IF(tech_base!$T272&gt;AD$1465,"",(tech_base!$J272/tech_proj!AD396*0.086*$N$110)/(1-tech_proj!AD676))</f>
        <v>0</v>
      </c>
      <c r="AE1736" s="119">
        <f>IF(tech_base!$T272&gt;AE$1465,"",(tech_base!$J272/tech_proj!AE396*0.086*$N$110)/(1-tech_proj!AE676))</f>
        <v>0</v>
      </c>
      <c r="AF1736" s="119">
        <f>IF(tech_base!$T272&gt;AF$1465,"",(tech_base!$J272/tech_proj!AF396*0.086*$N$110)/(1-tech_proj!AF676))</f>
        <v>0</v>
      </c>
      <c r="AG1736" s="119">
        <f>IF(tech_base!$T272&gt;AG$1465,"",(tech_base!$J272/tech_proj!AG396*0.086*$N$110)/(1-tech_proj!AG676))</f>
        <v>0</v>
      </c>
      <c r="AH1736" s="119">
        <f>IF(tech_base!$T272&gt;AH$1465,"",(tech_base!$J272/tech_proj!AH396*0.086*$N$110)/(1-tech_proj!AH676))</f>
        <v>0</v>
      </c>
      <c r="AI1736" s="119">
        <f>IF(tech_base!$T272&gt;AI$1465,"",(tech_base!$J272/tech_proj!AI396*0.086*$N$110)/(1-tech_proj!AI676))</f>
        <v>0</v>
      </c>
      <c r="AJ1736" s="119">
        <f>IF(tech_base!$T272&gt;AJ$1465,"",(tech_base!$J272/tech_proj!AJ396*0.086*$N$110)/(1-tech_proj!AJ676))</f>
        <v>0</v>
      </c>
      <c r="AK1736" s="119">
        <f>IF(tech_base!$T272&gt;AK$1465,"",(tech_base!$J272/tech_proj!AK396*0.086*$N$110)/(1-tech_proj!AK676))</f>
        <v>0</v>
      </c>
      <c r="AL1736" s="119">
        <f>IF(tech_base!$T272&gt;AL$1465,"",(tech_base!$J272/tech_proj!AL396*0.086*$N$110)/(1-tech_proj!AL676))</f>
        <v>0</v>
      </c>
      <c r="AM1736" s="119">
        <f>IF(tech_base!$T272&gt;AM$1465,"",(tech_base!$J272/tech_proj!AM396*0.086*$N$110)/(1-tech_proj!AM676))</f>
        <v>0</v>
      </c>
      <c r="AN1736" s="119">
        <f>IF(tech_base!$T272&gt;AN$1465,"",(tech_base!$J272/tech_proj!AN396*0.086*$N$110)/(1-tech_proj!AN676))</f>
        <v>0</v>
      </c>
      <c r="AO1736" s="119">
        <f>IF(tech_base!$T272&gt;AO$1465,"",(tech_base!$J272/tech_proj!AO396*0.086*$N$110)/(1-tech_proj!AO676))</f>
        <v>0</v>
      </c>
      <c r="AP1736" s="119">
        <f>IF(tech_base!$T272&gt;AP$1465,"",(tech_base!$J272/tech_proj!AP396*0.086*$N$110)/(1-tech_proj!AP676))</f>
        <v>0</v>
      </c>
      <c r="AQ1736" s="119">
        <f>IF(tech_base!$T272&gt;AQ$1465,"",(tech_base!$J272/tech_proj!AQ396*0.086*$N$110)/(1-tech_proj!AQ676))</f>
        <v>0</v>
      </c>
      <c r="AR1736" s="119">
        <f>IF(tech_base!$T272&gt;AR$1465,"",(tech_base!$J272/tech_proj!AR396*0.086*$N$110)/(1-tech_proj!AR676))</f>
        <v>0</v>
      </c>
      <c r="AS1736" s="119">
        <f>IF(tech_base!$T272&gt;AS$1465,"",(tech_base!$J272/tech_proj!AS396*0.086*$N$110)/(1-tech_proj!AS676))</f>
        <v>0</v>
      </c>
      <c r="AT1736" s="119">
        <f>IF(tech_base!$T272&gt;AT$1465,"",(tech_base!$J272/tech_proj!AT396*0.086*$N$110)/(1-tech_proj!AT676))</f>
        <v>0</v>
      </c>
      <c r="AU1736" s="119">
        <f>IF(tech_base!$T272&gt;AU$1465,"",(tech_base!$J272/tech_proj!AU396*0.086*$N$110)/(1-tech_proj!AU676))</f>
        <v>0</v>
      </c>
      <c r="AV1736" s="119">
        <f>IF(tech_base!$T272&gt;AV$1465,"",(tech_base!$J272/tech_proj!AV396*0.086*$N$110)/(1-tech_proj!AV676))</f>
        <v>0</v>
      </c>
      <c r="AW1736" s="119">
        <f>IF(tech_base!$T272&gt;AW$1465,"",(tech_base!$J272/tech_proj!AW396*0.086*$N$110)/(1-tech_proj!AW676))</f>
        <v>0</v>
      </c>
      <c r="AX1736" s="120">
        <f>IF(tech_base!$T272&gt;AX$1465,"",(tech_base!$J272/tech_proj!AX396*0.086*$N$110)/(1-tech_proj!AX676))</f>
        <v>0</v>
      </c>
    </row>
    <row r="1737" spans="1:50" ht="11" thickBot="1" x14ac:dyDescent="0.3">
      <c r="A1737" s="383"/>
      <c r="B1737" s="384"/>
      <c r="C1737" s="385"/>
      <c r="D1737" s="158" t="s">
        <v>20</v>
      </c>
      <c r="E1737" s="172" t="str">
        <f>A1734&amp;"/"&amp;B1734&amp;"/"&amp;C1734&amp;"/"&amp;D1737</f>
        <v>Pump storage/Pump storage/Electricity only/XS</v>
      </c>
      <c r="F1737" s="82" t="str">
        <f>A1734</f>
        <v>Pump storage</v>
      </c>
      <c r="G1737" s="82" t="str">
        <f>B1734</f>
        <v>Pump storage</v>
      </c>
      <c r="H1737" s="82" t="str">
        <f>C1734</f>
        <v>Electricity only</v>
      </c>
      <c r="I1737" s="173" t="str">
        <f t="shared" si="381"/>
        <v>XS</v>
      </c>
      <c r="J1737" s="131">
        <f>IF(tech_base!$T273&gt;J$1465,"",(tech_base!$J273/tech_proj!J397*0.086*$N$110)/(1-tech_proj!J677))</f>
        <v>0</v>
      </c>
      <c r="K1737" s="131">
        <f>IF(tech_base!$T273&gt;K$1465,"",(tech_base!$J273/tech_proj!K397*0.086*$N$110)/(1-tech_proj!K677))</f>
        <v>0</v>
      </c>
      <c r="L1737" s="131">
        <f>IF(tech_base!$T273&gt;L$1465,"",(tech_base!$J273/tech_proj!L397*0.086*$N$110)/(1-tech_proj!L677))</f>
        <v>0</v>
      </c>
      <c r="M1737" s="131">
        <f>IF(tech_base!$T273&gt;M$1465,"",(tech_base!$J273/tech_proj!M397*0.086*$N$110)/(1-tech_proj!M677))</f>
        <v>0</v>
      </c>
      <c r="N1737" s="131">
        <f>IF(tech_base!$T273&gt;N$1465,"",(tech_base!$J273/tech_proj!N397*0.086*$N$110)/(1-tech_proj!N677))</f>
        <v>0</v>
      </c>
      <c r="O1737" s="131">
        <f>IF(tech_base!$T273&gt;O$1465,"",(tech_base!$J273/tech_proj!O397*0.086*$N$110)/(1-tech_proj!O677))</f>
        <v>0</v>
      </c>
      <c r="P1737" s="131">
        <f>IF(tech_base!$T273&gt;P$1465,"",(tech_base!$J273/tech_proj!P397*0.086*$N$110)/(1-tech_proj!P677))</f>
        <v>0</v>
      </c>
      <c r="Q1737" s="131">
        <f>IF(tech_base!$T273&gt;Q$1465,"",(tech_base!$J273/tech_proj!Q397*0.086*$N$110)/(1-tech_proj!Q677))</f>
        <v>0</v>
      </c>
      <c r="R1737" s="131">
        <f>IF(tech_base!$T273&gt;R$1465,"",(tech_base!$J273/tech_proj!R397*0.086*$N$110)/(1-tech_proj!R677))</f>
        <v>0</v>
      </c>
      <c r="S1737" s="131">
        <f>IF(tech_base!$T273&gt;S$1465,"",(tech_base!$J273/tech_proj!S397*0.086*$N$110)/(1-tech_proj!S677))</f>
        <v>0</v>
      </c>
      <c r="T1737" s="131">
        <f>IF(tech_base!$T273&gt;T$1465,"",(tech_base!$J273/tech_proj!T397*0.086*$N$110)/(1-tech_proj!T677))</f>
        <v>0</v>
      </c>
      <c r="U1737" s="131">
        <f>IF(tech_base!$T273&gt;U$1465,"",(tech_base!$J273/tech_proj!U397*0.086*$N$110)/(1-tech_proj!U677))</f>
        <v>0</v>
      </c>
      <c r="V1737" s="131">
        <f>IF(tech_base!$T273&gt;V$1465,"",(tech_base!$J273/tech_proj!V397*0.086*$N$110)/(1-tech_proj!V677))</f>
        <v>0</v>
      </c>
      <c r="W1737" s="131">
        <f>IF(tech_base!$T273&gt;W$1465,"",(tech_base!$J273/tech_proj!W397*0.086*$N$110)/(1-tech_proj!W677))</f>
        <v>0</v>
      </c>
      <c r="X1737" s="131">
        <f>IF(tech_base!$T273&gt;X$1465,"",(tech_base!$J273/tech_proj!X397*0.086*$N$110)/(1-tech_proj!X677))</f>
        <v>0</v>
      </c>
      <c r="Y1737" s="131">
        <f>IF(tech_base!$T273&gt;Y$1465,"",(tech_base!$J273/tech_proj!Y397*0.086*$N$110)/(1-tech_proj!Y677))</f>
        <v>0</v>
      </c>
      <c r="Z1737" s="131">
        <f>IF(tech_base!$T273&gt;Z$1465,"",(tech_base!$J273/tech_proj!Z397*0.086*$N$110)/(1-tech_proj!Z677))</f>
        <v>0</v>
      </c>
      <c r="AA1737" s="131">
        <f>IF(tech_base!$T273&gt;AA$1465,"",(tech_base!$J273/tech_proj!AA397*0.086*$N$110)/(1-tech_proj!AA677))</f>
        <v>0</v>
      </c>
      <c r="AB1737" s="131">
        <f>IF(tech_base!$T273&gt;AB$1465,"",(tech_base!$J273/tech_proj!AB397*0.086*$N$110)/(1-tech_proj!AB677))</f>
        <v>0</v>
      </c>
      <c r="AC1737" s="131">
        <f>IF(tech_base!$T273&gt;AC$1465,"",(tech_base!$J273/tech_proj!AC397*0.086*$N$110)/(1-tech_proj!AC677))</f>
        <v>0</v>
      </c>
      <c r="AD1737" s="131">
        <f>IF(tech_base!$T273&gt;AD$1465,"",(tech_base!$J273/tech_proj!AD397*0.086*$N$110)/(1-tech_proj!AD677))</f>
        <v>0</v>
      </c>
      <c r="AE1737" s="131">
        <f>IF(tech_base!$T273&gt;AE$1465,"",(tech_base!$J273/tech_proj!AE397*0.086*$N$110)/(1-tech_proj!AE677))</f>
        <v>0</v>
      </c>
      <c r="AF1737" s="131">
        <f>IF(tech_base!$T273&gt;AF$1465,"",(tech_base!$J273/tech_proj!AF397*0.086*$N$110)/(1-tech_proj!AF677))</f>
        <v>0</v>
      </c>
      <c r="AG1737" s="131">
        <f>IF(tech_base!$T273&gt;AG$1465,"",(tech_base!$J273/tech_proj!AG397*0.086*$N$110)/(1-tech_proj!AG677))</f>
        <v>0</v>
      </c>
      <c r="AH1737" s="131">
        <f>IF(tech_base!$T273&gt;AH$1465,"",(tech_base!$J273/tech_proj!AH397*0.086*$N$110)/(1-tech_proj!AH677))</f>
        <v>0</v>
      </c>
      <c r="AI1737" s="131">
        <f>IF(tech_base!$T273&gt;AI$1465,"",(tech_base!$J273/tech_proj!AI397*0.086*$N$110)/(1-tech_proj!AI677))</f>
        <v>0</v>
      </c>
      <c r="AJ1737" s="131">
        <f>IF(tech_base!$T273&gt;AJ$1465,"",(tech_base!$J273/tech_proj!AJ397*0.086*$N$110)/(1-tech_proj!AJ677))</f>
        <v>0</v>
      </c>
      <c r="AK1737" s="131">
        <f>IF(tech_base!$T273&gt;AK$1465,"",(tech_base!$J273/tech_proj!AK397*0.086*$N$110)/(1-tech_proj!AK677))</f>
        <v>0</v>
      </c>
      <c r="AL1737" s="131">
        <f>IF(tech_base!$T273&gt;AL$1465,"",(tech_base!$J273/tech_proj!AL397*0.086*$N$110)/(1-tech_proj!AL677))</f>
        <v>0</v>
      </c>
      <c r="AM1737" s="131">
        <f>IF(tech_base!$T273&gt;AM$1465,"",(tech_base!$J273/tech_proj!AM397*0.086*$N$110)/(1-tech_proj!AM677))</f>
        <v>0</v>
      </c>
      <c r="AN1737" s="131">
        <f>IF(tech_base!$T273&gt;AN$1465,"",(tech_base!$J273/tech_proj!AN397*0.086*$N$110)/(1-tech_proj!AN677))</f>
        <v>0</v>
      </c>
      <c r="AO1737" s="131">
        <f>IF(tech_base!$T273&gt;AO$1465,"",(tech_base!$J273/tech_proj!AO397*0.086*$N$110)/(1-tech_proj!AO677))</f>
        <v>0</v>
      </c>
      <c r="AP1737" s="131">
        <f>IF(tech_base!$T273&gt;AP$1465,"",(tech_base!$J273/tech_proj!AP397*0.086*$N$110)/(1-tech_proj!AP677))</f>
        <v>0</v>
      </c>
      <c r="AQ1737" s="131">
        <f>IF(tech_base!$T273&gt;AQ$1465,"",(tech_base!$J273/tech_proj!AQ397*0.086*$N$110)/(1-tech_proj!AQ677))</f>
        <v>0</v>
      </c>
      <c r="AR1737" s="131">
        <f>IF(tech_base!$T273&gt;AR$1465,"",(tech_base!$J273/tech_proj!AR397*0.086*$N$110)/(1-tech_proj!AR677))</f>
        <v>0</v>
      </c>
      <c r="AS1737" s="131">
        <f>IF(tech_base!$T273&gt;AS$1465,"",(tech_base!$J273/tech_proj!AS397*0.086*$N$110)/(1-tech_proj!AS677))</f>
        <v>0</v>
      </c>
      <c r="AT1737" s="131">
        <f>IF(tech_base!$T273&gt;AT$1465,"",(tech_base!$J273/tech_proj!AT397*0.086*$N$110)/(1-tech_proj!AT677))</f>
        <v>0</v>
      </c>
      <c r="AU1737" s="131">
        <f>IF(tech_base!$T273&gt;AU$1465,"",(tech_base!$J273/tech_proj!AU397*0.086*$N$110)/(1-tech_proj!AU677))</f>
        <v>0</v>
      </c>
      <c r="AV1737" s="131">
        <f>IF(tech_base!$T273&gt;AV$1465,"",(tech_base!$J273/tech_proj!AV397*0.086*$N$110)/(1-tech_proj!AV677))</f>
        <v>0</v>
      </c>
      <c r="AW1737" s="131">
        <f>IF(tech_base!$T273&gt;AW$1465,"",(tech_base!$J273/tech_proj!AW397*0.086*$N$110)/(1-tech_proj!AW677))</f>
        <v>0</v>
      </c>
      <c r="AX1737" s="132">
        <f>IF(tech_base!$T273&gt;AX$1465,"",(tech_base!$J273/tech_proj!AX397*0.086*$N$110)/(1-tech_proj!AX677))</f>
        <v>0</v>
      </c>
    </row>
    <row r="1738" spans="1:50" ht="14.5" x14ac:dyDescent="0.35">
      <c r="A1738"/>
      <c r="B1738"/>
      <c r="C1738"/>
      <c r="D1738"/>
      <c r="E1738"/>
      <c r="F1738"/>
      <c r="G1738"/>
      <c r="H1738"/>
      <c r="I1738"/>
      <c r="J1738"/>
      <c r="K1738"/>
      <c r="L1738"/>
      <c r="M1738"/>
      <c r="N1738"/>
      <c r="O1738"/>
      <c r="P1738"/>
      <c r="Q1738"/>
      <c r="R1738"/>
      <c r="S1738"/>
      <c r="T1738"/>
      <c r="U1738"/>
      <c r="V1738"/>
      <c r="W1738"/>
      <c r="X1738"/>
      <c r="Y1738"/>
      <c r="Z1738"/>
      <c r="AA1738"/>
      <c r="AB1738"/>
      <c r="AC1738"/>
      <c r="AD1738"/>
      <c r="AE1738"/>
      <c r="AF1738"/>
      <c r="AG1738"/>
      <c r="AH1738"/>
      <c r="AI1738"/>
      <c r="AJ1738"/>
      <c r="AK1738"/>
      <c r="AL1738"/>
      <c r="AM1738"/>
      <c r="AN1738"/>
      <c r="AO1738"/>
      <c r="AP1738"/>
      <c r="AQ1738"/>
      <c r="AR1738"/>
      <c r="AS1738"/>
      <c r="AT1738"/>
      <c r="AU1738"/>
      <c r="AV1738"/>
      <c r="AW1738"/>
      <c r="AX1738"/>
    </row>
    <row r="1739" spans="1:50" ht="14.5" x14ac:dyDescent="0.35">
      <c r="A1739"/>
      <c r="B1739"/>
      <c r="C1739"/>
      <c r="D1739"/>
      <c r="E1739"/>
      <c r="F1739"/>
      <c r="G1739"/>
      <c r="H1739"/>
      <c r="I1739"/>
      <c r="J1739"/>
      <c r="K1739"/>
      <c r="L1739"/>
      <c r="M1739"/>
      <c r="N1739"/>
      <c r="O1739"/>
      <c r="P1739"/>
      <c r="Q1739"/>
      <c r="R1739"/>
      <c r="S1739"/>
      <c r="T1739"/>
      <c r="U1739"/>
      <c r="V1739"/>
      <c r="W1739"/>
      <c r="X1739"/>
      <c r="Y1739"/>
      <c r="Z1739"/>
      <c r="AA1739"/>
      <c r="AB1739"/>
      <c r="AC1739"/>
      <c r="AD1739"/>
      <c r="AE1739"/>
      <c r="AF1739"/>
      <c r="AG1739"/>
      <c r="AH1739"/>
      <c r="AI1739"/>
      <c r="AJ1739"/>
      <c r="AK1739"/>
      <c r="AL1739"/>
      <c r="AM1739"/>
      <c r="AN1739"/>
      <c r="AO1739"/>
      <c r="AP1739"/>
      <c r="AQ1739"/>
      <c r="AR1739"/>
      <c r="AS1739"/>
      <c r="AT1739"/>
      <c r="AU1739"/>
      <c r="AV1739"/>
      <c r="AW1739"/>
      <c r="AX1739"/>
    </row>
    <row r="1740" spans="1:50" ht="14.5" x14ac:dyDescent="0.35">
      <c r="A1740"/>
      <c r="B1740"/>
      <c r="C1740"/>
      <c r="D1740"/>
      <c r="E1740"/>
      <c r="F1740"/>
      <c r="G1740"/>
      <c r="H1740"/>
      <c r="I1740"/>
      <c r="J1740"/>
      <c r="K1740"/>
      <c r="L1740"/>
      <c r="M1740"/>
      <c r="N1740"/>
      <c r="O1740"/>
      <c r="P1740"/>
      <c r="Q1740"/>
      <c r="R1740"/>
      <c r="S1740"/>
      <c r="T1740"/>
      <c r="U1740"/>
      <c r="V1740"/>
      <c r="W1740"/>
      <c r="X1740"/>
      <c r="Y1740"/>
      <c r="Z1740"/>
      <c r="AA1740"/>
      <c r="AB1740"/>
      <c r="AC1740"/>
      <c r="AD1740"/>
      <c r="AE1740"/>
      <c r="AF1740"/>
      <c r="AG1740"/>
      <c r="AH1740"/>
      <c r="AI1740"/>
      <c r="AJ1740"/>
      <c r="AK1740"/>
      <c r="AL1740"/>
      <c r="AM1740"/>
      <c r="AN1740"/>
      <c r="AO1740"/>
      <c r="AP1740"/>
      <c r="AQ1740"/>
      <c r="AR1740"/>
      <c r="AS1740"/>
      <c r="AT1740"/>
      <c r="AU1740"/>
      <c r="AV1740"/>
      <c r="AW1740"/>
      <c r="AX1740"/>
    </row>
    <row r="1741" spans="1:50" ht="14.5" x14ac:dyDescent="0.35">
      <c r="A1741"/>
      <c r="B1741"/>
      <c r="C1741"/>
      <c r="D1741"/>
      <c r="E1741"/>
      <c r="F1741"/>
      <c r="G1741"/>
      <c r="H1741"/>
      <c r="I1741"/>
      <c r="J1741"/>
      <c r="K1741"/>
      <c r="L1741"/>
      <c r="M1741"/>
      <c r="N1741"/>
      <c r="O1741"/>
      <c r="P1741"/>
      <c r="Q1741"/>
      <c r="R1741"/>
      <c r="S1741"/>
      <c r="T1741"/>
      <c r="U1741"/>
      <c r="V1741"/>
      <c r="W1741"/>
      <c r="X1741"/>
      <c r="Y1741"/>
      <c r="Z1741"/>
      <c r="AA1741"/>
      <c r="AB1741"/>
      <c r="AC1741"/>
      <c r="AD1741"/>
      <c r="AE1741"/>
      <c r="AF1741"/>
      <c r="AG1741"/>
      <c r="AH1741"/>
      <c r="AI1741"/>
      <c r="AJ1741"/>
      <c r="AK1741"/>
      <c r="AL1741"/>
      <c r="AM1741"/>
      <c r="AN1741"/>
      <c r="AO1741"/>
      <c r="AP1741"/>
      <c r="AQ1741"/>
      <c r="AR1741"/>
      <c r="AS1741"/>
      <c r="AT1741"/>
      <c r="AU1741"/>
      <c r="AV1741"/>
      <c r="AW1741"/>
      <c r="AX1741"/>
    </row>
    <row r="1742" spans="1:50" ht="14.5" x14ac:dyDescent="0.35">
      <c r="A1742"/>
      <c r="B1742"/>
      <c r="C1742"/>
      <c r="D1742"/>
      <c r="E1742"/>
      <c r="F1742"/>
      <c r="G1742"/>
      <c r="H1742"/>
      <c r="I1742"/>
      <c r="J1742"/>
      <c r="K1742"/>
      <c r="L1742"/>
      <c r="M1742"/>
      <c r="N1742"/>
      <c r="O1742"/>
      <c r="P1742"/>
      <c r="Q1742"/>
      <c r="R1742"/>
      <c r="S1742"/>
      <c r="T1742"/>
      <c r="U1742"/>
      <c r="V1742"/>
      <c r="W1742"/>
      <c r="X1742"/>
      <c r="Y1742"/>
      <c r="Z1742"/>
      <c r="AA1742"/>
      <c r="AB1742"/>
      <c r="AC1742"/>
      <c r="AD1742"/>
      <c r="AE1742"/>
      <c r="AF1742"/>
      <c r="AG1742"/>
      <c r="AH1742"/>
      <c r="AI1742"/>
      <c r="AJ1742"/>
      <c r="AK1742"/>
      <c r="AL1742"/>
      <c r="AM1742"/>
      <c r="AN1742"/>
      <c r="AO1742"/>
      <c r="AP1742"/>
      <c r="AQ1742"/>
      <c r="AR1742"/>
      <c r="AS1742"/>
      <c r="AT1742"/>
      <c r="AU1742"/>
      <c r="AV1742"/>
      <c r="AW1742"/>
      <c r="AX1742"/>
    </row>
    <row r="1743" spans="1:50" ht="15" thickBot="1" x14ac:dyDescent="0.4">
      <c r="A1743"/>
      <c r="B1743"/>
      <c r="C1743"/>
      <c r="D1743"/>
      <c r="E1743"/>
      <c r="F1743"/>
      <c r="G1743"/>
      <c r="H1743"/>
      <c r="I1743"/>
      <c r="J1743"/>
      <c r="K1743"/>
      <c r="L1743"/>
      <c r="M1743"/>
      <c r="N1743"/>
      <c r="O1743"/>
      <c r="P1743"/>
      <c r="Q1743"/>
      <c r="R1743"/>
      <c r="S1743"/>
      <c r="T1743"/>
      <c r="U1743"/>
      <c r="V1743"/>
      <c r="W1743"/>
      <c r="X1743"/>
      <c r="Y1743"/>
      <c r="Z1743"/>
      <c r="AA1743"/>
      <c r="AB1743"/>
      <c r="AC1743"/>
      <c r="AD1743"/>
      <c r="AE1743"/>
      <c r="AF1743"/>
      <c r="AG1743"/>
      <c r="AH1743"/>
      <c r="AI1743"/>
      <c r="AJ1743"/>
      <c r="AK1743"/>
      <c r="AL1743"/>
      <c r="AM1743"/>
      <c r="AN1743"/>
      <c r="AO1743"/>
      <c r="AP1743"/>
      <c r="AQ1743"/>
      <c r="AR1743"/>
      <c r="AS1743"/>
      <c r="AT1743"/>
      <c r="AU1743"/>
      <c r="AV1743"/>
      <c r="AW1743"/>
      <c r="AX1743"/>
    </row>
    <row r="1744" spans="1:50" x14ac:dyDescent="0.25">
      <c r="A1744" s="343" t="s">
        <v>49</v>
      </c>
      <c r="B1744" s="345" t="s">
        <v>50</v>
      </c>
      <c r="C1744" s="345" t="s">
        <v>51</v>
      </c>
      <c r="D1744" s="345" t="s">
        <v>52</v>
      </c>
      <c r="E1744" s="290"/>
      <c r="F1744" s="290"/>
      <c r="G1744" s="290"/>
      <c r="H1744" s="290"/>
      <c r="I1744" s="290"/>
      <c r="J1744" s="1" t="s">
        <v>96</v>
      </c>
      <c r="K1744" s="1"/>
      <c r="L1744" s="1"/>
      <c r="M1744" s="1"/>
      <c r="N1744" s="1"/>
      <c r="O1744" s="1"/>
      <c r="P1744" s="1"/>
      <c r="Q1744" s="289"/>
      <c r="R1744" s="289"/>
      <c r="S1744" s="289"/>
      <c r="T1744" s="289"/>
      <c r="U1744" s="289"/>
      <c r="V1744" s="289"/>
      <c r="W1744" s="289"/>
      <c r="X1744" s="289"/>
      <c r="Y1744" s="289"/>
      <c r="Z1744" s="289"/>
      <c r="AA1744" s="289"/>
      <c r="AB1744" s="289"/>
      <c r="AC1744" s="289"/>
      <c r="AD1744" s="289"/>
      <c r="AE1744" s="289"/>
      <c r="AF1744" s="289"/>
      <c r="AG1744" s="289"/>
      <c r="AH1744" s="289"/>
      <c r="AI1744" s="289"/>
      <c r="AJ1744" s="289"/>
      <c r="AK1744" s="289"/>
      <c r="AL1744" s="289"/>
      <c r="AM1744" s="289"/>
      <c r="AN1744" s="289"/>
      <c r="AO1744" s="289"/>
      <c r="AP1744" s="289"/>
      <c r="AQ1744" s="289"/>
      <c r="AR1744" s="289"/>
      <c r="AS1744" s="289"/>
      <c r="AT1744" s="289"/>
      <c r="AU1744" s="289"/>
      <c r="AV1744" s="289"/>
      <c r="AW1744" s="289"/>
      <c r="AX1744" s="301" t="s">
        <v>77</v>
      </c>
    </row>
    <row r="1745" spans="1:52" ht="11" thickBot="1" x14ac:dyDescent="0.3">
      <c r="A1745" s="344"/>
      <c r="B1745" s="346"/>
      <c r="C1745" s="346"/>
      <c r="D1745" s="346"/>
      <c r="E1745" s="291"/>
      <c r="F1745" s="291"/>
      <c r="G1745" s="291"/>
      <c r="H1745" s="291"/>
      <c r="I1745" s="291"/>
      <c r="J1745" s="68">
        <v>2010</v>
      </c>
      <c r="K1745" s="68">
        <v>2011</v>
      </c>
      <c r="L1745" s="68">
        <v>2012</v>
      </c>
      <c r="M1745" s="68">
        <v>2013</v>
      </c>
      <c r="N1745" s="68">
        <v>2014</v>
      </c>
      <c r="O1745" s="68">
        <v>2015</v>
      </c>
      <c r="P1745" s="68">
        <v>2016</v>
      </c>
      <c r="Q1745" s="68">
        <v>2017</v>
      </c>
      <c r="R1745" s="68">
        <v>2018</v>
      </c>
      <c r="S1745" s="68">
        <v>2019</v>
      </c>
      <c r="T1745" s="68">
        <v>2020</v>
      </c>
      <c r="U1745" s="68">
        <v>2021</v>
      </c>
      <c r="V1745" s="68">
        <v>2022</v>
      </c>
      <c r="W1745" s="68">
        <v>2023</v>
      </c>
      <c r="X1745" s="68">
        <v>2024</v>
      </c>
      <c r="Y1745" s="68">
        <v>2025</v>
      </c>
      <c r="Z1745" s="68">
        <v>2026</v>
      </c>
      <c r="AA1745" s="68">
        <v>2027</v>
      </c>
      <c r="AB1745" s="68">
        <v>2028</v>
      </c>
      <c r="AC1745" s="68">
        <v>2029</v>
      </c>
      <c r="AD1745" s="68">
        <v>2030</v>
      </c>
      <c r="AE1745" s="68">
        <v>2031</v>
      </c>
      <c r="AF1745" s="68">
        <v>2032</v>
      </c>
      <c r="AG1745" s="68">
        <v>2033</v>
      </c>
      <c r="AH1745" s="68">
        <v>2034</v>
      </c>
      <c r="AI1745" s="68">
        <v>2035</v>
      </c>
      <c r="AJ1745" s="68">
        <v>2036</v>
      </c>
      <c r="AK1745" s="68">
        <v>2037</v>
      </c>
      <c r="AL1745" s="68">
        <v>2038</v>
      </c>
      <c r="AM1745" s="68">
        <v>2039</v>
      </c>
      <c r="AN1745" s="68">
        <v>2040</v>
      </c>
      <c r="AO1745" s="68">
        <v>2041</v>
      </c>
      <c r="AP1745" s="68">
        <v>2042</v>
      </c>
      <c r="AQ1745" s="68">
        <v>2043</v>
      </c>
      <c r="AR1745" s="68">
        <v>2044</v>
      </c>
      <c r="AS1745" s="68">
        <v>2045</v>
      </c>
      <c r="AT1745" s="68">
        <v>2046</v>
      </c>
      <c r="AU1745" s="68">
        <v>2047</v>
      </c>
      <c r="AV1745" s="68">
        <v>2048</v>
      </c>
      <c r="AW1745" s="68">
        <v>2049</v>
      </c>
      <c r="AX1745" s="83">
        <v>2050</v>
      </c>
    </row>
    <row r="1746" spans="1:52" x14ac:dyDescent="0.25">
      <c r="A1746" s="347" t="s">
        <v>4</v>
      </c>
      <c r="B1746" s="349" t="s">
        <v>5</v>
      </c>
      <c r="C1746" s="350" t="s">
        <v>6</v>
      </c>
      <c r="D1746" s="2" t="s">
        <v>7</v>
      </c>
      <c r="E1746" s="160" t="str">
        <f>A1746&amp;"/"&amp;B1746&amp;"/"&amp;C1746&amp;"/"&amp;D1746</f>
        <v>Nuclear power plants/Nuclear - current/Electricity only/L</v>
      </c>
      <c r="F1746" s="76" t="str">
        <f>A1746</f>
        <v>Nuclear power plants</v>
      </c>
      <c r="G1746" s="76" t="str">
        <f>B1746</f>
        <v>Nuclear - current</v>
      </c>
      <c r="H1746" s="76" t="str">
        <f>C1746</f>
        <v>Electricity only</v>
      </c>
      <c r="I1746" s="161" t="str">
        <f>D1746</f>
        <v>L</v>
      </c>
      <c r="J1746" s="119">
        <f>IF(tech_base!$T2&gt;J$1745,"",(tech_base!$K2/tech_proj!J126*0.086*$J$132)/(1-tech_proj!J406))</f>
        <v>0</v>
      </c>
      <c r="K1746" s="119">
        <f>IF(tech_base!$T2&gt;K$1745,"",(tech_base!$K2/tech_proj!K126*0.086*$J$132)/(1-tech_proj!K406))</f>
        <v>0</v>
      </c>
      <c r="L1746" s="119">
        <f>IF(tech_base!$T2&gt;L$1745,"",(tech_base!$K2/tech_proj!L126*0.086*$J$132)/(1-tech_proj!L406))</f>
        <v>0</v>
      </c>
      <c r="M1746" s="119">
        <f>IF(tech_base!$T2&gt;M$1745,"",(tech_base!$K2/tech_proj!M126*0.086*$J$132)/(1-tech_proj!M406))</f>
        <v>0</v>
      </c>
      <c r="N1746" s="119">
        <f>IF(tech_base!$T2&gt;N$1745,"",(tech_base!$K2/tech_proj!N126*0.086*$J$132)/(1-tech_proj!N406))</f>
        <v>0</v>
      </c>
      <c r="O1746" s="119">
        <f>IF(tech_base!$T2&gt;O$1745,"",(tech_base!$K2/tech_proj!O126*0.086*$J$132)/(1-tech_proj!O406))</f>
        <v>0</v>
      </c>
      <c r="P1746" s="119">
        <f>IF(tech_base!$T2&gt;P$1745,"",(tech_base!$K2/tech_proj!P126*0.086*$J$132)/(1-tech_proj!P406))</f>
        <v>0</v>
      </c>
      <c r="Q1746" s="119">
        <f>IF(tech_base!$T2&gt;Q$1745,"",(tech_base!$K2/tech_proj!Q126*0.086*$J$132)/(1-tech_proj!Q406))</f>
        <v>0</v>
      </c>
      <c r="R1746" s="119">
        <f>IF(tech_base!$T2&gt;R$1745,"",(tech_base!$K2/tech_proj!R126*0.086*$J$132)/(1-tech_proj!R406))</f>
        <v>0</v>
      </c>
      <c r="S1746" s="119">
        <f>IF(tech_base!$T2&gt;S$1745,"",(tech_base!$K2/tech_proj!S126*0.086*$J$132)/(1-tech_proj!S406))</f>
        <v>0</v>
      </c>
      <c r="T1746" s="119">
        <f>IF(tech_base!$T2&gt;T$1745,"",(tech_base!$K2/tech_proj!T126*0.086*$J$132)/(1-tech_proj!T406))</f>
        <v>0</v>
      </c>
      <c r="U1746" s="119">
        <f>IF(tech_base!$T2&gt;U$1745,"",(tech_base!$K2/tech_proj!U126*0.086*$J$132)/(1-tech_proj!U406))</f>
        <v>0</v>
      </c>
      <c r="V1746" s="119">
        <f>IF(tech_base!$T2&gt;V$1745,"",(tech_base!$K2/tech_proj!V126*0.086*$J$132)/(1-tech_proj!V406))</f>
        <v>0</v>
      </c>
      <c r="W1746" s="119">
        <f>IF(tech_base!$T2&gt;W$1745,"",(tech_base!$K2/tech_proj!W126*0.086*$J$132)/(1-tech_proj!W406))</f>
        <v>0</v>
      </c>
      <c r="X1746" s="119">
        <f>IF(tech_base!$T2&gt;X$1745,"",(tech_base!$K2/tech_proj!X126*0.086*$J$132)/(1-tech_proj!X406))</f>
        <v>0</v>
      </c>
      <c r="Y1746" s="119">
        <f>IF(tech_base!$T2&gt;Y$1745,"",(tech_base!$K2/tech_proj!Y126*0.086*$J$132)/(1-tech_proj!Y406))</f>
        <v>0</v>
      </c>
      <c r="Z1746" s="119">
        <f>IF(tech_base!$T2&gt;Z$1745,"",(tech_base!$K2/tech_proj!Z126*0.086*$J$132)/(1-tech_proj!Z406))</f>
        <v>0</v>
      </c>
      <c r="AA1746" s="119">
        <f>IF(tech_base!$T2&gt;AA$1745,"",(tech_base!$K2/tech_proj!AA126*0.086*$J$132)/(1-tech_proj!AA406))</f>
        <v>0</v>
      </c>
      <c r="AB1746" s="119">
        <f>IF(tech_base!$T2&gt;AB$1745,"",(tech_base!$K2/tech_proj!AB126*0.086*$J$132)/(1-tech_proj!AB406))</f>
        <v>0</v>
      </c>
      <c r="AC1746" s="119">
        <f>IF(tech_base!$T2&gt;AC$1745,"",(tech_base!$K2/tech_proj!AC126*0.086*$J$132)/(1-tech_proj!AC406))</f>
        <v>0</v>
      </c>
      <c r="AD1746" s="119">
        <f>IF(tech_base!$T2&gt;AD$1745,"",(tech_base!$K2/tech_proj!AD126*0.086*$J$132)/(1-tech_proj!AD406))</f>
        <v>0</v>
      </c>
      <c r="AE1746" s="119">
        <f>IF(tech_base!$T2&gt;AE$1745,"",(tech_base!$K2/tech_proj!AE126*0.086*$J$132)/(1-tech_proj!AE406))</f>
        <v>0</v>
      </c>
      <c r="AF1746" s="119">
        <f>IF(tech_base!$T2&gt;AF$1745,"",(tech_base!$K2/tech_proj!AF126*0.086*$J$132)/(1-tech_proj!AF406))</f>
        <v>0</v>
      </c>
      <c r="AG1746" s="119">
        <f>IF(tech_base!$T2&gt;AG$1745,"",(tech_base!$K2/tech_proj!AG126*0.086*$J$132)/(1-tech_proj!AG406))</f>
        <v>0</v>
      </c>
      <c r="AH1746" s="119">
        <f>IF(tech_base!$T2&gt;AH$1745,"",(tech_base!$K2/tech_proj!AH126*0.086*$J$132)/(1-tech_proj!AH406))</f>
        <v>0</v>
      </c>
      <c r="AI1746" s="119">
        <f>IF(tech_base!$T2&gt;AI$1745,"",(tech_base!$K2/tech_proj!AI126*0.086*$J$132)/(1-tech_proj!AI406))</f>
        <v>0</v>
      </c>
      <c r="AJ1746" s="119">
        <f>IF(tech_base!$T2&gt;AJ$1745,"",(tech_base!$K2/tech_proj!AJ126*0.086*$J$132)/(1-tech_proj!AJ406))</f>
        <v>0</v>
      </c>
      <c r="AK1746" s="119">
        <f>IF(tech_base!$T2&gt;AK$1745,"",(tech_base!$K2/tech_proj!AK126*0.086*$J$132)/(1-tech_proj!AK406))</f>
        <v>0</v>
      </c>
      <c r="AL1746" s="119">
        <f>IF(tech_base!$T2&gt;AL$1745,"",(tech_base!$K2/tech_proj!AL126*0.086*$J$132)/(1-tech_proj!AL406))</f>
        <v>0</v>
      </c>
      <c r="AM1746" s="119">
        <f>IF(tech_base!$T2&gt;AM$1745,"",(tech_base!$K2/tech_proj!AM126*0.086*$J$132)/(1-tech_proj!AM406))</f>
        <v>0</v>
      </c>
      <c r="AN1746" s="119">
        <f>IF(tech_base!$T2&gt;AN$1745,"",(tech_base!$K2/tech_proj!AN126*0.086*$J$132)/(1-tech_proj!AN406))</f>
        <v>0</v>
      </c>
      <c r="AO1746" s="119">
        <f>IF(tech_base!$T2&gt;AO$1745,"",(tech_base!$K2/tech_proj!AO126*0.086*$J$132)/(1-tech_proj!AO406))</f>
        <v>0</v>
      </c>
      <c r="AP1746" s="119">
        <f>IF(tech_base!$T2&gt;AP$1745,"",(tech_base!$K2/tech_proj!AP126*0.086*$J$132)/(1-tech_proj!AP406))</f>
        <v>0</v>
      </c>
      <c r="AQ1746" s="119">
        <f>IF(tech_base!$T2&gt;AQ$1745,"",(tech_base!$K2/tech_proj!AQ126*0.086*$J$132)/(1-tech_proj!AQ406))</f>
        <v>0</v>
      </c>
      <c r="AR1746" s="119">
        <f>IF(tech_base!$T2&gt;AR$1745,"",(tech_base!$K2/tech_proj!AR126*0.086*$J$132)/(1-tech_proj!AR406))</f>
        <v>0</v>
      </c>
      <c r="AS1746" s="119">
        <f>IF(tech_base!$T2&gt;AS$1745,"",(tech_base!$K2/tech_proj!AS126*0.086*$J$132)/(1-tech_proj!AS406))</f>
        <v>0</v>
      </c>
      <c r="AT1746" s="119">
        <f>IF(tech_base!$T2&gt;AT$1745,"",(tech_base!$K2/tech_proj!AT126*0.086*$J$132)/(1-tech_proj!AT406))</f>
        <v>0</v>
      </c>
      <c r="AU1746" s="119">
        <f>IF(tech_base!$T2&gt;AU$1745,"",(tech_base!$K2/tech_proj!AU126*0.086*$J$132)/(1-tech_proj!AU406))</f>
        <v>0</v>
      </c>
      <c r="AV1746" s="119">
        <f>IF(tech_base!$T2&gt;AV$1745,"",(tech_base!$K2/tech_proj!AV126*0.086*$J$132)/(1-tech_proj!AV406))</f>
        <v>0</v>
      </c>
      <c r="AW1746" s="119">
        <f>IF(tech_base!$T2&gt;AW$1745,"",(tech_base!$K2/tech_proj!AW126*0.086*$J$132)/(1-tech_proj!AW406))</f>
        <v>0</v>
      </c>
      <c r="AX1746" s="120">
        <f>IF(tech_base!$T2&gt;AX$1745,"",(tech_base!$K2/tech_proj!AX126*0.086*$J$132)/(1-tech_proj!AX406))</f>
        <v>0</v>
      </c>
    </row>
    <row r="1747" spans="1:52" x14ac:dyDescent="0.25">
      <c r="A1747" s="347"/>
      <c r="B1747" s="349"/>
      <c r="C1747" s="350"/>
      <c r="D1747" s="4" t="s">
        <v>8</v>
      </c>
      <c r="E1747" s="168" t="str">
        <f>A1746&amp;"/"&amp;B1746&amp;"/"&amp;C1746&amp;"/"&amp;D1747</f>
        <v>Nuclear power plants/Nuclear - current/Electricity only/M</v>
      </c>
      <c r="F1747" s="80" t="str">
        <f>A1746</f>
        <v>Nuclear power plants</v>
      </c>
      <c r="G1747" s="80" t="str">
        <f>B1746</f>
        <v>Nuclear - current</v>
      </c>
      <c r="H1747" s="80" t="str">
        <f>C1746</f>
        <v>Electricity only</v>
      </c>
      <c r="I1747" s="169" t="str">
        <f t="shared" ref="I1747:I1810" si="382">D1747</f>
        <v>M</v>
      </c>
      <c r="J1747" s="127">
        <f>IF(tech_base!$T3&gt;J$1745,"",(tech_base!$K3/tech_proj!J127*0.086*$J$132)/(1-tech_proj!J407))</f>
        <v>0</v>
      </c>
      <c r="K1747" s="127">
        <f>IF(tech_base!$T3&gt;K$1745,"",(tech_base!$K3/tech_proj!K127*0.086*$J$132)/(1-tech_proj!K407))</f>
        <v>0</v>
      </c>
      <c r="L1747" s="127">
        <f>IF(tech_base!$T3&gt;L$1745,"",(tech_base!$K3/tech_proj!L127*0.086*$J$132)/(1-tech_proj!L407))</f>
        <v>0</v>
      </c>
      <c r="M1747" s="127">
        <f>IF(tech_base!$T3&gt;M$1745,"",(tech_base!$K3/tech_proj!M127*0.086*$J$132)/(1-tech_proj!M407))</f>
        <v>0</v>
      </c>
      <c r="N1747" s="127">
        <f>IF(tech_base!$T3&gt;N$1745,"",(tech_base!$K3/tech_proj!N127*0.086*$J$132)/(1-tech_proj!N407))</f>
        <v>0</v>
      </c>
      <c r="O1747" s="127">
        <f>IF(tech_base!$T3&gt;O$1745,"",(tech_base!$K3/tech_proj!O127*0.086*$J$132)/(1-tech_proj!O407))</f>
        <v>0</v>
      </c>
      <c r="P1747" s="127">
        <f>IF(tech_base!$T3&gt;P$1745,"",(tech_base!$K3/tech_proj!P127*0.086*$J$132)/(1-tech_proj!P407))</f>
        <v>0</v>
      </c>
      <c r="Q1747" s="127">
        <f>IF(tech_base!$T3&gt;Q$1745,"",(tech_base!$K3/tech_proj!Q127*0.086*$J$132)/(1-tech_proj!Q407))</f>
        <v>0</v>
      </c>
      <c r="R1747" s="127">
        <f>IF(tech_base!$T3&gt;R$1745,"",(tech_base!$K3/tech_proj!R127*0.086*$J$132)/(1-tech_proj!R407))</f>
        <v>0</v>
      </c>
      <c r="S1747" s="127">
        <f>IF(tech_base!$T3&gt;S$1745,"",(tech_base!$K3/tech_proj!S127*0.086*$J$132)/(1-tech_proj!S407))</f>
        <v>0</v>
      </c>
      <c r="T1747" s="127">
        <f>IF(tech_base!$T3&gt;T$1745,"",(tech_base!$K3/tech_proj!T127*0.086*$J$132)/(1-tech_proj!T407))</f>
        <v>0</v>
      </c>
      <c r="U1747" s="127">
        <f>IF(tech_base!$T3&gt;U$1745,"",(tech_base!$K3/tech_proj!U127*0.086*$J$132)/(1-tech_proj!U407))</f>
        <v>0</v>
      </c>
      <c r="V1747" s="127">
        <f>IF(tech_base!$T3&gt;V$1745,"",(tech_base!$K3/tech_proj!V127*0.086*$J$132)/(1-tech_proj!V407))</f>
        <v>0</v>
      </c>
      <c r="W1747" s="127">
        <f>IF(tech_base!$T3&gt;W$1745,"",(tech_base!$K3/tech_proj!W127*0.086*$J$132)/(1-tech_proj!W407))</f>
        <v>0</v>
      </c>
      <c r="X1747" s="127">
        <f>IF(tech_base!$T3&gt;X$1745,"",(tech_base!$K3/tech_proj!X127*0.086*$J$132)/(1-tech_proj!X407))</f>
        <v>0</v>
      </c>
      <c r="Y1747" s="127">
        <f>IF(tech_base!$T3&gt;Y$1745,"",(tech_base!$K3/tech_proj!Y127*0.086*$J$132)/(1-tech_proj!Y407))</f>
        <v>0</v>
      </c>
      <c r="Z1747" s="127">
        <f>IF(tech_base!$T3&gt;Z$1745,"",(tech_base!$K3/tech_proj!Z127*0.086*$J$132)/(1-tech_proj!Z407))</f>
        <v>0</v>
      </c>
      <c r="AA1747" s="127">
        <f>IF(tech_base!$T3&gt;AA$1745,"",(tech_base!$K3/tech_proj!AA127*0.086*$J$132)/(1-tech_proj!AA407))</f>
        <v>0</v>
      </c>
      <c r="AB1747" s="127">
        <f>IF(tech_base!$T3&gt;AB$1745,"",(tech_base!$K3/tech_proj!AB127*0.086*$J$132)/(1-tech_proj!AB407))</f>
        <v>0</v>
      </c>
      <c r="AC1747" s="127">
        <f>IF(tech_base!$T3&gt;AC$1745,"",(tech_base!$K3/tech_proj!AC127*0.086*$J$132)/(1-tech_proj!AC407))</f>
        <v>0</v>
      </c>
      <c r="AD1747" s="127">
        <f>IF(tech_base!$T3&gt;AD$1745,"",(tech_base!$K3/tech_proj!AD127*0.086*$J$132)/(1-tech_proj!AD407))</f>
        <v>0</v>
      </c>
      <c r="AE1747" s="127">
        <f>IF(tech_base!$T3&gt;AE$1745,"",(tech_base!$K3/tech_proj!AE127*0.086*$J$132)/(1-tech_proj!AE407))</f>
        <v>0</v>
      </c>
      <c r="AF1747" s="127">
        <f>IF(tech_base!$T3&gt;AF$1745,"",(tech_base!$K3/tech_proj!AF127*0.086*$J$132)/(1-tech_proj!AF407))</f>
        <v>0</v>
      </c>
      <c r="AG1747" s="127">
        <f>IF(tech_base!$T3&gt;AG$1745,"",(tech_base!$K3/tech_proj!AG127*0.086*$J$132)/(1-tech_proj!AG407))</f>
        <v>0</v>
      </c>
      <c r="AH1747" s="127">
        <f>IF(tech_base!$T3&gt;AH$1745,"",(tech_base!$K3/tech_proj!AH127*0.086*$J$132)/(1-tech_proj!AH407))</f>
        <v>0</v>
      </c>
      <c r="AI1747" s="127">
        <f>IF(tech_base!$T3&gt;AI$1745,"",(tech_base!$K3/tech_proj!AI127*0.086*$J$132)/(1-tech_proj!AI407))</f>
        <v>0</v>
      </c>
      <c r="AJ1747" s="127">
        <f>IF(tech_base!$T3&gt;AJ$1745,"",(tech_base!$K3/tech_proj!AJ127*0.086*$J$132)/(1-tech_proj!AJ407))</f>
        <v>0</v>
      </c>
      <c r="AK1747" s="127">
        <f>IF(tech_base!$T3&gt;AK$1745,"",(tech_base!$K3/tech_proj!AK127*0.086*$J$132)/(1-tech_proj!AK407))</f>
        <v>0</v>
      </c>
      <c r="AL1747" s="127">
        <f>IF(tech_base!$T3&gt;AL$1745,"",(tech_base!$K3/tech_proj!AL127*0.086*$J$132)/(1-tech_proj!AL407))</f>
        <v>0</v>
      </c>
      <c r="AM1747" s="127">
        <f>IF(tech_base!$T3&gt;AM$1745,"",(tech_base!$K3/tech_proj!AM127*0.086*$J$132)/(1-tech_proj!AM407))</f>
        <v>0</v>
      </c>
      <c r="AN1747" s="127">
        <f>IF(tech_base!$T3&gt;AN$1745,"",(tech_base!$K3/tech_proj!AN127*0.086*$J$132)/(1-tech_proj!AN407))</f>
        <v>0</v>
      </c>
      <c r="AO1747" s="127">
        <f>IF(tech_base!$T3&gt;AO$1745,"",(tech_base!$K3/tech_proj!AO127*0.086*$J$132)/(1-tech_proj!AO407))</f>
        <v>0</v>
      </c>
      <c r="AP1747" s="127">
        <f>IF(tech_base!$T3&gt;AP$1745,"",(tech_base!$K3/tech_proj!AP127*0.086*$J$132)/(1-tech_proj!AP407))</f>
        <v>0</v>
      </c>
      <c r="AQ1747" s="127">
        <f>IF(tech_base!$T3&gt;AQ$1745,"",(tech_base!$K3/tech_proj!AQ127*0.086*$J$132)/(1-tech_proj!AQ407))</f>
        <v>0</v>
      </c>
      <c r="AR1747" s="127">
        <f>IF(tech_base!$T3&gt;AR$1745,"",(tech_base!$K3/tech_proj!AR127*0.086*$J$132)/(1-tech_proj!AR407))</f>
        <v>0</v>
      </c>
      <c r="AS1747" s="127">
        <f>IF(tech_base!$T3&gt;AS$1745,"",(tech_base!$K3/tech_proj!AS127*0.086*$J$132)/(1-tech_proj!AS407))</f>
        <v>0</v>
      </c>
      <c r="AT1747" s="127">
        <f>IF(tech_base!$T3&gt;AT$1745,"",(tech_base!$K3/tech_proj!AT127*0.086*$J$132)/(1-tech_proj!AT407))</f>
        <v>0</v>
      </c>
      <c r="AU1747" s="127">
        <f>IF(tech_base!$T3&gt;AU$1745,"",(tech_base!$K3/tech_proj!AU127*0.086*$J$132)/(1-tech_proj!AU407))</f>
        <v>0</v>
      </c>
      <c r="AV1747" s="127">
        <f>IF(tech_base!$T3&gt;AV$1745,"",(tech_base!$K3/tech_proj!AV127*0.086*$J$132)/(1-tech_proj!AV407))</f>
        <v>0</v>
      </c>
      <c r="AW1747" s="127">
        <f>IF(tech_base!$T3&gt;AW$1745,"",(tech_base!$K3/tech_proj!AW127*0.086*$J$132)/(1-tech_proj!AW407))</f>
        <v>0</v>
      </c>
      <c r="AX1747" s="128">
        <f>IF(tech_base!$T3&gt;AX$1745,"",(tech_base!$K3/tech_proj!AX127*0.086*$J$132)/(1-tech_proj!AX407))</f>
        <v>0</v>
      </c>
    </row>
    <row r="1748" spans="1:52" x14ac:dyDescent="0.25">
      <c r="A1748" s="347"/>
      <c r="B1748" s="351" t="s">
        <v>9</v>
      </c>
      <c r="C1748" s="353" t="s">
        <v>6</v>
      </c>
      <c r="D1748" s="2" t="s">
        <v>7</v>
      </c>
      <c r="E1748" s="160" t="str">
        <f>A1746&amp;"/"&amp;B1748&amp;"/"&amp;C1748&amp;"/"&amp;D1748</f>
        <v>Nuclear power plants/Nuclear III/Electricity only/L</v>
      </c>
      <c r="F1748" s="76" t="str">
        <f>A1746</f>
        <v>Nuclear power plants</v>
      </c>
      <c r="G1748" s="76" t="str">
        <f>B1748</f>
        <v>Nuclear III</v>
      </c>
      <c r="H1748" s="76" t="str">
        <f>C1748</f>
        <v>Electricity only</v>
      </c>
      <c r="I1748" s="161" t="str">
        <f t="shared" si="382"/>
        <v>L</v>
      </c>
      <c r="J1748" s="119">
        <f>IF(tech_base!$T4&gt;J$1745,"",(tech_base!$K4/tech_proj!J128*0.086*$J$132)/(1-tech_proj!J408))</f>
        <v>0</v>
      </c>
      <c r="K1748" s="119">
        <f>IF(tech_base!$T4&gt;K$1745,"",(tech_base!$K4/tech_proj!K128*0.086*$J$132)/(1-tech_proj!K408))</f>
        <v>0</v>
      </c>
      <c r="L1748" s="119">
        <f>IF(tech_base!$T4&gt;L$1745,"",(tech_base!$K4/tech_proj!L128*0.086*$J$132)/(1-tech_proj!L408))</f>
        <v>0</v>
      </c>
      <c r="M1748" s="119">
        <f>IF(tech_base!$T4&gt;M$1745,"",(tech_base!$K4/tech_proj!M128*0.086*$J$132)/(1-tech_proj!M408))</f>
        <v>0</v>
      </c>
      <c r="N1748" s="119">
        <f>IF(tech_base!$T4&gt;N$1745,"",(tech_base!$K4/tech_proj!N128*0.086*$J$132)/(1-tech_proj!N408))</f>
        <v>0</v>
      </c>
      <c r="O1748" s="119">
        <f>IF(tech_base!$T4&gt;O$1745,"",(tech_base!$K4/tech_proj!O128*0.086*$J$132)/(1-tech_proj!O408))</f>
        <v>0</v>
      </c>
      <c r="P1748" s="119">
        <f>IF(tech_base!$T4&gt;P$1745,"",(tech_base!$K4/tech_proj!P128*0.086*$J$132)/(1-tech_proj!P408))</f>
        <v>0</v>
      </c>
      <c r="Q1748" s="119">
        <f>IF(tech_base!$T4&gt;Q$1745,"",(tech_base!$K4/tech_proj!Q128*0.086*$J$132)/(1-tech_proj!Q408))</f>
        <v>0</v>
      </c>
      <c r="R1748" s="119">
        <f>IF(tech_base!$T4&gt;R$1745,"",(tech_base!$K4/tech_proj!R128*0.086*$J$132)/(1-tech_proj!R408))</f>
        <v>0</v>
      </c>
      <c r="S1748" s="119">
        <f>IF(tech_base!$T4&gt;S$1745,"",(tech_base!$K4/tech_proj!S128*0.086*$J$132)/(1-tech_proj!S408))</f>
        <v>0</v>
      </c>
      <c r="T1748" s="119">
        <f>IF(tech_base!$T4&gt;T$1745,"",(tech_base!$K4/tech_proj!T128*0.086*$J$132)/(1-tech_proj!T408))</f>
        <v>0</v>
      </c>
      <c r="U1748" s="119">
        <f>IF(tech_base!$T4&gt;U$1745,"",(tech_base!$K4/tech_proj!U128*0.086*$J$132)/(1-tech_proj!U408))</f>
        <v>0</v>
      </c>
      <c r="V1748" s="119">
        <f>IF(tech_base!$T4&gt;V$1745,"",(tech_base!$K4/tech_proj!V128*0.086*$J$132)/(1-tech_proj!V408))</f>
        <v>0</v>
      </c>
      <c r="W1748" s="119">
        <f>IF(tech_base!$T4&gt;W$1745,"",(tech_base!$K4/tech_proj!W128*0.086*$J$132)/(1-tech_proj!W408))</f>
        <v>0</v>
      </c>
      <c r="X1748" s="119">
        <f>IF(tech_base!$T4&gt;X$1745,"",(tech_base!$K4/tech_proj!X128*0.086*$J$132)/(1-tech_proj!X408))</f>
        <v>0</v>
      </c>
      <c r="Y1748" s="119">
        <f>IF(tech_base!$T4&gt;Y$1745,"",(tech_base!$K4/tech_proj!Y128*0.086*$J$132)/(1-tech_proj!Y408))</f>
        <v>0</v>
      </c>
      <c r="Z1748" s="119">
        <f>IF(tech_base!$T4&gt;Z$1745,"",(tech_base!$K4/tech_proj!Z128*0.086*$J$132)/(1-tech_proj!Z408))</f>
        <v>0</v>
      </c>
      <c r="AA1748" s="119">
        <f>IF(tech_base!$T4&gt;AA$1745,"",(tech_base!$K4/tech_proj!AA128*0.086*$J$132)/(1-tech_proj!AA408))</f>
        <v>0</v>
      </c>
      <c r="AB1748" s="119">
        <f>IF(tech_base!$T4&gt;AB$1745,"",(tech_base!$K4/tech_proj!AB128*0.086*$J$132)/(1-tech_proj!AB408))</f>
        <v>0</v>
      </c>
      <c r="AC1748" s="119">
        <f>IF(tech_base!$T4&gt;AC$1745,"",(tech_base!$K4/tech_proj!AC128*0.086*$J$132)/(1-tech_proj!AC408))</f>
        <v>0</v>
      </c>
      <c r="AD1748" s="119">
        <f>IF(tech_base!$T4&gt;AD$1745,"",(tech_base!$K4/tech_proj!AD128*0.086*$J$132)/(1-tech_proj!AD408))</f>
        <v>0</v>
      </c>
      <c r="AE1748" s="119">
        <f>IF(tech_base!$T4&gt;AE$1745,"",(tech_base!$K4/tech_proj!AE128*0.086*$J$132)/(1-tech_proj!AE408))</f>
        <v>0</v>
      </c>
      <c r="AF1748" s="119">
        <f>IF(tech_base!$T4&gt;AF$1745,"",(tech_base!$K4/tech_proj!AF128*0.086*$J$132)/(1-tech_proj!AF408))</f>
        <v>0</v>
      </c>
      <c r="AG1748" s="119">
        <f>IF(tech_base!$T4&gt;AG$1745,"",(tech_base!$K4/tech_proj!AG128*0.086*$J$132)/(1-tech_proj!AG408))</f>
        <v>0</v>
      </c>
      <c r="AH1748" s="119">
        <f>IF(tech_base!$T4&gt;AH$1745,"",(tech_base!$K4/tech_proj!AH128*0.086*$J$132)/(1-tech_proj!AH408))</f>
        <v>0</v>
      </c>
      <c r="AI1748" s="119">
        <f>IF(tech_base!$T4&gt;AI$1745,"",(tech_base!$K4/tech_proj!AI128*0.086*$J$132)/(1-tech_proj!AI408))</f>
        <v>0</v>
      </c>
      <c r="AJ1748" s="119">
        <f>IF(tech_base!$T4&gt;AJ$1745,"",(tech_base!$K4/tech_proj!AJ128*0.086*$J$132)/(1-tech_proj!AJ408))</f>
        <v>0</v>
      </c>
      <c r="AK1748" s="119">
        <f>IF(tech_base!$T4&gt;AK$1745,"",(tech_base!$K4/tech_proj!AK128*0.086*$J$132)/(1-tech_proj!AK408))</f>
        <v>0</v>
      </c>
      <c r="AL1748" s="119">
        <f>IF(tech_base!$T4&gt;AL$1745,"",(tech_base!$K4/tech_proj!AL128*0.086*$J$132)/(1-tech_proj!AL408))</f>
        <v>0</v>
      </c>
      <c r="AM1748" s="119">
        <f>IF(tech_base!$T4&gt;AM$1745,"",(tech_base!$K4/tech_proj!AM128*0.086*$J$132)/(1-tech_proj!AM408))</f>
        <v>0</v>
      </c>
      <c r="AN1748" s="119">
        <f>IF(tech_base!$T4&gt;AN$1745,"",(tech_base!$K4/tech_proj!AN128*0.086*$J$132)/(1-tech_proj!AN408))</f>
        <v>0</v>
      </c>
      <c r="AO1748" s="119">
        <f>IF(tech_base!$T4&gt;AO$1745,"",(tech_base!$K4/tech_proj!AO128*0.086*$J$132)/(1-tech_proj!AO408))</f>
        <v>0</v>
      </c>
      <c r="AP1748" s="119">
        <f>IF(tech_base!$T4&gt;AP$1745,"",(tech_base!$K4/tech_proj!AP128*0.086*$J$132)/(1-tech_proj!AP408))</f>
        <v>0</v>
      </c>
      <c r="AQ1748" s="119">
        <f>IF(tech_base!$T4&gt;AQ$1745,"",(tech_base!$K4/tech_proj!AQ128*0.086*$J$132)/(1-tech_proj!AQ408))</f>
        <v>0</v>
      </c>
      <c r="AR1748" s="119">
        <f>IF(tech_base!$T4&gt;AR$1745,"",(tech_base!$K4/tech_proj!AR128*0.086*$J$132)/(1-tech_proj!AR408))</f>
        <v>0</v>
      </c>
      <c r="AS1748" s="119">
        <f>IF(tech_base!$T4&gt;AS$1745,"",(tech_base!$K4/tech_proj!AS128*0.086*$J$132)/(1-tech_proj!AS408))</f>
        <v>0</v>
      </c>
      <c r="AT1748" s="119">
        <f>IF(tech_base!$T4&gt;AT$1745,"",(tech_base!$K4/tech_proj!AT128*0.086*$J$132)/(1-tech_proj!AT408))</f>
        <v>0</v>
      </c>
      <c r="AU1748" s="119">
        <f>IF(tech_base!$T4&gt;AU$1745,"",(tech_base!$K4/tech_proj!AU128*0.086*$J$132)/(1-tech_proj!AU408))</f>
        <v>0</v>
      </c>
      <c r="AV1748" s="119">
        <f>IF(tech_base!$T4&gt;AV$1745,"",(tech_base!$K4/tech_proj!AV128*0.086*$J$132)/(1-tech_proj!AV408))</f>
        <v>0</v>
      </c>
      <c r="AW1748" s="119">
        <f>IF(tech_base!$T4&gt;AW$1745,"",(tech_base!$K4/tech_proj!AW128*0.086*$J$132)/(1-tech_proj!AW408))</f>
        <v>0</v>
      </c>
      <c r="AX1748" s="120">
        <f>IF(tech_base!$T4&gt;AX$1745,"",(tech_base!$K4/tech_proj!AX128*0.086*$J$132)/(1-tech_proj!AX408))</f>
        <v>0</v>
      </c>
      <c r="AZ1748" s="174"/>
    </row>
    <row r="1749" spans="1:52" x14ac:dyDescent="0.25">
      <c r="A1749" s="347"/>
      <c r="B1749" s="349"/>
      <c r="C1749" s="350"/>
      <c r="D1749" s="2" t="s">
        <v>8</v>
      </c>
      <c r="E1749" s="160" t="str">
        <f>A1746&amp;"/"&amp;B1748&amp;"/"&amp;C1748&amp;"/"&amp;D1749</f>
        <v>Nuclear power plants/Nuclear III/Electricity only/M</v>
      </c>
      <c r="F1749" s="76" t="str">
        <f>A1746</f>
        <v>Nuclear power plants</v>
      </c>
      <c r="G1749" s="76" t="str">
        <f>B1748</f>
        <v>Nuclear III</v>
      </c>
      <c r="H1749" s="76" t="str">
        <f>C1748</f>
        <v>Electricity only</v>
      </c>
      <c r="I1749" s="161" t="str">
        <f t="shared" si="382"/>
        <v>M</v>
      </c>
      <c r="J1749" s="119">
        <f>IF(tech_base!$T5&gt;J$1745,"",(tech_base!$K5/tech_proj!J129*0.086*$J$132)/(1-tech_proj!J409))</f>
        <v>0</v>
      </c>
      <c r="K1749" s="119">
        <f>IF(tech_base!$T5&gt;K$1745,"",(tech_base!$K5/tech_proj!K129*0.086*$J$132)/(1-tech_proj!K409))</f>
        <v>0</v>
      </c>
      <c r="L1749" s="119">
        <f>IF(tech_base!$T5&gt;L$1745,"",(tech_base!$K5/tech_proj!L129*0.086*$J$132)/(1-tech_proj!L409))</f>
        <v>0</v>
      </c>
      <c r="M1749" s="119">
        <f>IF(tech_base!$T5&gt;M$1745,"",(tech_base!$K5/tech_proj!M129*0.086*$J$132)/(1-tech_proj!M409))</f>
        <v>0</v>
      </c>
      <c r="N1749" s="119">
        <f>IF(tech_base!$T5&gt;N$1745,"",(tech_base!$K5/tech_proj!N129*0.086*$J$132)/(1-tech_proj!N409))</f>
        <v>0</v>
      </c>
      <c r="O1749" s="119">
        <f>IF(tech_base!$T5&gt;O$1745,"",(tech_base!$K5/tech_proj!O129*0.086*$J$132)/(1-tech_proj!O409))</f>
        <v>0</v>
      </c>
      <c r="P1749" s="119">
        <f>IF(tech_base!$T5&gt;P$1745,"",(tech_base!$K5/tech_proj!P129*0.086*$J$132)/(1-tech_proj!P409))</f>
        <v>0</v>
      </c>
      <c r="Q1749" s="119">
        <f>IF(tech_base!$T5&gt;Q$1745,"",(tech_base!$K5/tech_proj!Q129*0.086*$J$132)/(1-tech_proj!Q409))</f>
        <v>0</v>
      </c>
      <c r="R1749" s="119">
        <f>IF(tech_base!$T5&gt;R$1745,"",(tech_base!$K5/tech_proj!R129*0.086*$J$132)/(1-tech_proj!R409))</f>
        <v>0</v>
      </c>
      <c r="S1749" s="119">
        <f>IF(tech_base!$T5&gt;S$1745,"",(tech_base!$K5/tech_proj!S129*0.086*$J$132)/(1-tech_proj!S409))</f>
        <v>0</v>
      </c>
      <c r="T1749" s="119">
        <f>IF(tech_base!$T5&gt;T$1745,"",(tech_base!$K5/tech_proj!T129*0.086*$J$132)/(1-tech_proj!T409))</f>
        <v>0</v>
      </c>
      <c r="U1749" s="119">
        <f>IF(tech_base!$T5&gt;U$1745,"",(tech_base!$K5/tech_proj!U129*0.086*$J$132)/(1-tech_proj!U409))</f>
        <v>0</v>
      </c>
      <c r="V1749" s="119">
        <f>IF(tech_base!$T5&gt;V$1745,"",(tech_base!$K5/tech_proj!V129*0.086*$J$132)/(1-tech_proj!V409))</f>
        <v>0</v>
      </c>
      <c r="W1749" s="119">
        <f>IF(tech_base!$T5&gt;W$1745,"",(tech_base!$K5/tech_proj!W129*0.086*$J$132)/(1-tech_proj!W409))</f>
        <v>0</v>
      </c>
      <c r="X1749" s="119">
        <f>IF(tech_base!$T5&gt;X$1745,"",(tech_base!$K5/tech_proj!X129*0.086*$J$132)/(1-tech_proj!X409))</f>
        <v>0</v>
      </c>
      <c r="Y1749" s="119">
        <f>IF(tech_base!$T5&gt;Y$1745,"",(tech_base!$K5/tech_proj!Y129*0.086*$J$132)/(1-tech_proj!Y409))</f>
        <v>0</v>
      </c>
      <c r="Z1749" s="119">
        <f>IF(tech_base!$T5&gt;Z$1745,"",(tech_base!$K5/tech_proj!Z129*0.086*$J$132)/(1-tech_proj!Z409))</f>
        <v>0</v>
      </c>
      <c r="AA1749" s="119">
        <f>IF(tech_base!$T5&gt;AA$1745,"",(tech_base!$K5/tech_proj!AA129*0.086*$J$132)/(1-tech_proj!AA409))</f>
        <v>0</v>
      </c>
      <c r="AB1749" s="119">
        <f>IF(tech_base!$T5&gt;AB$1745,"",(tech_base!$K5/tech_proj!AB129*0.086*$J$132)/(1-tech_proj!AB409))</f>
        <v>0</v>
      </c>
      <c r="AC1749" s="119">
        <f>IF(tech_base!$T5&gt;AC$1745,"",(tech_base!$K5/tech_proj!AC129*0.086*$J$132)/(1-tech_proj!AC409))</f>
        <v>0</v>
      </c>
      <c r="AD1749" s="119">
        <f>IF(tech_base!$T5&gt;AD$1745,"",(tech_base!$K5/tech_proj!AD129*0.086*$J$132)/(1-tech_proj!AD409))</f>
        <v>0</v>
      </c>
      <c r="AE1749" s="119">
        <f>IF(tech_base!$T5&gt;AE$1745,"",(tech_base!$K5/tech_proj!AE129*0.086*$J$132)/(1-tech_proj!AE409))</f>
        <v>0</v>
      </c>
      <c r="AF1749" s="119">
        <f>IF(tech_base!$T5&gt;AF$1745,"",(tech_base!$K5/tech_proj!AF129*0.086*$J$132)/(1-tech_proj!AF409))</f>
        <v>0</v>
      </c>
      <c r="AG1749" s="119">
        <f>IF(tech_base!$T5&gt;AG$1745,"",(tech_base!$K5/tech_proj!AG129*0.086*$J$132)/(1-tech_proj!AG409))</f>
        <v>0</v>
      </c>
      <c r="AH1749" s="119">
        <f>IF(tech_base!$T5&gt;AH$1745,"",(tech_base!$K5/tech_proj!AH129*0.086*$J$132)/(1-tech_proj!AH409))</f>
        <v>0</v>
      </c>
      <c r="AI1749" s="119">
        <f>IF(tech_base!$T5&gt;AI$1745,"",(tech_base!$K5/tech_proj!AI129*0.086*$J$132)/(1-tech_proj!AI409))</f>
        <v>0</v>
      </c>
      <c r="AJ1749" s="119">
        <f>IF(tech_base!$T5&gt;AJ$1745,"",(tech_base!$K5/tech_proj!AJ129*0.086*$J$132)/(1-tech_proj!AJ409))</f>
        <v>0</v>
      </c>
      <c r="AK1749" s="119">
        <f>IF(tech_base!$T5&gt;AK$1745,"",(tech_base!$K5/tech_proj!AK129*0.086*$J$132)/(1-tech_proj!AK409))</f>
        <v>0</v>
      </c>
      <c r="AL1749" s="119">
        <f>IF(tech_base!$T5&gt;AL$1745,"",(tech_base!$K5/tech_proj!AL129*0.086*$J$132)/(1-tech_proj!AL409))</f>
        <v>0</v>
      </c>
      <c r="AM1749" s="119">
        <f>IF(tech_base!$T5&gt;AM$1745,"",(tech_base!$K5/tech_proj!AM129*0.086*$J$132)/(1-tech_proj!AM409))</f>
        <v>0</v>
      </c>
      <c r="AN1749" s="119">
        <f>IF(tech_base!$T5&gt;AN$1745,"",(tech_base!$K5/tech_proj!AN129*0.086*$J$132)/(1-tech_proj!AN409))</f>
        <v>0</v>
      </c>
      <c r="AO1749" s="119">
        <f>IF(tech_base!$T5&gt;AO$1745,"",(tech_base!$K5/tech_proj!AO129*0.086*$J$132)/(1-tech_proj!AO409))</f>
        <v>0</v>
      </c>
      <c r="AP1749" s="119">
        <f>IF(tech_base!$T5&gt;AP$1745,"",(tech_base!$K5/tech_proj!AP129*0.086*$J$132)/(1-tech_proj!AP409))</f>
        <v>0</v>
      </c>
      <c r="AQ1749" s="119">
        <f>IF(tech_base!$T5&gt;AQ$1745,"",(tech_base!$K5/tech_proj!AQ129*0.086*$J$132)/(1-tech_proj!AQ409))</f>
        <v>0</v>
      </c>
      <c r="AR1749" s="119">
        <f>IF(tech_base!$T5&gt;AR$1745,"",(tech_base!$K5/tech_proj!AR129*0.086*$J$132)/(1-tech_proj!AR409))</f>
        <v>0</v>
      </c>
      <c r="AS1749" s="119">
        <f>IF(tech_base!$T5&gt;AS$1745,"",(tech_base!$K5/tech_proj!AS129*0.086*$J$132)/(1-tech_proj!AS409))</f>
        <v>0</v>
      </c>
      <c r="AT1749" s="119">
        <f>IF(tech_base!$T5&gt;AT$1745,"",(tech_base!$K5/tech_proj!AT129*0.086*$J$132)/(1-tech_proj!AT409))</f>
        <v>0</v>
      </c>
      <c r="AU1749" s="119">
        <f>IF(tech_base!$T5&gt;AU$1745,"",(tech_base!$K5/tech_proj!AU129*0.086*$J$132)/(1-tech_proj!AU409))</f>
        <v>0</v>
      </c>
      <c r="AV1749" s="119">
        <f>IF(tech_base!$T5&gt;AV$1745,"",(tech_base!$K5/tech_proj!AV129*0.086*$J$132)/(1-tech_proj!AV409))</f>
        <v>0</v>
      </c>
      <c r="AW1749" s="119">
        <f>IF(tech_base!$T5&gt;AW$1745,"",(tech_base!$K5/tech_proj!AW129*0.086*$J$132)/(1-tech_proj!AW409))</f>
        <v>0</v>
      </c>
      <c r="AX1749" s="120">
        <f>IF(tech_base!$T5&gt;AX$1745,"",(tech_base!$K5/tech_proj!AX129*0.086*$J$132)/(1-tech_proj!AX409))</f>
        <v>0</v>
      </c>
    </row>
    <row r="1750" spans="1:52" x14ac:dyDescent="0.25">
      <c r="A1750" s="347"/>
      <c r="B1750" s="352"/>
      <c r="C1750" s="381"/>
      <c r="D1750" s="4" t="s">
        <v>10</v>
      </c>
      <c r="E1750" s="168" t="str">
        <f>A1746&amp;"/"&amp;B1748&amp;"/"&amp;C1748&amp;"/"&amp;D1750</f>
        <v>Nuclear power plants/Nuclear III/Electricity only/S</v>
      </c>
      <c r="F1750" s="80" t="str">
        <f>A1746</f>
        <v>Nuclear power plants</v>
      </c>
      <c r="G1750" s="80" t="str">
        <f>B1748</f>
        <v>Nuclear III</v>
      </c>
      <c r="H1750" s="80" t="str">
        <f>C1748</f>
        <v>Electricity only</v>
      </c>
      <c r="I1750" s="169" t="str">
        <f t="shared" si="382"/>
        <v>S</v>
      </c>
      <c r="J1750" s="127" t="str">
        <f>IF(tech_base!$T6&gt;J$1745,"",(tech_base!$K6/tech_proj!J130*0.086*$J$132)/(1-tech_proj!J410))</f>
        <v/>
      </c>
      <c r="K1750" s="127" t="str">
        <f>IF(tech_base!$T6&gt;K$1745,"",(tech_base!$K6/tech_proj!K130*0.086*$J$132)/(1-tech_proj!K410))</f>
        <v/>
      </c>
      <c r="L1750" s="127" t="str">
        <f>IF(tech_base!$T6&gt;L$1745,"",(tech_base!$K6/tech_proj!L130*0.086*$J$132)/(1-tech_proj!L410))</f>
        <v/>
      </c>
      <c r="M1750" s="127" t="str">
        <f>IF(tech_base!$T6&gt;M$1745,"",(tech_base!$K6/tech_proj!M130*0.086*$J$132)/(1-tech_proj!M410))</f>
        <v/>
      </c>
      <c r="N1750" s="127" t="str">
        <f>IF(tech_base!$T6&gt;N$1745,"",(tech_base!$K6/tech_proj!N130*0.086*$J$132)/(1-tech_proj!N410))</f>
        <v/>
      </c>
      <c r="O1750" s="127" t="str">
        <f>IF(tech_base!$T6&gt;O$1745,"",(tech_base!$K6/tech_proj!O130*0.086*$J$132)/(1-tech_proj!O410))</f>
        <v/>
      </c>
      <c r="P1750" s="127" t="str">
        <f>IF(tech_base!$T6&gt;P$1745,"",(tech_base!$K6/tech_proj!P130*0.086*$J$132)/(1-tech_proj!P410))</f>
        <v/>
      </c>
      <c r="Q1750" s="127" t="str">
        <f>IF(tech_base!$T6&gt;Q$1745,"",(tech_base!$K6/tech_proj!Q130*0.086*$J$132)/(1-tech_proj!Q410))</f>
        <v/>
      </c>
      <c r="R1750" s="127" t="str">
        <f>IF(tech_base!$T6&gt;R$1745,"",(tech_base!$K6/tech_proj!R130*0.086*$J$132)/(1-tech_proj!R410))</f>
        <v/>
      </c>
      <c r="S1750" s="127" t="str">
        <f>IF(tech_base!$T6&gt;S$1745,"",(tech_base!$K6/tech_proj!S130*0.086*$J$132)/(1-tech_proj!S410))</f>
        <v/>
      </c>
      <c r="T1750" s="127" t="str">
        <f>IF(tech_base!$T6&gt;T$1745,"",(tech_base!$K6/tech_proj!T130*0.086*$J$132)/(1-tech_proj!T410))</f>
        <v/>
      </c>
      <c r="U1750" s="127" t="str">
        <f>IF(tech_base!$T6&gt;U$1745,"",(tech_base!$K6/tech_proj!U130*0.086*$J$132)/(1-tech_proj!U410))</f>
        <v/>
      </c>
      <c r="V1750" s="127" t="str">
        <f>IF(tech_base!$T6&gt;V$1745,"",(tech_base!$K6/tech_proj!V130*0.086*$J$132)/(1-tech_proj!V410))</f>
        <v/>
      </c>
      <c r="W1750" s="127" t="str">
        <f>IF(tech_base!$T6&gt;W$1745,"",(tech_base!$K6/tech_proj!W130*0.086*$J$132)/(1-tech_proj!W410))</f>
        <v/>
      </c>
      <c r="X1750" s="127" t="str">
        <f>IF(tech_base!$T6&gt;X$1745,"",(tech_base!$K6/tech_proj!X130*0.086*$J$132)/(1-tech_proj!X410))</f>
        <v/>
      </c>
      <c r="Y1750" s="127">
        <f>IF(tech_base!$T6&gt;Y$1745,"",(tech_base!$K6/tech_proj!Y130*0.086*$J$132)/(1-tech_proj!Y410))</f>
        <v>0</v>
      </c>
      <c r="Z1750" s="127">
        <f>IF(tech_base!$T6&gt;Z$1745,"",(tech_base!$K6/tech_proj!Z130*0.086*$J$132)/(1-tech_proj!Z410))</f>
        <v>0</v>
      </c>
      <c r="AA1750" s="127">
        <f>IF(tech_base!$T6&gt;AA$1745,"",(tech_base!$K6/tech_proj!AA130*0.086*$J$132)/(1-tech_proj!AA410))</f>
        <v>0</v>
      </c>
      <c r="AB1750" s="127">
        <f>IF(tech_base!$T6&gt;AB$1745,"",(tech_base!$K6/tech_proj!AB130*0.086*$J$132)/(1-tech_proj!AB410))</f>
        <v>0</v>
      </c>
      <c r="AC1750" s="127">
        <f>IF(tech_base!$T6&gt;AC$1745,"",(tech_base!$K6/tech_proj!AC130*0.086*$J$132)/(1-tech_proj!AC410))</f>
        <v>0</v>
      </c>
      <c r="AD1750" s="127">
        <f>IF(tech_base!$T6&gt;AD$1745,"",(tech_base!$K6/tech_proj!AD130*0.086*$J$132)/(1-tech_proj!AD410))</f>
        <v>0</v>
      </c>
      <c r="AE1750" s="127">
        <f>IF(tech_base!$T6&gt;AE$1745,"",(tech_base!$K6/tech_proj!AE130*0.086*$J$132)/(1-tech_proj!AE410))</f>
        <v>0</v>
      </c>
      <c r="AF1750" s="127">
        <f>IF(tech_base!$T6&gt;AF$1745,"",(tech_base!$K6/tech_proj!AF130*0.086*$J$132)/(1-tech_proj!AF410))</f>
        <v>0</v>
      </c>
      <c r="AG1750" s="127">
        <f>IF(tech_base!$T6&gt;AG$1745,"",(tech_base!$K6/tech_proj!AG130*0.086*$J$132)/(1-tech_proj!AG410))</f>
        <v>0</v>
      </c>
      <c r="AH1750" s="127">
        <f>IF(tech_base!$T6&gt;AH$1745,"",(tech_base!$K6/tech_proj!AH130*0.086*$J$132)/(1-tech_proj!AH410))</f>
        <v>0</v>
      </c>
      <c r="AI1750" s="127">
        <f>IF(tech_base!$T6&gt;AI$1745,"",(tech_base!$K6/tech_proj!AI130*0.086*$J$132)/(1-tech_proj!AI410))</f>
        <v>0</v>
      </c>
      <c r="AJ1750" s="127">
        <f>IF(tech_base!$T6&gt;AJ$1745,"",(tech_base!$K6/tech_proj!AJ130*0.086*$J$132)/(1-tech_proj!AJ410))</f>
        <v>0</v>
      </c>
      <c r="AK1750" s="127">
        <f>IF(tech_base!$T6&gt;AK$1745,"",(tech_base!$K6/tech_proj!AK130*0.086*$J$132)/(1-tech_proj!AK410))</f>
        <v>0</v>
      </c>
      <c r="AL1750" s="127">
        <f>IF(tech_base!$T6&gt;AL$1745,"",(tech_base!$K6/tech_proj!AL130*0.086*$J$132)/(1-tech_proj!AL410))</f>
        <v>0</v>
      </c>
      <c r="AM1750" s="127">
        <f>IF(tech_base!$T6&gt;AM$1745,"",(tech_base!$K6/tech_proj!AM130*0.086*$J$132)/(1-tech_proj!AM410))</f>
        <v>0</v>
      </c>
      <c r="AN1750" s="127">
        <f>IF(tech_base!$T6&gt;AN$1745,"",(tech_base!$K6/tech_proj!AN130*0.086*$J$132)/(1-tech_proj!AN410))</f>
        <v>0</v>
      </c>
      <c r="AO1750" s="127">
        <f>IF(tech_base!$T6&gt;AO$1745,"",(tech_base!$K6/tech_proj!AO130*0.086*$J$132)/(1-tech_proj!AO410))</f>
        <v>0</v>
      </c>
      <c r="AP1750" s="127">
        <f>IF(tech_base!$T6&gt;AP$1745,"",(tech_base!$K6/tech_proj!AP130*0.086*$J$132)/(1-tech_proj!AP410))</f>
        <v>0</v>
      </c>
      <c r="AQ1750" s="127">
        <f>IF(tech_base!$T6&gt;AQ$1745,"",(tech_base!$K6/tech_proj!AQ130*0.086*$J$132)/(1-tech_proj!AQ410))</f>
        <v>0</v>
      </c>
      <c r="AR1750" s="127">
        <f>IF(tech_base!$T6&gt;AR$1745,"",(tech_base!$K6/tech_proj!AR130*0.086*$J$132)/(1-tech_proj!AR410))</f>
        <v>0</v>
      </c>
      <c r="AS1750" s="127">
        <f>IF(tech_base!$T6&gt;AS$1745,"",(tech_base!$K6/tech_proj!AS130*0.086*$J$132)/(1-tech_proj!AS410))</f>
        <v>0</v>
      </c>
      <c r="AT1750" s="127">
        <f>IF(tech_base!$T6&gt;AT$1745,"",(tech_base!$K6/tech_proj!AT130*0.086*$J$132)/(1-tech_proj!AT410))</f>
        <v>0</v>
      </c>
      <c r="AU1750" s="127">
        <f>IF(tech_base!$T6&gt;AU$1745,"",(tech_base!$K6/tech_proj!AU130*0.086*$J$132)/(1-tech_proj!AU410))</f>
        <v>0</v>
      </c>
      <c r="AV1750" s="127">
        <f>IF(tech_base!$T6&gt;AV$1745,"",(tech_base!$K6/tech_proj!AV130*0.086*$J$132)/(1-tech_proj!AV410))</f>
        <v>0</v>
      </c>
      <c r="AW1750" s="127">
        <f>IF(tech_base!$T6&gt;AW$1745,"",(tech_base!$K6/tech_proj!AW130*0.086*$J$132)/(1-tech_proj!AW410))</f>
        <v>0</v>
      </c>
      <c r="AX1750" s="128">
        <f>IF(tech_base!$T6&gt;AX$1745,"",(tech_base!$K6/tech_proj!AX130*0.086*$J$132)/(1-tech_proj!AX410))</f>
        <v>0</v>
      </c>
    </row>
    <row r="1751" spans="1:52" x14ac:dyDescent="0.25">
      <c r="A1751" s="347"/>
      <c r="B1751" s="349" t="s">
        <v>11</v>
      </c>
      <c r="C1751" s="363" t="s">
        <v>6</v>
      </c>
      <c r="D1751" s="2" t="s">
        <v>7</v>
      </c>
      <c r="E1751" s="160" t="str">
        <f>A1746&amp;"/"&amp;B1751&amp;"/"&amp;C1751&amp;"/"&amp;D1751</f>
        <v>Nuclear power plants/Nuclear IV/Electricity only/L</v>
      </c>
      <c r="F1751" s="76" t="str">
        <f>A1746</f>
        <v>Nuclear power plants</v>
      </c>
      <c r="G1751" s="76" t="str">
        <f>B1751</f>
        <v>Nuclear IV</v>
      </c>
      <c r="H1751" s="76" t="str">
        <f>C1751</f>
        <v>Electricity only</v>
      </c>
      <c r="I1751" s="161" t="str">
        <f t="shared" si="382"/>
        <v>L</v>
      </c>
      <c r="J1751" s="119" t="str">
        <f>IF(tech_base!$T7&gt;J$1745,"",(tech_base!$K7/tech_proj!J131*0.086*$J$132)/(1-tech_proj!J411))</f>
        <v/>
      </c>
      <c r="K1751" s="119" t="str">
        <f>IF(tech_base!$T7&gt;K$1745,"",(tech_base!$K7/tech_proj!K131*0.086*$J$132)/(1-tech_proj!K411))</f>
        <v/>
      </c>
      <c r="L1751" s="119" t="str">
        <f>IF(tech_base!$T7&gt;L$1745,"",(tech_base!$K7/tech_proj!L131*0.086*$J$132)/(1-tech_proj!L411))</f>
        <v/>
      </c>
      <c r="M1751" s="119" t="str">
        <f>IF(tech_base!$T7&gt;M$1745,"",(tech_base!$K7/tech_proj!M131*0.086*$J$132)/(1-tech_proj!M411))</f>
        <v/>
      </c>
      <c r="N1751" s="119" t="str">
        <f>IF(tech_base!$T7&gt;N$1745,"",(tech_base!$K7/tech_proj!N131*0.086*$J$132)/(1-tech_proj!N411))</f>
        <v/>
      </c>
      <c r="O1751" s="119" t="str">
        <f>IF(tech_base!$T7&gt;O$1745,"",(tech_base!$K7/tech_proj!O131*0.086*$J$132)/(1-tech_proj!O411))</f>
        <v/>
      </c>
      <c r="P1751" s="119" t="str">
        <f>IF(tech_base!$T7&gt;P$1745,"",(tech_base!$K7/tech_proj!P131*0.086*$J$132)/(1-tech_proj!P411))</f>
        <v/>
      </c>
      <c r="Q1751" s="119" t="str">
        <f>IF(tech_base!$T7&gt;Q$1745,"",(tech_base!$K7/tech_proj!Q131*0.086*$J$132)/(1-tech_proj!Q411))</f>
        <v/>
      </c>
      <c r="R1751" s="119" t="str">
        <f>IF(tech_base!$T7&gt;R$1745,"",(tech_base!$K7/tech_proj!R131*0.086*$J$132)/(1-tech_proj!R411))</f>
        <v/>
      </c>
      <c r="S1751" s="119" t="str">
        <f>IF(tech_base!$T7&gt;S$1745,"",(tech_base!$K7/tech_proj!S131*0.086*$J$132)/(1-tech_proj!S411))</f>
        <v/>
      </c>
      <c r="T1751" s="119" t="str">
        <f>IF(tech_base!$T7&gt;T$1745,"",(tech_base!$K7/tech_proj!T131*0.086*$J$132)/(1-tech_proj!T411))</f>
        <v/>
      </c>
      <c r="U1751" s="119" t="str">
        <f>IF(tech_base!$T7&gt;U$1745,"",(tech_base!$K7/tech_proj!U131*0.086*$J$132)/(1-tech_proj!U411))</f>
        <v/>
      </c>
      <c r="V1751" s="119" t="str">
        <f>IF(tech_base!$T7&gt;V$1745,"",(tech_base!$K7/tech_proj!V131*0.086*$J$132)/(1-tech_proj!V411))</f>
        <v/>
      </c>
      <c r="W1751" s="119" t="str">
        <f>IF(tech_base!$T7&gt;W$1745,"",(tech_base!$K7/tech_proj!W131*0.086*$J$132)/(1-tech_proj!W411))</f>
        <v/>
      </c>
      <c r="X1751" s="119" t="str">
        <f>IF(tech_base!$T7&gt;X$1745,"",(tech_base!$K7/tech_proj!X131*0.086*$J$132)/(1-tech_proj!X411))</f>
        <v/>
      </c>
      <c r="Y1751" s="119" t="str">
        <f>IF(tech_base!$T7&gt;Y$1745,"",(tech_base!$K7/tech_proj!Y131*0.086*$J$132)/(1-tech_proj!Y411))</f>
        <v/>
      </c>
      <c r="Z1751" s="119" t="str">
        <f>IF(tech_base!$T7&gt;Z$1745,"",(tech_base!$K7/tech_proj!Z131*0.086*$J$132)/(1-tech_proj!Z411))</f>
        <v/>
      </c>
      <c r="AA1751" s="119" t="str">
        <f>IF(tech_base!$T7&gt;AA$1745,"",(tech_base!$K7/tech_proj!AA131*0.086*$J$132)/(1-tech_proj!AA411))</f>
        <v/>
      </c>
      <c r="AB1751" s="119" t="str">
        <f>IF(tech_base!$T7&gt;AB$1745,"",(tech_base!$K7/tech_proj!AB131*0.086*$J$132)/(1-tech_proj!AB411))</f>
        <v/>
      </c>
      <c r="AC1751" s="119" t="str">
        <f>IF(tech_base!$T7&gt;AC$1745,"",(tech_base!$K7/tech_proj!AC131*0.086*$J$132)/(1-tech_proj!AC411))</f>
        <v/>
      </c>
      <c r="AD1751" s="119" t="str">
        <f>IF(tech_base!$T7&gt;AD$1745,"",(tech_base!$K7/tech_proj!AD131*0.086*$J$132)/(1-tech_proj!AD411))</f>
        <v/>
      </c>
      <c r="AE1751" s="119" t="str">
        <f>IF(tech_base!$T7&gt;AE$1745,"",(tech_base!$K7/tech_proj!AE131*0.086*$J$132)/(1-tech_proj!AE411))</f>
        <v/>
      </c>
      <c r="AF1751" s="119" t="str">
        <f>IF(tech_base!$T7&gt;AF$1745,"",(tech_base!$K7/tech_proj!AF131*0.086*$J$132)/(1-tech_proj!AF411))</f>
        <v/>
      </c>
      <c r="AG1751" s="119" t="str">
        <f>IF(tech_base!$T7&gt;AG$1745,"",(tech_base!$K7/tech_proj!AG131*0.086*$J$132)/(1-tech_proj!AG411))</f>
        <v/>
      </c>
      <c r="AH1751" s="119" t="str">
        <f>IF(tech_base!$T7&gt;AH$1745,"",(tech_base!$K7/tech_proj!AH131*0.086*$J$132)/(1-tech_proj!AH411))</f>
        <v/>
      </c>
      <c r="AI1751" s="119">
        <f>IF(tech_base!$T7&gt;AI$1745,"",(tech_base!$K7/tech_proj!AI131*0.086*$J$132)/(1-tech_proj!AI411))</f>
        <v>0</v>
      </c>
      <c r="AJ1751" s="119">
        <f>IF(tech_base!$T7&gt;AJ$1745,"",(tech_base!$K7/tech_proj!AJ131*0.086*$J$132)/(1-tech_proj!AJ411))</f>
        <v>0</v>
      </c>
      <c r="AK1751" s="119">
        <f>IF(tech_base!$T7&gt;AK$1745,"",(tech_base!$K7/tech_proj!AK131*0.086*$J$132)/(1-tech_proj!AK411))</f>
        <v>0</v>
      </c>
      <c r="AL1751" s="119">
        <f>IF(tech_base!$T7&gt;AL$1745,"",(tech_base!$K7/tech_proj!AL131*0.086*$J$132)/(1-tech_proj!AL411))</f>
        <v>0</v>
      </c>
      <c r="AM1751" s="119">
        <f>IF(tech_base!$T7&gt;AM$1745,"",(tech_base!$K7/tech_proj!AM131*0.086*$J$132)/(1-tech_proj!AM411))</f>
        <v>0</v>
      </c>
      <c r="AN1751" s="119">
        <f>IF(tech_base!$T7&gt;AN$1745,"",(tech_base!$K7/tech_proj!AN131*0.086*$J$132)/(1-tech_proj!AN411))</f>
        <v>0</v>
      </c>
      <c r="AO1751" s="119">
        <f>IF(tech_base!$T7&gt;AO$1745,"",(tech_base!$K7/tech_proj!AO131*0.086*$J$132)/(1-tech_proj!AO411))</f>
        <v>0</v>
      </c>
      <c r="AP1751" s="119">
        <f>IF(tech_base!$T7&gt;AP$1745,"",(tech_base!$K7/tech_proj!AP131*0.086*$J$132)/(1-tech_proj!AP411))</f>
        <v>0</v>
      </c>
      <c r="AQ1751" s="119">
        <f>IF(tech_base!$T7&gt;AQ$1745,"",(tech_base!$K7/tech_proj!AQ131*0.086*$J$132)/(1-tech_proj!AQ411))</f>
        <v>0</v>
      </c>
      <c r="AR1751" s="119">
        <f>IF(tech_base!$T7&gt;AR$1745,"",(tech_base!$K7/tech_proj!AR131*0.086*$J$132)/(1-tech_proj!AR411))</f>
        <v>0</v>
      </c>
      <c r="AS1751" s="119">
        <f>IF(tech_base!$T7&gt;AS$1745,"",(tech_base!$K7/tech_proj!AS131*0.086*$J$132)/(1-tech_proj!AS411))</f>
        <v>0</v>
      </c>
      <c r="AT1751" s="119">
        <f>IF(tech_base!$T7&gt;AT$1745,"",(tech_base!$K7/tech_proj!AT131*0.086*$J$132)/(1-tech_proj!AT411))</f>
        <v>0</v>
      </c>
      <c r="AU1751" s="119">
        <f>IF(tech_base!$T7&gt;AU$1745,"",(tech_base!$K7/tech_proj!AU131*0.086*$J$132)/(1-tech_proj!AU411))</f>
        <v>0</v>
      </c>
      <c r="AV1751" s="119">
        <f>IF(tech_base!$T7&gt;AV$1745,"",(tech_base!$K7/tech_proj!AV131*0.086*$J$132)/(1-tech_proj!AV411))</f>
        <v>0</v>
      </c>
      <c r="AW1751" s="119">
        <f>IF(tech_base!$T7&gt;AW$1745,"",(tech_base!$K7/tech_proj!AW131*0.086*$J$132)/(1-tech_proj!AW411))</f>
        <v>0</v>
      </c>
      <c r="AX1751" s="120">
        <f>IF(tech_base!$T7&gt;AX$1745,"",(tech_base!$K7/tech_proj!AX131*0.086*$J$132)/(1-tech_proj!AX411))</f>
        <v>0</v>
      </c>
    </row>
    <row r="1752" spans="1:52" x14ac:dyDescent="0.25">
      <c r="A1752" s="348"/>
      <c r="B1752" s="352"/>
      <c r="C1752" s="364"/>
      <c r="D1752" s="4" t="s">
        <v>8</v>
      </c>
      <c r="E1752" s="160" t="str">
        <f>A1746&amp;"/"&amp;B1751&amp;"/"&amp;C1751&amp;"/"&amp;D1752</f>
        <v>Nuclear power plants/Nuclear IV/Electricity only/M</v>
      </c>
      <c r="F1752" s="76" t="str">
        <f>A1746</f>
        <v>Nuclear power plants</v>
      </c>
      <c r="G1752" s="76" t="str">
        <f>B1751</f>
        <v>Nuclear IV</v>
      </c>
      <c r="H1752" s="76" t="str">
        <f>C1751</f>
        <v>Electricity only</v>
      </c>
      <c r="I1752" s="161" t="str">
        <f t="shared" si="382"/>
        <v>M</v>
      </c>
      <c r="J1752" s="119" t="str">
        <f>IF(tech_base!$T8&gt;J$1745,"",(tech_base!$K8/tech_proj!J132*0.086*$J$132)/(1-tech_proj!J412))</f>
        <v/>
      </c>
      <c r="K1752" s="119" t="str">
        <f>IF(tech_base!$T8&gt;K$1745,"",(tech_base!$K8/tech_proj!K132*0.086*$J$132)/(1-tech_proj!K412))</f>
        <v/>
      </c>
      <c r="L1752" s="119" t="str">
        <f>IF(tech_base!$T8&gt;L$1745,"",(tech_base!$K8/tech_proj!L132*0.086*$J$132)/(1-tech_proj!L412))</f>
        <v/>
      </c>
      <c r="M1752" s="119" t="str">
        <f>IF(tech_base!$T8&gt;M$1745,"",(tech_base!$K8/tech_proj!M132*0.086*$J$132)/(1-tech_proj!M412))</f>
        <v/>
      </c>
      <c r="N1752" s="119" t="str">
        <f>IF(tech_base!$T8&gt;N$1745,"",(tech_base!$K8/tech_proj!N132*0.086*$J$132)/(1-tech_proj!N412))</f>
        <v/>
      </c>
      <c r="O1752" s="119" t="str">
        <f>IF(tech_base!$T8&gt;O$1745,"",(tech_base!$K8/tech_proj!O132*0.086*$J$132)/(1-tech_proj!O412))</f>
        <v/>
      </c>
      <c r="P1752" s="119" t="str">
        <f>IF(tech_base!$T8&gt;P$1745,"",(tech_base!$K8/tech_proj!P132*0.086*$J$132)/(1-tech_proj!P412))</f>
        <v/>
      </c>
      <c r="Q1752" s="119" t="str">
        <f>IF(tech_base!$T8&gt;Q$1745,"",(tech_base!$K8/tech_proj!Q132*0.086*$J$132)/(1-tech_proj!Q412))</f>
        <v/>
      </c>
      <c r="R1752" s="119" t="str">
        <f>IF(tech_base!$T8&gt;R$1745,"",(tech_base!$K8/tech_proj!R132*0.086*$J$132)/(1-tech_proj!R412))</f>
        <v/>
      </c>
      <c r="S1752" s="119" t="str">
        <f>IF(tech_base!$T8&gt;S$1745,"",(tech_base!$K8/tech_proj!S132*0.086*$J$132)/(1-tech_proj!S412))</f>
        <v/>
      </c>
      <c r="T1752" s="119" t="str">
        <f>IF(tech_base!$T8&gt;T$1745,"",(tech_base!$K8/tech_proj!T132*0.086*$J$132)/(1-tech_proj!T412))</f>
        <v/>
      </c>
      <c r="U1752" s="119" t="str">
        <f>IF(tech_base!$T8&gt;U$1745,"",(tech_base!$K8/tech_proj!U132*0.086*$J$132)/(1-tech_proj!U412))</f>
        <v/>
      </c>
      <c r="V1752" s="119" t="str">
        <f>IF(tech_base!$T8&gt;V$1745,"",(tech_base!$K8/tech_proj!V132*0.086*$J$132)/(1-tech_proj!V412))</f>
        <v/>
      </c>
      <c r="W1752" s="119" t="str">
        <f>IF(tech_base!$T8&gt;W$1745,"",(tech_base!$K8/tech_proj!W132*0.086*$J$132)/(1-tech_proj!W412))</f>
        <v/>
      </c>
      <c r="X1752" s="119" t="str">
        <f>IF(tech_base!$T8&gt;X$1745,"",(tech_base!$K8/tech_proj!X132*0.086*$J$132)/(1-tech_proj!X412))</f>
        <v/>
      </c>
      <c r="Y1752" s="119" t="str">
        <f>IF(tech_base!$T8&gt;Y$1745,"",(tech_base!$K8/tech_proj!Y132*0.086*$J$132)/(1-tech_proj!Y412))</f>
        <v/>
      </c>
      <c r="Z1752" s="119" t="str">
        <f>IF(tech_base!$T8&gt;Z$1745,"",(tech_base!$K8/tech_proj!Z132*0.086*$J$132)/(1-tech_proj!Z412))</f>
        <v/>
      </c>
      <c r="AA1752" s="119" t="str">
        <f>IF(tech_base!$T8&gt;AA$1745,"",(tech_base!$K8/tech_proj!AA132*0.086*$J$132)/(1-tech_proj!AA412))</f>
        <v/>
      </c>
      <c r="AB1752" s="119" t="str">
        <f>IF(tech_base!$T8&gt;AB$1745,"",(tech_base!$K8/tech_proj!AB132*0.086*$J$132)/(1-tech_proj!AB412))</f>
        <v/>
      </c>
      <c r="AC1752" s="119" t="str">
        <f>IF(tech_base!$T8&gt;AC$1745,"",(tech_base!$K8/tech_proj!AC132*0.086*$J$132)/(1-tech_proj!AC412))</f>
        <v/>
      </c>
      <c r="AD1752" s="119" t="str">
        <f>IF(tech_base!$T8&gt;AD$1745,"",(tech_base!$K8/tech_proj!AD132*0.086*$J$132)/(1-tech_proj!AD412))</f>
        <v/>
      </c>
      <c r="AE1752" s="119" t="str">
        <f>IF(tech_base!$T8&gt;AE$1745,"",(tech_base!$K8/tech_proj!AE132*0.086*$J$132)/(1-tech_proj!AE412))</f>
        <v/>
      </c>
      <c r="AF1752" s="119" t="str">
        <f>IF(tech_base!$T8&gt;AF$1745,"",(tech_base!$K8/tech_proj!AF132*0.086*$J$132)/(1-tech_proj!AF412))</f>
        <v/>
      </c>
      <c r="AG1752" s="119" t="str">
        <f>IF(tech_base!$T8&gt;AG$1745,"",(tech_base!$K8/tech_proj!AG132*0.086*$J$132)/(1-tech_proj!AG412))</f>
        <v/>
      </c>
      <c r="AH1752" s="119" t="str">
        <f>IF(tech_base!$T8&gt;AH$1745,"",(tech_base!$K8/tech_proj!AH132*0.086*$J$132)/(1-tech_proj!AH412))</f>
        <v/>
      </c>
      <c r="AI1752" s="119">
        <f>IF(tech_base!$T8&gt;AI$1745,"",(tech_base!$K8/tech_proj!AI132*0.086*$J$132)/(1-tech_proj!AI412))</f>
        <v>0</v>
      </c>
      <c r="AJ1752" s="119">
        <f>IF(tech_base!$T8&gt;AJ$1745,"",(tech_base!$K8/tech_proj!AJ132*0.086*$J$132)/(1-tech_proj!AJ412))</f>
        <v>0</v>
      </c>
      <c r="AK1752" s="119">
        <f>IF(tech_base!$T8&gt;AK$1745,"",(tech_base!$K8/tech_proj!AK132*0.086*$J$132)/(1-tech_proj!AK412))</f>
        <v>0</v>
      </c>
      <c r="AL1752" s="119">
        <f>IF(tech_base!$T8&gt;AL$1745,"",(tech_base!$K8/tech_proj!AL132*0.086*$J$132)/(1-tech_proj!AL412))</f>
        <v>0</v>
      </c>
      <c r="AM1752" s="119">
        <f>IF(tech_base!$T8&gt;AM$1745,"",(tech_base!$K8/tech_proj!AM132*0.086*$J$132)/(1-tech_proj!AM412))</f>
        <v>0</v>
      </c>
      <c r="AN1752" s="119">
        <f>IF(tech_base!$T8&gt;AN$1745,"",(tech_base!$K8/tech_proj!AN132*0.086*$J$132)/(1-tech_proj!AN412))</f>
        <v>0</v>
      </c>
      <c r="AO1752" s="119">
        <f>IF(tech_base!$T8&gt;AO$1745,"",(tech_base!$K8/tech_proj!AO132*0.086*$J$132)/(1-tech_proj!AO412))</f>
        <v>0</v>
      </c>
      <c r="AP1752" s="119">
        <f>IF(tech_base!$T8&gt;AP$1745,"",(tech_base!$K8/tech_proj!AP132*0.086*$J$132)/(1-tech_proj!AP412))</f>
        <v>0</v>
      </c>
      <c r="AQ1752" s="119">
        <f>IF(tech_base!$T8&gt;AQ$1745,"",(tech_base!$K8/tech_proj!AQ132*0.086*$J$132)/(1-tech_proj!AQ412))</f>
        <v>0</v>
      </c>
      <c r="AR1752" s="119">
        <f>IF(tech_base!$T8&gt;AR$1745,"",(tech_base!$K8/tech_proj!AR132*0.086*$J$132)/(1-tech_proj!AR412))</f>
        <v>0</v>
      </c>
      <c r="AS1752" s="119">
        <f>IF(tech_base!$T8&gt;AS$1745,"",(tech_base!$K8/tech_proj!AS132*0.086*$J$132)/(1-tech_proj!AS412))</f>
        <v>0</v>
      </c>
      <c r="AT1752" s="119">
        <f>IF(tech_base!$T8&gt;AT$1745,"",(tech_base!$K8/tech_proj!AT132*0.086*$J$132)/(1-tech_proj!AT412))</f>
        <v>0</v>
      </c>
      <c r="AU1752" s="119">
        <f>IF(tech_base!$T8&gt;AU$1745,"",(tech_base!$K8/tech_proj!AU132*0.086*$J$132)/(1-tech_proj!AU412))</f>
        <v>0</v>
      </c>
      <c r="AV1752" s="119">
        <f>IF(tech_base!$T8&gt;AV$1745,"",(tech_base!$K8/tech_proj!AV132*0.086*$J$132)/(1-tech_proj!AV412))</f>
        <v>0</v>
      </c>
      <c r="AW1752" s="119">
        <f>IF(tech_base!$T8&gt;AW$1745,"",(tech_base!$K8/tech_proj!AW132*0.086*$J$132)/(1-tech_proj!AW412))</f>
        <v>0</v>
      </c>
      <c r="AX1752" s="120">
        <f>IF(tech_base!$T8&gt;AX$1745,"",(tech_base!$K8/tech_proj!AX132*0.086*$J$132)/(1-tech_proj!AX412))</f>
        <v>0</v>
      </c>
    </row>
    <row r="1753" spans="1:52" x14ac:dyDescent="0.25">
      <c r="A1753" s="355" t="s">
        <v>12</v>
      </c>
      <c r="B1753" s="358" t="s">
        <v>13</v>
      </c>
      <c r="C1753" s="353" t="s">
        <v>6</v>
      </c>
      <c r="D1753" s="3" t="s">
        <v>7</v>
      </c>
      <c r="E1753" s="162" t="str">
        <f>A1753&amp;"/"&amp;B1753&amp;"/"&amp;C1753&amp;"/"&amp;D1753</f>
        <v>Coal fired power plants/Integrated gasification combined cycle/Electricity only/L</v>
      </c>
      <c r="F1753" s="77" t="str">
        <f>A1753</f>
        <v>Coal fired power plants</v>
      </c>
      <c r="G1753" s="77" t="str">
        <f>B1753</f>
        <v>Integrated gasification combined cycle</v>
      </c>
      <c r="H1753" s="77" t="str">
        <f>C1753</f>
        <v>Electricity only</v>
      </c>
      <c r="I1753" s="163" t="str">
        <f t="shared" si="382"/>
        <v>L</v>
      </c>
      <c r="J1753" s="121">
        <f>IF(tech_base!$T9&gt;J$1745,"",(tech_base!$K9/tech_proj!J133*0.086*$J$132)/(1-tech_proj!J413))</f>
        <v>0</v>
      </c>
      <c r="K1753" s="121">
        <f>IF(tech_base!$T9&gt;K$1745,"",(tech_base!$K9/tech_proj!K133*0.086*$J$132)/(1-tech_proj!K413))</f>
        <v>0</v>
      </c>
      <c r="L1753" s="121">
        <f>IF(tech_base!$T9&gt;L$1745,"",(tech_base!$K9/tech_proj!L133*0.086*$J$132)/(1-tech_proj!L413))</f>
        <v>0</v>
      </c>
      <c r="M1753" s="121">
        <f>IF(tech_base!$T9&gt;M$1745,"",(tech_base!$K9/tech_proj!M133*0.086*$J$132)/(1-tech_proj!M413))</f>
        <v>0</v>
      </c>
      <c r="N1753" s="121">
        <f>IF(tech_base!$T9&gt;N$1745,"",(tech_base!$K9/tech_proj!N133*0.086*$J$132)/(1-tech_proj!N413))</f>
        <v>0</v>
      </c>
      <c r="O1753" s="121">
        <f>IF(tech_base!$T9&gt;O$1745,"",(tech_base!$K9/tech_proj!O133*0.086*$J$132)/(1-tech_proj!O413))</f>
        <v>0</v>
      </c>
      <c r="P1753" s="121">
        <f>IF(tech_base!$T9&gt;P$1745,"",(tech_base!$K9/tech_proj!P133*0.086*$J$132)/(1-tech_proj!P413))</f>
        <v>0</v>
      </c>
      <c r="Q1753" s="121">
        <f>IF(tech_base!$T9&gt;Q$1745,"",(tech_base!$K9/tech_proj!Q133*0.086*$J$132)/(1-tech_proj!Q413))</f>
        <v>0</v>
      </c>
      <c r="R1753" s="121">
        <f>IF(tech_base!$T9&gt;R$1745,"",(tech_base!$K9/tech_proj!R133*0.086*$J$132)/(1-tech_proj!R413))</f>
        <v>0</v>
      </c>
      <c r="S1753" s="121">
        <f>IF(tech_base!$T9&gt;S$1745,"",(tech_base!$K9/tech_proj!S133*0.086*$J$132)/(1-tech_proj!S413))</f>
        <v>0</v>
      </c>
      <c r="T1753" s="121">
        <f>IF(tech_base!$T9&gt;T$1745,"",(tech_base!$K9/tech_proj!T133*0.086*$J$132)/(1-tech_proj!T413))</f>
        <v>0</v>
      </c>
      <c r="U1753" s="121">
        <f>IF(tech_base!$T9&gt;U$1745,"",(tech_base!$K9/tech_proj!U133*0.086*$J$132)/(1-tech_proj!U413))</f>
        <v>0</v>
      </c>
      <c r="V1753" s="121">
        <f>IF(tech_base!$T9&gt;V$1745,"",(tech_base!$K9/tech_proj!V133*0.086*$J$132)/(1-tech_proj!V413))</f>
        <v>0</v>
      </c>
      <c r="W1753" s="121">
        <f>IF(tech_base!$T9&gt;W$1745,"",(tech_base!$K9/tech_proj!W133*0.086*$J$132)/(1-tech_proj!W413))</f>
        <v>0</v>
      </c>
      <c r="X1753" s="121">
        <f>IF(tech_base!$T9&gt;X$1745,"",(tech_base!$K9/tech_proj!X133*0.086*$J$132)/(1-tech_proj!X413))</f>
        <v>0</v>
      </c>
      <c r="Y1753" s="121">
        <f>IF(tech_base!$T9&gt;Y$1745,"",(tech_base!$K9/tech_proj!Y133*0.086*$J$132)/(1-tech_proj!Y413))</f>
        <v>0</v>
      </c>
      <c r="Z1753" s="121">
        <f>IF(tech_base!$T9&gt;Z$1745,"",(tech_base!$K9/tech_proj!Z133*0.086*$J$132)/(1-tech_proj!Z413))</f>
        <v>0</v>
      </c>
      <c r="AA1753" s="121">
        <f>IF(tech_base!$T9&gt;AA$1745,"",(tech_base!$K9/tech_proj!AA133*0.086*$J$132)/(1-tech_proj!AA413))</f>
        <v>0</v>
      </c>
      <c r="AB1753" s="121">
        <f>IF(tech_base!$T9&gt;AB$1745,"",(tech_base!$K9/tech_proj!AB133*0.086*$J$132)/(1-tech_proj!AB413))</f>
        <v>0</v>
      </c>
      <c r="AC1753" s="121">
        <f>IF(tech_base!$T9&gt;AC$1745,"",(tech_base!$K9/tech_proj!AC133*0.086*$J$132)/(1-tech_proj!AC413))</f>
        <v>0</v>
      </c>
      <c r="AD1753" s="121">
        <f>IF(tech_base!$T9&gt;AD$1745,"",(tech_base!$K9/tech_proj!AD133*0.086*$J$132)/(1-tech_proj!AD413))</f>
        <v>0</v>
      </c>
      <c r="AE1753" s="121">
        <f>IF(tech_base!$T9&gt;AE$1745,"",(tech_base!$K9/tech_proj!AE133*0.086*$J$132)/(1-tech_proj!AE413))</f>
        <v>0</v>
      </c>
      <c r="AF1753" s="121">
        <f>IF(tech_base!$T9&gt;AF$1745,"",(tech_base!$K9/tech_proj!AF133*0.086*$J$132)/(1-tech_proj!AF413))</f>
        <v>0</v>
      </c>
      <c r="AG1753" s="121">
        <f>IF(tech_base!$T9&gt;AG$1745,"",(tech_base!$K9/tech_proj!AG133*0.086*$J$132)/(1-tech_proj!AG413))</f>
        <v>0</v>
      </c>
      <c r="AH1753" s="121">
        <f>IF(tech_base!$T9&gt;AH$1745,"",(tech_base!$K9/tech_proj!AH133*0.086*$J$132)/(1-tech_proj!AH413))</f>
        <v>0</v>
      </c>
      <c r="AI1753" s="121">
        <f>IF(tech_base!$T9&gt;AI$1745,"",(tech_base!$K9/tech_proj!AI133*0.086*$J$132)/(1-tech_proj!AI413))</f>
        <v>0</v>
      </c>
      <c r="AJ1753" s="121">
        <f>IF(tech_base!$T9&gt;AJ$1745,"",(tech_base!$K9/tech_proj!AJ133*0.086*$J$132)/(1-tech_proj!AJ413))</f>
        <v>0</v>
      </c>
      <c r="AK1753" s="121">
        <f>IF(tech_base!$T9&gt;AK$1745,"",(tech_base!$K9/tech_proj!AK133*0.086*$J$132)/(1-tech_proj!AK413))</f>
        <v>0</v>
      </c>
      <c r="AL1753" s="121">
        <f>IF(tech_base!$T9&gt;AL$1745,"",(tech_base!$K9/tech_proj!AL133*0.086*$J$132)/(1-tech_proj!AL413))</f>
        <v>0</v>
      </c>
      <c r="AM1753" s="121">
        <f>IF(tech_base!$T9&gt;AM$1745,"",(tech_base!$K9/tech_proj!AM133*0.086*$J$132)/(1-tech_proj!AM413))</f>
        <v>0</v>
      </c>
      <c r="AN1753" s="121">
        <f>IF(tech_base!$T9&gt;AN$1745,"",(tech_base!$K9/tech_proj!AN133*0.086*$J$132)/(1-tech_proj!AN413))</f>
        <v>0</v>
      </c>
      <c r="AO1753" s="121">
        <f>IF(tech_base!$T9&gt;AO$1745,"",(tech_base!$K9/tech_proj!AO133*0.086*$J$132)/(1-tech_proj!AO413))</f>
        <v>0</v>
      </c>
      <c r="AP1753" s="121">
        <f>IF(tech_base!$T9&gt;AP$1745,"",(tech_base!$K9/tech_proj!AP133*0.086*$J$132)/(1-tech_proj!AP413))</f>
        <v>0</v>
      </c>
      <c r="AQ1753" s="121">
        <f>IF(tech_base!$T9&gt;AQ$1745,"",(tech_base!$K9/tech_proj!AQ133*0.086*$J$132)/(1-tech_proj!AQ413))</f>
        <v>0</v>
      </c>
      <c r="AR1753" s="121">
        <f>IF(tech_base!$T9&gt;AR$1745,"",(tech_base!$K9/tech_proj!AR133*0.086*$J$132)/(1-tech_proj!AR413))</f>
        <v>0</v>
      </c>
      <c r="AS1753" s="121">
        <f>IF(tech_base!$T9&gt;AS$1745,"",(tech_base!$K9/tech_proj!AS133*0.086*$J$132)/(1-tech_proj!AS413))</f>
        <v>0</v>
      </c>
      <c r="AT1753" s="121">
        <f>IF(tech_base!$T9&gt;AT$1745,"",(tech_base!$K9/tech_proj!AT133*0.086*$J$132)/(1-tech_proj!AT413))</f>
        <v>0</v>
      </c>
      <c r="AU1753" s="121">
        <f>IF(tech_base!$T9&gt;AU$1745,"",(tech_base!$K9/tech_proj!AU133*0.086*$J$132)/(1-tech_proj!AU413))</f>
        <v>0</v>
      </c>
      <c r="AV1753" s="121">
        <f>IF(tech_base!$T9&gt;AV$1745,"",(tech_base!$K9/tech_proj!AV133*0.086*$J$132)/(1-tech_proj!AV413))</f>
        <v>0</v>
      </c>
      <c r="AW1753" s="121">
        <f>IF(tech_base!$T9&gt;AW$1745,"",(tech_base!$K9/tech_proj!AW133*0.086*$J$132)/(1-tech_proj!AW413))</f>
        <v>0</v>
      </c>
      <c r="AX1753" s="122">
        <f>IF(tech_base!$T9&gt;AX$1745,"",(tech_base!$K9/tech_proj!AX133*0.086*$J$132)/(1-tech_proj!AX413))</f>
        <v>0</v>
      </c>
    </row>
    <row r="1754" spans="1:52" x14ac:dyDescent="0.25">
      <c r="A1754" s="356"/>
      <c r="B1754" s="359"/>
      <c r="C1754" s="360"/>
      <c r="D1754" s="2" t="s">
        <v>8</v>
      </c>
      <c r="E1754" s="160" t="str">
        <f>A1753&amp;"/"&amp;B1753&amp;"/"&amp;C1753&amp;"/"&amp;D1754</f>
        <v>Coal fired power plants/Integrated gasification combined cycle/Electricity only/M</v>
      </c>
      <c r="F1754" s="76" t="str">
        <f>A1753</f>
        <v>Coal fired power plants</v>
      </c>
      <c r="G1754" s="76" t="str">
        <f>B1753</f>
        <v>Integrated gasification combined cycle</v>
      </c>
      <c r="H1754" s="76" t="str">
        <f>C1753</f>
        <v>Electricity only</v>
      </c>
      <c r="I1754" s="161" t="str">
        <f t="shared" si="382"/>
        <v>M</v>
      </c>
      <c r="J1754" s="119">
        <f>IF(tech_base!$T10&gt;J$1745,"",(tech_base!$K10/tech_proj!J134*0.086*$J$132)/(1-tech_proj!J414))</f>
        <v>0</v>
      </c>
      <c r="K1754" s="119">
        <f>IF(tech_base!$T10&gt;K$1745,"",(tech_base!$K10/tech_proj!K134*0.086*$J$132)/(1-tech_proj!K414))</f>
        <v>0</v>
      </c>
      <c r="L1754" s="119">
        <f>IF(tech_base!$T10&gt;L$1745,"",(tech_base!$K10/tech_proj!L134*0.086*$J$132)/(1-tech_proj!L414))</f>
        <v>0</v>
      </c>
      <c r="M1754" s="119">
        <f>IF(tech_base!$T10&gt;M$1745,"",(tech_base!$K10/tech_proj!M134*0.086*$J$132)/(1-tech_proj!M414))</f>
        <v>0</v>
      </c>
      <c r="N1754" s="119">
        <f>IF(tech_base!$T10&gt;N$1745,"",(tech_base!$K10/tech_proj!N134*0.086*$J$132)/(1-tech_proj!N414))</f>
        <v>0</v>
      </c>
      <c r="O1754" s="119">
        <f>IF(tech_base!$T10&gt;O$1745,"",(tech_base!$K10/tech_proj!O134*0.086*$J$132)/(1-tech_proj!O414))</f>
        <v>0</v>
      </c>
      <c r="P1754" s="119">
        <f>IF(tech_base!$T10&gt;P$1745,"",(tech_base!$K10/tech_proj!P134*0.086*$J$132)/(1-tech_proj!P414))</f>
        <v>0</v>
      </c>
      <c r="Q1754" s="119">
        <f>IF(tech_base!$T10&gt;Q$1745,"",(tech_base!$K10/tech_proj!Q134*0.086*$J$132)/(1-tech_proj!Q414))</f>
        <v>0</v>
      </c>
      <c r="R1754" s="119">
        <f>IF(tech_base!$T10&gt;R$1745,"",(tech_base!$K10/tech_proj!R134*0.086*$J$132)/(1-tech_proj!R414))</f>
        <v>0</v>
      </c>
      <c r="S1754" s="119">
        <f>IF(tech_base!$T10&gt;S$1745,"",(tech_base!$K10/tech_proj!S134*0.086*$J$132)/(1-tech_proj!S414))</f>
        <v>0</v>
      </c>
      <c r="T1754" s="119">
        <f>IF(tech_base!$T10&gt;T$1745,"",(tech_base!$K10/tech_proj!T134*0.086*$J$132)/(1-tech_proj!T414))</f>
        <v>0</v>
      </c>
      <c r="U1754" s="119">
        <f>IF(tech_base!$T10&gt;U$1745,"",(tech_base!$K10/tech_proj!U134*0.086*$J$132)/(1-tech_proj!U414))</f>
        <v>0</v>
      </c>
      <c r="V1754" s="119">
        <f>IF(tech_base!$T10&gt;V$1745,"",(tech_base!$K10/tech_proj!V134*0.086*$J$132)/(1-tech_proj!V414))</f>
        <v>0</v>
      </c>
      <c r="W1754" s="119">
        <f>IF(tech_base!$T10&gt;W$1745,"",(tech_base!$K10/tech_proj!W134*0.086*$J$132)/(1-tech_proj!W414))</f>
        <v>0</v>
      </c>
      <c r="X1754" s="119">
        <f>IF(tech_base!$T10&gt;X$1745,"",(tech_base!$K10/tech_proj!X134*0.086*$J$132)/(1-tech_proj!X414))</f>
        <v>0</v>
      </c>
      <c r="Y1754" s="119">
        <f>IF(tech_base!$T10&gt;Y$1745,"",(tech_base!$K10/tech_proj!Y134*0.086*$J$132)/(1-tech_proj!Y414))</f>
        <v>0</v>
      </c>
      <c r="Z1754" s="119">
        <f>IF(tech_base!$T10&gt;Z$1745,"",(tech_base!$K10/tech_proj!Z134*0.086*$J$132)/(1-tech_proj!Z414))</f>
        <v>0</v>
      </c>
      <c r="AA1754" s="119">
        <f>IF(tech_base!$T10&gt;AA$1745,"",(tech_base!$K10/tech_proj!AA134*0.086*$J$132)/(1-tech_proj!AA414))</f>
        <v>0</v>
      </c>
      <c r="AB1754" s="119">
        <f>IF(tech_base!$T10&gt;AB$1745,"",(tech_base!$K10/tech_proj!AB134*0.086*$J$132)/(1-tech_proj!AB414))</f>
        <v>0</v>
      </c>
      <c r="AC1754" s="119">
        <f>IF(tech_base!$T10&gt;AC$1745,"",(tech_base!$K10/tech_proj!AC134*0.086*$J$132)/(1-tech_proj!AC414))</f>
        <v>0</v>
      </c>
      <c r="AD1754" s="119">
        <f>IF(tech_base!$T10&gt;AD$1745,"",(tech_base!$K10/tech_proj!AD134*0.086*$J$132)/(1-tech_proj!AD414))</f>
        <v>0</v>
      </c>
      <c r="AE1754" s="119">
        <f>IF(tech_base!$T10&gt;AE$1745,"",(tech_base!$K10/tech_proj!AE134*0.086*$J$132)/(1-tech_proj!AE414))</f>
        <v>0</v>
      </c>
      <c r="AF1754" s="119">
        <f>IF(tech_base!$T10&gt;AF$1745,"",(tech_base!$K10/tech_proj!AF134*0.086*$J$132)/(1-tech_proj!AF414))</f>
        <v>0</v>
      </c>
      <c r="AG1754" s="119">
        <f>IF(tech_base!$T10&gt;AG$1745,"",(tech_base!$K10/tech_proj!AG134*0.086*$J$132)/(1-tech_proj!AG414))</f>
        <v>0</v>
      </c>
      <c r="AH1754" s="119">
        <f>IF(tech_base!$T10&gt;AH$1745,"",(tech_base!$K10/tech_proj!AH134*0.086*$J$132)/(1-tech_proj!AH414))</f>
        <v>0</v>
      </c>
      <c r="AI1754" s="119">
        <f>IF(tech_base!$T10&gt;AI$1745,"",(tech_base!$K10/tech_proj!AI134*0.086*$J$132)/(1-tech_proj!AI414))</f>
        <v>0</v>
      </c>
      <c r="AJ1754" s="119">
        <f>IF(tech_base!$T10&gt;AJ$1745,"",(tech_base!$K10/tech_proj!AJ134*0.086*$J$132)/(1-tech_proj!AJ414))</f>
        <v>0</v>
      </c>
      <c r="AK1754" s="119">
        <f>IF(tech_base!$T10&gt;AK$1745,"",(tech_base!$K10/tech_proj!AK134*0.086*$J$132)/(1-tech_proj!AK414))</f>
        <v>0</v>
      </c>
      <c r="AL1754" s="119">
        <f>IF(tech_base!$T10&gt;AL$1745,"",(tech_base!$K10/tech_proj!AL134*0.086*$J$132)/(1-tech_proj!AL414))</f>
        <v>0</v>
      </c>
      <c r="AM1754" s="119">
        <f>IF(tech_base!$T10&gt;AM$1745,"",(tech_base!$K10/tech_proj!AM134*0.086*$J$132)/(1-tech_proj!AM414))</f>
        <v>0</v>
      </c>
      <c r="AN1754" s="119">
        <f>IF(tech_base!$T10&gt;AN$1745,"",(tech_base!$K10/tech_proj!AN134*0.086*$J$132)/(1-tech_proj!AN414))</f>
        <v>0</v>
      </c>
      <c r="AO1754" s="119">
        <f>IF(tech_base!$T10&gt;AO$1745,"",(tech_base!$K10/tech_proj!AO134*0.086*$J$132)/(1-tech_proj!AO414))</f>
        <v>0</v>
      </c>
      <c r="AP1754" s="119">
        <f>IF(tech_base!$T10&gt;AP$1745,"",(tech_base!$K10/tech_proj!AP134*0.086*$J$132)/(1-tech_proj!AP414))</f>
        <v>0</v>
      </c>
      <c r="AQ1754" s="119">
        <f>IF(tech_base!$T10&gt;AQ$1745,"",(tech_base!$K10/tech_proj!AQ134*0.086*$J$132)/(1-tech_proj!AQ414))</f>
        <v>0</v>
      </c>
      <c r="AR1754" s="119">
        <f>IF(tech_base!$T10&gt;AR$1745,"",(tech_base!$K10/tech_proj!AR134*0.086*$J$132)/(1-tech_proj!AR414))</f>
        <v>0</v>
      </c>
      <c r="AS1754" s="119">
        <f>IF(tech_base!$T10&gt;AS$1745,"",(tech_base!$K10/tech_proj!AS134*0.086*$J$132)/(1-tech_proj!AS414))</f>
        <v>0</v>
      </c>
      <c r="AT1754" s="119">
        <f>IF(tech_base!$T10&gt;AT$1745,"",(tech_base!$K10/tech_proj!AT134*0.086*$J$132)/(1-tech_proj!AT414))</f>
        <v>0</v>
      </c>
      <c r="AU1754" s="119">
        <f>IF(tech_base!$T10&gt;AU$1745,"",(tech_base!$K10/tech_proj!AU134*0.086*$J$132)/(1-tech_proj!AU414))</f>
        <v>0</v>
      </c>
      <c r="AV1754" s="119">
        <f>IF(tech_base!$T10&gt;AV$1745,"",(tech_base!$K10/tech_proj!AV134*0.086*$J$132)/(1-tech_proj!AV414))</f>
        <v>0</v>
      </c>
      <c r="AW1754" s="119">
        <f>IF(tech_base!$T10&gt;AW$1745,"",(tech_base!$K10/tech_proj!AW134*0.086*$J$132)/(1-tech_proj!AW414))</f>
        <v>0</v>
      </c>
      <c r="AX1754" s="120">
        <f>IF(tech_base!$T10&gt;AX$1745,"",(tech_base!$K10/tech_proj!AX134*0.086*$J$132)/(1-tech_proj!AX414))</f>
        <v>0</v>
      </c>
    </row>
    <row r="1755" spans="1:52" x14ac:dyDescent="0.25">
      <c r="A1755" s="356"/>
      <c r="B1755" s="359"/>
      <c r="C1755" s="361" t="s">
        <v>14</v>
      </c>
      <c r="D1755" s="58" t="s">
        <v>7</v>
      </c>
      <c r="E1755" s="164" t="str">
        <f>A1753&amp;"/"&amp;B1753&amp;"/"&amp;C1755&amp;"/"&amp;D1755</f>
        <v>Coal fired power plants/Integrated gasification combined cycle/CHP/L</v>
      </c>
      <c r="F1755" s="78" t="str">
        <f>A1753</f>
        <v>Coal fired power plants</v>
      </c>
      <c r="G1755" s="78" t="str">
        <f>B1753</f>
        <v>Integrated gasification combined cycle</v>
      </c>
      <c r="H1755" s="78" t="str">
        <f>C1755</f>
        <v>CHP</v>
      </c>
      <c r="I1755" s="165" t="str">
        <f t="shared" si="382"/>
        <v>L</v>
      </c>
      <c r="J1755" s="123">
        <f>IF(tech_base!$T11&gt;J$1745,"",(tech_base!$K11/tech_proj!J135*0.086*$J$132)/(1-tech_proj!J415))</f>
        <v>0</v>
      </c>
      <c r="K1755" s="123">
        <f>IF(tech_base!$T11&gt;K$1745,"",(tech_base!$K11/tech_proj!K135*0.086*$J$132)/(1-tech_proj!K415))</f>
        <v>0</v>
      </c>
      <c r="L1755" s="123">
        <f>IF(tech_base!$T11&gt;L$1745,"",(tech_base!$K11/tech_proj!L135*0.086*$J$132)/(1-tech_proj!L415))</f>
        <v>0</v>
      </c>
      <c r="M1755" s="123">
        <f>IF(tech_base!$T11&gt;M$1745,"",(tech_base!$K11/tech_proj!M135*0.086*$J$132)/(1-tech_proj!M415))</f>
        <v>0</v>
      </c>
      <c r="N1755" s="123">
        <f>IF(tech_base!$T11&gt;N$1745,"",(tech_base!$K11/tech_proj!N135*0.086*$J$132)/(1-tech_proj!N415))</f>
        <v>0</v>
      </c>
      <c r="O1755" s="123">
        <f>IF(tech_base!$T11&gt;O$1745,"",(tech_base!$K11/tech_proj!O135*0.086*$J$132)/(1-tech_proj!O415))</f>
        <v>0</v>
      </c>
      <c r="P1755" s="123">
        <f>IF(tech_base!$T11&gt;P$1745,"",(tech_base!$K11/tech_proj!P135*0.086*$J$132)/(1-tech_proj!P415))</f>
        <v>0</v>
      </c>
      <c r="Q1755" s="123">
        <f>IF(tech_base!$T11&gt;Q$1745,"",(tech_base!$K11/tech_proj!Q135*0.086*$J$132)/(1-tech_proj!Q415))</f>
        <v>0</v>
      </c>
      <c r="R1755" s="123">
        <f>IF(tech_base!$T11&gt;R$1745,"",(tech_base!$K11/tech_proj!R135*0.086*$J$132)/(1-tech_proj!R415))</f>
        <v>0</v>
      </c>
      <c r="S1755" s="123">
        <f>IF(tech_base!$T11&gt;S$1745,"",(tech_base!$K11/tech_proj!S135*0.086*$J$132)/(1-tech_proj!S415))</f>
        <v>0</v>
      </c>
      <c r="T1755" s="123">
        <f>IF(tech_base!$T11&gt;T$1745,"",(tech_base!$K11/tech_proj!T135*0.086*$J$132)/(1-tech_proj!T415))</f>
        <v>0</v>
      </c>
      <c r="U1755" s="123">
        <f>IF(tech_base!$T11&gt;U$1745,"",(tech_base!$K11/tech_proj!U135*0.086*$J$132)/(1-tech_proj!U415))</f>
        <v>0</v>
      </c>
      <c r="V1755" s="123">
        <f>IF(tech_base!$T11&gt;V$1745,"",(tech_base!$K11/tech_proj!V135*0.086*$J$132)/(1-tech_proj!V415))</f>
        <v>0</v>
      </c>
      <c r="W1755" s="123">
        <f>IF(tech_base!$T11&gt;W$1745,"",(tech_base!$K11/tech_proj!W135*0.086*$J$132)/(1-tech_proj!W415))</f>
        <v>0</v>
      </c>
      <c r="X1755" s="123">
        <f>IF(tech_base!$T11&gt;X$1745,"",(tech_base!$K11/tech_proj!X135*0.086*$J$132)/(1-tech_proj!X415))</f>
        <v>0</v>
      </c>
      <c r="Y1755" s="123">
        <f>IF(tech_base!$T11&gt;Y$1745,"",(tech_base!$K11/tech_proj!Y135*0.086*$J$132)/(1-tech_proj!Y415))</f>
        <v>0</v>
      </c>
      <c r="Z1755" s="123">
        <f>IF(tech_base!$T11&gt;Z$1745,"",(tech_base!$K11/tech_proj!Z135*0.086*$J$132)/(1-tech_proj!Z415))</f>
        <v>0</v>
      </c>
      <c r="AA1755" s="123">
        <f>IF(tech_base!$T11&gt;AA$1745,"",(tech_base!$K11/tech_proj!AA135*0.086*$J$132)/(1-tech_proj!AA415))</f>
        <v>0</v>
      </c>
      <c r="AB1755" s="123">
        <f>IF(tech_base!$T11&gt;AB$1745,"",(tech_base!$K11/tech_proj!AB135*0.086*$J$132)/(1-tech_proj!AB415))</f>
        <v>0</v>
      </c>
      <c r="AC1755" s="123">
        <f>IF(tech_base!$T11&gt;AC$1745,"",(tech_base!$K11/tech_proj!AC135*0.086*$J$132)/(1-tech_proj!AC415))</f>
        <v>0</v>
      </c>
      <c r="AD1755" s="123">
        <f>IF(tech_base!$T11&gt;AD$1745,"",(tech_base!$K11/tech_proj!AD135*0.086*$J$132)/(1-tech_proj!AD415))</f>
        <v>0</v>
      </c>
      <c r="AE1755" s="123">
        <f>IF(tech_base!$T11&gt;AE$1745,"",(tech_base!$K11/tech_proj!AE135*0.086*$J$132)/(1-tech_proj!AE415))</f>
        <v>0</v>
      </c>
      <c r="AF1755" s="123">
        <f>IF(tech_base!$T11&gt;AF$1745,"",(tech_base!$K11/tech_proj!AF135*0.086*$J$132)/(1-tech_proj!AF415))</f>
        <v>0</v>
      </c>
      <c r="AG1755" s="123">
        <f>IF(tech_base!$T11&gt;AG$1745,"",(tech_base!$K11/tech_proj!AG135*0.086*$J$132)/(1-tech_proj!AG415))</f>
        <v>0</v>
      </c>
      <c r="AH1755" s="123">
        <f>IF(tech_base!$T11&gt;AH$1745,"",(tech_base!$K11/tech_proj!AH135*0.086*$J$132)/(1-tech_proj!AH415))</f>
        <v>0</v>
      </c>
      <c r="AI1755" s="123">
        <f>IF(tech_base!$T11&gt;AI$1745,"",(tech_base!$K11/tech_proj!AI135*0.086*$J$132)/(1-tech_proj!AI415))</f>
        <v>0</v>
      </c>
      <c r="AJ1755" s="123">
        <f>IF(tech_base!$T11&gt;AJ$1745,"",(tech_base!$K11/tech_proj!AJ135*0.086*$J$132)/(1-tech_proj!AJ415))</f>
        <v>0</v>
      </c>
      <c r="AK1755" s="123">
        <f>IF(tech_base!$T11&gt;AK$1745,"",(tech_base!$K11/tech_proj!AK135*0.086*$J$132)/(1-tech_proj!AK415))</f>
        <v>0</v>
      </c>
      <c r="AL1755" s="123">
        <f>IF(tech_base!$T11&gt;AL$1745,"",(tech_base!$K11/tech_proj!AL135*0.086*$J$132)/(1-tech_proj!AL415))</f>
        <v>0</v>
      </c>
      <c r="AM1755" s="123">
        <f>IF(tech_base!$T11&gt;AM$1745,"",(tech_base!$K11/tech_proj!AM135*0.086*$J$132)/(1-tech_proj!AM415))</f>
        <v>0</v>
      </c>
      <c r="AN1755" s="123">
        <f>IF(tech_base!$T11&gt;AN$1745,"",(tech_base!$K11/tech_proj!AN135*0.086*$J$132)/(1-tech_proj!AN415))</f>
        <v>0</v>
      </c>
      <c r="AO1755" s="123">
        <f>IF(tech_base!$T11&gt;AO$1745,"",(tech_base!$K11/tech_proj!AO135*0.086*$J$132)/(1-tech_proj!AO415))</f>
        <v>0</v>
      </c>
      <c r="AP1755" s="123">
        <f>IF(tech_base!$T11&gt;AP$1745,"",(tech_base!$K11/tech_proj!AP135*0.086*$J$132)/(1-tech_proj!AP415))</f>
        <v>0</v>
      </c>
      <c r="AQ1755" s="123">
        <f>IF(tech_base!$T11&gt;AQ$1745,"",(tech_base!$K11/tech_proj!AQ135*0.086*$J$132)/(1-tech_proj!AQ415))</f>
        <v>0</v>
      </c>
      <c r="AR1755" s="123">
        <f>IF(tech_base!$T11&gt;AR$1745,"",(tech_base!$K11/tech_proj!AR135*0.086*$J$132)/(1-tech_proj!AR415))</f>
        <v>0</v>
      </c>
      <c r="AS1755" s="123">
        <f>IF(tech_base!$T11&gt;AS$1745,"",(tech_base!$K11/tech_proj!AS135*0.086*$J$132)/(1-tech_proj!AS415))</f>
        <v>0</v>
      </c>
      <c r="AT1755" s="123">
        <f>IF(tech_base!$T11&gt;AT$1745,"",(tech_base!$K11/tech_proj!AT135*0.086*$J$132)/(1-tech_proj!AT415))</f>
        <v>0</v>
      </c>
      <c r="AU1755" s="123">
        <f>IF(tech_base!$T11&gt;AU$1745,"",(tech_base!$K11/tech_proj!AU135*0.086*$J$132)/(1-tech_proj!AU415))</f>
        <v>0</v>
      </c>
      <c r="AV1755" s="123">
        <f>IF(tech_base!$T11&gt;AV$1745,"",(tech_base!$K11/tech_proj!AV135*0.086*$J$132)/(1-tech_proj!AV415))</f>
        <v>0</v>
      </c>
      <c r="AW1755" s="123">
        <f>IF(tech_base!$T11&gt;AW$1745,"",(tech_base!$K11/tech_proj!AW135*0.086*$J$132)/(1-tech_proj!AW415))</f>
        <v>0</v>
      </c>
      <c r="AX1755" s="124">
        <f>IF(tech_base!$T11&gt;AX$1745,"",(tech_base!$K11/tech_proj!AX135*0.086*$J$132)/(1-tech_proj!AX415))</f>
        <v>0</v>
      </c>
    </row>
    <row r="1756" spans="1:52" x14ac:dyDescent="0.25">
      <c r="A1756" s="356"/>
      <c r="B1756" s="359"/>
      <c r="C1756" s="379"/>
      <c r="D1756" s="59" t="s">
        <v>8</v>
      </c>
      <c r="E1756" s="166" t="str">
        <f>A1753&amp;"/"&amp;B1753&amp;"/"&amp;C1755&amp;"/"&amp;D1756</f>
        <v>Coal fired power plants/Integrated gasification combined cycle/CHP/M</v>
      </c>
      <c r="F1756" s="79" t="str">
        <f>A1753</f>
        <v>Coal fired power plants</v>
      </c>
      <c r="G1756" s="79" t="str">
        <f>B1753</f>
        <v>Integrated gasification combined cycle</v>
      </c>
      <c r="H1756" s="79" t="str">
        <f>C1755</f>
        <v>CHP</v>
      </c>
      <c r="I1756" s="167" t="str">
        <f t="shared" si="382"/>
        <v>M</v>
      </c>
      <c r="J1756" s="125">
        <f>IF(tech_base!$T12&gt;J$1745,"",(tech_base!$K12/tech_proj!J136*0.086*$J$132)/(1-tech_proj!J416))</f>
        <v>0</v>
      </c>
      <c r="K1756" s="125">
        <f>IF(tech_base!$T12&gt;K$1745,"",(tech_base!$K12/tech_proj!K136*0.086*$J$132)/(1-tech_proj!K416))</f>
        <v>0</v>
      </c>
      <c r="L1756" s="125">
        <f>IF(tech_base!$T12&gt;L$1745,"",(tech_base!$K12/tech_proj!L136*0.086*$J$132)/(1-tech_proj!L416))</f>
        <v>0</v>
      </c>
      <c r="M1756" s="125">
        <f>IF(tech_base!$T12&gt;M$1745,"",(tech_base!$K12/tech_proj!M136*0.086*$J$132)/(1-tech_proj!M416))</f>
        <v>0</v>
      </c>
      <c r="N1756" s="125">
        <f>IF(tech_base!$T12&gt;N$1745,"",(tech_base!$K12/tech_proj!N136*0.086*$J$132)/(1-tech_proj!N416))</f>
        <v>0</v>
      </c>
      <c r="O1756" s="125">
        <f>IF(tech_base!$T12&gt;O$1745,"",(tech_base!$K12/tech_proj!O136*0.086*$J$132)/(1-tech_proj!O416))</f>
        <v>0</v>
      </c>
      <c r="P1756" s="125">
        <f>IF(tech_base!$T12&gt;P$1745,"",(tech_base!$K12/tech_proj!P136*0.086*$J$132)/(1-tech_proj!P416))</f>
        <v>0</v>
      </c>
      <c r="Q1756" s="125">
        <f>IF(tech_base!$T12&gt;Q$1745,"",(tech_base!$K12/tech_proj!Q136*0.086*$J$132)/(1-tech_proj!Q416))</f>
        <v>0</v>
      </c>
      <c r="R1756" s="125">
        <f>IF(tech_base!$T12&gt;R$1745,"",(tech_base!$K12/tech_proj!R136*0.086*$J$132)/(1-tech_proj!R416))</f>
        <v>0</v>
      </c>
      <c r="S1756" s="125">
        <f>IF(tech_base!$T12&gt;S$1745,"",(tech_base!$K12/tech_proj!S136*0.086*$J$132)/(1-tech_proj!S416))</f>
        <v>0</v>
      </c>
      <c r="T1756" s="125">
        <f>IF(tech_base!$T12&gt;T$1745,"",(tech_base!$K12/tech_proj!T136*0.086*$J$132)/(1-tech_proj!T416))</f>
        <v>0</v>
      </c>
      <c r="U1756" s="125">
        <f>IF(tech_base!$T12&gt;U$1745,"",(tech_base!$K12/tech_proj!U136*0.086*$J$132)/(1-tech_proj!U416))</f>
        <v>0</v>
      </c>
      <c r="V1756" s="125">
        <f>IF(tech_base!$T12&gt;V$1745,"",(tech_base!$K12/tech_proj!V136*0.086*$J$132)/(1-tech_proj!V416))</f>
        <v>0</v>
      </c>
      <c r="W1756" s="125">
        <f>IF(tech_base!$T12&gt;W$1745,"",(tech_base!$K12/tech_proj!W136*0.086*$J$132)/(1-tech_proj!W416))</f>
        <v>0</v>
      </c>
      <c r="X1756" s="125">
        <f>IF(tech_base!$T12&gt;X$1745,"",(tech_base!$K12/tech_proj!X136*0.086*$J$132)/(1-tech_proj!X416))</f>
        <v>0</v>
      </c>
      <c r="Y1756" s="125">
        <f>IF(tech_base!$T12&gt;Y$1745,"",(tech_base!$K12/tech_proj!Y136*0.086*$J$132)/(1-tech_proj!Y416))</f>
        <v>0</v>
      </c>
      <c r="Z1756" s="125">
        <f>IF(tech_base!$T12&gt;Z$1745,"",(tech_base!$K12/tech_proj!Z136*0.086*$J$132)/(1-tech_proj!Z416))</f>
        <v>0</v>
      </c>
      <c r="AA1756" s="125">
        <f>IF(tech_base!$T12&gt;AA$1745,"",(tech_base!$K12/tech_proj!AA136*0.086*$J$132)/(1-tech_proj!AA416))</f>
        <v>0</v>
      </c>
      <c r="AB1756" s="125">
        <f>IF(tech_base!$T12&gt;AB$1745,"",(tech_base!$K12/tech_proj!AB136*0.086*$J$132)/(1-tech_proj!AB416))</f>
        <v>0</v>
      </c>
      <c r="AC1756" s="125">
        <f>IF(tech_base!$T12&gt;AC$1745,"",(tech_base!$K12/tech_proj!AC136*0.086*$J$132)/(1-tech_proj!AC416))</f>
        <v>0</v>
      </c>
      <c r="AD1756" s="125">
        <f>IF(tech_base!$T12&gt;AD$1745,"",(tech_base!$K12/tech_proj!AD136*0.086*$J$132)/(1-tech_proj!AD416))</f>
        <v>0</v>
      </c>
      <c r="AE1756" s="125">
        <f>IF(tech_base!$T12&gt;AE$1745,"",(tech_base!$K12/tech_proj!AE136*0.086*$J$132)/(1-tech_proj!AE416))</f>
        <v>0</v>
      </c>
      <c r="AF1756" s="125">
        <f>IF(tech_base!$T12&gt;AF$1745,"",(tech_base!$K12/tech_proj!AF136*0.086*$J$132)/(1-tech_proj!AF416))</f>
        <v>0</v>
      </c>
      <c r="AG1756" s="125">
        <f>IF(tech_base!$T12&gt;AG$1745,"",(tech_base!$K12/tech_proj!AG136*0.086*$J$132)/(1-tech_proj!AG416))</f>
        <v>0</v>
      </c>
      <c r="AH1756" s="125">
        <f>IF(tech_base!$T12&gt;AH$1745,"",(tech_base!$K12/tech_proj!AH136*0.086*$J$132)/(1-tech_proj!AH416))</f>
        <v>0</v>
      </c>
      <c r="AI1756" s="125">
        <f>IF(tech_base!$T12&gt;AI$1745,"",(tech_base!$K12/tech_proj!AI136*0.086*$J$132)/(1-tech_proj!AI416))</f>
        <v>0</v>
      </c>
      <c r="AJ1756" s="125">
        <f>IF(tech_base!$T12&gt;AJ$1745,"",(tech_base!$K12/tech_proj!AJ136*0.086*$J$132)/(1-tech_proj!AJ416))</f>
        <v>0</v>
      </c>
      <c r="AK1756" s="125">
        <f>IF(tech_base!$T12&gt;AK$1745,"",(tech_base!$K12/tech_proj!AK136*0.086*$J$132)/(1-tech_proj!AK416))</f>
        <v>0</v>
      </c>
      <c r="AL1756" s="125">
        <f>IF(tech_base!$T12&gt;AL$1745,"",(tech_base!$K12/tech_proj!AL136*0.086*$J$132)/(1-tech_proj!AL416))</f>
        <v>0</v>
      </c>
      <c r="AM1756" s="125">
        <f>IF(tech_base!$T12&gt;AM$1745,"",(tech_base!$K12/tech_proj!AM136*0.086*$J$132)/(1-tech_proj!AM416))</f>
        <v>0</v>
      </c>
      <c r="AN1756" s="125">
        <f>IF(tech_base!$T12&gt;AN$1745,"",(tech_base!$K12/tech_proj!AN136*0.086*$J$132)/(1-tech_proj!AN416))</f>
        <v>0</v>
      </c>
      <c r="AO1756" s="125">
        <f>IF(tech_base!$T12&gt;AO$1745,"",(tech_base!$K12/tech_proj!AO136*0.086*$J$132)/(1-tech_proj!AO416))</f>
        <v>0</v>
      </c>
      <c r="AP1756" s="125">
        <f>IF(tech_base!$T12&gt;AP$1745,"",(tech_base!$K12/tech_proj!AP136*0.086*$J$132)/(1-tech_proj!AP416))</f>
        <v>0</v>
      </c>
      <c r="AQ1756" s="125">
        <f>IF(tech_base!$T12&gt;AQ$1745,"",(tech_base!$K12/tech_proj!AQ136*0.086*$J$132)/(1-tech_proj!AQ416))</f>
        <v>0</v>
      </c>
      <c r="AR1756" s="125">
        <f>IF(tech_base!$T12&gt;AR$1745,"",(tech_base!$K12/tech_proj!AR136*0.086*$J$132)/(1-tech_proj!AR416))</f>
        <v>0</v>
      </c>
      <c r="AS1756" s="125">
        <f>IF(tech_base!$T12&gt;AS$1745,"",(tech_base!$K12/tech_proj!AS136*0.086*$J$132)/(1-tech_proj!AS416))</f>
        <v>0</v>
      </c>
      <c r="AT1756" s="125">
        <f>IF(tech_base!$T12&gt;AT$1745,"",(tech_base!$K12/tech_proj!AT136*0.086*$J$132)/(1-tech_proj!AT416))</f>
        <v>0</v>
      </c>
      <c r="AU1756" s="125">
        <f>IF(tech_base!$T12&gt;AU$1745,"",(tech_base!$K12/tech_proj!AU136*0.086*$J$132)/(1-tech_proj!AU416))</f>
        <v>0</v>
      </c>
      <c r="AV1756" s="125">
        <f>IF(tech_base!$T12&gt;AV$1745,"",(tech_base!$K12/tech_proj!AV136*0.086*$J$132)/(1-tech_proj!AV416))</f>
        <v>0</v>
      </c>
      <c r="AW1756" s="125">
        <f>IF(tech_base!$T12&gt;AW$1745,"",(tech_base!$K12/tech_proj!AW136*0.086*$J$132)/(1-tech_proj!AW416))</f>
        <v>0</v>
      </c>
      <c r="AX1756" s="126">
        <f>IF(tech_base!$T12&gt;AX$1745,"",(tech_base!$K12/tech_proj!AX136*0.086*$J$132)/(1-tech_proj!AX416))</f>
        <v>0</v>
      </c>
    </row>
    <row r="1757" spans="1:52" x14ac:dyDescent="0.25">
      <c r="A1757" s="356"/>
      <c r="B1757" s="359"/>
      <c r="C1757" s="361" t="s">
        <v>15</v>
      </c>
      <c r="D1757" s="58" t="s">
        <v>7</v>
      </c>
      <c r="E1757" s="164" t="str">
        <f>A1753&amp;"/"&amp;B1753&amp;"/"&amp;C1757&amp;"/"&amp;D1757</f>
        <v>Coal fired power plants/Integrated gasification combined cycle/Electricity only with CCS/L</v>
      </c>
      <c r="F1757" s="78" t="str">
        <f>A1753</f>
        <v>Coal fired power plants</v>
      </c>
      <c r="G1757" s="78" t="str">
        <f>B1753</f>
        <v>Integrated gasification combined cycle</v>
      </c>
      <c r="H1757" s="78" t="str">
        <f>C1757</f>
        <v>Electricity only with CCS</v>
      </c>
      <c r="I1757" s="165" t="str">
        <f t="shared" si="382"/>
        <v>L</v>
      </c>
      <c r="J1757" s="123" t="str">
        <f>IF(tech_base!$T13&gt;J$1745,"",(tech_base!$K13/tech_proj!J137*0.086*$J$132)/(1-tech_proj!J417))</f>
        <v/>
      </c>
      <c r="K1757" s="123" t="str">
        <f>IF(tech_base!$T13&gt;K$1745,"",(tech_base!$K13/tech_proj!K137*0.086*$J$132)/(1-tech_proj!K417))</f>
        <v/>
      </c>
      <c r="L1757" s="123" t="str">
        <f>IF(tech_base!$T13&gt;L$1745,"",(tech_base!$K13/tech_proj!L137*0.086*$J$132)/(1-tech_proj!L417))</f>
        <v/>
      </c>
      <c r="M1757" s="123" t="str">
        <f>IF(tech_base!$T13&gt;M$1745,"",(tech_base!$K13/tech_proj!M137*0.086*$J$132)/(1-tech_proj!M417))</f>
        <v/>
      </c>
      <c r="N1757" s="123" t="str">
        <f>IF(tech_base!$T13&gt;N$1745,"",(tech_base!$K13/tech_proj!N137*0.086*$J$132)/(1-tech_proj!N417))</f>
        <v/>
      </c>
      <c r="O1757" s="123" t="str">
        <f>IF(tech_base!$T13&gt;O$1745,"",(tech_base!$K13/tech_proj!O137*0.086*$J$132)/(1-tech_proj!O417))</f>
        <v/>
      </c>
      <c r="P1757" s="123" t="str">
        <f>IF(tech_base!$T13&gt;P$1745,"",(tech_base!$K13/tech_proj!P137*0.086*$J$132)/(1-tech_proj!P417))</f>
        <v/>
      </c>
      <c r="Q1757" s="123" t="str">
        <f>IF(tech_base!$T13&gt;Q$1745,"",(tech_base!$K13/tech_proj!Q137*0.086*$J$132)/(1-tech_proj!Q417))</f>
        <v/>
      </c>
      <c r="R1757" s="123" t="str">
        <f>IF(tech_base!$T13&gt;R$1745,"",(tech_base!$K13/tech_proj!R137*0.086*$J$132)/(1-tech_proj!R417))</f>
        <v/>
      </c>
      <c r="S1757" s="123" t="str">
        <f>IF(tech_base!$T13&gt;S$1745,"",(tech_base!$K13/tech_proj!S137*0.086*$J$132)/(1-tech_proj!S417))</f>
        <v/>
      </c>
      <c r="T1757" s="123" t="str">
        <f>IF(tech_base!$T13&gt;T$1745,"",(tech_base!$K13/tech_proj!T137*0.086*$J$132)/(1-tech_proj!T417))</f>
        <v/>
      </c>
      <c r="U1757" s="123" t="str">
        <f>IF(tech_base!$T13&gt;U$1745,"",(tech_base!$K13/tech_proj!U137*0.086*$J$132)/(1-tech_proj!U417))</f>
        <v/>
      </c>
      <c r="V1757" s="123" t="str">
        <f>IF(tech_base!$T13&gt;V$1745,"",(tech_base!$K13/tech_proj!V137*0.086*$J$132)/(1-tech_proj!V417))</f>
        <v/>
      </c>
      <c r="W1757" s="123" t="str">
        <f>IF(tech_base!$T13&gt;W$1745,"",(tech_base!$K13/tech_proj!W137*0.086*$J$132)/(1-tech_proj!W417))</f>
        <v/>
      </c>
      <c r="X1757" s="123" t="str">
        <f>IF(tech_base!$T13&gt;X$1745,"",(tech_base!$K13/tech_proj!X137*0.086*$J$132)/(1-tech_proj!X417))</f>
        <v/>
      </c>
      <c r="Y1757" s="123" t="str">
        <f>IF(tech_base!$T13&gt;Y$1745,"",(tech_base!$K13/tech_proj!Y137*0.086*$J$132)/(1-tech_proj!Y417))</f>
        <v/>
      </c>
      <c r="Z1757" s="123" t="str">
        <f>IF(tech_base!$T13&gt;Z$1745,"",(tech_base!$K13/tech_proj!Z137*0.086*$J$132)/(1-tech_proj!Z417))</f>
        <v/>
      </c>
      <c r="AA1757" s="123" t="str">
        <f>IF(tech_base!$T13&gt;AA$1745,"",(tech_base!$K13/tech_proj!AA137*0.086*$J$132)/(1-tech_proj!AA417))</f>
        <v/>
      </c>
      <c r="AB1757" s="123" t="str">
        <f>IF(tech_base!$T13&gt;AB$1745,"",(tech_base!$K13/tech_proj!AB137*0.086*$J$132)/(1-tech_proj!AB417))</f>
        <v/>
      </c>
      <c r="AC1757" s="123" t="str">
        <f>IF(tech_base!$T13&gt;AC$1745,"",(tech_base!$K13/tech_proj!AC137*0.086*$J$132)/(1-tech_proj!AC417))</f>
        <v/>
      </c>
      <c r="AD1757" s="123" t="str">
        <f>IF(tech_base!$T13&gt;AD$1745,"",(tech_base!$K13/tech_proj!AD137*0.086*$J$132)/(1-tech_proj!AD417))</f>
        <v/>
      </c>
      <c r="AE1757" s="123">
        <f>IF(tech_base!$T13&gt;AE$1745,"",(tech_base!$K13/tech_proj!AE137*0.086*$J$132)/(1-tech_proj!AE417))</f>
        <v>9.6043164457847592</v>
      </c>
      <c r="AF1757" s="123">
        <f>IF(tech_base!$T13&gt;AF$1745,"",(tech_base!$K13/tech_proj!AF137*0.086*$J$132)/(1-tech_proj!AF417))</f>
        <v>9.6038392006307163</v>
      </c>
      <c r="AG1757" s="123">
        <f>IF(tech_base!$T13&gt;AG$1745,"",(tech_base!$K13/tech_proj!AG137*0.086*$J$132)/(1-tech_proj!AG417))</f>
        <v>9.6031955085712042</v>
      </c>
      <c r="AH1757" s="123">
        <f>IF(tech_base!$T13&gt;AH$1745,"",(tech_base!$K13/tech_proj!AH137*0.086*$J$132)/(1-tech_proj!AH417))</f>
        <v>9.6023275641583012</v>
      </c>
      <c r="AI1757" s="123">
        <f>IF(tech_base!$T13&gt;AI$1745,"",(tech_base!$K13/tech_proj!AI137*0.086*$J$132)/(1-tech_proj!AI417))</f>
        <v>9.6011576877675839</v>
      </c>
      <c r="AJ1757" s="123">
        <f>IF(tech_base!$T13&gt;AJ$1745,"",(tech_base!$K13/tech_proj!AJ137*0.086*$J$132)/(1-tech_proj!AJ417))</f>
        <v>9.5995816571283363</v>
      </c>
      <c r="AK1757" s="123">
        <f>IF(tech_base!$T13&gt;AK$1745,"",(tech_base!$K13/tech_proj!AK137*0.086*$J$132)/(1-tech_proj!AK417))</f>
        <v>9.5974599359687804</v>
      </c>
      <c r="AL1757" s="123">
        <f>IF(tech_base!$T13&gt;AL$1745,"",(tech_base!$K13/tech_proj!AL137*0.086*$J$132)/(1-tech_proj!AL417))</f>
        <v>9.5946062476404848</v>
      </c>
      <c r="AM1757" s="123">
        <f>IF(tech_base!$T13&gt;AM$1745,"",(tech_base!$K13/tech_proj!AM137*0.086*$J$132)/(1-tech_proj!AM417))</f>
        <v>9.5907728913124508</v>
      </c>
      <c r="AN1757" s="123">
        <f>IF(tech_base!$T13&gt;AN$1745,"",(tech_base!$K13/tech_proj!AN137*0.086*$J$132)/(1-tech_proj!AN417))</f>
        <v>9.5856322366399738</v>
      </c>
      <c r="AO1757" s="123">
        <f>IF(tech_base!$T13&gt;AO$1745,"",(tech_base!$K13/tech_proj!AO137*0.086*$J$132)/(1-tech_proj!AO417))</f>
        <v>9.5787540624337328</v>
      </c>
      <c r="AP1757" s="123">
        <f>IF(tech_base!$T13&gt;AP$1745,"",(tech_base!$K13/tech_proj!AP137*0.086*$J$132)/(1-tech_proj!AP417))</f>
        <v>9.5695790027302774</v>
      </c>
      <c r="AQ1757" s="123">
        <f>IF(tech_base!$T13&gt;AQ$1745,"",(tech_base!$K13/tech_proj!AQ137*0.086*$J$132)/(1-tech_proj!AQ417))</f>
        <v>9.5573896126614759</v>
      </c>
      <c r="AR1757" s="123">
        <f>IF(tech_base!$T13&gt;AR$1745,"",(tech_base!$K13/tech_proj!AR137*0.086*$J$132)/(1-tech_proj!AR417))</f>
        <v>9.5412828743498519</v>
      </c>
      <c r="AS1757" s="123">
        <f>IF(tech_base!$T13&gt;AS$1745,"",(tech_base!$K13/tech_proj!AS137*0.086*$J$132)/(1-tech_proj!AS417))</f>
        <v>9.5201518202825994</v>
      </c>
      <c r="AT1757" s="123">
        <f>IF(tech_base!$T13&gt;AT$1745,"",(tech_base!$K13/tech_proj!AT137*0.086*$J$132)/(1-tech_proj!AT417))</f>
        <v>9.4926897228727949</v>
      </c>
      <c r="AU1757" s="123">
        <f>IF(tech_base!$T13&gt;AU$1745,"",(tech_base!$K13/tech_proj!AU137*0.086*$J$132)/(1-tech_proj!AU417))</f>
        <v>9.4574376649955791</v>
      </c>
      <c r="AV1757" s="123">
        <f>IF(tech_base!$T13&gt;AV$1745,"",(tech_base!$K13/tech_proj!AV137*0.086*$J$132)/(1-tech_proj!AV417))</f>
        <v>9.4129031559678147</v>
      </c>
      <c r="AW1757" s="123">
        <f>IF(tech_base!$T13&gt;AW$1745,"",(tech_base!$K13/tech_proj!AW137*0.086*$J$132)/(1-tech_proj!AW417))</f>
        <v>9.3577783064020945</v>
      </c>
      <c r="AX1757" s="124">
        <f>IF(tech_base!$T13&gt;AX$1745,"",(tech_base!$K13/tech_proj!AX137*0.086*$J$132)/(1-tech_proj!AX417))</f>
        <v>9.2912711062351274</v>
      </c>
    </row>
    <row r="1758" spans="1:52" x14ac:dyDescent="0.25">
      <c r="A1758" s="356"/>
      <c r="B1758" s="359"/>
      <c r="C1758" s="379"/>
      <c r="D1758" s="59" t="s">
        <v>8</v>
      </c>
      <c r="E1758" s="166" t="str">
        <f>A1753&amp;"/"&amp;B1753&amp;"/"&amp;C1757&amp;"/"&amp;D1758</f>
        <v>Coal fired power plants/Integrated gasification combined cycle/Electricity only with CCS/M</v>
      </c>
      <c r="F1758" s="79" t="str">
        <f>A1753</f>
        <v>Coal fired power plants</v>
      </c>
      <c r="G1758" s="79" t="str">
        <f>B1753</f>
        <v>Integrated gasification combined cycle</v>
      </c>
      <c r="H1758" s="79" t="str">
        <f>C1757</f>
        <v>Electricity only with CCS</v>
      </c>
      <c r="I1758" s="167" t="str">
        <f t="shared" si="382"/>
        <v>M</v>
      </c>
      <c r="J1758" s="125" t="str">
        <f>IF(tech_base!$T14&gt;J$1745,"",(tech_base!$K14/tech_proj!J138*0.086*$J$132)/(1-tech_proj!J418))</f>
        <v/>
      </c>
      <c r="K1758" s="125" t="str">
        <f>IF(tech_base!$T14&gt;K$1745,"",(tech_base!$K14/tech_proj!K138*0.086*$J$132)/(1-tech_proj!K418))</f>
        <v/>
      </c>
      <c r="L1758" s="125" t="str">
        <f>IF(tech_base!$T14&gt;L$1745,"",(tech_base!$K14/tech_proj!L138*0.086*$J$132)/(1-tech_proj!L418))</f>
        <v/>
      </c>
      <c r="M1758" s="125" t="str">
        <f>IF(tech_base!$T14&gt;M$1745,"",(tech_base!$K14/tech_proj!M138*0.086*$J$132)/(1-tech_proj!M418))</f>
        <v/>
      </c>
      <c r="N1758" s="125" t="str">
        <f>IF(tech_base!$T14&gt;N$1745,"",(tech_base!$K14/tech_proj!N138*0.086*$J$132)/(1-tech_proj!N418))</f>
        <v/>
      </c>
      <c r="O1758" s="125" t="str">
        <f>IF(tech_base!$T14&gt;O$1745,"",(tech_base!$K14/tech_proj!O138*0.086*$J$132)/(1-tech_proj!O418))</f>
        <v/>
      </c>
      <c r="P1758" s="125" t="str">
        <f>IF(tech_base!$T14&gt;P$1745,"",(tech_base!$K14/tech_proj!P138*0.086*$J$132)/(1-tech_proj!P418))</f>
        <v/>
      </c>
      <c r="Q1758" s="125" t="str">
        <f>IF(tech_base!$T14&gt;Q$1745,"",(tech_base!$K14/tech_proj!Q138*0.086*$J$132)/(1-tech_proj!Q418))</f>
        <v/>
      </c>
      <c r="R1758" s="125" t="str">
        <f>IF(tech_base!$T14&gt;R$1745,"",(tech_base!$K14/tech_proj!R138*0.086*$J$132)/(1-tech_proj!R418))</f>
        <v/>
      </c>
      <c r="S1758" s="125" t="str">
        <f>IF(tech_base!$T14&gt;S$1745,"",(tech_base!$K14/tech_proj!S138*0.086*$J$132)/(1-tech_proj!S418))</f>
        <v/>
      </c>
      <c r="T1758" s="125" t="str">
        <f>IF(tech_base!$T14&gt;T$1745,"",(tech_base!$K14/tech_proj!T138*0.086*$J$132)/(1-tech_proj!T418))</f>
        <v/>
      </c>
      <c r="U1758" s="125" t="str">
        <f>IF(tech_base!$T14&gt;U$1745,"",(tech_base!$K14/tech_proj!U138*0.086*$J$132)/(1-tech_proj!U418))</f>
        <v/>
      </c>
      <c r="V1758" s="125" t="str">
        <f>IF(tech_base!$T14&gt;V$1745,"",(tech_base!$K14/tech_proj!V138*0.086*$J$132)/(1-tech_proj!V418))</f>
        <v/>
      </c>
      <c r="W1758" s="125" t="str">
        <f>IF(tech_base!$T14&gt;W$1745,"",(tech_base!$K14/tech_proj!W138*0.086*$J$132)/(1-tech_proj!W418))</f>
        <v/>
      </c>
      <c r="X1758" s="125" t="str">
        <f>IF(tech_base!$T14&gt;X$1745,"",(tech_base!$K14/tech_proj!X138*0.086*$J$132)/(1-tech_proj!X418))</f>
        <v/>
      </c>
      <c r="Y1758" s="125" t="str">
        <f>IF(tech_base!$T14&gt;Y$1745,"",(tech_base!$K14/tech_proj!Y138*0.086*$J$132)/(1-tech_proj!Y418))</f>
        <v/>
      </c>
      <c r="Z1758" s="125" t="str">
        <f>IF(tech_base!$T14&gt;Z$1745,"",(tech_base!$K14/tech_proj!Z138*0.086*$J$132)/(1-tech_proj!Z418))</f>
        <v/>
      </c>
      <c r="AA1758" s="125" t="str">
        <f>IF(tech_base!$T14&gt;AA$1745,"",(tech_base!$K14/tech_proj!AA138*0.086*$J$132)/(1-tech_proj!AA418))</f>
        <v/>
      </c>
      <c r="AB1758" s="125" t="str">
        <f>IF(tech_base!$T14&gt;AB$1745,"",(tech_base!$K14/tech_proj!AB138*0.086*$J$132)/(1-tech_proj!AB418))</f>
        <v/>
      </c>
      <c r="AC1758" s="125" t="str">
        <f>IF(tech_base!$T14&gt;AC$1745,"",(tech_base!$K14/tech_proj!AC138*0.086*$J$132)/(1-tech_proj!AC418))</f>
        <v/>
      </c>
      <c r="AD1758" s="125" t="str">
        <f>IF(tech_base!$T14&gt;AD$1745,"",(tech_base!$K14/tech_proj!AD138*0.086*$J$132)/(1-tech_proj!AD418))</f>
        <v/>
      </c>
      <c r="AE1758" s="125">
        <f>IF(tech_base!$T14&gt;AE$1745,"",(tech_base!$K14/tech_proj!AE138*0.086*$J$132)/(1-tech_proj!AE418))</f>
        <v>10.221223540368275</v>
      </c>
      <c r="AF1758" s="125">
        <f>IF(tech_base!$T14&gt;AF$1745,"",(tech_base!$K14/tech_proj!AF138*0.086*$J$132)/(1-tech_proj!AF418))</f>
        <v>10.220971118689771</v>
      </c>
      <c r="AG1758" s="125">
        <f>IF(tech_base!$T14&gt;AG$1745,"",(tech_base!$K14/tech_proj!AG138*0.086*$J$132)/(1-tech_proj!AG418))</f>
        <v>10.2206130520225</v>
      </c>
      <c r="AH1758" s="125">
        <f>IF(tech_base!$T14&gt;AH$1745,"",(tech_base!$K14/tech_proj!AH138*0.086*$J$132)/(1-tech_proj!AH418))</f>
        <v>10.220105206425153</v>
      </c>
      <c r="AI1758" s="125">
        <f>IF(tech_base!$T14&gt;AI$1745,"",(tech_base!$K14/tech_proj!AI138*0.086*$J$132)/(1-tech_proj!AI418))</f>
        <v>10.219385092867835</v>
      </c>
      <c r="AJ1758" s="125">
        <f>IF(tech_base!$T14&gt;AJ$1745,"",(tech_base!$K14/tech_proj!AJ138*0.086*$J$132)/(1-tech_proj!AJ418))</f>
        <v>10.218364316528678</v>
      </c>
      <c r="AK1758" s="125">
        <f>IF(tech_base!$T14&gt;AK$1745,"",(tech_base!$K14/tech_proj!AK138*0.086*$J$132)/(1-tech_proj!AK418))</f>
        <v>10.216918003949367</v>
      </c>
      <c r="AL1758" s="125">
        <f>IF(tech_base!$T14&gt;AL$1745,"",(tech_base!$K14/tech_proj!AL138*0.086*$J$132)/(1-tech_proj!AL418))</f>
        <v>10.214870083518093</v>
      </c>
      <c r="AM1758" s="125">
        <f>IF(tech_base!$T14&gt;AM$1745,"",(tech_base!$K14/tech_proj!AM138*0.086*$J$132)/(1-tech_proj!AM418))</f>
        <v>10.211972963507387</v>
      </c>
      <c r="AN1758" s="125">
        <f>IF(tech_base!$T14&gt;AN$1745,"",(tech_base!$K14/tech_proj!AN138*0.086*$J$132)/(1-tech_proj!AN418))</f>
        <v>10.207879816695476</v>
      </c>
      <c r="AO1758" s="125">
        <f>IF(tech_base!$T14&gt;AO$1745,"",(tech_base!$K14/tech_proj!AO138*0.086*$J$132)/(1-tech_proj!AO418))</f>
        <v>10.202107463753739</v>
      </c>
      <c r="AP1758" s="125">
        <f>IF(tech_base!$T14&gt;AP$1745,"",(tech_base!$K14/tech_proj!AP138*0.086*$J$132)/(1-tech_proj!AP418))</f>
        <v>10.193988025900341</v>
      </c>
      <c r="AQ1758" s="125">
        <f>IF(tech_base!$T14&gt;AQ$1745,"",(tech_base!$K14/tech_proj!AQ138*0.086*$J$132)/(1-tech_proj!AQ418))</f>
        <v>10.182608653473192</v>
      </c>
      <c r="AR1758" s="125">
        <f>IF(tech_base!$T14&gt;AR$1745,"",(tech_base!$K14/tech_proj!AR138*0.086*$J$132)/(1-tech_proj!AR418))</f>
        <v>10.16674177308861</v>
      </c>
      <c r="AS1758" s="125">
        <f>IF(tech_base!$T14&gt;AS$1745,"",(tech_base!$K14/tech_proj!AS138*0.086*$J$132)/(1-tech_proj!AS418))</f>
        <v>10.144775157638161</v>
      </c>
      <c r="AT1758" s="125">
        <f>IF(tech_base!$T14&gt;AT$1745,"",(tech_base!$K14/tech_proj!AT138*0.086*$J$132)/(1-tech_proj!AT418))</f>
        <v>10.11466409704914</v>
      </c>
      <c r="AU1758" s="125">
        <f>IF(tech_base!$T14&gt;AU$1745,"",(tech_base!$K14/tech_proj!AU138*0.086*$J$132)/(1-tech_proj!AU418))</f>
        <v>10.073949154012782</v>
      </c>
      <c r="AV1758" s="125">
        <f>IF(tech_base!$T14&gt;AV$1745,"",(tech_base!$K14/tech_proj!AV138*0.086*$J$132)/(1-tech_proj!AV418))</f>
        <v>10.019911055992443</v>
      </c>
      <c r="AW1758" s="125">
        <f>IF(tech_base!$T14&gt;AW$1745,"",(tech_base!$K14/tech_proj!AW138*0.086*$J$132)/(1-tech_proj!AW418))</f>
        <v>9.9499570955062406</v>
      </c>
      <c r="AX1758" s="126">
        <f>IF(tech_base!$T14&gt;AX$1745,"",(tech_base!$K14/tech_proj!AX138*0.086*$J$132)/(1-tech_proj!AX418))</f>
        <v>9.8623179849302609</v>
      </c>
    </row>
    <row r="1759" spans="1:52" x14ac:dyDescent="0.25">
      <c r="A1759" s="356"/>
      <c r="B1759" s="359"/>
      <c r="C1759" s="361" t="s">
        <v>16</v>
      </c>
      <c r="D1759" s="2" t="s">
        <v>7</v>
      </c>
      <c r="E1759" s="160" t="str">
        <f>A1753&amp;"/"&amp;B1753&amp;"/"&amp;C1759&amp;"/"&amp;D1759</f>
        <v>Coal fired power plants/Integrated gasification combined cycle/CHP with CCS/L</v>
      </c>
      <c r="F1759" s="76" t="str">
        <f>A1753</f>
        <v>Coal fired power plants</v>
      </c>
      <c r="G1759" s="76" t="str">
        <f>B1753</f>
        <v>Integrated gasification combined cycle</v>
      </c>
      <c r="H1759" s="76" t="str">
        <f>C1759</f>
        <v>CHP with CCS</v>
      </c>
      <c r="I1759" s="161" t="str">
        <f t="shared" si="382"/>
        <v>L</v>
      </c>
      <c r="J1759" s="119" t="str">
        <f>IF(tech_base!$T15&gt;J$1745,"",(tech_base!$K15/tech_proj!J139*0.086*$J$132)/(1-tech_proj!J419))</f>
        <v/>
      </c>
      <c r="K1759" s="119" t="str">
        <f>IF(tech_base!$T15&gt;K$1745,"",(tech_base!$K15/tech_proj!K139*0.086*$J$132)/(1-tech_proj!K419))</f>
        <v/>
      </c>
      <c r="L1759" s="119" t="str">
        <f>IF(tech_base!$T15&gt;L$1745,"",(tech_base!$K15/tech_proj!L139*0.086*$J$132)/(1-tech_proj!L419))</f>
        <v/>
      </c>
      <c r="M1759" s="119" t="str">
        <f>IF(tech_base!$T15&gt;M$1745,"",(tech_base!$K15/tech_proj!M139*0.086*$J$132)/(1-tech_proj!M419))</f>
        <v/>
      </c>
      <c r="N1759" s="119" t="str">
        <f>IF(tech_base!$T15&gt;N$1745,"",(tech_base!$K15/tech_proj!N139*0.086*$J$132)/(1-tech_proj!N419))</f>
        <v/>
      </c>
      <c r="O1759" s="119" t="str">
        <f>IF(tech_base!$T15&gt;O$1745,"",(tech_base!$K15/tech_proj!O139*0.086*$J$132)/(1-tech_proj!O419))</f>
        <v/>
      </c>
      <c r="P1759" s="119" t="str">
        <f>IF(tech_base!$T15&gt;P$1745,"",(tech_base!$K15/tech_proj!P139*0.086*$J$132)/(1-tech_proj!P419))</f>
        <v/>
      </c>
      <c r="Q1759" s="119" t="str">
        <f>IF(tech_base!$T15&gt;Q$1745,"",(tech_base!$K15/tech_proj!Q139*0.086*$J$132)/(1-tech_proj!Q419))</f>
        <v/>
      </c>
      <c r="R1759" s="119" t="str">
        <f>IF(tech_base!$T15&gt;R$1745,"",(tech_base!$K15/tech_proj!R139*0.086*$J$132)/(1-tech_proj!R419))</f>
        <v/>
      </c>
      <c r="S1759" s="119" t="str">
        <f>IF(tech_base!$T15&gt;S$1745,"",(tech_base!$K15/tech_proj!S139*0.086*$J$132)/(1-tech_proj!S419))</f>
        <v/>
      </c>
      <c r="T1759" s="119" t="str">
        <f>IF(tech_base!$T15&gt;T$1745,"",(tech_base!$K15/tech_proj!T139*0.086*$J$132)/(1-tech_proj!T419))</f>
        <v/>
      </c>
      <c r="U1759" s="119" t="str">
        <f>IF(tech_base!$T15&gt;U$1745,"",(tech_base!$K15/tech_proj!U139*0.086*$J$132)/(1-tech_proj!U419))</f>
        <v/>
      </c>
      <c r="V1759" s="119" t="str">
        <f>IF(tech_base!$T15&gt;V$1745,"",(tech_base!$K15/tech_proj!V139*0.086*$J$132)/(1-tech_proj!V419))</f>
        <v/>
      </c>
      <c r="W1759" s="119" t="str">
        <f>IF(tech_base!$T15&gt;W$1745,"",(tech_base!$K15/tech_proj!W139*0.086*$J$132)/(1-tech_proj!W419))</f>
        <v/>
      </c>
      <c r="X1759" s="119" t="str">
        <f>IF(tech_base!$T15&gt;X$1745,"",(tech_base!$K15/tech_proj!X139*0.086*$J$132)/(1-tech_proj!X419))</f>
        <v/>
      </c>
      <c r="Y1759" s="119" t="str">
        <f>IF(tech_base!$T15&gt;Y$1745,"",(tech_base!$K15/tech_proj!Y139*0.086*$J$132)/(1-tech_proj!Y419))</f>
        <v/>
      </c>
      <c r="Z1759" s="119" t="str">
        <f>IF(tech_base!$T15&gt;Z$1745,"",(tech_base!$K15/tech_proj!Z139*0.086*$J$132)/(1-tech_proj!Z419))</f>
        <v/>
      </c>
      <c r="AA1759" s="119" t="str">
        <f>IF(tech_base!$T15&gt;AA$1745,"",(tech_base!$K15/tech_proj!AA139*0.086*$J$132)/(1-tech_proj!AA419))</f>
        <v/>
      </c>
      <c r="AB1759" s="119" t="str">
        <f>IF(tech_base!$T15&gt;AB$1745,"",(tech_base!$K15/tech_proj!AB139*0.086*$J$132)/(1-tech_proj!AB419))</f>
        <v/>
      </c>
      <c r="AC1759" s="119" t="str">
        <f>IF(tech_base!$T15&gt;AC$1745,"",(tech_base!$K15/tech_proj!AC139*0.086*$J$132)/(1-tech_proj!AC419))</f>
        <v/>
      </c>
      <c r="AD1759" s="119" t="str">
        <f>IF(tech_base!$T15&gt;AD$1745,"",(tech_base!$K15/tech_proj!AD139*0.086*$J$132)/(1-tech_proj!AD419))</f>
        <v/>
      </c>
      <c r="AE1759" s="119">
        <f>IF(tech_base!$T15&gt;AE$1745,"",(tech_base!$K15/tech_proj!AE139*0.086*$J$132)/(1-tech_proj!AE419))</f>
        <v>10.85334048099717</v>
      </c>
      <c r="AF1759" s="119">
        <f>IF(tech_base!$T15&gt;AF$1745,"",(tech_base!$K15/tech_proj!AF139*0.086*$J$132)/(1-tech_proj!AF419))</f>
        <v>10.852832004149189</v>
      </c>
      <c r="AG1759" s="119">
        <f>IF(tech_base!$T15&gt;AG$1745,"",(tech_base!$K15/tech_proj!AG139*0.086*$J$132)/(1-tech_proj!AG419))</f>
        <v>10.852146193181108</v>
      </c>
      <c r="AH1759" s="119">
        <f>IF(tech_base!$T15&gt;AH$1745,"",(tech_base!$K15/tech_proj!AH139*0.086*$J$132)/(1-tech_proj!AH419))</f>
        <v>10.851221465995952</v>
      </c>
      <c r="AI1759" s="119">
        <f>IF(tech_base!$T15&gt;AI$1745,"",(tech_base!$K15/tech_proj!AI139*0.086*$J$132)/(1-tech_proj!AI419))</f>
        <v>10.849975071454237</v>
      </c>
      <c r="AJ1759" s="119">
        <f>IF(tech_base!$T15&gt;AJ$1745,"",(tech_base!$K15/tech_proj!AJ139*0.086*$J$132)/(1-tech_proj!AJ419))</f>
        <v>10.848295989380938</v>
      </c>
      <c r="AK1759" s="119">
        <f>IF(tech_base!$T15&gt;AK$1745,"",(tech_base!$K15/tech_proj!AK139*0.086*$J$132)/(1-tech_proj!AK419))</f>
        <v>10.846035594056081</v>
      </c>
      <c r="AL1759" s="119">
        <f>IF(tech_base!$T15&gt;AL$1745,"",(tech_base!$K15/tech_proj!AL139*0.086*$J$132)/(1-tech_proj!AL419))</f>
        <v>10.842995496079647</v>
      </c>
      <c r="AM1759" s="119">
        <f>IF(tech_base!$T15&gt;AM$1745,"",(tech_base!$K15/tech_proj!AM139*0.086*$J$132)/(1-tech_proj!AM419))</f>
        <v>10.838911926339446</v>
      </c>
      <c r="AN1759" s="119">
        <f>IF(tech_base!$T15&gt;AN$1745,"",(tech_base!$K15/tech_proj!AN139*0.086*$J$132)/(1-tech_proj!AN419))</f>
        <v>10.83343607072552</v>
      </c>
      <c r="AO1759" s="119">
        <f>IF(tech_base!$T15&gt;AO$1745,"",(tech_base!$K15/tech_proj!AO139*0.086*$J$132)/(1-tech_proj!AO419))</f>
        <v>10.826110015669883</v>
      </c>
      <c r="AP1759" s="119">
        <f>IF(tech_base!$T15&gt;AP$1745,"",(tech_base!$K15/tech_proj!AP139*0.086*$J$132)/(1-tech_proj!AP419))</f>
        <v>10.816338612404826</v>
      </c>
      <c r="AQ1759" s="119">
        <f>IF(tech_base!$T15&gt;AQ$1745,"",(tech_base!$K15/tech_proj!AQ139*0.086*$J$132)/(1-tech_proj!AQ419))</f>
        <v>10.803358914734028</v>
      </c>
      <c r="AR1759" s="119">
        <f>IF(tech_base!$T15&gt;AR$1745,"",(tech_base!$K15/tech_proj!AR139*0.086*$J$132)/(1-tech_proj!AR419))</f>
        <v>10.786211325656831</v>
      </c>
      <c r="AS1759" s="119">
        <f>IF(tech_base!$T15&gt;AS$1745,"",(tech_base!$K15/tech_proj!AS139*0.086*$J$132)/(1-tech_proj!AS419))</f>
        <v>10.763720721001523</v>
      </c>
      <c r="AT1759" s="119">
        <f>IF(tech_base!$T15&gt;AT$1745,"",(tech_base!$K15/tech_proj!AT139*0.086*$J$132)/(1-tech_proj!AT419))</f>
        <v>10.734501977145452</v>
      </c>
      <c r="AU1759" s="119">
        <f>IF(tech_base!$T15&gt;AU$1745,"",(tech_base!$K15/tech_proj!AU139*0.086*$J$132)/(1-tech_proj!AU419))</f>
        <v>10.69701213886364</v>
      </c>
      <c r="AV1759" s="119">
        <f>IF(tech_base!$T15&gt;AV$1745,"",(tech_base!$K15/tech_proj!AV139*0.086*$J$132)/(1-tech_proj!AV419))</f>
        <v>10.649678604561343</v>
      </c>
      <c r="AW1759" s="119">
        <f>IF(tech_base!$T15&gt;AW$1745,"",(tech_base!$K15/tech_proj!AW139*0.086*$J$132)/(1-tech_proj!AW419))</f>
        <v>10.591133242241607</v>
      </c>
      <c r="AX1759" s="120">
        <f>IF(tech_base!$T15&gt;AX$1745,"",(tech_base!$K15/tech_proj!AX139*0.086*$J$132)/(1-tech_proj!AX419))</f>
        <v>10.520565769556123</v>
      </c>
    </row>
    <row r="1760" spans="1:52" x14ac:dyDescent="0.25">
      <c r="A1760" s="356"/>
      <c r="B1760" s="362"/>
      <c r="C1760" s="381"/>
      <c r="D1760" s="4" t="s">
        <v>8</v>
      </c>
      <c r="E1760" s="168" t="str">
        <f>A1753&amp;"/"&amp;B1753&amp;"/"&amp;C1759&amp;"/"&amp;D1760</f>
        <v>Coal fired power plants/Integrated gasification combined cycle/CHP with CCS/M</v>
      </c>
      <c r="F1760" s="80" t="str">
        <f>A1753</f>
        <v>Coal fired power plants</v>
      </c>
      <c r="G1760" s="80" t="str">
        <f>B1753</f>
        <v>Integrated gasification combined cycle</v>
      </c>
      <c r="H1760" s="80" t="str">
        <f>C1759</f>
        <v>CHP with CCS</v>
      </c>
      <c r="I1760" s="169" t="str">
        <f t="shared" si="382"/>
        <v>M</v>
      </c>
      <c r="J1760" s="127" t="str">
        <f>IF(tech_base!$T16&gt;J$1745,"",(tech_base!$K16/tech_proj!J140*0.086*$J$132)/(1-tech_proj!J420))</f>
        <v/>
      </c>
      <c r="K1760" s="127" t="str">
        <f>IF(tech_base!$T16&gt;K$1745,"",(tech_base!$K16/tech_proj!K140*0.086*$J$132)/(1-tech_proj!K420))</f>
        <v/>
      </c>
      <c r="L1760" s="127" t="str">
        <f>IF(tech_base!$T16&gt;L$1745,"",(tech_base!$K16/tech_proj!L140*0.086*$J$132)/(1-tech_proj!L420))</f>
        <v/>
      </c>
      <c r="M1760" s="127" t="str">
        <f>IF(tech_base!$T16&gt;M$1745,"",(tech_base!$K16/tech_proj!M140*0.086*$J$132)/(1-tech_proj!M420))</f>
        <v/>
      </c>
      <c r="N1760" s="127" t="str">
        <f>IF(tech_base!$T16&gt;N$1745,"",(tech_base!$K16/tech_proj!N140*0.086*$J$132)/(1-tech_proj!N420))</f>
        <v/>
      </c>
      <c r="O1760" s="127" t="str">
        <f>IF(tech_base!$T16&gt;O$1745,"",(tech_base!$K16/tech_proj!O140*0.086*$J$132)/(1-tech_proj!O420))</f>
        <v/>
      </c>
      <c r="P1760" s="127" t="str">
        <f>IF(tech_base!$T16&gt;P$1745,"",(tech_base!$K16/tech_proj!P140*0.086*$J$132)/(1-tech_proj!P420))</f>
        <v/>
      </c>
      <c r="Q1760" s="127" t="str">
        <f>IF(tech_base!$T16&gt;Q$1745,"",(tech_base!$K16/tech_proj!Q140*0.086*$J$132)/(1-tech_proj!Q420))</f>
        <v/>
      </c>
      <c r="R1760" s="127" t="str">
        <f>IF(tech_base!$T16&gt;R$1745,"",(tech_base!$K16/tech_proj!R140*0.086*$J$132)/(1-tech_proj!R420))</f>
        <v/>
      </c>
      <c r="S1760" s="127" t="str">
        <f>IF(tech_base!$T16&gt;S$1745,"",(tech_base!$K16/tech_proj!S140*0.086*$J$132)/(1-tech_proj!S420))</f>
        <v/>
      </c>
      <c r="T1760" s="127" t="str">
        <f>IF(tech_base!$T16&gt;T$1745,"",(tech_base!$K16/tech_proj!T140*0.086*$J$132)/(1-tech_proj!T420))</f>
        <v/>
      </c>
      <c r="U1760" s="127" t="str">
        <f>IF(tech_base!$T16&gt;U$1745,"",(tech_base!$K16/tech_proj!U140*0.086*$J$132)/(1-tech_proj!U420))</f>
        <v/>
      </c>
      <c r="V1760" s="127" t="str">
        <f>IF(tech_base!$T16&gt;V$1745,"",(tech_base!$K16/tech_proj!V140*0.086*$J$132)/(1-tech_proj!V420))</f>
        <v/>
      </c>
      <c r="W1760" s="127" t="str">
        <f>IF(tech_base!$T16&gt;W$1745,"",(tech_base!$K16/tech_proj!W140*0.086*$J$132)/(1-tech_proj!W420))</f>
        <v/>
      </c>
      <c r="X1760" s="127" t="str">
        <f>IF(tech_base!$T16&gt;X$1745,"",(tech_base!$K16/tech_proj!X140*0.086*$J$132)/(1-tech_proj!X420))</f>
        <v/>
      </c>
      <c r="Y1760" s="127" t="str">
        <f>IF(tech_base!$T16&gt;Y$1745,"",(tech_base!$K16/tech_proj!Y140*0.086*$J$132)/(1-tech_proj!Y420))</f>
        <v/>
      </c>
      <c r="Z1760" s="127" t="str">
        <f>IF(tech_base!$T16&gt;Z$1745,"",(tech_base!$K16/tech_proj!Z140*0.086*$J$132)/(1-tech_proj!Z420))</f>
        <v/>
      </c>
      <c r="AA1760" s="127" t="str">
        <f>IF(tech_base!$T16&gt;AA$1745,"",(tech_base!$K16/tech_proj!AA140*0.086*$J$132)/(1-tech_proj!AA420))</f>
        <v/>
      </c>
      <c r="AB1760" s="127" t="str">
        <f>IF(tech_base!$T16&gt;AB$1745,"",(tech_base!$K16/tech_proj!AB140*0.086*$J$132)/(1-tech_proj!AB420))</f>
        <v/>
      </c>
      <c r="AC1760" s="127" t="str">
        <f>IF(tech_base!$T16&gt;AC$1745,"",(tech_base!$K16/tech_proj!AC140*0.086*$J$132)/(1-tech_proj!AC420))</f>
        <v/>
      </c>
      <c r="AD1760" s="127" t="str">
        <f>IF(tech_base!$T16&gt;AD$1745,"",(tech_base!$K16/tech_proj!AD140*0.086*$J$132)/(1-tech_proj!AD420))</f>
        <v/>
      </c>
      <c r="AE1760" s="127">
        <f>IF(tech_base!$T16&gt;AE$1745,"",(tech_base!$K16/tech_proj!AE140*0.086*$J$132)/(1-tech_proj!AE420))</f>
        <v>11.570694537128825</v>
      </c>
      <c r="AF1760" s="127">
        <f>IF(tech_base!$T16&gt;AF$1745,"",(tech_base!$K16/tech_proj!AF140*0.086*$J$132)/(1-tech_proj!AF420))</f>
        <v>11.570427843006875</v>
      </c>
      <c r="AG1760" s="127">
        <f>IF(tech_base!$T16&gt;AG$1745,"",(tech_base!$K16/tech_proj!AG140*0.086*$J$132)/(1-tech_proj!AG420))</f>
        <v>11.570049532268083</v>
      </c>
      <c r="AH1760" s="127">
        <f>IF(tech_base!$T16&gt;AH$1745,"",(tech_base!$K16/tech_proj!AH140*0.086*$J$132)/(1-tech_proj!AH420))</f>
        <v>11.569512978061288</v>
      </c>
      <c r="AI1760" s="127">
        <f>IF(tech_base!$T16&gt;AI$1745,"",(tech_base!$K16/tech_proj!AI140*0.086*$J$132)/(1-tech_proj!AI420))</f>
        <v>11.568752163459703</v>
      </c>
      <c r="AJ1760" s="127">
        <f>IF(tech_base!$T16&gt;AJ$1745,"",(tech_base!$K16/tech_proj!AJ140*0.086*$J$132)/(1-tech_proj!AJ420))</f>
        <v>11.567673706821873</v>
      </c>
      <c r="AK1760" s="127">
        <f>IF(tech_base!$T16&gt;AK$1745,"",(tech_base!$K16/tech_proj!AK140*0.086*$J$132)/(1-tech_proj!AK420))</f>
        <v>11.566145697189258</v>
      </c>
      <c r="AL1760" s="127">
        <f>IF(tech_base!$T16&gt;AL$1745,"",(tech_base!$K16/tech_proj!AL140*0.086*$J$132)/(1-tech_proj!AL420))</f>
        <v>11.56398215465939</v>
      </c>
      <c r="AM1760" s="127">
        <f>IF(tech_base!$T16&gt;AM$1745,"",(tech_base!$K16/tech_proj!AM140*0.086*$J$132)/(1-tech_proj!AM420))</f>
        <v>11.560921583685904</v>
      </c>
      <c r="AN1760" s="127">
        <f>IF(tech_base!$T16&gt;AN$1745,"",(tech_base!$K16/tech_proj!AN140*0.086*$J$132)/(1-tech_proj!AN420))</f>
        <v>11.556597738893652</v>
      </c>
      <c r="AO1760" s="127">
        <f>IF(tech_base!$T16&gt;AO$1745,"",(tech_base!$K16/tech_proj!AO140*0.086*$J$132)/(1-tech_proj!AO420))</f>
        <v>11.55050050493363</v>
      </c>
      <c r="AP1760" s="127">
        <f>IF(tech_base!$T16&gt;AP$1745,"",(tech_base!$K16/tech_proj!AP140*0.086*$J$132)/(1-tech_proj!AP420))</f>
        <v>11.54192500084946</v>
      </c>
      <c r="AQ1760" s="127">
        <f>IF(tech_base!$T16&gt;AQ$1745,"",(tech_base!$K16/tech_proj!AQ140*0.086*$J$132)/(1-tech_proj!AQ420))</f>
        <v>11.529908256604299</v>
      </c>
      <c r="AR1760" s="127">
        <f>IF(tech_base!$T16&gt;AR$1745,"",(tech_base!$K16/tech_proj!AR140*0.086*$J$132)/(1-tech_proj!AR420))</f>
        <v>11.513156184662972</v>
      </c>
      <c r="AS1760" s="127">
        <f>IF(tech_base!$T16&gt;AS$1745,"",(tech_base!$K16/tech_proj!AS140*0.086*$J$132)/(1-tech_proj!AS420))</f>
        <v>11.489970912689552</v>
      </c>
      <c r="AT1760" s="127">
        <f>IF(tech_base!$T16&gt;AT$1745,"",(tech_base!$K16/tech_proj!AT140*0.086*$J$132)/(1-tech_proj!AT420))</f>
        <v>11.458202363763045</v>
      </c>
      <c r="AU1760" s="127">
        <f>IF(tech_base!$T16&gt;AU$1745,"",(tech_base!$K16/tech_proj!AU140*0.086*$J$132)/(1-tech_proj!AU420))</f>
        <v>11.41527043468802</v>
      </c>
      <c r="AV1760" s="127">
        <f>IF(tech_base!$T16&gt;AV$1745,"",(tech_base!$K16/tech_proj!AV140*0.086*$J$132)/(1-tech_proj!AV420))</f>
        <v>11.358333563719038</v>
      </c>
      <c r="AW1760" s="127">
        <f>IF(tech_base!$T16&gt;AW$1745,"",(tech_base!$K16/tech_proj!AW140*0.086*$J$132)/(1-tech_proj!AW420))</f>
        <v>11.284702653949095</v>
      </c>
      <c r="AX1760" s="128">
        <f>IF(tech_base!$T16&gt;AX$1745,"",(tech_base!$K16/tech_proj!AX140*0.086*$J$132)/(1-tech_proj!AX420))</f>
        <v>11.192580791978672</v>
      </c>
    </row>
    <row r="1761" spans="1:50" x14ac:dyDescent="0.25">
      <c r="A1761" s="356"/>
      <c r="B1761" s="358" t="s">
        <v>17</v>
      </c>
      <c r="C1761" s="353" t="s">
        <v>6</v>
      </c>
      <c r="D1761" s="3" t="s">
        <v>7</v>
      </c>
      <c r="E1761" s="162" t="str">
        <f>A1753&amp;"/"&amp;B1761&amp;"/"&amp;C1761&amp;"/"&amp;D1761</f>
        <v>Coal fired power plants/Supercritical steam turbine/Electricity only/L</v>
      </c>
      <c r="F1761" s="77" t="str">
        <f>A1753</f>
        <v>Coal fired power plants</v>
      </c>
      <c r="G1761" s="77" t="str">
        <f>B1761</f>
        <v>Supercritical steam turbine</v>
      </c>
      <c r="H1761" s="77" t="str">
        <f>C1761</f>
        <v>Electricity only</v>
      </c>
      <c r="I1761" s="163" t="str">
        <f t="shared" si="382"/>
        <v>L</v>
      </c>
      <c r="J1761" s="121">
        <f>IF(tech_base!$T17&gt;J$1745,"",(tech_base!$K17/tech_proj!J141*0.086*$J$132)/(1-tech_proj!J421))</f>
        <v>0</v>
      </c>
      <c r="K1761" s="121">
        <f>IF(tech_base!$T17&gt;K$1745,"",(tech_base!$K17/tech_proj!K141*0.086*$J$132)/(1-tech_proj!K421))</f>
        <v>0</v>
      </c>
      <c r="L1761" s="121">
        <f>IF(tech_base!$T17&gt;L$1745,"",(tech_base!$K17/tech_proj!L141*0.086*$J$132)/(1-tech_proj!L421))</f>
        <v>0</v>
      </c>
      <c r="M1761" s="121">
        <f>IF(tech_base!$T17&gt;M$1745,"",(tech_base!$K17/tech_proj!M141*0.086*$J$132)/(1-tech_proj!M421))</f>
        <v>0</v>
      </c>
      <c r="N1761" s="121">
        <f>IF(tech_base!$T17&gt;N$1745,"",(tech_base!$K17/tech_proj!N141*0.086*$J$132)/(1-tech_proj!N421))</f>
        <v>0</v>
      </c>
      <c r="O1761" s="121">
        <f>IF(tech_base!$T17&gt;O$1745,"",(tech_base!$K17/tech_proj!O141*0.086*$J$132)/(1-tech_proj!O421))</f>
        <v>0</v>
      </c>
      <c r="P1761" s="121">
        <f>IF(tech_base!$T17&gt;P$1745,"",(tech_base!$K17/tech_proj!P141*0.086*$J$132)/(1-tech_proj!P421))</f>
        <v>0</v>
      </c>
      <c r="Q1761" s="121">
        <f>IF(tech_base!$T17&gt;Q$1745,"",(tech_base!$K17/tech_proj!Q141*0.086*$J$132)/(1-tech_proj!Q421))</f>
        <v>0</v>
      </c>
      <c r="R1761" s="121">
        <f>IF(tech_base!$T17&gt;R$1745,"",(tech_base!$K17/tech_proj!R141*0.086*$J$132)/(1-tech_proj!R421))</f>
        <v>0</v>
      </c>
      <c r="S1761" s="121">
        <f>IF(tech_base!$T17&gt;S$1745,"",(tech_base!$K17/tech_proj!S141*0.086*$J$132)/(1-tech_proj!S421))</f>
        <v>0</v>
      </c>
      <c r="T1761" s="121">
        <f>IF(tech_base!$T17&gt;T$1745,"",(tech_base!$K17/tech_proj!T141*0.086*$J$132)/(1-tech_proj!T421))</f>
        <v>0</v>
      </c>
      <c r="U1761" s="121">
        <f>IF(tech_base!$T17&gt;U$1745,"",(tech_base!$K17/tech_proj!U141*0.086*$J$132)/(1-tech_proj!U421))</f>
        <v>0</v>
      </c>
      <c r="V1761" s="121">
        <f>IF(tech_base!$T17&gt;V$1745,"",(tech_base!$K17/tech_proj!V141*0.086*$J$132)/(1-tech_proj!V421))</f>
        <v>0</v>
      </c>
      <c r="W1761" s="121">
        <f>IF(tech_base!$T17&gt;W$1745,"",(tech_base!$K17/tech_proj!W141*0.086*$J$132)/(1-tech_proj!W421))</f>
        <v>0</v>
      </c>
      <c r="X1761" s="121">
        <f>IF(tech_base!$T17&gt;X$1745,"",(tech_base!$K17/tech_proj!X141*0.086*$J$132)/(1-tech_proj!X421))</f>
        <v>0</v>
      </c>
      <c r="Y1761" s="121">
        <f>IF(tech_base!$T17&gt;Y$1745,"",(tech_base!$K17/tech_proj!Y141*0.086*$J$132)/(1-tech_proj!Y421))</f>
        <v>0</v>
      </c>
      <c r="Z1761" s="121">
        <f>IF(tech_base!$T17&gt;Z$1745,"",(tech_base!$K17/tech_proj!Z141*0.086*$J$132)/(1-tech_proj!Z421))</f>
        <v>0</v>
      </c>
      <c r="AA1761" s="121">
        <f>IF(tech_base!$T17&gt;AA$1745,"",(tech_base!$K17/tech_proj!AA141*0.086*$J$132)/(1-tech_proj!AA421))</f>
        <v>0</v>
      </c>
      <c r="AB1761" s="121">
        <f>IF(tech_base!$T17&gt;AB$1745,"",(tech_base!$K17/tech_proj!AB141*0.086*$J$132)/(1-tech_proj!AB421))</f>
        <v>0</v>
      </c>
      <c r="AC1761" s="121">
        <f>IF(tech_base!$T17&gt;AC$1745,"",(tech_base!$K17/tech_proj!AC141*0.086*$J$132)/(1-tech_proj!AC421))</f>
        <v>0</v>
      </c>
      <c r="AD1761" s="121">
        <f>IF(tech_base!$T17&gt;AD$1745,"",(tech_base!$K17/tech_proj!AD141*0.086*$J$132)/(1-tech_proj!AD421))</f>
        <v>0</v>
      </c>
      <c r="AE1761" s="121">
        <f>IF(tech_base!$T17&gt;AE$1745,"",(tech_base!$K17/tech_proj!AE141*0.086*$J$132)/(1-tech_proj!AE421))</f>
        <v>0</v>
      </c>
      <c r="AF1761" s="121">
        <f>IF(tech_base!$T17&gt;AF$1745,"",(tech_base!$K17/tech_proj!AF141*0.086*$J$132)/(1-tech_proj!AF421))</f>
        <v>0</v>
      </c>
      <c r="AG1761" s="121">
        <f>IF(tech_base!$T17&gt;AG$1745,"",(tech_base!$K17/tech_proj!AG141*0.086*$J$132)/(1-tech_proj!AG421))</f>
        <v>0</v>
      </c>
      <c r="AH1761" s="121">
        <f>IF(tech_base!$T17&gt;AH$1745,"",(tech_base!$K17/tech_proj!AH141*0.086*$J$132)/(1-tech_proj!AH421))</f>
        <v>0</v>
      </c>
      <c r="AI1761" s="121">
        <f>IF(tech_base!$T17&gt;AI$1745,"",(tech_base!$K17/tech_proj!AI141*0.086*$J$132)/(1-tech_proj!AI421))</f>
        <v>0</v>
      </c>
      <c r="AJ1761" s="121">
        <f>IF(tech_base!$T17&gt;AJ$1745,"",(tech_base!$K17/tech_proj!AJ141*0.086*$J$132)/(1-tech_proj!AJ421))</f>
        <v>0</v>
      </c>
      <c r="AK1761" s="121">
        <f>IF(tech_base!$T17&gt;AK$1745,"",(tech_base!$K17/tech_proj!AK141*0.086*$J$132)/(1-tech_proj!AK421))</f>
        <v>0</v>
      </c>
      <c r="AL1761" s="121">
        <f>IF(tech_base!$T17&gt;AL$1745,"",(tech_base!$K17/tech_proj!AL141*0.086*$J$132)/(1-tech_proj!AL421))</f>
        <v>0</v>
      </c>
      <c r="AM1761" s="121">
        <f>IF(tech_base!$T17&gt;AM$1745,"",(tech_base!$K17/tech_proj!AM141*0.086*$J$132)/(1-tech_proj!AM421))</f>
        <v>0</v>
      </c>
      <c r="AN1761" s="121">
        <f>IF(tech_base!$T17&gt;AN$1745,"",(tech_base!$K17/tech_proj!AN141*0.086*$J$132)/(1-tech_proj!AN421))</f>
        <v>0</v>
      </c>
      <c r="AO1761" s="121">
        <f>IF(tech_base!$T17&gt;AO$1745,"",(tech_base!$K17/tech_proj!AO141*0.086*$J$132)/(1-tech_proj!AO421))</f>
        <v>0</v>
      </c>
      <c r="AP1761" s="121">
        <f>IF(tech_base!$T17&gt;AP$1745,"",(tech_base!$K17/tech_proj!AP141*0.086*$J$132)/(1-tech_proj!AP421))</f>
        <v>0</v>
      </c>
      <c r="AQ1761" s="121">
        <f>IF(tech_base!$T17&gt;AQ$1745,"",(tech_base!$K17/tech_proj!AQ141*0.086*$J$132)/(1-tech_proj!AQ421))</f>
        <v>0</v>
      </c>
      <c r="AR1761" s="121">
        <f>IF(tech_base!$T17&gt;AR$1745,"",(tech_base!$K17/tech_proj!AR141*0.086*$J$132)/(1-tech_proj!AR421))</f>
        <v>0</v>
      </c>
      <c r="AS1761" s="121">
        <f>IF(tech_base!$T17&gt;AS$1745,"",(tech_base!$K17/tech_proj!AS141*0.086*$J$132)/(1-tech_proj!AS421))</f>
        <v>0</v>
      </c>
      <c r="AT1761" s="121">
        <f>IF(tech_base!$T17&gt;AT$1745,"",(tech_base!$K17/tech_proj!AT141*0.086*$J$132)/(1-tech_proj!AT421))</f>
        <v>0</v>
      </c>
      <c r="AU1761" s="121">
        <f>IF(tech_base!$T17&gt;AU$1745,"",(tech_base!$K17/tech_proj!AU141*0.086*$J$132)/(1-tech_proj!AU421))</f>
        <v>0</v>
      </c>
      <c r="AV1761" s="121">
        <f>IF(tech_base!$T17&gt;AV$1745,"",(tech_base!$K17/tech_proj!AV141*0.086*$J$132)/(1-tech_proj!AV421))</f>
        <v>0</v>
      </c>
      <c r="AW1761" s="121">
        <f>IF(tech_base!$T17&gt;AW$1745,"",(tech_base!$K17/tech_proj!AW141*0.086*$J$132)/(1-tech_proj!AW421))</f>
        <v>0</v>
      </c>
      <c r="AX1761" s="122">
        <f>IF(tech_base!$T17&gt;AX$1745,"",(tech_base!$K17/tech_proj!AX141*0.086*$J$132)/(1-tech_proj!AX421))</f>
        <v>0</v>
      </c>
    </row>
    <row r="1762" spans="1:50" x14ac:dyDescent="0.25">
      <c r="A1762" s="356"/>
      <c r="B1762" s="376"/>
      <c r="C1762" s="379"/>
      <c r="D1762" s="2" t="s">
        <v>8</v>
      </c>
      <c r="E1762" s="160" t="str">
        <f>A1753&amp;"/"&amp;B1761&amp;"/"&amp;C1761&amp;"/"&amp;D1762</f>
        <v>Coal fired power plants/Supercritical steam turbine/Electricity only/M</v>
      </c>
      <c r="F1762" s="76" t="str">
        <f>A1753</f>
        <v>Coal fired power plants</v>
      </c>
      <c r="G1762" s="76" t="str">
        <f>B1761</f>
        <v>Supercritical steam turbine</v>
      </c>
      <c r="H1762" s="76" t="str">
        <f>C1761</f>
        <v>Electricity only</v>
      </c>
      <c r="I1762" s="161" t="str">
        <f t="shared" si="382"/>
        <v>M</v>
      </c>
      <c r="J1762" s="119">
        <f>IF(tech_base!$T18&gt;J$1745,"",(tech_base!$K18/tech_proj!J142*0.086*$J$132)/(1-tech_proj!J422))</f>
        <v>0</v>
      </c>
      <c r="K1762" s="119">
        <f>IF(tech_base!$T18&gt;K$1745,"",(tech_base!$K18/tech_proj!K142*0.086*$J$132)/(1-tech_proj!K422))</f>
        <v>0</v>
      </c>
      <c r="L1762" s="119">
        <f>IF(tech_base!$T18&gt;L$1745,"",(tech_base!$K18/tech_proj!L142*0.086*$J$132)/(1-tech_proj!L422))</f>
        <v>0</v>
      </c>
      <c r="M1762" s="119">
        <f>IF(tech_base!$T18&gt;M$1745,"",(tech_base!$K18/tech_proj!M142*0.086*$J$132)/(1-tech_proj!M422))</f>
        <v>0</v>
      </c>
      <c r="N1762" s="119">
        <f>IF(tech_base!$T18&gt;N$1745,"",(tech_base!$K18/tech_proj!N142*0.086*$J$132)/(1-tech_proj!N422))</f>
        <v>0</v>
      </c>
      <c r="O1762" s="119">
        <f>IF(tech_base!$T18&gt;O$1745,"",(tech_base!$K18/tech_proj!O142*0.086*$J$132)/(1-tech_proj!O422))</f>
        <v>0</v>
      </c>
      <c r="P1762" s="119">
        <f>IF(tech_base!$T18&gt;P$1745,"",(tech_base!$K18/tech_proj!P142*0.086*$J$132)/(1-tech_proj!P422))</f>
        <v>0</v>
      </c>
      <c r="Q1762" s="119">
        <f>IF(tech_base!$T18&gt;Q$1745,"",(tech_base!$K18/tech_proj!Q142*0.086*$J$132)/(1-tech_proj!Q422))</f>
        <v>0</v>
      </c>
      <c r="R1762" s="119">
        <f>IF(tech_base!$T18&gt;R$1745,"",(tech_base!$K18/tech_proj!R142*0.086*$J$132)/(1-tech_proj!R422))</f>
        <v>0</v>
      </c>
      <c r="S1762" s="119">
        <f>IF(tech_base!$T18&gt;S$1745,"",(tech_base!$K18/tech_proj!S142*0.086*$J$132)/(1-tech_proj!S422))</f>
        <v>0</v>
      </c>
      <c r="T1762" s="119">
        <f>IF(tech_base!$T18&gt;T$1745,"",(tech_base!$K18/tech_proj!T142*0.086*$J$132)/(1-tech_proj!T422))</f>
        <v>0</v>
      </c>
      <c r="U1762" s="119">
        <f>IF(tech_base!$T18&gt;U$1745,"",(tech_base!$K18/tech_proj!U142*0.086*$J$132)/(1-tech_proj!U422))</f>
        <v>0</v>
      </c>
      <c r="V1762" s="119">
        <f>IF(tech_base!$T18&gt;V$1745,"",(tech_base!$K18/tech_proj!V142*0.086*$J$132)/(1-tech_proj!V422))</f>
        <v>0</v>
      </c>
      <c r="W1762" s="119">
        <f>IF(tech_base!$T18&gt;W$1745,"",(tech_base!$K18/tech_proj!W142*0.086*$J$132)/(1-tech_proj!W422))</f>
        <v>0</v>
      </c>
      <c r="X1762" s="119">
        <f>IF(tech_base!$T18&gt;X$1745,"",(tech_base!$K18/tech_proj!X142*0.086*$J$132)/(1-tech_proj!X422))</f>
        <v>0</v>
      </c>
      <c r="Y1762" s="119">
        <f>IF(tech_base!$T18&gt;Y$1745,"",(tech_base!$K18/tech_proj!Y142*0.086*$J$132)/(1-tech_proj!Y422))</f>
        <v>0</v>
      </c>
      <c r="Z1762" s="119">
        <f>IF(tech_base!$T18&gt;Z$1745,"",(tech_base!$K18/tech_proj!Z142*0.086*$J$132)/(1-tech_proj!Z422))</f>
        <v>0</v>
      </c>
      <c r="AA1762" s="119">
        <f>IF(tech_base!$T18&gt;AA$1745,"",(tech_base!$K18/tech_proj!AA142*0.086*$J$132)/(1-tech_proj!AA422))</f>
        <v>0</v>
      </c>
      <c r="AB1762" s="119">
        <f>IF(tech_base!$T18&gt;AB$1745,"",(tech_base!$K18/tech_proj!AB142*0.086*$J$132)/(1-tech_proj!AB422))</f>
        <v>0</v>
      </c>
      <c r="AC1762" s="119">
        <f>IF(tech_base!$T18&gt;AC$1745,"",(tech_base!$K18/tech_proj!AC142*0.086*$J$132)/(1-tech_proj!AC422))</f>
        <v>0</v>
      </c>
      <c r="AD1762" s="119">
        <f>IF(tech_base!$T18&gt;AD$1745,"",(tech_base!$K18/tech_proj!AD142*0.086*$J$132)/(1-tech_proj!AD422))</f>
        <v>0</v>
      </c>
      <c r="AE1762" s="119">
        <f>IF(tech_base!$T18&gt;AE$1745,"",(tech_base!$K18/tech_proj!AE142*0.086*$J$132)/(1-tech_proj!AE422))</f>
        <v>0</v>
      </c>
      <c r="AF1762" s="119">
        <f>IF(tech_base!$T18&gt;AF$1745,"",(tech_base!$K18/tech_proj!AF142*0.086*$J$132)/(1-tech_proj!AF422))</f>
        <v>0</v>
      </c>
      <c r="AG1762" s="119">
        <f>IF(tech_base!$T18&gt;AG$1745,"",(tech_base!$K18/tech_proj!AG142*0.086*$J$132)/(1-tech_proj!AG422))</f>
        <v>0</v>
      </c>
      <c r="AH1762" s="119">
        <f>IF(tech_base!$T18&gt;AH$1745,"",(tech_base!$K18/tech_proj!AH142*0.086*$J$132)/(1-tech_proj!AH422))</f>
        <v>0</v>
      </c>
      <c r="AI1762" s="119">
        <f>IF(tech_base!$T18&gt;AI$1745,"",(tech_base!$K18/tech_proj!AI142*0.086*$J$132)/(1-tech_proj!AI422))</f>
        <v>0</v>
      </c>
      <c r="AJ1762" s="119">
        <f>IF(tech_base!$T18&gt;AJ$1745,"",(tech_base!$K18/tech_proj!AJ142*0.086*$J$132)/(1-tech_proj!AJ422))</f>
        <v>0</v>
      </c>
      <c r="AK1762" s="119">
        <f>IF(tech_base!$T18&gt;AK$1745,"",(tech_base!$K18/tech_proj!AK142*0.086*$J$132)/(1-tech_proj!AK422))</f>
        <v>0</v>
      </c>
      <c r="AL1762" s="119">
        <f>IF(tech_base!$T18&gt;AL$1745,"",(tech_base!$K18/tech_proj!AL142*0.086*$J$132)/(1-tech_proj!AL422))</f>
        <v>0</v>
      </c>
      <c r="AM1762" s="119">
        <f>IF(tech_base!$T18&gt;AM$1745,"",(tech_base!$K18/tech_proj!AM142*0.086*$J$132)/(1-tech_proj!AM422))</f>
        <v>0</v>
      </c>
      <c r="AN1762" s="119">
        <f>IF(tech_base!$T18&gt;AN$1745,"",(tech_base!$K18/tech_proj!AN142*0.086*$J$132)/(1-tech_proj!AN422))</f>
        <v>0</v>
      </c>
      <c r="AO1762" s="119">
        <f>IF(tech_base!$T18&gt;AO$1745,"",(tech_base!$K18/tech_proj!AO142*0.086*$J$132)/(1-tech_proj!AO422))</f>
        <v>0</v>
      </c>
      <c r="AP1762" s="119">
        <f>IF(tech_base!$T18&gt;AP$1745,"",(tech_base!$K18/tech_proj!AP142*0.086*$J$132)/(1-tech_proj!AP422))</f>
        <v>0</v>
      </c>
      <c r="AQ1762" s="119">
        <f>IF(tech_base!$T18&gt;AQ$1745,"",(tech_base!$K18/tech_proj!AQ142*0.086*$J$132)/(1-tech_proj!AQ422))</f>
        <v>0</v>
      </c>
      <c r="AR1762" s="119">
        <f>IF(tech_base!$T18&gt;AR$1745,"",(tech_base!$K18/tech_proj!AR142*0.086*$J$132)/(1-tech_proj!AR422))</f>
        <v>0</v>
      </c>
      <c r="AS1762" s="119">
        <f>IF(tech_base!$T18&gt;AS$1745,"",(tech_base!$K18/tech_proj!AS142*0.086*$J$132)/(1-tech_proj!AS422))</f>
        <v>0</v>
      </c>
      <c r="AT1762" s="119">
        <f>IF(tech_base!$T18&gt;AT$1745,"",(tech_base!$K18/tech_proj!AT142*0.086*$J$132)/(1-tech_proj!AT422))</f>
        <v>0</v>
      </c>
      <c r="AU1762" s="119">
        <f>IF(tech_base!$T18&gt;AU$1745,"",(tech_base!$K18/tech_proj!AU142*0.086*$J$132)/(1-tech_proj!AU422))</f>
        <v>0</v>
      </c>
      <c r="AV1762" s="119">
        <f>IF(tech_base!$T18&gt;AV$1745,"",(tech_base!$K18/tech_proj!AV142*0.086*$J$132)/(1-tech_proj!AV422))</f>
        <v>0</v>
      </c>
      <c r="AW1762" s="119">
        <f>IF(tech_base!$T18&gt;AW$1745,"",(tech_base!$K18/tech_proj!AW142*0.086*$J$132)/(1-tech_proj!AW422))</f>
        <v>0</v>
      </c>
      <c r="AX1762" s="120">
        <f>IF(tech_base!$T18&gt;AX$1745,"",(tech_base!$K18/tech_proj!AX142*0.086*$J$132)/(1-tech_proj!AX422))</f>
        <v>0</v>
      </c>
    </row>
    <row r="1763" spans="1:50" x14ac:dyDescent="0.25">
      <c r="A1763" s="356"/>
      <c r="B1763" s="376"/>
      <c r="C1763" s="361" t="s">
        <v>14</v>
      </c>
      <c r="D1763" s="58" t="s">
        <v>7</v>
      </c>
      <c r="E1763" s="164" t="str">
        <f>A1753&amp;"/"&amp;B1761&amp;"/"&amp;C1763&amp;"/"&amp;D1763</f>
        <v>Coal fired power plants/Supercritical steam turbine/CHP/L</v>
      </c>
      <c r="F1763" s="78" t="str">
        <f>A1753</f>
        <v>Coal fired power plants</v>
      </c>
      <c r="G1763" s="78" t="str">
        <f>B1761</f>
        <v>Supercritical steam turbine</v>
      </c>
      <c r="H1763" s="78" t="str">
        <f>C1763</f>
        <v>CHP</v>
      </c>
      <c r="I1763" s="165" t="str">
        <f t="shared" si="382"/>
        <v>L</v>
      </c>
      <c r="J1763" s="123">
        <f>IF(tech_base!$T19&gt;J$1745,"",(tech_base!$K19/tech_proj!J143*0.086*$J$132)/(1-tech_proj!J423))</f>
        <v>0</v>
      </c>
      <c r="K1763" s="123">
        <f>IF(tech_base!$T19&gt;K$1745,"",(tech_base!$K19/tech_proj!K143*0.086*$J$132)/(1-tech_proj!K423))</f>
        <v>0</v>
      </c>
      <c r="L1763" s="123">
        <f>IF(tech_base!$T19&gt;L$1745,"",(tech_base!$K19/tech_proj!L143*0.086*$J$132)/(1-tech_proj!L423))</f>
        <v>0</v>
      </c>
      <c r="M1763" s="123">
        <f>IF(tech_base!$T19&gt;M$1745,"",(tech_base!$K19/tech_proj!M143*0.086*$J$132)/(1-tech_proj!M423))</f>
        <v>0</v>
      </c>
      <c r="N1763" s="123">
        <f>IF(tech_base!$T19&gt;N$1745,"",(tech_base!$K19/tech_proj!N143*0.086*$J$132)/(1-tech_proj!N423))</f>
        <v>0</v>
      </c>
      <c r="O1763" s="123">
        <f>IF(tech_base!$T19&gt;O$1745,"",(tech_base!$K19/tech_proj!O143*0.086*$J$132)/(1-tech_proj!O423))</f>
        <v>0</v>
      </c>
      <c r="P1763" s="123">
        <f>IF(tech_base!$T19&gt;P$1745,"",(tech_base!$K19/tech_proj!P143*0.086*$J$132)/(1-tech_proj!P423))</f>
        <v>0</v>
      </c>
      <c r="Q1763" s="123">
        <f>IF(tech_base!$T19&gt;Q$1745,"",(tech_base!$K19/tech_proj!Q143*0.086*$J$132)/(1-tech_proj!Q423))</f>
        <v>0</v>
      </c>
      <c r="R1763" s="123">
        <f>IF(tech_base!$T19&gt;R$1745,"",(tech_base!$K19/tech_proj!R143*0.086*$J$132)/(1-tech_proj!R423))</f>
        <v>0</v>
      </c>
      <c r="S1763" s="123">
        <f>IF(tech_base!$T19&gt;S$1745,"",(tech_base!$K19/tech_proj!S143*0.086*$J$132)/(1-tech_proj!S423))</f>
        <v>0</v>
      </c>
      <c r="T1763" s="123">
        <f>IF(tech_base!$T19&gt;T$1745,"",(tech_base!$K19/tech_proj!T143*0.086*$J$132)/(1-tech_proj!T423))</f>
        <v>0</v>
      </c>
      <c r="U1763" s="123">
        <f>IF(tech_base!$T19&gt;U$1745,"",(tech_base!$K19/tech_proj!U143*0.086*$J$132)/(1-tech_proj!U423))</f>
        <v>0</v>
      </c>
      <c r="V1763" s="123">
        <f>IF(tech_base!$T19&gt;V$1745,"",(tech_base!$K19/tech_proj!V143*0.086*$J$132)/(1-tech_proj!V423))</f>
        <v>0</v>
      </c>
      <c r="W1763" s="123">
        <f>IF(tech_base!$T19&gt;W$1745,"",(tech_base!$K19/tech_proj!W143*0.086*$J$132)/(1-tech_proj!W423))</f>
        <v>0</v>
      </c>
      <c r="X1763" s="123">
        <f>IF(tech_base!$T19&gt;X$1745,"",(tech_base!$K19/tech_proj!X143*0.086*$J$132)/(1-tech_proj!X423))</f>
        <v>0</v>
      </c>
      <c r="Y1763" s="123">
        <f>IF(tech_base!$T19&gt;Y$1745,"",(tech_base!$K19/tech_proj!Y143*0.086*$J$132)/(1-tech_proj!Y423))</f>
        <v>0</v>
      </c>
      <c r="Z1763" s="123">
        <f>IF(tech_base!$T19&gt;Z$1745,"",(tech_base!$K19/tech_proj!Z143*0.086*$J$132)/(1-tech_proj!Z423))</f>
        <v>0</v>
      </c>
      <c r="AA1763" s="123">
        <f>IF(tech_base!$T19&gt;AA$1745,"",(tech_base!$K19/tech_proj!AA143*0.086*$J$132)/(1-tech_proj!AA423))</f>
        <v>0</v>
      </c>
      <c r="AB1763" s="123">
        <f>IF(tech_base!$T19&gt;AB$1745,"",(tech_base!$K19/tech_proj!AB143*0.086*$J$132)/(1-tech_proj!AB423))</f>
        <v>0</v>
      </c>
      <c r="AC1763" s="123">
        <f>IF(tech_base!$T19&gt;AC$1745,"",(tech_base!$K19/tech_proj!AC143*0.086*$J$132)/(1-tech_proj!AC423))</f>
        <v>0</v>
      </c>
      <c r="AD1763" s="123">
        <f>IF(tech_base!$T19&gt;AD$1745,"",(tech_base!$K19/tech_proj!AD143*0.086*$J$132)/(1-tech_proj!AD423))</f>
        <v>0</v>
      </c>
      <c r="AE1763" s="123">
        <f>IF(tech_base!$T19&gt;AE$1745,"",(tech_base!$K19/tech_proj!AE143*0.086*$J$132)/(1-tech_proj!AE423))</f>
        <v>0</v>
      </c>
      <c r="AF1763" s="123">
        <f>IF(tech_base!$T19&gt;AF$1745,"",(tech_base!$K19/tech_proj!AF143*0.086*$J$132)/(1-tech_proj!AF423))</f>
        <v>0</v>
      </c>
      <c r="AG1763" s="123">
        <f>IF(tech_base!$T19&gt;AG$1745,"",(tech_base!$K19/tech_proj!AG143*0.086*$J$132)/(1-tech_proj!AG423))</f>
        <v>0</v>
      </c>
      <c r="AH1763" s="123">
        <f>IF(tech_base!$T19&gt;AH$1745,"",(tech_base!$K19/tech_proj!AH143*0.086*$J$132)/(1-tech_proj!AH423))</f>
        <v>0</v>
      </c>
      <c r="AI1763" s="123">
        <f>IF(tech_base!$T19&gt;AI$1745,"",(tech_base!$K19/tech_proj!AI143*0.086*$J$132)/(1-tech_proj!AI423))</f>
        <v>0</v>
      </c>
      <c r="AJ1763" s="123">
        <f>IF(tech_base!$T19&gt;AJ$1745,"",(tech_base!$K19/tech_proj!AJ143*0.086*$J$132)/(1-tech_proj!AJ423))</f>
        <v>0</v>
      </c>
      <c r="AK1763" s="123">
        <f>IF(tech_base!$T19&gt;AK$1745,"",(tech_base!$K19/tech_proj!AK143*0.086*$J$132)/(1-tech_proj!AK423))</f>
        <v>0</v>
      </c>
      <c r="AL1763" s="123">
        <f>IF(tech_base!$T19&gt;AL$1745,"",(tech_base!$K19/tech_proj!AL143*0.086*$J$132)/(1-tech_proj!AL423))</f>
        <v>0</v>
      </c>
      <c r="AM1763" s="123">
        <f>IF(tech_base!$T19&gt;AM$1745,"",(tech_base!$K19/tech_proj!AM143*0.086*$J$132)/(1-tech_proj!AM423))</f>
        <v>0</v>
      </c>
      <c r="AN1763" s="123">
        <f>IF(tech_base!$T19&gt;AN$1745,"",(tech_base!$K19/tech_proj!AN143*0.086*$J$132)/(1-tech_proj!AN423))</f>
        <v>0</v>
      </c>
      <c r="AO1763" s="123">
        <f>IF(tech_base!$T19&gt;AO$1745,"",(tech_base!$K19/tech_proj!AO143*0.086*$J$132)/(1-tech_proj!AO423))</f>
        <v>0</v>
      </c>
      <c r="AP1763" s="123">
        <f>IF(tech_base!$T19&gt;AP$1745,"",(tech_base!$K19/tech_proj!AP143*0.086*$J$132)/(1-tech_proj!AP423))</f>
        <v>0</v>
      </c>
      <c r="AQ1763" s="123">
        <f>IF(tech_base!$T19&gt;AQ$1745,"",(tech_base!$K19/tech_proj!AQ143*0.086*$J$132)/(1-tech_proj!AQ423))</f>
        <v>0</v>
      </c>
      <c r="AR1763" s="123">
        <f>IF(tech_base!$T19&gt;AR$1745,"",(tech_base!$K19/tech_proj!AR143*0.086*$J$132)/(1-tech_proj!AR423))</f>
        <v>0</v>
      </c>
      <c r="AS1763" s="123">
        <f>IF(tech_base!$T19&gt;AS$1745,"",(tech_base!$K19/tech_proj!AS143*0.086*$J$132)/(1-tech_proj!AS423))</f>
        <v>0</v>
      </c>
      <c r="AT1763" s="123">
        <f>IF(tech_base!$T19&gt;AT$1745,"",(tech_base!$K19/tech_proj!AT143*0.086*$J$132)/(1-tech_proj!AT423))</f>
        <v>0</v>
      </c>
      <c r="AU1763" s="123">
        <f>IF(tech_base!$T19&gt;AU$1745,"",(tech_base!$K19/tech_proj!AU143*0.086*$J$132)/(1-tech_proj!AU423))</f>
        <v>0</v>
      </c>
      <c r="AV1763" s="123">
        <f>IF(tech_base!$T19&gt;AV$1745,"",(tech_base!$K19/tech_proj!AV143*0.086*$J$132)/(1-tech_proj!AV423))</f>
        <v>0</v>
      </c>
      <c r="AW1763" s="123">
        <f>IF(tech_base!$T19&gt;AW$1745,"",(tech_base!$K19/tech_proj!AW143*0.086*$J$132)/(1-tech_proj!AW423))</f>
        <v>0</v>
      </c>
      <c r="AX1763" s="124">
        <f>IF(tech_base!$T19&gt;AX$1745,"",(tech_base!$K19/tech_proj!AX143*0.086*$J$132)/(1-tech_proj!AX423))</f>
        <v>0</v>
      </c>
    </row>
    <row r="1764" spans="1:50" x14ac:dyDescent="0.25">
      <c r="A1764" s="356"/>
      <c r="B1764" s="376"/>
      <c r="C1764" s="379"/>
      <c r="D1764" s="59" t="s">
        <v>8</v>
      </c>
      <c r="E1764" s="166" t="str">
        <f>A1753&amp;"/"&amp;B1761&amp;"/"&amp;C1763&amp;"/"&amp;D1764</f>
        <v>Coal fired power plants/Supercritical steam turbine/CHP/M</v>
      </c>
      <c r="F1764" s="79" t="str">
        <f>A1753</f>
        <v>Coal fired power plants</v>
      </c>
      <c r="G1764" s="79" t="str">
        <f>B1761</f>
        <v>Supercritical steam turbine</v>
      </c>
      <c r="H1764" s="79" t="str">
        <f>C1763</f>
        <v>CHP</v>
      </c>
      <c r="I1764" s="167" t="str">
        <f t="shared" si="382"/>
        <v>M</v>
      </c>
      <c r="J1764" s="125">
        <f>IF(tech_base!$T20&gt;J$1745,"",(tech_base!$K20/tech_proj!J144*0.086*$J$132)/(1-tech_proj!J424))</f>
        <v>0</v>
      </c>
      <c r="K1764" s="125">
        <f>IF(tech_base!$T20&gt;K$1745,"",(tech_base!$K20/tech_proj!K144*0.086*$J$132)/(1-tech_proj!K424))</f>
        <v>0</v>
      </c>
      <c r="L1764" s="125">
        <f>IF(tech_base!$T20&gt;L$1745,"",(tech_base!$K20/tech_proj!L144*0.086*$J$132)/(1-tech_proj!L424))</f>
        <v>0</v>
      </c>
      <c r="M1764" s="125">
        <f>IF(tech_base!$T20&gt;M$1745,"",(tech_base!$K20/tech_proj!M144*0.086*$J$132)/(1-tech_proj!M424))</f>
        <v>0</v>
      </c>
      <c r="N1764" s="125">
        <f>IF(tech_base!$T20&gt;N$1745,"",(tech_base!$K20/tech_proj!N144*0.086*$J$132)/(1-tech_proj!N424))</f>
        <v>0</v>
      </c>
      <c r="O1764" s="125">
        <f>IF(tech_base!$T20&gt;O$1745,"",(tech_base!$K20/tech_proj!O144*0.086*$J$132)/(1-tech_proj!O424))</f>
        <v>0</v>
      </c>
      <c r="P1764" s="125">
        <f>IF(tech_base!$T20&gt;P$1745,"",(tech_base!$K20/tech_proj!P144*0.086*$J$132)/(1-tech_proj!P424))</f>
        <v>0</v>
      </c>
      <c r="Q1764" s="125">
        <f>IF(tech_base!$T20&gt;Q$1745,"",(tech_base!$K20/tech_proj!Q144*0.086*$J$132)/(1-tech_proj!Q424))</f>
        <v>0</v>
      </c>
      <c r="R1764" s="125">
        <f>IF(tech_base!$T20&gt;R$1745,"",(tech_base!$K20/tech_proj!R144*0.086*$J$132)/(1-tech_proj!R424))</f>
        <v>0</v>
      </c>
      <c r="S1764" s="125">
        <f>IF(tech_base!$T20&gt;S$1745,"",(tech_base!$K20/tech_proj!S144*0.086*$J$132)/(1-tech_proj!S424))</f>
        <v>0</v>
      </c>
      <c r="T1764" s="125">
        <f>IF(tech_base!$T20&gt;T$1745,"",(tech_base!$K20/tech_proj!T144*0.086*$J$132)/(1-tech_proj!T424))</f>
        <v>0</v>
      </c>
      <c r="U1764" s="125">
        <f>IF(tech_base!$T20&gt;U$1745,"",(tech_base!$K20/tech_proj!U144*0.086*$J$132)/(1-tech_proj!U424))</f>
        <v>0</v>
      </c>
      <c r="V1764" s="125">
        <f>IF(tech_base!$T20&gt;V$1745,"",(tech_base!$K20/tech_proj!V144*0.086*$J$132)/(1-tech_proj!V424))</f>
        <v>0</v>
      </c>
      <c r="W1764" s="125">
        <f>IF(tech_base!$T20&gt;W$1745,"",(tech_base!$K20/tech_proj!W144*0.086*$J$132)/(1-tech_proj!W424))</f>
        <v>0</v>
      </c>
      <c r="X1764" s="125">
        <f>IF(tech_base!$T20&gt;X$1745,"",(tech_base!$K20/tech_proj!X144*0.086*$J$132)/(1-tech_proj!X424))</f>
        <v>0</v>
      </c>
      <c r="Y1764" s="125">
        <f>IF(tech_base!$T20&gt;Y$1745,"",(tech_base!$K20/tech_proj!Y144*0.086*$J$132)/(1-tech_proj!Y424))</f>
        <v>0</v>
      </c>
      <c r="Z1764" s="125">
        <f>IF(tech_base!$T20&gt;Z$1745,"",(tech_base!$K20/tech_proj!Z144*0.086*$J$132)/(1-tech_proj!Z424))</f>
        <v>0</v>
      </c>
      <c r="AA1764" s="125">
        <f>IF(tech_base!$T20&gt;AA$1745,"",(tech_base!$K20/tech_proj!AA144*0.086*$J$132)/(1-tech_proj!AA424))</f>
        <v>0</v>
      </c>
      <c r="AB1764" s="125">
        <f>IF(tech_base!$T20&gt;AB$1745,"",(tech_base!$K20/tech_proj!AB144*0.086*$J$132)/(1-tech_proj!AB424))</f>
        <v>0</v>
      </c>
      <c r="AC1764" s="125">
        <f>IF(tech_base!$T20&gt;AC$1745,"",(tech_base!$K20/tech_proj!AC144*0.086*$J$132)/(1-tech_proj!AC424))</f>
        <v>0</v>
      </c>
      <c r="AD1764" s="125">
        <f>IF(tech_base!$T20&gt;AD$1745,"",(tech_base!$K20/tech_proj!AD144*0.086*$J$132)/(1-tech_proj!AD424))</f>
        <v>0</v>
      </c>
      <c r="AE1764" s="125">
        <f>IF(tech_base!$T20&gt;AE$1745,"",(tech_base!$K20/tech_proj!AE144*0.086*$J$132)/(1-tech_proj!AE424))</f>
        <v>0</v>
      </c>
      <c r="AF1764" s="125">
        <f>IF(tech_base!$T20&gt;AF$1745,"",(tech_base!$K20/tech_proj!AF144*0.086*$J$132)/(1-tech_proj!AF424))</f>
        <v>0</v>
      </c>
      <c r="AG1764" s="125">
        <f>IF(tech_base!$T20&gt;AG$1745,"",(tech_base!$K20/tech_proj!AG144*0.086*$J$132)/(1-tech_proj!AG424))</f>
        <v>0</v>
      </c>
      <c r="AH1764" s="125">
        <f>IF(tech_base!$T20&gt;AH$1745,"",(tech_base!$K20/tech_proj!AH144*0.086*$J$132)/(1-tech_proj!AH424))</f>
        <v>0</v>
      </c>
      <c r="AI1764" s="125">
        <f>IF(tech_base!$T20&gt;AI$1745,"",(tech_base!$K20/tech_proj!AI144*0.086*$J$132)/(1-tech_proj!AI424))</f>
        <v>0</v>
      </c>
      <c r="AJ1764" s="125">
        <f>IF(tech_base!$T20&gt;AJ$1745,"",(tech_base!$K20/tech_proj!AJ144*0.086*$J$132)/(1-tech_proj!AJ424))</f>
        <v>0</v>
      </c>
      <c r="AK1764" s="125">
        <f>IF(tech_base!$T20&gt;AK$1745,"",(tech_base!$K20/tech_proj!AK144*0.086*$J$132)/(1-tech_proj!AK424))</f>
        <v>0</v>
      </c>
      <c r="AL1764" s="125">
        <f>IF(tech_base!$T20&gt;AL$1745,"",(tech_base!$K20/tech_proj!AL144*0.086*$J$132)/(1-tech_proj!AL424))</f>
        <v>0</v>
      </c>
      <c r="AM1764" s="125">
        <f>IF(tech_base!$T20&gt;AM$1745,"",(tech_base!$K20/tech_proj!AM144*0.086*$J$132)/(1-tech_proj!AM424))</f>
        <v>0</v>
      </c>
      <c r="AN1764" s="125">
        <f>IF(tech_base!$T20&gt;AN$1745,"",(tech_base!$K20/tech_proj!AN144*0.086*$J$132)/(1-tech_proj!AN424))</f>
        <v>0</v>
      </c>
      <c r="AO1764" s="125">
        <f>IF(tech_base!$T20&gt;AO$1745,"",(tech_base!$K20/tech_proj!AO144*0.086*$J$132)/(1-tech_proj!AO424))</f>
        <v>0</v>
      </c>
      <c r="AP1764" s="125">
        <f>IF(tech_base!$T20&gt;AP$1745,"",(tech_base!$K20/tech_proj!AP144*0.086*$J$132)/(1-tech_proj!AP424))</f>
        <v>0</v>
      </c>
      <c r="AQ1764" s="125">
        <f>IF(tech_base!$T20&gt;AQ$1745,"",(tech_base!$K20/tech_proj!AQ144*0.086*$J$132)/(1-tech_proj!AQ424))</f>
        <v>0</v>
      </c>
      <c r="AR1764" s="125">
        <f>IF(tech_base!$T20&gt;AR$1745,"",(tech_base!$K20/tech_proj!AR144*0.086*$J$132)/(1-tech_proj!AR424))</f>
        <v>0</v>
      </c>
      <c r="AS1764" s="125">
        <f>IF(tech_base!$T20&gt;AS$1745,"",(tech_base!$K20/tech_proj!AS144*0.086*$J$132)/(1-tech_proj!AS424))</f>
        <v>0</v>
      </c>
      <c r="AT1764" s="125">
        <f>IF(tech_base!$T20&gt;AT$1745,"",(tech_base!$K20/tech_proj!AT144*0.086*$J$132)/(1-tech_proj!AT424))</f>
        <v>0</v>
      </c>
      <c r="AU1764" s="125">
        <f>IF(tech_base!$T20&gt;AU$1745,"",(tech_base!$K20/tech_proj!AU144*0.086*$J$132)/(1-tech_proj!AU424))</f>
        <v>0</v>
      </c>
      <c r="AV1764" s="125">
        <f>IF(tech_base!$T20&gt;AV$1745,"",(tech_base!$K20/tech_proj!AV144*0.086*$J$132)/(1-tech_proj!AV424))</f>
        <v>0</v>
      </c>
      <c r="AW1764" s="125">
        <f>IF(tech_base!$T20&gt;AW$1745,"",(tech_base!$K20/tech_proj!AW144*0.086*$J$132)/(1-tech_proj!AW424))</f>
        <v>0</v>
      </c>
      <c r="AX1764" s="126">
        <f>IF(tech_base!$T20&gt;AX$1745,"",(tech_base!$K20/tech_proj!AX144*0.086*$J$132)/(1-tech_proj!AX424))</f>
        <v>0</v>
      </c>
    </row>
    <row r="1765" spans="1:50" x14ac:dyDescent="0.25">
      <c r="A1765" s="356"/>
      <c r="B1765" s="376"/>
      <c r="C1765" s="361" t="s">
        <v>15</v>
      </c>
      <c r="D1765" s="58" t="s">
        <v>7</v>
      </c>
      <c r="E1765" s="164" t="str">
        <f>A1753&amp;"/"&amp;B1761&amp;"/"&amp;C1765&amp;"/"&amp;D1765</f>
        <v>Coal fired power plants/Supercritical steam turbine/Electricity only with CCS/L</v>
      </c>
      <c r="F1765" s="78" t="str">
        <f>A1753</f>
        <v>Coal fired power plants</v>
      </c>
      <c r="G1765" s="78" t="str">
        <f>B1761</f>
        <v>Supercritical steam turbine</v>
      </c>
      <c r="H1765" s="78" t="str">
        <f>C1765</f>
        <v>Electricity only with CCS</v>
      </c>
      <c r="I1765" s="165" t="str">
        <f t="shared" si="382"/>
        <v>L</v>
      </c>
      <c r="J1765" s="123" t="str">
        <f>IF(tech_base!$T21&gt;J$1745,"",(tech_base!$K21/tech_proj!J145*0.086*$J$132)/(1-tech_proj!J425))</f>
        <v/>
      </c>
      <c r="K1765" s="123" t="str">
        <f>IF(tech_base!$T21&gt;K$1745,"",(tech_base!$K21/tech_proj!K145*0.086*$J$132)/(1-tech_proj!K425))</f>
        <v/>
      </c>
      <c r="L1765" s="123" t="str">
        <f>IF(tech_base!$T21&gt;L$1745,"",(tech_base!$K21/tech_proj!L145*0.086*$J$132)/(1-tech_proj!L425))</f>
        <v/>
      </c>
      <c r="M1765" s="123" t="str">
        <f>IF(tech_base!$T21&gt;M$1745,"",(tech_base!$K21/tech_proj!M145*0.086*$J$132)/(1-tech_proj!M425))</f>
        <v/>
      </c>
      <c r="N1765" s="123" t="str">
        <f>IF(tech_base!$T21&gt;N$1745,"",(tech_base!$K21/tech_proj!N145*0.086*$J$132)/(1-tech_proj!N425))</f>
        <v/>
      </c>
      <c r="O1765" s="123" t="str">
        <f>IF(tech_base!$T21&gt;O$1745,"",(tech_base!$K21/tech_proj!O145*0.086*$J$132)/(1-tech_proj!O425))</f>
        <v/>
      </c>
      <c r="P1765" s="123" t="str">
        <f>IF(tech_base!$T21&gt;P$1745,"",(tech_base!$K21/tech_proj!P145*0.086*$J$132)/(1-tech_proj!P425))</f>
        <v/>
      </c>
      <c r="Q1765" s="123" t="str">
        <f>IF(tech_base!$T21&gt;Q$1745,"",(tech_base!$K21/tech_proj!Q145*0.086*$J$132)/(1-tech_proj!Q425))</f>
        <v/>
      </c>
      <c r="R1765" s="123" t="str">
        <f>IF(tech_base!$T21&gt;R$1745,"",(tech_base!$K21/tech_proj!R145*0.086*$J$132)/(1-tech_proj!R425))</f>
        <v/>
      </c>
      <c r="S1765" s="123" t="str">
        <f>IF(tech_base!$T21&gt;S$1745,"",(tech_base!$K21/tech_proj!S145*0.086*$J$132)/(1-tech_proj!S425))</f>
        <v/>
      </c>
      <c r="T1765" s="123" t="str">
        <f>IF(tech_base!$T21&gt;T$1745,"",(tech_base!$K21/tech_proj!T145*0.086*$J$132)/(1-tech_proj!T425))</f>
        <v/>
      </c>
      <c r="U1765" s="123" t="str">
        <f>IF(tech_base!$T21&gt;U$1745,"",(tech_base!$K21/tech_proj!U145*0.086*$J$132)/(1-tech_proj!U425))</f>
        <v/>
      </c>
      <c r="V1765" s="123" t="str">
        <f>IF(tech_base!$T21&gt;V$1745,"",(tech_base!$K21/tech_proj!V145*0.086*$J$132)/(1-tech_proj!V425))</f>
        <v/>
      </c>
      <c r="W1765" s="123" t="str">
        <f>IF(tech_base!$T21&gt;W$1745,"",(tech_base!$K21/tech_proj!W145*0.086*$J$132)/(1-tech_proj!W425))</f>
        <v/>
      </c>
      <c r="X1765" s="123" t="str">
        <f>IF(tech_base!$T21&gt;X$1745,"",(tech_base!$K21/tech_proj!X145*0.086*$J$132)/(1-tech_proj!X425))</f>
        <v/>
      </c>
      <c r="Y1765" s="123" t="str">
        <f>IF(tech_base!$T21&gt;Y$1745,"",(tech_base!$K21/tech_proj!Y145*0.086*$J$132)/(1-tech_proj!Y425))</f>
        <v/>
      </c>
      <c r="Z1765" s="123" t="str">
        <f>IF(tech_base!$T21&gt;Z$1745,"",(tech_base!$K21/tech_proj!Z145*0.086*$J$132)/(1-tech_proj!Z425))</f>
        <v/>
      </c>
      <c r="AA1765" s="123" t="str">
        <f>IF(tech_base!$T21&gt;AA$1745,"",(tech_base!$K21/tech_proj!AA145*0.086*$J$132)/(1-tech_proj!AA425))</f>
        <v/>
      </c>
      <c r="AB1765" s="123" t="str">
        <f>IF(tech_base!$T21&gt;AB$1745,"",(tech_base!$K21/tech_proj!AB145*0.086*$J$132)/(1-tech_proj!AB425))</f>
        <v/>
      </c>
      <c r="AC1765" s="123" t="str">
        <f>IF(tech_base!$T21&gt;AC$1745,"",(tech_base!$K21/tech_proj!AC145*0.086*$J$132)/(1-tech_proj!AC425))</f>
        <v/>
      </c>
      <c r="AD1765" s="123" t="str">
        <f>IF(tech_base!$T21&gt;AD$1745,"",(tech_base!$K21/tech_proj!AD145*0.086*$J$132)/(1-tech_proj!AD425))</f>
        <v/>
      </c>
      <c r="AE1765" s="123">
        <f>IF(tech_base!$T21&gt;AE$1745,"",(tech_base!$K21/tech_proj!AE145*0.086*$J$132)/(1-tech_proj!AE425))</f>
        <v>9.8659166255021731</v>
      </c>
      <c r="AF1765" s="123">
        <f>IF(tech_base!$T21&gt;AF$1745,"",(tech_base!$K21/tech_proj!AF145*0.086*$J$132)/(1-tech_proj!AF425))</f>
        <v>9.8647534844992304</v>
      </c>
      <c r="AG1765" s="123">
        <f>IF(tech_base!$T21&gt;AG$1745,"",(tech_base!$K21/tech_proj!AG145*0.086*$J$132)/(1-tech_proj!AG425))</f>
        <v>9.8633366204814923</v>
      </c>
      <c r="AH1765" s="123">
        <f>IF(tech_base!$T21&gt;AH$1745,"",(tech_base!$K21/tech_proj!AH145*0.086*$J$132)/(1-tech_proj!AH425))</f>
        <v>9.8616117031966208</v>
      </c>
      <c r="AI1765" s="123">
        <f>IF(tech_base!$T21&gt;AI$1745,"",(tech_base!$K21/tech_proj!AI145*0.086*$J$132)/(1-tech_proj!AI425))</f>
        <v>9.8595132613270184</v>
      </c>
      <c r="AJ1765" s="123">
        <f>IF(tech_base!$T21&gt;AJ$1745,"",(tech_base!$K21/tech_proj!AJ145*0.086*$J$132)/(1-tech_proj!AJ425))</f>
        <v>9.8569626367820522</v>
      </c>
      <c r="AK1765" s="123">
        <f>IF(tech_base!$T21&gt;AK$1745,"",(tech_base!$K21/tech_proj!AK145*0.086*$J$132)/(1-tech_proj!AK425))</f>
        <v>9.8538656805928966</v>
      </c>
      <c r="AL1765" s="123">
        <f>IF(tech_base!$T21&gt;AL$1745,"",(tech_base!$K21/tech_proj!AL145*0.086*$J$132)/(1-tech_proj!AL425))</f>
        <v>9.8501102190532386</v>
      </c>
      <c r="AM1765" s="123">
        <f>IF(tech_base!$T21&gt;AM$1745,"",(tech_base!$K21/tech_proj!AM145*0.086*$J$132)/(1-tech_proj!AM425))</f>
        <v>9.8455633597860324</v>
      </c>
      <c r="AN1765" s="123">
        <f>IF(tech_base!$T21&gt;AN$1745,"",(tech_base!$K21/tech_proj!AN145*0.086*$J$132)/(1-tech_proj!AN425))</f>
        <v>9.840068769038135</v>
      </c>
      <c r="AO1765" s="123">
        <f>IF(tech_base!$T21&gt;AO$1745,"",(tech_base!$K21/tech_proj!AO145*0.086*$J$132)/(1-tech_proj!AO425))</f>
        <v>9.8334441400560184</v>
      </c>
      <c r="AP1765" s="123">
        <f>IF(tech_base!$T21&gt;AP$1745,"",(tech_base!$K21/tech_proj!AP145*0.086*$J$132)/(1-tech_proj!AP425))</f>
        <v>9.8254791940835435</v>
      </c>
      <c r="AQ1765" s="123">
        <f>IF(tech_base!$T21&gt;AQ$1745,"",(tech_base!$K21/tech_proj!AQ145*0.086*$J$132)/(1-tech_proj!AQ425))</f>
        <v>9.8159347144225304</v>
      </c>
      <c r="AR1765" s="123">
        <f>IF(tech_base!$T21&gt;AR$1745,"",(tech_base!$K21/tech_proj!AR145*0.086*$J$132)/(1-tech_proj!AR425))</f>
        <v>9.8045433083800226</v>
      </c>
      <c r="AS1765" s="123">
        <f>IF(tech_base!$T21&gt;AS$1745,"",(tech_base!$K21/tech_proj!AS145*0.086*$J$132)/(1-tech_proj!AS425))</f>
        <v>9.7910128082997776</v>
      </c>
      <c r="AT1765" s="123">
        <f>IF(tech_base!$T21&gt;AT$1745,"",(tech_base!$K21/tech_proj!AT145*0.086*$J$132)/(1-tech_proj!AT425))</f>
        <v>9.775033427466127</v>
      </c>
      <c r="AU1765" s="123">
        <f>IF(tech_base!$T21&gt;AU$1745,"",(tech_base!$K21/tech_proj!AU145*0.086*$J$132)/(1-tech_proj!AU425))</f>
        <v>9.7562899152191775</v>
      </c>
      <c r="AV1765" s="123">
        <f>IF(tech_base!$T21&gt;AV$1745,"",(tech_base!$K21/tech_proj!AV145*0.086*$J$132)/(1-tech_proj!AV425))</f>
        <v>9.7344799047831021</v>
      </c>
      <c r="AW1765" s="123">
        <f>IF(tech_base!$T21&gt;AW$1745,"",(tech_base!$K21/tech_proj!AW145*0.086*$J$132)/(1-tech_proj!AW425))</f>
        <v>9.7093392749139298</v>
      </c>
      <c r="AX1765" s="124">
        <f>IF(tech_base!$T21&gt;AX$1745,"",(tech_base!$K21/tech_proj!AX145*0.086*$J$132)/(1-tech_proj!AX425))</f>
        <v>9.6806744927567383</v>
      </c>
    </row>
    <row r="1766" spans="1:50" x14ac:dyDescent="0.25">
      <c r="A1766" s="356"/>
      <c r="B1766" s="376"/>
      <c r="C1766" s="379"/>
      <c r="D1766" s="59" t="s">
        <v>8</v>
      </c>
      <c r="E1766" s="166" t="str">
        <f>A1753&amp;"/"&amp;B1761&amp;"/"&amp;C1765&amp;"/"&amp;D1766</f>
        <v>Coal fired power plants/Supercritical steam turbine/Electricity only with CCS/M</v>
      </c>
      <c r="F1766" s="79" t="str">
        <f>A1753</f>
        <v>Coal fired power plants</v>
      </c>
      <c r="G1766" s="79" t="str">
        <f>B1761</f>
        <v>Supercritical steam turbine</v>
      </c>
      <c r="H1766" s="79" t="str">
        <f>C1765</f>
        <v>Electricity only with CCS</v>
      </c>
      <c r="I1766" s="167" t="str">
        <f t="shared" si="382"/>
        <v>M</v>
      </c>
      <c r="J1766" s="125" t="str">
        <f>IF(tech_base!$T22&gt;J$1745,"",(tech_base!$K22/tech_proj!J146*0.086*$J$132)/(1-tech_proj!J426))</f>
        <v/>
      </c>
      <c r="K1766" s="125" t="str">
        <f>IF(tech_base!$T22&gt;K$1745,"",(tech_base!$K22/tech_proj!K146*0.086*$J$132)/(1-tech_proj!K426))</f>
        <v/>
      </c>
      <c r="L1766" s="125" t="str">
        <f>IF(tech_base!$T22&gt;L$1745,"",(tech_base!$K22/tech_proj!L146*0.086*$J$132)/(1-tech_proj!L426))</f>
        <v/>
      </c>
      <c r="M1766" s="125" t="str">
        <f>IF(tech_base!$T22&gt;M$1745,"",(tech_base!$K22/tech_proj!M146*0.086*$J$132)/(1-tech_proj!M426))</f>
        <v/>
      </c>
      <c r="N1766" s="125" t="str">
        <f>IF(tech_base!$T22&gt;N$1745,"",(tech_base!$K22/tech_proj!N146*0.086*$J$132)/(1-tech_proj!N426))</f>
        <v/>
      </c>
      <c r="O1766" s="125" t="str">
        <f>IF(tech_base!$T22&gt;O$1745,"",(tech_base!$K22/tech_proj!O146*0.086*$J$132)/(1-tech_proj!O426))</f>
        <v/>
      </c>
      <c r="P1766" s="125" t="str">
        <f>IF(tech_base!$T22&gt;P$1745,"",(tech_base!$K22/tech_proj!P146*0.086*$J$132)/(1-tech_proj!P426))</f>
        <v/>
      </c>
      <c r="Q1766" s="125" t="str">
        <f>IF(tech_base!$T22&gt;Q$1745,"",(tech_base!$K22/tech_proj!Q146*0.086*$J$132)/(1-tech_proj!Q426))</f>
        <v/>
      </c>
      <c r="R1766" s="125" t="str">
        <f>IF(tech_base!$T22&gt;R$1745,"",(tech_base!$K22/tech_proj!R146*0.086*$J$132)/(1-tech_proj!R426))</f>
        <v/>
      </c>
      <c r="S1766" s="125" t="str">
        <f>IF(tech_base!$T22&gt;S$1745,"",(tech_base!$K22/tech_proj!S146*0.086*$J$132)/(1-tech_proj!S426))</f>
        <v/>
      </c>
      <c r="T1766" s="125" t="str">
        <f>IF(tech_base!$T22&gt;T$1745,"",(tech_base!$K22/tech_proj!T146*0.086*$J$132)/(1-tech_proj!T426))</f>
        <v/>
      </c>
      <c r="U1766" s="125" t="str">
        <f>IF(tech_base!$T22&gt;U$1745,"",(tech_base!$K22/tech_proj!U146*0.086*$J$132)/(1-tech_proj!U426))</f>
        <v/>
      </c>
      <c r="V1766" s="125" t="str">
        <f>IF(tech_base!$T22&gt;V$1745,"",(tech_base!$K22/tech_proj!V146*0.086*$J$132)/(1-tech_proj!V426))</f>
        <v/>
      </c>
      <c r="W1766" s="125" t="str">
        <f>IF(tech_base!$T22&gt;W$1745,"",(tech_base!$K22/tech_proj!W146*0.086*$J$132)/(1-tech_proj!W426))</f>
        <v/>
      </c>
      <c r="X1766" s="125" t="str">
        <f>IF(tech_base!$T22&gt;X$1745,"",(tech_base!$K22/tech_proj!X146*0.086*$J$132)/(1-tech_proj!X426))</f>
        <v/>
      </c>
      <c r="Y1766" s="125" t="str">
        <f>IF(tech_base!$T22&gt;Y$1745,"",(tech_base!$K22/tech_proj!Y146*0.086*$J$132)/(1-tech_proj!Y426))</f>
        <v/>
      </c>
      <c r="Z1766" s="125" t="str">
        <f>IF(tech_base!$T22&gt;Z$1745,"",(tech_base!$K22/tech_proj!Z146*0.086*$J$132)/(1-tech_proj!Z426))</f>
        <v/>
      </c>
      <c r="AA1766" s="125" t="str">
        <f>IF(tech_base!$T22&gt;AA$1745,"",(tech_base!$K22/tech_proj!AA146*0.086*$J$132)/(1-tech_proj!AA426))</f>
        <v/>
      </c>
      <c r="AB1766" s="125" t="str">
        <f>IF(tech_base!$T22&gt;AB$1745,"",(tech_base!$K22/tech_proj!AB146*0.086*$J$132)/(1-tech_proj!AB426))</f>
        <v/>
      </c>
      <c r="AC1766" s="125" t="str">
        <f>IF(tech_base!$T22&gt;AC$1745,"",(tech_base!$K22/tech_proj!AC146*0.086*$J$132)/(1-tech_proj!AC426))</f>
        <v/>
      </c>
      <c r="AD1766" s="125" t="str">
        <f>IF(tech_base!$T22&gt;AD$1745,"",(tech_base!$K22/tech_proj!AD146*0.086*$J$132)/(1-tech_proj!AD426))</f>
        <v/>
      </c>
      <c r="AE1766" s="125">
        <f>IF(tech_base!$T22&gt;AE$1745,"",(tech_base!$K22/tech_proj!AE146*0.086*$J$132)/(1-tech_proj!AE426))</f>
        <v>10.504153829570617</v>
      </c>
      <c r="AF1766" s="125">
        <f>IF(tech_base!$T22&gt;AF$1745,"",(tech_base!$K22/tech_proj!AF146*0.086*$J$132)/(1-tech_proj!AF426))</f>
        <v>10.503483521373646</v>
      </c>
      <c r="AG1766" s="125">
        <f>IF(tech_base!$T22&gt;AG$1745,"",(tech_base!$K22/tech_proj!AG146*0.086*$J$132)/(1-tech_proj!AG426))</f>
        <v>10.50262399317536</v>
      </c>
      <c r="AH1766" s="125">
        <f>IF(tech_base!$T22&gt;AH$1745,"",(tech_base!$K22/tech_proj!AH146*0.086*$J$132)/(1-tech_proj!AH426))</f>
        <v>10.501522252916235</v>
      </c>
      <c r="AI1766" s="125">
        <f>IF(tech_base!$T22&gt;AI$1745,"",(tech_base!$K22/tech_proj!AI146*0.086*$J$132)/(1-tech_proj!AI426))</f>
        <v>10.500110740069953</v>
      </c>
      <c r="AJ1766" s="125">
        <f>IF(tech_base!$T22&gt;AJ$1745,"",(tech_base!$K22/tech_proj!AJ146*0.086*$J$132)/(1-tech_proj!AJ426))</f>
        <v>10.49830349570296</v>
      </c>
      <c r="AK1766" s="125">
        <f>IF(tech_base!$T22&gt;AK$1745,"",(tech_base!$K22/tech_proj!AK146*0.086*$J$132)/(1-tech_proj!AK426))</f>
        <v>10.495991438720038</v>
      </c>
      <c r="AL1766" s="125">
        <f>IF(tech_base!$T22&gt;AL$1745,"",(tech_base!$K22/tech_proj!AL146*0.086*$J$132)/(1-tech_proj!AL426))</f>
        <v>10.493036614009894</v>
      </c>
      <c r="AM1766" s="125">
        <f>IF(tech_base!$T22&gt;AM$1745,"",(tech_base!$K22/tech_proj!AM146*0.086*$J$132)/(1-tech_proj!AM426))</f>
        <v>10.489265310887717</v>
      </c>
      <c r="AN1766" s="125">
        <f>IF(tech_base!$T22&gt;AN$1745,"",(tech_base!$K22/tech_proj!AN146*0.086*$J$132)/(1-tech_proj!AN426))</f>
        <v>10.484460031010538</v>
      </c>
      <c r="AO1766" s="125">
        <f>IF(tech_base!$T22&gt;AO$1745,"",(tech_base!$K22/tech_proj!AO146*0.086*$J$132)/(1-tech_proj!AO426))</f>
        <v>10.478350445357542</v>
      </c>
      <c r="AP1766" s="125">
        <f>IF(tech_base!$T22&gt;AP$1745,"",(tech_base!$K22/tech_proj!AP146*0.086*$J$132)/(1-tech_proj!AP426))</f>
        <v>10.470603764937643</v>
      </c>
      <c r="AQ1766" s="125">
        <f>IF(tech_base!$T22&gt;AQ$1745,"",(tech_base!$K22/tech_proj!AQ146*0.086*$J$132)/(1-tech_proj!AQ426))</f>
        <v>10.460815418604408</v>
      </c>
      <c r="AR1766" s="125">
        <f>IF(tech_base!$T22&gt;AR$1745,"",(tech_base!$K22/tech_proj!AR146*0.086*$J$132)/(1-tech_proj!AR426))</f>
        <v>10.448501650610154</v>
      </c>
      <c r="AS1766" s="125">
        <f>IF(tech_base!$T22&gt;AS$1745,"",(tech_base!$K22/tech_proj!AS146*0.086*$J$132)/(1-tech_proj!AS426))</f>
        <v>10.43309667438332</v>
      </c>
      <c r="AT1766" s="125">
        <f>IF(tech_base!$T22&gt;AT$1745,"",(tech_base!$K22/tech_proj!AT146*0.086*$J$132)/(1-tech_proj!AT426))</f>
        <v>10.413958340754997</v>
      </c>
      <c r="AU1766" s="125">
        <f>IF(tech_base!$T22&gt;AU$1745,"",(tech_base!$K22/tech_proj!AU146*0.086*$J$132)/(1-tech_proj!AU426))</f>
        <v>10.390387741011113</v>
      </c>
      <c r="AV1766" s="125">
        <f>IF(tech_base!$T22&gt;AV$1745,"",(tech_base!$K22/tech_proj!AV146*0.086*$J$132)/(1-tech_proj!AV426))</f>
        <v>10.36166932154075</v>
      </c>
      <c r="AW1766" s="125">
        <f>IF(tech_base!$T22&gt;AW$1745,"",(tech_base!$K22/tech_proj!AW146*0.086*$J$132)/(1-tech_proj!AW426))</f>
        <v>10.327138047931234</v>
      </c>
      <c r="AX1766" s="126">
        <f>IF(tech_base!$T22&gt;AX$1745,"",(tech_base!$K22/tech_proj!AX146*0.086*$J$132)/(1-tech_proj!AX426))</f>
        <v>10.286277534115799</v>
      </c>
    </row>
    <row r="1767" spans="1:50" x14ac:dyDescent="0.25">
      <c r="A1767" s="356"/>
      <c r="B1767" s="376"/>
      <c r="C1767" s="361" t="s">
        <v>16</v>
      </c>
      <c r="D1767" s="2" t="s">
        <v>7</v>
      </c>
      <c r="E1767" s="160" t="str">
        <f>A1753&amp;"/"&amp;B1761&amp;"/"&amp;C1767&amp;"/"&amp;D1767</f>
        <v>Coal fired power plants/Supercritical steam turbine/CHP with CCS/L</v>
      </c>
      <c r="F1767" s="76" t="str">
        <f>A1753</f>
        <v>Coal fired power plants</v>
      </c>
      <c r="G1767" s="76" t="str">
        <f>B1761</f>
        <v>Supercritical steam turbine</v>
      </c>
      <c r="H1767" s="76" t="str">
        <f>C1767</f>
        <v>CHP with CCS</v>
      </c>
      <c r="I1767" s="161" t="str">
        <f t="shared" si="382"/>
        <v>L</v>
      </c>
      <c r="J1767" s="119" t="str">
        <f>IF(tech_base!$T23&gt;J$1745,"",(tech_base!$K23/tech_proj!J147*0.086*$J$132)/(1-tech_proj!J427))</f>
        <v/>
      </c>
      <c r="K1767" s="119" t="str">
        <f>IF(tech_base!$T23&gt;K$1745,"",(tech_base!$K23/tech_proj!K147*0.086*$J$132)/(1-tech_proj!K427))</f>
        <v/>
      </c>
      <c r="L1767" s="119" t="str">
        <f>IF(tech_base!$T23&gt;L$1745,"",(tech_base!$K23/tech_proj!L147*0.086*$J$132)/(1-tech_proj!L427))</f>
        <v/>
      </c>
      <c r="M1767" s="119" t="str">
        <f>IF(tech_base!$T23&gt;M$1745,"",(tech_base!$K23/tech_proj!M147*0.086*$J$132)/(1-tech_proj!M427))</f>
        <v/>
      </c>
      <c r="N1767" s="119" t="str">
        <f>IF(tech_base!$T23&gt;N$1745,"",(tech_base!$K23/tech_proj!N147*0.086*$J$132)/(1-tech_proj!N427))</f>
        <v/>
      </c>
      <c r="O1767" s="119" t="str">
        <f>IF(tech_base!$T23&gt;O$1745,"",(tech_base!$K23/tech_proj!O147*0.086*$J$132)/(1-tech_proj!O427))</f>
        <v/>
      </c>
      <c r="P1767" s="119" t="str">
        <f>IF(tech_base!$T23&gt;P$1745,"",(tech_base!$K23/tech_proj!P147*0.086*$J$132)/(1-tech_proj!P427))</f>
        <v/>
      </c>
      <c r="Q1767" s="119" t="str">
        <f>IF(tech_base!$T23&gt;Q$1745,"",(tech_base!$K23/tech_proj!Q147*0.086*$J$132)/(1-tech_proj!Q427))</f>
        <v/>
      </c>
      <c r="R1767" s="119" t="str">
        <f>IF(tech_base!$T23&gt;R$1745,"",(tech_base!$K23/tech_proj!R147*0.086*$J$132)/(1-tech_proj!R427))</f>
        <v/>
      </c>
      <c r="S1767" s="119" t="str">
        <f>IF(tech_base!$T23&gt;S$1745,"",(tech_base!$K23/tech_proj!S147*0.086*$J$132)/(1-tech_proj!S427))</f>
        <v/>
      </c>
      <c r="T1767" s="119" t="str">
        <f>IF(tech_base!$T23&gt;T$1745,"",(tech_base!$K23/tech_proj!T147*0.086*$J$132)/(1-tech_proj!T427))</f>
        <v/>
      </c>
      <c r="U1767" s="119" t="str">
        <f>IF(tech_base!$T23&gt;U$1745,"",(tech_base!$K23/tech_proj!U147*0.086*$J$132)/(1-tech_proj!U427))</f>
        <v/>
      </c>
      <c r="V1767" s="119" t="str">
        <f>IF(tech_base!$T23&gt;V$1745,"",(tech_base!$K23/tech_proj!V147*0.086*$J$132)/(1-tech_proj!V427))</f>
        <v/>
      </c>
      <c r="W1767" s="119" t="str">
        <f>IF(tech_base!$T23&gt;W$1745,"",(tech_base!$K23/tech_proj!W147*0.086*$J$132)/(1-tech_proj!W427))</f>
        <v/>
      </c>
      <c r="X1767" s="119" t="str">
        <f>IF(tech_base!$T23&gt;X$1745,"",(tech_base!$K23/tech_proj!X147*0.086*$J$132)/(1-tech_proj!X427))</f>
        <v/>
      </c>
      <c r="Y1767" s="119" t="str">
        <f>IF(tech_base!$T23&gt;Y$1745,"",(tech_base!$K23/tech_proj!Y147*0.086*$J$132)/(1-tech_proj!Y427))</f>
        <v/>
      </c>
      <c r="Z1767" s="119" t="str">
        <f>IF(tech_base!$T23&gt;Z$1745,"",(tech_base!$K23/tech_proj!Z147*0.086*$J$132)/(1-tech_proj!Z427))</f>
        <v/>
      </c>
      <c r="AA1767" s="119" t="str">
        <f>IF(tech_base!$T23&gt;AA$1745,"",(tech_base!$K23/tech_proj!AA147*0.086*$J$132)/(1-tech_proj!AA427))</f>
        <v/>
      </c>
      <c r="AB1767" s="119" t="str">
        <f>IF(tech_base!$T23&gt;AB$1745,"",(tech_base!$K23/tech_proj!AB147*0.086*$J$132)/(1-tech_proj!AB427))</f>
        <v/>
      </c>
      <c r="AC1767" s="119" t="str">
        <f>IF(tech_base!$T23&gt;AC$1745,"",(tech_base!$K23/tech_proj!AC147*0.086*$J$132)/(1-tech_proj!AC427))</f>
        <v/>
      </c>
      <c r="AD1767" s="119" t="str">
        <f>IF(tech_base!$T23&gt;AD$1745,"",(tech_base!$K23/tech_proj!AD147*0.086*$J$132)/(1-tech_proj!AD427))</f>
        <v/>
      </c>
      <c r="AE1767" s="119">
        <f>IF(tech_base!$T23&gt;AE$1745,"",(tech_base!$K23/tech_proj!AE147*0.086*$J$132)/(1-tech_proj!AE427))</f>
        <v>11.154472222542976</v>
      </c>
      <c r="AF1767" s="119">
        <f>IF(tech_base!$T23&gt;AF$1745,"",(tech_base!$K23/tech_proj!AF147*0.086*$J$132)/(1-tech_proj!AF427))</f>
        <v>11.153376767449899</v>
      </c>
      <c r="AG1767" s="119">
        <f>IF(tech_base!$T23&gt;AG$1745,"",(tech_base!$K23/tech_proj!AG147*0.086*$J$132)/(1-tech_proj!AG427))</f>
        <v>11.152042441521292</v>
      </c>
      <c r="AH1767" s="119">
        <f>IF(tech_base!$T23&gt;AH$1745,"",(tech_base!$K23/tech_proj!AH147*0.086*$J$132)/(1-tech_proj!AH427))</f>
        <v>11.150418137383708</v>
      </c>
      <c r="AI1767" s="119">
        <f>IF(tech_base!$T23&gt;AI$1745,"",(tech_base!$K23/tech_proj!AI147*0.086*$J$132)/(1-tech_proj!AI427))</f>
        <v>11.148442288224549</v>
      </c>
      <c r="AJ1767" s="119">
        <f>IF(tech_base!$T23&gt;AJ$1745,"",(tech_base!$K23/tech_proj!AJ147*0.086*$J$132)/(1-tech_proj!AJ427))</f>
        <v>11.146040957506768</v>
      </c>
      <c r="AK1767" s="119">
        <f>IF(tech_base!$T23&gt;AK$1745,"",(tech_base!$K23/tech_proj!AK147*0.086*$J$132)/(1-tech_proj!AK427))</f>
        <v>11.143125692826636</v>
      </c>
      <c r="AL1767" s="119">
        <f>IF(tech_base!$T23&gt;AL$1745,"",(tech_base!$K23/tech_proj!AL147*0.086*$J$132)/(1-tech_proj!AL427))</f>
        <v>11.139591174036768</v>
      </c>
      <c r="AM1767" s="119">
        <f>IF(tech_base!$T23&gt;AM$1745,"",(tech_base!$K23/tech_proj!AM147*0.086*$J$132)/(1-tech_proj!AM427))</f>
        <v>11.13531272551875</v>
      </c>
      <c r="AN1767" s="119">
        <f>IF(tech_base!$T23&gt;AN$1745,"",(tech_base!$K23/tech_proj!AN147*0.086*$J$132)/(1-tech_proj!AN427))</f>
        <v>11.130143821873093</v>
      </c>
      <c r="AO1767" s="119">
        <f>IF(tech_base!$T23&gt;AO$1745,"",(tech_base!$K23/tech_proj!AO147*0.086*$J$132)/(1-tech_proj!AO427))</f>
        <v>11.123913801183949</v>
      </c>
      <c r="AP1767" s="119">
        <f>IF(tech_base!$T23&gt;AP$1745,"",(tech_base!$K23/tech_proj!AP147*0.086*$J$132)/(1-tech_proj!AP427))</f>
        <v>11.116426116010766</v>
      </c>
      <c r="AQ1767" s="119">
        <f>IF(tech_base!$T23&gt;AQ$1745,"",(tech_base!$K23/tech_proj!AQ147*0.086*$J$132)/(1-tech_proj!AQ427))</f>
        <v>11.107457602679784</v>
      </c>
      <c r="AR1767" s="119">
        <f>IF(tech_base!$T23&gt;AR$1745,"",(tech_base!$K23/tech_proj!AR147*0.086*$J$132)/(1-tech_proj!AR427))</f>
        <v>11.096759431725397</v>
      </c>
      <c r="AS1767" s="119">
        <f>IF(tech_base!$T23&gt;AS$1745,"",(tech_base!$K23/tech_proj!AS147*0.086*$J$132)/(1-tech_proj!AS427))</f>
        <v>11.084060602224982</v>
      </c>
      <c r="AT1767" s="119">
        <f>IF(tech_base!$T23&gt;AT$1745,"",(tech_base!$K23/tech_proj!AT147*0.086*$J$132)/(1-tech_proj!AT427))</f>
        <v>11.06907502625201</v>
      </c>
      <c r="AU1767" s="119">
        <f>IF(tech_base!$T23&gt;AU$1745,"",(tech_base!$K23/tech_proj!AU147*0.086*$J$132)/(1-tech_proj!AU427))</f>
        <v>11.051513353464404</v>
      </c>
      <c r="AV1767" s="119">
        <f>IF(tech_base!$T23&gt;AV$1745,"",(tech_base!$K23/tech_proj!AV147*0.086*$J$132)/(1-tech_proj!AV427))</f>
        <v>11.0311006100267</v>
      </c>
      <c r="AW1767" s="119">
        <f>IF(tech_base!$T23&gt;AW$1745,"",(tech_base!$K23/tech_proj!AW147*0.086*$J$132)/(1-tech_proj!AW427))</f>
        <v>11.007600336002371</v>
      </c>
      <c r="AX1767" s="120">
        <f>IF(tech_base!$T23&gt;AX$1745,"",(tech_base!$K23/tech_proj!AX147*0.086*$J$132)/(1-tech_proj!AX427))</f>
        <v>10.980845054636633</v>
      </c>
    </row>
    <row r="1768" spans="1:50" x14ac:dyDescent="0.25">
      <c r="A1768" s="356"/>
      <c r="B1768" s="380"/>
      <c r="C1768" s="381"/>
      <c r="D1768" s="4" t="s">
        <v>8</v>
      </c>
      <c r="E1768" s="168" t="str">
        <f>A1753&amp;"/"&amp;B1761&amp;"/"&amp;C1767&amp;"/"&amp;D1768</f>
        <v>Coal fired power plants/Supercritical steam turbine/CHP with CCS/M</v>
      </c>
      <c r="F1768" s="80" t="str">
        <f>A1753</f>
        <v>Coal fired power plants</v>
      </c>
      <c r="G1768" s="80" t="str">
        <f>B1761</f>
        <v>Supercritical steam turbine</v>
      </c>
      <c r="H1768" s="80" t="str">
        <f>C1767</f>
        <v>CHP with CCS</v>
      </c>
      <c r="I1768" s="169" t="str">
        <f t="shared" si="382"/>
        <v>M</v>
      </c>
      <c r="J1768" s="127" t="str">
        <f>IF(tech_base!$T24&gt;J$1745,"",(tech_base!$K24/tech_proj!J148*0.086*$J$132)/(1-tech_proj!J428))</f>
        <v/>
      </c>
      <c r="K1768" s="127" t="str">
        <f>IF(tech_base!$T24&gt;K$1745,"",(tech_base!$K24/tech_proj!K148*0.086*$J$132)/(1-tech_proj!K428))</f>
        <v/>
      </c>
      <c r="L1768" s="127" t="str">
        <f>IF(tech_base!$T24&gt;L$1745,"",(tech_base!$K24/tech_proj!L148*0.086*$J$132)/(1-tech_proj!L428))</f>
        <v/>
      </c>
      <c r="M1768" s="127" t="str">
        <f>IF(tech_base!$T24&gt;M$1745,"",(tech_base!$K24/tech_proj!M148*0.086*$J$132)/(1-tech_proj!M428))</f>
        <v/>
      </c>
      <c r="N1768" s="127" t="str">
        <f>IF(tech_base!$T24&gt;N$1745,"",(tech_base!$K24/tech_proj!N148*0.086*$J$132)/(1-tech_proj!N428))</f>
        <v/>
      </c>
      <c r="O1768" s="127" t="str">
        <f>IF(tech_base!$T24&gt;O$1745,"",(tech_base!$K24/tech_proj!O148*0.086*$J$132)/(1-tech_proj!O428))</f>
        <v/>
      </c>
      <c r="P1768" s="127" t="str">
        <f>IF(tech_base!$T24&gt;P$1745,"",(tech_base!$K24/tech_proj!P148*0.086*$J$132)/(1-tech_proj!P428))</f>
        <v/>
      </c>
      <c r="Q1768" s="127" t="str">
        <f>IF(tech_base!$T24&gt;Q$1745,"",(tech_base!$K24/tech_proj!Q148*0.086*$J$132)/(1-tech_proj!Q428))</f>
        <v/>
      </c>
      <c r="R1768" s="127" t="str">
        <f>IF(tech_base!$T24&gt;R$1745,"",(tech_base!$K24/tech_proj!R148*0.086*$J$132)/(1-tech_proj!R428))</f>
        <v/>
      </c>
      <c r="S1768" s="127" t="str">
        <f>IF(tech_base!$T24&gt;S$1745,"",(tech_base!$K24/tech_proj!S148*0.086*$J$132)/(1-tech_proj!S428))</f>
        <v/>
      </c>
      <c r="T1768" s="127" t="str">
        <f>IF(tech_base!$T24&gt;T$1745,"",(tech_base!$K24/tech_proj!T148*0.086*$J$132)/(1-tech_proj!T428))</f>
        <v/>
      </c>
      <c r="U1768" s="127" t="str">
        <f>IF(tech_base!$T24&gt;U$1745,"",(tech_base!$K24/tech_proj!U148*0.086*$J$132)/(1-tech_proj!U428))</f>
        <v/>
      </c>
      <c r="V1768" s="127" t="str">
        <f>IF(tech_base!$T24&gt;V$1745,"",(tech_base!$K24/tech_proj!V148*0.086*$J$132)/(1-tech_proj!V428))</f>
        <v/>
      </c>
      <c r="W1768" s="127" t="str">
        <f>IF(tech_base!$T24&gt;W$1745,"",(tech_base!$K24/tech_proj!W148*0.086*$J$132)/(1-tech_proj!W428))</f>
        <v/>
      </c>
      <c r="X1768" s="127" t="str">
        <f>IF(tech_base!$T24&gt;X$1745,"",(tech_base!$K24/tech_proj!X148*0.086*$J$132)/(1-tech_proj!X428))</f>
        <v/>
      </c>
      <c r="Y1768" s="127" t="str">
        <f>IF(tech_base!$T24&gt;Y$1745,"",(tech_base!$K24/tech_proj!Y148*0.086*$J$132)/(1-tech_proj!Y428))</f>
        <v/>
      </c>
      <c r="Z1768" s="127" t="str">
        <f>IF(tech_base!$T24&gt;Z$1745,"",(tech_base!$K24/tech_proj!Z148*0.086*$J$132)/(1-tech_proj!Z428))</f>
        <v/>
      </c>
      <c r="AA1768" s="127" t="str">
        <f>IF(tech_base!$T24&gt;AA$1745,"",(tech_base!$K24/tech_proj!AA148*0.086*$J$132)/(1-tech_proj!AA428))</f>
        <v/>
      </c>
      <c r="AB1768" s="127" t="str">
        <f>IF(tech_base!$T24&gt;AB$1745,"",(tech_base!$K24/tech_proj!AB148*0.086*$J$132)/(1-tech_proj!AB428))</f>
        <v/>
      </c>
      <c r="AC1768" s="127" t="str">
        <f>IF(tech_base!$T24&gt;AC$1745,"",(tech_base!$K24/tech_proj!AC148*0.086*$J$132)/(1-tech_proj!AC428))</f>
        <v/>
      </c>
      <c r="AD1768" s="127" t="str">
        <f>IF(tech_base!$T24&gt;AD$1745,"",(tech_base!$K24/tech_proj!AD148*0.086*$J$132)/(1-tech_proj!AD428))</f>
        <v/>
      </c>
      <c r="AE1768" s="127">
        <f>IF(tech_base!$T24&gt;AE$1745,"",(tech_base!$K24/tech_proj!AE148*0.086*$J$132)/(1-tech_proj!AE428))</f>
        <v>11.896651576708875</v>
      </c>
      <c r="AF1768" s="127">
        <f>IF(tech_base!$T24&gt;AF$1745,"",(tech_base!$K24/tech_proj!AF148*0.086*$J$132)/(1-tech_proj!AF428))</f>
        <v>11.896009301872224</v>
      </c>
      <c r="AG1768" s="127">
        <f>IF(tech_base!$T24&gt;AG$1745,"",(tech_base!$K24/tech_proj!AG148*0.086*$J$132)/(1-tech_proj!AG428))</f>
        <v>11.895185748226437</v>
      </c>
      <c r="AH1768" s="127">
        <f>IF(tech_base!$T24&gt;AH$1745,"",(tech_base!$K24/tech_proj!AH148*0.086*$J$132)/(1-tech_proj!AH428))</f>
        <v>11.894130165572681</v>
      </c>
      <c r="AI1768" s="127">
        <f>IF(tech_base!$T24&gt;AI$1745,"",(tech_base!$K24/tech_proj!AI148*0.086*$J$132)/(1-tech_proj!AI428))</f>
        <v>11.892777863120724</v>
      </c>
      <c r="AJ1768" s="127">
        <f>IF(tech_base!$T24&gt;AJ$1745,"",(tech_base!$K24/tech_proj!AJ148*0.086*$J$132)/(1-tech_proj!AJ428))</f>
        <v>11.891046552104013</v>
      </c>
      <c r="AK1768" s="127">
        <f>IF(tech_base!$T24&gt;AK$1745,"",(tech_base!$K24/tech_proj!AK148*0.086*$J$132)/(1-tech_proj!AK428))</f>
        <v>11.888831839819879</v>
      </c>
      <c r="AL1768" s="127">
        <f>IF(tech_base!$T24&gt;AL$1745,"",(tech_base!$K24/tech_proj!AL148*0.086*$J$132)/(1-tech_proj!AL428))</f>
        <v>11.886001751188925</v>
      </c>
      <c r="AM1768" s="127">
        <f>IF(tech_base!$T24&gt;AM$1745,"",(tech_base!$K24/tech_proj!AM148*0.086*$J$132)/(1-tech_proj!AM428))</f>
        <v>11.882390187938347</v>
      </c>
      <c r="AN1768" s="127">
        <f>IF(tech_base!$T24&gt;AN$1745,"",(tech_base!$K24/tech_proj!AN148*0.086*$J$132)/(1-tech_proj!AN428))</f>
        <v>11.877789316933962</v>
      </c>
      <c r="AO1768" s="127">
        <f>IF(tech_base!$T24&gt;AO$1745,"",(tech_base!$K24/tech_proj!AO148*0.086*$J$132)/(1-tech_proj!AO428))</f>
        <v>11.871941038675143</v>
      </c>
      <c r="AP1768" s="127">
        <f>IF(tech_base!$T24&gt;AP$1745,"",(tech_base!$K24/tech_proj!AP148*0.086*$J$132)/(1-tech_proj!AP428))</f>
        <v>11.864527967988348</v>
      </c>
      <c r="AQ1768" s="127">
        <f>IF(tech_base!$T24&gt;AQ$1745,"",(tech_base!$K24/tech_proj!AQ148*0.086*$J$132)/(1-tech_proj!AQ428))</f>
        <v>11.855164817874437</v>
      </c>
      <c r="AR1768" s="127">
        <f>IF(tech_base!$T24&gt;AR$1745,"",(tech_base!$K24/tech_proj!AR148*0.086*$J$132)/(1-tech_proj!AR428))</f>
        <v>11.843391776920884</v>
      </c>
      <c r="AS1768" s="127">
        <f>IF(tech_base!$T24&gt;AS$1745,"",(tech_base!$K24/tech_proj!AS148*0.086*$J$132)/(1-tech_proj!AS428))</f>
        <v>11.828672458277723</v>
      </c>
      <c r="AT1768" s="127">
        <f>IF(tech_base!$T24&gt;AT$1745,"",(tech_base!$K24/tech_proj!AT148*0.086*$J$132)/(1-tech_proj!AT428))</f>
        <v>11.810400258247659</v>
      </c>
      <c r="AU1768" s="127">
        <f>IF(tech_base!$T24&gt;AU$1745,"",(tech_base!$K24/tech_proj!AU148*0.086*$J$132)/(1-tech_proj!AU428))</f>
        <v>11.787918327221151</v>
      </c>
      <c r="AV1768" s="127">
        <f>IF(tech_base!$T24&gt;AV$1745,"",(tech_base!$K24/tech_proj!AV148*0.086*$J$132)/(1-tech_proj!AV428))</f>
        <v>11.760559371734635</v>
      </c>
      <c r="AW1768" s="127">
        <f>IF(tech_base!$T24&gt;AW$1745,"",(tech_base!$K24/tech_proj!AW148*0.086*$J$132)/(1-tech_proj!AW428))</f>
        <v>11.727711292307221</v>
      </c>
      <c r="AX1768" s="128">
        <f>IF(tech_base!$T24&gt;AX$1745,"",(tech_base!$K24/tech_proj!AX148*0.086*$J$132)/(1-tech_proj!AX428))</f>
        <v>11.688911875388481</v>
      </c>
    </row>
    <row r="1769" spans="1:50" x14ac:dyDescent="0.25">
      <c r="A1769" s="356"/>
      <c r="B1769" s="358" t="s">
        <v>18</v>
      </c>
      <c r="C1769" s="353" t="s">
        <v>6</v>
      </c>
      <c r="D1769" s="3" t="s">
        <v>7</v>
      </c>
      <c r="E1769" s="162" t="str">
        <f>A1753&amp;"/"&amp;B1769&amp;"/"&amp;C1769&amp;"/"&amp;D1769</f>
        <v>Coal fired power plants/Fluidized bed combustion/Electricity only/L</v>
      </c>
      <c r="F1769" s="77" t="str">
        <f>A1753</f>
        <v>Coal fired power plants</v>
      </c>
      <c r="G1769" s="77" t="str">
        <f>B1769</f>
        <v>Fluidized bed combustion</v>
      </c>
      <c r="H1769" s="77" t="str">
        <f>C1769</f>
        <v>Electricity only</v>
      </c>
      <c r="I1769" s="163" t="str">
        <f t="shared" si="382"/>
        <v>L</v>
      </c>
      <c r="J1769" s="121">
        <f>IF(tech_base!$T25&gt;J$1745,"",(tech_base!$K25/tech_proj!J149*0.086*$J$132)/(1-tech_proj!J429))</f>
        <v>0</v>
      </c>
      <c r="K1769" s="121">
        <f>IF(tech_base!$T25&gt;K$1745,"",(tech_base!$K25/tech_proj!K149*0.086*$J$132)/(1-tech_proj!K429))</f>
        <v>0</v>
      </c>
      <c r="L1769" s="121">
        <f>IF(tech_base!$T25&gt;L$1745,"",(tech_base!$K25/tech_proj!L149*0.086*$J$132)/(1-tech_proj!L429))</f>
        <v>0</v>
      </c>
      <c r="M1769" s="121">
        <f>IF(tech_base!$T25&gt;M$1745,"",(tech_base!$K25/tech_proj!M149*0.086*$J$132)/(1-tech_proj!M429))</f>
        <v>0</v>
      </c>
      <c r="N1769" s="121">
        <f>IF(tech_base!$T25&gt;N$1745,"",(tech_base!$K25/tech_proj!N149*0.086*$J$132)/(1-tech_proj!N429))</f>
        <v>0</v>
      </c>
      <c r="O1769" s="121">
        <f>IF(tech_base!$T25&gt;O$1745,"",(tech_base!$K25/tech_proj!O149*0.086*$J$132)/(1-tech_proj!O429))</f>
        <v>0</v>
      </c>
      <c r="P1769" s="121">
        <f>IF(tech_base!$T25&gt;P$1745,"",(tech_base!$K25/tech_proj!P149*0.086*$J$132)/(1-tech_proj!P429))</f>
        <v>0</v>
      </c>
      <c r="Q1769" s="121">
        <f>IF(tech_base!$T25&gt;Q$1745,"",(tech_base!$K25/tech_proj!Q149*0.086*$J$132)/(1-tech_proj!Q429))</f>
        <v>0</v>
      </c>
      <c r="R1769" s="121">
        <f>IF(tech_base!$T25&gt;R$1745,"",(tech_base!$K25/tech_proj!R149*0.086*$J$132)/(1-tech_proj!R429))</f>
        <v>0</v>
      </c>
      <c r="S1769" s="121">
        <f>IF(tech_base!$T25&gt;S$1745,"",(tech_base!$K25/tech_proj!S149*0.086*$J$132)/(1-tech_proj!S429))</f>
        <v>0</v>
      </c>
      <c r="T1769" s="121">
        <f>IF(tech_base!$T25&gt;T$1745,"",(tech_base!$K25/tech_proj!T149*0.086*$J$132)/(1-tech_proj!T429))</f>
        <v>0</v>
      </c>
      <c r="U1769" s="121">
        <f>IF(tech_base!$T25&gt;U$1745,"",(tech_base!$K25/tech_proj!U149*0.086*$J$132)/(1-tech_proj!U429))</f>
        <v>0</v>
      </c>
      <c r="V1769" s="121">
        <f>IF(tech_base!$T25&gt;V$1745,"",(tech_base!$K25/tech_proj!V149*0.086*$J$132)/(1-tech_proj!V429))</f>
        <v>0</v>
      </c>
      <c r="W1769" s="121">
        <f>IF(tech_base!$T25&gt;W$1745,"",(tech_base!$K25/tech_proj!W149*0.086*$J$132)/(1-tech_proj!W429))</f>
        <v>0</v>
      </c>
      <c r="X1769" s="121">
        <f>IF(tech_base!$T25&gt;X$1745,"",(tech_base!$K25/tech_proj!X149*0.086*$J$132)/(1-tech_proj!X429))</f>
        <v>0</v>
      </c>
      <c r="Y1769" s="121">
        <f>IF(tech_base!$T25&gt;Y$1745,"",(tech_base!$K25/tech_proj!Y149*0.086*$J$132)/(1-tech_proj!Y429))</f>
        <v>0</v>
      </c>
      <c r="Z1769" s="121">
        <f>IF(tech_base!$T25&gt;Z$1745,"",(tech_base!$K25/tech_proj!Z149*0.086*$J$132)/(1-tech_proj!Z429))</f>
        <v>0</v>
      </c>
      <c r="AA1769" s="121">
        <f>IF(tech_base!$T25&gt;AA$1745,"",(tech_base!$K25/tech_proj!AA149*0.086*$J$132)/(1-tech_proj!AA429))</f>
        <v>0</v>
      </c>
      <c r="AB1769" s="121">
        <f>IF(tech_base!$T25&gt;AB$1745,"",(tech_base!$K25/tech_proj!AB149*0.086*$J$132)/(1-tech_proj!AB429))</f>
        <v>0</v>
      </c>
      <c r="AC1769" s="121">
        <f>IF(tech_base!$T25&gt;AC$1745,"",(tech_base!$K25/tech_proj!AC149*0.086*$J$132)/(1-tech_proj!AC429))</f>
        <v>0</v>
      </c>
      <c r="AD1769" s="121">
        <f>IF(tech_base!$T25&gt;AD$1745,"",(tech_base!$K25/tech_proj!AD149*0.086*$J$132)/(1-tech_proj!AD429))</f>
        <v>0</v>
      </c>
      <c r="AE1769" s="121">
        <f>IF(tech_base!$T25&gt;AE$1745,"",(tech_base!$K25/tech_proj!AE149*0.086*$J$132)/(1-tech_proj!AE429))</f>
        <v>0</v>
      </c>
      <c r="AF1769" s="121">
        <f>IF(tech_base!$T25&gt;AF$1745,"",(tech_base!$K25/tech_proj!AF149*0.086*$J$132)/(1-tech_proj!AF429))</f>
        <v>0</v>
      </c>
      <c r="AG1769" s="121">
        <f>IF(tech_base!$T25&gt;AG$1745,"",(tech_base!$K25/tech_proj!AG149*0.086*$J$132)/(1-tech_proj!AG429))</f>
        <v>0</v>
      </c>
      <c r="AH1769" s="121">
        <f>IF(tech_base!$T25&gt;AH$1745,"",(tech_base!$K25/tech_proj!AH149*0.086*$J$132)/(1-tech_proj!AH429))</f>
        <v>0</v>
      </c>
      <c r="AI1769" s="121">
        <f>IF(tech_base!$T25&gt;AI$1745,"",(tech_base!$K25/tech_proj!AI149*0.086*$J$132)/(1-tech_proj!AI429))</f>
        <v>0</v>
      </c>
      <c r="AJ1769" s="121">
        <f>IF(tech_base!$T25&gt;AJ$1745,"",(tech_base!$K25/tech_proj!AJ149*0.086*$J$132)/(1-tech_proj!AJ429))</f>
        <v>0</v>
      </c>
      <c r="AK1769" s="121">
        <f>IF(tech_base!$T25&gt;AK$1745,"",(tech_base!$K25/tech_proj!AK149*0.086*$J$132)/(1-tech_proj!AK429))</f>
        <v>0</v>
      </c>
      <c r="AL1769" s="121">
        <f>IF(tech_base!$T25&gt;AL$1745,"",(tech_base!$K25/tech_proj!AL149*0.086*$J$132)/(1-tech_proj!AL429))</f>
        <v>0</v>
      </c>
      <c r="AM1769" s="121">
        <f>IF(tech_base!$T25&gt;AM$1745,"",(tech_base!$K25/tech_proj!AM149*0.086*$J$132)/(1-tech_proj!AM429))</f>
        <v>0</v>
      </c>
      <c r="AN1769" s="121">
        <f>IF(tech_base!$T25&gt;AN$1745,"",(tech_base!$K25/tech_proj!AN149*0.086*$J$132)/(1-tech_proj!AN429))</f>
        <v>0</v>
      </c>
      <c r="AO1769" s="121">
        <f>IF(tech_base!$T25&gt;AO$1745,"",(tech_base!$K25/tech_proj!AO149*0.086*$J$132)/(1-tech_proj!AO429))</f>
        <v>0</v>
      </c>
      <c r="AP1769" s="121">
        <f>IF(tech_base!$T25&gt;AP$1745,"",(tech_base!$K25/tech_proj!AP149*0.086*$J$132)/(1-tech_proj!AP429))</f>
        <v>0</v>
      </c>
      <c r="AQ1769" s="121">
        <f>IF(tech_base!$T25&gt;AQ$1745,"",(tech_base!$K25/tech_proj!AQ149*0.086*$J$132)/(1-tech_proj!AQ429))</f>
        <v>0</v>
      </c>
      <c r="AR1769" s="121">
        <f>IF(tech_base!$T25&gt;AR$1745,"",(tech_base!$K25/tech_proj!AR149*0.086*$J$132)/(1-tech_proj!AR429))</f>
        <v>0</v>
      </c>
      <c r="AS1769" s="121">
        <f>IF(tech_base!$T25&gt;AS$1745,"",(tech_base!$K25/tech_proj!AS149*0.086*$J$132)/(1-tech_proj!AS429))</f>
        <v>0</v>
      </c>
      <c r="AT1769" s="121">
        <f>IF(tech_base!$T25&gt;AT$1745,"",(tech_base!$K25/tech_proj!AT149*0.086*$J$132)/(1-tech_proj!AT429))</f>
        <v>0</v>
      </c>
      <c r="AU1769" s="121">
        <f>IF(tech_base!$T25&gt;AU$1745,"",(tech_base!$K25/tech_proj!AU149*0.086*$J$132)/(1-tech_proj!AU429))</f>
        <v>0</v>
      </c>
      <c r="AV1769" s="121">
        <f>IF(tech_base!$T25&gt;AV$1745,"",(tech_base!$K25/tech_proj!AV149*0.086*$J$132)/(1-tech_proj!AV429))</f>
        <v>0</v>
      </c>
      <c r="AW1769" s="121">
        <f>IF(tech_base!$T25&gt;AW$1745,"",(tech_base!$K25/tech_proj!AW149*0.086*$J$132)/(1-tech_proj!AW429))</f>
        <v>0</v>
      </c>
      <c r="AX1769" s="122">
        <f>IF(tech_base!$T25&gt;AX$1745,"",(tech_base!$K25/tech_proj!AX149*0.086*$J$132)/(1-tech_proj!AX429))</f>
        <v>0</v>
      </c>
    </row>
    <row r="1770" spans="1:50" x14ac:dyDescent="0.25">
      <c r="A1770" s="356"/>
      <c r="B1770" s="376"/>
      <c r="C1770" s="378"/>
      <c r="D1770" s="2" t="s">
        <v>8</v>
      </c>
      <c r="E1770" s="160" t="str">
        <f>A1753&amp;"/"&amp;B1769&amp;"/"&amp;C1769&amp;"/"&amp;D1770</f>
        <v>Coal fired power plants/Fluidized bed combustion/Electricity only/M</v>
      </c>
      <c r="F1770" s="76" t="str">
        <f>A1753</f>
        <v>Coal fired power plants</v>
      </c>
      <c r="G1770" s="76" t="str">
        <f>B1769</f>
        <v>Fluidized bed combustion</v>
      </c>
      <c r="H1770" s="76" t="str">
        <f>C1769</f>
        <v>Electricity only</v>
      </c>
      <c r="I1770" s="161" t="str">
        <f t="shared" si="382"/>
        <v>M</v>
      </c>
      <c r="J1770" s="119">
        <f>IF(tech_base!$T26&gt;J$1745,"",(tech_base!$K26/tech_proj!J150*0.086*$J$132)/(1-tech_proj!J430))</f>
        <v>0</v>
      </c>
      <c r="K1770" s="119">
        <f>IF(tech_base!$T26&gt;K$1745,"",(tech_base!$K26/tech_proj!K150*0.086*$J$132)/(1-tech_proj!K430))</f>
        <v>0</v>
      </c>
      <c r="L1770" s="119">
        <f>IF(tech_base!$T26&gt;L$1745,"",(tech_base!$K26/tech_proj!L150*0.086*$J$132)/(1-tech_proj!L430))</f>
        <v>0</v>
      </c>
      <c r="M1770" s="119">
        <f>IF(tech_base!$T26&gt;M$1745,"",(tech_base!$K26/tech_proj!M150*0.086*$J$132)/(1-tech_proj!M430))</f>
        <v>0</v>
      </c>
      <c r="N1770" s="119">
        <f>IF(tech_base!$T26&gt;N$1745,"",(tech_base!$K26/tech_proj!N150*0.086*$J$132)/(1-tech_proj!N430))</f>
        <v>0</v>
      </c>
      <c r="O1770" s="119">
        <f>IF(tech_base!$T26&gt;O$1745,"",(tech_base!$K26/tech_proj!O150*0.086*$J$132)/(1-tech_proj!O430))</f>
        <v>0</v>
      </c>
      <c r="P1770" s="119">
        <f>IF(tech_base!$T26&gt;P$1745,"",(tech_base!$K26/tech_proj!P150*0.086*$J$132)/(1-tech_proj!P430))</f>
        <v>0</v>
      </c>
      <c r="Q1770" s="119">
        <f>IF(tech_base!$T26&gt;Q$1745,"",(tech_base!$K26/tech_proj!Q150*0.086*$J$132)/(1-tech_proj!Q430))</f>
        <v>0</v>
      </c>
      <c r="R1770" s="119">
        <f>IF(tech_base!$T26&gt;R$1745,"",(tech_base!$K26/tech_proj!R150*0.086*$J$132)/(1-tech_proj!R430))</f>
        <v>0</v>
      </c>
      <c r="S1770" s="119">
        <f>IF(tech_base!$T26&gt;S$1745,"",(tech_base!$K26/tech_proj!S150*0.086*$J$132)/(1-tech_proj!S430))</f>
        <v>0</v>
      </c>
      <c r="T1770" s="119">
        <f>IF(tech_base!$T26&gt;T$1745,"",(tech_base!$K26/tech_proj!T150*0.086*$J$132)/(1-tech_proj!T430))</f>
        <v>0</v>
      </c>
      <c r="U1770" s="119">
        <f>IF(tech_base!$T26&gt;U$1745,"",(tech_base!$K26/tech_proj!U150*0.086*$J$132)/(1-tech_proj!U430))</f>
        <v>0</v>
      </c>
      <c r="V1770" s="119">
        <f>IF(tech_base!$T26&gt;V$1745,"",(tech_base!$K26/tech_proj!V150*0.086*$J$132)/(1-tech_proj!V430))</f>
        <v>0</v>
      </c>
      <c r="W1770" s="119">
        <f>IF(tech_base!$T26&gt;W$1745,"",(tech_base!$K26/tech_proj!W150*0.086*$J$132)/(1-tech_proj!W430))</f>
        <v>0</v>
      </c>
      <c r="X1770" s="119">
        <f>IF(tech_base!$T26&gt;X$1745,"",(tech_base!$K26/tech_proj!X150*0.086*$J$132)/(1-tech_proj!X430))</f>
        <v>0</v>
      </c>
      <c r="Y1770" s="119">
        <f>IF(tech_base!$T26&gt;Y$1745,"",(tech_base!$K26/tech_proj!Y150*0.086*$J$132)/(1-tech_proj!Y430))</f>
        <v>0</v>
      </c>
      <c r="Z1770" s="119">
        <f>IF(tech_base!$T26&gt;Z$1745,"",(tech_base!$K26/tech_proj!Z150*0.086*$J$132)/(1-tech_proj!Z430))</f>
        <v>0</v>
      </c>
      <c r="AA1770" s="119">
        <f>IF(tech_base!$T26&gt;AA$1745,"",(tech_base!$K26/tech_proj!AA150*0.086*$J$132)/(1-tech_proj!AA430))</f>
        <v>0</v>
      </c>
      <c r="AB1770" s="119">
        <f>IF(tech_base!$T26&gt;AB$1745,"",(tech_base!$K26/tech_proj!AB150*0.086*$J$132)/(1-tech_proj!AB430))</f>
        <v>0</v>
      </c>
      <c r="AC1770" s="119">
        <f>IF(tech_base!$T26&gt;AC$1745,"",(tech_base!$K26/tech_proj!AC150*0.086*$J$132)/(1-tech_proj!AC430))</f>
        <v>0</v>
      </c>
      <c r="AD1770" s="119">
        <f>IF(tech_base!$T26&gt;AD$1745,"",(tech_base!$K26/tech_proj!AD150*0.086*$J$132)/(1-tech_proj!AD430))</f>
        <v>0</v>
      </c>
      <c r="AE1770" s="119">
        <f>IF(tech_base!$T26&gt;AE$1745,"",(tech_base!$K26/tech_proj!AE150*0.086*$J$132)/(1-tech_proj!AE430))</f>
        <v>0</v>
      </c>
      <c r="AF1770" s="119">
        <f>IF(tech_base!$T26&gt;AF$1745,"",(tech_base!$K26/tech_proj!AF150*0.086*$J$132)/(1-tech_proj!AF430))</f>
        <v>0</v>
      </c>
      <c r="AG1770" s="119">
        <f>IF(tech_base!$T26&gt;AG$1745,"",(tech_base!$K26/tech_proj!AG150*0.086*$J$132)/(1-tech_proj!AG430))</f>
        <v>0</v>
      </c>
      <c r="AH1770" s="119">
        <f>IF(tech_base!$T26&gt;AH$1745,"",(tech_base!$K26/tech_proj!AH150*0.086*$J$132)/(1-tech_proj!AH430))</f>
        <v>0</v>
      </c>
      <c r="AI1770" s="119">
        <f>IF(tech_base!$T26&gt;AI$1745,"",(tech_base!$K26/tech_proj!AI150*0.086*$J$132)/(1-tech_proj!AI430))</f>
        <v>0</v>
      </c>
      <c r="AJ1770" s="119">
        <f>IF(tech_base!$T26&gt;AJ$1745,"",(tech_base!$K26/tech_proj!AJ150*0.086*$J$132)/(1-tech_proj!AJ430))</f>
        <v>0</v>
      </c>
      <c r="AK1770" s="119">
        <f>IF(tech_base!$T26&gt;AK$1745,"",(tech_base!$K26/tech_proj!AK150*0.086*$J$132)/(1-tech_proj!AK430))</f>
        <v>0</v>
      </c>
      <c r="AL1770" s="119">
        <f>IF(tech_base!$T26&gt;AL$1745,"",(tech_base!$K26/tech_proj!AL150*0.086*$J$132)/(1-tech_proj!AL430))</f>
        <v>0</v>
      </c>
      <c r="AM1770" s="119">
        <f>IF(tech_base!$T26&gt;AM$1745,"",(tech_base!$K26/tech_proj!AM150*0.086*$J$132)/(1-tech_proj!AM430))</f>
        <v>0</v>
      </c>
      <c r="AN1770" s="119">
        <f>IF(tech_base!$T26&gt;AN$1745,"",(tech_base!$K26/tech_proj!AN150*0.086*$J$132)/(1-tech_proj!AN430))</f>
        <v>0</v>
      </c>
      <c r="AO1770" s="119">
        <f>IF(tech_base!$T26&gt;AO$1745,"",(tech_base!$K26/tech_proj!AO150*0.086*$J$132)/(1-tech_proj!AO430))</f>
        <v>0</v>
      </c>
      <c r="AP1770" s="119">
        <f>IF(tech_base!$T26&gt;AP$1745,"",(tech_base!$K26/tech_proj!AP150*0.086*$J$132)/(1-tech_proj!AP430))</f>
        <v>0</v>
      </c>
      <c r="AQ1770" s="119">
        <f>IF(tech_base!$T26&gt;AQ$1745,"",(tech_base!$K26/tech_proj!AQ150*0.086*$J$132)/(1-tech_proj!AQ430))</f>
        <v>0</v>
      </c>
      <c r="AR1770" s="119">
        <f>IF(tech_base!$T26&gt;AR$1745,"",(tech_base!$K26/tech_proj!AR150*0.086*$J$132)/(1-tech_proj!AR430))</f>
        <v>0</v>
      </c>
      <c r="AS1770" s="119">
        <f>IF(tech_base!$T26&gt;AS$1745,"",(tech_base!$K26/tech_proj!AS150*0.086*$J$132)/(1-tech_proj!AS430))</f>
        <v>0</v>
      </c>
      <c r="AT1770" s="119">
        <f>IF(tech_base!$T26&gt;AT$1745,"",(tech_base!$K26/tech_proj!AT150*0.086*$J$132)/(1-tech_proj!AT430))</f>
        <v>0</v>
      </c>
      <c r="AU1770" s="119">
        <f>IF(tech_base!$T26&gt;AU$1745,"",(tech_base!$K26/tech_proj!AU150*0.086*$J$132)/(1-tech_proj!AU430))</f>
        <v>0</v>
      </c>
      <c r="AV1770" s="119">
        <f>IF(tech_base!$T26&gt;AV$1745,"",(tech_base!$K26/tech_proj!AV150*0.086*$J$132)/(1-tech_proj!AV430))</f>
        <v>0</v>
      </c>
      <c r="AW1770" s="119">
        <f>IF(tech_base!$T26&gt;AW$1745,"",(tech_base!$K26/tech_proj!AW150*0.086*$J$132)/(1-tech_proj!AW430))</f>
        <v>0</v>
      </c>
      <c r="AX1770" s="120">
        <f>IF(tech_base!$T26&gt;AX$1745,"",(tech_base!$K26/tech_proj!AX150*0.086*$J$132)/(1-tech_proj!AX430))</f>
        <v>0</v>
      </c>
    </row>
    <row r="1771" spans="1:50" x14ac:dyDescent="0.25">
      <c r="A1771" s="356"/>
      <c r="B1771" s="376"/>
      <c r="C1771" s="379"/>
      <c r="D1771" s="2" t="s">
        <v>10</v>
      </c>
      <c r="E1771" s="160" t="str">
        <f>A1753&amp;"/"&amp;B1769&amp;"/"&amp;C1769&amp;"/"&amp;D1771</f>
        <v>Coal fired power plants/Fluidized bed combustion/Electricity only/S</v>
      </c>
      <c r="F1771" s="76" t="str">
        <f>A1753</f>
        <v>Coal fired power plants</v>
      </c>
      <c r="G1771" s="76" t="str">
        <f>B1769</f>
        <v>Fluidized bed combustion</v>
      </c>
      <c r="H1771" s="76" t="str">
        <f>C1769</f>
        <v>Electricity only</v>
      </c>
      <c r="I1771" s="161" t="str">
        <f t="shared" si="382"/>
        <v>S</v>
      </c>
      <c r="J1771" s="119">
        <f>IF(tech_base!$T27&gt;J$1745,"",(tech_base!$K27/tech_proj!J151*0.086*$J$132)/(1-tech_proj!J431))</f>
        <v>0</v>
      </c>
      <c r="K1771" s="119">
        <f>IF(tech_base!$T27&gt;K$1745,"",(tech_base!$K27/tech_proj!K151*0.086*$J$132)/(1-tech_proj!K431))</f>
        <v>0</v>
      </c>
      <c r="L1771" s="119">
        <f>IF(tech_base!$T27&gt;L$1745,"",(tech_base!$K27/tech_proj!L151*0.086*$J$132)/(1-tech_proj!L431))</f>
        <v>0</v>
      </c>
      <c r="M1771" s="119">
        <f>IF(tech_base!$T27&gt;M$1745,"",(tech_base!$K27/tech_proj!M151*0.086*$J$132)/(1-tech_proj!M431))</f>
        <v>0</v>
      </c>
      <c r="N1771" s="119">
        <f>IF(tech_base!$T27&gt;N$1745,"",(tech_base!$K27/tech_proj!N151*0.086*$J$132)/(1-tech_proj!N431))</f>
        <v>0</v>
      </c>
      <c r="O1771" s="119">
        <f>IF(tech_base!$T27&gt;O$1745,"",(tech_base!$K27/tech_proj!O151*0.086*$J$132)/(1-tech_proj!O431))</f>
        <v>0</v>
      </c>
      <c r="P1771" s="119">
        <f>IF(tech_base!$T27&gt;P$1745,"",(tech_base!$K27/tech_proj!P151*0.086*$J$132)/(1-tech_proj!P431))</f>
        <v>0</v>
      </c>
      <c r="Q1771" s="119">
        <f>IF(tech_base!$T27&gt;Q$1745,"",(tech_base!$K27/tech_proj!Q151*0.086*$J$132)/(1-tech_proj!Q431))</f>
        <v>0</v>
      </c>
      <c r="R1771" s="119">
        <f>IF(tech_base!$T27&gt;R$1745,"",(tech_base!$K27/tech_proj!R151*0.086*$J$132)/(1-tech_proj!R431))</f>
        <v>0</v>
      </c>
      <c r="S1771" s="119">
        <f>IF(tech_base!$T27&gt;S$1745,"",(tech_base!$K27/tech_proj!S151*0.086*$J$132)/(1-tech_proj!S431))</f>
        <v>0</v>
      </c>
      <c r="T1771" s="119">
        <f>IF(tech_base!$T27&gt;T$1745,"",(tech_base!$K27/tech_proj!T151*0.086*$J$132)/(1-tech_proj!T431))</f>
        <v>0</v>
      </c>
      <c r="U1771" s="119">
        <f>IF(tech_base!$T27&gt;U$1745,"",(tech_base!$K27/tech_proj!U151*0.086*$J$132)/(1-tech_proj!U431))</f>
        <v>0</v>
      </c>
      <c r="V1771" s="119">
        <f>IF(tech_base!$T27&gt;V$1745,"",(tech_base!$K27/tech_proj!V151*0.086*$J$132)/(1-tech_proj!V431))</f>
        <v>0</v>
      </c>
      <c r="W1771" s="119">
        <f>IF(tech_base!$T27&gt;W$1745,"",(tech_base!$K27/tech_proj!W151*0.086*$J$132)/(1-tech_proj!W431))</f>
        <v>0</v>
      </c>
      <c r="X1771" s="119">
        <f>IF(tech_base!$T27&gt;X$1745,"",(tech_base!$K27/tech_proj!X151*0.086*$J$132)/(1-tech_proj!X431))</f>
        <v>0</v>
      </c>
      <c r="Y1771" s="119">
        <f>IF(tech_base!$T27&gt;Y$1745,"",(tech_base!$K27/tech_proj!Y151*0.086*$J$132)/(1-tech_proj!Y431))</f>
        <v>0</v>
      </c>
      <c r="Z1771" s="119">
        <f>IF(tech_base!$T27&gt;Z$1745,"",(tech_base!$K27/tech_proj!Z151*0.086*$J$132)/(1-tech_proj!Z431))</f>
        <v>0</v>
      </c>
      <c r="AA1771" s="119">
        <f>IF(tech_base!$T27&gt;AA$1745,"",(tech_base!$K27/tech_proj!AA151*0.086*$J$132)/(1-tech_proj!AA431))</f>
        <v>0</v>
      </c>
      <c r="AB1771" s="119">
        <f>IF(tech_base!$T27&gt;AB$1745,"",(tech_base!$K27/tech_proj!AB151*0.086*$J$132)/(1-tech_proj!AB431))</f>
        <v>0</v>
      </c>
      <c r="AC1771" s="119">
        <f>IF(tech_base!$T27&gt;AC$1745,"",(tech_base!$K27/tech_proj!AC151*0.086*$J$132)/(1-tech_proj!AC431))</f>
        <v>0</v>
      </c>
      <c r="AD1771" s="119">
        <f>IF(tech_base!$T27&gt;AD$1745,"",(tech_base!$K27/tech_proj!AD151*0.086*$J$132)/(1-tech_proj!AD431))</f>
        <v>0</v>
      </c>
      <c r="AE1771" s="119">
        <f>IF(tech_base!$T27&gt;AE$1745,"",(tech_base!$K27/tech_proj!AE151*0.086*$J$132)/(1-tech_proj!AE431))</f>
        <v>0</v>
      </c>
      <c r="AF1771" s="119">
        <f>IF(tech_base!$T27&gt;AF$1745,"",(tech_base!$K27/tech_proj!AF151*0.086*$J$132)/(1-tech_proj!AF431))</f>
        <v>0</v>
      </c>
      <c r="AG1771" s="119">
        <f>IF(tech_base!$T27&gt;AG$1745,"",(tech_base!$K27/tech_proj!AG151*0.086*$J$132)/(1-tech_proj!AG431))</f>
        <v>0</v>
      </c>
      <c r="AH1771" s="119">
        <f>IF(tech_base!$T27&gt;AH$1745,"",(tech_base!$K27/tech_proj!AH151*0.086*$J$132)/(1-tech_proj!AH431))</f>
        <v>0</v>
      </c>
      <c r="AI1771" s="119">
        <f>IF(tech_base!$T27&gt;AI$1745,"",(tech_base!$K27/tech_proj!AI151*0.086*$J$132)/(1-tech_proj!AI431))</f>
        <v>0</v>
      </c>
      <c r="AJ1771" s="119">
        <f>IF(tech_base!$T27&gt;AJ$1745,"",(tech_base!$K27/tech_proj!AJ151*0.086*$J$132)/(1-tech_proj!AJ431))</f>
        <v>0</v>
      </c>
      <c r="AK1771" s="119">
        <f>IF(tech_base!$T27&gt;AK$1745,"",(tech_base!$K27/tech_proj!AK151*0.086*$J$132)/(1-tech_proj!AK431))</f>
        <v>0</v>
      </c>
      <c r="AL1771" s="119">
        <f>IF(tech_base!$T27&gt;AL$1745,"",(tech_base!$K27/tech_proj!AL151*0.086*$J$132)/(1-tech_proj!AL431))</f>
        <v>0</v>
      </c>
      <c r="AM1771" s="119">
        <f>IF(tech_base!$T27&gt;AM$1745,"",(tech_base!$K27/tech_proj!AM151*0.086*$J$132)/(1-tech_proj!AM431))</f>
        <v>0</v>
      </c>
      <c r="AN1771" s="119">
        <f>IF(tech_base!$T27&gt;AN$1745,"",(tech_base!$K27/tech_proj!AN151*0.086*$J$132)/(1-tech_proj!AN431))</f>
        <v>0</v>
      </c>
      <c r="AO1771" s="119">
        <f>IF(tech_base!$T27&gt;AO$1745,"",(tech_base!$K27/tech_proj!AO151*0.086*$J$132)/(1-tech_proj!AO431))</f>
        <v>0</v>
      </c>
      <c r="AP1771" s="119">
        <f>IF(tech_base!$T27&gt;AP$1745,"",(tech_base!$K27/tech_proj!AP151*0.086*$J$132)/(1-tech_proj!AP431))</f>
        <v>0</v>
      </c>
      <c r="AQ1771" s="119">
        <f>IF(tech_base!$T27&gt;AQ$1745,"",(tech_base!$K27/tech_proj!AQ151*0.086*$J$132)/(1-tech_proj!AQ431))</f>
        <v>0</v>
      </c>
      <c r="AR1771" s="119">
        <f>IF(tech_base!$T27&gt;AR$1745,"",(tech_base!$K27/tech_proj!AR151*0.086*$J$132)/(1-tech_proj!AR431))</f>
        <v>0</v>
      </c>
      <c r="AS1771" s="119">
        <f>IF(tech_base!$T27&gt;AS$1745,"",(tech_base!$K27/tech_proj!AS151*0.086*$J$132)/(1-tech_proj!AS431))</f>
        <v>0</v>
      </c>
      <c r="AT1771" s="119">
        <f>IF(tech_base!$T27&gt;AT$1745,"",(tech_base!$K27/tech_proj!AT151*0.086*$J$132)/(1-tech_proj!AT431))</f>
        <v>0</v>
      </c>
      <c r="AU1771" s="119">
        <f>IF(tech_base!$T27&gt;AU$1745,"",(tech_base!$K27/tech_proj!AU151*0.086*$J$132)/(1-tech_proj!AU431))</f>
        <v>0</v>
      </c>
      <c r="AV1771" s="119">
        <f>IF(tech_base!$T27&gt;AV$1745,"",(tech_base!$K27/tech_proj!AV151*0.086*$J$132)/(1-tech_proj!AV431))</f>
        <v>0</v>
      </c>
      <c r="AW1771" s="119">
        <f>IF(tech_base!$T27&gt;AW$1745,"",(tech_base!$K27/tech_proj!AW151*0.086*$J$132)/(1-tech_proj!AW431))</f>
        <v>0</v>
      </c>
      <c r="AX1771" s="120">
        <f>IF(tech_base!$T27&gt;AX$1745,"",(tech_base!$K27/tech_proj!AX151*0.086*$J$132)/(1-tech_proj!AX431))</f>
        <v>0</v>
      </c>
    </row>
    <row r="1772" spans="1:50" x14ac:dyDescent="0.25">
      <c r="A1772" s="356"/>
      <c r="B1772" s="376"/>
      <c r="C1772" s="361" t="s">
        <v>14</v>
      </c>
      <c r="D1772" s="58" t="s">
        <v>7</v>
      </c>
      <c r="E1772" s="164" t="str">
        <f>A1753&amp;"/"&amp;B1769&amp;"/"&amp;C1772&amp;"/"&amp;D1772</f>
        <v>Coal fired power plants/Fluidized bed combustion/CHP/L</v>
      </c>
      <c r="F1772" s="78" t="str">
        <f>A1753</f>
        <v>Coal fired power plants</v>
      </c>
      <c r="G1772" s="78" t="str">
        <f>B1769</f>
        <v>Fluidized bed combustion</v>
      </c>
      <c r="H1772" s="78" t="str">
        <f>C1772</f>
        <v>CHP</v>
      </c>
      <c r="I1772" s="165" t="str">
        <f t="shared" si="382"/>
        <v>L</v>
      </c>
      <c r="J1772" s="123">
        <f>IF(tech_base!$T28&gt;J$1745,"",(tech_base!$K28/tech_proj!J152*0.086*$J$132)/(1-tech_proj!J432))</f>
        <v>0</v>
      </c>
      <c r="K1772" s="123">
        <f>IF(tech_base!$T28&gt;K$1745,"",(tech_base!$K28/tech_proj!K152*0.086*$J$132)/(1-tech_proj!K432))</f>
        <v>0</v>
      </c>
      <c r="L1772" s="123">
        <f>IF(tech_base!$T28&gt;L$1745,"",(tech_base!$K28/tech_proj!L152*0.086*$J$132)/(1-tech_proj!L432))</f>
        <v>0</v>
      </c>
      <c r="M1772" s="123">
        <f>IF(tech_base!$T28&gt;M$1745,"",(tech_base!$K28/tech_proj!M152*0.086*$J$132)/(1-tech_proj!M432))</f>
        <v>0</v>
      </c>
      <c r="N1772" s="123">
        <f>IF(tech_base!$T28&gt;N$1745,"",(tech_base!$K28/tech_proj!N152*0.086*$J$132)/(1-tech_proj!N432))</f>
        <v>0</v>
      </c>
      <c r="O1772" s="123">
        <f>IF(tech_base!$T28&gt;O$1745,"",(tech_base!$K28/tech_proj!O152*0.086*$J$132)/(1-tech_proj!O432))</f>
        <v>0</v>
      </c>
      <c r="P1772" s="123">
        <f>IF(tech_base!$T28&gt;P$1745,"",(tech_base!$K28/tech_proj!P152*0.086*$J$132)/(1-tech_proj!P432))</f>
        <v>0</v>
      </c>
      <c r="Q1772" s="123">
        <f>IF(tech_base!$T28&gt;Q$1745,"",(tech_base!$K28/tech_proj!Q152*0.086*$J$132)/(1-tech_proj!Q432))</f>
        <v>0</v>
      </c>
      <c r="R1772" s="123">
        <f>IF(tech_base!$T28&gt;R$1745,"",(tech_base!$K28/tech_proj!R152*0.086*$J$132)/(1-tech_proj!R432))</f>
        <v>0</v>
      </c>
      <c r="S1772" s="123">
        <f>IF(tech_base!$T28&gt;S$1745,"",(tech_base!$K28/tech_proj!S152*0.086*$J$132)/(1-tech_proj!S432))</f>
        <v>0</v>
      </c>
      <c r="T1772" s="123">
        <f>IF(tech_base!$T28&gt;T$1745,"",(tech_base!$K28/tech_proj!T152*0.086*$J$132)/(1-tech_proj!T432))</f>
        <v>0</v>
      </c>
      <c r="U1772" s="123">
        <f>IF(tech_base!$T28&gt;U$1745,"",(tech_base!$K28/tech_proj!U152*0.086*$J$132)/(1-tech_proj!U432))</f>
        <v>0</v>
      </c>
      <c r="V1772" s="123">
        <f>IF(tech_base!$T28&gt;V$1745,"",(tech_base!$K28/tech_proj!V152*0.086*$J$132)/(1-tech_proj!V432))</f>
        <v>0</v>
      </c>
      <c r="W1772" s="123">
        <f>IF(tech_base!$T28&gt;W$1745,"",(tech_base!$K28/tech_proj!W152*0.086*$J$132)/(1-tech_proj!W432))</f>
        <v>0</v>
      </c>
      <c r="X1772" s="123">
        <f>IF(tech_base!$T28&gt;X$1745,"",(tech_base!$K28/tech_proj!X152*0.086*$J$132)/(1-tech_proj!X432))</f>
        <v>0</v>
      </c>
      <c r="Y1772" s="123">
        <f>IF(tech_base!$T28&gt;Y$1745,"",(tech_base!$K28/tech_proj!Y152*0.086*$J$132)/(1-tech_proj!Y432))</f>
        <v>0</v>
      </c>
      <c r="Z1772" s="123">
        <f>IF(tech_base!$T28&gt;Z$1745,"",(tech_base!$K28/tech_proj!Z152*0.086*$J$132)/(1-tech_proj!Z432))</f>
        <v>0</v>
      </c>
      <c r="AA1772" s="123">
        <f>IF(tech_base!$T28&gt;AA$1745,"",(tech_base!$K28/tech_proj!AA152*0.086*$J$132)/(1-tech_proj!AA432))</f>
        <v>0</v>
      </c>
      <c r="AB1772" s="123">
        <f>IF(tech_base!$T28&gt;AB$1745,"",(tech_base!$K28/tech_proj!AB152*0.086*$J$132)/(1-tech_proj!AB432))</f>
        <v>0</v>
      </c>
      <c r="AC1772" s="123">
        <f>IF(tech_base!$T28&gt;AC$1745,"",(tech_base!$K28/tech_proj!AC152*0.086*$J$132)/(1-tech_proj!AC432))</f>
        <v>0</v>
      </c>
      <c r="AD1772" s="123">
        <f>IF(tech_base!$T28&gt;AD$1745,"",(tech_base!$K28/tech_proj!AD152*0.086*$J$132)/(1-tech_proj!AD432))</f>
        <v>0</v>
      </c>
      <c r="AE1772" s="123">
        <f>IF(tech_base!$T28&gt;AE$1745,"",(tech_base!$K28/tech_proj!AE152*0.086*$J$132)/(1-tech_proj!AE432))</f>
        <v>0</v>
      </c>
      <c r="AF1772" s="123">
        <f>IF(tech_base!$T28&gt;AF$1745,"",(tech_base!$K28/tech_proj!AF152*0.086*$J$132)/(1-tech_proj!AF432))</f>
        <v>0</v>
      </c>
      <c r="AG1772" s="123">
        <f>IF(tech_base!$T28&gt;AG$1745,"",(tech_base!$K28/tech_proj!AG152*0.086*$J$132)/(1-tech_proj!AG432))</f>
        <v>0</v>
      </c>
      <c r="AH1772" s="123">
        <f>IF(tech_base!$T28&gt;AH$1745,"",(tech_base!$K28/tech_proj!AH152*0.086*$J$132)/(1-tech_proj!AH432))</f>
        <v>0</v>
      </c>
      <c r="AI1772" s="123">
        <f>IF(tech_base!$T28&gt;AI$1745,"",(tech_base!$K28/tech_proj!AI152*0.086*$J$132)/(1-tech_proj!AI432))</f>
        <v>0</v>
      </c>
      <c r="AJ1772" s="123">
        <f>IF(tech_base!$T28&gt;AJ$1745,"",(tech_base!$K28/tech_proj!AJ152*0.086*$J$132)/(1-tech_proj!AJ432))</f>
        <v>0</v>
      </c>
      <c r="AK1772" s="123">
        <f>IF(tech_base!$T28&gt;AK$1745,"",(tech_base!$K28/tech_proj!AK152*0.086*$J$132)/(1-tech_proj!AK432))</f>
        <v>0</v>
      </c>
      <c r="AL1772" s="123">
        <f>IF(tech_base!$T28&gt;AL$1745,"",(tech_base!$K28/tech_proj!AL152*0.086*$J$132)/(1-tech_proj!AL432))</f>
        <v>0</v>
      </c>
      <c r="AM1772" s="123">
        <f>IF(tech_base!$T28&gt;AM$1745,"",(tech_base!$K28/tech_proj!AM152*0.086*$J$132)/(1-tech_proj!AM432))</f>
        <v>0</v>
      </c>
      <c r="AN1772" s="123">
        <f>IF(tech_base!$T28&gt;AN$1745,"",(tech_base!$K28/tech_proj!AN152*0.086*$J$132)/(1-tech_proj!AN432))</f>
        <v>0</v>
      </c>
      <c r="AO1772" s="123">
        <f>IF(tech_base!$T28&gt;AO$1745,"",(tech_base!$K28/tech_proj!AO152*0.086*$J$132)/(1-tech_proj!AO432))</f>
        <v>0</v>
      </c>
      <c r="AP1772" s="123">
        <f>IF(tech_base!$T28&gt;AP$1745,"",(tech_base!$K28/tech_proj!AP152*0.086*$J$132)/(1-tech_proj!AP432))</f>
        <v>0</v>
      </c>
      <c r="AQ1772" s="123">
        <f>IF(tech_base!$T28&gt;AQ$1745,"",(tech_base!$K28/tech_proj!AQ152*0.086*$J$132)/(1-tech_proj!AQ432))</f>
        <v>0</v>
      </c>
      <c r="AR1772" s="123">
        <f>IF(tech_base!$T28&gt;AR$1745,"",(tech_base!$K28/tech_proj!AR152*0.086*$J$132)/(1-tech_proj!AR432))</f>
        <v>0</v>
      </c>
      <c r="AS1772" s="123">
        <f>IF(tech_base!$T28&gt;AS$1745,"",(tech_base!$K28/tech_proj!AS152*0.086*$J$132)/(1-tech_proj!AS432))</f>
        <v>0</v>
      </c>
      <c r="AT1772" s="123">
        <f>IF(tech_base!$T28&gt;AT$1745,"",(tech_base!$K28/tech_proj!AT152*0.086*$J$132)/(1-tech_proj!AT432))</f>
        <v>0</v>
      </c>
      <c r="AU1772" s="123">
        <f>IF(tech_base!$T28&gt;AU$1745,"",(tech_base!$K28/tech_proj!AU152*0.086*$J$132)/(1-tech_proj!AU432))</f>
        <v>0</v>
      </c>
      <c r="AV1772" s="123">
        <f>IF(tech_base!$T28&gt;AV$1745,"",(tech_base!$K28/tech_proj!AV152*0.086*$J$132)/(1-tech_proj!AV432))</f>
        <v>0</v>
      </c>
      <c r="AW1772" s="123">
        <f>IF(tech_base!$T28&gt;AW$1745,"",(tech_base!$K28/tech_proj!AW152*0.086*$J$132)/(1-tech_proj!AW432))</f>
        <v>0</v>
      </c>
      <c r="AX1772" s="124">
        <f>IF(tech_base!$T28&gt;AX$1745,"",(tech_base!$K28/tech_proj!AX152*0.086*$J$132)/(1-tech_proj!AX432))</f>
        <v>0</v>
      </c>
    </row>
    <row r="1773" spans="1:50" x14ac:dyDescent="0.25">
      <c r="A1773" s="356"/>
      <c r="B1773" s="376"/>
      <c r="C1773" s="378"/>
      <c r="D1773" s="2" t="s">
        <v>8</v>
      </c>
      <c r="E1773" s="160" t="str">
        <f>A1753&amp;"/"&amp;B1769&amp;"/"&amp;C1772&amp;"/"&amp;D1773</f>
        <v>Coal fired power plants/Fluidized bed combustion/CHP/M</v>
      </c>
      <c r="F1773" s="76" t="str">
        <f>A1753</f>
        <v>Coal fired power plants</v>
      </c>
      <c r="G1773" s="76" t="str">
        <f>B1769</f>
        <v>Fluidized bed combustion</v>
      </c>
      <c r="H1773" s="76" t="str">
        <f>C1772</f>
        <v>CHP</v>
      </c>
      <c r="I1773" s="161" t="str">
        <f t="shared" si="382"/>
        <v>M</v>
      </c>
      <c r="J1773" s="119">
        <f>IF(tech_base!$T29&gt;J$1745,"",(tech_base!$K29/tech_proj!J153*0.086*$J$132)/(1-tech_proj!J433))</f>
        <v>0</v>
      </c>
      <c r="K1773" s="119">
        <f>IF(tech_base!$T29&gt;K$1745,"",(tech_base!$K29/tech_proj!K153*0.086*$J$132)/(1-tech_proj!K433))</f>
        <v>0</v>
      </c>
      <c r="L1773" s="119">
        <f>IF(tech_base!$T29&gt;L$1745,"",(tech_base!$K29/tech_proj!L153*0.086*$J$132)/(1-tech_proj!L433))</f>
        <v>0</v>
      </c>
      <c r="M1773" s="119">
        <f>IF(tech_base!$T29&gt;M$1745,"",(tech_base!$K29/tech_proj!M153*0.086*$J$132)/(1-tech_proj!M433))</f>
        <v>0</v>
      </c>
      <c r="N1773" s="119">
        <f>IF(tech_base!$T29&gt;N$1745,"",(tech_base!$K29/tech_proj!N153*0.086*$J$132)/(1-tech_proj!N433))</f>
        <v>0</v>
      </c>
      <c r="O1773" s="119">
        <f>IF(tech_base!$T29&gt;O$1745,"",(tech_base!$K29/tech_proj!O153*0.086*$J$132)/(1-tech_proj!O433))</f>
        <v>0</v>
      </c>
      <c r="P1773" s="119">
        <f>IF(tech_base!$T29&gt;P$1745,"",(tech_base!$K29/tech_proj!P153*0.086*$J$132)/(1-tech_proj!P433))</f>
        <v>0</v>
      </c>
      <c r="Q1773" s="119">
        <f>IF(tech_base!$T29&gt;Q$1745,"",(tech_base!$K29/tech_proj!Q153*0.086*$J$132)/(1-tech_proj!Q433))</f>
        <v>0</v>
      </c>
      <c r="R1773" s="119">
        <f>IF(tech_base!$T29&gt;R$1745,"",(tech_base!$K29/tech_proj!R153*0.086*$J$132)/(1-tech_proj!R433))</f>
        <v>0</v>
      </c>
      <c r="S1773" s="119">
        <f>IF(tech_base!$T29&gt;S$1745,"",(tech_base!$K29/tech_proj!S153*0.086*$J$132)/(1-tech_proj!S433))</f>
        <v>0</v>
      </c>
      <c r="T1773" s="119">
        <f>IF(tech_base!$T29&gt;T$1745,"",(tech_base!$K29/tech_proj!T153*0.086*$J$132)/(1-tech_proj!T433))</f>
        <v>0</v>
      </c>
      <c r="U1773" s="119">
        <f>IF(tech_base!$T29&gt;U$1745,"",(tech_base!$K29/tech_proj!U153*0.086*$J$132)/(1-tech_proj!U433))</f>
        <v>0</v>
      </c>
      <c r="V1773" s="119">
        <f>IF(tech_base!$T29&gt;V$1745,"",(tech_base!$K29/tech_proj!V153*0.086*$J$132)/(1-tech_proj!V433))</f>
        <v>0</v>
      </c>
      <c r="W1773" s="119">
        <f>IF(tech_base!$T29&gt;W$1745,"",(tech_base!$K29/tech_proj!W153*0.086*$J$132)/(1-tech_proj!W433))</f>
        <v>0</v>
      </c>
      <c r="X1773" s="119">
        <f>IF(tech_base!$T29&gt;X$1745,"",(tech_base!$K29/tech_proj!X153*0.086*$J$132)/(1-tech_proj!X433))</f>
        <v>0</v>
      </c>
      <c r="Y1773" s="119">
        <f>IF(tech_base!$T29&gt;Y$1745,"",(tech_base!$K29/tech_proj!Y153*0.086*$J$132)/(1-tech_proj!Y433))</f>
        <v>0</v>
      </c>
      <c r="Z1773" s="119">
        <f>IF(tech_base!$T29&gt;Z$1745,"",(tech_base!$K29/tech_proj!Z153*0.086*$J$132)/(1-tech_proj!Z433))</f>
        <v>0</v>
      </c>
      <c r="AA1773" s="119">
        <f>IF(tech_base!$T29&gt;AA$1745,"",(tech_base!$K29/tech_proj!AA153*0.086*$J$132)/(1-tech_proj!AA433))</f>
        <v>0</v>
      </c>
      <c r="AB1773" s="119">
        <f>IF(tech_base!$T29&gt;AB$1745,"",(tech_base!$K29/tech_proj!AB153*0.086*$J$132)/(1-tech_proj!AB433))</f>
        <v>0</v>
      </c>
      <c r="AC1773" s="119">
        <f>IF(tech_base!$T29&gt;AC$1745,"",(tech_base!$K29/tech_proj!AC153*0.086*$J$132)/(1-tech_proj!AC433))</f>
        <v>0</v>
      </c>
      <c r="AD1773" s="119">
        <f>IF(tech_base!$T29&gt;AD$1745,"",(tech_base!$K29/tech_proj!AD153*0.086*$J$132)/(1-tech_proj!AD433))</f>
        <v>0</v>
      </c>
      <c r="AE1773" s="119">
        <f>IF(tech_base!$T29&gt;AE$1745,"",(tech_base!$K29/tech_proj!AE153*0.086*$J$132)/(1-tech_proj!AE433))</f>
        <v>0</v>
      </c>
      <c r="AF1773" s="119">
        <f>IF(tech_base!$T29&gt;AF$1745,"",(tech_base!$K29/tech_proj!AF153*0.086*$J$132)/(1-tech_proj!AF433))</f>
        <v>0</v>
      </c>
      <c r="AG1773" s="119">
        <f>IF(tech_base!$T29&gt;AG$1745,"",(tech_base!$K29/tech_proj!AG153*0.086*$J$132)/(1-tech_proj!AG433))</f>
        <v>0</v>
      </c>
      <c r="AH1773" s="119">
        <f>IF(tech_base!$T29&gt;AH$1745,"",(tech_base!$K29/tech_proj!AH153*0.086*$J$132)/(1-tech_proj!AH433))</f>
        <v>0</v>
      </c>
      <c r="AI1773" s="119">
        <f>IF(tech_base!$T29&gt;AI$1745,"",(tech_base!$K29/tech_proj!AI153*0.086*$J$132)/(1-tech_proj!AI433))</f>
        <v>0</v>
      </c>
      <c r="AJ1773" s="119">
        <f>IF(tech_base!$T29&gt;AJ$1745,"",(tech_base!$K29/tech_proj!AJ153*0.086*$J$132)/(1-tech_proj!AJ433))</f>
        <v>0</v>
      </c>
      <c r="AK1773" s="119">
        <f>IF(tech_base!$T29&gt;AK$1745,"",(tech_base!$K29/tech_proj!AK153*0.086*$J$132)/(1-tech_proj!AK433))</f>
        <v>0</v>
      </c>
      <c r="AL1773" s="119">
        <f>IF(tech_base!$T29&gt;AL$1745,"",(tech_base!$K29/tech_proj!AL153*0.086*$J$132)/(1-tech_proj!AL433))</f>
        <v>0</v>
      </c>
      <c r="AM1773" s="119">
        <f>IF(tech_base!$T29&gt;AM$1745,"",(tech_base!$K29/tech_proj!AM153*0.086*$J$132)/(1-tech_proj!AM433))</f>
        <v>0</v>
      </c>
      <c r="AN1773" s="119">
        <f>IF(tech_base!$T29&gt;AN$1745,"",(tech_base!$K29/tech_proj!AN153*0.086*$J$132)/(1-tech_proj!AN433))</f>
        <v>0</v>
      </c>
      <c r="AO1773" s="119">
        <f>IF(tech_base!$T29&gt;AO$1745,"",(tech_base!$K29/tech_proj!AO153*0.086*$J$132)/(1-tech_proj!AO433))</f>
        <v>0</v>
      </c>
      <c r="AP1773" s="119">
        <f>IF(tech_base!$T29&gt;AP$1745,"",(tech_base!$K29/tech_proj!AP153*0.086*$J$132)/(1-tech_proj!AP433))</f>
        <v>0</v>
      </c>
      <c r="AQ1773" s="119">
        <f>IF(tech_base!$T29&gt;AQ$1745,"",(tech_base!$K29/tech_proj!AQ153*0.086*$J$132)/(1-tech_proj!AQ433))</f>
        <v>0</v>
      </c>
      <c r="AR1773" s="119">
        <f>IF(tech_base!$T29&gt;AR$1745,"",(tech_base!$K29/tech_proj!AR153*0.086*$J$132)/(1-tech_proj!AR433))</f>
        <v>0</v>
      </c>
      <c r="AS1773" s="119">
        <f>IF(tech_base!$T29&gt;AS$1745,"",(tech_base!$K29/tech_proj!AS153*0.086*$J$132)/(1-tech_proj!AS433))</f>
        <v>0</v>
      </c>
      <c r="AT1773" s="119">
        <f>IF(tech_base!$T29&gt;AT$1745,"",(tech_base!$K29/tech_proj!AT153*0.086*$J$132)/(1-tech_proj!AT433))</f>
        <v>0</v>
      </c>
      <c r="AU1773" s="119">
        <f>IF(tech_base!$T29&gt;AU$1745,"",(tech_base!$K29/tech_proj!AU153*0.086*$J$132)/(1-tech_proj!AU433))</f>
        <v>0</v>
      </c>
      <c r="AV1773" s="119">
        <f>IF(tech_base!$T29&gt;AV$1745,"",(tech_base!$K29/tech_proj!AV153*0.086*$J$132)/(1-tech_proj!AV433))</f>
        <v>0</v>
      </c>
      <c r="AW1773" s="119">
        <f>IF(tech_base!$T29&gt;AW$1745,"",(tech_base!$K29/tech_proj!AW153*0.086*$J$132)/(1-tech_proj!AW433))</f>
        <v>0</v>
      </c>
      <c r="AX1773" s="120">
        <f>IF(tech_base!$T29&gt;AX$1745,"",(tech_base!$K29/tech_proj!AX153*0.086*$J$132)/(1-tech_proj!AX433))</f>
        <v>0</v>
      </c>
    </row>
    <row r="1774" spans="1:50" x14ac:dyDescent="0.25">
      <c r="A1774" s="356"/>
      <c r="B1774" s="376"/>
      <c r="C1774" s="379"/>
      <c r="D1774" s="59" t="s">
        <v>10</v>
      </c>
      <c r="E1774" s="166" t="str">
        <f>A1753&amp;"/"&amp;B1769&amp;"/"&amp;C1772&amp;"/"&amp;D1774</f>
        <v>Coal fired power plants/Fluidized bed combustion/CHP/S</v>
      </c>
      <c r="F1774" s="79" t="str">
        <f>A1753</f>
        <v>Coal fired power plants</v>
      </c>
      <c r="G1774" s="79" t="str">
        <f>B1769</f>
        <v>Fluidized bed combustion</v>
      </c>
      <c r="H1774" s="79" t="str">
        <f>C1772</f>
        <v>CHP</v>
      </c>
      <c r="I1774" s="167" t="str">
        <f t="shared" si="382"/>
        <v>S</v>
      </c>
      <c r="J1774" s="125">
        <f>IF(tech_base!$T30&gt;J$1745,"",(tech_base!$K30/tech_proj!J154*0.086*$J$132)/(1-tech_proj!J434))</f>
        <v>0</v>
      </c>
      <c r="K1774" s="125">
        <f>IF(tech_base!$T30&gt;K$1745,"",(tech_base!$K30/tech_proj!K154*0.086*$J$132)/(1-tech_proj!K434))</f>
        <v>0</v>
      </c>
      <c r="L1774" s="125">
        <f>IF(tech_base!$T30&gt;L$1745,"",(tech_base!$K30/tech_proj!L154*0.086*$J$132)/(1-tech_proj!L434))</f>
        <v>0</v>
      </c>
      <c r="M1774" s="125">
        <f>IF(tech_base!$T30&gt;M$1745,"",(tech_base!$K30/tech_proj!M154*0.086*$J$132)/(1-tech_proj!M434))</f>
        <v>0</v>
      </c>
      <c r="N1774" s="125">
        <f>IF(tech_base!$T30&gt;N$1745,"",(tech_base!$K30/tech_proj!N154*0.086*$J$132)/(1-tech_proj!N434))</f>
        <v>0</v>
      </c>
      <c r="O1774" s="125">
        <f>IF(tech_base!$T30&gt;O$1745,"",(tech_base!$K30/tech_proj!O154*0.086*$J$132)/(1-tech_proj!O434))</f>
        <v>0</v>
      </c>
      <c r="P1774" s="125">
        <f>IF(tech_base!$T30&gt;P$1745,"",(tech_base!$K30/tech_proj!P154*0.086*$J$132)/(1-tech_proj!P434))</f>
        <v>0</v>
      </c>
      <c r="Q1774" s="125">
        <f>IF(tech_base!$T30&gt;Q$1745,"",(tech_base!$K30/tech_proj!Q154*0.086*$J$132)/(1-tech_proj!Q434))</f>
        <v>0</v>
      </c>
      <c r="R1774" s="125">
        <f>IF(tech_base!$T30&gt;R$1745,"",(tech_base!$K30/tech_proj!R154*0.086*$J$132)/(1-tech_proj!R434))</f>
        <v>0</v>
      </c>
      <c r="S1774" s="125">
        <f>IF(tech_base!$T30&gt;S$1745,"",(tech_base!$K30/tech_proj!S154*0.086*$J$132)/(1-tech_proj!S434))</f>
        <v>0</v>
      </c>
      <c r="T1774" s="125">
        <f>IF(tech_base!$T30&gt;T$1745,"",(tech_base!$K30/tech_proj!T154*0.086*$J$132)/(1-tech_proj!T434))</f>
        <v>0</v>
      </c>
      <c r="U1774" s="125">
        <f>IF(tech_base!$T30&gt;U$1745,"",(tech_base!$K30/tech_proj!U154*0.086*$J$132)/(1-tech_proj!U434))</f>
        <v>0</v>
      </c>
      <c r="V1774" s="125">
        <f>IF(tech_base!$T30&gt;V$1745,"",(tech_base!$K30/tech_proj!V154*0.086*$J$132)/(1-tech_proj!V434))</f>
        <v>0</v>
      </c>
      <c r="W1774" s="125">
        <f>IF(tech_base!$T30&gt;W$1745,"",(tech_base!$K30/tech_proj!W154*0.086*$J$132)/(1-tech_proj!W434))</f>
        <v>0</v>
      </c>
      <c r="X1774" s="125">
        <f>IF(tech_base!$T30&gt;X$1745,"",(tech_base!$K30/tech_proj!X154*0.086*$J$132)/(1-tech_proj!X434))</f>
        <v>0</v>
      </c>
      <c r="Y1774" s="125">
        <f>IF(tech_base!$T30&gt;Y$1745,"",(tech_base!$K30/tech_proj!Y154*0.086*$J$132)/(1-tech_proj!Y434))</f>
        <v>0</v>
      </c>
      <c r="Z1774" s="125">
        <f>IF(tech_base!$T30&gt;Z$1745,"",(tech_base!$K30/tech_proj!Z154*0.086*$J$132)/(1-tech_proj!Z434))</f>
        <v>0</v>
      </c>
      <c r="AA1774" s="125">
        <f>IF(tech_base!$T30&gt;AA$1745,"",(tech_base!$K30/tech_proj!AA154*0.086*$J$132)/(1-tech_proj!AA434))</f>
        <v>0</v>
      </c>
      <c r="AB1774" s="125">
        <f>IF(tech_base!$T30&gt;AB$1745,"",(tech_base!$K30/tech_proj!AB154*0.086*$J$132)/(1-tech_proj!AB434))</f>
        <v>0</v>
      </c>
      <c r="AC1774" s="125">
        <f>IF(tech_base!$T30&gt;AC$1745,"",(tech_base!$K30/tech_proj!AC154*0.086*$J$132)/(1-tech_proj!AC434))</f>
        <v>0</v>
      </c>
      <c r="AD1774" s="125">
        <f>IF(tech_base!$T30&gt;AD$1745,"",(tech_base!$K30/tech_proj!AD154*0.086*$J$132)/(1-tech_proj!AD434))</f>
        <v>0</v>
      </c>
      <c r="AE1774" s="125">
        <f>IF(tech_base!$T30&gt;AE$1745,"",(tech_base!$K30/tech_proj!AE154*0.086*$J$132)/(1-tech_proj!AE434))</f>
        <v>0</v>
      </c>
      <c r="AF1774" s="125">
        <f>IF(tech_base!$T30&gt;AF$1745,"",(tech_base!$K30/tech_proj!AF154*0.086*$J$132)/(1-tech_proj!AF434))</f>
        <v>0</v>
      </c>
      <c r="AG1774" s="125">
        <f>IF(tech_base!$T30&gt;AG$1745,"",(tech_base!$K30/tech_proj!AG154*0.086*$J$132)/(1-tech_proj!AG434))</f>
        <v>0</v>
      </c>
      <c r="AH1774" s="125">
        <f>IF(tech_base!$T30&gt;AH$1745,"",(tech_base!$K30/tech_proj!AH154*0.086*$J$132)/(1-tech_proj!AH434))</f>
        <v>0</v>
      </c>
      <c r="AI1774" s="125">
        <f>IF(tech_base!$T30&gt;AI$1745,"",(tech_base!$K30/tech_proj!AI154*0.086*$J$132)/(1-tech_proj!AI434))</f>
        <v>0</v>
      </c>
      <c r="AJ1774" s="125">
        <f>IF(tech_base!$T30&gt;AJ$1745,"",(tech_base!$K30/tech_proj!AJ154*0.086*$J$132)/(1-tech_proj!AJ434))</f>
        <v>0</v>
      </c>
      <c r="AK1774" s="125">
        <f>IF(tech_base!$T30&gt;AK$1745,"",(tech_base!$K30/tech_proj!AK154*0.086*$J$132)/(1-tech_proj!AK434))</f>
        <v>0</v>
      </c>
      <c r="AL1774" s="125">
        <f>IF(tech_base!$T30&gt;AL$1745,"",(tech_base!$K30/tech_proj!AL154*0.086*$J$132)/(1-tech_proj!AL434))</f>
        <v>0</v>
      </c>
      <c r="AM1774" s="125">
        <f>IF(tech_base!$T30&gt;AM$1745,"",(tech_base!$K30/tech_proj!AM154*0.086*$J$132)/(1-tech_proj!AM434))</f>
        <v>0</v>
      </c>
      <c r="AN1774" s="125">
        <f>IF(tech_base!$T30&gt;AN$1745,"",(tech_base!$K30/tech_proj!AN154*0.086*$J$132)/(1-tech_proj!AN434))</f>
        <v>0</v>
      </c>
      <c r="AO1774" s="125">
        <f>IF(tech_base!$T30&gt;AO$1745,"",(tech_base!$K30/tech_proj!AO154*0.086*$J$132)/(1-tech_proj!AO434))</f>
        <v>0</v>
      </c>
      <c r="AP1774" s="125">
        <f>IF(tech_base!$T30&gt;AP$1745,"",(tech_base!$K30/tech_proj!AP154*0.086*$J$132)/(1-tech_proj!AP434))</f>
        <v>0</v>
      </c>
      <c r="AQ1774" s="125">
        <f>IF(tech_base!$T30&gt;AQ$1745,"",(tech_base!$K30/tech_proj!AQ154*0.086*$J$132)/(1-tech_proj!AQ434))</f>
        <v>0</v>
      </c>
      <c r="AR1774" s="125">
        <f>IF(tech_base!$T30&gt;AR$1745,"",(tech_base!$K30/tech_proj!AR154*0.086*$J$132)/(1-tech_proj!AR434))</f>
        <v>0</v>
      </c>
      <c r="AS1774" s="125">
        <f>IF(tech_base!$T30&gt;AS$1745,"",(tech_base!$K30/tech_proj!AS154*0.086*$J$132)/(1-tech_proj!AS434))</f>
        <v>0</v>
      </c>
      <c r="AT1774" s="125">
        <f>IF(tech_base!$T30&gt;AT$1745,"",(tech_base!$K30/tech_proj!AT154*0.086*$J$132)/(1-tech_proj!AT434))</f>
        <v>0</v>
      </c>
      <c r="AU1774" s="125">
        <f>IF(tech_base!$T30&gt;AU$1745,"",(tech_base!$K30/tech_proj!AU154*0.086*$J$132)/(1-tech_proj!AU434))</f>
        <v>0</v>
      </c>
      <c r="AV1774" s="125">
        <f>IF(tech_base!$T30&gt;AV$1745,"",(tech_base!$K30/tech_proj!AV154*0.086*$J$132)/(1-tech_proj!AV434))</f>
        <v>0</v>
      </c>
      <c r="AW1774" s="125">
        <f>IF(tech_base!$T30&gt;AW$1745,"",(tech_base!$K30/tech_proj!AW154*0.086*$J$132)/(1-tech_proj!AW434))</f>
        <v>0</v>
      </c>
      <c r="AX1774" s="126">
        <f>IF(tech_base!$T30&gt;AX$1745,"",(tech_base!$K30/tech_proj!AX154*0.086*$J$132)/(1-tech_proj!AX434))</f>
        <v>0</v>
      </c>
    </row>
    <row r="1775" spans="1:50" x14ac:dyDescent="0.25">
      <c r="A1775" s="356"/>
      <c r="B1775" s="376"/>
      <c r="C1775" s="361" t="s">
        <v>15</v>
      </c>
      <c r="D1775" s="58" t="s">
        <v>7</v>
      </c>
      <c r="E1775" s="164" t="str">
        <f>A1753&amp;"/"&amp;B1769&amp;"/"&amp;C1775&amp;"/"&amp;D1775</f>
        <v>Coal fired power plants/Fluidized bed combustion/Electricity only with CCS/L</v>
      </c>
      <c r="F1775" s="78" t="str">
        <f>A1753</f>
        <v>Coal fired power plants</v>
      </c>
      <c r="G1775" s="78" t="str">
        <f>B1769</f>
        <v>Fluidized bed combustion</v>
      </c>
      <c r="H1775" s="78" t="str">
        <f>C1775</f>
        <v>Electricity only with CCS</v>
      </c>
      <c r="I1775" s="165" t="str">
        <f t="shared" si="382"/>
        <v>L</v>
      </c>
      <c r="J1775" s="123" t="str">
        <f>IF(tech_base!$T31&gt;J$1745,"",(tech_base!$K31/tech_proj!J155*0.086*$J$132)/(1-tech_proj!J435))</f>
        <v/>
      </c>
      <c r="K1775" s="123" t="str">
        <f>IF(tech_base!$T31&gt;K$1745,"",(tech_base!$K31/tech_proj!K155*0.086*$J$132)/(1-tech_proj!K435))</f>
        <v/>
      </c>
      <c r="L1775" s="123" t="str">
        <f>IF(tech_base!$T31&gt;L$1745,"",(tech_base!$K31/tech_proj!L155*0.086*$J$132)/(1-tech_proj!L435))</f>
        <v/>
      </c>
      <c r="M1775" s="123" t="str">
        <f>IF(tech_base!$T31&gt;M$1745,"",(tech_base!$K31/tech_proj!M155*0.086*$J$132)/(1-tech_proj!M435))</f>
        <v/>
      </c>
      <c r="N1775" s="123" t="str">
        <f>IF(tech_base!$T31&gt;N$1745,"",(tech_base!$K31/tech_proj!N155*0.086*$J$132)/(1-tech_proj!N435))</f>
        <v/>
      </c>
      <c r="O1775" s="123" t="str">
        <f>IF(tech_base!$T31&gt;O$1745,"",(tech_base!$K31/tech_proj!O155*0.086*$J$132)/(1-tech_proj!O435))</f>
        <v/>
      </c>
      <c r="P1775" s="123" t="str">
        <f>IF(tech_base!$T31&gt;P$1745,"",(tech_base!$K31/tech_proj!P155*0.086*$J$132)/(1-tech_proj!P435))</f>
        <v/>
      </c>
      <c r="Q1775" s="123" t="str">
        <f>IF(tech_base!$T31&gt;Q$1745,"",(tech_base!$K31/tech_proj!Q155*0.086*$J$132)/(1-tech_proj!Q435))</f>
        <v/>
      </c>
      <c r="R1775" s="123" t="str">
        <f>IF(tech_base!$T31&gt;R$1745,"",(tech_base!$K31/tech_proj!R155*0.086*$J$132)/(1-tech_proj!R435))</f>
        <v/>
      </c>
      <c r="S1775" s="123" t="str">
        <f>IF(tech_base!$T31&gt;S$1745,"",(tech_base!$K31/tech_proj!S155*0.086*$J$132)/(1-tech_proj!S435))</f>
        <v/>
      </c>
      <c r="T1775" s="123" t="str">
        <f>IF(tech_base!$T31&gt;T$1745,"",(tech_base!$K31/tech_proj!T155*0.086*$J$132)/(1-tech_proj!T435))</f>
        <v/>
      </c>
      <c r="U1775" s="123" t="str">
        <f>IF(tech_base!$T31&gt;U$1745,"",(tech_base!$K31/tech_proj!U155*0.086*$J$132)/(1-tech_proj!U435))</f>
        <v/>
      </c>
      <c r="V1775" s="123" t="str">
        <f>IF(tech_base!$T31&gt;V$1745,"",(tech_base!$K31/tech_proj!V155*0.086*$J$132)/(1-tech_proj!V435))</f>
        <v/>
      </c>
      <c r="W1775" s="123" t="str">
        <f>IF(tech_base!$T31&gt;W$1745,"",(tech_base!$K31/tech_proj!W155*0.086*$J$132)/(1-tech_proj!W435))</f>
        <v/>
      </c>
      <c r="X1775" s="123" t="str">
        <f>IF(tech_base!$T31&gt;X$1745,"",(tech_base!$K31/tech_proj!X155*0.086*$J$132)/(1-tech_proj!X435))</f>
        <v/>
      </c>
      <c r="Y1775" s="123" t="str">
        <f>IF(tech_base!$T31&gt;Y$1745,"",(tech_base!$K31/tech_proj!Y155*0.086*$J$132)/(1-tech_proj!Y435))</f>
        <v/>
      </c>
      <c r="Z1775" s="123" t="str">
        <f>IF(tech_base!$T31&gt;Z$1745,"",(tech_base!$K31/tech_proj!Z155*0.086*$J$132)/(1-tech_proj!Z435))</f>
        <v/>
      </c>
      <c r="AA1775" s="123" t="str">
        <f>IF(tech_base!$T31&gt;AA$1745,"",(tech_base!$K31/tech_proj!AA155*0.086*$J$132)/(1-tech_proj!AA435))</f>
        <v/>
      </c>
      <c r="AB1775" s="123" t="str">
        <f>IF(tech_base!$T31&gt;AB$1745,"",(tech_base!$K31/tech_proj!AB155*0.086*$J$132)/(1-tech_proj!AB435))</f>
        <v/>
      </c>
      <c r="AC1775" s="123" t="str">
        <f>IF(tech_base!$T31&gt;AC$1745,"",(tech_base!$K31/tech_proj!AC155*0.086*$J$132)/(1-tech_proj!AC435))</f>
        <v/>
      </c>
      <c r="AD1775" s="123" t="str">
        <f>IF(tech_base!$T31&gt;AD$1745,"",(tech_base!$K31/tech_proj!AD155*0.086*$J$132)/(1-tech_proj!AD435))</f>
        <v/>
      </c>
      <c r="AE1775" s="123">
        <f>IF(tech_base!$T31&gt;AE$1745,"",(tech_base!$K31/tech_proj!AE155*0.086*$J$132)/(1-tech_proj!AE435))</f>
        <v>11.195967416908255</v>
      </c>
      <c r="AF1775" s="123">
        <f>IF(tech_base!$T31&gt;AF$1745,"",(tech_base!$K31/tech_proj!AF155*0.086*$J$132)/(1-tech_proj!AF435))</f>
        <v>11.195044056298368</v>
      </c>
      <c r="AG1775" s="123">
        <f>IF(tech_base!$T31&gt;AG$1745,"",(tech_base!$K31/tech_proj!AG155*0.086*$J$132)/(1-tech_proj!AG435))</f>
        <v>11.193860040661951</v>
      </c>
      <c r="AH1775" s="123">
        <f>IF(tech_base!$T31&gt;AH$1745,"",(tech_base!$K31/tech_proj!AH155*0.086*$J$132)/(1-tech_proj!AH435))</f>
        <v>11.192342371301775</v>
      </c>
      <c r="AI1775" s="123">
        <f>IF(tech_base!$T31&gt;AI$1745,"",(tech_base!$K31/tech_proj!AI155*0.086*$J$132)/(1-tech_proj!AI435))</f>
        <v>11.190397980289534</v>
      </c>
      <c r="AJ1775" s="123">
        <f>IF(tech_base!$T31&gt;AJ$1745,"",(tech_base!$K31/tech_proj!AJ155*0.086*$J$132)/(1-tech_proj!AJ435))</f>
        <v>11.18790845402607</v>
      </c>
      <c r="AK1775" s="123">
        <f>IF(tech_base!$T31&gt;AK$1745,"",(tech_base!$K31/tech_proj!AK155*0.086*$J$132)/(1-tech_proj!AK435))</f>
        <v>11.184723525137551</v>
      </c>
      <c r="AL1775" s="123">
        <f>IF(tech_base!$T31&gt;AL$1745,"",(tech_base!$K31/tech_proj!AL155*0.086*$J$132)/(1-tech_proj!AL435))</f>
        <v>11.180653147450991</v>
      </c>
      <c r="AM1775" s="123">
        <f>IF(tech_base!$T31&gt;AM$1745,"",(tech_base!$K31/tech_proj!AM155*0.086*$J$132)/(1-tech_proj!AM435))</f>
        <v>11.175458013635545</v>
      </c>
      <c r="AN1775" s="123">
        <f>IF(tech_base!$T31&gt;AN$1745,"",(tech_base!$K31/tech_proj!AN155*0.086*$J$132)/(1-tech_proj!AN435))</f>
        <v>11.168838486078869</v>
      </c>
      <c r="AO1775" s="123">
        <f>IF(tech_base!$T31&gt;AO$1745,"",(tech_base!$K31/tech_proj!AO155*0.086*$J$132)/(1-tech_proj!AO435))</f>
        <v>11.16042213207189</v>
      </c>
      <c r="AP1775" s="123">
        <f>IF(tech_base!$T31&gt;AP$1745,"",(tech_base!$K31/tech_proj!AP155*0.086*$J$132)/(1-tech_proj!AP435))</f>
        <v>11.149750446311318</v>
      </c>
      <c r="AQ1775" s="123">
        <f>IF(tech_base!$T31&gt;AQ$1745,"",(tech_base!$K31/tech_proj!AQ155*0.086*$J$132)/(1-tech_proj!AQ435))</f>
        <v>11.136265988220979</v>
      </c>
      <c r="AR1775" s="123">
        <f>IF(tech_base!$T31&gt;AR$1745,"",(tech_base!$K31/tech_proj!AR155*0.086*$J$132)/(1-tech_proj!AR435))</f>
        <v>11.119302150613573</v>
      </c>
      <c r="AS1775" s="123">
        <f>IF(tech_base!$T31&gt;AS$1745,"",(tech_base!$K31/tech_proj!AS155*0.086*$J$132)/(1-tech_proj!AS435))</f>
        <v>11.098079184119408</v>
      </c>
      <c r="AT1775" s="123">
        <f>IF(tech_base!$T31&gt;AT$1745,"",(tech_base!$K31/tech_proj!AT155*0.086*$J$132)/(1-tech_proj!AT435))</f>
        <v>11.071711919481892</v>
      </c>
      <c r="AU1775" s="123">
        <f>IF(tech_base!$T31&gt;AU$1745,"",(tech_base!$K31/tech_proj!AU155*0.086*$J$132)/(1-tech_proj!AU435))</f>
        <v>11.039236641182567</v>
      </c>
      <c r="AV1775" s="123">
        <f>IF(tech_base!$T31&gt;AV$1745,"",(tech_base!$K31/tech_proj!AV155*0.086*$J$132)/(1-tech_proj!AV435))</f>
        <v>10.999666158796892</v>
      </c>
      <c r="AW1775" s="123">
        <f>IF(tech_base!$T31&gt;AW$1745,"",(tech_base!$K31/tech_proj!AW155*0.086*$J$132)/(1-tech_proj!AW435))</f>
        <v>10.952082077025215</v>
      </c>
      <c r="AX1775" s="124">
        <f>IF(tech_base!$T31&gt;AX$1745,"",(tech_base!$K31/tech_proj!AX155*0.086*$J$132)/(1-tech_proj!AX435))</f>
        <v>10.895769678654094</v>
      </c>
    </row>
    <row r="1776" spans="1:50" x14ac:dyDescent="0.25">
      <c r="A1776" s="356"/>
      <c r="B1776" s="376"/>
      <c r="C1776" s="379"/>
      <c r="D1776" s="59" t="s">
        <v>8</v>
      </c>
      <c r="E1776" s="166" t="str">
        <f>A1753&amp;"/"&amp;B1769&amp;"/"&amp;C1775&amp;"/"&amp;D1776</f>
        <v>Coal fired power plants/Fluidized bed combustion/Electricity only with CCS/M</v>
      </c>
      <c r="F1776" s="79" t="str">
        <f>A1753</f>
        <v>Coal fired power plants</v>
      </c>
      <c r="G1776" s="79" t="str">
        <f>B1769</f>
        <v>Fluidized bed combustion</v>
      </c>
      <c r="H1776" s="79" t="str">
        <f>C1775</f>
        <v>Electricity only with CCS</v>
      </c>
      <c r="I1776" s="167" t="str">
        <f t="shared" si="382"/>
        <v>M</v>
      </c>
      <c r="J1776" s="125" t="str">
        <f>IF(tech_base!$T32&gt;J$1745,"",(tech_base!$K32/tech_proj!J156*0.086*$J$132)/(1-tech_proj!J436))</f>
        <v/>
      </c>
      <c r="K1776" s="125" t="str">
        <f>IF(tech_base!$T32&gt;K$1745,"",(tech_base!$K32/tech_proj!K156*0.086*$J$132)/(1-tech_proj!K436))</f>
        <v/>
      </c>
      <c r="L1776" s="125" t="str">
        <f>IF(tech_base!$T32&gt;L$1745,"",(tech_base!$K32/tech_proj!L156*0.086*$J$132)/(1-tech_proj!L436))</f>
        <v/>
      </c>
      <c r="M1776" s="125" t="str">
        <f>IF(tech_base!$T32&gt;M$1745,"",(tech_base!$K32/tech_proj!M156*0.086*$J$132)/(1-tech_proj!M436))</f>
        <v/>
      </c>
      <c r="N1776" s="125" t="str">
        <f>IF(tech_base!$T32&gt;N$1745,"",(tech_base!$K32/tech_proj!N156*0.086*$J$132)/(1-tech_proj!N436))</f>
        <v/>
      </c>
      <c r="O1776" s="125" t="str">
        <f>IF(tech_base!$T32&gt;O$1745,"",(tech_base!$K32/tech_proj!O156*0.086*$J$132)/(1-tech_proj!O436))</f>
        <v/>
      </c>
      <c r="P1776" s="125" t="str">
        <f>IF(tech_base!$T32&gt;P$1745,"",(tech_base!$K32/tech_proj!P156*0.086*$J$132)/(1-tech_proj!P436))</f>
        <v/>
      </c>
      <c r="Q1776" s="125" t="str">
        <f>IF(tech_base!$T32&gt;Q$1745,"",(tech_base!$K32/tech_proj!Q156*0.086*$J$132)/(1-tech_proj!Q436))</f>
        <v/>
      </c>
      <c r="R1776" s="125" t="str">
        <f>IF(tech_base!$T32&gt;R$1745,"",(tech_base!$K32/tech_proj!R156*0.086*$J$132)/(1-tech_proj!R436))</f>
        <v/>
      </c>
      <c r="S1776" s="125" t="str">
        <f>IF(tech_base!$T32&gt;S$1745,"",(tech_base!$K32/tech_proj!S156*0.086*$J$132)/(1-tech_proj!S436))</f>
        <v/>
      </c>
      <c r="T1776" s="125" t="str">
        <f>IF(tech_base!$T32&gt;T$1745,"",(tech_base!$K32/tech_proj!T156*0.086*$J$132)/(1-tech_proj!T436))</f>
        <v/>
      </c>
      <c r="U1776" s="125" t="str">
        <f>IF(tech_base!$T32&gt;U$1745,"",(tech_base!$K32/tech_proj!U156*0.086*$J$132)/(1-tech_proj!U436))</f>
        <v/>
      </c>
      <c r="V1776" s="125" t="str">
        <f>IF(tech_base!$T32&gt;V$1745,"",(tech_base!$K32/tech_proj!V156*0.086*$J$132)/(1-tech_proj!V436))</f>
        <v/>
      </c>
      <c r="W1776" s="125" t="str">
        <f>IF(tech_base!$T32&gt;W$1745,"",(tech_base!$K32/tech_proj!W156*0.086*$J$132)/(1-tech_proj!W436))</f>
        <v/>
      </c>
      <c r="X1776" s="125" t="str">
        <f>IF(tech_base!$T32&gt;X$1745,"",(tech_base!$K32/tech_proj!X156*0.086*$J$132)/(1-tech_proj!X436))</f>
        <v/>
      </c>
      <c r="Y1776" s="125" t="str">
        <f>IF(tech_base!$T32&gt;Y$1745,"",(tech_base!$K32/tech_proj!Y156*0.086*$J$132)/(1-tech_proj!Y436))</f>
        <v/>
      </c>
      <c r="Z1776" s="125" t="str">
        <f>IF(tech_base!$T32&gt;Z$1745,"",(tech_base!$K32/tech_proj!Z156*0.086*$J$132)/(1-tech_proj!Z436))</f>
        <v/>
      </c>
      <c r="AA1776" s="125" t="str">
        <f>IF(tech_base!$T32&gt;AA$1745,"",(tech_base!$K32/tech_proj!AA156*0.086*$J$132)/(1-tech_proj!AA436))</f>
        <v/>
      </c>
      <c r="AB1776" s="125" t="str">
        <f>IF(tech_base!$T32&gt;AB$1745,"",(tech_base!$K32/tech_proj!AB156*0.086*$J$132)/(1-tech_proj!AB436))</f>
        <v/>
      </c>
      <c r="AC1776" s="125" t="str">
        <f>IF(tech_base!$T32&gt;AC$1745,"",(tech_base!$K32/tech_proj!AC156*0.086*$J$132)/(1-tech_proj!AC436))</f>
        <v/>
      </c>
      <c r="AD1776" s="125" t="str">
        <f>IF(tech_base!$T32&gt;AD$1745,"",(tech_base!$K32/tech_proj!AD156*0.086*$J$132)/(1-tech_proj!AD436))</f>
        <v/>
      </c>
      <c r="AE1776" s="125">
        <f>IF(tech_base!$T32&gt;AE$1745,"",(tech_base!$K32/tech_proj!AE156*0.086*$J$132)/(1-tech_proj!AE436))</f>
        <v>11.926920317057672</v>
      </c>
      <c r="AF1776" s="125">
        <f>IF(tech_base!$T32&gt;AF$1745,"",(tech_base!$K32/tech_proj!AF156*0.086*$J$132)/(1-tech_proj!AF436))</f>
        <v>11.925866332216955</v>
      </c>
      <c r="AG1776" s="125">
        <f>IF(tech_base!$T32&gt;AG$1745,"",(tech_base!$K32/tech_proj!AG156*0.086*$J$132)/(1-tech_proj!AG436))</f>
        <v>11.92451479726765</v>
      </c>
      <c r="AH1776" s="125">
        <f>IF(tech_base!$T32&gt;AH$1745,"",(tech_base!$K32/tech_proj!AH156*0.086*$J$132)/(1-tech_proj!AH436))</f>
        <v>11.922782367013497</v>
      </c>
      <c r="AI1776" s="125">
        <f>IF(tech_base!$T32&gt;AI$1745,"",(tech_base!$K32/tech_proj!AI156*0.086*$J$132)/(1-tech_proj!AI436))</f>
        <v>11.92056277364788</v>
      </c>
      <c r="AJ1776" s="125">
        <f>IF(tech_base!$T32&gt;AJ$1745,"",(tech_base!$K32/tech_proj!AJ156*0.086*$J$132)/(1-tech_proj!AJ436))</f>
        <v>11.917720794371315</v>
      </c>
      <c r="AK1776" s="125">
        <f>IF(tech_base!$T32&gt;AK$1745,"",(tech_base!$K32/tech_proj!AK156*0.086*$J$132)/(1-tech_proj!AK436))</f>
        <v>11.914084807061665</v>
      </c>
      <c r="AL1776" s="125">
        <f>IF(tech_base!$T32&gt;AL$1745,"",(tech_base!$K32/tech_proj!AL156*0.086*$J$132)/(1-tech_proj!AL436))</f>
        <v>11.909437718855377</v>
      </c>
      <c r="AM1776" s="125">
        <f>IF(tech_base!$T32&gt;AM$1745,"",(tech_base!$K32/tech_proj!AM156*0.086*$J$132)/(1-tech_proj!AM436))</f>
        <v>11.903506101590725</v>
      </c>
      <c r="AN1776" s="125">
        <f>IF(tech_base!$T32&gt;AN$1745,"",(tech_base!$K32/tech_proj!AN156*0.086*$J$132)/(1-tech_proj!AN436))</f>
        <v>11.895947491606334</v>
      </c>
      <c r="AO1776" s="125">
        <f>IF(tech_base!$T32&gt;AO$1745,"",(tech_base!$K32/tech_proj!AO156*0.086*$J$132)/(1-tech_proj!AO436))</f>
        <v>11.886336058534351</v>
      </c>
      <c r="AP1776" s="125">
        <f>IF(tech_base!$T32&gt;AP$1745,"",(tech_base!$K32/tech_proj!AP156*0.086*$J$132)/(1-tech_proj!AP436))</f>
        <v>11.8741472888375</v>
      </c>
      <c r="AQ1776" s="125">
        <f>IF(tech_base!$T32&gt;AQ$1745,"",(tech_base!$K32/tech_proj!AQ156*0.086*$J$132)/(1-tech_proj!AQ436))</f>
        <v>11.858743057537165</v>
      </c>
      <c r="AR1776" s="125">
        <f>IF(tech_base!$T32&gt;AR$1745,"",(tech_base!$K32/tech_proj!AR156*0.086*$J$132)/(1-tech_proj!AR436))</f>
        <v>11.839359581797202</v>
      </c>
      <c r="AS1776" s="125">
        <f>IF(tech_base!$T32&gt;AS$1745,"",(tech_base!$K32/tech_proj!AS156*0.086*$J$132)/(1-tech_proj!AS436))</f>
        <v>11.815102350624773</v>
      </c>
      <c r="AT1776" s="125">
        <f>IF(tech_base!$T32&gt;AT$1745,"",(tech_base!$K32/tech_proj!AT156*0.086*$J$132)/(1-tech_proj!AT436))</f>
        <v>11.78495420232254</v>
      </c>
      <c r="AU1776" s="125">
        <f>IF(tech_base!$T32&gt;AU$1745,"",(tech_base!$K32/tech_proj!AU156*0.086*$J$132)/(1-tech_proj!AU436))</f>
        <v>11.747805041694267</v>
      </c>
      <c r="AV1776" s="125">
        <f>IF(tech_base!$T32&gt;AV$1745,"",(tech_base!$K32/tech_proj!AV156*0.086*$J$132)/(1-tech_proj!AV436))</f>
        <v>11.702513573972054</v>
      </c>
      <c r="AW1776" s="125">
        <f>IF(tech_base!$T32&gt;AW$1745,"",(tech_base!$K32/tech_proj!AW156*0.086*$J$132)/(1-tech_proj!AW436))</f>
        <v>11.648011514147255</v>
      </c>
      <c r="AX1776" s="126">
        <f>IF(tech_base!$T32&gt;AX$1745,"",(tech_base!$K32/tech_proj!AX156*0.086*$J$132)/(1-tech_proj!AX436))</f>
        <v>11.583456851705868</v>
      </c>
    </row>
    <row r="1777" spans="1:50" x14ac:dyDescent="0.25">
      <c r="A1777" s="356"/>
      <c r="B1777" s="376"/>
      <c r="C1777" s="361" t="s">
        <v>16</v>
      </c>
      <c r="D1777" s="2" t="s">
        <v>7</v>
      </c>
      <c r="E1777" s="160" t="str">
        <f>A1753&amp;"/"&amp;B1769&amp;"/"&amp;C1777&amp;"/"&amp;D1777</f>
        <v>Coal fired power plants/Fluidized bed combustion/CHP with CCS/L</v>
      </c>
      <c r="F1777" s="76" t="str">
        <f>A1753</f>
        <v>Coal fired power plants</v>
      </c>
      <c r="G1777" s="76" t="str">
        <f>B1769</f>
        <v>Fluidized bed combustion</v>
      </c>
      <c r="H1777" s="76" t="str">
        <f>C1777</f>
        <v>CHP with CCS</v>
      </c>
      <c r="I1777" s="161" t="str">
        <f t="shared" si="382"/>
        <v>L</v>
      </c>
      <c r="J1777" s="119" t="str">
        <f>IF(tech_base!$T33&gt;J$1745,"",(tech_base!$K33/tech_proj!J157*0.086*$J$132)/(1-tech_proj!J437))</f>
        <v/>
      </c>
      <c r="K1777" s="119" t="str">
        <f>IF(tech_base!$T33&gt;K$1745,"",(tech_base!$K33/tech_proj!K157*0.086*$J$132)/(1-tech_proj!K437))</f>
        <v/>
      </c>
      <c r="L1777" s="119" t="str">
        <f>IF(tech_base!$T33&gt;L$1745,"",(tech_base!$K33/tech_proj!L157*0.086*$J$132)/(1-tech_proj!L437))</f>
        <v/>
      </c>
      <c r="M1777" s="119" t="str">
        <f>IF(tech_base!$T33&gt;M$1745,"",(tech_base!$K33/tech_proj!M157*0.086*$J$132)/(1-tech_proj!M437))</f>
        <v/>
      </c>
      <c r="N1777" s="119" t="str">
        <f>IF(tech_base!$T33&gt;N$1745,"",(tech_base!$K33/tech_proj!N157*0.086*$J$132)/(1-tech_proj!N437))</f>
        <v/>
      </c>
      <c r="O1777" s="119" t="str">
        <f>IF(tech_base!$T33&gt;O$1745,"",(tech_base!$K33/tech_proj!O157*0.086*$J$132)/(1-tech_proj!O437))</f>
        <v/>
      </c>
      <c r="P1777" s="119" t="str">
        <f>IF(tech_base!$T33&gt;P$1745,"",(tech_base!$K33/tech_proj!P157*0.086*$J$132)/(1-tech_proj!P437))</f>
        <v/>
      </c>
      <c r="Q1777" s="119" t="str">
        <f>IF(tech_base!$T33&gt;Q$1745,"",(tech_base!$K33/tech_proj!Q157*0.086*$J$132)/(1-tech_proj!Q437))</f>
        <v/>
      </c>
      <c r="R1777" s="119" t="str">
        <f>IF(tech_base!$T33&gt;R$1745,"",(tech_base!$K33/tech_proj!R157*0.086*$J$132)/(1-tech_proj!R437))</f>
        <v/>
      </c>
      <c r="S1777" s="119" t="str">
        <f>IF(tech_base!$T33&gt;S$1745,"",(tech_base!$K33/tech_proj!S157*0.086*$J$132)/(1-tech_proj!S437))</f>
        <v/>
      </c>
      <c r="T1777" s="119" t="str">
        <f>IF(tech_base!$T33&gt;T$1745,"",(tech_base!$K33/tech_proj!T157*0.086*$J$132)/(1-tech_proj!T437))</f>
        <v/>
      </c>
      <c r="U1777" s="119" t="str">
        <f>IF(tech_base!$T33&gt;U$1745,"",(tech_base!$K33/tech_proj!U157*0.086*$J$132)/(1-tech_proj!U437))</f>
        <v/>
      </c>
      <c r="V1777" s="119" t="str">
        <f>IF(tech_base!$T33&gt;V$1745,"",(tech_base!$K33/tech_proj!V157*0.086*$J$132)/(1-tech_proj!V437))</f>
        <v/>
      </c>
      <c r="W1777" s="119" t="str">
        <f>IF(tech_base!$T33&gt;W$1745,"",(tech_base!$K33/tech_proj!W157*0.086*$J$132)/(1-tech_proj!W437))</f>
        <v/>
      </c>
      <c r="X1777" s="119" t="str">
        <f>IF(tech_base!$T33&gt;X$1745,"",(tech_base!$K33/tech_proj!X157*0.086*$J$132)/(1-tech_proj!X437))</f>
        <v/>
      </c>
      <c r="Y1777" s="119" t="str">
        <f>IF(tech_base!$T33&gt;Y$1745,"",(tech_base!$K33/tech_proj!Y157*0.086*$J$132)/(1-tech_proj!Y437))</f>
        <v/>
      </c>
      <c r="Z1777" s="119" t="str">
        <f>IF(tech_base!$T33&gt;Z$1745,"",(tech_base!$K33/tech_proj!Z157*0.086*$J$132)/(1-tech_proj!Z437))</f>
        <v/>
      </c>
      <c r="AA1777" s="119" t="str">
        <f>IF(tech_base!$T33&gt;AA$1745,"",(tech_base!$K33/tech_proj!AA157*0.086*$J$132)/(1-tech_proj!AA437))</f>
        <v/>
      </c>
      <c r="AB1777" s="119" t="str">
        <f>IF(tech_base!$T33&gt;AB$1745,"",(tech_base!$K33/tech_proj!AB157*0.086*$J$132)/(1-tech_proj!AB437))</f>
        <v/>
      </c>
      <c r="AC1777" s="119" t="str">
        <f>IF(tech_base!$T33&gt;AC$1745,"",(tech_base!$K33/tech_proj!AC157*0.086*$J$132)/(1-tech_proj!AC437))</f>
        <v/>
      </c>
      <c r="AD1777" s="119" t="str">
        <f>IF(tech_base!$T33&gt;AD$1745,"",(tech_base!$K33/tech_proj!AD157*0.086*$J$132)/(1-tech_proj!AD437))</f>
        <v/>
      </c>
      <c r="AE1777" s="119">
        <f>IF(tech_base!$T33&gt;AE$1745,"",(tech_base!$K33/tech_proj!AE157*0.086*$J$132)/(1-tech_proj!AE437))</f>
        <v>12.680534788945938</v>
      </c>
      <c r="AF1777" s="119">
        <f>IF(tech_base!$T33&gt;AF$1745,"",(tech_base!$K33/tech_proj!AF157*0.086*$J$132)/(1-tech_proj!AF437))</f>
        <v>12.67963852836693</v>
      </c>
      <c r="AG1777" s="119">
        <f>IF(tech_base!$T33&gt;AG$1745,"",(tech_base!$K33/tech_proj!AG157*0.086*$J$132)/(1-tech_proj!AG437))</f>
        <v>12.678489298911842</v>
      </c>
      <c r="AH1777" s="119">
        <f>IF(tech_base!$T33&gt;AH$1745,"",(tech_base!$K33/tech_proj!AH157*0.086*$J$132)/(1-tech_proj!AH437))</f>
        <v>12.677016277761512</v>
      </c>
      <c r="AI1777" s="119">
        <f>IF(tech_base!$T33&gt;AI$1745,"",(tech_base!$K33/tech_proj!AI157*0.086*$J$132)/(1-tech_proj!AI437))</f>
        <v>12.675129186119229</v>
      </c>
      <c r="AJ1777" s="119">
        <f>IF(tech_base!$T33&gt;AJ$1745,"",(tech_base!$K33/tech_proj!AJ157*0.086*$J$132)/(1-tech_proj!AJ437))</f>
        <v>12.672713183769408</v>
      </c>
      <c r="AK1777" s="119">
        <f>IF(tech_base!$T33&gt;AK$1745,"",(tech_base!$K33/tech_proj!AK157*0.086*$J$132)/(1-tech_proj!AK437))</f>
        <v>12.669622578369509</v>
      </c>
      <c r="AL1777" s="119">
        <f>IF(tech_base!$T33&gt;AL$1745,"",(tech_base!$K33/tech_proj!AL157*0.086*$J$132)/(1-tech_proj!AL437))</f>
        <v>12.665673175876012</v>
      </c>
      <c r="AM1777" s="119">
        <f>IF(tech_base!$T33&gt;AM$1745,"",(tech_base!$K33/tech_proj!AM157*0.086*$J$132)/(1-tech_proj!AM437))</f>
        <v>12.660633145556849</v>
      </c>
      <c r="AN1777" s="119">
        <f>IF(tech_base!$T33&gt;AN$1745,"",(tech_base!$K33/tech_proj!AN157*0.086*$J$132)/(1-tech_proj!AN437))</f>
        <v>12.654212386036217</v>
      </c>
      <c r="AO1777" s="119">
        <f>IF(tech_base!$T33&gt;AO$1745,"",(tech_base!$K33/tech_proj!AO157*0.086*$J$132)/(1-tech_proj!AO437))</f>
        <v>12.646050600444324</v>
      </c>
      <c r="AP1777" s="119">
        <f>IF(tech_base!$T33&gt;AP$1745,"",(tech_base!$K33/tech_proj!AP157*0.086*$J$132)/(1-tech_proj!AP437))</f>
        <v>12.635704679556628</v>
      </c>
      <c r="AQ1777" s="119">
        <f>IF(tech_base!$T33&gt;AQ$1745,"",(tech_base!$K33/tech_proj!AQ157*0.086*$J$132)/(1-tech_proj!AQ437))</f>
        <v>12.622636630389396</v>
      </c>
      <c r="AR1777" s="119">
        <f>IF(tech_base!$T33&gt;AR$1745,"",(tech_base!$K33/tech_proj!AR157*0.086*$J$132)/(1-tech_proj!AR437))</f>
        <v>12.606204261538116</v>
      </c>
      <c r="AS1777" s="119">
        <f>IF(tech_base!$T33&gt;AS$1745,"",(tech_base!$K33/tech_proj!AS157*0.086*$J$132)/(1-tech_proj!AS437))</f>
        <v>12.585658212416892</v>
      </c>
      <c r="AT1777" s="119">
        <f>IF(tech_base!$T33&gt;AT$1745,"",(tech_base!$K33/tech_proj!AT157*0.086*$J$132)/(1-tech_proj!AT437))</f>
        <v>12.560150670738849</v>
      </c>
      <c r="AU1777" s="119">
        <f>IF(tech_base!$T33&gt;AU$1745,"",(tech_base!$K33/tech_proj!AU157*0.086*$J$132)/(1-tech_proj!AU437))</f>
        <v>12.528763029326216</v>
      </c>
      <c r="AV1777" s="119">
        <f>IF(tech_base!$T33&gt;AV$1745,"",(tech_base!$K33/tech_proj!AV157*0.086*$J$132)/(1-tech_proj!AV437))</f>
        <v>12.490561161656091</v>
      </c>
      <c r="AW1777" s="119">
        <f>IF(tech_base!$T33&gt;AW$1745,"",(tech_base!$K33/tech_proj!AW157*0.086*$J$132)/(1-tech_proj!AW437))</f>
        <v>12.444686722044711</v>
      </c>
      <c r="AX1777" s="120">
        <f>IF(tech_base!$T33&gt;AX$1745,"",(tech_base!$K33/tech_proj!AX157*0.086*$J$132)/(1-tech_proj!AX437))</f>
        <v>12.39048903542481</v>
      </c>
    </row>
    <row r="1778" spans="1:50" x14ac:dyDescent="0.25">
      <c r="A1778" s="356"/>
      <c r="B1778" s="380"/>
      <c r="C1778" s="381"/>
      <c r="D1778" s="4" t="s">
        <v>8</v>
      </c>
      <c r="E1778" s="168" t="str">
        <f>A1753&amp;"/"&amp;B1769&amp;"/"&amp;C1777&amp;"/"&amp;D1778</f>
        <v>Coal fired power plants/Fluidized bed combustion/CHP with CCS/M</v>
      </c>
      <c r="F1778" s="80" t="str">
        <f>A1753</f>
        <v>Coal fired power plants</v>
      </c>
      <c r="G1778" s="80" t="str">
        <f>B1769</f>
        <v>Fluidized bed combustion</v>
      </c>
      <c r="H1778" s="80" t="str">
        <f>C1777</f>
        <v>CHP with CCS</v>
      </c>
      <c r="I1778" s="169" t="str">
        <f t="shared" si="382"/>
        <v>M</v>
      </c>
      <c r="J1778" s="127" t="str">
        <f>IF(tech_base!$T34&gt;J$1745,"",(tech_base!$K34/tech_proj!J158*0.086*$J$132)/(1-tech_proj!J438))</f>
        <v/>
      </c>
      <c r="K1778" s="127" t="str">
        <f>IF(tech_base!$T34&gt;K$1745,"",(tech_base!$K34/tech_proj!K158*0.086*$J$132)/(1-tech_proj!K438))</f>
        <v/>
      </c>
      <c r="L1778" s="127" t="str">
        <f>IF(tech_base!$T34&gt;L$1745,"",(tech_base!$K34/tech_proj!L158*0.086*$J$132)/(1-tech_proj!L438))</f>
        <v/>
      </c>
      <c r="M1778" s="127" t="str">
        <f>IF(tech_base!$T34&gt;M$1745,"",(tech_base!$K34/tech_proj!M158*0.086*$J$132)/(1-tech_proj!M438))</f>
        <v/>
      </c>
      <c r="N1778" s="127" t="str">
        <f>IF(tech_base!$T34&gt;N$1745,"",(tech_base!$K34/tech_proj!N158*0.086*$J$132)/(1-tech_proj!N438))</f>
        <v/>
      </c>
      <c r="O1778" s="127" t="str">
        <f>IF(tech_base!$T34&gt;O$1745,"",(tech_base!$K34/tech_proj!O158*0.086*$J$132)/(1-tech_proj!O438))</f>
        <v/>
      </c>
      <c r="P1778" s="127" t="str">
        <f>IF(tech_base!$T34&gt;P$1745,"",(tech_base!$K34/tech_proj!P158*0.086*$J$132)/(1-tech_proj!P438))</f>
        <v/>
      </c>
      <c r="Q1778" s="127" t="str">
        <f>IF(tech_base!$T34&gt;Q$1745,"",(tech_base!$K34/tech_proj!Q158*0.086*$J$132)/(1-tech_proj!Q438))</f>
        <v/>
      </c>
      <c r="R1778" s="127" t="str">
        <f>IF(tech_base!$T34&gt;R$1745,"",(tech_base!$K34/tech_proj!R158*0.086*$J$132)/(1-tech_proj!R438))</f>
        <v/>
      </c>
      <c r="S1778" s="127" t="str">
        <f>IF(tech_base!$T34&gt;S$1745,"",(tech_base!$K34/tech_proj!S158*0.086*$J$132)/(1-tech_proj!S438))</f>
        <v/>
      </c>
      <c r="T1778" s="127" t="str">
        <f>IF(tech_base!$T34&gt;T$1745,"",(tech_base!$K34/tech_proj!T158*0.086*$J$132)/(1-tech_proj!T438))</f>
        <v/>
      </c>
      <c r="U1778" s="127" t="str">
        <f>IF(tech_base!$T34&gt;U$1745,"",(tech_base!$K34/tech_proj!U158*0.086*$J$132)/(1-tech_proj!U438))</f>
        <v/>
      </c>
      <c r="V1778" s="127" t="str">
        <f>IF(tech_base!$T34&gt;V$1745,"",(tech_base!$K34/tech_proj!V158*0.086*$J$132)/(1-tech_proj!V438))</f>
        <v/>
      </c>
      <c r="W1778" s="127" t="str">
        <f>IF(tech_base!$T34&gt;W$1745,"",(tech_base!$K34/tech_proj!W158*0.086*$J$132)/(1-tech_proj!W438))</f>
        <v/>
      </c>
      <c r="X1778" s="127" t="str">
        <f>IF(tech_base!$T34&gt;X$1745,"",(tech_base!$K34/tech_proj!X158*0.086*$J$132)/(1-tech_proj!X438))</f>
        <v/>
      </c>
      <c r="Y1778" s="127" t="str">
        <f>IF(tech_base!$T34&gt;Y$1745,"",(tech_base!$K34/tech_proj!Y158*0.086*$J$132)/(1-tech_proj!Y438))</f>
        <v/>
      </c>
      <c r="Z1778" s="127" t="str">
        <f>IF(tech_base!$T34&gt;Z$1745,"",(tech_base!$K34/tech_proj!Z158*0.086*$J$132)/(1-tech_proj!Z438))</f>
        <v/>
      </c>
      <c r="AA1778" s="127" t="str">
        <f>IF(tech_base!$T34&gt;AA$1745,"",(tech_base!$K34/tech_proj!AA158*0.086*$J$132)/(1-tech_proj!AA438))</f>
        <v/>
      </c>
      <c r="AB1778" s="127" t="str">
        <f>IF(tech_base!$T34&gt;AB$1745,"",(tech_base!$K34/tech_proj!AB158*0.086*$J$132)/(1-tech_proj!AB438))</f>
        <v/>
      </c>
      <c r="AC1778" s="127" t="str">
        <f>IF(tech_base!$T34&gt;AC$1745,"",(tech_base!$K34/tech_proj!AC158*0.086*$J$132)/(1-tech_proj!AC438))</f>
        <v/>
      </c>
      <c r="AD1778" s="127" t="str">
        <f>IF(tech_base!$T34&gt;AD$1745,"",(tech_base!$K34/tech_proj!AD158*0.086*$J$132)/(1-tech_proj!AD438))</f>
        <v/>
      </c>
      <c r="AE1778" s="127">
        <f>IF(tech_base!$T34&gt;AE$1745,"",(tech_base!$K34/tech_proj!AE158*0.086*$J$132)/(1-tech_proj!AE438))</f>
        <v>13.534568337710716</v>
      </c>
      <c r="AF1778" s="127">
        <f>IF(tech_base!$T34&gt;AF$1745,"",(tech_base!$K34/tech_proj!AF158*0.086*$J$132)/(1-tech_proj!AF438))</f>
        <v>13.533531916384272</v>
      </c>
      <c r="AG1778" s="127">
        <f>IF(tech_base!$T34&gt;AG$1745,"",(tech_base!$K34/tech_proj!AG158*0.086*$J$132)/(1-tech_proj!AG438))</f>
        <v>13.53220294504778</v>
      </c>
      <c r="AH1778" s="127">
        <f>IF(tech_base!$T34&gt;AH$1745,"",(tech_base!$K34/tech_proj!AH158*0.086*$J$132)/(1-tech_proj!AH438))</f>
        <v>13.530499506015333</v>
      </c>
      <c r="AI1778" s="127">
        <f>IF(tech_base!$T34&gt;AI$1745,"",(tech_base!$K34/tech_proj!AI158*0.086*$J$132)/(1-tech_proj!AI438))</f>
        <v>13.528317169013478</v>
      </c>
      <c r="AJ1778" s="127">
        <f>IF(tech_base!$T34&gt;AJ$1745,"",(tech_base!$K34/tech_proj!AJ158*0.086*$J$132)/(1-tech_proj!AJ438))</f>
        <v>13.525523078005083</v>
      </c>
      <c r="AK1778" s="127">
        <f>IF(tech_base!$T34&gt;AK$1745,"",(tech_base!$K34/tech_proj!AK158*0.086*$J$132)/(1-tech_proj!AK438))</f>
        <v>13.521948661470132</v>
      </c>
      <c r="AL1778" s="127">
        <f>IF(tech_base!$T34&gt;AL$1745,"",(tech_base!$K34/tech_proj!AL158*0.086*$J$132)/(1-tech_proj!AL438))</f>
        <v>13.517380761806026</v>
      </c>
      <c r="AM1778" s="127">
        <f>IF(tech_base!$T34&gt;AM$1745,"",(tech_base!$K34/tech_proj!AM158*0.086*$J$132)/(1-tech_proj!AM438))</f>
        <v>13.511551031889185</v>
      </c>
      <c r="AN1778" s="127">
        <f>IF(tech_base!$T34&gt;AN$1745,"",(tech_base!$K34/tech_proj!AN158*0.086*$J$132)/(1-tech_proj!AN438))</f>
        <v>13.504123574471564</v>
      </c>
      <c r="AO1778" s="127">
        <f>IF(tech_base!$T34&gt;AO$1745,"",(tech_base!$K34/tech_proj!AO158*0.086*$J$132)/(1-tech_proj!AO438))</f>
        <v>13.494681052008749</v>
      </c>
      <c r="AP1778" s="127">
        <f>IF(tech_base!$T34&gt;AP$1745,"",(tech_base!$K34/tech_proj!AP158*0.086*$J$132)/(1-tech_proj!AP438))</f>
        <v>13.482709940498795</v>
      </c>
      <c r="AQ1778" s="127">
        <f>IF(tech_base!$T34&gt;AQ$1745,"",(tech_base!$K34/tech_proj!AQ158*0.086*$J$132)/(1-tech_proj!AQ438))</f>
        <v>13.467586331941328</v>
      </c>
      <c r="AR1778" s="127">
        <f>IF(tech_base!$T34&gt;AR$1745,"",(tech_base!$K34/tech_proj!AR158*0.086*$J$132)/(1-tech_proj!AR438))</f>
        <v>13.448564808331549</v>
      </c>
      <c r="AS1778" s="127">
        <f>IF(tech_base!$T34&gt;AS$1745,"",(tech_base!$K34/tech_proj!AS158*0.086*$J$132)/(1-tech_proj!AS438))</f>
        <v>13.424774496097848</v>
      </c>
      <c r="AT1778" s="127">
        <f>IF(tech_base!$T34&gt;AT$1745,"",(tech_base!$K34/tech_proj!AT158*0.086*$J$132)/(1-tech_proj!AT438))</f>
        <v>13.395228446524413</v>
      </c>
      <c r="AU1778" s="127">
        <f>IF(tech_base!$T34&gt;AU$1745,"",(tech_base!$K34/tech_proj!AU158*0.086*$J$132)/(1-tech_proj!AU438))</f>
        <v>13.358854719729399</v>
      </c>
      <c r="AV1778" s="127">
        <f>IF(tech_base!$T34&gt;AV$1745,"",(tech_base!$K34/tech_proj!AV158*0.086*$J$132)/(1-tech_proj!AV438))</f>
        <v>13.314559270413545</v>
      </c>
      <c r="AW1778" s="127">
        <f>IF(tech_base!$T34&gt;AW$1745,"",(tech_base!$K34/tech_proj!AW158*0.086*$J$132)/(1-tech_proj!AW438))</f>
        <v>13.261330550277204</v>
      </c>
      <c r="AX1778" s="128">
        <f>IF(tech_base!$T34&gt;AX$1745,"",(tech_base!$K34/tech_proj!AX158*0.086*$J$132)/(1-tech_proj!AX438))</f>
        <v>13.198391506838835</v>
      </c>
    </row>
    <row r="1779" spans="1:50" x14ac:dyDescent="0.25">
      <c r="A1779" s="356"/>
      <c r="B1779" s="358" t="s">
        <v>19</v>
      </c>
      <c r="C1779" s="353" t="s">
        <v>6</v>
      </c>
      <c r="D1779" s="3" t="s">
        <v>7</v>
      </c>
      <c r="E1779" s="162" t="str">
        <f>A1753&amp;"/"&amp;B1779&amp;"/"&amp;C1779&amp;"/"&amp;D1779</f>
        <v>Coal fired power plants/Steam turbine/Electricity only/L</v>
      </c>
      <c r="F1779" s="77" t="str">
        <f>A1753</f>
        <v>Coal fired power plants</v>
      </c>
      <c r="G1779" s="77" t="str">
        <f>B1779</f>
        <v>Steam turbine</v>
      </c>
      <c r="H1779" s="77" t="str">
        <f>C1779</f>
        <v>Electricity only</v>
      </c>
      <c r="I1779" s="163" t="str">
        <f t="shared" si="382"/>
        <v>L</v>
      </c>
      <c r="J1779" s="121">
        <f>IF(tech_base!$T35&gt;J$1745,"",(tech_base!$K35/tech_proj!J159*0.086*$J$132)/(1-tech_proj!J439))</f>
        <v>0</v>
      </c>
      <c r="K1779" s="121">
        <f>IF(tech_base!$T35&gt;K$1745,"",(tech_base!$K35/tech_proj!K159*0.086*$J$132)/(1-tech_proj!K439))</f>
        <v>0</v>
      </c>
      <c r="L1779" s="121">
        <f>IF(tech_base!$T35&gt;L$1745,"",(tech_base!$K35/tech_proj!L159*0.086*$J$132)/(1-tech_proj!L439))</f>
        <v>0</v>
      </c>
      <c r="M1779" s="121">
        <f>IF(tech_base!$T35&gt;M$1745,"",(tech_base!$K35/tech_proj!M159*0.086*$J$132)/(1-tech_proj!M439))</f>
        <v>0</v>
      </c>
      <c r="N1779" s="121">
        <f>IF(tech_base!$T35&gt;N$1745,"",(tech_base!$K35/tech_proj!N159*0.086*$J$132)/(1-tech_proj!N439))</f>
        <v>0</v>
      </c>
      <c r="O1779" s="121">
        <f>IF(tech_base!$T35&gt;O$1745,"",(tech_base!$K35/tech_proj!O159*0.086*$J$132)/(1-tech_proj!O439))</f>
        <v>0</v>
      </c>
      <c r="P1779" s="121">
        <f>IF(tech_base!$T35&gt;P$1745,"",(tech_base!$K35/tech_proj!P159*0.086*$J$132)/(1-tech_proj!P439))</f>
        <v>0</v>
      </c>
      <c r="Q1779" s="121">
        <f>IF(tech_base!$T35&gt;Q$1745,"",(tech_base!$K35/tech_proj!Q159*0.086*$J$132)/(1-tech_proj!Q439))</f>
        <v>0</v>
      </c>
      <c r="R1779" s="121">
        <f>IF(tech_base!$T35&gt;R$1745,"",(tech_base!$K35/tech_proj!R159*0.086*$J$132)/(1-tech_proj!R439))</f>
        <v>0</v>
      </c>
      <c r="S1779" s="121">
        <f>IF(tech_base!$T35&gt;S$1745,"",(tech_base!$K35/tech_proj!S159*0.086*$J$132)/(1-tech_proj!S439))</f>
        <v>0</v>
      </c>
      <c r="T1779" s="121">
        <f>IF(tech_base!$T35&gt;T$1745,"",(tech_base!$K35/tech_proj!T159*0.086*$J$132)/(1-tech_proj!T439))</f>
        <v>0</v>
      </c>
      <c r="U1779" s="121">
        <f>IF(tech_base!$T35&gt;U$1745,"",(tech_base!$K35/tech_proj!U159*0.086*$J$132)/(1-tech_proj!U439))</f>
        <v>0</v>
      </c>
      <c r="V1779" s="121">
        <f>IF(tech_base!$T35&gt;V$1745,"",(tech_base!$K35/tech_proj!V159*0.086*$J$132)/(1-tech_proj!V439))</f>
        <v>0</v>
      </c>
      <c r="W1779" s="121">
        <f>IF(tech_base!$T35&gt;W$1745,"",(tech_base!$K35/tech_proj!W159*0.086*$J$132)/(1-tech_proj!W439))</f>
        <v>0</v>
      </c>
      <c r="X1779" s="121">
        <f>IF(tech_base!$T35&gt;X$1745,"",(tech_base!$K35/tech_proj!X159*0.086*$J$132)/(1-tech_proj!X439))</f>
        <v>0</v>
      </c>
      <c r="Y1779" s="121">
        <f>IF(tech_base!$T35&gt;Y$1745,"",(tech_base!$K35/tech_proj!Y159*0.086*$J$132)/(1-tech_proj!Y439))</f>
        <v>0</v>
      </c>
      <c r="Z1779" s="121">
        <f>IF(tech_base!$T35&gt;Z$1745,"",(tech_base!$K35/tech_proj!Z159*0.086*$J$132)/(1-tech_proj!Z439))</f>
        <v>0</v>
      </c>
      <c r="AA1779" s="121">
        <f>IF(tech_base!$T35&gt;AA$1745,"",(tech_base!$K35/tech_proj!AA159*0.086*$J$132)/(1-tech_proj!AA439))</f>
        <v>0</v>
      </c>
      <c r="AB1779" s="121">
        <f>IF(tech_base!$T35&gt;AB$1745,"",(tech_base!$K35/tech_proj!AB159*0.086*$J$132)/(1-tech_proj!AB439))</f>
        <v>0</v>
      </c>
      <c r="AC1779" s="121">
        <f>IF(tech_base!$T35&gt;AC$1745,"",(tech_base!$K35/tech_proj!AC159*0.086*$J$132)/(1-tech_proj!AC439))</f>
        <v>0</v>
      </c>
      <c r="AD1779" s="121">
        <f>IF(tech_base!$T35&gt;AD$1745,"",(tech_base!$K35/tech_proj!AD159*0.086*$J$132)/(1-tech_proj!AD439))</f>
        <v>0</v>
      </c>
      <c r="AE1779" s="121">
        <f>IF(tech_base!$T35&gt;AE$1745,"",(tech_base!$K35/tech_proj!AE159*0.086*$J$132)/(1-tech_proj!AE439))</f>
        <v>0</v>
      </c>
      <c r="AF1779" s="121">
        <f>IF(tech_base!$T35&gt;AF$1745,"",(tech_base!$K35/tech_proj!AF159*0.086*$J$132)/(1-tech_proj!AF439))</f>
        <v>0</v>
      </c>
      <c r="AG1779" s="121">
        <f>IF(tech_base!$T35&gt;AG$1745,"",(tech_base!$K35/tech_proj!AG159*0.086*$J$132)/(1-tech_proj!AG439))</f>
        <v>0</v>
      </c>
      <c r="AH1779" s="121">
        <f>IF(tech_base!$T35&gt;AH$1745,"",(tech_base!$K35/tech_proj!AH159*0.086*$J$132)/(1-tech_proj!AH439))</f>
        <v>0</v>
      </c>
      <c r="AI1779" s="121">
        <f>IF(tech_base!$T35&gt;AI$1745,"",(tech_base!$K35/tech_proj!AI159*0.086*$J$132)/(1-tech_proj!AI439))</f>
        <v>0</v>
      </c>
      <c r="AJ1779" s="121">
        <f>IF(tech_base!$T35&gt;AJ$1745,"",(tech_base!$K35/tech_proj!AJ159*0.086*$J$132)/(1-tech_proj!AJ439))</f>
        <v>0</v>
      </c>
      <c r="AK1779" s="121">
        <f>IF(tech_base!$T35&gt;AK$1745,"",(tech_base!$K35/tech_proj!AK159*0.086*$J$132)/(1-tech_proj!AK439))</f>
        <v>0</v>
      </c>
      <c r="AL1779" s="121">
        <f>IF(tech_base!$T35&gt;AL$1745,"",(tech_base!$K35/tech_proj!AL159*0.086*$J$132)/(1-tech_proj!AL439))</f>
        <v>0</v>
      </c>
      <c r="AM1779" s="121">
        <f>IF(tech_base!$T35&gt;AM$1745,"",(tech_base!$K35/tech_proj!AM159*0.086*$J$132)/(1-tech_proj!AM439))</f>
        <v>0</v>
      </c>
      <c r="AN1779" s="121">
        <f>IF(tech_base!$T35&gt;AN$1745,"",(tech_base!$K35/tech_proj!AN159*0.086*$J$132)/(1-tech_proj!AN439))</f>
        <v>0</v>
      </c>
      <c r="AO1779" s="121">
        <f>IF(tech_base!$T35&gt;AO$1745,"",(tech_base!$K35/tech_proj!AO159*0.086*$J$132)/(1-tech_proj!AO439))</f>
        <v>0</v>
      </c>
      <c r="AP1779" s="121">
        <f>IF(tech_base!$T35&gt;AP$1745,"",(tech_base!$K35/tech_proj!AP159*0.086*$J$132)/(1-tech_proj!AP439))</f>
        <v>0</v>
      </c>
      <c r="AQ1779" s="121">
        <f>IF(tech_base!$T35&gt;AQ$1745,"",(tech_base!$K35/tech_proj!AQ159*0.086*$J$132)/(1-tech_proj!AQ439))</f>
        <v>0</v>
      </c>
      <c r="AR1779" s="121">
        <f>IF(tech_base!$T35&gt;AR$1745,"",(tech_base!$K35/tech_proj!AR159*0.086*$J$132)/(1-tech_proj!AR439))</f>
        <v>0</v>
      </c>
      <c r="AS1779" s="121">
        <f>IF(tech_base!$T35&gt;AS$1745,"",(tech_base!$K35/tech_proj!AS159*0.086*$J$132)/(1-tech_proj!AS439))</f>
        <v>0</v>
      </c>
      <c r="AT1779" s="121">
        <f>IF(tech_base!$T35&gt;AT$1745,"",(tech_base!$K35/tech_proj!AT159*0.086*$J$132)/(1-tech_proj!AT439))</f>
        <v>0</v>
      </c>
      <c r="AU1779" s="121">
        <f>IF(tech_base!$T35&gt;AU$1745,"",(tech_base!$K35/tech_proj!AU159*0.086*$J$132)/(1-tech_proj!AU439))</f>
        <v>0</v>
      </c>
      <c r="AV1779" s="121">
        <f>IF(tech_base!$T35&gt;AV$1745,"",(tech_base!$K35/tech_proj!AV159*0.086*$J$132)/(1-tech_proj!AV439))</f>
        <v>0</v>
      </c>
      <c r="AW1779" s="121">
        <f>IF(tech_base!$T35&gt;AW$1745,"",(tech_base!$K35/tech_proj!AW159*0.086*$J$132)/(1-tech_proj!AW439))</f>
        <v>0</v>
      </c>
      <c r="AX1779" s="122">
        <f>IF(tech_base!$T35&gt;AX$1745,"",(tech_base!$K35/tech_proj!AX159*0.086*$J$132)/(1-tech_proj!AX439))</f>
        <v>0</v>
      </c>
    </row>
    <row r="1780" spans="1:50" x14ac:dyDescent="0.25">
      <c r="A1780" s="356"/>
      <c r="B1780" s="376"/>
      <c r="C1780" s="378"/>
      <c r="D1780" s="2" t="s">
        <v>8</v>
      </c>
      <c r="E1780" s="160" t="str">
        <f>A1753&amp;"/"&amp;B1779&amp;"/"&amp;C1779&amp;"/"&amp;D1780</f>
        <v>Coal fired power plants/Steam turbine/Electricity only/M</v>
      </c>
      <c r="F1780" s="76" t="str">
        <f>A1753</f>
        <v>Coal fired power plants</v>
      </c>
      <c r="G1780" s="76" t="str">
        <f>B1779</f>
        <v>Steam turbine</v>
      </c>
      <c r="H1780" s="76" t="str">
        <f>C1779</f>
        <v>Electricity only</v>
      </c>
      <c r="I1780" s="161" t="str">
        <f t="shared" si="382"/>
        <v>M</v>
      </c>
      <c r="J1780" s="119">
        <f>IF(tech_base!$T36&gt;J$1745,"",(tech_base!$K36/tech_proj!J160*0.086*$J$132)/(1-tech_proj!J440))</f>
        <v>0</v>
      </c>
      <c r="K1780" s="119">
        <f>IF(tech_base!$T36&gt;K$1745,"",(tech_base!$K36/tech_proj!K160*0.086*$J$132)/(1-tech_proj!K440))</f>
        <v>0</v>
      </c>
      <c r="L1780" s="119">
        <f>IF(tech_base!$T36&gt;L$1745,"",(tech_base!$K36/tech_proj!L160*0.086*$J$132)/(1-tech_proj!L440))</f>
        <v>0</v>
      </c>
      <c r="M1780" s="119">
        <f>IF(tech_base!$T36&gt;M$1745,"",(tech_base!$K36/tech_proj!M160*0.086*$J$132)/(1-tech_proj!M440))</f>
        <v>0</v>
      </c>
      <c r="N1780" s="119">
        <f>IF(tech_base!$T36&gt;N$1745,"",(tech_base!$K36/tech_proj!N160*0.086*$J$132)/(1-tech_proj!N440))</f>
        <v>0</v>
      </c>
      <c r="O1780" s="119">
        <f>IF(tech_base!$T36&gt;O$1745,"",(tech_base!$K36/tech_proj!O160*0.086*$J$132)/(1-tech_proj!O440))</f>
        <v>0</v>
      </c>
      <c r="P1780" s="119">
        <f>IF(tech_base!$T36&gt;P$1745,"",(tech_base!$K36/tech_proj!P160*0.086*$J$132)/(1-tech_proj!P440))</f>
        <v>0</v>
      </c>
      <c r="Q1780" s="119">
        <f>IF(tech_base!$T36&gt;Q$1745,"",(tech_base!$K36/tech_proj!Q160*0.086*$J$132)/(1-tech_proj!Q440))</f>
        <v>0</v>
      </c>
      <c r="R1780" s="119">
        <f>IF(tech_base!$T36&gt;R$1745,"",(tech_base!$K36/tech_proj!R160*0.086*$J$132)/(1-tech_proj!R440))</f>
        <v>0</v>
      </c>
      <c r="S1780" s="119">
        <f>IF(tech_base!$T36&gt;S$1745,"",(tech_base!$K36/tech_proj!S160*0.086*$J$132)/(1-tech_proj!S440))</f>
        <v>0</v>
      </c>
      <c r="T1780" s="119">
        <f>IF(tech_base!$T36&gt;T$1745,"",(tech_base!$K36/tech_proj!T160*0.086*$J$132)/(1-tech_proj!T440))</f>
        <v>0</v>
      </c>
      <c r="U1780" s="119">
        <f>IF(tech_base!$T36&gt;U$1745,"",(tech_base!$K36/tech_proj!U160*0.086*$J$132)/(1-tech_proj!U440))</f>
        <v>0</v>
      </c>
      <c r="V1780" s="119">
        <f>IF(tech_base!$T36&gt;V$1745,"",(tech_base!$K36/tech_proj!V160*0.086*$J$132)/(1-tech_proj!V440))</f>
        <v>0</v>
      </c>
      <c r="W1780" s="119">
        <f>IF(tech_base!$T36&gt;W$1745,"",(tech_base!$K36/tech_proj!W160*0.086*$J$132)/(1-tech_proj!W440))</f>
        <v>0</v>
      </c>
      <c r="X1780" s="119">
        <f>IF(tech_base!$T36&gt;X$1745,"",(tech_base!$K36/tech_proj!X160*0.086*$J$132)/(1-tech_proj!X440))</f>
        <v>0</v>
      </c>
      <c r="Y1780" s="119">
        <f>IF(tech_base!$T36&gt;Y$1745,"",(tech_base!$K36/tech_proj!Y160*0.086*$J$132)/(1-tech_proj!Y440))</f>
        <v>0</v>
      </c>
      <c r="Z1780" s="119">
        <f>IF(tech_base!$T36&gt;Z$1745,"",(tech_base!$K36/tech_proj!Z160*0.086*$J$132)/(1-tech_proj!Z440))</f>
        <v>0</v>
      </c>
      <c r="AA1780" s="119">
        <f>IF(tech_base!$T36&gt;AA$1745,"",(tech_base!$K36/tech_proj!AA160*0.086*$J$132)/(1-tech_proj!AA440))</f>
        <v>0</v>
      </c>
      <c r="AB1780" s="119">
        <f>IF(tech_base!$T36&gt;AB$1745,"",(tech_base!$K36/tech_proj!AB160*0.086*$J$132)/(1-tech_proj!AB440))</f>
        <v>0</v>
      </c>
      <c r="AC1780" s="119">
        <f>IF(tech_base!$T36&gt;AC$1745,"",(tech_base!$K36/tech_proj!AC160*0.086*$J$132)/(1-tech_proj!AC440))</f>
        <v>0</v>
      </c>
      <c r="AD1780" s="119">
        <f>IF(tech_base!$T36&gt;AD$1745,"",(tech_base!$K36/tech_proj!AD160*0.086*$J$132)/(1-tech_proj!AD440))</f>
        <v>0</v>
      </c>
      <c r="AE1780" s="119">
        <f>IF(tech_base!$T36&gt;AE$1745,"",(tech_base!$K36/tech_proj!AE160*0.086*$J$132)/(1-tech_proj!AE440))</f>
        <v>0</v>
      </c>
      <c r="AF1780" s="119">
        <f>IF(tech_base!$T36&gt;AF$1745,"",(tech_base!$K36/tech_proj!AF160*0.086*$J$132)/(1-tech_proj!AF440))</f>
        <v>0</v>
      </c>
      <c r="AG1780" s="119">
        <f>IF(tech_base!$T36&gt;AG$1745,"",(tech_base!$K36/tech_proj!AG160*0.086*$J$132)/(1-tech_proj!AG440))</f>
        <v>0</v>
      </c>
      <c r="AH1780" s="119">
        <f>IF(tech_base!$T36&gt;AH$1745,"",(tech_base!$K36/tech_proj!AH160*0.086*$J$132)/(1-tech_proj!AH440))</f>
        <v>0</v>
      </c>
      <c r="AI1780" s="119">
        <f>IF(tech_base!$T36&gt;AI$1745,"",(tech_base!$K36/tech_proj!AI160*0.086*$J$132)/(1-tech_proj!AI440))</f>
        <v>0</v>
      </c>
      <c r="AJ1780" s="119">
        <f>IF(tech_base!$T36&gt;AJ$1745,"",(tech_base!$K36/tech_proj!AJ160*0.086*$J$132)/(1-tech_proj!AJ440))</f>
        <v>0</v>
      </c>
      <c r="AK1780" s="119">
        <f>IF(tech_base!$T36&gt;AK$1745,"",(tech_base!$K36/tech_proj!AK160*0.086*$J$132)/(1-tech_proj!AK440))</f>
        <v>0</v>
      </c>
      <c r="AL1780" s="119">
        <f>IF(tech_base!$T36&gt;AL$1745,"",(tech_base!$K36/tech_proj!AL160*0.086*$J$132)/(1-tech_proj!AL440))</f>
        <v>0</v>
      </c>
      <c r="AM1780" s="119">
        <f>IF(tech_base!$T36&gt;AM$1745,"",(tech_base!$K36/tech_proj!AM160*0.086*$J$132)/(1-tech_proj!AM440))</f>
        <v>0</v>
      </c>
      <c r="AN1780" s="119">
        <f>IF(tech_base!$T36&gt;AN$1745,"",(tech_base!$K36/tech_proj!AN160*0.086*$J$132)/(1-tech_proj!AN440))</f>
        <v>0</v>
      </c>
      <c r="AO1780" s="119">
        <f>IF(tech_base!$T36&gt;AO$1745,"",(tech_base!$K36/tech_proj!AO160*0.086*$J$132)/(1-tech_proj!AO440))</f>
        <v>0</v>
      </c>
      <c r="AP1780" s="119">
        <f>IF(tech_base!$T36&gt;AP$1745,"",(tech_base!$K36/tech_proj!AP160*0.086*$J$132)/(1-tech_proj!AP440))</f>
        <v>0</v>
      </c>
      <c r="AQ1780" s="119">
        <f>IF(tech_base!$T36&gt;AQ$1745,"",(tech_base!$K36/tech_proj!AQ160*0.086*$J$132)/(1-tech_proj!AQ440))</f>
        <v>0</v>
      </c>
      <c r="AR1780" s="119">
        <f>IF(tech_base!$T36&gt;AR$1745,"",(tech_base!$K36/tech_proj!AR160*0.086*$J$132)/(1-tech_proj!AR440))</f>
        <v>0</v>
      </c>
      <c r="AS1780" s="119">
        <f>IF(tech_base!$T36&gt;AS$1745,"",(tech_base!$K36/tech_proj!AS160*0.086*$J$132)/(1-tech_proj!AS440))</f>
        <v>0</v>
      </c>
      <c r="AT1780" s="119">
        <f>IF(tech_base!$T36&gt;AT$1745,"",(tech_base!$K36/tech_proj!AT160*0.086*$J$132)/(1-tech_proj!AT440))</f>
        <v>0</v>
      </c>
      <c r="AU1780" s="119">
        <f>IF(tech_base!$T36&gt;AU$1745,"",(tech_base!$K36/tech_proj!AU160*0.086*$J$132)/(1-tech_proj!AU440))</f>
        <v>0</v>
      </c>
      <c r="AV1780" s="119">
        <f>IF(tech_base!$T36&gt;AV$1745,"",(tech_base!$K36/tech_proj!AV160*0.086*$J$132)/(1-tech_proj!AV440))</f>
        <v>0</v>
      </c>
      <c r="AW1780" s="119">
        <f>IF(tech_base!$T36&gt;AW$1745,"",(tech_base!$K36/tech_proj!AW160*0.086*$J$132)/(1-tech_proj!AW440))</f>
        <v>0</v>
      </c>
      <c r="AX1780" s="120">
        <f>IF(tech_base!$T36&gt;AX$1745,"",(tech_base!$K36/tech_proj!AX160*0.086*$J$132)/(1-tech_proj!AX440))</f>
        <v>0</v>
      </c>
    </row>
    <row r="1781" spans="1:50" x14ac:dyDescent="0.25">
      <c r="A1781" s="356"/>
      <c r="B1781" s="376"/>
      <c r="C1781" s="378"/>
      <c r="D1781" s="2" t="s">
        <v>10</v>
      </c>
      <c r="E1781" s="160" t="str">
        <f>A1753&amp;"/"&amp;B1779&amp;"/"&amp;C1779&amp;"/"&amp;D1781</f>
        <v>Coal fired power plants/Steam turbine/Electricity only/S</v>
      </c>
      <c r="F1781" s="76" t="str">
        <f>A1753</f>
        <v>Coal fired power plants</v>
      </c>
      <c r="G1781" s="76" t="str">
        <f>B1779</f>
        <v>Steam turbine</v>
      </c>
      <c r="H1781" s="76" t="str">
        <f>C1779</f>
        <v>Electricity only</v>
      </c>
      <c r="I1781" s="161" t="str">
        <f t="shared" si="382"/>
        <v>S</v>
      </c>
      <c r="J1781" s="119">
        <f>IF(tech_base!$T37&gt;J$1745,"",(tech_base!$K37/tech_proj!J161*0.086*$J$132)/(1-tech_proj!J441))</f>
        <v>0</v>
      </c>
      <c r="K1781" s="119">
        <f>IF(tech_base!$T37&gt;K$1745,"",(tech_base!$K37/tech_proj!K161*0.086*$J$132)/(1-tech_proj!K441))</f>
        <v>0</v>
      </c>
      <c r="L1781" s="119">
        <f>IF(tech_base!$T37&gt;L$1745,"",(tech_base!$K37/tech_proj!L161*0.086*$J$132)/(1-tech_proj!L441))</f>
        <v>0</v>
      </c>
      <c r="M1781" s="119">
        <f>IF(tech_base!$T37&gt;M$1745,"",(tech_base!$K37/tech_proj!M161*0.086*$J$132)/(1-tech_proj!M441))</f>
        <v>0</v>
      </c>
      <c r="N1781" s="119">
        <f>IF(tech_base!$T37&gt;N$1745,"",(tech_base!$K37/tech_proj!N161*0.086*$J$132)/(1-tech_proj!N441))</f>
        <v>0</v>
      </c>
      <c r="O1781" s="119">
        <f>IF(tech_base!$T37&gt;O$1745,"",(tech_base!$K37/tech_proj!O161*0.086*$J$132)/(1-tech_proj!O441))</f>
        <v>0</v>
      </c>
      <c r="P1781" s="119">
        <f>IF(tech_base!$T37&gt;P$1745,"",(tech_base!$K37/tech_proj!P161*0.086*$J$132)/(1-tech_proj!P441))</f>
        <v>0</v>
      </c>
      <c r="Q1781" s="119">
        <f>IF(tech_base!$T37&gt;Q$1745,"",(tech_base!$K37/tech_proj!Q161*0.086*$J$132)/(1-tech_proj!Q441))</f>
        <v>0</v>
      </c>
      <c r="R1781" s="119">
        <f>IF(tech_base!$T37&gt;R$1745,"",(tech_base!$K37/tech_proj!R161*0.086*$J$132)/(1-tech_proj!R441))</f>
        <v>0</v>
      </c>
      <c r="S1781" s="119">
        <f>IF(tech_base!$T37&gt;S$1745,"",(tech_base!$K37/tech_proj!S161*0.086*$J$132)/(1-tech_proj!S441))</f>
        <v>0</v>
      </c>
      <c r="T1781" s="119">
        <f>IF(tech_base!$T37&gt;T$1745,"",(tech_base!$K37/tech_proj!T161*0.086*$J$132)/(1-tech_proj!T441))</f>
        <v>0</v>
      </c>
      <c r="U1781" s="119">
        <f>IF(tech_base!$T37&gt;U$1745,"",(tech_base!$K37/tech_proj!U161*0.086*$J$132)/(1-tech_proj!U441))</f>
        <v>0</v>
      </c>
      <c r="V1781" s="119">
        <f>IF(tech_base!$T37&gt;V$1745,"",(tech_base!$K37/tech_proj!V161*0.086*$J$132)/(1-tech_proj!V441))</f>
        <v>0</v>
      </c>
      <c r="W1781" s="119">
        <f>IF(tech_base!$T37&gt;W$1745,"",(tech_base!$K37/tech_proj!W161*0.086*$J$132)/(1-tech_proj!W441))</f>
        <v>0</v>
      </c>
      <c r="X1781" s="119">
        <f>IF(tech_base!$T37&gt;X$1745,"",(tech_base!$K37/tech_proj!X161*0.086*$J$132)/(1-tech_proj!X441))</f>
        <v>0</v>
      </c>
      <c r="Y1781" s="119">
        <f>IF(tech_base!$T37&gt;Y$1745,"",(tech_base!$K37/tech_proj!Y161*0.086*$J$132)/(1-tech_proj!Y441))</f>
        <v>0</v>
      </c>
      <c r="Z1781" s="119">
        <f>IF(tech_base!$T37&gt;Z$1745,"",(tech_base!$K37/tech_proj!Z161*0.086*$J$132)/(1-tech_proj!Z441))</f>
        <v>0</v>
      </c>
      <c r="AA1781" s="119">
        <f>IF(tech_base!$T37&gt;AA$1745,"",(tech_base!$K37/tech_proj!AA161*0.086*$J$132)/(1-tech_proj!AA441))</f>
        <v>0</v>
      </c>
      <c r="AB1781" s="119">
        <f>IF(tech_base!$T37&gt;AB$1745,"",(tech_base!$K37/tech_proj!AB161*0.086*$J$132)/(1-tech_proj!AB441))</f>
        <v>0</v>
      </c>
      <c r="AC1781" s="119">
        <f>IF(tech_base!$T37&gt;AC$1745,"",(tech_base!$K37/tech_proj!AC161*0.086*$J$132)/(1-tech_proj!AC441))</f>
        <v>0</v>
      </c>
      <c r="AD1781" s="119">
        <f>IF(tech_base!$T37&gt;AD$1745,"",(tech_base!$K37/tech_proj!AD161*0.086*$J$132)/(1-tech_proj!AD441))</f>
        <v>0</v>
      </c>
      <c r="AE1781" s="119">
        <f>IF(tech_base!$T37&gt;AE$1745,"",(tech_base!$K37/tech_proj!AE161*0.086*$J$132)/(1-tech_proj!AE441))</f>
        <v>0</v>
      </c>
      <c r="AF1781" s="119">
        <f>IF(tech_base!$T37&gt;AF$1745,"",(tech_base!$K37/tech_proj!AF161*0.086*$J$132)/(1-tech_proj!AF441))</f>
        <v>0</v>
      </c>
      <c r="AG1781" s="119">
        <f>IF(tech_base!$T37&gt;AG$1745,"",(tech_base!$K37/tech_proj!AG161*0.086*$J$132)/(1-tech_proj!AG441))</f>
        <v>0</v>
      </c>
      <c r="AH1781" s="119">
        <f>IF(tech_base!$T37&gt;AH$1745,"",(tech_base!$K37/tech_proj!AH161*0.086*$J$132)/(1-tech_proj!AH441))</f>
        <v>0</v>
      </c>
      <c r="AI1781" s="119">
        <f>IF(tech_base!$T37&gt;AI$1745,"",(tech_base!$K37/tech_proj!AI161*0.086*$J$132)/(1-tech_proj!AI441))</f>
        <v>0</v>
      </c>
      <c r="AJ1781" s="119">
        <f>IF(tech_base!$T37&gt;AJ$1745,"",(tech_base!$K37/tech_proj!AJ161*0.086*$J$132)/(1-tech_proj!AJ441))</f>
        <v>0</v>
      </c>
      <c r="AK1781" s="119">
        <f>IF(tech_base!$T37&gt;AK$1745,"",(tech_base!$K37/tech_proj!AK161*0.086*$J$132)/(1-tech_proj!AK441))</f>
        <v>0</v>
      </c>
      <c r="AL1781" s="119">
        <f>IF(tech_base!$T37&gt;AL$1745,"",(tech_base!$K37/tech_proj!AL161*0.086*$J$132)/(1-tech_proj!AL441))</f>
        <v>0</v>
      </c>
      <c r="AM1781" s="119">
        <f>IF(tech_base!$T37&gt;AM$1745,"",(tech_base!$K37/tech_proj!AM161*0.086*$J$132)/(1-tech_proj!AM441))</f>
        <v>0</v>
      </c>
      <c r="AN1781" s="119">
        <f>IF(tech_base!$T37&gt;AN$1745,"",(tech_base!$K37/tech_proj!AN161*0.086*$J$132)/(1-tech_proj!AN441))</f>
        <v>0</v>
      </c>
      <c r="AO1781" s="119">
        <f>IF(tech_base!$T37&gt;AO$1745,"",(tech_base!$K37/tech_proj!AO161*0.086*$J$132)/(1-tech_proj!AO441))</f>
        <v>0</v>
      </c>
      <c r="AP1781" s="119">
        <f>IF(tech_base!$T37&gt;AP$1745,"",(tech_base!$K37/tech_proj!AP161*0.086*$J$132)/(1-tech_proj!AP441))</f>
        <v>0</v>
      </c>
      <c r="AQ1781" s="119">
        <f>IF(tech_base!$T37&gt;AQ$1745,"",(tech_base!$K37/tech_proj!AQ161*0.086*$J$132)/(1-tech_proj!AQ441))</f>
        <v>0</v>
      </c>
      <c r="AR1781" s="119">
        <f>IF(tech_base!$T37&gt;AR$1745,"",(tech_base!$K37/tech_proj!AR161*0.086*$J$132)/(1-tech_proj!AR441))</f>
        <v>0</v>
      </c>
      <c r="AS1781" s="119">
        <f>IF(tech_base!$T37&gt;AS$1745,"",(tech_base!$K37/tech_proj!AS161*0.086*$J$132)/(1-tech_proj!AS441))</f>
        <v>0</v>
      </c>
      <c r="AT1781" s="119">
        <f>IF(tech_base!$T37&gt;AT$1745,"",(tech_base!$K37/tech_proj!AT161*0.086*$J$132)/(1-tech_proj!AT441))</f>
        <v>0</v>
      </c>
      <c r="AU1781" s="119">
        <f>IF(tech_base!$T37&gt;AU$1745,"",(tech_base!$K37/tech_proj!AU161*0.086*$J$132)/(1-tech_proj!AU441))</f>
        <v>0</v>
      </c>
      <c r="AV1781" s="119">
        <f>IF(tech_base!$T37&gt;AV$1745,"",(tech_base!$K37/tech_proj!AV161*0.086*$J$132)/(1-tech_proj!AV441))</f>
        <v>0</v>
      </c>
      <c r="AW1781" s="119">
        <f>IF(tech_base!$T37&gt;AW$1745,"",(tech_base!$K37/tech_proj!AW161*0.086*$J$132)/(1-tech_proj!AW441))</f>
        <v>0</v>
      </c>
      <c r="AX1781" s="120">
        <f>IF(tech_base!$T37&gt;AX$1745,"",(tech_base!$K37/tech_proj!AX161*0.086*$J$132)/(1-tech_proj!AX441))</f>
        <v>0</v>
      </c>
    </row>
    <row r="1782" spans="1:50" x14ac:dyDescent="0.25">
      <c r="A1782" s="356"/>
      <c r="B1782" s="376"/>
      <c r="C1782" s="379"/>
      <c r="D1782" s="2" t="s">
        <v>20</v>
      </c>
      <c r="E1782" s="160" t="str">
        <f>A1753&amp;"/"&amp;B1779&amp;"/"&amp;C1779&amp;"/"&amp;D1782</f>
        <v>Coal fired power plants/Steam turbine/Electricity only/XS</v>
      </c>
      <c r="F1782" s="76" t="str">
        <f>A1753</f>
        <v>Coal fired power plants</v>
      </c>
      <c r="G1782" s="76" t="str">
        <f>B1779</f>
        <v>Steam turbine</v>
      </c>
      <c r="H1782" s="76" t="str">
        <f>C1779</f>
        <v>Electricity only</v>
      </c>
      <c r="I1782" s="161" t="str">
        <f t="shared" si="382"/>
        <v>XS</v>
      </c>
      <c r="J1782" s="119">
        <f>IF(tech_base!$T38&gt;J$1745,"",(tech_base!$K38/tech_proj!J162*0.086*$J$132)/(1-tech_proj!J442))</f>
        <v>0</v>
      </c>
      <c r="K1782" s="119">
        <f>IF(tech_base!$T38&gt;K$1745,"",(tech_base!$K38/tech_proj!K162*0.086*$J$132)/(1-tech_proj!K442))</f>
        <v>0</v>
      </c>
      <c r="L1782" s="119">
        <f>IF(tech_base!$T38&gt;L$1745,"",(tech_base!$K38/tech_proj!L162*0.086*$J$132)/(1-tech_proj!L442))</f>
        <v>0</v>
      </c>
      <c r="M1782" s="119">
        <f>IF(tech_base!$T38&gt;M$1745,"",(tech_base!$K38/tech_proj!M162*0.086*$J$132)/(1-tech_proj!M442))</f>
        <v>0</v>
      </c>
      <c r="N1782" s="119">
        <f>IF(tech_base!$T38&gt;N$1745,"",(tech_base!$K38/tech_proj!N162*0.086*$J$132)/(1-tech_proj!N442))</f>
        <v>0</v>
      </c>
      <c r="O1782" s="119">
        <f>IF(tech_base!$T38&gt;O$1745,"",(tech_base!$K38/tech_proj!O162*0.086*$J$132)/(1-tech_proj!O442))</f>
        <v>0</v>
      </c>
      <c r="P1782" s="119">
        <f>IF(tech_base!$T38&gt;P$1745,"",(tech_base!$K38/tech_proj!P162*0.086*$J$132)/(1-tech_proj!P442))</f>
        <v>0</v>
      </c>
      <c r="Q1782" s="119">
        <f>IF(tech_base!$T38&gt;Q$1745,"",(tech_base!$K38/tech_proj!Q162*0.086*$J$132)/(1-tech_proj!Q442))</f>
        <v>0</v>
      </c>
      <c r="R1782" s="119">
        <f>IF(tech_base!$T38&gt;R$1745,"",(tech_base!$K38/tech_proj!R162*0.086*$J$132)/(1-tech_proj!R442))</f>
        <v>0</v>
      </c>
      <c r="S1782" s="119">
        <f>IF(tech_base!$T38&gt;S$1745,"",(tech_base!$K38/tech_proj!S162*0.086*$J$132)/(1-tech_proj!S442))</f>
        <v>0</v>
      </c>
      <c r="T1782" s="119">
        <f>IF(tech_base!$T38&gt;T$1745,"",(tech_base!$K38/tech_proj!T162*0.086*$J$132)/(1-tech_proj!T442))</f>
        <v>0</v>
      </c>
      <c r="U1782" s="119">
        <f>IF(tech_base!$T38&gt;U$1745,"",(tech_base!$K38/tech_proj!U162*0.086*$J$132)/(1-tech_proj!U442))</f>
        <v>0</v>
      </c>
      <c r="V1782" s="119">
        <f>IF(tech_base!$T38&gt;V$1745,"",(tech_base!$K38/tech_proj!V162*0.086*$J$132)/(1-tech_proj!V442))</f>
        <v>0</v>
      </c>
      <c r="W1782" s="119">
        <f>IF(tech_base!$T38&gt;W$1745,"",(tech_base!$K38/tech_proj!W162*0.086*$J$132)/(1-tech_proj!W442))</f>
        <v>0</v>
      </c>
      <c r="X1782" s="119">
        <f>IF(tech_base!$T38&gt;X$1745,"",(tech_base!$K38/tech_proj!X162*0.086*$J$132)/(1-tech_proj!X442))</f>
        <v>0</v>
      </c>
      <c r="Y1782" s="119">
        <f>IF(tech_base!$T38&gt;Y$1745,"",(tech_base!$K38/tech_proj!Y162*0.086*$J$132)/(1-tech_proj!Y442))</f>
        <v>0</v>
      </c>
      <c r="Z1782" s="119">
        <f>IF(tech_base!$T38&gt;Z$1745,"",(tech_base!$K38/tech_proj!Z162*0.086*$J$132)/(1-tech_proj!Z442))</f>
        <v>0</v>
      </c>
      <c r="AA1782" s="119">
        <f>IF(tech_base!$T38&gt;AA$1745,"",(tech_base!$K38/tech_proj!AA162*0.086*$J$132)/(1-tech_proj!AA442))</f>
        <v>0</v>
      </c>
      <c r="AB1782" s="119">
        <f>IF(tech_base!$T38&gt;AB$1745,"",(tech_base!$K38/tech_proj!AB162*0.086*$J$132)/(1-tech_proj!AB442))</f>
        <v>0</v>
      </c>
      <c r="AC1782" s="119">
        <f>IF(tech_base!$T38&gt;AC$1745,"",(tech_base!$K38/tech_proj!AC162*0.086*$J$132)/(1-tech_proj!AC442))</f>
        <v>0</v>
      </c>
      <c r="AD1782" s="119">
        <f>IF(tech_base!$T38&gt;AD$1745,"",(tech_base!$K38/tech_proj!AD162*0.086*$J$132)/(1-tech_proj!AD442))</f>
        <v>0</v>
      </c>
      <c r="AE1782" s="119">
        <f>IF(tech_base!$T38&gt;AE$1745,"",(tech_base!$K38/tech_proj!AE162*0.086*$J$132)/(1-tech_proj!AE442))</f>
        <v>0</v>
      </c>
      <c r="AF1782" s="119">
        <f>IF(tech_base!$T38&gt;AF$1745,"",(tech_base!$K38/tech_proj!AF162*0.086*$J$132)/(1-tech_proj!AF442))</f>
        <v>0</v>
      </c>
      <c r="AG1782" s="119">
        <f>IF(tech_base!$T38&gt;AG$1745,"",(tech_base!$K38/tech_proj!AG162*0.086*$J$132)/(1-tech_proj!AG442))</f>
        <v>0</v>
      </c>
      <c r="AH1782" s="119">
        <f>IF(tech_base!$T38&gt;AH$1745,"",(tech_base!$K38/tech_proj!AH162*0.086*$J$132)/(1-tech_proj!AH442))</f>
        <v>0</v>
      </c>
      <c r="AI1782" s="119">
        <f>IF(tech_base!$T38&gt;AI$1745,"",(tech_base!$K38/tech_proj!AI162*0.086*$J$132)/(1-tech_proj!AI442))</f>
        <v>0</v>
      </c>
      <c r="AJ1782" s="119">
        <f>IF(tech_base!$T38&gt;AJ$1745,"",(tech_base!$K38/tech_proj!AJ162*0.086*$J$132)/(1-tech_proj!AJ442))</f>
        <v>0</v>
      </c>
      <c r="AK1782" s="119">
        <f>IF(tech_base!$T38&gt;AK$1745,"",(tech_base!$K38/tech_proj!AK162*0.086*$J$132)/(1-tech_proj!AK442))</f>
        <v>0</v>
      </c>
      <c r="AL1782" s="119">
        <f>IF(tech_base!$T38&gt;AL$1745,"",(tech_base!$K38/tech_proj!AL162*0.086*$J$132)/(1-tech_proj!AL442))</f>
        <v>0</v>
      </c>
      <c r="AM1782" s="119">
        <f>IF(tech_base!$T38&gt;AM$1745,"",(tech_base!$K38/tech_proj!AM162*0.086*$J$132)/(1-tech_proj!AM442))</f>
        <v>0</v>
      </c>
      <c r="AN1782" s="119">
        <f>IF(tech_base!$T38&gt;AN$1745,"",(tech_base!$K38/tech_proj!AN162*0.086*$J$132)/(1-tech_proj!AN442))</f>
        <v>0</v>
      </c>
      <c r="AO1782" s="119">
        <f>IF(tech_base!$T38&gt;AO$1745,"",(tech_base!$K38/tech_proj!AO162*0.086*$J$132)/(1-tech_proj!AO442))</f>
        <v>0</v>
      </c>
      <c r="AP1782" s="119">
        <f>IF(tech_base!$T38&gt;AP$1745,"",(tech_base!$K38/tech_proj!AP162*0.086*$J$132)/(1-tech_proj!AP442))</f>
        <v>0</v>
      </c>
      <c r="AQ1782" s="119">
        <f>IF(tech_base!$T38&gt;AQ$1745,"",(tech_base!$K38/tech_proj!AQ162*0.086*$J$132)/(1-tech_proj!AQ442))</f>
        <v>0</v>
      </c>
      <c r="AR1782" s="119">
        <f>IF(tech_base!$T38&gt;AR$1745,"",(tech_base!$K38/tech_proj!AR162*0.086*$J$132)/(1-tech_proj!AR442))</f>
        <v>0</v>
      </c>
      <c r="AS1782" s="119">
        <f>IF(tech_base!$T38&gt;AS$1745,"",(tech_base!$K38/tech_proj!AS162*0.086*$J$132)/(1-tech_proj!AS442))</f>
        <v>0</v>
      </c>
      <c r="AT1782" s="119">
        <f>IF(tech_base!$T38&gt;AT$1745,"",(tech_base!$K38/tech_proj!AT162*0.086*$J$132)/(1-tech_proj!AT442))</f>
        <v>0</v>
      </c>
      <c r="AU1782" s="119">
        <f>IF(tech_base!$T38&gt;AU$1745,"",(tech_base!$K38/tech_proj!AU162*0.086*$J$132)/(1-tech_proj!AU442))</f>
        <v>0</v>
      </c>
      <c r="AV1782" s="119">
        <f>IF(tech_base!$T38&gt;AV$1745,"",(tech_base!$K38/tech_proj!AV162*0.086*$J$132)/(1-tech_proj!AV442))</f>
        <v>0</v>
      </c>
      <c r="AW1782" s="119">
        <f>IF(tech_base!$T38&gt;AW$1745,"",(tech_base!$K38/tech_proj!AW162*0.086*$J$132)/(1-tech_proj!AW442))</f>
        <v>0</v>
      </c>
      <c r="AX1782" s="120">
        <f>IF(tech_base!$T38&gt;AX$1745,"",(tech_base!$K38/tech_proj!AX162*0.086*$J$132)/(1-tech_proj!AX442))</f>
        <v>0</v>
      </c>
    </row>
    <row r="1783" spans="1:50" x14ac:dyDescent="0.25">
      <c r="A1783" s="356"/>
      <c r="B1783" s="376"/>
      <c r="C1783" s="361" t="s">
        <v>14</v>
      </c>
      <c r="D1783" s="58" t="s">
        <v>7</v>
      </c>
      <c r="E1783" s="164" t="str">
        <f>A1753&amp;"/"&amp;B1779&amp;"/"&amp;C1783&amp;"/"&amp;D1783</f>
        <v>Coal fired power plants/Steam turbine/CHP/L</v>
      </c>
      <c r="F1783" s="78" t="str">
        <f>A1753</f>
        <v>Coal fired power plants</v>
      </c>
      <c r="G1783" s="78" t="str">
        <f>B1779</f>
        <v>Steam turbine</v>
      </c>
      <c r="H1783" s="78" t="str">
        <f>C1783</f>
        <v>CHP</v>
      </c>
      <c r="I1783" s="165" t="str">
        <f t="shared" si="382"/>
        <v>L</v>
      </c>
      <c r="J1783" s="123">
        <f>IF(tech_base!$T39&gt;J$1745,"",(tech_base!$K39/tech_proj!J163*0.086*$J$132)/(1-tech_proj!J443))</f>
        <v>0</v>
      </c>
      <c r="K1783" s="123">
        <f>IF(tech_base!$T39&gt;K$1745,"",(tech_base!$K39/tech_proj!K163*0.086*$J$132)/(1-tech_proj!K443))</f>
        <v>0</v>
      </c>
      <c r="L1783" s="123">
        <f>IF(tech_base!$T39&gt;L$1745,"",(tech_base!$K39/tech_proj!L163*0.086*$J$132)/(1-tech_proj!L443))</f>
        <v>0</v>
      </c>
      <c r="M1783" s="123">
        <f>IF(tech_base!$T39&gt;M$1745,"",(tech_base!$K39/tech_proj!M163*0.086*$J$132)/(1-tech_proj!M443))</f>
        <v>0</v>
      </c>
      <c r="N1783" s="123">
        <f>IF(tech_base!$T39&gt;N$1745,"",(tech_base!$K39/tech_proj!N163*0.086*$J$132)/(1-tech_proj!N443))</f>
        <v>0</v>
      </c>
      <c r="O1783" s="123">
        <f>IF(tech_base!$T39&gt;O$1745,"",(tech_base!$K39/tech_proj!O163*0.086*$J$132)/(1-tech_proj!O443))</f>
        <v>0</v>
      </c>
      <c r="P1783" s="123">
        <f>IF(tech_base!$T39&gt;P$1745,"",(tech_base!$K39/tech_proj!P163*0.086*$J$132)/(1-tech_proj!P443))</f>
        <v>0</v>
      </c>
      <c r="Q1783" s="123">
        <f>IF(tech_base!$T39&gt;Q$1745,"",(tech_base!$K39/tech_proj!Q163*0.086*$J$132)/(1-tech_proj!Q443))</f>
        <v>0</v>
      </c>
      <c r="R1783" s="123">
        <f>IF(tech_base!$T39&gt;R$1745,"",(tech_base!$K39/tech_proj!R163*0.086*$J$132)/(1-tech_proj!R443))</f>
        <v>0</v>
      </c>
      <c r="S1783" s="123">
        <f>IF(tech_base!$T39&gt;S$1745,"",(tech_base!$K39/tech_proj!S163*0.086*$J$132)/(1-tech_proj!S443))</f>
        <v>0</v>
      </c>
      <c r="T1783" s="123">
        <f>IF(tech_base!$T39&gt;T$1745,"",(tech_base!$K39/tech_proj!T163*0.086*$J$132)/(1-tech_proj!T443))</f>
        <v>0</v>
      </c>
      <c r="U1783" s="123">
        <f>IF(tech_base!$T39&gt;U$1745,"",(tech_base!$K39/tech_proj!U163*0.086*$J$132)/(1-tech_proj!U443))</f>
        <v>0</v>
      </c>
      <c r="V1783" s="123">
        <f>IF(tech_base!$T39&gt;V$1745,"",(tech_base!$K39/tech_proj!V163*0.086*$J$132)/(1-tech_proj!V443))</f>
        <v>0</v>
      </c>
      <c r="W1783" s="123">
        <f>IF(tech_base!$T39&gt;W$1745,"",(tech_base!$K39/tech_proj!W163*0.086*$J$132)/(1-tech_proj!W443))</f>
        <v>0</v>
      </c>
      <c r="X1783" s="123">
        <f>IF(tech_base!$T39&gt;X$1745,"",(tech_base!$K39/tech_proj!X163*0.086*$J$132)/(1-tech_proj!X443))</f>
        <v>0</v>
      </c>
      <c r="Y1783" s="123">
        <f>IF(tech_base!$T39&gt;Y$1745,"",(tech_base!$K39/tech_proj!Y163*0.086*$J$132)/(1-tech_proj!Y443))</f>
        <v>0</v>
      </c>
      <c r="Z1783" s="123">
        <f>IF(tech_base!$T39&gt;Z$1745,"",(tech_base!$K39/tech_proj!Z163*0.086*$J$132)/(1-tech_proj!Z443))</f>
        <v>0</v>
      </c>
      <c r="AA1783" s="123">
        <f>IF(tech_base!$T39&gt;AA$1745,"",(tech_base!$K39/tech_proj!AA163*0.086*$J$132)/(1-tech_proj!AA443))</f>
        <v>0</v>
      </c>
      <c r="AB1783" s="123">
        <f>IF(tech_base!$T39&gt;AB$1745,"",(tech_base!$K39/tech_proj!AB163*0.086*$J$132)/(1-tech_proj!AB443))</f>
        <v>0</v>
      </c>
      <c r="AC1783" s="123">
        <f>IF(tech_base!$T39&gt;AC$1745,"",(tech_base!$K39/tech_proj!AC163*0.086*$J$132)/(1-tech_proj!AC443))</f>
        <v>0</v>
      </c>
      <c r="AD1783" s="123">
        <f>IF(tech_base!$T39&gt;AD$1745,"",(tech_base!$K39/tech_proj!AD163*0.086*$J$132)/(1-tech_proj!AD443))</f>
        <v>0</v>
      </c>
      <c r="AE1783" s="123">
        <f>IF(tech_base!$T39&gt;AE$1745,"",(tech_base!$K39/tech_proj!AE163*0.086*$J$132)/(1-tech_proj!AE443))</f>
        <v>0</v>
      </c>
      <c r="AF1783" s="123">
        <f>IF(tech_base!$T39&gt;AF$1745,"",(tech_base!$K39/tech_proj!AF163*0.086*$J$132)/(1-tech_proj!AF443))</f>
        <v>0</v>
      </c>
      <c r="AG1783" s="123">
        <f>IF(tech_base!$T39&gt;AG$1745,"",(tech_base!$K39/tech_proj!AG163*0.086*$J$132)/(1-tech_proj!AG443))</f>
        <v>0</v>
      </c>
      <c r="AH1783" s="123">
        <f>IF(tech_base!$T39&gt;AH$1745,"",(tech_base!$K39/tech_proj!AH163*0.086*$J$132)/(1-tech_proj!AH443))</f>
        <v>0</v>
      </c>
      <c r="AI1783" s="123">
        <f>IF(tech_base!$T39&gt;AI$1745,"",(tech_base!$K39/tech_proj!AI163*0.086*$J$132)/(1-tech_proj!AI443))</f>
        <v>0</v>
      </c>
      <c r="AJ1783" s="123">
        <f>IF(tech_base!$T39&gt;AJ$1745,"",(tech_base!$K39/tech_proj!AJ163*0.086*$J$132)/(1-tech_proj!AJ443))</f>
        <v>0</v>
      </c>
      <c r="AK1783" s="123">
        <f>IF(tech_base!$T39&gt;AK$1745,"",(tech_base!$K39/tech_proj!AK163*0.086*$J$132)/(1-tech_proj!AK443))</f>
        <v>0</v>
      </c>
      <c r="AL1783" s="123">
        <f>IF(tech_base!$T39&gt;AL$1745,"",(tech_base!$K39/tech_proj!AL163*0.086*$J$132)/(1-tech_proj!AL443))</f>
        <v>0</v>
      </c>
      <c r="AM1783" s="123">
        <f>IF(tech_base!$T39&gt;AM$1745,"",(tech_base!$K39/tech_proj!AM163*0.086*$J$132)/(1-tech_proj!AM443))</f>
        <v>0</v>
      </c>
      <c r="AN1783" s="123">
        <f>IF(tech_base!$T39&gt;AN$1745,"",(tech_base!$K39/tech_proj!AN163*0.086*$J$132)/(1-tech_proj!AN443))</f>
        <v>0</v>
      </c>
      <c r="AO1783" s="123">
        <f>IF(tech_base!$T39&gt;AO$1745,"",(tech_base!$K39/tech_proj!AO163*0.086*$J$132)/(1-tech_proj!AO443))</f>
        <v>0</v>
      </c>
      <c r="AP1783" s="123">
        <f>IF(tech_base!$T39&gt;AP$1745,"",(tech_base!$K39/tech_proj!AP163*0.086*$J$132)/(1-tech_proj!AP443))</f>
        <v>0</v>
      </c>
      <c r="AQ1783" s="123">
        <f>IF(tech_base!$T39&gt;AQ$1745,"",(tech_base!$K39/tech_proj!AQ163*0.086*$J$132)/(1-tech_proj!AQ443))</f>
        <v>0</v>
      </c>
      <c r="AR1783" s="123">
        <f>IF(tech_base!$T39&gt;AR$1745,"",(tech_base!$K39/tech_proj!AR163*0.086*$J$132)/(1-tech_proj!AR443))</f>
        <v>0</v>
      </c>
      <c r="AS1783" s="123">
        <f>IF(tech_base!$T39&gt;AS$1745,"",(tech_base!$K39/tech_proj!AS163*0.086*$J$132)/(1-tech_proj!AS443))</f>
        <v>0</v>
      </c>
      <c r="AT1783" s="123">
        <f>IF(tech_base!$T39&gt;AT$1745,"",(tech_base!$K39/tech_proj!AT163*0.086*$J$132)/(1-tech_proj!AT443))</f>
        <v>0</v>
      </c>
      <c r="AU1783" s="123">
        <f>IF(tech_base!$T39&gt;AU$1745,"",(tech_base!$K39/tech_proj!AU163*0.086*$J$132)/(1-tech_proj!AU443))</f>
        <v>0</v>
      </c>
      <c r="AV1783" s="123">
        <f>IF(tech_base!$T39&gt;AV$1745,"",(tech_base!$K39/tech_proj!AV163*0.086*$J$132)/(1-tech_proj!AV443))</f>
        <v>0</v>
      </c>
      <c r="AW1783" s="123">
        <f>IF(tech_base!$T39&gt;AW$1745,"",(tech_base!$K39/tech_proj!AW163*0.086*$J$132)/(1-tech_proj!AW443))</f>
        <v>0</v>
      </c>
      <c r="AX1783" s="124">
        <f>IF(tech_base!$T39&gt;AX$1745,"",(tech_base!$K39/tech_proj!AX163*0.086*$J$132)/(1-tech_proj!AX443))</f>
        <v>0</v>
      </c>
    </row>
    <row r="1784" spans="1:50" x14ac:dyDescent="0.25">
      <c r="A1784" s="356"/>
      <c r="B1784" s="376"/>
      <c r="C1784" s="378"/>
      <c r="D1784" s="2" t="s">
        <v>8</v>
      </c>
      <c r="E1784" s="160" t="str">
        <f>A1753&amp;"/"&amp;B1779&amp;"/"&amp;C1783&amp;"/"&amp;D1784</f>
        <v>Coal fired power plants/Steam turbine/CHP/M</v>
      </c>
      <c r="F1784" s="76" t="str">
        <f>A1753</f>
        <v>Coal fired power plants</v>
      </c>
      <c r="G1784" s="76" t="str">
        <f>B1779</f>
        <v>Steam turbine</v>
      </c>
      <c r="H1784" s="76" t="str">
        <f>C1783</f>
        <v>CHP</v>
      </c>
      <c r="I1784" s="161" t="str">
        <f t="shared" si="382"/>
        <v>M</v>
      </c>
      <c r="J1784" s="119">
        <f>IF(tech_base!$T40&gt;J$1745,"",(tech_base!$K40/tech_proj!J164*0.086*$J$132)/(1-tech_proj!J444))</f>
        <v>0</v>
      </c>
      <c r="K1784" s="119">
        <f>IF(tech_base!$T40&gt;K$1745,"",(tech_base!$K40/tech_proj!K164*0.086*$J$132)/(1-tech_proj!K444))</f>
        <v>0</v>
      </c>
      <c r="L1784" s="119">
        <f>IF(tech_base!$T40&gt;L$1745,"",(tech_base!$K40/tech_proj!L164*0.086*$J$132)/(1-tech_proj!L444))</f>
        <v>0</v>
      </c>
      <c r="M1784" s="119">
        <f>IF(tech_base!$T40&gt;M$1745,"",(tech_base!$K40/tech_proj!M164*0.086*$J$132)/(1-tech_proj!M444))</f>
        <v>0</v>
      </c>
      <c r="N1784" s="119">
        <f>IF(tech_base!$T40&gt;N$1745,"",(tech_base!$K40/tech_proj!N164*0.086*$J$132)/(1-tech_proj!N444))</f>
        <v>0</v>
      </c>
      <c r="O1784" s="119">
        <f>IF(tech_base!$T40&gt;O$1745,"",(tech_base!$K40/tech_proj!O164*0.086*$J$132)/(1-tech_proj!O444))</f>
        <v>0</v>
      </c>
      <c r="P1784" s="119">
        <f>IF(tech_base!$T40&gt;P$1745,"",(tech_base!$K40/tech_proj!P164*0.086*$J$132)/(1-tech_proj!P444))</f>
        <v>0</v>
      </c>
      <c r="Q1784" s="119">
        <f>IF(tech_base!$T40&gt;Q$1745,"",(tech_base!$K40/tech_proj!Q164*0.086*$J$132)/(1-tech_proj!Q444))</f>
        <v>0</v>
      </c>
      <c r="R1784" s="119">
        <f>IF(tech_base!$T40&gt;R$1745,"",(tech_base!$K40/tech_proj!R164*0.086*$J$132)/(1-tech_proj!R444))</f>
        <v>0</v>
      </c>
      <c r="S1784" s="119">
        <f>IF(tech_base!$T40&gt;S$1745,"",(tech_base!$K40/tech_proj!S164*0.086*$J$132)/(1-tech_proj!S444))</f>
        <v>0</v>
      </c>
      <c r="T1784" s="119">
        <f>IF(tech_base!$T40&gt;T$1745,"",(tech_base!$K40/tech_proj!T164*0.086*$J$132)/(1-tech_proj!T444))</f>
        <v>0</v>
      </c>
      <c r="U1784" s="119">
        <f>IF(tech_base!$T40&gt;U$1745,"",(tech_base!$K40/tech_proj!U164*0.086*$J$132)/(1-tech_proj!U444))</f>
        <v>0</v>
      </c>
      <c r="V1784" s="119">
        <f>IF(tech_base!$T40&gt;V$1745,"",(tech_base!$K40/tech_proj!V164*0.086*$J$132)/(1-tech_proj!V444))</f>
        <v>0</v>
      </c>
      <c r="W1784" s="119">
        <f>IF(tech_base!$T40&gt;W$1745,"",(tech_base!$K40/tech_proj!W164*0.086*$J$132)/(1-tech_proj!W444))</f>
        <v>0</v>
      </c>
      <c r="X1784" s="119">
        <f>IF(tech_base!$T40&gt;X$1745,"",(tech_base!$K40/tech_proj!X164*0.086*$J$132)/(1-tech_proj!X444))</f>
        <v>0</v>
      </c>
      <c r="Y1784" s="119">
        <f>IF(tech_base!$T40&gt;Y$1745,"",(tech_base!$K40/tech_proj!Y164*0.086*$J$132)/(1-tech_proj!Y444))</f>
        <v>0</v>
      </c>
      <c r="Z1784" s="119">
        <f>IF(tech_base!$T40&gt;Z$1745,"",(tech_base!$K40/tech_proj!Z164*0.086*$J$132)/(1-tech_proj!Z444))</f>
        <v>0</v>
      </c>
      <c r="AA1784" s="119">
        <f>IF(tech_base!$T40&gt;AA$1745,"",(tech_base!$K40/tech_proj!AA164*0.086*$J$132)/(1-tech_proj!AA444))</f>
        <v>0</v>
      </c>
      <c r="AB1784" s="119">
        <f>IF(tech_base!$T40&gt;AB$1745,"",(tech_base!$K40/tech_proj!AB164*0.086*$J$132)/(1-tech_proj!AB444))</f>
        <v>0</v>
      </c>
      <c r="AC1784" s="119">
        <f>IF(tech_base!$T40&gt;AC$1745,"",(tech_base!$K40/tech_proj!AC164*0.086*$J$132)/(1-tech_proj!AC444))</f>
        <v>0</v>
      </c>
      <c r="AD1784" s="119">
        <f>IF(tech_base!$T40&gt;AD$1745,"",(tech_base!$K40/tech_proj!AD164*0.086*$J$132)/(1-tech_proj!AD444))</f>
        <v>0</v>
      </c>
      <c r="AE1784" s="119">
        <f>IF(tech_base!$T40&gt;AE$1745,"",(tech_base!$K40/tech_proj!AE164*0.086*$J$132)/(1-tech_proj!AE444))</f>
        <v>0</v>
      </c>
      <c r="AF1784" s="119">
        <f>IF(tech_base!$T40&gt;AF$1745,"",(tech_base!$K40/tech_proj!AF164*0.086*$J$132)/(1-tech_proj!AF444))</f>
        <v>0</v>
      </c>
      <c r="AG1784" s="119">
        <f>IF(tech_base!$T40&gt;AG$1745,"",(tech_base!$K40/tech_proj!AG164*0.086*$J$132)/(1-tech_proj!AG444))</f>
        <v>0</v>
      </c>
      <c r="AH1784" s="119">
        <f>IF(tech_base!$T40&gt;AH$1745,"",(tech_base!$K40/tech_proj!AH164*0.086*$J$132)/(1-tech_proj!AH444))</f>
        <v>0</v>
      </c>
      <c r="AI1784" s="119">
        <f>IF(tech_base!$T40&gt;AI$1745,"",(tech_base!$K40/tech_proj!AI164*0.086*$J$132)/(1-tech_proj!AI444))</f>
        <v>0</v>
      </c>
      <c r="AJ1784" s="119">
        <f>IF(tech_base!$T40&gt;AJ$1745,"",(tech_base!$K40/tech_proj!AJ164*0.086*$J$132)/(1-tech_proj!AJ444))</f>
        <v>0</v>
      </c>
      <c r="AK1784" s="119">
        <f>IF(tech_base!$T40&gt;AK$1745,"",(tech_base!$K40/tech_proj!AK164*0.086*$J$132)/(1-tech_proj!AK444))</f>
        <v>0</v>
      </c>
      <c r="AL1784" s="119">
        <f>IF(tech_base!$T40&gt;AL$1745,"",(tech_base!$K40/tech_proj!AL164*0.086*$J$132)/(1-tech_proj!AL444))</f>
        <v>0</v>
      </c>
      <c r="AM1784" s="119">
        <f>IF(tech_base!$T40&gt;AM$1745,"",(tech_base!$K40/tech_proj!AM164*0.086*$J$132)/(1-tech_proj!AM444))</f>
        <v>0</v>
      </c>
      <c r="AN1784" s="119">
        <f>IF(tech_base!$T40&gt;AN$1745,"",(tech_base!$K40/tech_proj!AN164*0.086*$J$132)/(1-tech_proj!AN444))</f>
        <v>0</v>
      </c>
      <c r="AO1784" s="119">
        <f>IF(tech_base!$T40&gt;AO$1745,"",(tech_base!$K40/tech_proj!AO164*0.086*$J$132)/(1-tech_proj!AO444))</f>
        <v>0</v>
      </c>
      <c r="AP1784" s="119">
        <f>IF(tech_base!$T40&gt;AP$1745,"",(tech_base!$K40/tech_proj!AP164*0.086*$J$132)/(1-tech_proj!AP444))</f>
        <v>0</v>
      </c>
      <c r="AQ1784" s="119">
        <f>IF(tech_base!$T40&gt;AQ$1745,"",(tech_base!$K40/tech_proj!AQ164*0.086*$J$132)/(1-tech_proj!AQ444))</f>
        <v>0</v>
      </c>
      <c r="AR1784" s="119">
        <f>IF(tech_base!$T40&gt;AR$1745,"",(tech_base!$K40/tech_proj!AR164*0.086*$J$132)/(1-tech_proj!AR444))</f>
        <v>0</v>
      </c>
      <c r="AS1784" s="119">
        <f>IF(tech_base!$T40&gt;AS$1745,"",(tech_base!$K40/tech_proj!AS164*0.086*$J$132)/(1-tech_proj!AS444))</f>
        <v>0</v>
      </c>
      <c r="AT1784" s="119">
        <f>IF(tech_base!$T40&gt;AT$1745,"",(tech_base!$K40/tech_proj!AT164*0.086*$J$132)/(1-tech_proj!AT444))</f>
        <v>0</v>
      </c>
      <c r="AU1784" s="119">
        <f>IF(tech_base!$T40&gt;AU$1745,"",(tech_base!$K40/tech_proj!AU164*0.086*$J$132)/(1-tech_proj!AU444))</f>
        <v>0</v>
      </c>
      <c r="AV1784" s="119">
        <f>IF(tech_base!$T40&gt;AV$1745,"",(tech_base!$K40/tech_proj!AV164*0.086*$J$132)/(1-tech_proj!AV444))</f>
        <v>0</v>
      </c>
      <c r="AW1784" s="119">
        <f>IF(tech_base!$T40&gt;AW$1745,"",(tech_base!$K40/tech_proj!AW164*0.086*$J$132)/(1-tech_proj!AW444))</f>
        <v>0</v>
      </c>
      <c r="AX1784" s="120">
        <f>IF(tech_base!$T40&gt;AX$1745,"",(tech_base!$K40/tech_proj!AX164*0.086*$J$132)/(1-tech_proj!AX444))</f>
        <v>0</v>
      </c>
    </row>
    <row r="1785" spans="1:50" x14ac:dyDescent="0.25">
      <c r="A1785" s="356"/>
      <c r="B1785" s="376"/>
      <c r="C1785" s="378"/>
      <c r="D1785" s="2" t="s">
        <v>10</v>
      </c>
      <c r="E1785" s="160" t="str">
        <f>A1753&amp;"/"&amp;B1779&amp;"/"&amp;C1783&amp;"/"&amp;D1785</f>
        <v>Coal fired power plants/Steam turbine/CHP/S</v>
      </c>
      <c r="F1785" s="76" t="str">
        <f>A1753</f>
        <v>Coal fired power plants</v>
      </c>
      <c r="G1785" s="76" t="str">
        <f>B1779</f>
        <v>Steam turbine</v>
      </c>
      <c r="H1785" s="76" t="str">
        <f>C1783</f>
        <v>CHP</v>
      </c>
      <c r="I1785" s="161" t="str">
        <f t="shared" si="382"/>
        <v>S</v>
      </c>
      <c r="J1785" s="119">
        <f>IF(tech_base!$T41&gt;J$1745,"",(tech_base!$K41/tech_proj!J165*0.086*$J$132)/(1-tech_proj!J445))</f>
        <v>0</v>
      </c>
      <c r="K1785" s="119">
        <f>IF(tech_base!$T41&gt;K$1745,"",(tech_base!$K41/tech_proj!K165*0.086*$J$132)/(1-tech_proj!K445))</f>
        <v>0</v>
      </c>
      <c r="L1785" s="119">
        <f>IF(tech_base!$T41&gt;L$1745,"",(tech_base!$K41/tech_proj!L165*0.086*$J$132)/(1-tech_proj!L445))</f>
        <v>0</v>
      </c>
      <c r="M1785" s="119">
        <f>IF(tech_base!$T41&gt;M$1745,"",(tech_base!$K41/tech_proj!M165*0.086*$J$132)/(1-tech_proj!M445))</f>
        <v>0</v>
      </c>
      <c r="N1785" s="119">
        <f>IF(tech_base!$T41&gt;N$1745,"",(tech_base!$K41/tech_proj!N165*0.086*$J$132)/(1-tech_proj!N445))</f>
        <v>0</v>
      </c>
      <c r="O1785" s="119">
        <f>IF(tech_base!$T41&gt;O$1745,"",(tech_base!$K41/tech_proj!O165*0.086*$J$132)/(1-tech_proj!O445))</f>
        <v>0</v>
      </c>
      <c r="P1785" s="119">
        <f>IF(tech_base!$T41&gt;P$1745,"",(tech_base!$K41/tech_proj!P165*0.086*$J$132)/(1-tech_proj!P445))</f>
        <v>0</v>
      </c>
      <c r="Q1785" s="119">
        <f>IF(tech_base!$T41&gt;Q$1745,"",(tech_base!$K41/tech_proj!Q165*0.086*$J$132)/(1-tech_proj!Q445))</f>
        <v>0</v>
      </c>
      <c r="R1785" s="119">
        <f>IF(tech_base!$T41&gt;R$1745,"",(tech_base!$K41/tech_proj!R165*0.086*$J$132)/(1-tech_proj!R445))</f>
        <v>0</v>
      </c>
      <c r="S1785" s="119">
        <f>IF(tech_base!$T41&gt;S$1745,"",(tech_base!$K41/tech_proj!S165*0.086*$J$132)/(1-tech_proj!S445))</f>
        <v>0</v>
      </c>
      <c r="T1785" s="119">
        <f>IF(tech_base!$T41&gt;T$1745,"",(tech_base!$K41/tech_proj!T165*0.086*$J$132)/(1-tech_proj!T445))</f>
        <v>0</v>
      </c>
      <c r="U1785" s="119">
        <f>IF(tech_base!$T41&gt;U$1745,"",(tech_base!$K41/tech_proj!U165*0.086*$J$132)/(1-tech_proj!U445))</f>
        <v>0</v>
      </c>
      <c r="V1785" s="119">
        <f>IF(tech_base!$T41&gt;V$1745,"",(tech_base!$K41/tech_proj!V165*0.086*$J$132)/(1-tech_proj!V445))</f>
        <v>0</v>
      </c>
      <c r="W1785" s="119">
        <f>IF(tech_base!$T41&gt;W$1745,"",(tech_base!$K41/tech_proj!W165*0.086*$J$132)/(1-tech_proj!W445))</f>
        <v>0</v>
      </c>
      <c r="X1785" s="119">
        <f>IF(tech_base!$T41&gt;X$1745,"",(tech_base!$K41/tech_proj!X165*0.086*$J$132)/(1-tech_proj!X445))</f>
        <v>0</v>
      </c>
      <c r="Y1785" s="119">
        <f>IF(tech_base!$T41&gt;Y$1745,"",(tech_base!$K41/tech_proj!Y165*0.086*$J$132)/(1-tech_proj!Y445))</f>
        <v>0</v>
      </c>
      <c r="Z1785" s="119">
        <f>IF(tech_base!$T41&gt;Z$1745,"",(tech_base!$K41/tech_proj!Z165*0.086*$J$132)/(1-tech_proj!Z445))</f>
        <v>0</v>
      </c>
      <c r="AA1785" s="119">
        <f>IF(tech_base!$T41&gt;AA$1745,"",(tech_base!$K41/tech_proj!AA165*0.086*$J$132)/(1-tech_proj!AA445))</f>
        <v>0</v>
      </c>
      <c r="AB1785" s="119">
        <f>IF(tech_base!$T41&gt;AB$1745,"",(tech_base!$K41/tech_proj!AB165*0.086*$J$132)/(1-tech_proj!AB445))</f>
        <v>0</v>
      </c>
      <c r="AC1785" s="119">
        <f>IF(tech_base!$T41&gt;AC$1745,"",(tech_base!$K41/tech_proj!AC165*0.086*$J$132)/(1-tech_proj!AC445))</f>
        <v>0</v>
      </c>
      <c r="AD1785" s="119">
        <f>IF(tech_base!$T41&gt;AD$1745,"",(tech_base!$K41/tech_proj!AD165*0.086*$J$132)/(1-tech_proj!AD445))</f>
        <v>0</v>
      </c>
      <c r="AE1785" s="119">
        <f>IF(tech_base!$T41&gt;AE$1745,"",(tech_base!$K41/tech_proj!AE165*0.086*$J$132)/(1-tech_proj!AE445))</f>
        <v>0</v>
      </c>
      <c r="AF1785" s="119">
        <f>IF(tech_base!$T41&gt;AF$1745,"",(tech_base!$K41/tech_proj!AF165*0.086*$J$132)/(1-tech_proj!AF445))</f>
        <v>0</v>
      </c>
      <c r="AG1785" s="119">
        <f>IF(tech_base!$T41&gt;AG$1745,"",(tech_base!$K41/tech_proj!AG165*0.086*$J$132)/(1-tech_proj!AG445))</f>
        <v>0</v>
      </c>
      <c r="AH1785" s="119">
        <f>IF(tech_base!$T41&gt;AH$1745,"",(tech_base!$K41/tech_proj!AH165*0.086*$J$132)/(1-tech_proj!AH445))</f>
        <v>0</v>
      </c>
      <c r="AI1785" s="119">
        <f>IF(tech_base!$T41&gt;AI$1745,"",(tech_base!$K41/tech_proj!AI165*0.086*$J$132)/(1-tech_proj!AI445))</f>
        <v>0</v>
      </c>
      <c r="AJ1785" s="119">
        <f>IF(tech_base!$T41&gt;AJ$1745,"",(tech_base!$K41/tech_proj!AJ165*0.086*$J$132)/(1-tech_proj!AJ445))</f>
        <v>0</v>
      </c>
      <c r="AK1785" s="119">
        <f>IF(tech_base!$T41&gt;AK$1745,"",(tech_base!$K41/tech_proj!AK165*0.086*$J$132)/(1-tech_proj!AK445))</f>
        <v>0</v>
      </c>
      <c r="AL1785" s="119">
        <f>IF(tech_base!$T41&gt;AL$1745,"",(tech_base!$K41/tech_proj!AL165*0.086*$J$132)/(1-tech_proj!AL445))</f>
        <v>0</v>
      </c>
      <c r="AM1785" s="119">
        <f>IF(tech_base!$T41&gt;AM$1745,"",(tech_base!$K41/tech_proj!AM165*0.086*$J$132)/(1-tech_proj!AM445))</f>
        <v>0</v>
      </c>
      <c r="AN1785" s="119">
        <f>IF(tech_base!$T41&gt;AN$1745,"",(tech_base!$K41/tech_proj!AN165*0.086*$J$132)/(1-tech_proj!AN445))</f>
        <v>0</v>
      </c>
      <c r="AO1785" s="119">
        <f>IF(tech_base!$T41&gt;AO$1745,"",(tech_base!$K41/tech_proj!AO165*0.086*$J$132)/(1-tech_proj!AO445))</f>
        <v>0</v>
      </c>
      <c r="AP1785" s="119">
        <f>IF(tech_base!$T41&gt;AP$1745,"",(tech_base!$K41/tech_proj!AP165*0.086*$J$132)/(1-tech_proj!AP445))</f>
        <v>0</v>
      </c>
      <c r="AQ1785" s="119">
        <f>IF(tech_base!$T41&gt;AQ$1745,"",(tech_base!$K41/tech_proj!AQ165*0.086*$J$132)/(1-tech_proj!AQ445))</f>
        <v>0</v>
      </c>
      <c r="AR1785" s="119">
        <f>IF(tech_base!$T41&gt;AR$1745,"",(tech_base!$K41/tech_proj!AR165*0.086*$J$132)/(1-tech_proj!AR445))</f>
        <v>0</v>
      </c>
      <c r="AS1785" s="119">
        <f>IF(tech_base!$T41&gt;AS$1745,"",(tech_base!$K41/tech_proj!AS165*0.086*$J$132)/(1-tech_proj!AS445))</f>
        <v>0</v>
      </c>
      <c r="AT1785" s="119">
        <f>IF(tech_base!$T41&gt;AT$1745,"",(tech_base!$K41/tech_proj!AT165*0.086*$J$132)/(1-tech_proj!AT445))</f>
        <v>0</v>
      </c>
      <c r="AU1785" s="119">
        <f>IF(tech_base!$T41&gt;AU$1745,"",(tech_base!$K41/tech_proj!AU165*0.086*$J$132)/(1-tech_proj!AU445))</f>
        <v>0</v>
      </c>
      <c r="AV1785" s="119">
        <f>IF(tech_base!$T41&gt;AV$1745,"",(tech_base!$K41/tech_proj!AV165*0.086*$J$132)/(1-tech_proj!AV445))</f>
        <v>0</v>
      </c>
      <c r="AW1785" s="119">
        <f>IF(tech_base!$T41&gt;AW$1745,"",(tech_base!$K41/tech_proj!AW165*0.086*$J$132)/(1-tech_proj!AW445))</f>
        <v>0</v>
      </c>
      <c r="AX1785" s="120">
        <f>IF(tech_base!$T41&gt;AX$1745,"",(tech_base!$K41/tech_proj!AX165*0.086*$J$132)/(1-tech_proj!AX445))</f>
        <v>0</v>
      </c>
    </row>
    <row r="1786" spans="1:50" x14ac:dyDescent="0.25">
      <c r="A1786" s="356"/>
      <c r="B1786" s="376"/>
      <c r="C1786" s="379"/>
      <c r="D1786" s="59" t="s">
        <v>20</v>
      </c>
      <c r="E1786" s="166" t="str">
        <f>A1753&amp;"/"&amp;B1779&amp;"/"&amp;C1783&amp;"/"&amp;D1786</f>
        <v>Coal fired power plants/Steam turbine/CHP/XS</v>
      </c>
      <c r="F1786" s="79" t="str">
        <f>A1753</f>
        <v>Coal fired power plants</v>
      </c>
      <c r="G1786" s="79" t="str">
        <f>B1779</f>
        <v>Steam turbine</v>
      </c>
      <c r="H1786" s="79" t="str">
        <f>C1783</f>
        <v>CHP</v>
      </c>
      <c r="I1786" s="167" t="str">
        <f t="shared" si="382"/>
        <v>XS</v>
      </c>
      <c r="J1786" s="125">
        <f>IF(tech_base!$T42&gt;J$1745,"",(tech_base!$K42/tech_proj!J166*0.086*$J$132)/(1-tech_proj!J446))</f>
        <v>0</v>
      </c>
      <c r="K1786" s="125">
        <f>IF(tech_base!$T42&gt;K$1745,"",(tech_base!$K42/tech_proj!K166*0.086*$J$132)/(1-tech_proj!K446))</f>
        <v>0</v>
      </c>
      <c r="L1786" s="125">
        <f>IF(tech_base!$T42&gt;L$1745,"",(tech_base!$K42/tech_proj!L166*0.086*$J$132)/(1-tech_proj!L446))</f>
        <v>0</v>
      </c>
      <c r="M1786" s="125">
        <f>IF(tech_base!$T42&gt;M$1745,"",(tech_base!$K42/tech_proj!M166*0.086*$J$132)/(1-tech_proj!M446))</f>
        <v>0</v>
      </c>
      <c r="N1786" s="125">
        <f>IF(tech_base!$T42&gt;N$1745,"",(tech_base!$K42/tech_proj!N166*0.086*$J$132)/(1-tech_proj!N446))</f>
        <v>0</v>
      </c>
      <c r="O1786" s="125">
        <f>IF(tech_base!$T42&gt;O$1745,"",(tech_base!$K42/tech_proj!O166*0.086*$J$132)/(1-tech_proj!O446))</f>
        <v>0</v>
      </c>
      <c r="P1786" s="125">
        <f>IF(tech_base!$T42&gt;P$1745,"",(tech_base!$K42/tech_proj!P166*0.086*$J$132)/(1-tech_proj!P446))</f>
        <v>0</v>
      </c>
      <c r="Q1786" s="125">
        <f>IF(tech_base!$T42&gt;Q$1745,"",(tech_base!$K42/tech_proj!Q166*0.086*$J$132)/(1-tech_proj!Q446))</f>
        <v>0</v>
      </c>
      <c r="R1786" s="125">
        <f>IF(tech_base!$T42&gt;R$1745,"",(tech_base!$K42/tech_proj!R166*0.086*$J$132)/(1-tech_proj!R446))</f>
        <v>0</v>
      </c>
      <c r="S1786" s="125">
        <f>IF(tech_base!$T42&gt;S$1745,"",(tech_base!$K42/tech_proj!S166*0.086*$J$132)/(1-tech_proj!S446))</f>
        <v>0</v>
      </c>
      <c r="T1786" s="125">
        <f>IF(tech_base!$T42&gt;T$1745,"",(tech_base!$K42/tech_proj!T166*0.086*$J$132)/(1-tech_proj!T446))</f>
        <v>0</v>
      </c>
      <c r="U1786" s="125">
        <f>IF(tech_base!$T42&gt;U$1745,"",(tech_base!$K42/tech_proj!U166*0.086*$J$132)/(1-tech_proj!U446))</f>
        <v>0</v>
      </c>
      <c r="V1786" s="125">
        <f>IF(tech_base!$T42&gt;V$1745,"",(tech_base!$K42/tech_proj!V166*0.086*$J$132)/(1-tech_proj!V446))</f>
        <v>0</v>
      </c>
      <c r="W1786" s="125">
        <f>IF(tech_base!$T42&gt;W$1745,"",(tech_base!$K42/tech_proj!W166*0.086*$J$132)/(1-tech_proj!W446))</f>
        <v>0</v>
      </c>
      <c r="X1786" s="125">
        <f>IF(tech_base!$T42&gt;X$1745,"",(tech_base!$K42/tech_proj!X166*0.086*$J$132)/(1-tech_proj!X446))</f>
        <v>0</v>
      </c>
      <c r="Y1786" s="125">
        <f>IF(tech_base!$T42&gt;Y$1745,"",(tech_base!$K42/tech_proj!Y166*0.086*$J$132)/(1-tech_proj!Y446))</f>
        <v>0</v>
      </c>
      <c r="Z1786" s="125">
        <f>IF(tech_base!$T42&gt;Z$1745,"",(tech_base!$K42/tech_proj!Z166*0.086*$J$132)/(1-tech_proj!Z446))</f>
        <v>0</v>
      </c>
      <c r="AA1786" s="125">
        <f>IF(tech_base!$T42&gt;AA$1745,"",(tech_base!$K42/tech_proj!AA166*0.086*$J$132)/(1-tech_proj!AA446))</f>
        <v>0</v>
      </c>
      <c r="AB1786" s="125">
        <f>IF(tech_base!$T42&gt;AB$1745,"",(tech_base!$K42/tech_proj!AB166*0.086*$J$132)/(1-tech_proj!AB446))</f>
        <v>0</v>
      </c>
      <c r="AC1786" s="125">
        <f>IF(tech_base!$T42&gt;AC$1745,"",(tech_base!$K42/tech_proj!AC166*0.086*$J$132)/(1-tech_proj!AC446))</f>
        <v>0</v>
      </c>
      <c r="AD1786" s="125">
        <f>IF(tech_base!$T42&gt;AD$1745,"",(tech_base!$K42/tech_proj!AD166*0.086*$J$132)/(1-tech_proj!AD446))</f>
        <v>0</v>
      </c>
      <c r="AE1786" s="125">
        <f>IF(tech_base!$T42&gt;AE$1745,"",(tech_base!$K42/tech_proj!AE166*0.086*$J$132)/(1-tech_proj!AE446))</f>
        <v>0</v>
      </c>
      <c r="AF1786" s="125">
        <f>IF(tech_base!$T42&gt;AF$1745,"",(tech_base!$K42/tech_proj!AF166*0.086*$J$132)/(1-tech_proj!AF446))</f>
        <v>0</v>
      </c>
      <c r="AG1786" s="125">
        <f>IF(tech_base!$T42&gt;AG$1745,"",(tech_base!$K42/tech_proj!AG166*0.086*$J$132)/(1-tech_proj!AG446))</f>
        <v>0</v>
      </c>
      <c r="AH1786" s="125">
        <f>IF(tech_base!$T42&gt;AH$1745,"",(tech_base!$K42/tech_proj!AH166*0.086*$J$132)/(1-tech_proj!AH446))</f>
        <v>0</v>
      </c>
      <c r="AI1786" s="125">
        <f>IF(tech_base!$T42&gt;AI$1745,"",(tech_base!$K42/tech_proj!AI166*0.086*$J$132)/(1-tech_proj!AI446))</f>
        <v>0</v>
      </c>
      <c r="AJ1786" s="125">
        <f>IF(tech_base!$T42&gt;AJ$1745,"",(tech_base!$K42/tech_proj!AJ166*0.086*$J$132)/(1-tech_proj!AJ446))</f>
        <v>0</v>
      </c>
      <c r="AK1786" s="125">
        <f>IF(tech_base!$T42&gt;AK$1745,"",(tech_base!$K42/tech_proj!AK166*0.086*$J$132)/(1-tech_proj!AK446))</f>
        <v>0</v>
      </c>
      <c r="AL1786" s="125">
        <f>IF(tech_base!$T42&gt;AL$1745,"",(tech_base!$K42/tech_proj!AL166*0.086*$J$132)/(1-tech_proj!AL446))</f>
        <v>0</v>
      </c>
      <c r="AM1786" s="125">
        <f>IF(tech_base!$T42&gt;AM$1745,"",(tech_base!$K42/tech_proj!AM166*0.086*$J$132)/(1-tech_proj!AM446))</f>
        <v>0</v>
      </c>
      <c r="AN1786" s="125">
        <f>IF(tech_base!$T42&gt;AN$1745,"",(tech_base!$K42/tech_proj!AN166*0.086*$J$132)/(1-tech_proj!AN446))</f>
        <v>0</v>
      </c>
      <c r="AO1786" s="125">
        <f>IF(tech_base!$T42&gt;AO$1745,"",(tech_base!$K42/tech_proj!AO166*0.086*$J$132)/(1-tech_proj!AO446))</f>
        <v>0</v>
      </c>
      <c r="AP1786" s="125">
        <f>IF(tech_base!$T42&gt;AP$1745,"",(tech_base!$K42/tech_proj!AP166*0.086*$J$132)/(1-tech_proj!AP446))</f>
        <v>0</v>
      </c>
      <c r="AQ1786" s="125">
        <f>IF(tech_base!$T42&gt;AQ$1745,"",(tech_base!$K42/tech_proj!AQ166*0.086*$J$132)/(1-tech_proj!AQ446))</f>
        <v>0</v>
      </c>
      <c r="AR1786" s="125">
        <f>IF(tech_base!$T42&gt;AR$1745,"",(tech_base!$K42/tech_proj!AR166*0.086*$J$132)/(1-tech_proj!AR446))</f>
        <v>0</v>
      </c>
      <c r="AS1786" s="125">
        <f>IF(tech_base!$T42&gt;AS$1745,"",(tech_base!$K42/tech_proj!AS166*0.086*$J$132)/(1-tech_proj!AS446))</f>
        <v>0</v>
      </c>
      <c r="AT1786" s="125">
        <f>IF(tech_base!$T42&gt;AT$1745,"",(tech_base!$K42/tech_proj!AT166*0.086*$J$132)/(1-tech_proj!AT446))</f>
        <v>0</v>
      </c>
      <c r="AU1786" s="125">
        <f>IF(tech_base!$T42&gt;AU$1745,"",(tech_base!$K42/tech_proj!AU166*0.086*$J$132)/(1-tech_proj!AU446))</f>
        <v>0</v>
      </c>
      <c r="AV1786" s="125">
        <f>IF(tech_base!$T42&gt;AV$1745,"",(tech_base!$K42/tech_proj!AV166*0.086*$J$132)/(1-tech_proj!AV446))</f>
        <v>0</v>
      </c>
      <c r="AW1786" s="125">
        <f>IF(tech_base!$T42&gt;AW$1745,"",(tech_base!$K42/tech_proj!AW166*0.086*$J$132)/(1-tech_proj!AW446))</f>
        <v>0</v>
      </c>
      <c r="AX1786" s="126">
        <f>IF(tech_base!$T42&gt;AX$1745,"",(tech_base!$K42/tech_proj!AX166*0.086*$J$132)/(1-tech_proj!AX446))</f>
        <v>0</v>
      </c>
    </row>
    <row r="1787" spans="1:50" x14ac:dyDescent="0.25">
      <c r="A1787" s="356"/>
      <c r="B1787" s="376"/>
      <c r="C1787" s="361" t="s">
        <v>15</v>
      </c>
      <c r="D1787" s="58" t="s">
        <v>7</v>
      </c>
      <c r="E1787" s="164" t="str">
        <f>A1753&amp;"/"&amp;B1779&amp;"/"&amp;C1787&amp;"/"&amp;D1787</f>
        <v>Coal fired power plants/Steam turbine/Electricity only with CCS/L</v>
      </c>
      <c r="F1787" s="78" t="str">
        <f>A1753</f>
        <v>Coal fired power plants</v>
      </c>
      <c r="G1787" s="78" t="str">
        <f>B1779</f>
        <v>Steam turbine</v>
      </c>
      <c r="H1787" s="78" t="str">
        <f>C1787</f>
        <v>Electricity only with CCS</v>
      </c>
      <c r="I1787" s="165" t="str">
        <f t="shared" si="382"/>
        <v>L</v>
      </c>
      <c r="J1787" s="123" t="str">
        <f>IF(tech_base!$T43&gt;J$1745,"",(tech_base!$K43/tech_proj!J167*0.086*$J$132)/(1-tech_proj!J447))</f>
        <v/>
      </c>
      <c r="K1787" s="123" t="str">
        <f>IF(tech_base!$T43&gt;K$1745,"",(tech_base!$K43/tech_proj!K167*0.086*$J$132)/(1-tech_proj!K447))</f>
        <v/>
      </c>
      <c r="L1787" s="123" t="str">
        <f>IF(tech_base!$T43&gt;L$1745,"",(tech_base!$K43/tech_proj!L167*0.086*$J$132)/(1-tech_proj!L447))</f>
        <v/>
      </c>
      <c r="M1787" s="123" t="str">
        <f>IF(tech_base!$T43&gt;M$1745,"",(tech_base!$K43/tech_proj!M167*0.086*$J$132)/(1-tech_proj!M447))</f>
        <v/>
      </c>
      <c r="N1787" s="123" t="str">
        <f>IF(tech_base!$T43&gt;N$1745,"",(tech_base!$K43/tech_proj!N167*0.086*$J$132)/(1-tech_proj!N447))</f>
        <v/>
      </c>
      <c r="O1787" s="123" t="str">
        <f>IF(tech_base!$T43&gt;O$1745,"",(tech_base!$K43/tech_proj!O167*0.086*$J$132)/(1-tech_proj!O447))</f>
        <v/>
      </c>
      <c r="P1787" s="123" t="str">
        <f>IF(tech_base!$T43&gt;P$1745,"",(tech_base!$K43/tech_proj!P167*0.086*$J$132)/(1-tech_proj!P447))</f>
        <v/>
      </c>
      <c r="Q1787" s="123" t="str">
        <f>IF(tech_base!$T43&gt;Q$1745,"",(tech_base!$K43/tech_proj!Q167*0.086*$J$132)/(1-tech_proj!Q447))</f>
        <v/>
      </c>
      <c r="R1787" s="123" t="str">
        <f>IF(tech_base!$T43&gt;R$1745,"",(tech_base!$K43/tech_proj!R167*0.086*$J$132)/(1-tech_proj!R447))</f>
        <v/>
      </c>
      <c r="S1787" s="123" t="str">
        <f>IF(tech_base!$T43&gt;S$1745,"",(tech_base!$K43/tech_proj!S167*0.086*$J$132)/(1-tech_proj!S447))</f>
        <v/>
      </c>
      <c r="T1787" s="123" t="str">
        <f>IF(tech_base!$T43&gt;T$1745,"",(tech_base!$K43/tech_proj!T167*0.086*$J$132)/(1-tech_proj!T447))</f>
        <v/>
      </c>
      <c r="U1787" s="123" t="str">
        <f>IF(tech_base!$T43&gt;U$1745,"",(tech_base!$K43/tech_proj!U167*0.086*$J$132)/(1-tech_proj!U447))</f>
        <v/>
      </c>
      <c r="V1787" s="123" t="str">
        <f>IF(tech_base!$T43&gt;V$1745,"",(tech_base!$K43/tech_proj!V167*0.086*$J$132)/(1-tech_proj!V447))</f>
        <v/>
      </c>
      <c r="W1787" s="123" t="str">
        <f>IF(tech_base!$T43&gt;W$1745,"",(tech_base!$K43/tech_proj!W167*0.086*$J$132)/(1-tech_proj!W447))</f>
        <v/>
      </c>
      <c r="X1787" s="123" t="str">
        <f>IF(tech_base!$T43&gt;X$1745,"",(tech_base!$K43/tech_proj!X167*0.086*$J$132)/(1-tech_proj!X447))</f>
        <v/>
      </c>
      <c r="Y1787" s="123" t="str">
        <f>IF(tech_base!$T43&gt;Y$1745,"",(tech_base!$K43/tech_proj!Y167*0.086*$J$132)/(1-tech_proj!Y447))</f>
        <v/>
      </c>
      <c r="Z1787" s="123" t="str">
        <f>IF(tech_base!$T43&gt;Z$1745,"",(tech_base!$K43/tech_proj!Z167*0.086*$J$132)/(1-tech_proj!Z447))</f>
        <v/>
      </c>
      <c r="AA1787" s="123" t="str">
        <f>IF(tech_base!$T43&gt;AA$1745,"",(tech_base!$K43/tech_proj!AA167*0.086*$J$132)/(1-tech_proj!AA447))</f>
        <v/>
      </c>
      <c r="AB1787" s="123" t="str">
        <f>IF(tech_base!$T43&gt;AB$1745,"",(tech_base!$K43/tech_proj!AB167*0.086*$J$132)/(1-tech_proj!AB447))</f>
        <v/>
      </c>
      <c r="AC1787" s="123" t="str">
        <f>IF(tech_base!$T43&gt;AC$1745,"",(tech_base!$K43/tech_proj!AC167*0.086*$J$132)/(1-tech_proj!AC447))</f>
        <v/>
      </c>
      <c r="AD1787" s="123" t="str">
        <f>IF(tech_base!$T43&gt;AD$1745,"",(tech_base!$K43/tech_proj!AD167*0.086*$J$132)/(1-tech_proj!AD447))</f>
        <v/>
      </c>
      <c r="AE1787" s="123">
        <f>IF(tech_base!$T43&gt;AE$1745,"",(tech_base!$K43/tech_proj!AE167*0.086*$J$132)/(1-tech_proj!AE447))</f>
        <v>10.804033557528864</v>
      </c>
      <c r="AF1787" s="123">
        <f>IF(tech_base!$T43&gt;AF$1745,"",(tech_base!$K43/tech_proj!AF167*0.086*$J$132)/(1-tech_proj!AF447))</f>
        <v>10.804033557528864</v>
      </c>
      <c r="AG1787" s="123">
        <f>IF(tech_base!$T43&gt;AG$1745,"",(tech_base!$K43/tech_proj!AG167*0.086*$J$132)/(1-tech_proj!AG447))</f>
        <v>10.804033557528864</v>
      </c>
      <c r="AH1787" s="123">
        <f>IF(tech_base!$T43&gt;AH$1745,"",(tech_base!$K43/tech_proj!AH167*0.086*$J$132)/(1-tech_proj!AH447))</f>
        <v>10.804033557528864</v>
      </c>
      <c r="AI1787" s="123">
        <f>IF(tech_base!$T43&gt;AI$1745,"",(tech_base!$K43/tech_proj!AI167*0.086*$J$132)/(1-tech_proj!AI447))</f>
        <v>10.804033557528864</v>
      </c>
      <c r="AJ1787" s="123">
        <f>IF(tech_base!$T43&gt;AJ$1745,"",(tech_base!$K43/tech_proj!AJ167*0.086*$J$132)/(1-tech_proj!AJ447))</f>
        <v>10.804033557528864</v>
      </c>
      <c r="AK1787" s="123">
        <f>IF(tech_base!$T43&gt;AK$1745,"",(tech_base!$K43/tech_proj!AK167*0.086*$J$132)/(1-tech_proj!AK447))</f>
        <v>10.804033557528864</v>
      </c>
      <c r="AL1787" s="123">
        <f>IF(tech_base!$T43&gt;AL$1745,"",(tech_base!$K43/tech_proj!AL167*0.086*$J$132)/(1-tech_proj!AL447))</f>
        <v>10.804033557528864</v>
      </c>
      <c r="AM1787" s="123">
        <f>IF(tech_base!$T43&gt;AM$1745,"",(tech_base!$K43/tech_proj!AM167*0.086*$J$132)/(1-tech_proj!AM447))</f>
        <v>10.804033557528864</v>
      </c>
      <c r="AN1787" s="123">
        <f>IF(tech_base!$T43&gt;AN$1745,"",(tech_base!$K43/tech_proj!AN167*0.086*$J$132)/(1-tech_proj!AN447))</f>
        <v>10.804033557528864</v>
      </c>
      <c r="AO1787" s="123">
        <f>IF(tech_base!$T43&gt;AO$1745,"",(tech_base!$K43/tech_proj!AO167*0.086*$J$132)/(1-tech_proj!AO447))</f>
        <v>10.804033557528864</v>
      </c>
      <c r="AP1787" s="123">
        <f>IF(tech_base!$T43&gt;AP$1745,"",(tech_base!$K43/tech_proj!AP167*0.086*$J$132)/(1-tech_proj!AP447))</f>
        <v>10.804033557528864</v>
      </c>
      <c r="AQ1787" s="123">
        <f>IF(tech_base!$T43&gt;AQ$1745,"",(tech_base!$K43/tech_proj!AQ167*0.086*$J$132)/(1-tech_proj!AQ447))</f>
        <v>10.804033557528864</v>
      </c>
      <c r="AR1787" s="123">
        <f>IF(tech_base!$T43&gt;AR$1745,"",(tech_base!$K43/tech_proj!AR167*0.086*$J$132)/(1-tech_proj!AR447))</f>
        <v>10.804033557528864</v>
      </c>
      <c r="AS1787" s="123">
        <f>IF(tech_base!$T43&gt;AS$1745,"",(tech_base!$K43/tech_proj!AS167*0.086*$J$132)/(1-tech_proj!AS447))</f>
        <v>10.804033557528864</v>
      </c>
      <c r="AT1787" s="123">
        <f>IF(tech_base!$T43&gt;AT$1745,"",(tech_base!$K43/tech_proj!AT167*0.086*$J$132)/(1-tech_proj!AT447))</f>
        <v>10.804033557528864</v>
      </c>
      <c r="AU1787" s="123">
        <f>IF(tech_base!$T43&gt;AU$1745,"",(tech_base!$K43/tech_proj!AU167*0.086*$J$132)/(1-tech_proj!AU447))</f>
        <v>10.804033557528864</v>
      </c>
      <c r="AV1787" s="123">
        <f>IF(tech_base!$T43&gt;AV$1745,"",(tech_base!$K43/tech_proj!AV167*0.086*$J$132)/(1-tech_proj!AV447))</f>
        <v>10.804033557528864</v>
      </c>
      <c r="AW1787" s="123">
        <f>IF(tech_base!$T43&gt;AW$1745,"",(tech_base!$K43/tech_proj!AW167*0.086*$J$132)/(1-tech_proj!AW447))</f>
        <v>10.804033557528864</v>
      </c>
      <c r="AX1787" s="124">
        <f>IF(tech_base!$T43&gt;AX$1745,"",(tech_base!$K43/tech_proj!AX167*0.086*$J$132)/(1-tech_proj!AX447))</f>
        <v>10.804033557528864</v>
      </c>
    </row>
    <row r="1788" spans="1:50" x14ac:dyDescent="0.25">
      <c r="A1788" s="356"/>
      <c r="B1788" s="376"/>
      <c r="C1788" s="379"/>
      <c r="D1788" s="59" t="s">
        <v>8</v>
      </c>
      <c r="E1788" s="166" t="str">
        <f>A1753&amp;"/"&amp;B1779&amp;"/"&amp;C1787&amp;"/"&amp;D1788</f>
        <v>Coal fired power plants/Steam turbine/Electricity only with CCS/M</v>
      </c>
      <c r="F1788" s="79" t="str">
        <f>A1753</f>
        <v>Coal fired power plants</v>
      </c>
      <c r="G1788" s="79" t="str">
        <f>B1779</f>
        <v>Steam turbine</v>
      </c>
      <c r="H1788" s="79" t="str">
        <f>C1787</f>
        <v>Electricity only with CCS</v>
      </c>
      <c r="I1788" s="167" t="str">
        <f t="shared" si="382"/>
        <v>M</v>
      </c>
      <c r="J1788" s="125" t="str">
        <f>IF(tech_base!$T44&gt;J$1745,"",(tech_base!$K44/tech_proj!J168*0.086*$J$132)/(1-tech_proj!J448))</f>
        <v/>
      </c>
      <c r="K1788" s="125" t="str">
        <f>IF(tech_base!$T44&gt;K$1745,"",(tech_base!$K44/tech_proj!K168*0.086*$J$132)/(1-tech_proj!K448))</f>
        <v/>
      </c>
      <c r="L1788" s="125" t="str">
        <f>IF(tech_base!$T44&gt;L$1745,"",(tech_base!$K44/tech_proj!L168*0.086*$J$132)/(1-tech_proj!L448))</f>
        <v/>
      </c>
      <c r="M1788" s="125" t="str">
        <f>IF(tech_base!$T44&gt;M$1745,"",(tech_base!$K44/tech_proj!M168*0.086*$J$132)/(1-tech_proj!M448))</f>
        <v/>
      </c>
      <c r="N1788" s="125" t="str">
        <f>IF(tech_base!$T44&gt;N$1745,"",(tech_base!$K44/tech_proj!N168*0.086*$J$132)/(1-tech_proj!N448))</f>
        <v/>
      </c>
      <c r="O1788" s="125" t="str">
        <f>IF(tech_base!$T44&gt;O$1745,"",(tech_base!$K44/tech_proj!O168*0.086*$J$132)/(1-tech_proj!O448))</f>
        <v/>
      </c>
      <c r="P1788" s="125" t="str">
        <f>IF(tech_base!$T44&gt;P$1745,"",(tech_base!$K44/tech_proj!P168*0.086*$J$132)/(1-tech_proj!P448))</f>
        <v/>
      </c>
      <c r="Q1788" s="125" t="str">
        <f>IF(tech_base!$T44&gt;Q$1745,"",(tech_base!$K44/tech_proj!Q168*0.086*$J$132)/(1-tech_proj!Q448))</f>
        <v/>
      </c>
      <c r="R1788" s="125" t="str">
        <f>IF(tech_base!$T44&gt;R$1745,"",(tech_base!$K44/tech_proj!R168*0.086*$J$132)/(1-tech_proj!R448))</f>
        <v/>
      </c>
      <c r="S1788" s="125" t="str">
        <f>IF(tech_base!$T44&gt;S$1745,"",(tech_base!$K44/tech_proj!S168*0.086*$J$132)/(1-tech_proj!S448))</f>
        <v/>
      </c>
      <c r="T1788" s="125" t="str">
        <f>IF(tech_base!$T44&gt;T$1745,"",(tech_base!$K44/tech_proj!T168*0.086*$J$132)/(1-tech_proj!T448))</f>
        <v/>
      </c>
      <c r="U1788" s="125" t="str">
        <f>IF(tech_base!$T44&gt;U$1745,"",(tech_base!$K44/tech_proj!U168*0.086*$J$132)/(1-tech_proj!U448))</f>
        <v/>
      </c>
      <c r="V1788" s="125" t="str">
        <f>IF(tech_base!$T44&gt;V$1745,"",(tech_base!$K44/tech_proj!V168*0.086*$J$132)/(1-tech_proj!V448))</f>
        <v/>
      </c>
      <c r="W1788" s="125" t="str">
        <f>IF(tech_base!$T44&gt;W$1745,"",(tech_base!$K44/tech_proj!W168*0.086*$J$132)/(1-tech_proj!W448))</f>
        <v/>
      </c>
      <c r="X1788" s="125" t="str">
        <f>IF(tech_base!$T44&gt;X$1745,"",(tech_base!$K44/tech_proj!X168*0.086*$J$132)/(1-tech_proj!X448))</f>
        <v/>
      </c>
      <c r="Y1788" s="125" t="str">
        <f>IF(tech_base!$T44&gt;Y$1745,"",(tech_base!$K44/tech_proj!Y168*0.086*$J$132)/(1-tech_proj!Y448))</f>
        <v/>
      </c>
      <c r="Z1788" s="125" t="str">
        <f>IF(tech_base!$T44&gt;Z$1745,"",(tech_base!$K44/tech_proj!Z168*0.086*$J$132)/(1-tech_proj!Z448))</f>
        <v/>
      </c>
      <c r="AA1788" s="125" t="str">
        <f>IF(tech_base!$T44&gt;AA$1745,"",(tech_base!$K44/tech_proj!AA168*0.086*$J$132)/(1-tech_proj!AA448))</f>
        <v/>
      </c>
      <c r="AB1788" s="125" t="str">
        <f>IF(tech_base!$T44&gt;AB$1745,"",(tech_base!$K44/tech_proj!AB168*0.086*$J$132)/(1-tech_proj!AB448))</f>
        <v/>
      </c>
      <c r="AC1788" s="125" t="str">
        <f>IF(tech_base!$T44&gt;AC$1745,"",(tech_base!$K44/tech_proj!AC168*0.086*$J$132)/(1-tech_proj!AC448))</f>
        <v/>
      </c>
      <c r="AD1788" s="125" t="str">
        <f>IF(tech_base!$T44&gt;AD$1745,"",(tech_base!$K44/tech_proj!AD168*0.086*$J$132)/(1-tech_proj!AD448))</f>
        <v/>
      </c>
      <c r="AE1788" s="125">
        <f>IF(tech_base!$T44&gt;AE$1745,"",(tech_base!$K44/tech_proj!AE168*0.086*$J$132)/(1-tech_proj!AE448))</f>
        <v>11.515344683254154</v>
      </c>
      <c r="AF1788" s="125">
        <f>IF(tech_base!$T44&gt;AF$1745,"",(tech_base!$K44/tech_proj!AF168*0.086*$J$132)/(1-tech_proj!AF448))</f>
        <v>11.515344683254154</v>
      </c>
      <c r="AG1788" s="125">
        <f>IF(tech_base!$T44&gt;AG$1745,"",(tech_base!$K44/tech_proj!AG168*0.086*$J$132)/(1-tech_proj!AG448))</f>
        <v>11.515344683254154</v>
      </c>
      <c r="AH1788" s="125">
        <f>IF(tech_base!$T44&gt;AH$1745,"",(tech_base!$K44/tech_proj!AH168*0.086*$J$132)/(1-tech_proj!AH448))</f>
        <v>11.515344683254154</v>
      </c>
      <c r="AI1788" s="125">
        <f>IF(tech_base!$T44&gt;AI$1745,"",(tech_base!$K44/tech_proj!AI168*0.086*$J$132)/(1-tech_proj!AI448))</f>
        <v>11.515344683254154</v>
      </c>
      <c r="AJ1788" s="125">
        <f>IF(tech_base!$T44&gt;AJ$1745,"",(tech_base!$K44/tech_proj!AJ168*0.086*$J$132)/(1-tech_proj!AJ448))</f>
        <v>11.515344683254154</v>
      </c>
      <c r="AK1788" s="125">
        <f>IF(tech_base!$T44&gt;AK$1745,"",(tech_base!$K44/tech_proj!AK168*0.086*$J$132)/(1-tech_proj!AK448))</f>
        <v>11.515344683254154</v>
      </c>
      <c r="AL1788" s="125">
        <f>IF(tech_base!$T44&gt;AL$1745,"",(tech_base!$K44/tech_proj!AL168*0.086*$J$132)/(1-tech_proj!AL448))</f>
        <v>11.515344683254154</v>
      </c>
      <c r="AM1788" s="125">
        <f>IF(tech_base!$T44&gt;AM$1745,"",(tech_base!$K44/tech_proj!AM168*0.086*$J$132)/(1-tech_proj!AM448))</f>
        <v>11.515344683254154</v>
      </c>
      <c r="AN1788" s="125">
        <f>IF(tech_base!$T44&gt;AN$1745,"",(tech_base!$K44/tech_proj!AN168*0.086*$J$132)/(1-tech_proj!AN448))</f>
        <v>11.515344683254154</v>
      </c>
      <c r="AO1788" s="125">
        <f>IF(tech_base!$T44&gt;AO$1745,"",(tech_base!$K44/tech_proj!AO168*0.086*$J$132)/(1-tech_proj!AO448))</f>
        <v>11.515344683254154</v>
      </c>
      <c r="AP1788" s="125">
        <f>IF(tech_base!$T44&gt;AP$1745,"",(tech_base!$K44/tech_proj!AP168*0.086*$J$132)/(1-tech_proj!AP448))</f>
        <v>11.515344683254154</v>
      </c>
      <c r="AQ1788" s="125">
        <f>IF(tech_base!$T44&gt;AQ$1745,"",(tech_base!$K44/tech_proj!AQ168*0.086*$J$132)/(1-tech_proj!AQ448))</f>
        <v>11.515344683254154</v>
      </c>
      <c r="AR1788" s="125">
        <f>IF(tech_base!$T44&gt;AR$1745,"",(tech_base!$K44/tech_proj!AR168*0.086*$J$132)/(1-tech_proj!AR448))</f>
        <v>11.515344683254154</v>
      </c>
      <c r="AS1788" s="125">
        <f>IF(tech_base!$T44&gt;AS$1745,"",(tech_base!$K44/tech_proj!AS168*0.086*$J$132)/(1-tech_proj!AS448))</f>
        <v>11.515344683254154</v>
      </c>
      <c r="AT1788" s="125">
        <f>IF(tech_base!$T44&gt;AT$1745,"",(tech_base!$K44/tech_proj!AT168*0.086*$J$132)/(1-tech_proj!AT448))</f>
        <v>11.515344683254154</v>
      </c>
      <c r="AU1788" s="125">
        <f>IF(tech_base!$T44&gt;AU$1745,"",(tech_base!$K44/tech_proj!AU168*0.086*$J$132)/(1-tech_proj!AU448))</f>
        <v>11.515344683254154</v>
      </c>
      <c r="AV1788" s="125">
        <f>IF(tech_base!$T44&gt;AV$1745,"",(tech_base!$K44/tech_proj!AV168*0.086*$J$132)/(1-tech_proj!AV448))</f>
        <v>11.515344683254154</v>
      </c>
      <c r="AW1788" s="125">
        <f>IF(tech_base!$T44&gt;AW$1745,"",(tech_base!$K44/tech_proj!AW168*0.086*$J$132)/(1-tech_proj!AW448))</f>
        <v>11.515344683254154</v>
      </c>
      <c r="AX1788" s="126">
        <f>IF(tech_base!$T44&gt;AX$1745,"",(tech_base!$K44/tech_proj!AX168*0.086*$J$132)/(1-tech_proj!AX448))</f>
        <v>11.515344683254154</v>
      </c>
    </row>
    <row r="1789" spans="1:50" x14ac:dyDescent="0.25">
      <c r="A1789" s="356"/>
      <c r="B1789" s="376"/>
      <c r="C1789" s="361" t="s">
        <v>16</v>
      </c>
      <c r="D1789" s="2" t="s">
        <v>7</v>
      </c>
      <c r="E1789" s="160" t="str">
        <f>A1753&amp;"/"&amp;B1779&amp;"/"&amp;C1789&amp;"/"&amp;D1789</f>
        <v>Coal fired power plants/Steam turbine/CHP with CCS/L</v>
      </c>
      <c r="F1789" s="76" t="str">
        <f>A1753</f>
        <v>Coal fired power plants</v>
      </c>
      <c r="G1789" s="76" t="str">
        <f>B1779</f>
        <v>Steam turbine</v>
      </c>
      <c r="H1789" s="76" t="str">
        <f>C1789</f>
        <v>CHP with CCS</v>
      </c>
      <c r="I1789" s="161" t="str">
        <f t="shared" si="382"/>
        <v>L</v>
      </c>
      <c r="J1789" s="119" t="str">
        <f>IF(tech_base!$T45&gt;J$1745,"",(tech_base!$K45/tech_proj!J169*0.086*$J$132)/(1-tech_proj!J449))</f>
        <v/>
      </c>
      <c r="K1789" s="119" t="str">
        <f>IF(tech_base!$T45&gt;K$1745,"",(tech_base!$K45/tech_proj!K169*0.086*$J$132)/(1-tech_proj!K449))</f>
        <v/>
      </c>
      <c r="L1789" s="119" t="str">
        <f>IF(tech_base!$T45&gt;L$1745,"",(tech_base!$K45/tech_proj!L169*0.086*$J$132)/(1-tech_proj!L449))</f>
        <v/>
      </c>
      <c r="M1789" s="119" t="str">
        <f>IF(tech_base!$T45&gt;M$1745,"",(tech_base!$K45/tech_proj!M169*0.086*$J$132)/(1-tech_proj!M449))</f>
        <v/>
      </c>
      <c r="N1789" s="119" t="str">
        <f>IF(tech_base!$T45&gt;N$1745,"",(tech_base!$K45/tech_proj!N169*0.086*$J$132)/(1-tech_proj!N449))</f>
        <v/>
      </c>
      <c r="O1789" s="119" t="str">
        <f>IF(tech_base!$T45&gt;O$1745,"",(tech_base!$K45/tech_proj!O169*0.086*$J$132)/(1-tech_proj!O449))</f>
        <v/>
      </c>
      <c r="P1789" s="119" t="str">
        <f>IF(tech_base!$T45&gt;P$1745,"",(tech_base!$K45/tech_proj!P169*0.086*$J$132)/(1-tech_proj!P449))</f>
        <v/>
      </c>
      <c r="Q1789" s="119" t="str">
        <f>IF(tech_base!$T45&gt;Q$1745,"",(tech_base!$K45/tech_proj!Q169*0.086*$J$132)/(1-tech_proj!Q449))</f>
        <v/>
      </c>
      <c r="R1789" s="119" t="str">
        <f>IF(tech_base!$T45&gt;R$1745,"",(tech_base!$K45/tech_proj!R169*0.086*$J$132)/(1-tech_proj!R449))</f>
        <v/>
      </c>
      <c r="S1789" s="119" t="str">
        <f>IF(tech_base!$T45&gt;S$1745,"",(tech_base!$K45/tech_proj!S169*0.086*$J$132)/(1-tech_proj!S449))</f>
        <v/>
      </c>
      <c r="T1789" s="119" t="str">
        <f>IF(tech_base!$T45&gt;T$1745,"",(tech_base!$K45/tech_proj!T169*0.086*$J$132)/(1-tech_proj!T449))</f>
        <v/>
      </c>
      <c r="U1789" s="119" t="str">
        <f>IF(tech_base!$T45&gt;U$1745,"",(tech_base!$K45/tech_proj!U169*0.086*$J$132)/(1-tech_proj!U449))</f>
        <v/>
      </c>
      <c r="V1789" s="119" t="str">
        <f>IF(tech_base!$T45&gt;V$1745,"",(tech_base!$K45/tech_proj!V169*0.086*$J$132)/(1-tech_proj!V449))</f>
        <v/>
      </c>
      <c r="W1789" s="119" t="str">
        <f>IF(tech_base!$T45&gt;W$1745,"",(tech_base!$K45/tech_proj!W169*0.086*$J$132)/(1-tech_proj!W449))</f>
        <v/>
      </c>
      <c r="X1789" s="119" t="str">
        <f>IF(tech_base!$T45&gt;X$1745,"",(tech_base!$K45/tech_proj!X169*0.086*$J$132)/(1-tech_proj!X449))</f>
        <v/>
      </c>
      <c r="Y1789" s="119" t="str">
        <f>IF(tech_base!$T45&gt;Y$1745,"",(tech_base!$K45/tech_proj!Y169*0.086*$J$132)/(1-tech_proj!Y449))</f>
        <v/>
      </c>
      <c r="Z1789" s="119" t="str">
        <f>IF(tech_base!$T45&gt;Z$1745,"",(tech_base!$K45/tech_proj!Z169*0.086*$J$132)/(1-tech_proj!Z449))</f>
        <v/>
      </c>
      <c r="AA1789" s="119" t="str">
        <f>IF(tech_base!$T45&gt;AA$1745,"",(tech_base!$K45/tech_proj!AA169*0.086*$J$132)/(1-tech_proj!AA449))</f>
        <v/>
      </c>
      <c r="AB1789" s="119" t="str">
        <f>IF(tech_base!$T45&gt;AB$1745,"",(tech_base!$K45/tech_proj!AB169*0.086*$J$132)/(1-tech_proj!AB449))</f>
        <v/>
      </c>
      <c r="AC1789" s="119" t="str">
        <f>IF(tech_base!$T45&gt;AC$1745,"",(tech_base!$K45/tech_proj!AC169*0.086*$J$132)/(1-tech_proj!AC449))</f>
        <v/>
      </c>
      <c r="AD1789" s="119" t="str">
        <f>IF(tech_base!$T45&gt;AD$1745,"",(tech_base!$K45/tech_proj!AD169*0.086*$J$132)/(1-tech_proj!AD449))</f>
        <v/>
      </c>
      <c r="AE1789" s="119">
        <f>IF(tech_base!$T45&gt;AE$1745,"",(tech_base!$K45/tech_proj!AE169*0.086*$J$132)/(1-tech_proj!AE449))</f>
        <v>12.248442380845868</v>
      </c>
      <c r="AF1789" s="119">
        <f>IF(tech_base!$T45&gt;AF$1745,"",(tech_base!$K45/tech_proj!AF169*0.086*$J$132)/(1-tech_proj!AF449))</f>
        <v>12.248442380845868</v>
      </c>
      <c r="AG1789" s="119">
        <f>IF(tech_base!$T45&gt;AG$1745,"",(tech_base!$K45/tech_proj!AG169*0.086*$J$132)/(1-tech_proj!AG449))</f>
        <v>12.248442380845868</v>
      </c>
      <c r="AH1789" s="119">
        <f>IF(tech_base!$T45&gt;AH$1745,"",(tech_base!$K45/tech_proj!AH169*0.086*$J$132)/(1-tech_proj!AH449))</f>
        <v>12.248442380845868</v>
      </c>
      <c r="AI1789" s="119">
        <f>IF(tech_base!$T45&gt;AI$1745,"",(tech_base!$K45/tech_proj!AI169*0.086*$J$132)/(1-tech_proj!AI449))</f>
        <v>12.248442380845868</v>
      </c>
      <c r="AJ1789" s="119">
        <f>IF(tech_base!$T45&gt;AJ$1745,"",(tech_base!$K45/tech_proj!AJ169*0.086*$J$132)/(1-tech_proj!AJ449))</f>
        <v>12.248442380845868</v>
      </c>
      <c r="AK1789" s="119">
        <f>IF(tech_base!$T45&gt;AK$1745,"",(tech_base!$K45/tech_proj!AK169*0.086*$J$132)/(1-tech_proj!AK449))</f>
        <v>12.248442380845868</v>
      </c>
      <c r="AL1789" s="119">
        <f>IF(tech_base!$T45&gt;AL$1745,"",(tech_base!$K45/tech_proj!AL169*0.086*$J$132)/(1-tech_proj!AL449))</f>
        <v>12.248442380845868</v>
      </c>
      <c r="AM1789" s="119">
        <f>IF(tech_base!$T45&gt;AM$1745,"",(tech_base!$K45/tech_proj!AM169*0.086*$J$132)/(1-tech_proj!AM449))</f>
        <v>12.248442380845868</v>
      </c>
      <c r="AN1789" s="119">
        <f>IF(tech_base!$T45&gt;AN$1745,"",(tech_base!$K45/tech_proj!AN169*0.086*$J$132)/(1-tech_proj!AN449))</f>
        <v>12.248442380845868</v>
      </c>
      <c r="AO1789" s="119">
        <f>IF(tech_base!$T45&gt;AO$1745,"",(tech_base!$K45/tech_proj!AO169*0.086*$J$132)/(1-tech_proj!AO449))</f>
        <v>12.248442380845868</v>
      </c>
      <c r="AP1789" s="119">
        <f>IF(tech_base!$T45&gt;AP$1745,"",(tech_base!$K45/tech_proj!AP169*0.086*$J$132)/(1-tech_proj!AP449))</f>
        <v>12.248442380845868</v>
      </c>
      <c r="AQ1789" s="119">
        <f>IF(tech_base!$T45&gt;AQ$1745,"",(tech_base!$K45/tech_proj!AQ169*0.086*$J$132)/(1-tech_proj!AQ449))</f>
        <v>12.248442380845868</v>
      </c>
      <c r="AR1789" s="119">
        <f>IF(tech_base!$T45&gt;AR$1745,"",(tech_base!$K45/tech_proj!AR169*0.086*$J$132)/(1-tech_proj!AR449))</f>
        <v>12.248442380845868</v>
      </c>
      <c r="AS1789" s="119">
        <f>IF(tech_base!$T45&gt;AS$1745,"",(tech_base!$K45/tech_proj!AS169*0.086*$J$132)/(1-tech_proj!AS449))</f>
        <v>12.248442380845868</v>
      </c>
      <c r="AT1789" s="119">
        <f>IF(tech_base!$T45&gt;AT$1745,"",(tech_base!$K45/tech_proj!AT169*0.086*$J$132)/(1-tech_proj!AT449))</f>
        <v>12.248442380845868</v>
      </c>
      <c r="AU1789" s="119">
        <f>IF(tech_base!$T45&gt;AU$1745,"",(tech_base!$K45/tech_proj!AU169*0.086*$J$132)/(1-tech_proj!AU449))</f>
        <v>12.248442380845868</v>
      </c>
      <c r="AV1789" s="119">
        <f>IF(tech_base!$T45&gt;AV$1745,"",(tech_base!$K45/tech_proj!AV169*0.086*$J$132)/(1-tech_proj!AV449))</f>
        <v>12.248442380845868</v>
      </c>
      <c r="AW1789" s="119">
        <f>IF(tech_base!$T45&gt;AW$1745,"",(tech_base!$K45/tech_proj!AW169*0.086*$J$132)/(1-tech_proj!AW449))</f>
        <v>12.248442380845868</v>
      </c>
      <c r="AX1789" s="120">
        <f>IF(tech_base!$T45&gt;AX$1745,"",(tech_base!$K45/tech_proj!AX169*0.086*$J$132)/(1-tech_proj!AX449))</f>
        <v>12.248442380845868</v>
      </c>
    </row>
    <row r="1790" spans="1:50" x14ac:dyDescent="0.25">
      <c r="A1790" s="357"/>
      <c r="B1790" s="380"/>
      <c r="C1790" s="381"/>
      <c r="D1790" s="4" t="s">
        <v>8</v>
      </c>
      <c r="E1790" s="168" t="str">
        <f>A1753&amp;"/"&amp;B1779&amp;"/"&amp;C1789&amp;"/"&amp;D1790</f>
        <v>Coal fired power plants/Steam turbine/CHP with CCS/M</v>
      </c>
      <c r="F1790" s="80" t="str">
        <f>A1753</f>
        <v>Coal fired power plants</v>
      </c>
      <c r="G1790" s="80" t="str">
        <f>B1779</f>
        <v>Steam turbine</v>
      </c>
      <c r="H1790" s="80" t="str">
        <f>C1789</f>
        <v>CHP with CCS</v>
      </c>
      <c r="I1790" s="169" t="str">
        <f t="shared" si="382"/>
        <v>M</v>
      </c>
      <c r="J1790" s="127" t="str">
        <f>IF(tech_base!$T46&gt;J$1745,"",(tech_base!$K46/tech_proj!J170*0.086*$J$132)/(1-tech_proj!J450))</f>
        <v/>
      </c>
      <c r="K1790" s="127" t="str">
        <f>IF(tech_base!$T46&gt;K$1745,"",(tech_base!$K46/tech_proj!K170*0.086*$J$132)/(1-tech_proj!K450))</f>
        <v/>
      </c>
      <c r="L1790" s="127" t="str">
        <f>IF(tech_base!$T46&gt;L$1745,"",(tech_base!$K46/tech_proj!L170*0.086*$J$132)/(1-tech_proj!L450))</f>
        <v/>
      </c>
      <c r="M1790" s="127" t="str">
        <f>IF(tech_base!$T46&gt;M$1745,"",(tech_base!$K46/tech_proj!M170*0.086*$J$132)/(1-tech_proj!M450))</f>
        <v/>
      </c>
      <c r="N1790" s="127" t="str">
        <f>IF(tech_base!$T46&gt;N$1745,"",(tech_base!$K46/tech_proj!N170*0.086*$J$132)/(1-tech_proj!N450))</f>
        <v/>
      </c>
      <c r="O1790" s="127" t="str">
        <f>IF(tech_base!$T46&gt;O$1745,"",(tech_base!$K46/tech_proj!O170*0.086*$J$132)/(1-tech_proj!O450))</f>
        <v/>
      </c>
      <c r="P1790" s="127" t="str">
        <f>IF(tech_base!$T46&gt;P$1745,"",(tech_base!$K46/tech_proj!P170*0.086*$J$132)/(1-tech_proj!P450))</f>
        <v/>
      </c>
      <c r="Q1790" s="127" t="str">
        <f>IF(tech_base!$T46&gt;Q$1745,"",(tech_base!$K46/tech_proj!Q170*0.086*$J$132)/(1-tech_proj!Q450))</f>
        <v/>
      </c>
      <c r="R1790" s="127" t="str">
        <f>IF(tech_base!$T46&gt;R$1745,"",(tech_base!$K46/tech_proj!R170*0.086*$J$132)/(1-tech_proj!R450))</f>
        <v/>
      </c>
      <c r="S1790" s="127" t="str">
        <f>IF(tech_base!$T46&gt;S$1745,"",(tech_base!$K46/tech_proj!S170*0.086*$J$132)/(1-tech_proj!S450))</f>
        <v/>
      </c>
      <c r="T1790" s="127" t="str">
        <f>IF(tech_base!$T46&gt;T$1745,"",(tech_base!$K46/tech_proj!T170*0.086*$J$132)/(1-tech_proj!T450))</f>
        <v/>
      </c>
      <c r="U1790" s="127" t="str">
        <f>IF(tech_base!$T46&gt;U$1745,"",(tech_base!$K46/tech_proj!U170*0.086*$J$132)/(1-tech_proj!U450))</f>
        <v/>
      </c>
      <c r="V1790" s="127" t="str">
        <f>IF(tech_base!$T46&gt;V$1745,"",(tech_base!$K46/tech_proj!V170*0.086*$J$132)/(1-tech_proj!V450))</f>
        <v/>
      </c>
      <c r="W1790" s="127" t="str">
        <f>IF(tech_base!$T46&gt;W$1745,"",(tech_base!$K46/tech_proj!W170*0.086*$J$132)/(1-tech_proj!W450))</f>
        <v/>
      </c>
      <c r="X1790" s="127" t="str">
        <f>IF(tech_base!$T46&gt;X$1745,"",(tech_base!$K46/tech_proj!X170*0.086*$J$132)/(1-tech_proj!X450))</f>
        <v/>
      </c>
      <c r="Y1790" s="127" t="str">
        <f>IF(tech_base!$T46&gt;Y$1745,"",(tech_base!$K46/tech_proj!Y170*0.086*$J$132)/(1-tech_proj!Y450))</f>
        <v/>
      </c>
      <c r="Z1790" s="127" t="str">
        <f>IF(tech_base!$T46&gt;Z$1745,"",(tech_base!$K46/tech_proj!Z170*0.086*$J$132)/(1-tech_proj!Z450))</f>
        <v/>
      </c>
      <c r="AA1790" s="127" t="str">
        <f>IF(tech_base!$T46&gt;AA$1745,"",(tech_base!$K46/tech_proj!AA170*0.086*$J$132)/(1-tech_proj!AA450))</f>
        <v/>
      </c>
      <c r="AB1790" s="127" t="str">
        <f>IF(tech_base!$T46&gt;AB$1745,"",(tech_base!$K46/tech_proj!AB170*0.086*$J$132)/(1-tech_proj!AB450))</f>
        <v/>
      </c>
      <c r="AC1790" s="127" t="str">
        <f>IF(tech_base!$T46&gt;AC$1745,"",(tech_base!$K46/tech_proj!AC170*0.086*$J$132)/(1-tech_proj!AC450))</f>
        <v/>
      </c>
      <c r="AD1790" s="127" t="str">
        <f>IF(tech_base!$T46&gt;AD$1745,"",(tech_base!$K46/tech_proj!AD170*0.086*$J$132)/(1-tech_proj!AD450))</f>
        <v/>
      </c>
      <c r="AE1790" s="127">
        <f>IF(tech_base!$T46&gt;AE$1745,"",(tech_base!$K46/tech_proj!AE170*0.086*$J$132)/(1-tech_proj!AE450))</f>
        <v>13.081228433736605</v>
      </c>
      <c r="AF1790" s="127">
        <f>IF(tech_base!$T46&gt;AF$1745,"",(tech_base!$K46/tech_proj!AF170*0.086*$J$132)/(1-tech_proj!AF450))</f>
        <v>13.081228433736605</v>
      </c>
      <c r="AG1790" s="127">
        <f>IF(tech_base!$T46&gt;AG$1745,"",(tech_base!$K46/tech_proj!AG170*0.086*$J$132)/(1-tech_proj!AG450))</f>
        <v>13.081228433736605</v>
      </c>
      <c r="AH1790" s="127">
        <f>IF(tech_base!$T46&gt;AH$1745,"",(tech_base!$K46/tech_proj!AH170*0.086*$J$132)/(1-tech_proj!AH450))</f>
        <v>13.081228433736605</v>
      </c>
      <c r="AI1790" s="127">
        <f>IF(tech_base!$T46&gt;AI$1745,"",(tech_base!$K46/tech_proj!AI170*0.086*$J$132)/(1-tech_proj!AI450))</f>
        <v>13.081228433736605</v>
      </c>
      <c r="AJ1790" s="127">
        <f>IF(tech_base!$T46&gt;AJ$1745,"",(tech_base!$K46/tech_proj!AJ170*0.086*$J$132)/(1-tech_proj!AJ450))</f>
        <v>13.081228433736605</v>
      </c>
      <c r="AK1790" s="127">
        <f>IF(tech_base!$T46&gt;AK$1745,"",(tech_base!$K46/tech_proj!AK170*0.086*$J$132)/(1-tech_proj!AK450))</f>
        <v>13.081228433736605</v>
      </c>
      <c r="AL1790" s="127">
        <f>IF(tech_base!$T46&gt;AL$1745,"",(tech_base!$K46/tech_proj!AL170*0.086*$J$132)/(1-tech_proj!AL450))</f>
        <v>13.081228433736605</v>
      </c>
      <c r="AM1790" s="127">
        <f>IF(tech_base!$T46&gt;AM$1745,"",(tech_base!$K46/tech_proj!AM170*0.086*$J$132)/(1-tech_proj!AM450))</f>
        <v>13.081228433736605</v>
      </c>
      <c r="AN1790" s="127">
        <f>IF(tech_base!$T46&gt;AN$1745,"",(tech_base!$K46/tech_proj!AN170*0.086*$J$132)/(1-tech_proj!AN450))</f>
        <v>13.081228433736605</v>
      </c>
      <c r="AO1790" s="127">
        <f>IF(tech_base!$T46&gt;AO$1745,"",(tech_base!$K46/tech_proj!AO170*0.086*$J$132)/(1-tech_proj!AO450))</f>
        <v>13.081228433736605</v>
      </c>
      <c r="AP1790" s="127">
        <f>IF(tech_base!$T46&gt;AP$1745,"",(tech_base!$K46/tech_proj!AP170*0.086*$J$132)/(1-tech_proj!AP450))</f>
        <v>13.081228433736605</v>
      </c>
      <c r="AQ1790" s="127">
        <f>IF(tech_base!$T46&gt;AQ$1745,"",(tech_base!$K46/tech_proj!AQ170*0.086*$J$132)/(1-tech_proj!AQ450))</f>
        <v>13.081228433736605</v>
      </c>
      <c r="AR1790" s="127">
        <f>IF(tech_base!$T46&gt;AR$1745,"",(tech_base!$K46/tech_proj!AR170*0.086*$J$132)/(1-tech_proj!AR450))</f>
        <v>13.081228433736605</v>
      </c>
      <c r="AS1790" s="127">
        <f>IF(tech_base!$T46&gt;AS$1745,"",(tech_base!$K46/tech_proj!AS170*0.086*$J$132)/(1-tech_proj!AS450))</f>
        <v>13.081228433736605</v>
      </c>
      <c r="AT1790" s="127">
        <f>IF(tech_base!$T46&gt;AT$1745,"",(tech_base!$K46/tech_proj!AT170*0.086*$J$132)/(1-tech_proj!AT450))</f>
        <v>13.081228433736605</v>
      </c>
      <c r="AU1790" s="127">
        <f>IF(tech_base!$T46&gt;AU$1745,"",(tech_base!$K46/tech_proj!AU170*0.086*$J$132)/(1-tech_proj!AU450))</f>
        <v>13.081228433736605</v>
      </c>
      <c r="AV1790" s="127">
        <f>IF(tech_base!$T46&gt;AV$1745,"",(tech_base!$K46/tech_proj!AV170*0.086*$J$132)/(1-tech_proj!AV450))</f>
        <v>13.081228433736605</v>
      </c>
      <c r="AW1790" s="127">
        <f>IF(tech_base!$T46&gt;AW$1745,"",(tech_base!$K46/tech_proj!AW170*0.086*$J$132)/(1-tech_proj!AW450))</f>
        <v>13.081228433736605</v>
      </c>
      <c r="AX1790" s="128">
        <f>IF(tech_base!$T46&gt;AX$1745,"",(tech_base!$K46/tech_proj!AX170*0.086*$J$132)/(1-tech_proj!AX450))</f>
        <v>13.081228433736605</v>
      </c>
    </row>
    <row r="1791" spans="1:50" x14ac:dyDescent="0.25">
      <c r="A1791" s="355" t="s">
        <v>21</v>
      </c>
      <c r="B1791" s="358" t="s">
        <v>13</v>
      </c>
      <c r="C1791" s="353" t="s">
        <v>6</v>
      </c>
      <c r="D1791" s="3" t="s">
        <v>7</v>
      </c>
      <c r="E1791" s="162" t="str">
        <f>A1791&amp;"/"&amp;B1791&amp;"/"&amp;C1791&amp;"/"&amp;D1791</f>
        <v>Lignite fired power plants/Integrated gasification combined cycle/Electricity only/L</v>
      </c>
      <c r="F1791" s="77" t="str">
        <f>A1791</f>
        <v>Lignite fired power plants</v>
      </c>
      <c r="G1791" s="77" t="str">
        <f>B1791</f>
        <v>Integrated gasification combined cycle</v>
      </c>
      <c r="H1791" s="77" t="str">
        <f>C1791</f>
        <v>Electricity only</v>
      </c>
      <c r="I1791" s="163" t="str">
        <f t="shared" si="382"/>
        <v>L</v>
      </c>
      <c r="J1791" s="121">
        <f>IF(tech_base!$T47&gt;J$1745,"",(tech_base!$K47/tech_proj!J171*0.086*$J$132)/(1-tech_proj!J451))</f>
        <v>0</v>
      </c>
      <c r="K1791" s="121">
        <f>IF(tech_base!$T47&gt;K$1745,"",(tech_base!$K47/tech_proj!K171*0.086*$J$132)/(1-tech_proj!K451))</f>
        <v>0</v>
      </c>
      <c r="L1791" s="121">
        <f>IF(tech_base!$T47&gt;L$1745,"",(tech_base!$K47/tech_proj!L171*0.086*$J$132)/(1-tech_proj!L451))</f>
        <v>0</v>
      </c>
      <c r="M1791" s="121">
        <f>IF(tech_base!$T47&gt;M$1745,"",(tech_base!$K47/tech_proj!M171*0.086*$J$132)/(1-tech_proj!M451))</f>
        <v>0</v>
      </c>
      <c r="N1791" s="121">
        <f>IF(tech_base!$T47&gt;N$1745,"",(tech_base!$K47/tech_proj!N171*0.086*$J$132)/(1-tech_proj!N451))</f>
        <v>0</v>
      </c>
      <c r="O1791" s="121">
        <f>IF(tech_base!$T47&gt;O$1745,"",(tech_base!$K47/tech_proj!O171*0.086*$J$132)/(1-tech_proj!O451))</f>
        <v>0</v>
      </c>
      <c r="P1791" s="121">
        <f>IF(tech_base!$T47&gt;P$1745,"",(tech_base!$K47/tech_proj!P171*0.086*$J$132)/(1-tech_proj!P451))</f>
        <v>0</v>
      </c>
      <c r="Q1791" s="121">
        <f>IF(tech_base!$T47&gt;Q$1745,"",(tech_base!$K47/tech_proj!Q171*0.086*$J$132)/(1-tech_proj!Q451))</f>
        <v>0</v>
      </c>
      <c r="R1791" s="121">
        <f>IF(tech_base!$T47&gt;R$1745,"",(tech_base!$K47/tech_proj!R171*0.086*$J$132)/(1-tech_proj!R451))</f>
        <v>0</v>
      </c>
      <c r="S1791" s="121">
        <f>IF(tech_base!$T47&gt;S$1745,"",(tech_base!$K47/tech_proj!S171*0.086*$J$132)/(1-tech_proj!S451))</f>
        <v>0</v>
      </c>
      <c r="T1791" s="121">
        <f>IF(tech_base!$T47&gt;T$1745,"",(tech_base!$K47/tech_proj!T171*0.086*$J$132)/(1-tech_proj!T451))</f>
        <v>0</v>
      </c>
      <c r="U1791" s="121">
        <f>IF(tech_base!$T47&gt;U$1745,"",(tech_base!$K47/tech_proj!U171*0.086*$J$132)/(1-tech_proj!U451))</f>
        <v>0</v>
      </c>
      <c r="V1791" s="121">
        <f>IF(tech_base!$T47&gt;V$1745,"",(tech_base!$K47/tech_proj!V171*0.086*$J$132)/(1-tech_proj!V451))</f>
        <v>0</v>
      </c>
      <c r="W1791" s="121">
        <f>IF(tech_base!$T47&gt;W$1745,"",(tech_base!$K47/tech_proj!W171*0.086*$J$132)/(1-tech_proj!W451))</f>
        <v>0</v>
      </c>
      <c r="X1791" s="121">
        <f>IF(tech_base!$T47&gt;X$1745,"",(tech_base!$K47/tech_proj!X171*0.086*$J$132)/(1-tech_proj!X451))</f>
        <v>0</v>
      </c>
      <c r="Y1791" s="121">
        <f>IF(tech_base!$T47&gt;Y$1745,"",(tech_base!$K47/tech_proj!Y171*0.086*$J$132)/(1-tech_proj!Y451))</f>
        <v>0</v>
      </c>
      <c r="Z1791" s="121">
        <f>IF(tech_base!$T47&gt;Z$1745,"",(tech_base!$K47/tech_proj!Z171*0.086*$J$132)/(1-tech_proj!Z451))</f>
        <v>0</v>
      </c>
      <c r="AA1791" s="121">
        <f>IF(tech_base!$T47&gt;AA$1745,"",(tech_base!$K47/tech_proj!AA171*0.086*$J$132)/(1-tech_proj!AA451))</f>
        <v>0</v>
      </c>
      <c r="AB1791" s="121">
        <f>IF(tech_base!$T47&gt;AB$1745,"",(tech_base!$K47/tech_proj!AB171*0.086*$J$132)/(1-tech_proj!AB451))</f>
        <v>0</v>
      </c>
      <c r="AC1791" s="121">
        <f>IF(tech_base!$T47&gt;AC$1745,"",(tech_base!$K47/tech_proj!AC171*0.086*$J$132)/(1-tech_proj!AC451))</f>
        <v>0</v>
      </c>
      <c r="AD1791" s="121">
        <f>IF(tech_base!$T47&gt;AD$1745,"",(tech_base!$K47/tech_proj!AD171*0.086*$J$132)/(1-tech_proj!AD451))</f>
        <v>0</v>
      </c>
      <c r="AE1791" s="121">
        <f>IF(tech_base!$T47&gt;AE$1745,"",(tech_base!$K47/tech_proj!AE171*0.086*$J$132)/(1-tech_proj!AE451))</f>
        <v>0</v>
      </c>
      <c r="AF1791" s="121">
        <f>IF(tech_base!$T47&gt;AF$1745,"",(tech_base!$K47/tech_proj!AF171*0.086*$J$132)/(1-tech_proj!AF451))</f>
        <v>0</v>
      </c>
      <c r="AG1791" s="121">
        <f>IF(tech_base!$T47&gt;AG$1745,"",(tech_base!$K47/tech_proj!AG171*0.086*$J$132)/(1-tech_proj!AG451))</f>
        <v>0</v>
      </c>
      <c r="AH1791" s="121">
        <f>IF(tech_base!$T47&gt;AH$1745,"",(tech_base!$K47/tech_proj!AH171*0.086*$J$132)/(1-tech_proj!AH451))</f>
        <v>0</v>
      </c>
      <c r="AI1791" s="121">
        <f>IF(tech_base!$T47&gt;AI$1745,"",(tech_base!$K47/tech_proj!AI171*0.086*$J$132)/(1-tech_proj!AI451))</f>
        <v>0</v>
      </c>
      <c r="AJ1791" s="121">
        <f>IF(tech_base!$T47&gt;AJ$1745,"",(tech_base!$K47/tech_proj!AJ171*0.086*$J$132)/(1-tech_proj!AJ451))</f>
        <v>0</v>
      </c>
      <c r="AK1791" s="121">
        <f>IF(tech_base!$T47&gt;AK$1745,"",(tech_base!$K47/tech_proj!AK171*0.086*$J$132)/(1-tech_proj!AK451))</f>
        <v>0</v>
      </c>
      <c r="AL1791" s="121">
        <f>IF(tech_base!$T47&gt;AL$1745,"",(tech_base!$K47/tech_proj!AL171*0.086*$J$132)/(1-tech_proj!AL451))</f>
        <v>0</v>
      </c>
      <c r="AM1791" s="121">
        <f>IF(tech_base!$T47&gt;AM$1745,"",(tech_base!$K47/tech_proj!AM171*0.086*$J$132)/(1-tech_proj!AM451))</f>
        <v>0</v>
      </c>
      <c r="AN1791" s="121">
        <f>IF(tech_base!$T47&gt;AN$1745,"",(tech_base!$K47/tech_proj!AN171*0.086*$J$132)/(1-tech_proj!AN451))</f>
        <v>0</v>
      </c>
      <c r="AO1791" s="121">
        <f>IF(tech_base!$T47&gt;AO$1745,"",(tech_base!$K47/tech_proj!AO171*0.086*$J$132)/(1-tech_proj!AO451))</f>
        <v>0</v>
      </c>
      <c r="AP1791" s="121">
        <f>IF(tech_base!$T47&gt;AP$1745,"",(tech_base!$K47/tech_proj!AP171*0.086*$J$132)/(1-tech_proj!AP451))</f>
        <v>0</v>
      </c>
      <c r="AQ1791" s="121">
        <f>IF(tech_base!$T47&gt;AQ$1745,"",(tech_base!$K47/tech_proj!AQ171*0.086*$J$132)/(1-tech_proj!AQ451))</f>
        <v>0</v>
      </c>
      <c r="AR1791" s="121">
        <f>IF(tech_base!$T47&gt;AR$1745,"",(tech_base!$K47/tech_proj!AR171*0.086*$J$132)/(1-tech_proj!AR451))</f>
        <v>0</v>
      </c>
      <c r="AS1791" s="121">
        <f>IF(tech_base!$T47&gt;AS$1745,"",(tech_base!$K47/tech_proj!AS171*0.086*$J$132)/(1-tech_proj!AS451))</f>
        <v>0</v>
      </c>
      <c r="AT1791" s="121">
        <f>IF(tech_base!$T47&gt;AT$1745,"",(tech_base!$K47/tech_proj!AT171*0.086*$J$132)/(1-tech_proj!AT451))</f>
        <v>0</v>
      </c>
      <c r="AU1791" s="121">
        <f>IF(tech_base!$T47&gt;AU$1745,"",(tech_base!$K47/tech_proj!AU171*0.086*$J$132)/(1-tech_proj!AU451))</f>
        <v>0</v>
      </c>
      <c r="AV1791" s="121">
        <f>IF(tech_base!$T47&gt;AV$1745,"",(tech_base!$K47/tech_proj!AV171*0.086*$J$132)/(1-tech_proj!AV451))</f>
        <v>0</v>
      </c>
      <c r="AW1791" s="121">
        <f>IF(tech_base!$T47&gt;AW$1745,"",(tech_base!$K47/tech_proj!AW171*0.086*$J$132)/(1-tech_proj!AW451))</f>
        <v>0</v>
      </c>
      <c r="AX1791" s="122">
        <f>IF(tech_base!$T47&gt;AX$1745,"",(tech_base!$K47/tech_proj!AX171*0.086*$J$132)/(1-tech_proj!AX451))</f>
        <v>0</v>
      </c>
    </row>
    <row r="1792" spans="1:50" x14ac:dyDescent="0.25">
      <c r="A1792" s="356"/>
      <c r="B1792" s="376"/>
      <c r="C1792" s="379"/>
      <c r="D1792" s="2" t="s">
        <v>8</v>
      </c>
      <c r="E1792" s="160" t="str">
        <f>A1791&amp;"/"&amp;B1791&amp;"/"&amp;C1791&amp;"/"&amp;D1792</f>
        <v>Lignite fired power plants/Integrated gasification combined cycle/Electricity only/M</v>
      </c>
      <c r="F1792" s="76" t="str">
        <f>A1791</f>
        <v>Lignite fired power plants</v>
      </c>
      <c r="G1792" s="76" t="str">
        <f>B1791</f>
        <v>Integrated gasification combined cycle</v>
      </c>
      <c r="H1792" s="76" t="str">
        <f>C1791</f>
        <v>Electricity only</v>
      </c>
      <c r="I1792" s="161" t="str">
        <f t="shared" si="382"/>
        <v>M</v>
      </c>
      <c r="J1792" s="119">
        <f>IF(tech_base!$T48&gt;J$1745,"",(tech_base!$K48/tech_proj!J172*0.086*$J$132)/(1-tech_proj!J452))</f>
        <v>0</v>
      </c>
      <c r="K1792" s="119">
        <f>IF(tech_base!$T48&gt;K$1745,"",(tech_base!$K48/tech_proj!K172*0.086*$J$132)/(1-tech_proj!K452))</f>
        <v>0</v>
      </c>
      <c r="L1792" s="119">
        <f>IF(tech_base!$T48&gt;L$1745,"",(tech_base!$K48/tech_proj!L172*0.086*$J$132)/(1-tech_proj!L452))</f>
        <v>0</v>
      </c>
      <c r="M1792" s="119">
        <f>IF(tech_base!$T48&gt;M$1745,"",(tech_base!$K48/tech_proj!M172*0.086*$J$132)/(1-tech_proj!M452))</f>
        <v>0</v>
      </c>
      <c r="N1792" s="119">
        <f>IF(tech_base!$T48&gt;N$1745,"",(tech_base!$K48/tech_proj!N172*0.086*$J$132)/(1-tech_proj!N452))</f>
        <v>0</v>
      </c>
      <c r="O1792" s="119">
        <f>IF(tech_base!$T48&gt;O$1745,"",(tech_base!$K48/tech_proj!O172*0.086*$J$132)/(1-tech_proj!O452))</f>
        <v>0</v>
      </c>
      <c r="P1792" s="119">
        <f>IF(tech_base!$T48&gt;P$1745,"",(tech_base!$K48/tech_proj!P172*0.086*$J$132)/(1-tech_proj!P452))</f>
        <v>0</v>
      </c>
      <c r="Q1792" s="119">
        <f>IF(tech_base!$T48&gt;Q$1745,"",(tech_base!$K48/tech_proj!Q172*0.086*$J$132)/(1-tech_proj!Q452))</f>
        <v>0</v>
      </c>
      <c r="R1792" s="119">
        <f>IF(tech_base!$T48&gt;R$1745,"",(tech_base!$K48/tech_proj!R172*0.086*$J$132)/(1-tech_proj!R452))</f>
        <v>0</v>
      </c>
      <c r="S1792" s="119">
        <f>IF(tech_base!$T48&gt;S$1745,"",(tech_base!$K48/tech_proj!S172*0.086*$J$132)/(1-tech_proj!S452))</f>
        <v>0</v>
      </c>
      <c r="T1792" s="119">
        <f>IF(tech_base!$T48&gt;T$1745,"",(tech_base!$K48/tech_proj!T172*0.086*$J$132)/(1-tech_proj!T452))</f>
        <v>0</v>
      </c>
      <c r="U1792" s="119">
        <f>IF(tech_base!$T48&gt;U$1745,"",(tech_base!$K48/tech_proj!U172*0.086*$J$132)/(1-tech_proj!U452))</f>
        <v>0</v>
      </c>
      <c r="V1792" s="119">
        <f>IF(tech_base!$T48&gt;V$1745,"",(tech_base!$K48/tech_proj!V172*0.086*$J$132)/(1-tech_proj!V452))</f>
        <v>0</v>
      </c>
      <c r="W1792" s="119">
        <f>IF(tech_base!$T48&gt;W$1745,"",(tech_base!$K48/tech_proj!W172*0.086*$J$132)/(1-tech_proj!W452))</f>
        <v>0</v>
      </c>
      <c r="X1792" s="119">
        <f>IF(tech_base!$T48&gt;X$1745,"",(tech_base!$K48/tech_proj!X172*0.086*$J$132)/(1-tech_proj!X452))</f>
        <v>0</v>
      </c>
      <c r="Y1792" s="119">
        <f>IF(tech_base!$T48&gt;Y$1745,"",(tech_base!$K48/tech_proj!Y172*0.086*$J$132)/(1-tech_proj!Y452))</f>
        <v>0</v>
      </c>
      <c r="Z1792" s="119">
        <f>IF(tech_base!$T48&gt;Z$1745,"",(tech_base!$K48/tech_proj!Z172*0.086*$J$132)/(1-tech_proj!Z452))</f>
        <v>0</v>
      </c>
      <c r="AA1792" s="119">
        <f>IF(tech_base!$T48&gt;AA$1745,"",(tech_base!$K48/tech_proj!AA172*0.086*$J$132)/(1-tech_proj!AA452))</f>
        <v>0</v>
      </c>
      <c r="AB1792" s="119">
        <f>IF(tech_base!$T48&gt;AB$1745,"",(tech_base!$K48/tech_proj!AB172*0.086*$J$132)/(1-tech_proj!AB452))</f>
        <v>0</v>
      </c>
      <c r="AC1792" s="119">
        <f>IF(tech_base!$T48&gt;AC$1745,"",(tech_base!$K48/tech_proj!AC172*0.086*$J$132)/(1-tech_proj!AC452))</f>
        <v>0</v>
      </c>
      <c r="AD1792" s="119">
        <f>IF(tech_base!$T48&gt;AD$1745,"",(tech_base!$K48/tech_proj!AD172*0.086*$J$132)/(1-tech_proj!AD452))</f>
        <v>0</v>
      </c>
      <c r="AE1792" s="119">
        <f>IF(tech_base!$T48&gt;AE$1745,"",(tech_base!$K48/tech_proj!AE172*0.086*$J$132)/(1-tech_proj!AE452))</f>
        <v>0</v>
      </c>
      <c r="AF1792" s="119">
        <f>IF(tech_base!$T48&gt;AF$1745,"",(tech_base!$K48/tech_proj!AF172*0.086*$J$132)/(1-tech_proj!AF452))</f>
        <v>0</v>
      </c>
      <c r="AG1792" s="119">
        <f>IF(tech_base!$T48&gt;AG$1745,"",(tech_base!$K48/tech_proj!AG172*0.086*$J$132)/(1-tech_proj!AG452))</f>
        <v>0</v>
      </c>
      <c r="AH1792" s="119">
        <f>IF(tech_base!$T48&gt;AH$1745,"",(tech_base!$K48/tech_proj!AH172*0.086*$J$132)/(1-tech_proj!AH452))</f>
        <v>0</v>
      </c>
      <c r="AI1792" s="119">
        <f>IF(tech_base!$T48&gt;AI$1745,"",(tech_base!$K48/tech_proj!AI172*0.086*$J$132)/(1-tech_proj!AI452))</f>
        <v>0</v>
      </c>
      <c r="AJ1792" s="119">
        <f>IF(tech_base!$T48&gt;AJ$1745,"",(tech_base!$K48/tech_proj!AJ172*0.086*$J$132)/(1-tech_proj!AJ452))</f>
        <v>0</v>
      </c>
      <c r="AK1792" s="119">
        <f>IF(tech_base!$T48&gt;AK$1745,"",(tech_base!$K48/tech_proj!AK172*0.086*$J$132)/(1-tech_proj!AK452))</f>
        <v>0</v>
      </c>
      <c r="AL1792" s="119">
        <f>IF(tech_base!$T48&gt;AL$1745,"",(tech_base!$K48/tech_proj!AL172*0.086*$J$132)/(1-tech_proj!AL452))</f>
        <v>0</v>
      </c>
      <c r="AM1792" s="119">
        <f>IF(tech_base!$T48&gt;AM$1745,"",(tech_base!$K48/tech_proj!AM172*0.086*$J$132)/(1-tech_proj!AM452))</f>
        <v>0</v>
      </c>
      <c r="AN1792" s="119">
        <f>IF(tech_base!$T48&gt;AN$1745,"",(tech_base!$K48/tech_proj!AN172*0.086*$J$132)/(1-tech_proj!AN452))</f>
        <v>0</v>
      </c>
      <c r="AO1792" s="119">
        <f>IF(tech_base!$T48&gt;AO$1745,"",(tech_base!$K48/tech_proj!AO172*0.086*$J$132)/(1-tech_proj!AO452))</f>
        <v>0</v>
      </c>
      <c r="AP1792" s="119">
        <f>IF(tech_base!$T48&gt;AP$1745,"",(tech_base!$K48/tech_proj!AP172*0.086*$J$132)/(1-tech_proj!AP452))</f>
        <v>0</v>
      </c>
      <c r="AQ1792" s="119">
        <f>IF(tech_base!$T48&gt;AQ$1745,"",(tech_base!$K48/tech_proj!AQ172*0.086*$J$132)/(1-tech_proj!AQ452))</f>
        <v>0</v>
      </c>
      <c r="AR1792" s="119">
        <f>IF(tech_base!$T48&gt;AR$1745,"",(tech_base!$K48/tech_proj!AR172*0.086*$J$132)/(1-tech_proj!AR452))</f>
        <v>0</v>
      </c>
      <c r="AS1792" s="119">
        <f>IF(tech_base!$T48&gt;AS$1745,"",(tech_base!$K48/tech_proj!AS172*0.086*$J$132)/(1-tech_proj!AS452))</f>
        <v>0</v>
      </c>
      <c r="AT1792" s="119">
        <f>IF(tech_base!$T48&gt;AT$1745,"",(tech_base!$K48/tech_proj!AT172*0.086*$J$132)/(1-tech_proj!AT452))</f>
        <v>0</v>
      </c>
      <c r="AU1792" s="119">
        <f>IF(tech_base!$T48&gt;AU$1745,"",(tech_base!$K48/tech_proj!AU172*0.086*$J$132)/(1-tech_proj!AU452))</f>
        <v>0</v>
      </c>
      <c r="AV1792" s="119">
        <f>IF(tech_base!$T48&gt;AV$1745,"",(tech_base!$K48/tech_proj!AV172*0.086*$J$132)/(1-tech_proj!AV452))</f>
        <v>0</v>
      </c>
      <c r="AW1792" s="119">
        <f>IF(tech_base!$T48&gt;AW$1745,"",(tech_base!$K48/tech_proj!AW172*0.086*$J$132)/(1-tech_proj!AW452))</f>
        <v>0</v>
      </c>
      <c r="AX1792" s="120">
        <f>IF(tech_base!$T48&gt;AX$1745,"",(tech_base!$K48/tech_proj!AX172*0.086*$J$132)/(1-tech_proj!AX452))</f>
        <v>0</v>
      </c>
    </row>
    <row r="1793" spans="1:50" x14ac:dyDescent="0.25">
      <c r="A1793" s="356"/>
      <c r="B1793" s="376"/>
      <c r="C1793" s="361" t="s">
        <v>14</v>
      </c>
      <c r="D1793" s="58" t="s">
        <v>7</v>
      </c>
      <c r="E1793" s="164" t="str">
        <f>A1791&amp;"/"&amp;B1791&amp;"/"&amp;C1793&amp;"/"&amp;D1793</f>
        <v>Lignite fired power plants/Integrated gasification combined cycle/CHP/L</v>
      </c>
      <c r="F1793" s="78" t="str">
        <f>A1791</f>
        <v>Lignite fired power plants</v>
      </c>
      <c r="G1793" s="78" t="str">
        <f>B1791</f>
        <v>Integrated gasification combined cycle</v>
      </c>
      <c r="H1793" s="78" t="str">
        <f>C1793</f>
        <v>CHP</v>
      </c>
      <c r="I1793" s="165" t="str">
        <f t="shared" si="382"/>
        <v>L</v>
      </c>
      <c r="J1793" s="123" t="str">
        <f>IF(tech_base!$T49&gt;J$1745,"",(tech_base!$K49/tech_proj!J173*0.086*$J$132)/(1-tech_proj!J453))</f>
        <v/>
      </c>
      <c r="K1793" s="123" t="str">
        <f>IF(tech_base!$T49&gt;K$1745,"",(tech_base!$K49/tech_proj!K173*0.086*$J$132)/(1-tech_proj!K453))</f>
        <v/>
      </c>
      <c r="L1793" s="123" t="str">
        <f>IF(tech_base!$T49&gt;L$1745,"",(tech_base!$K49/tech_proj!L173*0.086*$J$132)/(1-tech_proj!L453))</f>
        <v/>
      </c>
      <c r="M1793" s="123" t="str">
        <f>IF(tech_base!$T49&gt;M$1745,"",(tech_base!$K49/tech_proj!M173*0.086*$J$132)/(1-tech_proj!M453))</f>
        <v/>
      </c>
      <c r="N1793" s="123" t="str">
        <f>IF(tech_base!$T49&gt;N$1745,"",(tech_base!$K49/tech_proj!N173*0.086*$J$132)/(1-tech_proj!N453))</f>
        <v/>
      </c>
      <c r="O1793" s="123" t="str">
        <f>IF(tech_base!$T49&gt;O$1745,"",(tech_base!$K49/tech_proj!O173*0.086*$J$132)/(1-tech_proj!O453))</f>
        <v/>
      </c>
      <c r="P1793" s="123" t="str">
        <f>IF(tech_base!$T49&gt;P$1745,"",(tech_base!$K49/tech_proj!P173*0.086*$J$132)/(1-tech_proj!P453))</f>
        <v/>
      </c>
      <c r="Q1793" s="123" t="str">
        <f>IF(tech_base!$T49&gt;Q$1745,"",(tech_base!$K49/tech_proj!Q173*0.086*$J$132)/(1-tech_proj!Q453))</f>
        <v/>
      </c>
      <c r="R1793" s="123" t="str">
        <f>IF(tech_base!$T49&gt;R$1745,"",(tech_base!$K49/tech_proj!R173*0.086*$J$132)/(1-tech_proj!R453))</f>
        <v/>
      </c>
      <c r="S1793" s="123" t="str">
        <f>IF(tech_base!$T49&gt;S$1745,"",(tech_base!$K49/tech_proj!S173*0.086*$J$132)/(1-tech_proj!S453))</f>
        <v/>
      </c>
      <c r="T1793" s="123">
        <f>IF(tech_base!$T49&gt;T$1745,"",(tech_base!$K49/tech_proj!T173*0.086*$J$132)/(1-tech_proj!T453))</f>
        <v>0</v>
      </c>
      <c r="U1793" s="123">
        <f>IF(tech_base!$T49&gt;U$1745,"",(tech_base!$K49/tech_proj!U173*0.086*$J$132)/(1-tech_proj!U453))</f>
        <v>0</v>
      </c>
      <c r="V1793" s="123">
        <f>IF(tech_base!$T49&gt;V$1745,"",(tech_base!$K49/tech_proj!V173*0.086*$J$132)/(1-tech_proj!V453))</f>
        <v>0</v>
      </c>
      <c r="W1793" s="123">
        <f>IF(tech_base!$T49&gt;W$1745,"",(tech_base!$K49/tech_proj!W173*0.086*$J$132)/(1-tech_proj!W453))</f>
        <v>0</v>
      </c>
      <c r="X1793" s="123">
        <f>IF(tech_base!$T49&gt;X$1745,"",(tech_base!$K49/tech_proj!X173*0.086*$J$132)/(1-tech_proj!X453))</f>
        <v>0</v>
      </c>
      <c r="Y1793" s="123">
        <f>IF(tech_base!$T49&gt;Y$1745,"",(tech_base!$K49/tech_proj!Y173*0.086*$J$132)/(1-tech_proj!Y453))</f>
        <v>0</v>
      </c>
      <c r="Z1793" s="123">
        <f>IF(tech_base!$T49&gt;Z$1745,"",(tech_base!$K49/tech_proj!Z173*0.086*$J$132)/(1-tech_proj!Z453))</f>
        <v>0</v>
      </c>
      <c r="AA1793" s="123">
        <f>IF(tech_base!$T49&gt;AA$1745,"",(tech_base!$K49/tech_proj!AA173*0.086*$J$132)/(1-tech_proj!AA453))</f>
        <v>0</v>
      </c>
      <c r="AB1793" s="123">
        <f>IF(tech_base!$T49&gt;AB$1745,"",(tech_base!$K49/tech_proj!AB173*0.086*$J$132)/(1-tech_proj!AB453))</f>
        <v>0</v>
      </c>
      <c r="AC1793" s="123">
        <f>IF(tech_base!$T49&gt;AC$1745,"",(tech_base!$K49/tech_proj!AC173*0.086*$J$132)/(1-tech_proj!AC453))</f>
        <v>0</v>
      </c>
      <c r="AD1793" s="123">
        <f>IF(tech_base!$T49&gt;AD$1745,"",(tech_base!$K49/tech_proj!AD173*0.086*$J$132)/(1-tech_proj!AD453))</f>
        <v>0</v>
      </c>
      <c r="AE1793" s="123">
        <f>IF(tech_base!$T49&gt;AE$1745,"",(tech_base!$K49/tech_proj!AE173*0.086*$J$132)/(1-tech_proj!AE453))</f>
        <v>0</v>
      </c>
      <c r="AF1793" s="123">
        <f>IF(tech_base!$T49&gt;AF$1745,"",(tech_base!$K49/tech_proj!AF173*0.086*$J$132)/(1-tech_proj!AF453))</f>
        <v>0</v>
      </c>
      <c r="AG1793" s="123">
        <f>IF(tech_base!$T49&gt;AG$1745,"",(tech_base!$K49/tech_proj!AG173*0.086*$J$132)/(1-tech_proj!AG453))</f>
        <v>0</v>
      </c>
      <c r="AH1793" s="123">
        <f>IF(tech_base!$T49&gt;AH$1745,"",(tech_base!$K49/tech_proj!AH173*0.086*$J$132)/(1-tech_proj!AH453))</f>
        <v>0</v>
      </c>
      <c r="AI1793" s="123">
        <f>IF(tech_base!$T49&gt;AI$1745,"",(tech_base!$K49/tech_proj!AI173*0.086*$J$132)/(1-tech_proj!AI453))</f>
        <v>0</v>
      </c>
      <c r="AJ1793" s="123">
        <f>IF(tech_base!$T49&gt;AJ$1745,"",(tech_base!$K49/tech_proj!AJ173*0.086*$J$132)/(1-tech_proj!AJ453))</f>
        <v>0</v>
      </c>
      <c r="AK1793" s="123">
        <f>IF(tech_base!$T49&gt;AK$1745,"",(tech_base!$K49/tech_proj!AK173*0.086*$J$132)/(1-tech_proj!AK453))</f>
        <v>0</v>
      </c>
      <c r="AL1793" s="123">
        <f>IF(tech_base!$T49&gt;AL$1745,"",(tech_base!$K49/tech_proj!AL173*0.086*$J$132)/(1-tech_proj!AL453))</f>
        <v>0</v>
      </c>
      <c r="AM1793" s="123">
        <f>IF(tech_base!$T49&gt;AM$1745,"",(tech_base!$K49/tech_proj!AM173*0.086*$J$132)/(1-tech_proj!AM453))</f>
        <v>0</v>
      </c>
      <c r="AN1793" s="123">
        <f>IF(tech_base!$T49&gt;AN$1745,"",(tech_base!$K49/tech_proj!AN173*0.086*$J$132)/(1-tech_proj!AN453))</f>
        <v>0</v>
      </c>
      <c r="AO1793" s="123">
        <f>IF(tech_base!$T49&gt;AO$1745,"",(tech_base!$K49/tech_proj!AO173*0.086*$J$132)/(1-tech_proj!AO453))</f>
        <v>0</v>
      </c>
      <c r="AP1793" s="123">
        <f>IF(tech_base!$T49&gt;AP$1745,"",(tech_base!$K49/tech_proj!AP173*0.086*$J$132)/(1-tech_proj!AP453))</f>
        <v>0</v>
      </c>
      <c r="AQ1793" s="123">
        <f>IF(tech_base!$T49&gt;AQ$1745,"",(tech_base!$K49/tech_proj!AQ173*0.086*$J$132)/(1-tech_proj!AQ453))</f>
        <v>0</v>
      </c>
      <c r="AR1793" s="123">
        <f>IF(tech_base!$T49&gt;AR$1745,"",(tech_base!$K49/tech_proj!AR173*0.086*$J$132)/(1-tech_proj!AR453))</f>
        <v>0</v>
      </c>
      <c r="AS1793" s="123">
        <f>IF(tech_base!$T49&gt;AS$1745,"",(tech_base!$K49/tech_proj!AS173*0.086*$J$132)/(1-tech_proj!AS453))</f>
        <v>0</v>
      </c>
      <c r="AT1793" s="123">
        <f>IF(tech_base!$T49&gt;AT$1745,"",(tech_base!$K49/tech_proj!AT173*0.086*$J$132)/(1-tech_proj!AT453))</f>
        <v>0</v>
      </c>
      <c r="AU1793" s="123">
        <f>IF(tech_base!$T49&gt;AU$1745,"",(tech_base!$K49/tech_proj!AU173*0.086*$J$132)/(1-tech_proj!AU453))</f>
        <v>0</v>
      </c>
      <c r="AV1793" s="123">
        <f>IF(tech_base!$T49&gt;AV$1745,"",(tech_base!$K49/tech_proj!AV173*0.086*$J$132)/(1-tech_proj!AV453))</f>
        <v>0</v>
      </c>
      <c r="AW1793" s="123">
        <f>IF(tech_base!$T49&gt;AW$1745,"",(tech_base!$K49/tech_proj!AW173*0.086*$J$132)/(1-tech_proj!AW453))</f>
        <v>0</v>
      </c>
      <c r="AX1793" s="124">
        <f>IF(tech_base!$T49&gt;AX$1745,"",(tech_base!$K49/tech_proj!AX173*0.086*$J$132)/(1-tech_proj!AX453))</f>
        <v>0</v>
      </c>
    </row>
    <row r="1794" spans="1:50" x14ac:dyDescent="0.25">
      <c r="A1794" s="356"/>
      <c r="B1794" s="376"/>
      <c r="C1794" s="379"/>
      <c r="D1794" s="59" t="s">
        <v>8</v>
      </c>
      <c r="E1794" s="166" t="str">
        <f>A1791&amp;"/"&amp;B1791&amp;"/"&amp;C1793&amp;"/"&amp;D1794</f>
        <v>Lignite fired power plants/Integrated gasification combined cycle/CHP/M</v>
      </c>
      <c r="F1794" s="79" t="str">
        <f>A1791</f>
        <v>Lignite fired power plants</v>
      </c>
      <c r="G1794" s="79" t="str">
        <f>B1791</f>
        <v>Integrated gasification combined cycle</v>
      </c>
      <c r="H1794" s="79" t="str">
        <f>C1793</f>
        <v>CHP</v>
      </c>
      <c r="I1794" s="167" t="str">
        <f t="shared" si="382"/>
        <v>M</v>
      </c>
      <c r="J1794" s="125" t="str">
        <f>IF(tech_base!$T50&gt;J$1745,"",(tech_base!$K50/tech_proj!J174*0.086*$J$132)/(1-tech_proj!J454))</f>
        <v/>
      </c>
      <c r="K1794" s="125" t="str">
        <f>IF(tech_base!$T50&gt;K$1745,"",(tech_base!$K50/tech_proj!K174*0.086*$J$132)/(1-tech_proj!K454))</f>
        <v/>
      </c>
      <c r="L1794" s="125" t="str">
        <f>IF(tech_base!$T50&gt;L$1745,"",(tech_base!$K50/tech_proj!L174*0.086*$J$132)/(1-tech_proj!L454))</f>
        <v/>
      </c>
      <c r="M1794" s="125" t="str">
        <f>IF(tech_base!$T50&gt;M$1745,"",(tech_base!$K50/tech_proj!M174*0.086*$J$132)/(1-tech_proj!M454))</f>
        <v/>
      </c>
      <c r="N1794" s="125" t="str">
        <f>IF(tech_base!$T50&gt;N$1745,"",(tech_base!$K50/tech_proj!N174*0.086*$J$132)/(1-tech_proj!N454))</f>
        <v/>
      </c>
      <c r="O1794" s="125" t="str">
        <f>IF(tech_base!$T50&gt;O$1745,"",(tech_base!$K50/tech_proj!O174*0.086*$J$132)/(1-tech_proj!O454))</f>
        <v/>
      </c>
      <c r="P1794" s="125" t="str">
        <f>IF(tech_base!$T50&gt;P$1745,"",(tech_base!$K50/tech_proj!P174*0.086*$J$132)/(1-tech_proj!P454))</f>
        <v/>
      </c>
      <c r="Q1794" s="125" t="str">
        <f>IF(tech_base!$T50&gt;Q$1745,"",(tech_base!$K50/tech_proj!Q174*0.086*$J$132)/(1-tech_proj!Q454))</f>
        <v/>
      </c>
      <c r="R1794" s="125" t="str">
        <f>IF(tech_base!$T50&gt;R$1745,"",(tech_base!$K50/tech_proj!R174*0.086*$J$132)/(1-tech_proj!R454))</f>
        <v/>
      </c>
      <c r="S1794" s="125" t="str">
        <f>IF(tech_base!$T50&gt;S$1745,"",(tech_base!$K50/tech_proj!S174*0.086*$J$132)/(1-tech_proj!S454))</f>
        <v/>
      </c>
      <c r="T1794" s="125">
        <f>IF(tech_base!$T50&gt;T$1745,"",(tech_base!$K50/tech_proj!T174*0.086*$J$132)/(1-tech_proj!T454))</f>
        <v>0</v>
      </c>
      <c r="U1794" s="125">
        <f>IF(tech_base!$T50&gt;U$1745,"",(tech_base!$K50/tech_proj!U174*0.086*$J$132)/(1-tech_proj!U454))</f>
        <v>0</v>
      </c>
      <c r="V1794" s="125">
        <f>IF(tech_base!$T50&gt;V$1745,"",(tech_base!$K50/tech_proj!V174*0.086*$J$132)/(1-tech_proj!V454))</f>
        <v>0</v>
      </c>
      <c r="W1794" s="125">
        <f>IF(tech_base!$T50&gt;W$1745,"",(tech_base!$K50/tech_proj!W174*0.086*$J$132)/(1-tech_proj!W454))</f>
        <v>0</v>
      </c>
      <c r="X1794" s="125">
        <f>IF(tech_base!$T50&gt;X$1745,"",(tech_base!$K50/tech_proj!X174*0.086*$J$132)/(1-tech_proj!X454))</f>
        <v>0</v>
      </c>
      <c r="Y1794" s="125">
        <f>IF(tech_base!$T50&gt;Y$1745,"",(tech_base!$K50/tech_proj!Y174*0.086*$J$132)/(1-tech_proj!Y454))</f>
        <v>0</v>
      </c>
      <c r="Z1794" s="125">
        <f>IF(tech_base!$T50&gt;Z$1745,"",(tech_base!$K50/tech_proj!Z174*0.086*$J$132)/(1-tech_proj!Z454))</f>
        <v>0</v>
      </c>
      <c r="AA1794" s="125">
        <f>IF(tech_base!$T50&gt;AA$1745,"",(tech_base!$K50/tech_proj!AA174*0.086*$J$132)/(1-tech_proj!AA454))</f>
        <v>0</v>
      </c>
      <c r="AB1794" s="125">
        <f>IF(tech_base!$T50&gt;AB$1745,"",(tech_base!$K50/tech_proj!AB174*0.086*$J$132)/(1-tech_proj!AB454))</f>
        <v>0</v>
      </c>
      <c r="AC1794" s="125">
        <f>IF(tech_base!$T50&gt;AC$1745,"",(tech_base!$K50/tech_proj!AC174*0.086*$J$132)/(1-tech_proj!AC454))</f>
        <v>0</v>
      </c>
      <c r="AD1794" s="125">
        <f>IF(tech_base!$T50&gt;AD$1745,"",(tech_base!$K50/tech_proj!AD174*0.086*$J$132)/(1-tech_proj!AD454))</f>
        <v>0</v>
      </c>
      <c r="AE1794" s="125">
        <f>IF(tech_base!$T50&gt;AE$1745,"",(tech_base!$K50/tech_proj!AE174*0.086*$J$132)/(1-tech_proj!AE454))</f>
        <v>0</v>
      </c>
      <c r="AF1794" s="125">
        <f>IF(tech_base!$T50&gt;AF$1745,"",(tech_base!$K50/tech_proj!AF174*0.086*$J$132)/(1-tech_proj!AF454))</f>
        <v>0</v>
      </c>
      <c r="AG1794" s="125">
        <f>IF(tech_base!$T50&gt;AG$1745,"",(tech_base!$K50/tech_proj!AG174*0.086*$J$132)/(1-tech_proj!AG454))</f>
        <v>0</v>
      </c>
      <c r="AH1794" s="125">
        <f>IF(tech_base!$T50&gt;AH$1745,"",(tech_base!$K50/tech_proj!AH174*0.086*$J$132)/(1-tech_proj!AH454))</f>
        <v>0</v>
      </c>
      <c r="AI1794" s="125">
        <f>IF(tech_base!$T50&gt;AI$1745,"",(tech_base!$K50/tech_proj!AI174*0.086*$J$132)/(1-tech_proj!AI454))</f>
        <v>0</v>
      </c>
      <c r="AJ1794" s="125">
        <f>IF(tech_base!$T50&gt;AJ$1745,"",(tech_base!$K50/tech_proj!AJ174*0.086*$J$132)/(1-tech_proj!AJ454))</f>
        <v>0</v>
      </c>
      <c r="AK1794" s="125">
        <f>IF(tech_base!$T50&gt;AK$1745,"",(tech_base!$K50/tech_proj!AK174*0.086*$J$132)/(1-tech_proj!AK454))</f>
        <v>0</v>
      </c>
      <c r="AL1794" s="125">
        <f>IF(tech_base!$T50&gt;AL$1745,"",(tech_base!$K50/tech_proj!AL174*0.086*$J$132)/(1-tech_proj!AL454))</f>
        <v>0</v>
      </c>
      <c r="AM1794" s="125">
        <f>IF(tech_base!$T50&gt;AM$1745,"",(tech_base!$K50/tech_proj!AM174*0.086*$J$132)/(1-tech_proj!AM454))</f>
        <v>0</v>
      </c>
      <c r="AN1794" s="125">
        <f>IF(tech_base!$T50&gt;AN$1745,"",(tech_base!$K50/tech_proj!AN174*0.086*$J$132)/(1-tech_proj!AN454))</f>
        <v>0</v>
      </c>
      <c r="AO1794" s="125">
        <f>IF(tech_base!$T50&gt;AO$1745,"",(tech_base!$K50/tech_proj!AO174*0.086*$J$132)/(1-tech_proj!AO454))</f>
        <v>0</v>
      </c>
      <c r="AP1794" s="125">
        <f>IF(tech_base!$T50&gt;AP$1745,"",(tech_base!$K50/tech_proj!AP174*0.086*$J$132)/(1-tech_proj!AP454))</f>
        <v>0</v>
      </c>
      <c r="AQ1794" s="125">
        <f>IF(tech_base!$T50&gt;AQ$1745,"",(tech_base!$K50/tech_proj!AQ174*0.086*$J$132)/(1-tech_proj!AQ454))</f>
        <v>0</v>
      </c>
      <c r="AR1794" s="125">
        <f>IF(tech_base!$T50&gt;AR$1745,"",(tech_base!$K50/tech_proj!AR174*0.086*$J$132)/(1-tech_proj!AR454))</f>
        <v>0</v>
      </c>
      <c r="AS1794" s="125">
        <f>IF(tech_base!$T50&gt;AS$1745,"",(tech_base!$K50/tech_proj!AS174*0.086*$J$132)/(1-tech_proj!AS454))</f>
        <v>0</v>
      </c>
      <c r="AT1794" s="125">
        <f>IF(tech_base!$T50&gt;AT$1745,"",(tech_base!$K50/tech_proj!AT174*0.086*$J$132)/(1-tech_proj!AT454))</f>
        <v>0</v>
      </c>
      <c r="AU1794" s="125">
        <f>IF(tech_base!$T50&gt;AU$1745,"",(tech_base!$K50/tech_proj!AU174*0.086*$J$132)/(1-tech_proj!AU454))</f>
        <v>0</v>
      </c>
      <c r="AV1794" s="125">
        <f>IF(tech_base!$T50&gt;AV$1745,"",(tech_base!$K50/tech_proj!AV174*0.086*$J$132)/(1-tech_proj!AV454))</f>
        <v>0</v>
      </c>
      <c r="AW1794" s="125">
        <f>IF(tech_base!$T50&gt;AW$1745,"",(tech_base!$K50/tech_proj!AW174*0.086*$J$132)/(1-tech_proj!AW454))</f>
        <v>0</v>
      </c>
      <c r="AX1794" s="126">
        <f>IF(tech_base!$T50&gt;AX$1745,"",(tech_base!$K50/tech_proj!AX174*0.086*$J$132)/(1-tech_proj!AX454))</f>
        <v>0</v>
      </c>
    </row>
    <row r="1795" spans="1:50" x14ac:dyDescent="0.25">
      <c r="A1795" s="356"/>
      <c r="B1795" s="376"/>
      <c r="C1795" s="361" t="s">
        <v>15</v>
      </c>
      <c r="D1795" s="58" t="s">
        <v>7</v>
      </c>
      <c r="E1795" s="164" t="str">
        <f>A1791&amp;"/"&amp;B1791&amp;"/"&amp;C1795&amp;"/"&amp;D1795</f>
        <v>Lignite fired power plants/Integrated gasification combined cycle/Electricity only with CCS/L</v>
      </c>
      <c r="F1795" s="78" t="str">
        <f>A1791</f>
        <v>Lignite fired power plants</v>
      </c>
      <c r="G1795" s="78" t="str">
        <f>B1791</f>
        <v>Integrated gasification combined cycle</v>
      </c>
      <c r="H1795" s="78" t="str">
        <f>C1795</f>
        <v>Electricity only with CCS</v>
      </c>
      <c r="I1795" s="165" t="str">
        <f t="shared" si="382"/>
        <v>L</v>
      </c>
      <c r="J1795" s="123" t="str">
        <f>IF(tech_base!$T51&gt;J$1745,"",(tech_base!$K51/tech_proj!J175*0.086*$J$132)/(1-tech_proj!J455))</f>
        <v/>
      </c>
      <c r="K1795" s="123" t="str">
        <f>IF(tech_base!$T51&gt;K$1745,"",(tech_base!$K51/tech_proj!K175*0.086*$J$132)/(1-tech_proj!K455))</f>
        <v/>
      </c>
      <c r="L1795" s="123" t="str">
        <f>IF(tech_base!$T51&gt;L$1745,"",(tech_base!$K51/tech_proj!L175*0.086*$J$132)/(1-tech_proj!L455))</f>
        <v/>
      </c>
      <c r="M1795" s="123" t="str">
        <f>IF(tech_base!$T51&gt;M$1745,"",(tech_base!$K51/tech_proj!M175*0.086*$J$132)/(1-tech_proj!M455))</f>
        <v/>
      </c>
      <c r="N1795" s="123" t="str">
        <f>IF(tech_base!$T51&gt;N$1745,"",(tech_base!$K51/tech_proj!N175*0.086*$J$132)/(1-tech_proj!N455))</f>
        <v/>
      </c>
      <c r="O1795" s="123" t="str">
        <f>IF(tech_base!$T51&gt;O$1745,"",(tech_base!$K51/tech_proj!O175*0.086*$J$132)/(1-tech_proj!O455))</f>
        <v/>
      </c>
      <c r="P1795" s="123" t="str">
        <f>IF(tech_base!$T51&gt;P$1745,"",(tech_base!$K51/tech_proj!P175*0.086*$J$132)/(1-tech_proj!P455))</f>
        <v/>
      </c>
      <c r="Q1795" s="123" t="str">
        <f>IF(tech_base!$T51&gt;Q$1745,"",(tech_base!$K51/tech_proj!Q175*0.086*$J$132)/(1-tech_proj!Q455))</f>
        <v/>
      </c>
      <c r="R1795" s="123" t="str">
        <f>IF(tech_base!$T51&gt;R$1745,"",(tech_base!$K51/tech_proj!R175*0.086*$J$132)/(1-tech_proj!R455))</f>
        <v/>
      </c>
      <c r="S1795" s="123" t="str">
        <f>IF(tech_base!$T51&gt;S$1745,"",(tech_base!$K51/tech_proj!S175*0.086*$J$132)/(1-tech_proj!S455))</f>
        <v/>
      </c>
      <c r="T1795" s="123" t="str">
        <f>IF(tech_base!$T51&gt;T$1745,"",(tech_base!$K51/tech_proj!T175*0.086*$J$132)/(1-tech_proj!T455))</f>
        <v/>
      </c>
      <c r="U1795" s="123" t="str">
        <f>IF(tech_base!$T51&gt;U$1745,"",(tech_base!$K51/tech_proj!U175*0.086*$J$132)/(1-tech_proj!U455))</f>
        <v/>
      </c>
      <c r="V1795" s="123" t="str">
        <f>IF(tech_base!$T51&gt;V$1745,"",(tech_base!$K51/tech_proj!V175*0.086*$J$132)/(1-tech_proj!V455))</f>
        <v/>
      </c>
      <c r="W1795" s="123" t="str">
        <f>IF(tech_base!$T51&gt;W$1745,"",(tech_base!$K51/tech_proj!W175*0.086*$J$132)/(1-tech_proj!W455))</f>
        <v/>
      </c>
      <c r="X1795" s="123" t="str">
        <f>IF(tech_base!$T51&gt;X$1745,"",(tech_base!$K51/tech_proj!X175*0.086*$J$132)/(1-tech_proj!X455))</f>
        <v/>
      </c>
      <c r="Y1795" s="123" t="str">
        <f>IF(tech_base!$T51&gt;Y$1745,"",(tech_base!$K51/tech_proj!Y175*0.086*$J$132)/(1-tech_proj!Y455))</f>
        <v/>
      </c>
      <c r="Z1795" s="123" t="str">
        <f>IF(tech_base!$T51&gt;Z$1745,"",(tech_base!$K51/tech_proj!Z175*0.086*$J$132)/(1-tech_proj!Z455))</f>
        <v/>
      </c>
      <c r="AA1795" s="123" t="str">
        <f>IF(tech_base!$T51&gt;AA$1745,"",(tech_base!$K51/tech_proj!AA175*0.086*$J$132)/(1-tech_proj!AA455))</f>
        <v/>
      </c>
      <c r="AB1795" s="123" t="str">
        <f>IF(tech_base!$T51&gt;AB$1745,"",(tech_base!$K51/tech_proj!AB175*0.086*$J$132)/(1-tech_proj!AB455))</f>
        <v/>
      </c>
      <c r="AC1795" s="123" t="str">
        <f>IF(tech_base!$T51&gt;AC$1745,"",(tech_base!$K51/tech_proj!AC175*0.086*$J$132)/(1-tech_proj!AC455))</f>
        <v/>
      </c>
      <c r="AD1795" s="123" t="str">
        <f>IF(tech_base!$T51&gt;AD$1745,"",(tech_base!$K51/tech_proj!AD175*0.086*$J$132)/(1-tech_proj!AD455))</f>
        <v/>
      </c>
      <c r="AE1795" s="123">
        <f>IF(tech_base!$T51&gt;AE$1745,"",(tech_base!$K51/tech_proj!AE175*0.086*$J$132)/(1-tech_proj!AE455))</f>
        <v>11.534928323041752</v>
      </c>
      <c r="AF1795" s="123">
        <f>IF(tech_base!$T51&gt;AF$1745,"",(tech_base!$K51/tech_proj!AF175*0.086*$J$132)/(1-tech_proj!AF455))</f>
        <v>11.534568047493151</v>
      </c>
      <c r="AG1795" s="123">
        <f>IF(tech_base!$T51&gt;AG$1745,"",(tech_base!$K51/tech_proj!AG175*0.086*$J$132)/(1-tech_proj!AG455))</f>
        <v>11.534082114937059</v>
      </c>
      <c r="AH1795" s="123">
        <f>IF(tech_base!$T51&gt;AH$1745,"",(tech_base!$K51/tech_proj!AH175*0.086*$J$132)/(1-tech_proj!AH455))</f>
        <v>11.533426881672336</v>
      </c>
      <c r="AI1795" s="123">
        <f>IF(tech_base!$T51&gt;AI$1745,"",(tech_base!$K51/tech_proj!AI175*0.086*$J$132)/(1-tech_proj!AI455))</f>
        <v>11.532543695352951</v>
      </c>
      <c r="AJ1795" s="123">
        <f>IF(tech_base!$T51&gt;AJ$1745,"",(tech_base!$K51/tech_proj!AJ175*0.086*$J$132)/(1-tech_proj!AJ455))</f>
        <v>11.531353856253062</v>
      </c>
      <c r="AK1795" s="123">
        <f>IF(tech_base!$T51&gt;AK$1745,"",(tech_base!$K51/tech_proj!AK175*0.086*$J$132)/(1-tech_proj!AK455))</f>
        <v>11.529751987250584</v>
      </c>
      <c r="AL1795" s="123">
        <f>IF(tech_base!$T51&gt;AL$1745,"",(tech_base!$K51/tech_proj!AL175*0.086*$J$132)/(1-tech_proj!AL455))</f>
        <v>11.527597392725951</v>
      </c>
      <c r="AM1795" s="123">
        <f>IF(tech_base!$T51&gt;AM$1745,"",(tech_base!$K51/tech_proj!AM175*0.086*$J$132)/(1-tech_proj!AM455))</f>
        <v>11.524702946375175</v>
      </c>
      <c r="AN1795" s="123">
        <f>IF(tech_base!$T51&gt;AN$1745,"",(tech_base!$K51/tech_proj!AN175*0.086*$J$132)/(1-tech_proj!AN455))</f>
        <v>11.520821073074789</v>
      </c>
      <c r="AO1795" s="123">
        <f>IF(tech_base!$T51&gt;AO$1745,"",(tech_base!$K51/tech_proj!AO175*0.086*$J$132)/(1-tech_proj!AO455))</f>
        <v>11.515626557100873</v>
      </c>
      <c r="AP1795" s="123">
        <f>IF(tech_base!$T51&gt;AP$1745,"",(tech_base!$K51/tech_proj!AP175*0.086*$J$132)/(1-tech_proj!AP455))</f>
        <v>11.508696350745865</v>
      </c>
      <c r="AQ1795" s="123">
        <f>IF(tech_base!$T51&gt;AQ$1745,"",(tech_base!$K51/tech_proj!AQ175*0.086*$J$132)/(1-tech_proj!AQ455))</f>
        <v>11.499487486476914</v>
      </c>
      <c r="AR1795" s="123">
        <f>IF(tech_base!$T51&gt;AR$1745,"",(tech_base!$K51/tech_proj!AR175*0.086*$J$132)/(1-tech_proj!AR455))</f>
        <v>11.487315920895741</v>
      </c>
      <c r="AS1795" s="123">
        <f>IF(tech_base!$T51&gt;AS$1745,"",(tech_base!$K51/tech_proj!AS175*0.086*$J$132)/(1-tech_proj!AS455))</f>
        <v>11.471342035918392</v>
      </c>
      <c r="AT1795" s="123">
        <f>IF(tech_base!$T51&gt;AT$1745,"",(tech_base!$K51/tech_proj!AT175*0.086*$J$132)/(1-tech_proj!AT455))</f>
        <v>11.450572883688565</v>
      </c>
      <c r="AU1795" s="123">
        <f>IF(tech_base!$T51&gt;AU$1745,"",(tech_base!$K51/tech_proj!AU175*0.086*$J$132)/(1-tech_proj!AU455))</f>
        <v>11.423896882058147</v>
      </c>
      <c r="AV1795" s="123">
        <f>IF(tech_base!$T51&gt;AV$1745,"",(tech_base!$K51/tech_proj!AV175*0.086*$J$132)/(1-tech_proj!AV455))</f>
        <v>11.390172013915882</v>
      </c>
      <c r="AW1795" s="123">
        <f>IF(tech_base!$T51&gt;AW$1745,"",(tech_base!$K51/tech_proj!AW175*0.086*$J$132)/(1-tech_proj!AW455))</f>
        <v>11.348389580813135</v>
      </c>
      <c r="AX1795" s="124">
        <f>IF(tech_base!$T51&gt;AX$1745,"",(tech_base!$K51/tech_proj!AX175*0.086*$J$132)/(1-tech_proj!AX455))</f>
        <v>11.297924781624774</v>
      </c>
    </row>
    <row r="1796" spans="1:50" x14ac:dyDescent="0.25">
      <c r="A1796" s="356"/>
      <c r="B1796" s="376"/>
      <c r="C1796" s="379"/>
      <c r="D1796" s="59" t="s">
        <v>8</v>
      </c>
      <c r="E1796" s="166" t="str">
        <f>A1791&amp;"/"&amp;B1791&amp;"/"&amp;C1795&amp;"/"&amp;D1796</f>
        <v>Lignite fired power plants/Integrated gasification combined cycle/Electricity only with CCS/M</v>
      </c>
      <c r="F1796" s="79" t="str">
        <f>A1791</f>
        <v>Lignite fired power plants</v>
      </c>
      <c r="G1796" s="79" t="str">
        <f>B1791</f>
        <v>Integrated gasification combined cycle</v>
      </c>
      <c r="H1796" s="79" t="str">
        <f>C1795</f>
        <v>Electricity only with CCS</v>
      </c>
      <c r="I1796" s="167" t="str">
        <f t="shared" si="382"/>
        <v>M</v>
      </c>
      <c r="J1796" s="125" t="str">
        <f>IF(tech_base!$T52&gt;J$1745,"",(tech_base!$K52/tech_proj!J176*0.086*$J$132)/(1-tech_proj!J456))</f>
        <v/>
      </c>
      <c r="K1796" s="125" t="str">
        <f>IF(tech_base!$T52&gt;K$1745,"",(tech_base!$K52/tech_proj!K176*0.086*$J$132)/(1-tech_proj!K456))</f>
        <v/>
      </c>
      <c r="L1796" s="125" t="str">
        <f>IF(tech_base!$T52&gt;L$1745,"",(tech_base!$K52/tech_proj!L176*0.086*$J$132)/(1-tech_proj!L456))</f>
        <v/>
      </c>
      <c r="M1796" s="125" t="str">
        <f>IF(tech_base!$T52&gt;M$1745,"",(tech_base!$K52/tech_proj!M176*0.086*$J$132)/(1-tech_proj!M456))</f>
        <v/>
      </c>
      <c r="N1796" s="125" t="str">
        <f>IF(tech_base!$T52&gt;N$1745,"",(tech_base!$K52/tech_proj!N176*0.086*$J$132)/(1-tech_proj!N456))</f>
        <v/>
      </c>
      <c r="O1796" s="125" t="str">
        <f>IF(tech_base!$T52&gt;O$1745,"",(tech_base!$K52/tech_proj!O176*0.086*$J$132)/(1-tech_proj!O456))</f>
        <v/>
      </c>
      <c r="P1796" s="125" t="str">
        <f>IF(tech_base!$T52&gt;P$1745,"",(tech_base!$K52/tech_proj!P176*0.086*$J$132)/(1-tech_proj!P456))</f>
        <v/>
      </c>
      <c r="Q1796" s="125" t="str">
        <f>IF(tech_base!$T52&gt;Q$1745,"",(tech_base!$K52/tech_proj!Q176*0.086*$J$132)/(1-tech_proj!Q456))</f>
        <v/>
      </c>
      <c r="R1796" s="125" t="str">
        <f>IF(tech_base!$T52&gt;R$1745,"",(tech_base!$K52/tech_proj!R176*0.086*$J$132)/(1-tech_proj!R456))</f>
        <v/>
      </c>
      <c r="S1796" s="125" t="str">
        <f>IF(tech_base!$T52&gt;S$1745,"",(tech_base!$K52/tech_proj!S176*0.086*$J$132)/(1-tech_proj!S456))</f>
        <v/>
      </c>
      <c r="T1796" s="125" t="str">
        <f>IF(tech_base!$T52&gt;T$1745,"",(tech_base!$K52/tech_proj!T176*0.086*$J$132)/(1-tech_proj!T456))</f>
        <v/>
      </c>
      <c r="U1796" s="125" t="str">
        <f>IF(tech_base!$T52&gt;U$1745,"",(tech_base!$K52/tech_proj!U176*0.086*$J$132)/(1-tech_proj!U456))</f>
        <v/>
      </c>
      <c r="V1796" s="125" t="str">
        <f>IF(tech_base!$T52&gt;V$1745,"",(tech_base!$K52/tech_proj!V176*0.086*$J$132)/(1-tech_proj!V456))</f>
        <v/>
      </c>
      <c r="W1796" s="125" t="str">
        <f>IF(tech_base!$T52&gt;W$1745,"",(tech_base!$K52/tech_proj!W176*0.086*$J$132)/(1-tech_proj!W456))</f>
        <v/>
      </c>
      <c r="X1796" s="125" t="str">
        <f>IF(tech_base!$T52&gt;X$1745,"",(tech_base!$K52/tech_proj!X176*0.086*$J$132)/(1-tech_proj!X456))</f>
        <v/>
      </c>
      <c r="Y1796" s="125" t="str">
        <f>IF(tech_base!$T52&gt;Y$1745,"",(tech_base!$K52/tech_proj!Y176*0.086*$J$132)/(1-tech_proj!Y456))</f>
        <v/>
      </c>
      <c r="Z1796" s="125" t="str">
        <f>IF(tech_base!$T52&gt;Z$1745,"",(tech_base!$K52/tech_proj!Z176*0.086*$J$132)/(1-tech_proj!Z456))</f>
        <v/>
      </c>
      <c r="AA1796" s="125" t="str">
        <f>IF(tech_base!$T52&gt;AA$1745,"",(tech_base!$K52/tech_proj!AA176*0.086*$J$132)/(1-tech_proj!AA456))</f>
        <v/>
      </c>
      <c r="AB1796" s="125" t="str">
        <f>IF(tech_base!$T52&gt;AB$1745,"",(tech_base!$K52/tech_proj!AB176*0.086*$J$132)/(1-tech_proj!AB456))</f>
        <v/>
      </c>
      <c r="AC1796" s="125" t="str">
        <f>IF(tech_base!$T52&gt;AC$1745,"",(tech_base!$K52/tech_proj!AC176*0.086*$J$132)/(1-tech_proj!AC456))</f>
        <v/>
      </c>
      <c r="AD1796" s="125" t="str">
        <f>IF(tech_base!$T52&gt;AD$1745,"",(tech_base!$K52/tech_proj!AD176*0.086*$J$132)/(1-tech_proj!AD456))</f>
        <v/>
      </c>
      <c r="AE1796" s="125">
        <f>IF(tech_base!$T52&gt;AE$1745,"",(tech_base!$K52/tech_proj!AE176*0.086*$J$132)/(1-tech_proj!AE456))</f>
        <v>12.328901877719341</v>
      </c>
      <c r="AF1796" s="125">
        <f>IF(tech_base!$T52&gt;AF$1745,"",(tech_base!$K52/tech_proj!AF176*0.086*$J$132)/(1-tech_proj!AF456))</f>
        <v>12.328712430244568</v>
      </c>
      <c r="AG1796" s="125">
        <f>IF(tech_base!$T52&gt;AG$1745,"",(tech_base!$K52/tech_proj!AG176*0.086*$J$132)/(1-tech_proj!AG456))</f>
        <v>12.328443692862921</v>
      </c>
      <c r="AH1796" s="125">
        <f>IF(tech_base!$T52&gt;AH$1745,"",(tech_base!$K52/tech_proj!AH176*0.086*$J$132)/(1-tech_proj!AH456))</f>
        <v>12.328062540391844</v>
      </c>
      <c r="AI1796" s="125">
        <f>IF(tech_base!$T52&gt;AI$1745,"",(tech_base!$K52/tech_proj!AI176*0.086*$J$132)/(1-tech_proj!AI456))</f>
        <v>12.327522069771105</v>
      </c>
      <c r="AJ1796" s="125">
        <f>IF(tech_base!$T52&gt;AJ$1745,"",(tech_base!$K52/tech_proj!AJ176*0.086*$J$132)/(1-tech_proj!AJ456))</f>
        <v>12.326755930987163</v>
      </c>
      <c r="AK1796" s="125">
        <f>IF(tech_base!$T52&gt;AK$1745,"",(tech_base!$K52/tech_proj!AK176*0.086*$J$132)/(1-tech_proj!AK456))</f>
        <v>12.325670387660466</v>
      </c>
      <c r="AL1796" s="125">
        <f>IF(tech_base!$T52&gt;AL$1745,"",(tech_base!$K52/tech_proj!AL176*0.086*$J$132)/(1-tech_proj!AL456))</f>
        <v>12.324133261162499</v>
      </c>
      <c r="AM1796" s="125">
        <f>IF(tech_base!$T52&gt;AM$1745,"",(tech_base!$K52/tech_proj!AM176*0.086*$J$132)/(1-tech_proj!AM456))</f>
        <v>12.321958661442467</v>
      </c>
      <c r="AN1796" s="125">
        <f>IF(tech_base!$T52&gt;AN$1745,"",(tech_base!$K52/tech_proj!AN176*0.086*$J$132)/(1-tech_proj!AN456))</f>
        <v>12.318886152155534</v>
      </c>
      <c r="AO1796" s="125">
        <f>IF(tech_base!$T52&gt;AO$1745,"",(tech_base!$K52/tech_proj!AO176*0.086*$J$132)/(1-tech_proj!AO456))</f>
        <v>12.314552827360709</v>
      </c>
      <c r="AP1796" s="125">
        <f>IF(tech_base!$T52&gt;AP$1745,"",(tech_base!$K52/tech_proj!AP176*0.086*$J$132)/(1-tech_proj!AP456))</f>
        <v>12.308456897022118</v>
      </c>
      <c r="AQ1796" s="125">
        <f>IF(tech_base!$T52&gt;AQ$1745,"",(tech_base!$K52/tech_proj!AQ176*0.086*$J$132)/(1-tech_proj!AQ456))</f>
        <v>12.29991220707139</v>
      </c>
      <c r="AR1796" s="125">
        <f>IF(tech_base!$T52&gt;AR$1745,"",(tech_base!$K52/tech_proj!AR176*0.086*$J$132)/(1-tech_proj!AR456))</f>
        <v>12.287995434483504</v>
      </c>
      <c r="AS1796" s="125">
        <f>IF(tech_base!$T52&gt;AS$1745,"",(tech_base!$K52/tech_proj!AS176*0.086*$J$132)/(1-tech_proj!AS456))</f>
        <v>12.271492793522016</v>
      </c>
      <c r="AT1796" s="125">
        <f>IF(tech_base!$T52&gt;AT$1745,"",(tech_base!$K52/tech_proj!AT176*0.086*$J$132)/(1-tech_proj!AT456))</f>
        <v>12.248862774634494</v>
      </c>
      <c r="AU1796" s="125">
        <f>IF(tech_base!$T52&gt;AU$1745,"",(tech_base!$K52/tech_proj!AU176*0.086*$J$132)/(1-tech_proj!AU456))</f>
        <v>12.21824737043673</v>
      </c>
      <c r="AV1796" s="125">
        <f>IF(tech_base!$T52&gt;AV$1745,"",(tech_base!$K52/tech_proj!AV176*0.086*$J$132)/(1-tech_proj!AV456))</f>
        <v>12.177585558642351</v>
      </c>
      <c r="AW1796" s="125">
        <f>IF(tech_base!$T52&gt;AW$1745,"",(tech_base!$K52/tech_proj!AW176*0.086*$J$132)/(1-tech_proj!AW456))</f>
        <v>12.124900701956586</v>
      </c>
      <c r="AX1796" s="126">
        <f>IF(tech_base!$T52&gt;AX$1745,"",(tech_base!$K52/tech_proj!AX176*0.086*$J$132)/(1-tech_proj!AX456))</f>
        <v>12.058823422020891</v>
      </c>
    </row>
    <row r="1797" spans="1:50" x14ac:dyDescent="0.25">
      <c r="A1797" s="356"/>
      <c r="B1797" s="376"/>
      <c r="C1797" s="361" t="s">
        <v>16</v>
      </c>
      <c r="D1797" s="2" t="s">
        <v>7</v>
      </c>
      <c r="E1797" s="160" t="str">
        <f>A1791&amp;"/"&amp;B1791&amp;"/"&amp;C1797&amp;"/"&amp;D1797</f>
        <v>Lignite fired power plants/Integrated gasification combined cycle/CHP with CCS/L</v>
      </c>
      <c r="F1797" s="76" t="str">
        <f>A1791</f>
        <v>Lignite fired power plants</v>
      </c>
      <c r="G1797" s="76" t="str">
        <f>B1791</f>
        <v>Integrated gasification combined cycle</v>
      </c>
      <c r="H1797" s="76" t="str">
        <f>C1797</f>
        <v>CHP with CCS</v>
      </c>
      <c r="I1797" s="161" t="str">
        <f t="shared" si="382"/>
        <v>L</v>
      </c>
      <c r="J1797" s="119" t="str">
        <f>IF(tech_base!$T53&gt;J$1745,"",(tech_base!$K53/tech_proj!J177*0.086*$J$132)/(1-tech_proj!J457))</f>
        <v/>
      </c>
      <c r="K1797" s="119" t="str">
        <f>IF(tech_base!$T53&gt;K$1745,"",(tech_base!$K53/tech_proj!K177*0.086*$J$132)/(1-tech_proj!K457))</f>
        <v/>
      </c>
      <c r="L1797" s="119" t="str">
        <f>IF(tech_base!$T53&gt;L$1745,"",(tech_base!$K53/tech_proj!L177*0.086*$J$132)/(1-tech_proj!L457))</f>
        <v/>
      </c>
      <c r="M1797" s="119" t="str">
        <f>IF(tech_base!$T53&gt;M$1745,"",(tech_base!$K53/tech_proj!M177*0.086*$J$132)/(1-tech_proj!M457))</f>
        <v/>
      </c>
      <c r="N1797" s="119" t="str">
        <f>IF(tech_base!$T53&gt;N$1745,"",(tech_base!$K53/tech_proj!N177*0.086*$J$132)/(1-tech_proj!N457))</f>
        <v/>
      </c>
      <c r="O1797" s="119" t="str">
        <f>IF(tech_base!$T53&gt;O$1745,"",(tech_base!$K53/tech_proj!O177*0.086*$J$132)/(1-tech_proj!O457))</f>
        <v/>
      </c>
      <c r="P1797" s="119" t="str">
        <f>IF(tech_base!$T53&gt;P$1745,"",(tech_base!$K53/tech_proj!P177*0.086*$J$132)/(1-tech_proj!P457))</f>
        <v/>
      </c>
      <c r="Q1797" s="119" t="str">
        <f>IF(tech_base!$T53&gt;Q$1745,"",(tech_base!$K53/tech_proj!Q177*0.086*$J$132)/(1-tech_proj!Q457))</f>
        <v/>
      </c>
      <c r="R1797" s="119" t="str">
        <f>IF(tech_base!$T53&gt;R$1745,"",(tech_base!$K53/tech_proj!R177*0.086*$J$132)/(1-tech_proj!R457))</f>
        <v/>
      </c>
      <c r="S1797" s="119" t="str">
        <f>IF(tech_base!$T53&gt;S$1745,"",(tech_base!$K53/tech_proj!S177*0.086*$J$132)/(1-tech_proj!S457))</f>
        <v/>
      </c>
      <c r="T1797" s="119" t="str">
        <f>IF(tech_base!$T53&gt;T$1745,"",(tech_base!$K53/tech_proj!T177*0.086*$J$132)/(1-tech_proj!T457))</f>
        <v/>
      </c>
      <c r="U1797" s="119" t="str">
        <f>IF(tech_base!$T53&gt;U$1745,"",(tech_base!$K53/tech_proj!U177*0.086*$J$132)/(1-tech_proj!U457))</f>
        <v/>
      </c>
      <c r="V1797" s="119" t="str">
        <f>IF(tech_base!$T53&gt;V$1745,"",(tech_base!$K53/tech_proj!V177*0.086*$J$132)/(1-tech_proj!V457))</f>
        <v/>
      </c>
      <c r="W1797" s="119" t="str">
        <f>IF(tech_base!$T53&gt;W$1745,"",(tech_base!$K53/tech_proj!W177*0.086*$J$132)/(1-tech_proj!W457))</f>
        <v/>
      </c>
      <c r="X1797" s="119" t="str">
        <f>IF(tech_base!$T53&gt;X$1745,"",(tech_base!$K53/tech_proj!X177*0.086*$J$132)/(1-tech_proj!X457))</f>
        <v/>
      </c>
      <c r="Y1797" s="119" t="str">
        <f>IF(tech_base!$T53&gt;Y$1745,"",(tech_base!$K53/tech_proj!Y177*0.086*$J$132)/(1-tech_proj!Y457))</f>
        <v/>
      </c>
      <c r="Z1797" s="119" t="str">
        <f>IF(tech_base!$T53&gt;Z$1745,"",(tech_base!$K53/tech_proj!Z177*0.086*$J$132)/(1-tech_proj!Z457))</f>
        <v/>
      </c>
      <c r="AA1797" s="119" t="str">
        <f>IF(tech_base!$T53&gt;AA$1745,"",(tech_base!$K53/tech_proj!AA177*0.086*$J$132)/(1-tech_proj!AA457))</f>
        <v/>
      </c>
      <c r="AB1797" s="119" t="str">
        <f>IF(tech_base!$T53&gt;AB$1745,"",(tech_base!$K53/tech_proj!AB177*0.086*$J$132)/(1-tech_proj!AB457))</f>
        <v/>
      </c>
      <c r="AC1797" s="119" t="str">
        <f>IF(tech_base!$T53&gt;AC$1745,"",(tech_base!$K53/tech_proj!AC177*0.086*$J$132)/(1-tech_proj!AC457))</f>
        <v/>
      </c>
      <c r="AD1797" s="119" t="str">
        <f>IF(tech_base!$T53&gt;AD$1745,"",(tech_base!$K53/tech_proj!AD177*0.086*$J$132)/(1-tech_proj!AD457))</f>
        <v/>
      </c>
      <c r="AE1797" s="119">
        <f>IF(tech_base!$T53&gt;AE$1745,"",(tech_base!$K53/tech_proj!AE177*0.086*$J$132)/(1-tech_proj!AE457))</f>
        <v>13.150535759730239</v>
      </c>
      <c r="AF1797" s="119">
        <f>IF(tech_base!$T53&gt;AF$1745,"",(tech_base!$K53/tech_proj!AF177*0.086*$J$132)/(1-tech_proj!AF457))</f>
        <v>13.15014992823391</v>
      </c>
      <c r="AG1797" s="119">
        <f>IF(tech_base!$T53&gt;AG$1745,"",(tech_base!$K53/tech_proj!AG177*0.086*$J$132)/(1-tech_proj!AG457))</f>
        <v>13.149629530949781</v>
      </c>
      <c r="AH1797" s="119">
        <f>IF(tech_base!$T53&gt;AH$1745,"",(tech_base!$K53/tech_proj!AH177*0.086*$J$132)/(1-tech_proj!AH457))</f>
        <v>13.148927833739535</v>
      </c>
      <c r="AI1797" s="119">
        <f>IF(tech_base!$T53&gt;AI$1745,"",(tech_base!$K53/tech_proj!AI177*0.086*$J$132)/(1-tech_proj!AI457))</f>
        <v>13.147982034160608</v>
      </c>
      <c r="AJ1797" s="119">
        <f>IF(tech_base!$T53&gt;AJ$1745,"",(tech_base!$K53/tech_proj!AJ177*0.086*$J$132)/(1-tech_proj!AJ457))</f>
        <v>13.146707869536097</v>
      </c>
      <c r="AK1797" s="119">
        <f>IF(tech_base!$T53&gt;AK$1745,"",(tech_base!$K53/tech_proj!AK177*0.086*$J$132)/(1-tech_proj!AK457))</f>
        <v>13.144992524321786</v>
      </c>
      <c r="AL1797" s="119">
        <f>IF(tech_base!$T53&gt;AL$1745,"",(tech_base!$K53/tech_proj!AL177*0.086*$J$132)/(1-tech_proj!AL457))</f>
        <v>13.142685389927511</v>
      </c>
      <c r="AM1797" s="119">
        <f>IF(tech_base!$T53&gt;AM$1745,"",(tech_base!$K53/tech_proj!AM177*0.086*$J$132)/(1-tech_proj!AM457))</f>
        <v>13.139586189183346</v>
      </c>
      <c r="AN1797" s="119">
        <f>IF(tech_base!$T53&gt;AN$1745,"",(tech_base!$K53/tech_proj!AN177*0.086*$J$132)/(1-tech_proj!AN457))</f>
        <v>13.135430008110987</v>
      </c>
      <c r="AO1797" s="119">
        <f>IF(tech_base!$T53&gt;AO$1745,"",(tech_base!$K53/tech_proj!AO177*0.086*$J$132)/(1-tech_proj!AO457))</f>
        <v>13.129868962566466</v>
      </c>
      <c r="AP1797" s="119">
        <f>IF(tech_base!$T53&gt;AP$1745,"",(tech_base!$K53/tech_proj!AP177*0.086*$J$132)/(1-tech_proj!AP457))</f>
        <v>13.122450709766344</v>
      </c>
      <c r="AQ1797" s="119">
        <f>IF(tech_base!$T53&gt;AQ$1745,"",(tech_base!$K53/tech_proj!AQ177*0.086*$J$132)/(1-tech_proj!AQ457))</f>
        <v>13.112595023719223</v>
      </c>
      <c r="AR1797" s="119">
        <f>IF(tech_base!$T53&gt;AR$1745,"",(tech_base!$K53/tech_proj!AR177*0.086*$J$132)/(1-tech_proj!AR457))</f>
        <v>13.099571519839973</v>
      </c>
      <c r="AS1797" s="119">
        <f>IF(tech_base!$T53&gt;AS$1745,"",(tech_base!$K53/tech_proj!AS177*0.086*$J$132)/(1-tech_proj!AS457))</f>
        <v>13.082484736691049</v>
      </c>
      <c r="AT1797" s="119">
        <f>IF(tech_base!$T53&gt;AT$1745,"",(tech_base!$K53/tech_proj!AT177*0.086*$J$132)/(1-tech_proj!AT457))</f>
        <v>13.06027746170275</v>
      </c>
      <c r="AU1797" s="119">
        <f>IF(tech_base!$T53&gt;AU$1745,"",(tech_base!$K53/tech_proj!AU177*0.086*$J$132)/(1-tech_proj!AU457))</f>
        <v>13.031769172341392</v>
      </c>
      <c r="AV1797" s="119">
        <f>IF(tech_base!$T53&gt;AV$1745,"",(tech_base!$K53/tech_proj!AV177*0.086*$J$132)/(1-tech_proj!AV457))</f>
        <v>12.995752053214702</v>
      </c>
      <c r="AW1797" s="119">
        <f>IF(tech_base!$T53&gt;AW$1745,"",(tech_base!$K53/tech_proj!AW177*0.086*$J$132)/(1-tech_proj!AW457))</f>
        <v>12.951167796896417</v>
      </c>
      <c r="AX1797" s="120">
        <f>IF(tech_base!$T53&gt;AX$1745,"",(tech_base!$K53/tech_proj!AX177*0.086*$J$132)/(1-tech_proj!AX457))</f>
        <v>12.89737630372511</v>
      </c>
    </row>
    <row r="1798" spans="1:50" x14ac:dyDescent="0.25">
      <c r="A1798" s="356"/>
      <c r="B1798" s="376"/>
      <c r="C1798" s="381"/>
      <c r="D1798" s="2" t="s">
        <v>8</v>
      </c>
      <c r="E1798" s="168" t="str">
        <f>A1791&amp;"/"&amp;B1791&amp;"/"&amp;C1797&amp;"/"&amp;D1798</f>
        <v>Lignite fired power plants/Integrated gasification combined cycle/CHP with CCS/M</v>
      </c>
      <c r="F1798" s="80" t="str">
        <f>A1791</f>
        <v>Lignite fired power plants</v>
      </c>
      <c r="G1798" s="80" t="str">
        <f>B1791</f>
        <v>Integrated gasification combined cycle</v>
      </c>
      <c r="H1798" s="80" t="str">
        <f>C1797</f>
        <v>CHP with CCS</v>
      </c>
      <c r="I1798" s="169" t="str">
        <f t="shared" si="382"/>
        <v>M</v>
      </c>
      <c r="J1798" s="127" t="str">
        <f>IF(tech_base!$T54&gt;J$1745,"",(tech_base!$K54/tech_proj!J178*0.086*$J$132)/(1-tech_proj!J458))</f>
        <v/>
      </c>
      <c r="K1798" s="127" t="str">
        <f>IF(tech_base!$T54&gt;K$1745,"",(tech_base!$K54/tech_proj!K178*0.086*$J$132)/(1-tech_proj!K458))</f>
        <v/>
      </c>
      <c r="L1798" s="127" t="str">
        <f>IF(tech_base!$T54&gt;L$1745,"",(tech_base!$K54/tech_proj!L178*0.086*$J$132)/(1-tech_proj!L458))</f>
        <v/>
      </c>
      <c r="M1798" s="127" t="str">
        <f>IF(tech_base!$T54&gt;M$1745,"",(tech_base!$K54/tech_proj!M178*0.086*$J$132)/(1-tech_proj!M458))</f>
        <v/>
      </c>
      <c r="N1798" s="127" t="str">
        <f>IF(tech_base!$T54&gt;N$1745,"",(tech_base!$K54/tech_proj!N178*0.086*$J$132)/(1-tech_proj!N458))</f>
        <v/>
      </c>
      <c r="O1798" s="127" t="str">
        <f>IF(tech_base!$T54&gt;O$1745,"",(tech_base!$K54/tech_proj!O178*0.086*$J$132)/(1-tech_proj!O458))</f>
        <v/>
      </c>
      <c r="P1798" s="127" t="str">
        <f>IF(tech_base!$T54&gt;P$1745,"",(tech_base!$K54/tech_proj!P178*0.086*$J$132)/(1-tech_proj!P458))</f>
        <v/>
      </c>
      <c r="Q1798" s="127" t="str">
        <f>IF(tech_base!$T54&gt;Q$1745,"",(tech_base!$K54/tech_proj!Q178*0.086*$J$132)/(1-tech_proj!Q458))</f>
        <v/>
      </c>
      <c r="R1798" s="127" t="str">
        <f>IF(tech_base!$T54&gt;R$1745,"",(tech_base!$K54/tech_proj!R178*0.086*$J$132)/(1-tech_proj!R458))</f>
        <v/>
      </c>
      <c r="S1798" s="127" t="str">
        <f>IF(tech_base!$T54&gt;S$1745,"",(tech_base!$K54/tech_proj!S178*0.086*$J$132)/(1-tech_proj!S458))</f>
        <v/>
      </c>
      <c r="T1798" s="127" t="str">
        <f>IF(tech_base!$T54&gt;T$1745,"",(tech_base!$K54/tech_proj!T178*0.086*$J$132)/(1-tech_proj!T458))</f>
        <v/>
      </c>
      <c r="U1798" s="127" t="str">
        <f>IF(tech_base!$T54&gt;U$1745,"",(tech_base!$K54/tech_proj!U178*0.086*$J$132)/(1-tech_proj!U458))</f>
        <v/>
      </c>
      <c r="V1798" s="127" t="str">
        <f>IF(tech_base!$T54&gt;V$1745,"",(tech_base!$K54/tech_proj!V178*0.086*$J$132)/(1-tech_proj!V458))</f>
        <v/>
      </c>
      <c r="W1798" s="127" t="str">
        <f>IF(tech_base!$T54&gt;W$1745,"",(tech_base!$K54/tech_proj!W178*0.086*$J$132)/(1-tech_proj!W458))</f>
        <v/>
      </c>
      <c r="X1798" s="127" t="str">
        <f>IF(tech_base!$T54&gt;X$1745,"",(tech_base!$K54/tech_proj!X178*0.086*$J$132)/(1-tech_proj!X458))</f>
        <v/>
      </c>
      <c r="Y1798" s="127" t="str">
        <f>IF(tech_base!$T54&gt;Y$1745,"",(tech_base!$K54/tech_proj!Y178*0.086*$J$132)/(1-tech_proj!Y458))</f>
        <v/>
      </c>
      <c r="Z1798" s="127" t="str">
        <f>IF(tech_base!$T54&gt;Z$1745,"",(tech_base!$K54/tech_proj!Z178*0.086*$J$132)/(1-tech_proj!Z458))</f>
        <v/>
      </c>
      <c r="AA1798" s="127" t="str">
        <f>IF(tech_base!$T54&gt;AA$1745,"",(tech_base!$K54/tech_proj!AA178*0.086*$J$132)/(1-tech_proj!AA458))</f>
        <v/>
      </c>
      <c r="AB1798" s="127" t="str">
        <f>IF(tech_base!$T54&gt;AB$1745,"",(tech_base!$K54/tech_proj!AB178*0.086*$J$132)/(1-tech_proj!AB458))</f>
        <v/>
      </c>
      <c r="AC1798" s="127" t="str">
        <f>IF(tech_base!$T54&gt;AC$1745,"",(tech_base!$K54/tech_proj!AC178*0.086*$J$132)/(1-tech_proj!AC458))</f>
        <v/>
      </c>
      <c r="AD1798" s="127" t="str">
        <f>IF(tech_base!$T54&gt;AD$1745,"",(tech_base!$K54/tech_proj!AD178*0.086*$J$132)/(1-tech_proj!AD458))</f>
        <v/>
      </c>
      <c r="AE1798" s="127">
        <f>IF(tech_base!$T54&gt;AE$1745,"",(tech_base!$K54/tech_proj!AE178*0.086*$J$132)/(1-tech_proj!AE458))</f>
        <v>14.090958271001275</v>
      </c>
      <c r="AF1798" s="127">
        <f>IF(tech_base!$T54&gt;AF$1745,"",(tech_base!$K54/tech_proj!AF178*0.086*$J$132)/(1-tech_proj!AF458))</f>
        <v>14.090754122811402</v>
      </c>
      <c r="AG1798" s="127">
        <f>IF(tech_base!$T54&gt;AG$1745,"",(tech_base!$K54/tech_proj!AG178*0.086*$J$132)/(1-tech_proj!AG458))</f>
        <v>14.090464533219334</v>
      </c>
      <c r="AH1798" s="127">
        <f>IF(tech_base!$T54&gt;AH$1745,"",(tech_base!$K54/tech_proj!AH178*0.086*$J$132)/(1-tech_proj!AH458))</f>
        <v>14.09005380835954</v>
      </c>
      <c r="AI1798" s="127">
        <f>IF(tech_base!$T54&gt;AI$1745,"",(tech_base!$K54/tech_proj!AI178*0.086*$J$132)/(1-tech_proj!AI458))</f>
        <v>14.089471409348105</v>
      </c>
      <c r="AJ1798" s="127">
        <f>IF(tech_base!$T54&gt;AJ$1745,"",(tech_base!$K54/tech_proj!AJ178*0.086*$J$132)/(1-tech_proj!AJ458))</f>
        <v>14.088645845396252</v>
      </c>
      <c r="AK1798" s="127">
        <f>IF(tech_base!$T54&gt;AK$1745,"",(tech_base!$K54/tech_proj!AK178*0.086*$J$132)/(1-tech_proj!AK458))</f>
        <v>14.087476122552015</v>
      </c>
      <c r="AL1798" s="127">
        <f>IF(tech_base!$T54&gt;AL$1745,"",(tech_base!$K54/tech_proj!AL178*0.086*$J$132)/(1-tech_proj!AL458))</f>
        <v>14.085819838415745</v>
      </c>
      <c r="AM1798" s="127">
        <f>IF(tech_base!$T54&gt;AM$1745,"",(tech_base!$K54/tech_proj!AM178*0.086*$J$132)/(1-tech_proj!AM458))</f>
        <v>14.083476745122205</v>
      </c>
      <c r="AN1798" s="127">
        <f>IF(tech_base!$T54&gt;AN$1745,"",(tech_base!$K54/tech_proj!AN178*0.086*$J$132)/(1-tech_proj!AN458))</f>
        <v>14.080166331511062</v>
      </c>
      <c r="AO1798" s="127">
        <f>IF(tech_base!$T54&gt;AO$1745,"",(tech_base!$K54/tech_proj!AO178*0.086*$J$132)/(1-tech_proj!AO458))</f>
        <v>14.075497799592105</v>
      </c>
      <c r="AP1798" s="127">
        <f>IF(tech_base!$T54&gt;AP$1745,"",(tech_base!$K54/tech_proj!AP178*0.086*$J$132)/(1-tech_proj!AP458))</f>
        <v>14.068930954057034</v>
      </c>
      <c r="AQ1798" s="127">
        <f>IF(tech_base!$T54&gt;AQ$1745,"",(tech_base!$K54/tech_proj!AQ178*0.086*$J$132)/(1-tech_proj!AQ458))</f>
        <v>14.059727442121767</v>
      </c>
      <c r="AR1798" s="127">
        <f>IF(tech_base!$T54&gt;AR$1745,"",(tech_base!$K54/tech_proj!AR178*0.086*$J$132)/(1-tech_proj!AR458))</f>
        <v>14.046894318553406</v>
      </c>
      <c r="AS1798" s="127">
        <f>IF(tech_base!$T54&gt;AS$1745,"",(tech_base!$K54/tech_proj!AS178*0.086*$J$132)/(1-tech_proj!AS458))</f>
        <v>14.029127467177142</v>
      </c>
      <c r="AT1798" s="127">
        <f>IF(tech_base!$T54&gt;AT$1745,"",(tech_base!$K54/tech_proj!AT178*0.086*$J$132)/(1-tech_proj!AT458))</f>
        <v>14.00477292570916</v>
      </c>
      <c r="AU1798" s="127">
        <f>IF(tech_base!$T54&gt;AU$1745,"",(tech_base!$K54/tech_proj!AU178*0.086*$J$132)/(1-tech_proj!AU458))</f>
        <v>13.971841370067013</v>
      </c>
      <c r="AV1798" s="127">
        <f>IF(tech_base!$T54&gt;AV$1745,"",(tech_base!$K54/tech_proj!AV178*0.086*$J$132)/(1-tech_proj!AV458))</f>
        <v>13.928133831828072</v>
      </c>
      <c r="AW1798" s="127">
        <f>IF(tech_base!$T54&gt;AW$1745,"",(tech_base!$K54/tech_proj!AW178*0.086*$J$132)/(1-tech_proj!AW458))</f>
        <v>13.871555341121532</v>
      </c>
      <c r="AX1798" s="128">
        <f>IF(tech_base!$T54&gt;AX$1745,"",(tech_base!$K54/tech_proj!AX178*0.086*$J$132)/(1-tech_proj!AX458))</f>
        <v>13.800680735822061</v>
      </c>
    </row>
    <row r="1799" spans="1:50" x14ac:dyDescent="0.25">
      <c r="A1799" s="356"/>
      <c r="B1799" s="358" t="s">
        <v>17</v>
      </c>
      <c r="C1799" s="353" t="s">
        <v>6</v>
      </c>
      <c r="D1799" s="3" t="s">
        <v>7</v>
      </c>
      <c r="E1799" s="162" t="str">
        <f>A1791&amp;"/"&amp;B1799&amp;"/"&amp;C1799&amp;"/"&amp;D1799</f>
        <v>Lignite fired power plants/Supercritical steam turbine/Electricity only/L</v>
      </c>
      <c r="F1799" s="77" t="str">
        <f>A1791</f>
        <v>Lignite fired power plants</v>
      </c>
      <c r="G1799" s="77" t="str">
        <f>B1799</f>
        <v>Supercritical steam turbine</v>
      </c>
      <c r="H1799" s="77" t="str">
        <f>C1799</f>
        <v>Electricity only</v>
      </c>
      <c r="I1799" s="163" t="str">
        <f t="shared" si="382"/>
        <v>L</v>
      </c>
      <c r="J1799" s="121">
        <f>IF(tech_base!$T55&gt;J$1745,"",(tech_base!$K55/tech_proj!J179*0.086*$J$132)/(1-tech_proj!J459))</f>
        <v>0</v>
      </c>
      <c r="K1799" s="121">
        <f>IF(tech_base!$T55&gt;K$1745,"",(tech_base!$K55/tech_proj!K179*0.086*$J$132)/(1-tech_proj!K459))</f>
        <v>0</v>
      </c>
      <c r="L1799" s="121">
        <f>IF(tech_base!$T55&gt;L$1745,"",(tech_base!$K55/tech_proj!L179*0.086*$J$132)/(1-tech_proj!L459))</f>
        <v>0</v>
      </c>
      <c r="M1799" s="121">
        <f>IF(tech_base!$T55&gt;M$1745,"",(tech_base!$K55/tech_proj!M179*0.086*$J$132)/(1-tech_proj!M459))</f>
        <v>0</v>
      </c>
      <c r="N1799" s="121">
        <f>IF(tech_base!$T55&gt;N$1745,"",(tech_base!$K55/tech_proj!N179*0.086*$J$132)/(1-tech_proj!N459))</f>
        <v>0</v>
      </c>
      <c r="O1799" s="121">
        <f>IF(tech_base!$T55&gt;O$1745,"",(tech_base!$K55/tech_proj!O179*0.086*$J$132)/(1-tech_proj!O459))</f>
        <v>0</v>
      </c>
      <c r="P1799" s="121">
        <f>IF(tech_base!$T55&gt;P$1745,"",(tech_base!$K55/tech_proj!P179*0.086*$J$132)/(1-tech_proj!P459))</f>
        <v>0</v>
      </c>
      <c r="Q1799" s="121">
        <f>IF(tech_base!$T55&gt;Q$1745,"",(tech_base!$K55/tech_proj!Q179*0.086*$J$132)/(1-tech_proj!Q459))</f>
        <v>0</v>
      </c>
      <c r="R1799" s="121">
        <f>IF(tech_base!$T55&gt;R$1745,"",(tech_base!$K55/tech_proj!R179*0.086*$J$132)/(1-tech_proj!R459))</f>
        <v>0</v>
      </c>
      <c r="S1799" s="121">
        <f>IF(tech_base!$T55&gt;S$1745,"",(tech_base!$K55/tech_proj!S179*0.086*$J$132)/(1-tech_proj!S459))</f>
        <v>0</v>
      </c>
      <c r="T1799" s="121">
        <f>IF(tech_base!$T55&gt;T$1745,"",(tech_base!$K55/tech_proj!T179*0.086*$J$132)/(1-tech_proj!T459))</f>
        <v>0</v>
      </c>
      <c r="U1799" s="121">
        <f>IF(tech_base!$T55&gt;U$1745,"",(tech_base!$K55/tech_proj!U179*0.086*$J$132)/(1-tech_proj!U459))</f>
        <v>0</v>
      </c>
      <c r="V1799" s="121">
        <f>IF(tech_base!$T55&gt;V$1745,"",(tech_base!$K55/tech_proj!V179*0.086*$J$132)/(1-tech_proj!V459))</f>
        <v>0</v>
      </c>
      <c r="W1799" s="121">
        <f>IF(tech_base!$T55&gt;W$1745,"",(tech_base!$K55/tech_proj!W179*0.086*$J$132)/(1-tech_proj!W459))</f>
        <v>0</v>
      </c>
      <c r="X1799" s="121">
        <f>IF(tech_base!$T55&gt;X$1745,"",(tech_base!$K55/tech_proj!X179*0.086*$J$132)/(1-tech_proj!X459))</f>
        <v>0</v>
      </c>
      <c r="Y1799" s="121">
        <f>IF(tech_base!$T55&gt;Y$1745,"",(tech_base!$K55/tech_proj!Y179*0.086*$J$132)/(1-tech_proj!Y459))</f>
        <v>0</v>
      </c>
      <c r="Z1799" s="121">
        <f>IF(tech_base!$T55&gt;Z$1745,"",(tech_base!$K55/tech_proj!Z179*0.086*$J$132)/(1-tech_proj!Z459))</f>
        <v>0</v>
      </c>
      <c r="AA1799" s="121">
        <f>IF(tech_base!$T55&gt;AA$1745,"",(tech_base!$K55/tech_proj!AA179*0.086*$J$132)/(1-tech_proj!AA459))</f>
        <v>0</v>
      </c>
      <c r="AB1799" s="121">
        <f>IF(tech_base!$T55&gt;AB$1745,"",(tech_base!$K55/tech_proj!AB179*0.086*$J$132)/(1-tech_proj!AB459))</f>
        <v>0</v>
      </c>
      <c r="AC1799" s="121">
        <f>IF(tech_base!$T55&gt;AC$1745,"",(tech_base!$K55/tech_proj!AC179*0.086*$J$132)/(1-tech_proj!AC459))</f>
        <v>0</v>
      </c>
      <c r="AD1799" s="121">
        <f>IF(tech_base!$T55&gt;AD$1745,"",(tech_base!$K55/tech_proj!AD179*0.086*$J$132)/(1-tech_proj!AD459))</f>
        <v>0</v>
      </c>
      <c r="AE1799" s="121">
        <f>IF(tech_base!$T55&gt;AE$1745,"",(tech_base!$K55/tech_proj!AE179*0.086*$J$132)/(1-tech_proj!AE459))</f>
        <v>0</v>
      </c>
      <c r="AF1799" s="121">
        <f>IF(tech_base!$T55&gt;AF$1745,"",(tech_base!$K55/tech_proj!AF179*0.086*$J$132)/(1-tech_proj!AF459))</f>
        <v>0</v>
      </c>
      <c r="AG1799" s="121">
        <f>IF(tech_base!$T55&gt;AG$1745,"",(tech_base!$K55/tech_proj!AG179*0.086*$J$132)/(1-tech_proj!AG459))</f>
        <v>0</v>
      </c>
      <c r="AH1799" s="121">
        <f>IF(tech_base!$T55&gt;AH$1745,"",(tech_base!$K55/tech_proj!AH179*0.086*$J$132)/(1-tech_proj!AH459))</f>
        <v>0</v>
      </c>
      <c r="AI1799" s="121">
        <f>IF(tech_base!$T55&gt;AI$1745,"",(tech_base!$K55/tech_proj!AI179*0.086*$J$132)/(1-tech_proj!AI459))</f>
        <v>0</v>
      </c>
      <c r="AJ1799" s="121">
        <f>IF(tech_base!$T55&gt;AJ$1745,"",(tech_base!$K55/tech_proj!AJ179*0.086*$J$132)/(1-tech_proj!AJ459))</f>
        <v>0</v>
      </c>
      <c r="AK1799" s="121">
        <f>IF(tech_base!$T55&gt;AK$1745,"",(tech_base!$K55/tech_proj!AK179*0.086*$J$132)/(1-tech_proj!AK459))</f>
        <v>0</v>
      </c>
      <c r="AL1799" s="121">
        <f>IF(tech_base!$T55&gt;AL$1745,"",(tech_base!$K55/tech_proj!AL179*0.086*$J$132)/(1-tech_proj!AL459))</f>
        <v>0</v>
      </c>
      <c r="AM1799" s="121">
        <f>IF(tech_base!$T55&gt;AM$1745,"",(tech_base!$K55/tech_proj!AM179*0.086*$J$132)/(1-tech_proj!AM459))</f>
        <v>0</v>
      </c>
      <c r="AN1799" s="121">
        <f>IF(tech_base!$T55&gt;AN$1745,"",(tech_base!$K55/tech_proj!AN179*0.086*$J$132)/(1-tech_proj!AN459))</f>
        <v>0</v>
      </c>
      <c r="AO1799" s="121">
        <f>IF(tech_base!$T55&gt;AO$1745,"",(tech_base!$K55/tech_proj!AO179*0.086*$J$132)/(1-tech_proj!AO459))</f>
        <v>0</v>
      </c>
      <c r="AP1799" s="121">
        <f>IF(tech_base!$T55&gt;AP$1745,"",(tech_base!$K55/tech_proj!AP179*0.086*$J$132)/(1-tech_proj!AP459))</f>
        <v>0</v>
      </c>
      <c r="AQ1799" s="121">
        <f>IF(tech_base!$T55&gt;AQ$1745,"",(tech_base!$K55/tech_proj!AQ179*0.086*$J$132)/(1-tech_proj!AQ459))</f>
        <v>0</v>
      </c>
      <c r="AR1799" s="121">
        <f>IF(tech_base!$T55&gt;AR$1745,"",(tech_base!$K55/tech_proj!AR179*0.086*$J$132)/(1-tech_proj!AR459))</f>
        <v>0</v>
      </c>
      <c r="AS1799" s="121">
        <f>IF(tech_base!$T55&gt;AS$1745,"",(tech_base!$K55/tech_proj!AS179*0.086*$J$132)/(1-tech_proj!AS459))</f>
        <v>0</v>
      </c>
      <c r="AT1799" s="121">
        <f>IF(tech_base!$T55&gt;AT$1745,"",(tech_base!$K55/tech_proj!AT179*0.086*$J$132)/(1-tech_proj!AT459))</f>
        <v>0</v>
      </c>
      <c r="AU1799" s="121">
        <f>IF(tech_base!$T55&gt;AU$1745,"",(tech_base!$K55/tech_proj!AU179*0.086*$J$132)/(1-tech_proj!AU459))</f>
        <v>0</v>
      </c>
      <c r="AV1799" s="121">
        <f>IF(tech_base!$T55&gt;AV$1745,"",(tech_base!$K55/tech_proj!AV179*0.086*$J$132)/(1-tech_proj!AV459))</f>
        <v>0</v>
      </c>
      <c r="AW1799" s="121">
        <f>IF(tech_base!$T55&gt;AW$1745,"",(tech_base!$K55/tech_proj!AW179*0.086*$J$132)/(1-tech_proj!AW459))</f>
        <v>0</v>
      </c>
      <c r="AX1799" s="122">
        <f>IF(tech_base!$T55&gt;AX$1745,"",(tech_base!$K55/tech_proj!AX179*0.086*$J$132)/(1-tech_proj!AX459))</f>
        <v>0</v>
      </c>
    </row>
    <row r="1800" spans="1:50" x14ac:dyDescent="0.25">
      <c r="A1800" s="356"/>
      <c r="B1800" s="376"/>
      <c r="C1800" s="379"/>
      <c r="D1800" s="2" t="s">
        <v>8</v>
      </c>
      <c r="E1800" s="160" t="str">
        <f>A1791&amp;"/"&amp;B1799&amp;"/"&amp;C1799&amp;"/"&amp;D1800</f>
        <v>Lignite fired power plants/Supercritical steam turbine/Electricity only/M</v>
      </c>
      <c r="F1800" s="76" t="str">
        <f>A1791</f>
        <v>Lignite fired power plants</v>
      </c>
      <c r="G1800" s="76" t="str">
        <f>B1799</f>
        <v>Supercritical steam turbine</v>
      </c>
      <c r="H1800" s="76" t="str">
        <f>C1799</f>
        <v>Electricity only</v>
      </c>
      <c r="I1800" s="161" t="str">
        <f t="shared" si="382"/>
        <v>M</v>
      </c>
      <c r="J1800" s="119">
        <f>IF(tech_base!$T56&gt;J$1745,"",(tech_base!$K56/tech_proj!J180*0.086*$J$132)/(1-tech_proj!J460))</f>
        <v>0</v>
      </c>
      <c r="K1800" s="119">
        <f>IF(tech_base!$T56&gt;K$1745,"",(tech_base!$K56/tech_proj!K180*0.086*$J$132)/(1-tech_proj!K460))</f>
        <v>0</v>
      </c>
      <c r="L1800" s="119">
        <f>IF(tech_base!$T56&gt;L$1745,"",(tech_base!$K56/tech_proj!L180*0.086*$J$132)/(1-tech_proj!L460))</f>
        <v>0</v>
      </c>
      <c r="M1800" s="119">
        <f>IF(tech_base!$T56&gt;M$1745,"",(tech_base!$K56/tech_proj!M180*0.086*$J$132)/(1-tech_proj!M460))</f>
        <v>0</v>
      </c>
      <c r="N1800" s="119">
        <f>IF(tech_base!$T56&gt;N$1745,"",(tech_base!$K56/tech_proj!N180*0.086*$J$132)/(1-tech_proj!N460))</f>
        <v>0</v>
      </c>
      <c r="O1800" s="119">
        <f>IF(tech_base!$T56&gt;O$1745,"",(tech_base!$K56/tech_proj!O180*0.086*$J$132)/(1-tech_proj!O460))</f>
        <v>0</v>
      </c>
      <c r="P1800" s="119">
        <f>IF(tech_base!$T56&gt;P$1745,"",(tech_base!$K56/tech_proj!P180*0.086*$J$132)/(1-tech_proj!P460))</f>
        <v>0</v>
      </c>
      <c r="Q1800" s="119">
        <f>IF(tech_base!$T56&gt;Q$1745,"",(tech_base!$K56/tech_proj!Q180*0.086*$J$132)/(1-tech_proj!Q460))</f>
        <v>0</v>
      </c>
      <c r="R1800" s="119">
        <f>IF(tech_base!$T56&gt;R$1745,"",(tech_base!$K56/tech_proj!R180*0.086*$J$132)/(1-tech_proj!R460))</f>
        <v>0</v>
      </c>
      <c r="S1800" s="119">
        <f>IF(tech_base!$T56&gt;S$1745,"",(tech_base!$K56/tech_proj!S180*0.086*$J$132)/(1-tech_proj!S460))</f>
        <v>0</v>
      </c>
      <c r="T1800" s="119">
        <f>IF(tech_base!$T56&gt;T$1745,"",(tech_base!$K56/tech_proj!T180*0.086*$J$132)/(1-tech_proj!T460))</f>
        <v>0</v>
      </c>
      <c r="U1800" s="119">
        <f>IF(tech_base!$T56&gt;U$1745,"",(tech_base!$K56/tech_proj!U180*0.086*$J$132)/(1-tech_proj!U460))</f>
        <v>0</v>
      </c>
      <c r="V1800" s="119">
        <f>IF(tech_base!$T56&gt;V$1745,"",(tech_base!$K56/tech_proj!V180*0.086*$J$132)/(1-tech_proj!V460))</f>
        <v>0</v>
      </c>
      <c r="W1800" s="119">
        <f>IF(tech_base!$T56&gt;W$1745,"",(tech_base!$K56/tech_proj!W180*0.086*$J$132)/(1-tech_proj!W460))</f>
        <v>0</v>
      </c>
      <c r="X1800" s="119">
        <f>IF(tech_base!$T56&gt;X$1745,"",(tech_base!$K56/tech_proj!X180*0.086*$J$132)/(1-tech_proj!X460))</f>
        <v>0</v>
      </c>
      <c r="Y1800" s="119">
        <f>IF(tech_base!$T56&gt;Y$1745,"",(tech_base!$K56/tech_proj!Y180*0.086*$J$132)/(1-tech_proj!Y460))</f>
        <v>0</v>
      </c>
      <c r="Z1800" s="119">
        <f>IF(tech_base!$T56&gt;Z$1745,"",(tech_base!$K56/tech_proj!Z180*0.086*$J$132)/(1-tech_proj!Z460))</f>
        <v>0</v>
      </c>
      <c r="AA1800" s="119">
        <f>IF(tech_base!$T56&gt;AA$1745,"",(tech_base!$K56/tech_proj!AA180*0.086*$J$132)/(1-tech_proj!AA460))</f>
        <v>0</v>
      </c>
      <c r="AB1800" s="119">
        <f>IF(tech_base!$T56&gt;AB$1745,"",(tech_base!$K56/tech_proj!AB180*0.086*$J$132)/(1-tech_proj!AB460))</f>
        <v>0</v>
      </c>
      <c r="AC1800" s="119">
        <f>IF(tech_base!$T56&gt;AC$1745,"",(tech_base!$K56/tech_proj!AC180*0.086*$J$132)/(1-tech_proj!AC460))</f>
        <v>0</v>
      </c>
      <c r="AD1800" s="119">
        <f>IF(tech_base!$T56&gt;AD$1745,"",(tech_base!$K56/tech_proj!AD180*0.086*$J$132)/(1-tech_proj!AD460))</f>
        <v>0</v>
      </c>
      <c r="AE1800" s="119">
        <f>IF(tech_base!$T56&gt;AE$1745,"",(tech_base!$K56/tech_proj!AE180*0.086*$J$132)/(1-tech_proj!AE460))</f>
        <v>0</v>
      </c>
      <c r="AF1800" s="119">
        <f>IF(tech_base!$T56&gt;AF$1745,"",(tech_base!$K56/tech_proj!AF180*0.086*$J$132)/(1-tech_proj!AF460))</f>
        <v>0</v>
      </c>
      <c r="AG1800" s="119">
        <f>IF(tech_base!$T56&gt;AG$1745,"",(tech_base!$K56/tech_proj!AG180*0.086*$J$132)/(1-tech_proj!AG460))</f>
        <v>0</v>
      </c>
      <c r="AH1800" s="119">
        <f>IF(tech_base!$T56&gt;AH$1745,"",(tech_base!$K56/tech_proj!AH180*0.086*$J$132)/(1-tech_proj!AH460))</f>
        <v>0</v>
      </c>
      <c r="AI1800" s="119">
        <f>IF(tech_base!$T56&gt;AI$1745,"",(tech_base!$K56/tech_proj!AI180*0.086*$J$132)/(1-tech_proj!AI460))</f>
        <v>0</v>
      </c>
      <c r="AJ1800" s="119">
        <f>IF(tech_base!$T56&gt;AJ$1745,"",(tech_base!$K56/tech_proj!AJ180*0.086*$J$132)/(1-tech_proj!AJ460))</f>
        <v>0</v>
      </c>
      <c r="AK1800" s="119">
        <f>IF(tech_base!$T56&gt;AK$1745,"",(tech_base!$K56/tech_proj!AK180*0.086*$J$132)/(1-tech_proj!AK460))</f>
        <v>0</v>
      </c>
      <c r="AL1800" s="119">
        <f>IF(tech_base!$T56&gt;AL$1745,"",(tech_base!$K56/tech_proj!AL180*0.086*$J$132)/(1-tech_proj!AL460))</f>
        <v>0</v>
      </c>
      <c r="AM1800" s="119">
        <f>IF(tech_base!$T56&gt;AM$1745,"",(tech_base!$K56/tech_proj!AM180*0.086*$J$132)/(1-tech_proj!AM460))</f>
        <v>0</v>
      </c>
      <c r="AN1800" s="119">
        <f>IF(tech_base!$T56&gt;AN$1745,"",(tech_base!$K56/tech_proj!AN180*0.086*$J$132)/(1-tech_proj!AN460))</f>
        <v>0</v>
      </c>
      <c r="AO1800" s="119">
        <f>IF(tech_base!$T56&gt;AO$1745,"",(tech_base!$K56/tech_proj!AO180*0.086*$J$132)/(1-tech_proj!AO460))</f>
        <v>0</v>
      </c>
      <c r="AP1800" s="119">
        <f>IF(tech_base!$T56&gt;AP$1745,"",(tech_base!$K56/tech_proj!AP180*0.086*$J$132)/(1-tech_proj!AP460))</f>
        <v>0</v>
      </c>
      <c r="AQ1800" s="119">
        <f>IF(tech_base!$T56&gt;AQ$1745,"",(tech_base!$K56/tech_proj!AQ180*0.086*$J$132)/(1-tech_proj!AQ460))</f>
        <v>0</v>
      </c>
      <c r="AR1800" s="119">
        <f>IF(tech_base!$T56&gt;AR$1745,"",(tech_base!$K56/tech_proj!AR180*0.086*$J$132)/(1-tech_proj!AR460))</f>
        <v>0</v>
      </c>
      <c r="AS1800" s="119">
        <f>IF(tech_base!$T56&gt;AS$1745,"",(tech_base!$K56/tech_proj!AS180*0.086*$J$132)/(1-tech_proj!AS460))</f>
        <v>0</v>
      </c>
      <c r="AT1800" s="119">
        <f>IF(tech_base!$T56&gt;AT$1745,"",(tech_base!$K56/tech_proj!AT180*0.086*$J$132)/(1-tech_proj!AT460))</f>
        <v>0</v>
      </c>
      <c r="AU1800" s="119">
        <f>IF(tech_base!$T56&gt;AU$1745,"",(tech_base!$K56/tech_proj!AU180*0.086*$J$132)/(1-tech_proj!AU460))</f>
        <v>0</v>
      </c>
      <c r="AV1800" s="119">
        <f>IF(tech_base!$T56&gt;AV$1745,"",(tech_base!$K56/tech_proj!AV180*0.086*$J$132)/(1-tech_proj!AV460))</f>
        <v>0</v>
      </c>
      <c r="AW1800" s="119">
        <f>IF(tech_base!$T56&gt;AW$1745,"",(tech_base!$K56/tech_proj!AW180*0.086*$J$132)/(1-tech_proj!AW460))</f>
        <v>0</v>
      </c>
      <c r="AX1800" s="120">
        <f>IF(tech_base!$T56&gt;AX$1745,"",(tech_base!$K56/tech_proj!AX180*0.086*$J$132)/(1-tech_proj!AX460))</f>
        <v>0</v>
      </c>
    </row>
    <row r="1801" spans="1:50" x14ac:dyDescent="0.25">
      <c r="A1801" s="356"/>
      <c r="B1801" s="376"/>
      <c r="C1801" s="361" t="s">
        <v>14</v>
      </c>
      <c r="D1801" s="58" t="s">
        <v>7</v>
      </c>
      <c r="E1801" s="164" t="str">
        <f>A1791&amp;"/"&amp;B1799&amp;"/"&amp;C1801&amp;"/"&amp;D1801</f>
        <v>Lignite fired power plants/Supercritical steam turbine/CHP/L</v>
      </c>
      <c r="F1801" s="78" t="str">
        <f>A1791</f>
        <v>Lignite fired power plants</v>
      </c>
      <c r="G1801" s="78" t="str">
        <f>B1799</f>
        <v>Supercritical steam turbine</v>
      </c>
      <c r="H1801" s="78" t="str">
        <f>C1801</f>
        <v>CHP</v>
      </c>
      <c r="I1801" s="165" t="str">
        <f t="shared" si="382"/>
        <v>L</v>
      </c>
      <c r="J1801" s="123">
        <f>IF(tech_base!$T57&gt;J$1745,"",(tech_base!$K57/tech_proj!J181*0.086*$J$132)/(1-tech_proj!J461))</f>
        <v>0</v>
      </c>
      <c r="K1801" s="123">
        <f>IF(tech_base!$T57&gt;K$1745,"",(tech_base!$K57/tech_proj!K181*0.086*$J$132)/(1-tech_proj!K461))</f>
        <v>0</v>
      </c>
      <c r="L1801" s="123">
        <f>IF(tech_base!$T57&gt;L$1745,"",(tech_base!$K57/tech_proj!L181*0.086*$J$132)/(1-tech_proj!L461))</f>
        <v>0</v>
      </c>
      <c r="M1801" s="123">
        <f>IF(tech_base!$T57&gt;M$1745,"",(tech_base!$K57/tech_proj!M181*0.086*$J$132)/(1-tech_proj!M461))</f>
        <v>0</v>
      </c>
      <c r="N1801" s="123">
        <f>IF(tech_base!$T57&gt;N$1745,"",(tech_base!$K57/tech_proj!N181*0.086*$J$132)/(1-tech_proj!N461))</f>
        <v>0</v>
      </c>
      <c r="O1801" s="123">
        <f>IF(tech_base!$T57&gt;O$1745,"",(tech_base!$K57/tech_proj!O181*0.086*$J$132)/(1-tech_proj!O461))</f>
        <v>0</v>
      </c>
      <c r="P1801" s="123">
        <f>IF(tech_base!$T57&gt;P$1745,"",(tech_base!$K57/tech_proj!P181*0.086*$J$132)/(1-tech_proj!P461))</f>
        <v>0</v>
      </c>
      <c r="Q1801" s="123">
        <f>IF(tech_base!$T57&gt;Q$1745,"",(tech_base!$K57/tech_proj!Q181*0.086*$J$132)/(1-tech_proj!Q461))</f>
        <v>0</v>
      </c>
      <c r="R1801" s="123">
        <f>IF(tech_base!$T57&gt;R$1745,"",(tech_base!$K57/tech_proj!R181*0.086*$J$132)/(1-tech_proj!R461))</f>
        <v>0</v>
      </c>
      <c r="S1801" s="123">
        <f>IF(tech_base!$T57&gt;S$1745,"",(tech_base!$K57/tech_proj!S181*0.086*$J$132)/(1-tech_proj!S461))</f>
        <v>0</v>
      </c>
      <c r="T1801" s="123">
        <f>IF(tech_base!$T57&gt;T$1745,"",(tech_base!$K57/tech_proj!T181*0.086*$J$132)/(1-tech_proj!T461))</f>
        <v>0</v>
      </c>
      <c r="U1801" s="123">
        <f>IF(tech_base!$T57&gt;U$1745,"",(tech_base!$K57/tech_proj!U181*0.086*$J$132)/(1-tech_proj!U461))</f>
        <v>0</v>
      </c>
      <c r="V1801" s="123">
        <f>IF(tech_base!$T57&gt;V$1745,"",(tech_base!$K57/tech_proj!V181*0.086*$J$132)/(1-tech_proj!V461))</f>
        <v>0</v>
      </c>
      <c r="W1801" s="123">
        <f>IF(tech_base!$T57&gt;W$1745,"",(tech_base!$K57/tech_proj!W181*0.086*$J$132)/(1-tech_proj!W461))</f>
        <v>0</v>
      </c>
      <c r="X1801" s="123">
        <f>IF(tech_base!$T57&gt;X$1745,"",(tech_base!$K57/tech_proj!X181*0.086*$J$132)/(1-tech_proj!X461))</f>
        <v>0</v>
      </c>
      <c r="Y1801" s="123">
        <f>IF(tech_base!$T57&gt;Y$1745,"",(tech_base!$K57/tech_proj!Y181*0.086*$J$132)/(1-tech_proj!Y461))</f>
        <v>0</v>
      </c>
      <c r="Z1801" s="123">
        <f>IF(tech_base!$T57&gt;Z$1745,"",(tech_base!$K57/tech_proj!Z181*0.086*$J$132)/(1-tech_proj!Z461))</f>
        <v>0</v>
      </c>
      <c r="AA1801" s="123">
        <f>IF(tech_base!$T57&gt;AA$1745,"",(tech_base!$K57/tech_proj!AA181*0.086*$J$132)/(1-tech_proj!AA461))</f>
        <v>0</v>
      </c>
      <c r="AB1801" s="123">
        <f>IF(tech_base!$T57&gt;AB$1745,"",(tech_base!$K57/tech_proj!AB181*0.086*$J$132)/(1-tech_proj!AB461))</f>
        <v>0</v>
      </c>
      <c r="AC1801" s="123">
        <f>IF(tech_base!$T57&gt;AC$1745,"",(tech_base!$K57/tech_proj!AC181*0.086*$J$132)/(1-tech_proj!AC461))</f>
        <v>0</v>
      </c>
      <c r="AD1801" s="123">
        <f>IF(tech_base!$T57&gt;AD$1745,"",(tech_base!$K57/tech_proj!AD181*0.086*$J$132)/(1-tech_proj!AD461))</f>
        <v>0</v>
      </c>
      <c r="AE1801" s="123">
        <f>IF(tech_base!$T57&gt;AE$1745,"",(tech_base!$K57/tech_proj!AE181*0.086*$J$132)/(1-tech_proj!AE461))</f>
        <v>0</v>
      </c>
      <c r="AF1801" s="123">
        <f>IF(tech_base!$T57&gt;AF$1745,"",(tech_base!$K57/tech_proj!AF181*0.086*$J$132)/(1-tech_proj!AF461))</f>
        <v>0</v>
      </c>
      <c r="AG1801" s="123">
        <f>IF(tech_base!$T57&gt;AG$1745,"",(tech_base!$K57/tech_proj!AG181*0.086*$J$132)/(1-tech_proj!AG461))</f>
        <v>0</v>
      </c>
      <c r="AH1801" s="123">
        <f>IF(tech_base!$T57&gt;AH$1745,"",(tech_base!$K57/tech_proj!AH181*0.086*$J$132)/(1-tech_proj!AH461))</f>
        <v>0</v>
      </c>
      <c r="AI1801" s="123">
        <f>IF(tech_base!$T57&gt;AI$1745,"",(tech_base!$K57/tech_proj!AI181*0.086*$J$132)/(1-tech_proj!AI461))</f>
        <v>0</v>
      </c>
      <c r="AJ1801" s="123">
        <f>IF(tech_base!$T57&gt;AJ$1745,"",(tech_base!$K57/tech_proj!AJ181*0.086*$J$132)/(1-tech_proj!AJ461))</f>
        <v>0</v>
      </c>
      <c r="AK1801" s="123">
        <f>IF(tech_base!$T57&gt;AK$1745,"",(tech_base!$K57/tech_proj!AK181*0.086*$J$132)/(1-tech_proj!AK461))</f>
        <v>0</v>
      </c>
      <c r="AL1801" s="123">
        <f>IF(tech_base!$T57&gt;AL$1745,"",(tech_base!$K57/tech_proj!AL181*0.086*$J$132)/(1-tech_proj!AL461))</f>
        <v>0</v>
      </c>
      <c r="AM1801" s="123">
        <f>IF(tech_base!$T57&gt;AM$1745,"",(tech_base!$K57/tech_proj!AM181*0.086*$J$132)/(1-tech_proj!AM461))</f>
        <v>0</v>
      </c>
      <c r="AN1801" s="123">
        <f>IF(tech_base!$T57&gt;AN$1745,"",(tech_base!$K57/tech_proj!AN181*0.086*$J$132)/(1-tech_proj!AN461))</f>
        <v>0</v>
      </c>
      <c r="AO1801" s="123">
        <f>IF(tech_base!$T57&gt;AO$1745,"",(tech_base!$K57/tech_proj!AO181*0.086*$J$132)/(1-tech_proj!AO461))</f>
        <v>0</v>
      </c>
      <c r="AP1801" s="123">
        <f>IF(tech_base!$T57&gt;AP$1745,"",(tech_base!$K57/tech_proj!AP181*0.086*$J$132)/(1-tech_proj!AP461))</f>
        <v>0</v>
      </c>
      <c r="AQ1801" s="123">
        <f>IF(tech_base!$T57&gt;AQ$1745,"",(tech_base!$K57/tech_proj!AQ181*0.086*$J$132)/(1-tech_proj!AQ461))</f>
        <v>0</v>
      </c>
      <c r="AR1801" s="123">
        <f>IF(tech_base!$T57&gt;AR$1745,"",(tech_base!$K57/tech_proj!AR181*0.086*$J$132)/(1-tech_proj!AR461))</f>
        <v>0</v>
      </c>
      <c r="AS1801" s="123">
        <f>IF(tech_base!$T57&gt;AS$1745,"",(tech_base!$K57/tech_proj!AS181*0.086*$J$132)/(1-tech_proj!AS461))</f>
        <v>0</v>
      </c>
      <c r="AT1801" s="123">
        <f>IF(tech_base!$T57&gt;AT$1745,"",(tech_base!$K57/tech_proj!AT181*0.086*$J$132)/(1-tech_proj!AT461))</f>
        <v>0</v>
      </c>
      <c r="AU1801" s="123">
        <f>IF(tech_base!$T57&gt;AU$1745,"",(tech_base!$K57/tech_proj!AU181*0.086*$J$132)/(1-tech_proj!AU461))</f>
        <v>0</v>
      </c>
      <c r="AV1801" s="123">
        <f>IF(tech_base!$T57&gt;AV$1745,"",(tech_base!$K57/tech_proj!AV181*0.086*$J$132)/(1-tech_proj!AV461))</f>
        <v>0</v>
      </c>
      <c r="AW1801" s="123">
        <f>IF(tech_base!$T57&gt;AW$1745,"",(tech_base!$K57/tech_proj!AW181*0.086*$J$132)/(1-tech_proj!AW461))</f>
        <v>0</v>
      </c>
      <c r="AX1801" s="124">
        <f>IF(tech_base!$T57&gt;AX$1745,"",(tech_base!$K57/tech_proj!AX181*0.086*$J$132)/(1-tech_proj!AX461))</f>
        <v>0</v>
      </c>
    </row>
    <row r="1802" spans="1:50" x14ac:dyDescent="0.25">
      <c r="A1802" s="356"/>
      <c r="B1802" s="376"/>
      <c r="C1802" s="379"/>
      <c r="D1802" s="59" t="s">
        <v>8</v>
      </c>
      <c r="E1802" s="166" t="str">
        <f>A1791&amp;"/"&amp;B1799&amp;"/"&amp;C1801&amp;"/"&amp;D1802</f>
        <v>Lignite fired power plants/Supercritical steam turbine/CHP/M</v>
      </c>
      <c r="F1802" s="79" t="str">
        <f>A1791</f>
        <v>Lignite fired power plants</v>
      </c>
      <c r="G1802" s="79" t="str">
        <f>B1799</f>
        <v>Supercritical steam turbine</v>
      </c>
      <c r="H1802" s="79" t="str">
        <f>C1801</f>
        <v>CHP</v>
      </c>
      <c r="I1802" s="167" t="str">
        <f t="shared" si="382"/>
        <v>M</v>
      </c>
      <c r="J1802" s="125">
        <f>IF(tech_base!$T58&gt;J$1745,"",(tech_base!$K58/tech_proj!J182*0.086*$J$132)/(1-tech_proj!J462))</f>
        <v>0</v>
      </c>
      <c r="K1802" s="125">
        <f>IF(tech_base!$T58&gt;K$1745,"",(tech_base!$K58/tech_proj!K182*0.086*$J$132)/(1-tech_proj!K462))</f>
        <v>0</v>
      </c>
      <c r="L1802" s="125">
        <f>IF(tech_base!$T58&gt;L$1745,"",(tech_base!$K58/tech_proj!L182*0.086*$J$132)/(1-tech_proj!L462))</f>
        <v>0</v>
      </c>
      <c r="M1802" s="125">
        <f>IF(tech_base!$T58&gt;M$1745,"",(tech_base!$K58/tech_proj!M182*0.086*$J$132)/(1-tech_proj!M462))</f>
        <v>0</v>
      </c>
      <c r="N1802" s="125">
        <f>IF(tech_base!$T58&gt;N$1745,"",(tech_base!$K58/tech_proj!N182*0.086*$J$132)/(1-tech_proj!N462))</f>
        <v>0</v>
      </c>
      <c r="O1802" s="125">
        <f>IF(tech_base!$T58&gt;O$1745,"",(tech_base!$K58/tech_proj!O182*0.086*$J$132)/(1-tech_proj!O462))</f>
        <v>0</v>
      </c>
      <c r="P1802" s="125">
        <f>IF(tech_base!$T58&gt;P$1745,"",(tech_base!$K58/tech_proj!P182*0.086*$J$132)/(1-tech_proj!P462))</f>
        <v>0</v>
      </c>
      <c r="Q1802" s="125">
        <f>IF(tech_base!$T58&gt;Q$1745,"",(tech_base!$K58/tech_proj!Q182*0.086*$J$132)/(1-tech_proj!Q462))</f>
        <v>0</v>
      </c>
      <c r="R1802" s="125">
        <f>IF(tech_base!$T58&gt;R$1745,"",(tech_base!$K58/tech_proj!R182*0.086*$J$132)/(1-tech_proj!R462))</f>
        <v>0</v>
      </c>
      <c r="S1802" s="125">
        <f>IF(tech_base!$T58&gt;S$1745,"",(tech_base!$K58/tech_proj!S182*0.086*$J$132)/(1-tech_proj!S462))</f>
        <v>0</v>
      </c>
      <c r="T1802" s="125">
        <f>IF(tech_base!$T58&gt;T$1745,"",(tech_base!$K58/tech_proj!T182*0.086*$J$132)/(1-tech_proj!T462))</f>
        <v>0</v>
      </c>
      <c r="U1802" s="125">
        <f>IF(tech_base!$T58&gt;U$1745,"",(tech_base!$K58/tech_proj!U182*0.086*$J$132)/(1-tech_proj!U462))</f>
        <v>0</v>
      </c>
      <c r="V1802" s="125">
        <f>IF(tech_base!$T58&gt;V$1745,"",(tech_base!$K58/tech_proj!V182*0.086*$J$132)/(1-tech_proj!V462))</f>
        <v>0</v>
      </c>
      <c r="W1802" s="125">
        <f>IF(tech_base!$T58&gt;W$1745,"",(tech_base!$K58/tech_proj!W182*0.086*$J$132)/(1-tech_proj!W462))</f>
        <v>0</v>
      </c>
      <c r="X1802" s="125">
        <f>IF(tech_base!$T58&gt;X$1745,"",(tech_base!$K58/tech_proj!X182*0.086*$J$132)/(1-tech_proj!X462))</f>
        <v>0</v>
      </c>
      <c r="Y1802" s="125">
        <f>IF(tech_base!$T58&gt;Y$1745,"",(tech_base!$K58/tech_proj!Y182*0.086*$J$132)/(1-tech_proj!Y462))</f>
        <v>0</v>
      </c>
      <c r="Z1802" s="125">
        <f>IF(tech_base!$T58&gt;Z$1745,"",(tech_base!$K58/tech_proj!Z182*0.086*$J$132)/(1-tech_proj!Z462))</f>
        <v>0</v>
      </c>
      <c r="AA1802" s="125">
        <f>IF(tech_base!$T58&gt;AA$1745,"",(tech_base!$K58/tech_proj!AA182*0.086*$J$132)/(1-tech_proj!AA462))</f>
        <v>0</v>
      </c>
      <c r="AB1802" s="125">
        <f>IF(tech_base!$T58&gt;AB$1745,"",(tech_base!$K58/tech_proj!AB182*0.086*$J$132)/(1-tech_proj!AB462))</f>
        <v>0</v>
      </c>
      <c r="AC1802" s="125">
        <f>IF(tech_base!$T58&gt;AC$1745,"",(tech_base!$K58/tech_proj!AC182*0.086*$J$132)/(1-tech_proj!AC462))</f>
        <v>0</v>
      </c>
      <c r="AD1802" s="125">
        <f>IF(tech_base!$T58&gt;AD$1745,"",(tech_base!$K58/tech_proj!AD182*0.086*$J$132)/(1-tech_proj!AD462))</f>
        <v>0</v>
      </c>
      <c r="AE1802" s="125">
        <f>IF(tech_base!$T58&gt;AE$1745,"",(tech_base!$K58/tech_proj!AE182*0.086*$J$132)/(1-tech_proj!AE462))</f>
        <v>0</v>
      </c>
      <c r="AF1802" s="125">
        <f>IF(tech_base!$T58&gt;AF$1745,"",(tech_base!$K58/tech_proj!AF182*0.086*$J$132)/(1-tech_proj!AF462))</f>
        <v>0</v>
      </c>
      <c r="AG1802" s="125">
        <f>IF(tech_base!$T58&gt;AG$1745,"",(tech_base!$K58/tech_proj!AG182*0.086*$J$132)/(1-tech_proj!AG462))</f>
        <v>0</v>
      </c>
      <c r="AH1802" s="125">
        <f>IF(tech_base!$T58&gt;AH$1745,"",(tech_base!$K58/tech_proj!AH182*0.086*$J$132)/(1-tech_proj!AH462))</f>
        <v>0</v>
      </c>
      <c r="AI1802" s="125">
        <f>IF(tech_base!$T58&gt;AI$1745,"",(tech_base!$K58/tech_proj!AI182*0.086*$J$132)/(1-tech_proj!AI462))</f>
        <v>0</v>
      </c>
      <c r="AJ1802" s="125">
        <f>IF(tech_base!$T58&gt;AJ$1745,"",(tech_base!$K58/tech_proj!AJ182*0.086*$J$132)/(1-tech_proj!AJ462))</f>
        <v>0</v>
      </c>
      <c r="AK1802" s="125">
        <f>IF(tech_base!$T58&gt;AK$1745,"",(tech_base!$K58/tech_proj!AK182*0.086*$J$132)/(1-tech_proj!AK462))</f>
        <v>0</v>
      </c>
      <c r="AL1802" s="125">
        <f>IF(tech_base!$T58&gt;AL$1745,"",(tech_base!$K58/tech_proj!AL182*0.086*$J$132)/(1-tech_proj!AL462))</f>
        <v>0</v>
      </c>
      <c r="AM1802" s="125">
        <f>IF(tech_base!$T58&gt;AM$1745,"",(tech_base!$K58/tech_proj!AM182*0.086*$J$132)/(1-tech_proj!AM462))</f>
        <v>0</v>
      </c>
      <c r="AN1802" s="125">
        <f>IF(tech_base!$T58&gt;AN$1745,"",(tech_base!$K58/tech_proj!AN182*0.086*$J$132)/(1-tech_proj!AN462))</f>
        <v>0</v>
      </c>
      <c r="AO1802" s="125">
        <f>IF(tech_base!$T58&gt;AO$1745,"",(tech_base!$K58/tech_proj!AO182*0.086*$J$132)/(1-tech_proj!AO462))</f>
        <v>0</v>
      </c>
      <c r="AP1802" s="125">
        <f>IF(tech_base!$T58&gt;AP$1745,"",(tech_base!$K58/tech_proj!AP182*0.086*$J$132)/(1-tech_proj!AP462))</f>
        <v>0</v>
      </c>
      <c r="AQ1802" s="125">
        <f>IF(tech_base!$T58&gt;AQ$1745,"",(tech_base!$K58/tech_proj!AQ182*0.086*$J$132)/(1-tech_proj!AQ462))</f>
        <v>0</v>
      </c>
      <c r="AR1802" s="125">
        <f>IF(tech_base!$T58&gt;AR$1745,"",(tech_base!$K58/tech_proj!AR182*0.086*$J$132)/(1-tech_proj!AR462))</f>
        <v>0</v>
      </c>
      <c r="AS1802" s="125">
        <f>IF(tech_base!$T58&gt;AS$1745,"",(tech_base!$K58/tech_proj!AS182*0.086*$J$132)/(1-tech_proj!AS462))</f>
        <v>0</v>
      </c>
      <c r="AT1802" s="125">
        <f>IF(tech_base!$T58&gt;AT$1745,"",(tech_base!$K58/tech_proj!AT182*0.086*$J$132)/(1-tech_proj!AT462))</f>
        <v>0</v>
      </c>
      <c r="AU1802" s="125">
        <f>IF(tech_base!$T58&gt;AU$1745,"",(tech_base!$K58/tech_proj!AU182*0.086*$J$132)/(1-tech_proj!AU462))</f>
        <v>0</v>
      </c>
      <c r="AV1802" s="125">
        <f>IF(tech_base!$T58&gt;AV$1745,"",(tech_base!$K58/tech_proj!AV182*0.086*$J$132)/(1-tech_proj!AV462))</f>
        <v>0</v>
      </c>
      <c r="AW1802" s="125">
        <f>IF(tech_base!$T58&gt;AW$1745,"",(tech_base!$K58/tech_proj!AW182*0.086*$J$132)/(1-tech_proj!AW462))</f>
        <v>0</v>
      </c>
      <c r="AX1802" s="126">
        <f>IF(tech_base!$T58&gt;AX$1745,"",(tech_base!$K58/tech_proj!AX182*0.086*$J$132)/(1-tech_proj!AX462))</f>
        <v>0</v>
      </c>
    </row>
    <row r="1803" spans="1:50" x14ac:dyDescent="0.25">
      <c r="A1803" s="356"/>
      <c r="B1803" s="376"/>
      <c r="C1803" s="361" t="s">
        <v>15</v>
      </c>
      <c r="D1803" s="58" t="s">
        <v>7</v>
      </c>
      <c r="E1803" s="164" t="str">
        <f>A1791&amp;"/"&amp;B1799&amp;"/"&amp;C1803&amp;"/"&amp;D1803</f>
        <v>Lignite fired power plants/Supercritical steam turbine/Electricity only with CCS/L</v>
      </c>
      <c r="F1803" s="78" t="str">
        <f>A1791</f>
        <v>Lignite fired power plants</v>
      </c>
      <c r="G1803" s="78" t="str">
        <f>B1799</f>
        <v>Supercritical steam turbine</v>
      </c>
      <c r="H1803" s="78" t="str">
        <f>C1803</f>
        <v>Electricity only with CCS</v>
      </c>
      <c r="I1803" s="165" t="str">
        <f t="shared" si="382"/>
        <v>L</v>
      </c>
      <c r="J1803" s="123" t="str">
        <f>IF(tech_base!$T59&gt;J$1745,"",(tech_base!$K59/tech_proj!J183*0.086*$J$132)/(1-tech_proj!J463))</f>
        <v/>
      </c>
      <c r="K1803" s="123" t="str">
        <f>IF(tech_base!$T59&gt;K$1745,"",(tech_base!$K59/tech_proj!K183*0.086*$J$132)/(1-tech_proj!K463))</f>
        <v/>
      </c>
      <c r="L1803" s="123" t="str">
        <f>IF(tech_base!$T59&gt;L$1745,"",(tech_base!$K59/tech_proj!L183*0.086*$J$132)/(1-tech_proj!L463))</f>
        <v/>
      </c>
      <c r="M1803" s="123" t="str">
        <f>IF(tech_base!$T59&gt;M$1745,"",(tech_base!$K59/tech_proj!M183*0.086*$J$132)/(1-tech_proj!M463))</f>
        <v/>
      </c>
      <c r="N1803" s="123" t="str">
        <f>IF(tech_base!$T59&gt;N$1745,"",(tech_base!$K59/tech_proj!N183*0.086*$J$132)/(1-tech_proj!N463))</f>
        <v/>
      </c>
      <c r="O1803" s="123" t="str">
        <f>IF(tech_base!$T59&gt;O$1745,"",(tech_base!$K59/tech_proj!O183*0.086*$J$132)/(1-tech_proj!O463))</f>
        <v/>
      </c>
      <c r="P1803" s="123" t="str">
        <f>IF(tech_base!$T59&gt;P$1745,"",(tech_base!$K59/tech_proj!P183*0.086*$J$132)/(1-tech_proj!P463))</f>
        <v/>
      </c>
      <c r="Q1803" s="123" t="str">
        <f>IF(tech_base!$T59&gt;Q$1745,"",(tech_base!$K59/tech_proj!Q183*0.086*$J$132)/(1-tech_proj!Q463))</f>
        <v/>
      </c>
      <c r="R1803" s="123" t="str">
        <f>IF(tech_base!$T59&gt;R$1745,"",(tech_base!$K59/tech_proj!R183*0.086*$J$132)/(1-tech_proj!R463))</f>
        <v/>
      </c>
      <c r="S1803" s="123" t="str">
        <f>IF(tech_base!$T59&gt;S$1745,"",(tech_base!$K59/tech_proj!S183*0.086*$J$132)/(1-tech_proj!S463))</f>
        <v/>
      </c>
      <c r="T1803" s="123" t="str">
        <f>IF(tech_base!$T59&gt;T$1745,"",(tech_base!$K59/tech_proj!T183*0.086*$J$132)/(1-tech_proj!T463))</f>
        <v/>
      </c>
      <c r="U1803" s="123" t="str">
        <f>IF(tech_base!$T59&gt;U$1745,"",(tech_base!$K59/tech_proj!U183*0.086*$J$132)/(1-tech_proj!U463))</f>
        <v/>
      </c>
      <c r="V1803" s="123" t="str">
        <f>IF(tech_base!$T59&gt;V$1745,"",(tech_base!$K59/tech_proj!V183*0.086*$J$132)/(1-tech_proj!V463))</f>
        <v/>
      </c>
      <c r="W1803" s="123" t="str">
        <f>IF(tech_base!$T59&gt;W$1745,"",(tech_base!$K59/tech_proj!W183*0.086*$J$132)/(1-tech_proj!W463))</f>
        <v/>
      </c>
      <c r="X1803" s="123" t="str">
        <f>IF(tech_base!$T59&gt;X$1745,"",(tech_base!$K59/tech_proj!X183*0.086*$J$132)/(1-tech_proj!X463))</f>
        <v/>
      </c>
      <c r="Y1803" s="123" t="str">
        <f>IF(tech_base!$T59&gt;Y$1745,"",(tech_base!$K59/tech_proj!Y183*0.086*$J$132)/(1-tech_proj!Y463))</f>
        <v/>
      </c>
      <c r="Z1803" s="123" t="str">
        <f>IF(tech_base!$T59&gt;Z$1745,"",(tech_base!$K59/tech_proj!Z183*0.086*$J$132)/(1-tech_proj!Z463))</f>
        <v/>
      </c>
      <c r="AA1803" s="123" t="str">
        <f>IF(tech_base!$T59&gt;AA$1745,"",(tech_base!$K59/tech_proj!AA183*0.086*$J$132)/(1-tech_proj!AA463))</f>
        <v/>
      </c>
      <c r="AB1803" s="123" t="str">
        <f>IF(tech_base!$T59&gt;AB$1745,"",(tech_base!$K59/tech_proj!AB183*0.086*$J$132)/(1-tech_proj!AB463))</f>
        <v/>
      </c>
      <c r="AC1803" s="123" t="str">
        <f>IF(tech_base!$T59&gt;AC$1745,"",(tech_base!$K59/tech_proj!AC183*0.086*$J$132)/(1-tech_proj!AC463))</f>
        <v/>
      </c>
      <c r="AD1803" s="123" t="str">
        <f>IF(tech_base!$T59&gt;AD$1745,"",(tech_base!$K59/tech_proj!AD183*0.086*$J$132)/(1-tech_proj!AD463))</f>
        <v/>
      </c>
      <c r="AE1803" s="123">
        <f>IF(tech_base!$T59&gt;AE$1745,"",(tech_base!$K59/tech_proj!AE183*0.086*$J$132)/(1-tech_proj!AE463))</f>
        <v>12.144327424839325</v>
      </c>
      <c r="AF1803" s="123">
        <f>IF(tech_base!$T59&gt;AF$1745,"",(tech_base!$K59/tech_proj!AF183*0.086*$J$132)/(1-tech_proj!AF463))</f>
        <v>12.143554440877352</v>
      </c>
      <c r="AG1803" s="123">
        <f>IF(tech_base!$T59&gt;AG$1745,"",(tech_base!$K59/tech_proj!AG183*0.086*$J$132)/(1-tech_proj!AG463))</f>
        <v>12.142612833938651</v>
      </c>
      <c r="AH1803" s="123">
        <f>IF(tech_base!$T59&gt;AH$1745,"",(tech_base!$K59/tech_proj!AH183*0.086*$J$132)/(1-tech_proj!AH463))</f>
        <v>12.141466492914674</v>
      </c>
      <c r="AI1803" s="123">
        <f>IF(tech_base!$T59&gt;AI$1745,"",(tech_base!$K59/tech_proj!AI183*0.086*$J$132)/(1-tech_proj!AI463))</f>
        <v>12.14007190000353</v>
      </c>
      <c r="AJ1803" s="123">
        <f>IF(tech_base!$T59&gt;AJ$1745,"",(tech_base!$K59/tech_proj!AJ183*0.086*$J$132)/(1-tech_proj!AJ463))</f>
        <v>12.138376769895043</v>
      </c>
      <c r="AK1803" s="123">
        <f>IF(tech_base!$T59&gt;AK$1745,"",(tech_base!$K59/tech_proj!AK183*0.086*$J$132)/(1-tech_proj!AK463))</f>
        <v>12.136318516660124</v>
      </c>
      <c r="AL1803" s="123">
        <f>IF(tech_base!$T59&gt;AL$1745,"",(tech_base!$K59/tech_proj!AL183*0.086*$J$132)/(1-tech_proj!AL463))</f>
        <v>12.133822567160209</v>
      </c>
      <c r="AM1803" s="123">
        <f>IF(tech_base!$T59&gt;AM$1745,"",(tech_base!$K59/tech_proj!AM183*0.086*$J$132)/(1-tech_proj!AM463))</f>
        <v>12.130800567002897</v>
      </c>
      <c r="AN1803" s="123">
        <f>IF(tech_base!$T59&gt;AN$1745,"",(tech_base!$K59/tech_proj!AN183*0.086*$J$132)/(1-tech_proj!AN463))</f>
        <v>12.127148565963283</v>
      </c>
      <c r="AO1803" s="123">
        <f>IF(tech_base!$T59&gt;AO$1745,"",(tech_base!$K59/tech_proj!AO183*0.086*$J$132)/(1-tech_proj!AO463))</f>
        <v>12.122745328601754</v>
      </c>
      <c r="AP1803" s="123">
        <f>IF(tech_base!$T59&gt;AP$1745,"",(tech_base!$K59/tech_proj!AP183*0.086*$J$132)/(1-tech_proj!AP463))</f>
        <v>12.117450996702177</v>
      </c>
      <c r="AQ1803" s="123">
        <f>IF(tech_base!$T59&gt;AQ$1745,"",(tech_base!$K59/tech_proj!AQ183*0.086*$J$132)/(1-tech_proj!AQ463))</f>
        <v>12.111106435900398</v>
      </c>
      <c r="AR1803" s="123">
        <f>IF(tech_base!$T59&gt;AR$1745,"",(tech_base!$K59/tech_proj!AR183*0.086*$J$132)/(1-tech_proj!AR463))</f>
        <v>12.103533728421258</v>
      </c>
      <c r="AS1803" s="123">
        <f>IF(tech_base!$T59&gt;AS$1745,"",(tech_base!$K59/tech_proj!AS183*0.086*$J$132)/(1-tech_proj!AS463))</f>
        <v>12.094538418353968</v>
      </c>
      <c r="AT1803" s="123">
        <f>IF(tech_base!$T59&gt;AT$1745,"",(tech_base!$K59/tech_proj!AT183*0.086*$J$132)/(1-tech_proj!AT463))</f>
        <v>12.083914253065746</v>
      </c>
      <c r="AU1803" s="123">
        <f>IF(tech_base!$T59&gt;AU$1745,"",(tech_base!$K59/tech_proj!AU183*0.086*$J$132)/(1-tech_proj!AU463))</f>
        <v>12.071451251559974</v>
      </c>
      <c r="AV1803" s="123">
        <f>IF(tech_base!$T59&gt;AV$1745,"",(tech_base!$K59/tech_proj!AV183*0.086*$J$132)/(1-tech_proj!AV463))</f>
        <v>12.056947899037903</v>
      </c>
      <c r="AW1803" s="123">
        <f>IF(tech_base!$T59&gt;AW$1745,"",(tech_base!$K59/tech_proj!AW183*0.086*$J$132)/(1-tech_proj!AW463))</f>
        <v>12.040228021635485</v>
      </c>
      <c r="AX1803" s="124">
        <f>IF(tech_base!$T59&gt;AX$1745,"",(tech_base!$K59/tech_proj!AX183*0.086*$J$132)/(1-tech_proj!AX463))</f>
        <v>12.021162328978994</v>
      </c>
    </row>
    <row r="1804" spans="1:50" x14ac:dyDescent="0.25">
      <c r="A1804" s="356"/>
      <c r="B1804" s="376"/>
      <c r="C1804" s="379"/>
      <c r="D1804" s="59" t="s">
        <v>8</v>
      </c>
      <c r="E1804" s="166" t="str">
        <f>A1791&amp;"/"&amp;B1799&amp;"/"&amp;C1803&amp;"/"&amp;D1804</f>
        <v>Lignite fired power plants/Supercritical steam turbine/Electricity only with CCS/M</v>
      </c>
      <c r="F1804" s="79" t="str">
        <f>A1791</f>
        <v>Lignite fired power plants</v>
      </c>
      <c r="G1804" s="79" t="str">
        <f>B1799</f>
        <v>Supercritical steam turbine</v>
      </c>
      <c r="H1804" s="79" t="str">
        <f>C1803</f>
        <v>Electricity only with CCS</v>
      </c>
      <c r="I1804" s="167" t="str">
        <f t="shared" si="382"/>
        <v>M</v>
      </c>
      <c r="J1804" s="125" t="str">
        <f>IF(tech_base!$T60&gt;J$1745,"",(tech_base!$K60/tech_proj!J184*0.086*$J$132)/(1-tech_proj!J464))</f>
        <v/>
      </c>
      <c r="K1804" s="125" t="str">
        <f>IF(tech_base!$T60&gt;K$1745,"",(tech_base!$K60/tech_proj!K184*0.086*$J$132)/(1-tech_proj!K464))</f>
        <v/>
      </c>
      <c r="L1804" s="125" t="str">
        <f>IF(tech_base!$T60&gt;L$1745,"",(tech_base!$K60/tech_proj!L184*0.086*$J$132)/(1-tech_proj!L464))</f>
        <v/>
      </c>
      <c r="M1804" s="125" t="str">
        <f>IF(tech_base!$T60&gt;M$1745,"",(tech_base!$K60/tech_proj!M184*0.086*$J$132)/(1-tech_proj!M464))</f>
        <v/>
      </c>
      <c r="N1804" s="125" t="str">
        <f>IF(tech_base!$T60&gt;N$1745,"",(tech_base!$K60/tech_proj!N184*0.086*$J$132)/(1-tech_proj!N464))</f>
        <v/>
      </c>
      <c r="O1804" s="125" t="str">
        <f>IF(tech_base!$T60&gt;O$1745,"",(tech_base!$K60/tech_proj!O184*0.086*$J$132)/(1-tech_proj!O464))</f>
        <v/>
      </c>
      <c r="P1804" s="125" t="str">
        <f>IF(tech_base!$T60&gt;P$1745,"",(tech_base!$K60/tech_proj!P184*0.086*$J$132)/(1-tech_proj!P464))</f>
        <v/>
      </c>
      <c r="Q1804" s="125" t="str">
        <f>IF(tech_base!$T60&gt;Q$1745,"",(tech_base!$K60/tech_proj!Q184*0.086*$J$132)/(1-tech_proj!Q464))</f>
        <v/>
      </c>
      <c r="R1804" s="125" t="str">
        <f>IF(tech_base!$T60&gt;R$1745,"",(tech_base!$K60/tech_proj!R184*0.086*$J$132)/(1-tech_proj!R464))</f>
        <v/>
      </c>
      <c r="S1804" s="125" t="str">
        <f>IF(tech_base!$T60&gt;S$1745,"",(tech_base!$K60/tech_proj!S184*0.086*$J$132)/(1-tech_proj!S464))</f>
        <v/>
      </c>
      <c r="T1804" s="125" t="str">
        <f>IF(tech_base!$T60&gt;T$1745,"",(tech_base!$K60/tech_proj!T184*0.086*$J$132)/(1-tech_proj!T464))</f>
        <v/>
      </c>
      <c r="U1804" s="125" t="str">
        <f>IF(tech_base!$T60&gt;U$1745,"",(tech_base!$K60/tech_proj!U184*0.086*$J$132)/(1-tech_proj!U464))</f>
        <v/>
      </c>
      <c r="V1804" s="125" t="str">
        <f>IF(tech_base!$T60&gt;V$1745,"",(tech_base!$K60/tech_proj!V184*0.086*$J$132)/(1-tech_proj!V464))</f>
        <v/>
      </c>
      <c r="W1804" s="125" t="str">
        <f>IF(tech_base!$T60&gt;W$1745,"",(tech_base!$K60/tech_proj!W184*0.086*$J$132)/(1-tech_proj!W464))</f>
        <v/>
      </c>
      <c r="X1804" s="125" t="str">
        <f>IF(tech_base!$T60&gt;X$1745,"",(tech_base!$K60/tech_proj!X184*0.086*$J$132)/(1-tech_proj!X464))</f>
        <v/>
      </c>
      <c r="Y1804" s="125" t="str">
        <f>IF(tech_base!$T60&gt;Y$1745,"",(tech_base!$K60/tech_proj!Y184*0.086*$J$132)/(1-tech_proj!Y464))</f>
        <v/>
      </c>
      <c r="Z1804" s="125" t="str">
        <f>IF(tech_base!$T60&gt;Z$1745,"",(tech_base!$K60/tech_proj!Z184*0.086*$J$132)/(1-tech_proj!Z464))</f>
        <v/>
      </c>
      <c r="AA1804" s="125" t="str">
        <f>IF(tech_base!$T60&gt;AA$1745,"",(tech_base!$K60/tech_proj!AA184*0.086*$J$132)/(1-tech_proj!AA464))</f>
        <v/>
      </c>
      <c r="AB1804" s="125" t="str">
        <f>IF(tech_base!$T60&gt;AB$1745,"",(tech_base!$K60/tech_proj!AB184*0.086*$J$132)/(1-tech_proj!AB464))</f>
        <v/>
      </c>
      <c r="AC1804" s="125" t="str">
        <f>IF(tech_base!$T60&gt;AC$1745,"",(tech_base!$K60/tech_proj!AC184*0.086*$J$132)/(1-tech_proj!AC464))</f>
        <v/>
      </c>
      <c r="AD1804" s="125" t="str">
        <f>IF(tech_base!$T60&gt;AD$1745,"",(tech_base!$K60/tech_proj!AD184*0.086*$J$132)/(1-tech_proj!AD464))</f>
        <v/>
      </c>
      <c r="AE1804" s="125">
        <f>IF(tech_base!$T60&gt;AE$1745,"",(tech_base!$K60/tech_proj!AE184*0.086*$J$132)/(1-tech_proj!AE464))</f>
        <v>12.999568669064569</v>
      </c>
      <c r="AF1804" s="125">
        <f>IF(tech_base!$T60&gt;AF$1745,"",(tech_base!$K60/tech_proj!AF184*0.086*$J$132)/(1-tech_proj!AF464))</f>
        <v>12.999109255994981</v>
      </c>
      <c r="AG1804" s="125">
        <f>IF(tech_base!$T60&gt;AG$1745,"",(tech_base!$K60/tech_proj!AG184*0.086*$J$132)/(1-tech_proj!AG464))</f>
        <v>12.998520150172684</v>
      </c>
      <c r="AH1804" s="125">
        <f>IF(tech_base!$T60&gt;AH$1745,"",(tech_base!$K60/tech_proj!AH184*0.086*$J$132)/(1-tech_proj!AH464))</f>
        <v>12.997765026639215</v>
      </c>
      <c r="AI1804" s="125">
        <f>IF(tech_base!$T60&gt;AI$1745,"",(tech_base!$K60/tech_proj!AI184*0.086*$J$132)/(1-tech_proj!AI464))</f>
        <v>12.996797571597558</v>
      </c>
      <c r="AJ1804" s="125">
        <f>IF(tech_base!$T60&gt;AJ$1745,"",(tech_base!$K60/tech_proj!AJ184*0.086*$J$132)/(1-tech_proj!AJ464))</f>
        <v>12.995558854837565</v>
      </c>
      <c r="AK1804" s="125">
        <f>IF(tech_base!$T60&gt;AK$1745,"",(tech_base!$K60/tech_proj!AK184*0.086*$J$132)/(1-tech_proj!AK464))</f>
        <v>12.993974087910276</v>
      </c>
      <c r="AL1804" s="125">
        <f>IF(tech_base!$T60&gt;AL$1745,"",(tech_base!$K60/tech_proj!AL184*0.086*$J$132)/(1-tech_proj!AL464))</f>
        <v>12.991948675028286</v>
      </c>
      <c r="AM1804" s="125">
        <f>IF(tech_base!$T60&gt;AM$1745,"",(tech_base!$K60/tech_proj!AM184*0.086*$J$132)/(1-tech_proj!AM464))</f>
        <v>12.989363485528967</v>
      </c>
      <c r="AN1804" s="125">
        <f>IF(tech_base!$T60&gt;AN$1745,"",(tech_base!$K60/tech_proj!AN184*0.086*$J$132)/(1-tech_proj!AN464))</f>
        <v>12.986069331313502</v>
      </c>
      <c r="AO1804" s="125">
        <f>IF(tech_base!$T60&gt;AO$1745,"",(tech_base!$K60/tech_proj!AO184*0.086*$J$132)/(1-tech_proj!AO464))</f>
        <v>12.981880741527243</v>
      </c>
      <c r="AP1804" s="125">
        <f>IF(tech_base!$T60&gt;AP$1745,"",(tech_base!$K60/tech_proj!AP184*0.086*$J$132)/(1-tech_proj!AP464))</f>
        <v>12.976569320722383</v>
      </c>
      <c r="AQ1804" s="125">
        <f>IF(tech_base!$T60&gt;AQ$1745,"",(tech_base!$K60/tech_proj!AQ184*0.086*$J$132)/(1-tech_proj!AQ464))</f>
        <v>12.969857296419674</v>
      </c>
      <c r="AR1804" s="125">
        <f>IF(tech_base!$T60&gt;AR$1745,"",(tech_base!$K60/tech_proj!AR184*0.086*$J$132)/(1-tech_proj!AR464))</f>
        <v>12.961412353691411</v>
      </c>
      <c r="AS1804" s="125">
        <f>IF(tech_base!$T60&gt;AS$1745,"",(tech_base!$K60/tech_proj!AS184*0.086*$J$132)/(1-tech_proj!AS464))</f>
        <v>12.950845556318942</v>
      </c>
      <c r="AT1804" s="125">
        <f>IF(tech_base!$T60&gt;AT$1745,"",(tech_base!$K60/tech_proj!AT184*0.086*$J$132)/(1-tech_proj!AT464))</f>
        <v>12.93771506383918</v>
      </c>
      <c r="AU1804" s="125">
        <f>IF(tech_base!$T60&gt;AU$1745,"",(tech_base!$K60/tech_proj!AU184*0.086*$J$132)/(1-tech_proj!AU464))</f>
        <v>12.921539367024073</v>
      </c>
      <c r="AV1804" s="125">
        <f>IF(tech_base!$T60&gt;AV$1745,"",(tech_base!$K60/tech_proj!AV184*0.086*$J$132)/(1-tech_proj!AV464))</f>
        <v>12.901824579771091</v>
      </c>
      <c r="AW1804" s="125">
        <f>IF(tech_base!$T60&gt;AW$1745,"",(tech_base!$K60/tech_proj!AW184*0.086*$J$132)/(1-tech_proj!AW464))</f>
        <v>12.878110336509371</v>
      </c>
      <c r="AX1804" s="126">
        <f>IF(tech_base!$T60&gt;AX$1745,"",(tech_base!$K60/tech_proj!AX184*0.086*$J$132)/(1-tech_proj!AX464))</f>
        <v>12.850037095843499</v>
      </c>
    </row>
    <row r="1805" spans="1:50" x14ac:dyDescent="0.25">
      <c r="A1805" s="356"/>
      <c r="B1805" s="376"/>
      <c r="C1805" s="361" t="s">
        <v>16</v>
      </c>
      <c r="D1805" s="2" t="s">
        <v>7</v>
      </c>
      <c r="E1805" s="160" t="str">
        <f>A1791&amp;"/"&amp;B1799&amp;"/"&amp;C1805&amp;"/"&amp;D1805</f>
        <v>Lignite fired power plants/Supercritical steam turbine/CHP with CCS/L</v>
      </c>
      <c r="F1805" s="76" t="str">
        <f>A1791</f>
        <v>Lignite fired power plants</v>
      </c>
      <c r="G1805" s="76" t="str">
        <f>B1799</f>
        <v>Supercritical steam turbine</v>
      </c>
      <c r="H1805" s="76" t="str">
        <f>C1805</f>
        <v>CHP with CCS</v>
      </c>
      <c r="I1805" s="161" t="str">
        <f t="shared" si="382"/>
        <v>L</v>
      </c>
      <c r="J1805" s="119" t="str">
        <f>IF(tech_base!$T61&gt;J$1745,"",(tech_base!$K61/tech_proj!J185*0.086*$J$132)/(1-tech_proj!J465))</f>
        <v/>
      </c>
      <c r="K1805" s="119" t="str">
        <f>IF(tech_base!$T61&gt;K$1745,"",(tech_base!$K61/tech_proj!K185*0.086*$J$132)/(1-tech_proj!K465))</f>
        <v/>
      </c>
      <c r="L1805" s="119" t="str">
        <f>IF(tech_base!$T61&gt;L$1745,"",(tech_base!$K61/tech_proj!L185*0.086*$J$132)/(1-tech_proj!L465))</f>
        <v/>
      </c>
      <c r="M1805" s="119" t="str">
        <f>IF(tech_base!$T61&gt;M$1745,"",(tech_base!$K61/tech_proj!M185*0.086*$J$132)/(1-tech_proj!M465))</f>
        <v/>
      </c>
      <c r="N1805" s="119" t="str">
        <f>IF(tech_base!$T61&gt;N$1745,"",(tech_base!$K61/tech_proj!N185*0.086*$J$132)/(1-tech_proj!N465))</f>
        <v/>
      </c>
      <c r="O1805" s="119" t="str">
        <f>IF(tech_base!$T61&gt;O$1745,"",(tech_base!$K61/tech_proj!O185*0.086*$J$132)/(1-tech_proj!O465))</f>
        <v/>
      </c>
      <c r="P1805" s="119" t="str">
        <f>IF(tech_base!$T61&gt;P$1745,"",(tech_base!$K61/tech_proj!P185*0.086*$J$132)/(1-tech_proj!P465))</f>
        <v/>
      </c>
      <c r="Q1805" s="119" t="str">
        <f>IF(tech_base!$T61&gt;Q$1745,"",(tech_base!$K61/tech_proj!Q185*0.086*$J$132)/(1-tech_proj!Q465))</f>
        <v/>
      </c>
      <c r="R1805" s="119" t="str">
        <f>IF(tech_base!$T61&gt;R$1745,"",(tech_base!$K61/tech_proj!R185*0.086*$J$132)/(1-tech_proj!R465))</f>
        <v/>
      </c>
      <c r="S1805" s="119" t="str">
        <f>IF(tech_base!$T61&gt;S$1745,"",(tech_base!$K61/tech_proj!S185*0.086*$J$132)/(1-tech_proj!S465))</f>
        <v/>
      </c>
      <c r="T1805" s="119" t="str">
        <f>IF(tech_base!$T61&gt;T$1745,"",(tech_base!$K61/tech_proj!T185*0.086*$J$132)/(1-tech_proj!T465))</f>
        <v/>
      </c>
      <c r="U1805" s="119" t="str">
        <f>IF(tech_base!$T61&gt;U$1745,"",(tech_base!$K61/tech_proj!U185*0.086*$J$132)/(1-tech_proj!U465))</f>
        <v/>
      </c>
      <c r="V1805" s="119" t="str">
        <f>IF(tech_base!$T61&gt;V$1745,"",(tech_base!$K61/tech_proj!V185*0.086*$J$132)/(1-tech_proj!V465))</f>
        <v/>
      </c>
      <c r="W1805" s="119" t="str">
        <f>IF(tech_base!$T61&gt;W$1745,"",(tech_base!$K61/tech_proj!W185*0.086*$J$132)/(1-tech_proj!W465))</f>
        <v/>
      </c>
      <c r="X1805" s="119" t="str">
        <f>IF(tech_base!$T61&gt;X$1745,"",(tech_base!$K61/tech_proj!X185*0.086*$J$132)/(1-tech_proj!X465))</f>
        <v/>
      </c>
      <c r="Y1805" s="119" t="str">
        <f>IF(tech_base!$T61&gt;Y$1745,"",(tech_base!$K61/tech_proj!Y185*0.086*$J$132)/(1-tech_proj!Y465))</f>
        <v/>
      </c>
      <c r="Z1805" s="119" t="str">
        <f>IF(tech_base!$T61&gt;Z$1745,"",(tech_base!$K61/tech_proj!Z185*0.086*$J$132)/(1-tech_proj!Z465))</f>
        <v/>
      </c>
      <c r="AA1805" s="119" t="str">
        <f>IF(tech_base!$T61&gt;AA$1745,"",(tech_base!$K61/tech_proj!AA185*0.086*$J$132)/(1-tech_proj!AA465))</f>
        <v/>
      </c>
      <c r="AB1805" s="119" t="str">
        <f>IF(tech_base!$T61&gt;AB$1745,"",(tech_base!$K61/tech_proj!AB185*0.086*$J$132)/(1-tech_proj!AB465))</f>
        <v/>
      </c>
      <c r="AC1805" s="119" t="str">
        <f>IF(tech_base!$T61&gt;AC$1745,"",(tech_base!$K61/tech_proj!AC185*0.086*$J$132)/(1-tech_proj!AC465))</f>
        <v/>
      </c>
      <c r="AD1805" s="119" t="str">
        <f>IF(tech_base!$T61&gt;AD$1745,"",(tech_base!$K61/tech_proj!AD185*0.086*$J$132)/(1-tech_proj!AD465))</f>
        <v/>
      </c>
      <c r="AE1805" s="119">
        <f>IF(tech_base!$T61&gt;AE$1745,"",(tech_base!$K61/tech_proj!AE185*0.086*$J$132)/(1-tech_proj!AE465))</f>
        <v>13.884747929788523</v>
      </c>
      <c r="AF1805" s="119">
        <f>IF(tech_base!$T61&gt;AF$1745,"",(tech_base!$K61/tech_proj!AF185*0.086*$J$132)/(1-tech_proj!AF465))</f>
        <v>13.884011721081295</v>
      </c>
      <c r="AG1805" s="119">
        <f>IF(tech_base!$T61&gt;AG$1745,"",(tech_base!$K61/tech_proj!AG185*0.086*$J$132)/(1-tech_proj!AG465))</f>
        <v>13.88311497166546</v>
      </c>
      <c r="AH1805" s="119">
        <f>IF(tech_base!$T61&gt;AH$1745,"",(tech_base!$K61/tech_proj!AH185*0.086*$J$132)/(1-tech_proj!AH465))</f>
        <v>13.882023330418669</v>
      </c>
      <c r="AI1805" s="119">
        <f>IF(tech_base!$T61&gt;AI$1745,"",(tech_base!$K61/tech_proj!AI185*0.086*$J$132)/(1-tech_proj!AI465))</f>
        <v>13.880695414708777</v>
      </c>
      <c r="AJ1805" s="119">
        <f>IF(tech_base!$T61&gt;AJ$1745,"",(tech_base!$K61/tech_proj!AJ185*0.086*$J$132)/(1-tech_proj!AJ465))</f>
        <v>13.879081525529477</v>
      </c>
      <c r="AK1805" s="119">
        <f>IF(tech_base!$T61&gt;AK$1745,"",(tech_base!$K61/tech_proj!AK185*0.086*$J$132)/(1-tech_proj!AK465))</f>
        <v>13.877122203667243</v>
      </c>
      <c r="AL1805" s="119">
        <f>IF(tech_base!$T61&gt;AL$1745,"",(tech_base!$K61/tech_proj!AL185*0.086*$J$132)/(1-tech_proj!AL465))</f>
        <v>13.874746646965836</v>
      </c>
      <c r="AM1805" s="119">
        <f>IF(tech_base!$T61&gt;AM$1745,"",(tech_base!$K61/tech_proj!AM185*0.086*$J$132)/(1-tech_proj!AM465))</f>
        <v>13.871871035426441</v>
      </c>
      <c r="AN1805" s="119">
        <f>IF(tech_base!$T61&gt;AN$1745,"",(tech_base!$K61/tech_proj!AN185*0.086*$J$132)/(1-tech_proj!AN465))</f>
        <v>13.868396850740115</v>
      </c>
      <c r="AO1805" s="119">
        <f>IF(tech_base!$T61&gt;AO$1745,"",(tech_base!$K61/tech_proj!AO185*0.086*$J$132)/(1-tech_proj!AO465))</f>
        <v>13.8642093338643</v>
      </c>
      <c r="AP1805" s="119">
        <f>IF(tech_base!$T61&gt;AP$1745,"",(tech_base!$K61/tech_proj!AP185*0.086*$J$132)/(1-tech_proj!AP465))</f>
        <v>13.859176302217996</v>
      </c>
      <c r="AQ1805" s="119">
        <f>IF(tech_base!$T61&gt;AQ$1745,"",(tech_base!$K61/tech_proj!AQ185*0.086*$J$132)/(1-tech_proj!AQ465))</f>
        <v>13.85314764926108</v>
      </c>
      <c r="AR1805" s="119">
        <f>IF(tech_base!$T61&gt;AR$1745,"",(tech_base!$K61/tech_proj!AR185*0.086*$J$132)/(1-tech_proj!AR465))</f>
        <v>13.845955971989055</v>
      </c>
      <c r="AS1805" s="119">
        <f>IF(tech_base!$T61&gt;AS$1745,"",(tech_base!$K61/tech_proj!AS185*0.086*$J$132)/(1-tech_proj!AS465))</f>
        <v>13.837418906745128</v>
      </c>
      <c r="AT1805" s="119">
        <f>IF(tech_base!$T61&gt;AT$1745,"",(tech_base!$K61/tech_proj!AT185*0.086*$J$132)/(1-tech_proj!AT465))</f>
        <v>13.827343877966506</v>
      </c>
      <c r="AU1805" s="119">
        <f>IF(tech_base!$T61&gt;AU$1745,"",(tech_base!$K61/tech_proj!AU185*0.086*$J$132)/(1-tech_proj!AU465))</f>
        <v>13.815536035584916</v>
      </c>
      <c r="AV1805" s="119">
        <f>IF(tech_base!$T61&gt;AV$1745,"",(tech_base!$K61/tech_proj!AV185*0.086*$J$132)/(1-tech_proj!AV465))</f>
        <v>13.801810107571864</v>
      </c>
      <c r="AW1805" s="119">
        <f>IF(tech_base!$T61&gt;AW$1745,"",(tech_base!$K61/tech_proj!AW185*0.086*$J$132)/(1-tech_proj!AW465))</f>
        <v>13.78600663371831</v>
      </c>
      <c r="AX1805" s="120">
        <f>IF(tech_base!$T61&gt;AX$1745,"",(tech_base!$K61/tech_proj!AX185*0.086*$J$132)/(1-tech_proj!AX465))</f>
        <v>13.768012475957319</v>
      </c>
    </row>
    <row r="1806" spans="1:50" x14ac:dyDescent="0.25">
      <c r="A1806" s="356"/>
      <c r="B1806" s="380"/>
      <c r="C1806" s="381"/>
      <c r="D1806" s="4" t="s">
        <v>8</v>
      </c>
      <c r="E1806" s="168" t="str">
        <f>A1791&amp;"/"&amp;B1799&amp;"/"&amp;C1805&amp;"/"&amp;D1806</f>
        <v>Lignite fired power plants/Supercritical steam turbine/CHP with CCS/M</v>
      </c>
      <c r="F1806" s="80" t="str">
        <f>A1791</f>
        <v>Lignite fired power plants</v>
      </c>
      <c r="G1806" s="80" t="str">
        <f>B1799</f>
        <v>Supercritical steam turbine</v>
      </c>
      <c r="H1806" s="80" t="str">
        <f>C1805</f>
        <v>CHP with CCS</v>
      </c>
      <c r="I1806" s="169" t="str">
        <f t="shared" si="382"/>
        <v>M</v>
      </c>
      <c r="J1806" s="127" t="str">
        <f>IF(tech_base!$T62&gt;J$1745,"",(tech_base!$K62/tech_proj!J186*0.086*$J$132)/(1-tech_proj!J466))</f>
        <v/>
      </c>
      <c r="K1806" s="127" t="str">
        <f>IF(tech_base!$T62&gt;K$1745,"",(tech_base!$K62/tech_proj!K186*0.086*$J$132)/(1-tech_proj!K466))</f>
        <v/>
      </c>
      <c r="L1806" s="127" t="str">
        <f>IF(tech_base!$T62&gt;L$1745,"",(tech_base!$K62/tech_proj!L186*0.086*$J$132)/(1-tech_proj!L466))</f>
        <v/>
      </c>
      <c r="M1806" s="127" t="str">
        <f>IF(tech_base!$T62&gt;M$1745,"",(tech_base!$K62/tech_proj!M186*0.086*$J$132)/(1-tech_proj!M466))</f>
        <v/>
      </c>
      <c r="N1806" s="127" t="str">
        <f>IF(tech_base!$T62&gt;N$1745,"",(tech_base!$K62/tech_proj!N186*0.086*$J$132)/(1-tech_proj!N466))</f>
        <v/>
      </c>
      <c r="O1806" s="127" t="str">
        <f>IF(tech_base!$T62&gt;O$1745,"",(tech_base!$K62/tech_proj!O186*0.086*$J$132)/(1-tech_proj!O466))</f>
        <v/>
      </c>
      <c r="P1806" s="127" t="str">
        <f>IF(tech_base!$T62&gt;P$1745,"",(tech_base!$K62/tech_proj!P186*0.086*$J$132)/(1-tech_proj!P466))</f>
        <v/>
      </c>
      <c r="Q1806" s="127" t="str">
        <f>IF(tech_base!$T62&gt;Q$1745,"",(tech_base!$K62/tech_proj!Q186*0.086*$J$132)/(1-tech_proj!Q466))</f>
        <v/>
      </c>
      <c r="R1806" s="127" t="str">
        <f>IF(tech_base!$T62&gt;R$1745,"",(tech_base!$K62/tech_proj!R186*0.086*$J$132)/(1-tech_proj!R466))</f>
        <v/>
      </c>
      <c r="S1806" s="127" t="str">
        <f>IF(tech_base!$T62&gt;S$1745,"",(tech_base!$K62/tech_proj!S186*0.086*$J$132)/(1-tech_proj!S466))</f>
        <v/>
      </c>
      <c r="T1806" s="127" t="str">
        <f>IF(tech_base!$T62&gt;T$1745,"",(tech_base!$K62/tech_proj!T186*0.086*$J$132)/(1-tech_proj!T466))</f>
        <v/>
      </c>
      <c r="U1806" s="127" t="str">
        <f>IF(tech_base!$T62&gt;U$1745,"",(tech_base!$K62/tech_proj!U186*0.086*$J$132)/(1-tech_proj!U466))</f>
        <v/>
      </c>
      <c r="V1806" s="127" t="str">
        <f>IF(tech_base!$T62&gt;V$1745,"",(tech_base!$K62/tech_proj!V186*0.086*$J$132)/(1-tech_proj!V466))</f>
        <v/>
      </c>
      <c r="W1806" s="127" t="str">
        <f>IF(tech_base!$T62&gt;W$1745,"",(tech_base!$K62/tech_proj!W186*0.086*$J$132)/(1-tech_proj!W466))</f>
        <v/>
      </c>
      <c r="X1806" s="127" t="str">
        <f>IF(tech_base!$T62&gt;X$1745,"",(tech_base!$K62/tech_proj!X186*0.086*$J$132)/(1-tech_proj!X466))</f>
        <v/>
      </c>
      <c r="Y1806" s="127" t="str">
        <f>IF(tech_base!$T62&gt;Y$1745,"",(tech_base!$K62/tech_proj!Y186*0.086*$J$132)/(1-tech_proj!Y466))</f>
        <v/>
      </c>
      <c r="Z1806" s="127" t="str">
        <f>IF(tech_base!$T62&gt;Z$1745,"",(tech_base!$K62/tech_proj!Z186*0.086*$J$132)/(1-tech_proj!Z466))</f>
        <v/>
      </c>
      <c r="AA1806" s="127" t="str">
        <f>IF(tech_base!$T62&gt;AA$1745,"",(tech_base!$K62/tech_proj!AA186*0.086*$J$132)/(1-tech_proj!AA466))</f>
        <v/>
      </c>
      <c r="AB1806" s="127" t="str">
        <f>IF(tech_base!$T62&gt;AB$1745,"",(tech_base!$K62/tech_proj!AB186*0.086*$J$132)/(1-tech_proj!AB466))</f>
        <v/>
      </c>
      <c r="AC1806" s="127" t="str">
        <f>IF(tech_base!$T62&gt;AC$1745,"",(tech_base!$K62/tech_proj!AC186*0.086*$J$132)/(1-tech_proj!AC466))</f>
        <v/>
      </c>
      <c r="AD1806" s="127" t="str">
        <f>IF(tech_base!$T62&gt;AD$1745,"",(tech_base!$K62/tech_proj!AD186*0.086*$J$132)/(1-tech_proj!AD466))</f>
        <v/>
      </c>
      <c r="AE1806" s="127">
        <f>IF(tech_base!$T62&gt;AE$1745,"",(tech_base!$K62/tech_proj!AE186*0.086*$J$132)/(1-tech_proj!AE466))</f>
        <v>14.903315363012183</v>
      </c>
      <c r="AF1806" s="127">
        <f>IF(tech_base!$T62&gt;AF$1745,"",(tech_base!$K62/tech_proj!AF186*0.086*$J$132)/(1-tech_proj!AF466))</f>
        <v>14.902876520617893</v>
      </c>
      <c r="AG1806" s="127">
        <f>IF(tech_base!$T62&gt;AG$1745,"",(tech_base!$K62/tech_proj!AG186*0.086*$J$132)/(1-tech_proj!AG466))</f>
        <v>14.902313814045691</v>
      </c>
      <c r="AH1806" s="127">
        <f>IF(tech_base!$T62&gt;AH$1745,"",(tech_base!$K62/tech_proj!AH186*0.086*$J$132)/(1-tech_proj!AH466))</f>
        <v>14.901592564679435</v>
      </c>
      <c r="AI1806" s="127">
        <f>IF(tech_base!$T62&gt;AI$1745,"",(tech_base!$K62/tech_proj!AI186*0.086*$J$132)/(1-tech_proj!AI466))</f>
        <v>14.900668566721908</v>
      </c>
      <c r="AJ1806" s="127">
        <f>IF(tech_base!$T62&gt;AJ$1745,"",(tech_base!$K62/tech_proj!AJ186*0.086*$J$132)/(1-tech_proj!AJ466))</f>
        <v>14.899485586855089</v>
      </c>
      <c r="AK1806" s="127">
        <f>IF(tech_base!$T62&gt;AK$1745,"",(tech_base!$K62/tech_proj!AK186*0.086*$J$132)/(1-tech_proj!AK466))</f>
        <v>14.897972283232795</v>
      </c>
      <c r="AL1806" s="127">
        <f>IF(tech_base!$T62&gt;AL$1745,"",(tech_base!$K62/tech_proj!AL186*0.086*$J$132)/(1-tech_proj!AL466))</f>
        <v>14.896038458631816</v>
      </c>
      <c r="AM1806" s="127">
        <f>IF(tech_base!$T62&gt;AM$1745,"",(tech_base!$K62/tech_proj!AM186*0.086*$J$132)/(1-tech_proj!AM466))</f>
        <v>14.893570585548774</v>
      </c>
      <c r="AN1806" s="127">
        <f>IF(tech_base!$T62&gt;AN$1745,"",(tech_base!$K62/tech_proj!AN186*0.086*$J$132)/(1-tech_proj!AN466))</f>
        <v>14.890426596263687</v>
      </c>
      <c r="AO1806" s="127">
        <f>IF(tech_base!$T62&gt;AO$1745,"",(tech_base!$K62/tech_proj!AO186*0.086*$J$132)/(1-tech_proj!AO466))</f>
        <v>14.886430039323969</v>
      </c>
      <c r="AP1806" s="127">
        <f>IF(tech_base!$T62&gt;AP$1745,"",(tech_base!$K62/tech_proj!AP186*0.086*$J$132)/(1-tech_proj!AP466))</f>
        <v>14.881363895244411</v>
      </c>
      <c r="AQ1806" s="127">
        <f>IF(tech_base!$T62&gt;AQ$1745,"",(tech_base!$K62/tech_proj!AQ186*0.086*$J$132)/(1-tech_proj!AQ466))</f>
        <v>14.874964657087808</v>
      </c>
      <c r="AR1806" s="127">
        <f>IF(tech_base!$T62&gt;AR$1745,"",(tech_base!$K62/tech_proj!AR186*0.086*$J$132)/(1-tech_proj!AR466))</f>
        <v>14.866917759086846</v>
      </c>
      <c r="AS1806" s="127">
        <f>IF(tech_base!$T62&gt;AS$1745,"",(tech_base!$K62/tech_proj!AS186*0.086*$J$132)/(1-tech_proj!AS466))</f>
        <v>14.856856111771215</v>
      </c>
      <c r="AT1806" s="127">
        <f>IF(tech_base!$T62&gt;AT$1745,"",(tech_base!$K62/tech_proj!AT186*0.086*$J$132)/(1-tech_proj!AT466))</f>
        <v>14.844364365678283</v>
      </c>
      <c r="AU1806" s="127">
        <f>IF(tech_base!$T62&gt;AU$1745,"",(tech_base!$K62/tech_proj!AU186*0.086*$J$132)/(1-tech_proj!AU466))</f>
        <v>14.828992464814776</v>
      </c>
      <c r="AV1806" s="127">
        <f>IF(tech_base!$T62&gt;AV$1745,"",(tech_base!$K62/tech_proj!AV186*0.086*$J$132)/(1-tech_proj!AV466))</f>
        <v>14.810282757976537</v>
      </c>
      <c r="AW1806" s="127">
        <f>IF(tech_base!$T62&gt;AW$1745,"",(tech_base!$K62/tech_proj!AW186*0.086*$J$132)/(1-tech_proj!AW466))</f>
        <v>14.787814809294693</v>
      </c>
      <c r="AX1806" s="128">
        <f>IF(tech_base!$T62&gt;AX$1745,"",(tech_base!$K62/tech_proj!AX186*0.086*$J$132)/(1-tech_proj!AX466))</f>
        <v>14.761270168244467</v>
      </c>
    </row>
    <row r="1807" spans="1:50" x14ac:dyDescent="0.25">
      <c r="A1807" s="356"/>
      <c r="B1807" s="358" t="s">
        <v>18</v>
      </c>
      <c r="C1807" s="353" t="s">
        <v>6</v>
      </c>
      <c r="D1807" s="3" t="s">
        <v>7</v>
      </c>
      <c r="E1807" s="162" t="str">
        <f>A1791&amp;"/"&amp;B1807&amp;"/"&amp;C1807&amp;"/"&amp;D1807</f>
        <v>Lignite fired power plants/Fluidized bed combustion/Electricity only/L</v>
      </c>
      <c r="F1807" s="77" t="str">
        <f>A1791</f>
        <v>Lignite fired power plants</v>
      </c>
      <c r="G1807" s="77" t="str">
        <f>B1807</f>
        <v>Fluidized bed combustion</v>
      </c>
      <c r="H1807" s="77" t="str">
        <f>C1807</f>
        <v>Electricity only</v>
      </c>
      <c r="I1807" s="163" t="str">
        <f t="shared" si="382"/>
        <v>L</v>
      </c>
      <c r="J1807" s="121">
        <f>IF(tech_base!$T63&gt;J$1745,"",(tech_base!$K63/tech_proj!J187*0.086*$J$132)/(1-tech_proj!J467))</f>
        <v>0</v>
      </c>
      <c r="K1807" s="121">
        <f>IF(tech_base!$T63&gt;K$1745,"",(tech_base!$K63/tech_proj!K187*0.086*$J$132)/(1-tech_proj!K467))</f>
        <v>0</v>
      </c>
      <c r="L1807" s="121">
        <f>IF(tech_base!$T63&gt;L$1745,"",(tech_base!$K63/tech_proj!L187*0.086*$J$132)/(1-tech_proj!L467))</f>
        <v>0</v>
      </c>
      <c r="M1807" s="121">
        <f>IF(tech_base!$T63&gt;M$1745,"",(tech_base!$K63/tech_proj!M187*0.086*$J$132)/(1-tech_proj!M467))</f>
        <v>0</v>
      </c>
      <c r="N1807" s="121">
        <f>IF(tech_base!$T63&gt;N$1745,"",(tech_base!$K63/tech_proj!N187*0.086*$J$132)/(1-tech_proj!N467))</f>
        <v>0</v>
      </c>
      <c r="O1807" s="121">
        <f>IF(tech_base!$T63&gt;O$1745,"",(tech_base!$K63/tech_proj!O187*0.086*$J$132)/(1-tech_proj!O467))</f>
        <v>0</v>
      </c>
      <c r="P1807" s="121">
        <f>IF(tech_base!$T63&gt;P$1745,"",(tech_base!$K63/tech_proj!P187*0.086*$J$132)/(1-tech_proj!P467))</f>
        <v>0</v>
      </c>
      <c r="Q1807" s="121">
        <f>IF(tech_base!$T63&gt;Q$1745,"",(tech_base!$K63/tech_proj!Q187*0.086*$J$132)/(1-tech_proj!Q467))</f>
        <v>0</v>
      </c>
      <c r="R1807" s="121">
        <f>IF(tech_base!$T63&gt;R$1745,"",(tech_base!$K63/tech_proj!R187*0.086*$J$132)/(1-tech_proj!R467))</f>
        <v>0</v>
      </c>
      <c r="S1807" s="121">
        <f>IF(tech_base!$T63&gt;S$1745,"",(tech_base!$K63/tech_proj!S187*0.086*$J$132)/(1-tech_proj!S467))</f>
        <v>0</v>
      </c>
      <c r="T1807" s="121">
        <f>IF(tech_base!$T63&gt;T$1745,"",(tech_base!$K63/tech_proj!T187*0.086*$J$132)/(1-tech_proj!T467))</f>
        <v>0</v>
      </c>
      <c r="U1807" s="121">
        <f>IF(tech_base!$T63&gt;U$1745,"",(tech_base!$K63/tech_proj!U187*0.086*$J$132)/(1-tech_proj!U467))</f>
        <v>0</v>
      </c>
      <c r="V1807" s="121">
        <f>IF(tech_base!$T63&gt;V$1745,"",(tech_base!$K63/tech_proj!V187*0.086*$J$132)/(1-tech_proj!V467))</f>
        <v>0</v>
      </c>
      <c r="W1807" s="121">
        <f>IF(tech_base!$T63&gt;W$1745,"",(tech_base!$K63/tech_proj!W187*0.086*$J$132)/(1-tech_proj!W467))</f>
        <v>0</v>
      </c>
      <c r="X1807" s="121">
        <f>IF(tech_base!$T63&gt;X$1745,"",(tech_base!$K63/tech_proj!X187*0.086*$J$132)/(1-tech_proj!X467))</f>
        <v>0</v>
      </c>
      <c r="Y1807" s="121">
        <f>IF(tech_base!$T63&gt;Y$1745,"",(tech_base!$K63/tech_proj!Y187*0.086*$J$132)/(1-tech_proj!Y467))</f>
        <v>0</v>
      </c>
      <c r="Z1807" s="121">
        <f>IF(tech_base!$T63&gt;Z$1745,"",(tech_base!$K63/tech_proj!Z187*0.086*$J$132)/(1-tech_proj!Z467))</f>
        <v>0</v>
      </c>
      <c r="AA1807" s="121">
        <f>IF(tech_base!$T63&gt;AA$1745,"",(tech_base!$K63/tech_proj!AA187*0.086*$J$132)/(1-tech_proj!AA467))</f>
        <v>0</v>
      </c>
      <c r="AB1807" s="121">
        <f>IF(tech_base!$T63&gt;AB$1745,"",(tech_base!$K63/tech_proj!AB187*0.086*$J$132)/(1-tech_proj!AB467))</f>
        <v>0</v>
      </c>
      <c r="AC1807" s="121">
        <f>IF(tech_base!$T63&gt;AC$1745,"",(tech_base!$K63/tech_proj!AC187*0.086*$J$132)/(1-tech_proj!AC467))</f>
        <v>0</v>
      </c>
      <c r="AD1807" s="121">
        <f>IF(tech_base!$T63&gt;AD$1745,"",(tech_base!$K63/tech_proj!AD187*0.086*$J$132)/(1-tech_proj!AD467))</f>
        <v>0</v>
      </c>
      <c r="AE1807" s="121">
        <f>IF(tech_base!$T63&gt;AE$1745,"",(tech_base!$K63/tech_proj!AE187*0.086*$J$132)/(1-tech_proj!AE467))</f>
        <v>0</v>
      </c>
      <c r="AF1807" s="121">
        <f>IF(tech_base!$T63&gt;AF$1745,"",(tech_base!$K63/tech_proj!AF187*0.086*$J$132)/(1-tech_proj!AF467))</f>
        <v>0</v>
      </c>
      <c r="AG1807" s="121">
        <f>IF(tech_base!$T63&gt;AG$1745,"",(tech_base!$K63/tech_proj!AG187*0.086*$J$132)/(1-tech_proj!AG467))</f>
        <v>0</v>
      </c>
      <c r="AH1807" s="121">
        <f>IF(tech_base!$T63&gt;AH$1745,"",(tech_base!$K63/tech_proj!AH187*0.086*$J$132)/(1-tech_proj!AH467))</f>
        <v>0</v>
      </c>
      <c r="AI1807" s="121">
        <f>IF(tech_base!$T63&gt;AI$1745,"",(tech_base!$K63/tech_proj!AI187*0.086*$J$132)/(1-tech_proj!AI467))</f>
        <v>0</v>
      </c>
      <c r="AJ1807" s="121">
        <f>IF(tech_base!$T63&gt;AJ$1745,"",(tech_base!$K63/tech_proj!AJ187*0.086*$J$132)/(1-tech_proj!AJ467))</f>
        <v>0</v>
      </c>
      <c r="AK1807" s="121">
        <f>IF(tech_base!$T63&gt;AK$1745,"",(tech_base!$K63/tech_proj!AK187*0.086*$J$132)/(1-tech_proj!AK467))</f>
        <v>0</v>
      </c>
      <c r="AL1807" s="121">
        <f>IF(tech_base!$T63&gt;AL$1745,"",(tech_base!$K63/tech_proj!AL187*0.086*$J$132)/(1-tech_proj!AL467))</f>
        <v>0</v>
      </c>
      <c r="AM1807" s="121">
        <f>IF(tech_base!$T63&gt;AM$1745,"",(tech_base!$K63/tech_proj!AM187*0.086*$J$132)/(1-tech_proj!AM467))</f>
        <v>0</v>
      </c>
      <c r="AN1807" s="121">
        <f>IF(tech_base!$T63&gt;AN$1745,"",(tech_base!$K63/tech_proj!AN187*0.086*$J$132)/(1-tech_proj!AN467))</f>
        <v>0</v>
      </c>
      <c r="AO1807" s="121">
        <f>IF(tech_base!$T63&gt;AO$1745,"",(tech_base!$K63/tech_proj!AO187*0.086*$J$132)/(1-tech_proj!AO467))</f>
        <v>0</v>
      </c>
      <c r="AP1807" s="121">
        <f>IF(tech_base!$T63&gt;AP$1745,"",(tech_base!$K63/tech_proj!AP187*0.086*$J$132)/(1-tech_proj!AP467))</f>
        <v>0</v>
      </c>
      <c r="AQ1807" s="121">
        <f>IF(tech_base!$T63&gt;AQ$1745,"",(tech_base!$K63/tech_proj!AQ187*0.086*$J$132)/(1-tech_proj!AQ467))</f>
        <v>0</v>
      </c>
      <c r="AR1807" s="121">
        <f>IF(tech_base!$T63&gt;AR$1745,"",(tech_base!$K63/tech_proj!AR187*0.086*$J$132)/(1-tech_proj!AR467))</f>
        <v>0</v>
      </c>
      <c r="AS1807" s="121">
        <f>IF(tech_base!$T63&gt;AS$1745,"",(tech_base!$K63/tech_proj!AS187*0.086*$J$132)/(1-tech_proj!AS467))</f>
        <v>0</v>
      </c>
      <c r="AT1807" s="121">
        <f>IF(tech_base!$T63&gt;AT$1745,"",(tech_base!$K63/tech_proj!AT187*0.086*$J$132)/(1-tech_proj!AT467))</f>
        <v>0</v>
      </c>
      <c r="AU1807" s="121">
        <f>IF(tech_base!$T63&gt;AU$1745,"",(tech_base!$K63/tech_proj!AU187*0.086*$J$132)/(1-tech_proj!AU467))</f>
        <v>0</v>
      </c>
      <c r="AV1807" s="121">
        <f>IF(tech_base!$T63&gt;AV$1745,"",(tech_base!$K63/tech_proj!AV187*0.086*$J$132)/(1-tech_proj!AV467))</f>
        <v>0</v>
      </c>
      <c r="AW1807" s="121">
        <f>IF(tech_base!$T63&gt;AW$1745,"",(tech_base!$K63/tech_proj!AW187*0.086*$J$132)/(1-tech_proj!AW467))</f>
        <v>0</v>
      </c>
      <c r="AX1807" s="122">
        <f>IF(tech_base!$T63&gt;AX$1745,"",(tech_base!$K63/tech_proj!AX187*0.086*$J$132)/(1-tech_proj!AX467))</f>
        <v>0</v>
      </c>
    </row>
    <row r="1808" spans="1:50" x14ac:dyDescent="0.25">
      <c r="A1808" s="356"/>
      <c r="B1808" s="376"/>
      <c r="C1808" s="350"/>
      <c r="D1808" s="2" t="s">
        <v>8</v>
      </c>
      <c r="E1808" s="160" t="str">
        <f>A1791&amp;"/"&amp;B1807&amp;"/"&amp;C1807&amp;"/"&amp;D1808</f>
        <v>Lignite fired power plants/Fluidized bed combustion/Electricity only/M</v>
      </c>
      <c r="F1808" s="76" t="str">
        <f>A1791</f>
        <v>Lignite fired power plants</v>
      </c>
      <c r="G1808" s="76" t="str">
        <f>B1807</f>
        <v>Fluidized bed combustion</v>
      </c>
      <c r="H1808" s="76" t="str">
        <f>C1807</f>
        <v>Electricity only</v>
      </c>
      <c r="I1808" s="161" t="str">
        <f t="shared" si="382"/>
        <v>M</v>
      </c>
      <c r="J1808" s="119">
        <f>IF(tech_base!$T64&gt;J$1745,"",(tech_base!$K64/tech_proj!J188*0.086*$J$132)/(1-tech_proj!J468))</f>
        <v>0</v>
      </c>
      <c r="K1808" s="119">
        <f>IF(tech_base!$T64&gt;K$1745,"",(tech_base!$K64/tech_proj!K188*0.086*$J$132)/(1-tech_proj!K468))</f>
        <v>0</v>
      </c>
      <c r="L1808" s="119">
        <f>IF(tech_base!$T64&gt;L$1745,"",(tech_base!$K64/tech_proj!L188*0.086*$J$132)/(1-tech_proj!L468))</f>
        <v>0</v>
      </c>
      <c r="M1808" s="119">
        <f>IF(tech_base!$T64&gt;M$1745,"",(tech_base!$K64/tech_proj!M188*0.086*$J$132)/(1-tech_proj!M468))</f>
        <v>0</v>
      </c>
      <c r="N1808" s="119">
        <f>IF(tech_base!$T64&gt;N$1745,"",(tech_base!$K64/tech_proj!N188*0.086*$J$132)/(1-tech_proj!N468))</f>
        <v>0</v>
      </c>
      <c r="O1808" s="119">
        <f>IF(tech_base!$T64&gt;O$1745,"",(tech_base!$K64/tech_proj!O188*0.086*$J$132)/(1-tech_proj!O468))</f>
        <v>0</v>
      </c>
      <c r="P1808" s="119">
        <f>IF(tech_base!$T64&gt;P$1745,"",(tech_base!$K64/tech_proj!P188*0.086*$J$132)/(1-tech_proj!P468))</f>
        <v>0</v>
      </c>
      <c r="Q1808" s="119">
        <f>IF(tech_base!$T64&gt;Q$1745,"",(tech_base!$K64/tech_proj!Q188*0.086*$J$132)/(1-tech_proj!Q468))</f>
        <v>0</v>
      </c>
      <c r="R1808" s="119">
        <f>IF(tech_base!$T64&gt;R$1745,"",(tech_base!$K64/tech_proj!R188*0.086*$J$132)/(1-tech_proj!R468))</f>
        <v>0</v>
      </c>
      <c r="S1808" s="119">
        <f>IF(tech_base!$T64&gt;S$1745,"",(tech_base!$K64/tech_proj!S188*0.086*$J$132)/(1-tech_proj!S468))</f>
        <v>0</v>
      </c>
      <c r="T1808" s="119">
        <f>IF(tech_base!$T64&gt;T$1745,"",(tech_base!$K64/tech_proj!T188*0.086*$J$132)/(1-tech_proj!T468))</f>
        <v>0</v>
      </c>
      <c r="U1808" s="119">
        <f>IF(tech_base!$T64&gt;U$1745,"",(tech_base!$K64/tech_proj!U188*0.086*$J$132)/(1-tech_proj!U468))</f>
        <v>0</v>
      </c>
      <c r="V1808" s="119">
        <f>IF(tech_base!$T64&gt;V$1745,"",(tech_base!$K64/tech_proj!V188*0.086*$J$132)/(1-tech_proj!V468))</f>
        <v>0</v>
      </c>
      <c r="W1808" s="119">
        <f>IF(tech_base!$T64&gt;W$1745,"",(tech_base!$K64/tech_proj!W188*0.086*$J$132)/(1-tech_proj!W468))</f>
        <v>0</v>
      </c>
      <c r="X1808" s="119">
        <f>IF(tech_base!$T64&gt;X$1745,"",(tech_base!$K64/tech_proj!X188*0.086*$J$132)/(1-tech_proj!X468))</f>
        <v>0</v>
      </c>
      <c r="Y1808" s="119">
        <f>IF(tech_base!$T64&gt;Y$1745,"",(tech_base!$K64/tech_proj!Y188*0.086*$J$132)/(1-tech_proj!Y468))</f>
        <v>0</v>
      </c>
      <c r="Z1808" s="119">
        <f>IF(tech_base!$T64&gt;Z$1745,"",(tech_base!$K64/tech_proj!Z188*0.086*$J$132)/(1-tech_proj!Z468))</f>
        <v>0</v>
      </c>
      <c r="AA1808" s="119">
        <f>IF(tech_base!$T64&gt;AA$1745,"",(tech_base!$K64/tech_proj!AA188*0.086*$J$132)/(1-tech_proj!AA468))</f>
        <v>0</v>
      </c>
      <c r="AB1808" s="119">
        <f>IF(tech_base!$T64&gt;AB$1745,"",(tech_base!$K64/tech_proj!AB188*0.086*$J$132)/(1-tech_proj!AB468))</f>
        <v>0</v>
      </c>
      <c r="AC1808" s="119">
        <f>IF(tech_base!$T64&gt;AC$1745,"",(tech_base!$K64/tech_proj!AC188*0.086*$J$132)/(1-tech_proj!AC468))</f>
        <v>0</v>
      </c>
      <c r="AD1808" s="119">
        <f>IF(tech_base!$T64&gt;AD$1745,"",(tech_base!$K64/tech_proj!AD188*0.086*$J$132)/(1-tech_proj!AD468))</f>
        <v>0</v>
      </c>
      <c r="AE1808" s="119">
        <f>IF(tech_base!$T64&gt;AE$1745,"",(tech_base!$K64/tech_proj!AE188*0.086*$J$132)/(1-tech_proj!AE468))</f>
        <v>0</v>
      </c>
      <c r="AF1808" s="119">
        <f>IF(tech_base!$T64&gt;AF$1745,"",(tech_base!$K64/tech_proj!AF188*0.086*$J$132)/(1-tech_proj!AF468))</f>
        <v>0</v>
      </c>
      <c r="AG1808" s="119">
        <f>IF(tech_base!$T64&gt;AG$1745,"",(tech_base!$K64/tech_proj!AG188*0.086*$J$132)/(1-tech_proj!AG468))</f>
        <v>0</v>
      </c>
      <c r="AH1808" s="119">
        <f>IF(tech_base!$T64&gt;AH$1745,"",(tech_base!$K64/tech_proj!AH188*0.086*$J$132)/(1-tech_proj!AH468))</f>
        <v>0</v>
      </c>
      <c r="AI1808" s="119">
        <f>IF(tech_base!$T64&gt;AI$1745,"",(tech_base!$K64/tech_proj!AI188*0.086*$J$132)/(1-tech_proj!AI468))</f>
        <v>0</v>
      </c>
      <c r="AJ1808" s="119">
        <f>IF(tech_base!$T64&gt;AJ$1745,"",(tech_base!$K64/tech_proj!AJ188*0.086*$J$132)/(1-tech_proj!AJ468))</f>
        <v>0</v>
      </c>
      <c r="AK1808" s="119">
        <f>IF(tech_base!$T64&gt;AK$1745,"",(tech_base!$K64/tech_proj!AK188*0.086*$J$132)/(1-tech_proj!AK468))</f>
        <v>0</v>
      </c>
      <c r="AL1808" s="119">
        <f>IF(tech_base!$T64&gt;AL$1745,"",(tech_base!$K64/tech_proj!AL188*0.086*$J$132)/(1-tech_proj!AL468))</f>
        <v>0</v>
      </c>
      <c r="AM1808" s="119">
        <f>IF(tech_base!$T64&gt;AM$1745,"",(tech_base!$K64/tech_proj!AM188*0.086*$J$132)/(1-tech_proj!AM468))</f>
        <v>0</v>
      </c>
      <c r="AN1808" s="119">
        <f>IF(tech_base!$T64&gt;AN$1745,"",(tech_base!$K64/tech_proj!AN188*0.086*$J$132)/(1-tech_proj!AN468))</f>
        <v>0</v>
      </c>
      <c r="AO1808" s="119">
        <f>IF(tech_base!$T64&gt;AO$1745,"",(tech_base!$K64/tech_proj!AO188*0.086*$J$132)/(1-tech_proj!AO468))</f>
        <v>0</v>
      </c>
      <c r="AP1808" s="119">
        <f>IF(tech_base!$T64&gt;AP$1745,"",(tech_base!$K64/tech_proj!AP188*0.086*$J$132)/(1-tech_proj!AP468))</f>
        <v>0</v>
      </c>
      <c r="AQ1808" s="119">
        <f>IF(tech_base!$T64&gt;AQ$1745,"",(tech_base!$K64/tech_proj!AQ188*0.086*$J$132)/(1-tech_proj!AQ468))</f>
        <v>0</v>
      </c>
      <c r="AR1808" s="119">
        <f>IF(tech_base!$T64&gt;AR$1745,"",(tech_base!$K64/tech_proj!AR188*0.086*$J$132)/(1-tech_proj!AR468))</f>
        <v>0</v>
      </c>
      <c r="AS1808" s="119">
        <f>IF(tech_base!$T64&gt;AS$1745,"",(tech_base!$K64/tech_proj!AS188*0.086*$J$132)/(1-tech_proj!AS468))</f>
        <v>0</v>
      </c>
      <c r="AT1808" s="119">
        <f>IF(tech_base!$T64&gt;AT$1745,"",(tech_base!$K64/tech_proj!AT188*0.086*$J$132)/(1-tech_proj!AT468))</f>
        <v>0</v>
      </c>
      <c r="AU1808" s="119">
        <f>IF(tech_base!$T64&gt;AU$1745,"",(tech_base!$K64/tech_proj!AU188*0.086*$J$132)/(1-tech_proj!AU468))</f>
        <v>0</v>
      </c>
      <c r="AV1808" s="119">
        <f>IF(tech_base!$T64&gt;AV$1745,"",(tech_base!$K64/tech_proj!AV188*0.086*$J$132)/(1-tech_proj!AV468))</f>
        <v>0</v>
      </c>
      <c r="AW1808" s="119">
        <f>IF(tech_base!$T64&gt;AW$1745,"",(tech_base!$K64/tech_proj!AW188*0.086*$J$132)/(1-tech_proj!AW468))</f>
        <v>0</v>
      </c>
      <c r="AX1808" s="120">
        <f>IF(tech_base!$T64&gt;AX$1745,"",(tech_base!$K64/tech_proj!AX188*0.086*$J$132)/(1-tech_proj!AX468))</f>
        <v>0</v>
      </c>
    </row>
    <row r="1809" spans="1:50" x14ac:dyDescent="0.25">
      <c r="A1809" s="356"/>
      <c r="B1809" s="376"/>
      <c r="C1809" s="360"/>
      <c r="D1809" s="2" t="s">
        <v>10</v>
      </c>
      <c r="E1809" s="160" t="str">
        <f>A1791&amp;"/"&amp;B1807&amp;"/"&amp;C1807&amp;"/"&amp;D1809</f>
        <v>Lignite fired power plants/Fluidized bed combustion/Electricity only/S</v>
      </c>
      <c r="F1809" s="76" t="str">
        <f>A1791</f>
        <v>Lignite fired power plants</v>
      </c>
      <c r="G1809" s="76" t="str">
        <f>B1807</f>
        <v>Fluidized bed combustion</v>
      </c>
      <c r="H1809" s="76" t="str">
        <f>C1807</f>
        <v>Electricity only</v>
      </c>
      <c r="I1809" s="161" t="str">
        <f t="shared" si="382"/>
        <v>S</v>
      </c>
      <c r="J1809" s="119">
        <f>IF(tech_base!$T65&gt;J$1745,"",(tech_base!$K65/tech_proj!J189*0.086*$J$132)/(1-tech_proj!J469))</f>
        <v>0</v>
      </c>
      <c r="K1809" s="119">
        <f>IF(tech_base!$T65&gt;K$1745,"",(tech_base!$K65/tech_proj!K189*0.086*$J$132)/(1-tech_proj!K469))</f>
        <v>0</v>
      </c>
      <c r="L1809" s="119">
        <f>IF(tech_base!$T65&gt;L$1745,"",(tech_base!$K65/tech_proj!L189*0.086*$J$132)/(1-tech_proj!L469))</f>
        <v>0</v>
      </c>
      <c r="M1809" s="119">
        <f>IF(tech_base!$T65&gt;M$1745,"",(tech_base!$K65/tech_proj!M189*0.086*$J$132)/(1-tech_proj!M469))</f>
        <v>0</v>
      </c>
      <c r="N1809" s="119">
        <f>IF(tech_base!$T65&gt;N$1745,"",(tech_base!$K65/tech_proj!N189*0.086*$J$132)/(1-tech_proj!N469))</f>
        <v>0</v>
      </c>
      <c r="O1809" s="119">
        <f>IF(tech_base!$T65&gt;O$1745,"",(tech_base!$K65/tech_proj!O189*0.086*$J$132)/(1-tech_proj!O469))</f>
        <v>0</v>
      </c>
      <c r="P1809" s="119">
        <f>IF(tech_base!$T65&gt;P$1745,"",(tech_base!$K65/tech_proj!P189*0.086*$J$132)/(1-tech_proj!P469))</f>
        <v>0</v>
      </c>
      <c r="Q1809" s="119">
        <f>IF(tech_base!$T65&gt;Q$1745,"",(tech_base!$K65/tech_proj!Q189*0.086*$J$132)/(1-tech_proj!Q469))</f>
        <v>0</v>
      </c>
      <c r="R1809" s="119">
        <f>IF(tech_base!$T65&gt;R$1745,"",(tech_base!$K65/tech_proj!R189*0.086*$J$132)/(1-tech_proj!R469))</f>
        <v>0</v>
      </c>
      <c r="S1809" s="119">
        <f>IF(tech_base!$T65&gt;S$1745,"",(tech_base!$K65/tech_proj!S189*0.086*$J$132)/(1-tech_proj!S469))</f>
        <v>0</v>
      </c>
      <c r="T1809" s="119">
        <f>IF(tech_base!$T65&gt;T$1745,"",(tech_base!$K65/tech_proj!T189*0.086*$J$132)/(1-tech_proj!T469))</f>
        <v>0</v>
      </c>
      <c r="U1809" s="119">
        <f>IF(tech_base!$T65&gt;U$1745,"",(tech_base!$K65/tech_proj!U189*0.086*$J$132)/(1-tech_proj!U469))</f>
        <v>0</v>
      </c>
      <c r="V1809" s="119">
        <f>IF(tech_base!$T65&gt;V$1745,"",(tech_base!$K65/tech_proj!V189*0.086*$J$132)/(1-tech_proj!V469))</f>
        <v>0</v>
      </c>
      <c r="W1809" s="119">
        <f>IF(tech_base!$T65&gt;W$1745,"",(tech_base!$K65/tech_proj!W189*0.086*$J$132)/(1-tech_proj!W469))</f>
        <v>0</v>
      </c>
      <c r="X1809" s="119">
        <f>IF(tech_base!$T65&gt;X$1745,"",(tech_base!$K65/tech_proj!X189*0.086*$J$132)/(1-tech_proj!X469))</f>
        <v>0</v>
      </c>
      <c r="Y1809" s="119">
        <f>IF(tech_base!$T65&gt;Y$1745,"",(tech_base!$K65/tech_proj!Y189*0.086*$J$132)/(1-tech_proj!Y469))</f>
        <v>0</v>
      </c>
      <c r="Z1809" s="119">
        <f>IF(tech_base!$T65&gt;Z$1745,"",(tech_base!$K65/tech_proj!Z189*0.086*$J$132)/(1-tech_proj!Z469))</f>
        <v>0</v>
      </c>
      <c r="AA1809" s="119">
        <f>IF(tech_base!$T65&gt;AA$1745,"",(tech_base!$K65/tech_proj!AA189*0.086*$J$132)/(1-tech_proj!AA469))</f>
        <v>0</v>
      </c>
      <c r="AB1809" s="119">
        <f>IF(tech_base!$T65&gt;AB$1745,"",(tech_base!$K65/tech_proj!AB189*0.086*$J$132)/(1-tech_proj!AB469))</f>
        <v>0</v>
      </c>
      <c r="AC1809" s="119">
        <f>IF(tech_base!$T65&gt;AC$1745,"",(tech_base!$K65/tech_proj!AC189*0.086*$J$132)/(1-tech_proj!AC469))</f>
        <v>0</v>
      </c>
      <c r="AD1809" s="119">
        <f>IF(tech_base!$T65&gt;AD$1745,"",(tech_base!$K65/tech_proj!AD189*0.086*$J$132)/(1-tech_proj!AD469))</f>
        <v>0</v>
      </c>
      <c r="AE1809" s="119">
        <f>IF(tech_base!$T65&gt;AE$1745,"",(tech_base!$K65/tech_proj!AE189*0.086*$J$132)/(1-tech_proj!AE469))</f>
        <v>0</v>
      </c>
      <c r="AF1809" s="119">
        <f>IF(tech_base!$T65&gt;AF$1745,"",(tech_base!$K65/tech_proj!AF189*0.086*$J$132)/(1-tech_proj!AF469))</f>
        <v>0</v>
      </c>
      <c r="AG1809" s="119">
        <f>IF(tech_base!$T65&gt;AG$1745,"",(tech_base!$K65/tech_proj!AG189*0.086*$J$132)/(1-tech_proj!AG469))</f>
        <v>0</v>
      </c>
      <c r="AH1809" s="119">
        <f>IF(tech_base!$T65&gt;AH$1745,"",(tech_base!$K65/tech_proj!AH189*0.086*$J$132)/(1-tech_proj!AH469))</f>
        <v>0</v>
      </c>
      <c r="AI1809" s="119">
        <f>IF(tech_base!$T65&gt;AI$1745,"",(tech_base!$K65/tech_proj!AI189*0.086*$J$132)/(1-tech_proj!AI469))</f>
        <v>0</v>
      </c>
      <c r="AJ1809" s="119">
        <f>IF(tech_base!$T65&gt;AJ$1745,"",(tech_base!$K65/tech_proj!AJ189*0.086*$J$132)/(1-tech_proj!AJ469))</f>
        <v>0</v>
      </c>
      <c r="AK1809" s="119">
        <f>IF(tech_base!$T65&gt;AK$1745,"",(tech_base!$K65/tech_proj!AK189*0.086*$J$132)/(1-tech_proj!AK469))</f>
        <v>0</v>
      </c>
      <c r="AL1809" s="119">
        <f>IF(tech_base!$T65&gt;AL$1745,"",(tech_base!$K65/tech_proj!AL189*0.086*$J$132)/(1-tech_proj!AL469))</f>
        <v>0</v>
      </c>
      <c r="AM1809" s="119">
        <f>IF(tech_base!$T65&gt;AM$1745,"",(tech_base!$K65/tech_proj!AM189*0.086*$J$132)/(1-tech_proj!AM469))</f>
        <v>0</v>
      </c>
      <c r="AN1809" s="119">
        <f>IF(tech_base!$T65&gt;AN$1745,"",(tech_base!$K65/tech_proj!AN189*0.086*$J$132)/(1-tech_proj!AN469))</f>
        <v>0</v>
      </c>
      <c r="AO1809" s="119">
        <f>IF(tech_base!$T65&gt;AO$1745,"",(tech_base!$K65/tech_proj!AO189*0.086*$J$132)/(1-tech_proj!AO469))</f>
        <v>0</v>
      </c>
      <c r="AP1809" s="119">
        <f>IF(tech_base!$T65&gt;AP$1745,"",(tech_base!$K65/tech_proj!AP189*0.086*$J$132)/(1-tech_proj!AP469))</f>
        <v>0</v>
      </c>
      <c r="AQ1809" s="119">
        <f>IF(tech_base!$T65&gt;AQ$1745,"",(tech_base!$K65/tech_proj!AQ189*0.086*$J$132)/(1-tech_proj!AQ469))</f>
        <v>0</v>
      </c>
      <c r="AR1809" s="119">
        <f>IF(tech_base!$T65&gt;AR$1745,"",(tech_base!$K65/tech_proj!AR189*0.086*$J$132)/(1-tech_proj!AR469))</f>
        <v>0</v>
      </c>
      <c r="AS1809" s="119">
        <f>IF(tech_base!$T65&gt;AS$1745,"",(tech_base!$K65/tech_proj!AS189*0.086*$J$132)/(1-tech_proj!AS469))</f>
        <v>0</v>
      </c>
      <c r="AT1809" s="119">
        <f>IF(tech_base!$T65&gt;AT$1745,"",(tech_base!$K65/tech_proj!AT189*0.086*$J$132)/(1-tech_proj!AT469))</f>
        <v>0</v>
      </c>
      <c r="AU1809" s="119">
        <f>IF(tech_base!$T65&gt;AU$1745,"",(tech_base!$K65/tech_proj!AU189*0.086*$J$132)/(1-tech_proj!AU469))</f>
        <v>0</v>
      </c>
      <c r="AV1809" s="119">
        <f>IF(tech_base!$T65&gt;AV$1745,"",(tech_base!$K65/tech_proj!AV189*0.086*$J$132)/(1-tech_proj!AV469))</f>
        <v>0</v>
      </c>
      <c r="AW1809" s="119">
        <f>IF(tech_base!$T65&gt;AW$1745,"",(tech_base!$K65/tech_proj!AW189*0.086*$J$132)/(1-tech_proj!AW469))</f>
        <v>0</v>
      </c>
      <c r="AX1809" s="120">
        <f>IF(tech_base!$T65&gt;AX$1745,"",(tech_base!$K65/tech_proj!AX189*0.086*$J$132)/(1-tech_proj!AX469))</f>
        <v>0</v>
      </c>
    </row>
    <row r="1810" spans="1:50" x14ac:dyDescent="0.25">
      <c r="A1810" s="356"/>
      <c r="B1810" s="376"/>
      <c r="C1810" s="361" t="s">
        <v>14</v>
      </c>
      <c r="D1810" s="58" t="s">
        <v>7</v>
      </c>
      <c r="E1810" s="164" t="str">
        <f>A1791&amp;"/"&amp;B1807&amp;"/"&amp;C1810&amp;"/"&amp;D1810</f>
        <v>Lignite fired power plants/Fluidized bed combustion/CHP/L</v>
      </c>
      <c r="F1810" s="78" t="str">
        <f>A1791</f>
        <v>Lignite fired power plants</v>
      </c>
      <c r="G1810" s="78" t="str">
        <f>B1807</f>
        <v>Fluidized bed combustion</v>
      </c>
      <c r="H1810" s="78" t="str">
        <f>C1810</f>
        <v>CHP</v>
      </c>
      <c r="I1810" s="165" t="str">
        <f t="shared" si="382"/>
        <v>L</v>
      </c>
      <c r="J1810" s="123">
        <f>IF(tech_base!$T66&gt;J$1745,"",(tech_base!$K66/tech_proj!J190*0.086*$J$132)/(1-tech_proj!J470))</f>
        <v>0</v>
      </c>
      <c r="K1810" s="123">
        <f>IF(tech_base!$T66&gt;K$1745,"",(tech_base!$K66/tech_proj!K190*0.086*$J$132)/(1-tech_proj!K470))</f>
        <v>0</v>
      </c>
      <c r="L1810" s="123">
        <f>IF(tech_base!$T66&gt;L$1745,"",(tech_base!$K66/tech_proj!L190*0.086*$J$132)/(1-tech_proj!L470))</f>
        <v>0</v>
      </c>
      <c r="M1810" s="123">
        <f>IF(tech_base!$T66&gt;M$1745,"",(tech_base!$K66/tech_proj!M190*0.086*$J$132)/(1-tech_proj!M470))</f>
        <v>0</v>
      </c>
      <c r="N1810" s="123">
        <f>IF(tech_base!$T66&gt;N$1745,"",(tech_base!$K66/tech_proj!N190*0.086*$J$132)/(1-tech_proj!N470))</f>
        <v>0</v>
      </c>
      <c r="O1810" s="123">
        <f>IF(tech_base!$T66&gt;O$1745,"",(tech_base!$K66/tech_proj!O190*0.086*$J$132)/(1-tech_proj!O470))</f>
        <v>0</v>
      </c>
      <c r="P1810" s="123">
        <f>IF(tech_base!$T66&gt;P$1745,"",(tech_base!$K66/tech_proj!P190*0.086*$J$132)/(1-tech_proj!P470))</f>
        <v>0</v>
      </c>
      <c r="Q1810" s="123">
        <f>IF(tech_base!$T66&gt;Q$1745,"",(tech_base!$K66/tech_proj!Q190*0.086*$J$132)/(1-tech_proj!Q470))</f>
        <v>0</v>
      </c>
      <c r="R1810" s="123">
        <f>IF(tech_base!$T66&gt;R$1745,"",(tech_base!$K66/tech_proj!R190*0.086*$J$132)/(1-tech_proj!R470))</f>
        <v>0</v>
      </c>
      <c r="S1810" s="123">
        <f>IF(tech_base!$T66&gt;S$1745,"",(tech_base!$K66/tech_proj!S190*0.086*$J$132)/(1-tech_proj!S470))</f>
        <v>0</v>
      </c>
      <c r="T1810" s="123">
        <f>IF(tech_base!$T66&gt;T$1745,"",(tech_base!$K66/tech_proj!T190*0.086*$J$132)/(1-tech_proj!T470))</f>
        <v>0</v>
      </c>
      <c r="U1810" s="123">
        <f>IF(tech_base!$T66&gt;U$1745,"",(tech_base!$K66/tech_proj!U190*0.086*$J$132)/(1-tech_proj!U470))</f>
        <v>0</v>
      </c>
      <c r="V1810" s="123">
        <f>IF(tech_base!$T66&gt;V$1745,"",(tech_base!$K66/tech_proj!V190*0.086*$J$132)/(1-tech_proj!V470))</f>
        <v>0</v>
      </c>
      <c r="W1810" s="123">
        <f>IF(tech_base!$T66&gt;W$1745,"",(tech_base!$K66/tech_proj!W190*0.086*$J$132)/(1-tech_proj!W470))</f>
        <v>0</v>
      </c>
      <c r="X1810" s="123">
        <f>IF(tech_base!$T66&gt;X$1745,"",(tech_base!$K66/tech_proj!X190*0.086*$J$132)/(1-tech_proj!X470))</f>
        <v>0</v>
      </c>
      <c r="Y1810" s="123">
        <f>IF(tech_base!$T66&gt;Y$1745,"",(tech_base!$K66/tech_proj!Y190*0.086*$J$132)/(1-tech_proj!Y470))</f>
        <v>0</v>
      </c>
      <c r="Z1810" s="123">
        <f>IF(tech_base!$T66&gt;Z$1745,"",(tech_base!$K66/tech_proj!Z190*0.086*$J$132)/(1-tech_proj!Z470))</f>
        <v>0</v>
      </c>
      <c r="AA1810" s="123">
        <f>IF(tech_base!$T66&gt;AA$1745,"",(tech_base!$K66/tech_proj!AA190*0.086*$J$132)/(1-tech_proj!AA470))</f>
        <v>0</v>
      </c>
      <c r="AB1810" s="123">
        <f>IF(tech_base!$T66&gt;AB$1745,"",(tech_base!$K66/tech_proj!AB190*0.086*$J$132)/(1-tech_proj!AB470))</f>
        <v>0</v>
      </c>
      <c r="AC1810" s="123">
        <f>IF(tech_base!$T66&gt;AC$1745,"",(tech_base!$K66/tech_proj!AC190*0.086*$J$132)/(1-tech_proj!AC470))</f>
        <v>0</v>
      </c>
      <c r="AD1810" s="123">
        <f>IF(tech_base!$T66&gt;AD$1745,"",(tech_base!$K66/tech_proj!AD190*0.086*$J$132)/(1-tech_proj!AD470))</f>
        <v>0</v>
      </c>
      <c r="AE1810" s="123">
        <f>IF(tech_base!$T66&gt;AE$1745,"",(tech_base!$K66/tech_proj!AE190*0.086*$J$132)/(1-tech_proj!AE470))</f>
        <v>0</v>
      </c>
      <c r="AF1810" s="123">
        <f>IF(tech_base!$T66&gt;AF$1745,"",(tech_base!$K66/tech_proj!AF190*0.086*$J$132)/(1-tech_proj!AF470))</f>
        <v>0</v>
      </c>
      <c r="AG1810" s="123">
        <f>IF(tech_base!$T66&gt;AG$1745,"",(tech_base!$K66/tech_proj!AG190*0.086*$J$132)/(1-tech_proj!AG470))</f>
        <v>0</v>
      </c>
      <c r="AH1810" s="123">
        <f>IF(tech_base!$T66&gt;AH$1745,"",(tech_base!$K66/tech_proj!AH190*0.086*$J$132)/(1-tech_proj!AH470))</f>
        <v>0</v>
      </c>
      <c r="AI1810" s="123">
        <f>IF(tech_base!$T66&gt;AI$1745,"",(tech_base!$K66/tech_proj!AI190*0.086*$J$132)/(1-tech_proj!AI470))</f>
        <v>0</v>
      </c>
      <c r="AJ1810" s="123">
        <f>IF(tech_base!$T66&gt;AJ$1745,"",(tech_base!$K66/tech_proj!AJ190*0.086*$J$132)/(1-tech_proj!AJ470))</f>
        <v>0</v>
      </c>
      <c r="AK1810" s="123">
        <f>IF(tech_base!$T66&gt;AK$1745,"",(tech_base!$K66/tech_proj!AK190*0.086*$J$132)/(1-tech_proj!AK470))</f>
        <v>0</v>
      </c>
      <c r="AL1810" s="123">
        <f>IF(tech_base!$T66&gt;AL$1745,"",(tech_base!$K66/tech_proj!AL190*0.086*$J$132)/(1-tech_proj!AL470))</f>
        <v>0</v>
      </c>
      <c r="AM1810" s="123">
        <f>IF(tech_base!$T66&gt;AM$1745,"",(tech_base!$K66/tech_proj!AM190*0.086*$J$132)/(1-tech_proj!AM470))</f>
        <v>0</v>
      </c>
      <c r="AN1810" s="123">
        <f>IF(tech_base!$T66&gt;AN$1745,"",(tech_base!$K66/tech_proj!AN190*0.086*$J$132)/(1-tech_proj!AN470))</f>
        <v>0</v>
      </c>
      <c r="AO1810" s="123">
        <f>IF(tech_base!$T66&gt;AO$1745,"",(tech_base!$K66/tech_proj!AO190*0.086*$J$132)/(1-tech_proj!AO470))</f>
        <v>0</v>
      </c>
      <c r="AP1810" s="123">
        <f>IF(tech_base!$T66&gt;AP$1745,"",(tech_base!$K66/tech_proj!AP190*0.086*$J$132)/(1-tech_proj!AP470))</f>
        <v>0</v>
      </c>
      <c r="AQ1810" s="123">
        <f>IF(tech_base!$T66&gt;AQ$1745,"",(tech_base!$K66/tech_proj!AQ190*0.086*$J$132)/(1-tech_proj!AQ470))</f>
        <v>0</v>
      </c>
      <c r="AR1810" s="123">
        <f>IF(tech_base!$T66&gt;AR$1745,"",(tech_base!$K66/tech_proj!AR190*0.086*$J$132)/(1-tech_proj!AR470))</f>
        <v>0</v>
      </c>
      <c r="AS1810" s="123">
        <f>IF(tech_base!$T66&gt;AS$1745,"",(tech_base!$K66/tech_proj!AS190*0.086*$J$132)/(1-tech_proj!AS470))</f>
        <v>0</v>
      </c>
      <c r="AT1810" s="123">
        <f>IF(tech_base!$T66&gt;AT$1745,"",(tech_base!$K66/tech_proj!AT190*0.086*$J$132)/(1-tech_proj!AT470))</f>
        <v>0</v>
      </c>
      <c r="AU1810" s="123">
        <f>IF(tech_base!$T66&gt;AU$1745,"",(tech_base!$K66/tech_proj!AU190*0.086*$J$132)/(1-tech_proj!AU470))</f>
        <v>0</v>
      </c>
      <c r="AV1810" s="123">
        <f>IF(tech_base!$T66&gt;AV$1745,"",(tech_base!$K66/tech_proj!AV190*0.086*$J$132)/(1-tech_proj!AV470))</f>
        <v>0</v>
      </c>
      <c r="AW1810" s="123">
        <f>IF(tech_base!$T66&gt;AW$1745,"",(tech_base!$K66/tech_proj!AW190*0.086*$J$132)/(1-tech_proj!AW470))</f>
        <v>0</v>
      </c>
      <c r="AX1810" s="124">
        <f>IF(tech_base!$T66&gt;AX$1745,"",(tech_base!$K66/tech_proj!AX190*0.086*$J$132)/(1-tech_proj!AX470))</f>
        <v>0</v>
      </c>
    </row>
    <row r="1811" spans="1:50" x14ac:dyDescent="0.25">
      <c r="A1811" s="356"/>
      <c r="B1811" s="376"/>
      <c r="C1811" s="378"/>
      <c r="D1811" s="2" t="s">
        <v>8</v>
      </c>
      <c r="E1811" s="160" t="str">
        <f>A1791&amp;"/"&amp;B1807&amp;"/"&amp;C1810&amp;"/"&amp;D1811</f>
        <v>Lignite fired power plants/Fluidized bed combustion/CHP/M</v>
      </c>
      <c r="F1811" s="76" t="str">
        <f>A1791</f>
        <v>Lignite fired power plants</v>
      </c>
      <c r="G1811" s="76" t="str">
        <f>B1807</f>
        <v>Fluidized bed combustion</v>
      </c>
      <c r="H1811" s="76" t="str">
        <f>C1810</f>
        <v>CHP</v>
      </c>
      <c r="I1811" s="161" t="str">
        <f t="shared" ref="I1811:I1874" si="383">D1811</f>
        <v>M</v>
      </c>
      <c r="J1811" s="119">
        <f>IF(tech_base!$T67&gt;J$1745,"",(tech_base!$K67/tech_proj!J191*0.086*$J$132)/(1-tech_proj!J471))</f>
        <v>0</v>
      </c>
      <c r="K1811" s="119">
        <f>IF(tech_base!$T67&gt;K$1745,"",(tech_base!$K67/tech_proj!K191*0.086*$J$132)/(1-tech_proj!K471))</f>
        <v>0</v>
      </c>
      <c r="L1811" s="119">
        <f>IF(tech_base!$T67&gt;L$1745,"",(tech_base!$K67/tech_proj!L191*0.086*$J$132)/(1-tech_proj!L471))</f>
        <v>0</v>
      </c>
      <c r="M1811" s="119">
        <f>IF(tech_base!$T67&gt;M$1745,"",(tech_base!$K67/tech_proj!M191*0.086*$J$132)/(1-tech_proj!M471))</f>
        <v>0</v>
      </c>
      <c r="N1811" s="119">
        <f>IF(tech_base!$T67&gt;N$1745,"",(tech_base!$K67/tech_proj!N191*0.086*$J$132)/(1-tech_proj!N471))</f>
        <v>0</v>
      </c>
      <c r="O1811" s="119">
        <f>IF(tech_base!$T67&gt;O$1745,"",(tech_base!$K67/tech_proj!O191*0.086*$J$132)/(1-tech_proj!O471))</f>
        <v>0</v>
      </c>
      <c r="P1811" s="119">
        <f>IF(tech_base!$T67&gt;P$1745,"",(tech_base!$K67/tech_proj!P191*0.086*$J$132)/(1-tech_proj!P471))</f>
        <v>0</v>
      </c>
      <c r="Q1811" s="119">
        <f>IF(tech_base!$T67&gt;Q$1745,"",(tech_base!$K67/tech_proj!Q191*0.086*$J$132)/(1-tech_proj!Q471))</f>
        <v>0</v>
      </c>
      <c r="R1811" s="119">
        <f>IF(tech_base!$T67&gt;R$1745,"",(tech_base!$K67/tech_proj!R191*0.086*$J$132)/(1-tech_proj!R471))</f>
        <v>0</v>
      </c>
      <c r="S1811" s="119">
        <f>IF(tech_base!$T67&gt;S$1745,"",(tech_base!$K67/tech_proj!S191*0.086*$J$132)/(1-tech_proj!S471))</f>
        <v>0</v>
      </c>
      <c r="T1811" s="119">
        <f>IF(tech_base!$T67&gt;T$1745,"",(tech_base!$K67/tech_proj!T191*0.086*$J$132)/(1-tech_proj!T471))</f>
        <v>0</v>
      </c>
      <c r="U1811" s="119">
        <f>IF(tech_base!$T67&gt;U$1745,"",(tech_base!$K67/tech_proj!U191*0.086*$J$132)/(1-tech_proj!U471))</f>
        <v>0</v>
      </c>
      <c r="V1811" s="119">
        <f>IF(tech_base!$T67&gt;V$1745,"",(tech_base!$K67/tech_proj!V191*0.086*$J$132)/(1-tech_proj!V471))</f>
        <v>0</v>
      </c>
      <c r="W1811" s="119">
        <f>IF(tech_base!$T67&gt;W$1745,"",(tech_base!$K67/tech_proj!W191*0.086*$J$132)/(1-tech_proj!W471))</f>
        <v>0</v>
      </c>
      <c r="X1811" s="119">
        <f>IF(tech_base!$T67&gt;X$1745,"",(tech_base!$K67/tech_proj!X191*0.086*$J$132)/(1-tech_proj!X471))</f>
        <v>0</v>
      </c>
      <c r="Y1811" s="119">
        <f>IF(tech_base!$T67&gt;Y$1745,"",(tech_base!$K67/tech_proj!Y191*0.086*$J$132)/(1-tech_proj!Y471))</f>
        <v>0</v>
      </c>
      <c r="Z1811" s="119">
        <f>IF(tech_base!$T67&gt;Z$1745,"",(tech_base!$K67/tech_proj!Z191*0.086*$J$132)/(1-tech_proj!Z471))</f>
        <v>0</v>
      </c>
      <c r="AA1811" s="119">
        <f>IF(tech_base!$T67&gt;AA$1745,"",(tech_base!$K67/tech_proj!AA191*0.086*$J$132)/(1-tech_proj!AA471))</f>
        <v>0</v>
      </c>
      <c r="AB1811" s="119">
        <f>IF(tech_base!$T67&gt;AB$1745,"",(tech_base!$K67/tech_proj!AB191*0.086*$J$132)/(1-tech_proj!AB471))</f>
        <v>0</v>
      </c>
      <c r="AC1811" s="119">
        <f>IF(tech_base!$T67&gt;AC$1745,"",(tech_base!$K67/tech_proj!AC191*0.086*$J$132)/(1-tech_proj!AC471))</f>
        <v>0</v>
      </c>
      <c r="AD1811" s="119">
        <f>IF(tech_base!$T67&gt;AD$1745,"",(tech_base!$K67/tech_proj!AD191*0.086*$J$132)/(1-tech_proj!AD471))</f>
        <v>0</v>
      </c>
      <c r="AE1811" s="119">
        <f>IF(tech_base!$T67&gt;AE$1745,"",(tech_base!$K67/tech_proj!AE191*0.086*$J$132)/(1-tech_proj!AE471))</f>
        <v>0</v>
      </c>
      <c r="AF1811" s="119">
        <f>IF(tech_base!$T67&gt;AF$1745,"",(tech_base!$K67/tech_proj!AF191*0.086*$J$132)/(1-tech_proj!AF471))</f>
        <v>0</v>
      </c>
      <c r="AG1811" s="119">
        <f>IF(tech_base!$T67&gt;AG$1745,"",(tech_base!$K67/tech_proj!AG191*0.086*$J$132)/(1-tech_proj!AG471))</f>
        <v>0</v>
      </c>
      <c r="AH1811" s="119">
        <f>IF(tech_base!$T67&gt;AH$1745,"",(tech_base!$K67/tech_proj!AH191*0.086*$J$132)/(1-tech_proj!AH471))</f>
        <v>0</v>
      </c>
      <c r="AI1811" s="119">
        <f>IF(tech_base!$T67&gt;AI$1745,"",(tech_base!$K67/tech_proj!AI191*0.086*$J$132)/(1-tech_proj!AI471))</f>
        <v>0</v>
      </c>
      <c r="AJ1811" s="119">
        <f>IF(tech_base!$T67&gt;AJ$1745,"",(tech_base!$K67/tech_proj!AJ191*0.086*$J$132)/(1-tech_proj!AJ471))</f>
        <v>0</v>
      </c>
      <c r="AK1811" s="119">
        <f>IF(tech_base!$T67&gt;AK$1745,"",(tech_base!$K67/tech_proj!AK191*0.086*$J$132)/(1-tech_proj!AK471))</f>
        <v>0</v>
      </c>
      <c r="AL1811" s="119">
        <f>IF(tech_base!$T67&gt;AL$1745,"",(tech_base!$K67/tech_proj!AL191*0.086*$J$132)/(1-tech_proj!AL471))</f>
        <v>0</v>
      </c>
      <c r="AM1811" s="119">
        <f>IF(tech_base!$T67&gt;AM$1745,"",(tech_base!$K67/tech_proj!AM191*0.086*$J$132)/(1-tech_proj!AM471))</f>
        <v>0</v>
      </c>
      <c r="AN1811" s="119">
        <f>IF(tech_base!$T67&gt;AN$1745,"",(tech_base!$K67/tech_proj!AN191*0.086*$J$132)/(1-tech_proj!AN471))</f>
        <v>0</v>
      </c>
      <c r="AO1811" s="119">
        <f>IF(tech_base!$T67&gt;AO$1745,"",(tech_base!$K67/tech_proj!AO191*0.086*$J$132)/(1-tech_proj!AO471))</f>
        <v>0</v>
      </c>
      <c r="AP1811" s="119">
        <f>IF(tech_base!$T67&gt;AP$1745,"",(tech_base!$K67/tech_proj!AP191*0.086*$J$132)/(1-tech_proj!AP471))</f>
        <v>0</v>
      </c>
      <c r="AQ1811" s="119">
        <f>IF(tech_base!$T67&gt;AQ$1745,"",(tech_base!$K67/tech_proj!AQ191*0.086*$J$132)/(1-tech_proj!AQ471))</f>
        <v>0</v>
      </c>
      <c r="AR1811" s="119">
        <f>IF(tech_base!$T67&gt;AR$1745,"",(tech_base!$K67/tech_proj!AR191*0.086*$J$132)/(1-tech_proj!AR471))</f>
        <v>0</v>
      </c>
      <c r="AS1811" s="119">
        <f>IF(tech_base!$T67&gt;AS$1745,"",(tech_base!$K67/tech_proj!AS191*0.086*$J$132)/(1-tech_proj!AS471))</f>
        <v>0</v>
      </c>
      <c r="AT1811" s="119">
        <f>IF(tech_base!$T67&gt;AT$1745,"",(tech_base!$K67/tech_proj!AT191*0.086*$J$132)/(1-tech_proj!AT471))</f>
        <v>0</v>
      </c>
      <c r="AU1811" s="119">
        <f>IF(tech_base!$T67&gt;AU$1745,"",(tech_base!$K67/tech_proj!AU191*0.086*$J$132)/(1-tech_proj!AU471))</f>
        <v>0</v>
      </c>
      <c r="AV1811" s="119">
        <f>IF(tech_base!$T67&gt;AV$1745,"",(tech_base!$K67/tech_proj!AV191*0.086*$J$132)/(1-tech_proj!AV471))</f>
        <v>0</v>
      </c>
      <c r="AW1811" s="119">
        <f>IF(tech_base!$T67&gt;AW$1745,"",(tech_base!$K67/tech_proj!AW191*0.086*$J$132)/(1-tech_proj!AW471))</f>
        <v>0</v>
      </c>
      <c r="AX1811" s="120">
        <f>IF(tech_base!$T67&gt;AX$1745,"",(tech_base!$K67/tech_proj!AX191*0.086*$J$132)/(1-tech_proj!AX471))</f>
        <v>0</v>
      </c>
    </row>
    <row r="1812" spans="1:50" x14ac:dyDescent="0.25">
      <c r="A1812" s="356"/>
      <c r="B1812" s="376"/>
      <c r="C1812" s="379"/>
      <c r="D1812" s="59" t="s">
        <v>10</v>
      </c>
      <c r="E1812" s="166" t="str">
        <f>A1791&amp;"/"&amp;B1807&amp;"/"&amp;C1810&amp;"/"&amp;D1812</f>
        <v>Lignite fired power plants/Fluidized bed combustion/CHP/S</v>
      </c>
      <c r="F1812" s="79" t="str">
        <f>A1791</f>
        <v>Lignite fired power plants</v>
      </c>
      <c r="G1812" s="79" t="str">
        <f>B1807</f>
        <v>Fluidized bed combustion</v>
      </c>
      <c r="H1812" s="79" t="str">
        <f>C1810</f>
        <v>CHP</v>
      </c>
      <c r="I1812" s="167" t="str">
        <f t="shared" si="383"/>
        <v>S</v>
      </c>
      <c r="J1812" s="125">
        <f>IF(tech_base!$T68&gt;J$1745,"",(tech_base!$K68/tech_proj!J192*0.086*$J$132)/(1-tech_proj!J472))</f>
        <v>0</v>
      </c>
      <c r="K1812" s="125">
        <f>IF(tech_base!$T68&gt;K$1745,"",(tech_base!$K68/tech_proj!K192*0.086*$J$132)/(1-tech_proj!K472))</f>
        <v>0</v>
      </c>
      <c r="L1812" s="125">
        <f>IF(tech_base!$T68&gt;L$1745,"",(tech_base!$K68/tech_proj!L192*0.086*$J$132)/(1-tech_proj!L472))</f>
        <v>0</v>
      </c>
      <c r="M1812" s="125">
        <f>IF(tech_base!$T68&gt;M$1745,"",(tech_base!$K68/tech_proj!M192*0.086*$J$132)/(1-tech_proj!M472))</f>
        <v>0</v>
      </c>
      <c r="N1812" s="125">
        <f>IF(tech_base!$T68&gt;N$1745,"",(tech_base!$K68/tech_proj!N192*0.086*$J$132)/(1-tech_proj!N472))</f>
        <v>0</v>
      </c>
      <c r="O1812" s="125">
        <f>IF(tech_base!$T68&gt;O$1745,"",(tech_base!$K68/tech_proj!O192*0.086*$J$132)/(1-tech_proj!O472))</f>
        <v>0</v>
      </c>
      <c r="P1812" s="125">
        <f>IF(tech_base!$T68&gt;P$1745,"",(tech_base!$K68/tech_proj!P192*0.086*$J$132)/(1-tech_proj!P472))</f>
        <v>0</v>
      </c>
      <c r="Q1812" s="125">
        <f>IF(tech_base!$T68&gt;Q$1745,"",(tech_base!$K68/tech_proj!Q192*0.086*$J$132)/(1-tech_proj!Q472))</f>
        <v>0</v>
      </c>
      <c r="R1812" s="125">
        <f>IF(tech_base!$T68&gt;R$1745,"",(tech_base!$K68/tech_proj!R192*0.086*$J$132)/(1-tech_proj!R472))</f>
        <v>0</v>
      </c>
      <c r="S1812" s="125">
        <f>IF(tech_base!$T68&gt;S$1745,"",(tech_base!$K68/tech_proj!S192*0.086*$J$132)/(1-tech_proj!S472))</f>
        <v>0</v>
      </c>
      <c r="T1812" s="125">
        <f>IF(tech_base!$T68&gt;T$1745,"",(tech_base!$K68/tech_proj!T192*0.086*$J$132)/(1-tech_proj!T472))</f>
        <v>0</v>
      </c>
      <c r="U1812" s="125">
        <f>IF(tech_base!$T68&gt;U$1745,"",(tech_base!$K68/tech_proj!U192*0.086*$J$132)/(1-tech_proj!U472))</f>
        <v>0</v>
      </c>
      <c r="V1812" s="125">
        <f>IF(tech_base!$T68&gt;V$1745,"",(tech_base!$K68/tech_proj!V192*0.086*$J$132)/(1-tech_proj!V472))</f>
        <v>0</v>
      </c>
      <c r="W1812" s="125">
        <f>IF(tech_base!$T68&gt;W$1745,"",(tech_base!$K68/tech_proj!W192*0.086*$J$132)/(1-tech_proj!W472))</f>
        <v>0</v>
      </c>
      <c r="X1812" s="125">
        <f>IF(tech_base!$T68&gt;X$1745,"",(tech_base!$K68/tech_proj!X192*0.086*$J$132)/(1-tech_proj!X472))</f>
        <v>0</v>
      </c>
      <c r="Y1812" s="125">
        <f>IF(tech_base!$T68&gt;Y$1745,"",(tech_base!$K68/tech_proj!Y192*0.086*$J$132)/(1-tech_proj!Y472))</f>
        <v>0</v>
      </c>
      <c r="Z1812" s="125">
        <f>IF(tech_base!$T68&gt;Z$1745,"",(tech_base!$K68/tech_proj!Z192*0.086*$J$132)/(1-tech_proj!Z472))</f>
        <v>0</v>
      </c>
      <c r="AA1812" s="125">
        <f>IF(tech_base!$T68&gt;AA$1745,"",(tech_base!$K68/tech_proj!AA192*0.086*$J$132)/(1-tech_proj!AA472))</f>
        <v>0</v>
      </c>
      <c r="AB1812" s="125">
        <f>IF(tech_base!$T68&gt;AB$1745,"",(tech_base!$K68/tech_proj!AB192*0.086*$J$132)/(1-tech_proj!AB472))</f>
        <v>0</v>
      </c>
      <c r="AC1812" s="125">
        <f>IF(tech_base!$T68&gt;AC$1745,"",(tech_base!$K68/tech_proj!AC192*0.086*$J$132)/(1-tech_proj!AC472))</f>
        <v>0</v>
      </c>
      <c r="AD1812" s="125">
        <f>IF(tech_base!$T68&gt;AD$1745,"",(tech_base!$K68/tech_proj!AD192*0.086*$J$132)/(1-tech_proj!AD472))</f>
        <v>0</v>
      </c>
      <c r="AE1812" s="125">
        <f>IF(tech_base!$T68&gt;AE$1745,"",(tech_base!$K68/tech_proj!AE192*0.086*$J$132)/(1-tech_proj!AE472))</f>
        <v>0</v>
      </c>
      <c r="AF1812" s="125">
        <f>IF(tech_base!$T68&gt;AF$1745,"",(tech_base!$K68/tech_proj!AF192*0.086*$J$132)/(1-tech_proj!AF472))</f>
        <v>0</v>
      </c>
      <c r="AG1812" s="125">
        <f>IF(tech_base!$T68&gt;AG$1745,"",(tech_base!$K68/tech_proj!AG192*0.086*$J$132)/(1-tech_proj!AG472))</f>
        <v>0</v>
      </c>
      <c r="AH1812" s="125">
        <f>IF(tech_base!$T68&gt;AH$1745,"",(tech_base!$K68/tech_proj!AH192*0.086*$J$132)/(1-tech_proj!AH472))</f>
        <v>0</v>
      </c>
      <c r="AI1812" s="125">
        <f>IF(tech_base!$T68&gt;AI$1745,"",(tech_base!$K68/tech_proj!AI192*0.086*$J$132)/(1-tech_proj!AI472))</f>
        <v>0</v>
      </c>
      <c r="AJ1812" s="125">
        <f>IF(tech_base!$T68&gt;AJ$1745,"",(tech_base!$K68/tech_proj!AJ192*0.086*$J$132)/(1-tech_proj!AJ472))</f>
        <v>0</v>
      </c>
      <c r="AK1812" s="125">
        <f>IF(tech_base!$T68&gt;AK$1745,"",(tech_base!$K68/tech_proj!AK192*0.086*$J$132)/(1-tech_proj!AK472))</f>
        <v>0</v>
      </c>
      <c r="AL1812" s="125">
        <f>IF(tech_base!$T68&gt;AL$1745,"",(tech_base!$K68/tech_proj!AL192*0.086*$J$132)/(1-tech_proj!AL472))</f>
        <v>0</v>
      </c>
      <c r="AM1812" s="125">
        <f>IF(tech_base!$T68&gt;AM$1745,"",(tech_base!$K68/tech_proj!AM192*0.086*$J$132)/(1-tech_proj!AM472))</f>
        <v>0</v>
      </c>
      <c r="AN1812" s="125">
        <f>IF(tech_base!$T68&gt;AN$1745,"",(tech_base!$K68/tech_proj!AN192*0.086*$J$132)/(1-tech_proj!AN472))</f>
        <v>0</v>
      </c>
      <c r="AO1812" s="125">
        <f>IF(tech_base!$T68&gt;AO$1745,"",(tech_base!$K68/tech_proj!AO192*0.086*$J$132)/(1-tech_proj!AO472))</f>
        <v>0</v>
      </c>
      <c r="AP1812" s="125">
        <f>IF(tech_base!$T68&gt;AP$1745,"",(tech_base!$K68/tech_proj!AP192*0.086*$J$132)/(1-tech_proj!AP472))</f>
        <v>0</v>
      </c>
      <c r="AQ1812" s="125">
        <f>IF(tech_base!$T68&gt;AQ$1745,"",(tech_base!$K68/tech_proj!AQ192*0.086*$J$132)/(1-tech_proj!AQ472))</f>
        <v>0</v>
      </c>
      <c r="AR1812" s="125">
        <f>IF(tech_base!$T68&gt;AR$1745,"",(tech_base!$K68/tech_proj!AR192*0.086*$J$132)/(1-tech_proj!AR472))</f>
        <v>0</v>
      </c>
      <c r="AS1812" s="125">
        <f>IF(tech_base!$T68&gt;AS$1745,"",(tech_base!$K68/tech_proj!AS192*0.086*$J$132)/(1-tech_proj!AS472))</f>
        <v>0</v>
      </c>
      <c r="AT1812" s="125">
        <f>IF(tech_base!$T68&gt;AT$1745,"",(tech_base!$K68/tech_proj!AT192*0.086*$J$132)/(1-tech_proj!AT472))</f>
        <v>0</v>
      </c>
      <c r="AU1812" s="125">
        <f>IF(tech_base!$T68&gt;AU$1745,"",(tech_base!$K68/tech_proj!AU192*0.086*$J$132)/(1-tech_proj!AU472))</f>
        <v>0</v>
      </c>
      <c r="AV1812" s="125">
        <f>IF(tech_base!$T68&gt;AV$1745,"",(tech_base!$K68/tech_proj!AV192*0.086*$J$132)/(1-tech_proj!AV472))</f>
        <v>0</v>
      </c>
      <c r="AW1812" s="125">
        <f>IF(tech_base!$T68&gt;AW$1745,"",(tech_base!$K68/tech_proj!AW192*0.086*$J$132)/(1-tech_proj!AW472))</f>
        <v>0</v>
      </c>
      <c r="AX1812" s="126">
        <f>IF(tech_base!$T68&gt;AX$1745,"",(tech_base!$K68/tech_proj!AX192*0.086*$J$132)/(1-tech_proj!AX472))</f>
        <v>0</v>
      </c>
    </row>
    <row r="1813" spans="1:50" x14ac:dyDescent="0.25">
      <c r="A1813" s="356"/>
      <c r="B1813" s="376"/>
      <c r="C1813" s="361" t="s">
        <v>15</v>
      </c>
      <c r="D1813" s="58" t="s">
        <v>7</v>
      </c>
      <c r="E1813" s="164" t="str">
        <f>A1791&amp;"/"&amp;B1807&amp;"/"&amp;C1813&amp;"/"&amp;D1813</f>
        <v>Lignite fired power plants/Fluidized bed combustion/Electricity only with CCS/L</v>
      </c>
      <c r="F1813" s="78" t="str">
        <f>A1791</f>
        <v>Lignite fired power plants</v>
      </c>
      <c r="G1813" s="78" t="str">
        <f>B1807</f>
        <v>Fluidized bed combustion</v>
      </c>
      <c r="H1813" s="78" t="str">
        <f>C1813</f>
        <v>Electricity only with CCS</v>
      </c>
      <c r="I1813" s="165" t="str">
        <f t="shared" si="383"/>
        <v>L</v>
      </c>
      <c r="J1813" s="123" t="str">
        <f>IF(tech_base!$T69&gt;J$1745,"",(tech_base!$K69/tech_proj!J193*0.086*$J$132)/(1-tech_proj!J473))</f>
        <v/>
      </c>
      <c r="K1813" s="123" t="str">
        <f>IF(tech_base!$T69&gt;K$1745,"",(tech_base!$K69/tech_proj!K193*0.086*$J$132)/(1-tech_proj!K473))</f>
        <v/>
      </c>
      <c r="L1813" s="123" t="str">
        <f>IF(tech_base!$T69&gt;L$1745,"",(tech_base!$K69/tech_proj!L193*0.086*$J$132)/(1-tech_proj!L473))</f>
        <v/>
      </c>
      <c r="M1813" s="123" t="str">
        <f>IF(tech_base!$T69&gt;M$1745,"",(tech_base!$K69/tech_proj!M193*0.086*$J$132)/(1-tech_proj!M473))</f>
        <v/>
      </c>
      <c r="N1813" s="123" t="str">
        <f>IF(tech_base!$T69&gt;N$1745,"",(tech_base!$K69/tech_proj!N193*0.086*$J$132)/(1-tech_proj!N473))</f>
        <v/>
      </c>
      <c r="O1813" s="123" t="str">
        <f>IF(tech_base!$T69&gt;O$1745,"",(tech_base!$K69/tech_proj!O193*0.086*$J$132)/(1-tech_proj!O473))</f>
        <v/>
      </c>
      <c r="P1813" s="123" t="str">
        <f>IF(tech_base!$T69&gt;P$1745,"",(tech_base!$K69/tech_proj!P193*0.086*$J$132)/(1-tech_proj!P473))</f>
        <v/>
      </c>
      <c r="Q1813" s="123" t="str">
        <f>IF(tech_base!$T69&gt;Q$1745,"",(tech_base!$K69/tech_proj!Q193*0.086*$J$132)/(1-tech_proj!Q473))</f>
        <v/>
      </c>
      <c r="R1813" s="123" t="str">
        <f>IF(tech_base!$T69&gt;R$1745,"",(tech_base!$K69/tech_proj!R193*0.086*$J$132)/(1-tech_proj!R473))</f>
        <v/>
      </c>
      <c r="S1813" s="123" t="str">
        <f>IF(tech_base!$T69&gt;S$1745,"",(tech_base!$K69/tech_proj!S193*0.086*$J$132)/(1-tech_proj!S473))</f>
        <v/>
      </c>
      <c r="T1813" s="123" t="str">
        <f>IF(tech_base!$T69&gt;T$1745,"",(tech_base!$K69/tech_proj!T193*0.086*$J$132)/(1-tech_proj!T473))</f>
        <v/>
      </c>
      <c r="U1813" s="123" t="str">
        <f>IF(tech_base!$T69&gt;U$1745,"",(tech_base!$K69/tech_proj!U193*0.086*$J$132)/(1-tech_proj!U473))</f>
        <v/>
      </c>
      <c r="V1813" s="123" t="str">
        <f>IF(tech_base!$T69&gt;V$1745,"",(tech_base!$K69/tech_proj!V193*0.086*$J$132)/(1-tech_proj!V473))</f>
        <v/>
      </c>
      <c r="W1813" s="123" t="str">
        <f>IF(tech_base!$T69&gt;W$1745,"",(tech_base!$K69/tech_proj!W193*0.086*$J$132)/(1-tech_proj!W473))</f>
        <v/>
      </c>
      <c r="X1813" s="123" t="str">
        <f>IF(tech_base!$T69&gt;X$1745,"",(tech_base!$K69/tech_proj!X193*0.086*$J$132)/(1-tech_proj!X473))</f>
        <v/>
      </c>
      <c r="Y1813" s="123" t="str">
        <f>IF(tech_base!$T69&gt;Y$1745,"",(tech_base!$K69/tech_proj!Y193*0.086*$J$132)/(1-tech_proj!Y473))</f>
        <v/>
      </c>
      <c r="Z1813" s="123" t="str">
        <f>IF(tech_base!$T69&gt;Z$1745,"",(tech_base!$K69/tech_proj!Z193*0.086*$J$132)/(1-tech_proj!Z473))</f>
        <v/>
      </c>
      <c r="AA1813" s="123" t="str">
        <f>IF(tech_base!$T69&gt;AA$1745,"",(tech_base!$K69/tech_proj!AA193*0.086*$J$132)/(1-tech_proj!AA473))</f>
        <v/>
      </c>
      <c r="AB1813" s="123" t="str">
        <f>IF(tech_base!$T69&gt;AB$1745,"",(tech_base!$K69/tech_proj!AB193*0.086*$J$132)/(1-tech_proj!AB473))</f>
        <v/>
      </c>
      <c r="AC1813" s="123" t="str">
        <f>IF(tech_base!$T69&gt;AC$1745,"",(tech_base!$K69/tech_proj!AC193*0.086*$J$132)/(1-tech_proj!AC473))</f>
        <v/>
      </c>
      <c r="AD1813" s="123" t="str">
        <f>IF(tech_base!$T69&gt;AD$1745,"",(tech_base!$K69/tech_proj!AD193*0.086*$J$132)/(1-tech_proj!AD473))</f>
        <v/>
      </c>
      <c r="AE1813" s="123">
        <f>IF(tech_base!$T69&gt;AE$1745,"",(tech_base!$K69/tech_proj!AE193*0.086*$J$132)/(1-tech_proj!AE473))</f>
        <v>13.614105722226885</v>
      </c>
      <c r="AF1813" s="123">
        <f>IF(tech_base!$T69&gt;AF$1745,"",(tech_base!$K69/tech_proj!AF193*0.086*$J$132)/(1-tech_proj!AF473))</f>
        <v>13.613400001912384</v>
      </c>
      <c r="AG1813" s="123">
        <f>IF(tech_base!$T69&gt;AG$1745,"",(tech_base!$K69/tech_proj!AG193*0.086*$J$132)/(1-tech_proj!AG473))</f>
        <v>13.612495048749565</v>
      </c>
      <c r="AH1813" s="123">
        <f>IF(tech_base!$T69&gt;AH$1745,"",(tech_base!$K69/tech_proj!AH193*0.086*$J$132)/(1-tech_proj!AH473))</f>
        <v>13.611335055926638</v>
      </c>
      <c r="AI1813" s="123">
        <f>IF(tech_base!$T69&gt;AI$1745,"",(tech_base!$K69/tech_proj!AI193*0.086*$J$132)/(1-tech_proj!AI473))</f>
        <v>13.60984886749983</v>
      </c>
      <c r="AJ1813" s="123">
        <f>IF(tech_base!$T69&gt;AJ$1745,"",(tech_base!$K69/tech_proj!AJ193*0.086*$J$132)/(1-tech_proj!AJ473))</f>
        <v>13.607945938789973</v>
      </c>
      <c r="AK1813" s="123">
        <f>IF(tech_base!$T69&gt;AK$1745,"",(tech_base!$K69/tech_proj!AK193*0.086*$J$132)/(1-tech_proj!AK473))</f>
        <v>13.605511351101081</v>
      </c>
      <c r="AL1813" s="123">
        <f>IF(tech_base!$T69&gt;AL$1745,"",(tech_base!$K69/tech_proj!AL193*0.086*$J$132)/(1-tech_proj!AL473))</f>
        <v>13.602399736573405</v>
      </c>
      <c r="AM1813" s="123">
        <f>IF(tech_base!$T69&gt;AM$1745,"",(tech_base!$K69/tech_proj!AM193*0.086*$J$132)/(1-tech_proj!AM473))</f>
        <v>13.598428001814272</v>
      </c>
      <c r="AN1813" s="123">
        <f>IF(tech_base!$T69&gt;AN$1745,"",(tech_base!$K69/tech_proj!AN193*0.086*$J$132)/(1-tech_proj!AN473))</f>
        <v>13.593366821651328</v>
      </c>
      <c r="AO1813" s="123">
        <f>IF(tech_base!$T69&gt;AO$1745,"",(tech_base!$K69/tech_proj!AO193*0.086*$J$132)/(1-tech_proj!AO473))</f>
        <v>13.586931039891342</v>
      </c>
      <c r="AP1813" s="123">
        <f>IF(tech_base!$T69&gt;AP$1745,"",(tech_base!$K69/tech_proj!AP193*0.086*$J$132)/(1-tech_proj!AP473))</f>
        <v>13.578769409576616</v>
      </c>
      <c r="AQ1813" s="123">
        <f>IF(tech_base!$T69&gt;AQ$1745,"",(tech_base!$K69/tech_proj!AQ193*0.086*$J$132)/(1-tech_proj!AQ473))</f>
        <v>13.568454593172113</v>
      </c>
      <c r="AR1813" s="123">
        <f>IF(tech_base!$T69&gt;AR$1745,"",(tech_base!$K69/tech_proj!AR193*0.086*$J$132)/(1-tech_proj!AR473))</f>
        <v>13.555475094761242</v>
      </c>
      <c r="AS1813" s="123">
        <f>IF(tech_base!$T69&gt;AS$1745,"",(tech_base!$K69/tech_proj!AS193*0.086*$J$132)/(1-tech_proj!AS473))</f>
        <v>13.539231871214101</v>
      </c>
      <c r="AT1813" s="123">
        <f>IF(tech_base!$T69&gt;AT$1745,"",(tech_base!$K69/tech_proj!AT193*0.086*$J$132)/(1-tech_proj!AT473))</f>
        <v>13.519043765937345</v>
      </c>
      <c r="AU1813" s="123">
        <f>IF(tech_base!$T69&gt;AU$1745,"",(tech_base!$K69/tech_proj!AU193*0.086*$J$132)/(1-tech_proj!AU473))</f>
        <v>13.494167471409066</v>
      </c>
      <c r="AV1813" s="123">
        <f>IF(tech_base!$T69&gt;AV$1745,"",(tech_base!$K69/tech_proj!AV193*0.086*$J$132)/(1-tech_proj!AV473))</f>
        <v>13.463839000222436</v>
      </c>
      <c r="AW1813" s="123">
        <f>IF(tech_base!$T69&gt;AW$1745,"",(tech_base!$K69/tech_proj!AW193*0.086*$J$132)/(1-tech_proj!AW473))</f>
        <v>13.427343707904047</v>
      </c>
      <c r="AX1813" s="124">
        <f>IF(tech_base!$T69&gt;AX$1745,"",(tech_base!$K69/tech_proj!AX193*0.086*$J$132)/(1-tech_proj!AX473))</f>
        <v>13.384119306786724</v>
      </c>
    </row>
    <row r="1814" spans="1:50" x14ac:dyDescent="0.25">
      <c r="A1814" s="356"/>
      <c r="B1814" s="376"/>
      <c r="C1814" s="379"/>
      <c r="D1814" s="59" t="s">
        <v>8</v>
      </c>
      <c r="E1814" s="166" t="str">
        <f>A1791&amp;"/"&amp;B1807&amp;"/"&amp;C1813&amp;"/"&amp;D1814</f>
        <v>Lignite fired power plants/Fluidized bed combustion/Electricity only with CCS/M</v>
      </c>
      <c r="F1814" s="79" t="str">
        <f>A1791</f>
        <v>Lignite fired power plants</v>
      </c>
      <c r="G1814" s="79" t="str">
        <f>B1807</f>
        <v>Fluidized bed combustion</v>
      </c>
      <c r="H1814" s="79" t="str">
        <f>C1813</f>
        <v>Electricity only with CCS</v>
      </c>
      <c r="I1814" s="167" t="str">
        <f t="shared" si="383"/>
        <v>M</v>
      </c>
      <c r="J1814" s="125" t="str">
        <f>IF(tech_base!$T70&gt;J$1745,"",(tech_base!$K70/tech_proj!J194*0.086*$J$132)/(1-tech_proj!J474))</f>
        <v/>
      </c>
      <c r="K1814" s="125" t="str">
        <f>IF(tech_base!$T70&gt;K$1745,"",(tech_base!$K70/tech_proj!K194*0.086*$J$132)/(1-tech_proj!K474))</f>
        <v/>
      </c>
      <c r="L1814" s="125" t="str">
        <f>IF(tech_base!$T70&gt;L$1745,"",(tech_base!$K70/tech_proj!L194*0.086*$J$132)/(1-tech_proj!L474))</f>
        <v/>
      </c>
      <c r="M1814" s="125" t="str">
        <f>IF(tech_base!$T70&gt;M$1745,"",(tech_base!$K70/tech_proj!M194*0.086*$J$132)/(1-tech_proj!M474))</f>
        <v/>
      </c>
      <c r="N1814" s="125" t="str">
        <f>IF(tech_base!$T70&gt;N$1745,"",(tech_base!$K70/tech_proj!N194*0.086*$J$132)/(1-tech_proj!N474))</f>
        <v/>
      </c>
      <c r="O1814" s="125" t="str">
        <f>IF(tech_base!$T70&gt;O$1745,"",(tech_base!$K70/tech_proj!O194*0.086*$J$132)/(1-tech_proj!O474))</f>
        <v/>
      </c>
      <c r="P1814" s="125" t="str">
        <f>IF(tech_base!$T70&gt;P$1745,"",(tech_base!$K70/tech_proj!P194*0.086*$J$132)/(1-tech_proj!P474))</f>
        <v/>
      </c>
      <c r="Q1814" s="125" t="str">
        <f>IF(tech_base!$T70&gt;Q$1745,"",(tech_base!$K70/tech_proj!Q194*0.086*$J$132)/(1-tech_proj!Q474))</f>
        <v/>
      </c>
      <c r="R1814" s="125" t="str">
        <f>IF(tech_base!$T70&gt;R$1745,"",(tech_base!$K70/tech_proj!R194*0.086*$J$132)/(1-tech_proj!R474))</f>
        <v/>
      </c>
      <c r="S1814" s="125" t="str">
        <f>IF(tech_base!$T70&gt;S$1745,"",(tech_base!$K70/tech_proj!S194*0.086*$J$132)/(1-tech_proj!S474))</f>
        <v/>
      </c>
      <c r="T1814" s="125" t="str">
        <f>IF(tech_base!$T70&gt;T$1745,"",(tech_base!$K70/tech_proj!T194*0.086*$J$132)/(1-tech_proj!T474))</f>
        <v/>
      </c>
      <c r="U1814" s="125" t="str">
        <f>IF(tech_base!$T70&gt;U$1745,"",(tech_base!$K70/tech_proj!U194*0.086*$J$132)/(1-tech_proj!U474))</f>
        <v/>
      </c>
      <c r="V1814" s="125" t="str">
        <f>IF(tech_base!$T70&gt;V$1745,"",(tech_base!$K70/tech_proj!V194*0.086*$J$132)/(1-tech_proj!V474))</f>
        <v/>
      </c>
      <c r="W1814" s="125" t="str">
        <f>IF(tech_base!$T70&gt;W$1745,"",(tech_base!$K70/tech_proj!W194*0.086*$J$132)/(1-tech_proj!W474))</f>
        <v/>
      </c>
      <c r="X1814" s="125" t="str">
        <f>IF(tech_base!$T70&gt;X$1745,"",(tech_base!$K70/tech_proj!X194*0.086*$J$132)/(1-tech_proj!X474))</f>
        <v/>
      </c>
      <c r="Y1814" s="125" t="str">
        <f>IF(tech_base!$T70&gt;Y$1745,"",(tech_base!$K70/tech_proj!Y194*0.086*$J$132)/(1-tech_proj!Y474))</f>
        <v/>
      </c>
      <c r="Z1814" s="125" t="str">
        <f>IF(tech_base!$T70&gt;Z$1745,"",(tech_base!$K70/tech_proj!Z194*0.086*$J$132)/(1-tech_proj!Z474))</f>
        <v/>
      </c>
      <c r="AA1814" s="125" t="str">
        <f>IF(tech_base!$T70&gt;AA$1745,"",(tech_base!$K70/tech_proj!AA194*0.086*$J$132)/(1-tech_proj!AA474))</f>
        <v/>
      </c>
      <c r="AB1814" s="125" t="str">
        <f>IF(tech_base!$T70&gt;AB$1745,"",(tech_base!$K70/tech_proj!AB194*0.086*$J$132)/(1-tech_proj!AB474))</f>
        <v/>
      </c>
      <c r="AC1814" s="125" t="str">
        <f>IF(tech_base!$T70&gt;AC$1745,"",(tech_base!$K70/tech_proj!AC194*0.086*$J$132)/(1-tech_proj!AC474))</f>
        <v/>
      </c>
      <c r="AD1814" s="125" t="str">
        <f>IF(tech_base!$T70&gt;AD$1745,"",(tech_base!$K70/tech_proj!AD194*0.086*$J$132)/(1-tech_proj!AD474))</f>
        <v/>
      </c>
      <c r="AE1814" s="125">
        <f>IF(tech_base!$T70&gt;AE$1745,"",(tech_base!$K70/tech_proj!AE194*0.086*$J$132)/(1-tech_proj!AE474))</f>
        <v>14.586796942449666</v>
      </c>
      <c r="AF1814" s="125">
        <f>IF(tech_base!$T70&gt;AF$1745,"",(tech_base!$K70/tech_proj!AF194*0.086*$J$132)/(1-tech_proj!AF474))</f>
        <v>14.585994923987016</v>
      </c>
      <c r="AG1814" s="125">
        <f>IF(tech_base!$T70&gt;AG$1745,"",(tech_base!$K70/tech_proj!AG194*0.086*$J$132)/(1-tech_proj!AG474))</f>
        <v>14.584966471848695</v>
      </c>
      <c r="AH1814" s="125">
        <f>IF(tech_base!$T70&gt;AH$1745,"",(tech_base!$K70/tech_proj!AH194*0.086*$J$132)/(1-tech_proj!AH474))</f>
        <v>14.583648150503127</v>
      </c>
      <c r="AI1814" s="125">
        <f>IF(tech_base!$T70&gt;AI$1745,"",(tech_base!$K70/tech_proj!AI194*0.086*$J$132)/(1-tech_proj!AI474))</f>
        <v>14.581959070919593</v>
      </c>
      <c r="AJ1814" s="125">
        <f>IF(tech_base!$T70&gt;AJ$1745,"",(tech_base!$K70/tech_proj!AJ194*0.086*$J$132)/(1-tech_proj!AJ474))</f>
        <v>14.579796293134569</v>
      </c>
      <c r="AK1814" s="125">
        <f>IF(tech_base!$T70&gt;AK$1745,"",(tech_base!$K70/tech_proj!AK194*0.086*$J$132)/(1-tech_proj!AK474))</f>
        <v>14.577029149894974</v>
      </c>
      <c r="AL1814" s="125">
        <f>IF(tech_base!$T70&gt;AL$1745,"",(tech_base!$K70/tech_proj!AL194*0.086*$J$132)/(1-tech_proj!AL474))</f>
        <v>14.573492324958595</v>
      </c>
      <c r="AM1814" s="125">
        <f>IF(tech_base!$T70&gt;AM$1745,"",(tech_base!$K70/tech_proj!AM194*0.086*$J$132)/(1-tech_proj!AM474))</f>
        <v>14.568977555487146</v>
      </c>
      <c r="AN1814" s="125">
        <f>IF(tech_base!$T70&gt;AN$1745,"",(tech_base!$K70/tech_proj!AN194*0.086*$J$132)/(1-tech_proj!AN474))</f>
        <v>14.563223919771099</v>
      </c>
      <c r="AO1814" s="125">
        <f>IF(tech_base!$T70&gt;AO$1745,"",(tech_base!$K70/tech_proj!AO194*0.086*$J$132)/(1-tech_proj!AO474))</f>
        <v>14.555906856490251</v>
      </c>
      <c r="AP1814" s="125">
        <f>IF(tech_base!$T70&gt;AP$1745,"",(tech_base!$K70/tech_proj!AP194*0.086*$J$132)/(1-tech_proj!AP474))</f>
        <v>14.546626393307024</v>
      </c>
      <c r="AQ1814" s="125">
        <f>IF(tech_base!$T70&gt;AQ$1745,"",(tech_base!$K70/tech_proj!AQ194*0.086*$J$132)/(1-tech_proj!AQ474))</f>
        <v>14.534895611588166</v>
      </c>
      <c r="AR1814" s="125">
        <f>IF(tech_base!$T70&gt;AR$1745,"",(tech_base!$K70/tech_proj!AR194*0.086*$J$132)/(1-tech_proj!AR474))</f>
        <v>14.520131222234957</v>
      </c>
      <c r="AS1814" s="125">
        <f>IF(tech_base!$T70&gt;AS$1745,"",(tech_base!$K70/tech_proj!AS194*0.086*$J$132)/(1-tech_proj!AS474))</f>
        <v>14.501649344724344</v>
      </c>
      <c r="AT1814" s="125">
        <f>IF(tech_base!$T70&gt;AT$1745,"",(tech_base!$K70/tech_proj!AT194*0.086*$J$132)/(1-tech_proj!AT474))</f>
        <v>14.47867117059846</v>
      </c>
      <c r="AU1814" s="125">
        <f>IF(tech_base!$T70&gt;AU$1745,"",(tech_base!$K70/tech_proj!AU194*0.086*$J$132)/(1-tech_proj!AU474))</f>
        <v>14.450344985697239</v>
      </c>
      <c r="AV1814" s="125">
        <f>IF(tech_base!$T70&gt;AV$1745,"",(tech_base!$K70/tech_proj!AV194*0.086*$J$132)/(1-tech_proj!AV474))</f>
        <v>14.41579251945241</v>
      </c>
      <c r="AW1814" s="125">
        <f>IF(tech_base!$T70&gt;AW$1745,"",(tech_base!$K70/tech_proj!AW194*0.086*$J$132)/(1-tech_proj!AW474))</f>
        <v>14.374187755132462</v>
      </c>
      <c r="AX1814" s="126">
        <f>IF(tech_base!$T70&gt;AX$1745,"",(tech_base!$K70/tech_proj!AX194*0.086*$J$132)/(1-tech_proj!AX474))</f>
        <v>14.324873525735379</v>
      </c>
    </row>
    <row r="1815" spans="1:50" x14ac:dyDescent="0.25">
      <c r="A1815" s="356"/>
      <c r="B1815" s="376"/>
      <c r="C1815" s="361" t="s">
        <v>16</v>
      </c>
      <c r="D1815" s="2" t="s">
        <v>7</v>
      </c>
      <c r="E1815" s="160" t="str">
        <f>A1791&amp;"/"&amp;B1807&amp;"/"&amp;C1815&amp;"/"&amp;D1815</f>
        <v>Lignite fired power plants/Fluidized bed combustion/CHP with CCS/L</v>
      </c>
      <c r="F1815" s="76" t="str">
        <f>A1791</f>
        <v>Lignite fired power plants</v>
      </c>
      <c r="G1815" s="76" t="str">
        <f>B1807</f>
        <v>Fluidized bed combustion</v>
      </c>
      <c r="H1815" s="76" t="str">
        <f>C1815</f>
        <v>CHP with CCS</v>
      </c>
      <c r="I1815" s="161" t="str">
        <f t="shared" si="383"/>
        <v>L</v>
      </c>
      <c r="J1815" s="119" t="str">
        <f>IF(tech_base!$T71&gt;J$1745,"",(tech_base!$K71/tech_proj!J195*0.086*$J$132)/(1-tech_proj!J475))</f>
        <v/>
      </c>
      <c r="K1815" s="119" t="str">
        <f>IF(tech_base!$T71&gt;K$1745,"",(tech_base!$K71/tech_proj!K195*0.086*$J$132)/(1-tech_proj!K475))</f>
        <v/>
      </c>
      <c r="L1815" s="119" t="str">
        <f>IF(tech_base!$T71&gt;L$1745,"",(tech_base!$K71/tech_proj!L195*0.086*$J$132)/(1-tech_proj!L475))</f>
        <v/>
      </c>
      <c r="M1815" s="119" t="str">
        <f>IF(tech_base!$T71&gt;M$1745,"",(tech_base!$K71/tech_proj!M195*0.086*$J$132)/(1-tech_proj!M475))</f>
        <v/>
      </c>
      <c r="N1815" s="119" t="str">
        <f>IF(tech_base!$T71&gt;N$1745,"",(tech_base!$K71/tech_proj!N195*0.086*$J$132)/(1-tech_proj!N475))</f>
        <v/>
      </c>
      <c r="O1815" s="119" t="str">
        <f>IF(tech_base!$T71&gt;O$1745,"",(tech_base!$K71/tech_proj!O195*0.086*$J$132)/(1-tech_proj!O475))</f>
        <v/>
      </c>
      <c r="P1815" s="119" t="str">
        <f>IF(tech_base!$T71&gt;P$1745,"",(tech_base!$K71/tech_proj!P195*0.086*$J$132)/(1-tech_proj!P475))</f>
        <v/>
      </c>
      <c r="Q1815" s="119" t="str">
        <f>IF(tech_base!$T71&gt;Q$1745,"",(tech_base!$K71/tech_proj!Q195*0.086*$J$132)/(1-tech_proj!Q475))</f>
        <v/>
      </c>
      <c r="R1815" s="119" t="str">
        <f>IF(tech_base!$T71&gt;R$1745,"",(tech_base!$K71/tech_proj!R195*0.086*$J$132)/(1-tech_proj!R475))</f>
        <v/>
      </c>
      <c r="S1815" s="119" t="str">
        <f>IF(tech_base!$T71&gt;S$1745,"",(tech_base!$K71/tech_proj!S195*0.086*$J$132)/(1-tech_proj!S475))</f>
        <v/>
      </c>
      <c r="T1815" s="119" t="str">
        <f>IF(tech_base!$T71&gt;T$1745,"",(tech_base!$K71/tech_proj!T195*0.086*$J$132)/(1-tech_proj!T475))</f>
        <v/>
      </c>
      <c r="U1815" s="119" t="str">
        <f>IF(tech_base!$T71&gt;U$1745,"",(tech_base!$K71/tech_proj!U195*0.086*$J$132)/(1-tech_proj!U475))</f>
        <v/>
      </c>
      <c r="V1815" s="119" t="str">
        <f>IF(tech_base!$T71&gt;V$1745,"",(tech_base!$K71/tech_proj!V195*0.086*$J$132)/(1-tech_proj!V475))</f>
        <v/>
      </c>
      <c r="W1815" s="119" t="str">
        <f>IF(tech_base!$T71&gt;W$1745,"",(tech_base!$K71/tech_proj!W195*0.086*$J$132)/(1-tech_proj!W475))</f>
        <v/>
      </c>
      <c r="X1815" s="119" t="str">
        <f>IF(tech_base!$T71&gt;X$1745,"",(tech_base!$K71/tech_proj!X195*0.086*$J$132)/(1-tech_proj!X475))</f>
        <v/>
      </c>
      <c r="Y1815" s="119" t="str">
        <f>IF(tech_base!$T71&gt;Y$1745,"",(tech_base!$K71/tech_proj!Y195*0.086*$J$132)/(1-tech_proj!Y475))</f>
        <v/>
      </c>
      <c r="Z1815" s="119" t="str">
        <f>IF(tech_base!$T71&gt;Z$1745,"",(tech_base!$K71/tech_proj!Z195*0.086*$J$132)/(1-tech_proj!Z475))</f>
        <v/>
      </c>
      <c r="AA1815" s="119" t="str">
        <f>IF(tech_base!$T71&gt;AA$1745,"",(tech_base!$K71/tech_proj!AA195*0.086*$J$132)/(1-tech_proj!AA475))</f>
        <v/>
      </c>
      <c r="AB1815" s="119" t="str">
        <f>IF(tech_base!$T71&gt;AB$1745,"",(tech_base!$K71/tech_proj!AB195*0.086*$J$132)/(1-tech_proj!AB475))</f>
        <v/>
      </c>
      <c r="AC1815" s="119" t="str">
        <f>IF(tech_base!$T71&gt;AC$1745,"",(tech_base!$K71/tech_proj!AC195*0.086*$J$132)/(1-tech_proj!AC475))</f>
        <v/>
      </c>
      <c r="AD1815" s="119" t="str">
        <f>IF(tech_base!$T71&gt;AD$1745,"",(tech_base!$K71/tech_proj!AD195*0.086*$J$132)/(1-tech_proj!AD475))</f>
        <v/>
      </c>
      <c r="AE1815" s="119">
        <f>IF(tech_base!$T71&gt;AE$1745,"",(tech_base!$K71/tech_proj!AE195*0.086*$J$132)/(1-tech_proj!AE475))</f>
        <v>15.600925733384949</v>
      </c>
      <c r="AF1815" s="119">
        <f>IF(tech_base!$T71&gt;AF$1745,"",(tech_base!$K71/tech_proj!AF195*0.086*$J$132)/(1-tech_proj!AF475))</f>
        <v>15.600264182534831</v>
      </c>
      <c r="AG1815" s="119">
        <f>IF(tech_base!$T71&gt;AG$1745,"",(tech_base!$K71/tech_proj!AG195*0.086*$J$132)/(1-tech_proj!AG475))</f>
        <v>15.599415904909923</v>
      </c>
      <c r="AH1815" s="119">
        <f>IF(tech_base!$T71&gt;AH$1745,"",(tech_base!$K71/tech_proj!AH195*0.086*$J$132)/(1-tech_proj!AH475))</f>
        <v>15.59832862033973</v>
      </c>
      <c r="AI1815" s="119">
        <f>IF(tech_base!$T71&gt;AI$1745,"",(tech_base!$K71/tech_proj!AI195*0.086*$J$132)/(1-tech_proj!AI475))</f>
        <v>15.596935684714889</v>
      </c>
      <c r="AJ1815" s="119">
        <f>IF(tech_base!$T71&gt;AJ$1745,"",(tech_base!$K71/tech_proj!AJ195*0.086*$J$132)/(1-tech_proj!AJ475))</f>
        <v>15.595152319542812</v>
      </c>
      <c r="AK1815" s="119">
        <f>IF(tech_base!$T71&gt;AK$1745,"",(tech_base!$K71/tech_proj!AK195*0.086*$J$132)/(1-tech_proj!AK475))</f>
        <v>15.592870965380589</v>
      </c>
      <c r="AL1815" s="119">
        <f>IF(tech_base!$T71&gt;AL$1745,"",(tech_base!$K71/tech_proj!AL195*0.086*$J$132)/(1-tech_proj!AL475))</f>
        <v>15.589955630270836</v>
      </c>
      <c r="AM1815" s="119">
        <f>IF(tech_base!$T71&gt;AM$1745,"",(tech_base!$K71/tech_proj!AM195*0.086*$J$132)/(1-tech_proj!AM475))</f>
        <v>15.586235138642744</v>
      </c>
      <c r="AN1815" s="119">
        <f>IF(tech_base!$T71&gt;AN$1745,"",(tech_base!$K71/tech_proj!AN195*0.086*$J$132)/(1-tech_proj!AN475))</f>
        <v>15.581495268982634</v>
      </c>
      <c r="AO1815" s="119">
        <f>IF(tech_base!$T71&gt;AO$1745,"",(tech_base!$K71/tech_proj!AO195*0.086*$J$132)/(1-tech_proj!AO475))</f>
        <v>15.575469931412625</v>
      </c>
      <c r="AP1815" s="119">
        <f>IF(tech_base!$T71&gt;AP$1745,"",(tech_base!$K71/tech_proj!AP195*0.086*$J$132)/(1-tech_proj!AP475))</f>
        <v>15.567831823869337</v>
      </c>
      <c r="AQ1815" s="119">
        <f>IF(tech_base!$T71&gt;AQ$1745,"",(tech_base!$K71/tech_proj!AQ195*0.086*$J$132)/(1-tech_proj!AQ475))</f>
        <v>15.558183476026597</v>
      </c>
      <c r="AR1815" s="119">
        <f>IF(tech_base!$T71&gt;AR$1745,"",(tech_base!$K71/tech_proj!AR195*0.086*$J$132)/(1-tech_proj!AR475))</f>
        <v>15.546050308488821</v>
      </c>
      <c r="AS1815" s="119">
        <f>IF(tech_base!$T71&gt;AS$1745,"",(tech_base!$K71/tech_proj!AS195*0.086*$J$132)/(1-tech_proj!AS475))</f>
        <v>15.530878351415613</v>
      </c>
      <c r="AT1815" s="119">
        <f>IF(tech_base!$T71&gt;AT$1745,"",(tech_base!$K71/tech_proj!AT195*0.086*$J$132)/(1-tech_proj!AT475))</f>
        <v>15.512040568109891</v>
      </c>
      <c r="AU1815" s="119">
        <f>IF(tech_base!$T71&gt;AU$1745,"",(tech_base!$K71/tech_proj!AU195*0.086*$J$132)/(1-tech_proj!AU475))</f>
        <v>15.488857146814068</v>
      </c>
      <c r="AV1815" s="119">
        <f>IF(tech_base!$T71&gt;AV$1745,"",(tech_base!$K71/tech_proj!AV195*0.086*$J$132)/(1-tech_proj!AV475))</f>
        <v>15.460636197289698</v>
      </c>
      <c r="AW1815" s="119">
        <f>IF(tech_base!$T71&gt;AW$1745,"",(tech_base!$K71/tech_proj!AW195*0.086*$J$132)/(1-tech_proj!AW475))</f>
        <v>15.426741115257135</v>
      </c>
      <c r="AX1815" s="120">
        <f>IF(tech_base!$T71&gt;AX$1745,"",(tech_base!$K71/tech_proj!AX195*0.086*$J$132)/(1-tech_proj!AX475))</f>
        <v>15.386688073683102</v>
      </c>
    </row>
    <row r="1816" spans="1:50" x14ac:dyDescent="0.25">
      <c r="A1816" s="356"/>
      <c r="B1816" s="380"/>
      <c r="C1816" s="381"/>
      <c r="D1816" s="4" t="s">
        <v>8</v>
      </c>
      <c r="E1816" s="168" t="str">
        <f>A1791&amp;"/"&amp;B1807&amp;"/"&amp;C1815&amp;"/"&amp;D1816</f>
        <v>Lignite fired power plants/Fluidized bed combustion/CHP with CCS/M</v>
      </c>
      <c r="F1816" s="80" t="str">
        <f>A1791</f>
        <v>Lignite fired power plants</v>
      </c>
      <c r="G1816" s="80" t="str">
        <f>B1807</f>
        <v>Fluidized bed combustion</v>
      </c>
      <c r="H1816" s="80" t="str">
        <f>C1815</f>
        <v>CHP with CCS</v>
      </c>
      <c r="I1816" s="169" t="str">
        <f t="shared" si="383"/>
        <v>M</v>
      </c>
      <c r="J1816" s="127" t="str">
        <f>IF(tech_base!$T72&gt;J$1745,"",(tech_base!$K72/tech_proj!J196*0.086*$J$132)/(1-tech_proj!J476))</f>
        <v/>
      </c>
      <c r="K1816" s="127" t="str">
        <f>IF(tech_base!$T72&gt;K$1745,"",(tech_base!$K72/tech_proj!K196*0.086*$J$132)/(1-tech_proj!K476))</f>
        <v/>
      </c>
      <c r="L1816" s="127" t="str">
        <f>IF(tech_base!$T72&gt;L$1745,"",(tech_base!$K72/tech_proj!L196*0.086*$J$132)/(1-tech_proj!L476))</f>
        <v/>
      </c>
      <c r="M1816" s="127" t="str">
        <f>IF(tech_base!$T72&gt;M$1745,"",(tech_base!$K72/tech_proj!M196*0.086*$J$132)/(1-tech_proj!M476))</f>
        <v/>
      </c>
      <c r="N1816" s="127" t="str">
        <f>IF(tech_base!$T72&gt;N$1745,"",(tech_base!$K72/tech_proj!N196*0.086*$J$132)/(1-tech_proj!N476))</f>
        <v/>
      </c>
      <c r="O1816" s="127" t="str">
        <f>IF(tech_base!$T72&gt;O$1745,"",(tech_base!$K72/tech_proj!O196*0.086*$J$132)/(1-tech_proj!O476))</f>
        <v/>
      </c>
      <c r="P1816" s="127" t="str">
        <f>IF(tech_base!$T72&gt;P$1745,"",(tech_base!$K72/tech_proj!P196*0.086*$J$132)/(1-tech_proj!P476))</f>
        <v/>
      </c>
      <c r="Q1816" s="127" t="str">
        <f>IF(tech_base!$T72&gt;Q$1745,"",(tech_base!$K72/tech_proj!Q196*0.086*$J$132)/(1-tech_proj!Q476))</f>
        <v/>
      </c>
      <c r="R1816" s="127" t="str">
        <f>IF(tech_base!$T72&gt;R$1745,"",(tech_base!$K72/tech_proj!R196*0.086*$J$132)/(1-tech_proj!R476))</f>
        <v/>
      </c>
      <c r="S1816" s="127" t="str">
        <f>IF(tech_base!$T72&gt;S$1745,"",(tech_base!$K72/tech_proj!S196*0.086*$J$132)/(1-tech_proj!S476))</f>
        <v/>
      </c>
      <c r="T1816" s="127" t="str">
        <f>IF(tech_base!$T72&gt;T$1745,"",(tech_base!$K72/tech_proj!T196*0.086*$J$132)/(1-tech_proj!T476))</f>
        <v/>
      </c>
      <c r="U1816" s="127" t="str">
        <f>IF(tech_base!$T72&gt;U$1745,"",(tech_base!$K72/tech_proj!U196*0.086*$J$132)/(1-tech_proj!U476))</f>
        <v/>
      </c>
      <c r="V1816" s="127" t="str">
        <f>IF(tech_base!$T72&gt;V$1745,"",(tech_base!$K72/tech_proj!V196*0.086*$J$132)/(1-tech_proj!V476))</f>
        <v/>
      </c>
      <c r="W1816" s="127" t="str">
        <f>IF(tech_base!$T72&gt;W$1745,"",(tech_base!$K72/tech_proj!W196*0.086*$J$132)/(1-tech_proj!W476))</f>
        <v/>
      </c>
      <c r="X1816" s="127" t="str">
        <f>IF(tech_base!$T72&gt;X$1745,"",(tech_base!$K72/tech_proj!X196*0.086*$J$132)/(1-tech_proj!X476))</f>
        <v/>
      </c>
      <c r="Y1816" s="127" t="str">
        <f>IF(tech_base!$T72&gt;Y$1745,"",(tech_base!$K72/tech_proj!Y196*0.086*$J$132)/(1-tech_proj!Y476))</f>
        <v/>
      </c>
      <c r="Z1816" s="127" t="str">
        <f>IF(tech_base!$T72&gt;Z$1745,"",(tech_base!$K72/tech_proj!Z196*0.086*$J$132)/(1-tech_proj!Z476))</f>
        <v/>
      </c>
      <c r="AA1816" s="127" t="str">
        <f>IF(tech_base!$T72&gt;AA$1745,"",(tech_base!$K72/tech_proj!AA196*0.086*$J$132)/(1-tech_proj!AA476))</f>
        <v/>
      </c>
      <c r="AB1816" s="127" t="str">
        <f>IF(tech_base!$T72&gt;AB$1745,"",(tech_base!$K72/tech_proj!AB196*0.086*$J$132)/(1-tech_proj!AB476))</f>
        <v/>
      </c>
      <c r="AC1816" s="127" t="str">
        <f>IF(tech_base!$T72&gt;AC$1745,"",(tech_base!$K72/tech_proj!AC196*0.086*$J$132)/(1-tech_proj!AC476))</f>
        <v/>
      </c>
      <c r="AD1816" s="127" t="str">
        <f>IF(tech_base!$T72&gt;AD$1745,"",(tech_base!$K72/tech_proj!AD196*0.086*$J$132)/(1-tech_proj!AD476))</f>
        <v/>
      </c>
      <c r="AE1816" s="127">
        <f>IF(tech_base!$T72&gt;AE$1745,"",(tech_base!$K72/tech_proj!AE196*0.086*$J$132)/(1-tech_proj!AE476))</f>
        <v>16.765468664364278</v>
      </c>
      <c r="AF1816" s="127">
        <f>IF(tech_base!$T72&gt;AF$1745,"",(tech_base!$K72/tech_proj!AF196*0.086*$J$132)/(1-tech_proj!AF476))</f>
        <v>16.764678665839384</v>
      </c>
      <c r="AG1816" s="127">
        <f>IF(tech_base!$T72&gt;AG$1745,"",(tech_base!$K72/tech_proj!AG196*0.086*$J$132)/(1-tech_proj!AG476))</f>
        <v>16.763665663587258</v>
      </c>
      <c r="AH1816" s="127">
        <f>IF(tech_base!$T72&gt;AH$1745,"",(tech_base!$K72/tech_proj!AH196*0.086*$J$132)/(1-tech_proj!AH476))</f>
        <v>16.762367206456364</v>
      </c>
      <c r="AI1816" s="127">
        <f>IF(tech_base!$T72&gt;AI$1745,"",(tech_base!$K72/tech_proj!AI196*0.086*$J$132)/(1-tech_proj!AI476))</f>
        <v>16.760703675795401</v>
      </c>
      <c r="AJ1816" s="127">
        <f>IF(tech_base!$T72&gt;AJ$1745,"",(tech_base!$K72/tech_proj!AJ196*0.086*$J$132)/(1-tech_proj!AJ476))</f>
        <v>16.758573773191053</v>
      </c>
      <c r="AK1816" s="127">
        <f>IF(tech_base!$T72&gt;AK$1745,"",(tech_base!$K72/tech_proj!AK196*0.086*$J$132)/(1-tech_proj!AK476))</f>
        <v>16.755848955791478</v>
      </c>
      <c r="AL1816" s="127">
        <f>IF(tech_base!$T72&gt;AL$1745,"",(tech_base!$K72/tech_proj!AL196*0.086*$J$132)/(1-tech_proj!AL476))</f>
        <v>16.752366661572612</v>
      </c>
      <c r="AM1816" s="127">
        <f>IF(tech_base!$T72&gt;AM$1745,"",(tech_base!$K72/tech_proj!AM196*0.086*$J$132)/(1-tech_proj!AM476))</f>
        <v>16.747922205791138</v>
      </c>
      <c r="AN1816" s="127">
        <f>IF(tech_base!$T72&gt;AN$1745,"",(tech_base!$K72/tech_proj!AN196*0.086*$J$132)/(1-tech_proj!AN476))</f>
        <v>16.742259325638887</v>
      </c>
      <c r="AO1816" s="127">
        <f>IF(tech_base!$T72&gt;AO$1745,"",(tech_base!$K72/tech_proj!AO196*0.086*$J$132)/(1-tech_proj!AO476))</f>
        <v>16.735059540029681</v>
      </c>
      <c r="AP1816" s="127">
        <f>IF(tech_base!$T72&gt;AP$1745,"",(tech_base!$K72/tech_proj!AP196*0.086*$J$132)/(1-tech_proj!AP476))</f>
        <v>16.725930828670297</v>
      </c>
      <c r="AQ1816" s="127">
        <f>IF(tech_base!$T72&gt;AQ$1745,"",(tech_base!$K72/tech_proj!AQ196*0.086*$J$132)/(1-tech_proj!AQ476))</f>
        <v>16.714396688707978</v>
      </c>
      <c r="AR1816" s="127">
        <f>IF(tech_base!$T72&gt;AR$1745,"",(tech_base!$K72/tech_proj!AR196*0.086*$J$132)/(1-tech_proj!AR476))</f>
        <v>16.699887477132673</v>
      </c>
      <c r="AS1816" s="127">
        <f>IF(tech_base!$T72&gt;AS$1745,"",(tech_base!$K72/tech_proj!AS196*0.086*$J$132)/(1-tech_proj!AS476))</f>
        <v>16.681737156179995</v>
      </c>
      <c r="AT1816" s="127">
        <f>IF(tech_base!$T72&gt;AT$1745,"",(tech_base!$K72/tech_proj!AT196*0.086*$J$132)/(1-tech_proj!AT476))</f>
        <v>16.659190118406649</v>
      </c>
      <c r="AU1816" s="127">
        <f>IF(tech_base!$T72&gt;AU$1745,"",(tech_base!$K72/tech_proj!AU196*0.086*$J$132)/(1-tech_proj!AU476))</f>
        <v>16.631424490153719</v>
      </c>
      <c r="AV1816" s="127">
        <f>IF(tech_base!$T72&gt;AV$1745,"",(tech_base!$K72/tech_proj!AV196*0.086*$J$132)/(1-tech_proj!AV476))</f>
        <v>16.597599666801983</v>
      </c>
      <c r="AW1816" s="127">
        <f>IF(tech_base!$T72&gt;AW$1745,"",(tech_base!$K72/tech_proj!AW196*0.086*$J$132)/(1-tech_proj!AW476))</f>
        <v>16.556935765539542</v>
      </c>
      <c r="AX1816" s="128">
        <f>IF(tech_base!$T72&gt;AX$1745,"",(tech_base!$K72/tech_proj!AX196*0.086*$J$132)/(1-tech_proj!AX476))</f>
        <v>16.508829547587904</v>
      </c>
    </row>
    <row r="1817" spans="1:50" x14ac:dyDescent="0.25">
      <c r="A1817" s="356"/>
      <c r="B1817" s="358" t="s">
        <v>19</v>
      </c>
      <c r="C1817" s="353" t="s">
        <v>6</v>
      </c>
      <c r="D1817" s="3" t="s">
        <v>7</v>
      </c>
      <c r="E1817" s="162" t="str">
        <f>A1791&amp;"/"&amp;B1817&amp;"/"&amp;C1817&amp;"/"&amp;D1817</f>
        <v>Lignite fired power plants/Steam turbine/Electricity only/L</v>
      </c>
      <c r="F1817" s="77" t="str">
        <f>A1791</f>
        <v>Lignite fired power plants</v>
      </c>
      <c r="G1817" s="77" t="str">
        <f>B1817</f>
        <v>Steam turbine</v>
      </c>
      <c r="H1817" s="77" t="str">
        <f>C1817</f>
        <v>Electricity only</v>
      </c>
      <c r="I1817" s="163" t="str">
        <f t="shared" si="383"/>
        <v>L</v>
      </c>
      <c r="J1817" s="121">
        <f>IF(tech_base!$T73&gt;J$1745,"",(tech_base!$K73/tech_proj!J197*0.086*$J$132)/(1-tech_proj!J477))</f>
        <v>0</v>
      </c>
      <c r="K1817" s="121">
        <f>IF(tech_base!$T73&gt;K$1745,"",(tech_base!$K73/tech_proj!K197*0.086*$J$132)/(1-tech_proj!K477))</f>
        <v>0</v>
      </c>
      <c r="L1817" s="121">
        <f>IF(tech_base!$T73&gt;L$1745,"",(tech_base!$K73/tech_proj!L197*0.086*$J$132)/(1-tech_proj!L477))</f>
        <v>0</v>
      </c>
      <c r="M1817" s="121">
        <f>IF(tech_base!$T73&gt;M$1745,"",(tech_base!$K73/tech_proj!M197*0.086*$J$132)/(1-tech_proj!M477))</f>
        <v>0</v>
      </c>
      <c r="N1817" s="121">
        <f>IF(tech_base!$T73&gt;N$1745,"",(tech_base!$K73/tech_proj!N197*0.086*$J$132)/(1-tech_proj!N477))</f>
        <v>0</v>
      </c>
      <c r="O1817" s="121">
        <f>IF(tech_base!$T73&gt;O$1745,"",(tech_base!$K73/tech_proj!O197*0.086*$J$132)/(1-tech_proj!O477))</f>
        <v>0</v>
      </c>
      <c r="P1817" s="121">
        <f>IF(tech_base!$T73&gt;P$1745,"",(tech_base!$K73/tech_proj!P197*0.086*$J$132)/(1-tech_proj!P477))</f>
        <v>0</v>
      </c>
      <c r="Q1817" s="121">
        <f>IF(tech_base!$T73&gt;Q$1745,"",(tech_base!$K73/tech_proj!Q197*0.086*$J$132)/(1-tech_proj!Q477))</f>
        <v>0</v>
      </c>
      <c r="R1817" s="121">
        <f>IF(tech_base!$T73&gt;R$1745,"",(tech_base!$K73/tech_proj!R197*0.086*$J$132)/(1-tech_proj!R477))</f>
        <v>0</v>
      </c>
      <c r="S1817" s="121">
        <f>IF(tech_base!$T73&gt;S$1745,"",(tech_base!$K73/tech_proj!S197*0.086*$J$132)/(1-tech_proj!S477))</f>
        <v>0</v>
      </c>
      <c r="T1817" s="121">
        <f>IF(tech_base!$T73&gt;T$1745,"",(tech_base!$K73/tech_proj!T197*0.086*$J$132)/(1-tech_proj!T477))</f>
        <v>0</v>
      </c>
      <c r="U1817" s="121">
        <f>IF(tech_base!$T73&gt;U$1745,"",(tech_base!$K73/tech_proj!U197*0.086*$J$132)/(1-tech_proj!U477))</f>
        <v>0</v>
      </c>
      <c r="V1817" s="121">
        <f>IF(tech_base!$T73&gt;V$1745,"",(tech_base!$K73/tech_proj!V197*0.086*$J$132)/(1-tech_proj!V477))</f>
        <v>0</v>
      </c>
      <c r="W1817" s="121">
        <f>IF(tech_base!$T73&gt;W$1745,"",(tech_base!$K73/tech_proj!W197*0.086*$J$132)/(1-tech_proj!W477))</f>
        <v>0</v>
      </c>
      <c r="X1817" s="121">
        <f>IF(tech_base!$T73&gt;X$1745,"",(tech_base!$K73/tech_proj!X197*0.086*$J$132)/(1-tech_proj!X477))</f>
        <v>0</v>
      </c>
      <c r="Y1817" s="121">
        <f>IF(tech_base!$T73&gt;Y$1745,"",(tech_base!$K73/tech_proj!Y197*0.086*$J$132)/(1-tech_proj!Y477))</f>
        <v>0</v>
      </c>
      <c r="Z1817" s="121">
        <f>IF(tech_base!$T73&gt;Z$1745,"",(tech_base!$K73/tech_proj!Z197*0.086*$J$132)/(1-tech_proj!Z477))</f>
        <v>0</v>
      </c>
      <c r="AA1817" s="121">
        <f>IF(tech_base!$T73&gt;AA$1745,"",(tech_base!$K73/tech_proj!AA197*0.086*$J$132)/(1-tech_proj!AA477))</f>
        <v>0</v>
      </c>
      <c r="AB1817" s="121">
        <f>IF(tech_base!$T73&gt;AB$1745,"",(tech_base!$K73/tech_proj!AB197*0.086*$J$132)/(1-tech_proj!AB477))</f>
        <v>0</v>
      </c>
      <c r="AC1817" s="121">
        <f>IF(tech_base!$T73&gt;AC$1745,"",(tech_base!$K73/tech_proj!AC197*0.086*$J$132)/(1-tech_proj!AC477))</f>
        <v>0</v>
      </c>
      <c r="AD1817" s="121">
        <f>IF(tech_base!$T73&gt;AD$1745,"",(tech_base!$K73/tech_proj!AD197*0.086*$J$132)/(1-tech_proj!AD477))</f>
        <v>0</v>
      </c>
      <c r="AE1817" s="121">
        <f>IF(tech_base!$T73&gt;AE$1745,"",(tech_base!$K73/tech_proj!AE197*0.086*$J$132)/(1-tech_proj!AE477))</f>
        <v>0</v>
      </c>
      <c r="AF1817" s="121">
        <f>IF(tech_base!$T73&gt;AF$1745,"",(tech_base!$K73/tech_proj!AF197*0.086*$J$132)/(1-tech_proj!AF477))</f>
        <v>0</v>
      </c>
      <c r="AG1817" s="121">
        <f>IF(tech_base!$T73&gt;AG$1745,"",(tech_base!$K73/tech_proj!AG197*0.086*$J$132)/(1-tech_proj!AG477))</f>
        <v>0</v>
      </c>
      <c r="AH1817" s="121">
        <f>IF(tech_base!$T73&gt;AH$1745,"",(tech_base!$K73/tech_proj!AH197*0.086*$J$132)/(1-tech_proj!AH477))</f>
        <v>0</v>
      </c>
      <c r="AI1817" s="121">
        <f>IF(tech_base!$T73&gt;AI$1745,"",(tech_base!$K73/tech_proj!AI197*0.086*$J$132)/(1-tech_proj!AI477))</f>
        <v>0</v>
      </c>
      <c r="AJ1817" s="121">
        <f>IF(tech_base!$T73&gt;AJ$1745,"",(tech_base!$K73/tech_proj!AJ197*0.086*$J$132)/(1-tech_proj!AJ477))</f>
        <v>0</v>
      </c>
      <c r="AK1817" s="121">
        <f>IF(tech_base!$T73&gt;AK$1745,"",(tech_base!$K73/tech_proj!AK197*0.086*$J$132)/(1-tech_proj!AK477))</f>
        <v>0</v>
      </c>
      <c r="AL1817" s="121">
        <f>IF(tech_base!$T73&gt;AL$1745,"",(tech_base!$K73/tech_proj!AL197*0.086*$J$132)/(1-tech_proj!AL477))</f>
        <v>0</v>
      </c>
      <c r="AM1817" s="121">
        <f>IF(tech_base!$T73&gt;AM$1745,"",(tech_base!$K73/tech_proj!AM197*0.086*$J$132)/(1-tech_proj!AM477))</f>
        <v>0</v>
      </c>
      <c r="AN1817" s="121">
        <f>IF(tech_base!$T73&gt;AN$1745,"",(tech_base!$K73/tech_proj!AN197*0.086*$J$132)/(1-tech_proj!AN477))</f>
        <v>0</v>
      </c>
      <c r="AO1817" s="121">
        <f>IF(tech_base!$T73&gt;AO$1745,"",(tech_base!$K73/tech_proj!AO197*0.086*$J$132)/(1-tech_proj!AO477))</f>
        <v>0</v>
      </c>
      <c r="AP1817" s="121">
        <f>IF(tech_base!$T73&gt;AP$1745,"",(tech_base!$K73/tech_proj!AP197*0.086*$J$132)/(1-tech_proj!AP477))</f>
        <v>0</v>
      </c>
      <c r="AQ1817" s="121">
        <f>IF(tech_base!$T73&gt;AQ$1745,"",(tech_base!$K73/tech_proj!AQ197*0.086*$J$132)/(1-tech_proj!AQ477))</f>
        <v>0</v>
      </c>
      <c r="AR1817" s="121">
        <f>IF(tech_base!$T73&gt;AR$1745,"",(tech_base!$K73/tech_proj!AR197*0.086*$J$132)/(1-tech_proj!AR477))</f>
        <v>0</v>
      </c>
      <c r="AS1817" s="121">
        <f>IF(tech_base!$T73&gt;AS$1745,"",(tech_base!$K73/tech_proj!AS197*0.086*$J$132)/(1-tech_proj!AS477))</f>
        <v>0</v>
      </c>
      <c r="AT1817" s="121">
        <f>IF(tech_base!$T73&gt;AT$1745,"",(tech_base!$K73/tech_proj!AT197*0.086*$J$132)/(1-tech_proj!AT477))</f>
        <v>0</v>
      </c>
      <c r="AU1817" s="121">
        <f>IF(tech_base!$T73&gt;AU$1745,"",(tech_base!$K73/tech_proj!AU197*0.086*$J$132)/(1-tech_proj!AU477))</f>
        <v>0</v>
      </c>
      <c r="AV1817" s="121">
        <f>IF(tech_base!$T73&gt;AV$1745,"",(tech_base!$K73/tech_proj!AV197*0.086*$J$132)/(1-tech_proj!AV477))</f>
        <v>0</v>
      </c>
      <c r="AW1817" s="121">
        <f>IF(tech_base!$T73&gt;AW$1745,"",(tech_base!$K73/tech_proj!AW197*0.086*$J$132)/(1-tech_proj!AW477))</f>
        <v>0</v>
      </c>
      <c r="AX1817" s="122">
        <f>IF(tech_base!$T73&gt;AX$1745,"",(tech_base!$K73/tech_proj!AX197*0.086*$J$132)/(1-tech_proj!AX477))</f>
        <v>0</v>
      </c>
    </row>
    <row r="1818" spans="1:50" x14ac:dyDescent="0.25">
      <c r="A1818" s="356"/>
      <c r="B1818" s="376"/>
      <c r="C1818" s="378"/>
      <c r="D1818" s="2" t="s">
        <v>8</v>
      </c>
      <c r="E1818" s="160" t="str">
        <f>A1791&amp;"/"&amp;B1817&amp;"/"&amp;C1817&amp;"/"&amp;D1818</f>
        <v>Lignite fired power plants/Steam turbine/Electricity only/M</v>
      </c>
      <c r="F1818" s="76" t="str">
        <f>A1791</f>
        <v>Lignite fired power plants</v>
      </c>
      <c r="G1818" s="76" t="str">
        <f>B1817</f>
        <v>Steam turbine</v>
      </c>
      <c r="H1818" s="76" t="str">
        <f>C1817</f>
        <v>Electricity only</v>
      </c>
      <c r="I1818" s="161" t="str">
        <f t="shared" si="383"/>
        <v>M</v>
      </c>
      <c r="J1818" s="119">
        <f>IF(tech_base!$T74&gt;J$1745,"",(tech_base!$K74/tech_proj!J198*0.086*$J$132)/(1-tech_proj!J478))</f>
        <v>0</v>
      </c>
      <c r="K1818" s="119">
        <f>IF(tech_base!$T74&gt;K$1745,"",(tech_base!$K74/tech_proj!K198*0.086*$J$132)/(1-tech_proj!K478))</f>
        <v>0</v>
      </c>
      <c r="L1818" s="119">
        <f>IF(tech_base!$T74&gt;L$1745,"",(tech_base!$K74/tech_proj!L198*0.086*$J$132)/(1-tech_proj!L478))</f>
        <v>0</v>
      </c>
      <c r="M1818" s="119">
        <f>IF(tech_base!$T74&gt;M$1745,"",(tech_base!$K74/tech_proj!M198*0.086*$J$132)/(1-tech_proj!M478))</f>
        <v>0</v>
      </c>
      <c r="N1818" s="119">
        <f>IF(tech_base!$T74&gt;N$1745,"",(tech_base!$K74/tech_proj!N198*0.086*$J$132)/(1-tech_proj!N478))</f>
        <v>0</v>
      </c>
      <c r="O1818" s="119">
        <f>IF(tech_base!$T74&gt;O$1745,"",(tech_base!$K74/tech_proj!O198*0.086*$J$132)/(1-tech_proj!O478))</f>
        <v>0</v>
      </c>
      <c r="P1818" s="119">
        <f>IF(tech_base!$T74&gt;P$1745,"",(tech_base!$K74/tech_proj!P198*0.086*$J$132)/(1-tech_proj!P478))</f>
        <v>0</v>
      </c>
      <c r="Q1818" s="119">
        <f>IF(tech_base!$T74&gt;Q$1745,"",(tech_base!$K74/tech_proj!Q198*0.086*$J$132)/(1-tech_proj!Q478))</f>
        <v>0</v>
      </c>
      <c r="R1818" s="119">
        <f>IF(tech_base!$T74&gt;R$1745,"",(tech_base!$K74/tech_proj!R198*0.086*$J$132)/(1-tech_proj!R478))</f>
        <v>0</v>
      </c>
      <c r="S1818" s="119">
        <f>IF(tech_base!$T74&gt;S$1745,"",(tech_base!$K74/tech_proj!S198*0.086*$J$132)/(1-tech_proj!S478))</f>
        <v>0</v>
      </c>
      <c r="T1818" s="119">
        <f>IF(tech_base!$T74&gt;T$1745,"",(tech_base!$K74/tech_proj!T198*0.086*$J$132)/(1-tech_proj!T478))</f>
        <v>0</v>
      </c>
      <c r="U1818" s="119">
        <f>IF(tech_base!$T74&gt;U$1745,"",(tech_base!$K74/tech_proj!U198*0.086*$J$132)/(1-tech_proj!U478))</f>
        <v>0</v>
      </c>
      <c r="V1818" s="119">
        <f>IF(tech_base!$T74&gt;V$1745,"",(tech_base!$K74/tech_proj!V198*0.086*$J$132)/(1-tech_proj!V478))</f>
        <v>0</v>
      </c>
      <c r="W1818" s="119">
        <f>IF(tech_base!$T74&gt;W$1745,"",(tech_base!$K74/tech_proj!W198*0.086*$J$132)/(1-tech_proj!W478))</f>
        <v>0</v>
      </c>
      <c r="X1818" s="119">
        <f>IF(tech_base!$T74&gt;X$1745,"",(tech_base!$K74/tech_proj!X198*0.086*$J$132)/(1-tech_proj!X478))</f>
        <v>0</v>
      </c>
      <c r="Y1818" s="119">
        <f>IF(tech_base!$T74&gt;Y$1745,"",(tech_base!$K74/tech_proj!Y198*0.086*$J$132)/(1-tech_proj!Y478))</f>
        <v>0</v>
      </c>
      <c r="Z1818" s="119">
        <f>IF(tech_base!$T74&gt;Z$1745,"",(tech_base!$K74/tech_proj!Z198*0.086*$J$132)/(1-tech_proj!Z478))</f>
        <v>0</v>
      </c>
      <c r="AA1818" s="119">
        <f>IF(tech_base!$T74&gt;AA$1745,"",(tech_base!$K74/tech_proj!AA198*0.086*$J$132)/(1-tech_proj!AA478))</f>
        <v>0</v>
      </c>
      <c r="AB1818" s="119">
        <f>IF(tech_base!$T74&gt;AB$1745,"",(tech_base!$K74/tech_proj!AB198*0.086*$J$132)/(1-tech_proj!AB478))</f>
        <v>0</v>
      </c>
      <c r="AC1818" s="119">
        <f>IF(tech_base!$T74&gt;AC$1745,"",(tech_base!$K74/tech_proj!AC198*0.086*$J$132)/(1-tech_proj!AC478))</f>
        <v>0</v>
      </c>
      <c r="AD1818" s="119">
        <f>IF(tech_base!$T74&gt;AD$1745,"",(tech_base!$K74/tech_proj!AD198*0.086*$J$132)/(1-tech_proj!AD478))</f>
        <v>0</v>
      </c>
      <c r="AE1818" s="119">
        <f>IF(tech_base!$T74&gt;AE$1745,"",(tech_base!$K74/tech_proj!AE198*0.086*$J$132)/(1-tech_proj!AE478))</f>
        <v>0</v>
      </c>
      <c r="AF1818" s="119">
        <f>IF(tech_base!$T74&gt;AF$1745,"",(tech_base!$K74/tech_proj!AF198*0.086*$J$132)/(1-tech_proj!AF478))</f>
        <v>0</v>
      </c>
      <c r="AG1818" s="119">
        <f>IF(tech_base!$T74&gt;AG$1745,"",(tech_base!$K74/tech_proj!AG198*0.086*$J$132)/(1-tech_proj!AG478))</f>
        <v>0</v>
      </c>
      <c r="AH1818" s="119">
        <f>IF(tech_base!$T74&gt;AH$1745,"",(tech_base!$K74/tech_proj!AH198*0.086*$J$132)/(1-tech_proj!AH478))</f>
        <v>0</v>
      </c>
      <c r="AI1818" s="119">
        <f>IF(tech_base!$T74&gt;AI$1745,"",(tech_base!$K74/tech_proj!AI198*0.086*$J$132)/(1-tech_proj!AI478))</f>
        <v>0</v>
      </c>
      <c r="AJ1818" s="119">
        <f>IF(tech_base!$T74&gt;AJ$1745,"",(tech_base!$K74/tech_proj!AJ198*0.086*$J$132)/(1-tech_proj!AJ478))</f>
        <v>0</v>
      </c>
      <c r="AK1818" s="119">
        <f>IF(tech_base!$T74&gt;AK$1745,"",(tech_base!$K74/tech_proj!AK198*0.086*$J$132)/(1-tech_proj!AK478))</f>
        <v>0</v>
      </c>
      <c r="AL1818" s="119">
        <f>IF(tech_base!$T74&gt;AL$1745,"",(tech_base!$K74/tech_proj!AL198*0.086*$J$132)/(1-tech_proj!AL478))</f>
        <v>0</v>
      </c>
      <c r="AM1818" s="119">
        <f>IF(tech_base!$T74&gt;AM$1745,"",(tech_base!$K74/tech_proj!AM198*0.086*$J$132)/(1-tech_proj!AM478))</f>
        <v>0</v>
      </c>
      <c r="AN1818" s="119">
        <f>IF(tech_base!$T74&gt;AN$1745,"",(tech_base!$K74/tech_proj!AN198*0.086*$J$132)/(1-tech_proj!AN478))</f>
        <v>0</v>
      </c>
      <c r="AO1818" s="119">
        <f>IF(tech_base!$T74&gt;AO$1745,"",(tech_base!$K74/tech_proj!AO198*0.086*$J$132)/(1-tech_proj!AO478))</f>
        <v>0</v>
      </c>
      <c r="AP1818" s="119">
        <f>IF(tech_base!$T74&gt;AP$1745,"",(tech_base!$K74/tech_proj!AP198*0.086*$J$132)/(1-tech_proj!AP478))</f>
        <v>0</v>
      </c>
      <c r="AQ1818" s="119">
        <f>IF(tech_base!$T74&gt;AQ$1745,"",(tech_base!$K74/tech_proj!AQ198*0.086*$J$132)/(1-tech_proj!AQ478))</f>
        <v>0</v>
      </c>
      <c r="AR1818" s="119">
        <f>IF(tech_base!$T74&gt;AR$1745,"",(tech_base!$K74/tech_proj!AR198*0.086*$J$132)/(1-tech_proj!AR478))</f>
        <v>0</v>
      </c>
      <c r="AS1818" s="119">
        <f>IF(tech_base!$T74&gt;AS$1745,"",(tech_base!$K74/tech_proj!AS198*0.086*$J$132)/(1-tech_proj!AS478))</f>
        <v>0</v>
      </c>
      <c r="AT1818" s="119">
        <f>IF(tech_base!$T74&gt;AT$1745,"",(tech_base!$K74/tech_proj!AT198*0.086*$J$132)/(1-tech_proj!AT478))</f>
        <v>0</v>
      </c>
      <c r="AU1818" s="119">
        <f>IF(tech_base!$T74&gt;AU$1745,"",(tech_base!$K74/tech_proj!AU198*0.086*$J$132)/(1-tech_proj!AU478))</f>
        <v>0</v>
      </c>
      <c r="AV1818" s="119">
        <f>IF(tech_base!$T74&gt;AV$1745,"",(tech_base!$K74/tech_proj!AV198*0.086*$J$132)/(1-tech_proj!AV478))</f>
        <v>0</v>
      </c>
      <c r="AW1818" s="119">
        <f>IF(tech_base!$T74&gt;AW$1745,"",(tech_base!$K74/tech_proj!AW198*0.086*$J$132)/(1-tech_proj!AW478))</f>
        <v>0</v>
      </c>
      <c r="AX1818" s="120">
        <f>IF(tech_base!$T74&gt;AX$1745,"",(tech_base!$K74/tech_proj!AX198*0.086*$J$132)/(1-tech_proj!AX478))</f>
        <v>0</v>
      </c>
    </row>
    <row r="1819" spans="1:50" x14ac:dyDescent="0.25">
      <c r="A1819" s="356"/>
      <c r="B1819" s="376"/>
      <c r="C1819" s="378"/>
      <c r="D1819" s="2" t="s">
        <v>10</v>
      </c>
      <c r="E1819" s="160" t="str">
        <f>A1791&amp;"/"&amp;B1817&amp;"/"&amp;C1817&amp;"/"&amp;D1819</f>
        <v>Lignite fired power plants/Steam turbine/Electricity only/S</v>
      </c>
      <c r="F1819" s="76" t="str">
        <f>A1791</f>
        <v>Lignite fired power plants</v>
      </c>
      <c r="G1819" s="76" t="str">
        <f>B1817</f>
        <v>Steam turbine</v>
      </c>
      <c r="H1819" s="76" t="str">
        <f>C1817</f>
        <v>Electricity only</v>
      </c>
      <c r="I1819" s="161" t="str">
        <f t="shared" si="383"/>
        <v>S</v>
      </c>
      <c r="J1819" s="119">
        <f>IF(tech_base!$T75&gt;J$1745,"",(tech_base!$K75/tech_proj!J199*0.086*$J$132)/(1-tech_proj!J479))</f>
        <v>0</v>
      </c>
      <c r="K1819" s="119">
        <f>IF(tech_base!$T75&gt;K$1745,"",(tech_base!$K75/tech_proj!K199*0.086*$J$132)/(1-tech_proj!K479))</f>
        <v>0</v>
      </c>
      <c r="L1819" s="119">
        <f>IF(tech_base!$T75&gt;L$1745,"",(tech_base!$K75/tech_proj!L199*0.086*$J$132)/(1-tech_proj!L479))</f>
        <v>0</v>
      </c>
      <c r="M1819" s="119">
        <f>IF(tech_base!$T75&gt;M$1745,"",(tech_base!$K75/tech_proj!M199*0.086*$J$132)/(1-tech_proj!M479))</f>
        <v>0</v>
      </c>
      <c r="N1819" s="119">
        <f>IF(tech_base!$T75&gt;N$1745,"",(tech_base!$K75/tech_proj!N199*0.086*$J$132)/(1-tech_proj!N479))</f>
        <v>0</v>
      </c>
      <c r="O1819" s="119">
        <f>IF(tech_base!$T75&gt;O$1745,"",(tech_base!$K75/tech_proj!O199*0.086*$J$132)/(1-tech_proj!O479))</f>
        <v>0</v>
      </c>
      <c r="P1819" s="119">
        <f>IF(tech_base!$T75&gt;P$1745,"",(tech_base!$K75/tech_proj!P199*0.086*$J$132)/(1-tech_proj!P479))</f>
        <v>0</v>
      </c>
      <c r="Q1819" s="119">
        <f>IF(tech_base!$T75&gt;Q$1745,"",(tech_base!$K75/tech_proj!Q199*0.086*$J$132)/(1-tech_proj!Q479))</f>
        <v>0</v>
      </c>
      <c r="R1819" s="119">
        <f>IF(tech_base!$T75&gt;R$1745,"",(tech_base!$K75/tech_proj!R199*0.086*$J$132)/(1-tech_proj!R479))</f>
        <v>0</v>
      </c>
      <c r="S1819" s="119">
        <f>IF(tech_base!$T75&gt;S$1745,"",(tech_base!$K75/tech_proj!S199*0.086*$J$132)/(1-tech_proj!S479))</f>
        <v>0</v>
      </c>
      <c r="T1819" s="119">
        <f>IF(tech_base!$T75&gt;T$1745,"",(tech_base!$K75/tech_proj!T199*0.086*$J$132)/(1-tech_proj!T479))</f>
        <v>0</v>
      </c>
      <c r="U1819" s="119">
        <f>IF(tech_base!$T75&gt;U$1745,"",(tech_base!$K75/tech_proj!U199*0.086*$J$132)/(1-tech_proj!U479))</f>
        <v>0</v>
      </c>
      <c r="V1819" s="119">
        <f>IF(tech_base!$T75&gt;V$1745,"",(tech_base!$K75/tech_proj!V199*0.086*$J$132)/(1-tech_proj!V479))</f>
        <v>0</v>
      </c>
      <c r="W1819" s="119">
        <f>IF(tech_base!$T75&gt;W$1745,"",(tech_base!$K75/tech_proj!W199*0.086*$J$132)/(1-tech_proj!W479))</f>
        <v>0</v>
      </c>
      <c r="X1819" s="119">
        <f>IF(tech_base!$T75&gt;X$1745,"",(tech_base!$K75/tech_proj!X199*0.086*$J$132)/(1-tech_proj!X479))</f>
        <v>0</v>
      </c>
      <c r="Y1819" s="119">
        <f>IF(tech_base!$T75&gt;Y$1745,"",(tech_base!$K75/tech_proj!Y199*0.086*$J$132)/(1-tech_proj!Y479))</f>
        <v>0</v>
      </c>
      <c r="Z1819" s="119">
        <f>IF(tech_base!$T75&gt;Z$1745,"",(tech_base!$K75/tech_proj!Z199*0.086*$J$132)/(1-tech_proj!Z479))</f>
        <v>0</v>
      </c>
      <c r="AA1819" s="119">
        <f>IF(tech_base!$T75&gt;AA$1745,"",(tech_base!$K75/tech_proj!AA199*0.086*$J$132)/(1-tech_proj!AA479))</f>
        <v>0</v>
      </c>
      <c r="AB1819" s="119">
        <f>IF(tech_base!$T75&gt;AB$1745,"",(tech_base!$K75/tech_proj!AB199*0.086*$J$132)/(1-tech_proj!AB479))</f>
        <v>0</v>
      </c>
      <c r="AC1819" s="119">
        <f>IF(tech_base!$T75&gt;AC$1745,"",(tech_base!$K75/tech_proj!AC199*0.086*$J$132)/(1-tech_proj!AC479))</f>
        <v>0</v>
      </c>
      <c r="AD1819" s="119">
        <f>IF(tech_base!$T75&gt;AD$1745,"",(tech_base!$K75/tech_proj!AD199*0.086*$J$132)/(1-tech_proj!AD479))</f>
        <v>0</v>
      </c>
      <c r="AE1819" s="119">
        <f>IF(tech_base!$T75&gt;AE$1745,"",(tech_base!$K75/tech_proj!AE199*0.086*$J$132)/(1-tech_proj!AE479))</f>
        <v>0</v>
      </c>
      <c r="AF1819" s="119">
        <f>IF(tech_base!$T75&gt;AF$1745,"",(tech_base!$K75/tech_proj!AF199*0.086*$J$132)/(1-tech_proj!AF479))</f>
        <v>0</v>
      </c>
      <c r="AG1819" s="119">
        <f>IF(tech_base!$T75&gt;AG$1745,"",(tech_base!$K75/tech_proj!AG199*0.086*$J$132)/(1-tech_proj!AG479))</f>
        <v>0</v>
      </c>
      <c r="AH1819" s="119">
        <f>IF(tech_base!$T75&gt;AH$1745,"",(tech_base!$K75/tech_proj!AH199*0.086*$J$132)/(1-tech_proj!AH479))</f>
        <v>0</v>
      </c>
      <c r="AI1819" s="119">
        <f>IF(tech_base!$T75&gt;AI$1745,"",(tech_base!$K75/tech_proj!AI199*0.086*$J$132)/(1-tech_proj!AI479))</f>
        <v>0</v>
      </c>
      <c r="AJ1819" s="119">
        <f>IF(tech_base!$T75&gt;AJ$1745,"",(tech_base!$K75/tech_proj!AJ199*0.086*$J$132)/(1-tech_proj!AJ479))</f>
        <v>0</v>
      </c>
      <c r="AK1819" s="119">
        <f>IF(tech_base!$T75&gt;AK$1745,"",(tech_base!$K75/tech_proj!AK199*0.086*$J$132)/(1-tech_proj!AK479))</f>
        <v>0</v>
      </c>
      <c r="AL1819" s="119">
        <f>IF(tech_base!$T75&gt;AL$1745,"",(tech_base!$K75/tech_proj!AL199*0.086*$J$132)/(1-tech_proj!AL479))</f>
        <v>0</v>
      </c>
      <c r="AM1819" s="119">
        <f>IF(tech_base!$T75&gt;AM$1745,"",(tech_base!$K75/tech_proj!AM199*0.086*$J$132)/(1-tech_proj!AM479))</f>
        <v>0</v>
      </c>
      <c r="AN1819" s="119">
        <f>IF(tech_base!$T75&gt;AN$1745,"",(tech_base!$K75/tech_proj!AN199*0.086*$J$132)/(1-tech_proj!AN479))</f>
        <v>0</v>
      </c>
      <c r="AO1819" s="119">
        <f>IF(tech_base!$T75&gt;AO$1745,"",(tech_base!$K75/tech_proj!AO199*0.086*$J$132)/(1-tech_proj!AO479))</f>
        <v>0</v>
      </c>
      <c r="AP1819" s="119">
        <f>IF(tech_base!$T75&gt;AP$1745,"",(tech_base!$K75/tech_proj!AP199*0.086*$J$132)/(1-tech_proj!AP479))</f>
        <v>0</v>
      </c>
      <c r="AQ1819" s="119">
        <f>IF(tech_base!$T75&gt;AQ$1745,"",(tech_base!$K75/tech_proj!AQ199*0.086*$J$132)/(1-tech_proj!AQ479))</f>
        <v>0</v>
      </c>
      <c r="AR1819" s="119">
        <f>IF(tech_base!$T75&gt;AR$1745,"",(tech_base!$K75/tech_proj!AR199*0.086*$J$132)/(1-tech_proj!AR479))</f>
        <v>0</v>
      </c>
      <c r="AS1819" s="119">
        <f>IF(tech_base!$T75&gt;AS$1745,"",(tech_base!$K75/tech_proj!AS199*0.086*$J$132)/(1-tech_proj!AS479))</f>
        <v>0</v>
      </c>
      <c r="AT1819" s="119">
        <f>IF(tech_base!$T75&gt;AT$1745,"",(tech_base!$K75/tech_proj!AT199*0.086*$J$132)/(1-tech_proj!AT479))</f>
        <v>0</v>
      </c>
      <c r="AU1819" s="119">
        <f>IF(tech_base!$T75&gt;AU$1745,"",(tech_base!$K75/tech_proj!AU199*0.086*$J$132)/(1-tech_proj!AU479))</f>
        <v>0</v>
      </c>
      <c r="AV1819" s="119">
        <f>IF(tech_base!$T75&gt;AV$1745,"",(tech_base!$K75/tech_proj!AV199*0.086*$J$132)/(1-tech_proj!AV479))</f>
        <v>0</v>
      </c>
      <c r="AW1819" s="119">
        <f>IF(tech_base!$T75&gt;AW$1745,"",(tech_base!$K75/tech_proj!AW199*0.086*$J$132)/(1-tech_proj!AW479))</f>
        <v>0</v>
      </c>
      <c r="AX1819" s="120">
        <f>IF(tech_base!$T75&gt;AX$1745,"",(tech_base!$K75/tech_proj!AX199*0.086*$J$132)/(1-tech_proj!AX479))</f>
        <v>0</v>
      </c>
    </row>
    <row r="1820" spans="1:50" x14ac:dyDescent="0.25">
      <c r="A1820" s="356"/>
      <c r="B1820" s="376"/>
      <c r="C1820" s="379"/>
      <c r="D1820" s="2" t="s">
        <v>20</v>
      </c>
      <c r="E1820" s="160" t="str">
        <f>A1791&amp;"/"&amp;B1817&amp;"/"&amp;C1817&amp;"/"&amp;D1820</f>
        <v>Lignite fired power plants/Steam turbine/Electricity only/XS</v>
      </c>
      <c r="F1820" s="76" t="str">
        <f>A1791</f>
        <v>Lignite fired power plants</v>
      </c>
      <c r="G1820" s="76" t="str">
        <f>B1817</f>
        <v>Steam turbine</v>
      </c>
      <c r="H1820" s="76" t="str">
        <f>C1817</f>
        <v>Electricity only</v>
      </c>
      <c r="I1820" s="161" t="str">
        <f t="shared" si="383"/>
        <v>XS</v>
      </c>
      <c r="J1820" s="119">
        <f>IF(tech_base!$T76&gt;J$1745,"",(tech_base!$K76/tech_proj!J200*0.086*$J$132)/(1-tech_proj!J480))</f>
        <v>0</v>
      </c>
      <c r="K1820" s="119">
        <f>IF(tech_base!$T76&gt;K$1745,"",(tech_base!$K76/tech_proj!K200*0.086*$J$132)/(1-tech_proj!K480))</f>
        <v>0</v>
      </c>
      <c r="L1820" s="119">
        <f>IF(tech_base!$T76&gt;L$1745,"",(tech_base!$K76/tech_proj!L200*0.086*$J$132)/(1-tech_proj!L480))</f>
        <v>0</v>
      </c>
      <c r="M1820" s="119">
        <f>IF(tech_base!$T76&gt;M$1745,"",(tech_base!$K76/tech_proj!M200*0.086*$J$132)/(1-tech_proj!M480))</f>
        <v>0</v>
      </c>
      <c r="N1820" s="119">
        <f>IF(tech_base!$T76&gt;N$1745,"",(tech_base!$K76/tech_proj!N200*0.086*$J$132)/(1-tech_proj!N480))</f>
        <v>0</v>
      </c>
      <c r="O1820" s="119">
        <f>IF(tech_base!$T76&gt;O$1745,"",(tech_base!$K76/tech_proj!O200*0.086*$J$132)/(1-tech_proj!O480))</f>
        <v>0</v>
      </c>
      <c r="P1820" s="119">
        <f>IF(tech_base!$T76&gt;P$1745,"",(tech_base!$K76/tech_proj!P200*0.086*$J$132)/(1-tech_proj!P480))</f>
        <v>0</v>
      </c>
      <c r="Q1820" s="119">
        <f>IF(tech_base!$T76&gt;Q$1745,"",(tech_base!$K76/tech_proj!Q200*0.086*$J$132)/(1-tech_proj!Q480))</f>
        <v>0</v>
      </c>
      <c r="R1820" s="119">
        <f>IF(tech_base!$T76&gt;R$1745,"",(tech_base!$K76/tech_proj!R200*0.086*$J$132)/(1-tech_proj!R480))</f>
        <v>0</v>
      </c>
      <c r="S1820" s="119">
        <f>IF(tech_base!$T76&gt;S$1745,"",(tech_base!$K76/tech_proj!S200*0.086*$J$132)/(1-tech_proj!S480))</f>
        <v>0</v>
      </c>
      <c r="T1820" s="119">
        <f>IF(tech_base!$T76&gt;T$1745,"",(tech_base!$K76/tech_proj!T200*0.086*$J$132)/(1-tech_proj!T480))</f>
        <v>0</v>
      </c>
      <c r="U1820" s="119">
        <f>IF(tech_base!$T76&gt;U$1745,"",(tech_base!$K76/tech_proj!U200*0.086*$J$132)/(1-tech_proj!U480))</f>
        <v>0</v>
      </c>
      <c r="V1820" s="119">
        <f>IF(tech_base!$T76&gt;V$1745,"",(tech_base!$K76/tech_proj!V200*0.086*$J$132)/(1-tech_proj!V480))</f>
        <v>0</v>
      </c>
      <c r="W1820" s="119">
        <f>IF(tech_base!$T76&gt;W$1745,"",(tech_base!$K76/tech_proj!W200*0.086*$J$132)/(1-tech_proj!W480))</f>
        <v>0</v>
      </c>
      <c r="X1820" s="119">
        <f>IF(tech_base!$T76&gt;X$1745,"",(tech_base!$K76/tech_proj!X200*0.086*$J$132)/(1-tech_proj!X480))</f>
        <v>0</v>
      </c>
      <c r="Y1820" s="119">
        <f>IF(tech_base!$T76&gt;Y$1745,"",(tech_base!$K76/tech_proj!Y200*0.086*$J$132)/(1-tech_proj!Y480))</f>
        <v>0</v>
      </c>
      <c r="Z1820" s="119">
        <f>IF(tech_base!$T76&gt;Z$1745,"",(tech_base!$K76/tech_proj!Z200*0.086*$J$132)/(1-tech_proj!Z480))</f>
        <v>0</v>
      </c>
      <c r="AA1820" s="119">
        <f>IF(tech_base!$T76&gt;AA$1745,"",(tech_base!$K76/tech_proj!AA200*0.086*$J$132)/(1-tech_proj!AA480))</f>
        <v>0</v>
      </c>
      <c r="AB1820" s="119">
        <f>IF(tech_base!$T76&gt;AB$1745,"",(tech_base!$K76/tech_proj!AB200*0.086*$J$132)/(1-tech_proj!AB480))</f>
        <v>0</v>
      </c>
      <c r="AC1820" s="119">
        <f>IF(tech_base!$T76&gt;AC$1745,"",(tech_base!$K76/tech_proj!AC200*0.086*$J$132)/(1-tech_proj!AC480))</f>
        <v>0</v>
      </c>
      <c r="AD1820" s="119">
        <f>IF(tech_base!$T76&gt;AD$1745,"",(tech_base!$K76/tech_proj!AD200*0.086*$J$132)/(1-tech_proj!AD480))</f>
        <v>0</v>
      </c>
      <c r="AE1820" s="119">
        <f>IF(tech_base!$T76&gt;AE$1745,"",(tech_base!$K76/tech_proj!AE200*0.086*$J$132)/(1-tech_proj!AE480))</f>
        <v>0</v>
      </c>
      <c r="AF1820" s="119">
        <f>IF(tech_base!$T76&gt;AF$1745,"",(tech_base!$K76/tech_proj!AF200*0.086*$J$132)/(1-tech_proj!AF480))</f>
        <v>0</v>
      </c>
      <c r="AG1820" s="119">
        <f>IF(tech_base!$T76&gt;AG$1745,"",(tech_base!$K76/tech_proj!AG200*0.086*$J$132)/(1-tech_proj!AG480))</f>
        <v>0</v>
      </c>
      <c r="AH1820" s="119">
        <f>IF(tech_base!$T76&gt;AH$1745,"",(tech_base!$K76/tech_proj!AH200*0.086*$J$132)/(1-tech_proj!AH480))</f>
        <v>0</v>
      </c>
      <c r="AI1820" s="119">
        <f>IF(tech_base!$T76&gt;AI$1745,"",(tech_base!$K76/tech_proj!AI200*0.086*$J$132)/(1-tech_proj!AI480))</f>
        <v>0</v>
      </c>
      <c r="AJ1820" s="119">
        <f>IF(tech_base!$T76&gt;AJ$1745,"",(tech_base!$K76/tech_proj!AJ200*0.086*$J$132)/(1-tech_proj!AJ480))</f>
        <v>0</v>
      </c>
      <c r="AK1820" s="119">
        <f>IF(tech_base!$T76&gt;AK$1745,"",(tech_base!$K76/tech_proj!AK200*0.086*$J$132)/(1-tech_proj!AK480))</f>
        <v>0</v>
      </c>
      <c r="AL1820" s="119">
        <f>IF(tech_base!$T76&gt;AL$1745,"",(tech_base!$K76/tech_proj!AL200*0.086*$J$132)/(1-tech_proj!AL480))</f>
        <v>0</v>
      </c>
      <c r="AM1820" s="119">
        <f>IF(tech_base!$T76&gt;AM$1745,"",(tech_base!$K76/tech_proj!AM200*0.086*$J$132)/(1-tech_proj!AM480))</f>
        <v>0</v>
      </c>
      <c r="AN1820" s="119">
        <f>IF(tech_base!$T76&gt;AN$1745,"",(tech_base!$K76/tech_proj!AN200*0.086*$J$132)/(1-tech_proj!AN480))</f>
        <v>0</v>
      </c>
      <c r="AO1820" s="119">
        <f>IF(tech_base!$T76&gt;AO$1745,"",(tech_base!$K76/tech_proj!AO200*0.086*$J$132)/(1-tech_proj!AO480))</f>
        <v>0</v>
      </c>
      <c r="AP1820" s="119">
        <f>IF(tech_base!$T76&gt;AP$1745,"",(tech_base!$K76/tech_proj!AP200*0.086*$J$132)/(1-tech_proj!AP480))</f>
        <v>0</v>
      </c>
      <c r="AQ1820" s="119">
        <f>IF(tech_base!$T76&gt;AQ$1745,"",(tech_base!$K76/tech_proj!AQ200*0.086*$J$132)/(1-tech_proj!AQ480))</f>
        <v>0</v>
      </c>
      <c r="AR1820" s="119">
        <f>IF(tech_base!$T76&gt;AR$1745,"",(tech_base!$K76/tech_proj!AR200*0.086*$J$132)/(1-tech_proj!AR480))</f>
        <v>0</v>
      </c>
      <c r="AS1820" s="119">
        <f>IF(tech_base!$T76&gt;AS$1745,"",(tech_base!$K76/tech_proj!AS200*0.086*$J$132)/(1-tech_proj!AS480))</f>
        <v>0</v>
      </c>
      <c r="AT1820" s="119">
        <f>IF(tech_base!$T76&gt;AT$1745,"",(tech_base!$K76/tech_proj!AT200*0.086*$J$132)/(1-tech_proj!AT480))</f>
        <v>0</v>
      </c>
      <c r="AU1820" s="119">
        <f>IF(tech_base!$T76&gt;AU$1745,"",(tech_base!$K76/tech_proj!AU200*0.086*$J$132)/(1-tech_proj!AU480))</f>
        <v>0</v>
      </c>
      <c r="AV1820" s="119">
        <f>IF(tech_base!$T76&gt;AV$1745,"",(tech_base!$K76/tech_proj!AV200*0.086*$J$132)/(1-tech_proj!AV480))</f>
        <v>0</v>
      </c>
      <c r="AW1820" s="119">
        <f>IF(tech_base!$T76&gt;AW$1745,"",(tech_base!$K76/tech_proj!AW200*0.086*$J$132)/(1-tech_proj!AW480))</f>
        <v>0</v>
      </c>
      <c r="AX1820" s="120">
        <f>IF(tech_base!$T76&gt;AX$1745,"",(tech_base!$K76/tech_proj!AX200*0.086*$J$132)/(1-tech_proj!AX480))</f>
        <v>0</v>
      </c>
    </row>
    <row r="1821" spans="1:50" x14ac:dyDescent="0.25">
      <c r="A1821" s="356"/>
      <c r="B1821" s="376"/>
      <c r="C1821" s="361" t="s">
        <v>14</v>
      </c>
      <c r="D1821" s="58" t="s">
        <v>7</v>
      </c>
      <c r="E1821" s="164" t="str">
        <f>A1791&amp;"/"&amp;B1817&amp;"/"&amp;C1821&amp;"/"&amp;D1821</f>
        <v>Lignite fired power plants/Steam turbine/CHP/L</v>
      </c>
      <c r="F1821" s="78" t="str">
        <f>A1791</f>
        <v>Lignite fired power plants</v>
      </c>
      <c r="G1821" s="78" t="str">
        <f>B1817</f>
        <v>Steam turbine</v>
      </c>
      <c r="H1821" s="78" t="str">
        <f>C1821</f>
        <v>CHP</v>
      </c>
      <c r="I1821" s="165" t="str">
        <f t="shared" si="383"/>
        <v>L</v>
      </c>
      <c r="J1821" s="123">
        <f>IF(tech_base!$T77&gt;J$1745,"",(tech_base!$K77/tech_proj!J201*0.086*$J$132)/(1-tech_proj!J481))</f>
        <v>0</v>
      </c>
      <c r="K1821" s="123">
        <f>IF(tech_base!$T77&gt;K$1745,"",(tech_base!$K77/tech_proj!K201*0.086*$J$132)/(1-tech_proj!K481))</f>
        <v>0</v>
      </c>
      <c r="L1821" s="123">
        <f>IF(tech_base!$T77&gt;L$1745,"",(tech_base!$K77/tech_proj!L201*0.086*$J$132)/(1-tech_proj!L481))</f>
        <v>0</v>
      </c>
      <c r="M1821" s="123">
        <f>IF(tech_base!$T77&gt;M$1745,"",(tech_base!$K77/tech_proj!M201*0.086*$J$132)/(1-tech_proj!M481))</f>
        <v>0</v>
      </c>
      <c r="N1821" s="123">
        <f>IF(tech_base!$T77&gt;N$1745,"",(tech_base!$K77/tech_proj!N201*0.086*$J$132)/(1-tech_proj!N481))</f>
        <v>0</v>
      </c>
      <c r="O1821" s="123">
        <f>IF(tech_base!$T77&gt;O$1745,"",(tech_base!$K77/tech_proj!O201*0.086*$J$132)/(1-tech_proj!O481))</f>
        <v>0</v>
      </c>
      <c r="P1821" s="123">
        <f>IF(tech_base!$T77&gt;P$1745,"",(tech_base!$K77/tech_proj!P201*0.086*$J$132)/(1-tech_proj!P481))</f>
        <v>0</v>
      </c>
      <c r="Q1821" s="123">
        <f>IF(tech_base!$T77&gt;Q$1745,"",(tech_base!$K77/tech_proj!Q201*0.086*$J$132)/(1-tech_proj!Q481))</f>
        <v>0</v>
      </c>
      <c r="R1821" s="123">
        <f>IF(tech_base!$T77&gt;R$1745,"",(tech_base!$K77/tech_proj!R201*0.086*$J$132)/(1-tech_proj!R481))</f>
        <v>0</v>
      </c>
      <c r="S1821" s="123">
        <f>IF(tech_base!$T77&gt;S$1745,"",(tech_base!$K77/tech_proj!S201*0.086*$J$132)/(1-tech_proj!S481))</f>
        <v>0</v>
      </c>
      <c r="T1821" s="123">
        <f>IF(tech_base!$T77&gt;T$1745,"",(tech_base!$K77/tech_proj!T201*0.086*$J$132)/(1-tech_proj!T481))</f>
        <v>0</v>
      </c>
      <c r="U1821" s="123">
        <f>IF(tech_base!$T77&gt;U$1745,"",(tech_base!$K77/tech_proj!U201*0.086*$J$132)/(1-tech_proj!U481))</f>
        <v>0</v>
      </c>
      <c r="V1821" s="123">
        <f>IF(tech_base!$T77&gt;V$1745,"",(tech_base!$K77/tech_proj!V201*0.086*$J$132)/(1-tech_proj!V481))</f>
        <v>0</v>
      </c>
      <c r="W1821" s="123">
        <f>IF(tech_base!$T77&gt;W$1745,"",(tech_base!$K77/tech_proj!W201*0.086*$J$132)/(1-tech_proj!W481))</f>
        <v>0</v>
      </c>
      <c r="X1821" s="123">
        <f>IF(tech_base!$T77&gt;X$1745,"",(tech_base!$K77/tech_proj!X201*0.086*$J$132)/(1-tech_proj!X481))</f>
        <v>0</v>
      </c>
      <c r="Y1821" s="123">
        <f>IF(tech_base!$T77&gt;Y$1745,"",(tech_base!$K77/tech_proj!Y201*0.086*$J$132)/(1-tech_proj!Y481))</f>
        <v>0</v>
      </c>
      <c r="Z1821" s="123">
        <f>IF(tech_base!$T77&gt;Z$1745,"",(tech_base!$K77/tech_proj!Z201*0.086*$J$132)/(1-tech_proj!Z481))</f>
        <v>0</v>
      </c>
      <c r="AA1821" s="123">
        <f>IF(tech_base!$T77&gt;AA$1745,"",(tech_base!$K77/tech_proj!AA201*0.086*$J$132)/(1-tech_proj!AA481))</f>
        <v>0</v>
      </c>
      <c r="AB1821" s="123">
        <f>IF(tech_base!$T77&gt;AB$1745,"",(tech_base!$K77/tech_proj!AB201*0.086*$J$132)/(1-tech_proj!AB481))</f>
        <v>0</v>
      </c>
      <c r="AC1821" s="123">
        <f>IF(tech_base!$T77&gt;AC$1745,"",(tech_base!$K77/tech_proj!AC201*0.086*$J$132)/(1-tech_proj!AC481))</f>
        <v>0</v>
      </c>
      <c r="AD1821" s="123">
        <f>IF(tech_base!$T77&gt;AD$1745,"",(tech_base!$K77/tech_proj!AD201*0.086*$J$132)/(1-tech_proj!AD481))</f>
        <v>0</v>
      </c>
      <c r="AE1821" s="123">
        <f>IF(tech_base!$T77&gt;AE$1745,"",(tech_base!$K77/tech_proj!AE201*0.086*$J$132)/(1-tech_proj!AE481))</f>
        <v>0</v>
      </c>
      <c r="AF1821" s="123">
        <f>IF(tech_base!$T77&gt;AF$1745,"",(tech_base!$K77/tech_proj!AF201*0.086*$J$132)/(1-tech_proj!AF481))</f>
        <v>0</v>
      </c>
      <c r="AG1821" s="123">
        <f>IF(tech_base!$T77&gt;AG$1745,"",(tech_base!$K77/tech_proj!AG201*0.086*$J$132)/(1-tech_proj!AG481))</f>
        <v>0</v>
      </c>
      <c r="AH1821" s="123">
        <f>IF(tech_base!$T77&gt;AH$1745,"",(tech_base!$K77/tech_proj!AH201*0.086*$J$132)/(1-tech_proj!AH481))</f>
        <v>0</v>
      </c>
      <c r="AI1821" s="123">
        <f>IF(tech_base!$T77&gt;AI$1745,"",(tech_base!$K77/tech_proj!AI201*0.086*$J$132)/(1-tech_proj!AI481))</f>
        <v>0</v>
      </c>
      <c r="AJ1821" s="123">
        <f>IF(tech_base!$T77&gt;AJ$1745,"",(tech_base!$K77/tech_proj!AJ201*0.086*$J$132)/(1-tech_proj!AJ481))</f>
        <v>0</v>
      </c>
      <c r="AK1821" s="123">
        <f>IF(tech_base!$T77&gt;AK$1745,"",(tech_base!$K77/tech_proj!AK201*0.086*$J$132)/(1-tech_proj!AK481))</f>
        <v>0</v>
      </c>
      <c r="AL1821" s="123">
        <f>IF(tech_base!$T77&gt;AL$1745,"",(tech_base!$K77/tech_proj!AL201*0.086*$J$132)/(1-tech_proj!AL481))</f>
        <v>0</v>
      </c>
      <c r="AM1821" s="123">
        <f>IF(tech_base!$T77&gt;AM$1745,"",(tech_base!$K77/tech_proj!AM201*0.086*$J$132)/(1-tech_proj!AM481))</f>
        <v>0</v>
      </c>
      <c r="AN1821" s="123">
        <f>IF(tech_base!$T77&gt;AN$1745,"",(tech_base!$K77/tech_proj!AN201*0.086*$J$132)/(1-tech_proj!AN481))</f>
        <v>0</v>
      </c>
      <c r="AO1821" s="123">
        <f>IF(tech_base!$T77&gt;AO$1745,"",(tech_base!$K77/tech_proj!AO201*0.086*$J$132)/(1-tech_proj!AO481))</f>
        <v>0</v>
      </c>
      <c r="AP1821" s="123">
        <f>IF(tech_base!$T77&gt;AP$1745,"",(tech_base!$K77/tech_proj!AP201*0.086*$J$132)/(1-tech_proj!AP481))</f>
        <v>0</v>
      </c>
      <c r="AQ1821" s="123">
        <f>IF(tech_base!$T77&gt;AQ$1745,"",(tech_base!$K77/tech_proj!AQ201*0.086*$J$132)/(1-tech_proj!AQ481))</f>
        <v>0</v>
      </c>
      <c r="AR1821" s="123">
        <f>IF(tech_base!$T77&gt;AR$1745,"",(tech_base!$K77/tech_proj!AR201*0.086*$J$132)/(1-tech_proj!AR481))</f>
        <v>0</v>
      </c>
      <c r="AS1821" s="123">
        <f>IF(tech_base!$T77&gt;AS$1745,"",(tech_base!$K77/tech_proj!AS201*0.086*$J$132)/(1-tech_proj!AS481))</f>
        <v>0</v>
      </c>
      <c r="AT1821" s="123">
        <f>IF(tech_base!$T77&gt;AT$1745,"",(tech_base!$K77/tech_proj!AT201*0.086*$J$132)/(1-tech_proj!AT481))</f>
        <v>0</v>
      </c>
      <c r="AU1821" s="123">
        <f>IF(tech_base!$T77&gt;AU$1745,"",(tech_base!$K77/tech_proj!AU201*0.086*$J$132)/(1-tech_proj!AU481))</f>
        <v>0</v>
      </c>
      <c r="AV1821" s="123">
        <f>IF(tech_base!$T77&gt;AV$1745,"",(tech_base!$K77/tech_proj!AV201*0.086*$J$132)/(1-tech_proj!AV481))</f>
        <v>0</v>
      </c>
      <c r="AW1821" s="123">
        <f>IF(tech_base!$T77&gt;AW$1745,"",(tech_base!$K77/tech_proj!AW201*0.086*$J$132)/(1-tech_proj!AW481))</f>
        <v>0</v>
      </c>
      <c r="AX1821" s="124">
        <f>IF(tech_base!$T77&gt;AX$1745,"",(tech_base!$K77/tech_proj!AX201*0.086*$J$132)/(1-tech_proj!AX481))</f>
        <v>0</v>
      </c>
    </row>
    <row r="1822" spans="1:50" x14ac:dyDescent="0.25">
      <c r="A1822" s="356"/>
      <c r="B1822" s="376"/>
      <c r="C1822" s="378"/>
      <c r="D1822" s="2" t="s">
        <v>8</v>
      </c>
      <c r="E1822" s="160" t="str">
        <f>A1791&amp;"/"&amp;B1817&amp;"/"&amp;C1821&amp;"/"&amp;D1822</f>
        <v>Lignite fired power plants/Steam turbine/CHP/M</v>
      </c>
      <c r="F1822" s="76" t="str">
        <f>A1791</f>
        <v>Lignite fired power plants</v>
      </c>
      <c r="G1822" s="76" t="str">
        <f>B1817</f>
        <v>Steam turbine</v>
      </c>
      <c r="H1822" s="76" t="str">
        <f>C1821</f>
        <v>CHP</v>
      </c>
      <c r="I1822" s="161" t="str">
        <f t="shared" si="383"/>
        <v>M</v>
      </c>
      <c r="J1822" s="119">
        <f>IF(tech_base!$T78&gt;J$1745,"",(tech_base!$K78/tech_proj!J202*0.086*$J$132)/(1-tech_proj!J482))</f>
        <v>0</v>
      </c>
      <c r="K1822" s="119">
        <f>IF(tech_base!$T78&gt;K$1745,"",(tech_base!$K78/tech_proj!K202*0.086*$J$132)/(1-tech_proj!K482))</f>
        <v>0</v>
      </c>
      <c r="L1822" s="119">
        <f>IF(tech_base!$T78&gt;L$1745,"",(tech_base!$K78/tech_proj!L202*0.086*$J$132)/(1-tech_proj!L482))</f>
        <v>0</v>
      </c>
      <c r="M1822" s="119">
        <f>IF(tech_base!$T78&gt;M$1745,"",(tech_base!$K78/tech_proj!M202*0.086*$J$132)/(1-tech_proj!M482))</f>
        <v>0</v>
      </c>
      <c r="N1822" s="119">
        <f>IF(tech_base!$T78&gt;N$1745,"",(tech_base!$K78/tech_proj!N202*0.086*$J$132)/(1-tech_proj!N482))</f>
        <v>0</v>
      </c>
      <c r="O1822" s="119">
        <f>IF(tech_base!$T78&gt;O$1745,"",(tech_base!$K78/tech_proj!O202*0.086*$J$132)/(1-tech_proj!O482))</f>
        <v>0</v>
      </c>
      <c r="P1822" s="119">
        <f>IF(tech_base!$T78&gt;P$1745,"",(tech_base!$K78/tech_proj!P202*0.086*$J$132)/(1-tech_proj!P482))</f>
        <v>0</v>
      </c>
      <c r="Q1822" s="119">
        <f>IF(tech_base!$T78&gt;Q$1745,"",(tech_base!$K78/tech_proj!Q202*0.086*$J$132)/(1-tech_proj!Q482))</f>
        <v>0</v>
      </c>
      <c r="R1822" s="119">
        <f>IF(tech_base!$T78&gt;R$1745,"",(tech_base!$K78/tech_proj!R202*0.086*$J$132)/(1-tech_proj!R482))</f>
        <v>0</v>
      </c>
      <c r="S1822" s="119">
        <f>IF(tech_base!$T78&gt;S$1745,"",(tech_base!$K78/tech_proj!S202*0.086*$J$132)/(1-tech_proj!S482))</f>
        <v>0</v>
      </c>
      <c r="T1822" s="119">
        <f>IF(tech_base!$T78&gt;T$1745,"",(tech_base!$K78/tech_proj!T202*0.086*$J$132)/(1-tech_proj!T482))</f>
        <v>0</v>
      </c>
      <c r="U1822" s="119">
        <f>IF(tech_base!$T78&gt;U$1745,"",(tech_base!$K78/tech_proj!U202*0.086*$J$132)/(1-tech_proj!U482))</f>
        <v>0</v>
      </c>
      <c r="V1822" s="119">
        <f>IF(tech_base!$T78&gt;V$1745,"",(tech_base!$K78/tech_proj!V202*0.086*$J$132)/(1-tech_proj!V482))</f>
        <v>0</v>
      </c>
      <c r="W1822" s="119">
        <f>IF(tech_base!$T78&gt;W$1745,"",(tech_base!$K78/tech_proj!W202*0.086*$J$132)/(1-tech_proj!W482))</f>
        <v>0</v>
      </c>
      <c r="X1822" s="119">
        <f>IF(tech_base!$T78&gt;X$1745,"",(tech_base!$K78/tech_proj!X202*0.086*$J$132)/(1-tech_proj!X482))</f>
        <v>0</v>
      </c>
      <c r="Y1822" s="119">
        <f>IF(tech_base!$T78&gt;Y$1745,"",(tech_base!$K78/tech_proj!Y202*0.086*$J$132)/(1-tech_proj!Y482))</f>
        <v>0</v>
      </c>
      <c r="Z1822" s="119">
        <f>IF(tech_base!$T78&gt;Z$1745,"",(tech_base!$K78/tech_proj!Z202*0.086*$J$132)/(1-tech_proj!Z482))</f>
        <v>0</v>
      </c>
      <c r="AA1822" s="119">
        <f>IF(tech_base!$T78&gt;AA$1745,"",(tech_base!$K78/tech_proj!AA202*0.086*$J$132)/(1-tech_proj!AA482))</f>
        <v>0</v>
      </c>
      <c r="AB1822" s="119">
        <f>IF(tech_base!$T78&gt;AB$1745,"",(tech_base!$K78/tech_proj!AB202*0.086*$J$132)/(1-tech_proj!AB482))</f>
        <v>0</v>
      </c>
      <c r="AC1822" s="119">
        <f>IF(tech_base!$T78&gt;AC$1745,"",(tech_base!$K78/tech_proj!AC202*0.086*$J$132)/(1-tech_proj!AC482))</f>
        <v>0</v>
      </c>
      <c r="AD1822" s="119">
        <f>IF(tech_base!$T78&gt;AD$1745,"",(tech_base!$K78/tech_proj!AD202*0.086*$J$132)/(1-tech_proj!AD482))</f>
        <v>0</v>
      </c>
      <c r="AE1822" s="119">
        <f>IF(tech_base!$T78&gt;AE$1745,"",(tech_base!$K78/tech_proj!AE202*0.086*$J$132)/(1-tech_proj!AE482))</f>
        <v>0</v>
      </c>
      <c r="AF1822" s="119">
        <f>IF(tech_base!$T78&gt;AF$1745,"",(tech_base!$K78/tech_proj!AF202*0.086*$J$132)/(1-tech_proj!AF482))</f>
        <v>0</v>
      </c>
      <c r="AG1822" s="119">
        <f>IF(tech_base!$T78&gt;AG$1745,"",(tech_base!$K78/tech_proj!AG202*0.086*$J$132)/(1-tech_proj!AG482))</f>
        <v>0</v>
      </c>
      <c r="AH1822" s="119">
        <f>IF(tech_base!$T78&gt;AH$1745,"",(tech_base!$K78/tech_proj!AH202*0.086*$J$132)/(1-tech_proj!AH482))</f>
        <v>0</v>
      </c>
      <c r="AI1822" s="119">
        <f>IF(tech_base!$T78&gt;AI$1745,"",(tech_base!$K78/tech_proj!AI202*0.086*$J$132)/(1-tech_proj!AI482))</f>
        <v>0</v>
      </c>
      <c r="AJ1822" s="119">
        <f>IF(tech_base!$T78&gt;AJ$1745,"",(tech_base!$K78/tech_proj!AJ202*0.086*$J$132)/(1-tech_proj!AJ482))</f>
        <v>0</v>
      </c>
      <c r="AK1822" s="119">
        <f>IF(tech_base!$T78&gt;AK$1745,"",(tech_base!$K78/tech_proj!AK202*0.086*$J$132)/(1-tech_proj!AK482))</f>
        <v>0</v>
      </c>
      <c r="AL1822" s="119">
        <f>IF(tech_base!$T78&gt;AL$1745,"",(tech_base!$K78/tech_proj!AL202*0.086*$J$132)/(1-tech_proj!AL482))</f>
        <v>0</v>
      </c>
      <c r="AM1822" s="119">
        <f>IF(tech_base!$T78&gt;AM$1745,"",(tech_base!$K78/tech_proj!AM202*0.086*$J$132)/(1-tech_proj!AM482))</f>
        <v>0</v>
      </c>
      <c r="AN1822" s="119">
        <f>IF(tech_base!$T78&gt;AN$1745,"",(tech_base!$K78/tech_proj!AN202*0.086*$J$132)/(1-tech_proj!AN482))</f>
        <v>0</v>
      </c>
      <c r="AO1822" s="119">
        <f>IF(tech_base!$T78&gt;AO$1745,"",(tech_base!$K78/tech_proj!AO202*0.086*$J$132)/(1-tech_proj!AO482))</f>
        <v>0</v>
      </c>
      <c r="AP1822" s="119">
        <f>IF(tech_base!$T78&gt;AP$1745,"",(tech_base!$K78/tech_proj!AP202*0.086*$J$132)/(1-tech_proj!AP482))</f>
        <v>0</v>
      </c>
      <c r="AQ1822" s="119">
        <f>IF(tech_base!$T78&gt;AQ$1745,"",(tech_base!$K78/tech_proj!AQ202*0.086*$J$132)/(1-tech_proj!AQ482))</f>
        <v>0</v>
      </c>
      <c r="AR1822" s="119">
        <f>IF(tech_base!$T78&gt;AR$1745,"",(tech_base!$K78/tech_proj!AR202*0.086*$J$132)/(1-tech_proj!AR482))</f>
        <v>0</v>
      </c>
      <c r="AS1822" s="119">
        <f>IF(tech_base!$T78&gt;AS$1745,"",(tech_base!$K78/tech_proj!AS202*0.086*$J$132)/(1-tech_proj!AS482))</f>
        <v>0</v>
      </c>
      <c r="AT1822" s="119">
        <f>IF(tech_base!$T78&gt;AT$1745,"",(tech_base!$K78/tech_proj!AT202*0.086*$J$132)/(1-tech_proj!AT482))</f>
        <v>0</v>
      </c>
      <c r="AU1822" s="119">
        <f>IF(tech_base!$T78&gt;AU$1745,"",(tech_base!$K78/tech_proj!AU202*0.086*$J$132)/(1-tech_proj!AU482))</f>
        <v>0</v>
      </c>
      <c r="AV1822" s="119">
        <f>IF(tech_base!$T78&gt;AV$1745,"",(tech_base!$K78/tech_proj!AV202*0.086*$J$132)/(1-tech_proj!AV482))</f>
        <v>0</v>
      </c>
      <c r="AW1822" s="119">
        <f>IF(tech_base!$T78&gt;AW$1745,"",(tech_base!$K78/tech_proj!AW202*0.086*$J$132)/(1-tech_proj!AW482))</f>
        <v>0</v>
      </c>
      <c r="AX1822" s="120">
        <f>IF(tech_base!$T78&gt;AX$1745,"",(tech_base!$K78/tech_proj!AX202*0.086*$J$132)/(1-tech_proj!AX482))</f>
        <v>0</v>
      </c>
    </row>
    <row r="1823" spans="1:50" x14ac:dyDescent="0.25">
      <c r="A1823" s="356"/>
      <c r="B1823" s="376"/>
      <c r="C1823" s="378"/>
      <c r="D1823" s="2" t="s">
        <v>10</v>
      </c>
      <c r="E1823" s="160" t="str">
        <f>A1791&amp;"/"&amp;B1817&amp;"/"&amp;C1821&amp;"/"&amp;D1823</f>
        <v>Lignite fired power plants/Steam turbine/CHP/S</v>
      </c>
      <c r="F1823" s="76" t="str">
        <f>A1791</f>
        <v>Lignite fired power plants</v>
      </c>
      <c r="G1823" s="76" t="str">
        <f>B1817</f>
        <v>Steam turbine</v>
      </c>
      <c r="H1823" s="76" t="str">
        <f>C1821</f>
        <v>CHP</v>
      </c>
      <c r="I1823" s="161" t="str">
        <f t="shared" si="383"/>
        <v>S</v>
      </c>
      <c r="J1823" s="119">
        <f>IF(tech_base!$T79&gt;J$1745,"",(tech_base!$K79/tech_proj!J203*0.086*$J$132)/(1-tech_proj!J483))</f>
        <v>0</v>
      </c>
      <c r="K1823" s="119">
        <f>IF(tech_base!$T79&gt;K$1745,"",(tech_base!$K79/tech_proj!K203*0.086*$J$132)/(1-tech_proj!K483))</f>
        <v>0</v>
      </c>
      <c r="L1823" s="119">
        <f>IF(tech_base!$T79&gt;L$1745,"",(tech_base!$K79/tech_proj!L203*0.086*$J$132)/(1-tech_proj!L483))</f>
        <v>0</v>
      </c>
      <c r="M1823" s="119">
        <f>IF(tech_base!$T79&gt;M$1745,"",(tech_base!$K79/tech_proj!M203*0.086*$J$132)/(1-tech_proj!M483))</f>
        <v>0</v>
      </c>
      <c r="N1823" s="119">
        <f>IF(tech_base!$T79&gt;N$1745,"",(tech_base!$K79/tech_proj!N203*0.086*$J$132)/(1-tech_proj!N483))</f>
        <v>0</v>
      </c>
      <c r="O1823" s="119">
        <f>IF(tech_base!$T79&gt;O$1745,"",(tech_base!$K79/tech_proj!O203*0.086*$J$132)/(1-tech_proj!O483))</f>
        <v>0</v>
      </c>
      <c r="P1823" s="119">
        <f>IF(tech_base!$T79&gt;P$1745,"",(tech_base!$K79/tech_proj!P203*0.086*$J$132)/(1-tech_proj!P483))</f>
        <v>0</v>
      </c>
      <c r="Q1823" s="119">
        <f>IF(tech_base!$T79&gt;Q$1745,"",(tech_base!$K79/tech_proj!Q203*0.086*$J$132)/(1-tech_proj!Q483))</f>
        <v>0</v>
      </c>
      <c r="R1823" s="119">
        <f>IF(tech_base!$T79&gt;R$1745,"",(tech_base!$K79/tech_proj!R203*0.086*$J$132)/(1-tech_proj!R483))</f>
        <v>0</v>
      </c>
      <c r="S1823" s="119">
        <f>IF(tech_base!$T79&gt;S$1745,"",(tech_base!$K79/tech_proj!S203*0.086*$J$132)/(1-tech_proj!S483))</f>
        <v>0</v>
      </c>
      <c r="T1823" s="119">
        <f>IF(tech_base!$T79&gt;T$1745,"",(tech_base!$K79/tech_proj!T203*0.086*$J$132)/(1-tech_proj!T483))</f>
        <v>0</v>
      </c>
      <c r="U1823" s="119">
        <f>IF(tech_base!$T79&gt;U$1745,"",(tech_base!$K79/tech_proj!U203*0.086*$J$132)/(1-tech_proj!U483))</f>
        <v>0</v>
      </c>
      <c r="V1823" s="119">
        <f>IF(tech_base!$T79&gt;V$1745,"",(tech_base!$K79/tech_proj!V203*0.086*$J$132)/(1-tech_proj!V483))</f>
        <v>0</v>
      </c>
      <c r="W1823" s="119">
        <f>IF(tech_base!$T79&gt;W$1745,"",(tech_base!$K79/tech_proj!W203*0.086*$J$132)/(1-tech_proj!W483))</f>
        <v>0</v>
      </c>
      <c r="X1823" s="119">
        <f>IF(tech_base!$T79&gt;X$1745,"",(tech_base!$K79/tech_proj!X203*0.086*$J$132)/(1-tech_proj!X483))</f>
        <v>0</v>
      </c>
      <c r="Y1823" s="119">
        <f>IF(tech_base!$T79&gt;Y$1745,"",(tech_base!$K79/tech_proj!Y203*0.086*$J$132)/(1-tech_proj!Y483))</f>
        <v>0</v>
      </c>
      <c r="Z1823" s="119">
        <f>IF(tech_base!$T79&gt;Z$1745,"",(tech_base!$K79/tech_proj!Z203*0.086*$J$132)/(1-tech_proj!Z483))</f>
        <v>0</v>
      </c>
      <c r="AA1823" s="119">
        <f>IF(tech_base!$T79&gt;AA$1745,"",(tech_base!$K79/tech_proj!AA203*0.086*$J$132)/(1-tech_proj!AA483))</f>
        <v>0</v>
      </c>
      <c r="AB1823" s="119">
        <f>IF(tech_base!$T79&gt;AB$1745,"",(tech_base!$K79/tech_proj!AB203*0.086*$J$132)/(1-tech_proj!AB483))</f>
        <v>0</v>
      </c>
      <c r="AC1823" s="119">
        <f>IF(tech_base!$T79&gt;AC$1745,"",(tech_base!$K79/tech_proj!AC203*0.086*$J$132)/(1-tech_proj!AC483))</f>
        <v>0</v>
      </c>
      <c r="AD1823" s="119">
        <f>IF(tech_base!$T79&gt;AD$1745,"",(tech_base!$K79/tech_proj!AD203*0.086*$J$132)/(1-tech_proj!AD483))</f>
        <v>0</v>
      </c>
      <c r="AE1823" s="119">
        <f>IF(tech_base!$T79&gt;AE$1745,"",(tech_base!$K79/tech_proj!AE203*0.086*$J$132)/(1-tech_proj!AE483))</f>
        <v>0</v>
      </c>
      <c r="AF1823" s="119">
        <f>IF(tech_base!$T79&gt;AF$1745,"",(tech_base!$K79/tech_proj!AF203*0.086*$J$132)/(1-tech_proj!AF483))</f>
        <v>0</v>
      </c>
      <c r="AG1823" s="119">
        <f>IF(tech_base!$T79&gt;AG$1745,"",(tech_base!$K79/tech_proj!AG203*0.086*$J$132)/(1-tech_proj!AG483))</f>
        <v>0</v>
      </c>
      <c r="AH1823" s="119">
        <f>IF(tech_base!$T79&gt;AH$1745,"",(tech_base!$K79/tech_proj!AH203*0.086*$J$132)/(1-tech_proj!AH483))</f>
        <v>0</v>
      </c>
      <c r="AI1823" s="119">
        <f>IF(tech_base!$T79&gt;AI$1745,"",(tech_base!$K79/tech_proj!AI203*0.086*$J$132)/(1-tech_proj!AI483))</f>
        <v>0</v>
      </c>
      <c r="AJ1823" s="119">
        <f>IF(tech_base!$T79&gt;AJ$1745,"",(tech_base!$K79/tech_proj!AJ203*0.086*$J$132)/(1-tech_proj!AJ483))</f>
        <v>0</v>
      </c>
      <c r="AK1823" s="119">
        <f>IF(tech_base!$T79&gt;AK$1745,"",(tech_base!$K79/tech_proj!AK203*0.086*$J$132)/(1-tech_proj!AK483))</f>
        <v>0</v>
      </c>
      <c r="AL1823" s="119">
        <f>IF(tech_base!$T79&gt;AL$1745,"",(tech_base!$K79/tech_proj!AL203*0.086*$J$132)/(1-tech_proj!AL483))</f>
        <v>0</v>
      </c>
      <c r="AM1823" s="119">
        <f>IF(tech_base!$T79&gt;AM$1745,"",(tech_base!$K79/tech_proj!AM203*0.086*$J$132)/(1-tech_proj!AM483))</f>
        <v>0</v>
      </c>
      <c r="AN1823" s="119">
        <f>IF(tech_base!$T79&gt;AN$1745,"",(tech_base!$K79/tech_proj!AN203*0.086*$J$132)/(1-tech_proj!AN483))</f>
        <v>0</v>
      </c>
      <c r="AO1823" s="119">
        <f>IF(tech_base!$T79&gt;AO$1745,"",(tech_base!$K79/tech_proj!AO203*0.086*$J$132)/(1-tech_proj!AO483))</f>
        <v>0</v>
      </c>
      <c r="AP1823" s="119">
        <f>IF(tech_base!$T79&gt;AP$1745,"",(tech_base!$K79/tech_proj!AP203*0.086*$J$132)/(1-tech_proj!AP483))</f>
        <v>0</v>
      </c>
      <c r="AQ1823" s="119">
        <f>IF(tech_base!$T79&gt;AQ$1745,"",(tech_base!$K79/tech_proj!AQ203*0.086*$J$132)/(1-tech_proj!AQ483))</f>
        <v>0</v>
      </c>
      <c r="AR1823" s="119">
        <f>IF(tech_base!$T79&gt;AR$1745,"",(tech_base!$K79/tech_proj!AR203*0.086*$J$132)/(1-tech_proj!AR483))</f>
        <v>0</v>
      </c>
      <c r="AS1823" s="119">
        <f>IF(tech_base!$T79&gt;AS$1745,"",(tech_base!$K79/tech_proj!AS203*0.086*$J$132)/(1-tech_proj!AS483))</f>
        <v>0</v>
      </c>
      <c r="AT1823" s="119">
        <f>IF(tech_base!$T79&gt;AT$1745,"",(tech_base!$K79/tech_proj!AT203*0.086*$J$132)/(1-tech_proj!AT483))</f>
        <v>0</v>
      </c>
      <c r="AU1823" s="119">
        <f>IF(tech_base!$T79&gt;AU$1745,"",(tech_base!$K79/tech_proj!AU203*0.086*$J$132)/(1-tech_proj!AU483))</f>
        <v>0</v>
      </c>
      <c r="AV1823" s="119">
        <f>IF(tech_base!$T79&gt;AV$1745,"",(tech_base!$K79/tech_proj!AV203*0.086*$J$132)/(1-tech_proj!AV483))</f>
        <v>0</v>
      </c>
      <c r="AW1823" s="119">
        <f>IF(tech_base!$T79&gt;AW$1745,"",(tech_base!$K79/tech_proj!AW203*0.086*$J$132)/(1-tech_proj!AW483))</f>
        <v>0</v>
      </c>
      <c r="AX1823" s="120">
        <f>IF(tech_base!$T79&gt;AX$1745,"",(tech_base!$K79/tech_proj!AX203*0.086*$J$132)/(1-tech_proj!AX483))</f>
        <v>0</v>
      </c>
    </row>
    <row r="1824" spans="1:50" x14ac:dyDescent="0.25">
      <c r="A1824" s="356"/>
      <c r="B1824" s="376"/>
      <c r="C1824" s="379"/>
      <c r="D1824" s="59" t="s">
        <v>20</v>
      </c>
      <c r="E1824" s="166" t="str">
        <f>A1791&amp;"/"&amp;B1817&amp;"/"&amp;C1821&amp;"/"&amp;D1824</f>
        <v>Lignite fired power plants/Steam turbine/CHP/XS</v>
      </c>
      <c r="F1824" s="79" t="str">
        <f>A1791</f>
        <v>Lignite fired power plants</v>
      </c>
      <c r="G1824" s="79" t="str">
        <f>B1817</f>
        <v>Steam turbine</v>
      </c>
      <c r="H1824" s="79" t="str">
        <f>C1821</f>
        <v>CHP</v>
      </c>
      <c r="I1824" s="167" t="str">
        <f t="shared" si="383"/>
        <v>XS</v>
      </c>
      <c r="J1824" s="125">
        <f>IF(tech_base!$T80&gt;J$1745,"",(tech_base!$K80/tech_proj!J204*0.086*$J$132)/(1-tech_proj!J484))</f>
        <v>0</v>
      </c>
      <c r="K1824" s="125">
        <f>IF(tech_base!$T80&gt;K$1745,"",(tech_base!$K80/tech_proj!K204*0.086*$J$132)/(1-tech_proj!K484))</f>
        <v>0</v>
      </c>
      <c r="L1824" s="125">
        <f>IF(tech_base!$T80&gt;L$1745,"",(tech_base!$K80/tech_proj!L204*0.086*$J$132)/(1-tech_proj!L484))</f>
        <v>0</v>
      </c>
      <c r="M1824" s="125">
        <f>IF(tech_base!$T80&gt;M$1745,"",(tech_base!$K80/tech_proj!M204*0.086*$J$132)/(1-tech_proj!M484))</f>
        <v>0</v>
      </c>
      <c r="N1824" s="125">
        <f>IF(tech_base!$T80&gt;N$1745,"",(tech_base!$K80/tech_proj!N204*0.086*$J$132)/(1-tech_proj!N484))</f>
        <v>0</v>
      </c>
      <c r="O1824" s="125">
        <f>IF(tech_base!$T80&gt;O$1745,"",(tech_base!$K80/tech_proj!O204*0.086*$J$132)/(1-tech_proj!O484))</f>
        <v>0</v>
      </c>
      <c r="P1824" s="125">
        <f>IF(tech_base!$T80&gt;P$1745,"",(tech_base!$K80/tech_proj!P204*0.086*$J$132)/(1-tech_proj!P484))</f>
        <v>0</v>
      </c>
      <c r="Q1824" s="125">
        <f>IF(tech_base!$T80&gt;Q$1745,"",(tech_base!$K80/tech_proj!Q204*0.086*$J$132)/(1-tech_proj!Q484))</f>
        <v>0</v>
      </c>
      <c r="R1824" s="125">
        <f>IF(tech_base!$T80&gt;R$1745,"",(tech_base!$K80/tech_proj!R204*0.086*$J$132)/(1-tech_proj!R484))</f>
        <v>0</v>
      </c>
      <c r="S1824" s="125">
        <f>IF(tech_base!$T80&gt;S$1745,"",(tech_base!$K80/tech_proj!S204*0.086*$J$132)/(1-tech_proj!S484))</f>
        <v>0</v>
      </c>
      <c r="T1824" s="125">
        <f>IF(tech_base!$T80&gt;T$1745,"",(tech_base!$K80/tech_proj!T204*0.086*$J$132)/(1-tech_proj!T484))</f>
        <v>0</v>
      </c>
      <c r="U1824" s="125">
        <f>IF(tech_base!$T80&gt;U$1745,"",(tech_base!$K80/tech_proj!U204*0.086*$J$132)/(1-tech_proj!U484))</f>
        <v>0</v>
      </c>
      <c r="V1824" s="125">
        <f>IF(tech_base!$T80&gt;V$1745,"",(tech_base!$K80/tech_proj!V204*0.086*$J$132)/(1-tech_proj!V484))</f>
        <v>0</v>
      </c>
      <c r="W1824" s="125">
        <f>IF(tech_base!$T80&gt;W$1745,"",(tech_base!$K80/tech_proj!W204*0.086*$J$132)/(1-tech_proj!W484))</f>
        <v>0</v>
      </c>
      <c r="X1824" s="125">
        <f>IF(tech_base!$T80&gt;X$1745,"",(tech_base!$K80/tech_proj!X204*0.086*$J$132)/(1-tech_proj!X484))</f>
        <v>0</v>
      </c>
      <c r="Y1824" s="125">
        <f>IF(tech_base!$T80&gt;Y$1745,"",(tech_base!$K80/tech_proj!Y204*0.086*$J$132)/(1-tech_proj!Y484))</f>
        <v>0</v>
      </c>
      <c r="Z1824" s="125">
        <f>IF(tech_base!$T80&gt;Z$1745,"",(tech_base!$K80/tech_proj!Z204*0.086*$J$132)/(1-tech_proj!Z484))</f>
        <v>0</v>
      </c>
      <c r="AA1824" s="125">
        <f>IF(tech_base!$T80&gt;AA$1745,"",(tech_base!$K80/tech_proj!AA204*0.086*$J$132)/(1-tech_proj!AA484))</f>
        <v>0</v>
      </c>
      <c r="AB1824" s="125">
        <f>IF(tech_base!$T80&gt;AB$1745,"",(tech_base!$K80/tech_proj!AB204*0.086*$J$132)/(1-tech_proj!AB484))</f>
        <v>0</v>
      </c>
      <c r="AC1824" s="125">
        <f>IF(tech_base!$T80&gt;AC$1745,"",(tech_base!$K80/tech_proj!AC204*0.086*$J$132)/(1-tech_proj!AC484))</f>
        <v>0</v>
      </c>
      <c r="AD1824" s="125">
        <f>IF(tech_base!$T80&gt;AD$1745,"",(tech_base!$K80/tech_proj!AD204*0.086*$J$132)/(1-tech_proj!AD484))</f>
        <v>0</v>
      </c>
      <c r="AE1824" s="125">
        <f>IF(tech_base!$T80&gt;AE$1745,"",(tech_base!$K80/tech_proj!AE204*0.086*$J$132)/(1-tech_proj!AE484))</f>
        <v>0</v>
      </c>
      <c r="AF1824" s="125">
        <f>IF(tech_base!$T80&gt;AF$1745,"",(tech_base!$K80/tech_proj!AF204*0.086*$J$132)/(1-tech_proj!AF484))</f>
        <v>0</v>
      </c>
      <c r="AG1824" s="125">
        <f>IF(tech_base!$T80&gt;AG$1745,"",(tech_base!$K80/tech_proj!AG204*0.086*$J$132)/(1-tech_proj!AG484))</f>
        <v>0</v>
      </c>
      <c r="AH1824" s="125">
        <f>IF(tech_base!$T80&gt;AH$1745,"",(tech_base!$K80/tech_proj!AH204*0.086*$J$132)/(1-tech_proj!AH484))</f>
        <v>0</v>
      </c>
      <c r="AI1824" s="125">
        <f>IF(tech_base!$T80&gt;AI$1745,"",(tech_base!$K80/tech_proj!AI204*0.086*$J$132)/(1-tech_proj!AI484))</f>
        <v>0</v>
      </c>
      <c r="AJ1824" s="125">
        <f>IF(tech_base!$T80&gt;AJ$1745,"",(tech_base!$K80/tech_proj!AJ204*0.086*$J$132)/(1-tech_proj!AJ484))</f>
        <v>0</v>
      </c>
      <c r="AK1824" s="125">
        <f>IF(tech_base!$T80&gt;AK$1745,"",(tech_base!$K80/tech_proj!AK204*0.086*$J$132)/(1-tech_proj!AK484))</f>
        <v>0</v>
      </c>
      <c r="AL1824" s="125">
        <f>IF(tech_base!$T80&gt;AL$1745,"",(tech_base!$K80/tech_proj!AL204*0.086*$J$132)/(1-tech_proj!AL484))</f>
        <v>0</v>
      </c>
      <c r="AM1824" s="125">
        <f>IF(tech_base!$T80&gt;AM$1745,"",(tech_base!$K80/tech_proj!AM204*0.086*$J$132)/(1-tech_proj!AM484))</f>
        <v>0</v>
      </c>
      <c r="AN1824" s="125">
        <f>IF(tech_base!$T80&gt;AN$1745,"",(tech_base!$K80/tech_proj!AN204*0.086*$J$132)/(1-tech_proj!AN484))</f>
        <v>0</v>
      </c>
      <c r="AO1824" s="125">
        <f>IF(tech_base!$T80&gt;AO$1745,"",(tech_base!$K80/tech_proj!AO204*0.086*$J$132)/(1-tech_proj!AO484))</f>
        <v>0</v>
      </c>
      <c r="AP1824" s="125">
        <f>IF(tech_base!$T80&gt;AP$1745,"",(tech_base!$K80/tech_proj!AP204*0.086*$J$132)/(1-tech_proj!AP484))</f>
        <v>0</v>
      </c>
      <c r="AQ1824" s="125">
        <f>IF(tech_base!$T80&gt;AQ$1745,"",(tech_base!$K80/tech_proj!AQ204*0.086*$J$132)/(1-tech_proj!AQ484))</f>
        <v>0</v>
      </c>
      <c r="AR1824" s="125">
        <f>IF(tech_base!$T80&gt;AR$1745,"",(tech_base!$K80/tech_proj!AR204*0.086*$J$132)/(1-tech_proj!AR484))</f>
        <v>0</v>
      </c>
      <c r="AS1824" s="125">
        <f>IF(tech_base!$T80&gt;AS$1745,"",(tech_base!$K80/tech_proj!AS204*0.086*$J$132)/(1-tech_proj!AS484))</f>
        <v>0</v>
      </c>
      <c r="AT1824" s="125">
        <f>IF(tech_base!$T80&gt;AT$1745,"",(tech_base!$K80/tech_proj!AT204*0.086*$J$132)/(1-tech_proj!AT484))</f>
        <v>0</v>
      </c>
      <c r="AU1824" s="125">
        <f>IF(tech_base!$T80&gt;AU$1745,"",(tech_base!$K80/tech_proj!AU204*0.086*$J$132)/(1-tech_proj!AU484))</f>
        <v>0</v>
      </c>
      <c r="AV1824" s="125">
        <f>IF(tech_base!$T80&gt;AV$1745,"",(tech_base!$K80/tech_proj!AV204*0.086*$J$132)/(1-tech_proj!AV484))</f>
        <v>0</v>
      </c>
      <c r="AW1824" s="125">
        <f>IF(tech_base!$T80&gt;AW$1745,"",(tech_base!$K80/tech_proj!AW204*0.086*$J$132)/(1-tech_proj!AW484))</f>
        <v>0</v>
      </c>
      <c r="AX1824" s="126">
        <f>IF(tech_base!$T80&gt;AX$1745,"",(tech_base!$K80/tech_proj!AX204*0.086*$J$132)/(1-tech_proj!AX484))</f>
        <v>0</v>
      </c>
    </row>
    <row r="1825" spans="1:50" x14ac:dyDescent="0.25">
      <c r="A1825" s="356"/>
      <c r="B1825" s="376"/>
      <c r="C1825" s="361" t="s">
        <v>15</v>
      </c>
      <c r="D1825" s="58" t="s">
        <v>7</v>
      </c>
      <c r="E1825" s="164" t="str">
        <f>A1791&amp;"/"&amp;B1817&amp;"/"&amp;C1825&amp;"/"&amp;D1825</f>
        <v>Lignite fired power plants/Steam turbine/Electricity only with CCS/L</v>
      </c>
      <c r="F1825" s="78" t="str">
        <f>A1791</f>
        <v>Lignite fired power plants</v>
      </c>
      <c r="G1825" s="78" t="str">
        <f>B1817</f>
        <v>Steam turbine</v>
      </c>
      <c r="H1825" s="78" t="str">
        <f>C1825</f>
        <v>Electricity only with CCS</v>
      </c>
      <c r="I1825" s="165" t="str">
        <f t="shared" si="383"/>
        <v>L</v>
      </c>
      <c r="J1825" s="123" t="str">
        <f>IF(tech_base!$T81&gt;J$1745,"",(tech_base!$K81/tech_proj!J205*0.086*$J$132)/(1-tech_proj!J485))</f>
        <v/>
      </c>
      <c r="K1825" s="123" t="str">
        <f>IF(tech_base!$T81&gt;K$1745,"",(tech_base!$K81/tech_proj!K205*0.086*$J$132)/(1-tech_proj!K485))</f>
        <v/>
      </c>
      <c r="L1825" s="123" t="str">
        <f>IF(tech_base!$T81&gt;L$1745,"",(tech_base!$K81/tech_proj!L205*0.086*$J$132)/(1-tech_proj!L485))</f>
        <v/>
      </c>
      <c r="M1825" s="123" t="str">
        <f>IF(tech_base!$T81&gt;M$1745,"",(tech_base!$K81/tech_proj!M205*0.086*$J$132)/(1-tech_proj!M485))</f>
        <v/>
      </c>
      <c r="N1825" s="123" t="str">
        <f>IF(tech_base!$T81&gt;N$1745,"",(tech_base!$K81/tech_proj!N205*0.086*$J$132)/(1-tech_proj!N485))</f>
        <v/>
      </c>
      <c r="O1825" s="123" t="str">
        <f>IF(tech_base!$T81&gt;O$1745,"",(tech_base!$K81/tech_proj!O205*0.086*$J$132)/(1-tech_proj!O485))</f>
        <v/>
      </c>
      <c r="P1825" s="123" t="str">
        <f>IF(tech_base!$T81&gt;P$1745,"",(tech_base!$K81/tech_proj!P205*0.086*$J$132)/(1-tech_proj!P485))</f>
        <v/>
      </c>
      <c r="Q1825" s="123" t="str">
        <f>IF(tech_base!$T81&gt;Q$1745,"",(tech_base!$K81/tech_proj!Q205*0.086*$J$132)/(1-tech_proj!Q485))</f>
        <v/>
      </c>
      <c r="R1825" s="123" t="str">
        <f>IF(tech_base!$T81&gt;R$1745,"",(tech_base!$K81/tech_proj!R205*0.086*$J$132)/(1-tech_proj!R485))</f>
        <v/>
      </c>
      <c r="S1825" s="123" t="str">
        <f>IF(tech_base!$T81&gt;S$1745,"",(tech_base!$K81/tech_proj!S205*0.086*$J$132)/(1-tech_proj!S485))</f>
        <v/>
      </c>
      <c r="T1825" s="123" t="str">
        <f>IF(tech_base!$T81&gt;T$1745,"",(tech_base!$K81/tech_proj!T205*0.086*$J$132)/(1-tech_proj!T485))</f>
        <v/>
      </c>
      <c r="U1825" s="123" t="str">
        <f>IF(tech_base!$T81&gt;U$1745,"",(tech_base!$K81/tech_proj!U205*0.086*$J$132)/(1-tech_proj!U485))</f>
        <v/>
      </c>
      <c r="V1825" s="123" t="str">
        <f>IF(tech_base!$T81&gt;V$1745,"",(tech_base!$K81/tech_proj!V205*0.086*$J$132)/(1-tech_proj!V485))</f>
        <v/>
      </c>
      <c r="W1825" s="123" t="str">
        <f>IF(tech_base!$T81&gt;W$1745,"",(tech_base!$K81/tech_proj!W205*0.086*$J$132)/(1-tech_proj!W485))</f>
        <v/>
      </c>
      <c r="X1825" s="123" t="str">
        <f>IF(tech_base!$T81&gt;X$1745,"",(tech_base!$K81/tech_proj!X205*0.086*$J$132)/(1-tech_proj!X485))</f>
        <v/>
      </c>
      <c r="Y1825" s="123" t="str">
        <f>IF(tech_base!$T81&gt;Y$1745,"",(tech_base!$K81/tech_proj!Y205*0.086*$J$132)/(1-tech_proj!Y485))</f>
        <v/>
      </c>
      <c r="Z1825" s="123" t="str">
        <f>IF(tech_base!$T81&gt;Z$1745,"",(tech_base!$K81/tech_proj!Z205*0.086*$J$132)/(1-tech_proj!Z485))</f>
        <v/>
      </c>
      <c r="AA1825" s="123" t="str">
        <f>IF(tech_base!$T81&gt;AA$1745,"",(tech_base!$K81/tech_proj!AA205*0.086*$J$132)/(1-tech_proj!AA485))</f>
        <v/>
      </c>
      <c r="AB1825" s="123" t="str">
        <f>IF(tech_base!$T81&gt;AB$1745,"",(tech_base!$K81/tech_proj!AB205*0.086*$J$132)/(1-tech_proj!AB485))</f>
        <v/>
      </c>
      <c r="AC1825" s="123" t="str">
        <f>IF(tech_base!$T81&gt;AC$1745,"",(tech_base!$K81/tech_proj!AC205*0.086*$J$132)/(1-tech_proj!AC485))</f>
        <v/>
      </c>
      <c r="AD1825" s="123" t="str">
        <f>IF(tech_base!$T81&gt;AD$1745,"",(tech_base!$K81/tech_proj!AD205*0.086*$J$132)/(1-tech_proj!AD485))</f>
        <v/>
      </c>
      <c r="AE1825" s="123">
        <f>IF(tech_base!$T81&gt;AE$1745,"",(tech_base!$K81/tech_proj!AE205*0.086*$J$132)/(1-tech_proj!AE485))</f>
        <v>13.776010835687998</v>
      </c>
      <c r="AF1825" s="123">
        <f>IF(tech_base!$T81&gt;AF$1745,"",(tech_base!$K81/tech_proj!AF205*0.086*$J$132)/(1-tech_proj!AF485))</f>
        <v>13.776010835687998</v>
      </c>
      <c r="AG1825" s="123">
        <f>IF(tech_base!$T81&gt;AG$1745,"",(tech_base!$K81/tech_proj!AG205*0.086*$J$132)/(1-tech_proj!AG485))</f>
        <v>13.776010835687998</v>
      </c>
      <c r="AH1825" s="123">
        <f>IF(tech_base!$T81&gt;AH$1745,"",(tech_base!$K81/tech_proj!AH205*0.086*$J$132)/(1-tech_proj!AH485))</f>
        <v>13.776010835687998</v>
      </c>
      <c r="AI1825" s="123">
        <f>IF(tech_base!$T81&gt;AI$1745,"",(tech_base!$K81/tech_proj!AI205*0.086*$J$132)/(1-tech_proj!AI485))</f>
        <v>13.776010835687998</v>
      </c>
      <c r="AJ1825" s="123">
        <f>IF(tech_base!$T81&gt;AJ$1745,"",(tech_base!$K81/tech_proj!AJ205*0.086*$J$132)/(1-tech_proj!AJ485))</f>
        <v>13.776010835687998</v>
      </c>
      <c r="AK1825" s="123">
        <f>IF(tech_base!$T81&gt;AK$1745,"",(tech_base!$K81/tech_proj!AK205*0.086*$J$132)/(1-tech_proj!AK485))</f>
        <v>13.776010835687998</v>
      </c>
      <c r="AL1825" s="123">
        <f>IF(tech_base!$T81&gt;AL$1745,"",(tech_base!$K81/tech_proj!AL205*0.086*$J$132)/(1-tech_proj!AL485))</f>
        <v>13.776010835687998</v>
      </c>
      <c r="AM1825" s="123">
        <f>IF(tech_base!$T81&gt;AM$1745,"",(tech_base!$K81/tech_proj!AM205*0.086*$J$132)/(1-tech_proj!AM485))</f>
        <v>13.776010835687998</v>
      </c>
      <c r="AN1825" s="123">
        <f>IF(tech_base!$T81&gt;AN$1745,"",(tech_base!$K81/tech_proj!AN205*0.086*$J$132)/(1-tech_proj!AN485))</f>
        <v>13.776010835687998</v>
      </c>
      <c r="AO1825" s="123">
        <f>IF(tech_base!$T81&gt;AO$1745,"",(tech_base!$K81/tech_proj!AO205*0.086*$J$132)/(1-tech_proj!AO485))</f>
        <v>13.776010835687998</v>
      </c>
      <c r="AP1825" s="123">
        <f>IF(tech_base!$T81&gt;AP$1745,"",(tech_base!$K81/tech_proj!AP205*0.086*$J$132)/(1-tech_proj!AP485))</f>
        <v>13.776010835687998</v>
      </c>
      <c r="AQ1825" s="123">
        <f>IF(tech_base!$T81&gt;AQ$1745,"",(tech_base!$K81/tech_proj!AQ205*0.086*$J$132)/(1-tech_proj!AQ485))</f>
        <v>13.776010835687998</v>
      </c>
      <c r="AR1825" s="123">
        <f>IF(tech_base!$T81&gt;AR$1745,"",(tech_base!$K81/tech_proj!AR205*0.086*$J$132)/(1-tech_proj!AR485))</f>
        <v>13.776010835687998</v>
      </c>
      <c r="AS1825" s="123">
        <f>IF(tech_base!$T81&gt;AS$1745,"",(tech_base!$K81/tech_proj!AS205*0.086*$J$132)/(1-tech_proj!AS485))</f>
        <v>13.776010835687998</v>
      </c>
      <c r="AT1825" s="123">
        <f>IF(tech_base!$T81&gt;AT$1745,"",(tech_base!$K81/tech_proj!AT205*0.086*$J$132)/(1-tech_proj!AT485))</f>
        <v>13.776010835687998</v>
      </c>
      <c r="AU1825" s="123">
        <f>IF(tech_base!$T81&gt;AU$1745,"",(tech_base!$K81/tech_proj!AU205*0.086*$J$132)/(1-tech_proj!AU485))</f>
        <v>13.776010835687998</v>
      </c>
      <c r="AV1825" s="123">
        <f>IF(tech_base!$T81&gt;AV$1745,"",(tech_base!$K81/tech_proj!AV205*0.086*$J$132)/(1-tech_proj!AV485))</f>
        <v>13.776010835687998</v>
      </c>
      <c r="AW1825" s="123">
        <f>IF(tech_base!$T81&gt;AW$1745,"",(tech_base!$K81/tech_proj!AW205*0.086*$J$132)/(1-tech_proj!AW485))</f>
        <v>13.776010835687998</v>
      </c>
      <c r="AX1825" s="124">
        <f>IF(tech_base!$T81&gt;AX$1745,"",(tech_base!$K81/tech_proj!AX205*0.086*$J$132)/(1-tech_proj!AX485))</f>
        <v>13.776010835687998</v>
      </c>
    </row>
    <row r="1826" spans="1:50" x14ac:dyDescent="0.25">
      <c r="A1826" s="356"/>
      <c r="B1826" s="376"/>
      <c r="C1826" s="379"/>
      <c r="D1826" s="59" t="s">
        <v>8</v>
      </c>
      <c r="E1826" s="166" t="str">
        <f>A1791&amp;"/"&amp;B1817&amp;"/"&amp;C1825&amp;"/"&amp;D1826</f>
        <v>Lignite fired power plants/Steam turbine/Electricity only with CCS/M</v>
      </c>
      <c r="F1826" s="79" t="str">
        <f>A1791</f>
        <v>Lignite fired power plants</v>
      </c>
      <c r="G1826" s="79" t="str">
        <f>B1817</f>
        <v>Steam turbine</v>
      </c>
      <c r="H1826" s="79" t="str">
        <f>C1825</f>
        <v>Electricity only with CCS</v>
      </c>
      <c r="I1826" s="167" t="str">
        <f t="shared" si="383"/>
        <v>M</v>
      </c>
      <c r="J1826" s="125" t="str">
        <f>IF(tech_base!$T82&gt;J$1745,"",(tech_base!$K82/tech_proj!J206*0.086*$J$132)/(1-tech_proj!J486))</f>
        <v/>
      </c>
      <c r="K1826" s="125" t="str">
        <f>IF(tech_base!$T82&gt;K$1745,"",(tech_base!$K82/tech_proj!K206*0.086*$J$132)/(1-tech_proj!K486))</f>
        <v/>
      </c>
      <c r="L1826" s="125" t="str">
        <f>IF(tech_base!$T82&gt;L$1745,"",(tech_base!$K82/tech_proj!L206*0.086*$J$132)/(1-tech_proj!L486))</f>
        <v/>
      </c>
      <c r="M1826" s="125" t="str">
        <f>IF(tech_base!$T82&gt;M$1745,"",(tech_base!$K82/tech_proj!M206*0.086*$J$132)/(1-tech_proj!M486))</f>
        <v/>
      </c>
      <c r="N1826" s="125" t="str">
        <f>IF(tech_base!$T82&gt;N$1745,"",(tech_base!$K82/tech_proj!N206*0.086*$J$132)/(1-tech_proj!N486))</f>
        <v/>
      </c>
      <c r="O1826" s="125" t="str">
        <f>IF(tech_base!$T82&gt;O$1745,"",(tech_base!$K82/tech_proj!O206*0.086*$J$132)/(1-tech_proj!O486))</f>
        <v/>
      </c>
      <c r="P1826" s="125" t="str">
        <f>IF(tech_base!$T82&gt;P$1745,"",(tech_base!$K82/tech_proj!P206*0.086*$J$132)/(1-tech_proj!P486))</f>
        <v/>
      </c>
      <c r="Q1826" s="125" t="str">
        <f>IF(tech_base!$T82&gt;Q$1745,"",(tech_base!$K82/tech_proj!Q206*0.086*$J$132)/(1-tech_proj!Q486))</f>
        <v/>
      </c>
      <c r="R1826" s="125" t="str">
        <f>IF(tech_base!$T82&gt;R$1745,"",(tech_base!$K82/tech_proj!R206*0.086*$J$132)/(1-tech_proj!R486))</f>
        <v/>
      </c>
      <c r="S1826" s="125" t="str">
        <f>IF(tech_base!$T82&gt;S$1745,"",(tech_base!$K82/tech_proj!S206*0.086*$J$132)/(1-tech_proj!S486))</f>
        <v/>
      </c>
      <c r="T1826" s="125" t="str">
        <f>IF(tech_base!$T82&gt;T$1745,"",(tech_base!$K82/tech_proj!T206*0.086*$J$132)/(1-tech_proj!T486))</f>
        <v/>
      </c>
      <c r="U1826" s="125" t="str">
        <f>IF(tech_base!$T82&gt;U$1745,"",(tech_base!$K82/tech_proj!U206*0.086*$J$132)/(1-tech_proj!U486))</f>
        <v/>
      </c>
      <c r="V1826" s="125" t="str">
        <f>IF(tech_base!$T82&gt;V$1745,"",(tech_base!$K82/tech_proj!V206*0.086*$J$132)/(1-tech_proj!V486))</f>
        <v/>
      </c>
      <c r="W1826" s="125" t="str">
        <f>IF(tech_base!$T82&gt;W$1745,"",(tech_base!$K82/tech_proj!W206*0.086*$J$132)/(1-tech_proj!W486))</f>
        <v/>
      </c>
      <c r="X1826" s="125" t="str">
        <f>IF(tech_base!$T82&gt;X$1745,"",(tech_base!$K82/tech_proj!X206*0.086*$J$132)/(1-tech_proj!X486))</f>
        <v/>
      </c>
      <c r="Y1826" s="125" t="str">
        <f>IF(tech_base!$T82&gt;Y$1745,"",(tech_base!$K82/tech_proj!Y206*0.086*$J$132)/(1-tech_proj!Y486))</f>
        <v/>
      </c>
      <c r="Z1826" s="125" t="str">
        <f>IF(tech_base!$T82&gt;Z$1745,"",(tech_base!$K82/tech_proj!Z206*0.086*$J$132)/(1-tech_proj!Z486))</f>
        <v/>
      </c>
      <c r="AA1826" s="125" t="str">
        <f>IF(tech_base!$T82&gt;AA$1745,"",(tech_base!$K82/tech_proj!AA206*0.086*$J$132)/(1-tech_proj!AA486))</f>
        <v/>
      </c>
      <c r="AB1826" s="125" t="str">
        <f>IF(tech_base!$T82&gt;AB$1745,"",(tech_base!$K82/tech_proj!AB206*0.086*$J$132)/(1-tech_proj!AB486))</f>
        <v/>
      </c>
      <c r="AC1826" s="125" t="str">
        <f>IF(tech_base!$T82&gt;AC$1745,"",(tech_base!$K82/tech_proj!AC206*0.086*$J$132)/(1-tech_proj!AC486))</f>
        <v/>
      </c>
      <c r="AD1826" s="125" t="str">
        <f>IF(tech_base!$T82&gt;AD$1745,"",(tech_base!$K82/tech_proj!AD206*0.086*$J$132)/(1-tech_proj!AD486))</f>
        <v/>
      </c>
      <c r="AE1826" s="125">
        <f>IF(tech_base!$T82&gt;AE$1745,"",(tech_base!$K82/tech_proj!AE206*0.086*$J$132)/(1-tech_proj!AE486))</f>
        <v>14.781559071869601</v>
      </c>
      <c r="AF1826" s="125">
        <f>IF(tech_base!$T82&gt;AF$1745,"",(tech_base!$K82/tech_proj!AF206*0.086*$J$132)/(1-tech_proj!AF486))</f>
        <v>14.781559071869601</v>
      </c>
      <c r="AG1826" s="125">
        <f>IF(tech_base!$T82&gt;AG$1745,"",(tech_base!$K82/tech_proj!AG206*0.086*$J$132)/(1-tech_proj!AG486))</f>
        <v>14.781559071869601</v>
      </c>
      <c r="AH1826" s="125">
        <f>IF(tech_base!$T82&gt;AH$1745,"",(tech_base!$K82/tech_proj!AH206*0.086*$J$132)/(1-tech_proj!AH486))</f>
        <v>14.781559071869601</v>
      </c>
      <c r="AI1826" s="125">
        <f>IF(tech_base!$T82&gt;AI$1745,"",(tech_base!$K82/tech_proj!AI206*0.086*$J$132)/(1-tech_proj!AI486))</f>
        <v>14.781559071869601</v>
      </c>
      <c r="AJ1826" s="125">
        <f>IF(tech_base!$T82&gt;AJ$1745,"",(tech_base!$K82/tech_proj!AJ206*0.086*$J$132)/(1-tech_proj!AJ486))</f>
        <v>14.781559071869601</v>
      </c>
      <c r="AK1826" s="125">
        <f>IF(tech_base!$T82&gt;AK$1745,"",(tech_base!$K82/tech_proj!AK206*0.086*$J$132)/(1-tech_proj!AK486))</f>
        <v>14.781559071869601</v>
      </c>
      <c r="AL1826" s="125">
        <f>IF(tech_base!$T82&gt;AL$1745,"",(tech_base!$K82/tech_proj!AL206*0.086*$J$132)/(1-tech_proj!AL486))</f>
        <v>14.781559071869601</v>
      </c>
      <c r="AM1826" s="125">
        <f>IF(tech_base!$T82&gt;AM$1745,"",(tech_base!$K82/tech_proj!AM206*0.086*$J$132)/(1-tech_proj!AM486))</f>
        <v>14.781559071869601</v>
      </c>
      <c r="AN1826" s="125">
        <f>IF(tech_base!$T82&gt;AN$1745,"",(tech_base!$K82/tech_proj!AN206*0.086*$J$132)/(1-tech_proj!AN486))</f>
        <v>14.781559071869601</v>
      </c>
      <c r="AO1826" s="125">
        <f>IF(tech_base!$T82&gt;AO$1745,"",(tech_base!$K82/tech_proj!AO206*0.086*$J$132)/(1-tech_proj!AO486))</f>
        <v>14.781559071869601</v>
      </c>
      <c r="AP1826" s="125">
        <f>IF(tech_base!$T82&gt;AP$1745,"",(tech_base!$K82/tech_proj!AP206*0.086*$J$132)/(1-tech_proj!AP486))</f>
        <v>14.781559071869601</v>
      </c>
      <c r="AQ1826" s="125">
        <f>IF(tech_base!$T82&gt;AQ$1745,"",(tech_base!$K82/tech_proj!AQ206*0.086*$J$132)/(1-tech_proj!AQ486))</f>
        <v>14.781559071869601</v>
      </c>
      <c r="AR1826" s="125">
        <f>IF(tech_base!$T82&gt;AR$1745,"",(tech_base!$K82/tech_proj!AR206*0.086*$J$132)/(1-tech_proj!AR486))</f>
        <v>14.781559071869601</v>
      </c>
      <c r="AS1826" s="125">
        <f>IF(tech_base!$T82&gt;AS$1745,"",(tech_base!$K82/tech_proj!AS206*0.086*$J$132)/(1-tech_proj!AS486))</f>
        <v>14.781559071869601</v>
      </c>
      <c r="AT1826" s="125">
        <f>IF(tech_base!$T82&gt;AT$1745,"",(tech_base!$K82/tech_proj!AT206*0.086*$J$132)/(1-tech_proj!AT486))</f>
        <v>14.781559071869601</v>
      </c>
      <c r="AU1826" s="125">
        <f>IF(tech_base!$T82&gt;AU$1745,"",(tech_base!$K82/tech_proj!AU206*0.086*$J$132)/(1-tech_proj!AU486))</f>
        <v>14.781559071869601</v>
      </c>
      <c r="AV1826" s="125">
        <f>IF(tech_base!$T82&gt;AV$1745,"",(tech_base!$K82/tech_proj!AV206*0.086*$J$132)/(1-tech_proj!AV486))</f>
        <v>14.781559071869601</v>
      </c>
      <c r="AW1826" s="125">
        <f>IF(tech_base!$T82&gt;AW$1745,"",(tech_base!$K82/tech_proj!AW206*0.086*$J$132)/(1-tech_proj!AW486))</f>
        <v>14.781559071869601</v>
      </c>
      <c r="AX1826" s="126">
        <f>IF(tech_base!$T82&gt;AX$1745,"",(tech_base!$K82/tech_proj!AX206*0.086*$J$132)/(1-tech_proj!AX486))</f>
        <v>14.781559071869601</v>
      </c>
    </row>
    <row r="1827" spans="1:50" x14ac:dyDescent="0.25">
      <c r="A1827" s="356"/>
      <c r="B1827" s="376"/>
      <c r="C1827" s="361" t="s">
        <v>16</v>
      </c>
      <c r="D1827" s="2" t="s">
        <v>7</v>
      </c>
      <c r="E1827" s="160" t="str">
        <f>A1791&amp;"/"&amp;B1817&amp;"/"&amp;C1827&amp;"/"&amp;D1827</f>
        <v>Lignite fired power plants/Steam turbine/CHP with CCS/L</v>
      </c>
      <c r="F1827" s="76" t="str">
        <f>A1791</f>
        <v>Lignite fired power plants</v>
      </c>
      <c r="G1827" s="76" t="str">
        <f>B1817</f>
        <v>Steam turbine</v>
      </c>
      <c r="H1827" s="76" t="str">
        <f>C1827</f>
        <v>CHP with CCS</v>
      </c>
      <c r="I1827" s="161" t="str">
        <f t="shared" si="383"/>
        <v>L</v>
      </c>
      <c r="J1827" s="119" t="str">
        <f>IF(tech_base!$T83&gt;J$1745,"",(tech_base!$K83/tech_proj!J207*0.086*$J$132)/(1-tech_proj!J487))</f>
        <v/>
      </c>
      <c r="K1827" s="119" t="str">
        <f>IF(tech_base!$T83&gt;K$1745,"",(tech_base!$K83/tech_proj!K207*0.086*$J$132)/(1-tech_proj!K487))</f>
        <v/>
      </c>
      <c r="L1827" s="119" t="str">
        <f>IF(tech_base!$T83&gt;L$1745,"",(tech_base!$K83/tech_proj!L207*0.086*$J$132)/(1-tech_proj!L487))</f>
        <v/>
      </c>
      <c r="M1827" s="119" t="str">
        <f>IF(tech_base!$T83&gt;M$1745,"",(tech_base!$K83/tech_proj!M207*0.086*$J$132)/(1-tech_proj!M487))</f>
        <v/>
      </c>
      <c r="N1827" s="119" t="str">
        <f>IF(tech_base!$T83&gt;N$1745,"",(tech_base!$K83/tech_proj!N207*0.086*$J$132)/(1-tech_proj!N487))</f>
        <v/>
      </c>
      <c r="O1827" s="119" t="str">
        <f>IF(tech_base!$T83&gt;O$1745,"",(tech_base!$K83/tech_proj!O207*0.086*$J$132)/(1-tech_proj!O487))</f>
        <v/>
      </c>
      <c r="P1827" s="119" t="str">
        <f>IF(tech_base!$T83&gt;P$1745,"",(tech_base!$K83/tech_proj!P207*0.086*$J$132)/(1-tech_proj!P487))</f>
        <v/>
      </c>
      <c r="Q1827" s="119" t="str">
        <f>IF(tech_base!$T83&gt;Q$1745,"",(tech_base!$K83/tech_proj!Q207*0.086*$J$132)/(1-tech_proj!Q487))</f>
        <v/>
      </c>
      <c r="R1827" s="119" t="str">
        <f>IF(tech_base!$T83&gt;R$1745,"",(tech_base!$K83/tech_proj!R207*0.086*$J$132)/(1-tech_proj!R487))</f>
        <v/>
      </c>
      <c r="S1827" s="119" t="str">
        <f>IF(tech_base!$T83&gt;S$1745,"",(tech_base!$K83/tech_proj!S207*0.086*$J$132)/(1-tech_proj!S487))</f>
        <v/>
      </c>
      <c r="T1827" s="119" t="str">
        <f>IF(tech_base!$T83&gt;T$1745,"",(tech_base!$K83/tech_proj!T207*0.086*$J$132)/(1-tech_proj!T487))</f>
        <v/>
      </c>
      <c r="U1827" s="119" t="str">
        <f>IF(tech_base!$T83&gt;U$1745,"",(tech_base!$K83/tech_proj!U207*0.086*$J$132)/(1-tech_proj!U487))</f>
        <v/>
      </c>
      <c r="V1827" s="119" t="str">
        <f>IF(tech_base!$T83&gt;V$1745,"",(tech_base!$K83/tech_proj!V207*0.086*$J$132)/(1-tech_proj!V487))</f>
        <v/>
      </c>
      <c r="W1827" s="119" t="str">
        <f>IF(tech_base!$T83&gt;W$1745,"",(tech_base!$K83/tech_proj!W207*0.086*$J$132)/(1-tech_proj!W487))</f>
        <v/>
      </c>
      <c r="X1827" s="119" t="str">
        <f>IF(tech_base!$T83&gt;X$1745,"",(tech_base!$K83/tech_proj!X207*0.086*$J$132)/(1-tech_proj!X487))</f>
        <v/>
      </c>
      <c r="Y1827" s="119" t="str">
        <f>IF(tech_base!$T83&gt;Y$1745,"",(tech_base!$K83/tech_proj!Y207*0.086*$J$132)/(1-tech_proj!Y487))</f>
        <v/>
      </c>
      <c r="Z1827" s="119" t="str">
        <f>IF(tech_base!$T83&gt;Z$1745,"",(tech_base!$K83/tech_proj!Z207*0.086*$J$132)/(1-tech_proj!Z487))</f>
        <v/>
      </c>
      <c r="AA1827" s="119" t="str">
        <f>IF(tech_base!$T83&gt;AA$1745,"",(tech_base!$K83/tech_proj!AA207*0.086*$J$132)/(1-tech_proj!AA487))</f>
        <v/>
      </c>
      <c r="AB1827" s="119" t="str">
        <f>IF(tech_base!$T83&gt;AB$1745,"",(tech_base!$K83/tech_proj!AB207*0.086*$J$132)/(1-tech_proj!AB487))</f>
        <v/>
      </c>
      <c r="AC1827" s="119" t="str">
        <f>IF(tech_base!$T83&gt;AC$1745,"",(tech_base!$K83/tech_proj!AC207*0.086*$J$132)/(1-tech_proj!AC487))</f>
        <v/>
      </c>
      <c r="AD1827" s="119" t="str">
        <f>IF(tech_base!$T83&gt;AD$1745,"",(tech_base!$K83/tech_proj!AD207*0.086*$J$132)/(1-tech_proj!AD487))</f>
        <v/>
      </c>
      <c r="AE1827" s="119">
        <f>IF(tech_base!$T83&gt;AE$1745,"",(tech_base!$K83/tech_proj!AE207*0.086*$J$132)/(1-tech_proj!AE487))</f>
        <v>15.832131855939943</v>
      </c>
      <c r="AF1827" s="119">
        <f>IF(tech_base!$T83&gt;AF$1745,"",(tech_base!$K83/tech_proj!AF207*0.086*$J$132)/(1-tech_proj!AF487))</f>
        <v>15.832131855939943</v>
      </c>
      <c r="AG1827" s="119">
        <f>IF(tech_base!$T83&gt;AG$1745,"",(tech_base!$K83/tech_proj!AG207*0.086*$J$132)/(1-tech_proj!AG487))</f>
        <v>15.832131855939943</v>
      </c>
      <c r="AH1827" s="119">
        <f>IF(tech_base!$T83&gt;AH$1745,"",(tech_base!$K83/tech_proj!AH207*0.086*$J$132)/(1-tech_proj!AH487))</f>
        <v>15.832131855939943</v>
      </c>
      <c r="AI1827" s="119">
        <f>IF(tech_base!$T83&gt;AI$1745,"",(tech_base!$K83/tech_proj!AI207*0.086*$J$132)/(1-tech_proj!AI487))</f>
        <v>15.832131855939943</v>
      </c>
      <c r="AJ1827" s="119">
        <f>IF(tech_base!$T83&gt;AJ$1745,"",(tech_base!$K83/tech_proj!AJ207*0.086*$J$132)/(1-tech_proj!AJ487))</f>
        <v>15.832131855939943</v>
      </c>
      <c r="AK1827" s="119">
        <f>IF(tech_base!$T83&gt;AK$1745,"",(tech_base!$K83/tech_proj!AK207*0.086*$J$132)/(1-tech_proj!AK487))</f>
        <v>15.832131855939943</v>
      </c>
      <c r="AL1827" s="119">
        <f>IF(tech_base!$T83&gt;AL$1745,"",(tech_base!$K83/tech_proj!AL207*0.086*$J$132)/(1-tech_proj!AL487))</f>
        <v>15.832131855939943</v>
      </c>
      <c r="AM1827" s="119">
        <f>IF(tech_base!$T83&gt;AM$1745,"",(tech_base!$K83/tech_proj!AM207*0.086*$J$132)/(1-tech_proj!AM487))</f>
        <v>15.832131855939943</v>
      </c>
      <c r="AN1827" s="119">
        <f>IF(tech_base!$T83&gt;AN$1745,"",(tech_base!$K83/tech_proj!AN207*0.086*$J$132)/(1-tech_proj!AN487))</f>
        <v>15.832131855939943</v>
      </c>
      <c r="AO1827" s="119">
        <f>IF(tech_base!$T83&gt;AO$1745,"",(tech_base!$K83/tech_proj!AO207*0.086*$J$132)/(1-tech_proj!AO487))</f>
        <v>15.832131855939943</v>
      </c>
      <c r="AP1827" s="119">
        <f>IF(tech_base!$T83&gt;AP$1745,"",(tech_base!$K83/tech_proj!AP207*0.086*$J$132)/(1-tech_proj!AP487))</f>
        <v>15.832131855939943</v>
      </c>
      <c r="AQ1827" s="119">
        <f>IF(tech_base!$T83&gt;AQ$1745,"",(tech_base!$K83/tech_proj!AQ207*0.086*$J$132)/(1-tech_proj!AQ487))</f>
        <v>15.832131855939943</v>
      </c>
      <c r="AR1827" s="119">
        <f>IF(tech_base!$T83&gt;AR$1745,"",(tech_base!$K83/tech_proj!AR207*0.086*$J$132)/(1-tech_proj!AR487))</f>
        <v>15.832131855939943</v>
      </c>
      <c r="AS1827" s="119">
        <f>IF(tech_base!$T83&gt;AS$1745,"",(tech_base!$K83/tech_proj!AS207*0.086*$J$132)/(1-tech_proj!AS487))</f>
        <v>15.832131855939943</v>
      </c>
      <c r="AT1827" s="119">
        <f>IF(tech_base!$T83&gt;AT$1745,"",(tech_base!$K83/tech_proj!AT207*0.086*$J$132)/(1-tech_proj!AT487))</f>
        <v>15.832131855939943</v>
      </c>
      <c r="AU1827" s="119">
        <f>IF(tech_base!$T83&gt;AU$1745,"",(tech_base!$K83/tech_proj!AU207*0.086*$J$132)/(1-tech_proj!AU487))</f>
        <v>15.832131855939943</v>
      </c>
      <c r="AV1827" s="119">
        <f>IF(tech_base!$T83&gt;AV$1745,"",(tech_base!$K83/tech_proj!AV207*0.086*$J$132)/(1-tech_proj!AV487))</f>
        <v>15.832131855939943</v>
      </c>
      <c r="AW1827" s="119">
        <f>IF(tech_base!$T83&gt;AW$1745,"",(tech_base!$K83/tech_proj!AW207*0.086*$J$132)/(1-tech_proj!AW487))</f>
        <v>15.832131855939943</v>
      </c>
      <c r="AX1827" s="120">
        <f>IF(tech_base!$T83&gt;AX$1745,"",(tech_base!$K83/tech_proj!AX207*0.086*$J$132)/(1-tech_proj!AX487))</f>
        <v>15.832131855939943</v>
      </c>
    </row>
    <row r="1828" spans="1:50" x14ac:dyDescent="0.25">
      <c r="A1828" s="357"/>
      <c r="B1828" s="380"/>
      <c r="C1828" s="381"/>
      <c r="D1828" s="4" t="s">
        <v>8</v>
      </c>
      <c r="E1828" s="168" t="str">
        <f>A1791&amp;"/"&amp;B1817&amp;"/"&amp;C1827&amp;"/"&amp;D1828</f>
        <v>Lignite fired power plants/Steam turbine/CHP with CCS/M</v>
      </c>
      <c r="F1828" s="80" t="str">
        <f>A1791</f>
        <v>Lignite fired power plants</v>
      </c>
      <c r="G1828" s="80" t="str">
        <f>B1817</f>
        <v>Steam turbine</v>
      </c>
      <c r="H1828" s="80" t="str">
        <f>C1827</f>
        <v>CHP with CCS</v>
      </c>
      <c r="I1828" s="169" t="str">
        <f t="shared" si="383"/>
        <v>M</v>
      </c>
      <c r="J1828" s="127" t="str">
        <f>IF(tech_base!$T84&gt;J$1745,"",(tech_base!$K84/tech_proj!J208*0.086*$J$132)/(1-tech_proj!J488))</f>
        <v/>
      </c>
      <c r="K1828" s="127" t="str">
        <f>IF(tech_base!$T84&gt;K$1745,"",(tech_base!$K84/tech_proj!K208*0.086*$J$132)/(1-tech_proj!K488))</f>
        <v/>
      </c>
      <c r="L1828" s="127" t="str">
        <f>IF(tech_base!$T84&gt;L$1745,"",(tech_base!$K84/tech_proj!L208*0.086*$J$132)/(1-tech_proj!L488))</f>
        <v/>
      </c>
      <c r="M1828" s="127" t="str">
        <f>IF(tech_base!$T84&gt;M$1745,"",(tech_base!$K84/tech_proj!M208*0.086*$J$132)/(1-tech_proj!M488))</f>
        <v/>
      </c>
      <c r="N1828" s="127" t="str">
        <f>IF(tech_base!$T84&gt;N$1745,"",(tech_base!$K84/tech_proj!N208*0.086*$J$132)/(1-tech_proj!N488))</f>
        <v/>
      </c>
      <c r="O1828" s="127" t="str">
        <f>IF(tech_base!$T84&gt;O$1745,"",(tech_base!$K84/tech_proj!O208*0.086*$J$132)/(1-tech_proj!O488))</f>
        <v/>
      </c>
      <c r="P1828" s="127" t="str">
        <f>IF(tech_base!$T84&gt;P$1745,"",(tech_base!$K84/tech_proj!P208*0.086*$J$132)/(1-tech_proj!P488))</f>
        <v/>
      </c>
      <c r="Q1828" s="127" t="str">
        <f>IF(tech_base!$T84&gt;Q$1745,"",(tech_base!$K84/tech_proj!Q208*0.086*$J$132)/(1-tech_proj!Q488))</f>
        <v/>
      </c>
      <c r="R1828" s="127" t="str">
        <f>IF(tech_base!$T84&gt;R$1745,"",(tech_base!$K84/tech_proj!R208*0.086*$J$132)/(1-tech_proj!R488))</f>
        <v/>
      </c>
      <c r="S1828" s="127" t="str">
        <f>IF(tech_base!$T84&gt;S$1745,"",(tech_base!$K84/tech_proj!S208*0.086*$J$132)/(1-tech_proj!S488))</f>
        <v/>
      </c>
      <c r="T1828" s="127" t="str">
        <f>IF(tech_base!$T84&gt;T$1745,"",(tech_base!$K84/tech_proj!T208*0.086*$J$132)/(1-tech_proj!T488))</f>
        <v/>
      </c>
      <c r="U1828" s="127" t="str">
        <f>IF(tech_base!$T84&gt;U$1745,"",(tech_base!$K84/tech_proj!U208*0.086*$J$132)/(1-tech_proj!U488))</f>
        <v/>
      </c>
      <c r="V1828" s="127" t="str">
        <f>IF(tech_base!$T84&gt;V$1745,"",(tech_base!$K84/tech_proj!V208*0.086*$J$132)/(1-tech_proj!V488))</f>
        <v/>
      </c>
      <c r="W1828" s="127" t="str">
        <f>IF(tech_base!$T84&gt;W$1745,"",(tech_base!$K84/tech_proj!W208*0.086*$J$132)/(1-tech_proj!W488))</f>
        <v/>
      </c>
      <c r="X1828" s="127" t="str">
        <f>IF(tech_base!$T84&gt;X$1745,"",(tech_base!$K84/tech_proj!X208*0.086*$J$132)/(1-tech_proj!X488))</f>
        <v/>
      </c>
      <c r="Y1828" s="127" t="str">
        <f>IF(tech_base!$T84&gt;Y$1745,"",(tech_base!$K84/tech_proj!Y208*0.086*$J$132)/(1-tech_proj!Y488))</f>
        <v/>
      </c>
      <c r="Z1828" s="127" t="str">
        <f>IF(tech_base!$T84&gt;Z$1745,"",(tech_base!$K84/tech_proj!Z208*0.086*$J$132)/(1-tech_proj!Z488))</f>
        <v/>
      </c>
      <c r="AA1828" s="127" t="str">
        <f>IF(tech_base!$T84&gt;AA$1745,"",(tech_base!$K84/tech_proj!AA208*0.086*$J$132)/(1-tech_proj!AA488))</f>
        <v/>
      </c>
      <c r="AB1828" s="127" t="str">
        <f>IF(tech_base!$T84&gt;AB$1745,"",(tech_base!$K84/tech_proj!AB208*0.086*$J$132)/(1-tech_proj!AB488))</f>
        <v/>
      </c>
      <c r="AC1828" s="127" t="str">
        <f>IF(tech_base!$T84&gt;AC$1745,"",(tech_base!$K84/tech_proj!AC208*0.086*$J$132)/(1-tech_proj!AC488))</f>
        <v/>
      </c>
      <c r="AD1828" s="127" t="str">
        <f>IF(tech_base!$T84&gt;AD$1745,"",(tech_base!$K84/tech_proj!AD208*0.086*$J$132)/(1-tech_proj!AD488))</f>
        <v/>
      </c>
      <c r="AE1828" s="127">
        <f>IF(tech_base!$T84&gt;AE$1745,"",(tech_base!$K84/tech_proj!AE208*0.086*$J$132)/(1-tech_proj!AE488))</f>
        <v>17.043465586310248</v>
      </c>
      <c r="AF1828" s="127">
        <f>IF(tech_base!$T84&gt;AF$1745,"",(tech_base!$K84/tech_proj!AF208*0.086*$J$132)/(1-tech_proj!AF488))</f>
        <v>17.043465586310248</v>
      </c>
      <c r="AG1828" s="127">
        <f>IF(tech_base!$T84&gt;AG$1745,"",(tech_base!$K84/tech_proj!AG208*0.086*$J$132)/(1-tech_proj!AG488))</f>
        <v>17.043465586310248</v>
      </c>
      <c r="AH1828" s="127">
        <f>IF(tech_base!$T84&gt;AH$1745,"",(tech_base!$K84/tech_proj!AH208*0.086*$J$132)/(1-tech_proj!AH488))</f>
        <v>17.043465586310248</v>
      </c>
      <c r="AI1828" s="127">
        <f>IF(tech_base!$T84&gt;AI$1745,"",(tech_base!$K84/tech_proj!AI208*0.086*$J$132)/(1-tech_proj!AI488))</f>
        <v>17.043465586310248</v>
      </c>
      <c r="AJ1828" s="127">
        <f>IF(tech_base!$T84&gt;AJ$1745,"",(tech_base!$K84/tech_proj!AJ208*0.086*$J$132)/(1-tech_proj!AJ488))</f>
        <v>17.043465586310248</v>
      </c>
      <c r="AK1828" s="127">
        <f>IF(tech_base!$T84&gt;AK$1745,"",(tech_base!$K84/tech_proj!AK208*0.086*$J$132)/(1-tech_proj!AK488))</f>
        <v>17.043465586310248</v>
      </c>
      <c r="AL1828" s="127">
        <f>IF(tech_base!$T84&gt;AL$1745,"",(tech_base!$K84/tech_proj!AL208*0.086*$J$132)/(1-tech_proj!AL488))</f>
        <v>17.043465586310248</v>
      </c>
      <c r="AM1828" s="127">
        <f>IF(tech_base!$T84&gt;AM$1745,"",(tech_base!$K84/tech_proj!AM208*0.086*$J$132)/(1-tech_proj!AM488))</f>
        <v>17.043465586310248</v>
      </c>
      <c r="AN1828" s="127">
        <f>IF(tech_base!$T84&gt;AN$1745,"",(tech_base!$K84/tech_proj!AN208*0.086*$J$132)/(1-tech_proj!AN488))</f>
        <v>17.043465586310248</v>
      </c>
      <c r="AO1828" s="127">
        <f>IF(tech_base!$T84&gt;AO$1745,"",(tech_base!$K84/tech_proj!AO208*0.086*$J$132)/(1-tech_proj!AO488))</f>
        <v>17.043465586310248</v>
      </c>
      <c r="AP1828" s="127">
        <f>IF(tech_base!$T84&gt;AP$1745,"",(tech_base!$K84/tech_proj!AP208*0.086*$J$132)/(1-tech_proj!AP488))</f>
        <v>17.043465586310248</v>
      </c>
      <c r="AQ1828" s="127">
        <f>IF(tech_base!$T84&gt;AQ$1745,"",(tech_base!$K84/tech_proj!AQ208*0.086*$J$132)/(1-tech_proj!AQ488))</f>
        <v>17.043465586310248</v>
      </c>
      <c r="AR1828" s="127">
        <f>IF(tech_base!$T84&gt;AR$1745,"",(tech_base!$K84/tech_proj!AR208*0.086*$J$132)/(1-tech_proj!AR488))</f>
        <v>17.043465586310248</v>
      </c>
      <c r="AS1828" s="127">
        <f>IF(tech_base!$T84&gt;AS$1745,"",(tech_base!$K84/tech_proj!AS208*0.086*$J$132)/(1-tech_proj!AS488))</f>
        <v>17.043465586310248</v>
      </c>
      <c r="AT1828" s="127">
        <f>IF(tech_base!$T84&gt;AT$1745,"",(tech_base!$K84/tech_proj!AT208*0.086*$J$132)/(1-tech_proj!AT488))</f>
        <v>17.043465586310248</v>
      </c>
      <c r="AU1828" s="127">
        <f>IF(tech_base!$T84&gt;AU$1745,"",(tech_base!$K84/tech_proj!AU208*0.086*$J$132)/(1-tech_proj!AU488))</f>
        <v>17.043465586310248</v>
      </c>
      <c r="AV1828" s="127">
        <f>IF(tech_base!$T84&gt;AV$1745,"",(tech_base!$K84/tech_proj!AV208*0.086*$J$132)/(1-tech_proj!AV488))</f>
        <v>17.043465586310248</v>
      </c>
      <c r="AW1828" s="127">
        <f>IF(tech_base!$T84&gt;AW$1745,"",(tech_base!$K84/tech_proj!AW208*0.086*$J$132)/(1-tech_proj!AW488))</f>
        <v>17.043465586310248</v>
      </c>
      <c r="AX1828" s="128">
        <f>IF(tech_base!$T84&gt;AX$1745,"",(tech_base!$K84/tech_proj!AX208*0.086*$J$132)/(1-tech_proj!AX488))</f>
        <v>17.043465586310248</v>
      </c>
    </row>
    <row r="1829" spans="1:50" x14ac:dyDescent="0.25">
      <c r="A1829" s="356" t="s">
        <v>22</v>
      </c>
      <c r="B1829" s="358" t="s">
        <v>23</v>
      </c>
      <c r="C1829" s="353" t="s">
        <v>6</v>
      </c>
      <c r="D1829" s="3" t="s">
        <v>7</v>
      </c>
      <c r="E1829" s="162" t="str">
        <f>A1829&amp;"/"&amp;B1829&amp;"/"&amp;C1829&amp;"/"&amp;D1829</f>
        <v>Gas fired power plants (Natural gas, biogas)/Gas turbine combined cycle/Electricity only/L</v>
      </c>
      <c r="F1829" s="77" t="str">
        <f>A1829</f>
        <v>Gas fired power plants (Natural gas, biogas)</v>
      </c>
      <c r="G1829" s="77" t="str">
        <f>B1829</f>
        <v>Gas turbine combined cycle</v>
      </c>
      <c r="H1829" s="77" t="str">
        <f>C1829</f>
        <v>Electricity only</v>
      </c>
      <c r="I1829" s="163" t="str">
        <f t="shared" si="383"/>
        <v>L</v>
      </c>
      <c r="J1829" s="121">
        <f>IF(tech_base!$T85&gt;J$1745,"",(tech_base!$K85/tech_proj!J209*0.086*$J$132)/(1-tech_proj!J489))</f>
        <v>0</v>
      </c>
      <c r="K1829" s="121">
        <f>IF(tech_base!$T85&gt;K$1745,"",(tech_base!$K85/tech_proj!K209*0.086*$J$132)/(1-tech_proj!K489))</f>
        <v>0</v>
      </c>
      <c r="L1829" s="121">
        <f>IF(tech_base!$T85&gt;L$1745,"",(tech_base!$K85/tech_proj!L209*0.086*$J$132)/(1-tech_proj!L489))</f>
        <v>0</v>
      </c>
      <c r="M1829" s="121">
        <f>IF(tech_base!$T85&gt;M$1745,"",(tech_base!$K85/tech_proj!M209*0.086*$J$132)/(1-tech_proj!M489))</f>
        <v>0</v>
      </c>
      <c r="N1829" s="121">
        <f>IF(tech_base!$T85&gt;N$1745,"",(tech_base!$K85/tech_proj!N209*0.086*$J$132)/(1-tech_proj!N489))</f>
        <v>0</v>
      </c>
      <c r="O1829" s="121">
        <f>IF(tech_base!$T85&gt;O$1745,"",(tech_base!$K85/tech_proj!O209*0.086*$J$132)/(1-tech_proj!O489))</f>
        <v>0</v>
      </c>
      <c r="P1829" s="121">
        <f>IF(tech_base!$T85&gt;P$1745,"",(tech_base!$K85/tech_proj!P209*0.086*$J$132)/(1-tech_proj!P489))</f>
        <v>0</v>
      </c>
      <c r="Q1829" s="121">
        <f>IF(tech_base!$T85&gt;Q$1745,"",(tech_base!$K85/tech_proj!Q209*0.086*$J$132)/(1-tech_proj!Q489))</f>
        <v>0</v>
      </c>
      <c r="R1829" s="121">
        <f>IF(tech_base!$T85&gt;R$1745,"",(tech_base!$K85/tech_proj!R209*0.086*$J$132)/(1-tech_proj!R489))</f>
        <v>0</v>
      </c>
      <c r="S1829" s="121">
        <f>IF(tech_base!$T85&gt;S$1745,"",(tech_base!$K85/tech_proj!S209*0.086*$J$132)/(1-tech_proj!S489))</f>
        <v>0</v>
      </c>
      <c r="T1829" s="121">
        <f>IF(tech_base!$T85&gt;T$1745,"",(tech_base!$K85/tech_proj!T209*0.086*$J$132)/(1-tech_proj!T489))</f>
        <v>0</v>
      </c>
      <c r="U1829" s="121">
        <f>IF(tech_base!$T85&gt;U$1745,"",(tech_base!$K85/tech_proj!U209*0.086*$J$132)/(1-tech_proj!U489))</f>
        <v>0</v>
      </c>
      <c r="V1829" s="121">
        <f>IF(tech_base!$T85&gt;V$1745,"",(tech_base!$K85/tech_proj!V209*0.086*$J$132)/(1-tech_proj!V489))</f>
        <v>0</v>
      </c>
      <c r="W1829" s="121">
        <f>IF(tech_base!$T85&gt;W$1745,"",(tech_base!$K85/tech_proj!W209*0.086*$J$132)/(1-tech_proj!W489))</f>
        <v>0</v>
      </c>
      <c r="X1829" s="121">
        <f>IF(tech_base!$T85&gt;X$1745,"",(tech_base!$K85/tech_proj!X209*0.086*$J$132)/(1-tech_proj!X489))</f>
        <v>0</v>
      </c>
      <c r="Y1829" s="121">
        <f>IF(tech_base!$T85&gt;Y$1745,"",(tech_base!$K85/tech_proj!Y209*0.086*$J$132)/(1-tech_proj!Y489))</f>
        <v>0</v>
      </c>
      <c r="Z1829" s="121">
        <f>IF(tech_base!$T85&gt;Z$1745,"",(tech_base!$K85/tech_proj!Z209*0.086*$J$132)/(1-tech_proj!Z489))</f>
        <v>0</v>
      </c>
      <c r="AA1829" s="121">
        <f>IF(tech_base!$T85&gt;AA$1745,"",(tech_base!$K85/tech_proj!AA209*0.086*$J$132)/(1-tech_proj!AA489))</f>
        <v>0</v>
      </c>
      <c r="AB1829" s="121">
        <f>IF(tech_base!$T85&gt;AB$1745,"",(tech_base!$K85/tech_proj!AB209*0.086*$J$132)/(1-tech_proj!AB489))</f>
        <v>0</v>
      </c>
      <c r="AC1829" s="121">
        <f>IF(tech_base!$T85&gt;AC$1745,"",(tech_base!$K85/tech_proj!AC209*0.086*$J$132)/(1-tech_proj!AC489))</f>
        <v>0</v>
      </c>
      <c r="AD1829" s="121">
        <f>IF(tech_base!$T85&gt;AD$1745,"",(tech_base!$K85/tech_proj!AD209*0.086*$J$132)/(1-tech_proj!AD489))</f>
        <v>0</v>
      </c>
      <c r="AE1829" s="121">
        <f>IF(tech_base!$T85&gt;AE$1745,"",(tech_base!$K85/tech_proj!AE209*0.086*$J$132)/(1-tech_proj!AE489))</f>
        <v>0</v>
      </c>
      <c r="AF1829" s="121">
        <f>IF(tech_base!$T85&gt;AF$1745,"",(tech_base!$K85/tech_proj!AF209*0.086*$J$132)/(1-tech_proj!AF489))</f>
        <v>0</v>
      </c>
      <c r="AG1829" s="121">
        <f>IF(tech_base!$T85&gt;AG$1745,"",(tech_base!$K85/tech_proj!AG209*0.086*$J$132)/(1-tech_proj!AG489))</f>
        <v>0</v>
      </c>
      <c r="AH1829" s="121">
        <f>IF(tech_base!$T85&gt;AH$1745,"",(tech_base!$K85/tech_proj!AH209*0.086*$J$132)/(1-tech_proj!AH489))</f>
        <v>0</v>
      </c>
      <c r="AI1829" s="121">
        <f>IF(tech_base!$T85&gt;AI$1745,"",(tech_base!$K85/tech_proj!AI209*0.086*$J$132)/(1-tech_proj!AI489))</f>
        <v>0</v>
      </c>
      <c r="AJ1829" s="121">
        <f>IF(tech_base!$T85&gt;AJ$1745,"",(tech_base!$K85/tech_proj!AJ209*0.086*$J$132)/(1-tech_proj!AJ489))</f>
        <v>0</v>
      </c>
      <c r="AK1829" s="121">
        <f>IF(tech_base!$T85&gt;AK$1745,"",(tech_base!$K85/tech_proj!AK209*0.086*$J$132)/(1-tech_proj!AK489))</f>
        <v>0</v>
      </c>
      <c r="AL1829" s="121">
        <f>IF(tech_base!$T85&gt;AL$1745,"",(tech_base!$K85/tech_proj!AL209*0.086*$J$132)/(1-tech_proj!AL489))</f>
        <v>0</v>
      </c>
      <c r="AM1829" s="121">
        <f>IF(tech_base!$T85&gt;AM$1745,"",(tech_base!$K85/tech_proj!AM209*0.086*$J$132)/(1-tech_proj!AM489))</f>
        <v>0</v>
      </c>
      <c r="AN1829" s="121">
        <f>IF(tech_base!$T85&gt;AN$1745,"",(tech_base!$K85/tech_proj!AN209*0.086*$J$132)/(1-tech_proj!AN489))</f>
        <v>0</v>
      </c>
      <c r="AO1829" s="121">
        <f>IF(tech_base!$T85&gt;AO$1745,"",(tech_base!$K85/tech_proj!AO209*0.086*$J$132)/(1-tech_proj!AO489))</f>
        <v>0</v>
      </c>
      <c r="AP1829" s="121">
        <f>IF(tech_base!$T85&gt;AP$1745,"",(tech_base!$K85/tech_proj!AP209*0.086*$J$132)/(1-tech_proj!AP489))</f>
        <v>0</v>
      </c>
      <c r="AQ1829" s="121">
        <f>IF(tech_base!$T85&gt;AQ$1745,"",(tech_base!$K85/tech_proj!AQ209*0.086*$J$132)/(1-tech_proj!AQ489))</f>
        <v>0</v>
      </c>
      <c r="AR1829" s="121">
        <f>IF(tech_base!$T85&gt;AR$1745,"",(tech_base!$K85/tech_proj!AR209*0.086*$J$132)/(1-tech_proj!AR489))</f>
        <v>0</v>
      </c>
      <c r="AS1829" s="121">
        <f>IF(tech_base!$T85&gt;AS$1745,"",(tech_base!$K85/tech_proj!AS209*0.086*$J$132)/(1-tech_proj!AS489))</f>
        <v>0</v>
      </c>
      <c r="AT1829" s="121">
        <f>IF(tech_base!$T85&gt;AT$1745,"",(tech_base!$K85/tech_proj!AT209*0.086*$J$132)/(1-tech_proj!AT489))</f>
        <v>0</v>
      </c>
      <c r="AU1829" s="121">
        <f>IF(tech_base!$T85&gt;AU$1745,"",(tech_base!$K85/tech_proj!AU209*0.086*$J$132)/(1-tech_proj!AU489))</f>
        <v>0</v>
      </c>
      <c r="AV1829" s="121">
        <f>IF(tech_base!$T85&gt;AV$1745,"",(tech_base!$K85/tech_proj!AV209*0.086*$J$132)/(1-tech_proj!AV489))</f>
        <v>0</v>
      </c>
      <c r="AW1829" s="121">
        <f>IF(tech_base!$T85&gt;AW$1745,"",(tech_base!$K85/tech_proj!AW209*0.086*$J$132)/(1-tech_proj!AW489))</f>
        <v>0</v>
      </c>
      <c r="AX1829" s="122">
        <f>IF(tech_base!$T85&gt;AX$1745,"",(tech_base!$K85/tech_proj!AX209*0.086*$J$132)/(1-tech_proj!AX489))</f>
        <v>0</v>
      </c>
    </row>
    <row r="1830" spans="1:50" x14ac:dyDescent="0.25">
      <c r="A1830" s="356"/>
      <c r="B1830" s="376"/>
      <c r="C1830" s="378"/>
      <c r="D1830" s="2" t="s">
        <v>8</v>
      </c>
      <c r="E1830" s="160" t="str">
        <f>A1829&amp;"/"&amp;B1829&amp;"/"&amp;C1829&amp;"/"&amp;D1830</f>
        <v>Gas fired power plants (Natural gas, biogas)/Gas turbine combined cycle/Electricity only/M</v>
      </c>
      <c r="F1830" s="76" t="str">
        <f>A1829</f>
        <v>Gas fired power plants (Natural gas, biogas)</v>
      </c>
      <c r="G1830" s="76" t="str">
        <f>B1829</f>
        <v>Gas turbine combined cycle</v>
      </c>
      <c r="H1830" s="76" t="str">
        <f>C1829</f>
        <v>Electricity only</v>
      </c>
      <c r="I1830" s="161" t="str">
        <f t="shared" si="383"/>
        <v>M</v>
      </c>
      <c r="J1830" s="119">
        <f>IF(tech_base!$T86&gt;J$1745,"",(tech_base!$K86/tech_proj!J210*0.086*$J$132)/(1-tech_proj!J490))</f>
        <v>0</v>
      </c>
      <c r="K1830" s="119">
        <f>IF(tech_base!$T86&gt;K$1745,"",(tech_base!$K86/tech_proj!K210*0.086*$J$132)/(1-tech_proj!K490))</f>
        <v>0</v>
      </c>
      <c r="L1830" s="119">
        <f>IF(tech_base!$T86&gt;L$1745,"",(tech_base!$K86/tech_proj!L210*0.086*$J$132)/(1-tech_proj!L490))</f>
        <v>0</v>
      </c>
      <c r="M1830" s="119">
        <f>IF(tech_base!$T86&gt;M$1745,"",(tech_base!$K86/tech_proj!M210*0.086*$J$132)/(1-tech_proj!M490))</f>
        <v>0</v>
      </c>
      <c r="N1830" s="119">
        <f>IF(tech_base!$T86&gt;N$1745,"",(tech_base!$K86/tech_proj!N210*0.086*$J$132)/(1-tech_proj!N490))</f>
        <v>0</v>
      </c>
      <c r="O1830" s="119">
        <f>IF(tech_base!$T86&gt;O$1745,"",(tech_base!$K86/tech_proj!O210*0.086*$J$132)/(1-tech_proj!O490))</f>
        <v>0</v>
      </c>
      <c r="P1830" s="119">
        <f>IF(tech_base!$T86&gt;P$1745,"",(tech_base!$K86/tech_proj!P210*0.086*$J$132)/(1-tech_proj!P490))</f>
        <v>0</v>
      </c>
      <c r="Q1830" s="119">
        <f>IF(tech_base!$T86&gt;Q$1745,"",(tech_base!$K86/tech_proj!Q210*0.086*$J$132)/(1-tech_proj!Q490))</f>
        <v>0</v>
      </c>
      <c r="R1830" s="119">
        <f>IF(tech_base!$T86&gt;R$1745,"",(tech_base!$K86/tech_proj!R210*0.086*$J$132)/(1-tech_proj!R490))</f>
        <v>0</v>
      </c>
      <c r="S1830" s="119">
        <f>IF(tech_base!$T86&gt;S$1745,"",(tech_base!$K86/tech_proj!S210*0.086*$J$132)/(1-tech_proj!S490))</f>
        <v>0</v>
      </c>
      <c r="T1830" s="119">
        <f>IF(tech_base!$T86&gt;T$1745,"",(tech_base!$K86/tech_proj!T210*0.086*$J$132)/(1-tech_proj!T490))</f>
        <v>0</v>
      </c>
      <c r="U1830" s="119">
        <f>IF(tech_base!$T86&gt;U$1745,"",(tech_base!$K86/tech_proj!U210*0.086*$J$132)/(1-tech_proj!U490))</f>
        <v>0</v>
      </c>
      <c r="V1830" s="119">
        <f>IF(tech_base!$T86&gt;V$1745,"",(tech_base!$K86/tech_proj!V210*0.086*$J$132)/(1-tech_proj!V490))</f>
        <v>0</v>
      </c>
      <c r="W1830" s="119">
        <f>IF(tech_base!$T86&gt;W$1745,"",(tech_base!$K86/tech_proj!W210*0.086*$J$132)/(1-tech_proj!W490))</f>
        <v>0</v>
      </c>
      <c r="X1830" s="119">
        <f>IF(tech_base!$T86&gt;X$1745,"",(tech_base!$K86/tech_proj!X210*0.086*$J$132)/(1-tech_proj!X490))</f>
        <v>0</v>
      </c>
      <c r="Y1830" s="119">
        <f>IF(tech_base!$T86&gt;Y$1745,"",(tech_base!$K86/tech_proj!Y210*0.086*$J$132)/(1-tech_proj!Y490))</f>
        <v>0</v>
      </c>
      <c r="Z1830" s="119">
        <f>IF(tech_base!$T86&gt;Z$1745,"",(tech_base!$K86/tech_proj!Z210*0.086*$J$132)/(1-tech_proj!Z490))</f>
        <v>0</v>
      </c>
      <c r="AA1830" s="119">
        <f>IF(tech_base!$T86&gt;AA$1745,"",(tech_base!$K86/tech_proj!AA210*0.086*$J$132)/(1-tech_proj!AA490))</f>
        <v>0</v>
      </c>
      <c r="AB1830" s="119">
        <f>IF(tech_base!$T86&gt;AB$1745,"",(tech_base!$K86/tech_proj!AB210*0.086*$J$132)/(1-tech_proj!AB490))</f>
        <v>0</v>
      </c>
      <c r="AC1830" s="119">
        <f>IF(tech_base!$T86&gt;AC$1745,"",(tech_base!$K86/tech_proj!AC210*0.086*$J$132)/(1-tech_proj!AC490))</f>
        <v>0</v>
      </c>
      <c r="AD1830" s="119">
        <f>IF(tech_base!$T86&gt;AD$1745,"",(tech_base!$K86/tech_proj!AD210*0.086*$J$132)/(1-tech_proj!AD490))</f>
        <v>0</v>
      </c>
      <c r="AE1830" s="119">
        <f>IF(tech_base!$T86&gt;AE$1745,"",(tech_base!$K86/tech_proj!AE210*0.086*$J$132)/(1-tech_proj!AE490))</f>
        <v>0</v>
      </c>
      <c r="AF1830" s="119">
        <f>IF(tech_base!$T86&gt;AF$1745,"",(tech_base!$K86/tech_proj!AF210*0.086*$J$132)/(1-tech_proj!AF490))</f>
        <v>0</v>
      </c>
      <c r="AG1830" s="119">
        <f>IF(tech_base!$T86&gt;AG$1745,"",(tech_base!$K86/tech_proj!AG210*0.086*$J$132)/(1-tech_proj!AG490))</f>
        <v>0</v>
      </c>
      <c r="AH1830" s="119">
        <f>IF(tech_base!$T86&gt;AH$1745,"",(tech_base!$K86/tech_proj!AH210*0.086*$J$132)/(1-tech_proj!AH490))</f>
        <v>0</v>
      </c>
      <c r="AI1830" s="119">
        <f>IF(tech_base!$T86&gt;AI$1745,"",(tech_base!$K86/tech_proj!AI210*0.086*$J$132)/(1-tech_proj!AI490))</f>
        <v>0</v>
      </c>
      <c r="AJ1830" s="119">
        <f>IF(tech_base!$T86&gt;AJ$1745,"",(tech_base!$K86/tech_proj!AJ210*0.086*$J$132)/(1-tech_proj!AJ490))</f>
        <v>0</v>
      </c>
      <c r="AK1830" s="119">
        <f>IF(tech_base!$T86&gt;AK$1745,"",(tech_base!$K86/tech_proj!AK210*0.086*$J$132)/(1-tech_proj!AK490))</f>
        <v>0</v>
      </c>
      <c r="AL1830" s="119">
        <f>IF(tech_base!$T86&gt;AL$1745,"",(tech_base!$K86/tech_proj!AL210*0.086*$J$132)/(1-tech_proj!AL490))</f>
        <v>0</v>
      </c>
      <c r="AM1830" s="119">
        <f>IF(tech_base!$T86&gt;AM$1745,"",(tech_base!$K86/tech_proj!AM210*0.086*$J$132)/(1-tech_proj!AM490))</f>
        <v>0</v>
      </c>
      <c r="AN1830" s="119">
        <f>IF(tech_base!$T86&gt;AN$1745,"",(tech_base!$K86/tech_proj!AN210*0.086*$J$132)/(1-tech_proj!AN490))</f>
        <v>0</v>
      </c>
      <c r="AO1830" s="119">
        <f>IF(tech_base!$T86&gt;AO$1745,"",(tech_base!$K86/tech_proj!AO210*0.086*$J$132)/(1-tech_proj!AO490))</f>
        <v>0</v>
      </c>
      <c r="AP1830" s="119">
        <f>IF(tech_base!$T86&gt;AP$1745,"",(tech_base!$K86/tech_proj!AP210*0.086*$J$132)/(1-tech_proj!AP490))</f>
        <v>0</v>
      </c>
      <c r="AQ1830" s="119">
        <f>IF(tech_base!$T86&gt;AQ$1745,"",(tech_base!$K86/tech_proj!AQ210*0.086*$J$132)/(1-tech_proj!AQ490))</f>
        <v>0</v>
      </c>
      <c r="AR1830" s="119">
        <f>IF(tech_base!$T86&gt;AR$1745,"",(tech_base!$K86/tech_proj!AR210*0.086*$J$132)/(1-tech_proj!AR490))</f>
        <v>0</v>
      </c>
      <c r="AS1830" s="119">
        <f>IF(tech_base!$T86&gt;AS$1745,"",(tech_base!$K86/tech_proj!AS210*0.086*$J$132)/(1-tech_proj!AS490))</f>
        <v>0</v>
      </c>
      <c r="AT1830" s="119">
        <f>IF(tech_base!$T86&gt;AT$1745,"",(tech_base!$K86/tech_proj!AT210*0.086*$J$132)/(1-tech_proj!AT490))</f>
        <v>0</v>
      </c>
      <c r="AU1830" s="119">
        <f>IF(tech_base!$T86&gt;AU$1745,"",(tech_base!$K86/tech_proj!AU210*0.086*$J$132)/(1-tech_proj!AU490))</f>
        <v>0</v>
      </c>
      <c r="AV1830" s="119">
        <f>IF(tech_base!$T86&gt;AV$1745,"",(tech_base!$K86/tech_proj!AV210*0.086*$J$132)/(1-tech_proj!AV490))</f>
        <v>0</v>
      </c>
      <c r="AW1830" s="119">
        <f>IF(tech_base!$T86&gt;AW$1745,"",(tech_base!$K86/tech_proj!AW210*0.086*$J$132)/(1-tech_proj!AW490))</f>
        <v>0</v>
      </c>
      <c r="AX1830" s="120">
        <f>IF(tech_base!$T86&gt;AX$1745,"",(tech_base!$K86/tech_proj!AX210*0.086*$J$132)/(1-tech_proj!AX490))</f>
        <v>0</v>
      </c>
    </row>
    <row r="1831" spans="1:50" x14ac:dyDescent="0.25">
      <c r="A1831" s="356"/>
      <c r="B1831" s="376"/>
      <c r="C1831" s="378"/>
      <c r="D1831" s="2" t="s">
        <v>10</v>
      </c>
      <c r="E1831" s="160" t="str">
        <f>A1829&amp;"/"&amp;B1829&amp;"/"&amp;C1829&amp;"/"&amp;D1831</f>
        <v>Gas fired power plants (Natural gas, biogas)/Gas turbine combined cycle/Electricity only/S</v>
      </c>
      <c r="F1831" s="76" t="str">
        <f>A1829</f>
        <v>Gas fired power plants (Natural gas, biogas)</v>
      </c>
      <c r="G1831" s="76" t="str">
        <f>B1829</f>
        <v>Gas turbine combined cycle</v>
      </c>
      <c r="H1831" s="76" t="str">
        <f>C1829</f>
        <v>Electricity only</v>
      </c>
      <c r="I1831" s="161" t="str">
        <f t="shared" si="383"/>
        <v>S</v>
      </c>
      <c r="J1831" s="119">
        <f>IF(tech_base!$T87&gt;J$1745,"",(tech_base!$K87/tech_proj!J211*0.086*$J$132)/(1-tech_proj!J491))</f>
        <v>0</v>
      </c>
      <c r="K1831" s="119">
        <f>IF(tech_base!$T87&gt;K$1745,"",(tech_base!$K87/tech_proj!K211*0.086*$J$132)/(1-tech_proj!K491))</f>
        <v>0</v>
      </c>
      <c r="L1831" s="119">
        <f>IF(tech_base!$T87&gt;L$1745,"",(tech_base!$K87/tech_proj!L211*0.086*$J$132)/(1-tech_proj!L491))</f>
        <v>0</v>
      </c>
      <c r="M1831" s="119">
        <f>IF(tech_base!$T87&gt;M$1745,"",(tech_base!$K87/tech_proj!M211*0.086*$J$132)/(1-tech_proj!M491))</f>
        <v>0</v>
      </c>
      <c r="N1831" s="119">
        <f>IF(tech_base!$T87&gt;N$1745,"",(tech_base!$K87/tech_proj!N211*0.086*$J$132)/(1-tech_proj!N491))</f>
        <v>0</v>
      </c>
      <c r="O1831" s="119">
        <f>IF(tech_base!$T87&gt;O$1745,"",(tech_base!$K87/tech_proj!O211*0.086*$J$132)/(1-tech_proj!O491))</f>
        <v>0</v>
      </c>
      <c r="P1831" s="119">
        <f>IF(tech_base!$T87&gt;P$1745,"",(tech_base!$K87/tech_proj!P211*0.086*$J$132)/(1-tech_proj!P491))</f>
        <v>0</v>
      </c>
      <c r="Q1831" s="119">
        <f>IF(tech_base!$T87&gt;Q$1745,"",(tech_base!$K87/tech_proj!Q211*0.086*$J$132)/(1-tech_proj!Q491))</f>
        <v>0</v>
      </c>
      <c r="R1831" s="119">
        <f>IF(tech_base!$T87&gt;R$1745,"",(tech_base!$K87/tech_proj!R211*0.086*$J$132)/(1-tech_proj!R491))</f>
        <v>0</v>
      </c>
      <c r="S1831" s="119">
        <f>IF(tech_base!$T87&gt;S$1745,"",(tech_base!$K87/tech_proj!S211*0.086*$J$132)/(1-tech_proj!S491))</f>
        <v>0</v>
      </c>
      <c r="T1831" s="119">
        <f>IF(tech_base!$T87&gt;T$1745,"",(tech_base!$K87/tech_proj!T211*0.086*$J$132)/(1-tech_proj!T491))</f>
        <v>0</v>
      </c>
      <c r="U1831" s="119">
        <f>IF(tech_base!$T87&gt;U$1745,"",(tech_base!$K87/tech_proj!U211*0.086*$J$132)/(1-tech_proj!U491))</f>
        <v>0</v>
      </c>
      <c r="V1831" s="119">
        <f>IF(tech_base!$T87&gt;V$1745,"",(tech_base!$K87/tech_proj!V211*0.086*$J$132)/(1-tech_proj!V491))</f>
        <v>0</v>
      </c>
      <c r="W1831" s="119">
        <f>IF(tech_base!$T87&gt;W$1745,"",(tech_base!$K87/tech_proj!W211*0.086*$J$132)/(1-tech_proj!W491))</f>
        <v>0</v>
      </c>
      <c r="X1831" s="119">
        <f>IF(tech_base!$T87&gt;X$1745,"",(tech_base!$K87/tech_proj!X211*0.086*$J$132)/(1-tech_proj!X491))</f>
        <v>0</v>
      </c>
      <c r="Y1831" s="119">
        <f>IF(tech_base!$T87&gt;Y$1745,"",(tech_base!$K87/tech_proj!Y211*0.086*$J$132)/(1-tech_proj!Y491))</f>
        <v>0</v>
      </c>
      <c r="Z1831" s="119">
        <f>IF(tech_base!$T87&gt;Z$1745,"",(tech_base!$K87/tech_proj!Z211*0.086*$J$132)/(1-tech_proj!Z491))</f>
        <v>0</v>
      </c>
      <c r="AA1831" s="119">
        <f>IF(tech_base!$T87&gt;AA$1745,"",(tech_base!$K87/tech_proj!AA211*0.086*$J$132)/(1-tech_proj!AA491))</f>
        <v>0</v>
      </c>
      <c r="AB1831" s="119">
        <f>IF(tech_base!$T87&gt;AB$1745,"",(tech_base!$K87/tech_proj!AB211*0.086*$J$132)/(1-tech_proj!AB491))</f>
        <v>0</v>
      </c>
      <c r="AC1831" s="119">
        <f>IF(tech_base!$T87&gt;AC$1745,"",(tech_base!$K87/tech_proj!AC211*0.086*$J$132)/(1-tech_proj!AC491))</f>
        <v>0</v>
      </c>
      <c r="AD1831" s="119">
        <f>IF(tech_base!$T87&gt;AD$1745,"",(tech_base!$K87/tech_proj!AD211*0.086*$J$132)/(1-tech_proj!AD491))</f>
        <v>0</v>
      </c>
      <c r="AE1831" s="119">
        <f>IF(tech_base!$T87&gt;AE$1745,"",(tech_base!$K87/tech_proj!AE211*0.086*$J$132)/(1-tech_proj!AE491))</f>
        <v>0</v>
      </c>
      <c r="AF1831" s="119">
        <f>IF(tech_base!$T87&gt;AF$1745,"",(tech_base!$K87/tech_proj!AF211*0.086*$J$132)/(1-tech_proj!AF491))</f>
        <v>0</v>
      </c>
      <c r="AG1831" s="119">
        <f>IF(tech_base!$T87&gt;AG$1745,"",(tech_base!$K87/tech_proj!AG211*0.086*$J$132)/(1-tech_proj!AG491))</f>
        <v>0</v>
      </c>
      <c r="AH1831" s="119">
        <f>IF(tech_base!$T87&gt;AH$1745,"",(tech_base!$K87/tech_proj!AH211*0.086*$J$132)/(1-tech_proj!AH491))</f>
        <v>0</v>
      </c>
      <c r="AI1831" s="119">
        <f>IF(tech_base!$T87&gt;AI$1745,"",(tech_base!$K87/tech_proj!AI211*0.086*$J$132)/(1-tech_proj!AI491))</f>
        <v>0</v>
      </c>
      <c r="AJ1831" s="119">
        <f>IF(tech_base!$T87&gt;AJ$1745,"",(tech_base!$K87/tech_proj!AJ211*0.086*$J$132)/(1-tech_proj!AJ491))</f>
        <v>0</v>
      </c>
      <c r="AK1831" s="119">
        <f>IF(tech_base!$T87&gt;AK$1745,"",(tech_base!$K87/tech_proj!AK211*0.086*$J$132)/(1-tech_proj!AK491))</f>
        <v>0</v>
      </c>
      <c r="AL1831" s="119">
        <f>IF(tech_base!$T87&gt;AL$1745,"",(tech_base!$K87/tech_proj!AL211*0.086*$J$132)/(1-tech_proj!AL491))</f>
        <v>0</v>
      </c>
      <c r="AM1831" s="119">
        <f>IF(tech_base!$T87&gt;AM$1745,"",(tech_base!$K87/tech_proj!AM211*0.086*$J$132)/(1-tech_proj!AM491))</f>
        <v>0</v>
      </c>
      <c r="AN1831" s="119">
        <f>IF(tech_base!$T87&gt;AN$1745,"",(tech_base!$K87/tech_proj!AN211*0.086*$J$132)/(1-tech_proj!AN491))</f>
        <v>0</v>
      </c>
      <c r="AO1831" s="119">
        <f>IF(tech_base!$T87&gt;AO$1745,"",(tech_base!$K87/tech_proj!AO211*0.086*$J$132)/(1-tech_proj!AO491))</f>
        <v>0</v>
      </c>
      <c r="AP1831" s="119">
        <f>IF(tech_base!$T87&gt;AP$1745,"",(tech_base!$K87/tech_proj!AP211*0.086*$J$132)/(1-tech_proj!AP491))</f>
        <v>0</v>
      </c>
      <c r="AQ1831" s="119">
        <f>IF(tech_base!$T87&gt;AQ$1745,"",(tech_base!$K87/tech_proj!AQ211*0.086*$J$132)/(1-tech_proj!AQ491))</f>
        <v>0</v>
      </c>
      <c r="AR1831" s="119">
        <f>IF(tech_base!$T87&gt;AR$1745,"",(tech_base!$K87/tech_proj!AR211*0.086*$J$132)/(1-tech_proj!AR491))</f>
        <v>0</v>
      </c>
      <c r="AS1831" s="119">
        <f>IF(tech_base!$T87&gt;AS$1745,"",(tech_base!$K87/tech_proj!AS211*0.086*$J$132)/(1-tech_proj!AS491))</f>
        <v>0</v>
      </c>
      <c r="AT1831" s="119">
        <f>IF(tech_base!$T87&gt;AT$1745,"",(tech_base!$K87/tech_proj!AT211*0.086*$J$132)/(1-tech_proj!AT491))</f>
        <v>0</v>
      </c>
      <c r="AU1831" s="119">
        <f>IF(tech_base!$T87&gt;AU$1745,"",(tech_base!$K87/tech_proj!AU211*0.086*$J$132)/(1-tech_proj!AU491))</f>
        <v>0</v>
      </c>
      <c r="AV1831" s="119">
        <f>IF(tech_base!$T87&gt;AV$1745,"",(tech_base!$K87/tech_proj!AV211*0.086*$J$132)/(1-tech_proj!AV491))</f>
        <v>0</v>
      </c>
      <c r="AW1831" s="119">
        <f>IF(tech_base!$T87&gt;AW$1745,"",(tech_base!$K87/tech_proj!AW211*0.086*$J$132)/(1-tech_proj!AW491))</f>
        <v>0</v>
      </c>
      <c r="AX1831" s="120">
        <f>IF(tech_base!$T87&gt;AX$1745,"",(tech_base!$K87/tech_proj!AX211*0.086*$J$132)/(1-tech_proj!AX491))</f>
        <v>0</v>
      </c>
    </row>
    <row r="1832" spans="1:50" x14ac:dyDescent="0.25">
      <c r="A1832" s="356"/>
      <c r="B1832" s="376"/>
      <c r="C1832" s="379"/>
      <c r="D1832" s="2" t="s">
        <v>20</v>
      </c>
      <c r="E1832" s="160" t="str">
        <f>A1829&amp;"/"&amp;B1829&amp;"/"&amp;C1829&amp;"/"&amp;D1832</f>
        <v>Gas fired power plants (Natural gas, biogas)/Gas turbine combined cycle/Electricity only/XS</v>
      </c>
      <c r="F1832" s="76" t="str">
        <f>A1829</f>
        <v>Gas fired power plants (Natural gas, biogas)</v>
      </c>
      <c r="G1832" s="76" t="str">
        <f>B1829</f>
        <v>Gas turbine combined cycle</v>
      </c>
      <c r="H1832" s="76" t="str">
        <f>C1829</f>
        <v>Electricity only</v>
      </c>
      <c r="I1832" s="161" t="str">
        <f t="shared" si="383"/>
        <v>XS</v>
      </c>
      <c r="J1832" s="119">
        <f>IF(tech_base!$T88&gt;J$1745,"",(tech_base!$K88/tech_proj!J212*0.086*$J$132)/(1-tech_proj!J492))</f>
        <v>0</v>
      </c>
      <c r="K1832" s="119">
        <f>IF(tech_base!$T88&gt;K$1745,"",(tech_base!$K88/tech_proj!K212*0.086*$J$132)/(1-tech_proj!K492))</f>
        <v>0</v>
      </c>
      <c r="L1832" s="119">
        <f>IF(tech_base!$T88&gt;L$1745,"",(tech_base!$K88/tech_proj!L212*0.086*$J$132)/(1-tech_proj!L492))</f>
        <v>0</v>
      </c>
      <c r="M1832" s="119">
        <f>IF(tech_base!$T88&gt;M$1745,"",(tech_base!$K88/tech_proj!M212*0.086*$J$132)/(1-tech_proj!M492))</f>
        <v>0</v>
      </c>
      <c r="N1832" s="119">
        <f>IF(tech_base!$T88&gt;N$1745,"",(tech_base!$K88/tech_proj!N212*0.086*$J$132)/(1-tech_proj!N492))</f>
        <v>0</v>
      </c>
      <c r="O1832" s="119">
        <f>IF(tech_base!$T88&gt;O$1745,"",(tech_base!$K88/tech_proj!O212*0.086*$J$132)/(1-tech_proj!O492))</f>
        <v>0</v>
      </c>
      <c r="P1832" s="119">
        <f>IF(tech_base!$T88&gt;P$1745,"",(tech_base!$K88/tech_proj!P212*0.086*$J$132)/(1-tech_proj!P492))</f>
        <v>0</v>
      </c>
      <c r="Q1832" s="119">
        <f>IF(tech_base!$T88&gt;Q$1745,"",(tech_base!$K88/tech_proj!Q212*0.086*$J$132)/(1-tech_proj!Q492))</f>
        <v>0</v>
      </c>
      <c r="R1832" s="119">
        <f>IF(tech_base!$T88&gt;R$1745,"",(tech_base!$K88/tech_proj!R212*0.086*$J$132)/(1-tech_proj!R492))</f>
        <v>0</v>
      </c>
      <c r="S1832" s="119">
        <f>IF(tech_base!$T88&gt;S$1745,"",(tech_base!$K88/tech_proj!S212*0.086*$J$132)/(1-tech_proj!S492))</f>
        <v>0</v>
      </c>
      <c r="T1832" s="119">
        <f>IF(tech_base!$T88&gt;T$1745,"",(tech_base!$K88/tech_proj!T212*0.086*$J$132)/(1-tech_proj!T492))</f>
        <v>0</v>
      </c>
      <c r="U1832" s="119">
        <f>IF(tech_base!$T88&gt;U$1745,"",(tech_base!$K88/tech_proj!U212*0.086*$J$132)/(1-tech_proj!U492))</f>
        <v>0</v>
      </c>
      <c r="V1832" s="119">
        <f>IF(tech_base!$T88&gt;V$1745,"",(tech_base!$K88/tech_proj!V212*0.086*$J$132)/(1-tech_proj!V492))</f>
        <v>0</v>
      </c>
      <c r="W1832" s="119">
        <f>IF(tech_base!$T88&gt;W$1745,"",(tech_base!$K88/tech_proj!W212*0.086*$J$132)/(1-tech_proj!W492))</f>
        <v>0</v>
      </c>
      <c r="X1832" s="119">
        <f>IF(tech_base!$T88&gt;X$1745,"",(tech_base!$K88/tech_proj!X212*0.086*$J$132)/(1-tech_proj!X492))</f>
        <v>0</v>
      </c>
      <c r="Y1832" s="119">
        <f>IF(tech_base!$T88&gt;Y$1745,"",(tech_base!$K88/tech_proj!Y212*0.086*$J$132)/(1-tech_proj!Y492))</f>
        <v>0</v>
      </c>
      <c r="Z1832" s="119">
        <f>IF(tech_base!$T88&gt;Z$1745,"",(tech_base!$K88/tech_proj!Z212*0.086*$J$132)/(1-tech_proj!Z492))</f>
        <v>0</v>
      </c>
      <c r="AA1832" s="119">
        <f>IF(tech_base!$T88&gt;AA$1745,"",(tech_base!$K88/tech_proj!AA212*0.086*$J$132)/(1-tech_proj!AA492))</f>
        <v>0</v>
      </c>
      <c r="AB1832" s="119">
        <f>IF(tech_base!$T88&gt;AB$1745,"",(tech_base!$K88/tech_proj!AB212*0.086*$J$132)/(1-tech_proj!AB492))</f>
        <v>0</v>
      </c>
      <c r="AC1832" s="119">
        <f>IF(tech_base!$T88&gt;AC$1745,"",(tech_base!$K88/tech_proj!AC212*0.086*$J$132)/(1-tech_proj!AC492))</f>
        <v>0</v>
      </c>
      <c r="AD1832" s="119">
        <f>IF(tech_base!$T88&gt;AD$1745,"",(tech_base!$K88/tech_proj!AD212*0.086*$J$132)/(1-tech_proj!AD492))</f>
        <v>0</v>
      </c>
      <c r="AE1832" s="119">
        <f>IF(tech_base!$T88&gt;AE$1745,"",(tech_base!$K88/tech_proj!AE212*0.086*$J$132)/(1-tech_proj!AE492))</f>
        <v>0</v>
      </c>
      <c r="AF1832" s="119">
        <f>IF(tech_base!$T88&gt;AF$1745,"",(tech_base!$K88/tech_proj!AF212*0.086*$J$132)/(1-tech_proj!AF492))</f>
        <v>0</v>
      </c>
      <c r="AG1832" s="119">
        <f>IF(tech_base!$T88&gt;AG$1745,"",(tech_base!$K88/tech_proj!AG212*0.086*$J$132)/(1-tech_proj!AG492))</f>
        <v>0</v>
      </c>
      <c r="AH1832" s="119">
        <f>IF(tech_base!$T88&gt;AH$1745,"",(tech_base!$K88/tech_proj!AH212*0.086*$J$132)/(1-tech_proj!AH492))</f>
        <v>0</v>
      </c>
      <c r="AI1832" s="119">
        <f>IF(tech_base!$T88&gt;AI$1745,"",(tech_base!$K88/tech_proj!AI212*0.086*$J$132)/(1-tech_proj!AI492))</f>
        <v>0</v>
      </c>
      <c r="AJ1832" s="119">
        <f>IF(tech_base!$T88&gt;AJ$1745,"",(tech_base!$K88/tech_proj!AJ212*0.086*$J$132)/(1-tech_proj!AJ492))</f>
        <v>0</v>
      </c>
      <c r="AK1832" s="119">
        <f>IF(tech_base!$T88&gt;AK$1745,"",(tech_base!$K88/tech_proj!AK212*0.086*$J$132)/(1-tech_proj!AK492))</f>
        <v>0</v>
      </c>
      <c r="AL1832" s="119">
        <f>IF(tech_base!$T88&gt;AL$1745,"",(tech_base!$K88/tech_proj!AL212*0.086*$J$132)/(1-tech_proj!AL492))</f>
        <v>0</v>
      </c>
      <c r="AM1832" s="119">
        <f>IF(tech_base!$T88&gt;AM$1745,"",(tech_base!$K88/tech_proj!AM212*0.086*$J$132)/(1-tech_proj!AM492))</f>
        <v>0</v>
      </c>
      <c r="AN1832" s="119">
        <f>IF(tech_base!$T88&gt;AN$1745,"",(tech_base!$K88/tech_proj!AN212*0.086*$J$132)/(1-tech_proj!AN492))</f>
        <v>0</v>
      </c>
      <c r="AO1832" s="119">
        <f>IF(tech_base!$T88&gt;AO$1745,"",(tech_base!$K88/tech_proj!AO212*0.086*$J$132)/(1-tech_proj!AO492))</f>
        <v>0</v>
      </c>
      <c r="AP1832" s="119">
        <f>IF(tech_base!$T88&gt;AP$1745,"",(tech_base!$K88/tech_proj!AP212*0.086*$J$132)/(1-tech_proj!AP492))</f>
        <v>0</v>
      </c>
      <c r="AQ1832" s="119">
        <f>IF(tech_base!$T88&gt;AQ$1745,"",(tech_base!$K88/tech_proj!AQ212*0.086*$J$132)/(1-tech_proj!AQ492))</f>
        <v>0</v>
      </c>
      <c r="AR1832" s="119">
        <f>IF(tech_base!$T88&gt;AR$1745,"",(tech_base!$K88/tech_proj!AR212*0.086*$J$132)/(1-tech_proj!AR492))</f>
        <v>0</v>
      </c>
      <c r="AS1832" s="119">
        <f>IF(tech_base!$T88&gt;AS$1745,"",(tech_base!$K88/tech_proj!AS212*0.086*$J$132)/(1-tech_proj!AS492))</f>
        <v>0</v>
      </c>
      <c r="AT1832" s="119">
        <f>IF(tech_base!$T88&gt;AT$1745,"",(tech_base!$K88/tech_proj!AT212*0.086*$J$132)/(1-tech_proj!AT492))</f>
        <v>0</v>
      </c>
      <c r="AU1832" s="119">
        <f>IF(tech_base!$T88&gt;AU$1745,"",(tech_base!$K88/tech_proj!AU212*0.086*$J$132)/(1-tech_proj!AU492))</f>
        <v>0</v>
      </c>
      <c r="AV1832" s="119">
        <f>IF(tech_base!$T88&gt;AV$1745,"",(tech_base!$K88/tech_proj!AV212*0.086*$J$132)/(1-tech_proj!AV492))</f>
        <v>0</v>
      </c>
      <c r="AW1832" s="119">
        <f>IF(tech_base!$T88&gt;AW$1745,"",(tech_base!$K88/tech_proj!AW212*0.086*$J$132)/(1-tech_proj!AW492))</f>
        <v>0</v>
      </c>
      <c r="AX1832" s="120">
        <f>IF(tech_base!$T88&gt;AX$1745,"",(tech_base!$K88/tech_proj!AX212*0.086*$J$132)/(1-tech_proj!AX492))</f>
        <v>0</v>
      </c>
    </row>
    <row r="1833" spans="1:50" x14ac:dyDescent="0.25">
      <c r="A1833" s="356"/>
      <c r="B1833" s="376"/>
      <c r="C1833" s="361" t="s">
        <v>14</v>
      </c>
      <c r="D1833" s="58" t="s">
        <v>7</v>
      </c>
      <c r="E1833" s="164" t="str">
        <f>A1829&amp;"/"&amp;B1829&amp;"/"&amp;C1833&amp;"/"&amp;D1833</f>
        <v>Gas fired power plants (Natural gas, biogas)/Gas turbine combined cycle/CHP/L</v>
      </c>
      <c r="F1833" s="78" t="str">
        <f>A1829</f>
        <v>Gas fired power plants (Natural gas, biogas)</v>
      </c>
      <c r="G1833" s="78" t="str">
        <f>B1829</f>
        <v>Gas turbine combined cycle</v>
      </c>
      <c r="H1833" s="78" t="str">
        <f>C1833</f>
        <v>CHP</v>
      </c>
      <c r="I1833" s="165" t="str">
        <f t="shared" si="383"/>
        <v>L</v>
      </c>
      <c r="J1833" s="123">
        <f>IF(tech_base!$T89&gt;J$1745,"",(tech_base!$K89/tech_proj!J213*0.086*$J$132)/(1-tech_proj!J493))</f>
        <v>0</v>
      </c>
      <c r="K1833" s="123">
        <f>IF(tech_base!$T89&gt;K$1745,"",(tech_base!$K89/tech_proj!K213*0.086*$J$132)/(1-tech_proj!K493))</f>
        <v>0</v>
      </c>
      <c r="L1833" s="123">
        <f>IF(tech_base!$T89&gt;L$1745,"",(tech_base!$K89/tech_proj!L213*0.086*$J$132)/(1-tech_proj!L493))</f>
        <v>0</v>
      </c>
      <c r="M1833" s="123">
        <f>IF(tech_base!$T89&gt;M$1745,"",(tech_base!$K89/tech_proj!M213*0.086*$J$132)/(1-tech_proj!M493))</f>
        <v>0</v>
      </c>
      <c r="N1833" s="123">
        <f>IF(tech_base!$T89&gt;N$1745,"",(tech_base!$K89/tech_proj!N213*0.086*$J$132)/(1-tech_proj!N493))</f>
        <v>0</v>
      </c>
      <c r="O1833" s="123">
        <f>IF(tech_base!$T89&gt;O$1745,"",(tech_base!$K89/tech_proj!O213*0.086*$J$132)/(1-tech_proj!O493))</f>
        <v>0</v>
      </c>
      <c r="P1833" s="123">
        <f>IF(tech_base!$T89&gt;P$1745,"",(tech_base!$K89/tech_proj!P213*0.086*$J$132)/(1-tech_proj!P493))</f>
        <v>0</v>
      </c>
      <c r="Q1833" s="123">
        <f>IF(tech_base!$T89&gt;Q$1745,"",(tech_base!$K89/tech_proj!Q213*0.086*$J$132)/(1-tech_proj!Q493))</f>
        <v>0</v>
      </c>
      <c r="R1833" s="123">
        <f>IF(tech_base!$T89&gt;R$1745,"",(tech_base!$K89/tech_proj!R213*0.086*$J$132)/(1-tech_proj!R493))</f>
        <v>0</v>
      </c>
      <c r="S1833" s="123">
        <f>IF(tech_base!$T89&gt;S$1745,"",(tech_base!$K89/tech_proj!S213*0.086*$J$132)/(1-tech_proj!S493))</f>
        <v>0</v>
      </c>
      <c r="T1833" s="123">
        <f>IF(tech_base!$T89&gt;T$1745,"",(tech_base!$K89/tech_proj!T213*0.086*$J$132)/(1-tech_proj!T493))</f>
        <v>0</v>
      </c>
      <c r="U1833" s="123">
        <f>IF(tech_base!$T89&gt;U$1745,"",(tech_base!$K89/tech_proj!U213*0.086*$J$132)/(1-tech_proj!U493))</f>
        <v>0</v>
      </c>
      <c r="V1833" s="123">
        <f>IF(tech_base!$T89&gt;V$1745,"",(tech_base!$K89/tech_proj!V213*0.086*$J$132)/(1-tech_proj!V493))</f>
        <v>0</v>
      </c>
      <c r="W1833" s="123">
        <f>IF(tech_base!$T89&gt;W$1745,"",(tech_base!$K89/tech_proj!W213*0.086*$J$132)/(1-tech_proj!W493))</f>
        <v>0</v>
      </c>
      <c r="X1833" s="123">
        <f>IF(tech_base!$T89&gt;X$1745,"",(tech_base!$K89/tech_proj!X213*0.086*$J$132)/(1-tech_proj!X493))</f>
        <v>0</v>
      </c>
      <c r="Y1833" s="123">
        <f>IF(tech_base!$T89&gt;Y$1745,"",(tech_base!$K89/tech_proj!Y213*0.086*$J$132)/(1-tech_proj!Y493))</f>
        <v>0</v>
      </c>
      <c r="Z1833" s="123">
        <f>IF(tech_base!$T89&gt;Z$1745,"",(tech_base!$K89/tech_proj!Z213*0.086*$J$132)/(1-tech_proj!Z493))</f>
        <v>0</v>
      </c>
      <c r="AA1833" s="123">
        <f>IF(tech_base!$T89&gt;AA$1745,"",(tech_base!$K89/tech_proj!AA213*0.086*$J$132)/(1-tech_proj!AA493))</f>
        <v>0</v>
      </c>
      <c r="AB1833" s="123">
        <f>IF(tech_base!$T89&gt;AB$1745,"",(tech_base!$K89/tech_proj!AB213*0.086*$J$132)/(1-tech_proj!AB493))</f>
        <v>0</v>
      </c>
      <c r="AC1833" s="123">
        <f>IF(tech_base!$T89&gt;AC$1745,"",(tech_base!$K89/tech_proj!AC213*0.086*$J$132)/(1-tech_proj!AC493))</f>
        <v>0</v>
      </c>
      <c r="AD1833" s="123">
        <f>IF(tech_base!$T89&gt;AD$1745,"",(tech_base!$K89/tech_proj!AD213*0.086*$J$132)/(1-tech_proj!AD493))</f>
        <v>0</v>
      </c>
      <c r="AE1833" s="123">
        <f>IF(tech_base!$T89&gt;AE$1745,"",(tech_base!$K89/tech_proj!AE213*0.086*$J$132)/(1-tech_proj!AE493))</f>
        <v>0</v>
      </c>
      <c r="AF1833" s="123">
        <f>IF(tech_base!$T89&gt;AF$1745,"",(tech_base!$K89/tech_proj!AF213*0.086*$J$132)/(1-tech_proj!AF493))</f>
        <v>0</v>
      </c>
      <c r="AG1833" s="123">
        <f>IF(tech_base!$T89&gt;AG$1745,"",(tech_base!$K89/tech_proj!AG213*0.086*$J$132)/(1-tech_proj!AG493))</f>
        <v>0</v>
      </c>
      <c r="AH1833" s="123">
        <f>IF(tech_base!$T89&gt;AH$1745,"",(tech_base!$K89/tech_proj!AH213*0.086*$J$132)/(1-tech_proj!AH493))</f>
        <v>0</v>
      </c>
      <c r="AI1833" s="123">
        <f>IF(tech_base!$T89&gt;AI$1745,"",(tech_base!$K89/tech_proj!AI213*0.086*$J$132)/(1-tech_proj!AI493))</f>
        <v>0</v>
      </c>
      <c r="AJ1833" s="123">
        <f>IF(tech_base!$T89&gt;AJ$1745,"",(tech_base!$K89/tech_proj!AJ213*0.086*$J$132)/(1-tech_proj!AJ493))</f>
        <v>0</v>
      </c>
      <c r="AK1833" s="123">
        <f>IF(tech_base!$T89&gt;AK$1745,"",(tech_base!$K89/tech_proj!AK213*0.086*$J$132)/(1-tech_proj!AK493))</f>
        <v>0</v>
      </c>
      <c r="AL1833" s="123">
        <f>IF(tech_base!$T89&gt;AL$1745,"",(tech_base!$K89/tech_proj!AL213*0.086*$J$132)/(1-tech_proj!AL493))</f>
        <v>0</v>
      </c>
      <c r="AM1833" s="123">
        <f>IF(tech_base!$T89&gt;AM$1745,"",(tech_base!$K89/tech_proj!AM213*0.086*$J$132)/(1-tech_proj!AM493))</f>
        <v>0</v>
      </c>
      <c r="AN1833" s="123">
        <f>IF(tech_base!$T89&gt;AN$1745,"",(tech_base!$K89/tech_proj!AN213*0.086*$J$132)/(1-tech_proj!AN493))</f>
        <v>0</v>
      </c>
      <c r="AO1833" s="123">
        <f>IF(tech_base!$T89&gt;AO$1745,"",(tech_base!$K89/tech_proj!AO213*0.086*$J$132)/(1-tech_proj!AO493))</f>
        <v>0</v>
      </c>
      <c r="AP1833" s="123">
        <f>IF(tech_base!$T89&gt;AP$1745,"",(tech_base!$K89/tech_proj!AP213*0.086*$J$132)/(1-tech_proj!AP493))</f>
        <v>0</v>
      </c>
      <c r="AQ1833" s="123">
        <f>IF(tech_base!$T89&gt;AQ$1745,"",(tech_base!$K89/tech_proj!AQ213*0.086*$J$132)/(1-tech_proj!AQ493))</f>
        <v>0</v>
      </c>
      <c r="AR1833" s="123">
        <f>IF(tech_base!$T89&gt;AR$1745,"",(tech_base!$K89/tech_proj!AR213*0.086*$J$132)/(1-tech_proj!AR493))</f>
        <v>0</v>
      </c>
      <c r="AS1833" s="123">
        <f>IF(tech_base!$T89&gt;AS$1745,"",(tech_base!$K89/tech_proj!AS213*0.086*$J$132)/(1-tech_proj!AS493))</f>
        <v>0</v>
      </c>
      <c r="AT1833" s="123">
        <f>IF(tech_base!$T89&gt;AT$1745,"",(tech_base!$K89/tech_proj!AT213*0.086*$J$132)/(1-tech_proj!AT493))</f>
        <v>0</v>
      </c>
      <c r="AU1833" s="123">
        <f>IF(tech_base!$T89&gt;AU$1745,"",(tech_base!$K89/tech_proj!AU213*0.086*$J$132)/(1-tech_proj!AU493))</f>
        <v>0</v>
      </c>
      <c r="AV1833" s="123">
        <f>IF(tech_base!$T89&gt;AV$1745,"",(tech_base!$K89/tech_proj!AV213*0.086*$J$132)/(1-tech_proj!AV493))</f>
        <v>0</v>
      </c>
      <c r="AW1833" s="123">
        <f>IF(tech_base!$T89&gt;AW$1745,"",(tech_base!$K89/tech_proj!AW213*0.086*$J$132)/(1-tech_proj!AW493))</f>
        <v>0</v>
      </c>
      <c r="AX1833" s="124">
        <f>IF(tech_base!$T89&gt;AX$1745,"",(tech_base!$K89/tech_proj!AX213*0.086*$J$132)/(1-tech_proj!AX493))</f>
        <v>0</v>
      </c>
    </row>
    <row r="1834" spans="1:50" x14ac:dyDescent="0.25">
      <c r="A1834" s="356"/>
      <c r="B1834" s="376"/>
      <c r="C1834" s="378"/>
      <c r="D1834" s="2" t="s">
        <v>8</v>
      </c>
      <c r="E1834" s="160" t="str">
        <f>A1829&amp;"/"&amp;B1829&amp;"/"&amp;C1833&amp;"/"&amp;D1834</f>
        <v>Gas fired power plants (Natural gas, biogas)/Gas turbine combined cycle/CHP/M</v>
      </c>
      <c r="F1834" s="76" t="str">
        <f>A1829</f>
        <v>Gas fired power plants (Natural gas, biogas)</v>
      </c>
      <c r="G1834" s="76" t="str">
        <f>B1829</f>
        <v>Gas turbine combined cycle</v>
      </c>
      <c r="H1834" s="76" t="str">
        <f>C1833</f>
        <v>CHP</v>
      </c>
      <c r="I1834" s="161" t="str">
        <f t="shared" si="383"/>
        <v>M</v>
      </c>
      <c r="J1834" s="119">
        <f>IF(tech_base!$T90&gt;J$1745,"",(tech_base!$K90/tech_proj!J214*0.086*$J$132)/(1-tech_proj!J494))</f>
        <v>0</v>
      </c>
      <c r="K1834" s="119">
        <f>IF(tech_base!$T90&gt;K$1745,"",(tech_base!$K90/tech_proj!K214*0.086*$J$132)/(1-tech_proj!K494))</f>
        <v>0</v>
      </c>
      <c r="L1834" s="119">
        <f>IF(tech_base!$T90&gt;L$1745,"",(tech_base!$K90/tech_proj!L214*0.086*$J$132)/(1-tech_proj!L494))</f>
        <v>0</v>
      </c>
      <c r="M1834" s="119">
        <f>IF(tech_base!$T90&gt;M$1745,"",(tech_base!$K90/tech_proj!M214*0.086*$J$132)/(1-tech_proj!M494))</f>
        <v>0</v>
      </c>
      <c r="N1834" s="119">
        <f>IF(tech_base!$T90&gt;N$1745,"",(tech_base!$K90/tech_proj!N214*0.086*$J$132)/(1-tech_proj!N494))</f>
        <v>0</v>
      </c>
      <c r="O1834" s="119">
        <f>IF(tech_base!$T90&gt;O$1745,"",(tech_base!$K90/tech_proj!O214*0.086*$J$132)/(1-tech_proj!O494))</f>
        <v>0</v>
      </c>
      <c r="P1834" s="119">
        <f>IF(tech_base!$T90&gt;P$1745,"",(tech_base!$K90/tech_proj!P214*0.086*$J$132)/(1-tech_proj!P494))</f>
        <v>0</v>
      </c>
      <c r="Q1834" s="119">
        <f>IF(tech_base!$T90&gt;Q$1745,"",(tech_base!$K90/tech_proj!Q214*0.086*$J$132)/(1-tech_proj!Q494))</f>
        <v>0</v>
      </c>
      <c r="R1834" s="119">
        <f>IF(tech_base!$T90&gt;R$1745,"",(tech_base!$K90/tech_proj!R214*0.086*$J$132)/(1-tech_proj!R494))</f>
        <v>0</v>
      </c>
      <c r="S1834" s="119">
        <f>IF(tech_base!$T90&gt;S$1745,"",(tech_base!$K90/tech_proj!S214*0.086*$J$132)/(1-tech_proj!S494))</f>
        <v>0</v>
      </c>
      <c r="T1834" s="119">
        <f>IF(tech_base!$T90&gt;T$1745,"",(tech_base!$K90/tech_proj!T214*0.086*$J$132)/(1-tech_proj!T494))</f>
        <v>0</v>
      </c>
      <c r="U1834" s="119">
        <f>IF(tech_base!$T90&gt;U$1745,"",(tech_base!$K90/tech_proj!U214*0.086*$J$132)/(1-tech_proj!U494))</f>
        <v>0</v>
      </c>
      <c r="V1834" s="119">
        <f>IF(tech_base!$T90&gt;V$1745,"",(tech_base!$K90/tech_proj!V214*0.086*$J$132)/(1-tech_proj!V494))</f>
        <v>0</v>
      </c>
      <c r="W1834" s="119">
        <f>IF(tech_base!$T90&gt;W$1745,"",(tech_base!$K90/tech_proj!W214*0.086*$J$132)/(1-tech_proj!W494))</f>
        <v>0</v>
      </c>
      <c r="X1834" s="119">
        <f>IF(tech_base!$T90&gt;X$1745,"",(tech_base!$K90/tech_proj!X214*0.086*$J$132)/(1-tech_proj!X494))</f>
        <v>0</v>
      </c>
      <c r="Y1834" s="119">
        <f>IF(tech_base!$T90&gt;Y$1745,"",(tech_base!$K90/tech_proj!Y214*0.086*$J$132)/(1-tech_proj!Y494))</f>
        <v>0</v>
      </c>
      <c r="Z1834" s="119">
        <f>IF(tech_base!$T90&gt;Z$1745,"",(tech_base!$K90/tech_proj!Z214*0.086*$J$132)/(1-tech_proj!Z494))</f>
        <v>0</v>
      </c>
      <c r="AA1834" s="119">
        <f>IF(tech_base!$T90&gt;AA$1745,"",(tech_base!$K90/tech_proj!AA214*0.086*$J$132)/(1-tech_proj!AA494))</f>
        <v>0</v>
      </c>
      <c r="AB1834" s="119">
        <f>IF(tech_base!$T90&gt;AB$1745,"",(tech_base!$K90/tech_proj!AB214*0.086*$J$132)/(1-tech_proj!AB494))</f>
        <v>0</v>
      </c>
      <c r="AC1834" s="119">
        <f>IF(tech_base!$T90&gt;AC$1745,"",(tech_base!$K90/tech_proj!AC214*0.086*$J$132)/(1-tech_proj!AC494))</f>
        <v>0</v>
      </c>
      <c r="AD1834" s="119">
        <f>IF(tech_base!$T90&gt;AD$1745,"",(tech_base!$K90/tech_proj!AD214*0.086*$J$132)/(1-tech_proj!AD494))</f>
        <v>0</v>
      </c>
      <c r="AE1834" s="119">
        <f>IF(tech_base!$T90&gt;AE$1745,"",(tech_base!$K90/tech_proj!AE214*0.086*$J$132)/(1-tech_proj!AE494))</f>
        <v>0</v>
      </c>
      <c r="AF1834" s="119">
        <f>IF(tech_base!$T90&gt;AF$1745,"",(tech_base!$K90/tech_proj!AF214*0.086*$J$132)/(1-tech_proj!AF494))</f>
        <v>0</v>
      </c>
      <c r="AG1834" s="119">
        <f>IF(tech_base!$T90&gt;AG$1745,"",(tech_base!$K90/tech_proj!AG214*0.086*$J$132)/(1-tech_proj!AG494))</f>
        <v>0</v>
      </c>
      <c r="AH1834" s="119">
        <f>IF(tech_base!$T90&gt;AH$1745,"",(tech_base!$K90/tech_proj!AH214*0.086*$J$132)/(1-tech_proj!AH494))</f>
        <v>0</v>
      </c>
      <c r="AI1834" s="119">
        <f>IF(tech_base!$T90&gt;AI$1745,"",(tech_base!$K90/tech_proj!AI214*0.086*$J$132)/(1-tech_proj!AI494))</f>
        <v>0</v>
      </c>
      <c r="AJ1834" s="119">
        <f>IF(tech_base!$T90&gt;AJ$1745,"",(tech_base!$K90/tech_proj!AJ214*0.086*$J$132)/(1-tech_proj!AJ494))</f>
        <v>0</v>
      </c>
      <c r="AK1834" s="119">
        <f>IF(tech_base!$T90&gt;AK$1745,"",(tech_base!$K90/tech_proj!AK214*0.086*$J$132)/(1-tech_proj!AK494))</f>
        <v>0</v>
      </c>
      <c r="AL1834" s="119">
        <f>IF(tech_base!$T90&gt;AL$1745,"",(tech_base!$K90/tech_proj!AL214*0.086*$J$132)/(1-tech_proj!AL494))</f>
        <v>0</v>
      </c>
      <c r="AM1834" s="119">
        <f>IF(tech_base!$T90&gt;AM$1745,"",(tech_base!$K90/tech_proj!AM214*0.086*$J$132)/(1-tech_proj!AM494))</f>
        <v>0</v>
      </c>
      <c r="AN1834" s="119">
        <f>IF(tech_base!$T90&gt;AN$1745,"",(tech_base!$K90/tech_proj!AN214*0.086*$J$132)/(1-tech_proj!AN494))</f>
        <v>0</v>
      </c>
      <c r="AO1834" s="119">
        <f>IF(tech_base!$T90&gt;AO$1745,"",(tech_base!$K90/tech_proj!AO214*0.086*$J$132)/(1-tech_proj!AO494))</f>
        <v>0</v>
      </c>
      <c r="AP1834" s="119">
        <f>IF(tech_base!$T90&gt;AP$1745,"",(tech_base!$K90/tech_proj!AP214*0.086*$J$132)/(1-tech_proj!AP494))</f>
        <v>0</v>
      </c>
      <c r="AQ1834" s="119">
        <f>IF(tech_base!$T90&gt;AQ$1745,"",(tech_base!$K90/tech_proj!AQ214*0.086*$J$132)/(1-tech_proj!AQ494))</f>
        <v>0</v>
      </c>
      <c r="AR1834" s="119">
        <f>IF(tech_base!$T90&gt;AR$1745,"",(tech_base!$K90/tech_proj!AR214*0.086*$J$132)/(1-tech_proj!AR494))</f>
        <v>0</v>
      </c>
      <c r="AS1834" s="119">
        <f>IF(tech_base!$T90&gt;AS$1745,"",(tech_base!$K90/tech_proj!AS214*0.086*$J$132)/(1-tech_proj!AS494))</f>
        <v>0</v>
      </c>
      <c r="AT1834" s="119">
        <f>IF(tech_base!$T90&gt;AT$1745,"",(tech_base!$K90/tech_proj!AT214*0.086*$J$132)/(1-tech_proj!AT494))</f>
        <v>0</v>
      </c>
      <c r="AU1834" s="119">
        <f>IF(tech_base!$T90&gt;AU$1745,"",(tech_base!$K90/tech_proj!AU214*0.086*$J$132)/(1-tech_proj!AU494))</f>
        <v>0</v>
      </c>
      <c r="AV1834" s="119">
        <f>IF(tech_base!$T90&gt;AV$1745,"",(tech_base!$K90/tech_proj!AV214*0.086*$J$132)/(1-tech_proj!AV494))</f>
        <v>0</v>
      </c>
      <c r="AW1834" s="119">
        <f>IF(tech_base!$T90&gt;AW$1745,"",(tech_base!$K90/tech_proj!AW214*0.086*$J$132)/(1-tech_proj!AW494))</f>
        <v>0</v>
      </c>
      <c r="AX1834" s="120">
        <f>IF(tech_base!$T90&gt;AX$1745,"",(tech_base!$K90/tech_proj!AX214*0.086*$J$132)/(1-tech_proj!AX494))</f>
        <v>0</v>
      </c>
    </row>
    <row r="1835" spans="1:50" x14ac:dyDescent="0.25">
      <c r="A1835" s="356"/>
      <c r="B1835" s="376"/>
      <c r="C1835" s="378"/>
      <c r="D1835" s="2" t="s">
        <v>10</v>
      </c>
      <c r="E1835" s="160" t="str">
        <f>A1829&amp;"/"&amp;B1829&amp;"/"&amp;C1833&amp;"/"&amp;D1835</f>
        <v>Gas fired power plants (Natural gas, biogas)/Gas turbine combined cycle/CHP/S</v>
      </c>
      <c r="F1835" s="76" t="str">
        <f>A1829</f>
        <v>Gas fired power plants (Natural gas, biogas)</v>
      </c>
      <c r="G1835" s="76" t="str">
        <f>B1829</f>
        <v>Gas turbine combined cycle</v>
      </c>
      <c r="H1835" s="76" t="str">
        <f>C1833</f>
        <v>CHP</v>
      </c>
      <c r="I1835" s="161" t="str">
        <f t="shared" si="383"/>
        <v>S</v>
      </c>
      <c r="J1835" s="119">
        <f>IF(tech_base!$T91&gt;J$1745,"",(tech_base!$K91/tech_proj!J215*0.086*$J$132)/(1-tech_proj!J495))</f>
        <v>0</v>
      </c>
      <c r="K1835" s="119">
        <f>IF(tech_base!$T91&gt;K$1745,"",(tech_base!$K91/tech_proj!K215*0.086*$J$132)/(1-tech_proj!K495))</f>
        <v>0</v>
      </c>
      <c r="L1835" s="119">
        <f>IF(tech_base!$T91&gt;L$1745,"",(tech_base!$K91/tech_proj!L215*0.086*$J$132)/(1-tech_proj!L495))</f>
        <v>0</v>
      </c>
      <c r="M1835" s="119">
        <f>IF(tech_base!$T91&gt;M$1745,"",(tech_base!$K91/tech_proj!M215*0.086*$J$132)/(1-tech_proj!M495))</f>
        <v>0</v>
      </c>
      <c r="N1835" s="119">
        <f>IF(tech_base!$T91&gt;N$1745,"",(tech_base!$K91/tech_proj!N215*0.086*$J$132)/(1-tech_proj!N495))</f>
        <v>0</v>
      </c>
      <c r="O1835" s="119">
        <f>IF(tech_base!$T91&gt;O$1745,"",(tech_base!$K91/tech_proj!O215*0.086*$J$132)/(1-tech_proj!O495))</f>
        <v>0</v>
      </c>
      <c r="P1835" s="119">
        <f>IF(tech_base!$T91&gt;P$1745,"",(tech_base!$K91/tech_proj!P215*0.086*$J$132)/(1-tech_proj!P495))</f>
        <v>0</v>
      </c>
      <c r="Q1835" s="119">
        <f>IF(tech_base!$T91&gt;Q$1745,"",(tech_base!$K91/tech_proj!Q215*0.086*$J$132)/(1-tech_proj!Q495))</f>
        <v>0</v>
      </c>
      <c r="R1835" s="119">
        <f>IF(tech_base!$T91&gt;R$1745,"",(tech_base!$K91/tech_proj!R215*0.086*$J$132)/(1-tech_proj!R495))</f>
        <v>0</v>
      </c>
      <c r="S1835" s="119">
        <f>IF(tech_base!$T91&gt;S$1745,"",(tech_base!$K91/tech_proj!S215*0.086*$J$132)/(1-tech_proj!S495))</f>
        <v>0</v>
      </c>
      <c r="T1835" s="119">
        <f>IF(tech_base!$T91&gt;T$1745,"",(tech_base!$K91/tech_proj!T215*0.086*$J$132)/(1-tech_proj!T495))</f>
        <v>0</v>
      </c>
      <c r="U1835" s="119">
        <f>IF(tech_base!$T91&gt;U$1745,"",(tech_base!$K91/tech_proj!U215*0.086*$J$132)/(1-tech_proj!U495))</f>
        <v>0</v>
      </c>
      <c r="V1835" s="119">
        <f>IF(tech_base!$T91&gt;V$1745,"",(tech_base!$K91/tech_proj!V215*0.086*$J$132)/(1-tech_proj!V495))</f>
        <v>0</v>
      </c>
      <c r="W1835" s="119">
        <f>IF(tech_base!$T91&gt;W$1745,"",(tech_base!$K91/tech_proj!W215*0.086*$J$132)/(1-tech_proj!W495))</f>
        <v>0</v>
      </c>
      <c r="X1835" s="119">
        <f>IF(tech_base!$T91&gt;X$1745,"",(tech_base!$K91/tech_proj!X215*0.086*$J$132)/(1-tech_proj!X495))</f>
        <v>0</v>
      </c>
      <c r="Y1835" s="119">
        <f>IF(tech_base!$T91&gt;Y$1745,"",(tech_base!$K91/tech_proj!Y215*0.086*$J$132)/(1-tech_proj!Y495))</f>
        <v>0</v>
      </c>
      <c r="Z1835" s="119">
        <f>IF(tech_base!$T91&gt;Z$1745,"",(tech_base!$K91/tech_proj!Z215*0.086*$J$132)/(1-tech_proj!Z495))</f>
        <v>0</v>
      </c>
      <c r="AA1835" s="119">
        <f>IF(tech_base!$T91&gt;AA$1745,"",(tech_base!$K91/tech_proj!AA215*0.086*$J$132)/(1-tech_proj!AA495))</f>
        <v>0</v>
      </c>
      <c r="AB1835" s="119">
        <f>IF(tech_base!$T91&gt;AB$1745,"",(tech_base!$K91/tech_proj!AB215*0.086*$J$132)/(1-tech_proj!AB495))</f>
        <v>0</v>
      </c>
      <c r="AC1835" s="119">
        <f>IF(tech_base!$T91&gt;AC$1745,"",(tech_base!$K91/tech_proj!AC215*0.086*$J$132)/(1-tech_proj!AC495))</f>
        <v>0</v>
      </c>
      <c r="AD1835" s="119">
        <f>IF(tech_base!$T91&gt;AD$1745,"",(tech_base!$K91/tech_proj!AD215*0.086*$J$132)/(1-tech_proj!AD495))</f>
        <v>0</v>
      </c>
      <c r="AE1835" s="119">
        <f>IF(tech_base!$T91&gt;AE$1745,"",(tech_base!$K91/tech_proj!AE215*0.086*$J$132)/(1-tech_proj!AE495))</f>
        <v>0</v>
      </c>
      <c r="AF1835" s="119">
        <f>IF(tech_base!$T91&gt;AF$1745,"",(tech_base!$K91/tech_proj!AF215*0.086*$J$132)/(1-tech_proj!AF495))</f>
        <v>0</v>
      </c>
      <c r="AG1835" s="119">
        <f>IF(tech_base!$T91&gt;AG$1745,"",(tech_base!$K91/tech_proj!AG215*0.086*$J$132)/(1-tech_proj!AG495))</f>
        <v>0</v>
      </c>
      <c r="AH1835" s="119">
        <f>IF(tech_base!$T91&gt;AH$1745,"",(tech_base!$K91/tech_proj!AH215*0.086*$J$132)/(1-tech_proj!AH495))</f>
        <v>0</v>
      </c>
      <c r="AI1835" s="119">
        <f>IF(tech_base!$T91&gt;AI$1745,"",(tech_base!$K91/tech_proj!AI215*0.086*$J$132)/(1-tech_proj!AI495))</f>
        <v>0</v>
      </c>
      <c r="AJ1835" s="119">
        <f>IF(tech_base!$T91&gt;AJ$1745,"",(tech_base!$K91/tech_proj!AJ215*0.086*$J$132)/(1-tech_proj!AJ495))</f>
        <v>0</v>
      </c>
      <c r="AK1835" s="119">
        <f>IF(tech_base!$T91&gt;AK$1745,"",(tech_base!$K91/tech_proj!AK215*0.086*$J$132)/(1-tech_proj!AK495))</f>
        <v>0</v>
      </c>
      <c r="AL1835" s="119">
        <f>IF(tech_base!$T91&gt;AL$1745,"",(tech_base!$K91/tech_proj!AL215*0.086*$J$132)/(1-tech_proj!AL495))</f>
        <v>0</v>
      </c>
      <c r="AM1835" s="119">
        <f>IF(tech_base!$T91&gt;AM$1745,"",(tech_base!$K91/tech_proj!AM215*0.086*$J$132)/(1-tech_proj!AM495))</f>
        <v>0</v>
      </c>
      <c r="AN1835" s="119">
        <f>IF(tech_base!$T91&gt;AN$1745,"",(tech_base!$K91/tech_proj!AN215*0.086*$J$132)/(1-tech_proj!AN495))</f>
        <v>0</v>
      </c>
      <c r="AO1835" s="119">
        <f>IF(tech_base!$T91&gt;AO$1745,"",(tech_base!$K91/tech_proj!AO215*0.086*$J$132)/(1-tech_proj!AO495))</f>
        <v>0</v>
      </c>
      <c r="AP1835" s="119">
        <f>IF(tech_base!$T91&gt;AP$1745,"",(tech_base!$K91/tech_proj!AP215*0.086*$J$132)/(1-tech_proj!AP495))</f>
        <v>0</v>
      </c>
      <c r="AQ1835" s="119">
        <f>IF(tech_base!$T91&gt;AQ$1745,"",(tech_base!$K91/tech_proj!AQ215*0.086*$J$132)/(1-tech_proj!AQ495))</f>
        <v>0</v>
      </c>
      <c r="AR1835" s="119">
        <f>IF(tech_base!$T91&gt;AR$1745,"",(tech_base!$K91/tech_proj!AR215*0.086*$J$132)/(1-tech_proj!AR495))</f>
        <v>0</v>
      </c>
      <c r="AS1835" s="119">
        <f>IF(tech_base!$T91&gt;AS$1745,"",(tech_base!$K91/tech_proj!AS215*0.086*$J$132)/(1-tech_proj!AS495))</f>
        <v>0</v>
      </c>
      <c r="AT1835" s="119">
        <f>IF(tech_base!$T91&gt;AT$1745,"",(tech_base!$K91/tech_proj!AT215*0.086*$J$132)/(1-tech_proj!AT495))</f>
        <v>0</v>
      </c>
      <c r="AU1835" s="119">
        <f>IF(tech_base!$T91&gt;AU$1745,"",(tech_base!$K91/tech_proj!AU215*0.086*$J$132)/(1-tech_proj!AU495))</f>
        <v>0</v>
      </c>
      <c r="AV1835" s="119">
        <f>IF(tech_base!$T91&gt;AV$1745,"",(tech_base!$K91/tech_proj!AV215*0.086*$J$132)/(1-tech_proj!AV495))</f>
        <v>0</v>
      </c>
      <c r="AW1835" s="119">
        <f>IF(tech_base!$T91&gt;AW$1745,"",(tech_base!$K91/tech_proj!AW215*0.086*$J$132)/(1-tech_proj!AW495))</f>
        <v>0</v>
      </c>
      <c r="AX1835" s="120">
        <f>IF(tech_base!$T91&gt;AX$1745,"",(tech_base!$K91/tech_proj!AX215*0.086*$J$132)/(1-tech_proj!AX495))</f>
        <v>0</v>
      </c>
    </row>
    <row r="1836" spans="1:50" x14ac:dyDescent="0.25">
      <c r="A1836" s="356"/>
      <c r="B1836" s="376"/>
      <c r="C1836" s="379"/>
      <c r="D1836" s="59" t="s">
        <v>20</v>
      </c>
      <c r="E1836" s="166" t="str">
        <f>A1829&amp;"/"&amp;B1829&amp;"/"&amp;C1833&amp;"/"&amp;D1836</f>
        <v>Gas fired power plants (Natural gas, biogas)/Gas turbine combined cycle/CHP/XS</v>
      </c>
      <c r="F1836" s="79" t="str">
        <f>A1829</f>
        <v>Gas fired power plants (Natural gas, biogas)</v>
      </c>
      <c r="G1836" s="79" t="str">
        <f>B1829</f>
        <v>Gas turbine combined cycle</v>
      </c>
      <c r="H1836" s="79" t="str">
        <f>C1833</f>
        <v>CHP</v>
      </c>
      <c r="I1836" s="167" t="str">
        <f t="shared" si="383"/>
        <v>XS</v>
      </c>
      <c r="J1836" s="125">
        <f>IF(tech_base!$T92&gt;J$1745,"",(tech_base!$K92/tech_proj!J216*0.086*$J$132)/(1-tech_proj!J496))</f>
        <v>0</v>
      </c>
      <c r="K1836" s="125">
        <f>IF(tech_base!$T92&gt;K$1745,"",(tech_base!$K92/tech_proj!K216*0.086*$J$132)/(1-tech_proj!K496))</f>
        <v>0</v>
      </c>
      <c r="L1836" s="125">
        <f>IF(tech_base!$T92&gt;L$1745,"",(tech_base!$K92/tech_proj!L216*0.086*$J$132)/(1-tech_proj!L496))</f>
        <v>0</v>
      </c>
      <c r="M1836" s="125">
        <f>IF(tech_base!$T92&gt;M$1745,"",(tech_base!$K92/tech_proj!M216*0.086*$J$132)/(1-tech_proj!M496))</f>
        <v>0</v>
      </c>
      <c r="N1836" s="125">
        <f>IF(tech_base!$T92&gt;N$1745,"",(tech_base!$K92/tech_proj!N216*0.086*$J$132)/(1-tech_proj!N496))</f>
        <v>0</v>
      </c>
      <c r="O1836" s="125">
        <f>IF(tech_base!$T92&gt;O$1745,"",(tech_base!$K92/tech_proj!O216*0.086*$J$132)/(1-tech_proj!O496))</f>
        <v>0</v>
      </c>
      <c r="P1836" s="125">
        <f>IF(tech_base!$T92&gt;P$1745,"",(tech_base!$K92/tech_proj!P216*0.086*$J$132)/(1-tech_proj!P496))</f>
        <v>0</v>
      </c>
      <c r="Q1836" s="125">
        <f>IF(tech_base!$T92&gt;Q$1745,"",(tech_base!$K92/tech_proj!Q216*0.086*$J$132)/(1-tech_proj!Q496))</f>
        <v>0</v>
      </c>
      <c r="R1836" s="125">
        <f>IF(tech_base!$T92&gt;R$1745,"",(tech_base!$K92/tech_proj!R216*0.086*$J$132)/(1-tech_proj!R496))</f>
        <v>0</v>
      </c>
      <c r="S1836" s="125">
        <f>IF(tech_base!$T92&gt;S$1745,"",(tech_base!$K92/tech_proj!S216*0.086*$J$132)/(1-tech_proj!S496))</f>
        <v>0</v>
      </c>
      <c r="T1836" s="125">
        <f>IF(tech_base!$T92&gt;T$1745,"",(tech_base!$K92/tech_proj!T216*0.086*$J$132)/(1-tech_proj!T496))</f>
        <v>0</v>
      </c>
      <c r="U1836" s="125">
        <f>IF(tech_base!$T92&gt;U$1745,"",(tech_base!$K92/tech_proj!U216*0.086*$J$132)/(1-tech_proj!U496))</f>
        <v>0</v>
      </c>
      <c r="V1836" s="125">
        <f>IF(tech_base!$T92&gt;V$1745,"",(tech_base!$K92/tech_proj!V216*0.086*$J$132)/(1-tech_proj!V496))</f>
        <v>0</v>
      </c>
      <c r="W1836" s="125">
        <f>IF(tech_base!$T92&gt;W$1745,"",(tech_base!$K92/tech_proj!W216*0.086*$J$132)/(1-tech_proj!W496))</f>
        <v>0</v>
      </c>
      <c r="X1836" s="125">
        <f>IF(tech_base!$T92&gt;X$1745,"",(tech_base!$K92/tech_proj!X216*0.086*$J$132)/(1-tech_proj!X496))</f>
        <v>0</v>
      </c>
      <c r="Y1836" s="125">
        <f>IF(tech_base!$T92&gt;Y$1745,"",(tech_base!$K92/tech_proj!Y216*0.086*$J$132)/(1-tech_proj!Y496))</f>
        <v>0</v>
      </c>
      <c r="Z1836" s="125">
        <f>IF(tech_base!$T92&gt;Z$1745,"",(tech_base!$K92/tech_proj!Z216*0.086*$J$132)/(1-tech_proj!Z496))</f>
        <v>0</v>
      </c>
      <c r="AA1836" s="125">
        <f>IF(tech_base!$T92&gt;AA$1745,"",(tech_base!$K92/tech_proj!AA216*0.086*$J$132)/(1-tech_proj!AA496))</f>
        <v>0</v>
      </c>
      <c r="AB1836" s="125">
        <f>IF(tech_base!$T92&gt;AB$1745,"",(tech_base!$K92/tech_proj!AB216*0.086*$J$132)/(1-tech_proj!AB496))</f>
        <v>0</v>
      </c>
      <c r="AC1836" s="125">
        <f>IF(tech_base!$T92&gt;AC$1745,"",(tech_base!$K92/tech_proj!AC216*0.086*$J$132)/(1-tech_proj!AC496))</f>
        <v>0</v>
      </c>
      <c r="AD1836" s="125">
        <f>IF(tech_base!$T92&gt;AD$1745,"",(tech_base!$K92/tech_proj!AD216*0.086*$J$132)/(1-tech_proj!AD496))</f>
        <v>0</v>
      </c>
      <c r="AE1836" s="125">
        <f>IF(tech_base!$T92&gt;AE$1745,"",(tech_base!$K92/tech_proj!AE216*0.086*$J$132)/(1-tech_proj!AE496))</f>
        <v>0</v>
      </c>
      <c r="AF1836" s="125">
        <f>IF(tech_base!$T92&gt;AF$1745,"",(tech_base!$K92/tech_proj!AF216*0.086*$J$132)/(1-tech_proj!AF496))</f>
        <v>0</v>
      </c>
      <c r="AG1836" s="125">
        <f>IF(tech_base!$T92&gt;AG$1745,"",(tech_base!$K92/tech_proj!AG216*0.086*$J$132)/(1-tech_proj!AG496))</f>
        <v>0</v>
      </c>
      <c r="AH1836" s="125">
        <f>IF(tech_base!$T92&gt;AH$1745,"",(tech_base!$K92/tech_proj!AH216*0.086*$J$132)/(1-tech_proj!AH496))</f>
        <v>0</v>
      </c>
      <c r="AI1836" s="125">
        <f>IF(tech_base!$T92&gt;AI$1745,"",(tech_base!$K92/tech_proj!AI216*0.086*$J$132)/(1-tech_proj!AI496))</f>
        <v>0</v>
      </c>
      <c r="AJ1836" s="125">
        <f>IF(tech_base!$T92&gt;AJ$1745,"",(tech_base!$K92/tech_proj!AJ216*0.086*$J$132)/(1-tech_proj!AJ496))</f>
        <v>0</v>
      </c>
      <c r="AK1836" s="125">
        <f>IF(tech_base!$T92&gt;AK$1745,"",(tech_base!$K92/tech_proj!AK216*0.086*$J$132)/(1-tech_proj!AK496))</f>
        <v>0</v>
      </c>
      <c r="AL1836" s="125">
        <f>IF(tech_base!$T92&gt;AL$1745,"",(tech_base!$K92/tech_proj!AL216*0.086*$J$132)/(1-tech_proj!AL496))</f>
        <v>0</v>
      </c>
      <c r="AM1836" s="125">
        <f>IF(tech_base!$T92&gt;AM$1745,"",(tech_base!$K92/tech_proj!AM216*0.086*$J$132)/(1-tech_proj!AM496))</f>
        <v>0</v>
      </c>
      <c r="AN1836" s="125">
        <f>IF(tech_base!$T92&gt;AN$1745,"",(tech_base!$K92/tech_proj!AN216*0.086*$J$132)/(1-tech_proj!AN496))</f>
        <v>0</v>
      </c>
      <c r="AO1836" s="125">
        <f>IF(tech_base!$T92&gt;AO$1745,"",(tech_base!$K92/tech_proj!AO216*0.086*$J$132)/(1-tech_proj!AO496))</f>
        <v>0</v>
      </c>
      <c r="AP1836" s="125">
        <f>IF(tech_base!$T92&gt;AP$1745,"",(tech_base!$K92/tech_proj!AP216*0.086*$J$132)/(1-tech_proj!AP496))</f>
        <v>0</v>
      </c>
      <c r="AQ1836" s="125">
        <f>IF(tech_base!$T92&gt;AQ$1745,"",(tech_base!$K92/tech_proj!AQ216*0.086*$J$132)/(1-tech_proj!AQ496))</f>
        <v>0</v>
      </c>
      <c r="AR1836" s="125">
        <f>IF(tech_base!$T92&gt;AR$1745,"",(tech_base!$K92/tech_proj!AR216*0.086*$J$132)/(1-tech_proj!AR496))</f>
        <v>0</v>
      </c>
      <c r="AS1836" s="125">
        <f>IF(tech_base!$T92&gt;AS$1745,"",(tech_base!$K92/tech_proj!AS216*0.086*$J$132)/(1-tech_proj!AS496))</f>
        <v>0</v>
      </c>
      <c r="AT1836" s="125">
        <f>IF(tech_base!$T92&gt;AT$1745,"",(tech_base!$K92/tech_proj!AT216*0.086*$J$132)/(1-tech_proj!AT496))</f>
        <v>0</v>
      </c>
      <c r="AU1836" s="125">
        <f>IF(tech_base!$T92&gt;AU$1745,"",(tech_base!$K92/tech_proj!AU216*0.086*$J$132)/(1-tech_proj!AU496))</f>
        <v>0</v>
      </c>
      <c r="AV1836" s="125">
        <f>IF(tech_base!$T92&gt;AV$1745,"",(tech_base!$K92/tech_proj!AV216*0.086*$J$132)/(1-tech_proj!AV496))</f>
        <v>0</v>
      </c>
      <c r="AW1836" s="125">
        <f>IF(tech_base!$T92&gt;AW$1745,"",(tech_base!$K92/tech_proj!AW216*0.086*$J$132)/(1-tech_proj!AW496))</f>
        <v>0</v>
      </c>
      <c r="AX1836" s="126">
        <f>IF(tech_base!$T92&gt;AX$1745,"",(tech_base!$K92/tech_proj!AX216*0.086*$J$132)/(1-tech_proj!AX496))</f>
        <v>0</v>
      </c>
    </row>
    <row r="1837" spans="1:50" x14ac:dyDescent="0.25">
      <c r="A1837" s="356"/>
      <c r="B1837" s="376"/>
      <c r="C1837" s="361" t="s">
        <v>15</v>
      </c>
      <c r="D1837" s="58" t="s">
        <v>7</v>
      </c>
      <c r="E1837" s="164" t="str">
        <f>A1829&amp;"/"&amp;B1829&amp;"/"&amp;C1837&amp;"/"&amp;D1837</f>
        <v>Gas fired power plants (Natural gas, biogas)/Gas turbine combined cycle/Electricity only with CCS/L</v>
      </c>
      <c r="F1837" s="78" t="str">
        <f>A1829</f>
        <v>Gas fired power plants (Natural gas, biogas)</v>
      </c>
      <c r="G1837" s="78" t="str">
        <f>B1829</f>
        <v>Gas turbine combined cycle</v>
      </c>
      <c r="H1837" s="78" t="str">
        <f>C1837</f>
        <v>Electricity only with CCS</v>
      </c>
      <c r="I1837" s="165" t="str">
        <f t="shared" si="383"/>
        <v>L</v>
      </c>
      <c r="J1837" s="123" t="str">
        <f>IF(tech_base!$T93&gt;J$1745,"",(tech_base!$K93/tech_proj!J217*0.086*$J$132)/(1-tech_proj!J497))</f>
        <v/>
      </c>
      <c r="K1837" s="123" t="str">
        <f>IF(tech_base!$T93&gt;K$1745,"",(tech_base!$K93/tech_proj!K217*0.086*$J$132)/(1-tech_proj!K497))</f>
        <v/>
      </c>
      <c r="L1837" s="123" t="str">
        <f>IF(tech_base!$T93&gt;L$1745,"",(tech_base!$K93/tech_proj!L217*0.086*$J$132)/(1-tech_proj!L497))</f>
        <v/>
      </c>
      <c r="M1837" s="123" t="str">
        <f>IF(tech_base!$T93&gt;M$1745,"",(tech_base!$K93/tech_proj!M217*0.086*$J$132)/(1-tech_proj!M497))</f>
        <v/>
      </c>
      <c r="N1837" s="123" t="str">
        <f>IF(tech_base!$T93&gt;N$1745,"",(tech_base!$K93/tech_proj!N217*0.086*$J$132)/(1-tech_proj!N497))</f>
        <v/>
      </c>
      <c r="O1837" s="123" t="str">
        <f>IF(tech_base!$T93&gt;O$1745,"",(tech_base!$K93/tech_proj!O217*0.086*$J$132)/(1-tech_proj!O497))</f>
        <v/>
      </c>
      <c r="P1837" s="123" t="str">
        <f>IF(tech_base!$T93&gt;P$1745,"",(tech_base!$K93/tech_proj!P217*0.086*$J$132)/(1-tech_proj!P497))</f>
        <v/>
      </c>
      <c r="Q1837" s="123" t="str">
        <f>IF(tech_base!$T93&gt;Q$1745,"",(tech_base!$K93/tech_proj!Q217*0.086*$J$132)/(1-tech_proj!Q497))</f>
        <v/>
      </c>
      <c r="R1837" s="123" t="str">
        <f>IF(tech_base!$T93&gt;R$1745,"",(tech_base!$K93/tech_proj!R217*0.086*$J$132)/(1-tech_proj!R497))</f>
        <v/>
      </c>
      <c r="S1837" s="123" t="str">
        <f>IF(tech_base!$T93&gt;S$1745,"",(tech_base!$K93/tech_proj!S217*0.086*$J$132)/(1-tech_proj!S497))</f>
        <v/>
      </c>
      <c r="T1837" s="123" t="str">
        <f>IF(tech_base!$T93&gt;T$1745,"",(tech_base!$K93/tech_proj!T217*0.086*$J$132)/(1-tech_proj!T497))</f>
        <v/>
      </c>
      <c r="U1837" s="123" t="str">
        <f>IF(tech_base!$T93&gt;U$1745,"",(tech_base!$K93/tech_proj!U217*0.086*$J$132)/(1-tech_proj!U497))</f>
        <v/>
      </c>
      <c r="V1837" s="123" t="str">
        <f>IF(tech_base!$T93&gt;V$1745,"",(tech_base!$K93/tech_proj!V217*0.086*$J$132)/(1-tech_proj!V497))</f>
        <v/>
      </c>
      <c r="W1837" s="123" t="str">
        <f>IF(tech_base!$T93&gt;W$1745,"",(tech_base!$K93/tech_proj!W217*0.086*$J$132)/(1-tech_proj!W497))</f>
        <v/>
      </c>
      <c r="X1837" s="123" t="str">
        <f>IF(tech_base!$T93&gt;X$1745,"",(tech_base!$K93/tech_proj!X217*0.086*$J$132)/(1-tech_proj!X497))</f>
        <v/>
      </c>
      <c r="Y1837" s="123" t="str">
        <f>IF(tech_base!$T93&gt;Y$1745,"",(tech_base!$K93/tech_proj!Y217*0.086*$J$132)/(1-tech_proj!Y497))</f>
        <v/>
      </c>
      <c r="Z1837" s="123" t="str">
        <f>IF(tech_base!$T93&gt;Z$1745,"",(tech_base!$K93/tech_proj!Z217*0.086*$J$132)/(1-tech_proj!Z497))</f>
        <v/>
      </c>
      <c r="AA1837" s="123" t="str">
        <f>IF(tech_base!$T93&gt;AA$1745,"",(tech_base!$K93/tech_proj!AA217*0.086*$J$132)/(1-tech_proj!AA497))</f>
        <v/>
      </c>
      <c r="AB1837" s="123" t="str">
        <f>IF(tech_base!$T93&gt;AB$1745,"",(tech_base!$K93/tech_proj!AB217*0.086*$J$132)/(1-tech_proj!AB497))</f>
        <v/>
      </c>
      <c r="AC1837" s="123" t="str">
        <f>IF(tech_base!$T93&gt;AC$1745,"",(tech_base!$K93/tech_proj!AC217*0.086*$J$132)/(1-tech_proj!AC497))</f>
        <v/>
      </c>
      <c r="AD1837" s="123" t="str">
        <f>IF(tech_base!$T93&gt;AD$1745,"",(tech_base!$K93/tech_proj!AD217*0.086*$J$132)/(1-tech_proj!AD497))</f>
        <v/>
      </c>
      <c r="AE1837" s="123">
        <f>IF(tech_base!$T93&gt;AE$1745,"",(tech_base!$K93/tech_proj!AE217*0.086*$J$132)/(1-tech_proj!AE497))</f>
        <v>4.466496572369925</v>
      </c>
      <c r="AF1837" s="123">
        <f>IF(tech_base!$T93&gt;AF$1745,"",(tech_base!$K93/tech_proj!AF217*0.086*$J$132)/(1-tech_proj!AF497))</f>
        <v>4.4657153683261575</v>
      </c>
      <c r="AG1837" s="123">
        <f>IF(tech_base!$T93&gt;AG$1745,"",(tech_base!$K93/tech_proj!AG217*0.086*$J$132)/(1-tech_proj!AG497))</f>
        <v>4.4647146606454662</v>
      </c>
      <c r="AH1837" s="123">
        <f>IF(tech_base!$T93&gt;AH$1745,"",(tech_base!$K93/tech_proj!AH217*0.086*$J$132)/(1-tech_proj!AH497))</f>
        <v>4.4634336329896351</v>
      </c>
      <c r="AI1837" s="123">
        <f>IF(tech_base!$T93&gt;AI$1745,"",(tech_base!$K93/tech_proj!AI217*0.086*$J$132)/(1-tech_proj!AI497))</f>
        <v>4.4617951710339288</v>
      </c>
      <c r="AJ1837" s="123">
        <f>IF(tech_base!$T93&gt;AJ$1745,"",(tech_base!$K93/tech_proj!AJ217*0.086*$J$132)/(1-tech_proj!AJ497))</f>
        <v>4.4597018485683506</v>
      </c>
      <c r="AK1837" s="123">
        <f>IF(tech_base!$T93&gt;AK$1745,"",(tech_base!$K93/tech_proj!AK217*0.086*$J$132)/(1-tech_proj!AK497))</f>
        <v>4.4570311534002345</v>
      </c>
      <c r="AL1837" s="123">
        <f>IF(tech_base!$T93&gt;AL$1745,"",(tech_base!$K93/tech_proj!AL217*0.086*$J$132)/(1-tech_proj!AL497))</f>
        <v>4.4536299629002061</v>
      </c>
      <c r="AM1837" s="123">
        <f>IF(tech_base!$T93&gt;AM$1745,"",(tech_base!$K93/tech_proj!AM217*0.086*$J$132)/(1-tech_proj!AM497))</f>
        <v>4.4493084065210988</v>
      </c>
      <c r="AN1837" s="123">
        <f>IF(tech_base!$T93&gt;AN$1745,"",(tech_base!$K93/tech_proj!AN217*0.086*$J$132)/(1-tech_proj!AN497))</f>
        <v>4.4438334750408544</v>
      </c>
      <c r="AO1837" s="123">
        <f>IF(tech_base!$T93&gt;AO$1745,"",(tech_base!$K93/tech_proj!AO217*0.086*$J$132)/(1-tech_proj!AO497))</f>
        <v>4.4369230973380356</v>
      </c>
      <c r="AP1837" s="123">
        <f>IF(tech_base!$T93&gt;AP$1745,"",(tech_base!$K93/tech_proj!AP217*0.086*$J$132)/(1-tech_proj!AP497))</f>
        <v>4.428241953527877</v>
      </c>
      <c r="AQ1837" s="123">
        <f>IF(tech_base!$T93&gt;AQ$1745,"",(tech_base!$K93/tech_proj!AQ217*0.086*$J$132)/(1-tech_proj!AQ497))</f>
        <v>4.4174010641738173</v>
      </c>
      <c r="AR1837" s="123">
        <f>IF(tech_base!$T93&gt;AR$1745,"",(tech_base!$K93/tech_proj!AR217*0.086*$J$132)/(1-tech_proj!AR497))</f>
        <v>4.4039641737820752</v>
      </c>
      <c r="AS1837" s="123">
        <f>IF(tech_base!$T93&gt;AS$1745,"",(tech_base!$K93/tech_proj!AS217*0.086*$J$132)/(1-tech_proj!AS497))</f>
        <v>4.3874649943642874</v>
      </c>
      <c r="AT1837" s="123">
        <f>IF(tech_base!$T93&gt;AT$1745,"",(tech_base!$K93/tech_proj!AT217*0.086*$J$132)/(1-tech_proj!AT497))</f>
        <v>4.3674401201033763</v>
      </c>
      <c r="AU1837" s="123">
        <f>IF(tech_base!$T93&gt;AU$1745,"",(tech_base!$K93/tech_proj!AU217*0.086*$J$132)/(1-tech_proj!AU497))</f>
        <v>4.3434821420763008</v>
      </c>
      <c r="AV1837" s="123">
        <f>IF(tech_base!$T93&gt;AV$1745,"",(tech_base!$K93/tech_proj!AV217*0.086*$J$132)/(1-tech_proj!AV497))</f>
        <v>4.3153150700208771</v>
      </c>
      <c r="AW1837" s="123">
        <f>IF(tech_base!$T93&gt;AW$1745,"",(tech_base!$K93/tech_proj!AW217*0.086*$J$132)/(1-tech_proj!AW497))</f>
        <v>4.2828883660909272</v>
      </c>
      <c r="AX1837" s="124">
        <f>IF(tech_base!$T93&gt;AX$1745,"",(tech_base!$K93/tech_proj!AX217*0.086*$J$132)/(1-tech_proj!AX497))</f>
        <v>4.2464761731375331</v>
      </c>
    </row>
    <row r="1838" spans="1:50" x14ac:dyDescent="0.25">
      <c r="A1838" s="356"/>
      <c r="B1838" s="376"/>
      <c r="C1838" s="379"/>
      <c r="D1838" s="59" t="s">
        <v>8</v>
      </c>
      <c r="E1838" s="166" t="str">
        <f>A1829&amp;"/"&amp;B1829&amp;"/"&amp;C1837&amp;"/"&amp;D1838</f>
        <v>Gas fired power plants (Natural gas, biogas)/Gas turbine combined cycle/Electricity only with CCS/M</v>
      </c>
      <c r="F1838" s="79" t="str">
        <f>A1829</f>
        <v>Gas fired power plants (Natural gas, biogas)</v>
      </c>
      <c r="G1838" s="79" t="str">
        <f>B1829</f>
        <v>Gas turbine combined cycle</v>
      </c>
      <c r="H1838" s="79" t="str">
        <f>C1837</f>
        <v>Electricity only with CCS</v>
      </c>
      <c r="I1838" s="167" t="str">
        <f t="shared" si="383"/>
        <v>M</v>
      </c>
      <c r="J1838" s="125" t="str">
        <f>IF(tech_base!$T94&gt;J$1745,"",(tech_base!$K94/tech_proj!J218*0.086*$J$132)/(1-tech_proj!J498))</f>
        <v/>
      </c>
      <c r="K1838" s="125" t="str">
        <f>IF(tech_base!$T94&gt;K$1745,"",(tech_base!$K94/tech_proj!K218*0.086*$J$132)/(1-tech_proj!K498))</f>
        <v/>
      </c>
      <c r="L1838" s="125" t="str">
        <f>IF(tech_base!$T94&gt;L$1745,"",(tech_base!$K94/tech_proj!L218*0.086*$J$132)/(1-tech_proj!L498))</f>
        <v/>
      </c>
      <c r="M1838" s="125" t="str">
        <f>IF(tech_base!$T94&gt;M$1745,"",(tech_base!$K94/tech_proj!M218*0.086*$J$132)/(1-tech_proj!M498))</f>
        <v/>
      </c>
      <c r="N1838" s="125" t="str">
        <f>IF(tech_base!$T94&gt;N$1745,"",(tech_base!$K94/tech_proj!N218*0.086*$J$132)/(1-tech_proj!N498))</f>
        <v/>
      </c>
      <c r="O1838" s="125" t="str">
        <f>IF(tech_base!$T94&gt;O$1745,"",(tech_base!$K94/tech_proj!O218*0.086*$J$132)/(1-tech_proj!O498))</f>
        <v/>
      </c>
      <c r="P1838" s="125" t="str">
        <f>IF(tech_base!$T94&gt;P$1745,"",(tech_base!$K94/tech_proj!P218*0.086*$J$132)/(1-tech_proj!P498))</f>
        <v/>
      </c>
      <c r="Q1838" s="125" t="str">
        <f>IF(tech_base!$T94&gt;Q$1745,"",(tech_base!$K94/tech_proj!Q218*0.086*$J$132)/(1-tech_proj!Q498))</f>
        <v/>
      </c>
      <c r="R1838" s="125" t="str">
        <f>IF(tech_base!$T94&gt;R$1745,"",(tech_base!$K94/tech_proj!R218*0.086*$J$132)/(1-tech_proj!R498))</f>
        <v/>
      </c>
      <c r="S1838" s="125" t="str">
        <f>IF(tech_base!$T94&gt;S$1745,"",(tech_base!$K94/tech_proj!S218*0.086*$J$132)/(1-tech_proj!S498))</f>
        <v/>
      </c>
      <c r="T1838" s="125" t="str">
        <f>IF(tech_base!$T94&gt;T$1745,"",(tech_base!$K94/tech_proj!T218*0.086*$J$132)/(1-tech_proj!T498))</f>
        <v/>
      </c>
      <c r="U1838" s="125" t="str">
        <f>IF(tech_base!$T94&gt;U$1745,"",(tech_base!$K94/tech_proj!U218*0.086*$J$132)/(1-tech_proj!U498))</f>
        <v/>
      </c>
      <c r="V1838" s="125" t="str">
        <f>IF(tech_base!$T94&gt;V$1745,"",(tech_base!$K94/tech_proj!V218*0.086*$J$132)/(1-tech_proj!V498))</f>
        <v/>
      </c>
      <c r="W1838" s="125" t="str">
        <f>IF(tech_base!$T94&gt;W$1745,"",(tech_base!$K94/tech_proj!W218*0.086*$J$132)/(1-tech_proj!W498))</f>
        <v/>
      </c>
      <c r="X1838" s="125" t="str">
        <f>IF(tech_base!$T94&gt;X$1745,"",(tech_base!$K94/tech_proj!X218*0.086*$J$132)/(1-tech_proj!X498))</f>
        <v/>
      </c>
      <c r="Y1838" s="125" t="str">
        <f>IF(tech_base!$T94&gt;Y$1745,"",(tech_base!$K94/tech_proj!Y218*0.086*$J$132)/(1-tech_proj!Y498))</f>
        <v/>
      </c>
      <c r="Z1838" s="125" t="str">
        <f>IF(tech_base!$T94&gt;Z$1745,"",(tech_base!$K94/tech_proj!Z218*0.086*$J$132)/(1-tech_proj!Z498))</f>
        <v/>
      </c>
      <c r="AA1838" s="125" t="str">
        <f>IF(tech_base!$T94&gt;AA$1745,"",(tech_base!$K94/tech_proj!AA218*0.086*$J$132)/(1-tech_proj!AA498))</f>
        <v/>
      </c>
      <c r="AB1838" s="125" t="str">
        <f>IF(tech_base!$T94&gt;AB$1745,"",(tech_base!$K94/tech_proj!AB218*0.086*$J$132)/(1-tech_proj!AB498))</f>
        <v/>
      </c>
      <c r="AC1838" s="125" t="str">
        <f>IF(tech_base!$T94&gt;AC$1745,"",(tech_base!$K94/tech_proj!AC218*0.086*$J$132)/(1-tech_proj!AC498))</f>
        <v/>
      </c>
      <c r="AD1838" s="125" t="str">
        <f>IF(tech_base!$T94&gt;AD$1745,"",(tech_base!$K94/tech_proj!AD218*0.086*$J$132)/(1-tech_proj!AD498))</f>
        <v/>
      </c>
      <c r="AE1838" s="125">
        <f>IF(tech_base!$T94&gt;AE$1745,"",(tech_base!$K94/tech_proj!AE218*0.086*$J$132)/(1-tech_proj!AE498))</f>
        <v>4.7368646631929945</v>
      </c>
      <c r="AF1838" s="125">
        <f>IF(tech_base!$T94&gt;AF$1745,"",(tech_base!$K94/tech_proj!AF218*0.086*$J$132)/(1-tech_proj!AF498))</f>
        <v>4.7361053181947419</v>
      </c>
      <c r="AG1838" s="125">
        <f>IF(tech_base!$T94&gt;AG$1745,"",(tech_base!$K94/tech_proj!AG218*0.086*$J$132)/(1-tech_proj!AG498))</f>
        <v>4.735132635843307</v>
      </c>
      <c r="AH1838" s="125">
        <f>IF(tech_base!$T94&gt;AH$1745,"",(tech_base!$K94/tech_proj!AH218*0.086*$J$132)/(1-tech_proj!AH498))</f>
        <v>4.7338875238872786</v>
      </c>
      <c r="AI1838" s="125">
        <f>IF(tech_base!$T94&gt;AI$1745,"",(tech_base!$K94/tech_proj!AI218*0.086*$J$132)/(1-tech_proj!AI498))</f>
        <v>4.7322950641876922</v>
      </c>
      <c r="AJ1838" s="125">
        <f>IF(tech_base!$T94&gt;AJ$1745,"",(tech_base!$K94/tech_proj!AJ218*0.086*$J$132)/(1-tech_proj!AJ498))</f>
        <v>4.7302606216350309</v>
      </c>
      <c r="AK1838" s="125">
        <f>IF(tech_base!$T94&gt;AK$1745,"",(tech_base!$K94/tech_proj!AK218*0.086*$J$132)/(1-tech_proj!AK498))</f>
        <v>4.7276652205903513</v>
      </c>
      <c r="AL1838" s="125">
        <f>IF(tech_base!$T94&gt;AL$1745,"",(tech_base!$K94/tech_proj!AL218*0.086*$J$132)/(1-tech_proj!AL498))</f>
        <v>4.7243602020935533</v>
      </c>
      <c r="AM1838" s="125">
        <f>IF(tech_base!$T94&gt;AM$1745,"",(tech_base!$K94/tech_proj!AM218*0.086*$J$132)/(1-tech_proj!AM498))</f>
        <v>4.7201613008274279</v>
      </c>
      <c r="AN1838" s="125">
        <f>IF(tech_base!$T94&gt;AN$1745,"",(tech_base!$K94/tech_proj!AN218*0.086*$J$132)/(1-tech_proj!AN498))</f>
        <v>4.7148424994731197</v>
      </c>
      <c r="AO1838" s="125">
        <f>IF(tech_base!$T94&gt;AO$1745,"",(tech_base!$K94/tech_proj!AO218*0.086*$J$132)/(1-tech_proj!AO498))</f>
        <v>4.7081303720131693</v>
      </c>
      <c r="AP1838" s="125">
        <f>IF(tech_base!$T94&gt;AP$1745,"",(tech_base!$K94/tech_proj!AP218*0.086*$J$132)/(1-tech_proj!AP498))</f>
        <v>4.6997001631325794</v>
      </c>
      <c r="AQ1838" s="125">
        <f>IF(tech_base!$T94&gt;AQ$1745,"",(tech_base!$K94/tech_proj!AQ218*0.086*$J$132)/(1-tech_proj!AQ498))</f>
        <v>4.6891756014923445</v>
      </c>
      <c r="AR1838" s="125">
        <f>IF(tech_base!$T94&gt;AR$1745,"",(tech_base!$K94/tech_proj!AR218*0.086*$J$132)/(1-tech_proj!AR498))</f>
        <v>4.676135392185647</v>
      </c>
      <c r="AS1838" s="125">
        <f>IF(tech_base!$T94&gt;AS$1745,"",(tech_base!$K94/tech_proj!AS218*0.086*$J$132)/(1-tech_proj!AS498))</f>
        <v>4.6601303376142269</v>
      </c>
      <c r="AT1838" s="125">
        <f>IF(tech_base!$T94&gt;AT$1745,"",(tech_base!$K94/tech_proj!AT218*0.086*$J$132)/(1-tech_proj!AT498))</f>
        <v>4.6407157266567438</v>
      </c>
      <c r="AU1838" s="125">
        <f>IF(tech_base!$T94&gt;AU$1745,"",(tech_base!$K94/tech_proj!AU218*0.086*$J$132)/(1-tech_proj!AU498))</f>
        <v>4.617503295474549</v>
      </c>
      <c r="AV1838" s="125">
        <f>IF(tech_base!$T94&gt;AV$1745,"",(tech_base!$K94/tech_proj!AV218*0.086*$J$132)/(1-tech_proj!AV498))</f>
        <v>4.5902346165108687</v>
      </c>
      <c r="AW1838" s="125">
        <f>IF(tech_base!$T94&gt;AW$1745,"",(tech_base!$K94/tech_proj!AW218*0.086*$J$132)/(1-tech_proj!AW498))</f>
        <v>4.5588720318559446</v>
      </c>
      <c r="AX1838" s="126">
        <f>IF(tech_base!$T94&gt;AX$1745,"",(tech_base!$K94/tech_proj!AX218*0.086*$J$132)/(1-tech_proj!AX498))</f>
        <v>4.5236937549598562</v>
      </c>
    </row>
    <row r="1839" spans="1:50" x14ac:dyDescent="0.25">
      <c r="A1839" s="356"/>
      <c r="B1839" s="376"/>
      <c r="C1839" s="361" t="s">
        <v>16</v>
      </c>
      <c r="D1839" s="2" t="s">
        <v>7</v>
      </c>
      <c r="E1839" s="160" t="str">
        <f>A1829&amp;"/"&amp;B1829&amp;"/"&amp;C1839&amp;"/"&amp;D1839</f>
        <v>Gas fired power plants (Natural gas, biogas)/Gas turbine combined cycle/CHP with CCS/L</v>
      </c>
      <c r="F1839" s="76" t="str">
        <f>A1829</f>
        <v>Gas fired power plants (Natural gas, biogas)</v>
      </c>
      <c r="G1839" s="76" t="str">
        <f>B1829</f>
        <v>Gas turbine combined cycle</v>
      </c>
      <c r="H1839" s="76" t="str">
        <f>C1839</f>
        <v>CHP with CCS</v>
      </c>
      <c r="I1839" s="161" t="str">
        <f t="shared" si="383"/>
        <v>L</v>
      </c>
      <c r="J1839" s="119" t="str">
        <f>IF(tech_base!$T95&gt;J$1745,"",(tech_base!$K95/tech_proj!J219*0.086*$J$132)/(1-tech_proj!J499))</f>
        <v/>
      </c>
      <c r="K1839" s="119" t="str">
        <f>IF(tech_base!$T95&gt;K$1745,"",(tech_base!$K95/tech_proj!K219*0.086*$J$132)/(1-tech_proj!K499))</f>
        <v/>
      </c>
      <c r="L1839" s="119" t="str">
        <f>IF(tech_base!$T95&gt;L$1745,"",(tech_base!$K95/tech_proj!L219*0.086*$J$132)/(1-tech_proj!L499))</f>
        <v/>
      </c>
      <c r="M1839" s="119" t="str">
        <f>IF(tech_base!$T95&gt;M$1745,"",(tech_base!$K95/tech_proj!M219*0.086*$J$132)/(1-tech_proj!M499))</f>
        <v/>
      </c>
      <c r="N1839" s="119" t="str">
        <f>IF(tech_base!$T95&gt;N$1745,"",(tech_base!$K95/tech_proj!N219*0.086*$J$132)/(1-tech_proj!N499))</f>
        <v/>
      </c>
      <c r="O1839" s="119" t="str">
        <f>IF(tech_base!$T95&gt;O$1745,"",(tech_base!$K95/tech_proj!O219*0.086*$J$132)/(1-tech_proj!O499))</f>
        <v/>
      </c>
      <c r="P1839" s="119" t="str">
        <f>IF(tech_base!$T95&gt;P$1745,"",(tech_base!$K95/tech_proj!P219*0.086*$J$132)/(1-tech_proj!P499))</f>
        <v/>
      </c>
      <c r="Q1839" s="119" t="str">
        <f>IF(tech_base!$T95&gt;Q$1745,"",(tech_base!$K95/tech_proj!Q219*0.086*$J$132)/(1-tech_proj!Q499))</f>
        <v/>
      </c>
      <c r="R1839" s="119" t="str">
        <f>IF(tech_base!$T95&gt;R$1745,"",(tech_base!$K95/tech_proj!R219*0.086*$J$132)/(1-tech_proj!R499))</f>
        <v/>
      </c>
      <c r="S1839" s="119" t="str">
        <f>IF(tech_base!$T95&gt;S$1745,"",(tech_base!$K95/tech_proj!S219*0.086*$J$132)/(1-tech_proj!S499))</f>
        <v/>
      </c>
      <c r="T1839" s="119" t="str">
        <f>IF(tech_base!$T95&gt;T$1745,"",(tech_base!$K95/tech_proj!T219*0.086*$J$132)/(1-tech_proj!T499))</f>
        <v/>
      </c>
      <c r="U1839" s="119" t="str">
        <f>IF(tech_base!$T95&gt;U$1745,"",(tech_base!$K95/tech_proj!U219*0.086*$J$132)/(1-tech_proj!U499))</f>
        <v/>
      </c>
      <c r="V1839" s="119" t="str">
        <f>IF(tech_base!$T95&gt;V$1745,"",(tech_base!$K95/tech_proj!V219*0.086*$J$132)/(1-tech_proj!V499))</f>
        <v/>
      </c>
      <c r="W1839" s="119" t="str">
        <f>IF(tech_base!$T95&gt;W$1745,"",(tech_base!$K95/tech_proj!W219*0.086*$J$132)/(1-tech_proj!W499))</f>
        <v/>
      </c>
      <c r="X1839" s="119" t="str">
        <f>IF(tech_base!$T95&gt;X$1745,"",(tech_base!$K95/tech_proj!X219*0.086*$J$132)/(1-tech_proj!X499))</f>
        <v/>
      </c>
      <c r="Y1839" s="119" t="str">
        <f>IF(tech_base!$T95&gt;Y$1745,"",(tech_base!$K95/tech_proj!Y219*0.086*$J$132)/(1-tech_proj!Y499))</f>
        <v/>
      </c>
      <c r="Z1839" s="119" t="str">
        <f>IF(tech_base!$T95&gt;Z$1745,"",(tech_base!$K95/tech_proj!Z219*0.086*$J$132)/(1-tech_proj!Z499))</f>
        <v/>
      </c>
      <c r="AA1839" s="119" t="str">
        <f>IF(tech_base!$T95&gt;AA$1745,"",(tech_base!$K95/tech_proj!AA219*0.086*$J$132)/(1-tech_proj!AA499))</f>
        <v/>
      </c>
      <c r="AB1839" s="119" t="str">
        <f>IF(tech_base!$T95&gt;AB$1745,"",(tech_base!$K95/tech_proj!AB219*0.086*$J$132)/(1-tech_proj!AB499))</f>
        <v/>
      </c>
      <c r="AC1839" s="119" t="str">
        <f>IF(tech_base!$T95&gt;AC$1745,"",(tech_base!$K95/tech_proj!AC219*0.086*$J$132)/(1-tech_proj!AC499))</f>
        <v/>
      </c>
      <c r="AD1839" s="119" t="str">
        <f>IF(tech_base!$T95&gt;AD$1745,"",(tech_base!$K95/tech_proj!AD219*0.086*$J$132)/(1-tech_proj!AD499))</f>
        <v/>
      </c>
      <c r="AE1839" s="119">
        <f>IF(tech_base!$T95&gt;AE$1745,"",(tech_base!$K95/tech_proj!AE219*0.086*$J$132)/(1-tech_proj!AE499))</f>
        <v>5.0129376860218668</v>
      </c>
      <c r="AF1839" s="119">
        <f>IF(tech_base!$T95&gt;AF$1745,"",(tech_base!$K95/tech_proj!AF219*0.086*$J$132)/(1-tech_proj!AF499))</f>
        <v>5.0122686160293606</v>
      </c>
      <c r="AG1839" s="119">
        <f>IF(tech_base!$T95&gt;AG$1745,"",(tech_base!$K95/tech_proj!AG219*0.086*$J$132)/(1-tech_proj!AG499))</f>
        <v>5.0114112853859876</v>
      </c>
      <c r="AH1839" s="119">
        <f>IF(tech_base!$T95&gt;AH$1745,"",(tech_base!$K95/tech_proj!AH219*0.086*$J$132)/(1-tech_proj!AH499))</f>
        <v>5.0103133634060786</v>
      </c>
      <c r="AI1839" s="119">
        <f>IF(tech_base!$T95&gt;AI$1745,"",(tech_base!$K95/tech_proj!AI219*0.086*$J$132)/(1-tech_proj!AI499))</f>
        <v>5.0089083852000273</v>
      </c>
      <c r="AJ1839" s="119">
        <f>IF(tech_base!$T95&gt;AJ$1745,"",(tech_base!$K95/tech_proj!AJ219*0.086*$J$132)/(1-tech_proj!AJ499))</f>
        <v>5.0071121984911349</v>
      </c>
      <c r="AK1839" s="119">
        <f>IF(tech_base!$T95&gt;AK$1745,"",(tech_base!$K95/tech_proj!AK219*0.086*$J$132)/(1-tech_proj!AK499))</f>
        <v>5.0048186877492595</v>
      </c>
      <c r="AL1839" s="119">
        <f>IF(tech_base!$T95&gt;AL$1745,"",(tech_base!$K95/tech_proj!AL219*0.086*$J$132)/(1-tech_proj!AL499))</f>
        <v>5.0018947424897302</v>
      </c>
      <c r="AM1839" s="119">
        <f>IF(tech_base!$T95&gt;AM$1745,"",(tech_base!$K95/tech_proj!AM219*0.086*$J$132)/(1-tech_proj!AM499))</f>
        <v>4.9981745242370579</v>
      </c>
      <c r="AN1839" s="119">
        <f>IF(tech_base!$T95&gt;AN$1745,"",(tech_base!$K95/tech_proj!AN219*0.086*$J$132)/(1-tech_proj!AN499))</f>
        <v>4.9934532471602866</v>
      </c>
      <c r="AO1839" s="119">
        <f>IF(tech_base!$T95&gt;AO$1745,"",(tech_base!$K95/tech_proj!AO219*0.086*$J$132)/(1-tech_proj!AO499))</f>
        <v>4.9874809578460884</v>
      </c>
      <c r="AP1839" s="119">
        <f>IF(tech_base!$T95&gt;AP$1745,"",(tech_base!$K95/tech_proj!AP219*0.086*$J$132)/(1-tech_proj!AP499))</f>
        <v>4.9799572251081488</v>
      </c>
      <c r="AQ1839" s="119">
        <f>IF(tech_base!$T95&gt;AQ$1745,"",(tech_base!$K95/tech_proj!AQ219*0.086*$J$132)/(1-tech_proj!AQ499))</f>
        <v>4.9705282745258694</v>
      </c>
      <c r="AR1839" s="119">
        <f>IF(tech_base!$T95&gt;AR$1745,"",(tech_base!$K95/tech_proj!AR219*0.086*$J$132)/(1-tech_proj!AR499))</f>
        <v>4.9587889414420516</v>
      </c>
      <c r="AS1839" s="119">
        <f>IF(tech_base!$T95&gt;AS$1745,"",(tech_base!$K95/tech_proj!AS219*0.086*$J$132)/(1-tech_proj!AS499))</f>
        <v>4.9442928100552841</v>
      </c>
      <c r="AT1839" s="119">
        <f>IF(tech_base!$T95&gt;AT$1745,"",(tech_base!$K95/tech_proj!AT219*0.086*$J$132)/(1-tech_proj!AT499))</f>
        <v>4.9265748319177334</v>
      </c>
      <c r="AU1839" s="119">
        <f>IF(tech_base!$T95&gt;AU$1745,"",(tech_base!$K95/tech_proj!AU219*0.086*$J$132)/(1-tech_proj!AU499))</f>
        <v>4.905191075774697</v>
      </c>
      <c r="AV1839" s="119">
        <f>IF(tech_base!$T95&gt;AV$1745,"",(tech_base!$K95/tech_proj!AV219*0.086*$J$132)/(1-tech_proj!AV499))</f>
        <v>4.8797791903974783</v>
      </c>
      <c r="AW1839" s="119">
        <f>IF(tech_base!$T95&gt;AW$1745,"",(tech_base!$K95/tech_proj!AW219*0.086*$J$132)/(1-tech_proj!AW499))</f>
        <v>4.8501395154747593</v>
      </c>
      <c r="AX1839" s="120">
        <f>IF(tech_base!$T95&gt;AX$1745,"",(tech_base!$K95/tech_proj!AX219*0.086*$J$132)/(1-tech_proj!AX499))</f>
        <v>4.8163295949865912</v>
      </c>
    </row>
    <row r="1840" spans="1:50" x14ac:dyDescent="0.25">
      <c r="A1840" s="356"/>
      <c r="B1840" s="380"/>
      <c r="C1840" s="381"/>
      <c r="D1840" s="4" t="s">
        <v>8</v>
      </c>
      <c r="E1840" s="168" t="str">
        <f>A1829&amp;"/"&amp;B1829&amp;"/"&amp;C1839&amp;"/"&amp;D1840</f>
        <v>Gas fired power plants (Natural gas, biogas)/Gas turbine combined cycle/CHP with CCS/M</v>
      </c>
      <c r="F1840" s="80" t="str">
        <f>A1829</f>
        <v>Gas fired power plants (Natural gas, biogas)</v>
      </c>
      <c r="G1840" s="80" t="str">
        <f>B1829</f>
        <v>Gas turbine combined cycle</v>
      </c>
      <c r="H1840" s="80" t="str">
        <f>C1839</f>
        <v>CHP with CCS</v>
      </c>
      <c r="I1840" s="169" t="str">
        <f t="shared" si="383"/>
        <v>M</v>
      </c>
      <c r="J1840" s="127" t="str">
        <f>IF(tech_base!$T96&gt;J$1745,"",(tech_base!$K96/tech_proj!J220*0.086*$J$132)/(1-tech_proj!J500))</f>
        <v/>
      </c>
      <c r="K1840" s="127" t="str">
        <f>IF(tech_base!$T96&gt;K$1745,"",(tech_base!$K96/tech_proj!K220*0.086*$J$132)/(1-tech_proj!K500))</f>
        <v/>
      </c>
      <c r="L1840" s="127" t="str">
        <f>IF(tech_base!$T96&gt;L$1745,"",(tech_base!$K96/tech_proj!L220*0.086*$J$132)/(1-tech_proj!L500))</f>
        <v/>
      </c>
      <c r="M1840" s="127" t="str">
        <f>IF(tech_base!$T96&gt;M$1745,"",(tech_base!$K96/tech_proj!M220*0.086*$J$132)/(1-tech_proj!M500))</f>
        <v/>
      </c>
      <c r="N1840" s="127" t="str">
        <f>IF(tech_base!$T96&gt;N$1745,"",(tech_base!$K96/tech_proj!N220*0.086*$J$132)/(1-tech_proj!N500))</f>
        <v/>
      </c>
      <c r="O1840" s="127" t="str">
        <f>IF(tech_base!$T96&gt;O$1745,"",(tech_base!$K96/tech_proj!O220*0.086*$J$132)/(1-tech_proj!O500))</f>
        <v/>
      </c>
      <c r="P1840" s="127" t="str">
        <f>IF(tech_base!$T96&gt;P$1745,"",(tech_base!$K96/tech_proj!P220*0.086*$J$132)/(1-tech_proj!P500))</f>
        <v/>
      </c>
      <c r="Q1840" s="127" t="str">
        <f>IF(tech_base!$T96&gt;Q$1745,"",(tech_base!$K96/tech_proj!Q220*0.086*$J$132)/(1-tech_proj!Q500))</f>
        <v/>
      </c>
      <c r="R1840" s="127" t="str">
        <f>IF(tech_base!$T96&gt;R$1745,"",(tech_base!$K96/tech_proj!R220*0.086*$J$132)/(1-tech_proj!R500))</f>
        <v/>
      </c>
      <c r="S1840" s="127" t="str">
        <f>IF(tech_base!$T96&gt;S$1745,"",(tech_base!$K96/tech_proj!S220*0.086*$J$132)/(1-tech_proj!S500))</f>
        <v/>
      </c>
      <c r="T1840" s="127" t="str">
        <f>IF(tech_base!$T96&gt;T$1745,"",(tech_base!$K96/tech_proj!T220*0.086*$J$132)/(1-tech_proj!T500))</f>
        <v/>
      </c>
      <c r="U1840" s="127" t="str">
        <f>IF(tech_base!$T96&gt;U$1745,"",(tech_base!$K96/tech_proj!U220*0.086*$J$132)/(1-tech_proj!U500))</f>
        <v/>
      </c>
      <c r="V1840" s="127" t="str">
        <f>IF(tech_base!$T96&gt;V$1745,"",(tech_base!$K96/tech_proj!V220*0.086*$J$132)/(1-tech_proj!V500))</f>
        <v/>
      </c>
      <c r="W1840" s="127" t="str">
        <f>IF(tech_base!$T96&gt;W$1745,"",(tech_base!$K96/tech_proj!W220*0.086*$J$132)/(1-tech_proj!W500))</f>
        <v/>
      </c>
      <c r="X1840" s="127" t="str">
        <f>IF(tech_base!$T96&gt;X$1745,"",(tech_base!$K96/tech_proj!X220*0.086*$J$132)/(1-tech_proj!X500))</f>
        <v/>
      </c>
      <c r="Y1840" s="127" t="str">
        <f>IF(tech_base!$T96&gt;Y$1745,"",(tech_base!$K96/tech_proj!Y220*0.086*$J$132)/(1-tech_proj!Y500))</f>
        <v/>
      </c>
      <c r="Z1840" s="127" t="str">
        <f>IF(tech_base!$T96&gt;Z$1745,"",(tech_base!$K96/tech_proj!Z220*0.086*$J$132)/(1-tech_proj!Z500))</f>
        <v/>
      </c>
      <c r="AA1840" s="127" t="str">
        <f>IF(tech_base!$T96&gt;AA$1745,"",(tech_base!$K96/tech_proj!AA220*0.086*$J$132)/(1-tech_proj!AA500))</f>
        <v/>
      </c>
      <c r="AB1840" s="127" t="str">
        <f>IF(tech_base!$T96&gt;AB$1745,"",(tech_base!$K96/tech_proj!AB220*0.086*$J$132)/(1-tech_proj!AB500))</f>
        <v/>
      </c>
      <c r="AC1840" s="127" t="str">
        <f>IF(tech_base!$T96&gt;AC$1745,"",(tech_base!$K96/tech_proj!AC220*0.086*$J$132)/(1-tech_proj!AC500))</f>
        <v/>
      </c>
      <c r="AD1840" s="127" t="str">
        <f>IF(tech_base!$T96&gt;AD$1745,"",(tech_base!$K96/tech_proj!AD220*0.086*$J$132)/(1-tech_proj!AD500))</f>
        <v/>
      </c>
      <c r="AE1840" s="127">
        <f>IF(tech_base!$T96&gt;AE$1745,"",(tech_base!$K96/tech_proj!AE220*0.086*$J$132)/(1-tech_proj!AE500))</f>
        <v>5.3228252887203782</v>
      </c>
      <c r="AF1840" s="127">
        <f>IF(tech_base!$T96&gt;AF$1745,"",(tech_base!$K96/tech_proj!AF220*0.086*$J$132)/(1-tech_proj!AF500))</f>
        <v>5.3221795178150497</v>
      </c>
      <c r="AG1840" s="127">
        <f>IF(tech_base!$T96&gt;AG$1745,"",(tech_base!$K96/tech_proj!AG220*0.086*$J$132)/(1-tech_proj!AG500))</f>
        <v>5.3213520592826251</v>
      </c>
      <c r="AH1840" s="127">
        <f>IF(tech_base!$T96&gt;AH$1745,"",(tech_base!$K96/tech_proj!AH220*0.086*$J$132)/(1-tech_proj!AH500))</f>
        <v>5.3202924206164814</v>
      </c>
      <c r="AI1840" s="127">
        <f>IF(tech_base!$T96&gt;AI$1745,"",(tech_base!$K96/tech_proj!AI220*0.086*$J$132)/(1-tech_proj!AI500))</f>
        <v>5.3189364787238507</v>
      </c>
      <c r="AJ1840" s="127">
        <f>IF(tech_base!$T96&gt;AJ$1745,"",(tech_base!$K96/tech_proj!AJ220*0.086*$J$132)/(1-tech_proj!AJ500))</f>
        <v>5.3172030579819154</v>
      </c>
      <c r="AK1840" s="127">
        <f>IF(tech_base!$T96&gt;AK$1745,"",(tech_base!$K96/tech_proj!AK220*0.086*$J$132)/(1-tech_proj!AK500))</f>
        <v>5.3149898154319493</v>
      </c>
      <c r="AL1840" s="127">
        <f>IF(tech_base!$T96&gt;AL$1745,"",(tech_base!$K96/tech_proj!AL220*0.086*$J$132)/(1-tech_proj!AL500))</f>
        <v>5.3121684038163091</v>
      </c>
      <c r="AM1840" s="127">
        <f>IF(tech_base!$T96&gt;AM$1745,"",(tech_base!$K96/tech_proj!AM220*0.086*$J$132)/(1-tech_proj!AM500))</f>
        <v>5.3085789691590746</v>
      </c>
      <c r="AN1840" s="127">
        <f>IF(tech_base!$T96&gt;AN$1745,"",(tech_base!$K96/tech_proj!AN220*0.086*$J$132)/(1-tech_proj!AN500))</f>
        <v>5.3040241964504871</v>
      </c>
      <c r="AO1840" s="127">
        <f>IF(tech_base!$T96&gt;AO$1745,"",(tech_base!$K96/tech_proj!AO220*0.086*$J$132)/(1-tech_proj!AO500))</f>
        <v>5.298263380535869</v>
      </c>
      <c r="AP1840" s="127">
        <f>IF(tech_base!$T96&gt;AP$1745,"",(tech_base!$K96/tech_proj!AP220*0.086*$J$132)/(1-tech_proj!AP500))</f>
        <v>5.2910074127299813</v>
      </c>
      <c r="AQ1840" s="127">
        <f>IF(tech_base!$T96&gt;AQ$1745,"",(tech_base!$K96/tech_proj!AQ220*0.086*$J$132)/(1-tech_proj!AQ500))</f>
        <v>5.2819161779910795</v>
      </c>
      <c r="AR1840" s="127">
        <f>IF(tech_base!$T96&gt;AR$1745,"",(tech_base!$K96/tech_proj!AR220*0.086*$J$132)/(1-tech_proj!AR500))</f>
        <v>5.2706006669480834</v>
      </c>
      <c r="AS1840" s="127">
        <f>IF(tech_base!$T96&gt;AS$1745,"",(tech_base!$K96/tech_proj!AS220*0.086*$J$132)/(1-tech_proj!AS500))</f>
        <v>5.2566330594382666</v>
      </c>
      <c r="AT1840" s="127">
        <f>IF(tech_base!$T96&gt;AT$1745,"",(tech_base!$K96/tech_proj!AT220*0.086*$J$132)/(1-tech_proj!AT500))</f>
        <v>5.2395689096597291</v>
      </c>
      <c r="AU1840" s="127">
        <f>IF(tech_base!$T96&gt;AU$1745,"",(tech_base!$K96/tech_proj!AU220*0.086*$J$132)/(1-tech_proj!AU500))</f>
        <v>5.2189858677678078</v>
      </c>
      <c r="AV1840" s="127">
        <f>IF(tech_base!$T96&gt;AV$1745,"",(tech_base!$K96/tech_proj!AV220*0.086*$J$132)/(1-tech_proj!AV500))</f>
        <v>5.1945422707666404</v>
      </c>
      <c r="AW1840" s="127">
        <f>IF(tech_base!$T96&gt;AW$1745,"",(tech_base!$K96/tech_proj!AW220*0.086*$J$132)/(1-tech_proj!AW500))</f>
        <v>5.1660553259071715</v>
      </c>
      <c r="AX1840" s="128">
        <f>IF(tech_base!$T96&gt;AX$1745,"",(tech_base!$K96/tech_proj!AX220*0.086*$J$132)/(1-tech_proj!AX500))</f>
        <v>5.1335916042303724</v>
      </c>
    </row>
    <row r="1841" spans="1:50" x14ac:dyDescent="0.25">
      <c r="A1841" s="356"/>
      <c r="B1841" s="358" t="s">
        <v>24</v>
      </c>
      <c r="C1841" s="353" t="s">
        <v>6</v>
      </c>
      <c r="D1841" s="3" t="s">
        <v>8</v>
      </c>
      <c r="E1841" s="162" t="str">
        <f>A1829&amp;"/"&amp;B1841&amp;"/"&amp;C1841&amp;"/"&amp;D1841</f>
        <v>Gas fired power plants (Natural gas, biogas)/Gas turbine /Electricity only/M</v>
      </c>
      <c r="F1841" s="77" t="str">
        <f>A1829</f>
        <v>Gas fired power plants (Natural gas, biogas)</v>
      </c>
      <c r="G1841" s="77" t="str">
        <f>B1841</f>
        <v xml:space="preserve">Gas turbine </v>
      </c>
      <c r="H1841" s="77" t="str">
        <f>C1841</f>
        <v>Electricity only</v>
      </c>
      <c r="I1841" s="163" t="str">
        <f t="shared" si="383"/>
        <v>M</v>
      </c>
      <c r="J1841" s="121">
        <f>IF(tech_base!$T97&gt;J$1745,"",(tech_base!$K97/tech_proj!J221*0.086*$J$132)/(1-tech_proj!J501))</f>
        <v>0</v>
      </c>
      <c r="K1841" s="121">
        <f>IF(tech_base!$T97&gt;K$1745,"",(tech_base!$K97/tech_proj!K221*0.086*$J$132)/(1-tech_proj!K501))</f>
        <v>0</v>
      </c>
      <c r="L1841" s="121">
        <f>IF(tech_base!$T97&gt;L$1745,"",(tech_base!$K97/tech_proj!L221*0.086*$J$132)/(1-tech_proj!L501))</f>
        <v>0</v>
      </c>
      <c r="M1841" s="121">
        <f>IF(tech_base!$T97&gt;M$1745,"",(tech_base!$K97/tech_proj!M221*0.086*$J$132)/(1-tech_proj!M501))</f>
        <v>0</v>
      </c>
      <c r="N1841" s="121">
        <f>IF(tech_base!$T97&gt;N$1745,"",(tech_base!$K97/tech_proj!N221*0.086*$J$132)/(1-tech_proj!N501))</f>
        <v>0</v>
      </c>
      <c r="O1841" s="121">
        <f>IF(tech_base!$T97&gt;O$1745,"",(tech_base!$K97/tech_proj!O221*0.086*$J$132)/(1-tech_proj!O501))</f>
        <v>0</v>
      </c>
      <c r="P1841" s="121">
        <f>IF(tech_base!$T97&gt;P$1745,"",(tech_base!$K97/tech_proj!P221*0.086*$J$132)/(1-tech_proj!P501))</f>
        <v>0</v>
      </c>
      <c r="Q1841" s="121">
        <f>IF(tech_base!$T97&gt;Q$1745,"",(tech_base!$K97/tech_proj!Q221*0.086*$J$132)/(1-tech_proj!Q501))</f>
        <v>0</v>
      </c>
      <c r="R1841" s="121">
        <f>IF(tech_base!$T97&gt;R$1745,"",(tech_base!$K97/tech_proj!R221*0.086*$J$132)/(1-tech_proj!R501))</f>
        <v>0</v>
      </c>
      <c r="S1841" s="121">
        <f>IF(tech_base!$T97&gt;S$1745,"",(tech_base!$K97/tech_proj!S221*0.086*$J$132)/(1-tech_proj!S501))</f>
        <v>0</v>
      </c>
      <c r="T1841" s="121">
        <f>IF(tech_base!$T97&gt;T$1745,"",(tech_base!$K97/tech_proj!T221*0.086*$J$132)/(1-tech_proj!T501))</f>
        <v>0</v>
      </c>
      <c r="U1841" s="121">
        <f>IF(tech_base!$T97&gt;U$1745,"",(tech_base!$K97/tech_proj!U221*0.086*$J$132)/(1-tech_proj!U501))</f>
        <v>0</v>
      </c>
      <c r="V1841" s="121">
        <f>IF(tech_base!$T97&gt;V$1745,"",(tech_base!$K97/tech_proj!V221*0.086*$J$132)/(1-tech_proj!V501))</f>
        <v>0</v>
      </c>
      <c r="W1841" s="121">
        <f>IF(tech_base!$T97&gt;W$1745,"",(tech_base!$K97/tech_proj!W221*0.086*$J$132)/(1-tech_proj!W501))</f>
        <v>0</v>
      </c>
      <c r="X1841" s="121">
        <f>IF(tech_base!$T97&gt;X$1745,"",(tech_base!$K97/tech_proj!X221*0.086*$J$132)/(1-tech_proj!X501))</f>
        <v>0</v>
      </c>
      <c r="Y1841" s="121">
        <f>IF(tech_base!$T97&gt;Y$1745,"",(tech_base!$K97/tech_proj!Y221*0.086*$J$132)/(1-tech_proj!Y501))</f>
        <v>0</v>
      </c>
      <c r="Z1841" s="121">
        <f>IF(tech_base!$T97&gt;Z$1745,"",(tech_base!$K97/tech_proj!Z221*0.086*$J$132)/(1-tech_proj!Z501))</f>
        <v>0</v>
      </c>
      <c r="AA1841" s="121">
        <f>IF(tech_base!$T97&gt;AA$1745,"",(tech_base!$K97/tech_proj!AA221*0.086*$J$132)/(1-tech_proj!AA501))</f>
        <v>0</v>
      </c>
      <c r="AB1841" s="121">
        <f>IF(tech_base!$T97&gt;AB$1745,"",(tech_base!$K97/tech_proj!AB221*0.086*$J$132)/(1-tech_proj!AB501))</f>
        <v>0</v>
      </c>
      <c r="AC1841" s="121">
        <f>IF(tech_base!$T97&gt;AC$1745,"",(tech_base!$K97/tech_proj!AC221*0.086*$J$132)/(1-tech_proj!AC501))</f>
        <v>0</v>
      </c>
      <c r="AD1841" s="121">
        <f>IF(tech_base!$T97&gt;AD$1745,"",(tech_base!$K97/tech_proj!AD221*0.086*$J$132)/(1-tech_proj!AD501))</f>
        <v>0</v>
      </c>
      <c r="AE1841" s="121">
        <f>IF(tech_base!$T97&gt;AE$1745,"",(tech_base!$K97/tech_proj!AE221*0.086*$J$132)/(1-tech_proj!AE501))</f>
        <v>0</v>
      </c>
      <c r="AF1841" s="121">
        <f>IF(tech_base!$T97&gt;AF$1745,"",(tech_base!$K97/tech_proj!AF221*0.086*$J$132)/(1-tech_proj!AF501))</f>
        <v>0</v>
      </c>
      <c r="AG1841" s="121">
        <f>IF(tech_base!$T97&gt;AG$1745,"",(tech_base!$K97/tech_proj!AG221*0.086*$J$132)/(1-tech_proj!AG501))</f>
        <v>0</v>
      </c>
      <c r="AH1841" s="121">
        <f>IF(tech_base!$T97&gt;AH$1745,"",(tech_base!$K97/tech_proj!AH221*0.086*$J$132)/(1-tech_proj!AH501))</f>
        <v>0</v>
      </c>
      <c r="AI1841" s="121">
        <f>IF(tech_base!$T97&gt;AI$1745,"",(tech_base!$K97/tech_proj!AI221*0.086*$J$132)/(1-tech_proj!AI501))</f>
        <v>0</v>
      </c>
      <c r="AJ1841" s="121">
        <f>IF(tech_base!$T97&gt;AJ$1745,"",(tech_base!$K97/tech_proj!AJ221*0.086*$J$132)/(1-tech_proj!AJ501))</f>
        <v>0</v>
      </c>
      <c r="AK1841" s="121">
        <f>IF(tech_base!$T97&gt;AK$1745,"",(tech_base!$K97/tech_proj!AK221*0.086*$J$132)/(1-tech_proj!AK501))</f>
        <v>0</v>
      </c>
      <c r="AL1841" s="121">
        <f>IF(tech_base!$T97&gt;AL$1745,"",(tech_base!$K97/tech_proj!AL221*0.086*$J$132)/(1-tech_proj!AL501))</f>
        <v>0</v>
      </c>
      <c r="AM1841" s="121">
        <f>IF(tech_base!$T97&gt;AM$1745,"",(tech_base!$K97/tech_proj!AM221*0.086*$J$132)/(1-tech_proj!AM501))</f>
        <v>0</v>
      </c>
      <c r="AN1841" s="121">
        <f>IF(tech_base!$T97&gt;AN$1745,"",(tech_base!$K97/tech_proj!AN221*0.086*$J$132)/(1-tech_proj!AN501))</f>
        <v>0</v>
      </c>
      <c r="AO1841" s="121">
        <f>IF(tech_base!$T97&gt;AO$1745,"",(tech_base!$K97/tech_proj!AO221*0.086*$J$132)/(1-tech_proj!AO501))</f>
        <v>0</v>
      </c>
      <c r="AP1841" s="121">
        <f>IF(tech_base!$T97&gt;AP$1745,"",(tech_base!$K97/tech_proj!AP221*0.086*$J$132)/(1-tech_proj!AP501))</f>
        <v>0</v>
      </c>
      <c r="AQ1841" s="121">
        <f>IF(tech_base!$T97&gt;AQ$1745,"",(tech_base!$K97/tech_proj!AQ221*0.086*$J$132)/(1-tech_proj!AQ501))</f>
        <v>0</v>
      </c>
      <c r="AR1841" s="121">
        <f>IF(tech_base!$T97&gt;AR$1745,"",(tech_base!$K97/tech_proj!AR221*0.086*$J$132)/(1-tech_proj!AR501))</f>
        <v>0</v>
      </c>
      <c r="AS1841" s="121">
        <f>IF(tech_base!$T97&gt;AS$1745,"",(tech_base!$K97/tech_proj!AS221*0.086*$J$132)/(1-tech_proj!AS501))</f>
        <v>0</v>
      </c>
      <c r="AT1841" s="121">
        <f>IF(tech_base!$T97&gt;AT$1745,"",(tech_base!$K97/tech_proj!AT221*0.086*$J$132)/(1-tech_proj!AT501))</f>
        <v>0</v>
      </c>
      <c r="AU1841" s="121">
        <f>IF(tech_base!$T97&gt;AU$1745,"",(tech_base!$K97/tech_proj!AU221*0.086*$J$132)/(1-tech_proj!AU501))</f>
        <v>0</v>
      </c>
      <c r="AV1841" s="121">
        <f>IF(tech_base!$T97&gt;AV$1745,"",(tech_base!$K97/tech_proj!AV221*0.086*$J$132)/(1-tech_proj!AV501))</f>
        <v>0</v>
      </c>
      <c r="AW1841" s="121">
        <f>IF(tech_base!$T97&gt;AW$1745,"",(tech_base!$K97/tech_proj!AW221*0.086*$J$132)/(1-tech_proj!AW501))</f>
        <v>0</v>
      </c>
      <c r="AX1841" s="122">
        <f>IF(tech_base!$T97&gt;AX$1745,"",(tech_base!$K97/tech_proj!AX221*0.086*$J$132)/(1-tech_proj!AX501))</f>
        <v>0</v>
      </c>
    </row>
    <row r="1842" spans="1:50" x14ac:dyDescent="0.25">
      <c r="A1842" s="356"/>
      <c r="B1842" s="376"/>
      <c r="C1842" s="378"/>
      <c r="D1842" s="2" t="s">
        <v>10</v>
      </c>
      <c r="E1842" s="160" t="str">
        <f>A1829&amp;"/"&amp;B1841&amp;"/"&amp;C1841&amp;"/"&amp;D1842</f>
        <v>Gas fired power plants (Natural gas, biogas)/Gas turbine /Electricity only/S</v>
      </c>
      <c r="F1842" s="76" t="str">
        <f>A1829</f>
        <v>Gas fired power plants (Natural gas, biogas)</v>
      </c>
      <c r="G1842" s="76" t="str">
        <f>B1841</f>
        <v xml:space="preserve">Gas turbine </v>
      </c>
      <c r="H1842" s="76" t="str">
        <f>C1841</f>
        <v>Electricity only</v>
      </c>
      <c r="I1842" s="161" t="str">
        <f t="shared" si="383"/>
        <v>S</v>
      </c>
      <c r="J1842" s="119">
        <f>IF(tech_base!$T98&gt;J$1745,"",(tech_base!$K98/tech_proj!J222*0.086*$J$132)/(1-tech_proj!J502))</f>
        <v>0</v>
      </c>
      <c r="K1842" s="119">
        <f>IF(tech_base!$T98&gt;K$1745,"",(tech_base!$K98/tech_proj!K222*0.086*$J$132)/(1-tech_proj!K502))</f>
        <v>0</v>
      </c>
      <c r="L1842" s="119">
        <f>IF(tech_base!$T98&gt;L$1745,"",(tech_base!$K98/tech_proj!L222*0.086*$J$132)/(1-tech_proj!L502))</f>
        <v>0</v>
      </c>
      <c r="M1842" s="119">
        <f>IF(tech_base!$T98&gt;M$1745,"",(tech_base!$K98/tech_proj!M222*0.086*$J$132)/(1-tech_proj!M502))</f>
        <v>0</v>
      </c>
      <c r="N1842" s="119">
        <f>IF(tech_base!$T98&gt;N$1745,"",(tech_base!$K98/tech_proj!N222*0.086*$J$132)/(1-tech_proj!N502))</f>
        <v>0</v>
      </c>
      <c r="O1842" s="119">
        <f>IF(tech_base!$T98&gt;O$1745,"",(tech_base!$K98/tech_proj!O222*0.086*$J$132)/(1-tech_proj!O502))</f>
        <v>0</v>
      </c>
      <c r="P1842" s="119">
        <f>IF(tech_base!$T98&gt;P$1745,"",(tech_base!$K98/tech_proj!P222*0.086*$J$132)/(1-tech_proj!P502))</f>
        <v>0</v>
      </c>
      <c r="Q1842" s="119">
        <f>IF(tech_base!$T98&gt;Q$1745,"",(tech_base!$K98/tech_proj!Q222*0.086*$J$132)/(1-tech_proj!Q502))</f>
        <v>0</v>
      </c>
      <c r="R1842" s="119">
        <f>IF(tech_base!$T98&gt;R$1745,"",(tech_base!$K98/tech_proj!R222*0.086*$J$132)/(1-tech_proj!R502))</f>
        <v>0</v>
      </c>
      <c r="S1842" s="119">
        <f>IF(tech_base!$T98&gt;S$1745,"",(tech_base!$K98/tech_proj!S222*0.086*$J$132)/(1-tech_proj!S502))</f>
        <v>0</v>
      </c>
      <c r="T1842" s="119">
        <f>IF(tech_base!$T98&gt;T$1745,"",(tech_base!$K98/tech_proj!T222*0.086*$J$132)/(1-tech_proj!T502))</f>
        <v>0</v>
      </c>
      <c r="U1842" s="119">
        <f>IF(tech_base!$T98&gt;U$1745,"",(tech_base!$K98/tech_proj!U222*0.086*$J$132)/(1-tech_proj!U502))</f>
        <v>0</v>
      </c>
      <c r="V1842" s="119">
        <f>IF(tech_base!$T98&gt;V$1745,"",(tech_base!$K98/tech_proj!V222*0.086*$J$132)/(1-tech_proj!V502))</f>
        <v>0</v>
      </c>
      <c r="W1842" s="119">
        <f>IF(tech_base!$T98&gt;W$1745,"",(tech_base!$K98/tech_proj!W222*0.086*$J$132)/(1-tech_proj!W502))</f>
        <v>0</v>
      </c>
      <c r="X1842" s="119">
        <f>IF(tech_base!$T98&gt;X$1745,"",(tech_base!$K98/tech_proj!X222*0.086*$J$132)/(1-tech_proj!X502))</f>
        <v>0</v>
      </c>
      <c r="Y1842" s="119">
        <f>IF(tech_base!$T98&gt;Y$1745,"",(tech_base!$K98/tech_proj!Y222*0.086*$J$132)/(1-tech_proj!Y502))</f>
        <v>0</v>
      </c>
      <c r="Z1842" s="119">
        <f>IF(tech_base!$T98&gt;Z$1745,"",(tech_base!$K98/tech_proj!Z222*0.086*$J$132)/(1-tech_proj!Z502))</f>
        <v>0</v>
      </c>
      <c r="AA1842" s="119">
        <f>IF(tech_base!$T98&gt;AA$1745,"",(tech_base!$K98/tech_proj!AA222*0.086*$J$132)/(1-tech_proj!AA502))</f>
        <v>0</v>
      </c>
      <c r="AB1842" s="119">
        <f>IF(tech_base!$T98&gt;AB$1745,"",(tech_base!$K98/tech_proj!AB222*0.086*$J$132)/(1-tech_proj!AB502))</f>
        <v>0</v>
      </c>
      <c r="AC1842" s="119">
        <f>IF(tech_base!$T98&gt;AC$1745,"",(tech_base!$K98/tech_proj!AC222*0.086*$J$132)/(1-tech_proj!AC502))</f>
        <v>0</v>
      </c>
      <c r="AD1842" s="119">
        <f>IF(tech_base!$T98&gt;AD$1745,"",(tech_base!$K98/tech_proj!AD222*0.086*$J$132)/(1-tech_proj!AD502))</f>
        <v>0</v>
      </c>
      <c r="AE1842" s="119">
        <f>IF(tech_base!$T98&gt;AE$1745,"",(tech_base!$K98/tech_proj!AE222*0.086*$J$132)/(1-tech_proj!AE502))</f>
        <v>0</v>
      </c>
      <c r="AF1842" s="119">
        <f>IF(tech_base!$T98&gt;AF$1745,"",(tech_base!$K98/tech_proj!AF222*0.086*$J$132)/(1-tech_proj!AF502))</f>
        <v>0</v>
      </c>
      <c r="AG1842" s="119">
        <f>IF(tech_base!$T98&gt;AG$1745,"",(tech_base!$K98/tech_proj!AG222*0.086*$J$132)/(1-tech_proj!AG502))</f>
        <v>0</v>
      </c>
      <c r="AH1842" s="119">
        <f>IF(tech_base!$T98&gt;AH$1745,"",(tech_base!$K98/tech_proj!AH222*0.086*$J$132)/(1-tech_proj!AH502))</f>
        <v>0</v>
      </c>
      <c r="AI1842" s="119">
        <f>IF(tech_base!$T98&gt;AI$1745,"",(tech_base!$K98/tech_proj!AI222*0.086*$J$132)/(1-tech_proj!AI502))</f>
        <v>0</v>
      </c>
      <c r="AJ1842" s="119">
        <f>IF(tech_base!$T98&gt;AJ$1745,"",(tech_base!$K98/tech_proj!AJ222*0.086*$J$132)/(1-tech_proj!AJ502))</f>
        <v>0</v>
      </c>
      <c r="AK1842" s="119">
        <f>IF(tech_base!$T98&gt;AK$1745,"",(tech_base!$K98/tech_proj!AK222*0.086*$J$132)/(1-tech_proj!AK502))</f>
        <v>0</v>
      </c>
      <c r="AL1842" s="119">
        <f>IF(tech_base!$T98&gt;AL$1745,"",(tech_base!$K98/tech_proj!AL222*0.086*$J$132)/(1-tech_proj!AL502))</f>
        <v>0</v>
      </c>
      <c r="AM1842" s="119">
        <f>IF(tech_base!$T98&gt;AM$1745,"",(tech_base!$K98/tech_proj!AM222*0.086*$J$132)/(1-tech_proj!AM502))</f>
        <v>0</v>
      </c>
      <c r="AN1842" s="119">
        <f>IF(tech_base!$T98&gt;AN$1745,"",(tech_base!$K98/tech_proj!AN222*0.086*$J$132)/(1-tech_proj!AN502))</f>
        <v>0</v>
      </c>
      <c r="AO1842" s="119">
        <f>IF(tech_base!$T98&gt;AO$1745,"",(tech_base!$K98/tech_proj!AO222*0.086*$J$132)/(1-tech_proj!AO502))</f>
        <v>0</v>
      </c>
      <c r="AP1842" s="119">
        <f>IF(tech_base!$T98&gt;AP$1745,"",(tech_base!$K98/tech_proj!AP222*0.086*$J$132)/(1-tech_proj!AP502))</f>
        <v>0</v>
      </c>
      <c r="AQ1842" s="119">
        <f>IF(tech_base!$T98&gt;AQ$1745,"",(tech_base!$K98/tech_proj!AQ222*0.086*$J$132)/(1-tech_proj!AQ502))</f>
        <v>0</v>
      </c>
      <c r="AR1842" s="119">
        <f>IF(tech_base!$T98&gt;AR$1745,"",(tech_base!$K98/tech_proj!AR222*0.086*$J$132)/(1-tech_proj!AR502))</f>
        <v>0</v>
      </c>
      <c r="AS1842" s="119">
        <f>IF(tech_base!$T98&gt;AS$1745,"",(tech_base!$K98/tech_proj!AS222*0.086*$J$132)/(1-tech_proj!AS502))</f>
        <v>0</v>
      </c>
      <c r="AT1842" s="119">
        <f>IF(tech_base!$T98&gt;AT$1745,"",(tech_base!$K98/tech_proj!AT222*0.086*$J$132)/(1-tech_proj!AT502))</f>
        <v>0</v>
      </c>
      <c r="AU1842" s="119">
        <f>IF(tech_base!$T98&gt;AU$1745,"",(tech_base!$K98/tech_proj!AU222*0.086*$J$132)/(1-tech_proj!AU502))</f>
        <v>0</v>
      </c>
      <c r="AV1842" s="119">
        <f>IF(tech_base!$T98&gt;AV$1745,"",(tech_base!$K98/tech_proj!AV222*0.086*$J$132)/(1-tech_proj!AV502))</f>
        <v>0</v>
      </c>
      <c r="AW1842" s="119">
        <f>IF(tech_base!$T98&gt;AW$1745,"",(tech_base!$K98/tech_proj!AW222*0.086*$J$132)/(1-tech_proj!AW502))</f>
        <v>0</v>
      </c>
      <c r="AX1842" s="120">
        <f>IF(tech_base!$T98&gt;AX$1745,"",(tech_base!$K98/tech_proj!AX222*0.086*$J$132)/(1-tech_proj!AX502))</f>
        <v>0</v>
      </c>
    </row>
    <row r="1843" spans="1:50" x14ac:dyDescent="0.25">
      <c r="A1843" s="356"/>
      <c r="B1843" s="376"/>
      <c r="C1843" s="379"/>
      <c r="D1843" s="59" t="s">
        <v>20</v>
      </c>
      <c r="E1843" s="160" t="str">
        <f>A1829&amp;"/"&amp;B1841&amp;"/"&amp;C1841&amp;"/"&amp;D1843</f>
        <v>Gas fired power plants (Natural gas, biogas)/Gas turbine /Electricity only/XS</v>
      </c>
      <c r="F1843" s="76" t="str">
        <f>A1829</f>
        <v>Gas fired power plants (Natural gas, biogas)</v>
      </c>
      <c r="G1843" s="76" t="str">
        <f>B1841</f>
        <v xml:space="preserve">Gas turbine </v>
      </c>
      <c r="H1843" s="76" t="str">
        <f>C1841</f>
        <v>Electricity only</v>
      </c>
      <c r="I1843" s="161" t="str">
        <f t="shared" si="383"/>
        <v>XS</v>
      </c>
      <c r="J1843" s="119">
        <f>IF(tech_base!$T99&gt;J$1745,"",(tech_base!$K99/tech_proj!J223*0.086*$J$132)/(1-tech_proj!J503))</f>
        <v>0</v>
      </c>
      <c r="K1843" s="119">
        <f>IF(tech_base!$T99&gt;K$1745,"",(tech_base!$K99/tech_proj!K223*0.086*$J$132)/(1-tech_proj!K503))</f>
        <v>0</v>
      </c>
      <c r="L1843" s="119">
        <f>IF(tech_base!$T99&gt;L$1745,"",(tech_base!$K99/tech_proj!L223*0.086*$J$132)/(1-tech_proj!L503))</f>
        <v>0</v>
      </c>
      <c r="M1843" s="119">
        <f>IF(tech_base!$T99&gt;M$1745,"",(tech_base!$K99/tech_proj!M223*0.086*$J$132)/(1-tech_proj!M503))</f>
        <v>0</v>
      </c>
      <c r="N1843" s="119">
        <f>IF(tech_base!$T99&gt;N$1745,"",(tech_base!$K99/tech_proj!N223*0.086*$J$132)/(1-tech_proj!N503))</f>
        <v>0</v>
      </c>
      <c r="O1843" s="119">
        <f>IF(tech_base!$T99&gt;O$1745,"",(tech_base!$K99/tech_proj!O223*0.086*$J$132)/(1-tech_proj!O503))</f>
        <v>0</v>
      </c>
      <c r="P1843" s="119">
        <f>IF(tech_base!$T99&gt;P$1745,"",(tech_base!$K99/tech_proj!P223*0.086*$J$132)/(1-tech_proj!P503))</f>
        <v>0</v>
      </c>
      <c r="Q1843" s="119">
        <f>IF(tech_base!$T99&gt;Q$1745,"",(tech_base!$K99/tech_proj!Q223*0.086*$J$132)/(1-tech_proj!Q503))</f>
        <v>0</v>
      </c>
      <c r="R1843" s="119">
        <f>IF(tech_base!$T99&gt;R$1745,"",(tech_base!$K99/tech_proj!R223*0.086*$J$132)/(1-tech_proj!R503))</f>
        <v>0</v>
      </c>
      <c r="S1843" s="119">
        <f>IF(tech_base!$T99&gt;S$1745,"",(tech_base!$K99/tech_proj!S223*0.086*$J$132)/(1-tech_proj!S503))</f>
        <v>0</v>
      </c>
      <c r="T1843" s="119">
        <f>IF(tech_base!$T99&gt;T$1745,"",(tech_base!$K99/tech_proj!T223*0.086*$J$132)/(1-tech_proj!T503))</f>
        <v>0</v>
      </c>
      <c r="U1843" s="119">
        <f>IF(tech_base!$T99&gt;U$1745,"",(tech_base!$K99/tech_proj!U223*0.086*$J$132)/(1-tech_proj!U503))</f>
        <v>0</v>
      </c>
      <c r="V1843" s="119">
        <f>IF(tech_base!$T99&gt;V$1745,"",(tech_base!$K99/tech_proj!V223*0.086*$J$132)/(1-tech_proj!V503))</f>
        <v>0</v>
      </c>
      <c r="W1843" s="119">
        <f>IF(tech_base!$T99&gt;W$1745,"",(tech_base!$K99/tech_proj!W223*0.086*$J$132)/(1-tech_proj!W503))</f>
        <v>0</v>
      </c>
      <c r="X1843" s="119">
        <f>IF(tech_base!$T99&gt;X$1745,"",(tech_base!$K99/tech_proj!X223*0.086*$J$132)/(1-tech_proj!X503))</f>
        <v>0</v>
      </c>
      <c r="Y1843" s="119">
        <f>IF(tech_base!$T99&gt;Y$1745,"",(tech_base!$K99/tech_proj!Y223*0.086*$J$132)/(1-tech_proj!Y503))</f>
        <v>0</v>
      </c>
      <c r="Z1843" s="119">
        <f>IF(tech_base!$T99&gt;Z$1745,"",(tech_base!$K99/tech_proj!Z223*0.086*$J$132)/(1-tech_proj!Z503))</f>
        <v>0</v>
      </c>
      <c r="AA1843" s="119">
        <f>IF(tech_base!$T99&gt;AA$1745,"",(tech_base!$K99/tech_proj!AA223*0.086*$J$132)/(1-tech_proj!AA503))</f>
        <v>0</v>
      </c>
      <c r="AB1843" s="119">
        <f>IF(tech_base!$T99&gt;AB$1745,"",(tech_base!$K99/tech_proj!AB223*0.086*$J$132)/(1-tech_proj!AB503))</f>
        <v>0</v>
      </c>
      <c r="AC1843" s="119">
        <f>IF(tech_base!$T99&gt;AC$1745,"",(tech_base!$K99/tech_proj!AC223*0.086*$J$132)/(1-tech_proj!AC503))</f>
        <v>0</v>
      </c>
      <c r="AD1843" s="119">
        <f>IF(tech_base!$T99&gt;AD$1745,"",(tech_base!$K99/tech_proj!AD223*0.086*$J$132)/(1-tech_proj!AD503))</f>
        <v>0</v>
      </c>
      <c r="AE1843" s="119">
        <f>IF(tech_base!$T99&gt;AE$1745,"",(tech_base!$K99/tech_proj!AE223*0.086*$J$132)/(1-tech_proj!AE503))</f>
        <v>0</v>
      </c>
      <c r="AF1843" s="119">
        <f>IF(tech_base!$T99&gt;AF$1745,"",(tech_base!$K99/tech_proj!AF223*0.086*$J$132)/(1-tech_proj!AF503))</f>
        <v>0</v>
      </c>
      <c r="AG1843" s="119">
        <f>IF(tech_base!$T99&gt;AG$1745,"",(tech_base!$K99/tech_proj!AG223*0.086*$J$132)/(1-tech_proj!AG503))</f>
        <v>0</v>
      </c>
      <c r="AH1843" s="119">
        <f>IF(tech_base!$T99&gt;AH$1745,"",(tech_base!$K99/tech_proj!AH223*0.086*$J$132)/(1-tech_proj!AH503))</f>
        <v>0</v>
      </c>
      <c r="AI1843" s="119">
        <f>IF(tech_base!$T99&gt;AI$1745,"",(tech_base!$K99/tech_proj!AI223*0.086*$J$132)/(1-tech_proj!AI503))</f>
        <v>0</v>
      </c>
      <c r="AJ1843" s="119">
        <f>IF(tech_base!$T99&gt;AJ$1745,"",(tech_base!$K99/tech_proj!AJ223*0.086*$J$132)/(1-tech_proj!AJ503))</f>
        <v>0</v>
      </c>
      <c r="AK1843" s="119">
        <f>IF(tech_base!$T99&gt;AK$1745,"",(tech_base!$K99/tech_proj!AK223*0.086*$J$132)/(1-tech_proj!AK503))</f>
        <v>0</v>
      </c>
      <c r="AL1843" s="119">
        <f>IF(tech_base!$T99&gt;AL$1745,"",(tech_base!$K99/tech_proj!AL223*0.086*$J$132)/(1-tech_proj!AL503))</f>
        <v>0</v>
      </c>
      <c r="AM1843" s="119">
        <f>IF(tech_base!$T99&gt;AM$1745,"",(tech_base!$K99/tech_proj!AM223*0.086*$J$132)/(1-tech_proj!AM503))</f>
        <v>0</v>
      </c>
      <c r="AN1843" s="119">
        <f>IF(tech_base!$T99&gt;AN$1745,"",(tech_base!$K99/tech_proj!AN223*0.086*$J$132)/(1-tech_proj!AN503))</f>
        <v>0</v>
      </c>
      <c r="AO1843" s="119">
        <f>IF(tech_base!$T99&gt;AO$1745,"",(tech_base!$K99/tech_proj!AO223*0.086*$J$132)/(1-tech_proj!AO503))</f>
        <v>0</v>
      </c>
      <c r="AP1843" s="119">
        <f>IF(tech_base!$T99&gt;AP$1745,"",(tech_base!$K99/tech_proj!AP223*0.086*$J$132)/(1-tech_proj!AP503))</f>
        <v>0</v>
      </c>
      <c r="AQ1843" s="119">
        <f>IF(tech_base!$T99&gt;AQ$1745,"",(tech_base!$K99/tech_proj!AQ223*0.086*$J$132)/(1-tech_proj!AQ503))</f>
        <v>0</v>
      </c>
      <c r="AR1843" s="119">
        <f>IF(tech_base!$T99&gt;AR$1745,"",(tech_base!$K99/tech_proj!AR223*0.086*$J$132)/(1-tech_proj!AR503))</f>
        <v>0</v>
      </c>
      <c r="AS1843" s="119">
        <f>IF(tech_base!$T99&gt;AS$1745,"",(tech_base!$K99/tech_proj!AS223*0.086*$J$132)/(1-tech_proj!AS503))</f>
        <v>0</v>
      </c>
      <c r="AT1843" s="119">
        <f>IF(tech_base!$T99&gt;AT$1745,"",(tech_base!$K99/tech_proj!AT223*0.086*$J$132)/(1-tech_proj!AT503))</f>
        <v>0</v>
      </c>
      <c r="AU1843" s="119">
        <f>IF(tech_base!$T99&gt;AU$1745,"",(tech_base!$K99/tech_proj!AU223*0.086*$J$132)/(1-tech_proj!AU503))</f>
        <v>0</v>
      </c>
      <c r="AV1843" s="119">
        <f>IF(tech_base!$T99&gt;AV$1745,"",(tech_base!$K99/tech_proj!AV223*0.086*$J$132)/(1-tech_proj!AV503))</f>
        <v>0</v>
      </c>
      <c r="AW1843" s="119">
        <f>IF(tech_base!$T99&gt;AW$1745,"",(tech_base!$K99/tech_proj!AW223*0.086*$J$132)/(1-tech_proj!AW503))</f>
        <v>0</v>
      </c>
      <c r="AX1843" s="120">
        <f>IF(tech_base!$T99&gt;AX$1745,"",(tech_base!$K99/tech_proj!AX223*0.086*$J$132)/(1-tech_proj!AX503))</f>
        <v>0</v>
      </c>
    </row>
    <row r="1844" spans="1:50" x14ac:dyDescent="0.25">
      <c r="A1844" s="356"/>
      <c r="B1844" s="376"/>
      <c r="C1844" s="361" t="s">
        <v>14</v>
      </c>
      <c r="D1844" s="2" t="s">
        <v>8</v>
      </c>
      <c r="E1844" s="164" t="str">
        <f>A1829&amp;"/"&amp;B1841&amp;"/"&amp;C1844&amp;"/"&amp;D1844</f>
        <v>Gas fired power plants (Natural gas, biogas)/Gas turbine /CHP/M</v>
      </c>
      <c r="F1844" s="78" t="str">
        <f>A1829</f>
        <v>Gas fired power plants (Natural gas, biogas)</v>
      </c>
      <c r="G1844" s="78" t="str">
        <f>B1841</f>
        <v xml:space="preserve">Gas turbine </v>
      </c>
      <c r="H1844" s="78" t="str">
        <f>C1844</f>
        <v>CHP</v>
      </c>
      <c r="I1844" s="165" t="str">
        <f t="shared" si="383"/>
        <v>M</v>
      </c>
      <c r="J1844" s="123">
        <f>IF(tech_base!$T100&gt;J$1745,"",(tech_base!$K100/tech_proj!J224*0.086*$J$132)/(1-tech_proj!J504))</f>
        <v>0</v>
      </c>
      <c r="K1844" s="123">
        <f>IF(tech_base!$T100&gt;K$1745,"",(tech_base!$K100/tech_proj!K224*0.086*$J$132)/(1-tech_proj!K504))</f>
        <v>0</v>
      </c>
      <c r="L1844" s="123">
        <f>IF(tech_base!$T100&gt;L$1745,"",(tech_base!$K100/tech_proj!L224*0.086*$J$132)/(1-tech_proj!L504))</f>
        <v>0</v>
      </c>
      <c r="M1844" s="123">
        <f>IF(tech_base!$T100&gt;M$1745,"",(tech_base!$K100/tech_proj!M224*0.086*$J$132)/(1-tech_proj!M504))</f>
        <v>0</v>
      </c>
      <c r="N1844" s="123">
        <f>IF(tech_base!$T100&gt;N$1745,"",(tech_base!$K100/tech_proj!N224*0.086*$J$132)/(1-tech_proj!N504))</f>
        <v>0</v>
      </c>
      <c r="O1844" s="123">
        <f>IF(tech_base!$T100&gt;O$1745,"",(tech_base!$K100/tech_proj!O224*0.086*$J$132)/(1-tech_proj!O504))</f>
        <v>0</v>
      </c>
      <c r="P1844" s="123">
        <f>IF(tech_base!$T100&gt;P$1745,"",(tech_base!$K100/tech_proj!P224*0.086*$J$132)/(1-tech_proj!P504))</f>
        <v>0</v>
      </c>
      <c r="Q1844" s="123">
        <f>IF(tech_base!$T100&gt;Q$1745,"",(tech_base!$K100/tech_proj!Q224*0.086*$J$132)/(1-tech_proj!Q504))</f>
        <v>0</v>
      </c>
      <c r="R1844" s="123">
        <f>IF(tech_base!$T100&gt;R$1745,"",(tech_base!$K100/tech_proj!R224*0.086*$J$132)/(1-tech_proj!R504))</f>
        <v>0</v>
      </c>
      <c r="S1844" s="123">
        <f>IF(tech_base!$T100&gt;S$1745,"",(tech_base!$K100/tech_proj!S224*0.086*$J$132)/(1-tech_proj!S504))</f>
        <v>0</v>
      </c>
      <c r="T1844" s="123">
        <f>IF(tech_base!$T100&gt;T$1745,"",(tech_base!$K100/tech_proj!T224*0.086*$J$132)/(1-tech_proj!T504))</f>
        <v>0</v>
      </c>
      <c r="U1844" s="123">
        <f>IF(tech_base!$T100&gt;U$1745,"",(tech_base!$K100/tech_proj!U224*0.086*$J$132)/(1-tech_proj!U504))</f>
        <v>0</v>
      </c>
      <c r="V1844" s="123">
        <f>IF(tech_base!$T100&gt;V$1745,"",(tech_base!$K100/tech_proj!V224*0.086*$J$132)/(1-tech_proj!V504))</f>
        <v>0</v>
      </c>
      <c r="W1844" s="123">
        <f>IF(tech_base!$T100&gt;W$1745,"",(tech_base!$K100/tech_proj!W224*0.086*$J$132)/(1-tech_proj!W504))</f>
        <v>0</v>
      </c>
      <c r="X1844" s="123">
        <f>IF(tech_base!$T100&gt;X$1745,"",(tech_base!$K100/tech_proj!X224*0.086*$J$132)/(1-tech_proj!X504))</f>
        <v>0</v>
      </c>
      <c r="Y1844" s="123">
        <f>IF(tech_base!$T100&gt;Y$1745,"",(tech_base!$K100/tech_proj!Y224*0.086*$J$132)/(1-tech_proj!Y504))</f>
        <v>0</v>
      </c>
      <c r="Z1844" s="123">
        <f>IF(tech_base!$T100&gt;Z$1745,"",(tech_base!$K100/tech_proj!Z224*0.086*$J$132)/(1-tech_proj!Z504))</f>
        <v>0</v>
      </c>
      <c r="AA1844" s="123">
        <f>IF(tech_base!$T100&gt;AA$1745,"",(tech_base!$K100/tech_proj!AA224*0.086*$J$132)/(1-tech_proj!AA504))</f>
        <v>0</v>
      </c>
      <c r="AB1844" s="123">
        <f>IF(tech_base!$T100&gt;AB$1745,"",(tech_base!$K100/tech_proj!AB224*0.086*$J$132)/(1-tech_proj!AB504))</f>
        <v>0</v>
      </c>
      <c r="AC1844" s="123">
        <f>IF(tech_base!$T100&gt;AC$1745,"",(tech_base!$K100/tech_proj!AC224*0.086*$J$132)/(1-tech_proj!AC504))</f>
        <v>0</v>
      </c>
      <c r="AD1844" s="123">
        <f>IF(tech_base!$T100&gt;AD$1745,"",(tech_base!$K100/tech_proj!AD224*0.086*$J$132)/(1-tech_proj!AD504))</f>
        <v>0</v>
      </c>
      <c r="AE1844" s="123">
        <f>IF(tech_base!$T100&gt;AE$1745,"",(tech_base!$K100/tech_proj!AE224*0.086*$J$132)/(1-tech_proj!AE504))</f>
        <v>0</v>
      </c>
      <c r="AF1844" s="123">
        <f>IF(tech_base!$T100&gt;AF$1745,"",(tech_base!$K100/tech_proj!AF224*0.086*$J$132)/(1-tech_proj!AF504))</f>
        <v>0</v>
      </c>
      <c r="AG1844" s="123">
        <f>IF(tech_base!$T100&gt;AG$1745,"",(tech_base!$K100/tech_proj!AG224*0.086*$J$132)/(1-tech_proj!AG504))</f>
        <v>0</v>
      </c>
      <c r="AH1844" s="123">
        <f>IF(tech_base!$T100&gt;AH$1745,"",(tech_base!$K100/tech_proj!AH224*0.086*$J$132)/(1-tech_proj!AH504))</f>
        <v>0</v>
      </c>
      <c r="AI1844" s="123">
        <f>IF(tech_base!$T100&gt;AI$1745,"",(tech_base!$K100/tech_proj!AI224*0.086*$J$132)/(1-tech_proj!AI504))</f>
        <v>0</v>
      </c>
      <c r="AJ1844" s="123">
        <f>IF(tech_base!$T100&gt;AJ$1745,"",(tech_base!$K100/tech_proj!AJ224*0.086*$J$132)/(1-tech_proj!AJ504))</f>
        <v>0</v>
      </c>
      <c r="AK1844" s="123">
        <f>IF(tech_base!$T100&gt;AK$1745,"",(tech_base!$K100/tech_proj!AK224*0.086*$J$132)/(1-tech_proj!AK504))</f>
        <v>0</v>
      </c>
      <c r="AL1844" s="123">
        <f>IF(tech_base!$T100&gt;AL$1745,"",(tech_base!$K100/tech_proj!AL224*0.086*$J$132)/(1-tech_proj!AL504))</f>
        <v>0</v>
      </c>
      <c r="AM1844" s="123">
        <f>IF(tech_base!$T100&gt;AM$1745,"",(tech_base!$K100/tech_proj!AM224*0.086*$J$132)/(1-tech_proj!AM504))</f>
        <v>0</v>
      </c>
      <c r="AN1844" s="123">
        <f>IF(tech_base!$T100&gt;AN$1745,"",(tech_base!$K100/tech_proj!AN224*0.086*$J$132)/(1-tech_proj!AN504))</f>
        <v>0</v>
      </c>
      <c r="AO1844" s="123">
        <f>IF(tech_base!$T100&gt;AO$1745,"",(tech_base!$K100/tech_proj!AO224*0.086*$J$132)/(1-tech_proj!AO504))</f>
        <v>0</v>
      </c>
      <c r="AP1844" s="123">
        <f>IF(tech_base!$T100&gt;AP$1745,"",(tech_base!$K100/tech_proj!AP224*0.086*$J$132)/(1-tech_proj!AP504))</f>
        <v>0</v>
      </c>
      <c r="AQ1844" s="123">
        <f>IF(tech_base!$T100&gt;AQ$1745,"",(tech_base!$K100/tech_proj!AQ224*0.086*$J$132)/(1-tech_proj!AQ504))</f>
        <v>0</v>
      </c>
      <c r="AR1844" s="123">
        <f>IF(tech_base!$T100&gt;AR$1745,"",(tech_base!$K100/tech_proj!AR224*0.086*$J$132)/(1-tech_proj!AR504))</f>
        <v>0</v>
      </c>
      <c r="AS1844" s="123">
        <f>IF(tech_base!$T100&gt;AS$1745,"",(tech_base!$K100/tech_proj!AS224*0.086*$J$132)/(1-tech_proj!AS504))</f>
        <v>0</v>
      </c>
      <c r="AT1844" s="123">
        <f>IF(tech_base!$T100&gt;AT$1745,"",(tech_base!$K100/tech_proj!AT224*0.086*$J$132)/(1-tech_proj!AT504))</f>
        <v>0</v>
      </c>
      <c r="AU1844" s="123">
        <f>IF(tech_base!$T100&gt;AU$1745,"",(tech_base!$K100/tech_proj!AU224*0.086*$J$132)/(1-tech_proj!AU504))</f>
        <v>0</v>
      </c>
      <c r="AV1844" s="123">
        <f>IF(tech_base!$T100&gt;AV$1745,"",(tech_base!$K100/tech_proj!AV224*0.086*$J$132)/(1-tech_proj!AV504))</f>
        <v>0</v>
      </c>
      <c r="AW1844" s="123">
        <f>IF(tech_base!$T100&gt;AW$1745,"",(tech_base!$K100/tech_proj!AW224*0.086*$J$132)/(1-tech_proj!AW504))</f>
        <v>0</v>
      </c>
      <c r="AX1844" s="124">
        <f>IF(tech_base!$T100&gt;AX$1745,"",(tech_base!$K100/tech_proj!AX224*0.086*$J$132)/(1-tech_proj!AX504))</f>
        <v>0</v>
      </c>
    </row>
    <row r="1845" spans="1:50" x14ac:dyDescent="0.25">
      <c r="A1845" s="356"/>
      <c r="B1845" s="376"/>
      <c r="C1845" s="378"/>
      <c r="D1845" s="2" t="s">
        <v>10</v>
      </c>
      <c r="E1845" s="160" t="str">
        <f>A1829&amp;"/"&amp;B1841&amp;"/"&amp;C1844&amp;"/"&amp;D1845</f>
        <v>Gas fired power plants (Natural gas, biogas)/Gas turbine /CHP/S</v>
      </c>
      <c r="F1845" s="76" t="str">
        <f>A1829</f>
        <v>Gas fired power plants (Natural gas, biogas)</v>
      </c>
      <c r="G1845" s="76" t="str">
        <f>B1841</f>
        <v xml:space="preserve">Gas turbine </v>
      </c>
      <c r="H1845" s="76" t="str">
        <f>C1844</f>
        <v>CHP</v>
      </c>
      <c r="I1845" s="161" t="str">
        <f t="shared" si="383"/>
        <v>S</v>
      </c>
      <c r="J1845" s="119">
        <f>IF(tech_base!$T101&gt;J$1745,"",(tech_base!$K101/tech_proj!J225*0.086*$J$132)/(1-tech_proj!J505))</f>
        <v>0</v>
      </c>
      <c r="K1845" s="119">
        <f>IF(tech_base!$T101&gt;K$1745,"",(tech_base!$K101/tech_proj!K225*0.086*$J$132)/(1-tech_proj!K505))</f>
        <v>0</v>
      </c>
      <c r="L1845" s="119">
        <f>IF(tech_base!$T101&gt;L$1745,"",(tech_base!$K101/tech_proj!L225*0.086*$J$132)/(1-tech_proj!L505))</f>
        <v>0</v>
      </c>
      <c r="M1845" s="119">
        <f>IF(tech_base!$T101&gt;M$1745,"",(tech_base!$K101/tech_proj!M225*0.086*$J$132)/(1-tech_proj!M505))</f>
        <v>0</v>
      </c>
      <c r="N1845" s="119">
        <f>IF(tech_base!$T101&gt;N$1745,"",(tech_base!$K101/tech_proj!N225*0.086*$J$132)/(1-tech_proj!N505))</f>
        <v>0</v>
      </c>
      <c r="O1845" s="119">
        <f>IF(tech_base!$T101&gt;O$1745,"",(tech_base!$K101/tech_proj!O225*0.086*$J$132)/(1-tech_proj!O505))</f>
        <v>0</v>
      </c>
      <c r="P1845" s="119">
        <f>IF(tech_base!$T101&gt;P$1745,"",(tech_base!$K101/tech_proj!P225*0.086*$J$132)/(1-tech_proj!P505))</f>
        <v>0</v>
      </c>
      <c r="Q1845" s="119">
        <f>IF(tech_base!$T101&gt;Q$1745,"",(tech_base!$K101/tech_proj!Q225*0.086*$J$132)/(1-tech_proj!Q505))</f>
        <v>0</v>
      </c>
      <c r="R1845" s="119">
        <f>IF(tech_base!$T101&gt;R$1745,"",(tech_base!$K101/tech_proj!R225*0.086*$J$132)/(1-tech_proj!R505))</f>
        <v>0</v>
      </c>
      <c r="S1845" s="119">
        <f>IF(tech_base!$T101&gt;S$1745,"",(tech_base!$K101/tech_proj!S225*0.086*$J$132)/(1-tech_proj!S505))</f>
        <v>0</v>
      </c>
      <c r="T1845" s="119">
        <f>IF(tech_base!$T101&gt;T$1745,"",(tech_base!$K101/tech_proj!T225*0.086*$J$132)/(1-tech_proj!T505))</f>
        <v>0</v>
      </c>
      <c r="U1845" s="119">
        <f>IF(tech_base!$T101&gt;U$1745,"",(tech_base!$K101/tech_proj!U225*0.086*$J$132)/(1-tech_proj!U505))</f>
        <v>0</v>
      </c>
      <c r="V1845" s="119">
        <f>IF(tech_base!$T101&gt;V$1745,"",(tech_base!$K101/tech_proj!V225*0.086*$J$132)/(1-tech_proj!V505))</f>
        <v>0</v>
      </c>
      <c r="W1845" s="119">
        <f>IF(tech_base!$T101&gt;W$1745,"",(tech_base!$K101/tech_proj!W225*0.086*$J$132)/(1-tech_proj!W505))</f>
        <v>0</v>
      </c>
      <c r="X1845" s="119">
        <f>IF(tech_base!$T101&gt;X$1745,"",(tech_base!$K101/tech_proj!X225*0.086*$J$132)/(1-tech_proj!X505))</f>
        <v>0</v>
      </c>
      <c r="Y1845" s="119">
        <f>IF(tech_base!$T101&gt;Y$1745,"",(tech_base!$K101/tech_proj!Y225*0.086*$J$132)/(1-tech_proj!Y505))</f>
        <v>0</v>
      </c>
      <c r="Z1845" s="119">
        <f>IF(tech_base!$T101&gt;Z$1745,"",(tech_base!$K101/tech_proj!Z225*0.086*$J$132)/(1-tech_proj!Z505))</f>
        <v>0</v>
      </c>
      <c r="AA1845" s="119">
        <f>IF(tech_base!$T101&gt;AA$1745,"",(tech_base!$K101/tech_proj!AA225*0.086*$J$132)/(1-tech_proj!AA505))</f>
        <v>0</v>
      </c>
      <c r="AB1845" s="119">
        <f>IF(tech_base!$T101&gt;AB$1745,"",(tech_base!$K101/tech_proj!AB225*0.086*$J$132)/(1-tech_proj!AB505))</f>
        <v>0</v>
      </c>
      <c r="AC1845" s="119">
        <f>IF(tech_base!$T101&gt;AC$1745,"",(tech_base!$K101/tech_proj!AC225*0.086*$J$132)/(1-tech_proj!AC505))</f>
        <v>0</v>
      </c>
      <c r="AD1845" s="119">
        <f>IF(tech_base!$T101&gt;AD$1745,"",(tech_base!$K101/tech_proj!AD225*0.086*$J$132)/(1-tech_proj!AD505))</f>
        <v>0</v>
      </c>
      <c r="AE1845" s="119">
        <f>IF(tech_base!$T101&gt;AE$1745,"",(tech_base!$K101/tech_proj!AE225*0.086*$J$132)/(1-tech_proj!AE505))</f>
        <v>0</v>
      </c>
      <c r="AF1845" s="119">
        <f>IF(tech_base!$T101&gt;AF$1745,"",(tech_base!$K101/tech_proj!AF225*0.086*$J$132)/(1-tech_proj!AF505))</f>
        <v>0</v>
      </c>
      <c r="AG1845" s="119">
        <f>IF(tech_base!$T101&gt;AG$1745,"",(tech_base!$K101/tech_proj!AG225*0.086*$J$132)/(1-tech_proj!AG505))</f>
        <v>0</v>
      </c>
      <c r="AH1845" s="119">
        <f>IF(tech_base!$T101&gt;AH$1745,"",(tech_base!$K101/tech_proj!AH225*0.086*$J$132)/(1-tech_proj!AH505))</f>
        <v>0</v>
      </c>
      <c r="AI1845" s="119">
        <f>IF(tech_base!$T101&gt;AI$1745,"",(tech_base!$K101/tech_proj!AI225*0.086*$J$132)/(1-tech_proj!AI505))</f>
        <v>0</v>
      </c>
      <c r="AJ1845" s="119">
        <f>IF(tech_base!$T101&gt;AJ$1745,"",(tech_base!$K101/tech_proj!AJ225*0.086*$J$132)/(1-tech_proj!AJ505))</f>
        <v>0</v>
      </c>
      <c r="AK1845" s="119">
        <f>IF(tech_base!$T101&gt;AK$1745,"",(tech_base!$K101/tech_proj!AK225*0.086*$J$132)/(1-tech_proj!AK505))</f>
        <v>0</v>
      </c>
      <c r="AL1845" s="119">
        <f>IF(tech_base!$T101&gt;AL$1745,"",(tech_base!$K101/tech_proj!AL225*0.086*$J$132)/(1-tech_proj!AL505))</f>
        <v>0</v>
      </c>
      <c r="AM1845" s="119">
        <f>IF(tech_base!$T101&gt;AM$1745,"",(tech_base!$K101/tech_proj!AM225*0.086*$J$132)/(1-tech_proj!AM505))</f>
        <v>0</v>
      </c>
      <c r="AN1845" s="119">
        <f>IF(tech_base!$T101&gt;AN$1745,"",(tech_base!$K101/tech_proj!AN225*0.086*$J$132)/(1-tech_proj!AN505))</f>
        <v>0</v>
      </c>
      <c r="AO1845" s="119">
        <f>IF(tech_base!$T101&gt;AO$1745,"",(tech_base!$K101/tech_proj!AO225*0.086*$J$132)/(1-tech_proj!AO505))</f>
        <v>0</v>
      </c>
      <c r="AP1845" s="119">
        <f>IF(tech_base!$T101&gt;AP$1745,"",(tech_base!$K101/tech_proj!AP225*0.086*$J$132)/(1-tech_proj!AP505))</f>
        <v>0</v>
      </c>
      <c r="AQ1845" s="119">
        <f>IF(tech_base!$T101&gt;AQ$1745,"",(tech_base!$K101/tech_proj!AQ225*0.086*$J$132)/(1-tech_proj!AQ505))</f>
        <v>0</v>
      </c>
      <c r="AR1845" s="119">
        <f>IF(tech_base!$T101&gt;AR$1745,"",(tech_base!$K101/tech_proj!AR225*0.086*$J$132)/(1-tech_proj!AR505))</f>
        <v>0</v>
      </c>
      <c r="AS1845" s="119">
        <f>IF(tech_base!$T101&gt;AS$1745,"",(tech_base!$K101/tech_proj!AS225*0.086*$J$132)/(1-tech_proj!AS505))</f>
        <v>0</v>
      </c>
      <c r="AT1845" s="119">
        <f>IF(tech_base!$T101&gt;AT$1745,"",(tech_base!$K101/tech_proj!AT225*0.086*$J$132)/(1-tech_proj!AT505))</f>
        <v>0</v>
      </c>
      <c r="AU1845" s="119">
        <f>IF(tech_base!$T101&gt;AU$1745,"",(tech_base!$K101/tech_proj!AU225*0.086*$J$132)/(1-tech_proj!AU505))</f>
        <v>0</v>
      </c>
      <c r="AV1845" s="119">
        <f>IF(tech_base!$T101&gt;AV$1745,"",(tech_base!$K101/tech_proj!AV225*0.086*$J$132)/(1-tech_proj!AV505))</f>
        <v>0</v>
      </c>
      <c r="AW1845" s="119">
        <f>IF(tech_base!$T101&gt;AW$1745,"",(tech_base!$K101/tech_proj!AW225*0.086*$J$132)/(1-tech_proj!AW505))</f>
        <v>0</v>
      </c>
      <c r="AX1845" s="120">
        <f>IF(tech_base!$T101&gt;AX$1745,"",(tech_base!$K101/tech_proj!AX225*0.086*$J$132)/(1-tech_proj!AX505))</f>
        <v>0</v>
      </c>
    </row>
    <row r="1846" spans="1:50" x14ac:dyDescent="0.25">
      <c r="A1846" s="356"/>
      <c r="B1846" s="380"/>
      <c r="C1846" s="381"/>
      <c r="D1846" s="4" t="s">
        <v>20</v>
      </c>
      <c r="E1846" s="168" t="str">
        <f>A1829&amp;"/"&amp;B1841&amp;"/"&amp;C1844&amp;"/"&amp;D1846</f>
        <v>Gas fired power plants (Natural gas, biogas)/Gas turbine /CHP/XS</v>
      </c>
      <c r="F1846" s="80" t="str">
        <f>A1829</f>
        <v>Gas fired power plants (Natural gas, biogas)</v>
      </c>
      <c r="G1846" s="80" t="str">
        <f>B1841</f>
        <v xml:space="preserve">Gas turbine </v>
      </c>
      <c r="H1846" s="80" t="str">
        <f>C1844</f>
        <v>CHP</v>
      </c>
      <c r="I1846" s="169" t="str">
        <f t="shared" si="383"/>
        <v>XS</v>
      </c>
      <c r="J1846" s="127">
        <f>IF(tech_base!$T102&gt;J$1745,"",(tech_base!$K102/tech_proj!J226*0.086*$J$132)/(1-tech_proj!J506))</f>
        <v>0</v>
      </c>
      <c r="K1846" s="127">
        <f>IF(tech_base!$T102&gt;K$1745,"",(tech_base!$K102/tech_proj!K226*0.086*$J$132)/(1-tech_proj!K506))</f>
        <v>0</v>
      </c>
      <c r="L1846" s="127">
        <f>IF(tech_base!$T102&gt;L$1745,"",(tech_base!$K102/tech_proj!L226*0.086*$J$132)/(1-tech_proj!L506))</f>
        <v>0</v>
      </c>
      <c r="M1846" s="127">
        <f>IF(tech_base!$T102&gt;M$1745,"",(tech_base!$K102/tech_proj!M226*0.086*$J$132)/(1-tech_proj!M506))</f>
        <v>0</v>
      </c>
      <c r="N1846" s="127">
        <f>IF(tech_base!$T102&gt;N$1745,"",(tech_base!$K102/tech_proj!N226*0.086*$J$132)/(1-tech_proj!N506))</f>
        <v>0</v>
      </c>
      <c r="O1846" s="127">
        <f>IF(tech_base!$T102&gt;O$1745,"",(tech_base!$K102/tech_proj!O226*0.086*$J$132)/(1-tech_proj!O506))</f>
        <v>0</v>
      </c>
      <c r="P1846" s="127">
        <f>IF(tech_base!$T102&gt;P$1745,"",(tech_base!$K102/tech_proj!P226*0.086*$J$132)/(1-tech_proj!P506))</f>
        <v>0</v>
      </c>
      <c r="Q1846" s="127">
        <f>IF(tech_base!$T102&gt;Q$1745,"",(tech_base!$K102/tech_proj!Q226*0.086*$J$132)/(1-tech_proj!Q506))</f>
        <v>0</v>
      </c>
      <c r="R1846" s="127">
        <f>IF(tech_base!$T102&gt;R$1745,"",(tech_base!$K102/tech_proj!R226*0.086*$J$132)/(1-tech_proj!R506))</f>
        <v>0</v>
      </c>
      <c r="S1846" s="127">
        <f>IF(tech_base!$T102&gt;S$1745,"",(tech_base!$K102/tech_proj!S226*0.086*$J$132)/(1-tech_proj!S506))</f>
        <v>0</v>
      </c>
      <c r="T1846" s="127">
        <f>IF(tech_base!$T102&gt;T$1745,"",(tech_base!$K102/tech_proj!T226*0.086*$J$132)/(1-tech_proj!T506))</f>
        <v>0</v>
      </c>
      <c r="U1846" s="127">
        <f>IF(tech_base!$T102&gt;U$1745,"",(tech_base!$K102/tech_proj!U226*0.086*$J$132)/(1-tech_proj!U506))</f>
        <v>0</v>
      </c>
      <c r="V1846" s="127">
        <f>IF(tech_base!$T102&gt;V$1745,"",(tech_base!$K102/tech_proj!V226*0.086*$J$132)/(1-tech_proj!V506))</f>
        <v>0</v>
      </c>
      <c r="W1846" s="127">
        <f>IF(tech_base!$T102&gt;W$1745,"",(tech_base!$K102/tech_proj!W226*0.086*$J$132)/(1-tech_proj!W506))</f>
        <v>0</v>
      </c>
      <c r="X1846" s="127">
        <f>IF(tech_base!$T102&gt;X$1745,"",(tech_base!$K102/tech_proj!X226*0.086*$J$132)/(1-tech_proj!X506))</f>
        <v>0</v>
      </c>
      <c r="Y1846" s="127">
        <f>IF(tech_base!$T102&gt;Y$1745,"",(tech_base!$K102/tech_proj!Y226*0.086*$J$132)/(1-tech_proj!Y506))</f>
        <v>0</v>
      </c>
      <c r="Z1846" s="127">
        <f>IF(tech_base!$T102&gt;Z$1745,"",(tech_base!$K102/tech_proj!Z226*0.086*$J$132)/(1-tech_proj!Z506))</f>
        <v>0</v>
      </c>
      <c r="AA1846" s="127">
        <f>IF(tech_base!$T102&gt;AA$1745,"",(tech_base!$K102/tech_proj!AA226*0.086*$J$132)/(1-tech_proj!AA506))</f>
        <v>0</v>
      </c>
      <c r="AB1846" s="127">
        <f>IF(tech_base!$T102&gt;AB$1745,"",(tech_base!$K102/tech_proj!AB226*0.086*$J$132)/(1-tech_proj!AB506))</f>
        <v>0</v>
      </c>
      <c r="AC1846" s="127">
        <f>IF(tech_base!$T102&gt;AC$1745,"",(tech_base!$K102/tech_proj!AC226*0.086*$J$132)/(1-tech_proj!AC506))</f>
        <v>0</v>
      </c>
      <c r="AD1846" s="127">
        <f>IF(tech_base!$T102&gt;AD$1745,"",(tech_base!$K102/tech_proj!AD226*0.086*$J$132)/(1-tech_proj!AD506))</f>
        <v>0</v>
      </c>
      <c r="AE1846" s="127">
        <f>IF(tech_base!$T102&gt;AE$1745,"",(tech_base!$K102/tech_proj!AE226*0.086*$J$132)/(1-tech_proj!AE506))</f>
        <v>0</v>
      </c>
      <c r="AF1846" s="127">
        <f>IF(tech_base!$T102&gt;AF$1745,"",(tech_base!$K102/tech_proj!AF226*0.086*$J$132)/(1-tech_proj!AF506))</f>
        <v>0</v>
      </c>
      <c r="AG1846" s="127">
        <f>IF(tech_base!$T102&gt;AG$1745,"",(tech_base!$K102/tech_proj!AG226*0.086*$J$132)/(1-tech_proj!AG506))</f>
        <v>0</v>
      </c>
      <c r="AH1846" s="127">
        <f>IF(tech_base!$T102&gt;AH$1745,"",(tech_base!$K102/tech_proj!AH226*0.086*$J$132)/(1-tech_proj!AH506))</f>
        <v>0</v>
      </c>
      <c r="AI1846" s="127">
        <f>IF(tech_base!$T102&gt;AI$1745,"",(tech_base!$K102/tech_proj!AI226*0.086*$J$132)/(1-tech_proj!AI506))</f>
        <v>0</v>
      </c>
      <c r="AJ1846" s="127">
        <f>IF(tech_base!$T102&gt;AJ$1745,"",(tech_base!$K102/tech_proj!AJ226*0.086*$J$132)/(1-tech_proj!AJ506))</f>
        <v>0</v>
      </c>
      <c r="AK1846" s="127">
        <f>IF(tech_base!$T102&gt;AK$1745,"",(tech_base!$K102/tech_proj!AK226*0.086*$J$132)/(1-tech_proj!AK506))</f>
        <v>0</v>
      </c>
      <c r="AL1846" s="127">
        <f>IF(tech_base!$T102&gt;AL$1745,"",(tech_base!$K102/tech_proj!AL226*0.086*$J$132)/(1-tech_proj!AL506))</f>
        <v>0</v>
      </c>
      <c r="AM1846" s="127">
        <f>IF(tech_base!$T102&gt;AM$1745,"",(tech_base!$K102/tech_proj!AM226*0.086*$J$132)/(1-tech_proj!AM506))</f>
        <v>0</v>
      </c>
      <c r="AN1846" s="127">
        <f>IF(tech_base!$T102&gt;AN$1745,"",(tech_base!$K102/tech_proj!AN226*0.086*$J$132)/(1-tech_proj!AN506))</f>
        <v>0</v>
      </c>
      <c r="AO1846" s="127">
        <f>IF(tech_base!$T102&gt;AO$1745,"",(tech_base!$K102/tech_proj!AO226*0.086*$J$132)/(1-tech_proj!AO506))</f>
        <v>0</v>
      </c>
      <c r="AP1846" s="127">
        <f>IF(tech_base!$T102&gt;AP$1745,"",(tech_base!$K102/tech_proj!AP226*0.086*$J$132)/(1-tech_proj!AP506))</f>
        <v>0</v>
      </c>
      <c r="AQ1846" s="127">
        <f>IF(tech_base!$T102&gt;AQ$1745,"",(tech_base!$K102/tech_proj!AQ226*0.086*$J$132)/(1-tech_proj!AQ506))</f>
        <v>0</v>
      </c>
      <c r="AR1846" s="127">
        <f>IF(tech_base!$T102&gt;AR$1745,"",(tech_base!$K102/tech_proj!AR226*0.086*$J$132)/(1-tech_proj!AR506))</f>
        <v>0</v>
      </c>
      <c r="AS1846" s="127">
        <f>IF(tech_base!$T102&gt;AS$1745,"",(tech_base!$K102/tech_proj!AS226*0.086*$J$132)/(1-tech_proj!AS506))</f>
        <v>0</v>
      </c>
      <c r="AT1846" s="127">
        <f>IF(tech_base!$T102&gt;AT$1745,"",(tech_base!$K102/tech_proj!AT226*0.086*$J$132)/(1-tech_proj!AT506))</f>
        <v>0</v>
      </c>
      <c r="AU1846" s="127">
        <f>IF(tech_base!$T102&gt;AU$1745,"",(tech_base!$K102/tech_proj!AU226*0.086*$J$132)/(1-tech_proj!AU506))</f>
        <v>0</v>
      </c>
      <c r="AV1846" s="127">
        <f>IF(tech_base!$T102&gt;AV$1745,"",(tech_base!$K102/tech_proj!AV226*0.086*$J$132)/(1-tech_proj!AV506))</f>
        <v>0</v>
      </c>
      <c r="AW1846" s="127">
        <f>IF(tech_base!$T102&gt;AW$1745,"",(tech_base!$K102/tech_proj!AW226*0.086*$J$132)/(1-tech_proj!AW506))</f>
        <v>0</v>
      </c>
      <c r="AX1846" s="128">
        <f>IF(tech_base!$T102&gt;AX$1745,"",(tech_base!$K102/tech_proj!AX226*0.086*$J$132)/(1-tech_proj!AX506))</f>
        <v>0</v>
      </c>
    </row>
    <row r="1847" spans="1:50" x14ac:dyDescent="0.25">
      <c r="A1847" s="356"/>
      <c r="B1847" s="358" t="s">
        <v>19</v>
      </c>
      <c r="C1847" s="353" t="s">
        <v>6</v>
      </c>
      <c r="D1847" s="3" t="s">
        <v>7</v>
      </c>
      <c r="E1847" s="162" t="str">
        <f>A1829&amp;"/"&amp;B1847&amp;"/"&amp;C1847&amp;"/"&amp;D1847</f>
        <v>Gas fired power plants (Natural gas, biogas)/Steam turbine/Electricity only/L</v>
      </c>
      <c r="F1847" s="77" t="str">
        <f>A1829</f>
        <v>Gas fired power plants (Natural gas, biogas)</v>
      </c>
      <c r="G1847" s="77" t="str">
        <f>B1847</f>
        <v>Steam turbine</v>
      </c>
      <c r="H1847" s="77" t="str">
        <f>C1847</f>
        <v>Electricity only</v>
      </c>
      <c r="I1847" s="163" t="str">
        <f t="shared" si="383"/>
        <v>L</v>
      </c>
      <c r="J1847" s="121">
        <f>IF(tech_base!$T103&gt;J$1745,"",(tech_base!$K103/tech_proj!J227*0.086*$J$132)/(1-tech_proj!J507))</f>
        <v>0</v>
      </c>
      <c r="K1847" s="121">
        <f>IF(tech_base!$T103&gt;K$1745,"",(tech_base!$K103/tech_proj!K227*0.086*$J$132)/(1-tech_proj!K507))</f>
        <v>0</v>
      </c>
      <c r="L1847" s="121">
        <f>IF(tech_base!$T103&gt;L$1745,"",(tech_base!$K103/tech_proj!L227*0.086*$J$132)/(1-tech_proj!L507))</f>
        <v>0</v>
      </c>
      <c r="M1847" s="121">
        <f>IF(tech_base!$T103&gt;M$1745,"",(tech_base!$K103/tech_proj!M227*0.086*$J$132)/(1-tech_proj!M507))</f>
        <v>0</v>
      </c>
      <c r="N1847" s="121">
        <f>IF(tech_base!$T103&gt;N$1745,"",(tech_base!$K103/tech_proj!N227*0.086*$J$132)/(1-tech_proj!N507))</f>
        <v>0</v>
      </c>
      <c r="O1847" s="121">
        <f>IF(tech_base!$T103&gt;O$1745,"",(tech_base!$K103/tech_proj!O227*0.086*$J$132)/(1-tech_proj!O507))</f>
        <v>0</v>
      </c>
      <c r="P1847" s="121">
        <f>IF(tech_base!$T103&gt;P$1745,"",(tech_base!$K103/tech_proj!P227*0.086*$J$132)/(1-tech_proj!P507))</f>
        <v>0</v>
      </c>
      <c r="Q1847" s="121">
        <f>IF(tech_base!$T103&gt;Q$1745,"",(tech_base!$K103/tech_proj!Q227*0.086*$J$132)/(1-tech_proj!Q507))</f>
        <v>0</v>
      </c>
      <c r="R1847" s="121">
        <f>IF(tech_base!$T103&gt;R$1745,"",(tech_base!$K103/tech_proj!R227*0.086*$J$132)/(1-tech_proj!R507))</f>
        <v>0</v>
      </c>
      <c r="S1847" s="121">
        <f>IF(tech_base!$T103&gt;S$1745,"",(tech_base!$K103/tech_proj!S227*0.086*$J$132)/(1-tech_proj!S507))</f>
        <v>0</v>
      </c>
      <c r="T1847" s="121">
        <f>IF(tech_base!$T103&gt;T$1745,"",(tech_base!$K103/tech_proj!T227*0.086*$J$132)/(1-tech_proj!T507))</f>
        <v>0</v>
      </c>
      <c r="U1847" s="121">
        <f>IF(tech_base!$T103&gt;U$1745,"",(tech_base!$K103/tech_proj!U227*0.086*$J$132)/(1-tech_proj!U507))</f>
        <v>0</v>
      </c>
      <c r="V1847" s="121">
        <f>IF(tech_base!$T103&gt;V$1745,"",(tech_base!$K103/tech_proj!V227*0.086*$J$132)/(1-tech_proj!V507))</f>
        <v>0</v>
      </c>
      <c r="W1847" s="121">
        <f>IF(tech_base!$T103&gt;W$1745,"",(tech_base!$K103/tech_proj!W227*0.086*$J$132)/(1-tech_proj!W507))</f>
        <v>0</v>
      </c>
      <c r="X1847" s="121">
        <f>IF(tech_base!$T103&gt;X$1745,"",(tech_base!$K103/tech_proj!X227*0.086*$J$132)/(1-tech_proj!X507))</f>
        <v>0</v>
      </c>
      <c r="Y1847" s="121">
        <f>IF(tech_base!$T103&gt;Y$1745,"",(tech_base!$K103/tech_proj!Y227*0.086*$J$132)/(1-tech_proj!Y507))</f>
        <v>0</v>
      </c>
      <c r="Z1847" s="121">
        <f>IF(tech_base!$T103&gt;Z$1745,"",(tech_base!$K103/tech_proj!Z227*0.086*$J$132)/(1-tech_proj!Z507))</f>
        <v>0</v>
      </c>
      <c r="AA1847" s="121">
        <f>IF(tech_base!$T103&gt;AA$1745,"",(tech_base!$K103/tech_proj!AA227*0.086*$J$132)/(1-tech_proj!AA507))</f>
        <v>0</v>
      </c>
      <c r="AB1847" s="121">
        <f>IF(tech_base!$T103&gt;AB$1745,"",(tech_base!$K103/tech_proj!AB227*0.086*$J$132)/(1-tech_proj!AB507))</f>
        <v>0</v>
      </c>
      <c r="AC1847" s="121">
        <f>IF(tech_base!$T103&gt;AC$1745,"",(tech_base!$K103/tech_proj!AC227*0.086*$J$132)/(1-tech_proj!AC507))</f>
        <v>0</v>
      </c>
      <c r="AD1847" s="121">
        <f>IF(tech_base!$T103&gt;AD$1745,"",(tech_base!$K103/tech_proj!AD227*0.086*$J$132)/(1-tech_proj!AD507))</f>
        <v>0</v>
      </c>
      <c r="AE1847" s="121">
        <f>IF(tech_base!$T103&gt;AE$1745,"",(tech_base!$K103/tech_proj!AE227*0.086*$J$132)/(1-tech_proj!AE507))</f>
        <v>0</v>
      </c>
      <c r="AF1847" s="121">
        <f>IF(tech_base!$T103&gt;AF$1745,"",(tech_base!$K103/tech_proj!AF227*0.086*$J$132)/(1-tech_proj!AF507))</f>
        <v>0</v>
      </c>
      <c r="AG1847" s="121">
        <f>IF(tech_base!$T103&gt;AG$1745,"",(tech_base!$K103/tech_proj!AG227*0.086*$J$132)/(1-tech_proj!AG507))</f>
        <v>0</v>
      </c>
      <c r="AH1847" s="121">
        <f>IF(tech_base!$T103&gt;AH$1745,"",(tech_base!$K103/tech_proj!AH227*0.086*$J$132)/(1-tech_proj!AH507))</f>
        <v>0</v>
      </c>
      <c r="AI1847" s="121">
        <f>IF(tech_base!$T103&gt;AI$1745,"",(tech_base!$K103/tech_proj!AI227*0.086*$J$132)/(1-tech_proj!AI507))</f>
        <v>0</v>
      </c>
      <c r="AJ1847" s="121">
        <f>IF(tech_base!$T103&gt;AJ$1745,"",(tech_base!$K103/tech_proj!AJ227*0.086*$J$132)/(1-tech_proj!AJ507))</f>
        <v>0</v>
      </c>
      <c r="AK1847" s="121">
        <f>IF(tech_base!$T103&gt;AK$1745,"",(tech_base!$K103/tech_proj!AK227*0.086*$J$132)/(1-tech_proj!AK507))</f>
        <v>0</v>
      </c>
      <c r="AL1847" s="121">
        <f>IF(tech_base!$T103&gt;AL$1745,"",(tech_base!$K103/tech_proj!AL227*0.086*$J$132)/(1-tech_proj!AL507))</f>
        <v>0</v>
      </c>
      <c r="AM1847" s="121">
        <f>IF(tech_base!$T103&gt;AM$1745,"",(tech_base!$K103/tech_proj!AM227*0.086*$J$132)/(1-tech_proj!AM507))</f>
        <v>0</v>
      </c>
      <c r="AN1847" s="121">
        <f>IF(tech_base!$T103&gt;AN$1745,"",(tech_base!$K103/tech_proj!AN227*0.086*$J$132)/(1-tech_proj!AN507))</f>
        <v>0</v>
      </c>
      <c r="AO1847" s="121">
        <f>IF(tech_base!$T103&gt;AO$1745,"",(tech_base!$K103/tech_proj!AO227*0.086*$J$132)/(1-tech_proj!AO507))</f>
        <v>0</v>
      </c>
      <c r="AP1847" s="121">
        <f>IF(tech_base!$T103&gt;AP$1745,"",(tech_base!$K103/tech_proj!AP227*0.086*$J$132)/(1-tech_proj!AP507))</f>
        <v>0</v>
      </c>
      <c r="AQ1847" s="121">
        <f>IF(tech_base!$T103&gt;AQ$1745,"",(tech_base!$K103/tech_proj!AQ227*0.086*$J$132)/(1-tech_proj!AQ507))</f>
        <v>0</v>
      </c>
      <c r="AR1847" s="121">
        <f>IF(tech_base!$T103&gt;AR$1745,"",(tech_base!$K103/tech_proj!AR227*0.086*$J$132)/(1-tech_proj!AR507))</f>
        <v>0</v>
      </c>
      <c r="AS1847" s="121">
        <f>IF(tech_base!$T103&gt;AS$1745,"",(tech_base!$K103/tech_proj!AS227*0.086*$J$132)/(1-tech_proj!AS507))</f>
        <v>0</v>
      </c>
      <c r="AT1847" s="121">
        <f>IF(tech_base!$T103&gt;AT$1745,"",(tech_base!$K103/tech_proj!AT227*0.086*$J$132)/(1-tech_proj!AT507))</f>
        <v>0</v>
      </c>
      <c r="AU1847" s="121">
        <f>IF(tech_base!$T103&gt;AU$1745,"",(tech_base!$K103/tech_proj!AU227*0.086*$J$132)/(1-tech_proj!AU507))</f>
        <v>0</v>
      </c>
      <c r="AV1847" s="121">
        <f>IF(tech_base!$T103&gt;AV$1745,"",(tech_base!$K103/tech_proj!AV227*0.086*$J$132)/(1-tech_proj!AV507))</f>
        <v>0</v>
      </c>
      <c r="AW1847" s="121">
        <f>IF(tech_base!$T103&gt;AW$1745,"",(tech_base!$K103/tech_proj!AW227*0.086*$J$132)/(1-tech_proj!AW507))</f>
        <v>0</v>
      </c>
      <c r="AX1847" s="122">
        <f>IF(tech_base!$T103&gt;AX$1745,"",(tech_base!$K103/tech_proj!AX227*0.086*$J$132)/(1-tech_proj!AX507))</f>
        <v>0</v>
      </c>
    </row>
    <row r="1848" spans="1:50" x14ac:dyDescent="0.25">
      <c r="A1848" s="356"/>
      <c r="B1848" s="376"/>
      <c r="C1848" s="378"/>
      <c r="D1848" s="2" t="s">
        <v>8</v>
      </c>
      <c r="E1848" s="160" t="str">
        <f>A1829&amp;"/"&amp;B1847&amp;"/"&amp;C1847&amp;"/"&amp;D1848</f>
        <v>Gas fired power plants (Natural gas, biogas)/Steam turbine/Electricity only/M</v>
      </c>
      <c r="F1848" s="76" t="str">
        <f>A1829</f>
        <v>Gas fired power plants (Natural gas, biogas)</v>
      </c>
      <c r="G1848" s="76" t="str">
        <f>B1847</f>
        <v>Steam turbine</v>
      </c>
      <c r="H1848" s="76" t="str">
        <f>C1847</f>
        <v>Electricity only</v>
      </c>
      <c r="I1848" s="161" t="str">
        <f t="shared" si="383"/>
        <v>M</v>
      </c>
      <c r="J1848" s="119">
        <f>IF(tech_base!$T104&gt;J$1745,"",(tech_base!$K104/tech_proj!J228*0.086*$J$132)/(1-tech_proj!J508))</f>
        <v>0</v>
      </c>
      <c r="K1848" s="119">
        <f>IF(tech_base!$T104&gt;K$1745,"",(tech_base!$K104/tech_proj!K228*0.086*$J$132)/(1-tech_proj!K508))</f>
        <v>0</v>
      </c>
      <c r="L1848" s="119">
        <f>IF(tech_base!$T104&gt;L$1745,"",(tech_base!$K104/tech_proj!L228*0.086*$J$132)/(1-tech_proj!L508))</f>
        <v>0</v>
      </c>
      <c r="M1848" s="119">
        <f>IF(tech_base!$T104&gt;M$1745,"",(tech_base!$K104/tech_proj!M228*0.086*$J$132)/(1-tech_proj!M508))</f>
        <v>0</v>
      </c>
      <c r="N1848" s="119">
        <f>IF(tech_base!$T104&gt;N$1745,"",(tech_base!$K104/tech_proj!N228*0.086*$J$132)/(1-tech_proj!N508))</f>
        <v>0</v>
      </c>
      <c r="O1848" s="119">
        <f>IF(tech_base!$T104&gt;O$1745,"",(tech_base!$K104/tech_proj!O228*0.086*$J$132)/(1-tech_proj!O508))</f>
        <v>0</v>
      </c>
      <c r="P1848" s="119">
        <f>IF(tech_base!$T104&gt;P$1745,"",(tech_base!$K104/tech_proj!P228*0.086*$J$132)/(1-tech_proj!P508))</f>
        <v>0</v>
      </c>
      <c r="Q1848" s="119">
        <f>IF(tech_base!$T104&gt;Q$1745,"",(tech_base!$K104/tech_proj!Q228*0.086*$J$132)/(1-tech_proj!Q508))</f>
        <v>0</v>
      </c>
      <c r="R1848" s="119">
        <f>IF(tech_base!$T104&gt;R$1745,"",(tech_base!$K104/tech_proj!R228*0.086*$J$132)/(1-tech_proj!R508))</f>
        <v>0</v>
      </c>
      <c r="S1848" s="119">
        <f>IF(tech_base!$T104&gt;S$1745,"",(tech_base!$K104/tech_proj!S228*0.086*$J$132)/(1-tech_proj!S508))</f>
        <v>0</v>
      </c>
      <c r="T1848" s="119">
        <f>IF(tech_base!$T104&gt;T$1745,"",(tech_base!$K104/tech_proj!T228*0.086*$J$132)/(1-tech_proj!T508))</f>
        <v>0</v>
      </c>
      <c r="U1848" s="119">
        <f>IF(tech_base!$T104&gt;U$1745,"",(tech_base!$K104/tech_proj!U228*0.086*$J$132)/(1-tech_proj!U508))</f>
        <v>0</v>
      </c>
      <c r="V1848" s="119">
        <f>IF(tech_base!$T104&gt;V$1745,"",(tech_base!$K104/tech_proj!V228*0.086*$J$132)/(1-tech_proj!V508))</f>
        <v>0</v>
      </c>
      <c r="W1848" s="119">
        <f>IF(tech_base!$T104&gt;W$1745,"",(tech_base!$K104/tech_proj!W228*0.086*$J$132)/(1-tech_proj!W508))</f>
        <v>0</v>
      </c>
      <c r="X1848" s="119">
        <f>IF(tech_base!$T104&gt;X$1745,"",(tech_base!$K104/tech_proj!X228*0.086*$J$132)/(1-tech_proj!X508))</f>
        <v>0</v>
      </c>
      <c r="Y1848" s="119">
        <f>IF(tech_base!$T104&gt;Y$1745,"",(tech_base!$K104/tech_proj!Y228*0.086*$J$132)/(1-tech_proj!Y508))</f>
        <v>0</v>
      </c>
      <c r="Z1848" s="119">
        <f>IF(tech_base!$T104&gt;Z$1745,"",(tech_base!$K104/tech_proj!Z228*0.086*$J$132)/(1-tech_proj!Z508))</f>
        <v>0</v>
      </c>
      <c r="AA1848" s="119">
        <f>IF(tech_base!$T104&gt;AA$1745,"",(tech_base!$K104/tech_proj!AA228*0.086*$J$132)/(1-tech_proj!AA508))</f>
        <v>0</v>
      </c>
      <c r="AB1848" s="119">
        <f>IF(tech_base!$T104&gt;AB$1745,"",(tech_base!$K104/tech_proj!AB228*0.086*$J$132)/(1-tech_proj!AB508))</f>
        <v>0</v>
      </c>
      <c r="AC1848" s="119">
        <f>IF(tech_base!$T104&gt;AC$1745,"",(tech_base!$K104/tech_proj!AC228*0.086*$J$132)/(1-tech_proj!AC508))</f>
        <v>0</v>
      </c>
      <c r="AD1848" s="119">
        <f>IF(tech_base!$T104&gt;AD$1745,"",(tech_base!$K104/tech_proj!AD228*0.086*$J$132)/(1-tech_proj!AD508))</f>
        <v>0</v>
      </c>
      <c r="AE1848" s="119">
        <f>IF(tech_base!$T104&gt;AE$1745,"",(tech_base!$K104/tech_proj!AE228*0.086*$J$132)/(1-tech_proj!AE508))</f>
        <v>0</v>
      </c>
      <c r="AF1848" s="119">
        <f>IF(tech_base!$T104&gt;AF$1745,"",(tech_base!$K104/tech_proj!AF228*0.086*$J$132)/(1-tech_proj!AF508))</f>
        <v>0</v>
      </c>
      <c r="AG1848" s="119">
        <f>IF(tech_base!$T104&gt;AG$1745,"",(tech_base!$K104/tech_proj!AG228*0.086*$J$132)/(1-tech_proj!AG508))</f>
        <v>0</v>
      </c>
      <c r="AH1848" s="119">
        <f>IF(tech_base!$T104&gt;AH$1745,"",(tech_base!$K104/tech_proj!AH228*0.086*$J$132)/(1-tech_proj!AH508))</f>
        <v>0</v>
      </c>
      <c r="AI1848" s="119">
        <f>IF(tech_base!$T104&gt;AI$1745,"",(tech_base!$K104/tech_proj!AI228*0.086*$J$132)/(1-tech_proj!AI508))</f>
        <v>0</v>
      </c>
      <c r="AJ1848" s="119">
        <f>IF(tech_base!$T104&gt;AJ$1745,"",(tech_base!$K104/tech_proj!AJ228*0.086*$J$132)/(1-tech_proj!AJ508))</f>
        <v>0</v>
      </c>
      <c r="AK1848" s="119">
        <f>IF(tech_base!$T104&gt;AK$1745,"",(tech_base!$K104/tech_proj!AK228*0.086*$J$132)/(1-tech_proj!AK508))</f>
        <v>0</v>
      </c>
      <c r="AL1848" s="119">
        <f>IF(tech_base!$T104&gt;AL$1745,"",(tech_base!$K104/tech_proj!AL228*0.086*$J$132)/(1-tech_proj!AL508))</f>
        <v>0</v>
      </c>
      <c r="AM1848" s="119">
        <f>IF(tech_base!$T104&gt;AM$1745,"",(tech_base!$K104/tech_proj!AM228*0.086*$J$132)/(1-tech_proj!AM508))</f>
        <v>0</v>
      </c>
      <c r="AN1848" s="119">
        <f>IF(tech_base!$T104&gt;AN$1745,"",(tech_base!$K104/tech_proj!AN228*0.086*$J$132)/(1-tech_proj!AN508))</f>
        <v>0</v>
      </c>
      <c r="AO1848" s="119">
        <f>IF(tech_base!$T104&gt;AO$1745,"",(tech_base!$K104/tech_proj!AO228*0.086*$J$132)/(1-tech_proj!AO508))</f>
        <v>0</v>
      </c>
      <c r="AP1848" s="119">
        <f>IF(tech_base!$T104&gt;AP$1745,"",(tech_base!$K104/tech_proj!AP228*0.086*$J$132)/(1-tech_proj!AP508))</f>
        <v>0</v>
      </c>
      <c r="AQ1848" s="119">
        <f>IF(tech_base!$T104&gt;AQ$1745,"",(tech_base!$K104/tech_proj!AQ228*0.086*$J$132)/(1-tech_proj!AQ508))</f>
        <v>0</v>
      </c>
      <c r="AR1848" s="119">
        <f>IF(tech_base!$T104&gt;AR$1745,"",(tech_base!$K104/tech_proj!AR228*0.086*$J$132)/(1-tech_proj!AR508))</f>
        <v>0</v>
      </c>
      <c r="AS1848" s="119">
        <f>IF(tech_base!$T104&gt;AS$1745,"",(tech_base!$K104/tech_proj!AS228*0.086*$J$132)/(1-tech_proj!AS508))</f>
        <v>0</v>
      </c>
      <c r="AT1848" s="119">
        <f>IF(tech_base!$T104&gt;AT$1745,"",(tech_base!$K104/tech_proj!AT228*0.086*$J$132)/(1-tech_proj!AT508))</f>
        <v>0</v>
      </c>
      <c r="AU1848" s="119">
        <f>IF(tech_base!$T104&gt;AU$1745,"",(tech_base!$K104/tech_proj!AU228*0.086*$J$132)/(1-tech_proj!AU508))</f>
        <v>0</v>
      </c>
      <c r="AV1848" s="119">
        <f>IF(tech_base!$T104&gt;AV$1745,"",(tech_base!$K104/tech_proj!AV228*0.086*$J$132)/(1-tech_proj!AV508))</f>
        <v>0</v>
      </c>
      <c r="AW1848" s="119">
        <f>IF(tech_base!$T104&gt;AW$1745,"",(tech_base!$K104/tech_proj!AW228*0.086*$J$132)/(1-tech_proj!AW508))</f>
        <v>0</v>
      </c>
      <c r="AX1848" s="120">
        <f>IF(tech_base!$T104&gt;AX$1745,"",(tech_base!$K104/tech_proj!AX228*0.086*$J$132)/(1-tech_proj!AX508))</f>
        <v>0</v>
      </c>
    </row>
    <row r="1849" spans="1:50" x14ac:dyDescent="0.25">
      <c r="A1849" s="356"/>
      <c r="B1849" s="376"/>
      <c r="C1849" s="378"/>
      <c r="D1849" s="2" t="s">
        <v>10</v>
      </c>
      <c r="E1849" s="160" t="str">
        <f>A1829&amp;"/"&amp;B1847&amp;"/"&amp;C1847&amp;"/"&amp;D1849</f>
        <v>Gas fired power plants (Natural gas, biogas)/Steam turbine/Electricity only/S</v>
      </c>
      <c r="F1849" s="76" t="str">
        <f>A1829</f>
        <v>Gas fired power plants (Natural gas, biogas)</v>
      </c>
      <c r="G1849" s="76" t="str">
        <f>B1847</f>
        <v>Steam turbine</v>
      </c>
      <c r="H1849" s="76" t="str">
        <f>C1847</f>
        <v>Electricity only</v>
      </c>
      <c r="I1849" s="161" t="str">
        <f t="shared" si="383"/>
        <v>S</v>
      </c>
      <c r="J1849" s="119">
        <f>IF(tech_base!$T105&gt;J$1745,"",(tech_base!$K105/tech_proj!J229*0.086*$J$132)/(1-tech_proj!J509))</f>
        <v>0</v>
      </c>
      <c r="K1849" s="119">
        <f>IF(tech_base!$T105&gt;K$1745,"",(tech_base!$K105/tech_proj!K229*0.086*$J$132)/(1-tech_proj!K509))</f>
        <v>0</v>
      </c>
      <c r="L1849" s="119">
        <f>IF(tech_base!$T105&gt;L$1745,"",(tech_base!$K105/tech_proj!L229*0.086*$J$132)/(1-tech_proj!L509))</f>
        <v>0</v>
      </c>
      <c r="M1849" s="119">
        <f>IF(tech_base!$T105&gt;M$1745,"",(tech_base!$K105/tech_proj!M229*0.086*$J$132)/(1-tech_proj!M509))</f>
        <v>0</v>
      </c>
      <c r="N1849" s="119">
        <f>IF(tech_base!$T105&gt;N$1745,"",(tech_base!$K105/tech_proj!N229*0.086*$J$132)/(1-tech_proj!N509))</f>
        <v>0</v>
      </c>
      <c r="O1849" s="119">
        <f>IF(tech_base!$T105&gt;O$1745,"",(tech_base!$K105/tech_proj!O229*0.086*$J$132)/(1-tech_proj!O509))</f>
        <v>0</v>
      </c>
      <c r="P1849" s="119">
        <f>IF(tech_base!$T105&gt;P$1745,"",(tech_base!$K105/tech_proj!P229*0.086*$J$132)/(1-tech_proj!P509))</f>
        <v>0</v>
      </c>
      <c r="Q1849" s="119">
        <f>IF(tech_base!$T105&gt;Q$1745,"",(tech_base!$K105/tech_proj!Q229*0.086*$J$132)/(1-tech_proj!Q509))</f>
        <v>0</v>
      </c>
      <c r="R1849" s="119">
        <f>IF(tech_base!$T105&gt;R$1745,"",(tech_base!$K105/tech_proj!R229*0.086*$J$132)/(1-tech_proj!R509))</f>
        <v>0</v>
      </c>
      <c r="S1849" s="119">
        <f>IF(tech_base!$T105&gt;S$1745,"",(tech_base!$K105/tech_proj!S229*0.086*$J$132)/(1-tech_proj!S509))</f>
        <v>0</v>
      </c>
      <c r="T1849" s="119">
        <f>IF(tech_base!$T105&gt;T$1745,"",(tech_base!$K105/tech_proj!T229*0.086*$J$132)/(1-tech_proj!T509))</f>
        <v>0</v>
      </c>
      <c r="U1849" s="119">
        <f>IF(tech_base!$T105&gt;U$1745,"",(tech_base!$K105/tech_proj!U229*0.086*$J$132)/(1-tech_proj!U509))</f>
        <v>0</v>
      </c>
      <c r="V1849" s="119">
        <f>IF(tech_base!$T105&gt;V$1745,"",(tech_base!$K105/tech_proj!V229*0.086*$J$132)/(1-tech_proj!V509))</f>
        <v>0</v>
      </c>
      <c r="W1849" s="119">
        <f>IF(tech_base!$T105&gt;W$1745,"",(tech_base!$K105/tech_proj!W229*0.086*$J$132)/(1-tech_proj!W509))</f>
        <v>0</v>
      </c>
      <c r="X1849" s="119">
        <f>IF(tech_base!$T105&gt;X$1745,"",(tech_base!$K105/tech_proj!X229*0.086*$J$132)/(1-tech_proj!X509))</f>
        <v>0</v>
      </c>
      <c r="Y1849" s="119">
        <f>IF(tech_base!$T105&gt;Y$1745,"",(tech_base!$K105/tech_proj!Y229*0.086*$J$132)/(1-tech_proj!Y509))</f>
        <v>0</v>
      </c>
      <c r="Z1849" s="119">
        <f>IF(tech_base!$T105&gt;Z$1745,"",(tech_base!$K105/tech_proj!Z229*0.086*$J$132)/(1-tech_proj!Z509))</f>
        <v>0</v>
      </c>
      <c r="AA1849" s="119">
        <f>IF(tech_base!$T105&gt;AA$1745,"",(tech_base!$K105/tech_proj!AA229*0.086*$J$132)/(1-tech_proj!AA509))</f>
        <v>0</v>
      </c>
      <c r="AB1849" s="119">
        <f>IF(tech_base!$T105&gt;AB$1745,"",(tech_base!$K105/tech_proj!AB229*0.086*$J$132)/(1-tech_proj!AB509))</f>
        <v>0</v>
      </c>
      <c r="AC1849" s="119">
        <f>IF(tech_base!$T105&gt;AC$1745,"",(tech_base!$K105/tech_proj!AC229*0.086*$J$132)/(1-tech_proj!AC509))</f>
        <v>0</v>
      </c>
      <c r="AD1849" s="119">
        <f>IF(tech_base!$T105&gt;AD$1745,"",(tech_base!$K105/tech_proj!AD229*0.086*$J$132)/(1-tech_proj!AD509))</f>
        <v>0</v>
      </c>
      <c r="AE1849" s="119">
        <f>IF(tech_base!$T105&gt;AE$1745,"",(tech_base!$K105/tech_proj!AE229*0.086*$J$132)/(1-tech_proj!AE509))</f>
        <v>0</v>
      </c>
      <c r="AF1849" s="119">
        <f>IF(tech_base!$T105&gt;AF$1745,"",(tech_base!$K105/tech_proj!AF229*0.086*$J$132)/(1-tech_proj!AF509))</f>
        <v>0</v>
      </c>
      <c r="AG1849" s="119">
        <f>IF(tech_base!$T105&gt;AG$1745,"",(tech_base!$K105/tech_proj!AG229*0.086*$J$132)/(1-tech_proj!AG509))</f>
        <v>0</v>
      </c>
      <c r="AH1849" s="119">
        <f>IF(tech_base!$T105&gt;AH$1745,"",(tech_base!$K105/tech_proj!AH229*0.086*$J$132)/(1-tech_proj!AH509))</f>
        <v>0</v>
      </c>
      <c r="AI1849" s="119">
        <f>IF(tech_base!$T105&gt;AI$1745,"",(tech_base!$K105/tech_proj!AI229*0.086*$J$132)/(1-tech_proj!AI509))</f>
        <v>0</v>
      </c>
      <c r="AJ1849" s="119">
        <f>IF(tech_base!$T105&gt;AJ$1745,"",(tech_base!$K105/tech_proj!AJ229*0.086*$J$132)/(1-tech_proj!AJ509))</f>
        <v>0</v>
      </c>
      <c r="AK1849" s="119">
        <f>IF(tech_base!$T105&gt;AK$1745,"",(tech_base!$K105/tech_proj!AK229*0.086*$J$132)/(1-tech_proj!AK509))</f>
        <v>0</v>
      </c>
      <c r="AL1849" s="119">
        <f>IF(tech_base!$T105&gt;AL$1745,"",(tech_base!$K105/tech_proj!AL229*0.086*$J$132)/(1-tech_proj!AL509))</f>
        <v>0</v>
      </c>
      <c r="AM1849" s="119">
        <f>IF(tech_base!$T105&gt;AM$1745,"",(tech_base!$K105/tech_proj!AM229*0.086*$J$132)/(1-tech_proj!AM509))</f>
        <v>0</v>
      </c>
      <c r="AN1849" s="119">
        <f>IF(tech_base!$T105&gt;AN$1745,"",(tech_base!$K105/tech_proj!AN229*0.086*$J$132)/(1-tech_proj!AN509))</f>
        <v>0</v>
      </c>
      <c r="AO1849" s="119">
        <f>IF(tech_base!$T105&gt;AO$1745,"",(tech_base!$K105/tech_proj!AO229*0.086*$J$132)/(1-tech_proj!AO509))</f>
        <v>0</v>
      </c>
      <c r="AP1849" s="119">
        <f>IF(tech_base!$T105&gt;AP$1745,"",(tech_base!$K105/tech_proj!AP229*0.086*$J$132)/(1-tech_proj!AP509))</f>
        <v>0</v>
      </c>
      <c r="AQ1849" s="119">
        <f>IF(tech_base!$T105&gt;AQ$1745,"",(tech_base!$K105/tech_proj!AQ229*0.086*$J$132)/(1-tech_proj!AQ509))</f>
        <v>0</v>
      </c>
      <c r="AR1849" s="119">
        <f>IF(tech_base!$T105&gt;AR$1745,"",(tech_base!$K105/tech_proj!AR229*0.086*$J$132)/(1-tech_proj!AR509))</f>
        <v>0</v>
      </c>
      <c r="AS1849" s="119">
        <f>IF(tech_base!$T105&gt;AS$1745,"",(tech_base!$K105/tech_proj!AS229*0.086*$J$132)/(1-tech_proj!AS509))</f>
        <v>0</v>
      </c>
      <c r="AT1849" s="119">
        <f>IF(tech_base!$T105&gt;AT$1745,"",(tech_base!$K105/tech_proj!AT229*0.086*$J$132)/(1-tech_proj!AT509))</f>
        <v>0</v>
      </c>
      <c r="AU1849" s="119">
        <f>IF(tech_base!$T105&gt;AU$1745,"",(tech_base!$K105/tech_proj!AU229*0.086*$J$132)/(1-tech_proj!AU509))</f>
        <v>0</v>
      </c>
      <c r="AV1849" s="119">
        <f>IF(tech_base!$T105&gt;AV$1745,"",(tech_base!$K105/tech_proj!AV229*0.086*$J$132)/(1-tech_proj!AV509))</f>
        <v>0</v>
      </c>
      <c r="AW1849" s="119">
        <f>IF(tech_base!$T105&gt;AW$1745,"",(tech_base!$K105/tech_proj!AW229*0.086*$J$132)/(1-tech_proj!AW509))</f>
        <v>0</v>
      </c>
      <c r="AX1849" s="120">
        <f>IF(tech_base!$T105&gt;AX$1745,"",(tech_base!$K105/tech_proj!AX229*0.086*$J$132)/(1-tech_proj!AX509))</f>
        <v>0</v>
      </c>
    </row>
    <row r="1850" spans="1:50" x14ac:dyDescent="0.25">
      <c r="A1850" s="356"/>
      <c r="B1850" s="376"/>
      <c r="C1850" s="379"/>
      <c r="D1850" s="2" t="s">
        <v>20</v>
      </c>
      <c r="E1850" s="160" t="str">
        <f>A1829&amp;"/"&amp;B1847&amp;"/"&amp;C1847&amp;"/"&amp;D1850</f>
        <v>Gas fired power plants (Natural gas, biogas)/Steam turbine/Electricity only/XS</v>
      </c>
      <c r="F1850" s="76" t="str">
        <f>A1829</f>
        <v>Gas fired power plants (Natural gas, biogas)</v>
      </c>
      <c r="G1850" s="76" t="str">
        <f>B1847</f>
        <v>Steam turbine</v>
      </c>
      <c r="H1850" s="76" t="str">
        <f>C1847</f>
        <v>Electricity only</v>
      </c>
      <c r="I1850" s="161" t="str">
        <f t="shared" si="383"/>
        <v>XS</v>
      </c>
      <c r="J1850" s="119">
        <f>IF(tech_base!$T106&gt;J$1745,"",(tech_base!$K106/tech_proj!J230*0.086*$J$132)/(1-tech_proj!J510))</f>
        <v>0</v>
      </c>
      <c r="K1850" s="119">
        <f>IF(tech_base!$T106&gt;K$1745,"",(tech_base!$K106/tech_proj!K230*0.086*$J$132)/(1-tech_proj!K510))</f>
        <v>0</v>
      </c>
      <c r="L1850" s="119">
        <f>IF(tech_base!$T106&gt;L$1745,"",(tech_base!$K106/tech_proj!L230*0.086*$J$132)/(1-tech_proj!L510))</f>
        <v>0</v>
      </c>
      <c r="M1850" s="119">
        <f>IF(tech_base!$T106&gt;M$1745,"",(tech_base!$K106/tech_proj!M230*0.086*$J$132)/(1-tech_proj!M510))</f>
        <v>0</v>
      </c>
      <c r="N1850" s="119">
        <f>IF(tech_base!$T106&gt;N$1745,"",(tech_base!$K106/tech_proj!N230*0.086*$J$132)/(1-tech_proj!N510))</f>
        <v>0</v>
      </c>
      <c r="O1850" s="119">
        <f>IF(tech_base!$T106&gt;O$1745,"",(tech_base!$K106/tech_proj!O230*0.086*$J$132)/(1-tech_proj!O510))</f>
        <v>0</v>
      </c>
      <c r="P1850" s="119">
        <f>IF(tech_base!$T106&gt;P$1745,"",(tech_base!$K106/tech_proj!P230*0.086*$J$132)/(1-tech_proj!P510))</f>
        <v>0</v>
      </c>
      <c r="Q1850" s="119">
        <f>IF(tech_base!$T106&gt;Q$1745,"",(tech_base!$K106/tech_proj!Q230*0.086*$J$132)/(1-tech_proj!Q510))</f>
        <v>0</v>
      </c>
      <c r="R1850" s="119">
        <f>IF(tech_base!$T106&gt;R$1745,"",(tech_base!$K106/tech_proj!R230*0.086*$J$132)/(1-tech_proj!R510))</f>
        <v>0</v>
      </c>
      <c r="S1850" s="119">
        <f>IF(tech_base!$T106&gt;S$1745,"",(tech_base!$K106/tech_proj!S230*0.086*$J$132)/(1-tech_proj!S510))</f>
        <v>0</v>
      </c>
      <c r="T1850" s="119">
        <f>IF(tech_base!$T106&gt;T$1745,"",(tech_base!$K106/tech_proj!T230*0.086*$J$132)/(1-tech_proj!T510))</f>
        <v>0</v>
      </c>
      <c r="U1850" s="119">
        <f>IF(tech_base!$T106&gt;U$1745,"",(tech_base!$K106/tech_proj!U230*0.086*$J$132)/(1-tech_proj!U510))</f>
        <v>0</v>
      </c>
      <c r="V1850" s="119">
        <f>IF(tech_base!$T106&gt;V$1745,"",(tech_base!$K106/tech_proj!V230*0.086*$J$132)/(1-tech_proj!V510))</f>
        <v>0</v>
      </c>
      <c r="W1850" s="119">
        <f>IF(tech_base!$T106&gt;W$1745,"",(tech_base!$K106/tech_proj!W230*0.086*$J$132)/(1-tech_proj!W510))</f>
        <v>0</v>
      </c>
      <c r="X1850" s="119">
        <f>IF(tech_base!$T106&gt;X$1745,"",(tech_base!$K106/tech_proj!X230*0.086*$J$132)/(1-tech_proj!X510))</f>
        <v>0</v>
      </c>
      <c r="Y1850" s="119">
        <f>IF(tech_base!$T106&gt;Y$1745,"",(tech_base!$K106/tech_proj!Y230*0.086*$J$132)/(1-tech_proj!Y510))</f>
        <v>0</v>
      </c>
      <c r="Z1850" s="119">
        <f>IF(tech_base!$T106&gt;Z$1745,"",(tech_base!$K106/tech_proj!Z230*0.086*$J$132)/(1-tech_proj!Z510))</f>
        <v>0</v>
      </c>
      <c r="AA1850" s="119">
        <f>IF(tech_base!$T106&gt;AA$1745,"",(tech_base!$K106/tech_proj!AA230*0.086*$J$132)/(1-tech_proj!AA510))</f>
        <v>0</v>
      </c>
      <c r="AB1850" s="119">
        <f>IF(tech_base!$T106&gt;AB$1745,"",(tech_base!$K106/tech_proj!AB230*0.086*$J$132)/(1-tech_proj!AB510))</f>
        <v>0</v>
      </c>
      <c r="AC1850" s="119">
        <f>IF(tech_base!$T106&gt;AC$1745,"",(tech_base!$K106/tech_proj!AC230*0.086*$J$132)/(1-tech_proj!AC510))</f>
        <v>0</v>
      </c>
      <c r="AD1850" s="119">
        <f>IF(tech_base!$T106&gt;AD$1745,"",(tech_base!$K106/tech_proj!AD230*0.086*$J$132)/(1-tech_proj!AD510))</f>
        <v>0</v>
      </c>
      <c r="AE1850" s="119">
        <f>IF(tech_base!$T106&gt;AE$1745,"",(tech_base!$K106/tech_proj!AE230*0.086*$J$132)/(1-tech_proj!AE510))</f>
        <v>0</v>
      </c>
      <c r="AF1850" s="119">
        <f>IF(tech_base!$T106&gt;AF$1745,"",(tech_base!$K106/tech_proj!AF230*0.086*$J$132)/(1-tech_proj!AF510))</f>
        <v>0</v>
      </c>
      <c r="AG1850" s="119">
        <f>IF(tech_base!$T106&gt;AG$1745,"",(tech_base!$K106/tech_proj!AG230*0.086*$J$132)/(1-tech_proj!AG510))</f>
        <v>0</v>
      </c>
      <c r="AH1850" s="119">
        <f>IF(tech_base!$T106&gt;AH$1745,"",(tech_base!$K106/tech_proj!AH230*0.086*$J$132)/(1-tech_proj!AH510))</f>
        <v>0</v>
      </c>
      <c r="AI1850" s="119">
        <f>IF(tech_base!$T106&gt;AI$1745,"",(tech_base!$K106/tech_proj!AI230*0.086*$J$132)/(1-tech_proj!AI510))</f>
        <v>0</v>
      </c>
      <c r="AJ1850" s="119">
        <f>IF(tech_base!$T106&gt;AJ$1745,"",(tech_base!$K106/tech_proj!AJ230*0.086*$J$132)/(1-tech_proj!AJ510))</f>
        <v>0</v>
      </c>
      <c r="AK1850" s="119">
        <f>IF(tech_base!$T106&gt;AK$1745,"",(tech_base!$K106/tech_proj!AK230*0.086*$J$132)/(1-tech_proj!AK510))</f>
        <v>0</v>
      </c>
      <c r="AL1850" s="119">
        <f>IF(tech_base!$T106&gt;AL$1745,"",(tech_base!$K106/tech_proj!AL230*0.086*$J$132)/(1-tech_proj!AL510))</f>
        <v>0</v>
      </c>
      <c r="AM1850" s="119">
        <f>IF(tech_base!$T106&gt;AM$1745,"",(tech_base!$K106/tech_proj!AM230*0.086*$J$132)/(1-tech_proj!AM510))</f>
        <v>0</v>
      </c>
      <c r="AN1850" s="119">
        <f>IF(tech_base!$T106&gt;AN$1745,"",(tech_base!$K106/tech_proj!AN230*0.086*$J$132)/(1-tech_proj!AN510))</f>
        <v>0</v>
      </c>
      <c r="AO1850" s="119">
        <f>IF(tech_base!$T106&gt;AO$1745,"",(tech_base!$K106/tech_proj!AO230*0.086*$J$132)/(1-tech_proj!AO510))</f>
        <v>0</v>
      </c>
      <c r="AP1850" s="119">
        <f>IF(tech_base!$T106&gt;AP$1745,"",(tech_base!$K106/tech_proj!AP230*0.086*$J$132)/(1-tech_proj!AP510))</f>
        <v>0</v>
      </c>
      <c r="AQ1850" s="119">
        <f>IF(tech_base!$T106&gt;AQ$1745,"",(tech_base!$K106/tech_proj!AQ230*0.086*$J$132)/(1-tech_proj!AQ510))</f>
        <v>0</v>
      </c>
      <c r="AR1850" s="119">
        <f>IF(tech_base!$T106&gt;AR$1745,"",(tech_base!$K106/tech_proj!AR230*0.086*$J$132)/(1-tech_proj!AR510))</f>
        <v>0</v>
      </c>
      <c r="AS1850" s="119">
        <f>IF(tech_base!$T106&gt;AS$1745,"",(tech_base!$K106/tech_proj!AS230*0.086*$J$132)/(1-tech_proj!AS510))</f>
        <v>0</v>
      </c>
      <c r="AT1850" s="119">
        <f>IF(tech_base!$T106&gt;AT$1745,"",(tech_base!$K106/tech_proj!AT230*0.086*$J$132)/(1-tech_proj!AT510))</f>
        <v>0</v>
      </c>
      <c r="AU1850" s="119">
        <f>IF(tech_base!$T106&gt;AU$1745,"",(tech_base!$K106/tech_proj!AU230*0.086*$J$132)/(1-tech_proj!AU510))</f>
        <v>0</v>
      </c>
      <c r="AV1850" s="119">
        <f>IF(tech_base!$T106&gt;AV$1745,"",(tech_base!$K106/tech_proj!AV230*0.086*$J$132)/(1-tech_proj!AV510))</f>
        <v>0</v>
      </c>
      <c r="AW1850" s="119">
        <f>IF(tech_base!$T106&gt;AW$1745,"",(tech_base!$K106/tech_proj!AW230*0.086*$J$132)/(1-tech_proj!AW510))</f>
        <v>0</v>
      </c>
      <c r="AX1850" s="120">
        <f>IF(tech_base!$T106&gt;AX$1745,"",(tech_base!$K106/tech_proj!AX230*0.086*$J$132)/(1-tech_proj!AX510))</f>
        <v>0</v>
      </c>
    </row>
    <row r="1851" spans="1:50" x14ac:dyDescent="0.25">
      <c r="A1851" s="356"/>
      <c r="B1851" s="376"/>
      <c r="C1851" s="361" t="s">
        <v>14</v>
      </c>
      <c r="D1851" s="58" t="s">
        <v>7</v>
      </c>
      <c r="E1851" s="164" t="str">
        <f>A1829&amp;"/"&amp;B1847&amp;"/"&amp;C1851&amp;"/"&amp;D1851</f>
        <v>Gas fired power plants (Natural gas, biogas)/Steam turbine/CHP/L</v>
      </c>
      <c r="F1851" s="78" t="str">
        <f>A1829</f>
        <v>Gas fired power plants (Natural gas, biogas)</v>
      </c>
      <c r="G1851" s="78" t="str">
        <f>B1847</f>
        <v>Steam turbine</v>
      </c>
      <c r="H1851" s="78" t="str">
        <f>C1851</f>
        <v>CHP</v>
      </c>
      <c r="I1851" s="165" t="str">
        <f t="shared" si="383"/>
        <v>L</v>
      </c>
      <c r="J1851" s="123">
        <f>IF(tech_base!$T107&gt;J$1745,"",(tech_base!$K107/tech_proj!J231*0.086*$J$132)/(1-tech_proj!J511))</f>
        <v>0</v>
      </c>
      <c r="K1851" s="123">
        <f>IF(tech_base!$T107&gt;K$1745,"",(tech_base!$K107/tech_proj!K231*0.086*$J$132)/(1-tech_proj!K511))</f>
        <v>0</v>
      </c>
      <c r="L1851" s="123">
        <f>IF(tech_base!$T107&gt;L$1745,"",(tech_base!$K107/tech_proj!L231*0.086*$J$132)/(1-tech_proj!L511))</f>
        <v>0</v>
      </c>
      <c r="M1851" s="123">
        <f>IF(tech_base!$T107&gt;M$1745,"",(tech_base!$K107/tech_proj!M231*0.086*$J$132)/(1-tech_proj!M511))</f>
        <v>0</v>
      </c>
      <c r="N1851" s="123">
        <f>IF(tech_base!$T107&gt;N$1745,"",(tech_base!$K107/tech_proj!N231*0.086*$J$132)/(1-tech_proj!N511))</f>
        <v>0</v>
      </c>
      <c r="O1851" s="123">
        <f>IF(tech_base!$T107&gt;O$1745,"",(tech_base!$K107/tech_proj!O231*0.086*$J$132)/(1-tech_proj!O511))</f>
        <v>0</v>
      </c>
      <c r="P1851" s="123">
        <f>IF(tech_base!$T107&gt;P$1745,"",(tech_base!$K107/tech_proj!P231*0.086*$J$132)/(1-tech_proj!P511))</f>
        <v>0</v>
      </c>
      <c r="Q1851" s="123">
        <f>IF(tech_base!$T107&gt;Q$1745,"",(tech_base!$K107/tech_proj!Q231*0.086*$J$132)/(1-tech_proj!Q511))</f>
        <v>0</v>
      </c>
      <c r="R1851" s="123">
        <f>IF(tech_base!$T107&gt;R$1745,"",(tech_base!$K107/tech_proj!R231*0.086*$J$132)/(1-tech_proj!R511))</f>
        <v>0</v>
      </c>
      <c r="S1851" s="123">
        <f>IF(tech_base!$T107&gt;S$1745,"",(tech_base!$K107/tech_proj!S231*0.086*$J$132)/(1-tech_proj!S511))</f>
        <v>0</v>
      </c>
      <c r="T1851" s="123">
        <f>IF(tech_base!$T107&gt;T$1745,"",(tech_base!$K107/tech_proj!T231*0.086*$J$132)/(1-tech_proj!T511))</f>
        <v>0</v>
      </c>
      <c r="U1851" s="123">
        <f>IF(tech_base!$T107&gt;U$1745,"",(tech_base!$K107/tech_proj!U231*0.086*$J$132)/(1-tech_proj!U511))</f>
        <v>0</v>
      </c>
      <c r="V1851" s="123">
        <f>IF(tech_base!$T107&gt;V$1745,"",(tech_base!$K107/tech_proj!V231*0.086*$J$132)/(1-tech_proj!V511))</f>
        <v>0</v>
      </c>
      <c r="W1851" s="123">
        <f>IF(tech_base!$T107&gt;W$1745,"",(tech_base!$K107/tech_proj!W231*0.086*$J$132)/(1-tech_proj!W511))</f>
        <v>0</v>
      </c>
      <c r="X1851" s="123">
        <f>IF(tech_base!$T107&gt;X$1745,"",(tech_base!$K107/tech_proj!X231*0.086*$J$132)/(1-tech_proj!X511))</f>
        <v>0</v>
      </c>
      <c r="Y1851" s="123">
        <f>IF(tech_base!$T107&gt;Y$1745,"",(tech_base!$K107/tech_proj!Y231*0.086*$J$132)/(1-tech_proj!Y511))</f>
        <v>0</v>
      </c>
      <c r="Z1851" s="123">
        <f>IF(tech_base!$T107&gt;Z$1745,"",(tech_base!$K107/tech_proj!Z231*0.086*$J$132)/(1-tech_proj!Z511))</f>
        <v>0</v>
      </c>
      <c r="AA1851" s="123">
        <f>IF(tech_base!$T107&gt;AA$1745,"",(tech_base!$K107/tech_proj!AA231*0.086*$J$132)/(1-tech_proj!AA511))</f>
        <v>0</v>
      </c>
      <c r="AB1851" s="123">
        <f>IF(tech_base!$T107&gt;AB$1745,"",(tech_base!$K107/tech_proj!AB231*0.086*$J$132)/(1-tech_proj!AB511))</f>
        <v>0</v>
      </c>
      <c r="AC1851" s="123">
        <f>IF(tech_base!$T107&gt;AC$1745,"",(tech_base!$K107/tech_proj!AC231*0.086*$J$132)/(1-tech_proj!AC511))</f>
        <v>0</v>
      </c>
      <c r="AD1851" s="123">
        <f>IF(tech_base!$T107&gt;AD$1745,"",(tech_base!$K107/tech_proj!AD231*0.086*$J$132)/(1-tech_proj!AD511))</f>
        <v>0</v>
      </c>
      <c r="AE1851" s="123">
        <f>IF(tech_base!$T107&gt;AE$1745,"",(tech_base!$K107/tech_proj!AE231*0.086*$J$132)/(1-tech_proj!AE511))</f>
        <v>0</v>
      </c>
      <c r="AF1851" s="123">
        <f>IF(tech_base!$T107&gt;AF$1745,"",(tech_base!$K107/tech_proj!AF231*0.086*$J$132)/(1-tech_proj!AF511))</f>
        <v>0</v>
      </c>
      <c r="AG1851" s="123">
        <f>IF(tech_base!$T107&gt;AG$1745,"",(tech_base!$K107/tech_proj!AG231*0.086*$J$132)/(1-tech_proj!AG511))</f>
        <v>0</v>
      </c>
      <c r="AH1851" s="123">
        <f>IF(tech_base!$T107&gt;AH$1745,"",(tech_base!$K107/tech_proj!AH231*0.086*$J$132)/(1-tech_proj!AH511))</f>
        <v>0</v>
      </c>
      <c r="AI1851" s="123">
        <f>IF(tech_base!$T107&gt;AI$1745,"",(tech_base!$K107/tech_proj!AI231*0.086*$J$132)/(1-tech_proj!AI511))</f>
        <v>0</v>
      </c>
      <c r="AJ1851" s="123">
        <f>IF(tech_base!$T107&gt;AJ$1745,"",(tech_base!$K107/tech_proj!AJ231*0.086*$J$132)/(1-tech_proj!AJ511))</f>
        <v>0</v>
      </c>
      <c r="AK1851" s="123">
        <f>IF(tech_base!$T107&gt;AK$1745,"",(tech_base!$K107/tech_proj!AK231*0.086*$J$132)/(1-tech_proj!AK511))</f>
        <v>0</v>
      </c>
      <c r="AL1851" s="123">
        <f>IF(tech_base!$T107&gt;AL$1745,"",(tech_base!$K107/tech_proj!AL231*0.086*$J$132)/(1-tech_proj!AL511))</f>
        <v>0</v>
      </c>
      <c r="AM1851" s="123">
        <f>IF(tech_base!$T107&gt;AM$1745,"",(tech_base!$K107/tech_proj!AM231*0.086*$J$132)/(1-tech_proj!AM511))</f>
        <v>0</v>
      </c>
      <c r="AN1851" s="123">
        <f>IF(tech_base!$T107&gt;AN$1745,"",(tech_base!$K107/tech_proj!AN231*0.086*$J$132)/(1-tech_proj!AN511))</f>
        <v>0</v>
      </c>
      <c r="AO1851" s="123">
        <f>IF(tech_base!$T107&gt;AO$1745,"",(tech_base!$K107/tech_proj!AO231*0.086*$J$132)/(1-tech_proj!AO511))</f>
        <v>0</v>
      </c>
      <c r="AP1851" s="123">
        <f>IF(tech_base!$T107&gt;AP$1745,"",(tech_base!$K107/tech_proj!AP231*0.086*$J$132)/(1-tech_proj!AP511))</f>
        <v>0</v>
      </c>
      <c r="AQ1851" s="123">
        <f>IF(tech_base!$T107&gt;AQ$1745,"",(tech_base!$K107/tech_proj!AQ231*0.086*$J$132)/(1-tech_proj!AQ511))</f>
        <v>0</v>
      </c>
      <c r="AR1851" s="123">
        <f>IF(tech_base!$T107&gt;AR$1745,"",(tech_base!$K107/tech_proj!AR231*0.086*$J$132)/(1-tech_proj!AR511))</f>
        <v>0</v>
      </c>
      <c r="AS1851" s="123">
        <f>IF(tech_base!$T107&gt;AS$1745,"",(tech_base!$K107/tech_proj!AS231*0.086*$J$132)/(1-tech_proj!AS511))</f>
        <v>0</v>
      </c>
      <c r="AT1851" s="123">
        <f>IF(tech_base!$T107&gt;AT$1745,"",(tech_base!$K107/tech_proj!AT231*0.086*$J$132)/(1-tech_proj!AT511))</f>
        <v>0</v>
      </c>
      <c r="AU1851" s="123">
        <f>IF(tech_base!$T107&gt;AU$1745,"",(tech_base!$K107/tech_proj!AU231*0.086*$J$132)/(1-tech_proj!AU511))</f>
        <v>0</v>
      </c>
      <c r="AV1851" s="123">
        <f>IF(tech_base!$T107&gt;AV$1745,"",(tech_base!$K107/tech_proj!AV231*0.086*$J$132)/(1-tech_proj!AV511))</f>
        <v>0</v>
      </c>
      <c r="AW1851" s="123">
        <f>IF(tech_base!$T107&gt;AW$1745,"",(tech_base!$K107/tech_proj!AW231*0.086*$J$132)/(1-tech_proj!AW511))</f>
        <v>0</v>
      </c>
      <c r="AX1851" s="124">
        <f>IF(tech_base!$T107&gt;AX$1745,"",(tech_base!$K107/tech_proj!AX231*0.086*$J$132)/(1-tech_proj!AX511))</f>
        <v>0</v>
      </c>
    </row>
    <row r="1852" spans="1:50" x14ac:dyDescent="0.25">
      <c r="A1852" s="356"/>
      <c r="B1852" s="376"/>
      <c r="C1852" s="378"/>
      <c r="D1852" s="2" t="s">
        <v>8</v>
      </c>
      <c r="E1852" s="160" t="str">
        <f>A1829&amp;"/"&amp;B1847&amp;"/"&amp;C1851&amp;"/"&amp;D1852</f>
        <v>Gas fired power plants (Natural gas, biogas)/Steam turbine/CHP/M</v>
      </c>
      <c r="F1852" s="76" t="str">
        <f>A1829</f>
        <v>Gas fired power plants (Natural gas, biogas)</v>
      </c>
      <c r="G1852" s="76" t="str">
        <f>B1847</f>
        <v>Steam turbine</v>
      </c>
      <c r="H1852" s="76" t="str">
        <f>C1851</f>
        <v>CHP</v>
      </c>
      <c r="I1852" s="161" t="str">
        <f t="shared" si="383"/>
        <v>M</v>
      </c>
      <c r="J1852" s="119">
        <f>IF(tech_base!$T108&gt;J$1745,"",(tech_base!$K108/tech_proj!J232*0.086*$J$132)/(1-tech_proj!J512))</f>
        <v>0</v>
      </c>
      <c r="K1852" s="119">
        <f>IF(tech_base!$T108&gt;K$1745,"",(tech_base!$K108/tech_proj!K232*0.086*$J$132)/(1-tech_proj!K512))</f>
        <v>0</v>
      </c>
      <c r="L1852" s="119">
        <f>IF(tech_base!$T108&gt;L$1745,"",(tech_base!$K108/tech_proj!L232*0.086*$J$132)/(1-tech_proj!L512))</f>
        <v>0</v>
      </c>
      <c r="M1852" s="119">
        <f>IF(tech_base!$T108&gt;M$1745,"",(tech_base!$K108/tech_proj!M232*0.086*$J$132)/(1-tech_proj!M512))</f>
        <v>0</v>
      </c>
      <c r="N1852" s="119">
        <f>IF(tech_base!$T108&gt;N$1745,"",(tech_base!$K108/tech_proj!N232*0.086*$J$132)/(1-tech_proj!N512))</f>
        <v>0</v>
      </c>
      <c r="O1852" s="119">
        <f>IF(tech_base!$T108&gt;O$1745,"",(tech_base!$K108/tech_proj!O232*0.086*$J$132)/(1-tech_proj!O512))</f>
        <v>0</v>
      </c>
      <c r="P1852" s="119">
        <f>IF(tech_base!$T108&gt;P$1745,"",(tech_base!$K108/tech_proj!P232*0.086*$J$132)/(1-tech_proj!P512))</f>
        <v>0</v>
      </c>
      <c r="Q1852" s="119">
        <f>IF(tech_base!$T108&gt;Q$1745,"",(tech_base!$K108/tech_proj!Q232*0.086*$J$132)/(1-tech_proj!Q512))</f>
        <v>0</v>
      </c>
      <c r="R1852" s="119">
        <f>IF(tech_base!$T108&gt;R$1745,"",(tech_base!$K108/tech_proj!R232*0.086*$J$132)/(1-tech_proj!R512))</f>
        <v>0</v>
      </c>
      <c r="S1852" s="119">
        <f>IF(tech_base!$T108&gt;S$1745,"",(tech_base!$K108/tech_proj!S232*0.086*$J$132)/(1-tech_proj!S512))</f>
        <v>0</v>
      </c>
      <c r="T1852" s="119">
        <f>IF(tech_base!$T108&gt;T$1745,"",(tech_base!$K108/tech_proj!T232*0.086*$J$132)/(1-tech_proj!T512))</f>
        <v>0</v>
      </c>
      <c r="U1852" s="119">
        <f>IF(tech_base!$T108&gt;U$1745,"",(tech_base!$K108/tech_proj!U232*0.086*$J$132)/(1-tech_proj!U512))</f>
        <v>0</v>
      </c>
      <c r="V1852" s="119">
        <f>IF(tech_base!$T108&gt;V$1745,"",(tech_base!$K108/tech_proj!V232*0.086*$J$132)/(1-tech_proj!V512))</f>
        <v>0</v>
      </c>
      <c r="W1852" s="119">
        <f>IF(tech_base!$T108&gt;W$1745,"",(tech_base!$K108/tech_proj!W232*0.086*$J$132)/(1-tech_proj!W512))</f>
        <v>0</v>
      </c>
      <c r="X1852" s="119">
        <f>IF(tech_base!$T108&gt;X$1745,"",(tech_base!$K108/tech_proj!X232*0.086*$J$132)/(1-tech_proj!X512))</f>
        <v>0</v>
      </c>
      <c r="Y1852" s="119">
        <f>IF(tech_base!$T108&gt;Y$1745,"",(tech_base!$K108/tech_proj!Y232*0.086*$J$132)/(1-tech_proj!Y512))</f>
        <v>0</v>
      </c>
      <c r="Z1852" s="119">
        <f>IF(tech_base!$T108&gt;Z$1745,"",(tech_base!$K108/tech_proj!Z232*0.086*$J$132)/(1-tech_proj!Z512))</f>
        <v>0</v>
      </c>
      <c r="AA1852" s="119">
        <f>IF(tech_base!$T108&gt;AA$1745,"",(tech_base!$K108/tech_proj!AA232*0.086*$J$132)/(1-tech_proj!AA512))</f>
        <v>0</v>
      </c>
      <c r="AB1852" s="119">
        <f>IF(tech_base!$T108&gt;AB$1745,"",(tech_base!$K108/tech_proj!AB232*0.086*$J$132)/(1-tech_proj!AB512))</f>
        <v>0</v>
      </c>
      <c r="AC1852" s="119">
        <f>IF(tech_base!$T108&gt;AC$1745,"",(tech_base!$K108/tech_proj!AC232*0.086*$J$132)/(1-tech_proj!AC512))</f>
        <v>0</v>
      </c>
      <c r="AD1852" s="119">
        <f>IF(tech_base!$T108&gt;AD$1745,"",(tech_base!$K108/tech_proj!AD232*0.086*$J$132)/(1-tech_proj!AD512))</f>
        <v>0</v>
      </c>
      <c r="AE1852" s="119">
        <f>IF(tech_base!$T108&gt;AE$1745,"",(tech_base!$K108/tech_proj!AE232*0.086*$J$132)/(1-tech_proj!AE512))</f>
        <v>0</v>
      </c>
      <c r="AF1852" s="119">
        <f>IF(tech_base!$T108&gt;AF$1745,"",(tech_base!$K108/tech_proj!AF232*0.086*$J$132)/(1-tech_proj!AF512))</f>
        <v>0</v>
      </c>
      <c r="AG1852" s="119">
        <f>IF(tech_base!$T108&gt;AG$1745,"",(tech_base!$K108/tech_proj!AG232*0.086*$J$132)/(1-tech_proj!AG512))</f>
        <v>0</v>
      </c>
      <c r="AH1852" s="119">
        <f>IF(tech_base!$T108&gt;AH$1745,"",(tech_base!$K108/tech_proj!AH232*0.086*$J$132)/(1-tech_proj!AH512))</f>
        <v>0</v>
      </c>
      <c r="AI1852" s="119">
        <f>IF(tech_base!$T108&gt;AI$1745,"",(tech_base!$K108/tech_proj!AI232*0.086*$J$132)/(1-tech_proj!AI512))</f>
        <v>0</v>
      </c>
      <c r="AJ1852" s="119">
        <f>IF(tech_base!$T108&gt;AJ$1745,"",(tech_base!$K108/tech_proj!AJ232*0.086*$J$132)/(1-tech_proj!AJ512))</f>
        <v>0</v>
      </c>
      <c r="AK1852" s="119">
        <f>IF(tech_base!$T108&gt;AK$1745,"",(tech_base!$K108/tech_proj!AK232*0.086*$J$132)/(1-tech_proj!AK512))</f>
        <v>0</v>
      </c>
      <c r="AL1852" s="119">
        <f>IF(tech_base!$T108&gt;AL$1745,"",(tech_base!$K108/tech_proj!AL232*0.086*$J$132)/(1-tech_proj!AL512))</f>
        <v>0</v>
      </c>
      <c r="AM1852" s="119">
        <f>IF(tech_base!$T108&gt;AM$1745,"",(tech_base!$K108/tech_proj!AM232*0.086*$J$132)/(1-tech_proj!AM512))</f>
        <v>0</v>
      </c>
      <c r="AN1852" s="119">
        <f>IF(tech_base!$T108&gt;AN$1745,"",(tech_base!$K108/tech_proj!AN232*0.086*$J$132)/(1-tech_proj!AN512))</f>
        <v>0</v>
      </c>
      <c r="AO1852" s="119">
        <f>IF(tech_base!$T108&gt;AO$1745,"",(tech_base!$K108/tech_proj!AO232*0.086*$J$132)/(1-tech_proj!AO512))</f>
        <v>0</v>
      </c>
      <c r="AP1852" s="119">
        <f>IF(tech_base!$T108&gt;AP$1745,"",(tech_base!$K108/tech_proj!AP232*0.086*$J$132)/(1-tech_proj!AP512))</f>
        <v>0</v>
      </c>
      <c r="AQ1852" s="119">
        <f>IF(tech_base!$T108&gt;AQ$1745,"",(tech_base!$K108/tech_proj!AQ232*0.086*$J$132)/(1-tech_proj!AQ512))</f>
        <v>0</v>
      </c>
      <c r="AR1852" s="119">
        <f>IF(tech_base!$T108&gt;AR$1745,"",(tech_base!$K108/tech_proj!AR232*0.086*$J$132)/(1-tech_proj!AR512))</f>
        <v>0</v>
      </c>
      <c r="AS1852" s="119">
        <f>IF(tech_base!$T108&gt;AS$1745,"",(tech_base!$K108/tech_proj!AS232*0.086*$J$132)/(1-tech_proj!AS512))</f>
        <v>0</v>
      </c>
      <c r="AT1852" s="119">
        <f>IF(tech_base!$T108&gt;AT$1745,"",(tech_base!$K108/tech_proj!AT232*0.086*$J$132)/(1-tech_proj!AT512))</f>
        <v>0</v>
      </c>
      <c r="AU1852" s="119">
        <f>IF(tech_base!$T108&gt;AU$1745,"",(tech_base!$K108/tech_proj!AU232*0.086*$J$132)/(1-tech_proj!AU512))</f>
        <v>0</v>
      </c>
      <c r="AV1852" s="119">
        <f>IF(tech_base!$T108&gt;AV$1745,"",(tech_base!$K108/tech_proj!AV232*0.086*$J$132)/(1-tech_proj!AV512))</f>
        <v>0</v>
      </c>
      <c r="AW1852" s="119">
        <f>IF(tech_base!$T108&gt;AW$1745,"",(tech_base!$K108/tech_proj!AW232*0.086*$J$132)/(1-tech_proj!AW512))</f>
        <v>0</v>
      </c>
      <c r="AX1852" s="120">
        <f>IF(tech_base!$T108&gt;AX$1745,"",(tech_base!$K108/tech_proj!AX232*0.086*$J$132)/(1-tech_proj!AX512))</f>
        <v>0</v>
      </c>
    </row>
    <row r="1853" spans="1:50" x14ac:dyDescent="0.25">
      <c r="A1853" s="356"/>
      <c r="B1853" s="376"/>
      <c r="C1853" s="378"/>
      <c r="D1853" s="2" t="s">
        <v>10</v>
      </c>
      <c r="E1853" s="160" t="str">
        <f>A1829&amp;"/"&amp;B1847&amp;"/"&amp;C1851&amp;"/"&amp;D1853</f>
        <v>Gas fired power plants (Natural gas, biogas)/Steam turbine/CHP/S</v>
      </c>
      <c r="F1853" s="76" t="str">
        <f>A1829</f>
        <v>Gas fired power plants (Natural gas, biogas)</v>
      </c>
      <c r="G1853" s="76" t="str">
        <f>B1847</f>
        <v>Steam turbine</v>
      </c>
      <c r="H1853" s="76" t="str">
        <f>C1851</f>
        <v>CHP</v>
      </c>
      <c r="I1853" s="161" t="str">
        <f t="shared" si="383"/>
        <v>S</v>
      </c>
      <c r="J1853" s="119">
        <f>IF(tech_base!$T109&gt;J$1745,"",(tech_base!$K109/tech_proj!J233*0.086*$J$132)/(1-tech_proj!J513))</f>
        <v>0</v>
      </c>
      <c r="K1853" s="119">
        <f>IF(tech_base!$T109&gt;K$1745,"",(tech_base!$K109/tech_proj!K233*0.086*$J$132)/(1-tech_proj!K513))</f>
        <v>0</v>
      </c>
      <c r="L1853" s="119">
        <f>IF(tech_base!$T109&gt;L$1745,"",(tech_base!$K109/tech_proj!L233*0.086*$J$132)/(1-tech_proj!L513))</f>
        <v>0</v>
      </c>
      <c r="M1853" s="119">
        <f>IF(tech_base!$T109&gt;M$1745,"",(tech_base!$K109/tech_proj!M233*0.086*$J$132)/(1-tech_proj!M513))</f>
        <v>0</v>
      </c>
      <c r="N1853" s="119">
        <f>IF(tech_base!$T109&gt;N$1745,"",(tech_base!$K109/tech_proj!N233*0.086*$J$132)/(1-tech_proj!N513))</f>
        <v>0</v>
      </c>
      <c r="O1853" s="119">
        <f>IF(tech_base!$T109&gt;O$1745,"",(tech_base!$K109/tech_proj!O233*0.086*$J$132)/(1-tech_proj!O513))</f>
        <v>0</v>
      </c>
      <c r="P1853" s="119">
        <f>IF(tech_base!$T109&gt;P$1745,"",(tech_base!$K109/tech_proj!P233*0.086*$J$132)/(1-tech_proj!P513))</f>
        <v>0</v>
      </c>
      <c r="Q1853" s="119">
        <f>IF(tech_base!$T109&gt;Q$1745,"",(tech_base!$K109/tech_proj!Q233*0.086*$J$132)/(1-tech_proj!Q513))</f>
        <v>0</v>
      </c>
      <c r="R1853" s="119">
        <f>IF(tech_base!$T109&gt;R$1745,"",(tech_base!$K109/tech_proj!R233*0.086*$J$132)/(1-tech_proj!R513))</f>
        <v>0</v>
      </c>
      <c r="S1853" s="119">
        <f>IF(tech_base!$T109&gt;S$1745,"",(tech_base!$K109/tech_proj!S233*0.086*$J$132)/(1-tech_proj!S513))</f>
        <v>0</v>
      </c>
      <c r="T1853" s="119">
        <f>IF(tech_base!$T109&gt;T$1745,"",(tech_base!$K109/tech_proj!T233*0.086*$J$132)/(1-tech_proj!T513))</f>
        <v>0</v>
      </c>
      <c r="U1853" s="119">
        <f>IF(tech_base!$T109&gt;U$1745,"",(tech_base!$K109/tech_proj!U233*0.086*$J$132)/(1-tech_proj!U513))</f>
        <v>0</v>
      </c>
      <c r="V1853" s="119">
        <f>IF(tech_base!$T109&gt;V$1745,"",(tech_base!$K109/tech_proj!V233*0.086*$J$132)/(1-tech_proj!V513))</f>
        <v>0</v>
      </c>
      <c r="W1853" s="119">
        <f>IF(tech_base!$T109&gt;W$1745,"",(tech_base!$K109/tech_proj!W233*0.086*$J$132)/(1-tech_proj!W513))</f>
        <v>0</v>
      </c>
      <c r="X1853" s="119">
        <f>IF(tech_base!$T109&gt;X$1745,"",(tech_base!$K109/tech_proj!X233*0.086*$J$132)/(1-tech_proj!X513))</f>
        <v>0</v>
      </c>
      <c r="Y1853" s="119">
        <f>IF(tech_base!$T109&gt;Y$1745,"",(tech_base!$K109/tech_proj!Y233*0.086*$J$132)/(1-tech_proj!Y513))</f>
        <v>0</v>
      </c>
      <c r="Z1853" s="119">
        <f>IF(tech_base!$T109&gt;Z$1745,"",(tech_base!$K109/tech_proj!Z233*0.086*$J$132)/(1-tech_proj!Z513))</f>
        <v>0</v>
      </c>
      <c r="AA1853" s="119">
        <f>IF(tech_base!$T109&gt;AA$1745,"",(tech_base!$K109/tech_proj!AA233*0.086*$J$132)/(1-tech_proj!AA513))</f>
        <v>0</v>
      </c>
      <c r="AB1853" s="119">
        <f>IF(tech_base!$T109&gt;AB$1745,"",(tech_base!$K109/tech_proj!AB233*0.086*$J$132)/(1-tech_proj!AB513))</f>
        <v>0</v>
      </c>
      <c r="AC1853" s="119">
        <f>IF(tech_base!$T109&gt;AC$1745,"",(tech_base!$K109/tech_proj!AC233*0.086*$J$132)/(1-tech_proj!AC513))</f>
        <v>0</v>
      </c>
      <c r="AD1853" s="119">
        <f>IF(tech_base!$T109&gt;AD$1745,"",(tech_base!$K109/tech_proj!AD233*0.086*$J$132)/(1-tech_proj!AD513))</f>
        <v>0</v>
      </c>
      <c r="AE1853" s="119">
        <f>IF(tech_base!$T109&gt;AE$1745,"",(tech_base!$K109/tech_proj!AE233*0.086*$J$132)/(1-tech_proj!AE513))</f>
        <v>0</v>
      </c>
      <c r="AF1853" s="119">
        <f>IF(tech_base!$T109&gt;AF$1745,"",(tech_base!$K109/tech_proj!AF233*0.086*$J$132)/(1-tech_proj!AF513))</f>
        <v>0</v>
      </c>
      <c r="AG1853" s="119">
        <f>IF(tech_base!$T109&gt;AG$1745,"",(tech_base!$K109/tech_proj!AG233*0.086*$J$132)/(1-tech_proj!AG513))</f>
        <v>0</v>
      </c>
      <c r="AH1853" s="119">
        <f>IF(tech_base!$T109&gt;AH$1745,"",(tech_base!$K109/tech_proj!AH233*0.086*$J$132)/(1-tech_proj!AH513))</f>
        <v>0</v>
      </c>
      <c r="AI1853" s="119">
        <f>IF(tech_base!$T109&gt;AI$1745,"",(tech_base!$K109/tech_proj!AI233*0.086*$J$132)/(1-tech_proj!AI513))</f>
        <v>0</v>
      </c>
      <c r="AJ1853" s="119">
        <f>IF(tech_base!$T109&gt;AJ$1745,"",(tech_base!$K109/tech_proj!AJ233*0.086*$J$132)/(1-tech_proj!AJ513))</f>
        <v>0</v>
      </c>
      <c r="AK1853" s="119">
        <f>IF(tech_base!$T109&gt;AK$1745,"",(tech_base!$K109/tech_proj!AK233*0.086*$J$132)/(1-tech_proj!AK513))</f>
        <v>0</v>
      </c>
      <c r="AL1853" s="119">
        <f>IF(tech_base!$T109&gt;AL$1745,"",(tech_base!$K109/tech_proj!AL233*0.086*$J$132)/(1-tech_proj!AL513))</f>
        <v>0</v>
      </c>
      <c r="AM1853" s="119">
        <f>IF(tech_base!$T109&gt;AM$1745,"",(tech_base!$K109/tech_proj!AM233*0.086*$J$132)/(1-tech_proj!AM513))</f>
        <v>0</v>
      </c>
      <c r="AN1853" s="119">
        <f>IF(tech_base!$T109&gt;AN$1745,"",(tech_base!$K109/tech_proj!AN233*0.086*$J$132)/(1-tech_proj!AN513))</f>
        <v>0</v>
      </c>
      <c r="AO1853" s="119">
        <f>IF(tech_base!$T109&gt;AO$1745,"",(tech_base!$K109/tech_proj!AO233*0.086*$J$132)/(1-tech_proj!AO513))</f>
        <v>0</v>
      </c>
      <c r="AP1853" s="119">
        <f>IF(tech_base!$T109&gt;AP$1745,"",(tech_base!$K109/tech_proj!AP233*0.086*$J$132)/(1-tech_proj!AP513))</f>
        <v>0</v>
      </c>
      <c r="AQ1853" s="119">
        <f>IF(tech_base!$T109&gt;AQ$1745,"",(tech_base!$K109/tech_proj!AQ233*0.086*$J$132)/(1-tech_proj!AQ513))</f>
        <v>0</v>
      </c>
      <c r="AR1853" s="119">
        <f>IF(tech_base!$T109&gt;AR$1745,"",(tech_base!$K109/tech_proj!AR233*0.086*$J$132)/(1-tech_proj!AR513))</f>
        <v>0</v>
      </c>
      <c r="AS1853" s="119">
        <f>IF(tech_base!$T109&gt;AS$1745,"",(tech_base!$K109/tech_proj!AS233*0.086*$J$132)/(1-tech_proj!AS513))</f>
        <v>0</v>
      </c>
      <c r="AT1853" s="119">
        <f>IF(tech_base!$T109&gt;AT$1745,"",(tech_base!$K109/tech_proj!AT233*0.086*$J$132)/(1-tech_proj!AT513))</f>
        <v>0</v>
      </c>
      <c r="AU1853" s="119">
        <f>IF(tech_base!$T109&gt;AU$1745,"",(tech_base!$K109/tech_proj!AU233*0.086*$J$132)/(1-tech_proj!AU513))</f>
        <v>0</v>
      </c>
      <c r="AV1853" s="119">
        <f>IF(tech_base!$T109&gt;AV$1745,"",(tech_base!$K109/tech_proj!AV233*0.086*$J$132)/(1-tech_proj!AV513))</f>
        <v>0</v>
      </c>
      <c r="AW1853" s="119">
        <f>IF(tech_base!$T109&gt;AW$1745,"",(tech_base!$K109/tech_proj!AW233*0.086*$J$132)/(1-tech_proj!AW513))</f>
        <v>0</v>
      </c>
      <c r="AX1853" s="120">
        <f>IF(tech_base!$T109&gt;AX$1745,"",(tech_base!$K109/tech_proj!AX233*0.086*$J$132)/(1-tech_proj!AX513))</f>
        <v>0</v>
      </c>
    </row>
    <row r="1854" spans="1:50" x14ac:dyDescent="0.25">
      <c r="A1854" s="356"/>
      <c r="B1854" s="376"/>
      <c r="C1854" s="379"/>
      <c r="D1854" s="59" t="s">
        <v>20</v>
      </c>
      <c r="E1854" s="166" t="str">
        <f>A1829&amp;"/"&amp;B1847&amp;"/"&amp;C1851&amp;"/"&amp;D1854</f>
        <v>Gas fired power plants (Natural gas, biogas)/Steam turbine/CHP/XS</v>
      </c>
      <c r="F1854" s="79" t="str">
        <f>A1829</f>
        <v>Gas fired power plants (Natural gas, biogas)</v>
      </c>
      <c r="G1854" s="79" t="str">
        <f>B1847</f>
        <v>Steam turbine</v>
      </c>
      <c r="H1854" s="79" t="str">
        <f>C1851</f>
        <v>CHP</v>
      </c>
      <c r="I1854" s="167" t="str">
        <f t="shared" si="383"/>
        <v>XS</v>
      </c>
      <c r="J1854" s="125">
        <f>IF(tech_base!$T110&gt;J$1745,"",(tech_base!$K110/tech_proj!J234*0.086*$J$132)/(1-tech_proj!J514))</f>
        <v>0</v>
      </c>
      <c r="K1854" s="125">
        <f>IF(tech_base!$T110&gt;K$1745,"",(tech_base!$K110/tech_proj!K234*0.086*$J$132)/(1-tech_proj!K514))</f>
        <v>0</v>
      </c>
      <c r="L1854" s="125">
        <f>IF(tech_base!$T110&gt;L$1745,"",(tech_base!$K110/tech_proj!L234*0.086*$J$132)/(1-tech_proj!L514))</f>
        <v>0</v>
      </c>
      <c r="M1854" s="125">
        <f>IF(tech_base!$T110&gt;M$1745,"",(tech_base!$K110/tech_proj!M234*0.086*$J$132)/(1-tech_proj!M514))</f>
        <v>0</v>
      </c>
      <c r="N1854" s="125">
        <f>IF(tech_base!$T110&gt;N$1745,"",(tech_base!$K110/tech_proj!N234*0.086*$J$132)/(1-tech_proj!N514))</f>
        <v>0</v>
      </c>
      <c r="O1854" s="125">
        <f>IF(tech_base!$T110&gt;O$1745,"",(tech_base!$K110/tech_proj!O234*0.086*$J$132)/(1-tech_proj!O514))</f>
        <v>0</v>
      </c>
      <c r="P1854" s="125">
        <f>IF(tech_base!$T110&gt;P$1745,"",(tech_base!$K110/tech_proj!P234*0.086*$J$132)/(1-tech_proj!P514))</f>
        <v>0</v>
      </c>
      <c r="Q1854" s="125">
        <f>IF(tech_base!$T110&gt;Q$1745,"",(tech_base!$K110/tech_proj!Q234*0.086*$J$132)/(1-tech_proj!Q514))</f>
        <v>0</v>
      </c>
      <c r="R1854" s="125">
        <f>IF(tech_base!$T110&gt;R$1745,"",(tech_base!$K110/tech_proj!R234*0.086*$J$132)/(1-tech_proj!R514))</f>
        <v>0</v>
      </c>
      <c r="S1854" s="125">
        <f>IF(tech_base!$T110&gt;S$1745,"",(tech_base!$K110/tech_proj!S234*0.086*$J$132)/(1-tech_proj!S514))</f>
        <v>0</v>
      </c>
      <c r="T1854" s="125">
        <f>IF(tech_base!$T110&gt;T$1745,"",(tech_base!$K110/tech_proj!T234*0.086*$J$132)/(1-tech_proj!T514))</f>
        <v>0</v>
      </c>
      <c r="U1854" s="125">
        <f>IF(tech_base!$T110&gt;U$1745,"",(tech_base!$K110/tech_proj!U234*0.086*$J$132)/(1-tech_proj!U514))</f>
        <v>0</v>
      </c>
      <c r="V1854" s="125">
        <f>IF(tech_base!$T110&gt;V$1745,"",(tech_base!$K110/tech_proj!V234*0.086*$J$132)/(1-tech_proj!V514))</f>
        <v>0</v>
      </c>
      <c r="W1854" s="125">
        <f>IF(tech_base!$T110&gt;W$1745,"",(tech_base!$K110/tech_proj!W234*0.086*$J$132)/(1-tech_proj!W514))</f>
        <v>0</v>
      </c>
      <c r="X1854" s="125">
        <f>IF(tech_base!$T110&gt;X$1745,"",(tech_base!$K110/tech_proj!X234*0.086*$J$132)/(1-tech_proj!X514))</f>
        <v>0</v>
      </c>
      <c r="Y1854" s="125">
        <f>IF(tech_base!$T110&gt;Y$1745,"",(tech_base!$K110/tech_proj!Y234*0.086*$J$132)/(1-tech_proj!Y514))</f>
        <v>0</v>
      </c>
      <c r="Z1854" s="125">
        <f>IF(tech_base!$T110&gt;Z$1745,"",(tech_base!$K110/tech_proj!Z234*0.086*$J$132)/(1-tech_proj!Z514))</f>
        <v>0</v>
      </c>
      <c r="AA1854" s="125">
        <f>IF(tech_base!$T110&gt;AA$1745,"",(tech_base!$K110/tech_proj!AA234*0.086*$J$132)/(1-tech_proj!AA514))</f>
        <v>0</v>
      </c>
      <c r="AB1854" s="125">
        <f>IF(tech_base!$T110&gt;AB$1745,"",(tech_base!$K110/tech_proj!AB234*0.086*$J$132)/(1-tech_proj!AB514))</f>
        <v>0</v>
      </c>
      <c r="AC1854" s="125">
        <f>IF(tech_base!$T110&gt;AC$1745,"",(tech_base!$K110/tech_proj!AC234*0.086*$J$132)/(1-tech_proj!AC514))</f>
        <v>0</v>
      </c>
      <c r="AD1854" s="125">
        <f>IF(tech_base!$T110&gt;AD$1745,"",(tech_base!$K110/tech_proj!AD234*0.086*$J$132)/(1-tech_proj!AD514))</f>
        <v>0</v>
      </c>
      <c r="AE1854" s="125">
        <f>IF(tech_base!$T110&gt;AE$1745,"",(tech_base!$K110/tech_proj!AE234*0.086*$J$132)/(1-tech_proj!AE514))</f>
        <v>0</v>
      </c>
      <c r="AF1854" s="125">
        <f>IF(tech_base!$T110&gt;AF$1745,"",(tech_base!$K110/tech_proj!AF234*0.086*$J$132)/(1-tech_proj!AF514))</f>
        <v>0</v>
      </c>
      <c r="AG1854" s="125">
        <f>IF(tech_base!$T110&gt;AG$1745,"",(tech_base!$K110/tech_proj!AG234*0.086*$J$132)/(1-tech_proj!AG514))</f>
        <v>0</v>
      </c>
      <c r="AH1854" s="125">
        <f>IF(tech_base!$T110&gt;AH$1745,"",(tech_base!$K110/tech_proj!AH234*0.086*$J$132)/(1-tech_proj!AH514))</f>
        <v>0</v>
      </c>
      <c r="AI1854" s="125">
        <f>IF(tech_base!$T110&gt;AI$1745,"",(tech_base!$K110/tech_proj!AI234*0.086*$J$132)/(1-tech_proj!AI514))</f>
        <v>0</v>
      </c>
      <c r="AJ1854" s="125">
        <f>IF(tech_base!$T110&gt;AJ$1745,"",(tech_base!$K110/tech_proj!AJ234*0.086*$J$132)/(1-tech_proj!AJ514))</f>
        <v>0</v>
      </c>
      <c r="AK1854" s="125">
        <f>IF(tech_base!$T110&gt;AK$1745,"",(tech_base!$K110/tech_proj!AK234*0.086*$J$132)/(1-tech_proj!AK514))</f>
        <v>0</v>
      </c>
      <c r="AL1854" s="125">
        <f>IF(tech_base!$T110&gt;AL$1745,"",(tech_base!$K110/tech_proj!AL234*0.086*$J$132)/(1-tech_proj!AL514))</f>
        <v>0</v>
      </c>
      <c r="AM1854" s="125">
        <f>IF(tech_base!$T110&gt;AM$1745,"",(tech_base!$K110/tech_proj!AM234*0.086*$J$132)/(1-tech_proj!AM514))</f>
        <v>0</v>
      </c>
      <c r="AN1854" s="125">
        <f>IF(tech_base!$T110&gt;AN$1745,"",(tech_base!$K110/tech_proj!AN234*0.086*$J$132)/(1-tech_proj!AN514))</f>
        <v>0</v>
      </c>
      <c r="AO1854" s="125">
        <f>IF(tech_base!$T110&gt;AO$1745,"",(tech_base!$K110/tech_proj!AO234*0.086*$J$132)/(1-tech_proj!AO514))</f>
        <v>0</v>
      </c>
      <c r="AP1854" s="125">
        <f>IF(tech_base!$T110&gt;AP$1745,"",(tech_base!$K110/tech_proj!AP234*0.086*$J$132)/(1-tech_proj!AP514))</f>
        <v>0</v>
      </c>
      <c r="AQ1854" s="125">
        <f>IF(tech_base!$T110&gt;AQ$1745,"",(tech_base!$K110/tech_proj!AQ234*0.086*$J$132)/(1-tech_proj!AQ514))</f>
        <v>0</v>
      </c>
      <c r="AR1854" s="125">
        <f>IF(tech_base!$T110&gt;AR$1745,"",(tech_base!$K110/tech_proj!AR234*0.086*$J$132)/(1-tech_proj!AR514))</f>
        <v>0</v>
      </c>
      <c r="AS1854" s="125">
        <f>IF(tech_base!$T110&gt;AS$1745,"",(tech_base!$K110/tech_proj!AS234*0.086*$J$132)/(1-tech_proj!AS514))</f>
        <v>0</v>
      </c>
      <c r="AT1854" s="125">
        <f>IF(tech_base!$T110&gt;AT$1745,"",(tech_base!$K110/tech_proj!AT234*0.086*$J$132)/(1-tech_proj!AT514))</f>
        <v>0</v>
      </c>
      <c r="AU1854" s="125">
        <f>IF(tech_base!$T110&gt;AU$1745,"",(tech_base!$K110/tech_proj!AU234*0.086*$J$132)/(1-tech_proj!AU514))</f>
        <v>0</v>
      </c>
      <c r="AV1854" s="125">
        <f>IF(tech_base!$T110&gt;AV$1745,"",(tech_base!$K110/tech_proj!AV234*0.086*$J$132)/(1-tech_proj!AV514))</f>
        <v>0</v>
      </c>
      <c r="AW1854" s="125">
        <f>IF(tech_base!$T110&gt;AW$1745,"",(tech_base!$K110/tech_proj!AW234*0.086*$J$132)/(1-tech_proj!AW514))</f>
        <v>0</v>
      </c>
      <c r="AX1854" s="126">
        <f>IF(tech_base!$T110&gt;AX$1745,"",(tech_base!$K110/tech_proj!AX234*0.086*$J$132)/(1-tech_proj!AX514))</f>
        <v>0</v>
      </c>
    </row>
    <row r="1855" spans="1:50" x14ac:dyDescent="0.25">
      <c r="A1855" s="356"/>
      <c r="B1855" s="376"/>
      <c r="C1855" s="361" t="s">
        <v>15</v>
      </c>
      <c r="D1855" s="58" t="s">
        <v>7</v>
      </c>
      <c r="E1855" s="164" t="str">
        <f>A1829&amp;"/"&amp;B1847&amp;"/"&amp;C1855&amp;"/"&amp;D1855</f>
        <v>Gas fired power plants (Natural gas, biogas)/Steam turbine/Electricity only with CCS/L</v>
      </c>
      <c r="F1855" s="78" t="str">
        <f>A1829</f>
        <v>Gas fired power plants (Natural gas, biogas)</v>
      </c>
      <c r="G1855" s="78" t="str">
        <f>B1847</f>
        <v>Steam turbine</v>
      </c>
      <c r="H1855" s="78" t="str">
        <f>C1855</f>
        <v>Electricity only with CCS</v>
      </c>
      <c r="I1855" s="165" t="str">
        <f t="shared" si="383"/>
        <v>L</v>
      </c>
      <c r="J1855" s="123" t="str">
        <f>IF(tech_base!$T111&gt;J$1745,"",(tech_base!$K111/tech_proj!J235*0.086*$J$132)/(1-tech_proj!J515))</f>
        <v/>
      </c>
      <c r="K1855" s="123" t="str">
        <f>IF(tech_base!$T111&gt;K$1745,"",(tech_base!$K111/tech_proj!K235*0.086*$J$132)/(1-tech_proj!K515))</f>
        <v/>
      </c>
      <c r="L1855" s="123" t="str">
        <f>IF(tech_base!$T111&gt;L$1745,"",(tech_base!$K111/tech_proj!L235*0.086*$J$132)/(1-tech_proj!L515))</f>
        <v/>
      </c>
      <c r="M1855" s="123" t="str">
        <f>IF(tech_base!$T111&gt;M$1745,"",(tech_base!$K111/tech_proj!M235*0.086*$J$132)/(1-tech_proj!M515))</f>
        <v/>
      </c>
      <c r="N1855" s="123" t="str">
        <f>IF(tech_base!$T111&gt;N$1745,"",(tech_base!$K111/tech_proj!N235*0.086*$J$132)/(1-tech_proj!N515))</f>
        <v/>
      </c>
      <c r="O1855" s="123" t="str">
        <f>IF(tech_base!$T111&gt;O$1745,"",(tech_base!$K111/tech_proj!O235*0.086*$J$132)/(1-tech_proj!O515))</f>
        <v/>
      </c>
      <c r="P1855" s="123" t="str">
        <f>IF(tech_base!$T111&gt;P$1745,"",(tech_base!$K111/tech_proj!P235*0.086*$J$132)/(1-tech_proj!P515))</f>
        <v/>
      </c>
      <c r="Q1855" s="123" t="str">
        <f>IF(tech_base!$T111&gt;Q$1745,"",(tech_base!$K111/tech_proj!Q235*0.086*$J$132)/(1-tech_proj!Q515))</f>
        <v/>
      </c>
      <c r="R1855" s="123" t="str">
        <f>IF(tech_base!$T111&gt;R$1745,"",(tech_base!$K111/tech_proj!R235*0.086*$J$132)/(1-tech_proj!R515))</f>
        <v/>
      </c>
      <c r="S1855" s="123" t="str">
        <f>IF(tech_base!$T111&gt;S$1745,"",(tech_base!$K111/tech_proj!S235*0.086*$J$132)/(1-tech_proj!S515))</f>
        <v/>
      </c>
      <c r="T1855" s="123" t="str">
        <f>IF(tech_base!$T111&gt;T$1745,"",(tech_base!$K111/tech_proj!T235*0.086*$J$132)/(1-tech_proj!T515))</f>
        <v/>
      </c>
      <c r="U1855" s="123" t="str">
        <f>IF(tech_base!$T111&gt;U$1745,"",(tech_base!$K111/tech_proj!U235*0.086*$J$132)/(1-tech_proj!U515))</f>
        <v/>
      </c>
      <c r="V1855" s="123" t="str">
        <f>IF(tech_base!$T111&gt;V$1745,"",(tech_base!$K111/tech_proj!V235*0.086*$J$132)/(1-tech_proj!V515))</f>
        <v/>
      </c>
      <c r="W1855" s="123" t="str">
        <f>IF(tech_base!$T111&gt;W$1745,"",(tech_base!$K111/tech_proj!W235*0.086*$J$132)/(1-tech_proj!W515))</f>
        <v/>
      </c>
      <c r="X1855" s="123" t="str">
        <f>IF(tech_base!$T111&gt;X$1745,"",(tech_base!$K111/tech_proj!X235*0.086*$J$132)/(1-tech_proj!X515))</f>
        <v/>
      </c>
      <c r="Y1855" s="123" t="str">
        <f>IF(tech_base!$T111&gt;Y$1745,"",(tech_base!$K111/tech_proj!Y235*0.086*$J$132)/(1-tech_proj!Y515))</f>
        <v/>
      </c>
      <c r="Z1855" s="123" t="str">
        <f>IF(tech_base!$T111&gt;Z$1745,"",(tech_base!$K111/tech_proj!Z235*0.086*$J$132)/(1-tech_proj!Z515))</f>
        <v/>
      </c>
      <c r="AA1855" s="123" t="str">
        <f>IF(tech_base!$T111&gt;AA$1745,"",(tech_base!$K111/tech_proj!AA235*0.086*$J$132)/(1-tech_proj!AA515))</f>
        <v/>
      </c>
      <c r="AB1855" s="123" t="str">
        <f>IF(tech_base!$T111&gt;AB$1745,"",(tech_base!$K111/tech_proj!AB235*0.086*$J$132)/(1-tech_proj!AB515))</f>
        <v/>
      </c>
      <c r="AC1855" s="123" t="str">
        <f>IF(tech_base!$T111&gt;AC$1745,"",(tech_base!$K111/tech_proj!AC235*0.086*$J$132)/(1-tech_proj!AC515))</f>
        <v/>
      </c>
      <c r="AD1855" s="123" t="str">
        <f>IF(tech_base!$T111&gt;AD$1745,"",(tech_base!$K111/tech_proj!AD235*0.086*$J$132)/(1-tech_proj!AD515))</f>
        <v/>
      </c>
      <c r="AE1855" s="123">
        <f>IF(tech_base!$T111&gt;AE$1745,"",(tech_base!$K111/tech_proj!AE235*0.086*$J$132)/(1-tech_proj!AE515))</f>
        <v>6.0715213550101153</v>
      </c>
      <c r="AF1855" s="123">
        <f>IF(tech_base!$T111&gt;AF$1745,"",(tech_base!$K111/tech_proj!AF235*0.086*$J$132)/(1-tech_proj!AF515))</f>
        <v>6.0715213550101153</v>
      </c>
      <c r="AG1855" s="123">
        <f>IF(tech_base!$T111&gt;AG$1745,"",(tech_base!$K111/tech_proj!AG235*0.086*$J$132)/(1-tech_proj!AG515))</f>
        <v>6.0715213550101153</v>
      </c>
      <c r="AH1855" s="123">
        <f>IF(tech_base!$T111&gt;AH$1745,"",(tech_base!$K111/tech_proj!AH235*0.086*$J$132)/(1-tech_proj!AH515))</f>
        <v>6.0715213550101153</v>
      </c>
      <c r="AI1855" s="123">
        <f>IF(tech_base!$T111&gt;AI$1745,"",(tech_base!$K111/tech_proj!AI235*0.086*$J$132)/(1-tech_proj!AI515))</f>
        <v>6.0715213550101153</v>
      </c>
      <c r="AJ1855" s="123">
        <f>IF(tech_base!$T111&gt;AJ$1745,"",(tech_base!$K111/tech_proj!AJ235*0.086*$J$132)/(1-tech_proj!AJ515))</f>
        <v>6.0715213550101153</v>
      </c>
      <c r="AK1855" s="123">
        <f>IF(tech_base!$T111&gt;AK$1745,"",(tech_base!$K111/tech_proj!AK235*0.086*$J$132)/(1-tech_proj!AK515))</f>
        <v>6.0715213550101153</v>
      </c>
      <c r="AL1855" s="123">
        <f>IF(tech_base!$T111&gt;AL$1745,"",(tech_base!$K111/tech_proj!AL235*0.086*$J$132)/(1-tech_proj!AL515))</f>
        <v>6.0715213550101153</v>
      </c>
      <c r="AM1855" s="123">
        <f>IF(tech_base!$T111&gt;AM$1745,"",(tech_base!$K111/tech_proj!AM235*0.086*$J$132)/(1-tech_proj!AM515))</f>
        <v>6.0715213550101153</v>
      </c>
      <c r="AN1855" s="123">
        <f>IF(tech_base!$T111&gt;AN$1745,"",(tech_base!$K111/tech_proj!AN235*0.086*$J$132)/(1-tech_proj!AN515))</f>
        <v>6.0715213550101153</v>
      </c>
      <c r="AO1855" s="123">
        <f>IF(tech_base!$T111&gt;AO$1745,"",(tech_base!$K111/tech_proj!AO235*0.086*$J$132)/(1-tech_proj!AO515))</f>
        <v>6.0715213550101153</v>
      </c>
      <c r="AP1855" s="123">
        <f>IF(tech_base!$T111&gt;AP$1745,"",(tech_base!$K111/tech_proj!AP235*0.086*$J$132)/(1-tech_proj!AP515))</f>
        <v>6.0715213550101153</v>
      </c>
      <c r="AQ1855" s="123">
        <f>IF(tech_base!$T111&gt;AQ$1745,"",(tech_base!$K111/tech_proj!AQ235*0.086*$J$132)/(1-tech_proj!AQ515))</f>
        <v>6.0715213550101153</v>
      </c>
      <c r="AR1855" s="123">
        <f>IF(tech_base!$T111&gt;AR$1745,"",(tech_base!$K111/tech_proj!AR235*0.086*$J$132)/(1-tech_proj!AR515))</f>
        <v>6.0715213550101153</v>
      </c>
      <c r="AS1855" s="123">
        <f>IF(tech_base!$T111&gt;AS$1745,"",(tech_base!$K111/tech_proj!AS235*0.086*$J$132)/(1-tech_proj!AS515))</f>
        <v>6.0715213550101153</v>
      </c>
      <c r="AT1855" s="123">
        <f>IF(tech_base!$T111&gt;AT$1745,"",(tech_base!$K111/tech_proj!AT235*0.086*$J$132)/(1-tech_proj!AT515))</f>
        <v>6.0715213550101153</v>
      </c>
      <c r="AU1855" s="123">
        <f>IF(tech_base!$T111&gt;AU$1745,"",(tech_base!$K111/tech_proj!AU235*0.086*$J$132)/(1-tech_proj!AU515))</f>
        <v>6.0715213550101153</v>
      </c>
      <c r="AV1855" s="123">
        <f>IF(tech_base!$T111&gt;AV$1745,"",(tech_base!$K111/tech_proj!AV235*0.086*$J$132)/(1-tech_proj!AV515))</f>
        <v>6.0715213550101153</v>
      </c>
      <c r="AW1855" s="123">
        <f>IF(tech_base!$T111&gt;AW$1745,"",(tech_base!$K111/tech_proj!AW235*0.086*$J$132)/(1-tech_proj!AW515))</f>
        <v>6.0715213550101153</v>
      </c>
      <c r="AX1855" s="124">
        <f>IF(tech_base!$T111&gt;AX$1745,"",(tech_base!$K111/tech_proj!AX235*0.086*$J$132)/(1-tech_proj!AX515))</f>
        <v>6.0715213550101153</v>
      </c>
    </row>
    <row r="1856" spans="1:50" x14ac:dyDescent="0.25">
      <c r="A1856" s="356"/>
      <c r="B1856" s="376"/>
      <c r="C1856" s="379"/>
      <c r="D1856" s="59" t="s">
        <v>8</v>
      </c>
      <c r="E1856" s="166" t="str">
        <f>A1829&amp;"/"&amp;B1847&amp;"/"&amp;C1855&amp;"/"&amp;D1856</f>
        <v>Gas fired power plants (Natural gas, biogas)/Steam turbine/Electricity only with CCS/M</v>
      </c>
      <c r="F1856" s="79" t="str">
        <f>A1829</f>
        <v>Gas fired power plants (Natural gas, biogas)</v>
      </c>
      <c r="G1856" s="79" t="str">
        <f>B1847</f>
        <v>Steam turbine</v>
      </c>
      <c r="H1856" s="79" t="str">
        <f>C1855</f>
        <v>Electricity only with CCS</v>
      </c>
      <c r="I1856" s="167" t="str">
        <f t="shared" si="383"/>
        <v>M</v>
      </c>
      <c r="J1856" s="125" t="str">
        <f>IF(tech_base!$T112&gt;J$1745,"",(tech_base!$K112/tech_proj!J236*0.086*$J$132)/(1-tech_proj!J516))</f>
        <v/>
      </c>
      <c r="K1856" s="125" t="str">
        <f>IF(tech_base!$T112&gt;K$1745,"",(tech_base!$K112/tech_proj!K236*0.086*$J$132)/(1-tech_proj!K516))</f>
        <v/>
      </c>
      <c r="L1856" s="125" t="str">
        <f>IF(tech_base!$T112&gt;L$1745,"",(tech_base!$K112/tech_proj!L236*0.086*$J$132)/(1-tech_proj!L516))</f>
        <v/>
      </c>
      <c r="M1856" s="125" t="str">
        <f>IF(tech_base!$T112&gt;M$1745,"",(tech_base!$K112/tech_proj!M236*0.086*$J$132)/(1-tech_proj!M516))</f>
        <v/>
      </c>
      <c r="N1856" s="125" t="str">
        <f>IF(tech_base!$T112&gt;N$1745,"",(tech_base!$K112/tech_proj!N236*0.086*$J$132)/(1-tech_proj!N516))</f>
        <v/>
      </c>
      <c r="O1856" s="125" t="str">
        <f>IF(tech_base!$T112&gt;O$1745,"",(tech_base!$K112/tech_proj!O236*0.086*$J$132)/(1-tech_proj!O516))</f>
        <v/>
      </c>
      <c r="P1856" s="125" t="str">
        <f>IF(tech_base!$T112&gt;P$1745,"",(tech_base!$K112/tech_proj!P236*0.086*$J$132)/(1-tech_proj!P516))</f>
        <v/>
      </c>
      <c r="Q1856" s="125" t="str">
        <f>IF(tech_base!$T112&gt;Q$1745,"",(tech_base!$K112/tech_proj!Q236*0.086*$J$132)/(1-tech_proj!Q516))</f>
        <v/>
      </c>
      <c r="R1856" s="125" t="str">
        <f>IF(tech_base!$T112&gt;R$1745,"",(tech_base!$K112/tech_proj!R236*0.086*$J$132)/(1-tech_proj!R516))</f>
        <v/>
      </c>
      <c r="S1856" s="125" t="str">
        <f>IF(tech_base!$T112&gt;S$1745,"",(tech_base!$K112/tech_proj!S236*0.086*$J$132)/(1-tech_proj!S516))</f>
        <v/>
      </c>
      <c r="T1856" s="125" t="str">
        <f>IF(tech_base!$T112&gt;T$1745,"",(tech_base!$K112/tech_proj!T236*0.086*$J$132)/(1-tech_proj!T516))</f>
        <v/>
      </c>
      <c r="U1856" s="125" t="str">
        <f>IF(tech_base!$T112&gt;U$1745,"",(tech_base!$K112/tech_proj!U236*0.086*$J$132)/(1-tech_proj!U516))</f>
        <v/>
      </c>
      <c r="V1856" s="125" t="str">
        <f>IF(tech_base!$T112&gt;V$1745,"",(tech_base!$K112/tech_proj!V236*0.086*$J$132)/(1-tech_proj!V516))</f>
        <v/>
      </c>
      <c r="W1856" s="125" t="str">
        <f>IF(tech_base!$T112&gt;W$1745,"",(tech_base!$K112/tech_proj!W236*0.086*$J$132)/(1-tech_proj!W516))</f>
        <v/>
      </c>
      <c r="X1856" s="125" t="str">
        <f>IF(tech_base!$T112&gt;X$1745,"",(tech_base!$K112/tech_proj!X236*0.086*$J$132)/(1-tech_proj!X516))</f>
        <v/>
      </c>
      <c r="Y1856" s="125" t="str">
        <f>IF(tech_base!$T112&gt;Y$1745,"",(tech_base!$K112/tech_proj!Y236*0.086*$J$132)/(1-tech_proj!Y516))</f>
        <v/>
      </c>
      <c r="Z1856" s="125" t="str">
        <f>IF(tech_base!$T112&gt;Z$1745,"",(tech_base!$K112/tech_proj!Z236*0.086*$J$132)/(1-tech_proj!Z516))</f>
        <v/>
      </c>
      <c r="AA1856" s="125" t="str">
        <f>IF(tech_base!$T112&gt;AA$1745,"",(tech_base!$K112/tech_proj!AA236*0.086*$J$132)/(1-tech_proj!AA516))</f>
        <v/>
      </c>
      <c r="AB1856" s="125" t="str">
        <f>IF(tech_base!$T112&gt;AB$1745,"",(tech_base!$K112/tech_proj!AB236*0.086*$J$132)/(1-tech_proj!AB516))</f>
        <v/>
      </c>
      <c r="AC1856" s="125" t="str">
        <f>IF(tech_base!$T112&gt;AC$1745,"",(tech_base!$K112/tech_proj!AC236*0.086*$J$132)/(1-tech_proj!AC516))</f>
        <v/>
      </c>
      <c r="AD1856" s="125" t="str">
        <f>IF(tech_base!$T112&gt;AD$1745,"",(tech_base!$K112/tech_proj!AD236*0.086*$J$132)/(1-tech_proj!AD516))</f>
        <v/>
      </c>
      <c r="AE1856" s="125">
        <f>IF(tech_base!$T112&gt;AE$1745,"",(tech_base!$K112/tech_proj!AE236*0.086*$J$132)/(1-tech_proj!AE516))</f>
        <v>6.460971089135203</v>
      </c>
      <c r="AF1856" s="125">
        <f>IF(tech_base!$T112&gt;AF$1745,"",(tech_base!$K112/tech_proj!AF236*0.086*$J$132)/(1-tech_proj!AF516))</f>
        <v>6.460971089135203</v>
      </c>
      <c r="AG1856" s="125">
        <f>IF(tech_base!$T112&gt;AG$1745,"",(tech_base!$K112/tech_proj!AG236*0.086*$J$132)/(1-tech_proj!AG516))</f>
        <v>6.460971089135203</v>
      </c>
      <c r="AH1856" s="125">
        <f>IF(tech_base!$T112&gt;AH$1745,"",(tech_base!$K112/tech_proj!AH236*0.086*$J$132)/(1-tech_proj!AH516))</f>
        <v>6.460971089135203</v>
      </c>
      <c r="AI1856" s="125">
        <f>IF(tech_base!$T112&gt;AI$1745,"",(tech_base!$K112/tech_proj!AI236*0.086*$J$132)/(1-tech_proj!AI516))</f>
        <v>6.460971089135203</v>
      </c>
      <c r="AJ1856" s="125">
        <f>IF(tech_base!$T112&gt;AJ$1745,"",(tech_base!$K112/tech_proj!AJ236*0.086*$J$132)/(1-tech_proj!AJ516))</f>
        <v>6.460971089135203</v>
      </c>
      <c r="AK1856" s="125">
        <f>IF(tech_base!$T112&gt;AK$1745,"",(tech_base!$K112/tech_proj!AK236*0.086*$J$132)/(1-tech_proj!AK516))</f>
        <v>6.460971089135203</v>
      </c>
      <c r="AL1856" s="125">
        <f>IF(tech_base!$T112&gt;AL$1745,"",(tech_base!$K112/tech_proj!AL236*0.086*$J$132)/(1-tech_proj!AL516))</f>
        <v>6.460971089135203</v>
      </c>
      <c r="AM1856" s="125">
        <f>IF(tech_base!$T112&gt;AM$1745,"",(tech_base!$K112/tech_proj!AM236*0.086*$J$132)/(1-tech_proj!AM516))</f>
        <v>6.460971089135203</v>
      </c>
      <c r="AN1856" s="125">
        <f>IF(tech_base!$T112&gt;AN$1745,"",(tech_base!$K112/tech_proj!AN236*0.086*$J$132)/(1-tech_proj!AN516))</f>
        <v>6.460971089135203</v>
      </c>
      <c r="AO1856" s="125">
        <f>IF(tech_base!$T112&gt;AO$1745,"",(tech_base!$K112/tech_proj!AO236*0.086*$J$132)/(1-tech_proj!AO516))</f>
        <v>6.460971089135203</v>
      </c>
      <c r="AP1856" s="125">
        <f>IF(tech_base!$T112&gt;AP$1745,"",(tech_base!$K112/tech_proj!AP236*0.086*$J$132)/(1-tech_proj!AP516))</f>
        <v>6.460971089135203</v>
      </c>
      <c r="AQ1856" s="125">
        <f>IF(tech_base!$T112&gt;AQ$1745,"",(tech_base!$K112/tech_proj!AQ236*0.086*$J$132)/(1-tech_proj!AQ516))</f>
        <v>6.460971089135203</v>
      </c>
      <c r="AR1856" s="125">
        <f>IF(tech_base!$T112&gt;AR$1745,"",(tech_base!$K112/tech_proj!AR236*0.086*$J$132)/(1-tech_proj!AR516))</f>
        <v>6.460971089135203</v>
      </c>
      <c r="AS1856" s="125">
        <f>IF(tech_base!$T112&gt;AS$1745,"",(tech_base!$K112/tech_proj!AS236*0.086*$J$132)/(1-tech_proj!AS516))</f>
        <v>6.460971089135203</v>
      </c>
      <c r="AT1856" s="125">
        <f>IF(tech_base!$T112&gt;AT$1745,"",(tech_base!$K112/tech_proj!AT236*0.086*$J$132)/(1-tech_proj!AT516))</f>
        <v>6.460971089135203</v>
      </c>
      <c r="AU1856" s="125">
        <f>IF(tech_base!$T112&gt;AU$1745,"",(tech_base!$K112/tech_proj!AU236*0.086*$J$132)/(1-tech_proj!AU516))</f>
        <v>6.460971089135203</v>
      </c>
      <c r="AV1856" s="125">
        <f>IF(tech_base!$T112&gt;AV$1745,"",(tech_base!$K112/tech_proj!AV236*0.086*$J$132)/(1-tech_proj!AV516))</f>
        <v>6.460971089135203</v>
      </c>
      <c r="AW1856" s="125">
        <f>IF(tech_base!$T112&gt;AW$1745,"",(tech_base!$K112/tech_proj!AW236*0.086*$J$132)/(1-tech_proj!AW516))</f>
        <v>6.460971089135203</v>
      </c>
      <c r="AX1856" s="126">
        <f>IF(tech_base!$T112&gt;AX$1745,"",(tech_base!$K112/tech_proj!AX236*0.086*$J$132)/(1-tech_proj!AX516))</f>
        <v>6.460971089135203</v>
      </c>
    </row>
    <row r="1857" spans="1:50" x14ac:dyDescent="0.25">
      <c r="A1857" s="356"/>
      <c r="B1857" s="376"/>
      <c r="C1857" s="361" t="s">
        <v>16</v>
      </c>
      <c r="D1857" s="2" t="s">
        <v>7</v>
      </c>
      <c r="E1857" s="160" t="str">
        <f>A1829&amp;"/"&amp;B1847&amp;"/"&amp;C1857&amp;"/"&amp;D1857</f>
        <v>Gas fired power plants (Natural gas, biogas)/Steam turbine/CHP with CCS/L</v>
      </c>
      <c r="F1857" s="76" t="str">
        <f>A1829</f>
        <v>Gas fired power plants (Natural gas, biogas)</v>
      </c>
      <c r="G1857" s="76" t="str">
        <f>B1847</f>
        <v>Steam turbine</v>
      </c>
      <c r="H1857" s="76" t="str">
        <f>C1857</f>
        <v>CHP with CCS</v>
      </c>
      <c r="I1857" s="161" t="str">
        <f t="shared" si="383"/>
        <v>L</v>
      </c>
      <c r="J1857" s="119" t="str">
        <f>IF(tech_base!$T113&gt;J$1745,"",(tech_base!$K113/tech_proj!J237*0.086*$J$132)/(1-tech_proj!J517))</f>
        <v/>
      </c>
      <c r="K1857" s="119" t="str">
        <f>IF(tech_base!$T113&gt;K$1745,"",(tech_base!$K113/tech_proj!K237*0.086*$J$132)/(1-tech_proj!K517))</f>
        <v/>
      </c>
      <c r="L1857" s="119" t="str">
        <f>IF(tech_base!$T113&gt;L$1745,"",(tech_base!$K113/tech_proj!L237*0.086*$J$132)/(1-tech_proj!L517))</f>
        <v/>
      </c>
      <c r="M1857" s="119" t="str">
        <f>IF(tech_base!$T113&gt;M$1745,"",(tech_base!$K113/tech_proj!M237*0.086*$J$132)/(1-tech_proj!M517))</f>
        <v/>
      </c>
      <c r="N1857" s="119" t="str">
        <f>IF(tech_base!$T113&gt;N$1745,"",(tech_base!$K113/tech_proj!N237*0.086*$J$132)/(1-tech_proj!N517))</f>
        <v/>
      </c>
      <c r="O1857" s="119" t="str">
        <f>IF(tech_base!$T113&gt;O$1745,"",(tech_base!$K113/tech_proj!O237*0.086*$J$132)/(1-tech_proj!O517))</f>
        <v/>
      </c>
      <c r="P1857" s="119" t="str">
        <f>IF(tech_base!$T113&gt;P$1745,"",(tech_base!$K113/tech_proj!P237*0.086*$J$132)/(1-tech_proj!P517))</f>
        <v/>
      </c>
      <c r="Q1857" s="119" t="str">
        <f>IF(tech_base!$T113&gt;Q$1745,"",(tech_base!$K113/tech_proj!Q237*0.086*$J$132)/(1-tech_proj!Q517))</f>
        <v/>
      </c>
      <c r="R1857" s="119" t="str">
        <f>IF(tech_base!$T113&gt;R$1745,"",(tech_base!$K113/tech_proj!R237*0.086*$J$132)/(1-tech_proj!R517))</f>
        <v/>
      </c>
      <c r="S1857" s="119" t="str">
        <f>IF(tech_base!$T113&gt;S$1745,"",(tech_base!$K113/tech_proj!S237*0.086*$J$132)/(1-tech_proj!S517))</f>
        <v/>
      </c>
      <c r="T1857" s="119" t="str">
        <f>IF(tech_base!$T113&gt;T$1745,"",(tech_base!$K113/tech_proj!T237*0.086*$J$132)/(1-tech_proj!T517))</f>
        <v/>
      </c>
      <c r="U1857" s="119" t="str">
        <f>IF(tech_base!$T113&gt;U$1745,"",(tech_base!$K113/tech_proj!U237*0.086*$J$132)/(1-tech_proj!U517))</f>
        <v/>
      </c>
      <c r="V1857" s="119" t="str">
        <f>IF(tech_base!$T113&gt;V$1745,"",(tech_base!$K113/tech_proj!V237*0.086*$J$132)/(1-tech_proj!V517))</f>
        <v/>
      </c>
      <c r="W1857" s="119" t="str">
        <f>IF(tech_base!$T113&gt;W$1745,"",(tech_base!$K113/tech_proj!W237*0.086*$J$132)/(1-tech_proj!W517))</f>
        <v/>
      </c>
      <c r="X1857" s="119" t="str">
        <f>IF(tech_base!$T113&gt;X$1745,"",(tech_base!$K113/tech_proj!X237*0.086*$J$132)/(1-tech_proj!X517))</f>
        <v/>
      </c>
      <c r="Y1857" s="119" t="str">
        <f>IF(tech_base!$T113&gt;Y$1745,"",(tech_base!$K113/tech_proj!Y237*0.086*$J$132)/(1-tech_proj!Y517))</f>
        <v/>
      </c>
      <c r="Z1857" s="119" t="str">
        <f>IF(tech_base!$T113&gt;Z$1745,"",(tech_base!$K113/tech_proj!Z237*0.086*$J$132)/(1-tech_proj!Z517))</f>
        <v/>
      </c>
      <c r="AA1857" s="119" t="str">
        <f>IF(tech_base!$T113&gt;AA$1745,"",(tech_base!$K113/tech_proj!AA237*0.086*$J$132)/(1-tech_proj!AA517))</f>
        <v/>
      </c>
      <c r="AB1857" s="119" t="str">
        <f>IF(tech_base!$T113&gt;AB$1745,"",(tech_base!$K113/tech_proj!AB237*0.086*$J$132)/(1-tech_proj!AB517))</f>
        <v/>
      </c>
      <c r="AC1857" s="119" t="str">
        <f>IF(tech_base!$T113&gt;AC$1745,"",(tech_base!$K113/tech_proj!AC237*0.086*$J$132)/(1-tech_proj!AC517))</f>
        <v/>
      </c>
      <c r="AD1857" s="119" t="str">
        <f>IF(tech_base!$T113&gt;AD$1745,"",(tech_base!$K113/tech_proj!AD237*0.086*$J$132)/(1-tech_proj!AD517))</f>
        <v/>
      </c>
      <c r="AE1857" s="119">
        <f>IF(tech_base!$T113&gt;AE$1745,"",(tech_base!$K113/tech_proj!AE237*0.086*$J$132)/(1-tech_proj!AE517))</f>
        <v>6.8610559915523934</v>
      </c>
      <c r="AF1857" s="119">
        <f>IF(tech_base!$T113&gt;AF$1745,"",(tech_base!$K113/tech_proj!AF237*0.086*$J$132)/(1-tech_proj!AF517))</f>
        <v>6.8610559915523934</v>
      </c>
      <c r="AG1857" s="119">
        <f>IF(tech_base!$T113&gt;AG$1745,"",(tech_base!$K113/tech_proj!AG237*0.086*$J$132)/(1-tech_proj!AG517))</f>
        <v>6.8610559915523934</v>
      </c>
      <c r="AH1857" s="119">
        <f>IF(tech_base!$T113&gt;AH$1745,"",(tech_base!$K113/tech_proj!AH237*0.086*$J$132)/(1-tech_proj!AH517))</f>
        <v>6.8610559915523934</v>
      </c>
      <c r="AI1857" s="119">
        <f>IF(tech_base!$T113&gt;AI$1745,"",(tech_base!$K113/tech_proj!AI237*0.086*$J$132)/(1-tech_proj!AI517))</f>
        <v>6.8610559915523934</v>
      </c>
      <c r="AJ1857" s="119">
        <f>IF(tech_base!$T113&gt;AJ$1745,"",(tech_base!$K113/tech_proj!AJ237*0.086*$J$132)/(1-tech_proj!AJ517))</f>
        <v>6.8610559915523934</v>
      </c>
      <c r="AK1857" s="119">
        <f>IF(tech_base!$T113&gt;AK$1745,"",(tech_base!$K113/tech_proj!AK237*0.086*$J$132)/(1-tech_proj!AK517))</f>
        <v>6.8610559915523934</v>
      </c>
      <c r="AL1857" s="119">
        <f>IF(tech_base!$T113&gt;AL$1745,"",(tech_base!$K113/tech_proj!AL237*0.086*$J$132)/(1-tech_proj!AL517))</f>
        <v>6.8610559915523934</v>
      </c>
      <c r="AM1857" s="119">
        <f>IF(tech_base!$T113&gt;AM$1745,"",(tech_base!$K113/tech_proj!AM237*0.086*$J$132)/(1-tech_proj!AM517))</f>
        <v>6.8610559915523934</v>
      </c>
      <c r="AN1857" s="119">
        <f>IF(tech_base!$T113&gt;AN$1745,"",(tech_base!$K113/tech_proj!AN237*0.086*$J$132)/(1-tech_proj!AN517))</f>
        <v>6.8610559915523934</v>
      </c>
      <c r="AO1857" s="119">
        <f>IF(tech_base!$T113&gt;AO$1745,"",(tech_base!$K113/tech_proj!AO237*0.086*$J$132)/(1-tech_proj!AO517))</f>
        <v>6.8610559915523934</v>
      </c>
      <c r="AP1857" s="119">
        <f>IF(tech_base!$T113&gt;AP$1745,"",(tech_base!$K113/tech_proj!AP237*0.086*$J$132)/(1-tech_proj!AP517))</f>
        <v>6.8610559915523934</v>
      </c>
      <c r="AQ1857" s="119">
        <f>IF(tech_base!$T113&gt;AQ$1745,"",(tech_base!$K113/tech_proj!AQ237*0.086*$J$132)/(1-tech_proj!AQ517))</f>
        <v>6.8610559915523934</v>
      </c>
      <c r="AR1857" s="119">
        <f>IF(tech_base!$T113&gt;AR$1745,"",(tech_base!$K113/tech_proj!AR237*0.086*$J$132)/(1-tech_proj!AR517))</f>
        <v>6.8610559915523934</v>
      </c>
      <c r="AS1857" s="119">
        <f>IF(tech_base!$T113&gt;AS$1745,"",(tech_base!$K113/tech_proj!AS237*0.086*$J$132)/(1-tech_proj!AS517))</f>
        <v>6.8610559915523934</v>
      </c>
      <c r="AT1857" s="119">
        <f>IF(tech_base!$T113&gt;AT$1745,"",(tech_base!$K113/tech_proj!AT237*0.086*$J$132)/(1-tech_proj!AT517))</f>
        <v>6.8610559915523934</v>
      </c>
      <c r="AU1857" s="119">
        <f>IF(tech_base!$T113&gt;AU$1745,"",(tech_base!$K113/tech_proj!AU237*0.086*$J$132)/(1-tech_proj!AU517))</f>
        <v>6.8610559915523934</v>
      </c>
      <c r="AV1857" s="119">
        <f>IF(tech_base!$T113&gt;AV$1745,"",(tech_base!$K113/tech_proj!AV237*0.086*$J$132)/(1-tech_proj!AV517))</f>
        <v>6.8610559915523934</v>
      </c>
      <c r="AW1857" s="119">
        <f>IF(tech_base!$T113&gt;AW$1745,"",(tech_base!$K113/tech_proj!AW237*0.086*$J$132)/(1-tech_proj!AW517))</f>
        <v>6.8610559915523934</v>
      </c>
      <c r="AX1857" s="120">
        <f>IF(tech_base!$T113&gt;AX$1745,"",(tech_base!$K113/tech_proj!AX237*0.086*$J$132)/(1-tech_proj!AX517))</f>
        <v>6.8610559915523934</v>
      </c>
    </row>
    <row r="1858" spans="1:50" x14ac:dyDescent="0.25">
      <c r="A1858" s="356"/>
      <c r="B1858" s="380"/>
      <c r="C1858" s="381"/>
      <c r="D1858" s="4" t="s">
        <v>8</v>
      </c>
      <c r="E1858" s="168" t="str">
        <f>A1829&amp;"/"&amp;B1847&amp;"/"&amp;C1857&amp;"/"&amp;D1858</f>
        <v>Gas fired power plants (Natural gas, biogas)/Steam turbine/CHP with CCS/M</v>
      </c>
      <c r="F1858" s="80" t="str">
        <f>A1829</f>
        <v>Gas fired power plants (Natural gas, biogas)</v>
      </c>
      <c r="G1858" s="80" t="str">
        <f>B1847</f>
        <v>Steam turbine</v>
      </c>
      <c r="H1858" s="80" t="str">
        <f>C1857</f>
        <v>CHP with CCS</v>
      </c>
      <c r="I1858" s="169" t="str">
        <f t="shared" si="383"/>
        <v>M</v>
      </c>
      <c r="J1858" s="127" t="str">
        <f>IF(tech_base!$T114&gt;J$1745,"",(tech_base!$K114/tech_proj!J238*0.086*$J$132)/(1-tech_proj!J518))</f>
        <v/>
      </c>
      <c r="K1858" s="127" t="str">
        <f>IF(tech_base!$T114&gt;K$1745,"",(tech_base!$K114/tech_proj!K238*0.086*$J$132)/(1-tech_proj!K518))</f>
        <v/>
      </c>
      <c r="L1858" s="127" t="str">
        <f>IF(tech_base!$T114&gt;L$1745,"",(tech_base!$K114/tech_proj!L238*0.086*$J$132)/(1-tech_proj!L518))</f>
        <v/>
      </c>
      <c r="M1858" s="127" t="str">
        <f>IF(tech_base!$T114&gt;M$1745,"",(tech_base!$K114/tech_proj!M238*0.086*$J$132)/(1-tech_proj!M518))</f>
        <v/>
      </c>
      <c r="N1858" s="127" t="str">
        <f>IF(tech_base!$T114&gt;N$1745,"",(tech_base!$K114/tech_proj!N238*0.086*$J$132)/(1-tech_proj!N518))</f>
        <v/>
      </c>
      <c r="O1858" s="127" t="str">
        <f>IF(tech_base!$T114&gt;O$1745,"",(tech_base!$K114/tech_proj!O238*0.086*$J$132)/(1-tech_proj!O518))</f>
        <v/>
      </c>
      <c r="P1858" s="127" t="str">
        <f>IF(tech_base!$T114&gt;P$1745,"",(tech_base!$K114/tech_proj!P238*0.086*$J$132)/(1-tech_proj!P518))</f>
        <v/>
      </c>
      <c r="Q1858" s="127" t="str">
        <f>IF(tech_base!$T114&gt;Q$1745,"",(tech_base!$K114/tech_proj!Q238*0.086*$J$132)/(1-tech_proj!Q518))</f>
        <v/>
      </c>
      <c r="R1858" s="127" t="str">
        <f>IF(tech_base!$T114&gt;R$1745,"",(tech_base!$K114/tech_proj!R238*0.086*$J$132)/(1-tech_proj!R518))</f>
        <v/>
      </c>
      <c r="S1858" s="127" t="str">
        <f>IF(tech_base!$T114&gt;S$1745,"",(tech_base!$K114/tech_proj!S238*0.086*$J$132)/(1-tech_proj!S518))</f>
        <v/>
      </c>
      <c r="T1858" s="127" t="str">
        <f>IF(tech_base!$T114&gt;T$1745,"",(tech_base!$K114/tech_proj!T238*0.086*$J$132)/(1-tech_proj!T518))</f>
        <v/>
      </c>
      <c r="U1858" s="127" t="str">
        <f>IF(tech_base!$T114&gt;U$1745,"",(tech_base!$K114/tech_proj!U238*0.086*$J$132)/(1-tech_proj!U518))</f>
        <v/>
      </c>
      <c r="V1858" s="127" t="str">
        <f>IF(tech_base!$T114&gt;V$1745,"",(tech_base!$K114/tech_proj!V238*0.086*$J$132)/(1-tech_proj!V518))</f>
        <v/>
      </c>
      <c r="W1858" s="127" t="str">
        <f>IF(tech_base!$T114&gt;W$1745,"",(tech_base!$K114/tech_proj!W238*0.086*$J$132)/(1-tech_proj!W518))</f>
        <v/>
      </c>
      <c r="X1858" s="127" t="str">
        <f>IF(tech_base!$T114&gt;X$1745,"",(tech_base!$K114/tech_proj!X238*0.086*$J$132)/(1-tech_proj!X518))</f>
        <v/>
      </c>
      <c r="Y1858" s="127" t="str">
        <f>IF(tech_base!$T114&gt;Y$1745,"",(tech_base!$K114/tech_proj!Y238*0.086*$J$132)/(1-tech_proj!Y518))</f>
        <v/>
      </c>
      <c r="Z1858" s="127" t="str">
        <f>IF(tech_base!$T114&gt;Z$1745,"",(tech_base!$K114/tech_proj!Z238*0.086*$J$132)/(1-tech_proj!Z518))</f>
        <v/>
      </c>
      <c r="AA1858" s="127" t="str">
        <f>IF(tech_base!$T114&gt;AA$1745,"",(tech_base!$K114/tech_proj!AA238*0.086*$J$132)/(1-tech_proj!AA518))</f>
        <v/>
      </c>
      <c r="AB1858" s="127" t="str">
        <f>IF(tech_base!$T114&gt;AB$1745,"",(tech_base!$K114/tech_proj!AB238*0.086*$J$132)/(1-tech_proj!AB518))</f>
        <v/>
      </c>
      <c r="AC1858" s="127" t="str">
        <f>IF(tech_base!$T114&gt;AC$1745,"",(tech_base!$K114/tech_proj!AC238*0.086*$J$132)/(1-tech_proj!AC518))</f>
        <v/>
      </c>
      <c r="AD1858" s="127" t="str">
        <f>IF(tech_base!$T114&gt;AD$1745,"",(tech_base!$K114/tech_proj!AD238*0.086*$J$132)/(1-tech_proj!AD518))</f>
        <v/>
      </c>
      <c r="AE1858" s="127">
        <f>IF(tech_base!$T114&gt;AE$1745,"",(tech_base!$K114/tech_proj!AE238*0.086*$J$132)/(1-tech_proj!AE518))</f>
        <v>7.3139608692045428</v>
      </c>
      <c r="AF1858" s="127">
        <f>IF(tech_base!$T114&gt;AF$1745,"",(tech_base!$K114/tech_proj!AF238*0.086*$J$132)/(1-tech_proj!AF518))</f>
        <v>7.3139608692045428</v>
      </c>
      <c r="AG1858" s="127">
        <f>IF(tech_base!$T114&gt;AG$1745,"",(tech_base!$K114/tech_proj!AG238*0.086*$J$132)/(1-tech_proj!AG518))</f>
        <v>7.3139608692045428</v>
      </c>
      <c r="AH1858" s="127">
        <f>IF(tech_base!$T114&gt;AH$1745,"",(tech_base!$K114/tech_proj!AH238*0.086*$J$132)/(1-tech_proj!AH518))</f>
        <v>7.3139608692045428</v>
      </c>
      <c r="AI1858" s="127">
        <f>IF(tech_base!$T114&gt;AI$1745,"",(tech_base!$K114/tech_proj!AI238*0.086*$J$132)/(1-tech_proj!AI518))</f>
        <v>7.3139608692045428</v>
      </c>
      <c r="AJ1858" s="127">
        <f>IF(tech_base!$T114&gt;AJ$1745,"",(tech_base!$K114/tech_proj!AJ238*0.086*$J$132)/(1-tech_proj!AJ518))</f>
        <v>7.3139608692045428</v>
      </c>
      <c r="AK1858" s="127">
        <f>IF(tech_base!$T114&gt;AK$1745,"",(tech_base!$K114/tech_proj!AK238*0.086*$J$132)/(1-tech_proj!AK518))</f>
        <v>7.3139608692045428</v>
      </c>
      <c r="AL1858" s="127">
        <f>IF(tech_base!$T114&gt;AL$1745,"",(tech_base!$K114/tech_proj!AL238*0.086*$J$132)/(1-tech_proj!AL518))</f>
        <v>7.3139608692045428</v>
      </c>
      <c r="AM1858" s="127">
        <f>IF(tech_base!$T114&gt;AM$1745,"",(tech_base!$K114/tech_proj!AM238*0.086*$J$132)/(1-tech_proj!AM518))</f>
        <v>7.3139608692045428</v>
      </c>
      <c r="AN1858" s="127">
        <f>IF(tech_base!$T114&gt;AN$1745,"",(tech_base!$K114/tech_proj!AN238*0.086*$J$132)/(1-tech_proj!AN518))</f>
        <v>7.3139608692045428</v>
      </c>
      <c r="AO1858" s="127">
        <f>IF(tech_base!$T114&gt;AO$1745,"",(tech_base!$K114/tech_proj!AO238*0.086*$J$132)/(1-tech_proj!AO518))</f>
        <v>7.3139608692045428</v>
      </c>
      <c r="AP1858" s="127">
        <f>IF(tech_base!$T114&gt;AP$1745,"",(tech_base!$K114/tech_proj!AP238*0.086*$J$132)/(1-tech_proj!AP518))</f>
        <v>7.3139608692045428</v>
      </c>
      <c r="AQ1858" s="127">
        <f>IF(tech_base!$T114&gt;AQ$1745,"",(tech_base!$K114/tech_proj!AQ238*0.086*$J$132)/(1-tech_proj!AQ518))</f>
        <v>7.3139608692045428</v>
      </c>
      <c r="AR1858" s="127">
        <f>IF(tech_base!$T114&gt;AR$1745,"",(tech_base!$K114/tech_proj!AR238*0.086*$J$132)/(1-tech_proj!AR518))</f>
        <v>7.3139608692045428</v>
      </c>
      <c r="AS1858" s="127">
        <f>IF(tech_base!$T114&gt;AS$1745,"",(tech_base!$K114/tech_proj!AS238*0.086*$J$132)/(1-tech_proj!AS518))</f>
        <v>7.3139608692045428</v>
      </c>
      <c r="AT1858" s="127">
        <f>IF(tech_base!$T114&gt;AT$1745,"",(tech_base!$K114/tech_proj!AT238*0.086*$J$132)/(1-tech_proj!AT518))</f>
        <v>7.3139608692045428</v>
      </c>
      <c r="AU1858" s="127">
        <f>IF(tech_base!$T114&gt;AU$1745,"",(tech_base!$K114/tech_proj!AU238*0.086*$J$132)/(1-tech_proj!AU518))</f>
        <v>7.3139608692045428</v>
      </c>
      <c r="AV1858" s="127">
        <f>IF(tech_base!$T114&gt;AV$1745,"",(tech_base!$K114/tech_proj!AV238*0.086*$J$132)/(1-tech_proj!AV518))</f>
        <v>7.3139608692045428</v>
      </c>
      <c r="AW1858" s="127">
        <f>IF(tech_base!$T114&gt;AW$1745,"",(tech_base!$K114/tech_proj!AW238*0.086*$J$132)/(1-tech_proj!AW518))</f>
        <v>7.3139608692045428</v>
      </c>
      <c r="AX1858" s="128">
        <f>IF(tech_base!$T114&gt;AX$1745,"",(tech_base!$K114/tech_proj!AX238*0.086*$J$132)/(1-tech_proj!AX518))</f>
        <v>7.3139608692045428</v>
      </c>
    </row>
    <row r="1859" spans="1:50" x14ac:dyDescent="0.25">
      <c r="A1859" s="356"/>
      <c r="B1859" s="358" t="s">
        <v>25</v>
      </c>
      <c r="C1859" s="353" t="s">
        <v>6</v>
      </c>
      <c r="D1859" s="3" t="s">
        <v>10</v>
      </c>
      <c r="E1859" s="162" t="str">
        <f>A1829&amp;"/"&amp;B1859&amp;"/"&amp;C1859&amp;"/"&amp;D1859</f>
        <v>Gas fired power plants (Natural gas, biogas)/Internal combustion engine/Electricity only/S</v>
      </c>
      <c r="F1859" s="77" t="str">
        <f>A1829</f>
        <v>Gas fired power plants (Natural gas, biogas)</v>
      </c>
      <c r="G1859" s="77" t="str">
        <f>B1859</f>
        <v>Internal combustion engine</v>
      </c>
      <c r="H1859" s="77" t="str">
        <f>C1859</f>
        <v>Electricity only</v>
      </c>
      <c r="I1859" s="163" t="str">
        <f t="shared" si="383"/>
        <v>S</v>
      </c>
      <c r="J1859" s="121">
        <f>IF(tech_base!$T115&gt;J$1745,"",(tech_base!$K115/tech_proj!J239*0.086*$J$132)/(1-tech_proj!J519))</f>
        <v>0</v>
      </c>
      <c r="K1859" s="121">
        <f>IF(tech_base!$T115&gt;K$1745,"",(tech_base!$K115/tech_proj!K239*0.086*$J$132)/(1-tech_proj!K519))</f>
        <v>0</v>
      </c>
      <c r="L1859" s="121">
        <f>IF(tech_base!$T115&gt;L$1745,"",(tech_base!$K115/tech_proj!L239*0.086*$J$132)/(1-tech_proj!L519))</f>
        <v>0</v>
      </c>
      <c r="M1859" s="121">
        <f>IF(tech_base!$T115&gt;M$1745,"",(tech_base!$K115/tech_proj!M239*0.086*$J$132)/(1-tech_proj!M519))</f>
        <v>0</v>
      </c>
      <c r="N1859" s="121">
        <f>IF(tech_base!$T115&gt;N$1745,"",(tech_base!$K115/tech_proj!N239*0.086*$J$132)/(1-tech_proj!N519))</f>
        <v>0</v>
      </c>
      <c r="O1859" s="121">
        <f>IF(tech_base!$T115&gt;O$1745,"",(tech_base!$K115/tech_proj!O239*0.086*$J$132)/(1-tech_proj!O519))</f>
        <v>0</v>
      </c>
      <c r="P1859" s="121">
        <f>IF(tech_base!$T115&gt;P$1745,"",(tech_base!$K115/tech_proj!P239*0.086*$J$132)/(1-tech_proj!P519))</f>
        <v>0</v>
      </c>
      <c r="Q1859" s="121">
        <f>IF(tech_base!$T115&gt;Q$1745,"",(tech_base!$K115/tech_proj!Q239*0.086*$J$132)/(1-tech_proj!Q519))</f>
        <v>0</v>
      </c>
      <c r="R1859" s="121">
        <f>IF(tech_base!$T115&gt;R$1745,"",(tech_base!$K115/tech_proj!R239*0.086*$J$132)/(1-tech_proj!R519))</f>
        <v>0</v>
      </c>
      <c r="S1859" s="121">
        <f>IF(tech_base!$T115&gt;S$1745,"",(tech_base!$K115/tech_proj!S239*0.086*$J$132)/(1-tech_proj!S519))</f>
        <v>0</v>
      </c>
      <c r="T1859" s="121">
        <f>IF(tech_base!$T115&gt;T$1745,"",(tech_base!$K115/tech_proj!T239*0.086*$J$132)/(1-tech_proj!T519))</f>
        <v>0</v>
      </c>
      <c r="U1859" s="121">
        <f>IF(tech_base!$T115&gt;U$1745,"",(tech_base!$K115/tech_proj!U239*0.086*$J$132)/(1-tech_proj!U519))</f>
        <v>0</v>
      </c>
      <c r="V1859" s="121">
        <f>IF(tech_base!$T115&gt;V$1745,"",(tech_base!$K115/tech_proj!V239*0.086*$J$132)/(1-tech_proj!V519))</f>
        <v>0</v>
      </c>
      <c r="W1859" s="121">
        <f>IF(tech_base!$T115&gt;W$1745,"",(tech_base!$K115/tech_proj!W239*0.086*$J$132)/(1-tech_proj!W519))</f>
        <v>0</v>
      </c>
      <c r="X1859" s="121">
        <f>IF(tech_base!$T115&gt;X$1745,"",(tech_base!$K115/tech_proj!X239*0.086*$J$132)/(1-tech_proj!X519))</f>
        <v>0</v>
      </c>
      <c r="Y1859" s="121">
        <f>IF(tech_base!$T115&gt;Y$1745,"",(tech_base!$K115/tech_proj!Y239*0.086*$J$132)/(1-tech_proj!Y519))</f>
        <v>0</v>
      </c>
      <c r="Z1859" s="121">
        <f>IF(tech_base!$T115&gt;Z$1745,"",(tech_base!$K115/tech_proj!Z239*0.086*$J$132)/(1-tech_proj!Z519))</f>
        <v>0</v>
      </c>
      <c r="AA1859" s="121">
        <f>IF(tech_base!$T115&gt;AA$1745,"",(tech_base!$K115/tech_proj!AA239*0.086*$J$132)/(1-tech_proj!AA519))</f>
        <v>0</v>
      </c>
      <c r="AB1859" s="121">
        <f>IF(tech_base!$T115&gt;AB$1745,"",(tech_base!$K115/tech_proj!AB239*0.086*$J$132)/(1-tech_proj!AB519))</f>
        <v>0</v>
      </c>
      <c r="AC1859" s="121">
        <f>IF(tech_base!$T115&gt;AC$1745,"",(tech_base!$K115/tech_proj!AC239*0.086*$J$132)/(1-tech_proj!AC519))</f>
        <v>0</v>
      </c>
      <c r="AD1859" s="121">
        <f>IF(tech_base!$T115&gt;AD$1745,"",(tech_base!$K115/tech_proj!AD239*0.086*$J$132)/(1-tech_proj!AD519))</f>
        <v>0</v>
      </c>
      <c r="AE1859" s="121">
        <f>IF(tech_base!$T115&gt;AE$1745,"",(tech_base!$K115/tech_proj!AE239*0.086*$J$132)/(1-tech_proj!AE519))</f>
        <v>0</v>
      </c>
      <c r="AF1859" s="121">
        <f>IF(tech_base!$T115&gt;AF$1745,"",(tech_base!$K115/tech_proj!AF239*0.086*$J$132)/(1-tech_proj!AF519))</f>
        <v>0</v>
      </c>
      <c r="AG1859" s="121">
        <f>IF(tech_base!$T115&gt;AG$1745,"",(tech_base!$K115/tech_proj!AG239*0.086*$J$132)/(1-tech_proj!AG519))</f>
        <v>0</v>
      </c>
      <c r="AH1859" s="121">
        <f>IF(tech_base!$T115&gt;AH$1745,"",(tech_base!$K115/tech_proj!AH239*0.086*$J$132)/(1-tech_proj!AH519))</f>
        <v>0</v>
      </c>
      <c r="AI1859" s="121">
        <f>IF(tech_base!$T115&gt;AI$1745,"",(tech_base!$K115/tech_proj!AI239*0.086*$J$132)/(1-tech_proj!AI519))</f>
        <v>0</v>
      </c>
      <c r="AJ1859" s="121">
        <f>IF(tech_base!$T115&gt;AJ$1745,"",(tech_base!$K115/tech_proj!AJ239*0.086*$J$132)/(1-tech_proj!AJ519))</f>
        <v>0</v>
      </c>
      <c r="AK1859" s="121">
        <f>IF(tech_base!$T115&gt;AK$1745,"",(tech_base!$K115/tech_proj!AK239*0.086*$J$132)/(1-tech_proj!AK519))</f>
        <v>0</v>
      </c>
      <c r="AL1859" s="121">
        <f>IF(tech_base!$T115&gt;AL$1745,"",(tech_base!$K115/tech_proj!AL239*0.086*$J$132)/(1-tech_proj!AL519))</f>
        <v>0</v>
      </c>
      <c r="AM1859" s="121">
        <f>IF(tech_base!$T115&gt;AM$1745,"",(tech_base!$K115/tech_proj!AM239*0.086*$J$132)/(1-tech_proj!AM519))</f>
        <v>0</v>
      </c>
      <c r="AN1859" s="121">
        <f>IF(tech_base!$T115&gt;AN$1745,"",(tech_base!$K115/tech_proj!AN239*0.086*$J$132)/(1-tech_proj!AN519))</f>
        <v>0</v>
      </c>
      <c r="AO1859" s="121">
        <f>IF(tech_base!$T115&gt;AO$1745,"",(tech_base!$K115/tech_proj!AO239*0.086*$J$132)/(1-tech_proj!AO519))</f>
        <v>0</v>
      </c>
      <c r="AP1859" s="121">
        <f>IF(tech_base!$T115&gt;AP$1745,"",(tech_base!$K115/tech_proj!AP239*0.086*$J$132)/(1-tech_proj!AP519))</f>
        <v>0</v>
      </c>
      <c r="AQ1859" s="121">
        <f>IF(tech_base!$T115&gt;AQ$1745,"",(tech_base!$K115/tech_proj!AQ239*0.086*$J$132)/(1-tech_proj!AQ519))</f>
        <v>0</v>
      </c>
      <c r="AR1859" s="121">
        <f>IF(tech_base!$T115&gt;AR$1745,"",(tech_base!$K115/tech_proj!AR239*0.086*$J$132)/(1-tech_proj!AR519))</f>
        <v>0</v>
      </c>
      <c r="AS1859" s="121">
        <f>IF(tech_base!$T115&gt;AS$1745,"",(tech_base!$K115/tech_proj!AS239*0.086*$J$132)/(1-tech_proj!AS519))</f>
        <v>0</v>
      </c>
      <c r="AT1859" s="121">
        <f>IF(tech_base!$T115&gt;AT$1745,"",(tech_base!$K115/tech_proj!AT239*0.086*$J$132)/(1-tech_proj!AT519))</f>
        <v>0</v>
      </c>
      <c r="AU1859" s="121">
        <f>IF(tech_base!$T115&gt;AU$1745,"",(tech_base!$K115/tech_proj!AU239*0.086*$J$132)/(1-tech_proj!AU519))</f>
        <v>0</v>
      </c>
      <c r="AV1859" s="121">
        <f>IF(tech_base!$T115&gt;AV$1745,"",(tech_base!$K115/tech_proj!AV239*0.086*$J$132)/(1-tech_proj!AV519))</f>
        <v>0</v>
      </c>
      <c r="AW1859" s="121">
        <f>IF(tech_base!$T115&gt;AW$1745,"",(tech_base!$K115/tech_proj!AW239*0.086*$J$132)/(1-tech_proj!AW519))</f>
        <v>0</v>
      </c>
      <c r="AX1859" s="122">
        <f>IF(tech_base!$T115&gt;AX$1745,"",(tech_base!$K115/tech_proj!AX239*0.086*$J$132)/(1-tech_proj!AX519))</f>
        <v>0</v>
      </c>
    </row>
    <row r="1860" spans="1:50" x14ac:dyDescent="0.25">
      <c r="A1860" s="356"/>
      <c r="B1860" s="376"/>
      <c r="C1860" s="379"/>
      <c r="D1860" s="59" t="s">
        <v>20</v>
      </c>
      <c r="E1860" s="160" t="str">
        <f>A1829&amp;"/"&amp;B1859&amp;"/"&amp;C1859&amp;"/"&amp;D1860</f>
        <v>Gas fired power plants (Natural gas, biogas)/Internal combustion engine/Electricity only/XS</v>
      </c>
      <c r="F1860" s="76" t="str">
        <f>A1829</f>
        <v>Gas fired power plants (Natural gas, biogas)</v>
      </c>
      <c r="G1860" s="76" t="str">
        <f>B1859</f>
        <v>Internal combustion engine</v>
      </c>
      <c r="H1860" s="76" t="str">
        <f>C1859</f>
        <v>Electricity only</v>
      </c>
      <c r="I1860" s="161" t="str">
        <f t="shared" si="383"/>
        <v>XS</v>
      </c>
      <c r="J1860" s="119">
        <f>IF(tech_base!$T116&gt;J$1745,"",(tech_base!$K116/tech_proj!J240*0.086*$J$132)/(1-tech_proj!J520))</f>
        <v>0</v>
      </c>
      <c r="K1860" s="119">
        <f>IF(tech_base!$T116&gt;K$1745,"",(tech_base!$K116/tech_proj!K240*0.086*$J$132)/(1-tech_proj!K520))</f>
        <v>0</v>
      </c>
      <c r="L1860" s="119">
        <f>IF(tech_base!$T116&gt;L$1745,"",(tech_base!$K116/tech_proj!L240*0.086*$J$132)/(1-tech_proj!L520))</f>
        <v>0</v>
      </c>
      <c r="M1860" s="119">
        <f>IF(tech_base!$T116&gt;M$1745,"",(tech_base!$K116/tech_proj!M240*0.086*$J$132)/(1-tech_proj!M520))</f>
        <v>0</v>
      </c>
      <c r="N1860" s="119">
        <f>IF(tech_base!$T116&gt;N$1745,"",(tech_base!$K116/tech_proj!N240*0.086*$J$132)/(1-tech_proj!N520))</f>
        <v>0</v>
      </c>
      <c r="O1860" s="119">
        <f>IF(tech_base!$T116&gt;O$1745,"",(tech_base!$K116/tech_proj!O240*0.086*$J$132)/(1-tech_proj!O520))</f>
        <v>0</v>
      </c>
      <c r="P1860" s="119">
        <f>IF(tech_base!$T116&gt;P$1745,"",(tech_base!$K116/tech_proj!P240*0.086*$J$132)/(1-tech_proj!P520))</f>
        <v>0</v>
      </c>
      <c r="Q1860" s="119">
        <f>IF(tech_base!$T116&gt;Q$1745,"",(tech_base!$K116/tech_proj!Q240*0.086*$J$132)/(1-tech_proj!Q520))</f>
        <v>0</v>
      </c>
      <c r="R1860" s="119">
        <f>IF(tech_base!$T116&gt;R$1745,"",(tech_base!$K116/tech_proj!R240*0.086*$J$132)/(1-tech_proj!R520))</f>
        <v>0</v>
      </c>
      <c r="S1860" s="119">
        <f>IF(tech_base!$T116&gt;S$1745,"",(tech_base!$K116/tech_proj!S240*0.086*$J$132)/(1-tech_proj!S520))</f>
        <v>0</v>
      </c>
      <c r="T1860" s="119">
        <f>IF(tech_base!$T116&gt;T$1745,"",(tech_base!$K116/tech_proj!T240*0.086*$J$132)/(1-tech_proj!T520))</f>
        <v>0</v>
      </c>
      <c r="U1860" s="119">
        <f>IF(tech_base!$T116&gt;U$1745,"",(tech_base!$K116/tech_proj!U240*0.086*$J$132)/(1-tech_proj!U520))</f>
        <v>0</v>
      </c>
      <c r="V1860" s="119">
        <f>IF(tech_base!$T116&gt;V$1745,"",(tech_base!$K116/tech_proj!V240*0.086*$J$132)/(1-tech_proj!V520))</f>
        <v>0</v>
      </c>
      <c r="W1860" s="119">
        <f>IF(tech_base!$T116&gt;W$1745,"",(tech_base!$K116/tech_proj!W240*0.086*$J$132)/(1-tech_proj!W520))</f>
        <v>0</v>
      </c>
      <c r="X1860" s="119">
        <f>IF(tech_base!$T116&gt;X$1745,"",(tech_base!$K116/tech_proj!X240*0.086*$J$132)/(1-tech_proj!X520))</f>
        <v>0</v>
      </c>
      <c r="Y1860" s="119">
        <f>IF(tech_base!$T116&gt;Y$1745,"",(tech_base!$K116/tech_proj!Y240*0.086*$J$132)/(1-tech_proj!Y520))</f>
        <v>0</v>
      </c>
      <c r="Z1860" s="119">
        <f>IF(tech_base!$T116&gt;Z$1745,"",(tech_base!$K116/tech_proj!Z240*0.086*$J$132)/(1-tech_proj!Z520))</f>
        <v>0</v>
      </c>
      <c r="AA1860" s="119">
        <f>IF(tech_base!$T116&gt;AA$1745,"",(tech_base!$K116/tech_proj!AA240*0.086*$J$132)/(1-tech_proj!AA520))</f>
        <v>0</v>
      </c>
      <c r="AB1860" s="119">
        <f>IF(tech_base!$T116&gt;AB$1745,"",(tech_base!$K116/tech_proj!AB240*0.086*$J$132)/(1-tech_proj!AB520))</f>
        <v>0</v>
      </c>
      <c r="AC1860" s="119">
        <f>IF(tech_base!$T116&gt;AC$1745,"",(tech_base!$K116/tech_proj!AC240*0.086*$J$132)/(1-tech_proj!AC520))</f>
        <v>0</v>
      </c>
      <c r="AD1860" s="119">
        <f>IF(tech_base!$T116&gt;AD$1745,"",(tech_base!$K116/tech_proj!AD240*0.086*$J$132)/(1-tech_proj!AD520))</f>
        <v>0</v>
      </c>
      <c r="AE1860" s="119">
        <f>IF(tech_base!$T116&gt;AE$1745,"",(tech_base!$K116/tech_proj!AE240*0.086*$J$132)/(1-tech_proj!AE520))</f>
        <v>0</v>
      </c>
      <c r="AF1860" s="119">
        <f>IF(tech_base!$T116&gt;AF$1745,"",(tech_base!$K116/tech_proj!AF240*0.086*$J$132)/(1-tech_proj!AF520))</f>
        <v>0</v>
      </c>
      <c r="AG1860" s="119">
        <f>IF(tech_base!$T116&gt;AG$1745,"",(tech_base!$K116/tech_proj!AG240*0.086*$J$132)/(1-tech_proj!AG520))</f>
        <v>0</v>
      </c>
      <c r="AH1860" s="119">
        <f>IF(tech_base!$T116&gt;AH$1745,"",(tech_base!$K116/tech_proj!AH240*0.086*$J$132)/(1-tech_proj!AH520))</f>
        <v>0</v>
      </c>
      <c r="AI1860" s="119">
        <f>IF(tech_base!$T116&gt;AI$1745,"",(tech_base!$K116/tech_proj!AI240*0.086*$J$132)/(1-tech_proj!AI520))</f>
        <v>0</v>
      </c>
      <c r="AJ1860" s="119">
        <f>IF(tech_base!$T116&gt;AJ$1745,"",(tech_base!$K116/tech_proj!AJ240*0.086*$J$132)/(1-tech_proj!AJ520))</f>
        <v>0</v>
      </c>
      <c r="AK1860" s="119">
        <f>IF(tech_base!$T116&gt;AK$1745,"",(tech_base!$K116/tech_proj!AK240*0.086*$J$132)/(1-tech_proj!AK520))</f>
        <v>0</v>
      </c>
      <c r="AL1860" s="119">
        <f>IF(tech_base!$T116&gt;AL$1745,"",(tech_base!$K116/tech_proj!AL240*0.086*$J$132)/(1-tech_proj!AL520))</f>
        <v>0</v>
      </c>
      <c r="AM1860" s="119">
        <f>IF(tech_base!$T116&gt;AM$1745,"",(tech_base!$K116/tech_proj!AM240*0.086*$J$132)/(1-tech_proj!AM520))</f>
        <v>0</v>
      </c>
      <c r="AN1860" s="119">
        <f>IF(tech_base!$T116&gt;AN$1745,"",(tech_base!$K116/tech_proj!AN240*0.086*$J$132)/(1-tech_proj!AN520))</f>
        <v>0</v>
      </c>
      <c r="AO1860" s="119">
        <f>IF(tech_base!$T116&gt;AO$1745,"",(tech_base!$K116/tech_proj!AO240*0.086*$J$132)/(1-tech_proj!AO520))</f>
        <v>0</v>
      </c>
      <c r="AP1860" s="119">
        <f>IF(tech_base!$T116&gt;AP$1745,"",(tech_base!$K116/tech_proj!AP240*0.086*$J$132)/(1-tech_proj!AP520))</f>
        <v>0</v>
      </c>
      <c r="AQ1860" s="119">
        <f>IF(tech_base!$T116&gt;AQ$1745,"",(tech_base!$K116/tech_proj!AQ240*0.086*$J$132)/(1-tech_proj!AQ520))</f>
        <v>0</v>
      </c>
      <c r="AR1860" s="119">
        <f>IF(tech_base!$T116&gt;AR$1745,"",(tech_base!$K116/tech_proj!AR240*0.086*$J$132)/(1-tech_proj!AR520))</f>
        <v>0</v>
      </c>
      <c r="AS1860" s="119">
        <f>IF(tech_base!$T116&gt;AS$1745,"",(tech_base!$K116/tech_proj!AS240*0.086*$J$132)/(1-tech_proj!AS520))</f>
        <v>0</v>
      </c>
      <c r="AT1860" s="119">
        <f>IF(tech_base!$T116&gt;AT$1745,"",(tech_base!$K116/tech_proj!AT240*0.086*$J$132)/(1-tech_proj!AT520))</f>
        <v>0</v>
      </c>
      <c r="AU1860" s="119">
        <f>IF(tech_base!$T116&gt;AU$1745,"",(tech_base!$K116/tech_proj!AU240*0.086*$J$132)/(1-tech_proj!AU520))</f>
        <v>0</v>
      </c>
      <c r="AV1860" s="119">
        <f>IF(tech_base!$T116&gt;AV$1745,"",(tech_base!$K116/tech_proj!AV240*0.086*$J$132)/(1-tech_proj!AV520))</f>
        <v>0</v>
      </c>
      <c r="AW1860" s="119">
        <f>IF(tech_base!$T116&gt;AW$1745,"",(tech_base!$K116/tech_proj!AW240*0.086*$J$132)/(1-tech_proj!AW520))</f>
        <v>0</v>
      </c>
      <c r="AX1860" s="120">
        <f>IF(tech_base!$T116&gt;AX$1745,"",(tech_base!$K116/tech_proj!AX240*0.086*$J$132)/(1-tech_proj!AX520))</f>
        <v>0</v>
      </c>
    </row>
    <row r="1861" spans="1:50" x14ac:dyDescent="0.25">
      <c r="A1861" s="356"/>
      <c r="B1861" s="376"/>
      <c r="C1861" s="361" t="s">
        <v>14</v>
      </c>
      <c r="D1861" s="2" t="s">
        <v>10</v>
      </c>
      <c r="E1861" s="164" t="str">
        <f>A1829&amp;"/"&amp;B1859&amp;"/"&amp;C1861&amp;"/"&amp;D1861</f>
        <v>Gas fired power plants (Natural gas, biogas)/Internal combustion engine/CHP/S</v>
      </c>
      <c r="F1861" s="78" t="str">
        <f>A1829</f>
        <v>Gas fired power plants (Natural gas, biogas)</v>
      </c>
      <c r="G1861" s="78" t="str">
        <f>B1859</f>
        <v>Internal combustion engine</v>
      </c>
      <c r="H1861" s="78" t="str">
        <f>C1861</f>
        <v>CHP</v>
      </c>
      <c r="I1861" s="165" t="str">
        <f t="shared" si="383"/>
        <v>S</v>
      </c>
      <c r="J1861" s="123">
        <f>IF(tech_base!$T117&gt;J$1745,"",(tech_base!$K117/tech_proj!J241*0.086*$J$132)/(1-tech_proj!J521))</f>
        <v>0</v>
      </c>
      <c r="K1861" s="123">
        <f>IF(tech_base!$T117&gt;K$1745,"",(tech_base!$K117/tech_proj!K241*0.086*$J$132)/(1-tech_proj!K521))</f>
        <v>0</v>
      </c>
      <c r="L1861" s="123">
        <f>IF(tech_base!$T117&gt;L$1745,"",(tech_base!$K117/tech_proj!L241*0.086*$J$132)/(1-tech_proj!L521))</f>
        <v>0</v>
      </c>
      <c r="M1861" s="123">
        <f>IF(tech_base!$T117&gt;M$1745,"",(tech_base!$K117/tech_proj!M241*0.086*$J$132)/(1-tech_proj!M521))</f>
        <v>0</v>
      </c>
      <c r="N1861" s="123">
        <f>IF(tech_base!$T117&gt;N$1745,"",(tech_base!$K117/tech_proj!N241*0.086*$J$132)/(1-tech_proj!N521))</f>
        <v>0</v>
      </c>
      <c r="O1861" s="123">
        <f>IF(tech_base!$T117&gt;O$1745,"",(tech_base!$K117/tech_proj!O241*0.086*$J$132)/(1-tech_proj!O521))</f>
        <v>0</v>
      </c>
      <c r="P1861" s="123">
        <f>IF(tech_base!$T117&gt;P$1745,"",(tech_base!$K117/tech_proj!P241*0.086*$J$132)/(1-tech_proj!P521))</f>
        <v>0</v>
      </c>
      <c r="Q1861" s="123">
        <f>IF(tech_base!$T117&gt;Q$1745,"",(tech_base!$K117/tech_proj!Q241*0.086*$J$132)/(1-tech_proj!Q521))</f>
        <v>0</v>
      </c>
      <c r="R1861" s="123">
        <f>IF(tech_base!$T117&gt;R$1745,"",(tech_base!$K117/tech_proj!R241*0.086*$J$132)/(1-tech_proj!R521))</f>
        <v>0</v>
      </c>
      <c r="S1861" s="123">
        <f>IF(tech_base!$T117&gt;S$1745,"",(tech_base!$K117/tech_proj!S241*0.086*$J$132)/(1-tech_proj!S521))</f>
        <v>0</v>
      </c>
      <c r="T1861" s="123">
        <f>IF(tech_base!$T117&gt;T$1745,"",(tech_base!$K117/tech_proj!T241*0.086*$J$132)/(1-tech_proj!T521))</f>
        <v>0</v>
      </c>
      <c r="U1861" s="123">
        <f>IF(tech_base!$T117&gt;U$1745,"",(tech_base!$K117/tech_proj!U241*0.086*$J$132)/(1-tech_proj!U521))</f>
        <v>0</v>
      </c>
      <c r="V1861" s="123">
        <f>IF(tech_base!$T117&gt;V$1745,"",(tech_base!$K117/tech_proj!V241*0.086*$J$132)/(1-tech_proj!V521))</f>
        <v>0</v>
      </c>
      <c r="W1861" s="123">
        <f>IF(tech_base!$T117&gt;W$1745,"",(tech_base!$K117/tech_proj!W241*0.086*$J$132)/(1-tech_proj!W521))</f>
        <v>0</v>
      </c>
      <c r="X1861" s="123">
        <f>IF(tech_base!$T117&gt;X$1745,"",(tech_base!$K117/tech_proj!X241*0.086*$J$132)/(1-tech_proj!X521))</f>
        <v>0</v>
      </c>
      <c r="Y1861" s="123">
        <f>IF(tech_base!$T117&gt;Y$1745,"",(tech_base!$K117/tech_proj!Y241*0.086*$J$132)/(1-tech_proj!Y521))</f>
        <v>0</v>
      </c>
      <c r="Z1861" s="123">
        <f>IF(tech_base!$T117&gt;Z$1745,"",(tech_base!$K117/tech_proj!Z241*0.086*$J$132)/(1-tech_proj!Z521))</f>
        <v>0</v>
      </c>
      <c r="AA1861" s="123">
        <f>IF(tech_base!$T117&gt;AA$1745,"",(tech_base!$K117/tech_proj!AA241*0.086*$J$132)/(1-tech_proj!AA521))</f>
        <v>0</v>
      </c>
      <c r="AB1861" s="123">
        <f>IF(tech_base!$T117&gt;AB$1745,"",(tech_base!$K117/tech_proj!AB241*0.086*$J$132)/(1-tech_proj!AB521))</f>
        <v>0</v>
      </c>
      <c r="AC1861" s="123">
        <f>IF(tech_base!$T117&gt;AC$1745,"",(tech_base!$K117/tech_proj!AC241*0.086*$J$132)/(1-tech_proj!AC521))</f>
        <v>0</v>
      </c>
      <c r="AD1861" s="123">
        <f>IF(tech_base!$T117&gt;AD$1745,"",(tech_base!$K117/tech_proj!AD241*0.086*$J$132)/(1-tech_proj!AD521))</f>
        <v>0</v>
      </c>
      <c r="AE1861" s="123">
        <f>IF(tech_base!$T117&gt;AE$1745,"",(tech_base!$K117/tech_proj!AE241*0.086*$J$132)/(1-tech_proj!AE521))</f>
        <v>0</v>
      </c>
      <c r="AF1861" s="123">
        <f>IF(tech_base!$T117&gt;AF$1745,"",(tech_base!$K117/tech_proj!AF241*0.086*$J$132)/(1-tech_proj!AF521))</f>
        <v>0</v>
      </c>
      <c r="AG1861" s="123">
        <f>IF(tech_base!$T117&gt;AG$1745,"",(tech_base!$K117/tech_proj!AG241*0.086*$J$132)/(1-tech_proj!AG521))</f>
        <v>0</v>
      </c>
      <c r="AH1861" s="123">
        <f>IF(tech_base!$T117&gt;AH$1745,"",(tech_base!$K117/tech_proj!AH241*0.086*$J$132)/(1-tech_proj!AH521))</f>
        <v>0</v>
      </c>
      <c r="AI1861" s="123">
        <f>IF(tech_base!$T117&gt;AI$1745,"",(tech_base!$K117/tech_proj!AI241*0.086*$J$132)/(1-tech_proj!AI521))</f>
        <v>0</v>
      </c>
      <c r="AJ1861" s="123">
        <f>IF(tech_base!$T117&gt;AJ$1745,"",(tech_base!$K117/tech_proj!AJ241*0.086*$J$132)/(1-tech_proj!AJ521))</f>
        <v>0</v>
      </c>
      <c r="AK1861" s="123">
        <f>IF(tech_base!$T117&gt;AK$1745,"",(tech_base!$K117/tech_proj!AK241*0.086*$J$132)/(1-tech_proj!AK521))</f>
        <v>0</v>
      </c>
      <c r="AL1861" s="123">
        <f>IF(tech_base!$T117&gt;AL$1745,"",(tech_base!$K117/tech_proj!AL241*0.086*$J$132)/(1-tech_proj!AL521))</f>
        <v>0</v>
      </c>
      <c r="AM1861" s="123">
        <f>IF(tech_base!$T117&gt;AM$1745,"",(tech_base!$K117/tech_proj!AM241*0.086*$J$132)/(1-tech_proj!AM521))</f>
        <v>0</v>
      </c>
      <c r="AN1861" s="123">
        <f>IF(tech_base!$T117&gt;AN$1745,"",(tech_base!$K117/tech_proj!AN241*0.086*$J$132)/(1-tech_proj!AN521))</f>
        <v>0</v>
      </c>
      <c r="AO1861" s="123">
        <f>IF(tech_base!$T117&gt;AO$1745,"",(tech_base!$K117/tech_proj!AO241*0.086*$J$132)/(1-tech_proj!AO521))</f>
        <v>0</v>
      </c>
      <c r="AP1861" s="123">
        <f>IF(tech_base!$T117&gt;AP$1745,"",(tech_base!$K117/tech_proj!AP241*0.086*$J$132)/(1-tech_proj!AP521))</f>
        <v>0</v>
      </c>
      <c r="AQ1861" s="123">
        <f>IF(tech_base!$T117&gt;AQ$1745,"",(tech_base!$K117/tech_proj!AQ241*0.086*$J$132)/(1-tech_proj!AQ521))</f>
        <v>0</v>
      </c>
      <c r="AR1861" s="123">
        <f>IF(tech_base!$T117&gt;AR$1745,"",(tech_base!$K117/tech_proj!AR241*0.086*$J$132)/(1-tech_proj!AR521))</f>
        <v>0</v>
      </c>
      <c r="AS1861" s="123">
        <f>IF(tech_base!$T117&gt;AS$1745,"",(tech_base!$K117/tech_proj!AS241*0.086*$J$132)/(1-tech_proj!AS521))</f>
        <v>0</v>
      </c>
      <c r="AT1861" s="123">
        <f>IF(tech_base!$T117&gt;AT$1745,"",(tech_base!$K117/tech_proj!AT241*0.086*$J$132)/(1-tech_proj!AT521))</f>
        <v>0</v>
      </c>
      <c r="AU1861" s="123">
        <f>IF(tech_base!$T117&gt;AU$1745,"",(tech_base!$K117/tech_proj!AU241*0.086*$J$132)/(1-tech_proj!AU521))</f>
        <v>0</v>
      </c>
      <c r="AV1861" s="123">
        <f>IF(tech_base!$T117&gt;AV$1745,"",(tech_base!$K117/tech_proj!AV241*0.086*$J$132)/(1-tech_proj!AV521))</f>
        <v>0</v>
      </c>
      <c r="AW1861" s="123">
        <f>IF(tech_base!$T117&gt;AW$1745,"",(tech_base!$K117/tech_proj!AW241*0.086*$J$132)/(1-tech_proj!AW521))</f>
        <v>0</v>
      </c>
      <c r="AX1861" s="124">
        <f>IF(tech_base!$T117&gt;AX$1745,"",(tech_base!$K117/tech_proj!AX241*0.086*$J$132)/(1-tech_proj!AX521))</f>
        <v>0</v>
      </c>
    </row>
    <row r="1862" spans="1:50" x14ac:dyDescent="0.25">
      <c r="A1862" s="356"/>
      <c r="B1862" s="380"/>
      <c r="C1862" s="381"/>
      <c r="D1862" s="4" t="s">
        <v>20</v>
      </c>
      <c r="E1862" s="168" t="str">
        <f>A1829&amp;"/"&amp;B1859&amp;"/"&amp;C1861&amp;"/"&amp;D1862</f>
        <v>Gas fired power plants (Natural gas, biogas)/Internal combustion engine/CHP/XS</v>
      </c>
      <c r="F1862" s="80" t="str">
        <f>A1829</f>
        <v>Gas fired power plants (Natural gas, biogas)</v>
      </c>
      <c r="G1862" s="80" t="str">
        <f>B1859</f>
        <v>Internal combustion engine</v>
      </c>
      <c r="H1862" s="80" t="str">
        <f>C1861</f>
        <v>CHP</v>
      </c>
      <c r="I1862" s="169" t="str">
        <f t="shared" si="383"/>
        <v>XS</v>
      </c>
      <c r="J1862" s="127">
        <f>IF(tech_base!$T118&gt;J$1745,"",(tech_base!$K118/tech_proj!J242*0.086*$J$132)/(1-tech_proj!J522))</f>
        <v>0</v>
      </c>
      <c r="K1862" s="127">
        <f>IF(tech_base!$T118&gt;K$1745,"",(tech_base!$K118/tech_proj!K242*0.086*$J$132)/(1-tech_proj!K522))</f>
        <v>0</v>
      </c>
      <c r="L1862" s="127">
        <f>IF(tech_base!$T118&gt;L$1745,"",(tech_base!$K118/tech_proj!L242*0.086*$J$132)/(1-tech_proj!L522))</f>
        <v>0</v>
      </c>
      <c r="M1862" s="127">
        <f>IF(tech_base!$T118&gt;M$1745,"",(tech_base!$K118/tech_proj!M242*0.086*$J$132)/(1-tech_proj!M522))</f>
        <v>0</v>
      </c>
      <c r="N1862" s="127">
        <f>IF(tech_base!$T118&gt;N$1745,"",(tech_base!$K118/tech_proj!N242*0.086*$J$132)/(1-tech_proj!N522))</f>
        <v>0</v>
      </c>
      <c r="O1862" s="127">
        <f>IF(tech_base!$T118&gt;O$1745,"",(tech_base!$K118/tech_proj!O242*0.086*$J$132)/(1-tech_proj!O522))</f>
        <v>0</v>
      </c>
      <c r="P1862" s="127">
        <f>IF(tech_base!$T118&gt;P$1745,"",(tech_base!$K118/tech_proj!P242*0.086*$J$132)/(1-tech_proj!P522))</f>
        <v>0</v>
      </c>
      <c r="Q1862" s="127">
        <f>IF(tech_base!$T118&gt;Q$1745,"",(tech_base!$K118/tech_proj!Q242*0.086*$J$132)/(1-tech_proj!Q522))</f>
        <v>0</v>
      </c>
      <c r="R1862" s="127">
        <f>IF(tech_base!$T118&gt;R$1745,"",(tech_base!$K118/tech_proj!R242*0.086*$J$132)/(1-tech_proj!R522))</f>
        <v>0</v>
      </c>
      <c r="S1862" s="127">
        <f>IF(tech_base!$T118&gt;S$1745,"",(tech_base!$K118/tech_proj!S242*0.086*$J$132)/(1-tech_proj!S522))</f>
        <v>0</v>
      </c>
      <c r="T1862" s="127">
        <f>IF(tech_base!$T118&gt;T$1745,"",(tech_base!$K118/tech_proj!T242*0.086*$J$132)/(1-tech_proj!T522))</f>
        <v>0</v>
      </c>
      <c r="U1862" s="127">
        <f>IF(tech_base!$T118&gt;U$1745,"",(tech_base!$K118/tech_proj!U242*0.086*$J$132)/(1-tech_proj!U522))</f>
        <v>0</v>
      </c>
      <c r="V1862" s="127">
        <f>IF(tech_base!$T118&gt;V$1745,"",(tech_base!$K118/tech_proj!V242*0.086*$J$132)/(1-tech_proj!V522))</f>
        <v>0</v>
      </c>
      <c r="W1862" s="127">
        <f>IF(tech_base!$T118&gt;W$1745,"",(tech_base!$K118/tech_proj!W242*0.086*$J$132)/(1-tech_proj!W522))</f>
        <v>0</v>
      </c>
      <c r="X1862" s="127">
        <f>IF(tech_base!$T118&gt;X$1745,"",(tech_base!$K118/tech_proj!X242*0.086*$J$132)/(1-tech_proj!X522))</f>
        <v>0</v>
      </c>
      <c r="Y1862" s="127">
        <f>IF(tech_base!$T118&gt;Y$1745,"",(tech_base!$K118/tech_proj!Y242*0.086*$J$132)/(1-tech_proj!Y522))</f>
        <v>0</v>
      </c>
      <c r="Z1862" s="127">
        <f>IF(tech_base!$T118&gt;Z$1745,"",(tech_base!$K118/tech_proj!Z242*0.086*$J$132)/(1-tech_proj!Z522))</f>
        <v>0</v>
      </c>
      <c r="AA1862" s="127">
        <f>IF(tech_base!$T118&gt;AA$1745,"",(tech_base!$K118/tech_proj!AA242*0.086*$J$132)/(1-tech_proj!AA522))</f>
        <v>0</v>
      </c>
      <c r="AB1862" s="127">
        <f>IF(tech_base!$T118&gt;AB$1745,"",(tech_base!$K118/tech_proj!AB242*0.086*$J$132)/(1-tech_proj!AB522))</f>
        <v>0</v>
      </c>
      <c r="AC1862" s="127">
        <f>IF(tech_base!$T118&gt;AC$1745,"",(tech_base!$K118/tech_proj!AC242*0.086*$J$132)/(1-tech_proj!AC522))</f>
        <v>0</v>
      </c>
      <c r="AD1862" s="127">
        <f>IF(tech_base!$T118&gt;AD$1745,"",(tech_base!$K118/tech_proj!AD242*0.086*$J$132)/(1-tech_proj!AD522))</f>
        <v>0</v>
      </c>
      <c r="AE1862" s="127">
        <f>IF(tech_base!$T118&gt;AE$1745,"",(tech_base!$K118/tech_proj!AE242*0.086*$J$132)/(1-tech_proj!AE522))</f>
        <v>0</v>
      </c>
      <c r="AF1862" s="127">
        <f>IF(tech_base!$T118&gt;AF$1745,"",(tech_base!$K118/tech_proj!AF242*0.086*$J$132)/(1-tech_proj!AF522))</f>
        <v>0</v>
      </c>
      <c r="AG1862" s="127">
        <f>IF(tech_base!$T118&gt;AG$1745,"",(tech_base!$K118/tech_proj!AG242*0.086*$J$132)/(1-tech_proj!AG522))</f>
        <v>0</v>
      </c>
      <c r="AH1862" s="127">
        <f>IF(tech_base!$T118&gt;AH$1745,"",(tech_base!$K118/tech_proj!AH242*0.086*$J$132)/(1-tech_proj!AH522))</f>
        <v>0</v>
      </c>
      <c r="AI1862" s="127">
        <f>IF(tech_base!$T118&gt;AI$1745,"",(tech_base!$K118/tech_proj!AI242*0.086*$J$132)/(1-tech_proj!AI522))</f>
        <v>0</v>
      </c>
      <c r="AJ1862" s="127">
        <f>IF(tech_base!$T118&gt;AJ$1745,"",(tech_base!$K118/tech_proj!AJ242*0.086*$J$132)/(1-tech_proj!AJ522))</f>
        <v>0</v>
      </c>
      <c r="AK1862" s="127">
        <f>IF(tech_base!$T118&gt;AK$1745,"",(tech_base!$K118/tech_proj!AK242*0.086*$J$132)/(1-tech_proj!AK522))</f>
        <v>0</v>
      </c>
      <c r="AL1862" s="127">
        <f>IF(tech_base!$T118&gt;AL$1745,"",(tech_base!$K118/tech_proj!AL242*0.086*$J$132)/(1-tech_proj!AL522))</f>
        <v>0</v>
      </c>
      <c r="AM1862" s="127">
        <f>IF(tech_base!$T118&gt;AM$1745,"",(tech_base!$K118/tech_proj!AM242*0.086*$J$132)/(1-tech_proj!AM522))</f>
        <v>0</v>
      </c>
      <c r="AN1862" s="127">
        <f>IF(tech_base!$T118&gt;AN$1745,"",(tech_base!$K118/tech_proj!AN242*0.086*$J$132)/(1-tech_proj!AN522))</f>
        <v>0</v>
      </c>
      <c r="AO1862" s="127">
        <f>IF(tech_base!$T118&gt;AO$1745,"",(tech_base!$K118/tech_proj!AO242*0.086*$J$132)/(1-tech_proj!AO522))</f>
        <v>0</v>
      </c>
      <c r="AP1862" s="127">
        <f>IF(tech_base!$T118&gt;AP$1745,"",(tech_base!$K118/tech_proj!AP242*0.086*$J$132)/(1-tech_proj!AP522))</f>
        <v>0</v>
      </c>
      <c r="AQ1862" s="127">
        <f>IF(tech_base!$T118&gt;AQ$1745,"",(tech_base!$K118/tech_proj!AQ242*0.086*$J$132)/(1-tech_proj!AQ522))</f>
        <v>0</v>
      </c>
      <c r="AR1862" s="127">
        <f>IF(tech_base!$T118&gt;AR$1745,"",(tech_base!$K118/tech_proj!AR242*0.086*$J$132)/(1-tech_proj!AR522))</f>
        <v>0</v>
      </c>
      <c r="AS1862" s="127">
        <f>IF(tech_base!$T118&gt;AS$1745,"",(tech_base!$K118/tech_proj!AS242*0.086*$J$132)/(1-tech_proj!AS522))</f>
        <v>0</v>
      </c>
      <c r="AT1862" s="127">
        <f>IF(tech_base!$T118&gt;AT$1745,"",(tech_base!$K118/tech_proj!AT242*0.086*$J$132)/(1-tech_proj!AT522))</f>
        <v>0</v>
      </c>
      <c r="AU1862" s="127">
        <f>IF(tech_base!$T118&gt;AU$1745,"",(tech_base!$K118/tech_proj!AU242*0.086*$J$132)/(1-tech_proj!AU522))</f>
        <v>0</v>
      </c>
      <c r="AV1862" s="127">
        <f>IF(tech_base!$T118&gt;AV$1745,"",(tech_base!$K118/tech_proj!AV242*0.086*$J$132)/(1-tech_proj!AV522))</f>
        <v>0</v>
      </c>
      <c r="AW1862" s="127">
        <f>IF(tech_base!$T118&gt;AW$1745,"",(tech_base!$K118/tech_proj!AW242*0.086*$J$132)/(1-tech_proj!AW522))</f>
        <v>0</v>
      </c>
      <c r="AX1862" s="128">
        <f>IF(tech_base!$T118&gt;AX$1745,"",(tech_base!$K118/tech_proj!AX242*0.086*$J$132)/(1-tech_proj!AX522))</f>
        <v>0</v>
      </c>
    </row>
    <row r="1863" spans="1:50" x14ac:dyDescent="0.25">
      <c r="A1863" s="355" t="s">
        <v>26</v>
      </c>
      <c r="B1863" s="358" t="s">
        <v>19</v>
      </c>
      <c r="C1863" s="353" t="s">
        <v>6</v>
      </c>
      <c r="D1863" s="3" t="s">
        <v>7</v>
      </c>
      <c r="E1863" s="162" t="str">
        <f>A1863&amp;"/"&amp;B1863&amp;"/"&amp;C1863&amp;"/"&amp;D1863</f>
        <v>Derived gas fired power plants/Steam turbine/Electricity only/L</v>
      </c>
      <c r="F1863" s="77" t="str">
        <f>A1863</f>
        <v>Derived gas fired power plants</v>
      </c>
      <c r="G1863" s="77" t="str">
        <f>B1863</f>
        <v>Steam turbine</v>
      </c>
      <c r="H1863" s="77" t="str">
        <f>C1863</f>
        <v>Electricity only</v>
      </c>
      <c r="I1863" s="163" t="str">
        <f t="shared" si="383"/>
        <v>L</v>
      </c>
      <c r="J1863" s="121">
        <f>IF(tech_base!$T119&gt;J$1745,"",(tech_base!$K119/tech_proj!J243*0.086*$J$132)/(1-tech_proj!J523))</f>
        <v>0</v>
      </c>
      <c r="K1863" s="121">
        <f>IF(tech_base!$T119&gt;K$1745,"",(tech_base!$K119/tech_proj!K243*0.086*$J$132)/(1-tech_proj!K523))</f>
        <v>0</v>
      </c>
      <c r="L1863" s="121">
        <f>IF(tech_base!$T119&gt;L$1745,"",(tech_base!$K119/tech_proj!L243*0.086*$J$132)/(1-tech_proj!L523))</f>
        <v>0</v>
      </c>
      <c r="M1863" s="121">
        <f>IF(tech_base!$T119&gt;M$1745,"",(tech_base!$K119/tech_proj!M243*0.086*$J$132)/(1-tech_proj!M523))</f>
        <v>0</v>
      </c>
      <c r="N1863" s="121">
        <f>IF(tech_base!$T119&gt;N$1745,"",(tech_base!$K119/tech_proj!N243*0.086*$J$132)/(1-tech_proj!N523))</f>
        <v>0</v>
      </c>
      <c r="O1863" s="121">
        <f>IF(tech_base!$T119&gt;O$1745,"",(tech_base!$K119/tech_proj!O243*0.086*$J$132)/(1-tech_proj!O523))</f>
        <v>0</v>
      </c>
      <c r="P1863" s="121">
        <f>IF(tech_base!$T119&gt;P$1745,"",(tech_base!$K119/tech_proj!P243*0.086*$J$132)/(1-tech_proj!P523))</f>
        <v>0</v>
      </c>
      <c r="Q1863" s="121">
        <f>IF(tech_base!$T119&gt;Q$1745,"",(tech_base!$K119/tech_proj!Q243*0.086*$J$132)/(1-tech_proj!Q523))</f>
        <v>0</v>
      </c>
      <c r="R1863" s="121">
        <f>IF(tech_base!$T119&gt;R$1745,"",(tech_base!$K119/tech_proj!R243*0.086*$J$132)/(1-tech_proj!R523))</f>
        <v>0</v>
      </c>
      <c r="S1863" s="121">
        <f>IF(tech_base!$T119&gt;S$1745,"",(tech_base!$K119/tech_proj!S243*0.086*$J$132)/(1-tech_proj!S523))</f>
        <v>0</v>
      </c>
      <c r="T1863" s="121">
        <f>IF(tech_base!$T119&gt;T$1745,"",(tech_base!$K119/tech_proj!T243*0.086*$J$132)/(1-tech_proj!T523))</f>
        <v>0</v>
      </c>
      <c r="U1863" s="121">
        <f>IF(tech_base!$T119&gt;U$1745,"",(tech_base!$K119/tech_proj!U243*0.086*$J$132)/(1-tech_proj!U523))</f>
        <v>0</v>
      </c>
      <c r="V1863" s="121">
        <f>IF(tech_base!$T119&gt;V$1745,"",(tech_base!$K119/tech_proj!V243*0.086*$J$132)/(1-tech_proj!V523))</f>
        <v>0</v>
      </c>
      <c r="W1863" s="121">
        <f>IF(tech_base!$T119&gt;W$1745,"",(tech_base!$K119/tech_proj!W243*0.086*$J$132)/(1-tech_proj!W523))</f>
        <v>0</v>
      </c>
      <c r="X1863" s="121">
        <f>IF(tech_base!$T119&gt;X$1745,"",(tech_base!$K119/tech_proj!X243*0.086*$J$132)/(1-tech_proj!X523))</f>
        <v>0</v>
      </c>
      <c r="Y1863" s="121">
        <f>IF(tech_base!$T119&gt;Y$1745,"",(tech_base!$K119/tech_proj!Y243*0.086*$J$132)/(1-tech_proj!Y523))</f>
        <v>0</v>
      </c>
      <c r="Z1863" s="121">
        <f>IF(tech_base!$T119&gt;Z$1745,"",(tech_base!$K119/tech_proj!Z243*0.086*$J$132)/(1-tech_proj!Z523))</f>
        <v>0</v>
      </c>
      <c r="AA1863" s="121">
        <f>IF(tech_base!$T119&gt;AA$1745,"",(tech_base!$K119/tech_proj!AA243*0.086*$J$132)/(1-tech_proj!AA523))</f>
        <v>0</v>
      </c>
      <c r="AB1863" s="121">
        <f>IF(tech_base!$T119&gt;AB$1745,"",(tech_base!$K119/tech_proj!AB243*0.086*$J$132)/(1-tech_proj!AB523))</f>
        <v>0</v>
      </c>
      <c r="AC1863" s="121">
        <f>IF(tech_base!$T119&gt;AC$1745,"",(tech_base!$K119/tech_proj!AC243*0.086*$J$132)/(1-tech_proj!AC523))</f>
        <v>0</v>
      </c>
      <c r="AD1863" s="121">
        <f>IF(tech_base!$T119&gt;AD$1745,"",(tech_base!$K119/tech_proj!AD243*0.086*$J$132)/(1-tech_proj!AD523))</f>
        <v>0</v>
      </c>
      <c r="AE1863" s="121">
        <f>IF(tech_base!$T119&gt;AE$1745,"",(tech_base!$K119/tech_proj!AE243*0.086*$J$132)/(1-tech_proj!AE523))</f>
        <v>0</v>
      </c>
      <c r="AF1863" s="121">
        <f>IF(tech_base!$T119&gt;AF$1745,"",(tech_base!$K119/tech_proj!AF243*0.086*$J$132)/(1-tech_proj!AF523))</f>
        <v>0</v>
      </c>
      <c r="AG1863" s="121">
        <f>IF(tech_base!$T119&gt;AG$1745,"",(tech_base!$K119/tech_proj!AG243*0.086*$J$132)/(1-tech_proj!AG523))</f>
        <v>0</v>
      </c>
      <c r="AH1863" s="121">
        <f>IF(tech_base!$T119&gt;AH$1745,"",(tech_base!$K119/tech_proj!AH243*0.086*$J$132)/(1-tech_proj!AH523))</f>
        <v>0</v>
      </c>
      <c r="AI1863" s="121">
        <f>IF(tech_base!$T119&gt;AI$1745,"",(tech_base!$K119/tech_proj!AI243*0.086*$J$132)/(1-tech_proj!AI523))</f>
        <v>0</v>
      </c>
      <c r="AJ1863" s="121">
        <f>IF(tech_base!$T119&gt;AJ$1745,"",(tech_base!$K119/tech_proj!AJ243*0.086*$J$132)/(1-tech_proj!AJ523))</f>
        <v>0</v>
      </c>
      <c r="AK1863" s="121">
        <f>IF(tech_base!$T119&gt;AK$1745,"",(tech_base!$K119/tech_proj!AK243*0.086*$J$132)/(1-tech_proj!AK523))</f>
        <v>0</v>
      </c>
      <c r="AL1863" s="121">
        <f>IF(tech_base!$T119&gt;AL$1745,"",(tech_base!$K119/tech_proj!AL243*0.086*$J$132)/(1-tech_proj!AL523))</f>
        <v>0</v>
      </c>
      <c r="AM1863" s="121">
        <f>IF(tech_base!$T119&gt;AM$1745,"",(tech_base!$K119/tech_proj!AM243*0.086*$J$132)/(1-tech_proj!AM523))</f>
        <v>0</v>
      </c>
      <c r="AN1863" s="121">
        <f>IF(tech_base!$T119&gt;AN$1745,"",(tech_base!$K119/tech_proj!AN243*0.086*$J$132)/(1-tech_proj!AN523))</f>
        <v>0</v>
      </c>
      <c r="AO1863" s="121">
        <f>IF(tech_base!$T119&gt;AO$1745,"",(tech_base!$K119/tech_proj!AO243*0.086*$J$132)/(1-tech_proj!AO523))</f>
        <v>0</v>
      </c>
      <c r="AP1863" s="121">
        <f>IF(tech_base!$T119&gt;AP$1745,"",(tech_base!$K119/tech_proj!AP243*0.086*$J$132)/(1-tech_proj!AP523))</f>
        <v>0</v>
      </c>
      <c r="AQ1863" s="121">
        <f>IF(tech_base!$T119&gt;AQ$1745,"",(tech_base!$K119/tech_proj!AQ243*0.086*$J$132)/(1-tech_proj!AQ523))</f>
        <v>0</v>
      </c>
      <c r="AR1863" s="121">
        <f>IF(tech_base!$T119&gt;AR$1745,"",(tech_base!$K119/tech_proj!AR243*0.086*$J$132)/(1-tech_proj!AR523))</f>
        <v>0</v>
      </c>
      <c r="AS1863" s="121">
        <f>IF(tech_base!$T119&gt;AS$1745,"",(tech_base!$K119/tech_proj!AS243*0.086*$J$132)/(1-tech_proj!AS523))</f>
        <v>0</v>
      </c>
      <c r="AT1863" s="121">
        <f>IF(tech_base!$T119&gt;AT$1745,"",(tech_base!$K119/tech_proj!AT243*0.086*$J$132)/(1-tech_proj!AT523))</f>
        <v>0</v>
      </c>
      <c r="AU1863" s="121">
        <f>IF(tech_base!$T119&gt;AU$1745,"",(tech_base!$K119/tech_proj!AU243*0.086*$J$132)/(1-tech_proj!AU523))</f>
        <v>0</v>
      </c>
      <c r="AV1863" s="121">
        <f>IF(tech_base!$T119&gt;AV$1745,"",(tech_base!$K119/tech_proj!AV243*0.086*$J$132)/(1-tech_proj!AV523))</f>
        <v>0</v>
      </c>
      <c r="AW1863" s="121">
        <f>IF(tech_base!$T119&gt;AW$1745,"",(tech_base!$K119/tech_proj!AW243*0.086*$J$132)/(1-tech_proj!AW523))</f>
        <v>0</v>
      </c>
      <c r="AX1863" s="122">
        <f>IF(tech_base!$T119&gt;AX$1745,"",(tech_base!$K119/tech_proj!AX243*0.086*$J$132)/(1-tech_proj!AX523))</f>
        <v>0</v>
      </c>
    </row>
    <row r="1864" spans="1:50" x14ac:dyDescent="0.25">
      <c r="A1864" s="356"/>
      <c r="B1864" s="359"/>
      <c r="C1864" s="378"/>
      <c r="D1864" s="2" t="s">
        <v>8</v>
      </c>
      <c r="E1864" s="160" t="str">
        <f>A1863&amp;"/"&amp;B1863&amp;"/"&amp;C1863&amp;"/"&amp;D1864</f>
        <v>Derived gas fired power plants/Steam turbine/Electricity only/M</v>
      </c>
      <c r="F1864" s="76" t="str">
        <f>A1863</f>
        <v>Derived gas fired power plants</v>
      </c>
      <c r="G1864" s="76" t="str">
        <f>B1863</f>
        <v>Steam turbine</v>
      </c>
      <c r="H1864" s="76" t="str">
        <f>C1863</f>
        <v>Electricity only</v>
      </c>
      <c r="I1864" s="161" t="str">
        <f t="shared" si="383"/>
        <v>M</v>
      </c>
      <c r="J1864" s="119">
        <f>IF(tech_base!$T120&gt;J$1745,"",(tech_base!$K120/tech_proj!J244*0.086*$J$132)/(1-tech_proj!J524))</f>
        <v>0</v>
      </c>
      <c r="K1864" s="119">
        <f>IF(tech_base!$T120&gt;K$1745,"",(tech_base!$K120/tech_proj!K244*0.086*$J$132)/(1-tech_proj!K524))</f>
        <v>0</v>
      </c>
      <c r="L1864" s="119">
        <f>IF(tech_base!$T120&gt;L$1745,"",(tech_base!$K120/tech_proj!L244*0.086*$J$132)/(1-tech_proj!L524))</f>
        <v>0</v>
      </c>
      <c r="M1864" s="119">
        <f>IF(tech_base!$T120&gt;M$1745,"",(tech_base!$K120/tech_proj!M244*0.086*$J$132)/(1-tech_proj!M524))</f>
        <v>0</v>
      </c>
      <c r="N1864" s="119">
        <f>IF(tech_base!$T120&gt;N$1745,"",(tech_base!$K120/tech_proj!N244*0.086*$J$132)/(1-tech_proj!N524))</f>
        <v>0</v>
      </c>
      <c r="O1864" s="119">
        <f>IF(tech_base!$T120&gt;O$1745,"",(tech_base!$K120/tech_proj!O244*0.086*$J$132)/(1-tech_proj!O524))</f>
        <v>0</v>
      </c>
      <c r="P1864" s="119">
        <f>IF(tech_base!$T120&gt;P$1745,"",(tech_base!$K120/tech_proj!P244*0.086*$J$132)/(1-tech_proj!P524))</f>
        <v>0</v>
      </c>
      <c r="Q1864" s="119">
        <f>IF(tech_base!$T120&gt;Q$1745,"",(tech_base!$K120/tech_proj!Q244*0.086*$J$132)/(1-tech_proj!Q524))</f>
        <v>0</v>
      </c>
      <c r="R1864" s="119">
        <f>IF(tech_base!$T120&gt;R$1745,"",(tech_base!$K120/tech_proj!R244*0.086*$J$132)/(1-tech_proj!R524))</f>
        <v>0</v>
      </c>
      <c r="S1864" s="119">
        <f>IF(tech_base!$T120&gt;S$1745,"",(tech_base!$K120/tech_proj!S244*0.086*$J$132)/(1-tech_proj!S524))</f>
        <v>0</v>
      </c>
      <c r="T1864" s="119">
        <f>IF(tech_base!$T120&gt;T$1745,"",(tech_base!$K120/tech_proj!T244*0.086*$J$132)/(1-tech_proj!T524))</f>
        <v>0</v>
      </c>
      <c r="U1864" s="119">
        <f>IF(tech_base!$T120&gt;U$1745,"",(tech_base!$K120/tech_proj!U244*0.086*$J$132)/(1-tech_proj!U524))</f>
        <v>0</v>
      </c>
      <c r="V1864" s="119">
        <f>IF(tech_base!$T120&gt;V$1745,"",(tech_base!$K120/tech_proj!V244*0.086*$J$132)/(1-tech_proj!V524))</f>
        <v>0</v>
      </c>
      <c r="W1864" s="119">
        <f>IF(tech_base!$T120&gt;W$1745,"",(tech_base!$K120/tech_proj!W244*0.086*$J$132)/(1-tech_proj!W524))</f>
        <v>0</v>
      </c>
      <c r="X1864" s="119">
        <f>IF(tech_base!$T120&gt;X$1745,"",(tech_base!$K120/tech_proj!X244*0.086*$J$132)/(1-tech_proj!X524))</f>
        <v>0</v>
      </c>
      <c r="Y1864" s="119">
        <f>IF(tech_base!$T120&gt;Y$1745,"",(tech_base!$K120/tech_proj!Y244*0.086*$J$132)/(1-tech_proj!Y524))</f>
        <v>0</v>
      </c>
      <c r="Z1864" s="119">
        <f>IF(tech_base!$T120&gt;Z$1745,"",(tech_base!$K120/tech_proj!Z244*0.086*$J$132)/(1-tech_proj!Z524))</f>
        <v>0</v>
      </c>
      <c r="AA1864" s="119">
        <f>IF(tech_base!$T120&gt;AA$1745,"",(tech_base!$K120/tech_proj!AA244*0.086*$J$132)/(1-tech_proj!AA524))</f>
        <v>0</v>
      </c>
      <c r="AB1864" s="119">
        <f>IF(tech_base!$T120&gt;AB$1745,"",(tech_base!$K120/tech_proj!AB244*0.086*$J$132)/(1-tech_proj!AB524))</f>
        <v>0</v>
      </c>
      <c r="AC1864" s="119">
        <f>IF(tech_base!$T120&gt;AC$1745,"",(tech_base!$K120/tech_proj!AC244*0.086*$J$132)/(1-tech_proj!AC524))</f>
        <v>0</v>
      </c>
      <c r="AD1864" s="119">
        <f>IF(tech_base!$T120&gt;AD$1745,"",(tech_base!$K120/tech_proj!AD244*0.086*$J$132)/(1-tech_proj!AD524))</f>
        <v>0</v>
      </c>
      <c r="AE1864" s="119">
        <f>IF(tech_base!$T120&gt;AE$1745,"",(tech_base!$K120/tech_proj!AE244*0.086*$J$132)/(1-tech_proj!AE524))</f>
        <v>0</v>
      </c>
      <c r="AF1864" s="119">
        <f>IF(tech_base!$T120&gt;AF$1745,"",(tech_base!$K120/tech_proj!AF244*0.086*$J$132)/(1-tech_proj!AF524))</f>
        <v>0</v>
      </c>
      <c r="AG1864" s="119">
        <f>IF(tech_base!$T120&gt;AG$1745,"",(tech_base!$K120/tech_proj!AG244*0.086*$J$132)/(1-tech_proj!AG524))</f>
        <v>0</v>
      </c>
      <c r="AH1864" s="119">
        <f>IF(tech_base!$T120&gt;AH$1745,"",(tech_base!$K120/tech_proj!AH244*0.086*$J$132)/(1-tech_proj!AH524))</f>
        <v>0</v>
      </c>
      <c r="AI1864" s="119">
        <f>IF(tech_base!$T120&gt;AI$1745,"",(tech_base!$K120/tech_proj!AI244*0.086*$J$132)/(1-tech_proj!AI524))</f>
        <v>0</v>
      </c>
      <c r="AJ1864" s="119">
        <f>IF(tech_base!$T120&gt;AJ$1745,"",(tech_base!$K120/tech_proj!AJ244*0.086*$J$132)/(1-tech_proj!AJ524))</f>
        <v>0</v>
      </c>
      <c r="AK1864" s="119">
        <f>IF(tech_base!$T120&gt;AK$1745,"",(tech_base!$K120/tech_proj!AK244*0.086*$J$132)/(1-tech_proj!AK524))</f>
        <v>0</v>
      </c>
      <c r="AL1864" s="119">
        <f>IF(tech_base!$T120&gt;AL$1745,"",(tech_base!$K120/tech_proj!AL244*0.086*$J$132)/(1-tech_proj!AL524))</f>
        <v>0</v>
      </c>
      <c r="AM1864" s="119">
        <f>IF(tech_base!$T120&gt;AM$1745,"",(tech_base!$K120/tech_proj!AM244*0.086*$J$132)/(1-tech_proj!AM524))</f>
        <v>0</v>
      </c>
      <c r="AN1864" s="119">
        <f>IF(tech_base!$T120&gt;AN$1745,"",(tech_base!$K120/tech_proj!AN244*0.086*$J$132)/(1-tech_proj!AN524))</f>
        <v>0</v>
      </c>
      <c r="AO1864" s="119">
        <f>IF(tech_base!$T120&gt;AO$1745,"",(tech_base!$K120/tech_proj!AO244*0.086*$J$132)/(1-tech_proj!AO524))</f>
        <v>0</v>
      </c>
      <c r="AP1864" s="119">
        <f>IF(tech_base!$T120&gt;AP$1745,"",(tech_base!$K120/tech_proj!AP244*0.086*$J$132)/(1-tech_proj!AP524))</f>
        <v>0</v>
      </c>
      <c r="AQ1864" s="119">
        <f>IF(tech_base!$T120&gt;AQ$1745,"",(tech_base!$K120/tech_proj!AQ244*0.086*$J$132)/(1-tech_proj!AQ524))</f>
        <v>0</v>
      </c>
      <c r="AR1864" s="119">
        <f>IF(tech_base!$T120&gt;AR$1745,"",(tech_base!$K120/tech_proj!AR244*0.086*$J$132)/(1-tech_proj!AR524))</f>
        <v>0</v>
      </c>
      <c r="AS1864" s="119">
        <f>IF(tech_base!$T120&gt;AS$1745,"",(tech_base!$K120/tech_proj!AS244*0.086*$J$132)/(1-tech_proj!AS524))</f>
        <v>0</v>
      </c>
      <c r="AT1864" s="119">
        <f>IF(tech_base!$T120&gt;AT$1745,"",(tech_base!$K120/tech_proj!AT244*0.086*$J$132)/(1-tech_proj!AT524))</f>
        <v>0</v>
      </c>
      <c r="AU1864" s="119">
        <f>IF(tech_base!$T120&gt;AU$1745,"",(tech_base!$K120/tech_proj!AU244*0.086*$J$132)/(1-tech_proj!AU524))</f>
        <v>0</v>
      </c>
      <c r="AV1864" s="119">
        <f>IF(tech_base!$T120&gt;AV$1745,"",(tech_base!$K120/tech_proj!AV244*0.086*$J$132)/(1-tech_proj!AV524))</f>
        <v>0</v>
      </c>
      <c r="AW1864" s="119">
        <f>IF(tech_base!$T120&gt;AW$1745,"",(tech_base!$K120/tech_proj!AW244*0.086*$J$132)/(1-tech_proj!AW524))</f>
        <v>0</v>
      </c>
      <c r="AX1864" s="120">
        <f>IF(tech_base!$T120&gt;AX$1745,"",(tech_base!$K120/tech_proj!AX244*0.086*$J$132)/(1-tech_proj!AX524))</f>
        <v>0</v>
      </c>
    </row>
    <row r="1865" spans="1:50" x14ac:dyDescent="0.25">
      <c r="A1865" s="356"/>
      <c r="B1865" s="359"/>
      <c r="C1865" s="378"/>
      <c r="D1865" s="2" t="s">
        <v>10</v>
      </c>
      <c r="E1865" s="160" t="str">
        <f>A1863&amp;"/"&amp;B1863&amp;"/"&amp;C1863&amp;"/"&amp;D1865</f>
        <v>Derived gas fired power plants/Steam turbine/Electricity only/S</v>
      </c>
      <c r="F1865" s="76" t="str">
        <f>A1863</f>
        <v>Derived gas fired power plants</v>
      </c>
      <c r="G1865" s="76" t="str">
        <f>B1863</f>
        <v>Steam turbine</v>
      </c>
      <c r="H1865" s="76" t="str">
        <f>C1863</f>
        <v>Electricity only</v>
      </c>
      <c r="I1865" s="161" t="str">
        <f t="shared" si="383"/>
        <v>S</v>
      </c>
      <c r="J1865" s="119">
        <f>IF(tech_base!$T121&gt;J$1745,"",(tech_base!$K121/tech_proj!J245*0.086*$J$132)/(1-tech_proj!J525))</f>
        <v>0</v>
      </c>
      <c r="K1865" s="119">
        <f>IF(tech_base!$T121&gt;K$1745,"",(tech_base!$K121/tech_proj!K245*0.086*$J$132)/(1-tech_proj!K525))</f>
        <v>0</v>
      </c>
      <c r="L1865" s="119">
        <f>IF(tech_base!$T121&gt;L$1745,"",(tech_base!$K121/tech_proj!L245*0.086*$J$132)/(1-tech_proj!L525))</f>
        <v>0</v>
      </c>
      <c r="M1865" s="119">
        <f>IF(tech_base!$T121&gt;M$1745,"",(tech_base!$K121/tech_proj!M245*0.086*$J$132)/(1-tech_proj!M525))</f>
        <v>0</v>
      </c>
      <c r="N1865" s="119">
        <f>IF(tech_base!$T121&gt;N$1745,"",(tech_base!$K121/tech_proj!N245*0.086*$J$132)/(1-tech_proj!N525))</f>
        <v>0</v>
      </c>
      <c r="O1865" s="119">
        <f>IF(tech_base!$T121&gt;O$1745,"",(tech_base!$K121/tech_proj!O245*0.086*$J$132)/(1-tech_proj!O525))</f>
        <v>0</v>
      </c>
      <c r="P1865" s="119">
        <f>IF(tech_base!$T121&gt;P$1745,"",(tech_base!$K121/tech_proj!P245*0.086*$J$132)/(1-tech_proj!P525))</f>
        <v>0</v>
      </c>
      <c r="Q1865" s="119">
        <f>IF(tech_base!$T121&gt;Q$1745,"",(tech_base!$K121/tech_proj!Q245*0.086*$J$132)/(1-tech_proj!Q525))</f>
        <v>0</v>
      </c>
      <c r="R1865" s="119">
        <f>IF(tech_base!$T121&gt;R$1745,"",(tech_base!$K121/tech_proj!R245*0.086*$J$132)/(1-tech_proj!R525))</f>
        <v>0</v>
      </c>
      <c r="S1865" s="119">
        <f>IF(tech_base!$T121&gt;S$1745,"",(tech_base!$K121/tech_proj!S245*0.086*$J$132)/(1-tech_proj!S525))</f>
        <v>0</v>
      </c>
      <c r="T1865" s="119">
        <f>IF(tech_base!$T121&gt;T$1745,"",(tech_base!$K121/tech_proj!T245*0.086*$J$132)/(1-tech_proj!T525))</f>
        <v>0</v>
      </c>
      <c r="U1865" s="119">
        <f>IF(tech_base!$T121&gt;U$1745,"",(tech_base!$K121/tech_proj!U245*0.086*$J$132)/(1-tech_proj!U525))</f>
        <v>0</v>
      </c>
      <c r="V1865" s="119">
        <f>IF(tech_base!$T121&gt;V$1745,"",(tech_base!$K121/tech_proj!V245*0.086*$J$132)/(1-tech_proj!V525))</f>
        <v>0</v>
      </c>
      <c r="W1865" s="119">
        <f>IF(tech_base!$T121&gt;W$1745,"",(tech_base!$K121/tech_proj!W245*0.086*$J$132)/(1-tech_proj!W525))</f>
        <v>0</v>
      </c>
      <c r="X1865" s="119">
        <f>IF(tech_base!$T121&gt;X$1745,"",(tech_base!$K121/tech_proj!X245*0.086*$J$132)/(1-tech_proj!X525))</f>
        <v>0</v>
      </c>
      <c r="Y1865" s="119">
        <f>IF(tech_base!$T121&gt;Y$1745,"",(tech_base!$K121/tech_proj!Y245*0.086*$J$132)/(1-tech_proj!Y525))</f>
        <v>0</v>
      </c>
      <c r="Z1865" s="119">
        <f>IF(tech_base!$T121&gt;Z$1745,"",(tech_base!$K121/tech_proj!Z245*0.086*$J$132)/(1-tech_proj!Z525))</f>
        <v>0</v>
      </c>
      <c r="AA1865" s="119">
        <f>IF(tech_base!$T121&gt;AA$1745,"",(tech_base!$K121/tech_proj!AA245*0.086*$J$132)/(1-tech_proj!AA525))</f>
        <v>0</v>
      </c>
      <c r="AB1865" s="119">
        <f>IF(tech_base!$T121&gt;AB$1745,"",(tech_base!$K121/tech_proj!AB245*0.086*$J$132)/(1-tech_proj!AB525))</f>
        <v>0</v>
      </c>
      <c r="AC1865" s="119">
        <f>IF(tech_base!$T121&gt;AC$1745,"",(tech_base!$K121/tech_proj!AC245*0.086*$J$132)/(1-tech_proj!AC525))</f>
        <v>0</v>
      </c>
      <c r="AD1865" s="119">
        <f>IF(tech_base!$T121&gt;AD$1745,"",(tech_base!$K121/tech_proj!AD245*0.086*$J$132)/(1-tech_proj!AD525))</f>
        <v>0</v>
      </c>
      <c r="AE1865" s="119">
        <f>IF(tech_base!$T121&gt;AE$1745,"",(tech_base!$K121/tech_proj!AE245*0.086*$J$132)/(1-tech_proj!AE525))</f>
        <v>0</v>
      </c>
      <c r="AF1865" s="119">
        <f>IF(tech_base!$T121&gt;AF$1745,"",(tech_base!$K121/tech_proj!AF245*0.086*$J$132)/(1-tech_proj!AF525))</f>
        <v>0</v>
      </c>
      <c r="AG1865" s="119">
        <f>IF(tech_base!$T121&gt;AG$1745,"",(tech_base!$K121/tech_proj!AG245*0.086*$J$132)/(1-tech_proj!AG525))</f>
        <v>0</v>
      </c>
      <c r="AH1865" s="119">
        <f>IF(tech_base!$T121&gt;AH$1745,"",(tech_base!$K121/tech_proj!AH245*0.086*$J$132)/(1-tech_proj!AH525))</f>
        <v>0</v>
      </c>
      <c r="AI1865" s="119">
        <f>IF(tech_base!$T121&gt;AI$1745,"",(tech_base!$K121/tech_proj!AI245*0.086*$J$132)/(1-tech_proj!AI525))</f>
        <v>0</v>
      </c>
      <c r="AJ1865" s="119">
        <f>IF(tech_base!$T121&gt;AJ$1745,"",(tech_base!$K121/tech_proj!AJ245*0.086*$J$132)/(1-tech_proj!AJ525))</f>
        <v>0</v>
      </c>
      <c r="AK1865" s="119">
        <f>IF(tech_base!$T121&gt;AK$1745,"",(tech_base!$K121/tech_proj!AK245*0.086*$J$132)/(1-tech_proj!AK525))</f>
        <v>0</v>
      </c>
      <c r="AL1865" s="119">
        <f>IF(tech_base!$T121&gt;AL$1745,"",(tech_base!$K121/tech_proj!AL245*0.086*$J$132)/(1-tech_proj!AL525))</f>
        <v>0</v>
      </c>
      <c r="AM1865" s="119">
        <f>IF(tech_base!$T121&gt;AM$1745,"",(tech_base!$K121/tech_proj!AM245*0.086*$J$132)/(1-tech_proj!AM525))</f>
        <v>0</v>
      </c>
      <c r="AN1865" s="119">
        <f>IF(tech_base!$T121&gt;AN$1745,"",(tech_base!$K121/tech_proj!AN245*0.086*$J$132)/(1-tech_proj!AN525))</f>
        <v>0</v>
      </c>
      <c r="AO1865" s="119">
        <f>IF(tech_base!$T121&gt;AO$1745,"",(tech_base!$K121/tech_proj!AO245*0.086*$J$132)/(1-tech_proj!AO525))</f>
        <v>0</v>
      </c>
      <c r="AP1865" s="119">
        <f>IF(tech_base!$T121&gt;AP$1745,"",(tech_base!$K121/tech_proj!AP245*0.086*$J$132)/(1-tech_proj!AP525))</f>
        <v>0</v>
      </c>
      <c r="AQ1865" s="119">
        <f>IF(tech_base!$T121&gt;AQ$1745,"",(tech_base!$K121/tech_proj!AQ245*0.086*$J$132)/(1-tech_proj!AQ525))</f>
        <v>0</v>
      </c>
      <c r="AR1865" s="119">
        <f>IF(tech_base!$T121&gt;AR$1745,"",(tech_base!$K121/tech_proj!AR245*0.086*$J$132)/(1-tech_proj!AR525))</f>
        <v>0</v>
      </c>
      <c r="AS1865" s="119">
        <f>IF(tech_base!$T121&gt;AS$1745,"",(tech_base!$K121/tech_proj!AS245*0.086*$J$132)/(1-tech_proj!AS525))</f>
        <v>0</v>
      </c>
      <c r="AT1865" s="119">
        <f>IF(tech_base!$T121&gt;AT$1745,"",(tech_base!$K121/tech_proj!AT245*0.086*$J$132)/(1-tech_proj!AT525))</f>
        <v>0</v>
      </c>
      <c r="AU1865" s="119">
        <f>IF(tech_base!$T121&gt;AU$1745,"",(tech_base!$K121/tech_proj!AU245*0.086*$J$132)/(1-tech_proj!AU525))</f>
        <v>0</v>
      </c>
      <c r="AV1865" s="119">
        <f>IF(tech_base!$T121&gt;AV$1745,"",(tech_base!$K121/tech_proj!AV245*0.086*$J$132)/(1-tech_proj!AV525))</f>
        <v>0</v>
      </c>
      <c r="AW1865" s="119">
        <f>IF(tech_base!$T121&gt;AW$1745,"",(tech_base!$K121/tech_proj!AW245*0.086*$J$132)/(1-tech_proj!AW525))</f>
        <v>0</v>
      </c>
      <c r="AX1865" s="120">
        <f>IF(tech_base!$T121&gt;AX$1745,"",(tech_base!$K121/tech_proj!AX245*0.086*$J$132)/(1-tech_proj!AX525))</f>
        <v>0</v>
      </c>
    </row>
    <row r="1866" spans="1:50" x14ac:dyDescent="0.25">
      <c r="A1866" s="356"/>
      <c r="B1866" s="359"/>
      <c r="C1866" s="379"/>
      <c r="D1866" s="2" t="s">
        <v>20</v>
      </c>
      <c r="E1866" s="160" t="str">
        <f>A1863&amp;"/"&amp;B1863&amp;"/"&amp;C1863&amp;"/"&amp;D1866</f>
        <v>Derived gas fired power plants/Steam turbine/Electricity only/XS</v>
      </c>
      <c r="F1866" s="76" t="str">
        <f>A1863</f>
        <v>Derived gas fired power plants</v>
      </c>
      <c r="G1866" s="76" t="str">
        <f>B1863</f>
        <v>Steam turbine</v>
      </c>
      <c r="H1866" s="76" t="str">
        <f>C1863</f>
        <v>Electricity only</v>
      </c>
      <c r="I1866" s="161" t="str">
        <f t="shared" si="383"/>
        <v>XS</v>
      </c>
      <c r="J1866" s="119">
        <f>IF(tech_base!$T122&gt;J$1745,"",(tech_base!$K122/tech_proj!J246*0.086*$J$132)/(1-tech_proj!J526))</f>
        <v>0</v>
      </c>
      <c r="K1866" s="119">
        <f>IF(tech_base!$T122&gt;K$1745,"",(tech_base!$K122/tech_proj!K246*0.086*$J$132)/(1-tech_proj!K526))</f>
        <v>0</v>
      </c>
      <c r="L1866" s="119">
        <f>IF(tech_base!$T122&gt;L$1745,"",(tech_base!$K122/tech_proj!L246*0.086*$J$132)/(1-tech_proj!L526))</f>
        <v>0</v>
      </c>
      <c r="M1866" s="119">
        <f>IF(tech_base!$T122&gt;M$1745,"",(tech_base!$K122/tech_proj!M246*0.086*$J$132)/(1-tech_proj!M526))</f>
        <v>0</v>
      </c>
      <c r="N1866" s="119">
        <f>IF(tech_base!$T122&gt;N$1745,"",(tech_base!$K122/tech_proj!N246*0.086*$J$132)/(1-tech_proj!N526))</f>
        <v>0</v>
      </c>
      <c r="O1866" s="119">
        <f>IF(tech_base!$T122&gt;O$1745,"",(tech_base!$K122/tech_proj!O246*0.086*$J$132)/(1-tech_proj!O526))</f>
        <v>0</v>
      </c>
      <c r="P1866" s="119">
        <f>IF(tech_base!$T122&gt;P$1745,"",(tech_base!$K122/tech_proj!P246*0.086*$J$132)/(1-tech_proj!P526))</f>
        <v>0</v>
      </c>
      <c r="Q1866" s="119">
        <f>IF(tech_base!$T122&gt;Q$1745,"",(tech_base!$K122/tech_proj!Q246*0.086*$J$132)/(1-tech_proj!Q526))</f>
        <v>0</v>
      </c>
      <c r="R1866" s="119">
        <f>IF(tech_base!$T122&gt;R$1745,"",(tech_base!$K122/tech_proj!R246*0.086*$J$132)/(1-tech_proj!R526))</f>
        <v>0</v>
      </c>
      <c r="S1866" s="119">
        <f>IF(tech_base!$T122&gt;S$1745,"",(tech_base!$K122/tech_proj!S246*0.086*$J$132)/(1-tech_proj!S526))</f>
        <v>0</v>
      </c>
      <c r="T1866" s="119">
        <f>IF(tech_base!$T122&gt;T$1745,"",(tech_base!$K122/tech_proj!T246*0.086*$J$132)/(1-tech_proj!T526))</f>
        <v>0</v>
      </c>
      <c r="U1866" s="119">
        <f>IF(tech_base!$T122&gt;U$1745,"",(tech_base!$K122/tech_proj!U246*0.086*$J$132)/(1-tech_proj!U526))</f>
        <v>0</v>
      </c>
      <c r="V1866" s="119">
        <f>IF(tech_base!$T122&gt;V$1745,"",(tech_base!$K122/tech_proj!V246*0.086*$J$132)/(1-tech_proj!V526))</f>
        <v>0</v>
      </c>
      <c r="W1866" s="119">
        <f>IF(tech_base!$T122&gt;W$1745,"",(tech_base!$K122/tech_proj!W246*0.086*$J$132)/(1-tech_proj!W526))</f>
        <v>0</v>
      </c>
      <c r="X1866" s="119">
        <f>IF(tech_base!$T122&gt;X$1745,"",(tech_base!$K122/tech_proj!X246*0.086*$J$132)/(1-tech_proj!X526))</f>
        <v>0</v>
      </c>
      <c r="Y1866" s="119">
        <f>IF(tech_base!$T122&gt;Y$1745,"",(tech_base!$K122/tech_proj!Y246*0.086*$J$132)/(1-tech_proj!Y526))</f>
        <v>0</v>
      </c>
      <c r="Z1866" s="119">
        <f>IF(tech_base!$T122&gt;Z$1745,"",(tech_base!$K122/tech_proj!Z246*0.086*$J$132)/(1-tech_proj!Z526))</f>
        <v>0</v>
      </c>
      <c r="AA1866" s="119">
        <f>IF(tech_base!$T122&gt;AA$1745,"",(tech_base!$K122/tech_proj!AA246*0.086*$J$132)/(1-tech_proj!AA526))</f>
        <v>0</v>
      </c>
      <c r="AB1866" s="119">
        <f>IF(tech_base!$T122&gt;AB$1745,"",(tech_base!$K122/tech_proj!AB246*0.086*$J$132)/(1-tech_proj!AB526))</f>
        <v>0</v>
      </c>
      <c r="AC1866" s="119">
        <f>IF(tech_base!$T122&gt;AC$1745,"",(tech_base!$K122/tech_proj!AC246*0.086*$J$132)/(1-tech_proj!AC526))</f>
        <v>0</v>
      </c>
      <c r="AD1866" s="119">
        <f>IF(tech_base!$T122&gt;AD$1745,"",(tech_base!$K122/tech_proj!AD246*0.086*$J$132)/(1-tech_proj!AD526))</f>
        <v>0</v>
      </c>
      <c r="AE1866" s="119">
        <f>IF(tech_base!$T122&gt;AE$1745,"",(tech_base!$K122/tech_proj!AE246*0.086*$J$132)/(1-tech_proj!AE526))</f>
        <v>0</v>
      </c>
      <c r="AF1866" s="119">
        <f>IF(tech_base!$T122&gt;AF$1745,"",(tech_base!$K122/tech_proj!AF246*0.086*$J$132)/(1-tech_proj!AF526))</f>
        <v>0</v>
      </c>
      <c r="AG1866" s="119">
        <f>IF(tech_base!$T122&gt;AG$1745,"",(tech_base!$K122/tech_proj!AG246*0.086*$J$132)/(1-tech_proj!AG526))</f>
        <v>0</v>
      </c>
      <c r="AH1866" s="119">
        <f>IF(tech_base!$T122&gt;AH$1745,"",(tech_base!$K122/tech_proj!AH246*0.086*$J$132)/(1-tech_proj!AH526))</f>
        <v>0</v>
      </c>
      <c r="AI1866" s="119">
        <f>IF(tech_base!$T122&gt;AI$1745,"",(tech_base!$K122/tech_proj!AI246*0.086*$J$132)/(1-tech_proj!AI526))</f>
        <v>0</v>
      </c>
      <c r="AJ1866" s="119">
        <f>IF(tech_base!$T122&gt;AJ$1745,"",(tech_base!$K122/tech_proj!AJ246*0.086*$J$132)/(1-tech_proj!AJ526))</f>
        <v>0</v>
      </c>
      <c r="AK1866" s="119">
        <f>IF(tech_base!$T122&gt;AK$1745,"",(tech_base!$K122/tech_proj!AK246*0.086*$J$132)/(1-tech_proj!AK526))</f>
        <v>0</v>
      </c>
      <c r="AL1866" s="119">
        <f>IF(tech_base!$T122&gt;AL$1745,"",(tech_base!$K122/tech_proj!AL246*0.086*$J$132)/(1-tech_proj!AL526))</f>
        <v>0</v>
      </c>
      <c r="AM1866" s="119">
        <f>IF(tech_base!$T122&gt;AM$1745,"",(tech_base!$K122/tech_proj!AM246*0.086*$J$132)/(1-tech_proj!AM526))</f>
        <v>0</v>
      </c>
      <c r="AN1866" s="119">
        <f>IF(tech_base!$T122&gt;AN$1745,"",(tech_base!$K122/tech_proj!AN246*0.086*$J$132)/(1-tech_proj!AN526))</f>
        <v>0</v>
      </c>
      <c r="AO1866" s="119">
        <f>IF(tech_base!$T122&gt;AO$1745,"",(tech_base!$K122/tech_proj!AO246*0.086*$J$132)/(1-tech_proj!AO526))</f>
        <v>0</v>
      </c>
      <c r="AP1866" s="119">
        <f>IF(tech_base!$T122&gt;AP$1745,"",(tech_base!$K122/tech_proj!AP246*0.086*$J$132)/(1-tech_proj!AP526))</f>
        <v>0</v>
      </c>
      <c r="AQ1866" s="119">
        <f>IF(tech_base!$T122&gt;AQ$1745,"",(tech_base!$K122/tech_proj!AQ246*0.086*$J$132)/(1-tech_proj!AQ526))</f>
        <v>0</v>
      </c>
      <c r="AR1866" s="119">
        <f>IF(tech_base!$T122&gt;AR$1745,"",(tech_base!$K122/tech_proj!AR246*0.086*$J$132)/(1-tech_proj!AR526))</f>
        <v>0</v>
      </c>
      <c r="AS1866" s="119">
        <f>IF(tech_base!$T122&gt;AS$1745,"",(tech_base!$K122/tech_proj!AS246*0.086*$J$132)/(1-tech_proj!AS526))</f>
        <v>0</v>
      </c>
      <c r="AT1866" s="119">
        <f>IF(tech_base!$T122&gt;AT$1745,"",(tech_base!$K122/tech_proj!AT246*0.086*$J$132)/(1-tech_proj!AT526))</f>
        <v>0</v>
      </c>
      <c r="AU1866" s="119">
        <f>IF(tech_base!$T122&gt;AU$1745,"",(tech_base!$K122/tech_proj!AU246*0.086*$J$132)/(1-tech_proj!AU526))</f>
        <v>0</v>
      </c>
      <c r="AV1866" s="119">
        <f>IF(tech_base!$T122&gt;AV$1745,"",(tech_base!$K122/tech_proj!AV246*0.086*$J$132)/(1-tech_proj!AV526))</f>
        <v>0</v>
      </c>
      <c r="AW1866" s="119">
        <f>IF(tech_base!$T122&gt;AW$1745,"",(tech_base!$K122/tech_proj!AW246*0.086*$J$132)/(1-tech_proj!AW526))</f>
        <v>0</v>
      </c>
      <c r="AX1866" s="120">
        <f>IF(tech_base!$T122&gt;AX$1745,"",(tech_base!$K122/tech_proj!AX246*0.086*$J$132)/(1-tech_proj!AX526))</f>
        <v>0</v>
      </c>
    </row>
    <row r="1867" spans="1:50" x14ac:dyDescent="0.25">
      <c r="A1867" s="356"/>
      <c r="B1867" s="359"/>
      <c r="C1867" s="361" t="s">
        <v>14</v>
      </c>
      <c r="D1867" s="58" t="s">
        <v>7</v>
      </c>
      <c r="E1867" s="164" t="str">
        <f>A1863&amp;"/"&amp;B1863&amp;"/"&amp;C1867&amp;"/"&amp;D1867</f>
        <v>Derived gas fired power plants/Steam turbine/CHP/L</v>
      </c>
      <c r="F1867" s="78" t="str">
        <f>A1863</f>
        <v>Derived gas fired power plants</v>
      </c>
      <c r="G1867" s="78" t="str">
        <f>B1863</f>
        <v>Steam turbine</v>
      </c>
      <c r="H1867" s="78" t="str">
        <f>C1867</f>
        <v>CHP</v>
      </c>
      <c r="I1867" s="165" t="str">
        <f t="shared" si="383"/>
        <v>L</v>
      </c>
      <c r="J1867" s="123">
        <f>IF(tech_base!$T123&gt;J$1745,"",(tech_base!$K123/tech_proj!J247*0.086*$J$132)/(1-tech_proj!J527))</f>
        <v>0</v>
      </c>
      <c r="K1867" s="123">
        <f>IF(tech_base!$T123&gt;K$1745,"",(tech_base!$K123/tech_proj!K247*0.086*$J$132)/(1-tech_proj!K527))</f>
        <v>0</v>
      </c>
      <c r="L1867" s="123">
        <f>IF(tech_base!$T123&gt;L$1745,"",(tech_base!$K123/tech_proj!L247*0.086*$J$132)/(1-tech_proj!L527))</f>
        <v>0</v>
      </c>
      <c r="M1867" s="123">
        <f>IF(tech_base!$T123&gt;M$1745,"",(tech_base!$K123/tech_proj!M247*0.086*$J$132)/(1-tech_proj!M527))</f>
        <v>0</v>
      </c>
      <c r="N1867" s="123">
        <f>IF(tech_base!$T123&gt;N$1745,"",(tech_base!$K123/tech_proj!N247*0.086*$J$132)/(1-tech_proj!N527))</f>
        <v>0</v>
      </c>
      <c r="O1867" s="123">
        <f>IF(tech_base!$T123&gt;O$1745,"",(tech_base!$K123/tech_proj!O247*0.086*$J$132)/(1-tech_proj!O527))</f>
        <v>0</v>
      </c>
      <c r="P1867" s="123">
        <f>IF(tech_base!$T123&gt;P$1745,"",(tech_base!$K123/tech_proj!P247*0.086*$J$132)/(1-tech_proj!P527))</f>
        <v>0</v>
      </c>
      <c r="Q1867" s="123">
        <f>IF(tech_base!$T123&gt;Q$1745,"",(tech_base!$K123/tech_proj!Q247*0.086*$J$132)/(1-tech_proj!Q527))</f>
        <v>0</v>
      </c>
      <c r="R1867" s="123">
        <f>IF(tech_base!$T123&gt;R$1745,"",(tech_base!$K123/tech_proj!R247*0.086*$J$132)/(1-tech_proj!R527))</f>
        <v>0</v>
      </c>
      <c r="S1867" s="123">
        <f>IF(tech_base!$T123&gt;S$1745,"",(tech_base!$K123/tech_proj!S247*0.086*$J$132)/(1-tech_proj!S527))</f>
        <v>0</v>
      </c>
      <c r="T1867" s="123">
        <f>IF(tech_base!$T123&gt;T$1745,"",(tech_base!$K123/tech_proj!T247*0.086*$J$132)/(1-tech_proj!T527))</f>
        <v>0</v>
      </c>
      <c r="U1867" s="123">
        <f>IF(tech_base!$T123&gt;U$1745,"",(tech_base!$K123/tech_proj!U247*0.086*$J$132)/(1-tech_proj!U527))</f>
        <v>0</v>
      </c>
      <c r="V1867" s="123">
        <f>IF(tech_base!$T123&gt;V$1745,"",(tech_base!$K123/tech_proj!V247*0.086*$J$132)/(1-tech_proj!V527))</f>
        <v>0</v>
      </c>
      <c r="W1867" s="123">
        <f>IF(tech_base!$T123&gt;W$1745,"",(tech_base!$K123/tech_proj!W247*0.086*$J$132)/(1-tech_proj!W527))</f>
        <v>0</v>
      </c>
      <c r="X1867" s="123">
        <f>IF(tech_base!$T123&gt;X$1745,"",(tech_base!$K123/tech_proj!X247*0.086*$J$132)/(1-tech_proj!X527))</f>
        <v>0</v>
      </c>
      <c r="Y1867" s="123">
        <f>IF(tech_base!$T123&gt;Y$1745,"",(tech_base!$K123/tech_proj!Y247*0.086*$J$132)/(1-tech_proj!Y527))</f>
        <v>0</v>
      </c>
      <c r="Z1867" s="123">
        <f>IF(tech_base!$T123&gt;Z$1745,"",(tech_base!$K123/tech_proj!Z247*0.086*$J$132)/(1-tech_proj!Z527))</f>
        <v>0</v>
      </c>
      <c r="AA1867" s="123">
        <f>IF(tech_base!$T123&gt;AA$1745,"",(tech_base!$K123/tech_proj!AA247*0.086*$J$132)/(1-tech_proj!AA527))</f>
        <v>0</v>
      </c>
      <c r="AB1867" s="123">
        <f>IF(tech_base!$T123&gt;AB$1745,"",(tech_base!$K123/tech_proj!AB247*0.086*$J$132)/(1-tech_proj!AB527))</f>
        <v>0</v>
      </c>
      <c r="AC1867" s="123">
        <f>IF(tech_base!$T123&gt;AC$1745,"",(tech_base!$K123/tech_proj!AC247*0.086*$J$132)/(1-tech_proj!AC527))</f>
        <v>0</v>
      </c>
      <c r="AD1867" s="123">
        <f>IF(tech_base!$T123&gt;AD$1745,"",(tech_base!$K123/tech_proj!AD247*0.086*$J$132)/(1-tech_proj!AD527))</f>
        <v>0</v>
      </c>
      <c r="AE1867" s="123">
        <f>IF(tech_base!$T123&gt;AE$1745,"",(tech_base!$K123/tech_proj!AE247*0.086*$J$132)/(1-tech_proj!AE527))</f>
        <v>0</v>
      </c>
      <c r="AF1867" s="123">
        <f>IF(tech_base!$T123&gt;AF$1745,"",(tech_base!$K123/tech_proj!AF247*0.086*$J$132)/(1-tech_proj!AF527))</f>
        <v>0</v>
      </c>
      <c r="AG1867" s="123">
        <f>IF(tech_base!$T123&gt;AG$1745,"",(tech_base!$K123/tech_proj!AG247*0.086*$J$132)/(1-tech_proj!AG527))</f>
        <v>0</v>
      </c>
      <c r="AH1867" s="123">
        <f>IF(tech_base!$T123&gt;AH$1745,"",(tech_base!$K123/tech_proj!AH247*0.086*$J$132)/(1-tech_proj!AH527))</f>
        <v>0</v>
      </c>
      <c r="AI1867" s="123">
        <f>IF(tech_base!$T123&gt;AI$1745,"",(tech_base!$K123/tech_proj!AI247*0.086*$J$132)/(1-tech_proj!AI527))</f>
        <v>0</v>
      </c>
      <c r="AJ1867" s="123">
        <f>IF(tech_base!$T123&gt;AJ$1745,"",(tech_base!$K123/tech_proj!AJ247*0.086*$J$132)/(1-tech_proj!AJ527))</f>
        <v>0</v>
      </c>
      <c r="AK1867" s="123">
        <f>IF(tech_base!$T123&gt;AK$1745,"",(tech_base!$K123/tech_proj!AK247*0.086*$J$132)/(1-tech_proj!AK527))</f>
        <v>0</v>
      </c>
      <c r="AL1867" s="123">
        <f>IF(tech_base!$T123&gt;AL$1745,"",(tech_base!$K123/tech_proj!AL247*0.086*$J$132)/(1-tech_proj!AL527))</f>
        <v>0</v>
      </c>
      <c r="AM1867" s="123">
        <f>IF(tech_base!$T123&gt;AM$1745,"",(tech_base!$K123/tech_proj!AM247*0.086*$J$132)/(1-tech_proj!AM527))</f>
        <v>0</v>
      </c>
      <c r="AN1867" s="123">
        <f>IF(tech_base!$T123&gt;AN$1745,"",(tech_base!$K123/tech_proj!AN247*0.086*$J$132)/(1-tech_proj!AN527))</f>
        <v>0</v>
      </c>
      <c r="AO1867" s="123">
        <f>IF(tech_base!$T123&gt;AO$1745,"",(tech_base!$K123/tech_proj!AO247*0.086*$J$132)/(1-tech_proj!AO527))</f>
        <v>0</v>
      </c>
      <c r="AP1867" s="123">
        <f>IF(tech_base!$T123&gt;AP$1745,"",(tech_base!$K123/tech_proj!AP247*0.086*$J$132)/(1-tech_proj!AP527))</f>
        <v>0</v>
      </c>
      <c r="AQ1867" s="123">
        <f>IF(tech_base!$T123&gt;AQ$1745,"",(tech_base!$K123/tech_proj!AQ247*0.086*$J$132)/(1-tech_proj!AQ527))</f>
        <v>0</v>
      </c>
      <c r="AR1867" s="123">
        <f>IF(tech_base!$T123&gt;AR$1745,"",(tech_base!$K123/tech_proj!AR247*0.086*$J$132)/(1-tech_proj!AR527))</f>
        <v>0</v>
      </c>
      <c r="AS1867" s="123">
        <f>IF(tech_base!$T123&gt;AS$1745,"",(tech_base!$K123/tech_proj!AS247*0.086*$J$132)/(1-tech_proj!AS527))</f>
        <v>0</v>
      </c>
      <c r="AT1867" s="123">
        <f>IF(tech_base!$T123&gt;AT$1745,"",(tech_base!$K123/tech_proj!AT247*0.086*$J$132)/(1-tech_proj!AT527))</f>
        <v>0</v>
      </c>
      <c r="AU1867" s="123">
        <f>IF(tech_base!$T123&gt;AU$1745,"",(tech_base!$K123/tech_proj!AU247*0.086*$J$132)/(1-tech_proj!AU527))</f>
        <v>0</v>
      </c>
      <c r="AV1867" s="123">
        <f>IF(tech_base!$T123&gt;AV$1745,"",(tech_base!$K123/tech_proj!AV247*0.086*$J$132)/(1-tech_proj!AV527))</f>
        <v>0</v>
      </c>
      <c r="AW1867" s="123">
        <f>IF(tech_base!$T123&gt;AW$1745,"",(tech_base!$K123/tech_proj!AW247*0.086*$J$132)/(1-tech_proj!AW527))</f>
        <v>0</v>
      </c>
      <c r="AX1867" s="124">
        <f>IF(tech_base!$T123&gt;AX$1745,"",(tech_base!$K123/tech_proj!AX247*0.086*$J$132)/(1-tech_proj!AX527))</f>
        <v>0</v>
      </c>
    </row>
    <row r="1868" spans="1:50" x14ac:dyDescent="0.25">
      <c r="A1868" s="356"/>
      <c r="B1868" s="359"/>
      <c r="C1868" s="378"/>
      <c r="D1868" s="2" t="s">
        <v>8</v>
      </c>
      <c r="E1868" s="160" t="str">
        <f>A1863&amp;"/"&amp;B1863&amp;"/"&amp;C1867&amp;"/"&amp;D1868</f>
        <v>Derived gas fired power plants/Steam turbine/CHP/M</v>
      </c>
      <c r="F1868" s="76" t="str">
        <f>A1863</f>
        <v>Derived gas fired power plants</v>
      </c>
      <c r="G1868" s="76" t="str">
        <f>B1863</f>
        <v>Steam turbine</v>
      </c>
      <c r="H1868" s="76" t="str">
        <f>C1867</f>
        <v>CHP</v>
      </c>
      <c r="I1868" s="161" t="str">
        <f t="shared" si="383"/>
        <v>M</v>
      </c>
      <c r="J1868" s="119">
        <f>IF(tech_base!$T124&gt;J$1745,"",(tech_base!$K124/tech_proj!J248*0.086*$J$132)/(1-tech_proj!J528))</f>
        <v>0</v>
      </c>
      <c r="K1868" s="119">
        <f>IF(tech_base!$T124&gt;K$1745,"",(tech_base!$K124/tech_proj!K248*0.086*$J$132)/(1-tech_proj!K528))</f>
        <v>0</v>
      </c>
      <c r="L1868" s="119">
        <f>IF(tech_base!$T124&gt;L$1745,"",(tech_base!$K124/tech_proj!L248*0.086*$J$132)/(1-tech_proj!L528))</f>
        <v>0</v>
      </c>
      <c r="M1868" s="119">
        <f>IF(tech_base!$T124&gt;M$1745,"",(tech_base!$K124/tech_proj!M248*0.086*$J$132)/(1-tech_proj!M528))</f>
        <v>0</v>
      </c>
      <c r="N1868" s="119">
        <f>IF(tech_base!$T124&gt;N$1745,"",(tech_base!$K124/tech_proj!N248*0.086*$J$132)/(1-tech_proj!N528))</f>
        <v>0</v>
      </c>
      <c r="O1868" s="119">
        <f>IF(tech_base!$T124&gt;O$1745,"",(tech_base!$K124/tech_proj!O248*0.086*$J$132)/(1-tech_proj!O528))</f>
        <v>0</v>
      </c>
      <c r="P1868" s="119">
        <f>IF(tech_base!$T124&gt;P$1745,"",(tech_base!$K124/tech_proj!P248*0.086*$J$132)/(1-tech_proj!P528))</f>
        <v>0</v>
      </c>
      <c r="Q1868" s="119">
        <f>IF(tech_base!$T124&gt;Q$1745,"",(tech_base!$K124/tech_proj!Q248*0.086*$J$132)/(1-tech_proj!Q528))</f>
        <v>0</v>
      </c>
      <c r="R1868" s="119">
        <f>IF(tech_base!$T124&gt;R$1745,"",(tech_base!$K124/tech_proj!R248*0.086*$J$132)/(1-tech_proj!R528))</f>
        <v>0</v>
      </c>
      <c r="S1868" s="119">
        <f>IF(tech_base!$T124&gt;S$1745,"",(tech_base!$K124/tech_proj!S248*0.086*$J$132)/(1-tech_proj!S528))</f>
        <v>0</v>
      </c>
      <c r="T1868" s="119">
        <f>IF(tech_base!$T124&gt;T$1745,"",(tech_base!$K124/tech_proj!T248*0.086*$J$132)/(1-tech_proj!T528))</f>
        <v>0</v>
      </c>
      <c r="U1868" s="119">
        <f>IF(tech_base!$T124&gt;U$1745,"",(tech_base!$K124/tech_proj!U248*0.086*$J$132)/(1-tech_proj!U528))</f>
        <v>0</v>
      </c>
      <c r="V1868" s="119">
        <f>IF(tech_base!$T124&gt;V$1745,"",(tech_base!$K124/tech_proj!V248*0.086*$J$132)/(1-tech_proj!V528))</f>
        <v>0</v>
      </c>
      <c r="W1868" s="119">
        <f>IF(tech_base!$T124&gt;W$1745,"",(tech_base!$K124/tech_proj!W248*0.086*$J$132)/(1-tech_proj!W528))</f>
        <v>0</v>
      </c>
      <c r="X1868" s="119">
        <f>IF(tech_base!$T124&gt;X$1745,"",(tech_base!$K124/tech_proj!X248*0.086*$J$132)/(1-tech_proj!X528))</f>
        <v>0</v>
      </c>
      <c r="Y1868" s="119">
        <f>IF(tech_base!$T124&gt;Y$1745,"",(tech_base!$K124/tech_proj!Y248*0.086*$J$132)/(1-tech_proj!Y528))</f>
        <v>0</v>
      </c>
      <c r="Z1868" s="119">
        <f>IF(tech_base!$T124&gt;Z$1745,"",(tech_base!$K124/tech_proj!Z248*0.086*$J$132)/(1-tech_proj!Z528))</f>
        <v>0</v>
      </c>
      <c r="AA1868" s="119">
        <f>IF(tech_base!$T124&gt;AA$1745,"",(tech_base!$K124/tech_proj!AA248*0.086*$J$132)/(1-tech_proj!AA528))</f>
        <v>0</v>
      </c>
      <c r="AB1868" s="119">
        <f>IF(tech_base!$T124&gt;AB$1745,"",(tech_base!$K124/tech_proj!AB248*0.086*$J$132)/(1-tech_proj!AB528))</f>
        <v>0</v>
      </c>
      <c r="AC1868" s="119">
        <f>IF(tech_base!$T124&gt;AC$1745,"",(tech_base!$K124/tech_proj!AC248*0.086*$J$132)/(1-tech_proj!AC528))</f>
        <v>0</v>
      </c>
      <c r="AD1868" s="119">
        <f>IF(tech_base!$T124&gt;AD$1745,"",(tech_base!$K124/tech_proj!AD248*0.086*$J$132)/(1-tech_proj!AD528))</f>
        <v>0</v>
      </c>
      <c r="AE1868" s="119">
        <f>IF(tech_base!$T124&gt;AE$1745,"",(tech_base!$K124/tech_proj!AE248*0.086*$J$132)/(1-tech_proj!AE528))</f>
        <v>0</v>
      </c>
      <c r="AF1868" s="119">
        <f>IF(tech_base!$T124&gt;AF$1745,"",(tech_base!$K124/tech_proj!AF248*0.086*$J$132)/(1-tech_proj!AF528))</f>
        <v>0</v>
      </c>
      <c r="AG1868" s="119">
        <f>IF(tech_base!$T124&gt;AG$1745,"",(tech_base!$K124/tech_proj!AG248*0.086*$J$132)/(1-tech_proj!AG528))</f>
        <v>0</v>
      </c>
      <c r="AH1868" s="119">
        <f>IF(tech_base!$T124&gt;AH$1745,"",(tech_base!$K124/tech_proj!AH248*0.086*$J$132)/(1-tech_proj!AH528))</f>
        <v>0</v>
      </c>
      <c r="AI1868" s="119">
        <f>IF(tech_base!$T124&gt;AI$1745,"",(tech_base!$K124/tech_proj!AI248*0.086*$J$132)/(1-tech_proj!AI528))</f>
        <v>0</v>
      </c>
      <c r="AJ1868" s="119">
        <f>IF(tech_base!$T124&gt;AJ$1745,"",(tech_base!$K124/tech_proj!AJ248*0.086*$J$132)/(1-tech_proj!AJ528))</f>
        <v>0</v>
      </c>
      <c r="AK1868" s="119">
        <f>IF(tech_base!$T124&gt;AK$1745,"",(tech_base!$K124/tech_proj!AK248*0.086*$J$132)/(1-tech_proj!AK528))</f>
        <v>0</v>
      </c>
      <c r="AL1868" s="119">
        <f>IF(tech_base!$T124&gt;AL$1745,"",(tech_base!$K124/tech_proj!AL248*0.086*$J$132)/(1-tech_proj!AL528))</f>
        <v>0</v>
      </c>
      <c r="AM1868" s="119">
        <f>IF(tech_base!$T124&gt;AM$1745,"",(tech_base!$K124/tech_proj!AM248*0.086*$J$132)/(1-tech_proj!AM528))</f>
        <v>0</v>
      </c>
      <c r="AN1868" s="119">
        <f>IF(tech_base!$T124&gt;AN$1745,"",(tech_base!$K124/tech_proj!AN248*0.086*$J$132)/(1-tech_proj!AN528))</f>
        <v>0</v>
      </c>
      <c r="AO1868" s="119">
        <f>IF(tech_base!$T124&gt;AO$1745,"",(tech_base!$K124/tech_proj!AO248*0.086*$J$132)/(1-tech_proj!AO528))</f>
        <v>0</v>
      </c>
      <c r="AP1868" s="119">
        <f>IF(tech_base!$T124&gt;AP$1745,"",(tech_base!$K124/tech_proj!AP248*0.086*$J$132)/(1-tech_proj!AP528))</f>
        <v>0</v>
      </c>
      <c r="AQ1868" s="119">
        <f>IF(tech_base!$T124&gt;AQ$1745,"",(tech_base!$K124/tech_proj!AQ248*0.086*$J$132)/(1-tech_proj!AQ528))</f>
        <v>0</v>
      </c>
      <c r="AR1868" s="119">
        <f>IF(tech_base!$T124&gt;AR$1745,"",(tech_base!$K124/tech_proj!AR248*0.086*$J$132)/(1-tech_proj!AR528))</f>
        <v>0</v>
      </c>
      <c r="AS1868" s="119">
        <f>IF(tech_base!$T124&gt;AS$1745,"",(tech_base!$K124/tech_proj!AS248*0.086*$J$132)/(1-tech_proj!AS528))</f>
        <v>0</v>
      </c>
      <c r="AT1868" s="119">
        <f>IF(tech_base!$T124&gt;AT$1745,"",(tech_base!$K124/tech_proj!AT248*0.086*$J$132)/(1-tech_proj!AT528))</f>
        <v>0</v>
      </c>
      <c r="AU1868" s="119">
        <f>IF(tech_base!$T124&gt;AU$1745,"",(tech_base!$K124/tech_proj!AU248*0.086*$J$132)/(1-tech_proj!AU528))</f>
        <v>0</v>
      </c>
      <c r="AV1868" s="119">
        <f>IF(tech_base!$T124&gt;AV$1745,"",(tech_base!$K124/tech_proj!AV248*0.086*$J$132)/(1-tech_proj!AV528))</f>
        <v>0</v>
      </c>
      <c r="AW1868" s="119">
        <f>IF(tech_base!$T124&gt;AW$1745,"",(tech_base!$K124/tech_proj!AW248*0.086*$J$132)/(1-tech_proj!AW528))</f>
        <v>0</v>
      </c>
      <c r="AX1868" s="120">
        <f>IF(tech_base!$T124&gt;AX$1745,"",(tech_base!$K124/tech_proj!AX248*0.086*$J$132)/(1-tech_proj!AX528))</f>
        <v>0</v>
      </c>
    </row>
    <row r="1869" spans="1:50" x14ac:dyDescent="0.25">
      <c r="A1869" s="356"/>
      <c r="B1869" s="359"/>
      <c r="C1869" s="378"/>
      <c r="D1869" s="2" t="s">
        <v>10</v>
      </c>
      <c r="E1869" s="160" t="str">
        <f>A1863&amp;"/"&amp;B1863&amp;"/"&amp;C1867&amp;"/"&amp;D1869</f>
        <v>Derived gas fired power plants/Steam turbine/CHP/S</v>
      </c>
      <c r="F1869" s="76" t="str">
        <f>A1863</f>
        <v>Derived gas fired power plants</v>
      </c>
      <c r="G1869" s="76" t="str">
        <f>B1863</f>
        <v>Steam turbine</v>
      </c>
      <c r="H1869" s="76" t="str">
        <f>C1867</f>
        <v>CHP</v>
      </c>
      <c r="I1869" s="161" t="str">
        <f t="shared" si="383"/>
        <v>S</v>
      </c>
      <c r="J1869" s="119">
        <f>IF(tech_base!$T125&gt;J$1745,"",(tech_base!$K125/tech_proj!J249*0.086*$J$132)/(1-tech_proj!J529))</f>
        <v>0</v>
      </c>
      <c r="K1869" s="119">
        <f>IF(tech_base!$T125&gt;K$1745,"",(tech_base!$K125/tech_proj!K249*0.086*$J$132)/(1-tech_proj!K529))</f>
        <v>0</v>
      </c>
      <c r="L1869" s="119">
        <f>IF(tech_base!$T125&gt;L$1745,"",(tech_base!$K125/tech_proj!L249*0.086*$J$132)/(1-tech_proj!L529))</f>
        <v>0</v>
      </c>
      <c r="M1869" s="119">
        <f>IF(tech_base!$T125&gt;M$1745,"",(tech_base!$K125/tech_proj!M249*0.086*$J$132)/(1-tech_proj!M529))</f>
        <v>0</v>
      </c>
      <c r="N1869" s="119">
        <f>IF(tech_base!$T125&gt;N$1745,"",(tech_base!$K125/tech_proj!N249*0.086*$J$132)/(1-tech_proj!N529))</f>
        <v>0</v>
      </c>
      <c r="O1869" s="119">
        <f>IF(tech_base!$T125&gt;O$1745,"",(tech_base!$K125/tech_proj!O249*0.086*$J$132)/(1-tech_proj!O529))</f>
        <v>0</v>
      </c>
      <c r="P1869" s="119">
        <f>IF(tech_base!$T125&gt;P$1745,"",(tech_base!$K125/tech_proj!P249*0.086*$J$132)/(1-tech_proj!P529))</f>
        <v>0</v>
      </c>
      <c r="Q1869" s="119">
        <f>IF(tech_base!$T125&gt;Q$1745,"",(tech_base!$K125/tech_proj!Q249*0.086*$J$132)/(1-tech_proj!Q529))</f>
        <v>0</v>
      </c>
      <c r="R1869" s="119">
        <f>IF(tech_base!$T125&gt;R$1745,"",(tech_base!$K125/tech_proj!R249*0.086*$J$132)/(1-tech_proj!R529))</f>
        <v>0</v>
      </c>
      <c r="S1869" s="119">
        <f>IF(tech_base!$T125&gt;S$1745,"",(tech_base!$K125/tech_proj!S249*0.086*$J$132)/(1-tech_proj!S529))</f>
        <v>0</v>
      </c>
      <c r="T1869" s="119">
        <f>IF(tech_base!$T125&gt;T$1745,"",(tech_base!$K125/tech_proj!T249*0.086*$J$132)/(1-tech_proj!T529))</f>
        <v>0</v>
      </c>
      <c r="U1869" s="119">
        <f>IF(tech_base!$T125&gt;U$1745,"",(tech_base!$K125/tech_proj!U249*0.086*$J$132)/(1-tech_proj!U529))</f>
        <v>0</v>
      </c>
      <c r="V1869" s="119">
        <f>IF(tech_base!$T125&gt;V$1745,"",(tech_base!$K125/tech_proj!V249*0.086*$J$132)/(1-tech_proj!V529))</f>
        <v>0</v>
      </c>
      <c r="W1869" s="119">
        <f>IF(tech_base!$T125&gt;W$1745,"",(tech_base!$K125/tech_proj!W249*0.086*$J$132)/(1-tech_proj!W529))</f>
        <v>0</v>
      </c>
      <c r="X1869" s="119">
        <f>IF(tech_base!$T125&gt;X$1745,"",(tech_base!$K125/tech_proj!X249*0.086*$J$132)/(1-tech_proj!X529))</f>
        <v>0</v>
      </c>
      <c r="Y1869" s="119">
        <f>IF(tech_base!$T125&gt;Y$1745,"",(tech_base!$K125/tech_proj!Y249*0.086*$J$132)/(1-tech_proj!Y529))</f>
        <v>0</v>
      </c>
      <c r="Z1869" s="119">
        <f>IF(tech_base!$T125&gt;Z$1745,"",(tech_base!$K125/tech_proj!Z249*0.086*$J$132)/(1-tech_proj!Z529))</f>
        <v>0</v>
      </c>
      <c r="AA1869" s="119">
        <f>IF(tech_base!$T125&gt;AA$1745,"",(tech_base!$K125/tech_proj!AA249*0.086*$J$132)/(1-tech_proj!AA529))</f>
        <v>0</v>
      </c>
      <c r="AB1869" s="119">
        <f>IF(tech_base!$T125&gt;AB$1745,"",(tech_base!$K125/tech_proj!AB249*0.086*$J$132)/(1-tech_proj!AB529))</f>
        <v>0</v>
      </c>
      <c r="AC1869" s="119">
        <f>IF(tech_base!$T125&gt;AC$1745,"",(tech_base!$K125/tech_proj!AC249*0.086*$J$132)/(1-tech_proj!AC529))</f>
        <v>0</v>
      </c>
      <c r="AD1869" s="119">
        <f>IF(tech_base!$T125&gt;AD$1745,"",(tech_base!$K125/tech_proj!AD249*0.086*$J$132)/(1-tech_proj!AD529))</f>
        <v>0</v>
      </c>
      <c r="AE1869" s="119">
        <f>IF(tech_base!$T125&gt;AE$1745,"",(tech_base!$K125/tech_proj!AE249*0.086*$J$132)/(1-tech_proj!AE529))</f>
        <v>0</v>
      </c>
      <c r="AF1869" s="119">
        <f>IF(tech_base!$T125&gt;AF$1745,"",(tech_base!$K125/tech_proj!AF249*0.086*$J$132)/(1-tech_proj!AF529))</f>
        <v>0</v>
      </c>
      <c r="AG1869" s="119">
        <f>IF(tech_base!$T125&gt;AG$1745,"",(tech_base!$K125/tech_proj!AG249*0.086*$J$132)/(1-tech_proj!AG529))</f>
        <v>0</v>
      </c>
      <c r="AH1869" s="119">
        <f>IF(tech_base!$T125&gt;AH$1745,"",(tech_base!$K125/tech_proj!AH249*0.086*$J$132)/(1-tech_proj!AH529))</f>
        <v>0</v>
      </c>
      <c r="AI1869" s="119">
        <f>IF(tech_base!$T125&gt;AI$1745,"",(tech_base!$K125/tech_proj!AI249*0.086*$J$132)/(1-tech_proj!AI529))</f>
        <v>0</v>
      </c>
      <c r="AJ1869" s="119">
        <f>IF(tech_base!$T125&gt;AJ$1745,"",(tech_base!$K125/tech_proj!AJ249*0.086*$J$132)/(1-tech_proj!AJ529))</f>
        <v>0</v>
      </c>
      <c r="AK1869" s="119">
        <f>IF(tech_base!$T125&gt;AK$1745,"",(tech_base!$K125/tech_proj!AK249*0.086*$J$132)/(1-tech_proj!AK529))</f>
        <v>0</v>
      </c>
      <c r="AL1869" s="119">
        <f>IF(tech_base!$T125&gt;AL$1745,"",(tech_base!$K125/tech_proj!AL249*0.086*$J$132)/(1-tech_proj!AL529))</f>
        <v>0</v>
      </c>
      <c r="AM1869" s="119">
        <f>IF(tech_base!$T125&gt;AM$1745,"",(tech_base!$K125/tech_proj!AM249*0.086*$J$132)/(1-tech_proj!AM529))</f>
        <v>0</v>
      </c>
      <c r="AN1869" s="119">
        <f>IF(tech_base!$T125&gt;AN$1745,"",(tech_base!$K125/tech_proj!AN249*0.086*$J$132)/(1-tech_proj!AN529))</f>
        <v>0</v>
      </c>
      <c r="AO1869" s="119">
        <f>IF(tech_base!$T125&gt;AO$1745,"",(tech_base!$K125/tech_proj!AO249*0.086*$J$132)/(1-tech_proj!AO529))</f>
        <v>0</v>
      </c>
      <c r="AP1869" s="119">
        <f>IF(tech_base!$T125&gt;AP$1745,"",(tech_base!$K125/tech_proj!AP249*0.086*$J$132)/(1-tech_proj!AP529))</f>
        <v>0</v>
      </c>
      <c r="AQ1869" s="119">
        <f>IF(tech_base!$T125&gt;AQ$1745,"",(tech_base!$K125/tech_proj!AQ249*0.086*$J$132)/(1-tech_proj!AQ529))</f>
        <v>0</v>
      </c>
      <c r="AR1869" s="119">
        <f>IF(tech_base!$T125&gt;AR$1745,"",(tech_base!$K125/tech_proj!AR249*0.086*$J$132)/(1-tech_proj!AR529))</f>
        <v>0</v>
      </c>
      <c r="AS1869" s="119">
        <f>IF(tech_base!$T125&gt;AS$1745,"",(tech_base!$K125/tech_proj!AS249*0.086*$J$132)/(1-tech_proj!AS529))</f>
        <v>0</v>
      </c>
      <c r="AT1869" s="119">
        <f>IF(tech_base!$T125&gt;AT$1745,"",(tech_base!$K125/tech_proj!AT249*0.086*$J$132)/(1-tech_proj!AT529))</f>
        <v>0</v>
      </c>
      <c r="AU1869" s="119">
        <f>IF(tech_base!$T125&gt;AU$1745,"",(tech_base!$K125/tech_proj!AU249*0.086*$J$132)/(1-tech_proj!AU529))</f>
        <v>0</v>
      </c>
      <c r="AV1869" s="119">
        <f>IF(tech_base!$T125&gt;AV$1745,"",(tech_base!$K125/tech_proj!AV249*0.086*$J$132)/(1-tech_proj!AV529))</f>
        <v>0</v>
      </c>
      <c r="AW1869" s="119">
        <f>IF(tech_base!$T125&gt;AW$1745,"",(tech_base!$K125/tech_proj!AW249*0.086*$J$132)/(1-tech_proj!AW529))</f>
        <v>0</v>
      </c>
      <c r="AX1869" s="120">
        <f>IF(tech_base!$T125&gt;AX$1745,"",(tech_base!$K125/tech_proj!AX249*0.086*$J$132)/(1-tech_proj!AX529))</f>
        <v>0</v>
      </c>
    </row>
    <row r="1870" spans="1:50" x14ac:dyDescent="0.25">
      <c r="A1870" s="356"/>
      <c r="B1870" s="359"/>
      <c r="C1870" s="379"/>
      <c r="D1870" s="59" t="s">
        <v>20</v>
      </c>
      <c r="E1870" s="166" t="str">
        <f>A1863&amp;"/"&amp;B1863&amp;"/"&amp;C1867&amp;"/"&amp;D1870</f>
        <v>Derived gas fired power plants/Steam turbine/CHP/XS</v>
      </c>
      <c r="F1870" s="79" t="str">
        <f>A1863</f>
        <v>Derived gas fired power plants</v>
      </c>
      <c r="G1870" s="79" t="str">
        <f>B1863</f>
        <v>Steam turbine</v>
      </c>
      <c r="H1870" s="79" t="str">
        <f>C1867</f>
        <v>CHP</v>
      </c>
      <c r="I1870" s="167" t="str">
        <f t="shared" si="383"/>
        <v>XS</v>
      </c>
      <c r="J1870" s="125">
        <f>IF(tech_base!$T126&gt;J$1745,"",(tech_base!$K126/tech_proj!J250*0.086*$J$132)/(1-tech_proj!J530))</f>
        <v>0</v>
      </c>
      <c r="K1870" s="125">
        <f>IF(tech_base!$T126&gt;K$1745,"",(tech_base!$K126/tech_proj!K250*0.086*$J$132)/(1-tech_proj!K530))</f>
        <v>0</v>
      </c>
      <c r="L1870" s="125">
        <f>IF(tech_base!$T126&gt;L$1745,"",(tech_base!$K126/tech_proj!L250*0.086*$J$132)/(1-tech_proj!L530))</f>
        <v>0</v>
      </c>
      <c r="M1870" s="125">
        <f>IF(tech_base!$T126&gt;M$1745,"",(tech_base!$K126/tech_proj!M250*0.086*$J$132)/(1-tech_proj!M530))</f>
        <v>0</v>
      </c>
      <c r="N1870" s="125">
        <f>IF(tech_base!$T126&gt;N$1745,"",(tech_base!$K126/tech_proj!N250*0.086*$J$132)/(1-tech_proj!N530))</f>
        <v>0</v>
      </c>
      <c r="O1870" s="125">
        <f>IF(tech_base!$T126&gt;O$1745,"",(tech_base!$K126/tech_proj!O250*0.086*$J$132)/(1-tech_proj!O530))</f>
        <v>0</v>
      </c>
      <c r="P1870" s="125">
        <f>IF(tech_base!$T126&gt;P$1745,"",(tech_base!$K126/tech_proj!P250*0.086*$J$132)/(1-tech_proj!P530))</f>
        <v>0</v>
      </c>
      <c r="Q1870" s="125">
        <f>IF(tech_base!$T126&gt;Q$1745,"",(tech_base!$K126/tech_proj!Q250*0.086*$J$132)/(1-tech_proj!Q530))</f>
        <v>0</v>
      </c>
      <c r="R1870" s="125">
        <f>IF(tech_base!$T126&gt;R$1745,"",(tech_base!$K126/tech_proj!R250*0.086*$J$132)/(1-tech_proj!R530))</f>
        <v>0</v>
      </c>
      <c r="S1870" s="125">
        <f>IF(tech_base!$T126&gt;S$1745,"",(tech_base!$K126/tech_proj!S250*0.086*$J$132)/(1-tech_proj!S530))</f>
        <v>0</v>
      </c>
      <c r="T1870" s="125">
        <f>IF(tech_base!$T126&gt;T$1745,"",(tech_base!$K126/tech_proj!T250*0.086*$J$132)/(1-tech_proj!T530))</f>
        <v>0</v>
      </c>
      <c r="U1870" s="125">
        <f>IF(tech_base!$T126&gt;U$1745,"",(tech_base!$K126/tech_proj!U250*0.086*$J$132)/(1-tech_proj!U530))</f>
        <v>0</v>
      </c>
      <c r="V1870" s="125">
        <f>IF(tech_base!$T126&gt;V$1745,"",(tech_base!$K126/tech_proj!V250*0.086*$J$132)/(1-tech_proj!V530))</f>
        <v>0</v>
      </c>
      <c r="W1870" s="125">
        <f>IF(tech_base!$T126&gt;W$1745,"",(tech_base!$K126/tech_proj!W250*0.086*$J$132)/(1-tech_proj!W530))</f>
        <v>0</v>
      </c>
      <c r="X1870" s="125">
        <f>IF(tech_base!$T126&gt;X$1745,"",(tech_base!$K126/tech_proj!X250*0.086*$J$132)/(1-tech_proj!X530))</f>
        <v>0</v>
      </c>
      <c r="Y1870" s="125">
        <f>IF(tech_base!$T126&gt;Y$1745,"",(tech_base!$K126/tech_proj!Y250*0.086*$J$132)/(1-tech_proj!Y530))</f>
        <v>0</v>
      </c>
      <c r="Z1870" s="125">
        <f>IF(tech_base!$T126&gt;Z$1745,"",(tech_base!$K126/tech_proj!Z250*0.086*$J$132)/(1-tech_proj!Z530))</f>
        <v>0</v>
      </c>
      <c r="AA1870" s="125">
        <f>IF(tech_base!$T126&gt;AA$1745,"",(tech_base!$K126/tech_proj!AA250*0.086*$J$132)/(1-tech_proj!AA530))</f>
        <v>0</v>
      </c>
      <c r="AB1870" s="125">
        <f>IF(tech_base!$T126&gt;AB$1745,"",(tech_base!$K126/tech_proj!AB250*0.086*$J$132)/(1-tech_proj!AB530))</f>
        <v>0</v>
      </c>
      <c r="AC1870" s="125">
        <f>IF(tech_base!$T126&gt;AC$1745,"",(tech_base!$K126/tech_proj!AC250*0.086*$J$132)/(1-tech_proj!AC530))</f>
        <v>0</v>
      </c>
      <c r="AD1870" s="125">
        <f>IF(tech_base!$T126&gt;AD$1745,"",(tech_base!$K126/tech_proj!AD250*0.086*$J$132)/(1-tech_proj!AD530))</f>
        <v>0</v>
      </c>
      <c r="AE1870" s="125">
        <f>IF(tech_base!$T126&gt;AE$1745,"",(tech_base!$K126/tech_proj!AE250*0.086*$J$132)/(1-tech_proj!AE530))</f>
        <v>0</v>
      </c>
      <c r="AF1870" s="125">
        <f>IF(tech_base!$T126&gt;AF$1745,"",(tech_base!$K126/tech_proj!AF250*0.086*$J$132)/(1-tech_proj!AF530))</f>
        <v>0</v>
      </c>
      <c r="AG1870" s="125">
        <f>IF(tech_base!$T126&gt;AG$1745,"",(tech_base!$K126/tech_proj!AG250*0.086*$J$132)/(1-tech_proj!AG530))</f>
        <v>0</v>
      </c>
      <c r="AH1870" s="125">
        <f>IF(tech_base!$T126&gt;AH$1745,"",(tech_base!$K126/tech_proj!AH250*0.086*$J$132)/(1-tech_proj!AH530))</f>
        <v>0</v>
      </c>
      <c r="AI1870" s="125">
        <f>IF(tech_base!$T126&gt;AI$1745,"",(tech_base!$K126/tech_proj!AI250*0.086*$J$132)/(1-tech_proj!AI530))</f>
        <v>0</v>
      </c>
      <c r="AJ1870" s="125">
        <f>IF(tech_base!$T126&gt;AJ$1745,"",(tech_base!$K126/tech_proj!AJ250*0.086*$J$132)/(1-tech_proj!AJ530))</f>
        <v>0</v>
      </c>
      <c r="AK1870" s="125">
        <f>IF(tech_base!$T126&gt;AK$1745,"",(tech_base!$K126/tech_proj!AK250*0.086*$J$132)/(1-tech_proj!AK530))</f>
        <v>0</v>
      </c>
      <c r="AL1870" s="125">
        <f>IF(tech_base!$T126&gt;AL$1745,"",(tech_base!$K126/tech_proj!AL250*0.086*$J$132)/(1-tech_proj!AL530))</f>
        <v>0</v>
      </c>
      <c r="AM1870" s="125">
        <f>IF(tech_base!$T126&gt;AM$1745,"",(tech_base!$K126/tech_proj!AM250*0.086*$J$132)/(1-tech_proj!AM530))</f>
        <v>0</v>
      </c>
      <c r="AN1870" s="125">
        <f>IF(tech_base!$T126&gt;AN$1745,"",(tech_base!$K126/tech_proj!AN250*0.086*$J$132)/(1-tech_proj!AN530))</f>
        <v>0</v>
      </c>
      <c r="AO1870" s="125">
        <f>IF(tech_base!$T126&gt;AO$1745,"",(tech_base!$K126/tech_proj!AO250*0.086*$J$132)/(1-tech_proj!AO530))</f>
        <v>0</v>
      </c>
      <c r="AP1870" s="125">
        <f>IF(tech_base!$T126&gt;AP$1745,"",(tech_base!$K126/tech_proj!AP250*0.086*$J$132)/(1-tech_proj!AP530))</f>
        <v>0</v>
      </c>
      <c r="AQ1870" s="125">
        <f>IF(tech_base!$T126&gt;AQ$1745,"",(tech_base!$K126/tech_proj!AQ250*0.086*$J$132)/(1-tech_proj!AQ530))</f>
        <v>0</v>
      </c>
      <c r="AR1870" s="125">
        <f>IF(tech_base!$T126&gt;AR$1745,"",(tech_base!$K126/tech_proj!AR250*0.086*$J$132)/(1-tech_proj!AR530))</f>
        <v>0</v>
      </c>
      <c r="AS1870" s="125">
        <f>IF(tech_base!$T126&gt;AS$1745,"",(tech_base!$K126/tech_proj!AS250*0.086*$J$132)/(1-tech_proj!AS530))</f>
        <v>0</v>
      </c>
      <c r="AT1870" s="125">
        <f>IF(tech_base!$T126&gt;AT$1745,"",(tech_base!$K126/tech_proj!AT250*0.086*$J$132)/(1-tech_proj!AT530))</f>
        <v>0</v>
      </c>
      <c r="AU1870" s="125">
        <f>IF(tech_base!$T126&gt;AU$1745,"",(tech_base!$K126/tech_proj!AU250*0.086*$J$132)/(1-tech_proj!AU530))</f>
        <v>0</v>
      </c>
      <c r="AV1870" s="125">
        <f>IF(tech_base!$T126&gt;AV$1745,"",(tech_base!$K126/tech_proj!AV250*0.086*$J$132)/(1-tech_proj!AV530))</f>
        <v>0</v>
      </c>
      <c r="AW1870" s="125">
        <f>IF(tech_base!$T126&gt;AW$1745,"",(tech_base!$K126/tech_proj!AW250*0.086*$J$132)/(1-tech_proj!AW530))</f>
        <v>0</v>
      </c>
      <c r="AX1870" s="126">
        <f>IF(tech_base!$T126&gt;AX$1745,"",(tech_base!$K126/tech_proj!AX250*0.086*$J$132)/(1-tech_proj!AX530))</f>
        <v>0</v>
      </c>
    </row>
    <row r="1871" spans="1:50" x14ac:dyDescent="0.25">
      <c r="A1871" s="356"/>
      <c r="B1871" s="359"/>
      <c r="C1871" s="361" t="s">
        <v>15</v>
      </c>
      <c r="D1871" s="58" t="s">
        <v>7</v>
      </c>
      <c r="E1871" s="164" t="str">
        <f>A1863&amp;"/"&amp;B1863&amp;"/"&amp;C1871&amp;"/"&amp;D1871</f>
        <v>Derived gas fired power plants/Steam turbine/Electricity only with CCS/L</v>
      </c>
      <c r="F1871" s="78" t="str">
        <f>A1863</f>
        <v>Derived gas fired power plants</v>
      </c>
      <c r="G1871" s="78" t="str">
        <f>B1863</f>
        <v>Steam turbine</v>
      </c>
      <c r="H1871" s="78" t="str">
        <f>C1871</f>
        <v>Electricity only with CCS</v>
      </c>
      <c r="I1871" s="165" t="str">
        <f t="shared" si="383"/>
        <v>L</v>
      </c>
      <c r="J1871" s="123" t="str">
        <f>IF(tech_base!$T127&gt;J$1745,"",(tech_base!$K127/tech_proj!J251*0.086*$J$132)/(1-tech_proj!J531))</f>
        <v/>
      </c>
      <c r="K1871" s="123" t="str">
        <f>IF(tech_base!$T127&gt;K$1745,"",(tech_base!$K127/tech_proj!K251*0.086*$J$132)/(1-tech_proj!K531))</f>
        <v/>
      </c>
      <c r="L1871" s="123" t="str">
        <f>IF(tech_base!$T127&gt;L$1745,"",(tech_base!$K127/tech_proj!L251*0.086*$J$132)/(1-tech_proj!L531))</f>
        <v/>
      </c>
      <c r="M1871" s="123" t="str">
        <f>IF(tech_base!$T127&gt;M$1745,"",(tech_base!$K127/tech_proj!M251*0.086*$J$132)/(1-tech_proj!M531))</f>
        <v/>
      </c>
      <c r="N1871" s="123" t="str">
        <f>IF(tech_base!$T127&gt;N$1745,"",(tech_base!$K127/tech_proj!N251*0.086*$J$132)/(1-tech_proj!N531))</f>
        <v/>
      </c>
      <c r="O1871" s="123" t="str">
        <f>IF(tech_base!$T127&gt;O$1745,"",(tech_base!$K127/tech_proj!O251*0.086*$J$132)/(1-tech_proj!O531))</f>
        <v/>
      </c>
      <c r="P1871" s="123" t="str">
        <f>IF(tech_base!$T127&gt;P$1745,"",(tech_base!$K127/tech_proj!P251*0.086*$J$132)/(1-tech_proj!P531))</f>
        <v/>
      </c>
      <c r="Q1871" s="123" t="str">
        <f>IF(tech_base!$T127&gt;Q$1745,"",(tech_base!$K127/tech_proj!Q251*0.086*$J$132)/(1-tech_proj!Q531))</f>
        <v/>
      </c>
      <c r="R1871" s="123" t="str">
        <f>IF(tech_base!$T127&gt;R$1745,"",(tech_base!$K127/tech_proj!R251*0.086*$J$132)/(1-tech_proj!R531))</f>
        <v/>
      </c>
      <c r="S1871" s="123" t="str">
        <f>IF(tech_base!$T127&gt;S$1745,"",(tech_base!$K127/tech_proj!S251*0.086*$J$132)/(1-tech_proj!S531))</f>
        <v/>
      </c>
      <c r="T1871" s="123" t="str">
        <f>IF(tech_base!$T127&gt;T$1745,"",(tech_base!$K127/tech_proj!T251*0.086*$J$132)/(1-tech_proj!T531))</f>
        <v/>
      </c>
      <c r="U1871" s="123" t="str">
        <f>IF(tech_base!$T127&gt;U$1745,"",(tech_base!$K127/tech_proj!U251*0.086*$J$132)/(1-tech_proj!U531))</f>
        <v/>
      </c>
      <c r="V1871" s="123" t="str">
        <f>IF(tech_base!$T127&gt;V$1745,"",(tech_base!$K127/tech_proj!V251*0.086*$J$132)/(1-tech_proj!V531))</f>
        <v/>
      </c>
      <c r="W1871" s="123" t="str">
        <f>IF(tech_base!$T127&gt;W$1745,"",(tech_base!$K127/tech_proj!W251*0.086*$J$132)/(1-tech_proj!W531))</f>
        <v/>
      </c>
      <c r="X1871" s="123" t="str">
        <f>IF(tech_base!$T127&gt;X$1745,"",(tech_base!$K127/tech_proj!X251*0.086*$J$132)/(1-tech_proj!X531))</f>
        <v/>
      </c>
      <c r="Y1871" s="123" t="str">
        <f>IF(tech_base!$T127&gt;Y$1745,"",(tech_base!$K127/tech_proj!Y251*0.086*$J$132)/(1-tech_proj!Y531))</f>
        <v/>
      </c>
      <c r="Z1871" s="123" t="str">
        <f>IF(tech_base!$T127&gt;Z$1745,"",(tech_base!$K127/tech_proj!Z251*0.086*$J$132)/(1-tech_proj!Z531))</f>
        <v/>
      </c>
      <c r="AA1871" s="123" t="str">
        <f>IF(tech_base!$T127&gt;AA$1745,"",(tech_base!$K127/tech_proj!AA251*0.086*$J$132)/(1-tech_proj!AA531))</f>
        <v/>
      </c>
      <c r="AB1871" s="123" t="str">
        <f>IF(tech_base!$T127&gt;AB$1745,"",(tech_base!$K127/tech_proj!AB251*0.086*$J$132)/(1-tech_proj!AB531))</f>
        <v/>
      </c>
      <c r="AC1871" s="123" t="str">
        <f>IF(tech_base!$T127&gt;AC$1745,"",(tech_base!$K127/tech_proj!AC251*0.086*$J$132)/(1-tech_proj!AC531))</f>
        <v/>
      </c>
      <c r="AD1871" s="123" t="str">
        <f>IF(tech_base!$T127&gt;AD$1745,"",(tech_base!$K127/tech_proj!AD251*0.086*$J$132)/(1-tech_proj!AD531))</f>
        <v/>
      </c>
      <c r="AE1871" s="123">
        <f>IF(tech_base!$T127&gt;AE$1745,"",(tech_base!$K127/tech_proj!AE251*0.086*$J$132)/(1-tech_proj!AE531))</f>
        <v>6.8644492106576234</v>
      </c>
      <c r="AF1871" s="123">
        <f>IF(tech_base!$T127&gt;AF$1745,"",(tech_base!$K127/tech_proj!AF251*0.086*$J$132)/(1-tech_proj!AF531))</f>
        <v>6.8644492106576234</v>
      </c>
      <c r="AG1871" s="123">
        <f>IF(tech_base!$T127&gt;AG$1745,"",(tech_base!$K127/tech_proj!AG251*0.086*$J$132)/(1-tech_proj!AG531))</f>
        <v>6.8644492106576234</v>
      </c>
      <c r="AH1871" s="123">
        <f>IF(tech_base!$T127&gt;AH$1745,"",(tech_base!$K127/tech_proj!AH251*0.086*$J$132)/(1-tech_proj!AH531))</f>
        <v>6.8644492106576234</v>
      </c>
      <c r="AI1871" s="123">
        <f>IF(tech_base!$T127&gt;AI$1745,"",(tech_base!$K127/tech_proj!AI251*0.086*$J$132)/(1-tech_proj!AI531))</f>
        <v>6.8644492106576234</v>
      </c>
      <c r="AJ1871" s="123">
        <f>IF(tech_base!$T127&gt;AJ$1745,"",(tech_base!$K127/tech_proj!AJ251*0.086*$J$132)/(1-tech_proj!AJ531))</f>
        <v>6.8644492106576234</v>
      </c>
      <c r="AK1871" s="123">
        <f>IF(tech_base!$T127&gt;AK$1745,"",(tech_base!$K127/tech_proj!AK251*0.086*$J$132)/(1-tech_proj!AK531))</f>
        <v>6.8644492106576234</v>
      </c>
      <c r="AL1871" s="123">
        <f>IF(tech_base!$T127&gt;AL$1745,"",(tech_base!$K127/tech_proj!AL251*0.086*$J$132)/(1-tech_proj!AL531))</f>
        <v>6.8644492106576234</v>
      </c>
      <c r="AM1871" s="123">
        <f>IF(tech_base!$T127&gt;AM$1745,"",(tech_base!$K127/tech_proj!AM251*0.086*$J$132)/(1-tech_proj!AM531))</f>
        <v>6.8644492106576234</v>
      </c>
      <c r="AN1871" s="123">
        <f>IF(tech_base!$T127&gt;AN$1745,"",(tech_base!$K127/tech_proj!AN251*0.086*$J$132)/(1-tech_proj!AN531))</f>
        <v>6.8644492106576234</v>
      </c>
      <c r="AO1871" s="123">
        <f>IF(tech_base!$T127&gt;AO$1745,"",(tech_base!$K127/tech_proj!AO251*0.086*$J$132)/(1-tech_proj!AO531))</f>
        <v>6.8644492106576234</v>
      </c>
      <c r="AP1871" s="123">
        <f>IF(tech_base!$T127&gt;AP$1745,"",(tech_base!$K127/tech_proj!AP251*0.086*$J$132)/(1-tech_proj!AP531))</f>
        <v>6.8644492106576234</v>
      </c>
      <c r="AQ1871" s="123">
        <f>IF(tech_base!$T127&gt;AQ$1745,"",(tech_base!$K127/tech_proj!AQ251*0.086*$J$132)/(1-tech_proj!AQ531))</f>
        <v>6.8644492106576234</v>
      </c>
      <c r="AR1871" s="123">
        <f>IF(tech_base!$T127&gt;AR$1745,"",(tech_base!$K127/tech_proj!AR251*0.086*$J$132)/(1-tech_proj!AR531))</f>
        <v>6.8644492106576234</v>
      </c>
      <c r="AS1871" s="123">
        <f>IF(tech_base!$T127&gt;AS$1745,"",(tech_base!$K127/tech_proj!AS251*0.086*$J$132)/(1-tech_proj!AS531))</f>
        <v>6.8644492106576234</v>
      </c>
      <c r="AT1871" s="123">
        <f>IF(tech_base!$T127&gt;AT$1745,"",(tech_base!$K127/tech_proj!AT251*0.086*$J$132)/(1-tech_proj!AT531))</f>
        <v>6.8644492106576234</v>
      </c>
      <c r="AU1871" s="123">
        <f>IF(tech_base!$T127&gt;AU$1745,"",(tech_base!$K127/tech_proj!AU251*0.086*$J$132)/(1-tech_proj!AU531))</f>
        <v>6.8644492106576234</v>
      </c>
      <c r="AV1871" s="123">
        <f>IF(tech_base!$T127&gt;AV$1745,"",(tech_base!$K127/tech_proj!AV251*0.086*$J$132)/(1-tech_proj!AV531))</f>
        <v>6.8644492106576234</v>
      </c>
      <c r="AW1871" s="123">
        <f>IF(tech_base!$T127&gt;AW$1745,"",(tech_base!$K127/tech_proj!AW251*0.086*$J$132)/(1-tech_proj!AW531))</f>
        <v>6.8644492106576234</v>
      </c>
      <c r="AX1871" s="124">
        <f>IF(tech_base!$T127&gt;AX$1745,"",(tech_base!$K127/tech_proj!AX251*0.086*$J$132)/(1-tech_proj!AX531))</f>
        <v>6.8644492106576234</v>
      </c>
    </row>
    <row r="1872" spans="1:50" x14ac:dyDescent="0.25">
      <c r="A1872" s="356"/>
      <c r="B1872" s="359"/>
      <c r="C1872" s="379"/>
      <c r="D1872" s="59" t="s">
        <v>8</v>
      </c>
      <c r="E1872" s="166" t="str">
        <f>A1863&amp;"/"&amp;B1863&amp;"/"&amp;C1871&amp;"/"&amp;D1872</f>
        <v>Derived gas fired power plants/Steam turbine/Electricity only with CCS/M</v>
      </c>
      <c r="F1872" s="79" t="str">
        <f>A1863</f>
        <v>Derived gas fired power plants</v>
      </c>
      <c r="G1872" s="79" t="str">
        <f>B1863</f>
        <v>Steam turbine</v>
      </c>
      <c r="H1872" s="79" t="str">
        <f>C1871</f>
        <v>Electricity only with CCS</v>
      </c>
      <c r="I1872" s="167" t="str">
        <f t="shared" si="383"/>
        <v>M</v>
      </c>
      <c r="J1872" s="125" t="str">
        <f>IF(tech_base!$T128&gt;J$1745,"",(tech_base!$K128/tech_proj!J252*0.086*$J$132)/(1-tech_proj!J532))</f>
        <v/>
      </c>
      <c r="K1872" s="125" t="str">
        <f>IF(tech_base!$T128&gt;K$1745,"",(tech_base!$K128/tech_proj!K252*0.086*$J$132)/(1-tech_proj!K532))</f>
        <v/>
      </c>
      <c r="L1872" s="125" t="str">
        <f>IF(tech_base!$T128&gt;L$1745,"",(tech_base!$K128/tech_proj!L252*0.086*$J$132)/(1-tech_proj!L532))</f>
        <v/>
      </c>
      <c r="M1872" s="125" t="str">
        <f>IF(tech_base!$T128&gt;M$1745,"",(tech_base!$K128/tech_proj!M252*0.086*$J$132)/(1-tech_proj!M532))</f>
        <v/>
      </c>
      <c r="N1872" s="125" t="str">
        <f>IF(tech_base!$T128&gt;N$1745,"",(tech_base!$K128/tech_proj!N252*0.086*$J$132)/(1-tech_proj!N532))</f>
        <v/>
      </c>
      <c r="O1872" s="125" t="str">
        <f>IF(tech_base!$T128&gt;O$1745,"",(tech_base!$K128/tech_proj!O252*0.086*$J$132)/(1-tech_proj!O532))</f>
        <v/>
      </c>
      <c r="P1872" s="125" t="str">
        <f>IF(tech_base!$T128&gt;P$1745,"",(tech_base!$K128/tech_proj!P252*0.086*$J$132)/(1-tech_proj!P532))</f>
        <v/>
      </c>
      <c r="Q1872" s="125" t="str">
        <f>IF(tech_base!$T128&gt;Q$1745,"",(tech_base!$K128/tech_proj!Q252*0.086*$J$132)/(1-tech_proj!Q532))</f>
        <v/>
      </c>
      <c r="R1872" s="125" t="str">
        <f>IF(tech_base!$T128&gt;R$1745,"",(tech_base!$K128/tech_proj!R252*0.086*$J$132)/(1-tech_proj!R532))</f>
        <v/>
      </c>
      <c r="S1872" s="125" t="str">
        <f>IF(tech_base!$T128&gt;S$1745,"",(tech_base!$K128/tech_proj!S252*0.086*$J$132)/(1-tech_proj!S532))</f>
        <v/>
      </c>
      <c r="T1872" s="125" t="str">
        <f>IF(tech_base!$T128&gt;T$1745,"",(tech_base!$K128/tech_proj!T252*0.086*$J$132)/(1-tech_proj!T532))</f>
        <v/>
      </c>
      <c r="U1872" s="125" t="str">
        <f>IF(tech_base!$T128&gt;U$1745,"",(tech_base!$K128/tech_proj!U252*0.086*$J$132)/(1-tech_proj!U532))</f>
        <v/>
      </c>
      <c r="V1872" s="125" t="str">
        <f>IF(tech_base!$T128&gt;V$1745,"",(tech_base!$K128/tech_proj!V252*0.086*$J$132)/(1-tech_proj!V532))</f>
        <v/>
      </c>
      <c r="W1872" s="125" t="str">
        <f>IF(tech_base!$T128&gt;W$1745,"",(tech_base!$K128/tech_proj!W252*0.086*$J$132)/(1-tech_proj!W532))</f>
        <v/>
      </c>
      <c r="X1872" s="125" t="str">
        <f>IF(tech_base!$T128&gt;X$1745,"",(tech_base!$K128/tech_proj!X252*0.086*$J$132)/(1-tech_proj!X532))</f>
        <v/>
      </c>
      <c r="Y1872" s="125" t="str">
        <f>IF(tech_base!$T128&gt;Y$1745,"",(tech_base!$K128/tech_proj!Y252*0.086*$J$132)/(1-tech_proj!Y532))</f>
        <v/>
      </c>
      <c r="Z1872" s="125" t="str">
        <f>IF(tech_base!$T128&gt;Z$1745,"",(tech_base!$K128/tech_proj!Z252*0.086*$J$132)/(1-tech_proj!Z532))</f>
        <v/>
      </c>
      <c r="AA1872" s="125" t="str">
        <f>IF(tech_base!$T128&gt;AA$1745,"",(tech_base!$K128/tech_proj!AA252*0.086*$J$132)/(1-tech_proj!AA532))</f>
        <v/>
      </c>
      <c r="AB1872" s="125" t="str">
        <f>IF(tech_base!$T128&gt;AB$1745,"",(tech_base!$K128/tech_proj!AB252*0.086*$J$132)/(1-tech_proj!AB532))</f>
        <v/>
      </c>
      <c r="AC1872" s="125" t="str">
        <f>IF(tech_base!$T128&gt;AC$1745,"",(tech_base!$K128/tech_proj!AC252*0.086*$J$132)/(1-tech_proj!AC532))</f>
        <v/>
      </c>
      <c r="AD1872" s="125" t="str">
        <f>IF(tech_base!$T128&gt;AD$1745,"",(tech_base!$K128/tech_proj!AD252*0.086*$J$132)/(1-tech_proj!AD532))</f>
        <v/>
      </c>
      <c r="AE1872" s="125">
        <f>IF(tech_base!$T128&gt;AE$1745,"",(tech_base!$K128/tech_proj!AE252*0.086*$J$132)/(1-tech_proj!AE532))</f>
        <v>7.3542422331804653</v>
      </c>
      <c r="AF1872" s="125">
        <f>IF(tech_base!$T128&gt;AF$1745,"",(tech_base!$K128/tech_proj!AF252*0.086*$J$132)/(1-tech_proj!AF532))</f>
        <v>7.3542422331804653</v>
      </c>
      <c r="AG1872" s="125">
        <f>IF(tech_base!$T128&gt;AG$1745,"",(tech_base!$K128/tech_proj!AG252*0.086*$J$132)/(1-tech_proj!AG532))</f>
        <v>7.3542422331804653</v>
      </c>
      <c r="AH1872" s="125">
        <f>IF(tech_base!$T128&gt;AH$1745,"",(tech_base!$K128/tech_proj!AH252*0.086*$J$132)/(1-tech_proj!AH532))</f>
        <v>7.3542422331804653</v>
      </c>
      <c r="AI1872" s="125">
        <f>IF(tech_base!$T128&gt;AI$1745,"",(tech_base!$K128/tech_proj!AI252*0.086*$J$132)/(1-tech_proj!AI532))</f>
        <v>7.3542422331804653</v>
      </c>
      <c r="AJ1872" s="125">
        <f>IF(tech_base!$T128&gt;AJ$1745,"",(tech_base!$K128/tech_proj!AJ252*0.086*$J$132)/(1-tech_proj!AJ532))</f>
        <v>7.3542422331804653</v>
      </c>
      <c r="AK1872" s="125">
        <f>IF(tech_base!$T128&gt;AK$1745,"",(tech_base!$K128/tech_proj!AK252*0.086*$J$132)/(1-tech_proj!AK532))</f>
        <v>7.3542422331804653</v>
      </c>
      <c r="AL1872" s="125">
        <f>IF(tech_base!$T128&gt;AL$1745,"",(tech_base!$K128/tech_proj!AL252*0.086*$J$132)/(1-tech_proj!AL532))</f>
        <v>7.3542422331804653</v>
      </c>
      <c r="AM1872" s="125">
        <f>IF(tech_base!$T128&gt;AM$1745,"",(tech_base!$K128/tech_proj!AM252*0.086*$J$132)/(1-tech_proj!AM532))</f>
        <v>7.3542422331804653</v>
      </c>
      <c r="AN1872" s="125">
        <f>IF(tech_base!$T128&gt;AN$1745,"",(tech_base!$K128/tech_proj!AN252*0.086*$J$132)/(1-tech_proj!AN532))</f>
        <v>7.3542422331804653</v>
      </c>
      <c r="AO1872" s="125">
        <f>IF(tech_base!$T128&gt;AO$1745,"",(tech_base!$K128/tech_proj!AO252*0.086*$J$132)/(1-tech_proj!AO532))</f>
        <v>7.3542422331804653</v>
      </c>
      <c r="AP1872" s="125">
        <f>IF(tech_base!$T128&gt;AP$1745,"",(tech_base!$K128/tech_proj!AP252*0.086*$J$132)/(1-tech_proj!AP532))</f>
        <v>7.3542422331804653</v>
      </c>
      <c r="AQ1872" s="125">
        <f>IF(tech_base!$T128&gt;AQ$1745,"",(tech_base!$K128/tech_proj!AQ252*0.086*$J$132)/(1-tech_proj!AQ532))</f>
        <v>7.3542422331804653</v>
      </c>
      <c r="AR1872" s="125">
        <f>IF(tech_base!$T128&gt;AR$1745,"",(tech_base!$K128/tech_proj!AR252*0.086*$J$132)/(1-tech_proj!AR532))</f>
        <v>7.3542422331804653</v>
      </c>
      <c r="AS1872" s="125">
        <f>IF(tech_base!$T128&gt;AS$1745,"",(tech_base!$K128/tech_proj!AS252*0.086*$J$132)/(1-tech_proj!AS532))</f>
        <v>7.3542422331804653</v>
      </c>
      <c r="AT1872" s="125">
        <f>IF(tech_base!$T128&gt;AT$1745,"",(tech_base!$K128/tech_proj!AT252*0.086*$J$132)/(1-tech_proj!AT532))</f>
        <v>7.3542422331804653</v>
      </c>
      <c r="AU1872" s="125">
        <f>IF(tech_base!$T128&gt;AU$1745,"",(tech_base!$K128/tech_proj!AU252*0.086*$J$132)/(1-tech_proj!AU532))</f>
        <v>7.3542422331804653</v>
      </c>
      <c r="AV1872" s="125">
        <f>IF(tech_base!$T128&gt;AV$1745,"",(tech_base!$K128/tech_proj!AV252*0.086*$J$132)/(1-tech_proj!AV532))</f>
        <v>7.3542422331804653</v>
      </c>
      <c r="AW1872" s="125">
        <f>IF(tech_base!$T128&gt;AW$1745,"",(tech_base!$K128/tech_proj!AW252*0.086*$J$132)/(1-tech_proj!AW532))</f>
        <v>7.3542422331804653</v>
      </c>
      <c r="AX1872" s="126">
        <f>IF(tech_base!$T128&gt;AX$1745,"",(tech_base!$K128/tech_proj!AX252*0.086*$J$132)/(1-tech_proj!AX532))</f>
        <v>7.3542422331804653</v>
      </c>
    </row>
    <row r="1873" spans="1:50" x14ac:dyDescent="0.25">
      <c r="A1873" s="356"/>
      <c r="B1873" s="359"/>
      <c r="C1873" s="361" t="s">
        <v>16</v>
      </c>
      <c r="D1873" s="2" t="s">
        <v>7</v>
      </c>
      <c r="E1873" s="160" t="str">
        <f>A1863&amp;"/"&amp;B1863&amp;"/"&amp;C1873&amp;"/"&amp;D1873</f>
        <v>Derived gas fired power plants/Steam turbine/CHP with CCS/L</v>
      </c>
      <c r="F1873" s="76" t="str">
        <f>A1863</f>
        <v>Derived gas fired power plants</v>
      </c>
      <c r="G1873" s="76" t="str">
        <f>B1863</f>
        <v>Steam turbine</v>
      </c>
      <c r="H1873" s="76" t="str">
        <f>C1873</f>
        <v>CHP with CCS</v>
      </c>
      <c r="I1873" s="161" t="str">
        <f t="shared" si="383"/>
        <v>L</v>
      </c>
      <c r="J1873" s="119" t="str">
        <f>IF(tech_base!$T129&gt;J$1745,"",(tech_base!$K129/tech_proj!J253*0.086*$J$132)/(1-tech_proj!J533))</f>
        <v/>
      </c>
      <c r="K1873" s="119" t="str">
        <f>IF(tech_base!$T129&gt;K$1745,"",(tech_base!$K129/tech_proj!K253*0.086*$J$132)/(1-tech_proj!K533))</f>
        <v/>
      </c>
      <c r="L1873" s="119" t="str">
        <f>IF(tech_base!$T129&gt;L$1745,"",(tech_base!$K129/tech_proj!L253*0.086*$J$132)/(1-tech_proj!L533))</f>
        <v/>
      </c>
      <c r="M1873" s="119" t="str">
        <f>IF(tech_base!$T129&gt;M$1745,"",(tech_base!$K129/tech_proj!M253*0.086*$J$132)/(1-tech_proj!M533))</f>
        <v/>
      </c>
      <c r="N1873" s="119" t="str">
        <f>IF(tech_base!$T129&gt;N$1745,"",(tech_base!$K129/tech_proj!N253*0.086*$J$132)/(1-tech_proj!N533))</f>
        <v/>
      </c>
      <c r="O1873" s="119" t="str">
        <f>IF(tech_base!$T129&gt;O$1745,"",(tech_base!$K129/tech_proj!O253*0.086*$J$132)/(1-tech_proj!O533))</f>
        <v/>
      </c>
      <c r="P1873" s="119" t="str">
        <f>IF(tech_base!$T129&gt;P$1745,"",(tech_base!$K129/tech_proj!P253*0.086*$J$132)/(1-tech_proj!P533))</f>
        <v/>
      </c>
      <c r="Q1873" s="119" t="str">
        <f>IF(tech_base!$T129&gt;Q$1745,"",(tech_base!$K129/tech_proj!Q253*0.086*$J$132)/(1-tech_proj!Q533))</f>
        <v/>
      </c>
      <c r="R1873" s="119" t="str">
        <f>IF(tech_base!$T129&gt;R$1745,"",(tech_base!$K129/tech_proj!R253*0.086*$J$132)/(1-tech_proj!R533))</f>
        <v/>
      </c>
      <c r="S1873" s="119" t="str">
        <f>IF(tech_base!$T129&gt;S$1745,"",(tech_base!$K129/tech_proj!S253*0.086*$J$132)/(1-tech_proj!S533))</f>
        <v/>
      </c>
      <c r="T1873" s="119" t="str">
        <f>IF(tech_base!$T129&gt;T$1745,"",(tech_base!$K129/tech_proj!T253*0.086*$J$132)/(1-tech_proj!T533))</f>
        <v/>
      </c>
      <c r="U1873" s="119" t="str">
        <f>IF(tech_base!$T129&gt;U$1745,"",(tech_base!$K129/tech_proj!U253*0.086*$J$132)/(1-tech_proj!U533))</f>
        <v/>
      </c>
      <c r="V1873" s="119" t="str">
        <f>IF(tech_base!$T129&gt;V$1745,"",(tech_base!$K129/tech_proj!V253*0.086*$J$132)/(1-tech_proj!V533))</f>
        <v/>
      </c>
      <c r="W1873" s="119" t="str">
        <f>IF(tech_base!$T129&gt;W$1745,"",(tech_base!$K129/tech_proj!W253*0.086*$J$132)/(1-tech_proj!W533))</f>
        <v/>
      </c>
      <c r="X1873" s="119" t="str">
        <f>IF(tech_base!$T129&gt;X$1745,"",(tech_base!$K129/tech_proj!X253*0.086*$J$132)/(1-tech_proj!X533))</f>
        <v/>
      </c>
      <c r="Y1873" s="119" t="str">
        <f>IF(tech_base!$T129&gt;Y$1745,"",(tech_base!$K129/tech_proj!Y253*0.086*$J$132)/(1-tech_proj!Y533))</f>
        <v/>
      </c>
      <c r="Z1873" s="119" t="str">
        <f>IF(tech_base!$T129&gt;Z$1745,"",(tech_base!$K129/tech_proj!Z253*0.086*$J$132)/(1-tech_proj!Z533))</f>
        <v/>
      </c>
      <c r="AA1873" s="119" t="str">
        <f>IF(tech_base!$T129&gt;AA$1745,"",(tech_base!$K129/tech_proj!AA253*0.086*$J$132)/(1-tech_proj!AA533))</f>
        <v/>
      </c>
      <c r="AB1873" s="119" t="str">
        <f>IF(tech_base!$T129&gt;AB$1745,"",(tech_base!$K129/tech_proj!AB253*0.086*$J$132)/(1-tech_proj!AB533))</f>
        <v/>
      </c>
      <c r="AC1873" s="119" t="str">
        <f>IF(tech_base!$T129&gt;AC$1745,"",(tech_base!$K129/tech_proj!AC253*0.086*$J$132)/(1-tech_proj!AC533))</f>
        <v/>
      </c>
      <c r="AD1873" s="119" t="str">
        <f>IF(tech_base!$T129&gt;AD$1745,"",(tech_base!$K129/tech_proj!AD253*0.086*$J$132)/(1-tech_proj!AD533))</f>
        <v/>
      </c>
      <c r="AE1873" s="119">
        <f>IF(tech_base!$T129&gt;AE$1745,"",(tech_base!$K129/tech_proj!AE253*0.086*$J$132)/(1-tech_proj!AE533))</f>
        <v>7.8643689791438041</v>
      </c>
      <c r="AF1873" s="119">
        <f>IF(tech_base!$T129&gt;AF$1745,"",(tech_base!$K129/tech_proj!AF253*0.086*$J$132)/(1-tech_proj!AF533))</f>
        <v>7.8643689791438041</v>
      </c>
      <c r="AG1873" s="119">
        <f>IF(tech_base!$T129&gt;AG$1745,"",(tech_base!$K129/tech_proj!AG253*0.086*$J$132)/(1-tech_proj!AG533))</f>
        <v>7.8643689791438041</v>
      </c>
      <c r="AH1873" s="119">
        <f>IF(tech_base!$T129&gt;AH$1745,"",(tech_base!$K129/tech_proj!AH253*0.086*$J$132)/(1-tech_proj!AH533))</f>
        <v>7.8643689791438041</v>
      </c>
      <c r="AI1873" s="119">
        <f>IF(tech_base!$T129&gt;AI$1745,"",(tech_base!$K129/tech_proj!AI253*0.086*$J$132)/(1-tech_proj!AI533))</f>
        <v>7.8643689791438041</v>
      </c>
      <c r="AJ1873" s="119">
        <f>IF(tech_base!$T129&gt;AJ$1745,"",(tech_base!$K129/tech_proj!AJ253*0.086*$J$132)/(1-tech_proj!AJ533))</f>
        <v>7.8643689791438041</v>
      </c>
      <c r="AK1873" s="119">
        <f>IF(tech_base!$T129&gt;AK$1745,"",(tech_base!$K129/tech_proj!AK253*0.086*$J$132)/(1-tech_proj!AK533))</f>
        <v>7.8643689791438041</v>
      </c>
      <c r="AL1873" s="119">
        <f>IF(tech_base!$T129&gt;AL$1745,"",(tech_base!$K129/tech_proj!AL253*0.086*$J$132)/(1-tech_proj!AL533))</f>
        <v>7.8643689791438041</v>
      </c>
      <c r="AM1873" s="119">
        <f>IF(tech_base!$T129&gt;AM$1745,"",(tech_base!$K129/tech_proj!AM253*0.086*$J$132)/(1-tech_proj!AM533))</f>
        <v>7.8643689791438041</v>
      </c>
      <c r="AN1873" s="119">
        <f>IF(tech_base!$T129&gt;AN$1745,"",(tech_base!$K129/tech_proj!AN253*0.086*$J$132)/(1-tech_proj!AN533))</f>
        <v>7.8643689791438041</v>
      </c>
      <c r="AO1873" s="119">
        <f>IF(tech_base!$T129&gt;AO$1745,"",(tech_base!$K129/tech_proj!AO253*0.086*$J$132)/(1-tech_proj!AO533))</f>
        <v>7.8643689791438041</v>
      </c>
      <c r="AP1873" s="119">
        <f>IF(tech_base!$T129&gt;AP$1745,"",(tech_base!$K129/tech_proj!AP253*0.086*$J$132)/(1-tech_proj!AP533))</f>
        <v>7.8643689791438041</v>
      </c>
      <c r="AQ1873" s="119">
        <f>IF(tech_base!$T129&gt;AQ$1745,"",(tech_base!$K129/tech_proj!AQ253*0.086*$J$132)/(1-tech_proj!AQ533))</f>
        <v>7.8643689791438041</v>
      </c>
      <c r="AR1873" s="119">
        <f>IF(tech_base!$T129&gt;AR$1745,"",(tech_base!$K129/tech_proj!AR253*0.086*$J$132)/(1-tech_proj!AR533))</f>
        <v>7.8643689791438041</v>
      </c>
      <c r="AS1873" s="119">
        <f>IF(tech_base!$T129&gt;AS$1745,"",(tech_base!$K129/tech_proj!AS253*0.086*$J$132)/(1-tech_proj!AS533))</f>
        <v>7.8643689791438041</v>
      </c>
      <c r="AT1873" s="119">
        <f>IF(tech_base!$T129&gt;AT$1745,"",(tech_base!$K129/tech_proj!AT253*0.086*$J$132)/(1-tech_proj!AT533))</f>
        <v>7.8643689791438041</v>
      </c>
      <c r="AU1873" s="119">
        <f>IF(tech_base!$T129&gt;AU$1745,"",(tech_base!$K129/tech_proj!AU253*0.086*$J$132)/(1-tech_proj!AU533))</f>
        <v>7.8643689791438041</v>
      </c>
      <c r="AV1873" s="119">
        <f>IF(tech_base!$T129&gt;AV$1745,"",(tech_base!$K129/tech_proj!AV253*0.086*$J$132)/(1-tech_proj!AV533))</f>
        <v>7.8643689791438041</v>
      </c>
      <c r="AW1873" s="119">
        <f>IF(tech_base!$T129&gt;AW$1745,"",(tech_base!$K129/tech_proj!AW253*0.086*$J$132)/(1-tech_proj!AW533))</f>
        <v>7.8643689791438041</v>
      </c>
      <c r="AX1873" s="120">
        <f>IF(tech_base!$T129&gt;AX$1745,"",(tech_base!$K129/tech_proj!AX253*0.086*$J$132)/(1-tech_proj!AX533))</f>
        <v>7.8643689791438041</v>
      </c>
    </row>
    <row r="1874" spans="1:50" x14ac:dyDescent="0.25">
      <c r="A1874" s="357"/>
      <c r="B1874" s="362"/>
      <c r="C1874" s="381"/>
      <c r="D1874" s="4" t="s">
        <v>8</v>
      </c>
      <c r="E1874" s="168" t="str">
        <f>A1863&amp;"/"&amp;B1863&amp;"/"&amp;C1873&amp;"/"&amp;D1874</f>
        <v>Derived gas fired power plants/Steam turbine/CHP with CCS/M</v>
      </c>
      <c r="F1874" s="80" t="str">
        <f>A1863</f>
        <v>Derived gas fired power plants</v>
      </c>
      <c r="G1874" s="80" t="str">
        <f>B1863</f>
        <v>Steam turbine</v>
      </c>
      <c r="H1874" s="80" t="str">
        <f>C1873</f>
        <v>CHP with CCS</v>
      </c>
      <c r="I1874" s="169" t="str">
        <f t="shared" si="383"/>
        <v>M</v>
      </c>
      <c r="J1874" s="127" t="str">
        <f>IF(tech_base!$T130&gt;J$1745,"",(tech_base!$K130/tech_proj!J254*0.086*$J$132)/(1-tech_proj!J534))</f>
        <v/>
      </c>
      <c r="K1874" s="127" t="str">
        <f>IF(tech_base!$T130&gt;K$1745,"",(tech_base!$K130/tech_proj!K254*0.086*$J$132)/(1-tech_proj!K534))</f>
        <v/>
      </c>
      <c r="L1874" s="127" t="str">
        <f>IF(tech_base!$T130&gt;L$1745,"",(tech_base!$K130/tech_proj!L254*0.086*$J$132)/(1-tech_proj!L534))</f>
        <v/>
      </c>
      <c r="M1874" s="127" t="str">
        <f>IF(tech_base!$T130&gt;M$1745,"",(tech_base!$K130/tech_proj!M254*0.086*$J$132)/(1-tech_proj!M534))</f>
        <v/>
      </c>
      <c r="N1874" s="127" t="str">
        <f>IF(tech_base!$T130&gt;N$1745,"",(tech_base!$K130/tech_proj!N254*0.086*$J$132)/(1-tech_proj!N534))</f>
        <v/>
      </c>
      <c r="O1874" s="127" t="str">
        <f>IF(tech_base!$T130&gt;O$1745,"",(tech_base!$K130/tech_proj!O254*0.086*$J$132)/(1-tech_proj!O534))</f>
        <v/>
      </c>
      <c r="P1874" s="127" t="str">
        <f>IF(tech_base!$T130&gt;P$1745,"",(tech_base!$K130/tech_proj!P254*0.086*$J$132)/(1-tech_proj!P534))</f>
        <v/>
      </c>
      <c r="Q1874" s="127" t="str">
        <f>IF(tech_base!$T130&gt;Q$1745,"",(tech_base!$K130/tech_proj!Q254*0.086*$J$132)/(1-tech_proj!Q534))</f>
        <v/>
      </c>
      <c r="R1874" s="127" t="str">
        <f>IF(tech_base!$T130&gt;R$1745,"",(tech_base!$K130/tech_proj!R254*0.086*$J$132)/(1-tech_proj!R534))</f>
        <v/>
      </c>
      <c r="S1874" s="127" t="str">
        <f>IF(tech_base!$T130&gt;S$1745,"",(tech_base!$K130/tech_proj!S254*0.086*$J$132)/(1-tech_proj!S534))</f>
        <v/>
      </c>
      <c r="T1874" s="127" t="str">
        <f>IF(tech_base!$T130&gt;T$1745,"",(tech_base!$K130/tech_proj!T254*0.086*$J$132)/(1-tech_proj!T534))</f>
        <v/>
      </c>
      <c r="U1874" s="127" t="str">
        <f>IF(tech_base!$T130&gt;U$1745,"",(tech_base!$K130/tech_proj!U254*0.086*$J$132)/(1-tech_proj!U534))</f>
        <v/>
      </c>
      <c r="V1874" s="127" t="str">
        <f>IF(tech_base!$T130&gt;V$1745,"",(tech_base!$K130/tech_proj!V254*0.086*$J$132)/(1-tech_proj!V534))</f>
        <v/>
      </c>
      <c r="W1874" s="127" t="str">
        <f>IF(tech_base!$T130&gt;W$1745,"",(tech_base!$K130/tech_proj!W254*0.086*$J$132)/(1-tech_proj!W534))</f>
        <v/>
      </c>
      <c r="X1874" s="127" t="str">
        <f>IF(tech_base!$T130&gt;X$1745,"",(tech_base!$K130/tech_proj!X254*0.086*$J$132)/(1-tech_proj!X534))</f>
        <v/>
      </c>
      <c r="Y1874" s="127" t="str">
        <f>IF(tech_base!$T130&gt;Y$1745,"",(tech_base!$K130/tech_proj!Y254*0.086*$J$132)/(1-tech_proj!Y534))</f>
        <v/>
      </c>
      <c r="Z1874" s="127" t="str">
        <f>IF(tech_base!$T130&gt;Z$1745,"",(tech_base!$K130/tech_proj!Z254*0.086*$J$132)/(1-tech_proj!Z534))</f>
        <v/>
      </c>
      <c r="AA1874" s="127" t="str">
        <f>IF(tech_base!$T130&gt;AA$1745,"",(tech_base!$K130/tech_proj!AA254*0.086*$J$132)/(1-tech_proj!AA534))</f>
        <v/>
      </c>
      <c r="AB1874" s="127" t="str">
        <f>IF(tech_base!$T130&gt;AB$1745,"",(tech_base!$K130/tech_proj!AB254*0.086*$J$132)/(1-tech_proj!AB534))</f>
        <v/>
      </c>
      <c r="AC1874" s="127" t="str">
        <f>IF(tech_base!$T130&gt;AC$1745,"",(tech_base!$K130/tech_proj!AC254*0.086*$J$132)/(1-tech_proj!AC534))</f>
        <v/>
      </c>
      <c r="AD1874" s="127" t="str">
        <f>IF(tech_base!$T130&gt;AD$1745,"",(tech_base!$K130/tech_proj!AD254*0.086*$J$132)/(1-tech_proj!AD534))</f>
        <v/>
      </c>
      <c r="AE1874" s="127">
        <f>IF(tech_base!$T130&gt;AE$1745,"",(tech_base!$K130/tech_proj!AE254*0.086*$J$132)/(1-tech_proj!AE534))</f>
        <v>8.4505404082902871</v>
      </c>
      <c r="AF1874" s="127">
        <f>IF(tech_base!$T130&gt;AF$1745,"",(tech_base!$K130/tech_proj!AF254*0.086*$J$132)/(1-tech_proj!AF534))</f>
        <v>8.4505404082902871</v>
      </c>
      <c r="AG1874" s="127">
        <f>IF(tech_base!$T130&gt;AG$1745,"",(tech_base!$K130/tech_proj!AG254*0.086*$J$132)/(1-tech_proj!AG534))</f>
        <v>8.4505404082902871</v>
      </c>
      <c r="AH1874" s="127">
        <f>IF(tech_base!$T130&gt;AH$1745,"",(tech_base!$K130/tech_proj!AH254*0.086*$J$132)/(1-tech_proj!AH534))</f>
        <v>8.4505404082902871</v>
      </c>
      <c r="AI1874" s="127">
        <f>IF(tech_base!$T130&gt;AI$1745,"",(tech_base!$K130/tech_proj!AI254*0.086*$J$132)/(1-tech_proj!AI534))</f>
        <v>8.4505404082902871</v>
      </c>
      <c r="AJ1874" s="127">
        <f>IF(tech_base!$T130&gt;AJ$1745,"",(tech_base!$K130/tech_proj!AJ254*0.086*$J$132)/(1-tech_proj!AJ534))</f>
        <v>8.4505404082902871</v>
      </c>
      <c r="AK1874" s="127">
        <f>IF(tech_base!$T130&gt;AK$1745,"",(tech_base!$K130/tech_proj!AK254*0.086*$J$132)/(1-tech_proj!AK534))</f>
        <v>8.4505404082902871</v>
      </c>
      <c r="AL1874" s="127">
        <f>IF(tech_base!$T130&gt;AL$1745,"",(tech_base!$K130/tech_proj!AL254*0.086*$J$132)/(1-tech_proj!AL534))</f>
        <v>8.4505404082902871</v>
      </c>
      <c r="AM1874" s="127">
        <f>IF(tech_base!$T130&gt;AM$1745,"",(tech_base!$K130/tech_proj!AM254*0.086*$J$132)/(1-tech_proj!AM534))</f>
        <v>8.4505404082902871</v>
      </c>
      <c r="AN1874" s="127">
        <f>IF(tech_base!$T130&gt;AN$1745,"",(tech_base!$K130/tech_proj!AN254*0.086*$J$132)/(1-tech_proj!AN534))</f>
        <v>8.4505404082902871</v>
      </c>
      <c r="AO1874" s="127">
        <f>IF(tech_base!$T130&gt;AO$1745,"",(tech_base!$K130/tech_proj!AO254*0.086*$J$132)/(1-tech_proj!AO534))</f>
        <v>8.4505404082902871</v>
      </c>
      <c r="AP1874" s="127">
        <f>IF(tech_base!$T130&gt;AP$1745,"",(tech_base!$K130/tech_proj!AP254*0.086*$J$132)/(1-tech_proj!AP534))</f>
        <v>8.4505404082902871</v>
      </c>
      <c r="AQ1874" s="127">
        <f>IF(tech_base!$T130&gt;AQ$1745,"",(tech_base!$K130/tech_proj!AQ254*0.086*$J$132)/(1-tech_proj!AQ534))</f>
        <v>8.4505404082902871</v>
      </c>
      <c r="AR1874" s="127">
        <f>IF(tech_base!$T130&gt;AR$1745,"",(tech_base!$K130/tech_proj!AR254*0.086*$J$132)/(1-tech_proj!AR534))</f>
        <v>8.4505404082902871</v>
      </c>
      <c r="AS1874" s="127">
        <f>IF(tech_base!$T130&gt;AS$1745,"",(tech_base!$K130/tech_proj!AS254*0.086*$J$132)/(1-tech_proj!AS534))</f>
        <v>8.4505404082902871</v>
      </c>
      <c r="AT1874" s="127">
        <f>IF(tech_base!$T130&gt;AT$1745,"",(tech_base!$K130/tech_proj!AT254*0.086*$J$132)/(1-tech_proj!AT534))</f>
        <v>8.4505404082902871</v>
      </c>
      <c r="AU1874" s="127">
        <f>IF(tech_base!$T130&gt;AU$1745,"",(tech_base!$K130/tech_proj!AU254*0.086*$J$132)/(1-tech_proj!AU534))</f>
        <v>8.4505404082902871</v>
      </c>
      <c r="AV1874" s="127">
        <f>IF(tech_base!$T130&gt;AV$1745,"",(tech_base!$K130/tech_proj!AV254*0.086*$J$132)/(1-tech_proj!AV534))</f>
        <v>8.4505404082902871</v>
      </c>
      <c r="AW1874" s="127">
        <f>IF(tech_base!$T130&gt;AW$1745,"",(tech_base!$K130/tech_proj!AW254*0.086*$J$132)/(1-tech_proj!AW534))</f>
        <v>8.4505404082902871</v>
      </c>
      <c r="AX1874" s="128">
        <f>IF(tech_base!$T130&gt;AX$1745,"",(tech_base!$K130/tech_proj!AX254*0.086*$J$132)/(1-tech_proj!AX534))</f>
        <v>8.4505404082902871</v>
      </c>
    </row>
    <row r="1875" spans="1:50" x14ac:dyDescent="0.25">
      <c r="A1875" s="356" t="s">
        <v>27</v>
      </c>
      <c r="B1875" s="365" t="s">
        <v>19</v>
      </c>
      <c r="C1875" s="353" t="s">
        <v>6</v>
      </c>
      <c r="D1875" s="2" t="s">
        <v>7</v>
      </c>
      <c r="E1875" s="162" t="str">
        <f>A1875&amp;"/"&amp;B1875&amp;"/"&amp;C1875&amp;"/"&amp;D1875</f>
        <v>Refinery gas fired power plants/Steam turbine/Electricity only/L</v>
      </c>
      <c r="F1875" s="77" t="str">
        <f>A1875</f>
        <v>Refinery gas fired power plants</v>
      </c>
      <c r="G1875" s="77" t="str">
        <f>B1875</f>
        <v>Steam turbine</v>
      </c>
      <c r="H1875" s="77" t="str">
        <f>C1875</f>
        <v>Electricity only</v>
      </c>
      <c r="I1875" s="163" t="str">
        <f t="shared" ref="I1875:I1938" si="384">D1875</f>
        <v>L</v>
      </c>
      <c r="J1875" s="121">
        <f>IF(tech_base!$T131&gt;J$1745,"",(tech_base!$K131/tech_proj!J255*0.086*$J$132)/(1-tech_proj!J535))</f>
        <v>0</v>
      </c>
      <c r="K1875" s="121">
        <f>IF(tech_base!$T131&gt;K$1745,"",(tech_base!$K131/tech_proj!K255*0.086*$J$132)/(1-tech_proj!K535))</f>
        <v>0</v>
      </c>
      <c r="L1875" s="121">
        <f>IF(tech_base!$T131&gt;L$1745,"",(tech_base!$K131/tech_proj!L255*0.086*$J$132)/(1-tech_proj!L535))</f>
        <v>0</v>
      </c>
      <c r="M1875" s="121">
        <f>IF(tech_base!$T131&gt;M$1745,"",(tech_base!$K131/tech_proj!M255*0.086*$J$132)/(1-tech_proj!M535))</f>
        <v>0</v>
      </c>
      <c r="N1875" s="121">
        <f>IF(tech_base!$T131&gt;N$1745,"",(tech_base!$K131/tech_proj!N255*0.086*$J$132)/(1-tech_proj!N535))</f>
        <v>0</v>
      </c>
      <c r="O1875" s="121">
        <f>IF(tech_base!$T131&gt;O$1745,"",(tech_base!$K131/tech_proj!O255*0.086*$J$132)/(1-tech_proj!O535))</f>
        <v>0</v>
      </c>
      <c r="P1875" s="121">
        <f>IF(tech_base!$T131&gt;P$1745,"",(tech_base!$K131/tech_proj!P255*0.086*$J$132)/(1-tech_proj!P535))</f>
        <v>0</v>
      </c>
      <c r="Q1875" s="121">
        <f>IF(tech_base!$T131&gt;Q$1745,"",(tech_base!$K131/tech_proj!Q255*0.086*$J$132)/(1-tech_proj!Q535))</f>
        <v>0</v>
      </c>
      <c r="R1875" s="121">
        <f>IF(tech_base!$T131&gt;R$1745,"",(tech_base!$K131/tech_proj!R255*0.086*$J$132)/(1-tech_proj!R535))</f>
        <v>0</v>
      </c>
      <c r="S1875" s="121">
        <f>IF(tech_base!$T131&gt;S$1745,"",(tech_base!$K131/tech_proj!S255*0.086*$J$132)/(1-tech_proj!S535))</f>
        <v>0</v>
      </c>
      <c r="T1875" s="121">
        <f>IF(tech_base!$T131&gt;T$1745,"",(tech_base!$K131/tech_proj!T255*0.086*$J$132)/(1-tech_proj!T535))</f>
        <v>0</v>
      </c>
      <c r="U1875" s="121">
        <f>IF(tech_base!$T131&gt;U$1745,"",(tech_base!$K131/tech_proj!U255*0.086*$J$132)/(1-tech_proj!U535))</f>
        <v>0</v>
      </c>
      <c r="V1875" s="121">
        <f>IF(tech_base!$T131&gt;V$1745,"",(tech_base!$K131/tech_proj!V255*0.086*$J$132)/(1-tech_proj!V535))</f>
        <v>0</v>
      </c>
      <c r="W1875" s="121">
        <f>IF(tech_base!$T131&gt;W$1745,"",(tech_base!$K131/tech_proj!W255*0.086*$J$132)/(1-tech_proj!W535))</f>
        <v>0</v>
      </c>
      <c r="X1875" s="121">
        <f>IF(tech_base!$T131&gt;X$1745,"",(tech_base!$K131/tech_proj!X255*0.086*$J$132)/(1-tech_proj!X535))</f>
        <v>0</v>
      </c>
      <c r="Y1875" s="121">
        <f>IF(tech_base!$T131&gt;Y$1745,"",(tech_base!$K131/tech_proj!Y255*0.086*$J$132)/(1-tech_proj!Y535))</f>
        <v>0</v>
      </c>
      <c r="Z1875" s="121">
        <f>IF(tech_base!$T131&gt;Z$1745,"",(tech_base!$K131/tech_proj!Z255*0.086*$J$132)/(1-tech_proj!Z535))</f>
        <v>0</v>
      </c>
      <c r="AA1875" s="121">
        <f>IF(tech_base!$T131&gt;AA$1745,"",(tech_base!$K131/tech_proj!AA255*0.086*$J$132)/(1-tech_proj!AA535))</f>
        <v>0</v>
      </c>
      <c r="AB1875" s="121">
        <f>IF(tech_base!$T131&gt;AB$1745,"",(tech_base!$K131/tech_proj!AB255*0.086*$J$132)/(1-tech_proj!AB535))</f>
        <v>0</v>
      </c>
      <c r="AC1875" s="121">
        <f>IF(tech_base!$T131&gt;AC$1745,"",(tech_base!$K131/tech_proj!AC255*0.086*$J$132)/(1-tech_proj!AC535))</f>
        <v>0</v>
      </c>
      <c r="AD1875" s="121">
        <f>IF(tech_base!$T131&gt;AD$1745,"",(tech_base!$K131/tech_proj!AD255*0.086*$J$132)/(1-tech_proj!AD535))</f>
        <v>0</v>
      </c>
      <c r="AE1875" s="121">
        <f>IF(tech_base!$T131&gt;AE$1745,"",(tech_base!$K131/tech_proj!AE255*0.086*$J$132)/(1-tech_proj!AE535))</f>
        <v>0</v>
      </c>
      <c r="AF1875" s="121">
        <f>IF(tech_base!$T131&gt;AF$1745,"",(tech_base!$K131/tech_proj!AF255*0.086*$J$132)/(1-tech_proj!AF535))</f>
        <v>0</v>
      </c>
      <c r="AG1875" s="121">
        <f>IF(tech_base!$T131&gt;AG$1745,"",(tech_base!$K131/tech_proj!AG255*0.086*$J$132)/(1-tech_proj!AG535))</f>
        <v>0</v>
      </c>
      <c r="AH1875" s="121">
        <f>IF(tech_base!$T131&gt;AH$1745,"",(tech_base!$K131/tech_proj!AH255*0.086*$J$132)/(1-tech_proj!AH535))</f>
        <v>0</v>
      </c>
      <c r="AI1875" s="121">
        <f>IF(tech_base!$T131&gt;AI$1745,"",(tech_base!$K131/tech_proj!AI255*0.086*$J$132)/(1-tech_proj!AI535))</f>
        <v>0</v>
      </c>
      <c r="AJ1875" s="121">
        <f>IF(tech_base!$T131&gt;AJ$1745,"",(tech_base!$K131/tech_proj!AJ255*0.086*$J$132)/(1-tech_proj!AJ535))</f>
        <v>0</v>
      </c>
      <c r="AK1875" s="121">
        <f>IF(tech_base!$T131&gt;AK$1745,"",(tech_base!$K131/tech_proj!AK255*0.086*$J$132)/(1-tech_proj!AK535))</f>
        <v>0</v>
      </c>
      <c r="AL1875" s="121">
        <f>IF(tech_base!$T131&gt;AL$1745,"",(tech_base!$K131/tech_proj!AL255*0.086*$J$132)/(1-tech_proj!AL535))</f>
        <v>0</v>
      </c>
      <c r="AM1875" s="121">
        <f>IF(tech_base!$T131&gt;AM$1745,"",(tech_base!$K131/tech_proj!AM255*0.086*$J$132)/(1-tech_proj!AM535))</f>
        <v>0</v>
      </c>
      <c r="AN1875" s="121">
        <f>IF(tech_base!$T131&gt;AN$1745,"",(tech_base!$K131/tech_proj!AN255*0.086*$J$132)/(1-tech_proj!AN535))</f>
        <v>0</v>
      </c>
      <c r="AO1875" s="121">
        <f>IF(tech_base!$T131&gt;AO$1745,"",(tech_base!$K131/tech_proj!AO255*0.086*$J$132)/(1-tech_proj!AO535))</f>
        <v>0</v>
      </c>
      <c r="AP1875" s="121">
        <f>IF(tech_base!$T131&gt;AP$1745,"",(tech_base!$K131/tech_proj!AP255*0.086*$J$132)/(1-tech_proj!AP535))</f>
        <v>0</v>
      </c>
      <c r="AQ1875" s="121">
        <f>IF(tech_base!$T131&gt;AQ$1745,"",(tech_base!$K131/tech_proj!AQ255*0.086*$J$132)/(1-tech_proj!AQ535))</f>
        <v>0</v>
      </c>
      <c r="AR1875" s="121">
        <f>IF(tech_base!$T131&gt;AR$1745,"",(tech_base!$K131/tech_proj!AR255*0.086*$J$132)/(1-tech_proj!AR535))</f>
        <v>0</v>
      </c>
      <c r="AS1875" s="121">
        <f>IF(tech_base!$T131&gt;AS$1745,"",(tech_base!$K131/tech_proj!AS255*0.086*$J$132)/(1-tech_proj!AS535))</f>
        <v>0</v>
      </c>
      <c r="AT1875" s="121">
        <f>IF(tech_base!$T131&gt;AT$1745,"",(tech_base!$K131/tech_proj!AT255*0.086*$J$132)/(1-tech_proj!AT535))</f>
        <v>0</v>
      </c>
      <c r="AU1875" s="121">
        <f>IF(tech_base!$T131&gt;AU$1745,"",(tech_base!$K131/tech_proj!AU255*0.086*$J$132)/(1-tech_proj!AU535))</f>
        <v>0</v>
      </c>
      <c r="AV1875" s="121">
        <f>IF(tech_base!$T131&gt;AV$1745,"",(tech_base!$K131/tech_proj!AV255*0.086*$J$132)/(1-tech_proj!AV535))</f>
        <v>0</v>
      </c>
      <c r="AW1875" s="121">
        <f>IF(tech_base!$T131&gt;AW$1745,"",(tech_base!$K131/tech_proj!AW255*0.086*$J$132)/(1-tech_proj!AW535))</f>
        <v>0</v>
      </c>
      <c r="AX1875" s="122">
        <f>IF(tech_base!$T131&gt;AX$1745,"",(tech_base!$K131/tech_proj!AX255*0.086*$J$132)/(1-tech_proj!AX535))</f>
        <v>0</v>
      </c>
    </row>
    <row r="1876" spans="1:50" x14ac:dyDescent="0.25">
      <c r="A1876" s="356"/>
      <c r="B1876" s="366"/>
      <c r="C1876" s="378"/>
      <c r="D1876" s="2" t="s">
        <v>8</v>
      </c>
      <c r="E1876" s="160" t="str">
        <f>A1875&amp;"/"&amp;B1875&amp;"/"&amp;C1875&amp;"/"&amp;D1876</f>
        <v>Refinery gas fired power plants/Steam turbine/Electricity only/M</v>
      </c>
      <c r="F1876" s="76" t="str">
        <f>A1875</f>
        <v>Refinery gas fired power plants</v>
      </c>
      <c r="G1876" s="76" t="str">
        <f>B1875</f>
        <v>Steam turbine</v>
      </c>
      <c r="H1876" s="76" t="str">
        <f>C1875</f>
        <v>Electricity only</v>
      </c>
      <c r="I1876" s="161" t="str">
        <f t="shared" si="384"/>
        <v>M</v>
      </c>
      <c r="J1876" s="119">
        <f>IF(tech_base!$T132&gt;J$1745,"",(tech_base!$K132/tech_proj!J256*0.086*$J$132)/(1-tech_proj!J536))</f>
        <v>0</v>
      </c>
      <c r="K1876" s="119">
        <f>IF(tech_base!$T132&gt;K$1745,"",(tech_base!$K132/tech_proj!K256*0.086*$J$132)/(1-tech_proj!K536))</f>
        <v>0</v>
      </c>
      <c r="L1876" s="119">
        <f>IF(tech_base!$T132&gt;L$1745,"",(tech_base!$K132/tech_proj!L256*0.086*$J$132)/(1-tech_proj!L536))</f>
        <v>0</v>
      </c>
      <c r="M1876" s="119">
        <f>IF(tech_base!$T132&gt;M$1745,"",(tech_base!$K132/tech_proj!M256*0.086*$J$132)/(1-tech_proj!M536))</f>
        <v>0</v>
      </c>
      <c r="N1876" s="119">
        <f>IF(tech_base!$T132&gt;N$1745,"",(tech_base!$K132/tech_proj!N256*0.086*$J$132)/(1-tech_proj!N536))</f>
        <v>0</v>
      </c>
      <c r="O1876" s="119">
        <f>IF(tech_base!$T132&gt;O$1745,"",(tech_base!$K132/tech_proj!O256*0.086*$J$132)/(1-tech_proj!O536))</f>
        <v>0</v>
      </c>
      <c r="P1876" s="119">
        <f>IF(tech_base!$T132&gt;P$1745,"",(tech_base!$K132/tech_proj!P256*0.086*$J$132)/(1-tech_proj!P536))</f>
        <v>0</v>
      </c>
      <c r="Q1876" s="119">
        <f>IF(tech_base!$T132&gt;Q$1745,"",(tech_base!$K132/tech_proj!Q256*0.086*$J$132)/(1-tech_proj!Q536))</f>
        <v>0</v>
      </c>
      <c r="R1876" s="119">
        <f>IF(tech_base!$T132&gt;R$1745,"",(tech_base!$K132/tech_proj!R256*0.086*$J$132)/(1-tech_proj!R536))</f>
        <v>0</v>
      </c>
      <c r="S1876" s="119">
        <f>IF(tech_base!$T132&gt;S$1745,"",(tech_base!$K132/tech_proj!S256*0.086*$J$132)/(1-tech_proj!S536))</f>
        <v>0</v>
      </c>
      <c r="T1876" s="119">
        <f>IF(tech_base!$T132&gt;T$1745,"",(tech_base!$K132/tech_proj!T256*0.086*$J$132)/(1-tech_proj!T536))</f>
        <v>0</v>
      </c>
      <c r="U1876" s="119">
        <f>IF(tech_base!$T132&gt;U$1745,"",(tech_base!$K132/tech_proj!U256*0.086*$J$132)/(1-tech_proj!U536))</f>
        <v>0</v>
      </c>
      <c r="V1876" s="119">
        <f>IF(tech_base!$T132&gt;V$1745,"",(tech_base!$K132/tech_proj!V256*0.086*$J$132)/(1-tech_proj!V536))</f>
        <v>0</v>
      </c>
      <c r="W1876" s="119">
        <f>IF(tech_base!$T132&gt;W$1745,"",(tech_base!$K132/tech_proj!W256*0.086*$J$132)/(1-tech_proj!W536))</f>
        <v>0</v>
      </c>
      <c r="X1876" s="119">
        <f>IF(tech_base!$T132&gt;X$1745,"",(tech_base!$K132/tech_proj!X256*0.086*$J$132)/(1-tech_proj!X536))</f>
        <v>0</v>
      </c>
      <c r="Y1876" s="119">
        <f>IF(tech_base!$T132&gt;Y$1745,"",(tech_base!$K132/tech_proj!Y256*0.086*$J$132)/(1-tech_proj!Y536))</f>
        <v>0</v>
      </c>
      <c r="Z1876" s="119">
        <f>IF(tech_base!$T132&gt;Z$1745,"",(tech_base!$K132/tech_proj!Z256*0.086*$J$132)/(1-tech_proj!Z536))</f>
        <v>0</v>
      </c>
      <c r="AA1876" s="119">
        <f>IF(tech_base!$T132&gt;AA$1745,"",(tech_base!$K132/tech_proj!AA256*0.086*$J$132)/(1-tech_proj!AA536))</f>
        <v>0</v>
      </c>
      <c r="AB1876" s="119">
        <f>IF(tech_base!$T132&gt;AB$1745,"",(tech_base!$K132/tech_proj!AB256*0.086*$J$132)/(1-tech_proj!AB536))</f>
        <v>0</v>
      </c>
      <c r="AC1876" s="119">
        <f>IF(tech_base!$T132&gt;AC$1745,"",(tech_base!$K132/tech_proj!AC256*0.086*$J$132)/(1-tech_proj!AC536))</f>
        <v>0</v>
      </c>
      <c r="AD1876" s="119">
        <f>IF(tech_base!$T132&gt;AD$1745,"",(tech_base!$K132/tech_proj!AD256*0.086*$J$132)/(1-tech_proj!AD536))</f>
        <v>0</v>
      </c>
      <c r="AE1876" s="119">
        <f>IF(tech_base!$T132&gt;AE$1745,"",(tech_base!$K132/tech_proj!AE256*0.086*$J$132)/(1-tech_proj!AE536))</f>
        <v>0</v>
      </c>
      <c r="AF1876" s="119">
        <f>IF(tech_base!$T132&gt;AF$1745,"",(tech_base!$K132/tech_proj!AF256*0.086*$J$132)/(1-tech_proj!AF536))</f>
        <v>0</v>
      </c>
      <c r="AG1876" s="119">
        <f>IF(tech_base!$T132&gt;AG$1745,"",(tech_base!$K132/tech_proj!AG256*0.086*$J$132)/(1-tech_proj!AG536))</f>
        <v>0</v>
      </c>
      <c r="AH1876" s="119">
        <f>IF(tech_base!$T132&gt;AH$1745,"",(tech_base!$K132/tech_proj!AH256*0.086*$J$132)/(1-tech_proj!AH536))</f>
        <v>0</v>
      </c>
      <c r="AI1876" s="119">
        <f>IF(tech_base!$T132&gt;AI$1745,"",(tech_base!$K132/tech_proj!AI256*0.086*$J$132)/(1-tech_proj!AI536))</f>
        <v>0</v>
      </c>
      <c r="AJ1876" s="119">
        <f>IF(tech_base!$T132&gt;AJ$1745,"",(tech_base!$K132/tech_proj!AJ256*0.086*$J$132)/(1-tech_proj!AJ536))</f>
        <v>0</v>
      </c>
      <c r="AK1876" s="119">
        <f>IF(tech_base!$T132&gt;AK$1745,"",(tech_base!$K132/tech_proj!AK256*0.086*$J$132)/(1-tech_proj!AK536))</f>
        <v>0</v>
      </c>
      <c r="AL1876" s="119">
        <f>IF(tech_base!$T132&gt;AL$1745,"",(tech_base!$K132/tech_proj!AL256*0.086*$J$132)/(1-tech_proj!AL536))</f>
        <v>0</v>
      </c>
      <c r="AM1876" s="119">
        <f>IF(tech_base!$T132&gt;AM$1745,"",(tech_base!$K132/tech_proj!AM256*0.086*$J$132)/(1-tech_proj!AM536))</f>
        <v>0</v>
      </c>
      <c r="AN1876" s="119">
        <f>IF(tech_base!$T132&gt;AN$1745,"",(tech_base!$K132/tech_proj!AN256*0.086*$J$132)/(1-tech_proj!AN536))</f>
        <v>0</v>
      </c>
      <c r="AO1876" s="119">
        <f>IF(tech_base!$T132&gt;AO$1745,"",(tech_base!$K132/tech_proj!AO256*0.086*$J$132)/(1-tech_proj!AO536))</f>
        <v>0</v>
      </c>
      <c r="AP1876" s="119">
        <f>IF(tech_base!$T132&gt;AP$1745,"",(tech_base!$K132/tech_proj!AP256*0.086*$J$132)/(1-tech_proj!AP536))</f>
        <v>0</v>
      </c>
      <c r="AQ1876" s="119">
        <f>IF(tech_base!$T132&gt;AQ$1745,"",(tech_base!$K132/tech_proj!AQ256*0.086*$J$132)/(1-tech_proj!AQ536))</f>
        <v>0</v>
      </c>
      <c r="AR1876" s="119">
        <f>IF(tech_base!$T132&gt;AR$1745,"",(tech_base!$K132/tech_proj!AR256*0.086*$J$132)/(1-tech_proj!AR536))</f>
        <v>0</v>
      </c>
      <c r="AS1876" s="119">
        <f>IF(tech_base!$T132&gt;AS$1745,"",(tech_base!$K132/tech_proj!AS256*0.086*$J$132)/(1-tech_proj!AS536))</f>
        <v>0</v>
      </c>
      <c r="AT1876" s="119">
        <f>IF(tech_base!$T132&gt;AT$1745,"",(tech_base!$K132/tech_proj!AT256*0.086*$J$132)/(1-tech_proj!AT536))</f>
        <v>0</v>
      </c>
      <c r="AU1876" s="119">
        <f>IF(tech_base!$T132&gt;AU$1745,"",(tech_base!$K132/tech_proj!AU256*0.086*$J$132)/(1-tech_proj!AU536))</f>
        <v>0</v>
      </c>
      <c r="AV1876" s="119">
        <f>IF(tech_base!$T132&gt;AV$1745,"",(tech_base!$K132/tech_proj!AV256*0.086*$J$132)/(1-tech_proj!AV536))</f>
        <v>0</v>
      </c>
      <c r="AW1876" s="119">
        <f>IF(tech_base!$T132&gt;AW$1745,"",(tech_base!$K132/tech_proj!AW256*0.086*$J$132)/(1-tech_proj!AW536))</f>
        <v>0</v>
      </c>
      <c r="AX1876" s="120">
        <f>IF(tech_base!$T132&gt;AX$1745,"",(tech_base!$K132/tech_proj!AX256*0.086*$J$132)/(1-tech_proj!AX536))</f>
        <v>0</v>
      </c>
    </row>
    <row r="1877" spans="1:50" x14ac:dyDescent="0.25">
      <c r="A1877" s="356"/>
      <c r="B1877" s="366"/>
      <c r="C1877" s="379"/>
      <c r="D1877" s="2" t="s">
        <v>10</v>
      </c>
      <c r="E1877" s="160" t="str">
        <f>A1875&amp;"/"&amp;B1875&amp;"/"&amp;C1875&amp;"/"&amp;D1877</f>
        <v>Refinery gas fired power plants/Steam turbine/Electricity only/S</v>
      </c>
      <c r="F1877" s="76" t="str">
        <f>A1875</f>
        <v>Refinery gas fired power plants</v>
      </c>
      <c r="G1877" s="76" t="str">
        <f>B1875</f>
        <v>Steam turbine</v>
      </c>
      <c r="H1877" s="76" t="str">
        <f>C1875</f>
        <v>Electricity only</v>
      </c>
      <c r="I1877" s="161" t="str">
        <f t="shared" si="384"/>
        <v>S</v>
      </c>
      <c r="J1877" s="119">
        <f>IF(tech_base!$T133&gt;J$1745,"",(tech_base!$K133/tech_proj!J257*0.086*$J$132)/(1-tech_proj!J537))</f>
        <v>0</v>
      </c>
      <c r="K1877" s="119">
        <f>IF(tech_base!$T133&gt;K$1745,"",(tech_base!$K133/tech_proj!K257*0.086*$J$132)/(1-tech_proj!K537))</f>
        <v>0</v>
      </c>
      <c r="L1877" s="119">
        <f>IF(tech_base!$T133&gt;L$1745,"",(tech_base!$K133/tech_proj!L257*0.086*$J$132)/(1-tech_proj!L537))</f>
        <v>0</v>
      </c>
      <c r="M1877" s="119">
        <f>IF(tech_base!$T133&gt;M$1745,"",(tech_base!$K133/tech_proj!M257*0.086*$J$132)/(1-tech_proj!M537))</f>
        <v>0</v>
      </c>
      <c r="N1877" s="119">
        <f>IF(tech_base!$T133&gt;N$1745,"",(tech_base!$K133/tech_proj!N257*0.086*$J$132)/(1-tech_proj!N537))</f>
        <v>0</v>
      </c>
      <c r="O1877" s="119">
        <f>IF(tech_base!$T133&gt;O$1745,"",(tech_base!$K133/tech_proj!O257*0.086*$J$132)/(1-tech_proj!O537))</f>
        <v>0</v>
      </c>
      <c r="P1877" s="119">
        <f>IF(tech_base!$T133&gt;P$1745,"",(tech_base!$K133/tech_proj!P257*0.086*$J$132)/(1-tech_proj!P537))</f>
        <v>0</v>
      </c>
      <c r="Q1877" s="119">
        <f>IF(tech_base!$T133&gt;Q$1745,"",(tech_base!$K133/tech_proj!Q257*0.086*$J$132)/(1-tech_proj!Q537))</f>
        <v>0</v>
      </c>
      <c r="R1877" s="119">
        <f>IF(tech_base!$T133&gt;R$1745,"",(tech_base!$K133/tech_proj!R257*0.086*$J$132)/(1-tech_proj!R537))</f>
        <v>0</v>
      </c>
      <c r="S1877" s="119">
        <f>IF(tech_base!$T133&gt;S$1745,"",(tech_base!$K133/tech_proj!S257*0.086*$J$132)/(1-tech_proj!S537))</f>
        <v>0</v>
      </c>
      <c r="T1877" s="119">
        <f>IF(tech_base!$T133&gt;T$1745,"",(tech_base!$K133/tech_proj!T257*0.086*$J$132)/(1-tech_proj!T537))</f>
        <v>0</v>
      </c>
      <c r="U1877" s="119">
        <f>IF(tech_base!$T133&gt;U$1745,"",(tech_base!$K133/tech_proj!U257*0.086*$J$132)/(1-tech_proj!U537))</f>
        <v>0</v>
      </c>
      <c r="V1877" s="119">
        <f>IF(tech_base!$T133&gt;V$1745,"",(tech_base!$K133/tech_proj!V257*0.086*$J$132)/(1-tech_proj!V537))</f>
        <v>0</v>
      </c>
      <c r="W1877" s="119">
        <f>IF(tech_base!$T133&gt;W$1745,"",(tech_base!$K133/tech_proj!W257*0.086*$J$132)/(1-tech_proj!W537))</f>
        <v>0</v>
      </c>
      <c r="X1877" s="119">
        <f>IF(tech_base!$T133&gt;X$1745,"",(tech_base!$K133/tech_proj!X257*0.086*$J$132)/(1-tech_proj!X537))</f>
        <v>0</v>
      </c>
      <c r="Y1877" s="119">
        <f>IF(tech_base!$T133&gt;Y$1745,"",(tech_base!$K133/tech_proj!Y257*0.086*$J$132)/(1-tech_proj!Y537))</f>
        <v>0</v>
      </c>
      <c r="Z1877" s="119">
        <f>IF(tech_base!$T133&gt;Z$1745,"",(tech_base!$K133/tech_proj!Z257*0.086*$J$132)/(1-tech_proj!Z537))</f>
        <v>0</v>
      </c>
      <c r="AA1877" s="119">
        <f>IF(tech_base!$T133&gt;AA$1745,"",(tech_base!$K133/tech_proj!AA257*0.086*$J$132)/(1-tech_proj!AA537))</f>
        <v>0</v>
      </c>
      <c r="AB1877" s="119">
        <f>IF(tech_base!$T133&gt;AB$1745,"",(tech_base!$K133/tech_proj!AB257*0.086*$J$132)/(1-tech_proj!AB537))</f>
        <v>0</v>
      </c>
      <c r="AC1877" s="119">
        <f>IF(tech_base!$T133&gt;AC$1745,"",(tech_base!$K133/tech_proj!AC257*0.086*$J$132)/(1-tech_proj!AC537))</f>
        <v>0</v>
      </c>
      <c r="AD1877" s="119">
        <f>IF(tech_base!$T133&gt;AD$1745,"",(tech_base!$K133/tech_proj!AD257*0.086*$J$132)/(1-tech_proj!AD537))</f>
        <v>0</v>
      </c>
      <c r="AE1877" s="119">
        <f>IF(tech_base!$T133&gt;AE$1745,"",(tech_base!$K133/tech_proj!AE257*0.086*$J$132)/(1-tech_proj!AE537))</f>
        <v>0</v>
      </c>
      <c r="AF1877" s="119">
        <f>IF(tech_base!$T133&gt;AF$1745,"",(tech_base!$K133/tech_proj!AF257*0.086*$J$132)/(1-tech_proj!AF537))</f>
        <v>0</v>
      </c>
      <c r="AG1877" s="119">
        <f>IF(tech_base!$T133&gt;AG$1745,"",(tech_base!$K133/tech_proj!AG257*0.086*$J$132)/(1-tech_proj!AG537))</f>
        <v>0</v>
      </c>
      <c r="AH1877" s="119">
        <f>IF(tech_base!$T133&gt;AH$1745,"",(tech_base!$K133/tech_proj!AH257*0.086*$J$132)/(1-tech_proj!AH537))</f>
        <v>0</v>
      </c>
      <c r="AI1877" s="119">
        <f>IF(tech_base!$T133&gt;AI$1745,"",(tech_base!$K133/tech_proj!AI257*0.086*$J$132)/(1-tech_proj!AI537))</f>
        <v>0</v>
      </c>
      <c r="AJ1877" s="119">
        <f>IF(tech_base!$T133&gt;AJ$1745,"",(tech_base!$K133/tech_proj!AJ257*0.086*$J$132)/(1-tech_proj!AJ537))</f>
        <v>0</v>
      </c>
      <c r="AK1877" s="119">
        <f>IF(tech_base!$T133&gt;AK$1745,"",(tech_base!$K133/tech_proj!AK257*0.086*$J$132)/(1-tech_proj!AK537))</f>
        <v>0</v>
      </c>
      <c r="AL1877" s="119">
        <f>IF(tech_base!$T133&gt;AL$1745,"",(tech_base!$K133/tech_proj!AL257*0.086*$J$132)/(1-tech_proj!AL537))</f>
        <v>0</v>
      </c>
      <c r="AM1877" s="119">
        <f>IF(tech_base!$T133&gt;AM$1745,"",(tech_base!$K133/tech_proj!AM257*0.086*$J$132)/(1-tech_proj!AM537))</f>
        <v>0</v>
      </c>
      <c r="AN1877" s="119">
        <f>IF(tech_base!$T133&gt;AN$1745,"",(tech_base!$K133/tech_proj!AN257*0.086*$J$132)/(1-tech_proj!AN537))</f>
        <v>0</v>
      </c>
      <c r="AO1877" s="119">
        <f>IF(tech_base!$T133&gt;AO$1745,"",(tech_base!$K133/tech_proj!AO257*0.086*$J$132)/(1-tech_proj!AO537))</f>
        <v>0</v>
      </c>
      <c r="AP1877" s="119">
        <f>IF(tech_base!$T133&gt;AP$1745,"",(tech_base!$K133/tech_proj!AP257*0.086*$J$132)/(1-tech_proj!AP537))</f>
        <v>0</v>
      </c>
      <c r="AQ1877" s="119">
        <f>IF(tech_base!$T133&gt;AQ$1745,"",(tech_base!$K133/tech_proj!AQ257*0.086*$J$132)/(1-tech_proj!AQ537))</f>
        <v>0</v>
      </c>
      <c r="AR1877" s="119">
        <f>IF(tech_base!$T133&gt;AR$1745,"",(tech_base!$K133/tech_proj!AR257*0.086*$J$132)/(1-tech_proj!AR537))</f>
        <v>0</v>
      </c>
      <c r="AS1877" s="119">
        <f>IF(tech_base!$T133&gt;AS$1745,"",(tech_base!$K133/tech_proj!AS257*0.086*$J$132)/(1-tech_proj!AS537))</f>
        <v>0</v>
      </c>
      <c r="AT1877" s="119">
        <f>IF(tech_base!$T133&gt;AT$1745,"",(tech_base!$K133/tech_proj!AT257*0.086*$J$132)/(1-tech_proj!AT537))</f>
        <v>0</v>
      </c>
      <c r="AU1877" s="119">
        <f>IF(tech_base!$T133&gt;AU$1745,"",(tech_base!$K133/tech_proj!AU257*0.086*$J$132)/(1-tech_proj!AU537))</f>
        <v>0</v>
      </c>
      <c r="AV1877" s="119">
        <f>IF(tech_base!$T133&gt;AV$1745,"",(tech_base!$K133/tech_proj!AV257*0.086*$J$132)/(1-tech_proj!AV537))</f>
        <v>0</v>
      </c>
      <c r="AW1877" s="119">
        <f>IF(tech_base!$T133&gt;AW$1745,"",(tech_base!$K133/tech_proj!AW257*0.086*$J$132)/(1-tech_proj!AW537))</f>
        <v>0</v>
      </c>
      <c r="AX1877" s="120">
        <f>IF(tech_base!$T133&gt;AX$1745,"",(tech_base!$K133/tech_proj!AX257*0.086*$J$132)/(1-tech_proj!AX537))</f>
        <v>0</v>
      </c>
    </row>
    <row r="1878" spans="1:50" x14ac:dyDescent="0.25">
      <c r="A1878" s="356"/>
      <c r="B1878" s="366"/>
      <c r="C1878" s="361" t="s">
        <v>14</v>
      </c>
      <c r="D1878" s="58" t="s">
        <v>7</v>
      </c>
      <c r="E1878" s="164" t="str">
        <f>A1875&amp;"/"&amp;B1875&amp;"/"&amp;C1878&amp;"/"&amp;D1878</f>
        <v>Refinery gas fired power plants/Steam turbine/CHP/L</v>
      </c>
      <c r="F1878" s="78" t="str">
        <f>A1875</f>
        <v>Refinery gas fired power plants</v>
      </c>
      <c r="G1878" s="78" t="str">
        <f>B1875</f>
        <v>Steam turbine</v>
      </c>
      <c r="H1878" s="78" t="str">
        <f>C1878</f>
        <v>CHP</v>
      </c>
      <c r="I1878" s="165" t="str">
        <f t="shared" si="384"/>
        <v>L</v>
      </c>
      <c r="J1878" s="123">
        <f>IF(tech_base!$T134&gt;J$1745,"",(tech_base!$K134/tech_proj!J258*0.086*$J$132)/(1-tech_proj!J538))</f>
        <v>0</v>
      </c>
      <c r="K1878" s="123">
        <f>IF(tech_base!$T134&gt;K$1745,"",(tech_base!$K134/tech_proj!K258*0.086*$J$132)/(1-tech_proj!K538))</f>
        <v>0</v>
      </c>
      <c r="L1878" s="123">
        <f>IF(tech_base!$T134&gt;L$1745,"",(tech_base!$K134/tech_proj!L258*0.086*$J$132)/(1-tech_proj!L538))</f>
        <v>0</v>
      </c>
      <c r="M1878" s="123">
        <f>IF(tech_base!$T134&gt;M$1745,"",(tech_base!$K134/tech_proj!M258*0.086*$J$132)/(1-tech_proj!M538))</f>
        <v>0</v>
      </c>
      <c r="N1878" s="123">
        <f>IF(tech_base!$T134&gt;N$1745,"",(tech_base!$K134/tech_proj!N258*0.086*$J$132)/(1-tech_proj!N538))</f>
        <v>0</v>
      </c>
      <c r="O1878" s="123">
        <f>IF(tech_base!$T134&gt;O$1745,"",(tech_base!$K134/tech_proj!O258*0.086*$J$132)/(1-tech_proj!O538))</f>
        <v>0</v>
      </c>
      <c r="P1878" s="123">
        <f>IF(tech_base!$T134&gt;P$1745,"",(tech_base!$K134/tech_proj!P258*0.086*$J$132)/(1-tech_proj!P538))</f>
        <v>0</v>
      </c>
      <c r="Q1878" s="123">
        <f>IF(tech_base!$T134&gt;Q$1745,"",(tech_base!$K134/tech_proj!Q258*0.086*$J$132)/(1-tech_proj!Q538))</f>
        <v>0</v>
      </c>
      <c r="R1878" s="123">
        <f>IF(tech_base!$T134&gt;R$1745,"",(tech_base!$K134/tech_proj!R258*0.086*$J$132)/(1-tech_proj!R538))</f>
        <v>0</v>
      </c>
      <c r="S1878" s="123">
        <f>IF(tech_base!$T134&gt;S$1745,"",(tech_base!$K134/tech_proj!S258*0.086*$J$132)/(1-tech_proj!S538))</f>
        <v>0</v>
      </c>
      <c r="T1878" s="123">
        <f>IF(tech_base!$T134&gt;T$1745,"",(tech_base!$K134/tech_proj!T258*0.086*$J$132)/(1-tech_proj!T538))</f>
        <v>0</v>
      </c>
      <c r="U1878" s="123">
        <f>IF(tech_base!$T134&gt;U$1745,"",(tech_base!$K134/tech_proj!U258*0.086*$J$132)/(1-tech_proj!U538))</f>
        <v>0</v>
      </c>
      <c r="V1878" s="123">
        <f>IF(tech_base!$T134&gt;V$1745,"",(tech_base!$K134/tech_proj!V258*0.086*$J$132)/(1-tech_proj!V538))</f>
        <v>0</v>
      </c>
      <c r="W1878" s="123">
        <f>IF(tech_base!$T134&gt;W$1745,"",(tech_base!$K134/tech_proj!W258*0.086*$J$132)/(1-tech_proj!W538))</f>
        <v>0</v>
      </c>
      <c r="X1878" s="123">
        <f>IF(tech_base!$T134&gt;X$1745,"",(tech_base!$K134/tech_proj!X258*0.086*$J$132)/(1-tech_proj!X538))</f>
        <v>0</v>
      </c>
      <c r="Y1878" s="123">
        <f>IF(tech_base!$T134&gt;Y$1745,"",(tech_base!$K134/tech_proj!Y258*0.086*$J$132)/(1-tech_proj!Y538))</f>
        <v>0</v>
      </c>
      <c r="Z1878" s="123">
        <f>IF(tech_base!$T134&gt;Z$1745,"",(tech_base!$K134/tech_proj!Z258*0.086*$J$132)/(1-tech_proj!Z538))</f>
        <v>0</v>
      </c>
      <c r="AA1878" s="123">
        <f>IF(tech_base!$T134&gt;AA$1745,"",(tech_base!$K134/tech_proj!AA258*0.086*$J$132)/(1-tech_proj!AA538))</f>
        <v>0</v>
      </c>
      <c r="AB1878" s="123">
        <f>IF(tech_base!$T134&gt;AB$1745,"",(tech_base!$K134/tech_proj!AB258*0.086*$J$132)/(1-tech_proj!AB538))</f>
        <v>0</v>
      </c>
      <c r="AC1878" s="123">
        <f>IF(tech_base!$T134&gt;AC$1745,"",(tech_base!$K134/tech_proj!AC258*0.086*$J$132)/(1-tech_proj!AC538))</f>
        <v>0</v>
      </c>
      <c r="AD1878" s="123">
        <f>IF(tech_base!$T134&gt;AD$1745,"",(tech_base!$K134/tech_proj!AD258*0.086*$J$132)/(1-tech_proj!AD538))</f>
        <v>0</v>
      </c>
      <c r="AE1878" s="123">
        <f>IF(tech_base!$T134&gt;AE$1745,"",(tech_base!$K134/tech_proj!AE258*0.086*$J$132)/(1-tech_proj!AE538))</f>
        <v>0</v>
      </c>
      <c r="AF1878" s="123">
        <f>IF(tech_base!$T134&gt;AF$1745,"",(tech_base!$K134/tech_proj!AF258*0.086*$J$132)/(1-tech_proj!AF538))</f>
        <v>0</v>
      </c>
      <c r="AG1878" s="123">
        <f>IF(tech_base!$T134&gt;AG$1745,"",(tech_base!$K134/tech_proj!AG258*0.086*$J$132)/(1-tech_proj!AG538))</f>
        <v>0</v>
      </c>
      <c r="AH1878" s="123">
        <f>IF(tech_base!$T134&gt;AH$1745,"",(tech_base!$K134/tech_proj!AH258*0.086*$J$132)/(1-tech_proj!AH538))</f>
        <v>0</v>
      </c>
      <c r="AI1878" s="123">
        <f>IF(tech_base!$T134&gt;AI$1745,"",(tech_base!$K134/tech_proj!AI258*0.086*$J$132)/(1-tech_proj!AI538))</f>
        <v>0</v>
      </c>
      <c r="AJ1878" s="123">
        <f>IF(tech_base!$T134&gt;AJ$1745,"",(tech_base!$K134/tech_proj!AJ258*0.086*$J$132)/(1-tech_proj!AJ538))</f>
        <v>0</v>
      </c>
      <c r="AK1878" s="123">
        <f>IF(tech_base!$T134&gt;AK$1745,"",(tech_base!$K134/tech_proj!AK258*0.086*$J$132)/(1-tech_proj!AK538))</f>
        <v>0</v>
      </c>
      <c r="AL1878" s="123">
        <f>IF(tech_base!$T134&gt;AL$1745,"",(tech_base!$K134/tech_proj!AL258*0.086*$J$132)/(1-tech_proj!AL538))</f>
        <v>0</v>
      </c>
      <c r="AM1878" s="123">
        <f>IF(tech_base!$T134&gt;AM$1745,"",(tech_base!$K134/tech_proj!AM258*0.086*$J$132)/(1-tech_proj!AM538))</f>
        <v>0</v>
      </c>
      <c r="AN1878" s="123">
        <f>IF(tech_base!$T134&gt;AN$1745,"",(tech_base!$K134/tech_proj!AN258*0.086*$J$132)/(1-tech_proj!AN538))</f>
        <v>0</v>
      </c>
      <c r="AO1878" s="123">
        <f>IF(tech_base!$T134&gt;AO$1745,"",(tech_base!$K134/tech_proj!AO258*0.086*$J$132)/(1-tech_proj!AO538))</f>
        <v>0</v>
      </c>
      <c r="AP1878" s="123">
        <f>IF(tech_base!$T134&gt;AP$1745,"",(tech_base!$K134/tech_proj!AP258*0.086*$J$132)/(1-tech_proj!AP538))</f>
        <v>0</v>
      </c>
      <c r="AQ1878" s="123">
        <f>IF(tech_base!$T134&gt;AQ$1745,"",(tech_base!$K134/tech_proj!AQ258*0.086*$J$132)/(1-tech_proj!AQ538))</f>
        <v>0</v>
      </c>
      <c r="AR1878" s="123">
        <f>IF(tech_base!$T134&gt;AR$1745,"",(tech_base!$K134/tech_proj!AR258*0.086*$J$132)/(1-tech_proj!AR538))</f>
        <v>0</v>
      </c>
      <c r="AS1878" s="123">
        <f>IF(tech_base!$T134&gt;AS$1745,"",(tech_base!$K134/tech_proj!AS258*0.086*$J$132)/(1-tech_proj!AS538))</f>
        <v>0</v>
      </c>
      <c r="AT1878" s="123">
        <f>IF(tech_base!$T134&gt;AT$1745,"",(tech_base!$K134/tech_proj!AT258*0.086*$J$132)/(1-tech_proj!AT538))</f>
        <v>0</v>
      </c>
      <c r="AU1878" s="123">
        <f>IF(tech_base!$T134&gt;AU$1745,"",(tech_base!$K134/tech_proj!AU258*0.086*$J$132)/(1-tech_proj!AU538))</f>
        <v>0</v>
      </c>
      <c r="AV1878" s="123">
        <f>IF(tech_base!$T134&gt;AV$1745,"",(tech_base!$K134/tech_proj!AV258*0.086*$J$132)/(1-tech_proj!AV538))</f>
        <v>0</v>
      </c>
      <c r="AW1878" s="123">
        <f>IF(tech_base!$T134&gt;AW$1745,"",(tech_base!$K134/tech_proj!AW258*0.086*$J$132)/(1-tech_proj!AW538))</f>
        <v>0</v>
      </c>
      <c r="AX1878" s="124">
        <f>IF(tech_base!$T134&gt;AX$1745,"",(tech_base!$K134/tech_proj!AX258*0.086*$J$132)/(1-tech_proj!AX538))</f>
        <v>0</v>
      </c>
    </row>
    <row r="1879" spans="1:50" x14ac:dyDescent="0.25">
      <c r="A1879" s="356"/>
      <c r="B1879" s="366"/>
      <c r="C1879" s="378"/>
      <c r="D1879" s="2" t="s">
        <v>8</v>
      </c>
      <c r="E1879" s="160" t="str">
        <f>A1875&amp;"/"&amp;B1875&amp;"/"&amp;C1878&amp;"/"&amp;D1879</f>
        <v>Refinery gas fired power plants/Steam turbine/CHP/M</v>
      </c>
      <c r="F1879" s="76" t="str">
        <f>A1875</f>
        <v>Refinery gas fired power plants</v>
      </c>
      <c r="G1879" s="76" t="str">
        <f>B1875</f>
        <v>Steam turbine</v>
      </c>
      <c r="H1879" s="76" t="str">
        <f>C1878</f>
        <v>CHP</v>
      </c>
      <c r="I1879" s="161" t="str">
        <f t="shared" si="384"/>
        <v>M</v>
      </c>
      <c r="J1879" s="119">
        <f>IF(tech_base!$T135&gt;J$1745,"",(tech_base!$K135/tech_proj!J259*0.086*$J$132)/(1-tech_proj!J539))</f>
        <v>0</v>
      </c>
      <c r="K1879" s="119">
        <f>IF(tech_base!$T135&gt;K$1745,"",(tech_base!$K135/tech_proj!K259*0.086*$J$132)/(1-tech_proj!K539))</f>
        <v>0</v>
      </c>
      <c r="L1879" s="119">
        <f>IF(tech_base!$T135&gt;L$1745,"",(tech_base!$K135/tech_proj!L259*0.086*$J$132)/(1-tech_proj!L539))</f>
        <v>0</v>
      </c>
      <c r="M1879" s="119">
        <f>IF(tech_base!$T135&gt;M$1745,"",(tech_base!$K135/tech_proj!M259*0.086*$J$132)/(1-tech_proj!M539))</f>
        <v>0</v>
      </c>
      <c r="N1879" s="119">
        <f>IF(tech_base!$T135&gt;N$1745,"",(tech_base!$K135/tech_proj!N259*0.086*$J$132)/(1-tech_proj!N539))</f>
        <v>0</v>
      </c>
      <c r="O1879" s="119">
        <f>IF(tech_base!$T135&gt;O$1745,"",(tech_base!$K135/tech_proj!O259*0.086*$J$132)/(1-tech_proj!O539))</f>
        <v>0</v>
      </c>
      <c r="P1879" s="119">
        <f>IF(tech_base!$T135&gt;P$1745,"",(tech_base!$K135/tech_proj!P259*0.086*$J$132)/(1-tech_proj!P539))</f>
        <v>0</v>
      </c>
      <c r="Q1879" s="119">
        <f>IF(tech_base!$T135&gt;Q$1745,"",(tech_base!$K135/tech_proj!Q259*0.086*$J$132)/(1-tech_proj!Q539))</f>
        <v>0</v>
      </c>
      <c r="R1879" s="119">
        <f>IF(tech_base!$T135&gt;R$1745,"",(tech_base!$K135/tech_proj!R259*0.086*$J$132)/(1-tech_proj!R539))</f>
        <v>0</v>
      </c>
      <c r="S1879" s="119">
        <f>IF(tech_base!$T135&gt;S$1745,"",(tech_base!$K135/tech_proj!S259*0.086*$J$132)/(1-tech_proj!S539))</f>
        <v>0</v>
      </c>
      <c r="T1879" s="119">
        <f>IF(tech_base!$T135&gt;T$1745,"",(tech_base!$K135/tech_proj!T259*0.086*$J$132)/(1-tech_proj!T539))</f>
        <v>0</v>
      </c>
      <c r="U1879" s="119">
        <f>IF(tech_base!$T135&gt;U$1745,"",(tech_base!$K135/tech_proj!U259*0.086*$J$132)/(1-tech_proj!U539))</f>
        <v>0</v>
      </c>
      <c r="V1879" s="119">
        <f>IF(tech_base!$T135&gt;V$1745,"",(tech_base!$K135/tech_proj!V259*0.086*$J$132)/(1-tech_proj!V539))</f>
        <v>0</v>
      </c>
      <c r="W1879" s="119">
        <f>IF(tech_base!$T135&gt;W$1745,"",(tech_base!$K135/tech_proj!W259*0.086*$J$132)/(1-tech_proj!W539))</f>
        <v>0</v>
      </c>
      <c r="X1879" s="119">
        <f>IF(tech_base!$T135&gt;X$1745,"",(tech_base!$K135/tech_proj!X259*0.086*$J$132)/(1-tech_proj!X539))</f>
        <v>0</v>
      </c>
      <c r="Y1879" s="119">
        <f>IF(tech_base!$T135&gt;Y$1745,"",(tech_base!$K135/tech_proj!Y259*0.086*$J$132)/(1-tech_proj!Y539))</f>
        <v>0</v>
      </c>
      <c r="Z1879" s="119">
        <f>IF(tech_base!$T135&gt;Z$1745,"",(tech_base!$K135/tech_proj!Z259*0.086*$J$132)/(1-tech_proj!Z539))</f>
        <v>0</v>
      </c>
      <c r="AA1879" s="119">
        <f>IF(tech_base!$T135&gt;AA$1745,"",(tech_base!$K135/tech_proj!AA259*0.086*$J$132)/(1-tech_proj!AA539))</f>
        <v>0</v>
      </c>
      <c r="AB1879" s="119">
        <f>IF(tech_base!$T135&gt;AB$1745,"",(tech_base!$K135/tech_proj!AB259*0.086*$J$132)/(1-tech_proj!AB539))</f>
        <v>0</v>
      </c>
      <c r="AC1879" s="119">
        <f>IF(tech_base!$T135&gt;AC$1745,"",(tech_base!$K135/tech_proj!AC259*0.086*$J$132)/(1-tech_proj!AC539))</f>
        <v>0</v>
      </c>
      <c r="AD1879" s="119">
        <f>IF(tech_base!$T135&gt;AD$1745,"",(tech_base!$K135/tech_proj!AD259*0.086*$J$132)/(1-tech_proj!AD539))</f>
        <v>0</v>
      </c>
      <c r="AE1879" s="119">
        <f>IF(tech_base!$T135&gt;AE$1745,"",(tech_base!$K135/tech_proj!AE259*0.086*$J$132)/(1-tech_proj!AE539))</f>
        <v>0</v>
      </c>
      <c r="AF1879" s="119">
        <f>IF(tech_base!$T135&gt;AF$1745,"",(tech_base!$K135/tech_proj!AF259*0.086*$J$132)/(1-tech_proj!AF539))</f>
        <v>0</v>
      </c>
      <c r="AG1879" s="119">
        <f>IF(tech_base!$T135&gt;AG$1745,"",(tech_base!$K135/tech_proj!AG259*0.086*$J$132)/(1-tech_proj!AG539))</f>
        <v>0</v>
      </c>
      <c r="AH1879" s="119">
        <f>IF(tech_base!$T135&gt;AH$1745,"",(tech_base!$K135/tech_proj!AH259*0.086*$J$132)/(1-tech_proj!AH539))</f>
        <v>0</v>
      </c>
      <c r="AI1879" s="119">
        <f>IF(tech_base!$T135&gt;AI$1745,"",(tech_base!$K135/tech_proj!AI259*0.086*$J$132)/(1-tech_proj!AI539))</f>
        <v>0</v>
      </c>
      <c r="AJ1879" s="119">
        <f>IF(tech_base!$T135&gt;AJ$1745,"",(tech_base!$K135/tech_proj!AJ259*0.086*$J$132)/(1-tech_proj!AJ539))</f>
        <v>0</v>
      </c>
      <c r="AK1879" s="119">
        <f>IF(tech_base!$T135&gt;AK$1745,"",(tech_base!$K135/tech_proj!AK259*0.086*$J$132)/(1-tech_proj!AK539))</f>
        <v>0</v>
      </c>
      <c r="AL1879" s="119">
        <f>IF(tech_base!$T135&gt;AL$1745,"",(tech_base!$K135/tech_proj!AL259*0.086*$J$132)/(1-tech_proj!AL539))</f>
        <v>0</v>
      </c>
      <c r="AM1879" s="119">
        <f>IF(tech_base!$T135&gt;AM$1745,"",(tech_base!$K135/tech_proj!AM259*0.086*$J$132)/(1-tech_proj!AM539))</f>
        <v>0</v>
      </c>
      <c r="AN1879" s="119">
        <f>IF(tech_base!$T135&gt;AN$1745,"",(tech_base!$K135/tech_proj!AN259*0.086*$J$132)/(1-tech_proj!AN539))</f>
        <v>0</v>
      </c>
      <c r="AO1879" s="119">
        <f>IF(tech_base!$T135&gt;AO$1745,"",(tech_base!$K135/tech_proj!AO259*0.086*$J$132)/(1-tech_proj!AO539))</f>
        <v>0</v>
      </c>
      <c r="AP1879" s="119">
        <f>IF(tech_base!$T135&gt;AP$1745,"",(tech_base!$K135/tech_proj!AP259*0.086*$J$132)/(1-tech_proj!AP539))</f>
        <v>0</v>
      </c>
      <c r="AQ1879" s="119">
        <f>IF(tech_base!$T135&gt;AQ$1745,"",(tech_base!$K135/tech_proj!AQ259*0.086*$J$132)/(1-tech_proj!AQ539))</f>
        <v>0</v>
      </c>
      <c r="AR1879" s="119">
        <f>IF(tech_base!$T135&gt;AR$1745,"",(tech_base!$K135/tech_proj!AR259*0.086*$J$132)/(1-tech_proj!AR539))</f>
        <v>0</v>
      </c>
      <c r="AS1879" s="119">
        <f>IF(tech_base!$T135&gt;AS$1745,"",(tech_base!$K135/tech_proj!AS259*0.086*$J$132)/(1-tech_proj!AS539))</f>
        <v>0</v>
      </c>
      <c r="AT1879" s="119">
        <f>IF(tech_base!$T135&gt;AT$1745,"",(tech_base!$K135/tech_proj!AT259*0.086*$J$132)/(1-tech_proj!AT539))</f>
        <v>0</v>
      </c>
      <c r="AU1879" s="119">
        <f>IF(tech_base!$T135&gt;AU$1745,"",(tech_base!$K135/tech_proj!AU259*0.086*$J$132)/(1-tech_proj!AU539))</f>
        <v>0</v>
      </c>
      <c r="AV1879" s="119">
        <f>IF(tech_base!$T135&gt;AV$1745,"",(tech_base!$K135/tech_proj!AV259*0.086*$J$132)/(1-tech_proj!AV539))</f>
        <v>0</v>
      </c>
      <c r="AW1879" s="119">
        <f>IF(tech_base!$T135&gt;AW$1745,"",(tech_base!$K135/tech_proj!AW259*0.086*$J$132)/(1-tech_proj!AW539))</f>
        <v>0</v>
      </c>
      <c r="AX1879" s="120">
        <f>IF(tech_base!$T135&gt;AX$1745,"",(tech_base!$K135/tech_proj!AX259*0.086*$J$132)/(1-tech_proj!AX539))</f>
        <v>0</v>
      </c>
    </row>
    <row r="1880" spans="1:50" x14ac:dyDescent="0.25">
      <c r="A1880" s="356"/>
      <c r="B1880" s="366"/>
      <c r="C1880" s="379"/>
      <c r="D1880" s="59" t="s">
        <v>10</v>
      </c>
      <c r="E1880" s="166" t="str">
        <f>A1875&amp;"/"&amp;B1875&amp;"/"&amp;C1878&amp;"/"&amp;D1880</f>
        <v>Refinery gas fired power plants/Steam turbine/CHP/S</v>
      </c>
      <c r="F1880" s="79" t="str">
        <f>A1875</f>
        <v>Refinery gas fired power plants</v>
      </c>
      <c r="G1880" s="79" t="str">
        <f>B1875</f>
        <v>Steam turbine</v>
      </c>
      <c r="H1880" s="79" t="str">
        <f>C1878</f>
        <v>CHP</v>
      </c>
      <c r="I1880" s="167" t="str">
        <f t="shared" si="384"/>
        <v>S</v>
      </c>
      <c r="J1880" s="125">
        <f>IF(tech_base!$T136&gt;J$1745,"",(tech_base!$K136/tech_proj!J260*0.086*$J$132)/(1-tech_proj!J540))</f>
        <v>0</v>
      </c>
      <c r="K1880" s="125">
        <f>IF(tech_base!$T136&gt;K$1745,"",(tech_base!$K136/tech_proj!K260*0.086*$J$132)/(1-tech_proj!K540))</f>
        <v>0</v>
      </c>
      <c r="L1880" s="125">
        <f>IF(tech_base!$T136&gt;L$1745,"",(tech_base!$K136/tech_proj!L260*0.086*$J$132)/(1-tech_proj!L540))</f>
        <v>0</v>
      </c>
      <c r="M1880" s="125">
        <f>IF(tech_base!$T136&gt;M$1745,"",(tech_base!$K136/tech_proj!M260*0.086*$J$132)/(1-tech_proj!M540))</f>
        <v>0</v>
      </c>
      <c r="N1880" s="125">
        <f>IF(tech_base!$T136&gt;N$1745,"",(tech_base!$K136/tech_proj!N260*0.086*$J$132)/(1-tech_proj!N540))</f>
        <v>0</v>
      </c>
      <c r="O1880" s="125">
        <f>IF(tech_base!$T136&gt;O$1745,"",(tech_base!$K136/tech_proj!O260*0.086*$J$132)/(1-tech_proj!O540))</f>
        <v>0</v>
      </c>
      <c r="P1880" s="125">
        <f>IF(tech_base!$T136&gt;P$1745,"",(tech_base!$K136/tech_proj!P260*0.086*$J$132)/(1-tech_proj!P540))</f>
        <v>0</v>
      </c>
      <c r="Q1880" s="125">
        <f>IF(tech_base!$T136&gt;Q$1745,"",(tech_base!$K136/tech_proj!Q260*0.086*$J$132)/(1-tech_proj!Q540))</f>
        <v>0</v>
      </c>
      <c r="R1880" s="125">
        <f>IF(tech_base!$T136&gt;R$1745,"",(tech_base!$K136/tech_proj!R260*0.086*$J$132)/(1-tech_proj!R540))</f>
        <v>0</v>
      </c>
      <c r="S1880" s="125">
        <f>IF(tech_base!$T136&gt;S$1745,"",(tech_base!$K136/tech_proj!S260*0.086*$J$132)/(1-tech_proj!S540))</f>
        <v>0</v>
      </c>
      <c r="T1880" s="125">
        <f>IF(tech_base!$T136&gt;T$1745,"",(tech_base!$K136/tech_proj!T260*0.086*$J$132)/(1-tech_proj!T540))</f>
        <v>0</v>
      </c>
      <c r="U1880" s="125">
        <f>IF(tech_base!$T136&gt;U$1745,"",(tech_base!$K136/tech_proj!U260*0.086*$J$132)/(1-tech_proj!U540))</f>
        <v>0</v>
      </c>
      <c r="V1880" s="125">
        <f>IF(tech_base!$T136&gt;V$1745,"",(tech_base!$K136/tech_proj!V260*0.086*$J$132)/(1-tech_proj!V540))</f>
        <v>0</v>
      </c>
      <c r="W1880" s="125">
        <f>IF(tech_base!$T136&gt;W$1745,"",(tech_base!$K136/tech_proj!W260*0.086*$J$132)/(1-tech_proj!W540))</f>
        <v>0</v>
      </c>
      <c r="X1880" s="125">
        <f>IF(tech_base!$T136&gt;X$1745,"",(tech_base!$K136/tech_proj!X260*0.086*$J$132)/(1-tech_proj!X540))</f>
        <v>0</v>
      </c>
      <c r="Y1880" s="125">
        <f>IF(tech_base!$T136&gt;Y$1745,"",(tech_base!$K136/tech_proj!Y260*0.086*$J$132)/(1-tech_proj!Y540))</f>
        <v>0</v>
      </c>
      <c r="Z1880" s="125">
        <f>IF(tech_base!$T136&gt;Z$1745,"",(tech_base!$K136/tech_proj!Z260*0.086*$J$132)/(1-tech_proj!Z540))</f>
        <v>0</v>
      </c>
      <c r="AA1880" s="125">
        <f>IF(tech_base!$T136&gt;AA$1745,"",(tech_base!$K136/tech_proj!AA260*0.086*$J$132)/(1-tech_proj!AA540))</f>
        <v>0</v>
      </c>
      <c r="AB1880" s="125">
        <f>IF(tech_base!$T136&gt;AB$1745,"",(tech_base!$K136/tech_proj!AB260*0.086*$J$132)/(1-tech_proj!AB540))</f>
        <v>0</v>
      </c>
      <c r="AC1880" s="125">
        <f>IF(tech_base!$T136&gt;AC$1745,"",(tech_base!$K136/tech_proj!AC260*0.086*$J$132)/(1-tech_proj!AC540))</f>
        <v>0</v>
      </c>
      <c r="AD1880" s="125">
        <f>IF(tech_base!$T136&gt;AD$1745,"",(tech_base!$K136/tech_proj!AD260*0.086*$J$132)/(1-tech_proj!AD540))</f>
        <v>0</v>
      </c>
      <c r="AE1880" s="125">
        <f>IF(tech_base!$T136&gt;AE$1745,"",(tech_base!$K136/tech_proj!AE260*0.086*$J$132)/(1-tech_proj!AE540))</f>
        <v>0</v>
      </c>
      <c r="AF1880" s="125">
        <f>IF(tech_base!$T136&gt;AF$1745,"",(tech_base!$K136/tech_proj!AF260*0.086*$J$132)/(1-tech_proj!AF540))</f>
        <v>0</v>
      </c>
      <c r="AG1880" s="125">
        <f>IF(tech_base!$T136&gt;AG$1745,"",(tech_base!$K136/tech_proj!AG260*0.086*$J$132)/(1-tech_proj!AG540))</f>
        <v>0</v>
      </c>
      <c r="AH1880" s="125">
        <f>IF(tech_base!$T136&gt;AH$1745,"",(tech_base!$K136/tech_proj!AH260*0.086*$J$132)/(1-tech_proj!AH540))</f>
        <v>0</v>
      </c>
      <c r="AI1880" s="125">
        <f>IF(tech_base!$T136&gt;AI$1745,"",(tech_base!$K136/tech_proj!AI260*0.086*$J$132)/(1-tech_proj!AI540))</f>
        <v>0</v>
      </c>
      <c r="AJ1880" s="125">
        <f>IF(tech_base!$T136&gt;AJ$1745,"",(tech_base!$K136/tech_proj!AJ260*0.086*$J$132)/(1-tech_proj!AJ540))</f>
        <v>0</v>
      </c>
      <c r="AK1880" s="125">
        <f>IF(tech_base!$T136&gt;AK$1745,"",(tech_base!$K136/tech_proj!AK260*0.086*$J$132)/(1-tech_proj!AK540))</f>
        <v>0</v>
      </c>
      <c r="AL1880" s="125">
        <f>IF(tech_base!$T136&gt;AL$1745,"",(tech_base!$K136/tech_proj!AL260*0.086*$J$132)/(1-tech_proj!AL540))</f>
        <v>0</v>
      </c>
      <c r="AM1880" s="125">
        <f>IF(tech_base!$T136&gt;AM$1745,"",(tech_base!$K136/tech_proj!AM260*0.086*$J$132)/(1-tech_proj!AM540))</f>
        <v>0</v>
      </c>
      <c r="AN1880" s="125">
        <f>IF(tech_base!$T136&gt;AN$1745,"",(tech_base!$K136/tech_proj!AN260*0.086*$J$132)/(1-tech_proj!AN540))</f>
        <v>0</v>
      </c>
      <c r="AO1880" s="125">
        <f>IF(tech_base!$T136&gt;AO$1745,"",(tech_base!$K136/tech_proj!AO260*0.086*$J$132)/(1-tech_proj!AO540))</f>
        <v>0</v>
      </c>
      <c r="AP1880" s="125">
        <f>IF(tech_base!$T136&gt;AP$1745,"",(tech_base!$K136/tech_proj!AP260*0.086*$J$132)/(1-tech_proj!AP540))</f>
        <v>0</v>
      </c>
      <c r="AQ1880" s="125">
        <f>IF(tech_base!$T136&gt;AQ$1745,"",(tech_base!$K136/tech_proj!AQ260*0.086*$J$132)/(1-tech_proj!AQ540))</f>
        <v>0</v>
      </c>
      <c r="AR1880" s="125">
        <f>IF(tech_base!$T136&gt;AR$1745,"",(tech_base!$K136/tech_proj!AR260*0.086*$J$132)/(1-tech_proj!AR540))</f>
        <v>0</v>
      </c>
      <c r="AS1880" s="125">
        <f>IF(tech_base!$T136&gt;AS$1745,"",(tech_base!$K136/tech_proj!AS260*0.086*$J$132)/(1-tech_proj!AS540))</f>
        <v>0</v>
      </c>
      <c r="AT1880" s="125">
        <f>IF(tech_base!$T136&gt;AT$1745,"",(tech_base!$K136/tech_proj!AT260*0.086*$J$132)/(1-tech_proj!AT540))</f>
        <v>0</v>
      </c>
      <c r="AU1880" s="125">
        <f>IF(tech_base!$T136&gt;AU$1745,"",(tech_base!$K136/tech_proj!AU260*0.086*$J$132)/(1-tech_proj!AU540))</f>
        <v>0</v>
      </c>
      <c r="AV1880" s="125">
        <f>IF(tech_base!$T136&gt;AV$1745,"",(tech_base!$K136/tech_proj!AV260*0.086*$J$132)/(1-tech_proj!AV540))</f>
        <v>0</v>
      </c>
      <c r="AW1880" s="125">
        <f>IF(tech_base!$T136&gt;AW$1745,"",(tech_base!$K136/tech_proj!AW260*0.086*$J$132)/(1-tech_proj!AW540))</f>
        <v>0</v>
      </c>
      <c r="AX1880" s="126">
        <f>IF(tech_base!$T136&gt;AX$1745,"",(tech_base!$K136/tech_proj!AX260*0.086*$J$132)/(1-tech_proj!AX540))</f>
        <v>0</v>
      </c>
    </row>
    <row r="1881" spans="1:50" x14ac:dyDescent="0.25">
      <c r="A1881" s="356"/>
      <c r="B1881" s="366"/>
      <c r="C1881" s="361" t="s">
        <v>15</v>
      </c>
      <c r="D1881" s="58" t="s">
        <v>7</v>
      </c>
      <c r="E1881" s="164" t="str">
        <f>A1875&amp;"/"&amp;B1875&amp;"/"&amp;C1881&amp;"/"&amp;D1881</f>
        <v>Refinery gas fired power plants/Steam turbine/Electricity only with CCS/L</v>
      </c>
      <c r="F1881" s="78" t="str">
        <f>A1875</f>
        <v>Refinery gas fired power plants</v>
      </c>
      <c r="G1881" s="78" t="str">
        <f>B1875</f>
        <v>Steam turbine</v>
      </c>
      <c r="H1881" s="78" t="str">
        <f>C1881</f>
        <v>Electricity only with CCS</v>
      </c>
      <c r="I1881" s="165" t="str">
        <f t="shared" si="384"/>
        <v>L</v>
      </c>
      <c r="J1881" s="123" t="str">
        <f>IF(tech_base!$T137&gt;J$1745,"",(tech_base!$K137/tech_proj!J261*0.086*$J$132)/(1-tech_proj!J541))</f>
        <v/>
      </c>
      <c r="K1881" s="123" t="str">
        <f>IF(tech_base!$T137&gt;K$1745,"",(tech_base!$K137/tech_proj!K261*0.086*$J$132)/(1-tech_proj!K541))</f>
        <v/>
      </c>
      <c r="L1881" s="123" t="str">
        <f>IF(tech_base!$T137&gt;L$1745,"",(tech_base!$K137/tech_proj!L261*0.086*$J$132)/(1-tech_proj!L541))</f>
        <v/>
      </c>
      <c r="M1881" s="123" t="str">
        <f>IF(tech_base!$T137&gt;M$1745,"",(tech_base!$K137/tech_proj!M261*0.086*$J$132)/(1-tech_proj!M541))</f>
        <v/>
      </c>
      <c r="N1881" s="123" t="str">
        <f>IF(tech_base!$T137&gt;N$1745,"",(tech_base!$K137/tech_proj!N261*0.086*$J$132)/(1-tech_proj!N541))</f>
        <v/>
      </c>
      <c r="O1881" s="123" t="str">
        <f>IF(tech_base!$T137&gt;O$1745,"",(tech_base!$K137/tech_proj!O261*0.086*$J$132)/(1-tech_proj!O541))</f>
        <v/>
      </c>
      <c r="P1881" s="123" t="str">
        <f>IF(tech_base!$T137&gt;P$1745,"",(tech_base!$K137/tech_proj!P261*0.086*$J$132)/(1-tech_proj!P541))</f>
        <v/>
      </c>
      <c r="Q1881" s="123" t="str">
        <f>IF(tech_base!$T137&gt;Q$1745,"",(tech_base!$K137/tech_proj!Q261*0.086*$J$132)/(1-tech_proj!Q541))</f>
        <v/>
      </c>
      <c r="R1881" s="123" t="str">
        <f>IF(tech_base!$T137&gt;R$1745,"",(tech_base!$K137/tech_proj!R261*0.086*$J$132)/(1-tech_proj!R541))</f>
        <v/>
      </c>
      <c r="S1881" s="123" t="str">
        <f>IF(tech_base!$T137&gt;S$1745,"",(tech_base!$K137/tech_proj!S261*0.086*$J$132)/(1-tech_proj!S541))</f>
        <v/>
      </c>
      <c r="T1881" s="123" t="str">
        <f>IF(tech_base!$T137&gt;T$1745,"",(tech_base!$K137/tech_proj!T261*0.086*$J$132)/(1-tech_proj!T541))</f>
        <v/>
      </c>
      <c r="U1881" s="123" t="str">
        <f>IF(tech_base!$T137&gt;U$1745,"",(tech_base!$K137/tech_proj!U261*0.086*$J$132)/(1-tech_proj!U541))</f>
        <v/>
      </c>
      <c r="V1881" s="123" t="str">
        <f>IF(tech_base!$T137&gt;V$1745,"",(tech_base!$K137/tech_proj!V261*0.086*$J$132)/(1-tech_proj!V541))</f>
        <v/>
      </c>
      <c r="W1881" s="123" t="str">
        <f>IF(tech_base!$T137&gt;W$1745,"",(tech_base!$K137/tech_proj!W261*0.086*$J$132)/(1-tech_proj!W541))</f>
        <v/>
      </c>
      <c r="X1881" s="123" t="str">
        <f>IF(tech_base!$T137&gt;X$1745,"",(tech_base!$K137/tech_proj!X261*0.086*$J$132)/(1-tech_proj!X541))</f>
        <v/>
      </c>
      <c r="Y1881" s="123" t="str">
        <f>IF(tech_base!$T137&gt;Y$1745,"",(tech_base!$K137/tech_proj!Y261*0.086*$J$132)/(1-tech_proj!Y541))</f>
        <v/>
      </c>
      <c r="Z1881" s="123" t="str">
        <f>IF(tech_base!$T137&gt;Z$1745,"",(tech_base!$K137/tech_proj!Z261*0.086*$J$132)/(1-tech_proj!Z541))</f>
        <v/>
      </c>
      <c r="AA1881" s="123" t="str">
        <f>IF(tech_base!$T137&gt;AA$1745,"",(tech_base!$K137/tech_proj!AA261*0.086*$J$132)/(1-tech_proj!AA541))</f>
        <v/>
      </c>
      <c r="AB1881" s="123" t="str">
        <f>IF(tech_base!$T137&gt;AB$1745,"",(tech_base!$K137/tech_proj!AB261*0.086*$J$132)/(1-tech_proj!AB541))</f>
        <v/>
      </c>
      <c r="AC1881" s="123" t="str">
        <f>IF(tech_base!$T137&gt;AC$1745,"",(tech_base!$K137/tech_proj!AC261*0.086*$J$132)/(1-tech_proj!AC541))</f>
        <v/>
      </c>
      <c r="AD1881" s="123" t="str">
        <f>IF(tech_base!$T137&gt;AD$1745,"",(tech_base!$K137/tech_proj!AD261*0.086*$J$132)/(1-tech_proj!AD541))</f>
        <v/>
      </c>
      <c r="AE1881" s="123">
        <f>IF(tech_base!$T137&gt;AE$1745,"",(tech_base!$K137/tech_proj!AE261*0.086*$J$132)/(1-tech_proj!AE541))</f>
        <v>8.2939574673148861</v>
      </c>
      <c r="AF1881" s="123">
        <f>IF(tech_base!$T137&gt;AF$1745,"",(tech_base!$K137/tech_proj!AF261*0.086*$J$132)/(1-tech_proj!AF541))</f>
        <v>8.2939574673148861</v>
      </c>
      <c r="AG1881" s="123">
        <f>IF(tech_base!$T137&gt;AG$1745,"",(tech_base!$K137/tech_proj!AG261*0.086*$J$132)/(1-tech_proj!AG541))</f>
        <v>8.2939574673148861</v>
      </c>
      <c r="AH1881" s="123">
        <f>IF(tech_base!$T137&gt;AH$1745,"",(tech_base!$K137/tech_proj!AH261*0.086*$J$132)/(1-tech_proj!AH541))</f>
        <v>8.2939574673148861</v>
      </c>
      <c r="AI1881" s="123">
        <f>IF(tech_base!$T137&gt;AI$1745,"",(tech_base!$K137/tech_proj!AI261*0.086*$J$132)/(1-tech_proj!AI541))</f>
        <v>8.2939574673148861</v>
      </c>
      <c r="AJ1881" s="123">
        <f>IF(tech_base!$T137&gt;AJ$1745,"",(tech_base!$K137/tech_proj!AJ261*0.086*$J$132)/(1-tech_proj!AJ541))</f>
        <v>8.2939574673148861</v>
      </c>
      <c r="AK1881" s="123">
        <f>IF(tech_base!$T137&gt;AK$1745,"",(tech_base!$K137/tech_proj!AK261*0.086*$J$132)/(1-tech_proj!AK541))</f>
        <v>8.2939574673148861</v>
      </c>
      <c r="AL1881" s="123">
        <f>IF(tech_base!$T137&gt;AL$1745,"",(tech_base!$K137/tech_proj!AL261*0.086*$J$132)/(1-tech_proj!AL541))</f>
        <v>8.2939574673148861</v>
      </c>
      <c r="AM1881" s="123">
        <f>IF(tech_base!$T137&gt;AM$1745,"",(tech_base!$K137/tech_proj!AM261*0.086*$J$132)/(1-tech_proj!AM541))</f>
        <v>8.2939574673148861</v>
      </c>
      <c r="AN1881" s="123">
        <f>IF(tech_base!$T137&gt;AN$1745,"",(tech_base!$K137/tech_proj!AN261*0.086*$J$132)/(1-tech_proj!AN541))</f>
        <v>8.2939574673148861</v>
      </c>
      <c r="AO1881" s="123">
        <f>IF(tech_base!$T137&gt;AO$1745,"",(tech_base!$K137/tech_proj!AO261*0.086*$J$132)/(1-tech_proj!AO541))</f>
        <v>8.2939574673148861</v>
      </c>
      <c r="AP1881" s="123">
        <f>IF(tech_base!$T137&gt;AP$1745,"",(tech_base!$K137/tech_proj!AP261*0.086*$J$132)/(1-tech_proj!AP541))</f>
        <v>8.2939574673148861</v>
      </c>
      <c r="AQ1881" s="123">
        <f>IF(tech_base!$T137&gt;AQ$1745,"",(tech_base!$K137/tech_proj!AQ261*0.086*$J$132)/(1-tech_proj!AQ541))</f>
        <v>8.2939574673148861</v>
      </c>
      <c r="AR1881" s="123">
        <f>IF(tech_base!$T137&gt;AR$1745,"",(tech_base!$K137/tech_proj!AR261*0.086*$J$132)/(1-tech_proj!AR541))</f>
        <v>8.2939574673148861</v>
      </c>
      <c r="AS1881" s="123">
        <f>IF(tech_base!$T137&gt;AS$1745,"",(tech_base!$K137/tech_proj!AS261*0.086*$J$132)/(1-tech_proj!AS541))</f>
        <v>8.2939574673148861</v>
      </c>
      <c r="AT1881" s="123">
        <f>IF(tech_base!$T137&gt;AT$1745,"",(tech_base!$K137/tech_proj!AT261*0.086*$J$132)/(1-tech_proj!AT541))</f>
        <v>8.2939574673148861</v>
      </c>
      <c r="AU1881" s="123">
        <f>IF(tech_base!$T137&gt;AU$1745,"",(tech_base!$K137/tech_proj!AU261*0.086*$J$132)/(1-tech_proj!AU541))</f>
        <v>8.2939574673148861</v>
      </c>
      <c r="AV1881" s="123">
        <f>IF(tech_base!$T137&gt;AV$1745,"",(tech_base!$K137/tech_proj!AV261*0.086*$J$132)/(1-tech_proj!AV541))</f>
        <v>8.2939574673148861</v>
      </c>
      <c r="AW1881" s="123">
        <f>IF(tech_base!$T137&gt;AW$1745,"",(tech_base!$K137/tech_proj!AW261*0.086*$J$132)/(1-tech_proj!AW541))</f>
        <v>8.2939574673148861</v>
      </c>
      <c r="AX1881" s="124">
        <f>IF(tech_base!$T137&gt;AX$1745,"",(tech_base!$K137/tech_proj!AX261*0.086*$J$132)/(1-tech_proj!AX541))</f>
        <v>8.2939574673148861</v>
      </c>
    </row>
    <row r="1882" spans="1:50" x14ac:dyDescent="0.25">
      <c r="A1882" s="356"/>
      <c r="B1882" s="366"/>
      <c r="C1882" s="379"/>
      <c r="D1882" s="59" t="s">
        <v>8</v>
      </c>
      <c r="E1882" s="166" t="str">
        <f>A1875&amp;"/"&amp;B1875&amp;"/"&amp;C1881&amp;"/"&amp;D1882</f>
        <v>Refinery gas fired power plants/Steam turbine/Electricity only with CCS/M</v>
      </c>
      <c r="F1882" s="79" t="str">
        <f>A1875</f>
        <v>Refinery gas fired power plants</v>
      </c>
      <c r="G1882" s="79" t="str">
        <f>B1875</f>
        <v>Steam turbine</v>
      </c>
      <c r="H1882" s="79" t="str">
        <f>C1881</f>
        <v>Electricity only with CCS</v>
      </c>
      <c r="I1882" s="167" t="str">
        <f t="shared" si="384"/>
        <v>M</v>
      </c>
      <c r="J1882" s="125" t="str">
        <f>IF(tech_base!$T138&gt;J$1745,"",(tech_base!$K138/tech_proj!J262*0.086*$J$132)/(1-tech_proj!J542))</f>
        <v/>
      </c>
      <c r="K1882" s="125" t="str">
        <f>IF(tech_base!$T138&gt;K$1745,"",(tech_base!$K138/tech_proj!K262*0.086*$J$132)/(1-tech_proj!K542))</f>
        <v/>
      </c>
      <c r="L1882" s="125" t="str">
        <f>IF(tech_base!$T138&gt;L$1745,"",(tech_base!$K138/tech_proj!L262*0.086*$J$132)/(1-tech_proj!L542))</f>
        <v/>
      </c>
      <c r="M1882" s="125" t="str">
        <f>IF(tech_base!$T138&gt;M$1745,"",(tech_base!$K138/tech_proj!M262*0.086*$J$132)/(1-tech_proj!M542))</f>
        <v/>
      </c>
      <c r="N1882" s="125" t="str">
        <f>IF(tech_base!$T138&gt;N$1745,"",(tech_base!$K138/tech_proj!N262*0.086*$J$132)/(1-tech_proj!N542))</f>
        <v/>
      </c>
      <c r="O1882" s="125" t="str">
        <f>IF(tech_base!$T138&gt;O$1745,"",(tech_base!$K138/tech_proj!O262*0.086*$J$132)/(1-tech_proj!O542))</f>
        <v/>
      </c>
      <c r="P1882" s="125" t="str">
        <f>IF(tech_base!$T138&gt;P$1745,"",(tech_base!$K138/tech_proj!P262*0.086*$J$132)/(1-tech_proj!P542))</f>
        <v/>
      </c>
      <c r="Q1882" s="125" t="str">
        <f>IF(tech_base!$T138&gt;Q$1745,"",(tech_base!$K138/tech_proj!Q262*0.086*$J$132)/(1-tech_proj!Q542))</f>
        <v/>
      </c>
      <c r="R1882" s="125" t="str">
        <f>IF(tech_base!$T138&gt;R$1745,"",(tech_base!$K138/tech_proj!R262*0.086*$J$132)/(1-tech_proj!R542))</f>
        <v/>
      </c>
      <c r="S1882" s="125" t="str">
        <f>IF(tech_base!$T138&gt;S$1745,"",(tech_base!$K138/tech_proj!S262*0.086*$J$132)/(1-tech_proj!S542))</f>
        <v/>
      </c>
      <c r="T1882" s="125" t="str">
        <f>IF(tech_base!$T138&gt;T$1745,"",(tech_base!$K138/tech_proj!T262*0.086*$J$132)/(1-tech_proj!T542))</f>
        <v/>
      </c>
      <c r="U1882" s="125" t="str">
        <f>IF(tech_base!$T138&gt;U$1745,"",(tech_base!$K138/tech_proj!U262*0.086*$J$132)/(1-tech_proj!U542))</f>
        <v/>
      </c>
      <c r="V1882" s="125" t="str">
        <f>IF(tech_base!$T138&gt;V$1745,"",(tech_base!$K138/tech_proj!V262*0.086*$J$132)/(1-tech_proj!V542))</f>
        <v/>
      </c>
      <c r="W1882" s="125" t="str">
        <f>IF(tech_base!$T138&gt;W$1745,"",(tech_base!$K138/tech_proj!W262*0.086*$J$132)/(1-tech_proj!W542))</f>
        <v/>
      </c>
      <c r="X1882" s="125" t="str">
        <f>IF(tech_base!$T138&gt;X$1745,"",(tech_base!$K138/tech_proj!X262*0.086*$J$132)/(1-tech_proj!X542))</f>
        <v/>
      </c>
      <c r="Y1882" s="125" t="str">
        <f>IF(tech_base!$T138&gt;Y$1745,"",(tech_base!$K138/tech_proj!Y262*0.086*$J$132)/(1-tech_proj!Y542))</f>
        <v/>
      </c>
      <c r="Z1882" s="125" t="str">
        <f>IF(tech_base!$T138&gt;Z$1745,"",(tech_base!$K138/tech_proj!Z262*0.086*$J$132)/(1-tech_proj!Z542))</f>
        <v/>
      </c>
      <c r="AA1882" s="125" t="str">
        <f>IF(tech_base!$T138&gt;AA$1745,"",(tech_base!$K138/tech_proj!AA262*0.086*$J$132)/(1-tech_proj!AA542))</f>
        <v/>
      </c>
      <c r="AB1882" s="125" t="str">
        <f>IF(tech_base!$T138&gt;AB$1745,"",(tech_base!$K138/tech_proj!AB262*0.086*$J$132)/(1-tech_proj!AB542))</f>
        <v/>
      </c>
      <c r="AC1882" s="125" t="str">
        <f>IF(tech_base!$T138&gt;AC$1745,"",(tech_base!$K138/tech_proj!AC262*0.086*$J$132)/(1-tech_proj!AC542))</f>
        <v/>
      </c>
      <c r="AD1882" s="125" t="str">
        <f>IF(tech_base!$T138&gt;AD$1745,"",(tech_base!$K138/tech_proj!AD262*0.086*$J$132)/(1-tech_proj!AD542))</f>
        <v/>
      </c>
      <c r="AE1882" s="125">
        <f>IF(tech_base!$T138&gt;AE$1745,"",(tech_base!$K138/tech_proj!AE262*0.086*$J$132)/(1-tech_proj!AE542))</f>
        <v>8.8540666984482392</v>
      </c>
      <c r="AF1882" s="125">
        <f>IF(tech_base!$T138&gt;AF$1745,"",(tech_base!$K138/tech_proj!AF262*0.086*$J$132)/(1-tech_proj!AF542))</f>
        <v>8.8540666984482392</v>
      </c>
      <c r="AG1882" s="125">
        <f>IF(tech_base!$T138&gt;AG$1745,"",(tech_base!$K138/tech_proj!AG262*0.086*$J$132)/(1-tech_proj!AG542))</f>
        <v>8.8540666984482392</v>
      </c>
      <c r="AH1882" s="125">
        <f>IF(tech_base!$T138&gt;AH$1745,"",(tech_base!$K138/tech_proj!AH262*0.086*$J$132)/(1-tech_proj!AH542))</f>
        <v>8.8540666984482392</v>
      </c>
      <c r="AI1882" s="125">
        <f>IF(tech_base!$T138&gt;AI$1745,"",(tech_base!$K138/tech_proj!AI262*0.086*$J$132)/(1-tech_proj!AI542))</f>
        <v>8.8540666984482392</v>
      </c>
      <c r="AJ1882" s="125">
        <f>IF(tech_base!$T138&gt;AJ$1745,"",(tech_base!$K138/tech_proj!AJ262*0.086*$J$132)/(1-tech_proj!AJ542))</f>
        <v>8.8540666984482392</v>
      </c>
      <c r="AK1882" s="125">
        <f>IF(tech_base!$T138&gt;AK$1745,"",(tech_base!$K138/tech_proj!AK262*0.086*$J$132)/(1-tech_proj!AK542))</f>
        <v>8.8540666984482392</v>
      </c>
      <c r="AL1882" s="125">
        <f>IF(tech_base!$T138&gt;AL$1745,"",(tech_base!$K138/tech_proj!AL262*0.086*$J$132)/(1-tech_proj!AL542))</f>
        <v>8.8540666984482392</v>
      </c>
      <c r="AM1882" s="125">
        <f>IF(tech_base!$T138&gt;AM$1745,"",(tech_base!$K138/tech_proj!AM262*0.086*$J$132)/(1-tech_proj!AM542))</f>
        <v>8.8540666984482392</v>
      </c>
      <c r="AN1882" s="125">
        <f>IF(tech_base!$T138&gt;AN$1745,"",(tech_base!$K138/tech_proj!AN262*0.086*$J$132)/(1-tech_proj!AN542))</f>
        <v>8.8540666984482392</v>
      </c>
      <c r="AO1882" s="125">
        <f>IF(tech_base!$T138&gt;AO$1745,"",(tech_base!$K138/tech_proj!AO262*0.086*$J$132)/(1-tech_proj!AO542))</f>
        <v>8.8540666984482392</v>
      </c>
      <c r="AP1882" s="125">
        <f>IF(tech_base!$T138&gt;AP$1745,"",(tech_base!$K138/tech_proj!AP262*0.086*$J$132)/(1-tech_proj!AP542))</f>
        <v>8.8540666984482392</v>
      </c>
      <c r="AQ1882" s="125">
        <f>IF(tech_base!$T138&gt;AQ$1745,"",(tech_base!$K138/tech_proj!AQ262*0.086*$J$132)/(1-tech_proj!AQ542))</f>
        <v>8.8540666984482392</v>
      </c>
      <c r="AR1882" s="125">
        <f>IF(tech_base!$T138&gt;AR$1745,"",(tech_base!$K138/tech_proj!AR262*0.086*$J$132)/(1-tech_proj!AR542))</f>
        <v>8.8540666984482392</v>
      </c>
      <c r="AS1882" s="125">
        <f>IF(tech_base!$T138&gt;AS$1745,"",(tech_base!$K138/tech_proj!AS262*0.086*$J$132)/(1-tech_proj!AS542))</f>
        <v>8.8540666984482392</v>
      </c>
      <c r="AT1882" s="125">
        <f>IF(tech_base!$T138&gt;AT$1745,"",(tech_base!$K138/tech_proj!AT262*0.086*$J$132)/(1-tech_proj!AT542))</f>
        <v>8.8540666984482392</v>
      </c>
      <c r="AU1882" s="125">
        <f>IF(tech_base!$T138&gt;AU$1745,"",(tech_base!$K138/tech_proj!AU262*0.086*$J$132)/(1-tech_proj!AU542))</f>
        <v>8.8540666984482392</v>
      </c>
      <c r="AV1882" s="125">
        <f>IF(tech_base!$T138&gt;AV$1745,"",(tech_base!$K138/tech_proj!AV262*0.086*$J$132)/(1-tech_proj!AV542))</f>
        <v>8.8540666984482392</v>
      </c>
      <c r="AW1882" s="125">
        <f>IF(tech_base!$T138&gt;AW$1745,"",(tech_base!$K138/tech_proj!AW262*0.086*$J$132)/(1-tech_proj!AW542))</f>
        <v>8.8540666984482392</v>
      </c>
      <c r="AX1882" s="126">
        <f>IF(tech_base!$T138&gt;AX$1745,"",(tech_base!$K138/tech_proj!AX262*0.086*$J$132)/(1-tech_proj!AX542))</f>
        <v>8.8540666984482392</v>
      </c>
    </row>
    <row r="1883" spans="1:50" x14ac:dyDescent="0.25">
      <c r="A1883" s="356"/>
      <c r="B1883" s="366"/>
      <c r="C1883" s="361" t="s">
        <v>16</v>
      </c>
      <c r="D1883" s="2" t="s">
        <v>7</v>
      </c>
      <c r="E1883" s="160" t="str">
        <f>A1875&amp;"/"&amp;B1875&amp;"/"&amp;C1883&amp;"/"&amp;D1883</f>
        <v>Refinery gas fired power plants/Steam turbine/CHP with CCS/L</v>
      </c>
      <c r="F1883" s="76" t="str">
        <f>A1875</f>
        <v>Refinery gas fired power plants</v>
      </c>
      <c r="G1883" s="76" t="str">
        <f>B1875</f>
        <v>Steam turbine</v>
      </c>
      <c r="H1883" s="76" t="str">
        <f>C1883</f>
        <v>CHP with CCS</v>
      </c>
      <c r="I1883" s="161" t="str">
        <f t="shared" si="384"/>
        <v>L</v>
      </c>
      <c r="J1883" s="119" t="str">
        <f>IF(tech_base!$T139&gt;J$1745,"",(tech_base!$K139/tech_proj!J263*0.086*$J$132)/(1-tech_proj!J543))</f>
        <v/>
      </c>
      <c r="K1883" s="119" t="str">
        <f>IF(tech_base!$T139&gt;K$1745,"",(tech_base!$K139/tech_proj!K263*0.086*$J$132)/(1-tech_proj!K543))</f>
        <v/>
      </c>
      <c r="L1883" s="119" t="str">
        <f>IF(tech_base!$T139&gt;L$1745,"",(tech_base!$K139/tech_proj!L263*0.086*$J$132)/(1-tech_proj!L543))</f>
        <v/>
      </c>
      <c r="M1883" s="119" t="str">
        <f>IF(tech_base!$T139&gt;M$1745,"",(tech_base!$K139/tech_proj!M263*0.086*$J$132)/(1-tech_proj!M543))</f>
        <v/>
      </c>
      <c r="N1883" s="119" t="str">
        <f>IF(tech_base!$T139&gt;N$1745,"",(tech_base!$K139/tech_proj!N263*0.086*$J$132)/(1-tech_proj!N543))</f>
        <v/>
      </c>
      <c r="O1883" s="119" t="str">
        <f>IF(tech_base!$T139&gt;O$1745,"",(tech_base!$K139/tech_proj!O263*0.086*$J$132)/(1-tech_proj!O543))</f>
        <v/>
      </c>
      <c r="P1883" s="119" t="str">
        <f>IF(tech_base!$T139&gt;P$1745,"",(tech_base!$K139/tech_proj!P263*0.086*$J$132)/(1-tech_proj!P543))</f>
        <v/>
      </c>
      <c r="Q1883" s="119" t="str">
        <f>IF(tech_base!$T139&gt;Q$1745,"",(tech_base!$K139/tech_proj!Q263*0.086*$J$132)/(1-tech_proj!Q543))</f>
        <v/>
      </c>
      <c r="R1883" s="119" t="str">
        <f>IF(tech_base!$T139&gt;R$1745,"",(tech_base!$K139/tech_proj!R263*0.086*$J$132)/(1-tech_proj!R543))</f>
        <v/>
      </c>
      <c r="S1883" s="119" t="str">
        <f>IF(tech_base!$T139&gt;S$1745,"",(tech_base!$K139/tech_proj!S263*0.086*$J$132)/(1-tech_proj!S543))</f>
        <v/>
      </c>
      <c r="T1883" s="119" t="str">
        <f>IF(tech_base!$T139&gt;T$1745,"",(tech_base!$K139/tech_proj!T263*0.086*$J$132)/(1-tech_proj!T543))</f>
        <v/>
      </c>
      <c r="U1883" s="119" t="str">
        <f>IF(tech_base!$T139&gt;U$1745,"",(tech_base!$K139/tech_proj!U263*0.086*$J$132)/(1-tech_proj!U543))</f>
        <v/>
      </c>
      <c r="V1883" s="119" t="str">
        <f>IF(tech_base!$T139&gt;V$1745,"",(tech_base!$K139/tech_proj!V263*0.086*$J$132)/(1-tech_proj!V543))</f>
        <v/>
      </c>
      <c r="W1883" s="119" t="str">
        <f>IF(tech_base!$T139&gt;W$1745,"",(tech_base!$K139/tech_proj!W263*0.086*$J$132)/(1-tech_proj!W543))</f>
        <v/>
      </c>
      <c r="X1883" s="119" t="str">
        <f>IF(tech_base!$T139&gt;X$1745,"",(tech_base!$K139/tech_proj!X263*0.086*$J$132)/(1-tech_proj!X543))</f>
        <v/>
      </c>
      <c r="Y1883" s="119" t="str">
        <f>IF(tech_base!$T139&gt;Y$1745,"",(tech_base!$K139/tech_proj!Y263*0.086*$J$132)/(1-tech_proj!Y543))</f>
        <v/>
      </c>
      <c r="Z1883" s="119" t="str">
        <f>IF(tech_base!$T139&gt;Z$1745,"",(tech_base!$K139/tech_proj!Z263*0.086*$J$132)/(1-tech_proj!Z543))</f>
        <v/>
      </c>
      <c r="AA1883" s="119" t="str">
        <f>IF(tech_base!$T139&gt;AA$1745,"",(tech_base!$K139/tech_proj!AA263*0.086*$J$132)/(1-tech_proj!AA543))</f>
        <v/>
      </c>
      <c r="AB1883" s="119" t="str">
        <f>IF(tech_base!$T139&gt;AB$1745,"",(tech_base!$K139/tech_proj!AB263*0.086*$J$132)/(1-tech_proj!AB543))</f>
        <v/>
      </c>
      <c r="AC1883" s="119" t="str">
        <f>IF(tech_base!$T139&gt;AC$1745,"",(tech_base!$K139/tech_proj!AC263*0.086*$J$132)/(1-tech_proj!AC543))</f>
        <v/>
      </c>
      <c r="AD1883" s="119" t="str">
        <f>IF(tech_base!$T139&gt;AD$1745,"",(tech_base!$K139/tech_proj!AD263*0.086*$J$132)/(1-tech_proj!AD543))</f>
        <v/>
      </c>
      <c r="AE1883" s="119">
        <f>IF(tech_base!$T139&gt;AE$1745,"",(tech_base!$K139/tech_proj!AE263*0.086*$J$132)/(1-tech_proj!AE543))</f>
        <v>9.4331982169203101</v>
      </c>
      <c r="AF1883" s="119">
        <f>IF(tech_base!$T139&gt;AF$1745,"",(tech_base!$K139/tech_proj!AF263*0.086*$J$132)/(1-tech_proj!AF543))</f>
        <v>9.4331982169203101</v>
      </c>
      <c r="AG1883" s="119">
        <f>IF(tech_base!$T139&gt;AG$1745,"",(tech_base!$K139/tech_proj!AG263*0.086*$J$132)/(1-tech_proj!AG543))</f>
        <v>9.4331982169203101</v>
      </c>
      <c r="AH1883" s="119">
        <f>IF(tech_base!$T139&gt;AH$1745,"",(tech_base!$K139/tech_proj!AH263*0.086*$J$132)/(1-tech_proj!AH543))</f>
        <v>9.4331982169203101</v>
      </c>
      <c r="AI1883" s="119">
        <f>IF(tech_base!$T139&gt;AI$1745,"",(tech_base!$K139/tech_proj!AI263*0.086*$J$132)/(1-tech_proj!AI543))</f>
        <v>9.4331982169203101</v>
      </c>
      <c r="AJ1883" s="119">
        <f>IF(tech_base!$T139&gt;AJ$1745,"",(tech_base!$K139/tech_proj!AJ263*0.086*$J$132)/(1-tech_proj!AJ543))</f>
        <v>9.4331982169203101</v>
      </c>
      <c r="AK1883" s="119">
        <f>IF(tech_base!$T139&gt;AK$1745,"",(tech_base!$K139/tech_proj!AK263*0.086*$J$132)/(1-tech_proj!AK543))</f>
        <v>9.4331982169203101</v>
      </c>
      <c r="AL1883" s="119">
        <f>IF(tech_base!$T139&gt;AL$1745,"",(tech_base!$K139/tech_proj!AL263*0.086*$J$132)/(1-tech_proj!AL543))</f>
        <v>9.4331982169203101</v>
      </c>
      <c r="AM1883" s="119">
        <f>IF(tech_base!$T139&gt;AM$1745,"",(tech_base!$K139/tech_proj!AM263*0.086*$J$132)/(1-tech_proj!AM543))</f>
        <v>9.4331982169203101</v>
      </c>
      <c r="AN1883" s="119">
        <f>IF(tech_base!$T139&gt;AN$1745,"",(tech_base!$K139/tech_proj!AN263*0.086*$J$132)/(1-tech_proj!AN543))</f>
        <v>9.4331982169203101</v>
      </c>
      <c r="AO1883" s="119">
        <f>IF(tech_base!$T139&gt;AO$1745,"",(tech_base!$K139/tech_proj!AO263*0.086*$J$132)/(1-tech_proj!AO543))</f>
        <v>9.4331982169203101</v>
      </c>
      <c r="AP1883" s="119">
        <f>IF(tech_base!$T139&gt;AP$1745,"",(tech_base!$K139/tech_proj!AP263*0.086*$J$132)/(1-tech_proj!AP543))</f>
        <v>9.4331982169203101</v>
      </c>
      <c r="AQ1883" s="119">
        <f>IF(tech_base!$T139&gt;AQ$1745,"",(tech_base!$K139/tech_proj!AQ263*0.086*$J$132)/(1-tech_proj!AQ543))</f>
        <v>9.4331982169203101</v>
      </c>
      <c r="AR1883" s="119">
        <f>IF(tech_base!$T139&gt;AR$1745,"",(tech_base!$K139/tech_proj!AR263*0.086*$J$132)/(1-tech_proj!AR543))</f>
        <v>9.4331982169203101</v>
      </c>
      <c r="AS1883" s="119">
        <f>IF(tech_base!$T139&gt;AS$1745,"",(tech_base!$K139/tech_proj!AS263*0.086*$J$132)/(1-tech_proj!AS543))</f>
        <v>9.4331982169203101</v>
      </c>
      <c r="AT1883" s="119">
        <f>IF(tech_base!$T139&gt;AT$1745,"",(tech_base!$K139/tech_proj!AT263*0.086*$J$132)/(1-tech_proj!AT543))</f>
        <v>9.4331982169203101</v>
      </c>
      <c r="AU1883" s="119">
        <f>IF(tech_base!$T139&gt;AU$1745,"",(tech_base!$K139/tech_proj!AU263*0.086*$J$132)/(1-tech_proj!AU543))</f>
        <v>9.4331982169203101</v>
      </c>
      <c r="AV1883" s="119">
        <f>IF(tech_base!$T139&gt;AV$1745,"",(tech_base!$K139/tech_proj!AV263*0.086*$J$132)/(1-tech_proj!AV543))</f>
        <v>9.4331982169203101</v>
      </c>
      <c r="AW1883" s="119">
        <f>IF(tech_base!$T139&gt;AW$1745,"",(tech_base!$K139/tech_proj!AW263*0.086*$J$132)/(1-tech_proj!AW543))</f>
        <v>9.4331982169203101</v>
      </c>
      <c r="AX1883" s="120">
        <f>IF(tech_base!$T139&gt;AX$1745,"",(tech_base!$K139/tech_proj!AX263*0.086*$J$132)/(1-tech_proj!AX543))</f>
        <v>9.4331982169203101</v>
      </c>
    </row>
    <row r="1884" spans="1:50" x14ac:dyDescent="0.25">
      <c r="A1884" s="357"/>
      <c r="B1884" s="367"/>
      <c r="C1884" s="381"/>
      <c r="D1884" s="4" t="s">
        <v>8</v>
      </c>
      <c r="E1884" s="168" t="str">
        <f>A1875&amp;"/"&amp;B1875&amp;"/"&amp;C1883&amp;"/"&amp;D1884</f>
        <v>Refinery gas fired power plants/Steam turbine/CHP with CCS/M</v>
      </c>
      <c r="F1884" s="80" t="str">
        <f>A1875</f>
        <v>Refinery gas fired power plants</v>
      </c>
      <c r="G1884" s="80" t="str">
        <f>B1875</f>
        <v>Steam turbine</v>
      </c>
      <c r="H1884" s="80" t="str">
        <f>C1883</f>
        <v>CHP with CCS</v>
      </c>
      <c r="I1884" s="169" t="str">
        <f t="shared" si="384"/>
        <v>M</v>
      </c>
      <c r="J1884" s="127" t="str">
        <f>IF(tech_base!$T140&gt;J$1745,"",(tech_base!$K140/tech_proj!J264*0.086*$J$132)/(1-tech_proj!J544))</f>
        <v/>
      </c>
      <c r="K1884" s="127" t="str">
        <f>IF(tech_base!$T140&gt;K$1745,"",(tech_base!$K140/tech_proj!K264*0.086*$J$132)/(1-tech_proj!K544))</f>
        <v/>
      </c>
      <c r="L1884" s="127" t="str">
        <f>IF(tech_base!$T140&gt;L$1745,"",(tech_base!$K140/tech_proj!L264*0.086*$J$132)/(1-tech_proj!L544))</f>
        <v/>
      </c>
      <c r="M1884" s="127" t="str">
        <f>IF(tech_base!$T140&gt;M$1745,"",(tech_base!$K140/tech_proj!M264*0.086*$J$132)/(1-tech_proj!M544))</f>
        <v/>
      </c>
      <c r="N1884" s="127" t="str">
        <f>IF(tech_base!$T140&gt;N$1745,"",(tech_base!$K140/tech_proj!N264*0.086*$J$132)/(1-tech_proj!N544))</f>
        <v/>
      </c>
      <c r="O1884" s="127" t="str">
        <f>IF(tech_base!$T140&gt;O$1745,"",(tech_base!$K140/tech_proj!O264*0.086*$J$132)/(1-tech_proj!O544))</f>
        <v/>
      </c>
      <c r="P1884" s="127" t="str">
        <f>IF(tech_base!$T140&gt;P$1745,"",(tech_base!$K140/tech_proj!P264*0.086*$J$132)/(1-tech_proj!P544))</f>
        <v/>
      </c>
      <c r="Q1884" s="127" t="str">
        <f>IF(tech_base!$T140&gt;Q$1745,"",(tech_base!$K140/tech_proj!Q264*0.086*$J$132)/(1-tech_proj!Q544))</f>
        <v/>
      </c>
      <c r="R1884" s="127" t="str">
        <f>IF(tech_base!$T140&gt;R$1745,"",(tech_base!$K140/tech_proj!R264*0.086*$J$132)/(1-tech_proj!R544))</f>
        <v/>
      </c>
      <c r="S1884" s="127" t="str">
        <f>IF(tech_base!$T140&gt;S$1745,"",(tech_base!$K140/tech_proj!S264*0.086*$J$132)/(1-tech_proj!S544))</f>
        <v/>
      </c>
      <c r="T1884" s="127" t="str">
        <f>IF(tech_base!$T140&gt;T$1745,"",(tech_base!$K140/tech_proj!T264*0.086*$J$132)/(1-tech_proj!T544))</f>
        <v/>
      </c>
      <c r="U1884" s="127" t="str">
        <f>IF(tech_base!$T140&gt;U$1745,"",(tech_base!$K140/tech_proj!U264*0.086*$J$132)/(1-tech_proj!U544))</f>
        <v/>
      </c>
      <c r="V1884" s="127" t="str">
        <f>IF(tech_base!$T140&gt;V$1745,"",(tech_base!$K140/tech_proj!V264*0.086*$J$132)/(1-tech_proj!V544))</f>
        <v/>
      </c>
      <c r="W1884" s="127" t="str">
        <f>IF(tech_base!$T140&gt;W$1745,"",(tech_base!$K140/tech_proj!W264*0.086*$J$132)/(1-tech_proj!W544))</f>
        <v/>
      </c>
      <c r="X1884" s="127" t="str">
        <f>IF(tech_base!$T140&gt;X$1745,"",(tech_base!$K140/tech_proj!X264*0.086*$J$132)/(1-tech_proj!X544))</f>
        <v/>
      </c>
      <c r="Y1884" s="127" t="str">
        <f>IF(tech_base!$T140&gt;Y$1745,"",(tech_base!$K140/tech_proj!Y264*0.086*$J$132)/(1-tech_proj!Y544))</f>
        <v/>
      </c>
      <c r="Z1884" s="127" t="str">
        <f>IF(tech_base!$T140&gt;Z$1745,"",(tech_base!$K140/tech_proj!Z264*0.086*$J$132)/(1-tech_proj!Z544))</f>
        <v/>
      </c>
      <c r="AA1884" s="127" t="str">
        <f>IF(tech_base!$T140&gt;AA$1745,"",(tech_base!$K140/tech_proj!AA264*0.086*$J$132)/(1-tech_proj!AA544))</f>
        <v/>
      </c>
      <c r="AB1884" s="127" t="str">
        <f>IF(tech_base!$T140&gt;AB$1745,"",(tech_base!$K140/tech_proj!AB264*0.086*$J$132)/(1-tech_proj!AB544))</f>
        <v/>
      </c>
      <c r="AC1884" s="127" t="str">
        <f>IF(tech_base!$T140&gt;AC$1745,"",(tech_base!$K140/tech_proj!AC264*0.086*$J$132)/(1-tech_proj!AC544))</f>
        <v/>
      </c>
      <c r="AD1884" s="127" t="str">
        <f>IF(tech_base!$T140&gt;AD$1745,"",(tech_base!$K140/tech_proj!AD264*0.086*$J$132)/(1-tech_proj!AD544))</f>
        <v/>
      </c>
      <c r="AE1884" s="127">
        <f>IF(tech_base!$T140&gt;AE$1745,"",(tech_base!$K140/tech_proj!AE264*0.086*$J$132)/(1-tech_proj!AE544))</f>
        <v>10.093392198938771</v>
      </c>
      <c r="AF1884" s="127">
        <f>IF(tech_base!$T140&gt;AF$1745,"",(tech_base!$K140/tech_proj!AF264*0.086*$J$132)/(1-tech_proj!AF544))</f>
        <v>10.093392198938771</v>
      </c>
      <c r="AG1884" s="127">
        <f>IF(tech_base!$T140&gt;AG$1745,"",(tech_base!$K140/tech_proj!AG264*0.086*$J$132)/(1-tech_proj!AG544))</f>
        <v>10.093392198938771</v>
      </c>
      <c r="AH1884" s="127">
        <f>IF(tech_base!$T140&gt;AH$1745,"",(tech_base!$K140/tech_proj!AH264*0.086*$J$132)/(1-tech_proj!AH544))</f>
        <v>10.093392198938771</v>
      </c>
      <c r="AI1884" s="127">
        <f>IF(tech_base!$T140&gt;AI$1745,"",(tech_base!$K140/tech_proj!AI264*0.086*$J$132)/(1-tech_proj!AI544))</f>
        <v>10.093392198938771</v>
      </c>
      <c r="AJ1884" s="127">
        <f>IF(tech_base!$T140&gt;AJ$1745,"",(tech_base!$K140/tech_proj!AJ264*0.086*$J$132)/(1-tech_proj!AJ544))</f>
        <v>10.093392198938771</v>
      </c>
      <c r="AK1884" s="127">
        <f>IF(tech_base!$T140&gt;AK$1745,"",(tech_base!$K140/tech_proj!AK264*0.086*$J$132)/(1-tech_proj!AK544))</f>
        <v>10.093392198938771</v>
      </c>
      <c r="AL1884" s="127">
        <f>IF(tech_base!$T140&gt;AL$1745,"",(tech_base!$K140/tech_proj!AL264*0.086*$J$132)/(1-tech_proj!AL544))</f>
        <v>10.093392198938771</v>
      </c>
      <c r="AM1884" s="127">
        <f>IF(tech_base!$T140&gt;AM$1745,"",(tech_base!$K140/tech_proj!AM264*0.086*$J$132)/(1-tech_proj!AM544))</f>
        <v>10.093392198938771</v>
      </c>
      <c r="AN1884" s="127">
        <f>IF(tech_base!$T140&gt;AN$1745,"",(tech_base!$K140/tech_proj!AN264*0.086*$J$132)/(1-tech_proj!AN544))</f>
        <v>10.093392198938771</v>
      </c>
      <c r="AO1884" s="127">
        <f>IF(tech_base!$T140&gt;AO$1745,"",(tech_base!$K140/tech_proj!AO264*0.086*$J$132)/(1-tech_proj!AO544))</f>
        <v>10.093392198938771</v>
      </c>
      <c r="AP1884" s="127">
        <f>IF(tech_base!$T140&gt;AP$1745,"",(tech_base!$K140/tech_proj!AP264*0.086*$J$132)/(1-tech_proj!AP544))</f>
        <v>10.093392198938771</v>
      </c>
      <c r="AQ1884" s="127">
        <f>IF(tech_base!$T140&gt;AQ$1745,"",(tech_base!$K140/tech_proj!AQ264*0.086*$J$132)/(1-tech_proj!AQ544))</f>
        <v>10.093392198938771</v>
      </c>
      <c r="AR1884" s="127">
        <f>IF(tech_base!$T140&gt;AR$1745,"",(tech_base!$K140/tech_proj!AR264*0.086*$J$132)/(1-tech_proj!AR544))</f>
        <v>10.093392198938771</v>
      </c>
      <c r="AS1884" s="127">
        <f>IF(tech_base!$T140&gt;AS$1745,"",(tech_base!$K140/tech_proj!AS264*0.086*$J$132)/(1-tech_proj!AS544))</f>
        <v>10.093392198938771</v>
      </c>
      <c r="AT1884" s="127">
        <f>IF(tech_base!$T140&gt;AT$1745,"",(tech_base!$K140/tech_proj!AT264*0.086*$J$132)/(1-tech_proj!AT544))</f>
        <v>10.093392198938771</v>
      </c>
      <c r="AU1884" s="127">
        <f>IF(tech_base!$T140&gt;AU$1745,"",(tech_base!$K140/tech_proj!AU264*0.086*$J$132)/(1-tech_proj!AU544))</f>
        <v>10.093392198938771</v>
      </c>
      <c r="AV1884" s="127">
        <f>IF(tech_base!$T140&gt;AV$1745,"",(tech_base!$K140/tech_proj!AV264*0.086*$J$132)/(1-tech_proj!AV544))</f>
        <v>10.093392198938771</v>
      </c>
      <c r="AW1884" s="127">
        <f>IF(tech_base!$T140&gt;AW$1745,"",(tech_base!$K140/tech_proj!AW264*0.086*$J$132)/(1-tech_proj!AW544))</f>
        <v>10.093392198938771</v>
      </c>
      <c r="AX1884" s="128">
        <f>IF(tech_base!$T140&gt;AX$1745,"",(tech_base!$K140/tech_proj!AX264*0.086*$J$132)/(1-tech_proj!AX544))</f>
        <v>10.093392198938771</v>
      </c>
    </row>
    <row r="1885" spans="1:50" x14ac:dyDescent="0.25">
      <c r="A1885" s="355" t="s">
        <v>28</v>
      </c>
      <c r="B1885" s="358" t="s">
        <v>23</v>
      </c>
      <c r="C1885" s="353" t="s">
        <v>6</v>
      </c>
      <c r="D1885" s="3" t="s">
        <v>7</v>
      </c>
      <c r="E1885" s="162" t="str">
        <f>A1885&amp;"/"&amp;B1885&amp;"/"&amp;C1885&amp;"/"&amp;D1885</f>
        <v>Diesel oil fired power plants/Gas turbine combined cycle/Electricity only/L</v>
      </c>
      <c r="F1885" s="77" t="str">
        <f>A1885</f>
        <v>Diesel oil fired power plants</v>
      </c>
      <c r="G1885" s="77" t="str">
        <f>B1885</f>
        <v>Gas turbine combined cycle</v>
      </c>
      <c r="H1885" s="77" t="str">
        <f>C1885</f>
        <v>Electricity only</v>
      </c>
      <c r="I1885" s="163" t="str">
        <f t="shared" si="384"/>
        <v>L</v>
      </c>
      <c r="J1885" s="121">
        <f>IF(tech_base!$T141&gt;J$1745,"",(tech_base!$K141/tech_proj!J265*0.086*$J$132)/(1-tech_proj!J545))</f>
        <v>0</v>
      </c>
      <c r="K1885" s="121">
        <f>IF(tech_base!$T141&gt;K$1745,"",(tech_base!$K141/tech_proj!K265*0.086*$J$132)/(1-tech_proj!K545))</f>
        <v>0</v>
      </c>
      <c r="L1885" s="121">
        <f>IF(tech_base!$T141&gt;L$1745,"",(tech_base!$K141/tech_proj!L265*0.086*$J$132)/(1-tech_proj!L545))</f>
        <v>0</v>
      </c>
      <c r="M1885" s="121">
        <f>IF(tech_base!$T141&gt;M$1745,"",(tech_base!$K141/tech_proj!M265*0.086*$J$132)/(1-tech_proj!M545))</f>
        <v>0</v>
      </c>
      <c r="N1885" s="121">
        <f>IF(tech_base!$T141&gt;N$1745,"",(tech_base!$K141/tech_proj!N265*0.086*$J$132)/(1-tech_proj!N545))</f>
        <v>0</v>
      </c>
      <c r="O1885" s="121">
        <f>IF(tech_base!$T141&gt;O$1745,"",(tech_base!$K141/tech_proj!O265*0.086*$J$132)/(1-tech_proj!O545))</f>
        <v>0</v>
      </c>
      <c r="P1885" s="121">
        <f>IF(tech_base!$T141&gt;P$1745,"",(tech_base!$K141/tech_proj!P265*0.086*$J$132)/(1-tech_proj!P545))</f>
        <v>0</v>
      </c>
      <c r="Q1885" s="121">
        <f>IF(tech_base!$T141&gt;Q$1745,"",(tech_base!$K141/tech_proj!Q265*0.086*$J$132)/(1-tech_proj!Q545))</f>
        <v>0</v>
      </c>
      <c r="R1885" s="121">
        <f>IF(tech_base!$T141&gt;R$1745,"",(tech_base!$K141/tech_proj!R265*0.086*$J$132)/(1-tech_proj!R545))</f>
        <v>0</v>
      </c>
      <c r="S1885" s="121">
        <f>IF(tech_base!$T141&gt;S$1745,"",(tech_base!$K141/tech_proj!S265*0.086*$J$132)/(1-tech_proj!S545))</f>
        <v>0</v>
      </c>
      <c r="T1885" s="121">
        <f>IF(tech_base!$T141&gt;T$1745,"",(tech_base!$K141/tech_proj!T265*0.086*$J$132)/(1-tech_proj!T545))</f>
        <v>0</v>
      </c>
      <c r="U1885" s="121">
        <f>IF(tech_base!$T141&gt;U$1745,"",(tech_base!$K141/tech_proj!U265*0.086*$J$132)/(1-tech_proj!U545))</f>
        <v>0</v>
      </c>
      <c r="V1885" s="121">
        <f>IF(tech_base!$T141&gt;V$1745,"",(tech_base!$K141/tech_proj!V265*0.086*$J$132)/(1-tech_proj!V545))</f>
        <v>0</v>
      </c>
      <c r="W1885" s="121">
        <f>IF(tech_base!$T141&gt;W$1745,"",(tech_base!$K141/tech_proj!W265*0.086*$J$132)/(1-tech_proj!W545))</f>
        <v>0</v>
      </c>
      <c r="X1885" s="121">
        <f>IF(tech_base!$T141&gt;X$1745,"",(tech_base!$K141/tech_proj!X265*0.086*$J$132)/(1-tech_proj!X545))</f>
        <v>0</v>
      </c>
      <c r="Y1885" s="121">
        <f>IF(tech_base!$T141&gt;Y$1745,"",(tech_base!$K141/tech_proj!Y265*0.086*$J$132)/(1-tech_proj!Y545))</f>
        <v>0</v>
      </c>
      <c r="Z1885" s="121">
        <f>IF(tech_base!$T141&gt;Z$1745,"",(tech_base!$K141/tech_proj!Z265*0.086*$J$132)/(1-tech_proj!Z545))</f>
        <v>0</v>
      </c>
      <c r="AA1885" s="121">
        <f>IF(tech_base!$T141&gt;AA$1745,"",(tech_base!$K141/tech_proj!AA265*0.086*$J$132)/(1-tech_proj!AA545))</f>
        <v>0</v>
      </c>
      <c r="AB1885" s="121">
        <f>IF(tech_base!$T141&gt;AB$1745,"",(tech_base!$K141/tech_proj!AB265*0.086*$J$132)/(1-tech_proj!AB545))</f>
        <v>0</v>
      </c>
      <c r="AC1885" s="121">
        <f>IF(tech_base!$T141&gt;AC$1745,"",(tech_base!$K141/tech_proj!AC265*0.086*$J$132)/(1-tech_proj!AC545))</f>
        <v>0</v>
      </c>
      <c r="AD1885" s="121">
        <f>IF(tech_base!$T141&gt;AD$1745,"",(tech_base!$K141/tech_proj!AD265*0.086*$J$132)/(1-tech_proj!AD545))</f>
        <v>0</v>
      </c>
      <c r="AE1885" s="121">
        <f>IF(tech_base!$T141&gt;AE$1745,"",(tech_base!$K141/tech_proj!AE265*0.086*$J$132)/(1-tech_proj!AE545))</f>
        <v>0</v>
      </c>
      <c r="AF1885" s="121">
        <f>IF(tech_base!$T141&gt;AF$1745,"",(tech_base!$K141/tech_proj!AF265*0.086*$J$132)/(1-tech_proj!AF545))</f>
        <v>0</v>
      </c>
      <c r="AG1885" s="121">
        <f>IF(tech_base!$T141&gt;AG$1745,"",(tech_base!$K141/tech_proj!AG265*0.086*$J$132)/(1-tech_proj!AG545))</f>
        <v>0</v>
      </c>
      <c r="AH1885" s="121">
        <f>IF(tech_base!$T141&gt;AH$1745,"",(tech_base!$K141/tech_proj!AH265*0.086*$J$132)/(1-tech_proj!AH545))</f>
        <v>0</v>
      </c>
      <c r="AI1885" s="121">
        <f>IF(tech_base!$T141&gt;AI$1745,"",(tech_base!$K141/tech_proj!AI265*0.086*$J$132)/(1-tech_proj!AI545))</f>
        <v>0</v>
      </c>
      <c r="AJ1885" s="121">
        <f>IF(tech_base!$T141&gt;AJ$1745,"",(tech_base!$K141/tech_proj!AJ265*0.086*$J$132)/(1-tech_proj!AJ545))</f>
        <v>0</v>
      </c>
      <c r="AK1885" s="121">
        <f>IF(tech_base!$T141&gt;AK$1745,"",(tech_base!$K141/tech_proj!AK265*0.086*$J$132)/(1-tech_proj!AK545))</f>
        <v>0</v>
      </c>
      <c r="AL1885" s="121">
        <f>IF(tech_base!$T141&gt;AL$1745,"",(tech_base!$K141/tech_proj!AL265*0.086*$J$132)/(1-tech_proj!AL545))</f>
        <v>0</v>
      </c>
      <c r="AM1885" s="121">
        <f>IF(tech_base!$T141&gt;AM$1745,"",(tech_base!$K141/tech_proj!AM265*0.086*$J$132)/(1-tech_proj!AM545))</f>
        <v>0</v>
      </c>
      <c r="AN1885" s="121">
        <f>IF(tech_base!$T141&gt;AN$1745,"",(tech_base!$K141/tech_proj!AN265*0.086*$J$132)/(1-tech_proj!AN545))</f>
        <v>0</v>
      </c>
      <c r="AO1885" s="121">
        <f>IF(tech_base!$T141&gt;AO$1745,"",(tech_base!$K141/tech_proj!AO265*0.086*$J$132)/(1-tech_proj!AO545))</f>
        <v>0</v>
      </c>
      <c r="AP1885" s="121">
        <f>IF(tech_base!$T141&gt;AP$1745,"",(tech_base!$K141/tech_proj!AP265*0.086*$J$132)/(1-tech_proj!AP545))</f>
        <v>0</v>
      </c>
      <c r="AQ1885" s="121">
        <f>IF(tech_base!$T141&gt;AQ$1745,"",(tech_base!$K141/tech_proj!AQ265*0.086*$J$132)/(1-tech_proj!AQ545))</f>
        <v>0</v>
      </c>
      <c r="AR1885" s="121">
        <f>IF(tech_base!$T141&gt;AR$1745,"",(tech_base!$K141/tech_proj!AR265*0.086*$J$132)/(1-tech_proj!AR545))</f>
        <v>0</v>
      </c>
      <c r="AS1885" s="121">
        <f>IF(tech_base!$T141&gt;AS$1745,"",(tech_base!$K141/tech_proj!AS265*0.086*$J$132)/(1-tech_proj!AS545))</f>
        <v>0</v>
      </c>
      <c r="AT1885" s="121">
        <f>IF(tech_base!$T141&gt;AT$1745,"",(tech_base!$K141/tech_proj!AT265*0.086*$J$132)/(1-tech_proj!AT545))</f>
        <v>0</v>
      </c>
      <c r="AU1885" s="121">
        <f>IF(tech_base!$T141&gt;AU$1745,"",(tech_base!$K141/tech_proj!AU265*0.086*$J$132)/(1-tech_proj!AU545))</f>
        <v>0</v>
      </c>
      <c r="AV1885" s="121">
        <f>IF(tech_base!$T141&gt;AV$1745,"",(tech_base!$K141/tech_proj!AV265*0.086*$J$132)/(1-tech_proj!AV545))</f>
        <v>0</v>
      </c>
      <c r="AW1885" s="121">
        <f>IF(tech_base!$T141&gt;AW$1745,"",(tech_base!$K141/tech_proj!AW265*0.086*$J$132)/(1-tech_proj!AW545))</f>
        <v>0</v>
      </c>
      <c r="AX1885" s="122">
        <f>IF(tech_base!$T141&gt;AX$1745,"",(tech_base!$K141/tech_proj!AX265*0.086*$J$132)/(1-tech_proj!AX545))</f>
        <v>0</v>
      </c>
    </row>
    <row r="1886" spans="1:50" x14ac:dyDescent="0.25">
      <c r="A1886" s="356"/>
      <c r="B1886" s="376"/>
      <c r="C1886" s="379"/>
      <c r="D1886" s="2" t="s">
        <v>8</v>
      </c>
      <c r="E1886" s="160" t="str">
        <f>A1885&amp;"/"&amp;B1885&amp;"/"&amp;C1885&amp;"/"&amp;D1886</f>
        <v>Diesel oil fired power plants/Gas turbine combined cycle/Electricity only/M</v>
      </c>
      <c r="F1886" s="76" t="str">
        <f>A1885</f>
        <v>Diesel oil fired power plants</v>
      </c>
      <c r="G1886" s="76" t="str">
        <f>B1885</f>
        <v>Gas turbine combined cycle</v>
      </c>
      <c r="H1886" s="76" t="str">
        <f>C1885</f>
        <v>Electricity only</v>
      </c>
      <c r="I1886" s="161" t="str">
        <f t="shared" si="384"/>
        <v>M</v>
      </c>
      <c r="J1886" s="119">
        <f>IF(tech_base!$T142&gt;J$1745,"",(tech_base!$K142/tech_proj!J266*0.086*$J$132)/(1-tech_proj!J546))</f>
        <v>0</v>
      </c>
      <c r="K1886" s="119">
        <f>IF(tech_base!$T142&gt;K$1745,"",(tech_base!$K142/tech_proj!K266*0.086*$J$132)/(1-tech_proj!K546))</f>
        <v>0</v>
      </c>
      <c r="L1886" s="119">
        <f>IF(tech_base!$T142&gt;L$1745,"",(tech_base!$K142/tech_proj!L266*0.086*$J$132)/(1-tech_proj!L546))</f>
        <v>0</v>
      </c>
      <c r="M1886" s="119">
        <f>IF(tech_base!$T142&gt;M$1745,"",(tech_base!$K142/tech_proj!M266*0.086*$J$132)/(1-tech_proj!M546))</f>
        <v>0</v>
      </c>
      <c r="N1886" s="119">
        <f>IF(tech_base!$T142&gt;N$1745,"",(tech_base!$K142/tech_proj!N266*0.086*$J$132)/(1-tech_proj!N546))</f>
        <v>0</v>
      </c>
      <c r="O1886" s="119">
        <f>IF(tech_base!$T142&gt;O$1745,"",(tech_base!$K142/tech_proj!O266*0.086*$J$132)/(1-tech_proj!O546))</f>
        <v>0</v>
      </c>
      <c r="P1886" s="119">
        <f>IF(tech_base!$T142&gt;P$1745,"",(tech_base!$K142/tech_proj!P266*0.086*$J$132)/(1-tech_proj!P546))</f>
        <v>0</v>
      </c>
      <c r="Q1886" s="119">
        <f>IF(tech_base!$T142&gt;Q$1745,"",(tech_base!$K142/tech_proj!Q266*0.086*$J$132)/(1-tech_proj!Q546))</f>
        <v>0</v>
      </c>
      <c r="R1886" s="119">
        <f>IF(tech_base!$T142&gt;R$1745,"",(tech_base!$K142/tech_proj!R266*0.086*$J$132)/(1-tech_proj!R546))</f>
        <v>0</v>
      </c>
      <c r="S1886" s="119">
        <f>IF(tech_base!$T142&gt;S$1745,"",(tech_base!$K142/tech_proj!S266*0.086*$J$132)/(1-tech_proj!S546))</f>
        <v>0</v>
      </c>
      <c r="T1886" s="119">
        <f>IF(tech_base!$T142&gt;T$1745,"",(tech_base!$K142/tech_proj!T266*0.086*$J$132)/(1-tech_proj!T546))</f>
        <v>0</v>
      </c>
      <c r="U1886" s="119">
        <f>IF(tech_base!$T142&gt;U$1745,"",(tech_base!$K142/tech_proj!U266*0.086*$J$132)/(1-tech_proj!U546))</f>
        <v>0</v>
      </c>
      <c r="V1886" s="119">
        <f>IF(tech_base!$T142&gt;V$1745,"",(tech_base!$K142/tech_proj!V266*0.086*$J$132)/(1-tech_proj!V546))</f>
        <v>0</v>
      </c>
      <c r="W1886" s="119">
        <f>IF(tech_base!$T142&gt;W$1745,"",(tech_base!$K142/tech_proj!W266*0.086*$J$132)/(1-tech_proj!W546))</f>
        <v>0</v>
      </c>
      <c r="X1886" s="119">
        <f>IF(tech_base!$T142&gt;X$1745,"",(tech_base!$K142/tech_proj!X266*0.086*$J$132)/(1-tech_proj!X546))</f>
        <v>0</v>
      </c>
      <c r="Y1886" s="119">
        <f>IF(tech_base!$T142&gt;Y$1745,"",(tech_base!$K142/tech_proj!Y266*0.086*$J$132)/(1-tech_proj!Y546))</f>
        <v>0</v>
      </c>
      <c r="Z1886" s="119">
        <f>IF(tech_base!$T142&gt;Z$1745,"",(tech_base!$K142/tech_proj!Z266*0.086*$J$132)/(1-tech_proj!Z546))</f>
        <v>0</v>
      </c>
      <c r="AA1886" s="119">
        <f>IF(tech_base!$T142&gt;AA$1745,"",(tech_base!$K142/tech_proj!AA266*0.086*$J$132)/(1-tech_proj!AA546))</f>
        <v>0</v>
      </c>
      <c r="AB1886" s="119">
        <f>IF(tech_base!$T142&gt;AB$1745,"",(tech_base!$K142/tech_proj!AB266*0.086*$J$132)/(1-tech_proj!AB546))</f>
        <v>0</v>
      </c>
      <c r="AC1886" s="119">
        <f>IF(tech_base!$T142&gt;AC$1745,"",(tech_base!$K142/tech_proj!AC266*0.086*$J$132)/(1-tech_proj!AC546))</f>
        <v>0</v>
      </c>
      <c r="AD1886" s="119">
        <f>IF(tech_base!$T142&gt;AD$1745,"",(tech_base!$K142/tech_proj!AD266*0.086*$J$132)/(1-tech_proj!AD546))</f>
        <v>0</v>
      </c>
      <c r="AE1886" s="119">
        <f>IF(tech_base!$T142&gt;AE$1745,"",(tech_base!$K142/tech_proj!AE266*0.086*$J$132)/(1-tech_proj!AE546))</f>
        <v>0</v>
      </c>
      <c r="AF1886" s="119">
        <f>IF(tech_base!$T142&gt;AF$1745,"",(tech_base!$K142/tech_proj!AF266*0.086*$J$132)/(1-tech_proj!AF546))</f>
        <v>0</v>
      </c>
      <c r="AG1886" s="119">
        <f>IF(tech_base!$T142&gt;AG$1745,"",(tech_base!$K142/tech_proj!AG266*0.086*$J$132)/(1-tech_proj!AG546))</f>
        <v>0</v>
      </c>
      <c r="AH1886" s="119">
        <f>IF(tech_base!$T142&gt;AH$1745,"",(tech_base!$K142/tech_proj!AH266*0.086*$J$132)/(1-tech_proj!AH546))</f>
        <v>0</v>
      </c>
      <c r="AI1886" s="119">
        <f>IF(tech_base!$T142&gt;AI$1745,"",(tech_base!$K142/tech_proj!AI266*0.086*$J$132)/(1-tech_proj!AI546))</f>
        <v>0</v>
      </c>
      <c r="AJ1886" s="119">
        <f>IF(tech_base!$T142&gt;AJ$1745,"",(tech_base!$K142/tech_proj!AJ266*0.086*$J$132)/(1-tech_proj!AJ546))</f>
        <v>0</v>
      </c>
      <c r="AK1886" s="119">
        <f>IF(tech_base!$T142&gt;AK$1745,"",(tech_base!$K142/tech_proj!AK266*0.086*$J$132)/(1-tech_proj!AK546))</f>
        <v>0</v>
      </c>
      <c r="AL1886" s="119">
        <f>IF(tech_base!$T142&gt;AL$1745,"",(tech_base!$K142/tech_proj!AL266*0.086*$J$132)/(1-tech_proj!AL546))</f>
        <v>0</v>
      </c>
      <c r="AM1886" s="119">
        <f>IF(tech_base!$T142&gt;AM$1745,"",(tech_base!$K142/tech_proj!AM266*0.086*$J$132)/(1-tech_proj!AM546))</f>
        <v>0</v>
      </c>
      <c r="AN1886" s="119">
        <f>IF(tech_base!$T142&gt;AN$1745,"",(tech_base!$K142/tech_proj!AN266*0.086*$J$132)/(1-tech_proj!AN546))</f>
        <v>0</v>
      </c>
      <c r="AO1886" s="119">
        <f>IF(tech_base!$T142&gt;AO$1745,"",(tech_base!$K142/tech_proj!AO266*0.086*$J$132)/(1-tech_proj!AO546))</f>
        <v>0</v>
      </c>
      <c r="AP1886" s="119">
        <f>IF(tech_base!$T142&gt;AP$1745,"",(tech_base!$K142/tech_proj!AP266*0.086*$J$132)/(1-tech_proj!AP546))</f>
        <v>0</v>
      </c>
      <c r="AQ1886" s="119">
        <f>IF(tech_base!$T142&gt;AQ$1745,"",(tech_base!$K142/tech_proj!AQ266*0.086*$J$132)/(1-tech_proj!AQ546))</f>
        <v>0</v>
      </c>
      <c r="AR1886" s="119">
        <f>IF(tech_base!$T142&gt;AR$1745,"",(tech_base!$K142/tech_proj!AR266*0.086*$J$132)/(1-tech_proj!AR546))</f>
        <v>0</v>
      </c>
      <c r="AS1886" s="119">
        <f>IF(tech_base!$T142&gt;AS$1745,"",(tech_base!$K142/tech_proj!AS266*0.086*$J$132)/(1-tech_proj!AS546))</f>
        <v>0</v>
      </c>
      <c r="AT1886" s="119">
        <f>IF(tech_base!$T142&gt;AT$1745,"",(tech_base!$K142/tech_proj!AT266*0.086*$J$132)/(1-tech_proj!AT546))</f>
        <v>0</v>
      </c>
      <c r="AU1886" s="119">
        <f>IF(tech_base!$T142&gt;AU$1745,"",(tech_base!$K142/tech_proj!AU266*0.086*$J$132)/(1-tech_proj!AU546))</f>
        <v>0</v>
      </c>
      <c r="AV1886" s="119">
        <f>IF(tech_base!$T142&gt;AV$1745,"",(tech_base!$K142/tech_proj!AV266*0.086*$J$132)/(1-tech_proj!AV546))</f>
        <v>0</v>
      </c>
      <c r="AW1886" s="119">
        <f>IF(tech_base!$T142&gt;AW$1745,"",(tech_base!$K142/tech_proj!AW266*0.086*$J$132)/(1-tech_proj!AW546))</f>
        <v>0</v>
      </c>
      <c r="AX1886" s="120">
        <f>IF(tech_base!$T142&gt;AX$1745,"",(tech_base!$K142/tech_proj!AX266*0.086*$J$132)/(1-tech_proj!AX546))</f>
        <v>0</v>
      </c>
    </row>
    <row r="1887" spans="1:50" x14ac:dyDescent="0.25">
      <c r="A1887" s="356"/>
      <c r="B1887" s="376"/>
      <c r="C1887" s="361" t="s">
        <v>14</v>
      </c>
      <c r="D1887" s="58" t="s">
        <v>7</v>
      </c>
      <c r="E1887" s="164" t="str">
        <f>A1885&amp;"/"&amp;B1885&amp;"/"&amp;C1887&amp;"/"&amp;D1887</f>
        <v>Diesel oil fired power plants/Gas turbine combined cycle/CHP/L</v>
      </c>
      <c r="F1887" s="78" t="str">
        <f>A1885</f>
        <v>Diesel oil fired power plants</v>
      </c>
      <c r="G1887" s="78" t="str">
        <f>B1885</f>
        <v>Gas turbine combined cycle</v>
      </c>
      <c r="H1887" s="78" t="str">
        <f>C1887</f>
        <v>CHP</v>
      </c>
      <c r="I1887" s="165" t="str">
        <f t="shared" si="384"/>
        <v>L</v>
      </c>
      <c r="J1887" s="123">
        <f>IF(tech_base!$T143&gt;J$1745,"",(tech_base!$K143/tech_proj!J267*0.086*$J$132)/(1-tech_proj!J547))</f>
        <v>0</v>
      </c>
      <c r="K1887" s="123">
        <f>IF(tech_base!$T143&gt;K$1745,"",(tech_base!$K143/tech_proj!K267*0.086*$J$132)/(1-tech_proj!K547))</f>
        <v>0</v>
      </c>
      <c r="L1887" s="123">
        <f>IF(tech_base!$T143&gt;L$1745,"",(tech_base!$K143/tech_proj!L267*0.086*$J$132)/(1-tech_proj!L547))</f>
        <v>0</v>
      </c>
      <c r="M1887" s="123">
        <f>IF(tech_base!$T143&gt;M$1745,"",(tech_base!$K143/tech_proj!M267*0.086*$J$132)/(1-tech_proj!M547))</f>
        <v>0</v>
      </c>
      <c r="N1887" s="123">
        <f>IF(tech_base!$T143&gt;N$1745,"",(tech_base!$K143/tech_proj!N267*0.086*$J$132)/(1-tech_proj!N547))</f>
        <v>0</v>
      </c>
      <c r="O1887" s="123">
        <f>IF(tech_base!$T143&gt;O$1745,"",(tech_base!$K143/tech_proj!O267*0.086*$J$132)/(1-tech_proj!O547))</f>
        <v>0</v>
      </c>
      <c r="P1887" s="123">
        <f>IF(tech_base!$T143&gt;P$1745,"",(tech_base!$K143/tech_proj!P267*0.086*$J$132)/(1-tech_proj!P547))</f>
        <v>0</v>
      </c>
      <c r="Q1887" s="123">
        <f>IF(tech_base!$T143&gt;Q$1745,"",(tech_base!$K143/tech_proj!Q267*0.086*$J$132)/(1-tech_proj!Q547))</f>
        <v>0</v>
      </c>
      <c r="R1887" s="123">
        <f>IF(tech_base!$T143&gt;R$1745,"",(tech_base!$K143/tech_proj!R267*0.086*$J$132)/(1-tech_proj!R547))</f>
        <v>0</v>
      </c>
      <c r="S1887" s="123">
        <f>IF(tech_base!$T143&gt;S$1745,"",(tech_base!$K143/tech_proj!S267*0.086*$J$132)/(1-tech_proj!S547))</f>
        <v>0</v>
      </c>
      <c r="T1887" s="123">
        <f>IF(tech_base!$T143&gt;T$1745,"",(tech_base!$K143/tech_proj!T267*0.086*$J$132)/(1-tech_proj!T547))</f>
        <v>0</v>
      </c>
      <c r="U1887" s="123">
        <f>IF(tech_base!$T143&gt;U$1745,"",(tech_base!$K143/tech_proj!U267*0.086*$J$132)/(1-tech_proj!U547))</f>
        <v>0</v>
      </c>
      <c r="V1887" s="123">
        <f>IF(tech_base!$T143&gt;V$1745,"",(tech_base!$K143/tech_proj!V267*0.086*$J$132)/(1-tech_proj!V547))</f>
        <v>0</v>
      </c>
      <c r="W1887" s="123">
        <f>IF(tech_base!$T143&gt;W$1745,"",(tech_base!$K143/tech_proj!W267*0.086*$J$132)/(1-tech_proj!W547))</f>
        <v>0</v>
      </c>
      <c r="X1887" s="123">
        <f>IF(tech_base!$T143&gt;X$1745,"",(tech_base!$K143/tech_proj!X267*0.086*$J$132)/(1-tech_proj!X547))</f>
        <v>0</v>
      </c>
      <c r="Y1887" s="123">
        <f>IF(tech_base!$T143&gt;Y$1745,"",(tech_base!$K143/tech_proj!Y267*0.086*$J$132)/(1-tech_proj!Y547))</f>
        <v>0</v>
      </c>
      <c r="Z1887" s="123">
        <f>IF(tech_base!$T143&gt;Z$1745,"",(tech_base!$K143/tech_proj!Z267*0.086*$J$132)/(1-tech_proj!Z547))</f>
        <v>0</v>
      </c>
      <c r="AA1887" s="123">
        <f>IF(tech_base!$T143&gt;AA$1745,"",(tech_base!$K143/tech_proj!AA267*0.086*$J$132)/(1-tech_proj!AA547))</f>
        <v>0</v>
      </c>
      <c r="AB1887" s="123">
        <f>IF(tech_base!$T143&gt;AB$1745,"",(tech_base!$K143/tech_proj!AB267*0.086*$J$132)/(1-tech_proj!AB547))</f>
        <v>0</v>
      </c>
      <c r="AC1887" s="123">
        <f>IF(tech_base!$T143&gt;AC$1745,"",(tech_base!$K143/tech_proj!AC267*0.086*$J$132)/(1-tech_proj!AC547))</f>
        <v>0</v>
      </c>
      <c r="AD1887" s="123">
        <f>IF(tech_base!$T143&gt;AD$1745,"",(tech_base!$K143/tech_proj!AD267*0.086*$J$132)/(1-tech_proj!AD547))</f>
        <v>0</v>
      </c>
      <c r="AE1887" s="123">
        <f>IF(tech_base!$T143&gt;AE$1745,"",(tech_base!$K143/tech_proj!AE267*0.086*$J$132)/(1-tech_proj!AE547))</f>
        <v>0</v>
      </c>
      <c r="AF1887" s="123">
        <f>IF(tech_base!$T143&gt;AF$1745,"",(tech_base!$K143/tech_proj!AF267*0.086*$J$132)/(1-tech_proj!AF547))</f>
        <v>0</v>
      </c>
      <c r="AG1887" s="123">
        <f>IF(tech_base!$T143&gt;AG$1745,"",(tech_base!$K143/tech_proj!AG267*0.086*$J$132)/(1-tech_proj!AG547))</f>
        <v>0</v>
      </c>
      <c r="AH1887" s="123">
        <f>IF(tech_base!$T143&gt;AH$1745,"",(tech_base!$K143/tech_proj!AH267*0.086*$J$132)/(1-tech_proj!AH547))</f>
        <v>0</v>
      </c>
      <c r="AI1887" s="123">
        <f>IF(tech_base!$T143&gt;AI$1745,"",(tech_base!$K143/tech_proj!AI267*0.086*$J$132)/(1-tech_proj!AI547))</f>
        <v>0</v>
      </c>
      <c r="AJ1887" s="123">
        <f>IF(tech_base!$T143&gt;AJ$1745,"",(tech_base!$K143/tech_proj!AJ267*0.086*$J$132)/(1-tech_proj!AJ547))</f>
        <v>0</v>
      </c>
      <c r="AK1887" s="123">
        <f>IF(tech_base!$T143&gt;AK$1745,"",(tech_base!$K143/tech_proj!AK267*0.086*$J$132)/(1-tech_proj!AK547))</f>
        <v>0</v>
      </c>
      <c r="AL1887" s="123">
        <f>IF(tech_base!$T143&gt;AL$1745,"",(tech_base!$K143/tech_proj!AL267*0.086*$J$132)/(1-tech_proj!AL547))</f>
        <v>0</v>
      </c>
      <c r="AM1887" s="123">
        <f>IF(tech_base!$T143&gt;AM$1745,"",(tech_base!$K143/tech_proj!AM267*0.086*$J$132)/(1-tech_proj!AM547))</f>
        <v>0</v>
      </c>
      <c r="AN1887" s="123">
        <f>IF(tech_base!$T143&gt;AN$1745,"",(tech_base!$K143/tech_proj!AN267*0.086*$J$132)/(1-tech_proj!AN547))</f>
        <v>0</v>
      </c>
      <c r="AO1887" s="123">
        <f>IF(tech_base!$T143&gt;AO$1745,"",(tech_base!$K143/tech_proj!AO267*0.086*$J$132)/(1-tech_proj!AO547))</f>
        <v>0</v>
      </c>
      <c r="AP1887" s="123">
        <f>IF(tech_base!$T143&gt;AP$1745,"",(tech_base!$K143/tech_proj!AP267*0.086*$J$132)/(1-tech_proj!AP547))</f>
        <v>0</v>
      </c>
      <c r="AQ1887" s="123">
        <f>IF(tech_base!$T143&gt;AQ$1745,"",(tech_base!$K143/tech_proj!AQ267*0.086*$J$132)/(1-tech_proj!AQ547))</f>
        <v>0</v>
      </c>
      <c r="AR1887" s="123">
        <f>IF(tech_base!$T143&gt;AR$1745,"",(tech_base!$K143/tech_proj!AR267*0.086*$J$132)/(1-tech_proj!AR547))</f>
        <v>0</v>
      </c>
      <c r="AS1887" s="123">
        <f>IF(tech_base!$T143&gt;AS$1745,"",(tech_base!$K143/tech_proj!AS267*0.086*$J$132)/(1-tech_proj!AS547))</f>
        <v>0</v>
      </c>
      <c r="AT1887" s="123">
        <f>IF(tech_base!$T143&gt;AT$1745,"",(tech_base!$K143/tech_proj!AT267*0.086*$J$132)/(1-tech_proj!AT547))</f>
        <v>0</v>
      </c>
      <c r="AU1887" s="123">
        <f>IF(tech_base!$T143&gt;AU$1745,"",(tech_base!$K143/tech_proj!AU267*0.086*$J$132)/(1-tech_proj!AU547))</f>
        <v>0</v>
      </c>
      <c r="AV1887" s="123">
        <f>IF(tech_base!$T143&gt;AV$1745,"",(tech_base!$K143/tech_proj!AV267*0.086*$J$132)/(1-tech_proj!AV547))</f>
        <v>0</v>
      </c>
      <c r="AW1887" s="123">
        <f>IF(tech_base!$T143&gt;AW$1745,"",(tech_base!$K143/tech_proj!AW267*0.086*$J$132)/(1-tech_proj!AW547))</f>
        <v>0</v>
      </c>
      <c r="AX1887" s="124">
        <f>IF(tech_base!$T143&gt;AX$1745,"",(tech_base!$K143/tech_proj!AX267*0.086*$J$132)/(1-tech_proj!AX547))</f>
        <v>0</v>
      </c>
    </row>
    <row r="1888" spans="1:50" x14ac:dyDescent="0.25">
      <c r="A1888" s="356"/>
      <c r="B1888" s="376"/>
      <c r="C1888" s="379"/>
      <c r="D1888" s="59" t="s">
        <v>8</v>
      </c>
      <c r="E1888" s="166" t="str">
        <f>A1885&amp;"/"&amp;B1885&amp;"/"&amp;C1887&amp;"/"&amp;D1888</f>
        <v>Diesel oil fired power plants/Gas turbine combined cycle/CHP/M</v>
      </c>
      <c r="F1888" s="79" t="str">
        <f>A1885</f>
        <v>Diesel oil fired power plants</v>
      </c>
      <c r="G1888" s="79" t="str">
        <f>B1885</f>
        <v>Gas turbine combined cycle</v>
      </c>
      <c r="H1888" s="79" t="str">
        <f>C1887</f>
        <v>CHP</v>
      </c>
      <c r="I1888" s="167" t="str">
        <f t="shared" si="384"/>
        <v>M</v>
      </c>
      <c r="J1888" s="125">
        <f>IF(tech_base!$T144&gt;J$1745,"",(tech_base!$K144/tech_proj!J268*0.086*$J$132)/(1-tech_proj!J548))</f>
        <v>0</v>
      </c>
      <c r="K1888" s="125">
        <f>IF(tech_base!$T144&gt;K$1745,"",(tech_base!$K144/tech_proj!K268*0.086*$J$132)/(1-tech_proj!K548))</f>
        <v>0</v>
      </c>
      <c r="L1888" s="125">
        <f>IF(tech_base!$T144&gt;L$1745,"",(tech_base!$K144/tech_proj!L268*0.086*$J$132)/(1-tech_proj!L548))</f>
        <v>0</v>
      </c>
      <c r="M1888" s="125">
        <f>IF(tech_base!$T144&gt;M$1745,"",(tech_base!$K144/tech_proj!M268*0.086*$J$132)/(1-tech_proj!M548))</f>
        <v>0</v>
      </c>
      <c r="N1888" s="125">
        <f>IF(tech_base!$T144&gt;N$1745,"",(tech_base!$K144/tech_proj!N268*0.086*$J$132)/(1-tech_proj!N548))</f>
        <v>0</v>
      </c>
      <c r="O1888" s="125">
        <f>IF(tech_base!$T144&gt;O$1745,"",(tech_base!$K144/tech_proj!O268*0.086*$J$132)/(1-tech_proj!O548))</f>
        <v>0</v>
      </c>
      <c r="P1888" s="125">
        <f>IF(tech_base!$T144&gt;P$1745,"",(tech_base!$K144/tech_proj!P268*0.086*$J$132)/(1-tech_proj!P548))</f>
        <v>0</v>
      </c>
      <c r="Q1888" s="125">
        <f>IF(tech_base!$T144&gt;Q$1745,"",(tech_base!$K144/tech_proj!Q268*0.086*$J$132)/(1-tech_proj!Q548))</f>
        <v>0</v>
      </c>
      <c r="R1888" s="125">
        <f>IF(tech_base!$T144&gt;R$1745,"",(tech_base!$K144/tech_proj!R268*0.086*$J$132)/(1-tech_proj!R548))</f>
        <v>0</v>
      </c>
      <c r="S1888" s="125">
        <f>IF(tech_base!$T144&gt;S$1745,"",(tech_base!$K144/tech_proj!S268*0.086*$J$132)/(1-tech_proj!S548))</f>
        <v>0</v>
      </c>
      <c r="T1888" s="125">
        <f>IF(tech_base!$T144&gt;T$1745,"",(tech_base!$K144/tech_proj!T268*0.086*$J$132)/(1-tech_proj!T548))</f>
        <v>0</v>
      </c>
      <c r="U1888" s="125">
        <f>IF(tech_base!$T144&gt;U$1745,"",(tech_base!$K144/tech_proj!U268*0.086*$J$132)/(1-tech_proj!U548))</f>
        <v>0</v>
      </c>
      <c r="V1888" s="125">
        <f>IF(tech_base!$T144&gt;V$1745,"",(tech_base!$K144/tech_proj!V268*0.086*$J$132)/(1-tech_proj!V548))</f>
        <v>0</v>
      </c>
      <c r="W1888" s="125">
        <f>IF(tech_base!$T144&gt;W$1745,"",(tech_base!$K144/tech_proj!W268*0.086*$J$132)/(1-tech_proj!W548))</f>
        <v>0</v>
      </c>
      <c r="X1888" s="125">
        <f>IF(tech_base!$T144&gt;X$1745,"",(tech_base!$K144/tech_proj!X268*0.086*$J$132)/(1-tech_proj!X548))</f>
        <v>0</v>
      </c>
      <c r="Y1888" s="125">
        <f>IF(tech_base!$T144&gt;Y$1745,"",(tech_base!$K144/tech_proj!Y268*0.086*$J$132)/(1-tech_proj!Y548))</f>
        <v>0</v>
      </c>
      <c r="Z1888" s="125">
        <f>IF(tech_base!$T144&gt;Z$1745,"",(tech_base!$K144/tech_proj!Z268*0.086*$J$132)/(1-tech_proj!Z548))</f>
        <v>0</v>
      </c>
      <c r="AA1888" s="125">
        <f>IF(tech_base!$T144&gt;AA$1745,"",(tech_base!$K144/tech_proj!AA268*0.086*$J$132)/(1-tech_proj!AA548))</f>
        <v>0</v>
      </c>
      <c r="AB1888" s="125">
        <f>IF(tech_base!$T144&gt;AB$1745,"",(tech_base!$K144/tech_proj!AB268*0.086*$J$132)/(1-tech_proj!AB548))</f>
        <v>0</v>
      </c>
      <c r="AC1888" s="125">
        <f>IF(tech_base!$T144&gt;AC$1745,"",(tech_base!$K144/tech_proj!AC268*0.086*$J$132)/(1-tech_proj!AC548))</f>
        <v>0</v>
      </c>
      <c r="AD1888" s="125">
        <f>IF(tech_base!$T144&gt;AD$1745,"",(tech_base!$K144/tech_proj!AD268*0.086*$J$132)/(1-tech_proj!AD548))</f>
        <v>0</v>
      </c>
      <c r="AE1888" s="125">
        <f>IF(tech_base!$T144&gt;AE$1745,"",(tech_base!$K144/tech_proj!AE268*0.086*$J$132)/(1-tech_proj!AE548))</f>
        <v>0</v>
      </c>
      <c r="AF1888" s="125">
        <f>IF(tech_base!$T144&gt;AF$1745,"",(tech_base!$K144/tech_proj!AF268*0.086*$J$132)/(1-tech_proj!AF548))</f>
        <v>0</v>
      </c>
      <c r="AG1888" s="125">
        <f>IF(tech_base!$T144&gt;AG$1745,"",(tech_base!$K144/tech_proj!AG268*0.086*$J$132)/(1-tech_proj!AG548))</f>
        <v>0</v>
      </c>
      <c r="AH1888" s="125">
        <f>IF(tech_base!$T144&gt;AH$1745,"",(tech_base!$K144/tech_proj!AH268*0.086*$J$132)/(1-tech_proj!AH548))</f>
        <v>0</v>
      </c>
      <c r="AI1888" s="125">
        <f>IF(tech_base!$T144&gt;AI$1745,"",(tech_base!$K144/tech_proj!AI268*0.086*$J$132)/(1-tech_proj!AI548))</f>
        <v>0</v>
      </c>
      <c r="AJ1888" s="125">
        <f>IF(tech_base!$T144&gt;AJ$1745,"",(tech_base!$K144/tech_proj!AJ268*0.086*$J$132)/(1-tech_proj!AJ548))</f>
        <v>0</v>
      </c>
      <c r="AK1888" s="125">
        <f>IF(tech_base!$T144&gt;AK$1745,"",(tech_base!$K144/tech_proj!AK268*0.086*$J$132)/(1-tech_proj!AK548))</f>
        <v>0</v>
      </c>
      <c r="AL1888" s="125">
        <f>IF(tech_base!$T144&gt;AL$1745,"",(tech_base!$K144/tech_proj!AL268*0.086*$J$132)/(1-tech_proj!AL548))</f>
        <v>0</v>
      </c>
      <c r="AM1888" s="125">
        <f>IF(tech_base!$T144&gt;AM$1745,"",(tech_base!$K144/tech_proj!AM268*0.086*$J$132)/(1-tech_proj!AM548))</f>
        <v>0</v>
      </c>
      <c r="AN1888" s="125">
        <f>IF(tech_base!$T144&gt;AN$1745,"",(tech_base!$K144/tech_proj!AN268*0.086*$J$132)/(1-tech_proj!AN548))</f>
        <v>0</v>
      </c>
      <c r="AO1888" s="125">
        <f>IF(tech_base!$T144&gt;AO$1745,"",(tech_base!$K144/tech_proj!AO268*0.086*$J$132)/(1-tech_proj!AO548))</f>
        <v>0</v>
      </c>
      <c r="AP1888" s="125">
        <f>IF(tech_base!$T144&gt;AP$1745,"",(tech_base!$K144/tech_proj!AP268*0.086*$J$132)/(1-tech_proj!AP548))</f>
        <v>0</v>
      </c>
      <c r="AQ1888" s="125">
        <f>IF(tech_base!$T144&gt;AQ$1745,"",(tech_base!$K144/tech_proj!AQ268*0.086*$J$132)/(1-tech_proj!AQ548))</f>
        <v>0</v>
      </c>
      <c r="AR1888" s="125">
        <f>IF(tech_base!$T144&gt;AR$1745,"",(tech_base!$K144/tech_proj!AR268*0.086*$J$132)/(1-tech_proj!AR548))</f>
        <v>0</v>
      </c>
      <c r="AS1888" s="125">
        <f>IF(tech_base!$T144&gt;AS$1745,"",(tech_base!$K144/tech_proj!AS268*0.086*$J$132)/(1-tech_proj!AS548))</f>
        <v>0</v>
      </c>
      <c r="AT1888" s="125">
        <f>IF(tech_base!$T144&gt;AT$1745,"",(tech_base!$K144/tech_proj!AT268*0.086*$J$132)/(1-tech_proj!AT548))</f>
        <v>0</v>
      </c>
      <c r="AU1888" s="125">
        <f>IF(tech_base!$T144&gt;AU$1745,"",(tech_base!$K144/tech_proj!AU268*0.086*$J$132)/(1-tech_proj!AU548))</f>
        <v>0</v>
      </c>
      <c r="AV1888" s="125">
        <f>IF(tech_base!$T144&gt;AV$1745,"",(tech_base!$K144/tech_proj!AV268*0.086*$J$132)/(1-tech_proj!AV548))</f>
        <v>0</v>
      </c>
      <c r="AW1888" s="125">
        <f>IF(tech_base!$T144&gt;AW$1745,"",(tech_base!$K144/tech_proj!AW268*0.086*$J$132)/(1-tech_proj!AW548))</f>
        <v>0</v>
      </c>
      <c r="AX1888" s="126">
        <f>IF(tech_base!$T144&gt;AX$1745,"",(tech_base!$K144/tech_proj!AX268*0.086*$J$132)/(1-tech_proj!AX548))</f>
        <v>0</v>
      </c>
    </row>
    <row r="1889" spans="1:50" x14ac:dyDescent="0.25">
      <c r="A1889" s="356"/>
      <c r="B1889" s="376"/>
      <c r="C1889" s="361" t="s">
        <v>15</v>
      </c>
      <c r="D1889" s="58" t="s">
        <v>7</v>
      </c>
      <c r="E1889" s="164" t="str">
        <f>A1885&amp;"/"&amp;B1885&amp;"/"&amp;C1889&amp;"/"&amp;D1889</f>
        <v>Diesel oil fired power plants/Gas turbine combined cycle/Electricity only with CCS/L</v>
      </c>
      <c r="F1889" s="78" t="str">
        <f>A1885</f>
        <v>Diesel oil fired power plants</v>
      </c>
      <c r="G1889" s="78" t="str">
        <f>B1885</f>
        <v>Gas turbine combined cycle</v>
      </c>
      <c r="H1889" s="78" t="str">
        <f>C1889</f>
        <v>Electricity only with CCS</v>
      </c>
      <c r="I1889" s="165" t="str">
        <f t="shared" si="384"/>
        <v>L</v>
      </c>
      <c r="J1889" s="123" t="str">
        <f>IF(tech_base!$T145&gt;J$1745,"",(tech_base!$K145/tech_proj!J269*0.086*$J$132)/(1-tech_proj!J549))</f>
        <v/>
      </c>
      <c r="K1889" s="123" t="str">
        <f>IF(tech_base!$T145&gt;K$1745,"",(tech_base!$K145/tech_proj!K269*0.086*$J$132)/(1-tech_proj!K549))</f>
        <v/>
      </c>
      <c r="L1889" s="123" t="str">
        <f>IF(tech_base!$T145&gt;L$1745,"",(tech_base!$K145/tech_proj!L269*0.086*$J$132)/(1-tech_proj!L549))</f>
        <v/>
      </c>
      <c r="M1889" s="123" t="str">
        <f>IF(tech_base!$T145&gt;M$1745,"",(tech_base!$K145/tech_proj!M269*0.086*$J$132)/(1-tech_proj!M549))</f>
        <v/>
      </c>
      <c r="N1889" s="123" t="str">
        <f>IF(tech_base!$T145&gt;N$1745,"",(tech_base!$K145/tech_proj!N269*0.086*$J$132)/(1-tech_proj!N549))</f>
        <v/>
      </c>
      <c r="O1889" s="123" t="str">
        <f>IF(tech_base!$T145&gt;O$1745,"",(tech_base!$K145/tech_proj!O269*0.086*$J$132)/(1-tech_proj!O549))</f>
        <v/>
      </c>
      <c r="P1889" s="123" t="str">
        <f>IF(tech_base!$T145&gt;P$1745,"",(tech_base!$K145/tech_proj!P269*0.086*$J$132)/(1-tech_proj!P549))</f>
        <v/>
      </c>
      <c r="Q1889" s="123" t="str">
        <f>IF(tech_base!$T145&gt;Q$1745,"",(tech_base!$K145/tech_proj!Q269*0.086*$J$132)/(1-tech_proj!Q549))</f>
        <v/>
      </c>
      <c r="R1889" s="123" t="str">
        <f>IF(tech_base!$T145&gt;R$1745,"",(tech_base!$K145/tech_proj!R269*0.086*$J$132)/(1-tech_proj!R549))</f>
        <v/>
      </c>
      <c r="S1889" s="123" t="str">
        <f>IF(tech_base!$T145&gt;S$1745,"",(tech_base!$K145/tech_proj!S269*0.086*$J$132)/(1-tech_proj!S549))</f>
        <v/>
      </c>
      <c r="T1889" s="123" t="str">
        <f>IF(tech_base!$T145&gt;T$1745,"",(tech_base!$K145/tech_proj!T269*0.086*$J$132)/(1-tech_proj!T549))</f>
        <v/>
      </c>
      <c r="U1889" s="123" t="str">
        <f>IF(tech_base!$T145&gt;U$1745,"",(tech_base!$K145/tech_proj!U269*0.086*$J$132)/(1-tech_proj!U549))</f>
        <v/>
      </c>
      <c r="V1889" s="123" t="str">
        <f>IF(tech_base!$T145&gt;V$1745,"",(tech_base!$K145/tech_proj!V269*0.086*$J$132)/(1-tech_proj!V549))</f>
        <v/>
      </c>
      <c r="W1889" s="123" t="str">
        <f>IF(tech_base!$T145&gt;W$1745,"",(tech_base!$K145/tech_proj!W269*0.086*$J$132)/(1-tech_proj!W549))</f>
        <v/>
      </c>
      <c r="X1889" s="123" t="str">
        <f>IF(tech_base!$T145&gt;X$1745,"",(tech_base!$K145/tech_proj!X269*0.086*$J$132)/(1-tech_proj!X549))</f>
        <v/>
      </c>
      <c r="Y1889" s="123" t="str">
        <f>IF(tech_base!$T145&gt;Y$1745,"",(tech_base!$K145/tech_proj!Y269*0.086*$J$132)/(1-tech_proj!Y549))</f>
        <v/>
      </c>
      <c r="Z1889" s="123" t="str">
        <f>IF(tech_base!$T145&gt;Z$1745,"",(tech_base!$K145/tech_proj!Z269*0.086*$J$132)/(1-tech_proj!Z549))</f>
        <v/>
      </c>
      <c r="AA1889" s="123" t="str">
        <f>IF(tech_base!$T145&gt;AA$1745,"",(tech_base!$K145/tech_proj!AA269*0.086*$J$132)/(1-tech_proj!AA549))</f>
        <v/>
      </c>
      <c r="AB1889" s="123" t="str">
        <f>IF(tech_base!$T145&gt;AB$1745,"",(tech_base!$K145/tech_proj!AB269*0.086*$J$132)/(1-tech_proj!AB549))</f>
        <v/>
      </c>
      <c r="AC1889" s="123" t="str">
        <f>IF(tech_base!$T145&gt;AC$1745,"",(tech_base!$K145/tech_proj!AC269*0.086*$J$132)/(1-tech_proj!AC549))</f>
        <v/>
      </c>
      <c r="AD1889" s="123" t="str">
        <f>IF(tech_base!$T145&gt;AD$1745,"",(tech_base!$K145/tech_proj!AD269*0.086*$J$132)/(1-tech_proj!AD549))</f>
        <v/>
      </c>
      <c r="AE1889" s="123">
        <f>IF(tech_base!$T145&gt;AE$1745,"",(tech_base!$K145/tech_proj!AE269*0.086*$J$132)/(1-tech_proj!AE549))</f>
        <v>5.9174668206822165</v>
      </c>
      <c r="AF1889" s="123">
        <f>IF(tech_base!$T145&gt;AF$1745,"",(tech_base!$K145/tech_proj!AF269*0.086*$J$132)/(1-tech_proj!AF549))</f>
        <v>5.9161731199418197</v>
      </c>
      <c r="AG1889" s="123">
        <f>IF(tech_base!$T145&gt;AG$1745,"",(tech_base!$K145/tech_proj!AG269*0.086*$J$132)/(1-tech_proj!AG549))</f>
        <v>5.9145159962926526</v>
      </c>
      <c r="AH1889" s="123">
        <f>IF(tech_base!$T145&gt;AH$1745,"",(tech_base!$K145/tech_proj!AH269*0.086*$J$132)/(1-tech_proj!AH549))</f>
        <v>5.9123948117995928</v>
      </c>
      <c r="AI1889" s="123">
        <f>IF(tech_base!$T145&gt;AI$1745,"",(tech_base!$K145/tech_proj!AI269*0.086*$J$132)/(1-tech_proj!AI549))</f>
        <v>5.9096819929765418</v>
      </c>
      <c r="AJ1889" s="123">
        <f>IF(tech_base!$T145&gt;AJ$1745,"",(tech_base!$K145/tech_proj!AJ269*0.086*$J$132)/(1-tech_proj!AJ549))</f>
        <v>5.9062164191373965</v>
      </c>
      <c r="AK1889" s="123">
        <f>IF(tech_base!$T145&gt;AK$1745,"",(tech_base!$K145/tech_proj!AK269*0.086*$J$132)/(1-tech_proj!AK549))</f>
        <v>5.9017955735154022</v>
      </c>
      <c r="AL1889" s="123">
        <f>IF(tech_base!$T145&gt;AL$1745,"",(tech_base!$K145/tech_proj!AL269*0.086*$J$132)/(1-tech_proj!AL549))</f>
        <v>5.8961664856655389</v>
      </c>
      <c r="AM1889" s="123">
        <f>IF(tech_base!$T145&gt;AM$1745,"",(tech_base!$K145/tech_proj!AM269*0.086*$J$132)/(1-tech_proj!AM549))</f>
        <v>5.8890157106999776</v>
      </c>
      <c r="AN1889" s="123">
        <f>IF(tech_base!$T145&gt;AN$1745,"",(tech_base!$K145/tech_proj!AN269*0.086*$J$132)/(1-tech_proj!AN549))</f>
        <v>5.8799589669990011</v>
      </c>
      <c r="AO1889" s="123">
        <f>IF(tech_base!$T145&gt;AO$1745,"",(tech_base!$K145/tech_proj!AO269*0.086*$J$132)/(1-tech_proj!AO549))</f>
        <v>5.8685316609752034</v>
      </c>
      <c r="AP1889" s="123">
        <f>IF(tech_base!$T145&gt;AP$1745,"",(tech_base!$K145/tech_proj!AP269*0.086*$J$132)/(1-tech_proj!AP549))</f>
        <v>5.8541824429825535</v>
      </c>
      <c r="AQ1889" s="123">
        <f>IF(tech_base!$T145&gt;AQ$1745,"",(tech_base!$K145/tech_proj!AQ269*0.086*$J$132)/(1-tech_proj!AQ549))</f>
        <v>5.8362732163220903</v>
      </c>
      <c r="AR1889" s="123">
        <f>IF(tech_base!$T145&gt;AR$1745,"",(tech_base!$K145/tech_proj!AR269*0.086*$J$132)/(1-tech_proj!AR549))</f>
        <v>5.8140906247347148</v>
      </c>
      <c r="AS1889" s="123">
        <f>IF(tech_base!$T145&gt;AS$1745,"",(tech_base!$K145/tech_proj!AS269*0.086*$J$132)/(1-tech_proj!AS549))</f>
        <v>5.7868757238438473</v>
      </c>
      <c r="AT1889" s="123">
        <f>IF(tech_base!$T145&gt;AT$1745,"",(tech_base!$K145/tech_proj!AT269*0.086*$J$132)/(1-tech_proj!AT549))</f>
        <v>5.7538796568309341</v>
      </c>
      <c r="AU1889" s="123">
        <f>IF(tech_base!$T145&gt;AU$1745,"",(tech_base!$K145/tech_proj!AU269*0.086*$J$132)/(1-tech_proj!AU549))</f>
        <v>5.7144524797519907</v>
      </c>
      <c r="AV1889" s="123">
        <f>IF(tech_base!$T145&gt;AV$1745,"",(tech_base!$K145/tech_proj!AV269*0.086*$J$132)/(1-tech_proj!AV549))</f>
        <v>5.6681679833650058</v>
      </c>
      <c r="AW1889" s="123">
        <f>IF(tech_base!$T145&gt;AW$1745,"",(tech_base!$K145/tech_proj!AW269*0.086*$J$132)/(1-tech_proj!AW549))</f>
        <v>5.6149774761539586</v>
      </c>
      <c r="AX1889" s="124">
        <f>IF(tech_base!$T145&gt;AX$1745,"",(tech_base!$K145/tech_proj!AX269*0.086*$J$132)/(1-tech_proj!AX549))</f>
        <v>5.5553693668888595</v>
      </c>
    </row>
    <row r="1890" spans="1:50" x14ac:dyDescent="0.25">
      <c r="A1890" s="356"/>
      <c r="B1890" s="376"/>
      <c r="C1890" s="379"/>
      <c r="D1890" s="59" t="s">
        <v>8</v>
      </c>
      <c r="E1890" s="166" t="str">
        <f>A1885&amp;"/"&amp;B1885&amp;"/"&amp;C1889&amp;"/"&amp;D1890</f>
        <v>Diesel oil fired power plants/Gas turbine combined cycle/Electricity only with CCS/M</v>
      </c>
      <c r="F1890" s="79" t="str">
        <f>A1885</f>
        <v>Diesel oil fired power plants</v>
      </c>
      <c r="G1890" s="79" t="str">
        <f>B1885</f>
        <v>Gas turbine combined cycle</v>
      </c>
      <c r="H1890" s="79" t="str">
        <f>C1889</f>
        <v>Electricity only with CCS</v>
      </c>
      <c r="I1890" s="167" t="str">
        <f t="shared" si="384"/>
        <v>M</v>
      </c>
      <c r="J1890" s="125" t="str">
        <f>IF(tech_base!$T146&gt;J$1745,"",(tech_base!$K146/tech_proj!J270*0.086*$J$132)/(1-tech_proj!J550))</f>
        <v/>
      </c>
      <c r="K1890" s="125" t="str">
        <f>IF(tech_base!$T146&gt;K$1745,"",(tech_base!$K146/tech_proj!K270*0.086*$J$132)/(1-tech_proj!K550))</f>
        <v/>
      </c>
      <c r="L1890" s="125" t="str">
        <f>IF(tech_base!$T146&gt;L$1745,"",(tech_base!$K146/tech_proj!L270*0.086*$J$132)/(1-tech_proj!L550))</f>
        <v/>
      </c>
      <c r="M1890" s="125" t="str">
        <f>IF(tech_base!$T146&gt;M$1745,"",(tech_base!$K146/tech_proj!M270*0.086*$J$132)/(1-tech_proj!M550))</f>
        <v/>
      </c>
      <c r="N1890" s="125" t="str">
        <f>IF(tech_base!$T146&gt;N$1745,"",(tech_base!$K146/tech_proj!N270*0.086*$J$132)/(1-tech_proj!N550))</f>
        <v/>
      </c>
      <c r="O1890" s="125" t="str">
        <f>IF(tech_base!$T146&gt;O$1745,"",(tech_base!$K146/tech_proj!O270*0.086*$J$132)/(1-tech_proj!O550))</f>
        <v/>
      </c>
      <c r="P1890" s="125" t="str">
        <f>IF(tech_base!$T146&gt;P$1745,"",(tech_base!$K146/tech_proj!P270*0.086*$J$132)/(1-tech_proj!P550))</f>
        <v/>
      </c>
      <c r="Q1890" s="125" t="str">
        <f>IF(tech_base!$T146&gt;Q$1745,"",(tech_base!$K146/tech_proj!Q270*0.086*$J$132)/(1-tech_proj!Q550))</f>
        <v/>
      </c>
      <c r="R1890" s="125" t="str">
        <f>IF(tech_base!$T146&gt;R$1745,"",(tech_base!$K146/tech_proj!R270*0.086*$J$132)/(1-tech_proj!R550))</f>
        <v/>
      </c>
      <c r="S1890" s="125" t="str">
        <f>IF(tech_base!$T146&gt;S$1745,"",(tech_base!$K146/tech_proj!S270*0.086*$J$132)/(1-tech_proj!S550))</f>
        <v/>
      </c>
      <c r="T1890" s="125" t="str">
        <f>IF(tech_base!$T146&gt;T$1745,"",(tech_base!$K146/tech_proj!T270*0.086*$J$132)/(1-tech_proj!T550))</f>
        <v/>
      </c>
      <c r="U1890" s="125" t="str">
        <f>IF(tech_base!$T146&gt;U$1745,"",(tech_base!$K146/tech_proj!U270*0.086*$J$132)/(1-tech_proj!U550))</f>
        <v/>
      </c>
      <c r="V1890" s="125" t="str">
        <f>IF(tech_base!$T146&gt;V$1745,"",(tech_base!$K146/tech_proj!V270*0.086*$J$132)/(1-tech_proj!V550))</f>
        <v/>
      </c>
      <c r="W1890" s="125" t="str">
        <f>IF(tech_base!$T146&gt;W$1745,"",(tech_base!$K146/tech_proj!W270*0.086*$J$132)/(1-tech_proj!W550))</f>
        <v/>
      </c>
      <c r="X1890" s="125" t="str">
        <f>IF(tech_base!$T146&gt;X$1745,"",(tech_base!$K146/tech_proj!X270*0.086*$J$132)/(1-tech_proj!X550))</f>
        <v/>
      </c>
      <c r="Y1890" s="125" t="str">
        <f>IF(tech_base!$T146&gt;Y$1745,"",(tech_base!$K146/tech_proj!Y270*0.086*$J$132)/(1-tech_proj!Y550))</f>
        <v/>
      </c>
      <c r="Z1890" s="125" t="str">
        <f>IF(tech_base!$T146&gt;Z$1745,"",(tech_base!$K146/tech_proj!Z270*0.086*$J$132)/(1-tech_proj!Z550))</f>
        <v/>
      </c>
      <c r="AA1890" s="125" t="str">
        <f>IF(tech_base!$T146&gt;AA$1745,"",(tech_base!$K146/tech_proj!AA270*0.086*$J$132)/(1-tech_proj!AA550))</f>
        <v/>
      </c>
      <c r="AB1890" s="125" t="str">
        <f>IF(tech_base!$T146&gt;AB$1745,"",(tech_base!$K146/tech_proj!AB270*0.086*$J$132)/(1-tech_proj!AB550))</f>
        <v/>
      </c>
      <c r="AC1890" s="125" t="str">
        <f>IF(tech_base!$T146&gt;AC$1745,"",(tech_base!$K146/tech_proj!AC270*0.086*$J$132)/(1-tech_proj!AC550))</f>
        <v/>
      </c>
      <c r="AD1890" s="125" t="str">
        <f>IF(tech_base!$T146&gt;AD$1745,"",(tech_base!$K146/tech_proj!AD270*0.086*$J$132)/(1-tech_proj!AD550))</f>
        <v/>
      </c>
      <c r="AE1890" s="125">
        <f>IF(tech_base!$T146&gt;AE$1745,"",(tech_base!$K146/tech_proj!AE270*0.086*$J$132)/(1-tech_proj!AE550))</f>
        <v>6.2500131735250326</v>
      </c>
      <c r="AF1890" s="125">
        <f>IF(tech_base!$T146&gt;AF$1745,"",(tech_base!$K146/tech_proj!AF270*0.086*$J$132)/(1-tech_proj!AF550))</f>
        <v>6.2487608100218361</v>
      </c>
      <c r="AG1890" s="125">
        <f>IF(tech_base!$T146&gt;AG$1745,"",(tech_base!$K146/tech_proj!AG270*0.086*$J$132)/(1-tech_proj!AG550))</f>
        <v>6.2471566693550971</v>
      </c>
      <c r="AH1890" s="125">
        <f>IF(tech_base!$T146&gt;AH$1745,"",(tech_base!$K146/tech_proj!AH270*0.086*$J$132)/(1-tech_proj!AH550))</f>
        <v>6.2451033599831209</v>
      </c>
      <c r="AI1890" s="125">
        <f>IF(tech_base!$T146&gt;AI$1745,"",(tech_base!$K146/tech_proj!AI270*0.086*$J$132)/(1-tech_proj!AI550))</f>
        <v>6.2424774375382972</v>
      </c>
      <c r="AJ1890" s="125">
        <f>IF(tech_base!$T146&gt;AJ$1745,"",(tech_base!$K146/tech_proj!AJ270*0.086*$J$132)/(1-tech_proj!AJ550))</f>
        <v>6.2391230188541655</v>
      </c>
      <c r="AK1890" s="125">
        <f>IF(tech_base!$T146&gt;AK$1745,"",(tech_base!$K146/tech_proj!AK270*0.086*$J$132)/(1-tech_proj!AK550))</f>
        <v>6.2348442071394485</v>
      </c>
      <c r="AL1890" s="125">
        <f>IF(tech_base!$T146&gt;AL$1745,"",(tech_base!$K146/tech_proj!AL270*0.086*$J$132)/(1-tech_proj!AL550))</f>
        <v>6.2293963609319594</v>
      </c>
      <c r="AM1890" s="125">
        <f>IF(tech_base!$T146&gt;AM$1745,"",(tech_base!$K146/tech_proj!AM270*0.086*$J$132)/(1-tech_proj!AM550))</f>
        <v>6.2224764520506293</v>
      </c>
      <c r="AN1890" s="125">
        <f>IF(tech_base!$T146&gt;AN$1745,"",(tech_base!$K146/tech_proj!AN270*0.086*$J$132)/(1-tech_proj!AN550))</f>
        <v>6.2137131251585087</v>
      </c>
      <c r="AO1890" s="125">
        <f>IF(tech_base!$T146&gt;AO$1745,"",(tech_base!$K146/tech_proj!AO270*0.086*$J$132)/(1-tech_proj!AO550))</f>
        <v>6.2026576630808004</v>
      </c>
      <c r="AP1890" s="125">
        <f>IF(tech_base!$T146&gt;AP$1745,"",(tech_base!$K146/tech_proj!AP270*0.086*$J$132)/(1-tech_proj!AP550))</f>
        <v>6.1887779521250108</v>
      </c>
      <c r="AQ1890" s="125">
        <f>IF(tech_base!$T146&gt;AQ$1745,"",(tech_base!$K146/tech_proj!AQ270*0.086*$J$132)/(1-tech_proj!AQ550))</f>
        <v>6.1714587802148362</v>
      </c>
      <c r="AR1890" s="125">
        <f>IF(tech_base!$T146&gt;AR$1745,"",(tech_base!$K146/tech_proj!AR270*0.086*$J$132)/(1-tech_proj!AR550))</f>
        <v>6.1500133475414147</v>
      </c>
      <c r="AS1890" s="125">
        <f>IF(tech_base!$T146&gt;AS$1745,"",(tech_base!$K146/tech_proj!AS270*0.086*$J$132)/(1-tech_proj!AS550))</f>
        <v>6.1237124756195174</v>
      </c>
      <c r="AT1890" s="125">
        <f>IF(tech_base!$T146&gt;AT$1745,"",(tech_base!$K146/tech_proj!AT270*0.086*$J$132)/(1-tech_proj!AT550))</f>
        <v>6.0918390330347449</v>
      </c>
      <c r="AU1890" s="125">
        <f>IF(tech_base!$T146&gt;AU$1745,"",(tech_base!$K146/tech_proj!AU270*0.086*$J$132)/(1-tech_proj!AU550))</f>
        <v>6.0537743574717648</v>
      </c>
      <c r="AV1890" s="125">
        <f>IF(tech_base!$T146&gt;AV$1745,"",(tech_base!$K146/tech_proj!AV270*0.086*$J$132)/(1-tech_proj!AV550))</f>
        <v>6.0091191673049549</v>
      </c>
      <c r="AW1890" s="125">
        <f>IF(tech_base!$T146&gt;AW$1745,"",(tech_base!$K146/tech_proj!AW270*0.086*$J$132)/(1-tech_proj!AW550))</f>
        <v>5.957841756767964</v>
      </c>
      <c r="AX1890" s="126">
        <f>IF(tech_base!$T146&gt;AX$1745,"",(tech_base!$K146/tech_proj!AX270*0.086*$J$132)/(1-tech_proj!AX550))</f>
        <v>5.900430609789078</v>
      </c>
    </row>
    <row r="1891" spans="1:50" x14ac:dyDescent="0.25">
      <c r="A1891" s="356"/>
      <c r="B1891" s="376"/>
      <c r="C1891" s="361" t="s">
        <v>16</v>
      </c>
      <c r="D1891" s="2" t="s">
        <v>7</v>
      </c>
      <c r="E1891" s="160" t="str">
        <f>A1885&amp;"/"&amp;B1885&amp;"/"&amp;C1891&amp;"/"&amp;D1891</f>
        <v>Diesel oil fired power plants/Gas turbine combined cycle/CHP with CCS/L</v>
      </c>
      <c r="F1891" s="76" t="str">
        <f>A1885</f>
        <v>Diesel oil fired power plants</v>
      </c>
      <c r="G1891" s="76" t="str">
        <f>B1885</f>
        <v>Gas turbine combined cycle</v>
      </c>
      <c r="H1891" s="76" t="str">
        <f>C1891</f>
        <v>CHP with CCS</v>
      </c>
      <c r="I1891" s="161" t="str">
        <f t="shared" si="384"/>
        <v>L</v>
      </c>
      <c r="J1891" s="119" t="str">
        <f>IF(tech_base!$T147&gt;J$1745,"",(tech_base!$K147/tech_proj!J271*0.086*$J$132)/(1-tech_proj!J551))</f>
        <v/>
      </c>
      <c r="K1891" s="119" t="str">
        <f>IF(tech_base!$T147&gt;K$1745,"",(tech_base!$K147/tech_proj!K271*0.086*$J$132)/(1-tech_proj!K551))</f>
        <v/>
      </c>
      <c r="L1891" s="119" t="str">
        <f>IF(tech_base!$T147&gt;L$1745,"",(tech_base!$K147/tech_proj!L271*0.086*$J$132)/(1-tech_proj!L551))</f>
        <v/>
      </c>
      <c r="M1891" s="119" t="str">
        <f>IF(tech_base!$T147&gt;M$1745,"",(tech_base!$K147/tech_proj!M271*0.086*$J$132)/(1-tech_proj!M551))</f>
        <v/>
      </c>
      <c r="N1891" s="119" t="str">
        <f>IF(tech_base!$T147&gt;N$1745,"",(tech_base!$K147/tech_proj!N271*0.086*$J$132)/(1-tech_proj!N551))</f>
        <v/>
      </c>
      <c r="O1891" s="119" t="str">
        <f>IF(tech_base!$T147&gt;O$1745,"",(tech_base!$K147/tech_proj!O271*0.086*$J$132)/(1-tech_proj!O551))</f>
        <v/>
      </c>
      <c r="P1891" s="119" t="str">
        <f>IF(tech_base!$T147&gt;P$1745,"",(tech_base!$K147/tech_proj!P271*0.086*$J$132)/(1-tech_proj!P551))</f>
        <v/>
      </c>
      <c r="Q1891" s="119" t="str">
        <f>IF(tech_base!$T147&gt;Q$1745,"",(tech_base!$K147/tech_proj!Q271*0.086*$J$132)/(1-tech_proj!Q551))</f>
        <v/>
      </c>
      <c r="R1891" s="119" t="str">
        <f>IF(tech_base!$T147&gt;R$1745,"",(tech_base!$K147/tech_proj!R271*0.086*$J$132)/(1-tech_proj!R551))</f>
        <v/>
      </c>
      <c r="S1891" s="119" t="str">
        <f>IF(tech_base!$T147&gt;S$1745,"",(tech_base!$K147/tech_proj!S271*0.086*$J$132)/(1-tech_proj!S551))</f>
        <v/>
      </c>
      <c r="T1891" s="119" t="str">
        <f>IF(tech_base!$T147&gt;T$1745,"",(tech_base!$K147/tech_proj!T271*0.086*$J$132)/(1-tech_proj!T551))</f>
        <v/>
      </c>
      <c r="U1891" s="119" t="str">
        <f>IF(tech_base!$T147&gt;U$1745,"",(tech_base!$K147/tech_proj!U271*0.086*$J$132)/(1-tech_proj!U551))</f>
        <v/>
      </c>
      <c r="V1891" s="119" t="str">
        <f>IF(tech_base!$T147&gt;V$1745,"",(tech_base!$K147/tech_proj!V271*0.086*$J$132)/(1-tech_proj!V551))</f>
        <v/>
      </c>
      <c r="W1891" s="119" t="str">
        <f>IF(tech_base!$T147&gt;W$1745,"",(tech_base!$K147/tech_proj!W271*0.086*$J$132)/(1-tech_proj!W551))</f>
        <v/>
      </c>
      <c r="X1891" s="119" t="str">
        <f>IF(tech_base!$T147&gt;X$1745,"",(tech_base!$K147/tech_proj!X271*0.086*$J$132)/(1-tech_proj!X551))</f>
        <v/>
      </c>
      <c r="Y1891" s="119" t="str">
        <f>IF(tech_base!$T147&gt;Y$1745,"",(tech_base!$K147/tech_proj!Y271*0.086*$J$132)/(1-tech_proj!Y551))</f>
        <v/>
      </c>
      <c r="Z1891" s="119" t="str">
        <f>IF(tech_base!$T147&gt;Z$1745,"",(tech_base!$K147/tech_proj!Z271*0.086*$J$132)/(1-tech_proj!Z551))</f>
        <v/>
      </c>
      <c r="AA1891" s="119" t="str">
        <f>IF(tech_base!$T147&gt;AA$1745,"",(tech_base!$K147/tech_proj!AA271*0.086*$J$132)/(1-tech_proj!AA551))</f>
        <v/>
      </c>
      <c r="AB1891" s="119" t="str">
        <f>IF(tech_base!$T147&gt;AB$1745,"",(tech_base!$K147/tech_proj!AB271*0.086*$J$132)/(1-tech_proj!AB551))</f>
        <v/>
      </c>
      <c r="AC1891" s="119" t="str">
        <f>IF(tech_base!$T147&gt;AC$1745,"",(tech_base!$K147/tech_proj!AC271*0.086*$J$132)/(1-tech_proj!AC551))</f>
        <v/>
      </c>
      <c r="AD1891" s="119" t="str">
        <f>IF(tech_base!$T147&gt;AD$1745,"",(tech_base!$K147/tech_proj!AD271*0.086*$J$132)/(1-tech_proj!AD551))</f>
        <v/>
      </c>
      <c r="AE1891" s="119">
        <f>IF(tech_base!$T147&gt;AE$1745,"",(tech_base!$K147/tech_proj!AE271*0.086*$J$132)/(1-tech_proj!AE551))</f>
        <v>6.586882989902028</v>
      </c>
      <c r="AF1891" s="119">
        <f>IF(tech_base!$T147&gt;AF$1745,"",(tech_base!$K147/tech_proj!AF271*0.086*$J$132)/(1-tech_proj!AF551))</f>
        <v>6.5857840803154035</v>
      </c>
      <c r="AG1891" s="119">
        <f>IF(tech_base!$T147&gt;AG$1745,"",(tech_base!$K147/tech_proj!AG271*0.086*$J$132)/(1-tech_proj!AG551))</f>
        <v>6.5843760168690153</v>
      </c>
      <c r="AH1891" s="119">
        <f>IF(tech_base!$T147&gt;AH$1745,"",(tech_base!$K147/tech_proj!AH271*0.086*$J$132)/(1-tech_proj!AH551))</f>
        <v>6.5825728987560064</v>
      </c>
      <c r="AI1891" s="119">
        <f>IF(tech_base!$T147&gt;AI$1745,"",(tech_base!$K147/tech_proj!AI271*0.086*$J$132)/(1-tech_proj!AI551))</f>
        <v>6.5802656460470317</v>
      </c>
      <c r="AJ1891" s="119">
        <f>IF(tech_base!$T147&gt;AJ$1745,"",(tech_base!$K147/tech_proj!AJ271*0.086*$J$132)/(1-tech_proj!AJ551))</f>
        <v>6.5773161870690595</v>
      </c>
      <c r="AK1891" s="119">
        <f>IF(tech_base!$T147&gt;AK$1745,"",(tech_base!$K147/tech_proj!AK271*0.086*$J$132)/(1-tech_proj!AK551))</f>
        <v>6.573550473192757</v>
      </c>
      <c r="AL1891" s="119">
        <f>IF(tech_base!$T147&gt;AL$1745,"",(tech_base!$K147/tech_proj!AL271*0.086*$J$132)/(1-tech_proj!AL551))</f>
        <v>6.5687502748528788</v>
      </c>
      <c r="AM1891" s="119">
        <f>IF(tech_base!$T147&gt;AM$1745,"",(tech_base!$K147/tech_proj!AM271*0.086*$J$132)/(1-tech_proj!AM551))</f>
        <v>6.5626438607901614</v>
      </c>
      <c r="AN1891" s="119">
        <f>IF(tech_base!$T147&gt;AN$1745,"",(tech_base!$K147/tech_proj!AN271*0.086*$J$132)/(1-tech_proj!AN551))</f>
        <v>6.5548959318802078</v>
      </c>
      <c r="AO1891" s="119">
        <f>IF(tech_base!$T147&gt;AO$1745,"",(tech_base!$K147/tech_proj!AO271*0.086*$J$132)/(1-tech_proj!AO551))</f>
        <v>6.5450976323522756</v>
      </c>
      <c r="AP1891" s="119">
        <f>IF(tech_base!$T147&gt;AP$1745,"",(tech_base!$K147/tech_proj!AP271*0.086*$J$132)/(1-tech_proj!AP551))</f>
        <v>6.5327581676489554</v>
      </c>
      <c r="AQ1891" s="119">
        <f>IF(tech_base!$T147&gt;AQ$1745,"",(tech_base!$K147/tech_proj!AQ271*0.086*$J$132)/(1-tech_proj!AQ551))</f>
        <v>6.5173005879170214</v>
      </c>
      <c r="AR1891" s="119">
        <f>IF(tech_base!$T147&gt;AR$1745,"",(tech_base!$K147/tech_proj!AR271*0.086*$J$132)/(1-tech_proj!AR551))</f>
        <v>6.4980656702052082</v>
      </c>
      <c r="AS1891" s="119">
        <f>IF(tech_base!$T147&gt;AS$1745,"",(tech_base!$K147/tech_proj!AS271*0.086*$J$132)/(1-tech_proj!AS551))</f>
        <v>6.4743294392676631</v>
      </c>
      <c r="AT1891" s="119">
        <f>IF(tech_base!$T147&gt;AT$1745,"",(tech_base!$K147/tech_proj!AT271*0.086*$J$132)/(1-tech_proj!AT551))</f>
        <v>6.4453413206337329</v>
      </c>
      <c r="AU1891" s="119">
        <f>IF(tech_base!$T147&gt;AU$1745,"",(tech_base!$K147/tech_proj!AU271*0.086*$J$132)/(1-tech_proj!AU551))</f>
        <v>6.4103903781430809</v>
      </c>
      <c r="AV1891" s="119">
        <f>IF(tech_base!$T147&gt;AV$1745,"",(tech_base!$K147/tech_proj!AV271*0.086*$J$132)/(1-tech_proj!AV551))</f>
        <v>6.3689051241011088</v>
      </c>
      <c r="AW1891" s="119">
        <f>IF(tech_base!$T147&gt;AW$1745,"",(tech_base!$K147/tech_proj!AW271*0.086*$J$132)/(1-tech_proj!AW551))</f>
        <v>6.3205861512888966</v>
      </c>
      <c r="AX1891" s="120">
        <f>IF(tech_base!$T147&gt;AX$1745,"",(tech_base!$K147/tech_proj!AX271*0.086*$J$132)/(1-tech_proj!AX551))</f>
        <v>6.2655588732855394</v>
      </c>
    </row>
    <row r="1892" spans="1:50" x14ac:dyDescent="0.25">
      <c r="A1892" s="356"/>
      <c r="B1892" s="380"/>
      <c r="C1892" s="381"/>
      <c r="D1892" s="4" t="s">
        <v>8</v>
      </c>
      <c r="E1892" s="168" t="str">
        <f>A1885&amp;"/"&amp;B1885&amp;"/"&amp;C1891&amp;"/"&amp;D1892</f>
        <v>Diesel oil fired power plants/Gas turbine combined cycle/CHP with CCS/M</v>
      </c>
      <c r="F1892" s="80" t="str">
        <f>A1885</f>
        <v>Diesel oil fired power plants</v>
      </c>
      <c r="G1892" s="80" t="str">
        <f>B1885</f>
        <v>Gas turbine combined cycle</v>
      </c>
      <c r="H1892" s="80" t="str">
        <f>C1891</f>
        <v>CHP with CCS</v>
      </c>
      <c r="I1892" s="169" t="str">
        <f t="shared" si="384"/>
        <v>M</v>
      </c>
      <c r="J1892" s="127" t="str">
        <f>IF(tech_base!$T148&gt;J$1745,"",(tech_base!$K148/tech_proj!J272*0.086*$J$132)/(1-tech_proj!J552))</f>
        <v/>
      </c>
      <c r="K1892" s="127" t="str">
        <f>IF(tech_base!$T148&gt;K$1745,"",(tech_base!$K148/tech_proj!K272*0.086*$J$132)/(1-tech_proj!K552))</f>
        <v/>
      </c>
      <c r="L1892" s="127" t="str">
        <f>IF(tech_base!$T148&gt;L$1745,"",(tech_base!$K148/tech_proj!L272*0.086*$J$132)/(1-tech_proj!L552))</f>
        <v/>
      </c>
      <c r="M1892" s="127" t="str">
        <f>IF(tech_base!$T148&gt;M$1745,"",(tech_base!$K148/tech_proj!M272*0.086*$J$132)/(1-tech_proj!M552))</f>
        <v/>
      </c>
      <c r="N1892" s="127" t="str">
        <f>IF(tech_base!$T148&gt;N$1745,"",(tech_base!$K148/tech_proj!N272*0.086*$J$132)/(1-tech_proj!N552))</f>
        <v/>
      </c>
      <c r="O1892" s="127" t="str">
        <f>IF(tech_base!$T148&gt;O$1745,"",(tech_base!$K148/tech_proj!O272*0.086*$J$132)/(1-tech_proj!O552))</f>
        <v/>
      </c>
      <c r="P1892" s="127" t="str">
        <f>IF(tech_base!$T148&gt;P$1745,"",(tech_base!$K148/tech_proj!P272*0.086*$J$132)/(1-tech_proj!P552))</f>
        <v/>
      </c>
      <c r="Q1892" s="127" t="str">
        <f>IF(tech_base!$T148&gt;Q$1745,"",(tech_base!$K148/tech_proj!Q272*0.086*$J$132)/(1-tech_proj!Q552))</f>
        <v/>
      </c>
      <c r="R1892" s="127" t="str">
        <f>IF(tech_base!$T148&gt;R$1745,"",(tech_base!$K148/tech_proj!R272*0.086*$J$132)/(1-tech_proj!R552))</f>
        <v/>
      </c>
      <c r="S1892" s="127" t="str">
        <f>IF(tech_base!$T148&gt;S$1745,"",(tech_base!$K148/tech_proj!S272*0.086*$J$132)/(1-tech_proj!S552))</f>
        <v/>
      </c>
      <c r="T1892" s="127" t="str">
        <f>IF(tech_base!$T148&gt;T$1745,"",(tech_base!$K148/tech_proj!T272*0.086*$J$132)/(1-tech_proj!T552))</f>
        <v/>
      </c>
      <c r="U1892" s="127" t="str">
        <f>IF(tech_base!$T148&gt;U$1745,"",(tech_base!$K148/tech_proj!U272*0.086*$J$132)/(1-tech_proj!U552))</f>
        <v/>
      </c>
      <c r="V1892" s="127" t="str">
        <f>IF(tech_base!$T148&gt;V$1745,"",(tech_base!$K148/tech_proj!V272*0.086*$J$132)/(1-tech_proj!V552))</f>
        <v/>
      </c>
      <c r="W1892" s="127" t="str">
        <f>IF(tech_base!$T148&gt;W$1745,"",(tech_base!$K148/tech_proj!W272*0.086*$J$132)/(1-tech_proj!W552))</f>
        <v/>
      </c>
      <c r="X1892" s="127" t="str">
        <f>IF(tech_base!$T148&gt;X$1745,"",(tech_base!$K148/tech_proj!X272*0.086*$J$132)/(1-tech_proj!X552))</f>
        <v/>
      </c>
      <c r="Y1892" s="127" t="str">
        <f>IF(tech_base!$T148&gt;Y$1745,"",(tech_base!$K148/tech_proj!Y272*0.086*$J$132)/(1-tech_proj!Y552))</f>
        <v/>
      </c>
      <c r="Z1892" s="127" t="str">
        <f>IF(tech_base!$T148&gt;Z$1745,"",(tech_base!$K148/tech_proj!Z272*0.086*$J$132)/(1-tech_proj!Z552))</f>
        <v/>
      </c>
      <c r="AA1892" s="127" t="str">
        <f>IF(tech_base!$T148&gt;AA$1745,"",(tech_base!$K148/tech_proj!AA272*0.086*$J$132)/(1-tech_proj!AA552))</f>
        <v/>
      </c>
      <c r="AB1892" s="127" t="str">
        <f>IF(tech_base!$T148&gt;AB$1745,"",(tech_base!$K148/tech_proj!AB272*0.086*$J$132)/(1-tech_proj!AB552))</f>
        <v/>
      </c>
      <c r="AC1892" s="127" t="str">
        <f>IF(tech_base!$T148&gt;AC$1745,"",(tech_base!$K148/tech_proj!AC272*0.086*$J$132)/(1-tech_proj!AC552))</f>
        <v/>
      </c>
      <c r="AD1892" s="127" t="str">
        <f>IF(tech_base!$T148&gt;AD$1745,"",(tech_base!$K148/tech_proj!AD272*0.086*$J$132)/(1-tech_proj!AD552))</f>
        <v/>
      </c>
      <c r="AE1892" s="127">
        <f>IF(tech_base!$T148&gt;AE$1745,"",(tech_base!$K148/tech_proj!AE272*0.086*$J$132)/(1-tech_proj!AE552))</f>
        <v>6.9615601539034513</v>
      </c>
      <c r="AF1892" s="127">
        <f>IF(tech_base!$T148&gt;AF$1745,"",(tech_base!$K148/tech_proj!AF272*0.086*$J$132)/(1-tech_proj!AF552))</f>
        <v>6.9605044399307978</v>
      </c>
      <c r="AG1892" s="127">
        <f>IF(tech_base!$T148&gt;AG$1745,"",(tech_base!$K148/tech_proj!AG272*0.086*$J$132)/(1-tech_proj!AG552))</f>
        <v>6.9591517476659748</v>
      </c>
      <c r="AH1892" s="127">
        <f>IF(tech_base!$T148&gt;AH$1745,"",(tech_base!$K148/tech_proj!AH272*0.086*$J$132)/(1-tech_proj!AH552))</f>
        <v>6.957419574472075</v>
      </c>
      <c r="AI1892" s="127">
        <f>IF(tech_base!$T148&gt;AI$1745,"",(tech_base!$K148/tech_proj!AI272*0.086*$J$132)/(1-tech_proj!AI552))</f>
        <v>6.9552031652602082</v>
      </c>
      <c r="AJ1892" s="127">
        <f>IF(tech_base!$T148&gt;AJ$1745,"",(tech_base!$K148/tech_proj!AJ272*0.086*$J$132)/(1-tech_proj!AJ552))</f>
        <v>6.9523699385658695</v>
      </c>
      <c r="AK1892" s="127">
        <f>IF(tech_base!$T148&gt;AK$1745,"",(tech_base!$K148/tech_proj!AK272*0.086*$J$132)/(1-tech_proj!AK552))</f>
        <v>6.9487527924562986</v>
      </c>
      <c r="AL1892" s="127">
        <f>IF(tech_base!$T148&gt;AL$1745,"",(tech_base!$K148/tech_proj!AL272*0.086*$J$132)/(1-tech_proj!AL552))</f>
        <v>6.9441422495764735</v>
      </c>
      <c r="AM1892" s="127">
        <f>IF(tech_base!$T148&gt;AM$1745,"",(tech_base!$K148/tech_proj!AM272*0.086*$J$132)/(1-tech_proj!AM552))</f>
        <v>6.9382775448716885</v>
      </c>
      <c r="AN1892" s="127">
        <f>IF(tech_base!$T148&gt;AN$1745,"",(tech_base!$K148/tech_proj!AN272*0.086*$J$132)/(1-tech_proj!AN552))</f>
        <v>6.9308370209317705</v>
      </c>
      <c r="AO1892" s="127">
        <f>IF(tech_base!$T148&gt;AO$1745,"",(tech_base!$K148/tech_proj!AO272*0.086*$J$132)/(1-tech_proj!AO552))</f>
        <v>6.9214286329499943</v>
      </c>
      <c r="AP1892" s="127">
        <f>IF(tech_base!$T148&gt;AP$1745,"",(tech_base!$K148/tech_proj!AP272*0.086*$J$132)/(1-tech_proj!AP552))</f>
        <v>6.9095820476957002</v>
      </c>
      <c r="AQ1892" s="127">
        <f>IF(tech_base!$T148&gt;AQ$1745,"",(tech_base!$K148/tech_proj!AQ272*0.086*$J$132)/(1-tech_proj!AQ552))</f>
        <v>6.8947448130570308</v>
      </c>
      <c r="AR1892" s="127">
        <f>IF(tech_base!$T148&gt;AR$1745,"",(tech_base!$K148/tech_proj!AR272*0.086*$J$132)/(1-tech_proj!AR552))</f>
        <v>6.8762863940381607</v>
      </c>
      <c r="AS1892" s="127">
        <f>IF(tech_base!$T148&gt;AS$1745,"",(tech_base!$K148/tech_proj!AS272*0.086*$J$132)/(1-tech_proj!AS552))</f>
        <v>6.8535154049539946</v>
      </c>
      <c r="AT1892" s="127">
        <f>IF(tech_base!$T148&gt;AT$1745,"",(tech_base!$K148/tech_proj!AT272*0.086*$J$132)/(1-tech_proj!AT552))</f>
        <v>6.8257167365491354</v>
      </c>
      <c r="AU1892" s="127">
        <f>IF(tech_base!$T148&gt;AU$1745,"",(tech_base!$K148/tech_proj!AU272*0.086*$J$132)/(1-tech_proj!AU552))</f>
        <v>6.7922156607054003</v>
      </c>
      <c r="AV1892" s="127">
        <f>IF(tech_base!$T148&gt;AV$1745,"",(tech_base!$K148/tech_proj!AV272*0.086*$J$132)/(1-tech_proj!AV552))</f>
        <v>6.7524740153297911</v>
      </c>
      <c r="AW1892" s="127">
        <f>IF(tech_base!$T148&gt;AW$1745,"",(tech_base!$K148/tech_proj!AW272*0.086*$J$132)/(1-tech_proj!AW552))</f>
        <v>6.706217458354141</v>
      </c>
      <c r="AX1892" s="128">
        <f>IF(tech_base!$T148&gt;AX$1745,"",(tech_base!$K148/tech_proj!AX272*0.086*$J$132)/(1-tech_proj!AX552))</f>
        <v>6.6535811908128624</v>
      </c>
    </row>
    <row r="1893" spans="1:50" x14ac:dyDescent="0.25">
      <c r="A1893" s="356"/>
      <c r="B1893" s="358" t="s">
        <v>24</v>
      </c>
      <c r="C1893" s="353" t="s">
        <v>6</v>
      </c>
      <c r="D1893" s="3" t="s">
        <v>7</v>
      </c>
      <c r="E1893" s="162" t="str">
        <f>A1885&amp;"/"&amp;B1893&amp;"/"&amp;C1893&amp;"/"&amp;D1893</f>
        <v>Diesel oil fired power plants/Gas turbine /Electricity only/L</v>
      </c>
      <c r="F1893" s="77" t="str">
        <f>A1885</f>
        <v>Diesel oil fired power plants</v>
      </c>
      <c r="G1893" s="77" t="str">
        <f>B1893</f>
        <v xml:space="preserve">Gas turbine </v>
      </c>
      <c r="H1893" s="77" t="str">
        <f>C1893</f>
        <v>Electricity only</v>
      </c>
      <c r="I1893" s="163" t="str">
        <f t="shared" si="384"/>
        <v>L</v>
      </c>
      <c r="J1893" s="121">
        <f>IF(tech_base!$T149&gt;J$1745,"",(tech_base!$K149/tech_proj!J273*0.086*$J$132)/(1-tech_proj!J553))</f>
        <v>0</v>
      </c>
      <c r="K1893" s="121">
        <f>IF(tech_base!$T149&gt;K$1745,"",(tech_base!$K149/tech_proj!K273*0.086*$J$132)/(1-tech_proj!K553))</f>
        <v>0</v>
      </c>
      <c r="L1893" s="121">
        <f>IF(tech_base!$T149&gt;L$1745,"",(tech_base!$K149/tech_proj!L273*0.086*$J$132)/(1-tech_proj!L553))</f>
        <v>0</v>
      </c>
      <c r="M1893" s="121">
        <f>IF(tech_base!$T149&gt;M$1745,"",(tech_base!$K149/tech_proj!M273*0.086*$J$132)/(1-tech_proj!M553))</f>
        <v>0</v>
      </c>
      <c r="N1893" s="121">
        <f>IF(tech_base!$T149&gt;N$1745,"",(tech_base!$K149/tech_proj!N273*0.086*$J$132)/(1-tech_proj!N553))</f>
        <v>0</v>
      </c>
      <c r="O1893" s="121">
        <f>IF(tech_base!$T149&gt;O$1745,"",(tech_base!$K149/tech_proj!O273*0.086*$J$132)/(1-tech_proj!O553))</f>
        <v>0</v>
      </c>
      <c r="P1893" s="121">
        <f>IF(tech_base!$T149&gt;P$1745,"",(tech_base!$K149/tech_proj!P273*0.086*$J$132)/(1-tech_proj!P553))</f>
        <v>0</v>
      </c>
      <c r="Q1893" s="121">
        <f>IF(tech_base!$T149&gt;Q$1745,"",(tech_base!$K149/tech_proj!Q273*0.086*$J$132)/(1-tech_proj!Q553))</f>
        <v>0</v>
      </c>
      <c r="R1893" s="121">
        <f>IF(tech_base!$T149&gt;R$1745,"",(tech_base!$K149/tech_proj!R273*0.086*$J$132)/(1-tech_proj!R553))</f>
        <v>0</v>
      </c>
      <c r="S1893" s="121">
        <f>IF(tech_base!$T149&gt;S$1745,"",(tech_base!$K149/tech_proj!S273*0.086*$J$132)/(1-tech_proj!S553))</f>
        <v>0</v>
      </c>
      <c r="T1893" s="121">
        <f>IF(tech_base!$T149&gt;T$1745,"",(tech_base!$K149/tech_proj!T273*0.086*$J$132)/(1-tech_proj!T553))</f>
        <v>0</v>
      </c>
      <c r="U1893" s="121">
        <f>IF(tech_base!$T149&gt;U$1745,"",(tech_base!$K149/tech_proj!U273*0.086*$J$132)/(1-tech_proj!U553))</f>
        <v>0</v>
      </c>
      <c r="V1893" s="121">
        <f>IF(tech_base!$T149&gt;V$1745,"",(tech_base!$K149/tech_proj!V273*0.086*$J$132)/(1-tech_proj!V553))</f>
        <v>0</v>
      </c>
      <c r="W1893" s="121">
        <f>IF(tech_base!$T149&gt;W$1745,"",(tech_base!$K149/tech_proj!W273*0.086*$J$132)/(1-tech_proj!W553))</f>
        <v>0</v>
      </c>
      <c r="X1893" s="121">
        <f>IF(tech_base!$T149&gt;X$1745,"",(tech_base!$K149/tech_proj!X273*0.086*$J$132)/(1-tech_proj!X553))</f>
        <v>0</v>
      </c>
      <c r="Y1893" s="121">
        <f>IF(tech_base!$T149&gt;Y$1745,"",(tech_base!$K149/tech_proj!Y273*0.086*$J$132)/(1-tech_proj!Y553))</f>
        <v>0</v>
      </c>
      <c r="Z1893" s="121">
        <f>IF(tech_base!$T149&gt;Z$1745,"",(tech_base!$K149/tech_proj!Z273*0.086*$J$132)/(1-tech_proj!Z553))</f>
        <v>0</v>
      </c>
      <c r="AA1893" s="121">
        <f>IF(tech_base!$T149&gt;AA$1745,"",(tech_base!$K149/tech_proj!AA273*0.086*$J$132)/(1-tech_proj!AA553))</f>
        <v>0</v>
      </c>
      <c r="AB1893" s="121">
        <f>IF(tech_base!$T149&gt;AB$1745,"",(tech_base!$K149/tech_proj!AB273*0.086*$J$132)/(1-tech_proj!AB553))</f>
        <v>0</v>
      </c>
      <c r="AC1893" s="121">
        <f>IF(tech_base!$T149&gt;AC$1745,"",(tech_base!$K149/tech_proj!AC273*0.086*$J$132)/(1-tech_proj!AC553))</f>
        <v>0</v>
      </c>
      <c r="AD1893" s="121">
        <f>IF(tech_base!$T149&gt;AD$1745,"",(tech_base!$K149/tech_proj!AD273*0.086*$J$132)/(1-tech_proj!AD553))</f>
        <v>0</v>
      </c>
      <c r="AE1893" s="121">
        <f>IF(tech_base!$T149&gt;AE$1745,"",(tech_base!$K149/tech_proj!AE273*0.086*$J$132)/(1-tech_proj!AE553))</f>
        <v>0</v>
      </c>
      <c r="AF1893" s="121">
        <f>IF(tech_base!$T149&gt;AF$1745,"",(tech_base!$K149/tech_proj!AF273*0.086*$J$132)/(1-tech_proj!AF553))</f>
        <v>0</v>
      </c>
      <c r="AG1893" s="121">
        <f>IF(tech_base!$T149&gt;AG$1745,"",(tech_base!$K149/tech_proj!AG273*0.086*$J$132)/(1-tech_proj!AG553))</f>
        <v>0</v>
      </c>
      <c r="AH1893" s="121">
        <f>IF(tech_base!$T149&gt;AH$1745,"",(tech_base!$K149/tech_proj!AH273*0.086*$J$132)/(1-tech_proj!AH553))</f>
        <v>0</v>
      </c>
      <c r="AI1893" s="121">
        <f>IF(tech_base!$T149&gt;AI$1745,"",(tech_base!$K149/tech_proj!AI273*0.086*$J$132)/(1-tech_proj!AI553))</f>
        <v>0</v>
      </c>
      <c r="AJ1893" s="121">
        <f>IF(tech_base!$T149&gt;AJ$1745,"",(tech_base!$K149/tech_proj!AJ273*0.086*$J$132)/(1-tech_proj!AJ553))</f>
        <v>0</v>
      </c>
      <c r="AK1893" s="121">
        <f>IF(tech_base!$T149&gt;AK$1745,"",(tech_base!$K149/tech_proj!AK273*0.086*$J$132)/(1-tech_proj!AK553))</f>
        <v>0</v>
      </c>
      <c r="AL1893" s="121">
        <f>IF(tech_base!$T149&gt;AL$1745,"",(tech_base!$K149/tech_proj!AL273*0.086*$J$132)/(1-tech_proj!AL553))</f>
        <v>0</v>
      </c>
      <c r="AM1893" s="121">
        <f>IF(tech_base!$T149&gt;AM$1745,"",(tech_base!$K149/tech_proj!AM273*0.086*$J$132)/(1-tech_proj!AM553))</f>
        <v>0</v>
      </c>
      <c r="AN1893" s="121">
        <f>IF(tech_base!$T149&gt;AN$1745,"",(tech_base!$K149/tech_proj!AN273*0.086*$J$132)/(1-tech_proj!AN553))</f>
        <v>0</v>
      </c>
      <c r="AO1893" s="121">
        <f>IF(tech_base!$T149&gt;AO$1745,"",(tech_base!$K149/tech_proj!AO273*0.086*$J$132)/(1-tech_proj!AO553))</f>
        <v>0</v>
      </c>
      <c r="AP1893" s="121">
        <f>IF(tech_base!$T149&gt;AP$1745,"",(tech_base!$K149/tech_proj!AP273*0.086*$J$132)/(1-tech_proj!AP553))</f>
        <v>0</v>
      </c>
      <c r="AQ1893" s="121">
        <f>IF(tech_base!$T149&gt;AQ$1745,"",(tech_base!$K149/tech_proj!AQ273*0.086*$J$132)/(1-tech_proj!AQ553))</f>
        <v>0</v>
      </c>
      <c r="AR1893" s="121">
        <f>IF(tech_base!$T149&gt;AR$1745,"",(tech_base!$K149/tech_proj!AR273*0.086*$J$132)/(1-tech_proj!AR553))</f>
        <v>0</v>
      </c>
      <c r="AS1893" s="121">
        <f>IF(tech_base!$T149&gt;AS$1745,"",(tech_base!$K149/tech_proj!AS273*0.086*$J$132)/(1-tech_proj!AS553))</f>
        <v>0</v>
      </c>
      <c r="AT1893" s="121">
        <f>IF(tech_base!$T149&gt;AT$1745,"",(tech_base!$K149/tech_proj!AT273*0.086*$J$132)/(1-tech_proj!AT553))</f>
        <v>0</v>
      </c>
      <c r="AU1893" s="121">
        <f>IF(tech_base!$T149&gt;AU$1745,"",(tech_base!$K149/tech_proj!AU273*0.086*$J$132)/(1-tech_proj!AU553))</f>
        <v>0</v>
      </c>
      <c r="AV1893" s="121">
        <f>IF(tech_base!$T149&gt;AV$1745,"",(tech_base!$K149/tech_proj!AV273*0.086*$J$132)/(1-tech_proj!AV553))</f>
        <v>0</v>
      </c>
      <c r="AW1893" s="121">
        <f>IF(tech_base!$T149&gt;AW$1745,"",(tech_base!$K149/tech_proj!AW273*0.086*$J$132)/(1-tech_proj!AW553))</f>
        <v>0</v>
      </c>
      <c r="AX1893" s="122">
        <f>IF(tech_base!$T149&gt;AX$1745,"",(tech_base!$K149/tech_proj!AX273*0.086*$J$132)/(1-tech_proj!AX553))</f>
        <v>0</v>
      </c>
    </row>
    <row r="1894" spans="1:50" x14ac:dyDescent="0.25">
      <c r="A1894" s="356"/>
      <c r="B1894" s="376"/>
      <c r="C1894" s="350"/>
      <c r="D1894" s="2" t="s">
        <v>8</v>
      </c>
      <c r="E1894" s="160" t="str">
        <f>A1885&amp;"/"&amp;B1893&amp;"/"&amp;C1893&amp;"/"&amp;D1894</f>
        <v>Diesel oil fired power plants/Gas turbine /Electricity only/M</v>
      </c>
      <c r="F1894" s="76" t="str">
        <f>A1885</f>
        <v>Diesel oil fired power plants</v>
      </c>
      <c r="G1894" s="76" t="str">
        <f>B1893</f>
        <v xml:space="preserve">Gas turbine </v>
      </c>
      <c r="H1894" s="76" t="str">
        <f>C1893</f>
        <v>Electricity only</v>
      </c>
      <c r="I1894" s="161" t="str">
        <f t="shared" si="384"/>
        <v>M</v>
      </c>
      <c r="J1894" s="119">
        <f>IF(tech_base!$T150&gt;J$1745,"",(tech_base!$K150/tech_proj!J274*0.086*$J$132)/(1-tech_proj!J554))</f>
        <v>0</v>
      </c>
      <c r="K1894" s="119">
        <f>IF(tech_base!$T150&gt;K$1745,"",(tech_base!$K150/tech_proj!K274*0.086*$J$132)/(1-tech_proj!K554))</f>
        <v>0</v>
      </c>
      <c r="L1894" s="119">
        <f>IF(tech_base!$T150&gt;L$1745,"",(tech_base!$K150/tech_proj!L274*0.086*$J$132)/(1-tech_proj!L554))</f>
        <v>0</v>
      </c>
      <c r="M1894" s="119">
        <f>IF(tech_base!$T150&gt;M$1745,"",(tech_base!$K150/tech_proj!M274*0.086*$J$132)/(1-tech_proj!M554))</f>
        <v>0</v>
      </c>
      <c r="N1894" s="119">
        <f>IF(tech_base!$T150&gt;N$1745,"",(tech_base!$K150/tech_proj!N274*0.086*$J$132)/(1-tech_proj!N554))</f>
        <v>0</v>
      </c>
      <c r="O1894" s="119">
        <f>IF(tech_base!$T150&gt;O$1745,"",(tech_base!$K150/tech_proj!O274*0.086*$J$132)/(1-tech_proj!O554))</f>
        <v>0</v>
      </c>
      <c r="P1894" s="119">
        <f>IF(tech_base!$T150&gt;P$1745,"",(tech_base!$K150/tech_proj!P274*0.086*$J$132)/(1-tech_proj!P554))</f>
        <v>0</v>
      </c>
      <c r="Q1894" s="119">
        <f>IF(tech_base!$T150&gt;Q$1745,"",(tech_base!$K150/tech_proj!Q274*0.086*$J$132)/(1-tech_proj!Q554))</f>
        <v>0</v>
      </c>
      <c r="R1894" s="119">
        <f>IF(tech_base!$T150&gt;R$1745,"",(tech_base!$K150/tech_proj!R274*0.086*$J$132)/(1-tech_proj!R554))</f>
        <v>0</v>
      </c>
      <c r="S1894" s="119">
        <f>IF(tech_base!$T150&gt;S$1745,"",(tech_base!$K150/tech_proj!S274*0.086*$J$132)/(1-tech_proj!S554))</f>
        <v>0</v>
      </c>
      <c r="T1894" s="119">
        <f>IF(tech_base!$T150&gt;T$1745,"",(tech_base!$K150/tech_proj!T274*0.086*$J$132)/(1-tech_proj!T554))</f>
        <v>0</v>
      </c>
      <c r="U1894" s="119">
        <f>IF(tech_base!$T150&gt;U$1745,"",(tech_base!$K150/tech_proj!U274*0.086*$J$132)/(1-tech_proj!U554))</f>
        <v>0</v>
      </c>
      <c r="V1894" s="119">
        <f>IF(tech_base!$T150&gt;V$1745,"",(tech_base!$K150/tech_proj!V274*0.086*$J$132)/(1-tech_proj!V554))</f>
        <v>0</v>
      </c>
      <c r="W1894" s="119">
        <f>IF(tech_base!$T150&gt;W$1745,"",(tech_base!$K150/tech_proj!W274*0.086*$J$132)/(1-tech_proj!W554))</f>
        <v>0</v>
      </c>
      <c r="X1894" s="119">
        <f>IF(tech_base!$T150&gt;X$1745,"",(tech_base!$K150/tech_proj!X274*0.086*$J$132)/(1-tech_proj!X554))</f>
        <v>0</v>
      </c>
      <c r="Y1894" s="119">
        <f>IF(tech_base!$T150&gt;Y$1745,"",(tech_base!$K150/tech_proj!Y274*0.086*$J$132)/(1-tech_proj!Y554))</f>
        <v>0</v>
      </c>
      <c r="Z1894" s="119">
        <f>IF(tech_base!$T150&gt;Z$1745,"",(tech_base!$K150/tech_proj!Z274*0.086*$J$132)/(1-tech_proj!Z554))</f>
        <v>0</v>
      </c>
      <c r="AA1894" s="119">
        <f>IF(tech_base!$T150&gt;AA$1745,"",(tech_base!$K150/tech_proj!AA274*0.086*$J$132)/(1-tech_proj!AA554))</f>
        <v>0</v>
      </c>
      <c r="AB1894" s="119">
        <f>IF(tech_base!$T150&gt;AB$1745,"",(tech_base!$K150/tech_proj!AB274*0.086*$J$132)/(1-tech_proj!AB554))</f>
        <v>0</v>
      </c>
      <c r="AC1894" s="119">
        <f>IF(tech_base!$T150&gt;AC$1745,"",(tech_base!$K150/tech_proj!AC274*0.086*$J$132)/(1-tech_proj!AC554))</f>
        <v>0</v>
      </c>
      <c r="AD1894" s="119">
        <f>IF(tech_base!$T150&gt;AD$1745,"",(tech_base!$K150/tech_proj!AD274*0.086*$J$132)/(1-tech_proj!AD554))</f>
        <v>0</v>
      </c>
      <c r="AE1894" s="119">
        <f>IF(tech_base!$T150&gt;AE$1745,"",(tech_base!$K150/tech_proj!AE274*0.086*$J$132)/(1-tech_proj!AE554))</f>
        <v>0</v>
      </c>
      <c r="AF1894" s="119">
        <f>IF(tech_base!$T150&gt;AF$1745,"",(tech_base!$K150/tech_proj!AF274*0.086*$J$132)/(1-tech_proj!AF554))</f>
        <v>0</v>
      </c>
      <c r="AG1894" s="119">
        <f>IF(tech_base!$T150&gt;AG$1745,"",(tech_base!$K150/tech_proj!AG274*0.086*$J$132)/(1-tech_proj!AG554))</f>
        <v>0</v>
      </c>
      <c r="AH1894" s="119">
        <f>IF(tech_base!$T150&gt;AH$1745,"",(tech_base!$K150/tech_proj!AH274*0.086*$J$132)/(1-tech_proj!AH554))</f>
        <v>0</v>
      </c>
      <c r="AI1894" s="119">
        <f>IF(tech_base!$T150&gt;AI$1745,"",(tech_base!$K150/tech_proj!AI274*0.086*$J$132)/(1-tech_proj!AI554))</f>
        <v>0</v>
      </c>
      <c r="AJ1894" s="119">
        <f>IF(tech_base!$T150&gt;AJ$1745,"",(tech_base!$K150/tech_proj!AJ274*0.086*$J$132)/(1-tech_proj!AJ554))</f>
        <v>0</v>
      </c>
      <c r="AK1894" s="119">
        <f>IF(tech_base!$T150&gt;AK$1745,"",(tech_base!$K150/tech_proj!AK274*0.086*$J$132)/(1-tech_proj!AK554))</f>
        <v>0</v>
      </c>
      <c r="AL1894" s="119">
        <f>IF(tech_base!$T150&gt;AL$1745,"",(tech_base!$K150/tech_proj!AL274*0.086*$J$132)/(1-tech_proj!AL554))</f>
        <v>0</v>
      </c>
      <c r="AM1894" s="119">
        <f>IF(tech_base!$T150&gt;AM$1745,"",(tech_base!$K150/tech_proj!AM274*0.086*$J$132)/(1-tech_proj!AM554))</f>
        <v>0</v>
      </c>
      <c r="AN1894" s="119">
        <f>IF(tech_base!$T150&gt;AN$1745,"",(tech_base!$K150/tech_proj!AN274*0.086*$J$132)/(1-tech_proj!AN554))</f>
        <v>0</v>
      </c>
      <c r="AO1894" s="119">
        <f>IF(tech_base!$T150&gt;AO$1745,"",(tech_base!$K150/tech_proj!AO274*0.086*$J$132)/(1-tech_proj!AO554))</f>
        <v>0</v>
      </c>
      <c r="AP1894" s="119">
        <f>IF(tech_base!$T150&gt;AP$1745,"",(tech_base!$K150/tech_proj!AP274*0.086*$J$132)/(1-tech_proj!AP554))</f>
        <v>0</v>
      </c>
      <c r="AQ1894" s="119">
        <f>IF(tech_base!$T150&gt;AQ$1745,"",(tech_base!$K150/tech_proj!AQ274*0.086*$J$132)/(1-tech_proj!AQ554))</f>
        <v>0</v>
      </c>
      <c r="AR1894" s="119">
        <f>IF(tech_base!$T150&gt;AR$1745,"",(tech_base!$K150/tech_proj!AR274*0.086*$J$132)/(1-tech_proj!AR554))</f>
        <v>0</v>
      </c>
      <c r="AS1894" s="119">
        <f>IF(tech_base!$T150&gt;AS$1745,"",(tech_base!$K150/tech_proj!AS274*0.086*$J$132)/(1-tech_proj!AS554))</f>
        <v>0</v>
      </c>
      <c r="AT1894" s="119">
        <f>IF(tech_base!$T150&gt;AT$1745,"",(tech_base!$K150/tech_proj!AT274*0.086*$J$132)/(1-tech_proj!AT554))</f>
        <v>0</v>
      </c>
      <c r="AU1894" s="119">
        <f>IF(tech_base!$T150&gt;AU$1745,"",(tech_base!$K150/tech_proj!AU274*0.086*$J$132)/(1-tech_proj!AU554))</f>
        <v>0</v>
      </c>
      <c r="AV1894" s="119">
        <f>IF(tech_base!$T150&gt;AV$1745,"",(tech_base!$K150/tech_proj!AV274*0.086*$J$132)/(1-tech_proj!AV554))</f>
        <v>0</v>
      </c>
      <c r="AW1894" s="119">
        <f>IF(tech_base!$T150&gt;AW$1745,"",(tech_base!$K150/tech_proj!AW274*0.086*$J$132)/(1-tech_proj!AW554))</f>
        <v>0</v>
      </c>
      <c r="AX1894" s="120">
        <f>IF(tech_base!$T150&gt;AX$1745,"",(tech_base!$K150/tech_proj!AX274*0.086*$J$132)/(1-tech_proj!AX554))</f>
        <v>0</v>
      </c>
    </row>
    <row r="1895" spans="1:50" x14ac:dyDescent="0.25">
      <c r="A1895" s="356"/>
      <c r="B1895" s="376"/>
      <c r="C1895" s="350"/>
      <c r="D1895" s="2" t="s">
        <v>10</v>
      </c>
      <c r="E1895" s="160" t="str">
        <f>A1885&amp;"/"&amp;B1893&amp;"/"&amp;C1893&amp;"/"&amp;D1895</f>
        <v>Diesel oil fired power plants/Gas turbine /Electricity only/S</v>
      </c>
      <c r="F1895" s="76" t="str">
        <f>A1885</f>
        <v>Diesel oil fired power plants</v>
      </c>
      <c r="G1895" s="76" t="str">
        <f>B1893</f>
        <v xml:space="preserve">Gas turbine </v>
      </c>
      <c r="H1895" s="76" t="str">
        <f>C1893</f>
        <v>Electricity only</v>
      </c>
      <c r="I1895" s="161" t="str">
        <f t="shared" si="384"/>
        <v>S</v>
      </c>
      <c r="J1895" s="119">
        <f>IF(tech_base!$T151&gt;J$1745,"",(tech_base!$K151/tech_proj!J275*0.086*$J$132)/(1-tech_proj!J555))</f>
        <v>0</v>
      </c>
      <c r="K1895" s="119">
        <f>IF(tech_base!$T151&gt;K$1745,"",(tech_base!$K151/tech_proj!K275*0.086*$J$132)/(1-tech_proj!K555))</f>
        <v>0</v>
      </c>
      <c r="L1895" s="119">
        <f>IF(tech_base!$T151&gt;L$1745,"",(tech_base!$K151/tech_proj!L275*0.086*$J$132)/(1-tech_proj!L555))</f>
        <v>0</v>
      </c>
      <c r="M1895" s="119">
        <f>IF(tech_base!$T151&gt;M$1745,"",(tech_base!$K151/tech_proj!M275*0.086*$J$132)/(1-tech_proj!M555))</f>
        <v>0</v>
      </c>
      <c r="N1895" s="119">
        <f>IF(tech_base!$T151&gt;N$1745,"",(tech_base!$K151/tech_proj!N275*0.086*$J$132)/(1-tech_proj!N555))</f>
        <v>0</v>
      </c>
      <c r="O1895" s="119">
        <f>IF(tech_base!$T151&gt;O$1745,"",(tech_base!$K151/tech_proj!O275*0.086*$J$132)/(1-tech_proj!O555))</f>
        <v>0</v>
      </c>
      <c r="P1895" s="119">
        <f>IF(tech_base!$T151&gt;P$1745,"",(tech_base!$K151/tech_proj!P275*0.086*$J$132)/(1-tech_proj!P555))</f>
        <v>0</v>
      </c>
      <c r="Q1895" s="119">
        <f>IF(tech_base!$T151&gt;Q$1745,"",(tech_base!$K151/tech_proj!Q275*0.086*$J$132)/(1-tech_proj!Q555))</f>
        <v>0</v>
      </c>
      <c r="R1895" s="119">
        <f>IF(tech_base!$T151&gt;R$1745,"",(tech_base!$K151/tech_proj!R275*0.086*$J$132)/(1-tech_proj!R555))</f>
        <v>0</v>
      </c>
      <c r="S1895" s="119">
        <f>IF(tech_base!$T151&gt;S$1745,"",(tech_base!$K151/tech_proj!S275*0.086*$J$132)/(1-tech_proj!S555))</f>
        <v>0</v>
      </c>
      <c r="T1895" s="119">
        <f>IF(tech_base!$T151&gt;T$1745,"",(tech_base!$K151/tech_proj!T275*0.086*$J$132)/(1-tech_proj!T555))</f>
        <v>0</v>
      </c>
      <c r="U1895" s="119">
        <f>IF(tech_base!$T151&gt;U$1745,"",(tech_base!$K151/tech_proj!U275*0.086*$J$132)/(1-tech_proj!U555))</f>
        <v>0</v>
      </c>
      <c r="V1895" s="119">
        <f>IF(tech_base!$T151&gt;V$1745,"",(tech_base!$K151/tech_proj!V275*0.086*$J$132)/(1-tech_proj!V555))</f>
        <v>0</v>
      </c>
      <c r="W1895" s="119">
        <f>IF(tech_base!$T151&gt;W$1745,"",(tech_base!$K151/tech_proj!W275*0.086*$J$132)/(1-tech_proj!W555))</f>
        <v>0</v>
      </c>
      <c r="X1895" s="119">
        <f>IF(tech_base!$T151&gt;X$1745,"",(tech_base!$K151/tech_proj!X275*0.086*$J$132)/(1-tech_proj!X555))</f>
        <v>0</v>
      </c>
      <c r="Y1895" s="119">
        <f>IF(tech_base!$T151&gt;Y$1745,"",(tech_base!$K151/tech_proj!Y275*0.086*$J$132)/(1-tech_proj!Y555))</f>
        <v>0</v>
      </c>
      <c r="Z1895" s="119">
        <f>IF(tech_base!$T151&gt;Z$1745,"",(tech_base!$K151/tech_proj!Z275*0.086*$J$132)/(1-tech_proj!Z555))</f>
        <v>0</v>
      </c>
      <c r="AA1895" s="119">
        <f>IF(tech_base!$T151&gt;AA$1745,"",(tech_base!$K151/tech_proj!AA275*0.086*$J$132)/(1-tech_proj!AA555))</f>
        <v>0</v>
      </c>
      <c r="AB1895" s="119">
        <f>IF(tech_base!$T151&gt;AB$1745,"",(tech_base!$K151/tech_proj!AB275*0.086*$J$132)/(1-tech_proj!AB555))</f>
        <v>0</v>
      </c>
      <c r="AC1895" s="119">
        <f>IF(tech_base!$T151&gt;AC$1745,"",(tech_base!$K151/tech_proj!AC275*0.086*$J$132)/(1-tech_proj!AC555))</f>
        <v>0</v>
      </c>
      <c r="AD1895" s="119">
        <f>IF(tech_base!$T151&gt;AD$1745,"",(tech_base!$K151/tech_proj!AD275*0.086*$J$132)/(1-tech_proj!AD555))</f>
        <v>0</v>
      </c>
      <c r="AE1895" s="119">
        <f>IF(tech_base!$T151&gt;AE$1745,"",(tech_base!$K151/tech_proj!AE275*0.086*$J$132)/(1-tech_proj!AE555))</f>
        <v>0</v>
      </c>
      <c r="AF1895" s="119">
        <f>IF(tech_base!$T151&gt;AF$1745,"",(tech_base!$K151/tech_proj!AF275*0.086*$J$132)/(1-tech_proj!AF555))</f>
        <v>0</v>
      </c>
      <c r="AG1895" s="119">
        <f>IF(tech_base!$T151&gt;AG$1745,"",(tech_base!$K151/tech_proj!AG275*0.086*$J$132)/(1-tech_proj!AG555))</f>
        <v>0</v>
      </c>
      <c r="AH1895" s="119">
        <f>IF(tech_base!$T151&gt;AH$1745,"",(tech_base!$K151/tech_proj!AH275*0.086*$J$132)/(1-tech_proj!AH555))</f>
        <v>0</v>
      </c>
      <c r="AI1895" s="119">
        <f>IF(tech_base!$T151&gt;AI$1745,"",(tech_base!$K151/tech_proj!AI275*0.086*$J$132)/(1-tech_proj!AI555))</f>
        <v>0</v>
      </c>
      <c r="AJ1895" s="119">
        <f>IF(tech_base!$T151&gt;AJ$1745,"",(tech_base!$K151/tech_proj!AJ275*0.086*$J$132)/(1-tech_proj!AJ555))</f>
        <v>0</v>
      </c>
      <c r="AK1895" s="119">
        <f>IF(tech_base!$T151&gt;AK$1745,"",(tech_base!$K151/tech_proj!AK275*0.086*$J$132)/(1-tech_proj!AK555))</f>
        <v>0</v>
      </c>
      <c r="AL1895" s="119">
        <f>IF(tech_base!$T151&gt;AL$1745,"",(tech_base!$K151/tech_proj!AL275*0.086*$J$132)/(1-tech_proj!AL555))</f>
        <v>0</v>
      </c>
      <c r="AM1895" s="119">
        <f>IF(tech_base!$T151&gt;AM$1745,"",(tech_base!$K151/tech_proj!AM275*0.086*$J$132)/(1-tech_proj!AM555))</f>
        <v>0</v>
      </c>
      <c r="AN1895" s="119">
        <f>IF(tech_base!$T151&gt;AN$1745,"",(tech_base!$K151/tech_proj!AN275*0.086*$J$132)/(1-tech_proj!AN555))</f>
        <v>0</v>
      </c>
      <c r="AO1895" s="119">
        <f>IF(tech_base!$T151&gt;AO$1745,"",(tech_base!$K151/tech_proj!AO275*0.086*$J$132)/(1-tech_proj!AO555))</f>
        <v>0</v>
      </c>
      <c r="AP1895" s="119">
        <f>IF(tech_base!$T151&gt;AP$1745,"",(tech_base!$K151/tech_proj!AP275*0.086*$J$132)/(1-tech_proj!AP555))</f>
        <v>0</v>
      </c>
      <c r="AQ1895" s="119">
        <f>IF(tech_base!$T151&gt;AQ$1745,"",(tech_base!$K151/tech_proj!AQ275*0.086*$J$132)/(1-tech_proj!AQ555))</f>
        <v>0</v>
      </c>
      <c r="AR1895" s="119">
        <f>IF(tech_base!$T151&gt;AR$1745,"",(tech_base!$K151/tech_proj!AR275*0.086*$J$132)/(1-tech_proj!AR555))</f>
        <v>0</v>
      </c>
      <c r="AS1895" s="119">
        <f>IF(tech_base!$T151&gt;AS$1745,"",(tech_base!$K151/tech_proj!AS275*0.086*$J$132)/(1-tech_proj!AS555))</f>
        <v>0</v>
      </c>
      <c r="AT1895" s="119">
        <f>IF(tech_base!$T151&gt;AT$1745,"",(tech_base!$K151/tech_proj!AT275*0.086*$J$132)/(1-tech_proj!AT555))</f>
        <v>0</v>
      </c>
      <c r="AU1895" s="119">
        <f>IF(tech_base!$T151&gt;AU$1745,"",(tech_base!$K151/tech_proj!AU275*0.086*$J$132)/(1-tech_proj!AU555))</f>
        <v>0</v>
      </c>
      <c r="AV1895" s="119">
        <f>IF(tech_base!$T151&gt;AV$1745,"",(tech_base!$K151/tech_proj!AV275*0.086*$J$132)/(1-tech_proj!AV555))</f>
        <v>0</v>
      </c>
      <c r="AW1895" s="119">
        <f>IF(tech_base!$T151&gt;AW$1745,"",(tech_base!$K151/tech_proj!AW275*0.086*$J$132)/(1-tech_proj!AW555))</f>
        <v>0</v>
      </c>
      <c r="AX1895" s="120">
        <f>IF(tech_base!$T151&gt;AX$1745,"",(tech_base!$K151/tech_proj!AX275*0.086*$J$132)/(1-tech_proj!AX555))</f>
        <v>0</v>
      </c>
    </row>
    <row r="1896" spans="1:50" x14ac:dyDescent="0.25">
      <c r="A1896" s="356"/>
      <c r="B1896" s="376"/>
      <c r="C1896" s="360"/>
      <c r="D1896" s="2" t="s">
        <v>20</v>
      </c>
      <c r="E1896" s="160" t="str">
        <f>A1885&amp;"/"&amp;B1893&amp;"/"&amp;C1893&amp;"/"&amp;D1896</f>
        <v>Diesel oil fired power plants/Gas turbine /Electricity only/XS</v>
      </c>
      <c r="F1896" s="76" t="str">
        <f>A1885</f>
        <v>Diesel oil fired power plants</v>
      </c>
      <c r="G1896" s="76" t="str">
        <f>B1893</f>
        <v xml:space="preserve">Gas turbine </v>
      </c>
      <c r="H1896" s="76" t="str">
        <f>C1893</f>
        <v>Electricity only</v>
      </c>
      <c r="I1896" s="161" t="str">
        <f t="shared" si="384"/>
        <v>XS</v>
      </c>
      <c r="J1896" s="119">
        <f>IF(tech_base!$T152&gt;J$1745,"",(tech_base!$K152/tech_proj!J276*0.086*$J$132)/(1-tech_proj!J556))</f>
        <v>0</v>
      </c>
      <c r="K1896" s="119">
        <f>IF(tech_base!$T152&gt;K$1745,"",(tech_base!$K152/tech_proj!K276*0.086*$J$132)/(1-tech_proj!K556))</f>
        <v>0</v>
      </c>
      <c r="L1896" s="119">
        <f>IF(tech_base!$T152&gt;L$1745,"",(tech_base!$K152/tech_proj!L276*0.086*$J$132)/(1-tech_proj!L556))</f>
        <v>0</v>
      </c>
      <c r="M1896" s="119">
        <f>IF(tech_base!$T152&gt;M$1745,"",(tech_base!$K152/tech_proj!M276*0.086*$J$132)/(1-tech_proj!M556))</f>
        <v>0</v>
      </c>
      <c r="N1896" s="119">
        <f>IF(tech_base!$T152&gt;N$1745,"",(tech_base!$K152/tech_proj!N276*0.086*$J$132)/(1-tech_proj!N556))</f>
        <v>0</v>
      </c>
      <c r="O1896" s="119">
        <f>IF(tech_base!$T152&gt;O$1745,"",(tech_base!$K152/tech_proj!O276*0.086*$J$132)/(1-tech_proj!O556))</f>
        <v>0</v>
      </c>
      <c r="P1896" s="119">
        <f>IF(tech_base!$T152&gt;P$1745,"",(tech_base!$K152/tech_proj!P276*0.086*$J$132)/(1-tech_proj!P556))</f>
        <v>0</v>
      </c>
      <c r="Q1896" s="119">
        <f>IF(tech_base!$T152&gt;Q$1745,"",(tech_base!$K152/tech_proj!Q276*0.086*$J$132)/(1-tech_proj!Q556))</f>
        <v>0</v>
      </c>
      <c r="R1896" s="119">
        <f>IF(tech_base!$T152&gt;R$1745,"",(tech_base!$K152/tech_proj!R276*0.086*$J$132)/(1-tech_proj!R556))</f>
        <v>0</v>
      </c>
      <c r="S1896" s="119">
        <f>IF(tech_base!$T152&gt;S$1745,"",(tech_base!$K152/tech_proj!S276*0.086*$J$132)/(1-tech_proj!S556))</f>
        <v>0</v>
      </c>
      <c r="T1896" s="119">
        <f>IF(tech_base!$T152&gt;T$1745,"",(tech_base!$K152/tech_proj!T276*0.086*$J$132)/(1-tech_proj!T556))</f>
        <v>0</v>
      </c>
      <c r="U1896" s="119">
        <f>IF(tech_base!$T152&gt;U$1745,"",(tech_base!$K152/tech_proj!U276*0.086*$J$132)/(1-tech_proj!U556))</f>
        <v>0</v>
      </c>
      <c r="V1896" s="119">
        <f>IF(tech_base!$T152&gt;V$1745,"",(tech_base!$K152/tech_proj!V276*0.086*$J$132)/(1-tech_proj!V556))</f>
        <v>0</v>
      </c>
      <c r="W1896" s="119">
        <f>IF(tech_base!$T152&gt;W$1745,"",(tech_base!$K152/tech_proj!W276*0.086*$J$132)/(1-tech_proj!W556))</f>
        <v>0</v>
      </c>
      <c r="X1896" s="119">
        <f>IF(tech_base!$T152&gt;X$1745,"",(tech_base!$K152/tech_proj!X276*0.086*$J$132)/(1-tech_proj!X556))</f>
        <v>0</v>
      </c>
      <c r="Y1896" s="119">
        <f>IF(tech_base!$T152&gt;Y$1745,"",(tech_base!$K152/tech_proj!Y276*0.086*$J$132)/(1-tech_proj!Y556))</f>
        <v>0</v>
      </c>
      <c r="Z1896" s="119">
        <f>IF(tech_base!$T152&gt;Z$1745,"",(tech_base!$K152/tech_proj!Z276*0.086*$J$132)/(1-tech_proj!Z556))</f>
        <v>0</v>
      </c>
      <c r="AA1896" s="119">
        <f>IF(tech_base!$T152&gt;AA$1745,"",(tech_base!$K152/tech_proj!AA276*0.086*$J$132)/(1-tech_proj!AA556))</f>
        <v>0</v>
      </c>
      <c r="AB1896" s="119">
        <f>IF(tech_base!$T152&gt;AB$1745,"",(tech_base!$K152/tech_proj!AB276*0.086*$J$132)/(1-tech_proj!AB556))</f>
        <v>0</v>
      </c>
      <c r="AC1896" s="119">
        <f>IF(tech_base!$T152&gt;AC$1745,"",(tech_base!$K152/tech_proj!AC276*0.086*$J$132)/(1-tech_proj!AC556))</f>
        <v>0</v>
      </c>
      <c r="AD1896" s="119">
        <f>IF(tech_base!$T152&gt;AD$1745,"",(tech_base!$K152/tech_proj!AD276*0.086*$J$132)/(1-tech_proj!AD556))</f>
        <v>0</v>
      </c>
      <c r="AE1896" s="119">
        <f>IF(tech_base!$T152&gt;AE$1745,"",(tech_base!$K152/tech_proj!AE276*0.086*$J$132)/(1-tech_proj!AE556))</f>
        <v>0</v>
      </c>
      <c r="AF1896" s="119">
        <f>IF(tech_base!$T152&gt;AF$1745,"",(tech_base!$K152/tech_proj!AF276*0.086*$J$132)/(1-tech_proj!AF556))</f>
        <v>0</v>
      </c>
      <c r="AG1896" s="119">
        <f>IF(tech_base!$T152&gt;AG$1745,"",(tech_base!$K152/tech_proj!AG276*0.086*$J$132)/(1-tech_proj!AG556))</f>
        <v>0</v>
      </c>
      <c r="AH1896" s="119">
        <f>IF(tech_base!$T152&gt;AH$1745,"",(tech_base!$K152/tech_proj!AH276*0.086*$J$132)/(1-tech_proj!AH556))</f>
        <v>0</v>
      </c>
      <c r="AI1896" s="119">
        <f>IF(tech_base!$T152&gt;AI$1745,"",(tech_base!$K152/tech_proj!AI276*0.086*$J$132)/(1-tech_proj!AI556))</f>
        <v>0</v>
      </c>
      <c r="AJ1896" s="119">
        <f>IF(tech_base!$T152&gt;AJ$1745,"",(tech_base!$K152/tech_proj!AJ276*0.086*$J$132)/(1-tech_proj!AJ556))</f>
        <v>0</v>
      </c>
      <c r="AK1896" s="119">
        <f>IF(tech_base!$T152&gt;AK$1745,"",(tech_base!$K152/tech_proj!AK276*0.086*$J$132)/(1-tech_proj!AK556))</f>
        <v>0</v>
      </c>
      <c r="AL1896" s="119">
        <f>IF(tech_base!$T152&gt;AL$1745,"",(tech_base!$K152/tech_proj!AL276*0.086*$J$132)/(1-tech_proj!AL556))</f>
        <v>0</v>
      </c>
      <c r="AM1896" s="119">
        <f>IF(tech_base!$T152&gt;AM$1745,"",(tech_base!$K152/tech_proj!AM276*0.086*$J$132)/(1-tech_proj!AM556))</f>
        <v>0</v>
      </c>
      <c r="AN1896" s="119">
        <f>IF(tech_base!$T152&gt;AN$1745,"",(tech_base!$K152/tech_proj!AN276*0.086*$J$132)/(1-tech_proj!AN556))</f>
        <v>0</v>
      </c>
      <c r="AO1896" s="119">
        <f>IF(tech_base!$T152&gt;AO$1745,"",(tech_base!$K152/tech_proj!AO276*0.086*$J$132)/(1-tech_proj!AO556))</f>
        <v>0</v>
      </c>
      <c r="AP1896" s="119">
        <f>IF(tech_base!$T152&gt;AP$1745,"",(tech_base!$K152/tech_proj!AP276*0.086*$J$132)/(1-tech_proj!AP556))</f>
        <v>0</v>
      </c>
      <c r="AQ1896" s="119">
        <f>IF(tech_base!$T152&gt;AQ$1745,"",(tech_base!$K152/tech_proj!AQ276*0.086*$J$132)/(1-tech_proj!AQ556))</f>
        <v>0</v>
      </c>
      <c r="AR1896" s="119">
        <f>IF(tech_base!$T152&gt;AR$1745,"",(tech_base!$K152/tech_proj!AR276*0.086*$J$132)/(1-tech_proj!AR556))</f>
        <v>0</v>
      </c>
      <c r="AS1896" s="119">
        <f>IF(tech_base!$T152&gt;AS$1745,"",(tech_base!$K152/tech_proj!AS276*0.086*$J$132)/(1-tech_proj!AS556))</f>
        <v>0</v>
      </c>
      <c r="AT1896" s="119">
        <f>IF(tech_base!$T152&gt;AT$1745,"",(tech_base!$K152/tech_proj!AT276*0.086*$J$132)/(1-tech_proj!AT556))</f>
        <v>0</v>
      </c>
      <c r="AU1896" s="119">
        <f>IF(tech_base!$T152&gt;AU$1745,"",(tech_base!$K152/tech_proj!AU276*0.086*$J$132)/(1-tech_proj!AU556))</f>
        <v>0</v>
      </c>
      <c r="AV1896" s="119">
        <f>IF(tech_base!$T152&gt;AV$1745,"",(tech_base!$K152/tech_proj!AV276*0.086*$J$132)/(1-tech_proj!AV556))</f>
        <v>0</v>
      </c>
      <c r="AW1896" s="119">
        <f>IF(tech_base!$T152&gt;AW$1745,"",(tech_base!$K152/tech_proj!AW276*0.086*$J$132)/(1-tech_proj!AW556))</f>
        <v>0</v>
      </c>
      <c r="AX1896" s="120">
        <f>IF(tech_base!$T152&gt;AX$1745,"",(tech_base!$K152/tech_proj!AX276*0.086*$J$132)/(1-tech_proj!AX556))</f>
        <v>0</v>
      </c>
    </row>
    <row r="1897" spans="1:50" x14ac:dyDescent="0.25">
      <c r="A1897" s="356"/>
      <c r="B1897" s="376"/>
      <c r="C1897" s="361" t="s">
        <v>14</v>
      </c>
      <c r="D1897" s="58" t="s">
        <v>7</v>
      </c>
      <c r="E1897" s="164" t="str">
        <f>A1885&amp;"/"&amp;B1893&amp;"/"&amp;C1897&amp;"/"&amp;D1897</f>
        <v>Diesel oil fired power plants/Gas turbine /CHP/L</v>
      </c>
      <c r="F1897" s="78" t="str">
        <f>A1885</f>
        <v>Diesel oil fired power plants</v>
      </c>
      <c r="G1897" s="78" t="str">
        <f>B1893</f>
        <v xml:space="preserve">Gas turbine </v>
      </c>
      <c r="H1897" s="78" t="str">
        <f>C1897</f>
        <v>CHP</v>
      </c>
      <c r="I1897" s="165" t="str">
        <f t="shared" si="384"/>
        <v>L</v>
      </c>
      <c r="J1897" s="123">
        <f>IF(tech_base!$T153&gt;J$1745,"",(tech_base!$K153/tech_proj!J277*0.086*$J$132)/(1-tech_proj!J557))</f>
        <v>0</v>
      </c>
      <c r="K1897" s="123">
        <f>IF(tech_base!$T153&gt;K$1745,"",(tech_base!$K153/tech_proj!K277*0.086*$J$132)/(1-tech_proj!K557))</f>
        <v>0</v>
      </c>
      <c r="L1897" s="123">
        <f>IF(tech_base!$T153&gt;L$1745,"",(tech_base!$K153/tech_proj!L277*0.086*$J$132)/(1-tech_proj!L557))</f>
        <v>0</v>
      </c>
      <c r="M1897" s="123">
        <f>IF(tech_base!$T153&gt;M$1745,"",(tech_base!$K153/tech_proj!M277*0.086*$J$132)/(1-tech_proj!M557))</f>
        <v>0</v>
      </c>
      <c r="N1897" s="123">
        <f>IF(tech_base!$T153&gt;N$1745,"",(tech_base!$K153/tech_proj!N277*0.086*$J$132)/(1-tech_proj!N557))</f>
        <v>0</v>
      </c>
      <c r="O1897" s="123">
        <f>IF(tech_base!$T153&gt;O$1745,"",(tech_base!$K153/tech_proj!O277*0.086*$J$132)/(1-tech_proj!O557))</f>
        <v>0</v>
      </c>
      <c r="P1897" s="123">
        <f>IF(tech_base!$T153&gt;P$1745,"",(tech_base!$K153/tech_proj!P277*0.086*$J$132)/(1-tech_proj!P557))</f>
        <v>0</v>
      </c>
      <c r="Q1897" s="123">
        <f>IF(tech_base!$T153&gt;Q$1745,"",(tech_base!$K153/tech_proj!Q277*0.086*$J$132)/(1-tech_proj!Q557))</f>
        <v>0</v>
      </c>
      <c r="R1897" s="123">
        <f>IF(tech_base!$T153&gt;R$1745,"",(tech_base!$K153/tech_proj!R277*0.086*$J$132)/(1-tech_proj!R557))</f>
        <v>0</v>
      </c>
      <c r="S1897" s="123">
        <f>IF(tech_base!$T153&gt;S$1745,"",(tech_base!$K153/tech_proj!S277*0.086*$J$132)/(1-tech_proj!S557))</f>
        <v>0</v>
      </c>
      <c r="T1897" s="123">
        <f>IF(tech_base!$T153&gt;T$1745,"",(tech_base!$K153/tech_proj!T277*0.086*$J$132)/(1-tech_proj!T557))</f>
        <v>0</v>
      </c>
      <c r="U1897" s="123">
        <f>IF(tech_base!$T153&gt;U$1745,"",(tech_base!$K153/tech_proj!U277*0.086*$J$132)/(1-tech_proj!U557))</f>
        <v>0</v>
      </c>
      <c r="V1897" s="123">
        <f>IF(tech_base!$T153&gt;V$1745,"",(tech_base!$K153/tech_proj!V277*0.086*$J$132)/(1-tech_proj!V557))</f>
        <v>0</v>
      </c>
      <c r="W1897" s="123">
        <f>IF(tech_base!$T153&gt;W$1745,"",(tech_base!$K153/tech_proj!W277*0.086*$J$132)/(1-tech_proj!W557))</f>
        <v>0</v>
      </c>
      <c r="X1897" s="123">
        <f>IF(tech_base!$T153&gt;X$1745,"",(tech_base!$K153/tech_proj!X277*0.086*$J$132)/(1-tech_proj!X557))</f>
        <v>0</v>
      </c>
      <c r="Y1897" s="123">
        <f>IF(tech_base!$T153&gt;Y$1745,"",(tech_base!$K153/tech_proj!Y277*0.086*$J$132)/(1-tech_proj!Y557))</f>
        <v>0</v>
      </c>
      <c r="Z1897" s="123">
        <f>IF(tech_base!$T153&gt;Z$1745,"",(tech_base!$K153/tech_proj!Z277*0.086*$J$132)/(1-tech_proj!Z557))</f>
        <v>0</v>
      </c>
      <c r="AA1897" s="123">
        <f>IF(tech_base!$T153&gt;AA$1745,"",(tech_base!$K153/tech_proj!AA277*0.086*$J$132)/(1-tech_proj!AA557))</f>
        <v>0</v>
      </c>
      <c r="AB1897" s="123">
        <f>IF(tech_base!$T153&gt;AB$1745,"",(tech_base!$K153/tech_proj!AB277*0.086*$J$132)/(1-tech_proj!AB557))</f>
        <v>0</v>
      </c>
      <c r="AC1897" s="123">
        <f>IF(tech_base!$T153&gt;AC$1745,"",(tech_base!$K153/tech_proj!AC277*0.086*$J$132)/(1-tech_proj!AC557))</f>
        <v>0</v>
      </c>
      <c r="AD1897" s="123">
        <f>IF(tech_base!$T153&gt;AD$1745,"",(tech_base!$K153/tech_proj!AD277*0.086*$J$132)/(1-tech_proj!AD557))</f>
        <v>0</v>
      </c>
      <c r="AE1897" s="123">
        <f>IF(tech_base!$T153&gt;AE$1745,"",(tech_base!$K153/tech_proj!AE277*0.086*$J$132)/(1-tech_proj!AE557))</f>
        <v>0</v>
      </c>
      <c r="AF1897" s="123">
        <f>IF(tech_base!$T153&gt;AF$1745,"",(tech_base!$K153/tech_proj!AF277*0.086*$J$132)/(1-tech_proj!AF557))</f>
        <v>0</v>
      </c>
      <c r="AG1897" s="123">
        <f>IF(tech_base!$T153&gt;AG$1745,"",(tech_base!$K153/tech_proj!AG277*0.086*$J$132)/(1-tech_proj!AG557))</f>
        <v>0</v>
      </c>
      <c r="AH1897" s="123">
        <f>IF(tech_base!$T153&gt;AH$1745,"",(tech_base!$K153/tech_proj!AH277*0.086*$J$132)/(1-tech_proj!AH557))</f>
        <v>0</v>
      </c>
      <c r="AI1897" s="123">
        <f>IF(tech_base!$T153&gt;AI$1745,"",(tech_base!$K153/tech_proj!AI277*0.086*$J$132)/(1-tech_proj!AI557))</f>
        <v>0</v>
      </c>
      <c r="AJ1897" s="123">
        <f>IF(tech_base!$T153&gt;AJ$1745,"",(tech_base!$K153/tech_proj!AJ277*0.086*$J$132)/(1-tech_proj!AJ557))</f>
        <v>0</v>
      </c>
      <c r="AK1897" s="123">
        <f>IF(tech_base!$T153&gt;AK$1745,"",(tech_base!$K153/tech_proj!AK277*0.086*$J$132)/(1-tech_proj!AK557))</f>
        <v>0</v>
      </c>
      <c r="AL1897" s="123">
        <f>IF(tech_base!$T153&gt;AL$1745,"",(tech_base!$K153/tech_proj!AL277*0.086*$J$132)/(1-tech_proj!AL557))</f>
        <v>0</v>
      </c>
      <c r="AM1897" s="123">
        <f>IF(tech_base!$T153&gt;AM$1745,"",(tech_base!$K153/tech_proj!AM277*0.086*$J$132)/(1-tech_proj!AM557))</f>
        <v>0</v>
      </c>
      <c r="AN1897" s="123">
        <f>IF(tech_base!$T153&gt;AN$1745,"",(tech_base!$K153/tech_proj!AN277*0.086*$J$132)/(1-tech_proj!AN557))</f>
        <v>0</v>
      </c>
      <c r="AO1897" s="123">
        <f>IF(tech_base!$T153&gt;AO$1745,"",(tech_base!$K153/tech_proj!AO277*0.086*$J$132)/(1-tech_proj!AO557))</f>
        <v>0</v>
      </c>
      <c r="AP1897" s="123">
        <f>IF(tech_base!$T153&gt;AP$1745,"",(tech_base!$K153/tech_proj!AP277*0.086*$J$132)/(1-tech_proj!AP557))</f>
        <v>0</v>
      </c>
      <c r="AQ1897" s="123">
        <f>IF(tech_base!$T153&gt;AQ$1745,"",(tech_base!$K153/tech_proj!AQ277*0.086*$J$132)/(1-tech_proj!AQ557))</f>
        <v>0</v>
      </c>
      <c r="AR1897" s="123">
        <f>IF(tech_base!$T153&gt;AR$1745,"",(tech_base!$K153/tech_proj!AR277*0.086*$J$132)/(1-tech_proj!AR557))</f>
        <v>0</v>
      </c>
      <c r="AS1897" s="123">
        <f>IF(tech_base!$T153&gt;AS$1745,"",(tech_base!$K153/tech_proj!AS277*0.086*$J$132)/(1-tech_proj!AS557))</f>
        <v>0</v>
      </c>
      <c r="AT1897" s="123">
        <f>IF(tech_base!$T153&gt;AT$1745,"",(tech_base!$K153/tech_proj!AT277*0.086*$J$132)/(1-tech_proj!AT557))</f>
        <v>0</v>
      </c>
      <c r="AU1897" s="123">
        <f>IF(tech_base!$T153&gt;AU$1745,"",(tech_base!$K153/tech_proj!AU277*0.086*$J$132)/(1-tech_proj!AU557))</f>
        <v>0</v>
      </c>
      <c r="AV1897" s="123">
        <f>IF(tech_base!$T153&gt;AV$1745,"",(tech_base!$K153/tech_proj!AV277*0.086*$J$132)/(1-tech_proj!AV557))</f>
        <v>0</v>
      </c>
      <c r="AW1897" s="123">
        <f>IF(tech_base!$T153&gt;AW$1745,"",(tech_base!$K153/tech_proj!AW277*0.086*$J$132)/(1-tech_proj!AW557))</f>
        <v>0</v>
      </c>
      <c r="AX1897" s="124">
        <f>IF(tech_base!$T153&gt;AX$1745,"",(tech_base!$K153/tech_proj!AX277*0.086*$J$132)/(1-tech_proj!AX557))</f>
        <v>0</v>
      </c>
    </row>
    <row r="1898" spans="1:50" x14ac:dyDescent="0.25">
      <c r="A1898" s="356"/>
      <c r="B1898" s="376"/>
      <c r="C1898" s="378"/>
      <c r="D1898" s="2" t="s">
        <v>8</v>
      </c>
      <c r="E1898" s="160" t="str">
        <f>A1885&amp;"/"&amp;B1893&amp;"/"&amp;C1897&amp;"/"&amp;D1898</f>
        <v>Diesel oil fired power plants/Gas turbine /CHP/M</v>
      </c>
      <c r="F1898" s="76" t="str">
        <f>A1885</f>
        <v>Diesel oil fired power plants</v>
      </c>
      <c r="G1898" s="76" t="str">
        <f>B1893</f>
        <v xml:space="preserve">Gas turbine </v>
      </c>
      <c r="H1898" s="76" t="str">
        <f>C1897</f>
        <v>CHP</v>
      </c>
      <c r="I1898" s="161" t="str">
        <f t="shared" si="384"/>
        <v>M</v>
      </c>
      <c r="J1898" s="119">
        <f>IF(tech_base!$T154&gt;J$1745,"",(tech_base!$K154/tech_proj!J278*0.086*$J$132)/(1-tech_proj!J558))</f>
        <v>0</v>
      </c>
      <c r="K1898" s="119">
        <f>IF(tech_base!$T154&gt;K$1745,"",(tech_base!$K154/tech_proj!K278*0.086*$J$132)/(1-tech_proj!K558))</f>
        <v>0</v>
      </c>
      <c r="L1898" s="119">
        <f>IF(tech_base!$T154&gt;L$1745,"",(tech_base!$K154/tech_proj!L278*0.086*$J$132)/(1-tech_proj!L558))</f>
        <v>0</v>
      </c>
      <c r="M1898" s="119">
        <f>IF(tech_base!$T154&gt;M$1745,"",(tech_base!$K154/tech_proj!M278*0.086*$J$132)/(1-tech_proj!M558))</f>
        <v>0</v>
      </c>
      <c r="N1898" s="119">
        <f>IF(tech_base!$T154&gt;N$1745,"",(tech_base!$K154/tech_proj!N278*0.086*$J$132)/(1-tech_proj!N558))</f>
        <v>0</v>
      </c>
      <c r="O1898" s="119">
        <f>IF(tech_base!$T154&gt;O$1745,"",(tech_base!$K154/tech_proj!O278*0.086*$J$132)/(1-tech_proj!O558))</f>
        <v>0</v>
      </c>
      <c r="P1898" s="119">
        <f>IF(tech_base!$T154&gt;P$1745,"",(tech_base!$K154/tech_proj!P278*0.086*$J$132)/(1-tech_proj!P558))</f>
        <v>0</v>
      </c>
      <c r="Q1898" s="119">
        <f>IF(tech_base!$T154&gt;Q$1745,"",(tech_base!$K154/tech_proj!Q278*0.086*$J$132)/(1-tech_proj!Q558))</f>
        <v>0</v>
      </c>
      <c r="R1898" s="119">
        <f>IF(tech_base!$T154&gt;R$1745,"",(tech_base!$K154/tech_proj!R278*0.086*$J$132)/(1-tech_proj!R558))</f>
        <v>0</v>
      </c>
      <c r="S1898" s="119">
        <f>IF(tech_base!$T154&gt;S$1745,"",(tech_base!$K154/tech_proj!S278*0.086*$J$132)/(1-tech_proj!S558))</f>
        <v>0</v>
      </c>
      <c r="T1898" s="119">
        <f>IF(tech_base!$T154&gt;T$1745,"",(tech_base!$K154/tech_proj!T278*0.086*$J$132)/(1-tech_proj!T558))</f>
        <v>0</v>
      </c>
      <c r="U1898" s="119">
        <f>IF(tech_base!$T154&gt;U$1745,"",(tech_base!$K154/tech_proj!U278*0.086*$J$132)/(1-tech_proj!U558))</f>
        <v>0</v>
      </c>
      <c r="V1898" s="119">
        <f>IF(tech_base!$T154&gt;V$1745,"",(tech_base!$K154/tech_proj!V278*0.086*$J$132)/(1-tech_proj!V558))</f>
        <v>0</v>
      </c>
      <c r="W1898" s="119">
        <f>IF(tech_base!$T154&gt;W$1745,"",(tech_base!$K154/tech_proj!W278*0.086*$J$132)/(1-tech_proj!W558))</f>
        <v>0</v>
      </c>
      <c r="X1898" s="119">
        <f>IF(tech_base!$T154&gt;X$1745,"",(tech_base!$K154/tech_proj!X278*0.086*$J$132)/(1-tech_proj!X558))</f>
        <v>0</v>
      </c>
      <c r="Y1898" s="119">
        <f>IF(tech_base!$T154&gt;Y$1745,"",(tech_base!$K154/tech_proj!Y278*0.086*$J$132)/(1-tech_proj!Y558))</f>
        <v>0</v>
      </c>
      <c r="Z1898" s="119">
        <f>IF(tech_base!$T154&gt;Z$1745,"",(tech_base!$K154/tech_proj!Z278*0.086*$J$132)/(1-tech_proj!Z558))</f>
        <v>0</v>
      </c>
      <c r="AA1898" s="119">
        <f>IF(tech_base!$T154&gt;AA$1745,"",(tech_base!$K154/tech_proj!AA278*0.086*$J$132)/(1-tech_proj!AA558))</f>
        <v>0</v>
      </c>
      <c r="AB1898" s="119">
        <f>IF(tech_base!$T154&gt;AB$1745,"",(tech_base!$K154/tech_proj!AB278*0.086*$J$132)/(1-tech_proj!AB558))</f>
        <v>0</v>
      </c>
      <c r="AC1898" s="119">
        <f>IF(tech_base!$T154&gt;AC$1745,"",(tech_base!$K154/tech_proj!AC278*0.086*$J$132)/(1-tech_proj!AC558))</f>
        <v>0</v>
      </c>
      <c r="AD1898" s="119">
        <f>IF(tech_base!$T154&gt;AD$1745,"",(tech_base!$K154/tech_proj!AD278*0.086*$J$132)/(1-tech_proj!AD558))</f>
        <v>0</v>
      </c>
      <c r="AE1898" s="119">
        <f>IF(tech_base!$T154&gt;AE$1745,"",(tech_base!$K154/tech_proj!AE278*0.086*$J$132)/(1-tech_proj!AE558))</f>
        <v>0</v>
      </c>
      <c r="AF1898" s="119">
        <f>IF(tech_base!$T154&gt;AF$1745,"",(tech_base!$K154/tech_proj!AF278*0.086*$J$132)/(1-tech_proj!AF558))</f>
        <v>0</v>
      </c>
      <c r="AG1898" s="119">
        <f>IF(tech_base!$T154&gt;AG$1745,"",(tech_base!$K154/tech_proj!AG278*0.086*$J$132)/(1-tech_proj!AG558))</f>
        <v>0</v>
      </c>
      <c r="AH1898" s="119">
        <f>IF(tech_base!$T154&gt;AH$1745,"",(tech_base!$K154/tech_proj!AH278*0.086*$J$132)/(1-tech_proj!AH558))</f>
        <v>0</v>
      </c>
      <c r="AI1898" s="119">
        <f>IF(tech_base!$T154&gt;AI$1745,"",(tech_base!$K154/tech_proj!AI278*0.086*$J$132)/(1-tech_proj!AI558))</f>
        <v>0</v>
      </c>
      <c r="AJ1898" s="119">
        <f>IF(tech_base!$T154&gt;AJ$1745,"",(tech_base!$K154/tech_proj!AJ278*0.086*$J$132)/(1-tech_proj!AJ558))</f>
        <v>0</v>
      </c>
      <c r="AK1898" s="119">
        <f>IF(tech_base!$T154&gt;AK$1745,"",(tech_base!$K154/tech_proj!AK278*0.086*$J$132)/(1-tech_proj!AK558))</f>
        <v>0</v>
      </c>
      <c r="AL1898" s="119">
        <f>IF(tech_base!$T154&gt;AL$1745,"",(tech_base!$K154/tech_proj!AL278*0.086*$J$132)/(1-tech_proj!AL558))</f>
        <v>0</v>
      </c>
      <c r="AM1898" s="119">
        <f>IF(tech_base!$T154&gt;AM$1745,"",(tech_base!$K154/tech_proj!AM278*0.086*$J$132)/(1-tech_proj!AM558))</f>
        <v>0</v>
      </c>
      <c r="AN1898" s="119">
        <f>IF(tech_base!$T154&gt;AN$1745,"",(tech_base!$K154/tech_proj!AN278*0.086*$J$132)/(1-tech_proj!AN558))</f>
        <v>0</v>
      </c>
      <c r="AO1898" s="119">
        <f>IF(tech_base!$T154&gt;AO$1745,"",(tech_base!$K154/tech_proj!AO278*0.086*$J$132)/(1-tech_proj!AO558))</f>
        <v>0</v>
      </c>
      <c r="AP1898" s="119">
        <f>IF(tech_base!$T154&gt;AP$1745,"",(tech_base!$K154/tech_proj!AP278*0.086*$J$132)/(1-tech_proj!AP558))</f>
        <v>0</v>
      </c>
      <c r="AQ1898" s="119">
        <f>IF(tech_base!$T154&gt;AQ$1745,"",(tech_base!$K154/tech_proj!AQ278*0.086*$J$132)/(1-tech_proj!AQ558))</f>
        <v>0</v>
      </c>
      <c r="AR1898" s="119">
        <f>IF(tech_base!$T154&gt;AR$1745,"",(tech_base!$K154/tech_proj!AR278*0.086*$J$132)/(1-tech_proj!AR558))</f>
        <v>0</v>
      </c>
      <c r="AS1898" s="119">
        <f>IF(tech_base!$T154&gt;AS$1745,"",(tech_base!$K154/tech_proj!AS278*0.086*$J$132)/(1-tech_proj!AS558))</f>
        <v>0</v>
      </c>
      <c r="AT1898" s="119">
        <f>IF(tech_base!$T154&gt;AT$1745,"",(tech_base!$K154/tech_proj!AT278*0.086*$J$132)/(1-tech_proj!AT558))</f>
        <v>0</v>
      </c>
      <c r="AU1898" s="119">
        <f>IF(tech_base!$T154&gt;AU$1745,"",(tech_base!$K154/tech_proj!AU278*0.086*$J$132)/(1-tech_proj!AU558))</f>
        <v>0</v>
      </c>
      <c r="AV1898" s="119">
        <f>IF(tech_base!$T154&gt;AV$1745,"",(tech_base!$K154/tech_proj!AV278*0.086*$J$132)/(1-tech_proj!AV558))</f>
        <v>0</v>
      </c>
      <c r="AW1898" s="119">
        <f>IF(tech_base!$T154&gt;AW$1745,"",(tech_base!$K154/tech_proj!AW278*0.086*$J$132)/(1-tech_proj!AW558))</f>
        <v>0</v>
      </c>
      <c r="AX1898" s="120">
        <f>IF(tech_base!$T154&gt;AX$1745,"",(tech_base!$K154/tech_proj!AX278*0.086*$J$132)/(1-tech_proj!AX558))</f>
        <v>0</v>
      </c>
    </row>
    <row r="1899" spans="1:50" x14ac:dyDescent="0.25">
      <c r="A1899" s="356"/>
      <c r="B1899" s="376"/>
      <c r="C1899" s="378"/>
      <c r="D1899" s="2" t="s">
        <v>10</v>
      </c>
      <c r="E1899" s="160" t="str">
        <f>A1885&amp;"/"&amp;B1893&amp;"/"&amp;C1897&amp;"/"&amp;D1899</f>
        <v>Diesel oil fired power plants/Gas turbine /CHP/S</v>
      </c>
      <c r="F1899" s="76" t="str">
        <f>A1885</f>
        <v>Diesel oil fired power plants</v>
      </c>
      <c r="G1899" s="76" t="str">
        <f>B1893</f>
        <v xml:space="preserve">Gas turbine </v>
      </c>
      <c r="H1899" s="76" t="str">
        <f>C1897</f>
        <v>CHP</v>
      </c>
      <c r="I1899" s="161" t="str">
        <f t="shared" si="384"/>
        <v>S</v>
      </c>
      <c r="J1899" s="119">
        <f>IF(tech_base!$T155&gt;J$1745,"",(tech_base!$K155/tech_proj!J279*0.086*$J$132)/(1-tech_proj!J559))</f>
        <v>0</v>
      </c>
      <c r="K1899" s="119">
        <f>IF(tech_base!$T155&gt;K$1745,"",(tech_base!$K155/tech_proj!K279*0.086*$J$132)/(1-tech_proj!K559))</f>
        <v>0</v>
      </c>
      <c r="L1899" s="119">
        <f>IF(tech_base!$T155&gt;L$1745,"",(tech_base!$K155/tech_proj!L279*0.086*$J$132)/(1-tech_proj!L559))</f>
        <v>0</v>
      </c>
      <c r="M1899" s="119">
        <f>IF(tech_base!$T155&gt;M$1745,"",(tech_base!$K155/tech_proj!M279*0.086*$J$132)/(1-tech_proj!M559))</f>
        <v>0</v>
      </c>
      <c r="N1899" s="119">
        <f>IF(tech_base!$T155&gt;N$1745,"",(tech_base!$K155/tech_proj!N279*0.086*$J$132)/(1-tech_proj!N559))</f>
        <v>0</v>
      </c>
      <c r="O1899" s="119">
        <f>IF(tech_base!$T155&gt;O$1745,"",(tech_base!$K155/tech_proj!O279*0.086*$J$132)/(1-tech_proj!O559))</f>
        <v>0</v>
      </c>
      <c r="P1899" s="119">
        <f>IF(tech_base!$T155&gt;P$1745,"",(tech_base!$K155/tech_proj!P279*0.086*$J$132)/(1-tech_proj!P559))</f>
        <v>0</v>
      </c>
      <c r="Q1899" s="119">
        <f>IF(tech_base!$T155&gt;Q$1745,"",(tech_base!$K155/tech_proj!Q279*0.086*$J$132)/(1-tech_proj!Q559))</f>
        <v>0</v>
      </c>
      <c r="R1899" s="119">
        <f>IF(tech_base!$T155&gt;R$1745,"",(tech_base!$K155/tech_proj!R279*0.086*$J$132)/(1-tech_proj!R559))</f>
        <v>0</v>
      </c>
      <c r="S1899" s="119">
        <f>IF(tech_base!$T155&gt;S$1745,"",(tech_base!$K155/tech_proj!S279*0.086*$J$132)/(1-tech_proj!S559))</f>
        <v>0</v>
      </c>
      <c r="T1899" s="119">
        <f>IF(tech_base!$T155&gt;T$1745,"",(tech_base!$K155/tech_proj!T279*0.086*$J$132)/(1-tech_proj!T559))</f>
        <v>0</v>
      </c>
      <c r="U1899" s="119">
        <f>IF(tech_base!$T155&gt;U$1745,"",(tech_base!$K155/tech_proj!U279*0.086*$J$132)/(1-tech_proj!U559))</f>
        <v>0</v>
      </c>
      <c r="V1899" s="119">
        <f>IF(tech_base!$T155&gt;V$1745,"",(tech_base!$K155/tech_proj!V279*0.086*$J$132)/(1-tech_proj!V559))</f>
        <v>0</v>
      </c>
      <c r="W1899" s="119">
        <f>IF(tech_base!$T155&gt;W$1745,"",(tech_base!$K155/tech_proj!W279*0.086*$J$132)/(1-tech_proj!W559))</f>
        <v>0</v>
      </c>
      <c r="X1899" s="119">
        <f>IF(tech_base!$T155&gt;X$1745,"",(tech_base!$K155/tech_proj!X279*0.086*$J$132)/(1-tech_proj!X559))</f>
        <v>0</v>
      </c>
      <c r="Y1899" s="119">
        <f>IF(tech_base!$T155&gt;Y$1745,"",(tech_base!$K155/tech_proj!Y279*0.086*$J$132)/(1-tech_proj!Y559))</f>
        <v>0</v>
      </c>
      <c r="Z1899" s="119">
        <f>IF(tech_base!$T155&gt;Z$1745,"",(tech_base!$K155/tech_proj!Z279*0.086*$J$132)/(1-tech_proj!Z559))</f>
        <v>0</v>
      </c>
      <c r="AA1899" s="119">
        <f>IF(tech_base!$T155&gt;AA$1745,"",(tech_base!$K155/tech_proj!AA279*0.086*$J$132)/(1-tech_proj!AA559))</f>
        <v>0</v>
      </c>
      <c r="AB1899" s="119">
        <f>IF(tech_base!$T155&gt;AB$1745,"",(tech_base!$K155/tech_proj!AB279*0.086*$J$132)/(1-tech_proj!AB559))</f>
        <v>0</v>
      </c>
      <c r="AC1899" s="119">
        <f>IF(tech_base!$T155&gt;AC$1745,"",(tech_base!$K155/tech_proj!AC279*0.086*$J$132)/(1-tech_proj!AC559))</f>
        <v>0</v>
      </c>
      <c r="AD1899" s="119">
        <f>IF(tech_base!$T155&gt;AD$1745,"",(tech_base!$K155/tech_proj!AD279*0.086*$J$132)/(1-tech_proj!AD559))</f>
        <v>0</v>
      </c>
      <c r="AE1899" s="119">
        <f>IF(tech_base!$T155&gt;AE$1745,"",(tech_base!$K155/tech_proj!AE279*0.086*$J$132)/(1-tech_proj!AE559))</f>
        <v>0</v>
      </c>
      <c r="AF1899" s="119">
        <f>IF(tech_base!$T155&gt;AF$1745,"",(tech_base!$K155/tech_proj!AF279*0.086*$J$132)/(1-tech_proj!AF559))</f>
        <v>0</v>
      </c>
      <c r="AG1899" s="119">
        <f>IF(tech_base!$T155&gt;AG$1745,"",(tech_base!$K155/tech_proj!AG279*0.086*$J$132)/(1-tech_proj!AG559))</f>
        <v>0</v>
      </c>
      <c r="AH1899" s="119">
        <f>IF(tech_base!$T155&gt;AH$1745,"",(tech_base!$K155/tech_proj!AH279*0.086*$J$132)/(1-tech_proj!AH559))</f>
        <v>0</v>
      </c>
      <c r="AI1899" s="119">
        <f>IF(tech_base!$T155&gt;AI$1745,"",(tech_base!$K155/tech_proj!AI279*0.086*$J$132)/(1-tech_proj!AI559))</f>
        <v>0</v>
      </c>
      <c r="AJ1899" s="119">
        <f>IF(tech_base!$T155&gt;AJ$1745,"",(tech_base!$K155/tech_proj!AJ279*0.086*$J$132)/(1-tech_proj!AJ559))</f>
        <v>0</v>
      </c>
      <c r="AK1899" s="119">
        <f>IF(tech_base!$T155&gt;AK$1745,"",(tech_base!$K155/tech_proj!AK279*0.086*$J$132)/(1-tech_proj!AK559))</f>
        <v>0</v>
      </c>
      <c r="AL1899" s="119">
        <f>IF(tech_base!$T155&gt;AL$1745,"",(tech_base!$K155/tech_proj!AL279*0.086*$J$132)/(1-tech_proj!AL559))</f>
        <v>0</v>
      </c>
      <c r="AM1899" s="119">
        <f>IF(tech_base!$T155&gt;AM$1745,"",(tech_base!$K155/tech_proj!AM279*0.086*$J$132)/(1-tech_proj!AM559))</f>
        <v>0</v>
      </c>
      <c r="AN1899" s="119">
        <f>IF(tech_base!$T155&gt;AN$1745,"",(tech_base!$K155/tech_proj!AN279*0.086*$J$132)/(1-tech_proj!AN559))</f>
        <v>0</v>
      </c>
      <c r="AO1899" s="119">
        <f>IF(tech_base!$T155&gt;AO$1745,"",(tech_base!$K155/tech_proj!AO279*0.086*$J$132)/(1-tech_proj!AO559))</f>
        <v>0</v>
      </c>
      <c r="AP1899" s="119">
        <f>IF(tech_base!$T155&gt;AP$1745,"",(tech_base!$K155/tech_proj!AP279*0.086*$J$132)/(1-tech_proj!AP559))</f>
        <v>0</v>
      </c>
      <c r="AQ1899" s="119">
        <f>IF(tech_base!$T155&gt;AQ$1745,"",(tech_base!$K155/tech_proj!AQ279*0.086*$J$132)/(1-tech_proj!AQ559))</f>
        <v>0</v>
      </c>
      <c r="AR1899" s="119">
        <f>IF(tech_base!$T155&gt;AR$1745,"",(tech_base!$K155/tech_proj!AR279*0.086*$J$132)/(1-tech_proj!AR559))</f>
        <v>0</v>
      </c>
      <c r="AS1899" s="119">
        <f>IF(tech_base!$T155&gt;AS$1745,"",(tech_base!$K155/tech_proj!AS279*0.086*$J$132)/(1-tech_proj!AS559))</f>
        <v>0</v>
      </c>
      <c r="AT1899" s="119">
        <f>IF(tech_base!$T155&gt;AT$1745,"",(tech_base!$K155/tech_proj!AT279*0.086*$J$132)/(1-tech_proj!AT559))</f>
        <v>0</v>
      </c>
      <c r="AU1899" s="119">
        <f>IF(tech_base!$T155&gt;AU$1745,"",(tech_base!$K155/tech_proj!AU279*0.086*$J$132)/(1-tech_proj!AU559))</f>
        <v>0</v>
      </c>
      <c r="AV1899" s="119">
        <f>IF(tech_base!$T155&gt;AV$1745,"",(tech_base!$K155/tech_proj!AV279*0.086*$J$132)/(1-tech_proj!AV559))</f>
        <v>0</v>
      </c>
      <c r="AW1899" s="119">
        <f>IF(tech_base!$T155&gt;AW$1745,"",(tech_base!$K155/tech_proj!AW279*0.086*$J$132)/(1-tech_proj!AW559))</f>
        <v>0</v>
      </c>
      <c r="AX1899" s="120">
        <f>IF(tech_base!$T155&gt;AX$1745,"",(tech_base!$K155/tech_proj!AX279*0.086*$J$132)/(1-tech_proj!AX559))</f>
        <v>0</v>
      </c>
    </row>
    <row r="1900" spans="1:50" x14ac:dyDescent="0.25">
      <c r="A1900" s="356"/>
      <c r="B1900" s="376"/>
      <c r="C1900" s="379"/>
      <c r="D1900" s="59" t="s">
        <v>20</v>
      </c>
      <c r="E1900" s="166" t="str">
        <f>A1885&amp;"/"&amp;B1893&amp;"/"&amp;C1897&amp;"/"&amp;D1900</f>
        <v>Diesel oil fired power plants/Gas turbine /CHP/XS</v>
      </c>
      <c r="F1900" s="79" t="str">
        <f>A1885</f>
        <v>Diesel oil fired power plants</v>
      </c>
      <c r="G1900" s="79" t="str">
        <f>B1893</f>
        <v xml:space="preserve">Gas turbine </v>
      </c>
      <c r="H1900" s="79" t="str">
        <f>C1897</f>
        <v>CHP</v>
      </c>
      <c r="I1900" s="167" t="str">
        <f t="shared" si="384"/>
        <v>XS</v>
      </c>
      <c r="J1900" s="125">
        <f>IF(tech_base!$T156&gt;J$1745,"",(tech_base!$K156/tech_proj!J280*0.086*$J$132)/(1-tech_proj!J560))</f>
        <v>0</v>
      </c>
      <c r="K1900" s="125">
        <f>IF(tech_base!$T156&gt;K$1745,"",(tech_base!$K156/tech_proj!K280*0.086*$J$132)/(1-tech_proj!K560))</f>
        <v>0</v>
      </c>
      <c r="L1900" s="125">
        <f>IF(tech_base!$T156&gt;L$1745,"",(tech_base!$K156/tech_proj!L280*0.086*$J$132)/(1-tech_proj!L560))</f>
        <v>0</v>
      </c>
      <c r="M1900" s="125">
        <f>IF(tech_base!$T156&gt;M$1745,"",(tech_base!$K156/tech_proj!M280*0.086*$J$132)/(1-tech_proj!M560))</f>
        <v>0</v>
      </c>
      <c r="N1900" s="125">
        <f>IF(tech_base!$T156&gt;N$1745,"",(tech_base!$K156/tech_proj!N280*0.086*$J$132)/(1-tech_proj!N560))</f>
        <v>0</v>
      </c>
      <c r="O1900" s="125">
        <f>IF(tech_base!$T156&gt;O$1745,"",(tech_base!$K156/tech_proj!O280*0.086*$J$132)/(1-tech_proj!O560))</f>
        <v>0</v>
      </c>
      <c r="P1900" s="125">
        <f>IF(tech_base!$T156&gt;P$1745,"",(tech_base!$K156/tech_proj!P280*0.086*$J$132)/(1-tech_proj!P560))</f>
        <v>0</v>
      </c>
      <c r="Q1900" s="125">
        <f>IF(tech_base!$T156&gt;Q$1745,"",(tech_base!$K156/tech_proj!Q280*0.086*$J$132)/(1-tech_proj!Q560))</f>
        <v>0</v>
      </c>
      <c r="R1900" s="125">
        <f>IF(tech_base!$T156&gt;R$1745,"",(tech_base!$K156/tech_proj!R280*0.086*$J$132)/(1-tech_proj!R560))</f>
        <v>0</v>
      </c>
      <c r="S1900" s="125">
        <f>IF(tech_base!$T156&gt;S$1745,"",(tech_base!$K156/tech_proj!S280*0.086*$J$132)/(1-tech_proj!S560))</f>
        <v>0</v>
      </c>
      <c r="T1900" s="125">
        <f>IF(tech_base!$T156&gt;T$1745,"",(tech_base!$K156/tech_proj!T280*0.086*$J$132)/(1-tech_proj!T560))</f>
        <v>0</v>
      </c>
      <c r="U1900" s="125">
        <f>IF(tech_base!$T156&gt;U$1745,"",(tech_base!$K156/tech_proj!U280*0.086*$J$132)/(1-tech_proj!U560))</f>
        <v>0</v>
      </c>
      <c r="V1900" s="125">
        <f>IF(tech_base!$T156&gt;V$1745,"",(tech_base!$K156/tech_proj!V280*0.086*$J$132)/(1-tech_proj!V560))</f>
        <v>0</v>
      </c>
      <c r="W1900" s="125">
        <f>IF(tech_base!$T156&gt;W$1745,"",(tech_base!$K156/tech_proj!W280*0.086*$J$132)/(1-tech_proj!W560))</f>
        <v>0</v>
      </c>
      <c r="X1900" s="125">
        <f>IF(tech_base!$T156&gt;X$1745,"",(tech_base!$K156/tech_proj!X280*0.086*$J$132)/(1-tech_proj!X560))</f>
        <v>0</v>
      </c>
      <c r="Y1900" s="125">
        <f>IF(tech_base!$T156&gt;Y$1745,"",(tech_base!$K156/tech_proj!Y280*0.086*$J$132)/(1-tech_proj!Y560))</f>
        <v>0</v>
      </c>
      <c r="Z1900" s="125">
        <f>IF(tech_base!$T156&gt;Z$1745,"",(tech_base!$K156/tech_proj!Z280*0.086*$J$132)/(1-tech_proj!Z560))</f>
        <v>0</v>
      </c>
      <c r="AA1900" s="125">
        <f>IF(tech_base!$T156&gt;AA$1745,"",(tech_base!$K156/tech_proj!AA280*0.086*$J$132)/(1-tech_proj!AA560))</f>
        <v>0</v>
      </c>
      <c r="AB1900" s="125">
        <f>IF(tech_base!$T156&gt;AB$1745,"",(tech_base!$K156/tech_proj!AB280*0.086*$J$132)/(1-tech_proj!AB560))</f>
        <v>0</v>
      </c>
      <c r="AC1900" s="125">
        <f>IF(tech_base!$T156&gt;AC$1745,"",(tech_base!$K156/tech_proj!AC280*0.086*$J$132)/(1-tech_proj!AC560))</f>
        <v>0</v>
      </c>
      <c r="AD1900" s="125">
        <f>IF(tech_base!$T156&gt;AD$1745,"",(tech_base!$K156/tech_proj!AD280*0.086*$J$132)/(1-tech_proj!AD560))</f>
        <v>0</v>
      </c>
      <c r="AE1900" s="125">
        <f>IF(tech_base!$T156&gt;AE$1745,"",(tech_base!$K156/tech_proj!AE280*0.086*$J$132)/(1-tech_proj!AE560))</f>
        <v>0</v>
      </c>
      <c r="AF1900" s="125">
        <f>IF(tech_base!$T156&gt;AF$1745,"",(tech_base!$K156/tech_proj!AF280*0.086*$J$132)/(1-tech_proj!AF560))</f>
        <v>0</v>
      </c>
      <c r="AG1900" s="125">
        <f>IF(tech_base!$T156&gt;AG$1745,"",(tech_base!$K156/tech_proj!AG280*0.086*$J$132)/(1-tech_proj!AG560))</f>
        <v>0</v>
      </c>
      <c r="AH1900" s="125">
        <f>IF(tech_base!$T156&gt;AH$1745,"",(tech_base!$K156/tech_proj!AH280*0.086*$J$132)/(1-tech_proj!AH560))</f>
        <v>0</v>
      </c>
      <c r="AI1900" s="125">
        <f>IF(tech_base!$T156&gt;AI$1745,"",(tech_base!$K156/tech_proj!AI280*0.086*$J$132)/(1-tech_proj!AI560))</f>
        <v>0</v>
      </c>
      <c r="AJ1900" s="125">
        <f>IF(tech_base!$T156&gt;AJ$1745,"",(tech_base!$K156/tech_proj!AJ280*0.086*$J$132)/(1-tech_proj!AJ560))</f>
        <v>0</v>
      </c>
      <c r="AK1900" s="125">
        <f>IF(tech_base!$T156&gt;AK$1745,"",(tech_base!$K156/tech_proj!AK280*0.086*$J$132)/(1-tech_proj!AK560))</f>
        <v>0</v>
      </c>
      <c r="AL1900" s="125">
        <f>IF(tech_base!$T156&gt;AL$1745,"",(tech_base!$K156/tech_proj!AL280*0.086*$J$132)/(1-tech_proj!AL560))</f>
        <v>0</v>
      </c>
      <c r="AM1900" s="125">
        <f>IF(tech_base!$T156&gt;AM$1745,"",(tech_base!$K156/tech_proj!AM280*0.086*$J$132)/(1-tech_proj!AM560))</f>
        <v>0</v>
      </c>
      <c r="AN1900" s="125">
        <f>IF(tech_base!$T156&gt;AN$1745,"",(tech_base!$K156/tech_proj!AN280*0.086*$J$132)/(1-tech_proj!AN560))</f>
        <v>0</v>
      </c>
      <c r="AO1900" s="125">
        <f>IF(tech_base!$T156&gt;AO$1745,"",(tech_base!$K156/tech_proj!AO280*0.086*$J$132)/(1-tech_proj!AO560))</f>
        <v>0</v>
      </c>
      <c r="AP1900" s="125">
        <f>IF(tech_base!$T156&gt;AP$1745,"",(tech_base!$K156/tech_proj!AP280*0.086*$J$132)/(1-tech_proj!AP560))</f>
        <v>0</v>
      </c>
      <c r="AQ1900" s="125">
        <f>IF(tech_base!$T156&gt;AQ$1745,"",(tech_base!$K156/tech_proj!AQ280*0.086*$J$132)/(1-tech_proj!AQ560))</f>
        <v>0</v>
      </c>
      <c r="AR1900" s="125">
        <f>IF(tech_base!$T156&gt;AR$1745,"",(tech_base!$K156/tech_proj!AR280*0.086*$J$132)/(1-tech_proj!AR560))</f>
        <v>0</v>
      </c>
      <c r="AS1900" s="125">
        <f>IF(tech_base!$T156&gt;AS$1745,"",(tech_base!$K156/tech_proj!AS280*0.086*$J$132)/(1-tech_proj!AS560))</f>
        <v>0</v>
      </c>
      <c r="AT1900" s="125">
        <f>IF(tech_base!$T156&gt;AT$1745,"",(tech_base!$K156/tech_proj!AT280*0.086*$J$132)/(1-tech_proj!AT560))</f>
        <v>0</v>
      </c>
      <c r="AU1900" s="125">
        <f>IF(tech_base!$T156&gt;AU$1745,"",(tech_base!$K156/tech_proj!AU280*0.086*$J$132)/(1-tech_proj!AU560))</f>
        <v>0</v>
      </c>
      <c r="AV1900" s="125">
        <f>IF(tech_base!$T156&gt;AV$1745,"",(tech_base!$K156/tech_proj!AV280*0.086*$J$132)/(1-tech_proj!AV560))</f>
        <v>0</v>
      </c>
      <c r="AW1900" s="125">
        <f>IF(tech_base!$T156&gt;AW$1745,"",(tech_base!$K156/tech_proj!AW280*0.086*$J$132)/(1-tech_proj!AW560))</f>
        <v>0</v>
      </c>
      <c r="AX1900" s="126">
        <f>IF(tech_base!$T156&gt;AX$1745,"",(tech_base!$K156/tech_proj!AX280*0.086*$J$132)/(1-tech_proj!AX560))</f>
        <v>0</v>
      </c>
    </row>
    <row r="1901" spans="1:50" x14ac:dyDescent="0.25">
      <c r="A1901" s="356"/>
      <c r="B1901" s="376"/>
      <c r="C1901" s="361" t="s">
        <v>15</v>
      </c>
      <c r="D1901" s="58" t="s">
        <v>7</v>
      </c>
      <c r="E1901" s="164" t="str">
        <f>A1885&amp;"/"&amp;B1893&amp;"/"&amp;C1901&amp;"/"&amp;D1901</f>
        <v>Diesel oil fired power plants/Gas turbine /Electricity only with CCS/L</v>
      </c>
      <c r="F1901" s="78" t="str">
        <f>A1885</f>
        <v>Diesel oil fired power plants</v>
      </c>
      <c r="G1901" s="78" t="str">
        <f>B1893</f>
        <v xml:space="preserve">Gas turbine </v>
      </c>
      <c r="H1901" s="78" t="str">
        <f>C1901</f>
        <v>Electricity only with CCS</v>
      </c>
      <c r="I1901" s="165" t="str">
        <f t="shared" si="384"/>
        <v>L</v>
      </c>
      <c r="J1901" s="123" t="str">
        <f>IF(tech_base!$T157&gt;J$1745,"",(tech_base!$K157/tech_proj!J281*0.086*$J$132)/(1-tech_proj!J561))</f>
        <v/>
      </c>
      <c r="K1901" s="123" t="str">
        <f>IF(tech_base!$T157&gt;K$1745,"",(tech_base!$K157/tech_proj!K281*0.086*$J$132)/(1-tech_proj!K561))</f>
        <v/>
      </c>
      <c r="L1901" s="123" t="str">
        <f>IF(tech_base!$T157&gt;L$1745,"",(tech_base!$K157/tech_proj!L281*0.086*$J$132)/(1-tech_proj!L561))</f>
        <v/>
      </c>
      <c r="M1901" s="123" t="str">
        <f>IF(tech_base!$T157&gt;M$1745,"",(tech_base!$K157/tech_proj!M281*0.086*$J$132)/(1-tech_proj!M561))</f>
        <v/>
      </c>
      <c r="N1901" s="123" t="str">
        <f>IF(tech_base!$T157&gt;N$1745,"",(tech_base!$K157/tech_proj!N281*0.086*$J$132)/(1-tech_proj!N561))</f>
        <v/>
      </c>
      <c r="O1901" s="123" t="str">
        <f>IF(tech_base!$T157&gt;O$1745,"",(tech_base!$K157/tech_proj!O281*0.086*$J$132)/(1-tech_proj!O561))</f>
        <v/>
      </c>
      <c r="P1901" s="123" t="str">
        <f>IF(tech_base!$T157&gt;P$1745,"",(tech_base!$K157/tech_proj!P281*0.086*$J$132)/(1-tech_proj!P561))</f>
        <v/>
      </c>
      <c r="Q1901" s="123" t="str">
        <f>IF(tech_base!$T157&gt;Q$1745,"",(tech_base!$K157/tech_proj!Q281*0.086*$J$132)/(1-tech_proj!Q561))</f>
        <v/>
      </c>
      <c r="R1901" s="123" t="str">
        <f>IF(tech_base!$T157&gt;R$1745,"",(tech_base!$K157/tech_proj!R281*0.086*$J$132)/(1-tech_proj!R561))</f>
        <v/>
      </c>
      <c r="S1901" s="123" t="str">
        <f>IF(tech_base!$T157&gt;S$1745,"",(tech_base!$K157/tech_proj!S281*0.086*$J$132)/(1-tech_proj!S561))</f>
        <v/>
      </c>
      <c r="T1901" s="123" t="str">
        <f>IF(tech_base!$T157&gt;T$1745,"",(tech_base!$K157/tech_proj!T281*0.086*$J$132)/(1-tech_proj!T561))</f>
        <v/>
      </c>
      <c r="U1901" s="123" t="str">
        <f>IF(tech_base!$T157&gt;U$1745,"",(tech_base!$K157/tech_proj!U281*0.086*$J$132)/(1-tech_proj!U561))</f>
        <v/>
      </c>
      <c r="V1901" s="123" t="str">
        <f>IF(tech_base!$T157&gt;V$1745,"",(tech_base!$K157/tech_proj!V281*0.086*$J$132)/(1-tech_proj!V561))</f>
        <v/>
      </c>
      <c r="W1901" s="123" t="str">
        <f>IF(tech_base!$T157&gt;W$1745,"",(tech_base!$K157/tech_proj!W281*0.086*$J$132)/(1-tech_proj!W561))</f>
        <v/>
      </c>
      <c r="X1901" s="123" t="str">
        <f>IF(tech_base!$T157&gt;X$1745,"",(tech_base!$K157/tech_proj!X281*0.086*$J$132)/(1-tech_proj!X561))</f>
        <v/>
      </c>
      <c r="Y1901" s="123" t="str">
        <f>IF(tech_base!$T157&gt;Y$1745,"",(tech_base!$K157/tech_proj!Y281*0.086*$J$132)/(1-tech_proj!Y561))</f>
        <v/>
      </c>
      <c r="Z1901" s="123" t="str">
        <f>IF(tech_base!$T157&gt;Z$1745,"",(tech_base!$K157/tech_proj!Z281*0.086*$J$132)/(1-tech_proj!Z561))</f>
        <v/>
      </c>
      <c r="AA1901" s="123" t="str">
        <f>IF(tech_base!$T157&gt;AA$1745,"",(tech_base!$K157/tech_proj!AA281*0.086*$J$132)/(1-tech_proj!AA561))</f>
        <v/>
      </c>
      <c r="AB1901" s="123" t="str">
        <f>IF(tech_base!$T157&gt;AB$1745,"",(tech_base!$K157/tech_proj!AB281*0.086*$J$132)/(1-tech_proj!AB561))</f>
        <v/>
      </c>
      <c r="AC1901" s="123" t="str">
        <f>IF(tech_base!$T157&gt;AC$1745,"",(tech_base!$K157/tech_proj!AC281*0.086*$J$132)/(1-tech_proj!AC561))</f>
        <v/>
      </c>
      <c r="AD1901" s="123" t="str">
        <f>IF(tech_base!$T157&gt;AD$1745,"",(tech_base!$K157/tech_proj!AD281*0.086*$J$132)/(1-tech_proj!AD561))</f>
        <v/>
      </c>
      <c r="AE1901" s="123">
        <f>IF(tech_base!$T157&gt;AE$1745,"",(tech_base!$K157/tech_proj!AE281*0.086*$J$132)/(1-tech_proj!AE561))</f>
        <v>9.0886044543840008</v>
      </c>
      <c r="AF1901" s="123">
        <f>IF(tech_base!$T157&gt;AF$1745,"",(tech_base!$K157/tech_proj!AF281*0.086*$J$132)/(1-tech_proj!AF561))</f>
        <v>9.0886044543840008</v>
      </c>
      <c r="AG1901" s="123">
        <f>IF(tech_base!$T157&gt;AG$1745,"",(tech_base!$K157/tech_proj!AG281*0.086*$J$132)/(1-tech_proj!AG561))</f>
        <v>9.0886044543840008</v>
      </c>
      <c r="AH1901" s="123">
        <f>IF(tech_base!$T157&gt;AH$1745,"",(tech_base!$K157/tech_proj!AH281*0.086*$J$132)/(1-tech_proj!AH561))</f>
        <v>9.0886044543840008</v>
      </c>
      <c r="AI1901" s="123">
        <f>IF(tech_base!$T157&gt;AI$1745,"",(tech_base!$K157/tech_proj!AI281*0.086*$J$132)/(1-tech_proj!AI561))</f>
        <v>9.0886044543840008</v>
      </c>
      <c r="AJ1901" s="123">
        <f>IF(tech_base!$T157&gt;AJ$1745,"",(tech_base!$K157/tech_proj!AJ281*0.086*$J$132)/(1-tech_proj!AJ561))</f>
        <v>9.0886044543840008</v>
      </c>
      <c r="AK1901" s="123">
        <f>IF(tech_base!$T157&gt;AK$1745,"",(tech_base!$K157/tech_proj!AK281*0.086*$J$132)/(1-tech_proj!AK561))</f>
        <v>9.0886044543840008</v>
      </c>
      <c r="AL1901" s="123">
        <f>IF(tech_base!$T157&gt;AL$1745,"",(tech_base!$K157/tech_proj!AL281*0.086*$J$132)/(1-tech_proj!AL561))</f>
        <v>9.0886044543840008</v>
      </c>
      <c r="AM1901" s="123">
        <f>IF(tech_base!$T157&gt;AM$1745,"",(tech_base!$K157/tech_proj!AM281*0.086*$J$132)/(1-tech_proj!AM561))</f>
        <v>9.0886044543840008</v>
      </c>
      <c r="AN1901" s="123">
        <f>IF(tech_base!$T157&gt;AN$1745,"",(tech_base!$K157/tech_proj!AN281*0.086*$J$132)/(1-tech_proj!AN561))</f>
        <v>9.0886044543840008</v>
      </c>
      <c r="AO1901" s="123">
        <f>IF(tech_base!$T157&gt;AO$1745,"",(tech_base!$K157/tech_proj!AO281*0.086*$J$132)/(1-tech_proj!AO561))</f>
        <v>9.0886044543840008</v>
      </c>
      <c r="AP1901" s="123">
        <f>IF(tech_base!$T157&gt;AP$1745,"",(tech_base!$K157/tech_proj!AP281*0.086*$J$132)/(1-tech_proj!AP561))</f>
        <v>9.0886044543840008</v>
      </c>
      <c r="AQ1901" s="123">
        <f>IF(tech_base!$T157&gt;AQ$1745,"",(tech_base!$K157/tech_proj!AQ281*0.086*$J$132)/(1-tech_proj!AQ561))</f>
        <v>9.0886044543840008</v>
      </c>
      <c r="AR1901" s="123">
        <f>IF(tech_base!$T157&gt;AR$1745,"",(tech_base!$K157/tech_proj!AR281*0.086*$J$132)/(1-tech_proj!AR561))</f>
        <v>9.0886044543840008</v>
      </c>
      <c r="AS1901" s="123">
        <f>IF(tech_base!$T157&gt;AS$1745,"",(tech_base!$K157/tech_proj!AS281*0.086*$J$132)/(1-tech_proj!AS561))</f>
        <v>9.0886044543840008</v>
      </c>
      <c r="AT1901" s="123">
        <f>IF(tech_base!$T157&gt;AT$1745,"",(tech_base!$K157/tech_proj!AT281*0.086*$J$132)/(1-tech_proj!AT561))</f>
        <v>9.0886044543840008</v>
      </c>
      <c r="AU1901" s="123">
        <f>IF(tech_base!$T157&gt;AU$1745,"",(tech_base!$K157/tech_proj!AU281*0.086*$J$132)/(1-tech_proj!AU561))</f>
        <v>9.0886044543840008</v>
      </c>
      <c r="AV1901" s="123">
        <f>IF(tech_base!$T157&gt;AV$1745,"",(tech_base!$K157/tech_proj!AV281*0.086*$J$132)/(1-tech_proj!AV561))</f>
        <v>9.0886044543840008</v>
      </c>
      <c r="AW1901" s="123">
        <f>IF(tech_base!$T157&gt;AW$1745,"",(tech_base!$K157/tech_proj!AW281*0.086*$J$132)/(1-tech_proj!AW561))</f>
        <v>9.0886044543840008</v>
      </c>
      <c r="AX1901" s="124">
        <f>IF(tech_base!$T157&gt;AX$1745,"",(tech_base!$K157/tech_proj!AX281*0.086*$J$132)/(1-tech_proj!AX561))</f>
        <v>9.0886044543840008</v>
      </c>
    </row>
    <row r="1902" spans="1:50" x14ac:dyDescent="0.25">
      <c r="A1902" s="356"/>
      <c r="B1902" s="376"/>
      <c r="C1902" s="379"/>
      <c r="D1902" s="59" t="s">
        <v>8</v>
      </c>
      <c r="E1902" s="166" t="str">
        <f>A1885&amp;"/"&amp;B1893&amp;"/"&amp;C1901&amp;"/"&amp;D1902</f>
        <v>Diesel oil fired power plants/Gas turbine /Electricity only with CCS/M</v>
      </c>
      <c r="F1902" s="79" t="str">
        <f>A1885</f>
        <v>Diesel oil fired power plants</v>
      </c>
      <c r="G1902" s="79" t="str">
        <f>B1893</f>
        <v xml:space="preserve">Gas turbine </v>
      </c>
      <c r="H1902" s="79" t="str">
        <f>C1901</f>
        <v>Electricity only with CCS</v>
      </c>
      <c r="I1902" s="167" t="str">
        <f t="shared" si="384"/>
        <v>M</v>
      </c>
      <c r="J1902" s="125" t="str">
        <f>IF(tech_base!$T158&gt;J$1745,"",(tech_base!$K158/tech_proj!J282*0.086*$J$132)/(1-tech_proj!J562))</f>
        <v/>
      </c>
      <c r="K1902" s="125" t="str">
        <f>IF(tech_base!$T158&gt;K$1745,"",(tech_base!$K158/tech_proj!K282*0.086*$J$132)/(1-tech_proj!K562))</f>
        <v/>
      </c>
      <c r="L1902" s="125" t="str">
        <f>IF(tech_base!$T158&gt;L$1745,"",(tech_base!$K158/tech_proj!L282*0.086*$J$132)/(1-tech_proj!L562))</f>
        <v/>
      </c>
      <c r="M1902" s="125" t="str">
        <f>IF(tech_base!$T158&gt;M$1745,"",(tech_base!$K158/tech_proj!M282*0.086*$J$132)/(1-tech_proj!M562))</f>
        <v/>
      </c>
      <c r="N1902" s="125" t="str">
        <f>IF(tech_base!$T158&gt;N$1745,"",(tech_base!$K158/tech_proj!N282*0.086*$J$132)/(1-tech_proj!N562))</f>
        <v/>
      </c>
      <c r="O1902" s="125" t="str">
        <f>IF(tech_base!$T158&gt;O$1745,"",(tech_base!$K158/tech_proj!O282*0.086*$J$132)/(1-tech_proj!O562))</f>
        <v/>
      </c>
      <c r="P1902" s="125" t="str">
        <f>IF(tech_base!$T158&gt;P$1745,"",(tech_base!$K158/tech_proj!P282*0.086*$J$132)/(1-tech_proj!P562))</f>
        <v/>
      </c>
      <c r="Q1902" s="125" t="str">
        <f>IF(tech_base!$T158&gt;Q$1745,"",(tech_base!$K158/tech_proj!Q282*0.086*$J$132)/(1-tech_proj!Q562))</f>
        <v/>
      </c>
      <c r="R1902" s="125" t="str">
        <f>IF(tech_base!$T158&gt;R$1745,"",(tech_base!$K158/tech_proj!R282*0.086*$J$132)/(1-tech_proj!R562))</f>
        <v/>
      </c>
      <c r="S1902" s="125" t="str">
        <f>IF(tech_base!$T158&gt;S$1745,"",(tech_base!$K158/tech_proj!S282*0.086*$J$132)/(1-tech_proj!S562))</f>
        <v/>
      </c>
      <c r="T1902" s="125" t="str">
        <f>IF(tech_base!$T158&gt;T$1745,"",(tech_base!$K158/tech_proj!T282*0.086*$J$132)/(1-tech_proj!T562))</f>
        <v/>
      </c>
      <c r="U1902" s="125" t="str">
        <f>IF(tech_base!$T158&gt;U$1745,"",(tech_base!$K158/tech_proj!U282*0.086*$J$132)/(1-tech_proj!U562))</f>
        <v/>
      </c>
      <c r="V1902" s="125" t="str">
        <f>IF(tech_base!$T158&gt;V$1745,"",(tech_base!$K158/tech_proj!V282*0.086*$J$132)/(1-tech_proj!V562))</f>
        <v/>
      </c>
      <c r="W1902" s="125" t="str">
        <f>IF(tech_base!$T158&gt;W$1745,"",(tech_base!$K158/tech_proj!W282*0.086*$J$132)/(1-tech_proj!W562))</f>
        <v/>
      </c>
      <c r="X1902" s="125" t="str">
        <f>IF(tech_base!$T158&gt;X$1745,"",(tech_base!$K158/tech_proj!X282*0.086*$J$132)/(1-tech_proj!X562))</f>
        <v/>
      </c>
      <c r="Y1902" s="125" t="str">
        <f>IF(tech_base!$T158&gt;Y$1745,"",(tech_base!$K158/tech_proj!Y282*0.086*$J$132)/(1-tech_proj!Y562))</f>
        <v/>
      </c>
      <c r="Z1902" s="125" t="str">
        <f>IF(tech_base!$T158&gt;Z$1745,"",(tech_base!$K158/tech_proj!Z282*0.086*$J$132)/(1-tech_proj!Z562))</f>
        <v/>
      </c>
      <c r="AA1902" s="125" t="str">
        <f>IF(tech_base!$T158&gt;AA$1745,"",(tech_base!$K158/tech_proj!AA282*0.086*$J$132)/(1-tech_proj!AA562))</f>
        <v/>
      </c>
      <c r="AB1902" s="125" t="str">
        <f>IF(tech_base!$T158&gt;AB$1745,"",(tech_base!$K158/tech_proj!AB282*0.086*$J$132)/(1-tech_proj!AB562))</f>
        <v/>
      </c>
      <c r="AC1902" s="125" t="str">
        <f>IF(tech_base!$T158&gt;AC$1745,"",(tech_base!$K158/tech_proj!AC282*0.086*$J$132)/(1-tech_proj!AC562))</f>
        <v/>
      </c>
      <c r="AD1902" s="125" t="str">
        <f>IF(tech_base!$T158&gt;AD$1745,"",(tech_base!$K158/tech_proj!AD282*0.086*$J$132)/(1-tech_proj!AD562))</f>
        <v/>
      </c>
      <c r="AE1902" s="125">
        <f>IF(tech_base!$T158&gt;AE$1745,"",(tech_base!$K158/tech_proj!AE282*0.086*$J$132)/(1-tech_proj!AE562))</f>
        <v>9.6246471824514774</v>
      </c>
      <c r="AF1902" s="125">
        <f>IF(tech_base!$T158&gt;AF$1745,"",(tech_base!$K158/tech_proj!AF282*0.086*$J$132)/(1-tech_proj!AF562))</f>
        <v>9.6246471824514774</v>
      </c>
      <c r="AG1902" s="125">
        <f>IF(tech_base!$T158&gt;AG$1745,"",(tech_base!$K158/tech_proj!AG282*0.086*$J$132)/(1-tech_proj!AG562))</f>
        <v>9.6246471824514774</v>
      </c>
      <c r="AH1902" s="125">
        <f>IF(tech_base!$T158&gt;AH$1745,"",(tech_base!$K158/tech_proj!AH282*0.086*$J$132)/(1-tech_proj!AH562))</f>
        <v>9.6246471824514774</v>
      </c>
      <c r="AI1902" s="125">
        <f>IF(tech_base!$T158&gt;AI$1745,"",(tech_base!$K158/tech_proj!AI282*0.086*$J$132)/(1-tech_proj!AI562))</f>
        <v>9.6246471824514774</v>
      </c>
      <c r="AJ1902" s="125">
        <f>IF(tech_base!$T158&gt;AJ$1745,"",(tech_base!$K158/tech_proj!AJ282*0.086*$J$132)/(1-tech_proj!AJ562))</f>
        <v>9.6246471824514774</v>
      </c>
      <c r="AK1902" s="125">
        <f>IF(tech_base!$T158&gt;AK$1745,"",(tech_base!$K158/tech_proj!AK282*0.086*$J$132)/(1-tech_proj!AK562))</f>
        <v>9.6246471824514774</v>
      </c>
      <c r="AL1902" s="125">
        <f>IF(tech_base!$T158&gt;AL$1745,"",(tech_base!$K158/tech_proj!AL282*0.086*$J$132)/(1-tech_proj!AL562))</f>
        <v>9.6246471824514774</v>
      </c>
      <c r="AM1902" s="125">
        <f>IF(tech_base!$T158&gt;AM$1745,"",(tech_base!$K158/tech_proj!AM282*0.086*$J$132)/(1-tech_proj!AM562))</f>
        <v>9.6246471824514774</v>
      </c>
      <c r="AN1902" s="125">
        <f>IF(tech_base!$T158&gt;AN$1745,"",(tech_base!$K158/tech_proj!AN282*0.086*$J$132)/(1-tech_proj!AN562))</f>
        <v>9.6246471824514774</v>
      </c>
      <c r="AO1902" s="125">
        <f>IF(tech_base!$T158&gt;AO$1745,"",(tech_base!$K158/tech_proj!AO282*0.086*$J$132)/(1-tech_proj!AO562))</f>
        <v>9.6246471824514774</v>
      </c>
      <c r="AP1902" s="125">
        <f>IF(tech_base!$T158&gt;AP$1745,"",(tech_base!$K158/tech_proj!AP282*0.086*$J$132)/(1-tech_proj!AP562))</f>
        <v>9.6246471824514774</v>
      </c>
      <c r="AQ1902" s="125">
        <f>IF(tech_base!$T158&gt;AQ$1745,"",(tech_base!$K158/tech_proj!AQ282*0.086*$J$132)/(1-tech_proj!AQ562))</f>
        <v>9.6246471824514774</v>
      </c>
      <c r="AR1902" s="125">
        <f>IF(tech_base!$T158&gt;AR$1745,"",(tech_base!$K158/tech_proj!AR282*0.086*$J$132)/(1-tech_proj!AR562))</f>
        <v>9.6246471824514774</v>
      </c>
      <c r="AS1902" s="125">
        <f>IF(tech_base!$T158&gt;AS$1745,"",(tech_base!$K158/tech_proj!AS282*0.086*$J$132)/(1-tech_proj!AS562))</f>
        <v>9.6246471824514774</v>
      </c>
      <c r="AT1902" s="125">
        <f>IF(tech_base!$T158&gt;AT$1745,"",(tech_base!$K158/tech_proj!AT282*0.086*$J$132)/(1-tech_proj!AT562))</f>
        <v>9.6246471824514774</v>
      </c>
      <c r="AU1902" s="125">
        <f>IF(tech_base!$T158&gt;AU$1745,"",(tech_base!$K158/tech_proj!AU282*0.086*$J$132)/(1-tech_proj!AU562))</f>
        <v>9.6246471824514774</v>
      </c>
      <c r="AV1902" s="125">
        <f>IF(tech_base!$T158&gt;AV$1745,"",(tech_base!$K158/tech_proj!AV282*0.086*$J$132)/(1-tech_proj!AV562))</f>
        <v>9.6246471824514774</v>
      </c>
      <c r="AW1902" s="125">
        <f>IF(tech_base!$T158&gt;AW$1745,"",(tech_base!$K158/tech_proj!AW282*0.086*$J$132)/(1-tech_proj!AW562))</f>
        <v>9.6246471824514774</v>
      </c>
      <c r="AX1902" s="126">
        <f>IF(tech_base!$T158&gt;AX$1745,"",(tech_base!$K158/tech_proj!AX282*0.086*$J$132)/(1-tech_proj!AX562))</f>
        <v>9.6246471824514774</v>
      </c>
    </row>
    <row r="1903" spans="1:50" x14ac:dyDescent="0.25">
      <c r="A1903" s="356"/>
      <c r="B1903" s="376"/>
      <c r="C1903" s="361" t="s">
        <v>16</v>
      </c>
      <c r="D1903" s="2" t="s">
        <v>7</v>
      </c>
      <c r="E1903" s="160" t="str">
        <f>A1885&amp;"/"&amp;B1893&amp;"/"&amp;C1903&amp;"/"&amp;D1903</f>
        <v>Diesel oil fired power plants/Gas turbine /CHP with CCS/L</v>
      </c>
      <c r="F1903" s="76" t="str">
        <f>A1885</f>
        <v>Diesel oil fired power plants</v>
      </c>
      <c r="G1903" s="76" t="str">
        <f>B1893</f>
        <v xml:space="preserve">Gas turbine </v>
      </c>
      <c r="H1903" s="76" t="str">
        <f>C1903</f>
        <v>CHP with CCS</v>
      </c>
      <c r="I1903" s="161" t="str">
        <f t="shared" si="384"/>
        <v>L</v>
      </c>
      <c r="J1903" s="119" t="str">
        <f>IF(tech_base!$T159&gt;J$1745,"",(tech_base!$K159/tech_proj!J283*0.086*$J$132)/(1-tech_proj!J563))</f>
        <v/>
      </c>
      <c r="K1903" s="119" t="str">
        <f>IF(tech_base!$T159&gt;K$1745,"",(tech_base!$K159/tech_proj!K283*0.086*$J$132)/(1-tech_proj!K563))</f>
        <v/>
      </c>
      <c r="L1903" s="119" t="str">
        <f>IF(tech_base!$T159&gt;L$1745,"",(tech_base!$K159/tech_proj!L283*0.086*$J$132)/(1-tech_proj!L563))</f>
        <v/>
      </c>
      <c r="M1903" s="119" t="str">
        <f>IF(tech_base!$T159&gt;M$1745,"",(tech_base!$K159/tech_proj!M283*0.086*$J$132)/(1-tech_proj!M563))</f>
        <v/>
      </c>
      <c r="N1903" s="119" t="str">
        <f>IF(tech_base!$T159&gt;N$1745,"",(tech_base!$K159/tech_proj!N283*0.086*$J$132)/(1-tech_proj!N563))</f>
        <v/>
      </c>
      <c r="O1903" s="119" t="str">
        <f>IF(tech_base!$T159&gt;O$1745,"",(tech_base!$K159/tech_proj!O283*0.086*$J$132)/(1-tech_proj!O563))</f>
        <v/>
      </c>
      <c r="P1903" s="119" t="str">
        <f>IF(tech_base!$T159&gt;P$1745,"",(tech_base!$K159/tech_proj!P283*0.086*$J$132)/(1-tech_proj!P563))</f>
        <v/>
      </c>
      <c r="Q1903" s="119" t="str">
        <f>IF(tech_base!$T159&gt;Q$1745,"",(tech_base!$K159/tech_proj!Q283*0.086*$J$132)/(1-tech_proj!Q563))</f>
        <v/>
      </c>
      <c r="R1903" s="119" t="str">
        <f>IF(tech_base!$T159&gt;R$1745,"",(tech_base!$K159/tech_proj!R283*0.086*$J$132)/(1-tech_proj!R563))</f>
        <v/>
      </c>
      <c r="S1903" s="119" t="str">
        <f>IF(tech_base!$T159&gt;S$1745,"",(tech_base!$K159/tech_proj!S283*0.086*$J$132)/(1-tech_proj!S563))</f>
        <v/>
      </c>
      <c r="T1903" s="119" t="str">
        <f>IF(tech_base!$T159&gt;T$1745,"",(tech_base!$K159/tech_proj!T283*0.086*$J$132)/(1-tech_proj!T563))</f>
        <v/>
      </c>
      <c r="U1903" s="119" t="str">
        <f>IF(tech_base!$T159&gt;U$1745,"",(tech_base!$K159/tech_proj!U283*0.086*$J$132)/(1-tech_proj!U563))</f>
        <v/>
      </c>
      <c r="V1903" s="119" t="str">
        <f>IF(tech_base!$T159&gt;V$1745,"",(tech_base!$K159/tech_proj!V283*0.086*$J$132)/(1-tech_proj!V563))</f>
        <v/>
      </c>
      <c r="W1903" s="119" t="str">
        <f>IF(tech_base!$T159&gt;W$1745,"",(tech_base!$K159/tech_proj!W283*0.086*$J$132)/(1-tech_proj!W563))</f>
        <v/>
      </c>
      <c r="X1903" s="119" t="str">
        <f>IF(tech_base!$T159&gt;X$1745,"",(tech_base!$K159/tech_proj!X283*0.086*$J$132)/(1-tech_proj!X563))</f>
        <v/>
      </c>
      <c r="Y1903" s="119" t="str">
        <f>IF(tech_base!$T159&gt;Y$1745,"",(tech_base!$K159/tech_proj!Y283*0.086*$J$132)/(1-tech_proj!Y563))</f>
        <v/>
      </c>
      <c r="Z1903" s="119" t="str">
        <f>IF(tech_base!$T159&gt;Z$1745,"",(tech_base!$K159/tech_proj!Z283*0.086*$J$132)/(1-tech_proj!Z563))</f>
        <v/>
      </c>
      <c r="AA1903" s="119" t="str">
        <f>IF(tech_base!$T159&gt;AA$1745,"",(tech_base!$K159/tech_proj!AA283*0.086*$J$132)/(1-tech_proj!AA563))</f>
        <v/>
      </c>
      <c r="AB1903" s="119" t="str">
        <f>IF(tech_base!$T159&gt;AB$1745,"",(tech_base!$K159/tech_proj!AB283*0.086*$J$132)/(1-tech_proj!AB563))</f>
        <v/>
      </c>
      <c r="AC1903" s="119" t="str">
        <f>IF(tech_base!$T159&gt;AC$1745,"",(tech_base!$K159/tech_proj!AC283*0.086*$J$132)/(1-tech_proj!AC563))</f>
        <v/>
      </c>
      <c r="AD1903" s="119" t="str">
        <f>IF(tech_base!$T159&gt;AD$1745,"",(tech_base!$K159/tech_proj!AD283*0.086*$J$132)/(1-tech_proj!AD563))</f>
        <v/>
      </c>
      <c r="AE1903" s="119">
        <f>IF(tech_base!$T159&gt;AE$1745,"",(tech_base!$K159/tech_proj!AE283*0.086*$J$132)/(1-tech_proj!AE563))</f>
        <v>10.169937524507022</v>
      </c>
      <c r="AF1903" s="119">
        <f>IF(tech_base!$T159&gt;AF$1745,"",(tech_base!$K159/tech_proj!AF283*0.086*$J$132)/(1-tech_proj!AF563))</f>
        <v>10.169937524507022</v>
      </c>
      <c r="AG1903" s="119">
        <f>IF(tech_base!$T159&gt;AG$1745,"",(tech_base!$K159/tech_proj!AG283*0.086*$J$132)/(1-tech_proj!AG563))</f>
        <v>10.169937524507022</v>
      </c>
      <c r="AH1903" s="119">
        <f>IF(tech_base!$T159&gt;AH$1745,"",(tech_base!$K159/tech_proj!AH283*0.086*$J$132)/(1-tech_proj!AH563))</f>
        <v>10.169937524507022</v>
      </c>
      <c r="AI1903" s="119">
        <f>IF(tech_base!$T159&gt;AI$1745,"",(tech_base!$K159/tech_proj!AI283*0.086*$J$132)/(1-tech_proj!AI563))</f>
        <v>10.169937524507022</v>
      </c>
      <c r="AJ1903" s="119">
        <f>IF(tech_base!$T159&gt;AJ$1745,"",(tech_base!$K159/tech_proj!AJ283*0.086*$J$132)/(1-tech_proj!AJ563))</f>
        <v>10.169937524507022</v>
      </c>
      <c r="AK1903" s="119">
        <f>IF(tech_base!$T159&gt;AK$1745,"",(tech_base!$K159/tech_proj!AK283*0.086*$J$132)/(1-tech_proj!AK563))</f>
        <v>10.169937524507022</v>
      </c>
      <c r="AL1903" s="119">
        <f>IF(tech_base!$T159&gt;AL$1745,"",(tech_base!$K159/tech_proj!AL283*0.086*$J$132)/(1-tech_proj!AL563))</f>
        <v>10.169937524507022</v>
      </c>
      <c r="AM1903" s="119">
        <f>IF(tech_base!$T159&gt;AM$1745,"",(tech_base!$K159/tech_proj!AM283*0.086*$J$132)/(1-tech_proj!AM563))</f>
        <v>10.169937524507022</v>
      </c>
      <c r="AN1903" s="119">
        <f>IF(tech_base!$T159&gt;AN$1745,"",(tech_base!$K159/tech_proj!AN283*0.086*$J$132)/(1-tech_proj!AN563))</f>
        <v>10.169937524507022</v>
      </c>
      <c r="AO1903" s="119">
        <f>IF(tech_base!$T159&gt;AO$1745,"",(tech_base!$K159/tech_proj!AO283*0.086*$J$132)/(1-tech_proj!AO563))</f>
        <v>10.169937524507022</v>
      </c>
      <c r="AP1903" s="119">
        <f>IF(tech_base!$T159&gt;AP$1745,"",(tech_base!$K159/tech_proj!AP283*0.086*$J$132)/(1-tech_proj!AP563))</f>
        <v>10.169937524507022</v>
      </c>
      <c r="AQ1903" s="119">
        <f>IF(tech_base!$T159&gt;AQ$1745,"",(tech_base!$K159/tech_proj!AQ283*0.086*$J$132)/(1-tech_proj!AQ563))</f>
        <v>10.169937524507022</v>
      </c>
      <c r="AR1903" s="119">
        <f>IF(tech_base!$T159&gt;AR$1745,"",(tech_base!$K159/tech_proj!AR283*0.086*$J$132)/(1-tech_proj!AR563))</f>
        <v>10.169937524507022</v>
      </c>
      <c r="AS1903" s="119">
        <f>IF(tech_base!$T159&gt;AS$1745,"",(tech_base!$K159/tech_proj!AS283*0.086*$J$132)/(1-tech_proj!AS563))</f>
        <v>10.169937524507022</v>
      </c>
      <c r="AT1903" s="119">
        <f>IF(tech_base!$T159&gt;AT$1745,"",(tech_base!$K159/tech_proj!AT283*0.086*$J$132)/(1-tech_proj!AT563))</f>
        <v>10.169937524507022</v>
      </c>
      <c r="AU1903" s="119">
        <f>IF(tech_base!$T159&gt;AU$1745,"",(tech_base!$K159/tech_proj!AU283*0.086*$J$132)/(1-tech_proj!AU563))</f>
        <v>10.169937524507022</v>
      </c>
      <c r="AV1903" s="119">
        <f>IF(tech_base!$T159&gt;AV$1745,"",(tech_base!$K159/tech_proj!AV283*0.086*$J$132)/(1-tech_proj!AV563))</f>
        <v>10.169937524507022</v>
      </c>
      <c r="AW1903" s="119">
        <f>IF(tech_base!$T159&gt;AW$1745,"",(tech_base!$K159/tech_proj!AW283*0.086*$J$132)/(1-tech_proj!AW563))</f>
        <v>10.169937524507022</v>
      </c>
      <c r="AX1903" s="120">
        <f>IF(tech_base!$T159&gt;AX$1745,"",(tech_base!$K159/tech_proj!AX283*0.086*$J$132)/(1-tech_proj!AX563))</f>
        <v>10.169937524507022</v>
      </c>
    </row>
    <row r="1904" spans="1:50" x14ac:dyDescent="0.25">
      <c r="A1904" s="356"/>
      <c r="B1904" s="380"/>
      <c r="C1904" s="381"/>
      <c r="D1904" s="4" t="s">
        <v>8</v>
      </c>
      <c r="E1904" s="168" t="str">
        <f>A1885&amp;"/"&amp;B1893&amp;"/"&amp;C1903&amp;"/"&amp;D1904</f>
        <v>Diesel oil fired power plants/Gas turbine /CHP with CCS/M</v>
      </c>
      <c r="F1904" s="80" t="str">
        <f>A1885</f>
        <v>Diesel oil fired power plants</v>
      </c>
      <c r="G1904" s="80" t="str">
        <f>B1893</f>
        <v xml:space="preserve">Gas turbine </v>
      </c>
      <c r="H1904" s="80" t="str">
        <f>C1903</f>
        <v>CHP with CCS</v>
      </c>
      <c r="I1904" s="169" t="str">
        <f t="shared" si="384"/>
        <v>M</v>
      </c>
      <c r="J1904" s="127" t="str">
        <f>IF(tech_base!$T160&gt;J$1745,"",(tech_base!$K160/tech_proj!J284*0.086*$J$132)/(1-tech_proj!J564))</f>
        <v/>
      </c>
      <c r="K1904" s="127" t="str">
        <f>IF(tech_base!$T160&gt;K$1745,"",(tech_base!$K160/tech_proj!K284*0.086*$J$132)/(1-tech_proj!K564))</f>
        <v/>
      </c>
      <c r="L1904" s="127" t="str">
        <f>IF(tech_base!$T160&gt;L$1745,"",(tech_base!$K160/tech_proj!L284*0.086*$J$132)/(1-tech_proj!L564))</f>
        <v/>
      </c>
      <c r="M1904" s="127" t="str">
        <f>IF(tech_base!$T160&gt;M$1745,"",(tech_base!$K160/tech_proj!M284*0.086*$J$132)/(1-tech_proj!M564))</f>
        <v/>
      </c>
      <c r="N1904" s="127" t="str">
        <f>IF(tech_base!$T160&gt;N$1745,"",(tech_base!$K160/tech_proj!N284*0.086*$J$132)/(1-tech_proj!N564))</f>
        <v/>
      </c>
      <c r="O1904" s="127" t="str">
        <f>IF(tech_base!$T160&gt;O$1745,"",(tech_base!$K160/tech_proj!O284*0.086*$J$132)/(1-tech_proj!O564))</f>
        <v/>
      </c>
      <c r="P1904" s="127" t="str">
        <f>IF(tech_base!$T160&gt;P$1745,"",(tech_base!$K160/tech_proj!P284*0.086*$J$132)/(1-tech_proj!P564))</f>
        <v/>
      </c>
      <c r="Q1904" s="127" t="str">
        <f>IF(tech_base!$T160&gt;Q$1745,"",(tech_base!$K160/tech_proj!Q284*0.086*$J$132)/(1-tech_proj!Q564))</f>
        <v/>
      </c>
      <c r="R1904" s="127" t="str">
        <f>IF(tech_base!$T160&gt;R$1745,"",(tech_base!$K160/tech_proj!R284*0.086*$J$132)/(1-tech_proj!R564))</f>
        <v/>
      </c>
      <c r="S1904" s="127" t="str">
        <f>IF(tech_base!$T160&gt;S$1745,"",(tech_base!$K160/tech_proj!S284*0.086*$J$132)/(1-tech_proj!S564))</f>
        <v/>
      </c>
      <c r="T1904" s="127" t="str">
        <f>IF(tech_base!$T160&gt;T$1745,"",(tech_base!$K160/tech_proj!T284*0.086*$J$132)/(1-tech_proj!T564))</f>
        <v/>
      </c>
      <c r="U1904" s="127" t="str">
        <f>IF(tech_base!$T160&gt;U$1745,"",(tech_base!$K160/tech_proj!U284*0.086*$J$132)/(1-tech_proj!U564))</f>
        <v/>
      </c>
      <c r="V1904" s="127" t="str">
        <f>IF(tech_base!$T160&gt;V$1745,"",(tech_base!$K160/tech_proj!V284*0.086*$J$132)/(1-tech_proj!V564))</f>
        <v/>
      </c>
      <c r="W1904" s="127" t="str">
        <f>IF(tech_base!$T160&gt;W$1745,"",(tech_base!$K160/tech_proj!W284*0.086*$J$132)/(1-tech_proj!W564))</f>
        <v/>
      </c>
      <c r="X1904" s="127" t="str">
        <f>IF(tech_base!$T160&gt;X$1745,"",(tech_base!$K160/tech_proj!X284*0.086*$J$132)/(1-tech_proj!X564))</f>
        <v/>
      </c>
      <c r="Y1904" s="127" t="str">
        <f>IF(tech_base!$T160&gt;Y$1745,"",(tech_base!$K160/tech_proj!Y284*0.086*$J$132)/(1-tech_proj!Y564))</f>
        <v/>
      </c>
      <c r="Z1904" s="127" t="str">
        <f>IF(tech_base!$T160&gt;Z$1745,"",(tech_base!$K160/tech_proj!Z284*0.086*$J$132)/(1-tech_proj!Z564))</f>
        <v/>
      </c>
      <c r="AA1904" s="127" t="str">
        <f>IF(tech_base!$T160&gt;AA$1745,"",(tech_base!$K160/tech_proj!AA284*0.086*$J$132)/(1-tech_proj!AA564))</f>
        <v/>
      </c>
      <c r="AB1904" s="127" t="str">
        <f>IF(tech_base!$T160&gt;AB$1745,"",(tech_base!$K160/tech_proj!AB284*0.086*$J$132)/(1-tech_proj!AB564))</f>
        <v/>
      </c>
      <c r="AC1904" s="127" t="str">
        <f>IF(tech_base!$T160&gt;AC$1745,"",(tech_base!$K160/tech_proj!AC284*0.086*$J$132)/(1-tech_proj!AC564))</f>
        <v/>
      </c>
      <c r="AD1904" s="127" t="str">
        <f>IF(tech_base!$T160&gt;AD$1745,"",(tech_base!$K160/tech_proj!AD284*0.086*$J$132)/(1-tech_proj!AD564))</f>
        <v/>
      </c>
      <c r="AE1904" s="127">
        <f>IF(tech_base!$T160&gt;AE$1745,"",(tech_base!$K160/tech_proj!AE284*0.086*$J$132)/(1-tech_proj!AE564))</f>
        <v>10.780726241032477</v>
      </c>
      <c r="AF1904" s="127">
        <f>IF(tech_base!$T160&gt;AF$1745,"",(tech_base!$K160/tech_proj!AF284*0.086*$J$132)/(1-tech_proj!AF564))</f>
        <v>10.780726241032477</v>
      </c>
      <c r="AG1904" s="127">
        <f>IF(tech_base!$T160&gt;AG$1745,"",(tech_base!$K160/tech_proj!AG284*0.086*$J$132)/(1-tech_proj!AG564))</f>
        <v>10.780726241032477</v>
      </c>
      <c r="AH1904" s="127">
        <f>IF(tech_base!$T160&gt;AH$1745,"",(tech_base!$K160/tech_proj!AH284*0.086*$J$132)/(1-tech_proj!AH564))</f>
        <v>10.780726241032477</v>
      </c>
      <c r="AI1904" s="127">
        <f>IF(tech_base!$T160&gt;AI$1745,"",(tech_base!$K160/tech_proj!AI284*0.086*$J$132)/(1-tech_proj!AI564))</f>
        <v>10.780726241032477</v>
      </c>
      <c r="AJ1904" s="127">
        <f>IF(tech_base!$T160&gt;AJ$1745,"",(tech_base!$K160/tech_proj!AJ284*0.086*$J$132)/(1-tech_proj!AJ564))</f>
        <v>10.780726241032477</v>
      </c>
      <c r="AK1904" s="127">
        <f>IF(tech_base!$T160&gt;AK$1745,"",(tech_base!$K160/tech_proj!AK284*0.086*$J$132)/(1-tech_proj!AK564))</f>
        <v>10.780726241032477</v>
      </c>
      <c r="AL1904" s="127">
        <f>IF(tech_base!$T160&gt;AL$1745,"",(tech_base!$K160/tech_proj!AL284*0.086*$J$132)/(1-tech_proj!AL564))</f>
        <v>10.780726241032477</v>
      </c>
      <c r="AM1904" s="127">
        <f>IF(tech_base!$T160&gt;AM$1745,"",(tech_base!$K160/tech_proj!AM284*0.086*$J$132)/(1-tech_proj!AM564))</f>
        <v>10.780726241032477</v>
      </c>
      <c r="AN1904" s="127">
        <f>IF(tech_base!$T160&gt;AN$1745,"",(tech_base!$K160/tech_proj!AN284*0.086*$J$132)/(1-tech_proj!AN564))</f>
        <v>10.780726241032477</v>
      </c>
      <c r="AO1904" s="127">
        <f>IF(tech_base!$T160&gt;AO$1745,"",(tech_base!$K160/tech_proj!AO284*0.086*$J$132)/(1-tech_proj!AO564))</f>
        <v>10.780726241032477</v>
      </c>
      <c r="AP1904" s="127">
        <f>IF(tech_base!$T160&gt;AP$1745,"",(tech_base!$K160/tech_proj!AP284*0.086*$J$132)/(1-tech_proj!AP564))</f>
        <v>10.780726241032477</v>
      </c>
      <c r="AQ1904" s="127">
        <f>IF(tech_base!$T160&gt;AQ$1745,"",(tech_base!$K160/tech_proj!AQ284*0.086*$J$132)/(1-tech_proj!AQ564))</f>
        <v>10.780726241032477</v>
      </c>
      <c r="AR1904" s="127">
        <f>IF(tech_base!$T160&gt;AR$1745,"",(tech_base!$K160/tech_proj!AR284*0.086*$J$132)/(1-tech_proj!AR564))</f>
        <v>10.780726241032477</v>
      </c>
      <c r="AS1904" s="127">
        <f>IF(tech_base!$T160&gt;AS$1745,"",(tech_base!$K160/tech_proj!AS284*0.086*$J$132)/(1-tech_proj!AS564))</f>
        <v>10.780726241032477</v>
      </c>
      <c r="AT1904" s="127">
        <f>IF(tech_base!$T160&gt;AT$1745,"",(tech_base!$K160/tech_proj!AT284*0.086*$J$132)/(1-tech_proj!AT564))</f>
        <v>10.780726241032477</v>
      </c>
      <c r="AU1904" s="127">
        <f>IF(tech_base!$T160&gt;AU$1745,"",(tech_base!$K160/tech_proj!AU284*0.086*$J$132)/(1-tech_proj!AU564))</f>
        <v>10.780726241032477</v>
      </c>
      <c r="AV1904" s="127">
        <f>IF(tech_base!$T160&gt;AV$1745,"",(tech_base!$K160/tech_proj!AV284*0.086*$J$132)/(1-tech_proj!AV564))</f>
        <v>10.780726241032477</v>
      </c>
      <c r="AW1904" s="127">
        <f>IF(tech_base!$T160&gt;AW$1745,"",(tech_base!$K160/tech_proj!AW284*0.086*$J$132)/(1-tech_proj!AW564))</f>
        <v>10.780726241032477</v>
      </c>
      <c r="AX1904" s="128">
        <f>IF(tech_base!$T160&gt;AX$1745,"",(tech_base!$K160/tech_proj!AX284*0.086*$J$132)/(1-tech_proj!AX564))</f>
        <v>10.780726241032477</v>
      </c>
    </row>
    <row r="1905" spans="1:50" x14ac:dyDescent="0.25">
      <c r="A1905" s="356"/>
      <c r="B1905" s="358" t="s">
        <v>19</v>
      </c>
      <c r="C1905" s="353" t="s">
        <v>6</v>
      </c>
      <c r="D1905" s="3" t="s">
        <v>7</v>
      </c>
      <c r="E1905" s="162" t="str">
        <f>A1885&amp;"/"&amp;B1905&amp;"/"&amp;C1905&amp;"/"&amp;D1905</f>
        <v>Diesel oil fired power plants/Steam turbine/Electricity only/L</v>
      </c>
      <c r="F1905" s="77" t="str">
        <f>A1885</f>
        <v>Diesel oil fired power plants</v>
      </c>
      <c r="G1905" s="77" t="str">
        <f>B1905</f>
        <v>Steam turbine</v>
      </c>
      <c r="H1905" s="77" t="str">
        <f>C1905</f>
        <v>Electricity only</v>
      </c>
      <c r="I1905" s="163" t="str">
        <f t="shared" si="384"/>
        <v>L</v>
      </c>
      <c r="J1905" s="121">
        <f>IF(tech_base!$T161&gt;J$1745,"",(tech_base!$K161/tech_proj!J285*0.086*$J$132)/(1-tech_proj!J565))</f>
        <v>0</v>
      </c>
      <c r="K1905" s="121">
        <f>IF(tech_base!$T161&gt;K$1745,"",(tech_base!$K161/tech_proj!K285*0.086*$J$132)/(1-tech_proj!K565))</f>
        <v>0</v>
      </c>
      <c r="L1905" s="121">
        <f>IF(tech_base!$T161&gt;L$1745,"",(tech_base!$K161/tech_proj!L285*0.086*$J$132)/(1-tech_proj!L565))</f>
        <v>0</v>
      </c>
      <c r="M1905" s="121">
        <f>IF(tech_base!$T161&gt;M$1745,"",(tech_base!$K161/tech_proj!M285*0.086*$J$132)/(1-tech_proj!M565))</f>
        <v>0</v>
      </c>
      <c r="N1905" s="121">
        <f>IF(tech_base!$T161&gt;N$1745,"",(tech_base!$K161/tech_proj!N285*0.086*$J$132)/(1-tech_proj!N565))</f>
        <v>0</v>
      </c>
      <c r="O1905" s="121">
        <f>IF(tech_base!$T161&gt;O$1745,"",(tech_base!$K161/tech_proj!O285*0.086*$J$132)/(1-tech_proj!O565))</f>
        <v>0</v>
      </c>
      <c r="P1905" s="121">
        <f>IF(tech_base!$T161&gt;P$1745,"",(tech_base!$K161/tech_proj!P285*0.086*$J$132)/(1-tech_proj!P565))</f>
        <v>0</v>
      </c>
      <c r="Q1905" s="121">
        <f>IF(tech_base!$T161&gt;Q$1745,"",(tech_base!$K161/tech_proj!Q285*0.086*$J$132)/(1-tech_proj!Q565))</f>
        <v>0</v>
      </c>
      <c r="R1905" s="121">
        <f>IF(tech_base!$T161&gt;R$1745,"",(tech_base!$K161/tech_proj!R285*0.086*$J$132)/(1-tech_proj!R565))</f>
        <v>0</v>
      </c>
      <c r="S1905" s="121">
        <f>IF(tech_base!$T161&gt;S$1745,"",(tech_base!$K161/tech_proj!S285*0.086*$J$132)/(1-tech_proj!S565))</f>
        <v>0</v>
      </c>
      <c r="T1905" s="121">
        <f>IF(tech_base!$T161&gt;T$1745,"",(tech_base!$K161/tech_proj!T285*0.086*$J$132)/(1-tech_proj!T565))</f>
        <v>0</v>
      </c>
      <c r="U1905" s="121">
        <f>IF(tech_base!$T161&gt;U$1745,"",(tech_base!$K161/tech_proj!U285*0.086*$J$132)/(1-tech_proj!U565))</f>
        <v>0</v>
      </c>
      <c r="V1905" s="121">
        <f>IF(tech_base!$T161&gt;V$1745,"",(tech_base!$K161/tech_proj!V285*0.086*$J$132)/(1-tech_proj!V565))</f>
        <v>0</v>
      </c>
      <c r="W1905" s="121">
        <f>IF(tech_base!$T161&gt;W$1745,"",(tech_base!$K161/tech_proj!W285*0.086*$J$132)/(1-tech_proj!W565))</f>
        <v>0</v>
      </c>
      <c r="X1905" s="121">
        <f>IF(tech_base!$T161&gt;X$1745,"",(tech_base!$K161/tech_proj!X285*0.086*$J$132)/(1-tech_proj!X565))</f>
        <v>0</v>
      </c>
      <c r="Y1905" s="121">
        <f>IF(tech_base!$T161&gt;Y$1745,"",(tech_base!$K161/tech_proj!Y285*0.086*$J$132)/(1-tech_proj!Y565))</f>
        <v>0</v>
      </c>
      <c r="Z1905" s="121">
        <f>IF(tech_base!$T161&gt;Z$1745,"",(tech_base!$K161/tech_proj!Z285*0.086*$J$132)/(1-tech_proj!Z565))</f>
        <v>0</v>
      </c>
      <c r="AA1905" s="121">
        <f>IF(tech_base!$T161&gt;AA$1745,"",(tech_base!$K161/tech_proj!AA285*0.086*$J$132)/(1-tech_proj!AA565))</f>
        <v>0</v>
      </c>
      <c r="AB1905" s="121">
        <f>IF(tech_base!$T161&gt;AB$1745,"",(tech_base!$K161/tech_proj!AB285*0.086*$J$132)/(1-tech_proj!AB565))</f>
        <v>0</v>
      </c>
      <c r="AC1905" s="121">
        <f>IF(tech_base!$T161&gt;AC$1745,"",(tech_base!$K161/tech_proj!AC285*0.086*$J$132)/(1-tech_proj!AC565))</f>
        <v>0</v>
      </c>
      <c r="AD1905" s="121">
        <f>IF(tech_base!$T161&gt;AD$1745,"",(tech_base!$K161/tech_proj!AD285*0.086*$J$132)/(1-tech_proj!AD565))</f>
        <v>0</v>
      </c>
      <c r="AE1905" s="121">
        <f>IF(tech_base!$T161&gt;AE$1745,"",(tech_base!$K161/tech_proj!AE285*0.086*$J$132)/(1-tech_proj!AE565))</f>
        <v>0</v>
      </c>
      <c r="AF1905" s="121">
        <f>IF(tech_base!$T161&gt;AF$1745,"",(tech_base!$K161/tech_proj!AF285*0.086*$J$132)/(1-tech_proj!AF565))</f>
        <v>0</v>
      </c>
      <c r="AG1905" s="121">
        <f>IF(tech_base!$T161&gt;AG$1745,"",(tech_base!$K161/tech_proj!AG285*0.086*$J$132)/(1-tech_proj!AG565))</f>
        <v>0</v>
      </c>
      <c r="AH1905" s="121">
        <f>IF(tech_base!$T161&gt;AH$1745,"",(tech_base!$K161/tech_proj!AH285*0.086*$J$132)/(1-tech_proj!AH565))</f>
        <v>0</v>
      </c>
      <c r="AI1905" s="121">
        <f>IF(tech_base!$T161&gt;AI$1745,"",(tech_base!$K161/tech_proj!AI285*0.086*$J$132)/(1-tech_proj!AI565))</f>
        <v>0</v>
      </c>
      <c r="AJ1905" s="121">
        <f>IF(tech_base!$T161&gt;AJ$1745,"",(tech_base!$K161/tech_proj!AJ285*0.086*$J$132)/(1-tech_proj!AJ565))</f>
        <v>0</v>
      </c>
      <c r="AK1905" s="121">
        <f>IF(tech_base!$T161&gt;AK$1745,"",(tech_base!$K161/tech_proj!AK285*0.086*$J$132)/(1-tech_proj!AK565))</f>
        <v>0</v>
      </c>
      <c r="AL1905" s="121">
        <f>IF(tech_base!$T161&gt;AL$1745,"",(tech_base!$K161/tech_proj!AL285*0.086*$J$132)/(1-tech_proj!AL565))</f>
        <v>0</v>
      </c>
      <c r="AM1905" s="121">
        <f>IF(tech_base!$T161&gt;AM$1745,"",(tech_base!$K161/tech_proj!AM285*0.086*$J$132)/(1-tech_proj!AM565))</f>
        <v>0</v>
      </c>
      <c r="AN1905" s="121">
        <f>IF(tech_base!$T161&gt;AN$1745,"",(tech_base!$K161/tech_proj!AN285*0.086*$J$132)/(1-tech_proj!AN565))</f>
        <v>0</v>
      </c>
      <c r="AO1905" s="121">
        <f>IF(tech_base!$T161&gt;AO$1745,"",(tech_base!$K161/tech_proj!AO285*0.086*$J$132)/(1-tech_proj!AO565))</f>
        <v>0</v>
      </c>
      <c r="AP1905" s="121">
        <f>IF(tech_base!$T161&gt;AP$1745,"",(tech_base!$K161/tech_proj!AP285*0.086*$J$132)/(1-tech_proj!AP565))</f>
        <v>0</v>
      </c>
      <c r="AQ1905" s="121">
        <f>IF(tech_base!$T161&gt;AQ$1745,"",(tech_base!$K161/tech_proj!AQ285*0.086*$J$132)/(1-tech_proj!AQ565))</f>
        <v>0</v>
      </c>
      <c r="AR1905" s="121">
        <f>IF(tech_base!$T161&gt;AR$1745,"",(tech_base!$K161/tech_proj!AR285*0.086*$J$132)/(1-tech_proj!AR565))</f>
        <v>0</v>
      </c>
      <c r="AS1905" s="121">
        <f>IF(tech_base!$T161&gt;AS$1745,"",(tech_base!$K161/tech_proj!AS285*0.086*$J$132)/(1-tech_proj!AS565))</f>
        <v>0</v>
      </c>
      <c r="AT1905" s="121">
        <f>IF(tech_base!$T161&gt;AT$1745,"",(tech_base!$K161/tech_proj!AT285*0.086*$J$132)/(1-tech_proj!AT565))</f>
        <v>0</v>
      </c>
      <c r="AU1905" s="121">
        <f>IF(tech_base!$T161&gt;AU$1745,"",(tech_base!$K161/tech_proj!AU285*0.086*$J$132)/(1-tech_proj!AU565))</f>
        <v>0</v>
      </c>
      <c r="AV1905" s="121">
        <f>IF(tech_base!$T161&gt;AV$1745,"",(tech_base!$K161/tech_proj!AV285*0.086*$J$132)/(1-tech_proj!AV565))</f>
        <v>0</v>
      </c>
      <c r="AW1905" s="121">
        <f>IF(tech_base!$T161&gt;AW$1745,"",(tech_base!$K161/tech_proj!AW285*0.086*$J$132)/(1-tech_proj!AW565))</f>
        <v>0</v>
      </c>
      <c r="AX1905" s="122">
        <f>IF(tech_base!$T161&gt;AX$1745,"",(tech_base!$K161/tech_proj!AX285*0.086*$J$132)/(1-tech_proj!AX565))</f>
        <v>0</v>
      </c>
    </row>
    <row r="1906" spans="1:50" x14ac:dyDescent="0.25">
      <c r="A1906" s="356"/>
      <c r="B1906" s="376"/>
      <c r="C1906" s="378"/>
      <c r="D1906" s="2" t="s">
        <v>8</v>
      </c>
      <c r="E1906" s="160" t="str">
        <f>A1885&amp;"/"&amp;B1905&amp;"/"&amp;C1905&amp;"/"&amp;D1906</f>
        <v>Diesel oil fired power plants/Steam turbine/Electricity only/M</v>
      </c>
      <c r="F1906" s="76" t="str">
        <f>A1885</f>
        <v>Diesel oil fired power plants</v>
      </c>
      <c r="G1906" s="76" t="str">
        <f>B1905</f>
        <v>Steam turbine</v>
      </c>
      <c r="H1906" s="76" t="str">
        <f>C1905</f>
        <v>Electricity only</v>
      </c>
      <c r="I1906" s="161" t="str">
        <f t="shared" si="384"/>
        <v>M</v>
      </c>
      <c r="J1906" s="119">
        <f>IF(tech_base!$T162&gt;J$1745,"",(tech_base!$K162/tech_proj!J286*0.086*$J$132)/(1-tech_proj!J566))</f>
        <v>0</v>
      </c>
      <c r="K1906" s="119">
        <f>IF(tech_base!$T162&gt;K$1745,"",(tech_base!$K162/tech_proj!K286*0.086*$J$132)/(1-tech_proj!K566))</f>
        <v>0</v>
      </c>
      <c r="L1906" s="119">
        <f>IF(tech_base!$T162&gt;L$1745,"",(tech_base!$K162/tech_proj!L286*0.086*$J$132)/(1-tech_proj!L566))</f>
        <v>0</v>
      </c>
      <c r="M1906" s="119">
        <f>IF(tech_base!$T162&gt;M$1745,"",(tech_base!$K162/tech_proj!M286*0.086*$J$132)/(1-tech_proj!M566))</f>
        <v>0</v>
      </c>
      <c r="N1906" s="119">
        <f>IF(tech_base!$T162&gt;N$1745,"",(tech_base!$K162/tech_proj!N286*0.086*$J$132)/(1-tech_proj!N566))</f>
        <v>0</v>
      </c>
      <c r="O1906" s="119">
        <f>IF(tech_base!$T162&gt;O$1745,"",(tech_base!$K162/tech_proj!O286*0.086*$J$132)/(1-tech_proj!O566))</f>
        <v>0</v>
      </c>
      <c r="P1906" s="119">
        <f>IF(tech_base!$T162&gt;P$1745,"",(tech_base!$K162/tech_proj!P286*0.086*$J$132)/(1-tech_proj!P566))</f>
        <v>0</v>
      </c>
      <c r="Q1906" s="119">
        <f>IF(tech_base!$T162&gt;Q$1745,"",(tech_base!$K162/tech_proj!Q286*0.086*$J$132)/(1-tech_proj!Q566))</f>
        <v>0</v>
      </c>
      <c r="R1906" s="119">
        <f>IF(tech_base!$T162&gt;R$1745,"",(tech_base!$K162/tech_proj!R286*0.086*$J$132)/(1-tech_proj!R566))</f>
        <v>0</v>
      </c>
      <c r="S1906" s="119">
        <f>IF(tech_base!$T162&gt;S$1745,"",(tech_base!$K162/tech_proj!S286*0.086*$J$132)/(1-tech_proj!S566))</f>
        <v>0</v>
      </c>
      <c r="T1906" s="119">
        <f>IF(tech_base!$T162&gt;T$1745,"",(tech_base!$K162/tech_proj!T286*0.086*$J$132)/(1-tech_proj!T566))</f>
        <v>0</v>
      </c>
      <c r="U1906" s="119">
        <f>IF(tech_base!$T162&gt;U$1745,"",(tech_base!$K162/tech_proj!U286*0.086*$J$132)/(1-tech_proj!U566))</f>
        <v>0</v>
      </c>
      <c r="V1906" s="119">
        <f>IF(tech_base!$T162&gt;V$1745,"",(tech_base!$K162/tech_proj!V286*0.086*$J$132)/(1-tech_proj!V566))</f>
        <v>0</v>
      </c>
      <c r="W1906" s="119">
        <f>IF(tech_base!$T162&gt;W$1745,"",(tech_base!$K162/tech_proj!W286*0.086*$J$132)/(1-tech_proj!W566))</f>
        <v>0</v>
      </c>
      <c r="X1906" s="119">
        <f>IF(tech_base!$T162&gt;X$1745,"",(tech_base!$K162/tech_proj!X286*0.086*$J$132)/(1-tech_proj!X566))</f>
        <v>0</v>
      </c>
      <c r="Y1906" s="119">
        <f>IF(tech_base!$T162&gt;Y$1745,"",(tech_base!$K162/tech_proj!Y286*0.086*$J$132)/(1-tech_proj!Y566))</f>
        <v>0</v>
      </c>
      <c r="Z1906" s="119">
        <f>IF(tech_base!$T162&gt;Z$1745,"",(tech_base!$K162/tech_proj!Z286*0.086*$J$132)/(1-tech_proj!Z566))</f>
        <v>0</v>
      </c>
      <c r="AA1906" s="119">
        <f>IF(tech_base!$T162&gt;AA$1745,"",(tech_base!$K162/tech_proj!AA286*0.086*$J$132)/(1-tech_proj!AA566))</f>
        <v>0</v>
      </c>
      <c r="AB1906" s="119">
        <f>IF(tech_base!$T162&gt;AB$1745,"",(tech_base!$K162/tech_proj!AB286*0.086*$J$132)/(1-tech_proj!AB566))</f>
        <v>0</v>
      </c>
      <c r="AC1906" s="119">
        <f>IF(tech_base!$T162&gt;AC$1745,"",(tech_base!$K162/tech_proj!AC286*0.086*$J$132)/(1-tech_proj!AC566))</f>
        <v>0</v>
      </c>
      <c r="AD1906" s="119">
        <f>IF(tech_base!$T162&gt;AD$1745,"",(tech_base!$K162/tech_proj!AD286*0.086*$J$132)/(1-tech_proj!AD566))</f>
        <v>0</v>
      </c>
      <c r="AE1906" s="119">
        <f>IF(tech_base!$T162&gt;AE$1745,"",(tech_base!$K162/tech_proj!AE286*0.086*$J$132)/(1-tech_proj!AE566))</f>
        <v>0</v>
      </c>
      <c r="AF1906" s="119">
        <f>IF(tech_base!$T162&gt;AF$1745,"",(tech_base!$K162/tech_proj!AF286*0.086*$J$132)/(1-tech_proj!AF566))</f>
        <v>0</v>
      </c>
      <c r="AG1906" s="119">
        <f>IF(tech_base!$T162&gt;AG$1745,"",(tech_base!$K162/tech_proj!AG286*0.086*$J$132)/(1-tech_proj!AG566))</f>
        <v>0</v>
      </c>
      <c r="AH1906" s="119">
        <f>IF(tech_base!$T162&gt;AH$1745,"",(tech_base!$K162/tech_proj!AH286*0.086*$J$132)/(1-tech_proj!AH566))</f>
        <v>0</v>
      </c>
      <c r="AI1906" s="119">
        <f>IF(tech_base!$T162&gt;AI$1745,"",(tech_base!$K162/tech_proj!AI286*0.086*$J$132)/(1-tech_proj!AI566))</f>
        <v>0</v>
      </c>
      <c r="AJ1906" s="119">
        <f>IF(tech_base!$T162&gt;AJ$1745,"",(tech_base!$K162/tech_proj!AJ286*0.086*$J$132)/(1-tech_proj!AJ566))</f>
        <v>0</v>
      </c>
      <c r="AK1906" s="119">
        <f>IF(tech_base!$T162&gt;AK$1745,"",(tech_base!$K162/tech_proj!AK286*0.086*$J$132)/(1-tech_proj!AK566))</f>
        <v>0</v>
      </c>
      <c r="AL1906" s="119">
        <f>IF(tech_base!$T162&gt;AL$1745,"",(tech_base!$K162/tech_proj!AL286*0.086*$J$132)/(1-tech_proj!AL566))</f>
        <v>0</v>
      </c>
      <c r="AM1906" s="119">
        <f>IF(tech_base!$T162&gt;AM$1745,"",(tech_base!$K162/tech_proj!AM286*0.086*$J$132)/(1-tech_proj!AM566))</f>
        <v>0</v>
      </c>
      <c r="AN1906" s="119">
        <f>IF(tech_base!$T162&gt;AN$1745,"",(tech_base!$K162/tech_proj!AN286*0.086*$J$132)/(1-tech_proj!AN566))</f>
        <v>0</v>
      </c>
      <c r="AO1906" s="119">
        <f>IF(tech_base!$T162&gt;AO$1745,"",(tech_base!$K162/tech_proj!AO286*0.086*$J$132)/(1-tech_proj!AO566))</f>
        <v>0</v>
      </c>
      <c r="AP1906" s="119">
        <f>IF(tech_base!$T162&gt;AP$1745,"",(tech_base!$K162/tech_proj!AP286*0.086*$J$132)/(1-tech_proj!AP566))</f>
        <v>0</v>
      </c>
      <c r="AQ1906" s="119">
        <f>IF(tech_base!$T162&gt;AQ$1745,"",(tech_base!$K162/tech_proj!AQ286*0.086*$J$132)/(1-tech_proj!AQ566))</f>
        <v>0</v>
      </c>
      <c r="AR1906" s="119">
        <f>IF(tech_base!$T162&gt;AR$1745,"",(tech_base!$K162/tech_proj!AR286*0.086*$J$132)/(1-tech_proj!AR566))</f>
        <v>0</v>
      </c>
      <c r="AS1906" s="119">
        <f>IF(tech_base!$T162&gt;AS$1745,"",(tech_base!$K162/tech_proj!AS286*0.086*$J$132)/(1-tech_proj!AS566))</f>
        <v>0</v>
      </c>
      <c r="AT1906" s="119">
        <f>IF(tech_base!$T162&gt;AT$1745,"",(tech_base!$K162/tech_proj!AT286*0.086*$J$132)/(1-tech_proj!AT566))</f>
        <v>0</v>
      </c>
      <c r="AU1906" s="119">
        <f>IF(tech_base!$T162&gt;AU$1745,"",(tech_base!$K162/tech_proj!AU286*0.086*$J$132)/(1-tech_proj!AU566))</f>
        <v>0</v>
      </c>
      <c r="AV1906" s="119">
        <f>IF(tech_base!$T162&gt;AV$1745,"",(tech_base!$K162/tech_proj!AV286*0.086*$J$132)/(1-tech_proj!AV566))</f>
        <v>0</v>
      </c>
      <c r="AW1906" s="119">
        <f>IF(tech_base!$T162&gt;AW$1745,"",(tech_base!$K162/tech_proj!AW286*0.086*$J$132)/(1-tech_proj!AW566))</f>
        <v>0</v>
      </c>
      <c r="AX1906" s="120">
        <f>IF(tech_base!$T162&gt;AX$1745,"",(tech_base!$K162/tech_proj!AX286*0.086*$J$132)/(1-tech_proj!AX566))</f>
        <v>0</v>
      </c>
    </row>
    <row r="1907" spans="1:50" x14ac:dyDescent="0.25">
      <c r="A1907" s="356"/>
      <c r="B1907" s="376"/>
      <c r="C1907" s="379"/>
      <c r="D1907" s="2" t="s">
        <v>10</v>
      </c>
      <c r="E1907" s="160" t="str">
        <f>A1885&amp;"/"&amp;B1905&amp;"/"&amp;C1905&amp;"/"&amp;D1907</f>
        <v>Diesel oil fired power plants/Steam turbine/Electricity only/S</v>
      </c>
      <c r="F1907" s="76" t="str">
        <f>A1885</f>
        <v>Diesel oil fired power plants</v>
      </c>
      <c r="G1907" s="76" t="str">
        <f>B1905</f>
        <v>Steam turbine</v>
      </c>
      <c r="H1907" s="76" t="str">
        <f>C1905</f>
        <v>Electricity only</v>
      </c>
      <c r="I1907" s="161" t="str">
        <f t="shared" si="384"/>
        <v>S</v>
      </c>
      <c r="J1907" s="119">
        <f>IF(tech_base!$T163&gt;J$1745,"",(tech_base!$K163/tech_proj!J287*0.086*$J$132)/(1-tech_proj!J567))</f>
        <v>0</v>
      </c>
      <c r="K1907" s="119">
        <f>IF(tech_base!$T163&gt;K$1745,"",(tech_base!$K163/tech_proj!K287*0.086*$J$132)/(1-tech_proj!K567))</f>
        <v>0</v>
      </c>
      <c r="L1907" s="119">
        <f>IF(tech_base!$T163&gt;L$1745,"",(tech_base!$K163/tech_proj!L287*0.086*$J$132)/(1-tech_proj!L567))</f>
        <v>0</v>
      </c>
      <c r="M1907" s="119">
        <f>IF(tech_base!$T163&gt;M$1745,"",(tech_base!$K163/tech_proj!M287*0.086*$J$132)/(1-tech_proj!M567))</f>
        <v>0</v>
      </c>
      <c r="N1907" s="119">
        <f>IF(tech_base!$T163&gt;N$1745,"",(tech_base!$K163/tech_proj!N287*0.086*$J$132)/(1-tech_proj!N567))</f>
        <v>0</v>
      </c>
      <c r="O1907" s="119">
        <f>IF(tech_base!$T163&gt;O$1745,"",(tech_base!$K163/tech_proj!O287*0.086*$J$132)/(1-tech_proj!O567))</f>
        <v>0</v>
      </c>
      <c r="P1907" s="119">
        <f>IF(tech_base!$T163&gt;P$1745,"",(tech_base!$K163/tech_proj!P287*0.086*$J$132)/(1-tech_proj!P567))</f>
        <v>0</v>
      </c>
      <c r="Q1907" s="119">
        <f>IF(tech_base!$T163&gt;Q$1745,"",(tech_base!$K163/tech_proj!Q287*0.086*$J$132)/(1-tech_proj!Q567))</f>
        <v>0</v>
      </c>
      <c r="R1907" s="119">
        <f>IF(tech_base!$T163&gt;R$1745,"",(tech_base!$K163/tech_proj!R287*0.086*$J$132)/(1-tech_proj!R567))</f>
        <v>0</v>
      </c>
      <c r="S1907" s="119">
        <f>IF(tech_base!$T163&gt;S$1745,"",(tech_base!$K163/tech_proj!S287*0.086*$J$132)/(1-tech_proj!S567))</f>
        <v>0</v>
      </c>
      <c r="T1907" s="119">
        <f>IF(tech_base!$T163&gt;T$1745,"",(tech_base!$K163/tech_proj!T287*0.086*$J$132)/(1-tech_proj!T567))</f>
        <v>0</v>
      </c>
      <c r="U1907" s="119">
        <f>IF(tech_base!$T163&gt;U$1745,"",(tech_base!$K163/tech_proj!U287*0.086*$J$132)/(1-tech_proj!U567))</f>
        <v>0</v>
      </c>
      <c r="V1907" s="119">
        <f>IF(tech_base!$T163&gt;V$1745,"",(tech_base!$K163/tech_proj!V287*0.086*$J$132)/(1-tech_proj!V567))</f>
        <v>0</v>
      </c>
      <c r="W1907" s="119">
        <f>IF(tech_base!$T163&gt;W$1745,"",(tech_base!$K163/tech_proj!W287*0.086*$J$132)/(1-tech_proj!W567))</f>
        <v>0</v>
      </c>
      <c r="X1907" s="119">
        <f>IF(tech_base!$T163&gt;X$1745,"",(tech_base!$K163/tech_proj!X287*0.086*$J$132)/(1-tech_proj!X567))</f>
        <v>0</v>
      </c>
      <c r="Y1907" s="119">
        <f>IF(tech_base!$T163&gt;Y$1745,"",(tech_base!$K163/tech_proj!Y287*0.086*$J$132)/(1-tech_proj!Y567))</f>
        <v>0</v>
      </c>
      <c r="Z1907" s="119">
        <f>IF(tech_base!$T163&gt;Z$1745,"",(tech_base!$K163/tech_proj!Z287*0.086*$J$132)/(1-tech_proj!Z567))</f>
        <v>0</v>
      </c>
      <c r="AA1907" s="119">
        <f>IF(tech_base!$T163&gt;AA$1745,"",(tech_base!$K163/tech_proj!AA287*0.086*$J$132)/(1-tech_proj!AA567))</f>
        <v>0</v>
      </c>
      <c r="AB1907" s="119">
        <f>IF(tech_base!$T163&gt;AB$1745,"",(tech_base!$K163/tech_proj!AB287*0.086*$J$132)/(1-tech_proj!AB567))</f>
        <v>0</v>
      </c>
      <c r="AC1907" s="119">
        <f>IF(tech_base!$T163&gt;AC$1745,"",(tech_base!$K163/tech_proj!AC287*0.086*$J$132)/(1-tech_proj!AC567))</f>
        <v>0</v>
      </c>
      <c r="AD1907" s="119">
        <f>IF(tech_base!$T163&gt;AD$1745,"",(tech_base!$K163/tech_proj!AD287*0.086*$J$132)/(1-tech_proj!AD567))</f>
        <v>0</v>
      </c>
      <c r="AE1907" s="119">
        <f>IF(tech_base!$T163&gt;AE$1745,"",(tech_base!$K163/tech_proj!AE287*0.086*$J$132)/(1-tech_proj!AE567))</f>
        <v>0</v>
      </c>
      <c r="AF1907" s="119">
        <f>IF(tech_base!$T163&gt;AF$1745,"",(tech_base!$K163/tech_proj!AF287*0.086*$J$132)/(1-tech_proj!AF567))</f>
        <v>0</v>
      </c>
      <c r="AG1907" s="119">
        <f>IF(tech_base!$T163&gt;AG$1745,"",(tech_base!$K163/tech_proj!AG287*0.086*$J$132)/(1-tech_proj!AG567))</f>
        <v>0</v>
      </c>
      <c r="AH1907" s="119">
        <f>IF(tech_base!$T163&gt;AH$1745,"",(tech_base!$K163/tech_proj!AH287*0.086*$J$132)/(1-tech_proj!AH567))</f>
        <v>0</v>
      </c>
      <c r="AI1907" s="119">
        <f>IF(tech_base!$T163&gt;AI$1745,"",(tech_base!$K163/tech_proj!AI287*0.086*$J$132)/(1-tech_proj!AI567))</f>
        <v>0</v>
      </c>
      <c r="AJ1907" s="119">
        <f>IF(tech_base!$T163&gt;AJ$1745,"",(tech_base!$K163/tech_proj!AJ287*0.086*$J$132)/(1-tech_proj!AJ567))</f>
        <v>0</v>
      </c>
      <c r="AK1907" s="119">
        <f>IF(tech_base!$T163&gt;AK$1745,"",(tech_base!$K163/tech_proj!AK287*0.086*$J$132)/(1-tech_proj!AK567))</f>
        <v>0</v>
      </c>
      <c r="AL1907" s="119">
        <f>IF(tech_base!$T163&gt;AL$1745,"",(tech_base!$K163/tech_proj!AL287*0.086*$J$132)/(1-tech_proj!AL567))</f>
        <v>0</v>
      </c>
      <c r="AM1907" s="119">
        <f>IF(tech_base!$T163&gt;AM$1745,"",(tech_base!$K163/tech_proj!AM287*0.086*$J$132)/(1-tech_proj!AM567))</f>
        <v>0</v>
      </c>
      <c r="AN1907" s="119">
        <f>IF(tech_base!$T163&gt;AN$1745,"",(tech_base!$K163/tech_proj!AN287*0.086*$J$132)/(1-tech_proj!AN567))</f>
        <v>0</v>
      </c>
      <c r="AO1907" s="119">
        <f>IF(tech_base!$T163&gt;AO$1745,"",(tech_base!$K163/tech_proj!AO287*0.086*$J$132)/(1-tech_proj!AO567))</f>
        <v>0</v>
      </c>
      <c r="AP1907" s="119">
        <f>IF(tech_base!$T163&gt;AP$1745,"",(tech_base!$K163/tech_proj!AP287*0.086*$J$132)/(1-tech_proj!AP567))</f>
        <v>0</v>
      </c>
      <c r="AQ1907" s="119">
        <f>IF(tech_base!$T163&gt;AQ$1745,"",(tech_base!$K163/tech_proj!AQ287*0.086*$J$132)/(1-tech_proj!AQ567))</f>
        <v>0</v>
      </c>
      <c r="AR1907" s="119">
        <f>IF(tech_base!$T163&gt;AR$1745,"",(tech_base!$K163/tech_proj!AR287*0.086*$J$132)/(1-tech_proj!AR567))</f>
        <v>0</v>
      </c>
      <c r="AS1907" s="119">
        <f>IF(tech_base!$T163&gt;AS$1745,"",(tech_base!$K163/tech_proj!AS287*0.086*$J$132)/(1-tech_proj!AS567))</f>
        <v>0</v>
      </c>
      <c r="AT1907" s="119">
        <f>IF(tech_base!$T163&gt;AT$1745,"",(tech_base!$K163/tech_proj!AT287*0.086*$J$132)/(1-tech_proj!AT567))</f>
        <v>0</v>
      </c>
      <c r="AU1907" s="119">
        <f>IF(tech_base!$T163&gt;AU$1745,"",(tech_base!$K163/tech_proj!AU287*0.086*$J$132)/(1-tech_proj!AU567))</f>
        <v>0</v>
      </c>
      <c r="AV1907" s="119">
        <f>IF(tech_base!$T163&gt;AV$1745,"",(tech_base!$K163/tech_proj!AV287*0.086*$J$132)/(1-tech_proj!AV567))</f>
        <v>0</v>
      </c>
      <c r="AW1907" s="119">
        <f>IF(tech_base!$T163&gt;AW$1745,"",(tech_base!$K163/tech_proj!AW287*0.086*$J$132)/(1-tech_proj!AW567))</f>
        <v>0</v>
      </c>
      <c r="AX1907" s="120">
        <f>IF(tech_base!$T163&gt;AX$1745,"",(tech_base!$K163/tech_proj!AX287*0.086*$J$132)/(1-tech_proj!AX567))</f>
        <v>0</v>
      </c>
    </row>
    <row r="1908" spans="1:50" x14ac:dyDescent="0.25">
      <c r="A1908" s="356"/>
      <c r="B1908" s="376"/>
      <c r="C1908" s="361" t="s">
        <v>14</v>
      </c>
      <c r="D1908" s="58" t="s">
        <v>7</v>
      </c>
      <c r="E1908" s="164" t="str">
        <f>A1885&amp;"/"&amp;B1905&amp;"/"&amp;C1908&amp;"/"&amp;D1908</f>
        <v>Diesel oil fired power plants/Steam turbine/CHP/L</v>
      </c>
      <c r="F1908" s="78" t="str">
        <f>A1885</f>
        <v>Diesel oil fired power plants</v>
      </c>
      <c r="G1908" s="78" t="str">
        <f>B1905</f>
        <v>Steam turbine</v>
      </c>
      <c r="H1908" s="78" t="str">
        <f>C1908</f>
        <v>CHP</v>
      </c>
      <c r="I1908" s="165" t="str">
        <f t="shared" si="384"/>
        <v>L</v>
      </c>
      <c r="J1908" s="123">
        <f>IF(tech_base!$T164&gt;J$1745,"",(tech_base!$K164/tech_proj!J288*0.086*$J$132)/(1-tech_proj!J568))</f>
        <v>0</v>
      </c>
      <c r="K1908" s="123">
        <f>IF(tech_base!$T164&gt;K$1745,"",(tech_base!$K164/tech_proj!K288*0.086*$J$132)/(1-tech_proj!K568))</f>
        <v>0</v>
      </c>
      <c r="L1908" s="123">
        <f>IF(tech_base!$T164&gt;L$1745,"",(tech_base!$K164/tech_proj!L288*0.086*$J$132)/(1-tech_proj!L568))</f>
        <v>0</v>
      </c>
      <c r="M1908" s="123">
        <f>IF(tech_base!$T164&gt;M$1745,"",(tech_base!$K164/tech_proj!M288*0.086*$J$132)/(1-tech_proj!M568))</f>
        <v>0</v>
      </c>
      <c r="N1908" s="123">
        <f>IF(tech_base!$T164&gt;N$1745,"",(tech_base!$K164/tech_proj!N288*0.086*$J$132)/(1-tech_proj!N568))</f>
        <v>0</v>
      </c>
      <c r="O1908" s="123">
        <f>IF(tech_base!$T164&gt;O$1745,"",(tech_base!$K164/tech_proj!O288*0.086*$J$132)/(1-tech_proj!O568))</f>
        <v>0</v>
      </c>
      <c r="P1908" s="123">
        <f>IF(tech_base!$T164&gt;P$1745,"",(tech_base!$K164/tech_proj!P288*0.086*$J$132)/(1-tech_proj!P568))</f>
        <v>0</v>
      </c>
      <c r="Q1908" s="123">
        <f>IF(tech_base!$T164&gt;Q$1745,"",(tech_base!$K164/tech_proj!Q288*0.086*$J$132)/(1-tech_proj!Q568))</f>
        <v>0</v>
      </c>
      <c r="R1908" s="123">
        <f>IF(tech_base!$T164&gt;R$1745,"",(tech_base!$K164/tech_proj!R288*0.086*$J$132)/(1-tech_proj!R568))</f>
        <v>0</v>
      </c>
      <c r="S1908" s="123">
        <f>IF(tech_base!$T164&gt;S$1745,"",(tech_base!$K164/tech_proj!S288*0.086*$J$132)/(1-tech_proj!S568))</f>
        <v>0</v>
      </c>
      <c r="T1908" s="123">
        <f>IF(tech_base!$T164&gt;T$1745,"",(tech_base!$K164/tech_proj!T288*0.086*$J$132)/(1-tech_proj!T568))</f>
        <v>0</v>
      </c>
      <c r="U1908" s="123">
        <f>IF(tech_base!$T164&gt;U$1745,"",(tech_base!$K164/tech_proj!U288*0.086*$J$132)/(1-tech_proj!U568))</f>
        <v>0</v>
      </c>
      <c r="V1908" s="123">
        <f>IF(tech_base!$T164&gt;V$1745,"",(tech_base!$K164/tech_proj!V288*0.086*$J$132)/(1-tech_proj!V568))</f>
        <v>0</v>
      </c>
      <c r="W1908" s="123">
        <f>IF(tech_base!$T164&gt;W$1745,"",(tech_base!$K164/tech_proj!W288*0.086*$J$132)/(1-tech_proj!W568))</f>
        <v>0</v>
      </c>
      <c r="X1908" s="123">
        <f>IF(tech_base!$T164&gt;X$1745,"",(tech_base!$K164/tech_proj!X288*0.086*$J$132)/(1-tech_proj!X568))</f>
        <v>0</v>
      </c>
      <c r="Y1908" s="123">
        <f>IF(tech_base!$T164&gt;Y$1745,"",(tech_base!$K164/tech_proj!Y288*0.086*$J$132)/(1-tech_proj!Y568))</f>
        <v>0</v>
      </c>
      <c r="Z1908" s="123">
        <f>IF(tech_base!$T164&gt;Z$1745,"",(tech_base!$K164/tech_proj!Z288*0.086*$J$132)/(1-tech_proj!Z568))</f>
        <v>0</v>
      </c>
      <c r="AA1908" s="123">
        <f>IF(tech_base!$T164&gt;AA$1745,"",(tech_base!$K164/tech_proj!AA288*0.086*$J$132)/(1-tech_proj!AA568))</f>
        <v>0</v>
      </c>
      <c r="AB1908" s="123">
        <f>IF(tech_base!$T164&gt;AB$1745,"",(tech_base!$K164/tech_proj!AB288*0.086*$J$132)/(1-tech_proj!AB568))</f>
        <v>0</v>
      </c>
      <c r="AC1908" s="123">
        <f>IF(tech_base!$T164&gt;AC$1745,"",(tech_base!$K164/tech_proj!AC288*0.086*$J$132)/(1-tech_proj!AC568))</f>
        <v>0</v>
      </c>
      <c r="AD1908" s="123">
        <f>IF(tech_base!$T164&gt;AD$1745,"",(tech_base!$K164/tech_proj!AD288*0.086*$J$132)/(1-tech_proj!AD568))</f>
        <v>0</v>
      </c>
      <c r="AE1908" s="123">
        <f>IF(tech_base!$T164&gt;AE$1745,"",(tech_base!$K164/tech_proj!AE288*0.086*$J$132)/(1-tech_proj!AE568))</f>
        <v>0</v>
      </c>
      <c r="AF1908" s="123">
        <f>IF(tech_base!$T164&gt;AF$1745,"",(tech_base!$K164/tech_proj!AF288*0.086*$J$132)/(1-tech_proj!AF568))</f>
        <v>0</v>
      </c>
      <c r="AG1908" s="123">
        <f>IF(tech_base!$T164&gt;AG$1745,"",(tech_base!$K164/tech_proj!AG288*0.086*$J$132)/(1-tech_proj!AG568))</f>
        <v>0</v>
      </c>
      <c r="AH1908" s="123">
        <f>IF(tech_base!$T164&gt;AH$1745,"",(tech_base!$K164/tech_proj!AH288*0.086*$J$132)/(1-tech_proj!AH568))</f>
        <v>0</v>
      </c>
      <c r="AI1908" s="123">
        <f>IF(tech_base!$T164&gt;AI$1745,"",(tech_base!$K164/tech_proj!AI288*0.086*$J$132)/(1-tech_proj!AI568))</f>
        <v>0</v>
      </c>
      <c r="AJ1908" s="123">
        <f>IF(tech_base!$T164&gt;AJ$1745,"",(tech_base!$K164/tech_proj!AJ288*0.086*$J$132)/(1-tech_proj!AJ568))</f>
        <v>0</v>
      </c>
      <c r="AK1908" s="123">
        <f>IF(tech_base!$T164&gt;AK$1745,"",(tech_base!$K164/tech_proj!AK288*0.086*$J$132)/(1-tech_proj!AK568))</f>
        <v>0</v>
      </c>
      <c r="AL1908" s="123">
        <f>IF(tech_base!$T164&gt;AL$1745,"",(tech_base!$K164/tech_proj!AL288*0.086*$J$132)/(1-tech_proj!AL568))</f>
        <v>0</v>
      </c>
      <c r="AM1908" s="123">
        <f>IF(tech_base!$T164&gt;AM$1745,"",(tech_base!$K164/tech_proj!AM288*0.086*$J$132)/(1-tech_proj!AM568))</f>
        <v>0</v>
      </c>
      <c r="AN1908" s="123">
        <f>IF(tech_base!$T164&gt;AN$1745,"",(tech_base!$K164/tech_proj!AN288*0.086*$J$132)/(1-tech_proj!AN568))</f>
        <v>0</v>
      </c>
      <c r="AO1908" s="123">
        <f>IF(tech_base!$T164&gt;AO$1745,"",(tech_base!$K164/tech_proj!AO288*0.086*$J$132)/(1-tech_proj!AO568))</f>
        <v>0</v>
      </c>
      <c r="AP1908" s="123">
        <f>IF(tech_base!$T164&gt;AP$1745,"",(tech_base!$K164/tech_proj!AP288*0.086*$J$132)/(1-tech_proj!AP568))</f>
        <v>0</v>
      </c>
      <c r="AQ1908" s="123">
        <f>IF(tech_base!$T164&gt;AQ$1745,"",(tech_base!$K164/tech_proj!AQ288*0.086*$J$132)/(1-tech_proj!AQ568))</f>
        <v>0</v>
      </c>
      <c r="AR1908" s="123">
        <f>IF(tech_base!$T164&gt;AR$1745,"",(tech_base!$K164/tech_proj!AR288*0.086*$J$132)/(1-tech_proj!AR568))</f>
        <v>0</v>
      </c>
      <c r="AS1908" s="123">
        <f>IF(tech_base!$T164&gt;AS$1745,"",(tech_base!$K164/tech_proj!AS288*0.086*$J$132)/(1-tech_proj!AS568))</f>
        <v>0</v>
      </c>
      <c r="AT1908" s="123">
        <f>IF(tech_base!$T164&gt;AT$1745,"",(tech_base!$K164/tech_proj!AT288*0.086*$J$132)/(1-tech_proj!AT568))</f>
        <v>0</v>
      </c>
      <c r="AU1908" s="123">
        <f>IF(tech_base!$T164&gt;AU$1745,"",(tech_base!$K164/tech_proj!AU288*0.086*$J$132)/(1-tech_proj!AU568))</f>
        <v>0</v>
      </c>
      <c r="AV1908" s="123">
        <f>IF(tech_base!$T164&gt;AV$1745,"",(tech_base!$K164/tech_proj!AV288*0.086*$J$132)/(1-tech_proj!AV568))</f>
        <v>0</v>
      </c>
      <c r="AW1908" s="123">
        <f>IF(tech_base!$T164&gt;AW$1745,"",(tech_base!$K164/tech_proj!AW288*0.086*$J$132)/(1-tech_proj!AW568))</f>
        <v>0</v>
      </c>
      <c r="AX1908" s="124">
        <f>IF(tech_base!$T164&gt;AX$1745,"",(tech_base!$K164/tech_proj!AX288*0.086*$J$132)/(1-tech_proj!AX568))</f>
        <v>0</v>
      </c>
    </row>
    <row r="1909" spans="1:50" x14ac:dyDescent="0.25">
      <c r="A1909" s="356"/>
      <c r="B1909" s="376"/>
      <c r="C1909" s="378"/>
      <c r="D1909" s="2" t="s">
        <v>8</v>
      </c>
      <c r="E1909" s="160" t="str">
        <f>A1885&amp;"/"&amp;B1905&amp;"/"&amp;C1908&amp;"/"&amp;D1909</f>
        <v>Diesel oil fired power plants/Steam turbine/CHP/M</v>
      </c>
      <c r="F1909" s="76" t="str">
        <f>A1885</f>
        <v>Diesel oil fired power plants</v>
      </c>
      <c r="G1909" s="76" t="str">
        <f>B1905</f>
        <v>Steam turbine</v>
      </c>
      <c r="H1909" s="76" t="str">
        <f>C1908</f>
        <v>CHP</v>
      </c>
      <c r="I1909" s="161" t="str">
        <f t="shared" si="384"/>
        <v>M</v>
      </c>
      <c r="J1909" s="119">
        <f>IF(tech_base!$T165&gt;J$1745,"",(tech_base!$K165/tech_proj!J289*0.086*$J$132)/(1-tech_proj!J569))</f>
        <v>0</v>
      </c>
      <c r="K1909" s="119">
        <f>IF(tech_base!$T165&gt;K$1745,"",(tech_base!$K165/tech_proj!K289*0.086*$J$132)/(1-tech_proj!K569))</f>
        <v>0</v>
      </c>
      <c r="L1909" s="119">
        <f>IF(tech_base!$T165&gt;L$1745,"",(tech_base!$K165/tech_proj!L289*0.086*$J$132)/(1-tech_proj!L569))</f>
        <v>0</v>
      </c>
      <c r="M1909" s="119">
        <f>IF(tech_base!$T165&gt;M$1745,"",(tech_base!$K165/tech_proj!M289*0.086*$J$132)/(1-tech_proj!M569))</f>
        <v>0</v>
      </c>
      <c r="N1909" s="119">
        <f>IF(tech_base!$T165&gt;N$1745,"",(tech_base!$K165/tech_proj!N289*0.086*$J$132)/(1-tech_proj!N569))</f>
        <v>0</v>
      </c>
      <c r="O1909" s="119">
        <f>IF(tech_base!$T165&gt;O$1745,"",(tech_base!$K165/tech_proj!O289*0.086*$J$132)/(1-tech_proj!O569))</f>
        <v>0</v>
      </c>
      <c r="P1909" s="119">
        <f>IF(tech_base!$T165&gt;P$1745,"",(tech_base!$K165/tech_proj!P289*0.086*$J$132)/(1-tech_proj!P569))</f>
        <v>0</v>
      </c>
      <c r="Q1909" s="119">
        <f>IF(tech_base!$T165&gt;Q$1745,"",(tech_base!$K165/tech_proj!Q289*0.086*$J$132)/(1-tech_proj!Q569))</f>
        <v>0</v>
      </c>
      <c r="R1909" s="119">
        <f>IF(tech_base!$T165&gt;R$1745,"",(tech_base!$K165/tech_proj!R289*0.086*$J$132)/(1-tech_proj!R569))</f>
        <v>0</v>
      </c>
      <c r="S1909" s="119">
        <f>IF(tech_base!$T165&gt;S$1745,"",(tech_base!$K165/tech_proj!S289*0.086*$J$132)/(1-tech_proj!S569))</f>
        <v>0</v>
      </c>
      <c r="T1909" s="119">
        <f>IF(tech_base!$T165&gt;T$1745,"",(tech_base!$K165/tech_proj!T289*0.086*$J$132)/(1-tech_proj!T569))</f>
        <v>0</v>
      </c>
      <c r="U1909" s="119">
        <f>IF(tech_base!$T165&gt;U$1745,"",(tech_base!$K165/tech_proj!U289*0.086*$J$132)/(1-tech_proj!U569))</f>
        <v>0</v>
      </c>
      <c r="V1909" s="119">
        <f>IF(tech_base!$T165&gt;V$1745,"",(tech_base!$K165/tech_proj!V289*0.086*$J$132)/(1-tech_proj!V569))</f>
        <v>0</v>
      </c>
      <c r="W1909" s="119">
        <f>IF(tech_base!$T165&gt;W$1745,"",(tech_base!$K165/tech_proj!W289*0.086*$J$132)/(1-tech_proj!W569))</f>
        <v>0</v>
      </c>
      <c r="X1909" s="119">
        <f>IF(tech_base!$T165&gt;X$1745,"",(tech_base!$K165/tech_proj!X289*0.086*$J$132)/(1-tech_proj!X569))</f>
        <v>0</v>
      </c>
      <c r="Y1909" s="119">
        <f>IF(tech_base!$T165&gt;Y$1745,"",(tech_base!$K165/tech_proj!Y289*0.086*$J$132)/(1-tech_proj!Y569))</f>
        <v>0</v>
      </c>
      <c r="Z1909" s="119">
        <f>IF(tech_base!$T165&gt;Z$1745,"",(tech_base!$K165/tech_proj!Z289*0.086*$J$132)/(1-tech_proj!Z569))</f>
        <v>0</v>
      </c>
      <c r="AA1909" s="119">
        <f>IF(tech_base!$T165&gt;AA$1745,"",(tech_base!$K165/tech_proj!AA289*0.086*$J$132)/(1-tech_proj!AA569))</f>
        <v>0</v>
      </c>
      <c r="AB1909" s="119">
        <f>IF(tech_base!$T165&gt;AB$1745,"",(tech_base!$K165/tech_proj!AB289*0.086*$J$132)/(1-tech_proj!AB569))</f>
        <v>0</v>
      </c>
      <c r="AC1909" s="119">
        <f>IF(tech_base!$T165&gt;AC$1745,"",(tech_base!$K165/tech_proj!AC289*0.086*$J$132)/(1-tech_proj!AC569))</f>
        <v>0</v>
      </c>
      <c r="AD1909" s="119">
        <f>IF(tech_base!$T165&gt;AD$1745,"",(tech_base!$K165/tech_proj!AD289*0.086*$J$132)/(1-tech_proj!AD569))</f>
        <v>0</v>
      </c>
      <c r="AE1909" s="119">
        <f>IF(tech_base!$T165&gt;AE$1745,"",(tech_base!$K165/tech_proj!AE289*0.086*$J$132)/(1-tech_proj!AE569))</f>
        <v>0</v>
      </c>
      <c r="AF1909" s="119">
        <f>IF(tech_base!$T165&gt;AF$1745,"",(tech_base!$K165/tech_proj!AF289*0.086*$J$132)/(1-tech_proj!AF569))</f>
        <v>0</v>
      </c>
      <c r="AG1909" s="119">
        <f>IF(tech_base!$T165&gt;AG$1745,"",(tech_base!$K165/tech_proj!AG289*0.086*$J$132)/(1-tech_proj!AG569))</f>
        <v>0</v>
      </c>
      <c r="AH1909" s="119">
        <f>IF(tech_base!$T165&gt;AH$1745,"",(tech_base!$K165/tech_proj!AH289*0.086*$J$132)/(1-tech_proj!AH569))</f>
        <v>0</v>
      </c>
      <c r="AI1909" s="119">
        <f>IF(tech_base!$T165&gt;AI$1745,"",(tech_base!$K165/tech_proj!AI289*0.086*$J$132)/(1-tech_proj!AI569))</f>
        <v>0</v>
      </c>
      <c r="AJ1909" s="119">
        <f>IF(tech_base!$T165&gt;AJ$1745,"",(tech_base!$K165/tech_proj!AJ289*0.086*$J$132)/(1-tech_proj!AJ569))</f>
        <v>0</v>
      </c>
      <c r="AK1909" s="119">
        <f>IF(tech_base!$T165&gt;AK$1745,"",(tech_base!$K165/tech_proj!AK289*0.086*$J$132)/(1-tech_proj!AK569))</f>
        <v>0</v>
      </c>
      <c r="AL1909" s="119">
        <f>IF(tech_base!$T165&gt;AL$1745,"",(tech_base!$K165/tech_proj!AL289*0.086*$J$132)/(1-tech_proj!AL569))</f>
        <v>0</v>
      </c>
      <c r="AM1909" s="119">
        <f>IF(tech_base!$T165&gt;AM$1745,"",(tech_base!$K165/tech_proj!AM289*0.086*$J$132)/(1-tech_proj!AM569))</f>
        <v>0</v>
      </c>
      <c r="AN1909" s="119">
        <f>IF(tech_base!$T165&gt;AN$1745,"",(tech_base!$K165/tech_proj!AN289*0.086*$J$132)/(1-tech_proj!AN569))</f>
        <v>0</v>
      </c>
      <c r="AO1909" s="119">
        <f>IF(tech_base!$T165&gt;AO$1745,"",(tech_base!$K165/tech_proj!AO289*0.086*$J$132)/(1-tech_proj!AO569))</f>
        <v>0</v>
      </c>
      <c r="AP1909" s="119">
        <f>IF(tech_base!$T165&gt;AP$1745,"",(tech_base!$K165/tech_proj!AP289*0.086*$J$132)/(1-tech_proj!AP569))</f>
        <v>0</v>
      </c>
      <c r="AQ1909" s="119">
        <f>IF(tech_base!$T165&gt;AQ$1745,"",(tech_base!$K165/tech_proj!AQ289*0.086*$J$132)/(1-tech_proj!AQ569))</f>
        <v>0</v>
      </c>
      <c r="AR1909" s="119">
        <f>IF(tech_base!$T165&gt;AR$1745,"",(tech_base!$K165/tech_proj!AR289*0.086*$J$132)/(1-tech_proj!AR569))</f>
        <v>0</v>
      </c>
      <c r="AS1909" s="119">
        <f>IF(tech_base!$T165&gt;AS$1745,"",(tech_base!$K165/tech_proj!AS289*0.086*$J$132)/(1-tech_proj!AS569))</f>
        <v>0</v>
      </c>
      <c r="AT1909" s="119">
        <f>IF(tech_base!$T165&gt;AT$1745,"",(tech_base!$K165/tech_proj!AT289*0.086*$J$132)/(1-tech_proj!AT569))</f>
        <v>0</v>
      </c>
      <c r="AU1909" s="119">
        <f>IF(tech_base!$T165&gt;AU$1745,"",(tech_base!$K165/tech_proj!AU289*0.086*$J$132)/(1-tech_proj!AU569))</f>
        <v>0</v>
      </c>
      <c r="AV1909" s="119">
        <f>IF(tech_base!$T165&gt;AV$1745,"",(tech_base!$K165/tech_proj!AV289*0.086*$J$132)/(1-tech_proj!AV569))</f>
        <v>0</v>
      </c>
      <c r="AW1909" s="119">
        <f>IF(tech_base!$T165&gt;AW$1745,"",(tech_base!$K165/tech_proj!AW289*0.086*$J$132)/(1-tech_proj!AW569))</f>
        <v>0</v>
      </c>
      <c r="AX1909" s="120">
        <f>IF(tech_base!$T165&gt;AX$1745,"",(tech_base!$K165/tech_proj!AX289*0.086*$J$132)/(1-tech_proj!AX569))</f>
        <v>0</v>
      </c>
    </row>
    <row r="1910" spans="1:50" x14ac:dyDescent="0.25">
      <c r="A1910" s="356"/>
      <c r="B1910" s="376"/>
      <c r="C1910" s="379"/>
      <c r="D1910" s="59" t="s">
        <v>10</v>
      </c>
      <c r="E1910" s="166" t="str">
        <f>A1885&amp;"/"&amp;B1905&amp;"/"&amp;C1908&amp;"/"&amp;D1910</f>
        <v>Diesel oil fired power plants/Steam turbine/CHP/S</v>
      </c>
      <c r="F1910" s="79" t="str">
        <f>A1885</f>
        <v>Diesel oil fired power plants</v>
      </c>
      <c r="G1910" s="79" t="str">
        <f>B1905</f>
        <v>Steam turbine</v>
      </c>
      <c r="H1910" s="79" t="str">
        <f>C1908</f>
        <v>CHP</v>
      </c>
      <c r="I1910" s="167" t="str">
        <f t="shared" si="384"/>
        <v>S</v>
      </c>
      <c r="J1910" s="125">
        <f>IF(tech_base!$T166&gt;J$1745,"",(tech_base!$K166/tech_proj!J290*0.086*$J$132)/(1-tech_proj!J570))</f>
        <v>0</v>
      </c>
      <c r="K1910" s="125">
        <f>IF(tech_base!$T166&gt;K$1745,"",(tech_base!$K166/tech_proj!K290*0.086*$J$132)/(1-tech_proj!K570))</f>
        <v>0</v>
      </c>
      <c r="L1910" s="125">
        <f>IF(tech_base!$T166&gt;L$1745,"",(tech_base!$K166/tech_proj!L290*0.086*$J$132)/(1-tech_proj!L570))</f>
        <v>0</v>
      </c>
      <c r="M1910" s="125">
        <f>IF(tech_base!$T166&gt;M$1745,"",(tech_base!$K166/tech_proj!M290*0.086*$J$132)/(1-tech_proj!M570))</f>
        <v>0</v>
      </c>
      <c r="N1910" s="125">
        <f>IF(tech_base!$T166&gt;N$1745,"",(tech_base!$K166/tech_proj!N290*0.086*$J$132)/(1-tech_proj!N570))</f>
        <v>0</v>
      </c>
      <c r="O1910" s="125">
        <f>IF(tech_base!$T166&gt;O$1745,"",(tech_base!$K166/tech_proj!O290*0.086*$J$132)/(1-tech_proj!O570))</f>
        <v>0</v>
      </c>
      <c r="P1910" s="125">
        <f>IF(tech_base!$T166&gt;P$1745,"",(tech_base!$K166/tech_proj!P290*0.086*$J$132)/(1-tech_proj!P570))</f>
        <v>0</v>
      </c>
      <c r="Q1910" s="125">
        <f>IF(tech_base!$T166&gt;Q$1745,"",(tech_base!$K166/tech_proj!Q290*0.086*$J$132)/(1-tech_proj!Q570))</f>
        <v>0</v>
      </c>
      <c r="R1910" s="125">
        <f>IF(tech_base!$T166&gt;R$1745,"",(tech_base!$K166/tech_proj!R290*0.086*$J$132)/(1-tech_proj!R570))</f>
        <v>0</v>
      </c>
      <c r="S1910" s="125">
        <f>IF(tech_base!$T166&gt;S$1745,"",(tech_base!$K166/tech_proj!S290*0.086*$J$132)/(1-tech_proj!S570))</f>
        <v>0</v>
      </c>
      <c r="T1910" s="125">
        <f>IF(tech_base!$T166&gt;T$1745,"",(tech_base!$K166/tech_proj!T290*0.086*$J$132)/(1-tech_proj!T570))</f>
        <v>0</v>
      </c>
      <c r="U1910" s="125">
        <f>IF(tech_base!$T166&gt;U$1745,"",(tech_base!$K166/tech_proj!U290*0.086*$J$132)/(1-tech_proj!U570))</f>
        <v>0</v>
      </c>
      <c r="V1910" s="125">
        <f>IF(tech_base!$T166&gt;V$1745,"",(tech_base!$K166/tech_proj!V290*0.086*$J$132)/(1-tech_proj!V570))</f>
        <v>0</v>
      </c>
      <c r="W1910" s="125">
        <f>IF(tech_base!$T166&gt;W$1745,"",(tech_base!$K166/tech_proj!W290*0.086*$J$132)/(1-tech_proj!W570))</f>
        <v>0</v>
      </c>
      <c r="X1910" s="125">
        <f>IF(tech_base!$T166&gt;X$1745,"",(tech_base!$K166/tech_proj!X290*0.086*$J$132)/(1-tech_proj!X570))</f>
        <v>0</v>
      </c>
      <c r="Y1910" s="125">
        <f>IF(tech_base!$T166&gt;Y$1745,"",(tech_base!$K166/tech_proj!Y290*0.086*$J$132)/(1-tech_proj!Y570))</f>
        <v>0</v>
      </c>
      <c r="Z1910" s="125">
        <f>IF(tech_base!$T166&gt;Z$1745,"",(tech_base!$K166/tech_proj!Z290*0.086*$J$132)/(1-tech_proj!Z570))</f>
        <v>0</v>
      </c>
      <c r="AA1910" s="125">
        <f>IF(tech_base!$T166&gt;AA$1745,"",(tech_base!$K166/tech_proj!AA290*0.086*$J$132)/(1-tech_proj!AA570))</f>
        <v>0</v>
      </c>
      <c r="AB1910" s="125">
        <f>IF(tech_base!$T166&gt;AB$1745,"",(tech_base!$K166/tech_proj!AB290*0.086*$J$132)/(1-tech_proj!AB570))</f>
        <v>0</v>
      </c>
      <c r="AC1910" s="125">
        <f>IF(tech_base!$T166&gt;AC$1745,"",(tech_base!$K166/tech_proj!AC290*0.086*$J$132)/(1-tech_proj!AC570))</f>
        <v>0</v>
      </c>
      <c r="AD1910" s="125">
        <f>IF(tech_base!$T166&gt;AD$1745,"",(tech_base!$K166/tech_proj!AD290*0.086*$J$132)/(1-tech_proj!AD570))</f>
        <v>0</v>
      </c>
      <c r="AE1910" s="125">
        <f>IF(tech_base!$T166&gt;AE$1745,"",(tech_base!$K166/tech_proj!AE290*0.086*$J$132)/(1-tech_proj!AE570))</f>
        <v>0</v>
      </c>
      <c r="AF1910" s="125">
        <f>IF(tech_base!$T166&gt;AF$1745,"",(tech_base!$K166/tech_proj!AF290*0.086*$J$132)/(1-tech_proj!AF570))</f>
        <v>0</v>
      </c>
      <c r="AG1910" s="125">
        <f>IF(tech_base!$T166&gt;AG$1745,"",(tech_base!$K166/tech_proj!AG290*0.086*$J$132)/(1-tech_proj!AG570))</f>
        <v>0</v>
      </c>
      <c r="AH1910" s="125">
        <f>IF(tech_base!$T166&gt;AH$1745,"",(tech_base!$K166/tech_proj!AH290*0.086*$J$132)/(1-tech_proj!AH570))</f>
        <v>0</v>
      </c>
      <c r="AI1910" s="125">
        <f>IF(tech_base!$T166&gt;AI$1745,"",(tech_base!$K166/tech_proj!AI290*0.086*$J$132)/(1-tech_proj!AI570))</f>
        <v>0</v>
      </c>
      <c r="AJ1910" s="125">
        <f>IF(tech_base!$T166&gt;AJ$1745,"",(tech_base!$K166/tech_proj!AJ290*0.086*$J$132)/(1-tech_proj!AJ570))</f>
        <v>0</v>
      </c>
      <c r="AK1910" s="125">
        <f>IF(tech_base!$T166&gt;AK$1745,"",(tech_base!$K166/tech_proj!AK290*0.086*$J$132)/(1-tech_proj!AK570))</f>
        <v>0</v>
      </c>
      <c r="AL1910" s="125">
        <f>IF(tech_base!$T166&gt;AL$1745,"",(tech_base!$K166/tech_proj!AL290*0.086*$J$132)/(1-tech_proj!AL570))</f>
        <v>0</v>
      </c>
      <c r="AM1910" s="125">
        <f>IF(tech_base!$T166&gt;AM$1745,"",(tech_base!$K166/tech_proj!AM290*0.086*$J$132)/(1-tech_proj!AM570))</f>
        <v>0</v>
      </c>
      <c r="AN1910" s="125">
        <f>IF(tech_base!$T166&gt;AN$1745,"",(tech_base!$K166/tech_proj!AN290*0.086*$J$132)/(1-tech_proj!AN570))</f>
        <v>0</v>
      </c>
      <c r="AO1910" s="125">
        <f>IF(tech_base!$T166&gt;AO$1745,"",(tech_base!$K166/tech_proj!AO290*0.086*$J$132)/(1-tech_proj!AO570))</f>
        <v>0</v>
      </c>
      <c r="AP1910" s="125">
        <f>IF(tech_base!$T166&gt;AP$1745,"",(tech_base!$K166/tech_proj!AP290*0.086*$J$132)/(1-tech_proj!AP570))</f>
        <v>0</v>
      </c>
      <c r="AQ1910" s="125">
        <f>IF(tech_base!$T166&gt;AQ$1745,"",(tech_base!$K166/tech_proj!AQ290*0.086*$J$132)/(1-tech_proj!AQ570))</f>
        <v>0</v>
      </c>
      <c r="AR1910" s="125">
        <f>IF(tech_base!$T166&gt;AR$1745,"",(tech_base!$K166/tech_proj!AR290*0.086*$J$132)/(1-tech_proj!AR570))</f>
        <v>0</v>
      </c>
      <c r="AS1910" s="125">
        <f>IF(tech_base!$T166&gt;AS$1745,"",(tech_base!$K166/tech_proj!AS290*0.086*$J$132)/(1-tech_proj!AS570))</f>
        <v>0</v>
      </c>
      <c r="AT1910" s="125">
        <f>IF(tech_base!$T166&gt;AT$1745,"",(tech_base!$K166/tech_proj!AT290*0.086*$J$132)/(1-tech_proj!AT570))</f>
        <v>0</v>
      </c>
      <c r="AU1910" s="125">
        <f>IF(tech_base!$T166&gt;AU$1745,"",(tech_base!$K166/tech_proj!AU290*0.086*$J$132)/(1-tech_proj!AU570))</f>
        <v>0</v>
      </c>
      <c r="AV1910" s="125">
        <f>IF(tech_base!$T166&gt;AV$1745,"",(tech_base!$K166/tech_proj!AV290*0.086*$J$132)/(1-tech_proj!AV570))</f>
        <v>0</v>
      </c>
      <c r="AW1910" s="125">
        <f>IF(tech_base!$T166&gt;AW$1745,"",(tech_base!$K166/tech_proj!AW290*0.086*$J$132)/(1-tech_proj!AW570))</f>
        <v>0</v>
      </c>
      <c r="AX1910" s="126">
        <f>IF(tech_base!$T166&gt;AX$1745,"",(tech_base!$K166/tech_proj!AX290*0.086*$J$132)/(1-tech_proj!AX570))</f>
        <v>0</v>
      </c>
    </row>
    <row r="1911" spans="1:50" x14ac:dyDescent="0.25">
      <c r="A1911" s="356"/>
      <c r="B1911" s="376"/>
      <c r="C1911" s="361" t="s">
        <v>15</v>
      </c>
      <c r="D1911" s="58" t="s">
        <v>7</v>
      </c>
      <c r="E1911" s="164" t="str">
        <f>A1885&amp;"/"&amp;B1905&amp;"/"&amp;C1911&amp;"/"&amp;D1911</f>
        <v>Diesel oil fired power plants/Steam turbine/Electricity only with CCS/L</v>
      </c>
      <c r="F1911" s="78" t="str">
        <f>A1885</f>
        <v>Diesel oil fired power plants</v>
      </c>
      <c r="G1911" s="78" t="str">
        <f>B1905</f>
        <v>Steam turbine</v>
      </c>
      <c r="H1911" s="78" t="str">
        <f>C1911</f>
        <v>Electricity only with CCS</v>
      </c>
      <c r="I1911" s="165" t="str">
        <f t="shared" si="384"/>
        <v>L</v>
      </c>
      <c r="J1911" s="123" t="str">
        <f>IF(tech_base!$T167&gt;J$1745,"",(tech_base!$K167/tech_proj!J291*0.086*$J$132)/(1-tech_proj!J571))</f>
        <v/>
      </c>
      <c r="K1911" s="123" t="str">
        <f>IF(tech_base!$T167&gt;K$1745,"",(tech_base!$K167/tech_proj!K291*0.086*$J$132)/(1-tech_proj!K571))</f>
        <v/>
      </c>
      <c r="L1911" s="123" t="str">
        <f>IF(tech_base!$T167&gt;L$1745,"",(tech_base!$K167/tech_proj!L291*0.086*$J$132)/(1-tech_proj!L571))</f>
        <v/>
      </c>
      <c r="M1911" s="123" t="str">
        <f>IF(tech_base!$T167&gt;M$1745,"",(tech_base!$K167/tech_proj!M291*0.086*$J$132)/(1-tech_proj!M571))</f>
        <v/>
      </c>
      <c r="N1911" s="123" t="str">
        <f>IF(tech_base!$T167&gt;N$1745,"",(tech_base!$K167/tech_proj!N291*0.086*$J$132)/(1-tech_proj!N571))</f>
        <v/>
      </c>
      <c r="O1911" s="123" t="str">
        <f>IF(tech_base!$T167&gt;O$1745,"",(tech_base!$K167/tech_proj!O291*0.086*$J$132)/(1-tech_proj!O571))</f>
        <v/>
      </c>
      <c r="P1911" s="123" t="str">
        <f>IF(tech_base!$T167&gt;P$1745,"",(tech_base!$K167/tech_proj!P291*0.086*$J$132)/(1-tech_proj!P571))</f>
        <v/>
      </c>
      <c r="Q1911" s="123" t="str">
        <f>IF(tech_base!$T167&gt;Q$1745,"",(tech_base!$K167/tech_proj!Q291*0.086*$J$132)/(1-tech_proj!Q571))</f>
        <v/>
      </c>
      <c r="R1911" s="123" t="str">
        <f>IF(tech_base!$T167&gt;R$1745,"",(tech_base!$K167/tech_proj!R291*0.086*$J$132)/(1-tech_proj!R571))</f>
        <v/>
      </c>
      <c r="S1911" s="123" t="str">
        <f>IF(tech_base!$T167&gt;S$1745,"",(tech_base!$K167/tech_proj!S291*0.086*$J$132)/(1-tech_proj!S571))</f>
        <v/>
      </c>
      <c r="T1911" s="123" t="str">
        <f>IF(tech_base!$T167&gt;T$1745,"",(tech_base!$K167/tech_proj!T291*0.086*$J$132)/(1-tech_proj!T571))</f>
        <v/>
      </c>
      <c r="U1911" s="123" t="str">
        <f>IF(tech_base!$T167&gt;U$1745,"",(tech_base!$K167/tech_proj!U291*0.086*$J$132)/(1-tech_proj!U571))</f>
        <v/>
      </c>
      <c r="V1911" s="123" t="str">
        <f>IF(tech_base!$T167&gt;V$1745,"",(tech_base!$K167/tech_proj!V291*0.086*$J$132)/(1-tech_proj!V571))</f>
        <v/>
      </c>
      <c r="W1911" s="123" t="str">
        <f>IF(tech_base!$T167&gt;W$1745,"",(tech_base!$K167/tech_proj!W291*0.086*$J$132)/(1-tech_proj!W571))</f>
        <v/>
      </c>
      <c r="X1911" s="123" t="str">
        <f>IF(tech_base!$T167&gt;X$1745,"",(tech_base!$K167/tech_proj!X291*0.086*$J$132)/(1-tech_proj!X571))</f>
        <v/>
      </c>
      <c r="Y1911" s="123" t="str">
        <f>IF(tech_base!$T167&gt;Y$1745,"",(tech_base!$K167/tech_proj!Y291*0.086*$J$132)/(1-tech_proj!Y571))</f>
        <v/>
      </c>
      <c r="Z1911" s="123" t="str">
        <f>IF(tech_base!$T167&gt;Z$1745,"",(tech_base!$K167/tech_proj!Z291*0.086*$J$132)/(1-tech_proj!Z571))</f>
        <v/>
      </c>
      <c r="AA1911" s="123" t="str">
        <f>IF(tech_base!$T167&gt;AA$1745,"",(tech_base!$K167/tech_proj!AA291*0.086*$J$132)/(1-tech_proj!AA571))</f>
        <v/>
      </c>
      <c r="AB1911" s="123" t="str">
        <f>IF(tech_base!$T167&gt;AB$1745,"",(tech_base!$K167/tech_proj!AB291*0.086*$J$132)/(1-tech_proj!AB571))</f>
        <v/>
      </c>
      <c r="AC1911" s="123" t="str">
        <f>IF(tech_base!$T167&gt;AC$1745,"",(tech_base!$K167/tech_proj!AC291*0.086*$J$132)/(1-tech_proj!AC571))</f>
        <v/>
      </c>
      <c r="AD1911" s="123" t="str">
        <f>IF(tech_base!$T167&gt;AD$1745,"",(tech_base!$K167/tech_proj!AD291*0.086*$J$132)/(1-tech_proj!AD571))</f>
        <v/>
      </c>
      <c r="AE1911" s="123">
        <f>IF(tech_base!$T167&gt;AE$1745,"",(tech_base!$K167/tech_proj!AE291*0.086*$J$132)/(1-tech_proj!AE571))</f>
        <v>9.4128140793118291</v>
      </c>
      <c r="AF1911" s="123">
        <f>IF(tech_base!$T167&gt;AF$1745,"",(tech_base!$K167/tech_proj!AF291*0.086*$J$132)/(1-tech_proj!AF571))</f>
        <v>9.4128140793118291</v>
      </c>
      <c r="AG1911" s="123">
        <f>IF(tech_base!$T167&gt;AG$1745,"",(tech_base!$K167/tech_proj!AG291*0.086*$J$132)/(1-tech_proj!AG571))</f>
        <v>9.4128140793118291</v>
      </c>
      <c r="AH1911" s="123">
        <f>IF(tech_base!$T167&gt;AH$1745,"",(tech_base!$K167/tech_proj!AH291*0.086*$J$132)/(1-tech_proj!AH571))</f>
        <v>9.4128140793118291</v>
      </c>
      <c r="AI1911" s="123">
        <f>IF(tech_base!$T167&gt;AI$1745,"",(tech_base!$K167/tech_proj!AI291*0.086*$J$132)/(1-tech_proj!AI571))</f>
        <v>9.4128140793118291</v>
      </c>
      <c r="AJ1911" s="123">
        <f>IF(tech_base!$T167&gt;AJ$1745,"",(tech_base!$K167/tech_proj!AJ291*0.086*$J$132)/(1-tech_proj!AJ571))</f>
        <v>9.4128140793118291</v>
      </c>
      <c r="AK1911" s="123">
        <f>IF(tech_base!$T167&gt;AK$1745,"",(tech_base!$K167/tech_proj!AK291*0.086*$J$132)/(1-tech_proj!AK571))</f>
        <v>9.4128140793118291</v>
      </c>
      <c r="AL1911" s="123">
        <f>IF(tech_base!$T167&gt;AL$1745,"",(tech_base!$K167/tech_proj!AL291*0.086*$J$132)/(1-tech_proj!AL571))</f>
        <v>9.4128140793118291</v>
      </c>
      <c r="AM1911" s="123">
        <f>IF(tech_base!$T167&gt;AM$1745,"",(tech_base!$K167/tech_proj!AM291*0.086*$J$132)/(1-tech_proj!AM571))</f>
        <v>9.4128140793118291</v>
      </c>
      <c r="AN1911" s="123">
        <f>IF(tech_base!$T167&gt;AN$1745,"",(tech_base!$K167/tech_proj!AN291*0.086*$J$132)/(1-tech_proj!AN571))</f>
        <v>9.4128140793118291</v>
      </c>
      <c r="AO1911" s="123">
        <f>IF(tech_base!$T167&gt;AO$1745,"",(tech_base!$K167/tech_proj!AO291*0.086*$J$132)/(1-tech_proj!AO571))</f>
        <v>9.4128140793118291</v>
      </c>
      <c r="AP1911" s="123">
        <f>IF(tech_base!$T167&gt;AP$1745,"",(tech_base!$K167/tech_proj!AP291*0.086*$J$132)/(1-tech_proj!AP571))</f>
        <v>9.4128140793118291</v>
      </c>
      <c r="AQ1911" s="123">
        <f>IF(tech_base!$T167&gt;AQ$1745,"",(tech_base!$K167/tech_proj!AQ291*0.086*$J$132)/(1-tech_proj!AQ571))</f>
        <v>9.4128140793118291</v>
      </c>
      <c r="AR1911" s="123">
        <f>IF(tech_base!$T167&gt;AR$1745,"",(tech_base!$K167/tech_proj!AR291*0.086*$J$132)/(1-tech_proj!AR571))</f>
        <v>9.4128140793118291</v>
      </c>
      <c r="AS1911" s="123">
        <f>IF(tech_base!$T167&gt;AS$1745,"",(tech_base!$K167/tech_proj!AS291*0.086*$J$132)/(1-tech_proj!AS571))</f>
        <v>9.4128140793118291</v>
      </c>
      <c r="AT1911" s="123">
        <f>IF(tech_base!$T167&gt;AT$1745,"",(tech_base!$K167/tech_proj!AT291*0.086*$J$132)/(1-tech_proj!AT571))</f>
        <v>9.4128140793118291</v>
      </c>
      <c r="AU1911" s="123">
        <f>IF(tech_base!$T167&gt;AU$1745,"",(tech_base!$K167/tech_proj!AU291*0.086*$J$132)/(1-tech_proj!AU571))</f>
        <v>9.4128140793118291</v>
      </c>
      <c r="AV1911" s="123">
        <f>IF(tech_base!$T167&gt;AV$1745,"",(tech_base!$K167/tech_proj!AV291*0.086*$J$132)/(1-tech_proj!AV571))</f>
        <v>9.4128140793118291</v>
      </c>
      <c r="AW1911" s="123">
        <f>IF(tech_base!$T167&gt;AW$1745,"",(tech_base!$K167/tech_proj!AW291*0.086*$J$132)/(1-tech_proj!AW571))</f>
        <v>9.4128140793118291</v>
      </c>
      <c r="AX1911" s="124">
        <f>IF(tech_base!$T167&gt;AX$1745,"",(tech_base!$K167/tech_proj!AX291*0.086*$J$132)/(1-tech_proj!AX571))</f>
        <v>9.4128140793118291</v>
      </c>
    </row>
    <row r="1912" spans="1:50" x14ac:dyDescent="0.25">
      <c r="A1912" s="356"/>
      <c r="B1912" s="376"/>
      <c r="C1912" s="379"/>
      <c r="D1912" s="59" t="s">
        <v>8</v>
      </c>
      <c r="E1912" s="166" t="str">
        <f>A1885&amp;"/"&amp;B1905&amp;"/"&amp;C1911&amp;"/"&amp;D1912</f>
        <v>Diesel oil fired power plants/Steam turbine/Electricity only with CCS/M</v>
      </c>
      <c r="F1912" s="79" t="str">
        <f>A1885</f>
        <v>Diesel oil fired power plants</v>
      </c>
      <c r="G1912" s="79" t="str">
        <f>B1905</f>
        <v>Steam turbine</v>
      </c>
      <c r="H1912" s="79" t="str">
        <f>C1911</f>
        <v>Electricity only with CCS</v>
      </c>
      <c r="I1912" s="167" t="str">
        <f t="shared" si="384"/>
        <v>M</v>
      </c>
      <c r="J1912" s="125" t="str">
        <f>IF(tech_base!$T168&gt;J$1745,"",(tech_base!$K168/tech_proj!J292*0.086*$J$132)/(1-tech_proj!J572))</f>
        <v/>
      </c>
      <c r="K1912" s="125" t="str">
        <f>IF(tech_base!$T168&gt;K$1745,"",(tech_base!$K168/tech_proj!K292*0.086*$J$132)/(1-tech_proj!K572))</f>
        <v/>
      </c>
      <c r="L1912" s="125" t="str">
        <f>IF(tech_base!$T168&gt;L$1745,"",(tech_base!$K168/tech_proj!L292*0.086*$J$132)/(1-tech_proj!L572))</f>
        <v/>
      </c>
      <c r="M1912" s="125" t="str">
        <f>IF(tech_base!$T168&gt;M$1745,"",(tech_base!$K168/tech_proj!M292*0.086*$J$132)/(1-tech_proj!M572))</f>
        <v/>
      </c>
      <c r="N1912" s="125" t="str">
        <f>IF(tech_base!$T168&gt;N$1745,"",(tech_base!$K168/tech_proj!N292*0.086*$J$132)/(1-tech_proj!N572))</f>
        <v/>
      </c>
      <c r="O1912" s="125" t="str">
        <f>IF(tech_base!$T168&gt;O$1745,"",(tech_base!$K168/tech_proj!O292*0.086*$J$132)/(1-tech_proj!O572))</f>
        <v/>
      </c>
      <c r="P1912" s="125" t="str">
        <f>IF(tech_base!$T168&gt;P$1745,"",(tech_base!$K168/tech_proj!P292*0.086*$J$132)/(1-tech_proj!P572))</f>
        <v/>
      </c>
      <c r="Q1912" s="125" t="str">
        <f>IF(tech_base!$T168&gt;Q$1745,"",(tech_base!$K168/tech_proj!Q292*0.086*$J$132)/(1-tech_proj!Q572))</f>
        <v/>
      </c>
      <c r="R1912" s="125" t="str">
        <f>IF(tech_base!$T168&gt;R$1745,"",(tech_base!$K168/tech_proj!R292*0.086*$J$132)/(1-tech_proj!R572))</f>
        <v/>
      </c>
      <c r="S1912" s="125" t="str">
        <f>IF(tech_base!$T168&gt;S$1745,"",(tech_base!$K168/tech_proj!S292*0.086*$J$132)/(1-tech_proj!S572))</f>
        <v/>
      </c>
      <c r="T1912" s="125" t="str">
        <f>IF(tech_base!$T168&gt;T$1745,"",(tech_base!$K168/tech_proj!T292*0.086*$J$132)/(1-tech_proj!T572))</f>
        <v/>
      </c>
      <c r="U1912" s="125" t="str">
        <f>IF(tech_base!$T168&gt;U$1745,"",(tech_base!$K168/tech_proj!U292*0.086*$J$132)/(1-tech_proj!U572))</f>
        <v/>
      </c>
      <c r="V1912" s="125" t="str">
        <f>IF(tech_base!$T168&gt;V$1745,"",(tech_base!$K168/tech_proj!V292*0.086*$J$132)/(1-tech_proj!V572))</f>
        <v/>
      </c>
      <c r="W1912" s="125" t="str">
        <f>IF(tech_base!$T168&gt;W$1745,"",(tech_base!$K168/tech_proj!W292*0.086*$J$132)/(1-tech_proj!W572))</f>
        <v/>
      </c>
      <c r="X1912" s="125" t="str">
        <f>IF(tech_base!$T168&gt;X$1745,"",(tech_base!$K168/tech_proj!X292*0.086*$J$132)/(1-tech_proj!X572))</f>
        <v/>
      </c>
      <c r="Y1912" s="125" t="str">
        <f>IF(tech_base!$T168&gt;Y$1745,"",(tech_base!$K168/tech_proj!Y292*0.086*$J$132)/(1-tech_proj!Y572))</f>
        <v/>
      </c>
      <c r="Z1912" s="125" t="str">
        <f>IF(tech_base!$T168&gt;Z$1745,"",(tech_base!$K168/tech_proj!Z292*0.086*$J$132)/(1-tech_proj!Z572))</f>
        <v/>
      </c>
      <c r="AA1912" s="125" t="str">
        <f>IF(tech_base!$T168&gt;AA$1745,"",(tech_base!$K168/tech_proj!AA292*0.086*$J$132)/(1-tech_proj!AA572))</f>
        <v/>
      </c>
      <c r="AB1912" s="125" t="str">
        <f>IF(tech_base!$T168&gt;AB$1745,"",(tech_base!$K168/tech_proj!AB292*0.086*$J$132)/(1-tech_proj!AB572))</f>
        <v/>
      </c>
      <c r="AC1912" s="125" t="str">
        <f>IF(tech_base!$T168&gt;AC$1745,"",(tech_base!$K168/tech_proj!AC292*0.086*$J$132)/(1-tech_proj!AC572))</f>
        <v/>
      </c>
      <c r="AD1912" s="125" t="str">
        <f>IF(tech_base!$T168&gt;AD$1745,"",(tech_base!$K168/tech_proj!AD292*0.086*$J$132)/(1-tech_proj!AD572))</f>
        <v/>
      </c>
      <c r="AE1912" s="125">
        <f>IF(tech_base!$T168&gt;AE$1745,"",(tech_base!$K168/tech_proj!AE292*0.086*$J$132)/(1-tech_proj!AE572))</f>
        <v>10.069915535135619</v>
      </c>
      <c r="AF1912" s="125">
        <f>IF(tech_base!$T168&gt;AF$1745,"",(tech_base!$K168/tech_proj!AF292*0.086*$J$132)/(1-tech_proj!AF572))</f>
        <v>10.069915535135619</v>
      </c>
      <c r="AG1912" s="125">
        <f>IF(tech_base!$T168&gt;AG$1745,"",(tech_base!$K168/tech_proj!AG292*0.086*$J$132)/(1-tech_proj!AG572))</f>
        <v>10.069915535135619</v>
      </c>
      <c r="AH1912" s="125">
        <f>IF(tech_base!$T168&gt;AH$1745,"",(tech_base!$K168/tech_proj!AH292*0.086*$J$132)/(1-tech_proj!AH572))</f>
        <v>10.069915535135619</v>
      </c>
      <c r="AI1912" s="125">
        <f>IF(tech_base!$T168&gt;AI$1745,"",(tech_base!$K168/tech_proj!AI292*0.086*$J$132)/(1-tech_proj!AI572))</f>
        <v>10.069915535135619</v>
      </c>
      <c r="AJ1912" s="125">
        <f>IF(tech_base!$T168&gt;AJ$1745,"",(tech_base!$K168/tech_proj!AJ292*0.086*$J$132)/(1-tech_proj!AJ572))</f>
        <v>10.069915535135619</v>
      </c>
      <c r="AK1912" s="125">
        <f>IF(tech_base!$T168&gt;AK$1745,"",(tech_base!$K168/tech_proj!AK292*0.086*$J$132)/(1-tech_proj!AK572))</f>
        <v>10.069915535135619</v>
      </c>
      <c r="AL1912" s="125">
        <f>IF(tech_base!$T168&gt;AL$1745,"",(tech_base!$K168/tech_proj!AL292*0.086*$J$132)/(1-tech_proj!AL572))</f>
        <v>10.069915535135619</v>
      </c>
      <c r="AM1912" s="125">
        <f>IF(tech_base!$T168&gt;AM$1745,"",(tech_base!$K168/tech_proj!AM292*0.086*$J$132)/(1-tech_proj!AM572))</f>
        <v>10.069915535135619</v>
      </c>
      <c r="AN1912" s="125">
        <f>IF(tech_base!$T168&gt;AN$1745,"",(tech_base!$K168/tech_proj!AN292*0.086*$J$132)/(1-tech_proj!AN572))</f>
        <v>10.069915535135619</v>
      </c>
      <c r="AO1912" s="125">
        <f>IF(tech_base!$T168&gt;AO$1745,"",(tech_base!$K168/tech_proj!AO292*0.086*$J$132)/(1-tech_proj!AO572))</f>
        <v>10.069915535135619</v>
      </c>
      <c r="AP1912" s="125">
        <f>IF(tech_base!$T168&gt;AP$1745,"",(tech_base!$K168/tech_proj!AP292*0.086*$J$132)/(1-tech_proj!AP572))</f>
        <v>10.069915535135619</v>
      </c>
      <c r="AQ1912" s="125">
        <f>IF(tech_base!$T168&gt;AQ$1745,"",(tech_base!$K168/tech_proj!AQ292*0.086*$J$132)/(1-tech_proj!AQ572))</f>
        <v>10.069915535135619</v>
      </c>
      <c r="AR1912" s="125">
        <f>IF(tech_base!$T168&gt;AR$1745,"",(tech_base!$K168/tech_proj!AR292*0.086*$J$132)/(1-tech_proj!AR572))</f>
        <v>10.069915535135619</v>
      </c>
      <c r="AS1912" s="125">
        <f>IF(tech_base!$T168&gt;AS$1745,"",(tech_base!$K168/tech_proj!AS292*0.086*$J$132)/(1-tech_proj!AS572))</f>
        <v>10.069915535135619</v>
      </c>
      <c r="AT1912" s="125">
        <f>IF(tech_base!$T168&gt;AT$1745,"",(tech_base!$K168/tech_proj!AT292*0.086*$J$132)/(1-tech_proj!AT572))</f>
        <v>10.069915535135619</v>
      </c>
      <c r="AU1912" s="125">
        <f>IF(tech_base!$T168&gt;AU$1745,"",(tech_base!$K168/tech_proj!AU292*0.086*$J$132)/(1-tech_proj!AU572))</f>
        <v>10.069915535135619</v>
      </c>
      <c r="AV1912" s="125">
        <f>IF(tech_base!$T168&gt;AV$1745,"",(tech_base!$K168/tech_proj!AV292*0.086*$J$132)/(1-tech_proj!AV572))</f>
        <v>10.069915535135619</v>
      </c>
      <c r="AW1912" s="125">
        <f>IF(tech_base!$T168&gt;AW$1745,"",(tech_base!$K168/tech_proj!AW292*0.086*$J$132)/(1-tech_proj!AW572))</f>
        <v>10.069915535135619</v>
      </c>
      <c r="AX1912" s="126">
        <f>IF(tech_base!$T168&gt;AX$1745,"",(tech_base!$K168/tech_proj!AX292*0.086*$J$132)/(1-tech_proj!AX572))</f>
        <v>10.069915535135619</v>
      </c>
    </row>
    <row r="1913" spans="1:50" x14ac:dyDescent="0.25">
      <c r="A1913" s="356"/>
      <c r="B1913" s="376"/>
      <c r="C1913" s="361" t="s">
        <v>16</v>
      </c>
      <c r="D1913" s="2" t="s">
        <v>7</v>
      </c>
      <c r="E1913" s="160" t="str">
        <f>A1885&amp;"/"&amp;B1905&amp;"/"&amp;C1913&amp;"/"&amp;D1913</f>
        <v>Diesel oil fired power plants/Steam turbine/CHP with CCS/L</v>
      </c>
      <c r="F1913" s="76" t="str">
        <f>A1885</f>
        <v>Diesel oil fired power plants</v>
      </c>
      <c r="G1913" s="76" t="str">
        <f>B1905</f>
        <v>Steam turbine</v>
      </c>
      <c r="H1913" s="76" t="str">
        <f>C1913</f>
        <v>CHP with CCS</v>
      </c>
      <c r="I1913" s="161" t="str">
        <f t="shared" si="384"/>
        <v>L</v>
      </c>
      <c r="J1913" s="119" t="str">
        <f>IF(tech_base!$T169&gt;J$1745,"",(tech_base!$K169/tech_proj!J293*0.086*$J$132)/(1-tech_proj!J573))</f>
        <v/>
      </c>
      <c r="K1913" s="119" t="str">
        <f>IF(tech_base!$T169&gt;K$1745,"",(tech_base!$K169/tech_proj!K293*0.086*$J$132)/(1-tech_proj!K573))</f>
        <v/>
      </c>
      <c r="L1913" s="119" t="str">
        <f>IF(tech_base!$T169&gt;L$1745,"",(tech_base!$K169/tech_proj!L293*0.086*$J$132)/(1-tech_proj!L573))</f>
        <v/>
      </c>
      <c r="M1913" s="119" t="str">
        <f>IF(tech_base!$T169&gt;M$1745,"",(tech_base!$K169/tech_proj!M293*0.086*$J$132)/(1-tech_proj!M573))</f>
        <v/>
      </c>
      <c r="N1913" s="119" t="str">
        <f>IF(tech_base!$T169&gt;N$1745,"",(tech_base!$K169/tech_proj!N293*0.086*$J$132)/(1-tech_proj!N573))</f>
        <v/>
      </c>
      <c r="O1913" s="119" t="str">
        <f>IF(tech_base!$T169&gt;O$1745,"",(tech_base!$K169/tech_proj!O293*0.086*$J$132)/(1-tech_proj!O573))</f>
        <v/>
      </c>
      <c r="P1913" s="119" t="str">
        <f>IF(tech_base!$T169&gt;P$1745,"",(tech_base!$K169/tech_proj!P293*0.086*$J$132)/(1-tech_proj!P573))</f>
        <v/>
      </c>
      <c r="Q1913" s="119" t="str">
        <f>IF(tech_base!$T169&gt;Q$1745,"",(tech_base!$K169/tech_proj!Q293*0.086*$J$132)/(1-tech_proj!Q573))</f>
        <v/>
      </c>
      <c r="R1913" s="119" t="str">
        <f>IF(tech_base!$T169&gt;R$1745,"",(tech_base!$K169/tech_proj!R293*0.086*$J$132)/(1-tech_proj!R573))</f>
        <v/>
      </c>
      <c r="S1913" s="119" t="str">
        <f>IF(tech_base!$T169&gt;S$1745,"",(tech_base!$K169/tech_proj!S293*0.086*$J$132)/(1-tech_proj!S573))</f>
        <v/>
      </c>
      <c r="T1913" s="119" t="str">
        <f>IF(tech_base!$T169&gt;T$1745,"",(tech_base!$K169/tech_proj!T293*0.086*$J$132)/(1-tech_proj!T573))</f>
        <v/>
      </c>
      <c r="U1913" s="119" t="str">
        <f>IF(tech_base!$T169&gt;U$1745,"",(tech_base!$K169/tech_proj!U293*0.086*$J$132)/(1-tech_proj!U573))</f>
        <v/>
      </c>
      <c r="V1913" s="119" t="str">
        <f>IF(tech_base!$T169&gt;V$1745,"",(tech_base!$K169/tech_proj!V293*0.086*$J$132)/(1-tech_proj!V573))</f>
        <v/>
      </c>
      <c r="W1913" s="119" t="str">
        <f>IF(tech_base!$T169&gt;W$1745,"",(tech_base!$K169/tech_proj!W293*0.086*$J$132)/(1-tech_proj!W573))</f>
        <v/>
      </c>
      <c r="X1913" s="119" t="str">
        <f>IF(tech_base!$T169&gt;X$1745,"",(tech_base!$K169/tech_proj!X293*0.086*$J$132)/(1-tech_proj!X573))</f>
        <v/>
      </c>
      <c r="Y1913" s="119" t="str">
        <f>IF(tech_base!$T169&gt;Y$1745,"",(tech_base!$K169/tech_proj!Y293*0.086*$J$132)/(1-tech_proj!Y573))</f>
        <v/>
      </c>
      <c r="Z1913" s="119" t="str">
        <f>IF(tech_base!$T169&gt;Z$1745,"",(tech_base!$K169/tech_proj!Z293*0.086*$J$132)/(1-tech_proj!Z573))</f>
        <v/>
      </c>
      <c r="AA1913" s="119" t="str">
        <f>IF(tech_base!$T169&gt;AA$1745,"",(tech_base!$K169/tech_proj!AA293*0.086*$J$132)/(1-tech_proj!AA573))</f>
        <v/>
      </c>
      <c r="AB1913" s="119" t="str">
        <f>IF(tech_base!$T169&gt;AB$1745,"",(tech_base!$K169/tech_proj!AB293*0.086*$J$132)/(1-tech_proj!AB573))</f>
        <v/>
      </c>
      <c r="AC1913" s="119" t="str">
        <f>IF(tech_base!$T169&gt;AC$1745,"",(tech_base!$K169/tech_proj!AC293*0.086*$J$132)/(1-tech_proj!AC573))</f>
        <v/>
      </c>
      <c r="AD1913" s="119" t="str">
        <f>IF(tech_base!$T169&gt;AD$1745,"",(tech_base!$K169/tech_proj!AD293*0.086*$J$132)/(1-tech_proj!AD573))</f>
        <v/>
      </c>
      <c r="AE1913" s="119">
        <f>IF(tech_base!$T169&gt;AE$1745,"",(tech_base!$K169/tech_proj!AE293*0.086*$J$132)/(1-tech_proj!AE573))</f>
        <v>10.752287426540381</v>
      </c>
      <c r="AF1913" s="119">
        <f>IF(tech_base!$T169&gt;AF$1745,"",(tech_base!$K169/tech_proj!AF293*0.086*$J$132)/(1-tech_proj!AF573))</f>
        <v>10.752287426540381</v>
      </c>
      <c r="AG1913" s="119">
        <f>IF(tech_base!$T169&gt;AG$1745,"",(tech_base!$K169/tech_proj!AG293*0.086*$J$132)/(1-tech_proj!AG573))</f>
        <v>10.752287426540381</v>
      </c>
      <c r="AH1913" s="119">
        <f>IF(tech_base!$T169&gt;AH$1745,"",(tech_base!$K169/tech_proj!AH293*0.086*$J$132)/(1-tech_proj!AH573))</f>
        <v>10.752287426540381</v>
      </c>
      <c r="AI1913" s="119">
        <f>IF(tech_base!$T169&gt;AI$1745,"",(tech_base!$K169/tech_proj!AI293*0.086*$J$132)/(1-tech_proj!AI573))</f>
        <v>10.752287426540381</v>
      </c>
      <c r="AJ1913" s="119">
        <f>IF(tech_base!$T169&gt;AJ$1745,"",(tech_base!$K169/tech_proj!AJ293*0.086*$J$132)/(1-tech_proj!AJ573))</f>
        <v>10.752287426540381</v>
      </c>
      <c r="AK1913" s="119">
        <f>IF(tech_base!$T169&gt;AK$1745,"",(tech_base!$K169/tech_proj!AK293*0.086*$J$132)/(1-tech_proj!AK573))</f>
        <v>10.752287426540381</v>
      </c>
      <c r="AL1913" s="119">
        <f>IF(tech_base!$T169&gt;AL$1745,"",(tech_base!$K169/tech_proj!AL293*0.086*$J$132)/(1-tech_proj!AL573))</f>
        <v>10.752287426540381</v>
      </c>
      <c r="AM1913" s="119">
        <f>IF(tech_base!$T169&gt;AM$1745,"",(tech_base!$K169/tech_proj!AM293*0.086*$J$132)/(1-tech_proj!AM573))</f>
        <v>10.752287426540381</v>
      </c>
      <c r="AN1913" s="119">
        <f>IF(tech_base!$T169&gt;AN$1745,"",(tech_base!$K169/tech_proj!AN293*0.086*$J$132)/(1-tech_proj!AN573))</f>
        <v>10.752287426540381</v>
      </c>
      <c r="AO1913" s="119">
        <f>IF(tech_base!$T169&gt;AO$1745,"",(tech_base!$K169/tech_proj!AO293*0.086*$J$132)/(1-tech_proj!AO573))</f>
        <v>10.752287426540381</v>
      </c>
      <c r="AP1913" s="119">
        <f>IF(tech_base!$T169&gt;AP$1745,"",(tech_base!$K169/tech_proj!AP293*0.086*$J$132)/(1-tech_proj!AP573))</f>
        <v>10.752287426540381</v>
      </c>
      <c r="AQ1913" s="119">
        <f>IF(tech_base!$T169&gt;AQ$1745,"",(tech_base!$K169/tech_proj!AQ293*0.086*$J$132)/(1-tech_proj!AQ573))</f>
        <v>10.752287426540381</v>
      </c>
      <c r="AR1913" s="119">
        <f>IF(tech_base!$T169&gt;AR$1745,"",(tech_base!$K169/tech_proj!AR293*0.086*$J$132)/(1-tech_proj!AR573))</f>
        <v>10.752287426540381</v>
      </c>
      <c r="AS1913" s="119">
        <f>IF(tech_base!$T169&gt;AS$1745,"",(tech_base!$K169/tech_proj!AS293*0.086*$J$132)/(1-tech_proj!AS573))</f>
        <v>10.752287426540381</v>
      </c>
      <c r="AT1913" s="119">
        <f>IF(tech_base!$T169&gt;AT$1745,"",(tech_base!$K169/tech_proj!AT293*0.086*$J$132)/(1-tech_proj!AT573))</f>
        <v>10.752287426540381</v>
      </c>
      <c r="AU1913" s="119">
        <f>IF(tech_base!$T169&gt;AU$1745,"",(tech_base!$K169/tech_proj!AU293*0.086*$J$132)/(1-tech_proj!AU573))</f>
        <v>10.752287426540381</v>
      </c>
      <c r="AV1913" s="119">
        <f>IF(tech_base!$T169&gt;AV$1745,"",(tech_base!$K169/tech_proj!AV293*0.086*$J$132)/(1-tech_proj!AV573))</f>
        <v>10.752287426540381</v>
      </c>
      <c r="AW1913" s="119">
        <f>IF(tech_base!$T169&gt;AW$1745,"",(tech_base!$K169/tech_proj!AW293*0.086*$J$132)/(1-tech_proj!AW573))</f>
        <v>10.752287426540381</v>
      </c>
      <c r="AX1913" s="120">
        <f>IF(tech_base!$T169&gt;AX$1745,"",(tech_base!$K169/tech_proj!AX293*0.086*$J$132)/(1-tech_proj!AX573))</f>
        <v>10.752287426540381</v>
      </c>
    </row>
    <row r="1914" spans="1:50" x14ac:dyDescent="0.25">
      <c r="A1914" s="356"/>
      <c r="B1914" s="380"/>
      <c r="C1914" s="381"/>
      <c r="D1914" s="4" t="s">
        <v>8</v>
      </c>
      <c r="E1914" s="168" t="str">
        <f>A1885&amp;"/"&amp;B1905&amp;"/"&amp;C1913&amp;"/"&amp;D1914</f>
        <v>Diesel oil fired power plants/Steam turbine/CHP with CCS/M</v>
      </c>
      <c r="F1914" s="80" t="str">
        <f>A1885</f>
        <v>Diesel oil fired power plants</v>
      </c>
      <c r="G1914" s="80" t="str">
        <f>B1905</f>
        <v>Steam turbine</v>
      </c>
      <c r="H1914" s="80" t="str">
        <f>C1913</f>
        <v>CHP with CCS</v>
      </c>
      <c r="I1914" s="169" t="str">
        <f t="shared" si="384"/>
        <v>M</v>
      </c>
      <c r="J1914" s="127" t="str">
        <f>IF(tech_base!$T170&gt;J$1745,"",(tech_base!$K170/tech_proj!J294*0.086*$J$132)/(1-tech_proj!J574))</f>
        <v/>
      </c>
      <c r="K1914" s="127" t="str">
        <f>IF(tech_base!$T170&gt;K$1745,"",(tech_base!$K170/tech_proj!K294*0.086*$J$132)/(1-tech_proj!K574))</f>
        <v/>
      </c>
      <c r="L1914" s="127" t="str">
        <f>IF(tech_base!$T170&gt;L$1745,"",(tech_base!$K170/tech_proj!L294*0.086*$J$132)/(1-tech_proj!L574))</f>
        <v/>
      </c>
      <c r="M1914" s="127" t="str">
        <f>IF(tech_base!$T170&gt;M$1745,"",(tech_base!$K170/tech_proj!M294*0.086*$J$132)/(1-tech_proj!M574))</f>
        <v/>
      </c>
      <c r="N1914" s="127" t="str">
        <f>IF(tech_base!$T170&gt;N$1745,"",(tech_base!$K170/tech_proj!N294*0.086*$J$132)/(1-tech_proj!N574))</f>
        <v/>
      </c>
      <c r="O1914" s="127" t="str">
        <f>IF(tech_base!$T170&gt;O$1745,"",(tech_base!$K170/tech_proj!O294*0.086*$J$132)/(1-tech_proj!O574))</f>
        <v/>
      </c>
      <c r="P1914" s="127" t="str">
        <f>IF(tech_base!$T170&gt;P$1745,"",(tech_base!$K170/tech_proj!P294*0.086*$J$132)/(1-tech_proj!P574))</f>
        <v/>
      </c>
      <c r="Q1914" s="127" t="str">
        <f>IF(tech_base!$T170&gt;Q$1745,"",(tech_base!$K170/tech_proj!Q294*0.086*$J$132)/(1-tech_proj!Q574))</f>
        <v/>
      </c>
      <c r="R1914" s="127" t="str">
        <f>IF(tech_base!$T170&gt;R$1745,"",(tech_base!$K170/tech_proj!R294*0.086*$J$132)/(1-tech_proj!R574))</f>
        <v/>
      </c>
      <c r="S1914" s="127" t="str">
        <f>IF(tech_base!$T170&gt;S$1745,"",(tech_base!$K170/tech_proj!S294*0.086*$J$132)/(1-tech_proj!S574))</f>
        <v/>
      </c>
      <c r="T1914" s="127" t="str">
        <f>IF(tech_base!$T170&gt;T$1745,"",(tech_base!$K170/tech_proj!T294*0.086*$J$132)/(1-tech_proj!T574))</f>
        <v/>
      </c>
      <c r="U1914" s="127" t="str">
        <f>IF(tech_base!$T170&gt;U$1745,"",(tech_base!$K170/tech_proj!U294*0.086*$J$132)/(1-tech_proj!U574))</f>
        <v/>
      </c>
      <c r="V1914" s="127" t="str">
        <f>IF(tech_base!$T170&gt;V$1745,"",(tech_base!$K170/tech_proj!V294*0.086*$J$132)/(1-tech_proj!V574))</f>
        <v/>
      </c>
      <c r="W1914" s="127" t="str">
        <f>IF(tech_base!$T170&gt;W$1745,"",(tech_base!$K170/tech_proj!W294*0.086*$J$132)/(1-tech_proj!W574))</f>
        <v/>
      </c>
      <c r="X1914" s="127" t="str">
        <f>IF(tech_base!$T170&gt;X$1745,"",(tech_base!$K170/tech_proj!X294*0.086*$J$132)/(1-tech_proj!X574))</f>
        <v/>
      </c>
      <c r="Y1914" s="127" t="str">
        <f>IF(tech_base!$T170&gt;Y$1745,"",(tech_base!$K170/tech_proj!Y294*0.086*$J$132)/(1-tech_proj!Y574))</f>
        <v/>
      </c>
      <c r="Z1914" s="127" t="str">
        <f>IF(tech_base!$T170&gt;Z$1745,"",(tech_base!$K170/tech_proj!Z294*0.086*$J$132)/(1-tech_proj!Z574))</f>
        <v/>
      </c>
      <c r="AA1914" s="127" t="str">
        <f>IF(tech_base!$T170&gt;AA$1745,"",(tech_base!$K170/tech_proj!AA294*0.086*$J$132)/(1-tech_proj!AA574))</f>
        <v/>
      </c>
      <c r="AB1914" s="127" t="str">
        <f>IF(tech_base!$T170&gt;AB$1745,"",(tech_base!$K170/tech_proj!AB294*0.086*$J$132)/(1-tech_proj!AB574))</f>
        <v/>
      </c>
      <c r="AC1914" s="127" t="str">
        <f>IF(tech_base!$T170&gt;AC$1745,"",(tech_base!$K170/tech_proj!AC294*0.086*$J$132)/(1-tech_proj!AC574))</f>
        <v/>
      </c>
      <c r="AD1914" s="127" t="str">
        <f>IF(tech_base!$T170&gt;AD$1745,"",(tech_base!$K170/tech_proj!AD294*0.086*$J$132)/(1-tech_proj!AD574))</f>
        <v/>
      </c>
      <c r="AE1914" s="127">
        <f>IF(tech_base!$T170&gt;AE$1745,"",(tech_base!$K170/tech_proj!AE294*0.086*$J$132)/(1-tech_proj!AE574))</f>
        <v>11.533861285115815</v>
      </c>
      <c r="AF1914" s="127">
        <f>IF(tech_base!$T170&gt;AF$1745,"",(tech_base!$K170/tech_proj!AF294*0.086*$J$132)/(1-tech_proj!AF574))</f>
        <v>11.533861285115815</v>
      </c>
      <c r="AG1914" s="127">
        <f>IF(tech_base!$T170&gt;AG$1745,"",(tech_base!$K170/tech_proj!AG294*0.086*$J$132)/(1-tech_proj!AG574))</f>
        <v>11.533861285115815</v>
      </c>
      <c r="AH1914" s="127">
        <f>IF(tech_base!$T170&gt;AH$1745,"",(tech_base!$K170/tech_proj!AH294*0.086*$J$132)/(1-tech_proj!AH574))</f>
        <v>11.533861285115815</v>
      </c>
      <c r="AI1914" s="127">
        <f>IF(tech_base!$T170&gt;AI$1745,"",(tech_base!$K170/tech_proj!AI294*0.086*$J$132)/(1-tech_proj!AI574))</f>
        <v>11.533861285115815</v>
      </c>
      <c r="AJ1914" s="127">
        <f>IF(tech_base!$T170&gt;AJ$1745,"",(tech_base!$K170/tech_proj!AJ294*0.086*$J$132)/(1-tech_proj!AJ574))</f>
        <v>11.533861285115815</v>
      </c>
      <c r="AK1914" s="127">
        <f>IF(tech_base!$T170&gt;AK$1745,"",(tech_base!$K170/tech_proj!AK294*0.086*$J$132)/(1-tech_proj!AK574))</f>
        <v>11.533861285115815</v>
      </c>
      <c r="AL1914" s="127">
        <f>IF(tech_base!$T170&gt;AL$1745,"",(tech_base!$K170/tech_proj!AL294*0.086*$J$132)/(1-tech_proj!AL574))</f>
        <v>11.533861285115815</v>
      </c>
      <c r="AM1914" s="127">
        <f>IF(tech_base!$T170&gt;AM$1745,"",(tech_base!$K170/tech_proj!AM294*0.086*$J$132)/(1-tech_proj!AM574))</f>
        <v>11.533861285115815</v>
      </c>
      <c r="AN1914" s="127">
        <f>IF(tech_base!$T170&gt;AN$1745,"",(tech_base!$K170/tech_proj!AN294*0.086*$J$132)/(1-tech_proj!AN574))</f>
        <v>11.533861285115815</v>
      </c>
      <c r="AO1914" s="127">
        <f>IF(tech_base!$T170&gt;AO$1745,"",(tech_base!$K170/tech_proj!AO294*0.086*$J$132)/(1-tech_proj!AO574))</f>
        <v>11.533861285115815</v>
      </c>
      <c r="AP1914" s="127">
        <f>IF(tech_base!$T170&gt;AP$1745,"",(tech_base!$K170/tech_proj!AP294*0.086*$J$132)/(1-tech_proj!AP574))</f>
        <v>11.533861285115815</v>
      </c>
      <c r="AQ1914" s="127">
        <f>IF(tech_base!$T170&gt;AQ$1745,"",(tech_base!$K170/tech_proj!AQ294*0.086*$J$132)/(1-tech_proj!AQ574))</f>
        <v>11.533861285115815</v>
      </c>
      <c r="AR1914" s="127">
        <f>IF(tech_base!$T170&gt;AR$1745,"",(tech_base!$K170/tech_proj!AR294*0.086*$J$132)/(1-tech_proj!AR574))</f>
        <v>11.533861285115815</v>
      </c>
      <c r="AS1914" s="127">
        <f>IF(tech_base!$T170&gt;AS$1745,"",(tech_base!$K170/tech_proj!AS294*0.086*$J$132)/(1-tech_proj!AS574))</f>
        <v>11.533861285115815</v>
      </c>
      <c r="AT1914" s="127">
        <f>IF(tech_base!$T170&gt;AT$1745,"",(tech_base!$K170/tech_proj!AT294*0.086*$J$132)/(1-tech_proj!AT574))</f>
        <v>11.533861285115815</v>
      </c>
      <c r="AU1914" s="127">
        <f>IF(tech_base!$T170&gt;AU$1745,"",(tech_base!$K170/tech_proj!AU294*0.086*$J$132)/(1-tech_proj!AU574))</f>
        <v>11.533861285115815</v>
      </c>
      <c r="AV1914" s="127">
        <f>IF(tech_base!$T170&gt;AV$1745,"",(tech_base!$K170/tech_proj!AV294*0.086*$J$132)/(1-tech_proj!AV574))</f>
        <v>11.533861285115815</v>
      </c>
      <c r="AW1914" s="127">
        <f>IF(tech_base!$T170&gt;AW$1745,"",(tech_base!$K170/tech_proj!AW294*0.086*$J$132)/(1-tech_proj!AW574))</f>
        <v>11.533861285115815</v>
      </c>
      <c r="AX1914" s="128">
        <f>IF(tech_base!$T170&gt;AX$1745,"",(tech_base!$K170/tech_proj!AX294*0.086*$J$132)/(1-tech_proj!AX574))</f>
        <v>11.533861285115815</v>
      </c>
    </row>
    <row r="1915" spans="1:50" x14ac:dyDescent="0.25">
      <c r="A1915" s="356"/>
      <c r="B1915" s="358" t="s">
        <v>25</v>
      </c>
      <c r="C1915" s="353" t="s">
        <v>6</v>
      </c>
      <c r="D1915" s="3" t="s">
        <v>10</v>
      </c>
      <c r="E1915" s="162" t="str">
        <f>A1885&amp;"/"&amp;B1915&amp;"/"&amp;C1915&amp;"/"&amp;D1915</f>
        <v>Diesel oil fired power plants/Internal combustion engine/Electricity only/S</v>
      </c>
      <c r="F1915" s="77" t="str">
        <f>A1885</f>
        <v>Diesel oil fired power plants</v>
      </c>
      <c r="G1915" s="77" t="str">
        <f>B1915</f>
        <v>Internal combustion engine</v>
      </c>
      <c r="H1915" s="77" t="str">
        <f>C1915</f>
        <v>Electricity only</v>
      </c>
      <c r="I1915" s="163" t="str">
        <f t="shared" si="384"/>
        <v>S</v>
      </c>
      <c r="J1915" s="121">
        <f>IF(tech_base!$T171&gt;J$1745,"",(tech_base!$K171/tech_proj!J295*0.086*$J$132)/(1-tech_proj!J575))</f>
        <v>0</v>
      </c>
      <c r="K1915" s="121">
        <f>IF(tech_base!$T171&gt;K$1745,"",(tech_base!$K171/tech_proj!K295*0.086*$J$132)/(1-tech_proj!K575))</f>
        <v>0</v>
      </c>
      <c r="L1915" s="121">
        <f>IF(tech_base!$T171&gt;L$1745,"",(tech_base!$K171/tech_proj!L295*0.086*$J$132)/(1-tech_proj!L575))</f>
        <v>0</v>
      </c>
      <c r="M1915" s="121">
        <f>IF(tech_base!$T171&gt;M$1745,"",(tech_base!$K171/tech_proj!M295*0.086*$J$132)/(1-tech_proj!M575))</f>
        <v>0</v>
      </c>
      <c r="N1915" s="121">
        <f>IF(tech_base!$T171&gt;N$1745,"",(tech_base!$K171/tech_proj!N295*0.086*$J$132)/(1-tech_proj!N575))</f>
        <v>0</v>
      </c>
      <c r="O1915" s="121">
        <f>IF(tech_base!$T171&gt;O$1745,"",(tech_base!$K171/tech_proj!O295*0.086*$J$132)/(1-tech_proj!O575))</f>
        <v>0</v>
      </c>
      <c r="P1915" s="121">
        <f>IF(tech_base!$T171&gt;P$1745,"",(tech_base!$K171/tech_proj!P295*0.086*$J$132)/(1-tech_proj!P575))</f>
        <v>0</v>
      </c>
      <c r="Q1915" s="121">
        <f>IF(tech_base!$T171&gt;Q$1745,"",(tech_base!$K171/tech_proj!Q295*0.086*$J$132)/(1-tech_proj!Q575))</f>
        <v>0</v>
      </c>
      <c r="R1915" s="121">
        <f>IF(tech_base!$T171&gt;R$1745,"",(tech_base!$K171/tech_proj!R295*0.086*$J$132)/(1-tech_proj!R575))</f>
        <v>0</v>
      </c>
      <c r="S1915" s="121">
        <f>IF(tech_base!$T171&gt;S$1745,"",(tech_base!$K171/tech_proj!S295*0.086*$J$132)/(1-tech_proj!S575))</f>
        <v>0</v>
      </c>
      <c r="T1915" s="121">
        <f>IF(tech_base!$T171&gt;T$1745,"",(tech_base!$K171/tech_proj!T295*0.086*$J$132)/(1-tech_proj!T575))</f>
        <v>0</v>
      </c>
      <c r="U1915" s="121">
        <f>IF(tech_base!$T171&gt;U$1745,"",(tech_base!$K171/tech_proj!U295*0.086*$J$132)/(1-tech_proj!U575))</f>
        <v>0</v>
      </c>
      <c r="V1915" s="121">
        <f>IF(tech_base!$T171&gt;V$1745,"",(tech_base!$K171/tech_proj!V295*0.086*$J$132)/(1-tech_proj!V575))</f>
        <v>0</v>
      </c>
      <c r="W1915" s="121">
        <f>IF(tech_base!$T171&gt;W$1745,"",(tech_base!$K171/tech_proj!W295*0.086*$J$132)/(1-tech_proj!W575))</f>
        <v>0</v>
      </c>
      <c r="X1915" s="121">
        <f>IF(tech_base!$T171&gt;X$1745,"",(tech_base!$K171/tech_proj!X295*0.086*$J$132)/(1-tech_proj!X575))</f>
        <v>0</v>
      </c>
      <c r="Y1915" s="121">
        <f>IF(tech_base!$T171&gt;Y$1745,"",(tech_base!$K171/tech_proj!Y295*0.086*$J$132)/(1-tech_proj!Y575))</f>
        <v>0</v>
      </c>
      <c r="Z1915" s="121">
        <f>IF(tech_base!$T171&gt;Z$1745,"",(tech_base!$K171/tech_proj!Z295*0.086*$J$132)/(1-tech_proj!Z575))</f>
        <v>0</v>
      </c>
      <c r="AA1915" s="121">
        <f>IF(tech_base!$T171&gt;AA$1745,"",(tech_base!$K171/tech_proj!AA295*0.086*$J$132)/(1-tech_proj!AA575))</f>
        <v>0</v>
      </c>
      <c r="AB1915" s="121">
        <f>IF(tech_base!$T171&gt;AB$1745,"",(tech_base!$K171/tech_proj!AB295*0.086*$J$132)/(1-tech_proj!AB575))</f>
        <v>0</v>
      </c>
      <c r="AC1915" s="121">
        <f>IF(tech_base!$T171&gt;AC$1745,"",(tech_base!$K171/tech_proj!AC295*0.086*$J$132)/(1-tech_proj!AC575))</f>
        <v>0</v>
      </c>
      <c r="AD1915" s="121">
        <f>IF(tech_base!$T171&gt;AD$1745,"",(tech_base!$K171/tech_proj!AD295*0.086*$J$132)/(1-tech_proj!AD575))</f>
        <v>0</v>
      </c>
      <c r="AE1915" s="121">
        <f>IF(tech_base!$T171&gt;AE$1745,"",(tech_base!$K171/tech_proj!AE295*0.086*$J$132)/(1-tech_proj!AE575))</f>
        <v>0</v>
      </c>
      <c r="AF1915" s="121">
        <f>IF(tech_base!$T171&gt;AF$1745,"",(tech_base!$K171/tech_proj!AF295*0.086*$J$132)/(1-tech_proj!AF575))</f>
        <v>0</v>
      </c>
      <c r="AG1915" s="121">
        <f>IF(tech_base!$T171&gt;AG$1745,"",(tech_base!$K171/tech_proj!AG295*0.086*$J$132)/(1-tech_proj!AG575))</f>
        <v>0</v>
      </c>
      <c r="AH1915" s="121">
        <f>IF(tech_base!$T171&gt;AH$1745,"",(tech_base!$K171/tech_proj!AH295*0.086*$J$132)/(1-tech_proj!AH575))</f>
        <v>0</v>
      </c>
      <c r="AI1915" s="121">
        <f>IF(tech_base!$T171&gt;AI$1745,"",(tech_base!$K171/tech_proj!AI295*0.086*$J$132)/(1-tech_proj!AI575))</f>
        <v>0</v>
      </c>
      <c r="AJ1915" s="121">
        <f>IF(tech_base!$T171&gt;AJ$1745,"",(tech_base!$K171/tech_proj!AJ295*0.086*$J$132)/(1-tech_proj!AJ575))</f>
        <v>0</v>
      </c>
      <c r="AK1915" s="121">
        <f>IF(tech_base!$T171&gt;AK$1745,"",(tech_base!$K171/tech_proj!AK295*0.086*$J$132)/(1-tech_proj!AK575))</f>
        <v>0</v>
      </c>
      <c r="AL1915" s="121">
        <f>IF(tech_base!$T171&gt;AL$1745,"",(tech_base!$K171/tech_proj!AL295*0.086*$J$132)/(1-tech_proj!AL575))</f>
        <v>0</v>
      </c>
      <c r="AM1915" s="121">
        <f>IF(tech_base!$T171&gt;AM$1745,"",(tech_base!$K171/tech_proj!AM295*0.086*$J$132)/(1-tech_proj!AM575))</f>
        <v>0</v>
      </c>
      <c r="AN1915" s="121">
        <f>IF(tech_base!$T171&gt;AN$1745,"",(tech_base!$K171/tech_proj!AN295*0.086*$J$132)/(1-tech_proj!AN575))</f>
        <v>0</v>
      </c>
      <c r="AO1915" s="121">
        <f>IF(tech_base!$T171&gt;AO$1745,"",(tech_base!$K171/tech_proj!AO295*0.086*$J$132)/(1-tech_proj!AO575))</f>
        <v>0</v>
      </c>
      <c r="AP1915" s="121">
        <f>IF(tech_base!$T171&gt;AP$1745,"",(tech_base!$K171/tech_proj!AP295*0.086*$J$132)/(1-tech_proj!AP575))</f>
        <v>0</v>
      </c>
      <c r="AQ1915" s="121">
        <f>IF(tech_base!$T171&gt;AQ$1745,"",(tech_base!$K171/tech_proj!AQ295*0.086*$J$132)/(1-tech_proj!AQ575))</f>
        <v>0</v>
      </c>
      <c r="AR1915" s="121">
        <f>IF(tech_base!$T171&gt;AR$1745,"",(tech_base!$K171/tech_proj!AR295*0.086*$J$132)/(1-tech_proj!AR575))</f>
        <v>0</v>
      </c>
      <c r="AS1915" s="121">
        <f>IF(tech_base!$T171&gt;AS$1745,"",(tech_base!$K171/tech_proj!AS295*0.086*$J$132)/(1-tech_proj!AS575))</f>
        <v>0</v>
      </c>
      <c r="AT1915" s="121">
        <f>IF(tech_base!$T171&gt;AT$1745,"",(tech_base!$K171/tech_proj!AT295*0.086*$J$132)/(1-tech_proj!AT575))</f>
        <v>0</v>
      </c>
      <c r="AU1915" s="121">
        <f>IF(tech_base!$T171&gt;AU$1745,"",(tech_base!$K171/tech_proj!AU295*0.086*$J$132)/(1-tech_proj!AU575))</f>
        <v>0</v>
      </c>
      <c r="AV1915" s="121">
        <f>IF(tech_base!$T171&gt;AV$1745,"",(tech_base!$K171/tech_proj!AV295*0.086*$J$132)/(1-tech_proj!AV575))</f>
        <v>0</v>
      </c>
      <c r="AW1915" s="121">
        <f>IF(tech_base!$T171&gt;AW$1745,"",(tech_base!$K171/tech_proj!AW295*0.086*$J$132)/(1-tech_proj!AW575))</f>
        <v>0</v>
      </c>
      <c r="AX1915" s="122">
        <f>IF(tech_base!$T171&gt;AX$1745,"",(tech_base!$K171/tech_proj!AX295*0.086*$J$132)/(1-tech_proj!AX575))</f>
        <v>0</v>
      </c>
    </row>
    <row r="1916" spans="1:50" x14ac:dyDescent="0.25">
      <c r="A1916" s="356"/>
      <c r="B1916" s="376"/>
      <c r="C1916" s="379"/>
      <c r="D1916" s="59" t="s">
        <v>20</v>
      </c>
      <c r="E1916" s="160" t="str">
        <f>A1885&amp;"/"&amp;B1915&amp;"/"&amp;C1915&amp;"/"&amp;D1916</f>
        <v>Diesel oil fired power plants/Internal combustion engine/Electricity only/XS</v>
      </c>
      <c r="F1916" s="76" t="str">
        <f>A1885</f>
        <v>Diesel oil fired power plants</v>
      </c>
      <c r="G1916" s="76" t="str">
        <f>B1915</f>
        <v>Internal combustion engine</v>
      </c>
      <c r="H1916" s="76" t="str">
        <f>C1915</f>
        <v>Electricity only</v>
      </c>
      <c r="I1916" s="161" t="str">
        <f t="shared" si="384"/>
        <v>XS</v>
      </c>
      <c r="J1916" s="119">
        <f>IF(tech_base!$T172&gt;J$1745,"",(tech_base!$K172/tech_proj!J296*0.086*$J$132)/(1-tech_proj!J576))</f>
        <v>0</v>
      </c>
      <c r="K1916" s="119">
        <f>IF(tech_base!$T172&gt;K$1745,"",(tech_base!$K172/tech_proj!K296*0.086*$J$132)/(1-tech_proj!K576))</f>
        <v>0</v>
      </c>
      <c r="L1916" s="119">
        <f>IF(tech_base!$T172&gt;L$1745,"",(tech_base!$K172/tech_proj!L296*0.086*$J$132)/(1-tech_proj!L576))</f>
        <v>0</v>
      </c>
      <c r="M1916" s="119">
        <f>IF(tech_base!$T172&gt;M$1745,"",(tech_base!$K172/tech_proj!M296*0.086*$J$132)/(1-tech_proj!M576))</f>
        <v>0</v>
      </c>
      <c r="N1916" s="119">
        <f>IF(tech_base!$T172&gt;N$1745,"",(tech_base!$K172/tech_proj!N296*0.086*$J$132)/(1-tech_proj!N576))</f>
        <v>0</v>
      </c>
      <c r="O1916" s="119">
        <f>IF(tech_base!$T172&gt;O$1745,"",(tech_base!$K172/tech_proj!O296*0.086*$J$132)/(1-tech_proj!O576))</f>
        <v>0</v>
      </c>
      <c r="P1916" s="119">
        <f>IF(tech_base!$T172&gt;P$1745,"",(tech_base!$K172/tech_proj!P296*0.086*$J$132)/(1-tech_proj!P576))</f>
        <v>0</v>
      </c>
      <c r="Q1916" s="119">
        <f>IF(tech_base!$T172&gt;Q$1745,"",(tech_base!$K172/tech_proj!Q296*0.086*$J$132)/(1-tech_proj!Q576))</f>
        <v>0</v>
      </c>
      <c r="R1916" s="119">
        <f>IF(tech_base!$T172&gt;R$1745,"",(tech_base!$K172/tech_proj!R296*0.086*$J$132)/(1-tech_proj!R576))</f>
        <v>0</v>
      </c>
      <c r="S1916" s="119">
        <f>IF(tech_base!$T172&gt;S$1745,"",(tech_base!$K172/tech_proj!S296*0.086*$J$132)/(1-tech_proj!S576))</f>
        <v>0</v>
      </c>
      <c r="T1916" s="119">
        <f>IF(tech_base!$T172&gt;T$1745,"",(tech_base!$K172/tech_proj!T296*0.086*$J$132)/(1-tech_proj!T576))</f>
        <v>0</v>
      </c>
      <c r="U1916" s="119">
        <f>IF(tech_base!$T172&gt;U$1745,"",(tech_base!$K172/tech_proj!U296*0.086*$J$132)/(1-tech_proj!U576))</f>
        <v>0</v>
      </c>
      <c r="V1916" s="119">
        <f>IF(tech_base!$T172&gt;V$1745,"",(tech_base!$K172/tech_proj!V296*0.086*$J$132)/(1-tech_proj!V576))</f>
        <v>0</v>
      </c>
      <c r="W1916" s="119">
        <f>IF(tech_base!$T172&gt;W$1745,"",(tech_base!$K172/tech_proj!W296*0.086*$J$132)/(1-tech_proj!W576))</f>
        <v>0</v>
      </c>
      <c r="X1916" s="119">
        <f>IF(tech_base!$T172&gt;X$1745,"",(tech_base!$K172/tech_proj!X296*0.086*$J$132)/(1-tech_proj!X576))</f>
        <v>0</v>
      </c>
      <c r="Y1916" s="119">
        <f>IF(tech_base!$T172&gt;Y$1745,"",(tech_base!$K172/tech_proj!Y296*0.086*$J$132)/(1-tech_proj!Y576))</f>
        <v>0</v>
      </c>
      <c r="Z1916" s="119">
        <f>IF(tech_base!$T172&gt;Z$1745,"",(tech_base!$K172/tech_proj!Z296*0.086*$J$132)/(1-tech_proj!Z576))</f>
        <v>0</v>
      </c>
      <c r="AA1916" s="119">
        <f>IF(tech_base!$T172&gt;AA$1745,"",(tech_base!$K172/tech_proj!AA296*0.086*$J$132)/(1-tech_proj!AA576))</f>
        <v>0</v>
      </c>
      <c r="AB1916" s="119">
        <f>IF(tech_base!$T172&gt;AB$1745,"",(tech_base!$K172/tech_proj!AB296*0.086*$J$132)/(1-tech_proj!AB576))</f>
        <v>0</v>
      </c>
      <c r="AC1916" s="119">
        <f>IF(tech_base!$T172&gt;AC$1745,"",(tech_base!$K172/tech_proj!AC296*0.086*$J$132)/(1-tech_proj!AC576))</f>
        <v>0</v>
      </c>
      <c r="AD1916" s="119">
        <f>IF(tech_base!$T172&gt;AD$1745,"",(tech_base!$K172/tech_proj!AD296*0.086*$J$132)/(1-tech_proj!AD576))</f>
        <v>0</v>
      </c>
      <c r="AE1916" s="119">
        <f>IF(tech_base!$T172&gt;AE$1745,"",(tech_base!$K172/tech_proj!AE296*0.086*$J$132)/(1-tech_proj!AE576))</f>
        <v>0</v>
      </c>
      <c r="AF1916" s="119">
        <f>IF(tech_base!$T172&gt;AF$1745,"",(tech_base!$K172/tech_proj!AF296*0.086*$J$132)/(1-tech_proj!AF576))</f>
        <v>0</v>
      </c>
      <c r="AG1916" s="119">
        <f>IF(tech_base!$T172&gt;AG$1745,"",(tech_base!$K172/tech_proj!AG296*0.086*$J$132)/(1-tech_proj!AG576))</f>
        <v>0</v>
      </c>
      <c r="AH1916" s="119">
        <f>IF(tech_base!$T172&gt;AH$1745,"",(tech_base!$K172/tech_proj!AH296*0.086*$J$132)/(1-tech_proj!AH576))</f>
        <v>0</v>
      </c>
      <c r="AI1916" s="119">
        <f>IF(tech_base!$T172&gt;AI$1745,"",(tech_base!$K172/tech_proj!AI296*0.086*$J$132)/(1-tech_proj!AI576))</f>
        <v>0</v>
      </c>
      <c r="AJ1916" s="119">
        <f>IF(tech_base!$T172&gt;AJ$1745,"",(tech_base!$K172/tech_proj!AJ296*0.086*$J$132)/(1-tech_proj!AJ576))</f>
        <v>0</v>
      </c>
      <c r="AK1916" s="119">
        <f>IF(tech_base!$T172&gt;AK$1745,"",(tech_base!$K172/tech_proj!AK296*0.086*$J$132)/(1-tech_proj!AK576))</f>
        <v>0</v>
      </c>
      <c r="AL1916" s="119">
        <f>IF(tech_base!$T172&gt;AL$1745,"",(tech_base!$K172/tech_proj!AL296*0.086*$J$132)/(1-tech_proj!AL576))</f>
        <v>0</v>
      </c>
      <c r="AM1916" s="119">
        <f>IF(tech_base!$T172&gt;AM$1745,"",(tech_base!$K172/tech_proj!AM296*0.086*$J$132)/(1-tech_proj!AM576))</f>
        <v>0</v>
      </c>
      <c r="AN1916" s="119">
        <f>IF(tech_base!$T172&gt;AN$1745,"",(tech_base!$K172/tech_proj!AN296*0.086*$J$132)/(1-tech_proj!AN576))</f>
        <v>0</v>
      </c>
      <c r="AO1916" s="119">
        <f>IF(tech_base!$T172&gt;AO$1745,"",(tech_base!$K172/tech_proj!AO296*0.086*$J$132)/(1-tech_proj!AO576))</f>
        <v>0</v>
      </c>
      <c r="AP1916" s="119">
        <f>IF(tech_base!$T172&gt;AP$1745,"",(tech_base!$K172/tech_proj!AP296*0.086*$J$132)/(1-tech_proj!AP576))</f>
        <v>0</v>
      </c>
      <c r="AQ1916" s="119">
        <f>IF(tech_base!$T172&gt;AQ$1745,"",(tech_base!$K172/tech_proj!AQ296*0.086*$J$132)/(1-tech_proj!AQ576))</f>
        <v>0</v>
      </c>
      <c r="AR1916" s="119">
        <f>IF(tech_base!$T172&gt;AR$1745,"",(tech_base!$K172/tech_proj!AR296*0.086*$J$132)/(1-tech_proj!AR576))</f>
        <v>0</v>
      </c>
      <c r="AS1916" s="119">
        <f>IF(tech_base!$T172&gt;AS$1745,"",(tech_base!$K172/tech_proj!AS296*0.086*$J$132)/(1-tech_proj!AS576))</f>
        <v>0</v>
      </c>
      <c r="AT1916" s="119">
        <f>IF(tech_base!$T172&gt;AT$1745,"",(tech_base!$K172/tech_proj!AT296*0.086*$J$132)/(1-tech_proj!AT576))</f>
        <v>0</v>
      </c>
      <c r="AU1916" s="119">
        <f>IF(tech_base!$T172&gt;AU$1745,"",(tech_base!$K172/tech_proj!AU296*0.086*$J$132)/(1-tech_proj!AU576))</f>
        <v>0</v>
      </c>
      <c r="AV1916" s="119">
        <f>IF(tech_base!$T172&gt;AV$1745,"",(tech_base!$K172/tech_proj!AV296*0.086*$J$132)/(1-tech_proj!AV576))</f>
        <v>0</v>
      </c>
      <c r="AW1916" s="119">
        <f>IF(tech_base!$T172&gt;AW$1745,"",(tech_base!$K172/tech_proj!AW296*0.086*$J$132)/(1-tech_proj!AW576))</f>
        <v>0</v>
      </c>
      <c r="AX1916" s="120">
        <f>IF(tech_base!$T172&gt;AX$1745,"",(tech_base!$K172/tech_proj!AX296*0.086*$J$132)/(1-tech_proj!AX576))</f>
        <v>0</v>
      </c>
    </row>
    <row r="1917" spans="1:50" x14ac:dyDescent="0.25">
      <c r="A1917" s="356"/>
      <c r="B1917" s="376"/>
      <c r="C1917" s="350" t="s">
        <v>14</v>
      </c>
      <c r="D1917" s="2" t="s">
        <v>10</v>
      </c>
      <c r="E1917" s="164" t="str">
        <f>A1885&amp;"/"&amp;B1915&amp;"/"&amp;C1917&amp;"/"&amp;D1917</f>
        <v>Diesel oil fired power plants/Internal combustion engine/CHP/S</v>
      </c>
      <c r="F1917" s="78" t="str">
        <f>A1885</f>
        <v>Diesel oil fired power plants</v>
      </c>
      <c r="G1917" s="78" t="str">
        <f>B1915</f>
        <v>Internal combustion engine</v>
      </c>
      <c r="H1917" s="78" t="str">
        <f>C1917</f>
        <v>CHP</v>
      </c>
      <c r="I1917" s="165" t="str">
        <f t="shared" si="384"/>
        <v>S</v>
      </c>
      <c r="J1917" s="123">
        <f>IF(tech_base!$T173&gt;J$1745,"",(tech_base!$K173/tech_proj!J297*0.086*$J$132)/(1-tech_proj!J577))</f>
        <v>0</v>
      </c>
      <c r="K1917" s="123">
        <f>IF(tech_base!$T173&gt;K$1745,"",(tech_base!$K173/tech_proj!K297*0.086*$J$132)/(1-tech_proj!K577))</f>
        <v>0</v>
      </c>
      <c r="L1917" s="123">
        <f>IF(tech_base!$T173&gt;L$1745,"",(tech_base!$K173/tech_proj!L297*0.086*$J$132)/(1-tech_proj!L577))</f>
        <v>0</v>
      </c>
      <c r="M1917" s="123">
        <f>IF(tech_base!$T173&gt;M$1745,"",(tech_base!$K173/tech_proj!M297*0.086*$J$132)/(1-tech_proj!M577))</f>
        <v>0</v>
      </c>
      <c r="N1917" s="123">
        <f>IF(tech_base!$T173&gt;N$1745,"",(tech_base!$K173/tech_proj!N297*0.086*$J$132)/(1-tech_proj!N577))</f>
        <v>0</v>
      </c>
      <c r="O1917" s="123">
        <f>IF(tech_base!$T173&gt;O$1745,"",(tech_base!$K173/tech_proj!O297*0.086*$J$132)/(1-tech_proj!O577))</f>
        <v>0</v>
      </c>
      <c r="P1917" s="123">
        <f>IF(tech_base!$T173&gt;P$1745,"",(tech_base!$K173/tech_proj!P297*0.086*$J$132)/(1-tech_proj!P577))</f>
        <v>0</v>
      </c>
      <c r="Q1917" s="123">
        <f>IF(tech_base!$T173&gt;Q$1745,"",(tech_base!$K173/tech_proj!Q297*0.086*$J$132)/(1-tech_proj!Q577))</f>
        <v>0</v>
      </c>
      <c r="R1917" s="123">
        <f>IF(tech_base!$T173&gt;R$1745,"",(tech_base!$K173/tech_proj!R297*0.086*$J$132)/(1-tech_proj!R577))</f>
        <v>0</v>
      </c>
      <c r="S1917" s="123">
        <f>IF(tech_base!$T173&gt;S$1745,"",(tech_base!$K173/tech_proj!S297*0.086*$J$132)/(1-tech_proj!S577))</f>
        <v>0</v>
      </c>
      <c r="T1917" s="123">
        <f>IF(tech_base!$T173&gt;T$1745,"",(tech_base!$K173/tech_proj!T297*0.086*$J$132)/(1-tech_proj!T577))</f>
        <v>0</v>
      </c>
      <c r="U1917" s="123">
        <f>IF(tech_base!$T173&gt;U$1745,"",(tech_base!$K173/tech_proj!U297*0.086*$J$132)/(1-tech_proj!U577))</f>
        <v>0</v>
      </c>
      <c r="V1917" s="123">
        <f>IF(tech_base!$T173&gt;V$1745,"",(tech_base!$K173/tech_proj!V297*0.086*$J$132)/(1-tech_proj!V577))</f>
        <v>0</v>
      </c>
      <c r="W1917" s="123">
        <f>IF(tech_base!$T173&gt;W$1745,"",(tech_base!$K173/tech_proj!W297*0.086*$J$132)/(1-tech_proj!W577))</f>
        <v>0</v>
      </c>
      <c r="X1917" s="123">
        <f>IF(tech_base!$T173&gt;X$1745,"",(tech_base!$K173/tech_proj!X297*0.086*$J$132)/(1-tech_proj!X577))</f>
        <v>0</v>
      </c>
      <c r="Y1917" s="123">
        <f>IF(tech_base!$T173&gt;Y$1745,"",(tech_base!$K173/tech_proj!Y297*0.086*$J$132)/(1-tech_proj!Y577))</f>
        <v>0</v>
      </c>
      <c r="Z1917" s="123">
        <f>IF(tech_base!$T173&gt;Z$1745,"",(tech_base!$K173/tech_proj!Z297*0.086*$J$132)/(1-tech_proj!Z577))</f>
        <v>0</v>
      </c>
      <c r="AA1917" s="123">
        <f>IF(tech_base!$T173&gt;AA$1745,"",(tech_base!$K173/tech_proj!AA297*0.086*$J$132)/(1-tech_proj!AA577))</f>
        <v>0</v>
      </c>
      <c r="AB1917" s="123">
        <f>IF(tech_base!$T173&gt;AB$1745,"",(tech_base!$K173/tech_proj!AB297*0.086*$J$132)/(1-tech_proj!AB577))</f>
        <v>0</v>
      </c>
      <c r="AC1917" s="123">
        <f>IF(tech_base!$T173&gt;AC$1745,"",(tech_base!$K173/tech_proj!AC297*0.086*$J$132)/(1-tech_proj!AC577))</f>
        <v>0</v>
      </c>
      <c r="AD1917" s="123">
        <f>IF(tech_base!$T173&gt;AD$1745,"",(tech_base!$K173/tech_proj!AD297*0.086*$J$132)/(1-tech_proj!AD577))</f>
        <v>0</v>
      </c>
      <c r="AE1917" s="123">
        <f>IF(tech_base!$T173&gt;AE$1745,"",(tech_base!$K173/tech_proj!AE297*0.086*$J$132)/(1-tech_proj!AE577))</f>
        <v>0</v>
      </c>
      <c r="AF1917" s="123">
        <f>IF(tech_base!$T173&gt;AF$1745,"",(tech_base!$K173/tech_proj!AF297*0.086*$J$132)/(1-tech_proj!AF577))</f>
        <v>0</v>
      </c>
      <c r="AG1917" s="123">
        <f>IF(tech_base!$T173&gt;AG$1745,"",(tech_base!$K173/tech_proj!AG297*0.086*$J$132)/(1-tech_proj!AG577))</f>
        <v>0</v>
      </c>
      <c r="AH1917" s="123">
        <f>IF(tech_base!$T173&gt;AH$1745,"",(tech_base!$K173/tech_proj!AH297*0.086*$J$132)/(1-tech_proj!AH577))</f>
        <v>0</v>
      </c>
      <c r="AI1917" s="123">
        <f>IF(tech_base!$T173&gt;AI$1745,"",(tech_base!$K173/tech_proj!AI297*0.086*$J$132)/(1-tech_proj!AI577))</f>
        <v>0</v>
      </c>
      <c r="AJ1917" s="123">
        <f>IF(tech_base!$T173&gt;AJ$1745,"",(tech_base!$K173/tech_proj!AJ297*0.086*$J$132)/(1-tech_proj!AJ577))</f>
        <v>0</v>
      </c>
      <c r="AK1917" s="123">
        <f>IF(tech_base!$T173&gt;AK$1745,"",(tech_base!$K173/tech_proj!AK297*0.086*$J$132)/(1-tech_proj!AK577))</f>
        <v>0</v>
      </c>
      <c r="AL1917" s="123">
        <f>IF(tech_base!$T173&gt;AL$1745,"",(tech_base!$K173/tech_proj!AL297*0.086*$J$132)/(1-tech_proj!AL577))</f>
        <v>0</v>
      </c>
      <c r="AM1917" s="123">
        <f>IF(tech_base!$T173&gt;AM$1745,"",(tech_base!$K173/tech_proj!AM297*0.086*$J$132)/(1-tech_proj!AM577))</f>
        <v>0</v>
      </c>
      <c r="AN1917" s="123">
        <f>IF(tech_base!$T173&gt;AN$1745,"",(tech_base!$K173/tech_proj!AN297*0.086*$J$132)/(1-tech_proj!AN577))</f>
        <v>0</v>
      </c>
      <c r="AO1917" s="123">
        <f>IF(tech_base!$T173&gt;AO$1745,"",(tech_base!$K173/tech_proj!AO297*0.086*$J$132)/(1-tech_proj!AO577))</f>
        <v>0</v>
      </c>
      <c r="AP1917" s="123">
        <f>IF(tech_base!$T173&gt;AP$1745,"",(tech_base!$K173/tech_proj!AP297*0.086*$J$132)/(1-tech_proj!AP577))</f>
        <v>0</v>
      </c>
      <c r="AQ1917" s="123">
        <f>IF(tech_base!$T173&gt;AQ$1745,"",(tech_base!$K173/tech_proj!AQ297*0.086*$J$132)/(1-tech_proj!AQ577))</f>
        <v>0</v>
      </c>
      <c r="AR1917" s="123">
        <f>IF(tech_base!$T173&gt;AR$1745,"",(tech_base!$K173/tech_proj!AR297*0.086*$J$132)/(1-tech_proj!AR577))</f>
        <v>0</v>
      </c>
      <c r="AS1917" s="123">
        <f>IF(tech_base!$T173&gt;AS$1745,"",(tech_base!$K173/tech_proj!AS297*0.086*$J$132)/(1-tech_proj!AS577))</f>
        <v>0</v>
      </c>
      <c r="AT1917" s="123">
        <f>IF(tech_base!$T173&gt;AT$1745,"",(tech_base!$K173/tech_proj!AT297*0.086*$J$132)/(1-tech_proj!AT577))</f>
        <v>0</v>
      </c>
      <c r="AU1917" s="123">
        <f>IF(tech_base!$T173&gt;AU$1745,"",(tech_base!$K173/tech_proj!AU297*0.086*$J$132)/(1-tech_proj!AU577))</f>
        <v>0</v>
      </c>
      <c r="AV1917" s="123">
        <f>IF(tech_base!$T173&gt;AV$1745,"",(tech_base!$K173/tech_proj!AV297*0.086*$J$132)/(1-tech_proj!AV577))</f>
        <v>0</v>
      </c>
      <c r="AW1917" s="123">
        <f>IF(tech_base!$T173&gt;AW$1745,"",(tech_base!$K173/tech_proj!AW297*0.086*$J$132)/(1-tech_proj!AW577))</f>
        <v>0</v>
      </c>
      <c r="AX1917" s="124">
        <f>IF(tech_base!$T173&gt;AX$1745,"",(tech_base!$K173/tech_proj!AX297*0.086*$J$132)/(1-tech_proj!AX577))</f>
        <v>0</v>
      </c>
    </row>
    <row r="1918" spans="1:50" x14ac:dyDescent="0.25">
      <c r="A1918" s="357"/>
      <c r="B1918" s="380"/>
      <c r="C1918" s="381"/>
      <c r="D1918" s="4" t="s">
        <v>20</v>
      </c>
      <c r="E1918" s="168" t="str">
        <f>A1885&amp;"/"&amp;B1915&amp;"/"&amp;C1917&amp;"/"&amp;D1918</f>
        <v>Diesel oil fired power plants/Internal combustion engine/CHP/XS</v>
      </c>
      <c r="F1918" s="80" t="str">
        <f>A1885</f>
        <v>Diesel oil fired power plants</v>
      </c>
      <c r="G1918" s="80" t="str">
        <f>B1915</f>
        <v>Internal combustion engine</v>
      </c>
      <c r="H1918" s="80" t="str">
        <f>C1917</f>
        <v>CHP</v>
      </c>
      <c r="I1918" s="169" t="str">
        <f t="shared" si="384"/>
        <v>XS</v>
      </c>
      <c r="J1918" s="127">
        <f>IF(tech_base!$T174&gt;J$1745,"",(tech_base!$K174/tech_proj!J298*0.086*$J$132)/(1-tech_proj!J578))</f>
        <v>0</v>
      </c>
      <c r="K1918" s="127">
        <f>IF(tech_base!$T174&gt;K$1745,"",(tech_base!$K174/tech_proj!K298*0.086*$J$132)/(1-tech_proj!K578))</f>
        <v>0</v>
      </c>
      <c r="L1918" s="127">
        <f>IF(tech_base!$T174&gt;L$1745,"",(tech_base!$K174/tech_proj!L298*0.086*$J$132)/(1-tech_proj!L578))</f>
        <v>0</v>
      </c>
      <c r="M1918" s="127">
        <f>IF(tech_base!$T174&gt;M$1745,"",(tech_base!$K174/tech_proj!M298*0.086*$J$132)/(1-tech_proj!M578))</f>
        <v>0</v>
      </c>
      <c r="N1918" s="127">
        <f>IF(tech_base!$T174&gt;N$1745,"",(tech_base!$K174/tech_proj!N298*0.086*$J$132)/(1-tech_proj!N578))</f>
        <v>0</v>
      </c>
      <c r="O1918" s="127">
        <f>IF(tech_base!$T174&gt;O$1745,"",(tech_base!$K174/tech_proj!O298*0.086*$J$132)/(1-tech_proj!O578))</f>
        <v>0</v>
      </c>
      <c r="P1918" s="127">
        <f>IF(tech_base!$T174&gt;P$1745,"",(tech_base!$K174/tech_proj!P298*0.086*$J$132)/(1-tech_proj!P578))</f>
        <v>0</v>
      </c>
      <c r="Q1918" s="127">
        <f>IF(tech_base!$T174&gt;Q$1745,"",(tech_base!$K174/tech_proj!Q298*0.086*$J$132)/(1-tech_proj!Q578))</f>
        <v>0</v>
      </c>
      <c r="R1918" s="127">
        <f>IF(tech_base!$T174&gt;R$1745,"",(tech_base!$K174/tech_proj!R298*0.086*$J$132)/(1-tech_proj!R578))</f>
        <v>0</v>
      </c>
      <c r="S1918" s="127">
        <f>IF(tech_base!$T174&gt;S$1745,"",(tech_base!$K174/tech_proj!S298*0.086*$J$132)/(1-tech_proj!S578))</f>
        <v>0</v>
      </c>
      <c r="T1918" s="127">
        <f>IF(tech_base!$T174&gt;T$1745,"",(tech_base!$K174/tech_proj!T298*0.086*$J$132)/(1-tech_proj!T578))</f>
        <v>0</v>
      </c>
      <c r="U1918" s="127">
        <f>IF(tech_base!$T174&gt;U$1745,"",(tech_base!$K174/tech_proj!U298*0.086*$J$132)/(1-tech_proj!U578))</f>
        <v>0</v>
      </c>
      <c r="V1918" s="127">
        <f>IF(tech_base!$T174&gt;V$1745,"",(tech_base!$K174/tech_proj!V298*0.086*$J$132)/(1-tech_proj!V578))</f>
        <v>0</v>
      </c>
      <c r="W1918" s="127">
        <f>IF(tech_base!$T174&gt;W$1745,"",(tech_base!$K174/tech_proj!W298*0.086*$J$132)/(1-tech_proj!W578))</f>
        <v>0</v>
      </c>
      <c r="X1918" s="127">
        <f>IF(tech_base!$T174&gt;X$1745,"",(tech_base!$K174/tech_proj!X298*0.086*$J$132)/(1-tech_proj!X578))</f>
        <v>0</v>
      </c>
      <c r="Y1918" s="127">
        <f>IF(tech_base!$T174&gt;Y$1745,"",(tech_base!$K174/tech_proj!Y298*0.086*$J$132)/(1-tech_proj!Y578))</f>
        <v>0</v>
      </c>
      <c r="Z1918" s="127">
        <f>IF(tech_base!$T174&gt;Z$1745,"",(tech_base!$K174/tech_proj!Z298*0.086*$J$132)/(1-tech_proj!Z578))</f>
        <v>0</v>
      </c>
      <c r="AA1918" s="127">
        <f>IF(tech_base!$T174&gt;AA$1745,"",(tech_base!$K174/tech_proj!AA298*0.086*$J$132)/(1-tech_proj!AA578))</f>
        <v>0</v>
      </c>
      <c r="AB1918" s="127">
        <f>IF(tech_base!$T174&gt;AB$1745,"",(tech_base!$K174/tech_proj!AB298*0.086*$J$132)/(1-tech_proj!AB578))</f>
        <v>0</v>
      </c>
      <c r="AC1918" s="127">
        <f>IF(tech_base!$T174&gt;AC$1745,"",(tech_base!$K174/tech_proj!AC298*0.086*$J$132)/(1-tech_proj!AC578))</f>
        <v>0</v>
      </c>
      <c r="AD1918" s="127">
        <f>IF(tech_base!$T174&gt;AD$1745,"",(tech_base!$K174/tech_proj!AD298*0.086*$J$132)/(1-tech_proj!AD578))</f>
        <v>0</v>
      </c>
      <c r="AE1918" s="127">
        <f>IF(tech_base!$T174&gt;AE$1745,"",(tech_base!$K174/tech_proj!AE298*0.086*$J$132)/(1-tech_proj!AE578))</f>
        <v>0</v>
      </c>
      <c r="AF1918" s="127">
        <f>IF(tech_base!$T174&gt;AF$1745,"",(tech_base!$K174/tech_proj!AF298*0.086*$J$132)/(1-tech_proj!AF578))</f>
        <v>0</v>
      </c>
      <c r="AG1918" s="127">
        <f>IF(tech_base!$T174&gt;AG$1745,"",(tech_base!$K174/tech_proj!AG298*0.086*$J$132)/(1-tech_proj!AG578))</f>
        <v>0</v>
      </c>
      <c r="AH1918" s="127">
        <f>IF(tech_base!$T174&gt;AH$1745,"",(tech_base!$K174/tech_proj!AH298*0.086*$J$132)/(1-tech_proj!AH578))</f>
        <v>0</v>
      </c>
      <c r="AI1918" s="127">
        <f>IF(tech_base!$T174&gt;AI$1745,"",(tech_base!$K174/tech_proj!AI298*0.086*$J$132)/(1-tech_proj!AI578))</f>
        <v>0</v>
      </c>
      <c r="AJ1918" s="127">
        <f>IF(tech_base!$T174&gt;AJ$1745,"",(tech_base!$K174/tech_proj!AJ298*0.086*$J$132)/(1-tech_proj!AJ578))</f>
        <v>0</v>
      </c>
      <c r="AK1918" s="127">
        <f>IF(tech_base!$T174&gt;AK$1745,"",(tech_base!$K174/tech_proj!AK298*0.086*$J$132)/(1-tech_proj!AK578))</f>
        <v>0</v>
      </c>
      <c r="AL1918" s="127">
        <f>IF(tech_base!$T174&gt;AL$1745,"",(tech_base!$K174/tech_proj!AL298*0.086*$J$132)/(1-tech_proj!AL578))</f>
        <v>0</v>
      </c>
      <c r="AM1918" s="127">
        <f>IF(tech_base!$T174&gt;AM$1745,"",(tech_base!$K174/tech_proj!AM298*0.086*$J$132)/(1-tech_proj!AM578))</f>
        <v>0</v>
      </c>
      <c r="AN1918" s="127">
        <f>IF(tech_base!$T174&gt;AN$1745,"",(tech_base!$K174/tech_proj!AN298*0.086*$J$132)/(1-tech_proj!AN578))</f>
        <v>0</v>
      </c>
      <c r="AO1918" s="127">
        <f>IF(tech_base!$T174&gt;AO$1745,"",(tech_base!$K174/tech_proj!AO298*0.086*$J$132)/(1-tech_proj!AO578))</f>
        <v>0</v>
      </c>
      <c r="AP1918" s="127">
        <f>IF(tech_base!$T174&gt;AP$1745,"",(tech_base!$K174/tech_proj!AP298*0.086*$J$132)/(1-tech_proj!AP578))</f>
        <v>0</v>
      </c>
      <c r="AQ1918" s="127">
        <f>IF(tech_base!$T174&gt;AQ$1745,"",(tech_base!$K174/tech_proj!AQ298*0.086*$J$132)/(1-tech_proj!AQ578))</f>
        <v>0</v>
      </c>
      <c r="AR1918" s="127">
        <f>IF(tech_base!$T174&gt;AR$1745,"",(tech_base!$K174/tech_proj!AR298*0.086*$J$132)/(1-tech_proj!AR578))</f>
        <v>0</v>
      </c>
      <c r="AS1918" s="127">
        <f>IF(tech_base!$T174&gt;AS$1745,"",(tech_base!$K174/tech_proj!AS298*0.086*$J$132)/(1-tech_proj!AS578))</f>
        <v>0</v>
      </c>
      <c r="AT1918" s="127">
        <f>IF(tech_base!$T174&gt;AT$1745,"",(tech_base!$K174/tech_proj!AT298*0.086*$J$132)/(1-tech_proj!AT578))</f>
        <v>0</v>
      </c>
      <c r="AU1918" s="127">
        <f>IF(tech_base!$T174&gt;AU$1745,"",(tech_base!$K174/tech_proj!AU298*0.086*$J$132)/(1-tech_proj!AU578))</f>
        <v>0</v>
      </c>
      <c r="AV1918" s="127">
        <f>IF(tech_base!$T174&gt;AV$1745,"",(tech_base!$K174/tech_proj!AV298*0.086*$J$132)/(1-tech_proj!AV578))</f>
        <v>0</v>
      </c>
      <c r="AW1918" s="127">
        <f>IF(tech_base!$T174&gt;AW$1745,"",(tech_base!$K174/tech_proj!AW298*0.086*$J$132)/(1-tech_proj!AW578))</f>
        <v>0</v>
      </c>
      <c r="AX1918" s="128">
        <f>IF(tech_base!$T174&gt;AX$1745,"",(tech_base!$K174/tech_proj!AX298*0.086*$J$132)/(1-tech_proj!AX578))</f>
        <v>0</v>
      </c>
    </row>
    <row r="1919" spans="1:50" x14ac:dyDescent="0.25">
      <c r="A1919" s="355" t="s">
        <v>29</v>
      </c>
      <c r="B1919" s="358" t="s">
        <v>13</v>
      </c>
      <c r="C1919" s="353" t="s">
        <v>6</v>
      </c>
      <c r="D1919" s="3" t="s">
        <v>7</v>
      </c>
      <c r="E1919" s="162" t="str">
        <f>A1919&amp;"/"&amp;B1919&amp;"/"&amp;C1919&amp;"/"&amp;D1919</f>
        <v>Fuel oil fired power plants/Integrated gasification combined cycle/Electricity only/L</v>
      </c>
      <c r="F1919" s="77" t="str">
        <f>A1919</f>
        <v>Fuel oil fired power plants</v>
      </c>
      <c r="G1919" s="77" t="str">
        <f>B1919</f>
        <v>Integrated gasification combined cycle</v>
      </c>
      <c r="H1919" s="77" t="str">
        <f>C1919</f>
        <v>Electricity only</v>
      </c>
      <c r="I1919" s="163" t="str">
        <f t="shared" si="384"/>
        <v>L</v>
      </c>
      <c r="J1919" s="121">
        <f>IF(tech_base!$T175&gt;J$1745,"",(tech_base!$K175/tech_proj!J299*0.086*$J$132)/(1-tech_proj!J579))</f>
        <v>0</v>
      </c>
      <c r="K1919" s="121">
        <f>IF(tech_base!$T175&gt;K$1745,"",(tech_base!$K175/tech_proj!K299*0.086*$J$132)/(1-tech_proj!K579))</f>
        <v>0</v>
      </c>
      <c r="L1919" s="121">
        <f>IF(tech_base!$T175&gt;L$1745,"",(tech_base!$K175/tech_proj!L299*0.086*$J$132)/(1-tech_proj!L579))</f>
        <v>0</v>
      </c>
      <c r="M1919" s="121">
        <f>IF(tech_base!$T175&gt;M$1745,"",(tech_base!$K175/tech_proj!M299*0.086*$J$132)/(1-tech_proj!M579))</f>
        <v>0</v>
      </c>
      <c r="N1919" s="121">
        <f>IF(tech_base!$T175&gt;N$1745,"",(tech_base!$K175/tech_proj!N299*0.086*$J$132)/(1-tech_proj!N579))</f>
        <v>0</v>
      </c>
      <c r="O1919" s="121">
        <f>IF(tech_base!$T175&gt;O$1745,"",(tech_base!$K175/tech_proj!O299*0.086*$J$132)/(1-tech_proj!O579))</f>
        <v>0</v>
      </c>
      <c r="P1919" s="121">
        <f>IF(tech_base!$T175&gt;P$1745,"",(tech_base!$K175/tech_proj!P299*0.086*$J$132)/(1-tech_proj!P579))</f>
        <v>0</v>
      </c>
      <c r="Q1919" s="121">
        <f>IF(tech_base!$T175&gt;Q$1745,"",(tech_base!$K175/tech_proj!Q299*0.086*$J$132)/(1-tech_proj!Q579))</f>
        <v>0</v>
      </c>
      <c r="R1919" s="121">
        <f>IF(tech_base!$T175&gt;R$1745,"",(tech_base!$K175/tech_proj!R299*0.086*$J$132)/(1-tech_proj!R579))</f>
        <v>0</v>
      </c>
      <c r="S1919" s="121">
        <f>IF(tech_base!$T175&gt;S$1745,"",(tech_base!$K175/tech_proj!S299*0.086*$J$132)/(1-tech_proj!S579))</f>
        <v>0</v>
      </c>
      <c r="T1919" s="121">
        <f>IF(tech_base!$T175&gt;T$1745,"",(tech_base!$K175/tech_proj!T299*0.086*$J$132)/(1-tech_proj!T579))</f>
        <v>0</v>
      </c>
      <c r="U1919" s="121">
        <f>IF(tech_base!$T175&gt;U$1745,"",(tech_base!$K175/tech_proj!U299*0.086*$J$132)/(1-tech_proj!U579))</f>
        <v>0</v>
      </c>
      <c r="V1919" s="121">
        <f>IF(tech_base!$T175&gt;V$1745,"",(tech_base!$K175/tech_proj!V299*0.086*$J$132)/(1-tech_proj!V579))</f>
        <v>0</v>
      </c>
      <c r="W1919" s="121">
        <f>IF(tech_base!$T175&gt;W$1745,"",(tech_base!$K175/tech_proj!W299*0.086*$J$132)/(1-tech_proj!W579))</f>
        <v>0</v>
      </c>
      <c r="X1919" s="121">
        <f>IF(tech_base!$T175&gt;X$1745,"",(tech_base!$K175/tech_proj!X299*0.086*$J$132)/(1-tech_proj!X579))</f>
        <v>0</v>
      </c>
      <c r="Y1919" s="121">
        <f>IF(tech_base!$T175&gt;Y$1745,"",(tech_base!$K175/tech_proj!Y299*0.086*$J$132)/(1-tech_proj!Y579))</f>
        <v>0</v>
      </c>
      <c r="Z1919" s="121">
        <f>IF(tech_base!$T175&gt;Z$1745,"",(tech_base!$K175/tech_proj!Z299*0.086*$J$132)/(1-tech_proj!Z579))</f>
        <v>0</v>
      </c>
      <c r="AA1919" s="121">
        <f>IF(tech_base!$T175&gt;AA$1745,"",(tech_base!$K175/tech_proj!AA299*0.086*$J$132)/(1-tech_proj!AA579))</f>
        <v>0</v>
      </c>
      <c r="AB1919" s="121">
        <f>IF(tech_base!$T175&gt;AB$1745,"",(tech_base!$K175/tech_proj!AB299*0.086*$J$132)/(1-tech_proj!AB579))</f>
        <v>0</v>
      </c>
      <c r="AC1919" s="121">
        <f>IF(tech_base!$T175&gt;AC$1745,"",(tech_base!$K175/tech_proj!AC299*0.086*$J$132)/(1-tech_proj!AC579))</f>
        <v>0</v>
      </c>
      <c r="AD1919" s="121">
        <f>IF(tech_base!$T175&gt;AD$1745,"",(tech_base!$K175/tech_proj!AD299*0.086*$J$132)/(1-tech_proj!AD579))</f>
        <v>0</v>
      </c>
      <c r="AE1919" s="121">
        <f>IF(tech_base!$T175&gt;AE$1745,"",(tech_base!$K175/tech_proj!AE299*0.086*$J$132)/(1-tech_proj!AE579))</f>
        <v>0</v>
      </c>
      <c r="AF1919" s="121">
        <f>IF(tech_base!$T175&gt;AF$1745,"",(tech_base!$K175/tech_proj!AF299*0.086*$J$132)/(1-tech_proj!AF579))</f>
        <v>0</v>
      </c>
      <c r="AG1919" s="121">
        <f>IF(tech_base!$T175&gt;AG$1745,"",(tech_base!$K175/tech_proj!AG299*0.086*$J$132)/(1-tech_proj!AG579))</f>
        <v>0</v>
      </c>
      <c r="AH1919" s="121">
        <f>IF(tech_base!$T175&gt;AH$1745,"",(tech_base!$K175/tech_proj!AH299*0.086*$J$132)/(1-tech_proj!AH579))</f>
        <v>0</v>
      </c>
      <c r="AI1919" s="121">
        <f>IF(tech_base!$T175&gt;AI$1745,"",(tech_base!$K175/tech_proj!AI299*0.086*$J$132)/(1-tech_proj!AI579))</f>
        <v>0</v>
      </c>
      <c r="AJ1919" s="121">
        <f>IF(tech_base!$T175&gt;AJ$1745,"",(tech_base!$K175/tech_proj!AJ299*0.086*$J$132)/(1-tech_proj!AJ579))</f>
        <v>0</v>
      </c>
      <c r="AK1919" s="121">
        <f>IF(tech_base!$T175&gt;AK$1745,"",(tech_base!$K175/tech_proj!AK299*0.086*$J$132)/(1-tech_proj!AK579))</f>
        <v>0</v>
      </c>
      <c r="AL1919" s="121">
        <f>IF(tech_base!$T175&gt;AL$1745,"",(tech_base!$K175/tech_proj!AL299*0.086*$J$132)/(1-tech_proj!AL579))</f>
        <v>0</v>
      </c>
      <c r="AM1919" s="121">
        <f>IF(tech_base!$T175&gt;AM$1745,"",(tech_base!$K175/tech_proj!AM299*0.086*$J$132)/(1-tech_proj!AM579))</f>
        <v>0</v>
      </c>
      <c r="AN1919" s="121">
        <f>IF(tech_base!$T175&gt;AN$1745,"",(tech_base!$K175/tech_proj!AN299*0.086*$J$132)/(1-tech_proj!AN579))</f>
        <v>0</v>
      </c>
      <c r="AO1919" s="121">
        <f>IF(tech_base!$T175&gt;AO$1745,"",(tech_base!$K175/tech_proj!AO299*0.086*$J$132)/(1-tech_proj!AO579))</f>
        <v>0</v>
      </c>
      <c r="AP1919" s="121">
        <f>IF(tech_base!$T175&gt;AP$1745,"",(tech_base!$K175/tech_proj!AP299*0.086*$J$132)/(1-tech_proj!AP579))</f>
        <v>0</v>
      </c>
      <c r="AQ1919" s="121">
        <f>IF(tech_base!$T175&gt;AQ$1745,"",(tech_base!$K175/tech_proj!AQ299*0.086*$J$132)/(1-tech_proj!AQ579))</f>
        <v>0</v>
      </c>
      <c r="AR1919" s="121">
        <f>IF(tech_base!$T175&gt;AR$1745,"",(tech_base!$K175/tech_proj!AR299*0.086*$J$132)/(1-tech_proj!AR579))</f>
        <v>0</v>
      </c>
      <c r="AS1919" s="121">
        <f>IF(tech_base!$T175&gt;AS$1745,"",(tech_base!$K175/tech_proj!AS299*0.086*$J$132)/(1-tech_proj!AS579))</f>
        <v>0</v>
      </c>
      <c r="AT1919" s="121">
        <f>IF(tech_base!$T175&gt;AT$1745,"",(tech_base!$K175/tech_proj!AT299*0.086*$J$132)/(1-tech_proj!AT579))</f>
        <v>0</v>
      </c>
      <c r="AU1919" s="121">
        <f>IF(tech_base!$T175&gt;AU$1745,"",(tech_base!$K175/tech_proj!AU299*0.086*$J$132)/(1-tech_proj!AU579))</f>
        <v>0</v>
      </c>
      <c r="AV1919" s="121">
        <f>IF(tech_base!$T175&gt;AV$1745,"",(tech_base!$K175/tech_proj!AV299*0.086*$J$132)/(1-tech_proj!AV579))</f>
        <v>0</v>
      </c>
      <c r="AW1919" s="121">
        <f>IF(tech_base!$T175&gt;AW$1745,"",(tech_base!$K175/tech_proj!AW299*0.086*$J$132)/(1-tech_proj!AW579))</f>
        <v>0</v>
      </c>
      <c r="AX1919" s="122">
        <f>IF(tech_base!$T175&gt;AX$1745,"",(tech_base!$K175/tech_proj!AX299*0.086*$J$132)/(1-tech_proj!AX579))</f>
        <v>0</v>
      </c>
    </row>
    <row r="1920" spans="1:50" x14ac:dyDescent="0.25">
      <c r="A1920" s="356"/>
      <c r="B1920" s="376"/>
      <c r="C1920" s="379"/>
      <c r="D1920" s="2" t="s">
        <v>8</v>
      </c>
      <c r="E1920" s="160" t="str">
        <f>A1919&amp;"/"&amp;B1919&amp;"/"&amp;C1919&amp;"/"&amp;D1920</f>
        <v>Fuel oil fired power plants/Integrated gasification combined cycle/Electricity only/M</v>
      </c>
      <c r="F1920" s="76" t="str">
        <f>A1919</f>
        <v>Fuel oil fired power plants</v>
      </c>
      <c r="G1920" s="76" t="str">
        <f>B1919</f>
        <v>Integrated gasification combined cycle</v>
      </c>
      <c r="H1920" s="76" t="str">
        <f>C1919</f>
        <v>Electricity only</v>
      </c>
      <c r="I1920" s="161" t="str">
        <f t="shared" si="384"/>
        <v>M</v>
      </c>
      <c r="J1920" s="119">
        <f>IF(tech_base!$T176&gt;J$1745,"",(tech_base!$K176/tech_proj!J300*0.086*$J$132)/(1-tech_proj!J580))</f>
        <v>0</v>
      </c>
      <c r="K1920" s="119">
        <f>IF(tech_base!$T176&gt;K$1745,"",(tech_base!$K176/tech_proj!K300*0.086*$J$132)/(1-tech_proj!K580))</f>
        <v>0</v>
      </c>
      <c r="L1920" s="119">
        <f>IF(tech_base!$T176&gt;L$1745,"",(tech_base!$K176/tech_proj!L300*0.086*$J$132)/(1-tech_proj!L580))</f>
        <v>0</v>
      </c>
      <c r="M1920" s="119">
        <f>IF(tech_base!$T176&gt;M$1745,"",(tech_base!$K176/tech_proj!M300*0.086*$J$132)/(1-tech_proj!M580))</f>
        <v>0</v>
      </c>
      <c r="N1920" s="119">
        <f>IF(tech_base!$T176&gt;N$1745,"",(tech_base!$K176/tech_proj!N300*0.086*$J$132)/(1-tech_proj!N580))</f>
        <v>0</v>
      </c>
      <c r="O1920" s="119">
        <f>IF(tech_base!$T176&gt;O$1745,"",(tech_base!$K176/tech_proj!O300*0.086*$J$132)/(1-tech_proj!O580))</f>
        <v>0</v>
      </c>
      <c r="P1920" s="119">
        <f>IF(tech_base!$T176&gt;P$1745,"",(tech_base!$K176/tech_proj!P300*0.086*$J$132)/(1-tech_proj!P580))</f>
        <v>0</v>
      </c>
      <c r="Q1920" s="119">
        <f>IF(tech_base!$T176&gt;Q$1745,"",(tech_base!$K176/tech_proj!Q300*0.086*$J$132)/(1-tech_proj!Q580))</f>
        <v>0</v>
      </c>
      <c r="R1920" s="119">
        <f>IF(tech_base!$T176&gt;R$1745,"",(tech_base!$K176/tech_proj!R300*0.086*$J$132)/(1-tech_proj!R580))</f>
        <v>0</v>
      </c>
      <c r="S1920" s="119">
        <f>IF(tech_base!$T176&gt;S$1745,"",(tech_base!$K176/tech_proj!S300*0.086*$J$132)/(1-tech_proj!S580))</f>
        <v>0</v>
      </c>
      <c r="T1920" s="119">
        <f>IF(tech_base!$T176&gt;T$1745,"",(tech_base!$K176/tech_proj!T300*0.086*$J$132)/(1-tech_proj!T580))</f>
        <v>0</v>
      </c>
      <c r="U1920" s="119">
        <f>IF(tech_base!$T176&gt;U$1745,"",(tech_base!$K176/tech_proj!U300*0.086*$J$132)/(1-tech_proj!U580))</f>
        <v>0</v>
      </c>
      <c r="V1920" s="119">
        <f>IF(tech_base!$T176&gt;V$1745,"",(tech_base!$K176/tech_proj!V300*0.086*$J$132)/(1-tech_proj!V580))</f>
        <v>0</v>
      </c>
      <c r="W1920" s="119">
        <f>IF(tech_base!$T176&gt;W$1745,"",(tech_base!$K176/tech_proj!W300*0.086*$J$132)/(1-tech_proj!W580))</f>
        <v>0</v>
      </c>
      <c r="X1920" s="119">
        <f>IF(tech_base!$T176&gt;X$1745,"",(tech_base!$K176/tech_proj!X300*0.086*$J$132)/(1-tech_proj!X580))</f>
        <v>0</v>
      </c>
      <c r="Y1920" s="119">
        <f>IF(tech_base!$T176&gt;Y$1745,"",(tech_base!$K176/tech_proj!Y300*0.086*$J$132)/(1-tech_proj!Y580))</f>
        <v>0</v>
      </c>
      <c r="Z1920" s="119">
        <f>IF(tech_base!$T176&gt;Z$1745,"",(tech_base!$K176/tech_proj!Z300*0.086*$J$132)/(1-tech_proj!Z580))</f>
        <v>0</v>
      </c>
      <c r="AA1920" s="119">
        <f>IF(tech_base!$T176&gt;AA$1745,"",(tech_base!$K176/tech_proj!AA300*0.086*$J$132)/(1-tech_proj!AA580))</f>
        <v>0</v>
      </c>
      <c r="AB1920" s="119">
        <f>IF(tech_base!$T176&gt;AB$1745,"",(tech_base!$K176/tech_proj!AB300*0.086*$J$132)/(1-tech_proj!AB580))</f>
        <v>0</v>
      </c>
      <c r="AC1920" s="119">
        <f>IF(tech_base!$T176&gt;AC$1745,"",(tech_base!$K176/tech_proj!AC300*0.086*$J$132)/(1-tech_proj!AC580))</f>
        <v>0</v>
      </c>
      <c r="AD1920" s="119">
        <f>IF(tech_base!$T176&gt;AD$1745,"",(tech_base!$K176/tech_proj!AD300*0.086*$J$132)/(1-tech_proj!AD580))</f>
        <v>0</v>
      </c>
      <c r="AE1920" s="119">
        <f>IF(tech_base!$T176&gt;AE$1745,"",(tech_base!$K176/tech_proj!AE300*0.086*$J$132)/(1-tech_proj!AE580))</f>
        <v>0</v>
      </c>
      <c r="AF1920" s="119">
        <f>IF(tech_base!$T176&gt;AF$1745,"",(tech_base!$K176/tech_proj!AF300*0.086*$J$132)/(1-tech_proj!AF580))</f>
        <v>0</v>
      </c>
      <c r="AG1920" s="119">
        <f>IF(tech_base!$T176&gt;AG$1745,"",(tech_base!$K176/tech_proj!AG300*0.086*$J$132)/(1-tech_proj!AG580))</f>
        <v>0</v>
      </c>
      <c r="AH1920" s="119">
        <f>IF(tech_base!$T176&gt;AH$1745,"",(tech_base!$K176/tech_proj!AH300*0.086*$J$132)/(1-tech_proj!AH580))</f>
        <v>0</v>
      </c>
      <c r="AI1920" s="119">
        <f>IF(tech_base!$T176&gt;AI$1745,"",(tech_base!$K176/tech_proj!AI300*0.086*$J$132)/(1-tech_proj!AI580))</f>
        <v>0</v>
      </c>
      <c r="AJ1920" s="119">
        <f>IF(tech_base!$T176&gt;AJ$1745,"",(tech_base!$K176/tech_proj!AJ300*0.086*$J$132)/(1-tech_proj!AJ580))</f>
        <v>0</v>
      </c>
      <c r="AK1920" s="119">
        <f>IF(tech_base!$T176&gt;AK$1745,"",(tech_base!$K176/tech_proj!AK300*0.086*$J$132)/(1-tech_proj!AK580))</f>
        <v>0</v>
      </c>
      <c r="AL1920" s="119">
        <f>IF(tech_base!$T176&gt;AL$1745,"",(tech_base!$K176/tech_proj!AL300*0.086*$J$132)/(1-tech_proj!AL580))</f>
        <v>0</v>
      </c>
      <c r="AM1920" s="119">
        <f>IF(tech_base!$T176&gt;AM$1745,"",(tech_base!$K176/tech_proj!AM300*0.086*$J$132)/(1-tech_proj!AM580))</f>
        <v>0</v>
      </c>
      <c r="AN1920" s="119">
        <f>IF(tech_base!$T176&gt;AN$1745,"",(tech_base!$K176/tech_proj!AN300*0.086*$J$132)/(1-tech_proj!AN580))</f>
        <v>0</v>
      </c>
      <c r="AO1920" s="119">
        <f>IF(tech_base!$T176&gt;AO$1745,"",(tech_base!$K176/tech_proj!AO300*0.086*$J$132)/(1-tech_proj!AO580))</f>
        <v>0</v>
      </c>
      <c r="AP1920" s="119">
        <f>IF(tech_base!$T176&gt;AP$1745,"",(tech_base!$K176/tech_proj!AP300*0.086*$J$132)/(1-tech_proj!AP580))</f>
        <v>0</v>
      </c>
      <c r="AQ1920" s="119">
        <f>IF(tech_base!$T176&gt;AQ$1745,"",(tech_base!$K176/tech_proj!AQ300*0.086*$J$132)/(1-tech_proj!AQ580))</f>
        <v>0</v>
      </c>
      <c r="AR1920" s="119">
        <f>IF(tech_base!$T176&gt;AR$1745,"",(tech_base!$K176/tech_proj!AR300*0.086*$J$132)/(1-tech_proj!AR580))</f>
        <v>0</v>
      </c>
      <c r="AS1920" s="119">
        <f>IF(tech_base!$T176&gt;AS$1745,"",(tech_base!$K176/tech_proj!AS300*0.086*$J$132)/(1-tech_proj!AS580))</f>
        <v>0</v>
      </c>
      <c r="AT1920" s="119">
        <f>IF(tech_base!$T176&gt;AT$1745,"",(tech_base!$K176/tech_proj!AT300*0.086*$J$132)/(1-tech_proj!AT580))</f>
        <v>0</v>
      </c>
      <c r="AU1920" s="119">
        <f>IF(tech_base!$T176&gt;AU$1745,"",(tech_base!$K176/tech_proj!AU300*0.086*$J$132)/(1-tech_proj!AU580))</f>
        <v>0</v>
      </c>
      <c r="AV1920" s="119">
        <f>IF(tech_base!$T176&gt;AV$1745,"",(tech_base!$K176/tech_proj!AV300*0.086*$J$132)/(1-tech_proj!AV580))</f>
        <v>0</v>
      </c>
      <c r="AW1920" s="119">
        <f>IF(tech_base!$T176&gt;AW$1745,"",(tech_base!$K176/tech_proj!AW300*0.086*$J$132)/(1-tech_proj!AW580))</f>
        <v>0</v>
      </c>
      <c r="AX1920" s="120">
        <f>IF(tech_base!$T176&gt;AX$1745,"",(tech_base!$K176/tech_proj!AX300*0.086*$J$132)/(1-tech_proj!AX580))</f>
        <v>0</v>
      </c>
    </row>
    <row r="1921" spans="1:50" x14ac:dyDescent="0.25">
      <c r="A1921" s="356"/>
      <c r="B1921" s="376"/>
      <c r="C1921" s="361" t="s">
        <v>14</v>
      </c>
      <c r="D1921" s="58" t="s">
        <v>7</v>
      </c>
      <c r="E1921" s="164" t="str">
        <f>A1919&amp;"/"&amp;B1919&amp;"/"&amp;C1921&amp;"/"&amp;D1921</f>
        <v>Fuel oil fired power plants/Integrated gasification combined cycle/CHP/L</v>
      </c>
      <c r="F1921" s="78" t="str">
        <f>A1919</f>
        <v>Fuel oil fired power plants</v>
      </c>
      <c r="G1921" s="78" t="str">
        <f>B1919</f>
        <v>Integrated gasification combined cycle</v>
      </c>
      <c r="H1921" s="78" t="str">
        <f>C1921</f>
        <v>CHP</v>
      </c>
      <c r="I1921" s="165" t="str">
        <f t="shared" si="384"/>
        <v>L</v>
      </c>
      <c r="J1921" s="123">
        <f>IF(tech_base!$T177&gt;J$1745,"",(tech_base!$K177/tech_proj!J301*0.086*$J$132)/(1-tech_proj!J581))</f>
        <v>0</v>
      </c>
      <c r="K1921" s="123">
        <f>IF(tech_base!$T177&gt;K$1745,"",(tech_base!$K177/tech_proj!K301*0.086*$J$132)/(1-tech_proj!K581))</f>
        <v>0</v>
      </c>
      <c r="L1921" s="123">
        <f>IF(tech_base!$T177&gt;L$1745,"",(tech_base!$K177/tech_proj!L301*0.086*$J$132)/(1-tech_proj!L581))</f>
        <v>0</v>
      </c>
      <c r="M1921" s="123">
        <f>IF(tech_base!$T177&gt;M$1745,"",(tech_base!$K177/tech_proj!M301*0.086*$J$132)/(1-tech_proj!M581))</f>
        <v>0</v>
      </c>
      <c r="N1921" s="123">
        <f>IF(tech_base!$T177&gt;N$1745,"",(tech_base!$K177/tech_proj!N301*0.086*$J$132)/(1-tech_proj!N581))</f>
        <v>0</v>
      </c>
      <c r="O1921" s="123">
        <f>IF(tech_base!$T177&gt;O$1745,"",(tech_base!$K177/tech_proj!O301*0.086*$J$132)/(1-tech_proj!O581))</f>
        <v>0</v>
      </c>
      <c r="P1921" s="123">
        <f>IF(tech_base!$T177&gt;P$1745,"",(tech_base!$K177/tech_proj!P301*0.086*$J$132)/(1-tech_proj!P581))</f>
        <v>0</v>
      </c>
      <c r="Q1921" s="123">
        <f>IF(tech_base!$T177&gt;Q$1745,"",(tech_base!$K177/tech_proj!Q301*0.086*$J$132)/(1-tech_proj!Q581))</f>
        <v>0</v>
      </c>
      <c r="R1921" s="123">
        <f>IF(tech_base!$T177&gt;R$1745,"",(tech_base!$K177/tech_proj!R301*0.086*$J$132)/(1-tech_proj!R581))</f>
        <v>0</v>
      </c>
      <c r="S1921" s="123">
        <f>IF(tech_base!$T177&gt;S$1745,"",(tech_base!$K177/tech_proj!S301*0.086*$J$132)/(1-tech_proj!S581))</f>
        <v>0</v>
      </c>
      <c r="T1921" s="123">
        <f>IF(tech_base!$T177&gt;T$1745,"",(tech_base!$K177/tech_proj!T301*0.086*$J$132)/(1-tech_proj!T581))</f>
        <v>0</v>
      </c>
      <c r="U1921" s="123">
        <f>IF(tech_base!$T177&gt;U$1745,"",(tech_base!$K177/tech_proj!U301*0.086*$J$132)/(1-tech_proj!U581))</f>
        <v>0</v>
      </c>
      <c r="V1921" s="123">
        <f>IF(tech_base!$T177&gt;V$1745,"",(tech_base!$K177/tech_proj!V301*0.086*$J$132)/(1-tech_proj!V581))</f>
        <v>0</v>
      </c>
      <c r="W1921" s="123">
        <f>IF(tech_base!$T177&gt;W$1745,"",(tech_base!$K177/tech_proj!W301*0.086*$J$132)/(1-tech_proj!W581))</f>
        <v>0</v>
      </c>
      <c r="X1921" s="123">
        <f>IF(tech_base!$T177&gt;X$1745,"",(tech_base!$K177/tech_proj!X301*0.086*$J$132)/(1-tech_proj!X581))</f>
        <v>0</v>
      </c>
      <c r="Y1921" s="123">
        <f>IF(tech_base!$T177&gt;Y$1745,"",(tech_base!$K177/tech_proj!Y301*0.086*$J$132)/(1-tech_proj!Y581))</f>
        <v>0</v>
      </c>
      <c r="Z1921" s="123">
        <f>IF(tech_base!$T177&gt;Z$1745,"",(tech_base!$K177/tech_proj!Z301*0.086*$J$132)/(1-tech_proj!Z581))</f>
        <v>0</v>
      </c>
      <c r="AA1921" s="123">
        <f>IF(tech_base!$T177&gt;AA$1745,"",(tech_base!$K177/tech_proj!AA301*0.086*$J$132)/(1-tech_proj!AA581))</f>
        <v>0</v>
      </c>
      <c r="AB1921" s="123">
        <f>IF(tech_base!$T177&gt;AB$1745,"",(tech_base!$K177/tech_proj!AB301*0.086*$J$132)/(1-tech_proj!AB581))</f>
        <v>0</v>
      </c>
      <c r="AC1921" s="123">
        <f>IF(tech_base!$T177&gt;AC$1745,"",(tech_base!$K177/tech_proj!AC301*0.086*$J$132)/(1-tech_proj!AC581))</f>
        <v>0</v>
      </c>
      <c r="AD1921" s="123">
        <f>IF(tech_base!$T177&gt;AD$1745,"",(tech_base!$K177/tech_proj!AD301*0.086*$J$132)/(1-tech_proj!AD581))</f>
        <v>0</v>
      </c>
      <c r="AE1921" s="123">
        <f>IF(tech_base!$T177&gt;AE$1745,"",(tech_base!$K177/tech_proj!AE301*0.086*$J$132)/(1-tech_proj!AE581))</f>
        <v>0</v>
      </c>
      <c r="AF1921" s="123">
        <f>IF(tech_base!$T177&gt;AF$1745,"",(tech_base!$K177/tech_proj!AF301*0.086*$J$132)/(1-tech_proj!AF581))</f>
        <v>0</v>
      </c>
      <c r="AG1921" s="123">
        <f>IF(tech_base!$T177&gt;AG$1745,"",(tech_base!$K177/tech_proj!AG301*0.086*$J$132)/(1-tech_proj!AG581))</f>
        <v>0</v>
      </c>
      <c r="AH1921" s="123">
        <f>IF(tech_base!$T177&gt;AH$1745,"",(tech_base!$K177/tech_proj!AH301*0.086*$J$132)/(1-tech_proj!AH581))</f>
        <v>0</v>
      </c>
      <c r="AI1921" s="123">
        <f>IF(tech_base!$T177&gt;AI$1745,"",(tech_base!$K177/tech_proj!AI301*0.086*$J$132)/(1-tech_proj!AI581))</f>
        <v>0</v>
      </c>
      <c r="AJ1921" s="123">
        <f>IF(tech_base!$T177&gt;AJ$1745,"",(tech_base!$K177/tech_proj!AJ301*0.086*$J$132)/(1-tech_proj!AJ581))</f>
        <v>0</v>
      </c>
      <c r="AK1921" s="123">
        <f>IF(tech_base!$T177&gt;AK$1745,"",(tech_base!$K177/tech_proj!AK301*0.086*$J$132)/(1-tech_proj!AK581))</f>
        <v>0</v>
      </c>
      <c r="AL1921" s="123">
        <f>IF(tech_base!$T177&gt;AL$1745,"",(tech_base!$K177/tech_proj!AL301*0.086*$J$132)/(1-tech_proj!AL581))</f>
        <v>0</v>
      </c>
      <c r="AM1921" s="123">
        <f>IF(tech_base!$T177&gt;AM$1745,"",(tech_base!$K177/tech_proj!AM301*0.086*$J$132)/(1-tech_proj!AM581))</f>
        <v>0</v>
      </c>
      <c r="AN1921" s="123">
        <f>IF(tech_base!$T177&gt;AN$1745,"",(tech_base!$K177/tech_proj!AN301*0.086*$J$132)/(1-tech_proj!AN581))</f>
        <v>0</v>
      </c>
      <c r="AO1921" s="123">
        <f>IF(tech_base!$T177&gt;AO$1745,"",(tech_base!$K177/tech_proj!AO301*0.086*$J$132)/(1-tech_proj!AO581))</f>
        <v>0</v>
      </c>
      <c r="AP1921" s="123">
        <f>IF(tech_base!$T177&gt;AP$1745,"",(tech_base!$K177/tech_proj!AP301*0.086*$J$132)/(1-tech_proj!AP581))</f>
        <v>0</v>
      </c>
      <c r="AQ1921" s="123">
        <f>IF(tech_base!$T177&gt;AQ$1745,"",(tech_base!$K177/tech_proj!AQ301*0.086*$J$132)/(1-tech_proj!AQ581))</f>
        <v>0</v>
      </c>
      <c r="AR1921" s="123">
        <f>IF(tech_base!$T177&gt;AR$1745,"",(tech_base!$K177/tech_proj!AR301*0.086*$J$132)/(1-tech_proj!AR581))</f>
        <v>0</v>
      </c>
      <c r="AS1921" s="123">
        <f>IF(tech_base!$T177&gt;AS$1745,"",(tech_base!$K177/tech_proj!AS301*0.086*$J$132)/(1-tech_proj!AS581))</f>
        <v>0</v>
      </c>
      <c r="AT1921" s="123">
        <f>IF(tech_base!$T177&gt;AT$1745,"",(tech_base!$K177/tech_proj!AT301*0.086*$J$132)/(1-tech_proj!AT581))</f>
        <v>0</v>
      </c>
      <c r="AU1921" s="123">
        <f>IF(tech_base!$T177&gt;AU$1745,"",(tech_base!$K177/tech_proj!AU301*0.086*$J$132)/(1-tech_proj!AU581))</f>
        <v>0</v>
      </c>
      <c r="AV1921" s="123">
        <f>IF(tech_base!$T177&gt;AV$1745,"",(tech_base!$K177/tech_proj!AV301*0.086*$J$132)/(1-tech_proj!AV581))</f>
        <v>0</v>
      </c>
      <c r="AW1921" s="123">
        <f>IF(tech_base!$T177&gt;AW$1745,"",(tech_base!$K177/tech_proj!AW301*0.086*$J$132)/(1-tech_proj!AW581))</f>
        <v>0</v>
      </c>
      <c r="AX1921" s="124">
        <f>IF(tech_base!$T177&gt;AX$1745,"",(tech_base!$K177/tech_proj!AX301*0.086*$J$132)/(1-tech_proj!AX581))</f>
        <v>0</v>
      </c>
    </row>
    <row r="1922" spans="1:50" x14ac:dyDescent="0.25">
      <c r="A1922" s="356"/>
      <c r="B1922" s="376"/>
      <c r="C1922" s="379"/>
      <c r="D1922" s="59" t="s">
        <v>8</v>
      </c>
      <c r="E1922" s="166" t="str">
        <f>A1919&amp;"/"&amp;B1919&amp;"/"&amp;C1921&amp;"/"&amp;D1922</f>
        <v>Fuel oil fired power plants/Integrated gasification combined cycle/CHP/M</v>
      </c>
      <c r="F1922" s="79" t="str">
        <f>A1919</f>
        <v>Fuel oil fired power plants</v>
      </c>
      <c r="G1922" s="79" t="str">
        <f>B1919</f>
        <v>Integrated gasification combined cycle</v>
      </c>
      <c r="H1922" s="79" t="str">
        <f>C1921</f>
        <v>CHP</v>
      </c>
      <c r="I1922" s="167" t="str">
        <f t="shared" si="384"/>
        <v>M</v>
      </c>
      <c r="J1922" s="125">
        <f>IF(tech_base!$T178&gt;J$1745,"",(tech_base!$K178/tech_proj!J302*0.086*$J$132)/(1-tech_proj!J582))</f>
        <v>0</v>
      </c>
      <c r="K1922" s="125">
        <f>IF(tech_base!$T178&gt;K$1745,"",(tech_base!$K178/tech_proj!K302*0.086*$J$132)/(1-tech_proj!K582))</f>
        <v>0</v>
      </c>
      <c r="L1922" s="125">
        <f>IF(tech_base!$T178&gt;L$1745,"",(tech_base!$K178/tech_proj!L302*0.086*$J$132)/(1-tech_proj!L582))</f>
        <v>0</v>
      </c>
      <c r="M1922" s="125">
        <f>IF(tech_base!$T178&gt;M$1745,"",(tech_base!$K178/tech_proj!M302*0.086*$J$132)/(1-tech_proj!M582))</f>
        <v>0</v>
      </c>
      <c r="N1922" s="125">
        <f>IF(tech_base!$T178&gt;N$1745,"",(tech_base!$K178/tech_proj!N302*0.086*$J$132)/(1-tech_proj!N582))</f>
        <v>0</v>
      </c>
      <c r="O1922" s="125">
        <f>IF(tech_base!$T178&gt;O$1745,"",(tech_base!$K178/tech_proj!O302*0.086*$J$132)/(1-tech_proj!O582))</f>
        <v>0</v>
      </c>
      <c r="P1922" s="125">
        <f>IF(tech_base!$T178&gt;P$1745,"",(tech_base!$K178/tech_proj!P302*0.086*$J$132)/(1-tech_proj!P582))</f>
        <v>0</v>
      </c>
      <c r="Q1922" s="125">
        <f>IF(tech_base!$T178&gt;Q$1745,"",(tech_base!$K178/tech_proj!Q302*0.086*$J$132)/(1-tech_proj!Q582))</f>
        <v>0</v>
      </c>
      <c r="R1922" s="125">
        <f>IF(tech_base!$T178&gt;R$1745,"",(tech_base!$K178/tech_proj!R302*0.086*$J$132)/(1-tech_proj!R582))</f>
        <v>0</v>
      </c>
      <c r="S1922" s="125">
        <f>IF(tech_base!$T178&gt;S$1745,"",(tech_base!$K178/tech_proj!S302*0.086*$J$132)/(1-tech_proj!S582))</f>
        <v>0</v>
      </c>
      <c r="T1922" s="125">
        <f>IF(tech_base!$T178&gt;T$1745,"",(tech_base!$K178/tech_proj!T302*0.086*$J$132)/(1-tech_proj!T582))</f>
        <v>0</v>
      </c>
      <c r="U1922" s="125">
        <f>IF(tech_base!$T178&gt;U$1745,"",(tech_base!$K178/tech_proj!U302*0.086*$J$132)/(1-tech_proj!U582))</f>
        <v>0</v>
      </c>
      <c r="V1922" s="125">
        <f>IF(tech_base!$T178&gt;V$1745,"",(tech_base!$K178/tech_proj!V302*0.086*$J$132)/(1-tech_proj!V582))</f>
        <v>0</v>
      </c>
      <c r="W1922" s="125">
        <f>IF(tech_base!$T178&gt;W$1745,"",(tech_base!$K178/tech_proj!W302*0.086*$J$132)/(1-tech_proj!W582))</f>
        <v>0</v>
      </c>
      <c r="X1922" s="125">
        <f>IF(tech_base!$T178&gt;X$1745,"",(tech_base!$K178/tech_proj!X302*0.086*$J$132)/(1-tech_proj!X582))</f>
        <v>0</v>
      </c>
      <c r="Y1922" s="125">
        <f>IF(tech_base!$T178&gt;Y$1745,"",(tech_base!$K178/tech_proj!Y302*0.086*$J$132)/(1-tech_proj!Y582))</f>
        <v>0</v>
      </c>
      <c r="Z1922" s="125">
        <f>IF(tech_base!$T178&gt;Z$1745,"",(tech_base!$K178/tech_proj!Z302*0.086*$J$132)/(1-tech_proj!Z582))</f>
        <v>0</v>
      </c>
      <c r="AA1922" s="125">
        <f>IF(tech_base!$T178&gt;AA$1745,"",(tech_base!$K178/tech_proj!AA302*0.086*$J$132)/(1-tech_proj!AA582))</f>
        <v>0</v>
      </c>
      <c r="AB1922" s="125">
        <f>IF(tech_base!$T178&gt;AB$1745,"",(tech_base!$K178/tech_proj!AB302*0.086*$J$132)/(1-tech_proj!AB582))</f>
        <v>0</v>
      </c>
      <c r="AC1922" s="125">
        <f>IF(tech_base!$T178&gt;AC$1745,"",(tech_base!$K178/tech_proj!AC302*0.086*$J$132)/(1-tech_proj!AC582))</f>
        <v>0</v>
      </c>
      <c r="AD1922" s="125">
        <f>IF(tech_base!$T178&gt;AD$1745,"",(tech_base!$K178/tech_proj!AD302*0.086*$J$132)/(1-tech_proj!AD582))</f>
        <v>0</v>
      </c>
      <c r="AE1922" s="125">
        <f>IF(tech_base!$T178&gt;AE$1745,"",(tech_base!$K178/tech_proj!AE302*0.086*$J$132)/(1-tech_proj!AE582))</f>
        <v>0</v>
      </c>
      <c r="AF1922" s="125">
        <f>IF(tech_base!$T178&gt;AF$1745,"",(tech_base!$K178/tech_proj!AF302*0.086*$J$132)/(1-tech_proj!AF582))</f>
        <v>0</v>
      </c>
      <c r="AG1922" s="125">
        <f>IF(tech_base!$T178&gt;AG$1745,"",(tech_base!$K178/tech_proj!AG302*0.086*$J$132)/(1-tech_proj!AG582))</f>
        <v>0</v>
      </c>
      <c r="AH1922" s="125">
        <f>IF(tech_base!$T178&gt;AH$1745,"",(tech_base!$K178/tech_proj!AH302*0.086*$J$132)/(1-tech_proj!AH582))</f>
        <v>0</v>
      </c>
      <c r="AI1922" s="125">
        <f>IF(tech_base!$T178&gt;AI$1745,"",(tech_base!$K178/tech_proj!AI302*0.086*$J$132)/(1-tech_proj!AI582))</f>
        <v>0</v>
      </c>
      <c r="AJ1922" s="125">
        <f>IF(tech_base!$T178&gt;AJ$1745,"",(tech_base!$K178/tech_proj!AJ302*0.086*$J$132)/(1-tech_proj!AJ582))</f>
        <v>0</v>
      </c>
      <c r="AK1922" s="125">
        <f>IF(tech_base!$T178&gt;AK$1745,"",(tech_base!$K178/tech_proj!AK302*0.086*$J$132)/(1-tech_proj!AK582))</f>
        <v>0</v>
      </c>
      <c r="AL1922" s="125">
        <f>IF(tech_base!$T178&gt;AL$1745,"",(tech_base!$K178/tech_proj!AL302*0.086*$J$132)/(1-tech_proj!AL582))</f>
        <v>0</v>
      </c>
      <c r="AM1922" s="125">
        <f>IF(tech_base!$T178&gt;AM$1745,"",(tech_base!$K178/tech_proj!AM302*0.086*$J$132)/(1-tech_proj!AM582))</f>
        <v>0</v>
      </c>
      <c r="AN1922" s="125">
        <f>IF(tech_base!$T178&gt;AN$1745,"",(tech_base!$K178/tech_proj!AN302*0.086*$J$132)/(1-tech_proj!AN582))</f>
        <v>0</v>
      </c>
      <c r="AO1922" s="125">
        <f>IF(tech_base!$T178&gt;AO$1745,"",(tech_base!$K178/tech_proj!AO302*0.086*$J$132)/(1-tech_proj!AO582))</f>
        <v>0</v>
      </c>
      <c r="AP1922" s="125">
        <f>IF(tech_base!$T178&gt;AP$1745,"",(tech_base!$K178/tech_proj!AP302*0.086*$J$132)/(1-tech_proj!AP582))</f>
        <v>0</v>
      </c>
      <c r="AQ1922" s="125">
        <f>IF(tech_base!$T178&gt;AQ$1745,"",(tech_base!$K178/tech_proj!AQ302*0.086*$J$132)/(1-tech_proj!AQ582))</f>
        <v>0</v>
      </c>
      <c r="AR1922" s="125">
        <f>IF(tech_base!$T178&gt;AR$1745,"",(tech_base!$K178/tech_proj!AR302*0.086*$J$132)/(1-tech_proj!AR582))</f>
        <v>0</v>
      </c>
      <c r="AS1922" s="125">
        <f>IF(tech_base!$T178&gt;AS$1745,"",(tech_base!$K178/tech_proj!AS302*0.086*$J$132)/(1-tech_proj!AS582))</f>
        <v>0</v>
      </c>
      <c r="AT1922" s="125">
        <f>IF(tech_base!$T178&gt;AT$1745,"",(tech_base!$K178/tech_proj!AT302*0.086*$J$132)/(1-tech_proj!AT582))</f>
        <v>0</v>
      </c>
      <c r="AU1922" s="125">
        <f>IF(tech_base!$T178&gt;AU$1745,"",(tech_base!$K178/tech_proj!AU302*0.086*$J$132)/(1-tech_proj!AU582))</f>
        <v>0</v>
      </c>
      <c r="AV1922" s="125">
        <f>IF(tech_base!$T178&gt;AV$1745,"",(tech_base!$K178/tech_proj!AV302*0.086*$J$132)/(1-tech_proj!AV582))</f>
        <v>0</v>
      </c>
      <c r="AW1922" s="125">
        <f>IF(tech_base!$T178&gt;AW$1745,"",(tech_base!$K178/tech_proj!AW302*0.086*$J$132)/(1-tech_proj!AW582))</f>
        <v>0</v>
      </c>
      <c r="AX1922" s="126">
        <f>IF(tech_base!$T178&gt;AX$1745,"",(tech_base!$K178/tech_proj!AX302*0.086*$J$132)/(1-tech_proj!AX582))</f>
        <v>0</v>
      </c>
    </row>
    <row r="1923" spans="1:50" x14ac:dyDescent="0.25">
      <c r="A1923" s="356"/>
      <c r="B1923" s="376"/>
      <c r="C1923" s="361" t="s">
        <v>15</v>
      </c>
      <c r="D1923" s="58" t="s">
        <v>7</v>
      </c>
      <c r="E1923" s="164" t="str">
        <f>A1919&amp;"/"&amp;B1919&amp;"/"&amp;C1923&amp;"/"&amp;D1923</f>
        <v>Fuel oil fired power plants/Integrated gasification combined cycle/Electricity only with CCS/L</v>
      </c>
      <c r="F1923" s="78" t="str">
        <f>A1919</f>
        <v>Fuel oil fired power plants</v>
      </c>
      <c r="G1923" s="78" t="str">
        <f>B1919</f>
        <v>Integrated gasification combined cycle</v>
      </c>
      <c r="H1923" s="78" t="str">
        <f>C1923</f>
        <v>Electricity only with CCS</v>
      </c>
      <c r="I1923" s="165" t="str">
        <f t="shared" si="384"/>
        <v>L</v>
      </c>
      <c r="J1923" s="123" t="str">
        <f>IF(tech_base!$T179&gt;J$1745,"",(tech_base!$K179/tech_proj!J303*0.086*$J$132)/(1-tech_proj!J583))</f>
        <v/>
      </c>
      <c r="K1923" s="123" t="str">
        <f>IF(tech_base!$T179&gt;K$1745,"",(tech_base!$K179/tech_proj!K303*0.086*$J$132)/(1-tech_proj!K583))</f>
        <v/>
      </c>
      <c r="L1923" s="123" t="str">
        <f>IF(tech_base!$T179&gt;L$1745,"",(tech_base!$K179/tech_proj!L303*0.086*$J$132)/(1-tech_proj!L583))</f>
        <v/>
      </c>
      <c r="M1923" s="123" t="str">
        <f>IF(tech_base!$T179&gt;M$1745,"",(tech_base!$K179/tech_proj!M303*0.086*$J$132)/(1-tech_proj!M583))</f>
        <v/>
      </c>
      <c r="N1923" s="123" t="str">
        <f>IF(tech_base!$T179&gt;N$1745,"",(tech_base!$K179/tech_proj!N303*0.086*$J$132)/(1-tech_proj!N583))</f>
        <v/>
      </c>
      <c r="O1923" s="123" t="str">
        <f>IF(tech_base!$T179&gt;O$1745,"",(tech_base!$K179/tech_proj!O303*0.086*$J$132)/(1-tech_proj!O583))</f>
        <v/>
      </c>
      <c r="P1923" s="123" t="str">
        <f>IF(tech_base!$T179&gt;P$1745,"",(tech_base!$K179/tech_proj!P303*0.086*$J$132)/(1-tech_proj!P583))</f>
        <v/>
      </c>
      <c r="Q1923" s="123" t="str">
        <f>IF(tech_base!$T179&gt;Q$1745,"",(tech_base!$K179/tech_proj!Q303*0.086*$J$132)/(1-tech_proj!Q583))</f>
        <v/>
      </c>
      <c r="R1923" s="123" t="str">
        <f>IF(tech_base!$T179&gt;R$1745,"",(tech_base!$K179/tech_proj!R303*0.086*$J$132)/(1-tech_proj!R583))</f>
        <v/>
      </c>
      <c r="S1923" s="123" t="str">
        <f>IF(tech_base!$T179&gt;S$1745,"",(tech_base!$K179/tech_proj!S303*0.086*$J$132)/(1-tech_proj!S583))</f>
        <v/>
      </c>
      <c r="T1923" s="123" t="str">
        <f>IF(tech_base!$T179&gt;T$1745,"",(tech_base!$K179/tech_proj!T303*0.086*$J$132)/(1-tech_proj!T583))</f>
        <v/>
      </c>
      <c r="U1923" s="123" t="str">
        <f>IF(tech_base!$T179&gt;U$1745,"",(tech_base!$K179/tech_proj!U303*0.086*$J$132)/(1-tech_proj!U583))</f>
        <v/>
      </c>
      <c r="V1923" s="123" t="str">
        <f>IF(tech_base!$T179&gt;V$1745,"",(tech_base!$K179/tech_proj!V303*0.086*$J$132)/(1-tech_proj!V583))</f>
        <v/>
      </c>
      <c r="W1923" s="123" t="str">
        <f>IF(tech_base!$T179&gt;W$1745,"",(tech_base!$K179/tech_proj!W303*0.086*$J$132)/(1-tech_proj!W583))</f>
        <v/>
      </c>
      <c r="X1923" s="123" t="str">
        <f>IF(tech_base!$T179&gt;X$1745,"",(tech_base!$K179/tech_proj!X303*0.086*$J$132)/(1-tech_proj!X583))</f>
        <v/>
      </c>
      <c r="Y1923" s="123" t="str">
        <f>IF(tech_base!$T179&gt;Y$1745,"",(tech_base!$K179/tech_proj!Y303*0.086*$J$132)/(1-tech_proj!Y583))</f>
        <v/>
      </c>
      <c r="Z1923" s="123" t="str">
        <f>IF(tech_base!$T179&gt;Z$1745,"",(tech_base!$K179/tech_proj!Z303*0.086*$J$132)/(1-tech_proj!Z583))</f>
        <v/>
      </c>
      <c r="AA1923" s="123" t="str">
        <f>IF(tech_base!$T179&gt;AA$1745,"",(tech_base!$K179/tech_proj!AA303*0.086*$J$132)/(1-tech_proj!AA583))</f>
        <v/>
      </c>
      <c r="AB1923" s="123" t="str">
        <f>IF(tech_base!$T179&gt;AB$1745,"",(tech_base!$K179/tech_proj!AB303*0.086*$J$132)/(1-tech_proj!AB583))</f>
        <v/>
      </c>
      <c r="AC1923" s="123" t="str">
        <f>IF(tech_base!$T179&gt;AC$1745,"",(tech_base!$K179/tech_proj!AC303*0.086*$J$132)/(1-tech_proj!AC583))</f>
        <v/>
      </c>
      <c r="AD1923" s="123" t="str">
        <f>IF(tech_base!$T179&gt;AD$1745,"",(tech_base!$K179/tech_proj!AD303*0.086*$J$132)/(1-tech_proj!AD583))</f>
        <v/>
      </c>
      <c r="AE1923" s="123">
        <f>IF(tech_base!$T179&gt;AE$1745,"",(tech_base!$K179/tech_proj!AE303*0.086*$J$132)/(1-tech_proj!AE583))</f>
        <v>7.4306751794917281</v>
      </c>
      <c r="AF1923" s="123">
        <f>IF(tech_base!$T179&gt;AF$1745,"",(tech_base!$K179/tech_proj!AF303*0.086*$J$132)/(1-tech_proj!AF583))</f>
        <v>7.4306751794917281</v>
      </c>
      <c r="AG1923" s="123">
        <f>IF(tech_base!$T179&gt;AG$1745,"",(tech_base!$K179/tech_proj!AG303*0.086*$J$132)/(1-tech_proj!AG583))</f>
        <v>7.4306751794917281</v>
      </c>
      <c r="AH1923" s="123">
        <f>IF(tech_base!$T179&gt;AH$1745,"",(tech_base!$K179/tech_proj!AH303*0.086*$J$132)/(1-tech_proj!AH583))</f>
        <v>7.4306751794917281</v>
      </c>
      <c r="AI1923" s="123">
        <f>IF(tech_base!$T179&gt;AI$1745,"",(tech_base!$K179/tech_proj!AI303*0.086*$J$132)/(1-tech_proj!AI583))</f>
        <v>7.4306751794917281</v>
      </c>
      <c r="AJ1923" s="123">
        <f>IF(tech_base!$T179&gt;AJ$1745,"",(tech_base!$K179/tech_proj!AJ303*0.086*$J$132)/(1-tech_proj!AJ583))</f>
        <v>7.4306751794917281</v>
      </c>
      <c r="AK1923" s="123">
        <f>IF(tech_base!$T179&gt;AK$1745,"",(tech_base!$K179/tech_proj!AK303*0.086*$J$132)/(1-tech_proj!AK583))</f>
        <v>7.4306751794917281</v>
      </c>
      <c r="AL1923" s="123">
        <f>IF(tech_base!$T179&gt;AL$1745,"",(tech_base!$K179/tech_proj!AL303*0.086*$J$132)/(1-tech_proj!AL583))</f>
        <v>7.4306751794917281</v>
      </c>
      <c r="AM1923" s="123">
        <f>IF(tech_base!$T179&gt;AM$1745,"",(tech_base!$K179/tech_proj!AM303*0.086*$J$132)/(1-tech_proj!AM583))</f>
        <v>7.4306751794917281</v>
      </c>
      <c r="AN1923" s="123">
        <f>IF(tech_base!$T179&gt;AN$1745,"",(tech_base!$K179/tech_proj!AN303*0.086*$J$132)/(1-tech_proj!AN583))</f>
        <v>7.4306751794917281</v>
      </c>
      <c r="AO1923" s="123">
        <f>IF(tech_base!$T179&gt;AO$1745,"",(tech_base!$K179/tech_proj!AO303*0.086*$J$132)/(1-tech_proj!AO583))</f>
        <v>7.4306751794917281</v>
      </c>
      <c r="AP1923" s="123">
        <f>IF(tech_base!$T179&gt;AP$1745,"",(tech_base!$K179/tech_proj!AP303*0.086*$J$132)/(1-tech_proj!AP583))</f>
        <v>7.4306751794917281</v>
      </c>
      <c r="AQ1923" s="123">
        <f>IF(tech_base!$T179&gt;AQ$1745,"",(tech_base!$K179/tech_proj!AQ303*0.086*$J$132)/(1-tech_proj!AQ583))</f>
        <v>7.4306751794917281</v>
      </c>
      <c r="AR1923" s="123">
        <f>IF(tech_base!$T179&gt;AR$1745,"",(tech_base!$K179/tech_proj!AR303*0.086*$J$132)/(1-tech_proj!AR583))</f>
        <v>7.4306751794917281</v>
      </c>
      <c r="AS1923" s="123">
        <f>IF(tech_base!$T179&gt;AS$1745,"",(tech_base!$K179/tech_proj!AS303*0.086*$J$132)/(1-tech_proj!AS583))</f>
        <v>7.4300067212425027</v>
      </c>
      <c r="AT1923" s="123">
        <f>IF(tech_base!$T179&gt;AT$1745,"",(tech_base!$K179/tech_proj!AT303*0.086*$J$132)/(1-tech_proj!AT583))</f>
        <v>7.4295790297196609</v>
      </c>
      <c r="AU1923" s="123">
        <f>IF(tech_base!$T179&gt;AU$1745,"",(tech_base!$K179/tech_proj!AU303*0.086*$J$132)/(1-tech_proj!AU583))</f>
        <v>7.4288838867600662</v>
      </c>
      <c r="AV1923" s="123">
        <f>IF(tech_base!$T179&gt;AV$1745,"",(tech_base!$K179/tech_proj!AV303*0.086*$J$132)/(1-tech_proj!AV583))</f>
        <v>7.4277642191102409</v>
      </c>
      <c r="AW1923" s="123">
        <f>IF(tech_base!$T179&gt;AW$1745,"",(tech_base!$K179/tech_proj!AW303*0.086*$J$132)/(1-tech_proj!AW583))</f>
        <v>7.4259868184764661</v>
      </c>
      <c r="AX1923" s="124">
        <f>IF(tech_base!$T179&gt;AX$1745,"",(tech_base!$K179/tech_proj!AX303*0.086*$J$132)/(1-tech_proj!AX583))</f>
        <v>7.4232295982211864</v>
      </c>
    </row>
    <row r="1924" spans="1:50" x14ac:dyDescent="0.25">
      <c r="A1924" s="356"/>
      <c r="B1924" s="376"/>
      <c r="C1924" s="379"/>
      <c r="D1924" s="59" t="s">
        <v>8</v>
      </c>
      <c r="E1924" s="166" t="str">
        <f>A1919&amp;"/"&amp;B1919&amp;"/"&amp;C1923&amp;"/"&amp;D1924</f>
        <v>Fuel oil fired power plants/Integrated gasification combined cycle/Electricity only with CCS/M</v>
      </c>
      <c r="F1924" s="79" t="str">
        <f>A1919</f>
        <v>Fuel oil fired power plants</v>
      </c>
      <c r="G1924" s="79" t="str">
        <f>B1919</f>
        <v>Integrated gasification combined cycle</v>
      </c>
      <c r="H1924" s="79" t="str">
        <f>C1923</f>
        <v>Electricity only with CCS</v>
      </c>
      <c r="I1924" s="167" t="str">
        <f t="shared" si="384"/>
        <v>M</v>
      </c>
      <c r="J1924" s="125" t="str">
        <f>IF(tech_base!$T180&gt;J$1745,"",(tech_base!$K180/tech_proj!J304*0.086*$J$132)/(1-tech_proj!J584))</f>
        <v/>
      </c>
      <c r="K1924" s="125" t="str">
        <f>IF(tech_base!$T180&gt;K$1745,"",(tech_base!$K180/tech_proj!K304*0.086*$J$132)/(1-tech_proj!K584))</f>
        <v/>
      </c>
      <c r="L1924" s="125" t="str">
        <f>IF(tech_base!$T180&gt;L$1745,"",(tech_base!$K180/tech_proj!L304*0.086*$J$132)/(1-tech_proj!L584))</f>
        <v/>
      </c>
      <c r="M1924" s="125" t="str">
        <f>IF(tech_base!$T180&gt;M$1745,"",(tech_base!$K180/tech_proj!M304*0.086*$J$132)/(1-tech_proj!M584))</f>
        <v/>
      </c>
      <c r="N1924" s="125" t="str">
        <f>IF(tech_base!$T180&gt;N$1745,"",(tech_base!$K180/tech_proj!N304*0.086*$J$132)/(1-tech_proj!N584))</f>
        <v/>
      </c>
      <c r="O1924" s="125" t="str">
        <f>IF(tech_base!$T180&gt;O$1745,"",(tech_base!$K180/tech_proj!O304*0.086*$J$132)/(1-tech_proj!O584))</f>
        <v/>
      </c>
      <c r="P1924" s="125" t="str">
        <f>IF(tech_base!$T180&gt;P$1745,"",(tech_base!$K180/tech_proj!P304*0.086*$J$132)/(1-tech_proj!P584))</f>
        <v/>
      </c>
      <c r="Q1924" s="125" t="str">
        <f>IF(tech_base!$T180&gt;Q$1745,"",(tech_base!$K180/tech_proj!Q304*0.086*$J$132)/(1-tech_proj!Q584))</f>
        <v/>
      </c>
      <c r="R1924" s="125" t="str">
        <f>IF(tech_base!$T180&gt;R$1745,"",(tech_base!$K180/tech_proj!R304*0.086*$J$132)/(1-tech_proj!R584))</f>
        <v/>
      </c>
      <c r="S1924" s="125" t="str">
        <f>IF(tech_base!$T180&gt;S$1745,"",(tech_base!$K180/tech_proj!S304*0.086*$J$132)/(1-tech_proj!S584))</f>
        <v/>
      </c>
      <c r="T1924" s="125" t="str">
        <f>IF(tech_base!$T180&gt;T$1745,"",(tech_base!$K180/tech_proj!T304*0.086*$J$132)/(1-tech_proj!T584))</f>
        <v/>
      </c>
      <c r="U1924" s="125" t="str">
        <f>IF(tech_base!$T180&gt;U$1745,"",(tech_base!$K180/tech_proj!U304*0.086*$J$132)/(1-tech_proj!U584))</f>
        <v/>
      </c>
      <c r="V1924" s="125" t="str">
        <f>IF(tech_base!$T180&gt;V$1745,"",(tech_base!$K180/tech_proj!V304*0.086*$J$132)/(1-tech_proj!V584))</f>
        <v/>
      </c>
      <c r="W1924" s="125" t="str">
        <f>IF(tech_base!$T180&gt;W$1745,"",(tech_base!$K180/tech_proj!W304*0.086*$J$132)/(1-tech_proj!W584))</f>
        <v/>
      </c>
      <c r="X1924" s="125" t="str">
        <f>IF(tech_base!$T180&gt;X$1745,"",(tech_base!$K180/tech_proj!X304*0.086*$J$132)/(1-tech_proj!X584))</f>
        <v/>
      </c>
      <c r="Y1924" s="125" t="str">
        <f>IF(tech_base!$T180&gt;Y$1745,"",(tech_base!$K180/tech_proj!Y304*0.086*$J$132)/(1-tech_proj!Y584))</f>
        <v/>
      </c>
      <c r="Z1924" s="125" t="str">
        <f>IF(tech_base!$T180&gt;Z$1745,"",(tech_base!$K180/tech_proj!Z304*0.086*$J$132)/(1-tech_proj!Z584))</f>
        <v/>
      </c>
      <c r="AA1924" s="125" t="str">
        <f>IF(tech_base!$T180&gt;AA$1745,"",(tech_base!$K180/tech_proj!AA304*0.086*$J$132)/(1-tech_proj!AA584))</f>
        <v/>
      </c>
      <c r="AB1924" s="125" t="str">
        <f>IF(tech_base!$T180&gt;AB$1745,"",(tech_base!$K180/tech_proj!AB304*0.086*$J$132)/(1-tech_proj!AB584))</f>
        <v/>
      </c>
      <c r="AC1924" s="125" t="str">
        <f>IF(tech_base!$T180&gt;AC$1745,"",(tech_base!$K180/tech_proj!AC304*0.086*$J$132)/(1-tech_proj!AC584))</f>
        <v/>
      </c>
      <c r="AD1924" s="125" t="str">
        <f>IF(tech_base!$T180&gt;AD$1745,"",(tech_base!$K180/tech_proj!AD304*0.086*$J$132)/(1-tech_proj!AD584))</f>
        <v/>
      </c>
      <c r="AE1924" s="125">
        <f>IF(tech_base!$T180&gt;AE$1745,"",(tech_base!$K180/tech_proj!AE304*0.086*$J$132)/(1-tech_proj!AE584))</f>
        <v>7.8958701260111726</v>
      </c>
      <c r="AF1924" s="125">
        <f>IF(tech_base!$T180&gt;AF$1745,"",(tech_base!$K180/tech_proj!AF304*0.086*$J$132)/(1-tech_proj!AF584))</f>
        <v>7.8958701260111726</v>
      </c>
      <c r="AG1924" s="125">
        <f>IF(tech_base!$T180&gt;AG$1745,"",(tech_base!$K180/tech_proj!AG304*0.086*$J$132)/(1-tech_proj!AG584))</f>
        <v>7.8958701260111726</v>
      </c>
      <c r="AH1924" s="125">
        <f>IF(tech_base!$T180&gt;AH$1745,"",(tech_base!$K180/tech_proj!AH304*0.086*$J$132)/(1-tech_proj!AH584))</f>
        <v>7.8958701260111726</v>
      </c>
      <c r="AI1924" s="125">
        <f>IF(tech_base!$T180&gt;AI$1745,"",(tech_base!$K180/tech_proj!AI304*0.086*$J$132)/(1-tech_proj!AI584))</f>
        <v>7.8958701260111726</v>
      </c>
      <c r="AJ1924" s="125">
        <f>IF(tech_base!$T180&gt;AJ$1745,"",(tech_base!$K180/tech_proj!AJ304*0.086*$J$132)/(1-tech_proj!AJ584))</f>
        <v>7.8958701260111726</v>
      </c>
      <c r="AK1924" s="125">
        <f>IF(tech_base!$T180&gt;AK$1745,"",(tech_base!$K180/tech_proj!AK304*0.086*$J$132)/(1-tech_proj!AK584))</f>
        <v>7.8958701260111726</v>
      </c>
      <c r="AL1924" s="125">
        <f>IF(tech_base!$T180&gt;AL$1745,"",(tech_base!$K180/tech_proj!AL304*0.086*$J$132)/(1-tech_proj!AL584))</f>
        <v>7.8958701260111726</v>
      </c>
      <c r="AM1924" s="125">
        <f>IF(tech_base!$T180&gt;AM$1745,"",(tech_base!$K180/tech_proj!AM304*0.086*$J$132)/(1-tech_proj!AM584))</f>
        <v>7.8958701260111726</v>
      </c>
      <c r="AN1924" s="125">
        <f>IF(tech_base!$T180&gt;AN$1745,"",(tech_base!$K180/tech_proj!AN304*0.086*$J$132)/(1-tech_proj!AN584))</f>
        <v>7.8958701260111726</v>
      </c>
      <c r="AO1924" s="125">
        <f>IF(tech_base!$T180&gt;AO$1745,"",(tech_base!$K180/tech_proj!AO304*0.086*$J$132)/(1-tech_proj!AO584))</f>
        <v>7.8958701260111726</v>
      </c>
      <c r="AP1924" s="125">
        <f>IF(tech_base!$T180&gt;AP$1745,"",(tech_base!$K180/tech_proj!AP304*0.086*$J$132)/(1-tech_proj!AP584))</f>
        <v>7.8958701260111726</v>
      </c>
      <c r="AQ1924" s="125">
        <f>IF(tech_base!$T180&gt;AQ$1745,"",(tech_base!$K180/tech_proj!AQ304*0.086*$J$132)/(1-tech_proj!AQ584))</f>
        <v>7.8958701260111726</v>
      </c>
      <c r="AR1924" s="125">
        <f>IF(tech_base!$T180&gt;AR$1745,"",(tech_base!$K180/tech_proj!AR304*0.086*$J$132)/(1-tech_proj!AR584))</f>
        <v>7.8958701260111726</v>
      </c>
      <c r="AS1924" s="125">
        <f>IF(tech_base!$T180&gt;AS$1745,"",(tech_base!$K180/tech_proj!AS304*0.086*$J$132)/(1-tech_proj!AS584))</f>
        <v>7.8951598191557304</v>
      </c>
      <c r="AT1924" s="125">
        <f>IF(tech_base!$T180&gt;AT$1745,"",(tech_base!$K180/tech_proj!AT304*0.086*$J$132)/(1-tech_proj!AT584))</f>
        <v>7.8947053521474473</v>
      </c>
      <c r="AU1924" s="125">
        <f>IF(tech_base!$T180&gt;AU$1745,"",(tech_base!$K180/tech_proj!AU304*0.086*$J$132)/(1-tech_proj!AU584))</f>
        <v>7.8939666899942287</v>
      </c>
      <c r="AV1924" s="125">
        <f>IF(tech_base!$T180&gt;AV$1745,"",(tech_base!$K180/tech_proj!AV304*0.086*$J$132)/(1-tech_proj!AV584))</f>
        <v>7.8927769259238341</v>
      </c>
      <c r="AW1924" s="125">
        <f>IF(tech_base!$T180&gt;AW$1745,"",(tech_base!$K180/tech_proj!AW304*0.086*$J$132)/(1-tech_proj!AW584))</f>
        <v>7.8908882517149408</v>
      </c>
      <c r="AX1924" s="126">
        <f>IF(tech_base!$T180&gt;AX$1745,"",(tech_base!$K180/tech_proj!AX304*0.086*$J$132)/(1-tech_proj!AX584))</f>
        <v>7.8879584166032419</v>
      </c>
    </row>
    <row r="1925" spans="1:50" x14ac:dyDescent="0.25">
      <c r="A1925" s="356"/>
      <c r="B1925" s="376"/>
      <c r="C1925" s="361" t="s">
        <v>16</v>
      </c>
      <c r="D1925" s="2" t="s">
        <v>7</v>
      </c>
      <c r="E1925" s="160" t="str">
        <f>A1919&amp;"/"&amp;B1919&amp;"/"&amp;C1925&amp;"/"&amp;D1925</f>
        <v>Fuel oil fired power plants/Integrated gasification combined cycle/CHP with CCS/L</v>
      </c>
      <c r="F1925" s="76" t="str">
        <f>A1919</f>
        <v>Fuel oil fired power plants</v>
      </c>
      <c r="G1925" s="76" t="str">
        <f>B1919</f>
        <v>Integrated gasification combined cycle</v>
      </c>
      <c r="H1925" s="76" t="str">
        <f>C1925</f>
        <v>CHP with CCS</v>
      </c>
      <c r="I1925" s="161" t="str">
        <f t="shared" si="384"/>
        <v>L</v>
      </c>
      <c r="J1925" s="119" t="str">
        <f>IF(tech_base!$T181&gt;J$1745,"",(tech_base!$K181/tech_proj!J305*0.086*$J$132)/(1-tech_proj!J585))</f>
        <v/>
      </c>
      <c r="K1925" s="119" t="str">
        <f>IF(tech_base!$T181&gt;K$1745,"",(tech_base!$K181/tech_proj!K305*0.086*$J$132)/(1-tech_proj!K585))</f>
        <v/>
      </c>
      <c r="L1925" s="119" t="str">
        <f>IF(tech_base!$T181&gt;L$1745,"",(tech_base!$K181/tech_proj!L305*0.086*$J$132)/(1-tech_proj!L585))</f>
        <v/>
      </c>
      <c r="M1925" s="119" t="str">
        <f>IF(tech_base!$T181&gt;M$1745,"",(tech_base!$K181/tech_proj!M305*0.086*$J$132)/(1-tech_proj!M585))</f>
        <v/>
      </c>
      <c r="N1925" s="119" t="str">
        <f>IF(tech_base!$T181&gt;N$1745,"",(tech_base!$K181/tech_proj!N305*0.086*$J$132)/(1-tech_proj!N585))</f>
        <v/>
      </c>
      <c r="O1925" s="119" t="str">
        <f>IF(tech_base!$T181&gt;O$1745,"",(tech_base!$K181/tech_proj!O305*0.086*$J$132)/(1-tech_proj!O585))</f>
        <v/>
      </c>
      <c r="P1925" s="119" t="str">
        <f>IF(tech_base!$T181&gt;P$1745,"",(tech_base!$K181/tech_proj!P305*0.086*$J$132)/(1-tech_proj!P585))</f>
        <v/>
      </c>
      <c r="Q1925" s="119" t="str">
        <f>IF(tech_base!$T181&gt;Q$1745,"",(tech_base!$K181/tech_proj!Q305*0.086*$J$132)/(1-tech_proj!Q585))</f>
        <v/>
      </c>
      <c r="R1925" s="119" t="str">
        <f>IF(tech_base!$T181&gt;R$1745,"",(tech_base!$K181/tech_proj!R305*0.086*$J$132)/(1-tech_proj!R585))</f>
        <v/>
      </c>
      <c r="S1925" s="119" t="str">
        <f>IF(tech_base!$T181&gt;S$1745,"",(tech_base!$K181/tech_proj!S305*0.086*$J$132)/(1-tech_proj!S585))</f>
        <v/>
      </c>
      <c r="T1925" s="119" t="str">
        <f>IF(tech_base!$T181&gt;T$1745,"",(tech_base!$K181/tech_proj!T305*0.086*$J$132)/(1-tech_proj!T585))</f>
        <v/>
      </c>
      <c r="U1925" s="119" t="str">
        <f>IF(tech_base!$T181&gt;U$1745,"",(tech_base!$K181/tech_proj!U305*0.086*$J$132)/(1-tech_proj!U585))</f>
        <v/>
      </c>
      <c r="V1925" s="119" t="str">
        <f>IF(tech_base!$T181&gt;V$1745,"",(tech_base!$K181/tech_proj!V305*0.086*$J$132)/(1-tech_proj!V585))</f>
        <v/>
      </c>
      <c r="W1925" s="119" t="str">
        <f>IF(tech_base!$T181&gt;W$1745,"",(tech_base!$K181/tech_proj!W305*0.086*$J$132)/(1-tech_proj!W585))</f>
        <v/>
      </c>
      <c r="X1925" s="119" t="str">
        <f>IF(tech_base!$T181&gt;X$1745,"",(tech_base!$K181/tech_proj!X305*0.086*$J$132)/(1-tech_proj!X585))</f>
        <v/>
      </c>
      <c r="Y1925" s="119" t="str">
        <f>IF(tech_base!$T181&gt;Y$1745,"",(tech_base!$K181/tech_proj!Y305*0.086*$J$132)/(1-tech_proj!Y585))</f>
        <v/>
      </c>
      <c r="Z1925" s="119" t="str">
        <f>IF(tech_base!$T181&gt;Z$1745,"",(tech_base!$K181/tech_proj!Z305*0.086*$J$132)/(1-tech_proj!Z585))</f>
        <v/>
      </c>
      <c r="AA1925" s="119" t="str">
        <f>IF(tech_base!$T181&gt;AA$1745,"",(tech_base!$K181/tech_proj!AA305*0.086*$J$132)/(1-tech_proj!AA585))</f>
        <v/>
      </c>
      <c r="AB1925" s="119" t="str">
        <f>IF(tech_base!$T181&gt;AB$1745,"",(tech_base!$K181/tech_proj!AB305*0.086*$J$132)/(1-tech_proj!AB585))</f>
        <v/>
      </c>
      <c r="AC1925" s="119" t="str">
        <f>IF(tech_base!$T181&gt;AC$1745,"",(tech_base!$K181/tech_proj!AC305*0.086*$J$132)/(1-tech_proj!AC585))</f>
        <v/>
      </c>
      <c r="AD1925" s="119" t="str">
        <f>IF(tech_base!$T181&gt;AD$1745,"",(tech_base!$K181/tech_proj!AD305*0.086*$J$132)/(1-tech_proj!AD585))</f>
        <v/>
      </c>
      <c r="AE1925" s="119">
        <f>IF(tech_base!$T181&gt;AE$1745,"",(tech_base!$K181/tech_proj!AE305*0.086*$J$132)/(1-tech_proj!AE585))</f>
        <v>8.3723695912386127</v>
      </c>
      <c r="AF1925" s="119">
        <f>IF(tech_base!$T181&gt;AF$1745,"",(tech_base!$K181/tech_proj!AF305*0.086*$J$132)/(1-tech_proj!AF585))</f>
        <v>8.3723695912386127</v>
      </c>
      <c r="AG1925" s="119">
        <f>IF(tech_base!$T181&gt;AG$1745,"",(tech_base!$K181/tech_proj!AG305*0.086*$J$132)/(1-tech_proj!AG585))</f>
        <v>8.3723695912386127</v>
      </c>
      <c r="AH1925" s="119">
        <f>IF(tech_base!$T181&gt;AH$1745,"",(tech_base!$K181/tech_proj!AH305*0.086*$J$132)/(1-tech_proj!AH585))</f>
        <v>8.3723695912386127</v>
      </c>
      <c r="AI1925" s="119">
        <f>IF(tech_base!$T181&gt;AI$1745,"",(tech_base!$K181/tech_proj!AI305*0.086*$J$132)/(1-tech_proj!AI585))</f>
        <v>8.3723695912386127</v>
      </c>
      <c r="AJ1925" s="119">
        <f>IF(tech_base!$T181&gt;AJ$1745,"",(tech_base!$K181/tech_proj!AJ305*0.086*$J$132)/(1-tech_proj!AJ585))</f>
        <v>8.3723695912386127</v>
      </c>
      <c r="AK1925" s="119">
        <f>IF(tech_base!$T181&gt;AK$1745,"",(tech_base!$K181/tech_proj!AK305*0.086*$J$132)/(1-tech_proj!AK585))</f>
        <v>8.3723695912386127</v>
      </c>
      <c r="AL1925" s="119">
        <f>IF(tech_base!$T181&gt;AL$1745,"",(tech_base!$K181/tech_proj!AL305*0.086*$J$132)/(1-tech_proj!AL585))</f>
        <v>8.3723695912386127</v>
      </c>
      <c r="AM1925" s="119">
        <f>IF(tech_base!$T181&gt;AM$1745,"",(tech_base!$K181/tech_proj!AM305*0.086*$J$132)/(1-tech_proj!AM585))</f>
        <v>8.3723695912386127</v>
      </c>
      <c r="AN1925" s="119">
        <f>IF(tech_base!$T181&gt;AN$1745,"",(tech_base!$K181/tech_proj!AN305*0.086*$J$132)/(1-tech_proj!AN585))</f>
        <v>8.3723695912386127</v>
      </c>
      <c r="AO1925" s="119">
        <f>IF(tech_base!$T181&gt;AO$1745,"",(tech_base!$K181/tech_proj!AO305*0.086*$J$132)/(1-tech_proj!AO585))</f>
        <v>8.3723695912386127</v>
      </c>
      <c r="AP1925" s="119">
        <f>IF(tech_base!$T181&gt;AP$1745,"",(tech_base!$K181/tech_proj!AP305*0.086*$J$132)/(1-tech_proj!AP585))</f>
        <v>8.3723695912386127</v>
      </c>
      <c r="AQ1925" s="119">
        <f>IF(tech_base!$T181&gt;AQ$1745,"",(tech_base!$K181/tech_proj!AQ305*0.086*$J$132)/(1-tech_proj!AQ585))</f>
        <v>8.3723695912386127</v>
      </c>
      <c r="AR1925" s="119">
        <f>IF(tech_base!$T181&gt;AR$1745,"",(tech_base!$K181/tech_proj!AR305*0.086*$J$132)/(1-tech_proj!AR585))</f>
        <v>8.3723695912386127</v>
      </c>
      <c r="AS1925" s="119">
        <f>IF(tech_base!$T181&gt;AS$1745,"",(tech_base!$K181/tech_proj!AS305*0.086*$J$132)/(1-tech_proj!AS585))</f>
        <v>8.3716164188305022</v>
      </c>
      <c r="AT1925" s="119">
        <f>IF(tech_base!$T181&gt;AT$1745,"",(tech_base!$K181/tech_proj!AT305*0.086*$J$132)/(1-tech_proj!AT585))</f>
        <v>8.3711345256762772</v>
      </c>
      <c r="AU1925" s="119">
        <f>IF(tech_base!$T181&gt;AU$1745,"",(tech_base!$K181/tech_proj!AU305*0.086*$J$132)/(1-tech_proj!AU585))</f>
        <v>8.370351286786688</v>
      </c>
      <c r="AV1925" s="119">
        <f>IF(tech_base!$T181&gt;AV$1745,"",(tech_base!$K181/tech_proj!AV305*0.086*$J$132)/(1-tech_proj!AV585))</f>
        <v>8.3690897229102923</v>
      </c>
      <c r="AW1925" s="119">
        <f>IF(tech_base!$T181&gt;AW$1745,"",(tech_base!$K181/tech_proj!AW305*0.086*$J$132)/(1-tech_proj!AW585))</f>
        <v>8.367087071111067</v>
      </c>
      <c r="AX1925" s="120">
        <f>IF(tech_base!$T181&gt;AX$1745,"",(tech_base!$K181/tech_proj!AX305*0.086*$J$132)/(1-tech_proj!AX585))</f>
        <v>8.3639804264974842</v>
      </c>
    </row>
    <row r="1926" spans="1:50" x14ac:dyDescent="0.25">
      <c r="A1926" s="356"/>
      <c r="B1926" s="380"/>
      <c r="C1926" s="354"/>
      <c r="D1926" s="4" t="s">
        <v>8</v>
      </c>
      <c r="E1926" s="168" t="str">
        <f>A1919&amp;"/"&amp;B1919&amp;"/"&amp;C1925&amp;"/"&amp;D1926</f>
        <v>Fuel oil fired power plants/Integrated gasification combined cycle/CHP with CCS/M</v>
      </c>
      <c r="F1926" s="80" t="str">
        <f>A1919</f>
        <v>Fuel oil fired power plants</v>
      </c>
      <c r="G1926" s="80" t="str">
        <f>B1919</f>
        <v>Integrated gasification combined cycle</v>
      </c>
      <c r="H1926" s="80" t="str">
        <f>C1925</f>
        <v>CHP with CCS</v>
      </c>
      <c r="I1926" s="169" t="str">
        <f t="shared" si="384"/>
        <v>M</v>
      </c>
      <c r="J1926" s="127" t="str">
        <f>IF(tech_base!$T182&gt;J$1745,"",(tech_base!$K182/tech_proj!J306*0.086*$J$132)/(1-tech_proj!J586))</f>
        <v/>
      </c>
      <c r="K1926" s="127" t="str">
        <f>IF(tech_base!$T182&gt;K$1745,"",(tech_base!$K182/tech_proj!K306*0.086*$J$132)/(1-tech_proj!K586))</f>
        <v/>
      </c>
      <c r="L1926" s="127" t="str">
        <f>IF(tech_base!$T182&gt;L$1745,"",(tech_base!$K182/tech_proj!L306*0.086*$J$132)/(1-tech_proj!L586))</f>
        <v/>
      </c>
      <c r="M1926" s="127" t="str">
        <f>IF(tech_base!$T182&gt;M$1745,"",(tech_base!$K182/tech_proj!M306*0.086*$J$132)/(1-tech_proj!M586))</f>
        <v/>
      </c>
      <c r="N1926" s="127" t="str">
        <f>IF(tech_base!$T182&gt;N$1745,"",(tech_base!$K182/tech_proj!N306*0.086*$J$132)/(1-tech_proj!N586))</f>
        <v/>
      </c>
      <c r="O1926" s="127" t="str">
        <f>IF(tech_base!$T182&gt;O$1745,"",(tech_base!$K182/tech_proj!O306*0.086*$J$132)/(1-tech_proj!O586))</f>
        <v/>
      </c>
      <c r="P1926" s="127" t="str">
        <f>IF(tech_base!$T182&gt;P$1745,"",(tech_base!$K182/tech_proj!P306*0.086*$J$132)/(1-tech_proj!P586))</f>
        <v/>
      </c>
      <c r="Q1926" s="127" t="str">
        <f>IF(tech_base!$T182&gt;Q$1745,"",(tech_base!$K182/tech_proj!Q306*0.086*$J$132)/(1-tech_proj!Q586))</f>
        <v/>
      </c>
      <c r="R1926" s="127" t="str">
        <f>IF(tech_base!$T182&gt;R$1745,"",(tech_base!$K182/tech_proj!R306*0.086*$J$132)/(1-tech_proj!R586))</f>
        <v/>
      </c>
      <c r="S1926" s="127" t="str">
        <f>IF(tech_base!$T182&gt;S$1745,"",(tech_base!$K182/tech_proj!S306*0.086*$J$132)/(1-tech_proj!S586))</f>
        <v/>
      </c>
      <c r="T1926" s="127" t="str">
        <f>IF(tech_base!$T182&gt;T$1745,"",(tech_base!$K182/tech_proj!T306*0.086*$J$132)/(1-tech_proj!T586))</f>
        <v/>
      </c>
      <c r="U1926" s="127" t="str">
        <f>IF(tech_base!$T182&gt;U$1745,"",(tech_base!$K182/tech_proj!U306*0.086*$J$132)/(1-tech_proj!U586))</f>
        <v/>
      </c>
      <c r="V1926" s="127" t="str">
        <f>IF(tech_base!$T182&gt;V$1745,"",(tech_base!$K182/tech_proj!V306*0.086*$J$132)/(1-tech_proj!V586))</f>
        <v/>
      </c>
      <c r="W1926" s="127" t="str">
        <f>IF(tech_base!$T182&gt;W$1745,"",(tech_base!$K182/tech_proj!W306*0.086*$J$132)/(1-tech_proj!W586))</f>
        <v/>
      </c>
      <c r="X1926" s="127" t="str">
        <f>IF(tech_base!$T182&gt;X$1745,"",(tech_base!$K182/tech_proj!X306*0.086*$J$132)/(1-tech_proj!X586))</f>
        <v/>
      </c>
      <c r="Y1926" s="127" t="str">
        <f>IF(tech_base!$T182&gt;Y$1745,"",(tech_base!$K182/tech_proj!Y306*0.086*$J$132)/(1-tech_proj!Y586))</f>
        <v/>
      </c>
      <c r="Z1926" s="127" t="str">
        <f>IF(tech_base!$T182&gt;Z$1745,"",(tech_base!$K182/tech_proj!Z306*0.086*$J$132)/(1-tech_proj!Z586))</f>
        <v/>
      </c>
      <c r="AA1926" s="127" t="str">
        <f>IF(tech_base!$T182&gt;AA$1745,"",(tech_base!$K182/tech_proj!AA306*0.086*$J$132)/(1-tech_proj!AA586))</f>
        <v/>
      </c>
      <c r="AB1926" s="127" t="str">
        <f>IF(tech_base!$T182&gt;AB$1745,"",(tech_base!$K182/tech_proj!AB306*0.086*$J$132)/(1-tech_proj!AB586))</f>
        <v/>
      </c>
      <c r="AC1926" s="127" t="str">
        <f>IF(tech_base!$T182&gt;AC$1745,"",(tech_base!$K182/tech_proj!AC306*0.086*$J$132)/(1-tech_proj!AC586))</f>
        <v/>
      </c>
      <c r="AD1926" s="127" t="str">
        <f>IF(tech_base!$T182&gt;AD$1745,"",(tech_base!$K182/tech_proj!AD306*0.086*$J$132)/(1-tech_proj!AD586))</f>
        <v/>
      </c>
      <c r="AE1926" s="127">
        <f>IF(tech_base!$T182&gt;AE$1745,"",(tech_base!$K182/tech_proj!AE306*0.086*$J$132)/(1-tech_proj!AE586))</f>
        <v>8.9100741776934242</v>
      </c>
      <c r="AF1926" s="127">
        <f>IF(tech_base!$T182&gt;AF$1745,"",(tech_base!$K182/tech_proj!AF306*0.086*$J$132)/(1-tech_proj!AF586))</f>
        <v>8.9100741776934242</v>
      </c>
      <c r="AG1926" s="127">
        <f>IF(tech_base!$T182&gt;AG$1745,"",(tech_base!$K182/tech_proj!AG306*0.086*$J$132)/(1-tech_proj!AG586))</f>
        <v>8.9100741776934242</v>
      </c>
      <c r="AH1926" s="127">
        <f>IF(tech_base!$T182&gt;AH$1745,"",(tech_base!$K182/tech_proj!AH306*0.086*$J$132)/(1-tech_proj!AH586))</f>
        <v>8.9100741776934242</v>
      </c>
      <c r="AI1926" s="127">
        <f>IF(tech_base!$T182&gt;AI$1745,"",(tech_base!$K182/tech_proj!AI306*0.086*$J$132)/(1-tech_proj!AI586))</f>
        <v>8.9100741776934242</v>
      </c>
      <c r="AJ1926" s="127">
        <f>IF(tech_base!$T182&gt;AJ$1745,"",(tech_base!$K182/tech_proj!AJ306*0.086*$J$132)/(1-tech_proj!AJ586))</f>
        <v>8.9100741776934242</v>
      </c>
      <c r="AK1926" s="127">
        <f>IF(tech_base!$T182&gt;AK$1745,"",(tech_base!$K182/tech_proj!AK306*0.086*$J$132)/(1-tech_proj!AK586))</f>
        <v>8.9100741776934242</v>
      </c>
      <c r="AL1926" s="127">
        <f>IF(tech_base!$T182&gt;AL$1745,"",(tech_base!$K182/tech_proj!AL306*0.086*$J$132)/(1-tech_proj!AL586))</f>
        <v>8.9100741776934242</v>
      </c>
      <c r="AM1926" s="127">
        <f>IF(tech_base!$T182&gt;AM$1745,"",(tech_base!$K182/tech_proj!AM306*0.086*$J$132)/(1-tech_proj!AM586))</f>
        <v>8.9100741776934242</v>
      </c>
      <c r="AN1926" s="127">
        <f>IF(tech_base!$T182&gt;AN$1745,"",(tech_base!$K182/tech_proj!AN306*0.086*$J$132)/(1-tech_proj!AN586))</f>
        <v>8.9100741776934242</v>
      </c>
      <c r="AO1926" s="127">
        <f>IF(tech_base!$T182&gt;AO$1745,"",(tech_base!$K182/tech_proj!AO306*0.086*$J$132)/(1-tech_proj!AO586))</f>
        <v>8.9100741776934242</v>
      </c>
      <c r="AP1926" s="127">
        <f>IF(tech_base!$T182&gt;AP$1745,"",(tech_base!$K182/tech_proj!AP306*0.086*$J$132)/(1-tech_proj!AP586))</f>
        <v>8.9100741776934242</v>
      </c>
      <c r="AQ1926" s="127">
        <f>IF(tech_base!$T182&gt;AQ$1745,"",(tech_base!$K182/tech_proj!AQ306*0.086*$J$132)/(1-tech_proj!AQ586))</f>
        <v>8.9100741776934242</v>
      </c>
      <c r="AR1926" s="127">
        <f>IF(tech_base!$T182&gt;AR$1745,"",(tech_base!$K182/tech_proj!AR306*0.086*$J$132)/(1-tech_proj!AR586))</f>
        <v>8.9100741776934242</v>
      </c>
      <c r="AS1926" s="127">
        <f>IF(tech_base!$T182&gt;AS$1745,"",(tech_base!$K182/tech_proj!AS306*0.086*$J$132)/(1-tech_proj!AS586))</f>
        <v>8.9092726337635071</v>
      </c>
      <c r="AT1926" s="127">
        <f>IF(tech_base!$T182&gt;AT$1745,"",(tech_base!$K182/tech_proj!AT306*0.086*$J$132)/(1-tech_proj!AT586))</f>
        <v>8.9087597916459824</v>
      </c>
      <c r="AU1926" s="127">
        <f>IF(tech_base!$T182&gt;AU$1745,"",(tech_base!$K182/tech_proj!AU306*0.086*$J$132)/(1-tech_proj!AU586))</f>
        <v>8.9079262502537855</v>
      </c>
      <c r="AV1926" s="127">
        <f>IF(tech_base!$T182&gt;AV$1745,"",(tech_base!$K182/tech_proj!AV306*0.086*$J$132)/(1-tech_proj!AV586))</f>
        <v>8.9065836640724036</v>
      </c>
      <c r="AW1926" s="127">
        <f>IF(tech_base!$T182&gt;AW$1745,"",(tech_base!$K182/tech_proj!AW306*0.086*$J$132)/(1-tech_proj!AW586))</f>
        <v>8.9044523945568006</v>
      </c>
      <c r="AX1926" s="128">
        <f>IF(tech_base!$T182&gt;AX$1745,"",(tech_base!$K182/tech_proj!AX306*0.086*$J$132)/(1-tech_proj!AX586))</f>
        <v>8.9011462297191049</v>
      </c>
    </row>
    <row r="1927" spans="1:50" x14ac:dyDescent="0.25">
      <c r="A1927" s="356"/>
      <c r="B1927" s="358" t="s">
        <v>17</v>
      </c>
      <c r="C1927" s="353" t="s">
        <v>6</v>
      </c>
      <c r="D1927" s="3" t="s">
        <v>7</v>
      </c>
      <c r="E1927" s="162" t="str">
        <f>A1919&amp;"/"&amp;B1927&amp;"/"&amp;C1927&amp;"/"&amp;D1927</f>
        <v>Fuel oil fired power plants/Supercritical steam turbine/Electricity only/L</v>
      </c>
      <c r="F1927" s="77" t="str">
        <f>A1919</f>
        <v>Fuel oil fired power plants</v>
      </c>
      <c r="G1927" s="77" t="str">
        <f>B1927</f>
        <v>Supercritical steam turbine</v>
      </c>
      <c r="H1927" s="77" t="str">
        <f>C1927</f>
        <v>Electricity only</v>
      </c>
      <c r="I1927" s="163" t="str">
        <f t="shared" si="384"/>
        <v>L</v>
      </c>
      <c r="J1927" s="121">
        <f>IF(tech_base!$T183&gt;J$1745,"",(tech_base!$K183/tech_proj!J307*0.086*$J$132)/(1-tech_proj!J587))</f>
        <v>0</v>
      </c>
      <c r="K1927" s="121">
        <f>IF(tech_base!$T183&gt;K$1745,"",(tech_base!$K183/tech_proj!K307*0.086*$J$132)/(1-tech_proj!K587))</f>
        <v>0</v>
      </c>
      <c r="L1927" s="121">
        <f>IF(tech_base!$T183&gt;L$1745,"",(tech_base!$K183/tech_proj!L307*0.086*$J$132)/(1-tech_proj!L587))</f>
        <v>0</v>
      </c>
      <c r="M1927" s="121">
        <f>IF(tech_base!$T183&gt;M$1745,"",(tech_base!$K183/tech_proj!M307*0.086*$J$132)/(1-tech_proj!M587))</f>
        <v>0</v>
      </c>
      <c r="N1927" s="121">
        <f>IF(tech_base!$T183&gt;N$1745,"",(tech_base!$K183/tech_proj!N307*0.086*$J$132)/(1-tech_proj!N587))</f>
        <v>0</v>
      </c>
      <c r="O1927" s="121">
        <f>IF(tech_base!$T183&gt;O$1745,"",(tech_base!$K183/tech_proj!O307*0.086*$J$132)/(1-tech_proj!O587))</f>
        <v>0</v>
      </c>
      <c r="P1927" s="121">
        <f>IF(tech_base!$T183&gt;P$1745,"",(tech_base!$K183/tech_proj!P307*0.086*$J$132)/(1-tech_proj!P587))</f>
        <v>0</v>
      </c>
      <c r="Q1927" s="121">
        <f>IF(tech_base!$T183&gt;Q$1745,"",(tech_base!$K183/tech_proj!Q307*0.086*$J$132)/(1-tech_proj!Q587))</f>
        <v>0</v>
      </c>
      <c r="R1927" s="121">
        <f>IF(tech_base!$T183&gt;R$1745,"",(tech_base!$K183/tech_proj!R307*0.086*$J$132)/(1-tech_proj!R587))</f>
        <v>0</v>
      </c>
      <c r="S1927" s="121">
        <f>IF(tech_base!$T183&gt;S$1745,"",(tech_base!$K183/tech_proj!S307*0.086*$J$132)/(1-tech_proj!S587))</f>
        <v>0</v>
      </c>
      <c r="T1927" s="121">
        <f>IF(tech_base!$T183&gt;T$1745,"",(tech_base!$K183/tech_proj!T307*0.086*$J$132)/(1-tech_proj!T587))</f>
        <v>0</v>
      </c>
      <c r="U1927" s="121">
        <f>IF(tech_base!$T183&gt;U$1745,"",(tech_base!$K183/tech_proj!U307*0.086*$J$132)/(1-tech_proj!U587))</f>
        <v>0</v>
      </c>
      <c r="V1927" s="121">
        <f>IF(tech_base!$T183&gt;V$1745,"",(tech_base!$K183/tech_proj!V307*0.086*$J$132)/(1-tech_proj!V587))</f>
        <v>0</v>
      </c>
      <c r="W1927" s="121">
        <f>IF(tech_base!$T183&gt;W$1745,"",(tech_base!$K183/tech_proj!W307*0.086*$J$132)/(1-tech_proj!W587))</f>
        <v>0</v>
      </c>
      <c r="X1927" s="121">
        <f>IF(tech_base!$T183&gt;X$1745,"",(tech_base!$K183/tech_proj!X307*0.086*$J$132)/(1-tech_proj!X587))</f>
        <v>0</v>
      </c>
      <c r="Y1927" s="121">
        <f>IF(tech_base!$T183&gt;Y$1745,"",(tech_base!$K183/tech_proj!Y307*0.086*$J$132)/(1-tech_proj!Y587))</f>
        <v>0</v>
      </c>
      <c r="Z1927" s="121">
        <f>IF(tech_base!$T183&gt;Z$1745,"",(tech_base!$K183/tech_proj!Z307*0.086*$J$132)/(1-tech_proj!Z587))</f>
        <v>0</v>
      </c>
      <c r="AA1927" s="121">
        <f>IF(tech_base!$T183&gt;AA$1745,"",(tech_base!$K183/tech_proj!AA307*0.086*$J$132)/(1-tech_proj!AA587))</f>
        <v>0</v>
      </c>
      <c r="AB1927" s="121">
        <f>IF(tech_base!$T183&gt;AB$1745,"",(tech_base!$K183/tech_proj!AB307*0.086*$J$132)/(1-tech_proj!AB587))</f>
        <v>0</v>
      </c>
      <c r="AC1927" s="121">
        <f>IF(tech_base!$T183&gt;AC$1745,"",(tech_base!$K183/tech_proj!AC307*0.086*$J$132)/(1-tech_proj!AC587))</f>
        <v>0</v>
      </c>
      <c r="AD1927" s="121">
        <f>IF(tech_base!$T183&gt;AD$1745,"",(tech_base!$K183/tech_proj!AD307*0.086*$J$132)/(1-tech_proj!AD587))</f>
        <v>0</v>
      </c>
      <c r="AE1927" s="121">
        <f>IF(tech_base!$T183&gt;AE$1745,"",(tech_base!$K183/tech_proj!AE307*0.086*$J$132)/(1-tech_proj!AE587))</f>
        <v>0</v>
      </c>
      <c r="AF1927" s="121">
        <f>IF(tech_base!$T183&gt;AF$1745,"",(tech_base!$K183/tech_proj!AF307*0.086*$J$132)/(1-tech_proj!AF587))</f>
        <v>0</v>
      </c>
      <c r="AG1927" s="121">
        <f>IF(tech_base!$T183&gt;AG$1745,"",(tech_base!$K183/tech_proj!AG307*0.086*$J$132)/(1-tech_proj!AG587))</f>
        <v>0</v>
      </c>
      <c r="AH1927" s="121">
        <f>IF(tech_base!$T183&gt;AH$1745,"",(tech_base!$K183/tech_proj!AH307*0.086*$J$132)/(1-tech_proj!AH587))</f>
        <v>0</v>
      </c>
      <c r="AI1927" s="121">
        <f>IF(tech_base!$T183&gt;AI$1745,"",(tech_base!$K183/tech_proj!AI307*0.086*$J$132)/(1-tech_proj!AI587))</f>
        <v>0</v>
      </c>
      <c r="AJ1927" s="121">
        <f>IF(tech_base!$T183&gt;AJ$1745,"",(tech_base!$K183/tech_proj!AJ307*0.086*$J$132)/(1-tech_proj!AJ587))</f>
        <v>0</v>
      </c>
      <c r="AK1927" s="121">
        <f>IF(tech_base!$T183&gt;AK$1745,"",(tech_base!$K183/tech_proj!AK307*0.086*$J$132)/(1-tech_proj!AK587))</f>
        <v>0</v>
      </c>
      <c r="AL1927" s="121">
        <f>IF(tech_base!$T183&gt;AL$1745,"",(tech_base!$K183/tech_proj!AL307*0.086*$J$132)/(1-tech_proj!AL587))</f>
        <v>0</v>
      </c>
      <c r="AM1927" s="121">
        <f>IF(tech_base!$T183&gt;AM$1745,"",(tech_base!$K183/tech_proj!AM307*0.086*$J$132)/(1-tech_proj!AM587))</f>
        <v>0</v>
      </c>
      <c r="AN1927" s="121">
        <f>IF(tech_base!$T183&gt;AN$1745,"",(tech_base!$K183/tech_proj!AN307*0.086*$J$132)/(1-tech_proj!AN587))</f>
        <v>0</v>
      </c>
      <c r="AO1927" s="121">
        <f>IF(tech_base!$T183&gt;AO$1745,"",(tech_base!$K183/tech_proj!AO307*0.086*$J$132)/(1-tech_proj!AO587))</f>
        <v>0</v>
      </c>
      <c r="AP1927" s="121">
        <f>IF(tech_base!$T183&gt;AP$1745,"",(tech_base!$K183/tech_proj!AP307*0.086*$J$132)/(1-tech_proj!AP587))</f>
        <v>0</v>
      </c>
      <c r="AQ1927" s="121">
        <f>IF(tech_base!$T183&gt;AQ$1745,"",(tech_base!$K183/tech_proj!AQ307*0.086*$J$132)/(1-tech_proj!AQ587))</f>
        <v>0</v>
      </c>
      <c r="AR1927" s="121">
        <f>IF(tech_base!$T183&gt;AR$1745,"",(tech_base!$K183/tech_proj!AR307*0.086*$J$132)/(1-tech_proj!AR587))</f>
        <v>0</v>
      </c>
      <c r="AS1927" s="121">
        <f>IF(tech_base!$T183&gt;AS$1745,"",(tech_base!$K183/tech_proj!AS307*0.086*$J$132)/(1-tech_proj!AS587))</f>
        <v>0</v>
      </c>
      <c r="AT1927" s="121">
        <f>IF(tech_base!$T183&gt;AT$1745,"",(tech_base!$K183/tech_proj!AT307*0.086*$J$132)/(1-tech_proj!AT587))</f>
        <v>0</v>
      </c>
      <c r="AU1927" s="121">
        <f>IF(tech_base!$T183&gt;AU$1745,"",(tech_base!$K183/tech_proj!AU307*0.086*$J$132)/(1-tech_proj!AU587))</f>
        <v>0</v>
      </c>
      <c r="AV1927" s="121">
        <f>IF(tech_base!$T183&gt;AV$1745,"",(tech_base!$K183/tech_proj!AV307*0.086*$J$132)/(1-tech_proj!AV587))</f>
        <v>0</v>
      </c>
      <c r="AW1927" s="121">
        <f>IF(tech_base!$T183&gt;AW$1745,"",(tech_base!$K183/tech_proj!AW307*0.086*$J$132)/(1-tech_proj!AW587))</f>
        <v>0</v>
      </c>
      <c r="AX1927" s="122">
        <f>IF(tech_base!$T183&gt;AX$1745,"",(tech_base!$K183/tech_proj!AX307*0.086*$J$132)/(1-tech_proj!AX587))</f>
        <v>0</v>
      </c>
    </row>
    <row r="1928" spans="1:50" x14ac:dyDescent="0.25">
      <c r="A1928" s="356"/>
      <c r="B1928" s="376"/>
      <c r="C1928" s="379"/>
      <c r="D1928" s="2" t="s">
        <v>8</v>
      </c>
      <c r="E1928" s="160" t="str">
        <f>A1919&amp;"/"&amp;B1927&amp;"/"&amp;C1927&amp;"/"&amp;D1928</f>
        <v>Fuel oil fired power plants/Supercritical steam turbine/Electricity only/M</v>
      </c>
      <c r="F1928" s="76" t="str">
        <f>A1919</f>
        <v>Fuel oil fired power plants</v>
      </c>
      <c r="G1928" s="76" t="str">
        <f>B1927</f>
        <v>Supercritical steam turbine</v>
      </c>
      <c r="H1928" s="76" t="str">
        <f>C1927</f>
        <v>Electricity only</v>
      </c>
      <c r="I1928" s="161" t="str">
        <f t="shared" si="384"/>
        <v>M</v>
      </c>
      <c r="J1928" s="119">
        <f>IF(tech_base!$T184&gt;J$1745,"",(tech_base!$K184/tech_proj!J308*0.086*$J$132)/(1-tech_proj!J588))</f>
        <v>0</v>
      </c>
      <c r="K1928" s="119">
        <f>IF(tech_base!$T184&gt;K$1745,"",(tech_base!$K184/tech_proj!K308*0.086*$J$132)/(1-tech_proj!K588))</f>
        <v>0</v>
      </c>
      <c r="L1928" s="119">
        <f>IF(tech_base!$T184&gt;L$1745,"",(tech_base!$K184/tech_proj!L308*0.086*$J$132)/(1-tech_proj!L588))</f>
        <v>0</v>
      </c>
      <c r="M1928" s="119">
        <f>IF(tech_base!$T184&gt;M$1745,"",(tech_base!$K184/tech_proj!M308*0.086*$J$132)/(1-tech_proj!M588))</f>
        <v>0</v>
      </c>
      <c r="N1928" s="119">
        <f>IF(tech_base!$T184&gt;N$1745,"",(tech_base!$K184/tech_proj!N308*0.086*$J$132)/(1-tech_proj!N588))</f>
        <v>0</v>
      </c>
      <c r="O1928" s="119">
        <f>IF(tech_base!$T184&gt;O$1745,"",(tech_base!$K184/tech_proj!O308*0.086*$J$132)/(1-tech_proj!O588))</f>
        <v>0</v>
      </c>
      <c r="P1928" s="119">
        <f>IF(tech_base!$T184&gt;P$1745,"",(tech_base!$K184/tech_proj!P308*0.086*$J$132)/(1-tech_proj!P588))</f>
        <v>0</v>
      </c>
      <c r="Q1928" s="119">
        <f>IF(tech_base!$T184&gt;Q$1745,"",(tech_base!$K184/tech_proj!Q308*0.086*$J$132)/(1-tech_proj!Q588))</f>
        <v>0</v>
      </c>
      <c r="R1928" s="119">
        <f>IF(tech_base!$T184&gt;R$1745,"",(tech_base!$K184/tech_proj!R308*0.086*$J$132)/(1-tech_proj!R588))</f>
        <v>0</v>
      </c>
      <c r="S1928" s="119">
        <f>IF(tech_base!$T184&gt;S$1745,"",(tech_base!$K184/tech_proj!S308*0.086*$J$132)/(1-tech_proj!S588))</f>
        <v>0</v>
      </c>
      <c r="T1928" s="119">
        <f>IF(tech_base!$T184&gt;T$1745,"",(tech_base!$K184/tech_proj!T308*0.086*$J$132)/(1-tech_proj!T588))</f>
        <v>0</v>
      </c>
      <c r="U1928" s="119">
        <f>IF(tech_base!$T184&gt;U$1745,"",(tech_base!$K184/tech_proj!U308*0.086*$J$132)/(1-tech_proj!U588))</f>
        <v>0</v>
      </c>
      <c r="V1928" s="119">
        <f>IF(tech_base!$T184&gt;V$1745,"",(tech_base!$K184/tech_proj!V308*0.086*$J$132)/(1-tech_proj!V588))</f>
        <v>0</v>
      </c>
      <c r="W1928" s="119">
        <f>IF(tech_base!$T184&gt;W$1745,"",(tech_base!$K184/tech_proj!W308*0.086*$J$132)/(1-tech_proj!W588))</f>
        <v>0</v>
      </c>
      <c r="X1928" s="119">
        <f>IF(tech_base!$T184&gt;X$1745,"",(tech_base!$K184/tech_proj!X308*0.086*$J$132)/(1-tech_proj!X588))</f>
        <v>0</v>
      </c>
      <c r="Y1928" s="119">
        <f>IF(tech_base!$T184&gt;Y$1745,"",(tech_base!$K184/tech_proj!Y308*0.086*$J$132)/(1-tech_proj!Y588))</f>
        <v>0</v>
      </c>
      <c r="Z1928" s="119">
        <f>IF(tech_base!$T184&gt;Z$1745,"",(tech_base!$K184/tech_proj!Z308*0.086*$J$132)/(1-tech_proj!Z588))</f>
        <v>0</v>
      </c>
      <c r="AA1928" s="119">
        <f>IF(tech_base!$T184&gt;AA$1745,"",(tech_base!$K184/tech_proj!AA308*0.086*$J$132)/(1-tech_proj!AA588))</f>
        <v>0</v>
      </c>
      <c r="AB1928" s="119">
        <f>IF(tech_base!$T184&gt;AB$1745,"",(tech_base!$K184/tech_proj!AB308*0.086*$J$132)/(1-tech_proj!AB588))</f>
        <v>0</v>
      </c>
      <c r="AC1928" s="119">
        <f>IF(tech_base!$T184&gt;AC$1745,"",(tech_base!$K184/tech_proj!AC308*0.086*$J$132)/(1-tech_proj!AC588))</f>
        <v>0</v>
      </c>
      <c r="AD1928" s="119">
        <f>IF(tech_base!$T184&gt;AD$1745,"",(tech_base!$K184/tech_proj!AD308*0.086*$J$132)/(1-tech_proj!AD588))</f>
        <v>0</v>
      </c>
      <c r="AE1928" s="119">
        <f>IF(tech_base!$T184&gt;AE$1745,"",(tech_base!$K184/tech_proj!AE308*0.086*$J$132)/(1-tech_proj!AE588))</f>
        <v>0</v>
      </c>
      <c r="AF1928" s="119">
        <f>IF(tech_base!$T184&gt;AF$1745,"",(tech_base!$K184/tech_proj!AF308*0.086*$J$132)/(1-tech_proj!AF588))</f>
        <v>0</v>
      </c>
      <c r="AG1928" s="119">
        <f>IF(tech_base!$T184&gt;AG$1745,"",(tech_base!$K184/tech_proj!AG308*0.086*$J$132)/(1-tech_proj!AG588))</f>
        <v>0</v>
      </c>
      <c r="AH1928" s="119">
        <f>IF(tech_base!$T184&gt;AH$1745,"",(tech_base!$K184/tech_proj!AH308*0.086*$J$132)/(1-tech_proj!AH588))</f>
        <v>0</v>
      </c>
      <c r="AI1928" s="119">
        <f>IF(tech_base!$T184&gt;AI$1745,"",(tech_base!$K184/tech_proj!AI308*0.086*$J$132)/(1-tech_proj!AI588))</f>
        <v>0</v>
      </c>
      <c r="AJ1928" s="119">
        <f>IF(tech_base!$T184&gt;AJ$1745,"",(tech_base!$K184/tech_proj!AJ308*0.086*$J$132)/(1-tech_proj!AJ588))</f>
        <v>0</v>
      </c>
      <c r="AK1928" s="119">
        <f>IF(tech_base!$T184&gt;AK$1745,"",(tech_base!$K184/tech_proj!AK308*0.086*$J$132)/(1-tech_proj!AK588))</f>
        <v>0</v>
      </c>
      <c r="AL1928" s="119">
        <f>IF(tech_base!$T184&gt;AL$1745,"",(tech_base!$K184/tech_proj!AL308*0.086*$J$132)/(1-tech_proj!AL588))</f>
        <v>0</v>
      </c>
      <c r="AM1928" s="119">
        <f>IF(tech_base!$T184&gt;AM$1745,"",(tech_base!$K184/tech_proj!AM308*0.086*$J$132)/(1-tech_proj!AM588))</f>
        <v>0</v>
      </c>
      <c r="AN1928" s="119">
        <f>IF(tech_base!$T184&gt;AN$1745,"",(tech_base!$K184/tech_proj!AN308*0.086*$J$132)/(1-tech_proj!AN588))</f>
        <v>0</v>
      </c>
      <c r="AO1928" s="119">
        <f>IF(tech_base!$T184&gt;AO$1745,"",(tech_base!$K184/tech_proj!AO308*0.086*$J$132)/(1-tech_proj!AO588))</f>
        <v>0</v>
      </c>
      <c r="AP1928" s="119">
        <f>IF(tech_base!$T184&gt;AP$1745,"",(tech_base!$K184/tech_proj!AP308*0.086*$J$132)/(1-tech_proj!AP588))</f>
        <v>0</v>
      </c>
      <c r="AQ1928" s="119">
        <f>IF(tech_base!$T184&gt;AQ$1745,"",(tech_base!$K184/tech_proj!AQ308*0.086*$J$132)/(1-tech_proj!AQ588))</f>
        <v>0</v>
      </c>
      <c r="AR1928" s="119">
        <f>IF(tech_base!$T184&gt;AR$1745,"",(tech_base!$K184/tech_proj!AR308*0.086*$J$132)/(1-tech_proj!AR588))</f>
        <v>0</v>
      </c>
      <c r="AS1928" s="119">
        <f>IF(tech_base!$T184&gt;AS$1745,"",(tech_base!$K184/tech_proj!AS308*0.086*$J$132)/(1-tech_proj!AS588))</f>
        <v>0</v>
      </c>
      <c r="AT1928" s="119">
        <f>IF(tech_base!$T184&gt;AT$1745,"",(tech_base!$K184/tech_proj!AT308*0.086*$J$132)/(1-tech_proj!AT588))</f>
        <v>0</v>
      </c>
      <c r="AU1928" s="119">
        <f>IF(tech_base!$T184&gt;AU$1745,"",(tech_base!$K184/tech_proj!AU308*0.086*$J$132)/(1-tech_proj!AU588))</f>
        <v>0</v>
      </c>
      <c r="AV1928" s="119">
        <f>IF(tech_base!$T184&gt;AV$1745,"",(tech_base!$K184/tech_proj!AV308*0.086*$J$132)/(1-tech_proj!AV588))</f>
        <v>0</v>
      </c>
      <c r="AW1928" s="119">
        <f>IF(tech_base!$T184&gt;AW$1745,"",(tech_base!$K184/tech_proj!AW308*0.086*$J$132)/(1-tech_proj!AW588))</f>
        <v>0</v>
      </c>
      <c r="AX1928" s="120">
        <f>IF(tech_base!$T184&gt;AX$1745,"",(tech_base!$K184/tech_proj!AX308*0.086*$J$132)/(1-tech_proj!AX588))</f>
        <v>0</v>
      </c>
    </row>
    <row r="1929" spans="1:50" x14ac:dyDescent="0.25">
      <c r="A1929" s="356"/>
      <c r="B1929" s="376"/>
      <c r="C1929" s="361" t="s">
        <v>14</v>
      </c>
      <c r="D1929" s="58" t="s">
        <v>7</v>
      </c>
      <c r="E1929" s="164" t="str">
        <f>A1919&amp;"/"&amp;B1927&amp;"/"&amp;C1929&amp;"/"&amp;D1929</f>
        <v>Fuel oil fired power plants/Supercritical steam turbine/CHP/L</v>
      </c>
      <c r="F1929" s="78" t="str">
        <f>A1919</f>
        <v>Fuel oil fired power plants</v>
      </c>
      <c r="G1929" s="78" t="str">
        <f>B1927</f>
        <v>Supercritical steam turbine</v>
      </c>
      <c r="H1929" s="78" t="str">
        <f>C1929</f>
        <v>CHP</v>
      </c>
      <c r="I1929" s="165" t="str">
        <f t="shared" si="384"/>
        <v>L</v>
      </c>
      <c r="J1929" s="123">
        <f>IF(tech_base!$T185&gt;J$1745,"",(tech_base!$K185/tech_proj!J309*0.086*$J$132)/(1-tech_proj!J589))</f>
        <v>0</v>
      </c>
      <c r="K1929" s="123">
        <f>IF(tech_base!$T185&gt;K$1745,"",(tech_base!$K185/tech_proj!K309*0.086*$J$132)/(1-tech_proj!K589))</f>
        <v>0</v>
      </c>
      <c r="L1929" s="123">
        <f>IF(tech_base!$T185&gt;L$1745,"",(tech_base!$K185/tech_proj!L309*0.086*$J$132)/(1-tech_proj!L589))</f>
        <v>0</v>
      </c>
      <c r="M1929" s="123">
        <f>IF(tech_base!$T185&gt;M$1745,"",(tech_base!$K185/tech_proj!M309*0.086*$J$132)/(1-tech_proj!M589))</f>
        <v>0</v>
      </c>
      <c r="N1929" s="123">
        <f>IF(tech_base!$T185&gt;N$1745,"",(tech_base!$K185/tech_proj!N309*0.086*$J$132)/(1-tech_proj!N589))</f>
        <v>0</v>
      </c>
      <c r="O1929" s="123">
        <f>IF(tech_base!$T185&gt;O$1745,"",(tech_base!$K185/tech_proj!O309*0.086*$J$132)/(1-tech_proj!O589))</f>
        <v>0</v>
      </c>
      <c r="P1929" s="123">
        <f>IF(tech_base!$T185&gt;P$1745,"",(tech_base!$K185/tech_proj!P309*0.086*$J$132)/(1-tech_proj!P589))</f>
        <v>0</v>
      </c>
      <c r="Q1929" s="123">
        <f>IF(tech_base!$T185&gt;Q$1745,"",(tech_base!$K185/tech_proj!Q309*0.086*$J$132)/(1-tech_proj!Q589))</f>
        <v>0</v>
      </c>
      <c r="R1929" s="123">
        <f>IF(tech_base!$T185&gt;R$1745,"",(tech_base!$K185/tech_proj!R309*0.086*$J$132)/(1-tech_proj!R589))</f>
        <v>0</v>
      </c>
      <c r="S1929" s="123">
        <f>IF(tech_base!$T185&gt;S$1745,"",(tech_base!$K185/tech_proj!S309*0.086*$J$132)/(1-tech_proj!S589))</f>
        <v>0</v>
      </c>
      <c r="T1929" s="123">
        <f>IF(tech_base!$T185&gt;T$1745,"",(tech_base!$K185/tech_proj!T309*0.086*$J$132)/(1-tech_proj!T589))</f>
        <v>0</v>
      </c>
      <c r="U1929" s="123">
        <f>IF(tech_base!$T185&gt;U$1745,"",(tech_base!$K185/tech_proj!U309*0.086*$J$132)/(1-tech_proj!U589))</f>
        <v>0</v>
      </c>
      <c r="V1929" s="123">
        <f>IF(tech_base!$T185&gt;V$1745,"",(tech_base!$K185/tech_proj!V309*0.086*$J$132)/(1-tech_proj!V589))</f>
        <v>0</v>
      </c>
      <c r="W1929" s="123">
        <f>IF(tech_base!$T185&gt;W$1745,"",(tech_base!$K185/tech_proj!W309*0.086*$J$132)/(1-tech_proj!W589))</f>
        <v>0</v>
      </c>
      <c r="X1929" s="123">
        <f>IF(tech_base!$T185&gt;X$1745,"",(tech_base!$K185/tech_proj!X309*0.086*$J$132)/(1-tech_proj!X589))</f>
        <v>0</v>
      </c>
      <c r="Y1929" s="123">
        <f>IF(tech_base!$T185&gt;Y$1745,"",(tech_base!$K185/tech_proj!Y309*0.086*$J$132)/(1-tech_proj!Y589))</f>
        <v>0</v>
      </c>
      <c r="Z1929" s="123">
        <f>IF(tech_base!$T185&gt;Z$1745,"",(tech_base!$K185/tech_proj!Z309*0.086*$J$132)/(1-tech_proj!Z589))</f>
        <v>0</v>
      </c>
      <c r="AA1929" s="123">
        <f>IF(tech_base!$T185&gt;AA$1745,"",(tech_base!$K185/tech_proj!AA309*0.086*$J$132)/(1-tech_proj!AA589))</f>
        <v>0</v>
      </c>
      <c r="AB1929" s="123">
        <f>IF(tech_base!$T185&gt;AB$1745,"",(tech_base!$K185/tech_proj!AB309*0.086*$J$132)/(1-tech_proj!AB589))</f>
        <v>0</v>
      </c>
      <c r="AC1929" s="123">
        <f>IF(tech_base!$T185&gt;AC$1745,"",(tech_base!$K185/tech_proj!AC309*0.086*$J$132)/(1-tech_proj!AC589))</f>
        <v>0</v>
      </c>
      <c r="AD1929" s="123">
        <f>IF(tech_base!$T185&gt;AD$1745,"",(tech_base!$K185/tech_proj!AD309*0.086*$J$132)/(1-tech_proj!AD589))</f>
        <v>0</v>
      </c>
      <c r="AE1929" s="123">
        <f>IF(tech_base!$T185&gt;AE$1745,"",(tech_base!$K185/tech_proj!AE309*0.086*$J$132)/(1-tech_proj!AE589))</f>
        <v>0</v>
      </c>
      <c r="AF1929" s="123">
        <f>IF(tech_base!$T185&gt;AF$1745,"",(tech_base!$K185/tech_proj!AF309*0.086*$J$132)/(1-tech_proj!AF589))</f>
        <v>0</v>
      </c>
      <c r="AG1929" s="123">
        <f>IF(tech_base!$T185&gt;AG$1745,"",(tech_base!$K185/tech_proj!AG309*0.086*$J$132)/(1-tech_proj!AG589))</f>
        <v>0</v>
      </c>
      <c r="AH1929" s="123">
        <f>IF(tech_base!$T185&gt;AH$1745,"",(tech_base!$K185/tech_proj!AH309*0.086*$J$132)/(1-tech_proj!AH589))</f>
        <v>0</v>
      </c>
      <c r="AI1929" s="123">
        <f>IF(tech_base!$T185&gt;AI$1745,"",(tech_base!$K185/tech_proj!AI309*0.086*$J$132)/(1-tech_proj!AI589))</f>
        <v>0</v>
      </c>
      <c r="AJ1929" s="123">
        <f>IF(tech_base!$T185&gt;AJ$1745,"",(tech_base!$K185/tech_proj!AJ309*0.086*$J$132)/(1-tech_proj!AJ589))</f>
        <v>0</v>
      </c>
      <c r="AK1929" s="123">
        <f>IF(tech_base!$T185&gt;AK$1745,"",(tech_base!$K185/tech_proj!AK309*0.086*$J$132)/(1-tech_proj!AK589))</f>
        <v>0</v>
      </c>
      <c r="AL1929" s="123">
        <f>IF(tech_base!$T185&gt;AL$1745,"",(tech_base!$K185/tech_proj!AL309*0.086*$J$132)/(1-tech_proj!AL589))</f>
        <v>0</v>
      </c>
      <c r="AM1929" s="123">
        <f>IF(tech_base!$T185&gt;AM$1745,"",(tech_base!$K185/tech_proj!AM309*0.086*$J$132)/(1-tech_proj!AM589))</f>
        <v>0</v>
      </c>
      <c r="AN1929" s="123">
        <f>IF(tech_base!$T185&gt;AN$1745,"",(tech_base!$K185/tech_proj!AN309*0.086*$J$132)/(1-tech_proj!AN589))</f>
        <v>0</v>
      </c>
      <c r="AO1929" s="123">
        <f>IF(tech_base!$T185&gt;AO$1745,"",(tech_base!$K185/tech_proj!AO309*0.086*$J$132)/(1-tech_proj!AO589))</f>
        <v>0</v>
      </c>
      <c r="AP1929" s="123">
        <f>IF(tech_base!$T185&gt;AP$1745,"",(tech_base!$K185/tech_proj!AP309*0.086*$J$132)/(1-tech_proj!AP589))</f>
        <v>0</v>
      </c>
      <c r="AQ1929" s="123">
        <f>IF(tech_base!$T185&gt;AQ$1745,"",(tech_base!$K185/tech_proj!AQ309*0.086*$J$132)/(1-tech_proj!AQ589))</f>
        <v>0</v>
      </c>
      <c r="AR1929" s="123">
        <f>IF(tech_base!$T185&gt;AR$1745,"",(tech_base!$K185/tech_proj!AR309*0.086*$J$132)/(1-tech_proj!AR589))</f>
        <v>0</v>
      </c>
      <c r="AS1929" s="123">
        <f>IF(tech_base!$T185&gt;AS$1745,"",(tech_base!$K185/tech_proj!AS309*0.086*$J$132)/(1-tech_proj!AS589))</f>
        <v>0</v>
      </c>
      <c r="AT1929" s="123">
        <f>IF(tech_base!$T185&gt;AT$1745,"",(tech_base!$K185/tech_proj!AT309*0.086*$J$132)/(1-tech_proj!AT589))</f>
        <v>0</v>
      </c>
      <c r="AU1929" s="123">
        <f>IF(tech_base!$T185&gt;AU$1745,"",(tech_base!$K185/tech_proj!AU309*0.086*$J$132)/(1-tech_proj!AU589))</f>
        <v>0</v>
      </c>
      <c r="AV1929" s="123">
        <f>IF(tech_base!$T185&gt;AV$1745,"",(tech_base!$K185/tech_proj!AV309*0.086*$J$132)/(1-tech_proj!AV589))</f>
        <v>0</v>
      </c>
      <c r="AW1929" s="123">
        <f>IF(tech_base!$T185&gt;AW$1745,"",(tech_base!$K185/tech_proj!AW309*0.086*$J$132)/(1-tech_proj!AW589))</f>
        <v>0</v>
      </c>
      <c r="AX1929" s="124">
        <f>IF(tech_base!$T185&gt;AX$1745,"",(tech_base!$K185/tech_proj!AX309*0.086*$J$132)/(1-tech_proj!AX589))</f>
        <v>0</v>
      </c>
    </row>
    <row r="1930" spans="1:50" x14ac:dyDescent="0.25">
      <c r="A1930" s="356"/>
      <c r="B1930" s="376"/>
      <c r="C1930" s="379"/>
      <c r="D1930" s="59" t="s">
        <v>8</v>
      </c>
      <c r="E1930" s="166" t="str">
        <f>A1919&amp;"/"&amp;B1927&amp;"/"&amp;C1929&amp;"/"&amp;D1930</f>
        <v>Fuel oil fired power plants/Supercritical steam turbine/CHP/M</v>
      </c>
      <c r="F1930" s="79" t="str">
        <f>A1919</f>
        <v>Fuel oil fired power plants</v>
      </c>
      <c r="G1930" s="79" t="str">
        <f>B1927</f>
        <v>Supercritical steam turbine</v>
      </c>
      <c r="H1930" s="79" t="str">
        <f>C1929</f>
        <v>CHP</v>
      </c>
      <c r="I1930" s="167" t="str">
        <f t="shared" si="384"/>
        <v>M</v>
      </c>
      <c r="J1930" s="125">
        <f>IF(tech_base!$T186&gt;J$1745,"",(tech_base!$K186/tech_proj!J310*0.086*$J$132)/(1-tech_proj!J590))</f>
        <v>0</v>
      </c>
      <c r="K1930" s="125">
        <f>IF(tech_base!$T186&gt;K$1745,"",(tech_base!$K186/tech_proj!K310*0.086*$J$132)/(1-tech_proj!K590))</f>
        <v>0</v>
      </c>
      <c r="L1930" s="125">
        <f>IF(tech_base!$T186&gt;L$1745,"",(tech_base!$K186/tech_proj!L310*0.086*$J$132)/(1-tech_proj!L590))</f>
        <v>0</v>
      </c>
      <c r="M1930" s="125">
        <f>IF(tech_base!$T186&gt;M$1745,"",(tech_base!$K186/tech_proj!M310*0.086*$J$132)/(1-tech_proj!M590))</f>
        <v>0</v>
      </c>
      <c r="N1930" s="125">
        <f>IF(tech_base!$T186&gt;N$1745,"",(tech_base!$K186/tech_proj!N310*0.086*$J$132)/(1-tech_proj!N590))</f>
        <v>0</v>
      </c>
      <c r="O1930" s="125">
        <f>IF(tech_base!$T186&gt;O$1745,"",(tech_base!$K186/tech_proj!O310*0.086*$J$132)/(1-tech_proj!O590))</f>
        <v>0</v>
      </c>
      <c r="P1930" s="125">
        <f>IF(tech_base!$T186&gt;P$1745,"",(tech_base!$K186/tech_proj!P310*0.086*$J$132)/(1-tech_proj!P590))</f>
        <v>0</v>
      </c>
      <c r="Q1930" s="125">
        <f>IF(tech_base!$T186&gt;Q$1745,"",(tech_base!$K186/tech_proj!Q310*0.086*$J$132)/(1-tech_proj!Q590))</f>
        <v>0</v>
      </c>
      <c r="R1930" s="125">
        <f>IF(tech_base!$T186&gt;R$1745,"",(tech_base!$K186/tech_proj!R310*0.086*$J$132)/(1-tech_proj!R590))</f>
        <v>0</v>
      </c>
      <c r="S1930" s="125">
        <f>IF(tech_base!$T186&gt;S$1745,"",(tech_base!$K186/tech_proj!S310*0.086*$J$132)/(1-tech_proj!S590))</f>
        <v>0</v>
      </c>
      <c r="T1930" s="125">
        <f>IF(tech_base!$T186&gt;T$1745,"",(tech_base!$K186/tech_proj!T310*0.086*$J$132)/(1-tech_proj!T590))</f>
        <v>0</v>
      </c>
      <c r="U1930" s="125">
        <f>IF(tech_base!$T186&gt;U$1745,"",(tech_base!$K186/tech_proj!U310*0.086*$J$132)/(1-tech_proj!U590))</f>
        <v>0</v>
      </c>
      <c r="V1930" s="125">
        <f>IF(tech_base!$T186&gt;V$1745,"",(tech_base!$K186/tech_proj!V310*0.086*$J$132)/(1-tech_proj!V590))</f>
        <v>0</v>
      </c>
      <c r="W1930" s="125">
        <f>IF(tech_base!$T186&gt;W$1745,"",(tech_base!$K186/tech_proj!W310*0.086*$J$132)/(1-tech_proj!W590))</f>
        <v>0</v>
      </c>
      <c r="X1930" s="125">
        <f>IF(tech_base!$T186&gt;X$1745,"",(tech_base!$K186/tech_proj!X310*0.086*$J$132)/(1-tech_proj!X590))</f>
        <v>0</v>
      </c>
      <c r="Y1930" s="125">
        <f>IF(tech_base!$T186&gt;Y$1745,"",(tech_base!$K186/tech_proj!Y310*0.086*$J$132)/(1-tech_proj!Y590))</f>
        <v>0</v>
      </c>
      <c r="Z1930" s="125">
        <f>IF(tech_base!$T186&gt;Z$1745,"",(tech_base!$K186/tech_proj!Z310*0.086*$J$132)/(1-tech_proj!Z590))</f>
        <v>0</v>
      </c>
      <c r="AA1930" s="125">
        <f>IF(tech_base!$T186&gt;AA$1745,"",(tech_base!$K186/tech_proj!AA310*0.086*$J$132)/(1-tech_proj!AA590))</f>
        <v>0</v>
      </c>
      <c r="AB1930" s="125">
        <f>IF(tech_base!$T186&gt;AB$1745,"",(tech_base!$K186/tech_proj!AB310*0.086*$J$132)/(1-tech_proj!AB590))</f>
        <v>0</v>
      </c>
      <c r="AC1930" s="125">
        <f>IF(tech_base!$T186&gt;AC$1745,"",(tech_base!$K186/tech_proj!AC310*0.086*$J$132)/(1-tech_proj!AC590))</f>
        <v>0</v>
      </c>
      <c r="AD1930" s="125">
        <f>IF(tech_base!$T186&gt;AD$1745,"",(tech_base!$K186/tech_proj!AD310*0.086*$J$132)/(1-tech_proj!AD590))</f>
        <v>0</v>
      </c>
      <c r="AE1930" s="125">
        <f>IF(tech_base!$T186&gt;AE$1745,"",(tech_base!$K186/tech_proj!AE310*0.086*$J$132)/(1-tech_proj!AE590))</f>
        <v>0</v>
      </c>
      <c r="AF1930" s="125">
        <f>IF(tech_base!$T186&gt;AF$1745,"",(tech_base!$K186/tech_proj!AF310*0.086*$J$132)/(1-tech_proj!AF590))</f>
        <v>0</v>
      </c>
      <c r="AG1930" s="125">
        <f>IF(tech_base!$T186&gt;AG$1745,"",(tech_base!$K186/tech_proj!AG310*0.086*$J$132)/(1-tech_proj!AG590))</f>
        <v>0</v>
      </c>
      <c r="AH1930" s="125">
        <f>IF(tech_base!$T186&gt;AH$1745,"",(tech_base!$K186/tech_proj!AH310*0.086*$J$132)/(1-tech_proj!AH590))</f>
        <v>0</v>
      </c>
      <c r="AI1930" s="125">
        <f>IF(tech_base!$T186&gt;AI$1745,"",(tech_base!$K186/tech_proj!AI310*0.086*$J$132)/(1-tech_proj!AI590))</f>
        <v>0</v>
      </c>
      <c r="AJ1930" s="125">
        <f>IF(tech_base!$T186&gt;AJ$1745,"",(tech_base!$K186/tech_proj!AJ310*0.086*$J$132)/(1-tech_proj!AJ590))</f>
        <v>0</v>
      </c>
      <c r="AK1930" s="125">
        <f>IF(tech_base!$T186&gt;AK$1745,"",(tech_base!$K186/tech_proj!AK310*0.086*$J$132)/(1-tech_proj!AK590))</f>
        <v>0</v>
      </c>
      <c r="AL1930" s="125">
        <f>IF(tech_base!$T186&gt;AL$1745,"",(tech_base!$K186/tech_proj!AL310*0.086*$J$132)/(1-tech_proj!AL590))</f>
        <v>0</v>
      </c>
      <c r="AM1930" s="125">
        <f>IF(tech_base!$T186&gt;AM$1745,"",(tech_base!$K186/tech_proj!AM310*0.086*$J$132)/(1-tech_proj!AM590))</f>
        <v>0</v>
      </c>
      <c r="AN1930" s="125">
        <f>IF(tech_base!$T186&gt;AN$1745,"",(tech_base!$K186/tech_proj!AN310*0.086*$J$132)/(1-tech_proj!AN590))</f>
        <v>0</v>
      </c>
      <c r="AO1930" s="125">
        <f>IF(tech_base!$T186&gt;AO$1745,"",(tech_base!$K186/tech_proj!AO310*0.086*$J$132)/(1-tech_proj!AO590))</f>
        <v>0</v>
      </c>
      <c r="AP1930" s="125">
        <f>IF(tech_base!$T186&gt;AP$1745,"",(tech_base!$K186/tech_proj!AP310*0.086*$J$132)/(1-tech_proj!AP590))</f>
        <v>0</v>
      </c>
      <c r="AQ1930" s="125">
        <f>IF(tech_base!$T186&gt;AQ$1745,"",(tech_base!$K186/tech_proj!AQ310*0.086*$J$132)/(1-tech_proj!AQ590))</f>
        <v>0</v>
      </c>
      <c r="AR1930" s="125">
        <f>IF(tech_base!$T186&gt;AR$1745,"",(tech_base!$K186/tech_proj!AR310*0.086*$J$132)/(1-tech_proj!AR590))</f>
        <v>0</v>
      </c>
      <c r="AS1930" s="125">
        <f>IF(tech_base!$T186&gt;AS$1745,"",(tech_base!$K186/tech_proj!AS310*0.086*$J$132)/(1-tech_proj!AS590))</f>
        <v>0</v>
      </c>
      <c r="AT1930" s="125">
        <f>IF(tech_base!$T186&gt;AT$1745,"",(tech_base!$K186/tech_proj!AT310*0.086*$J$132)/(1-tech_proj!AT590))</f>
        <v>0</v>
      </c>
      <c r="AU1930" s="125">
        <f>IF(tech_base!$T186&gt;AU$1745,"",(tech_base!$K186/tech_proj!AU310*0.086*$J$132)/(1-tech_proj!AU590))</f>
        <v>0</v>
      </c>
      <c r="AV1930" s="125">
        <f>IF(tech_base!$T186&gt;AV$1745,"",(tech_base!$K186/tech_proj!AV310*0.086*$J$132)/(1-tech_proj!AV590))</f>
        <v>0</v>
      </c>
      <c r="AW1930" s="125">
        <f>IF(tech_base!$T186&gt;AW$1745,"",(tech_base!$K186/tech_proj!AW310*0.086*$J$132)/(1-tech_proj!AW590))</f>
        <v>0</v>
      </c>
      <c r="AX1930" s="126">
        <f>IF(tech_base!$T186&gt;AX$1745,"",(tech_base!$K186/tech_proj!AX310*0.086*$J$132)/(1-tech_proj!AX590))</f>
        <v>0</v>
      </c>
    </row>
    <row r="1931" spans="1:50" x14ac:dyDescent="0.25">
      <c r="A1931" s="356"/>
      <c r="B1931" s="376"/>
      <c r="C1931" s="361" t="s">
        <v>15</v>
      </c>
      <c r="D1931" s="58" t="s">
        <v>7</v>
      </c>
      <c r="E1931" s="164" t="str">
        <f>A1919&amp;"/"&amp;B1927&amp;"/"&amp;C1931&amp;"/"&amp;D1931</f>
        <v>Fuel oil fired power plants/Supercritical steam turbine/Electricity only with CCS/L</v>
      </c>
      <c r="F1931" s="78" t="str">
        <f>A1919</f>
        <v>Fuel oil fired power plants</v>
      </c>
      <c r="G1931" s="78" t="str">
        <f>B1927</f>
        <v>Supercritical steam turbine</v>
      </c>
      <c r="H1931" s="78" t="str">
        <f>C1931</f>
        <v>Electricity only with CCS</v>
      </c>
      <c r="I1931" s="165" t="str">
        <f t="shared" si="384"/>
        <v>L</v>
      </c>
      <c r="J1931" s="123" t="str">
        <f>IF(tech_base!$T187&gt;J$1745,"",(tech_base!$K187/tech_proj!J311*0.086*$J$132)/(1-tech_proj!J591))</f>
        <v/>
      </c>
      <c r="K1931" s="123" t="str">
        <f>IF(tech_base!$T187&gt;K$1745,"",(tech_base!$K187/tech_proj!K311*0.086*$J$132)/(1-tech_proj!K591))</f>
        <v/>
      </c>
      <c r="L1931" s="123" t="str">
        <f>IF(tech_base!$T187&gt;L$1745,"",(tech_base!$K187/tech_proj!L311*0.086*$J$132)/(1-tech_proj!L591))</f>
        <v/>
      </c>
      <c r="M1931" s="123" t="str">
        <f>IF(tech_base!$T187&gt;M$1745,"",(tech_base!$K187/tech_proj!M311*0.086*$J$132)/(1-tech_proj!M591))</f>
        <v/>
      </c>
      <c r="N1931" s="123" t="str">
        <f>IF(tech_base!$T187&gt;N$1745,"",(tech_base!$K187/tech_proj!N311*0.086*$J$132)/(1-tech_proj!N591))</f>
        <v/>
      </c>
      <c r="O1931" s="123" t="str">
        <f>IF(tech_base!$T187&gt;O$1745,"",(tech_base!$K187/tech_proj!O311*0.086*$J$132)/(1-tech_proj!O591))</f>
        <v/>
      </c>
      <c r="P1931" s="123" t="str">
        <f>IF(tech_base!$T187&gt;P$1745,"",(tech_base!$K187/tech_proj!P311*0.086*$J$132)/(1-tech_proj!P591))</f>
        <v/>
      </c>
      <c r="Q1931" s="123" t="str">
        <f>IF(tech_base!$T187&gt;Q$1745,"",(tech_base!$K187/tech_proj!Q311*0.086*$J$132)/(1-tech_proj!Q591))</f>
        <v/>
      </c>
      <c r="R1931" s="123" t="str">
        <f>IF(tech_base!$T187&gt;R$1745,"",(tech_base!$K187/tech_proj!R311*0.086*$J$132)/(1-tech_proj!R591))</f>
        <v/>
      </c>
      <c r="S1931" s="123" t="str">
        <f>IF(tech_base!$T187&gt;S$1745,"",(tech_base!$K187/tech_proj!S311*0.086*$J$132)/(1-tech_proj!S591))</f>
        <v/>
      </c>
      <c r="T1931" s="123" t="str">
        <f>IF(tech_base!$T187&gt;T$1745,"",(tech_base!$K187/tech_proj!T311*0.086*$J$132)/(1-tech_proj!T591))</f>
        <v/>
      </c>
      <c r="U1931" s="123" t="str">
        <f>IF(tech_base!$T187&gt;U$1745,"",(tech_base!$K187/tech_proj!U311*0.086*$J$132)/(1-tech_proj!U591))</f>
        <v/>
      </c>
      <c r="V1931" s="123" t="str">
        <f>IF(tech_base!$T187&gt;V$1745,"",(tech_base!$K187/tech_proj!V311*0.086*$J$132)/(1-tech_proj!V591))</f>
        <v/>
      </c>
      <c r="W1931" s="123" t="str">
        <f>IF(tech_base!$T187&gt;W$1745,"",(tech_base!$K187/tech_proj!W311*0.086*$J$132)/(1-tech_proj!W591))</f>
        <v/>
      </c>
      <c r="X1931" s="123" t="str">
        <f>IF(tech_base!$T187&gt;X$1745,"",(tech_base!$K187/tech_proj!X311*0.086*$J$132)/(1-tech_proj!X591))</f>
        <v/>
      </c>
      <c r="Y1931" s="123" t="str">
        <f>IF(tech_base!$T187&gt;Y$1745,"",(tech_base!$K187/tech_proj!Y311*0.086*$J$132)/(1-tech_proj!Y591))</f>
        <v/>
      </c>
      <c r="Z1931" s="123" t="str">
        <f>IF(tech_base!$T187&gt;Z$1745,"",(tech_base!$K187/tech_proj!Z311*0.086*$J$132)/(1-tech_proj!Z591))</f>
        <v/>
      </c>
      <c r="AA1931" s="123" t="str">
        <f>IF(tech_base!$T187&gt;AA$1745,"",(tech_base!$K187/tech_proj!AA311*0.086*$J$132)/(1-tech_proj!AA591))</f>
        <v/>
      </c>
      <c r="AB1931" s="123" t="str">
        <f>IF(tech_base!$T187&gt;AB$1745,"",(tech_base!$K187/tech_proj!AB311*0.086*$J$132)/(1-tech_proj!AB591))</f>
        <v/>
      </c>
      <c r="AC1931" s="123" t="str">
        <f>IF(tech_base!$T187&gt;AC$1745,"",(tech_base!$K187/tech_proj!AC311*0.086*$J$132)/(1-tech_proj!AC591))</f>
        <v/>
      </c>
      <c r="AD1931" s="123" t="str">
        <f>IF(tech_base!$T187&gt;AD$1745,"",(tech_base!$K187/tech_proj!AD311*0.086*$J$132)/(1-tech_proj!AD591))</f>
        <v/>
      </c>
      <c r="AE1931" s="123">
        <f>IF(tech_base!$T187&gt;AE$1745,"",(tech_base!$K187/tech_proj!AE311*0.086*$J$132)/(1-tech_proj!AE591))</f>
        <v>7.6880198267124245</v>
      </c>
      <c r="AF1931" s="123">
        <f>IF(tech_base!$T187&gt;AF$1745,"",(tech_base!$K187/tech_proj!AF311*0.086*$J$132)/(1-tech_proj!AF591))</f>
        <v>7.6880198267124245</v>
      </c>
      <c r="AG1931" s="123">
        <f>IF(tech_base!$T187&gt;AG$1745,"",(tech_base!$K187/tech_proj!AG311*0.086*$J$132)/(1-tech_proj!AG591))</f>
        <v>7.6880198267124245</v>
      </c>
      <c r="AH1931" s="123">
        <f>IF(tech_base!$T187&gt;AH$1745,"",(tech_base!$K187/tech_proj!AH311*0.086*$J$132)/(1-tech_proj!AH591))</f>
        <v>7.6880198267124245</v>
      </c>
      <c r="AI1931" s="123">
        <f>IF(tech_base!$T187&gt;AI$1745,"",(tech_base!$K187/tech_proj!AI311*0.086*$J$132)/(1-tech_proj!AI591))</f>
        <v>7.6880198267124245</v>
      </c>
      <c r="AJ1931" s="123">
        <f>IF(tech_base!$T187&gt;AJ$1745,"",(tech_base!$K187/tech_proj!AJ311*0.086*$J$132)/(1-tech_proj!AJ591))</f>
        <v>7.6880198267124245</v>
      </c>
      <c r="AK1931" s="123">
        <f>IF(tech_base!$T187&gt;AK$1745,"",(tech_base!$K187/tech_proj!AK311*0.086*$J$132)/(1-tech_proj!AK591))</f>
        <v>7.6880198267124245</v>
      </c>
      <c r="AL1931" s="123">
        <f>IF(tech_base!$T187&gt;AL$1745,"",(tech_base!$K187/tech_proj!AL311*0.086*$J$132)/(1-tech_proj!AL591))</f>
        <v>7.6880198267124245</v>
      </c>
      <c r="AM1931" s="123">
        <f>IF(tech_base!$T187&gt;AM$1745,"",(tech_base!$K187/tech_proj!AM311*0.086*$J$132)/(1-tech_proj!AM591))</f>
        <v>7.6880198267124245</v>
      </c>
      <c r="AN1931" s="123">
        <f>IF(tech_base!$T187&gt;AN$1745,"",(tech_base!$K187/tech_proj!AN311*0.086*$J$132)/(1-tech_proj!AN591))</f>
        <v>7.6880198267124245</v>
      </c>
      <c r="AO1931" s="123">
        <f>IF(tech_base!$T187&gt;AO$1745,"",(tech_base!$K187/tech_proj!AO311*0.086*$J$132)/(1-tech_proj!AO591))</f>
        <v>7.6880198267124245</v>
      </c>
      <c r="AP1931" s="123">
        <f>IF(tech_base!$T187&gt;AP$1745,"",(tech_base!$K187/tech_proj!AP311*0.086*$J$132)/(1-tech_proj!AP591))</f>
        <v>7.6880198267124245</v>
      </c>
      <c r="AQ1931" s="123">
        <f>IF(tech_base!$T187&gt;AQ$1745,"",(tech_base!$K187/tech_proj!AQ311*0.086*$J$132)/(1-tech_proj!AQ591))</f>
        <v>7.6880198267124245</v>
      </c>
      <c r="AR1931" s="123">
        <f>IF(tech_base!$T187&gt;AR$1745,"",(tech_base!$K187/tech_proj!AR311*0.086*$J$132)/(1-tech_proj!AR591))</f>
        <v>7.6880198267124245</v>
      </c>
      <c r="AS1931" s="123">
        <f>IF(tech_base!$T187&gt;AS$1745,"",(tech_base!$K187/tech_proj!AS311*0.086*$J$132)/(1-tech_proj!AS591))</f>
        <v>7.6873282179219409</v>
      </c>
      <c r="AT1931" s="123">
        <f>IF(tech_base!$T187&gt;AT$1745,"",(tech_base!$K187/tech_proj!AT311*0.086*$J$132)/(1-tech_proj!AT591))</f>
        <v>7.6868857142694607</v>
      </c>
      <c r="AU1931" s="123">
        <f>IF(tech_base!$T187&gt;AU$1745,"",(tech_base!$K187/tech_proj!AU311*0.086*$J$132)/(1-tech_proj!AU591))</f>
        <v>7.68616649660395</v>
      </c>
      <c r="AV1931" s="123">
        <f>IF(tech_base!$T187&gt;AV$1745,"",(tech_base!$K187/tech_proj!AV311*0.086*$J$132)/(1-tech_proj!AV591))</f>
        <v>7.6850080517946617</v>
      </c>
      <c r="AW1931" s="123">
        <f>IF(tech_base!$T187&gt;AW$1745,"",(tech_base!$K187/tech_proj!AW311*0.086*$J$132)/(1-tech_proj!AW591))</f>
        <v>7.6831690949054972</v>
      </c>
      <c r="AX1931" s="124">
        <f>IF(tech_base!$T187&gt;AX$1745,"",(tech_base!$K187/tech_proj!AX311*0.086*$J$132)/(1-tech_proj!AX591))</f>
        <v>7.6803163845558755</v>
      </c>
    </row>
    <row r="1932" spans="1:50" x14ac:dyDescent="0.25">
      <c r="A1932" s="356"/>
      <c r="B1932" s="376"/>
      <c r="C1932" s="379"/>
      <c r="D1932" s="59" t="s">
        <v>8</v>
      </c>
      <c r="E1932" s="166" t="str">
        <f>A1919&amp;"/"&amp;B1927&amp;"/"&amp;C1931&amp;"/"&amp;D1932</f>
        <v>Fuel oil fired power plants/Supercritical steam turbine/Electricity only with CCS/M</v>
      </c>
      <c r="F1932" s="79" t="str">
        <f>A1919</f>
        <v>Fuel oil fired power plants</v>
      </c>
      <c r="G1932" s="79" t="str">
        <f>B1927</f>
        <v>Supercritical steam turbine</v>
      </c>
      <c r="H1932" s="79" t="str">
        <f>C1931</f>
        <v>Electricity only with CCS</v>
      </c>
      <c r="I1932" s="167" t="str">
        <f t="shared" si="384"/>
        <v>M</v>
      </c>
      <c r="J1932" s="125" t="str">
        <f>IF(tech_base!$T188&gt;J$1745,"",(tech_base!$K188/tech_proj!J312*0.086*$J$132)/(1-tech_proj!J592))</f>
        <v/>
      </c>
      <c r="K1932" s="125" t="str">
        <f>IF(tech_base!$T188&gt;K$1745,"",(tech_base!$K188/tech_proj!K312*0.086*$J$132)/(1-tech_proj!K592))</f>
        <v/>
      </c>
      <c r="L1932" s="125" t="str">
        <f>IF(tech_base!$T188&gt;L$1745,"",(tech_base!$K188/tech_proj!L312*0.086*$J$132)/(1-tech_proj!L592))</f>
        <v/>
      </c>
      <c r="M1932" s="125" t="str">
        <f>IF(tech_base!$T188&gt;M$1745,"",(tech_base!$K188/tech_proj!M312*0.086*$J$132)/(1-tech_proj!M592))</f>
        <v/>
      </c>
      <c r="N1932" s="125" t="str">
        <f>IF(tech_base!$T188&gt;N$1745,"",(tech_base!$K188/tech_proj!N312*0.086*$J$132)/(1-tech_proj!N592))</f>
        <v/>
      </c>
      <c r="O1932" s="125" t="str">
        <f>IF(tech_base!$T188&gt;O$1745,"",(tech_base!$K188/tech_proj!O312*0.086*$J$132)/(1-tech_proj!O592))</f>
        <v/>
      </c>
      <c r="P1932" s="125" t="str">
        <f>IF(tech_base!$T188&gt;P$1745,"",(tech_base!$K188/tech_proj!P312*0.086*$J$132)/(1-tech_proj!P592))</f>
        <v/>
      </c>
      <c r="Q1932" s="125" t="str">
        <f>IF(tech_base!$T188&gt;Q$1745,"",(tech_base!$K188/tech_proj!Q312*0.086*$J$132)/(1-tech_proj!Q592))</f>
        <v/>
      </c>
      <c r="R1932" s="125" t="str">
        <f>IF(tech_base!$T188&gt;R$1745,"",(tech_base!$K188/tech_proj!R312*0.086*$J$132)/(1-tech_proj!R592))</f>
        <v/>
      </c>
      <c r="S1932" s="125" t="str">
        <f>IF(tech_base!$T188&gt;S$1745,"",(tech_base!$K188/tech_proj!S312*0.086*$J$132)/(1-tech_proj!S592))</f>
        <v/>
      </c>
      <c r="T1932" s="125" t="str">
        <f>IF(tech_base!$T188&gt;T$1745,"",(tech_base!$K188/tech_proj!T312*0.086*$J$132)/(1-tech_proj!T592))</f>
        <v/>
      </c>
      <c r="U1932" s="125" t="str">
        <f>IF(tech_base!$T188&gt;U$1745,"",(tech_base!$K188/tech_proj!U312*0.086*$J$132)/(1-tech_proj!U592))</f>
        <v/>
      </c>
      <c r="V1932" s="125" t="str">
        <f>IF(tech_base!$T188&gt;V$1745,"",(tech_base!$K188/tech_proj!V312*0.086*$J$132)/(1-tech_proj!V592))</f>
        <v/>
      </c>
      <c r="W1932" s="125" t="str">
        <f>IF(tech_base!$T188&gt;W$1745,"",(tech_base!$K188/tech_proj!W312*0.086*$J$132)/(1-tech_proj!W592))</f>
        <v/>
      </c>
      <c r="X1932" s="125" t="str">
        <f>IF(tech_base!$T188&gt;X$1745,"",(tech_base!$K188/tech_proj!X312*0.086*$J$132)/(1-tech_proj!X592))</f>
        <v/>
      </c>
      <c r="Y1932" s="125" t="str">
        <f>IF(tech_base!$T188&gt;Y$1745,"",(tech_base!$K188/tech_proj!Y312*0.086*$J$132)/(1-tech_proj!Y592))</f>
        <v/>
      </c>
      <c r="Z1932" s="125" t="str">
        <f>IF(tech_base!$T188&gt;Z$1745,"",(tech_base!$K188/tech_proj!Z312*0.086*$J$132)/(1-tech_proj!Z592))</f>
        <v/>
      </c>
      <c r="AA1932" s="125" t="str">
        <f>IF(tech_base!$T188&gt;AA$1745,"",(tech_base!$K188/tech_proj!AA312*0.086*$J$132)/(1-tech_proj!AA592))</f>
        <v/>
      </c>
      <c r="AB1932" s="125" t="str">
        <f>IF(tech_base!$T188&gt;AB$1745,"",(tech_base!$K188/tech_proj!AB312*0.086*$J$132)/(1-tech_proj!AB592))</f>
        <v/>
      </c>
      <c r="AC1932" s="125" t="str">
        <f>IF(tech_base!$T188&gt;AC$1745,"",(tech_base!$K188/tech_proj!AC312*0.086*$J$132)/(1-tech_proj!AC592))</f>
        <v/>
      </c>
      <c r="AD1932" s="125" t="str">
        <f>IF(tech_base!$T188&gt;AD$1745,"",(tech_base!$K188/tech_proj!AD312*0.086*$J$132)/(1-tech_proj!AD592))</f>
        <v/>
      </c>
      <c r="AE1932" s="125">
        <f>IF(tech_base!$T188&gt;AE$1745,"",(tech_base!$K188/tech_proj!AE312*0.086*$J$132)/(1-tech_proj!AE592))</f>
        <v>8.172254210333179</v>
      </c>
      <c r="AF1932" s="125">
        <f>IF(tech_base!$T188&gt;AF$1745,"",(tech_base!$K188/tech_proj!AF312*0.086*$J$132)/(1-tech_proj!AF592))</f>
        <v>8.172254210333179</v>
      </c>
      <c r="AG1932" s="125">
        <f>IF(tech_base!$T188&gt;AG$1745,"",(tech_base!$K188/tech_proj!AG312*0.086*$J$132)/(1-tech_proj!AG592))</f>
        <v>8.172254210333179</v>
      </c>
      <c r="AH1932" s="125">
        <f>IF(tech_base!$T188&gt;AH$1745,"",(tech_base!$K188/tech_proj!AH312*0.086*$J$132)/(1-tech_proj!AH592))</f>
        <v>8.172254210333179</v>
      </c>
      <c r="AI1932" s="125">
        <f>IF(tech_base!$T188&gt;AI$1745,"",(tech_base!$K188/tech_proj!AI312*0.086*$J$132)/(1-tech_proj!AI592))</f>
        <v>8.172254210333179</v>
      </c>
      <c r="AJ1932" s="125">
        <f>IF(tech_base!$T188&gt;AJ$1745,"",(tech_base!$K188/tech_proj!AJ312*0.086*$J$132)/(1-tech_proj!AJ592))</f>
        <v>8.172254210333179</v>
      </c>
      <c r="AK1932" s="125">
        <f>IF(tech_base!$T188&gt;AK$1745,"",(tech_base!$K188/tech_proj!AK312*0.086*$J$132)/(1-tech_proj!AK592))</f>
        <v>8.172254210333179</v>
      </c>
      <c r="AL1932" s="125">
        <f>IF(tech_base!$T188&gt;AL$1745,"",(tech_base!$K188/tech_proj!AL312*0.086*$J$132)/(1-tech_proj!AL592))</f>
        <v>8.172254210333179</v>
      </c>
      <c r="AM1932" s="125">
        <f>IF(tech_base!$T188&gt;AM$1745,"",(tech_base!$K188/tech_proj!AM312*0.086*$J$132)/(1-tech_proj!AM592))</f>
        <v>8.172254210333179</v>
      </c>
      <c r="AN1932" s="125">
        <f>IF(tech_base!$T188&gt;AN$1745,"",(tech_base!$K188/tech_proj!AN312*0.086*$J$132)/(1-tech_proj!AN592))</f>
        <v>8.172254210333179</v>
      </c>
      <c r="AO1932" s="125">
        <f>IF(tech_base!$T188&gt;AO$1745,"",(tech_base!$K188/tech_proj!AO312*0.086*$J$132)/(1-tech_proj!AO592))</f>
        <v>8.172254210333179</v>
      </c>
      <c r="AP1932" s="125">
        <f>IF(tech_base!$T188&gt;AP$1745,"",(tech_base!$K188/tech_proj!AP312*0.086*$J$132)/(1-tech_proj!AP592))</f>
        <v>8.172254210333179</v>
      </c>
      <c r="AQ1932" s="125">
        <f>IF(tech_base!$T188&gt;AQ$1745,"",(tech_base!$K188/tech_proj!AQ312*0.086*$J$132)/(1-tech_proj!AQ592))</f>
        <v>8.172254210333179</v>
      </c>
      <c r="AR1932" s="125">
        <f>IF(tech_base!$T188&gt;AR$1745,"",(tech_base!$K188/tech_proj!AR312*0.086*$J$132)/(1-tech_proj!AR592))</f>
        <v>8.172254210333179</v>
      </c>
      <c r="AS1932" s="125">
        <f>IF(tech_base!$T188&gt;AS$1745,"",(tech_base!$K188/tech_proj!AS312*0.086*$J$132)/(1-tech_proj!AS592))</f>
        <v>8.1715190401622717</v>
      </c>
      <c r="AT1932" s="125">
        <f>IF(tech_base!$T188&gt;AT$1745,"",(tech_base!$K188/tech_proj!AT312*0.086*$J$132)/(1-tech_proj!AT592))</f>
        <v>8.1710486651608303</v>
      </c>
      <c r="AU1932" s="125">
        <f>IF(tech_base!$T188&gt;AU$1745,"",(tech_base!$K188/tech_proj!AU312*0.086*$J$132)/(1-tech_proj!AU592))</f>
        <v>8.1702841471539074</v>
      </c>
      <c r="AV1932" s="125">
        <f>IF(tech_base!$T188&gt;AV$1745,"",(tech_base!$K188/tech_proj!AV312*0.086*$J$132)/(1-tech_proj!AV592))</f>
        <v>8.1690527370270409</v>
      </c>
      <c r="AW1932" s="125">
        <f>IF(tech_base!$T188&gt;AW$1745,"",(tech_base!$K188/tech_proj!AW312*0.086*$J$132)/(1-tech_proj!AW592))</f>
        <v>8.167097952372627</v>
      </c>
      <c r="AX1932" s="126">
        <f>IF(tech_base!$T188&gt;AX$1745,"",(tech_base!$K188/tech_proj!AX312*0.086*$J$132)/(1-tech_proj!AX592))</f>
        <v>8.1640655624086271</v>
      </c>
    </row>
    <row r="1933" spans="1:50" x14ac:dyDescent="0.25">
      <c r="A1933" s="356"/>
      <c r="B1933" s="376"/>
      <c r="C1933" s="361" t="s">
        <v>16</v>
      </c>
      <c r="D1933" s="2" t="s">
        <v>7</v>
      </c>
      <c r="E1933" s="160" t="str">
        <f>A1919&amp;"/"&amp;B1927&amp;"/"&amp;C1933&amp;"/"&amp;D1933</f>
        <v>Fuel oil fired power plants/Supercritical steam turbine/CHP with CCS/L</v>
      </c>
      <c r="F1933" s="76" t="str">
        <f>A1919</f>
        <v>Fuel oil fired power plants</v>
      </c>
      <c r="G1933" s="76" t="str">
        <f>B1927</f>
        <v>Supercritical steam turbine</v>
      </c>
      <c r="H1933" s="76" t="str">
        <f>C1933</f>
        <v>CHP with CCS</v>
      </c>
      <c r="I1933" s="161" t="str">
        <f t="shared" si="384"/>
        <v>L</v>
      </c>
      <c r="J1933" s="119" t="str">
        <f>IF(tech_base!$T189&gt;J$1745,"",(tech_base!$K189/tech_proj!J313*0.086*$J$132)/(1-tech_proj!J593))</f>
        <v/>
      </c>
      <c r="K1933" s="119" t="str">
        <f>IF(tech_base!$T189&gt;K$1745,"",(tech_base!$K189/tech_proj!K313*0.086*$J$132)/(1-tech_proj!K593))</f>
        <v/>
      </c>
      <c r="L1933" s="119" t="str">
        <f>IF(tech_base!$T189&gt;L$1745,"",(tech_base!$K189/tech_proj!L313*0.086*$J$132)/(1-tech_proj!L593))</f>
        <v/>
      </c>
      <c r="M1933" s="119" t="str">
        <f>IF(tech_base!$T189&gt;M$1745,"",(tech_base!$K189/tech_proj!M313*0.086*$J$132)/(1-tech_proj!M593))</f>
        <v/>
      </c>
      <c r="N1933" s="119" t="str">
        <f>IF(tech_base!$T189&gt;N$1745,"",(tech_base!$K189/tech_proj!N313*0.086*$J$132)/(1-tech_proj!N593))</f>
        <v/>
      </c>
      <c r="O1933" s="119" t="str">
        <f>IF(tech_base!$T189&gt;O$1745,"",(tech_base!$K189/tech_proj!O313*0.086*$J$132)/(1-tech_proj!O593))</f>
        <v/>
      </c>
      <c r="P1933" s="119" t="str">
        <f>IF(tech_base!$T189&gt;P$1745,"",(tech_base!$K189/tech_proj!P313*0.086*$J$132)/(1-tech_proj!P593))</f>
        <v/>
      </c>
      <c r="Q1933" s="119" t="str">
        <f>IF(tech_base!$T189&gt;Q$1745,"",(tech_base!$K189/tech_proj!Q313*0.086*$J$132)/(1-tech_proj!Q593))</f>
        <v/>
      </c>
      <c r="R1933" s="119" t="str">
        <f>IF(tech_base!$T189&gt;R$1745,"",(tech_base!$K189/tech_proj!R313*0.086*$J$132)/(1-tech_proj!R593))</f>
        <v/>
      </c>
      <c r="S1933" s="119" t="str">
        <f>IF(tech_base!$T189&gt;S$1745,"",(tech_base!$K189/tech_proj!S313*0.086*$J$132)/(1-tech_proj!S593))</f>
        <v/>
      </c>
      <c r="T1933" s="119" t="str">
        <f>IF(tech_base!$T189&gt;T$1745,"",(tech_base!$K189/tech_proj!T313*0.086*$J$132)/(1-tech_proj!T593))</f>
        <v/>
      </c>
      <c r="U1933" s="119" t="str">
        <f>IF(tech_base!$T189&gt;U$1745,"",(tech_base!$K189/tech_proj!U313*0.086*$J$132)/(1-tech_proj!U593))</f>
        <v/>
      </c>
      <c r="V1933" s="119" t="str">
        <f>IF(tech_base!$T189&gt;V$1745,"",(tech_base!$K189/tech_proj!V313*0.086*$J$132)/(1-tech_proj!V593))</f>
        <v/>
      </c>
      <c r="W1933" s="119" t="str">
        <f>IF(tech_base!$T189&gt;W$1745,"",(tech_base!$K189/tech_proj!W313*0.086*$J$132)/(1-tech_proj!W593))</f>
        <v/>
      </c>
      <c r="X1933" s="119" t="str">
        <f>IF(tech_base!$T189&gt;X$1745,"",(tech_base!$K189/tech_proj!X313*0.086*$J$132)/(1-tech_proj!X593))</f>
        <v/>
      </c>
      <c r="Y1933" s="119" t="str">
        <f>IF(tech_base!$T189&gt;Y$1745,"",(tech_base!$K189/tech_proj!Y313*0.086*$J$132)/(1-tech_proj!Y593))</f>
        <v/>
      </c>
      <c r="Z1933" s="119" t="str">
        <f>IF(tech_base!$T189&gt;Z$1745,"",(tech_base!$K189/tech_proj!Z313*0.086*$J$132)/(1-tech_proj!Z593))</f>
        <v/>
      </c>
      <c r="AA1933" s="119" t="str">
        <f>IF(tech_base!$T189&gt;AA$1745,"",(tech_base!$K189/tech_proj!AA313*0.086*$J$132)/(1-tech_proj!AA593))</f>
        <v/>
      </c>
      <c r="AB1933" s="119" t="str">
        <f>IF(tech_base!$T189&gt;AB$1745,"",(tech_base!$K189/tech_proj!AB313*0.086*$J$132)/(1-tech_proj!AB593))</f>
        <v/>
      </c>
      <c r="AC1933" s="119" t="str">
        <f>IF(tech_base!$T189&gt;AC$1745,"",(tech_base!$K189/tech_proj!AC313*0.086*$J$132)/(1-tech_proj!AC593))</f>
        <v/>
      </c>
      <c r="AD1933" s="119" t="str">
        <f>IF(tech_base!$T189&gt;AD$1745,"",(tech_base!$K189/tech_proj!AD313*0.086*$J$132)/(1-tech_proj!AD593))</f>
        <v/>
      </c>
      <c r="AE1933" s="119">
        <f>IF(tech_base!$T189&gt;AE$1745,"",(tech_base!$K189/tech_proj!AE313*0.086*$J$132)/(1-tech_proj!AE593))</f>
        <v>8.6686158391244863</v>
      </c>
      <c r="AF1933" s="119">
        <f>IF(tech_base!$T189&gt;AF$1745,"",(tech_base!$K189/tech_proj!AF313*0.086*$J$132)/(1-tech_proj!AF593))</f>
        <v>8.6686158391244863</v>
      </c>
      <c r="AG1933" s="119">
        <f>IF(tech_base!$T189&gt;AG$1745,"",(tech_base!$K189/tech_proj!AG313*0.086*$J$132)/(1-tech_proj!AG593))</f>
        <v>8.6686158391244863</v>
      </c>
      <c r="AH1933" s="119">
        <f>IF(tech_base!$T189&gt;AH$1745,"",(tech_base!$K189/tech_proj!AH313*0.086*$J$132)/(1-tech_proj!AH593))</f>
        <v>8.6686158391244863</v>
      </c>
      <c r="AI1933" s="119">
        <f>IF(tech_base!$T189&gt;AI$1745,"",(tech_base!$K189/tech_proj!AI313*0.086*$J$132)/(1-tech_proj!AI593))</f>
        <v>8.6686158391244863</v>
      </c>
      <c r="AJ1933" s="119">
        <f>IF(tech_base!$T189&gt;AJ$1745,"",(tech_base!$K189/tech_proj!AJ313*0.086*$J$132)/(1-tech_proj!AJ593))</f>
        <v>8.6686158391244863</v>
      </c>
      <c r="AK1933" s="119">
        <f>IF(tech_base!$T189&gt;AK$1745,"",(tech_base!$K189/tech_proj!AK313*0.086*$J$132)/(1-tech_proj!AK593))</f>
        <v>8.6686158391244863</v>
      </c>
      <c r="AL1933" s="119">
        <f>IF(tech_base!$T189&gt;AL$1745,"",(tech_base!$K189/tech_proj!AL313*0.086*$J$132)/(1-tech_proj!AL593))</f>
        <v>8.6686158391244863</v>
      </c>
      <c r="AM1933" s="119">
        <f>IF(tech_base!$T189&gt;AM$1745,"",(tech_base!$K189/tech_proj!AM313*0.086*$J$132)/(1-tech_proj!AM593))</f>
        <v>8.6686158391244863</v>
      </c>
      <c r="AN1933" s="119">
        <f>IF(tech_base!$T189&gt;AN$1745,"",(tech_base!$K189/tech_proj!AN313*0.086*$J$132)/(1-tech_proj!AN593))</f>
        <v>8.6686158391244863</v>
      </c>
      <c r="AO1933" s="119">
        <f>IF(tech_base!$T189&gt;AO$1745,"",(tech_base!$K189/tech_proj!AO313*0.086*$J$132)/(1-tech_proj!AO593))</f>
        <v>8.6686158391244863</v>
      </c>
      <c r="AP1933" s="119">
        <f>IF(tech_base!$T189&gt;AP$1745,"",(tech_base!$K189/tech_proj!AP313*0.086*$J$132)/(1-tech_proj!AP593))</f>
        <v>8.6686158391244863</v>
      </c>
      <c r="AQ1933" s="119">
        <f>IF(tech_base!$T189&gt;AQ$1745,"",(tech_base!$K189/tech_proj!AQ313*0.086*$J$132)/(1-tech_proj!AQ593))</f>
        <v>8.6686158391244863</v>
      </c>
      <c r="AR1933" s="119">
        <f>IF(tech_base!$T189&gt;AR$1745,"",(tech_base!$K189/tech_proj!AR313*0.086*$J$132)/(1-tech_proj!AR593))</f>
        <v>8.6686158391244863</v>
      </c>
      <c r="AS1933" s="119">
        <f>IF(tech_base!$T189&gt;AS$1745,"",(tech_base!$K189/tech_proj!AS313*0.086*$J$132)/(1-tech_proj!AS593))</f>
        <v>8.6678360166148138</v>
      </c>
      <c r="AT1933" s="119">
        <f>IF(tech_base!$T189&gt;AT$1745,"",(tech_base!$K189/tech_proj!AT313*0.086*$J$132)/(1-tech_proj!AT593))</f>
        <v>8.6673370722497864</v>
      </c>
      <c r="AU1933" s="119">
        <f>IF(tech_base!$T189&gt;AU$1745,"",(tech_base!$K189/tech_proj!AU313*0.086*$J$132)/(1-tech_proj!AU593))</f>
        <v>8.6665261193922838</v>
      </c>
      <c r="AV1933" s="119">
        <f>IF(tech_base!$T189&gt;AV$1745,"",(tech_base!$K189/tech_proj!AV313*0.086*$J$132)/(1-tech_proj!AV593))</f>
        <v>8.6652199165924859</v>
      </c>
      <c r="AW1933" s="119">
        <f>IF(tech_base!$T189&gt;AW$1745,"",(tech_base!$K189/tech_proj!AW313*0.086*$J$132)/(1-tech_proj!AW593))</f>
        <v>8.6631464033633065</v>
      </c>
      <c r="AX1933" s="120">
        <f>IF(tech_base!$T189&gt;AX$1745,"",(tech_base!$K189/tech_proj!AX313*0.086*$J$132)/(1-tech_proj!AX593))</f>
        <v>8.6599298338592536</v>
      </c>
    </row>
    <row r="1934" spans="1:50" x14ac:dyDescent="0.25">
      <c r="A1934" s="356"/>
      <c r="B1934" s="380"/>
      <c r="C1934" s="381"/>
      <c r="D1934" s="4" t="s">
        <v>8</v>
      </c>
      <c r="E1934" s="168" t="str">
        <f>A1919&amp;"/"&amp;B1927&amp;"/"&amp;C1933&amp;"/"&amp;D1934</f>
        <v>Fuel oil fired power plants/Supercritical steam turbine/CHP with CCS/M</v>
      </c>
      <c r="F1934" s="80" t="str">
        <f>A1919</f>
        <v>Fuel oil fired power plants</v>
      </c>
      <c r="G1934" s="80" t="str">
        <f>B1927</f>
        <v>Supercritical steam turbine</v>
      </c>
      <c r="H1934" s="80" t="str">
        <f>C1933</f>
        <v>CHP with CCS</v>
      </c>
      <c r="I1934" s="169" t="str">
        <f t="shared" si="384"/>
        <v>M</v>
      </c>
      <c r="J1934" s="127" t="str">
        <f>IF(tech_base!$T190&gt;J$1745,"",(tech_base!$K190/tech_proj!J314*0.086*$J$132)/(1-tech_proj!J594))</f>
        <v/>
      </c>
      <c r="K1934" s="127" t="str">
        <f>IF(tech_base!$T190&gt;K$1745,"",(tech_base!$K190/tech_proj!K314*0.086*$J$132)/(1-tech_proj!K594))</f>
        <v/>
      </c>
      <c r="L1934" s="127" t="str">
        <f>IF(tech_base!$T190&gt;L$1745,"",(tech_base!$K190/tech_proj!L314*0.086*$J$132)/(1-tech_proj!L594))</f>
        <v/>
      </c>
      <c r="M1934" s="127" t="str">
        <f>IF(tech_base!$T190&gt;M$1745,"",(tech_base!$K190/tech_proj!M314*0.086*$J$132)/(1-tech_proj!M594))</f>
        <v/>
      </c>
      <c r="N1934" s="127" t="str">
        <f>IF(tech_base!$T190&gt;N$1745,"",(tech_base!$K190/tech_proj!N314*0.086*$J$132)/(1-tech_proj!N594))</f>
        <v/>
      </c>
      <c r="O1934" s="127" t="str">
        <f>IF(tech_base!$T190&gt;O$1745,"",(tech_base!$K190/tech_proj!O314*0.086*$J$132)/(1-tech_proj!O594))</f>
        <v/>
      </c>
      <c r="P1934" s="127" t="str">
        <f>IF(tech_base!$T190&gt;P$1745,"",(tech_base!$K190/tech_proj!P314*0.086*$J$132)/(1-tech_proj!P594))</f>
        <v/>
      </c>
      <c r="Q1934" s="127" t="str">
        <f>IF(tech_base!$T190&gt;Q$1745,"",(tech_base!$K190/tech_proj!Q314*0.086*$J$132)/(1-tech_proj!Q594))</f>
        <v/>
      </c>
      <c r="R1934" s="127" t="str">
        <f>IF(tech_base!$T190&gt;R$1745,"",(tech_base!$K190/tech_proj!R314*0.086*$J$132)/(1-tech_proj!R594))</f>
        <v/>
      </c>
      <c r="S1934" s="127" t="str">
        <f>IF(tech_base!$T190&gt;S$1745,"",(tech_base!$K190/tech_proj!S314*0.086*$J$132)/(1-tech_proj!S594))</f>
        <v/>
      </c>
      <c r="T1934" s="127" t="str">
        <f>IF(tech_base!$T190&gt;T$1745,"",(tech_base!$K190/tech_proj!T314*0.086*$J$132)/(1-tech_proj!T594))</f>
        <v/>
      </c>
      <c r="U1934" s="127" t="str">
        <f>IF(tech_base!$T190&gt;U$1745,"",(tech_base!$K190/tech_proj!U314*0.086*$J$132)/(1-tech_proj!U594))</f>
        <v/>
      </c>
      <c r="V1934" s="127" t="str">
        <f>IF(tech_base!$T190&gt;V$1745,"",(tech_base!$K190/tech_proj!V314*0.086*$J$132)/(1-tech_proj!V594))</f>
        <v/>
      </c>
      <c r="W1934" s="127" t="str">
        <f>IF(tech_base!$T190&gt;W$1745,"",(tech_base!$K190/tech_proj!W314*0.086*$J$132)/(1-tech_proj!W594))</f>
        <v/>
      </c>
      <c r="X1934" s="127" t="str">
        <f>IF(tech_base!$T190&gt;X$1745,"",(tech_base!$K190/tech_proj!X314*0.086*$J$132)/(1-tech_proj!X594))</f>
        <v/>
      </c>
      <c r="Y1934" s="127" t="str">
        <f>IF(tech_base!$T190&gt;Y$1745,"",(tech_base!$K190/tech_proj!Y314*0.086*$J$132)/(1-tech_proj!Y594))</f>
        <v/>
      </c>
      <c r="Z1934" s="127" t="str">
        <f>IF(tech_base!$T190&gt;Z$1745,"",(tech_base!$K190/tech_proj!Z314*0.086*$J$132)/(1-tech_proj!Z594))</f>
        <v/>
      </c>
      <c r="AA1934" s="127" t="str">
        <f>IF(tech_base!$T190&gt;AA$1745,"",(tech_base!$K190/tech_proj!AA314*0.086*$J$132)/(1-tech_proj!AA594))</f>
        <v/>
      </c>
      <c r="AB1934" s="127" t="str">
        <f>IF(tech_base!$T190&gt;AB$1745,"",(tech_base!$K190/tech_proj!AB314*0.086*$J$132)/(1-tech_proj!AB594))</f>
        <v/>
      </c>
      <c r="AC1934" s="127" t="str">
        <f>IF(tech_base!$T190&gt;AC$1745,"",(tech_base!$K190/tech_proj!AC314*0.086*$J$132)/(1-tech_proj!AC594))</f>
        <v/>
      </c>
      <c r="AD1934" s="127" t="str">
        <f>IF(tech_base!$T190&gt;AD$1745,"",(tech_base!$K190/tech_proj!AD314*0.086*$J$132)/(1-tech_proj!AD594))</f>
        <v/>
      </c>
      <c r="AE1934" s="127">
        <f>IF(tech_base!$T190&gt;AE$1745,"",(tech_base!$K190/tech_proj!AE314*0.086*$J$132)/(1-tech_proj!AE594))</f>
        <v>9.2291719218946913</v>
      </c>
      <c r="AF1934" s="127">
        <f>IF(tech_base!$T190&gt;AF$1745,"",(tech_base!$K190/tech_proj!AF314*0.086*$J$132)/(1-tech_proj!AF594))</f>
        <v>9.2291719218946913</v>
      </c>
      <c r="AG1934" s="127">
        <f>IF(tech_base!$T190&gt;AG$1745,"",(tech_base!$K190/tech_proj!AG314*0.086*$J$132)/(1-tech_proj!AG594))</f>
        <v>9.2291719218946913</v>
      </c>
      <c r="AH1934" s="127">
        <f>IF(tech_base!$T190&gt;AH$1745,"",(tech_base!$K190/tech_proj!AH314*0.086*$J$132)/(1-tech_proj!AH594))</f>
        <v>9.2291719218946913</v>
      </c>
      <c r="AI1934" s="127">
        <f>IF(tech_base!$T190&gt;AI$1745,"",(tech_base!$K190/tech_proj!AI314*0.086*$J$132)/(1-tech_proj!AI594))</f>
        <v>9.2291719218946913</v>
      </c>
      <c r="AJ1934" s="127">
        <f>IF(tech_base!$T190&gt;AJ$1745,"",(tech_base!$K190/tech_proj!AJ314*0.086*$J$132)/(1-tech_proj!AJ594))</f>
        <v>9.2291719218946913</v>
      </c>
      <c r="AK1934" s="127">
        <f>IF(tech_base!$T190&gt;AK$1745,"",(tech_base!$K190/tech_proj!AK314*0.086*$J$132)/(1-tech_proj!AK594))</f>
        <v>9.2291719218946913</v>
      </c>
      <c r="AL1934" s="127">
        <f>IF(tech_base!$T190&gt;AL$1745,"",(tech_base!$K190/tech_proj!AL314*0.086*$J$132)/(1-tech_proj!AL594))</f>
        <v>9.2291719218946913</v>
      </c>
      <c r="AM1934" s="127">
        <f>IF(tech_base!$T190&gt;AM$1745,"",(tech_base!$K190/tech_proj!AM314*0.086*$J$132)/(1-tech_proj!AM594))</f>
        <v>9.2291719218946913</v>
      </c>
      <c r="AN1934" s="127">
        <f>IF(tech_base!$T190&gt;AN$1745,"",(tech_base!$K190/tech_proj!AN314*0.086*$J$132)/(1-tech_proj!AN594))</f>
        <v>9.2291719218946913</v>
      </c>
      <c r="AO1934" s="127">
        <f>IF(tech_base!$T190&gt;AO$1745,"",(tech_base!$K190/tech_proj!AO314*0.086*$J$132)/(1-tech_proj!AO594))</f>
        <v>9.2291719218946913</v>
      </c>
      <c r="AP1934" s="127">
        <f>IF(tech_base!$T190&gt;AP$1745,"",(tech_base!$K190/tech_proj!AP314*0.086*$J$132)/(1-tech_proj!AP594))</f>
        <v>9.2291719218946913</v>
      </c>
      <c r="AQ1934" s="127">
        <f>IF(tech_base!$T190&gt;AQ$1745,"",(tech_base!$K190/tech_proj!AQ314*0.086*$J$132)/(1-tech_proj!AQ594))</f>
        <v>9.2291719218946913</v>
      </c>
      <c r="AR1934" s="127">
        <f>IF(tech_base!$T190&gt;AR$1745,"",(tech_base!$K190/tech_proj!AR314*0.086*$J$132)/(1-tech_proj!AR594))</f>
        <v>9.2291719218946913</v>
      </c>
      <c r="AS1934" s="127">
        <f>IF(tech_base!$T190&gt;AS$1745,"",(tech_base!$K190/tech_proj!AS314*0.086*$J$132)/(1-tech_proj!AS594))</f>
        <v>9.2283416721588747</v>
      </c>
      <c r="AT1934" s="127">
        <f>IF(tech_base!$T190&gt;AT$1745,"",(tech_base!$K190/tech_proj!AT314*0.086*$J$132)/(1-tech_proj!AT594))</f>
        <v>9.2278104635542082</v>
      </c>
      <c r="AU1934" s="127">
        <f>IF(tech_base!$T190&gt;AU$1745,"",(tech_base!$K190/tech_proj!AU314*0.086*$J$132)/(1-tech_proj!AU594))</f>
        <v>9.2269470704264744</v>
      </c>
      <c r="AV1934" s="127">
        <f>IF(tech_base!$T190&gt;AV$1745,"",(tech_base!$K190/tech_proj!AV314*0.086*$J$132)/(1-tech_proj!AV594))</f>
        <v>9.2255564020166716</v>
      </c>
      <c r="AW1934" s="127">
        <f>IF(tech_base!$T190&gt;AW$1745,"",(tech_base!$K190/tech_proj!AW314*0.086*$J$132)/(1-tech_proj!AW594))</f>
        <v>9.2233488050450738</v>
      </c>
      <c r="AX1934" s="128">
        <f>IF(tech_base!$T190&gt;AX$1745,"",(tech_base!$K190/tech_proj!AX314*0.086*$J$132)/(1-tech_proj!AX594))</f>
        <v>9.2199242360593701</v>
      </c>
    </row>
    <row r="1935" spans="1:50" x14ac:dyDescent="0.25">
      <c r="A1935" s="356"/>
      <c r="B1935" s="358" t="s">
        <v>19</v>
      </c>
      <c r="C1935" s="353" t="s">
        <v>6</v>
      </c>
      <c r="D1935" s="3" t="s">
        <v>7</v>
      </c>
      <c r="E1935" s="162" t="str">
        <f>A1919&amp;"/"&amp;B1935&amp;"/"&amp;C1935&amp;"/"&amp;D1935</f>
        <v>Fuel oil fired power plants/Steam turbine/Electricity only/L</v>
      </c>
      <c r="F1935" s="77" t="str">
        <f>A1919</f>
        <v>Fuel oil fired power plants</v>
      </c>
      <c r="G1935" s="77" t="str">
        <f>B1935</f>
        <v>Steam turbine</v>
      </c>
      <c r="H1935" s="77" t="str">
        <f>C1935</f>
        <v>Electricity only</v>
      </c>
      <c r="I1935" s="163" t="str">
        <f t="shared" si="384"/>
        <v>L</v>
      </c>
      <c r="J1935" s="121">
        <f>IF(tech_base!$T191&gt;J$1745,"",(tech_base!$K191/tech_proj!J315*0.086*$J$132)/(1-tech_proj!J595))</f>
        <v>0</v>
      </c>
      <c r="K1935" s="121">
        <f>IF(tech_base!$T191&gt;K$1745,"",(tech_base!$K191/tech_proj!K315*0.086*$J$132)/(1-tech_proj!K595))</f>
        <v>0</v>
      </c>
      <c r="L1935" s="121">
        <f>IF(tech_base!$T191&gt;L$1745,"",(tech_base!$K191/tech_proj!L315*0.086*$J$132)/(1-tech_proj!L595))</f>
        <v>0</v>
      </c>
      <c r="M1935" s="121">
        <f>IF(tech_base!$T191&gt;M$1745,"",(tech_base!$K191/tech_proj!M315*0.086*$J$132)/(1-tech_proj!M595))</f>
        <v>0</v>
      </c>
      <c r="N1935" s="121">
        <f>IF(tech_base!$T191&gt;N$1745,"",(tech_base!$K191/tech_proj!N315*0.086*$J$132)/(1-tech_proj!N595))</f>
        <v>0</v>
      </c>
      <c r="O1935" s="121">
        <f>IF(tech_base!$T191&gt;O$1745,"",(tech_base!$K191/tech_proj!O315*0.086*$J$132)/(1-tech_proj!O595))</f>
        <v>0</v>
      </c>
      <c r="P1935" s="121">
        <f>IF(tech_base!$T191&gt;P$1745,"",(tech_base!$K191/tech_proj!P315*0.086*$J$132)/(1-tech_proj!P595))</f>
        <v>0</v>
      </c>
      <c r="Q1935" s="121">
        <f>IF(tech_base!$T191&gt;Q$1745,"",(tech_base!$K191/tech_proj!Q315*0.086*$J$132)/(1-tech_proj!Q595))</f>
        <v>0</v>
      </c>
      <c r="R1935" s="121">
        <f>IF(tech_base!$T191&gt;R$1745,"",(tech_base!$K191/tech_proj!R315*0.086*$J$132)/(1-tech_proj!R595))</f>
        <v>0</v>
      </c>
      <c r="S1935" s="121">
        <f>IF(tech_base!$T191&gt;S$1745,"",(tech_base!$K191/tech_proj!S315*0.086*$J$132)/(1-tech_proj!S595))</f>
        <v>0</v>
      </c>
      <c r="T1935" s="121">
        <f>IF(tech_base!$T191&gt;T$1745,"",(tech_base!$K191/tech_proj!T315*0.086*$J$132)/(1-tech_proj!T595))</f>
        <v>0</v>
      </c>
      <c r="U1935" s="121">
        <f>IF(tech_base!$T191&gt;U$1745,"",(tech_base!$K191/tech_proj!U315*0.086*$J$132)/(1-tech_proj!U595))</f>
        <v>0</v>
      </c>
      <c r="V1935" s="121">
        <f>IF(tech_base!$T191&gt;V$1745,"",(tech_base!$K191/tech_proj!V315*0.086*$J$132)/(1-tech_proj!V595))</f>
        <v>0</v>
      </c>
      <c r="W1935" s="121">
        <f>IF(tech_base!$T191&gt;W$1745,"",(tech_base!$K191/tech_proj!W315*0.086*$J$132)/(1-tech_proj!W595))</f>
        <v>0</v>
      </c>
      <c r="X1935" s="121">
        <f>IF(tech_base!$T191&gt;X$1745,"",(tech_base!$K191/tech_proj!X315*0.086*$J$132)/(1-tech_proj!X595))</f>
        <v>0</v>
      </c>
      <c r="Y1935" s="121">
        <f>IF(tech_base!$T191&gt;Y$1745,"",(tech_base!$K191/tech_proj!Y315*0.086*$J$132)/(1-tech_proj!Y595))</f>
        <v>0</v>
      </c>
      <c r="Z1935" s="121">
        <f>IF(tech_base!$T191&gt;Z$1745,"",(tech_base!$K191/tech_proj!Z315*0.086*$J$132)/(1-tech_proj!Z595))</f>
        <v>0</v>
      </c>
      <c r="AA1935" s="121">
        <f>IF(tech_base!$T191&gt;AA$1745,"",(tech_base!$K191/tech_proj!AA315*0.086*$J$132)/(1-tech_proj!AA595))</f>
        <v>0</v>
      </c>
      <c r="AB1935" s="121">
        <f>IF(tech_base!$T191&gt;AB$1745,"",(tech_base!$K191/tech_proj!AB315*0.086*$J$132)/(1-tech_proj!AB595))</f>
        <v>0</v>
      </c>
      <c r="AC1935" s="121">
        <f>IF(tech_base!$T191&gt;AC$1745,"",(tech_base!$K191/tech_proj!AC315*0.086*$J$132)/(1-tech_proj!AC595))</f>
        <v>0</v>
      </c>
      <c r="AD1935" s="121">
        <f>IF(tech_base!$T191&gt;AD$1745,"",(tech_base!$K191/tech_proj!AD315*0.086*$J$132)/(1-tech_proj!AD595))</f>
        <v>0</v>
      </c>
      <c r="AE1935" s="121">
        <f>IF(tech_base!$T191&gt;AE$1745,"",(tech_base!$K191/tech_proj!AE315*0.086*$J$132)/(1-tech_proj!AE595))</f>
        <v>0</v>
      </c>
      <c r="AF1935" s="121">
        <f>IF(tech_base!$T191&gt;AF$1745,"",(tech_base!$K191/tech_proj!AF315*0.086*$J$132)/(1-tech_proj!AF595))</f>
        <v>0</v>
      </c>
      <c r="AG1935" s="121">
        <f>IF(tech_base!$T191&gt;AG$1745,"",(tech_base!$K191/tech_proj!AG315*0.086*$J$132)/(1-tech_proj!AG595))</f>
        <v>0</v>
      </c>
      <c r="AH1935" s="121">
        <f>IF(tech_base!$T191&gt;AH$1745,"",(tech_base!$K191/tech_proj!AH315*0.086*$J$132)/(1-tech_proj!AH595))</f>
        <v>0</v>
      </c>
      <c r="AI1935" s="121">
        <f>IF(tech_base!$T191&gt;AI$1745,"",(tech_base!$K191/tech_proj!AI315*0.086*$J$132)/(1-tech_proj!AI595))</f>
        <v>0</v>
      </c>
      <c r="AJ1935" s="121">
        <f>IF(tech_base!$T191&gt;AJ$1745,"",(tech_base!$K191/tech_proj!AJ315*0.086*$J$132)/(1-tech_proj!AJ595))</f>
        <v>0</v>
      </c>
      <c r="AK1935" s="121">
        <f>IF(tech_base!$T191&gt;AK$1745,"",(tech_base!$K191/tech_proj!AK315*0.086*$J$132)/(1-tech_proj!AK595))</f>
        <v>0</v>
      </c>
      <c r="AL1935" s="121">
        <f>IF(tech_base!$T191&gt;AL$1745,"",(tech_base!$K191/tech_proj!AL315*0.086*$J$132)/(1-tech_proj!AL595))</f>
        <v>0</v>
      </c>
      <c r="AM1935" s="121">
        <f>IF(tech_base!$T191&gt;AM$1745,"",(tech_base!$K191/tech_proj!AM315*0.086*$J$132)/(1-tech_proj!AM595))</f>
        <v>0</v>
      </c>
      <c r="AN1935" s="121">
        <f>IF(tech_base!$T191&gt;AN$1745,"",(tech_base!$K191/tech_proj!AN315*0.086*$J$132)/(1-tech_proj!AN595))</f>
        <v>0</v>
      </c>
      <c r="AO1935" s="121">
        <f>IF(tech_base!$T191&gt;AO$1745,"",(tech_base!$K191/tech_proj!AO315*0.086*$J$132)/(1-tech_proj!AO595))</f>
        <v>0</v>
      </c>
      <c r="AP1935" s="121">
        <f>IF(tech_base!$T191&gt;AP$1745,"",(tech_base!$K191/tech_proj!AP315*0.086*$J$132)/(1-tech_proj!AP595))</f>
        <v>0</v>
      </c>
      <c r="AQ1935" s="121">
        <f>IF(tech_base!$T191&gt;AQ$1745,"",(tech_base!$K191/tech_proj!AQ315*0.086*$J$132)/(1-tech_proj!AQ595))</f>
        <v>0</v>
      </c>
      <c r="AR1935" s="121">
        <f>IF(tech_base!$T191&gt;AR$1745,"",(tech_base!$K191/tech_proj!AR315*0.086*$J$132)/(1-tech_proj!AR595))</f>
        <v>0</v>
      </c>
      <c r="AS1935" s="121">
        <f>IF(tech_base!$T191&gt;AS$1745,"",(tech_base!$K191/tech_proj!AS315*0.086*$J$132)/(1-tech_proj!AS595))</f>
        <v>0</v>
      </c>
      <c r="AT1935" s="121">
        <f>IF(tech_base!$T191&gt;AT$1745,"",(tech_base!$K191/tech_proj!AT315*0.086*$J$132)/(1-tech_proj!AT595))</f>
        <v>0</v>
      </c>
      <c r="AU1935" s="121">
        <f>IF(tech_base!$T191&gt;AU$1745,"",(tech_base!$K191/tech_proj!AU315*0.086*$J$132)/(1-tech_proj!AU595))</f>
        <v>0</v>
      </c>
      <c r="AV1935" s="121">
        <f>IF(tech_base!$T191&gt;AV$1745,"",(tech_base!$K191/tech_proj!AV315*0.086*$J$132)/(1-tech_proj!AV595))</f>
        <v>0</v>
      </c>
      <c r="AW1935" s="121">
        <f>IF(tech_base!$T191&gt;AW$1745,"",(tech_base!$K191/tech_proj!AW315*0.086*$J$132)/(1-tech_proj!AW595))</f>
        <v>0</v>
      </c>
      <c r="AX1935" s="122">
        <f>IF(tech_base!$T191&gt;AX$1745,"",(tech_base!$K191/tech_proj!AX315*0.086*$J$132)/(1-tech_proj!AX595))</f>
        <v>0</v>
      </c>
    </row>
    <row r="1936" spans="1:50" x14ac:dyDescent="0.25">
      <c r="A1936" s="356"/>
      <c r="B1936" s="376"/>
      <c r="C1936" s="378"/>
      <c r="D1936" s="2" t="s">
        <v>8</v>
      </c>
      <c r="E1936" s="160" t="str">
        <f>A1919&amp;"/"&amp;B1935&amp;"/"&amp;C1935&amp;"/"&amp;D1936</f>
        <v>Fuel oil fired power plants/Steam turbine/Electricity only/M</v>
      </c>
      <c r="F1936" s="76" t="str">
        <f>A1919</f>
        <v>Fuel oil fired power plants</v>
      </c>
      <c r="G1936" s="76" t="str">
        <f>B1935</f>
        <v>Steam turbine</v>
      </c>
      <c r="H1936" s="76" t="str">
        <f>C1935</f>
        <v>Electricity only</v>
      </c>
      <c r="I1936" s="161" t="str">
        <f t="shared" si="384"/>
        <v>M</v>
      </c>
      <c r="J1936" s="119">
        <f>IF(tech_base!$T192&gt;J$1745,"",(tech_base!$K192/tech_proj!J316*0.086*$J$132)/(1-tech_proj!J596))</f>
        <v>0</v>
      </c>
      <c r="K1936" s="119">
        <f>IF(tech_base!$T192&gt;K$1745,"",(tech_base!$K192/tech_proj!K316*0.086*$J$132)/(1-tech_proj!K596))</f>
        <v>0</v>
      </c>
      <c r="L1936" s="119">
        <f>IF(tech_base!$T192&gt;L$1745,"",(tech_base!$K192/tech_proj!L316*0.086*$J$132)/(1-tech_proj!L596))</f>
        <v>0</v>
      </c>
      <c r="M1936" s="119">
        <f>IF(tech_base!$T192&gt;M$1745,"",(tech_base!$K192/tech_proj!M316*0.086*$J$132)/(1-tech_proj!M596))</f>
        <v>0</v>
      </c>
      <c r="N1936" s="119">
        <f>IF(tech_base!$T192&gt;N$1745,"",(tech_base!$K192/tech_proj!N316*0.086*$J$132)/(1-tech_proj!N596))</f>
        <v>0</v>
      </c>
      <c r="O1936" s="119">
        <f>IF(tech_base!$T192&gt;O$1745,"",(tech_base!$K192/tech_proj!O316*0.086*$J$132)/(1-tech_proj!O596))</f>
        <v>0</v>
      </c>
      <c r="P1936" s="119">
        <f>IF(tech_base!$T192&gt;P$1745,"",(tech_base!$K192/tech_proj!P316*0.086*$J$132)/(1-tech_proj!P596))</f>
        <v>0</v>
      </c>
      <c r="Q1936" s="119">
        <f>IF(tech_base!$T192&gt;Q$1745,"",(tech_base!$K192/tech_proj!Q316*0.086*$J$132)/(1-tech_proj!Q596))</f>
        <v>0</v>
      </c>
      <c r="R1936" s="119">
        <f>IF(tech_base!$T192&gt;R$1745,"",(tech_base!$K192/tech_proj!R316*0.086*$J$132)/(1-tech_proj!R596))</f>
        <v>0</v>
      </c>
      <c r="S1936" s="119">
        <f>IF(tech_base!$T192&gt;S$1745,"",(tech_base!$K192/tech_proj!S316*0.086*$J$132)/(1-tech_proj!S596))</f>
        <v>0</v>
      </c>
      <c r="T1936" s="119">
        <f>IF(tech_base!$T192&gt;T$1745,"",(tech_base!$K192/tech_proj!T316*0.086*$J$132)/(1-tech_proj!T596))</f>
        <v>0</v>
      </c>
      <c r="U1936" s="119">
        <f>IF(tech_base!$T192&gt;U$1745,"",(tech_base!$K192/tech_proj!U316*0.086*$J$132)/(1-tech_proj!U596))</f>
        <v>0</v>
      </c>
      <c r="V1936" s="119">
        <f>IF(tech_base!$T192&gt;V$1745,"",(tech_base!$K192/tech_proj!V316*0.086*$J$132)/(1-tech_proj!V596))</f>
        <v>0</v>
      </c>
      <c r="W1936" s="119">
        <f>IF(tech_base!$T192&gt;W$1745,"",(tech_base!$K192/tech_proj!W316*0.086*$J$132)/(1-tech_proj!W596))</f>
        <v>0</v>
      </c>
      <c r="X1936" s="119">
        <f>IF(tech_base!$T192&gt;X$1745,"",(tech_base!$K192/tech_proj!X316*0.086*$J$132)/(1-tech_proj!X596))</f>
        <v>0</v>
      </c>
      <c r="Y1936" s="119">
        <f>IF(tech_base!$T192&gt;Y$1745,"",(tech_base!$K192/tech_proj!Y316*0.086*$J$132)/(1-tech_proj!Y596))</f>
        <v>0</v>
      </c>
      <c r="Z1936" s="119">
        <f>IF(tech_base!$T192&gt;Z$1745,"",(tech_base!$K192/tech_proj!Z316*0.086*$J$132)/(1-tech_proj!Z596))</f>
        <v>0</v>
      </c>
      <c r="AA1936" s="119">
        <f>IF(tech_base!$T192&gt;AA$1745,"",(tech_base!$K192/tech_proj!AA316*0.086*$J$132)/(1-tech_proj!AA596))</f>
        <v>0</v>
      </c>
      <c r="AB1936" s="119">
        <f>IF(tech_base!$T192&gt;AB$1745,"",(tech_base!$K192/tech_proj!AB316*0.086*$J$132)/(1-tech_proj!AB596))</f>
        <v>0</v>
      </c>
      <c r="AC1936" s="119">
        <f>IF(tech_base!$T192&gt;AC$1745,"",(tech_base!$K192/tech_proj!AC316*0.086*$J$132)/(1-tech_proj!AC596))</f>
        <v>0</v>
      </c>
      <c r="AD1936" s="119">
        <f>IF(tech_base!$T192&gt;AD$1745,"",(tech_base!$K192/tech_proj!AD316*0.086*$J$132)/(1-tech_proj!AD596))</f>
        <v>0</v>
      </c>
      <c r="AE1936" s="119">
        <f>IF(tech_base!$T192&gt;AE$1745,"",(tech_base!$K192/tech_proj!AE316*0.086*$J$132)/(1-tech_proj!AE596))</f>
        <v>0</v>
      </c>
      <c r="AF1936" s="119">
        <f>IF(tech_base!$T192&gt;AF$1745,"",(tech_base!$K192/tech_proj!AF316*0.086*$J$132)/(1-tech_proj!AF596))</f>
        <v>0</v>
      </c>
      <c r="AG1936" s="119">
        <f>IF(tech_base!$T192&gt;AG$1745,"",(tech_base!$K192/tech_proj!AG316*0.086*$J$132)/(1-tech_proj!AG596))</f>
        <v>0</v>
      </c>
      <c r="AH1936" s="119">
        <f>IF(tech_base!$T192&gt;AH$1745,"",(tech_base!$K192/tech_proj!AH316*0.086*$J$132)/(1-tech_proj!AH596))</f>
        <v>0</v>
      </c>
      <c r="AI1936" s="119">
        <f>IF(tech_base!$T192&gt;AI$1745,"",(tech_base!$K192/tech_proj!AI316*0.086*$J$132)/(1-tech_proj!AI596))</f>
        <v>0</v>
      </c>
      <c r="AJ1936" s="119">
        <f>IF(tech_base!$T192&gt;AJ$1745,"",(tech_base!$K192/tech_proj!AJ316*0.086*$J$132)/(1-tech_proj!AJ596))</f>
        <v>0</v>
      </c>
      <c r="AK1936" s="119">
        <f>IF(tech_base!$T192&gt;AK$1745,"",(tech_base!$K192/tech_proj!AK316*0.086*$J$132)/(1-tech_proj!AK596))</f>
        <v>0</v>
      </c>
      <c r="AL1936" s="119">
        <f>IF(tech_base!$T192&gt;AL$1745,"",(tech_base!$K192/tech_proj!AL316*0.086*$J$132)/(1-tech_proj!AL596))</f>
        <v>0</v>
      </c>
      <c r="AM1936" s="119">
        <f>IF(tech_base!$T192&gt;AM$1745,"",(tech_base!$K192/tech_proj!AM316*0.086*$J$132)/(1-tech_proj!AM596))</f>
        <v>0</v>
      </c>
      <c r="AN1936" s="119">
        <f>IF(tech_base!$T192&gt;AN$1745,"",(tech_base!$K192/tech_proj!AN316*0.086*$J$132)/(1-tech_proj!AN596))</f>
        <v>0</v>
      </c>
      <c r="AO1936" s="119">
        <f>IF(tech_base!$T192&gt;AO$1745,"",(tech_base!$K192/tech_proj!AO316*0.086*$J$132)/(1-tech_proj!AO596))</f>
        <v>0</v>
      </c>
      <c r="AP1936" s="119">
        <f>IF(tech_base!$T192&gt;AP$1745,"",(tech_base!$K192/tech_proj!AP316*0.086*$J$132)/(1-tech_proj!AP596))</f>
        <v>0</v>
      </c>
      <c r="AQ1936" s="119">
        <f>IF(tech_base!$T192&gt;AQ$1745,"",(tech_base!$K192/tech_proj!AQ316*0.086*$J$132)/(1-tech_proj!AQ596))</f>
        <v>0</v>
      </c>
      <c r="AR1936" s="119">
        <f>IF(tech_base!$T192&gt;AR$1745,"",(tech_base!$K192/tech_proj!AR316*0.086*$J$132)/(1-tech_proj!AR596))</f>
        <v>0</v>
      </c>
      <c r="AS1936" s="119">
        <f>IF(tech_base!$T192&gt;AS$1745,"",(tech_base!$K192/tech_proj!AS316*0.086*$J$132)/(1-tech_proj!AS596))</f>
        <v>0</v>
      </c>
      <c r="AT1936" s="119">
        <f>IF(tech_base!$T192&gt;AT$1745,"",(tech_base!$K192/tech_proj!AT316*0.086*$J$132)/(1-tech_proj!AT596))</f>
        <v>0</v>
      </c>
      <c r="AU1936" s="119">
        <f>IF(tech_base!$T192&gt;AU$1745,"",(tech_base!$K192/tech_proj!AU316*0.086*$J$132)/(1-tech_proj!AU596))</f>
        <v>0</v>
      </c>
      <c r="AV1936" s="119">
        <f>IF(tech_base!$T192&gt;AV$1745,"",(tech_base!$K192/tech_proj!AV316*0.086*$J$132)/(1-tech_proj!AV596))</f>
        <v>0</v>
      </c>
      <c r="AW1936" s="119">
        <f>IF(tech_base!$T192&gt;AW$1745,"",(tech_base!$K192/tech_proj!AW316*0.086*$J$132)/(1-tech_proj!AW596))</f>
        <v>0</v>
      </c>
      <c r="AX1936" s="120">
        <f>IF(tech_base!$T192&gt;AX$1745,"",(tech_base!$K192/tech_proj!AX316*0.086*$J$132)/(1-tech_proj!AX596))</f>
        <v>0</v>
      </c>
    </row>
    <row r="1937" spans="1:50" x14ac:dyDescent="0.25">
      <c r="A1937" s="356"/>
      <c r="B1937" s="376"/>
      <c r="C1937" s="378"/>
      <c r="D1937" s="2" t="s">
        <v>10</v>
      </c>
      <c r="E1937" s="160" t="str">
        <f>A1919&amp;"/"&amp;B1935&amp;"/"&amp;C1935&amp;"/"&amp;D1937</f>
        <v>Fuel oil fired power plants/Steam turbine/Electricity only/S</v>
      </c>
      <c r="F1937" s="76" t="str">
        <f>A1919</f>
        <v>Fuel oil fired power plants</v>
      </c>
      <c r="G1937" s="76" t="str">
        <f>B1935</f>
        <v>Steam turbine</v>
      </c>
      <c r="H1937" s="76" t="str">
        <f>C1935</f>
        <v>Electricity only</v>
      </c>
      <c r="I1937" s="161" t="str">
        <f t="shared" si="384"/>
        <v>S</v>
      </c>
      <c r="J1937" s="119">
        <f>IF(tech_base!$T193&gt;J$1745,"",(tech_base!$K193/tech_proj!J317*0.086*$J$132)/(1-tech_proj!J597))</f>
        <v>0</v>
      </c>
      <c r="K1937" s="119">
        <f>IF(tech_base!$T193&gt;K$1745,"",(tech_base!$K193/tech_proj!K317*0.086*$J$132)/(1-tech_proj!K597))</f>
        <v>0</v>
      </c>
      <c r="L1937" s="119">
        <f>IF(tech_base!$T193&gt;L$1745,"",(tech_base!$K193/tech_proj!L317*0.086*$J$132)/(1-tech_proj!L597))</f>
        <v>0</v>
      </c>
      <c r="M1937" s="119">
        <f>IF(tech_base!$T193&gt;M$1745,"",(tech_base!$K193/tech_proj!M317*0.086*$J$132)/(1-tech_proj!M597))</f>
        <v>0</v>
      </c>
      <c r="N1937" s="119">
        <f>IF(tech_base!$T193&gt;N$1745,"",(tech_base!$K193/tech_proj!N317*0.086*$J$132)/(1-tech_proj!N597))</f>
        <v>0</v>
      </c>
      <c r="O1937" s="119">
        <f>IF(tech_base!$T193&gt;O$1745,"",(tech_base!$K193/tech_proj!O317*0.086*$J$132)/(1-tech_proj!O597))</f>
        <v>0</v>
      </c>
      <c r="P1937" s="119">
        <f>IF(tech_base!$T193&gt;P$1745,"",(tech_base!$K193/tech_proj!P317*0.086*$J$132)/(1-tech_proj!P597))</f>
        <v>0</v>
      </c>
      <c r="Q1937" s="119">
        <f>IF(tech_base!$T193&gt;Q$1745,"",(tech_base!$K193/tech_proj!Q317*0.086*$J$132)/(1-tech_proj!Q597))</f>
        <v>0</v>
      </c>
      <c r="R1937" s="119">
        <f>IF(tech_base!$T193&gt;R$1745,"",(tech_base!$K193/tech_proj!R317*0.086*$J$132)/(1-tech_proj!R597))</f>
        <v>0</v>
      </c>
      <c r="S1937" s="119">
        <f>IF(tech_base!$T193&gt;S$1745,"",(tech_base!$K193/tech_proj!S317*0.086*$J$132)/(1-tech_proj!S597))</f>
        <v>0</v>
      </c>
      <c r="T1937" s="119">
        <f>IF(tech_base!$T193&gt;T$1745,"",(tech_base!$K193/tech_proj!T317*0.086*$J$132)/(1-tech_proj!T597))</f>
        <v>0</v>
      </c>
      <c r="U1937" s="119">
        <f>IF(tech_base!$T193&gt;U$1745,"",(tech_base!$K193/tech_proj!U317*0.086*$J$132)/(1-tech_proj!U597))</f>
        <v>0</v>
      </c>
      <c r="V1937" s="119">
        <f>IF(tech_base!$T193&gt;V$1745,"",(tech_base!$K193/tech_proj!V317*0.086*$J$132)/(1-tech_proj!V597))</f>
        <v>0</v>
      </c>
      <c r="W1937" s="119">
        <f>IF(tech_base!$T193&gt;W$1745,"",(tech_base!$K193/tech_proj!W317*0.086*$J$132)/(1-tech_proj!W597))</f>
        <v>0</v>
      </c>
      <c r="X1937" s="119">
        <f>IF(tech_base!$T193&gt;X$1745,"",(tech_base!$K193/tech_proj!X317*0.086*$J$132)/(1-tech_proj!X597))</f>
        <v>0</v>
      </c>
      <c r="Y1937" s="119">
        <f>IF(tech_base!$T193&gt;Y$1745,"",(tech_base!$K193/tech_proj!Y317*0.086*$J$132)/(1-tech_proj!Y597))</f>
        <v>0</v>
      </c>
      <c r="Z1937" s="119">
        <f>IF(tech_base!$T193&gt;Z$1745,"",(tech_base!$K193/tech_proj!Z317*0.086*$J$132)/(1-tech_proj!Z597))</f>
        <v>0</v>
      </c>
      <c r="AA1937" s="119">
        <f>IF(tech_base!$T193&gt;AA$1745,"",(tech_base!$K193/tech_proj!AA317*0.086*$J$132)/(1-tech_proj!AA597))</f>
        <v>0</v>
      </c>
      <c r="AB1937" s="119">
        <f>IF(tech_base!$T193&gt;AB$1745,"",(tech_base!$K193/tech_proj!AB317*0.086*$J$132)/(1-tech_proj!AB597))</f>
        <v>0</v>
      </c>
      <c r="AC1937" s="119">
        <f>IF(tech_base!$T193&gt;AC$1745,"",(tech_base!$K193/tech_proj!AC317*0.086*$J$132)/(1-tech_proj!AC597))</f>
        <v>0</v>
      </c>
      <c r="AD1937" s="119">
        <f>IF(tech_base!$T193&gt;AD$1745,"",(tech_base!$K193/tech_proj!AD317*0.086*$J$132)/(1-tech_proj!AD597))</f>
        <v>0</v>
      </c>
      <c r="AE1937" s="119">
        <f>IF(tech_base!$T193&gt;AE$1745,"",(tech_base!$K193/tech_proj!AE317*0.086*$J$132)/(1-tech_proj!AE597))</f>
        <v>0</v>
      </c>
      <c r="AF1937" s="119">
        <f>IF(tech_base!$T193&gt;AF$1745,"",(tech_base!$K193/tech_proj!AF317*0.086*$J$132)/(1-tech_proj!AF597))</f>
        <v>0</v>
      </c>
      <c r="AG1937" s="119">
        <f>IF(tech_base!$T193&gt;AG$1745,"",(tech_base!$K193/tech_proj!AG317*0.086*$J$132)/(1-tech_proj!AG597))</f>
        <v>0</v>
      </c>
      <c r="AH1937" s="119">
        <f>IF(tech_base!$T193&gt;AH$1745,"",(tech_base!$K193/tech_proj!AH317*0.086*$J$132)/(1-tech_proj!AH597))</f>
        <v>0</v>
      </c>
      <c r="AI1937" s="119">
        <f>IF(tech_base!$T193&gt;AI$1745,"",(tech_base!$K193/tech_proj!AI317*0.086*$J$132)/(1-tech_proj!AI597))</f>
        <v>0</v>
      </c>
      <c r="AJ1937" s="119">
        <f>IF(tech_base!$T193&gt;AJ$1745,"",(tech_base!$K193/tech_proj!AJ317*0.086*$J$132)/(1-tech_proj!AJ597))</f>
        <v>0</v>
      </c>
      <c r="AK1937" s="119">
        <f>IF(tech_base!$T193&gt;AK$1745,"",(tech_base!$K193/tech_proj!AK317*0.086*$J$132)/(1-tech_proj!AK597))</f>
        <v>0</v>
      </c>
      <c r="AL1937" s="119">
        <f>IF(tech_base!$T193&gt;AL$1745,"",(tech_base!$K193/tech_proj!AL317*0.086*$J$132)/(1-tech_proj!AL597))</f>
        <v>0</v>
      </c>
      <c r="AM1937" s="119">
        <f>IF(tech_base!$T193&gt;AM$1745,"",(tech_base!$K193/tech_proj!AM317*0.086*$J$132)/(1-tech_proj!AM597))</f>
        <v>0</v>
      </c>
      <c r="AN1937" s="119">
        <f>IF(tech_base!$T193&gt;AN$1745,"",(tech_base!$K193/tech_proj!AN317*0.086*$J$132)/(1-tech_proj!AN597))</f>
        <v>0</v>
      </c>
      <c r="AO1937" s="119">
        <f>IF(tech_base!$T193&gt;AO$1745,"",(tech_base!$K193/tech_proj!AO317*0.086*$J$132)/(1-tech_proj!AO597))</f>
        <v>0</v>
      </c>
      <c r="AP1937" s="119">
        <f>IF(tech_base!$T193&gt;AP$1745,"",(tech_base!$K193/tech_proj!AP317*0.086*$J$132)/(1-tech_proj!AP597))</f>
        <v>0</v>
      </c>
      <c r="AQ1937" s="119">
        <f>IF(tech_base!$T193&gt;AQ$1745,"",(tech_base!$K193/tech_proj!AQ317*0.086*$J$132)/(1-tech_proj!AQ597))</f>
        <v>0</v>
      </c>
      <c r="AR1937" s="119">
        <f>IF(tech_base!$T193&gt;AR$1745,"",(tech_base!$K193/tech_proj!AR317*0.086*$J$132)/(1-tech_proj!AR597))</f>
        <v>0</v>
      </c>
      <c r="AS1937" s="119">
        <f>IF(tech_base!$T193&gt;AS$1745,"",(tech_base!$K193/tech_proj!AS317*0.086*$J$132)/(1-tech_proj!AS597))</f>
        <v>0</v>
      </c>
      <c r="AT1937" s="119">
        <f>IF(tech_base!$T193&gt;AT$1745,"",(tech_base!$K193/tech_proj!AT317*0.086*$J$132)/(1-tech_proj!AT597))</f>
        <v>0</v>
      </c>
      <c r="AU1937" s="119">
        <f>IF(tech_base!$T193&gt;AU$1745,"",(tech_base!$K193/tech_proj!AU317*0.086*$J$132)/(1-tech_proj!AU597))</f>
        <v>0</v>
      </c>
      <c r="AV1937" s="119">
        <f>IF(tech_base!$T193&gt;AV$1745,"",(tech_base!$K193/tech_proj!AV317*0.086*$J$132)/(1-tech_proj!AV597))</f>
        <v>0</v>
      </c>
      <c r="AW1937" s="119">
        <f>IF(tech_base!$T193&gt;AW$1745,"",(tech_base!$K193/tech_proj!AW317*0.086*$J$132)/(1-tech_proj!AW597))</f>
        <v>0</v>
      </c>
      <c r="AX1937" s="120">
        <f>IF(tech_base!$T193&gt;AX$1745,"",(tech_base!$K193/tech_proj!AX317*0.086*$J$132)/(1-tech_proj!AX597))</f>
        <v>0</v>
      </c>
    </row>
    <row r="1938" spans="1:50" x14ac:dyDescent="0.25">
      <c r="A1938" s="356"/>
      <c r="B1938" s="376"/>
      <c r="C1938" s="379"/>
      <c r="D1938" s="2" t="s">
        <v>20</v>
      </c>
      <c r="E1938" s="160" t="str">
        <f>A1919&amp;"/"&amp;B1935&amp;"/"&amp;C1935&amp;"/"&amp;D1938</f>
        <v>Fuel oil fired power plants/Steam turbine/Electricity only/XS</v>
      </c>
      <c r="F1938" s="76" t="str">
        <f>A1919</f>
        <v>Fuel oil fired power plants</v>
      </c>
      <c r="G1938" s="76" t="str">
        <f>B1935</f>
        <v>Steam turbine</v>
      </c>
      <c r="H1938" s="76" t="str">
        <f>C1935</f>
        <v>Electricity only</v>
      </c>
      <c r="I1938" s="161" t="str">
        <f t="shared" si="384"/>
        <v>XS</v>
      </c>
      <c r="J1938" s="119">
        <f>IF(tech_base!$T194&gt;J$1745,"",(tech_base!$K194/tech_proj!J318*0.086*$J$132)/(1-tech_proj!J598))</f>
        <v>0</v>
      </c>
      <c r="K1938" s="119">
        <f>IF(tech_base!$T194&gt;K$1745,"",(tech_base!$K194/tech_proj!K318*0.086*$J$132)/(1-tech_proj!K598))</f>
        <v>0</v>
      </c>
      <c r="L1938" s="119">
        <f>IF(tech_base!$T194&gt;L$1745,"",(tech_base!$K194/tech_proj!L318*0.086*$J$132)/(1-tech_proj!L598))</f>
        <v>0</v>
      </c>
      <c r="M1938" s="119">
        <f>IF(tech_base!$T194&gt;M$1745,"",(tech_base!$K194/tech_proj!M318*0.086*$J$132)/(1-tech_proj!M598))</f>
        <v>0</v>
      </c>
      <c r="N1938" s="119">
        <f>IF(tech_base!$T194&gt;N$1745,"",(tech_base!$K194/tech_proj!N318*0.086*$J$132)/(1-tech_proj!N598))</f>
        <v>0</v>
      </c>
      <c r="O1938" s="119">
        <f>IF(tech_base!$T194&gt;O$1745,"",(tech_base!$K194/tech_proj!O318*0.086*$J$132)/(1-tech_proj!O598))</f>
        <v>0</v>
      </c>
      <c r="P1938" s="119">
        <f>IF(tech_base!$T194&gt;P$1745,"",(tech_base!$K194/tech_proj!P318*0.086*$J$132)/(1-tech_proj!P598))</f>
        <v>0</v>
      </c>
      <c r="Q1938" s="119">
        <f>IF(tech_base!$T194&gt;Q$1745,"",(tech_base!$K194/tech_proj!Q318*0.086*$J$132)/(1-tech_proj!Q598))</f>
        <v>0</v>
      </c>
      <c r="R1938" s="119">
        <f>IF(tech_base!$T194&gt;R$1745,"",(tech_base!$K194/tech_proj!R318*0.086*$J$132)/(1-tech_proj!R598))</f>
        <v>0</v>
      </c>
      <c r="S1938" s="119">
        <f>IF(tech_base!$T194&gt;S$1745,"",(tech_base!$K194/tech_proj!S318*0.086*$J$132)/(1-tech_proj!S598))</f>
        <v>0</v>
      </c>
      <c r="T1938" s="119">
        <f>IF(tech_base!$T194&gt;T$1745,"",(tech_base!$K194/tech_proj!T318*0.086*$J$132)/(1-tech_proj!T598))</f>
        <v>0</v>
      </c>
      <c r="U1938" s="119">
        <f>IF(tech_base!$T194&gt;U$1745,"",(tech_base!$K194/tech_proj!U318*0.086*$J$132)/(1-tech_proj!U598))</f>
        <v>0</v>
      </c>
      <c r="V1938" s="119">
        <f>IF(tech_base!$T194&gt;V$1745,"",(tech_base!$K194/tech_proj!V318*0.086*$J$132)/(1-tech_proj!V598))</f>
        <v>0</v>
      </c>
      <c r="W1938" s="119">
        <f>IF(tech_base!$T194&gt;W$1745,"",(tech_base!$K194/tech_proj!W318*0.086*$J$132)/(1-tech_proj!W598))</f>
        <v>0</v>
      </c>
      <c r="X1938" s="119">
        <f>IF(tech_base!$T194&gt;X$1745,"",(tech_base!$K194/tech_proj!X318*0.086*$J$132)/(1-tech_proj!X598))</f>
        <v>0</v>
      </c>
      <c r="Y1938" s="119">
        <f>IF(tech_base!$T194&gt;Y$1745,"",(tech_base!$K194/tech_proj!Y318*0.086*$J$132)/(1-tech_proj!Y598))</f>
        <v>0</v>
      </c>
      <c r="Z1938" s="119">
        <f>IF(tech_base!$T194&gt;Z$1745,"",(tech_base!$K194/tech_proj!Z318*0.086*$J$132)/(1-tech_proj!Z598))</f>
        <v>0</v>
      </c>
      <c r="AA1938" s="119">
        <f>IF(tech_base!$T194&gt;AA$1745,"",(tech_base!$K194/tech_proj!AA318*0.086*$J$132)/(1-tech_proj!AA598))</f>
        <v>0</v>
      </c>
      <c r="AB1938" s="119">
        <f>IF(tech_base!$T194&gt;AB$1745,"",(tech_base!$K194/tech_proj!AB318*0.086*$J$132)/(1-tech_proj!AB598))</f>
        <v>0</v>
      </c>
      <c r="AC1938" s="119">
        <f>IF(tech_base!$T194&gt;AC$1745,"",(tech_base!$K194/tech_proj!AC318*0.086*$J$132)/(1-tech_proj!AC598))</f>
        <v>0</v>
      </c>
      <c r="AD1938" s="119">
        <f>IF(tech_base!$T194&gt;AD$1745,"",(tech_base!$K194/tech_proj!AD318*0.086*$J$132)/(1-tech_proj!AD598))</f>
        <v>0</v>
      </c>
      <c r="AE1938" s="119">
        <f>IF(tech_base!$T194&gt;AE$1745,"",(tech_base!$K194/tech_proj!AE318*0.086*$J$132)/(1-tech_proj!AE598))</f>
        <v>0</v>
      </c>
      <c r="AF1938" s="119">
        <f>IF(tech_base!$T194&gt;AF$1745,"",(tech_base!$K194/tech_proj!AF318*0.086*$J$132)/(1-tech_proj!AF598))</f>
        <v>0</v>
      </c>
      <c r="AG1938" s="119">
        <f>IF(tech_base!$T194&gt;AG$1745,"",(tech_base!$K194/tech_proj!AG318*0.086*$J$132)/(1-tech_proj!AG598))</f>
        <v>0</v>
      </c>
      <c r="AH1938" s="119">
        <f>IF(tech_base!$T194&gt;AH$1745,"",(tech_base!$K194/tech_proj!AH318*0.086*$J$132)/(1-tech_proj!AH598))</f>
        <v>0</v>
      </c>
      <c r="AI1938" s="119">
        <f>IF(tech_base!$T194&gt;AI$1745,"",(tech_base!$K194/tech_proj!AI318*0.086*$J$132)/(1-tech_proj!AI598))</f>
        <v>0</v>
      </c>
      <c r="AJ1938" s="119">
        <f>IF(tech_base!$T194&gt;AJ$1745,"",(tech_base!$K194/tech_proj!AJ318*0.086*$J$132)/(1-tech_proj!AJ598))</f>
        <v>0</v>
      </c>
      <c r="AK1938" s="119">
        <f>IF(tech_base!$T194&gt;AK$1745,"",(tech_base!$K194/tech_proj!AK318*0.086*$J$132)/(1-tech_proj!AK598))</f>
        <v>0</v>
      </c>
      <c r="AL1938" s="119">
        <f>IF(tech_base!$T194&gt;AL$1745,"",(tech_base!$K194/tech_proj!AL318*0.086*$J$132)/(1-tech_proj!AL598))</f>
        <v>0</v>
      </c>
      <c r="AM1938" s="119">
        <f>IF(tech_base!$T194&gt;AM$1745,"",(tech_base!$K194/tech_proj!AM318*0.086*$J$132)/(1-tech_proj!AM598))</f>
        <v>0</v>
      </c>
      <c r="AN1938" s="119">
        <f>IF(tech_base!$T194&gt;AN$1745,"",(tech_base!$K194/tech_proj!AN318*0.086*$J$132)/(1-tech_proj!AN598))</f>
        <v>0</v>
      </c>
      <c r="AO1938" s="119">
        <f>IF(tech_base!$T194&gt;AO$1745,"",(tech_base!$K194/tech_proj!AO318*0.086*$J$132)/(1-tech_proj!AO598))</f>
        <v>0</v>
      </c>
      <c r="AP1938" s="119">
        <f>IF(tech_base!$T194&gt;AP$1745,"",(tech_base!$K194/tech_proj!AP318*0.086*$J$132)/(1-tech_proj!AP598))</f>
        <v>0</v>
      </c>
      <c r="AQ1938" s="119">
        <f>IF(tech_base!$T194&gt;AQ$1745,"",(tech_base!$K194/tech_proj!AQ318*0.086*$J$132)/(1-tech_proj!AQ598))</f>
        <v>0</v>
      </c>
      <c r="AR1938" s="119">
        <f>IF(tech_base!$T194&gt;AR$1745,"",(tech_base!$K194/tech_proj!AR318*0.086*$J$132)/(1-tech_proj!AR598))</f>
        <v>0</v>
      </c>
      <c r="AS1938" s="119">
        <f>IF(tech_base!$T194&gt;AS$1745,"",(tech_base!$K194/tech_proj!AS318*0.086*$J$132)/(1-tech_proj!AS598))</f>
        <v>0</v>
      </c>
      <c r="AT1938" s="119">
        <f>IF(tech_base!$T194&gt;AT$1745,"",(tech_base!$K194/tech_proj!AT318*0.086*$J$132)/(1-tech_proj!AT598))</f>
        <v>0</v>
      </c>
      <c r="AU1938" s="119">
        <f>IF(tech_base!$T194&gt;AU$1745,"",(tech_base!$K194/tech_proj!AU318*0.086*$J$132)/(1-tech_proj!AU598))</f>
        <v>0</v>
      </c>
      <c r="AV1938" s="119">
        <f>IF(tech_base!$T194&gt;AV$1745,"",(tech_base!$K194/tech_proj!AV318*0.086*$J$132)/(1-tech_proj!AV598))</f>
        <v>0</v>
      </c>
      <c r="AW1938" s="119">
        <f>IF(tech_base!$T194&gt;AW$1745,"",(tech_base!$K194/tech_proj!AW318*0.086*$J$132)/(1-tech_proj!AW598))</f>
        <v>0</v>
      </c>
      <c r="AX1938" s="120">
        <f>IF(tech_base!$T194&gt;AX$1745,"",(tech_base!$K194/tech_proj!AX318*0.086*$J$132)/(1-tech_proj!AX598))</f>
        <v>0</v>
      </c>
    </row>
    <row r="1939" spans="1:50" x14ac:dyDescent="0.25">
      <c r="A1939" s="356"/>
      <c r="B1939" s="376"/>
      <c r="C1939" s="361" t="s">
        <v>14</v>
      </c>
      <c r="D1939" s="58" t="s">
        <v>7</v>
      </c>
      <c r="E1939" s="164" t="str">
        <f>A1919&amp;"/"&amp;B1935&amp;"/"&amp;C1939&amp;"/"&amp;D1939</f>
        <v>Fuel oil fired power plants/Steam turbine/CHP/L</v>
      </c>
      <c r="F1939" s="78" t="str">
        <f>A1919</f>
        <v>Fuel oil fired power plants</v>
      </c>
      <c r="G1939" s="78" t="str">
        <f>B1935</f>
        <v>Steam turbine</v>
      </c>
      <c r="H1939" s="78" t="str">
        <f>C1939</f>
        <v>CHP</v>
      </c>
      <c r="I1939" s="165" t="str">
        <f t="shared" ref="I1939:I2002" si="385">D1939</f>
        <v>L</v>
      </c>
      <c r="J1939" s="123">
        <f>IF(tech_base!$T195&gt;J$1745,"",(tech_base!$K195/tech_proj!J319*0.086*$J$132)/(1-tech_proj!J599))</f>
        <v>0</v>
      </c>
      <c r="K1939" s="123">
        <f>IF(tech_base!$T195&gt;K$1745,"",(tech_base!$K195/tech_proj!K319*0.086*$J$132)/(1-tech_proj!K599))</f>
        <v>0</v>
      </c>
      <c r="L1939" s="123">
        <f>IF(tech_base!$T195&gt;L$1745,"",(tech_base!$K195/tech_proj!L319*0.086*$J$132)/(1-tech_proj!L599))</f>
        <v>0</v>
      </c>
      <c r="M1939" s="123">
        <f>IF(tech_base!$T195&gt;M$1745,"",(tech_base!$K195/tech_proj!M319*0.086*$J$132)/(1-tech_proj!M599))</f>
        <v>0</v>
      </c>
      <c r="N1939" s="123">
        <f>IF(tech_base!$T195&gt;N$1745,"",(tech_base!$K195/tech_proj!N319*0.086*$J$132)/(1-tech_proj!N599))</f>
        <v>0</v>
      </c>
      <c r="O1939" s="123">
        <f>IF(tech_base!$T195&gt;O$1745,"",(tech_base!$K195/tech_proj!O319*0.086*$J$132)/(1-tech_proj!O599))</f>
        <v>0</v>
      </c>
      <c r="P1939" s="123">
        <f>IF(tech_base!$T195&gt;P$1745,"",(tech_base!$K195/tech_proj!P319*0.086*$J$132)/(1-tech_proj!P599))</f>
        <v>0</v>
      </c>
      <c r="Q1939" s="123">
        <f>IF(tech_base!$T195&gt;Q$1745,"",(tech_base!$K195/tech_proj!Q319*0.086*$J$132)/(1-tech_proj!Q599))</f>
        <v>0</v>
      </c>
      <c r="R1939" s="123">
        <f>IF(tech_base!$T195&gt;R$1745,"",(tech_base!$K195/tech_proj!R319*0.086*$J$132)/(1-tech_proj!R599))</f>
        <v>0</v>
      </c>
      <c r="S1939" s="123">
        <f>IF(tech_base!$T195&gt;S$1745,"",(tech_base!$K195/tech_proj!S319*0.086*$J$132)/(1-tech_proj!S599))</f>
        <v>0</v>
      </c>
      <c r="T1939" s="123">
        <f>IF(tech_base!$T195&gt;T$1745,"",(tech_base!$K195/tech_proj!T319*0.086*$J$132)/(1-tech_proj!T599))</f>
        <v>0</v>
      </c>
      <c r="U1939" s="123">
        <f>IF(tech_base!$T195&gt;U$1745,"",(tech_base!$K195/tech_proj!U319*0.086*$J$132)/(1-tech_proj!U599))</f>
        <v>0</v>
      </c>
      <c r="V1939" s="123">
        <f>IF(tech_base!$T195&gt;V$1745,"",(tech_base!$K195/tech_proj!V319*0.086*$J$132)/(1-tech_proj!V599))</f>
        <v>0</v>
      </c>
      <c r="W1939" s="123">
        <f>IF(tech_base!$T195&gt;W$1745,"",(tech_base!$K195/tech_proj!W319*0.086*$J$132)/(1-tech_proj!W599))</f>
        <v>0</v>
      </c>
      <c r="X1939" s="123">
        <f>IF(tech_base!$T195&gt;X$1745,"",(tech_base!$K195/tech_proj!X319*0.086*$J$132)/(1-tech_proj!X599))</f>
        <v>0</v>
      </c>
      <c r="Y1939" s="123">
        <f>IF(tech_base!$T195&gt;Y$1745,"",(tech_base!$K195/tech_proj!Y319*0.086*$J$132)/(1-tech_proj!Y599))</f>
        <v>0</v>
      </c>
      <c r="Z1939" s="123">
        <f>IF(tech_base!$T195&gt;Z$1745,"",(tech_base!$K195/tech_proj!Z319*0.086*$J$132)/(1-tech_proj!Z599))</f>
        <v>0</v>
      </c>
      <c r="AA1939" s="123">
        <f>IF(tech_base!$T195&gt;AA$1745,"",(tech_base!$K195/tech_proj!AA319*0.086*$J$132)/(1-tech_proj!AA599))</f>
        <v>0</v>
      </c>
      <c r="AB1939" s="123">
        <f>IF(tech_base!$T195&gt;AB$1745,"",(tech_base!$K195/tech_proj!AB319*0.086*$J$132)/(1-tech_proj!AB599))</f>
        <v>0</v>
      </c>
      <c r="AC1939" s="123">
        <f>IF(tech_base!$T195&gt;AC$1745,"",(tech_base!$K195/tech_proj!AC319*0.086*$J$132)/(1-tech_proj!AC599))</f>
        <v>0</v>
      </c>
      <c r="AD1939" s="123">
        <f>IF(tech_base!$T195&gt;AD$1745,"",(tech_base!$K195/tech_proj!AD319*0.086*$J$132)/(1-tech_proj!AD599))</f>
        <v>0</v>
      </c>
      <c r="AE1939" s="123">
        <f>IF(tech_base!$T195&gt;AE$1745,"",(tech_base!$K195/tech_proj!AE319*0.086*$J$132)/(1-tech_proj!AE599))</f>
        <v>0</v>
      </c>
      <c r="AF1939" s="123">
        <f>IF(tech_base!$T195&gt;AF$1745,"",(tech_base!$K195/tech_proj!AF319*0.086*$J$132)/(1-tech_proj!AF599))</f>
        <v>0</v>
      </c>
      <c r="AG1939" s="123">
        <f>IF(tech_base!$T195&gt;AG$1745,"",(tech_base!$K195/tech_proj!AG319*0.086*$J$132)/(1-tech_proj!AG599))</f>
        <v>0</v>
      </c>
      <c r="AH1939" s="123">
        <f>IF(tech_base!$T195&gt;AH$1745,"",(tech_base!$K195/tech_proj!AH319*0.086*$J$132)/(1-tech_proj!AH599))</f>
        <v>0</v>
      </c>
      <c r="AI1939" s="123">
        <f>IF(tech_base!$T195&gt;AI$1745,"",(tech_base!$K195/tech_proj!AI319*0.086*$J$132)/(1-tech_proj!AI599))</f>
        <v>0</v>
      </c>
      <c r="AJ1939" s="123">
        <f>IF(tech_base!$T195&gt;AJ$1745,"",(tech_base!$K195/tech_proj!AJ319*0.086*$J$132)/(1-tech_proj!AJ599))</f>
        <v>0</v>
      </c>
      <c r="AK1939" s="123">
        <f>IF(tech_base!$T195&gt;AK$1745,"",(tech_base!$K195/tech_proj!AK319*0.086*$J$132)/(1-tech_proj!AK599))</f>
        <v>0</v>
      </c>
      <c r="AL1939" s="123">
        <f>IF(tech_base!$T195&gt;AL$1745,"",(tech_base!$K195/tech_proj!AL319*0.086*$J$132)/(1-tech_proj!AL599))</f>
        <v>0</v>
      </c>
      <c r="AM1939" s="123">
        <f>IF(tech_base!$T195&gt;AM$1745,"",(tech_base!$K195/tech_proj!AM319*0.086*$J$132)/(1-tech_proj!AM599))</f>
        <v>0</v>
      </c>
      <c r="AN1939" s="123">
        <f>IF(tech_base!$T195&gt;AN$1745,"",(tech_base!$K195/tech_proj!AN319*0.086*$J$132)/(1-tech_proj!AN599))</f>
        <v>0</v>
      </c>
      <c r="AO1939" s="123">
        <f>IF(tech_base!$T195&gt;AO$1745,"",(tech_base!$K195/tech_proj!AO319*0.086*$J$132)/(1-tech_proj!AO599))</f>
        <v>0</v>
      </c>
      <c r="AP1939" s="123">
        <f>IF(tech_base!$T195&gt;AP$1745,"",(tech_base!$K195/tech_proj!AP319*0.086*$J$132)/(1-tech_proj!AP599))</f>
        <v>0</v>
      </c>
      <c r="AQ1939" s="123">
        <f>IF(tech_base!$T195&gt;AQ$1745,"",(tech_base!$K195/tech_proj!AQ319*0.086*$J$132)/(1-tech_proj!AQ599))</f>
        <v>0</v>
      </c>
      <c r="AR1939" s="123">
        <f>IF(tech_base!$T195&gt;AR$1745,"",(tech_base!$K195/tech_proj!AR319*0.086*$J$132)/(1-tech_proj!AR599))</f>
        <v>0</v>
      </c>
      <c r="AS1939" s="123">
        <f>IF(tech_base!$T195&gt;AS$1745,"",(tech_base!$K195/tech_proj!AS319*0.086*$J$132)/(1-tech_proj!AS599))</f>
        <v>0</v>
      </c>
      <c r="AT1939" s="123">
        <f>IF(tech_base!$T195&gt;AT$1745,"",(tech_base!$K195/tech_proj!AT319*0.086*$J$132)/(1-tech_proj!AT599))</f>
        <v>0</v>
      </c>
      <c r="AU1939" s="123">
        <f>IF(tech_base!$T195&gt;AU$1745,"",(tech_base!$K195/tech_proj!AU319*0.086*$J$132)/(1-tech_proj!AU599))</f>
        <v>0</v>
      </c>
      <c r="AV1939" s="123">
        <f>IF(tech_base!$T195&gt;AV$1745,"",(tech_base!$K195/tech_proj!AV319*0.086*$J$132)/(1-tech_proj!AV599))</f>
        <v>0</v>
      </c>
      <c r="AW1939" s="123">
        <f>IF(tech_base!$T195&gt;AW$1745,"",(tech_base!$K195/tech_proj!AW319*0.086*$J$132)/(1-tech_proj!AW599))</f>
        <v>0</v>
      </c>
      <c r="AX1939" s="124">
        <f>IF(tech_base!$T195&gt;AX$1745,"",(tech_base!$K195/tech_proj!AX319*0.086*$J$132)/(1-tech_proj!AX599))</f>
        <v>0</v>
      </c>
    </row>
    <row r="1940" spans="1:50" x14ac:dyDescent="0.25">
      <c r="A1940" s="356"/>
      <c r="B1940" s="376"/>
      <c r="C1940" s="378"/>
      <c r="D1940" s="2" t="s">
        <v>8</v>
      </c>
      <c r="E1940" s="160" t="str">
        <f>A1919&amp;"/"&amp;B1935&amp;"/"&amp;C1939&amp;"/"&amp;D1940</f>
        <v>Fuel oil fired power plants/Steam turbine/CHP/M</v>
      </c>
      <c r="F1940" s="76" t="str">
        <f>A1919</f>
        <v>Fuel oil fired power plants</v>
      </c>
      <c r="G1940" s="76" t="str">
        <f>B1935</f>
        <v>Steam turbine</v>
      </c>
      <c r="H1940" s="76" t="str">
        <f>C1939</f>
        <v>CHP</v>
      </c>
      <c r="I1940" s="161" t="str">
        <f t="shared" si="385"/>
        <v>M</v>
      </c>
      <c r="J1940" s="119">
        <f>IF(tech_base!$T196&gt;J$1745,"",(tech_base!$K196/tech_proj!J320*0.086*$J$132)/(1-tech_proj!J600))</f>
        <v>0</v>
      </c>
      <c r="K1940" s="119">
        <f>IF(tech_base!$T196&gt;K$1745,"",(tech_base!$K196/tech_proj!K320*0.086*$J$132)/(1-tech_proj!K600))</f>
        <v>0</v>
      </c>
      <c r="L1940" s="119">
        <f>IF(tech_base!$T196&gt;L$1745,"",(tech_base!$K196/tech_proj!L320*0.086*$J$132)/(1-tech_proj!L600))</f>
        <v>0</v>
      </c>
      <c r="M1940" s="119">
        <f>IF(tech_base!$T196&gt;M$1745,"",(tech_base!$K196/tech_proj!M320*0.086*$J$132)/(1-tech_proj!M600))</f>
        <v>0</v>
      </c>
      <c r="N1940" s="119">
        <f>IF(tech_base!$T196&gt;N$1745,"",(tech_base!$K196/tech_proj!N320*0.086*$J$132)/(1-tech_proj!N600))</f>
        <v>0</v>
      </c>
      <c r="O1940" s="119">
        <f>IF(tech_base!$T196&gt;O$1745,"",(tech_base!$K196/tech_proj!O320*0.086*$J$132)/(1-tech_proj!O600))</f>
        <v>0</v>
      </c>
      <c r="P1940" s="119">
        <f>IF(tech_base!$T196&gt;P$1745,"",(tech_base!$K196/tech_proj!P320*0.086*$J$132)/(1-tech_proj!P600))</f>
        <v>0</v>
      </c>
      <c r="Q1940" s="119">
        <f>IF(tech_base!$T196&gt;Q$1745,"",(tech_base!$K196/tech_proj!Q320*0.086*$J$132)/(1-tech_proj!Q600))</f>
        <v>0</v>
      </c>
      <c r="R1940" s="119">
        <f>IF(tech_base!$T196&gt;R$1745,"",(tech_base!$K196/tech_proj!R320*0.086*$J$132)/(1-tech_proj!R600))</f>
        <v>0</v>
      </c>
      <c r="S1940" s="119">
        <f>IF(tech_base!$T196&gt;S$1745,"",(tech_base!$K196/tech_proj!S320*0.086*$J$132)/(1-tech_proj!S600))</f>
        <v>0</v>
      </c>
      <c r="T1940" s="119">
        <f>IF(tech_base!$T196&gt;T$1745,"",(tech_base!$K196/tech_proj!T320*0.086*$J$132)/(1-tech_proj!T600))</f>
        <v>0</v>
      </c>
      <c r="U1940" s="119">
        <f>IF(tech_base!$T196&gt;U$1745,"",(tech_base!$K196/tech_proj!U320*0.086*$J$132)/(1-tech_proj!U600))</f>
        <v>0</v>
      </c>
      <c r="V1940" s="119">
        <f>IF(tech_base!$T196&gt;V$1745,"",(tech_base!$K196/tech_proj!V320*0.086*$J$132)/(1-tech_proj!V600))</f>
        <v>0</v>
      </c>
      <c r="W1940" s="119">
        <f>IF(tech_base!$T196&gt;W$1745,"",(tech_base!$K196/tech_proj!W320*0.086*$J$132)/(1-tech_proj!W600))</f>
        <v>0</v>
      </c>
      <c r="X1940" s="119">
        <f>IF(tech_base!$T196&gt;X$1745,"",(tech_base!$K196/tech_proj!X320*0.086*$J$132)/(1-tech_proj!X600))</f>
        <v>0</v>
      </c>
      <c r="Y1940" s="119">
        <f>IF(tech_base!$T196&gt;Y$1745,"",(tech_base!$K196/tech_proj!Y320*0.086*$J$132)/(1-tech_proj!Y600))</f>
        <v>0</v>
      </c>
      <c r="Z1940" s="119">
        <f>IF(tech_base!$T196&gt;Z$1745,"",(tech_base!$K196/tech_proj!Z320*0.086*$J$132)/(1-tech_proj!Z600))</f>
        <v>0</v>
      </c>
      <c r="AA1940" s="119">
        <f>IF(tech_base!$T196&gt;AA$1745,"",(tech_base!$K196/tech_proj!AA320*0.086*$J$132)/(1-tech_proj!AA600))</f>
        <v>0</v>
      </c>
      <c r="AB1940" s="119">
        <f>IF(tech_base!$T196&gt;AB$1745,"",(tech_base!$K196/tech_proj!AB320*0.086*$J$132)/(1-tech_proj!AB600))</f>
        <v>0</v>
      </c>
      <c r="AC1940" s="119">
        <f>IF(tech_base!$T196&gt;AC$1745,"",(tech_base!$K196/tech_proj!AC320*0.086*$J$132)/(1-tech_proj!AC600))</f>
        <v>0</v>
      </c>
      <c r="AD1940" s="119">
        <f>IF(tech_base!$T196&gt;AD$1745,"",(tech_base!$K196/tech_proj!AD320*0.086*$J$132)/(1-tech_proj!AD600))</f>
        <v>0</v>
      </c>
      <c r="AE1940" s="119">
        <f>IF(tech_base!$T196&gt;AE$1745,"",(tech_base!$K196/tech_proj!AE320*0.086*$J$132)/(1-tech_proj!AE600))</f>
        <v>0</v>
      </c>
      <c r="AF1940" s="119">
        <f>IF(tech_base!$T196&gt;AF$1745,"",(tech_base!$K196/tech_proj!AF320*0.086*$J$132)/(1-tech_proj!AF600))</f>
        <v>0</v>
      </c>
      <c r="AG1940" s="119">
        <f>IF(tech_base!$T196&gt;AG$1745,"",(tech_base!$K196/tech_proj!AG320*0.086*$J$132)/(1-tech_proj!AG600))</f>
        <v>0</v>
      </c>
      <c r="AH1940" s="119">
        <f>IF(tech_base!$T196&gt;AH$1745,"",(tech_base!$K196/tech_proj!AH320*0.086*$J$132)/(1-tech_proj!AH600))</f>
        <v>0</v>
      </c>
      <c r="AI1940" s="119">
        <f>IF(tech_base!$T196&gt;AI$1745,"",(tech_base!$K196/tech_proj!AI320*0.086*$J$132)/(1-tech_proj!AI600))</f>
        <v>0</v>
      </c>
      <c r="AJ1940" s="119">
        <f>IF(tech_base!$T196&gt;AJ$1745,"",(tech_base!$K196/tech_proj!AJ320*0.086*$J$132)/(1-tech_proj!AJ600))</f>
        <v>0</v>
      </c>
      <c r="AK1940" s="119">
        <f>IF(tech_base!$T196&gt;AK$1745,"",(tech_base!$K196/tech_proj!AK320*0.086*$J$132)/(1-tech_proj!AK600))</f>
        <v>0</v>
      </c>
      <c r="AL1940" s="119">
        <f>IF(tech_base!$T196&gt;AL$1745,"",(tech_base!$K196/tech_proj!AL320*0.086*$J$132)/(1-tech_proj!AL600))</f>
        <v>0</v>
      </c>
      <c r="AM1940" s="119">
        <f>IF(tech_base!$T196&gt;AM$1745,"",(tech_base!$K196/tech_proj!AM320*0.086*$J$132)/(1-tech_proj!AM600))</f>
        <v>0</v>
      </c>
      <c r="AN1940" s="119">
        <f>IF(tech_base!$T196&gt;AN$1745,"",(tech_base!$K196/tech_proj!AN320*0.086*$J$132)/(1-tech_proj!AN600))</f>
        <v>0</v>
      </c>
      <c r="AO1940" s="119">
        <f>IF(tech_base!$T196&gt;AO$1745,"",(tech_base!$K196/tech_proj!AO320*0.086*$J$132)/(1-tech_proj!AO600))</f>
        <v>0</v>
      </c>
      <c r="AP1940" s="119">
        <f>IF(tech_base!$T196&gt;AP$1745,"",(tech_base!$K196/tech_proj!AP320*0.086*$J$132)/(1-tech_proj!AP600))</f>
        <v>0</v>
      </c>
      <c r="AQ1940" s="119">
        <f>IF(tech_base!$T196&gt;AQ$1745,"",(tech_base!$K196/tech_proj!AQ320*0.086*$J$132)/(1-tech_proj!AQ600))</f>
        <v>0</v>
      </c>
      <c r="AR1940" s="119">
        <f>IF(tech_base!$T196&gt;AR$1745,"",(tech_base!$K196/tech_proj!AR320*0.086*$J$132)/(1-tech_proj!AR600))</f>
        <v>0</v>
      </c>
      <c r="AS1940" s="119">
        <f>IF(tech_base!$T196&gt;AS$1745,"",(tech_base!$K196/tech_proj!AS320*0.086*$J$132)/(1-tech_proj!AS600))</f>
        <v>0</v>
      </c>
      <c r="AT1940" s="119">
        <f>IF(tech_base!$T196&gt;AT$1745,"",(tech_base!$K196/tech_proj!AT320*0.086*$J$132)/(1-tech_proj!AT600))</f>
        <v>0</v>
      </c>
      <c r="AU1940" s="119">
        <f>IF(tech_base!$T196&gt;AU$1745,"",(tech_base!$K196/tech_proj!AU320*0.086*$J$132)/(1-tech_proj!AU600))</f>
        <v>0</v>
      </c>
      <c r="AV1940" s="119">
        <f>IF(tech_base!$T196&gt;AV$1745,"",(tech_base!$K196/tech_proj!AV320*0.086*$J$132)/(1-tech_proj!AV600))</f>
        <v>0</v>
      </c>
      <c r="AW1940" s="119">
        <f>IF(tech_base!$T196&gt;AW$1745,"",(tech_base!$K196/tech_proj!AW320*0.086*$J$132)/(1-tech_proj!AW600))</f>
        <v>0</v>
      </c>
      <c r="AX1940" s="120">
        <f>IF(tech_base!$T196&gt;AX$1745,"",(tech_base!$K196/tech_proj!AX320*0.086*$J$132)/(1-tech_proj!AX600))</f>
        <v>0</v>
      </c>
    </row>
    <row r="1941" spans="1:50" x14ac:dyDescent="0.25">
      <c r="A1941" s="356"/>
      <c r="B1941" s="376"/>
      <c r="C1941" s="378"/>
      <c r="D1941" s="2" t="s">
        <v>10</v>
      </c>
      <c r="E1941" s="160" t="str">
        <f>A1919&amp;"/"&amp;B1935&amp;"/"&amp;C1939&amp;"/"&amp;D1941</f>
        <v>Fuel oil fired power plants/Steam turbine/CHP/S</v>
      </c>
      <c r="F1941" s="76" t="str">
        <f>A1919</f>
        <v>Fuel oil fired power plants</v>
      </c>
      <c r="G1941" s="76" t="str">
        <f>B1935</f>
        <v>Steam turbine</v>
      </c>
      <c r="H1941" s="76" t="str">
        <f>C1939</f>
        <v>CHP</v>
      </c>
      <c r="I1941" s="161" t="str">
        <f t="shared" si="385"/>
        <v>S</v>
      </c>
      <c r="J1941" s="119">
        <f>IF(tech_base!$T197&gt;J$1745,"",(tech_base!$K197/tech_proj!J321*0.086*$J$132)/(1-tech_proj!J601))</f>
        <v>0</v>
      </c>
      <c r="K1941" s="119">
        <f>IF(tech_base!$T197&gt;K$1745,"",(tech_base!$K197/tech_proj!K321*0.086*$J$132)/(1-tech_proj!K601))</f>
        <v>0</v>
      </c>
      <c r="L1941" s="119">
        <f>IF(tech_base!$T197&gt;L$1745,"",(tech_base!$K197/tech_proj!L321*0.086*$J$132)/(1-tech_proj!L601))</f>
        <v>0</v>
      </c>
      <c r="M1941" s="119">
        <f>IF(tech_base!$T197&gt;M$1745,"",(tech_base!$K197/tech_proj!M321*0.086*$J$132)/(1-tech_proj!M601))</f>
        <v>0</v>
      </c>
      <c r="N1941" s="119">
        <f>IF(tech_base!$T197&gt;N$1745,"",(tech_base!$K197/tech_proj!N321*0.086*$J$132)/(1-tech_proj!N601))</f>
        <v>0</v>
      </c>
      <c r="O1941" s="119">
        <f>IF(tech_base!$T197&gt;O$1745,"",(tech_base!$K197/tech_proj!O321*0.086*$J$132)/(1-tech_proj!O601))</f>
        <v>0</v>
      </c>
      <c r="P1941" s="119">
        <f>IF(tech_base!$T197&gt;P$1745,"",(tech_base!$K197/tech_proj!P321*0.086*$J$132)/(1-tech_proj!P601))</f>
        <v>0</v>
      </c>
      <c r="Q1941" s="119">
        <f>IF(tech_base!$T197&gt;Q$1745,"",(tech_base!$K197/tech_proj!Q321*0.086*$J$132)/(1-tech_proj!Q601))</f>
        <v>0</v>
      </c>
      <c r="R1941" s="119">
        <f>IF(tech_base!$T197&gt;R$1745,"",(tech_base!$K197/tech_proj!R321*0.086*$J$132)/(1-tech_proj!R601))</f>
        <v>0</v>
      </c>
      <c r="S1941" s="119">
        <f>IF(tech_base!$T197&gt;S$1745,"",(tech_base!$K197/tech_proj!S321*0.086*$J$132)/(1-tech_proj!S601))</f>
        <v>0</v>
      </c>
      <c r="T1941" s="119">
        <f>IF(tech_base!$T197&gt;T$1745,"",(tech_base!$K197/tech_proj!T321*0.086*$J$132)/(1-tech_proj!T601))</f>
        <v>0</v>
      </c>
      <c r="U1941" s="119">
        <f>IF(tech_base!$T197&gt;U$1745,"",(tech_base!$K197/tech_proj!U321*0.086*$J$132)/(1-tech_proj!U601))</f>
        <v>0</v>
      </c>
      <c r="V1941" s="119">
        <f>IF(tech_base!$T197&gt;V$1745,"",(tech_base!$K197/tech_proj!V321*0.086*$J$132)/(1-tech_proj!V601))</f>
        <v>0</v>
      </c>
      <c r="W1941" s="119">
        <f>IF(tech_base!$T197&gt;W$1745,"",(tech_base!$K197/tech_proj!W321*0.086*$J$132)/(1-tech_proj!W601))</f>
        <v>0</v>
      </c>
      <c r="X1941" s="119">
        <f>IF(tech_base!$T197&gt;X$1745,"",(tech_base!$K197/tech_proj!X321*0.086*$J$132)/(1-tech_proj!X601))</f>
        <v>0</v>
      </c>
      <c r="Y1941" s="119">
        <f>IF(tech_base!$T197&gt;Y$1745,"",(tech_base!$K197/tech_proj!Y321*0.086*$J$132)/(1-tech_proj!Y601))</f>
        <v>0</v>
      </c>
      <c r="Z1941" s="119">
        <f>IF(tech_base!$T197&gt;Z$1745,"",(tech_base!$K197/tech_proj!Z321*0.086*$J$132)/(1-tech_proj!Z601))</f>
        <v>0</v>
      </c>
      <c r="AA1941" s="119">
        <f>IF(tech_base!$T197&gt;AA$1745,"",(tech_base!$K197/tech_proj!AA321*0.086*$J$132)/(1-tech_proj!AA601))</f>
        <v>0</v>
      </c>
      <c r="AB1941" s="119">
        <f>IF(tech_base!$T197&gt;AB$1745,"",(tech_base!$K197/tech_proj!AB321*0.086*$J$132)/(1-tech_proj!AB601))</f>
        <v>0</v>
      </c>
      <c r="AC1941" s="119">
        <f>IF(tech_base!$T197&gt;AC$1745,"",(tech_base!$K197/tech_proj!AC321*0.086*$J$132)/(1-tech_proj!AC601))</f>
        <v>0</v>
      </c>
      <c r="AD1941" s="119">
        <f>IF(tech_base!$T197&gt;AD$1745,"",(tech_base!$K197/tech_proj!AD321*0.086*$J$132)/(1-tech_proj!AD601))</f>
        <v>0</v>
      </c>
      <c r="AE1941" s="119">
        <f>IF(tech_base!$T197&gt;AE$1745,"",(tech_base!$K197/tech_proj!AE321*0.086*$J$132)/(1-tech_proj!AE601))</f>
        <v>0</v>
      </c>
      <c r="AF1941" s="119">
        <f>IF(tech_base!$T197&gt;AF$1745,"",(tech_base!$K197/tech_proj!AF321*0.086*$J$132)/(1-tech_proj!AF601))</f>
        <v>0</v>
      </c>
      <c r="AG1941" s="119">
        <f>IF(tech_base!$T197&gt;AG$1745,"",(tech_base!$K197/tech_proj!AG321*0.086*$J$132)/(1-tech_proj!AG601))</f>
        <v>0</v>
      </c>
      <c r="AH1941" s="119">
        <f>IF(tech_base!$T197&gt;AH$1745,"",(tech_base!$K197/tech_proj!AH321*0.086*$J$132)/(1-tech_proj!AH601))</f>
        <v>0</v>
      </c>
      <c r="AI1941" s="119">
        <f>IF(tech_base!$T197&gt;AI$1745,"",(tech_base!$K197/tech_proj!AI321*0.086*$J$132)/(1-tech_proj!AI601))</f>
        <v>0</v>
      </c>
      <c r="AJ1941" s="119">
        <f>IF(tech_base!$T197&gt;AJ$1745,"",(tech_base!$K197/tech_proj!AJ321*0.086*$J$132)/(1-tech_proj!AJ601))</f>
        <v>0</v>
      </c>
      <c r="AK1941" s="119">
        <f>IF(tech_base!$T197&gt;AK$1745,"",(tech_base!$K197/tech_proj!AK321*0.086*$J$132)/(1-tech_proj!AK601))</f>
        <v>0</v>
      </c>
      <c r="AL1941" s="119">
        <f>IF(tech_base!$T197&gt;AL$1745,"",(tech_base!$K197/tech_proj!AL321*0.086*$J$132)/(1-tech_proj!AL601))</f>
        <v>0</v>
      </c>
      <c r="AM1941" s="119">
        <f>IF(tech_base!$T197&gt;AM$1745,"",(tech_base!$K197/tech_proj!AM321*0.086*$J$132)/(1-tech_proj!AM601))</f>
        <v>0</v>
      </c>
      <c r="AN1941" s="119">
        <f>IF(tech_base!$T197&gt;AN$1745,"",(tech_base!$K197/tech_proj!AN321*0.086*$J$132)/(1-tech_proj!AN601))</f>
        <v>0</v>
      </c>
      <c r="AO1941" s="119">
        <f>IF(tech_base!$T197&gt;AO$1745,"",(tech_base!$K197/tech_proj!AO321*0.086*$J$132)/(1-tech_proj!AO601))</f>
        <v>0</v>
      </c>
      <c r="AP1941" s="119">
        <f>IF(tech_base!$T197&gt;AP$1745,"",(tech_base!$K197/tech_proj!AP321*0.086*$J$132)/(1-tech_proj!AP601))</f>
        <v>0</v>
      </c>
      <c r="AQ1941" s="119">
        <f>IF(tech_base!$T197&gt;AQ$1745,"",(tech_base!$K197/tech_proj!AQ321*0.086*$J$132)/(1-tech_proj!AQ601))</f>
        <v>0</v>
      </c>
      <c r="AR1941" s="119">
        <f>IF(tech_base!$T197&gt;AR$1745,"",(tech_base!$K197/tech_proj!AR321*0.086*$J$132)/(1-tech_proj!AR601))</f>
        <v>0</v>
      </c>
      <c r="AS1941" s="119">
        <f>IF(tech_base!$T197&gt;AS$1745,"",(tech_base!$K197/tech_proj!AS321*0.086*$J$132)/(1-tech_proj!AS601))</f>
        <v>0</v>
      </c>
      <c r="AT1941" s="119">
        <f>IF(tech_base!$T197&gt;AT$1745,"",(tech_base!$K197/tech_proj!AT321*0.086*$J$132)/(1-tech_proj!AT601))</f>
        <v>0</v>
      </c>
      <c r="AU1941" s="119">
        <f>IF(tech_base!$T197&gt;AU$1745,"",(tech_base!$K197/tech_proj!AU321*0.086*$J$132)/(1-tech_proj!AU601))</f>
        <v>0</v>
      </c>
      <c r="AV1941" s="119">
        <f>IF(tech_base!$T197&gt;AV$1745,"",(tech_base!$K197/tech_proj!AV321*0.086*$J$132)/(1-tech_proj!AV601))</f>
        <v>0</v>
      </c>
      <c r="AW1941" s="119">
        <f>IF(tech_base!$T197&gt;AW$1745,"",(tech_base!$K197/tech_proj!AW321*0.086*$J$132)/(1-tech_proj!AW601))</f>
        <v>0</v>
      </c>
      <c r="AX1941" s="120">
        <f>IF(tech_base!$T197&gt;AX$1745,"",(tech_base!$K197/tech_proj!AX321*0.086*$J$132)/(1-tech_proj!AX601))</f>
        <v>0</v>
      </c>
    </row>
    <row r="1942" spans="1:50" x14ac:dyDescent="0.25">
      <c r="A1942" s="356"/>
      <c r="B1942" s="376"/>
      <c r="C1942" s="379"/>
      <c r="D1942" s="59" t="s">
        <v>20</v>
      </c>
      <c r="E1942" s="166" t="str">
        <f>A1919&amp;"/"&amp;B1935&amp;"/"&amp;C1939&amp;"/"&amp;D1942</f>
        <v>Fuel oil fired power plants/Steam turbine/CHP/XS</v>
      </c>
      <c r="F1942" s="79" t="str">
        <f>A1919</f>
        <v>Fuel oil fired power plants</v>
      </c>
      <c r="G1942" s="79" t="str">
        <f>B1935</f>
        <v>Steam turbine</v>
      </c>
      <c r="H1942" s="79" t="str">
        <f>C1939</f>
        <v>CHP</v>
      </c>
      <c r="I1942" s="167" t="str">
        <f t="shared" si="385"/>
        <v>XS</v>
      </c>
      <c r="J1942" s="125">
        <f>IF(tech_base!$T198&gt;J$1745,"",(tech_base!$K198/tech_proj!J322*0.086*$J$132)/(1-tech_proj!J602))</f>
        <v>0</v>
      </c>
      <c r="K1942" s="125">
        <f>IF(tech_base!$T198&gt;K$1745,"",(tech_base!$K198/tech_proj!K322*0.086*$J$132)/(1-tech_proj!K602))</f>
        <v>0</v>
      </c>
      <c r="L1942" s="125">
        <f>IF(tech_base!$T198&gt;L$1745,"",(tech_base!$K198/tech_proj!L322*0.086*$J$132)/(1-tech_proj!L602))</f>
        <v>0</v>
      </c>
      <c r="M1942" s="125">
        <f>IF(tech_base!$T198&gt;M$1745,"",(tech_base!$K198/tech_proj!M322*0.086*$J$132)/(1-tech_proj!M602))</f>
        <v>0</v>
      </c>
      <c r="N1942" s="125">
        <f>IF(tech_base!$T198&gt;N$1745,"",(tech_base!$K198/tech_proj!N322*0.086*$J$132)/(1-tech_proj!N602))</f>
        <v>0</v>
      </c>
      <c r="O1942" s="125">
        <f>IF(tech_base!$T198&gt;O$1745,"",(tech_base!$K198/tech_proj!O322*0.086*$J$132)/(1-tech_proj!O602))</f>
        <v>0</v>
      </c>
      <c r="P1942" s="125">
        <f>IF(tech_base!$T198&gt;P$1745,"",(tech_base!$K198/tech_proj!P322*0.086*$J$132)/(1-tech_proj!P602))</f>
        <v>0</v>
      </c>
      <c r="Q1942" s="125">
        <f>IF(tech_base!$T198&gt;Q$1745,"",(tech_base!$K198/tech_proj!Q322*0.086*$J$132)/(1-tech_proj!Q602))</f>
        <v>0</v>
      </c>
      <c r="R1942" s="125">
        <f>IF(tech_base!$T198&gt;R$1745,"",(tech_base!$K198/tech_proj!R322*0.086*$J$132)/(1-tech_proj!R602))</f>
        <v>0</v>
      </c>
      <c r="S1942" s="125">
        <f>IF(tech_base!$T198&gt;S$1745,"",(tech_base!$K198/tech_proj!S322*0.086*$J$132)/(1-tech_proj!S602))</f>
        <v>0</v>
      </c>
      <c r="T1942" s="125">
        <f>IF(tech_base!$T198&gt;T$1745,"",(tech_base!$K198/tech_proj!T322*0.086*$J$132)/(1-tech_proj!T602))</f>
        <v>0</v>
      </c>
      <c r="U1942" s="125">
        <f>IF(tech_base!$T198&gt;U$1745,"",(tech_base!$K198/tech_proj!U322*0.086*$J$132)/(1-tech_proj!U602))</f>
        <v>0</v>
      </c>
      <c r="V1942" s="125">
        <f>IF(tech_base!$T198&gt;V$1745,"",(tech_base!$K198/tech_proj!V322*0.086*$J$132)/(1-tech_proj!V602))</f>
        <v>0</v>
      </c>
      <c r="W1942" s="125">
        <f>IF(tech_base!$T198&gt;W$1745,"",(tech_base!$K198/tech_proj!W322*0.086*$J$132)/(1-tech_proj!W602))</f>
        <v>0</v>
      </c>
      <c r="X1942" s="125">
        <f>IF(tech_base!$T198&gt;X$1745,"",(tech_base!$K198/tech_proj!X322*0.086*$J$132)/(1-tech_proj!X602))</f>
        <v>0</v>
      </c>
      <c r="Y1942" s="125">
        <f>IF(tech_base!$T198&gt;Y$1745,"",(tech_base!$K198/tech_proj!Y322*0.086*$J$132)/(1-tech_proj!Y602))</f>
        <v>0</v>
      </c>
      <c r="Z1942" s="125">
        <f>IF(tech_base!$T198&gt;Z$1745,"",(tech_base!$K198/tech_proj!Z322*0.086*$J$132)/(1-tech_proj!Z602))</f>
        <v>0</v>
      </c>
      <c r="AA1942" s="125">
        <f>IF(tech_base!$T198&gt;AA$1745,"",(tech_base!$K198/tech_proj!AA322*0.086*$J$132)/(1-tech_proj!AA602))</f>
        <v>0</v>
      </c>
      <c r="AB1942" s="125">
        <f>IF(tech_base!$T198&gt;AB$1745,"",(tech_base!$K198/tech_proj!AB322*0.086*$J$132)/(1-tech_proj!AB602))</f>
        <v>0</v>
      </c>
      <c r="AC1942" s="125">
        <f>IF(tech_base!$T198&gt;AC$1745,"",(tech_base!$K198/tech_proj!AC322*0.086*$J$132)/(1-tech_proj!AC602))</f>
        <v>0</v>
      </c>
      <c r="AD1942" s="125">
        <f>IF(tech_base!$T198&gt;AD$1745,"",(tech_base!$K198/tech_proj!AD322*0.086*$J$132)/(1-tech_proj!AD602))</f>
        <v>0</v>
      </c>
      <c r="AE1942" s="125">
        <f>IF(tech_base!$T198&gt;AE$1745,"",(tech_base!$K198/tech_proj!AE322*0.086*$J$132)/(1-tech_proj!AE602))</f>
        <v>0</v>
      </c>
      <c r="AF1942" s="125">
        <f>IF(tech_base!$T198&gt;AF$1745,"",(tech_base!$K198/tech_proj!AF322*0.086*$J$132)/(1-tech_proj!AF602))</f>
        <v>0</v>
      </c>
      <c r="AG1942" s="125">
        <f>IF(tech_base!$T198&gt;AG$1745,"",(tech_base!$K198/tech_proj!AG322*0.086*$J$132)/(1-tech_proj!AG602))</f>
        <v>0</v>
      </c>
      <c r="AH1942" s="125">
        <f>IF(tech_base!$T198&gt;AH$1745,"",(tech_base!$K198/tech_proj!AH322*0.086*$J$132)/(1-tech_proj!AH602))</f>
        <v>0</v>
      </c>
      <c r="AI1942" s="125">
        <f>IF(tech_base!$T198&gt;AI$1745,"",(tech_base!$K198/tech_proj!AI322*0.086*$J$132)/(1-tech_proj!AI602))</f>
        <v>0</v>
      </c>
      <c r="AJ1942" s="125">
        <f>IF(tech_base!$T198&gt;AJ$1745,"",(tech_base!$K198/tech_proj!AJ322*0.086*$J$132)/(1-tech_proj!AJ602))</f>
        <v>0</v>
      </c>
      <c r="AK1942" s="125">
        <f>IF(tech_base!$T198&gt;AK$1745,"",(tech_base!$K198/tech_proj!AK322*0.086*$J$132)/(1-tech_proj!AK602))</f>
        <v>0</v>
      </c>
      <c r="AL1942" s="125">
        <f>IF(tech_base!$T198&gt;AL$1745,"",(tech_base!$K198/tech_proj!AL322*0.086*$J$132)/(1-tech_proj!AL602))</f>
        <v>0</v>
      </c>
      <c r="AM1942" s="125">
        <f>IF(tech_base!$T198&gt;AM$1745,"",(tech_base!$K198/tech_proj!AM322*0.086*$J$132)/(1-tech_proj!AM602))</f>
        <v>0</v>
      </c>
      <c r="AN1942" s="125">
        <f>IF(tech_base!$T198&gt;AN$1745,"",(tech_base!$K198/tech_proj!AN322*0.086*$J$132)/(1-tech_proj!AN602))</f>
        <v>0</v>
      </c>
      <c r="AO1942" s="125">
        <f>IF(tech_base!$T198&gt;AO$1745,"",(tech_base!$K198/tech_proj!AO322*0.086*$J$132)/(1-tech_proj!AO602))</f>
        <v>0</v>
      </c>
      <c r="AP1942" s="125">
        <f>IF(tech_base!$T198&gt;AP$1745,"",(tech_base!$K198/tech_proj!AP322*0.086*$J$132)/(1-tech_proj!AP602))</f>
        <v>0</v>
      </c>
      <c r="AQ1942" s="125">
        <f>IF(tech_base!$T198&gt;AQ$1745,"",(tech_base!$K198/tech_proj!AQ322*0.086*$J$132)/(1-tech_proj!AQ602))</f>
        <v>0</v>
      </c>
      <c r="AR1942" s="125">
        <f>IF(tech_base!$T198&gt;AR$1745,"",(tech_base!$K198/tech_proj!AR322*0.086*$J$132)/(1-tech_proj!AR602))</f>
        <v>0</v>
      </c>
      <c r="AS1942" s="125">
        <f>IF(tech_base!$T198&gt;AS$1745,"",(tech_base!$K198/tech_proj!AS322*0.086*$J$132)/(1-tech_proj!AS602))</f>
        <v>0</v>
      </c>
      <c r="AT1942" s="125">
        <f>IF(tech_base!$T198&gt;AT$1745,"",(tech_base!$K198/tech_proj!AT322*0.086*$J$132)/(1-tech_proj!AT602))</f>
        <v>0</v>
      </c>
      <c r="AU1942" s="125">
        <f>IF(tech_base!$T198&gt;AU$1745,"",(tech_base!$K198/tech_proj!AU322*0.086*$J$132)/(1-tech_proj!AU602))</f>
        <v>0</v>
      </c>
      <c r="AV1942" s="125">
        <f>IF(tech_base!$T198&gt;AV$1745,"",(tech_base!$K198/tech_proj!AV322*0.086*$J$132)/(1-tech_proj!AV602))</f>
        <v>0</v>
      </c>
      <c r="AW1942" s="125">
        <f>IF(tech_base!$T198&gt;AW$1745,"",(tech_base!$K198/tech_proj!AW322*0.086*$J$132)/(1-tech_proj!AW602))</f>
        <v>0</v>
      </c>
      <c r="AX1942" s="126">
        <f>IF(tech_base!$T198&gt;AX$1745,"",(tech_base!$K198/tech_proj!AX322*0.086*$J$132)/(1-tech_proj!AX602))</f>
        <v>0</v>
      </c>
    </row>
    <row r="1943" spans="1:50" x14ac:dyDescent="0.25">
      <c r="A1943" s="356"/>
      <c r="B1943" s="376"/>
      <c r="C1943" s="361" t="s">
        <v>15</v>
      </c>
      <c r="D1943" s="58" t="s">
        <v>7</v>
      </c>
      <c r="E1943" s="164" t="str">
        <f>A1919&amp;"/"&amp;B1935&amp;"/"&amp;C1943&amp;"/"&amp;D1943</f>
        <v>Fuel oil fired power plants/Steam turbine/Electricity only with CCS/L</v>
      </c>
      <c r="F1943" s="78" t="str">
        <f>A1919</f>
        <v>Fuel oil fired power plants</v>
      </c>
      <c r="G1943" s="78" t="str">
        <f>B1935</f>
        <v>Steam turbine</v>
      </c>
      <c r="H1943" s="78" t="str">
        <f>C1943</f>
        <v>Electricity only with CCS</v>
      </c>
      <c r="I1943" s="165" t="str">
        <f t="shared" si="385"/>
        <v>L</v>
      </c>
      <c r="J1943" s="123" t="str">
        <f>IF(tech_base!$T199&gt;J$1745,"",(tech_base!$K199/tech_proj!J323*0.086*$J$132)/(1-tech_proj!J603))</f>
        <v/>
      </c>
      <c r="K1943" s="123" t="str">
        <f>IF(tech_base!$T199&gt;K$1745,"",(tech_base!$K199/tech_proj!K323*0.086*$J$132)/(1-tech_proj!K603))</f>
        <v/>
      </c>
      <c r="L1943" s="123" t="str">
        <f>IF(tech_base!$T199&gt;L$1745,"",(tech_base!$K199/tech_proj!L323*0.086*$J$132)/(1-tech_proj!L603))</f>
        <v/>
      </c>
      <c r="M1943" s="123" t="str">
        <f>IF(tech_base!$T199&gt;M$1745,"",(tech_base!$K199/tech_proj!M323*0.086*$J$132)/(1-tech_proj!M603))</f>
        <v/>
      </c>
      <c r="N1943" s="123" t="str">
        <f>IF(tech_base!$T199&gt;N$1745,"",(tech_base!$K199/tech_proj!N323*0.086*$J$132)/(1-tech_proj!N603))</f>
        <v/>
      </c>
      <c r="O1943" s="123" t="str">
        <f>IF(tech_base!$T199&gt;O$1745,"",(tech_base!$K199/tech_proj!O323*0.086*$J$132)/(1-tech_proj!O603))</f>
        <v/>
      </c>
      <c r="P1943" s="123" t="str">
        <f>IF(tech_base!$T199&gt;P$1745,"",(tech_base!$K199/tech_proj!P323*0.086*$J$132)/(1-tech_proj!P603))</f>
        <v/>
      </c>
      <c r="Q1943" s="123" t="str">
        <f>IF(tech_base!$T199&gt;Q$1745,"",(tech_base!$K199/tech_proj!Q323*0.086*$J$132)/(1-tech_proj!Q603))</f>
        <v/>
      </c>
      <c r="R1943" s="123" t="str">
        <f>IF(tech_base!$T199&gt;R$1745,"",(tech_base!$K199/tech_proj!R323*0.086*$J$132)/(1-tech_proj!R603))</f>
        <v/>
      </c>
      <c r="S1943" s="123" t="str">
        <f>IF(tech_base!$T199&gt;S$1745,"",(tech_base!$K199/tech_proj!S323*0.086*$J$132)/(1-tech_proj!S603))</f>
        <v/>
      </c>
      <c r="T1943" s="123" t="str">
        <f>IF(tech_base!$T199&gt;T$1745,"",(tech_base!$K199/tech_proj!T323*0.086*$J$132)/(1-tech_proj!T603))</f>
        <v/>
      </c>
      <c r="U1943" s="123" t="str">
        <f>IF(tech_base!$T199&gt;U$1745,"",(tech_base!$K199/tech_proj!U323*0.086*$J$132)/(1-tech_proj!U603))</f>
        <v/>
      </c>
      <c r="V1943" s="123" t="str">
        <f>IF(tech_base!$T199&gt;V$1745,"",(tech_base!$K199/tech_proj!V323*0.086*$J$132)/(1-tech_proj!V603))</f>
        <v/>
      </c>
      <c r="W1943" s="123" t="str">
        <f>IF(tech_base!$T199&gt;W$1745,"",(tech_base!$K199/tech_proj!W323*0.086*$J$132)/(1-tech_proj!W603))</f>
        <v/>
      </c>
      <c r="X1943" s="123" t="str">
        <f>IF(tech_base!$T199&gt;X$1745,"",(tech_base!$K199/tech_proj!X323*0.086*$J$132)/(1-tech_proj!X603))</f>
        <v/>
      </c>
      <c r="Y1943" s="123" t="str">
        <f>IF(tech_base!$T199&gt;Y$1745,"",(tech_base!$K199/tech_proj!Y323*0.086*$J$132)/(1-tech_proj!Y603))</f>
        <v/>
      </c>
      <c r="Z1943" s="123" t="str">
        <f>IF(tech_base!$T199&gt;Z$1745,"",(tech_base!$K199/tech_proj!Z323*0.086*$J$132)/(1-tech_proj!Z603))</f>
        <v/>
      </c>
      <c r="AA1943" s="123" t="str">
        <f>IF(tech_base!$T199&gt;AA$1745,"",(tech_base!$K199/tech_proj!AA323*0.086*$J$132)/(1-tech_proj!AA603))</f>
        <v/>
      </c>
      <c r="AB1943" s="123" t="str">
        <f>IF(tech_base!$T199&gt;AB$1745,"",(tech_base!$K199/tech_proj!AB323*0.086*$J$132)/(1-tech_proj!AB603))</f>
        <v/>
      </c>
      <c r="AC1943" s="123" t="str">
        <f>IF(tech_base!$T199&gt;AC$1745,"",(tech_base!$K199/tech_proj!AC323*0.086*$J$132)/(1-tech_proj!AC603))</f>
        <v/>
      </c>
      <c r="AD1943" s="123" t="str">
        <f>IF(tech_base!$T199&gt;AD$1745,"",(tech_base!$K199/tech_proj!AD323*0.086*$J$132)/(1-tech_proj!AD603))</f>
        <v/>
      </c>
      <c r="AE1943" s="123">
        <f>IF(tech_base!$T199&gt;AE$1745,"",(tech_base!$K199/tech_proj!AE323*0.086*$J$132)/(1-tech_proj!AE603))</f>
        <v>8.7711740011326782</v>
      </c>
      <c r="AF1943" s="123">
        <f>IF(tech_base!$T199&gt;AF$1745,"",(tech_base!$K199/tech_proj!AF323*0.086*$J$132)/(1-tech_proj!AF603))</f>
        <v>8.7711740011326782</v>
      </c>
      <c r="AG1943" s="123">
        <f>IF(tech_base!$T199&gt;AG$1745,"",(tech_base!$K199/tech_proj!AG323*0.086*$J$132)/(1-tech_proj!AG603))</f>
        <v>8.7711740011326782</v>
      </c>
      <c r="AH1943" s="123">
        <f>IF(tech_base!$T199&gt;AH$1745,"",(tech_base!$K199/tech_proj!AH323*0.086*$J$132)/(1-tech_proj!AH603))</f>
        <v>8.7711740011326782</v>
      </c>
      <c r="AI1943" s="123">
        <f>IF(tech_base!$T199&gt;AI$1745,"",(tech_base!$K199/tech_proj!AI323*0.086*$J$132)/(1-tech_proj!AI603))</f>
        <v>8.7711740011326782</v>
      </c>
      <c r="AJ1943" s="123">
        <f>IF(tech_base!$T199&gt;AJ$1745,"",(tech_base!$K199/tech_proj!AJ323*0.086*$J$132)/(1-tech_proj!AJ603))</f>
        <v>8.7711740011326782</v>
      </c>
      <c r="AK1943" s="123">
        <f>IF(tech_base!$T199&gt;AK$1745,"",(tech_base!$K199/tech_proj!AK323*0.086*$J$132)/(1-tech_proj!AK603))</f>
        <v>8.7711740011326782</v>
      </c>
      <c r="AL1943" s="123">
        <f>IF(tech_base!$T199&gt;AL$1745,"",(tech_base!$K199/tech_proj!AL323*0.086*$J$132)/(1-tech_proj!AL603))</f>
        <v>8.7711740011326782</v>
      </c>
      <c r="AM1943" s="123">
        <f>IF(tech_base!$T199&gt;AM$1745,"",(tech_base!$K199/tech_proj!AM323*0.086*$J$132)/(1-tech_proj!AM603))</f>
        <v>8.7711740011326782</v>
      </c>
      <c r="AN1943" s="123">
        <f>IF(tech_base!$T199&gt;AN$1745,"",(tech_base!$K199/tech_proj!AN323*0.086*$J$132)/(1-tech_proj!AN603))</f>
        <v>8.7711740011326782</v>
      </c>
      <c r="AO1943" s="123">
        <f>IF(tech_base!$T199&gt;AO$1745,"",(tech_base!$K199/tech_proj!AO323*0.086*$J$132)/(1-tech_proj!AO603))</f>
        <v>8.7711740011326782</v>
      </c>
      <c r="AP1943" s="123">
        <f>IF(tech_base!$T199&gt;AP$1745,"",(tech_base!$K199/tech_proj!AP323*0.086*$J$132)/(1-tech_proj!AP603))</f>
        <v>8.7711740011326782</v>
      </c>
      <c r="AQ1943" s="123">
        <f>IF(tech_base!$T199&gt;AQ$1745,"",(tech_base!$K199/tech_proj!AQ323*0.086*$J$132)/(1-tech_proj!AQ603))</f>
        <v>8.7711740011326782</v>
      </c>
      <c r="AR1943" s="123">
        <f>IF(tech_base!$T199&gt;AR$1745,"",(tech_base!$K199/tech_proj!AR323*0.086*$J$132)/(1-tech_proj!AR603))</f>
        <v>8.7711740011326782</v>
      </c>
      <c r="AS1943" s="123">
        <f>IF(tech_base!$T199&gt;AS$1745,"",(tech_base!$K199/tech_proj!AS323*0.086*$J$132)/(1-tech_proj!AS603))</f>
        <v>8.7711740011326782</v>
      </c>
      <c r="AT1943" s="123">
        <f>IF(tech_base!$T199&gt;AT$1745,"",(tech_base!$K199/tech_proj!AT323*0.086*$J$132)/(1-tech_proj!AT603))</f>
        <v>8.7711740011326782</v>
      </c>
      <c r="AU1943" s="123">
        <f>IF(tech_base!$T199&gt;AU$1745,"",(tech_base!$K199/tech_proj!AU323*0.086*$J$132)/(1-tech_proj!AU603))</f>
        <v>8.7711740011326782</v>
      </c>
      <c r="AV1943" s="123">
        <f>IF(tech_base!$T199&gt;AV$1745,"",(tech_base!$K199/tech_proj!AV323*0.086*$J$132)/(1-tech_proj!AV603))</f>
        <v>8.7711740011326782</v>
      </c>
      <c r="AW1943" s="123">
        <f>IF(tech_base!$T199&gt;AW$1745,"",(tech_base!$K199/tech_proj!AW323*0.086*$J$132)/(1-tech_proj!AW603))</f>
        <v>8.7711740011326782</v>
      </c>
      <c r="AX1943" s="124">
        <f>IF(tech_base!$T199&gt;AX$1745,"",(tech_base!$K199/tech_proj!AX323*0.086*$J$132)/(1-tech_proj!AX603))</f>
        <v>8.7711740011326782</v>
      </c>
    </row>
    <row r="1944" spans="1:50" x14ac:dyDescent="0.25">
      <c r="A1944" s="356"/>
      <c r="B1944" s="376"/>
      <c r="C1944" s="379"/>
      <c r="D1944" s="59" t="s">
        <v>8</v>
      </c>
      <c r="E1944" s="166" t="str">
        <f>A1919&amp;"/"&amp;B1935&amp;"/"&amp;C1943&amp;"/"&amp;D1944</f>
        <v>Fuel oil fired power plants/Steam turbine/Electricity only with CCS/M</v>
      </c>
      <c r="F1944" s="79" t="str">
        <f>A1919</f>
        <v>Fuel oil fired power plants</v>
      </c>
      <c r="G1944" s="79" t="str">
        <f>B1935</f>
        <v>Steam turbine</v>
      </c>
      <c r="H1944" s="79" t="str">
        <f>C1943</f>
        <v>Electricity only with CCS</v>
      </c>
      <c r="I1944" s="167" t="str">
        <f t="shared" si="385"/>
        <v>M</v>
      </c>
      <c r="J1944" s="125" t="str">
        <f>IF(tech_base!$T200&gt;J$1745,"",(tech_base!$K200/tech_proj!J324*0.086*$J$132)/(1-tech_proj!J604))</f>
        <v/>
      </c>
      <c r="K1944" s="125" t="str">
        <f>IF(tech_base!$T200&gt;K$1745,"",(tech_base!$K200/tech_proj!K324*0.086*$J$132)/(1-tech_proj!K604))</f>
        <v/>
      </c>
      <c r="L1944" s="125" t="str">
        <f>IF(tech_base!$T200&gt;L$1745,"",(tech_base!$K200/tech_proj!L324*0.086*$J$132)/(1-tech_proj!L604))</f>
        <v/>
      </c>
      <c r="M1944" s="125" t="str">
        <f>IF(tech_base!$T200&gt;M$1745,"",(tech_base!$K200/tech_proj!M324*0.086*$J$132)/(1-tech_proj!M604))</f>
        <v/>
      </c>
      <c r="N1944" s="125" t="str">
        <f>IF(tech_base!$T200&gt;N$1745,"",(tech_base!$K200/tech_proj!N324*0.086*$J$132)/(1-tech_proj!N604))</f>
        <v/>
      </c>
      <c r="O1944" s="125" t="str">
        <f>IF(tech_base!$T200&gt;O$1745,"",(tech_base!$K200/tech_proj!O324*0.086*$J$132)/(1-tech_proj!O604))</f>
        <v/>
      </c>
      <c r="P1944" s="125" t="str">
        <f>IF(tech_base!$T200&gt;P$1745,"",(tech_base!$K200/tech_proj!P324*0.086*$J$132)/(1-tech_proj!P604))</f>
        <v/>
      </c>
      <c r="Q1944" s="125" t="str">
        <f>IF(tech_base!$T200&gt;Q$1745,"",(tech_base!$K200/tech_proj!Q324*0.086*$J$132)/(1-tech_proj!Q604))</f>
        <v/>
      </c>
      <c r="R1944" s="125" t="str">
        <f>IF(tech_base!$T200&gt;R$1745,"",(tech_base!$K200/tech_proj!R324*0.086*$J$132)/(1-tech_proj!R604))</f>
        <v/>
      </c>
      <c r="S1944" s="125" t="str">
        <f>IF(tech_base!$T200&gt;S$1745,"",(tech_base!$K200/tech_proj!S324*0.086*$J$132)/(1-tech_proj!S604))</f>
        <v/>
      </c>
      <c r="T1944" s="125" t="str">
        <f>IF(tech_base!$T200&gt;T$1745,"",(tech_base!$K200/tech_proj!T324*0.086*$J$132)/(1-tech_proj!T604))</f>
        <v/>
      </c>
      <c r="U1944" s="125" t="str">
        <f>IF(tech_base!$T200&gt;U$1745,"",(tech_base!$K200/tech_proj!U324*0.086*$J$132)/(1-tech_proj!U604))</f>
        <v/>
      </c>
      <c r="V1944" s="125" t="str">
        <f>IF(tech_base!$T200&gt;V$1745,"",(tech_base!$K200/tech_proj!V324*0.086*$J$132)/(1-tech_proj!V604))</f>
        <v/>
      </c>
      <c r="W1944" s="125" t="str">
        <f>IF(tech_base!$T200&gt;W$1745,"",(tech_base!$K200/tech_proj!W324*0.086*$J$132)/(1-tech_proj!W604))</f>
        <v/>
      </c>
      <c r="X1944" s="125" t="str">
        <f>IF(tech_base!$T200&gt;X$1745,"",(tech_base!$K200/tech_proj!X324*0.086*$J$132)/(1-tech_proj!X604))</f>
        <v/>
      </c>
      <c r="Y1944" s="125" t="str">
        <f>IF(tech_base!$T200&gt;Y$1745,"",(tech_base!$K200/tech_proj!Y324*0.086*$J$132)/(1-tech_proj!Y604))</f>
        <v/>
      </c>
      <c r="Z1944" s="125" t="str">
        <f>IF(tech_base!$T200&gt;Z$1745,"",(tech_base!$K200/tech_proj!Z324*0.086*$J$132)/(1-tech_proj!Z604))</f>
        <v/>
      </c>
      <c r="AA1944" s="125" t="str">
        <f>IF(tech_base!$T200&gt;AA$1745,"",(tech_base!$K200/tech_proj!AA324*0.086*$J$132)/(1-tech_proj!AA604))</f>
        <v/>
      </c>
      <c r="AB1944" s="125" t="str">
        <f>IF(tech_base!$T200&gt;AB$1745,"",(tech_base!$K200/tech_proj!AB324*0.086*$J$132)/(1-tech_proj!AB604))</f>
        <v/>
      </c>
      <c r="AC1944" s="125" t="str">
        <f>IF(tech_base!$T200&gt;AC$1745,"",(tech_base!$K200/tech_proj!AC324*0.086*$J$132)/(1-tech_proj!AC604))</f>
        <v/>
      </c>
      <c r="AD1944" s="125" t="str">
        <f>IF(tech_base!$T200&gt;AD$1745,"",(tech_base!$K200/tech_proj!AD324*0.086*$J$132)/(1-tech_proj!AD604))</f>
        <v/>
      </c>
      <c r="AE1944" s="125">
        <f>IF(tech_base!$T200&gt;AE$1745,"",(tech_base!$K200/tech_proj!AE324*0.086*$J$132)/(1-tech_proj!AE604))</f>
        <v>9.3574824236682872</v>
      </c>
      <c r="AF1944" s="125">
        <f>IF(tech_base!$T200&gt;AF$1745,"",(tech_base!$K200/tech_proj!AF324*0.086*$J$132)/(1-tech_proj!AF604))</f>
        <v>9.3574824236682872</v>
      </c>
      <c r="AG1944" s="125">
        <f>IF(tech_base!$T200&gt;AG$1745,"",(tech_base!$K200/tech_proj!AG324*0.086*$J$132)/(1-tech_proj!AG604))</f>
        <v>9.3574824236682872</v>
      </c>
      <c r="AH1944" s="125">
        <f>IF(tech_base!$T200&gt;AH$1745,"",(tech_base!$K200/tech_proj!AH324*0.086*$J$132)/(1-tech_proj!AH604))</f>
        <v>9.3574824236682872</v>
      </c>
      <c r="AI1944" s="125">
        <f>IF(tech_base!$T200&gt;AI$1745,"",(tech_base!$K200/tech_proj!AI324*0.086*$J$132)/(1-tech_proj!AI604))</f>
        <v>9.3574824236682872</v>
      </c>
      <c r="AJ1944" s="125">
        <f>IF(tech_base!$T200&gt;AJ$1745,"",(tech_base!$K200/tech_proj!AJ324*0.086*$J$132)/(1-tech_proj!AJ604))</f>
        <v>9.3574824236682872</v>
      </c>
      <c r="AK1944" s="125">
        <f>IF(tech_base!$T200&gt;AK$1745,"",(tech_base!$K200/tech_proj!AK324*0.086*$J$132)/(1-tech_proj!AK604))</f>
        <v>9.3574824236682872</v>
      </c>
      <c r="AL1944" s="125">
        <f>IF(tech_base!$T200&gt;AL$1745,"",(tech_base!$K200/tech_proj!AL324*0.086*$J$132)/(1-tech_proj!AL604))</f>
        <v>9.3574824236682872</v>
      </c>
      <c r="AM1944" s="125">
        <f>IF(tech_base!$T200&gt;AM$1745,"",(tech_base!$K200/tech_proj!AM324*0.086*$J$132)/(1-tech_proj!AM604))</f>
        <v>9.3574824236682872</v>
      </c>
      <c r="AN1944" s="125">
        <f>IF(tech_base!$T200&gt;AN$1745,"",(tech_base!$K200/tech_proj!AN324*0.086*$J$132)/(1-tech_proj!AN604))</f>
        <v>9.3574824236682872</v>
      </c>
      <c r="AO1944" s="125">
        <f>IF(tech_base!$T200&gt;AO$1745,"",(tech_base!$K200/tech_proj!AO324*0.086*$J$132)/(1-tech_proj!AO604))</f>
        <v>9.3574824236682872</v>
      </c>
      <c r="AP1944" s="125">
        <f>IF(tech_base!$T200&gt;AP$1745,"",(tech_base!$K200/tech_proj!AP324*0.086*$J$132)/(1-tech_proj!AP604))</f>
        <v>9.3574824236682872</v>
      </c>
      <c r="AQ1944" s="125">
        <f>IF(tech_base!$T200&gt;AQ$1745,"",(tech_base!$K200/tech_proj!AQ324*0.086*$J$132)/(1-tech_proj!AQ604))</f>
        <v>9.3574824236682872</v>
      </c>
      <c r="AR1944" s="125">
        <f>IF(tech_base!$T200&gt;AR$1745,"",(tech_base!$K200/tech_proj!AR324*0.086*$J$132)/(1-tech_proj!AR604))</f>
        <v>9.3574824236682872</v>
      </c>
      <c r="AS1944" s="125">
        <f>IF(tech_base!$T200&gt;AS$1745,"",(tech_base!$K200/tech_proj!AS324*0.086*$J$132)/(1-tech_proj!AS604))</f>
        <v>9.3574824236682872</v>
      </c>
      <c r="AT1944" s="125">
        <f>IF(tech_base!$T200&gt;AT$1745,"",(tech_base!$K200/tech_proj!AT324*0.086*$J$132)/(1-tech_proj!AT604))</f>
        <v>9.3574824236682872</v>
      </c>
      <c r="AU1944" s="125">
        <f>IF(tech_base!$T200&gt;AU$1745,"",(tech_base!$K200/tech_proj!AU324*0.086*$J$132)/(1-tech_proj!AU604))</f>
        <v>9.3574824236682872</v>
      </c>
      <c r="AV1944" s="125">
        <f>IF(tech_base!$T200&gt;AV$1745,"",(tech_base!$K200/tech_proj!AV324*0.086*$J$132)/(1-tech_proj!AV604))</f>
        <v>9.3574824236682872</v>
      </c>
      <c r="AW1944" s="125">
        <f>IF(tech_base!$T200&gt;AW$1745,"",(tech_base!$K200/tech_proj!AW324*0.086*$J$132)/(1-tech_proj!AW604))</f>
        <v>9.3574824236682872</v>
      </c>
      <c r="AX1944" s="126">
        <f>IF(tech_base!$T200&gt;AX$1745,"",(tech_base!$K200/tech_proj!AX324*0.086*$J$132)/(1-tech_proj!AX604))</f>
        <v>9.3574824236682872</v>
      </c>
    </row>
    <row r="1945" spans="1:50" x14ac:dyDescent="0.25">
      <c r="A1945" s="356"/>
      <c r="B1945" s="376"/>
      <c r="C1945" s="361" t="s">
        <v>16</v>
      </c>
      <c r="D1945" s="2" t="s">
        <v>7</v>
      </c>
      <c r="E1945" s="160" t="str">
        <f>A1919&amp;"/"&amp;B1935&amp;"/"&amp;C1945&amp;"/"&amp;D1945</f>
        <v>Fuel oil fired power plants/Steam turbine/CHP with CCS/L</v>
      </c>
      <c r="F1945" s="76" t="str">
        <f>A1919</f>
        <v>Fuel oil fired power plants</v>
      </c>
      <c r="G1945" s="76" t="str">
        <f>B1935</f>
        <v>Steam turbine</v>
      </c>
      <c r="H1945" s="76" t="str">
        <f>C1945</f>
        <v>CHP with CCS</v>
      </c>
      <c r="I1945" s="161" t="str">
        <f t="shared" si="385"/>
        <v>L</v>
      </c>
      <c r="J1945" s="119" t="str">
        <f>IF(tech_base!$T201&gt;J$1745,"",(tech_base!$K201/tech_proj!J325*0.086*$J$132)/(1-tech_proj!J605))</f>
        <v/>
      </c>
      <c r="K1945" s="119" t="str">
        <f>IF(tech_base!$T201&gt;K$1745,"",(tech_base!$K201/tech_proj!K325*0.086*$J$132)/(1-tech_proj!K605))</f>
        <v/>
      </c>
      <c r="L1945" s="119" t="str">
        <f>IF(tech_base!$T201&gt;L$1745,"",(tech_base!$K201/tech_proj!L325*0.086*$J$132)/(1-tech_proj!L605))</f>
        <v/>
      </c>
      <c r="M1945" s="119" t="str">
        <f>IF(tech_base!$T201&gt;M$1745,"",(tech_base!$K201/tech_proj!M325*0.086*$J$132)/(1-tech_proj!M605))</f>
        <v/>
      </c>
      <c r="N1945" s="119" t="str">
        <f>IF(tech_base!$T201&gt;N$1745,"",(tech_base!$K201/tech_proj!N325*0.086*$J$132)/(1-tech_proj!N605))</f>
        <v/>
      </c>
      <c r="O1945" s="119" t="str">
        <f>IF(tech_base!$T201&gt;O$1745,"",(tech_base!$K201/tech_proj!O325*0.086*$J$132)/(1-tech_proj!O605))</f>
        <v/>
      </c>
      <c r="P1945" s="119" t="str">
        <f>IF(tech_base!$T201&gt;P$1745,"",(tech_base!$K201/tech_proj!P325*0.086*$J$132)/(1-tech_proj!P605))</f>
        <v/>
      </c>
      <c r="Q1945" s="119" t="str">
        <f>IF(tech_base!$T201&gt;Q$1745,"",(tech_base!$K201/tech_proj!Q325*0.086*$J$132)/(1-tech_proj!Q605))</f>
        <v/>
      </c>
      <c r="R1945" s="119" t="str">
        <f>IF(tech_base!$T201&gt;R$1745,"",(tech_base!$K201/tech_proj!R325*0.086*$J$132)/(1-tech_proj!R605))</f>
        <v/>
      </c>
      <c r="S1945" s="119" t="str">
        <f>IF(tech_base!$T201&gt;S$1745,"",(tech_base!$K201/tech_proj!S325*0.086*$J$132)/(1-tech_proj!S605))</f>
        <v/>
      </c>
      <c r="T1945" s="119" t="str">
        <f>IF(tech_base!$T201&gt;T$1745,"",(tech_base!$K201/tech_proj!T325*0.086*$J$132)/(1-tech_proj!T605))</f>
        <v/>
      </c>
      <c r="U1945" s="119" t="str">
        <f>IF(tech_base!$T201&gt;U$1745,"",(tech_base!$K201/tech_proj!U325*0.086*$J$132)/(1-tech_proj!U605))</f>
        <v/>
      </c>
      <c r="V1945" s="119" t="str">
        <f>IF(tech_base!$T201&gt;V$1745,"",(tech_base!$K201/tech_proj!V325*0.086*$J$132)/(1-tech_proj!V605))</f>
        <v/>
      </c>
      <c r="W1945" s="119" t="str">
        <f>IF(tech_base!$T201&gt;W$1745,"",(tech_base!$K201/tech_proj!W325*0.086*$J$132)/(1-tech_proj!W605))</f>
        <v/>
      </c>
      <c r="X1945" s="119" t="str">
        <f>IF(tech_base!$T201&gt;X$1745,"",(tech_base!$K201/tech_proj!X325*0.086*$J$132)/(1-tech_proj!X605))</f>
        <v/>
      </c>
      <c r="Y1945" s="119" t="str">
        <f>IF(tech_base!$T201&gt;Y$1745,"",(tech_base!$K201/tech_proj!Y325*0.086*$J$132)/(1-tech_proj!Y605))</f>
        <v/>
      </c>
      <c r="Z1945" s="119" t="str">
        <f>IF(tech_base!$T201&gt;Z$1745,"",(tech_base!$K201/tech_proj!Z325*0.086*$J$132)/(1-tech_proj!Z605))</f>
        <v/>
      </c>
      <c r="AA1945" s="119" t="str">
        <f>IF(tech_base!$T201&gt;AA$1745,"",(tech_base!$K201/tech_proj!AA325*0.086*$J$132)/(1-tech_proj!AA605))</f>
        <v/>
      </c>
      <c r="AB1945" s="119" t="str">
        <f>IF(tech_base!$T201&gt;AB$1745,"",(tech_base!$K201/tech_proj!AB325*0.086*$J$132)/(1-tech_proj!AB605))</f>
        <v/>
      </c>
      <c r="AC1945" s="119" t="str">
        <f>IF(tech_base!$T201&gt;AC$1745,"",(tech_base!$K201/tech_proj!AC325*0.086*$J$132)/(1-tech_proj!AC605))</f>
        <v/>
      </c>
      <c r="AD1945" s="119" t="str">
        <f>IF(tech_base!$T201&gt;AD$1745,"",(tech_base!$K201/tech_proj!AD325*0.086*$J$132)/(1-tech_proj!AD605))</f>
        <v/>
      </c>
      <c r="AE1945" s="119">
        <f>IF(tech_base!$T201&gt;AE$1745,"",(tech_base!$K201/tech_proj!AE325*0.086*$J$132)/(1-tech_proj!AE605))</f>
        <v>9.962909599112665</v>
      </c>
      <c r="AF1945" s="119">
        <f>IF(tech_base!$T201&gt;AF$1745,"",(tech_base!$K201/tech_proj!AF325*0.086*$J$132)/(1-tech_proj!AF605))</f>
        <v>9.962909599112665</v>
      </c>
      <c r="AG1945" s="119">
        <f>IF(tech_base!$T201&gt;AG$1745,"",(tech_base!$K201/tech_proj!AG325*0.086*$J$132)/(1-tech_proj!AG605))</f>
        <v>9.962909599112665</v>
      </c>
      <c r="AH1945" s="119">
        <f>IF(tech_base!$T201&gt;AH$1745,"",(tech_base!$K201/tech_proj!AH325*0.086*$J$132)/(1-tech_proj!AH605))</f>
        <v>9.962909599112665</v>
      </c>
      <c r="AI1945" s="119">
        <f>IF(tech_base!$T201&gt;AI$1745,"",(tech_base!$K201/tech_proj!AI325*0.086*$J$132)/(1-tech_proj!AI605))</f>
        <v>9.962909599112665</v>
      </c>
      <c r="AJ1945" s="119">
        <f>IF(tech_base!$T201&gt;AJ$1745,"",(tech_base!$K201/tech_proj!AJ325*0.086*$J$132)/(1-tech_proj!AJ605))</f>
        <v>9.962909599112665</v>
      </c>
      <c r="AK1945" s="119">
        <f>IF(tech_base!$T201&gt;AK$1745,"",(tech_base!$K201/tech_proj!AK325*0.086*$J$132)/(1-tech_proj!AK605))</f>
        <v>9.962909599112665</v>
      </c>
      <c r="AL1945" s="119">
        <f>IF(tech_base!$T201&gt;AL$1745,"",(tech_base!$K201/tech_proj!AL325*0.086*$J$132)/(1-tech_proj!AL605))</f>
        <v>9.962909599112665</v>
      </c>
      <c r="AM1945" s="119">
        <f>IF(tech_base!$T201&gt;AM$1745,"",(tech_base!$K201/tech_proj!AM325*0.086*$J$132)/(1-tech_proj!AM605))</f>
        <v>9.962909599112665</v>
      </c>
      <c r="AN1945" s="119">
        <f>IF(tech_base!$T201&gt;AN$1745,"",(tech_base!$K201/tech_proj!AN325*0.086*$J$132)/(1-tech_proj!AN605))</f>
        <v>9.962909599112665</v>
      </c>
      <c r="AO1945" s="119">
        <f>IF(tech_base!$T201&gt;AO$1745,"",(tech_base!$K201/tech_proj!AO325*0.086*$J$132)/(1-tech_proj!AO605))</f>
        <v>9.962909599112665</v>
      </c>
      <c r="AP1945" s="119">
        <f>IF(tech_base!$T201&gt;AP$1745,"",(tech_base!$K201/tech_proj!AP325*0.086*$J$132)/(1-tech_proj!AP605))</f>
        <v>9.962909599112665</v>
      </c>
      <c r="AQ1945" s="119">
        <f>IF(tech_base!$T201&gt;AQ$1745,"",(tech_base!$K201/tech_proj!AQ325*0.086*$J$132)/(1-tech_proj!AQ605))</f>
        <v>9.962909599112665</v>
      </c>
      <c r="AR1945" s="119">
        <f>IF(tech_base!$T201&gt;AR$1745,"",(tech_base!$K201/tech_proj!AR325*0.086*$J$132)/(1-tech_proj!AR605))</f>
        <v>9.962909599112665</v>
      </c>
      <c r="AS1945" s="119">
        <f>IF(tech_base!$T201&gt;AS$1745,"",(tech_base!$K201/tech_proj!AS325*0.086*$J$132)/(1-tech_proj!AS605))</f>
        <v>9.962909599112665</v>
      </c>
      <c r="AT1945" s="119">
        <f>IF(tech_base!$T201&gt;AT$1745,"",(tech_base!$K201/tech_proj!AT325*0.086*$J$132)/(1-tech_proj!AT605))</f>
        <v>9.962909599112665</v>
      </c>
      <c r="AU1945" s="119">
        <f>IF(tech_base!$T201&gt;AU$1745,"",(tech_base!$K201/tech_proj!AU325*0.086*$J$132)/(1-tech_proj!AU605))</f>
        <v>9.962909599112665</v>
      </c>
      <c r="AV1945" s="119">
        <f>IF(tech_base!$T201&gt;AV$1745,"",(tech_base!$K201/tech_proj!AV325*0.086*$J$132)/(1-tech_proj!AV605))</f>
        <v>9.962909599112665</v>
      </c>
      <c r="AW1945" s="119">
        <f>IF(tech_base!$T201&gt;AW$1745,"",(tech_base!$K201/tech_proj!AW325*0.086*$J$132)/(1-tech_proj!AW605))</f>
        <v>9.962909599112665</v>
      </c>
      <c r="AX1945" s="120">
        <f>IF(tech_base!$T201&gt;AX$1745,"",(tech_base!$K201/tech_proj!AX325*0.086*$J$132)/(1-tech_proj!AX605))</f>
        <v>9.962909599112665</v>
      </c>
    </row>
    <row r="1946" spans="1:50" x14ac:dyDescent="0.25">
      <c r="A1946" s="357"/>
      <c r="B1946" s="380"/>
      <c r="C1946" s="381"/>
      <c r="D1946" s="4" t="s">
        <v>8</v>
      </c>
      <c r="E1946" s="168" t="str">
        <f>A1919&amp;"/"&amp;B1935&amp;"/"&amp;C1945&amp;"/"&amp;D1946</f>
        <v>Fuel oil fired power plants/Steam turbine/CHP with CCS/M</v>
      </c>
      <c r="F1946" s="80" t="str">
        <f>A1919</f>
        <v>Fuel oil fired power plants</v>
      </c>
      <c r="G1946" s="80" t="str">
        <f>B1935</f>
        <v>Steam turbine</v>
      </c>
      <c r="H1946" s="80" t="str">
        <f>C1945</f>
        <v>CHP with CCS</v>
      </c>
      <c r="I1946" s="169" t="str">
        <f t="shared" si="385"/>
        <v>M</v>
      </c>
      <c r="J1946" s="127" t="str">
        <f>IF(tech_base!$T202&gt;J$1745,"",(tech_base!$K202/tech_proj!J326*0.086*$J$132)/(1-tech_proj!J606))</f>
        <v/>
      </c>
      <c r="K1946" s="127" t="str">
        <f>IF(tech_base!$T202&gt;K$1745,"",(tech_base!$K202/tech_proj!K326*0.086*$J$132)/(1-tech_proj!K606))</f>
        <v/>
      </c>
      <c r="L1946" s="127" t="str">
        <f>IF(tech_base!$T202&gt;L$1745,"",(tech_base!$K202/tech_proj!L326*0.086*$J$132)/(1-tech_proj!L606))</f>
        <v/>
      </c>
      <c r="M1946" s="127" t="str">
        <f>IF(tech_base!$T202&gt;M$1745,"",(tech_base!$K202/tech_proj!M326*0.086*$J$132)/(1-tech_proj!M606))</f>
        <v/>
      </c>
      <c r="N1946" s="127" t="str">
        <f>IF(tech_base!$T202&gt;N$1745,"",(tech_base!$K202/tech_proj!N326*0.086*$J$132)/(1-tech_proj!N606))</f>
        <v/>
      </c>
      <c r="O1946" s="127" t="str">
        <f>IF(tech_base!$T202&gt;O$1745,"",(tech_base!$K202/tech_proj!O326*0.086*$J$132)/(1-tech_proj!O606))</f>
        <v/>
      </c>
      <c r="P1946" s="127" t="str">
        <f>IF(tech_base!$T202&gt;P$1745,"",(tech_base!$K202/tech_proj!P326*0.086*$J$132)/(1-tech_proj!P606))</f>
        <v/>
      </c>
      <c r="Q1946" s="127" t="str">
        <f>IF(tech_base!$T202&gt;Q$1745,"",(tech_base!$K202/tech_proj!Q326*0.086*$J$132)/(1-tech_proj!Q606))</f>
        <v/>
      </c>
      <c r="R1946" s="127" t="str">
        <f>IF(tech_base!$T202&gt;R$1745,"",(tech_base!$K202/tech_proj!R326*0.086*$J$132)/(1-tech_proj!R606))</f>
        <v/>
      </c>
      <c r="S1946" s="127" t="str">
        <f>IF(tech_base!$T202&gt;S$1745,"",(tech_base!$K202/tech_proj!S326*0.086*$J$132)/(1-tech_proj!S606))</f>
        <v/>
      </c>
      <c r="T1946" s="127" t="str">
        <f>IF(tech_base!$T202&gt;T$1745,"",(tech_base!$K202/tech_proj!T326*0.086*$J$132)/(1-tech_proj!T606))</f>
        <v/>
      </c>
      <c r="U1946" s="127" t="str">
        <f>IF(tech_base!$T202&gt;U$1745,"",(tech_base!$K202/tech_proj!U326*0.086*$J$132)/(1-tech_proj!U606))</f>
        <v/>
      </c>
      <c r="V1946" s="127" t="str">
        <f>IF(tech_base!$T202&gt;V$1745,"",(tech_base!$K202/tech_proj!V326*0.086*$J$132)/(1-tech_proj!V606))</f>
        <v/>
      </c>
      <c r="W1946" s="127" t="str">
        <f>IF(tech_base!$T202&gt;W$1745,"",(tech_base!$K202/tech_proj!W326*0.086*$J$132)/(1-tech_proj!W606))</f>
        <v/>
      </c>
      <c r="X1946" s="127" t="str">
        <f>IF(tech_base!$T202&gt;X$1745,"",(tech_base!$K202/tech_proj!X326*0.086*$J$132)/(1-tech_proj!X606))</f>
        <v/>
      </c>
      <c r="Y1946" s="127" t="str">
        <f>IF(tech_base!$T202&gt;Y$1745,"",(tech_base!$K202/tech_proj!Y326*0.086*$J$132)/(1-tech_proj!Y606))</f>
        <v/>
      </c>
      <c r="Z1946" s="127" t="str">
        <f>IF(tech_base!$T202&gt;Z$1745,"",(tech_base!$K202/tech_proj!Z326*0.086*$J$132)/(1-tech_proj!Z606))</f>
        <v/>
      </c>
      <c r="AA1946" s="127" t="str">
        <f>IF(tech_base!$T202&gt;AA$1745,"",(tech_base!$K202/tech_proj!AA326*0.086*$J$132)/(1-tech_proj!AA606))</f>
        <v/>
      </c>
      <c r="AB1946" s="127" t="str">
        <f>IF(tech_base!$T202&gt;AB$1745,"",(tech_base!$K202/tech_proj!AB326*0.086*$J$132)/(1-tech_proj!AB606))</f>
        <v/>
      </c>
      <c r="AC1946" s="127" t="str">
        <f>IF(tech_base!$T202&gt;AC$1745,"",(tech_base!$K202/tech_proj!AC326*0.086*$J$132)/(1-tech_proj!AC606))</f>
        <v/>
      </c>
      <c r="AD1946" s="127" t="str">
        <f>IF(tech_base!$T202&gt;AD$1745,"",(tech_base!$K202/tech_proj!AD326*0.086*$J$132)/(1-tech_proj!AD606))</f>
        <v/>
      </c>
      <c r="AE1946" s="127">
        <f>IF(tech_base!$T202&gt;AE$1745,"",(tech_base!$K202/tech_proj!AE326*0.086*$J$132)/(1-tech_proj!AE606))</f>
        <v>10.652098143600258</v>
      </c>
      <c r="AF1946" s="127">
        <f>IF(tech_base!$T202&gt;AF$1745,"",(tech_base!$K202/tech_proj!AF326*0.086*$J$132)/(1-tech_proj!AF606))</f>
        <v>10.652098143600258</v>
      </c>
      <c r="AG1946" s="127">
        <f>IF(tech_base!$T202&gt;AG$1745,"",(tech_base!$K202/tech_proj!AG326*0.086*$J$132)/(1-tech_proj!AG606))</f>
        <v>10.652098143600258</v>
      </c>
      <c r="AH1946" s="127">
        <f>IF(tech_base!$T202&gt;AH$1745,"",(tech_base!$K202/tech_proj!AH326*0.086*$J$132)/(1-tech_proj!AH606))</f>
        <v>10.652098143600258</v>
      </c>
      <c r="AI1946" s="127">
        <f>IF(tech_base!$T202&gt;AI$1745,"",(tech_base!$K202/tech_proj!AI326*0.086*$J$132)/(1-tech_proj!AI606))</f>
        <v>10.652098143600258</v>
      </c>
      <c r="AJ1946" s="127">
        <f>IF(tech_base!$T202&gt;AJ$1745,"",(tech_base!$K202/tech_proj!AJ326*0.086*$J$132)/(1-tech_proj!AJ606))</f>
        <v>10.652098143600258</v>
      </c>
      <c r="AK1946" s="127">
        <f>IF(tech_base!$T202&gt;AK$1745,"",(tech_base!$K202/tech_proj!AK326*0.086*$J$132)/(1-tech_proj!AK606))</f>
        <v>10.652098143600258</v>
      </c>
      <c r="AL1946" s="127">
        <f>IF(tech_base!$T202&gt;AL$1745,"",(tech_base!$K202/tech_proj!AL326*0.086*$J$132)/(1-tech_proj!AL606))</f>
        <v>10.652098143600258</v>
      </c>
      <c r="AM1946" s="127">
        <f>IF(tech_base!$T202&gt;AM$1745,"",(tech_base!$K202/tech_proj!AM326*0.086*$J$132)/(1-tech_proj!AM606))</f>
        <v>10.652098143600258</v>
      </c>
      <c r="AN1946" s="127">
        <f>IF(tech_base!$T202&gt;AN$1745,"",(tech_base!$K202/tech_proj!AN326*0.086*$J$132)/(1-tech_proj!AN606))</f>
        <v>10.652098143600258</v>
      </c>
      <c r="AO1946" s="127">
        <f>IF(tech_base!$T202&gt;AO$1745,"",(tech_base!$K202/tech_proj!AO326*0.086*$J$132)/(1-tech_proj!AO606))</f>
        <v>10.652098143600258</v>
      </c>
      <c r="AP1946" s="127">
        <f>IF(tech_base!$T202&gt;AP$1745,"",(tech_base!$K202/tech_proj!AP326*0.086*$J$132)/(1-tech_proj!AP606))</f>
        <v>10.652098143600258</v>
      </c>
      <c r="AQ1946" s="127">
        <f>IF(tech_base!$T202&gt;AQ$1745,"",(tech_base!$K202/tech_proj!AQ326*0.086*$J$132)/(1-tech_proj!AQ606))</f>
        <v>10.652098143600258</v>
      </c>
      <c r="AR1946" s="127">
        <f>IF(tech_base!$T202&gt;AR$1745,"",(tech_base!$K202/tech_proj!AR326*0.086*$J$132)/(1-tech_proj!AR606))</f>
        <v>10.652098143600258</v>
      </c>
      <c r="AS1946" s="127">
        <f>IF(tech_base!$T202&gt;AS$1745,"",(tech_base!$K202/tech_proj!AS326*0.086*$J$132)/(1-tech_proj!AS606))</f>
        <v>10.652098143600258</v>
      </c>
      <c r="AT1946" s="127">
        <f>IF(tech_base!$T202&gt;AT$1745,"",(tech_base!$K202/tech_proj!AT326*0.086*$J$132)/(1-tech_proj!AT606))</f>
        <v>10.652098143600258</v>
      </c>
      <c r="AU1946" s="127">
        <f>IF(tech_base!$T202&gt;AU$1745,"",(tech_base!$K202/tech_proj!AU326*0.086*$J$132)/(1-tech_proj!AU606))</f>
        <v>10.652098143600258</v>
      </c>
      <c r="AV1946" s="127">
        <f>IF(tech_base!$T202&gt;AV$1745,"",(tech_base!$K202/tech_proj!AV326*0.086*$J$132)/(1-tech_proj!AV606))</f>
        <v>10.652098143600258</v>
      </c>
      <c r="AW1946" s="127">
        <f>IF(tech_base!$T202&gt;AW$1745,"",(tech_base!$K202/tech_proj!AW326*0.086*$J$132)/(1-tech_proj!AW606))</f>
        <v>10.652098143600258</v>
      </c>
      <c r="AX1946" s="128">
        <f>IF(tech_base!$T202&gt;AX$1745,"",(tech_base!$K202/tech_proj!AX326*0.086*$J$132)/(1-tech_proj!AX606))</f>
        <v>10.652098143600258</v>
      </c>
    </row>
    <row r="1947" spans="1:50" x14ac:dyDescent="0.25">
      <c r="A1947" s="355" t="s">
        <v>30</v>
      </c>
      <c r="B1947" s="358" t="s">
        <v>13</v>
      </c>
      <c r="C1947" s="353" t="s">
        <v>6</v>
      </c>
      <c r="D1947" s="3" t="s">
        <v>7</v>
      </c>
      <c r="E1947" s="162" t="str">
        <f>A1947&amp;"/"&amp;B1947&amp;"/"&amp;C1947&amp;"/"&amp;D1947</f>
        <v>Biomass and waste fired power plants/Integrated gasification combined cycle/Electricity only/L</v>
      </c>
      <c r="F1947" s="77" t="str">
        <f>A1947</f>
        <v>Biomass and waste fired power plants</v>
      </c>
      <c r="G1947" s="77" t="str">
        <f>B1947</f>
        <v>Integrated gasification combined cycle</v>
      </c>
      <c r="H1947" s="77" t="str">
        <f>C1947</f>
        <v>Electricity only</v>
      </c>
      <c r="I1947" s="163" t="str">
        <f t="shared" si="385"/>
        <v>L</v>
      </c>
      <c r="J1947" s="121">
        <f>IF(tech_base!$T203&gt;J$1745,"",(tech_base!$K203/tech_proj!J327*0.086*$J$132)/(1-tech_proj!J607))</f>
        <v>0</v>
      </c>
      <c r="K1947" s="121">
        <f>IF(tech_base!$T203&gt;K$1745,"",(tech_base!$K203/tech_proj!K327*0.086*$J$132)/(1-tech_proj!K607))</f>
        <v>0</v>
      </c>
      <c r="L1947" s="121">
        <f>IF(tech_base!$T203&gt;L$1745,"",(tech_base!$K203/tech_proj!L327*0.086*$J$132)/(1-tech_proj!L607))</f>
        <v>0</v>
      </c>
      <c r="M1947" s="121">
        <f>IF(tech_base!$T203&gt;M$1745,"",(tech_base!$K203/tech_proj!M327*0.086*$J$132)/(1-tech_proj!M607))</f>
        <v>0</v>
      </c>
      <c r="N1947" s="121">
        <f>IF(tech_base!$T203&gt;N$1745,"",(tech_base!$K203/tech_proj!N327*0.086*$J$132)/(1-tech_proj!N607))</f>
        <v>0</v>
      </c>
      <c r="O1947" s="121">
        <f>IF(tech_base!$T203&gt;O$1745,"",(tech_base!$K203/tech_proj!O327*0.086*$J$132)/(1-tech_proj!O607))</f>
        <v>0</v>
      </c>
      <c r="P1947" s="121">
        <f>IF(tech_base!$T203&gt;P$1745,"",(tech_base!$K203/tech_proj!P327*0.086*$J$132)/(1-tech_proj!P607))</f>
        <v>0</v>
      </c>
      <c r="Q1947" s="121">
        <f>IF(tech_base!$T203&gt;Q$1745,"",(tech_base!$K203/tech_proj!Q327*0.086*$J$132)/(1-tech_proj!Q607))</f>
        <v>0</v>
      </c>
      <c r="R1947" s="121">
        <f>IF(tech_base!$T203&gt;R$1745,"",(tech_base!$K203/tech_proj!R327*0.086*$J$132)/(1-tech_proj!R607))</f>
        <v>0</v>
      </c>
      <c r="S1947" s="121">
        <f>IF(tech_base!$T203&gt;S$1745,"",(tech_base!$K203/tech_proj!S327*0.086*$J$132)/(1-tech_proj!S607))</f>
        <v>0</v>
      </c>
      <c r="T1947" s="121">
        <f>IF(tech_base!$T203&gt;T$1745,"",(tech_base!$K203/tech_proj!T327*0.086*$J$132)/(1-tech_proj!T607))</f>
        <v>0</v>
      </c>
      <c r="U1947" s="121">
        <f>IF(tech_base!$T203&gt;U$1745,"",(tech_base!$K203/tech_proj!U327*0.086*$J$132)/(1-tech_proj!U607))</f>
        <v>0</v>
      </c>
      <c r="V1947" s="121">
        <f>IF(tech_base!$T203&gt;V$1745,"",(tech_base!$K203/tech_proj!V327*0.086*$J$132)/(1-tech_proj!V607))</f>
        <v>0</v>
      </c>
      <c r="W1947" s="121">
        <f>IF(tech_base!$T203&gt;W$1745,"",(tech_base!$K203/tech_proj!W327*0.086*$J$132)/(1-tech_proj!W607))</f>
        <v>0</v>
      </c>
      <c r="X1947" s="121">
        <f>IF(tech_base!$T203&gt;X$1745,"",(tech_base!$K203/tech_proj!X327*0.086*$J$132)/(1-tech_proj!X607))</f>
        <v>0</v>
      </c>
      <c r="Y1947" s="121">
        <f>IF(tech_base!$T203&gt;Y$1745,"",(tech_base!$K203/tech_proj!Y327*0.086*$J$132)/(1-tech_proj!Y607))</f>
        <v>0</v>
      </c>
      <c r="Z1947" s="121">
        <f>IF(tech_base!$T203&gt;Z$1745,"",(tech_base!$K203/tech_proj!Z327*0.086*$J$132)/(1-tech_proj!Z607))</f>
        <v>0</v>
      </c>
      <c r="AA1947" s="121">
        <f>IF(tech_base!$T203&gt;AA$1745,"",(tech_base!$K203/tech_proj!AA327*0.086*$J$132)/(1-tech_proj!AA607))</f>
        <v>0</v>
      </c>
      <c r="AB1947" s="121">
        <f>IF(tech_base!$T203&gt;AB$1745,"",(tech_base!$K203/tech_proj!AB327*0.086*$J$132)/(1-tech_proj!AB607))</f>
        <v>0</v>
      </c>
      <c r="AC1947" s="121">
        <f>IF(tech_base!$T203&gt;AC$1745,"",(tech_base!$K203/tech_proj!AC327*0.086*$J$132)/(1-tech_proj!AC607))</f>
        <v>0</v>
      </c>
      <c r="AD1947" s="121">
        <f>IF(tech_base!$T203&gt;AD$1745,"",(tech_base!$K203/tech_proj!AD327*0.086*$J$132)/(1-tech_proj!AD607))</f>
        <v>0</v>
      </c>
      <c r="AE1947" s="121">
        <f>IF(tech_base!$T203&gt;AE$1745,"",(tech_base!$K203/tech_proj!AE327*0.086*$J$132)/(1-tech_proj!AE607))</f>
        <v>0</v>
      </c>
      <c r="AF1947" s="121">
        <f>IF(tech_base!$T203&gt;AF$1745,"",(tech_base!$K203/tech_proj!AF327*0.086*$J$132)/(1-tech_proj!AF607))</f>
        <v>0</v>
      </c>
      <c r="AG1947" s="121">
        <f>IF(tech_base!$T203&gt;AG$1745,"",(tech_base!$K203/tech_proj!AG327*0.086*$J$132)/(1-tech_proj!AG607))</f>
        <v>0</v>
      </c>
      <c r="AH1947" s="121">
        <f>IF(tech_base!$T203&gt;AH$1745,"",(tech_base!$K203/tech_proj!AH327*0.086*$J$132)/(1-tech_proj!AH607))</f>
        <v>0</v>
      </c>
      <c r="AI1947" s="121">
        <f>IF(tech_base!$T203&gt;AI$1745,"",(tech_base!$K203/tech_proj!AI327*0.086*$J$132)/(1-tech_proj!AI607))</f>
        <v>0</v>
      </c>
      <c r="AJ1947" s="121">
        <f>IF(tech_base!$T203&gt;AJ$1745,"",(tech_base!$K203/tech_proj!AJ327*0.086*$J$132)/(1-tech_proj!AJ607))</f>
        <v>0</v>
      </c>
      <c r="AK1947" s="121">
        <f>IF(tech_base!$T203&gt;AK$1745,"",(tech_base!$K203/tech_proj!AK327*0.086*$J$132)/(1-tech_proj!AK607))</f>
        <v>0</v>
      </c>
      <c r="AL1947" s="121">
        <f>IF(tech_base!$T203&gt;AL$1745,"",(tech_base!$K203/tech_proj!AL327*0.086*$J$132)/(1-tech_proj!AL607))</f>
        <v>0</v>
      </c>
      <c r="AM1947" s="121">
        <f>IF(tech_base!$T203&gt;AM$1745,"",(tech_base!$K203/tech_proj!AM327*0.086*$J$132)/(1-tech_proj!AM607))</f>
        <v>0</v>
      </c>
      <c r="AN1947" s="121">
        <f>IF(tech_base!$T203&gt;AN$1745,"",(tech_base!$K203/tech_proj!AN327*0.086*$J$132)/(1-tech_proj!AN607))</f>
        <v>0</v>
      </c>
      <c r="AO1947" s="121">
        <f>IF(tech_base!$T203&gt;AO$1745,"",(tech_base!$K203/tech_proj!AO327*0.086*$J$132)/(1-tech_proj!AO607))</f>
        <v>0</v>
      </c>
      <c r="AP1947" s="121">
        <f>IF(tech_base!$T203&gt;AP$1745,"",(tech_base!$K203/tech_proj!AP327*0.086*$J$132)/(1-tech_proj!AP607))</f>
        <v>0</v>
      </c>
      <c r="AQ1947" s="121">
        <f>IF(tech_base!$T203&gt;AQ$1745,"",(tech_base!$K203/tech_proj!AQ327*0.086*$J$132)/(1-tech_proj!AQ607))</f>
        <v>0</v>
      </c>
      <c r="AR1947" s="121">
        <f>IF(tech_base!$T203&gt;AR$1745,"",(tech_base!$K203/tech_proj!AR327*0.086*$J$132)/(1-tech_proj!AR607))</f>
        <v>0</v>
      </c>
      <c r="AS1947" s="121">
        <f>IF(tech_base!$T203&gt;AS$1745,"",(tech_base!$K203/tech_proj!AS327*0.086*$J$132)/(1-tech_proj!AS607))</f>
        <v>0</v>
      </c>
      <c r="AT1947" s="121">
        <f>IF(tech_base!$T203&gt;AT$1745,"",(tech_base!$K203/tech_proj!AT327*0.086*$J$132)/(1-tech_proj!AT607))</f>
        <v>0</v>
      </c>
      <c r="AU1947" s="121">
        <f>IF(tech_base!$T203&gt;AU$1745,"",(tech_base!$K203/tech_proj!AU327*0.086*$J$132)/(1-tech_proj!AU607))</f>
        <v>0</v>
      </c>
      <c r="AV1947" s="121">
        <f>IF(tech_base!$T203&gt;AV$1745,"",(tech_base!$K203/tech_proj!AV327*0.086*$J$132)/(1-tech_proj!AV607))</f>
        <v>0</v>
      </c>
      <c r="AW1947" s="121">
        <f>IF(tech_base!$T203&gt;AW$1745,"",(tech_base!$K203/tech_proj!AW327*0.086*$J$132)/(1-tech_proj!AW607))</f>
        <v>0</v>
      </c>
      <c r="AX1947" s="122">
        <f>IF(tech_base!$T203&gt;AX$1745,"",(tech_base!$K203/tech_proj!AX327*0.086*$J$132)/(1-tech_proj!AX607))</f>
        <v>0</v>
      </c>
    </row>
    <row r="1948" spans="1:50" x14ac:dyDescent="0.25">
      <c r="A1948" s="356"/>
      <c r="B1948" s="376"/>
      <c r="C1948" s="379"/>
      <c r="D1948" s="2" t="s">
        <v>8</v>
      </c>
      <c r="E1948" s="160" t="str">
        <f>A1947&amp;"/"&amp;B1947&amp;"/"&amp;C1947&amp;"/"&amp;D1948</f>
        <v>Biomass and waste fired power plants/Integrated gasification combined cycle/Electricity only/M</v>
      </c>
      <c r="F1948" s="76" t="str">
        <f>A1947</f>
        <v>Biomass and waste fired power plants</v>
      </c>
      <c r="G1948" s="76" t="str">
        <f>B1947</f>
        <v>Integrated gasification combined cycle</v>
      </c>
      <c r="H1948" s="76" t="str">
        <f>C1947</f>
        <v>Electricity only</v>
      </c>
      <c r="I1948" s="161" t="str">
        <f t="shared" si="385"/>
        <v>M</v>
      </c>
      <c r="J1948" s="119">
        <f>IF(tech_base!$T204&gt;J$1745,"",(tech_base!$K204/tech_proj!J328*0.086*$J$132)/(1-tech_proj!J608))</f>
        <v>0</v>
      </c>
      <c r="K1948" s="119">
        <f>IF(tech_base!$T204&gt;K$1745,"",(tech_base!$K204/tech_proj!K328*0.086*$J$132)/(1-tech_proj!K608))</f>
        <v>0</v>
      </c>
      <c r="L1948" s="119">
        <f>IF(tech_base!$T204&gt;L$1745,"",(tech_base!$K204/tech_proj!L328*0.086*$J$132)/(1-tech_proj!L608))</f>
        <v>0</v>
      </c>
      <c r="M1948" s="119">
        <f>IF(tech_base!$T204&gt;M$1745,"",(tech_base!$K204/tech_proj!M328*0.086*$J$132)/(1-tech_proj!M608))</f>
        <v>0</v>
      </c>
      <c r="N1948" s="119">
        <f>IF(tech_base!$T204&gt;N$1745,"",(tech_base!$K204/tech_proj!N328*0.086*$J$132)/(1-tech_proj!N608))</f>
        <v>0</v>
      </c>
      <c r="O1948" s="119">
        <f>IF(tech_base!$T204&gt;O$1745,"",(tech_base!$K204/tech_proj!O328*0.086*$J$132)/(1-tech_proj!O608))</f>
        <v>0</v>
      </c>
      <c r="P1948" s="119">
        <f>IF(tech_base!$T204&gt;P$1745,"",(tech_base!$K204/tech_proj!P328*0.086*$J$132)/(1-tech_proj!P608))</f>
        <v>0</v>
      </c>
      <c r="Q1948" s="119">
        <f>IF(tech_base!$T204&gt;Q$1745,"",(tech_base!$K204/tech_proj!Q328*0.086*$J$132)/(1-tech_proj!Q608))</f>
        <v>0</v>
      </c>
      <c r="R1948" s="119">
        <f>IF(tech_base!$T204&gt;R$1745,"",(tech_base!$K204/tech_proj!R328*0.086*$J$132)/(1-tech_proj!R608))</f>
        <v>0</v>
      </c>
      <c r="S1948" s="119">
        <f>IF(tech_base!$T204&gt;S$1745,"",(tech_base!$K204/tech_proj!S328*0.086*$J$132)/(1-tech_proj!S608))</f>
        <v>0</v>
      </c>
      <c r="T1948" s="119">
        <f>IF(tech_base!$T204&gt;T$1745,"",(tech_base!$K204/tech_proj!T328*0.086*$J$132)/(1-tech_proj!T608))</f>
        <v>0</v>
      </c>
      <c r="U1948" s="119">
        <f>IF(tech_base!$T204&gt;U$1745,"",(tech_base!$K204/tech_proj!U328*0.086*$J$132)/(1-tech_proj!U608))</f>
        <v>0</v>
      </c>
      <c r="V1948" s="119">
        <f>IF(tech_base!$T204&gt;V$1745,"",(tech_base!$K204/tech_proj!V328*0.086*$J$132)/(1-tech_proj!V608))</f>
        <v>0</v>
      </c>
      <c r="W1948" s="119">
        <f>IF(tech_base!$T204&gt;W$1745,"",(tech_base!$K204/tech_proj!W328*0.086*$J$132)/(1-tech_proj!W608))</f>
        <v>0</v>
      </c>
      <c r="X1948" s="119">
        <f>IF(tech_base!$T204&gt;X$1745,"",(tech_base!$K204/tech_proj!X328*0.086*$J$132)/(1-tech_proj!X608))</f>
        <v>0</v>
      </c>
      <c r="Y1948" s="119">
        <f>IF(tech_base!$T204&gt;Y$1745,"",(tech_base!$K204/tech_proj!Y328*0.086*$J$132)/(1-tech_proj!Y608))</f>
        <v>0</v>
      </c>
      <c r="Z1948" s="119">
        <f>IF(tech_base!$T204&gt;Z$1745,"",(tech_base!$K204/tech_proj!Z328*0.086*$J$132)/(1-tech_proj!Z608))</f>
        <v>0</v>
      </c>
      <c r="AA1948" s="119">
        <f>IF(tech_base!$T204&gt;AA$1745,"",(tech_base!$K204/tech_proj!AA328*0.086*$J$132)/(1-tech_proj!AA608))</f>
        <v>0</v>
      </c>
      <c r="AB1948" s="119">
        <f>IF(tech_base!$T204&gt;AB$1745,"",(tech_base!$K204/tech_proj!AB328*0.086*$J$132)/(1-tech_proj!AB608))</f>
        <v>0</v>
      </c>
      <c r="AC1948" s="119">
        <f>IF(tech_base!$T204&gt;AC$1745,"",(tech_base!$K204/tech_proj!AC328*0.086*$J$132)/(1-tech_proj!AC608))</f>
        <v>0</v>
      </c>
      <c r="AD1948" s="119">
        <f>IF(tech_base!$T204&gt;AD$1745,"",(tech_base!$K204/tech_proj!AD328*0.086*$J$132)/(1-tech_proj!AD608))</f>
        <v>0</v>
      </c>
      <c r="AE1948" s="119">
        <f>IF(tech_base!$T204&gt;AE$1745,"",(tech_base!$K204/tech_proj!AE328*0.086*$J$132)/(1-tech_proj!AE608))</f>
        <v>0</v>
      </c>
      <c r="AF1948" s="119">
        <f>IF(tech_base!$T204&gt;AF$1745,"",(tech_base!$K204/tech_proj!AF328*0.086*$J$132)/(1-tech_proj!AF608))</f>
        <v>0</v>
      </c>
      <c r="AG1948" s="119">
        <f>IF(tech_base!$T204&gt;AG$1745,"",(tech_base!$K204/tech_proj!AG328*0.086*$J$132)/(1-tech_proj!AG608))</f>
        <v>0</v>
      </c>
      <c r="AH1948" s="119">
        <f>IF(tech_base!$T204&gt;AH$1745,"",(tech_base!$K204/tech_proj!AH328*0.086*$J$132)/(1-tech_proj!AH608))</f>
        <v>0</v>
      </c>
      <c r="AI1948" s="119">
        <f>IF(tech_base!$T204&gt;AI$1745,"",(tech_base!$K204/tech_proj!AI328*0.086*$J$132)/(1-tech_proj!AI608))</f>
        <v>0</v>
      </c>
      <c r="AJ1948" s="119">
        <f>IF(tech_base!$T204&gt;AJ$1745,"",(tech_base!$K204/tech_proj!AJ328*0.086*$J$132)/(1-tech_proj!AJ608))</f>
        <v>0</v>
      </c>
      <c r="AK1948" s="119">
        <f>IF(tech_base!$T204&gt;AK$1745,"",(tech_base!$K204/tech_proj!AK328*0.086*$J$132)/(1-tech_proj!AK608))</f>
        <v>0</v>
      </c>
      <c r="AL1948" s="119">
        <f>IF(tech_base!$T204&gt;AL$1745,"",(tech_base!$K204/tech_proj!AL328*0.086*$J$132)/(1-tech_proj!AL608))</f>
        <v>0</v>
      </c>
      <c r="AM1948" s="119">
        <f>IF(tech_base!$T204&gt;AM$1745,"",(tech_base!$K204/tech_proj!AM328*0.086*$J$132)/(1-tech_proj!AM608))</f>
        <v>0</v>
      </c>
      <c r="AN1948" s="119">
        <f>IF(tech_base!$T204&gt;AN$1745,"",(tech_base!$K204/tech_proj!AN328*0.086*$J$132)/(1-tech_proj!AN608))</f>
        <v>0</v>
      </c>
      <c r="AO1948" s="119">
        <f>IF(tech_base!$T204&gt;AO$1745,"",(tech_base!$K204/tech_proj!AO328*0.086*$J$132)/(1-tech_proj!AO608))</f>
        <v>0</v>
      </c>
      <c r="AP1948" s="119">
        <f>IF(tech_base!$T204&gt;AP$1745,"",(tech_base!$K204/tech_proj!AP328*0.086*$J$132)/(1-tech_proj!AP608))</f>
        <v>0</v>
      </c>
      <c r="AQ1948" s="119">
        <f>IF(tech_base!$T204&gt;AQ$1745,"",(tech_base!$K204/tech_proj!AQ328*0.086*$J$132)/(1-tech_proj!AQ608))</f>
        <v>0</v>
      </c>
      <c r="AR1948" s="119">
        <f>IF(tech_base!$T204&gt;AR$1745,"",(tech_base!$K204/tech_proj!AR328*0.086*$J$132)/(1-tech_proj!AR608))</f>
        <v>0</v>
      </c>
      <c r="AS1948" s="119">
        <f>IF(tech_base!$T204&gt;AS$1745,"",(tech_base!$K204/tech_proj!AS328*0.086*$J$132)/(1-tech_proj!AS608))</f>
        <v>0</v>
      </c>
      <c r="AT1948" s="119">
        <f>IF(tech_base!$T204&gt;AT$1745,"",(tech_base!$K204/tech_proj!AT328*0.086*$J$132)/(1-tech_proj!AT608))</f>
        <v>0</v>
      </c>
      <c r="AU1948" s="119">
        <f>IF(tech_base!$T204&gt;AU$1745,"",(tech_base!$K204/tech_proj!AU328*0.086*$J$132)/(1-tech_proj!AU608))</f>
        <v>0</v>
      </c>
      <c r="AV1948" s="119">
        <f>IF(tech_base!$T204&gt;AV$1745,"",(tech_base!$K204/tech_proj!AV328*0.086*$J$132)/(1-tech_proj!AV608))</f>
        <v>0</v>
      </c>
      <c r="AW1948" s="119">
        <f>IF(tech_base!$T204&gt;AW$1745,"",(tech_base!$K204/tech_proj!AW328*0.086*$J$132)/(1-tech_proj!AW608))</f>
        <v>0</v>
      </c>
      <c r="AX1948" s="120">
        <f>IF(tech_base!$T204&gt;AX$1745,"",(tech_base!$K204/tech_proj!AX328*0.086*$J$132)/(1-tech_proj!AX608))</f>
        <v>0</v>
      </c>
    </row>
    <row r="1949" spans="1:50" x14ac:dyDescent="0.25">
      <c r="A1949" s="356"/>
      <c r="B1949" s="376"/>
      <c r="C1949" s="361" t="s">
        <v>14</v>
      </c>
      <c r="D1949" s="58" t="s">
        <v>7</v>
      </c>
      <c r="E1949" s="164" t="str">
        <f>A1947&amp;"/"&amp;B1947&amp;"/"&amp;C1949&amp;"/"&amp;D1949</f>
        <v>Biomass and waste fired power plants/Integrated gasification combined cycle/CHP/L</v>
      </c>
      <c r="F1949" s="78" t="str">
        <f>A1947</f>
        <v>Biomass and waste fired power plants</v>
      </c>
      <c r="G1949" s="78" t="str">
        <f>B1947</f>
        <v>Integrated gasification combined cycle</v>
      </c>
      <c r="H1949" s="78" t="str">
        <f>C1949</f>
        <v>CHP</v>
      </c>
      <c r="I1949" s="165" t="str">
        <f t="shared" si="385"/>
        <v>L</v>
      </c>
      <c r="J1949" s="123">
        <f>IF(tech_base!$T205&gt;J$1745,"",(tech_base!$K205/tech_proj!J329*0.086*$J$132)/(1-tech_proj!J609))</f>
        <v>0</v>
      </c>
      <c r="K1949" s="123">
        <f>IF(tech_base!$T205&gt;K$1745,"",(tech_base!$K205/tech_proj!K329*0.086*$J$132)/(1-tech_proj!K609))</f>
        <v>0</v>
      </c>
      <c r="L1949" s="123">
        <f>IF(tech_base!$T205&gt;L$1745,"",(tech_base!$K205/tech_proj!L329*0.086*$J$132)/(1-tech_proj!L609))</f>
        <v>0</v>
      </c>
      <c r="M1949" s="123">
        <f>IF(tech_base!$T205&gt;M$1745,"",(tech_base!$K205/tech_proj!M329*0.086*$J$132)/(1-tech_proj!M609))</f>
        <v>0</v>
      </c>
      <c r="N1949" s="123">
        <f>IF(tech_base!$T205&gt;N$1745,"",(tech_base!$K205/tech_proj!N329*0.086*$J$132)/(1-tech_proj!N609))</f>
        <v>0</v>
      </c>
      <c r="O1949" s="123">
        <f>IF(tech_base!$T205&gt;O$1745,"",(tech_base!$K205/tech_proj!O329*0.086*$J$132)/(1-tech_proj!O609))</f>
        <v>0</v>
      </c>
      <c r="P1949" s="123">
        <f>IF(tech_base!$T205&gt;P$1745,"",(tech_base!$K205/tech_proj!P329*0.086*$J$132)/(1-tech_proj!P609))</f>
        <v>0</v>
      </c>
      <c r="Q1949" s="123">
        <f>IF(tech_base!$T205&gt;Q$1745,"",(tech_base!$K205/tech_proj!Q329*0.086*$J$132)/(1-tech_proj!Q609))</f>
        <v>0</v>
      </c>
      <c r="R1949" s="123">
        <f>IF(tech_base!$T205&gt;R$1745,"",(tech_base!$K205/tech_proj!R329*0.086*$J$132)/(1-tech_proj!R609))</f>
        <v>0</v>
      </c>
      <c r="S1949" s="123">
        <f>IF(tech_base!$T205&gt;S$1745,"",(tech_base!$K205/tech_proj!S329*0.086*$J$132)/(1-tech_proj!S609))</f>
        <v>0</v>
      </c>
      <c r="T1949" s="123">
        <f>IF(tech_base!$T205&gt;T$1745,"",(tech_base!$K205/tech_proj!T329*0.086*$J$132)/(1-tech_proj!T609))</f>
        <v>0</v>
      </c>
      <c r="U1949" s="123">
        <f>IF(tech_base!$T205&gt;U$1745,"",(tech_base!$K205/tech_proj!U329*0.086*$J$132)/(1-tech_proj!U609))</f>
        <v>0</v>
      </c>
      <c r="V1949" s="123">
        <f>IF(tech_base!$T205&gt;V$1745,"",(tech_base!$K205/tech_proj!V329*0.086*$J$132)/(1-tech_proj!V609))</f>
        <v>0</v>
      </c>
      <c r="W1949" s="123">
        <f>IF(tech_base!$T205&gt;W$1745,"",(tech_base!$K205/tech_proj!W329*0.086*$J$132)/(1-tech_proj!W609))</f>
        <v>0</v>
      </c>
      <c r="X1949" s="123">
        <f>IF(tech_base!$T205&gt;X$1745,"",(tech_base!$K205/tech_proj!X329*0.086*$J$132)/(1-tech_proj!X609))</f>
        <v>0</v>
      </c>
      <c r="Y1949" s="123">
        <f>IF(tech_base!$T205&gt;Y$1745,"",(tech_base!$K205/tech_proj!Y329*0.086*$J$132)/(1-tech_proj!Y609))</f>
        <v>0</v>
      </c>
      <c r="Z1949" s="123">
        <f>IF(tech_base!$T205&gt;Z$1745,"",(tech_base!$K205/tech_proj!Z329*0.086*$J$132)/(1-tech_proj!Z609))</f>
        <v>0</v>
      </c>
      <c r="AA1949" s="123">
        <f>IF(tech_base!$T205&gt;AA$1745,"",(tech_base!$K205/tech_proj!AA329*0.086*$J$132)/(1-tech_proj!AA609))</f>
        <v>0</v>
      </c>
      <c r="AB1949" s="123">
        <f>IF(tech_base!$T205&gt;AB$1745,"",(tech_base!$K205/tech_proj!AB329*0.086*$J$132)/(1-tech_proj!AB609))</f>
        <v>0</v>
      </c>
      <c r="AC1949" s="123">
        <f>IF(tech_base!$T205&gt;AC$1745,"",(tech_base!$K205/tech_proj!AC329*0.086*$J$132)/(1-tech_proj!AC609))</f>
        <v>0</v>
      </c>
      <c r="AD1949" s="123">
        <f>IF(tech_base!$T205&gt;AD$1745,"",(tech_base!$K205/tech_proj!AD329*0.086*$J$132)/(1-tech_proj!AD609))</f>
        <v>0</v>
      </c>
      <c r="AE1949" s="123">
        <f>IF(tech_base!$T205&gt;AE$1745,"",(tech_base!$K205/tech_proj!AE329*0.086*$J$132)/(1-tech_proj!AE609))</f>
        <v>0</v>
      </c>
      <c r="AF1949" s="123">
        <f>IF(tech_base!$T205&gt;AF$1745,"",(tech_base!$K205/tech_proj!AF329*0.086*$J$132)/(1-tech_proj!AF609))</f>
        <v>0</v>
      </c>
      <c r="AG1949" s="123">
        <f>IF(tech_base!$T205&gt;AG$1745,"",(tech_base!$K205/tech_proj!AG329*0.086*$J$132)/(1-tech_proj!AG609))</f>
        <v>0</v>
      </c>
      <c r="AH1949" s="123">
        <f>IF(tech_base!$T205&gt;AH$1745,"",(tech_base!$K205/tech_proj!AH329*0.086*$J$132)/(1-tech_proj!AH609))</f>
        <v>0</v>
      </c>
      <c r="AI1949" s="123">
        <f>IF(tech_base!$T205&gt;AI$1745,"",(tech_base!$K205/tech_proj!AI329*0.086*$J$132)/(1-tech_proj!AI609))</f>
        <v>0</v>
      </c>
      <c r="AJ1949" s="123">
        <f>IF(tech_base!$T205&gt;AJ$1745,"",(tech_base!$K205/tech_proj!AJ329*0.086*$J$132)/(1-tech_proj!AJ609))</f>
        <v>0</v>
      </c>
      <c r="AK1949" s="123">
        <f>IF(tech_base!$T205&gt;AK$1745,"",(tech_base!$K205/tech_proj!AK329*0.086*$J$132)/(1-tech_proj!AK609))</f>
        <v>0</v>
      </c>
      <c r="AL1949" s="123">
        <f>IF(tech_base!$T205&gt;AL$1745,"",(tech_base!$K205/tech_proj!AL329*0.086*$J$132)/(1-tech_proj!AL609))</f>
        <v>0</v>
      </c>
      <c r="AM1949" s="123">
        <f>IF(tech_base!$T205&gt;AM$1745,"",(tech_base!$K205/tech_proj!AM329*0.086*$J$132)/(1-tech_proj!AM609))</f>
        <v>0</v>
      </c>
      <c r="AN1949" s="123">
        <f>IF(tech_base!$T205&gt;AN$1745,"",(tech_base!$K205/tech_proj!AN329*0.086*$J$132)/(1-tech_proj!AN609))</f>
        <v>0</v>
      </c>
      <c r="AO1949" s="123">
        <f>IF(tech_base!$T205&gt;AO$1745,"",(tech_base!$K205/tech_proj!AO329*0.086*$J$132)/(1-tech_proj!AO609))</f>
        <v>0</v>
      </c>
      <c r="AP1949" s="123">
        <f>IF(tech_base!$T205&gt;AP$1745,"",(tech_base!$K205/tech_proj!AP329*0.086*$J$132)/(1-tech_proj!AP609))</f>
        <v>0</v>
      </c>
      <c r="AQ1949" s="123">
        <f>IF(tech_base!$T205&gt;AQ$1745,"",(tech_base!$K205/tech_proj!AQ329*0.086*$J$132)/(1-tech_proj!AQ609))</f>
        <v>0</v>
      </c>
      <c r="AR1949" s="123">
        <f>IF(tech_base!$T205&gt;AR$1745,"",(tech_base!$K205/tech_proj!AR329*0.086*$J$132)/(1-tech_proj!AR609))</f>
        <v>0</v>
      </c>
      <c r="AS1949" s="123">
        <f>IF(tech_base!$T205&gt;AS$1745,"",(tech_base!$K205/tech_proj!AS329*0.086*$J$132)/(1-tech_proj!AS609))</f>
        <v>0</v>
      </c>
      <c r="AT1949" s="123">
        <f>IF(tech_base!$T205&gt;AT$1745,"",(tech_base!$K205/tech_proj!AT329*0.086*$J$132)/(1-tech_proj!AT609))</f>
        <v>0</v>
      </c>
      <c r="AU1949" s="123">
        <f>IF(tech_base!$T205&gt;AU$1745,"",(tech_base!$K205/tech_proj!AU329*0.086*$J$132)/(1-tech_proj!AU609))</f>
        <v>0</v>
      </c>
      <c r="AV1949" s="123">
        <f>IF(tech_base!$T205&gt;AV$1745,"",(tech_base!$K205/tech_proj!AV329*0.086*$J$132)/(1-tech_proj!AV609))</f>
        <v>0</v>
      </c>
      <c r="AW1949" s="123">
        <f>IF(tech_base!$T205&gt;AW$1745,"",(tech_base!$K205/tech_proj!AW329*0.086*$J$132)/(1-tech_proj!AW609))</f>
        <v>0</v>
      </c>
      <c r="AX1949" s="124">
        <f>IF(tech_base!$T205&gt;AX$1745,"",(tech_base!$K205/tech_proj!AX329*0.086*$J$132)/(1-tech_proj!AX609))</f>
        <v>0</v>
      </c>
    </row>
    <row r="1950" spans="1:50" x14ac:dyDescent="0.25">
      <c r="A1950" s="356"/>
      <c r="B1950" s="376"/>
      <c r="C1950" s="379"/>
      <c r="D1950" s="59" t="s">
        <v>8</v>
      </c>
      <c r="E1950" s="166" t="str">
        <f>A1947&amp;"/"&amp;B1947&amp;"/"&amp;C1949&amp;"/"&amp;D1950</f>
        <v>Biomass and waste fired power plants/Integrated gasification combined cycle/CHP/M</v>
      </c>
      <c r="F1950" s="79" t="str">
        <f>A1947</f>
        <v>Biomass and waste fired power plants</v>
      </c>
      <c r="G1950" s="79" t="str">
        <f>B1947</f>
        <v>Integrated gasification combined cycle</v>
      </c>
      <c r="H1950" s="79" t="str">
        <f>C1949</f>
        <v>CHP</v>
      </c>
      <c r="I1950" s="167" t="str">
        <f t="shared" si="385"/>
        <v>M</v>
      </c>
      <c r="J1950" s="125">
        <f>IF(tech_base!$T206&gt;J$1745,"",(tech_base!$K206/tech_proj!J330*0.086*$J$132)/(1-tech_proj!J610))</f>
        <v>0</v>
      </c>
      <c r="K1950" s="125">
        <f>IF(tech_base!$T206&gt;K$1745,"",(tech_base!$K206/tech_proj!K330*0.086*$J$132)/(1-tech_proj!K610))</f>
        <v>0</v>
      </c>
      <c r="L1950" s="125">
        <f>IF(tech_base!$T206&gt;L$1745,"",(tech_base!$K206/tech_proj!L330*0.086*$J$132)/(1-tech_proj!L610))</f>
        <v>0</v>
      </c>
      <c r="M1950" s="125">
        <f>IF(tech_base!$T206&gt;M$1745,"",(tech_base!$K206/tech_proj!M330*0.086*$J$132)/(1-tech_proj!M610))</f>
        <v>0</v>
      </c>
      <c r="N1950" s="125">
        <f>IF(tech_base!$T206&gt;N$1745,"",(tech_base!$K206/tech_proj!N330*0.086*$J$132)/(1-tech_proj!N610))</f>
        <v>0</v>
      </c>
      <c r="O1950" s="125">
        <f>IF(tech_base!$T206&gt;O$1745,"",(tech_base!$K206/tech_proj!O330*0.086*$J$132)/(1-tech_proj!O610))</f>
        <v>0</v>
      </c>
      <c r="P1950" s="125">
        <f>IF(tech_base!$T206&gt;P$1745,"",(tech_base!$K206/tech_proj!P330*0.086*$J$132)/(1-tech_proj!P610))</f>
        <v>0</v>
      </c>
      <c r="Q1950" s="125">
        <f>IF(tech_base!$T206&gt;Q$1745,"",(tech_base!$K206/tech_proj!Q330*0.086*$J$132)/(1-tech_proj!Q610))</f>
        <v>0</v>
      </c>
      <c r="R1950" s="125">
        <f>IF(tech_base!$T206&gt;R$1745,"",(tech_base!$K206/tech_proj!R330*0.086*$J$132)/(1-tech_proj!R610))</f>
        <v>0</v>
      </c>
      <c r="S1950" s="125">
        <f>IF(tech_base!$T206&gt;S$1745,"",(tech_base!$K206/tech_proj!S330*0.086*$J$132)/(1-tech_proj!S610))</f>
        <v>0</v>
      </c>
      <c r="T1950" s="125">
        <f>IF(tech_base!$T206&gt;T$1745,"",(tech_base!$K206/tech_proj!T330*0.086*$J$132)/(1-tech_proj!T610))</f>
        <v>0</v>
      </c>
      <c r="U1950" s="125">
        <f>IF(tech_base!$T206&gt;U$1745,"",(tech_base!$K206/tech_proj!U330*0.086*$J$132)/(1-tech_proj!U610))</f>
        <v>0</v>
      </c>
      <c r="V1950" s="125">
        <f>IF(tech_base!$T206&gt;V$1745,"",(tech_base!$K206/tech_proj!V330*0.086*$J$132)/(1-tech_proj!V610))</f>
        <v>0</v>
      </c>
      <c r="W1950" s="125">
        <f>IF(tech_base!$T206&gt;W$1745,"",(tech_base!$K206/tech_proj!W330*0.086*$J$132)/(1-tech_proj!W610))</f>
        <v>0</v>
      </c>
      <c r="X1950" s="125">
        <f>IF(tech_base!$T206&gt;X$1745,"",(tech_base!$K206/tech_proj!X330*0.086*$J$132)/(1-tech_proj!X610))</f>
        <v>0</v>
      </c>
      <c r="Y1950" s="125">
        <f>IF(tech_base!$T206&gt;Y$1745,"",(tech_base!$K206/tech_proj!Y330*0.086*$J$132)/(1-tech_proj!Y610))</f>
        <v>0</v>
      </c>
      <c r="Z1950" s="125">
        <f>IF(tech_base!$T206&gt;Z$1745,"",(tech_base!$K206/tech_proj!Z330*0.086*$J$132)/(1-tech_proj!Z610))</f>
        <v>0</v>
      </c>
      <c r="AA1950" s="125">
        <f>IF(tech_base!$T206&gt;AA$1745,"",(tech_base!$K206/tech_proj!AA330*0.086*$J$132)/(1-tech_proj!AA610))</f>
        <v>0</v>
      </c>
      <c r="AB1950" s="125">
        <f>IF(tech_base!$T206&gt;AB$1745,"",(tech_base!$K206/tech_proj!AB330*0.086*$J$132)/(1-tech_proj!AB610))</f>
        <v>0</v>
      </c>
      <c r="AC1950" s="125">
        <f>IF(tech_base!$T206&gt;AC$1745,"",(tech_base!$K206/tech_proj!AC330*0.086*$J$132)/(1-tech_proj!AC610))</f>
        <v>0</v>
      </c>
      <c r="AD1950" s="125">
        <f>IF(tech_base!$T206&gt;AD$1745,"",(tech_base!$K206/tech_proj!AD330*0.086*$J$132)/(1-tech_proj!AD610))</f>
        <v>0</v>
      </c>
      <c r="AE1950" s="125">
        <f>IF(tech_base!$T206&gt;AE$1745,"",(tech_base!$K206/tech_proj!AE330*0.086*$J$132)/(1-tech_proj!AE610))</f>
        <v>0</v>
      </c>
      <c r="AF1950" s="125">
        <f>IF(tech_base!$T206&gt;AF$1745,"",(tech_base!$K206/tech_proj!AF330*0.086*$J$132)/(1-tech_proj!AF610))</f>
        <v>0</v>
      </c>
      <c r="AG1950" s="125">
        <f>IF(tech_base!$T206&gt;AG$1745,"",(tech_base!$K206/tech_proj!AG330*0.086*$J$132)/(1-tech_proj!AG610))</f>
        <v>0</v>
      </c>
      <c r="AH1950" s="125">
        <f>IF(tech_base!$T206&gt;AH$1745,"",(tech_base!$K206/tech_proj!AH330*0.086*$J$132)/(1-tech_proj!AH610))</f>
        <v>0</v>
      </c>
      <c r="AI1950" s="125">
        <f>IF(tech_base!$T206&gt;AI$1745,"",(tech_base!$K206/tech_proj!AI330*0.086*$J$132)/(1-tech_proj!AI610))</f>
        <v>0</v>
      </c>
      <c r="AJ1950" s="125">
        <f>IF(tech_base!$T206&gt;AJ$1745,"",(tech_base!$K206/tech_proj!AJ330*0.086*$J$132)/(1-tech_proj!AJ610))</f>
        <v>0</v>
      </c>
      <c r="AK1950" s="125">
        <f>IF(tech_base!$T206&gt;AK$1745,"",(tech_base!$K206/tech_proj!AK330*0.086*$J$132)/(1-tech_proj!AK610))</f>
        <v>0</v>
      </c>
      <c r="AL1950" s="125">
        <f>IF(tech_base!$T206&gt;AL$1745,"",(tech_base!$K206/tech_proj!AL330*0.086*$J$132)/(1-tech_proj!AL610))</f>
        <v>0</v>
      </c>
      <c r="AM1950" s="125">
        <f>IF(tech_base!$T206&gt;AM$1745,"",(tech_base!$K206/tech_proj!AM330*0.086*$J$132)/(1-tech_proj!AM610))</f>
        <v>0</v>
      </c>
      <c r="AN1950" s="125">
        <f>IF(tech_base!$T206&gt;AN$1745,"",(tech_base!$K206/tech_proj!AN330*0.086*$J$132)/(1-tech_proj!AN610))</f>
        <v>0</v>
      </c>
      <c r="AO1950" s="125">
        <f>IF(tech_base!$T206&gt;AO$1745,"",(tech_base!$K206/tech_proj!AO330*0.086*$J$132)/(1-tech_proj!AO610))</f>
        <v>0</v>
      </c>
      <c r="AP1950" s="125">
        <f>IF(tech_base!$T206&gt;AP$1745,"",(tech_base!$K206/tech_proj!AP330*0.086*$J$132)/(1-tech_proj!AP610))</f>
        <v>0</v>
      </c>
      <c r="AQ1950" s="125">
        <f>IF(tech_base!$T206&gt;AQ$1745,"",(tech_base!$K206/tech_proj!AQ330*0.086*$J$132)/(1-tech_proj!AQ610))</f>
        <v>0</v>
      </c>
      <c r="AR1950" s="125">
        <f>IF(tech_base!$T206&gt;AR$1745,"",(tech_base!$K206/tech_proj!AR330*0.086*$J$132)/(1-tech_proj!AR610))</f>
        <v>0</v>
      </c>
      <c r="AS1950" s="125">
        <f>IF(tech_base!$T206&gt;AS$1745,"",(tech_base!$K206/tech_proj!AS330*0.086*$J$132)/(1-tech_proj!AS610))</f>
        <v>0</v>
      </c>
      <c r="AT1950" s="125">
        <f>IF(tech_base!$T206&gt;AT$1745,"",(tech_base!$K206/tech_proj!AT330*0.086*$J$132)/(1-tech_proj!AT610))</f>
        <v>0</v>
      </c>
      <c r="AU1950" s="125">
        <f>IF(tech_base!$T206&gt;AU$1745,"",(tech_base!$K206/tech_proj!AU330*0.086*$J$132)/(1-tech_proj!AU610))</f>
        <v>0</v>
      </c>
      <c r="AV1950" s="125">
        <f>IF(tech_base!$T206&gt;AV$1745,"",(tech_base!$K206/tech_proj!AV330*0.086*$J$132)/(1-tech_proj!AV610))</f>
        <v>0</v>
      </c>
      <c r="AW1950" s="125">
        <f>IF(tech_base!$T206&gt;AW$1745,"",(tech_base!$K206/tech_proj!AW330*0.086*$J$132)/(1-tech_proj!AW610))</f>
        <v>0</v>
      </c>
      <c r="AX1950" s="126">
        <f>IF(tech_base!$T206&gt;AX$1745,"",(tech_base!$K206/tech_proj!AX330*0.086*$J$132)/(1-tech_proj!AX610))</f>
        <v>0</v>
      </c>
    </row>
    <row r="1951" spans="1:50" x14ac:dyDescent="0.25">
      <c r="A1951" s="356"/>
      <c r="B1951" s="376"/>
      <c r="C1951" s="361" t="s">
        <v>15</v>
      </c>
      <c r="D1951" s="58" t="s">
        <v>7</v>
      </c>
      <c r="E1951" s="164" t="str">
        <f>A1947&amp;"/"&amp;B1947&amp;"/"&amp;C1951&amp;"/"&amp;D1951</f>
        <v>Biomass and waste fired power plants/Integrated gasification combined cycle/Electricity only with CCS/L</v>
      </c>
      <c r="F1951" s="78" t="str">
        <f>A1947</f>
        <v>Biomass and waste fired power plants</v>
      </c>
      <c r="G1951" s="78" t="str">
        <f>B1947</f>
        <v>Integrated gasification combined cycle</v>
      </c>
      <c r="H1951" s="78" t="str">
        <f>C1951</f>
        <v>Electricity only with CCS</v>
      </c>
      <c r="I1951" s="165" t="str">
        <f t="shared" si="385"/>
        <v>L</v>
      </c>
      <c r="J1951" s="123" t="str">
        <f>IF(tech_base!$T207&gt;J$1745,"",(tech_base!$K207/tech_proj!J331*0.086*$J$132)/(1-tech_proj!J611))</f>
        <v/>
      </c>
      <c r="K1951" s="123" t="str">
        <f>IF(tech_base!$T207&gt;K$1745,"",(tech_base!$K207/tech_proj!K331*0.086*$J$132)/(1-tech_proj!K611))</f>
        <v/>
      </c>
      <c r="L1951" s="123" t="str">
        <f>IF(tech_base!$T207&gt;L$1745,"",(tech_base!$K207/tech_proj!L331*0.086*$J$132)/(1-tech_proj!L611))</f>
        <v/>
      </c>
      <c r="M1951" s="123" t="str">
        <f>IF(tech_base!$T207&gt;M$1745,"",(tech_base!$K207/tech_proj!M331*0.086*$J$132)/(1-tech_proj!M611))</f>
        <v/>
      </c>
      <c r="N1951" s="123" t="str">
        <f>IF(tech_base!$T207&gt;N$1745,"",(tech_base!$K207/tech_proj!N331*0.086*$J$132)/(1-tech_proj!N611))</f>
        <v/>
      </c>
      <c r="O1951" s="123" t="str">
        <f>IF(tech_base!$T207&gt;O$1745,"",(tech_base!$K207/tech_proj!O331*0.086*$J$132)/(1-tech_proj!O611))</f>
        <v/>
      </c>
      <c r="P1951" s="123" t="str">
        <f>IF(tech_base!$T207&gt;P$1745,"",(tech_base!$K207/tech_proj!P331*0.086*$J$132)/(1-tech_proj!P611))</f>
        <v/>
      </c>
      <c r="Q1951" s="123" t="str">
        <f>IF(tech_base!$T207&gt;Q$1745,"",(tech_base!$K207/tech_proj!Q331*0.086*$J$132)/(1-tech_proj!Q611))</f>
        <v/>
      </c>
      <c r="R1951" s="123" t="str">
        <f>IF(tech_base!$T207&gt;R$1745,"",(tech_base!$K207/tech_proj!R331*0.086*$J$132)/(1-tech_proj!R611))</f>
        <v/>
      </c>
      <c r="S1951" s="123" t="str">
        <f>IF(tech_base!$T207&gt;S$1745,"",(tech_base!$K207/tech_proj!S331*0.086*$J$132)/(1-tech_proj!S611))</f>
        <v/>
      </c>
      <c r="T1951" s="123" t="str">
        <f>IF(tech_base!$T207&gt;T$1745,"",(tech_base!$K207/tech_proj!T331*0.086*$J$132)/(1-tech_proj!T611))</f>
        <v/>
      </c>
      <c r="U1951" s="123" t="str">
        <f>IF(tech_base!$T207&gt;U$1745,"",(tech_base!$K207/tech_proj!U331*0.086*$J$132)/(1-tech_proj!U611))</f>
        <v/>
      </c>
      <c r="V1951" s="123" t="str">
        <f>IF(tech_base!$T207&gt;V$1745,"",(tech_base!$K207/tech_proj!V331*0.086*$J$132)/(1-tech_proj!V611))</f>
        <v/>
      </c>
      <c r="W1951" s="123" t="str">
        <f>IF(tech_base!$T207&gt;W$1745,"",(tech_base!$K207/tech_proj!W331*0.086*$J$132)/(1-tech_proj!W611))</f>
        <v/>
      </c>
      <c r="X1951" s="123" t="str">
        <f>IF(tech_base!$T207&gt;X$1745,"",(tech_base!$K207/tech_proj!X331*0.086*$J$132)/(1-tech_proj!X611))</f>
        <v/>
      </c>
      <c r="Y1951" s="123" t="str">
        <f>IF(tech_base!$T207&gt;Y$1745,"",(tech_base!$K207/tech_proj!Y331*0.086*$J$132)/(1-tech_proj!Y611))</f>
        <v/>
      </c>
      <c r="Z1951" s="123" t="str">
        <f>IF(tech_base!$T207&gt;Z$1745,"",(tech_base!$K207/tech_proj!Z331*0.086*$J$132)/(1-tech_proj!Z611))</f>
        <v/>
      </c>
      <c r="AA1951" s="123" t="str">
        <f>IF(tech_base!$T207&gt;AA$1745,"",(tech_base!$K207/tech_proj!AA331*0.086*$J$132)/(1-tech_proj!AA611))</f>
        <v/>
      </c>
      <c r="AB1951" s="123" t="str">
        <f>IF(tech_base!$T207&gt;AB$1745,"",(tech_base!$K207/tech_proj!AB331*0.086*$J$132)/(1-tech_proj!AB611))</f>
        <v/>
      </c>
      <c r="AC1951" s="123" t="str">
        <f>IF(tech_base!$T207&gt;AC$1745,"",(tech_base!$K207/tech_proj!AC331*0.086*$J$132)/(1-tech_proj!AC611))</f>
        <v/>
      </c>
      <c r="AD1951" s="123" t="str">
        <f>IF(tech_base!$T207&gt;AD$1745,"",(tech_base!$K207/tech_proj!AD331*0.086*$J$132)/(1-tech_proj!AD611))</f>
        <v/>
      </c>
      <c r="AE1951" s="123">
        <f>IF(tech_base!$T207&gt;AE$1745,"",(tech_base!$K207/tech_proj!AE331*0.086*$J$132)/(1-tech_proj!AE611))</f>
        <v>0</v>
      </c>
      <c r="AF1951" s="123">
        <f>IF(tech_base!$T207&gt;AF$1745,"",(tech_base!$K207/tech_proj!AF331*0.086*$J$132)/(1-tech_proj!AF611))</f>
        <v>0</v>
      </c>
      <c r="AG1951" s="123">
        <f>IF(tech_base!$T207&gt;AG$1745,"",(tech_base!$K207/tech_proj!AG331*0.086*$J$132)/(1-tech_proj!AG611))</f>
        <v>0</v>
      </c>
      <c r="AH1951" s="123">
        <f>IF(tech_base!$T207&gt;AH$1745,"",(tech_base!$K207/tech_proj!AH331*0.086*$J$132)/(1-tech_proj!AH611))</f>
        <v>0</v>
      </c>
      <c r="AI1951" s="123">
        <f>IF(tech_base!$T207&gt;AI$1745,"",(tech_base!$K207/tech_proj!AI331*0.086*$J$132)/(1-tech_proj!AI611))</f>
        <v>0</v>
      </c>
      <c r="AJ1951" s="123">
        <f>IF(tech_base!$T207&gt;AJ$1745,"",(tech_base!$K207/tech_proj!AJ331*0.086*$J$132)/(1-tech_proj!AJ611))</f>
        <v>0</v>
      </c>
      <c r="AK1951" s="123">
        <f>IF(tech_base!$T207&gt;AK$1745,"",(tech_base!$K207/tech_proj!AK331*0.086*$J$132)/(1-tech_proj!AK611))</f>
        <v>0</v>
      </c>
      <c r="AL1951" s="123">
        <f>IF(tech_base!$T207&gt;AL$1745,"",(tech_base!$K207/tech_proj!AL331*0.086*$J$132)/(1-tech_proj!AL611))</f>
        <v>0</v>
      </c>
      <c r="AM1951" s="123">
        <f>IF(tech_base!$T207&gt;AM$1745,"",(tech_base!$K207/tech_proj!AM331*0.086*$J$132)/(1-tech_proj!AM611))</f>
        <v>0</v>
      </c>
      <c r="AN1951" s="123">
        <f>IF(tech_base!$T207&gt;AN$1745,"",(tech_base!$K207/tech_proj!AN331*0.086*$J$132)/(1-tech_proj!AN611))</f>
        <v>0</v>
      </c>
      <c r="AO1951" s="123">
        <f>IF(tech_base!$T207&gt;AO$1745,"",(tech_base!$K207/tech_proj!AO331*0.086*$J$132)/(1-tech_proj!AO611))</f>
        <v>0</v>
      </c>
      <c r="AP1951" s="123">
        <f>IF(tech_base!$T207&gt;AP$1745,"",(tech_base!$K207/tech_proj!AP331*0.086*$J$132)/(1-tech_proj!AP611))</f>
        <v>0</v>
      </c>
      <c r="AQ1951" s="123">
        <f>IF(tech_base!$T207&gt;AQ$1745,"",(tech_base!$K207/tech_proj!AQ331*0.086*$J$132)/(1-tech_proj!AQ611))</f>
        <v>0</v>
      </c>
      <c r="AR1951" s="123">
        <f>IF(tech_base!$T207&gt;AR$1745,"",(tech_base!$K207/tech_proj!AR331*0.086*$J$132)/(1-tech_proj!AR611))</f>
        <v>0</v>
      </c>
      <c r="AS1951" s="123">
        <f>IF(tech_base!$T207&gt;AS$1745,"",(tech_base!$K207/tech_proj!AS331*0.086*$J$132)/(1-tech_proj!AS611))</f>
        <v>0</v>
      </c>
      <c r="AT1951" s="123">
        <f>IF(tech_base!$T207&gt;AT$1745,"",(tech_base!$K207/tech_proj!AT331*0.086*$J$132)/(1-tech_proj!AT611))</f>
        <v>0</v>
      </c>
      <c r="AU1951" s="123">
        <f>IF(tech_base!$T207&gt;AU$1745,"",(tech_base!$K207/tech_proj!AU331*0.086*$J$132)/(1-tech_proj!AU611))</f>
        <v>0</v>
      </c>
      <c r="AV1951" s="123">
        <f>IF(tech_base!$T207&gt;AV$1745,"",(tech_base!$K207/tech_proj!AV331*0.086*$J$132)/(1-tech_proj!AV611))</f>
        <v>0</v>
      </c>
      <c r="AW1951" s="123">
        <f>IF(tech_base!$T207&gt;AW$1745,"",(tech_base!$K207/tech_proj!AW331*0.086*$J$132)/(1-tech_proj!AW611))</f>
        <v>0</v>
      </c>
      <c r="AX1951" s="124">
        <f>IF(tech_base!$T207&gt;AX$1745,"",(tech_base!$K207/tech_proj!AX331*0.086*$J$132)/(1-tech_proj!AX611))</f>
        <v>0</v>
      </c>
    </row>
    <row r="1952" spans="1:50" x14ac:dyDescent="0.25">
      <c r="A1952" s="356"/>
      <c r="B1952" s="376"/>
      <c r="C1952" s="379"/>
      <c r="D1952" s="59" t="s">
        <v>8</v>
      </c>
      <c r="E1952" s="166" t="str">
        <f>A1947&amp;"/"&amp;B1947&amp;"/"&amp;C1951&amp;"/"&amp;D1952</f>
        <v>Biomass and waste fired power plants/Integrated gasification combined cycle/Electricity only with CCS/M</v>
      </c>
      <c r="F1952" s="79" t="str">
        <f>A1947</f>
        <v>Biomass and waste fired power plants</v>
      </c>
      <c r="G1952" s="79" t="str">
        <f>B1947</f>
        <v>Integrated gasification combined cycle</v>
      </c>
      <c r="H1952" s="79" t="str">
        <f>C1951</f>
        <v>Electricity only with CCS</v>
      </c>
      <c r="I1952" s="167" t="str">
        <f t="shared" si="385"/>
        <v>M</v>
      </c>
      <c r="J1952" s="125" t="str">
        <f>IF(tech_base!$T208&gt;J$1745,"",(tech_base!$K208/tech_proj!J332*0.086*$J$132)/(1-tech_proj!J612))</f>
        <v/>
      </c>
      <c r="K1952" s="125" t="str">
        <f>IF(tech_base!$T208&gt;K$1745,"",(tech_base!$K208/tech_proj!K332*0.086*$J$132)/(1-tech_proj!K612))</f>
        <v/>
      </c>
      <c r="L1952" s="125" t="str">
        <f>IF(tech_base!$T208&gt;L$1745,"",(tech_base!$K208/tech_proj!L332*0.086*$J$132)/(1-tech_proj!L612))</f>
        <v/>
      </c>
      <c r="M1952" s="125" t="str">
        <f>IF(tech_base!$T208&gt;M$1745,"",(tech_base!$K208/tech_proj!M332*0.086*$J$132)/(1-tech_proj!M612))</f>
        <v/>
      </c>
      <c r="N1952" s="125" t="str">
        <f>IF(tech_base!$T208&gt;N$1745,"",(tech_base!$K208/tech_proj!N332*0.086*$J$132)/(1-tech_proj!N612))</f>
        <v/>
      </c>
      <c r="O1952" s="125" t="str">
        <f>IF(tech_base!$T208&gt;O$1745,"",(tech_base!$K208/tech_proj!O332*0.086*$J$132)/(1-tech_proj!O612))</f>
        <v/>
      </c>
      <c r="P1952" s="125" t="str">
        <f>IF(tech_base!$T208&gt;P$1745,"",(tech_base!$K208/tech_proj!P332*0.086*$J$132)/(1-tech_proj!P612))</f>
        <v/>
      </c>
      <c r="Q1952" s="125" t="str">
        <f>IF(tech_base!$T208&gt;Q$1745,"",(tech_base!$K208/tech_proj!Q332*0.086*$J$132)/(1-tech_proj!Q612))</f>
        <v/>
      </c>
      <c r="R1952" s="125" t="str">
        <f>IF(tech_base!$T208&gt;R$1745,"",(tech_base!$K208/tech_proj!R332*0.086*$J$132)/(1-tech_proj!R612))</f>
        <v/>
      </c>
      <c r="S1952" s="125" t="str">
        <f>IF(tech_base!$T208&gt;S$1745,"",(tech_base!$K208/tech_proj!S332*0.086*$J$132)/(1-tech_proj!S612))</f>
        <v/>
      </c>
      <c r="T1952" s="125" t="str">
        <f>IF(tech_base!$T208&gt;T$1745,"",(tech_base!$K208/tech_proj!T332*0.086*$J$132)/(1-tech_proj!T612))</f>
        <v/>
      </c>
      <c r="U1952" s="125" t="str">
        <f>IF(tech_base!$T208&gt;U$1745,"",(tech_base!$K208/tech_proj!U332*0.086*$J$132)/(1-tech_proj!U612))</f>
        <v/>
      </c>
      <c r="V1952" s="125" t="str">
        <f>IF(tech_base!$T208&gt;V$1745,"",(tech_base!$K208/tech_proj!V332*0.086*$J$132)/(1-tech_proj!V612))</f>
        <v/>
      </c>
      <c r="W1952" s="125" t="str">
        <f>IF(tech_base!$T208&gt;W$1745,"",(tech_base!$K208/tech_proj!W332*0.086*$J$132)/(1-tech_proj!W612))</f>
        <v/>
      </c>
      <c r="X1952" s="125" t="str">
        <f>IF(tech_base!$T208&gt;X$1745,"",(tech_base!$K208/tech_proj!X332*0.086*$J$132)/(1-tech_proj!X612))</f>
        <v/>
      </c>
      <c r="Y1952" s="125" t="str">
        <f>IF(tech_base!$T208&gt;Y$1745,"",(tech_base!$K208/tech_proj!Y332*0.086*$J$132)/(1-tech_proj!Y612))</f>
        <v/>
      </c>
      <c r="Z1952" s="125" t="str">
        <f>IF(tech_base!$T208&gt;Z$1745,"",(tech_base!$K208/tech_proj!Z332*0.086*$J$132)/(1-tech_proj!Z612))</f>
        <v/>
      </c>
      <c r="AA1952" s="125" t="str">
        <f>IF(tech_base!$T208&gt;AA$1745,"",(tech_base!$K208/tech_proj!AA332*0.086*$J$132)/(1-tech_proj!AA612))</f>
        <v/>
      </c>
      <c r="AB1952" s="125" t="str">
        <f>IF(tech_base!$T208&gt;AB$1745,"",(tech_base!$K208/tech_proj!AB332*0.086*$J$132)/(1-tech_proj!AB612))</f>
        <v/>
      </c>
      <c r="AC1952" s="125" t="str">
        <f>IF(tech_base!$T208&gt;AC$1745,"",(tech_base!$K208/tech_proj!AC332*0.086*$J$132)/(1-tech_proj!AC612))</f>
        <v/>
      </c>
      <c r="AD1952" s="125" t="str">
        <f>IF(tech_base!$T208&gt;AD$1745,"",(tech_base!$K208/tech_proj!AD332*0.086*$J$132)/(1-tech_proj!AD612))</f>
        <v/>
      </c>
      <c r="AE1952" s="125">
        <f>IF(tech_base!$T208&gt;AE$1745,"",(tech_base!$K208/tech_proj!AE332*0.086*$J$132)/(1-tech_proj!AE612))</f>
        <v>0</v>
      </c>
      <c r="AF1952" s="125">
        <f>IF(tech_base!$T208&gt;AF$1745,"",(tech_base!$K208/tech_proj!AF332*0.086*$J$132)/(1-tech_proj!AF612))</f>
        <v>0</v>
      </c>
      <c r="AG1952" s="125">
        <f>IF(tech_base!$T208&gt;AG$1745,"",(tech_base!$K208/tech_proj!AG332*0.086*$J$132)/(1-tech_proj!AG612))</f>
        <v>0</v>
      </c>
      <c r="AH1952" s="125">
        <f>IF(tech_base!$T208&gt;AH$1745,"",(tech_base!$K208/tech_proj!AH332*0.086*$J$132)/(1-tech_proj!AH612))</f>
        <v>0</v>
      </c>
      <c r="AI1952" s="125">
        <f>IF(tech_base!$T208&gt;AI$1745,"",(tech_base!$K208/tech_proj!AI332*0.086*$J$132)/(1-tech_proj!AI612))</f>
        <v>0</v>
      </c>
      <c r="AJ1952" s="125">
        <f>IF(tech_base!$T208&gt;AJ$1745,"",(tech_base!$K208/tech_proj!AJ332*0.086*$J$132)/(1-tech_proj!AJ612))</f>
        <v>0</v>
      </c>
      <c r="AK1952" s="125">
        <f>IF(tech_base!$T208&gt;AK$1745,"",(tech_base!$K208/tech_proj!AK332*0.086*$J$132)/(1-tech_proj!AK612))</f>
        <v>0</v>
      </c>
      <c r="AL1952" s="125">
        <f>IF(tech_base!$T208&gt;AL$1745,"",(tech_base!$K208/tech_proj!AL332*0.086*$J$132)/(1-tech_proj!AL612))</f>
        <v>0</v>
      </c>
      <c r="AM1952" s="125">
        <f>IF(tech_base!$T208&gt;AM$1745,"",(tech_base!$K208/tech_proj!AM332*0.086*$J$132)/(1-tech_proj!AM612))</f>
        <v>0</v>
      </c>
      <c r="AN1952" s="125">
        <f>IF(tech_base!$T208&gt;AN$1745,"",(tech_base!$K208/tech_proj!AN332*0.086*$J$132)/(1-tech_proj!AN612))</f>
        <v>0</v>
      </c>
      <c r="AO1952" s="125">
        <f>IF(tech_base!$T208&gt;AO$1745,"",(tech_base!$K208/tech_proj!AO332*0.086*$J$132)/(1-tech_proj!AO612))</f>
        <v>0</v>
      </c>
      <c r="AP1952" s="125">
        <f>IF(tech_base!$T208&gt;AP$1745,"",(tech_base!$K208/tech_proj!AP332*0.086*$J$132)/(1-tech_proj!AP612))</f>
        <v>0</v>
      </c>
      <c r="AQ1952" s="125">
        <f>IF(tech_base!$T208&gt;AQ$1745,"",(tech_base!$K208/tech_proj!AQ332*0.086*$J$132)/(1-tech_proj!AQ612))</f>
        <v>0</v>
      </c>
      <c r="AR1952" s="125">
        <f>IF(tech_base!$T208&gt;AR$1745,"",(tech_base!$K208/tech_proj!AR332*0.086*$J$132)/(1-tech_proj!AR612))</f>
        <v>0</v>
      </c>
      <c r="AS1952" s="125">
        <f>IF(tech_base!$T208&gt;AS$1745,"",(tech_base!$K208/tech_proj!AS332*0.086*$J$132)/(1-tech_proj!AS612))</f>
        <v>0</v>
      </c>
      <c r="AT1952" s="125">
        <f>IF(tech_base!$T208&gt;AT$1745,"",(tech_base!$K208/tech_proj!AT332*0.086*$J$132)/(1-tech_proj!AT612))</f>
        <v>0</v>
      </c>
      <c r="AU1952" s="125">
        <f>IF(tech_base!$T208&gt;AU$1745,"",(tech_base!$K208/tech_proj!AU332*0.086*$J$132)/(1-tech_proj!AU612))</f>
        <v>0</v>
      </c>
      <c r="AV1952" s="125">
        <f>IF(tech_base!$T208&gt;AV$1745,"",(tech_base!$K208/tech_proj!AV332*0.086*$J$132)/(1-tech_proj!AV612))</f>
        <v>0</v>
      </c>
      <c r="AW1952" s="125">
        <f>IF(tech_base!$T208&gt;AW$1745,"",(tech_base!$K208/tech_proj!AW332*0.086*$J$132)/(1-tech_proj!AW612))</f>
        <v>0</v>
      </c>
      <c r="AX1952" s="126">
        <f>IF(tech_base!$T208&gt;AX$1745,"",(tech_base!$K208/tech_proj!AX332*0.086*$J$132)/(1-tech_proj!AX612))</f>
        <v>0</v>
      </c>
    </row>
    <row r="1953" spans="1:50" x14ac:dyDescent="0.25">
      <c r="A1953" s="356"/>
      <c r="B1953" s="376"/>
      <c r="C1953" s="361" t="s">
        <v>16</v>
      </c>
      <c r="D1953" s="2" t="s">
        <v>7</v>
      </c>
      <c r="E1953" s="160" t="str">
        <f>A1947&amp;"/"&amp;B1947&amp;"/"&amp;C1953&amp;"/"&amp;D1953</f>
        <v>Biomass and waste fired power plants/Integrated gasification combined cycle/CHP with CCS/L</v>
      </c>
      <c r="F1953" s="76" t="str">
        <f>A1947</f>
        <v>Biomass and waste fired power plants</v>
      </c>
      <c r="G1953" s="76" t="str">
        <f>B1947</f>
        <v>Integrated gasification combined cycle</v>
      </c>
      <c r="H1953" s="76" t="str">
        <f>C1953</f>
        <v>CHP with CCS</v>
      </c>
      <c r="I1953" s="161" t="str">
        <f t="shared" si="385"/>
        <v>L</v>
      </c>
      <c r="J1953" s="119" t="str">
        <f>IF(tech_base!$T209&gt;J$1745,"",(tech_base!$K209/tech_proj!J333*0.086*$J$132)/(1-tech_proj!J613))</f>
        <v/>
      </c>
      <c r="K1953" s="119" t="str">
        <f>IF(tech_base!$T209&gt;K$1745,"",(tech_base!$K209/tech_proj!K333*0.086*$J$132)/(1-tech_proj!K613))</f>
        <v/>
      </c>
      <c r="L1953" s="119" t="str">
        <f>IF(tech_base!$T209&gt;L$1745,"",(tech_base!$K209/tech_proj!L333*0.086*$J$132)/(1-tech_proj!L613))</f>
        <v/>
      </c>
      <c r="M1953" s="119" t="str">
        <f>IF(tech_base!$T209&gt;M$1745,"",(tech_base!$K209/tech_proj!M333*0.086*$J$132)/(1-tech_proj!M613))</f>
        <v/>
      </c>
      <c r="N1953" s="119" t="str">
        <f>IF(tech_base!$T209&gt;N$1745,"",(tech_base!$K209/tech_proj!N333*0.086*$J$132)/(1-tech_proj!N613))</f>
        <v/>
      </c>
      <c r="O1953" s="119" t="str">
        <f>IF(tech_base!$T209&gt;O$1745,"",(tech_base!$K209/tech_proj!O333*0.086*$J$132)/(1-tech_proj!O613))</f>
        <v/>
      </c>
      <c r="P1953" s="119" t="str">
        <f>IF(tech_base!$T209&gt;P$1745,"",(tech_base!$K209/tech_proj!P333*0.086*$J$132)/(1-tech_proj!P613))</f>
        <v/>
      </c>
      <c r="Q1953" s="119" t="str">
        <f>IF(tech_base!$T209&gt;Q$1745,"",(tech_base!$K209/tech_proj!Q333*0.086*$J$132)/(1-tech_proj!Q613))</f>
        <v/>
      </c>
      <c r="R1953" s="119" t="str">
        <f>IF(tech_base!$T209&gt;R$1745,"",(tech_base!$K209/tech_proj!R333*0.086*$J$132)/(1-tech_proj!R613))</f>
        <v/>
      </c>
      <c r="S1953" s="119" t="str">
        <f>IF(tech_base!$T209&gt;S$1745,"",(tech_base!$K209/tech_proj!S333*0.086*$J$132)/(1-tech_proj!S613))</f>
        <v/>
      </c>
      <c r="T1953" s="119" t="str">
        <f>IF(tech_base!$T209&gt;T$1745,"",(tech_base!$K209/tech_proj!T333*0.086*$J$132)/(1-tech_proj!T613))</f>
        <v/>
      </c>
      <c r="U1953" s="119" t="str">
        <f>IF(tech_base!$T209&gt;U$1745,"",(tech_base!$K209/tech_proj!U333*0.086*$J$132)/(1-tech_proj!U613))</f>
        <v/>
      </c>
      <c r="V1953" s="119" t="str">
        <f>IF(tech_base!$T209&gt;V$1745,"",(tech_base!$K209/tech_proj!V333*0.086*$J$132)/(1-tech_proj!V613))</f>
        <v/>
      </c>
      <c r="W1953" s="119" t="str">
        <f>IF(tech_base!$T209&gt;W$1745,"",(tech_base!$K209/tech_proj!W333*0.086*$J$132)/(1-tech_proj!W613))</f>
        <v/>
      </c>
      <c r="X1953" s="119" t="str">
        <f>IF(tech_base!$T209&gt;X$1745,"",(tech_base!$K209/tech_proj!X333*0.086*$J$132)/(1-tech_proj!X613))</f>
        <v/>
      </c>
      <c r="Y1953" s="119" t="str">
        <f>IF(tech_base!$T209&gt;Y$1745,"",(tech_base!$K209/tech_proj!Y333*0.086*$J$132)/(1-tech_proj!Y613))</f>
        <v/>
      </c>
      <c r="Z1953" s="119" t="str">
        <f>IF(tech_base!$T209&gt;Z$1745,"",(tech_base!$K209/tech_proj!Z333*0.086*$J$132)/(1-tech_proj!Z613))</f>
        <v/>
      </c>
      <c r="AA1953" s="119" t="str">
        <f>IF(tech_base!$T209&gt;AA$1745,"",(tech_base!$K209/tech_proj!AA333*0.086*$J$132)/(1-tech_proj!AA613))</f>
        <v/>
      </c>
      <c r="AB1953" s="119" t="str">
        <f>IF(tech_base!$T209&gt;AB$1745,"",(tech_base!$K209/tech_proj!AB333*0.086*$J$132)/(1-tech_proj!AB613))</f>
        <v/>
      </c>
      <c r="AC1953" s="119" t="str">
        <f>IF(tech_base!$T209&gt;AC$1745,"",(tech_base!$K209/tech_proj!AC333*0.086*$J$132)/(1-tech_proj!AC613))</f>
        <v/>
      </c>
      <c r="AD1953" s="119" t="str">
        <f>IF(tech_base!$T209&gt;AD$1745,"",(tech_base!$K209/tech_proj!AD333*0.086*$J$132)/(1-tech_proj!AD613))</f>
        <v/>
      </c>
      <c r="AE1953" s="119">
        <f>IF(tech_base!$T209&gt;AE$1745,"",(tech_base!$K209/tech_proj!AE333*0.086*$J$132)/(1-tech_proj!AE613))</f>
        <v>0</v>
      </c>
      <c r="AF1953" s="119">
        <f>IF(tech_base!$T209&gt;AF$1745,"",(tech_base!$K209/tech_proj!AF333*0.086*$J$132)/(1-tech_proj!AF613))</f>
        <v>0</v>
      </c>
      <c r="AG1953" s="119">
        <f>IF(tech_base!$T209&gt;AG$1745,"",(tech_base!$K209/tech_proj!AG333*0.086*$J$132)/(1-tech_proj!AG613))</f>
        <v>0</v>
      </c>
      <c r="AH1953" s="119">
        <f>IF(tech_base!$T209&gt;AH$1745,"",(tech_base!$K209/tech_proj!AH333*0.086*$J$132)/(1-tech_proj!AH613))</f>
        <v>0</v>
      </c>
      <c r="AI1953" s="119">
        <f>IF(tech_base!$T209&gt;AI$1745,"",(tech_base!$K209/tech_proj!AI333*0.086*$J$132)/(1-tech_proj!AI613))</f>
        <v>0</v>
      </c>
      <c r="AJ1953" s="119">
        <f>IF(tech_base!$T209&gt;AJ$1745,"",(tech_base!$K209/tech_proj!AJ333*0.086*$J$132)/(1-tech_proj!AJ613))</f>
        <v>0</v>
      </c>
      <c r="AK1953" s="119">
        <f>IF(tech_base!$T209&gt;AK$1745,"",(tech_base!$K209/tech_proj!AK333*0.086*$J$132)/(1-tech_proj!AK613))</f>
        <v>0</v>
      </c>
      <c r="AL1953" s="119">
        <f>IF(tech_base!$T209&gt;AL$1745,"",(tech_base!$K209/tech_proj!AL333*0.086*$J$132)/(1-tech_proj!AL613))</f>
        <v>0</v>
      </c>
      <c r="AM1953" s="119">
        <f>IF(tech_base!$T209&gt;AM$1745,"",(tech_base!$K209/tech_proj!AM333*0.086*$J$132)/(1-tech_proj!AM613))</f>
        <v>0</v>
      </c>
      <c r="AN1953" s="119">
        <f>IF(tech_base!$T209&gt;AN$1745,"",(tech_base!$K209/tech_proj!AN333*0.086*$J$132)/(1-tech_proj!AN613))</f>
        <v>0</v>
      </c>
      <c r="AO1953" s="119">
        <f>IF(tech_base!$T209&gt;AO$1745,"",(tech_base!$K209/tech_proj!AO333*0.086*$J$132)/(1-tech_proj!AO613))</f>
        <v>0</v>
      </c>
      <c r="AP1953" s="119">
        <f>IF(tech_base!$T209&gt;AP$1745,"",(tech_base!$K209/tech_proj!AP333*0.086*$J$132)/(1-tech_proj!AP613))</f>
        <v>0</v>
      </c>
      <c r="AQ1953" s="119">
        <f>IF(tech_base!$T209&gt;AQ$1745,"",(tech_base!$K209/tech_proj!AQ333*0.086*$J$132)/(1-tech_proj!AQ613))</f>
        <v>0</v>
      </c>
      <c r="AR1953" s="119">
        <f>IF(tech_base!$T209&gt;AR$1745,"",(tech_base!$K209/tech_proj!AR333*0.086*$J$132)/(1-tech_proj!AR613))</f>
        <v>0</v>
      </c>
      <c r="AS1953" s="119">
        <f>IF(tech_base!$T209&gt;AS$1745,"",(tech_base!$K209/tech_proj!AS333*0.086*$J$132)/(1-tech_proj!AS613))</f>
        <v>0</v>
      </c>
      <c r="AT1953" s="119">
        <f>IF(tech_base!$T209&gt;AT$1745,"",(tech_base!$K209/tech_proj!AT333*0.086*$J$132)/(1-tech_proj!AT613))</f>
        <v>0</v>
      </c>
      <c r="AU1953" s="119">
        <f>IF(tech_base!$T209&gt;AU$1745,"",(tech_base!$K209/tech_proj!AU333*0.086*$J$132)/(1-tech_proj!AU613))</f>
        <v>0</v>
      </c>
      <c r="AV1953" s="119">
        <f>IF(tech_base!$T209&gt;AV$1745,"",(tech_base!$K209/tech_proj!AV333*0.086*$J$132)/(1-tech_proj!AV613))</f>
        <v>0</v>
      </c>
      <c r="AW1953" s="119">
        <f>IF(tech_base!$T209&gt;AW$1745,"",(tech_base!$K209/tech_proj!AW333*0.086*$J$132)/(1-tech_proj!AW613))</f>
        <v>0</v>
      </c>
      <c r="AX1953" s="120">
        <f>IF(tech_base!$T209&gt;AX$1745,"",(tech_base!$K209/tech_proj!AX333*0.086*$J$132)/(1-tech_proj!AX613))</f>
        <v>0</v>
      </c>
    </row>
    <row r="1954" spans="1:50" x14ac:dyDescent="0.25">
      <c r="A1954" s="356"/>
      <c r="B1954" s="380"/>
      <c r="C1954" s="381"/>
      <c r="D1954" s="4" t="s">
        <v>8</v>
      </c>
      <c r="E1954" s="168" t="str">
        <f>A1947&amp;"/"&amp;B1947&amp;"/"&amp;C1953&amp;"/"&amp;D1954</f>
        <v>Biomass and waste fired power plants/Integrated gasification combined cycle/CHP with CCS/M</v>
      </c>
      <c r="F1954" s="80" t="str">
        <f>A1947</f>
        <v>Biomass and waste fired power plants</v>
      </c>
      <c r="G1954" s="80" t="str">
        <f>B1947</f>
        <v>Integrated gasification combined cycle</v>
      </c>
      <c r="H1954" s="80" t="str">
        <f>C1953</f>
        <v>CHP with CCS</v>
      </c>
      <c r="I1954" s="169" t="str">
        <f t="shared" si="385"/>
        <v>M</v>
      </c>
      <c r="J1954" s="127" t="str">
        <f>IF(tech_base!$T210&gt;J$1745,"",(tech_base!$K210/tech_proj!J334*0.086*$J$132)/(1-tech_proj!J614))</f>
        <v/>
      </c>
      <c r="K1954" s="127" t="str">
        <f>IF(tech_base!$T210&gt;K$1745,"",(tech_base!$K210/tech_proj!K334*0.086*$J$132)/(1-tech_proj!K614))</f>
        <v/>
      </c>
      <c r="L1954" s="127" t="str">
        <f>IF(tech_base!$T210&gt;L$1745,"",(tech_base!$K210/tech_proj!L334*0.086*$J$132)/(1-tech_proj!L614))</f>
        <v/>
      </c>
      <c r="M1954" s="127" t="str">
        <f>IF(tech_base!$T210&gt;M$1745,"",(tech_base!$K210/tech_proj!M334*0.086*$J$132)/(1-tech_proj!M614))</f>
        <v/>
      </c>
      <c r="N1954" s="127" t="str">
        <f>IF(tech_base!$T210&gt;N$1745,"",(tech_base!$K210/tech_proj!N334*0.086*$J$132)/(1-tech_proj!N614))</f>
        <v/>
      </c>
      <c r="O1954" s="127" t="str">
        <f>IF(tech_base!$T210&gt;O$1745,"",(tech_base!$K210/tech_proj!O334*0.086*$J$132)/(1-tech_proj!O614))</f>
        <v/>
      </c>
      <c r="P1954" s="127" t="str">
        <f>IF(tech_base!$T210&gt;P$1745,"",(tech_base!$K210/tech_proj!P334*0.086*$J$132)/(1-tech_proj!P614))</f>
        <v/>
      </c>
      <c r="Q1954" s="127" t="str">
        <f>IF(tech_base!$T210&gt;Q$1745,"",(tech_base!$K210/tech_proj!Q334*0.086*$J$132)/(1-tech_proj!Q614))</f>
        <v/>
      </c>
      <c r="R1954" s="127" t="str">
        <f>IF(tech_base!$T210&gt;R$1745,"",(tech_base!$K210/tech_proj!R334*0.086*$J$132)/(1-tech_proj!R614))</f>
        <v/>
      </c>
      <c r="S1954" s="127" t="str">
        <f>IF(tech_base!$T210&gt;S$1745,"",(tech_base!$K210/tech_proj!S334*0.086*$J$132)/(1-tech_proj!S614))</f>
        <v/>
      </c>
      <c r="T1954" s="127" t="str">
        <f>IF(tech_base!$T210&gt;T$1745,"",(tech_base!$K210/tech_proj!T334*0.086*$J$132)/(1-tech_proj!T614))</f>
        <v/>
      </c>
      <c r="U1954" s="127" t="str">
        <f>IF(tech_base!$T210&gt;U$1745,"",(tech_base!$K210/tech_proj!U334*0.086*$J$132)/(1-tech_proj!U614))</f>
        <v/>
      </c>
      <c r="V1954" s="127" t="str">
        <f>IF(tech_base!$T210&gt;V$1745,"",(tech_base!$K210/tech_proj!V334*0.086*$J$132)/(1-tech_proj!V614))</f>
        <v/>
      </c>
      <c r="W1954" s="127" t="str">
        <f>IF(tech_base!$T210&gt;W$1745,"",(tech_base!$K210/tech_proj!W334*0.086*$J$132)/(1-tech_proj!W614))</f>
        <v/>
      </c>
      <c r="X1954" s="127" t="str">
        <f>IF(tech_base!$T210&gt;X$1745,"",(tech_base!$K210/tech_proj!X334*0.086*$J$132)/(1-tech_proj!X614))</f>
        <v/>
      </c>
      <c r="Y1954" s="127" t="str">
        <f>IF(tech_base!$T210&gt;Y$1745,"",(tech_base!$K210/tech_proj!Y334*0.086*$J$132)/(1-tech_proj!Y614))</f>
        <v/>
      </c>
      <c r="Z1954" s="127" t="str">
        <f>IF(tech_base!$T210&gt;Z$1745,"",(tech_base!$K210/tech_proj!Z334*0.086*$J$132)/(1-tech_proj!Z614))</f>
        <v/>
      </c>
      <c r="AA1954" s="127" t="str">
        <f>IF(tech_base!$T210&gt;AA$1745,"",(tech_base!$K210/tech_proj!AA334*0.086*$J$132)/(1-tech_proj!AA614))</f>
        <v/>
      </c>
      <c r="AB1954" s="127" t="str">
        <f>IF(tech_base!$T210&gt;AB$1745,"",(tech_base!$K210/tech_proj!AB334*0.086*$J$132)/(1-tech_proj!AB614))</f>
        <v/>
      </c>
      <c r="AC1954" s="127" t="str">
        <f>IF(tech_base!$T210&gt;AC$1745,"",(tech_base!$K210/tech_proj!AC334*0.086*$J$132)/(1-tech_proj!AC614))</f>
        <v/>
      </c>
      <c r="AD1954" s="127" t="str">
        <f>IF(tech_base!$T210&gt;AD$1745,"",(tech_base!$K210/tech_proj!AD334*0.086*$J$132)/(1-tech_proj!AD614))</f>
        <v/>
      </c>
      <c r="AE1954" s="127">
        <f>IF(tech_base!$T210&gt;AE$1745,"",(tech_base!$K210/tech_proj!AE334*0.086*$J$132)/(1-tech_proj!AE614))</f>
        <v>0</v>
      </c>
      <c r="AF1954" s="127">
        <f>IF(tech_base!$T210&gt;AF$1745,"",(tech_base!$K210/tech_proj!AF334*0.086*$J$132)/(1-tech_proj!AF614))</f>
        <v>0</v>
      </c>
      <c r="AG1954" s="127">
        <f>IF(tech_base!$T210&gt;AG$1745,"",(tech_base!$K210/tech_proj!AG334*0.086*$J$132)/(1-tech_proj!AG614))</f>
        <v>0</v>
      </c>
      <c r="AH1954" s="127">
        <f>IF(tech_base!$T210&gt;AH$1745,"",(tech_base!$K210/tech_proj!AH334*0.086*$J$132)/(1-tech_proj!AH614))</f>
        <v>0</v>
      </c>
      <c r="AI1954" s="127">
        <f>IF(tech_base!$T210&gt;AI$1745,"",(tech_base!$K210/tech_proj!AI334*0.086*$J$132)/(1-tech_proj!AI614))</f>
        <v>0</v>
      </c>
      <c r="AJ1954" s="127">
        <f>IF(tech_base!$T210&gt;AJ$1745,"",(tech_base!$K210/tech_proj!AJ334*0.086*$J$132)/(1-tech_proj!AJ614))</f>
        <v>0</v>
      </c>
      <c r="AK1954" s="127">
        <f>IF(tech_base!$T210&gt;AK$1745,"",(tech_base!$K210/tech_proj!AK334*0.086*$J$132)/(1-tech_proj!AK614))</f>
        <v>0</v>
      </c>
      <c r="AL1954" s="127">
        <f>IF(tech_base!$T210&gt;AL$1745,"",(tech_base!$K210/tech_proj!AL334*0.086*$J$132)/(1-tech_proj!AL614))</f>
        <v>0</v>
      </c>
      <c r="AM1954" s="127">
        <f>IF(tech_base!$T210&gt;AM$1745,"",(tech_base!$K210/tech_proj!AM334*0.086*$J$132)/(1-tech_proj!AM614))</f>
        <v>0</v>
      </c>
      <c r="AN1954" s="127">
        <f>IF(tech_base!$T210&gt;AN$1745,"",(tech_base!$K210/tech_proj!AN334*0.086*$J$132)/(1-tech_proj!AN614))</f>
        <v>0</v>
      </c>
      <c r="AO1954" s="127">
        <f>IF(tech_base!$T210&gt;AO$1745,"",(tech_base!$K210/tech_proj!AO334*0.086*$J$132)/(1-tech_proj!AO614))</f>
        <v>0</v>
      </c>
      <c r="AP1954" s="127">
        <f>IF(tech_base!$T210&gt;AP$1745,"",(tech_base!$K210/tech_proj!AP334*0.086*$J$132)/(1-tech_proj!AP614))</f>
        <v>0</v>
      </c>
      <c r="AQ1954" s="127">
        <f>IF(tech_base!$T210&gt;AQ$1745,"",(tech_base!$K210/tech_proj!AQ334*0.086*$J$132)/(1-tech_proj!AQ614))</f>
        <v>0</v>
      </c>
      <c r="AR1954" s="127">
        <f>IF(tech_base!$T210&gt;AR$1745,"",(tech_base!$K210/tech_proj!AR334*0.086*$J$132)/(1-tech_proj!AR614))</f>
        <v>0</v>
      </c>
      <c r="AS1954" s="127">
        <f>IF(tech_base!$T210&gt;AS$1745,"",(tech_base!$K210/tech_proj!AS334*0.086*$J$132)/(1-tech_proj!AS614))</f>
        <v>0</v>
      </c>
      <c r="AT1954" s="127">
        <f>IF(tech_base!$T210&gt;AT$1745,"",(tech_base!$K210/tech_proj!AT334*0.086*$J$132)/(1-tech_proj!AT614))</f>
        <v>0</v>
      </c>
      <c r="AU1954" s="127">
        <f>IF(tech_base!$T210&gt;AU$1745,"",(tech_base!$K210/tech_proj!AU334*0.086*$J$132)/(1-tech_proj!AU614))</f>
        <v>0</v>
      </c>
      <c r="AV1954" s="127">
        <f>IF(tech_base!$T210&gt;AV$1745,"",(tech_base!$K210/tech_proj!AV334*0.086*$J$132)/(1-tech_proj!AV614))</f>
        <v>0</v>
      </c>
      <c r="AW1954" s="127">
        <f>IF(tech_base!$T210&gt;AW$1745,"",(tech_base!$K210/tech_proj!AW334*0.086*$J$132)/(1-tech_proj!AW614))</f>
        <v>0</v>
      </c>
      <c r="AX1954" s="128">
        <f>IF(tech_base!$T210&gt;AX$1745,"",(tech_base!$K210/tech_proj!AX334*0.086*$J$132)/(1-tech_proj!AX614))</f>
        <v>0</v>
      </c>
    </row>
    <row r="1955" spans="1:50" x14ac:dyDescent="0.25">
      <c r="A1955" s="356"/>
      <c r="B1955" s="358" t="s">
        <v>18</v>
      </c>
      <c r="C1955" s="353" t="s">
        <v>6</v>
      </c>
      <c r="D1955" s="3" t="s">
        <v>7</v>
      </c>
      <c r="E1955" s="162" t="str">
        <f>A1947&amp;"/"&amp;B1955&amp;"/"&amp;C1955&amp;"/"&amp;D1955</f>
        <v>Biomass and waste fired power plants/Fluidized bed combustion/Electricity only/L</v>
      </c>
      <c r="F1955" s="77" t="str">
        <f>A1947</f>
        <v>Biomass and waste fired power plants</v>
      </c>
      <c r="G1955" s="77" t="str">
        <f>B1955</f>
        <v>Fluidized bed combustion</v>
      </c>
      <c r="H1955" s="77" t="str">
        <f>C1955</f>
        <v>Electricity only</v>
      </c>
      <c r="I1955" s="163" t="str">
        <f t="shared" si="385"/>
        <v>L</v>
      </c>
      <c r="J1955" s="121">
        <f>IF(tech_base!$T211&gt;J$1745,"",(tech_base!$K211/tech_proj!J335*0.086*$J$132)/(1-tech_proj!J615))</f>
        <v>0</v>
      </c>
      <c r="K1955" s="121">
        <f>IF(tech_base!$T211&gt;K$1745,"",(tech_base!$K211/tech_proj!K335*0.086*$J$132)/(1-tech_proj!K615))</f>
        <v>0</v>
      </c>
      <c r="L1955" s="121">
        <f>IF(tech_base!$T211&gt;L$1745,"",(tech_base!$K211/tech_proj!L335*0.086*$J$132)/(1-tech_proj!L615))</f>
        <v>0</v>
      </c>
      <c r="M1955" s="121">
        <f>IF(tech_base!$T211&gt;M$1745,"",(tech_base!$K211/tech_proj!M335*0.086*$J$132)/(1-tech_proj!M615))</f>
        <v>0</v>
      </c>
      <c r="N1955" s="121">
        <f>IF(tech_base!$T211&gt;N$1745,"",(tech_base!$K211/tech_proj!N335*0.086*$J$132)/(1-tech_proj!N615))</f>
        <v>0</v>
      </c>
      <c r="O1955" s="121">
        <f>IF(tech_base!$T211&gt;O$1745,"",(tech_base!$K211/tech_proj!O335*0.086*$J$132)/(1-tech_proj!O615))</f>
        <v>0</v>
      </c>
      <c r="P1955" s="121">
        <f>IF(tech_base!$T211&gt;P$1745,"",(tech_base!$K211/tech_proj!P335*0.086*$J$132)/(1-tech_proj!P615))</f>
        <v>0</v>
      </c>
      <c r="Q1955" s="121">
        <f>IF(tech_base!$T211&gt;Q$1745,"",(tech_base!$K211/tech_proj!Q335*0.086*$J$132)/(1-tech_proj!Q615))</f>
        <v>0</v>
      </c>
      <c r="R1955" s="121">
        <f>IF(tech_base!$T211&gt;R$1745,"",(tech_base!$K211/tech_proj!R335*0.086*$J$132)/(1-tech_proj!R615))</f>
        <v>0</v>
      </c>
      <c r="S1955" s="121">
        <f>IF(tech_base!$T211&gt;S$1745,"",(tech_base!$K211/tech_proj!S335*0.086*$J$132)/(1-tech_proj!S615))</f>
        <v>0</v>
      </c>
      <c r="T1955" s="121">
        <f>IF(tech_base!$T211&gt;T$1745,"",(tech_base!$K211/tech_proj!T335*0.086*$J$132)/(1-tech_proj!T615))</f>
        <v>0</v>
      </c>
      <c r="U1955" s="121">
        <f>IF(tech_base!$T211&gt;U$1745,"",(tech_base!$K211/tech_proj!U335*0.086*$J$132)/(1-tech_proj!U615))</f>
        <v>0</v>
      </c>
      <c r="V1955" s="121">
        <f>IF(tech_base!$T211&gt;V$1745,"",(tech_base!$K211/tech_proj!V335*0.086*$J$132)/(1-tech_proj!V615))</f>
        <v>0</v>
      </c>
      <c r="W1955" s="121">
        <f>IF(tech_base!$T211&gt;W$1745,"",(tech_base!$K211/tech_proj!W335*0.086*$J$132)/(1-tech_proj!W615))</f>
        <v>0</v>
      </c>
      <c r="X1955" s="121">
        <f>IF(tech_base!$T211&gt;X$1745,"",(tech_base!$K211/tech_proj!X335*0.086*$J$132)/(1-tech_proj!X615))</f>
        <v>0</v>
      </c>
      <c r="Y1955" s="121">
        <f>IF(tech_base!$T211&gt;Y$1745,"",(tech_base!$K211/tech_proj!Y335*0.086*$J$132)/(1-tech_proj!Y615))</f>
        <v>0</v>
      </c>
      <c r="Z1955" s="121">
        <f>IF(tech_base!$T211&gt;Z$1745,"",(tech_base!$K211/tech_proj!Z335*0.086*$J$132)/(1-tech_proj!Z615))</f>
        <v>0</v>
      </c>
      <c r="AA1955" s="121">
        <f>IF(tech_base!$T211&gt;AA$1745,"",(tech_base!$K211/tech_proj!AA335*0.086*$J$132)/(1-tech_proj!AA615))</f>
        <v>0</v>
      </c>
      <c r="AB1955" s="121">
        <f>IF(tech_base!$T211&gt;AB$1745,"",(tech_base!$K211/tech_proj!AB335*0.086*$J$132)/(1-tech_proj!AB615))</f>
        <v>0</v>
      </c>
      <c r="AC1955" s="121">
        <f>IF(tech_base!$T211&gt;AC$1745,"",(tech_base!$K211/tech_proj!AC335*0.086*$J$132)/(1-tech_proj!AC615))</f>
        <v>0</v>
      </c>
      <c r="AD1955" s="121">
        <f>IF(tech_base!$T211&gt;AD$1745,"",(tech_base!$K211/tech_proj!AD335*0.086*$J$132)/(1-tech_proj!AD615))</f>
        <v>0</v>
      </c>
      <c r="AE1955" s="121">
        <f>IF(tech_base!$T211&gt;AE$1745,"",(tech_base!$K211/tech_proj!AE335*0.086*$J$132)/(1-tech_proj!AE615))</f>
        <v>0</v>
      </c>
      <c r="AF1955" s="121">
        <f>IF(tech_base!$T211&gt;AF$1745,"",(tech_base!$K211/tech_proj!AF335*0.086*$J$132)/(1-tech_proj!AF615))</f>
        <v>0</v>
      </c>
      <c r="AG1955" s="121">
        <f>IF(tech_base!$T211&gt;AG$1745,"",(tech_base!$K211/tech_proj!AG335*0.086*$J$132)/(1-tech_proj!AG615))</f>
        <v>0</v>
      </c>
      <c r="AH1955" s="121">
        <f>IF(tech_base!$T211&gt;AH$1745,"",(tech_base!$K211/tech_proj!AH335*0.086*$J$132)/(1-tech_proj!AH615))</f>
        <v>0</v>
      </c>
      <c r="AI1955" s="121">
        <f>IF(tech_base!$T211&gt;AI$1745,"",(tech_base!$K211/tech_proj!AI335*0.086*$J$132)/(1-tech_proj!AI615))</f>
        <v>0</v>
      </c>
      <c r="AJ1955" s="121">
        <f>IF(tech_base!$T211&gt;AJ$1745,"",(tech_base!$K211/tech_proj!AJ335*0.086*$J$132)/(1-tech_proj!AJ615))</f>
        <v>0</v>
      </c>
      <c r="AK1955" s="121">
        <f>IF(tech_base!$T211&gt;AK$1745,"",(tech_base!$K211/tech_proj!AK335*0.086*$J$132)/(1-tech_proj!AK615))</f>
        <v>0</v>
      </c>
      <c r="AL1955" s="121">
        <f>IF(tech_base!$T211&gt;AL$1745,"",(tech_base!$K211/tech_proj!AL335*0.086*$J$132)/(1-tech_proj!AL615))</f>
        <v>0</v>
      </c>
      <c r="AM1955" s="121">
        <f>IF(tech_base!$T211&gt;AM$1745,"",(tech_base!$K211/tech_proj!AM335*0.086*$J$132)/(1-tech_proj!AM615))</f>
        <v>0</v>
      </c>
      <c r="AN1955" s="121">
        <f>IF(tech_base!$T211&gt;AN$1745,"",(tech_base!$K211/tech_proj!AN335*0.086*$J$132)/(1-tech_proj!AN615))</f>
        <v>0</v>
      </c>
      <c r="AO1955" s="121">
        <f>IF(tech_base!$T211&gt;AO$1745,"",(tech_base!$K211/tech_proj!AO335*0.086*$J$132)/(1-tech_proj!AO615))</f>
        <v>0</v>
      </c>
      <c r="AP1955" s="121">
        <f>IF(tech_base!$T211&gt;AP$1745,"",(tech_base!$K211/tech_proj!AP335*0.086*$J$132)/(1-tech_proj!AP615))</f>
        <v>0</v>
      </c>
      <c r="AQ1955" s="121">
        <f>IF(tech_base!$T211&gt;AQ$1745,"",(tech_base!$K211/tech_proj!AQ335*0.086*$J$132)/(1-tech_proj!AQ615))</f>
        <v>0</v>
      </c>
      <c r="AR1955" s="121">
        <f>IF(tech_base!$T211&gt;AR$1745,"",(tech_base!$K211/tech_proj!AR335*0.086*$J$132)/(1-tech_proj!AR615))</f>
        <v>0</v>
      </c>
      <c r="AS1955" s="121">
        <f>IF(tech_base!$T211&gt;AS$1745,"",(tech_base!$K211/tech_proj!AS335*0.086*$J$132)/(1-tech_proj!AS615))</f>
        <v>0</v>
      </c>
      <c r="AT1955" s="121">
        <f>IF(tech_base!$T211&gt;AT$1745,"",(tech_base!$K211/tech_proj!AT335*0.086*$J$132)/(1-tech_proj!AT615))</f>
        <v>0</v>
      </c>
      <c r="AU1955" s="121">
        <f>IF(tech_base!$T211&gt;AU$1745,"",(tech_base!$K211/tech_proj!AU335*0.086*$J$132)/(1-tech_proj!AU615))</f>
        <v>0</v>
      </c>
      <c r="AV1955" s="121">
        <f>IF(tech_base!$T211&gt;AV$1745,"",(tech_base!$K211/tech_proj!AV335*0.086*$J$132)/(1-tech_proj!AV615))</f>
        <v>0</v>
      </c>
      <c r="AW1955" s="121">
        <f>IF(tech_base!$T211&gt;AW$1745,"",(tech_base!$K211/tech_proj!AW335*0.086*$J$132)/(1-tech_proj!AW615))</f>
        <v>0</v>
      </c>
      <c r="AX1955" s="122">
        <f>IF(tech_base!$T211&gt;AX$1745,"",(tech_base!$K211/tech_proj!AX335*0.086*$J$132)/(1-tech_proj!AX615))</f>
        <v>0</v>
      </c>
    </row>
    <row r="1956" spans="1:50" x14ac:dyDescent="0.25">
      <c r="A1956" s="356"/>
      <c r="B1956" s="376"/>
      <c r="C1956" s="378"/>
      <c r="D1956" s="2" t="s">
        <v>8</v>
      </c>
      <c r="E1956" s="160" t="str">
        <f>A1947&amp;"/"&amp;B1955&amp;"/"&amp;C1955&amp;"/"&amp;D1956</f>
        <v>Biomass and waste fired power plants/Fluidized bed combustion/Electricity only/M</v>
      </c>
      <c r="F1956" s="76" t="str">
        <f>A1947</f>
        <v>Biomass and waste fired power plants</v>
      </c>
      <c r="G1956" s="76" t="str">
        <f>B1955</f>
        <v>Fluidized bed combustion</v>
      </c>
      <c r="H1956" s="76" t="str">
        <f>C1955</f>
        <v>Electricity only</v>
      </c>
      <c r="I1956" s="161" t="str">
        <f t="shared" si="385"/>
        <v>M</v>
      </c>
      <c r="J1956" s="119">
        <f>IF(tech_base!$T212&gt;J$1745,"",(tech_base!$K212/tech_proj!J336*0.086*$J$132)/(1-tech_proj!J616))</f>
        <v>0</v>
      </c>
      <c r="K1956" s="119">
        <f>IF(tech_base!$T212&gt;K$1745,"",(tech_base!$K212/tech_proj!K336*0.086*$J$132)/(1-tech_proj!K616))</f>
        <v>0</v>
      </c>
      <c r="L1956" s="119">
        <f>IF(tech_base!$T212&gt;L$1745,"",(tech_base!$K212/tech_proj!L336*0.086*$J$132)/(1-tech_proj!L616))</f>
        <v>0</v>
      </c>
      <c r="M1956" s="119">
        <f>IF(tech_base!$T212&gt;M$1745,"",(tech_base!$K212/tech_proj!M336*0.086*$J$132)/(1-tech_proj!M616))</f>
        <v>0</v>
      </c>
      <c r="N1956" s="119">
        <f>IF(tech_base!$T212&gt;N$1745,"",(tech_base!$K212/tech_proj!N336*0.086*$J$132)/(1-tech_proj!N616))</f>
        <v>0</v>
      </c>
      <c r="O1956" s="119">
        <f>IF(tech_base!$T212&gt;O$1745,"",(tech_base!$K212/tech_proj!O336*0.086*$J$132)/(1-tech_proj!O616))</f>
        <v>0</v>
      </c>
      <c r="P1956" s="119">
        <f>IF(tech_base!$T212&gt;P$1745,"",(tech_base!$K212/tech_proj!P336*0.086*$J$132)/(1-tech_proj!P616))</f>
        <v>0</v>
      </c>
      <c r="Q1956" s="119">
        <f>IF(tech_base!$T212&gt;Q$1745,"",(tech_base!$K212/tech_proj!Q336*0.086*$J$132)/(1-tech_proj!Q616))</f>
        <v>0</v>
      </c>
      <c r="R1956" s="119">
        <f>IF(tech_base!$T212&gt;R$1745,"",(tech_base!$K212/tech_proj!R336*0.086*$J$132)/(1-tech_proj!R616))</f>
        <v>0</v>
      </c>
      <c r="S1956" s="119">
        <f>IF(tech_base!$T212&gt;S$1745,"",(tech_base!$K212/tech_proj!S336*0.086*$J$132)/(1-tech_proj!S616))</f>
        <v>0</v>
      </c>
      <c r="T1956" s="119">
        <f>IF(tech_base!$T212&gt;T$1745,"",(tech_base!$K212/tech_proj!T336*0.086*$J$132)/(1-tech_proj!T616))</f>
        <v>0</v>
      </c>
      <c r="U1956" s="119">
        <f>IF(tech_base!$T212&gt;U$1745,"",(tech_base!$K212/tech_proj!U336*0.086*$J$132)/(1-tech_proj!U616))</f>
        <v>0</v>
      </c>
      <c r="V1956" s="119">
        <f>IF(tech_base!$T212&gt;V$1745,"",(tech_base!$K212/tech_proj!V336*0.086*$J$132)/(1-tech_proj!V616))</f>
        <v>0</v>
      </c>
      <c r="W1956" s="119">
        <f>IF(tech_base!$T212&gt;W$1745,"",(tech_base!$K212/tech_proj!W336*0.086*$J$132)/(1-tech_proj!W616))</f>
        <v>0</v>
      </c>
      <c r="X1956" s="119">
        <f>IF(tech_base!$T212&gt;X$1745,"",(tech_base!$K212/tech_proj!X336*0.086*$J$132)/(1-tech_proj!X616))</f>
        <v>0</v>
      </c>
      <c r="Y1956" s="119">
        <f>IF(tech_base!$T212&gt;Y$1745,"",(tech_base!$K212/tech_proj!Y336*0.086*$J$132)/(1-tech_proj!Y616))</f>
        <v>0</v>
      </c>
      <c r="Z1956" s="119">
        <f>IF(tech_base!$T212&gt;Z$1745,"",(tech_base!$K212/tech_proj!Z336*0.086*$J$132)/(1-tech_proj!Z616))</f>
        <v>0</v>
      </c>
      <c r="AA1956" s="119">
        <f>IF(tech_base!$T212&gt;AA$1745,"",(tech_base!$K212/tech_proj!AA336*0.086*$J$132)/(1-tech_proj!AA616))</f>
        <v>0</v>
      </c>
      <c r="AB1956" s="119">
        <f>IF(tech_base!$T212&gt;AB$1745,"",(tech_base!$K212/tech_proj!AB336*0.086*$J$132)/(1-tech_proj!AB616))</f>
        <v>0</v>
      </c>
      <c r="AC1956" s="119">
        <f>IF(tech_base!$T212&gt;AC$1745,"",(tech_base!$K212/tech_proj!AC336*0.086*$J$132)/(1-tech_proj!AC616))</f>
        <v>0</v>
      </c>
      <c r="AD1956" s="119">
        <f>IF(tech_base!$T212&gt;AD$1745,"",(tech_base!$K212/tech_proj!AD336*0.086*$J$132)/(1-tech_proj!AD616))</f>
        <v>0</v>
      </c>
      <c r="AE1956" s="119">
        <f>IF(tech_base!$T212&gt;AE$1745,"",(tech_base!$K212/tech_proj!AE336*0.086*$J$132)/(1-tech_proj!AE616))</f>
        <v>0</v>
      </c>
      <c r="AF1956" s="119">
        <f>IF(tech_base!$T212&gt;AF$1745,"",(tech_base!$K212/tech_proj!AF336*0.086*$J$132)/(1-tech_proj!AF616))</f>
        <v>0</v>
      </c>
      <c r="AG1956" s="119">
        <f>IF(tech_base!$T212&gt;AG$1745,"",(tech_base!$K212/tech_proj!AG336*0.086*$J$132)/(1-tech_proj!AG616))</f>
        <v>0</v>
      </c>
      <c r="AH1956" s="119">
        <f>IF(tech_base!$T212&gt;AH$1745,"",(tech_base!$K212/tech_proj!AH336*0.086*$J$132)/(1-tech_proj!AH616))</f>
        <v>0</v>
      </c>
      <c r="AI1956" s="119">
        <f>IF(tech_base!$T212&gt;AI$1745,"",(tech_base!$K212/tech_proj!AI336*0.086*$J$132)/(1-tech_proj!AI616))</f>
        <v>0</v>
      </c>
      <c r="AJ1956" s="119">
        <f>IF(tech_base!$T212&gt;AJ$1745,"",(tech_base!$K212/tech_proj!AJ336*0.086*$J$132)/(1-tech_proj!AJ616))</f>
        <v>0</v>
      </c>
      <c r="AK1956" s="119">
        <f>IF(tech_base!$T212&gt;AK$1745,"",(tech_base!$K212/tech_proj!AK336*0.086*$J$132)/(1-tech_proj!AK616))</f>
        <v>0</v>
      </c>
      <c r="AL1956" s="119">
        <f>IF(tech_base!$T212&gt;AL$1745,"",(tech_base!$K212/tech_proj!AL336*0.086*$J$132)/(1-tech_proj!AL616))</f>
        <v>0</v>
      </c>
      <c r="AM1956" s="119">
        <f>IF(tech_base!$T212&gt;AM$1745,"",(tech_base!$K212/tech_proj!AM336*0.086*$J$132)/(1-tech_proj!AM616))</f>
        <v>0</v>
      </c>
      <c r="AN1956" s="119">
        <f>IF(tech_base!$T212&gt;AN$1745,"",(tech_base!$K212/tech_proj!AN336*0.086*$J$132)/(1-tech_proj!AN616))</f>
        <v>0</v>
      </c>
      <c r="AO1956" s="119">
        <f>IF(tech_base!$T212&gt;AO$1745,"",(tech_base!$K212/tech_proj!AO336*0.086*$J$132)/(1-tech_proj!AO616))</f>
        <v>0</v>
      </c>
      <c r="AP1956" s="119">
        <f>IF(tech_base!$T212&gt;AP$1745,"",(tech_base!$K212/tech_proj!AP336*0.086*$J$132)/(1-tech_proj!AP616))</f>
        <v>0</v>
      </c>
      <c r="AQ1956" s="119">
        <f>IF(tech_base!$T212&gt;AQ$1745,"",(tech_base!$K212/tech_proj!AQ336*0.086*$J$132)/(1-tech_proj!AQ616))</f>
        <v>0</v>
      </c>
      <c r="AR1956" s="119">
        <f>IF(tech_base!$T212&gt;AR$1745,"",(tech_base!$K212/tech_proj!AR336*0.086*$J$132)/(1-tech_proj!AR616))</f>
        <v>0</v>
      </c>
      <c r="AS1956" s="119">
        <f>IF(tech_base!$T212&gt;AS$1745,"",(tech_base!$K212/tech_proj!AS336*0.086*$J$132)/(1-tech_proj!AS616))</f>
        <v>0</v>
      </c>
      <c r="AT1956" s="119">
        <f>IF(tech_base!$T212&gt;AT$1745,"",(tech_base!$K212/tech_proj!AT336*0.086*$J$132)/(1-tech_proj!AT616))</f>
        <v>0</v>
      </c>
      <c r="AU1956" s="119">
        <f>IF(tech_base!$T212&gt;AU$1745,"",(tech_base!$K212/tech_proj!AU336*0.086*$J$132)/(1-tech_proj!AU616))</f>
        <v>0</v>
      </c>
      <c r="AV1956" s="119">
        <f>IF(tech_base!$T212&gt;AV$1745,"",(tech_base!$K212/tech_proj!AV336*0.086*$J$132)/(1-tech_proj!AV616))</f>
        <v>0</v>
      </c>
      <c r="AW1956" s="119">
        <f>IF(tech_base!$T212&gt;AW$1745,"",(tech_base!$K212/tech_proj!AW336*0.086*$J$132)/(1-tech_proj!AW616))</f>
        <v>0</v>
      </c>
      <c r="AX1956" s="120">
        <f>IF(tech_base!$T212&gt;AX$1745,"",(tech_base!$K212/tech_proj!AX336*0.086*$J$132)/(1-tech_proj!AX616))</f>
        <v>0</v>
      </c>
    </row>
    <row r="1957" spans="1:50" x14ac:dyDescent="0.25">
      <c r="A1957" s="356"/>
      <c r="B1957" s="376"/>
      <c r="C1957" s="378"/>
      <c r="D1957" s="2" t="s">
        <v>10</v>
      </c>
      <c r="E1957" s="160" t="str">
        <f>A1947&amp;"/"&amp;B1955&amp;"/"&amp;C1955&amp;"/"&amp;D1957</f>
        <v>Biomass and waste fired power plants/Fluidized bed combustion/Electricity only/S</v>
      </c>
      <c r="F1957" s="76" t="str">
        <f>A1947</f>
        <v>Biomass and waste fired power plants</v>
      </c>
      <c r="G1957" s="76" t="str">
        <f>B1955</f>
        <v>Fluidized bed combustion</v>
      </c>
      <c r="H1957" s="76" t="str">
        <f>C1955</f>
        <v>Electricity only</v>
      </c>
      <c r="I1957" s="161" t="str">
        <f t="shared" si="385"/>
        <v>S</v>
      </c>
      <c r="J1957" s="119">
        <f>IF(tech_base!$T213&gt;J$1745,"",(tech_base!$K213/tech_proj!J337*0.086*$J$132)/(1-tech_proj!J617))</f>
        <v>0</v>
      </c>
      <c r="K1957" s="119">
        <f>IF(tech_base!$T213&gt;K$1745,"",(tech_base!$K213/tech_proj!K337*0.086*$J$132)/(1-tech_proj!K617))</f>
        <v>0</v>
      </c>
      <c r="L1957" s="119">
        <f>IF(tech_base!$T213&gt;L$1745,"",(tech_base!$K213/tech_proj!L337*0.086*$J$132)/(1-tech_proj!L617))</f>
        <v>0</v>
      </c>
      <c r="M1957" s="119">
        <f>IF(tech_base!$T213&gt;M$1745,"",(tech_base!$K213/tech_proj!M337*0.086*$J$132)/(1-tech_proj!M617))</f>
        <v>0</v>
      </c>
      <c r="N1957" s="119">
        <f>IF(tech_base!$T213&gt;N$1745,"",(tech_base!$K213/tech_proj!N337*0.086*$J$132)/(1-tech_proj!N617))</f>
        <v>0</v>
      </c>
      <c r="O1957" s="119">
        <f>IF(tech_base!$T213&gt;O$1745,"",(tech_base!$K213/tech_proj!O337*0.086*$J$132)/(1-tech_proj!O617))</f>
        <v>0</v>
      </c>
      <c r="P1957" s="119">
        <f>IF(tech_base!$T213&gt;P$1745,"",(tech_base!$K213/tech_proj!P337*0.086*$J$132)/(1-tech_proj!P617))</f>
        <v>0</v>
      </c>
      <c r="Q1957" s="119">
        <f>IF(tech_base!$T213&gt;Q$1745,"",(tech_base!$K213/tech_proj!Q337*0.086*$J$132)/(1-tech_proj!Q617))</f>
        <v>0</v>
      </c>
      <c r="R1957" s="119">
        <f>IF(tech_base!$T213&gt;R$1745,"",(tech_base!$K213/tech_proj!R337*0.086*$J$132)/(1-tech_proj!R617))</f>
        <v>0</v>
      </c>
      <c r="S1957" s="119">
        <f>IF(tech_base!$T213&gt;S$1745,"",(tech_base!$K213/tech_proj!S337*0.086*$J$132)/(1-tech_proj!S617))</f>
        <v>0</v>
      </c>
      <c r="T1957" s="119">
        <f>IF(tech_base!$T213&gt;T$1745,"",(tech_base!$K213/tech_proj!T337*0.086*$J$132)/(1-tech_proj!T617))</f>
        <v>0</v>
      </c>
      <c r="U1957" s="119">
        <f>IF(tech_base!$T213&gt;U$1745,"",(tech_base!$K213/tech_proj!U337*0.086*$J$132)/(1-tech_proj!U617))</f>
        <v>0</v>
      </c>
      <c r="V1957" s="119">
        <f>IF(tech_base!$T213&gt;V$1745,"",(tech_base!$K213/tech_proj!V337*0.086*$J$132)/(1-tech_proj!V617))</f>
        <v>0</v>
      </c>
      <c r="W1957" s="119">
        <f>IF(tech_base!$T213&gt;W$1745,"",(tech_base!$K213/tech_proj!W337*0.086*$J$132)/(1-tech_proj!W617))</f>
        <v>0</v>
      </c>
      <c r="X1957" s="119">
        <f>IF(tech_base!$T213&gt;X$1745,"",(tech_base!$K213/tech_proj!X337*0.086*$J$132)/(1-tech_proj!X617))</f>
        <v>0</v>
      </c>
      <c r="Y1957" s="119">
        <f>IF(tech_base!$T213&gt;Y$1745,"",(tech_base!$K213/tech_proj!Y337*0.086*$J$132)/(1-tech_proj!Y617))</f>
        <v>0</v>
      </c>
      <c r="Z1957" s="119">
        <f>IF(tech_base!$T213&gt;Z$1745,"",(tech_base!$K213/tech_proj!Z337*0.086*$J$132)/(1-tech_proj!Z617))</f>
        <v>0</v>
      </c>
      <c r="AA1957" s="119">
        <f>IF(tech_base!$T213&gt;AA$1745,"",(tech_base!$K213/tech_proj!AA337*0.086*$J$132)/(1-tech_proj!AA617))</f>
        <v>0</v>
      </c>
      <c r="AB1957" s="119">
        <f>IF(tech_base!$T213&gt;AB$1745,"",(tech_base!$K213/tech_proj!AB337*0.086*$J$132)/(1-tech_proj!AB617))</f>
        <v>0</v>
      </c>
      <c r="AC1957" s="119">
        <f>IF(tech_base!$T213&gt;AC$1745,"",(tech_base!$K213/tech_proj!AC337*0.086*$J$132)/(1-tech_proj!AC617))</f>
        <v>0</v>
      </c>
      <c r="AD1957" s="119">
        <f>IF(tech_base!$T213&gt;AD$1745,"",(tech_base!$K213/tech_proj!AD337*0.086*$J$132)/(1-tech_proj!AD617))</f>
        <v>0</v>
      </c>
      <c r="AE1957" s="119">
        <f>IF(tech_base!$T213&gt;AE$1745,"",(tech_base!$K213/tech_proj!AE337*0.086*$J$132)/(1-tech_proj!AE617))</f>
        <v>0</v>
      </c>
      <c r="AF1957" s="119">
        <f>IF(tech_base!$T213&gt;AF$1745,"",(tech_base!$K213/tech_proj!AF337*0.086*$J$132)/(1-tech_proj!AF617))</f>
        <v>0</v>
      </c>
      <c r="AG1957" s="119">
        <f>IF(tech_base!$T213&gt;AG$1745,"",(tech_base!$K213/tech_proj!AG337*0.086*$J$132)/(1-tech_proj!AG617))</f>
        <v>0</v>
      </c>
      <c r="AH1957" s="119">
        <f>IF(tech_base!$T213&gt;AH$1745,"",(tech_base!$K213/tech_proj!AH337*0.086*$J$132)/(1-tech_proj!AH617))</f>
        <v>0</v>
      </c>
      <c r="AI1957" s="119">
        <f>IF(tech_base!$T213&gt;AI$1745,"",(tech_base!$K213/tech_proj!AI337*0.086*$J$132)/(1-tech_proj!AI617))</f>
        <v>0</v>
      </c>
      <c r="AJ1957" s="119">
        <f>IF(tech_base!$T213&gt;AJ$1745,"",(tech_base!$K213/tech_proj!AJ337*0.086*$J$132)/(1-tech_proj!AJ617))</f>
        <v>0</v>
      </c>
      <c r="AK1957" s="119">
        <f>IF(tech_base!$T213&gt;AK$1745,"",(tech_base!$K213/tech_proj!AK337*0.086*$J$132)/(1-tech_proj!AK617))</f>
        <v>0</v>
      </c>
      <c r="AL1957" s="119">
        <f>IF(tech_base!$T213&gt;AL$1745,"",(tech_base!$K213/tech_proj!AL337*0.086*$J$132)/(1-tech_proj!AL617))</f>
        <v>0</v>
      </c>
      <c r="AM1957" s="119">
        <f>IF(tech_base!$T213&gt;AM$1745,"",(tech_base!$K213/tech_proj!AM337*0.086*$J$132)/(1-tech_proj!AM617))</f>
        <v>0</v>
      </c>
      <c r="AN1957" s="119">
        <f>IF(tech_base!$T213&gt;AN$1745,"",(tech_base!$K213/tech_proj!AN337*0.086*$J$132)/(1-tech_proj!AN617))</f>
        <v>0</v>
      </c>
      <c r="AO1957" s="119">
        <f>IF(tech_base!$T213&gt;AO$1745,"",(tech_base!$K213/tech_proj!AO337*0.086*$J$132)/(1-tech_proj!AO617))</f>
        <v>0</v>
      </c>
      <c r="AP1957" s="119">
        <f>IF(tech_base!$T213&gt;AP$1745,"",(tech_base!$K213/tech_proj!AP337*0.086*$J$132)/(1-tech_proj!AP617))</f>
        <v>0</v>
      </c>
      <c r="AQ1957" s="119">
        <f>IF(tech_base!$T213&gt;AQ$1745,"",(tech_base!$K213/tech_proj!AQ337*0.086*$J$132)/(1-tech_proj!AQ617))</f>
        <v>0</v>
      </c>
      <c r="AR1957" s="119">
        <f>IF(tech_base!$T213&gt;AR$1745,"",(tech_base!$K213/tech_proj!AR337*0.086*$J$132)/(1-tech_proj!AR617))</f>
        <v>0</v>
      </c>
      <c r="AS1957" s="119">
        <f>IF(tech_base!$T213&gt;AS$1745,"",(tech_base!$K213/tech_proj!AS337*0.086*$J$132)/(1-tech_proj!AS617))</f>
        <v>0</v>
      </c>
      <c r="AT1957" s="119">
        <f>IF(tech_base!$T213&gt;AT$1745,"",(tech_base!$K213/tech_proj!AT337*0.086*$J$132)/(1-tech_proj!AT617))</f>
        <v>0</v>
      </c>
      <c r="AU1957" s="119">
        <f>IF(tech_base!$T213&gt;AU$1745,"",(tech_base!$K213/tech_proj!AU337*0.086*$J$132)/(1-tech_proj!AU617))</f>
        <v>0</v>
      </c>
      <c r="AV1957" s="119">
        <f>IF(tech_base!$T213&gt;AV$1745,"",(tech_base!$K213/tech_proj!AV337*0.086*$J$132)/(1-tech_proj!AV617))</f>
        <v>0</v>
      </c>
      <c r="AW1957" s="119">
        <f>IF(tech_base!$T213&gt;AW$1745,"",(tech_base!$K213/tech_proj!AW337*0.086*$J$132)/(1-tech_proj!AW617))</f>
        <v>0</v>
      </c>
      <c r="AX1957" s="120">
        <f>IF(tech_base!$T213&gt;AX$1745,"",(tech_base!$K213/tech_proj!AX337*0.086*$J$132)/(1-tech_proj!AX617))</f>
        <v>0</v>
      </c>
    </row>
    <row r="1958" spans="1:50" x14ac:dyDescent="0.25">
      <c r="A1958" s="356"/>
      <c r="B1958" s="376"/>
      <c r="C1958" s="379"/>
      <c r="D1958" s="2" t="s">
        <v>20</v>
      </c>
      <c r="E1958" s="160" t="str">
        <f>A1947&amp;"/"&amp;B1955&amp;"/"&amp;C1955&amp;"/"&amp;D1958</f>
        <v>Biomass and waste fired power plants/Fluidized bed combustion/Electricity only/XS</v>
      </c>
      <c r="F1958" s="76" t="str">
        <f>A1947</f>
        <v>Biomass and waste fired power plants</v>
      </c>
      <c r="G1958" s="76" t="str">
        <f>B1955</f>
        <v>Fluidized bed combustion</v>
      </c>
      <c r="H1958" s="76" t="str">
        <f>C1955</f>
        <v>Electricity only</v>
      </c>
      <c r="I1958" s="161" t="str">
        <f t="shared" si="385"/>
        <v>XS</v>
      </c>
      <c r="J1958" s="119">
        <f>IF(tech_base!$T214&gt;J$1745,"",(tech_base!$K214/tech_proj!J338*0.086*$J$132)/(1-tech_proj!J618))</f>
        <v>0</v>
      </c>
      <c r="K1958" s="119">
        <f>IF(tech_base!$T214&gt;K$1745,"",(tech_base!$K214/tech_proj!K338*0.086*$J$132)/(1-tech_proj!K618))</f>
        <v>0</v>
      </c>
      <c r="L1958" s="119">
        <f>IF(tech_base!$T214&gt;L$1745,"",(tech_base!$K214/tech_proj!L338*0.086*$J$132)/(1-tech_proj!L618))</f>
        <v>0</v>
      </c>
      <c r="M1958" s="119">
        <f>IF(tech_base!$T214&gt;M$1745,"",(tech_base!$K214/tech_proj!M338*0.086*$J$132)/(1-tech_proj!M618))</f>
        <v>0</v>
      </c>
      <c r="N1958" s="119">
        <f>IF(tech_base!$T214&gt;N$1745,"",(tech_base!$K214/tech_proj!N338*0.086*$J$132)/(1-tech_proj!N618))</f>
        <v>0</v>
      </c>
      <c r="O1958" s="119">
        <f>IF(tech_base!$T214&gt;O$1745,"",(tech_base!$K214/tech_proj!O338*0.086*$J$132)/(1-tech_proj!O618))</f>
        <v>0</v>
      </c>
      <c r="P1958" s="119">
        <f>IF(tech_base!$T214&gt;P$1745,"",(tech_base!$K214/tech_proj!P338*0.086*$J$132)/(1-tech_proj!P618))</f>
        <v>0</v>
      </c>
      <c r="Q1958" s="119">
        <f>IF(tech_base!$T214&gt;Q$1745,"",(tech_base!$K214/tech_proj!Q338*0.086*$J$132)/(1-tech_proj!Q618))</f>
        <v>0</v>
      </c>
      <c r="R1958" s="119">
        <f>IF(tech_base!$T214&gt;R$1745,"",(tech_base!$K214/tech_proj!R338*0.086*$J$132)/(1-tech_proj!R618))</f>
        <v>0</v>
      </c>
      <c r="S1958" s="119">
        <f>IF(tech_base!$T214&gt;S$1745,"",(tech_base!$K214/tech_proj!S338*0.086*$J$132)/(1-tech_proj!S618))</f>
        <v>0</v>
      </c>
      <c r="T1958" s="119">
        <f>IF(tech_base!$T214&gt;T$1745,"",(tech_base!$K214/tech_proj!T338*0.086*$J$132)/(1-tech_proj!T618))</f>
        <v>0</v>
      </c>
      <c r="U1958" s="119">
        <f>IF(tech_base!$T214&gt;U$1745,"",(tech_base!$K214/tech_proj!U338*0.086*$J$132)/(1-tech_proj!U618))</f>
        <v>0</v>
      </c>
      <c r="V1958" s="119">
        <f>IF(tech_base!$T214&gt;V$1745,"",(tech_base!$K214/tech_proj!V338*0.086*$J$132)/(1-tech_proj!V618))</f>
        <v>0</v>
      </c>
      <c r="W1958" s="119">
        <f>IF(tech_base!$T214&gt;W$1745,"",(tech_base!$K214/tech_proj!W338*0.086*$J$132)/(1-tech_proj!W618))</f>
        <v>0</v>
      </c>
      <c r="X1958" s="119">
        <f>IF(tech_base!$T214&gt;X$1745,"",(tech_base!$K214/tech_proj!X338*0.086*$J$132)/(1-tech_proj!X618))</f>
        <v>0</v>
      </c>
      <c r="Y1958" s="119">
        <f>IF(tech_base!$T214&gt;Y$1745,"",(tech_base!$K214/tech_proj!Y338*0.086*$J$132)/(1-tech_proj!Y618))</f>
        <v>0</v>
      </c>
      <c r="Z1958" s="119">
        <f>IF(tech_base!$T214&gt;Z$1745,"",(tech_base!$K214/tech_proj!Z338*0.086*$J$132)/(1-tech_proj!Z618))</f>
        <v>0</v>
      </c>
      <c r="AA1958" s="119">
        <f>IF(tech_base!$T214&gt;AA$1745,"",(tech_base!$K214/tech_proj!AA338*0.086*$J$132)/(1-tech_proj!AA618))</f>
        <v>0</v>
      </c>
      <c r="AB1958" s="119">
        <f>IF(tech_base!$T214&gt;AB$1745,"",(tech_base!$K214/tech_proj!AB338*0.086*$J$132)/(1-tech_proj!AB618))</f>
        <v>0</v>
      </c>
      <c r="AC1958" s="119">
        <f>IF(tech_base!$T214&gt;AC$1745,"",(tech_base!$K214/tech_proj!AC338*0.086*$J$132)/(1-tech_proj!AC618))</f>
        <v>0</v>
      </c>
      <c r="AD1958" s="119">
        <f>IF(tech_base!$T214&gt;AD$1745,"",(tech_base!$K214/tech_proj!AD338*0.086*$J$132)/(1-tech_proj!AD618))</f>
        <v>0</v>
      </c>
      <c r="AE1958" s="119">
        <f>IF(tech_base!$T214&gt;AE$1745,"",(tech_base!$K214/tech_proj!AE338*0.086*$J$132)/(1-tech_proj!AE618))</f>
        <v>0</v>
      </c>
      <c r="AF1958" s="119">
        <f>IF(tech_base!$T214&gt;AF$1745,"",(tech_base!$K214/tech_proj!AF338*0.086*$J$132)/(1-tech_proj!AF618))</f>
        <v>0</v>
      </c>
      <c r="AG1958" s="119">
        <f>IF(tech_base!$T214&gt;AG$1745,"",(tech_base!$K214/tech_proj!AG338*0.086*$J$132)/(1-tech_proj!AG618))</f>
        <v>0</v>
      </c>
      <c r="AH1958" s="119">
        <f>IF(tech_base!$T214&gt;AH$1745,"",(tech_base!$K214/tech_proj!AH338*0.086*$J$132)/(1-tech_proj!AH618))</f>
        <v>0</v>
      </c>
      <c r="AI1958" s="119">
        <f>IF(tech_base!$T214&gt;AI$1745,"",(tech_base!$K214/tech_proj!AI338*0.086*$J$132)/(1-tech_proj!AI618))</f>
        <v>0</v>
      </c>
      <c r="AJ1958" s="119">
        <f>IF(tech_base!$T214&gt;AJ$1745,"",(tech_base!$K214/tech_proj!AJ338*0.086*$J$132)/(1-tech_proj!AJ618))</f>
        <v>0</v>
      </c>
      <c r="AK1958" s="119">
        <f>IF(tech_base!$T214&gt;AK$1745,"",(tech_base!$K214/tech_proj!AK338*0.086*$J$132)/(1-tech_proj!AK618))</f>
        <v>0</v>
      </c>
      <c r="AL1958" s="119">
        <f>IF(tech_base!$T214&gt;AL$1745,"",(tech_base!$K214/tech_proj!AL338*0.086*$J$132)/(1-tech_proj!AL618))</f>
        <v>0</v>
      </c>
      <c r="AM1958" s="119">
        <f>IF(tech_base!$T214&gt;AM$1745,"",(tech_base!$K214/tech_proj!AM338*0.086*$J$132)/(1-tech_proj!AM618))</f>
        <v>0</v>
      </c>
      <c r="AN1958" s="119">
        <f>IF(tech_base!$T214&gt;AN$1745,"",(tech_base!$K214/tech_proj!AN338*0.086*$J$132)/(1-tech_proj!AN618))</f>
        <v>0</v>
      </c>
      <c r="AO1958" s="119">
        <f>IF(tech_base!$T214&gt;AO$1745,"",(tech_base!$K214/tech_proj!AO338*0.086*$J$132)/(1-tech_proj!AO618))</f>
        <v>0</v>
      </c>
      <c r="AP1958" s="119">
        <f>IF(tech_base!$T214&gt;AP$1745,"",(tech_base!$K214/tech_proj!AP338*0.086*$J$132)/(1-tech_proj!AP618))</f>
        <v>0</v>
      </c>
      <c r="AQ1958" s="119">
        <f>IF(tech_base!$T214&gt;AQ$1745,"",(tech_base!$K214/tech_proj!AQ338*0.086*$J$132)/(1-tech_proj!AQ618))</f>
        <v>0</v>
      </c>
      <c r="AR1958" s="119">
        <f>IF(tech_base!$T214&gt;AR$1745,"",(tech_base!$K214/tech_proj!AR338*0.086*$J$132)/(1-tech_proj!AR618))</f>
        <v>0</v>
      </c>
      <c r="AS1958" s="119">
        <f>IF(tech_base!$T214&gt;AS$1745,"",(tech_base!$K214/tech_proj!AS338*0.086*$J$132)/(1-tech_proj!AS618))</f>
        <v>0</v>
      </c>
      <c r="AT1958" s="119">
        <f>IF(tech_base!$T214&gt;AT$1745,"",(tech_base!$K214/tech_proj!AT338*0.086*$J$132)/(1-tech_proj!AT618))</f>
        <v>0</v>
      </c>
      <c r="AU1958" s="119">
        <f>IF(tech_base!$T214&gt;AU$1745,"",(tech_base!$K214/tech_proj!AU338*0.086*$J$132)/(1-tech_proj!AU618))</f>
        <v>0</v>
      </c>
      <c r="AV1958" s="119">
        <f>IF(tech_base!$T214&gt;AV$1745,"",(tech_base!$K214/tech_proj!AV338*0.086*$J$132)/(1-tech_proj!AV618))</f>
        <v>0</v>
      </c>
      <c r="AW1958" s="119">
        <f>IF(tech_base!$T214&gt;AW$1745,"",(tech_base!$K214/tech_proj!AW338*0.086*$J$132)/(1-tech_proj!AW618))</f>
        <v>0</v>
      </c>
      <c r="AX1958" s="120">
        <f>IF(tech_base!$T214&gt;AX$1745,"",(tech_base!$K214/tech_proj!AX338*0.086*$J$132)/(1-tech_proj!AX618))</f>
        <v>0</v>
      </c>
    </row>
    <row r="1959" spans="1:50" x14ac:dyDescent="0.25">
      <c r="A1959" s="356"/>
      <c r="B1959" s="376"/>
      <c r="C1959" s="361" t="s">
        <v>14</v>
      </c>
      <c r="D1959" s="58" t="s">
        <v>7</v>
      </c>
      <c r="E1959" s="164" t="str">
        <f>A1947&amp;"/"&amp;B1955&amp;"/"&amp;C1959&amp;"/"&amp;D1959</f>
        <v>Biomass and waste fired power plants/Fluidized bed combustion/CHP/L</v>
      </c>
      <c r="F1959" s="78" t="str">
        <f>A1947</f>
        <v>Biomass and waste fired power plants</v>
      </c>
      <c r="G1959" s="78" t="str">
        <f>B1955</f>
        <v>Fluidized bed combustion</v>
      </c>
      <c r="H1959" s="78" t="str">
        <f>C1959</f>
        <v>CHP</v>
      </c>
      <c r="I1959" s="165" t="str">
        <f t="shared" si="385"/>
        <v>L</v>
      </c>
      <c r="J1959" s="123">
        <f>IF(tech_base!$T215&gt;J$1745,"",(tech_base!$K215/tech_proj!J339*0.086*$J$132)/(1-tech_proj!J619))</f>
        <v>0</v>
      </c>
      <c r="K1959" s="123">
        <f>IF(tech_base!$T215&gt;K$1745,"",(tech_base!$K215/tech_proj!K339*0.086*$J$132)/(1-tech_proj!K619))</f>
        <v>0</v>
      </c>
      <c r="L1959" s="123">
        <f>IF(tech_base!$T215&gt;L$1745,"",(tech_base!$K215/tech_proj!L339*0.086*$J$132)/(1-tech_proj!L619))</f>
        <v>0</v>
      </c>
      <c r="M1959" s="123">
        <f>IF(tech_base!$T215&gt;M$1745,"",(tech_base!$K215/tech_proj!M339*0.086*$J$132)/(1-tech_proj!M619))</f>
        <v>0</v>
      </c>
      <c r="N1959" s="123">
        <f>IF(tech_base!$T215&gt;N$1745,"",(tech_base!$K215/tech_proj!N339*0.086*$J$132)/(1-tech_proj!N619))</f>
        <v>0</v>
      </c>
      <c r="O1959" s="123">
        <f>IF(tech_base!$T215&gt;O$1745,"",(tech_base!$K215/tech_proj!O339*0.086*$J$132)/(1-tech_proj!O619))</f>
        <v>0</v>
      </c>
      <c r="P1959" s="123">
        <f>IF(tech_base!$T215&gt;P$1745,"",(tech_base!$K215/tech_proj!P339*0.086*$J$132)/(1-tech_proj!P619))</f>
        <v>0</v>
      </c>
      <c r="Q1959" s="123">
        <f>IF(tech_base!$T215&gt;Q$1745,"",(tech_base!$K215/tech_proj!Q339*0.086*$J$132)/(1-tech_proj!Q619))</f>
        <v>0</v>
      </c>
      <c r="R1959" s="123">
        <f>IF(tech_base!$T215&gt;R$1745,"",(tech_base!$K215/tech_proj!R339*0.086*$J$132)/(1-tech_proj!R619))</f>
        <v>0</v>
      </c>
      <c r="S1959" s="123">
        <f>IF(tech_base!$T215&gt;S$1745,"",(tech_base!$K215/tech_proj!S339*0.086*$J$132)/(1-tech_proj!S619))</f>
        <v>0</v>
      </c>
      <c r="T1959" s="123">
        <f>IF(tech_base!$T215&gt;T$1745,"",(tech_base!$K215/tech_proj!T339*0.086*$J$132)/(1-tech_proj!T619))</f>
        <v>0</v>
      </c>
      <c r="U1959" s="123">
        <f>IF(tech_base!$T215&gt;U$1745,"",(tech_base!$K215/tech_proj!U339*0.086*$J$132)/(1-tech_proj!U619))</f>
        <v>0</v>
      </c>
      <c r="V1959" s="123">
        <f>IF(tech_base!$T215&gt;V$1745,"",(tech_base!$K215/tech_proj!V339*0.086*$J$132)/(1-tech_proj!V619))</f>
        <v>0</v>
      </c>
      <c r="W1959" s="123">
        <f>IF(tech_base!$T215&gt;W$1745,"",(tech_base!$K215/tech_proj!W339*0.086*$J$132)/(1-tech_proj!W619))</f>
        <v>0</v>
      </c>
      <c r="X1959" s="123">
        <f>IF(tech_base!$T215&gt;X$1745,"",(tech_base!$K215/tech_proj!X339*0.086*$J$132)/(1-tech_proj!X619))</f>
        <v>0</v>
      </c>
      <c r="Y1959" s="123">
        <f>IF(tech_base!$T215&gt;Y$1745,"",(tech_base!$K215/tech_proj!Y339*0.086*$J$132)/(1-tech_proj!Y619))</f>
        <v>0</v>
      </c>
      <c r="Z1959" s="123">
        <f>IF(tech_base!$T215&gt;Z$1745,"",(tech_base!$K215/tech_proj!Z339*0.086*$J$132)/(1-tech_proj!Z619))</f>
        <v>0</v>
      </c>
      <c r="AA1959" s="123">
        <f>IF(tech_base!$T215&gt;AA$1745,"",(tech_base!$K215/tech_proj!AA339*0.086*$J$132)/(1-tech_proj!AA619))</f>
        <v>0</v>
      </c>
      <c r="AB1959" s="123">
        <f>IF(tech_base!$T215&gt;AB$1745,"",(tech_base!$K215/tech_proj!AB339*0.086*$J$132)/(1-tech_proj!AB619))</f>
        <v>0</v>
      </c>
      <c r="AC1959" s="123">
        <f>IF(tech_base!$T215&gt;AC$1745,"",(tech_base!$K215/tech_proj!AC339*0.086*$J$132)/(1-tech_proj!AC619))</f>
        <v>0</v>
      </c>
      <c r="AD1959" s="123">
        <f>IF(tech_base!$T215&gt;AD$1745,"",(tech_base!$K215/tech_proj!AD339*0.086*$J$132)/(1-tech_proj!AD619))</f>
        <v>0</v>
      </c>
      <c r="AE1959" s="123">
        <f>IF(tech_base!$T215&gt;AE$1745,"",(tech_base!$K215/tech_proj!AE339*0.086*$J$132)/(1-tech_proj!AE619))</f>
        <v>0</v>
      </c>
      <c r="AF1959" s="123">
        <f>IF(tech_base!$T215&gt;AF$1745,"",(tech_base!$K215/tech_proj!AF339*0.086*$J$132)/(1-tech_proj!AF619))</f>
        <v>0</v>
      </c>
      <c r="AG1959" s="123">
        <f>IF(tech_base!$T215&gt;AG$1745,"",(tech_base!$K215/tech_proj!AG339*0.086*$J$132)/(1-tech_proj!AG619))</f>
        <v>0</v>
      </c>
      <c r="AH1959" s="123">
        <f>IF(tech_base!$T215&gt;AH$1745,"",(tech_base!$K215/tech_proj!AH339*0.086*$J$132)/(1-tech_proj!AH619))</f>
        <v>0</v>
      </c>
      <c r="AI1959" s="123">
        <f>IF(tech_base!$T215&gt;AI$1745,"",(tech_base!$K215/tech_proj!AI339*0.086*$J$132)/(1-tech_proj!AI619))</f>
        <v>0</v>
      </c>
      <c r="AJ1959" s="123">
        <f>IF(tech_base!$T215&gt;AJ$1745,"",(tech_base!$K215/tech_proj!AJ339*0.086*$J$132)/(1-tech_proj!AJ619))</f>
        <v>0</v>
      </c>
      <c r="AK1959" s="123">
        <f>IF(tech_base!$T215&gt;AK$1745,"",(tech_base!$K215/tech_proj!AK339*0.086*$J$132)/(1-tech_proj!AK619))</f>
        <v>0</v>
      </c>
      <c r="AL1959" s="123">
        <f>IF(tech_base!$T215&gt;AL$1745,"",(tech_base!$K215/tech_proj!AL339*0.086*$J$132)/(1-tech_proj!AL619))</f>
        <v>0</v>
      </c>
      <c r="AM1959" s="123">
        <f>IF(tech_base!$T215&gt;AM$1745,"",(tech_base!$K215/tech_proj!AM339*0.086*$J$132)/(1-tech_proj!AM619))</f>
        <v>0</v>
      </c>
      <c r="AN1959" s="123">
        <f>IF(tech_base!$T215&gt;AN$1745,"",(tech_base!$K215/tech_proj!AN339*0.086*$J$132)/(1-tech_proj!AN619))</f>
        <v>0</v>
      </c>
      <c r="AO1959" s="123">
        <f>IF(tech_base!$T215&gt;AO$1745,"",(tech_base!$K215/tech_proj!AO339*0.086*$J$132)/(1-tech_proj!AO619))</f>
        <v>0</v>
      </c>
      <c r="AP1959" s="123">
        <f>IF(tech_base!$T215&gt;AP$1745,"",(tech_base!$K215/tech_proj!AP339*0.086*$J$132)/(1-tech_proj!AP619))</f>
        <v>0</v>
      </c>
      <c r="AQ1959" s="123">
        <f>IF(tech_base!$T215&gt;AQ$1745,"",(tech_base!$K215/tech_proj!AQ339*0.086*$J$132)/(1-tech_proj!AQ619))</f>
        <v>0</v>
      </c>
      <c r="AR1959" s="123">
        <f>IF(tech_base!$T215&gt;AR$1745,"",(tech_base!$K215/tech_proj!AR339*0.086*$J$132)/(1-tech_proj!AR619))</f>
        <v>0</v>
      </c>
      <c r="AS1959" s="123">
        <f>IF(tech_base!$T215&gt;AS$1745,"",(tech_base!$K215/tech_proj!AS339*0.086*$J$132)/(1-tech_proj!AS619))</f>
        <v>0</v>
      </c>
      <c r="AT1959" s="123">
        <f>IF(tech_base!$T215&gt;AT$1745,"",(tech_base!$K215/tech_proj!AT339*0.086*$J$132)/(1-tech_proj!AT619))</f>
        <v>0</v>
      </c>
      <c r="AU1959" s="123">
        <f>IF(tech_base!$T215&gt;AU$1745,"",(tech_base!$K215/tech_proj!AU339*0.086*$J$132)/(1-tech_proj!AU619))</f>
        <v>0</v>
      </c>
      <c r="AV1959" s="123">
        <f>IF(tech_base!$T215&gt;AV$1745,"",(tech_base!$K215/tech_proj!AV339*0.086*$J$132)/(1-tech_proj!AV619))</f>
        <v>0</v>
      </c>
      <c r="AW1959" s="123">
        <f>IF(tech_base!$T215&gt;AW$1745,"",(tech_base!$K215/tech_proj!AW339*0.086*$J$132)/(1-tech_proj!AW619))</f>
        <v>0</v>
      </c>
      <c r="AX1959" s="124">
        <f>IF(tech_base!$T215&gt;AX$1745,"",(tech_base!$K215/tech_proj!AX339*0.086*$J$132)/(1-tech_proj!AX619))</f>
        <v>0</v>
      </c>
    </row>
    <row r="1960" spans="1:50" x14ac:dyDescent="0.25">
      <c r="A1960" s="356"/>
      <c r="B1960" s="376"/>
      <c r="C1960" s="378"/>
      <c r="D1960" s="2" t="s">
        <v>8</v>
      </c>
      <c r="E1960" s="160" t="str">
        <f>A1947&amp;"/"&amp;B1955&amp;"/"&amp;C1959&amp;"/"&amp;D1960</f>
        <v>Biomass and waste fired power plants/Fluidized bed combustion/CHP/M</v>
      </c>
      <c r="F1960" s="76" t="str">
        <f>A1947</f>
        <v>Biomass and waste fired power plants</v>
      </c>
      <c r="G1960" s="76" t="str">
        <f>B1955</f>
        <v>Fluidized bed combustion</v>
      </c>
      <c r="H1960" s="76" t="str">
        <f>C1959</f>
        <v>CHP</v>
      </c>
      <c r="I1960" s="161" t="str">
        <f t="shared" si="385"/>
        <v>M</v>
      </c>
      <c r="J1960" s="119">
        <f>IF(tech_base!$T216&gt;J$1745,"",(tech_base!$K216/tech_proj!J340*0.086*$J$132)/(1-tech_proj!J620))</f>
        <v>0</v>
      </c>
      <c r="K1960" s="119">
        <f>IF(tech_base!$T216&gt;K$1745,"",(tech_base!$K216/tech_proj!K340*0.086*$J$132)/(1-tech_proj!K620))</f>
        <v>0</v>
      </c>
      <c r="L1960" s="119">
        <f>IF(tech_base!$T216&gt;L$1745,"",(tech_base!$K216/tech_proj!L340*0.086*$J$132)/(1-tech_proj!L620))</f>
        <v>0</v>
      </c>
      <c r="M1960" s="119">
        <f>IF(tech_base!$T216&gt;M$1745,"",(tech_base!$K216/tech_proj!M340*0.086*$J$132)/(1-tech_proj!M620))</f>
        <v>0</v>
      </c>
      <c r="N1960" s="119">
        <f>IF(tech_base!$T216&gt;N$1745,"",(tech_base!$K216/tech_proj!N340*0.086*$J$132)/(1-tech_proj!N620))</f>
        <v>0</v>
      </c>
      <c r="O1960" s="119">
        <f>IF(tech_base!$T216&gt;O$1745,"",(tech_base!$K216/tech_proj!O340*0.086*$J$132)/(1-tech_proj!O620))</f>
        <v>0</v>
      </c>
      <c r="P1960" s="119">
        <f>IF(tech_base!$T216&gt;P$1745,"",(tech_base!$K216/tech_proj!P340*0.086*$J$132)/(1-tech_proj!P620))</f>
        <v>0</v>
      </c>
      <c r="Q1960" s="119">
        <f>IF(tech_base!$T216&gt;Q$1745,"",(tech_base!$K216/tech_proj!Q340*0.086*$J$132)/(1-tech_proj!Q620))</f>
        <v>0</v>
      </c>
      <c r="R1960" s="119">
        <f>IF(tech_base!$T216&gt;R$1745,"",(tech_base!$K216/tech_proj!R340*0.086*$J$132)/(1-tech_proj!R620))</f>
        <v>0</v>
      </c>
      <c r="S1960" s="119">
        <f>IF(tech_base!$T216&gt;S$1745,"",(tech_base!$K216/tech_proj!S340*0.086*$J$132)/(1-tech_proj!S620))</f>
        <v>0</v>
      </c>
      <c r="T1960" s="119">
        <f>IF(tech_base!$T216&gt;T$1745,"",(tech_base!$K216/tech_proj!T340*0.086*$J$132)/(1-tech_proj!T620))</f>
        <v>0</v>
      </c>
      <c r="U1960" s="119">
        <f>IF(tech_base!$T216&gt;U$1745,"",(tech_base!$K216/tech_proj!U340*0.086*$J$132)/(1-tech_proj!U620))</f>
        <v>0</v>
      </c>
      <c r="V1960" s="119">
        <f>IF(tech_base!$T216&gt;V$1745,"",(tech_base!$K216/tech_proj!V340*0.086*$J$132)/(1-tech_proj!V620))</f>
        <v>0</v>
      </c>
      <c r="W1960" s="119">
        <f>IF(tech_base!$T216&gt;W$1745,"",(tech_base!$K216/tech_proj!W340*0.086*$J$132)/(1-tech_proj!W620))</f>
        <v>0</v>
      </c>
      <c r="X1960" s="119">
        <f>IF(tech_base!$T216&gt;X$1745,"",(tech_base!$K216/tech_proj!X340*0.086*$J$132)/(1-tech_proj!X620))</f>
        <v>0</v>
      </c>
      <c r="Y1960" s="119">
        <f>IF(tech_base!$T216&gt;Y$1745,"",(tech_base!$K216/tech_proj!Y340*0.086*$J$132)/(1-tech_proj!Y620))</f>
        <v>0</v>
      </c>
      <c r="Z1960" s="119">
        <f>IF(tech_base!$T216&gt;Z$1745,"",(tech_base!$K216/tech_proj!Z340*0.086*$J$132)/(1-tech_proj!Z620))</f>
        <v>0</v>
      </c>
      <c r="AA1960" s="119">
        <f>IF(tech_base!$T216&gt;AA$1745,"",(tech_base!$K216/tech_proj!AA340*0.086*$J$132)/(1-tech_proj!AA620))</f>
        <v>0</v>
      </c>
      <c r="AB1960" s="119">
        <f>IF(tech_base!$T216&gt;AB$1745,"",(tech_base!$K216/tech_proj!AB340*0.086*$J$132)/(1-tech_proj!AB620))</f>
        <v>0</v>
      </c>
      <c r="AC1960" s="119">
        <f>IF(tech_base!$T216&gt;AC$1745,"",(tech_base!$K216/tech_proj!AC340*0.086*$J$132)/(1-tech_proj!AC620))</f>
        <v>0</v>
      </c>
      <c r="AD1960" s="119">
        <f>IF(tech_base!$T216&gt;AD$1745,"",(tech_base!$K216/tech_proj!AD340*0.086*$J$132)/(1-tech_proj!AD620))</f>
        <v>0</v>
      </c>
      <c r="AE1960" s="119">
        <f>IF(tech_base!$T216&gt;AE$1745,"",(tech_base!$K216/tech_proj!AE340*0.086*$J$132)/(1-tech_proj!AE620))</f>
        <v>0</v>
      </c>
      <c r="AF1960" s="119">
        <f>IF(tech_base!$T216&gt;AF$1745,"",(tech_base!$K216/tech_proj!AF340*0.086*$J$132)/(1-tech_proj!AF620))</f>
        <v>0</v>
      </c>
      <c r="AG1960" s="119">
        <f>IF(tech_base!$T216&gt;AG$1745,"",(tech_base!$K216/tech_proj!AG340*0.086*$J$132)/(1-tech_proj!AG620))</f>
        <v>0</v>
      </c>
      <c r="AH1960" s="119">
        <f>IF(tech_base!$T216&gt;AH$1745,"",(tech_base!$K216/tech_proj!AH340*0.086*$J$132)/(1-tech_proj!AH620))</f>
        <v>0</v>
      </c>
      <c r="AI1960" s="119">
        <f>IF(tech_base!$T216&gt;AI$1745,"",(tech_base!$K216/tech_proj!AI340*0.086*$J$132)/(1-tech_proj!AI620))</f>
        <v>0</v>
      </c>
      <c r="AJ1960" s="119">
        <f>IF(tech_base!$T216&gt;AJ$1745,"",(tech_base!$K216/tech_proj!AJ340*0.086*$J$132)/(1-tech_proj!AJ620))</f>
        <v>0</v>
      </c>
      <c r="AK1960" s="119">
        <f>IF(tech_base!$T216&gt;AK$1745,"",(tech_base!$K216/tech_proj!AK340*0.086*$J$132)/(1-tech_proj!AK620))</f>
        <v>0</v>
      </c>
      <c r="AL1960" s="119">
        <f>IF(tech_base!$T216&gt;AL$1745,"",(tech_base!$K216/tech_proj!AL340*0.086*$J$132)/(1-tech_proj!AL620))</f>
        <v>0</v>
      </c>
      <c r="AM1960" s="119">
        <f>IF(tech_base!$T216&gt;AM$1745,"",(tech_base!$K216/tech_proj!AM340*0.086*$J$132)/(1-tech_proj!AM620))</f>
        <v>0</v>
      </c>
      <c r="AN1960" s="119">
        <f>IF(tech_base!$T216&gt;AN$1745,"",(tech_base!$K216/tech_proj!AN340*0.086*$J$132)/(1-tech_proj!AN620))</f>
        <v>0</v>
      </c>
      <c r="AO1960" s="119">
        <f>IF(tech_base!$T216&gt;AO$1745,"",(tech_base!$K216/tech_proj!AO340*0.086*$J$132)/(1-tech_proj!AO620))</f>
        <v>0</v>
      </c>
      <c r="AP1960" s="119">
        <f>IF(tech_base!$T216&gt;AP$1745,"",(tech_base!$K216/tech_proj!AP340*0.086*$J$132)/(1-tech_proj!AP620))</f>
        <v>0</v>
      </c>
      <c r="AQ1960" s="119">
        <f>IF(tech_base!$T216&gt;AQ$1745,"",(tech_base!$K216/tech_proj!AQ340*0.086*$J$132)/(1-tech_proj!AQ620))</f>
        <v>0</v>
      </c>
      <c r="AR1960" s="119">
        <f>IF(tech_base!$T216&gt;AR$1745,"",(tech_base!$K216/tech_proj!AR340*0.086*$J$132)/(1-tech_proj!AR620))</f>
        <v>0</v>
      </c>
      <c r="AS1960" s="119">
        <f>IF(tech_base!$T216&gt;AS$1745,"",(tech_base!$K216/tech_proj!AS340*0.086*$J$132)/(1-tech_proj!AS620))</f>
        <v>0</v>
      </c>
      <c r="AT1960" s="119">
        <f>IF(tech_base!$T216&gt;AT$1745,"",(tech_base!$K216/tech_proj!AT340*0.086*$J$132)/(1-tech_proj!AT620))</f>
        <v>0</v>
      </c>
      <c r="AU1960" s="119">
        <f>IF(tech_base!$T216&gt;AU$1745,"",(tech_base!$K216/tech_proj!AU340*0.086*$J$132)/(1-tech_proj!AU620))</f>
        <v>0</v>
      </c>
      <c r="AV1960" s="119">
        <f>IF(tech_base!$T216&gt;AV$1745,"",(tech_base!$K216/tech_proj!AV340*0.086*$J$132)/(1-tech_proj!AV620))</f>
        <v>0</v>
      </c>
      <c r="AW1960" s="119">
        <f>IF(tech_base!$T216&gt;AW$1745,"",(tech_base!$K216/tech_proj!AW340*0.086*$J$132)/(1-tech_proj!AW620))</f>
        <v>0</v>
      </c>
      <c r="AX1960" s="120">
        <f>IF(tech_base!$T216&gt;AX$1745,"",(tech_base!$K216/tech_proj!AX340*0.086*$J$132)/(1-tech_proj!AX620))</f>
        <v>0</v>
      </c>
    </row>
    <row r="1961" spans="1:50" x14ac:dyDescent="0.25">
      <c r="A1961" s="356"/>
      <c r="B1961" s="376"/>
      <c r="C1961" s="378"/>
      <c r="D1961" s="2" t="s">
        <v>10</v>
      </c>
      <c r="E1961" s="160" t="str">
        <f>A1947&amp;"/"&amp;B1955&amp;"/"&amp;C1959&amp;"/"&amp;D1961</f>
        <v>Biomass and waste fired power plants/Fluidized bed combustion/CHP/S</v>
      </c>
      <c r="F1961" s="76" t="str">
        <f>A1947</f>
        <v>Biomass and waste fired power plants</v>
      </c>
      <c r="G1961" s="76" t="str">
        <f>B1955</f>
        <v>Fluidized bed combustion</v>
      </c>
      <c r="H1961" s="76" t="str">
        <f>C1959</f>
        <v>CHP</v>
      </c>
      <c r="I1961" s="161" t="str">
        <f t="shared" si="385"/>
        <v>S</v>
      </c>
      <c r="J1961" s="119">
        <f>IF(tech_base!$T217&gt;J$1745,"",(tech_base!$K217/tech_proj!J341*0.086*$J$132)/(1-tech_proj!J621))</f>
        <v>0</v>
      </c>
      <c r="K1961" s="119">
        <f>IF(tech_base!$T217&gt;K$1745,"",(tech_base!$K217/tech_proj!K341*0.086*$J$132)/(1-tech_proj!K621))</f>
        <v>0</v>
      </c>
      <c r="L1961" s="119">
        <f>IF(tech_base!$T217&gt;L$1745,"",(tech_base!$K217/tech_proj!L341*0.086*$J$132)/(1-tech_proj!L621))</f>
        <v>0</v>
      </c>
      <c r="M1961" s="119">
        <f>IF(tech_base!$T217&gt;M$1745,"",(tech_base!$K217/tech_proj!M341*0.086*$J$132)/(1-tech_proj!M621))</f>
        <v>0</v>
      </c>
      <c r="N1961" s="119">
        <f>IF(tech_base!$T217&gt;N$1745,"",(tech_base!$K217/tech_proj!N341*0.086*$J$132)/(1-tech_proj!N621))</f>
        <v>0</v>
      </c>
      <c r="O1961" s="119">
        <f>IF(tech_base!$T217&gt;O$1745,"",(tech_base!$K217/tech_proj!O341*0.086*$J$132)/(1-tech_proj!O621))</f>
        <v>0</v>
      </c>
      <c r="P1961" s="119">
        <f>IF(tech_base!$T217&gt;P$1745,"",(tech_base!$K217/tech_proj!P341*0.086*$J$132)/(1-tech_proj!P621))</f>
        <v>0</v>
      </c>
      <c r="Q1961" s="119">
        <f>IF(tech_base!$T217&gt;Q$1745,"",(tech_base!$K217/tech_proj!Q341*0.086*$J$132)/(1-tech_proj!Q621))</f>
        <v>0</v>
      </c>
      <c r="R1961" s="119">
        <f>IF(tech_base!$T217&gt;R$1745,"",(tech_base!$K217/tech_proj!R341*0.086*$J$132)/(1-tech_proj!R621))</f>
        <v>0</v>
      </c>
      <c r="S1961" s="119">
        <f>IF(tech_base!$T217&gt;S$1745,"",(tech_base!$K217/tech_proj!S341*0.086*$J$132)/(1-tech_proj!S621))</f>
        <v>0</v>
      </c>
      <c r="T1961" s="119">
        <f>IF(tech_base!$T217&gt;T$1745,"",(tech_base!$K217/tech_proj!T341*0.086*$J$132)/(1-tech_proj!T621))</f>
        <v>0</v>
      </c>
      <c r="U1961" s="119">
        <f>IF(tech_base!$T217&gt;U$1745,"",(tech_base!$K217/tech_proj!U341*0.086*$J$132)/(1-tech_proj!U621))</f>
        <v>0</v>
      </c>
      <c r="V1961" s="119">
        <f>IF(tech_base!$T217&gt;V$1745,"",(tech_base!$K217/tech_proj!V341*0.086*$J$132)/(1-tech_proj!V621))</f>
        <v>0</v>
      </c>
      <c r="W1961" s="119">
        <f>IF(tech_base!$T217&gt;W$1745,"",(tech_base!$K217/tech_proj!W341*0.086*$J$132)/(1-tech_proj!W621))</f>
        <v>0</v>
      </c>
      <c r="X1961" s="119">
        <f>IF(tech_base!$T217&gt;X$1745,"",(tech_base!$K217/tech_proj!X341*0.086*$J$132)/(1-tech_proj!X621))</f>
        <v>0</v>
      </c>
      <c r="Y1961" s="119">
        <f>IF(tech_base!$T217&gt;Y$1745,"",(tech_base!$K217/tech_proj!Y341*0.086*$J$132)/(1-tech_proj!Y621))</f>
        <v>0</v>
      </c>
      <c r="Z1961" s="119">
        <f>IF(tech_base!$T217&gt;Z$1745,"",(tech_base!$K217/tech_proj!Z341*0.086*$J$132)/(1-tech_proj!Z621))</f>
        <v>0</v>
      </c>
      <c r="AA1961" s="119">
        <f>IF(tech_base!$T217&gt;AA$1745,"",(tech_base!$K217/tech_proj!AA341*0.086*$J$132)/(1-tech_proj!AA621))</f>
        <v>0</v>
      </c>
      <c r="AB1961" s="119">
        <f>IF(tech_base!$T217&gt;AB$1745,"",(tech_base!$K217/tech_proj!AB341*0.086*$J$132)/(1-tech_proj!AB621))</f>
        <v>0</v>
      </c>
      <c r="AC1961" s="119">
        <f>IF(tech_base!$T217&gt;AC$1745,"",(tech_base!$K217/tech_proj!AC341*0.086*$J$132)/(1-tech_proj!AC621))</f>
        <v>0</v>
      </c>
      <c r="AD1961" s="119">
        <f>IF(tech_base!$T217&gt;AD$1745,"",(tech_base!$K217/tech_proj!AD341*0.086*$J$132)/(1-tech_proj!AD621))</f>
        <v>0</v>
      </c>
      <c r="AE1961" s="119">
        <f>IF(tech_base!$T217&gt;AE$1745,"",(tech_base!$K217/tech_proj!AE341*0.086*$J$132)/(1-tech_proj!AE621))</f>
        <v>0</v>
      </c>
      <c r="AF1961" s="119">
        <f>IF(tech_base!$T217&gt;AF$1745,"",(tech_base!$K217/tech_proj!AF341*0.086*$J$132)/(1-tech_proj!AF621))</f>
        <v>0</v>
      </c>
      <c r="AG1961" s="119">
        <f>IF(tech_base!$T217&gt;AG$1745,"",(tech_base!$K217/tech_proj!AG341*0.086*$J$132)/(1-tech_proj!AG621))</f>
        <v>0</v>
      </c>
      <c r="AH1961" s="119">
        <f>IF(tech_base!$T217&gt;AH$1745,"",(tech_base!$K217/tech_proj!AH341*0.086*$J$132)/(1-tech_proj!AH621))</f>
        <v>0</v>
      </c>
      <c r="AI1961" s="119">
        <f>IF(tech_base!$T217&gt;AI$1745,"",(tech_base!$K217/tech_proj!AI341*0.086*$J$132)/(1-tech_proj!AI621))</f>
        <v>0</v>
      </c>
      <c r="AJ1961" s="119">
        <f>IF(tech_base!$T217&gt;AJ$1745,"",(tech_base!$K217/tech_proj!AJ341*0.086*$J$132)/(1-tech_proj!AJ621))</f>
        <v>0</v>
      </c>
      <c r="AK1961" s="119">
        <f>IF(tech_base!$T217&gt;AK$1745,"",(tech_base!$K217/tech_proj!AK341*0.086*$J$132)/(1-tech_proj!AK621))</f>
        <v>0</v>
      </c>
      <c r="AL1961" s="119">
        <f>IF(tech_base!$T217&gt;AL$1745,"",(tech_base!$K217/tech_proj!AL341*0.086*$J$132)/(1-tech_proj!AL621))</f>
        <v>0</v>
      </c>
      <c r="AM1961" s="119">
        <f>IF(tech_base!$T217&gt;AM$1745,"",(tech_base!$K217/tech_proj!AM341*0.086*$J$132)/(1-tech_proj!AM621))</f>
        <v>0</v>
      </c>
      <c r="AN1961" s="119">
        <f>IF(tech_base!$T217&gt;AN$1745,"",(tech_base!$K217/tech_proj!AN341*0.086*$J$132)/(1-tech_proj!AN621))</f>
        <v>0</v>
      </c>
      <c r="AO1961" s="119">
        <f>IF(tech_base!$T217&gt;AO$1745,"",(tech_base!$K217/tech_proj!AO341*0.086*$J$132)/(1-tech_proj!AO621))</f>
        <v>0</v>
      </c>
      <c r="AP1961" s="119">
        <f>IF(tech_base!$T217&gt;AP$1745,"",(tech_base!$K217/tech_proj!AP341*0.086*$J$132)/(1-tech_proj!AP621))</f>
        <v>0</v>
      </c>
      <c r="AQ1961" s="119">
        <f>IF(tech_base!$T217&gt;AQ$1745,"",(tech_base!$K217/tech_proj!AQ341*0.086*$J$132)/(1-tech_proj!AQ621))</f>
        <v>0</v>
      </c>
      <c r="AR1961" s="119">
        <f>IF(tech_base!$T217&gt;AR$1745,"",(tech_base!$K217/tech_proj!AR341*0.086*$J$132)/(1-tech_proj!AR621))</f>
        <v>0</v>
      </c>
      <c r="AS1961" s="119">
        <f>IF(tech_base!$T217&gt;AS$1745,"",(tech_base!$K217/tech_proj!AS341*0.086*$J$132)/(1-tech_proj!AS621))</f>
        <v>0</v>
      </c>
      <c r="AT1961" s="119">
        <f>IF(tech_base!$T217&gt;AT$1745,"",(tech_base!$K217/tech_proj!AT341*0.086*$J$132)/(1-tech_proj!AT621))</f>
        <v>0</v>
      </c>
      <c r="AU1961" s="119">
        <f>IF(tech_base!$T217&gt;AU$1745,"",(tech_base!$K217/tech_proj!AU341*0.086*$J$132)/(1-tech_proj!AU621))</f>
        <v>0</v>
      </c>
      <c r="AV1961" s="119">
        <f>IF(tech_base!$T217&gt;AV$1745,"",(tech_base!$K217/tech_proj!AV341*0.086*$J$132)/(1-tech_proj!AV621))</f>
        <v>0</v>
      </c>
      <c r="AW1961" s="119">
        <f>IF(tech_base!$T217&gt;AW$1745,"",(tech_base!$K217/tech_proj!AW341*0.086*$J$132)/(1-tech_proj!AW621))</f>
        <v>0</v>
      </c>
      <c r="AX1961" s="120">
        <f>IF(tech_base!$T217&gt;AX$1745,"",(tech_base!$K217/tech_proj!AX341*0.086*$J$132)/(1-tech_proj!AX621))</f>
        <v>0</v>
      </c>
    </row>
    <row r="1962" spans="1:50" x14ac:dyDescent="0.25">
      <c r="A1962" s="356"/>
      <c r="B1962" s="376"/>
      <c r="C1962" s="379"/>
      <c r="D1962" s="59" t="s">
        <v>20</v>
      </c>
      <c r="E1962" s="166" t="str">
        <f>A1947&amp;"/"&amp;B1955&amp;"/"&amp;C1959&amp;"/"&amp;D1962</f>
        <v>Biomass and waste fired power plants/Fluidized bed combustion/CHP/XS</v>
      </c>
      <c r="F1962" s="79" t="str">
        <f>A1947</f>
        <v>Biomass and waste fired power plants</v>
      </c>
      <c r="G1962" s="79" t="str">
        <f>B1955</f>
        <v>Fluidized bed combustion</v>
      </c>
      <c r="H1962" s="79" t="str">
        <f>C1959</f>
        <v>CHP</v>
      </c>
      <c r="I1962" s="167" t="str">
        <f t="shared" si="385"/>
        <v>XS</v>
      </c>
      <c r="J1962" s="125">
        <f>IF(tech_base!$T218&gt;J$1745,"",(tech_base!$K218/tech_proj!J342*0.086*$J$132)/(1-tech_proj!J622))</f>
        <v>0</v>
      </c>
      <c r="K1962" s="125">
        <f>IF(tech_base!$T218&gt;K$1745,"",(tech_base!$K218/tech_proj!K342*0.086*$J$132)/(1-tech_proj!K622))</f>
        <v>0</v>
      </c>
      <c r="L1962" s="125">
        <f>IF(tech_base!$T218&gt;L$1745,"",(tech_base!$K218/tech_proj!L342*0.086*$J$132)/(1-tech_proj!L622))</f>
        <v>0</v>
      </c>
      <c r="M1962" s="125">
        <f>IF(tech_base!$T218&gt;M$1745,"",(tech_base!$K218/tech_proj!M342*0.086*$J$132)/(1-tech_proj!M622))</f>
        <v>0</v>
      </c>
      <c r="N1962" s="125">
        <f>IF(tech_base!$T218&gt;N$1745,"",(tech_base!$K218/tech_proj!N342*0.086*$J$132)/(1-tech_proj!N622))</f>
        <v>0</v>
      </c>
      <c r="O1962" s="125">
        <f>IF(tech_base!$T218&gt;O$1745,"",(tech_base!$K218/tech_proj!O342*0.086*$J$132)/(1-tech_proj!O622))</f>
        <v>0</v>
      </c>
      <c r="P1962" s="125">
        <f>IF(tech_base!$T218&gt;P$1745,"",(tech_base!$K218/tech_proj!P342*0.086*$J$132)/(1-tech_proj!P622))</f>
        <v>0</v>
      </c>
      <c r="Q1962" s="125">
        <f>IF(tech_base!$T218&gt;Q$1745,"",(tech_base!$K218/tech_proj!Q342*0.086*$J$132)/(1-tech_proj!Q622))</f>
        <v>0</v>
      </c>
      <c r="R1962" s="125">
        <f>IF(tech_base!$T218&gt;R$1745,"",(tech_base!$K218/tech_proj!R342*0.086*$J$132)/(1-tech_proj!R622))</f>
        <v>0</v>
      </c>
      <c r="S1962" s="125">
        <f>IF(tech_base!$T218&gt;S$1745,"",(tech_base!$K218/tech_proj!S342*0.086*$J$132)/(1-tech_proj!S622))</f>
        <v>0</v>
      </c>
      <c r="T1962" s="125">
        <f>IF(tech_base!$T218&gt;T$1745,"",(tech_base!$K218/tech_proj!T342*0.086*$J$132)/(1-tech_proj!T622))</f>
        <v>0</v>
      </c>
      <c r="U1962" s="125">
        <f>IF(tech_base!$T218&gt;U$1745,"",(tech_base!$K218/tech_proj!U342*0.086*$J$132)/(1-tech_proj!U622))</f>
        <v>0</v>
      </c>
      <c r="V1962" s="125">
        <f>IF(tech_base!$T218&gt;V$1745,"",(tech_base!$K218/tech_proj!V342*0.086*$J$132)/(1-tech_proj!V622))</f>
        <v>0</v>
      </c>
      <c r="W1962" s="125">
        <f>IF(tech_base!$T218&gt;W$1745,"",(tech_base!$K218/tech_proj!W342*0.086*$J$132)/(1-tech_proj!W622))</f>
        <v>0</v>
      </c>
      <c r="X1962" s="125">
        <f>IF(tech_base!$T218&gt;X$1745,"",(tech_base!$K218/tech_proj!X342*0.086*$J$132)/(1-tech_proj!X622))</f>
        <v>0</v>
      </c>
      <c r="Y1962" s="125">
        <f>IF(tech_base!$T218&gt;Y$1745,"",(tech_base!$K218/tech_proj!Y342*0.086*$J$132)/(1-tech_proj!Y622))</f>
        <v>0</v>
      </c>
      <c r="Z1962" s="125">
        <f>IF(tech_base!$T218&gt;Z$1745,"",(tech_base!$K218/tech_proj!Z342*0.086*$J$132)/(1-tech_proj!Z622))</f>
        <v>0</v>
      </c>
      <c r="AA1962" s="125">
        <f>IF(tech_base!$T218&gt;AA$1745,"",(tech_base!$K218/tech_proj!AA342*0.086*$J$132)/(1-tech_proj!AA622))</f>
        <v>0</v>
      </c>
      <c r="AB1962" s="125">
        <f>IF(tech_base!$T218&gt;AB$1745,"",(tech_base!$K218/tech_proj!AB342*0.086*$J$132)/(1-tech_proj!AB622))</f>
        <v>0</v>
      </c>
      <c r="AC1962" s="125">
        <f>IF(tech_base!$T218&gt;AC$1745,"",(tech_base!$K218/tech_proj!AC342*0.086*$J$132)/(1-tech_proj!AC622))</f>
        <v>0</v>
      </c>
      <c r="AD1962" s="125">
        <f>IF(tech_base!$T218&gt;AD$1745,"",(tech_base!$K218/tech_proj!AD342*0.086*$J$132)/(1-tech_proj!AD622))</f>
        <v>0</v>
      </c>
      <c r="AE1962" s="125">
        <f>IF(tech_base!$T218&gt;AE$1745,"",(tech_base!$K218/tech_proj!AE342*0.086*$J$132)/(1-tech_proj!AE622))</f>
        <v>0</v>
      </c>
      <c r="AF1962" s="125">
        <f>IF(tech_base!$T218&gt;AF$1745,"",(tech_base!$K218/tech_proj!AF342*0.086*$J$132)/(1-tech_proj!AF622))</f>
        <v>0</v>
      </c>
      <c r="AG1962" s="125">
        <f>IF(tech_base!$T218&gt;AG$1745,"",(tech_base!$K218/tech_proj!AG342*0.086*$J$132)/(1-tech_proj!AG622))</f>
        <v>0</v>
      </c>
      <c r="AH1962" s="125">
        <f>IF(tech_base!$T218&gt;AH$1745,"",(tech_base!$K218/tech_proj!AH342*0.086*$J$132)/(1-tech_proj!AH622))</f>
        <v>0</v>
      </c>
      <c r="AI1962" s="125">
        <f>IF(tech_base!$T218&gt;AI$1745,"",(tech_base!$K218/tech_proj!AI342*0.086*$J$132)/(1-tech_proj!AI622))</f>
        <v>0</v>
      </c>
      <c r="AJ1962" s="125">
        <f>IF(tech_base!$T218&gt;AJ$1745,"",(tech_base!$K218/tech_proj!AJ342*0.086*$J$132)/(1-tech_proj!AJ622))</f>
        <v>0</v>
      </c>
      <c r="AK1962" s="125">
        <f>IF(tech_base!$T218&gt;AK$1745,"",(tech_base!$K218/tech_proj!AK342*0.086*$J$132)/(1-tech_proj!AK622))</f>
        <v>0</v>
      </c>
      <c r="AL1962" s="125">
        <f>IF(tech_base!$T218&gt;AL$1745,"",(tech_base!$K218/tech_proj!AL342*0.086*$J$132)/(1-tech_proj!AL622))</f>
        <v>0</v>
      </c>
      <c r="AM1962" s="125">
        <f>IF(tech_base!$T218&gt;AM$1745,"",(tech_base!$K218/tech_proj!AM342*0.086*$J$132)/(1-tech_proj!AM622))</f>
        <v>0</v>
      </c>
      <c r="AN1962" s="125">
        <f>IF(tech_base!$T218&gt;AN$1745,"",(tech_base!$K218/tech_proj!AN342*0.086*$J$132)/(1-tech_proj!AN622))</f>
        <v>0</v>
      </c>
      <c r="AO1962" s="125">
        <f>IF(tech_base!$T218&gt;AO$1745,"",(tech_base!$K218/tech_proj!AO342*0.086*$J$132)/(1-tech_proj!AO622))</f>
        <v>0</v>
      </c>
      <c r="AP1962" s="125">
        <f>IF(tech_base!$T218&gt;AP$1745,"",(tech_base!$K218/tech_proj!AP342*0.086*$J$132)/(1-tech_proj!AP622))</f>
        <v>0</v>
      </c>
      <c r="AQ1962" s="125">
        <f>IF(tech_base!$T218&gt;AQ$1745,"",(tech_base!$K218/tech_proj!AQ342*0.086*$J$132)/(1-tech_proj!AQ622))</f>
        <v>0</v>
      </c>
      <c r="AR1962" s="125">
        <f>IF(tech_base!$T218&gt;AR$1745,"",(tech_base!$K218/tech_proj!AR342*0.086*$J$132)/(1-tech_proj!AR622))</f>
        <v>0</v>
      </c>
      <c r="AS1962" s="125">
        <f>IF(tech_base!$T218&gt;AS$1745,"",(tech_base!$K218/tech_proj!AS342*0.086*$J$132)/(1-tech_proj!AS622))</f>
        <v>0</v>
      </c>
      <c r="AT1962" s="125">
        <f>IF(tech_base!$T218&gt;AT$1745,"",(tech_base!$K218/tech_proj!AT342*0.086*$J$132)/(1-tech_proj!AT622))</f>
        <v>0</v>
      </c>
      <c r="AU1962" s="125">
        <f>IF(tech_base!$T218&gt;AU$1745,"",(tech_base!$K218/tech_proj!AU342*0.086*$J$132)/(1-tech_proj!AU622))</f>
        <v>0</v>
      </c>
      <c r="AV1962" s="125">
        <f>IF(tech_base!$T218&gt;AV$1745,"",(tech_base!$K218/tech_proj!AV342*0.086*$J$132)/(1-tech_proj!AV622))</f>
        <v>0</v>
      </c>
      <c r="AW1962" s="125">
        <f>IF(tech_base!$T218&gt;AW$1745,"",(tech_base!$K218/tech_proj!AW342*0.086*$J$132)/(1-tech_proj!AW622))</f>
        <v>0</v>
      </c>
      <c r="AX1962" s="126">
        <f>IF(tech_base!$T218&gt;AX$1745,"",(tech_base!$K218/tech_proj!AX342*0.086*$J$132)/(1-tech_proj!AX622))</f>
        <v>0</v>
      </c>
    </row>
    <row r="1963" spans="1:50" x14ac:dyDescent="0.25">
      <c r="A1963" s="356"/>
      <c r="B1963" s="376"/>
      <c r="C1963" s="361" t="s">
        <v>15</v>
      </c>
      <c r="D1963" s="58" t="s">
        <v>7</v>
      </c>
      <c r="E1963" s="164" t="str">
        <f>A1947&amp;"/"&amp;B1955&amp;"/"&amp;C1963&amp;"/"&amp;D1963</f>
        <v>Biomass and waste fired power plants/Fluidized bed combustion/Electricity only with CCS/L</v>
      </c>
      <c r="F1963" s="78" t="str">
        <f>A1947</f>
        <v>Biomass and waste fired power plants</v>
      </c>
      <c r="G1963" s="78" t="str">
        <f>B1955</f>
        <v>Fluidized bed combustion</v>
      </c>
      <c r="H1963" s="78" t="str">
        <f>C1963</f>
        <v>Electricity only with CCS</v>
      </c>
      <c r="I1963" s="165" t="str">
        <f t="shared" si="385"/>
        <v>L</v>
      </c>
      <c r="J1963" s="123" t="str">
        <f>IF(tech_base!$T219&gt;J$1745,"",(tech_base!$K219/tech_proj!J343*0.086*$J$132)/(1-tech_proj!J623))</f>
        <v/>
      </c>
      <c r="K1963" s="123" t="str">
        <f>IF(tech_base!$T219&gt;K$1745,"",(tech_base!$K219/tech_proj!K343*0.086*$J$132)/(1-tech_proj!K623))</f>
        <v/>
      </c>
      <c r="L1963" s="123" t="str">
        <f>IF(tech_base!$T219&gt;L$1745,"",(tech_base!$K219/tech_proj!L343*0.086*$J$132)/(1-tech_proj!L623))</f>
        <v/>
      </c>
      <c r="M1963" s="123" t="str">
        <f>IF(tech_base!$T219&gt;M$1745,"",(tech_base!$K219/tech_proj!M343*0.086*$J$132)/(1-tech_proj!M623))</f>
        <v/>
      </c>
      <c r="N1963" s="123" t="str">
        <f>IF(tech_base!$T219&gt;N$1745,"",(tech_base!$K219/tech_proj!N343*0.086*$J$132)/(1-tech_proj!N623))</f>
        <v/>
      </c>
      <c r="O1963" s="123" t="str">
        <f>IF(tech_base!$T219&gt;O$1745,"",(tech_base!$K219/tech_proj!O343*0.086*$J$132)/(1-tech_proj!O623))</f>
        <v/>
      </c>
      <c r="P1963" s="123" t="str">
        <f>IF(tech_base!$T219&gt;P$1745,"",(tech_base!$K219/tech_proj!P343*0.086*$J$132)/(1-tech_proj!P623))</f>
        <v/>
      </c>
      <c r="Q1963" s="123" t="str">
        <f>IF(tech_base!$T219&gt;Q$1745,"",(tech_base!$K219/tech_proj!Q343*0.086*$J$132)/(1-tech_proj!Q623))</f>
        <v/>
      </c>
      <c r="R1963" s="123" t="str">
        <f>IF(tech_base!$T219&gt;R$1745,"",(tech_base!$K219/tech_proj!R343*0.086*$J$132)/(1-tech_proj!R623))</f>
        <v/>
      </c>
      <c r="S1963" s="123" t="str">
        <f>IF(tech_base!$T219&gt;S$1745,"",(tech_base!$K219/tech_proj!S343*0.086*$J$132)/(1-tech_proj!S623))</f>
        <v/>
      </c>
      <c r="T1963" s="123" t="str">
        <f>IF(tech_base!$T219&gt;T$1745,"",(tech_base!$K219/tech_proj!T343*0.086*$J$132)/(1-tech_proj!T623))</f>
        <v/>
      </c>
      <c r="U1963" s="123" t="str">
        <f>IF(tech_base!$T219&gt;U$1745,"",(tech_base!$K219/tech_proj!U343*0.086*$J$132)/(1-tech_proj!U623))</f>
        <v/>
      </c>
      <c r="V1963" s="123" t="str">
        <f>IF(tech_base!$T219&gt;V$1745,"",(tech_base!$K219/tech_proj!V343*0.086*$J$132)/(1-tech_proj!V623))</f>
        <v/>
      </c>
      <c r="W1963" s="123" t="str">
        <f>IF(tech_base!$T219&gt;W$1745,"",(tech_base!$K219/tech_proj!W343*0.086*$J$132)/(1-tech_proj!W623))</f>
        <v/>
      </c>
      <c r="X1963" s="123" t="str">
        <f>IF(tech_base!$T219&gt;X$1745,"",(tech_base!$K219/tech_proj!X343*0.086*$J$132)/(1-tech_proj!X623))</f>
        <v/>
      </c>
      <c r="Y1963" s="123" t="str">
        <f>IF(tech_base!$T219&gt;Y$1745,"",(tech_base!$K219/tech_proj!Y343*0.086*$J$132)/(1-tech_proj!Y623))</f>
        <v/>
      </c>
      <c r="Z1963" s="123" t="str">
        <f>IF(tech_base!$T219&gt;Z$1745,"",(tech_base!$K219/tech_proj!Z343*0.086*$J$132)/(1-tech_proj!Z623))</f>
        <v/>
      </c>
      <c r="AA1963" s="123" t="str">
        <f>IF(tech_base!$T219&gt;AA$1745,"",(tech_base!$K219/tech_proj!AA343*0.086*$J$132)/(1-tech_proj!AA623))</f>
        <v/>
      </c>
      <c r="AB1963" s="123" t="str">
        <f>IF(tech_base!$T219&gt;AB$1745,"",(tech_base!$K219/tech_proj!AB343*0.086*$J$132)/(1-tech_proj!AB623))</f>
        <v/>
      </c>
      <c r="AC1963" s="123" t="str">
        <f>IF(tech_base!$T219&gt;AC$1745,"",(tech_base!$K219/tech_proj!AC343*0.086*$J$132)/(1-tech_proj!AC623))</f>
        <v/>
      </c>
      <c r="AD1963" s="123" t="str">
        <f>IF(tech_base!$T219&gt;AD$1745,"",(tech_base!$K219/tech_proj!AD343*0.086*$J$132)/(1-tech_proj!AD623))</f>
        <v/>
      </c>
      <c r="AE1963" s="123">
        <f>IF(tech_base!$T219&gt;AE$1745,"",(tech_base!$K219/tech_proj!AE343*0.086*$J$132)/(1-tech_proj!AE623))</f>
        <v>0</v>
      </c>
      <c r="AF1963" s="123">
        <f>IF(tech_base!$T219&gt;AF$1745,"",(tech_base!$K219/tech_proj!AF343*0.086*$J$132)/(1-tech_proj!AF623))</f>
        <v>0</v>
      </c>
      <c r="AG1963" s="123">
        <f>IF(tech_base!$T219&gt;AG$1745,"",(tech_base!$K219/tech_proj!AG343*0.086*$J$132)/(1-tech_proj!AG623))</f>
        <v>0</v>
      </c>
      <c r="AH1963" s="123">
        <f>IF(tech_base!$T219&gt;AH$1745,"",(tech_base!$K219/tech_proj!AH343*0.086*$J$132)/(1-tech_proj!AH623))</f>
        <v>0</v>
      </c>
      <c r="AI1963" s="123">
        <f>IF(tech_base!$T219&gt;AI$1745,"",(tech_base!$K219/tech_proj!AI343*0.086*$J$132)/(1-tech_proj!AI623))</f>
        <v>0</v>
      </c>
      <c r="AJ1963" s="123">
        <f>IF(tech_base!$T219&gt;AJ$1745,"",(tech_base!$K219/tech_proj!AJ343*0.086*$J$132)/(1-tech_proj!AJ623))</f>
        <v>0</v>
      </c>
      <c r="AK1963" s="123">
        <f>IF(tech_base!$T219&gt;AK$1745,"",(tech_base!$K219/tech_proj!AK343*0.086*$J$132)/(1-tech_proj!AK623))</f>
        <v>0</v>
      </c>
      <c r="AL1963" s="123">
        <f>IF(tech_base!$T219&gt;AL$1745,"",(tech_base!$K219/tech_proj!AL343*0.086*$J$132)/(1-tech_proj!AL623))</f>
        <v>0</v>
      </c>
      <c r="AM1963" s="123">
        <f>IF(tech_base!$T219&gt;AM$1745,"",(tech_base!$K219/tech_proj!AM343*0.086*$J$132)/(1-tech_proj!AM623))</f>
        <v>0</v>
      </c>
      <c r="AN1963" s="123">
        <f>IF(tech_base!$T219&gt;AN$1745,"",(tech_base!$K219/tech_proj!AN343*0.086*$J$132)/(1-tech_proj!AN623))</f>
        <v>0</v>
      </c>
      <c r="AO1963" s="123">
        <f>IF(tech_base!$T219&gt;AO$1745,"",(tech_base!$K219/tech_proj!AO343*0.086*$J$132)/(1-tech_proj!AO623))</f>
        <v>0</v>
      </c>
      <c r="AP1963" s="123">
        <f>IF(tech_base!$T219&gt;AP$1745,"",(tech_base!$K219/tech_proj!AP343*0.086*$J$132)/(1-tech_proj!AP623))</f>
        <v>0</v>
      </c>
      <c r="AQ1963" s="123">
        <f>IF(tech_base!$T219&gt;AQ$1745,"",(tech_base!$K219/tech_proj!AQ343*0.086*$J$132)/(1-tech_proj!AQ623))</f>
        <v>0</v>
      </c>
      <c r="AR1963" s="123">
        <f>IF(tech_base!$T219&gt;AR$1745,"",(tech_base!$K219/tech_proj!AR343*0.086*$J$132)/(1-tech_proj!AR623))</f>
        <v>0</v>
      </c>
      <c r="AS1963" s="123">
        <f>IF(tech_base!$T219&gt;AS$1745,"",(tech_base!$K219/tech_proj!AS343*0.086*$J$132)/(1-tech_proj!AS623))</f>
        <v>0</v>
      </c>
      <c r="AT1963" s="123">
        <f>IF(tech_base!$T219&gt;AT$1745,"",(tech_base!$K219/tech_proj!AT343*0.086*$J$132)/(1-tech_proj!AT623))</f>
        <v>0</v>
      </c>
      <c r="AU1963" s="123">
        <f>IF(tech_base!$T219&gt;AU$1745,"",(tech_base!$K219/tech_proj!AU343*0.086*$J$132)/(1-tech_proj!AU623))</f>
        <v>0</v>
      </c>
      <c r="AV1963" s="123">
        <f>IF(tech_base!$T219&gt;AV$1745,"",(tech_base!$K219/tech_proj!AV343*0.086*$J$132)/(1-tech_proj!AV623))</f>
        <v>0</v>
      </c>
      <c r="AW1963" s="123">
        <f>IF(tech_base!$T219&gt;AW$1745,"",(tech_base!$K219/tech_proj!AW343*0.086*$J$132)/(1-tech_proj!AW623))</f>
        <v>0</v>
      </c>
      <c r="AX1963" s="124">
        <f>IF(tech_base!$T219&gt;AX$1745,"",(tech_base!$K219/tech_proj!AX343*0.086*$J$132)/(1-tech_proj!AX623))</f>
        <v>0</v>
      </c>
    </row>
    <row r="1964" spans="1:50" x14ac:dyDescent="0.25">
      <c r="A1964" s="356"/>
      <c r="B1964" s="376"/>
      <c r="C1964" s="379"/>
      <c r="D1964" s="59" t="s">
        <v>8</v>
      </c>
      <c r="E1964" s="166" t="str">
        <f>A1947&amp;"/"&amp;B1955&amp;"/"&amp;C1963&amp;"/"&amp;D1964</f>
        <v>Biomass and waste fired power plants/Fluidized bed combustion/Electricity only with CCS/M</v>
      </c>
      <c r="F1964" s="79" t="str">
        <f>A1947</f>
        <v>Biomass and waste fired power plants</v>
      </c>
      <c r="G1964" s="79" t="str">
        <f>B1955</f>
        <v>Fluidized bed combustion</v>
      </c>
      <c r="H1964" s="79" t="str">
        <f>C1963</f>
        <v>Electricity only with CCS</v>
      </c>
      <c r="I1964" s="167" t="str">
        <f t="shared" si="385"/>
        <v>M</v>
      </c>
      <c r="J1964" s="125" t="str">
        <f>IF(tech_base!$T220&gt;J$1745,"",(tech_base!$K220/tech_proj!J344*0.086*$J$132)/(1-tech_proj!J624))</f>
        <v/>
      </c>
      <c r="K1964" s="125" t="str">
        <f>IF(tech_base!$T220&gt;K$1745,"",(tech_base!$K220/tech_proj!K344*0.086*$J$132)/(1-tech_proj!K624))</f>
        <v/>
      </c>
      <c r="L1964" s="125" t="str">
        <f>IF(tech_base!$T220&gt;L$1745,"",(tech_base!$K220/tech_proj!L344*0.086*$J$132)/(1-tech_proj!L624))</f>
        <v/>
      </c>
      <c r="M1964" s="125" t="str">
        <f>IF(tech_base!$T220&gt;M$1745,"",(tech_base!$K220/tech_proj!M344*0.086*$J$132)/(1-tech_proj!M624))</f>
        <v/>
      </c>
      <c r="N1964" s="125" t="str">
        <f>IF(tech_base!$T220&gt;N$1745,"",(tech_base!$K220/tech_proj!N344*0.086*$J$132)/(1-tech_proj!N624))</f>
        <v/>
      </c>
      <c r="O1964" s="125" t="str">
        <f>IF(tech_base!$T220&gt;O$1745,"",(tech_base!$K220/tech_proj!O344*0.086*$J$132)/(1-tech_proj!O624))</f>
        <v/>
      </c>
      <c r="P1964" s="125" t="str">
        <f>IF(tech_base!$T220&gt;P$1745,"",(tech_base!$K220/tech_proj!P344*0.086*$J$132)/(1-tech_proj!P624))</f>
        <v/>
      </c>
      <c r="Q1964" s="125" t="str">
        <f>IF(tech_base!$T220&gt;Q$1745,"",(tech_base!$K220/tech_proj!Q344*0.086*$J$132)/(1-tech_proj!Q624))</f>
        <v/>
      </c>
      <c r="R1964" s="125" t="str">
        <f>IF(tech_base!$T220&gt;R$1745,"",(tech_base!$K220/tech_proj!R344*0.086*$J$132)/(1-tech_proj!R624))</f>
        <v/>
      </c>
      <c r="S1964" s="125" t="str">
        <f>IF(tech_base!$T220&gt;S$1745,"",(tech_base!$K220/tech_proj!S344*0.086*$J$132)/(1-tech_proj!S624))</f>
        <v/>
      </c>
      <c r="T1964" s="125" t="str">
        <f>IF(tech_base!$T220&gt;T$1745,"",(tech_base!$K220/tech_proj!T344*0.086*$J$132)/(1-tech_proj!T624))</f>
        <v/>
      </c>
      <c r="U1964" s="125" t="str">
        <f>IF(tech_base!$T220&gt;U$1745,"",(tech_base!$K220/tech_proj!U344*0.086*$J$132)/(1-tech_proj!U624))</f>
        <v/>
      </c>
      <c r="V1964" s="125" t="str">
        <f>IF(tech_base!$T220&gt;V$1745,"",(tech_base!$K220/tech_proj!V344*0.086*$J$132)/(1-tech_proj!V624))</f>
        <v/>
      </c>
      <c r="W1964" s="125" t="str">
        <f>IF(tech_base!$T220&gt;W$1745,"",(tech_base!$K220/tech_proj!W344*0.086*$J$132)/(1-tech_proj!W624))</f>
        <v/>
      </c>
      <c r="X1964" s="125" t="str">
        <f>IF(tech_base!$T220&gt;X$1745,"",(tech_base!$K220/tech_proj!X344*0.086*$J$132)/(1-tech_proj!X624))</f>
        <v/>
      </c>
      <c r="Y1964" s="125" t="str">
        <f>IF(tech_base!$T220&gt;Y$1745,"",(tech_base!$K220/tech_proj!Y344*0.086*$J$132)/(1-tech_proj!Y624))</f>
        <v/>
      </c>
      <c r="Z1964" s="125" t="str">
        <f>IF(tech_base!$T220&gt;Z$1745,"",(tech_base!$K220/tech_proj!Z344*0.086*$J$132)/(1-tech_proj!Z624))</f>
        <v/>
      </c>
      <c r="AA1964" s="125" t="str">
        <f>IF(tech_base!$T220&gt;AA$1745,"",(tech_base!$K220/tech_proj!AA344*0.086*$J$132)/(1-tech_proj!AA624))</f>
        <v/>
      </c>
      <c r="AB1964" s="125" t="str">
        <f>IF(tech_base!$T220&gt;AB$1745,"",(tech_base!$K220/tech_proj!AB344*0.086*$J$132)/(1-tech_proj!AB624))</f>
        <v/>
      </c>
      <c r="AC1964" s="125" t="str">
        <f>IF(tech_base!$T220&gt;AC$1745,"",(tech_base!$K220/tech_proj!AC344*0.086*$J$132)/(1-tech_proj!AC624))</f>
        <v/>
      </c>
      <c r="AD1964" s="125" t="str">
        <f>IF(tech_base!$T220&gt;AD$1745,"",(tech_base!$K220/tech_proj!AD344*0.086*$J$132)/(1-tech_proj!AD624))</f>
        <v/>
      </c>
      <c r="AE1964" s="125">
        <f>IF(tech_base!$T220&gt;AE$1745,"",(tech_base!$K220/tech_proj!AE344*0.086*$J$132)/(1-tech_proj!AE624))</f>
        <v>0</v>
      </c>
      <c r="AF1964" s="125">
        <f>IF(tech_base!$T220&gt;AF$1745,"",(tech_base!$K220/tech_proj!AF344*0.086*$J$132)/(1-tech_proj!AF624))</f>
        <v>0</v>
      </c>
      <c r="AG1964" s="125">
        <f>IF(tech_base!$T220&gt;AG$1745,"",(tech_base!$K220/tech_proj!AG344*0.086*$J$132)/(1-tech_proj!AG624))</f>
        <v>0</v>
      </c>
      <c r="AH1964" s="125">
        <f>IF(tech_base!$T220&gt;AH$1745,"",(tech_base!$K220/tech_proj!AH344*0.086*$J$132)/(1-tech_proj!AH624))</f>
        <v>0</v>
      </c>
      <c r="AI1964" s="125">
        <f>IF(tech_base!$T220&gt;AI$1745,"",(tech_base!$K220/tech_proj!AI344*0.086*$J$132)/(1-tech_proj!AI624))</f>
        <v>0</v>
      </c>
      <c r="AJ1964" s="125">
        <f>IF(tech_base!$T220&gt;AJ$1745,"",(tech_base!$K220/tech_proj!AJ344*0.086*$J$132)/(1-tech_proj!AJ624))</f>
        <v>0</v>
      </c>
      <c r="AK1964" s="125">
        <f>IF(tech_base!$T220&gt;AK$1745,"",(tech_base!$K220/tech_proj!AK344*0.086*$J$132)/(1-tech_proj!AK624))</f>
        <v>0</v>
      </c>
      <c r="AL1964" s="125">
        <f>IF(tech_base!$T220&gt;AL$1745,"",(tech_base!$K220/tech_proj!AL344*0.086*$J$132)/(1-tech_proj!AL624))</f>
        <v>0</v>
      </c>
      <c r="AM1964" s="125">
        <f>IF(tech_base!$T220&gt;AM$1745,"",(tech_base!$K220/tech_proj!AM344*0.086*$J$132)/(1-tech_proj!AM624))</f>
        <v>0</v>
      </c>
      <c r="AN1964" s="125">
        <f>IF(tech_base!$T220&gt;AN$1745,"",(tech_base!$K220/tech_proj!AN344*0.086*$J$132)/(1-tech_proj!AN624))</f>
        <v>0</v>
      </c>
      <c r="AO1964" s="125">
        <f>IF(tech_base!$T220&gt;AO$1745,"",(tech_base!$K220/tech_proj!AO344*0.086*$J$132)/(1-tech_proj!AO624))</f>
        <v>0</v>
      </c>
      <c r="AP1964" s="125">
        <f>IF(tech_base!$T220&gt;AP$1745,"",(tech_base!$K220/tech_proj!AP344*0.086*$J$132)/(1-tech_proj!AP624))</f>
        <v>0</v>
      </c>
      <c r="AQ1964" s="125">
        <f>IF(tech_base!$T220&gt;AQ$1745,"",(tech_base!$K220/tech_proj!AQ344*0.086*$J$132)/(1-tech_proj!AQ624))</f>
        <v>0</v>
      </c>
      <c r="AR1964" s="125">
        <f>IF(tech_base!$T220&gt;AR$1745,"",(tech_base!$K220/tech_proj!AR344*0.086*$J$132)/(1-tech_proj!AR624))</f>
        <v>0</v>
      </c>
      <c r="AS1964" s="125">
        <f>IF(tech_base!$T220&gt;AS$1745,"",(tech_base!$K220/tech_proj!AS344*0.086*$J$132)/(1-tech_proj!AS624))</f>
        <v>0</v>
      </c>
      <c r="AT1964" s="125">
        <f>IF(tech_base!$T220&gt;AT$1745,"",(tech_base!$K220/tech_proj!AT344*0.086*$J$132)/(1-tech_proj!AT624))</f>
        <v>0</v>
      </c>
      <c r="AU1964" s="125">
        <f>IF(tech_base!$T220&gt;AU$1745,"",(tech_base!$K220/tech_proj!AU344*0.086*$J$132)/(1-tech_proj!AU624))</f>
        <v>0</v>
      </c>
      <c r="AV1964" s="125">
        <f>IF(tech_base!$T220&gt;AV$1745,"",(tech_base!$K220/tech_proj!AV344*0.086*$J$132)/(1-tech_proj!AV624))</f>
        <v>0</v>
      </c>
      <c r="AW1964" s="125">
        <f>IF(tech_base!$T220&gt;AW$1745,"",(tech_base!$K220/tech_proj!AW344*0.086*$J$132)/(1-tech_proj!AW624))</f>
        <v>0</v>
      </c>
      <c r="AX1964" s="126">
        <f>IF(tech_base!$T220&gt;AX$1745,"",(tech_base!$K220/tech_proj!AX344*0.086*$J$132)/(1-tech_proj!AX624))</f>
        <v>0</v>
      </c>
    </row>
    <row r="1965" spans="1:50" x14ac:dyDescent="0.25">
      <c r="A1965" s="356"/>
      <c r="B1965" s="376"/>
      <c r="C1965" s="361" t="s">
        <v>16</v>
      </c>
      <c r="D1965" s="2" t="s">
        <v>7</v>
      </c>
      <c r="E1965" s="160" t="str">
        <f>A1947&amp;"/"&amp;B1955&amp;"/"&amp;C1965&amp;"/"&amp;D1965</f>
        <v>Biomass and waste fired power plants/Fluidized bed combustion/CHP with CCS/L</v>
      </c>
      <c r="F1965" s="76" t="str">
        <f>A1947</f>
        <v>Biomass and waste fired power plants</v>
      </c>
      <c r="G1965" s="76" t="str">
        <f>B1955</f>
        <v>Fluidized bed combustion</v>
      </c>
      <c r="H1965" s="76" t="str">
        <f>C1965</f>
        <v>CHP with CCS</v>
      </c>
      <c r="I1965" s="161" t="str">
        <f t="shared" si="385"/>
        <v>L</v>
      </c>
      <c r="J1965" s="119" t="str">
        <f>IF(tech_base!$T221&gt;J$1745,"",(tech_base!$K221/tech_proj!J345*0.086*$J$132)/(1-tech_proj!J625))</f>
        <v/>
      </c>
      <c r="K1965" s="119" t="str">
        <f>IF(tech_base!$T221&gt;K$1745,"",(tech_base!$K221/tech_proj!K345*0.086*$J$132)/(1-tech_proj!K625))</f>
        <v/>
      </c>
      <c r="L1965" s="119" t="str">
        <f>IF(tech_base!$T221&gt;L$1745,"",(tech_base!$K221/tech_proj!L345*0.086*$J$132)/(1-tech_proj!L625))</f>
        <v/>
      </c>
      <c r="M1965" s="119" t="str">
        <f>IF(tech_base!$T221&gt;M$1745,"",(tech_base!$K221/tech_proj!M345*0.086*$J$132)/(1-tech_proj!M625))</f>
        <v/>
      </c>
      <c r="N1965" s="119" t="str">
        <f>IF(tech_base!$T221&gt;N$1745,"",(tech_base!$K221/tech_proj!N345*0.086*$J$132)/(1-tech_proj!N625))</f>
        <v/>
      </c>
      <c r="O1965" s="119" t="str">
        <f>IF(tech_base!$T221&gt;O$1745,"",(tech_base!$K221/tech_proj!O345*0.086*$J$132)/(1-tech_proj!O625))</f>
        <v/>
      </c>
      <c r="P1965" s="119" t="str">
        <f>IF(tech_base!$T221&gt;P$1745,"",(tech_base!$K221/tech_proj!P345*0.086*$J$132)/(1-tech_proj!P625))</f>
        <v/>
      </c>
      <c r="Q1965" s="119" t="str">
        <f>IF(tech_base!$T221&gt;Q$1745,"",(tech_base!$K221/tech_proj!Q345*0.086*$J$132)/(1-tech_proj!Q625))</f>
        <v/>
      </c>
      <c r="R1965" s="119" t="str">
        <f>IF(tech_base!$T221&gt;R$1745,"",(tech_base!$K221/tech_proj!R345*0.086*$J$132)/(1-tech_proj!R625))</f>
        <v/>
      </c>
      <c r="S1965" s="119" t="str">
        <f>IF(tech_base!$T221&gt;S$1745,"",(tech_base!$K221/tech_proj!S345*0.086*$J$132)/(1-tech_proj!S625))</f>
        <v/>
      </c>
      <c r="T1965" s="119" t="str">
        <f>IF(tech_base!$T221&gt;T$1745,"",(tech_base!$K221/tech_proj!T345*0.086*$J$132)/(1-tech_proj!T625))</f>
        <v/>
      </c>
      <c r="U1965" s="119" t="str">
        <f>IF(tech_base!$T221&gt;U$1745,"",(tech_base!$K221/tech_proj!U345*0.086*$J$132)/(1-tech_proj!U625))</f>
        <v/>
      </c>
      <c r="V1965" s="119" t="str">
        <f>IF(tech_base!$T221&gt;V$1745,"",(tech_base!$K221/tech_proj!V345*0.086*$J$132)/(1-tech_proj!V625))</f>
        <v/>
      </c>
      <c r="W1965" s="119" t="str">
        <f>IF(tech_base!$T221&gt;W$1745,"",(tech_base!$K221/tech_proj!W345*0.086*$J$132)/(1-tech_proj!W625))</f>
        <v/>
      </c>
      <c r="X1965" s="119" t="str">
        <f>IF(tech_base!$T221&gt;X$1745,"",(tech_base!$K221/tech_proj!X345*0.086*$J$132)/(1-tech_proj!X625))</f>
        <v/>
      </c>
      <c r="Y1965" s="119" t="str">
        <f>IF(tech_base!$T221&gt;Y$1745,"",(tech_base!$K221/tech_proj!Y345*0.086*$J$132)/(1-tech_proj!Y625))</f>
        <v/>
      </c>
      <c r="Z1965" s="119" t="str">
        <f>IF(tech_base!$T221&gt;Z$1745,"",(tech_base!$K221/tech_proj!Z345*0.086*$J$132)/(1-tech_proj!Z625))</f>
        <v/>
      </c>
      <c r="AA1965" s="119" t="str">
        <f>IF(tech_base!$T221&gt;AA$1745,"",(tech_base!$K221/tech_proj!AA345*0.086*$J$132)/(1-tech_proj!AA625))</f>
        <v/>
      </c>
      <c r="AB1965" s="119" t="str">
        <f>IF(tech_base!$T221&gt;AB$1745,"",(tech_base!$K221/tech_proj!AB345*0.086*$J$132)/(1-tech_proj!AB625))</f>
        <v/>
      </c>
      <c r="AC1965" s="119" t="str">
        <f>IF(tech_base!$T221&gt;AC$1745,"",(tech_base!$K221/tech_proj!AC345*0.086*$J$132)/(1-tech_proj!AC625))</f>
        <v/>
      </c>
      <c r="AD1965" s="119" t="str">
        <f>IF(tech_base!$T221&gt;AD$1745,"",(tech_base!$K221/tech_proj!AD345*0.086*$J$132)/(1-tech_proj!AD625))</f>
        <v/>
      </c>
      <c r="AE1965" s="119">
        <f>IF(tech_base!$T221&gt;AE$1745,"",(tech_base!$K221/tech_proj!AE345*0.086*$J$132)/(1-tech_proj!AE625))</f>
        <v>0</v>
      </c>
      <c r="AF1965" s="119">
        <f>IF(tech_base!$T221&gt;AF$1745,"",(tech_base!$K221/tech_proj!AF345*0.086*$J$132)/(1-tech_proj!AF625))</f>
        <v>0</v>
      </c>
      <c r="AG1965" s="119">
        <f>IF(tech_base!$T221&gt;AG$1745,"",(tech_base!$K221/tech_proj!AG345*0.086*$J$132)/(1-tech_proj!AG625))</f>
        <v>0</v>
      </c>
      <c r="AH1965" s="119">
        <f>IF(tech_base!$T221&gt;AH$1745,"",(tech_base!$K221/tech_proj!AH345*0.086*$J$132)/(1-tech_proj!AH625))</f>
        <v>0</v>
      </c>
      <c r="AI1965" s="119">
        <f>IF(tech_base!$T221&gt;AI$1745,"",(tech_base!$K221/tech_proj!AI345*0.086*$J$132)/(1-tech_proj!AI625))</f>
        <v>0</v>
      </c>
      <c r="AJ1965" s="119">
        <f>IF(tech_base!$T221&gt;AJ$1745,"",(tech_base!$K221/tech_proj!AJ345*0.086*$J$132)/(1-tech_proj!AJ625))</f>
        <v>0</v>
      </c>
      <c r="AK1965" s="119">
        <f>IF(tech_base!$T221&gt;AK$1745,"",(tech_base!$K221/tech_proj!AK345*0.086*$J$132)/(1-tech_proj!AK625))</f>
        <v>0</v>
      </c>
      <c r="AL1965" s="119">
        <f>IF(tech_base!$T221&gt;AL$1745,"",(tech_base!$K221/tech_proj!AL345*0.086*$J$132)/(1-tech_proj!AL625))</f>
        <v>0</v>
      </c>
      <c r="AM1965" s="119">
        <f>IF(tech_base!$T221&gt;AM$1745,"",(tech_base!$K221/tech_proj!AM345*0.086*$J$132)/(1-tech_proj!AM625))</f>
        <v>0</v>
      </c>
      <c r="AN1965" s="119">
        <f>IF(tech_base!$T221&gt;AN$1745,"",(tech_base!$K221/tech_proj!AN345*0.086*$J$132)/(1-tech_proj!AN625))</f>
        <v>0</v>
      </c>
      <c r="AO1965" s="119">
        <f>IF(tech_base!$T221&gt;AO$1745,"",(tech_base!$K221/tech_proj!AO345*0.086*$J$132)/(1-tech_proj!AO625))</f>
        <v>0</v>
      </c>
      <c r="AP1965" s="119">
        <f>IF(tech_base!$T221&gt;AP$1745,"",(tech_base!$K221/tech_proj!AP345*0.086*$J$132)/(1-tech_proj!AP625))</f>
        <v>0</v>
      </c>
      <c r="AQ1965" s="119">
        <f>IF(tech_base!$T221&gt;AQ$1745,"",(tech_base!$K221/tech_proj!AQ345*0.086*$J$132)/(1-tech_proj!AQ625))</f>
        <v>0</v>
      </c>
      <c r="AR1965" s="119">
        <f>IF(tech_base!$T221&gt;AR$1745,"",(tech_base!$K221/tech_proj!AR345*0.086*$J$132)/(1-tech_proj!AR625))</f>
        <v>0</v>
      </c>
      <c r="AS1965" s="119">
        <f>IF(tech_base!$T221&gt;AS$1745,"",(tech_base!$K221/tech_proj!AS345*0.086*$J$132)/(1-tech_proj!AS625))</f>
        <v>0</v>
      </c>
      <c r="AT1965" s="119">
        <f>IF(tech_base!$T221&gt;AT$1745,"",(tech_base!$K221/tech_proj!AT345*0.086*$J$132)/(1-tech_proj!AT625))</f>
        <v>0</v>
      </c>
      <c r="AU1965" s="119">
        <f>IF(tech_base!$T221&gt;AU$1745,"",(tech_base!$K221/tech_proj!AU345*0.086*$J$132)/(1-tech_proj!AU625))</f>
        <v>0</v>
      </c>
      <c r="AV1965" s="119">
        <f>IF(tech_base!$T221&gt;AV$1745,"",(tech_base!$K221/tech_proj!AV345*0.086*$J$132)/(1-tech_proj!AV625))</f>
        <v>0</v>
      </c>
      <c r="AW1965" s="119">
        <f>IF(tech_base!$T221&gt;AW$1745,"",(tech_base!$K221/tech_proj!AW345*0.086*$J$132)/(1-tech_proj!AW625))</f>
        <v>0</v>
      </c>
      <c r="AX1965" s="120">
        <f>IF(tech_base!$T221&gt;AX$1745,"",(tech_base!$K221/tech_proj!AX345*0.086*$J$132)/(1-tech_proj!AX625))</f>
        <v>0</v>
      </c>
    </row>
    <row r="1966" spans="1:50" x14ac:dyDescent="0.25">
      <c r="A1966" s="356"/>
      <c r="B1966" s="380"/>
      <c r="C1966" s="381"/>
      <c r="D1966" s="4" t="s">
        <v>8</v>
      </c>
      <c r="E1966" s="168" t="str">
        <f>A1947&amp;"/"&amp;B1955&amp;"/"&amp;C1965&amp;"/"&amp;D1966</f>
        <v>Biomass and waste fired power plants/Fluidized bed combustion/CHP with CCS/M</v>
      </c>
      <c r="F1966" s="80" t="str">
        <f>A1947</f>
        <v>Biomass and waste fired power plants</v>
      </c>
      <c r="G1966" s="80" t="str">
        <f>B1955</f>
        <v>Fluidized bed combustion</v>
      </c>
      <c r="H1966" s="80" t="str">
        <f>C1965</f>
        <v>CHP with CCS</v>
      </c>
      <c r="I1966" s="169" t="str">
        <f t="shared" si="385"/>
        <v>M</v>
      </c>
      <c r="J1966" s="127" t="str">
        <f>IF(tech_base!$T222&gt;J$1745,"",(tech_base!$K222/tech_proj!J346*0.086*$J$132)/(1-tech_proj!J626))</f>
        <v/>
      </c>
      <c r="K1966" s="127" t="str">
        <f>IF(tech_base!$T222&gt;K$1745,"",(tech_base!$K222/tech_proj!K346*0.086*$J$132)/(1-tech_proj!K626))</f>
        <v/>
      </c>
      <c r="L1966" s="127" t="str">
        <f>IF(tech_base!$T222&gt;L$1745,"",(tech_base!$K222/tech_proj!L346*0.086*$J$132)/(1-tech_proj!L626))</f>
        <v/>
      </c>
      <c r="M1966" s="127" t="str">
        <f>IF(tech_base!$T222&gt;M$1745,"",(tech_base!$K222/tech_proj!M346*0.086*$J$132)/(1-tech_proj!M626))</f>
        <v/>
      </c>
      <c r="N1966" s="127" t="str">
        <f>IF(tech_base!$T222&gt;N$1745,"",(tech_base!$K222/tech_proj!N346*0.086*$J$132)/(1-tech_proj!N626))</f>
        <v/>
      </c>
      <c r="O1966" s="127" t="str">
        <f>IF(tech_base!$T222&gt;O$1745,"",(tech_base!$K222/tech_proj!O346*0.086*$J$132)/(1-tech_proj!O626))</f>
        <v/>
      </c>
      <c r="P1966" s="127" t="str">
        <f>IF(tech_base!$T222&gt;P$1745,"",(tech_base!$K222/tech_proj!P346*0.086*$J$132)/(1-tech_proj!P626))</f>
        <v/>
      </c>
      <c r="Q1966" s="127" t="str">
        <f>IF(tech_base!$T222&gt;Q$1745,"",(tech_base!$K222/tech_proj!Q346*0.086*$J$132)/(1-tech_proj!Q626))</f>
        <v/>
      </c>
      <c r="R1966" s="127" t="str">
        <f>IF(tech_base!$T222&gt;R$1745,"",(tech_base!$K222/tech_proj!R346*0.086*$J$132)/(1-tech_proj!R626))</f>
        <v/>
      </c>
      <c r="S1966" s="127" t="str">
        <f>IF(tech_base!$T222&gt;S$1745,"",(tech_base!$K222/tech_proj!S346*0.086*$J$132)/(1-tech_proj!S626))</f>
        <v/>
      </c>
      <c r="T1966" s="127" t="str">
        <f>IF(tech_base!$T222&gt;T$1745,"",(tech_base!$K222/tech_proj!T346*0.086*$J$132)/(1-tech_proj!T626))</f>
        <v/>
      </c>
      <c r="U1966" s="127" t="str">
        <f>IF(tech_base!$T222&gt;U$1745,"",(tech_base!$K222/tech_proj!U346*0.086*$J$132)/(1-tech_proj!U626))</f>
        <v/>
      </c>
      <c r="V1966" s="127" t="str">
        <f>IF(tech_base!$T222&gt;V$1745,"",(tech_base!$K222/tech_proj!V346*0.086*$J$132)/(1-tech_proj!V626))</f>
        <v/>
      </c>
      <c r="W1966" s="127" t="str">
        <f>IF(tech_base!$T222&gt;W$1745,"",(tech_base!$K222/tech_proj!W346*0.086*$J$132)/(1-tech_proj!W626))</f>
        <v/>
      </c>
      <c r="X1966" s="127" t="str">
        <f>IF(tech_base!$T222&gt;X$1745,"",(tech_base!$K222/tech_proj!X346*0.086*$J$132)/(1-tech_proj!X626))</f>
        <v/>
      </c>
      <c r="Y1966" s="127" t="str">
        <f>IF(tech_base!$T222&gt;Y$1745,"",(tech_base!$K222/tech_proj!Y346*0.086*$J$132)/(1-tech_proj!Y626))</f>
        <v/>
      </c>
      <c r="Z1966" s="127" t="str">
        <f>IF(tech_base!$T222&gt;Z$1745,"",(tech_base!$K222/tech_proj!Z346*0.086*$J$132)/(1-tech_proj!Z626))</f>
        <v/>
      </c>
      <c r="AA1966" s="127" t="str">
        <f>IF(tech_base!$T222&gt;AA$1745,"",(tech_base!$K222/tech_proj!AA346*0.086*$J$132)/(1-tech_proj!AA626))</f>
        <v/>
      </c>
      <c r="AB1966" s="127" t="str">
        <f>IF(tech_base!$T222&gt;AB$1745,"",(tech_base!$K222/tech_proj!AB346*0.086*$J$132)/(1-tech_proj!AB626))</f>
        <v/>
      </c>
      <c r="AC1966" s="127" t="str">
        <f>IF(tech_base!$T222&gt;AC$1745,"",(tech_base!$K222/tech_proj!AC346*0.086*$J$132)/(1-tech_proj!AC626))</f>
        <v/>
      </c>
      <c r="AD1966" s="127" t="str">
        <f>IF(tech_base!$T222&gt;AD$1745,"",(tech_base!$K222/tech_proj!AD346*0.086*$J$132)/(1-tech_proj!AD626))</f>
        <v/>
      </c>
      <c r="AE1966" s="127">
        <f>IF(tech_base!$T222&gt;AE$1745,"",(tech_base!$K222/tech_proj!AE346*0.086*$J$132)/(1-tech_proj!AE626))</f>
        <v>0</v>
      </c>
      <c r="AF1966" s="127">
        <f>IF(tech_base!$T222&gt;AF$1745,"",(tech_base!$K222/tech_proj!AF346*0.086*$J$132)/(1-tech_proj!AF626))</f>
        <v>0</v>
      </c>
      <c r="AG1966" s="127">
        <f>IF(tech_base!$T222&gt;AG$1745,"",(tech_base!$K222/tech_proj!AG346*0.086*$J$132)/(1-tech_proj!AG626))</f>
        <v>0</v>
      </c>
      <c r="AH1966" s="127">
        <f>IF(tech_base!$T222&gt;AH$1745,"",(tech_base!$K222/tech_proj!AH346*0.086*$J$132)/(1-tech_proj!AH626))</f>
        <v>0</v>
      </c>
      <c r="AI1966" s="127">
        <f>IF(tech_base!$T222&gt;AI$1745,"",(tech_base!$K222/tech_proj!AI346*0.086*$J$132)/(1-tech_proj!AI626))</f>
        <v>0</v>
      </c>
      <c r="AJ1966" s="127">
        <f>IF(tech_base!$T222&gt;AJ$1745,"",(tech_base!$K222/tech_proj!AJ346*0.086*$J$132)/(1-tech_proj!AJ626))</f>
        <v>0</v>
      </c>
      <c r="AK1966" s="127">
        <f>IF(tech_base!$T222&gt;AK$1745,"",(tech_base!$K222/tech_proj!AK346*0.086*$J$132)/(1-tech_proj!AK626))</f>
        <v>0</v>
      </c>
      <c r="AL1966" s="127">
        <f>IF(tech_base!$T222&gt;AL$1745,"",(tech_base!$K222/tech_proj!AL346*0.086*$J$132)/(1-tech_proj!AL626))</f>
        <v>0</v>
      </c>
      <c r="AM1966" s="127">
        <f>IF(tech_base!$T222&gt;AM$1745,"",(tech_base!$K222/tech_proj!AM346*0.086*$J$132)/(1-tech_proj!AM626))</f>
        <v>0</v>
      </c>
      <c r="AN1966" s="127">
        <f>IF(tech_base!$T222&gt;AN$1745,"",(tech_base!$K222/tech_proj!AN346*0.086*$J$132)/(1-tech_proj!AN626))</f>
        <v>0</v>
      </c>
      <c r="AO1966" s="127">
        <f>IF(tech_base!$T222&gt;AO$1745,"",(tech_base!$K222/tech_proj!AO346*0.086*$J$132)/(1-tech_proj!AO626))</f>
        <v>0</v>
      </c>
      <c r="AP1966" s="127">
        <f>IF(tech_base!$T222&gt;AP$1745,"",(tech_base!$K222/tech_proj!AP346*0.086*$J$132)/(1-tech_proj!AP626))</f>
        <v>0</v>
      </c>
      <c r="AQ1966" s="127">
        <f>IF(tech_base!$T222&gt;AQ$1745,"",(tech_base!$K222/tech_proj!AQ346*0.086*$J$132)/(1-tech_proj!AQ626))</f>
        <v>0</v>
      </c>
      <c r="AR1966" s="127">
        <f>IF(tech_base!$T222&gt;AR$1745,"",(tech_base!$K222/tech_proj!AR346*0.086*$J$132)/(1-tech_proj!AR626))</f>
        <v>0</v>
      </c>
      <c r="AS1966" s="127">
        <f>IF(tech_base!$T222&gt;AS$1745,"",(tech_base!$K222/tech_proj!AS346*0.086*$J$132)/(1-tech_proj!AS626))</f>
        <v>0</v>
      </c>
      <c r="AT1966" s="127">
        <f>IF(tech_base!$T222&gt;AT$1745,"",(tech_base!$K222/tech_proj!AT346*0.086*$J$132)/(1-tech_proj!AT626))</f>
        <v>0</v>
      </c>
      <c r="AU1966" s="127">
        <f>IF(tech_base!$T222&gt;AU$1745,"",(tech_base!$K222/tech_proj!AU346*0.086*$J$132)/(1-tech_proj!AU626))</f>
        <v>0</v>
      </c>
      <c r="AV1966" s="127">
        <f>IF(tech_base!$T222&gt;AV$1745,"",(tech_base!$K222/tech_proj!AV346*0.086*$J$132)/(1-tech_proj!AV626))</f>
        <v>0</v>
      </c>
      <c r="AW1966" s="127">
        <f>IF(tech_base!$T222&gt;AW$1745,"",(tech_base!$K222/tech_proj!AW346*0.086*$J$132)/(1-tech_proj!AW626))</f>
        <v>0</v>
      </c>
      <c r="AX1966" s="128">
        <f>IF(tech_base!$T222&gt;AX$1745,"",(tech_base!$K222/tech_proj!AX346*0.086*$J$132)/(1-tech_proj!AX626))</f>
        <v>0</v>
      </c>
    </row>
    <row r="1967" spans="1:50" x14ac:dyDescent="0.25">
      <c r="A1967" s="356"/>
      <c r="B1967" s="358" t="s">
        <v>19</v>
      </c>
      <c r="C1967" s="353" t="s">
        <v>6</v>
      </c>
      <c r="D1967" s="3" t="s">
        <v>7</v>
      </c>
      <c r="E1967" s="162" t="str">
        <f>A1947&amp;"/"&amp;B1967&amp;"/"&amp;C1967&amp;"/"&amp;D1967</f>
        <v>Biomass and waste fired power plants/Steam turbine/Electricity only/L</v>
      </c>
      <c r="F1967" s="77" t="str">
        <f>A1947</f>
        <v>Biomass and waste fired power plants</v>
      </c>
      <c r="G1967" s="77" t="str">
        <f>B1967</f>
        <v>Steam turbine</v>
      </c>
      <c r="H1967" s="77" t="str">
        <f>C1967</f>
        <v>Electricity only</v>
      </c>
      <c r="I1967" s="163" t="str">
        <f t="shared" si="385"/>
        <v>L</v>
      </c>
      <c r="J1967" s="121">
        <f>IF(tech_base!$T223&gt;J$1745,"",(tech_base!$K223/tech_proj!J347*0.086*$J$132)/(1-tech_proj!J627))</f>
        <v>0</v>
      </c>
      <c r="K1967" s="121">
        <f>IF(tech_base!$T223&gt;K$1745,"",(tech_base!$K223/tech_proj!K347*0.086*$J$132)/(1-tech_proj!K627))</f>
        <v>0</v>
      </c>
      <c r="L1967" s="121">
        <f>IF(tech_base!$T223&gt;L$1745,"",(tech_base!$K223/tech_proj!L347*0.086*$J$132)/(1-tech_proj!L627))</f>
        <v>0</v>
      </c>
      <c r="M1967" s="121">
        <f>IF(tech_base!$T223&gt;M$1745,"",(tech_base!$K223/tech_proj!M347*0.086*$J$132)/(1-tech_proj!M627))</f>
        <v>0</v>
      </c>
      <c r="N1967" s="121">
        <f>IF(tech_base!$T223&gt;N$1745,"",(tech_base!$K223/tech_proj!N347*0.086*$J$132)/(1-tech_proj!N627))</f>
        <v>0</v>
      </c>
      <c r="O1967" s="121">
        <f>IF(tech_base!$T223&gt;O$1745,"",(tech_base!$K223/tech_proj!O347*0.086*$J$132)/(1-tech_proj!O627))</f>
        <v>0</v>
      </c>
      <c r="P1967" s="121">
        <f>IF(tech_base!$T223&gt;P$1745,"",(tech_base!$K223/tech_proj!P347*0.086*$J$132)/(1-tech_proj!P627))</f>
        <v>0</v>
      </c>
      <c r="Q1967" s="121">
        <f>IF(tech_base!$T223&gt;Q$1745,"",(tech_base!$K223/tech_proj!Q347*0.086*$J$132)/(1-tech_proj!Q627))</f>
        <v>0</v>
      </c>
      <c r="R1967" s="121">
        <f>IF(tech_base!$T223&gt;R$1745,"",(tech_base!$K223/tech_proj!R347*0.086*$J$132)/(1-tech_proj!R627))</f>
        <v>0</v>
      </c>
      <c r="S1967" s="121">
        <f>IF(tech_base!$T223&gt;S$1745,"",(tech_base!$K223/tech_proj!S347*0.086*$J$132)/(1-tech_proj!S627))</f>
        <v>0</v>
      </c>
      <c r="T1967" s="121">
        <f>IF(tech_base!$T223&gt;T$1745,"",(tech_base!$K223/tech_proj!T347*0.086*$J$132)/(1-tech_proj!T627))</f>
        <v>0</v>
      </c>
      <c r="U1967" s="121">
        <f>IF(tech_base!$T223&gt;U$1745,"",(tech_base!$K223/tech_proj!U347*0.086*$J$132)/(1-tech_proj!U627))</f>
        <v>0</v>
      </c>
      <c r="V1967" s="121">
        <f>IF(tech_base!$T223&gt;V$1745,"",(tech_base!$K223/tech_proj!V347*0.086*$J$132)/(1-tech_proj!V627))</f>
        <v>0</v>
      </c>
      <c r="W1967" s="121">
        <f>IF(tech_base!$T223&gt;W$1745,"",(tech_base!$K223/tech_proj!W347*0.086*$J$132)/(1-tech_proj!W627))</f>
        <v>0</v>
      </c>
      <c r="X1967" s="121">
        <f>IF(tech_base!$T223&gt;X$1745,"",(tech_base!$K223/tech_proj!X347*0.086*$J$132)/(1-tech_proj!X627))</f>
        <v>0</v>
      </c>
      <c r="Y1967" s="121">
        <f>IF(tech_base!$T223&gt;Y$1745,"",(tech_base!$K223/tech_proj!Y347*0.086*$J$132)/(1-tech_proj!Y627))</f>
        <v>0</v>
      </c>
      <c r="Z1967" s="121">
        <f>IF(tech_base!$T223&gt;Z$1745,"",(tech_base!$K223/tech_proj!Z347*0.086*$J$132)/(1-tech_proj!Z627))</f>
        <v>0</v>
      </c>
      <c r="AA1967" s="121">
        <f>IF(tech_base!$T223&gt;AA$1745,"",(tech_base!$K223/tech_proj!AA347*0.086*$J$132)/(1-tech_proj!AA627))</f>
        <v>0</v>
      </c>
      <c r="AB1967" s="121">
        <f>IF(tech_base!$T223&gt;AB$1745,"",(tech_base!$K223/tech_proj!AB347*0.086*$J$132)/(1-tech_proj!AB627))</f>
        <v>0</v>
      </c>
      <c r="AC1967" s="121">
        <f>IF(tech_base!$T223&gt;AC$1745,"",(tech_base!$K223/tech_proj!AC347*0.086*$J$132)/(1-tech_proj!AC627))</f>
        <v>0</v>
      </c>
      <c r="AD1967" s="121">
        <f>IF(tech_base!$T223&gt;AD$1745,"",(tech_base!$K223/tech_proj!AD347*0.086*$J$132)/(1-tech_proj!AD627))</f>
        <v>0</v>
      </c>
      <c r="AE1967" s="121">
        <f>IF(tech_base!$T223&gt;AE$1745,"",(tech_base!$K223/tech_proj!AE347*0.086*$J$132)/(1-tech_proj!AE627))</f>
        <v>0</v>
      </c>
      <c r="AF1967" s="121">
        <f>IF(tech_base!$T223&gt;AF$1745,"",(tech_base!$K223/tech_proj!AF347*0.086*$J$132)/(1-tech_proj!AF627))</f>
        <v>0</v>
      </c>
      <c r="AG1967" s="121">
        <f>IF(tech_base!$T223&gt;AG$1745,"",(tech_base!$K223/tech_proj!AG347*0.086*$J$132)/(1-tech_proj!AG627))</f>
        <v>0</v>
      </c>
      <c r="AH1967" s="121">
        <f>IF(tech_base!$T223&gt;AH$1745,"",(tech_base!$K223/tech_proj!AH347*0.086*$J$132)/(1-tech_proj!AH627))</f>
        <v>0</v>
      </c>
      <c r="AI1967" s="121">
        <f>IF(tech_base!$T223&gt;AI$1745,"",(tech_base!$K223/tech_proj!AI347*0.086*$J$132)/(1-tech_proj!AI627))</f>
        <v>0</v>
      </c>
      <c r="AJ1967" s="121">
        <f>IF(tech_base!$T223&gt;AJ$1745,"",(tech_base!$K223/tech_proj!AJ347*0.086*$J$132)/(1-tech_proj!AJ627))</f>
        <v>0</v>
      </c>
      <c r="AK1967" s="121">
        <f>IF(tech_base!$T223&gt;AK$1745,"",(tech_base!$K223/tech_proj!AK347*0.086*$J$132)/(1-tech_proj!AK627))</f>
        <v>0</v>
      </c>
      <c r="AL1967" s="121">
        <f>IF(tech_base!$T223&gt;AL$1745,"",(tech_base!$K223/tech_proj!AL347*0.086*$J$132)/(1-tech_proj!AL627))</f>
        <v>0</v>
      </c>
      <c r="AM1967" s="121">
        <f>IF(tech_base!$T223&gt;AM$1745,"",(tech_base!$K223/tech_proj!AM347*0.086*$J$132)/(1-tech_proj!AM627))</f>
        <v>0</v>
      </c>
      <c r="AN1967" s="121">
        <f>IF(tech_base!$T223&gt;AN$1745,"",(tech_base!$K223/tech_proj!AN347*0.086*$J$132)/(1-tech_proj!AN627))</f>
        <v>0</v>
      </c>
      <c r="AO1967" s="121">
        <f>IF(tech_base!$T223&gt;AO$1745,"",(tech_base!$K223/tech_proj!AO347*0.086*$J$132)/(1-tech_proj!AO627))</f>
        <v>0</v>
      </c>
      <c r="AP1967" s="121">
        <f>IF(tech_base!$T223&gt;AP$1745,"",(tech_base!$K223/tech_proj!AP347*0.086*$J$132)/(1-tech_proj!AP627))</f>
        <v>0</v>
      </c>
      <c r="AQ1967" s="121">
        <f>IF(tech_base!$T223&gt;AQ$1745,"",(tech_base!$K223/tech_proj!AQ347*0.086*$J$132)/(1-tech_proj!AQ627))</f>
        <v>0</v>
      </c>
      <c r="AR1967" s="121">
        <f>IF(tech_base!$T223&gt;AR$1745,"",(tech_base!$K223/tech_proj!AR347*0.086*$J$132)/(1-tech_proj!AR627))</f>
        <v>0</v>
      </c>
      <c r="AS1967" s="121">
        <f>IF(tech_base!$T223&gt;AS$1745,"",(tech_base!$K223/tech_proj!AS347*0.086*$J$132)/(1-tech_proj!AS627))</f>
        <v>0</v>
      </c>
      <c r="AT1967" s="121">
        <f>IF(tech_base!$T223&gt;AT$1745,"",(tech_base!$K223/tech_proj!AT347*0.086*$J$132)/(1-tech_proj!AT627))</f>
        <v>0</v>
      </c>
      <c r="AU1967" s="121">
        <f>IF(tech_base!$T223&gt;AU$1745,"",(tech_base!$K223/tech_proj!AU347*0.086*$J$132)/(1-tech_proj!AU627))</f>
        <v>0</v>
      </c>
      <c r="AV1967" s="121">
        <f>IF(tech_base!$T223&gt;AV$1745,"",(tech_base!$K223/tech_proj!AV347*0.086*$J$132)/(1-tech_proj!AV627))</f>
        <v>0</v>
      </c>
      <c r="AW1967" s="121">
        <f>IF(tech_base!$T223&gt;AW$1745,"",(tech_base!$K223/tech_proj!AW347*0.086*$J$132)/(1-tech_proj!AW627))</f>
        <v>0</v>
      </c>
      <c r="AX1967" s="122">
        <f>IF(tech_base!$T223&gt;AX$1745,"",(tech_base!$K223/tech_proj!AX347*0.086*$J$132)/(1-tech_proj!AX627))</f>
        <v>0</v>
      </c>
    </row>
    <row r="1968" spans="1:50" x14ac:dyDescent="0.25">
      <c r="A1968" s="356"/>
      <c r="B1968" s="376"/>
      <c r="C1968" s="378"/>
      <c r="D1968" s="2" t="s">
        <v>8</v>
      </c>
      <c r="E1968" s="160" t="str">
        <f>A1947&amp;"/"&amp;B1967&amp;"/"&amp;C1967&amp;"/"&amp;D1968</f>
        <v>Biomass and waste fired power plants/Steam turbine/Electricity only/M</v>
      </c>
      <c r="F1968" s="76" t="str">
        <f>A1947</f>
        <v>Biomass and waste fired power plants</v>
      </c>
      <c r="G1968" s="76" t="str">
        <f>B1967</f>
        <v>Steam turbine</v>
      </c>
      <c r="H1968" s="76" t="str">
        <f>C1967</f>
        <v>Electricity only</v>
      </c>
      <c r="I1968" s="161" t="str">
        <f t="shared" si="385"/>
        <v>M</v>
      </c>
      <c r="J1968" s="119">
        <f>IF(tech_base!$T224&gt;J$1745,"",(tech_base!$K224/tech_proj!J348*0.086*$J$132)/(1-tech_proj!J628))</f>
        <v>0</v>
      </c>
      <c r="K1968" s="119">
        <f>IF(tech_base!$T224&gt;K$1745,"",(tech_base!$K224/tech_proj!K348*0.086*$J$132)/(1-tech_proj!K628))</f>
        <v>0</v>
      </c>
      <c r="L1968" s="119">
        <f>IF(tech_base!$T224&gt;L$1745,"",(tech_base!$K224/tech_proj!L348*0.086*$J$132)/(1-tech_proj!L628))</f>
        <v>0</v>
      </c>
      <c r="M1968" s="119">
        <f>IF(tech_base!$T224&gt;M$1745,"",(tech_base!$K224/tech_proj!M348*0.086*$J$132)/(1-tech_proj!M628))</f>
        <v>0</v>
      </c>
      <c r="N1968" s="119">
        <f>IF(tech_base!$T224&gt;N$1745,"",(tech_base!$K224/tech_proj!N348*0.086*$J$132)/(1-tech_proj!N628))</f>
        <v>0</v>
      </c>
      <c r="O1968" s="119">
        <f>IF(tech_base!$T224&gt;O$1745,"",(tech_base!$K224/tech_proj!O348*0.086*$J$132)/(1-tech_proj!O628))</f>
        <v>0</v>
      </c>
      <c r="P1968" s="119">
        <f>IF(tech_base!$T224&gt;P$1745,"",(tech_base!$K224/tech_proj!P348*0.086*$J$132)/(1-tech_proj!P628))</f>
        <v>0</v>
      </c>
      <c r="Q1968" s="119">
        <f>IF(tech_base!$T224&gt;Q$1745,"",(tech_base!$K224/tech_proj!Q348*0.086*$J$132)/(1-tech_proj!Q628))</f>
        <v>0</v>
      </c>
      <c r="R1968" s="119">
        <f>IF(tech_base!$T224&gt;R$1745,"",(tech_base!$K224/tech_proj!R348*0.086*$J$132)/(1-tech_proj!R628))</f>
        <v>0</v>
      </c>
      <c r="S1968" s="119">
        <f>IF(tech_base!$T224&gt;S$1745,"",(tech_base!$K224/tech_proj!S348*0.086*$J$132)/(1-tech_proj!S628))</f>
        <v>0</v>
      </c>
      <c r="T1968" s="119">
        <f>IF(tech_base!$T224&gt;T$1745,"",(tech_base!$K224/tech_proj!T348*0.086*$J$132)/(1-tech_proj!T628))</f>
        <v>0</v>
      </c>
      <c r="U1968" s="119">
        <f>IF(tech_base!$T224&gt;U$1745,"",(tech_base!$K224/tech_proj!U348*0.086*$J$132)/(1-tech_proj!U628))</f>
        <v>0</v>
      </c>
      <c r="V1968" s="119">
        <f>IF(tech_base!$T224&gt;V$1745,"",(tech_base!$K224/tech_proj!V348*0.086*$J$132)/(1-tech_proj!V628))</f>
        <v>0</v>
      </c>
      <c r="W1968" s="119">
        <f>IF(tech_base!$T224&gt;W$1745,"",(tech_base!$K224/tech_proj!W348*0.086*$J$132)/(1-tech_proj!W628))</f>
        <v>0</v>
      </c>
      <c r="X1968" s="119">
        <f>IF(tech_base!$T224&gt;X$1745,"",(tech_base!$K224/tech_proj!X348*0.086*$J$132)/(1-tech_proj!X628))</f>
        <v>0</v>
      </c>
      <c r="Y1968" s="119">
        <f>IF(tech_base!$T224&gt;Y$1745,"",(tech_base!$K224/tech_proj!Y348*0.086*$J$132)/(1-tech_proj!Y628))</f>
        <v>0</v>
      </c>
      <c r="Z1968" s="119">
        <f>IF(tech_base!$T224&gt;Z$1745,"",(tech_base!$K224/tech_proj!Z348*0.086*$J$132)/(1-tech_proj!Z628))</f>
        <v>0</v>
      </c>
      <c r="AA1968" s="119">
        <f>IF(tech_base!$T224&gt;AA$1745,"",(tech_base!$K224/tech_proj!AA348*0.086*$J$132)/(1-tech_proj!AA628))</f>
        <v>0</v>
      </c>
      <c r="AB1968" s="119">
        <f>IF(tech_base!$T224&gt;AB$1745,"",(tech_base!$K224/tech_proj!AB348*0.086*$J$132)/(1-tech_proj!AB628))</f>
        <v>0</v>
      </c>
      <c r="AC1968" s="119">
        <f>IF(tech_base!$T224&gt;AC$1745,"",(tech_base!$K224/tech_proj!AC348*0.086*$J$132)/(1-tech_proj!AC628))</f>
        <v>0</v>
      </c>
      <c r="AD1968" s="119">
        <f>IF(tech_base!$T224&gt;AD$1745,"",(tech_base!$K224/tech_proj!AD348*0.086*$J$132)/(1-tech_proj!AD628))</f>
        <v>0</v>
      </c>
      <c r="AE1968" s="119">
        <f>IF(tech_base!$T224&gt;AE$1745,"",(tech_base!$K224/tech_proj!AE348*0.086*$J$132)/(1-tech_proj!AE628))</f>
        <v>0</v>
      </c>
      <c r="AF1968" s="119">
        <f>IF(tech_base!$T224&gt;AF$1745,"",(tech_base!$K224/tech_proj!AF348*0.086*$J$132)/(1-tech_proj!AF628))</f>
        <v>0</v>
      </c>
      <c r="AG1968" s="119">
        <f>IF(tech_base!$T224&gt;AG$1745,"",(tech_base!$K224/tech_proj!AG348*0.086*$J$132)/(1-tech_proj!AG628))</f>
        <v>0</v>
      </c>
      <c r="AH1968" s="119">
        <f>IF(tech_base!$T224&gt;AH$1745,"",(tech_base!$K224/tech_proj!AH348*0.086*$J$132)/(1-tech_proj!AH628))</f>
        <v>0</v>
      </c>
      <c r="AI1968" s="119">
        <f>IF(tech_base!$T224&gt;AI$1745,"",(tech_base!$K224/tech_proj!AI348*0.086*$J$132)/(1-tech_proj!AI628))</f>
        <v>0</v>
      </c>
      <c r="AJ1968" s="119">
        <f>IF(tech_base!$T224&gt;AJ$1745,"",(tech_base!$K224/tech_proj!AJ348*0.086*$J$132)/(1-tech_proj!AJ628))</f>
        <v>0</v>
      </c>
      <c r="AK1968" s="119">
        <f>IF(tech_base!$T224&gt;AK$1745,"",(tech_base!$K224/tech_proj!AK348*0.086*$J$132)/(1-tech_proj!AK628))</f>
        <v>0</v>
      </c>
      <c r="AL1968" s="119">
        <f>IF(tech_base!$T224&gt;AL$1745,"",(tech_base!$K224/tech_proj!AL348*0.086*$J$132)/(1-tech_proj!AL628))</f>
        <v>0</v>
      </c>
      <c r="AM1968" s="119">
        <f>IF(tech_base!$T224&gt;AM$1745,"",(tech_base!$K224/tech_proj!AM348*0.086*$J$132)/(1-tech_proj!AM628))</f>
        <v>0</v>
      </c>
      <c r="AN1968" s="119">
        <f>IF(tech_base!$T224&gt;AN$1745,"",(tech_base!$K224/tech_proj!AN348*0.086*$J$132)/(1-tech_proj!AN628))</f>
        <v>0</v>
      </c>
      <c r="AO1968" s="119">
        <f>IF(tech_base!$T224&gt;AO$1745,"",(tech_base!$K224/tech_proj!AO348*0.086*$J$132)/(1-tech_proj!AO628))</f>
        <v>0</v>
      </c>
      <c r="AP1968" s="119">
        <f>IF(tech_base!$T224&gt;AP$1745,"",(tech_base!$K224/tech_proj!AP348*0.086*$J$132)/(1-tech_proj!AP628))</f>
        <v>0</v>
      </c>
      <c r="AQ1968" s="119">
        <f>IF(tech_base!$T224&gt;AQ$1745,"",(tech_base!$K224/tech_proj!AQ348*0.086*$J$132)/(1-tech_proj!AQ628))</f>
        <v>0</v>
      </c>
      <c r="AR1968" s="119">
        <f>IF(tech_base!$T224&gt;AR$1745,"",(tech_base!$K224/tech_proj!AR348*0.086*$J$132)/(1-tech_proj!AR628))</f>
        <v>0</v>
      </c>
      <c r="AS1968" s="119">
        <f>IF(tech_base!$T224&gt;AS$1745,"",(tech_base!$K224/tech_proj!AS348*0.086*$J$132)/(1-tech_proj!AS628))</f>
        <v>0</v>
      </c>
      <c r="AT1968" s="119">
        <f>IF(tech_base!$T224&gt;AT$1745,"",(tech_base!$K224/tech_proj!AT348*0.086*$J$132)/(1-tech_proj!AT628))</f>
        <v>0</v>
      </c>
      <c r="AU1968" s="119">
        <f>IF(tech_base!$T224&gt;AU$1745,"",(tech_base!$K224/tech_proj!AU348*0.086*$J$132)/(1-tech_proj!AU628))</f>
        <v>0</v>
      </c>
      <c r="AV1968" s="119">
        <f>IF(tech_base!$T224&gt;AV$1745,"",(tech_base!$K224/tech_proj!AV348*0.086*$J$132)/(1-tech_proj!AV628))</f>
        <v>0</v>
      </c>
      <c r="AW1968" s="119">
        <f>IF(tech_base!$T224&gt;AW$1745,"",(tech_base!$K224/tech_proj!AW348*0.086*$J$132)/(1-tech_proj!AW628))</f>
        <v>0</v>
      </c>
      <c r="AX1968" s="120">
        <f>IF(tech_base!$T224&gt;AX$1745,"",(tech_base!$K224/tech_proj!AX348*0.086*$J$132)/(1-tech_proj!AX628))</f>
        <v>0</v>
      </c>
    </row>
    <row r="1969" spans="1:50" x14ac:dyDescent="0.25">
      <c r="A1969" s="356"/>
      <c r="B1969" s="376"/>
      <c r="C1969" s="378"/>
      <c r="D1969" s="2" t="s">
        <v>10</v>
      </c>
      <c r="E1969" s="160" t="str">
        <f>A1947&amp;"/"&amp;B1967&amp;"/"&amp;C1967&amp;"/"&amp;D1969</f>
        <v>Biomass and waste fired power plants/Steam turbine/Electricity only/S</v>
      </c>
      <c r="F1969" s="76" t="str">
        <f>A1947</f>
        <v>Biomass and waste fired power plants</v>
      </c>
      <c r="G1969" s="76" t="str">
        <f>B1967</f>
        <v>Steam turbine</v>
      </c>
      <c r="H1969" s="76" t="str">
        <f>C1967</f>
        <v>Electricity only</v>
      </c>
      <c r="I1969" s="161" t="str">
        <f t="shared" si="385"/>
        <v>S</v>
      </c>
      <c r="J1969" s="119">
        <f>IF(tech_base!$T225&gt;J$1745,"",(tech_base!$K225/tech_proj!J349*0.086*$J$132)/(1-tech_proj!J629))</f>
        <v>0</v>
      </c>
      <c r="K1969" s="119">
        <f>IF(tech_base!$T225&gt;K$1745,"",(tech_base!$K225/tech_proj!K349*0.086*$J$132)/(1-tech_proj!K629))</f>
        <v>0</v>
      </c>
      <c r="L1969" s="119">
        <f>IF(tech_base!$T225&gt;L$1745,"",(tech_base!$K225/tech_proj!L349*0.086*$J$132)/(1-tech_proj!L629))</f>
        <v>0</v>
      </c>
      <c r="M1969" s="119">
        <f>IF(tech_base!$T225&gt;M$1745,"",(tech_base!$K225/tech_proj!M349*0.086*$J$132)/(1-tech_proj!M629))</f>
        <v>0</v>
      </c>
      <c r="N1969" s="119">
        <f>IF(tech_base!$T225&gt;N$1745,"",(tech_base!$K225/tech_proj!N349*0.086*$J$132)/(1-tech_proj!N629))</f>
        <v>0</v>
      </c>
      <c r="O1969" s="119">
        <f>IF(tech_base!$T225&gt;O$1745,"",(tech_base!$K225/tech_proj!O349*0.086*$J$132)/(1-tech_proj!O629))</f>
        <v>0</v>
      </c>
      <c r="P1969" s="119">
        <f>IF(tech_base!$T225&gt;P$1745,"",(tech_base!$K225/tech_proj!P349*0.086*$J$132)/(1-tech_proj!P629))</f>
        <v>0</v>
      </c>
      <c r="Q1969" s="119">
        <f>IF(tech_base!$T225&gt;Q$1745,"",(tech_base!$K225/tech_proj!Q349*0.086*$J$132)/(1-tech_proj!Q629))</f>
        <v>0</v>
      </c>
      <c r="R1969" s="119">
        <f>IF(tech_base!$T225&gt;R$1745,"",(tech_base!$K225/tech_proj!R349*0.086*$J$132)/(1-tech_proj!R629))</f>
        <v>0</v>
      </c>
      <c r="S1969" s="119">
        <f>IF(tech_base!$T225&gt;S$1745,"",(tech_base!$K225/tech_proj!S349*0.086*$J$132)/(1-tech_proj!S629))</f>
        <v>0</v>
      </c>
      <c r="T1969" s="119">
        <f>IF(tech_base!$T225&gt;T$1745,"",(tech_base!$K225/tech_proj!T349*0.086*$J$132)/(1-tech_proj!T629))</f>
        <v>0</v>
      </c>
      <c r="U1969" s="119">
        <f>IF(tech_base!$T225&gt;U$1745,"",(tech_base!$K225/tech_proj!U349*0.086*$J$132)/(1-tech_proj!U629))</f>
        <v>0</v>
      </c>
      <c r="V1969" s="119">
        <f>IF(tech_base!$T225&gt;V$1745,"",(tech_base!$K225/tech_proj!V349*0.086*$J$132)/(1-tech_proj!V629))</f>
        <v>0</v>
      </c>
      <c r="W1969" s="119">
        <f>IF(tech_base!$T225&gt;W$1745,"",(tech_base!$K225/tech_proj!W349*0.086*$J$132)/(1-tech_proj!W629))</f>
        <v>0</v>
      </c>
      <c r="X1969" s="119">
        <f>IF(tech_base!$T225&gt;X$1745,"",(tech_base!$K225/tech_proj!X349*0.086*$J$132)/(1-tech_proj!X629))</f>
        <v>0</v>
      </c>
      <c r="Y1969" s="119">
        <f>IF(tech_base!$T225&gt;Y$1745,"",(tech_base!$K225/tech_proj!Y349*0.086*$J$132)/(1-tech_proj!Y629))</f>
        <v>0</v>
      </c>
      <c r="Z1969" s="119">
        <f>IF(tech_base!$T225&gt;Z$1745,"",(tech_base!$K225/tech_proj!Z349*0.086*$J$132)/(1-tech_proj!Z629))</f>
        <v>0</v>
      </c>
      <c r="AA1969" s="119">
        <f>IF(tech_base!$T225&gt;AA$1745,"",(tech_base!$K225/tech_proj!AA349*0.086*$J$132)/(1-tech_proj!AA629))</f>
        <v>0</v>
      </c>
      <c r="AB1969" s="119">
        <f>IF(tech_base!$T225&gt;AB$1745,"",(tech_base!$K225/tech_proj!AB349*0.086*$J$132)/(1-tech_proj!AB629))</f>
        <v>0</v>
      </c>
      <c r="AC1969" s="119">
        <f>IF(tech_base!$T225&gt;AC$1745,"",(tech_base!$K225/tech_proj!AC349*0.086*$J$132)/(1-tech_proj!AC629))</f>
        <v>0</v>
      </c>
      <c r="AD1969" s="119">
        <f>IF(tech_base!$T225&gt;AD$1745,"",(tech_base!$K225/tech_proj!AD349*0.086*$J$132)/(1-tech_proj!AD629))</f>
        <v>0</v>
      </c>
      <c r="AE1969" s="119">
        <f>IF(tech_base!$T225&gt;AE$1745,"",(tech_base!$K225/tech_proj!AE349*0.086*$J$132)/(1-tech_proj!AE629))</f>
        <v>0</v>
      </c>
      <c r="AF1969" s="119">
        <f>IF(tech_base!$T225&gt;AF$1745,"",(tech_base!$K225/tech_proj!AF349*0.086*$J$132)/(1-tech_proj!AF629))</f>
        <v>0</v>
      </c>
      <c r="AG1969" s="119">
        <f>IF(tech_base!$T225&gt;AG$1745,"",(tech_base!$K225/tech_proj!AG349*0.086*$J$132)/(1-tech_proj!AG629))</f>
        <v>0</v>
      </c>
      <c r="AH1969" s="119">
        <f>IF(tech_base!$T225&gt;AH$1745,"",(tech_base!$K225/tech_proj!AH349*0.086*$J$132)/(1-tech_proj!AH629))</f>
        <v>0</v>
      </c>
      <c r="AI1969" s="119">
        <f>IF(tech_base!$T225&gt;AI$1745,"",(tech_base!$K225/tech_proj!AI349*0.086*$J$132)/(1-tech_proj!AI629))</f>
        <v>0</v>
      </c>
      <c r="AJ1969" s="119">
        <f>IF(tech_base!$T225&gt;AJ$1745,"",(tech_base!$K225/tech_proj!AJ349*0.086*$J$132)/(1-tech_proj!AJ629))</f>
        <v>0</v>
      </c>
      <c r="AK1969" s="119">
        <f>IF(tech_base!$T225&gt;AK$1745,"",(tech_base!$K225/tech_proj!AK349*0.086*$J$132)/(1-tech_proj!AK629))</f>
        <v>0</v>
      </c>
      <c r="AL1969" s="119">
        <f>IF(tech_base!$T225&gt;AL$1745,"",(tech_base!$K225/tech_proj!AL349*0.086*$J$132)/(1-tech_proj!AL629))</f>
        <v>0</v>
      </c>
      <c r="AM1969" s="119">
        <f>IF(tech_base!$T225&gt;AM$1745,"",(tech_base!$K225/tech_proj!AM349*0.086*$J$132)/(1-tech_proj!AM629))</f>
        <v>0</v>
      </c>
      <c r="AN1969" s="119">
        <f>IF(tech_base!$T225&gt;AN$1745,"",(tech_base!$K225/tech_proj!AN349*0.086*$J$132)/(1-tech_proj!AN629))</f>
        <v>0</v>
      </c>
      <c r="AO1969" s="119">
        <f>IF(tech_base!$T225&gt;AO$1745,"",(tech_base!$K225/tech_proj!AO349*0.086*$J$132)/(1-tech_proj!AO629))</f>
        <v>0</v>
      </c>
      <c r="AP1969" s="119">
        <f>IF(tech_base!$T225&gt;AP$1745,"",(tech_base!$K225/tech_proj!AP349*0.086*$J$132)/(1-tech_proj!AP629))</f>
        <v>0</v>
      </c>
      <c r="AQ1969" s="119">
        <f>IF(tech_base!$T225&gt;AQ$1745,"",(tech_base!$K225/tech_proj!AQ349*0.086*$J$132)/(1-tech_proj!AQ629))</f>
        <v>0</v>
      </c>
      <c r="AR1969" s="119">
        <f>IF(tech_base!$T225&gt;AR$1745,"",(tech_base!$K225/tech_proj!AR349*0.086*$J$132)/(1-tech_proj!AR629))</f>
        <v>0</v>
      </c>
      <c r="AS1969" s="119">
        <f>IF(tech_base!$T225&gt;AS$1745,"",(tech_base!$K225/tech_proj!AS349*0.086*$J$132)/(1-tech_proj!AS629))</f>
        <v>0</v>
      </c>
      <c r="AT1969" s="119">
        <f>IF(tech_base!$T225&gt;AT$1745,"",(tech_base!$K225/tech_proj!AT349*0.086*$J$132)/(1-tech_proj!AT629))</f>
        <v>0</v>
      </c>
      <c r="AU1969" s="119">
        <f>IF(tech_base!$T225&gt;AU$1745,"",(tech_base!$K225/tech_proj!AU349*0.086*$J$132)/(1-tech_proj!AU629))</f>
        <v>0</v>
      </c>
      <c r="AV1969" s="119">
        <f>IF(tech_base!$T225&gt;AV$1745,"",(tech_base!$K225/tech_proj!AV349*0.086*$J$132)/(1-tech_proj!AV629))</f>
        <v>0</v>
      </c>
      <c r="AW1969" s="119">
        <f>IF(tech_base!$T225&gt;AW$1745,"",(tech_base!$K225/tech_proj!AW349*0.086*$J$132)/(1-tech_proj!AW629))</f>
        <v>0</v>
      </c>
      <c r="AX1969" s="120">
        <f>IF(tech_base!$T225&gt;AX$1745,"",(tech_base!$K225/tech_proj!AX349*0.086*$J$132)/(1-tech_proj!AX629))</f>
        <v>0</v>
      </c>
    </row>
    <row r="1970" spans="1:50" x14ac:dyDescent="0.25">
      <c r="A1970" s="356"/>
      <c r="B1970" s="376"/>
      <c r="C1970" s="379"/>
      <c r="D1970" s="2" t="s">
        <v>20</v>
      </c>
      <c r="E1970" s="160" t="str">
        <f>A1947&amp;"/"&amp;B1967&amp;"/"&amp;C1967&amp;"/"&amp;D1970</f>
        <v>Biomass and waste fired power plants/Steam turbine/Electricity only/XS</v>
      </c>
      <c r="F1970" s="76" t="str">
        <f>A1947</f>
        <v>Biomass and waste fired power plants</v>
      </c>
      <c r="G1970" s="76" t="str">
        <f>B1967</f>
        <v>Steam turbine</v>
      </c>
      <c r="H1970" s="76" t="str">
        <f>C1967</f>
        <v>Electricity only</v>
      </c>
      <c r="I1970" s="161" t="str">
        <f t="shared" si="385"/>
        <v>XS</v>
      </c>
      <c r="J1970" s="119">
        <f>IF(tech_base!$T226&gt;J$1745,"",(tech_base!$K226/tech_proj!J350*0.086*$J$132)/(1-tech_proj!J630))</f>
        <v>0</v>
      </c>
      <c r="K1970" s="119">
        <f>IF(tech_base!$T226&gt;K$1745,"",(tech_base!$K226/tech_proj!K350*0.086*$J$132)/(1-tech_proj!K630))</f>
        <v>0</v>
      </c>
      <c r="L1970" s="119">
        <f>IF(tech_base!$T226&gt;L$1745,"",(tech_base!$K226/tech_proj!L350*0.086*$J$132)/(1-tech_proj!L630))</f>
        <v>0</v>
      </c>
      <c r="M1970" s="119">
        <f>IF(tech_base!$T226&gt;M$1745,"",(tech_base!$K226/tech_proj!M350*0.086*$J$132)/(1-tech_proj!M630))</f>
        <v>0</v>
      </c>
      <c r="N1970" s="119">
        <f>IF(tech_base!$T226&gt;N$1745,"",(tech_base!$K226/tech_proj!N350*0.086*$J$132)/(1-tech_proj!N630))</f>
        <v>0</v>
      </c>
      <c r="O1970" s="119">
        <f>IF(tech_base!$T226&gt;O$1745,"",(tech_base!$K226/tech_proj!O350*0.086*$J$132)/(1-tech_proj!O630))</f>
        <v>0</v>
      </c>
      <c r="P1970" s="119">
        <f>IF(tech_base!$T226&gt;P$1745,"",(tech_base!$K226/tech_proj!P350*0.086*$J$132)/(1-tech_proj!P630))</f>
        <v>0</v>
      </c>
      <c r="Q1970" s="119">
        <f>IF(tech_base!$T226&gt;Q$1745,"",(tech_base!$K226/tech_proj!Q350*0.086*$J$132)/(1-tech_proj!Q630))</f>
        <v>0</v>
      </c>
      <c r="R1970" s="119">
        <f>IF(tech_base!$T226&gt;R$1745,"",(tech_base!$K226/tech_proj!R350*0.086*$J$132)/(1-tech_proj!R630))</f>
        <v>0</v>
      </c>
      <c r="S1970" s="119">
        <f>IF(tech_base!$T226&gt;S$1745,"",(tech_base!$K226/tech_proj!S350*0.086*$J$132)/(1-tech_proj!S630))</f>
        <v>0</v>
      </c>
      <c r="T1970" s="119">
        <f>IF(tech_base!$T226&gt;T$1745,"",(tech_base!$K226/tech_proj!T350*0.086*$J$132)/(1-tech_proj!T630))</f>
        <v>0</v>
      </c>
      <c r="U1970" s="119">
        <f>IF(tech_base!$T226&gt;U$1745,"",(tech_base!$K226/tech_proj!U350*0.086*$J$132)/(1-tech_proj!U630))</f>
        <v>0</v>
      </c>
      <c r="V1970" s="119">
        <f>IF(tech_base!$T226&gt;V$1745,"",(tech_base!$K226/tech_proj!V350*0.086*$J$132)/(1-tech_proj!V630))</f>
        <v>0</v>
      </c>
      <c r="W1970" s="119">
        <f>IF(tech_base!$T226&gt;W$1745,"",(tech_base!$K226/tech_proj!W350*0.086*$J$132)/(1-tech_proj!W630))</f>
        <v>0</v>
      </c>
      <c r="X1970" s="119">
        <f>IF(tech_base!$T226&gt;X$1745,"",(tech_base!$K226/tech_proj!X350*0.086*$J$132)/(1-tech_proj!X630))</f>
        <v>0</v>
      </c>
      <c r="Y1970" s="119">
        <f>IF(tech_base!$T226&gt;Y$1745,"",(tech_base!$K226/tech_proj!Y350*0.086*$J$132)/(1-tech_proj!Y630))</f>
        <v>0</v>
      </c>
      <c r="Z1970" s="119">
        <f>IF(tech_base!$T226&gt;Z$1745,"",(tech_base!$K226/tech_proj!Z350*0.086*$J$132)/(1-tech_proj!Z630))</f>
        <v>0</v>
      </c>
      <c r="AA1970" s="119">
        <f>IF(tech_base!$T226&gt;AA$1745,"",(tech_base!$K226/tech_proj!AA350*0.086*$J$132)/(1-tech_proj!AA630))</f>
        <v>0</v>
      </c>
      <c r="AB1970" s="119">
        <f>IF(tech_base!$T226&gt;AB$1745,"",(tech_base!$K226/tech_proj!AB350*0.086*$J$132)/(1-tech_proj!AB630))</f>
        <v>0</v>
      </c>
      <c r="AC1970" s="119">
        <f>IF(tech_base!$T226&gt;AC$1745,"",(tech_base!$K226/tech_proj!AC350*0.086*$J$132)/(1-tech_proj!AC630))</f>
        <v>0</v>
      </c>
      <c r="AD1970" s="119">
        <f>IF(tech_base!$T226&gt;AD$1745,"",(tech_base!$K226/tech_proj!AD350*0.086*$J$132)/(1-tech_proj!AD630))</f>
        <v>0</v>
      </c>
      <c r="AE1970" s="119">
        <f>IF(tech_base!$T226&gt;AE$1745,"",(tech_base!$K226/tech_proj!AE350*0.086*$J$132)/(1-tech_proj!AE630))</f>
        <v>0</v>
      </c>
      <c r="AF1970" s="119">
        <f>IF(tech_base!$T226&gt;AF$1745,"",(tech_base!$K226/tech_proj!AF350*0.086*$J$132)/(1-tech_proj!AF630))</f>
        <v>0</v>
      </c>
      <c r="AG1970" s="119">
        <f>IF(tech_base!$T226&gt;AG$1745,"",(tech_base!$K226/tech_proj!AG350*0.086*$J$132)/(1-tech_proj!AG630))</f>
        <v>0</v>
      </c>
      <c r="AH1970" s="119">
        <f>IF(tech_base!$T226&gt;AH$1745,"",(tech_base!$K226/tech_proj!AH350*0.086*$J$132)/(1-tech_proj!AH630))</f>
        <v>0</v>
      </c>
      <c r="AI1970" s="119">
        <f>IF(tech_base!$T226&gt;AI$1745,"",(tech_base!$K226/tech_proj!AI350*0.086*$J$132)/(1-tech_proj!AI630))</f>
        <v>0</v>
      </c>
      <c r="AJ1970" s="119">
        <f>IF(tech_base!$T226&gt;AJ$1745,"",(tech_base!$K226/tech_proj!AJ350*0.086*$J$132)/(1-tech_proj!AJ630))</f>
        <v>0</v>
      </c>
      <c r="AK1970" s="119">
        <f>IF(tech_base!$T226&gt;AK$1745,"",(tech_base!$K226/tech_proj!AK350*0.086*$J$132)/(1-tech_proj!AK630))</f>
        <v>0</v>
      </c>
      <c r="AL1970" s="119">
        <f>IF(tech_base!$T226&gt;AL$1745,"",(tech_base!$K226/tech_proj!AL350*0.086*$J$132)/(1-tech_proj!AL630))</f>
        <v>0</v>
      </c>
      <c r="AM1970" s="119">
        <f>IF(tech_base!$T226&gt;AM$1745,"",(tech_base!$K226/tech_proj!AM350*0.086*$J$132)/(1-tech_proj!AM630))</f>
        <v>0</v>
      </c>
      <c r="AN1970" s="119">
        <f>IF(tech_base!$T226&gt;AN$1745,"",(tech_base!$K226/tech_proj!AN350*0.086*$J$132)/(1-tech_proj!AN630))</f>
        <v>0</v>
      </c>
      <c r="AO1970" s="119">
        <f>IF(tech_base!$T226&gt;AO$1745,"",(tech_base!$K226/tech_proj!AO350*0.086*$J$132)/(1-tech_proj!AO630))</f>
        <v>0</v>
      </c>
      <c r="AP1970" s="119">
        <f>IF(tech_base!$T226&gt;AP$1745,"",(tech_base!$K226/tech_proj!AP350*0.086*$J$132)/(1-tech_proj!AP630))</f>
        <v>0</v>
      </c>
      <c r="AQ1970" s="119">
        <f>IF(tech_base!$T226&gt;AQ$1745,"",(tech_base!$K226/tech_proj!AQ350*0.086*$J$132)/(1-tech_proj!AQ630))</f>
        <v>0</v>
      </c>
      <c r="AR1970" s="119">
        <f>IF(tech_base!$T226&gt;AR$1745,"",(tech_base!$K226/tech_proj!AR350*0.086*$J$132)/(1-tech_proj!AR630))</f>
        <v>0</v>
      </c>
      <c r="AS1970" s="119">
        <f>IF(tech_base!$T226&gt;AS$1745,"",(tech_base!$K226/tech_proj!AS350*0.086*$J$132)/(1-tech_proj!AS630))</f>
        <v>0</v>
      </c>
      <c r="AT1970" s="119">
        <f>IF(tech_base!$T226&gt;AT$1745,"",(tech_base!$K226/tech_proj!AT350*0.086*$J$132)/(1-tech_proj!AT630))</f>
        <v>0</v>
      </c>
      <c r="AU1970" s="119">
        <f>IF(tech_base!$T226&gt;AU$1745,"",(tech_base!$K226/tech_proj!AU350*0.086*$J$132)/(1-tech_proj!AU630))</f>
        <v>0</v>
      </c>
      <c r="AV1970" s="119">
        <f>IF(tech_base!$T226&gt;AV$1745,"",(tech_base!$K226/tech_proj!AV350*0.086*$J$132)/(1-tech_proj!AV630))</f>
        <v>0</v>
      </c>
      <c r="AW1970" s="119">
        <f>IF(tech_base!$T226&gt;AW$1745,"",(tech_base!$K226/tech_proj!AW350*0.086*$J$132)/(1-tech_proj!AW630))</f>
        <v>0</v>
      </c>
      <c r="AX1970" s="120">
        <f>IF(tech_base!$T226&gt;AX$1745,"",(tech_base!$K226/tech_proj!AX350*0.086*$J$132)/(1-tech_proj!AX630))</f>
        <v>0</v>
      </c>
    </row>
    <row r="1971" spans="1:50" x14ac:dyDescent="0.25">
      <c r="A1971" s="356"/>
      <c r="B1971" s="376"/>
      <c r="C1971" s="361" t="s">
        <v>14</v>
      </c>
      <c r="D1971" s="58" t="s">
        <v>7</v>
      </c>
      <c r="E1971" s="164" t="str">
        <f>A1947&amp;"/"&amp;B1967&amp;"/"&amp;C1971&amp;"/"&amp;D1971</f>
        <v>Biomass and waste fired power plants/Steam turbine/CHP/L</v>
      </c>
      <c r="F1971" s="78" t="str">
        <f>A1947</f>
        <v>Biomass and waste fired power plants</v>
      </c>
      <c r="G1971" s="78" t="str">
        <f>B1967</f>
        <v>Steam turbine</v>
      </c>
      <c r="H1971" s="78" t="str">
        <f>C1971</f>
        <v>CHP</v>
      </c>
      <c r="I1971" s="165" t="str">
        <f t="shared" si="385"/>
        <v>L</v>
      </c>
      <c r="J1971" s="123">
        <f>IF(tech_base!$T227&gt;J$1745,"",(tech_base!$K227/tech_proj!J351*0.086*$J$132)/(1-tech_proj!J631))</f>
        <v>0</v>
      </c>
      <c r="K1971" s="123">
        <f>IF(tech_base!$T227&gt;K$1745,"",(tech_base!$K227/tech_proj!K351*0.086*$J$132)/(1-tech_proj!K631))</f>
        <v>0</v>
      </c>
      <c r="L1971" s="123">
        <f>IF(tech_base!$T227&gt;L$1745,"",(tech_base!$K227/tech_proj!L351*0.086*$J$132)/(1-tech_proj!L631))</f>
        <v>0</v>
      </c>
      <c r="M1971" s="123">
        <f>IF(tech_base!$T227&gt;M$1745,"",(tech_base!$K227/tech_proj!M351*0.086*$J$132)/(1-tech_proj!M631))</f>
        <v>0</v>
      </c>
      <c r="N1971" s="123">
        <f>IF(tech_base!$T227&gt;N$1745,"",(tech_base!$K227/tech_proj!N351*0.086*$J$132)/(1-tech_proj!N631))</f>
        <v>0</v>
      </c>
      <c r="O1971" s="123">
        <f>IF(tech_base!$T227&gt;O$1745,"",(tech_base!$K227/tech_proj!O351*0.086*$J$132)/(1-tech_proj!O631))</f>
        <v>0</v>
      </c>
      <c r="P1971" s="123">
        <f>IF(tech_base!$T227&gt;P$1745,"",(tech_base!$K227/tech_proj!P351*0.086*$J$132)/(1-tech_proj!P631))</f>
        <v>0</v>
      </c>
      <c r="Q1971" s="123">
        <f>IF(tech_base!$T227&gt;Q$1745,"",(tech_base!$K227/tech_proj!Q351*0.086*$J$132)/(1-tech_proj!Q631))</f>
        <v>0</v>
      </c>
      <c r="R1971" s="123">
        <f>IF(tech_base!$T227&gt;R$1745,"",(tech_base!$K227/tech_proj!R351*0.086*$J$132)/(1-tech_proj!R631))</f>
        <v>0</v>
      </c>
      <c r="S1971" s="123">
        <f>IF(tech_base!$T227&gt;S$1745,"",(tech_base!$K227/tech_proj!S351*0.086*$J$132)/(1-tech_proj!S631))</f>
        <v>0</v>
      </c>
      <c r="T1971" s="123">
        <f>IF(tech_base!$T227&gt;T$1745,"",(tech_base!$K227/tech_proj!T351*0.086*$J$132)/(1-tech_proj!T631))</f>
        <v>0</v>
      </c>
      <c r="U1971" s="123">
        <f>IF(tech_base!$T227&gt;U$1745,"",(tech_base!$K227/tech_proj!U351*0.086*$J$132)/(1-tech_proj!U631))</f>
        <v>0</v>
      </c>
      <c r="V1971" s="123">
        <f>IF(tech_base!$T227&gt;V$1745,"",(tech_base!$K227/tech_proj!V351*0.086*$J$132)/(1-tech_proj!V631))</f>
        <v>0</v>
      </c>
      <c r="W1971" s="123">
        <f>IF(tech_base!$T227&gt;W$1745,"",(tech_base!$K227/tech_proj!W351*0.086*$J$132)/(1-tech_proj!W631))</f>
        <v>0</v>
      </c>
      <c r="X1971" s="123">
        <f>IF(tech_base!$T227&gt;X$1745,"",(tech_base!$K227/tech_proj!X351*0.086*$J$132)/(1-tech_proj!X631))</f>
        <v>0</v>
      </c>
      <c r="Y1971" s="123">
        <f>IF(tech_base!$T227&gt;Y$1745,"",(tech_base!$K227/tech_proj!Y351*0.086*$J$132)/(1-tech_proj!Y631))</f>
        <v>0</v>
      </c>
      <c r="Z1971" s="123">
        <f>IF(tech_base!$T227&gt;Z$1745,"",(tech_base!$K227/tech_proj!Z351*0.086*$J$132)/(1-tech_proj!Z631))</f>
        <v>0</v>
      </c>
      <c r="AA1971" s="123">
        <f>IF(tech_base!$T227&gt;AA$1745,"",(tech_base!$K227/tech_proj!AA351*0.086*$J$132)/(1-tech_proj!AA631))</f>
        <v>0</v>
      </c>
      <c r="AB1971" s="123">
        <f>IF(tech_base!$T227&gt;AB$1745,"",(tech_base!$K227/tech_proj!AB351*0.086*$J$132)/(1-tech_proj!AB631))</f>
        <v>0</v>
      </c>
      <c r="AC1971" s="123">
        <f>IF(tech_base!$T227&gt;AC$1745,"",(tech_base!$K227/tech_proj!AC351*0.086*$J$132)/(1-tech_proj!AC631))</f>
        <v>0</v>
      </c>
      <c r="AD1971" s="123">
        <f>IF(tech_base!$T227&gt;AD$1745,"",(tech_base!$K227/tech_proj!AD351*0.086*$J$132)/(1-tech_proj!AD631))</f>
        <v>0</v>
      </c>
      <c r="AE1971" s="123">
        <f>IF(tech_base!$T227&gt;AE$1745,"",(tech_base!$K227/tech_proj!AE351*0.086*$J$132)/(1-tech_proj!AE631))</f>
        <v>0</v>
      </c>
      <c r="AF1971" s="123">
        <f>IF(tech_base!$T227&gt;AF$1745,"",(tech_base!$K227/tech_proj!AF351*0.086*$J$132)/(1-tech_proj!AF631))</f>
        <v>0</v>
      </c>
      <c r="AG1971" s="123">
        <f>IF(tech_base!$T227&gt;AG$1745,"",(tech_base!$K227/tech_proj!AG351*0.086*$J$132)/(1-tech_proj!AG631))</f>
        <v>0</v>
      </c>
      <c r="AH1971" s="123">
        <f>IF(tech_base!$T227&gt;AH$1745,"",(tech_base!$K227/tech_proj!AH351*0.086*$J$132)/(1-tech_proj!AH631))</f>
        <v>0</v>
      </c>
      <c r="AI1971" s="123">
        <f>IF(tech_base!$T227&gt;AI$1745,"",(tech_base!$K227/tech_proj!AI351*0.086*$J$132)/(1-tech_proj!AI631))</f>
        <v>0</v>
      </c>
      <c r="AJ1971" s="123">
        <f>IF(tech_base!$T227&gt;AJ$1745,"",(tech_base!$K227/tech_proj!AJ351*0.086*$J$132)/(1-tech_proj!AJ631))</f>
        <v>0</v>
      </c>
      <c r="AK1971" s="123">
        <f>IF(tech_base!$T227&gt;AK$1745,"",(tech_base!$K227/tech_proj!AK351*0.086*$J$132)/(1-tech_proj!AK631))</f>
        <v>0</v>
      </c>
      <c r="AL1971" s="123">
        <f>IF(tech_base!$T227&gt;AL$1745,"",(tech_base!$K227/tech_proj!AL351*0.086*$J$132)/(1-tech_proj!AL631))</f>
        <v>0</v>
      </c>
      <c r="AM1971" s="123">
        <f>IF(tech_base!$T227&gt;AM$1745,"",(tech_base!$K227/tech_proj!AM351*0.086*$J$132)/(1-tech_proj!AM631))</f>
        <v>0</v>
      </c>
      <c r="AN1971" s="123">
        <f>IF(tech_base!$T227&gt;AN$1745,"",(tech_base!$K227/tech_proj!AN351*0.086*$J$132)/(1-tech_proj!AN631))</f>
        <v>0</v>
      </c>
      <c r="AO1971" s="123">
        <f>IF(tech_base!$T227&gt;AO$1745,"",(tech_base!$K227/tech_proj!AO351*0.086*$J$132)/(1-tech_proj!AO631))</f>
        <v>0</v>
      </c>
      <c r="AP1971" s="123">
        <f>IF(tech_base!$T227&gt;AP$1745,"",(tech_base!$K227/tech_proj!AP351*0.086*$J$132)/(1-tech_proj!AP631))</f>
        <v>0</v>
      </c>
      <c r="AQ1971" s="123">
        <f>IF(tech_base!$T227&gt;AQ$1745,"",(tech_base!$K227/tech_proj!AQ351*0.086*$J$132)/(1-tech_proj!AQ631))</f>
        <v>0</v>
      </c>
      <c r="AR1971" s="123">
        <f>IF(tech_base!$T227&gt;AR$1745,"",(tech_base!$K227/tech_proj!AR351*0.086*$J$132)/(1-tech_proj!AR631))</f>
        <v>0</v>
      </c>
      <c r="AS1971" s="123">
        <f>IF(tech_base!$T227&gt;AS$1745,"",(tech_base!$K227/tech_proj!AS351*0.086*$J$132)/(1-tech_proj!AS631))</f>
        <v>0</v>
      </c>
      <c r="AT1971" s="123">
        <f>IF(tech_base!$T227&gt;AT$1745,"",(tech_base!$K227/tech_proj!AT351*0.086*$J$132)/(1-tech_proj!AT631))</f>
        <v>0</v>
      </c>
      <c r="AU1971" s="123">
        <f>IF(tech_base!$T227&gt;AU$1745,"",(tech_base!$K227/tech_proj!AU351*0.086*$J$132)/(1-tech_proj!AU631))</f>
        <v>0</v>
      </c>
      <c r="AV1971" s="123">
        <f>IF(tech_base!$T227&gt;AV$1745,"",(tech_base!$K227/tech_proj!AV351*0.086*$J$132)/(1-tech_proj!AV631))</f>
        <v>0</v>
      </c>
      <c r="AW1971" s="123">
        <f>IF(tech_base!$T227&gt;AW$1745,"",(tech_base!$K227/tech_proj!AW351*0.086*$J$132)/(1-tech_proj!AW631))</f>
        <v>0</v>
      </c>
      <c r="AX1971" s="124">
        <f>IF(tech_base!$T227&gt;AX$1745,"",(tech_base!$K227/tech_proj!AX351*0.086*$J$132)/(1-tech_proj!AX631))</f>
        <v>0</v>
      </c>
    </row>
    <row r="1972" spans="1:50" x14ac:dyDescent="0.25">
      <c r="A1972" s="356"/>
      <c r="B1972" s="376"/>
      <c r="C1972" s="378"/>
      <c r="D1972" s="2" t="s">
        <v>8</v>
      </c>
      <c r="E1972" s="160" t="str">
        <f>A1947&amp;"/"&amp;B1967&amp;"/"&amp;C1971&amp;"/"&amp;D1972</f>
        <v>Biomass and waste fired power plants/Steam turbine/CHP/M</v>
      </c>
      <c r="F1972" s="76" t="str">
        <f>A1947</f>
        <v>Biomass and waste fired power plants</v>
      </c>
      <c r="G1972" s="76" t="str">
        <f>B1967</f>
        <v>Steam turbine</v>
      </c>
      <c r="H1972" s="76" t="str">
        <f>C1971</f>
        <v>CHP</v>
      </c>
      <c r="I1972" s="161" t="str">
        <f t="shared" si="385"/>
        <v>M</v>
      </c>
      <c r="J1972" s="119">
        <f>IF(tech_base!$T228&gt;J$1745,"",(tech_base!$K228/tech_proj!J352*0.086*$J$132)/(1-tech_proj!J632))</f>
        <v>0</v>
      </c>
      <c r="K1972" s="119">
        <f>IF(tech_base!$T228&gt;K$1745,"",(tech_base!$K228/tech_proj!K352*0.086*$J$132)/(1-tech_proj!K632))</f>
        <v>0</v>
      </c>
      <c r="L1972" s="119">
        <f>IF(tech_base!$T228&gt;L$1745,"",(tech_base!$K228/tech_proj!L352*0.086*$J$132)/(1-tech_proj!L632))</f>
        <v>0</v>
      </c>
      <c r="M1972" s="119">
        <f>IF(tech_base!$T228&gt;M$1745,"",(tech_base!$K228/tech_proj!M352*0.086*$J$132)/(1-tech_proj!M632))</f>
        <v>0</v>
      </c>
      <c r="N1972" s="119">
        <f>IF(tech_base!$T228&gt;N$1745,"",(tech_base!$K228/tech_proj!N352*0.086*$J$132)/(1-tech_proj!N632))</f>
        <v>0</v>
      </c>
      <c r="O1972" s="119">
        <f>IF(tech_base!$T228&gt;O$1745,"",(tech_base!$K228/tech_proj!O352*0.086*$J$132)/(1-tech_proj!O632))</f>
        <v>0</v>
      </c>
      <c r="P1972" s="119">
        <f>IF(tech_base!$T228&gt;P$1745,"",(tech_base!$K228/tech_proj!P352*0.086*$J$132)/(1-tech_proj!P632))</f>
        <v>0</v>
      </c>
      <c r="Q1972" s="119">
        <f>IF(tech_base!$T228&gt;Q$1745,"",(tech_base!$K228/tech_proj!Q352*0.086*$J$132)/(1-tech_proj!Q632))</f>
        <v>0</v>
      </c>
      <c r="R1972" s="119">
        <f>IF(tech_base!$T228&gt;R$1745,"",(tech_base!$K228/tech_proj!R352*0.086*$J$132)/(1-tech_proj!R632))</f>
        <v>0</v>
      </c>
      <c r="S1972" s="119">
        <f>IF(tech_base!$T228&gt;S$1745,"",(tech_base!$K228/tech_proj!S352*0.086*$J$132)/(1-tech_proj!S632))</f>
        <v>0</v>
      </c>
      <c r="T1972" s="119">
        <f>IF(tech_base!$T228&gt;T$1745,"",(tech_base!$K228/tech_proj!T352*0.086*$J$132)/(1-tech_proj!T632))</f>
        <v>0</v>
      </c>
      <c r="U1972" s="119">
        <f>IF(tech_base!$T228&gt;U$1745,"",(tech_base!$K228/tech_proj!U352*0.086*$J$132)/(1-tech_proj!U632))</f>
        <v>0</v>
      </c>
      <c r="V1972" s="119">
        <f>IF(tech_base!$T228&gt;V$1745,"",(tech_base!$K228/tech_proj!V352*0.086*$J$132)/(1-tech_proj!V632))</f>
        <v>0</v>
      </c>
      <c r="W1972" s="119">
        <f>IF(tech_base!$T228&gt;W$1745,"",(tech_base!$K228/tech_proj!W352*0.086*$J$132)/(1-tech_proj!W632))</f>
        <v>0</v>
      </c>
      <c r="X1972" s="119">
        <f>IF(tech_base!$T228&gt;X$1745,"",(tech_base!$K228/tech_proj!X352*0.086*$J$132)/(1-tech_proj!X632))</f>
        <v>0</v>
      </c>
      <c r="Y1972" s="119">
        <f>IF(tech_base!$T228&gt;Y$1745,"",(tech_base!$K228/tech_proj!Y352*0.086*$J$132)/(1-tech_proj!Y632))</f>
        <v>0</v>
      </c>
      <c r="Z1972" s="119">
        <f>IF(tech_base!$T228&gt;Z$1745,"",(tech_base!$K228/tech_proj!Z352*0.086*$J$132)/(1-tech_proj!Z632))</f>
        <v>0</v>
      </c>
      <c r="AA1972" s="119">
        <f>IF(tech_base!$T228&gt;AA$1745,"",(tech_base!$K228/tech_proj!AA352*0.086*$J$132)/(1-tech_proj!AA632))</f>
        <v>0</v>
      </c>
      <c r="AB1972" s="119">
        <f>IF(tech_base!$T228&gt;AB$1745,"",(tech_base!$K228/tech_proj!AB352*0.086*$J$132)/(1-tech_proj!AB632))</f>
        <v>0</v>
      </c>
      <c r="AC1972" s="119">
        <f>IF(tech_base!$T228&gt;AC$1745,"",(tech_base!$K228/tech_proj!AC352*0.086*$J$132)/(1-tech_proj!AC632))</f>
        <v>0</v>
      </c>
      <c r="AD1972" s="119">
        <f>IF(tech_base!$T228&gt;AD$1745,"",(tech_base!$K228/tech_proj!AD352*0.086*$J$132)/(1-tech_proj!AD632))</f>
        <v>0</v>
      </c>
      <c r="AE1972" s="119">
        <f>IF(tech_base!$T228&gt;AE$1745,"",(tech_base!$K228/tech_proj!AE352*0.086*$J$132)/(1-tech_proj!AE632))</f>
        <v>0</v>
      </c>
      <c r="AF1972" s="119">
        <f>IF(tech_base!$T228&gt;AF$1745,"",(tech_base!$K228/tech_proj!AF352*0.086*$J$132)/(1-tech_proj!AF632))</f>
        <v>0</v>
      </c>
      <c r="AG1972" s="119">
        <f>IF(tech_base!$T228&gt;AG$1745,"",(tech_base!$K228/tech_proj!AG352*0.086*$J$132)/(1-tech_proj!AG632))</f>
        <v>0</v>
      </c>
      <c r="AH1972" s="119">
        <f>IF(tech_base!$T228&gt;AH$1745,"",(tech_base!$K228/tech_proj!AH352*0.086*$J$132)/(1-tech_proj!AH632))</f>
        <v>0</v>
      </c>
      <c r="AI1972" s="119">
        <f>IF(tech_base!$T228&gt;AI$1745,"",(tech_base!$K228/tech_proj!AI352*0.086*$J$132)/(1-tech_proj!AI632))</f>
        <v>0</v>
      </c>
      <c r="AJ1972" s="119">
        <f>IF(tech_base!$T228&gt;AJ$1745,"",(tech_base!$K228/tech_proj!AJ352*0.086*$J$132)/(1-tech_proj!AJ632))</f>
        <v>0</v>
      </c>
      <c r="AK1972" s="119">
        <f>IF(tech_base!$T228&gt;AK$1745,"",(tech_base!$K228/tech_proj!AK352*0.086*$J$132)/(1-tech_proj!AK632))</f>
        <v>0</v>
      </c>
      <c r="AL1972" s="119">
        <f>IF(tech_base!$T228&gt;AL$1745,"",(tech_base!$K228/tech_proj!AL352*0.086*$J$132)/(1-tech_proj!AL632))</f>
        <v>0</v>
      </c>
      <c r="AM1972" s="119">
        <f>IF(tech_base!$T228&gt;AM$1745,"",(tech_base!$K228/tech_proj!AM352*0.086*$J$132)/(1-tech_proj!AM632))</f>
        <v>0</v>
      </c>
      <c r="AN1972" s="119">
        <f>IF(tech_base!$T228&gt;AN$1745,"",(tech_base!$K228/tech_proj!AN352*0.086*$J$132)/(1-tech_proj!AN632))</f>
        <v>0</v>
      </c>
      <c r="AO1972" s="119">
        <f>IF(tech_base!$T228&gt;AO$1745,"",(tech_base!$K228/tech_proj!AO352*0.086*$J$132)/(1-tech_proj!AO632))</f>
        <v>0</v>
      </c>
      <c r="AP1972" s="119">
        <f>IF(tech_base!$T228&gt;AP$1745,"",(tech_base!$K228/tech_proj!AP352*0.086*$J$132)/(1-tech_proj!AP632))</f>
        <v>0</v>
      </c>
      <c r="AQ1972" s="119">
        <f>IF(tech_base!$T228&gt;AQ$1745,"",(tech_base!$K228/tech_proj!AQ352*0.086*$J$132)/(1-tech_proj!AQ632))</f>
        <v>0</v>
      </c>
      <c r="AR1972" s="119">
        <f>IF(tech_base!$T228&gt;AR$1745,"",(tech_base!$K228/tech_proj!AR352*0.086*$J$132)/(1-tech_proj!AR632))</f>
        <v>0</v>
      </c>
      <c r="AS1972" s="119">
        <f>IF(tech_base!$T228&gt;AS$1745,"",(tech_base!$K228/tech_proj!AS352*0.086*$J$132)/(1-tech_proj!AS632))</f>
        <v>0</v>
      </c>
      <c r="AT1972" s="119">
        <f>IF(tech_base!$T228&gt;AT$1745,"",(tech_base!$K228/tech_proj!AT352*0.086*$J$132)/(1-tech_proj!AT632))</f>
        <v>0</v>
      </c>
      <c r="AU1972" s="119">
        <f>IF(tech_base!$T228&gt;AU$1745,"",(tech_base!$K228/tech_proj!AU352*0.086*$J$132)/(1-tech_proj!AU632))</f>
        <v>0</v>
      </c>
      <c r="AV1972" s="119">
        <f>IF(tech_base!$T228&gt;AV$1745,"",(tech_base!$K228/tech_proj!AV352*0.086*$J$132)/(1-tech_proj!AV632))</f>
        <v>0</v>
      </c>
      <c r="AW1972" s="119">
        <f>IF(tech_base!$T228&gt;AW$1745,"",(tech_base!$K228/tech_proj!AW352*0.086*$J$132)/(1-tech_proj!AW632))</f>
        <v>0</v>
      </c>
      <c r="AX1972" s="120">
        <f>IF(tech_base!$T228&gt;AX$1745,"",(tech_base!$K228/tech_proj!AX352*0.086*$J$132)/(1-tech_proj!AX632))</f>
        <v>0</v>
      </c>
    </row>
    <row r="1973" spans="1:50" x14ac:dyDescent="0.25">
      <c r="A1973" s="356"/>
      <c r="B1973" s="376"/>
      <c r="C1973" s="378"/>
      <c r="D1973" s="2" t="s">
        <v>10</v>
      </c>
      <c r="E1973" s="160" t="str">
        <f>A1947&amp;"/"&amp;B1967&amp;"/"&amp;C1971&amp;"/"&amp;D1973</f>
        <v>Biomass and waste fired power plants/Steam turbine/CHP/S</v>
      </c>
      <c r="F1973" s="76" t="str">
        <f>A1947</f>
        <v>Biomass and waste fired power plants</v>
      </c>
      <c r="G1973" s="76" t="str">
        <f>B1967</f>
        <v>Steam turbine</v>
      </c>
      <c r="H1973" s="76" t="str">
        <f>C1971</f>
        <v>CHP</v>
      </c>
      <c r="I1973" s="161" t="str">
        <f t="shared" si="385"/>
        <v>S</v>
      </c>
      <c r="J1973" s="119">
        <f>IF(tech_base!$T229&gt;J$1745,"",(tech_base!$K229/tech_proj!J353*0.086*$J$132)/(1-tech_proj!J633))</f>
        <v>0</v>
      </c>
      <c r="K1973" s="119">
        <f>IF(tech_base!$T229&gt;K$1745,"",(tech_base!$K229/tech_proj!K353*0.086*$J$132)/(1-tech_proj!K633))</f>
        <v>0</v>
      </c>
      <c r="L1973" s="119">
        <f>IF(tech_base!$T229&gt;L$1745,"",(tech_base!$K229/tech_proj!L353*0.086*$J$132)/(1-tech_proj!L633))</f>
        <v>0</v>
      </c>
      <c r="M1973" s="119">
        <f>IF(tech_base!$T229&gt;M$1745,"",(tech_base!$K229/tech_proj!M353*0.086*$J$132)/(1-tech_proj!M633))</f>
        <v>0</v>
      </c>
      <c r="N1973" s="119">
        <f>IF(tech_base!$T229&gt;N$1745,"",(tech_base!$K229/tech_proj!N353*0.086*$J$132)/(1-tech_proj!N633))</f>
        <v>0</v>
      </c>
      <c r="O1973" s="119">
        <f>IF(tech_base!$T229&gt;O$1745,"",(tech_base!$K229/tech_proj!O353*0.086*$J$132)/(1-tech_proj!O633))</f>
        <v>0</v>
      </c>
      <c r="P1973" s="119">
        <f>IF(tech_base!$T229&gt;P$1745,"",(tech_base!$K229/tech_proj!P353*0.086*$J$132)/(1-tech_proj!P633))</f>
        <v>0</v>
      </c>
      <c r="Q1973" s="119">
        <f>IF(tech_base!$T229&gt;Q$1745,"",(tech_base!$K229/tech_proj!Q353*0.086*$J$132)/(1-tech_proj!Q633))</f>
        <v>0</v>
      </c>
      <c r="R1973" s="119">
        <f>IF(tech_base!$T229&gt;R$1745,"",(tech_base!$K229/tech_proj!R353*0.086*$J$132)/(1-tech_proj!R633))</f>
        <v>0</v>
      </c>
      <c r="S1973" s="119">
        <f>IF(tech_base!$T229&gt;S$1745,"",(tech_base!$K229/tech_proj!S353*0.086*$J$132)/(1-tech_proj!S633))</f>
        <v>0</v>
      </c>
      <c r="T1973" s="119">
        <f>IF(tech_base!$T229&gt;T$1745,"",(tech_base!$K229/tech_proj!T353*0.086*$J$132)/(1-tech_proj!T633))</f>
        <v>0</v>
      </c>
      <c r="U1973" s="119">
        <f>IF(tech_base!$T229&gt;U$1745,"",(tech_base!$K229/tech_proj!U353*0.086*$J$132)/(1-tech_proj!U633))</f>
        <v>0</v>
      </c>
      <c r="V1973" s="119">
        <f>IF(tech_base!$T229&gt;V$1745,"",(tech_base!$K229/tech_proj!V353*0.086*$J$132)/(1-tech_proj!V633))</f>
        <v>0</v>
      </c>
      <c r="W1973" s="119">
        <f>IF(tech_base!$T229&gt;W$1745,"",(tech_base!$K229/tech_proj!W353*0.086*$J$132)/(1-tech_proj!W633))</f>
        <v>0</v>
      </c>
      <c r="X1973" s="119">
        <f>IF(tech_base!$T229&gt;X$1745,"",(tech_base!$K229/tech_proj!X353*0.086*$J$132)/(1-tech_proj!X633))</f>
        <v>0</v>
      </c>
      <c r="Y1973" s="119">
        <f>IF(tech_base!$T229&gt;Y$1745,"",(tech_base!$K229/tech_proj!Y353*0.086*$J$132)/(1-tech_proj!Y633))</f>
        <v>0</v>
      </c>
      <c r="Z1973" s="119">
        <f>IF(tech_base!$T229&gt;Z$1745,"",(tech_base!$K229/tech_proj!Z353*0.086*$J$132)/(1-tech_proj!Z633))</f>
        <v>0</v>
      </c>
      <c r="AA1973" s="119">
        <f>IF(tech_base!$T229&gt;AA$1745,"",(tech_base!$K229/tech_proj!AA353*0.086*$J$132)/(1-tech_proj!AA633))</f>
        <v>0</v>
      </c>
      <c r="AB1973" s="119">
        <f>IF(tech_base!$T229&gt;AB$1745,"",(tech_base!$K229/tech_proj!AB353*0.086*$J$132)/(1-tech_proj!AB633))</f>
        <v>0</v>
      </c>
      <c r="AC1973" s="119">
        <f>IF(tech_base!$T229&gt;AC$1745,"",(tech_base!$K229/tech_proj!AC353*0.086*$J$132)/(1-tech_proj!AC633))</f>
        <v>0</v>
      </c>
      <c r="AD1973" s="119">
        <f>IF(tech_base!$T229&gt;AD$1745,"",(tech_base!$K229/tech_proj!AD353*0.086*$J$132)/(1-tech_proj!AD633))</f>
        <v>0</v>
      </c>
      <c r="AE1973" s="119">
        <f>IF(tech_base!$T229&gt;AE$1745,"",(tech_base!$K229/tech_proj!AE353*0.086*$J$132)/(1-tech_proj!AE633))</f>
        <v>0</v>
      </c>
      <c r="AF1973" s="119">
        <f>IF(tech_base!$T229&gt;AF$1745,"",(tech_base!$K229/tech_proj!AF353*0.086*$J$132)/(1-tech_proj!AF633))</f>
        <v>0</v>
      </c>
      <c r="AG1973" s="119">
        <f>IF(tech_base!$T229&gt;AG$1745,"",(tech_base!$K229/tech_proj!AG353*0.086*$J$132)/(1-tech_proj!AG633))</f>
        <v>0</v>
      </c>
      <c r="AH1973" s="119">
        <f>IF(tech_base!$T229&gt;AH$1745,"",(tech_base!$K229/tech_proj!AH353*0.086*$J$132)/(1-tech_proj!AH633))</f>
        <v>0</v>
      </c>
      <c r="AI1973" s="119">
        <f>IF(tech_base!$T229&gt;AI$1745,"",(tech_base!$K229/tech_proj!AI353*0.086*$J$132)/(1-tech_proj!AI633))</f>
        <v>0</v>
      </c>
      <c r="AJ1973" s="119">
        <f>IF(tech_base!$T229&gt;AJ$1745,"",(tech_base!$K229/tech_proj!AJ353*0.086*$J$132)/(1-tech_proj!AJ633))</f>
        <v>0</v>
      </c>
      <c r="AK1973" s="119">
        <f>IF(tech_base!$T229&gt;AK$1745,"",(tech_base!$K229/tech_proj!AK353*0.086*$J$132)/(1-tech_proj!AK633))</f>
        <v>0</v>
      </c>
      <c r="AL1973" s="119">
        <f>IF(tech_base!$T229&gt;AL$1745,"",(tech_base!$K229/tech_proj!AL353*0.086*$J$132)/(1-tech_proj!AL633))</f>
        <v>0</v>
      </c>
      <c r="AM1973" s="119">
        <f>IF(tech_base!$T229&gt;AM$1745,"",(tech_base!$K229/tech_proj!AM353*0.086*$J$132)/(1-tech_proj!AM633))</f>
        <v>0</v>
      </c>
      <c r="AN1973" s="119">
        <f>IF(tech_base!$T229&gt;AN$1745,"",(tech_base!$K229/tech_proj!AN353*0.086*$J$132)/(1-tech_proj!AN633))</f>
        <v>0</v>
      </c>
      <c r="AO1973" s="119">
        <f>IF(tech_base!$T229&gt;AO$1745,"",(tech_base!$K229/tech_proj!AO353*0.086*$J$132)/(1-tech_proj!AO633))</f>
        <v>0</v>
      </c>
      <c r="AP1973" s="119">
        <f>IF(tech_base!$T229&gt;AP$1745,"",(tech_base!$K229/tech_proj!AP353*0.086*$J$132)/(1-tech_proj!AP633))</f>
        <v>0</v>
      </c>
      <c r="AQ1973" s="119">
        <f>IF(tech_base!$T229&gt;AQ$1745,"",(tech_base!$K229/tech_proj!AQ353*0.086*$J$132)/(1-tech_proj!AQ633))</f>
        <v>0</v>
      </c>
      <c r="AR1973" s="119">
        <f>IF(tech_base!$T229&gt;AR$1745,"",(tech_base!$K229/tech_proj!AR353*0.086*$J$132)/(1-tech_proj!AR633))</f>
        <v>0</v>
      </c>
      <c r="AS1973" s="119">
        <f>IF(tech_base!$T229&gt;AS$1745,"",(tech_base!$K229/tech_proj!AS353*0.086*$J$132)/(1-tech_proj!AS633))</f>
        <v>0</v>
      </c>
      <c r="AT1973" s="119">
        <f>IF(tech_base!$T229&gt;AT$1745,"",(tech_base!$K229/tech_proj!AT353*0.086*$J$132)/(1-tech_proj!AT633))</f>
        <v>0</v>
      </c>
      <c r="AU1973" s="119">
        <f>IF(tech_base!$T229&gt;AU$1745,"",(tech_base!$K229/tech_proj!AU353*0.086*$J$132)/(1-tech_proj!AU633))</f>
        <v>0</v>
      </c>
      <c r="AV1973" s="119">
        <f>IF(tech_base!$T229&gt;AV$1745,"",(tech_base!$K229/tech_proj!AV353*0.086*$J$132)/(1-tech_proj!AV633))</f>
        <v>0</v>
      </c>
      <c r="AW1973" s="119">
        <f>IF(tech_base!$T229&gt;AW$1745,"",(tech_base!$K229/tech_proj!AW353*0.086*$J$132)/(1-tech_proj!AW633))</f>
        <v>0</v>
      </c>
      <c r="AX1973" s="120">
        <f>IF(tech_base!$T229&gt;AX$1745,"",(tech_base!$K229/tech_proj!AX353*0.086*$J$132)/(1-tech_proj!AX633))</f>
        <v>0</v>
      </c>
    </row>
    <row r="1974" spans="1:50" x14ac:dyDescent="0.25">
      <c r="A1974" s="356"/>
      <c r="B1974" s="376"/>
      <c r="C1974" s="379"/>
      <c r="D1974" s="59" t="s">
        <v>20</v>
      </c>
      <c r="E1974" s="166" t="str">
        <f>A1947&amp;"/"&amp;B1967&amp;"/"&amp;C1971&amp;"/"&amp;D1974</f>
        <v>Biomass and waste fired power plants/Steam turbine/CHP/XS</v>
      </c>
      <c r="F1974" s="79" t="str">
        <f>A1947</f>
        <v>Biomass and waste fired power plants</v>
      </c>
      <c r="G1974" s="79" t="str">
        <f>B1967</f>
        <v>Steam turbine</v>
      </c>
      <c r="H1974" s="79" t="str">
        <f>C1971</f>
        <v>CHP</v>
      </c>
      <c r="I1974" s="167" t="str">
        <f t="shared" si="385"/>
        <v>XS</v>
      </c>
      <c r="J1974" s="125">
        <f>IF(tech_base!$T230&gt;J$1745,"",(tech_base!$K230/tech_proj!J354*0.086*$J$132)/(1-tech_proj!J634))</f>
        <v>0</v>
      </c>
      <c r="K1974" s="125">
        <f>IF(tech_base!$T230&gt;K$1745,"",(tech_base!$K230/tech_proj!K354*0.086*$J$132)/(1-tech_proj!K634))</f>
        <v>0</v>
      </c>
      <c r="L1974" s="125">
        <f>IF(tech_base!$T230&gt;L$1745,"",(tech_base!$K230/tech_proj!L354*0.086*$J$132)/(1-tech_proj!L634))</f>
        <v>0</v>
      </c>
      <c r="M1974" s="125">
        <f>IF(tech_base!$T230&gt;M$1745,"",(tech_base!$K230/tech_proj!M354*0.086*$J$132)/(1-tech_proj!M634))</f>
        <v>0</v>
      </c>
      <c r="N1974" s="125">
        <f>IF(tech_base!$T230&gt;N$1745,"",(tech_base!$K230/tech_proj!N354*0.086*$J$132)/(1-tech_proj!N634))</f>
        <v>0</v>
      </c>
      <c r="O1974" s="125">
        <f>IF(tech_base!$T230&gt;O$1745,"",(tech_base!$K230/tech_proj!O354*0.086*$J$132)/(1-tech_proj!O634))</f>
        <v>0</v>
      </c>
      <c r="P1974" s="125">
        <f>IF(tech_base!$T230&gt;P$1745,"",(tech_base!$K230/tech_proj!P354*0.086*$J$132)/(1-tech_proj!P634))</f>
        <v>0</v>
      </c>
      <c r="Q1974" s="125">
        <f>IF(tech_base!$T230&gt;Q$1745,"",(tech_base!$K230/tech_proj!Q354*0.086*$J$132)/(1-tech_proj!Q634))</f>
        <v>0</v>
      </c>
      <c r="R1974" s="125">
        <f>IF(tech_base!$T230&gt;R$1745,"",(tech_base!$K230/tech_proj!R354*0.086*$J$132)/(1-tech_proj!R634))</f>
        <v>0</v>
      </c>
      <c r="S1974" s="125">
        <f>IF(tech_base!$T230&gt;S$1745,"",(tech_base!$K230/tech_proj!S354*0.086*$J$132)/(1-tech_proj!S634))</f>
        <v>0</v>
      </c>
      <c r="T1974" s="125">
        <f>IF(tech_base!$T230&gt;T$1745,"",(tech_base!$K230/tech_proj!T354*0.086*$J$132)/(1-tech_proj!T634))</f>
        <v>0</v>
      </c>
      <c r="U1974" s="125">
        <f>IF(tech_base!$T230&gt;U$1745,"",(tech_base!$K230/tech_proj!U354*0.086*$J$132)/(1-tech_proj!U634))</f>
        <v>0</v>
      </c>
      <c r="V1974" s="125">
        <f>IF(tech_base!$T230&gt;V$1745,"",(tech_base!$K230/tech_proj!V354*0.086*$J$132)/(1-tech_proj!V634))</f>
        <v>0</v>
      </c>
      <c r="W1974" s="125">
        <f>IF(tech_base!$T230&gt;W$1745,"",(tech_base!$K230/tech_proj!W354*0.086*$J$132)/(1-tech_proj!W634))</f>
        <v>0</v>
      </c>
      <c r="X1974" s="125">
        <f>IF(tech_base!$T230&gt;X$1745,"",(tech_base!$K230/tech_proj!X354*0.086*$J$132)/(1-tech_proj!X634))</f>
        <v>0</v>
      </c>
      <c r="Y1974" s="125">
        <f>IF(tech_base!$T230&gt;Y$1745,"",(tech_base!$K230/tech_proj!Y354*0.086*$J$132)/(1-tech_proj!Y634))</f>
        <v>0</v>
      </c>
      <c r="Z1974" s="125">
        <f>IF(tech_base!$T230&gt;Z$1745,"",(tech_base!$K230/tech_proj!Z354*0.086*$J$132)/(1-tech_proj!Z634))</f>
        <v>0</v>
      </c>
      <c r="AA1974" s="125">
        <f>IF(tech_base!$T230&gt;AA$1745,"",(tech_base!$K230/tech_proj!AA354*0.086*$J$132)/(1-tech_proj!AA634))</f>
        <v>0</v>
      </c>
      <c r="AB1974" s="125">
        <f>IF(tech_base!$T230&gt;AB$1745,"",(tech_base!$K230/tech_proj!AB354*0.086*$J$132)/(1-tech_proj!AB634))</f>
        <v>0</v>
      </c>
      <c r="AC1974" s="125">
        <f>IF(tech_base!$T230&gt;AC$1745,"",(tech_base!$K230/tech_proj!AC354*0.086*$J$132)/(1-tech_proj!AC634))</f>
        <v>0</v>
      </c>
      <c r="AD1974" s="125">
        <f>IF(tech_base!$T230&gt;AD$1745,"",(tech_base!$K230/tech_proj!AD354*0.086*$J$132)/(1-tech_proj!AD634))</f>
        <v>0</v>
      </c>
      <c r="AE1974" s="125">
        <f>IF(tech_base!$T230&gt;AE$1745,"",(tech_base!$K230/tech_proj!AE354*0.086*$J$132)/(1-tech_proj!AE634))</f>
        <v>0</v>
      </c>
      <c r="AF1974" s="125">
        <f>IF(tech_base!$T230&gt;AF$1745,"",(tech_base!$K230/tech_proj!AF354*0.086*$J$132)/(1-tech_proj!AF634))</f>
        <v>0</v>
      </c>
      <c r="AG1974" s="125">
        <f>IF(tech_base!$T230&gt;AG$1745,"",(tech_base!$K230/tech_proj!AG354*0.086*$J$132)/(1-tech_proj!AG634))</f>
        <v>0</v>
      </c>
      <c r="AH1974" s="125">
        <f>IF(tech_base!$T230&gt;AH$1745,"",(tech_base!$K230/tech_proj!AH354*0.086*$J$132)/(1-tech_proj!AH634))</f>
        <v>0</v>
      </c>
      <c r="AI1974" s="125">
        <f>IF(tech_base!$T230&gt;AI$1745,"",(tech_base!$K230/tech_proj!AI354*0.086*$J$132)/(1-tech_proj!AI634))</f>
        <v>0</v>
      </c>
      <c r="AJ1974" s="125">
        <f>IF(tech_base!$T230&gt;AJ$1745,"",(tech_base!$K230/tech_proj!AJ354*0.086*$J$132)/(1-tech_proj!AJ634))</f>
        <v>0</v>
      </c>
      <c r="AK1974" s="125">
        <f>IF(tech_base!$T230&gt;AK$1745,"",(tech_base!$K230/tech_proj!AK354*0.086*$J$132)/(1-tech_proj!AK634))</f>
        <v>0</v>
      </c>
      <c r="AL1974" s="125">
        <f>IF(tech_base!$T230&gt;AL$1745,"",(tech_base!$K230/tech_proj!AL354*0.086*$J$132)/(1-tech_proj!AL634))</f>
        <v>0</v>
      </c>
      <c r="AM1974" s="125">
        <f>IF(tech_base!$T230&gt;AM$1745,"",(tech_base!$K230/tech_proj!AM354*0.086*$J$132)/(1-tech_proj!AM634))</f>
        <v>0</v>
      </c>
      <c r="AN1974" s="125">
        <f>IF(tech_base!$T230&gt;AN$1745,"",(tech_base!$K230/tech_proj!AN354*0.086*$J$132)/(1-tech_proj!AN634))</f>
        <v>0</v>
      </c>
      <c r="AO1974" s="125">
        <f>IF(tech_base!$T230&gt;AO$1745,"",(tech_base!$K230/tech_proj!AO354*0.086*$J$132)/(1-tech_proj!AO634))</f>
        <v>0</v>
      </c>
      <c r="AP1974" s="125">
        <f>IF(tech_base!$T230&gt;AP$1745,"",(tech_base!$K230/tech_proj!AP354*0.086*$J$132)/(1-tech_proj!AP634))</f>
        <v>0</v>
      </c>
      <c r="AQ1974" s="125">
        <f>IF(tech_base!$T230&gt;AQ$1745,"",(tech_base!$K230/tech_proj!AQ354*0.086*$J$132)/(1-tech_proj!AQ634))</f>
        <v>0</v>
      </c>
      <c r="AR1974" s="125">
        <f>IF(tech_base!$T230&gt;AR$1745,"",(tech_base!$K230/tech_proj!AR354*0.086*$J$132)/(1-tech_proj!AR634))</f>
        <v>0</v>
      </c>
      <c r="AS1974" s="125">
        <f>IF(tech_base!$T230&gt;AS$1745,"",(tech_base!$K230/tech_proj!AS354*0.086*$J$132)/(1-tech_proj!AS634))</f>
        <v>0</v>
      </c>
      <c r="AT1974" s="125">
        <f>IF(tech_base!$T230&gt;AT$1745,"",(tech_base!$K230/tech_proj!AT354*0.086*$J$132)/(1-tech_proj!AT634))</f>
        <v>0</v>
      </c>
      <c r="AU1974" s="125">
        <f>IF(tech_base!$T230&gt;AU$1745,"",(tech_base!$K230/tech_proj!AU354*0.086*$J$132)/(1-tech_proj!AU634))</f>
        <v>0</v>
      </c>
      <c r="AV1974" s="125">
        <f>IF(tech_base!$T230&gt;AV$1745,"",(tech_base!$K230/tech_proj!AV354*0.086*$J$132)/(1-tech_proj!AV634))</f>
        <v>0</v>
      </c>
      <c r="AW1974" s="125">
        <f>IF(tech_base!$T230&gt;AW$1745,"",(tech_base!$K230/tech_proj!AW354*0.086*$J$132)/(1-tech_proj!AW634))</f>
        <v>0</v>
      </c>
      <c r="AX1974" s="126">
        <f>IF(tech_base!$T230&gt;AX$1745,"",(tech_base!$K230/tech_proj!AX354*0.086*$J$132)/(1-tech_proj!AX634))</f>
        <v>0</v>
      </c>
    </row>
    <row r="1975" spans="1:50" x14ac:dyDescent="0.25">
      <c r="A1975" s="356"/>
      <c r="B1975" s="376"/>
      <c r="C1975" s="361" t="s">
        <v>15</v>
      </c>
      <c r="D1975" s="58" t="s">
        <v>7</v>
      </c>
      <c r="E1975" s="164" t="str">
        <f>A1947&amp;"/"&amp;B1967&amp;"/"&amp;C1975&amp;"/"&amp;D1975</f>
        <v>Biomass and waste fired power plants/Steam turbine/Electricity only with CCS/L</v>
      </c>
      <c r="F1975" s="78" t="str">
        <f>A1947</f>
        <v>Biomass and waste fired power plants</v>
      </c>
      <c r="G1975" s="78" t="str">
        <f>B1967</f>
        <v>Steam turbine</v>
      </c>
      <c r="H1975" s="78" t="str">
        <f>C1975</f>
        <v>Electricity only with CCS</v>
      </c>
      <c r="I1975" s="165" t="str">
        <f t="shared" si="385"/>
        <v>L</v>
      </c>
      <c r="J1975" s="123" t="str">
        <f>IF(tech_base!$T231&gt;J$1745,"",(tech_base!$K231/tech_proj!J355*0.086*$J$132)/(1-tech_proj!J635))</f>
        <v/>
      </c>
      <c r="K1975" s="123" t="str">
        <f>IF(tech_base!$T231&gt;K$1745,"",(tech_base!$K231/tech_proj!K355*0.086*$J$132)/(1-tech_proj!K635))</f>
        <v/>
      </c>
      <c r="L1975" s="123" t="str">
        <f>IF(tech_base!$T231&gt;L$1745,"",(tech_base!$K231/tech_proj!L355*0.086*$J$132)/(1-tech_proj!L635))</f>
        <v/>
      </c>
      <c r="M1975" s="123" t="str">
        <f>IF(tech_base!$T231&gt;M$1745,"",(tech_base!$K231/tech_proj!M355*0.086*$J$132)/(1-tech_proj!M635))</f>
        <v/>
      </c>
      <c r="N1975" s="123" t="str">
        <f>IF(tech_base!$T231&gt;N$1745,"",(tech_base!$K231/tech_proj!N355*0.086*$J$132)/(1-tech_proj!N635))</f>
        <v/>
      </c>
      <c r="O1975" s="123" t="str">
        <f>IF(tech_base!$T231&gt;O$1745,"",(tech_base!$K231/tech_proj!O355*0.086*$J$132)/(1-tech_proj!O635))</f>
        <v/>
      </c>
      <c r="P1975" s="123" t="str">
        <f>IF(tech_base!$T231&gt;P$1745,"",(tech_base!$K231/tech_proj!P355*0.086*$J$132)/(1-tech_proj!P635))</f>
        <v/>
      </c>
      <c r="Q1975" s="123" t="str">
        <f>IF(tech_base!$T231&gt;Q$1745,"",(tech_base!$K231/tech_proj!Q355*0.086*$J$132)/(1-tech_proj!Q635))</f>
        <v/>
      </c>
      <c r="R1975" s="123" t="str">
        <f>IF(tech_base!$T231&gt;R$1745,"",(tech_base!$K231/tech_proj!R355*0.086*$J$132)/(1-tech_proj!R635))</f>
        <v/>
      </c>
      <c r="S1975" s="123" t="str">
        <f>IF(tech_base!$T231&gt;S$1745,"",(tech_base!$K231/tech_proj!S355*0.086*$J$132)/(1-tech_proj!S635))</f>
        <v/>
      </c>
      <c r="T1975" s="123" t="str">
        <f>IF(tech_base!$T231&gt;T$1745,"",(tech_base!$K231/tech_proj!T355*0.086*$J$132)/(1-tech_proj!T635))</f>
        <v/>
      </c>
      <c r="U1975" s="123" t="str">
        <f>IF(tech_base!$T231&gt;U$1745,"",(tech_base!$K231/tech_proj!U355*0.086*$J$132)/(1-tech_proj!U635))</f>
        <v/>
      </c>
      <c r="V1975" s="123" t="str">
        <f>IF(tech_base!$T231&gt;V$1745,"",(tech_base!$K231/tech_proj!V355*0.086*$J$132)/(1-tech_proj!V635))</f>
        <v/>
      </c>
      <c r="W1975" s="123" t="str">
        <f>IF(tech_base!$T231&gt;W$1745,"",(tech_base!$K231/tech_proj!W355*0.086*$J$132)/(1-tech_proj!W635))</f>
        <v/>
      </c>
      <c r="X1975" s="123" t="str">
        <f>IF(tech_base!$T231&gt;X$1745,"",(tech_base!$K231/tech_proj!X355*0.086*$J$132)/(1-tech_proj!X635))</f>
        <v/>
      </c>
      <c r="Y1975" s="123" t="str">
        <f>IF(tech_base!$T231&gt;Y$1745,"",(tech_base!$K231/tech_proj!Y355*0.086*$J$132)/(1-tech_proj!Y635))</f>
        <v/>
      </c>
      <c r="Z1975" s="123" t="str">
        <f>IF(tech_base!$T231&gt;Z$1745,"",(tech_base!$K231/tech_proj!Z355*0.086*$J$132)/(1-tech_proj!Z635))</f>
        <v/>
      </c>
      <c r="AA1975" s="123" t="str">
        <f>IF(tech_base!$T231&gt;AA$1745,"",(tech_base!$K231/tech_proj!AA355*0.086*$J$132)/(1-tech_proj!AA635))</f>
        <v/>
      </c>
      <c r="AB1975" s="123" t="str">
        <f>IF(tech_base!$T231&gt;AB$1745,"",(tech_base!$K231/tech_proj!AB355*0.086*$J$132)/(1-tech_proj!AB635))</f>
        <v/>
      </c>
      <c r="AC1975" s="123" t="str">
        <f>IF(tech_base!$T231&gt;AC$1745,"",(tech_base!$K231/tech_proj!AC355*0.086*$J$132)/(1-tech_proj!AC635))</f>
        <v/>
      </c>
      <c r="AD1975" s="123" t="str">
        <f>IF(tech_base!$T231&gt;AD$1745,"",(tech_base!$K231/tech_proj!AD355*0.086*$J$132)/(1-tech_proj!AD635))</f>
        <v/>
      </c>
      <c r="AE1975" s="123">
        <f>IF(tech_base!$T231&gt;AE$1745,"",(tech_base!$K231/tech_proj!AE355*0.086*$J$132)/(1-tech_proj!AE635))</f>
        <v>0</v>
      </c>
      <c r="AF1975" s="123">
        <f>IF(tech_base!$T231&gt;AF$1745,"",(tech_base!$K231/tech_proj!AF355*0.086*$J$132)/(1-tech_proj!AF635))</f>
        <v>0</v>
      </c>
      <c r="AG1975" s="123">
        <f>IF(tech_base!$T231&gt;AG$1745,"",(tech_base!$K231/tech_proj!AG355*0.086*$J$132)/(1-tech_proj!AG635))</f>
        <v>0</v>
      </c>
      <c r="AH1975" s="123">
        <f>IF(tech_base!$T231&gt;AH$1745,"",(tech_base!$K231/tech_proj!AH355*0.086*$J$132)/(1-tech_proj!AH635))</f>
        <v>0</v>
      </c>
      <c r="AI1975" s="123">
        <f>IF(tech_base!$T231&gt;AI$1745,"",(tech_base!$K231/tech_proj!AI355*0.086*$J$132)/(1-tech_proj!AI635))</f>
        <v>0</v>
      </c>
      <c r="AJ1975" s="123">
        <f>IF(tech_base!$T231&gt;AJ$1745,"",(tech_base!$K231/tech_proj!AJ355*0.086*$J$132)/(1-tech_proj!AJ635))</f>
        <v>0</v>
      </c>
      <c r="AK1975" s="123">
        <f>IF(tech_base!$T231&gt;AK$1745,"",(tech_base!$K231/tech_proj!AK355*0.086*$J$132)/(1-tech_proj!AK635))</f>
        <v>0</v>
      </c>
      <c r="AL1975" s="123">
        <f>IF(tech_base!$T231&gt;AL$1745,"",(tech_base!$K231/tech_proj!AL355*0.086*$J$132)/(1-tech_proj!AL635))</f>
        <v>0</v>
      </c>
      <c r="AM1975" s="123">
        <f>IF(tech_base!$T231&gt;AM$1745,"",(tech_base!$K231/tech_proj!AM355*0.086*$J$132)/(1-tech_proj!AM635))</f>
        <v>0</v>
      </c>
      <c r="AN1975" s="123">
        <f>IF(tech_base!$T231&gt;AN$1745,"",(tech_base!$K231/tech_proj!AN355*0.086*$J$132)/(1-tech_proj!AN635))</f>
        <v>0</v>
      </c>
      <c r="AO1975" s="123">
        <f>IF(tech_base!$T231&gt;AO$1745,"",(tech_base!$K231/tech_proj!AO355*0.086*$J$132)/(1-tech_proj!AO635))</f>
        <v>0</v>
      </c>
      <c r="AP1975" s="123">
        <f>IF(tech_base!$T231&gt;AP$1745,"",(tech_base!$K231/tech_proj!AP355*0.086*$J$132)/(1-tech_proj!AP635))</f>
        <v>0</v>
      </c>
      <c r="AQ1975" s="123">
        <f>IF(tech_base!$T231&gt;AQ$1745,"",(tech_base!$K231/tech_proj!AQ355*0.086*$J$132)/(1-tech_proj!AQ635))</f>
        <v>0</v>
      </c>
      <c r="AR1975" s="123">
        <f>IF(tech_base!$T231&gt;AR$1745,"",(tech_base!$K231/tech_proj!AR355*0.086*$J$132)/(1-tech_proj!AR635))</f>
        <v>0</v>
      </c>
      <c r="AS1975" s="123">
        <f>IF(tech_base!$T231&gt;AS$1745,"",(tech_base!$K231/tech_proj!AS355*0.086*$J$132)/(1-tech_proj!AS635))</f>
        <v>0</v>
      </c>
      <c r="AT1975" s="123">
        <f>IF(tech_base!$T231&gt;AT$1745,"",(tech_base!$K231/tech_proj!AT355*0.086*$J$132)/(1-tech_proj!AT635))</f>
        <v>0</v>
      </c>
      <c r="AU1975" s="123">
        <f>IF(tech_base!$T231&gt;AU$1745,"",(tech_base!$K231/tech_proj!AU355*0.086*$J$132)/(1-tech_proj!AU635))</f>
        <v>0</v>
      </c>
      <c r="AV1975" s="123">
        <f>IF(tech_base!$T231&gt;AV$1745,"",(tech_base!$K231/tech_proj!AV355*0.086*$J$132)/(1-tech_proj!AV635))</f>
        <v>0</v>
      </c>
      <c r="AW1975" s="123">
        <f>IF(tech_base!$T231&gt;AW$1745,"",(tech_base!$K231/tech_proj!AW355*0.086*$J$132)/(1-tech_proj!AW635))</f>
        <v>0</v>
      </c>
      <c r="AX1975" s="124">
        <f>IF(tech_base!$T231&gt;AX$1745,"",(tech_base!$K231/tech_proj!AX355*0.086*$J$132)/(1-tech_proj!AX635))</f>
        <v>0</v>
      </c>
    </row>
    <row r="1976" spans="1:50" x14ac:dyDescent="0.25">
      <c r="A1976" s="356"/>
      <c r="B1976" s="376"/>
      <c r="C1976" s="379"/>
      <c r="D1976" s="59" t="s">
        <v>8</v>
      </c>
      <c r="E1976" s="166" t="str">
        <f>A1947&amp;"/"&amp;B1967&amp;"/"&amp;C1975&amp;"/"&amp;D1976</f>
        <v>Biomass and waste fired power plants/Steam turbine/Electricity only with CCS/M</v>
      </c>
      <c r="F1976" s="79" t="str">
        <f>A1947</f>
        <v>Biomass and waste fired power plants</v>
      </c>
      <c r="G1976" s="79" t="str">
        <f>B1967</f>
        <v>Steam turbine</v>
      </c>
      <c r="H1976" s="79" t="str">
        <f>C1975</f>
        <v>Electricity only with CCS</v>
      </c>
      <c r="I1976" s="167" t="str">
        <f t="shared" si="385"/>
        <v>M</v>
      </c>
      <c r="J1976" s="125" t="str">
        <f>IF(tech_base!$T232&gt;J$1745,"",(tech_base!$K232/tech_proj!J356*0.086*$J$132)/(1-tech_proj!J636))</f>
        <v/>
      </c>
      <c r="K1976" s="125" t="str">
        <f>IF(tech_base!$T232&gt;K$1745,"",(tech_base!$K232/tech_proj!K356*0.086*$J$132)/(1-tech_proj!K636))</f>
        <v/>
      </c>
      <c r="L1976" s="125" t="str">
        <f>IF(tech_base!$T232&gt;L$1745,"",(tech_base!$K232/tech_proj!L356*0.086*$J$132)/(1-tech_proj!L636))</f>
        <v/>
      </c>
      <c r="M1976" s="125" t="str">
        <f>IF(tech_base!$T232&gt;M$1745,"",(tech_base!$K232/tech_proj!M356*0.086*$J$132)/(1-tech_proj!M636))</f>
        <v/>
      </c>
      <c r="N1976" s="125" t="str">
        <f>IF(tech_base!$T232&gt;N$1745,"",(tech_base!$K232/tech_proj!N356*0.086*$J$132)/(1-tech_proj!N636))</f>
        <v/>
      </c>
      <c r="O1976" s="125" t="str">
        <f>IF(tech_base!$T232&gt;O$1745,"",(tech_base!$K232/tech_proj!O356*0.086*$J$132)/(1-tech_proj!O636))</f>
        <v/>
      </c>
      <c r="P1976" s="125" t="str">
        <f>IF(tech_base!$T232&gt;P$1745,"",(tech_base!$K232/tech_proj!P356*0.086*$J$132)/(1-tech_proj!P636))</f>
        <v/>
      </c>
      <c r="Q1976" s="125" t="str">
        <f>IF(tech_base!$T232&gt;Q$1745,"",(tech_base!$K232/tech_proj!Q356*0.086*$J$132)/(1-tech_proj!Q636))</f>
        <v/>
      </c>
      <c r="R1976" s="125" t="str">
        <f>IF(tech_base!$T232&gt;R$1745,"",(tech_base!$K232/tech_proj!R356*0.086*$J$132)/(1-tech_proj!R636))</f>
        <v/>
      </c>
      <c r="S1976" s="125" t="str">
        <f>IF(tech_base!$T232&gt;S$1745,"",(tech_base!$K232/tech_proj!S356*0.086*$J$132)/(1-tech_proj!S636))</f>
        <v/>
      </c>
      <c r="T1976" s="125" t="str">
        <f>IF(tech_base!$T232&gt;T$1745,"",(tech_base!$K232/tech_proj!T356*0.086*$J$132)/(1-tech_proj!T636))</f>
        <v/>
      </c>
      <c r="U1976" s="125" t="str">
        <f>IF(tech_base!$T232&gt;U$1745,"",(tech_base!$K232/tech_proj!U356*0.086*$J$132)/(1-tech_proj!U636))</f>
        <v/>
      </c>
      <c r="V1976" s="125" t="str">
        <f>IF(tech_base!$T232&gt;V$1745,"",(tech_base!$K232/tech_proj!V356*0.086*$J$132)/(1-tech_proj!V636))</f>
        <v/>
      </c>
      <c r="W1976" s="125" t="str">
        <f>IF(tech_base!$T232&gt;W$1745,"",(tech_base!$K232/tech_proj!W356*0.086*$J$132)/(1-tech_proj!W636))</f>
        <v/>
      </c>
      <c r="X1976" s="125" t="str">
        <f>IF(tech_base!$T232&gt;X$1745,"",(tech_base!$K232/tech_proj!X356*0.086*$J$132)/(1-tech_proj!X636))</f>
        <v/>
      </c>
      <c r="Y1976" s="125" t="str">
        <f>IF(tech_base!$T232&gt;Y$1745,"",(tech_base!$K232/tech_proj!Y356*0.086*$J$132)/(1-tech_proj!Y636))</f>
        <v/>
      </c>
      <c r="Z1976" s="125" t="str">
        <f>IF(tech_base!$T232&gt;Z$1745,"",(tech_base!$K232/tech_proj!Z356*0.086*$J$132)/(1-tech_proj!Z636))</f>
        <v/>
      </c>
      <c r="AA1976" s="125" t="str">
        <f>IF(tech_base!$T232&gt;AA$1745,"",(tech_base!$K232/tech_proj!AA356*0.086*$J$132)/(1-tech_proj!AA636))</f>
        <v/>
      </c>
      <c r="AB1976" s="125" t="str">
        <f>IF(tech_base!$T232&gt;AB$1745,"",(tech_base!$K232/tech_proj!AB356*0.086*$J$132)/(1-tech_proj!AB636))</f>
        <v/>
      </c>
      <c r="AC1976" s="125" t="str">
        <f>IF(tech_base!$T232&gt;AC$1745,"",(tech_base!$K232/tech_proj!AC356*0.086*$J$132)/(1-tech_proj!AC636))</f>
        <v/>
      </c>
      <c r="AD1976" s="125" t="str">
        <f>IF(tech_base!$T232&gt;AD$1745,"",(tech_base!$K232/tech_proj!AD356*0.086*$J$132)/(1-tech_proj!AD636))</f>
        <v/>
      </c>
      <c r="AE1976" s="125">
        <f>IF(tech_base!$T232&gt;AE$1745,"",(tech_base!$K232/tech_proj!AE356*0.086*$J$132)/(1-tech_proj!AE636))</f>
        <v>0</v>
      </c>
      <c r="AF1976" s="125">
        <f>IF(tech_base!$T232&gt;AF$1745,"",(tech_base!$K232/tech_proj!AF356*0.086*$J$132)/(1-tech_proj!AF636))</f>
        <v>0</v>
      </c>
      <c r="AG1976" s="125">
        <f>IF(tech_base!$T232&gt;AG$1745,"",(tech_base!$K232/tech_proj!AG356*0.086*$J$132)/(1-tech_proj!AG636))</f>
        <v>0</v>
      </c>
      <c r="AH1976" s="125">
        <f>IF(tech_base!$T232&gt;AH$1745,"",(tech_base!$K232/tech_proj!AH356*0.086*$J$132)/(1-tech_proj!AH636))</f>
        <v>0</v>
      </c>
      <c r="AI1976" s="125">
        <f>IF(tech_base!$T232&gt;AI$1745,"",(tech_base!$K232/tech_proj!AI356*0.086*$J$132)/(1-tech_proj!AI636))</f>
        <v>0</v>
      </c>
      <c r="AJ1976" s="125">
        <f>IF(tech_base!$T232&gt;AJ$1745,"",(tech_base!$K232/tech_proj!AJ356*0.086*$J$132)/(1-tech_proj!AJ636))</f>
        <v>0</v>
      </c>
      <c r="AK1976" s="125">
        <f>IF(tech_base!$T232&gt;AK$1745,"",(tech_base!$K232/tech_proj!AK356*0.086*$J$132)/(1-tech_proj!AK636))</f>
        <v>0</v>
      </c>
      <c r="AL1976" s="125">
        <f>IF(tech_base!$T232&gt;AL$1745,"",(tech_base!$K232/tech_proj!AL356*0.086*$J$132)/(1-tech_proj!AL636))</f>
        <v>0</v>
      </c>
      <c r="AM1976" s="125">
        <f>IF(tech_base!$T232&gt;AM$1745,"",(tech_base!$K232/tech_proj!AM356*0.086*$J$132)/(1-tech_proj!AM636))</f>
        <v>0</v>
      </c>
      <c r="AN1976" s="125">
        <f>IF(tech_base!$T232&gt;AN$1745,"",(tech_base!$K232/tech_proj!AN356*0.086*$J$132)/(1-tech_proj!AN636))</f>
        <v>0</v>
      </c>
      <c r="AO1976" s="125">
        <f>IF(tech_base!$T232&gt;AO$1745,"",(tech_base!$K232/tech_proj!AO356*0.086*$J$132)/(1-tech_proj!AO636))</f>
        <v>0</v>
      </c>
      <c r="AP1976" s="125">
        <f>IF(tech_base!$T232&gt;AP$1745,"",(tech_base!$K232/tech_proj!AP356*0.086*$J$132)/(1-tech_proj!AP636))</f>
        <v>0</v>
      </c>
      <c r="AQ1976" s="125">
        <f>IF(tech_base!$T232&gt;AQ$1745,"",(tech_base!$K232/tech_proj!AQ356*0.086*$J$132)/(1-tech_proj!AQ636))</f>
        <v>0</v>
      </c>
      <c r="AR1976" s="125">
        <f>IF(tech_base!$T232&gt;AR$1745,"",(tech_base!$K232/tech_proj!AR356*0.086*$J$132)/(1-tech_proj!AR636))</f>
        <v>0</v>
      </c>
      <c r="AS1976" s="125">
        <f>IF(tech_base!$T232&gt;AS$1745,"",(tech_base!$K232/tech_proj!AS356*0.086*$J$132)/(1-tech_proj!AS636))</f>
        <v>0</v>
      </c>
      <c r="AT1976" s="125">
        <f>IF(tech_base!$T232&gt;AT$1745,"",(tech_base!$K232/tech_proj!AT356*0.086*$J$132)/(1-tech_proj!AT636))</f>
        <v>0</v>
      </c>
      <c r="AU1976" s="125">
        <f>IF(tech_base!$T232&gt;AU$1745,"",(tech_base!$K232/tech_proj!AU356*0.086*$J$132)/(1-tech_proj!AU636))</f>
        <v>0</v>
      </c>
      <c r="AV1976" s="125">
        <f>IF(tech_base!$T232&gt;AV$1745,"",(tech_base!$K232/tech_proj!AV356*0.086*$J$132)/(1-tech_proj!AV636))</f>
        <v>0</v>
      </c>
      <c r="AW1976" s="125">
        <f>IF(tech_base!$T232&gt;AW$1745,"",(tech_base!$K232/tech_proj!AW356*0.086*$J$132)/(1-tech_proj!AW636))</f>
        <v>0</v>
      </c>
      <c r="AX1976" s="126">
        <f>IF(tech_base!$T232&gt;AX$1745,"",(tech_base!$K232/tech_proj!AX356*0.086*$J$132)/(1-tech_proj!AX636))</f>
        <v>0</v>
      </c>
    </row>
    <row r="1977" spans="1:50" x14ac:dyDescent="0.25">
      <c r="A1977" s="356"/>
      <c r="B1977" s="376"/>
      <c r="C1977" s="361" t="s">
        <v>16</v>
      </c>
      <c r="D1977" s="2" t="s">
        <v>7</v>
      </c>
      <c r="E1977" s="160" t="str">
        <f>A1947&amp;"/"&amp;B1967&amp;"/"&amp;C1977&amp;"/"&amp;D1977</f>
        <v>Biomass and waste fired power plants/Steam turbine/CHP with CCS/L</v>
      </c>
      <c r="F1977" s="76" t="str">
        <f>A1947</f>
        <v>Biomass and waste fired power plants</v>
      </c>
      <c r="G1977" s="76" t="str">
        <f>B1967</f>
        <v>Steam turbine</v>
      </c>
      <c r="H1977" s="76" t="str">
        <f>C1977</f>
        <v>CHP with CCS</v>
      </c>
      <c r="I1977" s="161" t="str">
        <f t="shared" si="385"/>
        <v>L</v>
      </c>
      <c r="J1977" s="119" t="str">
        <f>IF(tech_base!$T233&gt;J$1745,"",(tech_base!$K233/tech_proj!J357*0.086*$J$132)/(1-tech_proj!J637))</f>
        <v/>
      </c>
      <c r="K1977" s="119" t="str">
        <f>IF(tech_base!$T233&gt;K$1745,"",(tech_base!$K233/tech_proj!K357*0.086*$J$132)/(1-tech_proj!K637))</f>
        <v/>
      </c>
      <c r="L1977" s="119" t="str">
        <f>IF(tech_base!$T233&gt;L$1745,"",(tech_base!$K233/tech_proj!L357*0.086*$J$132)/(1-tech_proj!L637))</f>
        <v/>
      </c>
      <c r="M1977" s="119" t="str">
        <f>IF(tech_base!$T233&gt;M$1745,"",(tech_base!$K233/tech_proj!M357*0.086*$J$132)/(1-tech_proj!M637))</f>
        <v/>
      </c>
      <c r="N1977" s="119" t="str">
        <f>IF(tech_base!$T233&gt;N$1745,"",(tech_base!$K233/tech_proj!N357*0.086*$J$132)/(1-tech_proj!N637))</f>
        <v/>
      </c>
      <c r="O1977" s="119" t="str">
        <f>IF(tech_base!$T233&gt;O$1745,"",(tech_base!$K233/tech_proj!O357*0.086*$J$132)/(1-tech_proj!O637))</f>
        <v/>
      </c>
      <c r="P1977" s="119" t="str">
        <f>IF(tech_base!$T233&gt;P$1745,"",(tech_base!$K233/tech_proj!P357*0.086*$J$132)/(1-tech_proj!P637))</f>
        <v/>
      </c>
      <c r="Q1977" s="119" t="str">
        <f>IF(tech_base!$T233&gt;Q$1745,"",(tech_base!$K233/tech_proj!Q357*0.086*$J$132)/(1-tech_proj!Q637))</f>
        <v/>
      </c>
      <c r="R1977" s="119" t="str">
        <f>IF(tech_base!$T233&gt;R$1745,"",(tech_base!$K233/tech_proj!R357*0.086*$J$132)/(1-tech_proj!R637))</f>
        <v/>
      </c>
      <c r="S1977" s="119" t="str">
        <f>IF(tech_base!$T233&gt;S$1745,"",(tech_base!$K233/tech_proj!S357*0.086*$J$132)/(1-tech_proj!S637))</f>
        <v/>
      </c>
      <c r="T1977" s="119" t="str">
        <f>IF(tech_base!$T233&gt;T$1745,"",(tech_base!$K233/tech_proj!T357*0.086*$J$132)/(1-tech_proj!T637))</f>
        <v/>
      </c>
      <c r="U1977" s="119" t="str">
        <f>IF(tech_base!$T233&gt;U$1745,"",(tech_base!$K233/tech_proj!U357*0.086*$J$132)/(1-tech_proj!U637))</f>
        <v/>
      </c>
      <c r="V1977" s="119" t="str">
        <f>IF(tech_base!$T233&gt;V$1745,"",(tech_base!$K233/tech_proj!V357*0.086*$J$132)/(1-tech_proj!V637))</f>
        <v/>
      </c>
      <c r="W1977" s="119" t="str">
        <f>IF(tech_base!$T233&gt;W$1745,"",(tech_base!$K233/tech_proj!W357*0.086*$J$132)/(1-tech_proj!W637))</f>
        <v/>
      </c>
      <c r="X1977" s="119" t="str">
        <f>IF(tech_base!$T233&gt;X$1745,"",(tech_base!$K233/tech_proj!X357*0.086*$J$132)/(1-tech_proj!X637))</f>
        <v/>
      </c>
      <c r="Y1977" s="119" t="str">
        <f>IF(tech_base!$T233&gt;Y$1745,"",(tech_base!$K233/tech_proj!Y357*0.086*$J$132)/(1-tech_proj!Y637))</f>
        <v/>
      </c>
      <c r="Z1977" s="119" t="str">
        <f>IF(tech_base!$T233&gt;Z$1745,"",(tech_base!$K233/tech_proj!Z357*0.086*$J$132)/(1-tech_proj!Z637))</f>
        <v/>
      </c>
      <c r="AA1977" s="119" t="str">
        <f>IF(tech_base!$T233&gt;AA$1745,"",(tech_base!$K233/tech_proj!AA357*0.086*$J$132)/(1-tech_proj!AA637))</f>
        <v/>
      </c>
      <c r="AB1977" s="119" t="str">
        <f>IF(tech_base!$T233&gt;AB$1745,"",(tech_base!$K233/tech_proj!AB357*0.086*$J$132)/(1-tech_proj!AB637))</f>
        <v/>
      </c>
      <c r="AC1977" s="119" t="str">
        <f>IF(tech_base!$T233&gt;AC$1745,"",(tech_base!$K233/tech_proj!AC357*0.086*$J$132)/(1-tech_proj!AC637))</f>
        <v/>
      </c>
      <c r="AD1977" s="119" t="str">
        <f>IF(tech_base!$T233&gt;AD$1745,"",(tech_base!$K233/tech_proj!AD357*0.086*$J$132)/(1-tech_proj!AD637))</f>
        <v/>
      </c>
      <c r="AE1977" s="119">
        <f>IF(tech_base!$T233&gt;AE$1745,"",(tech_base!$K233/tech_proj!AE357*0.086*$J$132)/(1-tech_proj!AE637))</f>
        <v>0</v>
      </c>
      <c r="AF1977" s="119">
        <f>IF(tech_base!$T233&gt;AF$1745,"",(tech_base!$K233/tech_proj!AF357*0.086*$J$132)/(1-tech_proj!AF637))</f>
        <v>0</v>
      </c>
      <c r="AG1977" s="119">
        <f>IF(tech_base!$T233&gt;AG$1745,"",(tech_base!$K233/tech_proj!AG357*0.086*$J$132)/(1-tech_proj!AG637))</f>
        <v>0</v>
      </c>
      <c r="AH1977" s="119">
        <f>IF(tech_base!$T233&gt;AH$1745,"",(tech_base!$K233/tech_proj!AH357*0.086*$J$132)/(1-tech_proj!AH637))</f>
        <v>0</v>
      </c>
      <c r="AI1977" s="119">
        <f>IF(tech_base!$T233&gt;AI$1745,"",(tech_base!$K233/tech_proj!AI357*0.086*$J$132)/(1-tech_proj!AI637))</f>
        <v>0</v>
      </c>
      <c r="AJ1977" s="119">
        <f>IF(tech_base!$T233&gt;AJ$1745,"",(tech_base!$K233/tech_proj!AJ357*0.086*$J$132)/(1-tech_proj!AJ637))</f>
        <v>0</v>
      </c>
      <c r="AK1977" s="119">
        <f>IF(tech_base!$T233&gt;AK$1745,"",(tech_base!$K233/tech_proj!AK357*0.086*$J$132)/(1-tech_proj!AK637))</f>
        <v>0</v>
      </c>
      <c r="AL1977" s="119">
        <f>IF(tech_base!$T233&gt;AL$1745,"",(tech_base!$K233/tech_proj!AL357*0.086*$J$132)/(1-tech_proj!AL637))</f>
        <v>0</v>
      </c>
      <c r="AM1977" s="119">
        <f>IF(tech_base!$T233&gt;AM$1745,"",(tech_base!$K233/tech_proj!AM357*0.086*$J$132)/(1-tech_proj!AM637))</f>
        <v>0</v>
      </c>
      <c r="AN1977" s="119">
        <f>IF(tech_base!$T233&gt;AN$1745,"",(tech_base!$K233/tech_proj!AN357*0.086*$J$132)/(1-tech_proj!AN637))</f>
        <v>0</v>
      </c>
      <c r="AO1977" s="119">
        <f>IF(tech_base!$T233&gt;AO$1745,"",(tech_base!$K233/tech_proj!AO357*0.086*$J$132)/(1-tech_proj!AO637))</f>
        <v>0</v>
      </c>
      <c r="AP1977" s="119">
        <f>IF(tech_base!$T233&gt;AP$1745,"",(tech_base!$K233/tech_proj!AP357*0.086*$J$132)/(1-tech_proj!AP637))</f>
        <v>0</v>
      </c>
      <c r="AQ1977" s="119">
        <f>IF(tech_base!$T233&gt;AQ$1745,"",(tech_base!$K233/tech_proj!AQ357*0.086*$J$132)/(1-tech_proj!AQ637))</f>
        <v>0</v>
      </c>
      <c r="AR1977" s="119">
        <f>IF(tech_base!$T233&gt;AR$1745,"",(tech_base!$K233/tech_proj!AR357*0.086*$J$132)/(1-tech_proj!AR637))</f>
        <v>0</v>
      </c>
      <c r="AS1977" s="119">
        <f>IF(tech_base!$T233&gt;AS$1745,"",(tech_base!$K233/tech_proj!AS357*0.086*$J$132)/(1-tech_proj!AS637))</f>
        <v>0</v>
      </c>
      <c r="AT1977" s="119">
        <f>IF(tech_base!$T233&gt;AT$1745,"",(tech_base!$K233/tech_proj!AT357*0.086*$J$132)/(1-tech_proj!AT637))</f>
        <v>0</v>
      </c>
      <c r="AU1977" s="119">
        <f>IF(tech_base!$T233&gt;AU$1745,"",(tech_base!$K233/tech_proj!AU357*0.086*$J$132)/(1-tech_proj!AU637))</f>
        <v>0</v>
      </c>
      <c r="AV1977" s="119">
        <f>IF(tech_base!$T233&gt;AV$1745,"",(tech_base!$K233/tech_proj!AV357*0.086*$J$132)/(1-tech_proj!AV637))</f>
        <v>0</v>
      </c>
      <c r="AW1977" s="119">
        <f>IF(tech_base!$T233&gt;AW$1745,"",(tech_base!$K233/tech_proj!AW357*0.086*$J$132)/(1-tech_proj!AW637))</f>
        <v>0</v>
      </c>
      <c r="AX1977" s="120">
        <f>IF(tech_base!$T233&gt;AX$1745,"",(tech_base!$K233/tech_proj!AX357*0.086*$J$132)/(1-tech_proj!AX637))</f>
        <v>0</v>
      </c>
    </row>
    <row r="1978" spans="1:50" x14ac:dyDescent="0.25">
      <c r="A1978" s="357"/>
      <c r="B1978" s="380"/>
      <c r="C1978" s="381"/>
      <c r="D1978" s="4" t="s">
        <v>8</v>
      </c>
      <c r="E1978" s="168" t="str">
        <f>A1947&amp;"/"&amp;B1967&amp;"/"&amp;C1977&amp;"/"&amp;D1978</f>
        <v>Biomass and waste fired power plants/Steam turbine/CHP with CCS/M</v>
      </c>
      <c r="F1978" s="80" t="str">
        <f>A1947</f>
        <v>Biomass and waste fired power plants</v>
      </c>
      <c r="G1978" s="80" t="str">
        <f>B1967</f>
        <v>Steam turbine</v>
      </c>
      <c r="H1978" s="80" t="str">
        <f>C1977</f>
        <v>CHP with CCS</v>
      </c>
      <c r="I1978" s="169" t="str">
        <f t="shared" si="385"/>
        <v>M</v>
      </c>
      <c r="J1978" s="127" t="str">
        <f>IF(tech_base!$T234&gt;J$1745,"",(tech_base!$K234/tech_proj!J358*0.086*$J$132)/(1-tech_proj!J638))</f>
        <v/>
      </c>
      <c r="K1978" s="127" t="str">
        <f>IF(tech_base!$T234&gt;K$1745,"",(tech_base!$K234/tech_proj!K358*0.086*$J$132)/(1-tech_proj!K638))</f>
        <v/>
      </c>
      <c r="L1978" s="127" t="str">
        <f>IF(tech_base!$T234&gt;L$1745,"",(tech_base!$K234/tech_proj!L358*0.086*$J$132)/(1-tech_proj!L638))</f>
        <v/>
      </c>
      <c r="M1978" s="127" t="str">
        <f>IF(tech_base!$T234&gt;M$1745,"",(tech_base!$K234/tech_proj!M358*0.086*$J$132)/(1-tech_proj!M638))</f>
        <v/>
      </c>
      <c r="N1978" s="127" t="str">
        <f>IF(tech_base!$T234&gt;N$1745,"",(tech_base!$K234/tech_proj!N358*0.086*$J$132)/(1-tech_proj!N638))</f>
        <v/>
      </c>
      <c r="O1978" s="127" t="str">
        <f>IF(tech_base!$T234&gt;O$1745,"",(tech_base!$K234/tech_proj!O358*0.086*$J$132)/(1-tech_proj!O638))</f>
        <v/>
      </c>
      <c r="P1978" s="127" t="str">
        <f>IF(tech_base!$T234&gt;P$1745,"",(tech_base!$K234/tech_proj!P358*0.086*$J$132)/(1-tech_proj!P638))</f>
        <v/>
      </c>
      <c r="Q1978" s="127" t="str">
        <f>IF(tech_base!$T234&gt;Q$1745,"",(tech_base!$K234/tech_proj!Q358*0.086*$J$132)/(1-tech_proj!Q638))</f>
        <v/>
      </c>
      <c r="R1978" s="127" t="str">
        <f>IF(tech_base!$T234&gt;R$1745,"",(tech_base!$K234/tech_proj!R358*0.086*$J$132)/(1-tech_proj!R638))</f>
        <v/>
      </c>
      <c r="S1978" s="127" t="str">
        <f>IF(tech_base!$T234&gt;S$1745,"",(tech_base!$K234/tech_proj!S358*0.086*$J$132)/(1-tech_proj!S638))</f>
        <v/>
      </c>
      <c r="T1978" s="127" t="str">
        <f>IF(tech_base!$T234&gt;T$1745,"",(tech_base!$K234/tech_proj!T358*0.086*$J$132)/(1-tech_proj!T638))</f>
        <v/>
      </c>
      <c r="U1978" s="127" t="str">
        <f>IF(tech_base!$T234&gt;U$1745,"",(tech_base!$K234/tech_proj!U358*0.086*$J$132)/(1-tech_proj!U638))</f>
        <v/>
      </c>
      <c r="V1978" s="127" t="str">
        <f>IF(tech_base!$T234&gt;V$1745,"",(tech_base!$K234/tech_proj!V358*0.086*$J$132)/(1-tech_proj!V638))</f>
        <v/>
      </c>
      <c r="W1978" s="127" t="str">
        <f>IF(tech_base!$T234&gt;W$1745,"",(tech_base!$K234/tech_proj!W358*0.086*$J$132)/(1-tech_proj!W638))</f>
        <v/>
      </c>
      <c r="X1978" s="127" t="str">
        <f>IF(tech_base!$T234&gt;X$1745,"",(tech_base!$K234/tech_proj!X358*0.086*$J$132)/(1-tech_proj!X638))</f>
        <v/>
      </c>
      <c r="Y1978" s="127" t="str">
        <f>IF(tech_base!$T234&gt;Y$1745,"",(tech_base!$K234/tech_proj!Y358*0.086*$J$132)/(1-tech_proj!Y638))</f>
        <v/>
      </c>
      <c r="Z1978" s="127" t="str">
        <f>IF(tech_base!$T234&gt;Z$1745,"",(tech_base!$K234/tech_proj!Z358*0.086*$J$132)/(1-tech_proj!Z638))</f>
        <v/>
      </c>
      <c r="AA1978" s="127" t="str">
        <f>IF(tech_base!$T234&gt;AA$1745,"",(tech_base!$K234/tech_proj!AA358*0.086*$J$132)/(1-tech_proj!AA638))</f>
        <v/>
      </c>
      <c r="AB1978" s="127" t="str">
        <f>IF(tech_base!$T234&gt;AB$1745,"",(tech_base!$K234/tech_proj!AB358*0.086*$J$132)/(1-tech_proj!AB638))</f>
        <v/>
      </c>
      <c r="AC1978" s="127" t="str">
        <f>IF(tech_base!$T234&gt;AC$1745,"",(tech_base!$K234/tech_proj!AC358*0.086*$J$132)/(1-tech_proj!AC638))</f>
        <v/>
      </c>
      <c r="AD1978" s="127" t="str">
        <f>IF(tech_base!$T234&gt;AD$1745,"",(tech_base!$K234/tech_proj!AD358*0.086*$J$132)/(1-tech_proj!AD638))</f>
        <v/>
      </c>
      <c r="AE1978" s="127">
        <f>IF(tech_base!$T234&gt;AE$1745,"",(tech_base!$K234/tech_proj!AE358*0.086*$J$132)/(1-tech_proj!AE638))</f>
        <v>0</v>
      </c>
      <c r="AF1978" s="127">
        <f>IF(tech_base!$T234&gt;AF$1745,"",(tech_base!$K234/tech_proj!AF358*0.086*$J$132)/(1-tech_proj!AF638))</f>
        <v>0</v>
      </c>
      <c r="AG1978" s="127">
        <f>IF(tech_base!$T234&gt;AG$1745,"",(tech_base!$K234/tech_proj!AG358*0.086*$J$132)/(1-tech_proj!AG638))</f>
        <v>0</v>
      </c>
      <c r="AH1978" s="127">
        <f>IF(tech_base!$T234&gt;AH$1745,"",(tech_base!$K234/tech_proj!AH358*0.086*$J$132)/(1-tech_proj!AH638))</f>
        <v>0</v>
      </c>
      <c r="AI1978" s="127">
        <f>IF(tech_base!$T234&gt;AI$1745,"",(tech_base!$K234/tech_proj!AI358*0.086*$J$132)/(1-tech_proj!AI638))</f>
        <v>0</v>
      </c>
      <c r="AJ1978" s="127">
        <f>IF(tech_base!$T234&gt;AJ$1745,"",(tech_base!$K234/tech_proj!AJ358*0.086*$J$132)/(1-tech_proj!AJ638))</f>
        <v>0</v>
      </c>
      <c r="AK1978" s="127">
        <f>IF(tech_base!$T234&gt;AK$1745,"",(tech_base!$K234/tech_proj!AK358*0.086*$J$132)/(1-tech_proj!AK638))</f>
        <v>0</v>
      </c>
      <c r="AL1978" s="127">
        <f>IF(tech_base!$T234&gt;AL$1745,"",(tech_base!$K234/tech_proj!AL358*0.086*$J$132)/(1-tech_proj!AL638))</f>
        <v>0</v>
      </c>
      <c r="AM1978" s="127">
        <f>IF(tech_base!$T234&gt;AM$1745,"",(tech_base!$K234/tech_proj!AM358*0.086*$J$132)/(1-tech_proj!AM638))</f>
        <v>0</v>
      </c>
      <c r="AN1978" s="127">
        <f>IF(tech_base!$T234&gt;AN$1745,"",(tech_base!$K234/tech_proj!AN358*0.086*$J$132)/(1-tech_proj!AN638))</f>
        <v>0</v>
      </c>
      <c r="AO1978" s="127">
        <f>IF(tech_base!$T234&gt;AO$1745,"",(tech_base!$K234/tech_proj!AO358*0.086*$J$132)/(1-tech_proj!AO638))</f>
        <v>0</v>
      </c>
      <c r="AP1978" s="127">
        <f>IF(tech_base!$T234&gt;AP$1745,"",(tech_base!$K234/tech_proj!AP358*0.086*$J$132)/(1-tech_proj!AP638))</f>
        <v>0</v>
      </c>
      <c r="AQ1978" s="127">
        <f>IF(tech_base!$T234&gt;AQ$1745,"",(tech_base!$K234/tech_proj!AQ358*0.086*$J$132)/(1-tech_proj!AQ638))</f>
        <v>0</v>
      </c>
      <c r="AR1978" s="127">
        <f>IF(tech_base!$T234&gt;AR$1745,"",(tech_base!$K234/tech_proj!AR358*0.086*$J$132)/(1-tech_proj!AR638))</f>
        <v>0</v>
      </c>
      <c r="AS1978" s="127">
        <f>IF(tech_base!$T234&gt;AS$1745,"",(tech_base!$K234/tech_proj!AS358*0.086*$J$132)/(1-tech_proj!AS638))</f>
        <v>0</v>
      </c>
      <c r="AT1978" s="127">
        <f>IF(tech_base!$T234&gt;AT$1745,"",(tech_base!$K234/tech_proj!AT358*0.086*$J$132)/(1-tech_proj!AT638))</f>
        <v>0</v>
      </c>
      <c r="AU1978" s="127">
        <f>IF(tech_base!$T234&gt;AU$1745,"",(tech_base!$K234/tech_proj!AU358*0.086*$J$132)/(1-tech_proj!AU638))</f>
        <v>0</v>
      </c>
      <c r="AV1978" s="127">
        <f>IF(tech_base!$T234&gt;AV$1745,"",(tech_base!$K234/tech_proj!AV358*0.086*$J$132)/(1-tech_proj!AV638))</f>
        <v>0</v>
      </c>
      <c r="AW1978" s="127">
        <f>IF(tech_base!$T234&gt;AW$1745,"",(tech_base!$K234/tech_proj!AW358*0.086*$J$132)/(1-tech_proj!AW638))</f>
        <v>0</v>
      </c>
      <c r="AX1978" s="128">
        <f>IF(tech_base!$T234&gt;AX$1745,"",(tech_base!$K234/tech_proj!AX358*0.086*$J$132)/(1-tech_proj!AX638))</f>
        <v>0</v>
      </c>
    </row>
    <row r="1979" spans="1:50" x14ac:dyDescent="0.25">
      <c r="A1979" s="355" t="s">
        <v>31</v>
      </c>
      <c r="B1979" s="358" t="s">
        <v>32</v>
      </c>
      <c r="C1979" s="353" t="s">
        <v>6</v>
      </c>
      <c r="D1979" s="3" t="s">
        <v>8</v>
      </c>
      <c r="E1979" s="162" t="str">
        <f>A1979&amp;"/"&amp;B1979&amp;"/"&amp;C1979&amp;"/"&amp;D1979</f>
        <v>Fuel cells/Natural gas fuel cell power plant/Electricity only/M</v>
      </c>
      <c r="F1979" s="77" t="str">
        <f>A1979</f>
        <v>Fuel cells</v>
      </c>
      <c r="G1979" s="77" t="str">
        <f>B1979</f>
        <v>Natural gas fuel cell power plant</v>
      </c>
      <c r="H1979" s="77" t="str">
        <f>C1979</f>
        <v>Electricity only</v>
      </c>
      <c r="I1979" s="163" t="str">
        <f t="shared" si="385"/>
        <v>M</v>
      </c>
      <c r="J1979" s="121" t="str">
        <f>IF(tech_base!$T235&gt;J$1745,"",(tech_base!$K235/tech_proj!J359*0.086*$J$132)/(1-tech_proj!J639))</f>
        <v/>
      </c>
      <c r="K1979" s="121" t="str">
        <f>IF(tech_base!$T235&gt;K$1745,"",(tech_base!$K235/tech_proj!K359*0.086*$J$132)/(1-tech_proj!K639))</f>
        <v/>
      </c>
      <c r="L1979" s="121" t="str">
        <f>IF(tech_base!$T235&gt;L$1745,"",(tech_base!$K235/tech_proj!L359*0.086*$J$132)/(1-tech_proj!L639))</f>
        <v/>
      </c>
      <c r="M1979" s="121" t="str">
        <f>IF(tech_base!$T235&gt;M$1745,"",(tech_base!$K235/tech_proj!M359*0.086*$J$132)/(1-tech_proj!M639))</f>
        <v/>
      </c>
      <c r="N1979" s="121" t="str">
        <f>IF(tech_base!$T235&gt;N$1745,"",(tech_base!$K235/tech_proj!N359*0.086*$J$132)/(1-tech_proj!N639))</f>
        <v/>
      </c>
      <c r="O1979" s="121" t="str">
        <f>IF(tech_base!$T235&gt;O$1745,"",(tech_base!$K235/tech_proj!O359*0.086*$J$132)/(1-tech_proj!O639))</f>
        <v/>
      </c>
      <c r="P1979" s="121" t="str">
        <f>IF(tech_base!$T235&gt;P$1745,"",(tech_base!$K235/tech_proj!P359*0.086*$J$132)/(1-tech_proj!P639))</f>
        <v/>
      </c>
      <c r="Q1979" s="121" t="str">
        <f>IF(tech_base!$T235&gt;Q$1745,"",(tech_base!$K235/tech_proj!Q359*0.086*$J$132)/(1-tech_proj!Q639))</f>
        <v/>
      </c>
      <c r="R1979" s="121" t="str">
        <f>IF(tech_base!$T235&gt;R$1745,"",(tech_base!$K235/tech_proj!R359*0.086*$J$132)/(1-tech_proj!R639))</f>
        <v/>
      </c>
      <c r="S1979" s="121" t="str">
        <f>IF(tech_base!$T235&gt;S$1745,"",(tech_base!$K235/tech_proj!S359*0.086*$J$132)/(1-tech_proj!S639))</f>
        <v/>
      </c>
      <c r="T1979" s="121" t="str">
        <f>IF(tech_base!$T235&gt;T$1745,"",(tech_base!$K235/tech_proj!T359*0.086*$J$132)/(1-tech_proj!T639))</f>
        <v/>
      </c>
      <c r="U1979" s="121" t="str">
        <f>IF(tech_base!$T235&gt;U$1745,"",(tech_base!$K235/tech_proj!U359*0.086*$J$132)/(1-tech_proj!U639))</f>
        <v/>
      </c>
      <c r="V1979" s="121" t="str">
        <f>IF(tech_base!$T235&gt;V$1745,"",(tech_base!$K235/tech_proj!V359*0.086*$J$132)/(1-tech_proj!V639))</f>
        <v/>
      </c>
      <c r="W1979" s="121" t="str">
        <f>IF(tech_base!$T235&gt;W$1745,"",(tech_base!$K235/tech_proj!W359*0.086*$J$132)/(1-tech_proj!W639))</f>
        <v/>
      </c>
      <c r="X1979" s="121" t="str">
        <f>IF(tech_base!$T235&gt;X$1745,"",(tech_base!$K235/tech_proj!X359*0.086*$J$132)/(1-tech_proj!X639))</f>
        <v/>
      </c>
      <c r="Y1979" s="121" t="str">
        <f>IF(tech_base!$T235&gt;Y$1745,"",(tech_base!$K235/tech_proj!Y359*0.086*$J$132)/(1-tech_proj!Y639))</f>
        <v/>
      </c>
      <c r="Z1979" s="121" t="str">
        <f>IF(tech_base!$T235&gt;Z$1745,"",(tech_base!$K235/tech_proj!Z359*0.086*$J$132)/(1-tech_proj!Z639))</f>
        <v/>
      </c>
      <c r="AA1979" s="121" t="str">
        <f>IF(tech_base!$T235&gt;AA$1745,"",(tech_base!$K235/tech_proj!AA359*0.086*$J$132)/(1-tech_proj!AA639))</f>
        <v/>
      </c>
      <c r="AB1979" s="121" t="str">
        <f>IF(tech_base!$T235&gt;AB$1745,"",(tech_base!$K235/tech_proj!AB359*0.086*$J$132)/(1-tech_proj!AB639))</f>
        <v/>
      </c>
      <c r="AC1979" s="121" t="str">
        <f>IF(tech_base!$T235&gt;AC$1745,"",(tech_base!$K235/tech_proj!AC359*0.086*$J$132)/(1-tech_proj!AC639))</f>
        <v/>
      </c>
      <c r="AD1979" s="121" t="str">
        <f>IF(tech_base!$T235&gt;AD$1745,"",(tech_base!$K235/tech_proj!AD359*0.086*$J$132)/(1-tech_proj!AD639))</f>
        <v/>
      </c>
      <c r="AE1979" s="121">
        <f>IF(tech_base!$T235&gt;AE$1745,"",(tech_base!$K235/tech_proj!AE359*0.086*$J$132)/(1-tech_proj!AE639))</f>
        <v>0</v>
      </c>
      <c r="AF1979" s="121">
        <f>IF(tech_base!$T235&gt;AF$1745,"",(tech_base!$K235/tech_proj!AF359*0.086*$J$132)/(1-tech_proj!AF639))</f>
        <v>0</v>
      </c>
      <c r="AG1979" s="121">
        <f>IF(tech_base!$T235&gt;AG$1745,"",(tech_base!$K235/tech_proj!AG359*0.086*$J$132)/(1-tech_proj!AG639))</f>
        <v>0</v>
      </c>
      <c r="AH1979" s="121">
        <f>IF(tech_base!$T235&gt;AH$1745,"",(tech_base!$K235/tech_proj!AH359*0.086*$J$132)/(1-tech_proj!AH639))</f>
        <v>0</v>
      </c>
      <c r="AI1979" s="121">
        <f>IF(tech_base!$T235&gt;AI$1745,"",(tech_base!$K235/tech_proj!AI359*0.086*$J$132)/(1-tech_proj!AI639))</f>
        <v>0</v>
      </c>
      <c r="AJ1979" s="121">
        <f>IF(tech_base!$T235&gt;AJ$1745,"",(tech_base!$K235/tech_proj!AJ359*0.086*$J$132)/(1-tech_proj!AJ639))</f>
        <v>0</v>
      </c>
      <c r="AK1979" s="121">
        <f>IF(tech_base!$T235&gt;AK$1745,"",(tech_base!$K235/tech_proj!AK359*0.086*$J$132)/(1-tech_proj!AK639))</f>
        <v>0</v>
      </c>
      <c r="AL1979" s="121">
        <f>IF(tech_base!$T235&gt;AL$1745,"",(tech_base!$K235/tech_proj!AL359*0.086*$J$132)/(1-tech_proj!AL639))</f>
        <v>0</v>
      </c>
      <c r="AM1979" s="121">
        <f>IF(tech_base!$T235&gt;AM$1745,"",(tech_base!$K235/tech_proj!AM359*0.086*$J$132)/(1-tech_proj!AM639))</f>
        <v>0</v>
      </c>
      <c r="AN1979" s="121">
        <f>IF(tech_base!$T235&gt;AN$1745,"",(tech_base!$K235/tech_proj!AN359*0.086*$J$132)/(1-tech_proj!AN639))</f>
        <v>0</v>
      </c>
      <c r="AO1979" s="121">
        <f>IF(tech_base!$T235&gt;AO$1745,"",(tech_base!$K235/tech_proj!AO359*0.086*$J$132)/(1-tech_proj!AO639))</f>
        <v>0</v>
      </c>
      <c r="AP1979" s="121">
        <f>IF(tech_base!$T235&gt;AP$1745,"",(tech_base!$K235/tech_proj!AP359*0.086*$J$132)/(1-tech_proj!AP639))</f>
        <v>0</v>
      </c>
      <c r="AQ1979" s="121">
        <f>IF(tech_base!$T235&gt;AQ$1745,"",(tech_base!$K235/tech_proj!AQ359*0.086*$J$132)/(1-tech_proj!AQ639))</f>
        <v>0</v>
      </c>
      <c r="AR1979" s="121">
        <f>IF(tech_base!$T235&gt;AR$1745,"",(tech_base!$K235/tech_proj!AR359*0.086*$J$132)/(1-tech_proj!AR639))</f>
        <v>0</v>
      </c>
      <c r="AS1979" s="121">
        <f>IF(tech_base!$T235&gt;AS$1745,"",(tech_base!$K235/tech_proj!AS359*0.086*$J$132)/(1-tech_proj!AS639))</f>
        <v>0</v>
      </c>
      <c r="AT1979" s="121">
        <f>IF(tech_base!$T235&gt;AT$1745,"",(tech_base!$K235/tech_proj!AT359*0.086*$J$132)/(1-tech_proj!AT639))</f>
        <v>0</v>
      </c>
      <c r="AU1979" s="121">
        <f>IF(tech_base!$T235&gt;AU$1745,"",(tech_base!$K235/tech_proj!AU359*0.086*$J$132)/(1-tech_proj!AU639))</f>
        <v>0</v>
      </c>
      <c r="AV1979" s="121">
        <f>IF(tech_base!$T235&gt;AV$1745,"",(tech_base!$K235/tech_proj!AV359*0.086*$J$132)/(1-tech_proj!AV639))</f>
        <v>0</v>
      </c>
      <c r="AW1979" s="121">
        <f>IF(tech_base!$T235&gt;AW$1745,"",(tech_base!$K235/tech_proj!AW359*0.086*$J$132)/(1-tech_proj!AW639))</f>
        <v>0</v>
      </c>
      <c r="AX1979" s="122">
        <f>IF(tech_base!$T235&gt;AX$1745,"",(tech_base!$K235/tech_proj!AX359*0.086*$J$132)/(1-tech_proj!AX639))</f>
        <v>0</v>
      </c>
    </row>
    <row r="1980" spans="1:50" x14ac:dyDescent="0.25">
      <c r="A1980" s="356"/>
      <c r="B1980" s="376"/>
      <c r="C1980" s="378"/>
      <c r="D1980" s="2" t="s">
        <v>10</v>
      </c>
      <c r="E1980" s="160" t="str">
        <f>A1979&amp;"/"&amp;B1979&amp;"/"&amp;C1979&amp;"/"&amp;D1980</f>
        <v>Fuel cells/Natural gas fuel cell power plant/Electricity only/S</v>
      </c>
      <c r="F1980" s="76" t="str">
        <f>A1979</f>
        <v>Fuel cells</v>
      </c>
      <c r="G1980" s="76" t="str">
        <f>B1979</f>
        <v>Natural gas fuel cell power plant</v>
      </c>
      <c r="H1980" s="76" t="str">
        <f>C1979</f>
        <v>Electricity only</v>
      </c>
      <c r="I1980" s="161" t="str">
        <f t="shared" si="385"/>
        <v>S</v>
      </c>
      <c r="J1980" s="119" t="str">
        <f>IF(tech_base!$T236&gt;J$1745,"",(tech_base!$K236/tech_proj!J360*0.086*$J$132)/(1-tech_proj!J640))</f>
        <v/>
      </c>
      <c r="K1980" s="119" t="str">
        <f>IF(tech_base!$T236&gt;K$1745,"",(tech_base!$K236/tech_proj!K360*0.086*$J$132)/(1-tech_proj!K640))</f>
        <v/>
      </c>
      <c r="L1980" s="119" t="str">
        <f>IF(tech_base!$T236&gt;L$1745,"",(tech_base!$K236/tech_proj!L360*0.086*$J$132)/(1-tech_proj!L640))</f>
        <v/>
      </c>
      <c r="M1980" s="119" t="str">
        <f>IF(tech_base!$T236&gt;M$1745,"",(tech_base!$K236/tech_proj!M360*0.086*$J$132)/(1-tech_proj!M640))</f>
        <v/>
      </c>
      <c r="N1980" s="119" t="str">
        <f>IF(tech_base!$T236&gt;N$1745,"",(tech_base!$K236/tech_proj!N360*0.086*$J$132)/(1-tech_proj!N640))</f>
        <v/>
      </c>
      <c r="O1980" s="119" t="str">
        <f>IF(tech_base!$T236&gt;O$1745,"",(tech_base!$K236/tech_proj!O360*0.086*$J$132)/(1-tech_proj!O640))</f>
        <v/>
      </c>
      <c r="P1980" s="119" t="str">
        <f>IF(tech_base!$T236&gt;P$1745,"",(tech_base!$K236/tech_proj!P360*0.086*$J$132)/(1-tech_proj!P640))</f>
        <v/>
      </c>
      <c r="Q1980" s="119" t="str">
        <f>IF(tech_base!$T236&gt;Q$1745,"",(tech_base!$K236/tech_proj!Q360*0.086*$J$132)/(1-tech_proj!Q640))</f>
        <v/>
      </c>
      <c r="R1980" s="119" t="str">
        <f>IF(tech_base!$T236&gt;R$1745,"",(tech_base!$K236/tech_proj!R360*0.086*$J$132)/(1-tech_proj!R640))</f>
        <v/>
      </c>
      <c r="S1980" s="119" t="str">
        <f>IF(tech_base!$T236&gt;S$1745,"",(tech_base!$K236/tech_proj!S360*0.086*$J$132)/(1-tech_proj!S640))</f>
        <v/>
      </c>
      <c r="T1980" s="119" t="str">
        <f>IF(tech_base!$T236&gt;T$1745,"",(tech_base!$K236/tech_proj!T360*0.086*$J$132)/(1-tech_proj!T640))</f>
        <v/>
      </c>
      <c r="U1980" s="119" t="str">
        <f>IF(tech_base!$T236&gt;U$1745,"",(tech_base!$K236/tech_proj!U360*0.086*$J$132)/(1-tech_proj!U640))</f>
        <v/>
      </c>
      <c r="V1980" s="119" t="str">
        <f>IF(tech_base!$T236&gt;V$1745,"",(tech_base!$K236/tech_proj!V360*0.086*$J$132)/(1-tech_proj!V640))</f>
        <v/>
      </c>
      <c r="W1980" s="119" t="str">
        <f>IF(tech_base!$T236&gt;W$1745,"",(tech_base!$K236/tech_proj!W360*0.086*$J$132)/(1-tech_proj!W640))</f>
        <v/>
      </c>
      <c r="X1980" s="119" t="str">
        <f>IF(tech_base!$T236&gt;X$1745,"",(tech_base!$K236/tech_proj!X360*0.086*$J$132)/(1-tech_proj!X640))</f>
        <v/>
      </c>
      <c r="Y1980" s="119" t="str">
        <f>IF(tech_base!$T236&gt;Y$1745,"",(tech_base!$K236/tech_proj!Y360*0.086*$J$132)/(1-tech_proj!Y640))</f>
        <v/>
      </c>
      <c r="Z1980" s="119" t="str">
        <f>IF(tech_base!$T236&gt;Z$1745,"",(tech_base!$K236/tech_proj!Z360*0.086*$J$132)/(1-tech_proj!Z640))</f>
        <v/>
      </c>
      <c r="AA1980" s="119" t="str">
        <f>IF(tech_base!$T236&gt;AA$1745,"",(tech_base!$K236/tech_proj!AA360*0.086*$J$132)/(1-tech_proj!AA640))</f>
        <v/>
      </c>
      <c r="AB1980" s="119" t="str">
        <f>IF(tech_base!$T236&gt;AB$1745,"",(tech_base!$K236/tech_proj!AB360*0.086*$J$132)/(1-tech_proj!AB640))</f>
        <v/>
      </c>
      <c r="AC1980" s="119">
        <f>IF(tech_base!$T236&gt;AC$1745,"",(tech_base!$K236/tech_proj!AC360*0.086*$J$132)/(1-tech_proj!AC640))</f>
        <v>0</v>
      </c>
      <c r="AD1980" s="119">
        <f>IF(tech_base!$T236&gt;AD$1745,"",(tech_base!$K236/tech_proj!AD360*0.086*$J$132)/(1-tech_proj!AD640))</f>
        <v>0</v>
      </c>
      <c r="AE1980" s="119">
        <f>IF(tech_base!$T236&gt;AE$1745,"",(tech_base!$K236/tech_proj!AE360*0.086*$J$132)/(1-tech_proj!AE640))</f>
        <v>0</v>
      </c>
      <c r="AF1980" s="119">
        <f>IF(tech_base!$T236&gt;AF$1745,"",(tech_base!$K236/tech_proj!AF360*0.086*$J$132)/(1-tech_proj!AF640))</f>
        <v>0</v>
      </c>
      <c r="AG1980" s="119">
        <f>IF(tech_base!$T236&gt;AG$1745,"",(tech_base!$K236/tech_proj!AG360*0.086*$J$132)/(1-tech_proj!AG640))</f>
        <v>0</v>
      </c>
      <c r="AH1980" s="119">
        <f>IF(tech_base!$T236&gt;AH$1745,"",(tech_base!$K236/tech_proj!AH360*0.086*$J$132)/(1-tech_proj!AH640))</f>
        <v>0</v>
      </c>
      <c r="AI1980" s="119">
        <f>IF(tech_base!$T236&gt;AI$1745,"",(tech_base!$K236/tech_proj!AI360*0.086*$J$132)/(1-tech_proj!AI640))</f>
        <v>0</v>
      </c>
      <c r="AJ1980" s="119">
        <f>IF(tech_base!$T236&gt;AJ$1745,"",(tech_base!$K236/tech_proj!AJ360*0.086*$J$132)/(1-tech_proj!AJ640))</f>
        <v>0</v>
      </c>
      <c r="AK1980" s="119">
        <f>IF(tech_base!$T236&gt;AK$1745,"",(tech_base!$K236/tech_proj!AK360*0.086*$J$132)/(1-tech_proj!AK640))</f>
        <v>0</v>
      </c>
      <c r="AL1980" s="119">
        <f>IF(tech_base!$T236&gt;AL$1745,"",(tech_base!$K236/tech_proj!AL360*0.086*$J$132)/(1-tech_proj!AL640))</f>
        <v>0</v>
      </c>
      <c r="AM1980" s="119">
        <f>IF(tech_base!$T236&gt;AM$1745,"",(tech_base!$K236/tech_proj!AM360*0.086*$J$132)/(1-tech_proj!AM640))</f>
        <v>0</v>
      </c>
      <c r="AN1980" s="119">
        <f>IF(tech_base!$T236&gt;AN$1745,"",(tech_base!$K236/tech_proj!AN360*0.086*$J$132)/(1-tech_proj!AN640))</f>
        <v>0</v>
      </c>
      <c r="AO1980" s="119">
        <f>IF(tech_base!$T236&gt;AO$1745,"",(tech_base!$K236/tech_proj!AO360*0.086*$J$132)/(1-tech_proj!AO640))</f>
        <v>0</v>
      </c>
      <c r="AP1980" s="119">
        <f>IF(tech_base!$T236&gt;AP$1745,"",(tech_base!$K236/tech_proj!AP360*0.086*$J$132)/(1-tech_proj!AP640))</f>
        <v>0</v>
      </c>
      <c r="AQ1980" s="119">
        <f>IF(tech_base!$T236&gt;AQ$1745,"",(tech_base!$K236/tech_proj!AQ360*0.086*$J$132)/(1-tech_proj!AQ640))</f>
        <v>0</v>
      </c>
      <c r="AR1980" s="119">
        <f>IF(tech_base!$T236&gt;AR$1745,"",(tech_base!$K236/tech_proj!AR360*0.086*$J$132)/(1-tech_proj!AR640))</f>
        <v>0</v>
      </c>
      <c r="AS1980" s="119">
        <f>IF(tech_base!$T236&gt;AS$1745,"",(tech_base!$K236/tech_proj!AS360*0.086*$J$132)/(1-tech_proj!AS640))</f>
        <v>0</v>
      </c>
      <c r="AT1980" s="119">
        <f>IF(tech_base!$T236&gt;AT$1745,"",(tech_base!$K236/tech_proj!AT360*0.086*$J$132)/(1-tech_proj!AT640))</f>
        <v>0</v>
      </c>
      <c r="AU1980" s="119">
        <f>IF(tech_base!$T236&gt;AU$1745,"",(tech_base!$K236/tech_proj!AU360*0.086*$J$132)/(1-tech_proj!AU640))</f>
        <v>0</v>
      </c>
      <c r="AV1980" s="119">
        <f>IF(tech_base!$T236&gt;AV$1745,"",(tech_base!$K236/tech_proj!AV360*0.086*$J$132)/(1-tech_proj!AV640))</f>
        <v>0</v>
      </c>
      <c r="AW1980" s="119">
        <f>IF(tech_base!$T236&gt;AW$1745,"",(tech_base!$K236/tech_proj!AW360*0.086*$J$132)/(1-tech_proj!AW640))</f>
        <v>0</v>
      </c>
      <c r="AX1980" s="120">
        <f>IF(tech_base!$T236&gt;AX$1745,"",(tech_base!$K236/tech_proj!AX360*0.086*$J$132)/(1-tech_proj!AX640))</f>
        <v>0</v>
      </c>
    </row>
    <row r="1981" spans="1:50" x14ac:dyDescent="0.25">
      <c r="A1981" s="356"/>
      <c r="B1981" s="377"/>
      <c r="C1981" s="379"/>
      <c r="D1981" s="59" t="s">
        <v>20</v>
      </c>
      <c r="E1981" s="166" t="str">
        <f>A1979&amp;"/"&amp;B1979&amp;"/"&amp;C1979&amp;"/"&amp;D1981</f>
        <v>Fuel cells/Natural gas fuel cell power plant/Electricity only/XS</v>
      </c>
      <c r="F1981" s="79" t="str">
        <f>A1979</f>
        <v>Fuel cells</v>
      </c>
      <c r="G1981" s="79" t="str">
        <f>B1979</f>
        <v>Natural gas fuel cell power plant</v>
      </c>
      <c r="H1981" s="79" t="str">
        <f>C1979</f>
        <v>Electricity only</v>
      </c>
      <c r="I1981" s="167" t="str">
        <f t="shared" si="385"/>
        <v>XS</v>
      </c>
      <c r="J1981" s="125" t="str">
        <f>IF(tech_base!$T237&gt;J$1745,"",(tech_base!$K237/tech_proj!J361*0.086*$J$132)/(1-tech_proj!J641))</f>
        <v/>
      </c>
      <c r="K1981" s="125" t="str">
        <f>IF(tech_base!$T237&gt;K$1745,"",(tech_base!$K237/tech_proj!K361*0.086*$J$132)/(1-tech_proj!K641))</f>
        <v/>
      </c>
      <c r="L1981" s="125" t="str">
        <f>IF(tech_base!$T237&gt;L$1745,"",(tech_base!$K237/tech_proj!L361*0.086*$J$132)/(1-tech_proj!L641))</f>
        <v/>
      </c>
      <c r="M1981" s="125" t="str">
        <f>IF(tech_base!$T237&gt;M$1745,"",(tech_base!$K237/tech_proj!M361*0.086*$J$132)/(1-tech_proj!M641))</f>
        <v/>
      </c>
      <c r="N1981" s="125" t="str">
        <f>IF(tech_base!$T237&gt;N$1745,"",(tech_base!$K237/tech_proj!N361*0.086*$J$132)/(1-tech_proj!N641))</f>
        <v/>
      </c>
      <c r="O1981" s="125" t="str">
        <f>IF(tech_base!$T237&gt;O$1745,"",(tech_base!$K237/tech_proj!O361*0.086*$J$132)/(1-tech_proj!O641))</f>
        <v/>
      </c>
      <c r="P1981" s="125" t="str">
        <f>IF(tech_base!$T237&gt;P$1745,"",(tech_base!$K237/tech_proj!P361*0.086*$J$132)/(1-tech_proj!P641))</f>
        <v/>
      </c>
      <c r="Q1981" s="125" t="str">
        <f>IF(tech_base!$T237&gt;Q$1745,"",(tech_base!$K237/tech_proj!Q361*0.086*$J$132)/(1-tech_proj!Q641))</f>
        <v/>
      </c>
      <c r="R1981" s="125" t="str">
        <f>IF(tech_base!$T237&gt;R$1745,"",(tech_base!$K237/tech_proj!R361*0.086*$J$132)/(1-tech_proj!R641))</f>
        <v/>
      </c>
      <c r="S1981" s="125" t="str">
        <f>IF(tech_base!$T237&gt;S$1745,"",(tech_base!$K237/tech_proj!S361*0.086*$J$132)/(1-tech_proj!S641))</f>
        <v/>
      </c>
      <c r="T1981" s="125" t="str">
        <f>IF(tech_base!$T237&gt;T$1745,"",(tech_base!$K237/tech_proj!T361*0.086*$J$132)/(1-tech_proj!T641))</f>
        <v/>
      </c>
      <c r="U1981" s="125" t="str">
        <f>IF(tech_base!$T237&gt;U$1745,"",(tech_base!$K237/tech_proj!U361*0.086*$J$132)/(1-tech_proj!U641))</f>
        <v/>
      </c>
      <c r="V1981" s="125" t="str">
        <f>IF(tech_base!$T237&gt;V$1745,"",(tech_base!$K237/tech_proj!V361*0.086*$J$132)/(1-tech_proj!V641))</f>
        <v/>
      </c>
      <c r="W1981" s="125" t="str">
        <f>IF(tech_base!$T237&gt;W$1745,"",(tech_base!$K237/tech_proj!W361*0.086*$J$132)/(1-tech_proj!W641))</f>
        <v/>
      </c>
      <c r="X1981" s="125" t="str">
        <f>IF(tech_base!$T237&gt;X$1745,"",(tech_base!$K237/tech_proj!X361*0.086*$J$132)/(1-tech_proj!X641))</f>
        <v/>
      </c>
      <c r="Y1981" s="125" t="str">
        <f>IF(tech_base!$T237&gt;Y$1745,"",(tech_base!$K237/tech_proj!Y361*0.086*$J$132)/(1-tech_proj!Y641))</f>
        <v/>
      </c>
      <c r="Z1981" s="125">
        <f>IF(tech_base!$T237&gt;Z$1745,"",(tech_base!$K237/tech_proj!Z361*0.086*$J$132)/(1-tech_proj!Z641))</f>
        <v>0</v>
      </c>
      <c r="AA1981" s="125">
        <f>IF(tech_base!$T237&gt;AA$1745,"",(tech_base!$K237/tech_proj!AA361*0.086*$J$132)/(1-tech_proj!AA641))</f>
        <v>0</v>
      </c>
      <c r="AB1981" s="125">
        <f>IF(tech_base!$T237&gt;AB$1745,"",(tech_base!$K237/tech_proj!AB361*0.086*$J$132)/(1-tech_proj!AB641))</f>
        <v>0</v>
      </c>
      <c r="AC1981" s="125">
        <f>IF(tech_base!$T237&gt;AC$1745,"",(tech_base!$K237/tech_proj!AC361*0.086*$J$132)/(1-tech_proj!AC641))</f>
        <v>0</v>
      </c>
      <c r="AD1981" s="125">
        <f>IF(tech_base!$T237&gt;AD$1745,"",(tech_base!$K237/tech_proj!AD361*0.086*$J$132)/(1-tech_proj!AD641))</f>
        <v>0</v>
      </c>
      <c r="AE1981" s="125">
        <f>IF(tech_base!$T237&gt;AE$1745,"",(tech_base!$K237/tech_proj!AE361*0.086*$J$132)/(1-tech_proj!AE641))</f>
        <v>0</v>
      </c>
      <c r="AF1981" s="125">
        <f>IF(tech_base!$T237&gt;AF$1745,"",(tech_base!$K237/tech_proj!AF361*0.086*$J$132)/(1-tech_proj!AF641))</f>
        <v>0</v>
      </c>
      <c r="AG1981" s="125">
        <f>IF(tech_base!$T237&gt;AG$1745,"",(tech_base!$K237/tech_proj!AG361*0.086*$J$132)/(1-tech_proj!AG641))</f>
        <v>0</v>
      </c>
      <c r="AH1981" s="125">
        <f>IF(tech_base!$T237&gt;AH$1745,"",(tech_base!$K237/tech_proj!AH361*0.086*$J$132)/(1-tech_proj!AH641))</f>
        <v>0</v>
      </c>
      <c r="AI1981" s="125">
        <f>IF(tech_base!$T237&gt;AI$1745,"",(tech_base!$K237/tech_proj!AI361*0.086*$J$132)/(1-tech_proj!AI641))</f>
        <v>0</v>
      </c>
      <c r="AJ1981" s="125">
        <f>IF(tech_base!$T237&gt;AJ$1745,"",(tech_base!$K237/tech_proj!AJ361*0.086*$J$132)/(1-tech_proj!AJ641))</f>
        <v>0</v>
      </c>
      <c r="AK1981" s="125">
        <f>IF(tech_base!$T237&gt;AK$1745,"",(tech_base!$K237/tech_proj!AK361*0.086*$J$132)/(1-tech_proj!AK641))</f>
        <v>0</v>
      </c>
      <c r="AL1981" s="125">
        <f>IF(tech_base!$T237&gt;AL$1745,"",(tech_base!$K237/tech_proj!AL361*0.086*$J$132)/(1-tech_proj!AL641))</f>
        <v>0</v>
      </c>
      <c r="AM1981" s="125">
        <f>IF(tech_base!$T237&gt;AM$1745,"",(tech_base!$K237/tech_proj!AM361*0.086*$J$132)/(1-tech_proj!AM641))</f>
        <v>0</v>
      </c>
      <c r="AN1981" s="125">
        <f>IF(tech_base!$T237&gt;AN$1745,"",(tech_base!$K237/tech_proj!AN361*0.086*$J$132)/(1-tech_proj!AN641))</f>
        <v>0</v>
      </c>
      <c r="AO1981" s="125">
        <f>IF(tech_base!$T237&gt;AO$1745,"",(tech_base!$K237/tech_proj!AO361*0.086*$J$132)/(1-tech_proj!AO641))</f>
        <v>0</v>
      </c>
      <c r="AP1981" s="125">
        <f>IF(tech_base!$T237&gt;AP$1745,"",(tech_base!$K237/tech_proj!AP361*0.086*$J$132)/(1-tech_proj!AP641))</f>
        <v>0</v>
      </c>
      <c r="AQ1981" s="125">
        <f>IF(tech_base!$T237&gt;AQ$1745,"",(tech_base!$K237/tech_proj!AQ361*0.086*$J$132)/(1-tech_proj!AQ641))</f>
        <v>0</v>
      </c>
      <c r="AR1981" s="125">
        <f>IF(tech_base!$T237&gt;AR$1745,"",(tech_base!$K237/tech_proj!AR361*0.086*$J$132)/(1-tech_proj!AR641))</f>
        <v>0</v>
      </c>
      <c r="AS1981" s="125">
        <f>IF(tech_base!$T237&gt;AS$1745,"",(tech_base!$K237/tech_proj!AS361*0.086*$J$132)/(1-tech_proj!AS641))</f>
        <v>0</v>
      </c>
      <c r="AT1981" s="125">
        <f>IF(tech_base!$T237&gt;AT$1745,"",(tech_base!$K237/tech_proj!AT361*0.086*$J$132)/(1-tech_proj!AT641))</f>
        <v>0</v>
      </c>
      <c r="AU1981" s="125">
        <f>IF(tech_base!$T237&gt;AU$1745,"",(tech_base!$K237/tech_proj!AU361*0.086*$J$132)/(1-tech_proj!AU641))</f>
        <v>0</v>
      </c>
      <c r="AV1981" s="125">
        <f>IF(tech_base!$T237&gt;AV$1745,"",(tech_base!$K237/tech_proj!AV361*0.086*$J$132)/(1-tech_proj!AV641))</f>
        <v>0</v>
      </c>
      <c r="AW1981" s="125">
        <f>IF(tech_base!$T237&gt;AW$1745,"",(tech_base!$K237/tech_proj!AW361*0.086*$J$132)/(1-tech_proj!AW641))</f>
        <v>0</v>
      </c>
      <c r="AX1981" s="126">
        <f>IF(tech_base!$T237&gt;AX$1745,"",(tech_base!$K237/tech_proj!AX361*0.086*$J$132)/(1-tech_proj!AX641))</f>
        <v>0</v>
      </c>
    </row>
    <row r="1982" spans="1:50" x14ac:dyDescent="0.25">
      <c r="A1982" s="356"/>
      <c r="B1982" s="359" t="s">
        <v>33</v>
      </c>
      <c r="C1982" s="350" t="s">
        <v>6</v>
      </c>
      <c r="D1982" s="2" t="s">
        <v>8</v>
      </c>
      <c r="E1982" s="160" t="str">
        <f>A1979&amp;"/"&amp;B1982&amp;"/"&amp;C1982&amp;"/"&amp;D1982</f>
        <v>Fuel cells/Hydrogen fuel cell power plant/Electricity only/M</v>
      </c>
      <c r="F1982" s="76" t="str">
        <f>A1979</f>
        <v>Fuel cells</v>
      </c>
      <c r="G1982" s="76" t="str">
        <f>B1982</f>
        <v>Hydrogen fuel cell power plant</v>
      </c>
      <c r="H1982" s="76" t="str">
        <f>C1982</f>
        <v>Electricity only</v>
      </c>
      <c r="I1982" s="161" t="str">
        <f t="shared" si="385"/>
        <v>M</v>
      </c>
      <c r="J1982" s="119" t="str">
        <f>IF(tech_base!$T238&gt;J$1745,"",(tech_base!$K238/tech_proj!J362*0.086*$J$132)/(1-tech_proj!J642))</f>
        <v/>
      </c>
      <c r="K1982" s="119" t="str">
        <f>IF(tech_base!$T238&gt;K$1745,"",(tech_base!$K238/tech_proj!K362*0.086*$J$132)/(1-tech_proj!K642))</f>
        <v/>
      </c>
      <c r="L1982" s="119" t="str">
        <f>IF(tech_base!$T238&gt;L$1745,"",(tech_base!$K238/tech_proj!L362*0.086*$J$132)/(1-tech_proj!L642))</f>
        <v/>
      </c>
      <c r="M1982" s="119" t="str">
        <f>IF(tech_base!$T238&gt;M$1745,"",(tech_base!$K238/tech_proj!M362*0.086*$J$132)/(1-tech_proj!M642))</f>
        <v/>
      </c>
      <c r="N1982" s="119" t="str">
        <f>IF(tech_base!$T238&gt;N$1745,"",(tech_base!$K238/tech_proj!N362*0.086*$J$132)/(1-tech_proj!N642))</f>
        <v/>
      </c>
      <c r="O1982" s="119" t="str">
        <f>IF(tech_base!$T238&gt;O$1745,"",(tech_base!$K238/tech_proj!O362*0.086*$J$132)/(1-tech_proj!O642))</f>
        <v/>
      </c>
      <c r="P1982" s="119" t="str">
        <f>IF(tech_base!$T238&gt;P$1745,"",(tech_base!$K238/tech_proj!P362*0.086*$J$132)/(1-tech_proj!P642))</f>
        <v/>
      </c>
      <c r="Q1982" s="119" t="str">
        <f>IF(tech_base!$T238&gt;Q$1745,"",(tech_base!$K238/tech_proj!Q362*0.086*$J$132)/(1-tech_proj!Q642))</f>
        <v/>
      </c>
      <c r="R1982" s="119" t="str">
        <f>IF(tech_base!$T238&gt;R$1745,"",(tech_base!$K238/tech_proj!R362*0.086*$J$132)/(1-tech_proj!R642))</f>
        <v/>
      </c>
      <c r="S1982" s="119" t="str">
        <f>IF(tech_base!$T238&gt;S$1745,"",(tech_base!$K238/tech_proj!S362*0.086*$J$132)/(1-tech_proj!S642))</f>
        <v/>
      </c>
      <c r="T1982" s="119" t="str">
        <f>IF(tech_base!$T238&gt;T$1745,"",(tech_base!$K238/tech_proj!T362*0.086*$J$132)/(1-tech_proj!T642))</f>
        <v/>
      </c>
      <c r="U1982" s="119" t="str">
        <f>IF(tech_base!$T238&gt;U$1745,"",(tech_base!$K238/tech_proj!U362*0.086*$J$132)/(1-tech_proj!U642))</f>
        <v/>
      </c>
      <c r="V1982" s="119" t="str">
        <f>IF(tech_base!$T238&gt;V$1745,"",(tech_base!$K238/tech_proj!V362*0.086*$J$132)/(1-tech_proj!V642))</f>
        <v/>
      </c>
      <c r="W1982" s="119" t="str">
        <f>IF(tech_base!$T238&gt;W$1745,"",(tech_base!$K238/tech_proj!W362*0.086*$J$132)/(1-tech_proj!W642))</f>
        <v/>
      </c>
      <c r="X1982" s="119" t="str">
        <f>IF(tech_base!$T238&gt;X$1745,"",(tech_base!$K238/tech_proj!X362*0.086*$J$132)/(1-tech_proj!X642))</f>
        <v/>
      </c>
      <c r="Y1982" s="119" t="str">
        <f>IF(tech_base!$T238&gt;Y$1745,"",(tech_base!$K238/tech_proj!Y362*0.086*$J$132)/(1-tech_proj!Y642))</f>
        <v/>
      </c>
      <c r="Z1982" s="119" t="str">
        <f>IF(tech_base!$T238&gt;Z$1745,"",(tech_base!$K238/tech_proj!Z362*0.086*$J$132)/(1-tech_proj!Z642))</f>
        <v/>
      </c>
      <c r="AA1982" s="119" t="str">
        <f>IF(tech_base!$T238&gt;AA$1745,"",(tech_base!$K238/tech_proj!AA362*0.086*$J$132)/(1-tech_proj!AA642))</f>
        <v/>
      </c>
      <c r="AB1982" s="119" t="str">
        <f>IF(tech_base!$T238&gt;AB$1745,"",(tech_base!$K238/tech_proj!AB362*0.086*$J$132)/(1-tech_proj!AB642))</f>
        <v/>
      </c>
      <c r="AC1982" s="119" t="str">
        <f>IF(tech_base!$T238&gt;AC$1745,"",(tech_base!$K238/tech_proj!AC362*0.086*$J$132)/(1-tech_proj!AC642))</f>
        <v/>
      </c>
      <c r="AD1982" s="119" t="str">
        <f>IF(tech_base!$T238&gt;AD$1745,"",(tech_base!$K238/tech_proj!AD362*0.086*$J$132)/(1-tech_proj!AD642))</f>
        <v/>
      </c>
      <c r="AE1982" s="119" t="str">
        <f>IF(tech_base!$T238&gt;AE$1745,"",(tech_base!$K238/tech_proj!AE362*0.086*$J$132)/(1-tech_proj!AE642))</f>
        <v/>
      </c>
      <c r="AF1982" s="119" t="str">
        <f>IF(tech_base!$T238&gt;AF$1745,"",(tech_base!$K238/tech_proj!AF362*0.086*$J$132)/(1-tech_proj!AF642))</f>
        <v/>
      </c>
      <c r="AG1982" s="119">
        <f>IF(tech_base!$T238&gt;AG$1745,"",(tech_base!$K238/tech_proj!AG362*0.086*$J$132)/(1-tech_proj!AG642))</f>
        <v>0</v>
      </c>
      <c r="AH1982" s="119">
        <f>IF(tech_base!$T238&gt;AH$1745,"",(tech_base!$K238/tech_proj!AH362*0.086*$J$132)/(1-tech_proj!AH642))</f>
        <v>0</v>
      </c>
      <c r="AI1982" s="119">
        <f>IF(tech_base!$T238&gt;AI$1745,"",(tech_base!$K238/tech_proj!AI362*0.086*$J$132)/(1-tech_proj!AI642))</f>
        <v>0</v>
      </c>
      <c r="AJ1982" s="119">
        <f>IF(tech_base!$T238&gt;AJ$1745,"",(tech_base!$K238/tech_proj!AJ362*0.086*$J$132)/(1-tech_proj!AJ642))</f>
        <v>0</v>
      </c>
      <c r="AK1982" s="119">
        <f>IF(tech_base!$T238&gt;AK$1745,"",(tech_base!$K238/tech_proj!AK362*0.086*$J$132)/(1-tech_proj!AK642))</f>
        <v>0</v>
      </c>
      <c r="AL1982" s="119">
        <f>IF(tech_base!$T238&gt;AL$1745,"",(tech_base!$K238/tech_proj!AL362*0.086*$J$132)/(1-tech_proj!AL642))</f>
        <v>0</v>
      </c>
      <c r="AM1982" s="119">
        <f>IF(tech_base!$T238&gt;AM$1745,"",(tech_base!$K238/tech_proj!AM362*0.086*$J$132)/(1-tech_proj!AM642))</f>
        <v>0</v>
      </c>
      <c r="AN1982" s="119">
        <f>IF(tech_base!$T238&gt;AN$1745,"",(tech_base!$K238/tech_proj!AN362*0.086*$J$132)/(1-tech_proj!AN642))</f>
        <v>0</v>
      </c>
      <c r="AO1982" s="119">
        <f>IF(tech_base!$T238&gt;AO$1745,"",(tech_base!$K238/tech_proj!AO362*0.086*$J$132)/(1-tech_proj!AO642))</f>
        <v>0</v>
      </c>
      <c r="AP1982" s="119">
        <f>IF(tech_base!$T238&gt;AP$1745,"",(tech_base!$K238/tech_proj!AP362*0.086*$J$132)/(1-tech_proj!AP642))</f>
        <v>0</v>
      </c>
      <c r="AQ1982" s="119">
        <f>IF(tech_base!$T238&gt;AQ$1745,"",(tech_base!$K238/tech_proj!AQ362*0.086*$J$132)/(1-tech_proj!AQ642))</f>
        <v>0</v>
      </c>
      <c r="AR1982" s="119">
        <f>IF(tech_base!$T238&gt;AR$1745,"",(tech_base!$K238/tech_proj!AR362*0.086*$J$132)/(1-tech_proj!AR642))</f>
        <v>0</v>
      </c>
      <c r="AS1982" s="119">
        <f>IF(tech_base!$T238&gt;AS$1745,"",(tech_base!$K238/tech_proj!AS362*0.086*$J$132)/(1-tech_proj!AS642))</f>
        <v>0</v>
      </c>
      <c r="AT1982" s="119">
        <f>IF(tech_base!$T238&gt;AT$1745,"",(tech_base!$K238/tech_proj!AT362*0.086*$J$132)/(1-tech_proj!AT642))</f>
        <v>0</v>
      </c>
      <c r="AU1982" s="119">
        <f>IF(tech_base!$T238&gt;AU$1745,"",(tech_base!$K238/tech_proj!AU362*0.086*$J$132)/(1-tech_proj!AU642))</f>
        <v>0</v>
      </c>
      <c r="AV1982" s="119">
        <f>IF(tech_base!$T238&gt;AV$1745,"",(tech_base!$K238/tech_proj!AV362*0.086*$J$132)/(1-tech_proj!AV642))</f>
        <v>0</v>
      </c>
      <c r="AW1982" s="119">
        <f>IF(tech_base!$T238&gt;AW$1745,"",(tech_base!$K238/tech_proj!AW362*0.086*$J$132)/(1-tech_proj!AW642))</f>
        <v>0</v>
      </c>
      <c r="AX1982" s="120">
        <f>IF(tech_base!$T238&gt;AX$1745,"",(tech_base!$K238/tech_proj!AX362*0.086*$J$132)/(1-tech_proj!AX642))</f>
        <v>0</v>
      </c>
    </row>
    <row r="1983" spans="1:50" x14ac:dyDescent="0.25">
      <c r="A1983" s="356"/>
      <c r="B1983" s="376"/>
      <c r="C1983" s="378"/>
      <c r="D1983" s="2" t="s">
        <v>10</v>
      </c>
      <c r="E1983" s="160" t="str">
        <f>A1979&amp;"/"&amp;B1982&amp;"/"&amp;C1982&amp;"/"&amp;D1983</f>
        <v>Fuel cells/Hydrogen fuel cell power plant/Electricity only/S</v>
      </c>
      <c r="F1983" s="76" t="str">
        <f>A1979</f>
        <v>Fuel cells</v>
      </c>
      <c r="G1983" s="76" t="str">
        <f>B1982</f>
        <v>Hydrogen fuel cell power plant</v>
      </c>
      <c r="H1983" s="76" t="str">
        <f>C1982</f>
        <v>Electricity only</v>
      </c>
      <c r="I1983" s="161" t="str">
        <f t="shared" si="385"/>
        <v>S</v>
      </c>
      <c r="J1983" s="119" t="str">
        <f>IF(tech_base!$T239&gt;J$1745,"",(tech_base!$K239/tech_proj!J363*0.086*$J$132)/(1-tech_proj!J643))</f>
        <v/>
      </c>
      <c r="K1983" s="119" t="str">
        <f>IF(tech_base!$T239&gt;K$1745,"",(tech_base!$K239/tech_proj!K363*0.086*$J$132)/(1-tech_proj!K643))</f>
        <v/>
      </c>
      <c r="L1983" s="119" t="str">
        <f>IF(tech_base!$T239&gt;L$1745,"",(tech_base!$K239/tech_proj!L363*0.086*$J$132)/(1-tech_proj!L643))</f>
        <v/>
      </c>
      <c r="M1983" s="119" t="str">
        <f>IF(tech_base!$T239&gt;M$1745,"",(tech_base!$K239/tech_proj!M363*0.086*$J$132)/(1-tech_proj!M643))</f>
        <v/>
      </c>
      <c r="N1983" s="119" t="str">
        <f>IF(tech_base!$T239&gt;N$1745,"",(tech_base!$K239/tech_proj!N363*0.086*$J$132)/(1-tech_proj!N643))</f>
        <v/>
      </c>
      <c r="O1983" s="119" t="str">
        <f>IF(tech_base!$T239&gt;O$1745,"",(tech_base!$K239/tech_proj!O363*0.086*$J$132)/(1-tech_proj!O643))</f>
        <v/>
      </c>
      <c r="P1983" s="119" t="str">
        <f>IF(tech_base!$T239&gt;P$1745,"",(tech_base!$K239/tech_proj!P363*0.086*$J$132)/(1-tech_proj!P643))</f>
        <v/>
      </c>
      <c r="Q1983" s="119" t="str">
        <f>IF(tech_base!$T239&gt;Q$1745,"",(tech_base!$K239/tech_proj!Q363*0.086*$J$132)/(1-tech_proj!Q643))</f>
        <v/>
      </c>
      <c r="R1983" s="119" t="str">
        <f>IF(tech_base!$T239&gt;R$1745,"",(tech_base!$K239/tech_proj!R363*0.086*$J$132)/(1-tech_proj!R643))</f>
        <v/>
      </c>
      <c r="S1983" s="119" t="str">
        <f>IF(tech_base!$T239&gt;S$1745,"",(tech_base!$K239/tech_proj!S363*0.086*$J$132)/(1-tech_proj!S643))</f>
        <v/>
      </c>
      <c r="T1983" s="119" t="str">
        <f>IF(tech_base!$T239&gt;T$1745,"",(tech_base!$K239/tech_proj!T363*0.086*$J$132)/(1-tech_proj!T643))</f>
        <v/>
      </c>
      <c r="U1983" s="119" t="str">
        <f>IF(tech_base!$T239&gt;U$1745,"",(tech_base!$K239/tech_proj!U363*0.086*$J$132)/(1-tech_proj!U643))</f>
        <v/>
      </c>
      <c r="V1983" s="119" t="str">
        <f>IF(tech_base!$T239&gt;V$1745,"",(tech_base!$K239/tech_proj!V363*0.086*$J$132)/(1-tech_proj!V643))</f>
        <v/>
      </c>
      <c r="W1983" s="119" t="str">
        <f>IF(tech_base!$T239&gt;W$1745,"",(tech_base!$K239/tech_proj!W363*0.086*$J$132)/(1-tech_proj!W643))</f>
        <v/>
      </c>
      <c r="X1983" s="119" t="str">
        <f>IF(tech_base!$T239&gt;X$1745,"",(tech_base!$K239/tech_proj!X363*0.086*$J$132)/(1-tech_proj!X643))</f>
        <v/>
      </c>
      <c r="Y1983" s="119" t="str">
        <f>IF(tech_base!$T239&gt;Y$1745,"",(tech_base!$K239/tech_proj!Y363*0.086*$J$132)/(1-tech_proj!Y643))</f>
        <v/>
      </c>
      <c r="Z1983" s="119" t="str">
        <f>IF(tech_base!$T239&gt;Z$1745,"",(tech_base!$K239/tech_proj!Z363*0.086*$J$132)/(1-tech_proj!Z643))</f>
        <v/>
      </c>
      <c r="AA1983" s="119" t="str">
        <f>IF(tech_base!$T239&gt;AA$1745,"",(tech_base!$K239/tech_proj!AA363*0.086*$J$132)/(1-tech_proj!AA643))</f>
        <v/>
      </c>
      <c r="AB1983" s="119" t="str">
        <f>IF(tech_base!$T239&gt;AB$1745,"",(tech_base!$K239/tech_proj!AB363*0.086*$J$132)/(1-tech_proj!AB643))</f>
        <v/>
      </c>
      <c r="AC1983" s="119" t="str">
        <f>IF(tech_base!$T239&gt;AC$1745,"",(tech_base!$K239/tech_proj!AC363*0.086*$J$132)/(1-tech_proj!AC643))</f>
        <v/>
      </c>
      <c r="AD1983" s="119" t="str">
        <f>IF(tech_base!$T239&gt;AD$1745,"",(tech_base!$K239/tech_proj!AD363*0.086*$J$132)/(1-tech_proj!AD643))</f>
        <v/>
      </c>
      <c r="AE1983" s="119">
        <f>IF(tech_base!$T239&gt;AE$1745,"",(tech_base!$K239/tech_proj!AE363*0.086*$J$132)/(1-tech_proj!AE643))</f>
        <v>0</v>
      </c>
      <c r="AF1983" s="119">
        <f>IF(tech_base!$T239&gt;AF$1745,"",(tech_base!$K239/tech_proj!AF363*0.086*$J$132)/(1-tech_proj!AF643))</f>
        <v>0</v>
      </c>
      <c r="AG1983" s="119">
        <f>IF(tech_base!$T239&gt;AG$1745,"",(tech_base!$K239/tech_proj!AG363*0.086*$J$132)/(1-tech_proj!AG643))</f>
        <v>0</v>
      </c>
      <c r="AH1983" s="119">
        <f>IF(tech_base!$T239&gt;AH$1745,"",(tech_base!$K239/tech_proj!AH363*0.086*$J$132)/(1-tech_proj!AH643))</f>
        <v>0</v>
      </c>
      <c r="AI1983" s="119">
        <f>IF(tech_base!$T239&gt;AI$1745,"",(tech_base!$K239/tech_proj!AI363*0.086*$J$132)/(1-tech_proj!AI643))</f>
        <v>0</v>
      </c>
      <c r="AJ1983" s="119">
        <f>IF(tech_base!$T239&gt;AJ$1745,"",(tech_base!$K239/tech_proj!AJ363*0.086*$J$132)/(1-tech_proj!AJ643))</f>
        <v>0</v>
      </c>
      <c r="AK1983" s="119">
        <f>IF(tech_base!$T239&gt;AK$1745,"",(tech_base!$K239/tech_proj!AK363*0.086*$J$132)/(1-tech_proj!AK643))</f>
        <v>0</v>
      </c>
      <c r="AL1983" s="119">
        <f>IF(tech_base!$T239&gt;AL$1745,"",(tech_base!$K239/tech_proj!AL363*0.086*$J$132)/(1-tech_proj!AL643))</f>
        <v>0</v>
      </c>
      <c r="AM1983" s="119">
        <f>IF(tech_base!$T239&gt;AM$1745,"",(tech_base!$K239/tech_proj!AM363*0.086*$J$132)/(1-tech_proj!AM643))</f>
        <v>0</v>
      </c>
      <c r="AN1983" s="119">
        <f>IF(tech_base!$T239&gt;AN$1745,"",(tech_base!$K239/tech_proj!AN363*0.086*$J$132)/(1-tech_proj!AN643))</f>
        <v>0</v>
      </c>
      <c r="AO1983" s="119">
        <f>IF(tech_base!$T239&gt;AO$1745,"",(tech_base!$K239/tech_proj!AO363*0.086*$J$132)/(1-tech_proj!AO643))</f>
        <v>0</v>
      </c>
      <c r="AP1983" s="119">
        <f>IF(tech_base!$T239&gt;AP$1745,"",(tech_base!$K239/tech_proj!AP363*0.086*$J$132)/(1-tech_proj!AP643))</f>
        <v>0</v>
      </c>
      <c r="AQ1983" s="119">
        <f>IF(tech_base!$T239&gt;AQ$1745,"",(tech_base!$K239/tech_proj!AQ363*0.086*$J$132)/(1-tech_proj!AQ643))</f>
        <v>0</v>
      </c>
      <c r="AR1983" s="119">
        <f>IF(tech_base!$T239&gt;AR$1745,"",(tech_base!$K239/tech_proj!AR363*0.086*$J$132)/(1-tech_proj!AR643))</f>
        <v>0</v>
      </c>
      <c r="AS1983" s="119">
        <f>IF(tech_base!$T239&gt;AS$1745,"",(tech_base!$K239/tech_proj!AS363*0.086*$J$132)/(1-tech_proj!AS643))</f>
        <v>0</v>
      </c>
      <c r="AT1983" s="119">
        <f>IF(tech_base!$T239&gt;AT$1745,"",(tech_base!$K239/tech_proj!AT363*0.086*$J$132)/(1-tech_proj!AT643))</f>
        <v>0</v>
      </c>
      <c r="AU1983" s="119">
        <f>IF(tech_base!$T239&gt;AU$1745,"",(tech_base!$K239/tech_proj!AU363*0.086*$J$132)/(1-tech_proj!AU643))</f>
        <v>0</v>
      </c>
      <c r="AV1983" s="119">
        <f>IF(tech_base!$T239&gt;AV$1745,"",(tech_base!$K239/tech_proj!AV363*0.086*$J$132)/(1-tech_proj!AV643))</f>
        <v>0</v>
      </c>
      <c r="AW1983" s="119">
        <f>IF(tech_base!$T239&gt;AW$1745,"",(tech_base!$K239/tech_proj!AW363*0.086*$J$132)/(1-tech_proj!AW643))</f>
        <v>0</v>
      </c>
      <c r="AX1983" s="120">
        <f>IF(tech_base!$T239&gt;AX$1745,"",(tech_base!$K239/tech_proj!AX363*0.086*$J$132)/(1-tech_proj!AX643))</f>
        <v>0</v>
      </c>
    </row>
    <row r="1984" spans="1:50" x14ac:dyDescent="0.25">
      <c r="A1984" s="357"/>
      <c r="B1984" s="380"/>
      <c r="C1984" s="381"/>
      <c r="D1984" s="4" t="s">
        <v>20</v>
      </c>
      <c r="E1984" s="160" t="str">
        <f>A1979&amp;"/"&amp;B1982&amp;"/"&amp;C1982&amp;"/"&amp;D1984</f>
        <v>Fuel cells/Hydrogen fuel cell power plant/Electricity only/XS</v>
      </c>
      <c r="F1984" s="76" t="str">
        <f>A1979</f>
        <v>Fuel cells</v>
      </c>
      <c r="G1984" s="76" t="str">
        <f>B1982</f>
        <v>Hydrogen fuel cell power plant</v>
      </c>
      <c r="H1984" s="76" t="str">
        <f>C1982</f>
        <v>Electricity only</v>
      </c>
      <c r="I1984" s="161" t="str">
        <f t="shared" si="385"/>
        <v>XS</v>
      </c>
      <c r="J1984" s="119" t="str">
        <f>IF(tech_base!$T240&gt;J$1745,"",(tech_base!$K240/tech_proj!J364*0.086*$J$132)/(1-tech_proj!J644))</f>
        <v/>
      </c>
      <c r="K1984" s="119" t="str">
        <f>IF(tech_base!$T240&gt;K$1745,"",(tech_base!$K240/tech_proj!K364*0.086*$J$132)/(1-tech_proj!K644))</f>
        <v/>
      </c>
      <c r="L1984" s="119" t="str">
        <f>IF(tech_base!$T240&gt;L$1745,"",(tech_base!$K240/tech_proj!L364*0.086*$J$132)/(1-tech_proj!L644))</f>
        <v/>
      </c>
      <c r="M1984" s="119" t="str">
        <f>IF(tech_base!$T240&gt;M$1745,"",(tech_base!$K240/tech_proj!M364*0.086*$J$132)/(1-tech_proj!M644))</f>
        <v/>
      </c>
      <c r="N1984" s="119" t="str">
        <f>IF(tech_base!$T240&gt;N$1745,"",(tech_base!$K240/tech_proj!N364*0.086*$J$132)/(1-tech_proj!N644))</f>
        <v/>
      </c>
      <c r="O1984" s="119" t="str">
        <f>IF(tech_base!$T240&gt;O$1745,"",(tech_base!$K240/tech_proj!O364*0.086*$J$132)/(1-tech_proj!O644))</f>
        <v/>
      </c>
      <c r="P1984" s="119" t="str">
        <f>IF(tech_base!$T240&gt;P$1745,"",(tech_base!$K240/tech_proj!P364*0.086*$J$132)/(1-tech_proj!P644))</f>
        <v/>
      </c>
      <c r="Q1984" s="119" t="str">
        <f>IF(tech_base!$T240&gt;Q$1745,"",(tech_base!$K240/tech_proj!Q364*0.086*$J$132)/(1-tech_proj!Q644))</f>
        <v/>
      </c>
      <c r="R1984" s="119" t="str">
        <f>IF(tech_base!$T240&gt;R$1745,"",(tech_base!$K240/tech_proj!R364*0.086*$J$132)/(1-tech_proj!R644))</f>
        <v/>
      </c>
      <c r="S1984" s="119" t="str">
        <f>IF(tech_base!$T240&gt;S$1745,"",(tech_base!$K240/tech_proj!S364*0.086*$J$132)/(1-tech_proj!S644))</f>
        <v/>
      </c>
      <c r="T1984" s="119" t="str">
        <f>IF(tech_base!$T240&gt;T$1745,"",(tech_base!$K240/tech_proj!T364*0.086*$J$132)/(1-tech_proj!T644))</f>
        <v/>
      </c>
      <c r="U1984" s="119" t="str">
        <f>IF(tech_base!$T240&gt;U$1745,"",(tech_base!$K240/tech_proj!U364*0.086*$J$132)/(1-tech_proj!U644))</f>
        <v/>
      </c>
      <c r="V1984" s="119" t="str">
        <f>IF(tech_base!$T240&gt;V$1745,"",(tech_base!$K240/tech_proj!V364*0.086*$J$132)/(1-tech_proj!V644))</f>
        <v/>
      </c>
      <c r="W1984" s="119" t="str">
        <f>IF(tech_base!$T240&gt;W$1745,"",(tech_base!$K240/tech_proj!W364*0.086*$J$132)/(1-tech_proj!W644))</f>
        <v/>
      </c>
      <c r="X1984" s="119" t="str">
        <f>IF(tech_base!$T240&gt;X$1745,"",(tech_base!$K240/tech_proj!X364*0.086*$J$132)/(1-tech_proj!X644))</f>
        <v/>
      </c>
      <c r="Y1984" s="119" t="str">
        <f>IF(tech_base!$T240&gt;Y$1745,"",(tech_base!$K240/tech_proj!Y364*0.086*$J$132)/(1-tech_proj!Y644))</f>
        <v/>
      </c>
      <c r="Z1984" s="119" t="str">
        <f>IF(tech_base!$T240&gt;Z$1745,"",(tech_base!$K240/tech_proj!Z364*0.086*$J$132)/(1-tech_proj!Z644))</f>
        <v/>
      </c>
      <c r="AA1984" s="119" t="str">
        <f>IF(tech_base!$T240&gt;AA$1745,"",(tech_base!$K240/tech_proj!AA364*0.086*$J$132)/(1-tech_proj!AA644))</f>
        <v/>
      </c>
      <c r="AB1984" s="119">
        <f>IF(tech_base!$T240&gt;AB$1745,"",(tech_base!$K240/tech_proj!AB364*0.086*$J$132)/(1-tech_proj!AB644))</f>
        <v>0</v>
      </c>
      <c r="AC1984" s="119">
        <f>IF(tech_base!$T240&gt;AC$1745,"",(tech_base!$K240/tech_proj!AC364*0.086*$J$132)/(1-tech_proj!AC644))</f>
        <v>0</v>
      </c>
      <c r="AD1984" s="119">
        <f>IF(tech_base!$T240&gt;AD$1745,"",(tech_base!$K240/tech_proj!AD364*0.086*$J$132)/(1-tech_proj!AD644))</f>
        <v>0</v>
      </c>
      <c r="AE1984" s="119">
        <f>IF(tech_base!$T240&gt;AE$1745,"",(tech_base!$K240/tech_proj!AE364*0.086*$J$132)/(1-tech_proj!AE644))</f>
        <v>0</v>
      </c>
      <c r="AF1984" s="119">
        <f>IF(tech_base!$T240&gt;AF$1745,"",(tech_base!$K240/tech_proj!AF364*0.086*$J$132)/(1-tech_proj!AF644))</f>
        <v>0</v>
      </c>
      <c r="AG1984" s="119">
        <f>IF(tech_base!$T240&gt;AG$1745,"",(tech_base!$K240/tech_proj!AG364*0.086*$J$132)/(1-tech_proj!AG644))</f>
        <v>0</v>
      </c>
      <c r="AH1984" s="119">
        <f>IF(tech_base!$T240&gt;AH$1745,"",(tech_base!$K240/tech_proj!AH364*0.086*$J$132)/(1-tech_proj!AH644))</f>
        <v>0</v>
      </c>
      <c r="AI1984" s="119">
        <f>IF(tech_base!$T240&gt;AI$1745,"",(tech_base!$K240/tech_proj!AI364*0.086*$J$132)/(1-tech_proj!AI644))</f>
        <v>0</v>
      </c>
      <c r="AJ1984" s="119">
        <f>IF(tech_base!$T240&gt;AJ$1745,"",(tech_base!$K240/tech_proj!AJ364*0.086*$J$132)/(1-tech_proj!AJ644))</f>
        <v>0</v>
      </c>
      <c r="AK1984" s="119">
        <f>IF(tech_base!$T240&gt;AK$1745,"",(tech_base!$K240/tech_proj!AK364*0.086*$J$132)/(1-tech_proj!AK644))</f>
        <v>0</v>
      </c>
      <c r="AL1984" s="119">
        <f>IF(tech_base!$T240&gt;AL$1745,"",(tech_base!$K240/tech_proj!AL364*0.086*$J$132)/(1-tech_proj!AL644))</f>
        <v>0</v>
      </c>
      <c r="AM1984" s="119">
        <f>IF(tech_base!$T240&gt;AM$1745,"",(tech_base!$K240/tech_proj!AM364*0.086*$J$132)/(1-tech_proj!AM644))</f>
        <v>0</v>
      </c>
      <c r="AN1984" s="119">
        <f>IF(tech_base!$T240&gt;AN$1745,"",(tech_base!$K240/tech_proj!AN364*0.086*$J$132)/(1-tech_proj!AN644))</f>
        <v>0</v>
      </c>
      <c r="AO1984" s="119">
        <f>IF(tech_base!$T240&gt;AO$1745,"",(tech_base!$K240/tech_proj!AO364*0.086*$J$132)/(1-tech_proj!AO644))</f>
        <v>0</v>
      </c>
      <c r="AP1984" s="119">
        <f>IF(tech_base!$T240&gt;AP$1745,"",(tech_base!$K240/tech_proj!AP364*0.086*$J$132)/(1-tech_proj!AP644))</f>
        <v>0</v>
      </c>
      <c r="AQ1984" s="119">
        <f>IF(tech_base!$T240&gt;AQ$1745,"",(tech_base!$K240/tech_proj!AQ364*0.086*$J$132)/(1-tech_proj!AQ644))</f>
        <v>0</v>
      </c>
      <c r="AR1984" s="119">
        <f>IF(tech_base!$T240&gt;AR$1745,"",(tech_base!$K240/tech_proj!AR364*0.086*$J$132)/(1-tech_proj!AR644))</f>
        <v>0</v>
      </c>
      <c r="AS1984" s="119">
        <f>IF(tech_base!$T240&gt;AS$1745,"",(tech_base!$K240/tech_proj!AS364*0.086*$J$132)/(1-tech_proj!AS644))</f>
        <v>0</v>
      </c>
      <c r="AT1984" s="119">
        <f>IF(tech_base!$T240&gt;AT$1745,"",(tech_base!$K240/tech_proj!AT364*0.086*$J$132)/(1-tech_proj!AT644))</f>
        <v>0</v>
      </c>
      <c r="AU1984" s="119">
        <f>IF(tech_base!$T240&gt;AU$1745,"",(tech_base!$K240/tech_proj!AU364*0.086*$J$132)/(1-tech_proj!AU644))</f>
        <v>0</v>
      </c>
      <c r="AV1984" s="119">
        <f>IF(tech_base!$T240&gt;AV$1745,"",(tech_base!$K240/tech_proj!AV364*0.086*$J$132)/(1-tech_proj!AV644))</f>
        <v>0</v>
      </c>
      <c r="AW1984" s="119">
        <f>IF(tech_base!$T240&gt;AW$1745,"",(tech_base!$K240/tech_proj!AW364*0.086*$J$132)/(1-tech_proj!AW644))</f>
        <v>0</v>
      </c>
      <c r="AX1984" s="120">
        <f>IF(tech_base!$T240&gt;AX$1745,"",(tech_base!$K240/tech_proj!AX364*0.086*$J$132)/(1-tech_proj!AX644))</f>
        <v>0</v>
      </c>
    </row>
    <row r="1985" spans="1:50" x14ac:dyDescent="0.25">
      <c r="A1985" s="355" t="s">
        <v>34</v>
      </c>
      <c r="B1985" s="358" t="s">
        <v>35</v>
      </c>
      <c r="C1985" s="353" t="s">
        <v>6</v>
      </c>
      <c r="D1985" s="3" t="s">
        <v>7</v>
      </c>
      <c r="E1985" s="162" t="str">
        <f>A1985&amp;"/"&amp;B1985&amp;"/"&amp;C1985&amp;"/"&amp;D1985</f>
        <v>Wind power plants/Onshore/Electricity only/L</v>
      </c>
      <c r="F1985" s="77" t="str">
        <f>A1985</f>
        <v>Wind power plants</v>
      </c>
      <c r="G1985" s="77" t="str">
        <f>B1985</f>
        <v>Onshore</v>
      </c>
      <c r="H1985" s="77" t="str">
        <f>C1985</f>
        <v>Electricity only</v>
      </c>
      <c r="I1985" s="163" t="str">
        <f t="shared" si="385"/>
        <v>L</v>
      </c>
      <c r="J1985" s="121">
        <f>IF(tech_base!$T241&gt;J$1745,"",(tech_base!$K241/tech_proj!J365*0.086*$J$132)/(1-tech_proj!J645))</f>
        <v>0</v>
      </c>
      <c r="K1985" s="121">
        <f>IF(tech_base!$T241&gt;K$1745,"",(tech_base!$K241/tech_proj!K365*0.086*$J$132)/(1-tech_proj!K645))</f>
        <v>0</v>
      </c>
      <c r="L1985" s="121">
        <f>IF(tech_base!$T241&gt;L$1745,"",(tech_base!$K241/tech_proj!L365*0.086*$J$132)/(1-tech_proj!L645))</f>
        <v>0</v>
      </c>
      <c r="M1985" s="121">
        <f>IF(tech_base!$T241&gt;M$1745,"",(tech_base!$K241/tech_proj!M365*0.086*$J$132)/(1-tech_proj!M645))</f>
        <v>0</v>
      </c>
      <c r="N1985" s="121">
        <f>IF(tech_base!$T241&gt;N$1745,"",(tech_base!$K241/tech_proj!N365*0.086*$J$132)/(1-tech_proj!N645))</f>
        <v>0</v>
      </c>
      <c r="O1985" s="121">
        <f>IF(tech_base!$T241&gt;O$1745,"",(tech_base!$K241/tech_proj!O365*0.086*$J$132)/(1-tech_proj!O645))</f>
        <v>0</v>
      </c>
      <c r="P1985" s="121">
        <f>IF(tech_base!$T241&gt;P$1745,"",(tech_base!$K241/tech_proj!P365*0.086*$J$132)/(1-tech_proj!P645))</f>
        <v>0</v>
      </c>
      <c r="Q1985" s="121">
        <f>IF(tech_base!$T241&gt;Q$1745,"",(tech_base!$K241/tech_proj!Q365*0.086*$J$132)/(1-tech_proj!Q645))</f>
        <v>0</v>
      </c>
      <c r="R1985" s="121">
        <f>IF(tech_base!$T241&gt;R$1745,"",(tech_base!$K241/tech_proj!R365*0.086*$J$132)/(1-tech_proj!R645))</f>
        <v>0</v>
      </c>
      <c r="S1985" s="121">
        <f>IF(tech_base!$T241&gt;S$1745,"",(tech_base!$K241/tech_proj!S365*0.086*$J$132)/(1-tech_proj!S645))</f>
        <v>0</v>
      </c>
      <c r="T1985" s="121">
        <f>IF(tech_base!$T241&gt;T$1745,"",(tech_base!$K241/tech_proj!T365*0.086*$J$132)/(1-tech_proj!T645))</f>
        <v>0</v>
      </c>
      <c r="U1985" s="121">
        <f>IF(tech_base!$T241&gt;U$1745,"",(tech_base!$K241/tech_proj!U365*0.086*$J$132)/(1-tech_proj!U645))</f>
        <v>0</v>
      </c>
      <c r="V1985" s="121">
        <f>IF(tech_base!$T241&gt;V$1745,"",(tech_base!$K241/tech_proj!V365*0.086*$J$132)/(1-tech_proj!V645))</f>
        <v>0</v>
      </c>
      <c r="W1985" s="121">
        <f>IF(tech_base!$T241&gt;W$1745,"",(tech_base!$K241/tech_proj!W365*0.086*$J$132)/(1-tech_proj!W645))</f>
        <v>0</v>
      </c>
      <c r="X1985" s="121">
        <f>IF(tech_base!$T241&gt;X$1745,"",(tech_base!$K241/tech_proj!X365*0.086*$J$132)/(1-tech_proj!X645))</f>
        <v>0</v>
      </c>
      <c r="Y1985" s="121">
        <f>IF(tech_base!$T241&gt;Y$1745,"",(tech_base!$K241/tech_proj!Y365*0.086*$J$132)/(1-tech_proj!Y645))</f>
        <v>0</v>
      </c>
      <c r="Z1985" s="121">
        <f>IF(tech_base!$T241&gt;Z$1745,"",(tech_base!$K241/tech_proj!Z365*0.086*$J$132)/(1-tech_proj!Z645))</f>
        <v>0</v>
      </c>
      <c r="AA1985" s="121">
        <f>IF(tech_base!$T241&gt;AA$1745,"",(tech_base!$K241/tech_proj!AA365*0.086*$J$132)/(1-tech_proj!AA645))</f>
        <v>0</v>
      </c>
      <c r="AB1985" s="121">
        <f>IF(tech_base!$T241&gt;AB$1745,"",(tech_base!$K241/tech_proj!AB365*0.086*$J$132)/(1-tech_proj!AB645))</f>
        <v>0</v>
      </c>
      <c r="AC1985" s="121">
        <f>IF(tech_base!$T241&gt;AC$1745,"",(tech_base!$K241/tech_proj!AC365*0.086*$J$132)/(1-tech_proj!AC645))</f>
        <v>0</v>
      </c>
      <c r="AD1985" s="121">
        <f>IF(tech_base!$T241&gt;AD$1745,"",(tech_base!$K241/tech_proj!AD365*0.086*$J$132)/(1-tech_proj!AD645))</f>
        <v>0</v>
      </c>
      <c r="AE1985" s="121">
        <f>IF(tech_base!$T241&gt;AE$1745,"",(tech_base!$K241/tech_proj!AE365*0.086*$J$132)/(1-tech_proj!AE645))</f>
        <v>0</v>
      </c>
      <c r="AF1985" s="121">
        <f>IF(tech_base!$T241&gt;AF$1745,"",(tech_base!$K241/tech_proj!AF365*0.086*$J$132)/(1-tech_proj!AF645))</f>
        <v>0</v>
      </c>
      <c r="AG1985" s="121">
        <f>IF(tech_base!$T241&gt;AG$1745,"",(tech_base!$K241/tech_proj!AG365*0.086*$J$132)/(1-tech_proj!AG645))</f>
        <v>0</v>
      </c>
      <c r="AH1985" s="121">
        <f>IF(tech_base!$T241&gt;AH$1745,"",(tech_base!$K241/tech_proj!AH365*0.086*$J$132)/(1-tech_proj!AH645))</f>
        <v>0</v>
      </c>
      <c r="AI1985" s="121">
        <f>IF(tech_base!$T241&gt;AI$1745,"",(tech_base!$K241/tech_proj!AI365*0.086*$J$132)/(1-tech_proj!AI645))</f>
        <v>0</v>
      </c>
      <c r="AJ1985" s="121">
        <f>IF(tech_base!$T241&gt;AJ$1745,"",(tech_base!$K241/tech_proj!AJ365*0.086*$J$132)/(1-tech_proj!AJ645))</f>
        <v>0</v>
      </c>
      <c r="AK1985" s="121">
        <f>IF(tech_base!$T241&gt;AK$1745,"",(tech_base!$K241/tech_proj!AK365*0.086*$J$132)/(1-tech_proj!AK645))</f>
        <v>0</v>
      </c>
      <c r="AL1985" s="121">
        <f>IF(tech_base!$T241&gt;AL$1745,"",(tech_base!$K241/tech_proj!AL365*0.086*$J$132)/(1-tech_proj!AL645))</f>
        <v>0</v>
      </c>
      <c r="AM1985" s="121">
        <f>IF(tech_base!$T241&gt;AM$1745,"",(tech_base!$K241/tech_proj!AM365*0.086*$J$132)/(1-tech_proj!AM645))</f>
        <v>0</v>
      </c>
      <c r="AN1985" s="121">
        <f>IF(tech_base!$T241&gt;AN$1745,"",(tech_base!$K241/tech_proj!AN365*0.086*$J$132)/(1-tech_proj!AN645))</f>
        <v>0</v>
      </c>
      <c r="AO1985" s="121">
        <f>IF(tech_base!$T241&gt;AO$1745,"",(tech_base!$K241/tech_proj!AO365*0.086*$J$132)/(1-tech_proj!AO645))</f>
        <v>0</v>
      </c>
      <c r="AP1985" s="121">
        <f>IF(tech_base!$T241&gt;AP$1745,"",(tech_base!$K241/tech_proj!AP365*0.086*$J$132)/(1-tech_proj!AP645))</f>
        <v>0</v>
      </c>
      <c r="AQ1985" s="121">
        <f>IF(tech_base!$T241&gt;AQ$1745,"",(tech_base!$K241/tech_proj!AQ365*0.086*$J$132)/(1-tech_proj!AQ645))</f>
        <v>0</v>
      </c>
      <c r="AR1985" s="121">
        <f>IF(tech_base!$T241&gt;AR$1745,"",(tech_base!$K241/tech_proj!AR365*0.086*$J$132)/(1-tech_proj!AR645))</f>
        <v>0</v>
      </c>
      <c r="AS1985" s="121">
        <f>IF(tech_base!$T241&gt;AS$1745,"",(tech_base!$K241/tech_proj!AS365*0.086*$J$132)/(1-tech_proj!AS645))</f>
        <v>0</v>
      </c>
      <c r="AT1985" s="121">
        <f>IF(tech_base!$T241&gt;AT$1745,"",(tech_base!$K241/tech_proj!AT365*0.086*$J$132)/(1-tech_proj!AT645))</f>
        <v>0</v>
      </c>
      <c r="AU1985" s="121">
        <f>IF(tech_base!$T241&gt;AU$1745,"",(tech_base!$K241/tech_proj!AU365*0.086*$J$132)/(1-tech_proj!AU645))</f>
        <v>0</v>
      </c>
      <c r="AV1985" s="121">
        <f>IF(tech_base!$T241&gt;AV$1745,"",(tech_base!$K241/tech_proj!AV365*0.086*$J$132)/(1-tech_proj!AV645))</f>
        <v>0</v>
      </c>
      <c r="AW1985" s="121">
        <f>IF(tech_base!$T241&gt;AW$1745,"",(tech_base!$K241/tech_proj!AW365*0.086*$J$132)/(1-tech_proj!AW645))</f>
        <v>0</v>
      </c>
      <c r="AX1985" s="122">
        <f>IF(tech_base!$T241&gt;AX$1745,"",(tech_base!$K241/tech_proj!AX365*0.086*$J$132)/(1-tech_proj!AX645))</f>
        <v>0</v>
      </c>
    </row>
    <row r="1986" spans="1:50" x14ac:dyDescent="0.25">
      <c r="A1986" s="356"/>
      <c r="B1986" s="376"/>
      <c r="C1986" s="378"/>
      <c r="D1986" s="2" t="s">
        <v>8</v>
      </c>
      <c r="E1986" s="160" t="str">
        <f>A1985&amp;"/"&amp;B1985&amp;"/"&amp;C1985&amp;"/"&amp;D1986</f>
        <v>Wind power plants/Onshore/Electricity only/M</v>
      </c>
      <c r="F1986" s="76" t="str">
        <f>A1985</f>
        <v>Wind power plants</v>
      </c>
      <c r="G1986" s="76" t="str">
        <f>B1985</f>
        <v>Onshore</v>
      </c>
      <c r="H1986" s="76" t="str">
        <f>C1985</f>
        <v>Electricity only</v>
      </c>
      <c r="I1986" s="161" t="str">
        <f t="shared" si="385"/>
        <v>M</v>
      </c>
      <c r="J1986" s="119">
        <f>IF(tech_base!$T242&gt;J$1745,"",(tech_base!$K242/tech_proj!J366*0.086*$J$132)/(1-tech_proj!J646))</f>
        <v>0</v>
      </c>
      <c r="K1986" s="119">
        <f>IF(tech_base!$T242&gt;K$1745,"",(tech_base!$K242/tech_proj!K366*0.086*$J$132)/(1-tech_proj!K646))</f>
        <v>0</v>
      </c>
      <c r="L1986" s="119">
        <f>IF(tech_base!$T242&gt;L$1745,"",(tech_base!$K242/tech_proj!L366*0.086*$J$132)/(1-tech_proj!L646))</f>
        <v>0</v>
      </c>
      <c r="M1986" s="119">
        <f>IF(tech_base!$T242&gt;M$1745,"",(tech_base!$K242/tech_proj!M366*0.086*$J$132)/(1-tech_proj!M646))</f>
        <v>0</v>
      </c>
      <c r="N1986" s="119">
        <f>IF(tech_base!$T242&gt;N$1745,"",(tech_base!$K242/tech_proj!N366*0.086*$J$132)/(1-tech_proj!N646))</f>
        <v>0</v>
      </c>
      <c r="O1986" s="119">
        <f>IF(tech_base!$T242&gt;O$1745,"",(tech_base!$K242/tech_proj!O366*0.086*$J$132)/(1-tech_proj!O646))</f>
        <v>0</v>
      </c>
      <c r="P1986" s="119">
        <f>IF(tech_base!$T242&gt;P$1745,"",(tech_base!$K242/tech_proj!P366*0.086*$J$132)/(1-tech_proj!P646))</f>
        <v>0</v>
      </c>
      <c r="Q1986" s="119">
        <f>IF(tech_base!$T242&gt;Q$1745,"",(tech_base!$K242/tech_proj!Q366*0.086*$J$132)/(1-tech_proj!Q646))</f>
        <v>0</v>
      </c>
      <c r="R1986" s="119">
        <f>IF(tech_base!$T242&gt;R$1745,"",(tech_base!$K242/tech_proj!R366*0.086*$J$132)/(1-tech_proj!R646))</f>
        <v>0</v>
      </c>
      <c r="S1986" s="119">
        <f>IF(tech_base!$T242&gt;S$1745,"",(tech_base!$K242/tech_proj!S366*0.086*$J$132)/(1-tech_proj!S646))</f>
        <v>0</v>
      </c>
      <c r="T1986" s="119">
        <f>IF(tech_base!$T242&gt;T$1745,"",(tech_base!$K242/tech_proj!T366*0.086*$J$132)/(1-tech_proj!T646))</f>
        <v>0</v>
      </c>
      <c r="U1986" s="119">
        <f>IF(tech_base!$T242&gt;U$1745,"",(tech_base!$K242/tech_proj!U366*0.086*$J$132)/(1-tech_proj!U646))</f>
        <v>0</v>
      </c>
      <c r="V1986" s="119">
        <f>IF(tech_base!$T242&gt;V$1745,"",(tech_base!$K242/tech_proj!V366*0.086*$J$132)/(1-tech_proj!V646))</f>
        <v>0</v>
      </c>
      <c r="W1986" s="119">
        <f>IF(tech_base!$T242&gt;W$1745,"",(tech_base!$K242/tech_proj!W366*0.086*$J$132)/(1-tech_proj!W646))</f>
        <v>0</v>
      </c>
      <c r="X1986" s="119">
        <f>IF(tech_base!$T242&gt;X$1745,"",(tech_base!$K242/tech_proj!X366*0.086*$J$132)/(1-tech_proj!X646))</f>
        <v>0</v>
      </c>
      <c r="Y1986" s="119">
        <f>IF(tech_base!$T242&gt;Y$1745,"",(tech_base!$K242/tech_proj!Y366*0.086*$J$132)/(1-tech_proj!Y646))</f>
        <v>0</v>
      </c>
      <c r="Z1986" s="119">
        <f>IF(tech_base!$T242&gt;Z$1745,"",(tech_base!$K242/tech_proj!Z366*0.086*$J$132)/(1-tech_proj!Z646))</f>
        <v>0</v>
      </c>
      <c r="AA1986" s="119">
        <f>IF(tech_base!$T242&gt;AA$1745,"",(tech_base!$K242/tech_proj!AA366*0.086*$J$132)/(1-tech_proj!AA646))</f>
        <v>0</v>
      </c>
      <c r="AB1986" s="119">
        <f>IF(tech_base!$T242&gt;AB$1745,"",(tech_base!$K242/tech_proj!AB366*0.086*$J$132)/(1-tech_proj!AB646))</f>
        <v>0</v>
      </c>
      <c r="AC1986" s="119">
        <f>IF(tech_base!$T242&gt;AC$1745,"",(tech_base!$K242/tech_proj!AC366*0.086*$J$132)/(1-tech_proj!AC646))</f>
        <v>0</v>
      </c>
      <c r="AD1986" s="119">
        <f>IF(tech_base!$T242&gt;AD$1745,"",(tech_base!$K242/tech_proj!AD366*0.086*$J$132)/(1-tech_proj!AD646))</f>
        <v>0</v>
      </c>
      <c r="AE1986" s="119">
        <f>IF(tech_base!$T242&gt;AE$1745,"",(tech_base!$K242/tech_proj!AE366*0.086*$J$132)/(1-tech_proj!AE646))</f>
        <v>0</v>
      </c>
      <c r="AF1986" s="119">
        <f>IF(tech_base!$T242&gt;AF$1745,"",(tech_base!$K242/tech_proj!AF366*0.086*$J$132)/(1-tech_proj!AF646))</f>
        <v>0</v>
      </c>
      <c r="AG1986" s="119">
        <f>IF(tech_base!$T242&gt;AG$1745,"",(tech_base!$K242/tech_proj!AG366*0.086*$J$132)/(1-tech_proj!AG646))</f>
        <v>0</v>
      </c>
      <c r="AH1986" s="119">
        <f>IF(tech_base!$T242&gt;AH$1745,"",(tech_base!$K242/tech_proj!AH366*0.086*$J$132)/(1-tech_proj!AH646))</f>
        <v>0</v>
      </c>
      <c r="AI1986" s="119">
        <f>IF(tech_base!$T242&gt;AI$1745,"",(tech_base!$K242/tech_proj!AI366*0.086*$J$132)/(1-tech_proj!AI646))</f>
        <v>0</v>
      </c>
      <c r="AJ1986" s="119">
        <f>IF(tech_base!$T242&gt;AJ$1745,"",(tech_base!$K242/tech_proj!AJ366*0.086*$J$132)/(1-tech_proj!AJ646))</f>
        <v>0</v>
      </c>
      <c r="AK1986" s="119">
        <f>IF(tech_base!$T242&gt;AK$1745,"",(tech_base!$K242/tech_proj!AK366*0.086*$J$132)/(1-tech_proj!AK646))</f>
        <v>0</v>
      </c>
      <c r="AL1986" s="119">
        <f>IF(tech_base!$T242&gt;AL$1745,"",(tech_base!$K242/tech_proj!AL366*0.086*$J$132)/(1-tech_proj!AL646))</f>
        <v>0</v>
      </c>
      <c r="AM1986" s="119">
        <f>IF(tech_base!$T242&gt;AM$1745,"",(tech_base!$K242/tech_proj!AM366*0.086*$J$132)/(1-tech_proj!AM646))</f>
        <v>0</v>
      </c>
      <c r="AN1986" s="119">
        <f>IF(tech_base!$T242&gt;AN$1745,"",(tech_base!$K242/tech_proj!AN366*0.086*$J$132)/(1-tech_proj!AN646))</f>
        <v>0</v>
      </c>
      <c r="AO1986" s="119">
        <f>IF(tech_base!$T242&gt;AO$1745,"",(tech_base!$K242/tech_proj!AO366*0.086*$J$132)/(1-tech_proj!AO646))</f>
        <v>0</v>
      </c>
      <c r="AP1986" s="119">
        <f>IF(tech_base!$T242&gt;AP$1745,"",(tech_base!$K242/tech_proj!AP366*0.086*$J$132)/(1-tech_proj!AP646))</f>
        <v>0</v>
      </c>
      <c r="AQ1986" s="119">
        <f>IF(tech_base!$T242&gt;AQ$1745,"",(tech_base!$K242/tech_proj!AQ366*0.086*$J$132)/(1-tech_proj!AQ646))</f>
        <v>0</v>
      </c>
      <c r="AR1986" s="119">
        <f>IF(tech_base!$T242&gt;AR$1745,"",(tech_base!$K242/tech_proj!AR366*0.086*$J$132)/(1-tech_proj!AR646))</f>
        <v>0</v>
      </c>
      <c r="AS1986" s="119">
        <f>IF(tech_base!$T242&gt;AS$1745,"",(tech_base!$K242/tech_proj!AS366*0.086*$J$132)/(1-tech_proj!AS646))</f>
        <v>0</v>
      </c>
      <c r="AT1986" s="119">
        <f>IF(tech_base!$T242&gt;AT$1745,"",(tech_base!$K242/tech_proj!AT366*0.086*$J$132)/(1-tech_proj!AT646))</f>
        <v>0</v>
      </c>
      <c r="AU1986" s="119">
        <f>IF(tech_base!$T242&gt;AU$1745,"",(tech_base!$K242/tech_proj!AU366*0.086*$J$132)/(1-tech_proj!AU646))</f>
        <v>0</v>
      </c>
      <c r="AV1986" s="119">
        <f>IF(tech_base!$T242&gt;AV$1745,"",(tech_base!$K242/tech_proj!AV366*0.086*$J$132)/(1-tech_proj!AV646))</f>
        <v>0</v>
      </c>
      <c r="AW1986" s="119">
        <f>IF(tech_base!$T242&gt;AW$1745,"",(tech_base!$K242/tech_proj!AW366*0.086*$J$132)/(1-tech_proj!AW646))</f>
        <v>0</v>
      </c>
      <c r="AX1986" s="120">
        <f>IF(tech_base!$T242&gt;AX$1745,"",(tech_base!$K242/tech_proj!AX366*0.086*$J$132)/(1-tech_proj!AX646))</f>
        <v>0</v>
      </c>
    </row>
    <row r="1987" spans="1:50" x14ac:dyDescent="0.25">
      <c r="A1987" s="356"/>
      <c r="B1987" s="376"/>
      <c r="C1987" s="378"/>
      <c r="D1987" s="2" t="s">
        <v>10</v>
      </c>
      <c r="E1987" s="160" t="str">
        <f>A1985&amp;"/"&amp;B1985&amp;"/"&amp;C1985&amp;"/"&amp;D1987</f>
        <v>Wind power plants/Onshore/Electricity only/S</v>
      </c>
      <c r="F1987" s="76" t="str">
        <f>A1985</f>
        <v>Wind power plants</v>
      </c>
      <c r="G1987" s="76" t="str">
        <f>B1985</f>
        <v>Onshore</v>
      </c>
      <c r="H1987" s="76" t="str">
        <f>C1985</f>
        <v>Electricity only</v>
      </c>
      <c r="I1987" s="161" t="str">
        <f t="shared" si="385"/>
        <v>S</v>
      </c>
      <c r="J1987" s="119">
        <f>IF(tech_base!$T243&gt;J$1745,"",(tech_base!$K243/tech_proj!J367*0.086*$J$132)/(1-tech_proj!J647))</f>
        <v>0</v>
      </c>
      <c r="K1987" s="119">
        <f>IF(tech_base!$T243&gt;K$1745,"",(tech_base!$K243/tech_proj!K367*0.086*$J$132)/(1-tech_proj!K647))</f>
        <v>0</v>
      </c>
      <c r="L1987" s="119">
        <f>IF(tech_base!$T243&gt;L$1745,"",(tech_base!$K243/tech_proj!L367*0.086*$J$132)/(1-tech_proj!L647))</f>
        <v>0</v>
      </c>
      <c r="M1987" s="119">
        <f>IF(tech_base!$T243&gt;M$1745,"",(tech_base!$K243/tech_proj!M367*0.086*$J$132)/(1-tech_proj!M647))</f>
        <v>0</v>
      </c>
      <c r="N1987" s="119">
        <f>IF(tech_base!$T243&gt;N$1745,"",(tech_base!$K243/tech_proj!N367*0.086*$J$132)/(1-tech_proj!N647))</f>
        <v>0</v>
      </c>
      <c r="O1987" s="119">
        <f>IF(tech_base!$T243&gt;O$1745,"",(tech_base!$K243/tech_proj!O367*0.086*$J$132)/(1-tech_proj!O647))</f>
        <v>0</v>
      </c>
      <c r="P1987" s="119">
        <f>IF(tech_base!$T243&gt;P$1745,"",(tech_base!$K243/tech_proj!P367*0.086*$J$132)/(1-tech_proj!P647))</f>
        <v>0</v>
      </c>
      <c r="Q1987" s="119">
        <f>IF(tech_base!$T243&gt;Q$1745,"",(tech_base!$K243/tech_proj!Q367*0.086*$J$132)/(1-tech_proj!Q647))</f>
        <v>0</v>
      </c>
      <c r="R1987" s="119">
        <f>IF(tech_base!$T243&gt;R$1745,"",(tech_base!$K243/tech_proj!R367*0.086*$J$132)/(1-tech_proj!R647))</f>
        <v>0</v>
      </c>
      <c r="S1987" s="119">
        <f>IF(tech_base!$T243&gt;S$1745,"",(tech_base!$K243/tech_proj!S367*0.086*$J$132)/(1-tech_proj!S647))</f>
        <v>0</v>
      </c>
      <c r="T1987" s="119">
        <f>IF(tech_base!$T243&gt;T$1745,"",(tech_base!$K243/tech_proj!T367*0.086*$J$132)/(1-tech_proj!T647))</f>
        <v>0</v>
      </c>
      <c r="U1987" s="119">
        <f>IF(tech_base!$T243&gt;U$1745,"",(tech_base!$K243/tech_proj!U367*0.086*$J$132)/(1-tech_proj!U647))</f>
        <v>0</v>
      </c>
      <c r="V1987" s="119">
        <f>IF(tech_base!$T243&gt;V$1745,"",(tech_base!$K243/tech_proj!V367*0.086*$J$132)/(1-tech_proj!V647))</f>
        <v>0</v>
      </c>
      <c r="W1987" s="119">
        <f>IF(tech_base!$T243&gt;W$1745,"",(tech_base!$K243/tech_proj!W367*0.086*$J$132)/(1-tech_proj!W647))</f>
        <v>0</v>
      </c>
      <c r="X1987" s="119">
        <f>IF(tech_base!$T243&gt;X$1745,"",(tech_base!$K243/tech_proj!X367*0.086*$J$132)/(1-tech_proj!X647))</f>
        <v>0</v>
      </c>
      <c r="Y1987" s="119">
        <f>IF(tech_base!$T243&gt;Y$1745,"",(tech_base!$K243/tech_proj!Y367*0.086*$J$132)/(1-tech_proj!Y647))</f>
        <v>0</v>
      </c>
      <c r="Z1987" s="119">
        <f>IF(tech_base!$T243&gt;Z$1745,"",(tech_base!$K243/tech_proj!Z367*0.086*$J$132)/(1-tech_proj!Z647))</f>
        <v>0</v>
      </c>
      <c r="AA1987" s="119">
        <f>IF(tech_base!$T243&gt;AA$1745,"",(tech_base!$K243/tech_proj!AA367*0.086*$J$132)/(1-tech_proj!AA647))</f>
        <v>0</v>
      </c>
      <c r="AB1987" s="119">
        <f>IF(tech_base!$T243&gt;AB$1745,"",(tech_base!$K243/tech_proj!AB367*0.086*$J$132)/(1-tech_proj!AB647))</f>
        <v>0</v>
      </c>
      <c r="AC1987" s="119">
        <f>IF(tech_base!$T243&gt;AC$1745,"",(tech_base!$K243/tech_proj!AC367*0.086*$J$132)/(1-tech_proj!AC647))</f>
        <v>0</v>
      </c>
      <c r="AD1987" s="119">
        <f>IF(tech_base!$T243&gt;AD$1745,"",(tech_base!$K243/tech_proj!AD367*0.086*$J$132)/(1-tech_proj!AD647))</f>
        <v>0</v>
      </c>
      <c r="AE1987" s="119">
        <f>IF(tech_base!$T243&gt;AE$1745,"",(tech_base!$K243/tech_proj!AE367*0.086*$J$132)/(1-tech_proj!AE647))</f>
        <v>0</v>
      </c>
      <c r="AF1987" s="119">
        <f>IF(tech_base!$T243&gt;AF$1745,"",(tech_base!$K243/tech_proj!AF367*0.086*$J$132)/(1-tech_proj!AF647))</f>
        <v>0</v>
      </c>
      <c r="AG1987" s="119">
        <f>IF(tech_base!$T243&gt;AG$1745,"",(tech_base!$K243/tech_proj!AG367*0.086*$J$132)/(1-tech_proj!AG647))</f>
        <v>0</v>
      </c>
      <c r="AH1987" s="119">
        <f>IF(tech_base!$T243&gt;AH$1745,"",(tech_base!$K243/tech_proj!AH367*0.086*$J$132)/(1-tech_proj!AH647))</f>
        <v>0</v>
      </c>
      <c r="AI1987" s="119">
        <f>IF(tech_base!$T243&gt;AI$1745,"",(tech_base!$K243/tech_proj!AI367*0.086*$J$132)/(1-tech_proj!AI647))</f>
        <v>0</v>
      </c>
      <c r="AJ1987" s="119">
        <f>IF(tech_base!$T243&gt;AJ$1745,"",(tech_base!$K243/tech_proj!AJ367*0.086*$J$132)/(1-tech_proj!AJ647))</f>
        <v>0</v>
      </c>
      <c r="AK1987" s="119">
        <f>IF(tech_base!$T243&gt;AK$1745,"",(tech_base!$K243/tech_proj!AK367*0.086*$J$132)/(1-tech_proj!AK647))</f>
        <v>0</v>
      </c>
      <c r="AL1987" s="119">
        <f>IF(tech_base!$T243&gt;AL$1745,"",(tech_base!$K243/tech_proj!AL367*0.086*$J$132)/(1-tech_proj!AL647))</f>
        <v>0</v>
      </c>
      <c r="AM1987" s="119">
        <f>IF(tech_base!$T243&gt;AM$1745,"",(tech_base!$K243/tech_proj!AM367*0.086*$J$132)/(1-tech_proj!AM647))</f>
        <v>0</v>
      </c>
      <c r="AN1987" s="119">
        <f>IF(tech_base!$T243&gt;AN$1745,"",(tech_base!$K243/tech_proj!AN367*0.086*$J$132)/(1-tech_proj!AN647))</f>
        <v>0</v>
      </c>
      <c r="AO1987" s="119">
        <f>IF(tech_base!$T243&gt;AO$1745,"",(tech_base!$K243/tech_proj!AO367*0.086*$J$132)/(1-tech_proj!AO647))</f>
        <v>0</v>
      </c>
      <c r="AP1987" s="119">
        <f>IF(tech_base!$T243&gt;AP$1745,"",(tech_base!$K243/tech_proj!AP367*0.086*$J$132)/(1-tech_proj!AP647))</f>
        <v>0</v>
      </c>
      <c r="AQ1987" s="119">
        <f>IF(tech_base!$T243&gt;AQ$1745,"",(tech_base!$K243/tech_proj!AQ367*0.086*$J$132)/(1-tech_proj!AQ647))</f>
        <v>0</v>
      </c>
      <c r="AR1987" s="119">
        <f>IF(tech_base!$T243&gt;AR$1745,"",(tech_base!$K243/tech_proj!AR367*0.086*$J$132)/(1-tech_proj!AR647))</f>
        <v>0</v>
      </c>
      <c r="AS1987" s="119">
        <f>IF(tech_base!$T243&gt;AS$1745,"",(tech_base!$K243/tech_proj!AS367*0.086*$J$132)/(1-tech_proj!AS647))</f>
        <v>0</v>
      </c>
      <c r="AT1987" s="119">
        <f>IF(tech_base!$T243&gt;AT$1745,"",(tech_base!$K243/tech_proj!AT367*0.086*$J$132)/(1-tech_proj!AT647))</f>
        <v>0</v>
      </c>
      <c r="AU1987" s="119">
        <f>IF(tech_base!$T243&gt;AU$1745,"",(tech_base!$K243/tech_proj!AU367*0.086*$J$132)/(1-tech_proj!AU647))</f>
        <v>0</v>
      </c>
      <c r="AV1987" s="119">
        <f>IF(tech_base!$T243&gt;AV$1745,"",(tech_base!$K243/tech_proj!AV367*0.086*$J$132)/(1-tech_proj!AV647))</f>
        <v>0</v>
      </c>
      <c r="AW1987" s="119">
        <f>IF(tech_base!$T243&gt;AW$1745,"",(tech_base!$K243/tech_proj!AW367*0.086*$J$132)/(1-tech_proj!AW647))</f>
        <v>0</v>
      </c>
      <c r="AX1987" s="120">
        <f>IF(tech_base!$T243&gt;AX$1745,"",(tech_base!$K243/tech_proj!AX367*0.086*$J$132)/(1-tech_proj!AX647))</f>
        <v>0</v>
      </c>
    </row>
    <row r="1988" spans="1:50" x14ac:dyDescent="0.25">
      <c r="A1988" s="356"/>
      <c r="B1988" s="377"/>
      <c r="C1988" s="379"/>
      <c r="D1988" s="59" t="s">
        <v>20</v>
      </c>
      <c r="E1988" s="166" t="str">
        <f>A1985&amp;"/"&amp;B1985&amp;"/"&amp;C1985&amp;"/"&amp;D1988</f>
        <v>Wind power plants/Onshore/Electricity only/XS</v>
      </c>
      <c r="F1988" s="79" t="str">
        <f>A1985</f>
        <v>Wind power plants</v>
      </c>
      <c r="G1988" s="79" t="str">
        <f>B1985</f>
        <v>Onshore</v>
      </c>
      <c r="H1988" s="79" t="str">
        <f>C1985</f>
        <v>Electricity only</v>
      </c>
      <c r="I1988" s="167" t="str">
        <f t="shared" si="385"/>
        <v>XS</v>
      </c>
      <c r="J1988" s="125">
        <f>IF(tech_base!$T244&gt;J$1745,"",(tech_base!$K244/tech_proj!J368*0.086*$J$132)/(1-tech_proj!J648))</f>
        <v>0</v>
      </c>
      <c r="K1988" s="125">
        <f>IF(tech_base!$T244&gt;K$1745,"",(tech_base!$K244/tech_proj!K368*0.086*$J$132)/(1-tech_proj!K648))</f>
        <v>0</v>
      </c>
      <c r="L1988" s="125">
        <f>IF(tech_base!$T244&gt;L$1745,"",(tech_base!$K244/tech_proj!L368*0.086*$J$132)/(1-tech_proj!L648))</f>
        <v>0</v>
      </c>
      <c r="M1988" s="125">
        <f>IF(tech_base!$T244&gt;M$1745,"",(tech_base!$K244/tech_proj!M368*0.086*$J$132)/(1-tech_proj!M648))</f>
        <v>0</v>
      </c>
      <c r="N1988" s="125">
        <f>IF(tech_base!$T244&gt;N$1745,"",(tech_base!$K244/tech_proj!N368*0.086*$J$132)/(1-tech_proj!N648))</f>
        <v>0</v>
      </c>
      <c r="O1988" s="125">
        <f>IF(tech_base!$T244&gt;O$1745,"",(tech_base!$K244/tech_proj!O368*0.086*$J$132)/(1-tech_proj!O648))</f>
        <v>0</v>
      </c>
      <c r="P1988" s="125">
        <f>IF(tech_base!$T244&gt;P$1745,"",(tech_base!$K244/tech_proj!P368*0.086*$J$132)/(1-tech_proj!P648))</f>
        <v>0</v>
      </c>
      <c r="Q1988" s="125">
        <f>IF(tech_base!$T244&gt;Q$1745,"",(tech_base!$K244/tech_proj!Q368*0.086*$J$132)/(1-tech_proj!Q648))</f>
        <v>0</v>
      </c>
      <c r="R1988" s="125">
        <f>IF(tech_base!$T244&gt;R$1745,"",(tech_base!$K244/tech_proj!R368*0.086*$J$132)/(1-tech_proj!R648))</f>
        <v>0</v>
      </c>
      <c r="S1988" s="125">
        <f>IF(tech_base!$T244&gt;S$1745,"",(tech_base!$K244/tech_proj!S368*0.086*$J$132)/(1-tech_proj!S648))</f>
        <v>0</v>
      </c>
      <c r="T1988" s="125">
        <f>IF(tech_base!$T244&gt;T$1745,"",(tech_base!$K244/tech_proj!T368*0.086*$J$132)/(1-tech_proj!T648))</f>
        <v>0</v>
      </c>
      <c r="U1988" s="125">
        <f>IF(tech_base!$T244&gt;U$1745,"",(tech_base!$K244/tech_proj!U368*0.086*$J$132)/(1-tech_proj!U648))</f>
        <v>0</v>
      </c>
      <c r="V1988" s="125">
        <f>IF(tech_base!$T244&gt;V$1745,"",(tech_base!$K244/tech_proj!V368*0.086*$J$132)/(1-tech_proj!V648))</f>
        <v>0</v>
      </c>
      <c r="W1988" s="125">
        <f>IF(tech_base!$T244&gt;W$1745,"",(tech_base!$K244/tech_proj!W368*0.086*$J$132)/(1-tech_proj!W648))</f>
        <v>0</v>
      </c>
      <c r="X1988" s="125">
        <f>IF(tech_base!$T244&gt;X$1745,"",(tech_base!$K244/tech_proj!X368*0.086*$J$132)/(1-tech_proj!X648))</f>
        <v>0</v>
      </c>
      <c r="Y1988" s="125">
        <f>IF(tech_base!$T244&gt;Y$1745,"",(tech_base!$K244/tech_proj!Y368*0.086*$J$132)/(1-tech_proj!Y648))</f>
        <v>0</v>
      </c>
      <c r="Z1988" s="125">
        <f>IF(tech_base!$T244&gt;Z$1745,"",(tech_base!$K244/tech_proj!Z368*0.086*$J$132)/(1-tech_proj!Z648))</f>
        <v>0</v>
      </c>
      <c r="AA1988" s="125">
        <f>IF(tech_base!$T244&gt;AA$1745,"",(tech_base!$K244/tech_proj!AA368*0.086*$J$132)/(1-tech_proj!AA648))</f>
        <v>0</v>
      </c>
      <c r="AB1988" s="125">
        <f>IF(tech_base!$T244&gt;AB$1745,"",(tech_base!$K244/tech_proj!AB368*0.086*$J$132)/(1-tech_proj!AB648))</f>
        <v>0</v>
      </c>
      <c r="AC1988" s="125">
        <f>IF(tech_base!$T244&gt;AC$1745,"",(tech_base!$K244/tech_proj!AC368*0.086*$J$132)/(1-tech_proj!AC648))</f>
        <v>0</v>
      </c>
      <c r="AD1988" s="125">
        <f>IF(tech_base!$T244&gt;AD$1745,"",(tech_base!$K244/tech_proj!AD368*0.086*$J$132)/(1-tech_proj!AD648))</f>
        <v>0</v>
      </c>
      <c r="AE1988" s="125">
        <f>IF(tech_base!$T244&gt;AE$1745,"",(tech_base!$K244/tech_proj!AE368*0.086*$J$132)/(1-tech_proj!AE648))</f>
        <v>0</v>
      </c>
      <c r="AF1988" s="125">
        <f>IF(tech_base!$T244&gt;AF$1745,"",(tech_base!$K244/tech_proj!AF368*0.086*$J$132)/(1-tech_proj!AF648))</f>
        <v>0</v>
      </c>
      <c r="AG1988" s="125">
        <f>IF(tech_base!$T244&gt;AG$1745,"",(tech_base!$K244/tech_proj!AG368*0.086*$J$132)/(1-tech_proj!AG648))</f>
        <v>0</v>
      </c>
      <c r="AH1988" s="125">
        <f>IF(tech_base!$T244&gt;AH$1745,"",(tech_base!$K244/tech_proj!AH368*0.086*$J$132)/(1-tech_proj!AH648))</f>
        <v>0</v>
      </c>
      <c r="AI1988" s="125">
        <f>IF(tech_base!$T244&gt;AI$1745,"",(tech_base!$K244/tech_proj!AI368*0.086*$J$132)/(1-tech_proj!AI648))</f>
        <v>0</v>
      </c>
      <c r="AJ1988" s="125">
        <f>IF(tech_base!$T244&gt;AJ$1745,"",(tech_base!$K244/tech_proj!AJ368*0.086*$J$132)/(1-tech_proj!AJ648))</f>
        <v>0</v>
      </c>
      <c r="AK1988" s="125">
        <f>IF(tech_base!$T244&gt;AK$1745,"",(tech_base!$K244/tech_proj!AK368*0.086*$J$132)/(1-tech_proj!AK648))</f>
        <v>0</v>
      </c>
      <c r="AL1988" s="125">
        <f>IF(tech_base!$T244&gt;AL$1745,"",(tech_base!$K244/tech_proj!AL368*0.086*$J$132)/(1-tech_proj!AL648))</f>
        <v>0</v>
      </c>
      <c r="AM1988" s="125">
        <f>IF(tech_base!$T244&gt;AM$1745,"",(tech_base!$K244/tech_proj!AM368*0.086*$J$132)/(1-tech_proj!AM648))</f>
        <v>0</v>
      </c>
      <c r="AN1988" s="125">
        <f>IF(tech_base!$T244&gt;AN$1745,"",(tech_base!$K244/tech_proj!AN368*0.086*$J$132)/(1-tech_proj!AN648))</f>
        <v>0</v>
      </c>
      <c r="AO1988" s="125">
        <f>IF(tech_base!$T244&gt;AO$1745,"",(tech_base!$K244/tech_proj!AO368*0.086*$J$132)/(1-tech_proj!AO648))</f>
        <v>0</v>
      </c>
      <c r="AP1988" s="125">
        <f>IF(tech_base!$T244&gt;AP$1745,"",(tech_base!$K244/tech_proj!AP368*0.086*$J$132)/(1-tech_proj!AP648))</f>
        <v>0</v>
      </c>
      <c r="AQ1988" s="125">
        <f>IF(tech_base!$T244&gt;AQ$1745,"",(tech_base!$K244/tech_proj!AQ368*0.086*$J$132)/(1-tech_proj!AQ648))</f>
        <v>0</v>
      </c>
      <c r="AR1988" s="125">
        <f>IF(tech_base!$T244&gt;AR$1745,"",(tech_base!$K244/tech_proj!AR368*0.086*$J$132)/(1-tech_proj!AR648))</f>
        <v>0</v>
      </c>
      <c r="AS1988" s="125">
        <f>IF(tech_base!$T244&gt;AS$1745,"",(tech_base!$K244/tech_proj!AS368*0.086*$J$132)/(1-tech_proj!AS648))</f>
        <v>0</v>
      </c>
      <c r="AT1988" s="125">
        <f>IF(tech_base!$T244&gt;AT$1745,"",(tech_base!$K244/tech_proj!AT368*0.086*$J$132)/(1-tech_proj!AT648))</f>
        <v>0</v>
      </c>
      <c r="AU1988" s="125">
        <f>IF(tech_base!$T244&gt;AU$1745,"",(tech_base!$K244/tech_proj!AU368*0.086*$J$132)/(1-tech_proj!AU648))</f>
        <v>0</v>
      </c>
      <c r="AV1988" s="125">
        <f>IF(tech_base!$T244&gt;AV$1745,"",(tech_base!$K244/tech_proj!AV368*0.086*$J$132)/(1-tech_proj!AV648))</f>
        <v>0</v>
      </c>
      <c r="AW1988" s="125">
        <f>IF(tech_base!$T244&gt;AW$1745,"",(tech_base!$K244/tech_proj!AW368*0.086*$J$132)/(1-tech_proj!AW648))</f>
        <v>0</v>
      </c>
      <c r="AX1988" s="126">
        <f>IF(tech_base!$T244&gt;AX$1745,"",(tech_base!$K244/tech_proj!AX368*0.086*$J$132)/(1-tech_proj!AX648))</f>
        <v>0</v>
      </c>
    </row>
    <row r="1989" spans="1:50" x14ac:dyDescent="0.25">
      <c r="A1989" s="356"/>
      <c r="B1989" s="359" t="s">
        <v>36</v>
      </c>
      <c r="C1989" s="361" t="s">
        <v>6</v>
      </c>
      <c r="D1989" s="2" t="s">
        <v>7</v>
      </c>
      <c r="E1989" s="160" t="str">
        <f>A1985&amp;"/"&amp;B1989&amp;"/"&amp;C1989&amp;"/"&amp;D1989</f>
        <v>Wind power plants/Offshore/Electricity only/L</v>
      </c>
      <c r="F1989" s="76" t="str">
        <f>A1985</f>
        <v>Wind power plants</v>
      </c>
      <c r="G1989" s="76" t="str">
        <f>B1989</f>
        <v>Offshore</v>
      </c>
      <c r="H1989" s="76" t="str">
        <f>C1989</f>
        <v>Electricity only</v>
      </c>
      <c r="I1989" s="161" t="str">
        <f t="shared" si="385"/>
        <v>L</v>
      </c>
      <c r="J1989" s="119">
        <f>IF(tech_base!$T245&gt;J$1745,"",(tech_base!$K245/tech_proj!J369*0.086*$J$132)/(1-tech_proj!J649))</f>
        <v>0</v>
      </c>
      <c r="K1989" s="119">
        <f>IF(tech_base!$T245&gt;K$1745,"",(tech_base!$K245/tech_proj!K369*0.086*$J$132)/(1-tech_proj!K649))</f>
        <v>0</v>
      </c>
      <c r="L1989" s="119">
        <f>IF(tech_base!$T245&gt;L$1745,"",(tech_base!$K245/tech_proj!L369*0.086*$J$132)/(1-tech_proj!L649))</f>
        <v>0</v>
      </c>
      <c r="M1989" s="119">
        <f>IF(tech_base!$T245&gt;M$1745,"",(tech_base!$K245/tech_proj!M369*0.086*$J$132)/(1-tech_proj!M649))</f>
        <v>0</v>
      </c>
      <c r="N1989" s="119">
        <f>IF(tech_base!$T245&gt;N$1745,"",(tech_base!$K245/tech_proj!N369*0.086*$J$132)/(1-tech_proj!N649))</f>
        <v>0</v>
      </c>
      <c r="O1989" s="119">
        <f>IF(tech_base!$T245&gt;O$1745,"",(tech_base!$K245/tech_proj!O369*0.086*$J$132)/(1-tech_proj!O649))</f>
        <v>0</v>
      </c>
      <c r="P1989" s="119">
        <f>IF(tech_base!$T245&gt;P$1745,"",(tech_base!$K245/tech_proj!P369*0.086*$J$132)/(1-tech_proj!P649))</f>
        <v>0</v>
      </c>
      <c r="Q1989" s="119">
        <f>IF(tech_base!$T245&gt;Q$1745,"",(tech_base!$K245/tech_proj!Q369*0.086*$J$132)/(1-tech_proj!Q649))</f>
        <v>0</v>
      </c>
      <c r="R1989" s="119">
        <f>IF(tech_base!$T245&gt;R$1745,"",(tech_base!$K245/tech_proj!R369*0.086*$J$132)/(1-tech_proj!R649))</f>
        <v>0</v>
      </c>
      <c r="S1989" s="119">
        <f>IF(tech_base!$T245&gt;S$1745,"",(tech_base!$K245/tech_proj!S369*0.086*$J$132)/(1-tech_proj!S649))</f>
        <v>0</v>
      </c>
      <c r="T1989" s="119">
        <f>IF(tech_base!$T245&gt;T$1745,"",(tech_base!$K245/tech_proj!T369*0.086*$J$132)/(1-tech_proj!T649))</f>
        <v>0</v>
      </c>
      <c r="U1989" s="119">
        <f>IF(tech_base!$T245&gt;U$1745,"",(tech_base!$K245/tech_proj!U369*0.086*$J$132)/(1-tech_proj!U649))</f>
        <v>0</v>
      </c>
      <c r="V1989" s="119">
        <f>IF(tech_base!$T245&gt;V$1745,"",(tech_base!$K245/tech_proj!V369*0.086*$J$132)/(1-tech_proj!V649))</f>
        <v>0</v>
      </c>
      <c r="W1989" s="119">
        <f>IF(tech_base!$T245&gt;W$1745,"",(tech_base!$K245/tech_proj!W369*0.086*$J$132)/(1-tech_proj!W649))</f>
        <v>0</v>
      </c>
      <c r="X1989" s="119">
        <f>IF(tech_base!$T245&gt;X$1745,"",(tech_base!$K245/tech_proj!X369*0.086*$J$132)/(1-tech_proj!X649))</f>
        <v>0</v>
      </c>
      <c r="Y1989" s="119">
        <f>IF(tech_base!$T245&gt;Y$1745,"",(tech_base!$K245/tech_proj!Y369*0.086*$J$132)/(1-tech_proj!Y649))</f>
        <v>0</v>
      </c>
      <c r="Z1989" s="119">
        <f>IF(tech_base!$T245&gt;Z$1745,"",(tech_base!$K245/tech_proj!Z369*0.086*$J$132)/(1-tech_proj!Z649))</f>
        <v>0</v>
      </c>
      <c r="AA1989" s="119">
        <f>IF(tech_base!$T245&gt;AA$1745,"",(tech_base!$K245/tech_proj!AA369*0.086*$J$132)/(1-tech_proj!AA649))</f>
        <v>0</v>
      </c>
      <c r="AB1989" s="119">
        <f>IF(tech_base!$T245&gt;AB$1745,"",(tech_base!$K245/tech_proj!AB369*0.086*$J$132)/(1-tech_proj!AB649))</f>
        <v>0</v>
      </c>
      <c r="AC1989" s="119">
        <f>IF(tech_base!$T245&gt;AC$1745,"",(tech_base!$K245/tech_proj!AC369*0.086*$J$132)/(1-tech_proj!AC649))</f>
        <v>0</v>
      </c>
      <c r="AD1989" s="119">
        <f>IF(tech_base!$T245&gt;AD$1745,"",(tech_base!$K245/tech_proj!AD369*0.086*$J$132)/(1-tech_proj!AD649))</f>
        <v>0</v>
      </c>
      <c r="AE1989" s="119">
        <f>IF(tech_base!$T245&gt;AE$1745,"",(tech_base!$K245/tech_proj!AE369*0.086*$J$132)/(1-tech_proj!AE649))</f>
        <v>0</v>
      </c>
      <c r="AF1989" s="119">
        <f>IF(tech_base!$T245&gt;AF$1745,"",(tech_base!$K245/tech_proj!AF369*0.086*$J$132)/(1-tech_proj!AF649))</f>
        <v>0</v>
      </c>
      <c r="AG1989" s="119">
        <f>IF(tech_base!$T245&gt;AG$1745,"",(tech_base!$K245/tech_proj!AG369*0.086*$J$132)/(1-tech_proj!AG649))</f>
        <v>0</v>
      </c>
      <c r="AH1989" s="119">
        <f>IF(tech_base!$T245&gt;AH$1745,"",(tech_base!$K245/tech_proj!AH369*0.086*$J$132)/(1-tech_proj!AH649))</f>
        <v>0</v>
      </c>
      <c r="AI1989" s="119">
        <f>IF(tech_base!$T245&gt;AI$1745,"",(tech_base!$K245/tech_proj!AI369*0.086*$J$132)/(1-tech_proj!AI649))</f>
        <v>0</v>
      </c>
      <c r="AJ1989" s="119">
        <f>IF(tech_base!$T245&gt;AJ$1745,"",(tech_base!$K245/tech_proj!AJ369*0.086*$J$132)/(1-tech_proj!AJ649))</f>
        <v>0</v>
      </c>
      <c r="AK1989" s="119">
        <f>IF(tech_base!$T245&gt;AK$1745,"",(tech_base!$K245/tech_proj!AK369*0.086*$J$132)/(1-tech_proj!AK649))</f>
        <v>0</v>
      </c>
      <c r="AL1989" s="119">
        <f>IF(tech_base!$T245&gt;AL$1745,"",(tech_base!$K245/tech_proj!AL369*0.086*$J$132)/(1-tech_proj!AL649))</f>
        <v>0</v>
      </c>
      <c r="AM1989" s="119">
        <f>IF(tech_base!$T245&gt;AM$1745,"",(tech_base!$K245/tech_proj!AM369*0.086*$J$132)/(1-tech_proj!AM649))</f>
        <v>0</v>
      </c>
      <c r="AN1989" s="119">
        <f>IF(tech_base!$T245&gt;AN$1745,"",(tech_base!$K245/tech_proj!AN369*0.086*$J$132)/(1-tech_proj!AN649))</f>
        <v>0</v>
      </c>
      <c r="AO1989" s="119">
        <f>IF(tech_base!$T245&gt;AO$1745,"",(tech_base!$K245/tech_proj!AO369*0.086*$J$132)/(1-tech_proj!AO649))</f>
        <v>0</v>
      </c>
      <c r="AP1989" s="119">
        <f>IF(tech_base!$T245&gt;AP$1745,"",(tech_base!$K245/tech_proj!AP369*0.086*$J$132)/(1-tech_proj!AP649))</f>
        <v>0</v>
      </c>
      <c r="AQ1989" s="119">
        <f>IF(tech_base!$T245&gt;AQ$1745,"",(tech_base!$K245/tech_proj!AQ369*0.086*$J$132)/(1-tech_proj!AQ649))</f>
        <v>0</v>
      </c>
      <c r="AR1989" s="119">
        <f>IF(tech_base!$T245&gt;AR$1745,"",(tech_base!$K245/tech_proj!AR369*0.086*$J$132)/(1-tech_proj!AR649))</f>
        <v>0</v>
      </c>
      <c r="AS1989" s="119">
        <f>IF(tech_base!$T245&gt;AS$1745,"",(tech_base!$K245/tech_proj!AS369*0.086*$J$132)/(1-tech_proj!AS649))</f>
        <v>0</v>
      </c>
      <c r="AT1989" s="119">
        <f>IF(tech_base!$T245&gt;AT$1745,"",(tech_base!$K245/tech_proj!AT369*0.086*$J$132)/(1-tech_proj!AT649))</f>
        <v>0</v>
      </c>
      <c r="AU1989" s="119">
        <f>IF(tech_base!$T245&gt;AU$1745,"",(tech_base!$K245/tech_proj!AU369*0.086*$J$132)/(1-tech_proj!AU649))</f>
        <v>0</v>
      </c>
      <c r="AV1989" s="119">
        <f>IF(tech_base!$T245&gt;AV$1745,"",(tech_base!$K245/tech_proj!AV369*0.086*$J$132)/(1-tech_proj!AV649))</f>
        <v>0</v>
      </c>
      <c r="AW1989" s="119">
        <f>IF(tech_base!$T245&gt;AW$1745,"",(tech_base!$K245/tech_proj!AW369*0.086*$J$132)/(1-tech_proj!AW649))</f>
        <v>0</v>
      </c>
      <c r="AX1989" s="120">
        <f>IF(tech_base!$T245&gt;AX$1745,"",(tech_base!$K245/tech_proj!AX369*0.086*$J$132)/(1-tech_proj!AX649))</f>
        <v>0</v>
      </c>
    </row>
    <row r="1990" spans="1:50" x14ac:dyDescent="0.25">
      <c r="A1990" s="356"/>
      <c r="B1990" s="376"/>
      <c r="C1990" s="378"/>
      <c r="D1990" s="2" t="s">
        <v>8</v>
      </c>
      <c r="E1990" s="160" t="str">
        <f>A1985&amp;"/"&amp;B1989&amp;"/"&amp;C1989&amp;"/"&amp;D1990</f>
        <v>Wind power plants/Offshore/Electricity only/M</v>
      </c>
      <c r="F1990" s="76" t="str">
        <f>A1985</f>
        <v>Wind power plants</v>
      </c>
      <c r="G1990" s="76" t="str">
        <f>B1989</f>
        <v>Offshore</v>
      </c>
      <c r="H1990" s="76" t="str">
        <f>C1989</f>
        <v>Electricity only</v>
      </c>
      <c r="I1990" s="161" t="str">
        <f t="shared" si="385"/>
        <v>M</v>
      </c>
      <c r="J1990" s="119">
        <f>IF(tech_base!$T246&gt;J$1745,"",(tech_base!$K246/tech_proj!J370*0.086*$J$132)/(1-tech_proj!J650))</f>
        <v>0</v>
      </c>
      <c r="K1990" s="119">
        <f>IF(tech_base!$T246&gt;K$1745,"",(tech_base!$K246/tech_proj!K370*0.086*$J$132)/(1-tech_proj!K650))</f>
        <v>0</v>
      </c>
      <c r="L1990" s="119">
        <f>IF(tech_base!$T246&gt;L$1745,"",(tech_base!$K246/tech_proj!L370*0.086*$J$132)/(1-tech_proj!L650))</f>
        <v>0</v>
      </c>
      <c r="M1990" s="119">
        <f>IF(tech_base!$T246&gt;M$1745,"",(tech_base!$K246/tech_proj!M370*0.086*$J$132)/(1-tech_proj!M650))</f>
        <v>0</v>
      </c>
      <c r="N1990" s="119">
        <f>IF(tech_base!$T246&gt;N$1745,"",(tech_base!$K246/tech_proj!N370*0.086*$J$132)/(1-tech_proj!N650))</f>
        <v>0</v>
      </c>
      <c r="O1990" s="119">
        <f>IF(tech_base!$T246&gt;O$1745,"",(tech_base!$K246/tech_proj!O370*0.086*$J$132)/(1-tech_proj!O650))</f>
        <v>0</v>
      </c>
      <c r="P1990" s="119">
        <f>IF(tech_base!$T246&gt;P$1745,"",(tech_base!$K246/tech_proj!P370*0.086*$J$132)/(1-tech_proj!P650))</f>
        <v>0</v>
      </c>
      <c r="Q1990" s="119">
        <f>IF(tech_base!$T246&gt;Q$1745,"",(tech_base!$K246/tech_proj!Q370*0.086*$J$132)/(1-tech_proj!Q650))</f>
        <v>0</v>
      </c>
      <c r="R1990" s="119">
        <f>IF(tech_base!$T246&gt;R$1745,"",(tech_base!$K246/tech_proj!R370*0.086*$J$132)/(1-tech_proj!R650))</f>
        <v>0</v>
      </c>
      <c r="S1990" s="119">
        <f>IF(tech_base!$T246&gt;S$1745,"",(tech_base!$K246/tech_proj!S370*0.086*$J$132)/(1-tech_proj!S650))</f>
        <v>0</v>
      </c>
      <c r="T1990" s="119">
        <f>IF(tech_base!$T246&gt;T$1745,"",(tech_base!$K246/tech_proj!T370*0.086*$J$132)/(1-tech_proj!T650))</f>
        <v>0</v>
      </c>
      <c r="U1990" s="119">
        <f>IF(tech_base!$T246&gt;U$1745,"",(tech_base!$K246/tech_proj!U370*0.086*$J$132)/(1-tech_proj!U650))</f>
        <v>0</v>
      </c>
      <c r="V1990" s="119">
        <f>IF(tech_base!$T246&gt;V$1745,"",(tech_base!$K246/tech_proj!V370*0.086*$J$132)/(1-tech_proj!V650))</f>
        <v>0</v>
      </c>
      <c r="W1990" s="119">
        <f>IF(tech_base!$T246&gt;W$1745,"",(tech_base!$K246/tech_proj!W370*0.086*$J$132)/(1-tech_proj!W650))</f>
        <v>0</v>
      </c>
      <c r="X1990" s="119">
        <f>IF(tech_base!$T246&gt;X$1745,"",(tech_base!$K246/tech_proj!X370*0.086*$J$132)/(1-tech_proj!X650))</f>
        <v>0</v>
      </c>
      <c r="Y1990" s="119">
        <f>IF(tech_base!$T246&gt;Y$1745,"",(tech_base!$K246/tech_proj!Y370*0.086*$J$132)/(1-tech_proj!Y650))</f>
        <v>0</v>
      </c>
      <c r="Z1990" s="119">
        <f>IF(tech_base!$T246&gt;Z$1745,"",(tech_base!$K246/tech_proj!Z370*0.086*$J$132)/(1-tech_proj!Z650))</f>
        <v>0</v>
      </c>
      <c r="AA1990" s="119">
        <f>IF(tech_base!$T246&gt;AA$1745,"",(tech_base!$K246/tech_proj!AA370*0.086*$J$132)/(1-tech_proj!AA650))</f>
        <v>0</v>
      </c>
      <c r="AB1990" s="119">
        <f>IF(tech_base!$T246&gt;AB$1745,"",(tech_base!$K246/tech_proj!AB370*0.086*$J$132)/(1-tech_proj!AB650))</f>
        <v>0</v>
      </c>
      <c r="AC1990" s="119">
        <f>IF(tech_base!$T246&gt;AC$1745,"",(tech_base!$K246/tech_proj!AC370*0.086*$J$132)/(1-tech_proj!AC650))</f>
        <v>0</v>
      </c>
      <c r="AD1990" s="119">
        <f>IF(tech_base!$T246&gt;AD$1745,"",(tech_base!$K246/tech_proj!AD370*0.086*$J$132)/(1-tech_proj!AD650))</f>
        <v>0</v>
      </c>
      <c r="AE1990" s="119">
        <f>IF(tech_base!$T246&gt;AE$1745,"",(tech_base!$K246/tech_proj!AE370*0.086*$J$132)/(1-tech_proj!AE650))</f>
        <v>0</v>
      </c>
      <c r="AF1990" s="119">
        <f>IF(tech_base!$T246&gt;AF$1745,"",(tech_base!$K246/tech_proj!AF370*0.086*$J$132)/(1-tech_proj!AF650))</f>
        <v>0</v>
      </c>
      <c r="AG1990" s="119">
        <f>IF(tech_base!$T246&gt;AG$1745,"",(tech_base!$K246/tech_proj!AG370*0.086*$J$132)/(1-tech_proj!AG650))</f>
        <v>0</v>
      </c>
      <c r="AH1990" s="119">
        <f>IF(tech_base!$T246&gt;AH$1745,"",(tech_base!$K246/tech_proj!AH370*0.086*$J$132)/(1-tech_proj!AH650))</f>
        <v>0</v>
      </c>
      <c r="AI1990" s="119">
        <f>IF(tech_base!$T246&gt;AI$1745,"",(tech_base!$K246/tech_proj!AI370*0.086*$J$132)/(1-tech_proj!AI650))</f>
        <v>0</v>
      </c>
      <c r="AJ1990" s="119">
        <f>IF(tech_base!$T246&gt;AJ$1745,"",(tech_base!$K246/tech_proj!AJ370*0.086*$J$132)/(1-tech_proj!AJ650))</f>
        <v>0</v>
      </c>
      <c r="AK1990" s="119">
        <f>IF(tech_base!$T246&gt;AK$1745,"",(tech_base!$K246/tech_proj!AK370*0.086*$J$132)/(1-tech_proj!AK650))</f>
        <v>0</v>
      </c>
      <c r="AL1990" s="119">
        <f>IF(tech_base!$T246&gt;AL$1745,"",(tech_base!$K246/tech_proj!AL370*0.086*$J$132)/(1-tech_proj!AL650))</f>
        <v>0</v>
      </c>
      <c r="AM1990" s="119">
        <f>IF(tech_base!$T246&gt;AM$1745,"",(tech_base!$K246/tech_proj!AM370*0.086*$J$132)/(1-tech_proj!AM650))</f>
        <v>0</v>
      </c>
      <c r="AN1990" s="119">
        <f>IF(tech_base!$T246&gt;AN$1745,"",(tech_base!$K246/tech_proj!AN370*0.086*$J$132)/(1-tech_proj!AN650))</f>
        <v>0</v>
      </c>
      <c r="AO1990" s="119">
        <f>IF(tech_base!$T246&gt;AO$1745,"",(tech_base!$K246/tech_proj!AO370*0.086*$J$132)/(1-tech_proj!AO650))</f>
        <v>0</v>
      </c>
      <c r="AP1990" s="119">
        <f>IF(tech_base!$T246&gt;AP$1745,"",(tech_base!$K246/tech_proj!AP370*0.086*$J$132)/(1-tech_proj!AP650))</f>
        <v>0</v>
      </c>
      <c r="AQ1990" s="119">
        <f>IF(tech_base!$T246&gt;AQ$1745,"",(tech_base!$K246/tech_proj!AQ370*0.086*$J$132)/(1-tech_proj!AQ650))</f>
        <v>0</v>
      </c>
      <c r="AR1990" s="119">
        <f>IF(tech_base!$T246&gt;AR$1745,"",(tech_base!$K246/tech_proj!AR370*0.086*$J$132)/(1-tech_proj!AR650))</f>
        <v>0</v>
      </c>
      <c r="AS1990" s="119">
        <f>IF(tech_base!$T246&gt;AS$1745,"",(tech_base!$K246/tech_proj!AS370*0.086*$J$132)/(1-tech_proj!AS650))</f>
        <v>0</v>
      </c>
      <c r="AT1990" s="119">
        <f>IF(tech_base!$T246&gt;AT$1745,"",(tech_base!$K246/tech_proj!AT370*0.086*$J$132)/(1-tech_proj!AT650))</f>
        <v>0</v>
      </c>
      <c r="AU1990" s="119">
        <f>IF(tech_base!$T246&gt;AU$1745,"",(tech_base!$K246/tech_proj!AU370*0.086*$J$132)/(1-tech_proj!AU650))</f>
        <v>0</v>
      </c>
      <c r="AV1990" s="119">
        <f>IF(tech_base!$T246&gt;AV$1745,"",(tech_base!$K246/tech_proj!AV370*0.086*$J$132)/(1-tech_proj!AV650))</f>
        <v>0</v>
      </c>
      <c r="AW1990" s="119">
        <f>IF(tech_base!$T246&gt;AW$1745,"",(tech_base!$K246/tech_proj!AW370*0.086*$J$132)/(1-tech_proj!AW650))</f>
        <v>0</v>
      </c>
      <c r="AX1990" s="120">
        <f>IF(tech_base!$T246&gt;AX$1745,"",(tech_base!$K246/tech_proj!AX370*0.086*$J$132)/(1-tech_proj!AX650))</f>
        <v>0</v>
      </c>
    </row>
    <row r="1991" spans="1:50" x14ac:dyDescent="0.25">
      <c r="A1991" s="356"/>
      <c r="B1991" s="376"/>
      <c r="C1991" s="378"/>
      <c r="D1991" s="2" t="s">
        <v>10</v>
      </c>
      <c r="E1991" s="160" t="str">
        <f>A1985&amp;"/"&amp;B1989&amp;"/"&amp;C1989&amp;"/"&amp;D1991</f>
        <v>Wind power plants/Offshore/Electricity only/S</v>
      </c>
      <c r="F1991" s="76" t="str">
        <f>A1985</f>
        <v>Wind power plants</v>
      </c>
      <c r="G1991" s="76" t="str">
        <f>B1989</f>
        <v>Offshore</v>
      </c>
      <c r="H1991" s="76" t="str">
        <f>C1989</f>
        <v>Electricity only</v>
      </c>
      <c r="I1991" s="161" t="str">
        <f t="shared" si="385"/>
        <v>S</v>
      </c>
      <c r="J1991" s="119">
        <f>IF(tech_base!$T247&gt;J$1745,"",(tech_base!$K247/tech_proj!J371*0.086*$J$132)/(1-tech_proj!J651))</f>
        <v>0</v>
      </c>
      <c r="K1991" s="119">
        <f>IF(tech_base!$T247&gt;K$1745,"",(tech_base!$K247/tech_proj!K371*0.086*$J$132)/(1-tech_proj!K651))</f>
        <v>0</v>
      </c>
      <c r="L1991" s="119">
        <f>IF(tech_base!$T247&gt;L$1745,"",(tech_base!$K247/tech_proj!L371*0.086*$J$132)/(1-tech_proj!L651))</f>
        <v>0</v>
      </c>
      <c r="M1991" s="119">
        <f>IF(tech_base!$T247&gt;M$1745,"",(tech_base!$K247/tech_proj!M371*0.086*$J$132)/(1-tech_proj!M651))</f>
        <v>0</v>
      </c>
      <c r="N1991" s="119">
        <f>IF(tech_base!$T247&gt;N$1745,"",(tech_base!$K247/tech_proj!N371*0.086*$J$132)/(1-tech_proj!N651))</f>
        <v>0</v>
      </c>
      <c r="O1991" s="119">
        <f>IF(tech_base!$T247&gt;O$1745,"",(tech_base!$K247/tech_proj!O371*0.086*$J$132)/(1-tech_proj!O651))</f>
        <v>0</v>
      </c>
      <c r="P1991" s="119">
        <f>IF(tech_base!$T247&gt;P$1745,"",(tech_base!$K247/tech_proj!P371*0.086*$J$132)/(1-tech_proj!P651))</f>
        <v>0</v>
      </c>
      <c r="Q1991" s="119">
        <f>IF(tech_base!$T247&gt;Q$1745,"",(tech_base!$K247/tech_proj!Q371*0.086*$J$132)/(1-tech_proj!Q651))</f>
        <v>0</v>
      </c>
      <c r="R1991" s="119">
        <f>IF(tech_base!$T247&gt;R$1745,"",(tech_base!$K247/tech_proj!R371*0.086*$J$132)/(1-tech_proj!R651))</f>
        <v>0</v>
      </c>
      <c r="S1991" s="119">
        <f>IF(tech_base!$T247&gt;S$1745,"",(tech_base!$K247/tech_proj!S371*0.086*$J$132)/(1-tech_proj!S651))</f>
        <v>0</v>
      </c>
      <c r="T1991" s="119">
        <f>IF(tech_base!$T247&gt;T$1745,"",(tech_base!$K247/tech_proj!T371*0.086*$J$132)/(1-tech_proj!T651))</f>
        <v>0</v>
      </c>
      <c r="U1991" s="119">
        <f>IF(tech_base!$T247&gt;U$1745,"",(tech_base!$K247/tech_proj!U371*0.086*$J$132)/(1-tech_proj!U651))</f>
        <v>0</v>
      </c>
      <c r="V1991" s="119">
        <f>IF(tech_base!$T247&gt;V$1745,"",(tech_base!$K247/tech_proj!V371*0.086*$J$132)/(1-tech_proj!V651))</f>
        <v>0</v>
      </c>
      <c r="W1991" s="119">
        <f>IF(tech_base!$T247&gt;W$1745,"",(tech_base!$K247/tech_proj!W371*0.086*$J$132)/(1-tech_proj!W651))</f>
        <v>0</v>
      </c>
      <c r="X1991" s="119">
        <f>IF(tech_base!$T247&gt;X$1745,"",(tech_base!$K247/tech_proj!X371*0.086*$J$132)/(1-tech_proj!X651))</f>
        <v>0</v>
      </c>
      <c r="Y1991" s="119">
        <f>IF(tech_base!$T247&gt;Y$1745,"",(tech_base!$K247/tech_proj!Y371*0.086*$J$132)/(1-tech_proj!Y651))</f>
        <v>0</v>
      </c>
      <c r="Z1991" s="119">
        <f>IF(tech_base!$T247&gt;Z$1745,"",(tech_base!$K247/tech_proj!Z371*0.086*$J$132)/(1-tech_proj!Z651))</f>
        <v>0</v>
      </c>
      <c r="AA1991" s="119">
        <f>IF(tech_base!$T247&gt;AA$1745,"",(tech_base!$K247/tech_proj!AA371*0.086*$J$132)/(1-tech_proj!AA651))</f>
        <v>0</v>
      </c>
      <c r="AB1991" s="119">
        <f>IF(tech_base!$T247&gt;AB$1745,"",(tech_base!$K247/tech_proj!AB371*0.086*$J$132)/(1-tech_proj!AB651))</f>
        <v>0</v>
      </c>
      <c r="AC1991" s="119">
        <f>IF(tech_base!$T247&gt;AC$1745,"",(tech_base!$K247/tech_proj!AC371*0.086*$J$132)/(1-tech_proj!AC651))</f>
        <v>0</v>
      </c>
      <c r="AD1991" s="119">
        <f>IF(tech_base!$T247&gt;AD$1745,"",(tech_base!$K247/tech_proj!AD371*0.086*$J$132)/(1-tech_proj!AD651))</f>
        <v>0</v>
      </c>
      <c r="AE1991" s="119">
        <f>IF(tech_base!$T247&gt;AE$1745,"",(tech_base!$K247/tech_proj!AE371*0.086*$J$132)/(1-tech_proj!AE651))</f>
        <v>0</v>
      </c>
      <c r="AF1991" s="119">
        <f>IF(tech_base!$T247&gt;AF$1745,"",(tech_base!$K247/tech_proj!AF371*0.086*$J$132)/(1-tech_proj!AF651))</f>
        <v>0</v>
      </c>
      <c r="AG1991" s="119">
        <f>IF(tech_base!$T247&gt;AG$1745,"",(tech_base!$K247/tech_proj!AG371*0.086*$J$132)/(1-tech_proj!AG651))</f>
        <v>0</v>
      </c>
      <c r="AH1991" s="119">
        <f>IF(tech_base!$T247&gt;AH$1745,"",(tech_base!$K247/tech_proj!AH371*0.086*$J$132)/(1-tech_proj!AH651))</f>
        <v>0</v>
      </c>
      <c r="AI1991" s="119">
        <f>IF(tech_base!$T247&gt;AI$1745,"",(tech_base!$K247/tech_proj!AI371*0.086*$J$132)/(1-tech_proj!AI651))</f>
        <v>0</v>
      </c>
      <c r="AJ1991" s="119">
        <f>IF(tech_base!$T247&gt;AJ$1745,"",(tech_base!$K247/tech_proj!AJ371*0.086*$J$132)/(1-tech_proj!AJ651))</f>
        <v>0</v>
      </c>
      <c r="AK1991" s="119">
        <f>IF(tech_base!$T247&gt;AK$1745,"",(tech_base!$K247/tech_proj!AK371*0.086*$J$132)/(1-tech_proj!AK651))</f>
        <v>0</v>
      </c>
      <c r="AL1991" s="119">
        <f>IF(tech_base!$T247&gt;AL$1745,"",(tech_base!$K247/tech_proj!AL371*0.086*$J$132)/(1-tech_proj!AL651))</f>
        <v>0</v>
      </c>
      <c r="AM1991" s="119">
        <f>IF(tech_base!$T247&gt;AM$1745,"",(tech_base!$K247/tech_proj!AM371*0.086*$J$132)/(1-tech_proj!AM651))</f>
        <v>0</v>
      </c>
      <c r="AN1991" s="119">
        <f>IF(tech_base!$T247&gt;AN$1745,"",(tech_base!$K247/tech_proj!AN371*0.086*$J$132)/(1-tech_proj!AN651))</f>
        <v>0</v>
      </c>
      <c r="AO1991" s="119">
        <f>IF(tech_base!$T247&gt;AO$1745,"",(tech_base!$K247/tech_proj!AO371*0.086*$J$132)/(1-tech_proj!AO651))</f>
        <v>0</v>
      </c>
      <c r="AP1991" s="119">
        <f>IF(tech_base!$T247&gt;AP$1745,"",(tech_base!$K247/tech_proj!AP371*0.086*$J$132)/(1-tech_proj!AP651))</f>
        <v>0</v>
      </c>
      <c r="AQ1991" s="119">
        <f>IF(tech_base!$T247&gt;AQ$1745,"",(tech_base!$K247/tech_proj!AQ371*0.086*$J$132)/(1-tech_proj!AQ651))</f>
        <v>0</v>
      </c>
      <c r="AR1991" s="119">
        <f>IF(tech_base!$T247&gt;AR$1745,"",(tech_base!$K247/tech_proj!AR371*0.086*$J$132)/(1-tech_proj!AR651))</f>
        <v>0</v>
      </c>
      <c r="AS1991" s="119">
        <f>IF(tech_base!$T247&gt;AS$1745,"",(tech_base!$K247/tech_proj!AS371*0.086*$J$132)/(1-tech_proj!AS651))</f>
        <v>0</v>
      </c>
      <c r="AT1991" s="119">
        <f>IF(tech_base!$T247&gt;AT$1745,"",(tech_base!$K247/tech_proj!AT371*0.086*$J$132)/(1-tech_proj!AT651))</f>
        <v>0</v>
      </c>
      <c r="AU1991" s="119">
        <f>IF(tech_base!$T247&gt;AU$1745,"",(tech_base!$K247/tech_proj!AU371*0.086*$J$132)/(1-tech_proj!AU651))</f>
        <v>0</v>
      </c>
      <c r="AV1991" s="119">
        <f>IF(tech_base!$T247&gt;AV$1745,"",(tech_base!$K247/tech_proj!AV371*0.086*$J$132)/(1-tech_proj!AV651))</f>
        <v>0</v>
      </c>
      <c r="AW1991" s="119">
        <f>IF(tech_base!$T247&gt;AW$1745,"",(tech_base!$K247/tech_proj!AW371*0.086*$J$132)/(1-tech_proj!AW651))</f>
        <v>0</v>
      </c>
      <c r="AX1991" s="120">
        <f>IF(tech_base!$T247&gt;AX$1745,"",(tech_base!$K247/tech_proj!AX371*0.086*$J$132)/(1-tech_proj!AX651))</f>
        <v>0</v>
      </c>
    </row>
    <row r="1992" spans="1:50" x14ac:dyDescent="0.25">
      <c r="A1992" s="357"/>
      <c r="B1992" s="380"/>
      <c r="C1992" s="381"/>
      <c r="D1992" s="4" t="s">
        <v>20</v>
      </c>
      <c r="E1992" s="168" t="str">
        <f>A1985&amp;"/"&amp;B1989&amp;"/"&amp;C1989&amp;"/"&amp;D1992</f>
        <v>Wind power plants/Offshore/Electricity only/XS</v>
      </c>
      <c r="F1992" s="80" t="str">
        <f>A1985</f>
        <v>Wind power plants</v>
      </c>
      <c r="G1992" s="80" t="str">
        <f>B1989</f>
        <v>Offshore</v>
      </c>
      <c r="H1992" s="80" t="str">
        <f>C1989</f>
        <v>Electricity only</v>
      </c>
      <c r="I1992" s="169" t="str">
        <f t="shared" si="385"/>
        <v>XS</v>
      </c>
      <c r="J1992" s="127">
        <f>IF(tech_base!$T248&gt;J$1745,"",(tech_base!$K248/tech_proj!J372*0.086*$J$132)/(1-tech_proj!J652))</f>
        <v>0</v>
      </c>
      <c r="K1992" s="127">
        <f>IF(tech_base!$T248&gt;K$1745,"",(tech_base!$K248/tech_proj!K372*0.086*$J$132)/(1-tech_proj!K652))</f>
        <v>0</v>
      </c>
      <c r="L1992" s="127">
        <f>IF(tech_base!$T248&gt;L$1745,"",(tech_base!$K248/tech_proj!L372*0.086*$J$132)/(1-tech_proj!L652))</f>
        <v>0</v>
      </c>
      <c r="M1992" s="127">
        <f>IF(tech_base!$T248&gt;M$1745,"",(tech_base!$K248/tech_proj!M372*0.086*$J$132)/(1-tech_proj!M652))</f>
        <v>0</v>
      </c>
      <c r="N1992" s="127">
        <f>IF(tech_base!$T248&gt;N$1745,"",(tech_base!$K248/tech_proj!N372*0.086*$J$132)/(1-tech_proj!N652))</f>
        <v>0</v>
      </c>
      <c r="O1992" s="127">
        <f>IF(tech_base!$T248&gt;O$1745,"",(tech_base!$K248/tech_proj!O372*0.086*$J$132)/(1-tech_proj!O652))</f>
        <v>0</v>
      </c>
      <c r="P1992" s="127">
        <f>IF(tech_base!$T248&gt;P$1745,"",(tech_base!$K248/tech_proj!P372*0.086*$J$132)/(1-tech_proj!P652))</f>
        <v>0</v>
      </c>
      <c r="Q1992" s="127">
        <f>IF(tech_base!$T248&gt;Q$1745,"",(tech_base!$K248/tech_proj!Q372*0.086*$J$132)/(1-tech_proj!Q652))</f>
        <v>0</v>
      </c>
      <c r="R1992" s="127">
        <f>IF(tech_base!$T248&gt;R$1745,"",(tech_base!$K248/tech_proj!R372*0.086*$J$132)/(1-tech_proj!R652))</f>
        <v>0</v>
      </c>
      <c r="S1992" s="127">
        <f>IF(tech_base!$T248&gt;S$1745,"",(tech_base!$K248/tech_proj!S372*0.086*$J$132)/(1-tech_proj!S652))</f>
        <v>0</v>
      </c>
      <c r="T1992" s="127">
        <f>IF(tech_base!$T248&gt;T$1745,"",(tech_base!$K248/tech_proj!T372*0.086*$J$132)/(1-tech_proj!T652))</f>
        <v>0</v>
      </c>
      <c r="U1992" s="127">
        <f>IF(tech_base!$T248&gt;U$1745,"",(tech_base!$K248/tech_proj!U372*0.086*$J$132)/(1-tech_proj!U652))</f>
        <v>0</v>
      </c>
      <c r="V1992" s="127">
        <f>IF(tech_base!$T248&gt;V$1745,"",(tech_base!$K248/tech_proj!V372*0.086*$J$132)/(1-tech_proj!V652))</f>
        <v>0</v>
      </c>
      <c r="W1992" s="127">
        <f>IF(tech_base!$T248&gt;W$1745,"",(tech_base!$K248/tech_proj!W372*0.086*$J$132)/(1-tech_proj!W652))</f>
        <v>0</v>
      </c>
      <c r="X1992" s="127">
        <f>IF(tech_base!$T248&gt;X$1745,"",(tech_base!$K248/tech_proj!X372*0.086*$J$132)/(1-tech_proj!X652))</f>
        <v>0</v>
      </c>
      <c r="Y1992" s="127">
        <f>IF(tech_base!$T248&gt;Y$1745,"",(tech_base!$K248/tech_proj!Y372*0.086*$J$132)/(1-tech_proj!Y652))</f>
        <v>0</v>
      </c>
      <c r="Z1992" s="127">
        <f>IF(tech_base!$T248&gt;Z$1745,"",(tech_base!$K248/tech_proj!Z372*0.086*$J$132)/(1-tech_proj!Z652))</f>
        <v>0</v>
      </c>
      <c r="AA1992" s="127">
        <f>IF(tech_base!$T248&gt;AA$1745,"",(tech_base!$K248/tech_proj!AA372*0.086*$J$132)/(1-tech_proj!AA652))</f>
        <v>0</v>
      </c>
      <c r="AB1992" s="127">
        <f>IF(tech_base!$T248&gt;AB$1745,"",(tech_base!$K248/tech_proj!AB372*0.086*$J$132)/(1-tech_proj!AB652))</f>
        <v>0</v>
      </c>
      <c r="AC1992" s="127">
        <f>IF(tech_base!$T248&gt;AC$1745,"",(tech_base!$K248/tech_proj!AC372*0.086*$J$132)/(1-tech_proj!AC652))</f>
        <v>0</v>
      </c>
      <c r="AD1992" s="127">
        <f>IF(tech_base!$T248&gt;AD$1745,"",(tech_base!$K248/tech_proj!AD372*0.086*$J$132)/(1-tech_proj!AD652))</f>
        <v>0</v>
      </c>
      <c r="AE1992" s="127">
        <f>IF(tech_base!$T248&gt;AE$1745,"",(tech_base!$K248/tech_proj!AE372*0.086*$J$132)/(1-tech_proj!AE652))</f>
        <v>0</v>
      </c>
      <c r="AF1992" s="127">
        <f>IF(tech_base!$T248&gt;AF$1745,"",(tech_base!$K248/tech_proj!AF372*0.086*$J$132)/(1-tech_proj!AF652))</f>
        <v>0</v>
      </c>
      <c r="AG1992" s="127">
        <f>IF(tech_base!$T248&gt;AG$1745,"",(tech_base!$K248/tech_proj!AG372*0.086*$J$132)/(1-tech_proj!AG652))</f>
        <v>0</v>
      </c>
      <c r="AH1992" s="127">
        <f>IF(tech_base!$T248&gt;AH$1745,"",(tech_base!$K248/tech_proj!AH372*0.086*$J$132)/(1-tech_proj!AH652))</f>
        <v>0</v>
      </c>
      <c r="AI1992" s="127">
        <f>IF(tech_base!$T248&gt;AI$1745,"",(tech_base!$K248/tech_proj!AI372*0.086*$J$132)/(1-tech_proj!AI652))</f>
        <v>0</v>
      </c>
      <c r="AJ1992" s="127">
        <f>IF(tech_base!$T248&gt;AJ$1745,"",(tech_base!$K248/tech_proj!AJ372*0.086*$J$132)/(1-tech_proj!AJ652))</f>
        <v>0</v>
      </c>
      <c r="AK1992" s="127">
        <f>IF(tech_base!$T248&gt;AK$1745,"",(tech_base!$K248/tech_proj!AK372*0.086*$J$132)/(1-tech_proj!AK652))</f>
        <v>0</v>
      </c>
      <c r="AL1992" s="127">
        <f>IF(tech_base!$T248&gt;AL$1745,"",(tech_base!$K248/tech_proj!AL372*0.086*$J$132)/(1-tech_proj!AL652))</f>
        <v>0</v>
      </c>
      <c r="AM1992" s="127">
        <f>IF(tech_base!$T248&gt;AM$1745,"",(tech_base!$K248/tech_proj!AM372*0.086*$J$132)/(1-tech_proj!AM652))</f>
        <v>0</v>
      </c>
      <c r="AN1992" s="127">
        <f>IF(tech_base!$T248&gt;AN$1745,"",(tech_base!$K248/tech_proj!AN372*0.086*$J$132)/(1-tech_proj!AN652))</f>
        <v>0</v>
      </c>
      <c r="AO1992" s="127">
        <f>IF(tech_base!$T248&gt;AO$1745,"",(tech_base!$K248/tech_proj!AO372*0.086*$J$132)/(1-tech_proj!AO652))</f>
        <v>0</v>
      </c>
      <c r="AP1992" s="127">
        <f>IF(tech_base!$T248&gt;AP$1745,"",(tech_base!$K248/tech_proj!AP372*0.086*$J$132)/(1-tech_proj!AP652))</f>
        <v>0</v>
      </c>
      <c r="AQ1992" s="127">
        <f>IF(tech_base!$T248&gt;AQ$1745,"",(tech_base!$K248/tech_proj!AQ372*0.086*$J$132)/(1-tech_proj!AQ652))</f>
        <v>0</v>
      </c>
      <c r="AR1992" s="127">
        <f>IF(tech_base!$T248&gt;AR$1745,"",(tech_base!$K248/tech_proj!AR372*0.086*$J$132)/(1-tech_proj!AR652))</f>
        <v>0</v>
      </c>
      <c r="AS1992" s="127">
        <f>IF(tech_base!$T248&gt;AS$1745,"",(tech_base!$K248/tech_proj!AS372*0.086*$J$132)/(1-tech_proj!AS652))</f>
        <v>0</v>
      </c>
      <c r="AT1992" s="127">
        <f>IF(tech_base!$T248&gt;AT$1745,"",(tech_base!$K248/tech_proj!AT372*0.086*$J$132)/(1-tech_proj!AT652))</f>
        <v>0</v>
      </c>
      <c r="AU1992" s="127">
        <f>IF(tech_base!$T248&gt;AU$1745,"",(tech_base!$K248/tech_proj!AU372*0.086*$J$132)/(1-tech_proj!AU652))</f>
        <v>0</v>
      </c>
      <c r="AV1992" s="127">
        <f>IF(tech_base!$T248&gt;AV$1745,"",(tech_base!$K248/tech_proj!AV372*0.086*$J$132)/(1-tech_proj!AV652))</f>
        <v>0</v>
      </c>
      <c r="AW1992" s="127">
        <f>IF(tech_base!$T248&gt;AW$1745,"",(tech_base!$K248/tech_proj!AW372*0.086*$J$132)/(1-tech_proj!AW652))</f>
        <v>0</v>
      </c>
      <c r="AX1992" s="128">
        <f>IF(tech_base!$T248&gt;AX$1745,"",(tech_base!$K248/tech_proj!AX372*0.086*$J$132)/(1-tech_proj!AX652))</f>
        <v>0</v>
      </c>
    </row>
    <row r="1993" spans="1:50" x14ac:dyDescent="0.25">
      <c r="A1993" s="355" t="s">
        <v>37</v>
      </c>
      <c r="B1993" s="358" t="s">
        <v>37</v>
      </c>
      <c r="C1993" s="353" t="s">
        <v>6</v>
      </c>
      <c r="D1993" s="3" t="s">
        <v>7</v>
      </c>
      <c r="E1993" s="162" t="str">
        <f>A1993&amp;"/"&amp;B1993&amp;"/"&amp;C1993&amp;"/"&amp;D1993</f>
        <v>Solar PV power plants/Solar PV power plants/Electricity only/L</v>
      </c>
      <c r="F1993" s="77" t="str">
        <f>A1993</f>
        <v>Solar PV power plants</v>
      </c>
      <c r="G1993" s="77" t="str">
        <f>B1993</f>
        <v>Solar PV power plants</v>
      </c>
      <c r="H1993" s="77" t="str">
        <f>C1993</f>
        <v>Electricity only</v>
      </c>
      <c r="I1993" s="163" t="str">
        <f t="shared" si="385"/>
        <v>L</v>
      </c>
      <c r="J1993" s="121">
        <f>IF(tech_base!$T249&gt;J$1745,"",(tech_base!$K249/tech_proj!J373*0.086*$J$132)/(1-tech_proj!J653))</f>
        <v>0</v>
      </c>
      <c r="K1993" s="121">
        <f>IF(tech_base!$T249&gt;K$1745,"",(tech_base!$K249/tech_proj!K373*0.086*$J$132)/(1-tech_proj!K653))</f>
        <v>0</v>
      </c>
      <c r="L1993" s="121">
        <f>IF(tech_base!$T249&gt;L$1745,"",(tech_base!$K249/tech_proj!L373*0.086*$J$132)/(1-tech_proj!L653))</f>
        <v>0</v>
      </c>
      <c r="M1993" s="121">
        <f>IF(tech_base!$T249&gt;M$1745,"",(tech_base!$K249/tech_proj!M373*0.086*$J$132)/(1-tech_proj!M653))</f>
        <v>0</v>
      </c>
      <c r="N1993" s="121">
        <f>IF(tech_base!$T249&gt;N$1745,"",(tech_base!$K249/tech_proj!N373*0.086*$J$132)/(1-tech_proj!N653))</f>
        <v>0</v>
      </c>
      <c r="O1993" s="121">
        <f>IF(tech_base!$T249&gt;O$1745,"",(tech_base!$K249/tech_proj!O373*0.086*$J$132)/(1-tech_proj!O653))</f>
        <v>0</v>
      </c>
      <c r="P1993" s="121">
        <f>IF(tech_base!$T249&gt;P$1745,"",(tech_base!$K249/tech_proj!P373*0.086*$J$132)/(1-tech_proj!P653))</f>
        <v>0</v>
      </c>
      <c r="Q1993" s="121">
        <f>IF(tech_base!$T249&gt;Q$1745,"",(tech_base!$K249/tech_proj!Q373*0.086*$J$132)/(1-tech_proj!Q653))</f>
        <v>0</v>
      </c>
      <c r="R1993" s="121">
        <f>IF(tech_base!$T249&gt;R$1745,"",(tech_base!$K249/tech_proj!R373*0.086*$J$132)/(1-tech_proj!R653))</f>
        <v>0</v>
      </c>
      <c r="S1993" s="121">
        <f>IF(tech_base!$T249&gt;S$1745,"",(tech_base!$K249/tech_proj!S373*0.086*$J$132)/(1-tech_proj!S653))</f>
        <v>0</v>
      </c>
      <c r="T1993" s="121">
        <f>IF(tech_base!$T249&gt;T$1745,"",(tech_base!$K249/tech_proj!T373*0.086*$J$132)/(1-tech_proj!T653))</f>
        <v>0</v>
      </c>
      <c r="U1993" s="121">
        <f>IF(tech_base!$T249&gt;U$1745,"",(tech_base!$K249/tech_proj!U373*0.086*$J$132)/(1-tech_proj!U653))</f>
        <v>0</v>
      </c>
      <c r="V1993" s="121">
        <f>IF(tech_base!$T249&gt;V$1745,"",(tech_base!$K249/tech_proj!V373*0.086*$J$132)/(1-tech_proj!V653))</f>
        <v>0</v>
      </c>
      <c r="W1993" s="121">
        <f>IF(tech_base!$T249&gt;W$1745,"",(tech_base!$K249/tech_proj!W373*0.086*$J$132)/(1-tech_proj!W653))</f>
        <v>0</v>
      </c>
      <c r="X1993" s="121">
        <f>IF(tech_base!$T249&gt;X$1745,"",(tech_base!$K249/tech_proj!X373*0.086*$J$132)/(1-tech_proj!X653))</f>
        <v>0</v>
      </c>
      <c r="Y1993" s="121">
        <f>IF(tech_base!$T249&gt;Y$1745,"",(tech_base!$K249/tech_proj!Y373*0.086*$J$132)/(1-tech_proj!Y653))</f>
        <v>0</v>
      </c>
      <c r="Z1993" s="121">
        <f>IF(tech_base!$T249&gt;Z$1745,"",(tech_base!$K249/tech_proj!Z373*0.086*$J$132)/(1-tech_proj!Z653))</f>
        <v>0</v>
      </c>
      <c r="AA1993" s="121">
        <f>IF(tech_base!$T249&gt;AA$1745,"",(tech_base!$K249/tech_proj!AA373*0.086*$J$132)/(1-tech_proj!AA653))</f>
        <v>0</v>
      </c>
      <c r="AB1993" s="121">
        <f>IF(tech_base!$T249&gt;AB$1745,"",(tech_base!$K249/tech_proj!AB373*0.086*$J$132)/(1-tech_proj!AB653))</f>
        <v>0</v>
      </c>
      <c r="AC1993" s="121">
        <f>IF(tech_base!$T249&gt;AC$1745,"",(tech_base!$K249/tech_proj!AC373*0.086*$J$132)/(1-tech_proj!AC653))</f>
        <v>0</v>
      </c>
      <c r="AD1993" s="121">
        <f>IF(tech_base!$T249&gt;AD$1745,"",(tech_base!$K249/tech_proj!AD373*0.086*$J$132)/(1-tech_proj!AD653))</f>
        <v>0</v>
      </c>
      <c r="AE1993" s="121">
        <f>IF(tech_base!$T249&gt;AE$1745,"",(tech_base!$K249/tech_proj!AE373*0.086*$J$132)/(1-tech_proj!AE653))</f>
        <v>0</v>
      </c>
      <c r="AF1993" s="121">
        <f>IF(tech_base!$T249&gt;AF$1745,"",(tech_base!$K249/tech_proj!AF373*0.086*$J$132)/(1-tech_proj!AF653))</f>
        <v>0</v>
      </c>
      <c r="AG1993" s="121">
        <f>IF(tech_base!$T249&gt;AG$1745,"",(tech_base!$K249/tech_proj!AG373*0.086*$J$132)/(1-tech_proj!AG653))</f>
        <v>0</v>
      </c>
      <c r="AH1993" s="121">
        <f>IF(tech_base!$T249&gt;AH$1745,"",(tech_base!$K249/tech_proj!AH373*0.086*$J$132)/(1-tech_proj!AH653))</f>
        <v>0</v>
      </c>
      <c r="AI1993" s="121">
        <f>IF(tech_base!$T249&gt;AI$1745,"",(tech_base!$K249/tech_proj!AI373*0.086*$J$132)/(1-tech_proj!AI653))</f>
        <v>0</v>
      </c>
      <c r="AJ1993" s="121">
        <f>IF(tech_base!$T249&gt;AJ$1745,"",(tech_base!$K249/tech_proj!AJ373*0.086*$J$132)/(1-tech_proj!AJ653))</f>
        <v>0</v>
      </c>
      <c r="AK1993" s="121">
        <f>IF(tech_base!$T249&gt;AK$1745,"",(tech_base!$K249/tech_proj!AK373*0.086*$J$132)/(1-tech_proj!AK653))</f>
        <v>0</v>
      </c>
      <c r="AL1993" s="121">
        <f>IF(tech_base!$T249&gt;AL$1745,"",(tech_base!$K249/tech_proj!AL373*0.086*$J$132)/(1-tech_proj!AL653))</f>
        <v>0</v>
      </c>
      <c r="AM1993" s="121">
        <f>IF(tech_base!$T249&gt;AM$1745,"",(tech_base!$K249/tech_proj!AM373*0.086*$J$132)/(1-tech_proj!AM653))</f>
        <v>0</v>
      </c>
      <c r="AN1993" s="121">
        <f>IF(tech_base!$T249&gt;AN$1745,"",(tech_base!$K249/tech_proj!AN373*0.086*$J$132)/(1-tech_proj!AN653))</f>
        <v>0</v>
      </c>
      <c r="AO1993" s="121">
        <f>IF(tech_base!$T249&gt;AO$1745,"",(tech_base!$K249/tech_proj!AO373*0.086*$J$132)/(1-tech_proj!AO653))</f>
        <v>0</v>
      </c>
      <c r="AP1993" s="121">
        <f>IF(tech_base!$T249&gt;AP$1745,"",(tech_base!$K249/tech_proj!AP373*0.086*$J$132)/(1-tech_proj!AP653))</f>
        <v>0</v>
      </c>
      <c r="AQ1993" s="121">
        <f>IF(tech_base!$T249&gt;AQ$1745,"",(tech_base!$K249/tech_proj!AQ373*0.086*$J$132)/(1-tech_proj!AQ653))</f>
        <v>0</v>
      </c>
      <c r="AR1993" s="121">
        <f>IF(tech_base!$T249&gt;AR$1745,"",(tech_base!$K249/tech_proj!AR373*0.086*$J$132)/(1-tech_proj!AR653))</f>
        <v>0</v>
      </c>
      <c r="AS1993" s="121">
        <f>IF(tech_base!$T249&gt;AS$1745,"",(tech_base!$K249/tech_proj!AS373*0.086*$J$132)/(1-tech_proj!AS653))</f>
        <v>0</v>
      </c>
      <c r="AT1993" s="121">
        <f>IF(tech_base!$T249&gt;AT$1745,"",(tech_base!$K249/tech_proj!AT373*0.086*$J$132)/(1-tech_proj!AT653))</f>
        <v>0</v>
      </c>
      <c r="AU1993" s="121">
        <f>IF(tech_base!$T249&gt;AU$1745,"",(tech_base!$K249/tech_proj!AU373*0.086*$J$132)/(1-tech_proj!AU653))</f>
        <v>0</v>
      </c>
      <c r="AV1993" s="121">
        <f>IF(tech_base!$T249&gt;AV$1745,"",(tech_base!$K249/tech_proj!AV373*0.086*$J$132)/(1-tech_proj!AV653))</f>
        <v>0</v>
      </c>
      <c r="AW1993" s="121">
        <f>IF(tech_base!$T249&gt;AW$1745,"",(tech_base!$K249/tech_proj!AW373*0.086*$J$132)/(1-tech_proj!AW653))</f>
        <v>0</v>
      </c>
      <c r="AX1993" s="122">
        <f>IF(tech_base!$T249&gt;AX$1745,"",(tech_base!$K249/tech_proj!AX373*0.086*$J$132)/(1-tech_proj!AX653))</f>
        <v>0</v>
      </c>
    </row>
    <row r="1994" spans="1:50" x14ac:dyDescent="0.25">
      <c r="A1994" s="356"/>
      <c r="B1994" s="376"/>
      <c r="C1994" s="378"/>
      <c r="D1994" s="2" t="s">
        <v>8</v>
      </c>
      <c r="E1994" s="160" t="str">
        <f>A1993&amp;"/"&amp;B1993&amp;"/"&amp;C1993&amp;"/"&amp;D1994</f>
        <v>Solar PV power plants/Solar PV power plants/Electricity only/M</v>
      </c>
      <c r="F1994" s="76" t="str">
        <f>A1993</f>
        <v>Solar PV power plants</v>
      </c>
      <c r="G1994" s="76" t="str">
        <f>B1993</f>
        <v>Solar PV power plants</v>
      </c>
      <c r="H1994" s="76" t="str">
        <f>C1993</f>
        <v>Electricity only</v>
      </c>
      <c r="I1994" s="161" t="str">
        <f t="shared" si="385"/>
        <v>M</v>
      </c>
      <c r="J1994" s="119">
        <f>IF(tech_base!$T250&gt;J$1745,"",(tech_base!$K250/tech_proj!J374*0.086*$J$132)/(1-tech_proj!J654))</f>
        <v>0</v>
      </c>
      <c r="K1994" s="119">
        <f>IF(tech_base!$T250&gt;K$1745,"",(tech_base!$K250/tech_proj!K374*0.086*$J$132)/(1-tech_proj!K654))</f>
        <v>0</v>
      </c>
      <c r="L1994" s="119">
        <f>IF(tech_base!$T250&gt;L$1745,"",(tech_base!$K250/tech_proj!L374*0.086*$J$132)/(1-tech_proj!L654))</f>
        <v>0</v>
      </c>
      <c r="M1994" s="119">
        <f>IF(tech_base!$T250&gt;M$1745,"",(tech_base!$K250/tech_proj!M374*0.086*$J$132)/(1-tech_proj!M654))</f>
        <v>0</v>
      </c>
      <c r="N1994" s="119">
        <f>IF(tech_base!$T250&gt;N$1745,"",(tech_base!$K250/tech_proj!N374*0.086*$J$132)/(1-tech_proj!N654))</f>
        <v>0</v>
      </c>
      <c r="O1994" s="119">
        <f>IF(tech_base!$T250&gt;O$1745,"",(tech_base!$K250/tech_proj!O374*0.086*$J$132)/(1-tech_proj!O654))</f>
        <v>0</v>
      </c>
      <c r="P1994" s="119">
        <f>IF(tech_base!$T250&gt;P$1745,"",(tech_base!$K250/tech_proj!P374*0.086*$J$132)/(1-tech_proj!P654))</f>
        <v>0</v>
      </c>
      <c r="Q1994" s="119">
        <f>IF(tech_base!$T250&gt;Q$1745,"",(tech_base!$K250/tech_proj!Q374*0.086*$J$132)/(1-tech_proj!Q654))</f>
        <v>0</v>
      </c>
      <c r="R1994" s="119">
        <f>IF(tech_base!$T250&gt;R$1745,"",(tech_base!$K250/tech_proj!R374*0.086*$J$132)/(1-tech_proj!R654))</f>
        <v>0</v>
      </c>
      <c r="S1994" s="119">
        <f>IF(tech_base!$T250&gt;S$1745,"",(tech_base!$K250/tech_proj!S374*0.086*$J$132)/(1-tech_proj!S654))</f>
        <v>0</v>
      </c>
      <c r="T1994" s="119">
        <f>IF(tech_base!$T250&gt;T$1745,"",(tech_base!$K250/tech_proj!T374*0.086*$J$132)/(1-tech_proj!T654))</f>
        <v>0</v>
      </c>
      <c r="U1994" s="119">
        <f>IF(tech_base!$T250&gt;U$1745,"",(tech_base!$K250/tech_proj!U374*0.086*$J$132)/(1-tech_proj!U654))</f>
        <v>0</v>
      </c>
      <c r="V1994" s="119">
        <f>IF(tech_base!$T250&gt;V$1745,"",(tech_base!$K250/tech_proj!V374*0.086*$J$132)/(1-tech_proj!V654))</f>
        <v>0</v>
      </c>
      <c r="W1994" s="119">
        <f>IF(tech_base!$T250&gt;W$1745,"",(tech_base!$K250/tech_proj!W374*0.086*$J$132)/(1-tech_proj!W654))</f>
        <v>0</v>
      </c>
      <c r="X1994" s="119">
        <f>IF(tech_base!$T250&gt;X$1745,"",(tech_base!$K250/tech_proj!X374*0.086*$J$132)/(1-tech_proj!X654))</f>
        <v>0</v>
      </c>
      <c r="Y1994" s="119">
        <f>IF(tech_base!$T250&gt;Y$1745,"",(tech_base!$K250/tech_proj!Y374*0.086*$J$132)/(1-tech_proj!Y654))</f>
        <v>0</v>
      </c>
      <c r="Z1994" s="119">
        <f>IF(tech_base!$T250&gt;Z$1745,"",(tech_base!$K250/tech_proj!Z374*0.086*$J$132)/(1-tech_proj!Z654))</f>
        <v>0</v>
      </c>
      <c r="AA1994" s="119">
        <f>IF(tech_base!$T250&gt;AA$1745,"",(tech_base!$K250/tech_proj!AA374*0.086*$J$132)/(1-tech_proj!AA654))</f>
        <v>0</v>
      </c>
      <c r="AB1994" s="119">
        <f>IF(tech_base!$T250&gt;AB$1745,"",(tech_base!$K250/tech_proj!AB374*0.086*$J$132)/(1-tech_proj!AB654))</f>
        <v>0</v>
      </c>
      <c r="AC1994" s="119">
        <f>IF(tech_base!$T250&gt;AC$1745,"",(tech_base!$K250/tech_proj!AC374*0.086*$J$132)/(1-tech_proj!AC654))</f>
        <v>0</v>
      </c>
      <c r="AD1994" s="119">
        <f>IF(tech_base!$T250&gt;AD$1745,"",(tech_base!$K250/tech_proj!AD374*0.086*$J$132)/(1-tech_proj!AD654))</f>
        <v>0</v>
      </c>
      <c r="AE1994" s="119">
        <f>IF(tech_base!$T250&gt;AE$1745,"",(tech_base!$K250/tech_proj!AE374*0.086*$J$132)/(1-tech_proj!AE654))</f>
        <v>0</v>
      </c>
      <c r="AF1994" s="119">
        <f>IF(tech_base!$T250&gt;AF$1745,"",(tech_base!$K250/tech_proj!AF374*0.086*$J$132)/(1-tech_proj!AF654))</f>
        <v>0</v>
      </c>
      <c r="AG1994" s="119">
        <f>IF(tech_base!$T250&gt;AG$1745,"",(tech_base!$K250/tech_proj!AG374*0.086*$J$132)/(1-tech_proj!AG654))</f>
        <v>0</v>
      </c>
      <c r="AH1994" s="119">
        <f>IF(tech_base!$T250&gt;AH$1745,"",(tech_base!$K250/tech_proj!AH374*0.086*$J$132)/(1-tech_proj!AH654))</f>
        <v>0</v>
      </c>
      <c r="AI1994" s="119">
        <f>IF(tech_base!$T250&gt;AI$1745,"",(tech_base!$K250/tech_proj!AI374*0.086*$J$132)/(1-tech_proj!AI654))</f>
        <v>0</v>
      </c>
      <c r="AJ1994" s="119">
        <f>IF(tech_base!$T250&gt;AJ$1745,"",(tech_base!$K250/tech_proj!AJ374*0.086*$J$132)/(1-tech_proj!AJ654))</f>
        <v>0</v>
      </c>
      <c r="AK1994" s="119">
        <f>IF(tech_base!$T250&gt;AK$1745,"",(tech_base!$K250/tech_proj!AK374*0.086*$J$132)/(1-tech_proj!AK654))</f>
        <v>0</v>
      </c>
      <c r="AL1994" s="119">
        <f>IF(tech_base!$T250&gt;AL$1745,"",(tech_base!$K250/tech_proj!AL374*0.086*$J$132)/(1-tech_proj!AL654))</f>
        <v>0</v>
      </c>
      <c r="AM1994" s="119">
        <f>IF(tech_base!$T250&gt;AM$1745,"",(tech_base!$K250/tech_proj!AM374*0.086*$J$132)/(1-tech_proj!AM654))</f>
        <v>0</v>
      </c>
      <c r="AN1994" s="119">
        <f>IF(tech_base!$T250&gt;AN$1745,"",(tech_base!$K250/tech_proj!AN374*0.086*$J$132)/(1-tech_proj!AN654))</f>
        <v>0</v>
      </c>
      <c r="AO1994" s="119">
        <f>IF(tech_base!$T250&gt;AO$1745,"",(tech_base!$K250/tech_proj!AO374*0.086*$J$132)/(1-tech_proj!AO654))</f>
        <v>0</v>
      </c>
      <c r="AP1994" s="119">
        <f>IF(tech_base!$T250&gt;AP$1745,"",(tech_base!$K250/tech_proj!AP374*0.086*$J$132)/(1-tech_proj!AP654))</f>
        <v>0</v>
      </c>
      <c r="AQ1994" s="119">
        <f>IF(tech_base!$T250&gt;AQ$1745,"",(tech_base!$K250/tech_proj!AQ374*0.086*$J$132)/(1-tech_proj!AQ654))</f>
        <v>0</v>
      </c>
      <c r="AR1994" s="119">
        <f>IF(tech_base!$T250&gt;AR$1745,"",(tech_base!$K250/tech_proj!AR374*0.086*$J$132)/(1-tech_proj!AR654))</f>
        <v>0</v>
      </c>
      <c r="AS1994" s="119">
        <f>IF(tech_base!$T250&gt;AS$1745,"",(tech_base!$K250/tech_proj!AS374*0.086*$J$132)/(1-tech_proj!AS654))</f>
        <v>0</v>
      </c>
      <c r="AT1994" s="119">
        <f>IF(tech_base!$T250&gt;AT$1745,"",(tech_base!$K250/tech_proj!AT374*0.086*$J$132)/(1-tech_proj!AT654))</f>
        <v>0</v>
      </c>
      <c r="AU1994" s="119">
        <f>IF(tech_base!$T250&gt;AU$1745,"",(tech_base!$K250/tech_proj!AU374*0.086*$J$132)/(1-tech_proj!AU654))</f>
        <v>0</v>
      </c>
      <c r="AV1994" s="119">
        <f>IF(tech_base!$T250&gt;AV$1745,"",(tech_base!$K250/tech_proj!AV374*0.086*$J$132)/(1-tech_proj!AV654))</f>
        <v>0</v>
      </c>
      <c r="AW1994" s="119">
        <f>IF(tech_base!$T250&gt;AW$1745,"",(tech_base!$K250/tech_proj!AW374*0.086*$J$132)/(1-tech_proj!AW654))</f>
        <v>0</v>
      </c>
      <c r="AX1994" s="120">
        <f>IF(tech_base!$T250&gt;AX$1745,"",(tech_base!$K250/tech_proj!AX374*0.086*$J$132)/(1-tech_proj!AX654))</f>
        <v>0</v>
      </c>
    </row>
    <row r="1995" spans="1:50" x14ac:dyDescent="0.25">
      <c r="A1995" s="356"/>
      <c r="B1995" s="376"/>
      <c r="C1995" s="378"/>
      <c r="D1995" s="2" t="s">
        <v>10</v>
      </c>
      <c r="E1995" s="160" t="str">
        <f>A1993&amp;"/"&amp;B1993&amp;"/"&amp;C1993&amp;"/"&amp;D1995</f>
        <v>Solar PV power plants/Solar PV power plants/Electricity only/S</v>
      </c>
      <c r="F1995" s="76" t="str">
        <f>A1993</f>
        <v>Solar PV power plants</v>
      </c>
      <c r="G1995" s="76" t="str">
        <f>B1993</f>
        <v>Solar PV power plants</v>
      </c>
      <c r="H1995" s="76" t="str">
        <f>C1993</f>
        <v>Electricity only</v>
      </c>
      <c r="I1995" s="161" t="str">
        <f t="shared" si="385"/>
        <v>S</v>
      </c>
      <c r="J1995" s="119">
        <f>IF(tech_base!$T251&gt;J$1745,"",(tech_base!$K251/tech_proj!J375*0.086*$J$132)/(1-tech_proj!J655))</f>
        <v>0</v>
      </c>
      <c r="K1995" s="119">
        <f>IF(tech_base!$T251&gt;K$1745,"",(tech_base!$K251/tech_proj!K375*0.086*$J$132)/(1-tech_proj!K655))</f>
        <v>0</v>
      </c>
      <c r="L1995" s="119">
        <f>IF(tech_base!$T251&gt;L$1745,"",(tech_base!$K251/tech_proj!L375*0.086*$J$132)/(1-tech_proj!L655))</f>
        <v>0</v>
      </c>
      <c r="M1995" s="119">
        <f>IF(tech_base!$T251&gt;M$1745,"",(tech_base!$K251/tech_proj!M375*0.086*$J$132)/(1-tech_proj!M655))</f>
        <v>0</v>
      </c>
      <c r="N1995" s="119">
        <f>IF(tech_base!$T251&gt;N$1745,"",(tech_base!$K251/tech_proj!N375*0.086*$J$132)/(1-tech_proj!N655))</f>
        <v>0</v>
      </c>
      <c r="O1995" s="119">
        <f>IF(tech_base!$T251&gt;O$1745,"",(tech_base!$K251/tech_proj!O375*0.086*$J$132)/(1-tech_proj!O655))</f>
        <v>0</v>
      </c>
      <c r="P1995" s="119">
        <f>IF(tech_base!$T251&gt;P$1745,"",(tech_base!$K251/tech_proj!P375*0.086*$J$132)/(1-tech_proj!P655))</f>
        <v>0</v>
      </c>
      <c r="Q1995" s="119">
        <f>IF(tech_base!$T251&gt;Q$1745,"",(tech_base!$K251/tech_proj!Q375*0.086*$J$132)/(1-tech_proj!Q655))</f>
        <v>0</v>
      </c>
      <c r="R1995" s="119">
        <f>IF(tech_base!$T251&gt;R$1745,"",(tech_base!$K251/tech_proj!R375*0.086*$J$132)/(1-tech_proj!R655))</f>
        <v>0</v>
      </c>
      <c r="S1995" s="119">
        <f>IF(tech_base!$T251&gt;S$1745,"",(tech_base!$K251/tech_proj!S375*0.086*$J$132)/(1-tech_proj!S655))</f>
        <v>0</v>
      </c>
      <c r="T1995" s="119">
        <f>IF(tech_base!$T251&gt;T$1745,"",(tech_base!$K251/tech_proj!T375*0.086*$J$132)/(1-tech_proj!T655))</f>
        <v>0</v>
      </c>
      <c r="U1995" s="119">
        <f>IF(tech_base!$T251&gt;U$1745,"",(tech_base!$K251/tech_proj!U375*0.086*$J$132)/(1-tech_proj!U655))</f>
        <v>0</v>
      </c>
      <c r="V1995" s="119">
        <f>IF(tech_base!$T251&gt;V$1745,"",(tech_base!$K251/tech_proj!V375*0.086*$J$132)/(1-tech_proj!V655))</f>
        <v>0</v>
      </c>
      <c r="W1995" s="119">
        <f>IF(tech_base!$T251&gt;W$1745,"",(tech_base!$K251/tech_proj!W375*0.086*$J$132)/(1-tech_proj!W655))</f>
        <v>0</v>
      </c>
      <c r="X1995" s="119">
        <f>IF(tech_base!$T251&gt;X$1745,"",(tech_base!$K251/tech_proj!X375*0.086*$J$132)/(1-tech_proj!X655))</f>
        <v>0</v>
      </c>
      <c r="Y1995" s="119">
        <f>IF(tech_base!$T251&gt;Y$1745,"",(tech_base!$K251/tech_proj!Y375*0.086*$J$132)/(1-tech_proj!Y655))</f>
        <v>0</v>
      </c>
      <c r="Z1995" s="119">
        <f>IF(tech_base!$T251&gt;Z$1745,"",(tech_base!$K251/tech_proj!Z375*0.086*$J$132)/(1-tech_proj!Z655))</f>
        <v>0</v>
      </c>
      <c r="AA1995" s="119">
        <f>IF(tech_base!$T251&gt;AA$1745,"",(tech_base!$K251/tech_proj!AA375*0.086*$J$132)/(1-tech_proj!AA655))</f>
        <v>0</v>
      </c>
      <c r="AB1995" s="119">
        <f>IF(tech_base!$T251&gt;AB$1745,"",(tech_base!$K251/tech_proj!AB375*0.086*$J$132)/(1-tech_proj!AB655))</f>
        <v>0</v>
      </c>
      <c r="AC1995" s="119">
        <f>IF(tech_base!$T251&gt;AC$1745,"",(tech_base!$K251/tech_proj!AC375*0.086*$J$132)/(1-tech_proj!AC655))</f>
        <v>0</v>
      </c>
      <c r="AD1995" s="119">
        <f>IF(tech_base!$T251&gt;AD$1745,"",(tech_base!$K251/tech_proj!AD375*0.086*$J$132)/(1-tech_proj!AD655))</f>
        <v>0</v>
      </c>
      <c r="AE1995" s="119">
        <f>IF(tech_base!$T251&gt;AE$1745,"",(tech_base!$K251/tech_proj!AE375*0.086*$J$132)/(1-tech_proj!AE655))</f>
        <v>0</v>
      </c>
      <c r="AF1995" s="119">
        <f>IF(tech_base!$T251&gt;AF$1745,"",(tech_base!$K251/tech_proj!AF375*0.086*$J$132)/(1-tech_proj!AF655))</f>
        <v>0</v>
      </c>
      <c r="AG1995" s="119">
        <f>IF(tech_base!$T251&gt;AG$1745,"",(tech_base!$K251/tech_proj!AG375*0.086*$J$132)/(1-tech_proj!AG655))</f>
        <v>0</v>
      </c>
      <c r="AH1995" s="119">
        <f>IF(tech_base!$T251&gt;AH$1745,"",(tech_base!$K251/tech_proj!AH375*0.086*$J$132)/(1-tech_proj!AH655))</f>
        <v>0</v>
      </c>
      <c r="AI1995" s="119">
        <f>IF(tech_base!$T251&gt;AI$1745,"",(tech_base!$K251/tech_proj!AI375*0.086*$J$132)/(1-tech_proj!AI655))</f>
        <v>0</v>
      </c>
      <c r="AJ1995" s="119">
        <f>IF(tech_base!$T251&gt;AJ$1745,"",(tech_base!$K251/tech_proj!AJ375*0.086*$J$132)/(1-tech_proj!AJ655))</f>
        <v>0</v>
      </c>
      <c r="AK1995" s="119">
        <f>IF(tech_base!$T251&gt;AK$1745,"",(tech_base!$K251/tech_proj!AK375*0.086*$J$132)/(1-tech_proj!AK655))</f>
        <v>0</v>
      </c>
      <c r="AL1995" s="119">
        <f>IF(tech_base!$T251&gt;AL$1745,"",(tech_base!$K251/tech_proj!AL375*0.086*$J$132)/(1-tech_proj!AL655))</f>
        <v>0</v>
      </c>
      <c r="AM1995" s="119">
        <f>IF(tech_base!$T251&gt;AM$1745,"",(tech_base!$K251/tech_proj!AM375*0.086*$J$132)/(1-tech_proj!AM655))</f>
        <v>0</v>
      </c>
      <c r="AN1995" s="119">
        <f>IF(tech_base!$T251&gt;AN$1745,"",(tech_base!$K251/tech_proj!AN375*0.086*$J$132)/(1-tech_proj!AN655))</f>
        <v>0</v>
      </c>
      <c r="AO1995" s="119">
        <f>IF(tech_base!$T251&gt;AO$1745,"",(tech_base!$K251/tech_proj!AO375*0.086*$J$132)/(1-tech_proj!AO655))</f>
        <v>0</v>
      </c>
      <c r="AP1995" s="119">
        <f>IF(tech_base!$T251&gt;AP$1745,"",(tech_base!$K251/tech_proj!AP375*0.086*$J$132)/(1-tech_proj!AP655))</f>
        <v>0</v>
      </c>
      <c r="AQ1995" s="119">
        <f>IF(tech_base!$T251&gt;AQ$1745,"",(tech_base!$K251/tech_proj!AQ375*0.086*$J$132)/(1-tech_proj!AQ655))</f>
        <v>0</v>
      </c>
      <c r="AR1995" s="119">
        <f>IF(tech_base!$T251&gt;AR$1745,"",(tech_base!$K251/tech_proj!AR375*0.086*$J$132)/(1-tech_proj!AR655))</f>
        <v>0</v>
      </c>
      <c r="AS1995" s="119">
        <f>IF(tech_base!$T251&gt;AS$1745,"",(tech_base!$K251/tech_proj!AS375*0.086*$J$132)/(1-tech_proj!AS655))</f>
        <v>0</v>
      </c>
      <c r="AT1995" s="119">
        <f>IF(tech_base!$T251&gt;AT$1745,"",(tech_base!$K251/tech_proj!AT375*0.086*$J$132)/(1-tech_proj!AT655))</f>
        <v>0</v>
      </c>
      <c r="AU1995" s="119">
        <f>IF(tech_base!$T251&gt;AU$1745,"",(tech_base!$K251/tech_proj!AU375*0.086*$J$132)/(1-tech_proj!AU655))</f>
        <v>0</v>
      </c>
      <c r="AV1995" s="119">
        <f>IF(tech_base!$T251&gt;AV$1745,"",(tech_base!$K251/tech_proj!AV375*0.086*$J$132)/(1-tech_proj!AV655))</f>
        <v>0</v>
      </c>
      <c r="AW1995" s="119">
        <f>IF(tech_base!$T251&gt;AW$1745,"",(tech_base!$K251/tech_proj!AW375*0.086*$J$132)/(1-tech_proj!AW655))</f>
        <v>0</v>
      </c>
      <c r="AX1995" s="120">
        <f>IF(tech_base!$T251&gt;AX$1745,"",(tech_base!$K251/tech_proj!AX375*0.086*$J$132)/(1-tech_proj!AX655))</f>
        <v>0</v>
      </c>
    </row>
    <row r="1996" spans="1:50" x14ac:dyDescent="0.25">
      <c r="A1996" s="357"/>
      <c r="B1996" s="380"/>
      <c r="C1996" s="381"/>
      <c r="D1996" s="4" t="s">
        <v>20</v>
      </c>
      <c r="E1996" s="168" t="str">
        <f>A1993&amp;"/"&amp;B1993&amp;"/"&amp;C1993&amp;"/"&amp;D1996</f>
        <v>Solar PV power plants/Solar PV power plants/Electricity only/XS</v>
      </c>
      <c r="F1996" s="80" t="str">
        <f>A1993</f>
        <v>Solar PV power plants</v>
      </c>
      <c r="G1996" s="80" t="str">
        <f>B1993</f>
        <v>Solar PV power plants</v>
      </c>
      <c r="H1996" s="80" t="str">
        <f>C1993</f>
        <v>Electricity only</v>
      </c>
      <c r="I1996" s="169" t="str">
        <f t="shared" si="385"/>
        <v>XS</v>
      </c>
      <c r="J1996" s="127">
        <f>IF(tech_base!$T252&gt;J$1745,"",(tech_base!$K252/tech_proj!J376*0.086*$J$132)/(1-tech_proj!J656))</f>
        <v>0</v>
      </c>
      <c r="K1996" s="127">
        <f>IF(tech_base!$T252&gt;K$1745,"",(tech_base!$K252/tech_proj!K376*0.086*$J$132)/(1-tech_proj!K656))</f>
        <v>0</v>
      </c>
      <c r="L1996" s="127">
        <f>IF(tech_base!$T252&gt;L$1745,"",(tech_base!$K252/tech_proj!L376*0.086*$J$132)/(1-tech_proj!L656))</f>
        <v>0</v>
      </c>
      <c r="M1996" s="127">
        <f>IF(tech_base!$T252&gt;M$1745,"",(tech_base!$K252/tech_proj!M376*0.086*$J$132)/(1-tech_proj!M656))</f>
        <v>0</v>
      </c>
      <c r="N1996" s="127">
        <f>IF(tech_base!$T252&gt;N$1745,"",(tech_base!$K252/tech_proj!N376*0.086*$J$132)/(1-tech_proj!N656))</f>
        <v>0</v>
      </c>
      <c r="O1996" s="127">
        <f>IF(tech_base!$T252&gt;O$1745,"",(tech_base!$K252/tech_proj!O376*0.086*$J$132)/(1-tech_proj!O656))</f>
        <v>0</v>
      </c>
      <c r="P1996" s="127">
        <f>IF(tech_base!$T252&gt;P$1745,"",(tech_base!$K252/tech_proj!P376*0.086*$J$132)/(1-tech_proj!P656))</f>
        <v>0</v>
      </c>
      <c r="Q1996" s="127">
        <f>IF(tech_base!$T252&gt;Q$1745,"",(tech_base!$K252/tech_proj!Q376*0.086*$J$132)/(1-tech_proj!Q656))</f>
        <v>0</v>
      </c>
      <c r="R1996" s="127">
        <f>IF(tech_base!$T252&gt;R$1745,"",(tech_base!$K252/tech_proj!R376*0.086*$J$132)/(1-tech_proj!R656))</f>
        <v>0</v>
      </c>
      <c r="S1996" s="127">
        <f>IF(tech_base!$T252&gt;S$1745,"",(tech_base!$K252/tech_proj!S376*0.086*$J$132)/(1-tech_proj!S656))</f>
        <v>0</v>
      </c>
      <c r="T1996" s="127">
        <f>IF(tech_base!$T252&gt;T$1745,"",(tech_base!$K252/tech_proj!T376*0.086*$J$132)/(1-tech_proj!T656))</f>
        <v>0</v>
      </c>
      <c r="U1996" s="127">
        <f>IF(tech_base!$T252&gt;U$1745,"",(tech_base!$K252/tech_proj!U376*0.086*$J$132)/(1-tech_proj!U656))</f>
        <v>0</v>
      </c>
      <c r="V1996" s="127">
        <f>IF(tech_base!$T252&gt;V$1745,"",(tech_base!$K252/tech_proj!V376*0.086*$J$132)/(1-tech_proj!V656))</f>
        <v>0</v>
      </c>
      <c r="W1996" s="127">
        <f>IF(tech_base!$T252&gt;W$1745,"",(tech_base!$K252/tech_proj!W376*0.086*$J$132)/(1-tech_proj!W656))</f>
        <v>0</v>
      </c>
      <c r="X1996" s="127">
        <f>IF(tech_base!$T252&gt;X$1745,"",(tech_base!$K252/tech_proj!X376*0.086*$J$132)/(1-tech_proj!X656))</f>
        <v>0</v>
      </c>
      <c r="Y1996" s="127">
        <f>IF(tech_base!$T252&gt;Y$1745,"",(tech_base!$K252/tech_proj!Y376*0.086*$J$132)/(1-tech_proj!Y656))</f>
        <v>0</v>
      </c>
      <c r="Z1996" s="127">
        <f>IF(tech_base!$T252&gt;Z$1745,"",(tech_base!$K252/tech_proj!Z376*0.086*$J$132)/(1-tech_proj!Z656))</f>
        <v>0</v>
      </c>
      <c r="AA1996" s="127">
        <f>IF(tech_base!$T252&gt;AA$1745,"",(tech_base!$K252/tech_proj!AA376*0.086*$J$132)/(1-tech_proj!AA656))</f>
        <v>0</v>
      </c>
      <c r="AB1996" s="127">
        <f>IF(tech_base!$T252&gt;AB$1745,"",(tech_base!$K252/tech_proj!AB376*0.086*$J$132)/(1-tech_proj!AB656))</f>
        <v>0</v>
      </c>
      <c r="AC1996" s="127">
        <f>IF(tech_base!$T252&gt;AC$1745,"",(tech_base!$K252/tech_proj!AC376*0.086*$J$132)/(1-tech_proj!AC656))</f>
        <v>0</v>
      </c>
      <c r="AD1996" s="127">
        <f>IF(tech_base!$T252&gt;AD$1745,"",(tech_base!$K252/tech_proj!AD376*0.086*$J$132)/(1-tech_proj!AD656))</f>
        <v>0</v>
      </c>
      <c r="AE1996" s="127">
        <f>IF(tech_base!$T252&gt;AE$1745,"",(tech_base!$K252/tech_proj!AE376*0.086*$J$132)/(1-tech_proj!AE656))</f>
        <v>0</v>
      </c>
      <c r="AF1996" s="127">
        <f>IF(tech_base!$T252&gt;AF$1745,"",(tech_base!$K252/tech_proj!AF376*0.086*$J$132)/(1-tech_proj!AF656))</f>
        <v>0</v>
      </c>
      <c r="AG1996" s="127">
        <f>IF(tech_base!$T252&gt;AG$1745,"",(tech_base!$K252/tech_proj!AG376*0.086*$J$132)/(1-tech_proj!AG656))</f>
        <v>0</v>
      </c>
      <c r="AH1996" s="127">
        <f>IF(tech_base!$T252&gt;AH$1745,"",(tech_base!$K252/tech_proj!AH376*0.086*$J$132)/(1-tech_proj!AH656))</f>
        <v>0</v>
      </c>
      <c r="AI1996" s="127">
        <f>IF(tech_base!$T252&gt;AI$1745,"",(tech_base!$K252/tech_proj!AI376*0.086*$J$132)/(1-tech_proj!AI656))</f>
        <v>0</v>
      </c>
      <c r="AJ1996" s="127">
        <f>IF(tech_base!$T252&gt;AJ$1745,"",(tech_base!$K252/tech_proj!AJ376*0.086*$J$132)/(1-tech_proj!AJ656))</f>
        <v>0</v>
      </c>
      <c r="AK1996" s="127">
        <f>IF(tech_base!$T252&gt;AK$1745,"",(tech_base!$K252/tech_proj!AK376*0.086*$J$132)/(1-tech_proj!AK656))</f>
        <v>0</v>
      </c>
      <c r="AL1996" s="127">
        <f>IF(tech_base!$T252&gt;AL$1745,"",(tech_base!$K252/tech_proj!AL376*0.086*$J$132)/(1-tech_proj!AL656))</f>
        <v>0</v>
      </c>
      <c r="AM1996" s="127">
        <f>IF(tech_base!$T252&gt;AM$1745,"",(tech_base!$K252/tech_proj!AM376*0.086*$J$132)/(1-tech_proj!AM656))</f>
        <v>0</v>
      </c>
      <c r="AN1996" s="127">
        <f>IF(tech_base!$T252&gt;AN$1745,"",(tech_base!$K252/tech_proj!AN376*0.086*$J$132)/(1-tech_proj!AN656))</f>
        <v>0</v>
      </c>
      <c r="AO1996" s="127">
        <f>IF(tech_base!$T252&gt;AO$1745,"",(tech_base!$K252/tech_proj!AO376*0.086*$J$132)/(1-tech_proj!AO656))</f>
        <v>0</v>
      </c>
      <c r="AP1996" s="127">
        <f>IF(tech_base!$T252&gt;AP$1745,"",(tech_base!$K252/tech_proj!AP376*0.086*$J$132)/(1-tech_proj!AP656))</f>
        <v>0</v>
      </c>
      <c r="AQ1996" s="127">
        <f>IF(tech_base!$T252&gt;AQ$1745,"",(tech_base!$K252/tech_proj!AQ376*0.086*$J$132)/(1-tech_proj!AQ656))</f>
        <v>0</v>
      </c>
      <c r="AR1996" s="127">
        <f>IF(tech_base!$T252&gt;AR$1745,"",(tech_base!$K252/tech_proj!AR376*0.086*$J$132)/(1-tech_proj!AR656))</f>
        <v>0</v>
      </c>
      <c r="AS1996" s="127">
        <f>IF(tech_base!$T252&gt;AS$1745,"",(tech_base!$K252/tech_proj!AS376*0.086*$J$132)/(1-tech_proj!AS656))</f>
        <v>0</v>
      </c>
      <c r="AT1996" s="127">
        <f>IF(tech_base!$T252&gt;AT$1745,"",(tech_base!$K252/tech_proj!AT376*0.086*$J$132)/(1-tech_proj!AT656))</f>
        <v>0</v>
      </c>
      <c r="AU1996" s="127">
        <f>IF(tech_base!$T252&gt;AU$1745,"",(tech_base!$K252/tech_proj!AU376*0.086*$J$132)/(1-tech_proj!AU656))</f>
        <v>0</v>
      </c>
      <c r="AV1996" s="127">
        <f>IF(tech_base!$T252&gt;AV$1745,"",(tech_base!$K252/tech_proj!AV376*0.086*$J$132)/(1-tech_proj!AV656))</f>
        <v>0</v>
      </c>
      <c r="AW1996" s="127">
        <f>IF(tech_base!$T252&gt;AW$1745,"",(tech_base!$K252/tech_proj!AW376*0.086*$J$132)/(1-tech_proj!AW656))</f>
        <v>0</v>
      </c>
      <c r="AX1996" s="128">
        <f>IF(tech_base!$T252&gt;AX$1745,"",(tech_base!$K252/tech_proj!AX376*0.086*$J$132)/(1-tech_proj!AX656))</f>
        <v>0</v>
      </c>
    </row>
    <row r="1997" spans="1:50" x14ac:dyDescent="0.25">
      <c r="A1997" s="355" t="s">
        <v>38</v>
      </c>
      <c r="B1997" s="358" t="s">
        <v>38</v>
      </c>
      <c r="C1997" s="353" t="s">
        <v>6</v>
      </c>
      <c r="D1997" s="3" t="s">
        <v>7</v>
      </c>
      <c r="E1997" s="162" t="str">
        <f>A1997&amp;"/"&amp;B1997&amp;"/"&amp;C1997&amp;"/"&amp;D1997</f>
        <v>Solar thermal power plants/Solar thermal power plants/Electricity only/L</v>
      </c>
      <c r="F1997" s="77" t="str">
        <f>A1997</f>
        <v>Solar thermal power plants</v>
      </c>
      <c r="G1997" s="77" t="str">
        <f>B1997</f>
        <v>Solar thermal power plants</v>
      </c>
      <c r="H1997" s="77" t="str">
        <f>C1997</f>
        <v>Electricity only</v>
      </c>
      <c r="I1997" s="163" t="str">
        <f t="shared" si="385"/>
        <v>L</v>
      </c>
      <c r="J1997" s="121">
        <f>IF(tech_base!$T253&gt;J$1745,"",(tech_base!$K253/tech_proj!J377*0.086*$J$132)/(1-tech_proj!J657))</f>
        <v>0</v>
      </c>
      <c r="K1997" s="121">
        <f>IF(tech_base!$T253&gt;K$1745,"",(tech_base!$K253/tech_proj!K377*0.086*$J$132)/(1-tech_proj!K657))</f>
        <v>0</v>
      </c>
      <c r="L1997" s="121">
        <f>IF(tech_base!$T253&gt;L$1745,"",(tech_base!$K253/tech_proj!L377*0.086*$J$132)/(1-tech_proj!L657))</f>
        <v>0</v>
      </c>
      <c r="M1997" s="121">
        <f>IF(tech_base!$T253&gt;M$1745,"",(tech_base!$K253/tech_proj!M377*0.086*$J$132)/(1-tech_proj!M657))</f>
        <v>0</v>
      </c>
      <c r="N1997" s="121">
        <f>IF(tech_base!$T253&gt;N$1745,"",(tech_base!$K253/tech_proj!N377*0.086*$J$132)/(1-tech_proj!N657))</f>
        <v>0</v>
      </c>
      <c r="O1997" s="121">
        <f>IF(tech_base!$T253&gt;O$1745,"",(tech_base!$K253/tech_proj!O377*0.086*$J$132)/(1-tech_proj!O657))</f>
        <v>0</v>
      </c>
      <c r="P1997" s="121">
        <f>IF(tech_base!$T253&gt;P$1745,"",(tech_base!$K253/tech_proj!P377*0.086*$J$132)/(1-tech_proj!P657))</f>
        <v>0</v>
      </c>
      <c r="Q1997" s="121">
        <f>IF(tech_base!$T253&gt;Q$1745,"",(tech_base!$K253/tech_proj!Q377*0.086*$J$132)/(1-tech_proj!Q657))</f>
        <v>0</v>
      </c>
      <c r="R1997" s="121">
        <f>IF(tech_base!$T253&gt;R$1745,"",(tech_base!$K253/tech_proj!R377*0.086*$J$132)/(1-tech_proj!R657))</f>
        <v>0</v>
      </c>
      <c r="S1997" s="121">
        <f>IF(tech_base!$T253&gt;S$1745,"",(tech_base!$K253/tech_proj!S377*0.086*$J$132)/(1-tech_proj!S657))</f>
        <v>0</v>
      </c>
      <c r="T1997" s="121">
        <f>IF(tech_base!$T253&gt;T$1745,"",(tech_base!$K253/tech_proj!T377*0.086*$J$132)/(1-tech_proj!T657))</f>
        <v>0</v>
      </c>
      <c r="U1997" s="121">
        <f>IF(tech_base!$T253&gt;U$1745,"",(tech_base!$K253/tech_proj!U377*0.086*$J$132)/(1-tech_proj!U657))</f>
        <v>0</v>
      </c>
      <c r="V1997" s="121">
        <f>IF(tech_base!$T253&gt;V$1745,"",(tech_base!$K253/tech_proj!V377*0.086*$J$132)/(1-tech_proj!V657))</f>
        <v>0</v>
      </c>
      <c r="W1997" s="121">
        <f>IF(tech_base!$T253&gt;W$1745,"",(tech_base!$K253/tech_proj!W377*0.086*$J$132)/(1-tech_proj!W657))</f>
        <v>0</v>
      </c>
      <c r="X1997" s="121">
        <f>IF(tech_base!$T253&gt;X$1745,"",(tech_base!$K253/tech_proj!X377*0.086*$J$132)/(1-tech_proj!X657))</f>
        <v>0</v>
      </c>
      <c r="Y1997" s="121">
        <f>IF(tech_base!$T253&gt;Y$1745,"",(tech_base!$K253/tech_proj!Y377*0.086*$J$132)/(1-tech_proj!Y657))</f>
        <v>0</v>
      </c>
      <c r="Z1997" s="121">
        <f>IF(tech_base!$T253&gt;Z$1745,"",(tech_base!$K253/tech_proj!Z377*0.086*$J$132)/(1-tech_proj!Z657))</f>
        <v>0</v>
      </c>
      <c r="AA1997" s="121">
        <f>IF(tech_base!$T253&gt;AA$1745,"",(tech_base!$K253/tech_proj!AA377*0.086*$J$132)/(1-tech_proj!AA657))</f>
        <v>0</v>
      </c>
      <c r="AB1997" s="121">
        <f>IF(tech_base!$T253&gt;AB$1745,"",(tech_base!$K253/tech_proj!AB377*0.086*$J$132)/(1-tech_proj!AB657))</f>
        <v>0</v>
      </c>
      <c r="AC1997" s="121">
        <f>IF(tech_base!$T253&gt;AC$1745,"",(tech_base!$K253/tech_proj!AC377*0.086*$J$132)/(1-tech_proj!AC657))</f>
        <v>0</v>
      </c>
      <c r="AD1997" s="121">
        <f>IF(tech_base!$T253&gt;AD$1745,"",(tech_base!$K253/tech_proj!AD377*0.086*$J$132)/(1-tech_proj!AD657))</f>
        <v>0</v>
      </c>
      <c r="AE1997" s="121">
        <f>IF(tech_base!$T253&gt;AE$1745,"",(tech_base!$K253/tech_proj!AE377*0.086*$J$132)/(1-tech_proj!AE657))</f>
        <v>0</v>
      </c>
      <c r="AF1997" s="121">
        <f>IF(tech_base!$T253&gt;AF$1745,"",(tech_base!$K253/tech_proj!AF377*0.086*$J$132)/(1-tech_proj!AF657))</f>
        <v>0</v>
      </c>
      <c r="AG1997" s="121">
        <f>IF(tech_base!$T253&gt;AG$1745,"",(tech_base!$K253/tech_proj!AG377*0.086*$J$132)/(1-tech_proj!AG657))</f>
        <v>0</v>
      </c>
      <c r="AH1997" s="121">
        <f>IF(tech_base!$T253&gt;AH$1745,"",(tech_base!$K253/tech_proj!AH377*0.086*$J$132)/(1-tech_proj!AH657))</f>
        <v>0</v>
      </c>
      <c r="AI1997" s="121">
        <f>IF(tech_base!$T253&gt;AI$1745,"",(tech_base!$K253/tech_proj!AI377*0.086*$J$132)/(1-tech_proj!AI657))</f>
        <v>0</v>
      </c>
      <c r="AJ1997" s="121">
        <f>IF(tech_base!$T253&gt;AJ$1745,"",(tech_base!$K253/tech_proj!AJ377*0.086*$J$132)/(1-tech_proj!AJ657))</f>
        <v>0</v>
      </c>
      <c r="AK1997" s="121">
        <f>IF(tech_base!$T253&gt;AK$1745,"",(tech_base!$K253/tech_proj!AK377*0.086*$J$132)/(1-tech_proj!AK657))</f>
        <v>0</v>
      </c>
      <c r="AL1997" s="121">
        <f>IF(tech_base!$T253&gt;AL$1745,"",(tech_base!$K253/tech_proj!AL377*0.086*$J$132)/(1-tech_proj!AL657))</f>
        <v>0</v>
      </c>
      <c r="AM1997" s="121">
        <f>IF(tech_base!$T253&gt;AM$1745,"",(tech_base!$K253/tech_proj!AM377*0.086*$J$132)/(1-tech_proj!AM657))</f>
        <v>0</v>
      </c>
      <c r="AN1997" s="121">
        <f>IF(tech_base!$T253&gt;AN$1745,"",(tech_base!$K253/tech_proj!AN377*0.086*$J$132)/(1-tech_proj!AN657))</f>
        <v>0</v>
      </c>
      <c r="AO1997" s="121">
        <f>IF(tech_base!$T253&gt;AO$1745,"",(tech_base!$K253/tech_proj!AO377*0.086*$J$132)/(1-tech_proj!AO657))</f>
        <v>0</v>
      </c>
      <c r="AP1997" s="121">
        <f>IF(tech_base!$T253&gt;AP$1745,"",(tech_base!$K253/tech_proj!AP377*0.086*$J$132)/(1-tech_proj!AP657))</f>
        <v>0</v>
      </c>
      <c r="AQ1997" s="121">
        <f>IF(tech_base!$T253&gt;AQ$1745,"",(tech_base!$K253/tech_proj!AQ377*0.086*$J$132)/(1-tech_proj!AQ657))</f>
        <v>0</v>
      </c>
      <c r="AR1997" s="121">
        <f>IF(tech_base!$T253&gt;AR$1745,"",(tech_base!$K253/tech_proj!AR377*0.086*$J$132)/(1-tech_proj!AR657))</f>
        <v>0</v>
      </c>
      <c r="AS1997" s="121">
        <f>IF(tech_base!$T253&gt;AS$1745,"",(tech_base!$K253/tech_proj!AS377*0.086*$J$132)/(1-tech_proj!AS657))</f>
        <v>0</v>
      </c>
      <c r="AT1997" s="121">
        <f>IF(tech_base!$T253&gt;AT$1745,"",(tech_base!$K253/tech_proj!AT377*0.086*$J$132)/(1-tech_proj!AT657))</f>
        <v>0</v>
      </c>
      <c r="AU1997" s="121">
        <f>IF(tech_base!$T253&gt;AU$1745,"",(tech_base!$K253/tech_proj!AU377*0.086*$J$132)/(1-tech_proj!AU657))</f>
        <v>0</v>
      </c>
      <c r="AV1997" s="121">
        <f>IF(tech_base!$T253&gt;AV$1745,"",(tech_base!$K253/tech_proj!AV377*0.086*$J$132)/(1-tech_proj!AV657))</f>
        <v>0</v>
      </c>
      <c r="AW1997" s="121">
        <f>IF(tech_base!$T253&gt;AW$1745,"",(tech_base!$K253/tech_proj!AW377*0.086*$J$132)/(1-tech_proj!AW657))</f>
        <v>0</v>
      </c>
      <c r="AX1997" s="122">
        <f>IF(tech_base!$T253&gt;AX$1745,"",(tech_base!$K253/tech_proj!AX377*0.086*$J$132)/(1-tech_proj!AX657))</f>
        <v>0</v>
      </c>
    </row>
    <row r="1998" spans="1:50" x14ac:dyDescent="0.25">
      <c r="A1998" s="382"/>
      <c r="B1998" s="376"/>
      <c r="C1998" s="378"/>
      <c r="D1998" s="2" t="s">
        <v>8</v>
      </c>
      <c r="E1998" s="160" t="str">
        <f>A1997&amp;"/"&amp;B1997&amp;"/"&amp;C1997&amp;"/"&amp;D1998</f>
        <v>Solar thermal power plants/Solar thermal power plants/Electricity only/M</v>
      </c>
      <c r="F1998" s="76" t="str">
        <f>A1997</f>
        <v>Solar thermal power plants</v>
      </c>
      <c r="G1998" s="76" t="str">
        <f>B1997</f>
        <v>Solar thermal power plants</v>
      </c>
      <c r="H1998" s="76" t="str">
        <f>C1997</f>
        <v>Electricity only</v>
      </c>
      <c r="I1998" s="161" t="str">
        <f t="shared" si="385"/>
        <v>M</v>
      </c>
      <c r="J1998" s="119">
        <f>IF(tech_base!$T254&gt;J$1745,"",(tech_base!$K254/tech_proj!J378*0.086*$J$132)/(1-tech_proj!J658))</f>
        <v>0</v>
      </c>
      <c r="K1998" s="119">
        <f>IF(tech_base!$T254&gt;K$1745,"",(tech_base!$K254/tech_proj!K378*0.086*$J$132)/(1-tech_proj!K658))</f>
        <v>0</v>
      </c>
      <c r="L1998" s="119">
        <f>IF(tech_base!$T254&gt;L$1745,"",(tech_base!$K254/tech_proj!L378*0.086*$J$132)/(1-tech_proj!L658))</f>
        <v>0</v>
      </c>
      <c r="M1998" s="119">
        <f>IF(tech_base!$T254&gt;M$1745,"",(tech_base!$K254/tech_proj!M378*0.086*$J$132)/(1-tech_proj!M658))</f>
        <v>0</v>
      </c>
      <c r="N1998" s="119">
        <f>IF(tech_base!$T254&gt;N$1745,"",(tech_base!$K254/tech_proj!N378*0.086*$J$132)/(1-tech_proj!N658))</f>
        <v>0</v>
      </c>
      <c r="O1998" s="119">
        <f>IF(tech_base!$T254&gt;O$1745,"",(tech_base!$K254/tech_proj!O378*0.086*$J$132)/(1-tech_proj!O658))</f>
        <v>0</v>
      </c>
      <c r="P1998" s="119">
        <f>IF(tech_base!$T254&gt;P$1745,"",(tech_base!$K254/tech_proj!P378*0.086*$J$132)/(1-tech_proj!P658))</f>
        <v>0</v>
      </c>
      <c r="Q1998" s="119">
        <f>IF(tech_base!$T254&gt;Q$1745,"",(tech_base!$K254/tech_proj!Q378*0.086*$J$132)/(1-tech_proj!Q658))</f>
        <v>0</v>
      </c>
      <c r="R1998" s="119">
        <f>IF(tech_base!$T254&gt;R$1745,"",(tech_base!$K254/tech_proj!R378*0.086*$J$132)/(1-tech_proj!R658))</f>
        <v>0</v>
      </c>
      <c r="S1998" s="119">
        <f>IF(tech_base!$T254&gt;S$1745,"",(tech_base!$K254/tech_proj!S378*0.086*$J$132)/(1-tech_proj!S658))</f>
        <v>0</v>
      </c>
      <c r="T1998" s="119">
        <f>IF(tech_base!$T254&gt;T$1745,"",(tech_base!$K254/tech_proj!T378*0.086*$J$132)/(1-tech_proj!T658))</f>
        <v>0</v>
      </c>
      <c r="U1998" s="119">
        <f>IF(tech_base!$T254&gt;U$1745,"",(tech_base!$K254/tech_proj!U378*0.086*$J$132)/(1-tech_proj!U658))</f>
        <v>0</v>
      </c>
      <c r="V1998" s="119">
        <f>IF(tech_base!$T254&gt;V$1745,"",(tech_base!$K254/tech_proj!V378*0.086*$J$132)/(1-tech_proj!V658))</f>
        <v>0</v>
      </c>
      <c r="W1998" s="119">
        <f>IF(tech_base!$T254&gt;W$1745,"",(tech_base!$K254/tech_proj!W378*0.086*$J$132)/(1-tech_proj!W658))</f>
        <v>0</v>
      </c>
      <c r="X1998" s="119">
        <f>IF(tech_base!$T254&gt;X$1745,"",(tech_base!$K254/tech_proj!X378*0.086*$J$132)/(1-tech_proj!X658))</f>
        <v>0</v>
      </c>
      <c r="Y1998" s="119">
        <f>IF(tech_base!$T254&gt;Y$1745,"",(tech_base!$K254/tech_proj!Y378*0.086*$J$132)/(1-tech_proj!Y658))</f>
        <v>0</v>
      </c>
      <c r="Z1998" s="119">
        <f>IF(tech_base!$T254&gt;Z$1745,"",(tech_base!$K254/tech_proj!Z378*0.086*$J$132)/(1-tech_proj!Z658))</f>
        <v>0</v>
      </c>
      <c r="AA1998" s="119">
        <f>IF(tech_base!$T254&gt;AA$1745,"",(tech_base!$K254/tech_proj!AA378*0.086*$J$132)/(1-tech_proj!AA658))</f>
        <v>0</v>
      </c>
      <c r="AB1998" s="119">
        <f>IF(tech_base!$T254&gt;AB$1745,"",(tech_base!$K254/tech_proj!AB378*0.086*$J$132)/(1-tech_proj!AB658))</f>
        <v>0</v>
      </c>
      <c r="AC1998" s="119">
        <f>IF(tech_base!$T254&gt;AC$1745,"",(tech_base!$K254/tech_proj!AC378*0.086*$J$132)/(1-tech_proj!AC658))</f>
        <v>0</v>
      </c>
      <c r="AD1998" s="119">
        <f>IF(tech_base!$T254&gt;AD$1745,"",(tech_base!$K254/tech_proj!AD378*0.086*$J$132)/(1-tech_proj!AD658))</f>
        <v>0</v>
      </c>
      <c r="AE1998" s="119">
        <f>IF(tech_base!$T254&gt;AE$1745,"",(tech_base!$K254/tech_proj!AE378*0.086*$J$132)/(1-tech_proj!AE658))</f>
        <v>0</v>
      </c>
      <c r="AF1998" s="119">
        <f>IF(tech_base!$T254&gt;AF$1745,"",(tech_base!$K254/tech_proj!AF378*0.086*$J$132)/(1-tech_proj!AF658))</f>
        <v>0</v>
      </c>
      <c r="AG1998" s="119">
        <f>IF(tech_base!$T254&gt;AG$1745,"",(tech_base!$K254/tech_proj!AG378*0.086*$J$132)/(1-tech_proj!AG658))</f>
        <v>0</v>
      </c>
      <c r="AH1998" s="119">
        <f>IF(tech_base!$T254&gt;AH$1745,"",(tech_base!$K254/tech_proj!AH378*0.086*$J$132)/(1-tech_proj!AH658))</f>
        <v>0</v>
      </c>
      <c r="AI1998" s="119">
        <f>IF(tech_base!$T254&gt;AI$1745,"",(tech_base!$K254/tech_proj!AI378*0.086*$J$132)/(1-tech_proj!AI658))</f>
        <v>0</v>
      </c>
      <c r="AJ1998" s="119">
        <f>IF(tech_base!$T254&gt;AJ$1745,"",(tech_base!$K254/tech_proj!AJ378*0.086*$J$132)/(1-tech_proj!AJ658))</f>
        <v>0</v>
      </c>
      <c r="AK1998" s="119">
        <f>IF(tech_base!$T254&gt;AK$1745,"",(tech_base!$K254/tech_proj!AK378*0.086*$J$132)/(1-tech_proj!AK658))</f>
        <v>0</v>
      </c>
      <c r="AL1998" s="119">
        <f>IF(tech_base!$T254&gt;AL$1745,"",(tech_base!$K254/tech_proj!AL378*0.086*$J$132)/(1-tech_proj!AL658))</f>
        <v>0</v>
      </c>
      <c r="AM1998" s="119">
        <f>IF(tech_base!$T254&gt;AM$1745,"",(tech_base!$K254/tech_proj!AM378*0.086*$J$132)/(1-tech_proj!AM658))</f>
        <v>0</v>
      </c>
      <c r="AN1998" s="119">
        <f>IF(tech_base!$T254&gt;AN$1745,"",(tech_base!$K254/tech_proj!AN378*0.086*$J$132)/(1-tech_proj!AN658))</f>
        <v>0</v>
      </c>
      <c r="AO1998" s="119">
        <f>IF(tech_base!$T254&gt;AO$1745,"",(tech_base!$K254/tech_proj!AO378*0.086*$J$132)/(1-tech_proj!AO658))</f>
        <v>0</v>
      </c>
      <c r="AP1998" s="119">
        <f>IF(tech_base!$T254&gt;AP$1745,"",(tech_base!$K254/tech_proj!AP378*0.086*$J$132)/(1-tech_proj!AP658))</f>
        <v>0</v>
      </c>
      <c r="AQ1998" s="119">
        <f>IF(tech_base!$T254&gt;AQ$1745,"",(tech_base!$K254/tech_proj!AQ378*0.086*$J$132)/(1-tech_proj!AQ658))</f>
        <v>0</v>
      </c>
      <c r="AR1998" s="119">
        <f>IF(tech_base!$T254&gt;AR$1745,"",(tech_base!$K254/tech_proj!AR378*0.086*$J$132)/(1-tech_proj!AR658))</f>
        <v>0</v>
      </c>
      <c r="AS1998" s="119">
        <f>IF(tech_base!$T254&gt;AS$1745,"",(tech_base!$K254/tech_proj!AS378*0.086*$J$132)/(1-tech_proj!AS658))</f>
        <v>0</v>
      </c>
      <c r="AT1998" s="119">
        <f>IF(tech_base!$T254&gt;AT$1745,"",(tech_base!$K254/tech_proj!AT378*0.086*$J$132)/(1-tech_proj!AT658))</f>
        <v>0</v>
      </c>
      <c r="AU1998" s="119">
        <f>IF(tech_base!$T254&gt;AU$1745,"",(tech_base!$K254/tech_proj!AU378*0.086*$J$132)/(1-tech_proj!AU658))</f>
        <v>0</v>
      </c>
      <c r="AV1998" s="119">
        <f>IF(tech_base!$T254&gt;AV$1745,"",(tech_base!$K254/tech_proj!AV378*0.086*$J$132)/(1-tech_proj!AV658))</f>
        <v>0</v>
      </c>
      <c r="AW1998" s="119">
        <f>IF(tech_base!$T254&gt;AW$1745,"",(tech_base!$K254/tech_proj!AW378*0.086*$J$132)/(1-tech_proj!AW658))</f>
        <v>0</v>
      </c>
      <c r="AX1998" s="120">
        <f>IF(tech_base!$T254&gt;AX$1745,"",(tech_base!$K254/tech_proj!AX378*0.086*$J$132)/(1-tech_proj!AX658))</f>
        <v>0</v>
      </c>
    </row>
    <row r="1999" spans="1:50" x14ac:dyDescent="0.25">
      <c r="A1999" s="382"/>
      <c r="B1999" s="376"/>
      <c r="C1999" s="378"/>
      <c r="D1999" s="2" t="s">
        <v>10</v>
      </c>
      <c r="E1999" s="160" t="str">
        <f>A1997&amp;"/"&amp;B1997&amp;"/"&amp;C1997&amp;"/"&amp;D1999</f>
        <v>Solar thermal power plants/Solar thermal power plants/Electricity only/S</v>
      </c>
      <c r="F1999" s="76" t="str">
        <f>A1997</f>
        <v>Solar thermal power plants</v>
      </c>
      <c r="G1999" s="76" t="str">
        <f>B1997</f>
        <v>Solar thermal power plants</v>
      </c>
      <c r="H1999" s="76" t="str">
        <f>C1997</f>
        <v>Electricity only</v>
      </c>
      <c r="I1999" s="161" t="str">
        <f t="shared" si="385"/>
        <v>S</v>
      </c>
      <c r="J1999" s="119">
        <f>IF(tech_base!$T255&gt;J$1745,"",(tech_base!$K255/tech_proj!J379*0.086*$J$132)/(1-tech_proj!J659))</f>
        <v>0</v>
      </c>
      <c r="K1999" s="119">
        <f>IF(tech_base!$T255&gt;K$1745,"",(tech_base!$K255/tech_proj!K379*0.086*$J$132)/(1-tech_proj!K659))</f>
        <v>0</v>
      </c>
      <c r="L1999" s="119">
        <f>IF(tech_base!$T255&gt;L$1745,"",(tech_base!$K255/tech_proj!L379*0.086*$J$132)/(1-tech_proj!L659))</f>
        <v>0</v>
      </c>
      <c r="M1999" s="119">
        <f>IF(tech_base!$T255&gt;M$1745,"",(tech_base!$K255/tech_proj!M379*0.086*$J$132)/(1-tech_proj!M659))</f>
        <v>0</v>
      </c>
      <c r="N1999" s="119">
        <f>IF(tech_base!$T255&gt;N$1745,"",(tech_base!$K255/tech_proj!N379*0.086*$J$132)/(1-tech_proj!N659))</f>
        <v>0</v>
      </c>
      <c r="O1999" s="119">
        <f>IF(tech_base!$T255&gt;O$1745,"",(tech_base!$K255/tech_proj!O379*0.086*$J$132)/(1-tech_proj!O659))</f>
        <v>0</v>
      </c>
      <c r="P1999" s="119">
        <f>IF(tech_base!$T255&gt;P$1745,"",(tech_base!$K255/tech_proj!P379*0.086*$J$132)/(1-tech_proj!P659))</f>
        <v>0</v>
      </c>
      <c r="Q1999" s="119">
        <f>IF(tech_base!$T255&gt;Q$1745,"",(tech_base!$K255/tech_proj!Q379*0.086*$J$132)/(1-tech_proj!Q659))</f>
        <v>0</v>
      </c>
      <c r="R1999" s="119">
        <f>IF(tech_base!$T255&gt;R$1745,"",(tech_base!$K255/tech_proj!R379*0.086*$J$132)/(1-tech_proj!R659))</f>
        <v>0</v>
      </c>
      <c r="S1999" s="119">
        <f>IF(tech_base!$T255&gt;S$1745,"",(tech_base!$K255/tech_proj!S379*0.086*$J$132)/(1-tech_proj!S659))</f>
        <v>0</v>
      </c>
      <c r="T1999" s="119">
        <f>IF(tech_base!$T255&gt;T$1745,"",(tech_base!$K255/tech_proj!T379*0.086*$J$132)/(1-tech_proj!T659))</f>
        <v>0</v>
      </c>
      <c r="U1999" s="119">
        <f>IF(tech_base!$T255&gt;U$1745,"",(tech_base!$K255/tech_proj!U379*0.086*$J$132)/(1-tech_proj!U659))</f>
        <v>0</v>
      </c>
      <c r="V1999" s="119">
        <f>IF(tech_base!$T255&gt;V$1745,"",(tech_base!$K255/tech_proj!V379*0.086*$J$132)/(1-tech_proj!V659))</f>
        <v>0</v>
      </c>
      <c r="W1999" s="119">
        <f>IF(tech_base!$T255&gt;W$1745,"",(tech_base!$K255/tech_proj!W379*0.086*$J$132)/(1-tech_proj!W659))</f>
        <v>0</v>
      </c>
      <c r="X1999" s="119">
        <f>IF(tech_base!$T255&gt;X$1745,"",(tech_base!$K255/tech_proj!X379*0.086*$J$132)/(1-tech_proj!X659))</f>
        <v>0</v>
      </c>
      <c r="Y1999" s="119">
        <f>IF(tech_base!$T255&gt;Y$1745,"",(tech_base!$K255/tech_proj!Y379*0.086*$J$132)/(1-tech_proj!Y659))</f>
        <v>0</v>
      </c>
      <c r="Z1999" s="119">
        <f>IF(tech_base!$T255&gt;Z$1745,"",(tech_base!$K255/tech_proj!Z379*0.086*$J$132)/(1-tech_proj!Z659))</f>
        <v>0</v>
      </c>
      <c r="AA1999" s="119">
        <f>IF(tech_base!$T255&gt;AA$1745,"",(tech_base!$K255/tech_proj!AA379*0.086*$J$132)/(1-tech_proj!AA659))</f>
        <v>0</v>
      </c>
      <c r="AB1999" s="119">
        <f>IF(tech_base!$T255&gt;AB$1745,"",(tech_base!$K255/tech_proj!AB379*0.086*$J$132)/(1-tech_proj!AB659))</f>
        <v>0</v>
      </c>
      <c r="AC1999" s="119">
        <f>IF(tech_base!$T255&gt;AC$1745,"",(tech_base!$K255/tech_proj!AC379*0.086*$J$132)/(1-tech_proj!AC659))</f>
        <v>0</v>
      </c>
      <c r="AD1999" s="119">
        <f>IF(tech_base!$T255&gt;AD$1745,"",(tech_base!$K255/tech_proj!AD379*0.086*$J$132)/(1-tech_proj!AD659))</f>
        <v>0</v>
      </c>
      <c r="AE1999" s="119">
        <f>IF(tech_base!$T255&gt;AE$1745,"",(tech_base!$K255/tech_proj!AE379*0.086*$J$132)/(1-tech_proj!AE659))</f>
        <v>0</v>
      </c>
      <c r="AF1999" s="119">
        <f>IF(tech_base!$T255&gt;AF$1745,"",(tech_base!$K255/tech_proj!AF379*0.086*$J$132)/(1-tech_proj!AF659))</f>
        <v>0</v>
      </c>
      <c r="AG1999" s="119">
        <f>IF(tech_base!$T255&gt;AG$1745,"",(tech_base!$K255/tech_proj!AG379*0.086*$J$132)/(1-tech_proj!AG659))</f>
        <v>0</v>
      </c>
      <c r="AH1999" s="119">
        <f>IF(tech_base!$T255&gt;AH$1745,"",(tech_base!$K255/tech_proj!AH379*0.086*$J$132)/(1-tech_proj!AH659))</f>
        <v>0</v>
      </c>
      <c r="AI1999" s="119">
        <f>IF(tech_base!$T255&gt;AI$1745,"",(tech_base!$K255/tech_proj!AI379*0.086*$J$132)/(1-tech_proj!AI659))</f>
        <v>0</v>
      </c>
      <c r="AJ1999" s="119">
        <f>IF(tech_base!$T255&gt;AJ$1745,"",(tech_base!$K255/tech_proj!AJ379*0.086*$J$132)/(1-tech_proj!AJ659))</f>
        <v>0</v>
      </c>
      <c r="AK1999" s="119">
        <f>IF(tech_base!$T255&gt;AK$1745,"",(tech_base!$K255/tech_proj!AK379*0.086*$J$132)/(1-tech_proj!AK659))</f>
        <v>0</v>
      </c>
      <c r="AL1999" s="119">
        <f>IF(tech_base!$T255&gt;AL$1745,"",(tech_base!$K255/tech_proj!AL379*0.086*$J$132)/(1-tech_proj!AL659))</f>
        <v>0</v>
      </c>
      <c r="AM1999" s="119">
        <f>IF(tech_base!$T255&gt;AM$1745,"",(tech_base!$K255/tech_proj!AM379*0.086*$J$132)/(1-tech_proj!AM659))</f>
        <v>0</v>
      </c>
      <c r="AN1999" s="119">
        <f>IF(tech_base!$T255&gt;AN$1745,"",(tech_base!$K255/tech_proj!AN379*0.086*$J$132)/(1-tech_proj!AN659))</f>
        <v>0</v>
      </c>
      <c r="AO1999" s="119">
        <f>IF(tech_base!$T255&gt;AO$1745,"",(tech_base!$K255/tech_proj!AO379*0.086*$J$132)/(1-tech_proj!AO659))</f>
        <v>0</v>
      </c>
      <c r="AP1999" s="119">
        <f>IF(tech_base!$T255&gt;AP$1745,"",(tech_base!$K255/tech_proj!AP379*0.086*$J$132)/(1-tech_proj!AP659))</f>
        <v>0</v>
      </c>
      <c r="AQ1999" s="119">
        <f>IF(tech_base!$T255&gt;AQ$1745,"",(tech_base!$K255/tech_proj!AQ379*0.086*$J$132)/(1-tech_proj!AQ659))</f>
        <v>0</v>
      </c>
      <c r="AR1999" s="119">
        <f>IF(tech_base!$T255&gt;AR$1745,"",(tech_base!$K255/tech_proj!AR379*0.086*$J$132)/(1-tech_proj!AR659))</f>
        <v>0</v>
      </c>
      <c r="AS1999" s="119">
        <f>IF(tech_base!$T255&gt;AS$1745,"",(tech_base!$K255/tech_proj!AS379*0.086*$J$132)/(1-tech_proj!AS659))</f>
        <v>0</v>
      </c>
      <c r="AT1999" s="119">
        <f>IF(tech_base!$T255&gt;AT$1745,"",(tech_base!$K255/tech_proj!AT379*0.086*$J$132)/(1-tech_proj!AT659))</f>
        <v>0</v>
      </c>
      <c r="AU1999" s="119">
        <f>IF(tech_base!$T255&gt;AU$1745,"",(tech_base!$K255/tech_proj!AU379*0.086*$J$132)/(1-tech_proj!AU659))</f>
        <v>0</v>
      </c>
      <c r="AV1999" s="119">
        <f>IF(tech_base!$T255&gt;AV$1745,"",(tech_base!$K255/tech_proj!AV379*0.086*$J$132)/(1-tech_proj!AV659))</f>
        <v>0</v>
      </c>
      <c r="AW1999" s="119">
        <f>IF(tech_base!$T255&gt;AW$1745,"",(tech_base!$K255/tech_proj!AW379*0.086*$J$132)/(1-tech_proj!AW659))</f>
        <v>0</v>
      </c>
      <c r="AX1999" s="120">
        <f>IF(tech_base!$T255&gt;AX$1745,"",(tech_base!$K255/tech_proj!AX379*0.086*$J$132)/(1-tech_proj!AX659))</f>
        <v>0</v>
      </c>
    </row>
    <row r="2000" spans="1:50" x14ac:dyDescent="0.25">
      <c r="A2000" s="375"/>
      <c r="B2000" s="380"/>
      <c r="C2000" s="381"/>
      <c r="D2000" s="4" t="s">
        <v>20</v>
      </c>
      <c r="E2000" s="168" t="str">
        <f>A1997&amp;"/"&amp;B1997&amp;"/"&amp;C1997&amp;"/"&amp;D2000</f>
        <v>Solar thermal power plants/Solar thermal power plants/Electricity only/XS</v>
      </c>
      <c r="F2000" s="80" t="str">
        <f>A1997</f>
        <v>Solar thermal power plants</v>
      </c>
      <c r="G2000" s="80" t="str">
        <f>B1997</f>
        <v>Solar thermal power plants</v>
      </c>
      <c r="H2000" s="80" t="str">
        <f>C1997</f>
        <v>Electricity only</v>
      </c>
      <c r="I2000" s="169" t="str">
        <f t="shared" si="385"/>
        <v>XS</v>
      </c>
      <c r="J2000" s="127">
        <f>IF(tech_base!$T256&gt;J$1745,"",(tech_base!$K256/tech_proj!J380*0.086*$J$132)/(1-tech_proj!J660))</f>
        <v>0</v>
      </c>
      <c r="K2000" s="127">
        <f>IF(tech_base!$T256&gt;K$1745,"",(tech_base!$K256/tech_proj!K380*0.086*$J$132)/(1-tech_proj!K660))</f>
        <v>0</v>
      </c>
      <c r="L2000" s="127">
        <f>IF(tech_base!$T256&gt;L$1745,"",(tech_base!$K256/tech_proj!L380*0.086*$J$132)/(1-tech_proj!L660))</f>
        <v>0</v>
      </c>
      <c r="M2000" s="127">
        <f>IF(tech_base!$T256&gt;M$1745,"",(tech_base!$K256/tech_proj!M380*0.086*$J$132)/(1-tech_proj!M660))</f>
        <v>0</v>
      </c>
      <c r="N2000" s="127">
        <f>IF(tech_base!$T256&gt;N$1745,"",(tech_base!$K256/tech_proj!N380*0.086*$J$132)/(1-tech_proj!N660))</f>
        <v>0</v>
      </c>
      <c r="O2000" s="127">
        <f>IF(tech_base!$T256&gt;O$1745,"",(tech_base!$K256/tech_proj!O380*0.086*$J$132)/(1-tech_proj!O660))</f>
        <v>0</v>
      </c>
      <c r="P2000" s="127">
        <f>IF(tech_base!$T256&gt;P$1745,"",(tech_base!$K256/tech_proj!P380*0.086*$J$132)/(1-tech_proj!P660))</f>
        <v>0</v>
      </c>
      <c r="Q2000" s="127">
        <f>IF(tech_base!$T256&gt;Q$1745,"",(tech_base!$K256/tech_proj!Q380*0.086*$J$132)/(1-tech_proj!Q660))</f>
        <v>0</v>
      </c>
      <c r="R2000" s="127">
        <f>IF(tech_base!$T256&gt;R$1745,"",(tech_base!$K256/tech_proj!R380*0.086*$J$132)/(1-tech_proj!R660))</f>
        <v>0</v>
      </c>
      <c r="S2000" s="127">
        <f>IF(tech_base!$T256&gt;S$1745,"",(tech_base!$K256/tech_proj!S380*0.086*$J$132)/(1-tech_proj!S660))</f>
        <v>0</v>
      </c>
      <c r="T2000" s="127">
        <f>IF(tech_base!$T256&gt;T$1745,"",(tech_base!$K256/tech_proj!T380*0.086*$J$132)/(1-tech_proj!T660))</f>
        <v>0</v>
      </c>
      <c r="U2000" s="127">
        <f>IF(tech_base!$T256&gt;U$1745,"",(tech_base!$K256/tech_proj!U380*0.086*$J$132)/(1-tech_proj!U660))</f>
        <v>0</v>
      </c>
      <c r="V2000" s="127">
        <f>IF(tech_base!$T256&gt;V$1745,"",(tech_base!$K256/tech_proj!V380*0.086*$J$132)/(1-tech_proj!V660))</f>
        <v>0</v>
      </c>
      <c r="W2000" s="127">
        <f>IF(tech_base!$T256&gt;W$1745,"",(tech_base!$K256/tech_proj!W380*0.086*$J$132)/(1-tech_proj!W660))</f>
        <v>0</v>
      </c>
      <c r="X2000" s="127">
        <f>IF(tech_base!$T256&gt;X$1745,"",(tech_base!$K256/tech_proj!X380*0.086*$J$132)/(1-tech_proj!X660))</f>
        <v>0</v>
      </c>
      <c r="Y2000" s="127">
        <f>IF(tech_base!$T256&gt;Y$1745,"",(tech_base!$K256/tech_proj!Y380*0.086*$J$132)/(1-tech_proj!Y660))</f>
        <v>0</v>
      </c>
      <c r="Z2000" s="127">
        <f>IF(tech_base!$T256&gt;Z$1745,"",(tech_base!$K256/tech_proj!Z380*0.086*$J$132)/(1-tech_proj!Z660))</f>
        <v>0</v>
      </c>
      <c r="AA2000" s="127">
        <f>IF(tech_base!$T256&gt;AA$1745,"",(tech_base!$K256/tech_proj!AA380*0.086*$J$132)/(1-tech_proj!AA660))</f>
        <v>0</v>
      </c>
      <c r="AB2000" s="127">
        <f>IF(tech_base!$T256&gt;AB$1745,"",(tech_base!$K256/tech_proj!AB380*0.086*$J$132)/(1-tech_proj!AB660))</f>
        <v>0</v>
      </c>
      <c r="AC2000" s="127">
        <f>IF(tech_base!$T256&gt;AC$1745,"",(tech_base!$K256/tech_proj!AC380*0.086*$J$132)/(1-tech_proj!AC660))</f>
        <v>0</v>
      </c>
      <c r="AD2000" s="127">
        <f>IF(tech_base!$T256&gt;AD$1745,"",(tech_base!$K256/tech_proj!AD380*0.086*$J$132)/(1-tech_proj!AD660))</f>
        <v>0</v>
      </c>
      <c r="AE2000" s="127">
        <f>IF(tech_base!$T256&gt;AE$1745,"",(tech_base!$K256/tech_proj!AE380*0.086*$J$132)/(1-tech_proj!AE660))</f>
        <v>0</v>
      </c>
      <c r="AF2000" s="127">
        <f>IF(tech_base!$T256&gt;AF$1745,"",(tech_base!$K256/tech_proj!AF380*0.086*$J$132)/(1-tech_proj!AF660))</f>
        <v>0</v>
      </c>
      <c r="AG2000" s="127">
        <f>IF(tech_base!$T256&gt;AG$1745,"",(tech_base!$K256/tech_proj!AG380*0.086*$J$132)/(1-tech_proj!AG660))</f>
        <v>0</v>
      </c>
      <c r="AH2000" s="127">
        <f>IF(tech_base!$T256&gt;AH$1745,"",(tech_base!$K256/tech_proj!AH380*0.086*$J$132)/(1-tech_proj!AH660))</f>
        <v>0</v>
      </c>
      <c r="AI2000" s="127">
        <f>IF(tech_base!$T256&gt;AI$1745,"",(tech_base!$K256/tech_proj!AI380*0.086*$J$132)/(1-tech_proj!AI660))</f>
        <v>0</v>
      </c>
      <c r="AJ2000" s="127">
        <f>IF(tech_base!$T256&gt;AJ$1745,"",(tech_base!$K256/tech_proj!AJ380*0.086*$J$132)/(1-tech_proj!AJ660))</f>
        <v>0</v>
      </c>
      <c r="AK2000" s="127">
        <f>IF(tech_base!$T256&gt;AK$1745,"",(tech_base!$K256/tech_proj!AK380*0.086*$J$132)/(1-tech_proj!AK660))</f>
        <v>0</v>
      </c>
      <c r="AL2000" s="127">
        <f>IF(tech_base!$T256&gt;AL$1745,"",(tech_base!$K256/tech_proj!AL380*0.086*$J$132)/(1-tech_proj!AL660))</f>
        <v>0</v>
      </c>
      <c r="AM2000" s="127">
        <f>IF(tech_base!$T256&gt;AM$1745,"",(tech_base!$K256/tech_proj!AM380*0.086*$J$132)/(1-tech_proj!AM660))</f>
        <v>0</v>
      </c>
      <c r="AN2000" s="127">
        <f>IF(tech_base!$T256&gt;AN$1745,"",(tech_base!$K256/tech_proj!AN380*0.086*$J$132)/(1-tech_proj!AN660))</f>
        <v>0</v>
      </c>
      <c r="AO2000" s="127">
        <f>IF(tech_base!$T256&gt;AO$1745,"",(tech_base!$K256/tech_proj!AO380*0.086*$J$132)/(1-tech_proj!AO660))</f>
        <v>0</v>
      </c>
      <c r="AP2000" s="127">
        <f>IF(tech_base!$T256&gt;AP$1745,"",(tech_base!$K256/tech_proj!AP380*0.086*$J$132)/(1-tech_proj!AP660))</f>
        <v>0</v>
      </c>
      <c r="AQ2000" s="127">
        <f>IF(tech_base!$T256&gt;AQ$1745,"",(tech_base!$K256/tech_proj!AQ380*0.086*$J$132)/(1-tech_proj!AQ660))</f>
        <v>0</v>
      </c>
      <c r="AR2000" s="127">
        <f>IF(tech_base!$T256&gt;AR$1745,"",(tech_base!$K256/tech_proj!AR380*0.086*$J$132)/(1-tech_proj!AR660))</f>
        <v>0</v>
      </c>
      <c r="AS2000" s="127">
        <f>IF(tech_base!$T256&gt;AS$1745,"",(tech_base!$K256/tech_proj!AS380*0.086*$J$132)/(1-tech_proj!AS660))</f>
        <v>0</v>
      </c>
      <c r="AT2000" s="127">
        <f>IF(tech_base!$T256&gt;AT$1745,"",(tech_base!$K256/tech_proj!AT380*0.086*$J$132)/(1-tech_proj!AT660))</f>
        <v>0</v>
      </c>
      <c r="AU2000" s="127">
        <f>IF(tech_base!$T256&gt;AU$1745,"",(tech_base!$K256/tech_proj!AU380*0.086*$J$132)/(1-tech_proj!AU660))</f>
        <v>0</v>
      </c>
      <c r="AV2000" s="127">
        <f>IF(tech_base!$T256&gt;AV$1745,"",(tech_base!$K256/tech_proj!AV380*0.086*$J$132)/(1-tech_proj!AV660))</f>
        <v>0</v>
      </c>
      <c r="AW2000" s="127">
        <f>IF(tech_base!$T256&gt;AW$1745,"",(tech_base!$K256/tech_proj!AW380*0.086*$J$132)/(1-tech_proj!AW660))</f>
        <v>0</v>
      </c>
      <c r="AX2000" s="128">
        <f>IF(tech_base!$T256&gt;AX$1745,"",(tech_base!$K256/tech_proj!AX380*0.086*$J$132)/(1-tech_proj!AX660))</f>
        <v>0</v>
      </c>
    </row>
    <row r="2001" spans="1:50" x14ac:dyDescent="0.25">
      <c r="A2001" s="355" t="s">
        <v>39</v>
      </c>
      <c r="B2001" s="358" t="s">
        <v>39</v>
      </c>
      <c r="C2001" s="353" t="s">
        <v>6</v>
      </c>
      <c r="D2001" s="3" t="s">
        <v>7</v>
      </c>
      <c r="E2001" s="162" t="str">
        <f>A2001&amp;"/"&amp;B2001&amp;"/"&amp;C2001&amp;"/"&amp;D2001</f>
        <v>Geothermal power plants/Geothermal power plants/Electricity only/L</v>
      </c>
      <c r="F2001" s="77" t="str">
        <f>A2001</f>
        <v>Geothermal power plants</v>
      </c>
      <c r="G2001" s="77" t="str">
        <f>B2001</f>
        <v>Geothermal power plants</v>
      </c>
      <c r="H2001" s="77" t="str">
        <f>C2001</f>
        <v>Electricity only</v>
      </c>
      <c r="I2001" s="163" t="str">
        <f t="shared" si="385"/>
        <v>L</v>
      </c>
      <c r="J2001" s="121">
        <f>IF(tech_base!$T257&gt;J$1745,"",(tech_base!$K257/tech_proj!J381*0.086*$J$132)/(1-tech_proj!J661))</f>
        <v>0</v>
      </c>
      <c r="K2001" s="121">
        <f>IF(tech_base!$T257&gt;K$1745,"",(tech_base!$K257/tech_proj!K381*0.086*$J$132)/(1-tech_proj!K661))</f>
        <v>0</v>
      </c>
      <c r="L2001" s="121">
        <f>IF(tech_base!$T257&gt;L$1745,"",(tech_base!$K257/tech_proj!L381*0.086*$J$132)/(1-tech_proj!L661))</f>
        <v>0</v>
      </c>
      <c r="M2001" s="121">
        <f>IF(tech_base!$T257&gt;M$1745,"",(tech_base!$K257/tech_proj!M381*0.086*$J$132)/(1-tech_proj!M661))</f>
        <v>0</v>
      </c>
      <c r="N2001" s="121">
        <f>IF(tech_base!$T257&gt;N$1745,"",(tech_base!$K257/tech_proj!N381*0.086*$J$132)/(1-tech_proj!N661))</f>
        <v>0</v>
      </c>
      <c r="O2001" s="121">
        <f>IF(tech_base!$T257&gt;O$1745,"",(tech_base!$K257/tech_proj!O381*0.086*$J$132)/(1-tech_proj!O661))</f>
        <v>0</v>
      </c>
      <c r="P2001" s="121">
        <f>IF(tech_base!$T257&gt;P$1745,"",(tech_base!$K257/tech_proj!P381*0.086*$J$132)/(1-tech_proj!P661))</f>
        <v>0</v>
      </c>
      <c r="Q2001" s="121">
        <f>IF(tech_base!$T257&gt;Q$1745,"",(tech_base!$K257/tech_proj!Q381*0.086*$J$132)/(1-tech_proj!Q661))</f>
        <v>0</v>
      </c>
      <c r="R2001" s="121">
        <f>IF(tech_base!$T257&gt;R$1745,"",(tech_base!$K257/tech_proj!R381*0.086*$J$132)/(1-tech_proj!R661))</f>
        <v>0</v>
      </c>
      <c r="S2001" s="121">
        <f>IF(tech_base!$T257&gt;S$1745,"",(tech_base!$K257/tech_proj!S381*0.086*$J$132)/(1-tech_proj!S661))</f>
        <v>0</v>
      </c>
      <c r="T2001" s="121">
        <f>IF(tech_base!$T257&gt;T$1745,"",(tech_base!$K257/tech_proj!T381*0.086*$J$132)/(1-tech_proj!T661))</f>
        <v>0</v>
      </c>
      <c r="U2001" s="121">
        <f>IF(tech_base!$T257&gt;U$1745,"",(tech_base!$K257/tech_proj!U381*0.086*$J$132)/(1-tech_proj!U661))</f>
        <v>0</v>
      </c>
      <c r="V2001" s="121">
        <f>IF(tech_base!$T257&gt;V$1745,"",(tech_base!$K257/tech_proj!V381*0.086*$J$132)/(1-tech_proj!V661))</f>
        <v>0</v>
      </c>
      <c r="W2001" s="121">
        <f>IF(tech_base!$T257&gt;W$1745,"",(tech_base!$K257/tech_proj!W381*0.086*$J$132)/(1-tech_proj!W661))</f>
        <v>0</v>
      </c>
      <c r="X2001" s="121">
        <f>IF(tech_base!$T257&gt;X$1745,"",(tech_base!$K257/tech_proj!X381*0.086*$J$132)/(1-tech_proj!X661))</f>
        <v>0</v>
      </c>
      <c r="Y2001" s="121">
        <f>IF(tech_base!$T257&gt;Y$1745,"",(tech_base!$K257/tech_proj!Y381*0.086*$J$132)/(1-tech_proj!Y661))</f>
        <v>0</v>
      </c>
      <c r="Z2001" s="121">
        <f>IF(tech_base!$T257&gt;Z$1745,"",(tech_base!$K257/tech_proj!Z381*0.086*$J$132)/(1-tech_proj!Z661))</f>
        <v>0</v>
      </c>
      <c r="AA2001" s="121">
        <f>IF(tech_base!$T257&gt;AA$1745,"",(tech_base!$K257/tech_proj!AA381*0.086*$J$132)/(1-tech_proj!AA661))</f>
        <v>0</v>
      </c>
      <c r="AB2001" s="121">
        <f>IF(tech_base!$T257&gt;AB$1745,"",(tech_base!$K257/tech_proj!AB381*0.086*$J$132)/(1-tech_proj!AB661))</f>
        <v>0</v>
      </c>
      <c r="AC2001" s="121">
        <f>IF(tech_base!$T257&gt;AC$1745,"",(tech_base!$K257/tech_proj!AC381*0.086*$J$132)/(1-tech_proj!AC661))</f>
        <v>0</v>
      </c>
      <c r="AD2001" s="121">
        <f>IF(tech_base!$T257&gt;AD$1745,"",(tech_base!$K257/tech_proj!AD381*0.086*$J$132)/(1-tech_proj!AD661))</f>
        <v>0</v>
      </c>
      <c r="AE2001" s="121">
        <f>IF(tech_base!$T257&gt;AE$1745,"",(tech_base!$K257/tech_proj!AE381*0.086*$J$132)/(1-tech_proj!AE661))</f>
        <v>0</v>
      </c>
      <c r="AF2001" s="121">
        <f>IF(tech_base!$T257&gt;AF$1745,"",(tech_base!$K257/tech_proj!AF381*0.086*$J$132)/(1-tech_proj!AF661))</f>
        <v>0</v>
      </c>
      <c r="AG2001" s="121">
        <f>IF(tech_base!$T257&gt;AG$1745,"",(tech_base!$K257/tech_proj!AG381*0.086*$J$132)/(1-tech_proj!AG661))</f>
        <v>0</v>
      </c>
      <c r="AH2001" s="121">
        <f>IF(tech_base!$T257&gt;AH$1745,"",(tech_base!$K257/tech_proj!AH381*0.086*$J$132)/(1-tech_proj!AH661))</f>
        <v>0</v>
      </c>
      <c r="AI2001" s="121">
        <f>IF(tech_base!$T257&gt;AI$1745,"",(tech_base!$K257/tech_proj!AI381*0.086*$J$132)/(1-tech_proj!AI661))</f>
        <v>0</v>
      </c>
      <c r="AJ2001" s="121">
        <f>IF(tech_base!$T257&gt;AJ$1745,"",(tech_base!$K257/tech_proj!AJ381*0.086*$J$132)/(1-tech_proj!AJ661))</f>
        <v>0</v>
      </c>
      <c r="AK2001" s="121">
        <f>IF(tech_base!$T257&gt;AK$1745,"",(tech_base!$K257/tech_proj!AK381*0.086*$J$132)/(1-tech_proj!AK661))</f>
        <v>0</v>
      </c>
      <c r="AL2001" s="121">
        <f>IF(tech_base!$T257&gt;AL$1745,"",(tech_base!$K257/tech_proj!AL381*0.086*$J$132)/(1-tech_proj!AL661))</f>
        <v>0</v>
      </c>
      <c r="AM2001" s="121">
        <f>IF(tech_base!$T257&gt;AM$1745,"",(tech_base!$K257/tech_proj!AM381*0.086*$J$132)/(1-tech_proj!AM661))</f>
        <v>0</v>
      </c>
      <c r="AN2001" s="121">
        <f>IF(tech_base!$T257&gt;AN$1745,"",(tech_base!$K257/tech_proj!AN381*0.086*$J$132)/(1-tech_proj!AN661))</f>
        <v>0</v>
      </c>
      <c r="AO2001" s="121">
        <f>IF(tech_base!$T257&gt;AO$1745,"",(tech_base!$K257/tech_proj!AO381*0.086*$J$132)/(1-tech_proj!AO661))</f>
        <v>0</v>
      </c>
      <c r="AP2001" s="121">
        <f>IF(tech_base!$T257&gt;AP$1745,"",(tech_base!$K257/tech_proj!AP381*0.086*$J$132)/(1-tech_proj!AP661))</f>
        <v>0</v>
      </c>
      <c r="AQ2001" s="121">
        <f>IF(tech_base!$T257&gt;AQ$1745,"",(tech_base!$K257/tech_proj!AQ381*0.086*$J$132)/(1-tech_proj!AQ661))</f>
        <v>0</v>
      </c>
      <c r="AR2001" s="121">
        <f>IF(tech_base!$T257&gt;AR$1745,"",(tech_base!$K257/tech_proj!AR381*0.086*$J$132)/(1-tech_proj!AR661))</f>
        <v>0</v>
      </c>
      <c r="AS2001" s="121">
        <f>IF(tech_base!$T257&gt;AS$1745,"",(tech_base!$K257/tech_proj!AS381*0.086*$J$132)/(1-tech_proj!AS661))</f>
        <v>0</v>
      </c>
      <c r="AT2001" s="121">
        <f>IF(tech_base!$T257&gt;AT$1745,"",(tech_base!$K257/tech_proj!AT381*0.086*$J$132)/(1-tech_proj!AT661))</f>
        <v>0</v>
      </c>
      <c r="AU2001" s="121">
        <f>IF(tech_base!$T257&gt;AU$1745,"",(tech_base!$K257/tech_proj!AU381*0.086*$J$132)/(1-tech_proj!AU661))</f>
        <v>0</v>
      </c>
      <c r="AV2001" s="121">
        <f>IF(tech_base!$T257&gt;AV$1745,"",(tech_base!$K257/tech_proj!AV381*0.086*$J$132)/(1-tech_proj!AV661))</f>
        <v>0</v>
      </c>
      <c r="AW2001" s="121">
        <f>IF(tech_base!$T257&gt;AW$1745,"",(tech_base!$K257/tech_proj!AW381*0.086*$J$132)/(1-tech_proj!AW661))</f>
        <v>0</v>
      </c>
      <c r="AX2001" s="122">
        <f>IF(tech_base!$T257&gt;AX$1745,"",(tech_base!$K257/tech_proj!AX381*0.086*$J$132)/(1-tech_proj!AX661))</f>
        <v>0</v>
      </c>
    </row>
    <row r="2002" spans="1:50" x14ac:dyDescent="0.25">
      <c r="A2002" s="356"/>
      <c r="B2002" s="376"/>
      <c r="C2002" s="378"/>
      <c r="D2002" s="2" t="s">
        <v>8</v>
      </c>
      <c r="E2002" s="160" t="str">
        <f>A2001&amp;"/"&amp;B2001&amp;"/"&amp;C2001&amp;"/"&amp;D2002</f>
        <v>Geothermal power plants/Geothermal power plants/Electricity only/M</v>
      </c>
      <c r="F2002" s="76" t="str">
        <f>A2001</f>
        <v>Geothermal power plants</v>
      </c>
      <c r="G2002" s="76" t="str">
        <f>B2001</f>
        <v>Geothermal power plants</v>
      </c>
      <c r="H2002" s="76" t="str">
        <f>C2001</f>
        <v>Electricity only</v>
      </c>
      <c r="I2002" s="161" t="str">
        <f t="shared" si="385"/>
        <v>M</v>
      </c>
      <c r="J2002" s="119">
        <f>IF(tech_base!$T258&gt;J$1745,"",(tech_base!$K258/tech_proj!J382*0.086*$J$132)/(1-tech_proj!J662))</f>
        <v>0</v>
      </c>
      <c r="K2002" s="119">
        <f>IF(tech_base!$T258&gt;K$1745,"",(tech_base!$K258/tech_proj!K382*0.086*$J$132)/(1-tech_proj!K662))</f>
        <v>0</v>
      </c>
      <c r="L2002" s="119">
        <f>IF(tech_base!$T258&gt;L$1745,"",(tech_base!$K258/tech_proj!L382*0.086*$J$132)/(1-tech_proj!L662))</f>
        <v>0</v>
      </c>
      <c r="M2002" s="119">
        <f>IF(tech_base!$T258&gt;M$1745,"",(tech_base!$K258/tech_proj!M382*0.086*$J$132)/(1-tech_proj!M662))</f>
        <v>0</v>
      </c>
      <c r="N2002" s="119">
        <f>IF(tech_base!$T258&gt;N$1745,"",(tech_base!$K258/tech_proj!N382*0.086*$J$132)/(1-tech_proj!N662))</f>
        <v>0</v>
      </c>
      <c r="O2002" s="119">
        <f>IF(tech_base!$T258&gt;O$1745,"",(tech_base!$K258/tech_proj!O382*0.086*$J$132)/(1-tech_proj!O662))</f>
        <v>0</v>
      </c>
      <c r="P2002" s="119">
        <f>IF(tech_base!$T258&gt;P$1745,"",(tech_base!$K258/tech_proj!P382*0.086*$J$132)/(1-tech_proj!P662))</f>
        <v>0</v>
      </c>
      <c r="Q2002" s="119">
        <f>IF(tech_base!$T258&gt;Q$1745,"",(tech_base!$K258/tech_proj!Q382*0.086*$J$132)/(1-tech_proj!Q662))</f>
        <v>0</v>
      </c>
      <c r="R2002" s="119">
        <f>IF(tech_base!$T258&gt;R$1745,"",(tech_base!$K258/tech_proj!R382*0.086*$J$132)/(1-tech_proj!R662))</f>
        <v>0</v>
      </c>
      <c r="S2002" s="119">
        <f>IF(tech_base!$T258&gt;S$1745,"",(tech_base!$K258/tech_proj!S382*0.086*$J$132)/(1-tech_proj!S662))</f>
        <v>0</v>
      </c>
      <c r="T2002" s="119">
        <f>IF(tech_base!$T258&gt;T$1745,"",(tech_base!$K258/tech_proj!T382*0.086*$J$132)/(1-tech_proj!T662))</f>
        <v>0</v>
      </c>
      <c r="U2002" s="119">
        <f>IF(tech_base!$T258&gt;U$1745,"",(tech_base!$K258/tech_proj!U382*0.086*$J$132)/(1-tech_proj!U662))</f>
        <v>0</v>
      </c>
      <c r="V2002" s="119">
        <f>IF(tech_base!$T258&gt;V$1745,"",(tech_base!$K258/tech_proj!V382*0.086*$J$132)/(1-tech_proj!V662))</f>
        <v>0</v>
      </c>
      <c r="W2002" s="119">
        <f>IF(tech_base!$T258&gt;W$1745,"",(tech_base!$K258/tech_proj!W382*0.086*$J$132)/(1-tech_proj!W662))</f>
        <v>0</v>
      </c>
      <c r="X2002" s="119">
        <f>IF(tech_base!$T258&gt;X$1745,"",(tech_base!$K258/tech_proj!X382*0.086*$J$132)/(1-tech_proj!X662))</f>
        <v>0</v>
      </c>
      <c r="Y2002" s="119">
        <f>IF(tech_base!$T258&gt;Y$1745,"",(tech_base!$K258/tech_proj!Y382*0.086*$J$132)/(1-tech_proj!Y662))</f>
        <v>0</v>
      </c>
      <c r="Z2002" s="119">
        <f>IF(tech_base!$T258&gt;Z$1745,"",(tech_base!$K258/tech_proj!Z382*0.086*$J$132)/(1-tech_proj!Z662))</f>
        <v>0</v>
      </c>
      <c r="AA2002" s="119">
        <f>IF(tech_base!$T258&gt;AA$1745,"",(tech_base!$K258/tech_proj!AA382*0.086*$J$132)/(1-tech_proj!AA662))</f>
        <v>0</v>
      </c>
      <c r="AB2002" s="119">
        <f>IF(tech_base!$T258&gt;AB$1745,"",(tech_base!$K258/tech_proj!AB382*0.086*$J$132)/(1-tech_proj!AB662))</f>
        <v>0</v>
      </c>
      <c r="AC2002" s="119">
        <f>IF(tech_base!$T258&gt;AC$1745,"",(tech_base!$K258/tech_proj!AC382*0.086*$J$132)/(1-tech_proj!AC662))</f>
        <v>0</v>
      </c>
      <c r="AD2002" s="119">
        <f>IF(tech_base!$T258&gt;AD$1745,"",(tech_base!$K258/tech_proj!AD382*0.086*$J$132)/(1-tech_proj!AD662))</f>
        <v>0</v>
      </c>
      <c r="AE2002" s="119">
        <f>IF(tech_base!$T258&gt;AE$1745,"",(tech_base!$K258/tech_proj!AE382*0.086*$J$132)/(1-tech_proj!AE662))</f>
        <v>0</v>
      </c>
      <c r="AF2002" s="119">
        <f>IF(tech_base!$T258&gt;AF$1745,"",(tech_base!$K258/tech_proj!AF382*0.086*$J$132)/(1-tech_proj!AF662))</f>
        <v>0</v>
      </c>
      <c r="AG2002" s="119">
        <f>IF(tech_base!$T258&gt;AG$1745,"",(tech_base!$K258/tech_proj!AG382*0.086*$J$132)/(1-tech_proj!AG662))</f>
        <v>0</v>
      </c>
      <c r="AH2002" s="119">
        <f>IF(tech_base!$T258&gt;AH$1745,"",(tech_base!$K258/tech_proj!AH382*0.086*$J$132)/(1-tech_proj!AH662))</f>
        <v>0</v>
      </c>
      <c r="AI2002" s="119">
        <f>IF(tech_base!$T258&gt;AI$1745,"",(tech_base!$K258/tech_proj!AI382*0.086*$J$132)/(1-tech_proj!AI662))</f>
        <v>0</v>
      </c>
      <c r="AJ2002" s="119">
        <f>IF(tech_base!$T258&gt;AJ$1745,"",(tech_base!$K258/tech_proj!AJ382*0.086*$J$132)/(1-tech_proj!AJ662))</f>
        <v>0</v>
      </c>
      <c r="AK2002" s="119">
        <f>IF(tech_base!$T258&gt;AK$1745,"",(tech_base!$K258/tech_proj!AK382*0.086*$J$132)/(1-tech_proj!AK662))</f>
        <v>0</v>
      </c>
      <c r="AL2002" s="119">
        <f>IF(tech_base!$T258&gt;AL$1745,"",(tech_base!$K258/tech_proj!AL382*0.086*$J$132)/(1-tech_proj!AL662))</f>
        <v>0</v>
      </c>
      <c r="AM2002" s="119">
        <f>IF(tech_base!$T258&gt;AM$1745,"",(tech_base!$K258/tech_proj!AM382*0.086*$J$132)/(1-tech_proj!AM662))</f>
        <v>0</v>
      </c>
      <c r="AN2002" s="119">
        <f>IF(tech_base!$T258&gt;AN$1745,"",(tech_base!$K258/tech_proj!AN382*0.086*$J$132)/(1-tech_proj!AN662))</f>
        <v>0</v>
      </c>
      <c r="AO2002" s="119">
        <f>IF(tech_base!$T258&gt;AO$1745,"",(tech_base!$K258/tech_proj!AO382*0.086*$J$132)/(1-tech_proj!AO662))</f>
        <v>0</v>
      </c>
      <c r="AP2002" s="119">
        <f>IF(tech_base!$T258&gt;AP$1745,"",(tech_base!$K258/tech_proj!AP382*0.086*$J$132)/(1-tech_proj!AP662))</f>
        <v>0</v>
      </c>
      <c r="AQ2002" s="119">
        <f>IF(tech_base!$T258&gt;AQ$1745,"",(tech_base!$K258/tech_proj!AQ382*0.086*$J$132)/(1-tech_proj!AQ662))</f>
        <v>0</v>
      </c>
      <c r="AR2002" s="119">
        <f>IF(tech_base!$T258&gt;AR$1745,"",(tech_base!$K258/tech_proj!AR382*0.086*$J$132)/(1-tech_proj!AR662))</f>
        <v>0</v>
      </c>
      <c r="AS2002" s="119">
        <f>IF(tech_base!$T258&gt;AS$1745,"",(tech_base!$K258/tech_proj!AS382*0.086*$J$132)/(1-tech_proj!AS662))</f>
        <v>0</v>
      </c>
      <c r="AT2002" s="119">
        <f>IF(tech_base!$T258&gt;AT$1745,"",(tech_base!$K258/tech_proj!AT382*0.086*$J$132)/(1-tech_proj!AT662))</f>
        <v>0</v>
      </c>
      <c r="AU2002" s="119">
        <f>IF(tech_base!$T258&gt;AU$1745,"",(tech_base!$K258/tech_proj!AU382*0.086*$J$132)/(1-tech_proj!AU662))</f>
        <v>0</v>
      </c>
      <c r="AV2002" s="119">
        <f>IF(tech_base!$T258&gt;AV$1745,"",(tech_base!$K258/tech_proj!AV382*0.086*$J$132)/(1-tech_proj!AV662))</f>
        <v>0</v>
      </c>
      <c r="AW2002" s="119">
        <f>IF(tech_base!$T258&gt;AW$1745,"",(tech_base!$K258/tech_proj!AW382*0.086*$J$132)/(1-tech_proj!AW662))</f>
        <v>0</v>
      </c>
      <c r="AX2002" s="120">
        <f>IF(tech_base!$T258&gt;AX$1745,"",(tech_base!$K258/tech_proj!AX382*0.086*$J$132)/(1-tech_proj!AX662))</f>
        <v>0</v>
      </c>
    </row>
    <row r="2003" spans="1:50" x14ac:dyDescent="0.25">
      <c r="A2003" s="357"/>
      <c r="B2003" s="380"/>
      <c r="C2003" s="381"/>
      <c r="D2003" s="4" t="s">
        <v>10</v>
      </c>
      <c r="E2003" s="168" t="str">
        <f>A2001&amp;"/"&amp;B2001&amp;"/"&amp;C2001&amp;"/"&amp;D2003</f>
        <v>Geothermal power plants/Geothermal power plants/Electricity only/S</v>
      </c>
      <c r="F2003" s="80" t="str">
        <f>A2001</f>
        <v>Geothermal power plants</v>
      </c>
      <c r="G2003" s="80" t="str">
        <f>B2001</f>
        <v>Geothermal power plants</v>
      </c>
      <c r="H2003" s="80" t="str">
        <f>C2001</f>
        <v>Electricity only</v>
      </c>
      <c r="I2003" s="169" t="str">
        <f t="shared" ref="I2003:I2017" si="386">D2003</f>
        <v>S</v>
      </c>
      <c r="J2003" s="127">
        <f>IF(tech_base!$T259&gt;J$1745,"",(tech_base!$K259/tech_proj!J383*0.086*$J$132)/(1-tech_proj!J663))</f>
        <v>0</v>
      </c>
      <c r="K2003" s="127">
        <f>IF(tech_base!$T259&gt;K$1745,"",(tech_base!$K259/tech_proj!K383*0.086*$J$132)/(1-tech_proj!K663))</f>
        <v>0</v>
      </c>
      <c r="L2003" s="127">
        <f>IF(tech_base!$T259&gt;L$1745,"",(tech_base!$K259/tech_proj!L383*0.086*$J$132)/(1-tech_proj!L663))</f>
        <v>0</v>
      </c>
      <c r="M2003" s="127">
        <f>IF(tech_base!$T259&gt;M$1745,"",(tech_base!$K259/tech_proj!M383*0.086*$J$132)/(1-tech_proj!M663))</f>
        <v>0</v>
      </c>
      <c r="N2003" s="127">
        <f>IF(tech_base!$T259&gt;N$1745,"",(tech_base!$K259/tech_proj!N383*0.086*$J$132)/(1-tech_proj!N663))</f>
        <v>0</v>
      </c>
      <c r="O2003" s="127">
        <f>IF(tech_base!$T259&gt;O$1745,"",(tech_base!$K259/tech_proj!O383*0.086*$J$132)/(1-tech_proj!O663))</f>
        <v>0</v>
      </c>
      <c r="P2003" s="127">
        <f>IF(tech_base!$T259&gt;P$1745,"",(tech_base!$K259/tech_proj!P383*0.086*$J$132)/(1-tech_proj!P663))</f>
        <v>0</v>
      </c>
      <c r="Q2003" s="127">
        <f>IF(tech_base!$T259&gt;Q$1745,"",(tech_base!$K259/tech_proj!Q383*0.086*$J$132)/(1-tech_proj!Q663))</f>
        <v>0</v>
      </c>
      <c r="R2003" s="127">
        <f>IF(tech_base!$T259&gt;R$1745,"",(tech_base!$K259/tech_proj!R383*0.086*$J$132)/(1-tech_proj!R663))</f>
        <v>0</v>
      </c>
      <c r="S2003" s="127">
        <f>IF(tech_base!$T259&gt;S$1745,"",(tech_base!$K259/tech_proj!S383*0.086*$J$132)/(1-tech_proj!S663))</f>
        <v>0</v>
      </c>
      <c r="T2003" s="127">
        <f>IF(tech_base!$T259&gt;T$1745,"",(tech_base!$K259/tech_proj!T383*0.086*$J$132)/(1-tech_proj!T663))</f>
        <v>0</v>
      </c>
      <c r="U2003" s="127">
        <f>IF(tech_base!$T259&gt;U$1745,"",(tech_base!$K259/tech_proj!U383*0.086*$J$132)/(1-tech_proj!U663))</f>
        <v>0</v>
      </c>
      <c r="V2003" s="127">
        <f>IF(tech_base!$T259&gt;V$1745,"",(tech_base!$K259/tech_proj!V383*0.086*$J$132)/(1-tech_proj!V663))</f>
        <v>0</v>
      </c>
      <c r="W2003" s="127">
        <f>IF(tech_base!$T259&gt;W$1745,"",(tech_base!$K259/tech_proj!W383*0.086*$J$132)/(1-tech_proj!W663))</f>
        <v>0</v>
      </c>
      <c r="X2003" s="127">
        <f>IF(tech_base!$T259&gt;X$1745,"",(tech_base!$K259/tech_proj!X383*0.086*$J$132)/(1-tech_proj!X663))</f>
        <v>0</v>
      </c>
      <c r="Y2003" s="127">
        <f>IF(tech_base!$T259&gt;Y$1745,"",(tech_base!$K259/tech_proj!Y383*0.086*$J$132)/(1-tech_proj!Y663))</f>
        <v>0</v>
      </c>
      <c r="Z2003" s="127">
        <f>IF(tech_base!$T259&gt;Z$1745,"",(tech_base!$K259/tech_proj!Z383*0.086*$J$132)/(1-tech_proj!Z663))</f>
        <v>0</v>
      </c>
      <c r="AA2003" s="127">
        <f>IF(tech_base!$T259&gt;AA$1745,"",(tech_base!$K259/tech_proj!AA383*0.086*$J$132)/(1-tech_proj!AA663))</f>
        <v>0</v>
      </c>
      <c r="AB2003" s="127">
        <f>IF(tech_base!$T259&gt;AB$1745,"",(tech_base!$K259/tech_proj!AB383*0.086*$J$132)/(1-tech_proj!AB663))</f>
        <v>0</v>
      </c>
      <c r="AC2003" s="127">
        <f>IF(tech_base!$T259&gt;AC$1745,"",(tech_base!$K259/tech_proj!AC383*0.086*$J$132)/(1-tech_proj!AC663))</f>
        <v>0</v>
      </c>
      <c r="AD2003" s="127">
        <f>IF(tech_base!$T259&gt;AD$1745,"",(tech_base!$K259/tech_proj!AD383*0.086*$J$132)/(1-tech_proj!AD663))</f>
        <v>0</v>
      </c>
      <c r="AE2003" s="127">
        <f>IF(tech_base!$T259&gt;AE$1745,"",(tech_base!$K259/tech_proj!AE383*0.086*$J$132)/(1-tech_proj!AE663))</f>
        <v>0</v>
      </c>
      <c r="AF2003" s="127">
        <f>IF(tech_base!$T259&gt;AF$1745,"",(tech_base!$K259/tech_proj!AF383*0.086*$J$132)/(1-tech_proj!AF663))</f>
        <v>0</v>
      </c>
      <c r="AG2003" s="127">
        <f>IF(tech_base!$T259&gt;AG$1745,"",(tech_base!$K259/tech_proj!AG383*0.086*$J$132)/(1-tech_proj!AG663))</f>
        <v>0</v>
      </c>
      <c r="AH2003" s="127">
        <f>IF(tech_base!$T259&gt;AH$1745,"",(tech_base!$K259/tech_proj!AH383*0.086*$J$132)/(1-tech_proj!AH663))</f>
        <v>0</v>
      </c>
      <c r="AI2003" s="127">
        <f>IF(tech_base!$T259&gt;AI$1745,"",(tech_base!$K259/tech_proj!AI383*0.086*$J$132)/(1-tech_proj!AI663))</f>
        <v>0</v>
      </c>
      <c r="AJ2003" s="127">
        <f>IF(tech_base!$T259&gt;AJ$1745,"",(tech_base!$K259/tech_proj!AJ383*0.086*$J$132)/(1-tech_proj!AJ663))</f>
        <v>0</v>
      </c>
      <c r="AK2003" s="127">
        <f>IF(tech_base!$T259&gt;AK$1745,"",(tech_base!$K259/tech_proj!AK383*0.086*$J$132)/(1-tech_proj!AK663))</f>
        <v>0</v>
      </c>
      <c r="AL2003" s="127">
        <f>IF(tech_base!$T259&gt;AL$1745,"",(tech_base!$K259/tech_proj!AL383*0.086*$J$132)/(1-tech_proj!AL663))</f>
        <v>0</v>
      </c>
      <c r="AM2003" s="127">
        <f>IF(tech_base!$T259&gt;AM$1745,"",(tech_base!$K259/tech_proj!AM383*0.086*$J$132)/(1-tech_proj!AM663))</f>
        <v>0</v>
      </c>
      <c r="AN2003" s="127">
        <f>IF(tech_base!$T259&gt;AN$1745,"",(tech_base!$K259/tech_proj!AN383*0.086*$J$132)/(1-tech_proj!AN663))</f>
        <v>0</v>
      </c>
      <c r="AO2003" s="127">
        <f>IF(tech_base!$T259&gt;AO$1745,"",(tech_base!$K259/tech_proj!AO383*0.086*$J$132)/(1-tech_proj!AO663))</f>
        <v>0</v>
      </c>
      <c r="AP2003" s="127">
        <f>IF(tech_base!$T259&gt;AP$1745,"",(tech_base!$K259/tech_proj!AP383*0.086*$J$132)/(1-tech_proj!AP663))</f>
        <v>0</v>
      </c>
      <c r="AQ2003" s="127">
        <f>IF(tech_base!$T259&gt;AQ$1745,"",(tech_base!$K259/tech_proj!AQ383*0.086*$J$132)/(1-tech_proj!AQ663))</f>
        <v>0</v>
      </c>
      <c r="AR2003" s="127">
        <f>IF(tech_base!$T259&gt;AR$1745,"",(tech_base!$K259/tech_proj!AR383*0.086*$J$132)/(1-tech_proj!AR663))</f>
        <v>0</v>
      </c>
      <c r="AS2003" s="127">
        <f>IF(tech_base!$T259&gt;AS$1745,"",(tech_base!$K259/tech_proj!AS383*0.086*$J$132)/(1-tech_proj!AS663))</f>
        <v>0</v>
      </c>
      <c r="AT2003" s="127">
        <f>IF(tech_base!$T259&gt;AT$1745,"",(tech_base!$K259/tech_proj!AT383*0.086*$J$132)/(1-tech_proj!AT663))</f>
        <v>0</v>
      </c>
      <c r="AU2003" s="127">
        <f>IF(tech_base!$T259&gt;AU$1745,"",(tech_base!$K259/tech_proj!AU383*0.086*$J$132)/(1-tech_proj!AU663))</f>
        <v>0</v>
      </c>
      <c r="AV2003" s="127">
        <f>IF(tech_base!$T259&gt;AV$1745,"",(tech_base!$K259/tech_proj!AV383*0.086*$J$132)/(1-tech_proj!AV663))</f>
        <v>0</v>
      </c>
      <c r="AW2003" s="127">
        <f>IF(tech_base!$T259&gt;AW$1745,"",(tech_base!$K259/tech_proj!AW383*0.086*$J$132)/(1-tech_proj!AW663))</f>
        <v>0</v>
      </c>
      <c r="AX2003" s="128">
        <f>IF(tech_base!$T259&gt;AX$1745,"",(tech_base!$K259/tech_proj!AX383*0.086*$J$132)/(1-tech_proj!AX663))</f>
        <v>0</v>
      </c>
    </row>
    <row r="2004" spans="1:50" x14ac:dyDescent="0.25">
      <c r="A2004" s="355" t="s">
        <v>40</v>
      </c>
      <c r="B2004" s="5" t="s">
        <v>41</v>
      </c>
      <c r="C2004" s="6" t="s">
        <v>6</v>
      </c>
      <c r="D2004" s="60" t="s">
        <v>8</v>
      </c>
      <c r="E2004" s="170" t="str">
        <f>A2004&amp;"/"&amp;B2004&amp;"/"&amp;C2004&amp;"/"&amp;D2004</f>
        <v>Tide, wave and ocean power plants/Tidal/Electricity only/M</v>
      </c>
      <c r="F2004" s="81" t="str">
        <f>A2004</f>
        <v>Tide, wave and ocean power plants</v>
      </c>
      <c r="G2004" s="81" t="str">
        <f>B2004</f>
        <v>Tidal</v>
      </c>
      <c r="H2004" s="81" t="str">
        <f>C2004</f>
        <v>Electricity only</v>
      </c>
      <c r="I2004" s="171" t="str">
        <f t="shared" si="386"/>
        <v>M</v>
      </c>
      <c r="J2004" s="129">
        <f>IF(tech_base!$T260&gt;J$1745,"",(tech_base!$K260/tech_proj!J384*0.086*$J$132)/(1-tech_proj!J664))</f>
        <v>0</v>
      </c>
      <c r="K2004" s="129">
        <f>IF(tech_base!$T260&gt;K$1745,"",(tech_base!$K260/tech_proj!K384*0.086*$J$132)/(1-tech_proj!K664))</f>
        <v>0</v>
      </c>
      <c r="L2004" s="129">
        <f>IF(tech_base!$T260&gt;L$1745,"",(tech_base!$K260/tech_proj!L384*0.086*$J$132)/(1-tech_proj!L664))</f>
        <v>0</v>
      </c>
      <c r="M2004" s="129">
        <f>IF(tech_base!$T260&gt;M$1745,"",(tech_base!$K260/tech_proj!M384*0.086*$J$132)/(1-tech_proj!M664))</f>
        <v>0</v>
      </c>
      <c r="N2004" s="129">
        <f>IF(tech_base!$T260&gt;N$1745,"",(tech_base!$K260/tech_proj!N384*0.086*$J$132)/(1-tech_proj!N664))</f>
        <v>0</v>
      </c>
      <c r="O2004" s="129">
        <f>IF(tech_base!$T260&gt;O$1745,"",(tech_base!$K260/tech_proj!O384*0.086*$J$132)/(1-tech_proj!O664))</f>
        <v>0</v>
      </c>
      <c r="P2004" s="129">
        <f>IF(tech_base!$T260&gt;P$1745,"",(tech_base!$K260/tech_proj!P384*0.086*$J$132)/(1-tech_proj!P664))</f>
        <v>0</v>
      </c>
      <c r="Q2004" s="129">
        <f>IF(tech_base!$T260&gt;Q$1745,"",(tech_base!$K260/tech_proj!Q384*0.086*$J$132)/(1-tech_proj!Q664))</f>
        <v>0</v>
      </c>
      <c r="R2004" s="129">
        <f>IF(tech_base!$T260&gt;R$1745,"",(tech_base!$K260/tech_proj!R384*0.086*$J$132)/(1-tech_proj!R664))</f>
        <v>0</v>
      </c>
      <c r="S2004" s="129">
        <f>IF(tech_base!$T260&gt;S$1745,"",(tech_base!$K260/tech_proj!S384*0.086*$J$132)/(1-tech_proj!S664))</f>
        <v>0</v>
      </c>
      <c r="T2004" s="129">
        <f>IF(tech_base!$T260&gt;T$1745,"",(tech_base!$K260/tech_proj!T384*0.086*$J$132)/(1-tech_proj!T664))</f>
        <v>0</v>
      </c>
      <c r="U2004" s="129">
        <f>IF(tech_base!$T260&gt;U$1745,"",(tech_base!$K260/tech_proj!U384*0.086*$J$132)/(1-tech_proj!U664))</f>
        <v>0</v>
      </c>
      <c r="V2004" s="129">
        <f>IF(tech_base!$T260&gt;V$1745,"",(tech_base!$K260/tech_proj!V384*0.086*$J$132)/(1-tech_proj!V664))</f>
        <v>0</v>
      </c>
      <c r="W2004" s="129">
        <f>IF(tech_base!$T260&gt;W$1745,"",(tech_base!$K260/tech_proj!W384*0.086*$J$132)/(1-tech_proj!W664))</f>
        <v>0</v>
      </c>
      <c r="X2004" s="129">
        <f>IF(tech_base!$T260&gt;X$1745,"",(tech_base!$K260/tech_proj!X384*0.086*$J$132)/(1-tech_proj!X664))</f>
        <v>0</v>
      </c>
      <c r="Y2004" s="129">
        <f>IF(tech_base!$T260&gt;Y$1745,"",(tech_base!$K260/tech_proj!Y384*0.086*$J$132)/(1-tech_proj!Y664))</f>
        <v>0</v>
      </c>
      <c r="Z2004" s="129">
        <f>IF(tech_base!$T260&gt;Z$1745,"",(tech_base!$K260/tech_proj!Z384*0.086*$J$132)/(1-tech_proj!Z664))</f>
        <v>0</v>
      </c>
      <c r="AA2004" s="129">
        <f>IF(tech_base!$T260&gt;AA$1745,"",(tech_base!$K260/tech_proj!AA384*0.086*$J$132)/(1-tech_proj!AA664))</f>
        <v>0</v>
      </c>
      <c r="AB2004" s="129">
        <f>IF(tech_base!$T260&gt;AB$1745,"",(tech_base!$K260/tech_proj!AB384*0.086*$J$132)/(1-tech_proj!AB664))</f>
        <v>0</v>
      </c>
      <c r="AC2004" s="129">
        <f>IF(tech_base!$T260&gt;AC$1745,"",(tech_base!$K260/tech_proj!AC384*0.086*$J$132)/(1-tech_proj!AC664))</f>
        <v>0</v>
      </c>
      <c r="AD2004" s="129">
        <f>IF(tech_base!$T260&gt;AD$1745,"",(tech_base!$K260/tech_proj!AD384*0.086*$J$132)/(1-tech_proj!AD664))</f>
        <v>0</v>
      </c>
      <c r="AE2004" s="129">
        <f>IF(tech_base!$T260&gt;AE$1745,"",(tech_base!$K260/tech_proj!AE384*0.086*$J$132)/(1-tech_proj!AE664))</f>
        <v>0</v>
      </c>
      <c r="AF2004" s="129">
        <f>IF(tech_base!$T260&gt;AF$1745,"",(tech_base!$K260/tech_proj!AF384*0.086*$J$132)/(1-tech_proj!AF664))</f>
        <v>0</v>
      </c>
      <c r="AG2004" s="129">
        <f>IF(tech_base!$T260&gt;AG$1745,"",(tech_base!$K260/tech_proj!AG384*0.086*$J$132)/(1-tech_proj!AG664))</f>
        <v>0</v>
      </c>
      <c r="AH2004" s="129">
        <f>IF(tech_base!$T260&gt;AH$1745,"",(tech_base!$K260/tech_proj!AH384*0.086*$J$132)/(1-tech_proj!AH664))</f>
        <v>0</v>
      </c>
      <c r="AI2004" s="129">
        <f>IF(tech_base!$T260&gt;AI$1745,"",(tech_base!$K260/tech_proj!AI384*0.086*$J$132)/(1-tech_proj!AI664))</f>
        <v>0</v>
      </c>
      <c r="AJ2004" s="129">
        <f>IF(tech_base!$T260&gt;AJ$1745,"",(tech_base!$K260/tech_proj!AJ384*0.086*$J$132)/(1-tech_proj!AJ664))</f>
        <v>0</v>
      </c>
      <c r="AK2004" s="129">
        <f>IF(tech_base!$T260&gt;AK$1745,"",(tech_base!$K260/tech_proj!AK384*0.086*$J$132)/(1-tech_proj!AK664))</f>
        <v>0</v>
      </c>
      <c r="AL2004" s="129">
        <f>IF(tech_base!$T260&gt;AL$1745,"",(tech_base!$K260/tech_proj!AL384*0.086*$J$132)/(1-tech_proj!AL664))</f>
        <v>0</v>
      </c>
      <c r="AM2004" s="129">
        <f>IF(tech_base!$T260&gt;AM$1745,"",(tech_base!$K260/tech_proj!AM384*0.086*$J$132)/(1-tech_proj!AM664))</f>
        <v>0</v>
      </c>
      <c r="AN2004" s="129">
        <f>IF(tech_base!$T260&gt;AN$1745,"",(tech_base!$K260/tech_proj!AN384*0.086*$J$132)/(1-tech_proj!AN664))</f>
        <v>0</v>
      </c>
      <c r="AO2004" s="129">
        <f>IF(tech_base!$T260&gt;AO$1745,"",(tech_base!$K260/tech_proj!AO384*0.086*$J$132)/(1-tech_proj!AO664))</f>
        <v>0</v>
      </c>
      <c r="AP2004" s="129">
        <f>IF(tech_base!$T260&gt;AP$1745,"",(tech_base!$K260/tech_proj!AP384*0.086*$J$132)/(1-tech_proj!AP664))</f>
        <v>0</v>
      </c>
      <c r="AQ2004" s="129">
        <f>IF(tech_base!$T260&gt;AQ$1745,"",(tech_base!$K260/tech_proj!AQ384*0.086*$J$132)/(1-tech_proj!AQ664))</f>
        <v>0</v>
      </c>
      <c r="AR2004" s="129">
        <f>IF(tech_base!$T260&gt;AR$1745,"",(tech_base!$K260/tech_proj!AR384*0.086*$J$132)/(1-tech_proj!AR664))</f>
        <v>0</v>
      </c>
      <c r="AS2004" s="129">
        <f>IF(tech_base!$T260&gt;AS$1745,"",(tech_base!$K260/tech_proj!AS384*0.086*$J$132)/(1-tech_proj!AS664))</f>
        <v>0</v>
      </c>
      <c r="AT2004" s="129">
        <f>IF(tech_base!$T260&gt;AT$1745,"",(tech_base!$K260/tech_proj!AT384*0.086*$J$132)/(1-tech_proj!AT664))</f>
        <v>0</v>
      </c>
      <c r="AU2004" s="129">
        <f>IF(tech_base!$T260&gt;AU$1745,"",(tech_base!$K260/tech_proj!AU384*0.086*$J$132)/(1-tech_proj!AU664))</f>
        <v>0</v>
      </c>
      <c r="AV2004" s="129">
        <f>IF(tech_base!$T260&gt;AV$1745,"",(tech_base!$K260/tech_proj!AV384*0.086*$J$132)/(1-tech_proj!AV664))</f>
        <v>0</v>
      </c>
      <c r="AW2004" s="129">
        <f>IF(tech_base!$T260&gt;AW$1745,"",(tech_base!$K260/tech_proj!AW384*0.086*$J$132)/(1-tech_proj!AW664))</f>
        <v>0</v>
      </c>
      <c r="AX2004" s="130">
        <f>IF(tech_base!$T260&gt;AX$1745,"",(tech_base!$K260/tech_proj!AX384*0.086*$J$132)/(1-tech_proj!AX664))</f>
        <v>0</v>
      </c>
    </row>
    <row r="2005" spans="1:50" x14ac:dyDescent="0.25">
      <c r="A2005" s="375"/>
      <c r="B2005" s="279" t="s">
        <v>42</v>
      </c>
      <c r="C2005" s="7" t="s">
        <v>6</v>
      </c>
      <c r="D2005" s="4" t="s">
        <v>8</v>
      </c>
      <c r="E2005" s="168" t="str">
        <f>A2004&amp;"/"&amp;B2005&amp;"/"&amp;C2005&amp;"/"&amp;D2005</f>
        <v>Tide, wave and ocean power plants/Wave/Electricity only/M</v>
      </c>
      <c r="F2005" s="80" t="str">
        <f>A2004</f>
        <v>Tide, wave and ocean power plants</v>
      </c>
      <c r="G2005" s="80" t="str">
        <f>B2005</f>
        <v>Wave</v>
      </c>
      <c r="H2005" s="80" t="str">
        <f>C2005</f>
        <v>Electricity only</v>
      </c>
      <c r="I2005" s="169" t="str">
        <f t="shared" si="386"/>
        <v>M</v>
      </c>
      <c r="J2005" s="127">
        <f>IF(tech_base!$T261&gt;J$1745,"",(tech_base!$K261/tech_proj!J385*0.086*$J$132)/(1-tech_proj!J665))</f>
        <v>0</v>
      </c>
      <c r="K2005" s="127">
        <f>IF(tech_base!$T261&gt;K$1745,"",(tech_base!$K261/tech_proj!K385*0.086*$J$132)/(1-tech_proj!K665))</f>
        <v>0</v>
      </c>
      <c r="L2005" s="127">
        <f>IF(tech_base!$T261&gt;L$1745,"",(tech_base!$K261/tech_proj!L385*0.086*$J$132)/(1-tech_proj!L665))</f>
        <v>0</v>
      </c>
      <c r="M2005" s="127">
        <f>IF(tech_base!$T261&gt;M$1745,"",(tech_base!$K261/tech_proj!M385*0.086*$J$132)/(1-tech_proj!M665))</f>
        <v>0</v>
      </c>
      <c r="N2005" s="127">
        <f>IF(tech_base!$T261&gt;N$1745,"",(tech_base!$K261/tech_proj!N385*0.086*$J$132)/(1-tech_proj!N665))</f>
        <v>0</v>
      </c>
      <c r="O2005" s="127">
        <f>IF(tech_base!$T261&gt;O$1745,"",(tech_base!$K261/tech_proj!O385*0.086*$J$132)/(1-tech_proj!O665))</f>
        <v>0</v>
      </c>
      <c r="P2005" s="127">
        <f>IF(tech_base!$T261&gt;P$1745,"",(tech_base!$K261/tech_proj!P385*0.086*$J$132)/(1-tech_proj!P665))</f>
        <v>0</v>
      </c>
      <c r="Q2005" s="127">
        <f>IF(tech_base!$T261&gt;Q$1745,"",(tech_base!$K261/tech_proj!Q385*0.086*$J$132)/(1-tech_proj!Q665))</f>
        <v>0</v>
      </c>
      <c r="R2005" s="127">
        <f>IF(tech_base!$T261&gt;R$1745,"",(tech_base!$K261/tech_proj!R385*0.086*$J$132)/(1-tech_proj!R665))</f>
        <v>0</v>
      </c>
      <c r="S2005" s="127">
        <f>IF(tech_base!$T261&gt;S$1745,"",(tech_base!$K261/tech_proj!S385*0.086*$J$132)/(1-tech_proj!S665))</f>
        <v>0</v>
      </c>
      <c r="T2005" s="127">
        <f>IF(tech_base!$T261&gt;T$1745,"",(tech_base!$K261/tech_proj!T385*0.086*$J$132)/(1-tech_proj!T665))</f>
        <v>0</v>
      </c>
      <c r="U2005" s="127">
        <f>IF(tech_base!$T261&gt;U$1745,"",(tech_base!$K261/tech_proj!U385*0.086*$J$132)/(1-tech_proj!U665))</f>
        <v>0</v>
      </c>
      <c r="V2005" s="127">
        <f>IF(tech_base!$T261&gt;V$1745,"",(tech_base!$K261/tech_proj!V385*0.086*$J$132)/(1-tech_proj!V665))</f>
        <v>0</v>
      </c>
      <c r="W2005" s="127">
        <f>IF(tech_base!$T261&gt;W$1745,"",(tech_base!$K261/tech_proj!W385*0.086*$J$132)/(1-tech_proj!W665))</f>
        <v>0</v>
      </c>
      <c r="X2005" s="127">
        <f>IF(tech_base!$T261&gt;X$1745,"",(tech_base!$K261/tech_proj!X385*0.086*$J$132)/(1-tech_proj!X665))</f>
        <v>0</v>
      </c>
      <c r="Y2005" s="127">
        <f>IF(tech_base!$T261&gt;Y$1745,"",(tech_base!$K261/tech_proj!Y385*0.086*$J$132)/(1-tech_proj!Y665))</f>
        <v>0</v>
      </c>
      <c r="Z2005" s="127">
        <f>IF(tech_base!$T261&gt;Z$1745,"",(tech_base!$K261/tech_proj!Z385*0.086*$J$132)/(1-tech_proj!Z665))</f>
        <v>0</v>
      </c>
      <c r="AA2005" s="127">
        <f>IF(tech_base!$T261&gt;AA$1745,"",(tech_base!$K261/tech_proj!AA385*0.086*$J$132)/(1-tech_proj!AA665))</f>
        <v>0</v>
      </c>
      <c r="AB2005" s="127">
        <f>IF(tech_base!$T261&gt;AB$1745,"",(tech_base!$K261/tech_proj!AB385*0.086*$J$132)/(1-tech_proj!AB665))</f>
        <v>0</v>
      </c>
      <c r="AC2005" s="127">
        <f>IF(tech_base!$T261&gt;AC$1745,"",(tech_base!$K261/tech_proj!AC385*0.086*$J$132)/(1-tech_proj!AC665))</f>
        <v>0</v>
      </c>
      <c r="AD2005" s="127">
        <f>IF(tech_base!$T261&gt;AD$1745,"",(tech_base!$K261/tech_proj!AD385*0.086*$J$132)/(1-tech_proj!AD665))</f>
        <v>0</v>
      </c>
      <c r="AE2005" s="127">
        <f>IF(tech_base!$T261&gt;AE$1745,"",(tech_base!$K261/tech_proj!AE385*0.086*$J$132)/(1-tech_proj!AE665))</f>
        <v>0</v>
      </c>
      <c r="AF2005" s="127">
        <f>IF(tech_base!$T261&gt;AF$1745,"",(tech_base!$K261/tech_proj!AF385*0.086*$J$132)/(1-tech_proj!AF665))</f>
        <v>0</v>
      </c>
      <c r="AG2005" s="127">
        <f>IF(tech_base!$T261&gt;AG$1745,"",(tech_base!$K261/tech_proj!AG385*0.086*$J$132)/(1-tech_proj!AG665))</f>
        <v>0</v>
      </c>
      <c r="AH2005" s="127">
        <f>IF(tech_base!$T261&gt;AH$1745,"",(tech_base!$K261/tech_proj!AH385*0.086*$J$132)/(1-tech_proj!AH665))</f>
        <v>0</v>
      </c>
      <c r="AI2005" s="127">
        <f>IF(tech_base!$T261&gt;AI$1745,"",(tech_base!$K261/tech_proj!AI385*0.086*$J$132)/(1-tech_proj!AI665))</f>
        <v>0</v>
      </c>
      <c r="AJ2005" s="127">
        <f>IF(tech_base!$T261&gt;AJ$1745,"",(tech_base!$K261/tech_proj!AJ385*0.086*$J$132)/(1-tech_proj!AJ665))</f>
        <v>0</v>
      </c>
      <c r="AK2005" s="127">
        <f>IF(tech_base!$T261&gt;AK$1745,"",(tech_base!$K261/tech_proj!AK385*0.086*$J$132)/(1-tech_proj!AK665))</f>
        <v>0</v>
      </c>
      <c r="AL2005" s="127">
        <f>IF(tech_base!$T261&gt;AL$1745,"",(tech_base!$K261/tech_proj!AL385*0.086*$J$132)/(1-tech_proj!AL665))</f>
        <v>0</v>
      </c>
      <c r="AM2005" s="127">
        <f>IF(tech_base!$T261&gt;AM$1745,"",(tech_base!$K261/tech_proj!AM385*0.086*$J$132)/(1-tech_proj!AM665))</f>
        <v>0</v>
      </c>
      <c r="AN2005" s="127">
        <f>IF(tech_base!$T261&gt;AN$1745,"",(tech_base!$K261/tech_proj!AN385*0.086*$J$132)/(1-tech_proj!AN665))</f>
        <v>0</v>
      </c>
      <c r="AO2005" s="127">
        <f>IF(tech_base!$T261&gt;AO$1745,"",(tech_base!$K261/tech_proj!AO385*0.086*$J$132)/(1-tech_proj!AO665))</f>
        <v>0</v>
      </c>
      <c r="AP2005" s="127">
        <f>IF(tech_base!$T261&gt;AP$1745,"",(tech_base!$K261/tech_proj!AP385*0.086*$J$132)/(1-tech_proj!AP665))</f>
        <v>0</v>
      </c>
      <c r="AQ2005" s="127">
        <f>IF(tech_base!$T261&gt;AQ$1745,"",(tech_base!$K261/tech_proj!AQ385*0.086*$J$132)/(1-tech_proj!AQ665))</f>
        <v>0</v>
      </c>
      <c r="AR2005" s="127">
        <f>IF(tech_base!$T261&gt;AR$1745,"",(tech_base!$K261/tech_proj!AR385*0.086*$J$132)/(1-tech_proj!AR665))</f>
        <v>0</v>
      </c>
      <c r="AS2005" s="127">
        <f>IF(tech_base!$T261&gt;AS$1745,"",(tech_base!$K261/tech_proj!AS385*0.086*$J$132)/(1-tech_proj!AS665))</f>
        <v>0</v>
      </c>
      <c r="AT2005" s="127">
        <f>IF(tech_base!$T261&gt;AT$1745,"",(tech_base!$K261/tech_proj!AT385*0.086*$J$132)/(1-tech_proj!AT665))</f>
        <v>0</v>
      </c>
      <c r="AU2005" s="127">
        <f>IF(tech_base!$T261&gt;AU$1745,"",(tech_base!$K261/tech_proj!AU385*0.086*$J$132)/(1-tech_proj!AU665))</f>
        <v>0</v>
      </c>
      <c r="AV2005" s="127">
        <f>IF(tech_base!$T261&gt;AV$1745,"",(tech_base!$K261/tech_proj!AV385*0.086*$J$132)/(1-tech_proj!AV665))</f>
        <v>0</v>
      </c>
      <c r="AW2005" s="127">
        <f>IF(tech_base!$T261&gt;AW$1745,"",(tech_base!$K261/tech_proj!AW385*0.086*$J$132)/(1-tech_proj!AW665))</f>
        <v>0</v>
      </c>
      <c r="AX2005" s="128">
        <f>IF(tech_base!$T261&gt;AX$1745,"",(tech_base!$K261/tech_proj!AX385*0.086*$J$132)/(1-tech_proj!AX665))</f>
        <v>0</v>
      </c>
    </row>
    <row r="2006" spans="1:50" x14ac:dyDescent="0.25">
      <c r="A2006" s="355" t="s">
        <v>43</v>
      </c>
      <c r="B2006" s="358" t="s">
        <v>44</v>
      </c>
      <c r="C2006" s="353" t="s">
        <v>6</v>
      </c>
      <c r="D2006" s="3" t="s">
        <v>7</v>
      </c>
      <c r="E2006" s="162" t="str">
        <f>A2006&amp;"/"&amp;B2006&amp;"/"&amp;C2006&amp;"/"&amp;D2006</f>
        <v>Hydro plants/Run-of-river/Electricity only/L</v>
      </c>
      <c r="F2006" s="77" t="str">
        <f>A2006</f>
        <v>Hydro plants</v>
      </c>
      <c r="G2006" s="77" t="str">
        <f>B2006</f>
        <v>Run-of-river</v>
      </c>
      <c r="H2006" s="77" t="str">
        <f>C2006</f>
        <v>Electricity only</v>
      </c>
      <c r="I2006" s="163" t="str">
        <f t="shared" si="386"/>
        <v>L</v>
      </c>
      <c r="J2006" s="121">
        <f>IF(tech_base!$T262&gt;J$1745,"",(tech_base!$K262/tech_proj!J386*0.086*$J$132)/(1-tech_proj!J666))</f>
        <v>0</v>
      </c>
      <c r="K2006" s="121">
        <f>IF(tech_base!$T262&gt;K$1745,"",(tech_base!$K262/tech_proj!K386*0.086*$J$132)/(1-tech_proj!K666))</f>
        <v>0</v>
      </c>
      <c r="L2006" s="121">
        <f>IF(tech_base!$T262&gt;L$1745,"",(tech_base!$K262/tech_proj!L386*0.086*$J$132)/(1-tech_proj!L666))</f>
        <v>0</v>
      </c>
      <c r="M2006" s="121">
        <f>IF(tech_base!$T262&gt;M$1745,"",(tech_base!$K262/tech_proj!M386*0.086*$J$132)/(1-tech_proj!M666))</f>
        <v>0</v>
      </c>
      <c r="N2006" s="121">
        <f>IF(tech_base!$T262&gt;N$1745,"",(tech_base!$K262/tech_proj!N386*0.086*$J$132)/(1-tech_proj!N666))</f>
        <v>0</v>
      </c>
      <c r="O2006" s="121">
        <f>IF(tech_base!$T262&gt;O$1745,"",(tech_base!$K262/tech_proj!O386*0.086*$J$132)/(1-tech_proj!O666))</f>
        <v>0</v>
      </c>
      <c r="P2006" s="121">
        <f>IF(tech_base!$T262&gt;P$1745,"",(tech_base!$K262/tech_proj!P386*0.086*$J$132)/(1-tech_proj!P666))</f>
        <v>0</v>
      </c>
      <c r="Q2006" s="121">
        <f>IF(tech_base!$T262&gt;Q$1745,"",(tech_base!$K262/tech_proj!Q386*0.086*$J$132)/(1-tech_proj!Q666))</f>
        <v>0</v>
      </c>
      <c r="R2006" s="121">
        <f>IF(tech_base!$T262&gt;R$1745,"",(tech_base!$K262/tech_proj!R386*0.086*$J$132)/(1-tech_proj!R666))</f>
        <v>0</v>
      </c>
      <c r="S2006" s="121">
        <f>IF(tech_base!$T262&gt;S$1745,"",(tech_base!$K262/tech_proj!S386*0.086*$J$132)/(1-tech_proj!S666))</f>
        <v>0</v>
      </c>
      <c r="T2006" s="121">
        <f>IF(tech_base!$T262&gt;T$1745,"",(tech_base!$K262/tech_proj!T386*0.086*$J$132)/(1-tech_proj!T666))</f>
        <v>0</v>
      </c>
      <c r="U2006" s="121">
        <f>IF(tech_base!$T262&gt;U$1745,"",(tech_base!$K262/tech_proj!U386*0.086*$J$132)/(1-tech_proj!U666))</f>
        <v>0</v>
      </c>
      <c r="V2006" s="121">
        <f>IF(tech_base!$T262&gt;V$1745,"",(tech_base!$K262/tech_proj!V386*0.086*$J$132)/(1-tech_proj!V666))</f>
        <v>0</v>
      </c>
      <c r="W2006" s="121">
        <f>IF(tech_base!$T262&gt;W$1745,"",(tech_base!$K262/tech_proj!W386*0.086*$J$132)/(1-tech_proj!W666))</f>
        <v>0</v>
      </c>
      <c r="X2006" s="121">
        <f>IF(tech_base!$T262&gt;X$1745,"",(tech_base!$K262/tech_proj!X386*0.086*$J$132)/(1-tech_proj!X666))</f>
        <v>0</v>
      </c>
      <c r="Y2006" s="121">
        <f>IF(tech_base!$T262&gt;Y$1745,"",(tech_base!$K262/tech_proj!Y386*0.086*$J$132)/(1-tech_proj!Y666))</f>
        <v>0</v>
      </c>
      <c r="Z2006" s="121">
        <f>IF(tech_base!$T262&gt;Z$1745,"",(tech_base!$K262/tech_proj!Z386*0.086*$J$132)/(1-tech_proj!Z666))</f>
        <v>0</v>
      </c>
      <c r="AA2006" s="121">
        <f>IF(tech_base!$T262&gt;AA$1745,"",(tech_base!$K262/tech_proj!AA386*0.086*$J$132)/(1-tech_proj!AA666))</f>
        <v>0</v>
      </c>
      <c r="AB2006" s="121">
        <f>IF(tech_base!$T262&gt;AB$1745,"",(tech_base!$K262/tech_proj!AB386*0.086*$J$132)/(1-tech_proj!AB666))</f>
        <v>0</v>
      </c>
      <c r="AC2006" s="121">
        <f>IF(tech_base!$T262&gt;AC$1745,"",(tech_base!$K262/tech_proj!AC386*0.086*$J$132)/(1-tech_proj!AC666))</f>
        <v>0</v>
      </c>
      <c r="AD2006" s="121">
        <f>IF(tech_base!$T262&gt;AD$1745,"",(tech_base!$K262/tech_proj!AD386*0.086*$J$132)/(1-tech_proj!AD666))</f>
        <v>0</v>
      </c>
      <c r="AE2006" s="121">
        <f>IF(tech_base!$T262&gt;AE$1745,"",(tech_base!$K262/tech_proj!AE386*0.086*$J$132)/(1-tech_proj!AE666))</f>
        <v>0</v>
      </c>
      <c r="AF2006" s="121">
        <f>IF(tech_base!$T262&gt;AF$1745,"",(tech_base!$K262/tech_proj!AF386*0.086*$J$132)/(1-tech_proj!AF666))</f>
        <v>0</v>
      </c>
      <c r="AG2006" s="121">
        <f>IF(tech_base!$T262&gt;AG$1745,"",(tech_base!$K262/tech_proj!AG386*0.086*$J$132)/(1-tech_proj!AG666))</f>
        <v>0</v>
      </c>
      <c r="AH2006" s="121">
        <f>IF(tech_base!$T262&gt;AH$1745,"",(tech_base!$K262/tech_proj!AH386*0.086*$J$132)/(1-tech_proj!AH666))</f>
        <v>0</v>
      </c>
      <c r="AI2006" s="121">
        <f>IF(tech_base!$T262&gt;AI$1745,"",(tech_base!$K262/tech_proj!AI386*0.086*$J$132)/(1-tech_proj!AI666))</f>
        <v>0</v>
      </c>
      <c r="AJ2006" s="121">
        <f>IF(tech_base!$T262&gt;AJ$1745,"",(tech_base!$K262/tech_proj!AJ386*0.086*$J$132)/(1-tech_proj!AJ666))</f>
        <v>0</v>
      </c>
      <c r="AK2006" s="121">
        <f>IF(tech_base!$T262&gt;AK$1745,"",(tech_base!$K262/tech_proj!AK386*0.086*$J$132)/(1-tech_proj!AK666))</f>
        <v>0</v>
      </c>
      <c r="AL2006" s="121">
        <f>IF(tech_base!$T262&gt;AL$1745,"",(tech_base!$K262/tech_proj!AL386*0.086*$J$132)/(1-tech_proj!AL666))</f>
        <v>0</v>
      </c>
      <c r="AM2006" s="121">
        <f>IF(tech_base!$T262&gt;AM$1745,"",(tech_base!$K262/tech_proj!AM386*0.086*$J$132)/(1-tech_proj!AM666))</f>
        <v>0</v>
      </c>
      <c r="AN2006" s="121">
        <f>IF(tech_base!$T262&gt;AN$1745,"",(tech_base!$K262/tech_proj!AN386*0.086*$J$132)/(1-tech_proj!AN666))</f>
        <v>0</v>
      </c>
      <c r="AO2006" s="121">
        <f>IF(tech_base!$T262&gt;AO$1745,"",(tech_base!$K262/tech_proj!AO386*0.086*$J$132)/(1-tech_proj!AO666))</f>
        <v>0</v>
      </c>
      <c r="AP2006" s="121">
        <f>IF(tech_base!$T262&gt;AP$1745,"",(tech_base!$K262/tech_proj!AP386*0.086*$J$132)/(1-tech_proj!AP666))</f>
        <v>0</v>
      </c>
      <c r="AQ2006" s="121">
        <f>IF(tech_base!$T262&gt;AQ$1745,"",(tech_base!$K262/tech_proj!AQ386*0.086*$J$132)/(1-tech_proj!AQ666))</f>
        <v>0</v>
      </c>
      <c r="AR2006" s="121">
        <f>IF(tech_base!$T262&gt;AR$1745,"",(tech_base!$K262/tech_proj!AR386*0.086*$J$132)/(1-tech_proj!AR666))</f>
        <v>0</v>
      </c>
      <c r="AS2006" s="121">
        <f>IF(tech_base!$T262&gt;AS$1745,"",(tech_base!$K262/tech_proj!AS386*0.086*$J$132)/(1-tech_proj!AS666))</f>
        <v>0</v>
      </c>
      <c r="AT2006" s="121">
        <f>IF(tech_base!$T262&gt;AT$1745,"",(tech_base!$K262/tech_proj!AT386*0.086*$J$132)/(1-tech_proj!AT666))</f>
        <v>0</v>
      </c>
      <c r="AU2006" s="121">
        <f>IF(tech_base!$T262&gt;AU$1745,"",(tech_base!$K262/tech_proj!AU386*0.086*$J$132)/(1-tech_proj!AU666))</f>
        <v>0</v>
      </c>
      <c r="AV2006" s="121">
        <f>IF(tech_base!$T262&gt;AV$1745,"",(tech_base!$K262/tech_proj!AV386*0.086*$J$132)/(1-tech_proj!AV666))</f>
        <v>0</v>
      </c>
      <c r="AW2006" s="121">
        <f>IF(tech_base!$T262&gt;AW$1745,"",(tech_base!$K262/tech_proj!AW386*0.086*$J$132)/(1-tech_proj!AW666))</f>
        <v>0</v>
      </c>
      <c r="AX2006" s="122">
        <f>IF(tech_base!$T262&gt;AX$1745,"",(tech_base!$K262/tech_proj!AX386*0.086*$J$132)/(1-tech_proj!AX666))</f>
        <v>0</v>
      </c>
    </row>
    <row r="2007" spans="1:50" x14ac:dyDescent="0.25">
      <c r="A2007" s="356"/>
      <c r="B2007" s="376"/>
      <c r="C2007" s="378"/>
      <c r="D2007" s="2" t="s">
        <v>8</v>
      </c>
      <c r="E2007" s="160" t="str">
        <f>A2006&amp;"/"&amp;B2006&amp;"/"&amp;C2006&amp;"/"&amp;D2007</f>
        <v>Hydro plants/Run-of-river/Electricity only/M</v>
      </c>
      <c r="F2007" s="76" t="str">
        <f>A2006</f>
        <v>Hydro plants</v>
      </c>
      <c r="G2007" s="76" t="str">
        <f>B2006</f>
        <v>Run-of-river</v>
      </c>
      <c r="H2007" s="76" t="str">
        <f>C2006</f>
        <v>Electricity only</v>
      </c>
      <c r="I2007" s="161" t="str">
        <f t="shared" si="386"/>
        <v>M</v>
      </c>
      <c r="J2007" s="119">
        <f>IF(tech_base!$T263&gt;J$1745,"",(tech_base!$K263/tech_proj!J387*0.086*$J$132)/(1-tech_proj!J667))</f>
        <v>0</v>
      </c>
      <c r="K2007" s="119">
        <f>IF(tech_base!$T263&gt;K$1745,"",(tech_base!$K263/tech_proj!K387*0.086*$J$132)/(1-tech_proj!K667))</f>
        <v>0</v>
      </c>
      <c r="L2007" s="119">
        <f>IF(tech_base!$T263&gt;L$1745,"",(tech_base!$K263/tech_proj!L387*0.086*$J$132)/(1-tech_proj!L667))</f>
        <v>0</v>
      </c>
      <c r="M2007" s="119">
        <f>IF(tech_base!$T263&gt;M$1745,"",(tech_base!$K263/tech_proj!M387*0.086*$J$132)/(1-tech_proj!M667))</f>
        <v>0</v>
      </c>
      <c r="N2007" s="119">
        <f>IF(tech_base!$T263&gt;N$1745,"",(tech_base!$K263/tech_proj!N387*0.086*$J$132)/(1-tech_proj!N667))</f>
        <v>0</v>
      </c>
      <c r="O2007" s="119">
        <f>IF(tech_base!$T263&gt;O$1745,"",(tech_base!$K263/tech_proj!O387*0.086*$J$132)/(1-tech_proj!O667))</f>
        <v>0</v>
      </c>
      <c r="P2007" s="119">
        <f>IF(tech_base!$T263&gt;P$1745,"",(tech_base!$K263/tech_proj!P387*0.086*$J$132)/(1-tech_proj!P667))</f>
        <v>0</v>
      </c>
      <c r="Q2007" s="119">
        <f>IF(tech_base!$T263&gt;Q$1745,"",(tech_base!$K263/tech_proj!Q387*0.086*$J$132)/(1-tech_proj!Q667))</f>
        <v>0</v>
      </c>
      <c r="R2007" s="119">
        <f>IF(tech_base!$T263&gt;R$1745,"",(tech_base!$K263/tech_proj!R387*0.086*$J$132)/(1-tech_proj!R667))</f>
        <v>0</v>
      </c>
      <c r="S2007" s="119">
        <f>IF(tech_base!$T263&gt;S$1745,"",(tech_base!$K263/tech_proj!S387*0.086*$J$132)/(1-tech_proj!S667))</f>
        <v>0</v>
      </c>
      <c r="T2007" s="119">
        <f>IF(tech_base!$T263&gt;T$1745,"",(tech_base!$K263/tech_proj!T387*0.086*$J$132)/(1-tech_proj!T667))</f>
        <v>0</v>
      </c>
      <c r="U2007" s="119">
        <f>IF(tech_base!$T263&gt;U$1745,"",(tech_base!$K263/tech_proj!U387*0.086*$J$132)/(1-tech_proj!U667))</f>
        <v>0</v>
      </c>
      <c r="V2007" s="119">
        <f>IF(tech_base!$T263&gt;V$1745,"",(tech_base!$K263/tech_proj!V387*0.086*$J$132)/(1-tech_proj!V667))</f>
        <v>0</v>
      </c>
      <c r="W2007" s="119">
        <f>IF(tech_base!$T263&gt;W$1745,"",(tech_base!$K263/tech_proj!W387*0.086*$J$132)/(1-tech_proj!W667))</f>
        <v>0</v>
      </c>
      <c r="X2007" s="119">
        <f>IF(tech_base!$T263&gt;X$1745,"",(tech_base!$K263/tech_proj!X387*0.086*$J$132)/(1-tech_proj!X667))</f>
        <v>0</v>
      </c>
      <c r="Y2007" s="119">
        <f>IF(tech_base!$T263&gt;Y$1745,"",(tech_base!$K263/tech_proj!Y387*0.086*$J$132)/(1-tech_proj!Y667))</f>
        <v>0</v>
      </c>
      <c r="Z2007" s="119">
        <f>IF(tech_base!$T263&gt;Z$1745,"",(tech_base!$K263/tech_proj!Z387*0.086*$J$132)/(1-tech_proj!Z667))</f>
        <v>0</v>
      </c>
      <c r="AA2007" s="119">
        <f>IF(tech_base!$T263&gt;AA$1745,"",(tech_base!$K263/tech_proj!AA387*0.086*$J$132)/(1-tech_proj!AA667))</f>
        <v>0</v>
      </c>
      <c r="AB2007" s="119">
        <f>IF(tech_base!$T263&gt;AB$1745,"",(tech_base!$K263/tech_proj!AB387*0.086*$J$132)/(1-tech_proj!AB667))</f>
        <v>0</v>
      </c>
      <c r="AC2007" s="119">
        <f>IF(tech_base!$T263&gt;AC$1745,"",(tech_base!$K263/tech_proj!AC387*0.086*$J$132)/(1-tech_proj!AC667))</f>
        <v>0</v>
      </c>
      <c r="AD2007" s="119">
        <f>IF(tech_base!$T263&gt;AD$1745,"",(tech_base!$K263/tech_proj!AD387*0.086*$J$132)/(1-tech_proj!AD667))</f>
        <v>0</v>
      </c>
      <c r="AE2007" s="119">
        <f>IF(tech_base!$T263&gt;AE$1745,"",(tech_base!$K263/tech_proj!AE387*0.086*$J$132)/(1-tech_proj!AE667))</f>
        <v>0</v>
      </c>
      <c r="AF2007" s="119">
        <f>IF(tech_base!$T263&gt;AF$1745,"",(tech_base!$K263/tech_proj!AF387*0.086*$J$132)/(1-tech_proj!AF667))</f>
        <v>0</v>
      </c>
      <c r="AG2007" s="119">
        <f>IF(tech_base!$T263&gt;AG$1745,"",(tech_base!$K263/tech_proj!AG387*0.086*$J$132)/(1-tech_proj!AG667))</f>
        <v>0</v>
      </c>
      <c r="AH2007" s="119">
        <f>IF(tech_base!$T263&gt;AH$1745,"",(tech_base!$K263/tech_proj!AH387*0.086*$J$132)/(1-tech_proj!AH667))</f>
        <v>0</v>
      </c>
      <c r="AI2007" s="119">
        <f>IF(tech_base!$T263&gt;AI$1745,"",(tech_base!$K263/tech_proj!AI387*0.086*$J$132)/(1-tech_proj!AI667))</f>
        <v>0</v>
      </c>
      <c r="AJ2007" s="119">
        <f>IF(tech_base!$T263&gt;AJ$1745,"",(tech_base!$K263/tech_proj!AJ387*0.086*$J$132)/(1-tech_proj!AJ667))</f>
        <v>0</v>
      </c>
      <c r="AK2007" s="119">
        <f>IF(tech_base!$T263&gt;AK$1745,"",(tech_base!$K263/tech_proj!AK387*0.086*$J$132)/(1-tech_proj!AK667))</f>
        <v>0</v>
      </c>
      <c r="AL2007" s="119">
        <f>IF(tech_base!$T263&gt;AL$1745,"",(tech_base!$K263/tech_proj!AL387*0.086*$J$132)/(1-tech_proj!AL667))</f>
        <v>0</v>
      </c>
      <c r="AM2007" s="119">
        <f>IF(tech_base!$T263&gt;AM$1745,"",(tech_base!$K263/tech_proj!AM387*0.086*$J$132)/(1-tech_proj!AM667))</f>
        <v>0</v>
      </c>
      <c r="AN2007" s="119">
        <f>IF(tech_base!$T263&gt;AN$1745,"",(tech_base!$K263/tech_proj!AN387*0.086*$J$132)/(1-tech_proj!AN667))</f>
        <v>0</v>
      </c>
      <c r="AO2007" s="119">
        <f>IF(tech_base!$T263&gt;AO$1745,"",(tech_base!$K263/tech_proj!AO387*0.086*$J$132)/(1-tech_proj!AO667))</f>
        <v>0</v>
      </c>
      <c r="AP2007" s="119">
        <f>IF(tech_base!$T263&gt;AP$1745,"",(tech_base!$K263/tech_proj!AP387*0.086*$J$132)/(1-tech_proj!AP667))</f>
        <v>0</v>
      </c>
      <c r="AQ2007" s="119">
        <f>IF(tech_base!$T263&gt;AQ$1745,"",(tech_base!$K263/tech_proj!AQ387*0.086*$J$132)/(1-tech_proj!AQ667))</f>
        <v>0</v>
      </c>
      <c r="AR2007" s="119">
        <f>IF(tech_base!$T263&gt;AR$1745,"",(tech_base!$K263/tech_proj!AR387*0.086*$J$132)/(1-tech_proj!AR667))</f>
        <v>0</v>
      </c>
      <c r="AS2007" s="119">
        <f>IF(tech_base!$T263&gt;AS$1745,"",(tech_base!$K263/tech_proj!AS387*0.086*$J$132)/(1-tech_proj!AS667))</f>
        <v>0</v>
      </c>
      <c r="AT2007" s="119">
        <f>IF(tech_base!$T263&gt;AT$1745,"",(tech_base!$K263/tech_proj!AT387*0.086*$J$132)/(1-tech_proj!AT667))</f>
        <v>0</v>
      </c>
      <c r="AU2007" s="119">
        <f>IF(tech_base!$T263&gt;AU$1745,"",(tech_base!$K263/tech_proj!AU387*0.086*$J$132)/(1-tech_proj!AU667))</f>
        <v>0</v>
      </c>
      <c r="AV2007" s="119">
        <f>IF(tech_base!$T263&gt;AV$1745,"",(tech_base!$K263/tech_proj!AV387*0.086*$J$132)/(1-tech_proj!AV667))</f>
        <v>0</v>
      </c>
      <c r="AW2007" s="119">
        <f>IF(tech_base!$T263&gt;AW$1745,"",(tech_base!$K263/tech_proj!AW387*0.086*$J$132)/(1-tech_proj!AW667))</f>
        <v>0</v>
      </c>
      <c r="AX2007" s="120">
        <f>IF(tech_base!$T263&gt;AX$1745,"",(tech_base!$K263/tech_proj!AX387*0.086*$J$132)/(1-tech_proj!AX667))</f>
        <v>0</v>
      </c>
    </row>
    <row r="2008" spans="1:50" x14ac:dyDescent="0.25">
      <c r="A2008" s="356"/>
      <c r="B2008" s="376"/>
      <c r="C2008" s="378"/>
      <c r="D2008" s="2" t="s">
        <v>10</v>
      </c>
      <c r="E2008" s="160" t="str">
        <f>A2006&amp;"/"&amp;B2006&amp;"/"&amp;C2006&amp;"/"&amp;D2008</f>
        <v>Hydro plants/Run-of-river/Electricity only/S</v>
      </c>
      <c r="F2008" s="76" t="str">
        <f>A2006</f>
        <v>Hydro plants</v>
      </c>
      <c r="G2008" s="76" t="str">
        <f>B2006</f>
        <v>Run-of-river</v>
      </c>
      <c r="H2008" s="76" t="str">
        <f>C2006</f>
        <v>Electricity only</v>
      </c>
      <c r="I2008" s="161" t="str">
        <f t="shared" si="386"/>
        <v>S</v>
      </c>
      <c r="J2008" s="119">
        <f>IF(tech_base!$T264&gt;J$1745,"",(tech_base!$K264/tech_proj!J388*0.086*$J$132)/(1-tech_proj!J668))</f>
        <v>0</v>
      </c>
      <c r="K2008" s="119">
        <f>IF(tech_base!$T264&gt;K$1745,"",(tech_base!$K264/tech_proj!K388*0.086*$J$132)/(1-tech_proj!K668))</f>
        <v>0</v>
      </c>
      <c r="L2008" s="119">
        <f>IF(tech_base!$T264&gt;L$1745,"",(tech_base!$K264/tech_proj!L388*0.086*$J$132)/(1-tech_proj!L668))</f>
        <v>0</v>
      </c>
      <c r="M2008" s="119">
        <f>IF(tech_base!$T264&gt;M$1745,"",(tech_base!$K264/tech_proj!M388*0.086*$J$132)/(1-tech_proj!M668))</f>
        <v>0</v>
      </c>
      <c r="N2008" s="119">
        <f>IF(tech_base!$T264&gt;N$1745,"",(tech_base!$K264/tech_proj!N388*0.086*$J$132)/(1-tech_proj!N668))</f>
        <v>0</v>
      </c>
      <c r="O2008" s="119">
        <f>IF(tech_base!$T264&gt;O$1745,"",(tech_base!$K264/tech_proj!O388*0.086*$J$132)/(1-tech_proj!O668))</f>
        <v>0</v>
      </c>
      <c r="P2008" s="119">
        <f>IF(tech_base!$T264&gt;P$1745,"",(tech_base!$K264/tech_proj!P388*0.086*$J$132)/(1-tech_proj!P668))</f>
        <v>0</v>
      </c>
      <c r="Q2008" s="119">
        <f>IF(tech_base!$T264&gt;Q$1745,"",(tech_base!$K264/tech_proj!Q388*0.086*$J$132)/(1-tech_proj!Q668))</f>
        <v>0</v>
      </c>
      <c r="R2008" s="119">
        <f>IF(tech_base!$T264&gt;R$1745,"",(tech_base!$K264/tech_proj!R388*0.086*$J$132)/(1-tech_proj!R668))</f>
        <v>0</v>
      </c>
      <c r="S2008" s="119">
        <f>IF(tech_base!$T264&gt;S$1745,"",(tech_base!$K264/tech_proj!S388*0.086*$J$132)/(1-tech_proj!S668))</f>
        <v>0</v>
      </c>
      <c r="T2008" s="119">
        <f>IF(tech_base!$T264&gt;T$1745,"",(tech_base!$K264/tech_proj!T388*0.086*$J$132)/(1-tech_proj!T668))</f>
        <v>0</v>
      </c>
      <c r="U2008" s="119">
        <f>IF(tech_base!$T264&gt;U$1745,"",(tech_base!$K264/tech_proj!U388*0.086*$J$132)/(1-tech_proj!U668))</f>
        <v>0</v>
      </c>
      <c r="V2008" s="119">
        <f>IF(tech_base!$T264&gt;V$1745,"",(tech_base!$K264/tech_proj!V388*0.086*$J$132)/(1-tech_proj!V668))</f>
        <v>0</v>
      </c>
      <c r="W2008" s="119">
        <f>IF(tech_base!$T264&gt;W$1745,"",(tech_base!$K264/tech_proj!W388*0.086*$J$132)/(1-tech_proj!W668))</f>
        <v>0</v>
      </c>
      <c r="X2008" s="119">
        <f>IF(tech_base!$T264&gt;X$1745,"",(tech_base!$K264/tech_proj!X388*0.086*$J$132)/(1-tech_proj!X668))</f>
        <v>0</v>
      </c>
      <c r="Y2008" s="119">
        <f>IF(tech_base!$T264&gt;Y$1745,"",(tech_base!$K264/tech_proj!Y388*0.086*$J$132)/(1-tech_proj!Y668))</f>
        <v>0</v>
      </c>
      <c r="Z2008" s="119">
        <f>IF(tech_base!$T264&gt;Z$1745,"",(tech_base!$K264/tech_proj!Z388*0.086*$J$132)/(1-tech_proj!Z668))</f>
        <v>0</v>
      </c>
      <c r="AA2008" s="119">
        <f>IF(tech_base!$T264&gt;AA$1745,"",(tech_base!$K264/tech_proj!AA388*0.086*$J$132)/(1-tech_proj!AA668))</f>
        <v>0</v>
      </c>
      <c r="AB2008" s="119">
        <f>IF(tech_base!$T264&gt;AB$1745,"",(tech_base!$K264/tech_proj!AB388*0.086*$J$132)/(1-tech_proj!AB668))</f>
        <v>0</v>
      </c>
      <c r="AC2008" s="119">
        <f>IF(tech_base!$T264&gt;AC$1745,"",(tech_base!$K264/tech_proj!AC388*0.086*$J$132)/(1-tech_proj!AC668))</f>
        <v>0</v>
      </c>
      <c r="AD2008" s="119">
        <f>IF(tech_base!$T264&gt;AD$1745,"",(tech_base!$K264/tech_proj!AD388*0.086*$J$132)/(1-tech_proj!AD668))</f>
        <v>0</v>
      </c>
      <c r="AE2008" s="119">
        <f>IF(tech_base!$T264&gt;AE$1745,"",(tech_base!$K264/tech_proj!AE388*0.086*$J$132)/(1-tech_proj!AE668))</f>
        <v>0</v>
      </c>
      <c r="AF2008" s="119">
        <f>IF(tech_base!$T264&gt;AF$1745,"",(tech_base!$K264/tech_proj!AF388*0.086*$J$132)/(1-tech_proj!AF668))</f>
        <v>0</v>
      </c>
      <c r="AG2008" s="119">
        <f>IF(tech_base!$T264&gt;AG$1745,"",(tech_base!$K264/tech_proj!AG388*0.086*$J$132)/(1-tech_proj!AG668))</f>
        <v>0</v>
      </c>
      <c r="AH2008" s="119">
        <f>IF(tech_base!$T264&gt;AH$1745,"",(tech_base!$K264/tech_proj!AH388*0.086*$J$132)/(1-tech_proj!AH668))</f>
        <v>0</v>
      </c>
      <c r="AI2008" s="119">
        <f>IF(tech_base!$T264&gt;AI$1745,"",(tech_base!$K264/tech_proj!AI388*0.086*$J$132)/(1-tech_proj!AI668))</f>
        <v>0</v>
      </c>
      <c r="AJ2008" s="119">
        <f>IF(tech_base!$T264&gt;AJ$1745,"",(tech_base!$K264/tech_proj!AJ388*0.086*$J$132)/(1-tech_proj!AJ668))</f>
        <v>0</v>
      </c>
      <c r="AK2008" s="119">
        <f>IF(tech_base!$T264&gt;AK$1745,"",(tech_base!$K264/tech_proj!AK388*0.086*$J$132)/(1-tech_proj!AK668))</f>
        <v>0</v>
      </c>
      <c r="AL2008" s="119">
        <f>IF(tech_base!$T264&gt;AL$1745,"",(tech_base!$K264/tech_proj!AL388*0.086*$J$132)/(1-tech_proj!AL668))</f>
        <v>0</v>
      </c>
      <c r="AM2008" s="119">
        <f>IF(tech_base!$T264&gt;AM$1745,"",(tech_base!$K264/tech_proj!AM388*0.086*$J$132)/(1-tech_proj!AM668))</f>
        <v>0</v>
      </c>
      <c r="AN2008" s="119">
        <f>IF(tech_base!$T264&gt;AN$1745,"",(tech_base!$K264/tech_proj!AN388*0.086*$J$132)/(1-tech_proj!AN668))</f>
        <v>0</v>
      </c>
      <c r="AO2008" s="119">
        <f>IF(tech_base!$T264&gt;AO$1745,"",(tech_base!$K264/tech_proj!AO388*0.086*$J$132)/(1-tech_proj!AO668))</f>
        <v>0</v>
      </c>
      <c r="AP2008" s="119">
        <f>IF(tech_base!$T264&gt;AP$1745,"",(tech_base!$K264/tech_proj!AP388*0.086*$J$132)/(1-tech_proj!AP668))</f>
        <v>0</v>
      </c>
      <c r="AQ2008" s="119">
        <f>IF(tech_base!$T264&gt;AQ$1745,"",(tech_base!$K264/tech_proj!AQ388*0.086*$J$132)/(1-tech_proj!AQ668))</f>
        <v>0</v>
      </c>
      <c r="AR2008" s="119">
        <f>IF(tech_base!$T264&gt;AR$1745,"",(tech_base!$K264/tech_proj!AR388*0.086*$J$132)/(1-tech_proj!AR668))</f>
        <v>0</v>
      </c>
      <c r="AS2008" s="119">
        <f>IF(tech_base!$T264&gt;AS$1745,"",(tech_base!$K264/tech_proj!AS388*0.086*$J$132)/(1-tech_proj!AS668))</f>
        <v>0</v>
      </c>
      <c r="AT2008" s="119">
        <f>IF(tech_base!$T264&gt;AT$1745,"",(tech_base!$K264/tech_proj!AT388*0.086*$J$132)/(1-tech_proj!AT668))</f>
        <v>0</v>
      </c>
      <c r="AU2008" s="119">
        <f>IF(tech_base!$T264&gt;AU$1745,"",(tech_base!$K264/tech_proj!AU388*0.086*$J$132)/(1-tech_proj!AU668))</f>
        <v>0</v>
      </c>
      <c r="AV2008" s="119">
        <f>IF(tech_base!$T264&gt;AV$1745,"",(tech_base!$K264/tech_proj!AV388*0.086*$J$132)/(1-tech_proj!AV668))</f>
        <v>0</v>
      </c>
      <c r="AW2008" s="119">
        <f>IF(tech_base!$T264&gt;AW$1745,"",(tech_base!$K264/tech_proj!AW388*0.086*$J$132)/(1-tech_proj!AW668))</f>
        <v>0</v>
      </c>
      <c r="AX2008" s="120">
        <f>IF(tech_base!$T264&gt;AX$1745,"",(tech_base!$K264/tech_proj!AX388*0.086*$J$132)/(1-tech_proj!AX668))</f>
        <v>0</v>
      </c>
    </row>
    <row r="2009" spans="1:50" x14ac:dyDescent="0.25">
      <c r="A2009" s="356"/>
      <c r="B2009" s="377"/>
      <c r="C2009" s="379"/>
      <c r="D2009" s="59" t="s">
        <v>20</v>
      </c>
      <c r="E2009" s="166" t="str">
        <f>A2006&amp;"/"&amp;B2006&amp;"/"&amp;C2006&amp;"/"&amp;D2009</f>
        <v>Hydro plants/Run-of-river/Electricity only/XS</v>
      </c>
      <c r="F2009" s="79" t="str">
        <f>A2006</f>
        <v>Hydro plants</v>
      </c>
      <c r="G2009" s="79" t="str">
        <f>B2006</f>
        <v>Run-of-river</v>
      </c>
      <c r="H2009" s="79" t="str">
        <f>C2006</f>
        <v>Electricity only</v>
      </c>
      <c r="I2009" s="167" t="str">
        <f t="shared" si="386"/>
        <v>XS</v>
      </c>
      <c r="J2009" s="125">
        <f>IF(tech_base!$T265&gt;J$1745,"",(tech_base!$K265/tech_proj!J389*0.086*$J$132)/(1-tech_proj!J669))</f>
        <v>0</v>
      </c>
      <c r="K2009" s="125">
        <f>IF(tech_base!$T265&gt;K$1745,"",(tech_base!$K265/tech_proj!K389*0.086*$J$132)/(1-tech_proj!K669))</f>
        <v>0</v>
      </c>
      <c r="L2009" s="125">
        <f>IF(tech_base!$T265&gt;L$1745,"",(tech_base!$K265/tech_proj!L389*0.086*$J$132)/(1-tech_proj!L669))</f>
        <v>0</v>
      </c>
      <c r="M2009" s="125">
        <f>IF(tech_base!$T265&gt;M$1745,"",(tech_base!$K265/tech_proj!M389*0.086*$J$132)/(1-tech_proj!M669))</f>
        <v>0</v>
      </c>
      <c r="N2009" s="125">
        <f>IF(tech_base!$T265&gt;N$1745,"",(tech_base!$K265/tech_proj!N389*0.086*$J$132)/(1-tech_proj!N669))</f>
        <v>0</v>
      </c>
      <c r="O2009" s="125">
        <f>IF(tech_base!$T265&gt;O$1745,"",(tech_base!$K265/tech_proj!O389*0.086*$J$132)/(1-tech_proj!O669))</f>
        <v>0</v>
      </c>
      <c r="P2009" s="125">
        <f>IF(tech_base!$T265&gt;P$1745,"",(tech_base!$K265/tech_proj!P389*0.086*$J$132)/(1-tech_proj!P669))</f>
        <v>0</v>
      </c>
      <c r="Q2009" s="125">
        <f>IF(tech_base!$T265&gt;Q$1745,"",(tech_base!$K265/tech_proj!Q389*0.086*$J$132)/(1-tech_proj!Q669))</f>
        <v>0</v>
      </c>
      <c r="R2009" s="125">
        <f>IF(tech_base!$T265&gt;R$1745,"",(tech_base!$K265/tech_proj!R389*0.086*$J$132)/(1-tech_proj!R669))</f>
        <v>0</v>
      </c>
      <c r="S2009" s="125">
        <f>IF(tech_base!$T265&gt;S$1745,"",(tech_base!$K265/tech_proj!S389*0.086*$J$132)/(1-tech_proj!S669))</f>
        <v>0</v>
      </c>
      <c r="T2009" s="125">
        <f>IF(tech_base!$T265&gt;T$1745,"",(tech_base!$K265/tech_proj!T389*0.086*$J$132)/(1-tech_proj!T669))</f>
        <v>0</v>
      </c>
      <c r="U2009" s="125">
        <f>IF(tech_base!$T265&gt;U$1745,"",(tech_base!$K265/tech_proj!U389*0.086*$J$132)/(1-tech_proj!U669))</f>
        <v>0</v>
      </c>
      <c r="V2009" s="125">
        <f>IF(tech_base!$T265&gt;V$1745,"",(tech_base!$K265/tech_proj!V389*0.086*$J$132)/(1-tech_proj!V669))</f>
        <v>0</v>
      </c>
      <c r="W2009" s="125">
        <f>IF(tech_base!$T265&gt;W$1745,"",(tech_base!$K265/tech_proj!W389*0.086*$J$132)/(1-tech_proj!W669))</f>
        <v>0</v>
      </c>
      <c r="X2009" s="125">
        <f>IF(tech_base!$T265&gt;X$1745,"",(tech_base!$K265/tech_proj!X389*0.086*$J$132)/(1-tech_proj!X669))</f>
        <v>0</v>
      </c>
      <c r="Y2009" s="125">
        <f>IF(tech_base!$T265&gt;Y$1745,"",(tech_base!$K265/tech_proj!Y389*0.086*$J$132)/(1-tech_proj!Y669))</f>
        <v>0</v>
      </c>
      <c r="Z2009" s="125">
        <f>IF(tech_base!$T265&gt;Z$1745,"",(tech_base!$K265/tech_proj!Z389*0.086*$J$132)/(1-tech_proj!Z669))</f>
        <v>0</v>
      </c>
      <c r="AA2009" s="125">
        <f>IF(tech_base!$T265&gt;AA$1745,"",(tech_base!$K265/tech_proj!AA389*0.086*$J$132)/(1-tech_proj!AA669))</f>
        <v>0</v>
      </c>
      <c r="AB2009" s="125">
        <f>IF(tech_base!$T265&gt;AB$1745,"",(tech_base!$K265/tech_proj!AB389*0.086*$J$132)/(1-tech_proj!AB669))</f>
        <v>0</v>
      </c>
      <c r="AC2009" s="125">
        <f>IF(tech_base!$T265&gt;AC$1745,"",(tech_base!$K265/tech_proj!AC389*0.086*$J$132)/(1-tech_proj!AC669))</f>
        <v>0</v>
      </c>
      <c r="AD2009" s="125">
        <f>IF(tech_base!$T265&gt;AD$1745,"",(tech_base!$K265/tech_proj!AD389*0.086*$J$132)/(1-tech_proj!AD669))</f>
        <v>0</v>
      </c>
      <c r="AE2009" s="125">
        <f>IF(tech_base!$T265&gt;AE$1745,"",(tech_base!$K265/tech_proj!AE389*0.086*$J$132)/(1-tech_proj!AE669))</f>
        <v>0</v>
      </c>
      <c r="AF2009" s="125">
        <f>IF(tech_base!$T265&gt;AF$1745,"",(tech_base!$K265/tech_proj!AF389*0.086*$J$132)/(1-tech_proj!AF669))</f>
        <v>0</v>
      </c>
      <c r="AG2009" s="125">
        <f>IF(tech_base!$T265&gt;AG$1745,"",(tech_base!$K265/tech_proj!AG389*0.086*$J$132)/(1-tech_proj!AG669))</f>
        <v>0</v>
      </c>
      <c r="AH2009" s="125">
        <f>IF(tech_base!$T265&gt;AH$1745,"",(tech_base!$K265/tech_proj!AH389*0.086*$J$132)/(1-tech_proj!AH669))</f>
        <v>0</v>
      </c>
      <c r="AI2009" s="125">
        <f>IF(tech_base!$T265&gt;AI$1745,"",(tech_base!$K265/tech_proj!AI389*0.086*$J$132)/(1-tech_proj!AI669))</f>
        <v>0</v>
      </c>
      <c r="AJ2009" s="125">
        <f>IF(tech_base!$T265&gt;AJ$1745,"",(tech_base!$K265/tech_proj!AJ389*0.086*$J$132)/(1-tech_proj!AJ669))</f>
        <v>0</v>
      </c>
      <c r="AK2009" s="125">
        <f>IF(tech_base!$T265&gt;AK$1745,"",(tech_base!$K265/tech_proj!AK389*0.086*$J$132)/(1-tech_proj!AK669))</f>
        <v>0</v>
      </c>
      <c r="AL2009" s="125">
        <f>IF(tech_base!$T265&gt;AL$1745,"",(tech_base!$K265/tech_proj!AL389*0.086*$J$132)/(1-tech_proj!AL669))</f>
        <v>0</v>
      </c>
      <c r="AM2009" s="125">
        <f>IF(tech_base!$T265&gt;AM$1745,"",(tech_base!$K265/tech_proj!AM389*0.086*$J$132)/(1-tech_proj!AM669))</f>
        <v>0</v>
      </c>
      <c r="AN2009" s="125">
        <f>IF(tech_base!$T265&gt;AN$1745,"",(tech_base!$K265/tech_proj!AN389*0.086*$J$132)/(1-tech_proj!AN669))</f>
        <v>0</v>
      </c>
      <c r="AO2009" s="125">
        <f>IF(tech_base!$T265&gt;AO$1745,"",(tech_base!$K265/tech_proj!AO389*0.086*$J$132)/(1-tech_proj!AO669))</f>
        <v>0</v>
      </c>
      <c r="AP2009" s="125">
        <f>IF(tech_base!$T265&gt;AP$1745,"",(tech_base!$K265/tech_proj!AP389*0.086*$J$132)/(1-tech_proj!AP669))</f>
        <v>0</v>
      </c>
      <c r="AQ2009" s="125">
        <f>IF(tech_base!$T265&gt;AQ$1745,"",(tech_base!$K265/tech_proj!AQ389*0.086*$J$132)/(1-tech_proj!AQ669))</f>
        <v>0</v>
      </c>
      <c r="AR2009" s="125">
        <f>IF(tech_base!$T265&gt;AR$1745,"",(tech_base!$K265/tech_proj!AR389*0.086*$J$132)/(1-tech_proj!AR669))</f>
        <v>0</v>
      </c>
      <c r="AS2009" s="125">
        <f>IF(tech_base!$T265&gt;AS$1745,"",(tech_base!$K265/tech_proj!AS389*0.086*$J$132)/(1-tech_proj!AS669))</f>
        <v>0</v>
      </c>
      <c r="AT2009" s="125">
        <f>IF(tech_base!$T265&gt;AT$1745,"",(tech_base!$K265/tech_proj!AT389*0.086*$J$132)/(1-tech_proj!AT669))</f>
        <v>0</v>
      </c>
      <c r="AU2009" s="125">
        <f>IF(tech_base!$T265&gt;AU$1745,"",(tech_base!$K265/tech_proj!AU389*0.086*$J$132)/(1-tech_proj!AU669))</f>
        <v>0</v>
      </c>
      <c r="AV2009" s="125">
        <f>IF(tech_base!$T265&gt;AV$1745,"",(tech_base!$K265/tech_proj!AV389*0.086*$J$132)/(1-tech_proj!AV669))</f>
        <v>0</v>
      </c>
      <c r="AW2009" s="125">
        <f>IF(tech_base!$T265&gt;AW$1745,"",(tech_base!$K265/tech_proj!AW389*0.086*$J$132)/(1-tech_proj!AW669))</f>
        <v>0</v>
      </c>
      <c r="AX2009" s="126">
        <f>IF(tech_base!$T265&gt;AX$1745,"",(tech_base!$K265/tech_proj!AX389*0.086*$J$132)/(1-tech_proj!AX669))</f>
        <v>0</v>
      </c>
    </row>
    <row r="2010" spans="1:50" x14ac:dyDescent="0.25">
      <c r="A2010" s="356"/>
      <c r="B2010" s="359" t="s">
        <v>45</v>
      </c>
      <c r="C2010" s="350" t="s">
        <v>6</v>
      </c>
      <c r="D2010" s="2" t="s">
        <v>7</v>
      </c>
      <c r="E2010" s="160" t="str">
        <f>A2006&amp;"/"&amp;B2010&amp;"/"&amp;C2010&amp;"/"&amp;D2010</f>
        <v>Hydro plants/Reservoirs (dams)/Electricity only/L</v>
      </c>
      <c r="F2010" s="76" t="str">
        <f>A2006</f>
        <v>Hydro plants</v>
      </c>
      <c r="G2010" s="76" t="str">
        <f>B2010</f>
        <v>Reservoirs (dams)</v>
      </c>
      <c r="H2010" s="76" t="str">
        <f>C2010</f>
        <v>Electricity only</v>
      </c>
      <c r="I2010" s="161" t="str">
        <f t="shared" si="386"/>
        <v>L</v>
      </c>
      <c r="J2010" s="119">
        <f>IF(tech_base!$T266&gt;J$1745,"",(tech_base!$K266/tech_proj!J390*0.086*$J$132)/(1-tech_proj!J670))</f>
        <v>0</v>
      </c>
      <c r="K2010" s="119">
        <f>IF(tech_base!$T266&gt;K$1745,"",(tech_base!$K266/tech_proj!K390*0.086*$J$132)/(1-tech_proj!K670))</f>
        <v>0</v>
      </c>
      <c r="L2010" s="119">
        <f>IF(tech_base!$T266&gt;L$1745,"",(tech_base!$K266/tech_proj!L390*0.086*$J$132)/(1-tech_proj!L670))</f>
        <v>0</v>
      </c>
      <c r="M2010" s="119">
        <f>IF(tech_base!$T266&gt;M$1745,"",(tech_base!$K266/tech_proj!M390*0.086*$J$132)/(1-tech_proj!M670))</f>
        <v>0</v>
      </c>
      <c r="N2010" s="119">
        <f>IF(tech_base!$T266&gt;N$1745,"",(tech_base!$K266/tech_proj!N390*0.086*$J$132)/(1-tech_proj!N670))</f>
        <v>0</v>
      </c>
      <c r="O2010" s="119">
        <f>IF(tech_base!$T266&gt;O$1745,"",(tech_base!$K266/tech_proj!O390*0.086*$J$132)/(1-tech_proj!O670))</f>
        <v>0</v>
      </c>
      <c r="P2010" s="119">
        <f>IF(tech_base!$T266&gt;P$1745,"",(tech_base!$K266/tech_proj!P390*0.086*$J$132)/(1-tech_proj!P670))</f>
        <v>0</v>
      </c>
      <c r="Q2010" s="119">
        <f>IF(tech_base!$T266&gt;Q$1745,"",(tech_base!$K266/tech_proj!Q390*0.086*$J$132)/(1-tech_proj!Q670))</f>
        <v>0</v>
      </c>
      <c r="R2010" s="119">
        <f>IF(tech_base!$T266&gt;R$1745,"",(tech_base!$K266/tech_proj!R390*0.086*$J$132)/(1-tech_proj!R670))</f>
        <v>0</v>
      </c>
      <c r="S2010" s="119">
        <f>IF(tech_base!$T266&gt;S$1745,"",(tech_base!$K266/tech_proj!S390*0.086*$J$132)/(1-tech_proj!S670))</f>
        <v>0</v>
      </c>
      <c r="T2010" s="119">
        <f>IF(tech_base!$T266&gt;T$1745,"",(tech_base!$K266/tech_proj!T390*0.086*$J$132)/(1-tech_proj!T670))</f>
        <v>0</v>
      </c>
      <c r="U2010" s="119">
        <f>IF(tech_base!$T266&gt;U$1745,"",(tech_base!$K266/tech_proj!U390*0.086*$J$132)/(1-tech_proj!U670))</f>
        <v>0</v>
      </c>
      <c r="V2010" s="119">
        <f>IF(tech_base!$T266&gt;V$1745,"",(tech_base!$K266/tech_proj!V390*0.086*$J$132)/(1-tech_proj!V670))</f>
        <v>0</v>
      </c>
      <c r="W2010" s="119">
        <f>IF(tech_base!$T266&gt;W$1745,"",(tech_base!$K266/tech_proj!W390*0.086*$J$132)/(1-tech_proj!W670))</f>
        <v>0</v>
      </c>
      <c r="X2010" s="119">
        <f>IF(tech_base!$T266&gt;X$1745,"",(tech_base!$K266/tech_proj!X390*0.086*$J$132)/(1-tech_proj!X670))</f>
        <v>0</v>
      </c>
      <c r="Y2010" s="119">
        <f>IF(tech_base!$T266&gt;Y$1745,"",(tech_base!$K266/tech_proj!Y390*0.086*$J$132)/(1-tech_proj!Y670))</f>
        <v>0</v>
      </c>
      <c r="Z2010" s="119">
        <f>IF(tech_base!$T266&gt;Z$1745,"",(tech_base!$K266/tech_proj!Z390*0.086*$J$132)/(1-tech_proj!Z670))</f>
        <v>0</v>
      </c>
      <c r="AA2010" s="119">
        <f>IF(tech_base!$T266&gt;AA$1745,"",(tech_base!$K266/tech_proj!AA390*0.086*$J$132)/(1-tech_proj!AA670))</f>
        <v>0</v>
      </c>
      <c r="AB2010" s="119">
        <f>IF(tech_base!$T266&gt;AB$1745,"",(tech_base!$K266/tech_proj!AB390*0.086*$J$132)/(1-tech_proj!AB670))</f>
        <v>0</v>
      </c>
      <c r="AC2010" s="119">
        <f>IF(tech_base!$T266&gt;AC$1745,"",(tech_base!$K266/tech_proj!AC390*0.086*$J$132)/(1-tech_proj!AC670))</f>
        <v>0</v>
      </c>
      <c r="AD2010" s="119">
        <f>IF(tech_base!$T266&gt;AD$1745,"",(tech_base!$K266/tech_proj!AD390*0.086*$J$132)/(1-tech_proj!AD670))</f>
        <v>0</v>
      </c>
      <c r="AE2010" s="119">
        <f>IF(tech_base!$T266&gt;AE$1745,"",(tech_base!$K266/tech_proj!AE390*0.086*$J$132)/(1-tech_proj!AE670))</f>
        <v>0</v>
      </c>
      <c r="AF2010" s="119">
        <f>IF(tech_base!$T266&gt;AF$1745,"",(tech_base!$K266/tech_proj!AF390*0.086*$J$132)/(1-tech_proj!AF670))</f>
        <v>0</v>
      </c>
      <c r="AG2010" s="119">
        <f>IF(tech_base!$T266&gt;AG$1745,"",(tech_base!$K266/tech_proj!AG390*0.086*$J$132)/(1-tech_proj!AG670))</f>
        <v>0</v>
      </c>
      <c r="AH2010" s="119">
        <f>IF(tech_base!$T266&gt;AH$1745,"",(tech_base!$K266/tech_proj!AH390*0.086*$J$132)/(1-tech_proj!AH670))</f>
        <v>0</v>
      </c>
      <c r="AI2010" s="119">
        <f>IF(tech_base!$T266&gt;AI$1745,"",(tech_base!$K266/tech_proj!AI390*0.086*$J$132)/(1-tech_proj!AI670))</f>
        <v>0</v>
      </c>
      <c r="AJ2010" s="119">
        <f>IF(tech_base!$T266&gt;AJ$1745,"",(tech_base!$K266/tech_proj!AJ390*0.086*$J$132)/(1-tech_proj!AJ670))</f>
        <v>0</v>
      </c>
      <c r="AK2010" s="119">
        <f>IF(tech_base!$T266&gt;AK$1745,"",(tech_base!$K266/tech_proj!AK390*0.086*$J$132)/(1-tech_proj!AK670))</f>
        <v>0</v>
      </c>
      <c r="AL2010" s="119">
        <f>IF(tech_base!$T266&gt;AL$1745,"",(tech_base!$K266/tech_proj!AL390*0.086*$J$132)/(1-tech_proj!AL670))</f>
        <v>0</v>
      </c>
      <c r="AM2010" s="119">
        <f>IF(tech_base!$T266&gt;AM$1745,"",(tech_base!$K266/tech_proj!AM390*0.086*$J$132)/(1-tech_proj!AM670))</f>
        <v>0</v>
      </c>
      <c r="AN2010" s="119">
        <f>IF(tech_base!$T266&gt;AN$1745,"",(tech_base!$K266/tech_proj!AN390*0.086*$J$132)/(1-tech_proj!AN670))</f>
        <v>0</v>
      </c>
      <c r="AO2010" s="119">
        <f>IF(tech_base!$T266&gt;AO$1745,"",(tech_base!$K266/tech_proj!AO390*0.086*$J$132)/(1-tech_proj!AO670))</f>
        <v>0</v>
      </c>
      <c r="AP2010" s="119">
        <f>IF(tech_base!$T266&gt;AP$1745,"",(tech_base!$K266/tech_proj!AP390*0.086*$J$132)/(1-tech_proj!AP670))</f>
        <v>0</v>
      </c>
      <c r="AQ2010" s="119">
        <f>IF(tech_base!$T266&gt;AQ$1745,"",(tech_base!$K266/tech_proj!AQ390*0.086*$J$132)/(1-tech_proj!AQ670))</f>
        <v>0</v>
      </c>
      <c r="AR2010" s="119">
        <f>IF(tech_base!$T266&gt;AR$1745,"",(tech_base!$K266/tech_proj!AR390*0.086*$J$132)/(1-tech_proj!AR670))</f>
        <v>0</v>
      </c>
      <c r="AS2010" s="119">
        <f>IF(tech_base!$T266&gt;AS$1745,"",(tech_base!$K266/tech_proj!AS390*0.086*$J$132)/(1-tech_proj!AS670))</f>
        <v>0</v>
      </c>
      <c r="AT2010" s="119">
        <f>IF(tech_base!$T266&gt;AT$1745,"",(tech_base!$K266/tech_proj!AT390*0.086*$J$132)/(1-tech_proj!AT670))</f>
        <v>0</v>
      </c>
      <c r="AU2010" s="119">
        <f>IF(tech_base!$T266&gt;AU$1745,"",(tech_base!$K266/tech_proj!AU390*0.086*$J$132)/(1-tech_proj!AU670))</f>
        <v>0</v>
      </c>
      <c r="AV2010" s="119">
        <f>IF(tech_base!$T266&gt;AV$1745,"",(tech_base!$K266/tech_proj!AV390*0.086*$J$132)/(1-tech_proj!AV670))</f>
        <v>0</v>
      </c>
      <c r="AW2010" s="119">
        <f>IF(tech_base!$T266&gt;AW$1745,"",(tech_base!$K266/tech_proj!AW390*0.086*$J$132)/(1-tech_proj!AW670))</f>
        <v>0</v>
      </c>
      <c r="AX2010" s="120">
        <f>IF(tech_base!$T266&gt;AX$1745,"",(tech_base!$K266/tech_proj!AX390*0.086*$J$132)/(1-tech_proj!AX670))</f>
        <v>0</v>
      </c>
    </row>
    <row r="2011" spans="1:50" x14ac:dyDescent="0.25">
      <c r="A2011" s="356"/>
      <c r="B2011" s="376"/>
      <c r="C2011" s="378"/>
      <c r="D2011" s="2" t="s">
        <v>8</v>
      </c>
      <c r="E2011" s="160" t="str">
        <f>A2006&amp;"/"&amp;B2010&amp;"/"&amp;C2010&amp;"/"&amp;D2011</f>
        <v>Hydro plants/Reservoirs (dams)/Electricity only/M</v>
      </c>
      <c r="F2011" s="76" t="str">
        <f>A2006</f>
        <v>Hydro plants</v>
      </c>
      <c r="G2011" s="76" t="str">
        <f>B2010</f>
        <v>Reservoirs (dams)</v>
      </c>
      <c r="H2011" s="76" t="str">
        <f>C2010</f>
        <v>Electricity only</v>
      </c>
      <c r="I2011" s="161" t="str">
        <f t="shared" si="386"/>
        <v>M</v>
      </c>
      <c r="J2011" s="119">
        <f>IF(tech_base!$T267&gt;J$1745,"",(tech_base!$K267/tech_proj!J391*0.086*$J$132)/(1-tech_proj!J671))</f>
        <v>0</v>
      </c>
      <c r="K2011" s="119">
        <f>IF(tech_base!$T267&gt;K$1745,"",(tech_base!$K267/tech_proj!K391*0.086*$J$132)/(1-tech_proj!K671))</f>
        <v>0</v>
      </c>
      <c r="L2011" s="119">
        <f>IF(tech_base!$T267&gt;L$1745,"",(tech_base!$K267/tech_proj!L391*0.086*$J$132)/(1-tech_proj!L671))</f>
        <v>0</v>
      </c>
      <c r="M2011" s="119">
        <f>IF(tech_base!$T267&gt;M$1745,"",(tech_base!$K267/tech_proj!M391*0.086*$J$132)/(1-tech_proj!M671))</f>
        <v>0</v>
      </c>
      <c r="N2011" s="119">
        <f>IF(tech_base!$T267&gt;N$1745,"",(tech_base!$K267/tech_proj!N391*0.086*$J$132)/(1-tech_proj!N671))</f>
        <v>0</v>
      </c>
      <c r="O2011" s="119">
        <f>IF(tech_base!$T267&gt;O$1745,"",(tech_base!$K267/tech_proj!O391*0.086*$J$132)/(1-tech_proj!O671))</f>
        <v>0</v>
      </c>
      <c r="P2011" s="119">
        <f>IF(tech_base!$T267&gt;P$1745,"",(tech_base!$K267/tech_proj!P391*0.086*$J$132)/(1-tech_proj!P671))</f>
        <v>0</v>
      </c>
      <c r="Q2011" s="119">
        <f>IF(tech_base!$T267&gt;Q$1745,"",(tech_base!$K267/tech_proj!Q391*0.086*$J$132)/(1-tech_proj!Q671))</f>
        <v>0</v>
      </c>
      <c r="R2011" s="119">
        <f>IF(tech_base!$T267&gt;R$1745,"",(tech_base!$K267/tech_proj!R391*0.086*$J$132)/(1-tech_proj!R671))</f>
        <v>0</v>
      </c>
      <c r="S2011" s="119">
        <f>IF(tech_base!$T267&gt;S$1745,"",(tech_base!$K267/tech_proj!S391*0.086*$J$132)/(1-tech_proj!S671))</f>
        <v>0</v>
      </c>
      <c r="T2011" s="119">
        <f>IF(tech_base!$T267&gt;T$1745,"",(tech_base!$K267/tech_proj!T391*0.086*$J$132)/(1-tech_proj!T671))</f>
        <v>0</v>
      </c>
      <c r="U2011" s="119">
        <f>IF(tech_base!$T267&gt;U$1745,"",(tech_base!$K267/tech_proj!U391*0.086*$J$132)/(1-tech_proj!U671))</f>
        <v>0</v>
      </c>
      <c r="V2011" s="119">
        <f>IF(tech_base!$T267&gt;V$1745,"",(tech_base!$K267/tech_proj!V391*0.086*$J$132)/(1-tech_proj!V671))</f>
        <v>0</v>
      </c>
      <c r="W2011" s="119">
        <f>IF(tech_base!$T267&gt;W$1745,"",(tech_base!$K267/tech_proj!W391*0.086*$J$132)/(1-tech_proj!W671))</f>
        <v>0</v>
      </c>
      <c r="X2011" s="119">
        <f>IF(tech_base!$T267&gt;X$1745,"",(tech_base!$K267/tech_proj!X391*0.086*$J$132)/(1-tech_proj!X671))</f>
        <v>0</v>
      </c>
      <c r="Y2011" s="119">
        <f>IF(tech_base!$T267&gt;Y$1745,"",(tech_base!$K267/tech_proj!Y391*0.086*$J$132)/(1-tech_proj!Y671))</f>
        <v>0</v>
      </c>
      <c r="Z2011" s="119">
        <f>IF(tech_base!$T267&gt;Z$1745,"",(tech_base!$K267/tech_proj!Z391*0.086*$J$132)/(1-tech_proj!Z671))</f>
        <v>0</v>
      </c>
      <c r="AA2011" s="119">
        <f>IF(tech_base!$T267&gt;AA$1745,"",(tech_base!$K267/tech_proj!AA391*0.086*$J$132)/(1-tech_proj!AA671))</f>
        <v>0</v>
      </c>
      <c r="AB2011" s="119">
        <f>IF(tech_base!$T267&gt;AB$1745,"",(tech_base!$K267/tech_proj!AB391*0.086*$J$132)/(1-tech_proj!AB671))</f>
        <v>0</v>
      </c>
      <c r="AC2011" s="119">
        <f>IF(tech_base!$T267&gt;AC$1745,"",(tech_base!$K267/tech_proj!AC391*0.086*$J$132)/(1-tech_proj!AC671))</f>
        <v>0</v>
      </c>
      <c r="AD2011" s="119">
        <f>IF(tech_base!$T267&gt;AD$1745,"",(tech_base!$K267/tech_proj!AD391*0.086*$J$132)/(1-tech_proj!AD671))</f>
        <v>0</v>
      </c>
      <c r="AE2011" s="119">
        <f>IF(tech_base!$T267&gt;AE$1745,"",(tech_base!$K267/tech_proj!AE391*0.086*$J$132)/(1-tech_proj!AE671))</f>
        <v>0</v>
      </c>
      <c r="AF2011" s="119">
        <f>IF(tech_base!$T267&gt;AF$1745,"",(tech_base!$K267/tech_proj!AF391*0.086*$J$132)/(1-tech_proj!AF671))</f>
        <v>0</v>
      </c>
      <c r="AG2011" s="119">
        <f>IF(tech_base!$T267&gt;AG$1745,"",(tech_base!$K267/tech_proj!AG391*0.086*$J$132)/(1-tech_proj!AG671))</f>
        <v>0</v>
      </c>
      <c r="AH2011" s="119">
        <f>IF(tech_base!$T267&gt;AH$1745,"",(tech_base!$K267/tech_proj!AH391*0.086*$J$132)/(1-tech_proj!AH671))</f>
        <v>0</v>
      </c>
      <c r="AI2011" s="119">
        <f>IF(tech_base!$T267&gt;AI$1745,"",(tech_base!$K267/tech_proj!AI391*0.086*$J$132)/(1-tech_proj!AI671))</f>
        <v>0</v>
      </c>
      <c r="AJ2011" s="119">
        <f>IF(tech_base!$T267&gt;AJ$1745,"",(tech_base!$K267/tech_proj!AJ391*0.086*$J$132)/(1-tech_proj!AJ671))</f>
        <v>0</v>
      </c>
      <c r="AK2011" s="119">
        <f>IF(tech_base!$T267&gt;AK$1745,"",(tech_base!$K267/tech_proj!AK391*0.086*$J$132)/(1-tech_proj!AK671))</f>
        <v>0</v>
      </c>
      <c r="AL2011" s="119">
        <f>IF(tech_base!$T267&gt;AL$1745,"",(tech_base!$K267/tech_proj!AL391*0.086*$J$132)/(1-tech_proj!AL671))</f>
        <v>0</v>
      </c>
      <c r="AM2011" s="119">
        <f>IF(tech_base!$T267&gt;AM$1745,"",(tech_base!$K267/tech_proj!AM391*0.086*$J$132)/(1-tech_proj!AM671))</f>
        <v>0</v>
      </c>
      <c r="AN2011" s="119">
        <f>IF(tech_base!$T267&gt;AN$1745,"",(tech_base!$K267/tech_proj!AN391*0.086*$J$132)/(1-tech_proj!AN671))</f>
        <v>0</v>
      </c>
      <c r="AO2011" s="119">
        <f>IF(tech_base!$T267&gt;AO$1745,"",(tech_base!$K267/tech_proj!AO391*0.086*$J$132)/(1-tech_proj!AO671))</f>
        <v>0</v>
      </c>
      <c r="AP2011" s="119">
        <f>IF(tech_base!$T267&gt;AP$1745,"",(tech_base!$K267/tech_proj!AP391*0.086*$J$132)/(1-tech_proj!AP671))</f>
        <v>0</v>
      </c>
      <c r="AQ2011" s="119">
        <f>IF(tech_base!$T267&gt;AQ$1745,"",(tech_base!$K267/tech_proj!AQ391*0.086*$J$132)/(1-tech_proj!AQ671))</f>
        <v>0</v>
      </c>
      <c r="AR2011" s="119">
        <f>IF(tech_base!$T267&gt;AR$1745,"",(tech_base!$K267/tech_proj!AR391*0.086*$J$132)/(1-tech_proj!AR671))</f>
        <v>0</v>
      </c>
      <c r="AS2011" s="119">
        <f>IF(tech_base!$T267&gt;AS$1745,"",(tech_base!$K267/tech_proj!AS391*0.086*$J$132)/(1-tech_proj!AS671))</f>
        <v>0</v>
      </c>
      <c r="AT2011" s="119">
        <f>IF(tech_base!$T267&gt;AT$1745,"",(tech_base!$K267/tech_proj!AT391*0.086*$J$132)/(1-tech_proj!AT671))</f>
        <v>0</v>
      </c>
      <c r="AU2011" s="119">
        <f>IF(tech_base!$T267&gt;AU$1745,"",(tech_base!$K267/tech_proj!AU391*0.086*$J$132)/(1-tech_proj!AU671))</f>
        <v>0</v>
      </c>
      <c r="AV2011" s="119">
        <f>IF(tech_base!$T267&gt;AV$1745,"",(tech_base!$K267/tech_proj!AV391*0.086*$J$132)/(1-tech_proj!AV671))</f>
        <v>0</v>
      </c>
      <c r="AW2011" s="119">
        <f>IF(tech_base!$T267&gt;AW$1745,"",(tech_base!$K267/tech_proj!AW391*0.086*$J$132)/(1-tech_proj!AW671))</f>
        <v>0</v>
      </c>
      <c r="AX2011" s="120">
        <f>IF(tech_base!$T267&gt;AX$1745,"",(tech_base!$K267/tech_proj!AX391*0.086*$J$132)/(1-tech_proj!AX671))</f>
        <v>0</v>
      </c>
    </row>
    <row r="2012" spans="1:50" x14ac:dyDescent="0.25">
      <c r="A2012" s="356"/>
      <c r="B2012" s="376"/>
      <c r="C2012" s="378"/>
      <c r="D2012" s="2" t="s">
        <v>10</v>
      </c>
      <c r="E2012" s="160" t="str">
        <f>A2006&amp;"/"&amp;B2010&amp;"/"&amp;C2010&amp;"/"&amp;D2012</f>
        <v>Hydro plants/Reservoirs (dams)/Electricity only/S</v>
      </c>
      <c r="F2012" s="76" t="str">
        <f>A2006</f>
        <v>Hydro plants</v>
      </c>
      <c r="G2012" s="76" t="str">
        <f>B2010</f>
        <v>Reservoirs (dams)</v>
      </c>
      <c r="H2012" s="76" t="str">
        <f>C2010</f>
        <v>Electricity only</v>
      </c>
      <c r="I2012" s="161" t="str">
        <f t="shared" si="386"/>
        <v>S</v>
      </c>
      <c r="J2012" s="119">
        <f>IF(tech_base!$T268&gt;J$1745,"",(tech_base!$K268/tech_proj!J392*0.086*$J$132)/(1-tech_proj!J672))</f>
        <v>0</v>
      </c>
      <c r="K2012" s="119">
        <f>IF(tech_base!$T268&gt;K$1745,"",(tech_base!$K268/tech_proj!K392*0.086*$J$132)/(1-tech_proj!K672))</f>
        <v>0</v>
      </c>
      <c r="L2012" s="119">
        <f>IF(tech_base!$T268&gt;L$1745,"",(tech_base!$K268/tech_proj!L392*0.086*$J$132)/(1-tech_proj!L672))</f>
        <v>0</v>
      </c>
      <c r="M2012" s="119">
        <f>IF(tech_base!$T268&gt;M$1745,"",(tech_base!$K268/tech_proj!M392*0.086*$J$132)/(1-tech_proj!M672))</f>
        <v>0</v>
      </c>
      <c r="N2012" s="119">
        <f>IF(tech_base!$T268&gt;N$1745,"",(tech_base!$K268/tech_proj!N392*0.086*$J$132)/(1-tech_proj!N672))</f>
        <v>0</v>
      </c>
      <c r="O2012" s="119">
        <f>IF(tech_base!$T268&gt;O$1745,"",(tech_base!$K268/tech_proj!O392*0.086*$J$132)/(1-tech_proj!O672))</f>
        <v>0</v>
      </c>
      <c r="P2012" s="119">
        <f>IF(tech_base!$T268&gt;P$1745,"",(tech_base!$K268/tech_proj!P392*0.086*$J$132)/(1-tech_proj!P672))</f>
        <v>0</v>
      </c>
      <c r="Q2012" s="119">
        <f>IF(tech_base!$T268&gt;Q$1745,"",(tech_base!$K268/tech_proj!Q392*0.086*$J$132)/(1-tech_proj!Q672))</f>
        <v>0</v>
      </c>
      <c r="R2012" s="119">
        <f>IF(tech_base!$T268&gt;R$1745,"",(tech_base!$K268/tech_proj!R392*0.086*$J$132)/(1-tech_proj!R672))</f>
        <v>0</v>
      </c>
      <c r="S2012" s="119">
        <f>IF(tech_base!$T268&gt;S$1745,"",(tech_base!$K268/tech_proj!S392*0.086*$J$132)/(1-tech_proj!S672))</f>
        <v>0</v>
      </c>
      <c r="T2012" s="119">
        <f>IF(tech_base!$T268&gt;T$1745,"",(tech_base!$K268/tech_proj!T392*0.086*$J$132)/(1-tech_proj!T672))</f>
        <v>0</v>
      </c>
      <c r="U2012" s="119">
        <f>IF(tech_base!$T268&gt;U$1745,"",(tech_base!$K268/tech_proj!U392*0.086*$J$132)/(1-tech_proj!U672))</f>
        <v>0</v>
      </c>
      <c r="V2012" s="119">
        <f>IF(tech_base!$T268&gt;V$1745,"",(tech_base!$K268/tech_proj!V392*0.086*$J$132)/(1-tech_proj!V672))</f>
        <v>0</v>
      </c>
      <c r="W2012" s="119">
        <f>IF(tech_base!$T268&gt;W$1745,"",(tech_base!$K268/tech_proj!W392*0.086*$J$132)/(1-tech_proj!W672))</f>
        <v>0</v>
      </c>
      <c r="X2012" s="119">
        <f>IF(tech_base!$T268&gt;X$1745,"",(tech_base!$K268/tech_proj!X392*0.086*$J$132)/(1-tech_proj!X672))</f>
        <v>0</v>
      </c>
      <c r="Y2012" s="119">
        <f>IF(tech_base!$T268&gt;Y$1745,"",(tech_base!$K268/tech_proj!Y392*0.086*$J$132)/(1-tech_proj!Y672))</f>
        <v>0</v>
      </c>
      <c r="Z2012" s="119">
        <f>IF(tech_base!$T268&gt;Z$1745,"",(tech_base!$K268/tech_proj!Z392*0.086*$J$132)/(1-tech_proj!Z672))</f>
        <v>0</v>
      </c>
      <c r="AA2012" s="119">
        <f>IF(tech_base!$T268&gt;AA$1745,"",(tech_base!$K268/tech_proj!AA392*0.086*$J$132)/(1-tech_proj!AA672))</f>
        <v>0</v>
      </c>
      <c r="AB2012" s="119">
        <f>IF(tech_base!$T268&gt;AB$1745,"",(tech_base!$K268/tech_proj!AB392*0.086*$J$132)/(1-tech_proj!AB672))</f>
        <v>0</v>
      </c>
      <c r="AC2012" s="119">
        <f>IF(tech_base!$T268&gt;AC$1745,"",(tech_base!$K268/tech_proj!AC392*0.086*$J$132)/(1-tech_proj!AC672))</f>
        <v>0</v>
      </c>
      <c r="AD2012" s="119">
        <f>IF(tech_base!$T268&gt;AD$1745,"",(tech_base!$K268/tech_proj!AD392*0.086*$J$132)/(1-tech_proj!AD672))</f>
        <v>0</v>
      </c>
      <c r="AE2012" s="119">
        <f>IF(tech_base!$T268&gt;AE$1745,"",(tech_base!$K268/tech_proj!AE392*0.086*$J$132)/(1-tech_proj!AE672))</f>
        <v>0</v>
      </c>
      <c r="AF2012" s="119">
        <f>IF(tech_base!$T268&gt;AF$1745,"",(tech_base!$K268/tech_proj!AF392*0.086*$J$132)/(1-tech_proj!AF672))</f>
        <v>0</v>
      </c>
      <c r="AG2012" s="119">
        <f>IF(tech_base!$T268&gt;AG$1745,"",(tech_base!$K268/tech_proj!AG392*0.086*$J$132)/(1-tech_proj!AG672))</f>
        <v>0</v>
      </c>
      <c r="AH2012" s="119">
        <f>IF(tech_base!$T268&gt;AH$1745,"",(tech_base!$K268/tech_proj!AH392*0.086*$J$132)/(1-tech_proj!AH672))</f>
        <v>0</v>
      </c>
      <c r="AI2012" s="119">
        <f>IF(tech_base!$T268&gt;AI$1745,"",(tech_base!$K268/tech_proj!AI392*0.086*$J$132)/(1-tech_proj!AI672))</f>
        <v>0</v>
      </c>
      <c r="AJ2012" s="119">
        <f>IF(tech_base!$T268&gt;AJ$1745,"",(tech_base!$K268/tech_proj!AJ392*0.086*$J$132)/(1-tech_proj!AJ672))</f>
        <v>0</v>
      </c>
      <c r="AK2012" s="119">
        <f>IF(tech_base!$T268&gt;AK$1745,"",(tech_base!$K268/tech_proj!AK392*0.086*$J$132)/(1-tech_proj!AK672))</f>
        <v>0</v>
      </c>
      <c r="AL2012" s="119">
        <f>IF(tech_base!$T268&gt;AL$1745,"",(tech_base!$K268/tech_proj!AL392*0.086*$J$132)/(1-tech_proj!AL672))</f>
        <v>0</v>
      </c>
      <c r="AM2012" s="119">
        <f>IF(tech_base!$T268&gt;AM$1745,"",(tech_base!$K268/tech_proj!AM392*0.086*$J$132)/(1-tech_proj!AM672))</f>
        <v>0</v>
      </c>
      <c r="AN2012" s="119">
        <f>IF(tech_base!$T268&gt;AN$1745,"",(tech_base!$K268/tech_proj!AN392*0.086*$J$132)/(1-tech_proj!AN672))</f>
        <v>0</v>
      </c>
      <c r="AO2012" s="119">
        <f>IF(tech_base!$T268&gt;AO$1745,"",(tech_base!$K268/tech_proj!AO392*0.086*$J$132)/(1-tech_proj!AO672))</f>
        <v>0</v>
      </c>
      <c r="AP2012" s="119">
        <f>IF(tech_base!$T268&gt;AP$1745,"",(tech_base!$K268/tech_proj!AP392*0.086*$J$132)/(1-tech_proj!AP672))</f>
        <v>0</v>
      </c>
      <c r="AQ2012" s="119">
        <f>IF(tech_base!$T268&gt;AQ$1745,"",(tech_base!$K268/tech_proj!AQ392*0.086*$J$132)/(1-tech_proj!AQ672))</f>
        <v>0</v>
      </c>
      <c r="AR2012" s="119">
        <f>IF(tech_base!$T268&gt;AR$1745,"",(tech_base!$K268/tech_proj!AR392*0.086*$J$132)/(1-tech_proj!AR672))</f>
        <v>0</v>
      </c>
      <c r="AS2012" s="119">
        <f>IF(tech_base!$T268&gt;AS$1745,"",(tech_base!$K268/tech_proj!AS392*0.086*$J$132)/(1-tech_proj!AS672))</f>
        <v>0</v>
      </c>
      <c r="AT2012" s="119">
        <f>IF(tech_base!$T268&gt;AT$1745,"",(tech_base!$K268/tech_proj!AT392*0.086*$J$132)/(1-tech_proj!AT672))</f>
        <v>0</v>
      </c>
      <c r="AU2012" s="119">
        <f>IF(tech_base!$T268&gt;AU$1745,"",(tech_base!$K268/tech_proj!AU392*0.086*$J$132)/(1-tech_proj!AU672))</f>
        <v>0</v>
      </c>
      <c r="AV2012" s="119">
        <f>IF(tech_base!$T268&gt;AV$1745,"",(tech_base!$K268/tech_proj!AV392*0.086*$J$132)/(1-tech_proj!AV672))</f>
        <v>0</v>
      </c>
      <c r="AW2012" s="119">
        <f>IF(tech_base!$T268&gt;AW$1745,"",(tech_base!$K268/tech_proj!AW392*0.086*$J$132)/(1-tech_proj!AW672))</f>
        <v>0</v>
      </c>
      <c r="AX2012" s="120">
        <f>IF(tech_base!$T268&gt;AX$1745,"",(tech_base!$K268/tech_proj!AX392*0.086*$J$132)/(1-tech_proj!AX672))</f>
        <v>0</v>
      </c>
    </row>
    <row r="2013" spans="1:50" x14ac:dyDescent="0.25">
      <c r="A2013" s="357"/>
      <c r="B2013" s="380"/>
      <c r="C2013" s="381"/>
      <c r="D2013" s="4" t="s">
        <v>20</v>
      </c>
      <c r="E2013" s="168" t="str">
        <f>A2006&amp;"/"&amp;B2010&amp;"/"&amp;C2010&amp;"/"&amp;D2013</f>
        <v>Hydro plants/Reservoirs (dams)/Electricity only/XS</v>
      </c>
      <c r="F2013" s="80" t="str">
        <f>A2006</f>
        <v>Hydro plants</v>
      </c>
      <c r="G2013" s="80" t="str">
        <f>B2010</f>
        <v>Reservoirs (dams)</v>
      </c>
      <c r="H2013" s="80" t="str">
        <f>C2010</f>
        <v>Electricity only</v>
      </c>
      <c r="I2013" s="169" t="str">
        <f t="shared" si="386"/>
        <v>XS</v>
      </c>
      <c r="J2013" s="127">
        <f>IF(tech_base!$T269&gt;J$1745,"",(tech_base!$K269/tech_proj!J393*0.086*$J$132)/(1-tech_proj!J673))</f>
        <v>0</v>
      </c>
      <c r="K2013" s="127">
        <f>IF(tech_base!$T269&gt;K$1745,"",(tech_base!$K269/tech_proj!K393*0.086*$J$132)/(1-tech_proj!K673))</f>
        <v>0</v>
      </c>
      <c r="L2013" s="127">
        <f>IF(tech_base!$T269&gt;L$1745,"",(tech_base!$K269/tech_proj!L393*0.086*$J$132)/(1-tech_proj!L673))</f>
        <v>0</v>
      </c>
      <c r="M2013" s="127">
        <f>IF(tech_base!$T269&gt;M$1745,"",(tech_base!$K269/tech_proj!M393*0.086*$J$132)/(1-tech_proj!M673))</f>
        <v>0</v>
      </c>
      <c r="N2013" s="127">
        <f>IF(tech_base!$T269&gt;N$1745,"",(tech_base!$K269/tech_proj!N393*0.086*$J$132)/(1-tech_proj!N673))</f>
        <v>0</v>
      </c>
      <c r="O2013" s="127">
        <f>IF(tech_base!$T269&gt;O$1745,"",(tech_base!$K269/tech_proj!O393*0.086*$J$132)/(1-tech_proj!O673))</f>
        <v>0</v>
      </c>
      <c r="P2013" s="127">
        <f>IF(tech_base!$T269&gt;P$1745,"",(tech_base!$K269/tech_proj!P393*0.086*$J$132)/(1-tech_proj!P673))</f>
        <v>0</v>
      </c>
      <c r="Q2013" s="127">
        <f>IF(tech_base!$T269&gt;Q$1745,"",(tech_base!$K269/tech_proj!Q393*0.086*$J$132)/(1-tech_proj!Q673))</f>
        <v>0</v>
      </c>
      <c r="R2013" s="127">
        <f>IF(tech_base!$T269&gt;R$1745,"",(tech_base!$K269/tech_proj!R393*0.086*$J$132)/(1-tech_proj!R673))</f>
        <v>0</v>
      </c>
      <c r="S2013" s="127">
        <f>IF(tech_base!$T269&gt;S$1745,"",(tech_base!$K269/tech_proj!S393*0.086*$J$132)/(1-tech_proj!S673))</f>
        <v>0</v>
      </c>
      <c r="T2013" s="127">
        <f>IF(tech_base!$T269&gt;T$1745,"",(tech_base!$K269/tech_proj!T393*0.086*$J$132)/(1-tech_proj!T673))</f>
        <v>0</v>
      </c>
      <c r="U2013" s="127">
        <f>IF(tech_base!$T269&gt;U$1745,"",(tech_base!$K269/tech_proj!U393*0.086*$J$132)/(1-tech_proj!U673))</f>
        <v>0</v>
      </c>
      <c r="V2013" s="127">
        <f>IF(tech_base!$T269&gt;V$1745,"",(tech_base!$K269/tech_proj!V393*0.086*$J$132)/(1-tech_proj!V673))</f>
        <v>0</v>
      </c>
      <c r="W2013" s="127">
        <f>IF(tech_base!$T269&gt;W$1745,"",(tech_base!$K269/tech_proj!W393*0.086*$J$132)/(1-tech_proj!W673))</f>
        <v>0</v>
      </c>
      <c r="X2013" s="127">
        <f>IF(tech_base!$T269&gt;X$1745,"",(tech_base!$K269/tech_proj!X393*0.086*$J$132)/(1-tech_proj!X673))</f>
        <v>0</v>
      </c>
      <c r="Y2013" s="127">
        <f>IF(tech_base!$T269&gt;Y$1745,"",(tech_base!$K269/tech_proj!Y393*0.086*$J$132)/(1-tech_proj!Y673))</f>
        <v>0</v>
      </c>
      <c r="Z2013" s="127">
        <f>IF(tech_base!$T269&gt;Z$1745,"",(tech_base!$K269/tech_proj!Z393*0.086*$J$132)/(1-tech_proj!Z673))</f>
        <v>0</v>
      </c>
      <c r="AA2013" s="127">
        <f>IF(tech_base!$T269&gt;AA$1745,"",(tech_base!$K269/tech_proj!AA393*0.086*$J$132)/(1-tech_proj!AA673))</f>
        <v>0</v>
      </c>
      <c r="AB2013" s="127">
        <f>IF(tech_base!$T269&gt;AB$1745,"",(tech_base!$K269/tech_proj!AB393*0.086*$J$132)/(1-tech_proj!AB673))</f>
        <v>0</v>
      </c>
      <c r="AC2013" s="127">
        <f>IF(tech_base!$T269&gt;AC$1745,"",(tech_base!$K269/tech_proj!AC393*0.086*$J$132)/(1-tech_proj!AC673))</f>
        <v>0</v>
      </c>
      <c r="AD2013" s="127">
        <f>IF(tech_base!$T269&gt;AD$1745,"",(tech_base!$K269/tech_proj!AD393*0.086*$J$132)/(1-tech_proj!AD673))</f>
        <v>0</v>
      </c>
      <c r="AE2013" s="127">
        <f>IF(tech_base!$T269&gt;AE$1745,"",(tech_base!$K269/tech_proj!AE393*0.086*$J$132)/(1-tech_proj!AE673))</f>
        <v>0</v>
      </c>
      <c r="AF2013" s="127">
        <f>IF(tech_base!$T269&gt;AF$1745,"",(tech_base!$K269/tech_proj!AF393*0.086*$J$132)/(1-tech_proj!AF673))</f>
        <v>0</v>
      </c>
      <c r="AG2013" s="127">
        <f>IF(tech_base!$T269&gt;AG$1745,"",(tech_base!$K269/tech_proj!AG393*0.086*$J$132)/(1-tech_proj!AG673))</f>
        <v>0</v>
      </c>
      <c r="AH2013" s="127">
        <f>IF(tech_base!$T269&gt;AH$1745,"",(tech_base!$K269/tech_proj!AH393*0.086*$J$132)/(1-tech_proj!AH673))</f>
        <v>0</v>
      </c>
      <c r="AI2013" s="127">
        <f>IF(tech_base!$T269&gt;AI$1745,"",(tech_base!$K269/tech_proj!AI393*0.086*$J$132)/(1-tech_proj!AI673))</f>
        <v>0</v>
      </c>
      <c r="AJ2013" s="127">
        <f>IF(tech_base!$T269&gt;AJ$1745,"",(tech_base!$K269/tech_proj!AJ393*0.086*$J$132)/(1-tech_proj!AJ673))</f>
        <v>0</v>
      </c>
      <c r="AK2013" s="127">
        <f>IF(tech_base!$T269&gt;AK$1745,"",(tech_base!$K269/tech_proj!AK393*0.086*$J$132)/(1-tech_proj!AK673))</f>
        <v>0</v>
      </c>
      <c r="AL2013" s="127">
        <f>IF(tech_base!$T269&gt;AL$1745,"",(tech_base!$K269/tech_proj!AL393*0.086*$J$132)/(1-tech_proj!AL673))</f>
        <v>0</v>
      </c>
      <c r="AM2013" s="127">
        <f>IF(tech_base!$T269&gt;AM$1745,"",(tech_base!$K269/tech_proj!AM393*0.086*$J$132)/(1-tech_proj!AM673))</f>
        <v>0</v>
      </c>
      <c r="AN2013" s="127">
        <f>IF(tech_base!$T269&gt;AN$1745,"",(tech_base!$K269/tech_proj!AN393*0.086*$J$132)/(1-tech_proj!AN673))</f>
        <v>0</v>
      </c>
      <c r="AO2013" s="127">
        <f>IF(tech_base!$T269&gt;AO$1745,"",(tech_base!$K269/tech_proj!AO393*0.086*$J$132)/(1-tech_proj!AO673))</f>
        <v>0</v>
      </c>
      <c r="AP2013" s="127">
        <f>IF(tech_base!$T269&gt;AP$1745,"",(tech_base!$K269/tech_proj!AP393*0.086*$J$132)/(1-tech_proj!AP673))</f>
        <v>0</v>
      </c>
      <c r="AQ2013" s="127">
        <f>IF(tech_base!$T269&gt;AQ$1745,"",(tech_base!$K269/tech_proj!AQ393*0.086*$J$132)/(1-tech_proj!AQ673))</f>
        <v>0</v>
      </c>
      <c r="AR2013" s="127">
        <f>IF(tech_base!$T269&gt;AR$1745,"",(tech_base!$K269/tech_proj!AR393*0.086*$J$132)/(1-tech_proj!AR673))</f>
        <v>0</v>
      </c>
      <c r="AS2013" s="127">
        <f>IF(tech_base!$T269&gt;AS$1745,"",(tech_base!$K269/tech_proj!AS393*0.086*$J$132)/(1-tech_proj!AS673))</f>
        <v>0</v>
      </c>
      <c r="AT2013" s="127">
        <f>IF(tech_base!$T269&gt;AT$1745,"",(tech_base!$K269/tech_proj!AT393*0.086*$J$132)/(1-tech_proj!AT673))</f>
        <v>0</v>
      </c>
      <c r="AU2013" s="127">
        <f>IF(tech_base!$T269&gt;AU$1745,"",(tech_base!$K269/tech_proj!AU393*0.086*$J$132)/(1-tech_proj!AU673))</f>
        <v>0</v>
      </c>
      <c r="AV2013" s="127">
        <f>IF(tech_base!$T269&gt;AV$1745,"",(tech_base!$K269/tech_proj!AV393*0.086*$J$132)/(1-tech_proj!AV673))</f>
        <v>0</v>
      </c>
      <c r="AW2013" s="127">
        <f>IF(tech_base!$T269&gt;AW$1745,"",(tech_base!$K269/tech_proj!AW393*0.086*$J$132)/(1-tech_proj!AW673))</f>
        <v>0</v>
      </c>
      <c r="AX2013" s="128">
        <f>IF(tech_base!$T269&gt;AX$1745,"",(tech_base!$K269/tech_proj!AX393*0.086*$J$132)/(1-tech_proj!AX673))</f>
        <v>0</v>
      </c>
    </row>
    <row r="2014" spans="1:50" x14ac:dyDescent="0.25">
      <c r="A2014" s="356" t="s">
        <v>46</v>
      </c>
      <c r="B2014" s="359" t="s">
        <v>46</v>
      </c>
      <c r="C2014" s="353" t="s">
        <v>6</v>
      </c>
      <c r="D2014" s="2" t="s">
        <v>7</v>
      </c>
      <c r="E2014" s="160" t="str">
        <f>A2014&amp;"/"&amp;B2014&amp;"/"&amp;C2014&amp;"/"&amp;D2014</f>
        <v>Pump storage/Pump storage/Electricity only/L</v>
      </c>
      <c r="F2014" s="76" t="str">
        <f>A2014</f>
        <v>Pump storage</v>
      </c>
      <c r="G2014" s="76" t="str">
        <f>B2014</f>
        <v>Pump storage</v>
      </c>
      <c r="H2014" s="76" t="str">
        <f>C2014</f>
        <v>Electricity only</v>
      </c>
      <c r="I2014" s="161" t="str">
        <f t="shared" si="386"/>
        <v>L</v>
      </c>
      <c r="J2014" s="119">
        <f>IF(tech_base!$T270&gt;J$1745,"",(tech_base!$K270/tech_proj!J394*0.086*$J$132)/(1-tech_proj!J674))</f>
        <v>0</v>
      </c>
      <c r="K2014" s="119">
        <f>IF(tech_base!$T270&gt;K$1745,"",(tech_base!$K270/tech_proj!K394*0.086*$J$132)/(1-tech_proj!K674))</f>
        <v>0</v>
      </c>
      <c r="L2014" s="119">
        <f>IF(tech_base!$T270&gt;L$1745,"",(tech_base!$K270/tech_proj!L394*0.086*$J$132)/(1-tech_proj!L674))</f>
        <v>0</v>
      </c>
      <c r="M2014" s="119">
        <f>IF(tech_base!$T270&gt;M$1745,"",(tech_base!$K270/tech_proj!M394*0.086*$J$132)/(1-tech_proj!M674))</f>
        <v>0</v>
      </c>
      <c r="N2014" s="119">
        <f>IF(tech_base!$T270&gt;N$1745,"",(tech_base!$K270/tech_proj!N394*0.086*$J$132)/(1-tech_proj!N674))</f>
        <v>0</v>
      </c>
      <c r="O2014" s="119">
        <f>IF(tech_base!$T270&gt;O$1745,"",(tech_base!$K270/tech_proj!O394*0.086*$J$132)/(1-tech_proj!O674))</f>
        <v>0</v>
      </c>
      <c r="P2014" s="119">
        <f>IF(tech_base!$T270&gt;P$1745,"",(tech_base!$K270/tech_proj!P394*0.086*$J$132)/(1-tech_proj!P674))</f>
        <v>0</v>
      </c>
      <c r="Q2014" s="119">
        <f>IF(tech_base!$T270&gt;Q$1745,"",(tech_base!$K270/tech_proj!Q394*0.086*$J$132)/(1-tech_proj!Q674))</f>
        <v>0</v>
      </c>
      <c r="R2014" s="119">
        <f>IF(tech_base!$T270&gt;R$1745,"",(tech_base!$K270/tech_proj!R394*0.086*$J$132)/(1-tech_proj!R674))</f>
        <v>0</v>
      </c>
      <c r="S2014" s="119">
        <f>IF(tech_base!$T270&gt;S$1745,"",(tech_base!$K270/tech_proj!S394*0.086*$J$132)/(1-tech_proj!S674))</f>
        <v>0</v>
      </c>
      <c r="T2014" s="119">
        <f>IF(tech_base!$T270&gt;T$1745,"",(tech_base!$K270/tech_proj!T394*0.086*$J$132)/(1-tech_proj!T674))</f>
        <v>0</v>
      </c>
      <c r="U2014" s="119">
        <f>IF(tech_base!$T270&gt;U$1745,"",(tech_base!$K270/tech_proj!U394*0.086*$J$132)/(1-tech_proj!U674))</f>
        <v>0</v>
      </c>
      <c r="V2014" s="119">
        <f>IF(tech_base!$T270&gt;V$1745,"",(tech_base!$K270/tech_proj!V394*0.086*$J$132)/(1-tech_proj!V674))</f>
        <v>0</v>
      </c>
      <c r="W2014" s="119">
        <f>IF(tech_base!$T270&gt;W$1745,"",(tech_base!$K270/tech_proj!W394*0.086*$J$132)/(1-tech_proj!W674))</f>
        <v>0</v>
      </c>
      <c r="X2014" s="119">
        <f>IF(tech_base!$T270&gt;X$1745,"",(tech_base!$K270/tech_proj!X394*0.086*$J$132)/(1-tech_proj!X674))</f>
        <v>0</v>
      </c>
      <c r="Y2014" s="119">
        <f>IF(tech_base!$T270&gt;Y$1745,"",(tech_base!$K270/tech_proj!Y394*0.086*$J$132)/(1-tech_proj!Y674))</f>
        <v>0</v>
      </c>
      <c r="Z2014" s="119">
        <f>IF(tech_base!$T270&gt;Z$1745,"",(tech_base!$K270/tech_proj!Z394*0.086*$J$132)/(1-tech_proj!Z674))</f>
        <v>0</v>
      </c>
      <c r="AA2014" s="119">
        <f>IF(tech_base!$T270&gt;AA$1745,"",(tech_base!$K270/tech_proj!AA394*0.086*$J$132)/(1-tech_proj!AA674))</f>
        <v>0</v>
      </c>
      <c r="AB2014" s="119">
        <f>IF(tech_base!$T270&gt;AB$1745,"",(tech_base!$K270/tech_proj!AB394*0.086*$J$132)/(1-tech_proj!AB674))</f>
        <v>0</v>
      </c>
      <c r="AC2014" s="119">
        <f>IF(tech_base!$T270&gt;AC$1745,"",(tech_base!$K270/tech_proj!AC394*0.086*$J$132)/(1-tech_proj!AC674))</f>
        <v>0</v>
      </c>
      <c r="AD2014" s="119">
        <f>IF(tech_base!$T270&gt;AD$1745,"",(tech_base!$K270/tech_proj!AD394*0.086*$J$132)/(1-tech_proj!AD674))</f>
        <v>0</v>
      </c>
      <c r="AE2014" s="119">
        <f>IF(tech_base!$T270&gt;AE$1745,"",(tech_base!$K270/tech_proj!AE394*0.086*$J$132)/(1-tech_proj!AE674))</f>
        <v>0</v>
      </c>
      <c r="AF2014" s="119">
        <f>IF(tech_base!$T270&gt;AF$1745,"",(tech_base!$K270/tech_proj!AF394*0.086*$J$132)/(1-tech_proj!AF674))</f>
        <v>0</v>
      </c>
      <c r="AG2014" s="119">
        <f>IF(tech_base!$T270&gt;AG$1745,"",(tech_base!$K270/tech_proj!AG394*0.086*$J$132)/(1-tech_proj!AG674))</f>
        <v>0</v>
      </c>
      <c r="AH2014" s="119">
        <f>IF(tech_base!$T270&gt;AH$1745,"",(tech_base!$K270/tech_proj!AH394*0.086*$J$132)/(1-tech_proj!AH674))</f>
        <v>0</v>
      </c>
      <c r="AI2014" s="119">
        <f>IF(tech_base!$T270&gt;AI$1745,"",(tech_base!$K270/tech_proj!AI394*0.086*$J$132)/(1-tech_proj!AI674))</f>
        <v>0</v>
      </c>
      <c r="AJ2014" s="119">
        <f>IF(tech_base!$T270&gt;AJ$1745,"",(tech_base!$K270/tech_proj!AJ394*0.086*$J$132)/(1-tech_proj!AJ674))</f>
        <v>0</v>
      </c>
      <c r="AK2014" s="119">
        <f>IF(tech_base!$T270&gt;AK$1745,"",(tech_base!$K270/tech_proj!AK394*0.086*$J$132)/(1-tech_proj!AK674))</f>
        <v>0</v>
      </c>
      <c r="AL2014" s="119">
        <f>IF(tech_base!$T270&gt;AL$1745,"",(tech_base!$K270/tech_proj!AL394*0.086*$J$132)/(1-tech_proj!AL674))</f>
        <v>0</v>
      </c>
      <c r="AM2014" s="119">
        <f>IF(tech_base!$T270&gt;AM$1745,"",(tech_base!$K270/tech_proj!AM394*0.086*$J$132)/(1-tech_proj!AM674))</f>
        <v>0</v>
      </c>
      <c r="AN2014" s="119">
        <f>IF(tech_base!$T270&gt;AN$1745,"",(tech_base!$K270/tech_proj!AN394*0.086*$J$132)/(1-tech_proj!AN674))</f>
        <v>0</v>
      </c>
      <c r="AO2014" s="119">
        <f>IF(tech_base!$T270&gt;AO$1745,"",(tech_base!$K270/tech_proj!AO394*0.086*$J$132)/(1-tech_proj!AO674))</f>
        <v>0</v>
      </c>
      <c r="AP2014" s="119">
        <f>IF(tech_base!$T270&gt;AP$1745,"",(tech_base!$K270/tech_proj!AP394*0.086*$J$132)/(1-tech_proj!AP674))</f>
        <v>0</v>
      </c>
      <c r="AQ2014" s="119">
        <f>IF(tech_base!$T270&gt;AQ$1745,"",(tech_base!$K270/tech_proj!AQ394*0.086*$J$132)/(1-tech_proj!AQ674))</f>
        <v>0</v>
      </c>
      <c r="AR2014" s="119">
        <f>IF(tech_base!$T270&gt;AR$1745,"",(tech_base!$K270/tech_proj!AR394*0.086*$J$132)/(1-tech_proj!AR674))</f>
        <v>0</v>
      </c>
      <c r="AS2014" s="119">
        <f>IF(tech_base!$T270&gt;AS$1745,"",(tech_base!$K270/tech_proj!AS394*0.086*$J$132)/(1-tech_proj!AS674))</f>
        <v>0</v>
      </c>
      <c r="AT2014" s="119">
        <f>IF(tech_base!$T270&gt;AT$1745,"",(tech_base!$K270/tech_proj!AT394*0.086*$J$132)/(1-tech_proj!AT674))</f>
        <v>0</v>
      </c>
      <c r="AU2014" s="119">
        <f>IF(tech_base!$T270&gt;AU$1745,"",(tech_base!$K270/tech_proj!AU394*0.086*$J$132)/(1-tech_proj!AU674))</f>
        <v>0</v>
      </c>
      <c r="AV2014" s="119">
        <f>IF(tech_base!$T270&gt;AV$1745,"",(tech_base!$K270/tech_proj!AV394*0.086*$J$132)/(1-tech_proj!AV674))</f>
        <v>0</v>
      </c>
      <c r="AW2014" s="119">
        <f>IF(tech_base!$T270&gt;AW$1745,"",(tech_base!$K270/tech_proj!AW394*0.086*$J$132)/(1-tech_proj!AW674))</f>
        <v>0</v>
      </c>
      <c r="AX2014" s="120">
        <f>IF(tech_base!$T270&gt;AX$1745,"",(tech_base!$K270/tech_proj!AX394*0.086*$J$132)/(1-tech_proj!AX674))</f>
        <v>0</v>
      </c>
    </row>
    <row r="2015" spans="1:50" x14ac:dyDescent="0.25">
      <c r="A2015" s="382"/>
      <c r="B2015" s="376"/>
      <c r="C2015" s="378"/>
      <c r="D2015" s="2" t="s">
        <v>8</v>
      </c>
      <c r="E2015" s="160" t="str">
        <f>A2014&amp;"/"&amp;B2014&amp;"/"&amp;C2014&amp;"/"&amp;D2015</f>
        <v>Pump storage/Pump storage/Electricity only/M</v>
      </c>
      <c r="F2015" s="76" t="str">
        <f>A2014</f>
        <v>Pump storage</v>
      </c>
      <c r="G2015" s="76" t="str">
        <f>B2014</f>
        <v>Pump storage</v>
      </c>
      <c r="H2015" s="76" t="str">
        <f>C2014</f>
        <v>Electricity only</v>
      </c>
      <c r="I2015" s="161" t="str">
        <f t="shared" si="386"/>
        <v>M</v>
      </c>
      <c r="J2015" s="119">
        <f>IF(tech_base!$T271&gt;J$1745,"",(tech_base!$K271/tech_proj!J395*0.086*$J$132)/(1-tech_proj!J675))</f>
        <v>0</v>
      </c>
      <c r="K2015" s="119">
        <f>IF(tech_base!$T271&gt;K$1745,"",(tech_base!$K271/tech_proj!K395*0.086*$J$132)/(1-tech_proj!K675))</f>
        <v>0</v>
      </c>
      <c r="L2015" s="119">
        <f>IF(tech_base!$T271&gt;L$1745,"",(tech_base!$K271/tech_proj!L395*0.086*$J$132)/(1-tech_proj!L675))</f>
        <v>0</v>
      </c>
      <c r="M2015" s="119">
        <f>IF(tech_base!$T271&gt;M$1745,"",(tech_base!$K271/tech_proj!M395*0.086*$J$132)/(1-tech_proj!M675))</f>
        <v>0</v>
      </c>
      <c r="N2015" s="119">
        <f>IF(tech_base!$T271&gt;N$1745,"",(tech_base!$K271/tech_proj!N395*0.086*$J$132)/(1-tech_proj!N675))</f>
        <v>0</v>
      </c>
      <c r="O2015" s="119">
        <f>IF(tech_base!$T271&gt;O$1745,"",(tech_base!$K271/tech_proj!O395*0.086*$J$132)/(1-tech_proj!O675))</f>
        <v>0</v>
      </c>
      <c r="P2015" s="119">
        <f>IF(tech_base!$T271&gt;P$1745,"",(tech_base!$K271/tech_proj!P395*0.086*$J$132)/(1-tech_proj!P675))</f>
        <v>0</v>
      </c>
      <c r="Q2015" s="119">
        <f>IF(tech_base!$T271&gt;Q$1745,"",(tech_base!$K271/tech_proj!Q395*0.086*$J$132)/(1-tech_proj!Q675))</f>
        <v>0</v>
      </c>
      <c r="R2015" s="119">
        <f>IF(tech_base!$T271&gt;R$1745,"",(tech_base!$K271/tech_proj!R395*0.086*$J$132)/(1-tech_proj!R675))</f>
        <v>0</v>
      </c>
      <c r="S2015" s="119">
        <f>IF(tech_base!$T271&gt;S$1745,"",(tech_base!$K271/tech_proj!S395*0.086*$J$132)/(1-tech_proj!S675))</f>
        <v>0</v>
      </c>
      <c r="T2015" s="119">
        <f>IF(tech_base!$T271&gt;T$1745,"",(tech_base!$K271/tech_proj!T395*0.086*$J$132)/(1-tech_proj!T675))</f>
        <v>0</v>
      </c>
      <c r="U2015" s="119">
        <f>IF(tech_base!$T271&gt;U$1745,"",(tech_base!$K271/tech_proj!U395*0.086*$J$132)/(1-tech_proj!U675))</f>
        <v>0</v>
      </c>
      <c r="V2015" s="119">
        <f>IF(tech_base!$T271&gt;V$1745,"",(tech_base!$K271/tech_proj!V395*0.086*$J$132)/(1-tech_proj!V675))</f>
        <v>0</v>
      </c>
      <c r="W2015" s="119">
        <f>IF(tech_base!$T271&gt;W$1745,"",(tech_base!$K271/tech_proj!W395*0.086*$J$132)/(1-tech_proj!W675))</f>
        <v>0</v>
      </c>
      <c r="X2015" s="119">
        <f>IF(tech_base!$T271&gt;X$1745,"",(tech_base!$K271/tech_proj!X395*0.086*$J$132)/(1-tech_proj!X675))</f>
        <v>0</v>
      </c>
      <c r="Y2015" s="119">
        <f>IF(tech_base!$T271&gt;Y$1745,"",(tech_base!$K271/tech_proj!Y395*0.086*$J$132)/(1-tech_proj!Y675))</f>
        <v>0</v>
      </c>
      <c r="Z2015" s="119">
        <f>IF(tech_base!$T271&gt;Z$1745,"",(tech_base!$K271/tech_proj!Z395*0.086*$J$132)/(1-tech_proj!Z675))</f>
        <v>0</v>
      </c>
      <c r="AA2015" s="119">
        <f>IF(tech_base!$T271&gt;AA$1745,"",(tech_base!$K271/tech_proj!AA395*0.086*$J$132)/(1-tech_proj!AA675))</f>
        <v>0</v>
      </c>
      <c r="AB2015" s="119">
        <f>IF(tech_base!$T271&gt;AB$1745,"",(tech_base!$K271/tech_proj!AB395*0.086*$J$132)/(1-tech_proj!AB675))</f>
        <v>0</v>
      </c>
      <c r="AC2015" s="119">
        <f>IF(tech_base!$T271&gt;AC$1745,"",(tech_base!$K271/tech_proj!AC395*0.086*$J$132)/(1-tech_proj!AC675))</f>
        <v>0</v>
      </c>
      <c r="AD2015" s="119">
        <f>IF(tech_base!$T271&gt;AD$1745,"",(tech_base!$K271/tech_proj!AD395*0.086*$J$132)/(1-tech_proj!AD675))</f>
        <v>0</v>
      </c>
      <c r="AE2015" s="119">
        <f>IF(tech_base!$T271&gt;AE$1745,"",(tech_base!$K271/tech_proj!AE395*0.086*$J$132)/(1-tech_proj!AE675))</f>
        <v>0</v>
      </c>
      <c r="AF2015" s="119">
        <f>IF(tech_base!$T271&gt;AF$1745,"",(tech_base!$K271/tech_proj!AF395*0.086*$J$132)/(1-tech_proj!AF675))</f>
        <v>0</v>
      </c>
      <c r="AG2015" s="119">
        <f>IF(tech_base!$T271&gt;AG$1745,"",(tech_base!$K271/tech_proj!AG395*0.086*$J$132)/(1-tech_proj!AG675))</f>
        <v>0</v>
      </c>
      <c r="AH2015" s="119">
        <f>IF(tech_base!$T271&gt;AH$1745,"",(tech_base!$K271/tech_proj!AH395*0.086*$J$132)/(1-tech_proj!AH675))</f>
        <v>0</v>
      </c>
      <c r="AI2015" s="119">
        <f>IF(tech_base!$T271&gt;AI$1745,"",(tech_base!$K271/tech_proj!AI395*0.086*$J$132)/(1-tech_proj!AI675))</f>
        <v>0</v>
      </c>
      <c r="AJ2015" s="119">
        <f>IF(tech_base!$T271&gt;AJ$1745,"",(tech_base!$K271/tech_proj!AJ395*0.086*$J$132)/(1-tech_proj!AJ675))</f>
        <v>0</v>
      </c>
      <c r="AK2015" s="119">
        <f>IF(tech_base!$T271&gt;AK$1745,"",(tech_base!$K271/tech_proj!AK395*0.086*$J$132)/(1-tech_proj!AK675))</f>
        <v>0</v>
      </c>
      <c r="AL2015" s="119">
        <f>IF(tech_base!$T271&gt;AL$1745,"",(tech_base!$K271/tech_proj!AL395*0.086*$J$132)/(1-tech_proj!AL675))</f>
        <v>0</v>
      </c>
      <c r="AM2015" s="119">
        <f>IF(tech_base!$T271&gt;AM$1745,"",(tech_base!$K271/tech_proj!AM395*0.086*$J$132)/(1-tech_proj!AM675))</f>
        <v>0</v>
      </c>
      <c r="AN2015" s="119">
        <f>IF(tech_base!$T271&gt;AN$1745,"",(tech_base!$K271/tech_proj!AN395*0.086*$J$132)/(1-tech_proj!AN675))</f>
        <v>0</v>
      </c>
      <c r="AO2015" s="119">
        <f>IF(tech_base!$T271&gt;AO$1745,"",(tech_base!$K271/tech_proj!AO395*0.086*$J$132)/(1-tech_proj!AO675))</f>
        <v>0</v>
      </c>
      <c r="AP2015" s="119">
        <f>IF(tech_base!$T271&gt;AP$1745,"",(tech_base!$K271/tech_proj!AP395*0.086*$J$132)/(1-tech_proj!AP675))</f>
        <v>0</v>
      </c>
      <c r="AQ2015" s="119">
        <f>IF(tech_base!$T271&gt;AQ$1745,"",(tech_base!$K271/tech_proj!AQ395*0.086*$J$132)/(1-tech_proj!AQ675))</f>
        <v>0</v>
      </c>
      <c r="AR2015" s="119">
        <f>IF(tech_base!$T271&gt;AR$1745,"",(tech_base!$K271/tech_proj!AR395*0.086*$J$132)/(1-tech_proj!AR675))</f>
        <v>0</v>
      </c>
      <c r="AS2015" s="119">
        <f>IF(tech_base!$T271&gt;AS$1745,"",(tech_base!$K271/tech_proj!AS395*0.086*$J$132)/(1-tech_proj!AS675))</f>
        <v>0</v>
      </c>
      <c r="AT2015" s="119">
        <f>IF(tech_base!$T271&gt;AT$1745,"",(tech_base!$K271/tech_proj!AT395*0.086*$J$132)/(1-tech_proj!AT675))</f>
        <v>0</v>
      </c>
      <c r="AU2015" s="119">
        <f>IF(tech_base!$T271&gt;AU$1745,"",(tech_base!$K271/tech_proj!AU395*0.086*$J$132)/(1-tech_proj!AU675))</f>
        <v>0</v>
      </c>
      <c r="AV2015" s="119">
        <f>IF(tech_base!$T271&gt;AV$1745,"",(tech_base!$K271/tech_proj!AV395*0.086*$J$132)/(1-tech_proj!AV675))</f>
        <v>0</v>
      </c>
      <c r="AW2015" s="119">
        <f>IF(tech_base!$T271&gt;AW$1745,"",(tech_base!$K271/tech_proj!AW395*0.086*$J$132)/(1-tech_proj!AW675))</f>
        <v>0</v>
      </c>
      <c r="AX2015" s="120">
        <f>IF(tech_base!$T271&gt;AX$1745,"",(tech_base!$K271/tech_proj!AX395*0.086*$J$132)/(1-tech_proj!AX675))</f>
        <v>0</v>
      </c>
    </row>
    <row r="2016" spans="1:50" x14ac:dyDescent="0.25">
      <c r="A2016" s="382"/>
      <c r="B2016" s="376"/>
      <c r="C2016" s="378"/>
      <c r="D2016" s="2" t="s">
        <v>10</v>
      </c>
      <c r="E2016" s="160" t="str">
        <f>A2014&amp;"/"&amp;B2014&amp;"/"&amp;C2014&amp;"/"&amp;D2016</f>
        <v>Pump storage/Pump storage/Electricity only/S</v>
      </c>
      <c r="F2016" s="76" t="str">
        <f>A2014</f>
        <v>Pump storage</v>
      </c>
      <c r="G2016" s="76" t="str">
        <f>B2014</f>
        <v>Pump storage</v>
      </c>
      <c r="H2016" s="76" t="str">
        <f>C2014</f>
        <v>Electricity only</v>
      </c>
      <c r="I2016" s="161" t="str">
        <f t="shared" si="386"/>
        <v>S</v>
      </c>
      <c r="J2016" s="119">
        <f>IF(tech_base!$T272&gt;J$1745,"",(tech_base!$K272/tech_proj!J396*0.086*$J$132)/(1-tech_proj!J676))</f>
        <v>0</v>
      </c>
      <c r="K2016" s="119">
        <f>IF(tech_base!$T272&gt;K$1745,"",(tech_base!$K272/tech_proj!K396*0.086*$J$132)/(1-tech_proj!K676))</f>
        <v>0</v>
      </c>
      <c r="L2016" s="119">
        <f>IF(tech_base!$T272&gt;L$1745,"",(tech_base!$K272/tech_proj!L396*0.086*$J$132)/(1-tech_proj!L676))</f>
        <v>0</v>
      </c>
      <c r="M2016" s="119">
        <f>IF(tech_base!$T272&gt;M$1745,"",(tech_base!$K272/tech_proj!M396*0.086*$J$132)/(1-tech_proj!M676))</f>
        <v>0</v>
      </c>
      <c r="N2016" s="119">
        <f>IF(tech_base!$T272&gt;N$1745,"",(tech_base!$K272/tech_proj!N396*0.086*$J$132)/(1-tech_proj!N676))</f>
        <v>0</v>
      </c>
      <c r="O2016" s="119">
        <f>IF(tech_base!$T272&gt;O$1745,"",(tech_base!$K272/tech_proj!O396*0.086*$J$132)/(1-tech_proj!O676))</f>
        <v>0</v>
      </c>
      <c r="P2016" s="119">
        <f>IF(tech_base!$T272&gt;P$1745,"",(tech_base!$K272/tech_proj!P396*0.086*$J$132)/(1-tech_proj!P676))</f>
        <v>0</v>
      </c>
      <c r="Q2016" s="119">
        <f>IF(tech_base!$T272&gt;Q$1745,"",(tech_base!$K272/tech_proj!Q396*0.086*$J$132)/(1-tech_proj!Q676))</f>
        <v>0</v>
      </c>
      <c r="R2016" s="119">
        <f>IF(tech_base!$T272&gt;R$1745,"",(tech_base!$K272/tech_proj!R396*0.086*$J$132)/(1-tech_proj!R676))</f>
        <v>0</v>
      </c>
      <c r="S2016" s="119">
        <f>IF(tech_base!$T272&gt;S$1745,"",(tech_base!$K272/tech_proj!S396*0.086*$J$132)/(1-tech_proj!S676))</f>
        <v>0</v>
      </c>
      <c r="T2016" s="119">
        <f>IF(tech_base!$T272&gt;T$1745,"",(tech_base!$K272/tech_proj!T396*0.086*$J$132)/(1-tech_proj!T676))</f>
        <v>0</v>
      </c>
      <c r="U2016" s="119">
        <f>IF(tech_base!$T272&gt;U$1745,"",(tech_base!$K272/tech_proj!U396*0.086*$J$132)/(1-tech_proj!U676))</f>
        <v>0</v>
      </c>
      <c r="V2016" s="119">
        <f>IF(tech_base!$T272&gt;V$1745,"",(tech_base!$K272/tech_proj!V396*0.086*$J$132)/(1-tech_proj!V676))</f>
        <v>0</v>
      </c>
      <c r="W2016" s="119">
        <f>IF(tech_base!$T272&gt;W$1745,"",(tech_base!$K272/tech_proj!W396*0.086*$J$132)/(1-tech_proj!W676))</f>
        <v>0</v>
      </c>
      <c r="X2016" s="119">
        <f>IF(tech_base!$T272&gt;X$1745,"",(tech_base!$K272/tech_proj!X396*0.086*$J$132)/(1-tech_proj!X676))</f>
        <v>0</v>
      </c>
      <c r="Y2016" s="119">
        <f>IF(tech_base!$T272&gt;Y$1745,"",(tech_base!$K272/tech_proj!Y396*0.086*$J$132)/(1-tech_proj!Y676))</f>
        <v>0</v>
      </c>
      <c r="Z2016" s="119">
        <f>IF(tech_base!$T272&gt;Z$1745,"",(tech_base!$K272/tech_proj!Z396*0.086*$J$132)/(1-tech_proj!Z676))</f>
        <v>0</v>
      </c>
      <c r="AA2016" s="119">
        <f>IF(tech_base!$T272&gt;AA$1745,"",(tech_base!$K272/tech_proj!AA396*0.086*$J$132)/(1-tech_proj!AA676))</f>
        <v>0</v>
      </c>
      <c r="AB2016" s="119">
        <f>IF(tech_base!$T272&gt;AB$1745,"",(tech_base!$K272/tech_proj!AB396*0.086*$J$132)/(1-tech_proj!AB676))</f>
        <v>0</v>
      </c>
      <c r="AC2016" s="119">
        <f>IF(tech_base!$T272&gt;AC$1745,"",(tech_base!$K272/tech_proj!AC396*0.086*$J$132)/(1-tech_proj!AC676))</f>
        <v>0</v>
      </c>
      <c r="AD2016" s="119">
        <f>IF(tech_base!$T272&gt;AD$1745,"",(tech_base!$K272/tech_proj!AD396*0.086*$J$132)/(1-tech_proj!AD676))</f>
        <v>0</v>
      </c>
      <c r="AE2016" s="119">
        <f>IF(tech_base!$T272&gt;AE$1745,"",(tech_base!$K272/tech_proj!AE396*0.086*$J$132)/(1-tech_proj!AE676))</f>
        <v>0</v>
      </c>
      <c r="AF2016" s="119">
        <f>IF(tech_base!$T272&gt;AF$1745,"",(tech_base!$K272/tech_proj!AF396*0.086*$J$132)/(1-tech_proj!AF676))</f>
        <v>0</v>
      </c>
      <c r="AG2016" s="119">
        <f>IF(tech_base!$T272&gt;AG$1745,"",(tech_base!$K272/tech_proj!AG396*0.086*$J$132)/(1-tech_proj!AG676))</f>
        <v>0</v>
      </c>
      <c r="AH2016" s="119">
        <f>IF(tech_base!$T272&gt;AH$1745,"",(tech_base!$K272/tech_proj!AH396*0.086*$J$132)/(1-tech_proj!AH676))</f>
        <v>0</v>
      </c>
      <c r="AI2016" s="119">
        <f>IF(tech_base!$T272&gt;AI$1745,"",(tech_base!$K272/tech_proj!AI396*0.086*$J$132)/(1-tech_proj!AI676))</f>
        <v>0</v>
      </c>
      <c r="AJ2016" s="119">
        <f>IF(tech_base!$T272&gt;AJ$1745,"",(tech_base!$K272/tech_proj!AJ396*0.086*$J$132)/(1-tech_proj!AJ676))</f>
        <v>0</v>
      </c>
      <c r="AK2016" s="119">
        <f>IF(tech_base!$T272&gt;AK$1745,"",(tech_base!$K272/tech_proj!AK396*0.086*$J$132)/(1-tech_proj!AK676))</f>
        <v>0</v>
      </c>
      <c r="AL2016" s="119">
        <f>IF(tech_base!$T272&gt;AL$1745,"",(tech_base!$K272/tech_proj!AL396*0.086*$J$132)/(1-tech_proj!AL676))</f>
        <v>0</v>
      </c>
      <c r="AM2016" s="119">
        <f>IF(tech_base!$T272&gt;AM$1745,"",(tech_base!$K272/tech_proj!AM396*0.086*$J$132)/(1-tech_proj!AM676))</f>
        <v>0</v>
      </c>
      <c r="AN2016" s="119">
        <f>IF(tech_base!$T272&gt;AN$1745,"",(tech_base!$K272/tech_proj!AN396*0.086*$J$132)/(1-tech_proj!AN676))</f>
        <v>0</v>
      </c>
      <c r="AO2016" s="119">
        <f>IF(tech_base!$T272&gt;AO$1745,"",(tech_base!$K272/tech_proj!AO396*0.086*$J$132)/(1-tech_proj!AO676))</f>
        <v>0</v>
      </c>
      <c r="AP2016" s="119">
        <f>IF(tech_base!$T272&gt;AP$1745,"",(tech_base!$K272/tech_proj!AP396*0.086*$J$132)/(1-tech_proj!AP676))</f>
        <v>0</v>
      </c>
      <c r="AQ2016" s="119">
        <f>IF(tech_base!$T272&gt;AQ$1745,"",(tech_base!$K272/tech_proj!AQ396*0.086*$J$132)/(1-tech_proj!AQ676))</f>
        <v>0</v>
      </c>
      <c r="AR2016" s="119">
        <f>IF(tech_base!$T272&gt;AR$1745,"",(tech_base!$K272/tech_proj!AR396*0.086*$J$132)/(1-tech_proj!AR676))</f>
        <v>0</v>
      </c>
      <c r="AS2016" s="119">
        <f>IF(tech_base!$T272&gt;AS$1745,"",(tech_base!$K272/tech_proj!AS396*0.086*$J$132)/(1-tech_proj!AS676))</f>
        <v>0</v>
      </c>
      <c r="AT2016" s="119">
        <f>IF(tech_base!$T272&gt;AT$1745,"",(tech_base!$K272/tech_proj!AT396*0.086*$J$132)/(1-tech_proj!AT676))</f>
        <v>0</v>
      </c>
      <c r="AU2016" s="119">
        <f>IF(tech_base!$T272&gt;AU$1745,"",(tech_base!$K272/tech_proj!AU396*0.086*$J$132)/(1-tech_proj!AU676))</f>
        <v>0</v>
      </c>
      <c r="AV2016" s="119">
        <f>IF(tech_base!$T272&gt;AV$1745,"",(tech_base!$K272/tech_proj!AV396*0.086*$J$132)/(1-tech_proj!AV676))</f>
        <v>0</v>
      </c>
      <c r="AW2016" s="119">
        <f>IF(tech_base!$T272&gt;AW$1745,"",(tech_base!$K272/tech_proj!AW396*0.086*$J$132)/(1-tech_proj!AW676))</f>
        <v>0</v>
      </c>
      <c r="AX2016" s="120">
        <f>IF(tech_base!$T272&gt;AX$1745,"",(tech_base!$K272/tech_proj!AX396*0.086*$J$132)/(1-tech_proj!AX676))</f>
        <v>0</v>
      </c>
    </row>
    <row r="2017" spans="1:52" ht="11" thickBot="1" x14ac:dyDescent="0.3">
      <c r="A2017" s="383"/>
      <c r="B2017" s="384"/>
      <c r="C2017" s="385"/>
      <c r="D2017" s="158" t="s">
        <v>20</v>
      </c>
      <c r="E2017" s="172" t="str">
        <f>A2014&amp;"/"&amp;B2014&amp;"/"&amp;C2014&amp;"/"&amp;D2017</f>
        <v>Pump storage/Pump storage/Electricity only/XS</v>
      </c>
      <c r="F2017" s="82" t="str">
        <f>A2014</f>
        <v>Pump storage</v>
      </c>
      <c r="G2017" s="82" t="str">
        <f>B2014</f>
        <v>Pump storage</v>
      </c>
      <c r="H2017" s="82" t="str">
        <f>C2014</f>
        <v>Electricity only</v>
      </c>
      <c r="I2017" s="173" t="str">
        <f t="shared" si="386"/>
        <v>XS</v>
      </c>
      <c r="J2017" s="131">
        <f>IF(tech_base!$T273&gt;J$1745,"",(tech_base!$K273/tech_proj!J397*0.086*$J$132)/(1-tech_proj!J677))</f>
        <v>0</v>
      </c>
      <c r="K2017" s="131">
        <f>IF(tech_base!$T273&gt;K$1745,"",(tech_base!$K273/tech_proj!K397*0.086*$J$132)/(1-tech_proj!K677))</f>
        <v>0</v>
      </c>
      <c r="L2017" s="131">
        <f>IF(tech_base!$T273&gt;L$1745,"",(tech_base!$K273/tech_proj!L397*0.086*$J$132)/(1-tech_proj!L677))</f>
        <v>0</v>
      </c>
      <c r="M2017" s="131">
        <f>IF(tech_base!$T273&gt;M$1745,"",(tech_base!$K273/tech_proj!M397*0.086*$J$132)/(1-tech_proj!M677))</f>
        <v>0</v>
      </c>
      <c r="N2017" s="131">
        <f>IF(tech_base!$T273&gt;N$1745,"",(tech_base!$K273/tech_proj!N397*0.086*$J$132)/(1-tech_proj!N677))</f>
        <v>0</v>
      </c>
      <c r="O2017" s="131">
        <f>IF(tech_base!$T273&gt;O$1745,"",(tech_base!$K273/tech_proj!O397*0.086*$J$132)/(1-tech_proj!O677))</f>
        <v>0</v>
      </c>
      <c r="P2017" s="131">
        <f>IF(tech_base!$T273&gt;P$1745,"",(tech_base!$K273/tech_proj!P397*0.086*$J$132)/(1-tech_proj!P677))</f>
        <v>0</v>
      </c>
      <c r="Q2017" s="131">
        <f>IF(tech_base!$T273&gt;Q$1745,"",(tech_base!$K273/tech_proj!Q397*0.086*$J$132)/(1-tech_proj!Q677))</f>
        <v>0</v>
      </c>
      <c r="R2017" s="131">
        <f>IF(tech_base!$T273&gt;R$1745,"",(tech_base!$K273/tech_proj!R397*0.086*$J$132)/(1-tech_proj!R677))</f>
        <v>0</v>
      </c>
      <c r="S2017" s="131">
        <f>IF(tech_base!$T273&gt;S$1745,"",(tech_base!$K273/tech_proj!S397*0.086*$J$132)/(1-tech_proj!S677))</f>
        <v>0</v>
      </c>
      <c r="T2017" s="131">
        <f>IF(tech_base!$T273&gt;T$1745,"",(tech_base!$K273/tech_proj!T397*0.086*$J$132)/(1-tech_proj!T677))</f>
        <v>0</v>
      </c>
      <c r="U2017" s="131">
        <f>IF(tech_base!$T273&gt;U$1745,"",(tech_base!$K273/tech_proj!U397*0.086*$J$132)/(1-tech_proj!U677))</f>
        <v>0</v>
      </c>
      <c r="V2017" s="131">
        <f>IF(tech_base!$T273&gt;V$1745,"",(tech_base!$K273/tech_proj!V397*0.086*$J$132)/(1-tech_proj!V677))</f>
        <v>0</v>
      </c>
      <c r="W2017" s="131">
        <f>IF(tech_base!$T273&gt;W$1745,"",(tech_base!$K273/tech_proj!W397*0.086*$J$132)/(1-tech_proj!W677))</f>
        <v>0</v>
      </c>
      <c r="X2017" s="131">
        <f>IF(tech_base!$T273&gt;X$1745,"",(tech_base!$K273/tech_proj!X397*0.086*$J$132)/(1-tech_proj!X677))</f>
        <v>0</v>
      </c>
      <c r="Y2017" s="131">
        <f>IF(tech_base!$T273&gt;Y$1745,"",(tech_base!$K273/tech_proj!Y397*0.086*$J$132)/(1-tech_proj!Y677))</f>
        <v>0</v>
      </c>
      <c r="Z2017" s="131">
        <f>IF(tech_base!$T273&gt;Z$1745,"",(tech_base!$K273/tech_proj!Z397*0.086*$J$132)/(1-tech_proj!Z677))</f>
        <v>0</v>
      </c>
      <c r="AA2017" s="131">
        <f>IF(tech_base!$T273&gt;AA$1745,"",(tech_base!$K273/tech_proj!AA397*0.086*$J$132)/(1-tech_proj!AA677))</f>
        <v>0</v>
      </c>
      <c r="AB2017" s="131">
        <f>IF(tech_base!$T273&gt;AB$1745,"",(tech_base!$K273/tech_proj!AB397*0.086*$J$132)/(1-tech_proj!AB677))</f>
        <v>0</v>
      </c>
      <c r="AC2017" s="131">
        <f>IF(tech_base!$T273&gt;AC$1745,"",(tech_base!$K273/tech_proj!AC397*0.086*$J$132)/(1-tech_proj!AC677))</f>
        <v>0</v>
      </c>
      <c r="AD2017" s="131">
        <f>IF(tech_base!$T273&gt;AD$1745,"",(tech_base!$K273/tech_proj!AD397*0.086*$J$132)/(1-tech_proj!AD677))</f>
        <v>0</v>
      </c>
      <c r="AE2017" s="131">
        <f>IF(tech_base!$T273&gt;AE$1745,"",(tech_base!$K273/tech_proj!AE397*0.086*$J$132)/(1-tech_proj!AE677))</f>
        <v>0</v>
      </c>
      <c r="AF2017" s="131">
        <f>IF(tech_base!$T273&gt;AF$1745,"",(tech_base!$K273/tech_proj!AF397*0.086*$J$132)/(1-tech_proj!AF677))</f>
        <v>0</v>
      </c>
      <c r="AG2017" s="131">
        <f>IF(tech_base!$T273&gt;AG$1745,"",(tech_base!$K273/tech_proj!AG397*0.086*$J$132)/(1-tech_proj!AG677))</f>
        <v>0</v>
      </c>
      <c r="AH2017" s="131">
        <f>IF(tech_base!$T273&gt;AH$1745,"",(tech_base!$K273/tech_proj!AH397*0.086*$J$132)/(1-tech_proj!AH677))</f>
        <v>0</v>
      </c>
      <c r="AI2017" s="131">
        <f>IF(tech_base!$T273&gt;AI$1745,"",(tech_base!$K273/tech_proj!AI397*0.086*$J$132)/(1-tech_proj!AI677))</f>
        <v>0</v>
      </c>
      <c r="AJ2017" s="131">
        <f>IF(tech_base!$T273&gt;AJ$1745,"",(tech_base!$K273/tech_proj!AJ397*0.086*$J$132)/(1-tech_proj!AJ677))</f>
        <v>0</v>
      </c>
      <c r="AK2017" s="131">
        <f>IF(tech_base!$T273&gt;AK$1745,"",(tech_base!$K273/tech_proj!AK397*0.086*$J$132)/(1-tech_proj!AK677))</f>
        <v>0</v>
      </c>
      <c r="AL2017" s="131">
        <f>IF(tech_base!$T273&gt;AL$1745,"",(tech_base!$K273/tech_proj!AL397*0.086*$J$132)/(1-tech_proj!AL677))</f>
        <v>0</v>
      </c>
      <c r="AM2017" s="131">
        <f>IF(tech_base!$T273&gt;AM$1745,"",(tech_base!$K273/tech_proj!AM397*0.086*$J$132)/(1-tech_proj!AM677))</f>
        <v>0</v>
      </c>
      <c r="AN2017" s="131">
        <f>IF(tech_base!$T273&gt;AN$1745,"",(tech_base!$K273/tech_proj!AN397*0.086*$J$132)/(1-tech_proj!AN677))</f>
        <v>0</v>
      </c>
      <c r="AO2017" s="131">
        <f>IF(tech_base!$T273&gt;AO$1745,"",(tech_base!$K273/tech_proj!AO397*0.086*$J$132)/(1-tech_proj!AO677))</f>
        <v>0</v>
      </c>
      <c r="AP2017" s="131">
        <f>IF(tech_base!$T273&gt;AP$1745,"",(tech_base!$K273/tech_proj!AP397*0.086*$J$132)/(1-tech_proj!AP677))</f>
        <v>0</v>
      </c>
      <c r="AQ2017" s="131">
        <f>IF(tech_base!$T273&gt;AQ$1745,"",(tech_base!$K273/tech_proj!AQ397*0.086*$J$132)/(1-tech_proj!AQ677))</f>
        <v>0</v>
      </c>
      <c r="AR2017" s="131">
        <f>IF(tech_base!$T273&gt;AR$1745,"",(tech_base!$K273/tech_proj!AR397*0.086*$J$132)/(1-tech_proj!AR677))</f>
        <v>0</v>
      </c>
      <c r="AS2017" s="131">
        <f>IF(tech_base!$T273&gt;AS$1745,"",(tech_base!$K273/tech_proj!AS397*0.086*$J$132)/(1-tech_proj!AS677))</f>
        <v>0</v>
      </c>
      <c r="AT2017" s="131">
        <f>IF(tech_base!$T273&gt;AT$1745,"",(tech_base!$K273/tech_proj!AT397*0.086*$J$132)/(1-tech_proj!AT677))</f>
        <v>0</v>
      </c>
      <c r="AU2017" s="131">
        <f>IF(tech_base!$T273&gt;AU$1745,"",(tech_base!$K273/tech_proj!AU397*0.086*$J$132)/(1-tech_proj!AU677))</f>
        <v>0</v>
      </c>
      <c r="AV2017" s="131">
        <f>IF(tech_base!$T273&gt;AV$1745,"",(tech_base!$K273/tech_proj!AV397*0.086*$J$132)/(1-tech_proj!AV677))</f>
        <v>0</v>
      </c>
      <c r="AW2017" s="131">
        <f>IF(tech_base!$T273&gt;AW$1745,"",(tech_base!$K273/tech_proj!AW397*0.086*$J$132)/(1-tech_proj!AW677))</f>
        <v>0</v>
      </c>
      <c r="AX2017" s="132">
        <f>IF(tech_base!$T273&gt;AX$1745,"",(tech_base!$K273/tech_proj!AX397*0.086*$J$132)/(1-tech_proj!AX677))</f>
        <v>0</v>
      </c>
    </row>
    <row r="2018" spans="1:52" ht="14.5" x14ac:dyDescent="0.35">
      <c r="A2018"/>
      <c r="B2018"/>
      <c r="C2018"/>
      <c r="D2018"/>
      <c r="E2018"/>
      <c r="F2018"/>
      <c r="G2018"/>
      <c r="H2018"/>
      <c r="I2018"/>
      <c r="J2018"/>
      <c r="K2018"/>
      <c r="L2018"/>
      <c r="M2018"/>
      <c r="N2018"/>
      <c r="O2018"/>
      <c r="P2018"/>
      <c r="Q2018"/>
      <c r="R2018"/>
      <c r="S2018"/>
      <c r="T2018"/>
      <c r="U2018"/>
      <c r="V2018"/>
      <c r="W2018"/>
      <c r="X2018"/>
      <c r="Y2018"/>
      <c r="Z2018"/>
      <c r="AA2018"/>
      <c r="AB2018"/>
      <c r="AC2018"/>
      <c r="AD2018"/>
      <c r="AE2018"/>
      <c r="AF2018"/>
      <c r="AG2018"/>
      <c r="AH2018"/>
      <c r="AI2018"/>
      <c r="AJ2018"/>
      <c r="AK2018"/>
      <c r="AL2018"/>
      <c r="AM2018"/>
      <c r="AN2018"/>
      <c r="AO2018"/>
      <c r="AP2018"/>
      <c r="AQ2018"/>
      <c r="AR2018"/>
      <c r="AS2018"/>
      <c r="AT2018"/>
      <c r="AU2018"/>
      <c r="AV2018"/>
      <c r="AW2018"/>
      <c r="AX2018"/>
    </row>
    <row r="2019" spans="1:52" ht="14.5" x14ac:dyDescent="0.35">
      <c r="A2019"/>
      <c r="B2019"/>
      <c r="C2019"/>
      <c r="D2019"/>
      <c r="E2019"/>
      <c r="F2019"/>
      <c r="G2019"/>
      <c r="H2019"/>
      <c r="I2019"/>
      <c r="J2019"/>
      <c r="K2019"/>
      <c r="L2019"/>
      <c r="M2019"/>
      <c r="N2019"/>
      <c r="O2019"/>
      <c r="P2019"/>
      <c r="Q2019"/>
      <c r="R2019"/>
      <c r="S2019"/>
      <c r="T2019"/>
      <c r="U2019"/>
      <c r="V2019"/>
      <c r="W2019"/>
      <c r="X2019"/>
      <c r="Y2019"/>
      <c r="Z2019"/>
      <c r="AA2019"/>
      <c r="AB2019"/>
      <c r="AC2019"/>
      <c r="AD2019"/>
      <c r="AE2019"/>
      <c r="AF2019"/>
      <c r="AG2019"/>
      <c r="AH2019"/>
      <c r="AI2019"/>
      <c r="AJ2019"/>
      <c r="AK2019"/>
      <c r="AL2019"/>
      <c r="AM2019"/>
      <c r="AN2019"/>
      <c r="AO2019"/>
      <c r="AP2019"/>
      <c r="AQ2019"/>
      <c r="AR2019"/>
      <c r="AS2019"/>
      <c r="AT2019"/>
      <c r="AU2019"/>
      <c r="AV2019"/>
      <c r="AW2019"/>
      <c r="AX2019"/>
    </row>
    <row r="2020" spans="1:52" ht="14.5" x14ac:dyDescent="0.35">
      <c r="A2020"/>
      <c r="B2020"/>
      <c r="C2020"/>
      <c r="D2020"/>
      <c r="E2020"/>
      <c r="F2020"/>
      <c r="G2020"/>
      <c r="H2020"/>
      <c r="I2020"/>
      <c r="J2020"/>
      <c r="K2020"/>
      <c r="L2020"/>
      <c r="M2020"/>
      <c r="N2020"/>
      <c r="O2020"/>
      <c r="P2020"/>
      <c r="Q2020"/>
      <c r="R2020"/>
      <c r="S2020"/>
      <c r="T2020"/>
      <c r="U2020"/>
      <c r="V2020"/>
      <c r="W2020"/>
      <c r="X2020"/>
      <c r="Y2020"/>
      <c r="Z2020"/>
      <c r="AA2020"/>
      <c r="AB2020"/>
      <c r="AC2020"/>
      <c r="AD2020"/>
      <c r="AE2020"/>
      <c r="AF2020"/>
      <c r="AG2020"/>
      <c r="AH2020"/>
      <c r="AI2020"/>
      <c r="AJ2020"/>
      <c r="AK2020"/>
      <c r="AL2020"/>
      <c r="AM2020"/>
      <c r="AN2020"/>
      <c r="AO2020"/>
      <c r="AP2020"/>
      <c r="AQ2020"/>
      <c r="AR2020"/>
      <c r="AS2020"/>
      <c r="AT2020"/>
      <c r="AU2020"/>
      <c r="AV2020"/>
      <c r="AW2020"/>
      <c r="AX2020"/>
    </row>
    <row r="2021" spans="1:52" ht="14.5" x14ac:dyDescent="0.35">
      <c r="A2021"/>
      <c r="B2021"/>
      <c r="C2021"/>
      <c r="D2021"/>
      <c r="E2021"/>
      <c r="F2021"/>
      <c r="G2021"/>
      <c r="H2021"/>
      <c r="I2021"/>
      <c r="J2021"/>
      <c r="K2021"/>
      <c r="L2021"/>
      <c r="M2021"/>
      <c r="N2021"/>
      <c r="O2021"/>
      <c r="P2021"/>
      <c r="Q2021"/>
      <c r="R2021"/>
      <c r="S2021"/>
      <c r="T2021"/>
      <c r="U2021"/>
      <c r="V2021"/>
      <c r="W2021"/>
      <c r="X2021"/>
      <c r="Y2021"/>
      <c r="Z2021"/>
      <c r="AA2021"/>
      <c r="AB2021"/>
      <c r="AC2021"/>
      <c r="AD2021"/>
      <c r="AE2021"/>
      <c r="AF2021"/>
      <c r="AG2021"/>
      <c r="AH2021"/>
      <c r="AI2021"/>
      <c r="AJ2021"/>
      <c r="AK2021"/>
      <c r="AL2021"/>
      <c r="AM2021"/>
      <c r="AN2021"/>
      <c r="AO2021"/>
      <c r="AP2021"/>
      <c r="AQ2021"/>
      <c r="AR2021"/>
      <c r="AS2021"/>
      <c r="AT2021"/>
      <c r="AU2021"/>
      <c r="AV2021"/>
      <c r="AW2021"/>
      <c r="AX2021"/>
    </row>
    <row r="2022" spans="1:52" ht="14.5" x14ac:dyDescent="0.35">
      <c r="A2022"/>
      <c r="B2022"/>
      <c r="C2022"/>
      <c r="D2022"/>
      <c r="E2022"/>
      <c r="F2022"/>
      <c r="G2022"/>
      <c r="H2022"/>
      <c r="I2022"/>
      <c r="J2022"/>
      <c r="K2022"/>
      <c r="L2022"/>
      <c r="M2022"/>
      <c r="N2022"/>
      <c r="O2022"/>
      <c r="P2022"/>
      <c r="Q2022"/>
      <c r="R2022"/>
      <c r="S2022"/>
      <c r="T2022"/>
      <c r="U2022"/>
      <c r="V2022"/>
      <c r="W2022"/>
      <c r="X2022"/>
      <c r="Y2022"/>
      <c r="Z2022"/>
      <c r="AA2022"/>
      <c r="AB2022"/>
      <c r="AC2022"/>
      <c r="AD2022"/>
      <c r="AE2022"/>
      <c r="AF2022"/>
      <c r="AG2022"/>
      <c r="AH2022"/>
      <c r="AI2022"/>
      <c r="AJ2022"/>
      <c r="AK2022"/>
      <c r="AL2022"/>
      <c r="AM2022"/>
      <c r="AN2022"/>
      <c r="AO2022"/>
      <c r="AP2022"/>
      <c r="AQ2022"/>
      <c r="AR2022"/>
      <c r="AS2022"/>
      <c r="AT2022"/>
      <c r="AU2022"/>
      <c r="AV2022"/>
      <c r="AW2022"/>
      <c r="AX2022"/>
    </row>
    <row r="2023" spans="1:52" ht="15" thickBot="1" x14ac:dyDescent="0.4">
      <c r="A2023"/>
      <c r="B2023"/>
      <c r="C2023"/>
      <c r="D2023"/>
      <c r="E2023"/>
      <c r="F2023"/>
      <c r="G2023"/>
      <c r="H2023"/>
      <c r="I2023"/>
      <c r="J2023"/>
      <c r="K2023"/>
      <c r="L2023"/>
      <c r="M2023"/>
      <c r="N2023"/>
      <c r="O2023"/>
      <c r="P2023"/>
      <c r="Q2023"/>
      <c r="R2023"/>
      <c r="S2023"/>
      <c r="T2023"/>
      <c r="U2023"/>
      <c r="V2023"/>
      <c r="W2023"/>
      <c r="X2023"/>
      <c r="Y2023"/>
      <c r="Z2023"/>
      <c r="AA2023"/>
      <c r="AB2023"/>
      <c r="AC2023"/>
      <c r="AD2023"/>
      <c r="AE2023"/>
      <c r="AF2023"/>
      <c r="AG2023"/>
      <c r="AH2023"/>
      <c r="AI2023"/>
      <c r="AJ2023"/>
      <c r="AK2023"/>
      <c r="AL2023"/>
      <c r="AM2023"/>
      <c r="AN2023"/>
      <c r="AO2023"/>
      <c r="AP2023"/>
      <c r="AQ2023"/>
      <c r="AR2023"/>
      <c r="AS2023"/>
      <c r="AT2023"/>
      <c r="AU2023"/>
      <c r="AV2023"/>
      <c r="AW2023"/>
      <c r="AX2023"/>
    </row>
    <row r="2024" spans="1:52" x14ac:dyDescent="0.25">
      <c r="A2024" s="343" t="s">
        <v>49</v>
      </c>
      <c r="B2024" s="345" t="s">
        <v>50</v>
      </c>
      <c r="C2024" s="345" t="s">
        <v>51</v>
      </c>
      <c r="D2024" s="345" t="s">
        <v>52</v>
      </c>
      <c r="E2024" s="290"/>
      <c r="F2024" s="290"/>
      <c r="G2024" s="290"/>
      <c r="H2024" s="290"/>
      <c r="I2024" s="290"/>
      <c r="J2024" s="302" t="s">
        <v>74</v>
      </c>
      <c r="K2024" s="302"/>
      <c r="L2024" s="302"/>
      <c r="M2024" s="302"/>
      <c r="N2024" s="302"/>
      <c r="O2024" s="302"/>
      <c r="P2024" s="290"/>
      <c r="Q2024" s="290"/>
      <c r="R2024" s="289"/>
      <c r="S2024" s="289"/>
      <c r="T2024" s="289"/>
      <c r="U2024" s="289"/>
      <c r="V2024" s="289"/>
      <c r="W2024" s="289"/>
      <c r="X2024" s="289"/>
      <c r="Y2024" s="289"/>
      <c r="Z2024" s="289"/>
      <c r="AA2024" s="289"/>
      <c r="AB2024" s="289"/>
      <c r="AC2024" s="289"/>
      <c r="AD2024" s="289"/>
      <c r="AE2024" s="289"/>
      <c r="AF2024" s="289"/>
      <c r="AG2024" s="289"/>
      <c r="AH2024" s="289"/>
      <c r="AI2024" s="289"/>
      <c r="AJ2024" s="289"/>
      <c r="AK2024" s="289"/>
      <c r="AL2024" s="289"/>
      <c r="AM2024" s="289"/>
      <c r="AN2024" s="289"/>
      <c r="AO2024" s="289"/>
      <c r="AP2024" s="289"/>
      <c r="AQ2024" s="289"/>
      <c r="AR2024" s="289"/>
      <c r="AS2024" s="289"/>
      <c r="AT2024" s="289"/>
      <c r="AU2024" s="289"/>
      <c r="AV2024" s="289"/>
      <c r="AW2024" s="289"/>
      <c r="AX2024" s="292" t="s">
        <v>75</v>
      </c>
    </row>
    <row r="2025" spans="1:52" ht="11" thickBot="1" x14ac:dyDescent="0.3">
      <c r="A2025" s="344"/>
      <c r="B2025" s="346"/>
      <c r="C2025" s="346"/>
      <c r="D2025" s="346"/>
      <c r="E2025" s="291"/>
      <c r="F2025" s="291"/>
      <c r="G2025" s="291"/>
      <c r="H2025" s="291"/>
      <c r="I2025" s="291"/>
      <c r="J2025" s="68">
        <v>2010</v>
      </c>
      <c r="K2025" s="68">
        <v>2011</v>
      </c>
      <c r="L2025" s="68">
        <v>2012</v>
      </c>
      <c r="M2025" s="68">
        <v>2013</v>
      </c>
      <c r="N2025" s="68">
        <v>2014</v>
      </c>
      <c r="O2025" s="68">
        <v>2015</v>
      </c>
      <c r="P2025" s="68">
        <v>2016</v>
      </c>
      <c r="Q2025" s="68">
        <v>2017</v>
      </c>
      <c r="R2025" s="68">
        <v>2018</v>
      </c>
      <c r="S2025" s="68">
        <v>2019</v>
      </c>
      <c r="T2025" s="68">
        <v>2020</v>
      </c>
      <c r="U2025" s="68">
        <v>2021</v>
      </c>
      <c r="V2025" s="68">
        <v>2022</v>
      </c>
      <c r="W2025" s="68">
        <v>2023</v>
      </c>
      <c r="X2025" s="68">
        <v>2024</v>
      </c>
      <c r="Y2025" s="68">
        <v>2025</v>
      </c>
      <c r="Z2025" s="68">
        <v>2026</v>
      </c>
      <c r="AA2025" s="68">
        <v>2027</v>
      </c>
      <c r="AB2025" s="68">
        <v>2028</v>
      </c>
      <c r="AC2025" s="68">
        <v>2029</v>
      </c>
      <c r="AD2025" s="68">
        <v>2030</v>
      </c>
      <c r="AE2025" s="68">
        <v>2031</v>
      </c>
      <c r="AF2025" s="68">
        <v>2032</v>
      </c>
      <c r="AG2025" s="68">
        <v>2033</v>
      </c>
      <c r="AH2025" s="68">
        <v>2034</v>
      </c>
      <c r="AI2025" s="68">
        <v>2035</v>
      </c>
      <c r="AJ2025" s="68">
        <v>2036</v>
      </c>
      <c r="AK2025" s="68">
        <v>2037</v>
      </c>
      <c r="AL2025" s="68">
        <v>2038</v>
      </c>
      <c r="AM2025" s="68">
        <v>2039</v>
      </c>
      <c r="AN2025" s="68">
        <v>2040</v>
      </c>
      <c r="AO2025" s="68">
        <v>2041</v>
      </c>
      <c r="AP2025" s="68">
        <v>2042</v>
      </c>
      <c r="AQ2025" s="68">
        <v>2043</v>
      </c>
      <c r="AR2025" s="68">
        <v>2044</v>
      </c>
      <c r="AS2025" s="68">
        <v>2045</v>
      </c>
      <c r="AT2025" s="68">
        <v>2046</v>
      </c>
      <c r="AU2025" s="68">
        <v>2047</v>
      </c>
      <c r="AV2025" s="68">
        <v>2048</v>
      </c>
      <c r="AW2025" s="68">
        <v>2049</v>
      </c>
      <c r="AX2025" s="83">
        <v>2050</v>
      </c>
    </row>
    <row r="2026" spans="1:52" x14ac:dyDescent="0.25">
      <c r="A2026" s="347" t="s">
        <v>4</v>
      </c>
      <c r="B2026" s="349" t="s">
        <v>5</v>
      </c>
      <c r="C2026" s="350" t="s">
        <v>6</v>
      </c>
      <c r="D2026" s="284" t="s">
        <v>7</v>
      </c>
      <c r="E2026" s="285" t="str">
        <f>A2026&amp;"/"&amp;B2026&amp;"/"&amp;C2026&amp;"/"&amp;D2026</f>
        <v>Nuclear power plants/Nuclear - current/Electricity only/L</v>
      </c>
      <c r="F2026" s="285" t="str">
        <f>A2026</f>
        <v>Nuclear power plants</v>
      </c>
      <c r="G2026" s="285" t="str">
        <f>B2026</f>
        <v>Nuclear - current</v>
      </c>
      <c r="H2026" s="285" t="str">
        <f>C2026</f>
        <v>Electricity only</v>
      </c>
      <c r="I2026" s="285" t="str">
        <f>D2026</f>
        <v>L</v>
      </c>
      <c r="J2026" s="233">
        <f>IF(tech_base!$T2&gt;J$2025,"",fuel_costs!B$8*0.086/tech_proj!J126/(1-tech_proj!J406))</f>
        <v>9.0273012552301264</v>
      </c>
      <c r="K2026" s="233">
        <f>IF(tech_base!$T2&gt;K$2025,"",fuel_costs!C$8*0.086/tech_proj!K126/(1-tech_proj!K406))</f>
        <v>9.0273012552301264</v>
      </c>
      <c r="L2026" s="233">
        <f>IF(tech_base!$T2&gt;L$2025,"",fuel_costs!D$8*0.086/tech_proj!L126/(1-tech_proj!L406))</f>
        <v>9.0273012552301264</v>
      </c>
      <c r="M2026" s="233">
        <f>IF(tech_base!$T2&gt;M$2025,"",fuel_costs!E$8*0.086/tech_proj!M126/(1-tech_proj!M406))</f>
        <v>9.0273012552301264</v>
      </c>
      <c r="N2026" s="233">
        <f>IF(tech_base!$T2&gt;N$2025,"",fuel_costs!F$8*0.086/tech_proj!N126/(1-tech_proj!N406))</f>
        <v>9.0273012552301264</v>
      </c>
      <c r="O2026" s="233">
        <f>IF(tech_base!$T2&gt;O$2025,"",fuel_costs!G$8*0.086/tech_proj!O126/(1-tech_proj!O406))</f>
        <v>9.0273012552301264</v>
      </c>
      <c r="P2026" s="233">
        <f>IF(tech_base!$T2&gt;P$2025,"",fuel_costs!H$8*0.086/tech_proj!P126/(1-tech_proj!P406))</f>
        <v>9.0273012552301264</v>
      </c>
      <c r="Q2026" s="233">
        <f>IF(tech_base!$T2&gt;Q$2025,"",fuel_costs!I$8*0.086/tech_proj!Q126/(1-tech_proj!Q406))</f>
        <v>9.0273012552301264</v>
      </c>
      <c r="R2026" s="233">
        <f>IF(tech_base!$T2&gt;R$2025,"",fuel_costs!J$8*0.086/tech_proj!R126/(1-tech_proj!R406))</f>
        <v>9.0273012552301264</v>
      </c>
      <c r="S2026" s="233">
        <f>IF(tech_base!$T2&gt;S$2025,"",fuel_costs!K$8*0.086/tech_proj!S126/(1-tech_proj!S406))</f>
        <v>9.0273012552301264</v>
      </c>
      <c r="T2026" s="233">
        <f>IF(tech_base!$T2&gt;T$2025,"",fuel_costs!L$8*0.086/tech_proj!T126/(1-tech_proj!T406))</f>
        <v>9.0273012552301264</v>
      </c>
      <c r="U2026" s="233">
        <f>IF(tech_base!$T2&gt;U$2025,"",fuel_costs!M$8*0.086/tech_proj!U126/(1-tech_proj!U406))</f>
        <v>9.0273012552301264</v>
      </c>
      <c r="V2026" s="233">
        <f>IF(tech_base!$T2&gt;V$2025,"",fuel_costs!N$8*0.086/tech_proj!V126/(1-tech_proj!V406))</f>
        <v>9.0273012552301264</v>
      </c>
      <c r="W2026" s="233">
        <f>IF(tech_base!$T2&gt;W$2025,"",fuel_costs!O$8*0.086/tech_proj!W126/(1-tech_proj!W406))</f>
        <v>9.0273012552301264</v>
      </c>
      <c r="X2026" s="233">
        <f>IF(tech_base!$T2&gt;X$2025,"",fuel_costs!P$8*0.086/tech_proj!X126/(1-tech_proj!X406))</f>
        <v>9.0273012552301264</v>
      </c>
      <c r="Y2026" s="233">
        <f>IF(tech_base!$T2&gt;Y$2025,"",fuel_costs!Q$8*0.086/tech_proj!Y126/(1-tech_proj!Y406))</f>
        <v>9.0273012552301264</v>
      </c>
      <c r="Z2026" s="233">
        <f>IF(tech_base!$T2&gt;Z$2025,"",fuel_costs!R$8*0.086/tech_proj!Z126/(1-tech_proj!Z406))</f>
        <v>9.0273012552301264</v>
      </c>
      <c r="AA2026" s="233">
        <f>IF(tech_base!$T2&gt;AA$2025,"",fuel_costs!S$8*0.086/tech_proj!AA126/(1-tech_proj!AA406))</f>
        <v>9.0273012552301264</v>
      </c>
      <c r="AB2026" s="233">
        <f>IF(tech_base!$T2&gt;AB$2025,"",fuel_costs!T$8*0.086/tech_proj!AB126/(1-tech_proj!AB406))</f>
        <v>9.0273012552301264</v>
      </c>
      <c r="AC2026" s="233">
        <f>IF(tech_base!$T2&gt;AC$2025,"",fuel_costs!U$8*0.086/tech_proj!AC126/(1-tech_proj!AC406))</f>
        <v>9.0273012552301264</v>
      </c>
      <c r="AD2026" s="233">
        <f>IF(tech_base!$T2&gt;AD$2025,"",fuel_costs!V$8*0.086/tech_proj!AD126/(1-tech_proj!AD406))</f>
        <v>9.0273012552301264</v>
      </c>
      <c r="AE2026" s="233">
        <f>IF(tech_base!$T2&gt;AE$2025,"",fuel_costs!W$8*0.086/tech_proj!AE126/(1-tech_proj!AE406))</f>
        <v>9.0273012552301264</v>
      </c>
      <c r="AF2026" s="233">
        <f>IF(tech_base!$T2&gt;AF$2025,"",fuel_costs!X$8*0.086/tech_proj!AF126/(1-tech_proj!AF406))</f>
        <v>9.0273012552301264</v>
      </c>
      <c r="AG2026" s="233">
        <f>IF(tech_base!$T2&gt;AG$2025,"",fuel_costs!Y$8*0.086/tech_proj!AG126/(1-tech_proj!AG406))</f>
        <v>9.0273012552301264</v>
      </c>
      <c r="AH2026" s="233">
        <f>IF(tech_base!$T2&gt;AH$2025,"",fuel_costs!Z$8*0.086/tech_proj!AH126/(1-tech_proj!AH406))</f>
        <v>9.0273012552301264</v>
      </c>
      <c r="AI2026" s="233">
        <f>IF(tech_base!$T2&gt;AI$2025,"",fuel_costs!AA$8*0.086/tech_proj!AI126/(1-tech_proj!AI406))</f>
        <v>9.0273012552301264</v>
      </c>
      <c r="AJ2026" s="233">
        <f>IF(tech_base!$T2&gt;AJ$2025,"",fuel_costs!AB$8*0.086/tech_proj!AJ126/(1-tech_proj!AJ406))</f>
        <v>9.0273012552301264</v>
      </c>
      <c r="AK2026" s="233">
        <f>IF(tech_base!$T2&gt;AK$2025,"",fuel_costs!AC$8*0.086/tech_proj!AK126/(1-tech_proj!AK406))</f>
        <v>9.0273012552301264</v>
      </c>
      <c r="AL2026" s="233">
        <f>IF(tech_base!$T2&gt;AL$2025,"",fuel_costs!AD$8*0.086/tech_proj!AL126/(1-tech_proj!AL406))</f>
        <v>9.0273012552301264</v>
      </c>
      <c r="AM2026" s="233">
        <f>IF(tech_base!$T2&gt;AM$2025,"",fuel_costs!AE$8*0.086/tech_proj!AM126/(1-tech_proj!AM406))</f>
        <v>9.0273012552301264</v>
      </c>
      <c r="AN2026" s="233">
        <f>IF(tech_base!$T2&gt;AN$2025,"",fuel_costs!AF$8*0.086/tech_proj!AN126/(1-tech_proj!AN406))</f>
        <v>9.0273012552301264</v>
      </c>
      <c r="AO2026" s="233">
        <f>IF(tech_base!$T2&gt;AO$2025,"",fuel_costs!AG$8*0.086/tech_proj!AO126/(1-tech_proj!AO406))</f>
        <v>9.0273012552301264</v>
      </c>
      <c r="AP2026" s="233">
        <f>IF(tech_base!$T2&gt;AP$2025,"",fuel_costs!AH$8*0.086/tech_proj!AP126/(1-tech_proj!AP406))</f>
        <v>9.0273012552301264</v>
      </c>
      <c r="AQ2026" s="233">
        <f>IF(tech_base!$T2&gt;AQ$2025,"",fuel_costs!AI$8*0.086/tech_proj!AQ126/(1-tech_proj!AQ406))</f>
        <v>9.0273012552301264</v>
      </c>
      <c r="AR2026" s="233">
        <f>IF(tech_base!$T2&gt;AR$2025,"",fuel_costs!AJ$8*0.086/tech_proj!AR126/(1-tech_proj!AR406))</f>
        <v>9.0273012552301264</v>
      </c>
      <c r="AS2026" s="233">
        <f>IF(tech_base!$T2&gt;AS$2025,"",fuel_costs!AK$8*0.086/tech_proj!AS126/(1-tech_proj!AS406))</f>
        <v>9.0273012552301264</v>
      </c>
      <c r="AT2026" s="233">
        <f>IF(tech_base!$T2&gt;AT$2025,"",fuel_costs!AL$8*0.086/tech_proj!AT126/(1-tech_proj!AT406))</f>
        <v>9.0273012552301264</v>
      </c>
      <c r="AU2026" s="233">
        <f>IF(tech_base!$T2&gt;AU$2025,"",fuel_costs!AM$8*0.086/tech_proj!AU126/(1-tech_proj!AU406))</f>
        <v>9.0273012552301264</v>
      </c>
      <c r="AV2026" s="233">
        <f>IF(tech_base!$T2&gt;AV$2025,"",fuel_costs!AN$8*0.086/tech_proj!AV126/(1-tech_proj!AV406))</f>
        <v>9.0273012552301264</v>
      </c>
      <c r="AW2026" s="233">
        <f>IF(tech_base!$T2&gt;AW$2025,"",fuel_costs!AO$8*0.086/tech_proj!AW126/(1-tech_proj!AW406))</f>
        <v>9.0273012552301264</v>
      </c>
      <c r="AX2026" s="234">
        <f>IF(tech_base!$T2&gt;AX$2025,"",fuel_costs!AP$8*0.086/tech_proj!AX126/(1-tech_proj!AX406))</f>
        <v>9.0273012552301264</v>
      </c>
    </row>
    <row r="2027" spans="1:52" x14ac:dyDescent="0.25">
      <c r="A2027" s="347"/>
      <c r="B2027" s="349"/>
      <c r="C2027" s="350"/>
      <c r="D2027" s="4" t="s">
        <v>8</v>
      </c>
      <c r="E2027" s="80" t="str">
        <f>A2026&amp;"/"&amp;B2026&amp;"/"&amp;C2026&amp;"/"&amp;D2027</f>
        <v>Nuclear power plants/Nuclear - current/Electricity only/M</v>
      </c>
      <c r="F2027" s="80" t="str">
        <f>A2026</f>
        <v>Nuclear power plants</v>
      </c>
      <c r="G2027" s="80" t="str">
        <f>B2026</f>
        <v>Nuclear - current</v>
      </c>
      <c r="H2027" s="80" t="str">
        <f>C2026</f>
        <v>Electricity only</v>
      </c>
      <c r="I2027" s="80" t="str">
        <f t="shared" ref="I2027:I2090" si="387">D2027</f>
        <v>M</v>
      </c>
      <c r="J2027" s="127">
        <f>IF(tech_base!$T3&gt;J$2025,"",fuel_costs!B$8*0.086/tech_proj!J127/(1-tech_proj!J407))</f>
        <v>9.2399357601713081</v>
      </c>
      <c r="K2027" s="127">
        <f>IF(tech_base!$T3&gt;K$2025,"",fuel_costs!C$8*0.086/tech_proj!K127/(1-tech_proj!K407))</f>
        <v>9.2399357601713081</v>
      </c>
      <c r="L2027" s="127">
        <f>IF(tech_base!$T3&gt;L$2025,"",fuel_costs!D$8*0.086/tech_proj!L127/(1-tech_proj!L407))</f>
        <v>9.2399357601713081</v>
      </c>
      <c r="M2027" s="127">
        <f>IF(tech_base!$T3&gt;M$2025,"",fuel_costs!E$8*0.086/tech_proj!M127/(1-tech_proj!M407))</f>
        <v>9.2399357601713081</v>
      </c>
      <c r="N2027" s="127">
        <f>IF(tech_base!$T3&gt;N$2025,"",fuel_costs!F$8*0.086/tech_proj!N127/(1-tech_proj!N407))</f>
        <v>9.2399357601713081</v>
      </c>
      <c r="O2027" s="127">
        <f>IF(tech_base!$T3&gt;O$2025,"",fuel_costs!G$8*0.086/tech_proj!O127/(1-tech_proj!O407))</f>
        <v>9.2399357601713081</v>
      </c>
      <c r="P2027" s="127">
        <f>IF(tech_base!$T3&gt;P$2025,"",fuel_costs!H$8*0.086/tech_proj!P127/(1-tech_proj!P407))</f>
        <v>9.2399357601713081</v>
      </c>
      <c r="Q2027" s="127">
        <f>IF(tech_base!$T3&gt;Q$2025,"",fuel_costs!I$8*0.086/tech_proj!Q127/(1-tech_proj!Q407))</f>
        <v>9.2399357601713081</v>
      </c>
      <c r="R2027" s="127">
        <f>IF(tech_base!$T3&gt;R$2025,"",fuel_costs!J$8*0.086/tech_proj!R127/(1-tech_proj!R407))</f>
        <v>9.2399357601713081</v>
      </c>
      <c r="S2027" s="127">
        <f>IF(tech_base!$T3&gt;S$2025,"",fuel_costs!K$8*0.086/tech_proj!S127/(1-tech_proj!S407))</f>
        <v>9.2399357601713081</v>
      </c>
      <c r="T2027" s="127">
        <f>IF(tech_base!$T3&gt;T$2025,"",fuel_costs!L$8*0.086/tech_proj!T127/(1-tech_proj!T407))</f>
        <v>9.2399357601713081</v>
      </c>
      <c r="U2027" s="127">
        <f>IF(tech_base!$T3&gt;U$2025,"",fuel_costs!M$8*0.086/tech_proj!U127/(1-tech_proj!U407))</f>
        <v>9.2399357601713081</v>
      </c>
      <c r="V2027" s="127">
        <f>IF(tech_base!$T3&gt;V$2025,"",fuel_costs!N$8*0.086/tech_proj!V127/(1-tech_proj!V407))</f>
        <v>9.2399357601713081</v>
      </c>
      <c r="W2027" s="127">
        <f>IF(tech_base!$T3&gt;W$2025,"",fuel_costs!O$8*0.086/tech_proj!W127/(1-tech_proj!W407))</f>
        <v>9.2399357601713081</v>
      </c>
      <c r="X2027" s="127">
        <f>IF(tech_base!$T3&gt;X$2025,"",fuel_costs!P$8*0.086/tech_proj!X127/(1-tech_proj!X407))</f>
        <v>9.2399357601713081</v>
      </c>
      <c r="Y2027" s="127">
        <f>IF(tech_base!$T3&gt;Y$2025,"",fuel_costs!Q$8*0.086/tech_proj!Y127/(1-tech_proj!Y407))</f>
        <v>9.2399357601713081</v>
      </c>
      <c r="Z2027" s="127">
        <f>IF(tech_base!$T3&gt;Z$2025,"",fuel_costs!R$8*0.086/tech_proj!Z127/(1-tech_proj!Z407))</f>
        <v>9.2399357601713081</v>
      </c>
      <c r="AA2027" s="127">
        <f>IF(tech_base!$T3&gt;AA$2025,"",fuel_costs!S$8*0.086/tech_proj!AA127/(1-tech_proj!AA407))</f>
        <v>9.2399357601713081</v>
      </c>
      <c r="AB2027" s="127">
        <f>IF(tech_base!$T3&gt;AB$2025,"",fuel_costs!T$8*0.086/tech_proj!AB127/(1-tech_proj!AB407))</f>
        <v>9.2399357601713081</v>
      </c>
      <c r="AC2027" s="127">
        <f>IF(tech_base!$T3&gt;AC$2025,"",fuel_costs!U$8*0.086/tech_proj!AC127/(1-tech_proj!AC407))</f>
        <v>9.2399357601713081</v>
      </c>
      <c r="AD2027" s="127">
        <f>IF(tech_base!$T3&gt;AD$2025,"",fuel_costs!V$8*0.086/tech_proj!AD127/(1-tech_proj!AD407))</f>
        <v>9.2399357601713081</v>
      </c>
      <c r="AE2027" s="127">
        <f>IF(tech_base!$T3&gt;AE$2025,"",fuel_costs!W$8*0.086/tech_proj!AE127/(1-tech_proj!AE407))</f>
        <v>9.2399357601713081</v>
      </c>
      <c r="AF2027" s="127">
        <f>IF(tech_base!$T3&gt;AF$2025,"",fuel_costs!X$8*0.086/tech_proj!AF127/(1-tech_proj!AF407))</f>
        <v>9.2399357601713081</v>
      </c>
      <c r="AG2027" s="127">
        <f>IF(tech_base!$T3&gt;AG$2025,"",fuel_costs!Y$8*0.086/tech_proj!AG127/(1-tech_proj!AG407))</f>
        <v>9.2399357601713081</v>
      </c>
      <c r="AH2027" s="127">
        <f>IF(tech_base!$T3&gt;AH$2025,"",fuel_costs!Z$8*0.086/tech_proj!AH127/(1-tech_proj!AH407))</f>
        <v>9.2399357601713081</v>
      </c>
      <c r="AI2027" s="127">
        <f>IF(tech_base!$T3&gt;AI$2025,"",fuel_costs!AA$8*0.086/tech_proj!AI127/(1-tech_proj!AI407))</f>
        <v>9.2399357601713081</v>
      </c>
      <c r="AJ2027" s="127">
        <f>IF(tech_base!$T3&gt;AJ$2025,"",fuel_costs!AB$8*0.086/tech_proj!AJ127/(1-tech_proj!AJ407))</f>
        <v>9.2399357601713081</v>
      </c>
      <c r="AK2027" s="127">
        <f>IF(tech_base!$T3&gt;AK$2025,"",fuel_costs!AC$8*0.086/tech_proj!AK127/(1-tech_proj!AK407))</f>
        <v>9.2399357601713081</v>
      </c>
      <c r="AL2027" s="127">
        <f>IF(tech_base!$T3&gt;AL$2025,"",fuel_costs!AD$8*0.086/tech_proj!AL127/(1-tech_proj!AL407))</f>
        <v>9.2399357601713081</v>
      </c>
      <c r="AM2027" s="127">
        <f>IF(tech_base!$T3&gt;AM$2025,"",fuel_costs!AE$8*0.086/tech_proj!AM127/(1-tech_proj!AM407))</f>
        <v>9.2399357601713081</v>
      </c>
      <c r="AN2027" s="127">
        <f>IF(tech_base!$T3&gt;AN$2025,"",fuel_costs!AF$8*0.086/tech_proj!AN127/(1-tech_proj!AN407))</f>
        <v>9.2399357601713081</v>
      </c>
      <c r="AO2027" s="127">
        <f>IF(tech_base!$T3&gt;AO$2025,"",fuel_costs!AG$8*0.086/tech_proj!AO127/(1-tech_proj!AO407))</f>
        <v>9.2399357601713081</v>
      </c>
      <c r="AP2027" s="127">
        <f>IF(tech_base!$T3&gt;AP$2025,"",fuel_costs!AH$8*0.086/tech_proj!AP127/(1-tech_proj!AP407))</f>
        <v>9.2399357601713081</v>
      </c>
      <c r="AQ2027" s="127">
        <f>IF(tech_base!$T3&gt;AQ$2025,"",fuel_costs!AI$8*0.086/tech_proj!AQ127/(1-tech_proj!AQ407))</f>
        <v>9.2399357601713081</v>
      </c>
      <c r="AR2027" s="127">
        <f>IF(tech_base!$T3&gt;AR$2025,"",fuel_costs!AJ$8*0.086/tech_proj!AR127/(1-tech_proj!AR407))</f>
        <v>9.2399357601713081</v>
      </c>
      <c r="AS2027" s="127">
        <f>IF(tech_base!$T3&gt;AS$2025,"",fuel_costs!AK$8*0.086/tech_proj!AS127/(1-tech_proj!AS407))</f>
        <v>9.2399357601713081</v>
      </c>
      <c r="AT2027" s="127">
        <f>IF(tech_base!$T3&gt;AT$2025,"",fuel_costs!AL$8*0.086/tech_proj!AT127/(1-tech_proj!AT407))</f>
        <v>9.2399357601713081</v>
      </c>
      <c r="AU2027" s="127">
        <f>IF(tech_base!$T3&gt;AU$2025,"",fuel_costs!AM$8*0.086/tech_proj!AU127/(1-tech_proj!AU407))</f>
        <v>9.2399357601713081</v>
      </c>
      <c r="AV2027" s="127">
        <f>IF(tech_base!$T3&gt;AV$2025,"",fuel_costs!AN$8*0.086/tech_proj!AV127/(1-tech_proj!AV407))</f>
        <v>9.2399357601713081</v>
      </c>
      <c r="AW2027" s="127">
        <f>IF(tech_base!$T3&gt;AW$2025,"",fuel_costs!AO$8*0.086/tech_proj!AW127/(1-tech_proj!AW407))</f>
        <v>9.2399357601713081</v>
      </c>
      <c r="AX2027" s="128">
        <f>IF(tech_base!$T3&gt;AX$2025,"",fuel_costs!AP$8*0.086/tech_proj!AX127/(1-tech_proj!AX407))</f>
        <v>9.2399357601713081</v>
      </c>
    </row>
    <row r="2028" spans="1:52" x14ac:dyDescent="0.25">
      <c r="A2028" s="347"/>
      <c r="B2028" s="351" t="s">
        <v>9</v>
      </c>
      <c r="C2028" s="353" t="s">
        <v>6</v>
      </c>
      <c r="D2028" s="2" t="s">
        <v>7</v>
      </c>
      <c r="E2028" s="76" t="str">
        <f>A2026&amp;"/"&amp;B2028&amp;"/"&amp;C2028&amp;"/"&amp;D2028</f>
        <v>Nuclear power plants/Nuclear III/Electricity only/L</v>
      </c>
      <c r="F2028" s="76" t="str">
        <f>A2026</f>
        <v>Nuclear power plants</v>
      </c>
      <c r="G2028" s="76" t="str">
        <f>B2028</f>
        <v>Nuclear III</v>
      </c>
      <c r="H2028" s="76" t="str">
        <f>C2028</f>
        <v>Electricity only</v>
      </c>
      <c r="I2028" s="76" t="str">
        <f t="shared" si="387"/>
        <v>L</v>
      </c>
      <c r="J2028" s="119">
        <f>IF(tech_base!$T4&gt;J$2025,"",fuel_costs!B$8*0.086/tech_proj!J128/(1-tech_proj!J408))</f>
        <v>7.7949599799899953</v>
      </c>
      <c r="K2028" s="119">
        <f>IF(tech_base!$T4&gt;K$2025,"",fuel_costs!C$8*0.086/tech_proj!K128/(1-tech_proj!K408))</f>
        <v>7.7946418523362553</v>
      </c>
      <c r="L2028" s="119">
        <f>IF(tech_base!$T4&gt;L$2025,"",fuel_costs!D$8*0.086/tech_proj!L128/(1-tech_proj!L408))</f>
        <v>7.7942543282878312</v>
      </c>
      <c r="M2028" s="119">
        <f>IF(tech_base!$T4&gt;M$2025,"",fuel_costs!E$8*0.086/tech_proj!M128/(1-tech_proj!M408))</f>
        <v>7.7937825473487568</v>
      </c>
      <c r="N2028" s="119">
        <f>IF(tech_base!$T4&gt;N$2025,"",fuel_costs!F$8*0.086/tech_proj!N128/(1-tech_proj!N408))</f>
        <v>7.7932086015595887</v>
      </c>
      <c r="O2028" s="119">
        <f>IF(tech_base!$T4&gt;O$2025,"",fuel_costs!G$8*0.086/tech_proj!O128/(1-tech_proj!O408))</f>
        <v>7.7925109759377822</v>
      </c>
      <c r="P2028" s="119">
        <f>IF(tech_base!$T4&gt;P$2025,"",fuel_costs!H$8*0.086/tech_proj!P128/(1-tech_proj!P408))</f>
        <v>7.7916639183115732</v>
      </c>
      <c r="Q2028" s="119">
        <f>IF(tech_base!$T4&gt;Q$2025,"",fuel_costs!I$8*0.086/tech_proj!Q128/(1-tech_proj!Q408))</f>
        <v>7.7906367464817112</v>
      </c>
      <c r="R2028" s="119">
        <f>IF(tech_base!$T4&gt;R$2025,"",fuel_costs!J$8*0.086/tech_proj!R128/(1-tech_proj!R408))</f>
        <v>7.7893931119648459</v>
      </c>
      <c r="S2028" s="119">
        <f>IF(tech_base!$T4&gt;S$2025,"",fuel_costs!K$8*0.086/tech_proj!S128/(1-tech_proj!S408))</f>
        <v>7.7878902565977501</v>
      </c>
      <c r="T2028" s="119">
        <f>IF(tech_base!$T4&gt;T$2025,"",fuel_costs!L$8*0.086/tech_proj!T128/(1-tech_proj!T408))</f>
        <v>7.7860783227977057</v>
      </c>
      <c r="U2028" s="119">
        <f>IF(tech_base!$T4&gt;U$2025,"",fuel_costs!M$8*0.086/tech_proj!U128/(1-tech_proj!U408))</f>
        <v>7.7838998120541003</v>
      </c>
      <c r="V2028" s="119">
        <f>IF(tech_base!$T4&gt;V$2025,"",fuel_costs!N$8*0.086/tech_proj!V128/(1-tech_proj!V408))</f>
        <v>7.7812893304879358</v>
      </c>
      <c r="W2028" s="119">
        <f>IF(tech_base!$T4&gt;W$2025,"",fuel_costs!O$8*0.086/tech_proj!W128/(1-tech_proj!W408))</f>
        <v>7.7781738147126864</v>
      </c>
      <c r="X2028" s="119">
        <f>IF(tech_base!$T4&gt;X$2025,"",fuel_costs!P$8*0.086/tech_proj!X128/(1-tech_proj!X408))</f>
        <v>7.7744734921865861</v>
      </c>
      <c r="Y2028" s="119">
        <f>IF(tech_base!$T4&gt;Y$2025,"",fuel_costs!Q$8*0.086/tech_proj!Y128/(1-tech_proj!Y408))</f>
        <v>7.7701038885432574</v>
      </c>
      <c r="Z2028" s="119">
        <f>IF(tech_base!$T4&gt;Z$2025,"",fuel_costs!R$8*0.086/tech_proj!Z128/(1-tech_proj!Z408))</f>
        <v>7.7649792321939186</v>
      </c>
      <c r="AA2028" s="119">
        <f>IF(tech_base!$T4&gt;AA$2025,"",fuel_costs!S$8*0.086/tech_proj!AA128/(1-tech_proj!AA408))</f>
        <v>7.7590175947154982</v>
      </c>
      <c r="AB2028" s="119">
        <f>IF(tech_base!$T4&gt;AB$2025,"",fuel_costs!T$8*0.086/tech_proj!AB128/(1-tech_proj!AB408))</f>
        <v>7.7521480034990589</v>
      </c>
      <c r="AC2028" s="119">
        <f>IF(tech_base!$T4&gt;AC$2025,"",fuel_costs!U$8*0.086/tech_proj!AC128/(1-tech_proj!AC408))</f>
        <v>7.7443195240685423</v>
      </c>
      <c r="AD2028" s="119">
        <f>IF(tech_base!$T4&gt;AD$2025,"",fuel_costs!V$8*0.086/tech_proj!AD128/(1-tech_proj!AD408))</f>
        <v>7.7355118962837484</v>
      </c>
      <c r="AE2028" s="119">
        <f>IF(tech_base!$T4&gt;AE$2025,"",fuel_costs!W$8*0.086/tech_proj!AE128/(1-tech_proj!AE408))</f>
        <v>7.7257467228215839</v>
      </c>
      <c r="AF2028" s="119">
        <f>IF(tech_base!$T4&gt;AF$2025,"",fuel_costs!X$8*0.086/tech_proj!AF128/(1-tech_proj!AF408))</f>
        <v>7.7150975285579575</v>
      </c>
      <c r="AG2028" s="119">
        <f>IF(tech_base!$T4&gt;AG$2025,"",fuel_costs!Y$8*0.086/tech_proj!AG128/(1-tech_proj!AG408))</f>
        <v>7.7036964229206948</v>
      </c>
      <c r="AH2028" s="119">
        <f>IF(tech_base!$T4&gt;AH$2025,"",fuel_costs!Z$8*0.086/tech_proj!AH128/(1-tech_proj!AH408))</f>
        <v>7.6917348914655186</v>
      </c>
      <c r="AI2028" s="119">
        <f>IF(tech_base!$T4&gt;AI$2025,"",fuel_costs!AA$8*0.086/tech_proj!AI128/(1-tech_proj!AI408))</f>
        <v>7.679456722443696</v>
      </c>
      <c r="AJ2028" s="119">
        <f>IF(tech_base!$T4&gt;AJ$2025,"",fuel_costs!AB$8*0.086/tech_proj!AJ128/(1-tech_proj!AJ408))</f>
        <v>7.6671423961947296</v>
      </c>
      <c r="AK2028" s="119">
        <f>IF(tech_base!$T4&gt;AK$2025,"",fuel_costs!AC$8*0.086/tech_proj!AK128/(1-tech_proj!AK408))</f>
        <v>7.6550862563811402</v>
      </c>
      <c r="AL2028" s="119">
        <f>IF(tech_base!$T4&gt;AL$2025,"",fuel_costs!AD$8*0.086/tech_proj!AL128/(1-tech_proj!AL408))</f>
        <v>7.6435698687016194</v>
      </c>
      <c r="AM2028" s="119">
        <f>IF(tech_base!$T4&gt;AM$2025,"",fuel_costs!AE$8*0.086/tech_proj!AM128/(1-tech_proj!AM408))</f>
        <v>7.632836348301244</v>
      </c>
      <c r="AN2028" s="119">
        <f>IF(tech_base!$T4&gt;AN$2025,"",fuel_costs!AF$8*0.086/tech_proj!AN128/(1-tech_proj!AN408))</f>
        <v>7.6230704497307871</v>
      </c>
      <c r="AO2028" s="119">
        <f>IF(tech_base!$T4&gt;AO$2025,"",fuel_costs!AG$8*0.086/tech_proj!AO128/(1-tech_proj!AO408))</f>
        <v>7.6143877566408111</v>
      </c>
      <c r="AP2028" s="119">
        <f>IF(tech_base!$T4&gt;AP$2025,"",fuel_costs!AH$8*0.086/tech_proj!AP128/(1-tech_proj!AP408))</f>
        <v>7.6068339304322876</v>
      </c>
      <c r="AQ2028" s="119">
        <f>IF(tech_base!$T4&gt;AQ$2025,"",fuel_costs!AI$8*0.086/tech_proj!AQ128/(1-tech_proj!AQ408))</f>
        <v>7.6003925978166214</v>
      </c>
      <c r="AR2028" s="119">
        <f>IF(tech_base!$T4&gt;AR$2025,"",fuel_costs!AJ$8*0.086/tech_proj!AR128/(1-tech_proj!AR408))</f>
        <v>7.5949988828868626</v>
      </c>
      <c r="AS2028" s="119">
        <f>IF(tech_base!$T4&gt;AS$2025,"",fuel_costs!AK$8*0.086/tech_proj!AS128/(1-tech_proj!AS408))</f>
        <v>7.5905551535317937</v>
      </c>
      <c r="AT2028" s="119">
        <f>IF(tech_base!$T4&gt;AT$2025,"",fuel_costs!AL$8*0.086/tech_proj!AT128/(1-tech_proj!AT408))</f>
        <v>7.5869460799392012</v>
      </c>
      <c r="AU2028" s="119">
        <f>IF(tech_base!$T4&gt;AU$2025,"",fuel_costs!AM$8*0.086/tech_proj!AU128/(1-tech_proj!AU408))</f>
        <v>7.5840511362702108</v>
      </c>
      <c r="AV2028" s="119">
        <f>IF(tech_base!$T4&gt;AV$2025,"",fuel_costs!AN$8*0.086/tech_proj!AV128/(1-tech_proj!AV408))</f>
        <v>7.5817537541169413</v>
      </c>
      <c r="AW2028" s="119">
        <f>IF(tech_base!$T4&gt;AW$2025,"",fuel_costs!AO$8*0.086/tech_proj!AW128/(1-tech_proj!AW408))</f>
        <v>7.579947166002583</v>
      </c>
      <c r="AX2028" s="120">
        <f>IF(tech_base!$T4&gt;AX$2025,"",fuel_costs!AP$8*0.086/tech_proj!AX128/(1-tech_proj!AX408))</f>
        <v>7.5785374641897247</v>
      </c>
      <c r="AZ2028" s="174"/>
    </row>
    <row r="2029" spans="1:52" x14ac:dyDescent="0.25">
      <c r="A2029" s="347"/>
      <c r="B2029" s="349"/>
      <c r="C2029" s="350"/>
      <c r="D2029" s="2" t="s">
        <v>8</v>
      </c>
      <c r="E2029" s="76" t="str">
        <f>A2026&amp;"/"&amp;B2028&amp;"/"&amp;C2028&amp;"/"&amp;D2029</f>
        <v>Nuclear power plants/Nuclear III/Electricity only/M</v>
      </c>
      <c r="F2029" s="76" t="str">
        <f>A2026</f>
        <v>Nuclear power plants</v>
      </c>
      <c r="G2029" s="76" t="str">
        <f>B2028</f>
        <v>Nuclear III</v>
      </c>
      <c r="H2029" s="76" t="str">
        <f>C2028</f>
        <v>Electricity only</v>
      </c>
      <c r="I2029" s="76" t="str">
        <f t="shared" si="387"/>
        <v>M</v>
      </c>
      <c r="J2029" s="119">
        <f>IF(tech_base!$T5&gt;J$2025,"",fuel_costs!B$8*0.086/tech_proj!J129/(1-tech_proj!J409))</f>
        <v>7.951754199447163</v>
      </c>
      <c r="K2029" s="119">
        <f>IF(tech_base!$T5&gt;K$2025,"",fuel_costs!C$8*0.086/tech_proj!K129/(1-tech_proj!K409))</f>
        <v>7.9513362852280922</v>
      </c>
      <c r="L2029" s="119">
        <f>IF(tech_base!$T5&gt;L$2025,"",fuel_costs!D$8*0.086/tech_proj!L129/(1-tech_proj!L409))</f>
        <v>7.9508522957665733</v>
      </c>
      <c r="M2029" s="119">
        <f>IF(tech_base!$T5&gt;M$2025,"",fuel_costs!E$8*0.086/tech_proj!M129/(1-tech_proj!M409))</f>
        <v>7.9502920722489385</v>
      </c>
      <c r="N2029" s="119">
        <f>IF(tech_base!$T5&gt;N$2025,"",fuel_costs!F$8*0.086/tech_proj!N129/(1-tech_proj!N409))</f>
        <v>7.9496439929325602</v>
      </c>
      <c r="O2029" s="119">
        <f>IF(tech_base!$T5&gt;O$2025,"",fuel_costs!G$8*0.086/tech_proj!O129/(1-tech_proj!O409))</f>
        <v>7.9488947965236072</v>
      </c>
      <c r="P2029" s="119">
        <f>IF(tech_base!$T5&gt;P$2025,"",fuel_costs!H$8*0.086/tech_proj!P129/(1-tech_proj!P409))</f>
        <v>7.9480293962449631</v>
      </c>
      <c r="Q2029" s="119">
        <f>IF(tech_base!$T5&gt;Q$2025,"",fuel_costs!I$8*0.086/tech_proj!Q129/(1-tech_proj!Q409))</f>
        <v>7.9470306888879598</v>
      </c>
      <c r="R2029" s="119">
        <f>IF(tech_base!$T5&gt;R$2025,"",fuel_costs!J$8*0.086/tech_proj!R129/(1-tech_proj!R409))</f>
        <v>7.9458793653763191</v>
      </c>
      <c r="S2029" s="119">
        <f>IF(tech_base!$T5&gt;S$2025,"",fuel_costs!K$8*0.086/tech_proj!S129/(1-tech_proj!S409))</f>
        <v>7.9445537322627651</v>
      </c>
      <c r="T2029" s="119">
        <f>IF(tech_base!$T5&gt;T$2025,"",fuel_costs!L$8*0.086/tech_proj!T129/(1-tech_proj!T409))</f>
        <v>7.9430295572264367</v>
      </c>
      <c r="U2029" s="119">
        <f>IF(tech_base!$T5&gt;U$2025,"",fuel_costs!M$8*0.086/tech_proj!U129/(1-tech_proj!U409))</f>
        <v>7.9412799561082128</v>
      </c>
      <c r="V2029" s="119">
        <f>IF(tech_base!$T5&gt;V$2025,"",fuel_costs!N$8*0.086/tech_proj!V129/(1-tech_proj!V409))</f>
        <v>7.9392753443106354</v>
      </c>
      <c r="W2029" s="119">
        <f>IF(tech_base!$T5&gt;W$2025,"",fuel_costs!O$8*0.086/tech_proj!W129/(1-tech_proj!W409))</f>
        <v>7.9369834813799276</v>
      </c>
      <c r="X2029" s="119">
        <f>IF(tech_base!$T5&gt;X$2025,"",fuel_costs!P$8*0.086/tech_proj!X129/(1-tech_proj!X409))</f>
        <v>7.9343696439731195</v>
      </c>
      <c r="Y2029" s="119">
        <f>IF(tech_base!$T5&gt;Y$2025,"",fuel_costs!Q$8*0.086/tech_proj!Y129/(1-tech_proj!Y409))</f>
        <v>7.9313969686123329</v>
      </c>
      <c r="Z2029" s="119">
        <f>IF(tech_base!$T5&gt;Z$2025,"",fuel_costs!R$8*0.086/tech_proj!Z129/(1-tech_proj!Z409))</f>
        <v>7.9280270106872335</v>
      </c>
      <c r="AA2029" s="119">
        <f>IF(tech_base!$T5&gt;AA$2025,"",fuel_costs!S$8*0.086/tech_proj!AA129/(1-tech_proj!AA409))</f>
        <v>7.9242205686677378</v>
      </c>
      <c r="AB2029" s="119">
        <f>IF(tech_base!$T5&gt;AB$2025,"",fuel_costs!T$8*0.086/tech_proj!AB129/(1-tech_proj!AB409))</f>
        <v>7.9199388204999392</v>
      </c>
      <c r="AC2029" s="119">
        <f>IF(tech_base!$T5&gt;AC$2025,"",fuel_costs!U$8*0.086/tech_proj!AC129/(1-tech_proj!AC409))</f>
        <v>7.9151448102725324</v>
      </c>
      <c r="AD2029" s="119">
        <f>IF(tech_base!$T5&gt;AD$2025,"",fuel_costs!V$8*0.086/tech_proj!AD129/(1-tech_proj!AD409))</f>
        <v>7.9098053047871524</v>
      </c>
      <c r="AE2029" s="119">
        <f>IF(tech_base!$T5&gt;AE$2025,"",fuel_costs!W$8*0.086/tech_proj!AE129/(1-tech_proj!AE409))</f>
        <v>7.9038930091628465</v>
      </c>
      <c r="AF2029" s="119">
        <f>IF(tech_base!$T5&gt;AF$2025,"",fuel_costs!X$8*0.086/tech_proj!AF129/(1-tech_proj!AF409))</f>
        <v>7.8973890865302812</v>
      </c>
      <c r="AG2029" s="119">
        <f>IF(tech_base!$T5&gt;AG$2025,"",fuel_costs!Y$8*0.086/tech_proj!AG129/(1-tech_proj!AG409))</f>
        <v>7.8902858697399489</v>
      </c>
      <c r="AH2029" s="119">
        <f>IF(tech_base!$T5&gt;AH$2025,"",fuel_costs!Z$8*0.086/tech_proj!AH129/(1-tech_proj!AH409))</f>
        <v>7.8825895866203535</v>
      </c>
      <c r="AI2029" s="119">
        <f>IF(tech_base!$T5&gt;AI$2025,"",fuel_costs!AA$8*0.086/tech_proj!AI129/(1-tech_proj!AI409))</f>
        <v>7.8743228528393425</v>
      </c>
      <c r="AJ2029" s="119">
        <f>IF(tech_base!$T5&gt;AJ$2025,"",fuel_costs!AB$8*0.086/tech_proj!AJ129/(1-tech_proj!AJ409))</f>
        <v>7.8655266307195761</v>
      </c>
      <c r="AK2029" s="119">
        <f>IF(tech_base!$T5&gt;AK$2025,"",fuel_costs!AC$8*0.086/tech_proj!AK129/(1-tech_proj!AK409))</f>
        <v>7.856261324968699</v>
      </c>
      <c r="AL2029" s="119">
        <f>IF(tech_base!$T5&gt;AL$2025,"",fuel_costs!AD$8*0.086/tech_proj!AL129/(1-tech_proj!AL409))</f>
        <v>7.8466067043873204</v>
      </c>
      <c r="AM2029" s="119">
        <f>IF(tech_base!$T5&gt;AM$2025,"",fuel_costs!AE$8*0.086/tech_proj!AM129/(1-tech_proj!AM409))</f>
        <v>7.8366604151049035</v>
      </c>
      <c r="AN2029" s="119">
        <f>IF(tech_base!$T5&gt;AN$2025,"",fuel_costs!AF$8*0.086/tech_proj!AN129/(1-tech_proj!AN409))</f>
        <v>7.8265349884460873</v>
      </c>
      <c r="AO2029" s="119">
        <f>IF(tech_base!$T5&gt;AO$2025,"",fuel_costs!AG$8*0.086/tech_proj!AO129/(1-tech_proj!AO409))</f>
        <v>7.816353432738695</v>
      </c>
      <c r="AP2029" s="119">
        <f>IF(tech_base!$T5&gt;AP$2025,"",fuel_costs!AH$8*0.086/tech_proj!AP129/(1-tech_proj!AP409))</f>
        <v>7.8062437044731867</v>
      </c>
      <c r="AQ2029" s="119">
        <f>IF(tech_base!$T5&gt;AQ$2025,"",fuel_costs!AI$8*0.086/tech_proj!AQ129/(1-tech_proj!AQ409))</f>
        <v>7.7963325394316607</v>
      </c>
      <c r="AR2029" s="119">
        <f>IF(tech_base!$T5&gt;AR$2025,"",fuel_costs!AJ$8*0.086/tech_proj!AR129/(1-tech_proj!AR409))</f>
        <v>7.7867392459052276</v>
      </c>
      <c r="AS2029" s="119">
        <f>IF(tech_base!$T5&gt;AS$2025,"",fuel_costs!AK$8*0.086/tech_proj!AS129/(1-tech_proj!AS409))</f>
        <v>7.7775700879653034</v>
      </c>
      <c r="AT2029" s="119">
        <f>IF(tech_base!$T5&gt;AT$2025,"",fuel_costs!AL$8*0.086/tech_proj!AT129/(1-tech_proj!AT409))</f>
        <v>7.7689138069054167</v>
      </c>
      <c r="AU2029" s="119">
        <f>IF(tech_base!$T5&gt;AU$2025,"",fuel_costs!AM$8*0.086/tech_proj!AU129/(1-tech_proj!AU409))</f>
        <v>7.7608386596594476</v>
      </c>
      <c r="AV2029" s="119">
        <f>IF(tech_base!$T5&gt;AV$2025,"",fuel_costs!AN$8*0.086/tech_proj!AV129/(1-tech_proj!AV409))</f>
        <v>7.7533911321803402</v>
      </c>
      <c r="AW2029" s="119">
        <f>IF(tech_base!$T5&gt;AW$2025,"",fuel_costs!AO$8*0.086/tech_proj!AW129/(1-tech_proj!AW409))</f>
        <v>7.7465962612739085</v>
      </c>
      <c r="AX2029" s="120">
        <f>IF(tech_base!$T5&gt;AX$2025,"",fuel_costs!AP$8*0.086/tech_proj!AX129/(1-tech_proj!AX409))</f>
        <v>7.7404593137082154</v>
      </c>
    </row>
    <row r="2030" spans="1:52" x14ac:dyDescent="0.25">
      <c r="A2030" s="347"/>
      <c r="B2030" s="352"/>
      <c r="C2030" s="381"/>
      <c r="D2030" s="4" t="s">
        <v>10</v>
      </c>
      <c r="E2030" s="80" t="str">
        <f>A2026&amp;"/"&amp;B2028&amp;"/"&amp;C2028&amp;"/"&amp;D2030</f>
        <v>Nuclear power plants/Nuclear III/Electricity only/S</v>
      </c>
      <c r="F2030" s="80" t="str">
        <f>A2026</f>
        <v>Nuclear power plants</v>
      </c>
      <c r="G2030" s="80" t="str">
        <f>B2028</f>
        <v>Nuclear III</v>
      </c>
      <c r="H2030" s="80" t="str">
        <f>C2028</f>
        <v>Electricity only</v>
      </c>
      <c r="I2030" s="80" t="str">
        <f t="shared" si="387"/>
        <v>S</v>
      </c>
      <c r="J2030" s="127" t="str">
        <f>IF(tech_base!$T6&gt;J$2025,"",fuel_costs!B$8*0.086/tech_proj!J130/(1-tech_proj!J410))</f>
        <v/>
      </c>
      <c r="K2030" s="127" t="str">
        <f>IF(tech_base!$T6&gt;K$2025,"",fuel_costs!C$8*0.086/tech_proj!K130/(1-tech_proj!K410))</f>
        <v/>
      </c>
      <c r="L2030" s="127" t="str">
        <f>IF(tech_base!$T6&gt;L$2025,"",fuel_costs!D$8*0.086/tech_proj!L130/(1-tech_proj!L410))</f>
        <v/>
      </c>
      <c r="M2030" s="127" t="str">
        <f>IF(tech_base!$T6&gt;M$2025,"",fuel_costs!E$8*0.086/tech_proj!M130/(1-tech_proj!M410))</f>
        <v/>
      </c>
      <c r="N2030" s="127" t="str">
        <f>IF(tech_base!$T6&gt;N$2025,"",fuel_costs!F$8*0.086/tech_proj!N130/(1-tech_proj!N410))</f>
        <v/>
      </c>
      <c r="O2030" s="127" t="str">
        <f>IF(tech_base!$T6&gt;O$2025,"",fuel_costs!G$8*0.086/tech_proj!O130/(1-tech_proj!O410))</f>
        <v/>
      </c>
      <c r="P2030" s="127" t="str">
        <f>IF(tech_base!$T6&gt;P$2025,"",fuel_costs!H$8*0.086/tech_proj!P130/(1-tech_proj!P410))</f>
        <v/>
      </c>
      <c r="Q2030" s="127" t="str">
        <f>IF(tech_base!$T6&gt;Q$2025,"",fuel_costs!I$8*0.086/tech_proj!Q130/(1-tech_proj!Q410))</f>
        <v/>
      </c>
      <c r="R2030" s="127" t="str">
        <f>IF(tech_base!$T6&gt;R$2025,"",fuel_costs!J$8*0.086/tech_proj!R130/(1-tech_proj!R410))</f>
        <v/>
      </c>
      <c r="S2030" s="127" t="str">
        <f>IF(tech_base!$T6&gt;S$2025,"",fuel_costs!K$8*0.086/tech_proj!S130/(1-tech_proj!S410))</f>
        <v/>
      </c>
      <c r="T2030" s="127" t="str">
        <f>IF(tech_base!$T6&gt;T$2025,"",fuel_costs!L$8*0.086/tech_proj!T130/(1-tech_proj!T410))</f>
        <v/>
      </c>
      <c r="U2030" s="127" t="str">
        <f>IF(tech_base!$T6&gt;U$2025,"",fuel_costs!M$8*0.086/tech_proj!U130/(1-tech_proj!U410))</f>
        <v/>
      </c>
      <c r="V2030" s="127" t="str">
        <f>IF(tech_base!$T6&gt;V$2025,"",fuel_costs!N$8*0.086/tech_proj!V130/(1-tech_proj!V410))</f>
        <v/>
      </c>
      <c r="W2030" s="127" t="str">
        <f>IF(tech_base!$T6&gt;W$2025,"",fuel_costs!O$8*0.086/tech_proj!W130/(1-tech_proj!W410))</f>
        <v/>
      </c>
      <c r="X2030" s="127" t="str">
        <f>IF(tech_base!$T6&gt;X$2025,"",fuel_costs!P$8*0.086/tech_proj!X130/(1-tech_proj!X410))</f>
        <v/>
      </c>
      <c r="Y2030" s="127">
        <f>IF(tech_base!$T6&gt;Y$2025,"",fuel_costs!Q$8*0.086/tech_proj!Y130/(1-tech_proj!Y410))</f>
        <v>7.9387277328930574</v>
      </c>
      <c r="Z2030" s="127">
        <f>IF(tech_base!$T6&gt;Z$2025,"",fuel_costs!R$8*0.086/tech_proj!Z130/(1-tech_proj!Z410))</f>
        <v>7.9358732151512035</v>
      </c>
      <c r="AA2030" s="127">
        <f>IF(tech_base!$T6&gt;AA$2025,"",fuel_costs!S$8*0.086/tech_proj!AA130/(1-tech_proj!AA410))</f>
        <v>7.9327864727454873</v>
      </c>
      <c r="AB2030" s="127">
        <f>IF(tech_base!$T6&gt;AB$2025,"",fuel_costs!T$8*0.086/tech_proj!AB130/(1-tech_proj!AB410))</f>
        <v>7.9294554444212375</v>
      </c>
      <c r="AC2030" s="127">
        <f>IF(tech_base!$T6&gt;AC$2025,"",fuel_costs!U$8*0.086/tech_proj!AC130/(1-tech_proj!AC410))</f>
        <v>7.9258687568602451</v>
      </c>
      <c r="AD2030" s="127">
        <f>IF(tech_base!$T6&gt;AD$2025,"",fuel_costs!V$8*0.086/tech_proj!AD130/(1-tech_proj!AD410))</f>
        <v>7.9220160224457956</v>
      </c>
      <c r="AE2030" s="127">
        <f>IF(tech_base!$T6&gt;AE$2025,"",fuel_costs!W$8*0.086/tech_proj!AE130/(1-tech_proj!AE410))</f>
        <v>7.9178881704142432</v>
      </c>
      <c r="AF2030" s="127">
        <f>IF(tech_base!$T6&gt;AF$2025,"",fuel_costs!X$8*0.086/tech_proj!AF130/(1-tech_proj!AF410))</f>
        <v>7.9134778071897225</v>
      </c>
      <c r="AG2030" s="127">
        <f>IF(tech_base!$T6&gt;AG$2025,"",fuel_costs!Y$8*0.086/tech_proj!AG130/(1-tech_proj!AG410))</f>
        <v>7.9087795992055057</v>
      </c>
      <c r="AH2030" s="127">
        <f>IF(tech_base!$T6&gt;AH$2025,"",fuel_costs!Z$8*0.086/tech_proj!AH130/(1-tech_proj!AH410))</f>
        <v>7.9037906687223574</v>
      </c>
      <c r="AI2030" s="127">
        <f>IF(tech_base!$T6&gt;AI$2025,"",fuel_costs!AA$8*0.086/tech_proj!AI130/(1-tech_proj!AI410))</f>
        <v>7.8985109901892754</v>
      </c>
      <c r="AJ2030" s="127">
        <f>IF(tech_base!$T6&gt;AJ$2025,"",fuel_costs!AB$8*0.086/tech_proj!AJ130/(1-tech_proj!AJ410))</f>
        <v>7.8929437717449762</v>
      </c>
      <c r="AK2030" s="127">
        <f>IF(tech_base!$T6&gt;AK$2025,"",fuel_costs!AC$8*0.086/tech_proj!AK130/(1-tech_proj!AK410))</f>
        <v>7.8870958037824455</v>
      </c>
      <c r="AL2030" s="127">
        <f>IF(tech_base!$T6&gt;AL$2025,"",fuel_costs!AD$8*0.086/tech_proj!AL130/(1-tech_proj!AL410))</f>
        <v>7.8809777544000665</v>
      </c>
      <c r="AM2030" s="127">
        <f>IF(tech_base!$T6&gt;AM$2025,"",fuel_costs!AE$8*0.086/tech_proj!AM130/(1-tech_proj!AM410))</f>
        <v>7.8746043903824123</v>
      </c>
      <c r="AN2030" s="127">
        <f>IF(tech_base!$T6&gt;AN$2025,"",fuel_costs!AF$8*0.086/tech_proj!AN130/(1-tech_proj!AN410))</f>
        <v>7.8679947024339132</v>
      </c>
      <c r="AO2030" s="127">
        <f>IF(tech_base!$T6&gt;AO$2025,"",fuel_costs!AG$8*0.086/tech_proj!AO130/(1-tech_proj!AO410))</f>
        <v>7.8611719150297237</v>
      </c>
      <c r="AP2030" s="127">
        <f>IF(tech_base!$T6&gt;AP$2025,"",fuel_costs!AH$8*0.086/tech_proj!AP130/(1-tech_proj!AP410))</f>
        <v>7.8541633646552205</v>
      </c>
      <c r="AQ2030" s="127">
        <f>IF(tech_base!$T6&gt;AQ$2025,"",fuel_costs!AI$8*0.086/tech_proj!AQ130/(1-tech_proj!AQ410))</f>
        <v>7.8470002354357407</v>
      </c>
      <c r="AR2030" s="127">
        <f>IF(tech_base!$T6&gt;AR$2025,"",fuel_costs!AJ$8*0.086/tech_proj!AR130/(1-tech_proj!AR410))</f>
        <v>7.8397171480737269</v>
      </c>
      <c r="AS2030" s="127">
        <f>IF(tech_base!$T6&gt;AS$2025,"",fuel_costs!AK$8*0.086/tech_proj!AS130/(1-tech_proj!AS410))</f>
        <v>7.8323516062526846</v>
      </c>
      <c r="AT2030" s="127">
        <f>IF(tech_base!$T6&gt;AT$2025,"",fuel_costs!AL$8*0.086/tech_proj!AT130/(1-tech_proj!AT410))</f>
        <v>7.8249433136586548</v>
      </c>
      <c r="AU2030" s="127">
        <f>IF(tech_base!$T6&gt;AU$2025,"",fuel_costs!AM$8*0.086/tech_proj!AU130/(1-tech_proj!AU410))</f>
        <v>7.8175333837522567</v>
      </c>
      <c r="AV2030" s="127">
        <f>IF(tech_base!$T6&gt;AV$2025,"",fuel_costs!AN$8*0.086/tech_proj!AV130/(1-tech_proj!AV410))</f>
        <v>7.8101634725349847</v>
      </c>
      <c r="AW2030" s="127">
        <f>IF(tech_base!$T6&gt;AW$2025,"",fuel_costs!AO$8*0.086/tech_proj!AW130/(1-tech_proj!AW410))</f>
        <v>7.8028748709293909</v>
      </c>
      <c r="AX2030" s="128">
        <f>IF(tech_base!$T6&gt;AX$2025,"",fuel_costs!AP$8*0.086/tech_proj!AX130/(1-tech_proj!AX410))</f>
        <v>7.7957075972925214</v>
      </c>
    </row>
    <row r="2031" spans="1:52" x14ac:dyDescent="0.25">
      <c r="A2031" s="347"/>
      <c r="B2031" s="349" t="s">
        <v>11</v>
      </c>
      <c r="C2031" s="363" t="s">
        <v>6</v>
      </c>
      <c r="D2031" s="2" t="s">
        <v>7</v>
      </c>
      <c r="E2031" s="76" t="str">
        <f>A2026&amp;"/"&amp;B2031&amp;"/"&amp;C2031&amp;"/"&amp;D2031</f>
        <v>Nuclear power plants/Nuclear IV/Electricity only/L</v>
      </c>
      <c r="F2031" s="76" t="str">
        <f>A2026</f>
        <v>Nuclear power plants</v>
      </c>
      <c r="G2031" s="76" t="str">
        <f>B2031</f>
        <v>Nuclear IV</v>
      </c>
      <c r="H2031" s="76" t="str">
        <f>C2031</f>
        <v>Electricity only</v>
      </c>
      <c r="I2031" s="76" t="str">
        <f t="shared" si="387"/>
        <v>L</v>
      </c>
      <c r="J2031" s="119" t="str">
        <f>IF(tech_base!$T7&gt;J$2025,"",fuel_costs!B$8*0.086/tech_proj!J131/(1-tech_proj!J411))</f>
        <v/>
      </c>
      <c r="K2031" s="119" t="str">
        <f>IF(tech_base!$T7&gt;K$2025,"",fuel_costs!C$8*0.086/tech_proj!K131/(1-tech_proj!K411))</f>
        <v/>
      </c>
      <c r="L2031" s="119" t="str">
        <f>IF(tech_base!$T7&gt;L$2025,"",fuel_costs!D$8*0.086/tech_proj!L131/(1-tech_proj!L411))</f>
        <v/>
      </c>
      <c r="M2031" s="119" t="str">
        <f>IF(tech_base!$T7&gt;M$2025,"",fuel_costs!E$8*0.086/tech_proj!M131/(1-tech_proj!M411))</f>
        <v/>
      </c>
      <c r="N2031" s="119" t="str">
        <f>IF(tech_base!$T7&gt;N$2025,"",fuel_costs!F$8*0.086/tech_proj!N131/(1-tech_proj!N411))</f>
        <v/>
      </c>
      <c r="O2031" s="119" t="str">
        <f>IF(tech_base!$T7&gt;O$2025,"",fuel_costs!G$8*0.086/tech_proj!O131/(1-tech_proj!O411))</f>
        <v/>
      </c>
      <c r="P2031" s="119" t="str">
        <f>IF(tech_base!$T7&gt;P$2025,"",fuel_costs!H$8*0.086/tech_proj!P131/(1-tech_proj!P411))</f>
        <v/>
      </c>
      <c r="Q2031" s="119" t="str">
        <f>IF(tech_base!$T7&gt;Q$2025,"",fuel_costs!I$8*0.086/tech_proj!Q131/(1-tech_proj!Q411))</f>
        <v/>
      </c>
      <c r="R2031" s="119" t="str">
        <f>IF(tech_base!$T7&gt;R$2025,"",fuel_costs!J$8*0.086/tech_proj!R131/(1-tech_proj!R411))</f>
        <v/>
      </c>
      <c r="S2031" s="119" t="str">
        <f>IF(tech_base!$T7&gt;S$2025,"",fuel_costs!K$8*0.086/tech_proj!S131/(1-tech_proj!S411))</f>
        <v/>
      </c>
      <c r="T2031" s="119" t="str">
        <f>IF(tech_base!$T7&gt;T$2025,"",fuel_costs!L$8*0.086/tech_proj!T131/(1-tech_proj!T411))</f>
        <v/>
      </c>
      <c r="U2031" s="119" t="str">
        <f>IF(tech_base!$T7&gt;U$2025,"",fuel_costs!M$8*0.086/tech_proj!U131/(1-tech_proj!U411))</f>
        <v/>
      </c>
      <c r="V2031" s="119" t="str">
        <f>IF(tech_base!$T7&gt;V$2025,"",fuel_costs!N$8*0.086/tech_proj!V131/(1-tech_proj!V411))</f>
        <v/>
      </c>
      <c r="W2031" s="119" t="str">
        <f>IF(tech_base!$T7&gt;W$2025,"",fuel_costs!O$8*0.086/tech_proj!W131/(1-tech_proj!W411))</f>
        <v/>
      </c>
      <c r="X2031" s="119" t="str">
        <f>IF(tech_base!$T7&gt;X$2025,"",fuel_costs!P$8*0.086/tech_proj!X131/(1-tech_proj!X411))</f>
        <v/>
      </c>
      <c r="Y2031" s="119" t="str">
        <f>IF(tech_base!$T7&gt;Y$2025,"",fuel_costs!Q$8*0.086/tech_proj!Y131/(1-tech_proj!Y411))</f>
        <v/>
      </c>
      <c r="Z2031" s="119" t="str">
        <f>IF(tech_base!$T7&gt;Z$2025,"",fuel_costs!R$8*0.086/tech_proj!Z131/(1-tech_proj!Z411))</f>
        <v/>
      </c>
      <c r="AA2031" s="119" t="str">
        <f>IF(tech_base!$T7&gt;AA$2025,"",fuel_costs!S$8*0.086/tech_proj!AA131/(1-tech_proj!AA411))</f>
        <v/>
      </c>
      <c r="AB2031" s="119" t="str">
        <f>IF(tech_base!$T7&gt;AB$2025,"",fuel_costs!T$8*0.086/tech_proj!AB131/(1-tech_proj!AB411))</f>
        <v/>
      </c>
      <c r="AC2031" s="119" t="str">
        <f>IF(tech_base!$T7&gt;AC$2025,"",fuel_costs!U$8*0.086/tech_proj!AC131/(1-tech_proj!AC411))</f>
        <v/>
      </c>
      <c r="AD2031" s="119" t="str">
        <f>IF(tech_base!$T7&gt;AD$2025,"",fuel_costs!V$8*0.086/tech_proj!AD131/(1-tech_proj!AD411))</f>
        <v/>
      </c>
      <c r="AE2031" s="119" t="str">
        <f>IF(tech_base!$T7&gt;AE$2025,"",fuel_costs!W$8*0.086/tech_proj!AE131/(1-tech_proj!AE411))</f>
        <v/>
      </c>
      <c r="AF2031" s="119" t="str">
        <f>IF(tech_base!$T7&gt;AF$2025,"",fuel_costs!X$8*0.086/tech_proj!AF131/(1-tech_proj!AF411))</f>
        <v/>
      </c>
      <c r="AG2031" s="119" t="str">
        <f>IF(tech_base!$T7&gt;AG$2025,"",fuel_costs!Y$8*0.086/tech_proj!AG131/(1-tech_proj!AG411))</f>
        <v/>
      </c>
      <c r="AH2031" s="119" t="str">
        <f>IF(tech_base!$T7&gt;AH$2025,"",fuel_costs!Z$8*0.086/tech_proj!AH131/(1-tech_proj!AH411))</f>
        <v/>
      </c>
      <c r="AI2031" s="119">
        <f>IF(tech_base!$T7&gt;AI$2025,"",fuel_costs!AA$8*0.086/tech_proj!AI131/(1-tech_proj!AI411))</f>
        <v>7.3160661147618544</v>
      </c>
      <c r="AJ2031" s="119">
        <f>IF(tech_base!$T7&gt;AJ$2025,"",fuel_costs!AB$8*0.086/tech_proj!AJ131/(1-tech_proj!AJ411))</f>
        <v>7.3131361712930678</v>
      </c>
      <c r="AK2031" s="119">
        <f>IF(tech_base!$T7&gt;AK$2025,"",fuel_costs!AC$8*0.086/tech_proj!AK131/(1-tech_proj!AK411))</f>
        <v>7.3096090037393369</v>
      </c>
      <c r="AL2031" s="119">
        <f>IF(tech_base!$T7&gt;AL$2025,"",fuel_costs!AD$8*0.086/tech_proj!AL131/(1-tech_proj!AL411))</f>
        <v>7.3053762325680669</v>
      </c>
      <c r="AM2031" s="119">
        <f>IF(tech_base!$T7&gt;AM$2025,"",fuel_costs!AE$8*0.086/tech_proj!AM131/(1-tech_proj!AM411))</f>
        <v>7.3003160689307229</v>
      </c>
      <c r="AN2031" s="119">
        <f>IF(tech_base!$T7&gt;AN$2025,"",fuel_costs!AF$8*0.086/tech_proj!AN131/(1-tech_proj!AN411))</f>
        <v>7.2942946879492272</v>
      </c>
      <c r="AO2031" s="119">
        <f>IF(tech_base!$T7&gt;AO$2025,"",fuel_costs!AG$8*0.086/tech_proj!AO131/(1-tech_proj!AO411))</f>
        <v>7.287169415917214</v>
      </c>
      <c r="AP2031" s="119">
        <f>IF(tech_base!$T7&gt;AP$2025,"",fuel_costs!AH$8*0.086/tech_proj!AP131/(1-tech_proj!AP411))</f>
        <v>7.2787944543646983</v>
      </c>
      <c r="AQ2031" s="119">
        <f>IF(tech_base!$T7&gt;AQ$2025,"",fuel_costs!AI$8*0.086/tech_proj!AQ131/(1-tech_proj!AQ411))</f>
        <v>7.2690299330161796</v>
      </c>
      <c r="AR2031" s="119">
        <f>IF(tech_base!$T7&gt;AR$2025,"",fuel_costs!AJ$8*0.086/tech_proj!AR131/(1-tech_proj!AR411))</f>
        <v>7.2577550127609332</v>
      </c>
      <c r="AS2031" s="119">
        <f>IF(tech_base!$T7&gt;AS$2025,"",fuel_costs!AK$8*0.086/tech_proj!AS131/(1-tech_proj!AS411))</f>
        <v>7.2448854309383153</v>
      </c>
      <c r="AT2031" s="119">
        <f>IF(tech_base!$T7&gt;AT$2025,"",fuel_costs!AL$8*0.086/tech_proj!AT131/(1-tech_proj!AT411))</f>
        <v>7.2303951523712513</v>
      </c>
      <c r="AU2031" s="119">
        <f>IF(tech_base!$T7&gt;AU$2025,"",fuel_costs!AM$8*0.086/tech_proj!AU131/(1-tech_proj!AU411))</f>
        <v>7.2143405411754689</v>
      </c>
      <c r="AV2031" s="119">
        <f>IF(tech_base!$T7&gt;AV$2025,"",fuel_costs!AN$8*0.086/tech_proj!AV131/(1-tech_proj!AV411))</f>
        <v>7.1968837033548994</v>
      </c>
      <c r="AW2031" s="119">
        <f>IF(tech_base!$T7&gt;AW$2025,"",fuel_costs!AO$8*0.086/tech_proj!AW131/(1-tech_proj!AW411))</f>
        <v>7.178309646713922</v>
      </c>
      <c r="AX2031" s="120">
        <f>IF(tech_base!$T7&gt;AX$2025,"",fuel_costs!AP$8*0.086/tech_proj!AX131/(1-tech_proj!AX411))</f>
        <v>7.1590303671532665</v>
      </c>
    </row>
    <row r="2032" spans="1:52" x14ac:dyDescent="0.25">
      <c r="A2032" s="348"/>
      <c r="B2032" s="352"/>
      <c r="C2032" s="364"/>
      <c r="D2032" s="4" t="s">
        <v>8</v>
      </c>
      <c r="E2032" s="76" t="str">
        <f>A2026&amp;"/"&amp;B2031&amp;"/"&amp;C2031&amp;"/"&amp;D2032</f>
        <v>Nuclear power plants/Nuclear IV/Electricity only/M</v>
      </c>
      <c r="F2032" s="76" t="str">
        <f>A2026</f>
        <v>Nuclear power plants</v>
      </c>
      <c r="G2032" s="76" t="str">
        <f>B2031</f>
        <v>Nuclear IV</v>
      </c>
      <c r="H2032" s="76" t="str">
        <f>C2031</f>
        <v>Electricity only</v>
      </c>
      <c r="I2032" s="76" t="str">
        <f t="shared" si="387"/>
        <v>M</v>
      </c>
      <c r="J2032" s="119" t="str">
        <f>IF(tech_base!$T8&gt;J$2025,"",fuel_costs!B$8*0.086/tech_proj!J132/(1-tech_proj!J412))</f>
        <v/>
      </c>
      <c r="K2032" s="119" t="str">
        <f>IF(tech_base!$T8&gt;K$2025,"",fuel_costs!C$8*0.086/tech_proj!K132/(1-tech_proj!K412))</f>
        <v/>
      </c>
      <c r="L2032" s="119" t="str">
        <f>IF(tech_base!$T8&gt;L$2025,"",fuel_costs!D$8*0.086/tech_proj!L132/(1-tech_proj!L412))</f>
        <v/>
      </c>
      <c r="M2032" s="119" t="str">
        <f>IF(tech_base!$T8&gt;M$2025,"",fuel_costs!E$8*0.086/tech_proj!M132/(1-tech_proj!M412))</f>
        <v/>
      </c>
      <c r="N2032" s="119" t="str">
        <f>IF(tech_base!$T8&gt;N$2025,"",fuel_costs!F$8*0.086/tech_proj!N132/(1-tech_proj!N412))</f>
        <v/>
      </c>
      <c r="O2032" s="119" t="str">
        <f>IF(tech_base!$T8&gt;O$2025,"",fuel_costs!G$8*0.086/tech_proj!O132/(1-tech_proj!O412))</f>
        <v/>
      </c>
      <c r="P2032" s="119" t="str">
        <f>IF(tech_base!$T8&gt;P$2025,"",fuel_costs!H$8*0.086/tech_proj!P132/(1-tech_proj!P412))</f>
        <v/>
      </c>
      <c r="Q2032" s="119" t="str">
        <f>IF(tech_base!$T8&gt;Q$2025,"",fuel_costs!I$8*0.086/tech_proj!Q132/(1-tech_proj!Q412))</f>
        <v/>
      </c>
      <c r="R2032" s="119" t="str">
        <f>IF(tech_base!$T8&gt;R$2025,"",fuel_costs!J$8*0.086/tech_proj!R132/(1-tech_proj!R412))</f>
        <v/>
      </c>
      <c r="S2032" s="119" t="str">
        <f>IF(tech_base!$T8&gt;S$2025,"",fuel_costs!K$8*0.086/tech_proj!S132/(1-tech_proj!S412))</f>
        <v/>
      </c>
      <c r="T2032" s="119" t="str">
        <f>IF(tech_base!$T8&gt;T$2025,"",fuel_costs!L$8*0.086/tech_proj!T132/(1-tech_proj!T412))</f>
        <v/>
      </c>
      <c r="U2032" s="119" t="str">
        <f>IF(tech_base!$T8&gt;U$2025,"",fuel_costs!M$8*0.086/tech_proj!U132/(1-tech_proj!U412))</f>
        <v/>
      </c>
      <c r="V2032" s="119" t="str">
        <f>IF(tech_base!$T8&gt;V$2025,"",fuel_costs!N$8*0.086/tech_proj!V132/(1-tech_proj!V412))</f>
        <v/>
      </c>
      <c r="W2032" s="119" t="str">
        <f>IF(tech_base!$T8&gt;W$2025,"",fuel_costs!O$8*0.086/tech_proj!W132/(1-tech_proj!W412))</f>
        <v/>
      </c>
      <c r="X2032" s="119" t="str">
        <f>IF(tech_base!$T8&gt;X$2025,"",fuel_costs!P$8*0.086/tech_proj!X132/(1-tech_proj!X412))</f>
        <v/>
      </c>
      <c r="Y2032" s="119" t="str">
        <f>IF(tech_base!$T8&gt;Y$2025,"",fuel_costs!Q$8*0.086/tech_proj!Y132/(1-tech_proj!Y412))</f>
        <v/>
      </c>
      <c r="Z2032" s="119" t="str">
        <f>IF(tech_base!$T8&gt;Z$2025,"",fuel_costs!R$8*0.086/tech_proj!Z132/(1-tech_proj!Z412))</f>
        <v/>
      </c>
      <c r="AA2032" s="119" t="str">
        <f>IF(tech_base!$T8&gt;AA$2025,"",fuel_costs!S$8*0.086/tech_proj!AA132/(1-tech_proj!AA412))</f>
        <v/>
      </c>
      <c r="AB2032" s="119" t="str">
        <f>IF(tech_base!$T8&gt;AB$2025,"",fuel_costs!T$8*0.086/tech_proj!AB132/(1-tech_proj!AB412))</f>
        <v/>
      </c>
      <c r="AC2032" s="119" t="str">
        <f>IF(tech_base!$T8&gt;AC$2025,"",fuel_costs!U$8*0.086/tech_proj!AC132/(1-tech_proj!AC412))</f>
        <v/>
      </c>
      <c r="AD2032" s="119" t="str">
        <f>IF(tech_base!$T8&gt;AD$2025,"",fuel_costs!V$8*0.086/tech_proj!AD132/(1-tech_proj!AD412))</f>
        <v/>
      </c>
      <c r="AE2032" s="119" t="str">
        <f>IF(tech_base!$T8&gt;AE$2025,"",fuel_costs!W$8*0.086/tech_proj!AE132/(1-tech_proj!AE412))</f>
        <v/>
      </c>
      <c r="AF2032" s="119" t="str">
        <f>IF(tech_base!$T8&gt;AF$2025,"",fuel_costs!X$8*0.086/tech_proj!AF132/(1-tech_proj!AF412))</f>
        <v/>
      </c>
      <c r="AG2032" s="119" t="str">
        <f>IF(tech_base!$T8&gt;AG$2025,"",fuel_costs!Y$8*0.086/tech_proj!AG132/(1-tech_proj!AG412))</f>
        <v/>
      </c>
      <c r="AH2032" s="119" t="str">
        <f>IF(tech_base!$T8&gt;AH$2025,"",fuel_costs!Z$8*0.086/tech_proj!AH132/(1-tech_proj!AH412))</f>
        <v/>
      </c>
      <c r="AI2032" s="119">
        <f>IF(tech_base!$T8&gt;AI$2025,"",fuel_costs!AA$8*0.086/tech_proj!AI132/(1-tech_proj!AI412))</f>
        <v>7.4658587528736291</v>
      </c>
      <c r="AJ2032" s="119">
        <f>IF(tech_base!$T8&gt;AJ$2025,"",fuel_costs!AB$8*0.086/tech_proj!AJ132/(1-tech_proj!AJ412))</f>
        <v>7.4648589783283157</v>
      </c>
      <c r="AK2032" s="119">
        <f>IF(tech_base!$T8&gt;AK$2025,"",fuel_costs!AC$8*0.086/tech_proj!AK132/(1-tech_proj!AK412))</f>
        <v>7.4635816715350929</v>
      </c>
      <c r="AL2032" s="119">
        <f>IF(tech_base!$T8&gt;AL$2025,"",fuel_costs!AD$8*0.086/tech_proj!AL132/(1-tech_proj!AL412))</f>
        <v>7.4619521016931483</v>
      </c>
      <c r="AM2032" s="119">
        <f>IF(tech_base!$T8&gt;AM$2025,"",fuel_costs!AE$8*0.086/tech_proj!AM132/(1-tech_proj!AM412))</f>
        <v>7.4598768867495577</v>
      </c>
      <c r="AN2032" s="119">
        <f>IF(tech_base!$T8&gt;AN$2025,"",fuel_costs!AF$8*0.086/tech_proj!AN132/(1-tech_proj!AN412))</f>
        <v>7.4572402762310395</v>
      </c>
      <c r="AO2032" s="119">
        <f>IF(tech_base!$T8&gt;AO$2025,"",fuel_costs!AG$8*0.086/tech_proj!AO132/(1-tech_proj!AO412))</f>
        <v>7.4539003075860908</v>
      </c>
      <c r="AP2032" s="119">
        <f>IF(tech_base!$T8&gt;AP$2025,"",fuel_costs!AH$8*0.086/tech_proj!AP132/(1-tech_proj!AP412))</f>
        <v>7.4496853029451318</v>
      </c>
      <c r="AQ2032" s="119">
        <f>IF(tech_base!$T8&gt;AQ$2025,"",fuel_costs!AI$8*0.086/tech_proj!AQ132/(1-tech_proj!AQ412))</f>
        <v>7.44439153173193</v>
      </c>
      <c r="AR2032" s="119">
        <f>IF(tech_base!$T8&gt;AR$2025,"",fuel_costs!AJ$8*0.086/tech_proj!AR132/(1-tech_proj!AR412))</f>
        <v>7.4377833773687634</v>
      </c>
      <c r="AS2032" s="119">
        <f>IF(tech_base!$T8&gt;AS$2025,"",fuel_costs!AK$8*0.086/tech_proj!AS132/(1-tech_proj!AS412))</f>
        <v>7.4295980130475554</v>
      </c>
      <c r="AT2032" s="119">
        <f>IF(tech_base!$T8&gt;AT$2025,"",fuel_costs!AL$8*0.086/tech_proj!AT132/(1-tech_proj!AT412))</f>
        <v>7.4195573333900304</v>
      </c>
      <c r="AU2032" s="119">
        <f>IF(tech_base!$T8&gt;AU$2025,"",fuel_costs!AM$8*0.086/tech_proj!AU132/(1-tech_proj!AU412))</f>
        <v>7.4073904670225552</v>
      </c>
      <c r="AV2032" s="119">
        <f>IF(tech_base!$T8&gt;AV$2025,"",fuel_costs!AN$8*0.086/tech_proj!AV132/(1-tech_proj!AV412))</f>
        <v>7.3928701052776411</v>
      </c>
      <c r="AW2032" s="119">
        <f>IF(tech_base!$T8&gt;AW$2025,"",fuel_costs!AO$8*0.086/tech_proj!AW132/(1-tech_proj!AW412))</f>
        <v>7.3758642828291086</v>
      </c>
      <c r="AX2032" s="120">
        <f>IF(tech_base!$T8&gt;AX$2025,"",fuel_costs!AP$8*0.086/tech_proj!AX132/(1-tech_proj!AX412))</f>
        <v>7.3564010765500072</v>
      </c>
    </row>
    <row r="2033" spans="1:50" x14ac:dyDescent="0.25">
      <c r="A2033" s="355" t="s">
        <v>12</v>
      </c>
      <c r="B2033" s="358" t="s">
        <v>13</v>
      </c>
      <c r="C2033" s="353" t="s">
        <v>6</v>
      </c>
      <c r="D2033" s="3" t="s">
        <v>7</v>
      </c>
      <c r="E2033" s="77" t="str">
        <f>A2033&amp;"/"&amp;B2033&amp;"/"&amp;C2033&amp;"/"&amp;D2033</f>
        <v>Coal fired power plants/Integrated gasification combined cycle/Electricity only/L</v>
      </c>
      <c r="F2033" s="77" t="str">
        <f>A2033</f>
        <v>Coal fired power plants</v>
      </c>
      <c r="G2033" s="77" t="str">
        <f>B2033</f>
        <v>Integrated gasification combined cycle</v>
      </c>
      <c r="H2033" s="77" t="str">
        <f>C2033</f>
        <v>Electricity only</v>
      </c>
      <c r="I2033" s="77" t="str">
        <f t="shared" si="387"/>
        <v>L</v>
      </c>
      <c r="J2033" s="121">
        <f>IF(tech_base!$T9&gt;J$2025,"",fuel_costs!B$9*0.086/tech_proj!J133/(1-tech_proj!J413))</f>
        <v>25.135915855869435</v>
      </c>
      <c r="K2033" s="121">
        <f>IF(tech_base!$T9&gt;K$2025,"",fuel_costs!C$9*0.086/tech_proj!K133/(1-tech_proj!K413))</f>
        <v>31.387290547422719</v>
      </c>
      <c r="L2033" s="121">
        <f>IF(tech_base!$T9&gt;L$2025,"",fuel_costs!D$9*0.086/tech_proj!L133/(1-tech_proj!L413))</f>
        <v>26.701742014108511</v>
      </c>
      <c r="M2033" s="121">
        <f>IF(tech_base!$T9&gt;M$2025,"",fuel_costs!E$9*0.086/tech_proj!M133/(1-tech_proj!M413))</f>
        <v>24.101309817694865</v>
      </c>
      <c r="N2033" s="121">
        <f>IF(tech_base!$T9&gt;N$2025,"",fuel_costs!F$9*0.086/tech_proj!N133/(1-tech_proj!N413))</f>
        <v>23.137352277815712</v>
      </c>
      <c r="O2033" s="121">
        <f>IF(tech_base!$T9&gt;O$2025,"",fuel_costs!G$9*0.086/tech_proj!O133/(1-tech_proj!O413))</f>
        <v>21.742432459123698</v>
      </c>
      <c r="P2033" s="121">
        <f>IF(tech_base!$T9&gt;P$2025,"",fuel_costs!H$9*0.086/tech_proj!P133/(1-tech_proj!P413))</f>
        <v>22.9718079820599</v>
      </c>
      <c r="Q2033" s="121">
        <f>IF(tech_base!$T9&gt;Q$2025,"",fuel_costs!I$9*0.086/tech_proj!Q133/(1-tech_proj!Q413))</f>
        <v>29.211905675542312</v>
      </c>
      <c r="R2033" s="121">
        <f>IF(tech_base!$T9&gt;R$2025,"",fuel_costs!J$9*0.086/tech_proj!R133/(1-tech_proj!R413))</f>
        <v>29.379337614420063</v>
      </c>
      <c r="S2033" s="121">
        <f>IF(tech_base!$T9&gt;S$2025,"",fuel_costs!K$9*0.086/tech_proj!S133/(1-tech_proj!S413))</f>
        <v>29.545039085389327</v>
      </c>
      <c r="T2033" s="121">
        <f>IF(tech_base!$T9&gt;T$2025,"",fuel_costs!L$9*0.086/tech_proj!T133/(1-tech_proj!T413))</f>
        <v>29.709012414651273</v>
      </c>
      <c r="U2033" s="121">
        <f>IF(tech_base!$T9&gt;U$2025,"",fuel_costs!M$9*0.086/tech_proj!U133/(1-tech_proj!U413))</f>
        <v>30.38295203189881</v>
      </c>
      <c r="V2033" s="121">
        <f>IF(tech_base!$T9&gt;V$2025,"",fuel_costs!N$9*0.086/tech_proj!V133/(1-tech_proj!V413))</f>
        <v>30.404743548079921</v>
      </c>
      <c r="W2033" s="121">
        <f>IF(tech_base!$T9&gt;W$2025,"",fuel_costs!O$9*0.086/tech_proj!W133/(1-tech_proj!W413))</f>
        <v>30.384994651857149</v>
      </c>
      <c r="X2033" s="121">
        <f>IF(tech_base!$T9&gt;X$2025,"",fuel_costs!P$9*0.086/tech_proj!X133/(1-tech_proj!X413))</f>
        <v>30.562294222762375</v>
      </c>
      <c r="Y2033" s="121">
        <f>IF(tech_base!$T9&gt;Y$2025,"",fuel_costs!Q$9*0.086/tech_proj!Y133/(1-tech_proj!Y413))</f>
        <v>30.770399110777742</v>
      </c>
      <c r="Z2033" s="121">
        <f>IF(tech_base!$T9&gt;Z$2025,"",fuel_costs!R$9*0.086/tech_proj!Z133/(1-tech_proj!Z413))</f>
        <v>31.744135514978428</v>
      </c>
      <c r="AA2033" s="121">
        <f>IF(tech_base!$T9&gt;AA$2025,"",fuel_costs!S$9*0.086/tech_proj!AA133/(1-tech_proj!AA413))</f>
        <v>32.715380365690763</v>
      </c>
      <c r="AB2033" s="121">
        <f>IF(tech_base!$T9&gt;AB$2025,"",fuel_costs!T$9*0.086/tech_proj!AB133/(1-tech_proj!AB413))</f>
        <v>33.718921713084171</v>
      </c>
      <c r="AC2033" s="121">
        <f>IF(tech_base!$T9&gt;AC$2025,"",fuel_costs!U$9*0.086/tech_proj!AC133/(1-tech_proj!AC413))</f>
        <v>34.729914512160121</v>
      </c>
      <c r="AD2033" s="121">
        <f>IF(tech_base!$T9&gt;AD$2025,"",fuel_costs!V$9*0.086/tech_proj!AD133/(1-tech_proj!AD413))</f>
        <v>35.835791319754179</v>
      </c>
      <c r="AE2033" s="121">
        <f>IF(tech_base!$T9&gt;AE$2025,"",fuel_costs!W$9*0.086/tech_proj!AE133/(1-tech_proj!AE413))</f>
        <v>36.143753123276888</v>
      </c>
      <c r="AF2033" s="121">
        <f>IF(tech_base!$T9&gt;AF$2025,"",fuel_costs!X$9*0.086/tech_proj!AF133/(1-tech_proj!AF413))</f>
        <v>36.562004550279958</v>
      </c>
      <c r="AG2033" s="121">
        <f>IF(tech_base!$T9&gt;AG$2025,"",fuel_costs!Y$9*0.086/tech_proj!AG133/(1-tech_proj!AG413))</f>
        <v>36.99444712573456</v>
      </c>
      <c r="AH2033" s="121">
        <f>IF(tech_base!$T9&gt;AH$2025,"",fuel_costs!Z$9*0.086/tech_proj!AH133/(1-tech_proj!AH413))</f>
        <v>37.388664954664783</v>
      </c>
      <c r="AI2033" s="121">
        <f>IF(tech_base!$T9&gt;AI$2025,"",fuel_costs!AA$9*0.086/tech_proj!AI133/(1-tech_proj!AI413))</f>
        <v>37.734746337965177</v>
      </c>
      <c r="AJ2033" s="121">
        <f>IF(tech_base!$T9&gt;AJ$2025,"",fuel_costs!AB$9*0.086/tech_proj!AJ133/(1-tech_proj!AJ413))</f>
        <v>37.959222893985483</v>
      </c>
      <c r="AK2033" s="121">
        <f>IF(tech_base!$T9&gt;AK$2025,"",fuel_costs!AC$9*0.086/tech_proj!AK133/(1-tech_proj!AK413))</f>
        <v>38.220660223416871</v>
      </c>
      <c r="AL2033" s="121">
        <f>IF(tech_base!$T9&gt;AL$2025,"",fuel_costs!AD$9*0.086/tech_proj!AL133/(1-tech_proj!AL413))</f>
        <v>38.502702378896998</v>
      </c>
      <c r="AM2033" s="121">
        <f>IF(tech_base!$T9&gt;AM$2025,"",fuel_costs!AE$9*0.086/tech_proj!AM133/(1-tech_proj!AM413))</f>
        <v>38.795853992772685</v>
      </c>
      <c r="AN2033" s="121">
        <f>IF(tech_base!$T9&gt;AN$2025,"",fuel_costs!AF$9*0.086/tech_proj!AN133/(1-tech_proj!AN413))</f>
        <v>38.979048551385546</v>
      </c>
      <c r="AO2033" s="121">
        <f>IF(tech_base!$T9&gt;AO$2025,"",fuel_costs!AG$9*0.086/tech_proj!AO133/(1-tech_proj!AO413))</f>
        <v>39.131735728076436</v>
      </c>
      <c r="AP2033" s="121">
        <f>IF(tech_base!$T9&gt;AP$2025,"",fuel_costs!AH$9*0.086/tech_proj!AP133/(1-tech_proj!AP413))</f>
        <v>39.250819855967471</v>
      </c>
      <c r="AQ2033" s="121">
        <f>IF(tech_base!$T9&gt;AQ$2025,"",fuel_costs!AI$9*0.086/tech_proj!AQ133/(1-tech_proj!AQ413))</f>
        <v>39.337926477679808</v>
      </c>
      <c r="AR2033" s="121">
        <f>IF(tech_base!$T9&gt;AR$2025,"",fuel_costs!AJ$9*0.086/tech_proj!AR133/(1-tech_proj!AR413))</f>
        <v>39.421110731554521</v>
      </c>
      <c r="AS2033" s="121">
        <f>IF(tech_base!$T9&gt;AS$2025,"",fuel_costs!AK$9*0.086/tech_proj!AS133/(1-tech_proj!AS413))</f>
        <v>39.479900953332873</v>
      </c>
      <c r="AT2033" s="121">
        <f>IF(tech_base!$T9&gt;AT$2025,"",fuel_costs!AL$9*0.086/tech_proj!AT133/(1-tech_proj!AT413))</f>
        <v>39.401611306828308</v>
      </c>
      <c r="AU2033" s="121">
        <f>IF(tech_base!$T9&gt;AU$2025,"",fuel_costs!AM$9*0.086/tech_proj!AU133/(1-tech_proj!AU413))</f>
        <v>39.395764486393162</v>
      </c>
      <c r="AV2033" s="121">
        <f>IF(tech_base!$T9&gt;AV$2025,"",fuel_costs!AN$9*0.086/tech_proj!AV133/(1-tech_proj!AV413))</f>
        <v>39.329633889165478</v>
      </c>
      <c r="AW2033" s="121">
        <f>IF(tech_base!$T9&gt;AW$2025,"",fuel_costs!AO$9*0.086/tech_proj!AW133/(1-tech_proj!AW413))</f>
        <v>39.239560372049468</v>
      </c>
      <c r="AX2033" s="122">
        <f>IF(tech_base!$T9&gt;AX$2025,"",fuel_costs!AP$9*0.086/tech_proj!AX133/(1-tech_proj!AX413))</f>
        <v>39.230930206879137</v>
      </c>
    </row>
    <row r="2034" spans="1:50" x14ac:dyDescent="0.25">
      <c r="A2034" s="356"/>
      <c r="B2034" s="359"/>
      <c r="C2034" s="360"/>
      <c r="D2034" s="2" t="s">
        <v>8</v>
      </c>
      <c r="E2034" s="76" t="str">
        <f>A2033&amp;"/"&amp;B2033&amp;"/"&amp;C2033&amp;"/"&amp;D2034</f>
        <v>Coal fired power plants/Integrated gasification combined cycle/Electricity only/M</v>
      </c>
      <c r="F2034" s="76" t="str">
        <f>A2033</f>
        <v>Coal fired power plants</v>
      </c>
      <c r="G2034" s="76" t="str">
        <f>B2033</f>
        <v>Integrated gasification combined cycle</v>
      </c>
      <c r="H2034" s="76" t="str">
        <f>C2033</f>
        <v>Electricity only</v>
      </c>
      <c r="I2034" s="76" t="str">
        <f t="shared" si="387"/>
        <v>M</v>
      </c>
      <c r="J2034" s="119">
        <f>IF(tech_base!$T10&gt;J$2025,"",fuel_costs!B$9*0.086/tech_proj!J134/(1-tech_proj!J414))</f>
        <v>26.477213393535891</v>
      </c>
      <c r="K2034" s="119">
        <f>IF(tech_base!$T10&gt;K$2025,"",fuel_costs!C$9*0.086/tech_proj!K134/(1-tech_proj!K414))</f>
        <v>33.061833909101352</v>
      </c>
      <c r="L2034" s="119">
        <f>IF(tech_base!$T10&gt;L$2025,"",fuel_costs!D$9*0.086/tech_proj!L134/(1-tech_proj!L414))</f>
        <v>28.125959037866405</v>
      </c>
      <c r="M2034" s="119">
        <f>IF(tech_base!$T10&gt;M$2025,"",fuel_costs!E$9*0.086/tech_proj!M134/(1-tech_proj!M414))</f>
        <v>25.386446826393762</v>
      </c>
      <c r="N2034" s="119">
        <f>IF(tech_base!$T10&gt;N$2025,"",fuel_costs!F$9*0.086/tech_proj!N134/(1-tech_proj!N414))</f>
        <v>24.370651623758345</v>
      </c>
      <c r="O2034" s="119">
        <f>IF(tech_base!$T10&gt;O$2025,"",fuel_costs!G$9*0.086/tech_proj!O134/(1-tech_proj!O414))</f>
        <v>22.9008835419849</v>
      </c>
      <c r="P2034" s="119">
        <f>IF(tech_base!$T10&gt;P$2025,"",fuel_costs!H$9*0.086/tech_proj!P134/(1-tech_proj!P414))</f>
        <v>24.195133388725829</v>
      </c>
      <c r="Q2034" s="119">
        <f>IF(tech_base!$T10&gt;Q$2025,"",fuel_costs!I$9*0.086/tech_proj!Q134/(1-tech_proj!Q414))</f>
        <v>30.766579148203739</v>
      </c>
      <c r="R2034" s="119">
        <f>IF(tech_base!$T10&gt;R$2025,"",fuel_costs!J$9*0.086/tech_proj!R134/(1-tech_proj!R414))</f>
        <v>30.941767013289208</v>
      </c>
      <c r="S2034" s="119">
        <f>IF(tech_base!$T10&gt;S$2025,"",fuel_costs!K$9*0.086/tech_proj!S134/(1-tech_proj!S414))</f>
        <v>31.114890529847891</v>
      </c>
      <c r="T2034" s="119">
        <f>IF(tech_base!$T10&gt;T$2025,"",fuel_costs!L$9*0.086/tech_proj!T134/(1-tech_proj!T414))</f>
        <v>31.285905946352596</v>
      </c>
      <c r="U2034" s="119">
        <f>IF(tech_base!$T10&gt;U$2025,"",fuel_costs!M$9*0.086/tech_proj!U134/(1-tech_proj!U414))</f>
        <v>31.99357900997202</v>
      </c>
      <c r="V2034" s="119">
        <f>IF(tech_base!$T10&gt;V$2025,"",fuel_costs!N$9*0.086/tech_proj!V134/(1-tech_proj!V414))</f>
        <v>32.014097969720993</v>
      </c>
      <c r="W2034" s="119">
        <f>IF(tech_base!$T10&gt;W$2025,"",fuel_costs!O$9*0.086/tech_proj!W134/(1-tech_proj!W414))</f>
        <v>31.990422103791357</v>
      </c>
      <c r="X2034" s="119">
        <f>IF(tech_base!$T10&gt;X$2025,"",fuel_costs!P$9*0.086/tech_proj!X134/(1-tech_proj!X414))</f>
        <v>32.173655809667345</v>
      </c>
      <c r="Y2034" s="119">
        <f>IF(tech_base!$T10&gt;Y$2025,"",fuel_costs!Q$9*0.086/tech_proj!Y134/(1-tech_proj!Y414))</f>
        <v>32.388649347840705</v>
      </c>
      <c r="Z2034" s="119">
        <f>IF(tech_base!$T10&gt;Z$2025,"",fuel_costs!R$9*0.086/tech_proj!Z134/(1-tech_proj!Z414))</f>
        <v>33.408636494491653</v>
      </c>
      <c r="AA2034" s="119">
        <f>IF(tech_base!$T10&gt;AA$2025,"",fuel_costs!S$9*0.086/tech_proj!AA134/(1-tech_proj!AA414))</f>
        <v>34.424815261679228</v>
      </c>
      <c r="AB2034" s="119">
        <f>IF(tech_base!$T10&gt;AB$2025,"",fuel_costs!T$9*0.086/tech_proj!AB134/(1-tech_proj!AB414))</f>
        <v>35.473582492004667</v>
      </c>
      <c r="AC2034" s="119">
        <f>IF(tech_base!$T10&gt;AC$2025,"",fuel_costs!U$9*0.086/tech_proj!AC134/(1-tech_proj!AC414))</f>
        <v>36.528560611619874</v>
      </c>
      <c r="AD2034" s="119">
        <f>IF(tech_base!$T10&gt;AD$2025,"",fuel_costs!V$9*0.086/tech_proj!AD134/(1-tech_proj!AD414))</f>
        <v>37.681439957414369</v>
      </c>
      <c r="AE2034" s="119">
        <f>IF(tech_base!$T10&gt;AE$2025,"",fuel_costs!W$9*0.086/tech_proj!AE134/(1-tech_proj!AE414))</f>
        <v>37.993395585318446</v>
      </c>
      <c r="AF2034" s="119">
        <f>IF(tech_base!$T10&gt;AF$2025,"",fuel_costs!X$9*0.086/tech_proj!AF134/(1-tech_proj!AF414))</f>
        <v>38.419418238611627</v>
      </c>
      <c r="AG2034" s="119">
        <f>IF(tech_base!$T10&gt;AG$2025,"",fuel_costs!Y$9*0.086/tech_proj!AG134/(1-tech_proj!AG414))</f>
        <v>38.858329655581962</v>
      </c>
      <c r="AH2034" s="119">
        <f>IF(tech_base!$T10&gt;AH$2025,"",fuel_costs!Z$9*0.086/tech_proj!AH134/(1-tech_proj!AH414))</f>
        <v>39.255031852944626</v>
      </c>
      <c r="AI2034" s="119">
        <f>IF(tech_base!$T10&gt;AI$2025,"",fuel_costs!AA$9*0.086/tech_proj!AI134/(1-tech_proj!AI414))</f>
        <v>39.59924029435571</v>
      </c>
      <c r="AJ2034" s="119">
        <f>IF(tech_base!$T10&gt;AJ$2025,"",fuel_costs!AB$9*0.086/tech_proj!AJ134/(1-tech_proj!AJ414))</f>
        <v>39.814190906192877</v>
      </c>
      <c r="AK2034" s="119">
        <f>IF(tech_base!$T10&gt;AK$2025,"",fuel_costs!AC$9*0.086/tech_proj!AK134/(1-tech_proj!AK414))</f>
        <v>40.066739585990994</v>
      </c>
      <c r="AL2034" s="119">
        <f>IF(tech_base!$T10&gt;AL$2025,"",fuel_costs!AD$9*0.086/tech_proj!AL134/(1-tech_proj!AL414))</f>
        <v>40.340368447037037</v>
      </c>
      <c r="AM2034" s="119">
        <f>IF(tech_base!$T10&gt;AM$2025,"",fuel_costs!AE$9*0.086/tech_proj!AM134/(1-tech_proj!AM414))</f>
        <v>40.626068949824273</v>
      </c>
      <c r="AN2034" s="119">
        <f>IF(tech_base!$T10&gt;AN$2025,"",fuel_costs!AF$9*0.086/tech_proj!AN134/(1-tech_proj!AN414))</f>
        <v>40.7983755799414</v>
      </c>
      <c r="AO2034" s="119">
        <f>IF(tech_base!$T10&gt;AO$2025,"",fuel_costs!AG$9*0.086/tech_proj!AO134/(1-tech_proj!AO414))</f>
        <v>40.942070958554979</v>
      </c>
      <c r="AP2034" s="119">
        <f>IF(tech_base!$T10&gt;AP$2025,"",fuel_costs!AH$9*0.086/tech_proj!AP134/(1-tech_proj!AP414))</f>
        <v>41.055534466063406</v>
      </c>
      <c r="AQ2034" s="119">
        <f>IF(tech_base!$T10&gt;AQ$2025,"",fuel_costs!AI$9*0.086/tech_proj!AQ134/(1-tech_proj!AQ414))</f>
        <v>41.141890406042734</v>
      </c>
      <c r="AR2034" s="119">
        <f>IF(tech_base!$T10&gt;AR$2025,"",fuel_costs!AJ$9*0.086/tech_proj!AR134/(1-tech_proj!AR414))</f>
        <v>41.231317039475158</v>
      </c>
      <c r="AS2034" s="119">
        <f>IF(tech_base!$T10&gt;AS$2025,"",fuel_costs!AK$9*0.086/tech_proj!AS134/(1-tech_proj!AS414))</f>
        <v>41.302198349665481</v>
      </c>
      <c r="AT2034" s="119">
        <f>IF(tech_base!$T10&gt;AT$2025,"",fuel_costs!AL$9*0.086/tech_proj!AT134/(1-tech_proj!AT414))</f>
        <v>41.234931339048238</v>
      </c>
      <c r="AU2034" s="119">
        <f>IF(tech_base!$T10&gt;AU$2025,"",fuel_costs!AM$9*0.086/tech_proj!AU134/(1-tech_proj!AU414))</f>
        <v>41.245395330794047</v>
      </c>
      <c r="AV2034" s="119">
        <f>IF(tech_base!$T10&gt;AV$2025,"",fuel_costs!AN$9*0.086/tech_proj!AV134/(1-tech_proj!AV414))</f>
        <v>41.189954605989755</v>
      </c>
      <c r="AW2034" s="119">
        <f>IF(tech_base!$T10&gt;AW$2025,"",fuel_costs!AO$9*0.086/tech_proj!AW134/(1-tech_proj!AW414))</f>
        <v>41.101300900366397</v>
      </c>
      <c r="AX2034" s="120">
        <f>IF(tech_base!$T10&gt;AX$2025,"",fuel_costs!AP$9*0.086/tech_proj!AX134/(1-tech_proj!AX414))</f>
        <v>41.08507833733978</v>
      </c>
    </row>
    <row r="2035" spans="1:50" x14ac:dyDescent="0.25">
      <c r="A2035" s="356"/>
      <c r="B2035" s="359"/>
      <c r="C2035" s="361" t="s">
        <v>14</v>
      </c>
      <c r="D2035" s="58" t="s">
        <v>7</v>
      </c>
      <c r="E2035" s="78" t="str">
        <f>A2033&amp;"/"&amp;B2033&amp;"/"&amp;C2035&amp;"/"&amp;D2035</f>
        <v>Coal fired power plants/Integrated gasification combined cycle/CHP/L</v>
      </c>
      <c r="F2035" s="78" t="str">
        <f>A2033</f>
        <v>Coal fired power plants</v>
      </c>
      <c r="G2035" s="78" t="str">
        <f>B2033</f>
        <v>Integrated gasification combined cycle</v>
      </c>
      <c r="H2035" s="78" t="str">
        <f>C2035</f>
        <v>CHP</v>
      </c>
      <c r="I2035" s="78" t="str">
        <f t="shared" si="387"/>
        <v>L</v>
      </c>
      <c r="J2035" s="123">
        <f>IF(tech_base!$T11&gt;J$2025,"",fuel_costs!B$9*0.086/tech_proj!J135/(1-tech_proj!J415))</f>
        <v>27.827127403607061</v>
      </c>
      <c r="K2035" s="123">
        <f>IF(tech_base!$T11&gt;K$2025,"",fuel_costs!C$9*0.086/tech_proj!K135/(1-tech_proj!K415))</f>
        <v>34.747819769237367</v>
      </c>
      <c r="L2035" s="123">
        <f>IF(tech_base!$T11&gt;L$2025,"",fuel_costs!D$9*0.086/tech_proj!L135/(1-tech_proj!L415))</f>
        <v>29.560611799796863</v>
      </c>
      <c r="M2035" s="123">
        <f>IF(tech_base!$T11&gt;M$2025,"",fuel_costs!E$9*0.086/tech_proj!M135/(1-tech_proj!M415))</f>
        <v>26.681766777355993</v>
      </c>
      <c r="N2035" s="123">
        <f>IF(tech_base!$T11&gt;N$2025,"",fuel_costs!F$9*0.086/tech_proj!N135/(1-tech_proj!N415))</f>
        <v>25.614609866195558</v>
      </c>
      <c r="O2035" s="123">
        <f>IF(tech_base!$T11&gt;O$2025,"",fuel_costs!G$9*0.086/tech_proj!O135/(1-tech_proj!O415))</f>
        <v>24.07035008163303</v>
      </c>
      <c r="P2035" s="123">
        <f>IF(tech_base!$T11&gt;P$2025,"",fuel_costs!H$9*0.086/tech_proj!P135/(1-tech_proj!P415))</f>
        <v>25.431366642198576</v>
      </c>
      <c r="Q2035" s="123">
        <f>IF(tech_base!$T11&gt;Q$2025,"",fuel_costs!I$9*0.086/tech_proj!Q135/(1-tech_proj!Q415))</f>
        <v>32.339606065259424</v>
      </c>
      <c r="R2035" s="123">
        <f>IF(tech_base!$T11&gt;R$2025,"",fuel_costs!J$9*0.086/tech_proj!R135/(1-tech_proj!R415))</f>
        <v>32.524995031408352</v>
      </c>
      <c r="S2035" s="123">
        <f>IF(tech_base!$T11&gt;S$2025,"",fuel_costs!K$9*0.086/tech_proj!S135/(1-tech_proj!S415))</f>
        <v>32.70847720759771</v>
      </c>
      <c r="T2035" s="123">
        <f>IF(tech_base!$T11&gt;T$2025,"",fuel_costs!L$9*0.086/tech_proj!T135/(1-tech_proj!T415))</f>
        <v>32.890057763850393</v>
      </c>
      <c r="U2035" s="123">
        <f>IF(tech_base!$T11&gt;U$2025,"",fuel_costs!M$9*0.086/tech_proj!U135/(1-tech_proj!U415))</f>
        <v>33.636224455255729</v>
      </c>
      <c r="V2035" s="123">
        <f>IF(tech_base!$T11&gt;V$2025,"",fuel_costs!N$9*0.086/tech_proj!V135/(1-tech_proj!V415))</f>
        <v>33.660434161332169</v>
      </c>
      <c r="W2035" s="123">
        <f>IF(tech_base!$T11&gt;W$2025,"",fuel_costs!O$9*0.086/tech_proj!W135/(1-tech_proj!W415))</f>
        <v>33.638679411758588</v>
      </c>
      <c r="X2035" s="123">
        <f>IF(tech_base!$T11&gt;X$2025,"",fuel_costs!P$9*0.086/tech_proj!X135/(1-tech_proj!X415))</f>
        <v>33.835105031479557</v>
      </c>
      <c r="Y2035" s="123">
        <f>IF(tech_base!$T11&gt;Y$2025,"",fuel_costs!Q$9*0.086/tech_proj!Y135/(1-tech_proj!Y415))</f>
        <v>34.065676595992109</v>
      </c>
      <c r="Z2035" s="123">
        <f>IF(tech_base!$T11&gt;Z$2025,"",fuel_costs!R$9*0.086/tech_proj!Z135/(1-tech_proj!Z415))</f>
        <v>35.14393291883114</v>
      </c>
      <c r="AA2035" s="123">
        <f>IF(tech_base!$T11&gt;AA$2025,"",fuel_costs!S$9*0.086/tech_proj!AA135/(1-tech_proj!AA415))</f>
        <v>36.219515414529063</v>
      </c>
      <c r="AB2035" s="123">
        <f>IF(tech_base!$T11&gt;AB$2025,"",fuel_costs!T$9*0.086/tech_proj!AB135/(1-tech_proj!AB415))</f>
        <v>37.330965003829292</v>
      </c>
      <c r="AC2035" s="123">
        <f>IF(tech_base!$T11&gt;AC$2025,"",fuel_costs!U$9*0.086/tech_proj!AC135/(1-tech_proj!AC415))</f>
        <v>38.45081073646017</v>
      </c>
      <c r="AD2035" s="123">
        <f>IF(tech_base!$T11&gt;AD$2025,"",fuel_costs!V$9*0.086/tech_proj!AD135/(1-tech_proj!AD415))</f>
        <v>39.675899969586546</v>
      </c>
      <c r="AE2035" s="123">
        <f>IF(tech_base!$T11&gt;AE$2025,"",fuel_costs!W$9*0.086/tech_proj!AE135/(1-tech_proj!AE415))</f>
        <v>40.017805671643053</v>
      </c>
      <c r="AF2035" s="123">
        <f>IF(tech_base!$T11&gt;AF$2025,"",fuel_costs!X$9*0.086/tech_proj!AF135/(1-tech_proj!AF415))</f>
        <v>40.482106650712396</v>
      </c>
      <c r="AG2035" s="123">
        <f>IF(tech_base!$T11&gt;AG$2025,"",fuel_costs!Y$9*0.086/tech_proj!AG135/(1-tech_proj!AG415))</f>
        <v>40.962489815494081</v>
      </c>
      <c r="AH2035" s="123">
        <f>IF(tech_base!$T11&gt;AH$2025,"",fuel_costs!Z$9*0.086/tech_proj!AH135/(1-tech_proj!AH415))</f>
        <v>41.401020100979785</v>
      </c>
      <c r="AI2035" s="123">
        <f>IF(tech_base!$T11&gt;AI$2025,"",fuel_costs!AA$9*0.086/tech_proj!AI135/(1-tech_proj!AI415))</f>
        <v>41.786844415086804</v>
      </c>
      <c r="AJ2035" s="123">
        <f>IF(tech_base!$T11&gt;AJ$2025,"",fuel_costs!AB$9*0.086/tech_proj!AJ135/(1-tech_proj!AJ415))</f>
        <v>42.038747107580392</v>
      </c>
      <c r="AK2035" s="123">
        <f>IF(tech_base!$T11&gt;AK$2025,"",fuel_costs!AC$9*0.086/tech_proj!AK135/(1-tech_proj!AK415))</f>
        <v>42.33250720461141</v>
      </c>
      <c r="AL2035" s="123">
        <f>IF(tech_base!$T11&gt;AL$2025,"",fuel_costs!AD$9*0.086/tech_proj!AL135/(1-tech_proj!AL415))</f>
        <v>42.650247771179835</v>
      </c>
      <c r="AM2035" s="123">
        <f>IF(tech_base!$T11&gt;AM$2025,"",fuel_costs!AE$9*0.086/tech_proj!AM135/(1-tech_proj!AM415))</f>
        <v>42.981729262622444</v>
      </c>
      <c r="AN2035" s="123">
        <f>IF(tech_base!$T11&gt;AN$2025,"",fuel_costs!AF$9*0.086/tech_proj!AN135/(1-tech_proj!AN415))</f>
        <v>43.193114953393682</v>
      </c>
      <c r="AO2035" s="123">
        <f>IF(tech_base!$T11&gt;AO$2025,"",fuel_costs!AG$9*0.086/tech_proj!AO135/(1-tech_proj!AO415))</f>
        <v>43.372720594603372</v>
      </c>
      <c r="AP2035" s="123">
        <f>IF(tech_base!$T11&gt;AP$2025,"",fuel_costs!AH$9*0.086/tech_proj!AP135/(1-tech_proj!AP415))</f>
        <v>43.517419207565375</v>
      </c>
      <c r="AQ2035" s="123">
        <f>IF(tech_base!$T11&gt;AQ$2025,"",fuel_costs!AI$9*0.086/tech_proj!AQ135/(1-tech_proj!AQ415))</f>
        <v>43.629275338476837</v>
      </c>
      <c r="AR2035" s="123">
        <f>IF(tech_base!$T11&gt;AR$2025,"",fuel_costs!AJ$9*0.086/tech_proj!AR135/(1-tech_proj!AR415))</f>
        <v>43.739585957214423</v>
      </c>
      <c r="AS2035" s="123">
        <f>IF(tech_base!$T11&gt;AS$2025,"",fuel_costs!AK$9*0.086/tech_proj!AS135/(1-tech_proj!AS415))</f>
        <v>43.825675177457079</v>
      </c>
      <c r="AT2035" s="123">
        <f>IF(tech_base!$T11&gt;AT$2025,"",fuel_costs!AL$9*0.086/tech_proj!AT135/(1-tech_proj!AT415))</f>
        <v>43.76217271652429</v>
      </c>
      <c r="AU2035" s="123">
        <f>IF(tech_base!$T11&gt;AU$2025,"",fuel_costs!AM$9*0.086/tech_proj!AU135/(1-tech_proj!AU415))</f>
        <v>43.781197984215446</v>
      </c>
      <c r="AV2035" s="123">
        <f>IF(tech_base!$T11&gt;AV$2025,"",fuel_costs!AN$9*0.086/tech_proj!AV135/(1-tech_proj!AV415))</f>
        <v>43.734527013990906</v>
      </c>
      <c r="AW2035" s="123">
        <f>IF(tech_base!$T11&gt;AW$2025,"",fuel_costs!AO$9*0.086/tech_proj!AW135/(1-tech_proj!AW415))</f>
        <v>43.661448460906598</v>
      </c>
      <c r="AX2035" s="124">
        <f>IF(tech_base!$T11&gt;AX$2025,"",fuel_costs!AP$9*0.086/tech_proj!AX135/(1-tech_proj!AX415))</f>
        <v>43.678103028365896</v>
      </c>
    </row>
    <row r="2036" spans="1:50" x14ac:dyDescent="0.25">
      <c r="A2036" s="356"/>
      <c r="B2036" s="359"/>
      <c r="C2036" s="379"/>
      <c r="D2036" s="59" t="s">
        <v>8</v>
      </c>
      <c r="E2036" s="79" t="str">
        <f>A2033&amp;"/"&amp;B2033&amp;"/"&amp;C2035&amp;"/"&amp;D2036</f>
        <v>Coal fired power plants/Integrated gasification combined cycle/CHP/M</v>
      </c>
      <c r="F2036" s="79" t="str">
        <f>A2033</f>
        <v>Coal fired power plants</v>
      </c>
      <c r="G2036" s="79" t="str">
        <f>B2033</f>
        <v>Integrated gasification combined cycle</v>
      </c>
      <c r="H2036" s="79" t="str">
        <f>C2035</f>
        <v>CHP</v>
      </c>
      <c r="I2036" s="79" t="str">
        <f t="shared" si="387"/>
        <v>M</v>
      </c>
      <c r="J2036" s="125">
        <f>IF(tech_base!$T12&gt;J$2025,"",fuel_costs!B$9*0.086/tech_proj!J136/(1-tech_proj!J416))</f>
        <v>29.322084285717683</v>
      </c>
      <c r="K2036" s="125">
        <f>IF(tech_base!$T12&gt;K$2025,"",fuel_costs!C$9*0.086/tech_proj!K136/(1-tech_proj!K416))</f>
        <v>36.614222494606203</v>
      </c>
      <c r="L2036" s="125">
        <f>IF(tech_base!$T12&gt;L$2025,"",fuel_costs!D$9*0.086/tech_proj!L136/(1-tech_proj!L416))</f>
        <v>31.148031147957475</v>
      </c>
      <c r="M2036" s="125">
        <f>IF(tech_base!$T12&gt;M$2025,"",fuel_costs!E$9*0.086/tech_proj!M136/(1-tech_proj!M416))</f>
        <v>28.114194756497973</v>
      </c>
      <c r="N2036" s="125">
        <f>IF(tech_base!$T12&gt;N$2025,"",fuel_costs!F$9*0.086/tech_proj!N136/(1-tech_proj!N416))</f>
        <v>26.989288970589858</v>
      </c>
      <c r="O2036" s="125">
        <f>IF(tech_base!$T12&gt;O$2025,"",fuel_costs!G$9*0.086/tech_proj!O136/(1-tech_proj!O416))</f>
        <v>25.361634482415869</v>
      </c>
      <c r="P2036" s="125">
        <f>IF(tech_base!$T12&gt;P$2025,"",fuel_costs!H$9*0.086/tech_proj!P136/(1-tech_proj!P416))</f>
        <v>26.795007027901054</v>
      </c>
      <c r="Q2036" s="125">
        <f>IF(tech_base!$T12&gt;Q$2025,"",fuel_costs!I$9*0.086/tech_proj!Q136/(1-tech_proj!Q416))</f>
        <v>34.072665352099655</v>
      </c>
      <c r="R2036" s="125">
        <f>IF(tech_base!$T12&gt;R$2025,"",fuel_costs!J$9*0.086/tech_proj!R136/(1-tech_proj!R416))</f>
        <v>34.26677880090471</v>
      </c>
      <c r="S2036" s="125">
        <f>IF(tech_base!$T12&gt;S$2025,"",fuel_costs!K$9*0.086/tech_proj!S136/(1-tech_proj!S416))</f>
        <v>34.458629490287571</v>
      </c>
      <c r="T2036" s="125">
        <f>IF(tech_base!$T12&gt;T$2025,"",fuel_costs!L$9*0.086/tech_proj!T136/(1-tech_proj!T416))</f>
        <v>34.648174247325386</v>
      </c>
      <c r="U2036" s="125">
        <f>IF(tech_base!$T12&gt;U$2025,"",fuel_costs!M$9*0.086/tech_proj!U136/(1-tech_proj!U416))</f>
        <v>35.432089132182405</v>
      </c>
      <c r="V2036" s="125">
        <f>IF(tech_base!$T12&gt;V$2025,"",fuel_costs!N$9*0.086/tech_proj!V136/(1-tech_proj!V416))</f>
        <v>35.455043944853983</v>
      </c>
      <c r="W2036" s="125">
        <f>IF(tech_base!$T12&gt;W$2025,"",fuel_costs!O$9*0.086/tech_proj!W136/(1-tech_proj!W416))</f>
        <v>35.429104453667918</v>
      </c>
      <c r="X2036" s="125">
        <f>IF(tech_base!$T12&gt;X$2025,"",fuel_costs!P$9*0.086/tech_proj!X136/(1-tech_proj!X416))</f>
        <v>35.632378981719206</v>
      </c>
      <c r="Y2036" s="125">
        <f>IF(tech_base!$T12&gt;Y$2025,"",fuel_costs!Q$9*0.086/tech_proj!Y136/(1-tech_proj!Y416))</f>
        <v>35.870908009508419</v>
      </c>
      <c r="Z2036" s="125">
        <f>IF(tech_base!$T12&gt;Z$2025,"",fuel_costs!R$9*0.086/tech_proj!Z136/(1-tech_proj!Z416))</f>
        <v>37.00109110430914</v>
      </c>
      <c r="AA2036" s="125">
        <f>IF(tech_base!$T12&gt;AA$2025,"",fuel_costs!S$9*0.086/tech_proj!AA136/(1-tech_proj!AA416))</f>
        <v>38.127208523509175</v>
      </c>
      <c r="AB2036" s="125">
        <f>IF(tech_base!$T12&gt;AB$2025,"",fuel_costs!T$9*0.086/tech_proj!AB136/(1-tech_proj!AB416))</f>
        <v>39.2896093165918</v>
      </c>
      <c r="AC2036" s="125">
        <f>IF(tech_base!$T12&gt;AC$2025,"",fuel_costs!U$9*0.086/tech_proj!AC136/(1-tech_proj!AC416))</f>
        <v>40.459126171179882</v>
      </c>
      <c r="AD2036" s="125">
        <f>IF(tech_base!$T12&gt;AD$2025,"",fuel_costs!V$9*0.086/tech_proj!AD136/(1-tech_proj!AD416))</f>
        <v>41.737376262346977</v>
      </c>
      <c r="AE2036" s="125">
        <f>IF(tech_base!$T12&gt;AE$2025,"",fuel_costs!W$9*0.086/tech_proj!AE136/(1-tech_proj!AE416))</f>
        <v>42.084524333412915</v>
      </c>
      <c r="AF2036" s="125">
        <f>IF(tech_base!$T12&gt;AF$2025,"",fuel_costs!X$9*0.086/tech_proj!AF136/(1-tech_proj!AF416))</f>
        <v>42.558401712456906</v>
      </c>
      <c r="AG2036" s="125">
        <f>IF(tech_base!$T12&gt;AG$2025,"",fuel_costs!Y$9*0.086/tech_proj!AG136/(1-tech_proj!AG416))</f>
        <v>43.047024693228757</v>
      </c>
      <c r="AH2036" s="125">
        <f>IF(tech_base!$T12&gt;AH$2025,"",fuel_costs!Z$9*0.086/tech_proj!AH136/(1-tech_proj!AH416))</f>
        <v>43.489454029624341</v>
      </c>
      <c r="AI2036" s="125">
        <f>IF(tech_base!$T12&gt;AI$2025,"",fuel_costs!AA$9*0.086/tech_proj!AI136/(1-tech_proj!AI416))</f>
        <v>43.874401424327409</v>
      </c>
      <c r="AJ2036" s="125">
        <f>IF(tech_base!$T12&gt;AJ$2025,"",fuel_costs!AB$9*0.086/tech_proj!AJ136/(1-tech_proj!AJ416))</f>
        <v>44.116925819824161</v>
      </c>
      <c r="AK2036" s="125">
        <f>IF(tech_base!$T12&gt;AK$2025,"",fuel_costs!AC$9*0.086/tech_proj!AK136/(1-tech_proj!AK416))</f>
        <v>44.402040418655702</v>
      </c>
      <c r="AL2036" s="125">
        <f>IF(tech_base!$T12&gt;AL$2025,"",fuel_costs!AD$9*0.086/tech_proj!AL136/(1-tech_proj!AL416))</f>
        <v>44.71162057439102</v>
      </c>
      <c r="AM2036" s="125">
        <f>IF(tech_base!$T12&gt;AM$2025,"",fuel_costs!AE$9*0.086/tech_proj!AM136/(1-tech_proj!AM416))</f>
        <v>45.035878193999359</v>
      </c>
      <c r="AN2036" s="125">
        <f>IF(tech_base!$T12&gt;AN$2025,"",fuel_costs!AF$9*0.086/tech_proj!AN136/(1-tech_proj!AN416))</f>
        <v>45.235912302332373</v>
      </c>
      <c r="AO2036" s="125">
        <f>IF(tech_base!$T12&gt;AO$2025,"",fuel_costs!AG$9*0.086/tech_proj!AO136/(1-tech_proj!AO416))</f>
        <v>45.40587279623481</v>
      </c>
      <c r="AP2036" s="125">
        <f>IF(tech_base!$T12&gt;AP$2025,"",fuel_costs!AH$9*0.086/tech_proj!AP136/(1-tech_proj!AP416))</f>
        <v>45.544129219254039</v>
      </c>
      <c r="AQ2036" s="125">
        <f>IF(tech_base!$T12&gt;AQ$2025,"",fuel_costs!AI$9*0.086/tech_proj!AQ136/(1-tech_proj!AQ416))</f>
        <v>45.654282945103624</v>
      </c>
      <c r="AR2036" s="125">
        <f>IF(tech_base!$T12&gt;AR$2025,"",fuel_costs!AJ$9*0.086/tech_proj!AR136/(1-tech_proj!AR416))</f>
        <v>45.769916939731196</v>
      </c>
      <c r="AS2036" s="125">
        <f>IF(tech_base!$T12&gt;AS$2025,"",fuel_costs!AK$9*0.086/tech_proj!AS136/(1-tech_proj!AS416))</f>
        <v>45.867067098373639</v>
      </c>
      <c r="AT2036" s="125">
        <f>IF(tech_base!$T12&gt;AT$2025,"",fuel_costs!AL$9*0.086/tech_proj!AT136/(1-tech_proj!AT416))</f>
        <v>45.81275839157049</v>
      </c>
      <c r="AU2036" s="125">
        <f>IF(tech_base!$T12&gt;AU$2025,"",fuel_costs!AM$9*0.086/tech_proj!AU136/(1-tech_proj!AU416))</f>
        <v>45.846530782879249</v>
      </c>
      <c r="AV2036" s="125">
        <f>IF(tech_base!$T12&gt;AV$2025,"",fuel_costs!AN$9*0.086/tech_proj!AV136/(1-tech_proj!AV416))</f>
        <v>45.808416049777755</v>
      </c>
      <c r="AW2036" s="125">
        <f>IF(tech_base!$T12&gt;AW$2025,"",fuel_costs!AO$9*0.086/tech_proj!AW136/(1-tech_proj!AW416))</f>
        <v>45.734178827364431</v>
      </c>
      <c r="AX2036" s="126">
        <f>IF(tech_base!$T12&gt;AX$2025,"",fuel_costs!AP$9*0.086/tech_proj!AX136/(1-tech_proj!AX416))</f>
        <v>45.74076092290197</v>
      </c>
    </row>
    <row r="2037" spans="1:50" x14ac:dyDescent="0.25">
      <c r="A2037" s="356"/>
      <c r="B2037" s="359"/>
      <c r="C2037" s="361" t="s">
        <v>15</v>
      </c>
      <c r="D2037" s="58" t="s">
        <v>7</v>
      </c>
      <c r="E2037" s="78" t="str">
        <f>A2033&amp;"/"&amp;B2033&amp;"/"&amp;C2037&amp;"/"&amp;D2037</f>
        <v>Coal fired power plants/Integrated gasification combined cycle/Electricity only with CCS/L</v>
      </c>
      <c r="F2037" s="78" t="str">
        <f>A2033</f>
        <v>Coal fired power plants</v>
      </c>
      <c r="G2037" s="78" t="str">
        <f>B2033</f>
        <v>Integrated gasification combined cycle</v>
      </c>
      <c r="H2037" s="78" t="str">
        <f>C2037</f>
        <v>Electricity only with CCS</v>
      </c>
      <c r="I2037" s="78" t="str">
        <f t="shared" si="387"/>
        <v>L</v>
      </c>
      <c r="J2037" s="123" t="str">
        <f>IF(tech_base!$T13&gt;J$2025,"",fuel_costs!B$9*0.086/tech_proj!J137/(1-tech_proj!J417))</f>
        <v/>
      </c>
      <c r="K2037" s="123" t="str">
        <f>IF(tech_base!$T13&gt;K$2025,"",fuel_costs!C$9*0.086/tech_proj!K137/(1-tech_proj!K417))</f>
        <v/>
      </c>
      <c r="L2037" s="123" t="str">
        <f>IF(tech_base!$T13&gt;L$2025,"",fuel_costs!D$9*0.086/tech_proj!L137/(1-tech_proj!L417))</f>
        <v/>
      </c>
      <c r="M2037" s="123" t="str">
        <f>IF(tech_base!$T13&gt;M$2025,"",fuel_costs!E$9*0.086/tech_proj!M137/(1-tech_proj!M417))</f>
        <v/>
      </c>
      <c r="N2037" s="123" t="str">
        <f>IF(tech_base!$T13&gt;N$2025,"",fuel_costs!F$9*0.086/tech_proj!N137/(1-tech_proj!N417))</f>
        <v/>
      </c>
      <c r="O2037" s="123" t="str">
        <f>IF(tech_base!$T13&gt;O$2025,"",fuel_costs!G$9*0.086/tech_proj!O137/(1-tech_proj!O417))</f>
        <v/>
      </c>
      <c r="P2037" s="123" t="str">
        <f>IF(tech_base!$T13&gt;P$2025,"",fuel_costs!H$9*0.086/tech_proj!P137/(1-tech_proj!P417))</f>
        <v/>
      </c>
      <c r="Q2037" s="123" t="str">
        <f>IF(tech_base!$T13&gt;Q$2025,"",fuel_costs!I$9*0.086/tech_proj!Q137/(1-tech_proj!Q417))</f>
        <v/>
      </c>
      <c r="R2037" s="123" t="str">
        <f>IF(tech_base!$T13&gt;R$2025,"",fuel_costs!J$9*0.086/tech_proj!R137/(1-tech_proj!R417))</f>
        <v/>
      </c>
      <c r="S2037" s="123" t="str">
        <f>IF(tech_base!$T13&gt;S$2025,"",fuel_costs!K$9*0.086/tech_proj!S137/(1-tech_proj!S417))</f>
        <v/>
      </c>
      <c r="T2037" s="123" t="str">
        <f>IF(tech_base!$T13&gt;T$2025,"",fuel_costs!L$9*0.086/tech_proj!T137/(1-tech_proj!T417))</f>
        <v/>
      </c>
      <c r="U2037" s="123" t="str">
        <f>IF(tech_base!$T13&gt;U$2025,"",fuel_costs!M$9*0.086/tech_proj!U137/(1-tech_proj!U417))</f>
        <v/>
      </c>
      <c r="V2037" s="123" t="str">
        <f>IF(tech_base!$T13&gt;V$2025,"",fuel_costs!N$9*0.086/tech_proj!V137/(1-tech_proj!V417))</f>
        <v/>
      </c>
      <c r="W2037" s="123" t="str">
        <f>IF(tech_base!$T13&gt;W$2025,"",fuel_costs!O$9*0.086/tech_proj!W137/(1-tech_proj!W417))</f>
        <v/>
      </c>
      <c r="X2037" s="123" t="str">
        <f>IF(tech_base!$T13&gt;X$2025,"",fuel_costs!P$9*0.086/tech_proj!X137/(1-tech_proj!X417))</f>
        <v/>
      </c>
      <c r="Y2037" s="123" t="str">
        <f>IF(tech_base!$T13&gt;Y$2025,"",fuel_costs!Q$9*0.086/tech_proj!Y137/(1-tech_proj!Y417))</f>
        <v/>
      </c>
      <c r="Z2037" s="123" t="str">
        <f>IF(tech_base!$T13&gt;Z$2025,"",fuel_costs!R$9*0.086/tech_proj!Z137/(1-tech_proj!Z417))</f>
        <v/>
      </c>
      <c r="AA2037" s="123" t="str">
        <f>IF(tech_base!$T13&gt;AA$2025,"",fuel_costs!S$9*0.086/tech_proj!AA137/(1-tech_proj!AA417))</f>
        <v/>
      </c>
      <c r="AB2037" s="123" t="str">
        <f>IF(tech_base!$T13&gt;AB$2025,"",fuel_costs!T$9*0.086/tech_proj!AB137/(1-tech_proj!AB417))</f>
        <v/>
      </c>
      <c r="AC2037" s="123" t="str">
        <f>IF(tech_base!$T13&gt;AC$2025,"",fuel_costs!U$9*0.086/tech_proj!AC137/(1-tech_proj!AC417))</f>
        <v/>
      </c>
      <c r="AD2037" s="123" t="str">
        <f>IF(tech_base!$T13&gt;AD$2025,"",fuel_costs!V$9*0.086/tech_proj!AD137/(1-tech_proj!AD417))</f>
        <v/>
      </c>
      <c r="AE2037" s="123">
        <f>IF(tech_base!$T13&gt;AE$2025,"",fuel_costs!W$9*0.086/tech_proj!AE137/(1-tech_proj!AE417))</f>
        <v>45.22257002329745</v>
      </c>
      <c r="AF2037" s="123">
        <f>IF(tech_base!$T13&gt;AF$2025,"",fuel_costs!X$9*0.086/tech_proj!AF137/(1-tech_proj!AF417))</f>
        <v>45.76416468243518</v>
      </c>
      <c r="AG2037" s="123">
        <f>IF(tech_base!$T13&gt;AG$2025,"",fuel_costs!Y$9*0.086/tech_proj!AG137/(1-tech_proj!AG417))</f>
        <v>46.328863287869595</v>
      </c>
      <c r="AH2037" s="123">
        <f>IF(tech_base!$T13&gt;AH$2025,"",fuel_costs!Z$9*0.086/tech_proj!AH137/(1-tech_proj!AH417))</f>
        <v>46.852421728825064</v>
      </c>
      <c r="AI2037" s="123">
        <f>IF(tech_base!$T13&gt;AI$2025,"",fuel_costs!AA$9*0.086/tech_proj!AI137/(1-tech_proj!AI417))</f>
        <v>47.324025941173701</v>
      </c>
      <c r="AJ2037" s="123">
        <f>IF(tech_base!$T13&gt;AJ$2025,"",fuel_costs!AB$9*0.086/tech_proj!AJ137/(1-tech_proj!AJ417))</f>
        <v>47.653324761207216</v>
      </c>
      <c r="AK2037" s="123">
        <f>IF(tech_base!$T13&gt;AK$2025,"",fuel_costs!AC$9*0.086/tech_proj!AK137/(1-tech_proj!AK417))</f>
        <v>48.04144279438156</v>
      </c>
      <c r="AL2037" s="123">
        <f>IF(tech_base!$T13&gt;AL$2025,"",fuel_costs!AD$9*0.086/tech_proj!AL137/(1-tech_proj!AL417))</f>
        <v>48.470595481545047</v>
      </c>
      <c r="AM2037" s="123">
        <f>IF(tech_base!$T13&gt;AM$2025,"",fuel_costs!AE$9*0.086/tech_proj!AM137/(1-tech_proj!AM417))</f>
        <v>48.93180860750418</v>
      </c>
      <c r="AN2037" s="123">
        <f>IF(tech_base!$T13&gt;AN$2025,"",fuel_costs!AF$9*0.086/tech_proj!AN137/(1-tech_proj!AN417))</f>
        <v>49.275042912067931</v>
      </c>
      <c r="AO2037" s="123">
        <f>IF(tech_base!$T13&gt;AO$2025,"",fuel_costs!AG$9*0.086/tech_proj!AO137/(1-tech_proj!AO417))</f>
        <v>49.602467570019627</v>
      </c>
      <c r="AP2037" s="123">
        <f>IF(tech_base!$T13&gt;AP$2025,"",fuel_costs!AH$9*0.086/tech_proj!AP137/(1-tech_proj!AP417))</f>
        <v>49.911259330634294</v>
      </c>
      <c r="AQ2037" s="123">
        <f>IF(tech_base!$T13&gt;AQ$2025,"",fuel_costs!AI$9*0.086/tech_proj!AQ137/(1-tech_proj!AQ417))</f>
        <v>50.202693411634499</v>
      </c>
      <c r="AR2037" s="123">
        <f>IF(tech_base!$T13&gt;AR$2025,"",fuel_costs!AJ$9*0.086/tech_proj!AR137/(1-tech_proj!AR417))</f>
        <v>50.50901365122958</v>
      </c>
      <c r="AS2037" s="123">
        <f>IF(tech_base!$T13&gt;AS$2025,"",fuel_costs!AK$9*0.086/tech_proj!AS137/(1-tech_proj!AS417))</f>
        <v>50.796576367986773</v>
      </c>
      <c r="AT2037" s="123">
        <f>IF(tech_base!$T13&gt;AT$2025,"",fuel_costs!AL$9*0.086/tech_proj!AT137/(1-tech_proj!AT417))</f>
        <v>50.907177435942465</v>
      </c>
      <c r="AU2037" s="123">
        <f>IF(tech_base!$T13&gt;AU$2025,"",fuel_costs!AM$9*0.086/tech_proj!AU137/(1-tech_proj!AU417))</f>
        <v>51.09297954179727</v>
      </c>
      <c r="AV2037" s="123">
        <f>IF(tech_base!$T13&gt;AV$2025,"",fuel_costs!AN$9*0.086/tech_proj!AV137/(1-tech_proj!AV417))</f>
        <v>51.160519399261624</v>
      </c>
      <c r="AW2037" s="123">
        <f>IF(tech_base!$T13&gt;AW$2025,"",fuel_costs!AO$9*0.086/tech_proj!AW137/(1-tech_proj!AW417))</f>
        <v>51.132986406676885</v>
      </c>
      <c r="AX2037" s="124">
        <f>IF(tech_base!$T13&gt;AX$2025,"",fuel_costs!AP$9*0.086/tech_proj!AX137/(1-tech_proj!AX417))</f>
        <v>51.12654441055863</v>
      </c>
    </row>
    <row r="2038" spans="1:50" x14ac:dyDescent="0.25">
      <c r="A2038" s="356"/>
      <c r="B2038" s="359"/>
      <c r="C2038" s="379"/>
      <c r="D2038" s="59" t="s">
        <v>8</v>
      </c>
      <c r="E2038" s="79" t="str">
        <f>A2033&amp;"/"&amp;B2033&amp;"/"&amp;C2037&amp;"/"&amp;D2038</f>
        <v>Coal fired power plants/Integrated gasification combined cycle/Electricity only with CCS/M</v>
      </c>
      <c r="F2038" s="79" t="str">
        <f>A2033</f>
        <v>Coal fired power plants</v>
      </c>
      <c r="G2038" s="79" t="str">
        <f>B2033</f>
        <v>Integrated gasification combined cycle</v>
      </c>
      <c r="H2038" s="79" t="str">
        <f>C2037</f>
        <v>Electricity only with CCS</v>
      </c>
      <c r="I2038" s="79" t="str">
        <f t="shared" si="387"/>
        <v>M</v>
      </c>
      <c r="J2038" s="125" t="str">
        <f>IF(tech_base!$T14&gt;J$2025,"",fuel_costs!B$9*0.086/tech_proj!J138/(1-tech_proj!J418))</f>
        <v/>
      </c>
      <c r="K2038" s="125" t="str">
        <f>IF(tech_base!$T14&gt;K$2025,"",fuel_costs!C$9*0.086/tech_proj!K138/(1-tech_proj!K418))</f>
        <v/>
      </c>
      <c r="L2038" s="125" t="str">
        <f>IF(tech_base!$T14&gt;L$2025,"",fuel_costs!D$9*0.086/tech_proj!L138/(1-tech_proj!L418))</f>
        <v/>
      </c>
      <c r="M2038" s="125" t="str">
        <f>IF(tech_base!$T14&gt;M$2025,"",fuel_costs!E$9*0.086/tech_proj!M138/(1-tech_proj!M418))</f>
        <v/>
      </c>
      <c r="N2038" s="125" t="str">
        <f>IF(tech_base!$T14&gt;N$2025,"",fuel_costs!F$9*0.086/tech_proj!N138/(1-tech_proj!N418))</f>
        <v/>
      </c>
      <c r="O2038" s="125" t="str">
        <f>IF(tech_base!$T14&gt;O$2025,"",fuel_costs!G$9*0.086/tech_proj!O138/(1-tech_proj!O418))</f>
        <v/>
      </c>
      <c r="P2038" s="125" t="str">
        <f>IF(tech_base!$T14&gt;P$2025,"",fuel_costs!H$9*0.086/tech_proj!P138/(1-tech_proj!P418))</f>
        <v/>
      </c>
      <c r="Q2038" s="125" t="str">
        <f>IF(tech_base!$T14&gt;Q$2025,"",fuel_costs!I$9*0.086/tech_proj!Q138/(1-tech_proj!Q418))</f>
        <v/>
      </c>
      <c r="R2038" s="125" t="str">
        <f>IF(tech_base!$T14&gt;R$2025,"",fuel_costs!J$9*0.086/tech_proj!R138/(1-tech_proj!R418))</f>
        <v/>
      </c>
      <c r="S2038" s="125" t="str">
        <f>IF(tech_base!$T14&gt;S$2025,"",fuel_costs!K$9*0.086/tech_proj!S138/(1-tech_proj!S418))</f>
        <v/>
      </c>
      <c r="T2038" s="125" t="str">
        <f>IF(tech_base!$T14&gt;T$2025,"",fuel_costs!L$9*0.086/tech_proj!T138/(1-tech_proj!T418))</f>
        <v/>
      </c>
      <c r="U2038" s="125" t="str">
        <f>IF(tech_base!$T14&gt;U$2025,"",fuel_costs!M$9*0.086/tech_proj!U138/(1-tech_proj!U418))</f>
        <v/>
      </c>
      <c r="V2038" s="125" t="str">
        <f>IF(tech_base!$T14&gt;V$2025,"",fuel_costs!N$9*0.086/tech_proj!V138/(1-tech_proj!V418))</f>
        <v/>
      </c>
      <c r="W2038" s="125" t="str">
        <f>IF(tech_base!$T14&gt;W$2025,"",fuel_costs!O$9*0.086/tech_proj!W138/(1-tech_proj!W418))</f>
        <v/>
      </c>
      <c r="X2038" s="125" t="str">
        <f>IF(tech_base!$T14&gt;X$2025,"",fuel_costs!P$9*0.086/tech_proj!X138/(1-tech_proj!X418))</f>
        <v/>
      </c>
      <c r="Y2038" s="125" t="str">
        <f>IF(tech_base!$T14&gt;Y$2025,"",fuel_costs!Q$9*0.086/tech_proj!Y138/(1-tech_proj!Y418))</f>
        <v/>
      </c>
      <c r="Z2038" s="125" t="str">
        <f>IF(tech_base!$T14&gt;Z$2025,"",fuel_costs!R$9*0.086/tech_proj!Z138/(1-tech_proj!Z418))</f>
        <v/>
      </c>
      <c r="AA2038" s="125" t="str">
        <f>IF(tech_base!$T14&gt;AA$2025,"",fuel_costs!S$9*0.086/tech_proj!AA138/(1-tech_proj!AA418))</f>
        <v/>
      </c>
      <c r="AB2038" s="125" t="str">
        <f>IF(tech_base!$T14&gt;AB$2025,"",fuel_costs!T$9*0.086/tech_proj!AB138/(1-tech_proj!AB418))</f>
        <v/>
      </c>
      <c r="AC2038" s="125" t="str">
        <f>IF(tech_base!$T14&gt;AC$2025,"",fuel_costs!U$9*0.086/tech_proj!AC138/(1-tech_proj!AC418))</f>
        <v/>
      </c>
      <c r="AD2038" s="125" t="str">
        <f>IF(tech_base!$T14&gt;AD$2025,"",fuel_costs!V$9*0.086/tech_proj!AD138/(1-tech_proj!AD418))</f>
        <v/>
      </c>
      <c r="AE2038" s="125">
        <f>IF(tech_base!$T14&gt;AE$2025,"",fuel_costs!W$9*0.086/tech_proj!AE138/(1-tech_proj!AE418))</f>
        <v>48.127318574654922</v>
      </c>
      <c r="AF2038" s="125">
        <f>IF(tech_base!$T14&gt;AF$2025,"",fuel_costs!X$9*0.086/tech_proj!AF138/(1-tech_proj!AF418))</f>
        <v>48.704918493368091</v>
      </c>
      <c r="AG2038" s="125">
        <f>IF(tech_base!$T14&gt;AG$2025,"",fuel_costs!Y$9*0.086/tech_proj!AG138/(1-tech_proj!AG418))</f>
        <v>49.307481492253444</v>
      </c>
      <c r="AH2038" s="125">
        <f>IF(tech_base!$T14&gt;AH$2025,"",fuel_costs!Z$9*0.086/tech_proj!AH138/(1-tech_proj!AH418))</f>
        <v>49.86673033647596</v>
      </c>
      <c r="AI2038" s="125">
        <f>IF(tech_base!$T14&gt;AI$2025,"",fuel_costs!AA$9*0.086/tech_proj!AI138/(1-tech_proj!AI418))</f>
        <v>50.371263650203723</v>
      </c>
      <c r="AJ2038" s="125">
        <f>IF(tech_base!$T14&gt;AJ$2025,"",fuel_costs!AB$9*0.086/tech_proj!AJ138/(1-tech_proj!AJ418))</f>
        <v>50.725026433030784</v>
      </c>
      <c r="AK2038" s="125">
        <f>IF(tech_base!$T14&gt;AK$2025,"",fuel_costs!AC$9*0.086/tech_proj!AK138/(1-tech_proj!AK418))</f>
        <v>51.142227745290917</v>
      </c>
      <c r="AL2038" s="125">
        <f>IF(tech_base!$T14&gt;AL$2025,"",fuel_costs!AD$9*0.086/tech_proj!AL138/(1-tech_proj!AL418))</f>
        <v>51.604080765326067</v>
      </c>
      <c r="AM2038" s="125">
        <f>IF(tech_base!$T14&gt;AM$2025,"",fuel_costs!AE$9*0.086/tech_proj!AM138/(1-tech_proj!AM418))</f>
        <v>52.101150993574478</v>
      </c>
      <c r="AN2038" s="125">
        <f>IF(tech_base!$T14&gt;AN$2025,"",fuel_costs!AF$9*0.086/tech_proj!AN138/(1-tech_proj!AN418))</f>
        <v>52.473713114745451</v>
      </c>
      <c r="AO2038" s="125">
        <f>IF(tech_base!$T14&gt;AO$2025,"",fuel_costs!AG$9*0.086/tech_proj!AO138/(1-tech_proj!AO418))</f>
        <v>52.830430901378087</v>
      </c>
      <c r="AP2038" s="125">
        <f>IF(tech_base!$T14&gt;AP$2025,"",fuel_costs!AH$9*0.086/tech_proj!AP138/(1-tech_proj!AP418))</f>
        <v>53.167937673008339</v>
      </c>
      <c r="AQ2038" s="125">
        <f>IF(tech_base!$T14&gt;AQ$2025,"",fuel_costs!AI$9*0.086/tech_proj!AQ138/(1-tech_proj!AQ418))</f>
        <v>53.486820259346658</v>
      </c>
      <c r="AR2038" s="125">
        <f>IF(tech_base!$T14&gt;AR$2025,"",fuel_costs!AJ$9*0.086/tech_proj!AR138/(1-tech_proj!AR418))</f>
        <v>53.820026695356688</v>
      </c>
      <c r="AS2038" s="125">
        <f>IF(tech_base!$T14&gt;AS$2025,"",fuel_costs!AK$9*0.086/tech_proj!AS138/(1-tech_proj!AS418))</f>
        <v>54.129372698987602</v>
      </c>
      <c r="AT2038" s="125">
        <f>IF(tech_base!$T14&gt;AT$2025,"",fuel_costs!AL$9*0.086/tech_proj!AT138/(1-tech_proj!AT418))</f>
        <v>54.242687259940197</v>
      </c>
      <c r="AU2038" s="125">
        <f>IF(tech_base!$T14&gt;AU$2025,"",fuel_costs!AM$9*0.086/tech_proj!AU138/(1-tech_proj!AU418))</f>
        <v>54.423628921832453</v>
      </c>
      <c r="AV2038" s="125">
        <f>IF(tech_base!$T14&gt;AV$2025,"",fuel_costs!AN$9*0.086/tech_proj!AV138/(1-tech_proj!AV418))</f>
        <v>54.459697020676558</v>
      </c>
      <c r="AW2038" s="125">
        <f>IF(tech_base!$T14&gt;AW$2025,"",fuel_costs!AO$9*0.086/tech_proj!AW138/(1-tech_proj!AW418))</f>
        <v>54.368783300141303</v>
      </c>
      <c r="AX2038" s="126">
        <f>IF(tech_base!$T14&gt;AX$2025,"",fuel_costs!AP$9*0.086/tech_proj!AX138/(1-tech_proj!AX418))</f>
        <v>54.268811304969354</v>
      </c>
    </row>
    <row r="2039" spans="1:50" x14ac:dyDescent="0.25">
      <c r="A2039" s="356"/>
      <c r="B2039" s="359"/>
      <c r="C2039" s="361" t="s">
        <v>16</v>
      </c>
      <c r="D2039" s="2" t="s">
        <v>7</v>
      </c>
      <c r="E2039" s="76" t="str">
        <f>A2033&amp;"/"&amp;B2033&amp;"/"&amp;C2039&amp;"/"&amp;D2039</f>
        <v>Coal fired power plants/Integrated gasification combined cycle/CHP with CCS/L</v>
      </c>
      <c r="F2039" s="76" t="str">
        <f>A2033</f>
        <v>Coal fired power plants</v>
      </c>
      <c r="G2039" s="76" t="str">
        <f>B2033</f>
        <v>Integrated gasification combined cycle</v>
      </c>
      <c r="H2039" s="76" t="str">
        <f>C2039</f>
        <v>CHP with CCS</v>
      </c>
      <c r="I2039" s="76" t="str">
        <f t="shared" si="387"/>
        <v>L</v>
      </c>
      <c r="J2039" s="119" t="str">
        <f>IF(tech_base!$T15&gt;J$2025,"",fuel_costs!B$9*0.086/tech_proj!J139/(1-tech_proj!J419))</f>
        <v/>
      </c>
      <c r="K2039" s="119" t="str">
        <f>IF(tech_base!$T15&gt;K$2025,"",fuel_costs!C$9*0.086/tech_proj!K139/(1-tech_proj!K419))</f>
        <v/>
      </c>
      <c r="L2039" s="119" t="str">
        <f>IF(tech_base!$T15&gt;L$2025,"",fuel_costs!D$9*0.086/tech_proj!L139/(1-tech_proj!L419))</f>
        <v/>
      </c>
      <c r="M2039" s="119" t="str">
        <f>IF(tech_base!$T15&gt;M$2025,"",fuel_costs!E$9*0.086/tech_proj!M139/(1-tech_proj!M419))</f>
        <v/>
      </c>
      <c r="N2039" s="119" t="str">
        <f>IF(tech_base!$T15&gt;N$2025,"",fuel_costs!F$9*0.086/tech_proj!N139/(1-tech_proj!N419))</f>
        <v/>
      </c>
      <c r="O2039" s="119" t="str">
        <f>IF(tech_base!$T15&gt;O$2025,"",fuel_costs!G$9*0.086/tech_proj!O139/(1-tech_proj!O419))</f>
        <v/>
      </c>
      <c r="P2039" s="119" t="str">
        <f>IF(tech_base!$T15&gt;P$2025,"",fuel_costs!H$9*0.086/tech_proj!P139/(1-tech_proj!P419))</f>
        <v/>
      </c>
      <c r="Q2039" s="119" t="str">
        <f>IF(tech_base!$T15&gt;Q$2025,"",fuel_costs!I$9*0.086/tech_proj!Q139/(1-tech_proj!Q419))</f>
        <v/>
      </c>
      <c r="R2039" s="119" t="str">
        <f>IF(tech_base!$T15&gt;R$2025,"",fuel_costs!J$9*0.086/tech_proj!R139/(1-tech_proj!R419))</f>
        <v/>
      </c>
      <c r="S2039" s="119" t="str">
        <f>IF(tech_base!$T15&gt;S$2025,"",fuel_costs!K$9*0.086/tech_proj!S139/(1-tech_proj!S419))</f>
        <v/>
      </c>
      <c r="T2039" s="119" t="str">
        <f>IF(tech_base!$T15&gt;T$2025,"",fuel_costs!L$9*0.086/tech_proj!T139/(1-tech_proj!T419))</f>
        <v/>
      </c>
      <c r="U2039" s="119" t="str">
        <f>IF(tech_base!$T15&gt;U$2025,"",fuel_costs!M$9*0.086/tech_proj!U139/(1-tech_proj!U419))</f>
        <v/>
      </c>
      <c r="V2039" s="119" t="str">
        <f>IF(tech_base!$T15&gt;V$2025,"",fuel_costs!N$9*0.086/tech_proj!V139/(1-tech_proj!V419))</f>
        <v/>
      </c>
      <c r="W2039" s="119" t="str">
        <f>IF(tech_base!$T15&gt;W$2025,"",fuel_costs!O$9*0.086/tech_proj!W139/(1-tech_proj!W419))</f>
        <v/>
      </c>
      <c r="X2039" s="119" t="str">
        <f>IF(tech_base!$T15&gt;X$2025,"",fuel_costs!P$9*0.086/tech_proj!X139/(1-tech_proj!X419))</f>
        <v/>
      </c>
      <c r="Y2039" s="119" t="str">
        <f>IF(tech_base!$T15&gt;Y$2025,"",fuel_costs!Q$9*0.086/tech_proj!Y139/(1-tech_proj!Y419))</f>
        <v/>
      </c>
      <c r="Z2039" s="119" t="str">
        <f>IF(tech_base!$T15&gt;Z$2025,"",fuel_costs!R$9*0.086/tech_proj!Z139/(1-tech_proj!Z419))</f>
        <v/>
      </c>
      <c r="AA2039" s="119" t="str">
        <f>IF(tech_base!$T15&gt;AA$2025,"",fuel_costs!S$9*0.086/tech_proj!AA139/(1-tech_proj!AA419))</f>
        <v/>
      </c>
      <c r="AB2039" s="119" t="str">
        <f>IF(tech_base!$T15&gt;AB$2025,"",fuel_costs!T$9*0.086/tech_proj!AB139/(1-tech_proj!AB419))</f>
        <v/>
      </c>
      <c r="AC2039" s="119" t="str">
        <f>IF(tech_base!$T15&gt;AC$2025,"",fuel_costs!U$9*0.086/tech_proj!AC139/(1-tech_proj!AC419))</f>
        <v/>
      </c>
      <c r="AD2039" s="119" t="str">
        <f>IF(tech_base!$T15&gt;AD$2025,"",fuel_costs!V$9*0.086/tech_proj!AD139/(1-tech_proj!AD419))</f>
        <v/>
      </c>
      <c r="AE2039" s="119">
        <f>IF(tech_base!$T15&gt;AE$2025,"",fuel_costs!W$9*0.086/tech_proj!AE139/(1-tech_proj!AE419))</f>
        <v>51.103683709213641</v>
      </c>
      <c r="AF2039" s="119">
        <f>IF(tech_base!$T15&gt;AF$2025,"",fuel_costs!X$9*0.086/tech_proj!AF139/(1-tech_proj!AF419))</f>
        <v>51.715858703264054</v>
      </c>
      <c r="AG2039" s="119">
        <f>IF(tech_base!$T15&gt;AG$2025,"",fuel_costs!Y$9*0.086/tech_proj!AG139/(1-tech_proj!AG419))</f>
        <v>52.354197820415465</v>
      </c>
      <c r="AH2039" s="119">
        <f>IF(tech_base!$T15&gt;AH$2025,"",fuel_costs!Z$9*0.086/tech_proj!AH139/(1-tech_proj!AH419))</f>
        <v>52.946121760665683</v>
      </c>
      <c r="AI2039" s="119">
        <f>IF(tech_base!$T15&gt;AI$2025,"",fuel_costs!AA$9*0.086/tech_proj!AI139/(1-tech_proj!AI419))</f>
        <v>53.479436380549316</v>
      </c>
      <c r="AJ2039" s="119">
        <f>IF(tech_base!$T15&gt;AJ$2025,"",fuel_costs!AB$9*0.086/tech_proj!AJ139/(1-tech_proj!AJ419))</f>
        <v>53.852072970679508</v>
      </c>
      <c r="AK2039" s="119">
        <f>IF(tech_base!$T15&gt;AK$2025,"",fuel_costs!AC$9*0.086/tech_proj!AK139/(1-tech_proj!AK419))</f>
        <v>54.291364800063121</v>
      </c>
      <c r="AL2039" s="119">
        <f>IF(tech_base!$T15&gt;AL$2025,"",fuel_costs!AD$9*0.086/tech_proj!AL139/(1-tech_proj!AL419))</f>
        <v>54.777281624031126</v>
      </c>
      <c r="AM2039" s="119">
        <f>IF(tech_base!$T15&gt;AM$2025,"",fuel_costs!AE$9*0.086/tech_proj!AM139/(1-tech_proj!AM419))</f>
        <v>55.299773011375954</v>
      </c>
      <c r="AN2039" s="119">
        <f>IF(tech_base!$T15&gt;AN$2025,"",fuel_costs!AF$9*0.086/tech_proj!AN139/(1-tech_proj!AN419))</f>
        <v>55.68939159064405</v>
      </c>
      <c r="AO2039" s="119">
        <f>IF(tech_base!$T15&gt;AO$2025,"",fuel_costs!AG$9*0.086/tech_proj!AO139/(1-tech_proj!AO419))</f>
        <v>56.061755783850948</v>
      </c>
      <c r="AP2039" s="119">
        <f>IF(tech_base!$T15&gt;AP$2025,"",fuel_costs!AH$9*0.086/tech_proj!AP139/(1-tech_proj!AP419))</f>
        <v>56.413879998029678</v>
      </c>
      <c r="AQ2039" s="119">
        <f>IF(tech_base!$T15&gt;AQ$2025,"",fuel_costs!AI$9*0.086/tech_proj!AQ139/(1-tech_proj!AQ419))</f>
        <v>56.747473671444133</v>
      </c>
      <c r="AR2039" s="119">
        <f>IF(tech_base!$T15&gt;AR$2025,"",fuel_costs!AJ$9*0.086/tech_proj!AR139/(1-tech_proj!AR419))</f>
        <v>57.099333733963</v>
      </c>
      <c r="AS2039" s="119">
        <f>IF(tech_base!$T15&gt;AS$2025,"",fuel_costs!AK$9*0.086/tech_proj!AS139/(1-tech_proj!AS419))</f>
        <v>57.431874189565747</v>
      </c>
      <c r="AT2039" s="119">
        <f>IF(tech_base!$T15&gt;AT$2025,"",fuel_costs!AL$9*0.086/tech_proj!AT139/(1-tech_proj!AT419))</f>
        <v>57.566739542777498</v>
      </c>
      <c r="AU2039" s="119">
        <f>IF(tech_base!$T15&gt;AU$2025,"",fuel_costs!AM$9*0.086/tech_proj!AU139/(1-tech_proj!AU419))</f>
        <v>57.789672184910202</v>
      </c>
      <c r="AV2039" s="119">
        <f>IF(tech_base!$T15&gt;AV$2025,"",fuel_costs!AN$9*0.086/tech_proj!AV139/(1-tech_proj!AV419))</f>
        <v>57.882576694643845</v>
      </c>
      <c r="AW2039" s="119">
        <f>IF(tech_base!$T15&gt;AW$2025,"",fuel_costs!AO$9*0.086/tech_proj!AW139/(1-tech_proj!AW419))</f>
        <v>57.872312676646722</v>
      </c>
      <c r="AX2039" s="120">
        <f>IF(tech_base!$T15&gt;AX$2025,"",fuel_costs!AP$9*0.086/tech_proj!AX139/(1-tech_proj!AX419))</f>
        <v>57.890913621114429</v>
      </c>
    </row>
    <row r="2040" spans="1:50" x14ac:dyDescent="0.25">
      <c r="A2040" s="356"/>
      <c r="B2040" s="362"/>
      <c r="C2040" s="381"/>
      <c r="D2040" s="4" t="s">
        <v>8</v>
      </c>
      <c r="E2040" s="80" t="str">
        <f>A2033&amp;"/"&amp;B2033&amp;"/"&amp;C2039&amp;"/"&amp;D2040</f>
        <v>Coal fired power plants/Integrated gasification combined cycle/CHP with CCS/M</v>
      </c>
      <c r="F2040" s="80" t="str">
        <f>A2033</f>
        <v>Coal fired power plants</v>
      </c>
      <c r="G2040" s="80" t="str">
        <f>B2033</f>
        <v>Integrated gasification combined cycle</v>
      </c>
      <c r="H2040" s="80" t="str">
        <f>C2039</f>
        <v>CHP with CCS</v>
      </c>
      <c r="I2040" s="80" t="str">
        <f t="shared" si="387"/>
        <v>M</v>
      </c>
      <c r="J2040" s="127" t="str">
        <f>IF(tech_base!$T16&gt;J$2025,"",fuel_costs!B$9*0.086/tech_proj!J140/(1-tech_proj!J420))</f>
        <v/>
      </c>
      <c r="K2040" s="127" t="str">
        <f>IF(tech_base!$T16&gt;K$2025,"",fuel_costs!C$9*0.086/tech_proj!K140/(1-tech_proj!K420))</f>
        <v/>
      </c>
      <c r="L2040" s="127" t="str">
        <f>IF(tech_base!$T16&gt;L$2025,"",fuel_costs!D$9*0.086/tech_proj!L140/(1-tech_proj!L420))</f>
        <v/>
      </c>
      <c r="M2040" s="127" t="str">
        <f>IF(tech_base!$T16&gt;M$2025,"",fuel_costs!E$9*0.086/tech_proj!M140/(1-tech_proj!M420))</f>
        <v/>
      </c>
      <c r="N2040" s="127" t="str">
        <f>IF(tech_base!$T16&gt;N$2025,"",fuel_costs!F$9*0.086/tech_proj!N140/(1-tech_proj!N420))</f>
        <v/>
      </c>
      <c r="O2040" s="127" t="str">
        <f>IF(tech_base!$T16&gt;O$2025,"",fuel_costs!G$9*0.086/tech_proj!O140/(1-tech_proj!O420))</f>
        <v/>
      </c>
      <c r="P2040" s="127" t="str">
        <f>IF(tech_base!$T16&gt;P$2025,"",fuel_costs!H$9*0.086/tech_proj!P140/(1-tech_proj!P420))</f>
        <v/>
      </c>
      <c r="Q2040" s="127" t="str">
        <f>IF(tech_base!$T16&gt;Q$2025,"",fuel_costs!I$9*0.086/tech_proj!Q140/(1-tech_proj!Q420))</f>
        <v/>
      </c>
      <c r="R2040" s="127" t="str">
        <f>IF(tech_base!$T16&gt;R$2025,"",fuel_costs!J$9*0.086/tech_proj!R140/(1-tech_proj!R420))</f>
        <v/>
      </c>
      <c r="S2040" s="127" t="str">
        <f>IF(tech_base!$T16&gt;S$2025,"",fuel_costs!K$9*0.086/tech_proj!S140/(1-tech_proj!S420))</f>
        <v/>
      </c>
      <c r="T2040" s="127" t="str">
        <f>IF(tech_base!$T16&gt;T$2025,"",fuel_costs!L$9*0.086/tech_proj!T140/(1-tech_proj!T420))</f>
        <v/>
      </c>
      <c r="U2040" s="127" t="str">
        <f>IF(tech_base!$T16&gt;U$2025,"",fuel_costs!M$9*0.086/tech_proj!U140/(1-tech_proj!U420))</f>
        <v/>
      </c>
      <c r="V2040" s="127" t="str">
        <f>IF(tech_base!$T16&gt;V$2025,"",fuel_costs!N$9*0.086/tech_proj!V140/(1-tech_proj!V420))</f>
        <v/>
      </c>
      <c r="W2040" s="127" t="str">
        <f>IF(tech_base!$T16&gt;W$2025,"",fuel_costs!O$9*0.086/tech_proj!W140/(1-tech_proj!W420))</f>
        <v/>
      </c>
      <c r="X2040" s="127" t="str">
        <f>IF(tech_base!$T16&gt;X$2025,"",fuel_costs!P$9*0.086/tech_proj!X140/(1-tech_proj!X420))</f>
        <v/>
      </c>
      <c r="Y2040" s="127" t="str">
        <f>IF(tech_base!$T16&gt;Y$2025,"",fuel_costs!Q$9*0.086/tech_proj!Y140/(1-tech_proj!Y420))</f>
        <v/>
      </c>
      <c r="Z2040" s="127" t="str">
        <f>IF(tech_base!$T16&gt;Z$2025,"",fuel_costs!R$9*0.086/tech_proj!Z140/(1-tech_proj!Z420))</f>
        <v/>
      </c>
      <c r="AA2040" s="127" t="str">
        <f>IF(tech_base!$T16&gt;AA$2025,"",fuel_costs!S$9*0.086/tech_proj!AA140/(1-tech_proj!AA420))</f>
        <v/>
      </c>
      <c r="AB2040" s="127" t="str">
        <f>IF(tech_base!$T16&gt;AB$2025,"",fuel_costs!T$9*0.086/tech_proj!AB140/(1-tech_proj!AB420))</f>
        <v/>
      </c>
      <c r="AC2040" s="127" t="str">
        <f>IF(tech_base!$T16&gt;AC$2025,"",fuel_costs!U$9*0.086/tech_proj!AC140/(1-tech_proj!AC420))</f>
        <v/>
      </c>
      <c r="AD2040" s="127" t="str">
        <f>IF(tech_base!$T16&gt;AD$2025,"",fuel_costs!V$9*0.086/tech_proj!AD140/(1-tech_proj!AD420))</f>
        <v/>
      </c>
      <c r="AE2040" s="127">
        <f>IF(tech_base!$T16&gt;AE$2025,"",fuel_costs!W$9*0.086/tech_proj!AE140/(1-tech_proj!AE420))</f>
        <v>54.481393535626978</v>
      </c>
      <c r="AF2040" s="127">
        <f>IF(tech_base!$T16&gt;AF$2025,"",fuel_costs!X$9*0.086/tech_proj!AF140/(1-tech_proj!AF420))</f>
        <v>55.135342667839026</v>
      </c>
      <c r="AG2040" s="127">
        <f>IF(tech_base!$T16&gt;AG$2025,"",fuel_costs!Y$9*0.086/tech_proj!AG140/(1-tech_proj!AG420))</f>
        <v>55.817591398186529</v>
      </c>
      <c r="AH2040" s="127">
        <f>IF(tech_base!$T16&gt;AH$2025,"",fuel_costs!Z$9*0.086/tech_proj!AH140/(1-tech_proj!AH420))</f>
        <v>56.450865441055896</v>
      </c>
      <c r="AI2040" s="127">
        <f>IF(tech_base!$T16&gt;AI$2025,"",fuel_costs!AA$9*0.086/tech_proj!AI140/(1-tech_proj!AI420))</f>
        <v>57.02228265536111</v>
      </c>
      <c r="AJ2040" s="127">
        <f>IF(tech_base!$T16&gt;AJ$2025,"",fuel_costs!AB$9*0.086/tech_proj!AJ140/(1-tech_proj!AJ420))</f>
        <v>57.423139004555381</v>
      </c>
      <c r="AK2040" s="127">
        <f>IF(tech_base!$T16&gt;AK$2025,"",fuel_costs!AC$9*0.086/tech_proj!AK140/(1-tech_proj!AK420))</f>
        <v>57.89597774516907</v>
      </c>
      <c r="AL2040" s="127">
        <f>IF(tech_base!$T16&gt;AL$2025,"",fuel_costs!AD$9*0.086/tech_proj!AL140/(1-tech_proj!AL420))</f>
        <v>58.419604380549011</v>
      </c>
      <c r="AM2040" s="127">
        <f>IF(tech_base!$T16&gt;AM$2025,"",fuel_costs!AE$9*0.086/tech_proj!AM140/(1-tech_proj!AM420))</f>
        <v>58.983442593214193</v>
      </c>
      <c r="AN2040" s="127">
        <f>IF(tech_base!$T16&gt;AN$2025,"",fuel_costs!AF$9*0.086/tech_proj!AN140/(1-tech_proj!AN420))</f>
        <v>59.406811720235623</v>
      </c>
      <c r="AO2040" s="127">
        <f>IF(tech_base!$T16&gt;AO$2025,"",fuel_costs!AG$9*0.086/tech_proj!AO140/(1-tech_proj!AO420))</f>
        <v>59.81292796319034</v>
      </c>
      <c r="AP2040" s="127">
        <f>IF(tech_base!$T16&gt;AP$2025,"",fuel_costs!AH$9*0.086/tech_proj!AP140/(1-tech_proj!AP420))</f>
        <v>60.19826073098627</v>
      </c>
      <c r="AQ2040" s="127">
        <f>IF(tech_base!$T16&gt;AQ$2025,"",fuel_costs!AI$9*0.086/tech_proj!AQ140/(1-tech_proj!AQ420))</f>
        <v>60.563864478617788</v>
      </c>
      <c r="AR2040" s="127">
        <f>IF(tech_base!$T16&gt;AR$2025,"",fuel_costs!AJ$9*0.086/tech_proj!AR140/(1-tech_proj!AR420))</f>
        <v>60.947586457497749</v>
      </c>
      <c r="AS2040" s="127">
        <f>IF(tech_base!$T16&gt;AS$2025,"",fuel_costs!AK$9*0.086/tech_proj!AS140/(1-tech_proj!AS420))</f>
        <v>61.306919884294075</v>
      </c>
      <c r="AT2040" s="127">
        <f>IF(tech_base!$T16&gt;AT$2025,"",fuel_costs!AL$9*0.086/tech_proj!AT140/(1-tech_proj!AT420))</f>
        <v>61.44778327933107</v>
      </c>
      <c r="AU2040" s="127">
        <f>IF(tech_base!$T16&gt;AU$2025,"",fuel_costs!AM$9*0.086/tech_proj!AU140/(1-tech_proj!AU420))</f>
        <v>61.669999786762638</v>
      </c>
      <c r="AV2040" s="127">
        <f>IF(tech_base!$T16&gt;AV$2025,"",fuel_costs!AN$9*0.086/tech_proj!AV140/(1-tech_proj!AV420))</f>
        <v>61.734221100693453</v>
      </c>
      <c r="AW2040" s="127">
        <f>IF(tech_base!$T16&gt;AW$2025,"",fuel_costs!AO$9*0.086/tech_proj!AW140/(1-tech_proj!AW420))</f>
        <v>61.662130530812284</v>
      </c>
      <c r="AX2040" s="128">
        <f>IF(tech_base!$T16&gt;AX$2025,"",fuel_costs!AP$9*0.086/tech_proj!AX140/(1-tech_proj!AX420))</f>
        <v>61.588772126759835</v>
      </c>
    </row>
    <row r="2041" spans="1:50" x14ac:dyDescent="0.25">
      <c r="A2041" s="356"/>
      <c r="B2041" s="358" t="s">
        <v>17</v>
      </c>
      <c r="C2041" s="353" t="s">
        <v>6</v>
      </c>
      <c r="D2041" s="3" t="s">
        <v>7</v>
      </c>
      <c r="E2041" s="77" t="str">
        <f>A2033&amp;"/"&amp;B2041&amp;"/"&amp;C2041&amp;"/"&amp;D2041</f>
        <v>Coal fired power plants/Supercritical steam turbine/Electricity only/L</v>
      </c>
      <c r="F2041" s="77" t="str">
        <f>A2033</f>
        <v>Coal fired power plants</v>
      </c>
      <c r="G2041" s="77" t="str">
        <f>B2041</f>
        <v>Supercritical steam turbine</v>
      </c>
      <c r="H2041" s="77" t="str">
        <f>C2041</f>
        <v>Electricity only</v>
      </c>
      <c r="I2041" s="77" t="str">
        <f t="shared" si="387"/>
        <v>L</v>
      </c>
      <c r="J2041" s="121">
        <f>IF(tech_base!$T17&gt;J$2025,"",fuel_costs!B$9*0.086/tech_proj!J141/(1-tech_proj!J421))</f>
        <v>25.477945006154698</v>
      </c>
      <c r="K2041" s="121">
        <f>IF(tech_base!$T17&gt;K$2025,"",fuel_costs!C$9*0.086/tech_proj!K141/(1-tech_proj!K421))</f>
        <v>31.813918678156984</v>
      </c>
      <c r="L2041" s="121">
        <f>IF(tech_base!$T17&gt;L$2025,"",fuel_costs!D$9*0.086/tech_proj!L141/(1-tech_proj!L421))</f>
        <v>27.064204048628007</v>
      </c>
      <c r="M2041" s="121">
        <f>IF(tech_base!$T17&gt;M$2025,"",fuel_costs!E$9*0.086/tech_proj!M141/(1-tech_proj!M421))</f>
        <v>24.427950313245979</v>
      </c>
      <c r="N2041" s="121">
        <f>IF(tech_base!$T17&gt;N$2025,"",fuel_costs!F$9*0.086/tech_proj!N141/(1-tech_proj!N421))</f>
        <v>23.450322918001802</v>
      </c>
      <c r="O2041" s="121">
        <f>IF(tech_base!$T17&gt;O$2025,"",fuel_costs!G$9*0.086/tech_proj!O141/(1-tech_proj!O421))</f>
        <v>22.03584763553145</v>
      </c>
      <c r="P2041" s="121">
        <f>IF(tech_base!$T17&gt;P$2025,"",fuel_costs!H$9*0.086/tech_proj!P141/(1-tech_proj!P421))</f>
        <v>23.280938465045089</v>
      </c>
      <c r="Q2041" s="121">
        <f>IF(tech_base!$T17&gt;Q$2025,"",fuel_costs!I$9*0.086/tech_proj!Q141/(1-tech_proj!Q421))</f>
        <v>29.603668278828561</v>
      </c>
      <c r="R2041" s="121">
        <f>IF(tech_base!$T17&gt;R$2025,"",fuel_costs!J$9*0.086/tech_proj!R141/(1-tech_proj!R421))</f>
        <v>29.771723728345659</v>
      </c>
      <c r="S2041" s="121">
        <f>IF(tech_base!$T17&gt;S$2025,"",fuel_costs!K$9*0.086/tech_proj!S141/(1-tech_proj!S421))</f>
        <v>29.937679057109641</v>
      </c>
      <c r="T2041" s="121">
        <f>IF(tech_base!$T17&gt;T$2025,"",fuel_costs!L$9*0.086/tech_proj!T141/(1-tech_proj!T421))</f>
        <v>30.101469164772816</v>
      </c>
      <c r="U2041" s="121">
        <f>IF(tech_base!$T17&gt;U$2025,"",fuel_costs!M$9*0.086/tech_proj!U141/(1-tech_proj!U421))</f>
        <v>30.78142043531032</v>
      </c>
      <c r="V2041" s="121">
        <f>IF(tech_base!$T17&gt;V$2025,"",fuel_costs!N$9*0.086/tech_proj!V141/(1-tech_proj!V421))</f>
        <v>30.800043747933277</v>
      </c>
      <c r="W2041" s="121">
        <f>IF(tech_base!$T17&gt;W$2025,"",fuel_costs!O$9*0.086/tech_proj!W141/(1-tech_proj!W421))</f>
        <v>30.775928784468437</v>
      </c>
      <c r="X2041" s="121">
        <f>IF(tech_base!$T17&gt;X$2025,"",fuel_costs!P$9*0.086/tech_proj!X141/(1-tech_proj!X421))</f>
        <v>30.950605215959936</v>
      </c>
      <c r="Y2041" s="121">
        <f>IF(tech_base!$T17&gt;Y$2025,"",fuel_costs!Q$9*0.086/tech_proj!Y141/(1-tech_proj!Y421))</f>
        <v>31.155518854515165</v>
      </c>
      <c r="Z2041" s="121">
        <f>IF(tech_base!$T17&gt;Z$2025,"",fuel_costs!R$9*0.086/tech_proj!Z141/(1-tech_proj!Z421))</f>
        <v>32.134362301648139</v>
      </c>
      <c r="AA2041" s="121">
        <f>IF(tech_base!$T17&gt;AA$2025,"",fuel_costs!S$9*0.086/tech_proj!AA141/(1-tech_proj!AA421))</f>
        <v>33.109015045826098</v>
      </c>
      <c r="AB2041" s="121">
        <f>IF(tech_base!$T17&gt;AB$2025,"",fuel_costs!T$9*0.086/tech_proj!AB141/(1-tech_proj!AB421))</f>
        <v>34.114423933858667</v>
      </c>
      <c r="AC2041" s="121">
        <f>IF(tech_base!$T17&gt;AC$2025,"",fuel_costs!U$9*0.086/tech_proj!AC141/(1-tech_proj!AC421))</f>
        <v>35.125180153706602</v>
      </c>
      <c r="AD2041" s="121">
        <f>IF(tech_base!$T17&gt;AD$2025,"",fuel_costs!V$9*0.086/tech_proj!AD141/(1-tech_proj!AD421))</f>
        <v>36.229446084187877</v>
      </c>
      <c r="AE2041" s="121">
        <f>IF(tech_base!$T17&gt;AE$2025,"",fuel_costs!W$9*0.086/tech_proj!AE141/(1-tech_proj!AE421))</f>
        <v>36.524733730527082</v>
      </c>
      <c r="AF2041" s="121">
        <f>IF(tech_base!$T17&gt;AF$2025,"",fuel_costs!X$9*0.086/tech_proj!AF141/(1-tech_proj!AF421))</f>
        <v>36.929515332221968</v>
      </c>
      <c r="AG2041" s="121">
        <f>IF(tech_base!$T17&gt;AG$2025,"",fuel_costs!Y$9*0.086/tech_proj!AG141/(1-tech_proj!AG421))</f>
        <v>37.346881268146056</v>
      </c>
      <c r="AH2041" s="121">
        <f>IF(tech_base!$T17&gt;AH$2025,"",fuel_costs!Z$9*0.086/tech_proj!AH141/(1-tech_proj!AH421))</f>
        <v>37.724488133439912</v>
      </c>
      <c r="AI2041" s="121">
        <f>IF(tech_base!$T17&gt;AI$2025,"",fuel_costs!AA$9*0.086/tech_proj!AI141/(1-tech_proj!AI421))</f>
        <v>38.05339460248414</v>
      </c>
      <c r="AJ2041" s="121">
        <f>IF(tech_base!$T17&gt;AJ$2025,"",fuel_costs!AB$9*0.086/tech_proj!AJ141/(1-tech_proj!AJ421))</f>
        <v>38.261181089722541</v>
      </c>
      <c r="AK2041" s="121">
        <f>IF(tech_base!$T17&gt;AK$2025,"",fuel_costs!AC$9*0.086/tech_proj!AK141/(1-tech_proj!AK421))</f>
        <v>38.510029487736325</v>
      </c>
      <c r="AL2041" s="121">
        <f>IF(tech_base!$T17&gt;AL$2025,"",fuel_costs!AD$9*0.086/tech_proj!AL141/(1-tech_proj!AL421))</f>
        <v>38.786512749105391</v>
      </c>
      <c r="AM2041" s="121">
        <f>IF(tech_base!$T17&gt;AM$2025,"",fuel_costs!AE$9*0.086/tech_proj!AM141/(1-tech_proj!AM421))</f>
        <v>39.085085766124706</v>
      </c>
      <c r="AN2041" s="121">
        <f>IF(tech_base!$T17&gt;AN$2025,"",fuel_costs!AF$9*0.086/tech_proj!AN141/(1-tech_proj!AN421))</f>
        <v>39.288695474587847</v>
      </c>
      <c r="AO2041" s="121">
        <f>IF(tech_base!$T17&gt;AO$2025,"",fuel_costs!AG$9*0.086/tech_proj!AO141/(1-tech_proj!AO421))</f>
        <v>39.482902367833098</v>
      </c>
      <c r="AP2041" s="121">
        <f>IF(tech_base!$T17&gt;AP$2025,"",fuel_costs!AH$9*0.086/tech_proj!AP141/(1-tech_proj!AP421))</f>
        <v>39.670309627943411</v>
      </c>
      <c r="AQ2041" s="121">
        <f>IF(tech_base!$T17&gt;AQ$2025,"",fuel_costs!AI$9*0.086/tech_proj!AQ141/(1-tech_proj!AQ421))</f>
        <v>39.857784641707873</v>
      </c>
      <c r="AR2041" s="121">
        <f>IF(tech_base!$T17&gt;AR$2025,"",fuel_costs!AJ$9*0.086/tech_proj!AR141/(1-tech_proj!AR421))</f>
        <v>40.077649725903811</v>
      </c>
      <c r="AS2041" s="121">
        <f>IF(tech_base!$T17&gt;AS$2025,"",fuel_costs!AK$9*0.086/tech_proj!AS141/(1-tech_proj!AS421))</f>
        <v>40.310679955902017</v>
      </c>
      <c r="AT2041" s="121">
        <f>IF(tech_base!$T17&gt;AT$2025,"",fuel_costs!AL$9*0.086/tech_proj!AT141/(1-tech_proj!AT421))</f>
        <v>40.439255941823966</v>
      </c>
      <c r="AU2041" s="121">
        <f>IF(tech_base!$T17&gt;AU$2025,"",fuel_costs!AM$9*0.086/tech_proj!AU141/(1-tech_proj!AU421))</f>
        <v>40.671632727481544</v>
      </c>
      <c r="AV2041" s="121">
        <f>IF(tech_base!$T17&gt;AV$2025,"",fuel_costs!AN$9*0.086/tech_proj!AV141/(1-tech_proj!AV421))</f>
        <v>40.861689033841913</v>
      </c>
      <c r="AW2041" s="121">
        <f>IF(tech_base!$T17&gt;AW$2025,"",fuel_costs!AO$9*0.086/tech_proj!AW141/(1-tech_proj!AW421))</f>
        <v>41.033817839702145</v>
      </c>
      <c r="AX2041" s="122">
        <f>IF(tech_base!$T17&gt;AX$2025,"",fuel_costs!AP$9*0.086/tech_proj!AX141/(1-tech_proj!AX421))</f>
        <v>41.284979150206418</v>
      </c>
    </row>
    <row r="2042" spans="1:50" x14ac:dyDescent="0.25">
      <c r="A2042" s="356"/>
      <c r="B2042" s="376"/>
      <c r="C2042" s="379"/>
      <c r="D2042" s="2" t="s">
        <v>8</v>
      </c>
      <c r="E2042" s="76" t="str">
        <f>A2033&amp;"/"&amp;B2041&amp;"/"&amp;C2041&amp;"/"&amp;D2042</f>
        <v>Coal fired power plants/Supercritical steam turbine/Electricity only/M</v>
      </c>
      <c r="F2042" s="76" t="str">
        <f>A2033</f>
        <v>Coal fired power plants</v>
      </c>
      <c r="G2042" s="76" t="str">
        <f>B2041</f>
        <v>Supercritical steam turbine</v>
      </c>
      <c r="H2042" s="76" t="str">
        <f>C2041</f>
        <v>Electricity only</v>
      </c>
      <c r="I2042" s="76" t="str">
        <f t="shared" si="387"/>
        <v>M</v>
      </c>
      <c r="J2042" s="119">
        <f>IF(tech_base!$T18&gt;J$2025,"",fuel_costs!B$9*0.086/tech_proj!J142/(1-tech_proj!J422))</f>
        <v>26.82242759223146</v>
      </c>
      <c r="K2042" s="119">
        <f>IF(tech_base!$T18&gt;K$2025,"",fuel_costs!C$9*0.086/tech_proj!K142/(1-tech_proj!K422))</f>
        <v>33.492321407232232</v>
      </c>
      <c r="L2042" s="119">
        <f>IF(tech_base!$T18&gt;L$2025,"",fuel_costs!D$9*0.086/tech_proj!L142/(1-tech_proj!L422))</f>
        <v>28.491604053501511</v>
      </c>
      <c r="M2042" s="119">
        <f>IF(tech_base!$T18&gt;M$2025,"",fuel_costs!E$9*0.086/tech_proj!M142/(1-tech_proj!M422))</f>
        <v>25.71587332808441</v>
      </c>
      <c r="N2042" s="119">
        <f>IF(tech_base!$T18&gt;N$2025,"",fuel_costs!F$9*0.086/tech_proj!N142/(1-tech_proj!N422))</f>
        <v>24.686221387417053</v>
      </c>
      <c r="O2042" s="119">
        <f>IF(tech_base!$T18&gt;O$2025,"",fuel_costs!G$9*0.086/tech_proj!O142/(1-tech_proj!O422))</f>
        <v>23.196683811557261</v>
      </c>
      <c r="P2042" s="119">
        <f>IF(tech_base!$T18&gt;P$2025,"",fuel_costs!H$9*0.086/tech_proj!P142/(1-tech_proj!P422))</f>
        <v>24.506746059384401</v>
      </c>
      <c r="Q2042" s="119">
        <f>IF(tech_base!$T18&gt;Q$2025,"",fuel_costs!I$9*0.086/tech_proj!Q142/(1-tech_proj!Q422))</f>
        <v>31.161493380687592</v>
      </c>
      <c r="R2042" s="119">
        <f>IF(tech_base!$T18&gt;R$2025,"",fuel_costs!J$9*0.086/tech_proj!R142/(1-tech_proj!R422))</f>
        <v>31.337380008342734</v>
      </c>
      <c r="S2042" s="119">
        <f>IF(tech_base!$T18&gt;S$2025,"",fuel_costs!K$9*0.086/tech_proj!S142/(1-tech_proj!S422))</f>
        <v>31.51091957687472</v>
      </c>
      <c r="T2042" s="119">
        <f>IF(tech_base!$T18&gt;T$2025,"",fuel_costs!L$9*0.086/tech_proj!T142/(1-tech_proj!T422))</f>
        <v>31.682033258717819</v>
      </c>
      <c r="U2042" s="119">
        <f>IF(tech_base!$T18&gt;U$2025,"",fuel_costs!M$9*0.086/tech_proj!U142/(1-tech_proj!U422))</f>
        <v>32.396230415557667</v>
      </c>
      <c r="V2042" s="119">
        <f>IF(tech_base!$T18&gt;V$2025,"",fuel_costs!N$9*0.086/tech_proj!V142/(1-tech_proj!V422))</f>
        <v>32.414224415420357</v>
      </c>
      <c r="W2042" s="119">
        <f>IF(tech_base!$T18&gt;W$2025,"",fuel_costs!O$9*0.086/tech_proj!W142/(1-tech_proj!W422))</f>
        <v>32.387091902626224</v>
      </c>
      <c r="X2042" s="119">
        <f>IF(tech_base!$T18&gt;X$2025,"",fuel_costs!P$9*0.086/tech_proj!X142/(1-tech_proj!X422))</f>
        <v>32.569004779158732</v>
      </c>
      <c r="Y2042" s="119">
        <f>IF(tech_base!$T18&gt;Y$2025,"",fuel_costs!Q$9*0.086/tech_proj!Y142/(1-tech_proj!Y422))</f>
        <v>32.782579362013244</v>
      </c>
      <c r="Z2042" s="119">
        <f>IF(tech_base!$T18&gt;Z$2025,"",fuel_costs!R$9*0.086/tech_proj!Z142/(1-tech_proj!Z422))</f>
        <v>33.810307648062079</v>
      </c>
      <c r="AA2042" s="119">
        <f>IF(tech_base!$T18&gt;AA$2025,"",fuel_costs!S$9*0.086/tech_proj!AA142/(1-tech_proj!AA422))</f>
        <v>34.833405412870142</v>
      </c>
      <c r="AB2042" s="119">
        <f>IF(tech_base!$T18&gt;AB$2025,"",fuel_costs!T$9*0.086/tech_proj!AB142/(1-tech_proj!AB422))</f>
        <v>35.888678344169016</v>
      </c>
      <c r="AC2042" s="119">
        <f>IF(tech_base!$T18&gt;AC$2025,"",fuel_costs!U$9*0.086/tech_proj!AC142/(1-tech_proj!AC422))</f>
        <v>36.94945151086209</v>
      </c>
      <c r="AD2042" s="119">
        <f>IF(tech_base!$T18&gt;AD$2025,"",fuel_costs!V$9*0.086/tech_proj!AD142/(1-tech_proj!AD422))</f>
        <v>38.108540179512502</v>
      </c>
      <c r="AE2042" s="119">
        <f>IF(tech_base!$T18&gt;AE$2025,"",fuel_costs!W$9*0.086/tech_proj!AE142/(1-tech_proj!AE422))</f>
        <v>38.416788092155258</v>
      </c>
      <c r="AF2042" s="119">
        <f>IF(tech_base!$T18&gt;AF$2025,"",fuel_costs!X$9*0.086/tech_proj!AF142/(1-tech_proj!AF422))</f>
        <v>38.840446319675038</v>
      </c>
      <c r="AG2042" s="119">
        <f>IF(tech_base!$T18&gt;AG$2025,"",fuel_costs!Y$9*0.086/tech_proj!AG142/(1-tech_proj!AG422))</f>
        <v>39.277668030422376</v>
      </c>
      <c r="AH2042" s="119">
        <f>IF(tech_base!$T18&gt;AH$2025,"",fuel_costs!Z$9*0.086/tech_proj!AH142/(1-tech_proj!AH422))</f>
        <v>39.673463999839264</v>
      </c>
      <c r="AI2042" s="119">
        <f>IF(tech_base!$T18&gt;AI$2025,"",fuel_costs!AA$9*0.086/tech_proj!AI142/(1-tech_proj!AI422))</f>
        <v>40.018429586848747</v>
      </c>
      <c r="AJ2042" s="119">
        <f>IF(tech_base!$T18&gt;AJ$2025,"",fuel_costs!AB$9*0.086/tech_proj!AJ142/(1-tech_proj!AJ422))</f>
        <v>40.236295864100072</v>
      </c>
      <c r="AK2042" s="119">
        <f>IF(tech_base!$T18&gt;AK$2025,"",fuel_costs!AC$9*0.086/tech_proj!AK142/(1-tech_proj!AK422))</f>
        <v>40.497349847658427</v>
      </c>
      <c r="AL2042" s="119">
        <f>IF(tech_base!$T18&gt;AL$2025,"",fuel_costs!AD$9*0.086/tech_proj!AL142/(1-tech_proj!AL422))</f>
        <v>40.786999718384308</v>
      </c>
      <c r="AM2042" s="119">
        <f>IF(tech_base!$T18&gt;AM$2025,"",fuel_costs!AE$9*0.086/tech_proj!AM142/(1-tech_proj!AM422))</f>
        <v>41.09871114784346</v>
      </c>
      <c r="AN2042" s="119">
        <f>IF(tech_base!$T18&gt;AN$2025,"",fuel_costs!AF$9*0.086/tech_proj!AN142/(1-tech_proj!AN422))</f>
        <v>41.308476118233919</v>
      </c>
      <c r="AO2042" s="119">
        <f>IF(tech_base!$T18&gt;AO$2025,"",fuel_costs!AG$9*0.086/tech_proj!AO142/(1-tech_proj!AO422))</f>
        <v>41.505177711023478</v>
      </c>
      <c r="AP2042" s="119">
        <f>IF(tech_base!$T18&gt;AP$2025,"",fuel_costs!AH$9*0.086/tech_proj!AP142/(1-tech_proj!AP422))</f>
        <v>41.690407521625197</v>
      </c>
      <c r="AQ2042" s="119">
        <f>IF(tech_base!$T18&gt;AQ$2025,"",fuel_costs!AI$9*0.086/tech_proj!AQ142/(1-tech_proj!AQ422))</f>
        <v>41.870347932324002</v>
      </c>
      <c r="AR2042" s="119">
        <f>IF(tech_base!$T18&gt;AR$2025,"",fuel_costs!AJ$9*0.086/tech_proj!AR142/(1-tech_proj!AR422))</f>
        <v>42.078201739406005</v>
      </c>
      <c r="AS2042" s="119">
        <f>IF(tech_base!$T18&gt;AS$2025,"",fuel_costs!AK$9*0.086/tech_proj!AS142/(1-tech_proj!AS422))</f>
        <v>42.293478219738063</v>
      </c>
      <c r="AT2042" s="119">
        <f>IF(tech_base!$T18&gt;AT$2025,"",fuel_costs!AL$9*0.086/tech_proj!AT142/(1-tech_proj!AT422))</f>
        <v>42.393171201100778</v>
      </c>
      <c r="AU2042" s="119">
        <f>IF(tech_base!$T18&gt;AU$2025,"",fuel_costs!AM$9*0.086/tech_proj!AU142/(1-tech_proj!AU422))</f>
        <v>42.596628571601244</v>
      </c>
      <c r="AV2042" s="119">
        <f>IF(tech_base!$T18&gt;AV$2025,"",fuel_costs!AN$9*0.086/tech_proj!AV142/(1-tech_proj!AV422))</f>
        <v>42.752082093141226</v>
      </c>
      <c r="AW2042" s="119">
        <f>IF(tech_base!$T18&gt;AW$2025,"",fuel_costs!AO$9*0.086/tech_proj!AW142/(1-tech_proj!AW422))</f>
        <v>42.886878448795287</v>
      </c>
      <c r="AX2042" s="120">
        <f>IF(tech_base!$T18&gt;AX$2025,"",fuel_costs!AP$9*0.086/tech_proj!AX142/(1-tech_proj!AX422))</f>
        <v>43.104080653997144</v>
      </c>
    </row>
    <row r="2043" spans="1:50" x14ac:dyDescent="0.25">
      <c r="A2043" s="356"/>
      <c r="B2043" s="376"/>
      <c r="C2043" s="361" t="s">
        <v>14</v>
      </c>
      <c r="D2043" s="58" t="s">
        <v>7</v>
      </c>
      <c r="E2043" s="78" t="str">
        <f>A2033&amp;"/"&amp;B2041&amp;"/"&amp;C2043&amp;"/"&amp;D2043</f>
        <v>Coal fired power plants/Supercritical steam turbine/CHP/L</v>
      </c>
      <c r="F2043" s="78" t="str">
        <f>A2033</f>
        <v>Coal fired power plants</v>
      </c>
      <c r="G2043" s="78" t="str">
        <f>B2041</f>
        <v>Supercritical steam turbine</v>
      </c>
      <c r="H2043" s="78" t="str">
        <f>C2043</f>
        <v>CHP</v>
      </c>
      <c r="I2043" s="78" t="str">
        <f t="shared" si="387"/>
        <v>L</v>
      </c>
      <c r="J2043" s="123">
        <f>IF(tech_base!$T19&gt;J$2025,"",fuel_costs!B$9*0.086/tech_proj!J143/(1-tech_proj!J423))</f>
        <v>28.174023842784827</v>
      </c>
      <c r="K2043" s="123">
        <f>IF(tech_base!$T19&gt;K$2025,"",fuel_costs!C$9*0.086/tech_proj!K143/(1-tech_proj!K423))</f>
        <v>35.18055078793018</v>
      </c>
      <c r="L2043" s="123">
        <f>IF(tech_base!$T19&gt;L$2025,"",fuel_costs!D$9*0.086/tech_proj!L143/(1-tech_proj!L423))</f>
        <v>29.928291866386132</v>
      </c>
      <c r="M2043" s="123">
        <f>IF(tech_base!$T19&gt;M$2025,"",fuel_costs!E$9*0.086/tech_proj!M143/(1-tech_proj!M423))</f>
        <v>27.013146148372339</v>
      </c>
      <c r="N2043" s="123">
        <f>IF(tech_base!$T19&gt;N$2025,"",fuel_costs!F$9*0.086/tech_proj!N143/(1-tech_proj!N423))</f>
        <v>25.932164039923016</v>
      </c>
      <c r="O2043" s="123">
        <f>IF(tech_base!$T19&gt;O$2025,"",fuel_costs!G$9*0.086/tech_proj!O143/(1-tech_proj!O423))</f>
        <v>24.368111903878209</v>
      </c>
      <c r="P2043" s="123">
        <f>IF(tech_base!$T19&gt;P$2025,"",fuel_costs!H$9*0.086/tech_proj!P143/(1-tech_proj!P423))</f>
        <v>25.745140711645604</v>
      </c>
      <c r="Q2043" s="123">
        <f>IF(tech_base!$T19&gt;Q$2025,"",fuel_costs!I$9*0.086/tech_proj!Q143/(1-tech_proj!Q423))</f>
        <v>32.737353539467307</v>
      </c>
      <c r="R2043" s="123">
        <f>IF(tech_base!$T19&gt;R$2025,"",fuel_costs!J$9*0.086/tech_proj!R143/(1-tech_proj!R423))</f>
        <v>32.923498978960431</v>
      </c>
      <c r="S2043" s="123">
        <f>IF(tech_base!$T19&gt;S$2025,"",fuel_costs!K$9*0.086/tech_proj!S143/(1-tech_proj!S423))</f>
        <v>33.107391338757893</v>
      </c>
      <c r="T2043" s="123">
        <f>IF(tech_base!$T19&gt;T$2025,"",fuel_costs!L$9*0.086/tech_proj!T143/(1-tech_proj!T423))</f>
        <v>33.288973889776663</v>
      </c>
      <c r="U2043" s="123">
        <f>IF(tech_base!$T19&gt;U$2025,"",fuel_costs!M$9*0.086/tech_proj!U143/(1-tech_proj!U423))</f>
        <v>34.04148757268527</v>
      </c>
      <c r="V2043" s="123">
        <f>IF(tech_base!$T19&gt;V$2025,"",fuel_costs!N$9*0.086/tech_proj!V143/(1-tech_proj!V423))</f>
        <v>34.062765840066803</v>
      </c>
      <c r="W2043" s="123">
        <f>IF(tech_base!$T19&gt;W$2025,"",fuel_costs!O$9*0.086/tech_proj!W143/(1-tech_proj!W423))</f>
        <v>34.036924777270841</v>
      </c>
      <c r="X2043" s="123">
        <f>IF(tech_base!$T19&gt;X$2025,"",fuel_costs!P$9*0.086/tech_proj!X143/(1-tech_proj!X423))</f>
        <v>34.231120625249197</v>
      </c>
      <c r="Y2043" s="123">
        <f>IF(tech_base!$T19&gt;Y$2025,"",fuel_costs!Q$9*0.086/tech_proj!Y143/(1-tech_proj!Y423))</f>
        <v>34.458986144450641</v>
      </c>
      <c r="Z2043" s="123">
        <f>IF(tech_base!$T19&gt;Z$2025,"",fuel_costs!R$9*0.086/tech_proj!Z143/(1-tech_proj!Z423))</f>
        <v>35.543155374927544</v>
      </c>
      <c r="AA2043" s="123">
        <f>IF(tech_base!$T19&gt;AA$2025,"",fuel_costs!S$9*0.086/tech_proj!AA143/(1-tech_proj!AA423))</f>
        <v>36.623110231993095</v>
      </c>
      <c r="AB2043" s="123">
        <f>IF(tech_base!$T19&gt;AB$2025,"",fuel_costs!T$9*0.086/tech_proj!AB143/(1-tech_proj!AB423))</f>
        <v>37.73760074131998</v>
      </c>
      <c r="AC2043" s="123">
        <f>IF(tech_base!$T19&gt;AC$2025,"",fuel_costs!U$9*0.086/tech_proj!AC143/(1-tech_proj!AC423))</f>
        <v>38.858633913698895</v>
      </c>
      <c r="AD2043" s="123">
        <f>IF(tech_base!$T19&gt;AD$2025,"",fuel_costs!V$9*0.086/tech_proj!AD143/(1-tech_proj!AD423))</f>
        <v>40.083881270607648</v>
      </c>
      <c r="AE2043" s="123">
        <f>IF(tech_base!$T19&gt;AE$2025,"",fuel_costs!W$9*0.086/tech_proj!AE143/(1-tech_proj!AE423))</f>
        <v>40.414912323158994</v>
      </c>
      <c r="AF2043" s="123">
        <f>IF(tech_base!$T19&gt;AF$2025,"",fuel_costs!X$9*0.086/tech_proj!AF143/(1-tech_proj!AF423))</f>
        <v>40.867982247830255</v>
      </c>
      <c r="AG2043" s="123">
        <f>IF(tech_base!$T19&gt;AG$2025,"",fuel_costs!Y$9*0.086/tech_proj!AG143/(1-tech_proj!AG423))</f>
        <v>41.336009144409857</v>
      </c>
      <c r="AH2043" s="123">
        <f>IF(tech_base!$T19&gt;AH$2025,"",fuel_costs!Z$9*0.086/tech_proj!AH143/(1-tech_proj!AH423))</f>
        <v>41.761188736886261</v>
      </c>
      <c r="AI2043" s="123">
        <f>IF(tech_base!$T19&gt;AI$2025,"",fuel_costs!AA$9*0.086/tech_proj!AI143/(1-tech_proj!AI423))</f>
        <v>42.133719175151484</v>
      </c>
      <c r="AJ2043" s="123">
        <f>IF(tech_base!$T19&gt;AJ$2025,"",fuel_costs!AB$9*0.086/tech_proj!AJ143/(1-tech_proj!AJ423))</f>
        <v>42.373458666343581</v>
      </c>
      <c r="AK2043" s="123">
        <f>IF(tech_base!$T19&gt;AK$2025,"",fuel_costs!AC$9*0.086/tech_proj!AK143/(1-tech_proj!AK423))</f>
        <v>42.660017069019538</v>
      </c>
      <c r="AL2043" s="123">
        <f>IF(tech_base!$T19&gt;AL$2025,"",fuel_costs!AD$9*0.086/tech_proj!AL143/(1-tech_proj!AL423))</f>
        <v>42.978539383315322</v>
      </c>
      <c r="AM2043" s="123">
        <f>IF(tech_base!$T19&gt;AM$2025,"",fuel_costs!AE$9*0.086/tech_proj!AM143/(1-tech_proj!AM423))</f>
        <v>43.322819917965845</v>
      </c>
      <c r="AN2043" s="123">
        <f>IF(tech_base!$T19&gt;AN$2025,"",fuel_costs!AF$9*0.086/tech_proj!AN143/(1-tech_proj!AN423))</f>
        <v>43.562919901417892</v>
      </c>
      <c r="AO2043" s="123">
        <f>IF(tech_base!$T19&gt;AO$2025,"",fuel_costs!AG$9*0.086/tech_proj!AO143/(1-tech_proj!AO423))</f>
        <v>43.793361280151075</v>
      </c>
      <c r="AP2043" s="123">
        <f>IF(tech_base!$T19&gt;AP$2025,"",fuel_costs!AH$9*0.086/tech_proj!AP143/(1-tech_proj!AP423))</f>
        <v>44.016660717820756</v>
      </c>
      <c r="AQ2043" s="123">
        <f>IF(tech_base!$T19&gt;AQ$2025,"",fuel_costs!AI$9*0.086/tech_proj!AQ143/(1-tech_proj!AQ423))</f>
        <v>44.240011530758061</v>
      </c>
      <c r="AR2043" s="123">
        <f>IF(tech_base!$T19&gt;AR$2025,"",fuel_costs!AJ$9*0.086/tech_proj!AR143/(1-tech_proj!AR423))</f>
        <v>44.498859565986216</v>
      </c>
      <c r="AS2043" s="123">
        <f>IF(tech_base!$T19&gt;AS$2025,"",fuel_costs!AK$9*0.086/tech_proj!AS143/(1-tech_proj!AS423))</f>
        <v>44.771470055930166</v>
      </c>
      <c r="AT2043" s="123">
        <f>IF(tech_base!$T19&gt;AT$2025,"",fuel_costs!AL$9*0.086/tech_proj!AT143/(1-tech_proj!AT423))</f>
        <v>44.926836801931692</v>
      </c>
      <c r="AU2043" s="123">
        <f>IF(tech_base!$T19&gt;AU$2025,"",fuel_costs!AM$9*0.086/tech_proj!AU143/(1-tech_proj!AU423))</f>
        <v>45.196054222398153</v>
      </c>
      <c r="AV2043" s="123">
        <f>IF(tech_base!$T19&gt;AV$2025,"",fuel_costs!AN$9*0.086/tech_proj!AV143/(1-tech_proj!AV423))</f>
        <v>45.416676545722076</v>
      </c>
      <c r="AW2043" s="123">
        <f>IF(tech_base!$T19&gt;AW$2025,"",fuel_costs!AO$9*0.086/tech_proj!AW143/(1-tech_proj!AW423))</f>
        <v>45.61579305324512</v>
      </c>
      <c r="AX2043" s="124">
        <f>IF(tech_base!$T19&gt;AX$2025,"",fuel_costs!AP$9*0.086/tech_proj!AX143/(1-tech_proj!AX423))</f>
        <v>45.901294420894097</v>
      </c>
    </row>
    <row r="2044" spans="1:50" x14ac:dyDescent="0.25">
      <c r="A2044" s="356"/>
      <c r="B2044" s="376"/>
      <c r="C2044" s="379"/>
      <c r="D2044" s="59" t="s">
        <v>8</v>
      </c>
      <c r="E2044" s="79" t="str">
        <f>A2033&amp;"/"&amp;B2041&amp;"/"&amp;C2043&amp;"/"&amp;D2044</f>
        <v>Coal fired power plants/Supercritical steam turbine/CHP/M</v>
      </c>
      <c r="F2044" s="79" t="str">
        <f>A2033</f>
        <v>Coal fired power plants</v>
      </c>
      <c r="G2044" s="79" t="str">
        <f>B2041</f>
        <v>Supercritical steam turbine</v>
      </c>
      <c r="H2044" s="79" t="str">
        <f>C2043</f>
        <v>CHP</v>
      </c>
      <c r="I2044" s="79" t="str">
        <f t="shared" si="387"/>
        <v>M</v>
      </c>
      <c r="J2044" s="125">
        <f>IF(tech_base!$T20&gt;J$2025,"",fuel_costs!B$9*0.086/tech_proj!J144/(1-tech_proj!J424))</f>
        <v>29.669063579732811</v>
      </c>
      <c r="K2044" s="125">
        <f>IF(tech_base!$T20&gt;K$2025,"",fuel_costs!C$9*0.086/tech_proj!K144/(1-tech_proj!K424))</f>
        <v>37.046937071023201</v>
      </c>
      <c r="L2044" s="125">
        <f>IF(tech_base!$T20&gt;L$2025,"",fuel_costs!D$9*0.086/tech_proj!L144/(1-tech_proj!L424))</f>
        <v>31.515594563304639</v>
      </c>
      <c r="M2044" s="125">
        <f>IF(tech_base!$T20&gt;M$2025,"",fuel_costs!E$9*0.086/tech_proj!M144/(1-tech_proj!M424))</f>
        <v>28.445378926321926</v>
      </c>
      <c r="N2044" s="125">
        <f>IF(tech_base!$T20&gt;N$2025,"",fuel_costs!F$9*0.086/tech_proj!N144/(1-tech_proj!N424))</f>
        <v>27.306576563239009</v>
      </c>
      <c r="O2044" s="125">
        <f>IF(tech_base!$T20&gt;O$2025,"",fuel_costs!G$9*0.086/tech_proj!O144/(1-tech_proj!O424))</f>
        <v>25.659083819567932</v>
      </c>
      <c r="P2044" s="125">
        <f>IF(tech_base!$T20&gt;P$2025,"",fuel_costs!H$9*0.086/tech_proj!P144/(1-tech_proj!P424))</f>
        <v>27.108406723191958</v>
      </c>
      <c r="Q2044" s="125">
        <f>IF(tech_base!$T20&gt;Q$2025,"",fuel_costs!I$9*0.086/tech_proj!Q144/(1-tech_proj!Q424))</f>
        <v>34.469921185216783</v>
      </c>
      <c r="R2044" s="125">
        <f>IF(tech_base!$T20&gt;R$2025,"",fuel_costs!J$9*0.086/tech_proj!R144/(1-tech_proj!R424))</f>
        <v>34.664831389145604</v>
      </c>
      <c r="S2044" s="125">
        <f>IF(tech_base!$T20&gt;S$2025,"",fuel_costs!K$9*0.086/tech_proj!S144/(1-tech_proj!S424))</f>
        <v>34.857215321832903</v>
      </c>
      <c r="T2044" s="125">
        <f>IF(tech_base!$T20&gt;T$2025,"",fuel_costs!L$9*0.086/tech_proj!T144/(1-tech_proj!T424))</f>
        <v>35.046999022612368</v>
      </c>
      <c r="U2044" s="125">
        <f>IF(tech_base!$T20&gt;U$2025,"",fuel_costs!M$9*0.086/tech_proj!U144/(1-tech_proj!U424))</f>
        <v>35.837656509531293</v>
      </c>
      <c r="V2044" s="125">
        <f>IF(tech_base!$T20&gt;V$2025,"",fuel_costs!N$9*0.086/tech_proj!V144/(1-tech_proj!V424))</f>
        <v>35.858279902306535</v>
      </c>
      <c r="W2044" s="125">
        <f>IF(tech_base!$T20&gt;W$2025,"",fuel_costs!O$9*0.086/tech_proj!W144/(1-tech_proj!W424))</f>
        <v>35.82911438853656</v>
      </c>
      <c r="X2044" s="125">
        <f>IF(tech_base!$T20&gt;X$2025,"",fuel_costs!P$9*0.086/tech_proj!X144/(1-tech_proj!X424))</f>
        <v>36.031372072796863</v>
      </c>
      <c r="Y2044" s="125">
        <f>IF(tech_base!$T20&gt;Y$2025,"",fuel_costs!Q$9*0.086/tech_proj!Y144/(1-tech_proj!Y424))</f>
        <v>36.268855122620757</v>
      </c>
      <c r="Z2044" s="125">
        <f>IF(tech_base!$T20&gt;Z$2025,"",fuel_costs!R$9*0.086/tech_proj!Z144/(1-tech_proj!Z424))</f>
        <v>37.407342934736128</v>
      </c>
      <c r="AA2044" s="125">
        <f>IF(tech_base!$T20&gt;AA$2025,"",fuel_costs!S$9*0.086/tech_proj!AA144/(1-tech_proj!AA424))</f>
        <v>38.541065852649822</v>
      </c>
      <c r="AB2044" s="125">
        <f>IF(tech_base!$T20&gt;AB$2025,"",fuel_costs!T$9*0.086/tech_proj!AB144/(1-tech_proj!AB424))</f>
        <v>39.710817497119343</v>
      </c>
      <c r="AC2044" s="125">
        <f>IF(tech_base!$T20&gt;AC$2025,"",fuel_costs!U$9*0.086/tech_proj!AC144/(1-tech_proj!AC424))</f>
        <v>40.887166730245355</v>
      </c>
      <c r="AD2044" s="125">
        <f>IF(tech_base!$T20&gt;AD$2025,"",fuel_costs!V$9*0.086/tech_proj!AD144/(1-tech_proj!AD424))</f>
        <v>42.172921761136983</v>
      </c>
      <c r="AE2044" s="125">
        <f>IF(tech_base!$T20&gt;AE$2025,"",fuel_costs!W$9*0.086/tech_proj!AE144/(1-tech_proj!AE424))</f>
        <v>42.517738376587793</v>
      </c>
      <c r="AF2044" s="125">
        <f>IF(tech_base!$T20&gt;AF$2025,"",fuel_costs!X$9*0.086/tech_proj!AF144/(1-tech_proj!AF424))</f>
        <v>42.99095855853794</v>
      </c>
      <c r="AG2044" s="125">
        <f>IF(tech_base!$T20&gt;AG$2025,"",fuel_costs!Y$9*0.086/tech_proj!AG144/(1-tech_proj!AG424))</f>
        <v>43.479972633609968</v>
      </c>
      <c r="AH2044" s="125">
        <f>IF(tech_base!$T20&gt;AH$2025,"",fuel_costs!Z$9*0.086/tech_proj!AH144/(1-tech_proj!AH424))</f>
        <v>43.924004488700525</v>
      </c>
      <c r="AI2044" s="125">
        <f>IF(tech_base!$T20&gt;AI$2025,"",fuel_costs!AA$9*0.086/tech_proj!AI144/(1-tech_proj!AI424))</f>
        <v>44.312718433164378</v>
      </c>
      <c r="AJ2044" s="125">
        <f>IF(tech_base!$T20&gt;AJ$2025,"",fuel_costs!AB$9*0.086/tech_proj!AJ144/(1-tech_proj!AJ424))</f>
        <v>44.561708176685478</v>
      </c>
      <c r="AK2044" s="125">
        <f>IF(tech_base!$T20&gt;AK$2025,"",fuel_costs!AC$9*0.086/tech_proj!AK144/(1-tech_proj!AK424))</f>
        <v>44.859595347911608</v>
      </c>
      <c r="AL2044" s="125">
        <f>IF(tech_base!$T20&gt;AL$2025,"",fuel_costs!AD$9*0.086/tech_proj!AL144/(1-tech_proj!AL424))</f>
        <v>45.190287359958425</v>
      </c>
      <c r="AM2044" s="125">
        <f>IF(tech_base!$T20&gt;AM$2025,"",fuel_costs!AE$9*0.086/tech_proj!AM144/(1-tech_proj!AM424))</f>
        <v>45.546580582693529</v>
      </c>
      <c r="AN2044" s="125">
        <f>IF(tech_base!$T20&gt;AN$2025,"",fuel_costs!AF$9*0.086/tech_proj!AN144/(1-tech_proj!AN424))</f>
        <v>45.791005589680346</v>
      </c>
      <c r="AO2044" s="125">
        <f>IF(tech_base!$T20&gt;AO$2025,"",fuel_costs!AG$9*0.086/tech_proj!AO144/(1-tech_proj!AO424))</f>
        <v>46.021950439539538</v>
      </c>
      <c r="AP2044" s="125">
        <f>IF(tech_base!$T20&gt;AP$2025,"",fuel_costs!AH$9*0.086/tech_proj!AP144/(1-tech_proj!AP424))</f>
        <v>46.241033108715591</v>
      </c>
      <c r="AQ2044" s="125">
        <f>IF(tech_base!$T20&gt;AQ$2025,"",fuel_costs!AI$9*0.086/tech_proj!AQ144/(1-tech_proj!AQ424))</f>
        <v>46.454910059019753</v>
      </c>
      <c r="AR2044" s="125">
        <f>IF(tech_base!$T20&gt;AR$2025,"",fuel_costs!AJ$9*0.086/tech_proj!AR144/(1-tech_proj!AR424))</f>
        <v>46.70018362661493</v>
      </c>
      <c r="AS2044" s="125">
        <f>IF(tech_base!$T20&gt;AS$2025,"",fuel_costs!AK$9*0.086/tech_proj!AS144/(1-tech_proj!AS424))</f>
        <v>46.953854117609822</v>
      </c>
      <c r="AT2044" s="125">
        <f>IF(tech_base!$T20&gt;AT$2025,"",fuel_costs!AL$9*0.086/tech_proj!AT144/(1-tech_proj!AT424))</f>
        <v>47.079026213695471</v>
      </c>
      <c r="AU2044" s="125">
        <f>IF(tech_base!$T20&gt;AU$2025,"",fuel_costs!AM$9*0.086/tech_proj!AU144/(1-tech_proj!AU424))</f>
        <v>47.318952685574388</v>
      </c>
      <c r="AV2044" s="125">
        <f>IF(tech_base!$T20&gt;AV$2025,"",fuel_costs!AN$9*0.086/tech_proj!AV144/(1-tech_proj!AV424))</f>
        <v>47.504823318326778</v>
      </c>
      <c r="AW2044" s="125">
        <f>IF(tech_base!$T20&gt;AW$2025,"",fuel_costs!AO$9*0.086/tech_proj!AW144/(1-tech_proj!AW424))</f>
        <v>47.666767108410021</v>
      </c>
      <c r="AX2044" s="126">
        <f>IF(tech_base!$T20&gt;AX$2025,"",fuel_costs!AP$9*0.086/tech_proj!AX144/(1-tech_proj!AX424))</f>
        <v>47.919184969567624</v>
      </c>
    </row>
    <row r="2045" spans="1:50" x14ac:dyDescent="0.25">
      <c r="A2045" s="356"/>
      <c r="B2045" s="376"/>
      <c r="C2045" s="361" t="s">
        <v>15</v>
      </c>
      <c r="D2045" s="58" t="s">
        <v>7</v>
      </c>
      <c r="E2045" s="78" t="str">
        <f>A2033&amp;"/"&amp;B2041&amp;"/"&amp;C2045&amp;"/"&amp;D2045</f>
        <v>Coal fired power plants/Supercritical steam turbine/Electricity only with CCS/L</v>
      </c>
      <c r="F2045" s="78" t="str">
        <f>A2033</f>
        <v>Coal fired power plants</v>
      </c>
      <c r="G2045" s="78" t="str">
        <f>B2041</f>
        <v>Supercritical steam turbine</v>
      </c>
      <c r="H2045" s="78" t="str">
        <f>C2045</f>
        <v>Electricity only with CCS</v>
      </c>
      <c r="I2045" s="78" t="str">
        <f t="shared" si="387"/>
        <v>L</v>
      </c>
      <c r="J2045" s="123" t="str">
        <f>IF(tech_base!$T21&gt;J$2025,"",fuel_costs!B$9*0.086/tech_proj!J145/(1-tech_proj!J425))</f>
        <v/>
      </c>
      <c r="K2045" s="123" t="str">
        <f>IF(tech_base!$T21&gt;K$2025,"",fuel_costs!C$9*0.086/tech_proj!K145/(1-tech_proj!K425))</f>
        <v/>
      </c>
      <c r="L2045" s="123" t="str">
        <f>IF(tech_base!$T21&gt;L$2025,"",fuel_costs!D$9*0.086/tech_proj!L145/(1-tech_proj!L425))</f>
        <v/>
      </c>
      <c r="M2045" s="123" t="str">
        <f>IF(tech_base!$T21&gt;M$2025,"",fuel_costs!E$9*0.086/tech_proj!M145/(1-tech_proj!M425))</f>
        <v/>
      </c>
      <c r="N2045" s="123" t="str">
        <f>IF(tech_base!$T21&gt;N$2025,"",fuel_costs!F$9*0.086/tech_proj!N145/(1-tech_proj!N425))</f>
        <v/>
      </c>
      <c r="O2045" s="123" t="str">
        <f>IF(tech_base!$T21&gt;O$2025,"",fuel_costs!G$9*0.086/tech_proj!O145/(1-tech_proj!O425))</f>
        <v/>
      </c>
      <c r="P2045" s="123" t="str">
        <f>IF(tech_base!$T21&gt;P$2025,"",fuel_costs!H$9*0.086/tech_proj!P145/(1-tech_proj!P425))</f>
        <v/>
      </c>
      <c r="Q2045" s="123" t="str">
        <f>IF(tech_base!$T21&gt;Q$2025,"",fuel_costs!I$9*0.086/tech_proj!Q145/(1-tech_proj!Q425))</f>
        <v/>
      </c>
      <c r="R2045" s="123" t="str">
        <f>IF(tech_base!$T21&gt;R$2025,"",fuel_costs!J$9*0.086/tech_proj!R145/(1-tech_proj!R425))</f>
        <v/>
      </c>
      <c r="S2045" s="123" t="str">
        <f>IF(tech_base!$T21&gt;S$2025,"",fuel_costs!K$9*0.086/tech_proj!S145/(1-tech_proj!S425))</f>
        <v/>
      </c>
      <c r="T2045" s="123" t="str">
        <f>IF(tech_base!$T21&gt;T$2025,"",fuel_costs!L$9*0.086/tech_proj!T145/(1-tech_proj!T425))</f>
        <v/>
      </c>
      <c r="U2045" s="123" t="str">
        <f>IF(tech_base!$T21&gt;U$2025,"",fuel_costs!M$9*0.086/tech_proj!U145/(1-tech_proj!U425))</f>
        <v/>
      </c>
      <c r="V2045" s="123" t="str">
        <f>IF(tech_base!$T21&gt;V$2025,"",fuel_costs!N$9*0.086/tech_proj!V145/(1-tech_proj!V425))</f>
        <v/>
      </c>
      <c r="W2045" s="123" t="str">
        <f>IF(tech_base!$T21&gt;W$2025,"",fuel_costs!O$9*0.086/tech_proj!W145/(1-tech_proj!W425))</f>
        <v/>
      </c>
      <c r="X2045" s="123" t="str">
        <f>IF(tech_base!$T21&gt;X$2025,"",fuel_costs!P$9*0.086/tech_proj!X145/(1-tech_proj!X425))</f>
        <v/>
      </c>
      <c r="Y2045" s="123" t="str">
        <f>IF(tech_base!$T21&gt;Y$2025,"",fuel_costs!Q$9*0.086/tech_proj!Y145/(1-tech_proj!Y425))</f>
        <v/>
      </c>
      <c r="Z2045" s="123" t="str">
        <f>IF(tech_base!$T21&gt;Z$2025,"",fuel_costs!R$9*0.086/tech_proj!Z145/(1-tech_proj!Z425))</f>
        <v/>
      </c>
      <c r="AA2045" s="123" t="str">
        <f>IF(tech_base!$T21&gt;AA$2025,"",fuel_costs!S$9*0.086/tech_proj!AA145/(1-tech_proj!AA425))</f>
        <v/>
      </c>
      <c r="AB2045" s="123" t="str">
        <f>IF(tech_base!$T21&gt;AB$2025,"",fuel_costs!T$9*0.086/tech_proj!AB145/(1-tech_proj!AB425))</f>
        <v/>
      </c>
      <c r="AC2045" s="123" t="str">
        <f>IF(tech_base!$T21&gt;AC$2025,"",fuel_costs!U$9*0.086/tech_proj!AC145/(1-tech_proj!AC425))</f>
        <v/>
      </c>
      <c r="AD2045" s="123" t="str">
        <f>IF(tech_base!$T21&gt;AD$2025,"",fuel_costs!V$9*0.086/tech_proj!AD145/(1-tech_proj!AD425))</f>
        <v/>
      </c>
      <c r="AE2045" s="123">
        <f>IF(tech_base!$T21&gt;AE$2025,"",fuel_costs!W$9*0.086/tech_proj!AE145/(1-tech_proj!AE425))</f>
        <v>46.454332066141227</v>
      </c>
      <c r="AF2045" s="123">
        <f>IF(tech_base!$T21&gt;AF$2025,"",fuel_costs!X$9*0.086/tech_proj!AF145/(1-tech_proj!AF425))</f>
        <v>47.007472072897755</v>
      </c>
      <c r="AG2045" s="123">
        <f>IF(tech_base!$T21&gt;AG$2025,"",fuel_costs!Y$9*0.086/tech_proj!AG145/(1-tech_proj!AG425))</f>
        <v>47.583866583229899</v>
      </c>
      <c r="AH2045" s="123">
        <f>IF(tech_base!$T21&gt;AH$2025,"",fuel_costs!Z$9*0.086/tech_proj!AH145/(1-tech_proj!AH425))</f>
        <v>48.117541018773345</v>
      </c>
      <c r="AI2045" s="123">
        <f>IF(tech_base!$T21&gt;AI$2025,"",fuel_costs!AA$9*0.086/tech_proj!AI145/(1-tech_proj!AI425))</f>
        <v>48.597458402422696</v>
      </c>
      <c r="AJ2045" s="123">
        <f>IF(tech_base!$T21&gt;AJ$2025,"",fuel_costs!AB$9*0.086/tech_proj!AJ145/(1-tech_proj!AJ425))</f>
        <v>48.930990793839868</v>
      </c>
      <c r="AK2045" s="123">
        <f>IF(tech_base!$T21&gt;AK$2025,"",fuel_costs!AC$9*0.086/tech_proj!AK145/(1-tech_proj!AK425))</f>
        <v>49.324918004978201</v>
      </c>
      <c r="AL2045" s="123">
        <f>IF(tech_base!$T21&gt;AL$2025,"",fuel_costs!AD$9*0.086/tech_proj!AL145/(1-tech_proj!AL425))</f>
        <v>49.761365454030518</v>
      </c>
      <c r="AM2045" s="123">
        <f>IF(tech_base!$T21&gt;AM$2025,"",fuel_costs!AE$9*0.086/tech_proj!AM145/(1-tech_proj!AM425))</f>
        <v>50.231741217696523</v>
      </c>
      <c r="AN2045" s="123">
        <f>IF(tech_base!$T21&gt;AN$2025,"",fuel_costs!AF$9*0.086/tech_proj!AN145/(1-tech_proj!AN425))</f>
        <v>50.582976571821177</v>
      </c>
      <c r="AO2045" s="123">
        <f>IF(tech_base!$T21&gt;AO$2025,"",fuel_costs!AG$9*0.086/tech_proj!AO145/(1-tech_proj!AO425))</f>
        <v>50.921350614027475</v>
      </c>
      <c r="AP2045" s="123">
        <f>IF(tech_base!$T21&gt;AP$2025,"",fuel_costs!AH$9*0.086/tech_proj!AP145/(1-tech_proj!AP425))</f>
        <v>51.245936729686818</v>
      </c>
      <c r="AQ2045" s="123">
        <f>IF(tech_base!$T21&gt;AQ$2025,"",fuel_costs!AI$9*0.086/tech_proj!AQ145/(1-tech_proj!AQ425))</f>
        <v>51.560769309220042</v>
      </c>
      <c r="AR2045" s="123">
        <f>IF(tech_base!$T21&gt;AR$2025,"",fuel_costs!AJ$9*0.086/tech_proj!AR145/(1-tech_proj!AR425))</f>
        <v>51.902644364349442</v>
      </c>
      <c r="AS2045" s="123">
        <f>IF(tech_base!$T21&gt;AS$2025,"",fuel_costs!AK$9*0.086/tech_proj!AS145/(1-tech_proj!AS425))</f>
        <v>52.241806562069399</v>
      </c>
      <c r="AT2045" s="123">
        <f>IF(tech_base!$T21&gt;AT$2025,"",fuel_costs!AL$9*0.086/tech_proj!AT145/(1-tech_proj!AT425))</f>
        <v>52.421323740863976</v>
      </c>
      <c r="AU2045" s="123">
        <f>IF(tech_base!$T21&gt;AU$2025,"",fuel_costs!AM$9*0.086/tech_proj!AU145/(1-tech_proj!AU425))</f>
        <v>52.7075026766639</v>
      </c>
      <c r="AV2045" s="123">
        <f>IF(tech_base!$T21&gt;AV$2025,"",fuel_costs!AN$9*0.086/tech_proj!AV145/(1-tech_proj!AV425))</f>
        <v>52.908336541700329</v>
      </c>
      <c r="AW2045" s="123">
        <f>IF(tech_base!$T21&gt;AW$2025,"",fuel_costs!AO$9*0.086/tech_proj!AW145/(1-tech_proj!AW425))</f>
        <v>53.053993897497143</v>
      </c>
      <c r="AX2045" s="124">
        <f>IF(tech_base!$T21&gt;AX$2025,"",fuel_costs!AP$9*0.086/tech_proj!AX145/(1-tech_proj!AX425))</f>
        <v>53.269292082753736</v>
      </c>
    </row>
    <row r="2046" spans="1:50" x14ac:dyDescent="0.25">
      <c r="A2046" s="356"/>
      <c r="B2046" s="376"/>
      <c r="C2046" s="379"/>
      <c r="D2046" s="59" t="s">
        <v>8</v>
      </c>
      <c r="E2046" s="79" t="str">
        <f>A2033&amp;"/"&amp;B2041&amp;"/"&amp;C2045&amp;"/"&amp;D2046</f>
        <v>Coal fired power plants/Supercritical steam turbine/Electricity only with CCS/M</v>
      </c>
      <c r="F2046" s="79" t="str">
        <f>A2033</f>
        <v>Coal fired power plants</v>
      </c>
      <c r="G2046" s="79" t="str">
        <f>B2041</f>
        <v>Supercritical steam turbine</v>
      </c>
      <c r="H2046" s="79" t="str">
        <f>C2045</f>
        <v>Electricity only with CCS</v>
      </c>
      <c r="I2046" s="79" t="str">
        <f t="shared" si="387"/>
        <v>M</v>
      </c>
      <c r="J2046" s="125" t="str">
        <f>IF(tech_base!$T22&gt;J$2025,"",fuel_costs!B$9*0.086/tech_proj!J146/(1-tech_proj!J426))</f>
        <v/>
      </c>
      <c r="K2046" s="125" t="str">
        <f>IF(tech_base!$T22&gt;K$2025,"",fuel_costs!C$9*0.086/tech_proj!K146/(1-tech_proj!K426))</f>
        <v/>
      </c>
      <c r="L2046" s="125" t="str">
        <f>IF(tech_base!$T22&gt;L$2025,"",fuel_costs!D$9*0.086/tech_proj!L146/(1-tech_proj!L426))</f>
        <v/>
      </c>
      <c r="M2046" s="125" t="str">
        <f>IF(tech_base!$T22&gt;M$2025,"",fuel_costs!E$9*0.086/tech_proj!M146/(1-tech_proj!M426))</f>
        <v/>
      </c>
      <c r="N2046" s="125" t="str">
        <f>IF(tech_base!$T22&gt;N$2025,"",fuel_costs!F$9*0.086/tech_proj!N146/(1-tech_proj!N426))</f>
        <v/>
      </c>
      <c r="O2046" s="125" t="str">
        <f>IF(tech_base!$T22&gt;O$2025,"",fuel_costs!G$9*0.086/tech_proj!O146/(1-tech_proj!O426))</f>
        <v/>
      </c>
      <c r="P2046" s="125" t="str">
        <f>IF(tech_base!$T22&gt;P$2025,"",fuel_costs!H$9*0.086/tech_proj!P146/(1-tech_proj!P426))</f>
        <v/>
      </c>
      <c r="Q2046" s="125" t="str">
        <f>IF(tech_base!$T22&gt;Q$2025,"",fuel_costs!I$9*0.086/tech_proj!Q146/(1-tech_proj!Q426))</f>
        <v/>
      </c>
      <c r="R2046" s="125" t="str">
        <f>IF(tech_base!$T22&gt;R$2025,"",fuel_costs!J$9*0.086/tech_proj!R146/(1-tech_proj!R426))</f>
        <v/>
      </c>
      <c r="S2046" s="125" t="str">
        <f>IF(tech_base!$T22&gt;S$2025,"",fuel_costs!K$9*0.086/tech_proj!S146/(1-tech_proj!S426))</f>
        <v/>
      </c>
      <c r="T2046" s="125" t="str">
        <f>IF(tech_base!$T22&gt;T$2025,"",fuel_costs!L$9*0.086/tech_proj!T146/(1-tech_proj!T426))</f>
        <v/>
      </c>
      <c r="U2046" s="125" t="str">
        <f>IF(tech_base!$T22&gt;U$2025,"",fuel_costs!M$9*0.086/tech_proj!U146/(1-tech_proj!U426))</f>
        <v/>
      </c>
      <c r="V2046" s="125" t="str">
        <f>IF(tech_base!$T22&gt;V$2025,"",fuel_costs!N$9*0.086/tech_proj!V146/(1-tech_proj!V426))</f>
        <v/>
      </c>
      <c r="W2046" s="125" t="str">
        <f>IF(tech_base!$T22&gt;W$2025,"",fuel_costs!O$9*0.086/tech_proj!W146/(1-tech_proj!W426))</f>
        <v/>
      </c>
      <c r="X2046" s="125" t="str">
        <f>IF(tech_base!$T22&gt;X$2025,"",fuel_costs!P$9*0.086/tech_proj!X146/(1-tech_proj!X426))</f>
        <v/>
      </c>
      <c r="Y2046" s="125" t="str">
        <f>IF(tech_base!$T22&gt;Y$2025,"",fuel_costs!Q$9*0.086/tech_proj!Y146/(1-tech_proj!Y426))</f>
        <v/>
      </c>
      <c r="Z2046" s="125" t="str">
        <f>IF(tech_base!$T22&gt;Z$2025,"",fuel_costs!R$9*0.086/tech_proj!Z146/(1-tech_proj!Z426))</f>
        <v/>
      </c>
      <c r="AA2046" s="125" t="str">
        <f>IF(tech_base!$T22&gt;AA$2025,"",fuel_costs!S$9*0.086/tech_proj!AA146/(1-tech_proj!AA426))</f>
        <v/>
      </c>
      <c r="AB2046" s="125" t="str">
        <f>IF(tech_base!$T22&gt;AB$2025,"",fuel_costs!T$9*0.086/tech_proj!AB146/(1-tech_proj!AB426))</f>
        <v/>
      </c>
      <c r="AC2046" s="125" t="str">
        <f>IF(tech_base!$T22&gt;AC$2025,"",fuel_costs!U$9*0.086/tech_proj!AC146/(1-tech_proj!AC426))</f>
        <v/>
      </c>
      <c r="AD2046" s="125" t="str">
        <f>IF(tech_base!$T22&gt;AD$2025,"",fuel_costs!V$9*0.086/tech_proj!AD146/(1-tech_proj!AD426))</f>
        <v/>
      </c>
      <c r="AE2046" s="125">
        <f>IF(tech_base!$T22&gt;AE$2025,"",fuel_costs!W$9*0.086/tech_proj!AE146/(1-tech_proj!AE426))</f>
        <v>49.459514872787125</v>
      </c>
      <c r="AF2046" s="125">
        <f>IF(tech_base!$T22&gt;AF$2025,"",fuel_costs!X$9*0.086/tech_proj!AF146/(1-tech_proj!AF426))</f>
        <v>50.051145127442332</v>
      </c>
      <c r="AG2046" s="125">
        <f>IF(tech_base!$T22&gt;AG$2025,"",fuel_costs!Y$9*0.086/tech_proj!AG146/(1-tech_proj!AG426))</f>
        <v>50.667991785592058</v>
      </c>
      <c r="AH2046" s="125">
        <f>IF(tech_base!$T22&gt;AH$2025,"",fuel_costs!Z$9*0.086/tech_proj!AH146/(1-tech_proj!AH426))</f>
        <v>51.23984222583654</v>
      </c>
      <c r="AI2046" s="125">
        <f>IF(tech_base!$T22&gt;AI$2025,"",fuel_costs!AA$9*0.086/tech_proj!AI146/(1-tech_proj!AI426))</f>
        <v>51.754958017339455</v>
      </c>
      <c r="AJ2046" s="125">
        <f>IF(tech_base!$T22&gt;AJ$2025,"",fuel_costs!AB$9*0.086/tech_proj!AJ146/(1-tech_proj!AJ426))</f>
        <v>52.114673721324017</v>
      </c>
      <c r="AK2046" s="125">
        <f>IF(tech_base!$T22&gt;AK$2025,"",fuel_costs!AC$9*0.086/tech_proj!AK146/(1-tech_proj!AK426))</f>
        <v>52.539169284137103</v>
      </c>
      <c r="AL2046" s="125">
        <f>IF(tech_base!$T22&gt;AL$2025,"",fuel_costs!AD$9*0.086/tech_proj!AL146/(1-tech_proj!AL426))</f>
        <v>53.009338785089909</v>
      </c>
      <c r="AM2046" s="125">
        <f>IF(tech_base!$T22&gt;AM$2025,"",fuel_costs!AE$9*0.086/tech_proj!AM146/(1-tech_proj!AM426))</f>
        <v>53.515887451637248</v>
      </c>
      <c r="AN2046" s="125">
        <f>IF(tech_base!$T22&gt;AN$2025,"",fuel_costs!AF$9*0.086/tech_proj!AN146/(1-tech_proj!AN426))</f>
        <v>53.895476603324774</v>
      </c>
      <c r="AO2046" s="125">
        <f>IF(tech_base!$T22&gt;AO$2025,"",fuel_costs!AG$9*0.086/tech_proj!AO146/(1-tech_proj!AO426))</f>
        <v>54.260923160302063</v>
      </c>
      <c r="AP2046" s="125">
        <f>IF(tech_base!$T22&gt;AP$2025,"",fuel_costs!AH$9*0.086/tech_proj!AP146/(1-tech_proj!AP426))</f>
        <v>54.610659435594414</v>
      </c>
      <c r="AQ2046" s="125">
        <f>IF(tech_base!$T22&gt;AQ$2025,"",fuel_costs!AI$9*0.086/tech_proj!AQ146/(1-tech_proj!AQ426))</f>
        <v>54.948174196034778</v>
      </c>
      <c r="AR2046" s="125">
        <f>IF(tech_base!$T22&gt;AR$2025,"",fuel_costs!AJ$9*0.086/tech_proj!AR146/(1-tech_proj!AR426))</f>
        <v>55.311588541653393</v>
      </c>
      <c r="AS2046" s="125">
        <f>IF(tech_base!$T22&gt;AS$2025,"",fuel_costs!AK$9*0.086/tech_proj!AS146/(1-tech_proj!AS426))</f>
        <v>55.667766857017348</v>
      </c>
      <c r="AT2046" s="125">
        <f>IF(tech_base!$T22&gt;AT$2025,"",fuel_costs!AL$9*0.086/tech_proj!AT146/(1-tech_proj!AT426))</f>
        <v>55.847735524941243</v>
      </c>
      <c r="AU2046" s="125">
        <f>IF(tech_base!$T22&gt;AU$2025,"",fuel_costs!AM$9*0.086/tech_proj!AU146/(1-tech_proj!AU426))</f>
        <v>56.133160702473432</v>
      </c>
      <c r="AV2046" s="125">
        <f>IF(tech_base!$T22&gt;AV$2025,"",fuel_costs!AN$9*0.086/tech_proj!AV146/(1-tech_proj!AV426))</f>
        <v>56.317203688357196</v>
      </c>
      <c r="AW2046" s="125">
        <f>IF(tech_base!$T22&gt;AW$2025,"",fuel_costs!AO$9*0.086/tech_proj!AW146/(1-tech_proj!AW426))</f>
        <v>56.429784093461009</v>
      </c>
      <c r="AX2046" s="126">
        <f>IF(tech_base!$T22&gt;AX$2025,"",fuel_costs!AP$9*0.086/tech_proj!AX146/(1-tech_proj!AX426))</f>
        <v>56.601709190724613</v>
      </c>
    </row>
    <row r="2047" spans="1:50" x14ac:dyDescent="0.25">
      <c r="A2047" s="356"/>
      <c r="B2047" s="376"/>
      <c r="C2047" s="361" t="s">
        <v>16</v>
      </c>
      <c r="D2047" s="2" t="s">
        <v>7</v>
      </c>
      <c r="E2047" s="76" t="str">
        <f>A2033&amp;"/"&amp;B2041&amp;"/"&amp;C2047&amp;"/"&amp;D2047</f>
        <v>Coal fired power plants/Supercritical steam turbine/CHP with CCS/L</v>
      </c>
      <c r="F2047" s="76" t="str">
        <f>A2033</f>
        <v>Coal fired power plants</v>
      </c>
      <c r="G2047" s="76" t="str">
        <f>B2041</f>
        <v>Supercritical steam turbine</v>
      </c>
      <c r="H2047" s="76" t="str">
        <f>C2047</f>
        <v>CHP with CCS</v>
      </c>
      <c r="I2047" s="76" t="str">
        <f t="shared" si="387"/>
        <v>L</v>
      </c>
      <c r="J2047" s="119" t="str">
        <f>IF(tech_base!$T23&gt;J$2025,"",fuel_costs!B$9*0.086/tech_proj!J147/(1-tech_proj!J427))</f>
        <v/>
      </c>
      <c r="K2047" s="119" t="str">
        <f>IF(tech_base!$T23&gt;K$2025,"",fuel_costs!C$9*0.086/tech_proj!K147/(1-tech_proj!K427))</f>
        <v/>
      </c>
      <c r="L2047" s="119" t="str">
        <f>IF(tech_base!$T23&gt;L$2025,"",fuel_costs!D$9*0.086/tech_proj!L147/(1-tech_proj!L427))</f>
        <v/>
      </c>
      <c r="M2047" s="119" t="str">
        <f>IF(tech_base!$T23&gt;M$2025,"",fuel_costs!E$9*0.086/tech_proj!M147/(1-tech_proj!M427))</f>
        <v/>
      </c>
      <c r="N2047" s="119" t="str">
        <f>IF(tech_base!$T23&gt;N$2025,"",fuel_costs!F$9*0.086/tech_proj!N147/(1-tech_proj!N427))</f>
        <v/>
      </c>
      <c r="O2047" s="119" t="str">
        <f>IF(tech_base!$T23&gt;O$2025,"",fuel_costs!G$9*0.086/tech_proj!O147/(1-tech_proj!O427))</f>
        <v/>
      </c>
      <c r="P2047" s="119" t="str">
        <f>IF(tech_base!$T23&gt;P$2025,"",fuel_costs!H$9*0.086/tech_proj!P147/(1-tech_proj!P427))</f>
        <v/>
      </c>
      <c r="Q2047" s="119" t="str">
        <f>IF(tech_base!$T23&gt;Q$2025,"",fuel_costs!I$9*0.086/tech_proj!Q147/(1-tech_proj!Q427))</f>
        <v/>
      </c>
      <c r="R2047" s="119" t="str">
        <f>IF(tech_base!$T23&gt;R$2025,"",fuel_costs!J$9*0.086/tech_proj!R147/(1-tech_proj!R427))</f>
        <v/>
      </c>
      <c r="S2047" s="119" t="str">
        <f>IF(tech_base!$T23&gt;S$2025,"",fuel_costs!K$9*0.086/tech_proj!S147/(1-tech_proj!S427))</f>
        <v/>
      </c>
      <c r="T2047" s="119" t="str">
        <f>IF(tech_base!$T23&gt;T$2025,"",fuel_costs!L$9*0.086/tech_proj!T147/(1-tech_proj!T427))</f>
        <v/>
      </c>
      <c r="U2047" s="119" t="str">
        <f>IF(tech_base!$T23&gt;U$2025,"",fuel_costs!M$9*0.086/tech_proj!U147/(1-tech_proj!U427))</f>
        <v/>
      </c>
      <c r="V2047" s="119" t="str">
        <f>IF(tech_base!$T23&gt;V$2025,"",fuel_costs!N$9*0.086/tech_proj!V147/(1-tech_proj!V427))</f>
        <v/>
      </c>
      <c r="W2047" s="119" t="str">
        <f>IF(tech_base!$T23&gt;W$2025,"",fuel_costs!O$9*0.086/tech_proj!W147/(1-tech_proj!W427))</f>
        <v/>
      </c>
      <c r="X2047" s="119" t="str">
        <f>IF(tech_base!$T23&gt;X$2025,"",fuel_costs!P$9*0.086/tech_proj!X147/(1-tech_proj!X427))</f>
        <v/>
      </c>
      <c r="Y2047" s="119" t="str">
        <f>IF(tech_base!$T23&gt;Y$2025,"",fuel_costs!Q$9*0.086/tech_proj!Y147/(1-tech_proj!Y427))</f>
        <v/>
      </c>
      <c r="Z2047" s="119" t="str">
        <f>IF(tech_base!$T23&gt;Z$2025,"",fuel_costs!R$9*0.086/tech_proj!Z147/(1-tech_proj!Z427))</f>
        <v/>
      </c>
      <c r="AA2047" s="119" t="str">
        <f>IF(tech_base!$T23&gt;AA$2025,"",fuel_costs!S$9*0.086/tech_proj!AA147/(1-tech_proj!AA427))</f>
        <v/>
      </c>
      <c r="AB2047" s="119" t="str">
        <f>IF(tech_base!$T23&gt;AB$2025,"",fuel_costs!T$9*0.086/tech_proj!AB147/(1-tech_proj!AB427))</f>
        <v/>
      </c>
      <c r="AC2047" s="119" t="str">
        <f>IF(tech_base!$T23&gt;AC$2025,"",fuel_costs!U$9*0.086/tech_proj!AC147/(1-tech_proj!AC427))</f>
        <v/>
      </c>
      <c r="AD2047" s="119" t="str">
        <f>IF(tech_base!$T23&gt;AD$2025,"",fuel_costs!V$9*0.086/tech_proj!AD147/(1-tech_proj!AD427))</f>
        <v/>
      </c>
      <c r="AE2047" s="119">
        <f>IF(tech_base!$T23&gt;AE$2025,"",fuel_costs!W$9*0.086/tech_proj!AE147/(1-tech_proj!AE427))</f>
        <v>52.521582770033277</v>
      </c>
      <c r="AF2047" s="119">
        <f>IF(tech_base!$T23&gt;AF$2025,"",fuel_costs!X$9*0.086/tech_proj!AF147/(1-tech_proj!AF427))</f>
        <v>53.148013048500687</v>
      </c>
      <c r="AG2047" s="119">
        <f>IF(tech_base!$T23&gt;AG$2025,"",fuel_costs!Y$9*0.086/tech_proj!AG147/(1-tech_proj!AG427))</f>
        <v>53.800992512608971</v>
      </c>
      <c r="AH2047" s="119">
        <f>IF(tech_base!$T23&gt;AH$2025,"",fuel_costs!Z$9*0.086/tech_proj!AH147/(1-tech_proj!AH427))</f>
        <v>54.405985375404654</v>
      </c>
      <c r="AI2047" s="119">
        <f>IF(tech_base!$T23&gt;AI$2025,"",fuel_costs!AA$9*0.086/tech_proj!AI147/(1-tech_proj!AI427))</f>
        <v>54.950578795700324</v>
      </c>
      <c r="AJ2047" s="119">
        <f>IF(tech_base!$T23&gt;AJ$2025,"",fuel_costs!AB$9*0.086/tech_proj!AJ147/(1-tech_proj!AJ427))</f>
        <v>55.330110052803761</v>
      </c>
      <c r="AK2047" s="119">
        <f>IF(tech_base!$T23&gt;AK$2025,"",fuel_costs!AC$9*0.086/tech_proj!AK147/(1-tech_proj!AK427))</f>
        <v>55.778491298124607</v>
      </c>
      <c r="AL2047" s="119">
        <f>IF(tech_base!$T23&gt;AL$2025,"",fuel_costs!AD$9*0.086/tech_proj!AL147/(1-tech_proj!AL427))</f>
        <v>56.275641093589307</v>
      </c>
      <c r="AM2047" s="119">
        <f>IF(tech_base!$T23&gt;AM$2025,"",fuel_costs!AE$9*0.086/tech_proj!AM147/(1-tech_proj!AM427))</f>
        <v>56.812000163547431</v>
      </c>
      <c r="AN2047" s="119">
        <f>IF(tech_base!$T23&gt;AN$2025,"",fuel_costs!AF$9*0.086/tech_proj!AN147/(1-tech_proj!AN427))</f>
        <v>57.214620893126089</v>
      </c>
      <c r="AO2047" s="119">
        <f>IF(tech_base!$T23&gt;AO$2025,"",fuel_costs!AG$9*0.086/tech_proj!AO147/(1-tech_proj!AO427))</f>
        <v>57.603898166556334</v>
      </c>
      <c r="AP2047" s="119">
        <f>IF(tech_base!$T23&gt;AP$2025,"",fuel_costs!AH$9*0.086/tech_proj!AP147/(1-tech_proj!AP427))</f>
        <v>57.979021495903858</v>
      </c>
      <c r="AQ2047" s="119">
        <f>IF(tech_base!$T23&gt;AQ$2025,"",fuel_costs!AI$9*0.086/tech_proj!AQ147/(1-tech_proj!AQ427))</f>
        <v>58.34483171757801</v>
      </c>
      <c r="AR2047" s="119">
        <f>IF(tech_base!$T23&gt;AR$2025,"",fuel_costs!AJ$9*0.086/tech_proj!AR147/(1-tech_proj!AR427))</f>
        <v>58.743292804807503</v>
      </c>
      <c r="AS2047" s="119">
        <f>IF(tech_base!$T23&gt;AS$2025,"",fuel_costs!AK$9*0.086/tech_proj!AS147/(1-tech_proj!AS427))</f>
        <v>59.141108406357496</v>
      </c>
      <c r="AT2047" s="119">
        <f>IF(tech_base!$T23&gt;AT$2025,"",fuel_costs!AL$9*0.086/tech_proj!AT147/(1-tech_proj!AT427))</f>
        <v>59.360980171449086</v>
      </c>
      <c r="AU2047" s="119">
        <f>IF(tech_base!$T23&gt;AU$2025,"",fuel_costs!AM$9*0.086/tech_proj!AU147/(1-tech_proj!AU427))</f>
        <v>59.70483398102526</v>
      </c>
      <c r="AV2047" s="119">
        <f>IF(tech_base!$T23&gt;AV$2025,"",fuel_costs!AN$9*0.086/tech_proj!AV147/(1-tech_proj!AV427))</f>
        <v>59.955661649049631</v>
      </c>
      <c r="AW2047" s="119">
        <f>IF(tech_base!$T23&gt;AW$2025,"",fuel_costs!AO$9*0.086/tech_proj!AW147/(1-tech_proj!AW427))</f>
        <v>60.147981702651364</v>
      </c>
      <c r="AX2047" s="120">
        <f>IF(tech_base!$T23&gt;AX$2025,"",fuel_costs!AP$9*0.086/tech_proj!AX147/(1-tech_proj!AX427))</f>
        <v>60.423666033659657</v>
      </c>
    </row>
    <row r="2048" spans="1:50" x14ac:dyDescent="0.25">
      <c r="A2048" s="356"/>
      <c r="B2048" s="380"/>
      <c r="C2048" s="381"/>
      <c r="D2048" s="4" t="s">
        <v>8</v>
      </c>
      <c r="E2048" s="80" t="str">
        <f>A2033&amp;"/"&amp;B2041&amp;"/"&amp;C2047&amp;"/"&amp;D2048</f>
        <v>Coal fired power plants/Supercritical steam turbine/CHP with CCS/M</v>
      </c>
      <c r="F2048" s="80" t="str">
        <f>A2033</f>
        <v>Coal fired power plants</v>
      </c>
      <c r="G2048" s="80" t="str">
        <f>B2041</f>
        <v>Supercritical steam turbine</v>
      </c>
      <c r="H2048" s="80" t="str">
        <f>C2047</f>
        <v>CHP with CCS</v>
      </c>
      <c r="I2048" s="80" t="str">
        <f t="shared" si="387"/>
        <v>M</v>
      </c>
      <c r="J2048" s="127" t="str">
        <f>IF(tech_base!$T24&gt;J$2025,"",fuel_costs!B$9*0.086/tech_proj!J148/(1-tech_proj!J428))</f>
        <v/>
      </c>
      <c r="K2048" s="127" t="str">
        <f>IF(tech_base!$T24&gt;K$2025,"",fuel_costs!C$9*0.086/tech_proj!K148/(1-tech_proj!K428))</f>
        <v/>
      </c>
      <c r="L2048" s="127" t="str">
        <f>IF(tech_base!$T24&gt;L$2025,"",fuel_costs!D$9*0.086/tech_proj!L148/(1-tech_proj!L428))</f>
        <v/>
      </c>
      <c r="M2048" s="127" t="str">
        <f>IF(tech_base!$T24&gt;M$2025,"",fuel_costs!E$9*0.086/tech_proj!M148/(1-tech_proj!M428))</f>
        <v/>
      </c>
      <c r="N2048" s="127" t="str">
        <f>IF(tech_base!$T24&gt;N$2025,"",fuel_costs!F$9*0.086/tech_proj!N148/(1-tech_proj!N428))</f>
        <v/>
      </c>
      <c r="O2048" s="127" t="str">
        <f>IF(tech_base!$T24&gt;O$2025,"",fuel_costs!G$9*0.086/tech_proj!O148/(1-tech_proj!O428))</f>
        <v/>
      </c>
      <c r="P2048" s="127" t="str">
        <f>IF(tech_base!$T24&gt;P$2025,"",fuel_costs!H$9*0.086/tech_proj!P148/(1-tech_proj!P428))</f>
        <v/>
      </c>
      <c r="Q2048" s="127" t="str">
        <f>IF(tech_base!$T24&gt;Q$2025,"",fuel_costs!I$9*0.086/tech_proj!Q148/(1-tech_proj!Q428))</f>
        <v/>
      </c>
      <c r="R2048" s="127" t="str">
        <f>IF(tech_base!$T24&gt;R$2025,"",fuel_costs!J$9*0.086/tech_proj!R148/(1-tech_proj!R428))</f>
        <v/>
      </c>
      <c r="S2048" s="127" t="str">
        <f>IF(tech_base!$T24&gt;S$2025,"",fuel_costs!K$9*0.086/tech_proj!S148/(1-tech_proj!S428))</f>
        <v/>
      </c>
      <c r="T2048" s="127" t="str">
        <f>IF(tech_base!$T24&gt;T$2025,"",fuel_costs!L$9*0.086/tech_proj!T148/(1-tech_proj!T428))</f>
        <v/>
      </c>
      <c r="U2048" s="127" t="str">
        <f>IF(tech_base!$T24&gt;U$2025,"",fuel_costs!M$9*0.086/tech_proj!U148/(1-tech_proj!U428))</f>
        <v/>
      </c>
      <c r="V2048" s="127" t="str">
        <f>IF(tech_base!$T24&gt;V$2025,"",fuel_costs!N$9*0.086/tech_proj!V148/(1-tech_proj!V428))</f>
        <v/>
      </c>
      <c r="W2048" s="127" t="str">
        <f>IF(tech_base!$T24&gt;W$2025,"",fuel_costs!O$9*0.086/tech_proj!W148/(1-tech_proj!W428))</f>
        <v/>
      </c>
      <c r="X2048" s="127" t="str">
        <f>IF(tech_base!$T24&gt;X$2025,"",fuel_costs!P$9*0.086/tech_proj!X148/(1-tech_proj!X428))</f>
        <v/>
      </c>
      <c r="Y2048" s="127" t="str">
        <f>IF(tech_base!$T24&gt;Y$2025,"",fuel_costs!Q$9*0.086/tech_proj!Y148/(1-tech_proj!Y428))</f>
        <v/>
      </c>
      <c r="Z2048" s="127" t="str">
        <f>IF(tech_base!$T24&gt;Z$2025,"",fuel_costs!R$9*0.086/tech_proj!Z148/(1-tech_proj!Z428))</f>
        <v/>
      </c>
      <c r="AA2048" s="127" t="str">
        <f>IF(tech_base!$T24&gt;AA$2025,"",fuel_costs!S$9*0.086/tech_proj!AA148/(1-tech_proj!AA428))</f>
        <v/>
      </c>
      <c r="AB2048" s="127" t="str">
        <f>IF(tech_base!$T24&gt;AB$2025,"",fuel_costs!T$9*0.086/tech_proj!AB148/(1-tech_proj!AB428))</f>
        <v/>
      </c>
      <c r="AC2048" s="127" t="str">
        <f>IF(tech_base!$T24&gt;AC$2025,"",fuel_costs!U$9*0.086/tech_proj!AC148/(1-tech_proj!AC428))</f>
        <v/>
      </c>
      <c r="AD2048" s="127" t="str">
        <f>IF(tech_base!$T24&gt;AD$2025,"",fuel_costs!V$9*0.086/tech_proj!AD148/(1-tech_proj!AD428))</f>
        <v/>
      </c>
      <c r="AE2048" s="127">
        <f>IF(tech_base!$T24&gt;AE$2025,"",fuel_costs!W$9*0.086/tech_proj!AE148/(1-tech_proj!AE428))</f>
        <v>56.016184182124768</v>
      </c>
      <c r="AF2048" s="127">
        <f>IF(tech_base!$T24&gt;AF$2025,"",fuel_costs!X$9*0.086/tech_proj!AF148/(1-tech_proj!AF428))</f>
        <v>56.686801744755151</v>
      </c>
      <c r="AG2048" s="127">
        <f>IF(tech_base!$T24&gt;AG$2025,"",fuel_costs!Y$9*0.086/tech_proj!AG148/(1-tech_proj!AG428))</f>
        <v>57.386151705599353</v>
      </c>
      <c r="AH2048" s="127">
        <f>IF(tech_base!$T24&gt;AH$2025,"",fuel_costs!Z$9*0.086/tech_proj!AH148/(1-tech_proj!AH428))</f>
        <v>58.034762810531035</v>
      </c>
      <c r="AI2048" s="127">
        <f>IF(tech_base!$T24&gt;AI$2025,"",fuel_costs!AA$9*0.086/tech_proj!AI148/(1-tech_proj!AI428))</f>
        <v>58.619402618915267</v>
      </c>
      <c r="AJ2048" s="127">
        <f>IF(tech_base!$T24&gt;AJ$2025,"",fuel_costs!AB$9*0.086/tech_proj!AJ148/(1-tech_proj!AJ428))</f>
        <v>59.028395542348626</v>
      </c>
      <c r="AK2048" s="127">
        <f>IF(tech_base!$T24&gt;AK$2025,"",fuel_costs!AC$9*0.086/tech_proj!AK148/(1-tech_proj!AK428))</f>
        <v>59.51122886006354</v>
      </c>
      <c r="AL2048" s="127">
        <f>IF(tech_base!$T24&gt;AL$2025,"",fuel_costs!AD$9*0.086/tech_proj!AL148/(1-tech_proj!AL428))</f>
        <v>60.046401895491528</v>
      </c>
      <c r="AM2048" s="127">
        <f>IF(tech_base!$T24&gt;AM$2025,"",fuel_costs!AE$9*0.086/tech_proj!AM148/(1-tech_proj!AM428))</f>
        <v>60.623564864366166</v>
      </c>
      <c r="AN2048" s="127">
        <f>IF(tech_base!$T24&gt;AN$2025,"",fuel_costs!AF$9*0.086/tech_proj!AN148/(1-tech_proj!AN428))</f>
        <v>61.057900391302638</v>
      </c>
      <c r="AO2048" s="127">
        <f>IF(tech_base!$T24&gt;AO$2025,"",fuel_costs!AG$9*0.086/tech_proj!AO148/(1-tech_proj!AO428))</f>
        <v>61.477470506686046</v>
      </c>
      <c r="AP2048" s="127">
        <f>IF(tech_base!$T24&gt;AP$2025,"",fuel_costs!AH$9*0.086/tech_proj!AP148/(1-tech_proj!AP428))</f>
        <v>61.880834264169621</v>
      </c>
      <c r="AQ2048" s="127">
        <f>IF(tech_base!$T24&gt;AQ$2025,"",fuel_costs!AI$9*0.086/tech_proj!AQ148/(1-tech_proj!AQ428))</f>
        <v>62.272359798713879</v>
      </c>
      <c r="AR2048" s="127">
        <f>IF(tech_base!$T24&gt;AR$2025,"",fuel_costs!AJ$9*0.086/tech_proj!AR148/(1-tech_proj!AR428))</f>
        <v>62.69576584355471</v>
      </c>
      <c r="AS2048" s="127">
        <f>IF(tech_base!$T24&gt;AS$2025,"",fuel_costs!AK$9*0.086/tech_proj!AS148/(1-tech_proj!AS428))</f>
        <v>63.11412624520208</v>
      </c>
      <c r="AT2048" s="127">
        <f>IF(tech_base!$T24&gt;AT$2025,"",fuel_costs!AL$9*0.086/tech_proj!AT148/(1-tech_proj!AT428))</f>
        <v>63.336542022165816</v>
      </c>
      <c r="AU2048" s="127">
        <f>IF(tech_base!$T24&gt;AU$2025,"",fuel_costs!AM$9*0.086/tech_proj!AU148/(1-tech_proj!AU428))</f>
        <v>63.683197422731205</v>
      </c>
      <c r="AV2048" s="127">
        <f>IF(tech_base!$T24&gt;AV$2025,"",fuel_costs!AN$9*0.086/tech_proj!AV148/(1-tech_proj!AV428))</f>
        <v>63.920377795699828</v>
      </c>
      <c r="AW2048" s="127">
        <f>IF(tech_base!$T24&gt;AW$2025,"",fuel_costs!AO$9*0.086/tech_proj!AW148/(1-tech_proj!AW428))</f>
        <v>64.082828472300065</v>
      </c>
      <c r="AX2048" s="128">
        <f>IF(tech_base!$T24&gt;AX$2025,"",fuel_costs!AP$9*0.086/tech_proj!AX148/(1-tech_proj!AX428))</f>
        <v>64.319904701425884</v>
      </c>
    </row>
    <row r="2049" spans="1:50" x14ac:dyDescent="0.25">
      <c r="A2049" s="356"/>
      <c r="B2049" s="358" t="s">
        <v>18</v>
      </c>
      <c r="C2049" s="353" t="s">
        <v>6</v>
      </c>
      <c r="D2049" s="3" t="s">
        <v>7</v>
      </c>
      <c r="E2049" s="77" t="str">
        <f>A2033&amp;"/"&amp;B2049&amp;"/"&amp;C2049&amp;"/"&amp;D2049</f>
        <v>Coal fired power plants/Fluidized bed combustion/Electricity only/L</v>
      </c>
      <c r="F2049" s="77" t="str">
        <f>A2033</f>
        <v>Coal fired power plants</v>
      </c>
      <c r="G2049" s="77" t="str">
        <f>B2049</f>
        <v>Fluidized bed combustion</v>
      </c>
      <c r="H2049" s="77" t="str">
        <f>C2049</f>
        <v>Electricity only</v>
      </c>
      <c r="I2049" s="77" t="str">
        <f t="shared" si="387"/>
        <v>L</v>
      </c>
      <c r="J2049" s="121">
        <f>IF(tech_base!$T25&gt;J$2025,"",fuel_costs!B$9*0.086/tech_proj!J149/(1-tech_proj!J429))</f>
        <v>28.421282279638412</v>
      </c>
      <c r="K2049" s="121">
        <f>IF(tech_base!$T25&gt;K$2025,"",fuel_costs!C$9*0.086/tech_proj!K149/(1-tech_proj!K429))</f>
        <v>35.489347448217401</v>
      </c>
      <c r="L2049" s="121">
        <f>IF(tech_base!$T25&gt;L$2025,"",fuel_costs!D$9*0.086/tech_proj!L149/(1-tech_proj!L429))</f>
        <v>30.191036715059138</v>
      </c>
      <c r="M2049" s="121">
        <f>IF(tech_base!$T25&gt;M$2025,"",fuel_costs!E$9*0.086/tech_proj!M149/(1-tech_proj!M429))</f>
        <v>27.250353097981996</v>
      </c>
      <c r="N2049" s="121">
        <f>IF(tech_base!$T25&gt;N$2025,"",fuel_costs!F$9*0.086/tech_proj!N149/(1-tech_proj!N429))</f>
        <v>26.159942275047996</v>
      </c>
      <c r="O2049" s="121">
        <f>IF(tech_base!$T25&gt;O$2025,"",fuel_costs!G$9*0.086/tech_proj!O149/(1-tech_proj!O429))</f>
        <v>24.582224448278055</v>
      </c>
      <c r="P2049" s="121">
        <f>IF(tech_base!$T25&gt;P$2025,"",fuel_costs!H$9*0.086/tech_proj!P149/(1-tech_proj!P429))</f>
        <v>25.971445030611765</v>
      </c>
      <c r="Q2049" s="121">
        <f>IF(tech_base!$T25&gt;Q$2025,"",fuel_costs!I$9*0.086/tech_proj!Q149/(1-tech_proj!Q429))</f>
        <v>33.025262305765722</v>
      </c>
      <c r="R2049" s="121">
        <f>IF(tech_base!$T25&gt;R$2025,"",fuel_costs!J$9*0.086/tech_proj!R149/(1-tech_proj!R429))</f>
        <v>33.213216083264719</v>
      </c>
      <c r="S2049" s="121">
        <f>IF(tech_base!$T25&gt;S$2025,"",fuel_costs!K$9*0.086/tech_proj!S149/(1-tech_proj!S429))</f>
        <v>33.398932931964275</v>
      </c>
      <c r="T2049" s="121">
        <f>IF(tech_base!$T25&gt;T$2025,"",fuel_costs!L$9*0.086/tech_proj!T149/(1-tech_proj!T429))</f>
        <v>33.582361744543292</v>
      </c>
      <c r="U2049" s="121">
        <f>IF(tech_base!$T25&gt;U$2025,"",fuel_costs!M$9*0.086/tech_proj!U149/(1-tech_proj!U429))</f>
        <v>34.341807207629699</v>
      </c>
      <c r="V2049" s="121">
        <f>IF(tech_base!$T25&gt;V$2025,"",fuel_costs!N$9*0.086/tech_proj!V149/(1-tech_proj!V429))</f>
        <v>34.36362570511649</v>
      </c>
      <c r="W2049" s="121">
        <f>IF(tech_base!$T25&gt;W$2025,"",fuel_costs!O$9*0.086/tech_proj!W149/(1-tech_proj!W429))</f>
        <v>34.337966482701965</v>
      </c>
      <c r="X2049" s="121">
        <f>IF(tech_base!$T25&gt;X$2025,"",fuel_costs!P$9*0.086/tech_proj!X149/(1-tech_proj!X429))</f>
        <v>34.534353788463086</v>
      </c>
      <c r="Y2049" s="121">
        <f>IF(tech_base!$T25&gt;Y$2025,"",fuel_costs!Q$9*0.086/tech_proj!Y149/(1-tech_proj!Y429))</f>
        <v>34.764776334037499</v>
      </c>
      <c r="Z2049" s="121">
        <f>IF(tech_base!$T25&gt;Z$2025,"",fuel_costs!R$9*0.086/tech_proj!Z149/(1-tech_proj!Z429))</f>
        <v>35.859178259151349</v>
      </c>
      <c r="AA2049" s="121">
        <f>IF(tech_base!$T25&gt;AA$2025,"",fuel_costs!S$9*0.086/tech_proj!AA149/(1-tech_proj!AA429))</f>
        <v>36.949404960697862</v>
      </c>
      <c r="AB2049" s="121">
        <f>IF(tech_base!$T25&gt;AB$2025,"",fuel_costs!T$9*0.086/tech_proj!AB149/(1-tech_proj!AB429))</f>
        <v>38.074518161607386</v>
      </c>
      <c r="AC2049" s="121">
        <f>IF(tech_base!$T25&gt;AC$2025,"",fuel_costs!U$9*0.086/tech_proj!AC149/(1-tech_proj!AC429))</f>
        <v>39.206209171484048</v>
      </c>
      <c r="AD2049" s="121">
        <f>IF(tech_base!$T25&gt;AD$2025,"",fuel_costs!V$9*0.086/tech_proj!AD149/(1-tech_proj!AD429))</f>
        <v>40.442905876030871</v>
      </c>
      <c r="AE2049" s="121">
        <f>IF(tech_base!$T25&gt;AE$2025,"",fuel_costs!W$9*0.086/tech_proj!AE149/(1-tech_proj!AE429))</f>
        <v>40.777036321940415</v>
      </c>
      <c r="AF2049" s="121">
        <f>IF(tech_base!$T25&gt;AF$2025,"",fuel_costs!X$9*0.086/tech_proj!AF149/(1-tech_proj!AF429))</f>
        <v>41.233667211731564</v>
      </c>
      <c r="AG2049" s="121">
        <f>IF(tech_base!$T25&gt;AG$2025,"",fuel_costs!Y$9*0.086/tech_proj!AG149/(1-tech_proj!AG429))</f>
        <v>41.704337234829822</v>
      </c>
      <c r="AH2049" s="121">
        <f>IF(tech_base!$T25&gt;AH$2025,"",fuel_costs!Z$9*0.086/tech_proj!AH149/(1-tech_proj!AH429))</f>
        <v>42.130125318295143</v>
      </c>
      <c r="AI2049" s="121">
        <f>IF(tech_base!$T25&gt;AI$2025,"",fuel_costs!AA$9*0.086/tech_proj!AI149/(1-tech_proj!AI429))</f>
        <v>42.500320674058443</v>
      </c>
      <c r="AJ2049" s="121">
        <f>IF(tech_base!$T25&gt;AJ$2025,"",fuel_costs!AB$9*0.086/tech_proj!AJ149/(1-tech_proj!AJ429))</f>
        <v>42.733016041141269</v>
      </c>
      <c r="AK2049" s="121">
        <f>IF(tech_base!$T25&gt;AK$2025,"",fuel_costs!AC$9*0.086/tech_proj!AK149/(1-tech_proj!AK429))</f>
        <v>43.007991111338534</v>
      </c>
      <c r="AL2049" s="121">
        <f>IF(tech_base!$T25&gt;AL$2025,"",fuel_costs!AD$9*0.086/tech_proj!AL149/(1-tech_proj!AL429))</f>
        <v>43.308518209191256</v>
      </c>
      <c r="AM2049" s="121">
        <f>IF(tech_base!$T25&gt;AM$2025,"",fuel_costs!AE$9*0.086/tech_proj!AM149/(1-tech_proj!AM429))</f>
        <v>43.62631083556024</v>
      </c>
      <c r="AN2049" s="121">
        <f>IF(tech_base!$T25&gt;AN$2025,"",fuel_costs!AF$9*0.086/tech_proj!AN149/(1-tech_proj!AN429))</f>
        <v>43.828440839299709</v>
      </c>
      <c r="AO2049" s="121">
        <f>IF(tech_base!$T25&gt;AO$2025,"",fuel_costs!AG$9*0.086/tech_proj!AO149/(1-tech_proj!AO429))</f>
        <v>44.008210474125654</v>
      </c>
      <c r="AP2049" s="121">
        <f>IF(tech_base!$T25&gt;AP$2025,"",fuel_costs!AH$9*0.086/tech_proj!AP149/(1-tech_proj!AP429))</f>
        <v>44.166651077936592</v>
      </c>
      <c r="AQ2049" s="121">
        <f>IF(tech_base!$T25&gt;AQ$2025,"",fuel_costs!AI$9*0.086/tech_proj!AQ149/(1-tech_proj!AQ429))</f>
        <v>44.310302983493337</v>
      </c>
      <c r="AR2049" s="121">
        <f>IF(tech_base!$T25&gt;AR$2025,"",fuel_costs!AJ$9*0.086/tech_proj!AR149/(1-tech_proj!AR429))</f>
        <v>44.475095298072674</v>
      </c>
      <c r="AS2049" s="121">
        <f>IF(tech_base!$T25&gt;AS$2025,"",fuel_costs!AK$9*0.086/tech_proj!AS149/(1-tech_proj!AS429))</f>
        <v>44.641054105677036</v>
      </c>
      <c r="AT2049" s="121">
        <f>IF(tech_base!$T25&gt;AT$2025,"",fuel_costs!AL$9*0.086/tech_proj!AT149/(1-tech_proj!AT429))</f>
        <v>44.681179195428683</v>
      </c>
      <c r="AU2049" s="121">
        <f>IF(tech_base!$T25&gt;AU$2025,"",fuel_costs!AM$9*0.086/tech_proj!AU149/(1-tech_proj!AU429))</f>
        <v>44.830201436797417</v>
      </c>
      <c r="AV2049" s="121">
        <f>IF(tech_base!$T25&gt;AV$2025,"",fuel_costs!AN$9*0.086/tech_proj!AV149/(1-tech_proj!AV429))</f>
        <v>44.931725272871859</v>
      </c>
      <c r="AW2049" s="121">
        <f>IF(tech_base!$T25&gt;AW$2025,"",fuel_costs!AO$9*0.086/tech_proj!AW149/(1-tech_proj!AW429))</f>
        <v>45.017932064321393</v>
      </c>
      <c r="AX2049" s="122">
        <f>IF(tech_base!$T25&gt;AX$2025,"",fuel_costs!AP$9*0.086/tech_proj!AX149/(1-tech_proj!AX429))</f>
        <v>45.199435529574401</v>
      </c>
    </row>
    <row r="2050" spans="1:50" x14ac:dyDescent="0.25">
      <c r="A2050" s="356"/>
      <c r="B2050" s="376"/>
      <c r="C2050" s="378"/>
      <c r="D2050" s="2" t="s">
        <v>8</v>
      </c>
      <c r="E2050" s="76" t="str">
        <f>A2033&amp;"/"&amp;B2049&amp;"/"&amp;C2049&amp;"/"&amp;D2050</f>
        <v>Coal fired power plants/Fluidized bed combustion/Electricity only/M</v>
      </c>
      <c r="F2050" s="76" t="str">
        <f>A2033</f>
        <v>Coal fired power plants</v>
      </c>
      <c r="G2050" s="76" t="str">
        <f>B2049</f>
        <v>Fluidized bed combustion</v>
      </c>
      <c r="H2050" s="76" t="str">
        <f>C2049</f>
        <v>Electricity only</v>
      </c>
      <c r="I2050" s="76" t="str">
        <f t="shared" si="387"/>
        <v>M</v>
      </c>
      <c r="J2050" s="119">
        <f>IF(tech_base!$T26&gt;J$2025,"",fuel_costs!B$9*0.086/tech_proj!J150/(1-tech_proj!J430))</f>
        <v>29.916116460443043</v>
      </c>
      <c r="K2050" s="119">
        <f>IF(tech_base!$T26&gt;K$2025,"",fuel_costs!C$9*0.086/tech_proj!K150/(1-tech_proj!K430))</f>
        <v>37.355441418465148</v>
      </c>
      <c r="L2050" s="119">
        <f>IF(tech_base!$T26&gt;L$2025,"",fuel_costs!D$9*0.086/tech_proj!L150/(1-tech_proj!L430))</f>
        <v>31.778053332928266</v>
      </c>
      <c r="M2050" s="119">
        <f>IF(tech_base!$T26&gt;M$2025,"",fuel_costs!E$9*0.086/tech_proj!M150/(1-tech_proj!M430))</f>
        <v>28.682286008392783</v>
      </c>
      <c r="N2050" s="119">
        <f>IF(tech_base!$T26&gt;N$2025,"",fuel_costs!F$9*0.086/tech_proj!N150/(1-tech_proj!N430))</f>
        <v>27.534017607409268</v>
      </c>
      <c r="O2050" s="119">
        <f>IF(tech_base!$T26&gt;O$2025,"",fuel_costs!G$9*0.086/tech_proj!O150/(1-tech_proj!O430))</f>
        <v>25.872822354975725</v>
      </c>
      <c r="P2050" s="119">
        <f>IF(tech_base!$T26&gt;P$2025,"",fuel_costs!H$9*0.086/tech_proj!P150/(1-tech_proj!P430))</f>
        <v>27.334241461009764</v>
      </c>
      <c r="Q2050" s="119">
        <f>IF(tech_base!$T26&gt;Q$2025,"",fuel_costs!I$9*0.086/tech_proj!Q150/(1-tech_proj!Q430))</f>
        <v>34.757116215166683</v>
      </c>
      <c r="R2050" s="119">
        <f>IF(tech_base!$T26&gt;R$2025,"",fuel_costs!J$9*0.086/tech_proj!R150/(1-tech_proj!R430))</f>
        <v>34.953686302429773</v>
      </c>
      <c r="S2050" s="119">
        <f>IF(tech_base!$T26&gt;S$2025,"",fuel_costs!K$9*0.086/tech_proj!S150/(1-tech_proj!S430))</f>
        <v>35.147711315557828</v>
      </c>
      <c r="T2050" s="119">
        <f>IF(tech_base!$T26&gt;T$2025,"",fuel_costs!L$9*0.086/tech_proj!T150/(1-tech_proj!T430))</f>
        <v>35.339114975428494</v>
      </c>
      <c r="U2050" s="119">
        <f>IF(tech_base!$T26&gt;U$2025,"",fuel_costs!M$9*0.086/tech_proj!U150/(1-tech_proj!U430))</f>
        <v>36.136398944737159</v>
      </c>
      <c r="V2050" s="119">
        <f>IF(tech_base!$T26&gt;V$2025,"",fuel_costs!N$9*0.086/tech_proj!V150/(1-tech_proj!V430))</f>
        <v>36.157223118385055</v>
      </c>
      <c r="W2050" s="119">
        <f>IF(tech_base!$T26&gt;W$2025,"",fuel_costs!O$9*0.086/tech_proj!W150/(1-tech_proj!W430))</f>
        <v>36.127828536969211</v>
      </c>
      <c r="X2050" s="119">
        <f>IF(tech_base!$T26&gt;X$2025,"",fuel_costs!P$9*0.086/tech_proj!X150/(1-tech_proj!X430))</f>
        <v>36.331760851946434</v>
      </c>
      <c r="Y2050" s="119">
        <f>IF(tech_base!$T26&gt;Y$2025,"",fuel_costs!Q$9*0.086/tech_proj!Y150/(1-tech_proj!Y430))</f>
        <v>36.571169853636313</v>
      </c>
      <c r="Z2050" s="119">
        <f>IF(tech_base!$T26&gt;Z$2025,"",fuel_costs!R$9*0.086/tech_proj!Z150/(1-tech_proj!Z430))</f>
        <v>37.719023922614284</v>
      </c>
      <c r="AA2050" s="119">
        <f>IF(tech_base!$T26&gt;AA$2025,"",fuel_costs!S$9*0.086/tech_proj!AA150/(1-tech_proj!AA430))</f>
        <v>38.861960038446114</v>
      </c>
      <c r="AB2050" s="119">
        <f>IF(tech_base!$T26&gt;AB$2025,"",fuel_costs!T$9*0.086/tech_proj!AB150/(1-tech_proj!AB430))</f>
        <v>40.04104944509551</v>
      </c>
      <c r="AC2050" s="119">
        <f>IF(tech_base!$T26&gt;AC$2025,"",fuel_costs!U$9*0.086/tech_proj!AC150/(1-tech_proj!AC430))</f>
        <v>41.226525811175549</v>
      </c>
      <c r="AD2050" s="119">
        <f>IF(tech_base!$T26&gt;AD$2025,"",fuel_costs!V$9*0.086/tech_proj!AD150/(1-tech_proj!AD430))</f>
        <v>42.521919536519512</v>
      </c>
      <c r="AE2050" s="119">
        <f>IF(tech_base!$T26&gt;AE$2025,"",fuel_costs!W$9*0.086/tech_proj!AE150/(1-tech_proj!AE430))</f>
        <v>42.868040104567463</v>
      </c>
      <c r="AF2050" s="119">
        <f>IF(tech_base!$T26&gt;AF$2025,"",fuel_costs!X$9*0.086/tech_proj!AF150/(1-tech_proj!AF430))</f>
        <v>43.342876664391589</v>
      </c>
      <c r="AG2050" s="119">
        <f>IF(tech_base!$T26&gt;AG$2025,"",fuel_costs!Y$9*0.086/tech_proj!AG150/(1-tech_proj!AG430))</f>
        <v>43.832590672877352</v>
      </c>
      <c r="AH2050" s="119">
        <f>IF(tech_base!$T26&gt;AH$2025,"",fuel_costs!Z$9*0.086/tech_proj!AH150/(1-tech_proj!AH430))</f>
        <v>44.275525281572662</v>
      </c>
      <c r="AI2050" s="119">
        <f>IF(tech_base!$T26&gt;AI$2025,"",fuel_costs!AA$9*0.086/tech_proj!AI150/(1-tech_proj!AI430))</f>
        <v>44.660776941732486</v>
      </c>
      <c r="AJ2050" s="119">
        <f>IF(tech_base!$T26&gt;AJ$2025,"",fuel_costs!AB$9*0.086/tech_proj!AJ150/(1-tech_proj!AJ430))</f>
        <v>44.902692259924372</v>
      </c>
      <c r="AK2050" s="119">
        <f>IF(tech_base!$T26&gt;AK$2025,"",fuel_costs!AC$9*0.086/tech_proj!AK150/(1-tech_proj!AK430))</f>
        <v>45.190629127233144</v>
      </c>
      <c r="AL2050" s="119">
        <f>IF(tech_base!$T26&gt;AL$2025,"",fuel_costs!AD$9*0.086/tech_proj!AL150/(1-tech_proj!AL430))</f>
        <v>45.50745169434154</v>
      </c>
      <c r="AM2050" s="119">
        <f>IF(tech_base!$T26&gt;AM$2025,"",fuel_costs!AE$9*0.086/tech_proj!AM150/(1-tech_proj!AM430))</f>
        <v>45.844854699521235</v>
      </c>
      <c r="AN2050" s="119">
        <f>IF(tech_base!$T26&gt;AN$2025,"",fuel_costs!AF$9*0.086/tech_proj!AN150/(1-tech_proj!AN430))</f>
        <v>46.063411409744042</v>
      </c>
      <c r="AO2050" s="119">
        <f>IF(tech_base!$T26&gt;AO$2025,"",fuel_costs!AG$9*0.086/tech_proj!AO150/(1-tech_proj!AO430))</f>
        <v>46.26117398424865</v>
      </c>
      <c r="AP2050" s="119">
        <f>IF(tech_base!$T26&gt;AP$2025,"",fuel_costs!AH$9*0.086/tech_proj!AP150/(1-tech_proj!AP430))</f>
        <v>46.438884352090113</v>
      </c>
      <c r="AQ2050" s="119">
        <f>IF(tech_base!$T26&gt;AQ$2025,"",fuel_costs!AI$9*0.086/tech_proj!AQ150/(1-tech_proj!AQ430))</f>
        <v>46.602626253471911</v>
      </c>
      <c r="AR2050" s="119">
        <f>IF(tech_base!$T26&gt;AR$2025,"",fuel_costs!AJ$9*0.086/tech_proj!AR150/(1-tech_proj!AR430))</f>
        <v>46.788908558208128</v>
      </c>
      <c r="AS2050" s="119">
        <f>IF(tech_base!$T26&gt;AS$2025,"",fuel_costs!AK$9*0.086/tech_proj!AS150/(1-tech_proj!AS430))</f>
        <v>46.974995612699153</v>
      </c>
      <c r="AT2050" s="119">
        <f>IF(tech_base!$T26&gt;AT$2025,"",fuel_costs!AL$9*0.086/tech_proj!AT150/(1-tech_proj!AT430))</f>
        <v>47.025191744293714</v>
      </c>
      <c r="AU2050" s="119">
        <f>IF(tech_base!$T26&gt;AU$2025,"",fuel_costs!AM$9*0.086/tech_proj!AU150/(1-tech_proj!AU430))</f>
        <v>47.184490156623092</v>
      </c>
      <c r="AV2050" s="119">
        <f>IF(tech_base!$T26&gt;AV$2025,"",fuel_costs!AN$9*0.086/tech_proj!AV150/(1-tech_proj!AV430))</f>
        <v>47.286643488492928</v>
      </c>
      <c r="AW2050" s="119">
        <f>IF(tech_base!$T26&gt;AW$2025,"",fuel_costs!AO$9*0.086/tech_proj!AW150/(1-tech_proj!AW430))</f>
        <v>47.364611844821795</v>
      </c>
      <c r="AX2050" s="120">
        <f>IF(tech_base!$T26&gt;AX$2025,"",fuel_costs!AP$9*0.086/tech_proj!AX150/(1-tech_proj!AX430))</f>
        <v>47.53480573697351</v>
      </c>
    </row>
    <row r="2051" spans="1:50" x14ac:dyDescent="0.25">
      <c r="A2051" s="356"/>
      <c r="B2051" s="376"/>
      <c r="C2051" s="379"/>
      <c r="D2051" s="2" t="s">
        <v>10</v>
      </c>
      <c r="E2051" s="76" t="str">
        <f>A2033&amp;"/"&amp;B2049&amp;"/"&amp;C2049&amp;"/"&amp;D2051</f>
        <v>Coal fired power plants/Fluidized bed combustion/Electricity only/S</v>
      </c>
      <c r="F2051" s="76" t="str">
        <f>A2033</f>
        <v>Coal fired power plants</v>
      </c>
      <c r="G2051" s="76" t="str">
        <f>B2049</f>
        <v>Fluidized bed combustion</v>
      </c>
      <c r="H2051" s="76" t="str">
        <f>C2049</f>
        <v>Electricity only</v>
      </c>
      <c r="I2051" s="76" t="str">
        <f t="shared" si="387"/>
        <v>S</v>
      </c>
      <c r="J2051" s="119">
        <f>IF(tech_base!$T27&gt;J$2025,"",fuel_costs!B$9*0.086/tech_proj!J151/(1-tech_proj!J431))</f>
        <v>31.493667009015869</v>
      </c>
      <c r="K2051" s="119">
        <f>IF(tech_base!$T27&gt;K$2025,"",fuel_costs!C$9*0.086/tech_proj!K151/(1-tech_proj!K431))</f>
        <v>39.32402401098993</v>
      </c>
      <c r="L2051" s="119">
        <f>IF(tech_base!$T27&gt;L$2025,"",fuel_costs!D$9*0.086/tech_proj!L151/(1-tech_proj!L431))</f>
        <v>33.45149566593583</v>
      </c>
      <c r="M2051" s="119">
        <f>IF(tech_base!$T27&gt;M$2025,"",fuel_costs!E$9*0.086/tech_proj!M151/(1-tech_proj!M431))</f>
        <v>30.191455970867302</v>
      </c>
      <c r="N2051" s="119">
        <f>IF(tech_base!$T27&gt;N$2025,"",fuel_costs!F$9*0.086/tech_proj!N151/(1-tech_proj!N431))</f>
        <v>28.981412021844275</v>
      </c>
      <c r="O2051" s="119">
        <f>IF(tech_base!$T27&gt;O$2025,"",fuel_costs!G$9*0.086/tech_proj!O151/(1-tech_proj!O431))</f>
        <v>27.231449408350326</v>
      </c>
      <c r="P2051" s="119">
        <f>IF(tech_base!$T27&gt;P$2025,"",fuel_costs!H$9*0.086/tech_proj!P151/(1-tech_proj!P431))</f>
        <v>28.767889594745519</v>
      </c>
      <c r="Q2051" s="119">
        <f>IF(tech_base!$T27&gt;Q$2025,"",fuel_costs!I$9*0.086/tech_proj!Q151/(1-tech_proj!Q431))</f>
        <v>36.577619777165076</v>
      </c>
      <c r="R2051" s="119">
        <f>IF(tech_base!$T27&gt;R$2025,"",fuel_costs!J$9*0.086/tech_proj!R151/(1-tech_proj!R431))</f>
        <v>36.78169766910321</v>
      </c>
      <c r="S2051" s="119">
        <f>IF(tech_base!$T27&gt;S$2025,"",fuel_costs!K$9*0.086/tech_proj!S151/(1-tech_proj!S431))</f>
        <v>36.982724492506811</v>
      </c>
      <c r="T2051" s="119">
        <f>IF(tech_base!$T27&gt;T$2025,"",fuel_costs!L$9*0.086/tech_proj!T151/(1-tech_proj!T431))</f>
        <v>37.180582412115939</v>
      </c>
      <c r="U2051" s="119">
        <f>IF(tech_base!$T27&gt;U$2025,"",fuel_costs!M$9*0.086/tech_proj!U151/(1-tech_proj!U431))</f>
        <v>38.015374570921189</v>
      </c>
      <c r="V2051" s="119">
        <f>IF(tech_base!$T27&gt;V$2025,"",fuel_costs!N$9*0.086/tech_proj!V151/(1-tech_proj!V431))</f>
        <v>38.03278979462376</v>
      </c>
      <c r="W2051" s="119">
        <f>IF(tech_base!$T27&gt;W$2025,"",fuel_costs!O$9*0.086/tech_proj!W151/(1-tech_proj!W431))</f>
        <v>37.996898437429621</v>
      </c>
      <c r="X2051" s="119">
        <f>IF(tech_base!$T27&gt;X$2025,"",fuel_costs!P$9*0.086/tech_proj!X151/(1-tech_proj!X431))</f>
        <v>38.205865549010198</v>
      </c>
      <c r="Y2051" s="119">
        <f>IF(tech_base!$T27&gt;Y$2025,"",fuel_costs!Q$9*0.086/tech_proj!Y151/(1-tech_proj!Y431))</f>
        <v>38.45152933580556</v>
      </c>
      <c r="Z2051" s="119">
        <f>IF(tech_base!$T27&gt;Z$2025,"",fuel_costs!R$9*0.086/tech_proj!Z151/(1-tech_proj!Z431))</f>
        <v>39.651540033091848</v>
      </c>
      <c r="AA2051" s="119">
        <f>IF(tech_base!$T27&gt;AA$2025,"",fuel_costs!S$9*0.086/tech_proj!AA151/(1-tech_proj!AA431))</f>
        <v>40.845365893706123</v>
      </c>
      <c r="AB2051" s="119">
        <f>IF(tech_base!$T27&gt;AB$2025,"",fuel_costs!T$9*0.086/tech_proj!AB151/(1-tech_proj!AB431))</f>
        <v>42.076127541512349</v>
      </c>
      <c r="AC2051" s="119">
        <f>IF(tech_base!$T27&gt;AC$2025,"",fuel_costs!U$9*0.086/tech_proj!AC151/(1-tech_proj!AC431))</f>
        <v>43.312510694194252</v>
      </c>
      <c r="AD2051" s="119">
        <f>IF(tech_base!$T27&gt;AD$2025,"",fuel_costs!V$9*0.086/tech_proj!AD151/(1-tech_proj!AD431))</f>
        <v>44.663269081261305</v>
      </c>
      <c r="AE2051" s="119">
        <f>IF(tech_base!$T27&gt;AE$2025,"",fuel_costs!W$9*0.086/tech_proj!AE151/(1-tech_proj!AE431))</f>
        <v>45.01611282645181</v>
      </c>
      <c r="AF2051" s="119">
        <f>IF(tech_base!$T27&gt;AF$2025,"",fuel_costs!X$9*0.086/tech_proj!AF151/(1-tech_proj!AF431))</f>
        <v>45.503613976726299</v>
      </c>
      <c r="AG2051" s="119">
        <f>IF(tech_base!$T27&gt;AG$2025,"",fuel_costs!Y$9*0.086/tech_proj!AG151/(1-tech_proj!AG431))</f>
        <v>46.006377335873971</v>
      </c>
      <c r="AH2051" s="119">
        <f>IF(tech_base!$T27&gt;AH$2025,"",fuel_costs!Z$9*0.086/tech_proj!AH151/(1-tech_proj!AH431))</f>
        <v>46.459943929132962</v>
      </c>
      <c r="AI2051" s="119">
        <f>IF(tech_base!$T27&gt;AI$2025,"",fuel_costs!AA$9*0.086/tech_proj!AI151/(1-tech_proj!AI431))</f>
        <v>46.853229390813539</v>
      </c>
      <c r="AJ2051" s="119">
        <f>IF(tech_base!$T27&gt;AJ$2025,"",fuel_costs!AB$9*0.086/tech_proj!AJ151/(1-tech_proj!AJ431))</f>
        <v>47.096819825351801</v>
      </c>
      <c r="AK2051" s="119">
        <f>IF(tech_base!$T27&gt;AK$2025,"",fuel_costs!AC$9*0.086/tech_proj!AK151/(1-tech_proj!AK431))</f>
        <v>47.389812901621504</v>
      </c>
      <c r="AL2051" s="119">
        <f>IF(tech_base!$T27&gt;AL$2025,"",fuel_costs!AD$9*0.086/tech_proj!AL151/(1-tech_proj!AL431))</f>
        <v>47.714678953888225</v>
      </c>
      <c r="AM2051" s="119">
        <f>IF(tech_base!$T27&gt;AM$2025,"",fuel_costs!AE$9*0.086/tech_proj!AM151/(1-tech_proj!AM431))</f>
        <v>48.063165717664639</v>
      </c>
      <c r="AN2051" s="119">
        <f>IF(tech_base!$T27&gt;AN$2025,"",fuel_costs!AF$9*0.086/tech_proj!AN151/(1-tech_proj!AN431))</f>
        <v>48.289527643689766</v>
      </c>
      <c r="AO2051" s="119">
        <f>IF(tech_base!$T27&gt;AO$2025,"",fuel_costs!AG$9*0.086/tech_proj!AO151/(1-tech_proj!AO431))</f>
        <v>48.496875233293977</v>
      </c>
      <c r="AP2051" s="119">
        <f>IF(tech_base!$T27&gt;AP$2025,"",fuel_costs!AH$9*0.086/tech_proj!AP151/(1-tech_proj!AP431))</f>
        <v>48.686102203244872</v>
      </c>
      <c r="AQ2051" s="119">
        <f>IF(tech_base!$T27&gt;AQ$2025,"",fuel_costs!AI$9*0.086/tech_proj!AQ151/(1-tech_proj!AQ431))</f>
        <v>48.863447427084076</v>
      </c>
      <c r="AR2051" s="119">
        <f>IF(tech_base!$T27&gt;AR$2025,"",fuel_costs!AJ$9*0.086/tech_proj!AR151/(1-tech_proj!AR431))</f>
        <v>49.066750310490974</v>
      </c>
      <c r="AS2051" s="119">
        <f>IF(tech_base!$T27&gt;AS$2025,"",fuel_costs!AK$9*0.086/tech_proj!AS151/(1-tech_proj!AS431))</f>
        <v>49.271409386342256</v>
      </c>
      <c r="AT2051" s="119">
        <f>IF(tech_base!$T27&gt;AT$2025,"",fuel_costs!AL$9*0.086/tech_proj!AT151/(1-tech_proj!AT431))</f>
        <v>49.333998159455142</v>
      </c>
      <c r="AU2051" s="119">
        <f>IF(tech_base!$T27&gt;AU$2025,"",fuel_costs!AM$9*0.086/tech_proj!AU151/(1-tech_proj!AU431))</f>
        <v>49.51021983069851</v>
      </c>
      <c r="AV2051" s="119">
        <f>IF(tech_base!$T27&gt;AV$2025,"",fuel_costs!AN$9*0.086/tech_proj!AV151/(1-tech_proj!AV431))</f>
        <v>49.624312176897504</v>
      </c>
      <c r="AW2051" s="119">
        <f>IF(tech_base!$T27&gt;AW$2025,"",fuel_costs!AO$9*0.086/tech_proj!AW151/(1-tech_proj!AW431))</f>
        <v>49.709607455966548</v>
      </c>
      <c r="AX2051" s="120">
        <f>IF(tech_base!$T27&gt;AX$2025,"",fuel_costs!AP$9*0.086/tech_proj!AX151/(1-tech_proj!AX431))</f>
        <v>49.88734347731026</v>
      </c>
    </row>
    <row r="2052" spans="1:50" x14ac:dyDescent="0.25">
      <c r="A2052" s="356"/>
      <c r="B2052" s="376"/>
      <c r="C2052" s="361" t="s">
        <v>14</v>
      </c>
      <c r="D2052" s="58" t="s">
        <v>7</v>
      </c>
      <c r="E2052" s="78" t="str">
        <f>A2033&amp;"/"&amp;B2049&amp;"/"&amp;C2052&amp;"/"&amp;D2052</f>
        <v>Coal fired power plants/Fluidized bed combustion/CHP/L</v>
      </c>
      <c r="F2052" s="78" t="str">
        <f>A2033</f>
        <v>Coal fired power plants</v>
      </c>
      <c r="G2052" s="78" t="str">
        <f>B2049</f>
        <v>Fluidized bed combustion</v>
      </c>
      <c r="H2052" s="78" t="str">
        <f>C2052</f>
        <v>CHP</v>
      </c>
      <c r="I2052" s="78" t="str">
        <f t="shared" si="387"/>
        <v>L</v>
      </c>
      <c r="J2052" s="123">
        <f>IF(tech_base!$T28&gt;J$2025,"",fuel_costs!B$9*0.086/tech_proj!J152/(1-tech_proj!J432))</f>
        <v>31.418359394437363</v>
      </c>
      <c r="K2052" s="123">
        <f>IF(tech_base!$T28&gt;K$2025,"",fuel_costs!C$9*0.086/tech_proj!K152/(1-tech_proj!K432))</f>
        <v>39.232116768945765</v>
      </c>
      <c r="L2052" s="123">
        <f>IF(tech_base!$T28&gt;L$2025,"",fuel_costs!D$9*0.086/tech_proj!L152/(1-tech_proj!L432))</f>
        <v>33.375401990465093</v>
      </c>
      <c r="M2052" s="123">
        <f>IF(tech_base!$T28&gt;M$2025,"",fuel_costs!E$9*0.086/tech_proj!M152/(1-tech_proj!M432))</f>
        <v>30.124955502503859</v>
      </c>
      <c r="N2052" s="123">
        <f>IF(tech_base!$T28&gt;N$2025,"",fuel_costs!F$9*0.086/tech_proj!N152/(1-tech_proj!N432))</f>
        <v>28.919990283311684</v>
      </c>
      <c r="O2052" s="123">
        <f>IF(tech_base!$T28&gt;O$2025,"",fuel_costs!G$9*0.086/tech_proj!O152/(1-tech_proj!O432))</f>
        <v>27.176353564515985</v>
      </c>
      <c r="P2052" s="123">
        <f>IF(tech_base!$T28&gt;P$2025,"",fuel_costs!H$9*0.086/tech_proj!P152/(1-tech_proj!P432))</f>
        <v>28.712874051701416</v>
      </c>
      <c r="Q2052" s="123">
        <f>IF(tech_base!$T28&gt;Q$2025,"",fuel_costs!I$9*0.086/tech_proj!Q152/(1-tech_proj!Q432))</f>
        <v>36.512342497242685</v>
      </c>
      <c r="R2052" s="123">
        <f>IF(tech_base!$T28&gt;R$2025,"",fuel_costs!J$9*0.086/tech_proj!R152/(1-tech_proj!R432))</f>
        <v>36.721469291925381</v>
      </c>
      <c r="S2052" s="123">
        <f>IF(tech_base!$T28&gt;S$2025,"",fuel_costs!K$9*0.086/tech_proj!S152/(1-tech_proj!S432))</f>
        <v>36.928430809579595</v>
      </c>
      <c r="T2052" s="123">
        <f>IF(tech_base!$T28&gt;T$2025,"",fuel_costs!L$9*0.086/tech_proj!T152/(1-tech_proj!T432))</f>
        <v>37.133239092368875</v>
      </c>
      <c r="U2052" s="123">
        <f>IF(tech_base!$T28&gt;U$2025,"",fuel_costs!M$9*0.086/tech_proj!U152/(1-tech_proj!U432))</f>
        <v>37.975471986391952</v>
      </c>
      <c r="V2052" s="123">
        <f>IF(tech_base!$T28&gt;V$2025,"",fuel_costs!N$9*0.086/tech_proj!V152/(1-tech_proj!V432))</f>
        <v>38.002629397300083</v>
      </c>
      <c r="W2052" s="123">
        <f>IF(tech_base!$T28&gt;W$2025,"",fuel_costs!O$9*0.086/tech_proj!W152/(1-tech_proj!W432))</f>
        <v>37.977938760579661</v>
      </c>
      <c r="X2052" s="123">
        <f>IF(tech_base!$T28&gt;X$2025,"",fuel_costs!P$9*0.086/tech_proj!X152/(1-tech_proj!X432))</f>
        <v>38.19965265496738</v>
      </c>
      <c r="Y2052" s="123">
        <f>IF(tech_base!$T28&gt;Y$2025,"",fuel_costs!Q$9*0.086/tech_proj!Y152/(1-tech_proj!Y432))</f>
        <v>38.460046438277324</v>
      </c>
      <c r="Z2052" s="123">
        <f>IF(tech_base!$T28&gt;Z$2025,"",fuel_costs!R$9*0.086/tech_proj!Z152/(1-tech_proj!Z432))</f>
        <v>39.677681446211707</v>
      </c>
      <c r="AA2052" s="123">
        <f>IF(tech_base!$T28&gt;AA$2025,"",fuel_costs!S$9*0.086/tech_proj!AA152/(1-tech_proj!AA432))</f>
        <v>40.89262653912477</v>
      </c>
      <c r="AB2052" s="123">
        <f>IF(tech_base!$T28&gt;AB$2025,"",fuel_costs!T$9*0.086/tech_proj!AB152/(1-tech_proj!AB432))</f>
        <v>42.148565142008394</v>
      </c>
      <c r="AC2052" s="123">
        <f>IF(tech_base!$T28&gt;AC$2025,"",fuel_costs!U$9*0.086/tech_proj!AC152/(1-tech_proj!AC432))</f>
        <v>43.414721315686435</v>
      </c>
      <c r="AD2052" s="123">
        <f>IF(tech_base!$T28&gt;AD$2025,"",fuel_costs!V$9*0.086/tech_proj!AD152/(1-tech_proj!AD432))</f>
        <v>44.80078375223588</v>
      </c>
      <c r="AE2052" s="123">
        <f>IF(tech_base!$T28&gt;AE$2025,"",fuel_costs!W$9*0.086/tech_proj!AE152/(1-tech_proj!AE432))</f>
        <v>45.191034381018234</v>
      </c>
      <c r="AF2052" s="123">
        <f>IF(tech_base!$T28&gt;AF$2025,"",fuel_costs!X$9*0.086/tech_proj!AF152/(1-tech_proj!AF432))</f>
        <v>45.721428858537109</v>
      </c>
      <c r="AG2052" s="123">
        <f>IF(tech_base!$T28&gt;AG$2025,"",fuel_costs!Y$9*0.086/tech_proj!AG152/(1-tech_proj!AG432))</f>
        <v>46.272633681063958</v>
      </c>
      <c r="AH2052" s="123">
        <f>IF(tech_base!$T28&gt;AH$2025,"",fuel_costs!Z$9*0.086/tech_proj!AH152/(1-tech_proj!AH432))</f>
        <v>46.780121193567297</v>
      </c>
      <c r="AI2052" s="123">
        <f>IF(tech_base!$T28&gt;AI$2025,"",fuel_costs!AA$9*0.086/tech_proj!AI152/(1-tech_proj!AI432))</f>
        <v>47.232766201421278</v>
      </c>
      <c r="AJ2052" s="123">
        <f>IF(tech_base!$T28&gt;AJ$2025,"",fuel_costs!AB$9*0.086/tech_proj!AJ152/(1-tech_proj!AJ432))</f>
        <v>47.540136529034996</v>
      </c>
      <c r="AK2052" s="123">
        <f>IF(tech_base!$T28&gt;AK$2025,"",fuel_costs!AC$9*0.086/tech_proj!AK152/(1-tech_proj!AK432))</f>
        <v>47.902685661387743</v>
      </c>
      <c r="AL2052" s="123">
        <f>IF(tech_base!$T28&gt;AL$2025,"",fuel_costs!AD$9*0.086/tech_proj!AL152/(1-tech_proj!AL432))</f>
        <v>48.302413833135418</v>
      </c>
      <c r="AM2052" s="123">
        <f>IF(tech_base!$T28&gt;AM$2025,"",fuel_costs!AE$9*0.086/tech_proj!AM152/(1-tech_proj!AM432))</f>
        <v>48.730310773344662</v>
      </c>
      <c r="AN2052" s="123">
        <f>IF(tech_base!$T28&gt;AN$2025,"",fuel_costs!AF$9*0.086/tech_proj!AN152/(1-tech_proj!AN432))</f>
        <v>49.037309867606126</v>
      </c>
      <c r="AO2052" s="123">
        <f>IF(tech_base!$T28&gt;AO$2025,"",fuel_costs!AG$9*0.086/tech_proj!AO152/(1-tech_proj!AO432))</f>
        <v>49.326080095598464</v>
      </c>
      <c r="AP2052" s="123">
        <f>IF(tech_base!$T28&gt;AP$2025,"",fuel_costs!AH$9*0.086/tech_proj!AP152/(1-tech_proj!AP432))</f>
        <v>49.595386207458468</v>
      </c>
      <c r="AQ2052" s="123">
        <f>IF(tech_base!$T28&gt;AQ$2025,"",fuel_costs!AI$9*0.086/tech_proj!AQ152/(1-tech_proj!AQ432))</f>
        <v>49.849063690236228</v>
      </c>
      <c r="AR2052" s="123">
        <f>IF(tech_base!$T28&gt;AR$2025,"",fuel_costs!AJ$9*0.086/tech_proj!AR152/(1-tech_proj!AR432))</f>
        <v>50.122988516923492</v>
      </c>
      <c r="AS2052" s="123">
        <f>IF(tech_base!$T28&gt;AS$2025,"",fuel_costs!AK$9*0.086/tech_proj!AS152/(1-tech_proj!AS432))</f>
        <v>50.389267832435856</v>
      </c>
      <c r="AT2052" s="123">
        <f>IF(tech_base!$T28&gt;AT$2025,"",fuel_costs!AL$9*0.086/tech_proj!AT152/(1-tech_proj!AT432))</f>
        <v>50.498419280185757</v>
      </c>
      <c r="AU2052" s="123">
        <f>IF(tech_base!$T28&gt;AU$2025,"",fuel_costs!AM$9*0.086/tech_proj!AU152/(1-tech_proj!AU432))</f>
        <v>50.709896137161948</v>
      </c>
      <c r="AV2052" s="123">
        <f>IF(tech_base!$T28&gt;AV$2025,"",fuel_costs!AN$9*0.086/tech_proj!AV152/(1-tech_proj!AV432))</f>
        <v>50.842540819837147</v>
      </c>
      <c r="AW2052" s="123">
        <f>IF(tech_base!$T28&gt;AW$2025,"",fuel_costs!AO$9*0.086/tech_proj!AW152/(1-tech_proj!AW432))</f>
        <v>50.930381283111672</v>
      </c>
      <c r="AX2052" s="124">
        <f>IF(tech_base!$T28&gt;AX$2025,"",fuel_costs!AP$9*0.086/tech_proj!AX152/(1-tech_proj!AX432))</f>
        <v>51.098907956557916</v>
      </c>
    </row>
    <row r="2053" spans="1:50" x14ac:dyDescent="0.25">
      <c r="A2053" s="356"/>
      <c r="B2053" s="376"/>
      <c r="C2053" s="378"/>
      <c r="D2053" s="2" t="s">
        <v>8</v>
      </c>
      <c r="E2053" s="76" t="str">
        <f>A2033&amp;"/"&amp;B2049&amp;"/"&amp;C2052&amp;"/"&amp;D2053</f>
        <v>Coal fired power plants/Fluidized bed combustion/CHP/M</v>
      </c>
      <c r="F2053" s="76" t="str">
        <f>A2033</f>
        <v>Coal fired power plants</v>
      </c>
      <c r="G2053" s="76" t="str">
        <f>B2049</f>
        <v>Fluidized bed combustion</v>
      </c>
      <c r="H2053" s="76" t="str">
        <f>C2052</f>
        <v>CHP</v>
      </c>
      <c r="I2053" s="76" t="str">
        <f t="shared" si="387"/>
        <v>M</v>
      </c>
      <c r="J2053" s="119">
        <f>IF(tech_base!$T29&gt;J$2025,"",fuel_costs!B$9*0.086/tech_proj!J153/(1-tech_proj!J433))</f>
        <v>33.079449648606818</v>
      </c>
      <c r="K2053" s="119">
        <f>IF(tech_base!$T29&gt;K$2025,"",fuel_costs!C$9*0.086/tech_proj!K153/(1-tech_proj!K433))</f>
        <v>41.306089017028711</v>
      </c>
      <c r="L2053" s="119">
        <f>IF(tech_base!$T29&gt;L$2025,"",fuel_costs!D$9*0.086/tech_proj!L153/(1-tech_proj!L433))</f>
        <v>35.139533944922178</v>
      </c>
      <c r="M2053" s="119">
        <f>IF(tech_base!$T29&gt;M$2025,"",fuel_costs!E$9*0.086/tech_proj!M153/(1-tech_proj!M433))</f>
        <v>31.717035683582477</v>
      </c>
      <c r="N2053" s="119">
        <f>IF(tech_base!$T29&gt;N$2025,"",fuel_costs!F$9*0.086/tech_proj!N153/(1-tech_proj!N433))</f>
        <v>30.44811832984573</v>
      </c>
      <c r="O2053" s="119">
        <f>IF(tech_base!$T29&gt;O$2025,"",fuel_costs!G$9*0.086/tech_proj!O153/(1-tech_proj!O433))</f>
        <v>28.61205225079663</v>
      </c>
      <c r="P2053" s="119">
        <f>IF(tech_base!$T29&gt;P$2025,"",fuel_costs!H$9*0.086/tech_proj!P153/(1-tech_proj!P433))</f>
        <v>30.229382418068788</v>
      </c>
      <c r="Q2053" s="119">
        <f>IF(tech_base!$T29&gt;Q$2025,"",fuel_costs!I$9*0.086/tech_proj!Q153/(1-tech_proj!Q433))</f>
        <v>38.440254454346743</v>
      </c>
      <c r="R2053" s="119">
        <f>IF(tech_base!$T29&gt;R$2025,"",fuel_costs!J$9*0.086/tech_proj!R153/(1-tech_proj!R433))</f>
        <v>38.659799534570901</v>
      </c>
      <c r="S2053" s="119">
        <f>IF(tech_base!$T29&gt;S$2025,"",fuel_costs!K$9*0.086/tech_proj!S153/(1-tech_proj!S433))</f>
        <v>38.876959899964042</v>
      </c>
      <c r="T2053" s="119">
        <f>IF(tech_base!$T29&gt;T$2025,"",fuel_costs!L$9*0.086/tech_proj!T153/(1-tech_proj!T433))</f>
        <v>39.091732855639407</v>
      </c>
      <c r="U2053" s="119">
        <f>IF(tech_base!$T29&gt;U$2025,"",fuel_costs!M$9*0.086/tech_proj!U153/(1-tech_proj!U433))</f>
        <v>39.977395227905355</v>
      </c>
      <c r="V2053" s="119">
        <f>IF(tech_base!$T29&gt;V$2025,"",fuel_costs!N$9*0.086/tech_proj!V153/(1-tech_proj!V433))</f>
        <v>40.004843652166734</v>
      </c>
      <c r="W2053" s="119">
        <f>IF(tech_base!$T29&gt;W$2025,"",fuel_costs!O$9*0.086/tech_proj!W153/(1-tech_proj!W433))</f>
        <v>39.97754556801614</v>
      </c>
      <c r="X2053" s="119">
        <f>IF(tech_base!$T29&gt;X$2025,"",fuel_costs!P$9*0.086/tech_proj!X153/(1-tech_proj!X433))</f>
        <v>40.209430962491105</v>
      </c>
      <c r="Y2053" s="119">
        <f>IF(tech_base!$T29&gt;Y$2025,"",fuel_costs!Q$9*0.086/tech_proj!Y153/(1-tech_proj!Y433))</f>
        <v>40.481801633642291</v>
      </c>
      <c r="Z2053" s="119">
        <f>IF(tech_base!$T29&gt;Z$2025,"",fuel_costs!R$9*0.086/tech_proj!Z153/(1-tech_proj!Z433))</f>
        <v>41.761426974707689</v>
      </c>
      <c r="AA2053" s="119">
        <f>IF(tech_base!$T29&gt;AA$2025,"",fuel_costs!S$9*0.086/tech_proj!AA153/(1-tech_proj!AA433))</f>
        <v>43.03782610444739</v>
      </c>
      <c r="AB2053" s="119">
        <f>IF(tech_base!$T29&gt;AB$2025,"",fuel_costs!T$9*0.086/tech_proj!AB153/(1-tech_proj!AB433))</f>
        <v>44.356924090702122</v>
      </c>
      <c r="AC2053" s="119">
        <f>IF(tech_base!$T29&gt;AC$2025,"",fuel_costs!U$9*0.086/tech_proj!AC153/(1-tech_proj!AC433))</f>
        <v>45.686277992917375</v>
      </c>
      <c r="AD2053" s="119">
        <f>IF(tech_base!$T29&gt;AD$2025,"",fuel_costs!V$9*0.086/tech_proj!AD153/(1-tech_proj!AD433))</f>
        <v>47.141257717936021</v>
      </c>
      <c r="AE2053" s="119">
        <f>IF(tech_base!$T29&gt;AE$2025,"",fuel_costs!W$9*0.086/tech_proj!AE153/(1-tech_proj!AE433))</f>
        <v>47.547883833351733</v>
      </c>
      <c r="AF2053" s="119">
        <f>IF(tech_base!$T29&gt;AF$2025,"",fuel_costs!X$9*0.086/tech_proj!AF153/(1-tech_proj!AF433))</f>
        <v>48.101501253657325</v>
      </c>
      <c r="AG2053" s="119">
        <f>IF(tech_base!$T29&gt;AG$2025,"",fuel_costs!Y$9*0.086/tech_proj!AG153/(1-tech_proj!AG433))</f>
        <v>48.676539390449527</v>
      </c>
      <c r="AH2053" s="119">
        <f>IF(tech_base!$T29&gt;AH$2025,"",fuel_costs!Z$9*0.086/tech_proj!AH153/(1-tech_proj!AH433))</f>
        <v>49.205144127240821</v>
      </c>
      <c r="AI2053" s="119">
        <f>IF(tech_base!$T29&gt;AI$2025,"",fuel_costs!AA$9*0.086/tech_proj!AI153/(1-tech_proj!AI433))</f>
        <v>49.675685878787974</v>
      </c>
      <c r="AJ2053" s="119">
        <f>IF(tech_base!$T29&gt;AJ$2025,"",fuel_costs!AB$9*0.086/tech_proj!AJ153/(1-tech_proj!AJ433))</f>
        <v>49.993181912583559</v>
      </c>
      <c r="AK2053" s="119">
        <f>IF(tech_base!$T29&gt;AK$2025,"",fuel_costs!AC$9*0.086/tech_proj!AK153/(1-tech_proj!AK433))</f>
        <v>50.36860273298462</v>
      </c>
      <c r="AL2053" s="119">
        <f>IF(tech_base!$T29&gt;AL$2025,"",fuel_costs!AD$9*0.086/tech_proj!AL153/(1-tech_proj!AL433))</f>
        <v>50.783206132007969</v>
      </c>
      <c r="AM2053" s="119">
        <f>IF(tech_base!$T29&gt;AM$2025,"",fuel_costs!AE$9*0.086/tech_proj!AM153/(1-tech_proj!AM433))</f>
        <v>51.227773768342296</v>
      </c>
      <c r="AN2053" s="119">
        <f>IF(tech_base!$T29&gt;AN$2025,"",fuel_costs!AF$9*0.086/tech_proj!AN153/(1-tech_proj!AN433))</f>
        <v>51.545939717808864</v>
      </c>
      <c r="AO2053" s="119">
        <f>IF(tech_base!$T29&gt;AO$2025,"",fuel_costs!AG$9*0.086/tech_proj!AO153/(1-tech_proj!AO433))</f>
        <v>51.846042866792274</v>
      </c>
      <c r="AP2053" s="119">
        <f>IF(tech_base!$T29&gt;AP$2025,"",fuel_costs!AH$9*0.086/tech_proj!AP153/(1-tech_proj!AP433))</f>
        <v>52.127221669508714</v>
      </c>
      <c r="AQ2053" s="119">
        <f>IF(tech_base!$T29&gt;AQ$2025,"",fuel_costs!AI$9*0.086/tech_proj!AQ153/(1-tech_proj!AQ433))</f>
        <v>52.393947217482811</v>
      </c>
      <c r="AR2053" s="119">
        <f>IF(tech_base!$T29&gt;AR$2025,"",fuel_costs!AJ$9*0.086/tech_proj!AR153/(1-tech_proj!AR433))</f>
        <v>52.684312580227171</v>
      </c>
      <c r="AS2053" s="119">
        <f>IF(tech_base!$T29&gt;AS$2025,"",fuel_costs!AK$9*0.086/tech_proj!AS153/(1-tech_proj!AS433))</f>
        <v>52.969252240257951</v>
      </c>
      <c r="AT2053" s="119">
        <f>IF(tech_base!$T29&gt;AT$2025,"",fuel_costs!AL$9*0.086/tech_proj!AT153/(1-tech_proj!AT433))</f>
        <v>53.091617648411727</v>
      </c>
      <c r="AU2053" s="119">
        <f>IF(tech_base!$T29&gt;AU$2025,"",fuel_costs!AM$9*0.086/tech_proj!AU153/(1-tech_proj!AU433))</f>
        <v>53.323803070161645</v>
      </c>
      <c r="AV2053" s="119">
        <f>IF(tech_base!$T29&gt;AV$2025,"",fuel_costs!AN$9*0.086/tech_proj!AV153/(1-tech_proj!AV433))</f>
        <v>53.474532464282731</v>
      </c>
      <c r="AW2053" s="119">
        <f>IF(tech_base!$T29&gt;AW$2025,"",fuel_costs!AO$9*0.086/tech_proj!AW153/(1-tech_proj!AW433))</f>
        <v>53.578254015926078</v>
      </c>
      <c r="AX2053" s="120">
        <f>IF(tech_base!$T29&gt;AX$2025,"",fuel_costs!AP$9*0.086/tech_proj!AX153/(1-tech_proj!AX433))</f>
        <v>53.765238615494219</v>
      </c>
    </row>
    <row r="2054" spans="1:50" x14ac:dyDescent="0.25">
      <c r="A2054" s="356"/>
      <c r="B2054" s="376"/>
      <c r="C2054" s="379"/>
      <c r="D2054" s="59" t="s">
        <v>10</v>
      </c>
      <c r="E2054" s="79" t="str">
        <f>A2033&amp;"/"&amp;B2049&amp;"/"&amp;C2052&amp;"/"&amp;D2054</f>
        <v>Coal fired power plants/Fluidized bed combustion/CHP/S</v>
      </c>
      <c r="F2054" s="79" t="str">
        <f>A2033</f>
        <v>Coal fired power plants</v>
      </c>
      <c r="G2054" s="79" t="str">
        <f>B2049</f>
        <v>Fluidized bed combustion</v>
      </c>
      <c r="H2054" s="79" t="str">
        <f>C2052</f>
        <v>CHP</v>
      </c>
      <c r="I2054" s="79" t="str">
        <f t="shared" si="387"/>
        <v>S</v>
      </c>
      <c r="J2054" s="125">
        <f>IF(tech_base!$T30&gt;J$2025,"",fuel_costs!B$9*0.086/tech_proj!J154/(1-tech_proj!J434))</f>
        <v>34.833395742955467</v>
      </c>
      <c r="K2054" s="125">
        <f>IF(tech_base!$T30&gt;K$2025,"",fuel_costs!C$9*0.086/tech_proj!K154/(1-tech_proj!K434))</f>
        <v>43.495561912093613</v>
      </c>
      <c r="L2054" s="125">
        <f>IF(tech_base!$T30&gt;L$2025,"",fuel_costs!D$9*0.086/tech_proj!L154/(1-tech_proj!L434))</f>
        <v>37.001493293787036</v>
      </c>
      <c r="M2054" s="125">
        <f>IF(tech_base!$T30&gt;M$2025,"",fuel_costs!E$9*0.086/tech_proj!M154/(1-tech_proj!M434))</f>
        <v>33.396977046000217</v>
      </c>
      <c r="N2054" s="125">
        <f>IF(tech_base!$T30&gt;N$2025,"",fuel_costs!F$9*0.086/tech_proj!N154/(1-tech_proj!N434))</f>
        <v>32.060118602144534</v>
      </c>
      <c r="O2054" s="125">
        <f>IF(tech_base!$T30&gt;O$2025,"",fuel_costs!G$9*0.086/tech_proj!O154/(1-tech_proj!O434))</f>
        <v>30.126064466753302</v>
      </c>
      <c r="P2054" s="125">
        <f>IF(tech_base!$T30&gt;P$2025,"",fuel_costs!H$9*0.086/tech_proj!P154/(1-tech_proj!P434))</f>
        <v>31.828036140809804</v>
      </c>
      <c r="Q2054" s="125">
        <f>IF(tech_base!$T30&gt;Q$2025,"",fuel_costs!I$9*0.086/tech_proj!Q154/(1-tech_proj!Q434))</f>
        <v>40.471775032360021</v>
      </c>
      <c r="R2054" s="125">
        <f>IF(tech_base!$T30&gt;R$2025,"",fuel_costs!J$9*0.086/tech_proj!R154/(1-tech_proj!R434))</f>
        <v>40.701373474245948</v>
      </c>
      <c r="S2054" s="125">
        <f>IF(tech_base!$T30&gt;S$2025,"",fuel_costs!K$9*0.086/tech_proj!S154/(1-tech_proj!S434))</f>
        <v>40.928236468227006</v>
      </c>
      <c r="T2054" s="125">
        <f>IF(tech_base!$T30&gt;T$2025,"",fuel_costs!L$9*0.086/tech_proj!T154/(1-tech_proj!T434))</f>
        <v>41.152333375028419</v>
      </c>
      <c r="U2054" s="125">
        <f>IF(tech_base!$T30&gt;U$2025,"",fuel_costs!M$9*0.086/tech_proj!U154/(1-tech_proj!U434))</f>
        <v>42.082361281891401</v>
      </c>
      <c r="V2054" s="125">
        <f>IF(tech_base!$T30&gt;V$2025,"",fuel_costs!N$9*0.086/tech_proj!V154/(1-tech_proj!V434))</f>
        <v>42.108638481509168</v>
      </c>
      <c r="W2054" s="125">
        <f>IF(tech_base!$T30&gt;W$2025,"",fuel_costs!O$9*0.086/tech_proj!W154/(1-tech_proj!W434))</f>
        <v>42.076963380647904</v>
      </c>
      <c r="X2054" s="125">
        <f>IF(tech_base!$T30&gt;X$2025,"",fuel_costs!P$9*0.086/tech_proj!X154/(1-tech_proj!X434))</f>
        <v>42.317705673086195</v>
      </c>
      <c r="Y2054" s="125">
        <f>IF(tech_base!$T30&gt;Y$2025,"",fuel_costs!Q$9*0.086/tech_proj!Y154/(1-tech_proj!Y434))</f>
        <v>42.600614922967509</v>
      </c>
      <c r="Z2054" s="125">
        <f>IF(tech_base!$T30&gt;Z$2025,"",fuel_costs!R$9*0.086/tech_proj!Z154/(1-tech_proj!Z434))</f>
        <v>43.942906200740389</v>
      </c>
      <c r="AA2054" s="125">
        <f>IF(tech_base!$T30&gt;AA$2025,"",fuel_costs!S$9*0.086/tech_proj!AA154/(1-tech_proj!AA434))</f>
        <v>45.281038885009693</v>
      </c>
      <c r="AB2054" s="125">
        <f>IF(tech_base!$T30&gt;AB$2025,"",fuel_costs!T$9*0.086/tech_proj!AB154/(1-tech_proj!AB434))</f>
        <v>46.663245400279735</v>
      </c>
      <c r="AC2054" s="125">
        <f>IF(tech_base!$T30&gt;AC$2025,"",fuel_costs!U$9*0.086/tech_proj!AC154/(1-tech_proj!AC434))</f>
        <v>48.055300108247167</v>
      </c>
      <c r="AD2054" s="125">
        <f>IF(tech_base!$T30&gt;AD$2025,"",fuel_costs!V$9*0.086/tech_proj!AD154/(1-tech_proj!AD434))</f>
        <v>49.578450742029439</v>
      </c>
      <c r="AE2054" s="125">
        <f>IF(tech_base!$T30&gt;AE$2025,"",fuel_costs!W$9*0.086/tech_proj!AE154/(1-tech_proj!AE434))</f>
        <v>49.998081410918964</v>
      </c>
      <c r="AF2054" s="125">
        <f>IF(tech_base!$T30&gt;AF$2025,"",fuel_costs!X$9*0.086/tech_proj!AF154/(1-tech_proj!AF434))</f>
        <v>50.571421067601889</v>
      </c>
      <c r="AG2054" s="125">
        <f>IF(tech_base!$T30&gt;AG$2025,"",fuel_costs!Y$9*0.086/tech_proj!AG154/(1-tech_proj!AG434))</f>
        <v>51.166381802621387</v>
      </c>
      <c r="AH2054" s="125">
        <f>IF(tech_base!$T30&gt;AH$2025,"",fuel_costs!Z$9*0.086/tech_proj!AH154/(1-tech_proj!AH434))</f>
        <v>51.711650463257364</v>
      </c>
      <c r="AI2054" s="125">
        <f>IF(tech_base!$T30&gt;AI$2025,"",fuel_costs!AA$9*0.086/tech_proj!AI154/(1-tech_proj!AI434))</f>
        <v>52.195081346622182</v>
      </c>
      <c r="AJ2054" s="125">
        <f>IF(tech_base!$T30&gt;AJ$2025,"",fuel_costs!AB$9*0.086/tech_proj!AJ154/(1-tech_proj!AJ434))</f>
        <v>52.517022671402025</v>
      </c>
      <c r="AK2054" s="125">
        <f>IF(tech_base!$T30&gt;AK$2025,"",fuel_costs!AC$9*0.086/tech_proj!AK154/(1-tech_proj!AK434))</f>
        <v>52.899292053283773</v>
      </c>
      <c r="AL2054" s="125">
        <f>IF(tech_base!$T30&gt;AL$2025,"",fuel_costs!AD$9*0.086/tech_proj!AL154/(1-tech_proj!AL434))</f>
        <v>53.322364523057054</v>
      </c>
      <c r="AM2054" s="125">
        <f>IF(tech_base!$T30&gt;AM$2025,"",fuel_costs!AE$9*0.086/tech_proj!AM154/(1-tech_proj!AM434))</f>
        <v>53.776794124045615</v>
      </c>
      <c r="AN2054" s="125">
        <f>IF(tech_base!$T30&gt;AN$2025,"",fuel_costs!AF$9*0.086/tech_proj!AN154/(1-tech_proj!AN434))</f>
        <v>54.098777505860191</v>
      </c>
      <c r="AO2054" s="125">
        <f>IF(tech_base!$T30&gt;AO$2025,"",fuel_costs!AG$9*0.086/tech_proj!AO154/(1-tech_proj!AO434))</f>
        <v>54.402473643439997</v>
      </c>
      <c r="AP2054" s="125">
        <f>IF(tech_base!$T30&gt;AP$2025,"",fuel_costs!AH$9*0.086/tech_proj!AP154/(1-tech_proj!AP434))</f>
        <v>54.687433830828809</v>
      </c>
      <c r="AQ2054" s="125">
        <f>IF(tech_base!$T30&gt;AQ$2025,"",fuel_costs!AI$9*0.086/tech_proj!AQ154/(1-tech_proj!AQ434))</f>
        <v>54.958833256584633</v>
      </c>
      <c r="AR2054" s="125">
        <f>IF(tech_base!$T30&gt;AR$2025,"",fuel_costs!AJ$9*0.086/tech_proj!AR154/(1-tech_proj!AR434))</f>
        <v>55.25710252428356</v>
      </c>
      <c r="AS2054" s="125">
        <f>IF(tech_base!$T30&gt;AS$2025,"",fuel_costs!AK$9*0.086/tech_proj!AS154/(1-tech_proj!AS434))</f>
        <v>55.55217257321803</v>
      </c>
      <c r="AT2054" s="125">
        <f>IF(tech_base!$T30&gt;AT$2025,"",fuel_costs!AL$9*0.086/tech_proj!AT154/(1-tech_proj!AT434))</f>
        <v>55.679543614442736</v>
      </c>
      <c r="AU2054" s="125">
        <f>IF(tech_base!$T30&gt;AU$2025,"",fuel_costs!AM$9*0.086/tech_proj!AU154/(1-tech_proj!AU434))</f>
        <v>55.925002189198381</v>
      </c>
      <c r="AV2054" s="125">
        <f>IF(tech_base!$T30&gt;AV$2025,"",fuel_costs!AN$9*0.086/tech_proj!AV154/(1-tech_proj!AV434))</f>
        <v>56.087794423370575</v>
      </c>
      <c r="AW2054" s="125">
        <f>IF(tech_base!$T30&gt;AW$2025,"",fuel_costs!AO$9*0.086/tech_proj!AW154/(1-tech_proj!AW434))</f>
        <v>56.203571789593546</v>
      </c>
      <c r="AX2054" s="126">
        <f>IF(tech_base!$T30&gt;AX$2025,"",fuel_costs!AP$9*0.086/tech_proj!AX154/(1-tech_proj!AX434))</f>
        <v>56.408194240741565</v>
      </c>
    </row>
    <row r="2055" spans="1:50" x14ac:dyDescent="0.25">
      <c r="A2055" s="356"/>
      <c r="B2055" s="376"/>
      <c r="C2055" s="361" t="s">
        <v>15</v>
      </c>
      <c r="D2055" s="58" t="s">
        <v>7</v>
      </c>
      <c r="E2055" s="78" t="str">
        <f>A2033&amp;"/"&amp;B2049&amp;"/"&amp;C2055&amp;"/"&amp;D2055</f>
        <v>Coal fired power plants/Fluidized bed combustion/Electricity only with CCS/L</v>
      </c>
      <c r="F2055" s="78" t="str">
        <f>A2033</f>
        <v>Coal fired power plants</v>
      </c>
      <c r="G2055" s="78" t="str">
        <f>B2049</f>
        <v>Fluidized bed combustion</v>
      </c>
      <c r="H2055" s="78" t="str">
        <f>C2055</f>
        <v>Electricity only with CCS</v>
      </c>
      <c r="I2055" s="78" t="str">
        <f t="shared" si="387"/>
        <v>L</v>
      </c>
      <c r="J2055" s="123" t="str">
        <f>IF(tech_base!$T31&gt;J$2025,"",fuel_costs!B$9*0.086/tech_proj!J155/(1-tech_proj!J435))</f>
        <v/>
      </c>
      <c r="K2055" s="123" t="str">
        <f>IF(tech_base!$T31&gt;K$2025,"",fuel_costs!C$9*0.086/tech_proj!K155/(1-tech_proj!K435))</f>
        <v/>
      </c>
      <c r="L2055" s="123" t="str">
        <f>IF(tech_base!$T31&gt;L$2025,"",fuel_costs!D$9*0.086/tech_proj!L155/(1-tech_proj!L435))</f>
        <v/>
      </c>
      <c r="M2055" s="123" t="str">
        <f>IF(tech_base!$T31&gt;M$2025,"",fuel_costs!E$9*0.086/tech_proj!M155/(1-tech_proj!M435))</f>
        <v/>
      </c>
      <c r="N2055" s="123" t="str">
        <f>IF(tech_base!$T31&gt;N$2025,"",fuel_costs!F$9*0.086/tech_proj!N155/(1-tech_proj!N435))</f>
        <v/>
      </c>
      <c r="O2055" s="123" t="str">
        <f>IF(tech_base!$T31&gt;O$2025,"",fuel_costs!G$9*0.086/tech_proj!O155/(1-tech_proj!O435))</f>
        <v/>
      </c>
      <c r="P2055" s="123" t="str">
        <f>IF(tech_base!$T31&gt;P$2025,"",fuel_costs!H$9*0.086/tech_proj!P155/(1-tech_proj!P435))</f>
        <v/>
      </c>
      <c r="Q2055" s="123" t="str">
        <f>IF(tech_base!$T31&gt;Q$2025,"",fuel_costs!I$9*0.086/tech_proj!Q155/(1-tech_proj!Q435))</f>
        <v/>
      </c>
      <c r="R2055" s="123" t="str">
        <f>IF(tech_base!$T31&gt;R$2025,"",fuel_costs!J$9*0.086/tech_proj!R155/(1-tech_proj!R435))</f>
        <v/>
      </c>
      <c r="S2055" s="123" t="str">
        <f>IF(tech_base!$T31&gt;S$2025,"",fuel_costs!K$9*0.086/tech_proj!S155/(1-tech_proj!S435))</f>
        <v/>
      </c>
      <c r="T2055" s="123" t="str">
        <f>IF(tech_base!$T31&gt;T$2025,"",fuel_costs!L$9*0.086/tech_proj!T155/(1-tech_proj!T435))</f>
        <v/>
      </c>
      <c r="U2055" s="123" t="str">
        <f>IF(tech_base!$T31&gt;U$2025,"",fuel_costs!M$9*0.086/tech_proj!U155/(1-tech_proj!U435))</f>
        <v/>
      </c>
      <c r="V2055" s="123" t="str">
        <f>IF(tech_base!$T31&gt;V$2025,"",fuel_costs!N$9*0.086/tech_proj!V155/(1-tech_proj!V435))</f>
        <v/>
      </c>
      <c r="W2055" s="123" t="str">
        <f>IF(tech_base!$T31&gt;W$2025,"",fuel_costs!O$9*0.086/tech_proj!W155/(1-tech_proj!W435))</f>
        <v/>
      </c>
      <c r="X2055" s="123" t="str">
        <f>IF(tech_base!$T31&gt;X$2025,"",fuel_costs!P$9*0.086/tech_proj!X155/(1-tech_proj!X435))</f>
        <v/>
      </c>
      <c r="Y2055" s="123" t="str">
        <f>IF(tech_base!$T31&gt;Y$2025,"",fuel_costs!Q$9*0.086/tech_proj!Y155/(1-tech_proj!Y435))</f>
        <v/>
      </c>
      <c r="Z2055" s="123" t="str">
        <f>IF(tech_base!$T31&gt;Z$2025,"",fuel_costs!R$9*0.086/tech_proj!Z155/(1-tech_proj!Z435))</f>
        <v/>
      </c>
      <c r="AA2055" s="123" t="str">
        <f>IF(tech_base!$T31&gt;AA$2025,"",fuel_costs!S$9*0.086/tech_proj!AA155/(1-tech_proj!AA435))</f>
        <v/>
      </c>
      <c r="AB2055" s="123" t="str">
        <f>IF(tech_base!$T31&gt;AB$2025,"",fuel_costs!T$9*0.086/tech_proj!AB155/(1-tech_proj!AB435))</f>
        <v/>
      </c>
      <c r="AC2055" s="123" t="str">
        <f>IF(tech_base!$T31&gt;AC$2025,"",fuel_costs!U$9*0.086/tech_proj!AC155/(1-tech_proj!AC435))</f>
        <v/>
      </c>
      <c r="AD2055" s="123" t="str">
        <f>IF(tech_base!$T31&gt;AD$2025,"",fuel_costs!V$9*0.086/tech_proj!AD155/(1-tech_proj!AD435))</f>
        <v/>
      </c>
      <c r="AE2055" s="123">
        <f>IF(tech_base!$T31&gt;AE$2025,"",fuel_costs!W$9*0.086/tech_proj!AE155/(1-tech_proj!AE435))</f>
        <v>52.716965683893612</v>
      </c>
      <c r="AF2055" s="123">
        <f>IF(tech_base!$T31&gt;AF$2025,"",fuel_costs!X$9*0.086/tech_proj!AF155/(1-tech_proj!AF435))</f>
        <v>53.346565796927237</v>
      </c>
      <c r="AG2055" s="123">
        <f>IF(tech_base!$T31&gt;AG$2025,"",fuel_costs!Y$9*0.086/tech_proj!AG155/(1-tech_proj!AG435))</f>
        <v>54.002733884206094</v>
      </c>
      <c r="AH2055" s="123">
        <f>IF(tech_base!$T31&gt;AH$2025,"",fuel_costs!Z$9*0.086/tech_proj!AH155/(1-tech_proj!AH435))</f>
        <v>54.610545350583898</v>
      </c>
      <c r="AI2055" s="123">
        <f>IF(tech_base!$T31&gt;AI$2025,"",fuel_costs!AA$9*0.086/tech_proj!AI155/(1-tech_proj!AI435))</f>
        <v>55.157378050981052</v>
      </c>
      <c r="AJ2055" s="123">
        <f>IF(tech_base!$T31&gt;AJ$2025,"",fuel_costs!AB$9*0.086/tech_proj!AJ155/(1-tech_proj!AJ435))</f>
        <v>55.537944673085512</v>
      </c>
      <c r="AK2055" s="123">
        <f>IF(tech_base!$T31&gt;AK$2025,"",fuel_costs!AC$9*0.086/tech_proj!AK155/(1-tech_proj!AK435))</f>
        <v>55.986715129707967</v>
      </c>
      <c r="AL2055" s="123">
        <f>IF(tech_base!$T31&gt;AL$2025,"",fuel_costs!AD$9*0.086/tech_proj!AL155/(1-tech_proj!AL435))</f>
        <v>56.48308038308847</v>
      </c>
      <c r="AM2055" s="123">
        <f>IF(tech_base!$T31&gt;AM$2025,"",fuel_costs!AE$9*0.086/tech_proj!AM155/(1-tech_proj!AM435))</f>
        <v>57.01682010630757</v>
      </c>
      <c r="AN2055" s="123">
        <f>IF(tech_base!$T31&gt;AN$2025,"",fuel_costs!AF$9*0.086/tech_proj!AN155/(1-tech_proj!AN435))</f>
        <v>57.413531219762625</v>
      </c>
      <c r="AO2055" s="123">
        <f>IF(tech_base!$T31&gt;AO$2025,"",fuel_costs!AG$9*0.086/tech_proj!AO155/(1-tech_proj!AO435))</f>
        <v>57.79295232611625</v>
      </c>
      <c r="AP2055" s="123">
        <f>IF(tech_base!$T31&gt;AP$2025,"",fuel_costs!AH$9*0.086/tech_proj!AP155/(1-tech_proj!AP435))</f>
        <v>58.152828440929973</v>
      </c>
      <c r="AQ2055" s="123">
        <f>IF(tech_base!$T31&gt;AQ$2025,"",fuel_costs!AI$9*0.086/tech_proj!AQ155/(1-tech_proj!AQ435))</f>
        <v>58.496155311741518</v>
      </c>
      <c r="AR2055" s="123">
        <f>IF(tech_base!$T31&gt;AR$2025,"",fuel_costs!AJ$9*0.086/tech_proj!AR155/(1-tech_proj!AR435))</f>
        <v>58.862627962464302</v>
      </c>
      <c r="AS2055" s="123">
        <f>IF(tech_base!$T31&gt;AS$2025,"",fuel_costs!AK$9*0.086/tech_proj!AS155/(1-tech_proj!AS435))</f>
        <v>59.215907209907456</v>
      </c>
      <c r="AT2055" s="123">
        <f>IF(tech_base!$T31&gt;AT$2025,"",fuel_costs!AL$9*0.086/tech_proj!AT155/(1-tech_proj!AT435))</f>
        <v>59.375121241625429</v>
      </c>
      <c r="AU2055" s="123">
        <f>IF(tech_base!$T31&gt;AU$2025,"",fuel_costs!AM$9*0.086/tech_proj!AU155/(1-tech_proj!AU435))</f>
        <v>59.638510117027927</v>
      </c>
      <c r="AV2055" s="123">
        <f>IF(tech_base!$T31&gt;AV$2025,"",fuel_costs!AN$9*0.086/tech_proj!AV155/(1-tech_proj!AV435))</f>
        <v>59.784810762208387</v>
      </c>
      <c r="AW2055" s="123">
        <f>IF(tech_base!$T31&gt;AW$2025,"",fuel_costs!AO$9*0.086/tech_proj!AW155/(1-tech_proj!AW435))</f>
        <v>59.844617561222712</v>
      </c>
      <c r="AX2055" s="124">
        <f>IF(tech_base!$T31&gt;AX$2025,"",fuel_costs!AP$9*0.086/tech_proj!AX155/(1-tech_proj!AX435))</f>
        <v>59.955526643614604</v>
      </c>
    </row>
    <row r="2056" spans="1:50" x14ac:dyDescent="0.25">
      <c r="A2056" s="356"/>
      <c r="B2056" s="376"/>
      <c r="C2056" s="379"/>
      <c r="D2056" s="59" t="s">
        <v>8</v>
      </c>
      <c r="E2056" s="79" t="str">
        <f>A2033&amp;"/"&amp;B2049&amp;"/"&amp;C2055&amp;"/"&amp;D2056</f>
        <v>Coal fired power plants/Fluidized bed combustion/Electricity only with CCS/M</v>
      </c>
      <c r="F2056" s="79" t="str">
        <f>A2033</f>
        <v>Coal fired power plants</v>
      </c>
      <c r="G2056" s="79" t="str">
        <f>B2049</f>
        <v>Fluidized bed combustion</v>
      </c>
      <c r="H2056" s="79" t="str">
        <f>C2055</f>
        <v>Electricity only with CCS</v>
      </c>
      <c r="I2056" s="79" t="str">
        <f t="shared" si="387"/>
        <v>M</v>
      </c>
      <c r="J2056" s="125" t="str">
        <f>IF(tech_base!$T32&gt;J$2025,"",fuel_costs!B$9*0.086/tech_proj!J156/(1-tech_proj!J436))</f>
        <v/>
      </c>
      <c r="K2056" s="125" t="str">
        <f>IF(tech_base!$T32&gt;K$2025,"",fuel_costs!C$9*0.086/tech_proj!K156/(1-tech_proj!K436))</f>
        <v/>
      </c>
      <c r="L2056" s="125" t="str">
        <f>IF(tech_base!$T32&gt;L$2025,"",fuel_costs!D$9*0.086/tech_proj!L156/(1-tech_proj!L436))</f>
        <v/>
      </c>
      <c r="M2056" s="125" t="str">
        <f>IF(tech_base!$T32&gt;M$2025,"",fuel_costs!E$9*0.086/tech_proj!M156/(1-tech_proj!M436))</f>
        <v/>
      </c>
      <c r="N2056" s="125" t="str">
        <f>IF(tech_base!$T32&gt;N$2025,"",fuel_costs!F$9*0.086/tech_proj!N156/(1-tech_proj!N436))</f>
        <v/>
      </c>
      <c r="O2056" s="125" t="str">
        <f>IF(tech_base!$T32&gt;O$2025,"",fuel_costs!G$9*0.086/tech_proj!O156/(1-tech_proj!O436))</f>
        <v/>
      </c>
      <c r="P2056" s="125" t="str">
        <f>IF(tech_base!$T32&gt;P$2025,"",fuel_costs!H$9*0.086/tech_proj!P156/(1-tech_proj!P436))</f>
        <v/>
      </c>
      <c r="Q2056" s="125" t="str">
        <f>IF(tech_base!$T32&gt;Q$2025,"",fuel_costs!I$9*0.086/tech_proj!Q156/(1-tech_proj!Q436))</f>
        <v/>
      </c>
      <c r="R2056" s="125" t="str">
        <f>IF(tech_base!$T32&gt;R$2025,"",fuel_costs!J$9*0.086/tech_proj!R156/(1-tech_proj!R436))</f>
        <v/>
      </c>
      <c r="S2056" s="125" t="str">
        <f>IF(tech_base!$T32&gt;S$2025,"",fuel_costs!K$9*0.086/tech_proj!S156/(1-tech_proj!S436))</f>
        <v/>
      </c>
      <c r="T2056" s="125" t="str">
        <f>IF(tech_base!$T32&gt;T$2025,"",fuel_costs!L$9*0.086/tech_proj!T156/(1-tech_proj!T436))</f>
        <v/>
      </c>
      <c r="U2056" s="125" t="str">
        <f>IF(tech_base!$T32&gt;U$2025,"",fuel_costs!M$9*0.086/tech_proj!U156/(1-tech_proj!U436))</f>
        <v/>
      </c>
      <c r="V2056" s="125" t="str">
        <f>IF(tech_base!$T32&gt;V$2025,"",fuel_costs!N$9*0.086/tech_proj!V156/(1-tech_proj!V436))</f>
        <v/>
      </c>
      <c r="W2056" s="125" t="str">
        <f>IF(tech_base!$T32&gt;W$2025,"",fuel_costs!O$9*0.086/tech_proj!W156/(1-tech_proj!W436))</f>
        <v/>
      </c>
      <c r="X2056" s="125" t="str">
        <f>IF(tech_base!$T32&gt;X$2025,"",fuel_costs!P$9*0.086/tech_proj!X156/(1-tech_proj!X436))</f>
        <v/>
      </c>
      <c r="Y2056" s="125" t="str">
        <f>IF(tech_base!$T32&gt;Y$2025,"",fuel_costs!Q$9*0.086/tech_proj!Y156/(1-tech_proj!Y436))</f>
        <v/>
      </c>
      <c r="Z2056" s="125" t="str">
        <f>IF(tech_base!$T32&gt;Z$2025,"",fuel_costs!R$9*0.086/tech_proj!Z156/(1-tech_proj!Z436))</f>
        <v/>
      </c>
      <c r="AA2056" s="125" t="str">
        <f>IF(tech_base!$T32&gt;AA$2025,"",fuel_costs!S$9*0.086/tech_proj!AA156/(1-tech_proj!AA436))</f>
        <v/>
      </c>
      <c r="AB2056" s="125" t="str">
        <f>IF(tech_base!$T32&gt;AB$2025,"",fuel_costs!T$9*0.086/tech_proj!AB156/(1-tech_proj!AB436))</f>
        <v/>
      </c>
      <c r="AC2056" s="125" t="str">
        <f>IF(tech_base!$T32&gt;AC$2025,"",fuel_costs!U$9*0.086/tech_proj!AC156/(1-tech_proj!AC436))</f>
        <v/>
      </c>
      <c r="AD2056" s="125" t="str">
        <f>IF(tech_base!$T32&gt;AD$2025,"",fuel_costs!V$9*0.086/tech_proj!AD156/(1-tech_proj!AD436))</f>
        <v/>
      </c>
      <c r="AE2056" s="125">
        <f>IF(tech_base!$T32&gt;AE$2025,"",fuel_costs!W$9*0.086/tech_proj!AE156/(1-tech_proj!AE436))</f>
        <v>56.158706582096443</v>
      </c>
      <c r="AF2056" s="125">
        <f>IF(tech_base!$T32&gt;AF$2025,"",fuel_costs!X$9*0.086/tech_proj!AF156/(1-tech_proj!AF436))</f>
        <v>56.829076310694887</v>
      </c>
      <c r="AG2056" s="125">
        <f>IF(tech_base!$T32&gt;AG$2025,"",fuel_costs!Y$9*0.086/tech_proj!AG156/(1-tech_proj!AG436))</f>
        <v>57.527644347520557</v>
      </c>
      <c r="AH2056" s="125">
        <f>IF(tech_base!$T32&gt;AH$2025,"",fuel_costs!Z$9*0.086/tech_proj!AH156/(1-tech_proj!AH436))</f>
        <v>58.174564855024407</v>
      </c>
      <c r="AI2056" s="125">
        <f>IF(tech_base!$T32&gt;AI$2025,"",fuel_costs!AA$9*0.086/tech_proj!AI156/(1-tech_proj!AI436))</f>
        <v>58.756354210517145</v>
      </c>
      <c r="AJ2056" s="125">
        <f>IF(tech_base!$T32&gt;AJ$2025,"",fuel_costs!AB$9*0.086/tech_proj!AJ156/(1-tech_proj!AJ436))</f>
        <v>59.160809263583957</v>
      </c>
      <c r="AK2056" s="125">
        <f>IF(tech_base!$T32&gt;AK$2025,"",fuel_costs!AC$9*0.086/tech_proj!AK156/(1-tech_proj!AK436))</f>
        <v>59.63763615837253</v>
      </c>
      <c r="AL2056" s="125">
        <f>IF(tech_base!$T32&gt;AL$2025,"",fuel_costs!AD$9*0.086/tech_proj!AL156/(1-tech_proj!AL436))</f>
        <v>60.164797093705992</v>
      </c>
      <c r="AM2056" s="125">
        <f>IF(tech_base!$T32&gt;AM$2025,"",fuel_costs!AE$9*0.086/tech_proj!AM156/(1-tech_proj!AM436))</f>
        <v>60.731297562983876</v>
      </c>
      <c r="AN2056" s="125">
        <f>IF(tech_base!$T32&gt;AN$2025,"",fuel_costs!AF$9*0.086/tech_proj!AN156/(1-tech_proj!AN436))</f>
        <v>61.151242678394134</v>
      </c>
      <c r="AO2056" s="125">
        <f>IF(tech_base!$T32&gt;AO$2025,"",fuel_costs!AG$9*0.086/tech_proj!AO156/(1-tech_proj!AO436))</f>
        <v>61.552013448396622</v>
      </c>
      <c r="AP2056" s="125">
        <f>IF(tech_base!$T32&gt;AP$2025,"",fuel_costs!AH$9*0.086/tech_proj!AP156/(1-tech_proj!AP436))</f>
        <v>61.931004957922148</v>
      </c>
      <c r="AQ2056" s="125">
        <f>IF(tech_base!$T32&gt;AQ$2025,"",fuel_costs!AI$9*0.086/tech_proj!AQ156/(1-tech_proj!AQ436))</f>
        <v>62.29115544020403</v>
      </c>
      <c r="AR2056" s="125">
        <f>IF(tech_base!$T32&gt;AR$2025,"",fuel_costs!AJ$9*0.086/tech_proj!AR156/(1-tech_proj!AR436))</f>
        <v>62.674420475093413</v>
      </c>
      <c r="AS2056" s="125">
        <f>IF(tech_base!$T32&gt;AS$2025,"",fuel_costs!AK$9*0.086/tech_proj!AS156/(1-tech_proj!AS436))</f>
        <v>63.041720361059951</v>
      </c>
      <c r="AT2056" s="125">
        <f>IF(tech_base!$T32&gt;AT$2025,"",fuel_costs!AL$9*0.086/tech_proj!AT156/(1-tech_proj!AT436))</f>
        <v>63.200080500527363</v>
      </c>
      <c r="AU2056" s="125">
        <f>IF(tech_base!$T32&gt;AU$2025,"",fuel_costs!AM$9*0.086/tech_proj!AU156/(1-tech_proj!AU436))</f>
        <v>63.466488907234954</v>
      </c>
      <c r="AV2056" s="125">
        <f>IF(tech_base!$T32&gt;AV$2025,"",fuel_costs!AN$9*0.086/tech_proj!AV156/(1-tech_proj!AV436))</f>
        <v>63.60489030865439</v>
      </c>
      <c r="AW2056" s="125">
        <f>IF(tech_base!$T32&gt;AW$2025,"",fuel_costs!AO$9*0.086/tech_proj!AW156/(1-tech_proj!AW436))</f>
        <v>63.647331120275744</v>
      </c>
      <c r="AX2056" s="126">
        <f>IF(tech_base!$T32&gt;AX$2025,"",fuel_costs!AP$9*0.086/tech_proj!AX156/(1-tech_proj!AX436))</f>
        <v>63.739623393305685</v>
      </c>
    </row>
    <row r="2057" spans="1:50" x14ac:dyDescent="0.25">
      <c r="A2057" s="356"/>
      <c r="B2057" s="376"/>
      <c r="C2057" s="361" t="s">
        <v>16</v>
      </c>
      <c r="D2057" s="2" t="s">
        <v>7</v>
      </c>
      <c r="E2057" s="76" t="str">
        <f>A2033&amp;"/"&amp;B2049&amp;"/"&amp;C2057&amp;"/"&amp;D2057</f>
        <v>Coal fired power plants/Fluidized bed combustion/CHP with CCS/L</v>
      </c>
      <c r="F2057" s="76" t="str">
        <f>A2033</f>
        <v>Coal fired power plants</v>
      </c>
      <c r="G2057" s="76" t="str">
        <f>B2049</f>
        <v>Fluidized bed combustion</v>
      </c>
      <c r="H2057" s="76" t="str">
        <f>C2057</f>
        <v>CHP with CCS</v>
      </c>
      <c r="I2057" s="76" t="str">
        <f t="shared" si="387"/>
        <v>L</v>
      </c>
      <c r="J2057" s="119" t="str">
        <f>IF(tech_base!$T33&gt;J$2025,"",fuel_costs!B$9*0.086/tech_proj!J157/(1-tech_proj!J437))</f>
        <v/>
      </c>
      <c r="K2057" s="119" t="str">
        <f>IF(tech_base!$T33&gt;K$2025,"",fuel_costs!C$9*0.086/tech_proj!K157/(1-tech_proj!K437))</f>
        <v/>
      </c>
      <c r="L2057" s="119" t="str">
        <f>IF(tech_base!$T33&gt;L$2025,"",fuel_costs!D$9*0.086/tech_proj!L157/(1-tech_proj!L437))</f>
        <v/>
      </c>
      <c r="M2057" s="119" t="str">
        <f>IF(tech_base!$T33&gt;M$2025,"",fuel_costs!E$9*0.086/tech_proj!M157/(1-tech_proj!M437))</f>
        <v/>
      </c>
      <c r="N2057" s="119" t="str">
        <f>IF(tech_base!$T33&gt;N$2025,"",fuel_costs!F$9*0.086/tech_proj!N157/(1-tech_proj!N437))</f>
        <v/>
      </c>
      <c r="O2057" s="119" t="str">
        <f>IF(tech_base!$T33&gt;O$2025,"",fuel_costs!G$9*0.086/tech_proj!O157/(1-tech_proj!O437))</f>
        <v/>
      </c>
      <c r="P2057" s="119" t="str">
        <f>IF(tech_base!$T33&gt;P$2025,"",fuel_costs!H$9*0.086/tech_proj!P157/(1-tech_proj!P437))</f>
        <v/>
      </c>
      <c r="Q2057" s="119" t="str">
        <f>IF(tech_base!$T33&gt;Q$2025,"",fuel_costs!I$9*0.086/tech_proj!Q157/(1-tech_proj!Q437))</f>
        <v/>
      </c>
      <c r="R2057" s="119" t="str">
        <f>IF(tech_base!$T33&gt;R$2025,"",fuel_costs!J$9*0.086/tech_proj!R157/(1-tech_proj!R437))</f>
        <v/>
      </c>
      <c r="S2057" s="119" t="str">
        <f>IF(tech_base!$T33&gt;S$2025,"",fuel_costs!K$9*0.086/tech_proj!S157/(1-tech_proj!S437))</f>
        <v/>
      </c>
      <c r="T2057" s="119" t="str">
        <f>IF(tech_base!$T33&gt;T$2025,"",fuel_costs!L$9*0.086/tech_proj!T157/(1-tech_proj!T437))</f>
        <v/>
      </c>
      <c r="U2057" s="119" t="str">
        <f>IF(tech_base!$T33&gt;U$2025,"",fuel_costs!M$9*0.086/tech_proj!U157/(1-tech_proj!U437))</f>
        <v/>
      </c>
      <c r="V2057" s="119" t="str">
        <f>IF(tech_base!$T33&gt;V$2025,"",fuel_costs!N$9*0.086/tech_proj!V157/(1-tech_proj!V437))</f>
        <v/>
      </c>
      <c r="W2057" s="119" t="str">
        <f>IF(tech_base!$T33&gt;W$2025,"",fuel_costs!O$9*0.086/tech_proj!W157/(1-tech_proj!W437))</f>
        <v/>
      </c>
      <c r="X2057" s="119" t="str">
        <f>IF(tech_base!$T33&gt;X$2025,"",fuel_costs!P$9*0.086/tech_proj!X157/(1-tech_proj!X437))</f>
        <v/>
      </c>
      <c r="Y2057" s="119" t="str">
        <f>IF(tech_base!$T33&gt;Y$2025,"",fuel_costs!Q$9*0.086/tech_proj!Y157/(1-tech_proj!Y437))</f>
        <v/>
      </c>
      <c r="Z2057" s="119" t="str">
        <f>IF(tech_base!$T33&gt;Z$2025,"",fuel_costs!R$9*0.086/tech_proj!Z157/(1-tech_proj!Z437))</f>
        <v/>
      </c>
      <c r="AA2057" s="119" t="str">
        <f>IF(tech_base!$T33&gt;AA$2025,"",fuel_costs!S$9*0.086/tech_proj!AA157/(1-tech_proj!AA437))</f>
        <v/>
      </c>
      <c r="AB2057" s="119" t="str">
        <f>IF(tech_base!$T33&gt;AB$2025,"",fuel_costs!T$9*0.086/tech_proj!AB157/(1-tech_proj!AB437))</f>
        <v/>
      </c>
      <c r="AC2057" s="119" t="str">
        <f>IF(tech_base!$T33&gt;AC$2025,"",fuel_costs!U$9*0.086/tech_proj!AC157/(1-tech_proj!AC437))</f>
        <v/>
      </c>
      <c r="AD2057" s="119" t="str">
        <f>IF(tech_base!$T33&gt;AD$2025,"",fuel_costs!V$9*0.086/tech_proj!AD157/(1-tech_proj!AD437))</f>
        <v/>
      </c>
      <c r="AE2057" s="119">
        <f>IF(tech_base!$T33&gt;AE$2025,"",fuel_costs!W$9*0.086/tech_proj!AE157/(1-tech_proj!AE437))</f>
        <v>59.707151015171625</v>
      </c>
      <c r="AF2057" s="119">
        <f>IF(tech_base!$T33&gt;AF$2025,"",fuel_costs!X$9*0.086/tech_proj!AF157/(1-tech_proj!AF437))</f>
        <v>60.420947665161421</v>
      </c>
      <c r="AG2057" s="119">
        <f>IF(tech_base!$T33&gt;AG$2025,"",fuel_costs!Y$9*0.086/tech_proj!AG157/(1-tech_proj!AG437))</f>
        <v>61.165056662831262</v>
      </c>
      <c r="AH2057" s="119">
        <f>IF(tech_base!$T33&gt;AH$2025,"",fuel_costs!Z$9*0.086/tech_proj!AH157/(1-tech_proj!AH437))</f>
        <v>61.854681475962074</v>
      </c>
      <c r="AI2057" s="119">
        <f>IF(tech_base!$T33&gt;AI$2025,"",fuel_costs!AA$9*0.086/tech_proj!AI157/(1-tech_proj!AI437))</f>
        <v>62.475605746571787</v>
      </c>
      <c r="AJ2057" s="119">
        <f>IF(tech_base!$T33&gt;AJ$2025,"",fuel_costs!AB$9*0.086/tech_proj!AJ157/(1-tech_proj!AJ437))</f>
        <v>62.908670244329009</v>
      </c>
      <c r="AK2057" s="119">
        <f>IF(tech_base!$T33&gt;AK$2025,"",fuel_costs!AC$9*0.086/tech_proj!AK157/(1-tech_proj!AK437))</f>
        <v>63.419587306014016</v>
      </c>
      <c r="AL2057" s="119">
        <f>IF(tech_base!$T33&gt;AL$2025,"",fuel_costs!AD$9*0.086/tech_proj!AL157/(1-tech_proj!AL437))</f>
        <v>63.985191800895024</v>
      </c>
      <c r="AM2057" s="119">
        <f>IF(tech_base!$T33&gt;AM$2025,"",fuel_costs!AE$9*0.086/tech_proj!AM157/(1-tech_proj!AM437))</f>
        <v>64.594134899114977</v>
      </c>
      <c r="AN2057" s="119">
        <f>IF(tech_base!$T33&gt;AN$2025,"",fuel_costs!AF$9*0.086/tech_proj!AN157/(1-tech_proj!AN437))</f>
        <v>65.049111310254361</v>
      </c>
      <c r="AO2057" s="119">
        <f>IF(tech_base!$T33&gt;AO$2025,"",fuel_costs!AG$9*0.086/tech_proj!AO157/(1-tech_proj!AO437))</f>
        <v>65.486107139699442</v>
      </c>
      <c r="AP2057" s="119">
        <f>IF(tech_base!$T33&gt;AP$2025,"",fuel_costs!AH$9*0.086/tech_proj!AP157/(1-tech_proj!AP437))</f>
        <v>65.902996663356518</v>
      </c>
      <c r="AQ2057" s="119">
        <f>IF(tech_base!$T33&gt;AQ$2025,"",fuel_costs!AI$9*0.086/tech_proj!AQ157/(1-tech_proj!AQ437))</f>
        <v>66.303706606498835</v>
      </c>
      <c r="AR2057" s="119">
        <f>IF(tech_base!$T33&gt;AR$2025,"",fuel_costs!AJ$9*0.086/tech_proj!AR157/(1-tech_proj!AR437))</f>
        <v>66.733892236645787</v>
      </c>
      <c r="AS2057" s="119">
        <f>IF(tech_base!$T33&gt;AS$2025,"",fuel_costs!AK$9*0.086/tech_proj!AS157/(1-tech_proj!AS437))</f>
        <v>67.153167365080648</v>
      </c>
      <c r="AT2057" s="119">
        <f>IF(tech_base!$T33&gt;AT$2025,"",fuel_costs!AL$9*0.086/tech_proj!AT157/(1-tech_proj!AT437))</f>
        <v>67.357286236463082</v>
      </c>
      <c r="AU2057" s="119">
        <f>IF(tech_base!$T33&gt;AU$2025,"",fuel_costs!AM$9*0.086/tech_proj!AU157/(1-tech_proj!AU437))</f>
        <v>67.685546108401411</v>
      </c>
      <c r="AV2057" s="119">
        <f>IF(tech_base!$T33&gt;AV$2025,"",fuel_costs!AN$9*0.086/tech_proj!AV157/(1-tech_proj!AV437))</f>
        <v>67.888045380922335</v>
      </c>
      <c r="AW2057" s="119">
        <f>IF(tech_base!$T33&gt;AW$2025,"",fuel_costs!AO$9*0.086/tech_proj!AW157/(1-tech_proj!AW437))</f>
        <v>68.000542025912125</v>
      </c>
      <c r="AX2057" s="120">
        <f>IF(tech_base!$T33&gt;AX$2025,"",fuel_costs!AP$9*0.086/tech_proj!AX157/(1-tech_proj!AX437))</f>
        <v>68.18043308553041</v>
      </c>
    </row>
    <row r="2058" spans="1:50" x14ac:dyDescent="0.25">
      <c r="A2058" s="356"/>
      <c r="B2058" s="380"/>
      <c r="C2058" s="381"/>
      <c r="D2058" s="4" t="s">
        <v>8</v>
      </c>
      <c r="E2058" s="80" t="str">
        <f>A2033&amp;"/"&amp;B2049&amp;"/"&amp;C2057&amp;"/"&amp;D2058</f>
        <v>Coal fired power plants/Fluidized bed combustion/CHP with CCS/M</v>
      </c>
      <c r="F2058" s="80" t="str">
        <f>A2033</f>
        <v>Coal fired power plants</v>
      </c>
      <c r="G2058" s="80" t="str">
        <f>B2049</f>
        <v>Fluidized bed combustion</v>
      </c>
      <c r="H2058" s="80" t="str">
        <f>C2057</f>
        <v>CHP with CCS</v>
      </c>
      <c r="I2058" s="80" t="str">
        <f t="shared" si="387"/>
        <v>M</v>
      </c>
      <c r="J2058" s="127" t="str">
        <f>IF(tech_base!$T34&gt;J$2025,"",fuel_costs!B$9*0.086/tech_proj!J158/(1-tech_proj!J438))</f>
        <v/>
      </c>
      <c r="K2058" s="127" t="str">
        <f>IF(tech_base!$T34&gt;K$2025,"",fuel_costs!C$9*0.086/tech_proj!K158/(1-tech_proj!K438))</f>
        <v/>
      </c>
      <c r="L2058" s="127" t="str">
        <f>IF(tech_base!$T34&gt;L$2025,"",fuel_costs!D$9*0.086/tech_proj!L158/(1-tech_proj!L438))</f>
        <v/>
      </c>
      <c r="M2058" s="127" t="str">
        <f>IF(tech_base!$T34&gt;M$2025,"",fuel_costs!E$9*0.086/tech_proj!M158/(1-tech_proj!M438))</f>
        <v/>
      </c>
      <c r="N2058" s="127" t="str">
        <f>IF(tech_base!$T34&gt;N$2025,"",fuel_costs!F$9*0.086/tech_proj!N158/(1-tech_proj!N438))</f>
        <v/>
      </c>
      <c r="O2058" s="127" t="str">
        <f>IF(tech_base!$T34&gt;O$2025,"",fuel_costs!G$9*0.086/tech_proj!O158/(1-tech_proj!O438))</f>
        <v/>
      </c>
      <c r="P2058" s="127" t="str">
        <f>IF(tech_base!$T34&gt;P$2025,"",fuel_costs!H$9*0.086/tech_proj!P158/(1-tech_proj!P438))</f>
        <v/>
      </c>
      <c r="Q2058" s="127" t="str">
        <f>IF(tech_base!$T34&gt;Q$2025,"",fuel_costs!I$9*0.086/tech_proj!Q158/(1-tech_proj!Q438))</f>
        <v/>
      </c>
      <c r="R2058" s="127" t="str">
        <f>IF(tech_base!$T34&gt;R$2025,"",fuel_costs!J$9*0.086/tech_proj!R158/(1-tech_proj!R438))</f>
        <v/>
      </c>
      <c r="S2058" s="127" t="str">
        <f>IF(tech_base!$T34&gt;S$2025,"",fuel_costs!K$9*0.086/tech_proj!S158/(1-tech_proj!S438))</f>
        <v/>
      </c>
      <c r="T2058" s="127" t="str">
        <f>IF(tech_base!$T34&gt;T$2025,"",fuel_costs!L$9*0.086/tech_proj!T158/(1-tech_proj!T438))</f>
        <v/>
      </c>
      <c r="U2058" s="127" t="str">
        <f>IF(tech_base!$T34&gt;U$2025,"",fuel_costs!M$9*0.086/tech_proj!U158/(1-tech_proj!U438))</f>
        <v/>
      </c>
      <c r="V2058" s="127" t="str">
        <f>IF(tech_base!$T34&gt;V$2025,"",fuel_costs!N$9*0.086/tech_proj!V158/(1-tech_proj!V438))</f>
        <v/>
      </c>
      <c r="W2058" s="127" t="str">
        <f>IF(tech_base!$T34&gt;W$2025,"",fuel_costs!O$9*0.086/tech_proj!W158/(1-tech_proj!W438))</f>
        <v/>
      </c>
      <c r="X2058" s="127" t="str">
        <f>IF(tech_base!$T34&gt;X$2025,"",fuel_costs!P$9*0.086/tech_proj!X158/(1-tech_proj!X438))</f>
        <v/>
      </c>
      <c r="Y2058" s="127" t="str">
        <f>IF(tech_base!$T34&gt;Y$2025,"",fuel_costs!Q$9*0.086/tech_proj!Y158/(1-tech_proj!Y438))</f>
        <v/>
      </c>
      <c r="Z2058" s="127" t="str">
        <f>IF(tech_base!$T34&gt;Z$2025,"",fuel_costs!R$9*0.086/tech_proj!Z158/(1-tech_proj!Z438))</f>
        <v/>
      </c>
      <c r="AA2058" s="127" t="str">
        <f>IF(tech_base!$T34&gt;AA$2025,"",fuel_costs!S$9*0.086/tech_proj!AA158/(1-tech_proj!AA438))</f>
        <v/>
      </c>
      <c r="AB2058" s="127" t="str">
        <f>IF(tech_base!$T34&gt;AB$2025,"",fuel_costs!T$9*0.086/tech_proj!AB158/(1-tech_proj!AB438))</f>
        <v/>
      </c>
      <c r="AC2058" s="127" t="str">
        <f>IF(tech_base!$T34&gt;AC$2025,"",fuel_costs!U$9*0.086/tech_proj!AC158/(1-tech_proj!AC438))</f>
        <v/>
      </c>
      <c r="AD2058" s="127" t="str">
        <f>IF(tech_base!$T34&gt;AD$2025,"",fuel_costs!V$9*0.086/tech_proj!AD158/(1-tech_proj!AD438))</f>
        <v/>
      </c>
      <c r="AE2058" s="127">
        <f>IF(tech_base!$T34&gt;AE$2025,"",fuel_costs!W$9*0.086/tech_proj!AE158/(1-tech_proj!AE438))</f>
        <v>63.728425426450634</v>
      </c>
      <c r="AF2058" s="127">
        <f>IF(tech_base!$T34&gt;AF$2025,"",fuel_costs!X$9*0.086/tech_proj!AF158/(1-tech_proj!AF438))</f>
        <v>64.489916003146689</v>
      </c>
      <c r="AG2058" s="127">
        <f>IF(tech_base!$T34&gt;AG$2025,"",fuel_costs!Y$9*0.086/tech_proj!AG158/(1-tech_proj!AG438))</f>
        <v>65.283642269416006</v>
      </c>
      <c r="AH2058" s="127">
        <f>IF(tech_base!$T34&gt;AH$2025,"",fuel_costs!Z$9*0.086/tech_proj!AH158/(1-tech_proj!AH438))</f>
        <v>66.019063067971672</v>
      </c>
      <c r="AI2058" s="127">
        <f>IF(tech_base!$T34&gt;AI$2025,"",fuel_costs!AA$9*0.086/tech_proj!AI158/(1-tech_proj!AI438))</f>
        <v>66.680962178393202</v>
      </c>
      <c r="AJ2058" s="127">
        <f>IF(tech_base!$T34&gt;AJ$2025,"",fuel_costs!AB$9*0.086/tech_proj!AJ158/(1-tech_proj!AJ438))</f>
        <v>67.142107523276067</v>
      </c>
      <c r="AK2058" s="127">
        <f>IF(tech_base!$T34&gt;AK$2025,"",fuel_costs!AC$9*0.086/tech_proj!AK158/(1-tech_proj!AK438))</f>
        <v>67.686026034242431</v>
      </c>
      <c r="AL2058" s="127">
        <f>IF(tech_base!$T34&gt;AL$2025,"",fuel_costs!AD$9*0.086/tech_proj!AL158/(1-tech_proj!AL438))</f>
        <v>68.287898217464146</v>
      </c>
      <c r="AM2058" s="127">
        <f>IF(tech_base!$T34&gt;AM$2025,"",fuel_costs!AE$9*0.086/tech_proj!AM158/(1-tech_proj!AM438))</f>
        <v>68.935490035616198</v>
      </c>
      <c r="AN2058" s="127">
        <f>IF(tech_base!$T34&gt;AN$2025,"",fuel_costs!AF$9*0.086/tech_proj!AN158/(1-tech_proj!AN438))</f>
        <v>69.41808867635018</v>
      </c>
      <c r="AO2058" s="127">
        <f>IF(tech_base!$T34&gt;AO$2025,"",fuel_costs!AG$9*0.086/tech_proj!AO158/(1-tech_proj!AO438))</f>
        <v>69.880641562265069</v>
      </c>
      <c r="AP2058" s="127">
        <f>IF(tech_base!$T34&gt;AP$2025,"",fuel_costs!AH$9*0.086/tech_proj!AP158/(1-tech_proj!AP438))</f>
        <v>70.320651736921889</v>
      </c>
      <c r="AQ2058" s="127">
        <f>IF(tech_base!$T34&gt;AQ$2025,"",fuel_costs!AI$9*0.086/tech_proj!AQ158/(1-tech_proj!AQ438))</f>
        <v>70.742026329184213</v>
      </c>
      <c r="AR2058" s="127">
        <f>IF(tech_base!$T34&gt;AR$2025,"",fuel_costs!AJ$9*0.086/tech_proj!AR158/(1-tech_proj!AR438))</f>
        <v>71.193124911910743</v>
      </c>
      <c r="AS2058" s="127">
        <f>IF(tech_base!$T34&gt;AS$2025,"",fuel_costs!AK$9*0.086/tech_proj!AS158/(1-tech_proj!AS438))</f>
        <v>71.63043150857996</v>
      </c>
      <c r="AT2058" s="127">
        <f>IF(tech_base!$T34&gt;AT$2025,"",fuel_costs!AL$9*0.086/tech_proj!AT158/(1-tech_proj!AT438))</f>
        <v>71.835622066011581</v>
      </c>
      <c r="AU2058" s="127">
        <f>IF(tech_base!$T34&gt;AU$2025,"",fuel_costs!AM$9*0.086/tech_proj!AU158/(1-tech_proj!AU438))</f>
        <v>72.170043840018806</v>
      </c>
      <c r="AV2058" s="127">
        <f>IF(tech_base!$T34&gt;AV$2025,"",fuel_costs!AN$9*0.086/tech_proj!AV158/(1-tech_proj!AV438))</f>
        <v>72.366596846876135</v>
      </c>
      <c r="AW2058" s="127">
        <f>IF(tech_base!$T34&gt;AW$2025,"",fuel_costs!AO$9*0.086/tech_proj!AW158/(1-tech_proj!AW438))</f>
        <v>72.462865923833533</v>
      </c>
      <c r="AX2058" s="128">
        <f>IF(tech_base!$T34&gt;AX$2025,"",fuel_costs!AP$9*0.086/tech_proj!AX158/(1-tech_proj!AX438))</f>
        <v>72.626031659920343</v>
      </c>
    </row>
    <row r="2059" spans="1:50" x14ac:dyDescent="0.25">
      <c r="A2059" s="356"/>
      <c r="B2059" s="358" t="s">
        <v>19</v>
      </c>
      <c r="C2059" s="353" t="s">
        <v>6</v>
      </c>
      <c r="D2059" s="3" t="s">
        <v>7</v>
      </c>
      <c r="E2059" s="77" t="str">
        <f>A2033&amp;"/"&amp;B2059&amp;"/"&amp;C2059&amp;"/"&amp;D2059</f>
        <v>Coal fired power plants/Steam turbine/Electricity only/L</v>
      </c>
      <c r="F2059" s="77" t="str">
        <f>A2033</f>
        <v>Coal fired power plants</v>
      </c>
      <c r="G2059" s="77" t="str">
        <f>B2059</f>
        <v>Steam turbine</v>
      </c>
      <c r="H2059" s="77" t="str">
        <f>C2059</f>
        <v>Electricity only</v>
      </c>
      <c r="I2059" s="77" t="str">
        <f t="shared" si="387"/>
        <v>L</v>
      </c>
      <c r="J2059" s="121">
        <f>IF(tech_base!$T35&gt;J$2025,"",fuel_costs!B$9*0.086/tech_proj!J159/(1-tech_proj!J439))</f>
        <v>27.529626655876893</v>
      </c>
      <c r="K2059" s="121">
        <f>IF(tech_base!$T35&gt;K$2025,"",fuel_costs!C$9*0.086/tech_proj!K159/(1-tech_proj!K439))</f>
        <v>34.36419617783352</v>
      </c>
      <c r="L2059" s="121">
        <f>IF(tech_base!$T35&gt;L$2025,"",fuel_costs!D$9*0.086/tech_proj!L159/(1-tech_proj!L439))</f>
        <v>29.22396871252592</v>
      </c>
      <c r="M2059" s="121">
        <f>IF(tech_base!$T35&gt;M$2025,"",fuel_costs!E$9*0.086/tech_proj!M159/(1-tech_proj!M439))</f>
        <v>26.368664033380345</v>
      </c>
      <c r="N2059" s="121">
        <f>IF(tech_base!$T35&gt;N$2025,"",fuel_costs!F$9*0.086/tech_proj!N159/(1-tech_proj!N439))</f>
        <v>25.305204746338209</v>
      </c>
      <c r="O2059" s="121">
        <f>IF(tech_base!$T35&gt;O$2025,"",fuel_costs!G$9*0.086/tech_proj!O159/(1-tech_proj!O439))</f>
        <v>23.771363366860157</v>
      </c>
      <c r="P2059" s="121">
        <f>IF(tech_base!$T35&gt;P$2025,"",fuel_costs!H$9*0.086/tech_proj!P159/(1-tech_proj!P439))</f>
        <v>25.106848794151219</v>
      </c>
      <c r="Q2059" s="121">
        <f>IF(tech_base!$T35&gt;Q$2025,"",fuel_costs!I$9*0.086/tech_proj!Q159/(1-tech_proj!Q439))</f>
        <v>31.916083789875231</v>
      </c>
      <c r="R2059" s="121">
        <f>IF(tech_base!$T35&gt;R$2025,"",fuel_costs!J$9*0.086/tech_proj!R159/(1-tech_proj!R439))</f>
        <v>32.088274277193449</v>
      </c>
      <c r="S2059" s="121">
        <f>IF(tech_base!$T35&gt;S$2025,"",fuel_costs!K$9*0.086/tech_proj!S159/(1-tech_proj!S439))</f>
        <v>32.258636859177393</v>
      </c>
      <c r="T2059" s="121">
        <f>IF(tech_base!$T35&gt;T$2025,"",fuel_costs!L$9*0.086/tech_proj!T159/(1-tech_proj!T439))</f>
        <v>32.427220359298218</v>
      </c>
      <c r="U2059" s="121">
        <f>IF(tech_base!$T35&gt;U$2025,"",fuel_costs!M$9*0.086/tech_proj!U159/(1-tech_proj!U439))</f>
        <v>33.15241841394274</v>
      </c>
      <c r="V2059" s="121">
        <f>IF(tech_base!$T35&gt;V$2025,"",fuel_costs!N$9*0.086/tech_proj!V159/(1-tech_proj!V439))</f>
        <v>33.166135527020487</v>
      </c>
      <c r="W2059" s="121">
        <f>IF(tech_base!$T35&gt;W$2025,"",fuel_costs!O$9*0.086/tech_proj!W159/(1-tech_proj!W439))</f>
        <v>33.134971278964343</v>
      </c>
      <c r="X2059" s="121">
        <f>IF(tech_base!$T35&gt;X$2025,"",fuel_costs!P$9*0.086/tech_proj!X159/(1-tech_proj!X439))</f>
        <v>33.319179395403026</v>
      </c>
      <c r="Y2059" s="121">
        <f>IF(tech_base!$T35&gt;Y$2025,"",fuel_costs!Q$9*0.086/tech_proj!Y159/(1-tech_proj!Y439))</f>
        <v>33.537533947716817</v>
      </c>
      <c r="Z2059" s="121">
        <f>IF(tech_base!$T35&gt;Z$2025,"",fuel_costs!R$9*0.086/tech_proj!Z159/(1-tech_proj!Z439))</f>
        <v>34.59091879125657</v>
      </c>
      <c r="AA2059" s="121">
        <f>IF(tech_base!$T35&gt;AA$2025,"",fuel_costs!S$9*0.086/tech_proj!AA159/(1-tech_proj!AA439))</f>
        <v>35.642233219914864</v>
      </c>
      <c r="AB2059" s="121">
        <f>IF(tech_base!$T35&gt;AB$2025,"",fuel_costs!T$9*0.086/tech_proj!AB159/(1-tech_proj!AB439))</f>
        <v>36.729772996064121</v>
      </c>
      <c r="AC2059" s="121">
        <f>IF(tech_base!$T35&gt;AC$2025,"",fuel_costs!U$9*0.086/tech_proj!AC159/(1-tech_proj!AC439))</f>
        <v>37.826983091589724</v>
      </c>
      <c r="AD2059" s="121">
        <f>IF(tech_base!$T35&gt;AD$2025,"",fuel_costs!V$9*0.086/tech_proj!AD159/(1-tech_proj!AD439))</f>
        <v>39.029761975721584</v>
      </c>
      <c r="AE2059" s="121">
        <f>IF(tech_base!$T35&gt;AE$2025,"",fuel_costs!W$9*0.086/tech_proj!AE159/(1-tech_proj!AE439))</f>
        <v>39.366585052612592</v>
      </c>
      <c r="AF2059" s="121">
        <f>IF(tech_base!$T35&gt;AF$2025,"",fuel_costs!X$9*0.086/tech_proj!AF159/(1-tech_proj!AF439))</f>
        <v>39.827569855542947</v>
      </c>
      <c r="AG2059" s="121">
        <f>IF(tech_base!$T35&gt;AG$2025,"",fuel_costs!Y$9*0.086/tech_proj!AG159/(1-tech_proj!AG439))</f>
        <v>40.309248760205271</v>
      </c>
      <c r="AH2059" s="121">
        <f>IF(tech_base!$T35&gt;AH$2025,"",fuel_costs!Z$9*0.086/tech_proj!AH159/(1-tech_proj!AH439))</f>
        <v>40.756002027340664</v>
      </c>
      <c r="AI2059" s="121">
        <f>IF(tech_base!$T35&gt;AI$2025,"",fuel_costs!AA$9*0.086/tech_proj!AI159/(1-tech_proj!AI439))</f>
        <v>41.158820395169151</v>
      </c>
      <c r="AJ2059" s="121">
        <f>IF(tech_base!$T35&gt;AJ$2025,"",fuel_costs!AB$9*0.086/tech_proj!AJ159/(1-tech_proj!AJ439))</f>
        <v>41.43965518738117</v>
      </c>
      <c r="AK2059" s="121">
        <f>IF(tech_base!$T35&gt;AK$2025,"",fuel_costs!AC$9*0.086/tech_proj!AK159/(1-tech_proj!AK439))</f>
        <v>41.774090134593749</v>
      </c>
      <c r="AL2059" s="121">
        <f>IF(tech_base!$T35&gt;AL$2025,"",fuel_costs!AD$9*0.086/tech_proj!AL159/(1-tech_proj!AL439))</f>
        <v>42.14753320146589</v>
      </c>
      <c r="AM2059" s="121">
        <f>IF(tech_base!$T35&gt;AM$2025,"",fuel_costs!AE$9*0.086/tech_proj!AM159/(1-tech_proj!AM439))</f>
        <v>42.553375181889166</v>
      </c>
      <c r="AN2059" s="121">
        <f>IF(tech_base!$T35&gt;AN$2025,"",fuel_costs!AF$9*0.086/tech_proj!AN159/(1-tech_proj!AN439))</f>
        <v>42.862717637630489</v>
      </c>
      <c r="AO2059" s="121">
        <f>IF(tech_base!$T35&gt;AO$2025,"",fuel_costs!AG$9*0.086/tech_proj!AO159/(1-tech_proj!AO439))</f>
        <v>43.166471922465504</v>
      </c>
      <c r="AP2059" s="121">
        <f>IF(tech_base!$T35&gt;AP$2025,"",fuel_costs!AH$9*0.086/tech_proj!AP159/(1-tech_proj!AP439))</f>
        <v>43.464890236300697</v>
      </c>
      <c r="AQ2059" s="121">
        <f>IF(tech_base!$T35&gt;AQ$2025,"",fuel_costs!AI$9*0.086/tech_proj!AQ159/(1-tech_proj!AQ439))</f>
        <v>43.762587057941943</v>
      </c>
      <c r="AR2059" s="121">
        <f>IF(tech_base!$T35&gt;AR$2025,"",fuel_costs!AJ$9*0.086/tech_proj!AR159/(1-tech_proj!AR439))</f>
        <v>44.092176009806977</v>
      </c>
      <c r="AS2059" s="121">
        <f>IF(tech_base!$T35&gt;AS$2025,"",fuel_costs!AK$9*0.086/tech_proj!AS159/(1-tech_proj!AS439))</f>
        <v>44.429961861445896</v>
      </c>
      <c r="AT2059" s="121">
        <f>IF(tech_base!$T35&gt;AT$2025,"",fuel_costs!AL$9*0.086/tech_proj!AT159/(1-tech_proj!AT439))</f>
        <v>44.643976472077632</v>
      </c>
      <c r="AU2059" s="121">
        <f>IF(tech_base!$T35&gt;AU$2025,"",fuel_costs!AM$9*0.086/tech_proj!AU159/(1-tech_proj!AU439))</f>
        <v>44.962501437951815</v>
      </c>
      <c r="AV2059" s="121">
        <f>IF(tech_base!$T35&gt;AV$2025,"",fuel_costs!AN$9*0.086/tech_proj!AV159/(1-tech_proj!AV439))</f>
        <v>45.223636904453535</v>
      </c>
      <c r="AW2059" s="121">
        <f>IF(tech_base!$T35&gt;AW$2025,"",fuel_costs!AO$9*0.086/tech_proj!AW159/(1-tech_proj!AW439))</f>
        <v>45.454383811015013</v>
      </c>
      <c r="AX2059" s="122">
        <f>IF(tech_base!$T35&gt;AX$2025,"",fuel_costs!AP$9*0.086/tech_proj!AX159/(1-tech_proj!AX439))</f>
        <v>45.762921838557702</v>
      </c>
    </row>
    <row r="2060" spans="1:50" x14ac:dyDescent="0.25">
      <c r="A2060" s="356"/>
      <c r="B2060" s="376"/>
      <c r="C2060" s="378"/>
      <c r="D2060" s="2" t="s">
        <v>8</v>
      </c>
      <c r="E2060" s="76" t="str">
        <f>A2033&amp;"/"&amp;B2059&amp;"/"&amp;C2059&amp;"/"&amp;D2060</f>
        <v>Coal fired power plants/Steam turbine/Electricity only/M</v>
      </c>
      <c r="F2060" s="76" t="str">
        <f>A2033</f>
        <v>Coal fired power plants</v>
      </c>
      <c r="G2060" s="76" t="str">
        <f>B2059</f>
        <v>Steam turbine</v>
      </c>
      <c r="H2060" s="76" t="str">
        <f>C2059</f>
        <v>Electricity only</v>
      </c>
      <c r="I2060" s="76" t="str">
        <f t="shared" si="387"/>
        <v>M</v>
      </c>
      <c r="J2060" s="119">
        <f>IF(tech_base!$T36&gt;J$2025,"",fuel_costs!B$9*0.086/tech_proj!J160/(1-tech_proj!J440))</f>
        <v>28.995371872354198</v>
      </c>
      <c r="K2060" s="119">
        <f>IF(tech_base!$T36&gt;K$2025,"",fuel_costs!C$9*0.086/tech_proj!K160/(1-tech_proj!K440))</f>
        <v>36.196400803402483</v>
      </c>
      <c r="L2060" s="119">
        <f>IF(tech_base!$T36&gt;L$2025,"",fuel_costs!D$9*0.086/tech_proj!L160/(1-tech_proj!L440))</f>
        <v>30.784290606589085</v>
      </c>
      <c r="M2060" s="119">
        <f>IF(tech_base!$T36&gt;M$2025,"",fuel_costs!E$9*0.086/tech_proj!M160/(1-tech_proj!M440))</f>
        <v>27.778497001873969</v>
      </c>
      <c r="N2060" s="119">
        <f>IF(tech_base!$T36&gt;N$2025,"",fuel_costs!F$9*0.086/tech_proj!N160/(1-tech_proj!N440))</f>
        <v>26.660053863942458</v>
      </c>
      <c r="O2060" s="119">
        <f>IF(tech_base!$T36&gt;O$2025,"",fuel_costs!G$9*0.086/tech_proj!O160/(1-tech_proj!O440))</f>
        <v>25.045844592023354</v>
      </c>
      <c r="P2060" s="119">
        <f>IF(tech_base!$T36&gt;P$2025,"",fuel_costs!H$9*0.086/tech_proj!P160/(1-tech_proj!P440))</f>
        <v>26.454775537733084</v>
      </c>
      <c r="Q2060" s="119">
        <f>IF(tech_base!$T36&gt;Q$2025,"",fuel_costs!I$9*0.086/tech_proj!Q160/(1-tech_proj!Q440))</f>
        <v>33.631915151905275</v>
      </c>
      <c r="R2060" s="119">
        <f>IF(tech_base!$T36&gt;R$2025,"",fuel_costs!J$9*0.086/tech_proj!R160/(1-tech_proj!R440))</f>
        <v>33.815695378211068</v>
      </c>
      <c r="S2060" s="119">
        <f>IF(tech_base!$T36&gt;S$2025,"",fuel_costs!K$9*0.086/tech_proj!S160/(1-tech_proj!S440))</f>
        <v>33.997560081698296</v>
      </c>
      <c r="T2060" s="119">
        <f>IF(tech_base!$T36&gt;T$2025,"",fuel_costs!L$9*0.086/tech_proj!T160/(1-tech_proj!T440))</f>
        <v>34.177559065806342</v>
      </c>
      <c r="U2060" s="119">
        <f>IF(tech_base!$T36&gt;U$2025,"",fuel_costs!M$9*0.086/tech_proj!U160/(1-tech_proj!U440))</f>
        <v>34.944264810200586</v>
      </c>
      <c r="V2060" s="119">
        <f>IF(tech_base!$T36&gt;V$2025,"",fuel_costs!N$9*0.086/tech_proj!V160/(1-tech_proj!V440))</f>
        <v>34.961070051695195</v>
      </c>
      <c r="W2060" s="119">
        <f>IF(tech_base!$T36&gt;W$2025,"",fuel_costs!O$9*0.086/tech_proj!W160/(1-tech_proj!W440))</f>
        <v>34.930545214808426</v>
      </c>
      <c r="X2060" s="119">
        <f>IF(tech_base!$T36&gt;X$2025,"",fuel_costs!P$9*0.086/tech_proj!X160/(1-tech_proj!X440))</f>
        <v>35.127054897718466</v>
      </c>
      <c r="Y2060" s="119">
        <f>IF(tech_base!$T36&gt;Y$2025,"",fuel_costs!Q$9*0.086/tech_proj!Y160/(1-tech_proj!Y440))</f>
        <v>35.359571233805653</v>
      </c>
      <c r="Z2060" s="119">
        <f>IF(tech_base!$T36&gt;Z$2025,"",fuel_costs!R$9*0.086/tech_proj!Z160/(1-tech_proj!Z440))</f>
        <v>36.472549297056482</v>
      </c>
      <c r="AA2060" s="119">
        <f>IF(tech_base!$T36&gt;AA$2025,"",fuel_costs!S$9*0.086/tech_proj!AA160/(1-tech_proj!AA440))</f>
        <v>37.583464576370481</v>
      </c>
      <c r="AB2060" s="119">
        <f>IF(tech_base!$T36&gt;AB$2025,"",fuel_costs!T$9*0.086/tech_proj!AB160/(1-tech_proj!AB440))</f>
        <v>38.732697802667808</v>
      </c>
      <c r="AC2060" s="119">
        <f>IF(tech_base!$T36&gt;AC$2025,"",fuel_costs!U$9*0.086/tech_proj!AC160/(1-tech_proj!AC440))</f>
        <v>39.892248329053508</v>
      </c>
      <c r="AD2060" s="119">
        <f>IF(tech_base!$T36&gt;AD$2025,"",fuel_costs!V$9*0.086/tech_proj!AD160/(1-tech_proj!AD440))</f>
        <v>41.163255544710886</v>
      </c>
      <c r="AE2060" s="119">
        <f>IF(tech_base!$T36&gt;AE$2025,"",fuel_costs!W$9*0.086/tech_proj!AE160/(1-tech_proj!AE440))</f>
        <v>41.521042546985726</v>
      </c>
      <c r="AF2060" s="119">
        <f>IF(tech_base!$T36&gt;AF$2025,"",fuel_costs!X$9*0.086/tech_proj!AF160/(1-tech_proj!AF440))</f>
        <v>42.009807657899948</v>
      </c>
      <c r="AG2060" s="119">
        <f>IF(tech_base!$T36&gt;AG$2025,"",fuel_costs!Y$9*0.086/tech_proj!AG160/(1-tech_proj!AG440))</f>
        <v>42.520429619936706</v>
      </c>
      <c r="AH2060" s="119">
        <f>IF(tech_base!$T36&gt;AH$2025,"",fuel_costs!Z$9*0.086/tech_proj!AH160/(1-tech_proj!AH440))</f>
        <v>42.994236338825218</v>
      </c>
      <c r="AI2060" s="119">
        <f>IF(tech_base!$T36&gt;AI$2025,"",fuel_costs!AA$9*0.086/tech_proj!AI160/(1-tech_proj!AI440))</f>
        <v>43.421715022126321</v>
      </c>
      <c r="AJ2060" s="119">
        <f>IF(tech_base!$T36&gt;AJ$2025,"",fuel_costs!AB$9*0.086/tech_proj!AJ160/(1-tech_proj!AJ440))</f>
        <v>43.720511506877308</v>
      </c>
      <c r="AK2060" s="119">
        <f>IF(tech_base!$T36&gt;AK$2025,"",fuel_costs!AC$9*0.086/tech_proj!AK160/(1-tech_proj!AK440))</f>
        <v>44.075860805984021</v>
      </c>
      <c r="AL2060" s="119">
        <f>IF(tech_base!$T36&gt;AL$2025,"",fuel_costs!AD$9*0.086/tech_proj!AL160/(1-tech_proj!AL440))</f>
        <v>44.472374350411023</v>
      </c>
      <c r="AM2060" s="119">
        <f>IF(tech_base!$T36&gt;AM$2025,"",fuel_costs!AE$9*0.086/tech_proj!AM160/(1-tech_proj!AM440))</f>
        <v>44.903083553405509</v>
      </c>
      <c r="AN2060" s="119">
        <f>IF(tech_base!$T36&gt;AN$2025,"",fuel_costs!AF$9*0.086/tech_proj!AN160/(1-tech_proj!AN440))</f>
        <v>45.231969330605715</v>
      </c>
      <c r="AO2060" s="119">
        <f>IF(tech_base!$T36&gt;AO$2025,"",fuel_costs!AG$9*0.086/tech_proj!AO160/(1-tech_proj!AO440))</f>
        <v>45.554955586486869</v>
      </c>
      <c r="AP2060" s="119">
        <f>IF(tech_base!$T36&gt;AP$2025,"",fuel_costs!AH$9*0.086/tech_proj!AP160/(1-tech_proj!AP440))</f>
        <v>45.872306473729964</v>
      </c>
      <c r="AQ2060" s="119">
        <f>IF(tech_base!$T36&gt;AQ$2025,"",fuel_costs!AI$9*0.086/tech_proj!AQ160/(1-tech_proj!AQ440))</f>
        <v>46.188890402663908</v>
      </c>
      <c r="AR2060" s="119">
        <f>IF(tech_base!$T36&gt;AR$2025,"",fuel_costs!AJ$9*0.086/tech_proj!AR160/(1-tech_proj!AR440))</f>
        <v>46.539129839498173</v>
      </c>
      <c r="AS2060" s="119">
        <f>IF(tech_base!$T36&gt;AS$2025,"",fuel_costs!AK$9*0.086/tech_proj!AS160/(1-tech_proj!AS440))</f>
        <v>46.898017437732378</v>
      </c>
      <c r="AT2060" s="119">
        <f>IF(tech_base!$T36&gt;AT$2025,"",fuel_costs!AL$9*0.086/tech_proj!AT160/(1-tech_proj!AT440))</f>
        <v>47.126247733604309</v>
      </c>
      <c r="AU2060" s="119">
        <f>IF(tech_base!$T36&gt;AU$2025,"",fuel_costs!AM$9*0.086/tech_proj!AU160/(1-tech_proj!AU440))</f>
        <v>47.464786826692659</v>
      </c>
      <c r="AV2060" s="119">
        <f>IF(tech_base!$T36&gt;AV$2025,"",fuel_costs!AN$9*0.086/tech_proj!AV160/(1-tech_proj!AV440))</f>
        <v>47.742731736883762</v>
      </c>
      <c r="AW2060" s="119">
        <f>IF(tech_base!$T36&gt;AW$2025,"",fuel_costs!AO$9*0.086/tech_proj!AW160/(1-tech_proj!AW440))</f>
        <v>47.988579427348107</v>
      </c>
      <c r="AX2060" s="120">
        <f>IF(tech_base!$T36&gt;AX$2025,"",fuel_costs!AP$9*0.086/tech_proj!AX160/(1-tech_proj!AX440))</f>
        <v>48.316541052292948</v>
      </c>
    </row>
    <row r="2061" spans="1:50" x14ac:dyDescent="0.25">
      <c r="A2061" s="356"/>
      <c r="B2061" s="376"/>
      <c r="C2061" s="378"/>
      <c r="D2061" s="2" t="s">
        <v>10</v>
      </c>
      <c r="E2061" s="76" t="str">
        <f>A2033&amp;"/"&amp;B2059&amp;"/"&amp;C2059&amp;"/"&amp;D2061</f>
        <v>Coal fired power plants/Steam turbine/Electricity only/S</v>
      </c>
      <c r="F2061" s="76" t="str">
        <f>A2033</f>
        <v>Coal fired power plants</v>
      </c>
      <c r="G2061" s="76" t="str">
        <f>B2059</f>
        <v>Steam turbine</v>
      </c>
      <c r="H2061" s="76" t="str">
        <f>C2059</f>
        <v>Electricity only</v>
      </c>
      <c r="I2061" s="76" t="str">
        <f t="shared" si="387"/>
        <v>S</v>
      </c>
      <c r="J2061" s="119">
        <f>IF(tech_base!$T37&gt;J$2025,"",fuel_costs!B$9*0.086/tech_proj!J161/(1-tech_proj!J441))</f>
        <v>30.544178933496667</v>
      </c>
      <c r="K2061" s="119">
        <f>IF(tech_base!$T37&gt;K$2025,"",fuel_costs!C$9*0.086/tech_proj!K161/(1-tech_proj!K441))</f>
        <v>38.132564119656692</v>
      </c>
      <c r="L2061" s="119">
        <f>IF(tech_base!$T37&gt;L$2025,"",fuel_costs!D$9*0.086/tech_proj!L161/(1-tech_proj!L441))</f>
        <v>32.433256793713774</v>
      </c>
      <c r="M2061" s="119">
        <f>IF(tech_base!$T37&gt;M$2025,"",fuel_costs!E$9*0.086/tech_proj!M161/(1-tech_proj!M441))</f>
        <v>29.268527245966244</v>
      </c>
      <c r="N2061" s="119">
        <f>IF(tech_base!$T37&gt;N$2025,"",fuel_costs!F$9*0.086/tech_proj!N161/(1-tech_proj!N441))</f>
        <v>28.092072089859847</v>
      </c>
      <c r="O2061" s="119">
        <f>IF(tech_base!$T37&gt;O$2025,"",fuel_costs!G$9*0.086/tech_proj!O161/(1-tech_proj!O441))</f>
        <v>26.393011923014235</v>
      </c>
      <c r="P2061" s="119">
        <f>IF(tech_base!$T37&gt;P$2025,"",fuel_costs!H$9*0.086/tech_proj!P161/(1-tech_proj!P441))</f>
        <v>27.879678054716699</v>
      </c>
      <c r="Q2061" s="119">
        <f>IF(tech_base!$T37&gt;Q$2025,"",fuel_costs!I$9*0.086/tech_proj!Q161/(1-tech_proj!Q441))</f>
        <v>35.445861684878075</v>
      </c>
      <c r="R2061" s="119">
        <f>IF(tech_base!$T37&gt;R$2025,"",fuel_costs!J$9*0.086/tech_proj!R161/(1-tech_proj!R441))</f>
        <v>35.642025780407323</v>
      </c>
      <c r="S2061" s="119">
        <f>IF(tech_base!$T37&gt;S$2025,"",fuel_costs!K$9*0.086/tech_proj!S161/(1-tech_proj!S441))</f>
        <v>35.836184370242833</v>
      </c>
      <c r="T2061" s="119">
        <f>IF(tech_base!$T37&gt;T$2025,"",fuel_costs!L$9*0.086/tech_proj!T161/(1-tech_proj!T441))</f>
        <v>36.028388195834381</v>
      </c>
      <c r="U2061" s="119">
        <f>IF(tech_base!$T37&gt;U$2025,"",fuel_costs!M$9*0.086/tech_proj!U161/(1-tech_proj!U441))</f>
        <v>36.839123443409456</v>
      </c>
      <c r="V2061" s="119">
        <f>IF(tech_base!$T37&gt;V$2025,"",fuel_costs!N$9*0.086/tech_proj!V161/(1-tech_proj!V441))</f>
        <v>36.859333988921698</v>
      </c>
      <c r="W2061" s="119">
        <f>IF(tech_base!$T37&gt;W$2025,"",fuel_costs!O$9*0.086/tech_proj!W161/(1-tech_proj!W441))</f>
        <v>36.829625590909352</v>
      </c>
      <c r="X2061" s="119">
        <f>IF(tech_base!$T37&gt;X$2025,"",fuel_costs!P$9*0.086/tech_proj!X161/(1-tech_proj!X441))</f>
        <v>37.039287578923783</v>
      </c>
      <c r="Y2061" s="119">
        <f>IF(tech_base!$T37&gt;Y$2025,"",fuel_costs!Q$9*0.086/tech_proj!Y161/(1-tech_proj!Y441))</f>
        <v>37.286926223502377</v>
      </c>
      <c r="Z2061" s="119">
        <f>IF(tech_base!$T37&gt;Z$2025,"",fuel_costs!R$9*0.086/tech_proj!Z161/(1-tech_proj!Z441))</f>
        <v>38.463090100069898</v>
      </c>
      <c r="AA2061" s="119">
        <f>IF(tech_base!$T37&gt;AA$2025,"",fuel_costs!S$9*0.086/tech_proj!AA161/(1-tech_proj!AA441))</f>
        <v>39.637208784141457</v>
      </c>
      <c r="AB2061" s="119">
        <f>IF(tech_base!$T37&gt;AB$2025,"",fuel_costs!T$9*0.086/tech_proj!AB161/(1-tech_proj!AB441))</f>
        <v>40.851868891028005</v>
      </c>
      <c r="AC2061" s="119">
        <f>IF(tech_base!$T37&gt;AC$2025,"",fuel_costs!U$9*0.086/tech_proj!AC161/(1-tech_proj!AC441))</f>
        <v>42.077540528980556</v>
      </c>
      <c r="AD2061" s="119">
        <f>IF(tech_base!$T37&gt;AD$2025,"",fuel_costs!V$9*0.086/tech_proj!AD161/(1-tech_proj!AD441))</f>
        <v>43.420909041659137</v>
      </c>
      <c r="AE2061" s="119">
        <f>IF(tech_base!$T37&gt;AE$2025,"",fuel_costs!W$9*0.086/tech_proj!AE161/(1-tech_proj!AE441))</f>
        <v>43.801049076489797</v>
      </c>
      <c r="AF2061" s="119">
        <f>IF(tech_base!$T37&gt;AF$2025,"",fuel_costs!X$9*0.086/tech_proj!AF161/(1-tech_proj!AF441))</f>
        <v>44.319384243271827</v>
      </c>
      <c r="AG2061" s="119">
        <f>IF(tech_base!$T37&gt;AG$2025,"",fuel_costs!Y$9*0.086/tech_proj!AG161/(1-tech_proj!AG441))</f>
        <v>44.860810784352928</v>
      </c>
      <c r="AH2061" s="119">
        <f>IF(tech_base!$T37&gt;AH$2025,"",fuel_costs!Z$9*0.086/tech_proj!AH161/(1-tech_proj!AH441))</f>
        <v>45.363425807729648</v>
      </c>
      <c r="AI2061" s="119">
        <f>IF(tech_base!$T37&gt;AI$2025,"",fuel_costs!AA$9*0.086/tech_proj!AI161/(1-tech_proj!AI441))</f>
        <v>45.817182921898812</v>
      </c>
      <c r="AJ2061" s="119">
        <f>IF(tech_base!$T37&gt;AJ$2025,"",fuel_costs!AB$9*0.086/tech_proj!AJ161/(1-tech_proj!AJ441))</f>
        <v>46.135169222271927</v>
      </c>
      <c r="AK2061" s="119">
        <f>IF(tech_base!$T37&gt;AK$2025,"",fuel_costs!AC$9*0.086/tech_proj!AK161/(1-tech_proj!AK441))</f>
        <v>46.512836246209964</v>
      </c>
      <c r="AL2061" s="119">
        <f>IF(tech_base!$T37&gt;AL$2025,"",fuel_costs!AD$9*0.086/tech_proj!AL161/(1-tech_proj!AL441))</f>
        <v>46.933952597658489</v>
      </c>
      <c r="AM2061" s="119">
        <f>IF(tech_base!$T37&gt;AM$2025,"",fuel_costs!AE$9*0.086/tech_proj!AM161/(1-tech_proj!AM441))</f>
        <v>47.391169510993613</v>
      </c>
      <c r="AN2061" s="119">
        <f>IF(tech_base!$T37&gt;AN$2025,"",fuel_costs!AF$9*0.086/tech_proj!AN161/(1-tech_proj!AN441))</f>
        <v>47.740927654286224</v>
      </c>
      <c r="AO2061" s="119">
        <f>IF(tech_base!$T37&gt;AO$2025,"",fuel_costs!AG$9*0.086/tech_proj!AO161/(1-tech_proj!AO441))</f>
        <v>48.084458108646643</v>
      </c>
      <c r="AP2061" s="119">
        <f>IF(tech_base!$T37&gt;AP$2025,"",fuel_costs!AH$9*0.086/tech_proj!AP161/(1-tech_proj!AP441))</f>
        <v>48.422037497711713</v>
      </c>
      <c r="AQ2061" s="119">
        <f>IF(tech_base!$T37&gt;AQ$2025,"",fuel_costs!AI$9*0.086/tech_proj!AQ161/(1-tech_proj!AQ441))</f>
        <v>48.75880300990989</v>
      </c>
      <c r="AR2061" s="119">
        <f>IF(tech_base!$T37&gt;AR$2025,"",fuel_costs!AJ$9*0.086/tech_proj!AR161/(1-tech_proj!AR441))</f>
        <v>49.131093024344601</v>
      </c>
      <c r="AS2061" s="119">
        <f>IF(tech_base!$T37&gt;AS$2025,"",fuel_costs!AK$9*0.086/tech_proj!AS161/(1-tech_proj!AS441))</f>
        <v>49.51251049390472</v>
      </c>
      <c r="AT2061" s="119">
        <f>IF(tech_base!$T37&gt;AT$2025,"",fuel_costs!AL$9*0.086/tech_proj!AT161/(1-tech_proj!AT441))</f>
        <v>49.755976744050955</v>
      </c>
      <c r="AU2061" s="119">
        <f>IF(tech_base!$T37&gt;AU$2025,"",fuel_costs!AM$9*0.086/tech_proj!AU161/(1-tech_proj!AU441))</f>
        <v>50.115895216397575</v>
      </c>
      <c r="AV2061" s="119">
        <f>IF(tech_base!$T37&gt;AV$2025,"",fuel_costs!AN$9*0.086/tech_proj!AV161/(1-tech_proj!AV441))</f>
        <v>50.411824834763117</v>
      </c>
      <c r="AW2061" s="119">
        <f>IF(tech_base!$T37&gt;AW$2025,"",fuel_costs!AO$9*0.086/tech_proj!AW161/(1-tech_proj!AW441))</f>
        <v>50.673846999796211</v>
      </c>
      <c r="AX2061" s="120">
        <f>IF(tech_base!$T37&gt;AX$2025,"",fuel_costs!AP$9*0.086/tech_proj!AX161/(1-tech_proj!AX441))</f>
        <v>51.022563860334607</v>
      </c>
    </row>
    <row r="2062" spans="1:50" x14ac:dyDescent="0.25">
      <c r="A2062" s="356"/>
      <c r="B2062" s="376"/>
      <c r="C2062" s="379"/>
      <c r="D2062" s="2" t="s">
        <v>20</v>
      </c>
      <c r="E2062" s="76" t="str">
        <f>A2033&amp;"/"&amp;B2059&amp;"/"&amp;C2059&amp;"/"&amp;D2062</f>
        <v>Coal fired power plants/Steam turbine/Electricity only/XS</v>
      </c>
      <c r="F2062" s="76" t="str">
        <f>A2033</f>
        <v>Coal fired power plants</v>
      </c>
      <c r="G2062" s="76" t="str">
        <f>B2059</f>
        <v>Steam turbine</v>
      </c>
      <c r="H2062" s="76" t="str">
        <f>C2059</f>
        <v>Electricity only</v>
      </c>
      <c r="I2062" s="76" t="str">
        <f t="shared" si="387"/>
        <v>XS</v>
      </c>
      <c r="J2062" s="119">
        <f>IF(tech_base!$T38&gt;J$2025,"",fuel_costs!B$9*0.086/tech_proj!J162/(1-tech_proj!J442))</f>
        <v>32.18130843869168</v>
      </c>
      <c r="K2062" s="119">
        <f>IF(tech_base!$T38&gt;K$2025,"",fuel_costs!C$9*0.086/tech_proj!K162/(1-tech_proj!K442))</f>
        <v>40.177890109698254</v>
      </c>
      <c r="L2062" s="119">
        <f>IF(tech_base!$T38&gt;L$2025,"",fuel_costs!D$9*0.086/tech_proj!L162/(1-tech_proj!L442))</f>
        <v>34.174162134787053</v>
      </c>
      <c r="M2062" s="119">
        <f>IF(tech_base!$T38&gt;M$2025,"",fuel_costs!E$9*0.086/tech_proj!M162/(1-tech_proj!M442))</f>
        <v>30.840733007540248</v>
      </c>
      <c r="N2062" s="119">
        <f>IF(tech_base!$T38&gt;N$2025,"",fuel_costs!F$9*0.086/tech_proj!N162/(1-tech_proj!N442))</f>
        <v>29.602227937946118</v>
      </c>
      <c r="O2062" s="119">
        <f>IF(tech_base!$T38&gt;O$2025,"",fuel_costs!G$9*0.086/tech_proj!O162/(1-tech_proj!O442))</f>
        <v>27.812924818095166</v>
      </c>
      <c r="P2062" s="119">
        <f>IF(tech_base!$T38&gt;P$2025,"",fuel_costs!H$9*0.086/tech_proj!P162/(1-tech_proj!P442))</f>
        <v>29.380745599927273</v>
      </c>
      <c r="Q2062" s="119">
        <f>IF(tech_base!$T38&gt;Q$2025,"",fuel_costs!I$9*0.086/tech_proj!Q162/(1-tech_proj!Q442))</f>
        <v>37.355813558913759</v>
      </c>
      <c r="R2062" s="119">
        <f>IF(tech_base!$T38&gt;R$2025,"",fuel_costs!J$9*0.086/tech_proj!R162/(1-tech_proj!R442))</f>
        <v>37.564090630442763</v>
      </c>
      <c r="S2062" s="119">
        <f>IF(tech_base!$T38&gt;S$2025,"",fuel_costs!K$9*0.086/tech_proj!S162/(1-tech_proj!S442))</f>
        <v>37.770290242373044</v>
      </c>
      <c r="T2062" s="119">
        <f>IF(tech_base!$T38&gt;T$2025,"",fuel_costs!L$9*0.086/tech_proj!T162/(1-tech_proj!T442))</f>
        <v>37.974464560606854</v>
      </c>
      <c r="U2062" s="119">
        <f>IF(tech_base!$T38&gt;U$2025,"",fuel_costs!M$9*0.086/tech_proj!U162/(1-tech_proj!U442))</f>
        <v>38.83064181738294</v>
      </c>
      <c r="V2062" s="119">
        <f>IF(tech_base!$T38&gt;V$2025,"",fuel_costs!N$9*0.086/tech_proj!V162/(1-tech_proj!V442))</f>
        <v>38.853611543164618</v>
      </c>
      <c r="W2062" s="119">
        <f>IF(tech_base!$T38&gt;W$2025,"",fuel_costs!O$9*0.086/tech_proj!W162/(1-tech_proj!W442))</f>
        <v>38.823975203421703</v>
      </c>
      <c r="X2062" s="119">
        <f>IF(tech_base!$T38&gt;X$2025,"",fuel_costs!P$9*0.086/tech_proj!X162/(1-tech_proj!X442))</f>
        <v>39.046692344021089</v>
      </c>
      <c r="Y2062" s="119">
        <f>IF(tech_base!$T38&gt;Y$2025,"",fuel_costs!Q$9*0.086/tech_proj!Y162/(1-tech_proj!Y442))</f>
        <v>39.309476812903064</v>
      </c>
      <c r="Z2062" s="119">
        <f>IF(tech_base!$T38&gt;Z$2025,"",fuel_costs!R$9*0.086/tech_proj!Z162/(1-tech_proj!Z442))</f>
        <v>40.551228584220119</v>
      </c>
      <c r="AA2062" s="119">
        <f>IF(tech_base!$T38&gt;AA$2025,"",fuel_costs!S$9*0.086/tech_proj!AA162/(1-tech_proj!AA442))</f>
        <v>41.790942580872134</v>
      </c>
      <c r="AB2062" s="119">
        <f>IF(tech_base!$T38&gt;AB$2025,"",fuel_costs!T$9*0.086/tech_proj!AB162/(1-tech_proj!AB442))</f>
        <v>43.073520371787573</v>
      </c>
      <c r="AC2062" s="119">
        <f>IF(tech_base!$T38&gt;AC$2025,"",fuel_costs!U$9*0.086/tech_proj!AC162/(1-tech_proj!AC442))</f>
        <v>44.367829559508891</v>
      </c>
      <c r="AD2062" s="119">
        <f>IF(tech_base!$T38&gt;AD$2025,"",fuel_costs!V$9*0.086/tech_proj!AD162/(1-tech_proj!AD442))</f>
        <v>45.786367929304532</v>
      </c>
      <c r="AE2062" s="119">
        <f>IF(tech_base!$T38&gt;AE$2025,"",fuel_costs!W$9*0.086/tech_proj!AE162/(1-tech_proj!AE442))</f>
        <v>46.189288473176312</v>
      </c>
      <c r="AF2062" s="119">
        <f>IF(tech_base!$T38&gt;AF$2025,"",fuel_costs!X$9*0.086/tech_proj!AF162/(1-tech_proj!AF442))</f>
        <v>46.737983599991693</v>
      </c>
      <c r="AG2062" s="119">
        <f>IF(tech_base!$T38&gt;AG$2025,"",fuel_costs!Y$9*0.086/tech_proj!AG162/(1-tech_proj!AG442))</f>
        <v>47.311080746169154</v>
      </c>
      <c r="AH2062" s="119">
        <f>IF(tech_base!$T38&gt;AH$2025,"",fuel_costs!Z$9*0.086/tech_proj!AH162/(1-tech_proj!AH442))</f>
        <v>47.843294701475351</v>
      </c>
      <c r="AI2062" s="119">
        <f>IF(tech_base!$T38&gt;AI$2025,"",fuel_costs!AA$9*0.086/tech_proj!AI162/(1-tech_proj!AI442))</f>
        <v>48.324022285970067</v>
      </c>
      <c r="AJ2062" s="119">
        <f>IF(tech_base!$T38&gt;AJ$2025,"",fuel_costs!AB$9*0.086/tech_proj!AJ162/(1-tech_proj!AJ442))</f>
        <v>48.66158260372336</v>
      </c>
      <c r="AK2062" s="119">
        <f>IF(tech_base!$T38&gt;AK$2025,"",fuel_costs!AC$9*0.086/tech_proj!AK162/(1-tech_proj!AK442))</f>
        <v>49.062118735433614</v>
      </c>
      <c r="AL2062" s="119">
        <f>IF(tech_base!$T38&gt;AL$2025,"",fuel_costs!AD$9*0.086/tech_proj!AL162/(1-tech_proj!AL442))</f>
        <v>49.508515718375882</v>
      </c>
      <c r="AM2062" s="119">
        <f>IF(tech_base!$T38&gt;AM$2025,"",fuel_costs!AE$9*0.086/tech_proj!AM162/(1-tech_proj!AM442))</f>
        <v>49.993025800399501</v>
      </c>
      <c r="AN2062" s="119">
        <f>IF(tech_base!$T38&gt;AN$2025,"",fuel_costs!AF$9*0.086/tech_proj!AN162/(1-tech_proj!AN442))</f>
        <v>50.364204721137561</v>
      </c>
      <c r="AO2062" s="119">
        <f>IF(tech_base!$T38&gt;AO$2025,"",fuel_costs!AG$9*0.086/tech_proj!AO162/(1-tech_proj!AO442))</f>
        <v>50.728834141652712</v>
      </c>
      <c r="AP2062" s="119">
        <f>IF(tech_base!$T38&gt;AP$2025,"",fuel_costs!AH$9*0.086/tech_proj!AP162/(1-tech_proj!AP442))</f>
        <v>51.087203480486608</v>
      </c>
      <c r="AQ2062" s="119">
        <f>IF(tech_base!$T38&gt;AQ$2025,"",fuel_costs!AI$9*0.086/tech_proj!AQ162/(1-tech_proj!AQ442))</f>
        <v>51.444730548132405</v>
      </c>
      <c r="AR2062" s="119">
        <f>IF(tech_base!$T38&gt;AR$2025,"",fuel_costs!AJ$9*0.086/tech_proj!AR162/(1-tech_proj!AR442))</f>
        <v>51.839755471653909</v>
      </c>
      <c r="AS2062" s="119">
        <f>IF(tech_base!$T38&gt;AS$2025,"",fuel_costs!AK$9*0.086/tech_proj!AS162/(1-tech_proj!AS442))</f>
        <v>52.24442800523169</v>
      </c>
      <c r="AT2062" s="119">
        <f>IF(tech_base!$T38&gt;AT$2025,"",fuel_costs!AL$9*0.086/tech_proj!AT162/(1-tech_proj!AT442))</f>
        <v>52.503547361988488</v>
      </c>
      <c r="AU2062" s="119">
        <f>IF(tech_base!$T38&gt;AU$2025,"",fuel_costs!AM$9*0.086/tech_proj!AU162/(1-tech_proj!AU442))</f>
        <v>52.885556823493474</v>
      </c>
      <c r="AV2062" s="119">
        <f>IF(tech_base!$T38&gt;AV$2025,"",fuel_costs!AN$9*0.086/tech_proj!AV162/(1-tech_proj!AV442))</f>
        <v>53.200049308653981</v>
      </c>
      <c r="AW2062" s="119">
        <f>IF(tech_base!$T38&gt;AW$2025,"",fuel_costs!AO$9*0.086/tech_proj!AW162/(1-tech_proj!AW442))</f>
        <v>53.478761550869002</v>
      </c>
      <c r="AX2062" s="120">
        <f>IF(tech_base!$T38&gt;AX$2025,"",fuel_costs!AP$9*0.086/tech_proj!AX162/(1-tech_proj!AX442))</f>
        <v>53.848970818794236</v>
      </c>
    </row>
    <row r="2063" spans="1:50" x14ac:dyDescent="0.25">
      <c r="A2063" s="356"/>
      <c r="B2063" s="376"/>
      <c r="C2063" s="361" t="s">
        <v>14</v>
      </c>
      <c r="D2063" s="58" t="s">
        <v>7</v>
      </c>
      <c r="E2063" s="78" t="str">
        <f>A2033&amp;"/"&amp;B2059&amp;"/"&amp;C2063&amp;"/"&amp;D2063</f>
        <v>Coal fired power plants/Steam turbine/CHP/L</v>
      </c>
      <c r="F2063" s="78" t="str">
        <f>A2033</f>
        <v>Coal fired power plants</v>
      </c>
      <c r="G2063" s="78" t="str">
        <f>B2059</f>
        <v>Steam turbine</v>
      </c>
      <c r="H2063" s="78" t="str">
        <f>C2063</f>
        <v>CHP</v>
      </c>
      <c r="I2063" s="78" t="str">
        <f t="shared" si="387"/>
        <v>L</v>
      </c>
      <c r="J2063" s="123">
        <f>IF(tech_base!$T39&gt;J$2025,"",fuel_costs!B$9*0.086/tech_proj!J163/(1-tech_proj!J443))</f>
        <v>30.470197757765039</v>
      </c>
      <c r="K2063" s="123">
        <f>IF(tech_base!$T39&gt;K$2025,"",fuel_costs!C$9*0.086/tech_proj!K163/(1-tech_proj!K443))</f>
        <v>38.039913894559611</v>
      </c>
      <c r="L2063" s="123">
        <f>IF(tech_base!$T39&gt;L$2025,"",fuel_costs!D$9*0.086/tech_proj!L163/(1-tech_proj!L443))</f>
        <v>32.35422292044121</v>
      </c>
      <c r="M2063" s="123">
        <f>IF(tech_base!$T39&gt;M$2025,"",fuel_costs!E$9*0.086/tech_proj!M163/(1-tech_proj!M443))</f>
        <v>29.197008157112521</v>
      </c>
      <c r="N2063" s="123">
        <f>IF(tech_base!$T39&gt;N$2025,"",fuel_costs!F$9*0.086/tech_proj!N163/(1-tech_proj!N443))</f>
        <v>28.023247939941847</v>
      </c>
      <c r="O2063" s="123">
        <f>IF(tech_base!$T39&gt;O$2025,"",fuel_costs!G$9*0.086/tech_proj!O163/(1-tech_proj!O443))</f>
        <v>26.328188672913452</v>
      </c>
      <c r="P2063" s="123">
        <f>IF(tech_base!$T39&gt;P$2025,"",fuel_costs!H$9*0.086/tech_proj!P163/(1-tech_proj!P443))</f>
        <v>27.811038550766494</v>
      </c>
      <c r="Q2063" s="123">
        <f>IF(tech_base!$T39&gt;Q$2025,"",fuel_costs!I$9*0.086/tech_proj!Q163/(1-tech_proj!Q443))</f>
        <v>35.35839010704796</v>
      </c>
      <c r="R2063" s="123">
        <f>IF(tech_base!$T39&gt;R$2025,"",fuel_costs!J$9*0.086/tech_proj!R163/(1-tech_proj!R443))</f>
        <v>35.553868166295743</v>
      </c>
      <c r="S2063" s="123">
        <f>IF(tech_base!$T39&gt;S$2025,"",fuel_costs!K$9*0.086/tech_proj!S163/(1-tech_proj!S443))</f>
        <v>35.747344804971426</v>
      </c>
      <c r="T2063" s="123">
        <f>IF(tech_base!$T39&gt;T$2025,"",fuel_costs!L$9*0.086/tech_proj!T163/(1-tech_proj!T443))</f>
        <v>35.938868663407092</v>
      </c>
      <c r="U2063" s="123">
        <f>IF(tech_base!$T39&gt;U$2025,"",fuel_costs!M$9*0.086/tech_proj!U163/(1-tech_proj!U443))</f>
        <v>36.747378686693921</v>
      </c>
      <c r="V2063" s="123">
        <f>IF(tech_base!$T39&gt;V$2025,"",fuel_costs!N$9*0.086/tech_proj!V163/(1-tech_proj!V443))</f>
        <v>36.767323279374352</v>
      </c>
      <c r="W2063" s="123">
        <f>IF(tech_base!$T39&gt;W$2025,"",fuel_costs!O$9*0.086/tech_proj!W163/(1-tech_proj!W443))</f>
        <v>36.737466971111417</v>
      </c>
      <c r="X2063" s="123">
        <f>IF(tech_base!$T39&gt;X$2025,"",fuel_costs!P$9*0.086/tech_proj!X163/(1-tech_proj!X443))</f>
        <v>36.946372459048845</v>
      </c>
      <c r="Y2063" s="123">
        <f>IF(tech_base!$T39&gt;Y$2025,"",fuel_costs!Q$9*0.086/tech_proj!Y163/(1-tech_proj!Y443))</f>
        <v>37.193146073840907</v>
      </c>
      <c r="Z2063" s="123">
        <f>IF(tech_base!$T39&gt;Z$2025,"",fuel_costs!R$9*0.086/tech_proj!Z163/(1-tech_proj!Z443))</f>
        <v>38.366087753297627</v>
      </c>
      <c r="AA2063" s="123">
        <f>IF(tech_base!$T39&gt;AA$2025,"",fuel_costs!S$9*0.086/tech_proj!AA163/(1-tech_proj!AA443))</f>
        <v>39.536958575936993</v>
      </c>
      <c r="AB2063" s="123">
        <f>IF(tech_base!$T39&gt;AB$2025,"",fuel_costs!T$9*0.086/tech_proj!AB163/(1-tech_proj!AB443))</f>
        <v>40.748234112965129</v>
      </c>
      <c r="AC2063" s="123">
        <f>IF(tech_base!$T39&gt;AC$2025,"",fuel_costs!U$9*0.086/tech_proj!AC163/(1-tech_proj!AC443))</f>
        <v>41.970455472709311</v>
      </c>
      <c r="AD2063" s="123">
        <f>IF(tech_base!$T39&gt;AD$2025,"",fuel_costs!V$9*0.086/tech_proj!AD163/(1-tech_proj!AD443))</f>
        <v>43.310031964506187</v>
      </c>
      <c r="AE2063" s="123">
        <f>IF(tech_base!$T39&gt;AE$2025,"",fuel_costs!W$9*0.086/tech_proj!AE163/(1-tech_proj!AE443))</f>
        <v>43.688801632059295</v>
      </c>
      <c r="AF2063" s="123">
        <f>IF(tech_base!$T39&gt;AF$2025,"",fuel_costs!X$9*0.086/tech_proj!AF163/(1-tech_proj!AF443))</f>
        <v>44.205379121769695</v>
      </c>
      <c r="AG2063" s="123">
        <f>IF(tech_base!$T39&gt;AG$2025,"",fuel_costs!Y$9*0.086/tech_proj!AG163/(1-tech_proj!AG443))</f>
        <v>44.744951620496558</v>
      </c>
      <c r="AH2063" s="123">
        <f>IF(tech_base!$T39&gt;AH$2025,"",fuel_costs!Z$9*0.086/tech_proj!AH163/(1-tech_proj!AH443))</f>
        <v>45.245773760277423</v>
      </c>
      <c r="AI2063" s="123">
        <f>IF(tech_base!$T39&gt;AI$2025,"",fuel_costs!AA$9*0.086/tech_proj!AI163/(1-tech_proj!AI443))</f>
        <v>45.697824398190122</v>
      </c>
      <c r="AJ2063" s="123">
        <f>IF(tech_base!$T39&gt;AJ$2025,"",fuel_costs!AB$9*0.086/tech_proj!AJ163/(1-tech_proj!AJ443))</f>
        <v>46.014417761487323</v>
      </c>
      <c r="AK2063" s="123">
        <f>IF(tech_base!$T39&gt;AK$2025,"",fuel_costs!AC$9*0.086/tech_proj!AK163/(1-tech_proj!AK443))</f>
        <v>46.390494582720763</v>
      </c>
      <c r="AL2063" s="123">
        <f>IF(tech_base!$T39&gt;AL$2025,"",fuel_costs!AD$9*0.086/tech_proj!AL163/(1-tech_proj!AL443))</f>
        <v>46.809862313327635</v>
      </c>
      <c r="AM2063" s="123">
        <f>IF(tech_base!$T39&gt;AM$2025,"",fuel_costs!AE$9*0.086/tech_proj!AM163/(1-tech_proj!AM443))</f>
        <v>47.265188173479039</v>
      </c>
      <c r="AN2063" s="123">
        <f>IF(tech_base!$T39&gt;AN$2025,"",fuel_costs!AF$9*0.086/tech_proj!AN163/(1-tech_proj!AN443))</f>
        <v>47.613293301444607</v>
      </c>
      <c r="AO2063" s="123">
        <f>IF(tech_base!$T39&gt;AO$2025,"",fuel_costs!AG$9*0.086/tech_proj!AO163/(1-tech_proj!AO443))</f>
        <v>47.955139964142539</v>
      </c>
      <c r="AP2063" s="123">
        <f>IF(tech_base!$T39&gt;AP$2025,"",fuel_costs!AH$9*0.086/tech_proj!AP163/(1-tech_proj!AP443))</f>
        <v>48.291002985959658</v>
      </c>
      <c r="AQ2063" s="123">
        <f>IF(tech_base!$T39&gt;AQ$2025,"",fuel_costs!AI$9*0.086/tech_proj!AQ163/(1-tech_proj!AQ443))</f>
        <v>48.626004616141017</v>
      </c>
      <c r="AR2063" s="123">
        <f>IF(tech_base!$T39&gt;AR$2025,"",fuel_costs!AJ$9*0.086/tech_proj!AR163/(1-tech_proj!AR443))</f>
        <v>48.996382487706029</v>
      </c>
      <c r="AS2063" s="123">
        <f>IF(tech_base!$T39&gt;AS$2025,"",fuel_costs!AK$9*0.086/tech_proj!AS163/(1-tech_proj!AS443))</f>
        <v>49.375809337192194</v>
      </c>
      <c r="AT2063" s="123">
        <f>IF(tech_base!$T39&gt;AT$2025,"",fuel_costs!AL$9*0.086/tech_proj!AT163/(1-tech_proj!AT443))</f>
        <v>49.617613888291082</v>
      </c>
      <c r="AU2063" s="123">
        <f>IF(tech_base!$T39&gt;AU$2025,"",fuel_costs!AM$9*0.086/tech_proj!AU163/(1-tech_proj!AU443))</f>
        <v>49.975494441115828</v>
      </c>
      <c r="AV2063" s="123">
        <f>IF(tech_base!$T39&gt;AV$2025,"",fuel_costs!AN$9*0.086/tech_proj!AV163/(1-tech_proj!AV443))</f>
        <v>50.269511234059273</v>
      </c>
      <c r="AW2063" s="123">
        <f>IF(tech_base!$T39&gt;AW$2025,"",fuel_costs!AO$9*0.086/tech_proj!AW163/(1-tech_proj!AW443))</f>
        <v>50.529663603884877</v>
      </c>
      <c r="AX2063" s="124">
        <f>IF(tech_base!$T39&gt;AX$2025,"",fuel_costs!AP$9*0.086/tech_proj!AX163/(1-tech_proj!AX443))</f>
        <v>50.876209601924756</v>
      </c>
    </row>
    <row r="2064" spans="1:50" x14ac:dyDescent="0.25">
      <c r="A2064" s="356"/>
      <c r="B2064" s="376"/>
      <c r="C2064" s="378"/>
      <c r="D2064" s="2" t="s">
        <v>8</v>
      </c>
      <c r="E2064" s="76" t="str">
        <f>A2033&amp;"/"&amp;B2059&amp;"/"&amp;C2063&amp;"/"&amp;D2064</f>
        <v>Coal fired power plants/Steam turbine/CHP/M</v>
      </c>
      <c r="F2064" s="76" t="str">
        <f>A2033</f>
        <v>Coal fired power plants</v>
      </c>
      <c r="G2064" s="76" t="str">
        <f>B2059</f>
        <v>Steam turbine</v>
      </c>
      <c r="H2064" s="76" t="str">
        <f>C2063</f>
        <v>CHP</v>
      </c>
      <c r="I2064" s="76" t="str">
        <f t="shared" si="387"/>
        <v>M</v>
      </c>
      <c r="J2064" s="119">
        <f>IF(tech_base!$T40&gt;J$2025,"",fuel_costs!B$9*0.086/tech_proj!J164/(1-tech_proj!J444))</f>
        <v>32.103095462921743</v>
      </c>
      <c r="K2064" s="119">
        <f>IF(tech_base!$T40&gt;K$2025,"",fuel_costs!C$9*0.086/tech_proj!K164/(1-tech_proj!K444))</f>
        <v>40.081370781725944</v>
      </c>
      <c r="L2064" s="119">
        <f>IF(tech_base!$T40&gt;L$2025,"",fuel_costs!D$9*0.086/tech_proj!L164/(1-tech_proj!L444))</f>
        <v>34.09302013695536</v>
      </c>
      <c r="M2064" s="119">
        <f>IF(tech_base!$T40&gt;M$2025,"",fuel_costs!E$9*0.086/tech_proj!M164/(1-tech_proj!M444))</f>
        <v>30.768360950926432</v>
      </c>
      <c r="N2064" s="119">
        <f>IF(tech_base!$T40&gt;N$2025,"",fuel_costs!F$9*0.086/tech_proj!N164/(1-tech_proj!N444))</f>
        <v>29.533575477918866</v>
      </c>
      <c r="O2064" s="119">
        <f>IF(tech_base!$T40&gt;O$2025,"",fuel_costs!G$9*0.086/tech_proj!O164/(1-tech_proj!O444))</f>
        <v>27.74917771500365</v>
      </c>
      <c r="P2064" s="119">
        <f>IF(tech_base!$T40&gt;P$2025,"",fuel_costs!H$9*0.086/tech_proj!P164/(1-tech_proj!P444))</f>
        <v>29.314193006778765</v>
      </c>
      <c r="Q2064" s="119">
        <f>IF(tech_base!$T40&gt;Q$2025,"",fuel_costs!I$9*0.086/tech_proj!Q164/(1-tech_proj!Q444))</f>
        <v>37.272183024832486</v>
      </c>
      <c r="R2064" s="119">
        <f>IF(tech_base!$T40&gt;R$2025,"",fuel_costs!J$9*0.086/tech_proj!R164/(1-tech_proj!R444))</f>
        <v>37.480969750476277</v>
      </c>
      <c r="S2064" s="119">
        <f>IF(tech_base!$T40&gt;S$2025,"",fuel_costs!K$9*0.086/tech_proj!S164/(1-tech_proj!S444))</f>
        <v>37.687676121159107</v>
      </c>
      <c r="T2064" s="119">
        <f>IF(tech_base!$T40&gt;T$2025,"",fuel_costs!L$9*0.086/tech_proj!T164/(1-tech_proj!T444))</f>
        <v>37.892352190230241</v>
      </c>
      <c r="U2064" s="119">
        <f>IF(tech_base!$T40&gt;U$2025,"",fuel_costs!M$9*0.086/tech_proj!U164/(1-tech_proj!U444))</f>
        <v>38.747625994722704</v>
      </c>
      <c r="V2064" s="119">
        <f>IF(tech_base!$T40&gt;V$2025,"",fuel_costs!N$9*0.086/tech_proj!V164/(1-tech_proj!V444))</f>
        <v>38.77147174019499</v>
      </c>
      <c r="W2064" s="119">
        <f>IF(tech_base!$T40&gt;W$2025,"",fuel_costs!O$9*0.086/tech_proj!W164/(1-tech_proj!W444))</f>
        <v>38.742797840446585</v>
      </c>
      <c r="X2064" s="119">
        <f>IF(tech_base!$T40&gt;X$2025,"",fuel_costs!P$9*0.086/tech_proj!X164/(1-tech_proj!X444))</f>
        <v>38.96592818750316</v>
      </c>
      <c r="Y2064" s="119">
        <f>IF(tech_base!$T40&gt;Y$2025,"",fuel_costs!Q$9*0.086/tech_proj!Y164/(1-tech_proj!Y444))</f>
        <v>39.229026465599354</v>
      </c>
      <c r="Z2064" s="119">
        <f>IF(tech_base!$T40&gt;Z$2025,"",fuel_costs!R$9*0.086/tech_proj!Z164/(1-tech_proj!Z444))</f>
        <v>40.469091829466741</v>
      </c>
      <c r="AA2064" s="119">
        <f>IF(tech_base!$T40&gt;AA$2025,"",fuel_costs!S$9*0.086/tech_proj!AA164/(1-tech_proj!AA444))</f>
        <v>41.707144354017061</v>
      </c>
      <c r="AB2064" s="119">
        <f>IF(tech_base!$T40&gt;AB$2025,"",fuel_costs!T$9*0.086/tech_proj!AB164/(1-tech_proj!AB444))</f>
        <v>42.987992456346944</v>
      </c>
      <c r="AC2064" s="119">
        <f>IF(tech_base!$T40&gt;AC$2025,"",fuel_costs!U$9*0.086/tech_proj!AC164/(1-tech_proj!AC444))</f>
        <v>44.280563481466778</v>
      </c>
      <c r="AD2064" s="119">
        <f>IF(tech_base!$T40&gt;AD$2025,"",fuel_costs!V$9*0.086/tech_proj!AD164/(1-tech_proj!AD444))</f>
        <v>45.697132565236025</v>
      </c>
      <c r="AE2064" s="119">
        <f>IF(tech_base!$T40&gt;AE$2025,"",fuel_costs!W$9*0.086/tech_proj!AE164/(1-tech_proj!AE444))</f>
        <v>46.100057028904637</v>
      </c>
      <c r="AF2064" s="119">
        <f>IF(tech_base!$T40&gt;AF$2025,"",fuel_costs!X$9*0.086/tech_proj!AF164/(1-tech_proj!AF444))</f>
        <v>46.648450642439151</v>
      </c>
      <c r="AG2064" s="119">
        <f>IF(tech_base!$T40&gt;AG$2025,"",fuel_costs!Y$9*0.086/tech_proj!AG164/(1-tech_proj!AG444))</f>
        <v>47.221176473785576</v>
      </c>
      <c r="AH2064" s="119">
        <f>IF(tech_base!$T40&gt;AH$2025,"",fuel_costs!Z$9*0.086/tech_proj!AH164/(1-tech_proj!AH444))</f>
        <v>47.7530714432773</v>
      </c>
      <c r="AI2064" s="119">
        <f>IF(tech_base!$T40&gt;AI$2025,"",fuel_costs!AA$9*0.086/tech_proj!AI164/(1-tech_proj!AI444))</f>
        <v>48.2335485124485</v>
      </c>
      <c r="AJ2064" s="119">
        <f>IF(tech_base!$T40&gt;AJ$2025,"",fuel_costs!AB$9*0.086/tech_proj!AJ164/(1-tech_proj!AJ444))</f>
        <v>48.571093447396336</v>
      </c>
      <c r="AK2064" s="119">
        <f>IF(tech_base!$T40&gt;AK$2025,"",fuel_costs!AC$9*0.086/tech_proj!AK164/(1-tech_proj!AK444))</f>
        <v>48.971461712091234</v>
      </c>
      <c r="AL2064" s="119">
        <f>IF(tech_base!$T40&gt;AL$2025,"",fuel_costs!AD$9*0.086/tech_proj!AL164/(1-tech_proj!AL444))</f>
        <v>49.417570646185055</v>
      </c>
      <c r="AM2064" s="119">
        <f>IF(tech_base!$T40&gt;AM$2025,"",fuel_costs!AE$9*0.086/tech_proj!AM164/(1-tech_proj!AM444))</f>
        <v>49.901686737504853</v>
      </c>
      <c r="AN2064" s="119">
        <f>IF(tech_base!$T40&gt;AN$2025,"",fuel_costs!AF$9*0.086/tech_proj!AN164/(1-tech_proj!AN444))</f>
        <v>50.27264075712786</v>
      </c>
      <c r="AO2064" s="119">
        <f>IF(tech_base!$T40&gt;AO$2025,"",fuel_costs!AG$9*0.086/tech_proj!AO164/(1-tech_proj!AO444))</f>
        <v>50.637016994453234</v>
      </c>
      <c r="AP2064" s="119">
        <f>IF(tech_base!$T40&gt;AP$2025,"",fuel_costs!AH$9*0.086/tech_proj!AP164/(1-tech_proj!AP444))</f>
        <v>50.995103243847616</v>
      </c>
      <c r="AQ2064" s="119">
        <f>IF(tech_base!$T40&gt;AQ$2025,"",fuel_costs!AI$9*0.086/tech_proj!AQ164/(1-tech_proj!AQ444))</f>
        <v>51.352306600803345</v>
      </c>
      <c r="AR2064" s="119">
        <f>IF(tech_base!$T40&gt;AR$2025,"",fuel_costs!AJ$9*0.086/tech_proj!AR164/(1-tech_proj!AR444))</f>
        <v>51.746897733917066</v>
      </c>
      <c r="AS2064" s="119">
        <f>IF(tech_base!$T40&gt;AS$2025,"",fuel_costs!AK$9*0.086/tech_proj!AS164/(1-tech_proj!AS444))</f>
        <v>52.151075969392203</v>
      </c>
      <c r="AT2064" s="119">
        <f>IF(tech_base!$T40&gt;AT$2025,"",fuel_costs!AL$9*0.086/tech_proj!AT164/(1-tech_proj!AT444))</f>
        <v>52.409916682197263</v>
      </c>
      <c r="AU2064" s="119">
        <f>IF(tech_base!$T40&gt;AU$2025,"",fuel_costs!AM$9*0.086/tech_proj!AU164/(1-tech_proj!AU444))</f>
        <v>52.791383331682162</v>
      </c>
      <c r="AV2064" s="119">
        <f>IF(tech_base!$T40&gt;AV$2025,"",fuel_costs!AN$9*0.086/tech_proj!AV164/(1-tech_proj!AV444))</f>
        <v>53.105408005525227</v>
      </c>
      <c r="AW2064" s="119">
        <f>IF(tech_base!$T40&gt;AW$2025,"",fuel_costs!AO$9*0.086/tech_proj!AW164/(1-tech_proj!AW444))</f>
        <v>53.383670379878424</v>
      </c>
      <c r="AX2064" s="120">
        <f>IF(tech_base!$T40&gt;AX$2025,"",fuel_costs!AP$9*0.086/tech_proj!AX164/(1-tech_proj!AX444))</f>
        <v>53.753221205871881</v>
      </c>
    </row>
    <row r="2065" spans="1:50" x14ac:dyDescent="0.25">
      <c r="A2065" s="356"/>
      <c r="B2065" s="376"/>
      <c r="C2065" s="378"/>
      <c r="D2065" s="2" t="s">
        <v>10</v>
      </c>
      <c r="E2065" s="76" t="str">
        <f>A2033&amp;"/"&amp;B2059&amp;"/"&amp;C2063&amp;"/"&amp;D2065</f>
        <v>Coal fired power plants/Steam turbine/CHP/S</v>
      </c>
      <c r="F2065" s="76" t="str">
        <f>A2033</f>
        <v>Coal fired power plants</v>
      </c>
      <c r="G2065" s="76" t="str">
        <f>B2059</f>
        <v>Steam turbine</v>
      </c>
      <c r="H2065" s="76" t="str">
        <f>C2063</f>
        <v>CHP</v>
      </c>
      <c r="I2065" s="76" t="str">
        <f t="shared" si="387"/>
        <v>S</v>
      </c>
      <c r="J2065" s="119">
        <f>IF(tech_base!$T41&gt;J$2025,"",fuel_costs!B$9*0.086/tech_proj!J165/(1-tech_proj!J445))</f>
        <v>33.829698640260233</v>
      </c>
      <c r="K2065" s="119">
        <f>IF(tech_base!$T41&gt;K$2025,"",fuel_costs!C$9*0.086/tech_proj!K165/(1-tech_proj!K445))</f>
        <v>42.239516382108143</v>
      </c>
      <c r="L2065" s="119">
        <f>IF(tech_base!$T41&gt;L$2025,"",fuel_costs!D$9*0.086/tech_proj!L165/(1-tech_proj!L445))</f>
        <v>35.930807087301027</v>
      </c>
      <c r="M2065" s="119">
        <f>IF(tech_base!$T41&gt;M$2025,"",fuel_costs!E$9*0.086/tech_proj!M165/(1-tech_proj!M445))</f>
        <v>32.428805594749257</v>
      </c>
      <c r="N2065" s="119">
        <f>IF(tech_base!$T41&gt;N$2025,"",fuel_costs!F$9*0.086/tech_proj!N165/(1-tech_proj!N445))</f>
        <v>31.129179544769709</v>
      </c>
      <c r="O2065" s="119">
        <f>IF(tech_base!$T41&gt;O$2025,"",fuel_costs!G$9*0.086/tech_proj!O165/(1-tech_proj!O445))</f>
        <v>29.25006087930845</v>
      </c>
      <c r="P2065" s="119">
        <f>IF(tech_base!$T41&gt;P$2025,"",fuel_costs!H$9*0.086/tech_proj!P165/(1-tech_proj!P445))</f>
        <v>30.901499700100153</v>
      </c>
      <c r="Q2065" s="119">
        <f>IF(tech_base!$T41&gt;Q$2025,"",fuel_costs!I$9*0.086/tech_proj!Q165/(1-tech_proj!Q445))</f>
        <v>39.292652208274141</v>
      </c>
      <c r="R2065" s="119">
        <f>IF(tech_base!$T41&gt;R$2025,"",fuel_costs!J$9*0.086/tech_proj!R165/(1-tech_proj!R445))</f>
        <v>39.515016645447275</v>
      </c>
      <c r="S2065" s="119">
        <f>IF(tech_base!$T41&gt;S$2025,"",fuel_costs!K$9*0.086/tech_proj!S165/(1-tech_proj!S445))</f>
        <v>39.735206607915757</v>
      </c>
      <c r="T2065" s="119">
        <f>IF(tech_base!$T41&gt;T$2025,"",fuel_costs!L$9*0.086/tech_proj!T165/(1-tech_proj!T445))</f>
        <v>39.953273849145674</v>
      </c>
      <c r="U2065" s="119">
        <f>IF(tech_base!$T41&gt;U$2025,"",fuel_costs!M$9*0.086/tech_proj!U165/(1-tech_proj!U445))</f>
        <v>40.857380077999323</v>
      </c>
      <c r="V2065" s="119">
        <f>IF(tech_base!$T41&gt;V$2025,"",fuel_costs!N$9*0.086/tech_proj!V165/(1-tech_proj!V445))</f>
        <v>40.884832587363412</v>
      </c>
      <c r="W2065" s="119">
        <f>IF(tech_base!$T41&gt;W$2025,"",fuel_costs!O$9*0.086/tech_proj!W165/(1-tech_proj!W445))</f>
        <v>40.856893808137151</v>
      </c>
      <c r="X2065" s="119">
        <f>IF(tech_base!$T41&gt;X$2025,"",fuel_costs!P$9*0.086/tech_proj!X165/(1-tech_proj!X445))</f>
        <v>41.094501954601711</v>
      </c>
      <c r="Y2065" s="119">
        <f>IF(tech_base!$T41&gt;Y$2025,"",fuel_costs!Q$9*0.086/tech_proj!Y165/(1-tech_proj!Y445))</f>
        <v>41.374280326124108</v>
      </c>
      <c r="Z2065" s="119">
        <f>IF(tech_base!$T41&gt;Z$2025,"",fuel_costs!R$9*0.086/tech_proj!Z165/(1-tech_proj!Z445))</f>
        <v>42.684529464099583</v>
      </c>
      <c r="AA2065" s="119">
        <f>IF(tech_base!$T41&gt;AA$2025,"",fuel_costs!S$9*0.086/tech_proj!AA165/(1-tech_proj!AA445))</f>
        <v>43.992789320681617</v>
      </c>
      <c r="AB2065" s="119">
        <f>IF(tech_base!$T41&gt;AB$2025,"",fuel_costs!T$9*0.086/tech_proj!AB165/(1-tech_proj!AB445))</f>
        <v>45.34632463158227</v>
      </c>
      <c r="AC2065" s="119">
        <f>IF(tech_base!$T41&gt;AC$2025,"",fuel_costs!U$9*0.086/tech_proj!AC165/(1-tech_proj!AC445))</f>
        <v>46.712362129006067</v>
      </c>
      <c r="AD2065" s="119">
        <f>IF(tech_base!$T41&gt;AD$2025,"",fuel_costs!V$9*0.086/tech_proj!AD165/(1-tech_proj!AD445))</f>
        <v>48.209349677585209</v>
      </c>
      <c r="AE2065" s="119">
        <f>IF(tech_base!$T41&gt;AE$2025,"",fuel_costs!W$9*0.086/tech_proj!AE165/(1-tech_proj!AE445))</f>
        <v>48.637056841298289</v>
      </c>
      <c r="AF2065" s="119">
        <f>IF(tech_base!$T41&gt;AF$2025,"",fuel_costs!X$9*0.086/tech_proj!AF165/(1-tech_proj!AF445))</f>
        <v>49.218277594587455</v>
      </c>
      <c r="AG2065" s="119">
        <f>IF(tech_base!$T41&gt;AG$2025,"",fuel_costs!Y$9*0.086/tech_proj!AG165/(1-tech_proj!AG445))</f>
        <v>49.825218568656375</v>
      </c>
      <c r="AH2065" s="119">
        <f>IF(tech_base!$T41&gt;AH$2025,"",fuel_costs!Z$9*0.086/tech_proj!AH165/(1-tech_proj!AH445))</f>
        <v>50.389122625721676</v>
      </c>
      <c r="AI2065" s="119">
        <f>IF(tech_base!$T41&gt;AI$2025,"",fuel_costs!AA$9*0.086/tech_proj!AI165/(1-tech_proj!AI445))</f>
        <v>50.89880982208534</v>
      </c>
      <c r="AJ2065" s="119">
        <f>IF(tech_base!$T41&gt;AJ$2025,"",fuel_costs!AB$9*0.086/tech_proj!AJ165/(1-tech_proj!AJ445))</f>
        <v>51.257694454249055</v>
      </c>
      <c r="AK2065" s="119">
        <f>IF(tech_base!$T41&gt;AK$2025,"",fuel_costs!AC$9*0.086/tech_proj!AK165/(1-tech_proj!AK445))</f>
        <v>51.682899656108226</v>
      </c>
      <c r="AL2065" s="119">
        <f>IF(tech_base!$T41&gt;AL$2025,"",fuel_costs!AD$9*0.086/tech_proj!AL165/(1-tech_proj!AL445))</f>
        <v>52.156405485074032</v>
      </c>
      <c r="AM2065" s="119">
        <f>IF(tech_base!$T41&gt;AM$2025,"",fuel_costs!AE$9*0.086/tech_proj!AM165/(1-tech_proj!AM445))</f>
        <v>52.67005595904952</v>
      </c>
      <c r="AN2065" s="119">
        <f>IF(tech_base!$T41&gt;AN$2025,"",fuel_costs!AF$9*0.086/tech_proj!AN165/(1-tech_proj!AN445))</f>
        <v>53.064292589400637</v>
      </c>
      <c r="AO2065" s="119">
        <f>IF(tech_base!$T41&gt;AO$2025,"",fuel_costs!AG$9*0.086/tech_proj!AO165/(1-tech_proj!AO445))</f>
        <v>53.451604917258784</v>
      </c>
      <c r="AP2065" s="119">
        <f>IF(tech_base!$T41&gt;AP$2025,"",fuel_costs!AH$9*0.086/tech_proj!AP165/(1-tech_proj!AP445))</f>
        <v>53.832294878072361</v>
      </c>
      <c r="AQ2065" s="119">
        <f>IF(tech_base!$T41&gt;AQ$2025,"",fuel_costs!AI$9*0.086/tech_proj!AQ165/(1-tech_proj!AQ445))</f>
        <v>54.212068881688353</v>
      </c>
      <c r="AR2065" s="119">
        <f>IF(tech_base!$T41&gt;AR$2025,"",fuel_costs!AJ$9*0.086/tech_proj!AR165/(1-tech_proj!AR445))</f>
        <v>54.631329915317053</v>
      </c>
      <c r="AS2065" s="119">
        <f>IF(tech_base!$T41&gt;AS$2025,"",fuel_costs!AK$9*0.086/tech_proj!AS165/(1-tech_proj!AS445))</f>
        <v>55.060731235344058</v>
      </c>
      <c r="AT2065" s="119">
        <f>IF(tech_base!$T41&gt;AT$2025,"",fuel_costs!AL$9*0.086/tech_proj!AT165/(1-tech_proj!AT445))</f>
        <v>55.336697248863736</v>
      </c>
      <c r="AU2065" s="119">
        <f>IF(tech_base!$T41&gt;AU$2025,"",fuel_costs!AM$9*0.086/tech_proj!AU165/(1-tech_proj!AU445))</f>
        <v>55.742146211549134</v>
      </c>
      <c r="AV2065" s="119">
        <f>IF(tech_base!$T41&gt;AV$2025,"",fuel_costs!AN$9*0.086/tech_proj!AV165/(1-tech_proj!AV445))</f>
        <v>56.07639472703891</v>
      </c>
      <c r="AW2065" s="119">
        <f>IF(tech_base!$T41&gt;AW$2025,"",fuel_costs!AO$9*0.086/tech_proj!AW165/(1-tech_proj!AW445))</f>
        <v>56.37288550642289</v>
      </c>
      <c r="AX2065" s="120">
        <f>IF(tech_base!$T41&gt;AX$2025,"",fuel_costs!AP$9*0.086/tech_proj!AX165/(1-tech_proj!AX445))</f>
        <v>56.765783797865438</v>
      </c>
    </row>
    <row r="2066" spans="1:50" x14ac:dyDescent="0.25">
      <c r="A2066" s="356"/>
      <c r="B2066" s="376"/>
      <c r="C2066" s="379"/>
      <c r="D2066" s="59" t="s">
        <v>20</v>
      </c>
      <c r="E2066" s="79" t="str">
        <f>A2033&amp;"/"&amp;B2059&amp;"/"&amp;C2063&amp;"/"&amp;D2066</f>
        <v>Coal fired power plants/Steam turbine/CHP/XS</v>
      </c>
      <c r="F2066" s="79" t="str">
        <f>A2033</f>
        <v>Coal fired power plants</v>
      </c>
      <c r="G2066" s="79" t="str">
        <f>B2059</f>
        <v>Steam turbine</v>
      </c>
      <c r="H2066" s="79" t="str">
        <f>C2063</f>
        <v>CHP</v>
      </c>
      <c r="I2066" s="79" t="str">
        <f t="shared" si="387"/>
        <v>XS</v>
      </c>
      <c r="J2066" s="125">
        <f>IF(tech_base!$T42&gt;J$2025,"",fuel_costs!B$9*0.086/tech_proj!J166/(1-tech_proj!J446))</f>
        <v>35.65607315603846</v>
      </c>
      <c r="K2066" s="125">
        <f>IF(tech_base!$T42&gt;K$2025,"",fuel_costs!C$9*0.086/tech_proj!K166/(1-tech_proj!K446))</f>
        <v>44.520847107370315</v>
      </c>
      <c r="L2066" s="125">
        <f>IF(tech_base!$T42&gt;L$2025,"",fuel_costs!D$9*0.086/tech_proj!L166/(1-tech_proj!L446))</f>
        <v>37.872203263906961</v>
      </c>
      <c r="M2066" s="125">
        <f>IF(tech_base!$T42&gt;M$2025,"",fuel_costs!E$9*0.086/tech_proj!M166/(1-tech_proj!M446))</f>
        <v>34.181701999130482</v>
      </c>
      <c r="N2066" s="125">
        <f>IF(tech_base!$T42&gt;N$2025,"",fuel_costs!F$9*0.086/tech_proj!N166/(1-tech_proj!N446))</f>
        <v>32.81251712525971</v>
      </c>
      <c r="O2066" s="125">
        <f>IF(tech_base!$T42&gt;O$2025,"",fuel_costs!G$9*0.086/tech_proj!O166/(1-tech_proj!O446))</f>
        <v>30.832433098959221</v>
      </c>
      <c r="P2066" s="125">
        <f>IF(tech_base!$T42&gt;P$2025,"",fuel_costs!H$9*0.086/tech_proj!P166/(1-tech_proj!P446))</f>
        <v>32.573898247287161</v>
      </c>
      <c r="Q2066" s="125">
        <f>IF(tech_base!$T42&gt;Q$2025,"",fuel_costs!I$9*0.086/tech_proj!Q166/(1-tech_proj!Q446))</f>
        <v>41.42005572746401</v>
      </c>
      <c r="R2066" s="125">
        <f>IF(tech_base!$T42&gt;R$2025,"",fuel_costs!J$9*0.086/tech_proj!R166/(1-tech_proj!R446))</f>
        <v>41.655337563798021</v>
      </c>
      <c r="S2066" s="125">
        <f>IF(tech_base!$T42&gt;S$2025,"",fuel_costs!K$9*0.086/tech_proj!S166/(1-tech_proj!S446))</f>
        <v>41.888336509983212</v>
      </c>
      <c r="T2066" s="125">
        <f>IF(tech_base!$T42&gt;T$2025,"",fuel_costs!L$9*0.086/tech_proj!T166/(1-tech_proj!T446))</f>
        <v>42.119106673704685</v>
      </c>
      <c r="U2066" s="125">
        <f>IF(tech_base!$T42&gt;U$2025,"",fuel_costs!M$9*0.086/tech_proj!U166/(1-tech_proj!U446))</f>
        <v>43.0731292247672</v>
      </c>
      <c r="V2066" s="125">
        <f>IF(tech_base!$T42&gt;V$2025,"",fuel_costs!N$9*0.086/tech_proj!V166/(1-tech_proj!V446))</f>
        <v>43.102975242714201</v>
      </c>
      <c r="W2066" s="125">
        <f>IF(tech_base!$T42&gt;W$2025,"",fuel_costs!O$9*0.086/tech_proj!W166/(1-tech_proj!W446))</f>
        <v>43.074423125635874</v>
      </c>
      <c r="X2066" s="125">
        <f>IF(tech_base!$T42&gt;X$2025,"",fuel_costs!P$9*0.086/tech_proj!X166/(1-tech_proj!X446))</f>
        <v>43.325833303763297</v>
      </c>
      <c r="Y2066" s="125">
        <f>IF(tech_base!$T42&gt;Y$2025,"",fuel_costs!Q$9*0.086/tech_proj!Y166/(1-tech_proj!Y446))</f>
        <v>43.621712599355646</v>
      </c>
      <c r="Z2066" s="125">
        <f>IF(tech_base!$T42&gt;Z$2025,"",fuel_costs!R$9*0.086/tech_proj!Z166/(1-tech_proj!Z446))</f>
        <v>45.004069724776073</v>
      </c>
      <c r="AA2066" s="125">
        <f>IF(tech_base!$T42&gt;AA$2025,"",fuel_costs!S$9*0.086/tech_proj!AA166/(1-tech_proj!AA446))</f>
        <v>46.384383915133256</v>
      </c>
      <c r="AB2066" s="125">
        <f>IF(tech_base!$T42&gt;AB$2025,"",fuel_costs!T$9*0.086/tech_proj!AB166/(1-tech_proj!AB446))</f>
        <v>47.812489727617063</v>
      </c>
      <c r="AC2066" s="125">
        <f>IF(tech_base!$T42&gt;AC$2025,"",fuel_costs!U$9*0.086/tech_proj!AC166/(1-tech_proj!AC446))</f>
        <v>49.253833182282911</v>
      </c>
      <c r="AD2066" s="125">
        <f>IF(tech_base!$T42&gt;AD$2025,"",fuel_costs!V$9*0.086/tech_proj!AD166/(1-tech_proj!AD446))</f>
        <v>50.833309280888741</v>
      </c>
      <c r="AE2066" s="125">
        <f>IF(tech_base!$T42&gt;AE$2025,"",fuel_costs!W$9*0.086/tech_proj!AE166/(1-tech_proj!AE446))</f>
        <v>51.285342905941107</v>
      </c>
      <c r="AF2066" s="125">
        <f>IF(tech_base!$T42&gt;AF$2025,"",fuel_costs!X$9*0.086/tech_proj!AF166/(1-tech_proj!AF446))</f>
        <v>51.899265887614959</v>
      </c>
      <c r="AG2066" s="125">
        <f>IF(tech_base!$T42&gt;AG$2025,"",fuel_costs!Y$9*0.086/tech_proj!AG166/(1-tech_proj!AG446))</f>
        <v>52.54033048140132</v>
      </c>
      <c r="AH2066" s="125">
        <f>IF(tech_base!$T42&gt;AH$2025,"",fuel_costs!Z$9*0.086/tech_proj!AH166/(1-tech_proj!AH446))</f>
        <v>53.136032524711467</v>
      </c>
      <c r="AI2066" s="125">
        <f>IF(tech_base!$T42&gt;AI$2025,"",fuel_costs!AA$9*0.086/tech_proj!AI166/(1-tech_proj!AI446))</f>
        <v>53.674579198468571</v>
      </c>
      <c r="AJ2066" s="125">
        <f>IF(tech_base!$T42&gt;AJ$2025,"",fuel_costs!AB$9*0.086/tech_proj!AJ166/(1-tech_proj!AJ446))</f>
        <v>54.054111611603027</v>
      </c>
      <c r="AK2066" s="125">
        <f>IF(tech_base!$T42&gt;AK$2025,"",fuel_costs!AC$9*0.086/tech_proj!AK166/(1-tech_proj!AK446))</f>
        <v>54.503592946316246</v>
      </c>
      <c r="AL2066" s="125">
        <f>IF(tech_base!$T42&gt;AL$2025,"",fuel_costs!AD$9*0.086/tech_proj!AL166/(1-tech_proj!AL446))</f>
        <v>55.00402317622963</v>
      </c>
      <c r="AM2066" s="125">
        <f>IF(tech_base!$T42&gt;AM$2025,"",fuel_costs!AE$9*0.086/tech_proj!AM166/(1-tech_proj!AM446))</f>
        <v>55.5468034528811</v>
      </c>
      <c r="AN2066" s="125">
        <f>IF(tech_base!$T42&gt;AN$2025,"",fuel_costs!AF$9*0.086/tech_proj!AN166/(1-tech_proj!AN446))</f>
        <v>55.963659272113624</v>
      </c>
      <c r="AO2066" s="125">
        <f>IF(tech_base!$T42&gt;AO$2025,"",fuel_costs!AG$9*0.086/tech_proj!AO166/(1-tech_proj!AO446))</f>
        <v>56.373221044105136</v>
      </c>
      <c r="AP2066" s="125">
        <f>IF(tech_base!$T42&gt;AP$2025,"",fuel_costs!AH$9*0.086/tech_proj!AP166/(1-tech_proj!AP446))</f>
        <v>56.775806426049968</v>
      </c>
      <c r="AQ2066" s="125">
        <f>IF(tech_base!$T42&gt;AQ$2025,"",fuel_costs!AI$9*0.086/tech_proj!AQ166/(1-tech_proj!AQ446))</f>
        <v>57.177433204253575</v>
      </c>
      <c r="AR2066" s="125">
        <f>IF(tech_base!$T42&gt;AR$2025,"",fuel_costs!AJ$9*0.086/tech_proj!AR166/(1-tech_proj!AR446))</f>
        <v>57.620714776534598</v>
      </c>
      <c r="AS2066" s="125">
        <f>IF(tech_base!$T42&gt;AS$2025,"",fuel_costs!AK$9*0.086/tech_proj!AS166/(1-tech_proj!AS446))</f>
        <v>58.074699976511553</v>
      </c>
      <c r="AT2066" s="125">
        <f>IF(tech_base!$T42&gt;AT$2025,"",fuel_costs!AL$9*0.086/tech_proj!AT166/(1-tech_proj!AT446))</f>
        <v>58.366856274459508</v>
      </c>
      <c r="AU2066" s="125">
        <f>IF(tech_base!$T42&gt;AU$2025,"",fuel_costs!AM$9*0.086/tech_proj!AU166/(1-tech_proj!AU446))</f>
        <v>58.795590314611538</v>
      </c>
      <c r="AV2066" s="125">
        <f>IF(tech_base!$T42&gt;AV$2025,"",fuel_costs!AN$9*0.086/tech_proj!AV166/(1-tech_proj!AV446))</f>
        <v>59.14922899316678</v>
      </c>
      <c r="AW2066" s="125">
        <f>IF(tech_base!$T42&gt;AW$2025,"",fuel_costs!AO$9*0.086/tech_proj!AW166/(1-tech_proj!AW446))</f>
        <v>59.463043802647569</v>
      </c>
      <c r="AX2066" s="126">
        <f>IF(tech_base!$T42&gt;AX$2025,"",fuel_costs!AP$9*0.086/tech_proj!AX166/(1-tech_proj!AX446))</f>
        <v>59.878554536252963</v>
      </c>
    </row>
    <row r="2067" spans="1:50" x14ac:dyDescent="0.25">
      <c r="A2067" s="356"/>
      <c r="B2067" s="376"/>
      <c r="C2067" s="361" t="s">
        <v>15</v>
      </c>
      <c r="D2067" s="58" t="s">
        <v>7</v>
      </c>
      <c r="E2067" s="78" t="str">
        <f>A2033&amp;"/"&amp;B2059&amp;"/"&amp;C2067&amp;"/"&amp;D2067</f>
        <v>Coal fired power plants/Steam turbine/Electricity only with CCS/L</v>
      </c>
      <c r="F2067" s="78" t="str">
        <f>A2033</f>
        <v>Coal fired power plants</v>
      </c>
      <c r="G2067" s="78" t="str">
        <f>B2059</f>
        <v>Steam turbine</v>
      </c>
      <c r="H2067" s="78" t="str">
        <f>C2067</f>
        <v>Electricity only with CCS</v>
      </c>
      <c r="I2067" s="78" t="str">
        <f t="shared" si="387"/>
        <v>L</v>
      </c>
      <c r="J2067" s="123" t="str">
        <f>IF(tech_base!$T43&gt;J$2025,"",fuel_costs!B$9*0.086/tech_proj!J167/(1-tech_proj!J447))</f>
        <v/>
      </c>
      <c r="K2067" s="123" t="str">
        <f>IF(tech_base!$T43&gt;K$2025,"",fuel_costs!C$9*0.086/tech_proj!K167/(1-tech_proj!K447))</f>
        <v/>
      </c>
      <c r="L2067" s="123" t="str">
        <f>IF(tech_base!$T43&gt;L$2025,"",fuel_costs!D$9*0.086/tech_proj!L167/(1-tech_proj!L447))</f>
        <v/>
      </c>
      <c r="M2067" s="123" t="str">
        <f>IF(tech_base!$T43&gt;M$2025,"",fuel_costs!E$9*0.086/tech_proj!M167/(1-tech_proj!M447))</f>
        <v/>
      </c>
      <c r="N2067" s="123" t="str">
        <f>IF(tech_base!$T43&gt;N$2025,"",fuel_costs!F$9*0.086/tech_proj!N167/(1-tech_proj!N447))</f>
        <v/>
      </c>
      <c r="O2067" s="123" t="str">
        <f>IF(tech_base!$T43&gt;O$2025,"",fuel_costs!G$9*0.086/tech_proj!O167/(1-tech_proj!O447))</f>
        <v/>
      </c>
      <c r="P2067" s="123" t="str">
        <f>IF(tech_base!$T43&gt;P$2025,"",fuel_costs!H$9*0.086/tech_proj!P167/(1-tech_proj!P447))</f>
        <v/>
      </c>
      <c r="Q2067" s="123" t="str">
        <f>IF(tech_base!$T43&gt;Q$2025,"",fuel_costs!I$9*0.086/tech_proj!Q167/(1-tech_proj!Q447))</f>
        <v/>
      </c>
      <c r="R2067" s="123" t="str">
        <f>IF(tech_base!$T43&gt;R$2025,"",fuel_costs!J$9*0.086/tech_proj!R167/(1-tech_proj!R447))</f>
        <v/>
      </c>
      <c r="S2067" s="123" t="str">
        <f>IF(tech_base!$T43&gt;S$2025,"",fuel_costs!K$9*0.086/tech_proj!S167/(1-tech_proj!S447))</f>
        <v/>
      </c>
      <c r="T2067" s="123" t="str">
        <f>IF(tech_base!$T43&gt;T$2025,"",fuel_costs!L$9*0.086/tech_proj!T167/(1-tech_proj!T447))</f>
        <v/>
      </c>
      <c r="U2067" s="123" t="str">
        <f>IF(tech_base!$T43&gt;U$2025,"",fuel_costs!M$9*0.086/tech_proj!U167/(1-tech_proj!U447))</f>
        <v/>
      </c>
      <c r="V2067" s="123" t="str">
        <f>IF(tech_base!$T43&gt;V$2025,"",fuel_costs!N$9*0.086/tech_proj!V167/(1-tech_proj!V447))</f>
        <v/>
      </c>
      <c r="W2067" s="123" t="str">
        <f>IF(tech_base!$T43&gt;W$2025,"",fuel_costs!O$9*0.086/tech_proj!W167/(1-tech_proj!W447))</f>
        <v/>
      </c>
      <c r="X2067" s="123" t="str">
        <f>IF(tech_base!$T43&gt;X$2025,"",fuel_costs!P$9*0.086/tech_proj!X167/(1-tech_proj!X447))</f>
        <v/>
      </c>
      <c r="Y2067" s="123" t="str">
        <f>IF(tech_base!$T43&gt;Y$2025,"",fuel_costs!Q$9*0.086/tech_proj!Y167/(1-tech_proj!Y447))</f>
        <v/>
      </c>
      <c r="Z2067" s="123" t="str">
        <f>IF(tech_base!$T43&gt;Z$2025,"",fuel_costs!R$9*0.086/tech_proj!Z167/(1-tech_proj!Z447))</f>
        <v/>
      </c>
      <c r="AA2067" s="123" t="str">
        <f>IF(tech_base!$T43&gt;AA$2025,"",fuel_costs!S$9*0.086/tech_proj!AA167/(1-tech_proj!AA447))</f>
        <v/>
      </c>
      <c r="AB2067" s="123" t="str">
        <f>IF(tech_base!$T43&gt;AB$2025,"",fuel_costs!T$9*0.086/tech_proj!AB167/(1-tech_proj!AB447))</f>
        <v/>
      </c>
      <c r="AC2067" s="123" t="str">
        <f>IF(tech_base!$T43&gt;AC$2025,"",fuel_costs!U$9*0.086/tech_proj!AC167/(1-tech_proj!AC447))</f>
        <v/>
      </c>
      <c r="AD2067" s="123" t="str">
        <f>IF(tech_base!$T43&gt;AD$2025,"",fuel_costs!V$9*0.086/tech_proj!AD167/(1-tech_proj!AD447))</f>
        <v/>
      </c>
      <c r="AE2067" s="123">
        <f>IF(tech_base!$T43&gt;AE$2025,"",fuel_costs!W$9*0.086/tech_proj!AE167/(1-tech_proj!AE447))</f>
        <v>50.871518743412508</v>
      </c>
      <c r="AF2067" s="123">
        <f>IF(tech_base!$T43&gt;AF$2025,"",fuel_costs!X$9*0.086/tech_proj!AF167/(1-tech_proj!AF447))</f>
        <v>51.48332459885787</v>
      </c>
      <c r="AG2067" s="123">
        <f>IF(tech_base!$T43&gt;AG$2025,"",fuel_costs!Y$9*0.086/tech_proj!AG167/(1-tech_proj!AG447))</f>
        <v>52.122087194576125</v>
      </c>
      <c r="AH2067" s="123">
        <f>IF(tech_base!$T43&gt;AH$2025,"",fuel_costs!Z$9*0.086/tech_proj!AH167/(1-tech_proj!AH447))</f>
        <v>52.715878856200149</v>
      </c>
      <c r="AI2067" s="123">
        <f>IF(tech_base!$T43&gt;AI$2025,"",fuel_costs!AA$9*0.086/tech_proj!AI167/(1-tech_proj!AI447))</f>
        <v>53.252991042655189</v>
      </c>
      <c r="AJ2067" s="123">
        <f>IF(tech_base!$T43&gt;AJ$2025,"",fuel_costs!AB$9*0.086/tech_proj!AJ167/(1-tech_proj!AJ447))</f>
        <v>53.632349641569476</v>
      </c>
      <c r="AK2067" s="123">
        <f>IF(tech_base!$T43&gt;AK$2025,"",fuel_costs!AC$9*0.086/tech_proj!AK167/(1-tech_proj!AK447))</f>
        <v>54.081117667120417</v>
      </c>
      <c r="AL2067" s="123">
        <f>IF(tech_base!$T43&gt;AL$2025,"",fuel_costs!AD$9*0.086/tech_proj!AL167/(1-tech_proj!AL447))</f>
        <v>54.58045141402264</v>
      </c>
      <c r="AM2067" s="123">
        <f>IF(tech_base!$T43&gt;AM$2025,"",fuel_costs!AE$9*0.086/tech_proj!AM167/(1-tech_proj!AM447))</f>
        <v>55.121824718102594</v>
      </c>
      <c r="AN2067" s="123">
        <f>IF(tech_base!$T43&gt;AN$2025,"",fuel_costs!AF$9*0.086/tech_proj!AN167/(1-tech_proj!AN447))</f>
        <v>55.538247663595605</v>
      </c>
      <c r="AO2067" s="123">
        <f>IF(tech_base!$T43&gt;AO$2025,"",fuel_costs!AG$9*0.086/tech_proj!AO167/(1-tech_proj!AO447))</f>
        <v>55.947435404408751</v>
      </c>
      <c r="AP2067" s="123">
        <f>IF(tech_base!$T43&gt;AP$2025,"",fuel_costs!AH$9*0.086/tech_proj!AP167/(1-tech_proj!AP447))</f>
        <v>56.349701544116847</v>
      </c>
      <c r="AQ2067" s="123">
        <f>IF(tech_base!$T43&gt;AQ$2025,"",fuel_costs!AI$9*0.086/tech_proj!AQ167/(1-tech_proj!AQ447))</f>
        <v>56.751017409511135</v>
      </c>
      <c r="AR2067" s="123">
        <f>IF(tech_base!$T43&gt;AR$2025,"",fuel_costs!AJ$9*0.086/tech_proj!AR167/(1-tech_proj!AR447))</f>
        <v>57.193679888958556</v>
      </c>
      <c r="AS2067" s="123">
        <f>IF(tech_base!$T43&gt;AS$2025,"",fuel_costs!AK$9*0.086/tech_proj!AS167/(1-tech_proj!AS447))</f>
        <v>57.646970977718702</v>
      </c>
      <c r="AT2067" s="123">
        <f>IF(tech_base!$T43&gt;AT$2025,"",fuel_costs!AL$9*0.086/tech_proj!AT167/(1-tech_proj!AT447))</f>
        <v>57.939621897864996</v>
      </c>
      <c r="AU2067" s="123">
        <f>IF(tech_base!$T43&gt;AU$2025,"",fuel_costs!AM$9*0.086/tech_proj!AU167/(1-tech_proj!AU447))</f>
        <v>58.367846035807993</v>
      </c>
      <c r="AV2067" s="123">
        <f>IF(tech_base!$T43&gt;AV$2025,"",fuel_costs!AN$9*0.086/tech_proj!AV167/(1-tech_proj!AV447))</f>
        <v>58.721518669804844</v>
      </c>
      <c r="AW2067" s="123">
        <f>IF(tech_base!$T43&gt;AW$2025,"",fuel_costs!AO$9*0.086/tech_proj!AW167/(1-tech_proj!AW447))</f>
        <v>59.035647452392887</v>
      </c>
      <c r="AX2067" s="124">
        <f>IF(tech_base!$T43&gt;AX$2025,"",fuel_costs!AP$9*0.086/tech_proj!AX167/(1-tech_proj!AX447))</f>
        <v>59.450735553446734</v>
      </c>
    </row>
    <row r="2068" spans="1:50" x14ac:dyDescent="0.25">
      <c r="A2068" s="356"/>
      <c r="B2068" s="376"/>
      <c r="C2068" s="379"/>
      <c r="D2068" s="59" t="s">
        <v>8</v>
      </c>
      <c r="E2068" s="79" t="str">
        <f>A2033&amp;"/"&amp;B2059&amp;"/"&amp;C2067&amp;"/"&amp;D2068</f>
        <v>Coal fired power plants/Steam turbine/Electricity only with CCS/M</v>
      </c>
      <c r="F2068" s="79" t="str">
        <f>A2033</f>
        <v>Coal fired power plants</v>
      </c>
      <c r="G2068" s="79" t="str">
        <f>B2059</f>
        <v>Steam turbine</v>
      </c>
      <c r="H2068" s="79" t="str">
        <f>C2067</f>
        <v>Electricity only with CCS</v>
      </c>
      <c r="I2068" s="79" t="str">
        <f t="shared" si="387"/>
        <v>M</v>
      </c>
      <c r="J2068" s="125" t="str">
        <f>IF(tech_base!$T44&gt;J$2025,"",fuel_costs!B$9*0.086/tech_proj!J168/(1-tech_proj!J448))</f>
        <v/>
      </c>
      <c r="K2068" s="125" t="str">
        <f>IF(tech_base!$T44&gt;K$2025,"",fuel_costs!C$9*0.086/tech_proj!K168/(1-tech_proj!K448))</f>
        <v/>
      </c>
      <c r="L2068" s="125" t="str">
        <f>IF(tech_base!$T44&gt;L$2025,"",fuel_costs!D$9*0.086/tech_proj!L168/(1-tech_proj!L448))</f>
        <v/>
      </c>
      <c r="M2068" s="125" t="str">
        <f>IF(tech_base!$T44&gt;M$2025,"",fuel_costs!E$9*0.086/tech_proj!M168/(1-tech_proj!M448))</f>
        <v/>
      </c>
      <c r="N2068" s="125" t="str">
        <f>IF(tech_base!$T44&gt;N$2025,"",fuel_costs!F$9*0.086/tech_proj!N168/(1-tech_proj!N448))</f>
        <v/>
      </c>
      <c r="O2068" s="125" t="str">
        <f>IF(tech_base!$T44&gt;O$2025,"",fuel_costs!G$9*0.086/tech_proj!O168/(1-tech_proj!O448))</f>
        <v/>
      </c>
      <c r="P2068" s="125" t="str">
        <f>IF(tech_base!$T44&gt;P$2025,"",fuel_costs!H$9*0.086/tech_proj!P168/(1-tech_proj!P448))</f>
        <v/>
      </c>
      <c r="Q2068" s="125" t="str">
        <f>IF(tech_base!$T44&gt;Q$2025,"",fuel_costs!I$9*0.086/tech_proj!Q168/(1-tech_proj!Q448))</f>
        <v/>
      </c>
      <c r="R2068" s="125" t="str">
        <f>IF(tech_base!$T44&gt;R$2025,"",fuel_costs!J$9*0.086/tech_proj!R168/(1-tech_proj!R448))</f>
        <v/>
      </c>
      <c r="S2068" s="125" t="str">
        <f>IF(tech_base!$T44&gt;S$2025,"",fuel_costs!K$9*0.086/tech_proj!S168/(1-tech_proj!S448))</f>
        <v/>
      </c>
      <c r="T2068" s="125" t="str">
        <f>IF(tech_base!$T44&gt;T$2025,"",fuel_costs!L$9*0.086/tech_proj!T168/(1-tech_proj!T448))</f>
        <v/>
      </c>
      <c r="U2068" s="125" t="str">
        <f>IF(tech_base!$T44&gt;U$2025,"",fuel_costs!M$9*0.086/tech_proj!U168/(1-tech_proj!U448))</f>
        <v/>
      </c>
      <c r="V2068" s="125" t="str">
        <f>IF(tech_base!$T44&gt;V$2025,"",fuel_costs!N$9*0.086/tech_proj!V168/(1-tech_proj!V448))</f>
        <v/>
      </c>
      <c r="W2068" s="125" t="str">
        <f>IF(tech_base!$T44&gt;W$2025,"",fuel_costs!O$9*0.086/tech_proj!W168/(1-tech_proj!W448))</f>
        <v/>
      </c>
      <c r="X2068" s="125" t="str">
        <f>IF(tech_base!$T44&gt;X$2025,"",fuel_costs!P$9*0.086/tech_proj!X168/(1-tech_proj!X448))</f>
        <v/>
      </c>
      <c r="Y2068" s="125" t="str">
        <f>IF(tech_base!$T44&gt;Y$2025,"",fuel_costs!Q$9*0.086/tech_proj!Y168/(1-tech_proj!Y448))</f>
        <v/>
      </c>
      <c r="Z2068" s="125" t="str">
        <f>IF(tech_base!$T44&gt;Z$2025,"",fuel_costs!R$9*0.086/tech_proj!Z168/(1-tech_proj!Z448))</f>
        <v/>
      </c>
      <c r="AA2068" s="125" t="str">
        <f>IF(tech_base!$T44&gt;AA$2025,"",fuel_costs!S$9*0.086/tech_proj!AA168/(1-tech_proj!AA448))</f>
        <v/>
      </c>
      <c r="AB2068" s="125" t="str">
        <f>IF(tech_base!$T44&gt;AB$2025,"",fuel_costs!T$9*0.086/tech_proj!AB168/(1-tech_proj!AB448))</f>
        <v/>
      </c>
      <c r="AC2068" s="125" t="str">
        <f>IF(tech_base!$T44&gt;AC$2025,"",fuel_costs!U$9*0.086/tech_proj!AC168/(1-tech_proj!AC448))</f>
        <v/>
      </c>
      <c r="AD2068" s="125" t="str">
        <f>IF(tech_base!$T44&gt;AD$2025,"",fuel_costs!V$9*0.086/tech_proj!AD168/(1-tech_proj!AD448))</f>
        <v/>
      </c>
      <c r="AE2068" s="125">
        <f>IF(tech_base!$T44&gt;AE$2025,"",fuel_costs!W$9*0.086/tech_proj!AE168/(1-tech_proj!AE448))</f>
        <v>54.220775025527253</v>
      </c>
      <c r="AF2068" s="125">
        <f>IF(tech_base!$T44&gt;AF$2025,"",fuel_costs!X$9*0.086/tech_proj!AF168/(1-tech_proj!AF448))</f>
        <v>54.872860681053282</v>
      </c>
      <c r="AG2068" s="125">
        <f>IF(tech_base!$T44&gt;AG$2025,"",fuel_costs!Y$9*0.086/tech_proj!AG168/(1-tech_proj!AG448))</f>
        <v>55.55367784265308</v>
      </c>
      <c r="AH2068" s="125">
        <f>IF(tech_base!$T44&gt;AH$2025,"",fuel_costs!Z$9*0.086/tech_proj!AH168/(1-tech_proj!AH448))</f>
        <v>56.186563293927719</v>
      </c>
      <c r="AI2068" s="125">
        <f>IF(tech_base!$T44&gt;AI$2025,"",fuel_costs!AA$9*0.086/tech_proj!AI168/(1-tech_proj!AI448))</f>
        <v>56.7590376321156</v>
      </c>
      <c r="AJ2068" s="125">
        <f>IF(tech_base!$T44&gt;AJ$2025,"",fuel_costs!AB$9*0.086/tech_proj!AJ168/(1-tech_proj!AJ448))</f>
        <v>57.16337227267308</v>
      </c>
      <c r="AK2068" s="125">
        <f>IF(tech_base!$T44&gt;AK$2025,"",fuel_costs!AC$9*0.086/tech_proj!AK168/(1-tech_proj!AK448))</f>
        <v>57.64168608663207</v>
      </c>
      <c r="AL2068" s="125">
        <f>IF(tech_base!$T44&gt;AL$2025,"",fuel_costs!AD$9*0.086/tech_proj!AL168/(1-tech_proj!AL448))</f>
        <v>58.173894745272612</v>
      </c>
      <c r="AM2068" s="125">
        <f>IF(tech_base!$T44&gt;AM$2025,"",fuel_costs!AE$9*0.086/tech_proj!AM168/(1-tech_proj!AM448))</f>
        <v>58.750910742640421</v>
      </c>
      <c r="AN2068" s="125">
        <f>IF(tech_base!$T44&gt;AN$2025,"",fuel_costs!AF$9*0.086/tech_proj!AN168/(1-tech_proj!AN448))</f>
        <v>59.194749955637533</v>
      </c>
      <c r="AO2068" s="125">
        <f>IF(tech_base!$T44&gt;AO$2025,"",fuel_costs!AG$9*0.086/tech_proj!AO168/(1-tech_proj!AO448))</f>
        <v>59.630877615787369</v>
      </c>
      <c r="AP2068" s="125">
        <f>IF(tech_base!$T44&gt;AP$2025,"",fuel_costs!AH$9*0.086/tech_proj!AP168/(1-tech_proj!AP448))</f>
        <v>60.059627973556552</v>
      </c>
      <c r="AQ2068" s="125">
        <f>IF(tech_base!$T44&gt;AQ$2025,"",fuel_costs!AI$9*0.086/tech_proj!AQ168/(1-tech_proj!AQ448))</f>
        <v>60.48736549327699</v>
      </c>
      <c r="AR2068" s="125">
        <f>IF(tech_base!$T44&gt;AR$2025,"",fuel_costs!AJ$9*0.086/tech_proj!AR168/(1-tech_proj!AR448))</f>
        <v>60.959171786920791</v>
      </c>
      <c r="AS2068" s="125">
        <f>IF(tech_base!$T44&gt;AS$2025,"",fuel_costs!AK$9*0.086/tech_proj!AS168/(1-tech_proj!AS448))</f>
        <v>61.442306451500123</v>
      </c>
      <c r="AT2068" s="125">
        <f>IF(tech_base!$T44&gt;AT$2025,"",fuel_costs!AL$9*0.086/tech_proj!AT168/(1-tech_proj!AT448))</f>
        <v>61.754224791943244</v>
      </c>
      <c r="AU2068" s="125">
        <f>IF(tech_base!$T44&gt;AU$2025,"",fuel_costs!AM$9*0.086/tech_proj!AU168/(1-tech_proj!AU448))</f>
        <v>62.210642159016928</v>
      </c>
      <c r="AV2068" s="125">
        <f>IF(tech_base!$T44&gt;AV$2025,"",fuel_costs!AN$9*0.086/tech_proj!AV168/(1-tech_proj!AV448))</f>
        <v>62.587599733595177</v>
      </c>
      <c r="AW2068" s="125">
        <f>IF(tech_base!$T44&gt;AW$2025,"",fuel_costs!AO$9*0.086/tech_proj!AW168/(1-tech_proj!AW448))</f>
        <v>62.922409986374468</v>
      </c>
      <c r="AX2068" s="126">
        <f>IF(tech_base!$T44&gt;AX$2025,"",fuel_costs!AP$9*0.086/tech_proj!AX168/(1-tech_proj!AX448))</f>
        <v>63.364826472041685</v>
      </c>
    </row>
    <row r="2069" spans="1:50" x14ac:dyDescent="0.25">
      <c r="A2069" s="356"/>
      <c r="B2069" s="376"/>
      <c r="C2069" s="361" t="s">
        <v>16</v>
      </c>
      <c r="D2069" s="2" t="s">
        <v>7</v>
      </c>
      <c r="E2069" s="76" t="str">
        <f>A2033&amp;"/"&amp;B2059&amp;"/"&amp;C2069&amp;"/"&amp;D2069</f>
        <v>Coal fired power plants/Steam turbine/CHP with CCS/L</v>
      </c>
      <c r="F2069" s="76" t="str">
        <f>A2033</f>
        <v>Coal fired power plants</v>
      </c>
      <c r="G2069" s="76" t="str">
        <f>B2059</f>
        <v>Steam turbine</v>
      </c>
      <c r="H2069" s="76" t="str">
        <f>C2069</f>
        <v>CHP with CCS</v>
      </c>
      <c r="I2069" s="76" t="str">
        <f t="shared" si="387"/>
        <v>L</v>
      </c>
      <c r="J2069" s="119" t="str">
        <f>IF(tech_base!$T45&gt;J$2025,"",fuel_costs!B$9*0.086/tech_proj!J169/(1-tech_proj!J449))</f>
        <v/>
      </c>
      <c r="K2069" s="119" t="str">
        <f>IF(tech_base!$T45&gt;K$2025,"",fuel_costs!C$9*0.086/tech_proj!K169/(1-tech_proj!K449))</f>
        <v/>
      </c>
      <c r="L2069" s="119" t="str">
        <f>IF(tech_base!$T45&gt;L$2025,"",fuel_costs!D$9*0.086/tech_proj!L169/(1-tech_proj!L449))</f>
        <v/>
      </c>
      <c r="M2069" s="119" t="str">
        <f>IF(tech_base!$T45&gt;M$2025,"",fuel_costs!E$9*0.086/tech_proj!M169/(1-tech_proj!M449))</f>
        <v/>
      </c>
      <c r="N2069" s="119" t="str">
        <f>IF(tech_base!$T45&gt;N$2025,"",fuel_costs!F$9*0.086/tech_proj!N169/(1-tech_proj!N449))</f>
        <v/>
      </c>
      <c r="O2069" s="119" t="str">
        <f>IF(tech_base!$T45&gt;O$2025,"",fuel_costs!G$9*0.086/tech_proj!O169/(1-tech_proj!O449))</f>
        <v/>
      </c>
      <c r="P2069" s="119" t="str">
        <f>IF(tech_base!$T45&gt;P$2025,"",fuel_costs!H$9*0.086/tech_proj!P169/(1-tech_proj!P449))</f>
        <v/>
      </c>
      <c r="Q2069" s="119" t="str">
        <f>IF(tech_base!$T45&gt;Q$2025,"",fuel_costs!I$9*0.086/tech_proj!Q169/(1-tech_proj!Q449))</f>
        <v/>
      </c>
      <c r="R2069" s="119" t="str">
        <f>IF(tech_base!$T45&gt;R$2025,"",fuel_costs!J$9*0.086/tech_proj!R169/(1-tech_proj!R449))</f>
        <v/>
      </c>
      <c r="S2069" s="119" t="str">
        <f>IF(tech_base!$T45&gt;S$2025,"",fuel_costs!K$9*0.086/tech_proj!S169/(1-tech_proj!S449))</f>
        <v/>
      </c>
      <c r="T2069" s="119" t="str">
        <f>IF(tech_base!$T45&gt;T$2025,"",fuel_costs!L$9*0.086/tech_proj!T169/(1-tech_proj!T449))</f>
        <v/>
      </c>
      <c r="U2069" s="119" t="str">
        <f>IF(tech_base!$T45&gt;U$2025,"",fuel_costs!M$9*0.086/tech_proj!U169/(1-tech_proj!U449))</f>
        <v/>
      </c>
      <c r="V2069" s="119" t="str">
        <f>IF(tech_base!$T45&gt;V$2025,"",fuel_costs!N$9*0.086/tech_proj!V169/(1-tech_proj!V449))</f>
        <v/>
      </c>
      <c r="W2069" s="119" t="str">
        <f>IF(tech_base!$T45&gt;W$2025,"",fuel_costs!O$9*0.086/tech_proj!W169/(1-tech_proj!W449))</f>
        <v/>
      </c>
      <c r="X2069" s="119" t="str">
        <f>IF(tech_base!$T45&gt;X$2025,"",fuel_costs!P$9*0.086/tech_proj!X169/(1-tech_proj!X449))</f>
        <v/>
      </c>
      <c r="Y2069" s="119" t="str">
        <f>IF(tech_base!$T45&gt;Y$2025,"",fuel_costs!Q$9*0.086/tech_proj!Y169/(1-tech_proj!Y449))</f>
        <v/>
      </c>
      <c r="Z2069" s="119" t="str">
        <f>IF(tech_base!$T45&gt;Z$2025,"",fuel_costs!R$9*0.086/tech_proj!Z169/(1-tech_proj!Z449))</f>
        <v/>
      </c>
      <c r="AA2069" s="119" t="str">
        <f>IF(tech_base!$T45&gt;AA$2025,"",fuel_costs!S$9*0.086/tech_proj!AA169/(1-tech_proj!AA449))</f>
        <v/>
      </c>
      <c r="AB2069" s="119" t="str">
        <f>IF(tech_base!$T45&gt;AB$2025,"",fuel_costs!T$9*0.086/tech_proj!AB169/(1-tech_proj!AB449))</f>
        <v/>
      </c>
      <c r="AC2069" s="119" t="str">
        <f>IF(tech_base!$T45&gt;AC$2025,"",fuel_costs!U$9*0.086/tech_proj!AC169/(1-tech_proj!AC449))</f>
        <v/>
      </c>
      <c r="AD2069" s="119" t="str">
        <f>IF(tech_base!$T45&gt;AD$2025,"",fuel_costs!V$9*0.086/tech_proj!AD169/(1-tech_proj!AD449))</f>
        <v/>
      </c>
      <c r="AE2069" s="119">
        <f>IF(tech_base!$T45&gt;AE$2025,"",fuel_costs!W$9*0.086/tech_proj!AE169/(1-tech_proj!AE449))</f>
        <v>57.672614846757817</v>
      </c>
      <c r="AF2069" s="119">
        <f>IF(tech_base!$T45&gt;AF$2025,"",fuel_costs!X$9*0.086/tech_proj!AF169/(1-tech_proj!AF449))</f>
        <v>58.366214022360573</v>
      </c>
      <c r="AG2069" s="119">
        <f>IF(tech_base!$T45&gt;AG$2025,"",fuel_costs!Y$9*0.086/tech_proj!AG169/(1-tech_proj!AG449))</f>
        <v>59.090373828699057</v>
      </c>
      <c r="AH2069" s="119">
        <f>IF(tech_base!$T45&gt;AH$2025,"",fuel_costs!Z$9*0.086/tech_proj!AH169/(1-tech_proj!AH449))</f>
        <v>59.763550463601348</v>
      </c>
      <c r="AI2069" s="119">
        <f>IF(tech_base!$T45&gt;AI$2025,"",fuel_costs!AA$9*0.086/tech_proj!AI169/(1-tech_proj!AI449))</f>
        <v>60.372470052087834</v>
      </c>
      <c r="AJ2069" s="119">
        <f>IF(tech_base!$T45&gt;AJ$2025,"",fuel_costs!AB$9*0.086/tech_proj!AJ169/(1-tech_proj!AJ449))</f>
        <v>60.80254571926698</v>
      </c>
      <c r="AK2069" s="119">
        <f>IF(tech_base!$T45&gt;AK$2025,"",fuel_costs!AC$9*0.086/tech_proj!AK169/(1-tech_proj!AK449))</f>
        <v>61.311310272251561</v>
      </c>
      <c r="AL2069" s="119">
        <f>IF(tech_base!$T45&gt;AL$2025,"",fuel_costs!AD$9*0.086/tech_proj!AL169/(1-tech_proj!AL449))</f>
        <v>61.877400760139921</v>
      </c>
      <c r="AM2069" s="119">
        <f>IF(tech_base!$T45&gt;AM$2025,"",fuel_costs!AE$9*0.086/tech_proj!AM169/(1-tech_proj!AM449))</f>
        <v>62.491151141998991</v>
      </c>
      <c r="AN2069" s="119">
        <f>IF(tech_base!$T45&gt;AN$2025,"",fuel_costs!AF$9*0.086/tech_proj!AN169/(1-tech_proj!AN449))</f>
        <v>62.963246348550697</v>
      </c>
      <c r="AO2069" s="119">
        <f>IF(tech_base!$T45&gt;AO$2025,"",fuel_costs!AG$9*0.086/tech_proj!AO169/(1-tech_proj!AO449))</f>
        <v>63.427139064137997</v>
      </c>
      <c r="AP2069" s="119">
        <f>IF(tech_base!$T45&gt;AP$2025,"",fuel_costs!AH$9*0.086/tech_proj!AP169/(1-tech_proj!AP449))</f>
        <v>63.883184818507793</v>
      </c>
      <c r="AQ2069" s="119">
        <f>IF(tech_base!$T45&gt;AQ$2025,"",fuel_costs!AI$9*0.086/tech_proj!AQ169/(1-tech_proj!AQ449))</f>
        <v>64.338153254844784</v>
      </c>
      <c r="AR2069" s="119">
        <f>IF(tech_base!$T45&gt;AR$2025,"",fuel_costs!AJ$9*0.086/tech_proj!AR169/(1-tech_proj!AR449))</f>
        <v>64.8399960013342</v>
      </c>
      <c r="AS2069" s="119">
        <f>IF(tech_base!$T45&gt;AS$2025,"",fuel_costs!AK$9*0.086/tech_proj!AS169/(1-tech_proj!AS449))</f>
        <v>65.353888313206966</v>
      </c>
      <c r="AT2069" s="119">
        <f>IF(tech_base!$T45&gt;AT$2025,"",fuel_costs!AL$9*0.086/tech_proj!AT169/(1-tech_proj!AT449))</f>
        <v>65.685664210979482</v>
      </c>
      <c r="AU2069" s="119">
        <f>IF(tech_base!$T45&gt;AU$2025,"",fuel_costs!AM$9*0.086/tech_proj!AU169/(1-tech_proj!AU449))</f>
        <v>66.171138330599106</v>
      </c>
      <c r="AV2069" s="119">
        <f>IF(tech_base!$T45&gt;AV$2025,"",fuel_costs!AN$9*0.086/tech_proj!AV169/(1-tech_proj!AV449))</f>
        <v>66.572094034422676</v>
      </c>
      <c r="AW2069" s="119">
        <f>IF(tech_base!$T45&gt;AW$2025,"",fuel_costs!AO$9*0.086/tech_proj!AW169/(1-tech_proj!AW449))</f>
        <v>66.928219205008958</v>
      </c>
      <c r="AX2069" s="120">
        <f>IF(tech_base!$T45&gt;AX$2025,"",fuel_costs!AP$9*0.086/tech_proj!AX169/(1-tech_proj!AX449))</f>
        <v>67.398801109596789</v>
      </c>
    </row>
    <row r="2070" spans="1:50" x14ac:dyDescent="0.25">
      <c r="A2070" s="357"/>
      <c r="B2070" s="380"/>
      <c r="C2070" s="381"/>
      <c r="D2070" s="4" t="s">
        <v>8</v>
      </c>
      <c r="E2070" s="80" t="str">
        <f>A2033&amp;"/"&amp;B2059&amp;"/"&amp;C2069&amp;"/"&amp;D2070</f>
        <v>Coal fired power plants/Steam turbine/CHP with CCS/M</v>
      </c>
      <c r="F2070" s="80" t="str">
        <f>A2033</f>
        <v>Coal fired power plants</v>
      </c>
      <c r="G2070" s="80" t="str">
        <f>B2059</f>
        <v>Steam turbine</v>
      </c>
      <c r="H2070" s="80" t="str">
        <f>C2069</f>
        <v>CHP with CCS</v>
      </c>
      <c r="I2070" s="80" t="str">
        <f t="shared" si="387"/>
        <v>M</v>
      </c>
      <c r="J2070" s="127" t="str">
        <f>IF(tech_base!$T46&gt;J$2025,"",fuel_costs!B$9*0.086/tech_proj!J170/(1-tech_proj!J450))</f>
        <v/>
      </c>
      <c r="K2070" s="127" t="str">
        <f>IF(tech_base!$T46&gt;K$2025,"",fuel_costs!C$9*0.086/tech_proj!K170/(1-tech_proj!K450))</f>
        <v/>
      </c>
      <c r="L2070" s="127" t="str">
        <f>IF(tech_base!$T46&gt;L$2025,"",fuel_costs!D$9*0.086/tech_proj!L170/(1-tech_proj!L450))</f>
        <v/>
      </c>
      <c r="M2070" s="127" t="str">
        <f>IF(tech_base!$T46&gt;M$2025,"",fuel_costs!E$9*0.086/tech_proj!M170/(1-tech_proj!M450))</f>
        <v/>
      </c>
      <c r="N2070" s="127" t="str">
        <f>IF(tech_base!$T46&gt;N$2025,"",fuel_costs!F$9*0.086/tech_proj!N170/(1-tech_proj!N450))</f>
        <v/>
      </c>
      <c r="O2070" s="127" t="str">
        <f>IF(tech_base!$T46&gt;O$2025,"",fuel_costs!G$9*0.086/tech_proj!O170/(1-tech_proj!O450))</f>
        <v/>
      </c>
      <c r="P2070" s="127" t="str">
        <f>IF(tech_base!$T46&gt;P$2025,"",fuel_costs!H$9*0.086/tech_proj!P170/(1-tech_proj!P450))</f>
        <v/>
      </c>
      <c r="Q2070" s="127" t="str">
        <f>IF(tech_base!$T46&gt;Q$2025,"",fuel_costs!I$9*0.086/tech_proj!Q170/(1-tech_proj!Q450))</f>
        <v/>
      </c>
      <c r="R2070" s="127" t="str">
        <f>IF(tech_base!$T46&gt;R$2025,"",fuel_costs!J$9*0.086/tech_proj!R170/(1-tech_proj!R450))</f>
        <v/>
      </c>
      <c r="S2070" s="127" t="str">
        <f>IF(tech_base!$T46&gt;S$2025,"",fuel_costs!K$9*0.086/tech_proj!S170/(1-tech_proj!S450))</f>
        <v/>
      </c>
      <c r="T2070" s="127" t="str">
        <f>IF(tech_base!$T46&gt;T$2025,"",fuel_costs!L$9*0.086/tech_proj!T170/(1-tech_proj!T450))</f>
        <v/>
      </c>
      <c r="U2070" s="127" t="str">
        <f>IF(tech_base!$T46&gt;U$2025,"",fuel_costs!M$9*0.086/tech_proj!U170/(1-tech_proj!U450))</f>
        <v/>
      </c>
      <c r="V2070" s="127" t="str">
        <f>IF(tech_base!$T46&gt;V$2025,"",fuel_costs!N$9*0.086/tech_proj!V170/(1-tech_proj!V450))</f>
        <v/>
      </c>
      <c r="W2070" s="127" t="str">
        <f>IF(tech_base!$T46&gt;W$2025,"",fuel_costs!O$9*0.086/tech_proj!W170/(1-tech_proj!W450))</f>
        <v/>
      </c>
      <c r="X2070" s="127" t="str">
        <f>IF(tech_base!$T46&gt;X$2025,"",fuel_costs!P$9*0.086/tech_proj!X170/(1-tech_proj!X450))</f>
        <v/>
      </c>
      <c r="Y2070" s="127" t="str">
        <f>IF(tech_base!$T46&gt;Y$2025,"",fuel_costs!Q$9*0.086/tech_proj!Y170/(1-tech_proj!Y450))</f>
        <v/>
      </c>
      <c r="Z2070" s="127" t="str">
        <f>IF(tech_base!$T46&gt;Z$2025,"",fuel_costs!R$9*0.086/tech_proj!Z170/(1-tech_proj!Z450))</f>
        <v/>
      </c>
      <c r="AA2070" s="127" t="str">
        <f>IF(tech_base!$T46&gt;AA$2025,"",fuel_costs!S$9*0.086/tech_proj!AA170/(1-tech_proj!AA450))</f>
        <v/>
      </c>
      <c r="AB2070" s="127" t="str">
        <f>IF(tech_base!$T46&gt;AB$2025,"",fuel_costs!T$9*0.086/tech_proj!AB170/(1-tech_proj!AB450))</f>
        <v/>
      </c>
      <c r="AC2070" s="127" t="str">
        <f>IF(tech_base!$T46&gt;AC$2025,"",fuel_costs!U$9*0.086/tech_proj!AC170/(1-tech_proj!AC450))</f>
        <v/>
      </c>
      <c r="AD2070" s="127" t="str">
        <f>IF(tech_base!$T46&gt;AD$2025,"",fuel_costs!V$9*0.086/tech_proj!AD170/(1-tech_proj!AD450))</f>
        <v/>
      </c>
      <c r="AE2070" s="127">
        <f>IF(tech_base!$T46&gt;AE$2025,"",fuel_costs!W$9*0.086/tech_proj!AE170/(1-tech_proj!AE450))</f>
        <v>61.593843994492303</v>
      </c>
      <c r="AF2070" s="127">
        <f>IF(tech_base!$T46&gt;AF$2025,"",fuel_costs!X$9*0.086/tech_proj!AF170/(1-tech_proj!AF450))</f>
        <v>62.334601796619019</v>
      </c>
      <c r="AG2070" s="127">
        <f>IF(tech_base!$T46&gt;AG$2025,"",fuel_costs!Y$9*0.086/tech_proj!AG170/(1-tech_proj!AG450))</f>
        <v>63.107998082832346</v>
      </c>
      <c r="AH2070" s="127">
        <f>IF(tech_base!$T46&gt;AH$2025,"",fuel_costs!Z$9*0.086/tech_proj!AH170/(1-tech_proj!AH450))</f>
        <v>63.826944791614011</v>
      </c>
      <c r="AI2070" s="127">
        <f>IF(tech_base!$T46&gt;AI$2025,"",fuel_costs!AA$9*0.086/tech_proj!AI170/(1-tech_proj!AI450))</f>
        <v>64.477265541558907</v>
      </c>
      <c r="AJ2070" s="127">
        <f>IF(tech_base!$T46&gt;AJ$2025,"",fuel_costs!AB$9*0.086/tech_proj!AJ170/(1-tech_proj!AJ450))</f>
        <v>64.93658256091804</v>
      </c>
      <c r="AK2070" s="127">
        <f>IF(tech_base!$T46&gt;AK$2025,"",fuel_costs!AC$9*0.086/tech_proj!AK170/(1-tech_proj!AK450))</f>
        <v>65.479938616295883</v>
      </c>
      <c r="AL2070" s="127">
        <f>IF(tech_base!$T46&gt;AL$2025,"",fuel_costs!AD$9*0.086/tech_proj!AL170/(1-tech_proj!AL450))</f>
        <v>66.084518264546759</v>
      </c>
      <c r="AM2070" s="127">
        <f>IF(tech_base!$T46&gt;AM$2025,"",fuel_costs!AE$9*0.086/tech_proj!AM170/(1-tech_proj!AM450))</f>
        <v>66.739998259206871</v>
      </c>
      <c r="AN2070" s="127">
        <f>IF(tech_base!$T46&gt;AN$2025,"",fuel_costs!AF$9*0.086/tech_proj!AN170/(1-tech_proj!AN450))</f>
        <v>67.244191776011291</v>
      </c>
      <c r="AO2070" s="127">
        <f>IF(tech_base!$T46&gt;AO$2025,"",fuel_costs!AG$9*0.086/tech_proj!AO170/(1-tech_proj!AO450))</f>
        <v>67.739625104810173</v>
      </c>
      <c r="AP2070" s="127">
        <f>IF(tech_base!$T46&gt;AP$2025,"",fuel_costs!AH$9*0.086/tech_proj!AP170/(1-tech_proj!AP450))</f>
        <v>68.226677948237537</v>
      </c>
      <c r="AQ2070" s="127">
        <f>IF(tech_base!$T46&gt;AQ$2025,"",fuel_costs!AI$9*0.086/tech_proj!AQ170/(1-tech_proj!AQ450))</f>
        <v>68.712580225507594</v>
      </c>
      <c r="AR2070" s="127">
        <f>IF(tech_base!$T46&gt;AR$2025,"",fuel_costs!AJ$9*0.086/tech_proj!AR170/(1-tech_proj!AR450))</f>
        <v>69.248543852597649</v>
      </c>
      <c r="AS2070" s="127">
        <f>IF(tech_base!$T46&gt;AS$2025,"",fuel_costs!AK$9*0.086/tech_proj!AS170/(1-tech_proj!AS450))</f>
        <v>69.797376309242196</v>
      </c>
      <c r="AT2070" s="127">
        <f>IF(tech_base!$T46&gt;AT$2025,"",fuel_costs!AL$9*0.086/tech_proj!AT170/(1-tech_proj!AT450))</f>
        <v>70.151710041860895</v>
      </c>
      <c r="AU2070" s="127">
        <f>IF(tech_base!$T46&gt;AU$2025,"",fuel_costs!AM$9*0.086/tech_proj!AU170/(1-tech_proj!AU450))</f>
        <v>70.670192119822318</v>
      </c>
      <c r="AV2070" s="127">
        <f>IF(tech_base!$T46&gt;AV$2025,"",fuel_costs!AN$9*0.086/tech_proj!AV170/(1-tech_proj!AV450))</f>
        <v>71.098409275150388</v>
      </c>
      <c r="AW2070" s="127">
        <f>IF(tech_base!$T46&gt;AW$2025,"",fuel_costs!AO$9*0.086/tech_proj!AW170/(1-tech_proj!AW450))</f>
        <v>71.478747816378089</v>
      </c>
      <c r="AX2070" s="128">
        <f>IF(tech_base!$T46&gt;AX$2025,"",fuel_costs!AP$9*0.086/tech_proj!AX170/(1-tech_proj!AX450))</f>
        <v>71.981325140032155</v>
      </c>
    </row>
    <row r="2071" spans="1:50" x14ac:dyDescent="0.25">
      <c r="A2071" s="355" t="s">
        <v>21</v>
      </c>
      <c r="B2071" s="358" t="s">
        <v>13</v>
      </c>
      <c r="C2071" s="353" t="s">
        <v>6</v>
      </c>
      <c r="D2071" s="3" t="s">
        <v>7</v>
      </c>
      <c r="E2071" s="77" t="str">
        <f>A2071&amp;"/"&amp;B2071&amp;"/"&amp;C2071&amp;"/"&amp;D2071</f>
        <v>Lignite fired power plants/Integrated gasification combined cycle/Electricity only/L</v>
      </c>
      <c r="F2071" s="77" t="str">
        <f>A2071</f>
        <v>Lignite fired power plants</v>
      </c>
      <c r="G2071" s="77" t="str">
        <f>B2071</f>
        <v>Integrated gasification combined cycle</v>
      </c>
      <c r="H2071" s="77" t="str">
        <f>C2071</f>
        <v>Electricity only</v>
      </c>
      <c r="I2071" s="77" t="str">
        <f t="shared" si="387"/>
        <v>L</v>
      </c>
      <c r="J2071" s="121">
        <f>IF(tech_base!$T47&gt;J$2025,"",fuel_costs!B$10*0.086/tech_proj!J171/(1-tech_proj!J451))</f>
        <v>17.348160752202016</v>
      </c>
      <c r="K2071" s="121">
        <f>IF(tech_base!$T47&gt;K$2025,"",fuel_costs!C$10*0.086/tech_proj!K171/(1-tech_proj!K451))</f>
        <v>17.360854177198945</v>
      </c>
      <c r="L2071" s="121">
        <f>IF(tech_base!$T47&gt;L$2025,"",fuel_costs!D$10*0.086/tech_proj!L171/(1-tech_proj!L451))</f>
        <v>17.373540131530625</v>
      </c>
      <c r="M2071" s="121">
        <f>IF(tech_base!$T47&gt;M$2025,"",fuel_costs!E$10*0.086/tech_proj!M171/(1-tech_proj!M451))</f>
        <v>17.386216487275576</v>
      </c>
      <c r="N2071" s="121">
        <f>IF(tech_base!$T47&gt;N$2025,"",fuel_costs!F$10*0.086/tech_proj!N171/(1-tech_proj!N451))</f>
        <v>17.398880510745435</v>
      </c>
      <c r="O2071" s="121">
        <f>IF(tech_base!$T47&gt;O$2025,"",fuel_costs!G$10*0.086/tech_proj!O171/(1-tech_proj!O451))</f>
        <v>17.411528690259022</v>
      </c>
      <c r="P2071" s="121">
        <f>IF(tech_base!$T47&gt;P$2025,"",fuel_costs!H$10*0.086/tech_proj!P171/(1-tech_proj!P451))</f>
        <v>17.481082919908289</v>
      </c>
      <c r="Q2071" s="121">
        <f>IF(tech_base!$T47&gt;Q$2025,"",fuel_costs!I$10*0.086/tech_proj!Q171/(1-tech_proj!Q451))</f>
        <v>17.550610233196704</v>
      </c>
      <c r="R2071" s="121">
        <f>IF(tech_base!$T47&gt;R$2025,"",fuel_costs!J$10*0.086/tech_proj!R171/(1-tech_proj!R451))</f>
        <v>17.620102863288729</v>
      </c>
      <c r="S2071" s="121">
        <f>IF(tech_base!$T47&gt;S$2025,"",fuel_costs!K$10*0.086/tech_proj!S171/(1-tech_proj!S451))</f>
        <v>17.689550807068962</v>
      </c>
      <c r="T2071" s="121">
        <f>IF(tech_base!$T47&gt;T$2025,"",fuel_costs!L$10*0.086/tech_proj!T171/(1-tech_proj!T451))</f>
        <v>17.75894118420057</v>
      </c>
      <c r="U2071" s="121">
        <f>IF(tech_base!$T47&gt;U$2025,"",fuel_costs!M$10*0.086/tech_proj!U171/(1-tech_proj!U451))</f>
        <v>17.829650246951548</v>
      </c>
      <c r="V2071" s="121">
        <f>IF(tech_base!$T47&gt;V$2025,"",fuel_costs!N$10*0.086/tech_proj!V171/(1-tech_proj!V451))</f>
        <v>17.900263761837373</v>
      </c>
      <c r="W2071" s="121">
        <f>IF(tech_base!$T47&gt;W$2025,"",fuel_costs!O$10*0.086/tech_proj!W171/(1-tech_proj!W451))</f>
        <v>17.970754259816477</v>
      </c>
      <c r="X2071" s="121">
        <f>IF(tech_base!$T47&gt;X$2025,"",fuel_costs!P$10*0.086/tech_proj!X171/(1-tech_proj!X451))</f>
        <v>18.041086429226645</v>
      </c>
      <c r="Y2071" s="121">
        <f>IF(tech_base!$T47&gt;Y$2025,"",fuel_costs!Q$10*0.086/tech_proj!Y171/(1-tech_proj!Y451))</f>
        <v>18.111214911357362</v>
      </c>
      <c r="Z2071" s="121">
        <f>IF(tech_base!$T47&gt;Z$2025,"",fuel_costs!R$10*0.086/tech_proj!Z171/(1-tech_proj!Z451))</f>
        <v>18.182501895836868</v>
      </c>
      <c r="AA2071" s="121">
        <f>IF(tech_base!$T47&gt;AA$2025,"",fuel_costs!S$10*0.086/tech_proj!AA171/(1-tech_proj!AA451))</f>
        <v>18.253452151927227</v>
      </c>
      <c r="AB2071" s="121">
        <f>IF(tech_base!$T47&gt;AB$2025,"",fuel_costs!T$10*0.086/tech_proj!AB171/(1-tech_proj!AB451))</f>
        <v>18.323970121914531</v>
      </c>
      <c r="AC2071" s="121">
        <f>IF(tech_base!$T47&gt;AC$2025,"",fuel_costs!U$10*0.086/tech_proj!AC171/(1-tech_proj!AC451))</f>
        <v>18.3939337751296</v>
      </c>
      <c r="AD2071" s="121">
        <f>IF(tech_base!$T47&gt;AD$2025,"",fuel_costs!V$10*0.086/tech_proj!AD171/(1-tech_proj!AD451))</f>
        <v>18.463187689400211</v>
      </c>
      <c r="AE2071" s="121">
        <f>IF(tech_base!$T47&gt;AE$2025,"",fuel_costs!W$10*0.086/tech_proj!AE171/(1-tech_proj!AE451))</f>
        <v>18.532982370493958</v>
      </c>
      <c r="AF2071" s="121">
        <f>IF(tech_base!$T47&gt;AF$2025,"",fuel_costs!X$10*0.086/tech_proj!AF171/(1-tech_proj!AF451))</f>
        <v>18.601619958242697</v>
      </c>
      <c r="AG2071" s="121">
        <f>IF(tech_base!$T47&gt;AG$2025,"",fuel_costs!Y$10*0.086/tech_proj!AG171/(1-tech_proj!AG451))</f>
        <v>18.668786941503019</v>
      </c>
      <c r="AH2071" s="121">
        <f>IF(tech_base!$T47&gt;AH$2025,"",fuel_costs!Z$10*0.086/tech_proj!AH171/(1-tech_proj!AH451))</f>
        <v>18.734092344204093</v>
      </c>
      <c r="AI2071" s="121">
        <f>IF(tech_base!$T47&gt;AI$2025,"",fuel_costs!AA$10*0.086/tech_proj!AI171/(1-tech_proj!AI451))</f>
        <v>18.797053328490062</v>
      </c>
      <c r="AJ2071" s="121">
        <f>IF(tech_base!$T47&gt;AJ$2025,"",fuel_costs!AB$10*0.086/tech_proj!AJ171/(1-tech_proj!AJ451))</f>
        <v>18.858554429676829</v>
      </c>
      <c r="AK2071" s="121">
        <f>IF(tech_base!$T47&gt;AK$2025,"",fuel_costs!AC$10*0.086/tech_proj!AK171/(1-tech_proj!AK451))</f>
        <v>18.916414150297332</v>
      </c>
      <c r="AL2071" s="121">
        <f>IF(tech_base!$T47&gt;AL$2025,"",fuel_costs!AD$10*0.086/tech_proj!AL171/(1-tech_proj!AL451))</f>
        <v>18.969804825954359</v>
      </c>
      <c r="AM2071" s="121">
        <f>IF(tech_base!$T47&gt;AM$2025,"",fuel_costs!AE$10*0.086/tech_proj!AM171/(1-tech_proj!AM451))</f>
        <v>19.017786470483102</v>
      </c>
      <c r="AN2071" s="121">
        <f>IF(tech_base!$T47&gt;AN$2025,"",fuel_costs!AF$10*0.086/tech_proj!AN171/(1-tech_proj!AN451))</f>
        <v>19.059337471759068</v>
      </c>
      <c r="AO2071" s="121">
        <f>IF(tech_base!$T47&gt;AO$2025,"",fuel_costs!AG$10*0.086/tech_proj!AO171/(1-tech_proj!AO451))</f>
        <v>19.094909241129592</v>
      </c>
      <c r="AP2071" s="121">
        <f>IF(tech_base!$T47&gt;AP$2025,"",fuel_costs!AH$10*0.086/tech_proj!AP171/(1-tech_proj!AP451))</f>
        <v>19.122049503263508</v>
      </c>
      <c r="AQ2071" s="121">
        <f>IF(tech_base!$T47&gt;AQ$2025,"",fuel_costs!AI$10*0.086/tech_proj!AQ171/(1-tech_proj!AQ451))</f>
        <v>19.140045950534301</v>
      </c>
      <c r="AR2071" s="121">
        <f>IF(tech_base!$T47&gt;AR$2025,"",fuel_costs!AJ$10*0.086/tech_proj!AR171/(1-tech_proj!AR451))</f>
        <v>19.148629278233926</v>
      </c>
      <c r="AS2071" s="121">
        <f>IF(tech_base!$T47&gt;AS$2025,"",fuel_costs!AK$10*0.086/tech_proj!AS171/(1-tech_proj!AS451))</f>
        <v>19.148193996391708</v>
      </c>
      <c r="AT2071" s="121">
        <f>IF(tech_base!$T47&gt;AT$2025,"",fuel_costs!AL$10*0.086/tech_proj!AT171/(1-tech_proj!AT451))</f>
        <v>19.141483600374897</v>
      </c>
      <c r="AU2071" s="121">
        <f>IF(tech_base!$T47&gt;AU$2025,"",fuel_costs!AM$10*0.086/tech_proj!AU171/(1-tech_proj!AU451))</f>
        <v>19.129175505966266</v>
      </c>
      <c r="AV2071" s="121">
        <f>IF(tech_base!$T47&gt;AV$2025,"",fuel_costs!AN$10*0.086/tech_proj!AV171/(1-tech_proj!AV451))</f>
        <v>19.114298006690312</v>
      </c>
      <c r="AW2071" s="121">
        <f>IF(tech_base!$T47&gt;AW$2025,"",fuel_costs!AO$10*0.086/tech_proj!AW171/(1-tech_proj!AW451))</f>
        <v>19.100408276813535</v>
      </c>
      <c r="AX2071" s="122">
        <f>IF(tech_base!$T47&gt;AX$2025,"",fuel_costs!AP$10*0.086/tech_proj!AX171/(1-tech_proj!AX451))</f>
        <v>19.09109912546711</v>
      </c>
    </row>
    <row r="2072" spans="1:50" x14ac:dyDescent="0.25">
      <c r="A2072" s="356"/>
      <c r="B2072" s="376"/>
      <c r="C2072" s="379"/>
      <c r="D2072" s="2" t="s">
        <v>8</v>
      </c>
      <c r="E2072" s="76" t="str">
        <f>A2071&amp;"/"&amp;B2071&amp;"/"&amp;C2071&amp;"/"&amp;D2072</f>
        <v>Lignite fired power plants/Integrated gasification combined cycle/Electricity only/M</v>
      </c>
      <c r="F2072" s="76" t="str">
        <f>A2071</f>
        <v>Lignite fired power plants</v>
      </c>
      <c r="G2072" s="76" t="str">
        <f>B2071</f>
        <v>Integrated gasification combined cycle</v>
      </c>
      <c r="H2072" s="76" t="str">
        <f>C2071</f>
        <v>Electricity only</v>
      </c>
      <c r="I2072" s="76" t="str">
        <f t="shared" si="387"/>
        <v>M</v>
      </c>
      <c r="J2072" s="119">
        <f>IF(tech_base!$T48&gt;J$2025,"",fuel_costs!B$10*0.086/tech_proj!J172/(1-tech_proj!J452))</f>
        <v>18.295112758326578</v>
      </c>
      <c r="K2072" s="119">
        <f>IF(tech_base!$T48&gt;K$2025,"",fuel_costs!C$10*0.086/tech_proj!K172/(1-tech_proj!K452))</f>
        <v>18.308380867294797</v>
      </c>
      <c r="L2072" s="119">
        <f>IF(tech_base!$T48&gt;L$2025,"",fuel_costs!D$10*0.086/tech_proj!L172/(1-tech_proj!L452))</f>
        <v>18.321616497054684</v>
      </c>
      <c r="M2072" s="119">
        <f>IF(tech_base!$T48&gt;M$2025,"",fuel_costs!E$10*0.086/tech_proj!M172/(1-tech_proj!M452))</f>
        <v>18.334812443498389</v>
      </c>
      <c r="N2072" s="119">
        <f>IF(tech_base!$T48&gt;N$2025,"",fuel_costs!F$10*0.086/tech_proj!N172/(1-tech_proj!N452))</f>
        <v>18.347959908878131</v>
      </c>
      <c r="O2072" s="119">
        <f>IF(tech_base!$T48&gt;O$2025,"",fuel_costs!G$10*0.086/tech_proj!O172/(1-tech_proj!O452))</f>
        <v>18.361048151373645</v>
      </c>
      <c r="P2072" s="119">
        <f>IF(tech_base!$T48&gt;P$2025,"",fuel_costs!H$10*0.086/tech_proj!P172/(1-tech_proj!P452))</f>
        <v>18.434093903281561</v>
      </c>
      <c r="Q2072" s="119">
        <f>IF(tech_base!$T48&gt;Q$2025,"",fuel_costs!I$10*0.086/tech_proj!Q172/(1-tech_proj!Q452))</f>
        <v>18.507048150601161</v>
      </c>
      <c r="R2072" s="119">
        <f>IF(tech_base!$T48&gt;R$2025,"",fuel_costs!J$10*0.086/tech_proj!R172/(1-tech_proj!R452))</f>
        <v>18.579890324773523</v>
      </c>
      <c r="S2072" s="119">
        <f>IF(tech_base!$T48&gt;S$2025,"",fuel_costs!K$10*0.086/tech_proj!S172/(1-tech_proj!S452))</f>
        <v>18.652595268048319</v>
      </c>
      <c r="T2072" s="119">
        <f>IF(tech_base!$T48&gt;T$2025,"",fuel_costs!L$10*0.086/tech_proj!T172/(1-tech_proj!T452))</f>
        <v>18.725132226000497</v>
      </c>
      <c r="U2072" s="119">
        <f>IF(tech_base!$T48&gt;U$2025,"",fuel_costs!M$10*0.086/tech_proj!U172/(1-tech_proj!U452))</f>
        <v>18.79893217877072</v>
      </c>
      <c r="V2072" s="119">
        <f>IF(tech_base!$T48&gt;V$2025,"",fuel_costs!N$10*0.086/tech_proj!V172/(1-tech_proj!V452))</f>
        <v>18.872480500977783</v>
      </c>
      <c r="W2072" s="119">
        <f>IF(tech_base!$T48&gt;W$2025,"",fuel_costs!O$10*0.086/tech_proj!W172/(1-tech_proj!W452))</f>
        <v>18.945721191753634</v>
      </c>
      <c r="X2072" s="119">
        <f>IF(tech_base!$T48&gt;X$2025,"",fuel_costs!P$10*0.086/tech_proj!X172/(1-tech_proj!X452))</f>
        <v>19.018586032570806</v>
      </c>
      <c r="Y2072" s="119">
        <f>IF(tech_base!$T48&gt;Y$2025,"",fuel_costs!Q$10*0.086/tech_proj!Y172/(1-tech_proj!Y452))</f>
        <v>19.090992041581188</v>
      </c>
      <c r="Z2072" s="119">
        <f>IF(tech_base!$T48&gt;Z$2025,"",fuel_costs!R$10*0.086/tech_proj!Z172/(1-tech_proj!Z452))</f>
        <v>19.164335553529728</v>
      </c>
      <c r="AA2072" s="119">
        <f>IF(tech_base!$T48&gt;AA$2025,"",fuel_costs!S$10*0.086/tech_proj!AA172/(1-tech_proj!AA452))</f>
        <v>19.236996809948494</v>
      </c>
      <c r="AB2072" s="119">
        <f>IF(tech_base!$T48&gt;AB$2025,"",fuel_costs!T$10*0.086/tech_proj!AB172/(1-tech_proj!AB452))</f>
        <v>19.308828090796311</v>
      </c>
      <c r="AC2072" s="119">
        <f>IF(tech_base!$T48&gt;AC$2025,"",fuel_costs!U$10*0.086/tech_proj!AC172/(1-tech_proj!AC452))</f>
        <v>19.379651454388188</v>
      </c>
      <c r="AD2072" s="119">
        <f>IF(tech_base!$T48&gt;AD$2025,"",fuel_costs!V$10*0.086/tech_proj!AD172/(1-tech_proj!AD452))</f>
        <v>19.449253413200161</v>
      </c>
      <c r="AE2072" s="119">
        <f>IF(tech_base!$T48&gt;AE$2025,"",fuel_costs!W$10*0.086/tech_proj!AE172/(1-tech_proj!AE452))</f>
        <v>19.518903894175267</v>
      </c>
      <c r="AF2072" s="119">
        <f>IF(tech_base!$T48&gt;AF$2025,"",fuel_costs!X$10*0.086/tech_proj!AF172/(1-tech_proj!AF452))</f>
        <v>19.586774152271289</v>
      </c>
      <c r="AG2072" s="119">
        <f>IF(tech_base!$T48&gt;AG$2025,"",fuel_costs!Y$10*0.086/tech_proj!AG172/(1-tech_proj!AG452))</f>
        <v>19.652507612051494</v>
      </c>
      <c r="AH2072" s="119">
        <f>IF(tech_base!$T48&gt;AH$2025,"",fuel_costs!Z$10*0.086/tech_proj!AH172/(1-tech_proj!AH452))</f>
        <v>19.715688329278787</v>
      </c>
      <c r="AI2072" s="119">
        <f>IF(tech_base!$T48&gt;AI$2025,"",fuel_costs!AA$10*0.086/tech_proj!AI172/(1-tech_proj!AI452))</f>
        <v>19.775836869847613</v>
      </c>
      <c r="AJ2072" s="119">
        <f>IF(tech_base!$T48&gt;AJ$2025,"",fuel_costs!AB$10*0.086/tech_proj!AJ172/(1-tech_proj!AJ452))</f>
        <v>19.833958339502505</v>
      </c>
      <c r="AK2072" s="119">
        <f>IF(tech_base!$T48&gt;AK$2025,"",fuel_costs!AC$10*0.086/tech_proj!AK172/(1-tech_proj!AK452))</f>
        <v>19.887893401129162</v>
      </c>
      <c r="AL2072" s="119">
        <f>IF(tech_base!$T48&gt;AL$2025,"",fuel_costs!AD$10*0.086/tech_proj!AL172/(1-tech_proj!AL452))</f>
        <v>19.936983198694506</v>
      </c>
      <c r="AM2072" s="119">
        <f>IF(tech_base!$T48&gt;AM$2025,"",fuel_costs!AE$10*0.086/tech_proj!AM172/(1-tech_proj!AM452))</f>
        <v>19.98053654993836</v>
      </c>
      <c r="AN2072" s="119">
        <f>IF(tech_base!$T48&gt;AN$2025,"",fuel_costs!AF$10*0.086/tech_proj!AN172/(1-tech_proj!AN452))</f>
        <v>20.017862289960956</v>
      </c>
      <c r="AO2072" s="119">
        <f>IF(tech_base!$T48&gt;AO$2025,"",fuel_costs!AG$10*0.086/tech_proj!AO172/(1-tech_proj!AO452))</f>
        <v>20.049883464641045</v>
      </c>
      <c r="AP2072" s="119">
        <f>IF(tech_base!$T48&gt;AP$2025,"",fuel_costs!AH$10*0.086/tech_proj!AP172/(1-tech_proj!AP452))</f>
        <v>20.074495092686977</v>
      </c>
      <c r="AQ2072" s="119">
        <f>IF(tech_base!$T48&gt;AQ$2025,"",fuel_costs!AI$10*0.086/tech_proj!AQ172/(1-tech_proj!AQ452))</f>
        <v>20.091360156242128</v>
      </c>
      <c r="AR2072" s="119">
        <f>IF(tech_base!$T48&gt;AR$2025,"",fuel_costs!AJ$10*0.086/tech_proj!AR172/(1-tech_proj!AR452))</f>
        <v>20.100429656666655</v>
      </c>
      <c r="AS2072" s="119">
        <f>IF(tech_base!$T48&gt;AS$2025,"",fuel_costs!AK$10*0.086/tech_proj!AS172/(1-tech_proj!AS452))</f>
        <v>20.102036971263377</v>
      </c>
      <c r="AT2072" s="119">
        <f>IF(tech_base!$T48&gt;AT$2025,"",fuel_costs!AL$10*0.086/tech_proj!AT172/(1-tech_proj!AT452))</f>
        <v>20.098546512493701</v>
      </c>
      <c r="AU2072" s="119">
        <f>IF(tech_base!$T48&gt;AU$2025,"",fuel_costs!AM$10*0.086/tech_proj!AU172/(1-tech_proj!AU452))</f>
        <v>20.089670864744203</v>
      </c>
      <c r="AV2072" s="119">
        <f>IF(tech_base!$T48&gt;AV$2025,"",fuel_costs!AN$10*0.086/tech_proj!AV172/(1-tech_proj!AV452))</f>
        <v>20.077189830137371</v>
      </c>
      <c r="AW2072" s="119">
        <f>IF(tech_base!$T48&gt;AW$2025,"",fuel_costs!AO$10*0.086/tech_proj!AW172/(1-tech_proj!AW452))</f>
        <v>20.063275030154273</v>
      </c>
      <c r="AX2072" s="120">
        <f>IF(tech_base!$T48&gt;AX$2025,"",fuel_costs!AP$10*0.086/tech_proj!AX172/(1-tech_proj!AX452))</f>
        <v>20.05032218195386</v>
      </c>
    </row>
    <row r="2073" spans="1:50" x14ac:dyDescent="0.25">
      <c r="A2073" s="356"/>
      <c r="B2073" s="376"/>
      <c r="C2073" s="361" t="s">
        <v>14</v>
      </c>
      <c r="D2073" s="58" t="s">
        <v>7</v>
      </c>
      <c r="E2073" s="78" t="str">
        <f>A2071&amp;"/"&amp;B2071&amp;"/"&amp;C2073&amp;"/"&amp;D2073</f>
        <v>Lignite fired power plants/Integrated gasification combined cycle/CHP/L</v>
      </c>
      <c r="F2073" s="78" t="str">
        <f>A2071</f>
        <v>Lignite fired power plants</v>
      </c>
      <c r="G2073" s="78" t="str">
        <f>B2071</f>
        <v>Integrated gasification combined cycle</v>
      </c>
      <c r="H2073" s="78" t="str">
        <f>C2073</f>
        <v>CHP</v>
      </c>
      <c r="I2073" s="78" t="str">
        <f t="shared" si="387"/>
        <v>L</v>
      </c>
      <c r="J2073" s="123" t="str">
        <f>IF(tech_base!$T49&gt;J$2025,"",fuel_costs!B$10*0.086/tech_proj!J173/(1-tech_proj!J453))</f>
        <v/>
      </c>
      <c r="K2073" s="123" t="str">
        <f>IF(tech_base!$T49&gt;K$2025,"",fuel_costs!C$10*0.086/tech_proj!K173/(1-tech_proj!K453))</f>
        <v/>
      </c>
      <c r="L2073" s="123" t="str">
        <f>IF(tech_base!$T49&gt;L$2025,"",fuel_costs!D$10*0.086/tech_proj!L173/(1-tech_proj!L453))</f>
        <v/>
      </c>
      <c r="M2073" s="123" t="str">
        <f>IF(tech_base!$T49&gt;M$2025,"",fuel_costs!E$10*0.086/tech_proj!M173/(1-tech_proj!M453))</f>
        <v/>
      </c>
      <c r="N2073" s="123" t="str">
        <f>IF(tech_base!$T49&gt;N$2025,"",fuel_costs!F$10*0.086/tech_proj!N173/(1-tech_proj!N453))</f>
        <v/>
      </c>
      <c r="O2073" s="123" t="str">
        <f>IF(tech_base!$T49&gt;O$2025,"",fuel_costs!G$10*0.086/tech_proj!O173/(1-tech_proj!O453))</f>
        <v/>
      </c>
      <c r="P2073" s="123" t="str">
        <f>IF(tech_base!$T49&gt;P$2025,"",fuel_costs!H$10*0.086/tech_proj!P173/(1-tech_proj!P453))</f>
        <v/>
      </c>
      <c r="Q2073" s="123" t="str">
        <f>IF(tech_base!$T49&gt;Q$2025,"",fuel_costs!I$10*0.086/tech_proj!Q173/(1-tech_proj!Q453))</f>
        <v/>
      </c>
      <c r="R2073" s="123" t="str">
        <f>IF(tech_base!$T49&gt;R$2025,"",fuel_costs!J$10*0.086/tech_proj!R173/(1-tech_proj!R453))</f>
        <v/>
      </c>
      <c r="S2073" s="123" t="str">
        <f>IF(tech_base!$T49&gt;S$2025,"",fuel_costs!K$10*0.086/tech_proj!S173/(1-tech_proj!S453))</f>
        <v/>
      </c>
      <c r="T2073" s="123">
        <f>IF(tech_base!$T49&gt;T$2025,"",fuel_costs!L$10*0.086/tech_proj!T173/(1-tech_proj!T453))</f>
        <v>19.706276948709053</v>
      </c>
      <c r="U2073" s="123">
        <f>IF(tech_base!$T49&gt;U$2025,"",fuel_costs!M$10*0.086/tech_proj!U173/(1-tech_proj!U453))</f>
        <v>19.784765433127095</v>
      </c>
      <c r="V2073" s="123">
        <f>IF(tech_base!$T49&gt;V$2025,"",fuel_costs!N$10*0.086/tech_proj!V173/(1-tech_proj!V453))</f>
        <v>19.863155470645065</v>
      </c>
      <c r="W2073" s="123">
        <f>IF(tech_base!$T49&gt;W$2025,"",fuel_costs!O$10*0.086/tech_proj!W173/(1-tech_proj!W453))</f>
        <v>19.941418760485121</v>
      </c>
      <c r="X2073" s="123">
        <f>IF(tech_base!$T49&gt;X$2025,"",fuel_costs!P$10*0.086/tech_proj!X173/(1-tech_proj!X453))</f>
        <v>20.019518922897863</v>
      </c>
      <c r="Y2073" s="123">
        <f>IF(tech_base!$T49&gt;Y$2025,"",fuel_costs!Q$10*0.086/tech_proj!Y173/(1-tech_proj!Y453))</f>
        <v>20.09740922903152</v>
      </c>
      <c r="Z2073" s="123">
        <f>IF(tech_base!$T49&gt;Z$2025,"",fuel_costs!R$10*0.086/tech_proj!Z173/(1-tech_proj!Z453))</f>
        <v>20.176605890503193</v>
      </c>
      <c r="AA2073" s="123">
        <f>IF(tech_base!$T49&gt;AA$2025,"",fuel_costs!S$10*0.086/tech_proj!AA173/(1-tech_proj!AA453))</f>
        <v>20.255455647778856</v>
      </c>
      <c r="AB2073" s="123">
        <f>IF(tech_base!$T49&gt;AB$2025,"",fuel_costs!T$10*0.086/tech_proj!AB173/(1-tech_proj!AB453))</f>
        <v>20.33386007632966</v>
      </c>
      <c r="AC2073" s="123">
        <f>IF(tech_base!$T49&gt;AC$2025,"",fuel_costs!U$10*0.086/tech_proj!AC173/(1-tech_proj!AC453))</f>
        <v>20.411693498065926</v>
      </c>
      <c r="AD2073" s="123">
        <f>IF(tech_base!$T49&gt;AD$2025,"",fuel_costs!V$10*0.086/tech_proj!AD173/(1-tech_proj!AD453))</f>
        <v>20.48879586769328</v>
      </c>
      <c r="AE2073" s="123">
        <f>IF(tech_base!$T49&gt;AE$2025,"",fuel_costs!W$10*0.086/tech_proj!AE173/(1-tech_proj!AE453))</f>
        <v>20.566570721371267</v>
      </c>
      <c r="AF2073" s="123">
        <f>IF(tech_base!$T49&gt;AF$2025,"",fuel_costs!X$10*0.086/tech_proj!AF173/(1-tech_proj!AF453))</f>
        <v>20.643154004289762</v>
      </c>
      <c r="AG2073" s="123">
        <f>IF(tech_base!$T49&gt;AG$2025,"",fuel_costs!Y$10*0.086/tech_proj!AG173/(1-tech_proj!AG453))</f>
        <v>20.71822311075432</v>
      </c>
      <c r="AH2073" s="123">
        <f>IF(tech_base!$T49&gt;AH$2025,"",fuel_costs!Z$10*0.086/tech_proj!AH173/(1-tech_proj!AH453))</f>
        <v>20.791375881400697</v>
      </c>
      <c r="AI2073" s="123">
        <f>IF(tech_base!$T49&gt;AI$2025,"",fuel_costs!AA$10*0.086/tech_proj!AI173/(1-tech_proj!AI453))</f>
        <v>20.862115923213064</v>
      </c>
      <c r="AJ2073" s="123">
        <f>IF(tech_base!$T49&gt;AJ$2025,"",fuel_costs!AB$10*0.086/tech_proj!AJ173/(1-tech_proj!AJ453))</f>
        <v>20.931473589391477</v>
      </c>
      <c r="AK2073" s="123">
        <f>IF(tech_base!$T49&gt;AK$2025,"",fuel_costs!AC$10*0.086/tech_proj!AK173/(1-tech_proj!AK453))</f>
        <v>20.997086705143126</v>
      </c>
      <c r="AL2073" s="123">
        <f>IF(tech_base!$T49&gt;AL$2025,"",fuel_costs!AD$10*0.086/tech_proj!AL173/(1-tech_proj!AL453))</f>
        <v>21.058106741569105</v>
      </c>
      <c r="AM2073" s="123">
        <f>IF(tech_base!$T49&gt;AM$2025,"",fuel_costs!AE$10*0.086/tech_proj!AM173/(1-tech_proj!AM453))</f>
        <v>21.113571627916567</v>
      </c>
      <c r="AN2073" s="123">
        <f>IF(tech_base!$T49&gt;AN$2025,"",fuel_costs!AF$10*0.086/tech_proj!AN173/(1-tech_proj!AN453))</f>
        <v>21.162438248233354</v>
      </c>
      <c r="AO2073" s="123">
        <f>IF(tech_base!$T49&gt;AO$2025,"",fuel_costs!AG$10*0.086/tech_proj!AO173/(1-tech_proj!AO453))</f>
        <v>21.205304839925041</v>
      </c>
      <c r="AP2073" s="123">
        <f>IF(tech_base!$T49&gt;AP$2025,"",fuel_costs!AH$10*0.086/tech_proj!AP173/(1-tech_proj!AP453))</f>
        <v>21.239543569492692</v>
      </c>
      <c r="AQ2073" s="123">
        <f>IF(tech_base!$T49&gt;AQ$2025,"",fuel_costs!AI$10*0.086/tech_proj!AQ173/(1-tech_proj!AQ453))</f>
        <v>21.264444153422133</v>
      </c>
      <c r="AR2073" s="123">
        <f>IF(tech_base!$T49&gt;AR$2025,"",fuel_costs!AJ$10*0.086/tech_proj!AR173/(1-tech_proj!AR453))</f>
        <v>21.279756995979792</v>
      </c>
      <c r="AS2073" s="123">
        <f>IF(tech_base!$T49&gt;AS$2025,"",fuel_costs!AK$10*0.086/tech_proj!AS173/(1-tech_proj!AS453))</f>
        <v>21.285917651607623</v>
      </c>
      <c r="AT2073" s="123">
        <f>IF(tech_base!$T49&gt;AT$2025,"",fuel_costs!AL$10*0.086/tech_proj!AT173/(1-tech_proj!AT453))</f>
        <v>21.285899578009179</v>
      </c>
      <c r="AU2073" s="123">
        <f>IF(tech_base!$T49&gt;AU$2025,"",fuel_costs!AM$10*0.086/tech_proj!AU173/(1-tech_proj!AU453))</f>
        <v>21.280290855702443</v>
      </c>
      <c r="AV2073" s="123">
        <f>IF(tech_base!$T49&gt;AV$2025,"",fuel_costs!AN$10*0.086/tech_proj!AV173/(1-tech_proj!AV453))</f>
        <v>21.272203226861489</v>
      </c>
      <c r="AW2073" s="123">
        <f>IF(tech_base!$T49&gt;AW$2025,"",fuel_costs!AO$10*0.086/tech_proj!AW173/(1-tech_proj!AW453))</f>
        <v>21.265267885798423</v>
      </c>
      <c r="AX2073" s="124">
        <f>IF(tech_base!$T49&gt;AX$2025,"",fuel_costs!AP$10*0.086/tech_proj!AX173/(1-tech_proj!AX453))</f>
        <v>21.263129189095199</v>
      </c>
    </row>
    <row r="2074" spans="1:50" x14ac:dyDescent="0.25">
      <c r="A2074" s="356"/>
      <c r="B2074" s="376"/>
      <c r="C2074" s="379"/>
      <c r="D2074" s="59" t="s">
        <v>8</v>
      </c>
      <c r="E2074" s="79" t="str">
        <f>A2071&amp;"/"&amp;B2071&amp;"/"&amp;C2073&amp;"/"&amp;D2074</f>
        <v>Lignite fired power plants/Integrated gasification combined cycle/CHP/M</v>
      </c>
      <c r="F2074" s="79" t="str">
        <f>A2071</f>
        <v>Lignite fired power plants</v>
      </c>
      <c r="G2074" s="79" t="str">
        <f>B2071</f>
        <v>Integrated gasification combined cycle</v>
      </c>
      <c r="H2074" s="79" t="str">
        <f>C2073</f>
        <v>CHP</v>
      </c>
      <c r="I2074" s="79" t="str">
        <f t="shared" si="387"/>
        <v>M</v>
      </c>
      <c r="J2074" s="125" t="str">
        <f>IF(tech_base!$T50&gt;J$2025,"",fuel_costs!B$10*0.086/tech_proj!J174/(1-tech_proj!J454))</f>
        <v/>
      </c>
      <c r="K2074" s="125" t="str">
        <f>IF(tech_base!$T50&gt;K$2025,"",fuel_costs!C$10*0.086/tech_proj!K174/(1-tech_proj!K454))</f>
        <v/>
      </c>
      <c r="L2074" s="125" t="str">
        <f>IF(tech_base!$T50&gt;L$2025,"",fuel_costs!D$10*0.086/tech_proj!L174/(1-tech_proj!L454))</f>
        <v/>
      </c>
      <c r="M2074" s="125" t="str">
        <f>IF(tech_base!$T50&gt;M$2025,"",fuel_costs!E$10*0.086/tech_proj!M174/(1-tech_proj!M454))</f>
        <v/>
      </c>
      <c r="N2074" s="125" t="str">
        <f>IF(tech_base!$T50&gt;N$2025,"",fuel_costs!F$10*0.086/tech_proj!N174/(1-tech_proj!N454))</f>
        <v/>
      </c>
      <c r="O2074" s="125" t="str">
        <f>IF(tech_base!$T50&gt;O$2025,"",fuel_costs!G$10*0.086/tech_proj!O174/(1-tech_proj!O454))</f>
        <v/>
      </c>
      <c r="P2074" s="125" t="str">
        <f>IF(tech_base!$T50&gt;P$2025,"",fuel_costs!H$10*0.086/tech_proj!P174/(1-tech_proj!P454))</f>
        <v/>
      </c>
      <c r="Q2074" s="125" t="str">
        <f>IF(tech_base!$T50&gt;Q$2025,"",fuel_costs!I$10*0.086/tech_proj!Q174/(1-tech_proj!Q454))</f>
        <v/>
      </c>
      <c r="R2074" s="125" t="str">
        <f>IF(tech_base!$T50&gt;R$2025,"",fuel_costs!J$10*0.086/tech_proj!R174/(1-tech_proj!R454))</f>
        <v/>
      </c>
      <c r="S2074" s="125" t="str">
        <f>IF(tech_base!$T50&gt;S$2025,"",fuel_costs!K$10*0.086/tech_proj!S174/(1-tech_proj!S454))</f>
        <v/>
      </c>
      <c r="T2074" s="125">
        <f>IF(tech_base!$T50&gt;T$2025,"",fuel_costs!L$10*0.086/tech_proj!T174/(1-tech_proj!T454))</f>
        <v>20.788569345394418</v>
      </c>
      <c r="U2074" s="125">
        <f>IF(tech_base!$T50&gt;U$2025,"",fuel_costs!M$10*0.086/tech_proj!U174/(1-tech_proj!U454))</f>
        <v>20.870575907188829</v>
      </c>
      <c r="V2074" s="125">
        <f>IF(tech_base!$T50&gt;V$2025,"",fuel_costs!N$10*0.086/tech_proj!V174/(1-tech_proj!V454))</f>
        <v>20.952320082847692</v>
      </c>
      <c r="W2074" s="125">
        <f>IF(tech_base!$T50&gt;W$2025,"",fuel_costs!O$10*0.086/tech_proj!W174/(1-tech_proj!W454))</f>
        <v>21.033743488901781</v>
      </c>
      <c r="X2074" s="125">
        <f>IF(tech_base!$T50&gt;X$2025,"",fuel_costs!P$10*0.086/tech_proj!X174/(1-tech_proj!X454))</f>
        <v>21.114775009899308</v>
      </c>
      <c r="Y2074" s="125">
        <f>IF(tech_base!$T50&gt;Y$2025,"",fuel_costs!Q$10*0.086/tech_proj!Y174/(1-tech_proj!Y454))</f>
        <v>21.195328148316349</v>
      </c>
      <c r="Z2074" s="125">
        <f>IF(tech_base!$T50&gt;Z$2025,"",fuel_costs!R$10*0.086/tech_proj!Z174/(1-tech_proj!Z454))</f>
        <v>21.276960018003308</v>
      </c>
      <c r="AA2074" s="125">
        <f>IF(tech_base!$T50&gt;AA$2025,"",fuel_costs!S$10*0.086/tech_proj!AA174/(1-tech_proj!AA454))</f>
        <v>21.357880660509068</v>
      </c>
      <c r="AB2074" s="125">
        <f>IF(tech_base!$T50&gt;AB$2025,"",fuel_costs!T$10*0.086/tech_proj!AB174/(1-tech_proj!AB454))</f>
        <v>21.437936163970182</v>
      </c>
      <c r="AC2074" s="125">
        <f>IF(tech_base!$T50&gt;AC$2025,"",fuel_costs!U$10*0.086/tech_proj!AC174/(1-tech_proj!AC454))</f>
        <v>21.516941167996926</v>
      </c>
      <c r="AD2074" s="125">
        <f>IF(tech_base!$T50&gt;AD$2025,"",fuel_costs!V$10*0.086/tech_proj!AD174/(1-tech_proj!AD454))</f>
        <v>21.594673343386226</v>
      </c>
      <c r="AE2074" s="125">
        <f>IF(tech_base!$T50&gt;AE$2025,"",fuel_costs!W$10*0.086/tech_proj!AE174/(1-tech_proj!AE454))</f>
        <v>21.672560389903008</v>
      </c>
      <c r="AF2074" s="125">
        <f>IF(tech_base!$T50&gt;AF$2025,"",fuel_costs!X$10*0.086/tech_proj!AF174/(1-tech_proj!AF454))</f>
        <v>21.748592963021071</v>
      </c>
      <c r="AG2074" s="125">
        <f>IF(tech_base!$T50&gt;AG$2025,"",fuel_costs!Y$10*0.086/tech_proj!AG174/(1-tech_proj!AG454))</f>
        <v>21.822400179516922</v>
      </c>
      <c r="AH2074" s="125">
        <f>IF(tech_base!$T50&gt;AH$2025,"",fuel_costs!Z$10*0.086/tech_proj!AH174/(1-tech_proj!AH454))</f>
        <v>21.893549679169926</v>
      </c>
      <c r="AI2074" s="125">
        <f>IF(tech_base!$T50&gt;AI$2025,"",fuel_costs!AA$10*0.086/tech_proj!AI174/(1-tech_proj!AI454))</f>
        <v>21.961543504240801</v>
      </c>
      <c r="AJ2074" s="125">
        <f>IF(tech_base!$T50&gt;AJ$2025,"",fuel_costs!AB$10*0.086/tech_proj!AJ174/(1-tech_proj!AJ454))</f>
        <v>22.027537666044431</v>
      </c>
      <c r="AK2074" s="125">
        <f>IF(tech_base!$T50&gt;AK$2025,"",fuel_costs!AC$10*0.086/tech_proj!AK174/(1-tech_proj!AK454))</f>
        <v>22.089179360256775</v>
      </c>
      <c r="AL2074" s="125">
        <f>IF(tech_base!$T50&gt;AL$2025,"",fuel_costs!AD$10*0.086/tech_proj!AL174/(1-tech_proj!AL454))</f>
        <v>22.145787052895269</v>
      </c>
      <c r="AM2074" s="125">
        <f>IF(tech_base!$T50&gt;AM$2025,"",fuel_costs!AE$10*0.086/tech_proj!AM174/(1-tech_proj!AM454))</f>
        <v>22.196647463098031</v>
      </c>
      <c r="AN2074" s="125">
        <f>IF(tech_base!$T50&gt;AN$2025,"",fuel_costs!AF$10*0.086/tech_proj!AN174/(1-tech_proj!AN454))</f>
        <v>22.241049748502522</v>
      </c>
      <c r="AO2074" s="125">
        <f>IF(tech_base!$T50&gt;AO$2025,"",fuel_costs!AG$10*0.086/tech_proj!AO174/(1-tech_proj!AO454))</f>
        <v>22.280076368573624</v>
      </c>
      <c r="AP2074" s="125">
        <f>IF(tech_base!$T50&gt;AP$2025,"",fuel_costs!AH$10*0.086/tech_proj!AP174/(1-tech_proj!AP454))</f>
        <v>22.311440846802931</v>
      </c>
      <c r="AQ2074" s="125">
        <f>IF(tech_base!$T50&gt;AQ$2025,"",fuel_costs!AI$10*0.086/tech_proj!AQ174/(1-tech_proj!AQ454))</f>
        <v>22.33481033154623</v>
      </c>
      <c r="AR2074" s="125">
        <f>IF(tech_base!$T50&gt;AR$2025,"",fuel_costs!AJ$10*0.086/tech_proj!AR174/(1-tech_proj!AR454))</f>
        <v>22.350154305461285</v>
      </c>
      <c r="AS2074" s="125">
        <f>IF(tech_base!$T50&gt;AS$2025,"",fuel_costs!AK$10*0.086/tech_proj!AS174/(1-tech_proj!AS454))</f>
        <v>22.357841242979653</v>
      </c>
      <c r="AT2074" s="125">
        <f>IF(tech_base!$T50&gt;AT$2025,"",fuel_costs!AL$10*0.086/tech_proj!AT174/(1-tech_proj!AT454))</f>
        <v>22.360464571503869</v>
      </c>
      <c r="AU2074" s="125">
        <f>IF(tech_base!$T50&gt;AU$2025,"",fuel_costs!AM$10*0.086/tech_proj!AU174/(1-tech_proj!AU454))</f>
        <v>22.357627371563609</v>
      </c>
      <c r="AV2074" s="125">
        <f>IF(tech_base!$T50&gt;AV$2025,"",fuel_costs!AN$10*0.086/tech_proj!AV174/(1-tech_proj!AV454))</f>
        <v>22.351187693906628</v>
      </c>
      <c r="AW2074" s="125">
        <f>IF(tech_base!$T50&gt;AW$2025,"",fuel_costs!AO$10*0.086/tech_proj!AW174/(1-tech_proj!AW454))</f>
        <v>22.343398707304146</v>
      </c>
      <c r="AX2074" s="126">
        <f>IF(tech_base!$T50&gt;AX$2025,"",fuel_costs!AP$10*0.086/tech_proj!AX174/(1-tech_proj!AX454))</f>
        <v>22.33673228831082</v>
      </c>
    </row>
    <row r="2075" spans="1:50" x14ac:dyDescent="0.25">
      <c r="A2075" s="356"/>
      <c r="B2075" s="376"/>
      <c r="C2075" s="361" t="s">
        <v>15</v>
      </c>
      <c r="D2075" s="58" t="s">
        <v>7</v>
      </c>
      <c r="E2075" s="78" t="str">
        <f>A2071&amp;"/"&amp;B2071&amp;"/"&amp;C2075&amp;"/"&amp;D2075</f>
        <v>Lignite fired power plants/Integrated gasification combined cycle/Electricity only with CCS/L</v>
      </c>
      <c r="F2075" s="78" t="str">
        <f>A2071</f>
        <v>Lignite fired power plants</v>
      </c>
      <c r="G2075" s="78" t="str">
        <f>B2071</f>
        <v>Integrated gasification combined cycle</v>
      </c>
      <c r="H2075" s="78" t="str">
        <f>C2075</f>
        <v>Electricity only with CCS</v>
      </c>
      <c r="I2075" s="78" t="str">
        <f t="shared" si="387"/>
        <v>L</v>
      </c>
      <c r="J2075" s="123" t="str">
        <f>IF(tech_base!$T51&gt;J$2025,"",fuel_costs!B$10*0.086/tech_proj!J175/(1-tech_proj!J455))</f>
        <v/>
      </c>
      <c r="K2075" s="123" t="str">
        <f>IF(tech_base!$T51&gt;K$2025,"",fuel_costs!C$10*0.086/tech_proj!K175/(1-tech_proj!K455))</f>
        <v/>
      </c>
      <c r="L2075" s="123" t="str">
        <f>IF(tech_base!$T51&gt;L$2025,"",fuel_costs!D$10*0.086/tech_proj!L175/(1-tech_proj!L455))</f>
        <v/>
      </c>
      <c r="M2075" s="123" t="str">
        <f>IF(tech_base!$T51&gt;M$2025,"",fuel_costs!E$10*0.086/tech_proj!M175/(1-tech_proj!M455))</f>
        <v/>
      </c>
      <c r="N2075" s="123" t="str">
        <f>IF(tech_base!$T51&gt;N$2025,"",fuel_costs!F$10*0.086/tech_proj!N175/(1-tech_proj!N455))</f>
        <v/>
      </c>
      <c r="O2075" s="123" t="str">
        <f>IF(tech_base!$T51&gt;O$2025,"",fuel_costs!G$10*0.086/tech_proj!O175/(1-tech_proj!O455))</f>
        <v/>
      </c>
      <c r="P2075" s="123" t="str">
        <f>IF(tech_base!$T51&gt;P$2025,"",fuel_costs!H$10*0.086/tech_proj!P175/(1-tech_proj!P455))</f>
        <v/>
      </c>
      <c r="Q2075" s="123" t="str">
        <f>IF(tech_base!$T51&gt;Q$2025,"",fuel_costs!I$10*0.086/tech_proj!Q175/(1-tech_proj!Q455))</f>
        <v/>
      </c>
      <c r="R2075" s="123" t="str">
        <f>IF(tech_base!$T51&gt;R$2025,"",fuel_costs!J$10*0.086/tech_proj!R175/(1-tech_proj!R455))</f>
        <v/>
      </c>
      <c r="S2075" s="123" t="str">
        <f>IF(tech_base!$T51&gt;S$2025,"",fuel_costs!K$10*0.086/tech_proj!S175/(1-tech_proj!S455))</f>
        <v/>
      </c>
      <c r="T2075" s="123" t="str">
        <f>IF(tech_base!$T51&gt;T$2025,"",fuel_costs!L$10*0.086/tech_proj!T175/(1-tech_proj!T455))</f>
        <v/>
      </c>
      <c r="U2075" s="123" t="str">
        <f>IF(tech_base!$T51&gt;U$2025,"",fuel_costs!M$10*0.086/tech_proj!U175/(1-tech_proj!U455))</f>
        <v/>
      </c>
      <c r="V2075" s="123" t="str">
        <f>IF(tech_base!$T51&gt;V$2025,"",fuel_costs!N$10*0.086/tech_proj!V175/(1-tech_proj!V455))</f>
        <v/>
      </c>
      <c r="W2075" s="123" t="str">
        <f>IF(tech_base!$T51&gt;W$2025,"",fuel_costs!O$10*0.086/tech_proj!W175/(1-tech_proj!W455))</f>
        <v/>
      </c>
      <c r="X2075" s="123" t="str">
        <f>IF(tech_base!$T51&gt;X$2025,"",fuel_costs!P$10*0.086/tech_proj!X175/(1-tech_proj!X455))</f>
        <v/>
      </c>
      <c r="Y2075" s="123" t="str">
        <f>IF(tech_base!$T51&gt;Y$2025,"",fuel_costs!Q$10*0.086/tech_proj!Y175/(1-tech_proj!Y455))</f>
        <v/>
      </c>
      <c r="Z2075" s="123" t="str">
        <f>IF(tech_base!$T51&gt;Z$2025,"",fuel_costs!R$10*0.086/tech_proj!Z175/(1-tech_proj!Z455))</f>
        <v/>
      </c>
      <c r="AA2075" s="123" t="str">
        <f>IF(tech_base!$T51&gt;AA$2025,"",fuel_costs!S$10*0.086/tech_proj!AA175/(1-tech_proj!AA455))</f>
        <v/>
      </c>
      <c r="AB2075" s="123" t="str">
        <f>IF(tech_base!$T51&gt;AB$2025,"",fuel_costs!T$10*0.086/tech_proj!AB175/(1-tech_proj!AB455))</f>
        <v/>
      </c>
      <c r="AC2075" s="123" t="str">
        <f>IF(tech_base!$T51&gt;AC$2025,"",fuel_costs!U$10*0.086/tech_proj!AC175/(1-tech_proj!AC455))</f>
        <v/>
      </c>
      <c r="AD2075" s="123" t="str">
        <f>IF(tech_base!$T51&gt;AD$2025,"",fuel_costs!V$10*0.086/tech_proj!AD175/(1-tech_proj!AD455))</f>
        <v/>
      </c>
      <c r="AE2075" s="123">
        <f>IF(tech_base!$T51&gt;AE$2025,"",fuel_costs!W$10*0.086/tech_proj!AE175/(1-tech_proj!AE455))</f>
        <v>24.214943089804358</v>
      </c>
      <c r="AF2075" s="123">
        <f>IF(tech_base!$T51&gt;AF$2025,"",fuel_costs!X$10*0.086/tech_proj!AF175/(1-tech_proj!AF455))</f>
        <v>24.310657637353057</v>
      </c>
      <c r="AG2075" s="123">
        <f>IF(tech_base!$T51&gt;AG$2025,"",fuel_costs!Y$10*0.086/tech_proj!AG175/(1-tech_proj!AG455))</f>
        <v>24.406100268441378</v>
      </c>
      <c r="AH2075" s="123">
        <f>IF(tech_base!$T51&gt;AH$2025,"",fuel_costs!Z$10*0.086/tech_proj!AH175/(1-tech_proj!AH455))</f>
        <v>24.501175115197793</v>
      </c>
      <c r="AI2075" s="123">
        <f>IF(tech_base!$T51&gt;AI$2025,"",fuel_costs!AA$10*0.086/tech_proj!AI175/(1-tech_proj!AI455))</f>
        <v>24.595752840348293</v>
      </c>
      <c r="AJ2075" s="123">
        <f>IF(tech_base!$T51&gt;AJ$2025,"",fuel_costs!AB$10*0.086/tech_proj!AJ175/(1-tech_proj!AJ455))</f>
        <v>24.691588100827442</v>
      </c>
      <c r="AK2075" s="123">
        <f>IF(tech_base!$T51&gt;AK$2025,"",fuel_costs!AC$10*0.086/tech_proj!AK175/(1-tech_proj!AK455))</f>
        <v>24.786517283747688</v>
      </c>
      <c r="AL2075" s="123">
        <f>IF(tech_base!$T51&gt;AL$2025,"",fuel_costs!AD$10*0.086/tech_proj!AL175/(1-tech_proj!AL455))</f>
        <v>24.880226178195617</v>
      </c>
      <c r="AM2075" s="123">
        <f>IF(tech_base!$T51&gt;AM$2025,"",fuel_costs!AE$10*0.086/tech_proj!AM175/(1-tech_proj!AM455))</f>
        <v>24.97229516391641</v>
      </c>
      <c r="AN2075" s="123">
        <f>IF(tech_base!$T51&gt;AN$2025,"",fuel_costs!AF$10*0.086/tech_proj!AN175/(1-tech_proj!AN455))</f>
        <v>25.062166736061307</v>
      </c>
      <c r="AO2075" s="123">
        <f>IF(tech_base!$T51&gt;AO$2025,"",fuel_costs!AG$10*0.086/tech_proj!AO175/(1-tech_proj!AO455))</f>
        <v>25.151070155307991</v>
      </c>
      <c r="AP2075" s="123">
        <f>IF(tech_base!$T51&gt;AP$2025,"",fuel_costs!AH$10*0.086/tech_proj!AP175/(1-tech_proj!AP455))</f>
        <v>25.236077181290192</v>
      </c>
      <c r="AQ2075" s="123">
        <f>IF(tech_base!$T51&gt;AQ$2025,"",fuel_costs!AI$10*0.086/tech_proj!AQ175/(1-tech_proj!AQ455))</f>
        <v>25.315947169786025</v>
      </c>
      <c r="AR2075" s="123">
        <f>IF(tech_base!$T51&gt;AR$2025,"",fuel_costs!AJ$10*0.086/tech_proj!AR175/(1-tech_proj!AR455))</f>
        <v>25.389108774048797</v>
      </c>
      <c r="AS2075" s="123">
        <f>IF(tech_base!$T51&gt;AS$2025,"",fuel_costs!AK$10*0.086/tech_proj!AS175/(1-tech_proj!AS455))</f>
        <v>25.453621635677628</v>
      </c>
      <c r="AT2075" s="123">
        <f>IF(tech_base!$T51&gt;AT$2025,"",fuel_costs!AL$10*0.086/tech_proj!AT175/(1-tech_proj!AT455))</f>
        <v>25.509167364697451</v>
      </c>
      <c r="AU2075" s="123">
        <f>IF(tech_base!$T51&gt;AU$2025,"",fuel_costs!AM$10*0.086/tech_proj!AU175/(1-tech_proj!AU455))</f>
        <v>25.551132928813125</v>
      </c>
      <c r="AV2075" s="123">
        <f>IF(tech_base!$T51&gt;AV$2025,"",fuel_costs!AN$10*0.086/tech_proj!AV175/(1-tech_proj!AV455))</f>
        <v>25.57679663238282</v>
      </c>
      <c r="AW2075" s="123">
        <f>IF(tech_base!$T51&gt;AW$2025,"",fuel_costs!AO$10*0.086/tech_proj!AW175/(1-tech_proj!AW455))</f>
        <v>25.583696787907382</v>
      </c>
      <c r="AX2075" s="124">
        <f>IF(tech_base!$T51&gt;AX$2025,"",fuel_costs!AP$10*0.086/tech_proj!AX175/(1-tech_proj!AX455))</f>
        <v>25.570204758482358</v>
      </c>
    </row>
    <row r="2076" spans="1:50" x14ac:dyDescent="0.25">
      <c r="A2076" s="356"/>
      <c r="B2076" s="376"/>
      <c r="C2076" s="379"/>
      <c r="D2076" s="59" t="s">
        <v>8</v>
      </c>
      <c r="E2076" s="79" t="str">
        <f>A2071&amp;"/"&amp;B2071&amp;"/"&amp;C2075&amp;"/"&amp;D2076</f>
        <v>Lignite fired power plants/Integrated gasification combined cycle/Electricity only with CCS/M</v>
      </c>
      <c r="F2076" s="79" t="str">
        <f>A2071</f>
        <v>Lignite fired power plants</v>
      </c>
      <c r="G2076" s="79" t="str">
        <f>B2071</f>
        <v>Integrated gasification combined cycle</v>
      </c>
      <c r="H2076" s="79" t="str">
        <f>C2075</f>
        <v>Electricity only with CCS</v>
      </c>
      <c r="I2076" s="79" t="str">
        <f t="shared" si="387"/>
        <v>M</v>
      </c>
      <c r="J2076" s="125" t="str">
        <f>IF(tech_base!$T52&gt;J$2025,"",fuel_costs!B$10*0.086/tech_proj!J176/(1-tech_proj!J456))</f>
        <v/>
      </c>
      <c r="K2076" s="125" t="str">
        <f>IF(tech_base!$T52&gt;K$2025,"",fuel_costs!C$10*0.086/tech_proj!K176/(1-tech_proj!K456))</f>
        <v/>
      </c>
      <c r="L2076" s="125" t="str">
        <f>IF(tech_base!$T52&gt;L$2025,"",fuel_costs!D$10*0.086/tech_proj!L176/(1-tech_proj!L456))</f>
        <v/>
      </c>
      <c r="M2076" s="125" t="str">
        <f>IF(tech_base!$T52&gt;M$2025,"",fuel_costs!E$10*0.086/tech_proj!M176/(1-tech_proj!M456))</f>
        <v/>
      </c>
      <c r="N2076" s="125" t="str">
        <f>IF(tech_base!$T52&gt;N$2025,"",fuel_costs!F$10*0.086/tech_proj!N176/(1-tech_proj!N456))</f>
        <v/>
      </c>
      <c r="O2076" s="125" t="str">
        <f>IF(tech_base!$T52&gt;O$2025,"",fuel_costs!G$10*0.086/tech_proj!O176/(1-tech_proj!O456))</f>
        <v/>
      </c>
      <c r="P2076" s="125" t="str">
        <f>IF(tech_base!$T52&gt;P$2025,"",fuel_costs!H$10*0.086/tech_proj!P176/(1-tech_proj!P456))</f>
        <v/>
      </c>
      <c r="Q2076" s="125" t="str">
        <f>IF(tech_base!$T52&gt;Q$2025,"",fuel_costs!I$10*0.086/tech_proj!Q176/(1-tech_proj!Q456))</f>
        <v/>
      </c>
      <c r="R2076" s="125" t="str">
        <f>IF(tech_base!$T52&gt;R$2025,"",fuel_costs!J$10*0.086/tech_proj!R176/(1-tech_proj!R456))</f>
        <v/>
      </c>
      <c r="S2076" s="125" t="str">
        <f>IF(tech_base!$T52&gt;S$2025,"",fuel_costs!K$10*0.086/tech_proj!S176/(1-tech_proj!S456))</f>
        <v/>
      </c>
      <c r="T2076" s="125" t="str">
        <f>IF(tech_base!$T52&gt;T$2025,"",fuel_costs!L$10*0.086/tech_proj!T176/(1-tech_proj!T456))</f>
        <v/>
      </c>
      <c r="U2076" s="125" t="str">
        <f>IF(tech_base!$T52&gt;U$2025,"",fuel_costs!M$10*0.086/tech_proj!U176/(1-tech_proj!U456))</f>
        <v/>
      </c>
      <c r="V2076" s="125" t="str">
        <f>IF(tech_base!$T52&gt;V$2025,"",fuel_costs!N$10*0.086/tech_proj!V176/(1-tech_proj!V456))</f>
        <v/>
      </c>
      <c r="W2076" s="125" t="str">
        <f>IF(tech_base!$T52&gt;W$2025,"",fuel_costs!O$10*0.086/tech_proj!W176/(1-tech_proj!W456))</f>
        <v/>
      </c>
      <c r="X2076" s="125" t="str">
        <f>IF(tech_base!$T52&gt;X$2025,"",fuel_costs!P$10*0.086/tech_proj!X176/(1-tech_proj!X456))</f>
        <v/>
      </c>
      <c r="Y2076" s="125" t="str">
        <f>IF(tech_base!$T52&gt;Y$2025,"",fuel_costs!Q$10*0.086/tech_proj!Y176/(1-tech_proj!Y456))</f>
        <v/>
      </c>
      <c r="Z2076" s="125" t="str">
        <f>IF(tech_base!$T52&gt;Z$2025,"",fuel_costs!R$10*0.086/tech_proj!Z176/(1-tech_proj!Z456))</f>
        <v/>
      </c>
      <c r="AA2076" s="125" t="str">
        <f>IF(tech_base!$T52&gt;AA$2025,"",fuel_costs!S$10*0.086/tech_proj!AA176/(1-tech_proj!AA456))</f>
        <v/>
      </c>
      <c r="AB2076" s="125" t="str">
        <f>IF(tech_base!$T52&gt;AB$2025,"",fuel_costs!T$10*0.086/tech_proj!AB176/(1-tech_proj!AB456))</f>
        <v/>
      </c>
      <c r="AC2076" s="125" t="str">
        <f>IF(tech_base!$T52&gt;AC$2025,"",fuel_costs!U$10*0.086/tech_proj!AC176/(1-tech_proj!AC456))</f>
        <v/>
      </c>
      <c r="AD2076" s="125" t="str">
        <f>IF(tech_base!$T52&gt;AD$2025,"",fuel_costs!V$10*0.086/tech_proj!AD176/(1-tech_proj!AD456))</f>
        <v/>
      </c>
      <c r="AE2076" s="125">
        <f>IF(tech_base!$T52&gt;AE$2025,"",fuel_costs!W$10*0.086/tech_proj!AE176/(1-tech_proj!AE456))</f>
        <v>25.881708925091104</v>
      </c>
      <c r="AF2076" s="125">
        <f>IF(tech_base!$T52&gt;AF$2025,"",fuel_costs!X$10*0.086/tech_proj!AF176/(1-tech_proj!AF456))</f>
        <v>25.984424017177972</v>
      </c>
      <c r="AG2076" s="125">
        <f>IF(tech_base!$T52&gt;AG$2025,"",fuel_costs!Y$10*0.086/tech_proj!AG176/(1-tech_proj!AG456))</f>
        <v>26.086968163004794</v>
      </c>
      <c r="AH2076" s="125">
        <f>IF(tech_base!$T52&gt;AH$2025,"",fuel_costs!Z$10*0.086/tech_proj!AH176/(1-tech_proj!AH456))</f>
        <v>26.189269003234322</v>
      </c>
      <c r="AI2076" s="125">
        <f>IF(tech_base!$T52&gt;AI$2025,"",fuel_costs!AA$10*0.086/tech_proj!AI176/(1-tech_proj!AI456))</f>
        <v>26.291223685907696</v>
      </c>
      <c r="AJ2076" s="125">
        <f>IF(tech_base!$T52&gt;AJ$2025,"",fuel_costs!AB$10*0.086/tech_proj!AJ176/(1-tech_proj!AJ456))</f>
        <v>26.394748080887197</v>
      </c>
      <c r="AK2076" s="125">
        <f>IF(tech_base!$T52&gt;AK$2025,"",fuel_costs!AC$10*0.086/tech_proj!AK176/(1-tech_proj!AK456))</f>
        <v>26.497572752245823</v>
      </c>
      <c r="AL2076" s="125">
        <f>IF(tech_base!$T52&gt;AL$2025,"",fuel_costs!AD$10*0.086/tech_proj!AL176/(1-tech_proj!AL456))</f>
        <v>26.599404241982974</v>
      </c>
      <c r="AM2076" s="125">
        <f>IF(tech_base!$T52&gt;AM$2025,"",fuel_costs!AE$10*0.086/tech_proj!AM176/(1-tech_proj!AM456))</f>
        <v>26.699828197125012</v>
      </c>
      <c r="AN2076" s="125">
        <f>IF(tech_base!$T52&gt;AN$2025,"",fuel_costs!AF$10*0.086/tech_proj!AN176/(1-tech_proj!AN456))</f>
        <v>26.798261754921917</v>
      </c>
      <c r="AO2076" s="125">
        <f>IF(tech_base!$T52&gt;AO$2025,"",fuel_costs!AG$10*0.086/tech_proj!AO176/(1-tech_proj!AO456))</f>
        <v>26.895990466207898</v>
      </c>
      <c r="AP2076" s="125">
        <f>IF(tech_base!$T52&gt;AP$2025,"",fuel_costs!AH$10*0.086/tech_proj!AP176/(1-tech_proj!AP456))</f>
        <v>26.989778752456441</v>
      </c>
      <c r="AQ2076" s="125">
        <f>IF(tech_base!$T52&gt;AQ$2025,"",fuel_costs!AI$10*0.086/tech_proj!AQ176/(1-tech_proj!AQ456))</f>
        <v>27.078070043852357</v>
      </c>
      <c r="AR2076" s="125">
        <f>IF(tech_base!$T52&gt;AR$2025,"",fuel_costs!AJ$10*0.086/tech_proj!AR176/(1-tech_proj!AR456))</f>
        <v>27.158759700655075</v>
      </c>
      <c r="AS2076" s="125">
        <f>IF(tech_base!$T52&gt;AS$2025,"",fuel_costs!AK$10*0.086/tech_proj!AS176/(1-tech_proj!AS456))</f>
        <v>27.229066441679599</v>
      </c>
      <c r="AT2076" s="125">
        <f>IF(tech_base!$T52&gt;AT$2025,"",fuel_costs!AL$10*0.086/tech_proj!AT176/(1-tech_proj!AT456))</f>
        <v>27.28756837926101</v>
      </c>
      <c r="AU2076" s="125">
        <f>IF(tech_base!$T52&gt;AU$2025,"",fuel_costs!AM$10*0.086/tech_proj!AU176/(1-tech_proj!AU456))</f>
        <v>27.327808185091534</v>
      </c>
      <c r="AV2076" s="125">
        <f>IF(tech_base!$T52&gt;AV$2025,"",fuel_costs!AN$10*0.086/tech_proj!AV176/(1-tech_proj!AV456))</f>
        <v>27.344945179608203</v>
      </c>
      <c r="AW2076" s="125">
        <f>IF(tech_base!$T52&gt;AW$2025,"",fuel_costs!AO$10*0.086/tech_proj!AW176/(1-tech_proj!AW456))</f>
        <v>27.334255749097768</v>
      </c>
      <c r="AX2076" s="126">
        <f>IF(tech_base!$T52&gt;AX$2025,"",fuel_costs!AP$10*0.086/tech_proj!AX176/(1-tech_proj!AX456))</f>
        <v>27.292320493136909</v>
      </c>
    </row>
    <row r="2077" spans="1:50" x14ac:dyDescent="0.25">
      <c r="A2077" s="356"/>
      <c r="B2077" s="376"/>
      <c r="C2077" s="361" t="s">
        <v>16</v>
      </c>
      <c r="D2077" s="2" t="s">
        <v>7</v>
      </c>
      <c r="E2077" s="76" t="str">
        <f>A2071&amp;"/"&amp;B2071&amp;"/"&amp;C2077&amp;"/"&amp;D2077</f>
        <v>Lignite fired power plants/Integrated gasification combined cycle/CHP with CCS/L</v>
      </c>
      <c r="F2077" s="76" t="str">
        <f>A2071</f>
        <v>Lignite fired power plants</v>
      </c>
      <c r="G2077" s="76" t="str">
        <f>B2071</f>
        <v>Integrated gasification combined cycle</v>
      </c>
      <c r="H2077" s="76" t="str">
        <f>C2077</f>
        <v>CHP with CCS</v>
      </c>
      <c r="I2077" s="76" t="str">
        <f t="shared" si="387"/>
        <v>L</v>
      </c>
      <c r="J2077" s="119" t="str">
        <f>IF(tech_base!$T53&gt;J$2025,"",fuel_costs!B$10*0.086/tech_proj!J177/(1-tech_proj!J457))</f>
        <v/>
      </c>
      <c r="K2077" s="119" t="str">
        <f>IF(tech_base!$T53&gt;K$2025,"",fuel_costs!C$10*0.086/tech_proj!K177/(1-tech_proj!K457))</f>
        <v/>
      </c>
      <c r="L2077" s="119" t="str">
        <f>IF(tech_base!$T53&gt;L$2025,"",fuel_costs!D$10*0.086/tech_proj!L177/(1-tech_proj!L457))</f>
        <v/>
      </c>
      <c r="M2077" s="119" t="str">
        <f>IF(tech_base!$T53&gt;M$2025,"",fuel_costs!E$10*0.086/tech_proj!M177/(1-tech_proj!M457))</f>
        <v/>
      </c>
      <c r="N2077" s="119" t="str">
        <f>IF(tech_base!$T53&gt;N$2025,"",fuel_costs!F$10*0.086/tech_proj!N177/(1-tech_proj!N457))</f>
        <v/>
      </c>
      <c r="O2077" s="119" t="str">
        <f>IF(tech_base!$T53&gt;O$2025,"",fuel_costs!G$10*0.086/tech_proj!O177/(1-tech_proj!O457))</f>
        <v/>
      </c>
      <c r="P2077" s="119" t="str">
        <f>IF(tech_base!$T53&gt;P$2025,"",fuel_costs!H$10*0.086/tech_proj!P177/(1-tech_proj!P457))</f>
        <v/>
      </c>
      <c r="Q2077" s="119" t="str">
        <f>IF(tech_base!$T53&gt;Q$2025,"",fuel_costs!I$10*0.086/tech_proj!Q177/(1-tech_proj!Q457))</f>
        <v/>
      </c>
      <c r="R2077" s="119" t="str">
        <f>IF(tech_base!$T53&gt;R$2025,"",fuel_costs!J$10*0.086/tech_proj!R177/(1-tech_proj!R457))</f>
        <v/>
      </c>
      <c r="S2077" s="119" t="str">
        <f>IF(tech_base!$T53&gt;S$2025,"",fuel_costs!K$10*0.086/tech_proj!S177/(1-tech_proj!S457))</f>
        <v/>
      </c>
      <c r="T2077" s="119" t="str">
        <f>IF(tech_base!$T53&gt;T$2025,"",fuel_costs!L$10*0.086/tech_proj!T177/(1-tech_proj!T457))</f>
        <v/>
      </c>
      <c r="U2077" s="119" t="str">
        <f>IF(tech_base!$T53&gt;U$2025,"",fuel_costs!M$10*0.086/tech_proj!U177/(1-tech_proj!U457))</f>
        <v/>
      </c>
      <c r="V2077" s="119" t="str">
        <f>IF(tech_base!$T53&gt;V$2025,"",fuel_costs!N$10*0.086/tech_proj!V177/(1-tech_proj!V457))</f>
        <v/>
      </c>
      <c r="W2077" s="119" t="str">
        <f>IF(tech_base!$T53&gt;W$2025,"",fuel_costs!O$10*0.086/tech_proj!W177/(1-tech_proj!W457))</f>
        <v/>
      </c>
      <c r="X2077" s="119" t="str">
        <f>IF(tech_base!$T53&gt;X$2025,"",fuel_costs!P$10*0.086/tech_proj!X177/(1-tech_proj!X457))</f>
        <v/>
      </c>
      <c r="Y2077" s="119" t="str">
        <f>IF(tech_base!$T53&gt;Y$2025,"",fuel_costs!Q$10*0.086/tech_proj!Y177/(1-tech_proj!Y457))</f>
        <v/>
      </c>
      <c r="Z2077" s="119" t="str">
        <f>IF(tech_base!$T53&gt;Z$2025,"",fuel_costs!R$10*0.086/tech_proj!Z177/(1-tech_proj!Z457))</f>
        <v/>
      </c>
      <c r="AA2077" s="119" t="str">
        <f>IF(tech_base!$T53&gt;AA$2025,"",fuel_costs!S$10*0.086/tech_proj!AA177/(1-tech_proj!AA457))</f>
        <v/>
      </c>
      <c r="AB2077" s="119" t="str">
        <f>IF(tech_base!$T53&gt;AB$2025,"",fuel_costs!T$10*0.086/tech_proj!AB177/(1-tech_proj!AB457))</f>
        <v/>
      </c>
      <c r="AC2077" s="119" t="str">
        <f>IF(tech_base!$T53&gt;AC$2025,"",fuel_costs!U$10*0.086/tech_proj!AC177/(1-tech_proj!AC457))</f>
        <v/>
      </c>
      <c r="AD2077" s="119" t="str">
        <f>IF(tech_base!$T53&gt;AD$2025,"",fuel_costs!V$10*0.086/tech_proj!AD177/(1-tech_proj!AD457))</f>
        <v/>
      </c>
      <c r="AE2077" s="119">
        <f>IF(tech_base!$T53&gt;AE$2025,"",fuel_costs!W$10*0.086/tech_proj!AE177/(1-tech_proj!AE457))</f>
        <v>27.606541289571926</v>
      </c>
      <c r="AF2077" s="119">
        <f>IF(tech_base!$T53&gt;AF$2025,"",fuel_costs!X$10*0.086/tech_proj!AF177/(1-tech_proj!AF457))</f>
        <v>27.715714317939852</v>
      </c>
      <c r="AG2077" s="119">
        <f>IF(tech_base!$T53&gt;AG$2025,"",fuel_costs!Y$10*0.086/tech_proj!AG177/(1-tech_proj!AG457))</f>
        <v>27.824596151400769</v>
      </c>
      <c r="AH2077" s="119">
        <f>IF(tech_base!$T53&gt;AH$2025,"",fuel_costs!Z$10*0.086/tech_proj!AH177/(1-tech_proj!AH457))</f>
        <v>27.933084133346266</v>
      </c>
      <c r="AI2077" s="119">
        <f>IF(tech_base!$T53&gt;AI$2025,"",fuel_costs!AA$10*0.086/tech_proj!AI177/(1-tech_proj!AI457))</f>
        <v>28.041039774413527</v>
      </c>
      <c r="AJ2077" s="119">
        <f>IF(tech_base!$T53&gt;AJ$2025,"",fuel_costs!AB$10*0.086/tech_proj!AJ177/(1-tech_proj!AJ457))</f>
        <v>28.150475620038772</v>
      </c>
      <c r="AK2077" s="119">
        <f>IF(tech_base!$T53&gt;AK$2025,"",fuel_costs!AC$10*0.086/tech_proj!AK177/(1-tech_proj!AK457))</f>
        <v>28.258941281574934</v>
      </c>
      <c r="AL2077" s="119">
        <f>IF(tech_base!$T53&gt;AL$2025,"",fuel_costs!AD$10*0.086/tech_proj!AL177/(1-tech_proj!AL457))</f>
        <v>28.366100406716139</v>
      </c>
      <c r="AM2077" s="119">
        <f>IF(tech_base!$T53&gt;AM$2025,"",fuel_costs!AE$10*0.086/tech_proj!AM177/(1-tech_proj!AM457))</f>
        <v>28.471503879517375</v>
      </c>
      <c r="AN2077" s="119">
        <f>IF(tech_base!$T53&gt;AN$2025,"",fuel_costs!AF$10*0.086/tech_proj!AN177/(1-tech_proj!AN457))</f>
        <v>28.574555140216223</v>
      </c>
      <c r="AO2077" s="119">
        <f>IF(tech_base!$T53&gt;AO$2025,"",fuel_costs!AG$10*0.086/tech_proj!AO177/(1-tech_proj!AO457))</f>
        <v>28.676707582522329</v>
      </c>
      <c r="AP2077" s="119">
        <f>IF(tech_base!$T53&gt;AP$2025,"",fuel_costs!AH$10*0.086/tech_proj!AP177/(1-tech_proj!AP457))</f>
        <v>28.774690792661122</v>
      </c>
      <c r="AQ2077" s="119">
        <f>IF(tech_base!$T53&gt;AQ$2025,"",fuel_costs!AI$10*0.086/tech_proj!AQ177/(1-tech_proj!AQ457))</f>
        <v>28.867178930334799</v>
      </c>
      <c r="AR2077" s="119">
        <f>IF(tech_base!$T53&gt;AR$2025,"",fuel_costs!AJ$10*0.086/tech_proj!AR177/(1-tech_proj!AR457))</f>
        <v>28.952494081377619</v>
      </c>
      <c r="AS2077" s="119">
        <f>IF(tech_base!$T53&gt;AS$2025,"",fuel_costs!AK$10*0.086/tech_proj!AS177/(1-tech_proj!AS457))</f>
        <v>29.028566622771962</v>
      </c>
      <c r="AT2077" s="119">
        <f>IF(tech_base!$T53&gt;AT$2025,"",fuel_costs!AL$10*0.086/tech_proj!AT177/(1-tech_proj!AT457))</f>
        <v>29.095208334470851</v>
      </c>
      <c r="AU2077" s="119">
        <f>IF(tech_base!$T53&gt;AU$2025,"",fuel_costs!AM$10*0.086/tech_proj!AU177/(1-tech_proj!AU457))</f>
        <v>29.147362748263387</v>
      </c>
      <c r="AV2077" s="119">
        <f>IF(tech_base!$T53&gt;AV$2025,"",fuel_costs!AN$10*0.086/tech_proj!AV177/(1-tech_proj!AV457))</f>
        <v>29.182149922217906</v>
      </c>
      <c r="AW2077" s="119">
        <f>IF(tech_base!$T53&gt;AW$2025,"",fuel_costs!AO$10*0.086/tech_proj!AW177/(1-tech_proj!AW457))</f>
        <v>29.19698408356609</v>
      </c>
      <c r="AX2077" s="120">
        <f>IF(tech_base!$T53&gt;AX$2025,"",fuel_costs!AP$10*0.086/tech_proj!AX177/(1-tech_proj!AX457))</f>
        <v>29.190188402548561</v>
      </c>
    </row>
    <row r="2078" spans="1:50" x14ac:dyDescent="0.25">
      <c r="A2078" s="356"/>
      <c r="B2078" s="376"/>
      <c r="C2078" s="381"/>
      <c r="D2078" s="2" t="s">
        <v>8</v>
      </c>
      <c r="E2078" s="80" t="str">
        <f>A2071&amp;"/"&amp;B2071&amp;"/"&amp;C2077&amp;"/"&amp;D2078</f>
        <v>Lignite fired power plants/Integrated gasification combined cycle/CHP with CCS/M</v>
      </c>
      <c r="F2078" s="80" t="str">
        <f>A2071</f>
        <v>Lignite fired power plants</v>
      </c>
      <c r="G2078" s="80" t="str">
        <f>B2071</f>
        <v>Integrated gasification combined cycle</v>
      </c>
      <c r="H2078" s="80" t="str">
        <f>C2077</f>
        <v>CHP with CCS</v>
      </c>
      <c r="I2078" s="80" t="str">
        <f t="shared" si="387"/>
        <v>M</v>
      </c>
      <c r="J2078" s="127" t="str">
        <f>IF(tech_base!$T54&gt;J$2025,"",fuel_costs!B$10*0.086/tech_proj!J178/(1-tech_proj!J458))</f>
        <v/>
      </c>
      <c r="K2078" s="127" t="str">
        <f>IF(tech_base!$T54&gt;K$2025,"",fuel_costs!C$10*0.086/tech_proj!K178/(1-tech_proj!K458))</f>
        <v/>
      </c>
      <c r="L2078" s="127" t="str">
        <f>IF(tech_base!$T54&gt;L$2025,"",fuel_costs!D$10*0.086/tech_proj!L178/(1-tech_proj!L458))</f>
        <v/>
      </c>
      <c r="M2078" s="127" t="str">
        <f>IF(tech_base!$T54&gt;M$2025,"",fuel_costs!E$10*0.086/tech_proj!M178/(1-tech_proj!M458))</f>
        <v/>
      </c>
      <c r="N2078" s="127" t="str">
        <f>IF(tech_base!$T54&gt;N$2025,"",fuel_costs!F$10*0.086/tech_proj!N178/(1-tech_proj!N458))</f>
        <v/>
      </c>
      <c r="O2078" s="127" t="str">
        <f>IF(tech_base!$T54&gt;O$2025,"",fuel_costs!G$10*0.086/tech_proj!O178/(1-tech_proj!O458))</f>
        <v/>
      </c>
      <c r="P2078" s="127" t="str">
        <f>IF(tech_base!$T54&gt;P$2025,"",fuel_costs!H$10*0.086/tech_proj!P178/(1-tech_proj!P458))</f>
        <v/>
      </c>
      <c r="Q2078" s="127" t="str">
        <f>IF(tech_base!$T54&gt;Q$2025,"",fuel_costs!I$10*0.086/tech_proj!Q178/(1-tech_proj!Q458))</f>
        <v/>
      </c>
      <c r="R2078" s="127" t="str">
        <f>IF(tech_base!$T54&gt;R$2025,"",fuel_costs!J$10*0.086/tech_proj!R178/(1-tech_proj!R458))</f>
        <v/>
      </c>
      <c r="S2078" s="127" t="str">
        <f>IF(tech_base!$T54&gt;S$2025,"",fuel_costs!K$10*0.086/tech_proj!S178/(1-tech_proj!S458))</f>
        <v/>
      </c>
      <c r="T2078" s="127" t="str">
        <f>IF(tech_base!$T54&gt;T$2025,"",fuel_costs!L$10*0.086/tech_proj!T178/(1-tech_proj!T458))</f>
        <v/>
      </c>
      <c r="U2078" s="127" t="str">
        <f>IF(tech_base!$T54&gt;U$2025,"",fuel_costs!M$10*0.086/tech_proj!U178/(1-tech_proj!U458))</f>
        <v/>
      </c>
      <c r="V2078" s="127" t="str">
        <f>IF(tech_base!$T54&gt;V$2025,"",fuel_costs!N$10*0.086/tech_proj!V178/(1-tech_proj!V458))</f>
        <v/>
      </c>
      <c r="W2078" s="127" t="str">
        <f>IF(tech_base!$T54&gt;W$2025,"",fuel_costs!O$10*0.086/tech_proj!W178/(1-tech_proj!W458))</f>
        <v/>
      </c>
      <c r="X2078" s="127" t="str">
        <f>IF(tech_base!$T54&gt;X$2025,"",fuel_costs!P$10*0.086/tech_proj!X178/(1-tech_proj!X458))</f>
        <v/>
      </c>
      <c r="Y2078" s="127" t="str">
        <f>IF(tech_base!$T54&gt;Y$2025,"",fuel_costs!Q$10*0.086/tech_proj!Y178/(1-tech_proj!Y458))</f>
        <v/>
      </c>
      <c r="Z2078" s="127" t="str">
        <f>IF(tech_base!$T54&gt;Z$2025,"",fuel_costs!R$10*0.086/tech_proj!Z178/(1-tech_proj!Z458))</f>
        <v/>
      </c>
      <c r="AA2078" s="127" t="str">
        <f>IF(tech_base!$T54&gt;AA$2025,"",fuel_costs!S$10*0.086/tech_proj!AA178/(1-tech_proj!AA458))</f>
        <v/>
      </c>
      <c r="AB2078" s="127" t="str">
        <f>IF(tech_base!$T54&gt;AB$2025,"",fuel_costs!T$10*0.086/tech_proj!AB178/(1-tech_proj!AB458))</f>
        <v/>
      </c>
      <c r="AC2078" s="127" t="str">
        <f>IF(tech_base!$T54&gt;AC$2025,"",fuel_costs!U$10*0.086/tech_proj!AC178/(1-tech_proj!AC458))</f>
        <v/>
      </c>
      <c r="AD2078" s="127" t="str">
        <f>IF(tech_base!$T54&gt;AD$2025,"",fuel_costs!V$10*0.086/tech_proj!AD178/(1-tech_proj!AD458))</f>
        <v/>
      </c>
      <c r="AE2078" s="127">
        <f>IF(tech_base!$T54&gt;AE$2025,"",fuel_costs!W$10*0.086/tech_proj!AE178/(1-tech_proj!AE458))</f>
        <v>29.580743205097487</v>
      </c>
      <c r="AF2078" s="127">
        <f>IF(tech_base!$T54&gt;AF$2025,"",fuel_costs!X$10*0.086/tech_proj!AF178/(1-tech_proj!AF458))</f>
        <v>29.698164501811394</v>
      </c>
      <c r="AG2078" s="127">
        <f>IF(tech_base!$T54&gt;AG$2025,"",fuel_costs!Y$10*0.086/tech_proj!AG178/(1-tech_proj!AG458))</f>
        <v>29.815401589807799</v>
      </c>
      <c r="AH2078" s="127">
        <f>IF(tech_base!$T54&gt;AH$2025,"",fuel_costs!Z$10*0.086/tech_proj!AH178/(1-tech_proj!AH458))</f>
        <v>29.932376498590131</v>
      </c>
      <c r="AI2078" s="127">
        <f>IF(tech_base!$T54&gt;AI$2025,"",fuel_costs!AA$10*0.086/tech_proj!AI178/(1-tech_proj!AI458))</f>
        <v>30.048978403187739</v>
      </c>
      <c r="AJ2078" s="127">
        <f>IF(tech_base!$T54&gt;AJ$2025,"",fuel_costs!AB$10*0.086/tech_proj!AJ178/(1-tech_proj!AJ458))</f>
        <v>30.167406572500539</v>
      </c>
      <c r="AK2078" s="127">
        <f>IF(tech_base!$T54&gt;AK$2025,"",fuel_costs!AC$10*0.086/tech_proj!AK178/(1-tech_proj!AK458))</f>
        <v>30.285080787699119</v>
      </c>
      <c r="AL2078" s="127">
        <f>IF(tech_base!$T54&gt;AL$2025,"",fuel_costs!AD$10*0.086/tech_proj!AL178/(1-tech_proj!AL458))</f>
        <v>30.40168489109811</v>
      </c>
      <c r="AM2078" s="127">
        <f>IF(tech_base!$T54&gt;AM$2025,"",fuel_costs!AE$10*0.086/tech_proj!AM178/(1-tech_proj!AM458))</f>
        <v>30.516772523318046</v>
      </c>
      <c r="AN2078" s="127">
        <f>IF(tech_base!$T54&gt;AN$2025,"",fuel_costs!AF$10*0.086/tech_proj!AN178/(1-tech_proj!AN458))</f>
        <v>30.629715888611308</v>
      </c>
      <c r="AO2078" s="127">
        <f>IF(tech_base!$T54&gt;AO$2025,"",fuel_costs!AG$10*0.086/tech_proj!AO178/(1-tech_proj!AO458))</f>
        <v>30.742038296659505</v>
      </c>
      <c r="AP2078" s="127">
        <f>IF(tech_base!$T54&gt;AP$2025,"",fuel_costs!AH$10*0.086/tech_proj!AP178/(1-tech_proj!AP458))</f>
        <v>30.850116867651643</v>
      </c>
      <c r="AQ2078" s="127">
        <f>IF(tech_base!$T54&gt;AQ$2025,"",fuel_costs!AI$10*0.086/tech_proj!AQ178/(1-tech_proj!AQ458))</f>
        <v>30.952276574492188</v>
      </c>
      <c r="AR2078" s="127">
        <f>IF(tech_base!$T54&gt;AR$2025,"",fuel_costs!AJ$10*0.086/tech_proj!AR178/(1-tech_proj!AR458))</f>
        <v>31.04625399416291</v>
      </c>
      <c r="AS2078" s="127">
        <f>IF(tech_base!$T54&gt;AS$2025,"",fuel_costs!AK$10*0.086/tech_proj!AS178/(1-tech_proj!AS458))</f>
        <v>31.129060689683346</v>
      </c>
      <c r="AT2078" s="127">
        <f>IF(tech_base!$T54&gt;AT$2025,"",fuel_costs!AL$10*0.086/tech_proj!AT178/(1-tech_proj!AT458))</f>
        <v>31.199320775941633</v>
      </c>
      <c r="AU2078" s="127">
        <f>IF(tech_base!$T54&gt;AU$2025,"",fuel_costs!AM$10*0.086/tech_proj!AU178/(1-tech_proj!AU458))</f>
        <v>31.24996485809978</v>
      </c>
      <c r="AV2078" s="127">
        <f>IF(tech_base!$T54&gt;AV$2025,"",fuel_costs!AN$10*0.086/tech_proj!AV178/(1-tech_proj!AV458))</f>
        <v>31.27582674344573</v>
      </c>
      <c r="AW2078" s="127">
        <f>IF(tech_base!$T54&gt;AW$2025,"",fuel_costs!AO$10*0.086/tech_proj!AW178/(1-tech_proj!AW458))</f>
        <v>31.271896624340432</v>
      </c>
      <c r="AX2078" s="128">
        <f>IF(tech_base!$T54&gt;AX$2025,"",fuel_costs!AP$10*0.086/tech_proj!AX178/(1-tech_proj!AX458))</f>
        <v>31.234606269936936</v>
      </c>
    </row>
    <row r="2079" spans="1:50" x14ac:dyDescent="0.25">
      <c r="A2079" s="356"/>
      <c r="B2079" s="358" t="s">
        <v>17</v>
      </c>
      <c r="C2079" s="353" t="s">
        <v>6</v>
      </c>
      <c r="D2079" s="3" t="s">
        <v>7</v>
      </c>
      <c r="E2079" s="77" t="str">
        <f>A2071&amp;"/"&amp;B2079&amp;"/"&amp;C2079&amp;"/"&amp;D2079</f>
        <v>Lignite fired power plants/Supercritical steam turbine/Electricity only/L</v>
      </c>
      <c r="F2079" s="77" t="str">
        <f>A2071</f>
        <v>Lignite fired power plants</v>
      </c>
      <c r="G2079" s="77" t="str">
        <f>B2079</f>
        <v>Supercritical steam turbine</v>
      </c>
      <c r="H2079" s="77" t="str">
        <f>C2079</f>
        <v>Electricity only</v>
      </c>
      <c r="I2079" s="77" t="str">
        <f t="shared" si="387"/>
        <v>L</v>
      </c>
      <c r="J2079" s="121">
        <f>IF(tech_base!$T55&gt;J$2025,"",fuel_costs!B$10*0.086/tech_proj!J179/(1-tech_proj!J459))</f>
        <v>17.547966019414687</v>
      </c>
      <c r="K2079" s="121">
        <f>IF(tech_base!$T55&gt;K$2025,"",fuel_costs!C$10*0.086/tech_proj!K179/(1-tech_proj!K459))</f>
        <v>17.560676616816046</v>
      </c>
      <c r="L2079" s="121">
        <f>IF(tech_base!$T55&gt;L$2025,"",fuel_costs!D$10*0.086/tech_proj!L179/(1-tech_proj!L459))</f>
        <v>17.573352671164187</v>
      </c>
      <c r="M2079" s="121">
        <f>IF(tech_base!$T55&gt;M$2025,"",fuel_costs!E$10*0.086/tech_proj!M179/(1-tech_proj!M459))</f>
        <v>17.585986569363062</v>
      </c>
      <c r="N2079" s="121">
        <f>IF(tech_base!$T55&gt;N$2025,"",fuel_costs!F$10*0.086/tech_proj!N179/(1-tech_proj!N459))</f>
        <v>17.598569038147655</v>
      </c>
      <c r="O2079" s="121">
        <f>IF(tech_base!$T55&gt;O$2025,"",fuel_costs!G$10*0.086/tech_proj!O179/(1-tech_proj!O459))</f>
        <v>17.61108879075416</v>
      </c>
      <c r="P2079" s="121">
        <f>IF(tech_base!$T55&gt;P$2025,"",fuel_costs!H$10*0.086/tech_proj!P179/(1-tech_proj!P459))</f>
        <v>17.681109886823567</v>
      </c>
      <c r="Q2079" s="121">
        <f>IF(tech_base!$T55&gt;Q$2025,"",fuel_costs!I$10*0.086/tech_proj!Q179/(1-tech_proj!Q459))</f>
        <v>17.751034512132755</v>
      </c>
      <c r="R2079" s="121">
        <f>IF(tech_base!$T55&gt;R$2025,"",fuel_costs!J$10*0.086/tech_proj!R179/(1-tech_proj!R459))</f>
        <v>17.820841347106029</v>
      </c>
      <c r="S2079" s="121">
        <f>IF(tech_base!$T55&gt;S$2025,"",fuel_costs!K$10*0.086/tech_proj!S179/(1-tech_proj!S459))</f>
        <v>17.890504495110434</v>
      </c>
      <c r="T2079" s="121">
        <f>IF(tech_base!$T55&gt;T$2025,"",fuel_costs!L$10*0.086/tech_proj!T179/(1-tech_proj!T459))</f>
        <v>17.959992565617874</v>
      </c>
      <c r="U2079" s="121">
        <f>IF(tech_base!$T55&gt;U$2025,"",fuel_costs!M$10*0.086/tech_proj!U179/(1-tech_proj!U459))</f>
        <v>18.030676142875588</v>
      </c>
      <c r="V2079" s="121">
        <f>IF(tech_base!$T55&gt;V$2025,"",fuel_costs!N$10*0.086/tech_proj!V179/(1-tech_proj!V459))</f>
        <v>18.101100729838297</v>
      </c>
      <c r="W2079" s="121">
        <f>IF(tech_base!$T55&gt;W$2025,"",fuel_costs!O$10*0.086/tech_proj!W179/(1-tech_proj!W459))</f>
        <v>18.171211342097102</v>
      </c>
      <c r="X2079" s="121">
        <f>IF(tech_base!$T55&gt;X$2025,"",fuel_costs!P$10*0.086/tech_proj!X179/(1-tech_proj!X459))</f>
        <v>18.240942279376206</v>
      </c>
      <c r="Y2079" s="121">
        <f>IF(tech_base!$T55&gt;Y$2025,"",fuel_costs!Q$10*0.086/tech_proj!Y179/(1-tech_proj!Y459))</f>
        <v>18.310215502587383</v>
      </c>
      <c r="Z2079" s="121">
        <f>IF(tech_base!$T55&gt;Z$2025,"",fuel_costs!R$10*0.086/tech_proj!Z179/(1-tech_proj!Z459))</f>
        <v>18.380374854037964</v>
      </c>
      <c r="AA2079" s="121">
        <f>IF(tech_base!$T55&gt;AA$2025,"",fuel_costs!S$10*0.086/tech_proj!AA179/(1-tech_proj!AA459))</f>
        <v>18.449876409631841</v>
      </c>
      <c r="AB2079" s="121">
        <f>IF(tech_base!$T55&gt;AB$2025,"",fuel_costs!T$10*0.086/tech_proj!AB179/(1-tech_proj!AB459))</f>
        <v>18.518595876231576</v>
      </c>
      <c r="AC2079" s="121">
        <f>IF(tech_base!$T55&gt;AC$2025,"",fuel_costs!U$10*0.086/tech_proj!AC179/(1-tech_proj!AC459))</f>
        <v>18.586391820101181</v>
      </c>
      <c r="AD2079" s="121">
        <f>IF(tech_base!$T55&gt;AD$2025,"",fuel_costs!V$10*0.086/tech_proj!AD179/(1-tech_proj!AD459))</f>
        <v>18.653106330191331</v>
      </c>
      <c r="AE2079" s="121">
        <f>IF(tech_base!$T55&gt;AE$2025,"",fuel_costs!W$10*0.086/tech_proj!AE179/(1-tech_proj!AE459))</f>
        <v>18.720029818479354</v>
      </c>
      <c r="AF2079" s="121">
        <f>IF(tech_base!$T55&gt;AF$2025,"",fuel_costs!X$10*0.086/tech_proj!AF179/(1-tech_proj!AF459))</f>
        <v>18.785517354625853</v>
      </c>
      <c r="AG2079" s="121">
        <f>IF(tech_base!$T55&gt;AG$2025,"",fuel_costs!Y$10*0.086/tech_proj!AG179/(1-tech_proj!AG459))</f>
        <v>18.849386565086739</v>
      </c>
      <c r="AH2079" s="121">
        <f>IF(tech_base!$T55&gt;AH$2025,"",fuel_costs!Z$10*0.086/tech_proj!AH179/(1-tech_proj!AH459))</f>
        <v>18.911466575567673</v>
      </c>
      <c r="AI2079" s="121">
        <f>IF(tech_base!$T55&gt;AI$2025,"",fuel_costs!AA$10*0.086/tech_proj!AI179/(1-tech_proj!AI459))</f>
        <v>18.97161518756468</v>
      </c>
      <c r="AJ2079" s="121">
        <f>IF(tech_base!$T55&gt;AJ$2025,"",fuel_costs!AB$10*0.086/tech_proj!AJ179/(1-tech_proj!AJ459))</f>
        <v>19.031227441662129</v>
      </c>
      <c r="AK2079" s="121">
        <f>IF(tech_base!$T55&gt;AK$2025,"",fuel_costs!AC$10*0.086/tech_proj!AK179/(1-tech_proj!AK459))</f>
        <v>19.088798106366514</v>
      </c>
      <c r="AL2079" s="121">
        <f>IF(tech_base!$T55&gt;AL$2025,"",fuel_costs!AD$10*0.086/tech_proj!AL179/(1-tech_proj!AL459))</f>
        <v>19.144413339599307</v>
      </c>
      <c r="AM2079" s="121">
        <f>IF(tech_base!$T55&gt;AM$2025,"",fuel_costs!AE$10*0.086/tech_proj!AM179/(1-tech_proj!AM459))</f>
        <v>19.198284340420113</v>
      </c>
      <c r="AN2079" s="121">
        <f>IF(tech_base!$T55&gt;AN$2025,"",fuel_costs!AF$10*0.086/tech_proj!AN179/(1-tech_proj!AN459))</f>
        <v>19.250760442585328</v>
      </c>
      <c r="AO2079" s="121">
        <f>IF(tech_base!$T55&gt;AO$2025,"",fuel_costs!AG$10*0.086/tech_proj!AO179/(1-tech_proj!AO459))</f>
        <v>19.303834034526169</v>
      </c>
      <c r="AP2079" s="121">
        <f>IF(tech_base!$T55&gt;AP$2025,"",fuel_costs!AH$10*0.086/tech_proj!AP179/(1-tech_proj!AP459))</f>
        <v>19.356588596079924</v>
      </c>
      <c r="AQ2079" s="121">
        <f>IF(tech_base!$T55&gt;AQ$2025,"",fuel_costs!AI$10*0.086/tech_proj!AQ179/(1-tech_proj!AQ459))</f>
        <v>19.409683991563767</v>
      </c>
      <c r="AR2079" s="121">
        <f>IF(tech_base!$T55&gt;AR$2025,"",fuel_costs!AJ$10*0.086/tech_proj!AR179/(1-tech_proj!AR459))</f>
        <v>19.463781324860797</v>
      </c>
      <c r="AS2079" s="121">
        <f>IF(tech_base!$T55&gt;AS$2025,"",fuel_costs!AK$10*0.086/tech_proj!AS179/(1-tech_proj!AS459))</f>
        <v>19.519473235922945</v>
      </c>
      <c r="AT2079" s="121">
        <f>IF(tech_base!$T55&gt;AT$2025,"",fuel_costs!AL$10*0.086/tech_proj!AT179/(1-tech_proj!AT459))</f>
        <v>19.57875176471401</v>
      </c>
      <c r="AU2079" s="121">
        <f>IF(tech_base!$T55&gt;AU$2025,"",fuel_costs!AM$10*0.086/tech_proj!AU179/(1-tech_proj!AU459))</f>
        <v>19.640377042902351</v>
      </c>
      <c r="AV2079" s="121">
        <f>IF(tech_base!$T55&gt;AV$2025,"",fuel_costs!AN$10*0.086/tech_proj!AV179/(1-tech_proj!AV459))</f>
        <v>19.704459737020006</v>
      </c>
      <c r="AW2079" s="121">
        <f>IF(tech_base!$T55&gt;AW$2025,"",fuel_costs!AO$10*0.086/tech_proj!AW179/(1-tech_proj!AW459))</f>
        <v>19.770944800046387</v>
      </c>
      <c r="AX2079" s="122">
        <f>IF(tech_base!$T55&gt;AX$2025,"",fuel_costs!AP$10*0.086/tech_proj!AX179/(1-tech_proj!AX459))</f>
        <v>19.839648261582223</v>
      </c>
    </row>
    <row r="2080" spans="1:50" x14ac:dyDescent="0.25">
      <c r="A2080" s="356"/>
      <c r="B2080" s="376"/>
      <c r="C2080" s="379"/>
      <c r="D2080" s="2" t="s">
        <v>8</v>
      </c>
      <c r="E2080" s="76" t="str">
        <f>A2071&amp;"/"&amp;B2079&amp;"/"&amp;C2079&amp;"/"&amp;D2080</f>
        <v>Lignite fired power plants/Supercritical steam turbine/Electricity only/M</v>
      </c>
      <c r="F2080" s="76" t="str">
        <f>A2071</f>
        <v>Lignite fired power plants</v>
      </c>
      <c r="G2080" s="76" t="str">
        <f>B2079</f>
        <v>Supercritical steam turbine</v>
      </c>
      <c r="H2080" s="76" t="str">
        <f>C2079</f>
        <v>Electricity only</v>
      </c>
      <c r="I2080" s="76" t="str">
        <f t="shared" si="387"/>
        <v>M</v>
      </c>
      <c r="J2080" s="119">
        <f>IF(tech_base!$T56&gt;J$2025,"",fuel_costs!B$10*0.086/tech_proj!J180/(1-tech_proj!J460))</f>
        <v>18.485407443604799</v>
      </c>
      <c r="K2080" s="119">
        <f>IF(tech_base!$T56&gt;K$2025,"",fuel_costs!C$10*0.086/tech_proj!K180/(1-tech_proj!K460))</f>
        <v>18.498661908919917</v>
      </c>
      <c r="L2080" s="119">
        <f>IF(tech_base!$T56&gt;L$2025,"",fuel_costs!D$10*0.086/tech_proj!L180/(1-tech_proj!L460))</f>
        <v>18.511859061831</v>
      </c>
      <c r="M2080" s="119">
        <f>IF(tech_base!$T56&gt;M$2025,"",fuel_costs!E$10*0.086/tech_proj!M180/(1-tech_proj!M460))</f>
        <v>18.524988033526164</v>
      </c>
      <c r="N2080" s="119">
        <f>IF(tech_base!$T56&gt;N$2025,"",fuel_costs!F$10*0.086/tech_proj!N180/(1-tech_proj!N460))</f>
        <v>18.538035926218658</v>
      </c>
      <c r="O2080" s="119">
        <f>IF(tech_base!$T56&gt;O$2025,"",fuel_costs!G$10*0.086/tech_proj!O180/(1-tech_proj!O460))</f>
        <v>18.550987447841912</v>
      </c>
      <c r="P2080" s="119">
        <f>IF(tech_base!$T56&gt;P$2025,"",fuel_costs!H$10*0.086/tech_proj!P180/(1-tech_proj!P460))</f>
        <v>18.624474296950197</v>
      </c>
      <c r="Q2080" s="119">
        <f>IF(tech_base!$T56&gt;Q$2025,"",fuel_costs!I$10*0.086/tech_proj!Q180/(1-tech_proj!Q460))</f>
        <v>18.697819687752247</v>
      </c>
      <c r="R2080" s="119">
        <f>IF(tech_base!$T56&gt;R$2025,"",fuel_costs!J$10*0.086/tech_proj!R180/(1-tech_proj!R460))</f>
        <v>18.770996749536796</v>
      </c>
      <c r="S2080" s="119">
        <f>IF(tech_base!$T56&gt;S$2025,"",fuel_costs!K$10*0.086/tech_proj!S180/(1-tech_proj!S460))</f>
        <v>18.843973697276642</v>
      </c>
      <c r="T2080" s="119">
        <f>IF(tech_base!$T56&gt;T$2025,"",fuel_costs!L$10*0.086/tech_proj!T180/(1-tech_proj!T460))</f>
        <v>18.916713011993661</v>
      </c>
      <c r="U2080" s="119">
        <f>IF(tech_base!$T56&gt;U$2025,"",fuel_costs!M$10*0.086/tech_proj!U180/(1-tech_proj!U460))</f>
        <v>18.990654046893791</v>
      </c>
      <c r="V2080" s="119">
        <f>IF(tech_base!$T56&gt;V$2025,"",fuel_costs!N$10*0.086/tech_proj!V180/(1-tech_proj!V460))</f>
        <v>19.064261097089588</v>
      </c>
      <c r="W2080" s="119">
        <f>IF(tech_base!$T56&gt;W$2025,"",fuel_costs!O$10*0.086/tech_proj!W180/(1-tech_proj!W460))</f>
        <v>19.137473422768668</v>
      </c>
      <c r="X2080" s="119">
        <f>IF(tech_base!$T56&gt;X$2025,"",fuel_costs!P$10*0.086/tech_proj!X180/(1-tech_proj!X460))</f>
        <v>19.210220286187859</v>
      </c>
      <c r="Y2080" s="119">
        <f>IF(tech_base!$T56&gt;Y$2025,"",fuel_costs!Q$10*0.086/tech_proj!Y180/(1-tech_proj!Y460))</f>
        <v>19.282419739613349</v>
      </c>
      <c r="Z2080" s="119">
        <f>IF(tech_base!$T56&gt;Z$2025,"",fuel_costs!R$10*0.086/tech_proj!Z180/(1-tech_proj!Z460))</f>
        <v>19.355489483176832</v>
      </c>
      <c r="AA2080" s="119">
        <f>IF(tech_base!$T56&gt;AA$2025,"",fuel_costs!S$10*0.086/tech_proj!AA180/(1-tech_proj!AA460))</f>
        <v>19.427809000435744</v>
      </c>
      <c r="AB2080" s="119">
        <f>IF(tech_base!$T56&gt;AB$2025,"",fuel_costs!T$10*0.086/tech_proj!AB180/(1-tech_proj!AB460))</f>
        <v>19.499256202476975</v>
      </c>
      <c r="AC2080" s="119">
        <f>IF(tech_base!$T56&gt;AC$2025,"",fuel_costs!U$10*0.086/tech_proj!AC180/(1-tech_proj!AC460))</f>
        <v>19.569694553462039</v>
      </c>
      <c r="AD2080" s="119">
        <f>IF(tech_base!$T56&gt;AD$2025,"",fuel_costs!V$10*0.086/tech_proj!AD180/(1-tech_proj!AD460))</f>
        <v>19.638973567041759</v>
      </c>
      <c r="AE2080" s="119">
        <f>IF(tech_base!$T56&gt;AE$2025,"",fuel_costs!W$10*0.086/tech_proj!AE180/(1-tech_proj!AE460))</f>
        <v>19.708469998939474</v>
      </c>
      <c r="AF2080" s="119">
        <f>IF(tech_base!$T56&gt;AF$2025,"",fuel_costs!X$10*0.086/tech_proj!AF180/(1-tech_proj!AF460))</f>
        <v>19.776470482989943</v>
      </c>
      <c r="AG2080" s="119">
        <f>IF(tech_base!$T56&gt;AG$2025,"",fuel_costs!Y$10*0.086/tech_proj!AG180/(1-tech_proj!AG460))</f>
        <v>19.842798279126665</v>
      </c>
      <c r="AH2080" s="119">
        <f>IF(tech_base!$T56&gt;AH$2025,"",fuel_costs!Z$10*0.086/tech_proj!AH180/(1-tech_proj!AH460))</f>
        <v>19.907279784310763</v>
      </c>
      <c r="AI2080" s="119">
        <f>IF(tech_base!$T56&gt;AI$2025,"",fuel_costs!AA$10*0.086/tech_proj!AI180/(1-tech_proj!AI460))</f>
        <v>19.969754738701955</v>
      </c>
      <c r="AJ2080" s="119">
        <f>IF(tech_base!$T56&gt;AJ$2025,"",fuel_costs!AB$10*0.086/tech_proj!AJ180/(1-tech_proj!AJ460))</f>
        <v>20.031654225933238</v>
      </c>
      <c r="AK2080" s="119">
        <f>IF(tech_base!$T56&gt;AK$2025,"",fuel_costs!AC$10*0.086/tech_proj!AK180/(1-tech_proj!AK460))</f>
        <v>20.091318878532476</v>
      </c>
      <c r="AL2080" s="119">
        <f>IF(tech_base!$T56&gt;AL$2025,"",fuel_costs!AD$10*0.086/tech_proj!AL180/(1-tech_proj!AL460))</f>
        <v>20.148717083841891</v>
      </c>
      <c r="AM2080" s="119">
        <f>IF(tech_base!$T56&gt;AM$2025,"",fuel_costs!AE$10*0.086/tech_proj!AM180/(1-tech_proj!AM460))</f>
        <v>20.203895876011003</v>
      </c>
      <c r="AN2080" s="119">
        <f>IF(tech_base!$T56&gt;AN$2025,"",fuel_costs!AF$10*0.086/tech_proj!AN180/(1-tech_proj!AN460))</f>
        <v>20.256997527278791</v>
      </c>
      <c r="AO2080" s="119">
        <f>IF(tech_base!$T56&gt;AO$2025,"",fuel_costs!AG$10*0.086/tech_proj!AO180/(1-tech_proj!AO460))</f>
        <v>20.30985791508191</v>
      </c>
      <c r="AP2080" s="119">
        <f>IF(tech_base!$T56&gt;AP$2025,"",fuel_costs!AH$10*0.086/tech_proj!AP180/(1-tech_proj!AP460))</f>
        <v>20.361245827497758</v>
      </c>
      <c r="AQ2080" s="119">
        <f>IF(tech_base!$T56&gt;AQ$2025,"",fuel_costs!AI$10*0.086/tech_proj!AQ180/(1-tech_proj!AQ460))</f>
        <v>20.411624289036279</v>
      </c>
      <c r="AR2080" s="119">
        <f>IF(tech_base!$T56&gt;AR$2025,"",fuel_costs!AJ$10*0.086/tech_proj!AR180/(1-tech_proj!AR460))</f>
        <v>20.461539526124092</v>
      </c>
      <c r="AS2080" s="119">
        <f>IF(tech_base!$T56&gt;AS$2025,"",fuel_costs!AK$10*0.086/tech_proj!AS180/(1-tech_proj!AS460))</f>
        <v>20.511588456256902</v>
      </c>
      <c r="AT2080" s="119">
        <f>IF(tech_base!$T56&gt;AT$2025,"",fuel_costs!AL$10*0.086/tech_proj!AT180/(1-tech_proj!AT460))</f>
        <v>20.5639833474821</v>
      </c>
      <c r="AU2080" s="119">
        <f>IF(tech_base!$T56&gt;AU$2025,"",fuel_costs!AM$10*0.086/tech_proj!AU180/(1-tech_proj!AU460))</f>
        <v>20.617682541250566</v>
      </c>
      <c r="AV2080" s="119">
        <f>IF(tech_base!$T56&gt;AV$2025,"",fuel_costs!AN$10*0.086/tech_proj!AV180/(1-tech_proj!AV460))</f>
        <v>20.673176451232912</v>
      </c>
      <c r="AW2080" s="119">
        <f>IF(tech_base!$T56&gt;AW$2025,"",fuel_costs!AO$10*0.086/tech_proj!AW180/(1-tech_proj!AW460))</f>
        <v>20.730843367125182</v>
      </c>
      <c r="AX2080" s="120">
        <f>IF(tech_base!$T56&gt;AX$2025,"",fuel_costs!AP$10*0.086/tech_proj!AX180/(1-tech_proj!AX460))</f>
        <v>20.790930566103995</v>
      </c>
    </row>
    <row r="2081" spans="1:50" x14ac:dyDescent="0.25">
      <c r="A2081" s="356"/>
      <c r="B2081" s="376"/>
      <c r="C2081" s="361" t="s">
        <v>14</v>
      </c>
      <c r="D2081" s="58" t="s">
        <v>7</v>
      </c>
      <c r="E2081" s="78" t="str">
        <f>A2071&amp;"/"&amp;B2079&amp;"/"&amp;C2081&amp;"/"&amp;D2081</f>
        <v>Lignite fired power plants/Supercritical steam turbine/CHP/L</v>
      </c>
      <c r="F2081" s="78" t="str">
        <f>A2071</f>
        <v>Lignite fired power plants</v>
      </c>
      <c r="G2081" s="78" t="str">
        <f>B2079</f>
        <v>Supercritical steam turbine</v>
      </c>
      <c r="H2081" s="78" t="str">
        <f>C2081</f>
        <v>CHP</v>
      </c>
      <c r="I2081" s="78" t="str">
        <f t="shared" si="387"/>
        <v>L</v>
      </c>
      <c r="J2081" s="123">
        <f>IF(tech_base!$T57&gt;J$2025,"",fuel_costs!B$10*0.086/tech_proj!J181/(1-tech_proj!J461))</f>
        <v>19.428978563032945</v>
      </c>
      <c r="K2081" s="123">
        <f>IF(tech_base!$T57&gt;K$2025,"",fuel_costs!C$10*0.086/tech_proj!K181/(1-tech_proj!K461))</f>
        <v>19.443078126914898</v>
      </c>
      <c r="L2081" s="123">
        <f>IF(tech_base!$T57&gt;L$2025,"",fuel_costs!D$10*0.086/tech_proj!L181/(1-tech_proj!L461))</f>
        <v>19.457145330604092</v>
      </c>
      <c r="M2081" s="123">
        <f>IF(tech_base!$T57&gt;M$2025,"",fuel_costs!E$10*0.086/tech_proj!M181/(1-tech_proj!M461))</f>
        <v>19.471173042845141</v>
      </c>
      <c r="N2081" s="123">
        <f>IF(tech_base!$T57&gt;N$2025,"",fuel_costs!F$10*0.086/tech_proj!N181/(1-tech_proj!N461))</f>
        <v>19.485152577656315</v>
      </c>
      <c r="O2081" s="123">
        <f>IF(tech_base!$T57&gt;O$2025,"",fuel_costs!G$10*0.086/tech_proj!O181/(1-tech_proj!O461))</f>
        <v>19.499073363622539</v>
      </c>
      <c r="P2081" s="123">
        <f>IF(tech_base!$T57&gt;P$2025,"",fuel_costs!H$10*0.086/tech_proj!P181/(1-tech_proj!P461))</f>
        <v>19.576673152399398</v>
      </c>
      <c r="Q2081" s="123">
        <f>IF(tech_base!$T57&gt;Q$2025,"",fuel_costs!I$10*0.086/tech_proj!Q181/(1-tech_proj!Q461))</f>
        <v>19.654182579623548</v>
      </c>
      <c r="R2081" s="123">
        <f>IF(tech_base!$T57&gt;R$2025,"",fuel_costs!J$10*0.086/tech_proj!R181/(1-tech_proj!R461))</f>
        <v>19.731581681420867</v>
      </c>
      <c r="S2081" s="123">
        <f>IF(tech_base!$T57&gt;S$2025,"",fuel_costs!K$10*0.086/tech_proj!S181/(1-tech_proj!S461))</f>
        <v>19.808846210675458</v>
      </c>
      <c r="T2081" s="123">
        <f>IF(tech_base!$T57&gt;T$2025,"",fuel_costs!L$10*0.086/tech_proj!T181/(1-tech_proj!T461))</f>
        <v>19.885946780421307</v>
      </c>
      <c r="U2081" s="123">
        <f>IF(tech_base!$T57&gt;U$2025,"",fuel_costs!M$10*0.086/tech_proj!U181/(1-tech_proj!U461))</f>
        <v>19.964407464331551</v>
      </c>
      <c r="V2081" s="123">
        <f>IF(tech_base!$T57&gt;V$2025,"",fuel_costs!N$10*0.086/tech_proj!V181/(1-tech_proj!V461))</f>
        <v>20.042625654189578</v>
      </c>
      <c r="W2081" s="123">
        <f>IF(tech_base!$T57&gt;W$2025,"",fuel_costs!O$10*0.086/tech_proj!W181/(1-tech_proj!W461))</f>
        <v>20.120549908017679</v>
      </c>
      <c r="X2081" s="123">
        <f>IF(tech_base!$T57&gt;X$2025,"",fuel_costs!P$10*0.086/tech_proj!X181/(1-tech_proj!X461))</f>
        <v>20.198118777967032</v>
      </c>
      <c r="Y2081" s="123">
        <f>IF(tech_base!$T57&gt;Y$2025,"",fuel_costs!Q$10*0.086/tech_proj!Y181/(1-tech_proj!Y461))</f>
        <v>20.275259304784555</v>
      </c>
      <c r="Z2081" s="123">
        <f>IF(tech_base!$T57&gt;Z$2025,"",fuel_costs!R$10*0.086/tech_proj!Z181/(1-tech_proj!Z461))</f>
        <v>20.353475498689729</v>
      </c>
      <c r="AA2081" s="123">
        <f>IF(tech_base!$T57&gt;AA$2025,"",fuel_costs!S$10*0.086/tech_proj!AA181/(1-tech_proj!AA461))</f>
        <v>20.431076443441047</v>
      </c>
      <c r="AB2081" s="123">
        <f>IF(tech_base!$T57&gt;AB$2025,"",fuel_costs!T$10*0.086/tech_proj!AB181/(1-tech_proj!AB461))</f>
        <v>20.507946152501752</v>
      </c>
      <c r="AC2081" s="123">
        <f>IF(tech_base!$T57&gt;AC$2025,"",fuel_costs!U$10*0.086/tech_proj!AC181/(1-tech_proj!AC461))</f>
        <v>20.583952771684281</v>
      </c>
      <c r="AD2081" s="123">
        <f>IF(tech_base!$T57&gt;AD$2025,"",fuel_costs!V$10*0.086/tech_proj!AD181/(1-tech_proj!AD461))</f>
        <v>20.65894926769856</v>
      </c>
      <c r="AE2081" s="123">
        <f>IF(tech_base!$T57&gt;AE$2025,"",fuel_costs!W$10*0.086/tech_proj!AE181/(1-tech_proj!AE461))</f>
        <v>20.734395518141149</v>
      </c>
      <c r="AF2081" s="123">
        <f>IF(tech_base!$T57&gt;AF$2025,"",fuel_costs!X$10*0.086/tech_proj!AF181/(1-tech_proj!AF461))</f>
        <v>20.808502441509461</v>
      </c>
      <c r="AG2081" s="123">
        <f>IF(tech_base!$T57&gt;AG$2025,"",fuel_costs!Y$10*0.086/tech_proj!AG181/(1-tech_proj!AG461))</f>
        <v>20.8811013891494</v>
      </c>
      <c r="AH2081" s="123">
        <f>IF(tech_base!$T57&gt;AH$2025,"",fuel_costs!Z$10*0.086/tech_proj!AH181/(1-tech_proj!AH461))</f>
        <v>20.952035091311277</v>
      </c>
      <c r="AI2081" s="123">
        <f>IF(tech_base!$T57&gt;AI$2025,"",fuel_costs!AA$10*0.086/tech_proj!AI181/(1-tech_proj!AI461))</f>
        <v>21.021173776098575</v>
      </c>
      <c r="AJ2081" s="123">
        <f>IF(tech_base!$T57&gt;AJ$2025,"",fuel_costs!AB$10*0.086/tech_proj!AJ181/(1-tech_proj!AJ461))</f>
        <v>21.090083118086255</v>
      </c>
      <c r="AK2081" s="123">
        <f>IF(tech_base!$T57&gt;AK$2025,"",fuel_costs!AC$10*0.086/tech_proj!AK181/(1-tech_proj!AK461))</f>
        <v>21.15710258718952</v>
      </c>
      <c r="AL2081" s="123">
        <f>IF(tech_base!$T57&gt;AL$2025,"",fuel_costs!AD$10*0.086/tech_proj!AL181/(1-tech_proj!AL461))</f>
        <v>21.222317175461107</v>
      </c>
      <c r="AM2081" s="123">
        <f>IF(tech_base!$T57&gt;AM$2025,"",fuel_costs!AE$10*0.086/tech_proj!AM181/(1-tech_proj!AM461))</f>
        <v>21.285928289926535</v>
      </c>
      <c r="AN2081" s="123">
        <f>IF(tech_base!$T57&gt;AN$2025,"",fuel_costs!AF$10*0.086/tech_proj!AN181/(1-tech_proj!AN461))</f>
        <v>21.348265194485492</v>
      </c>
      <c r="AO2081" s="123">
        <f>IF(tech_base!$T57&gt;AO$2025,"",fuel_costs!AG$10*0.086/tech_proj!AO181/(1-tech_proj!AO461))</f>
        <v>21.411453908391067</v>
      </c>
      <c r="AP2081" s="123">
        <f>IF(tech_base!$T57&gt;AP$2025,"",fuel_costs!AH$10*0.086/tech_proj!AP181/(1-tech_proj!AP461))</f>
        <v>21.474372450435141</v>
      </c>
      <c r="AQ2081" s="123">
        <f>IF(tech_base!$T57&gt;AQ$2025,"",fuel_costs!AI$10*0.086/tech_proj!AQ181/(1-tech_proj!AQ461))</f>
        <v>21.537632246216656</v>
      </c>
      <c r="AR2081" s="123">
        <f>IF(tech_base!$T57&gt;AR$2025,"",fuel_costs!AJ$10*0.086/tech_proj!AR181/(1-tech_proj!AR461))</f>
        <v>21.601843082790836</v>
      </c>
      <c r="AS2081" s="123">
        <f>IF(tech_base!$T57&gt;AS$2025,"",fuel_costs!AK$10*0.086/tech_proj!AS181/(1-tech_proj!AS461))</f>
        <v>21.667548954294684</v>
      </c>
      <c r="AT2081" s="123">
        <f>IF(tech_base!$T57&gt;AT$2025,"",fuel_costs!AL$10*0.086/tech_proj!AT181/(1-tech_proj!AT461))</f>
        <v>21.736869989790815</v>
      </c>
      <c r="AU2081" s="123">
        <f>IF(tech_base!$T57&gt;AU$2025,"",fuel_costs!AM$10*0.086/tech_proj!AU181/(1-tech_proj!AU461))</f>
        <v>21.808369725264161</v>
      </c>
      <c r="AV2081" s="123">
        <f>IF(tech_base!$T57&gt;AV$2025,"",fuel_costs!AN$10*0.086/tech_proj!AV181/(1-tech_proj!AV461))</f>
        <v>21.882144806259284</v>
      </c>
      <c r="AW2081" s="123">
        <f>IF(tech_base!$T57&gt;AW$2025,"",fuel_costs!AO$10*0.086/tech_proj!AW181/(1-tech_proj!AW461))</f>
        <v>21.958139883218532</v>
      </c>
      <c r="AX2081" s="124">
        <f>IF(tech_base!$T57&gt;AX$2025,"",fuel_costs!AP$10*0.086/tech_proj!AX181/(1-tech_proj!AX461))</f>
        <v>22.036181921506145</v>
      </c>
    </row>
    <row r="2082" spans="1:50" x14ac:dyDescent="0.25">
      <c r="A2082" s="356"/>
      <c r="B2082" s="376"/>
      <c r="C2082" s="379"/>
      <c r="D2082" s="59" t="s">
        <v>8</v>
      </c>
      <c r="E2082" s="79" t="str">
        <f>A2071&amp;"/"&amp;B2079&amp;"/"&amp;C2081&amp;"/"&amp;D2082</f>
        <v>Lignite fired power plants/Supercritical steam turbine/CHP/M</v>
      </c>
      <c r="F2082" s="79" t="str">
        <f>A2071</f>
        <v>Lignite fired power plants</v>
      </c>
      <c r="G2082" s="79" t="str">
        <f>B2079</f>
        <v>Supercritical steam turbine</v>
      </c>
      <c r="H2082" s="79" t="str">
        <f>C2081</f>
        <v>CHP</v>
      </c>
      <c r="I2082" s="79" t="str">
        <f t="shared" si="387"/>
        <v>M</v>
      </c>
      <c r="J2082" s="125">
        <f>IF(tech_base!$T58&gt;J$2025,"",fuel_costs!B$10*0.086/tech_proj!J182/(1-tech_proj!J462))</f>
        <v>20.474058605582417</v>
      </c>
      <c r="K2082" s="125">
        <f>IF(tech_base!$T58&gt;K$2025,"",fuel_costs!C$10*0.086/tech_proj!K182/(1-tech_proj!K462))</f>
        <v>20.488775769790585</v>
      </c>
      <c r="L2082" s="125">
        <f>IF(tech_base!$T58&gt;L$2025,"",fuel_costs!D$10*0.086/tech_proj!L182/(1-tech_proj!L462))</f>
        <v>20.503436513263033</v>
      </c>
      <c r="M2082" s="125">
        <f>IF(tech_base!$T58&gt;M$2025,"",fuel_costs!E$10*0.086/tech_proj!M182/(1-tech_proj!M462))</f>
        <v>20.518030137921976</v>
      </c>
      <c r="N2082" s="125">
        <f>IF(tech_base!$T58&gt;N$2025,"",fuel_costs!F$10*0.086/tech_proj!N182/(1-tech_proj!N462))</f>
        <v>20.532543949272146</v>
      </c>
      <c r="O2082" s="125">
        <f>IF(tech_base!$T58&gt;O$2025,"",fuel_costs!G$10*0.086/tech_proj!O182/(1-tech_proj!O462))</f>
        <v>20.546962897245834</v>
      </c>
      <c r="P2082" s="125">
        <f>IF(tech_base!$T58&gt;P$2025,"",fuel_costs!H$10*0.086/tech_proj!P182/(1-tech_proj!P462))</f>
        <v>20.628444813348096</v>
      </c>
      <c r="Q2082" s="125">
        <f>IF(tech_base!$T58&gt;Q$2025,"",fuel_costs!I$10*0.086/tech_proj!Q182/(1-tech_proj!Q462))</f>
        <v>20.709787496005404</v>
      </c>
      <c r="R2082" s="125">
        <f>IF(tech_base!$T58&gt;R$2025,"",fuel_costs!J$10*0.086/tech_proj!R182/(1-tech_proj!R462))</f>
        <v>20.790964506624366</v>
      </c>
      <c r="S2082" s="125">
        <f>IF(tech_base!$T58&gt;S$2025,"",fuel_costs!K$10*0.086/tech_proj!S182/(1-tech_proj!S462))</f>
        <v>20.871944575319521</v>
      </c>
      <c r="T2082" s="125">
        <f>IF(tech_base!$T58&gt;T$2025,"",fuel_costs!L$10*0.086/tech_proj!T182/(1-tech_proj!T462))</f>
        <v>20.952690796827479</v>
      </c>
      <c r="U2082" s="125">
        <f>IF(tech_base!$T58&gt;U$2025,"",fuel_costs!M$10*0.086/tech_proj!U182/(1-tech_proj!U462))</f>
        <v>21.034802941570746</v>
      </c>
      <c r="V2082" s="125">
        <f>IF(tech_base!$T58&gt;V$2025,"",fuel_costs!N$10*0.086/tech_proj!V182/(1-tech_proj!V462))</f>
        <v>21.11658649184076</v>
      </c>
      <c r="W2082" s="125">
        <f>IF(tech_base!$T58&gt;W$2025,"",fuel_costs!O$10*0.086/tech_proj!W182/(1-tech_proj!W462))</f>
        <v>21.1979817411266</v>
      </c>
      <c r="X2082" s="125">
        <f>IF(tech_base!$T58&gt;X$2025,"",fuel_costs!P$10*0.086/tech_proj!X182/(1-tech_proj!X462))</f>
        <v>21.278919177132785</v>
      </c>
      <c r="Y2082" s="125">
        <f>IF(tech_base!$T58&gt;Y$2025,"",fuel_costs!Q$10*0.086/tech_proj!Y182/(1-tech_proj!Y462))</f>
        <v>21.359318302598282</v>
      </c>
      <c r="Z2082" s="125">
        <f>IF(tech_base!$T58&gt;Z$2025,"",fuel_costs!R$10*0.086/tech_proj!Z182/(1-tech_proj!Z462))</f>
        <v>21.440761429354371</v>
      </c>
      <c r="AA2082" s="125">
        <f>IF(tech_base!$T58&gt;AA$2025,"",fuel_costs!S$10*0.086/tech_proj!AA182/(1-tech_proj!AA462))</f>
        <v>21.521467169614979</v>
      </c>
      <c r="AB2082" s="125">
        <f>IF(tech_base!$T58&gt;AB$2025,"",fuel_costs!T$10*0.086/tech_proj!AB182/(1-tech_proj!AB462))</f>
        <v>21.601315800560492</v>
      </c>
      <c r="AC2082" s="125">
        <f>IF(tech_base!$T58&gt;AC$2025,"",fuel_costs!U$10*0.086/tech_proj!AC182/(1-tech_proj!AC462))</f>
        <v>21.680173545746968</v>
      </c>
      <c r="AD2082" s="125">
        <f>IF(tech_base!$T58&gt;AD$2025,"",fuel_costs!V$10*0.086/tech_proj!AD182/(1-tech_proj!AD462))</f>
        <v>21.75789311536883</v>
      </c>
      <c r="AE2082" s="125">
        <f>IF(tech_base!$T58&gt;AE$2025,"",fuel_costs!W$10*0.086/tech_proj!AE182/(1-tech_proj!AE462))</f>
        <v>21.83602113791931</v>
      </c>
      <c r="AF2082" s="125">
        <f>IF(tech_base!$T58&gt;AF$2025,"",fuel_costs!X$10*0.086/tech_proj!AF182/(1-tech_proj!AF462))</f>
        <v>21.912682241740406</v>
      </c>
      <c r="AG2082" s="125">
        <f>IF(tech_base!$T58&gt;AG$2025,"",fuel_costs!Y$10*0.086/tech_proj!AG182/(1-tech_proj!AG462))</f>
        <v>21.987704355920407</v>
      </c>
      <c r="AH2082" s="125">
        <f>IF(tech_base!$T58&gt;AH$2025,"",fuel_costs!Z$10*0.086/tech_proj!AH182/(1-tech_proj!AH462))</f>
        <v>22.060918997589194</v>
      </c>
      <c r="AI2082" s="125">
        <f>IF(tech_base!$T58&gt;AI$2025,"",fuel_costs!AA$10*0.086/tech_proj!AI182/(1-tech_proj!AI462))</f>
        <v>22.132171372526201</v>
      </c>
      <c r="AJ2082" s="125">
        <f>IF(tech_base!$T58&gt;AJ$2025,"",fuel_costs!AB$10*0.086/tech_proj!AJ182/(1-tech_proj!AJ462))</f>
        <v>22.203067813141853</v>
      </c>
      <c r="AK2082" s="125">
        <f>IF(tech_base!$T58&gt;AK$2025,"",fuel_costs!AC$10*0.086/tech_proj!AK182/(1-tech_proj!AK462))</f>
        <v>22.271784860434437</v>
      </c>
      <c r="AL2082" s="125">
        <f>IF(tech_base!$T58&gt;AL$2025,"",fuel_costs!AD$10*0.086/tech_proj!AL182/(1-tech_proj!AL462))</f>
        <v>22.338295813071866</v>
      </c>
      <c r="AM2082" s="125">
        <f>IF(tech_base!$T58&gt;AM$2025,"",fuel_costs!AE$10*0.086/tech_proj!AM182/(1-tech_proj!AM462))</f>
        <v>22.40265147452795</v>
      </c>
      <c r="AN2082" s="125">
        <f>IF(tech_base!$T58&gt;AN$2025,"",fuel_costs!AF$10*0.086/tech_proj!AN182/(1-tech_proj!AN462))</f>
        <v>22.464996061047874</v>
      </c>
      <c r="AO2082" s="125">
        <f>IF(tech_base!$T58&gt;AO$2025,"",fuel_costs!AG$10*0.086/tech_proj!AO182/(1-tech_proj!AO462))</f>
        <v>22.527338054828082</v>
      </c>
      <c r="AP2082" s="125">
        <f>IF(tech_base!$T58&gt;AP$2025,"",fuel_costs!AH$10*0.086/tech_proj!AP182/(1-tech_proj!AP462))</f>
        <v>22.588269244686455</v>
      </c>
      <c r="AQ2082" s="125">
        <f>IF(tech_base!$T58&gt;AQ$2025,"",fuel_costs!AI$10*0.086/tech_proj!AQ182/(1-tech_proj!AQ462))</f>
        <v>22.648245023777886</v>
      </c>
      <c r="AR2082" s="125">
        <f>IF(tech_base!$T58&gt;AR$2025,"",fuel_costs!AJ$10*0.086/tech_proj!AR182/(1-tech_proj!AR462))</f>
        <v>22.707800080406685</v>
      </c>
      <c r="AS2082" s="125">
        <f>IF(tech_base!$T58&gt;AS$2025,"",fuel_costs!AK$10*0.086/tech_proj!AS182/(1-tech_proj!AS462))</f>
        <v>22.767516236578647</v>
      </c>
      <c r="AT2082" s="125">
        <f>IF(tech_base!$T58&gt;AT$2025,"",fuel_costs!AL$10*0.086/tech_proj!AT182/(1-tech_proj!AT462))</f>
        <v>22.829765006289684</v>
      </c>
      <c r="AU2082" s="125">
        <f>IF(tech_base!$T58&gt;AU$2025,"",fuel_costs!AM$10*0.086/tech_proj!AU182/(1-tech_proj!AU462))</f>
        <v>22.893308823478819</v>
      </c>
      <c r="AV2082" s="125">
        <f>IF(tech_base!$T58&gt;AV$2025,"",fuel_costs!AN$10*0.086/tech_proj!AV182/(1-tech_proj!AV462))</f>
        <v>22.958619439756006</v>
      </c>
      <c r="AW2082" s="125">
        <f>IF(tech_base!$T58&gt;AW$2025,"",fuel_costs!AO$10*0.086/tech_proj!AW182/(1-tech_proj!AW462))</f>
        <v>23.02605851154685</v>
      </c>
      <c r="AX2082" s="126">
        <f>IF(tech_base!$T58&gt;AX$2025,"",fuel_costs!AP$10*0.086/tech_proj!AX182/(1-tech_proj!AX462))</f>
        <v>23.095860062495728</v>
      </c>
    </row>
    <row r="2083" spans="1:50" x14ac:dyDescent="0.25">
      <c r="A2083" s="356"/>
      <c r="B2083" s="376"/>
      <c r="C2083" s="361" t="s">
        <v>15</v>
      </c>
      <c r="D2083" s="58" t="s">
        <v>7</v>
      </c>
      <c r="E2083" s="78" t="str">
        <f>A2071&amp;"/"&amp;B2079&amp;"/"&amp;C2083&amp;"/"&amp;D2083</f>
        <v>Lignite fired power plants/Supercritical steam turbine/Electricity only with CCS/L</v>
      </c>
      <c r="F2083" s="78" t="str">
        <f>A2071</f>
        <v>Lignite fired power plants</v>
      </c>
      <c r="G2083" s="78" t="str">
        <f>B2079</f>
        <v>Supercritical steam turbine</v>
      </c>
      <c r="H2083" s="78" t="str">
        <f>C2083</f>
        <v>Electricity only with CCS</v>
      </c>
      <c r="I2083" s="78" t="str">
        <f t="shared" si="387"/>
        <v>L</v>
      </c>
      <c r="J2083" s="123" t="str">
        <f>IF(tech_base!$T59&gt;J$2025,"",fuel_costs!B$10*0.086/tech_proj!J183/(1-tech_proj!J463))</f>
        <v/>
      </c>
      <c r="K2083" s="123" t="str">
        <f>IF(tech_base!$T59&gt;K$2025,"",fuel_costs!C$10*0.086/tech_proj!K183/(1-tech_proj!K463))</f>
        <v/>
      </c>
      <c r="L2083" s="123" t="str">
        <f>IF(tech_base!$T59&gt;L$2025,"",fuel_costs!D$10*0.086/tech_proj!L183/(1-tech_proj!L463))</f>
        <v/>
      </c>
      <c r="M2083" s="123" t="str">
        <f>IF(tech_base!$T59&gt;M$2025,"",fuel_costs!E$10*0.086/tech_proj!M183/(1-tech_proj!M463))</f>
        <v/>
      </c>
      <c r="N2083" s="123" t="str">
        <f>IF(tech_base!$T59&gt;N$2025,"",fuel_costs!F$10*0.086/tech_proj!N183/(1-tech_proj!N463))</f>
        <v/>
      </c>
      <c r="O2083" s="123" t="str">
        <f>IF(tech_base!$T59&gt;O$2025,"",fuel_costs!G$10*0.086/tech_proj!O183/(1-tech_proj!O463))</f>
        <v/>
      </c>
      <c r="P2083" s="123" t="str">
        <f>IF(tech_base!$T59&gt;P$2025,"",fuel_costs!H$10*0.086/tech_proj!P183/(1-tech_proj!P463))</f>
        <v/>
      </c>
      <c r="Q2083" s="123" t="str">
        <f>IF(tech_base!$T59&gt;Q$2025,"",fuel_costs!I$10*0.086/tech_proj!Q183/(1-tech_proj!Q463))</f>
        <v/>
      </c>
      <c r="R2083" s="123" t="str">
        <f>IF(tech_base!$T59&gt;R$2025,"",fuel_costs!J$10*0.086/tech_proj!R183/(1-tech_proj!R463))</f>
        <v/>
      </c>
      <c r="S2083" s="123" t="str">
        <f>IF(tech_base!$T59&gt;S$2025,"",fuel_costs!K$10*0.086/tech_proj!S183/(1-tech_proj!S463))</f>
        <v/>
      </c>
      <c r="T2083" s="123" t="str">
        <f>IF(tech_base!$T59&gt;T$2025,"",fuel_costs!L$10*0.086/tech_proj!T183/(1-tech_proj!T463))</f>
        <v/>
      </c>
      <c r="U2083" s="123" t="str">
        <f>IF(tech_base!$T59&gt;U$2025,"",fuel_costs!M$10*0.086/tech_proj!U183/(1-tech_proj!U463))</f>
        <v/>
      </c>
      <c r="V2083" s="123" t="str">
        <f>IF(tech_base!$T59&gt;V$2025,"",fuel_costs!N$10*0.086/tech_proj!V183/(1-tech_proj!V463))</f>
        <v/>
      </c>
      <c r="W2083" s="123" t="str">
        <f>IF(tech_base!$T59&gt;W$2025,"",fuel_costs!O$10*0.086/tech_proj!W183/(1-tech_proj!W463))</f>
        <v/>
      </c>
      <c r="X2083" s="123" t="str">
        <f>IF(tech_base!$T59&gt;X$2025,"",fuel_costs!P$10*0.086/tech_proj!X183/(1-tech_proj!X463))</f>
        <v/>
      </c>
      <c r="Y2083" s="123" t="str">
        <f>IF(tech_base!$T59&gt;Y$2025,"",fuel_costs!Q$10*0.086/tech_proj!Y183/(1-tech_proj!Y463))</f>
        <v/>
      </c>
      <c r="Z2083" s="123" t="str">
        <f>IF(tech_base!$T59&gt;Z$2025,"",fuel_costs!R$10*0.086/tech_proj!Z183/(1-tech_proj!Z463))</f>
        <v/>
      </c>
      <c r="AA2083" s="123" t="str">
        <f>IF(tech_base!$T59&gt;AA$2025,"",fuel_costs!S$10*0.086/tech_proj!AA183/(1-tech_proj!AA463))</f>
        <v/>
      </c>
      <c r="AB2083" s="123" t="str">
        <f>IF(tech_base!$T59&gt;AB$2025,"",fuel_costs!T$10*0.086/tech_proj!AB183/(1-tech_proj!AB463))</f>
        <v/>
      </c>
      <c r="AC2083" s="123" t="str">
        <f>IF(tech_base!$T59&gt;AC$2025,"",fuel_costs!U$10*0.086/tech_proj!AC183/(1-tech_proj!AC463))</f>
        <v/>
      </c>
      <c r="AD2083" s="123" t="str">
        <f>IF(tech_base!$T59&gt;AD$2025,"",fuel_costs!V$10*0.086/tech_proj!AD183/(1-tech_proj!AD463))</f>
        <v/>
      </c>
      <c r="AE2083" s="123">
        <f>IF(tech_base!$T59&gt;AE$2025,"",fuel_costs!W$10*0.086/tech_proj!AE183/(1-tech_proj!AE463))</f>
        <v>25.494237087629113</v>
      </c>
      <c r="AF2083" s="123">
        <f>IF(tech_base!$T59&gt;AF$2025,"",fuel_costs!X$10*0.086/tech_proj!AF183/(1-tech_proj!AF463))</f>
        <v>25.594178585377406</v>
      </c>
      <c r="AG2083" s="123">
        <f>IF(tech_base!$T59&gt;AG$2025,"",fuel_costs!Y$10*0.086/tech_proj!AG183/(1-tech_proj!AG463))</f>
        <v>25.693750347258302</v>
      </c>
      <c r="AH2083" s="123">
        <f>IF(tech_base!$T59&gt;AH$2025,"",fuel_costs!Z$10*0.086/tech_proj!AH183/(1-tech_proj!AH463))</f>
        <v>25.792871429300163</v>
      </c>
      <c r="AI2083" s="123">
        <f>IF(tech_base!$T59&gt;AI$2025,"",fuel_costs!AA$10*0.086/tech_proj!AI183/(1-tech_proj!AI463))</f>
        <v>25.891443883005895</v>
      </c>
      <c r="AJ2083" s="123">
        <f>IF(tech_base!$T59&gt;AJ$2025,"",fuel_costs!AB$10*0.086/tech_proj!AJ183/(1-tech_proj!AJ463))</f>
        <v>25.991379949924521</v>
      </c>
      <c r="AK2083" s="123">
        <f>IF(tech_base!$T59&gt;AK$2025,"",fuel_costs!AC$10*0.086/tech_proj!AK183/(1-tech_proj!AK463))</f>
        <v>26.090506457285635</v>
      </c>
      <c r="AL2083" s="123">
        <f>IF(tech_base!$T59&gt;AL$2025,"",fuel_costs!AD$10*0.086/tech_proj!AL183/(1-tech_proj!AL463))</f>
        <v>26.188653159203639</v>
      </c>
      <c r="AM2083" s="123">
        <f>IF(tech_base!$T59&gt;AM$2025,"",fuel_costs!AE$10*0.086/tech_proj!AM183/(1-tech_proj!AM463))</f>
        <v>26.285617403187096</v>
      </c>
      <c r="AN2083" s="123">
        <f>IF(tech_base!$T59&gt;AN$2025,"",fuel_costs!AF$10*0.086/tech_proj!AN183/(1-tech_proj!AN463))</f>
        <v>26.381159594907412</v>
      </c>
      <c r="AO2083" s="123">
        <f>IF(tech_base!$T59&gt;AO$2025,"",fuel_costs!AG$10*0.086/tech_proj!AO183/(1-tech_proj!AO463))</f>
        <v>26.47706720279017</v>
      </c>
      <c r="AP2083" s="123">
        <f>IF(tech_base!$T59&gt;AP$2025,"",fuel_costs!AH$10*0.086/tech_proj!AP183/(1-tech_proj!AP463))</f>
        <v>26.570944203724647</v>
      </c>
      <c r="AQ2083" s="123">
        <f>IF(tech_base!$T59&gt;AQ$2025,"",fuel_costs!AI$10*0.086/tech_proj!AQ183/(1-tech_proj!AQ463))</f>
        <v>26.662417004189809</v>
      </c>
      <c r="AR2083" s="123">
        <f>IF(tech_base!$T59&gt;AR$2025,"",fuel_costs!AJ$10*0.086/tech_proj!AR183/(1-tech_proj!AR463))</f>
        <v>26.751064956982031</v>
      </c>
      <c r="AS2083" s="123">
        <f>IF(tech_base!$T59&gt;AS$2025,"",fuel_costs!AK$10*0.086/tech_proj!AS183/(1-tech_proj!AS463))</f>
        <v>26.836424526008166</v>
      </c>
      <c r="AT2083" s="123">
        <f>IF(tech_base!$T59&gt;AT$2025,"",fuel_costs!AL$10*0.086/tech_proj!AT183/(1-tech_proj!AT463))</f>
        <v>26.920102097355546</v>
      </c>
      <c r="AU2083" s="123">
        <f>IF(tech_base!$T59&gt;AU$2025,"",fuel_costs!AM$10*0.086/tech_proj!AU183/(1-tech_proj!AU463))</f>
        <v>26.99947826531217</v>
      </c>
      <c r="AV2083" s="123">
        <f>IF(tech_base!$T59&gt;AV$2025,"",fuel_costs!AN$10*0.086/tech_proj!AV183/(1-tech_proj!AV463))</f>
        <v>27.074051563415239</v>
      </c>
      <c r="AW2083" s="123">
        <f>IF(tech_base!$T59&gt;AW$2025,"",fuel_costs!AO$10*0.086/tech_proj!AW183/(1-tech_proj!AW463))</f>
        <v>27.143370499333614</v>
      </c>
      <c r="AX2083" s="124">
        <f>IF(tech_base!$T59&gt;AX$2025,"",fuel_costs!AP$10*0.086/tech_proj!AX183/(1-tech_proj!AX463))</f>
        <v>27.207083435967274</v>
      </c>
    </row>
    <row r="2084" spans="1:50" x14ac:dyDescent="0.25">
      <c r="A2084" s="356"/>
      <c r="B2084" s="376"/>
      <c r="C2084" s="379"/>
      <c r="D2084" s="59" t="s">
        <v>8</v>
      </c>
      <c r="E2084" s="79" t="str">
        <f>A2071&amp;"/"&amp;B2079&amp;"/"&amp;C2083&amp;"/"&amp;D2084</f>
        <v>Lignite fired power plants/Supercritical steam turbine/Electricity only with CCS/M</v>
      </c>
      <c r="F2084" s="79" t="str">
        <f>A2071</f>
        <v>Lignite fired power plants</v>
      </c>
      <c r="G2084" s="79" t="str">
        <f>B2079</f>
        <v>Supercritical steam turbine</v>
      </c>
      <c r="H2084" s="79" t="str">
        <f>C2083</f>
        <v>Electricity only with CCS</v>
      </c>
      <c r="I2084" s="79" t="str">
        <f t="shared" si="387"/>
        <v>M</v>
      </c>
      <c r="J2084" s="125" t="str">
        <f>IF(tech_base!$T60&gt;J$2025,"",fuel_costs!B$10*0.086/tech_proj!J184/(1-tech_proj!J464))</f>
        <v/>
      </c>
      <c r="K2084" s="125" t="str">
        <f>IF(tech_base!$T60&gt;K$2025,"",fuel_costs!C$10*0.086/tech_proj!K184/(1-tech_proj!K464))</f>
        <v/>
      </c>
      <c r="L2084" s="125" t="str">
        <f>IF(tech_base!$T60&gt;L$2025,"",fuel_costs!D$10*0.086/tech_proj!L184/(1-tech_proj!L464))</f>
        <v/>
      </c>
      <c r="M2084" s="125" t="str">
        <f>IF(tech_base!$T60&gt;M$2025,"",fuel_costs!E$10*0.086/tech_proj!M184/(1-tech_proj!M464))</f>
        <v/>
      </c>
      <c r="N2084" s="125" t="str">
        <f>IF(tech_base!$T60&gt;N$2025,"",fuel_costs!F$10*0.086/tech_proj!N184/(1-tech_proj!N464))</f>
        <v/>
      </c>
      <c r="O2084" s="125" t="str">
        <f>IF(tech_base!$T60&gt;O$2025,"",fuel_costs!G$10*0.086/tech_proj!O184/(1-tech_proj!O464))</f>
        <v/>
      </c>
      <c r="P2084" s="125" t="str">
        <f>IF(tech_base!$T60&gt;P$2025,"",fuel_costs!H$10*0.086/tech_proj!P184/(1-tech_proj!P464))</f>
        <v/>
      </c>
      <c r="Q2084" s="125" t="str">
        <f>IF(tech_base!$T60&gt;Q$2025,"",fuel_costs!I$10*0.086/tech_proj!Q184/(1-tech_proj!Q464))</f>
        <v/>
      </c>
      <c r="R2084" s="125" t="str">
        <f>IF(tech_base!$T60&gt;R$2025,"",fuel_costs!J$10*0.086/tech_proj!R184/(1-tech_proj!R464))</f>
        <v/>
      </c>
      <c r="S2084" s="125" t="str">
        <f>IF(tech_base!$T60&gt;S$2025,"",fuel_costs!K$10*0.086/tech_proj!S184/(1-tech_proj!S464))</f>
        <v/>
      </c>
      <c r="T2084" s="125" t="str">
        <f>IF(tech_base!$T60&gt;T$2025,"",fuel_costs!L$10*0.086/tech_proj!T184/(1-tech_proj!T464))</f>
        <v/>
      </c>
      <c r="U2084" s="125" t="str">
        <f>IF(tech_base!$T60&gt;U$2025,"",fuel_costs!M$10*0.086/tech_proj!U184/(1-tech_proj!U464))</f>
        <v/>
      </c>
      <c r="V2084" s="125" t="str">
        <f>IF(tech_base!$T60&gt;V$2025,"",fuel_costs!N$10*0.086/tech_proj!V184/(1-tech_proj!V464))</f>
        <v/>
      </c>
      <c r="W2084" s="125" t="str">
        <f>IF(tech_base!$T60&gt;W$2025,"",fuel_costs!O$10*0.086/tech_proj!W184/(1-tech_proj!W464))</f>
        <v/>
      </c>
      <c r="X2084" s="125" t="str">
        <f>IF(tech_base!$T60&gt;X$2025,"",fuel_costs!P$10*0.086/tech_proj!X184/(1-tech_proj!X464))</f>
        <v/>
      </c>
      <c r="Y2084" s="125" t="str">
        <f>IF(tech_base!$T60&gt;Y$2025,"",fuel_costs!Q$10*0.086/tech_proj!Y184/(1-tech_proj!Y464))</f>
        <v/>
      </c>
      <c r="Z2084" s="125" t="str">
        <f>IF(tech_base!$T60&gt;Z$2025,"",fuel_costs!R$10*0.086/tech_proj!Z184/(1-tech_proj!Z464))</f>
        <v/>
      </c>
      <c r="AA2084" s="125" t="str">
        <f>IF(tech_base!$T60&gt;AA$2025,"",fuel_costs!S$10*0.086/tech_proj!AA184/(1-tech_proj!AA464))</f>
        <v/>
      </c>
      <c r="AB2084" s="125" t="str">
        <f>IF(tech_base!$T60&gt;AB$2025,"",fuel_costs!T$10*0.086/tech_proj!AB184/(1-tech_proj!AB464))</f>
        <v/>
      </c>
      <c r="AC2084" s="125" t="str">
        <f>IF(tech_base!$T60&gt;AC$2025,"",fuel_costs!U$10*0.086/tech_proj!AC184/(1-tech_proj!AC464))</f>
        <v/>
      </c>
      <c r="AD2084" s="125" t="str">
        <f>IF(tech_base!$T60&gt;AD$2025,"",fuel_costs!V$10*0.086/tech_proj!AD184/(1-tech_proj!AD464))</f>
        <v/>
      </c>
      <c r="AE2084" s="125">
        <f>IF(tech_base!$T60&gt;AE$2025,"",fuel_costs!W$10*0.086/tech_proj!AE184/(1-tech_proj!AE464))</f>
        <v>27.289620420492913</v>
      </c>
      <c r="AF2084" s="125">
        <f>IF(tech_base!$T60&gt;AF$2025,"",fuel_costs!X$10*0.086/tech_proj!AF184/(1-tech_proj!AF464))</f>
        <v>27.397375732827925</v>
      </c>
      <c r="AG2084" s="125">
        <f>IF(tech_base!$T60&gt;AG$2025,"",fuel_costs!Y$10*0.086/tech_proj!AG184/(1-tech_proj!AG464))</f>
        <v>27.504848930772624</v>
      </c>
      <c r="AH2084" s="125">
        <f>IF(tech_base!$T60&gt;AH$2025,"",fuel_costs!Z$10*0.086/tech_proj!AH184/(1-tech_proj!AH464))</f>
        <v>27.611959592854721</v>
      </c>
      <c r="AI2084" s="125">
        <f>IF(tech_base!$T60&gt;AI$2025,"",fuel_costs!AA$10*0.086/tech_proj!AI184/(1-tech_proj!AI464))</f>
        <v>27.71860477891466</v>
      </c>
      <c r="AJ2084" s="125">
        <f>IF(tech_base!$T60&gt;AJ$2025,"",fuel_costs!AB$10*0.086/tech_proj!AJ184/(1-tech_proj!AJ464))</f>
        <v>27.826826787533456</v>
      </c>
      <c r="AK2084" s="125">
        <f>IF(tech_base!$T60&gt;AK$2025,"",fuel_costs!AC$10*0.086/tech_proj!AK184/(1-tech_proj!AK464))</f>
        <v>27.934283727065718</v>
      </c>
      <c r="AL2084" s="125">
        <f>IF(tech_base!$T60&gt;AL$2025,"",fuel_costs!AD$10*0.086/tech_proj!AL184/(1-tech_proj!AL464))</f>
        <v>28.040762573316659</v>
      </c>
      <c r="AM2084" s="125">
        <f>IF(tech_base!$T60&gt;AM$2025,"",fuel_costs!AE$10*0.086/tech_proj!AM184/(1-tech_proj!AM464))</f>
        <v>28.145993910762943</v>
      </c>
      <c r="AN2084" s="125">
        <f>IF(tech_base!$T60&gt;AN$2025,"",fuel_costs!AF$10*0.086/tech_proj!AN184/(1-tech_proj!AN464))</f>
        <v>28.249638872359416</v>
      </c>
      <c r="AO2084" s="125">
        <f>IF(tech_base!$T60&gt;AO$2025,"",fuel_costs!AG$10*0.086/tech_proj!AO184/(1-tech_proj!AO464))</f>
        <v>28.353489205210369</v>
      </c>
      <c r="AP2084" s="125">
        <f>IF(tech_base!$T60&gt;AP$2025,"",fuel_costs!AH$10*0.086/tech_proj!AP184/(1-tech_proj!AP464))</f>
        <v>28.454804518748904</v>
      </c>
      <c r="AQ2084" s="125">
        <f>IF(tech_base!$T60&gt;AQ$2025,"",fuel_costs!AI$10*0.086/tech_proj!AQ184/(1-tech_proj!AQ464))</f>
        <v>28.552943990064616</v>
      </c>
      <c r="AR2084" s="125">
        <f>IF(tech_base!$T60&gt;AR$2025,"",fuel_costs!AJ$10*0.086/tech_proj!AR184/(1-tech_proj!AR464))</f>
        <v>28.647136579100081</v>
      </c>
      <c r="AS2084" s="125">
        <f>IF(tech_base!$T60&gt;AS$2025,"",fuel_costs!AK$10*0.086/tech_proj!AS184/(1-tech_proj!AS464))</f>
        <v>28.736474042921166</v>
      </c>
      <c r="AT2084" s="125">
        <f>IF(tech_base!$T60&gt;AT$2025,"",fuel_costs!AL$10*0.086/tech_proj!AT184/(1-tech_proj!AT464))</f>
        <v>28.822168308309877</v>
      </c>
      <c r="AU2084" s="125">
        <f>IF(tech_base!$T60&gt;AU$2025,"",fuel_costs!AM$10*0.086/tech_proj!AU184/(1-tech_proj!AU464))</f>
        <v>28.900818470294329</v>
      </c>
      <c r="AV2084" s="125">
        <f>IF(tech_base!$T60&gt;AV$2025,"",fuel_costs!AN$10*0.086/tech_proj!AV184/(1-tech_proj!AV464))</f>
        <v>28.971234416857172</v>
      </c>
      <c r="AW2084" s="125">
        <f>IF(tech_base!$T60&gt;AW$2025,"",fuel_costs!AO$10*0.086/tech_proj!AW184/(1-tech_proj!AW464))</f>
        <v>29.032284070288718</v>
      </c>
      <c r="AX2084" s="126">
        <f>IF(tech_base!$T60&gt;AX$2025,"",fuel_costs!AP$10*0.086/tech_proj!AX184/(1-tech_proj!AX464))</f>
        <v>29.083047200776186</v>
      </c>
    </row>
    <row r="2085" spans="1:50" x14ac:dyDescent="0.25">
      <c r="A2085" s="356"/>
      <c r="B2085" s="376"/>
      <c r="C2085" s="361" t="s">
        <v>16</v>
      </c>
      <c r="D2085" s="2" t="s">
        <v>7</v>
      </c>
      <c r="E2085" s="76" t="str">
        <f>A2071&amp;"/"&amp;B2079&amp;"/"&amp;C2085&amp;"/"&amp;D2085</f>
        <v>Lignite fired power plants/Supercritical steam turbine/CHP with CCS/L</v>
      </c>
      <c r="F2085" s="76" t="str">
        <f>A2071</f>
        <v>Lignite fired power plants</v>
      </c>
      <c r="G2085" s="76" t="str">
        <f>B2079</f>
        <v>Supercritical steam turbine</v>
      </c>
      <c r="H2085" s="76" t="str">
        <f>C2085</f>
        <v>CHP with CCS</v>
      </c>
      <c r="I2085" s="76" t="str">
        <f t="shared" si="387"/>
        <v>L</v>
      </c>
      <c r="J2085" s="119" t="str">
        <f>IF(tech_base!$T61&gt;J$2025,"",fuel_costs!B$10*0.086/tech_proj!J185/(1-tech_proj!J465))</f>
        <v/>
      </c>
      <c r="K2085" s="119" t="str">
        <f>IF(tech_base!$T61&gt;K$2025,"",fuel_costs!C$10*0.086/tech_proj!K185/(1-tech_proj!K465))</f>
        <v/>
      </c>
      <c r="L2085" s="119" t="str">
        <f>IF(tech_base!$T61&gt;L$2025,"",fuel_costs!D$10*0.086/tech_proj!L185/(1-tech_proj!L465))</f>
        <v/>
      </c>
      <c r="M2085" s="119" t="str">
        <f>IF(tech_base!$T61&gt;M$2025,"",fuel_costs!E$10*0.086/tech_proj!M185/(1-tech_proj!M465))</f>
        <v/>
      </c>
      <c r="N2085" s="119" t="str">
        <f>IF(tech_base!$T61&gt;N$2025,"",fuel_costs!F$10*0.086/tech_proj!N185/(1-tech_proj!N465))</f>
        <v/>
      </c>
      <c r="O2085" s="119" t="str">
        <f>IF(tech_base!$T61&gt;O$2025,"",fuel_costs!G$10*0.086/tech_proj!O185/(1-tech_proj!O465))</f>
        <v/>
      </c>
      <c r="P2085" s="119" t="str">
        <f>IF(tech_base!$T61&gt;P$2025,"",fuel_costs!H$10*0.086/tech_proj!P185/(1-tech_proj!P465))</f>
        <v/>
      </c>
      <c r="Q2085" s="119" t="str">
        <f>IF(tech_base!$T61&gt;Q$2025,"",fuel_costs!I$10*0.086/tech_proj!Q185/(1-tech_proj!Q465))</f>
        <v/>
      </c>
      <c r="R2085" s="119" t="str">
        <f>IF(tech_base!$T61&gt;R$2025,"",fuel_costs!J$10*0.086/tech_proj!R185/(1-tech_proj!R465))</f>
        <v/>
      </c>
      <c r="S2085" s="119" t="str">
        <f>IF(tech_base!$T61&gt;S$2025,"",fuel_costs!K$10*0.086/tech_proj!S185/(1-tech_proj!S465))</f>
        <v/>
      </c>
      <c r="T2085" s="119" t="str">
        <f>IF(tech_base!$T61&gt;T$2025,"",fuel_costs!L$10*0.086/tech_proj!T185/(1-tech_proj!T465))</f>
        <v/>
      </c>
      <c r="U2085" s="119" t="str">
        <f>IF(tech_base!$T61&gt;U$2025,"",fuel_costs!M$10*0.086/tech_proj!U185/(1-tech_proj!U465))</f>
        <v/>
      </c>
      <c r="V2085" s="119" t="str">
        <f>IF(tech_base!$T61&gt;V$2025,"",fuel_costs!N$10*0.086/tech_proj!V185/(1-tech_proj!V465))</f>
        <v/>
      </c>
      <c r="W2085" s="119" t="str">
        <f>IF(tech_base!$T61&gt;W$2025,"",fuel_costs!O$10*0.086/tech_proj!W185/(1-tech_proj!W465))</f>
        <v/>
      </c>
      <c r="X2085" s="119" t="str">
        <f>IF(tech_base!$T61&gt;X$2025,"",fuel_costs!P$10*0.086/tech_proj!X185/(1-tech_proj!X465))</f>
        <v/>
      </c>
      <c r="Y2085" s="119" t="str">
        <f>IF(tech_base!$T61&gt;Y$2025,"",fuel_costs!Q$10*0.086/tech_proj!Y185/(1-tech_proj!Y465))</f>
        <v/>
      </c>
      <c r="Z2085" s="119" t="str">
        <f>IF(tech_base!$T61&gt;Z$2025,"",fuel_costs!R$10*0.086/tech_proj!Z185/(1-tech_proj!Z465))</f>
        <v/>
      </c>
      <c r="AA2085" s="119" t="str">
        <f>IF(tech_base!$T61&gt;AA$2025,"",fuel_costs!S$10*0.086/tech_proj!AA185/(1-tech_proj!AA465))</f>
        <v/>
      </c>
      <c r="AB2085" s="119" t="str">
        <f>IF(tech_base!$T61&gt;AB$2025,"",fuel_costs!T$10*0.086/tech_proj!AB185/(1-tech_proj!AB465))</f>
        <v/>
      </c>
      <c r="AC2085" s="119" t="str">
        <f>IF(tech_base!$T61&gt;AC$2025,"",fuel_costs!U$10*0.086/tech_proj!AC185/(1-tech_proj!AC465))</f>
        <v/>
      </c>
      <c r="AD2085" s="119" t="str">
        <f>IF(tech_base!$T61&gt;AD$2025,"",fuel_costs!V$10*0.086/tech_proj!AD185/(1-tech_proj!AD465))</f>
        <v/>
      </c>
      <c r="AE2085" s="119">
        <f>IF(tech_base!$T61&gt;AE$2025,"",fuel_costs!W$10*0.086/tech_proj!AE185/(1-tech_proj!AE465))</f>
        <v>29.147851769871025</v>
      </c>
      <c r="AF2085" s="119">
        <f>IF(tech_base!$T61&gt;AF$2025,"",fuel_costs!X$10*0.086/tech_proj!AF185/(1-tech_proj!AF465))</f>
        <v>29.262427010221749</v>
      </c>
      <c r="AG2085" s="119">
        <f>IF(tech_base!$T61&gt;AG$2025,"",fuel_costs!Y$10*0.086/tech_proj!AG185/(1-tech_proj!AG465))</f>
        <v>29.376650231921456</v>
      </c>
      <c r="AH2085" s="119">
        <f>IF(tech_base!$T61&gt;AH$2025,"",fuel_costs!Z$10*0.086/tech_proj!AH185/(1-tech_proj!AH465))</f>
        <v>29.490444432637805</v>
      </c>
      <c r="AI2085" s="119">
        <f>IF(tech_base!$T61&gt;AI$2025,"",fuel_costs!AA$10*0.086/tech_proj!AI185/(1-tech_proj!AI465))</f>
        <v>29.603716464556111</v>
      </c>
      <c r="AJ2085" s="119">
        <f>IF(tech_base!$T61&gt;AJ$2025,"",fuel_costs!AB$10*0.086/tech_proj!AJ185/(1-tech_proj!AJ465))</f>
        <v>29.718675579480628</v>
      </c>
      <c r="AK2085" s="119">
        <f>IF(tech_base!$T61&gt;AK$2025,"",fuel_costs!AC$10*0.086/tech_proj!AK185/(1-tech_proj!AK465))</f>
        <v>29.832864551659792</v>
      </c>
      <c r="AL2085" s="119">
        <f>IF(tech_base!$T61&gt;AL$2025,"",fuel_costs!AD$10*0.086/tech_proj!AL185/(1-tech_proj!AL465))</f>
        <v>29.946121726935118</v>
      </c>
      <c r="AM2085" s="119">
        <f>IF(tech_base!$T61&gt;AM$2025,"",fuel_costs!AE$10*0.086/tech_proj!AM185/(1-tech_proj!AM465))</f>
        <v>30.058254827419017</v>
      </c>
      <c r="AN2085" s="119">
        <f>IF(tech_base!$T61&gt;AN$2025,"",fuel_costs!AF$10*0.086/tech_proj!AN185/(1-tech_proj!AN465))</f>
        <v>30.169036740569116</v>
      </c>
      <c r="AO2085" s="119">
        <f>IF(tech_base!$T61&gt;AO$2025,"",fuel_costs!AG$10*0.086/tech_proj!AO185/(1-tech_proj!AO465))</f>
        <v>30.280567008217066</v>
      </c>
      <c r="AP2085" s="119">
        <f>IF(tech_base!$T61&gt;AP$2025,"",fuel_costs!AH$10*0.086/tech_proj!AP185/(1-tech_proj!AP465))</f>
        <v>30.39017036966262</v>
      </c>
      <c r="AQ2085" s="119">
        <f>IF(tech_base!$T61&gt;AQ$2025,"",fuel_costs!AI$10*0.086/tech_proj!AQ185/(1-tech_proj!AQ465))</f>
        <v>30.497494295842248</v>
      </c>
      <c r="AR2085" s="119">
        <f>IF(tech_base!$T61&gt;AR$2025,"",fuel_costs!AJ$10*0.086/tech_proj!AR185/(1-tech_proj!AR465))</f>
        <v>30.602142804662165</v>
      </c>
      <c r="AS2085" s="119">
        <f>IF(tech_base!$T61&gt;AS$2025,"",fuel_costs!AK$10*0.086/tech_proj!AS185/(1-tech_proj!AS465))</f>
        <v>30.703680891375704</v>
      </c>
      <c r="AT2085" s="119">
        <f>IF(tech_base!$T61&gt;AT$2025,"",fuel_costs!AL$10*0.086/tech_proj!AT185/(1-tech_proj!AT465))</f>
        <v>30.804050834411139</v>
      </c>
      <c r="AU2085" s="119">
        <f>IF(tech_base!$T61&gt;AU$2025,"",fuel_costs!AM$10*0.086/tech_proj!AU185/(1-tech_proj!AU465))</f>
        <v>30.900366256145741</v>
      </c>
      <c r="AV2085" s="119">
        <f>IF(tech_base!$T61&gt;AV$2025,"",fuel_costs!AN$10*0.086/tech_proj!AV185/(1-tech_proj!AV465))</f>
        <v>30.992164986520656</v>
      </c>
      <c r="AW2085" s="119">
        <f>IF(tech_base!$T61&gt;AW$2025,"",fuel_costs!AO$10*0.086/tech_proj!AW185/(1-tech_proj!AW465))</f>
        <v>31.079036467820796</v>
      </c>
      <c r="AX2085" s="120">
        <f>IF(tech_base!$T61&gt;AX$2025,"",fuel_costs!AP$10*0.086/tech_proj!AX185/(1-tech_proj!AX465))</f>
        <v>31.160669320453675</v>
      </c>
    </row>
    <row r="2086" spans="1:50" x14ac:dyDescent="0.25">
      <c r="A2086" s="356"/>
      <c r="B2086" s="380"/>
      <c r="C2086" s="381"/>
      <c r="D2086" s="4" t="s">
        <v>8</v>
      </c>
      <c r="E2086" s="80" t="str">
        <f>A2071&amp;"/"&amp;B2079&amp;"/"&amp;C2085&amp;"/"&amp;D2086</f>
        <v>Lignite fired power plants/Supercritical steam turbine/CHP with CCS/M</v>
      </c>
      <c r="F2086" s="80" t="str">
        <f>A2071</f>
        <v>Lignite fired power plants</v>
      </c>
      <c r="G2086" s="80" t="str">
        <f>B2079</f>
        <v>Supercritical steam turbine</v>
      </c>
      <c r="H2086" s="80" t="str">
        <f>C2085</f>
        <v>CHP with CCS</v>
      </c>
      <c r="I2086" s="80" t="str">
        <f t="shared" si="387"/>
        <v>M</v>
      </c>
      <c r="J2086" s="127" t="str">
        <f>IF(tech_base!$T62&gt;J$2025,"",fuel_costs!B$10*0.086/tech_proj!J186/(1-tech_proj!J466))</f>
        <v/>
      </c>
      <c r="K2086" s="127" t="str">
        <f>IF(tech_base!$T62&gt;K$2025,"",fuel_costs!C$10*0.086/tech_proj!K186/(1-tech_proj!K466))</f>
        <v/>
      </c>
      <c r="L2086" s="127" t="str">
        <f>IF(tech_base!$T62&gt;L$2025,"",fuel_costs!D$10*0.086/tech_proj!L186/(1-tech_proj!L466))</f>
        <v/>
      </c>
      <c r="M2086" s="127" t="str">
        <f>IF(tech_base!$T62&gt;M$2025,"",fuel_costs!E$10*0.086/tech_proj!M186/(1-tech_proj!M466))</f>
        <v/>
      </c>
      <c r="N2086" s="127" t="str">
        <f>IF(tech_base!$T62&gt;N$2025,"",fuel_costs!F$10*0.086/tech_proj!N186/(1-tech_proj!N466))</f>
        <v/>
      </c>
      <c r="O2086" s="127" t="str">
        <f>IF(tech_base!$T62&gt;O$2025,"",fuel_costs!G$10*0.086/tech_proj!O186/(1-tech_proj!O466))</f>
        <v/>
      </c>
      <c r="P2086" s="127" t="str">
        <f>IF(tech_base!$T62&gt;P$2025,"",fuel_costs!H$10*0.086/tech_proj!P186/(1-tech_proj!P466))</f>
        <v/>
      </c>
      <c r="Q2086" s="127" t="str">
        <f>IF(tech_base!$T62&gt;Q$2025,"",fuel_costs!I$10*0.086/tech_proj!Q186/(1-tech_proj!Q466))</f>
        <v/>
      </c>
      <c r="R2086" s="127" t="str">
        <f>IF(tech_base!$T62&gt;R$2025,"",fuel_costs!J$10*0.086/tech_proj!R186/(1-tech_proj!R466))</f>
        <v/>
      </c>
      <c r="S2086" s="127" t="str">
        <f>IF(tech_base!$T62&gt;S$2025,"",fuel_costs!K$10*0.086/tech_proj!S186/(1-tech_proj!S466))</f>
        <v/>
      </c>
      <c r="T2086" s="127" t="str">
        <f>IF(tech_base!$T62&gt;T$2025,"",fuel_costs!L$10*0.086/tech_proj!T186/(1-tech_proj!T466))</f>
        <v/>
      </c>
      <c r="U2086" s="127" t="str">
        <f>IF(tech_base!$T62&gt;U$2025,"",fuel_costs!M$10*0.086/tech_proj!U186/(1-tech_proj!U466))</f>
        <v/>
      </c>
      <c r="V2086" s="127" t="str">
        <f>IF(tech_base!$T62&gt;V$2025,"",fuel_costs!N$10*0.086/tech_proj!V186/(1-tech_proj!V466))</f>
        <v/>
      </c>
      <c r="W2086" s="127" t="str">
        <f>IF(tech_base!$T62&gt;W$2025,"",fuel_costs!O$10*0.086/tech_proj!W186/(1-tech_proj!W466))</f>
        <v/>
      </c>
      <c r="X2086" s="127" t="str">
        <f>IF(tech_base!$T62&gt;X$2025,"",fuel_costs!P$10*0.086/tech_proj!X186/(1-tech_proj!X466))</f>
        <v/>
      </c>
      <c r="Y2086" s="127" t="str">
        <f>IF(tech_base!$T62&gt;Y$2025,"",fuel_costs!Q$10*0.086/tech_proj!Y186/(1-tech_proj!Y466))</f>
        <v/>
      </c>
      <c r="Z2086" s="127" t="str">
        <f>IF(tech_base!$T62&gt;Z$2025,"",fuel_costs!R$10*0.086/tech_proj!Z186/(1-tech_proj!Z466))</f>
        <v/>
      </c>
      <c r="AA2086" s="127" t="str">
        <f>IF(tech_base!$T62&gt;AA$2025,"",fuel_costs!S$10*0.086/tech_proj!AA186/(1-tech_proj!AA466))</f>
        <v/>
      </c>
      <c r="AB2086" s="127" t="str">
        <f>IF(tech_base!$T62&gt;AB$2025,"",fuel_costs!T$10*0.086/tech_proj!AB186/(1-tech_proj!AB466))</f>
        <v/>
      </c>
      <c r="AC2086" s="127" t="str">
        <f>IF(tech_base!$T62&gt;AC$2025,"",fuel_costs!U$10*0.086/tech_proj!AC186/(1-tech_proj!AC466))</f>
        <v/>
      </c>
      <c r="AD2086" s="127" t="str">
        <f>IF(tech_base!$T62&gt;AD$2025,"",fuel_costs!V$10*0.086/tech_proj!AD186/(1-tech_proj!AD466))</f>
        <v/>
      </c>
      <c r="AE2086" s="127">
        <f>IF(tech_base!$T62&gt;AE$2025,"",fuel_costs!W$10*0.086/tech_proj!AE186/(1-tech_proj!AE466))</f>
        <v>31.286101071288012</v>
      </c>
      <c r="AF2086" s="127">
        <f>IF(tech_base!$T62&gt;AF$2025,"",fuel_costs!X$10*0.086/tech_proj!AF186/(1-tech_proj!AF466))</f>
        <v>31.409821972763737</v>
      </c>
      <c r="AG2086" s="127">
        <f>IF(tech_base!$T62&gt;AG$2025,"",fuel_costs!Y$10*0.086/tech_proj!AG186/(1-tech_proj!AG466))</f>
        <v>31.533273437195657</v>
      </c>
      <c r="AH2086" s="127">
        <f>IF(tech_base!$T62&gt;AH$2025,"",fuel_costs!Z$10*0.086/tech_proj!AH186/(1-tech_proj!AH466))</f>
        <v>31.656378686782819</v>
      </c>
      <c r="AI2086" s="127">
        <f>IF(tech_base!$T62&gt;AI$2025,"",fuel_costs!AA$10*0.086/tech_proj!AI186/(1-tech_proj!AI466))</f>
        <v>31.779039464703498</v>
      </c>
      <c r="AJ2086" s="127">
        <f>IF(tech_base!$T62&gt;AJ$2025,"",fuel_costs!AB$10*0.086/tech_proj!AJ186/(1-tech_proj!AJ466))</f>
        <v>31.903622559058473</v>
      </c>
      <c r="AK2086" s="127">
        <f>IF(tech_base!$T62&gt;AK$2025,"",fuel_costs!AC$10*0.086/tech_proj!AK186/(1-tech_proj!AK466))</f>
        <v>32.027475343743319</v>
      </c>
      <c r="AL2086" s="127">
        <f>IF(tech_base!$T62&gt;AL$2025,"",fuel_costs!AD$10*0.086/tech_proj!AL186/(1-tech_proj!AL466))</f>
        <v>32.15039469054701</v>
      </c>
      <c r="AM2086" s="127">
        <f>IF(tech_base!$T62&gt;AM$2025,"",fuel_costs!AE$10*0.086/tech_proj!AM186/(1-tech_proj!AM466))</f>
        <v>32.272123840200855</v>
      </c>
      <c r="AN2086" s="127">
        <f>IF(tech_base!$T62&gt;AN$2025,"",fuel_costs!AF$10*0.086/tech_proj!AN186/(1-tech_proj!AN466))</f>
        <v>32.392340073643958</v>
      </c>
      <c r="AO2086" s="127">
        <f>IF(tech_base!$T62&gt;AO$2025,"",fuel_costs!AG$10*0.086/tech_proj!AO186/(1-tech_proj!AO466))</f>
        <v>32.513180626741452</v>
      </c>
      <c r="AP2086" s="127">
        <f>IF(tech_base!$T62&gt;AP$2025,"",fuel_costs!AH$10*0.086/tech_proj!AP186/(1-tech_proj!AP466))</f>
        <v>32.631606254770496</v>
      </c>
      <c r="AQ2086" s="127">
        <f>IF(tech_base!$T62&gt;AQ$2025,"",fuel_costs!AI$10*0.086/tech_proj!AQ186/(1-tech_proj!AQ466))</f>
        <v>32.747008930103185</v>
      </c>
      <c r="AR2086" s="127">
        <f>IF(tech_base!$T62&gt;AR$2025,"",fuel_costs!AJ$10*0.086/tech_proj!AR186/(1-tech_proj!AR466))</f>
        <v>32.858658603937911</v>
      </c>
      <c r="AS2086" s="127">
        <f>IF(tech_base!$T62&gt;AS$2025,"",fuel_costs!AK$10*0.086/tech_proj!AS186/(1-tech_proj!AS466))</f>
        <v>32.965697734463355</v>
      </c>
      <c r="AT2086" s="127">
        <f>IF(tech_base!$T62&gt;AT$2025,"",fuel_costs!AL$10*0.086/tech_proj!AT186/(1-tech_proj!AT466))</f>
        <v>33.069731870451044</v>
      </c>
      <c r="AU2086" s="127">
        <f>IF(tech_base!$T62&gt;AU$2025,"",fuel_costs!AM$10*0.086/tech_proj!AU186/(1-tech_proj!AU466))</f>
        <v>33.167102397775473</v>
      </c>
      <c r="AV2086" s="127">
        <f>IF(tech_base!$T62&gt;AV$2025,"",fuel_costs!AN$10*0.086/tech_proj!AV186/(1-tech_proj!AV466))</f>
        <v>33.256704965127419</v>
      </c>
      <c r="AW2086" s="127">
        <f>IF(tech_base!$T62&gt;AW$2025,"",fuel_costs!AO$10*0.086/tech_proj!AW186/(1-tech_proj!AW466))</f>
        <v>33.337502871452706</v>
      </c>
      <c r="AX2086" s="128">
        <f>IF(tech_base!$T62&gt;AX$2025,"",fuel_costs!AP$10*0.086/tech_proj!AX186/(1-tech_proj!AX466))</f>
        <v>33.408675309219646</v>
      </c>
    </row>
    <row r="2087" spans="1:50" x14ac:dyDescent="0.25">
      <c r="A2087" s="356"/>
      <c r="B2087" s="358" t="s">
        <v>18</v>
      </c>
      <c r="C2087" s="353" t="s">
        <v>6</v>
      </c>
      <c r="D2087" s="3" t="s">
        <v>7</v>
      </c>
      <c r="E2087" s="77" t="str">
        <f>A2071&amp;"/"&amp;B2087&amp;"/"&amp;C2087&amp;"/"&amp;D2087</f>
        <v>Lignite fired power plants/Fluidized bed combustion/Electricity only/L</v>
      </c>
      <c r="F2087" s="77" t="str">
        <f>A2071</f>
        <v>Lignite fired power plants</v>
      </c>
      <c r="G2087" s="77" t="str">
        <f>B2087</f>
        <v>Fluidized bed combustion</v>
      </c>
      <c r="H2087" s="77" t="str">
        <f>C2087</f>
        <v>Electricity only</v>
      </c>
      <c r="I2087" s="77" t="str">
        <f t="shared" si="387"/>
        <v>L</v>
      </c>
      <c r="J2087" s="121">
        <f>IF(tech_base!$T63&gt;J$2025,"",fuel_costs!B$10*0.086/tech_proj!J187/(1-tech_proj!J467))</f>
        <v>19.174068904508321</v>
      </c>
      <c r="K2087" s="121">
        <f>IF(tech_base!$T63&gt;K$2025,"",fuel_costs!C$10*0.086/tech_proj!K187/(1-tech_proj!K467))</f>
        <v>19.187972963400068</v>
      </c>
      <c r="L2087" s="121">
        <f>IF(tech_base!$T63&gt;L$2025,"",fuel_costs!D$10*0.086/tech_proj!L187/(1-tech_proj!L467))</f>
        <v>19.20184267505968</v>
      </c>
      <c r="M2087" s="121">
        <f>IF(tech_base!$T63&gt;M$2025,"",fuel_costs!E$10*0.086/tech_proj!M187/(1-tech_proj!M467))</f>
        <v>19.215670433362241</v>
      </c>
      <c r="N2087" s="121">
        <f>IF(tech_base!$T63&gt;N$2025,"",fuel_costs!F$10*0.086/tech_proj!N187/(1-tech_proj!N467))</f>
        <v>19.229446955679201</v>
      </c>
      <c r="O2087" s="121">
        <f>IF(tech_base!$T63&gt;O$2025,"",fuel_costs!G$10*0.086/tech_proj!O187/(1-tech_proj!O467))</f>
        <v>19.243160917213419</v>
      </c>
      <c r="P2087" s="121">
        <f>IF(tech_base!$T63&gt;P$2025,"",fuel_costs!H$10*0.086/tech_proj!P187/(1-tech_proj!P467))</f>
        <v>19.319712330960517</v>
      </c>
      <c r="Q2087" s="121">
        <f>IF(tech_base!$T63&gt;Q$2025,"",fuel_costs!I$10*0.086/tech_proj!Q187/(1-tech_proj!Q467))</f>
        <v>19.396167192261668</v>
      </c>
      <c r="R2087" s="121">
        <f>IF(tech_base!$T63&gt;R$2025,"",fuel_costs!J$10*0.086/tech_proj!R187/(1-tech_proj!R467))</f>
        <v>19.472503890911423</v>
      </c>
      <c r="S2087" s="121">
        <f>IF(tech_base!$T63&gt;S$2025,"",fuel_costs!K$10*0.086/tech_proj!S187/(1-tech_proj!S467))</f>
        <v>19.548696041257987</v>
      </c>
      <c r="T2087" s="121">
        <f>IF(tech_base!$T63&gt;T$2025,"",fuel_costs!L$10*0.086/tech_proj!T187/(1-tech_proj!T467))</f>
        <v>19.624711456753808</v>
      </c>
      <c r="U2087" s="121">
        <f>IF(tech_base!$T63&gt;U$2025,"",fuel_costs!M$10*0.086/tech_proj!U187/(1-tech_proj!U467))</f>
        <v>19.702050021452372</v>
      </c>
      <c r="V2087" s="121">
        <f>IF(tech_base!$T63&gt;V$2025,"",fuel_costs!N$10*0.086/tech_proj!V187/(1-tech_proj!V467))</f>
        <v>19.779124691707878</v>
      </c>
      <c r="W2087" s="121">
        <f>IF(tech_base!$T63&gt;W$2025,"",fuel_costs!O$10*0.086/tech_proj!W187/(1-tech_proj!W467))</f>
        <v>19.855877428245606</v>
      </c>
      <c r="X2087" s="121">
        <f>IF(tech_base!$T63&gt;X$2025,"",fuel_costs!P$10*0.086/tech_proj!X187/(1-tech_proj!X467))</f>
        <v>19.932237870467784</v>
      </c>
      <c r="Y2087" s="121">
        <f>IF(tech_base!$T63&gt;Y$2025,"",fuel_costs!Q$10*0.086/tech_proj!Y187/(1-tech_proj!Y467))</f>
        <v>20.008120938131679</v>
      </c>
      <c r="Z2087" s="121">
        <f>IF(tech_base!$T63&gt;Z$2025,"",fuel_costs!R$10*0.086/tech_proj!Z187/(1-tech_proj!Z467))</f>
        <v>20.084993092007309</v>
      </c>
      <c r="AA2087" s="121">
        <f>IF(tech_base!$T63&gt;AA$2025,"",fuel_costs!S$10*0.086/tech_proj!AA187/(1-tech_proj!AA467))</f>
        <v>20.161161569911517</v>
      </c>
      <c r="AB2087" s="121">
        <f>IF(tech_base!$T63&gt;AB$2025,"",fuel_costs!T$10*0.086/tech_proj!AB187/(1-tech_proj!AB467))</f>
        <v>20.236479020284573</v>
      </c>
      <c r="AC2087" s="121">
        <f>IF(tech_base!$T63&gt;AC$2025,"",fuel_costs!U$10*0.086/tech_proj!AC187/(1-tech_proj!AC467))</f>
        <v>20.310770383396573</v>
      </c>
      <c r="AD2087" s="121">
        <f>IF(tech_base!$T63&gt;AD$2025,"",fuel_costs!V$10*0.086/tech_proj!AD187/(1-tech_proj!AD467))</f>
        <v>20.383829214600574</v>
      </c>
      <c r="AE2087" s="121">
        <f>IF(tech_base!$T63&gt;AE$2025,"",fuel_costs!W$10*0.086/tech_proj!AE187/(1-tech_proj!AE467))</f>
        <v>20.457012384743038</v>
      </c>
      <c r="AF2087" s="121">
        <f>IF(tech_base!$T63&gt;AF$2025,"",fuel_costs!X$10*0.086/tech_proj!AF187/(1-tech_proj!AF467))</f>
        <v>20.528441703236851</v>
      </c>
      <c r="AG2087" s="121">
        <f>IF(tech_base!$T63&gt;AG$2025,"",fuel_costs!Y$10*0.086/tech_proj!AG187/(1-tech_proj!AG467))</f>
        <v>20.597799820541589</v>
      </c>
      <c r="AH2087" s="121">
        <f>IF(tech_base!$T63&gt;AH$2025,"",fuel_costs!Z$10*0.086/tech_proj!AH187/(1-tech_proj!AH467))</f>
        <v>20.664732568914943</v>
      </c>
      <c r="AI2087" s="121">
        <f>IF(tech_base!$T63&gt;AI$2025,"",fuel_costs!AA$10*0.086/tech_proj!AI187/(1-tech_proj!AI467))</f>
        <v>20.728854642930251</v>
      </c>
      <c r="AJ2087" s="121">
        <f>IF(tech_base!$T63&gt;AJ$2025,"",fuel_costs!AB$10*0.086/tech_proj!AJ187/(1-tech_proj!AJ467))</f>
        <v>20.791385341227144</v>
      </c>
      <c r="AK2087" s="121">
        <f>IF(tech_base!$T63&gt;AK$2025,"",fuel_costs!AC$10*0.086/tech_proj!AK187/(1-tech_proj!AK467))</f>
        <v>20.850291703571557</v>
      </c>
      <c r="AL2087" s="121">
        <f>IF(tech_base!$T63&gt;AL$2025,"",fuel_costs!AD$10*0.086/tech_proj!AL187/(1-tech_proj!AL467))</f>
        <v>20.905197099090156</v>
      </c>
      <c r="AM2087" s="121">
        <f>IF(tech_base!$T63&gt;AM$2025,"",fuel_costs!AE$10*0.086/tech_proj!AM187/(1-tech_proj!AM467))</f>
        <v>20.955794996076385</v>
      </c>
      <c r="AN2087" s="121">
        <f>IF(tech_base!$T63&gt;AN$2025,"",fuel_costs!AF$10*0.086/tech_proj!AN187/(1-tech_proj!AN467))</f>
        <v>21.00190142808145</v>
      </c>
      <c r="AO2087" s="121">
        <f>IF(tech_base!$T63&gt;AO$2025,"",fuel_costs!AG$10*0.086/tech_proj!AO187/(1-tech_proj!AO467))</f>
        <v>21.045160485560423</v>
      </c>
      <c r="AP2087" s="121">
        <f>IF(tech_base!$T63&gt;AP$2025,"",fuel_costs!AH$10*0.086/tech_proj!AP187/(1-tech_proj!AP467))</f>
        <v>21.084169248132412</v>
      </c>
      <c r="AQ2087" s="121">
        <f>IF(tech_base!$T63&gt;AQ$2025,"",fuel_costs!AI$10*0.086/tech_proj!AQ187/(1-tech_proj!AQ467))</f>
        <v>21.1194782277949</v>
      </c>
      <c r="AR2087" s="121">
        <f>IF(tech_base!$T63&gt;AR$2025,"",fuel_costs!AJ$10*0.086/tech_proj!AR187/(1-tech_proj!AR467))</f>
        <v>21.151972091344277</v>
      </c>
      <c r="AS2087" s="121">
        <f>IF(tech_base!$T63&gt;AS$2025,"",fuel_costs!AK$10*0.086/tech_proj!AS187/(1-tech_proj!AS467))</f>
        <v>21.182858418475671</v>
      </c>
      <c r="AT2087" s="121">
        <f>IF(tech_base!$T63&gt;AT$2025,"",fuel_costs!AL$10*0.086/tech_proj!AT187/(1-tech_proj!AT467))</f>
        <v>21.215257910436712</v>
      </c>
      <c r="AU2087" s="121">
        <f>IF(tech_base!$T63&gt;AU$2025,"",fuel_costs!AM$10*0.086/tech_proj!AU187/(1-tech_proj!AU467))</f>
        <v>21.249098697452609</v>
      </c>
      <c r="AV2087" s="121">
        <f>IF(tech_base!$T63&gt;AV$2025,"",fuel_costs!AN$10*0.086/tech_proj!AV187/(1-tech_proj!AV467))</f>
        <v>21.285934326851269</v>
      </c>
      <c r="AW2087" s="121">
        <f>IF(tech_base!$T63&gt;AW$2025,"",fuel_costs!AO$10*0.086/tech_proj!AW187/(1-tech_proj!AW467))</f>
        <v>21.327094819303628</v>
      </c>
      <c r="AX2087" s="122">
        <f>IF(tech_base!$T63&gt;AX$2025,"",fuel_costs!AP$10*0.086/tech_proj!AX187/(1-tech_proj!AX467))</f>
        <v>21.373532153121143</v>
      </c>
    </row>
    <row r="2088" spans="1:50" x14ac:dyDescent="0.25">
      <c r="A2088" s="356"/>
      <c r="B2088" s="376"/>
      <c r="C2088" s="350"/>
      <c r="D2088" s="2" t="s">
        <v>8</v>
      </c>
      <c r="E2088" s="76" t="str">
        <f>A2071&amp;"/"&amp;B2087&amp;"/"&amp;C2087&amp;"/"&amp;D2088</f>
        <v>Lignite fired power plants/Fluidized bed combustion/Electricity only/M</v>
      </c>
      <c r="F2088" s="76" t="str">
        <f>A2071</f>
        <v>Lignite fired power plants</v>
      </c>
      <c r="G2088" s="76" t="str">
        <f>B2087</f>
        <v>Fluidized bed combustion</v>
      </c>
      <c r="H2088" s="76" t="str">
        <f>C2087</f>
        <v>Electricity only</v>
      </c>
      <c r="I2088" s="76" t="str">
        <f t="shared" si="387"/>
        <v>M</v>
      </c>
      <c r="J2088" s="119">
        <f>IF(tech_base!$T64&gt;J$2025,"",fuel_costs!B$10*0.086/tech_proj!J188/(1-tech_proj!J468))</f>
        <v>20.18814066802156</v>
      </c>
      <c r="K2088" s="119">
        <f>IF(tech_base!$T64&gt;K$2025,"",fuel_costs!C$10*0.086/tech_proj!K188/(1-tech_proj!K468))</f>
        <v>20.202618067389299</v>
      </c>
      <c r="L2088" s="119">
        <f>IF(tech_base!$T64&gt;L$2025,"",fuel_costs!D$10*0.086/tech_proj!L188/(1-tech_proj!L468))</f>
        <v>20.217033117883549</v>
      </c>
      <c r="M2088" s="119">
        <f>IF(tech_base!$T64&gt;M$2025,"",fuel_costs!E$10*0.086/tech_proj!M188/(1-tech_proj!M468))</f>
        <v>20.231373933649962</v>
      </c>
      <c r="N2088" s="119">
        <f>IF(tech_base!$T64&gt;N$2025,"",fuel_costs!F$10*0.086/tech_proj!N188/(1-tech_proj!N468))</f>
        <v>20.245626383987808</v>
      </c>
      <c r="O2088" s="119">
        <f>IF(tech_base!$T64&gt;O$2025,"",fuel_costs!G$10*0.086/tech_proj!O188/(1-tech_proj!O468))</f>
        <v>20.259773678170543</v>
      </c>
      <c r="P2088" s="119">
        <f>IF(tech_base!$T64&gt;P$2025,"",fuel_costs!H$10*0.086/tech_proj!P188/(1-tech_proj!P468))</f>
        <v>20.340032329441225</v>
      </c>
      <c r="Q2088" s="119">
        <f>IF(tech_base!$T64&gt;Q$2025,"",fuel_costs!I$10*0.086/tech_proj!Q188/(1-tech_proj!Q468))</f>
        <v>20.420136178741618</v>
      </c>
      <c r="R2088" s="119">
        <f>IF(tech_base!$T64&gt;R$2025,"",fuel_costs!J$10*0.086/tech_proj!R188/(1-tech_proj!R468))</f>
        <v>20.500055458612696</v>
      </c>
      <c r="S2088" s="119">
        <f>IF(tech_base!$T64&gt;S$2025,"",fuel_costs!K$10*0.086/tech_proj!S188/(1-tech_proj!S468))</f>
        <v>20.579754803819757</v>
      </c>
      <c r="T2088" s="119">
        <f>IF(tech_base!$T64&gt;T$2025,"",fuel_costs!L$10*0.086/tech_proj!T188/(1-tech_proj!T468))</f>
        <v>20.659192251319894</v>
      </c>
      <c r="U2088" s="119">
        <f>IF(tech_base!$T64&gt;U$2025,"",fuel_costs!M$10*0.086/tech_proj!U188/(1-tech_proj!U468))</f>
        <v>20.739938264937042</v>
      </c>
      <c r="V2088" s="119">
        <f>IF(tech_base!$T64&gt;V$2025,"",fuel_costs!N$10*0.086/tech_proj!V188/(1-tech_proj!V468))</f>
        <v>20.820313513742043</v>
      </c>
      <c r="W2088" s="119">
        <f>IF(tech_base!$T64&gt;W$2025,"",fuel_costs!O$10*0.086/tech_proj!W188/(1-tech_proj!W468))</f>
        <v>20.900248508548149</v>
      </c>
      <c r="X2088" s="119">
        <f>IF(tech_base!$T64&gt;X$2025,"",fuel_costs!P$10*0.086/tech_proj!X188/(1-tech_proj!X468))</f>
        <v>20.979661446640623</v>
      </c>
      <c r="Y2088" s="119">
        <f>IF(tech_base!$T64&gt;Y$2025,"",fuel_costs!Q$10*0.086/tech_proj!Y188/(1-tech_proj!Y468))</f>
        <v>21.058456326354136</v>
      </c>
      <c r="Z2088" s="119">
        <f>IF(tech_base!$T64&gt;Z$2025,"",fuel_costs!R$10*0.086/tech_proj!Z188/(1-tech_proj!Z468))</f>
        <v>21.138172190632183</v>
      </c>
      <c r="AA2088" s="119">
        <f>IF(tech_base!$T64&gt;AA$2025,"",fuel_costs!S$10*0.086/tech_proj!AA188/(1-tech_proj!AA468))</f>
        <v>21.217026257866504</v>
      </c>
      <c r="AB2088" s="119">
        <f>IF(tech_base!$T64&gt;AB$2025,"",fuel_costs!T$10*0.086/tech_proj!AB188/(1-tech_proj!AB468))</f>
        <v>21.294867040458943</v>
      </c>
      <c r="AC2088" s="119">
        <f>IF(tech_base!$T64&gt;AC$2025,"",fuel_costs!U$10*0.086/tech_proj!AC188/(1-tech_proj!AC468))</f>
        <v>21.37152029590035</v>
      </c>
      <c r="AD2088" s="119">
        <f>IF(tech_base!$T64&gt;AD$2025,"",fuel_costs!V$10*0.086/tech_proj!AD188/(1-tech_proj!AD468))</f>
        <v>21.446787214530559</v>
      </c>
      <c r="AE2088" s="119">
        <f>IF(tech_base!$T64&gt;AE$2025,"",fuel_costs!W$10*0.086/tech_proj!AE188/(1-tech_proj!AE468))</f>
        <v>21.522124472689388</v>
      </c>
      <c r="AF2088" s="119">
        <f>IF(tech_base!$T64&gt;AF$2025,"",fuel_costs!X$10*0.086/tech_proj!AF188/(1-tech_proj!AF468))</f>
        <v>21.595598213983951</v>
      </c>
      <c r="AG2088" s="119">
        <f>IF(tech_base!$T64&gt;AG$2025,"",fuel_costs!Y$10*0.086/tech_proj!AG188/(1-tech_proj!AG468))</f>
        <v>21.666932494506369</v>
      </c>
      <c r="AH2088" s="119">
        <f>IF(tech_base!$T64&gt;AH$2025,"",fuel_costs!Z$10*0.086/tech_proj!AH188/(1-tech_proj!AH468))</f>
        <v>21.735829895797924</v>
      </c>
      <c r="AI2088" s="119">
        <f>IF(tech_base!$T64&gt;AI$2025,"",fuel_costs!AA$10*0.086/tech_proj!AI188/(1-tech_proj!AI468))</f>
        <v>21.801977913822153</v>
      </c>
      <c r="AJ2088" s="119">
        <f>IF(tech_base!$T64&gt;AJ$2025,"",fuel_costs!AB$10*0.086/tech_proj!AJ188/(1-tech_proj!AJ468))</f>
        <v>21.866767443424497</v>
      </c>
      <c r="AK2088" s="119">
        <f>IF(tech_base!$T64&gt;AK$2025,"",fuel_costs!AC$10*0.086/tech_proj!AK188/(1-tech_proj!AK468))</f>
        <v>21.928179239303912</v>
      </c>
      <c r="AL2088" s="119">
        <f>IF(tech_base!$T64&gt;AL$2025,"",fuel_costs!AD$10*0.086/tech_proj!AL188/(1-tech_proj!AL468))</f>
        <v>21.985936397956252</v>
      </c>
      <c r="AM2088" s="119">
        <f>IF(tech_base!$T64&gt;AM$2025,"",fuel_costs!AE$10*0.086/tech_proj!AM188/(1-tech_proj!AM468))</f>
        <v>22.039819487899891</v>
      </c>
      <c r="AN2088" s="119">
        <f>IF(tech_base!$T64&gt;AN$2025,"",fuel_costs!AF$10*0.086/tech_proj!AN188/(1-tech_proj!AN468))</f>
        <v>22.089698693532977</v>
      </c>
      <c r="AO2088" s="119">
        <f>IF(tech_base!$T64&gt;AO$2025,"",fuel_costs!AG$10*0.086/tech_proj!AO188/(1-tech_proj!AO468))</f>
        <v>22.137299221945483</v>
      </c>
      <c r="AP2088" s="119">
        <f>IF(tech_base!$T64&gt;AP$2025,"",fuel_costs!AH$10*0.086/tech_proj!AP188/(1-tech_proj!AP468))</f>
        <v>22.181043130790965</v>
      </c>
      <c r="AQ2088" s="119">
        <f>IF(tech_base!$T64&gt;AQ$2025,"",fuel_costs!AI$10*0.086/tech_proj!AQ188/(1-tech_proj!AQ468))</f>
        <v>22.221282875981522</v>
      </c>
      <c r="AR2088" s="119">
        <f>IF(tech_base!$T64&gt;AR$2025,"",fuel_costs!AJ$10*0.086/tech_proj!AR188/(1-tech_proj!AR468))</f>
        <v>22.258587344076744</v>
      </c>
      <c r="AS2088" s="119">
        <f>IF(tech_base!$T64&gt;AS$2025,"",fuel_costs!AK$10*0.086/tech_proj!AS188/(1-tech_proj!AS468))</f>
        <v>22.293744752295137</v>
      </c>
      <c r="AT2088" s="119">
        <f>IF(tech_base!$T64&gt;AT$2025,"",fuel_costs!AL$10*0.086/tech_proj!AT188/(1-tech_proj!AT468))</f>
        <v>22.329484664402699</v>
      </c>
      <c r="AU2088" s="119">
        <f>IF(tech_base!$T64&gt;AU$2025,"",fuel_costs!AM$10*0.086/tech_proj!AU188/(1-tech_proj!AU468))</f>
        <v>22.365185442024664</v>
      </c>
      <c r="AV2088" s="119">
        <f>IF(tech_base!$T64&gt;AV$2025,"",fuel_costs!AN$10*0.086/tech_proj!AV188/(1-tech_proj!AV468))</f>
        <v>22.402045911510079</v>
      </c>
      <c r="AW2088" s="119">
        <f>IF(tech_base!$T64&gt;AW$2025,"",fuel_costs!AO$10*0.086/tech_proj!AW188/(1-tech_proj!AW468))</f>
        <v>22.441235566796934</v>
      </c>
      <c r="AX2088" s="120">
        <f>IF(tech_base!$T64&gt;AX$2025,"",fuel_costs!AP$10*0.086/tech_proj!AX188/(1-tech_proj!AX468))</f>
        <v>22.48379292024633</v>
      </c>
    </row>
    <row r="2089" spans="1:50" x14ac:dyDescent="0.25">
      <c r="A2089" s="356"/>
      <c r="B2089" s="376"/>
      <c r="C2089" s="360"/>
      <c r="D2089" s="2" t="s">
        <v>10</v>
      </c>
      <c r="E2089" s="76" t="str">
        <f>A2071&amp;"/"&amp;B2087&amp;"/"&amp;C2087&amp;"/"&amp;D2089</f>
        <v>Lignite fired power plants/Fluidized bed combustion/Electricity only/S</v>
      </c>
      <c r="F2089" s="76" t="str">
        <f>A2071</f>
        <v>Lignite fired power plants</v>
      </c>
      <c r="G2089" s="76" t="str">
        <f>B2087</f>
        <v>Fluidized bed combustion</v>
      </c>
      <c r="H2089" s="76" t="str">
        <f>C2087</f>
        <v>Electricity only</v>
      </c>
      <c r="I2089" s="76" t="str">
        <f t="shared" si="387"/>
        <v>S</v>
      </c>
      <c r="J2089" s="119">
        <f>IF(tech_base!$T65&gt;J$2025,"",fuel_costs!B$10*0.086/tech_proj!J189/(1-tech_proj!J469))</f>
        <v>21.258936421998115</v>
      </c>
      <c r="K2089" s="119">
        <f>IF(tech_base!$T65&gt;K$2025,"",fuel_costs!C$10*0.086/tech_proj!K189/(1-tech_proj!K469))</f>
        <v>21.273761688992664</v>
      </c>
      <c r="L2089" s="119">
        <f>IF(tech_base!$T65&gt;L$2025,"",fuel_costs!D$10*0.086/tech_proj!L189/(1-tech_proj!L469))</f>
        <v>21.288463477015007</v>
      </c>
      <c r="M2089" s="119">
        <f>IF(tech_base!$T65&gt;M$2025,"",fuel_costs!E$10*0.086/tech_proj!M189/(1-tech_proj!M469))</f>
        <v>21.303022045548953</v>
      </c>
      <c r="N2089" s="119">
        <f>IF(tech_base!$T65&gt;N$2025,"",fuel_costs!F$10*0.086/tech_proj!N189/(1-tech_proj!N469))</f>
        <v>21.317414563301551</v>
      </c>
      <c r="O2089" s="119">
        <f>IF(tech_base!$T65&gt;O$2025,"",fuel_costs!G$10*0.086/tech_proj!O189/(1-tech_proj!O469))</f>
        <v>21.331614647036403</v>
      </c>
      <c r="P2089" s="119">
        <f>IF(tech_base!$T65&gt;P$2025,"",fuel_costs!H$10*0.086/tech_proj!P189/(1-tech_proj!P469))</f>
        <v>21.415329952966463</v>
      </c>
      <c r="Q2089" s="119">
        <f>IF(tech_base!$T65&gt;Q$2025,"",fuel_costs!I$10*0.086/tech_proj!Q189/(1-tech_proj!Q469))</f>
        <v>21.498775086203235</v>
      </c>
      <c r="R2089" s="119">
        <f>IF(tech_base!$T65&gt;R$2025,"",fuel_costs!J$10*0.086/tech_proj!R189/(1-tech_proj!R469))</f>
        <v>21.581906713660583</v>
      </c>
      <c r="S2089" s="119">
        <f>IF(tech_base!$T65&gt;S$2025,"",fuel_costs!K$10*0.086/tech_proj!S189/(1-tech_proj!S469))</f>
        <v>21.664674853158076</v>
      </c>
      <c r="T2089" s="119">
        <f>IF(tech_base!$T65&gt;T$2025,"",fuel_costs!L$10*0.086/tech_proj!T189/(1-tech_proj!T469))</f>
        <v>21.747021958308441</v>
      </c>
      <c r="U2089" s="119">
        <f>IF(tech_base!$T65&gt;U$2025,"",fuel_costs!M$10*0.086/tech_proj!U189/(1-tech_proj!U469))</f>
        <v>21.830587296419509</v>
      </c>
      <c r="V2089" s="119">
        <f>IF(tech_base!$T65&gt;V$2025,"",fuel_costs!N$10*0.086/tech_proj!V189/(1-tech_proj!V469))</f>
        <v>21.913589100092334</v>
      </c>
      <c r="W2089" s="119">
        <f>IF(tech_base!$T65&gt;W$2025,"",fuel_costs!O$10*0.086/tech_proj!W189/(1-tech_proj!W469))</f>
        <v>21.995940648606005</v>
      </c>
      <c r="X2089" s="119">
        <f>IF(tech_base!$T65&gt;X$2025,"",fuel_costs!P$10*0.086/tech_proj!X189/(1-tech_proj!X469))</f>
        <v>22.077543182261831</v>
      </c>
      <c r="Y2089" s="119">
        <f>IF(tech_base!$T65&gt;Y$2025,"",fuel_costs!Q$10*0.086/tech_proj!Y189/(1-tech_proj!Y469))</f>
        <v>22.158284686623691</v>
      </c>
      <c r="Z2089" s="119">
        <f>IF(tech_base!$T65&gt;Z$2025,"",fuel_costs!R$10*0.086/tech_proj!Z189/(1-tech_proj!Z469))</f>
        <v>22.239776068328705</v>
      </c>
      <c r="AA2089" s="119">
        <f>IF(tech_base!$T65&gt;AA$2025,"",fuel_costs!S$10*0.086/tech_proj!AA189/(1-tech_proj!AA469))</f>
        <v>22.320136783889676</v>
      </c>
      <c r="AB2089" s="119">
        <f>IF(tech_base!$T65&gt;AB$2025,"",fuel_costs!T$10*0.086/tech_proj!AB189/(1-tech_proj!AB469))</f>
        <v>22.399208344069041</v>
      </c>
      <c r="AC2089" s="119">
        <f>IF(tech_base!$T65&gt;AC$2025,"",fuel_costs!U$10*0.086/tech_proj!AC189/(1-tech_proj!AC469))</f>
        <v>22.476815476397896</v>
      </c>
      <c r="AD2089" s="119">
        <f>IF(tech_base!$T65&gt;AD$2025,"",fuel_costs!V$10*0.086/tech_proj!AD189/(1-tech_proj!AD469))</f>
        <v>22.552766238158412</v>
      </c>
      <c r="AE2089" s="119">
        <f>IF(tech_base!$T65&gt;AE$2025,"",fuel_costs!W$10*0.086/tech_proj!AE189/(1-tech_proj!AE469))</f>
        <v>22.628620648485516</v>
      </c>
      <c r="AF2089" s="119">
        <f>IF(tech_base!$T65&gt;AF$2025,"",fuel_costs!X$10*0.086/tech_proj!AF189/(1-tech_proj!AF469))</f>
        <v>22.702386960714527</v>
      </c>
      <c r="AG2089" s="119">
        <f>IF(tech_base!$T65&gt;AG$2025,"",fuel_costs!Y$10*0.086/tech_proj!AG189/(1-tech_proj!AG469))</f>
        <v>22.773832828954912</v>
      </c>
      <c r="AH2089" s="119">
        <f>IF(tech_base!$T65&gt;AH$2025,"",fuel_costs!Z$10*0.086/tech_proj!AH189/(1-tech_proj!AH469))</f>
        <v>22.842720671011669</v>
      </c>
      <c r="AI2089" s="119">
        <f>IF(tech_base!$T65&gt;AI$2025,"",fuel_costs!AA$10*0.086/tech_proj!AI189/(1-tech_proj!AI469))</f>
        <v>22.908815028202177</v>
      </c>
      <c r="AJ2089" s="119">
        <f>IF(tech_base!$T65&gt;AJ$2025,"",fuel_costs!AB$10*0.086/tech_proj!AJ189/(1-tech_proj!AJ469))</f>
        <v>22.973687121555546</v>
      </c>
      <c r="AK2089" s="119">
        <f>IF(tech_base!$T65&gt;AK$2025,"",fuel_costs!AC$10*0.086/tech_proj!AK189/(1-tech_proj!AK469))</f>
        <v>23.035338807320162</v>
      </c>
      <c r="AL2089" s="119">
        <f>IF(tech_base!$T65&gt;AL$2025,"",fuel_costs!AD$10*0.086/tech_proj!AL189/(1-tech_proj!AL469))</f>
        <v>23.093610642782856</v>
      </c>
      <c r="AM2089" s="119">
        <f>IF(tech_base!$T65&gt;AM$2025,"",fuel_costs!AE$10*0.086/tech_proj!AM189/(1-tech_proj!AM469))</f>
        <v>23.1484012873273</v>
      </c>
      <c r="AN2089" s="119">
        <f>IF(tech_base!$T65&gt;AN$2025,"",fuel_costs!AF$10*0.086/tech_proj!AN189/(1-tech_proj!AN469))</f>
        <v>23.199687403189991</v>
      </c>
      <c r="AO2089" s="119">
        <f>IF(tech_base!$T65&gt;AO$2025,"",fuel_costs!AG$10*0.086/tech_proj!AO189/(1-tech_proj!AO469))</f>
        <v>23.249360353842096</v>
      </c>
      <c r="AP2089" s="119">
        <f>IF(tech_base!$T65&gt;AP$2025,"",fuel_costs!AH$10*0.086/tech_proj!AP189/(1-tech_proj!AP469))</f>
        <v>23.295789512359676</v>
      </c>
      <c r="AQ2089" s="119">
        <f>IF(tech_base!$T65&gt;AQ$2025,"",fuel_costs!AI$10*0.086/tech_proj!AQ189/(1-tech_proj!AQ469))</f>
        <v>23.339299932661781</v>
      </c>
      <c r="AR2089" s="119">
        <f>IF(tech_base!$T65&gt;AR$2025,"",fuel_costs!AJ$10*0.086/tech_proj!AR189/(1-tech_proj!AR469))</f>
        <v>23.380358035231264</v>
      </c>
      <c r="AS2089" s="119">
        <f>IF(tech_base!$T65&gt;AS$2025,"",fuel_costs!AK$10*0.086/tech_proj!AS189/(1-tech_proj!AS469))</f>
        <v>23.419570030624829</v>
      </c>
      <c r="AT2089" s="119">
        <f>IF(tech_base!$T65&gt;AT$2025,"",fuel_costs!AL$10*0.086/tech_proj!AT189/(1-tech_proj!AT469))</f>
        <v>23.45950044662467</v>
      </c>
      <c r="AU2089" s="119">
        <f>IF(tech_base!$T65&gt;AU$2025,"",fuel_costs!AM$10*0.086/tech_proj!AU189/(1-tech_proj!AU469))</f>
        <v>23.499137914480475</v>
      </c>
      <c r="AV2089" s="119">
        <f>IF(tech_base!$T65&gt;AV$2025,"",fuel_costs!AN$10*0.086/tech_proj!AV189/(1-tech_proj!AV469))</f>
        <v>23.53936887457991</v>
      </c>
      <c r="AW2089" s="119">
        <f>IF(tech_base!$T65&gt;AW$2025,"",fuel_costs!AO$10*0.086/tech_proj!AW189/(1-tech_proj!AW469))</f>
        <v>23.581085176189443</v>
      </c>
      <c r="AX2089" s="120">
        <f>IF(tech_base!$T65&gt;AX$2025,"",fuel_costs!AP$10*0.086/tech_proj!AX189/(1-tech_proj!AX469))</f>
        <v>23.625127642325143</v>
      </c>
    </row>
    <row r="2090" spans="1:50" x14ac:dyDescent="0.25">
      <c r="A2090" s="356"/>
      <c r="B2090" s="376"/>
      <c r="C2090" s="361" t="s">
        <v>14</v>
      </c>
      <c r="D2090" s="58" t="s">
        <v>7</v>
      </c>
      <c r="E2090" s="78" t="str">
        <f>A2071&amp;"/"&amp;B2087&amp;"/"&amp;C2090&amp;"/"&amp;D2090</f>
        <v>Lignite fired power plants/Fluidized bed combustion/CHP/L</v>
      </c>
      <c r="F2090" s="78" t="str">
        <f>A2071</f>
        <v>Lignite fired power plants</v>
      </c>
      <c r="G2090" s="78" t="str">
        <f>B2087</f>
        <v>Fluidized bed combustion</v>
      </c>
      <c r="H2090" s="78" t="str">
        <f>C2090</f>
        <v>CHP</v>
      </c>
      <c r="I2090" s="78" t="str">
        <f t="shared" si="387"/>
        <v>L</v>
      </c>
      <c r="J2090" s="123">
        <f>IF(tech_base!$T66&gt;J$2025,"",fuel_costs!B$10*0.086/tech_proj!J190/(1-tech_proj!J470))</f>
        <v>21.20780552993347</v>
      </c>
      <c r="K2090" s="123">
        <f>IF(tech_base!$T66&gt;K$2025,"",fuel_costs!C$10*0.086/tech_proj!K190/(1-tech_proj!K470))</f>
        <v>21.223299164240068</v>
      </c>
      <c r="L2090" s="123">
        <f>IF(tech_base!$T66&gt;L$2025,"",fuel_costs!D$10*0.086/tech_proj!L190/(1-tech_proj!L470))</f>
        <v>21.23878035796066</v>
      </c>
      <c r="M2090" s="123">
        <f>IF(tech_base!$T66&gt;M$2025,"",fuel_costs!E$10*0.086/tech_proj!M190/(1-tech_proj!M470))</f>
        <v>21.254246349572128</v>
      </c>
      <c r="N2090" s="123">
        <f>IF(tech_base!$T66&gt;N$2025,"",fuel_costs!F$10*0.086/tech_proj!N190/(1-tech_proj!N470))</f>
        <v>21.269693765624119</v>
      </c>
      <c r="O2090" s="123">
        <f>IF(tech_base!$T66&gt;O$2025,"",fuel_costs!G$10*0.086/tech_proj!O190/(1-tech_proj!O470))</f>
        <v>21.285118485664878</v>
      </c>
      <c r="P2090" s="123">
        <f>IF(tech_base!$T66&gt;P$2025,"",fuel_costs!H$10*0.086/tech_proj!P190/(1-tech_proj!P470))</f>
        <v>21.370106322123341</v>
      </c>
      <c r="Q2090" s="123">
        <f>IF(tech_base!$T66&gt;Q$2025,"",fuel_costs!I$10*0.086/tech_proj!Q190/(1-tech_proj!Q470))</f>
        <v>21.455059072401657</v>
      </c>
      <c r="R2090" s="123">
        <f>IF(tech_base!$T66&gt;R$2025,"",fuel_costs!J$10*0.086/tech_proj!R190/(1-tech_proj!R470))</f>
        <v>21.539968833749871</v>
      </c>
      <c r="S2090" s="123">
        <f>IF(tech_base!$T66&gt;S$2025,"",fuel_costs!K$10*0.086/tech_proj!S190/(1-tech_proj!S470))</f>
        <v>21.62482593221414</v>
      </c>
      <c r="T2090" s="123">
        <f>IF(tech_base!$T66&gt;T$2025,"",fuel_costs!L$10*0.086/tech_proj!T190/(1-tech_proj!T470))</f>
        <v>21.7096185298238</v>
      </c>
      <c r="U2090" s="123">
        <f>IF(tech_base!$T66&gt;U$2025,"",fuel_costs!M$10*0.086/tech_proj!U190/(1-tech_proj!U470))</f>
        <v>21.796034828883272</v>
      </c>
      <c r="V2090" s="123">
        <f>IF(tech_base!$T66&gt;V$2025,"",fuel_costs!N$10*0.086/tech_proj!V190/(1-tech_proj!V470))</f>
        <v>21.882354364447124</v>
      </c>
      <c r="W2090" s="123">
        <f>IF(tech_base!$T66&gt;W$2025,"",fuel_costs!O$10*0.086/tech_proj!W190/(1-tech_proj!W470))</f>
        <v>21.968555481869046</v>
      </c>
      <c r="X2090" s="123">
        <f>IF(tech_base!$T66&gt;X$2025,"",fuel_costs!P$10*0.086/tech_proj!X190/(1-tech_proj!X470))</f>
        <v>22.054611742622701</v>
      </c>
      <c r="Y2090" s="123">
        <f>IF(tech_base!$T66&gt;Y$2025,"",fuel_costs!Q$10*0.086/tech_proj!Y190/(1-tech_proj!Y470))</f>
        <v>22.140490897731308</v>
      </c>
      <c r="Z2090" s="123">
        <f>IF(tech_base!$T66&gt;Z$2025,"",fuel_costs!R$10*0.086/tech_proj!Z190/(1-tech_proj!Z470))</f>
        <v>22.227890074106053</v>
      </c>
      <c r="AA2090" s="123">
        <f>IF(tech_base!$T66&gt;AA$2025,"",fuel_costs!S$10*0.086/tech_proj!AA190/(1-tech_proj!AA470))</f>
        <v>22.315024827589163</v>
      </c>
      <c r="AB2090" s="123">
        <f>IF(tech_base!$T66&gt;AB$2025,"",fuel_costs!T$10*0.086/tech_proj!AB190/(1-tech_proj!AB470))</f>
        <v>22.401837023330099</v>
      </c>
      <c r="AC2090" s="123">
        <f>IF(tech_base!$T66&gt;AC$2025,"",fuel_costs!U$10*0.086/tech_proj!AC190/(1-tech_proj!AC470))</f>
        <v>22.488256195050088</v>
      </c>
      <c r="AD2090" s="123">
        <f>IF(tech_base!$T66&gt;AD$2025,"",fuel_costs!V$10*0.086/tech_proj!AD190/(1-tech_proj!AD470))</f>
        <v>22.574197149832784</v>
      </c>
      <c r="AE2090" s="123">
        <f>IF(tech_base!$T66&gt;AE$2025,"",fuel_costs!W$10*0.086/tech_proj!AE190/(1-tech_proj!AE470))</f>
        <v>22.661327495424011</v>
      </c>
      <c r="AF2090" s="123">
        <f>IF(tech_base!$T66&gt;AF$2025,"",fuel_costs!X$10*0.086/tech_proj!AF190/(1-tech_proj!AF470))</f>
        <v>22.74775310502341</v>
      </c>
      <c r="AG2090" s="123">
        <f>IF(tech_base!$T66&gt;AG$2025,"",fuel_costs!Y$10*0.086/tech_proj!AG190/(1-tech_proj!AG470))</f>
        <v>22.833326552386524</v>
      </c>
      <c r="AH2090" s="123">
        <f>IF(tech_base!$T66&gt;AH$2025,"",fuel_costs!Z$10*0.086/tech_proj!AH190/(1-tech_proj!AH470))</f>
        <v>22.917872760763508</v>
      </c>
      <c r="AI2090" s="123">
        <f>IF(tech_base!$T66&gt;AI$2025,"",fuel_costs!AA$10*0.086/tech_proj!AI190/(1-tech_proj!AI470))</f>
        <v>23.001185370386374</v>
      </c>
      <c r="AJ2090" s="123">
        <f>IF(tech_base!$T66&gt;AJ$2025,"",fuel_costs!AB$10*0.086/tech_proj!AJ190/(1-tech_proj!AJ470))</f>
        <v>23.084826786160491</v>
      </c>
      <c r="AK2090" s="123">
        <f>IF(tech_base!$T66&gt;AK$2025,"",fuel_costs!AC$10*0.086/tech_proj!AK190/(1-tech_proj!AK470))</f>
        <v>23.166714046591085</v>
      </c>
      <c r="AL2090" s="123">
        <f>IF(tech_base!$T66&gt;AL$2025,"",fuel_costs!AD$10*0.086/tech_proj!AL190/(1-tech_proj!AL470))</f>
        <v>23.246530705436982</v>
      </c>
      <c r="AM2090" s="123">
        <f>IF(tech_base!$T66&gt;AM$2025,"",fuel_costs!AE$10*0.086/tech_proj!AM190/(1-tech_proj!AM470))</f>
        <v>23.323924061801634</v>
      </c>
      <c r="AN2090" s="123">
        <f>IF(tech_base!$T66&gt;AN$2025,"",fuel_costs!AF$10*0.086/tech_proj!AN190/(1-tech_proj!AN470))</f>
        <v>23.398511060670511</v>
      </c>
      <c r="AO2090" s="123">
        <f>IF(tech_base!$T66&gt;AO$2025,"",fuel_costs!AG$10*0.086/tech_proj!AO190/(1-tech_proj!AO470))</f>
        <v>23.471723682119446</v>
      </c>
      <c r="AP2090" s="123">
        <f>IF(tech_base!$T66&gt;AP$2025,"",fuel_costs!AH$10*0.086/tech_proj!AP190/(1-tech_proj!AP470))</f>
        <v>23.541324209662985</v>
      </c>
      <c r="AQ2090" s="123">
        <f>IF(tech_base!$T66&gt;AQ$2025,"",fuel_costs!AI$10*0.086/tech_proj!AQ190/(1-tech_proj!AQ470))</f>
        <v>23.606942232229553</v>
      </c>
      <c r="AR2090" s="123">
        <f>IF(tech_base!$T66&gt;AR$2025,"",fuel_costs!AJ$10*0.086/tech_proj!AR190/(1-tech_proj!AR470))</f>
        <v>23.668279180071401</v>
      </c>
      <c r="AS2090" s="123">
        <f>IF(tech_base!$T66&gt;AS$2025,"",fuel_costs!AK$10*0.086/tech_proj!AS190/(1-tech_proj!AS470))</f>
        <v>23.725160707506681</v>
      </c>
      <c r="AT2090" s="123">
        <f>IF(tech_base!$T66&gt;AT$2025,"",fuel_costs!AL$10*0.086/tech_proj!AT190/(1-tech_proj!AT470))</f>
        <v>23.779455306116784</v>
      </c>
      <c r="AU2090" s="123">
        <f>IF(tech_base!$T66&gt;AU$2025,"",fuel_costs!AM$10*0.086/tech_proj!AU190/(1-tech_proj!AU470))</f>
        <v>23.829557435204872</v>
      </c>
      <c r="AV2090" s="123">
        <f>IF(tech_base!$T66&gt;AV$2025,"",fuel_costs!AN$10*0.086/tech_proj!AV190/(1-tech_proj!AV470))</f>
        <v>23.876027049011753</v>
      </c>
      <c r="AW2090" s="123">
        <f>IF(tech_base!$T66&gt;AW$2025,"",fuel_costs!AO$10*0.086/tech_proj!AW190/(1-tech_proj!AW470))</f>
        <v>23.919754530641132</v>
      </c>
      <c r="AX2090" s="124">
        <f>IF(tech_base!$T66&gt;AX$2025,"",fuel_costs!AP$10*0.086/tech_proj!AX190/(1-tech_proj!AX470))</f>
        <v>23.961947088934188</v>
      </c>
    </row>
    <row r="2091" spans="1:50" x14ac:dyDescent="0.25">
      <c r="A2091" s="356"/>
      <c r="B2091" s="376"/>
      <c r="C2091" s="378"/>
      <c r="D2091" s="2" t="s">
        <v>8</v>
      </c>
      <c r="E2091" s="76" t="str">
        <f>A2071&amp;"/"&amp;B2087&amp;"/"&amp;C2090&amp;"/"&amp;D2091</f>
        <v>Lignite fired power plants/Fluidized bed combustion/CHP/M</v>
      </c>
      <c r="F2091" s="76" t="str">
        <f>A2071</f>
        <v>Lignite fired power plants</v>
      </c>
      <c r="G2091" s="76" t="str">
        <f>B2087</f>
        <v>Fluidized bed combustion</v>
      </c>
      <c r="H2091" s="76" t="str">
        <f>C2090</f>
        <v>CHP</v>
      </c>
      <c r="I2091" s="76" t="str">
        <f t="shared" ref="I2091:I2154" si="388">D2091</f>
        <v>M</v>
      </c>
      <c r="J2091" s="119">
        <f>IF(tech_base!$T67&gt;J$2025,"",fuel_costs!B$10*0.086/tech_proj!J191/(1-tech_proj!J471))</f>
        <v>22.335952301532377</v>
      </c>
      <c r="K2091" s="119">
        <f>IF(tech_base!$T67&gt;K$2025,"",fuel_costs!C$10*0.086/tech_proj!K191/(1-tech_proj!K471))</f>
        <v>22.352194136975712</v>
      </c>
      <c r="L2091" s="119">
        <f>IF(tech_base!$T67&gt;L$2025,"",fuel_costs!D$10*0.086/tech_proj!L191/(1-tech_proj!L471))</f>
        <v>22.368410021192336</v>
      </c>
      <c r="M2091" s="119">
        <f>IF(tech_base!$T67&gt;M$2025,"",fuel_costs!E$10*0.086/tech_proj!M191/(1-tech_proj!M471))</f>
        <v>22.384594984830006</v>
      </c>
      <c r="N2091" s="119">
        <f>IF(tech_base!$T67&gt;N$2025,"",fuel_costs!F$10*0.086/tech_proj!N191/(1-tech_proj!N471))</f>
        <v>22.400743110670774</v>
      </c>
      <c r="O2091" s="119">
        <f>IF(tech_base!$T67&gt;O$2025,"",fuel_costs!G$10*0.086/tech_proj!O191/(1-tech_proj!O471))</f>
        <v>22.416847354384185</v>
      </c>
      <c r="P2091" s="119">
        <f>IF(tech_base!$T67&gt;P$2025,"",fuel_costs!H$10*0.086/tech_proj!P191/(1-tech_proj!P471))</f>
        <v>22.506189784140091</v>
      </c>
      <c r="Q2091" s="119">
        <f>IF(tech_base!$T67&gt;Q$2025,"",fuel_costs!I$10*0.086/tech_proj!Q191/(1-tech_proj!Q471))</f>
        <v>22.595467452917454</v>
      </c>
      <c r="R2091" s="119">
        <f>IF(tech_base!$T67&gt;R$2025,"",fuel_costs!J$10*0.086/tech_proj!R191/(1-tech_proj!R471))</f>
        <v>22.68466777697067</v>
      </c>
      <c r="S2091" s="119">
        <f>IF(tech_base!$T67&gt;S$2025,"",fuel_costs!K$10*0.086/tech_proj!S191/(1-tech_proj!S471))</f>
        <v>22.773775750538242</v>
      </c>
      <c r="T2091" s="119">
        <f>IF(tech_base!$T67&gt;T$2025,"",fuel_costs!L$10*0.086/tech_proj!T191/(1-tech_proj!T471))</f>
        <v>22.862773489161956</v>
      </c>
      <c r="U2091" s="119">
        <f>IF(tech_base!$T67&gt;U$2025,"",fuel_costs!M$10*0.086/tech_proj!U191/(1-tech_proj!U471))</f>
        <v>22.953432787720384</v>
      </c>
      <c r="V2091" s="119">
        <f>IF(tech_base!$T67&gt;V$2025,"",fuel_costs!N$10*0.086/tech_proj!V191/(1-tech_proj!V471))</f>
        <v>23.043935048678765</v>
      </c>
      <c r="W2091" s="119">
        <f>IF(tech_base!$T67&gt;W$2025,"",fuel_costs!O$10*0.086/tech_proj!W191/(1-tech_proj!W471))</f>
        <v>23.134250081520655</v>
      </c>
      <c r="X2091" s="119">
        <f>IF(tech_base!$T67&gt;X$2025,"",fuel_costs!P$10*0.086/tech_proj!X191/(1-tech_proj!X471))</f>
        <v>23.224342021287363</v>
      </c>
      <c r="Y2091" s="119">
        <f>IF(tech_base!$T67&gt;Y$2025,"",fuel_costs!Q$10*0.086/tech_proj!Y191/(1-tech_proj!Y471))</f>
        <v>23.314168316078021</v>
      </c>
      <c r="Z2091" s="119">
        <f>IF(tech_base!$T67&gt;Z$2025,"",fuel_costs!R$10*0.086/tech_proj!Z191/(1-tech_proj!Z471))</f>
        <v>23.405506969131718</v>
      </c>
      <c r="AA2091" s="119">
        <f>IF(tech_base!$T67&gt;AA$2025,"",fuel_costs!S$10*0.086/tech_proj!AA191/(1-tech_proj!AA471))</f>
        <v>23.496469603137065</v>
      </c>
      <c r="AB2091" s="119">
        <f>IF(tech_base!$T67&gt;AB$2025,"",fuel_costs!T$10*0.086/tech_proj!AB191/(1-tech_proj!AB471))</f>
        <v>23.586985783141941</v>
      </c>
      <c r="AC2091" s="119">
        <f>IF(tech_base!$T67&gt;AC$2025,"",fuel_costs!U$10*0.086/tech_proj!AC191/(1-tech_proj!AC471))</f>
        <v>23.676972609435428</v>
      </c>
      <c r="AD2091" s="119">
        <f>IF(tech_base!$T67&gt;AD$2025,"",fuel_costs!V$10*0.086/tech_proj!AD191/(1-tech_proj!AD471))</f>
        <v>23.76633281597919</v>
      </c>
      <c r="AE2091" s="119">
        <f>IF(tech_base!$T67&gt;AE$2025,"",fuel_costs!W$10*0.086/tech_proj!AE191/(1-tech_proj!AE471))</f>
        <v>23.856816377229304</v>
      </c>
      <c r="AF2091" s="119">
        <f>IF(tech_base!$T67&gt;AF$2025,"",fuel_costs!X$10*0.086/tech_proj!AF191/(1-tech_proj!AF471))</f>
        <v>23.946426484643077</v>
      </c>
      <c r="AG2091" s="119">
        <f>IF(tech_base!$T67&gt;AG$2025,"",fuel_costs!Y$10*0.086/tech_proj!AG191/(1-tech_proj!AG471))</f>
        <v>24.035009815013559</v>
      </c>
      <c r="AH2091" s="119">
        <f>IF(tech_base!$T67&gt;AH$2025,"",fuel_costs!Z$10*0.086/tech_proj!AH191/(1-tech_proj!AH471))</f>
        <v>24.122390102933508</v>
      </c>
      <c r="AI2091" s="119">
        <f>IF(tech_base!$T67&gt;AI$2025,"",fuel_costs!AA$10*0.086/tech_proj!AI191/(1-tech_proj!AI471))</f>
        <v>24.208366353427188</v>
      </c>
      <c r="AJ2091" s="119">
        <f>IF(tech_base!$T67&gt;AJ$2025,"",fuel_costs!AB$10*0.086/tech_proj!AJ191/(1-tech_proj!AJ471))</f>
        <v>24.294609527265713</v>
      </c>
      <c r="AK2091" s="119">
        <f>IF(tech_base!$T67&gt;AK$2025,"",fuel_costs!AC$10*0.086/tech_proj!AK191/(1-tech_proj!AK471))</f>
        <v>24.378966827586542</v>
      </c>
      <c r="AL2091" s="119">
        <f>IF(tech_base!$T67&gt;AL$2025,"",fuel_costs!AD$10*0.086/tech_proj!AL191/(1-tech_proj!AL471))</f>
        <v>24.46116006352899</v>
      </c>
      <c r="AM2091" s="119">
        <f>IF(tech_base!$T67&gt;AM$2025,"",fuel_costs!AE$10*0.086/tech_proj!AM191/(1-tech_proj!AM471))</f>
        <v>24.540889833926745</v>
      </c>
      <c r="AN2091" s="119">
        <f>IF(tech_base!$T67&gt;AN$2025,"",fuel_costs!AF$10*0.086/tech_proj!AN191/(1-tech_proj!AN471))</f>
        <v>24.61784215057174</v>
      </c>
      <c r="AO2091" s="119">
        <f>IF(tech_base!$T67&gt;AO$2025,"",fuel_costs!AG$10*0.086/tech_proj!AO191/(1-tech_proj!AO471))</f>
        <v>24.69362805092355</v>
      </c>
      <c r="AP2091" s="119">
        <f>IF(tech_base!$T67&gt;AP$2025,"",fuel_costs!AH$10*0.086/tech_proj!AP191/(1-tech_proj!AP471))</f>
        <v>24.766007873010594</v>
      </c>
      <c r="AQ2091" s="119">
        <f>IF(tech_base!$T67&gt;AQ$2025,"",fuel_costs!AI$10*0.086/tech_proj!AQ191/(1-tech_proj!AQ471))</f>
        <v>24.834706705446955</v>
      </c>
      <c r="AR2091" s="119">
        <f>IF(tech_base!$T67&gt;AR$2025,"",fuel_costs!AJ$10*0.086/tech_proj!AR191/(1-tech_proj!AR471))</f>
        <v>24.899509027815458</v>
      </c>
      <c r="AS2091" s="119">
        <f>IF(tech_base!$T67&gt;AS$2025,"",fuel_costs!AK$10*0.086/tech_proj!AS191/(1-tech_proj!AS471))</f>
        <v>24.960291158723166</v>
      </c>
      <c r="AT2091" s="119">
        <f>IF(tech_base!$T67&gt;AT$2025,"",fuel_costs!AL$10*0.086/tech_proj!AT191/(1-tech_proj!AT471))</f>
        <v>25.019011911753235</v>
      </c>
      <c r="AU2091" s="119">
        <f>IF(tech_base!$T67&gt;AU$2025,"",fuel_costs!AM$10*0.086/tech_proj!AU191/(1-tech_proj!AU471))</f>
        <v>25.073878871007615</v>
      </c>
      <c r="AV2091" s="119">
        <f>IF(tech_base!$T67&gt;AV$2025,"",fuel_costs!AN$10*0.086/tech_proj!AV191/(1-tech_proj!AV471))</f>
        <v>25.125256873618167</v>
      </c>
      <c r="AW2091" s="119">
        <f>IF(tech_base!$T67&gt;AW$2025,"",fuel_costs!AO$10*0.086/tech_proj!AW191/(1-tech_proj!AW471))</f>
        <v>25.173727906619426</v>
      </c>
      <c r="AX2091" s="120">
        <f>IF(tech_base!$T67&gt;AX$2025,"",fuel_costs!AP$10*0.086/tech_proj!AX191/(1-tech_proj!AX471))</f>
        <v>25.220092650718225</v>
      </c>
    </row>
    <row r="2092" spans="1:50" x14ac:dyDescent="0.25">
      <c r="A2092" s="356"/>
      <c r="B2092" s="376"/>
      <c r="C2092" s="379"/>
      <c r="D2092" s="59" t="s">
        <v>10</v>
      </c>
      <c r="E2092" s="79" t="str">
        <f>A2071&amp;"/"&amp;B2087&amp;"/"&amp;C2090&amp;"/"&amp;D2092</f>
        <v>Lignite fired power plants/Fluidized bed combustion/CHP/S</v>
      </c>
      <c r="F2092" s="79" t="str">
        <f>A2071</f>
        <v>Lignite fired power plants</v>
      </c>
      <c r="G2092" s="79" t="str">
        <f>B2087</f>
        <v>Fluidized bed combustion</v>
      </c>
      <c r="H2092" s="79" t="str">
        <f>C2090</f>
        <v>CHP</v>
      </c>
      <c r="I2092" s="79" t="str">
        <f t="shared" si="388"/>
        <v>S</v>
      </c>
      <c r="J2092" s="125">
        <f>IF(tech_base!$T68&gt;J$2025,"",fuel_costs!B$10*0.086/tech_proj!J192/(1-tech_proj!J472))</f>
        <v>23.527918906626013</v>
      </c>
      <c r="K2092" s="125">
        <f>IF(tech_base!$T68&gt;K$2025,"",fuel_costs!C$10*0.086/tech_proj!K192/(1-tech_proj!K472))</f>
        <v>23.544806930509761</v>
      </c>
      <c r="L2092" s="125">
        <f>IF(tech_base!$T68&gt;L$2025,"",fuel_costs!D$10*0.086/tech_proj!L192/(1-tech_proj!L472))</f>
        <v>23.561635938168095</v>
      </c>
      <c r="M2092" s="125">
        <f>IF(tech_base!$T68&gt;M$2025,"",fuel_costs!E$10*0.086/tech_proj!M192/(1-tech_proj!M472))</f>
        <v>23.578396408305348</v>
      </c>
      <c r="N2092" s="125">
        <f>IF(tech_base!$T68&gt;N$2025,"",fuel_costs!F$10*0.086/tech_proj!N192/(1-tech_proj!N472))</f>
        <v>23.595077298463114</v>
      </c>
      <c r="O2092" s="125">
        <f>IF(tech_base!$T68&gt;O$2025,"",fuel_costs!G$10*0.086/tech_proj!O192/(1-tech_proj!O472))</f>
        <v>23.61166580721822</v>
      </c>
      <c r="P2092" s="125">
        <f>IF(tech_base!$T68&gt;P$2025,"",fuel_costs!H$10*0.086/tech_proj!P192/(1-tech_proj!P472))</f>
        <v>23.705342543226347</v>
      </c>
      <c r="Q2092" s="125">
        <f>IF(tech_base!$T68&gt;Q$2025,"",fuel_costs!I$10*0.086/tech_proj!Q192/(1-tech_proj!Q472))</f>
        <v>23.798889066209934</v>
      </c>
      <c r="R2092" s="125">
        <f>IF(tech_base!$T68&gt;R$2025,"",fuel_costs!J$10*0.086/tech_proj!R192/(1-tech_proj!R472))</f>
        <v>23.892284094986866</v>
      </c>
      <c r="S2092" s="125">
        <f>IF(tech_base!$T68&gt;S$2025,"",fuel_costs!K$10*0.086/tech_proj!S192/(1-tech_proj!S472))</f>
        <v>23.985502941342151</v>
      </c>
      <c r="T2092" s="125">
        <f>IF(tech_base!$T68&gt;T$2025,"",fuel_costs!L$10*0.086/tech_proj!T192/(1-tech_proj!T472))</f>
        <v>24.078516989211295</v>
      </c>
      <c r="U2092" s="125">
        <f>IF(tech_base!$T68&gt;U$2025,"",fuel_costs!M$10*0.086/tech_proj!U192/(1-tech_proj!U472))</f>
        <v>24.173181485223093</v>
      </c>
      <c r="V2092" s="125">
        <f>IF(tech_base!$T68&gt;V$2025,"",fuel_costs!N$10*0.086/tech_proj!V192/(1-tech_proj!V472))</f>
        <v>24.267569424029087</v>
      </c>
      <c r="W2092" s="125">
        <f>IF(tech_base!$T68&gt;W$2025,"",fuel_costs!O$10*0.086/tech_proj!W192/(1-tech_proj!W472))</f>
        <v>24.361636469139189</v>
      </c>
      <c r="X2092" s="125">
        <f>IF(tech_base!$T68&gt;X$2025,"",fuel_costs!P$10*0.086/tech_proj!X192/(1-tech_proj!X472))</f>
        <v>24.455331488261987</v>
      </c>
      <c r="Y2092" s="125">
        <f>IF(tech_base!$T68&gt;Y$2025,"",fuel_costs!Q$10*0.086/tech_proj!Y192/(1-tech_proj!Y472))</f>
        <v>24.548595620599286</v>
      </c>
      <c r="Z2092" s="125">
        <f>IF(tech_base!$T68&gt;Z$2025,"",fuel_costs!R$10*0.086/tech_proj!Z192/(1-tech_proj!Z472))</f>
        <v>24.643286361401202</v>
      </c>
      <c r="AA2092" s="125">
        <f>IF(tech_base!$T68&gt;AA$2025,"",fuel_costs!S$10*0.086/tech_proj!AA192/(1-tech_proj!AA472))</f>
        <v>24.737400505720423</v>
      </c>
      <c r="AB2092" s="125">
        <f>IF(tech_base!$T68&gt;AB$2025,"",fuel_costs!T$10*0.086/tech_proj!AB192/(1-tech_proj!AB472))</f>
        <v>24.83084941276633</v>
      </c>
      <c r="AC2092" s="125">
        <f>IF(tech_base!$T68&gt;AC$2025,"",fuel_costs!U$10*0.086/tech_proj!AC192/(1-tech_proj!AC472))</f>
        <v>24.92353216766567</v>
      </c>
      <c r="AD2092" s="125">
        <f>IF(tech_base!$T68&gt;AD$2025,"",fuel_costs!V$10*0.086/tech_proj!AD192/(1-tech_proj!AD472))</f>
        <v>25.015334353499977</v>
      </c>
      <c r="AE2092" s="125">
        <f>IF(tech_base!$T68&gt;AE$2025,"",fuel_costs!W$10*0.086/tech_proj!AE192/(1-tech_proj!AE472))</f>
        <v>25.108088290222117</v>
      </c>
      <c r="AF2092" s="125">
        <f>IF(tech_base!$T68&gt;AF$2025,"",fuel_costs!X$10*0.086/tech_proj!AF192/(1-tech_proj!AF472))</f>
        <v>25.199686428340836</v>
      </c>
      <c r="AG2092" s="125">
        <f>IF(tech_base!$T68&gt;AG$2025,"",fuel_costs!Y$10*0.086/tech_proj!AG192/(1-tech_proj!AG472))</f>
        <v>25.28996712973467</v>
      </c>
      <c r="AH2092" s="125">
        <f>IF(tech_base!$T68&gt;AH$2025,"",fuel_costs!Z$10*0.086/tech_proj!AH192/(1-tech_proj!AH472))</f>
        <v>25.378751769194011</v>
      </c>
      <c r="AI2092" s="125">
        <f>IF(tech_base!$T68&gt;AI$2025,"",fuel_costs!AA$10*0.086/tech_proj!AI192/(1-tech_proj!AI472))</f>
        <v>25.465844902981711</v>
      </c>
      <c r="AJ2092" s="125">
        <f>IF(tech_base!$T68&gt;AJ$2025,"",fuel_costs!AB$10*0.086/tech_proj!AJ192/(1-tech_proj!AJ472))</f>
        <v>25.553031437455068</v>
      </c>
      <c r="AK2092" s="125">
        <f>IF(tech_base!$T68&gt;AK$2025,"",fuel_costs!AC$10*0.086/tech_proj!AK192/(1-tech_proj!AK472))</f>
        <v>25.638087610558884</v>
      </c>
      <c r="AL2092" s="125">
        <f>IF(tech_base!$T68&gt;AL$2025,"",fuel_costs!AD$10*0.086/tech_proj!AL192/(1-tech_proj!AL472))</f>
        <v>25.720777778800933</v>
      </c>
      <c r="AM2092" s="125">
        <f>IF(tech_base!$T68&gt;AM$2025,"",fuel_costs!AE$10*0.086/tech_proj!AM192/(1-tech_proj!AM472))</f>
        <v>25.800861491044305</v>
      </c>
      <c r="AN2092" s="125">
        <f>IF(tech_base!$T68&gt;AN$2025,"",fuel_costs!AF$10*0.086/tech_proj!AN192/(1-tech_proj!AN472))</f>
        <v>25.878101106964174</v>
      </c>
      <c r="AO2092" s="125">
        <f>IF(tech_base!$T68&gt;AO$2025,"",fuel_costs!AG$10*0.086/tech_proj!AO192/(1-tech_proj!AO472))</f>
        <v>25.954299499487018</v>
      </c>
      <c r="AP2092" s="125">
        <f>IF(tech_base!$T68&gt;AP$2025,"",fuel_costs!AH$10*0.086/tech_proj!AP192/(1-tech_proj!AP472))</f>
        <v>26.027225728729121</v>
      </c>
      <c r="AQ2092" s="125">
        <f>IF(tech_base!$T68&gt;AQ$2025,"",fuel_costs!AI$10*0.086/tech_proj!AQ192/(1-tech_proj!AQ472))</f>
        <v>26.096722161433622</v>
      </c>
      <c r="AR2092" s="125">
        <f>IF(tech_base!$T68&gt;AR$2025,"",fuel_costs!AJ$10*0.086/tech_proj!AR192/(1-tech_proj!AR472))</f>
        <v>26.162691277146404</v>
      </c>
      <c r="AS2092" s="125">
        <f>IF(tech_base!$T68&gt;AS$2025,"",fuel_costs!AK$10*0.086/tech_proj!AS192/(1-tech_proj!AS472))</f>
        <v>26.225115829044618</v>
      </c>
      <c r="AT2092" s="125">
        <f>IF(tech_base!$T68&gt;AT$2025,"",fuel_costs!AL$10*0.086/tech_proj!AT192/(1-tech_proj!AT472))</f>
        <v>26.286132903587831</v>
      </c>
      <c r="AU2092" s="125">
        <f>IF(tech_base!$T68&gt;AU$2025,"",fuel_costs!AM$10*0.086/tech_proj!AU192/(1-tech_proj!AU472))</f>
        <v>26.343885361283274</v>
      </c>
      <c r="AV2092" s="125">
        <f>IF(tech_base!$T68&gt;AV$2025,"",fuel_costs!AN$10*0.086/tech_proj!AV192/(1-tech_proj!AV472))</f>
        <v>26.398711131747607</v>
      </c>
      <c r="AW2092" s="125">
        <f>IF(tech_base!$T68&gt;AW$2025,"",fuel_costs!AO$10*0.086/tech_proj!AW192/(1-tech_proj!AW472))</f>
        <v>26.451090971906609</v>
      </c>
      <c r="AX2092" s="126">
        <f>IF(tech_base!$T68&gt;AX$2025,"",fuel_costs!AP$10*0.086/tech_proj!AX192/(1-tech_proj!AX472))</f>
        <v>26.501646040344149</v>
      </c>
    </row>
    <row r="2093" spans="1:50" x14ac:dyDescent="0.25">
      <c r="A2093" s="356"/>
      <c r="B2093" s="376"/>
      <c r="C2093" s="361" t="s">
        <v>15</v>
      </c>
      <c r="D2093" s="58" t="s">
        <v>7</v>
      </c>
      <c r="E2093" s="78" t="str">
        <f>A2071&amp;"/"&amp;B2087&amp;"/"&amp;C2093&amp;"/"&amp;D2093</f>
        <v>Lignite fired power plants/Fluidized bed combustion/Electricity only with CCS/L</v>
      </c>
      <c r="F2093" s="78" t="str">
        <f>A2071</f>
        <v>Lignite fired power plants</v>
      </c>
      <c r="G2093" s="78" t="str">
        <f>B2087</f>
        <v>Fluidized bed combustion</v>
      </c>
      <c r="H2093" s="78" t="str">
        <f>C2093</f>
        <v>Electricity only with CCS</v>
      </c>
      <c r="I2093" s="78" t="str">
        <f t="shared" si="388"/>
        <v>L</v>
      </c>
      <c r="J2093" s="123" t="str">
        <f>IF(tech_base!$T69&gt;J$2025,"",fuel_costs!B$10*0.086/tech_proj!J193/(1-tech_proj!J473))</f>
        <v/>
      </c>
      <c r="K2093" s="123" t="str">
        <f>IF(tech_base!$T69&gt;K$2025,"",fuel_costs!C$10*0.086/tech_proj!K193/(1-tech_proj!K473))</f>
        <v/>
      </c>
      <c r="L2093" s="123" t="str">
        <f>IF(tech_base!$T69&gt;L$2025,"",fuel_costs!D$10*0.086/tech_proj!L193/(1-tech_proj!L473))</f>
        <v/>
      </c>
      <c r="M2093" s="123" t="str">
        <f>IF(tech_base!$T69&gt;M$2025,"",fuel_costs!E$10*0.086/tech_proj!M193/(1-tech_proj!M473))</f>
        <v/>
      </c>
      <c r="N2093" s="123" t="str">
        <f>IF(tech_base!$T69&gt;N$2025,"",fuel_costs!F$10*0.086/tech_proj!N193/(1-tech_proj!N473))</f>
        <v/>
      </c>
      <c r="O2093" s="123" t="str">
        <f>IF(tech_base!$T69&gt;O$2025,"",fuel_costs!G$10*0.086/tech_proj!O193/(1-tech_proj!O473))</f>
        <v/>
      </c>
      <c r="P2093" s="123" t="str">
        <f>IF(tech_base!$T69&gt;P$2025,"",fuel_costs!H$10*0.086/tech_proj!P193/(1-tech_proj!P473))</f>
        <v/>
      </c>
      <c r="Q2093" s="123" t="str">
        <f>IF(tech_base!$T69&gt;Q$2025,"",fuel_costs!I$10*0.086/tech_proj!Q193/(1-tech_proj!Q473))</f>
        <v/>
      </c>
      <c r="R2093" s="123" t="str">
        <f>IF(tech_base!$T69&gt;R$2025,"",fuel_costs!J$10*0.086/tech_proj!R193/(1-tech_proj!R473))</f>
        <v/>
      </c>
      <c r="S2093" s="123" t="str">
        <f>IF(tech_base!$T69&gt;S$2025,"",fuel_costs!K$10*0.086/tech_proj!S193/(1-tech_proj!S473))</f>
        <v/>
      </c>
      <c r="T2093" s="123" t="str">
        <f>IF(tech_base!$T69&gt;T$2025,"",fuel_costs!L$10*0.086/tech_proj!T193/(1-tech_proj!T473))</f>
        <v/>
      </c>
      <c r="U2093" s="123" t="str">
        <f>IF(tech_base!$T69&gt;U$2025,"",fuel_costs!M$10*0.086/tech_proj!U193/(1-tech_proj!U473))</f>
        <v/>
      </c>
      <c r="V2093" s="123" t="str">
        <f>IF(tech_base!$T69&gt;V$2025,"",fuel_costs!N$10*0.086/tech_proj!V193/(1-tech_proj!V473))</f>
        <v/>
      </c>
      <c r="W2093" s="123" t="str">
        <f>IF(tech_base!$T69&gt;W$2025,"",fuel_costs!O$10*0.086/tech_proj!W193/(1-tech_proj!W473))</f>
        <v/>
      </c>
      <c r="X2093" s="123" t="str">
        <f>IF(tech_base!$T69&gt;X$2025,"",fuel_costs!P$10*0.086/tech_proj!X193/(1-tech_proj!X473))</f>
        <v/>
      </c>
      <c r="Y2093" s="123" t="str">
        <f>IF(tech_base!$T69&gt;Y$2025,"",fuel_costs!Q$10*0.086/tech_proj!Y193/(1-tech_proj!Y473))</f>
        <v/>
      </c>
      <c r="Z2093" s="123" t="str">
        <f>IF(tech_base!$T69&gt;Z$2025,"",fuel_costs!R$10*0.086/tech_proj!Z193/(1-tech_proj!Z473))</f>
        <v/>
      </c>
      <c r="AA2093" s="123" t="str">
        <f>IF(tech_base!$T69&gt;AA$2025,"",fuel_costs!S$10*0.086/tech_proj!AA193/(1-tech_proj!AA473))</f>
        <v/>
      </c>
      <c r="AB2093" s="123" t="str">
        <f>IF(tech_base!$T69&gt;AB$2025,"",fuel_costs!T$10*0.086/tech_proj!AB193/(1-tech_proj!AB473))</f>
        <v/>
      </c>
      <c r="AC2093" s="123" t="str">
        <f>IF(tech_base!$T69&gt;AC$2025,"",fuel_costs!U$10*0.086/tech_proj!AC193/(1-tech_proj!AC473))</f>
        <v/>
      </c>
      <c r="AD2093" s="123" t="str">
        <f>IF(tech_base!$T69&gt;AD$2025,"",fuel_costs!V$10*0.086/tech_proj!AD193/(1-tech_proj!AD473))</f>
        <v/>
      </c>
      <c r="AE2093" s="123">
        <f>IF(tech_base!$T69&gt;AE$2025,"",fuel_costs!W$10*0.086/tech_proj!AE193/(1-tech_proj!AE473))</f>
        <v>28.579700371763682</v>
      </c>
      <c r="AF2093" s="123">
        <f>IF(tech_base!$T69&gt;AF$2025,"",fuel_costs!X$10*0.086/tech_proj!AF193/(1-tech_proj!AF473))</f>
        <v>28.69207631912667</v>
      </c>
      <c r="AG2093" s="123">
        <f>IF(tech_base!$T69&gt;AG$2025,"",fuel_costs!Y$10*0.086/tech_proj!AG193/(1-tech_proj!AG473))</f>
        <v>28.804018885316964</v>
      </c>
      <c r="AH2093" s="123">
        <f>IF(tech_base!$T69&gt;AH$2025,"",fuel_costs!Z$10*0.086/tech_proj!AH193/(1-tech_proj!AH473))</f>
        <v>28.915404517528174</v>
      </c>
      <c r="AI2093" s="123">
        <f>IF(tech_base!$T69&gt;AI$2025,"",fuel_costs!AA$10*0.086/tech_proj!AI193/(1-tech_proj!AI473))</f>
        <v>29.026075060474778</v>
      </c>
      <c r="AJ2093" s="123">
        <f>IF(tech_base!$T69&gt;AJ$2025,"",fuel_costs!AB$10*0.086/tech_proj!AJ193/(1-tech_proj!AJ473))</f>
        <v>29.138104701966729</v>
      </c>
      <c r="AK2093" s="123">
        <f>IF(tech_base!$T69&gt;AK$2025,"",fuel_costs!AC$10*0.086/tech_proj!AK193/(1-tech_proj!AK473))</f>
        <v>29.248958922204004</v>
      </c>
      <c r="AL2093" s="123">
        <f>IF(tech_base!$T69&gt;AL$2025,"",fuel_costs!AD$10*0.086/tech_proj!AL193/(1-tech_proj!AL473))</f>
        <v>29.358310364458823</v>
      </c>
      <c r="AM2093" s="123">
        <f>IF(tech_base!$T69&gt;AM$2025,"",fuel_costs!AE$10*0.086/tech_proj!AM193/(1-tech_proj!AM473))</f>
        <v>29.465744965980246</v>
      </c>
      <c r="AN2093" s="123">
        <f>IF(tech_base!$T69&gt;AN$2025,"",fuel_costs!AF$10*0.086/tech_proj!AN193/(1-tech_proj!AN473))</f>
        <v>29.570741844508607</v>
      </c>
      <c r="AO2093" s="123">
        <f>IF(tech_base!$T69&gt;AO$2025,"",fuel_costs!AG$10*0.086/tech_proj!AO193/(1-tech_proj!AO473))</f>
        <v>29.674968538200879</v>
      </c>
      <c r="AP2093" s="123">
        <f>IF(tech_base!$T69&gt;AP$2025,"",fuel_costs!AH$10*0.086/tech_proj!AP193/(1-tech_proj!AP473))</f>
        <v>29.775298817820438</v>
      </c>
      <c r="AQ2093" s="123">
        <f>IF(tech_base!$T69&gt;AQ$2025,"",fuel_costs!AI$10*0.086/tech_proj!AQ193/(1-tech_proj!AQ473))</f>
        <v>29.870746853747221</v>
      </c>
      <c r="AR2093" s="123">
        <f>IF(tech_base!$T69&gt;AR$2025,"",fuel_costs!AJ$10*0.086/tech_proj!AR193/(1-tech_proj!AR473))</f>
        <v>29.960125936709343</v>
      </c>
      <c r="AS2093" s="123">
        <f>IF(tech_base!$T69&gt;AS$2025,"",fuel_costs!AK$10*0.086/tech_proj!AS193/(1-tech_proj!AS473))</f>
        <v>30.042037296815803</v>
      </c>
      <c r="AT2093" s="123">
        <f>IF(tech_base!$T69&gt;AT$2025,"",fuel_costs!AL$10*0.086/tech_proj!AT193/(1-tech_proj!AT473))</f>
        <v>30.117231123625327</v>
      </c>
      <c r="AU2093" s="123">
        <f>IF(tech_base!$T69&gt;AU$2025,"",fuel_costs!AM$10*0.086/tech_proj!AU193/(1-tech_proj!AU473))</f>
        <v>30.181580802532679</v>
      </c>
      <c r="AV2093" s="123">
        <f>IF(tech_base!$T69&gt;AV$2025,"",fuel_costs!AN$10*0.086/tech_proj!AV193/(1-tech_proj!AV473))</f>
        <v>30.233245957928592</v>
      </c>
      <c r="AW2093" s="123">
        <f>IF(tech_base!$T69&gt;AW$2025,"",fuel_costs!AO$10*0.086/tech_proj!AW193/(1-tech_proj!AW473))</f>
        <v>30.270470329184725</v>
      </c>
      <c r="AX2093" s="124">
        <f>IF(tech_base!$T69&gt;AX$2025,"",fuel_costs!AP$10*0.086/tech_proj!AX193/(1-tech_proj!AX473))</f>
        <v>30.291817108139409</v>
      </c>
    </row>
    <row r="2094" spans="1:50" x14ac:dyDescent="0.25">
      <c r="A2094" s="356"/>
      <c r="B2094" s="376"/>
      <c r="C2094" s="379"/>
      <c r="D2094" s="59" t="s">
        <v>8</v>
      </c>
      <c r="E2094" s="79" t="str">
        <f>A2071&amp;"/"&amp;B2087&amp;"/"&amp;C2093&amp;"/"&amp;D2094</f>
        <v>Lignite fired power plants/Fluidized bed combustion/Electricity only with CCS/M</v>
      </c>
      <c r="F2094" s="79" t="str">
        <f>A2071</f>
        <v>Lignite fired power plants</v>
      </c>
      <c r="G2094" s="79" t="str">
        <f>B2087</f>
        <v>Fluidized bed combustion</v>
      </c>
      <c r="H2094" s="79" t="str">
        <f>C2093</f>
        <v>Electricity only with CCS</v>
      </c>
      <c r="I2094" s="79" t="str">
        <f t="shared" si="388"/>
        <v>M</v>
      </c>
      <c r="J2094" s="125" t="str">
        <f>IF(tech_base!$T70&gt;J$2025,"",fuel_costs!B$10*0.086/tech_proj!J194/(1-tech_proj!J474))</f>
        <v/>
      </c>
      <c r="K2094" s="125" t="str">
        <f>IF(tech_base!$T70&gt;K$2025,"",fuel_costs!C$10*0.086/tech_proj!K194/(1-tech_proj!K474))</f>
        <v/>
      </c>
      <c r="L2094" s="125" t="str">
        <f>IF(tech_base!$T70&gt;L$2025,"",fuel_costs!D$10*0.086/tech_proj!L194/(1-tech_proj!L474))</f>
        <v/>
      </c>
      <c r="M2094" s="125" t="str">
        <f>IF(tech_base!$T70&gt;M$2025,"",fuel_costs!E$10*0.086/tech_proj!M194/(1-tech_proj!M474))</f>
        <v/>
      </c>
      <c r="N2094" s="125" t="str">
        <f>IF(tech_base!$T70&gt;N$2025,"",fuel_costs!F$10*0.086/tech_proj!N194/(1-tech_proj!N474))</f>
        <v/>
      </c>
      <c r="O2094" s="125" t="str">
        <f>IF(tech_base!$T70&gt;O$2025,"",fuel_costs!G$10*0.086/tech_proj!O194/(1-tech_proj!O474))</f>
        <v/>
      </c>
      <c r="P2094" s="125" t="str">
        <f>IF(tech_base!$T70&gt;P$2025,"",fuel_costs!H$10*0.086/tech_proj!P194/(1-tech_proj!P474))</f>
        <v/>
      </c>
      <c r="Q2094" s="125" t="str">
        <f>IF(tech_base!$T70&gt;Q$2025,"",fuel_costs!I$10*0.086/tech_proj!Q194/(1-tech_proj!Q474))</f>
        <v/>
      </c>
      <c r="R2094" s="125" t="str">
        <f>IF(tech_base!$T70&gt;R$2025,"",fuel_costs!J$10*0.086/tech_proj!R194/(1-tech_proj!R474))</f>
        <v/>
      </c>
      <c r="S2094" s="125" t="str">
        <f>IF(tech_base!$T70&gt;S$2025,"",fuel_costs!K$10*0.086/tech_proj!S194/(1-tech_proj!S474))</f>
        <v/>
      </c>
      <c r="T2094" s="125" t="str">
        <f>IF(tech_base!$T70&gt;T$2025,"",fuel_costs!L$10*0.086/tech_proj!T194/(1-tech_proj!T474))</f>
        <v/>
      </c>
      <c r="U2094" s="125" t="str">
        <f>IF(tech_base!$T70&gt;U$2025,"",fuel_costs!M$10*0.086/tech_proj!U194/(1-tech_proj!U474))</f>
        <v/>
      </c>
      <c r="V2094" s="125" t="str">
        <f>IF(tech_base!$T70&gt;V$2025,"",fuel_costs!N$10*0.086/tech_proj!V194/(1-tech_proj!V474))</f>
        <v/>
      </c>
      <c r="W2094" s="125" t="str">
        <f>IF(tech_base!$T70&gt;W$2025,"",fuel_costs!O$10*0.086/tech_proj!W194/(1-tech_proj!W474))</f>
        <v/>
      </c>
      <c r="X2094" s="125" t="str">
        <f>IF(tech_base!$T70&gt;X$2025,"",fuel_costs!P$10*0.086/tech_proj!X194/(1-tech_proj!X474))</f>
        <v/>
      </c>
      <c r="Y2094" s="125" t="str">
        <f>IF(tech_base!$T70&gt;Y$2025,"",fuel_costs!Q$10*0.086/tech_proj!Y194/(1-tech_proj!Y474))</f>
        <v/>
      </c>
      <c r="Z2094" s="125" t="str">
        <f>IF(tech_base!$T70&gt;Z$2025,"",fuel_costs!R$10*0.086/tech_proj!Z194/(1-tech_proj!Z474))</f>
        <v/>
      </c>
      <c r="AA2094" s="125" t="str">
        <f>IF(tech_base!$T70&gt;AA$2025,"",fuel_costs!S$10*0.086/tech_proj!AA194/(1-tech_proj!AA474))</f>
        <v/>
      </c>
      <c r="AB2094" s="125" t="str">
        <f>IF(tech_base!$T70&gt;AB$2025,"",fuel_costs!T$10*0.086/tech_proj!AB194/(1-tech_proj!AB474))</f>
        <v/>
      </c>
      <c r="AC2094" s="125" t="str">
        <f>IF(tech_base!$T70&gt;AC$2025,"",fuel_costs!U$10*0.086/tech_proj!AC194/(1-tech_proj!AC474))</f>
        <v/>
      </c>
      <c r="AD2094" s="125" t="str">
        <f>IF(tech_base!$T70&gt;AD$2025,"",fuel_costs!V$10*0.086/tech_proj!AD194/(1-tech_proj!AD474))</f>
        <v/>
      </c>
      <c r="AE2094" s="125">
        <f>IF(tech_base!$T70&gt;AE$2025,"",fuel_costs!W$10*0.086/tech_proj!AE194/(1-tech_proj!AE474))</f>
        <v>30.621643059400252</v>
      </c>
      <c r="AF2094" s="125">
        <f>IF(tech_base!$T70&gt;AF$2025,"",fuel_costs!X$10*0.086/tech_proj!AF194/(1-tech_proj!AF474))</f>
        <v>30.741951275261087</v>
      </c>
      <c r="AG2094" s="125">
        <f>IF(tech_base!$T70&gt;AG$2025,"",fuel_costs!Y$10*0.086/tech_proj!AG194/(1-tech_proj!AG474))</f>
        <v>30.861766942235558</v>
      </c>
      <c r="AH2094" s="125">
        <f>IF(tech_base!$T70&gt;AH$2025,"",fuel_costs!Z$10*0.086/tech_proj!AH194/(1-tech_proj!AH474))</f>
        <v>30.980949618860986</v>
      </c>
      <c r="AI2094" s="125">
        <f>IF(tech_base!$T70&gt;AI$2025,"",fuel_costs!AA$10*0.086/tech_proj!AI194/(1-tech_proj!AI474))</f>
        <v>31.099319517942355</v>
      </c>
      <c r="AJ2094" s="125">
        <f>IF(tech_base!$T70&gt;AJ$2025,"",fuel_costs!AB$10*0.086/tech_proj!AJ194/(1-tech_proj!AJ474))</f>
        <v>31.219085733704599</v>
      </c>
      <c r="AK2094" s="125">
        <f>IF(tech_base!$T70&gt;AK$2025,"",fuel_costs!AC$10*0.086/tech_proj!AK194/(1-tech_proj!AK474))</f>
        <v>31.337515791241714</v>
      </c>
      <c r="AL2094" s="125">
        <f>IF(tech_base!$T70&gt;AL$2025,"",fuel_costs!AD$10*0.086/tech_proj!AL194/(1-tech_proj!AL474))</f>
        <v>31.454237418108249</v>
      </c>
      <c r="AM2094" s="125">
        <f>IF(tech_base!$T70&gt;AM$2025,"",fuel_costs!AE$10*0.086/tech_proj!AM194/(1-tech_proj!AM474))</f>
        <v>31.568779641867447</v>
      </c>
      <c r="AN2094" s="125">
        <f>IF(tech_base!$T70&gt;AN$2025,"",fuel_costs!AF$10*0.086/tech_proj!AN194/(1-tech_proj!AN474))</f>
        <v>31.680549830333273</v>
      </c>
      <c r="AO2094" s="125">
        <f>IF(tech_base!$T70&gt;AO$2025,"",fuel_costs!AG$10*0.086/tech_proj!AO194/(1-tech_proj!AO474))</f>
        <v>31.79129096505557</v>
      </c>
      <c r="AP2094" s="125">
        <f>IF(tech_base!$T70&gt;AP$2025,"",fuel_costs!AH$10*0.086/tech_proj!AP194/(1-tech_proj!AP474))</f>
        <v>31.897599450097374</v>
      </c>
      <c r="AQ2094" s="125">
        <f>IF(tech_base!$T70&gt;AQ$2025,"",fuel_costs!AI$10*0.086/tech_proj!AQ194/(1-tech_proj!AQ474))</f>
        <v>31.998352087781061</v>
      </c>
      <c r="AR2094" s="125">
        <f>IF(tech_base!$T70&gt;AR$2025,"",fuel_costs!AJ$10*0.086/tech_proj!AR194/(1-tech_proj!AR474))</f>
        <v>32.092195736011334</v>
      </c>
      <c r="AS2094" s="125">
        <f>IF(tech_base!$T70&gt;AS$2025,"",fuel_costs!AK$10*0.086/tech_proj!AS194/(1-tech_proj!AS474))</f>
        <v>32.177533749592726</v>
      </c>
      <c r="AT2094" s="125">
        <f>IF(tech_base!$T70&gt;AT$2025,"",fuel_costs!AL$10*0.086/tech_proj!AT194/(1-tech_proj!AT474))</f>
        <v>32.255053948902614</v>
      </c>
      <c r="AU2094" s="125">
        <f>IF(tech_base!$T70&gt;AU$2025,"",fuel_costs!AM$10*0.086/tech_proj!AU194/(1-tech_proj!AU474))</f>
        <v>32.320204690979196</v>
      </c>
      <c r="AV2094" s="125">
        <f>IF(tech_base!$T70&gt;AV$2025,"",fuel_costs!AN$10*0.086/tech_proj!AV194/(1-tech_proj!AV474))</f>
        <v>32.37087140687521</v>
      </c>
      <c r="AW2094" s="125">
        <f>IF(tech_base!$T70&gt;AW$2025,"",fuel_costs!AO$10*0.086/tech_proj!AW194/(1-tech_proj!AW474))</f>
        <v>32.405026147631631</v>
      </c>
      <c r="AX2094" s="126">
        <f>IF(tech_base!$T70&gt;AX$2025,"",fuel_costs!AP$10*0.086/tech_proj!AX194/(1-tech_proj!AX474))</f>
        <v>32.420993790661434</v>
      </c>
    </row>
    <row r="2095" spans="1:50" x14ac:dyDescent="0.25">
      <c r="A2095" s="356"/>
      <c r="B2095" s="376"/>
      <c r="C2095" s="361" t="s">
        <v>16</v>
      </c>
      <c r="D2095" s="2" t="s">
        <v>7</v>
      </c>
      <c r="E2095" s="76" t="str">
        <f>A2071&amp;"/"&amp;B2087&amp;"/"&amp;C2095&amp;"/"&amp;D2095</f>
        <v>Lignite fired power plants/Fluidized bed combustion/CHP with CCS/L</v>
      </c>
      <c r="F2095" s="76" t="str">
        <f>A2071</f>
        <v>Lignite fired power plants</v>
      </c>
      <c r="G2095" s="76" t="str">
        <f>B2087</f>
        <v>Fluidized bed combustion</v>
      </c>
      <c r="H2095" s="76" t="str">
        <f>C2095</f>
        <v>CHP with CCS</v>
      </c>
      <c r="I2095" s="76" t="str">
        <f t="shared" si="388"/>
        <v>L</v>
      </c>
      <c r="J2095" s="119" t="str">
        <f>IF(tech_base!$T71&gt;J$2025,"",fuel_costs!B$10*0.086/tech_proj!J195/(1-tech_proj!J475))</f>
        <v/>
      </c>
      <c r="K2095" s="119" t="str">
        <f>IF(tech_base!$T71&gt;K$2025,"",fuel_costs!C$10*0.086/tech_proj!K195/(1-tech_proj!K475))</f>
        <v/>
      </c>
      <c r="L2095" s="119" t="str">
        <f>IF(tech_base!$T71&gt;L$2025,"",fuel_costs!D$10*0.086/tech_proj!L195/(1-tech_proj!L475))</f>
        <v/>
      </c>
      <c r="M2095" s="119" t="str">
        <f>IF(tech_base!$T71&gt;M$2025,"",fuel_costs!E$10*0.086/tech_proj!M195/(1-tech_proj!M475))</f>
        <v/>
      </c>
      <c r="N2095" s="119" t="str">
        <f>IF(tech_base!$T71&gt;N$2025,"",fuel_costs!F$10*0.086/tech_proj!N195/(1-tech_proj!N475))</f>
        <v/>
      </c>
      <c r="O2095" s="119" t="str">
        <f>IF(tech_base!$T71&gt;O$2025,"",fuel_costs!G$10*0.086/tech_proj!O195/(1-tech_proj!O475))</f>
        <v/>
      </c>
      <c r="P2095" s="119" t="str">
        <f>IF(tech_base!$T71&gt;P$2025,"",fuel_costs!H$10*0.086/tech_proj!P195/(1-tech_proj!P475))</f>
        <v/>
      </c>
      <c r="Q2095" s="119" t="str">
        <f>IF(tech_base!$T71&gt;Q$2025,"",fuel_costs!I$10*0.086/tech_proj!Q195/(1-tech_proj!Q475))</f>
        <v/>
      </c>
      <c r="R2095" s="119" t="str">
        <f>IF(tech_base!$T71&gt;R$2025,"",fuel_costs!J$10*0.086/tech_proj!R195/(1-tech_proj!R475))</f>
        <v/>
      </c>
      <c r="S2095" s="119" t="str">
        <f>IF(tech_base!$T71&gt;S$2025,"",fuel_costs!K$10*0.086/tech_proj!S195/(1-tech_proj!S475))</f>
        <v/>
      </c>
      <c r="T2095" s="119" t="str">
        <f>IF(tech_base!$T71&gt;T$2025,"",fuel_costs!L$10*0.086/tech_proj!T195/(1-tech_proj!T475))</f>
        <v/>
      </c>
      <c r="U2095" s="119" t="str">
        <f>IF(tech_base!$T71&gt;U$2025,"",fuel_costs!M$10*0.086/tech_proj!U195/(1-tech_proj!U475))</f>
        <v/>
      </c>
      <c r="V2095" s="119" t="str">
        <f>IF(tech_base!$T71&gt;V$2025,"",fuel_costs!N$10*0.086/tech_proj!V195/(1-tech_proj!V475))</f>
        <v/>
      </c>
      <c r="W2095" s="119" t="str">
        <f>IF(tech_base!$T71&gt;W$2025,"",fuel_costs!O$10*0.086/tech_proj!W195/(1-tech_proj!W475))</f>
        <v/>
      </c>
      <c r="X2095" s="119" t="str">
        <f>IF(tech_base!$T71&gt;X$2025,"",fuel_costs!P$10*0.086/tech_proj!X195/(1-tech_proj!X475))</f>
        <v/>
      </c>
      <c r="Y2095" s="119" t="str">
        <f>IF(tech_base!$T71&gt;Y$2025,"",fuel_costs!Q$10*0.086/tech_proj!Y195/(1-tech_proj!Y475))</f>
        <v/>
      </c>
      <c r="Z2095" s="119" t="str">
        <f>IF(tech_base!$T71&gt;Z$2025,"",fuel_costs!R$10*0.086/tech_proj!Z195/(1-tech_proj!Z475))</f>
        <v/>
      </c>
      <c r="AA2095" s="119" t="str">
        <f>IF(tech_base!$T71&gt;AA$2025,"",fuel_costs!S$10*0.086/tech_proj!AA195/(1-tech_proj!AA475))</f>
        <v/>
      </c>
      <c r="AB2095" s="119" t="str">
        <f>IF(tech_base!$T71&gt;AB$2025,"",fuel_costs!T$10*0.086/tech_proj!AB195/(1-tech_proj!AB475))</f>
        <v/>
      </c>
      <c r="AC2095" s="119" t="str">
        <f>IF(tech_base!$T71&gt;AC$2025,"",fuel_costs!U$10*0.086/tech_proj!AC195/(1-tech_proj!AC475))</f>
        <v/>
      </c>
      <c r="AD2095" s="119" t="str">
        <f>IF(tech_base!$T71&gt;AD$2025,"",fuel_costs!V$10*0.086/tech_proj!AD195/(1-tech_proj!AD475))</f>
        <v/>
      </c>
      <c r="AE2095" s="119">
        <f>IF(tech_base!$T71&gt;AE$2025,"",fuel_costs!W$10*0.086/tech_proj!AE195/(1-tech_proj!AE475))</f>
        <v>32.750574446791333</v>
      </c>
      <c r="AF2095" s="119">
        <f>IF(tech_base!$T71&gt;AF$2025,"",fuel_costs!X$10*0.086/tech_proj!AF195/(1-tech_proj!AF475))</f>
        <v>32.879660515444272</v>
      </c>
      <c r="AG2095" s="119">
        <f>IF(tech_base!$T71&gt;AG$2025,"",fuel_costs!Y$10*0.086/tech_proj!AG195/(1-tech_proj!AG475))</f>
        <v>33.008340404591294</v>
      </c>
      <c r="AH2095" s="119">
        <f>IF(tech_base!$T71&gt;AH$2025,"",fuel_costs!Z$10*0.086/tech_proj!AH195/(1-tech_proj!AH475))</f>
        <v>33.136498367077692</v>
      </c>
      <c r="AI2095" s="119">
        <f>IF(tech_base!$T71&gt;AI$2025,"",fuel_costs!AA$10*0.086/tech_proj!AI195/(1-tech_proj!AI475))</f>
        <v>33.263986272398455</v>
      </c>
      <c r="AJ2095" s="119">
        <f>IF(tech_base!$T71&gt;AJ$2025,"",fuel_costs!AB$10*0.086/tech_proj!AJ195/(1-tech_proj!AJ475))</f>
        <v>33.393223574958185</v>
      </c>
      <c r="AK2095" s="119">
        <f>IF(tech_base!$T71&gt;AK$2025,"",fuel_costs!AC$10*0.086/tech_proj!AK195/(1-tech_proj!AK475))</f>
        <v>33.521359879556066</v>
      </c>
      <c r="AL2095" s="119">
        <f>IF(tech_base!$T71&gt;AL$2025,"",fuel_costs!AD$10*0.086/tech_proj!AL195/(1-tech_proj!AL475))</f>
        <v>33.648088927353626</v>
      </c>
      <c r="AM2095" s="119">
        <f>IF(tech_base!$T71&gt;AM$2025,"",fuel_costs!AE$10*0.086/tech_proj!AM195/(1-tech_proj!AM475))</f>
        <v>33.773023581385537</v>
      </c>
      <c r="AN2095" s="119">
        <f>IF(tech_base!$T71&gt;AN$2025,"",fuel_costs!AF$10*0.086/tech_proj!AN195/(1-tech_proj!AN475))</f>
        <v>33.89567722226338</v>
      </c>
      <c r="AO2095" s="119">
        <f>IF(tech_base!$T71&gt;AO$2025,"",fuel_costs!AG$10*0.086/tech_proj!AO195/(1-tech_proj!AO475))</f>
        <v>34.018100101143943</v>
      </c>
      <c r="AP2095" s="119">
        <f>IF(tech_base!$T71&gt;AP$2025,"",fuel_costs!AH$10*0.086/tech_proj!AP195/(1-tech_proj!AP475))</f>
        <v>34.136881665754494</v>
      </c>
      <c r="AQ2095" s="119">
        <f>IF(tech_base!$T71&gt;AQ$2025,"",fuel_costs!AI$10*0.086/tech_proj!AQ195/(1-tech_proj!AQ475))</f>
        <v>34.251104790548965</v>
      </c>
      <c r="AR2095" s="119">
        <f>IF(tech_base!$T71&gt;AR$2025,"",fuel_costs!AJ$10*0.086/tech_proj!AR195/(1-tech_proj!AR475))</f>
        <v>34.359668090183447</v>
      </c>
      <c r="AS2095" s="119">
        <f>IF(tech_base!$T71&gt;AS$2025,"",fuel_costs!AK$10*0.086/tech_proj!AS195/(1-tech_proj!AS475))</f>
        <v>34.461277502569089</v>
      </c>
      <c r="AT2095" s="119">
        <f>IF(tech_base!$T71&gt;AT$2025,"",fuel_costs!AL$10*0.086/tech_proj!AT195/(1-tech_proj!AT475))</f>
        <v>34.557156488088772</v>
      </c>
      <c r="AU2095" s="119">
        <f>IF(tech_base!$T71&gt;AU$2025,"",fuel_costs!AM$10*0.086/tech_proj!AU195/(1-tech_proj!AU475))</f>
        <v>34.642981458910292</v>
      </c>
      <c r="AV2095" s="119">
        <f>IF(tech_base!$T71&gt;AV$2025,"",fuel_costs!AN$10*0.086/tech_proj!AV195/(1-tech_proj!AV475))</f>
        <v>34.717083055656772</v>
      </c>
      <c r="AW2095" s="119">
        <f>IF(tech_base!$T71&gt;AW$2025,"",fuel_costs!AO$10*0.086/tech_proj!AW195/(1-tech_proj!AW475))</f>
        <v>34.777891991438267</v>
      </c>
      <c r="AX2095" s="120">
        <f>IF(tech_base!$T71&gt;AX$2025,"",fuel_costs!AP$10*0.086/tech_proj!AX195/(1-tech_proj!AX475))</f>
        <v>34.824162153998159</v>
      </c>
    </row>
    <row r="2096" spans="1:50" x14ac:dyDescent="0.25">
      <c r="A2096" s="356"/>
      <c r="B2096" s="380"/>
      <c r="C2096" s="381"/>
      <c r="D2096" s="4" t="s">
        <v>8</v>
      </c>
      <c r="E2096" s="80" t="str">
        <f>A2071&amp;"/"&amp;B2087&amp;"/"&amp;C2095&amp;"/"&amp;D2096</f>
        <v>Lignite fired power plants/Fluidized bed combustion/CHP with CCS/M</v>
      </c>
      <c r="F2096" s="80" t="str">
        <f>A2071</f>
        <v>Lignite fired power plants</v>
      </c>
      <c r="G2096" s="80" t="str">
        <f>B2087</f>
        <v>Fluidized bed combustion</v>
      </c>
      <c r="H2096" s="80" t="str">
        <f>C2095</f>
        <v>CHP with CCS</v>
      </c>
      <c r="I2096" s="80" t="str">
        <f t="shared" si="388"/>
        <v>M</v>
      </c>
      <c r="J2096" s="127" t="str">
        <f>IF(tech_base!$T72&gt;J$2025,"",fuel_costs!B$10*0.086/tech_proj!J196/(1-tech_proj!J476))</f>
        <v/>
      </c>
      <c r="K2096" s="127" t="str">
        <f>IF(tech_base!$T72&gt;K$2025,"",fuel_costs!C$10*0.086/tech_proj!K196/(1-tech_proj!K476))</f>
        <v/>
      </c>
      <c r="L2096" s="127" t="str">
        <f>IF(tech_base!$T72&gt;L$2025,"",fuel_costs!D$10*0.086/tech_proj!L196/(1-tech_proj!L476))</f>
        <v/>
      </c>
      <c r="M2096" s="127" t="str">
        <f>IF(tech_base!$T72&gt;M$2025,"",fuel_costs!E$10*0.086/tech_proj!M196/(1-tech_proj!M476))</f>
        <v/>
      </c>
      <c r="N2096" s="127" t="str">
        <f>IF(tech_base!$T72&gt;N$2025,"",fuel_costs!F$10*0.086/tech_proj!N196/(1-tech_proj!N476))</f>
        <v/>
      </c>
      <c r="O2096" s="127" t="str">
        <f>IF(tech_base!$T72&gt;O$2025,"",fuel_costs!G$10*0.086/tech_proj!O196/(1-tech_proj!O476))</f>
        <v/>
      </c>
      <c r="P2096" s="127" t="str">
        <f>IF(tech_base!$T72&gt;P$2025,"",fuel_costs!H$10*0.086/tech_proj!P196/(1-tech_proj!P476))</f>
        <v/>
      </c>
      <c r="Q2096" s="127" t="str">
        <f>IF(tech_base!$T72&gt;Q$2025,"",fuel_costs!I$10*0.086/tech_proj!Q196/(1-tech_proj!Q476))</f>
        <v/>
      </c>
      <c r="R2096" s="127" t="str">
        <f>IF(tech_base!$T72&gt;R$2025,"",fuel_costs!J$10*0.086/tech_proj!R196/(1-tech_proj!R476))</f>
        <v/>
      </c>
      <c r="S2096" s="127" t="str">
        <f>IF(tech_base!$T72&gt;S$2025,"",fuel_costs!K$10*0.086/tech_proj!S196/(1-tech_proj!S476))</f>
        <v/>
      </c>
      <c r="T2096" s="127" t="str">
        <f>IF(tech_base!$T72&gt;T$2025,"",fuel_costs!L$10*0.086/tech_proj!T196/(1-tech_proj!T476))</f>
        <v/>
      </c>
      <c r="U2096" s="127" t="str">
        <f>IF(tech_base!$T72&gt;U$2025,"",fuel_costs!M$10*0.086/tech_proj!U196/(1-tech_proj!U476))</f>
        <v/>
      </c>
      <c r="V2096" s="127" t="str">
        <f>IF(tech_base!$T72&gt;V$2025,"",fuel_costs!N$10*0.086/tech_proj!V196/(1-tech_proj!V476))</f>
        <v/>
      </c>
      <c r="W2096" s="127" t="str">
        <f>IF(tech_base!$T72&gt;W$2025,"",fuel_costs!O$10*0.086/tech_proj!W196/(1-tech_proj!W476))</f>
        <v/>
      </c>
      <c r="X2096" s="127" t="str">
        <f>IF(tech_base!$T72&gt;X$2025,"",fuel_costs!P$10*0.086/tech_proj!X196/(1-tech_proj!X476))</f>
        <v/>
      </c>
      <c r="Y2096" s="127" t="str">
        <f>IF(tech_base!$T72&gt;Y$2025,"",fuel_costs!Q$10*0.086/tech_proj!Y196/(1-tech_proj!Y476))</f>
        <v/>
      </c>
      <c r="Z2096" s="127" t="str">
        <f>IF(tech_base!$T72&gt;Z$2025,"",fuel_costs!R$10*0.086/tech_proj!Z196/(1-tech_proj!Z476))</f>
        <v/>
      </c>
      <c r="AA2096" s="127" t="str">
        <f>IF(tech_base!$T72&gt;AA$2025,"",fuel_costs!S$10*0.086/tech_proj!AA196/(1-tech_proj!AA476))</f>
        <v/>
      </c>
      <c r="AB2096" s="127" t="str">
        <f>IF(tech_base!$T72&gt;AB$2025,"",fuel_costs!T$10*0.086/tech_proj!AB196/(1-tech_proj!AB476))</f>
        <v/>
      </c>
      <c r="AC2096" s="127" t="str">
        <f>IF(tech_base!$T72&gt;AC$2025,"",fuel_costs!U$10*0.086/tech_proj!AC196/(1-tech_proj!AC476))</f>
        <v/>
      </c>
      <c r="AD2096" s="127" t="str">
        <f>IF(tech_base!$T72&gt;AD$2025,"",fuel_costs!V$10*0.086/tech_proj!AD196/(1-tech_proj!AD476))</f>
        <v/>
      </c>
      <c r="AE2096" s="127">
        <f>IF(tech_base!$T72&gt;AE$2025,"",fuel_costs!W$10*0.086/tech_proj!AE196/(1-tech_proj!AE476))</f>
        <v>35.195265909933624</v>
      </c>
      <c r="AF2096" s="127">
        <f>IF(tech_base!$T72&gt;AF$2025,"",fuel_costs!X$10*0.086/tech_proj!AF196/(1-tech_proj!AF476))</f>
        <v>35.333821064416426</v>
      </c>
      <c r="AG2096" s="127">
        <f>IF(tech_base!$T72&gt;AG$2025,"",fuel_costs!Y$10*0.086/tech_proj!AG196/(1-tech_proj!AG476))</f>
        <v>35.471891128839182</v>
      </c>
      <c r="AH2096" s="127">
        <f>IF(tech_base!$T72&gt;AH$2025,"",fuel_costs!Z$10*0.086/tech_proj!AH196/(1-tech_proj!AH476))</f>
        <v>35.609337838979336</v>
      </c>
      <c r="AI2096" s="127">
        <f>IF(tech_base!$T72&gt;AI$2025,"",fuel_costs!AA$10*0.086/tech_proj!AI196/(1-tech_proj!AI476))</f>
        <v>35.745984227772247</v>
      </c>
      <c r="AJ2096" s="127">
        <f>IF(tech_base!$T72&gt;AJ$2025,"",fuel_costs!AB$10*0.086/tech_proj!AJ196/(1-tech_proj!AJ476))</f>
        <v>35.884407496572976</v>
      </c>
      <c r="AK2096" s="127">
        <f>IF(tech_base!$T72&gt;AK$2025,"",fuel_costs!AC$10*0.086/tech_proj!AK196/(1-tech_proj!AK476))</f>
        <v>36.021515484968319</v>
      </c>
      <c r="AL2096" s="127">
        <f>IF(tech_base!$T72&gt;AL$2025,"",fuel_costs!AD$10*0.086/tech_proj!AL196/(1-tech_proj!AL476))</f>
        <v>36.15694210686069</v>
      </c>
      <c r="AM2096" s="127">
        <f>IF(tech_base!$T72&gt;AM$2025,"",fuel_costs!AE$10*0.086/tech_proj!AM196/(1-tech_proj!AM476))</f>
        <v>36.290224455361951</v>
      </c>
      <c r="AN2096" s="127">
        <f>IF(tech_base!$T72&gt;AN$2025,"",fuel_costs!AF$10*0.086/tech_proj!AN196/(1-tech_proj!AN476))</f>
        <v>36.420780437097157</v>
      </c>
      <c r="AO2096" s="127">
        <f>IF(tech_base!$T72&gt;AO$2025,"",fuel_costs!AG$10*0.086/tech_proj!AO196/(1-tech_proj!AO476))</f>
        <v>36.550738638272406</v>
      </c>
      <c r="AP2096" s="127">
        <f>IF(tech_base!$T72&gt;AP$2025,"",fuel_costs!AH$10*0.086/tech_proj!AP196/(1-tech_proj!AP476))</f>
        <v>36.676341825100721</v>
      </c>
      <c r="AQ2096" s="127">
        <f>IF(tech_base!$T72&gt;AQ$2025,"",fuel_costs!AI$10*0.086/tech_proj!AQ196/(1-tech_proj!AQ476))</f>
        <v>36.796490630019797</v>
      </c>
      <c r="AR2096" s="127">
        <f>IF(tech_base!$T72&gt;AR$2025,"",fuel_costs!AJ$10*0.086/tech_proj!AR196/(1-tech_proj!AR476))</f>
        <v>36.909863243165255</v>
      </c>
      <c r="AS2096" s="127">
        <f>IF(tech_base!$T72&gt;AS$2025,"",fuel_costs!AK$10*0.086/tech_proj!AS196/(1-tech_proj!AS476))</f>
        <v>37.014904138479586</v>
      </c>
      <c r="AT2096" s="127">
        <f>IF(tech_base!$T72&gt;AT$2025,"",fuel_costs!AL$10*0.086/tech_proj!AT196/(1-tech_proj!AT476))</f>
        <v>37.112734289138587</v>
      </c>
      <c r="AU2096" s="127">
        <f>IF(tech_base!$T72&gt;AU$2025,"",fuel_costs!AM$10*0.086/tech_proj!AU196/(1-tech_proj!AU476))</f>
        <v>37.198492102186741</v>
      </c>
      <c r="AV2096" s="127">
        <f>IF(tech_base!$T72&gt;AV$2025,"",fuel_costs!AN$10*0.086/tech_proj!AV196/(1-tech_proj!AV476))</f>
        <v>37.270151034141726</v>
      </c>
      <c r="AW2096" s="127">
        <f>IF(tech_base!$T72&gt;AW$2025,"",fuel_costs!AO$10*0.086/tech_proj!AW196/(1-tech_proj!AW476))</f>
        <v>37.325791588842506</v>
      </c>
      <c r="AX2096" s="128">
        <f>IF(tech_base!$T72&gt;AX$2025,"",fuel_costs!AP$10*0.086/tech_proj!AX196/(1-tech_proj!AX476))</f>
        <v>37.36386637493603</v>
      </c>
    </row>
    <row r="2097" spans="1:50" x14ac:dyDescent="0.25">
      <c r="A2097" s="356"/>
      <c r="B2097" s="358" t="s">
        <v>19</v>
      </c>
      <c r="C2097" s="353" t="s">
        <v>6</v>
      </c>
      <c r="D2097" s="3" t="s">
        <v>7</v>
      </c>
      <c r="E2097" s="77" t="str">
        <f>A2071&amp;"/"&amp;B2097&amp;"/"&amp;C2097&amp;"/"&amp;D2097</f>
        <v>Lignite fired power plants/Steam turbine/Electricity only/L</v>
      </c>
      <c r="F2097" s="77" t="str">
        <f>A2071</f>
        <v>Lignite fired power plants</v>
      </c>
      <c r="G2097" s="77" t="str">
        <f>B2097</f>
        <v>Steam turbine</v>
      </c>
      <c r="H2097" s="77" t="str">
        <f>C2097</f>
        <v>Electricity only</v>
      </c>
      <c r="I2097" s="77" t="str">
        <f t="shared" si="388"/>
        <v>L</v>
      </c>
      <c r="J2097" s="121">
        <f>IF(tech_base!$T73&gt;J$2025,"",fuel_costs!B$10*0.086/tech_proj!J197/(1-tech_proj!J477))</f>
        <v>19.596996405265234</v>
      </c>
      <c r="K2097" s="121">
        <f>IF(tech_base!$T73&gt;K$2025,"",fuel_costs!C$10*0.086/tech_proj!K197/(1-tech_proj!K477))</f>
        <v>19.608577490466075</v>
      </c>
      <c r="L2097" s="121">
        <f>IF(tech_base!$T73&gt;L$2025,"",fuel_costs!D$10*0.086/tech_proj!L197/(1-tech_proj!L477))</f>
        <v>19.620157223261376</v>
      </c>
      <c r="M2097" s="121">
        <f>IF(tech_base!$T73&gt;M$2025,"",fuel_costs!E$10*0.086/tech_proj!M197/(1-tech_proj!M477))</f>
        <v>19.631737038228351</v>
      </c>
      <c r="N2097" s="121">
        <f>IF(tech_base!$T73&gt;N$2025,"",fuel_costs!F$10*0.086/tech_proj!N197/(1-tech_proj!N477))</f>
        <v>19.643318359449232</v>
      </c>
      <c r="O2097" s="121">
        <f>IF(tech_base!$T73&gt;O$2025,"",fuel_costs!G$10*0.086/tech_proj!O197/(1-tech_proj!O477))</f>
        <v>19.654902597783742</v>
      </c>
      <c r="P2097" s="121">
        <f>IF(tech_base!$T73&gt;P$2025,"",fuel_costs!H$10*0.086/tech_proj!P197/(1-tech_proj!P477))</f>
        <v>19.730743477185012</v>
      </c>
      <c r="Q2097" s="121">
        <f>IF(tech_base!$T73&gt;Q$2025,"",fuel_costs!I$10*0.086/tech_proj!Q197/(1-tech_proj!Q477))</f>
        <v>19.806572011138616</v>
      </c>
      <c r="R2097" s="121">
        <f>IF(tech_base!$T73&gt;R$2025,"",fuel_costs!J$10*0.086/tech_proj!R197/(1-tech_proj!R477))</f>
        <v>19.882389663657708</v>
      </c>
      <c r="S2097" s="121">
        <f>IF(tech_base!$T73&gt;S$2025,"",fuel_costs!K$10*0.086/tech_proj!S197/(1-tech_proj!S477))</f>
        <v>19.958197892533608</v>
      </c>
      <c r="T2097" s="121">
        <f>IF(tech_base!$T73&gt;T$2025,"",fuel_costs!L$10*0.086/tech_proj!T197/(1-tech_proj!T477))</f>
        <v>20.033998146599536</v>
      </c>
      <c r="U2097" s="121">
        <f>IF(tech_base!$T73&gt;U$2025,"",fuel_costs!M$10*0.086/tech_proj!U197/(1-tech_proj!U477))</f>
        <v>20.111362940561072</v>
      </c>
      <c r="V2097" s="121">
        <f>IF(tech_base!$T73&gt;V$2025,"",fuel_costs!N$10*0.086/tech_proj!V197/(1-tech_proj!V477))</f>
        <v>20.188722189562892</v>
      </c>
      <c r="W2097" s="121">
        <f>IF(tech_base!$T73&gt;W$2025,"",fuel_costs!O$10*0.086/tech_proj!W197/(1-tech_proj!W477))</f>
        <v>20.26607730410592</v>
      </c>
      <c r="X2097" s="121">
        <f>IF(tech_base!$T73&gt;X$2025,"",fuel_costs!P$10*0.086/tech_proj!X197/(1-tech_proj!X477))</f>
        <v>20.343429676011507</v>
      </c>
      <c r="Y2097" s="121">
        <f>IF(tech_base!$T73&gt;Y$2025,"",fuel_costs!Q$10*0.086/tech_proj!Y197/(1-tech_proj!Y477))</f>
        <v>20.420780676138662</v>
      </c>
      <c r="Z2097" s="121">
        <f>IF(tech_base!$T73&gt;Z$2025,"",fuel_costs!R$10*0.086/tech_proj!Z197/(1-tech_proj!Z477))</f>
        <v>20.499733068750551</v>
      </c>
      <c r="AA2097" s="121">
        <f>IF(tech_base!$T73&gt;AA$2025,"",fuel_costs!S$10*0.086/tech_proj!AA197/(1-tech_proj!AA477))</f>
        <v>20.578686336737984</v>
      </c>
      <c r="AB2097" s="121">
        <f>IF(tech_base!$T73&gt;AB$2025,"",fuel_costs!T$10*0.086/tech_proj!AB197/(1-tech_proj!AB477))</f>
        <v>20.657641781064704</v>
      </c>
      <c r="AC2097" s="121">
        <f>IF(tech_base!$T73&gt;AC$2025,"",fuel_costs!U$10*0.086/tech_proj!AC197/(1-tech_proj!AC477))</f>
        <v>20.73660067409509</v>
      </c>
      <c r="AD2097" s="121">
        <f>IF(tech_base!$T73&gt;AD$2025,"",fuel_costs!V$10*0.086/tech_proj!AD197/(1-tech_proj!AD477))</f>
        <v>20.815564257908161</v>
      </c>
      <c r="AE2097" s="121">
        <f>IF(tech_base!$T73&gt;AE$2025,"",fuel_costs!W$10*0.086/tech_proj!AE197/(1-tech_proj!AE477))</f>
        <v>20.896166128192096</v>
      </c>
      <c r="AF2097" s="121">
        <f>IF(tech_base!$T73&gt;AF$2025,"",fuel_costs!X$10*0.086/tech_proj!AF197/(1-tech_proj!AF477))</f>
        <v>20.976774665160946</v>
      </c>
      <c r="AG2097" s="121">
        <f>IF(tech_base!$T73&gt;AG$2025,"",fuel_costs!Y$10*0.086/tech_proj!AG197/(1-tech_proj!AG477))</f>
        <v>21.057391017941796</v>
      </c>
      <c r="AH2097" s="121">
        <f>IF(tech_base!$T73&gt;AH$2025,"",fuel_costs!Z$10*0.086/tech_proj!AH197/(1-tech_proj!AH477))</f>
        <v>21.138016300200885</v>
      </c>
      <c r="AI2097" s="121">
        <f>IF(tech_base!$T73&gt;AI$2025,"",fuel_costs!AA$10*0.086/tech_proj!AI197/(1-tech_proj!AI477))</f>
        <v>21.218651589105814</v>
      </c>
      <c r="AJ2097" s="121">
        <f>IF(tech_base!$T73&gt;AJ$2025,"",fuel_costs!AB$10*0.086/tech_proj!AJ197/(1-tech_proj!AJ477))</f>
        <v>21.30096193207023</v>
      </c>
      <c r="AK2097" s="121">
        <f>IF(tech_base!$T73&gt;AK$2025,"",fuel_costs!AC$10*0.086/tech_proj!AK197/(1-tech_proj!AK477))</f>
        <v>21.383283927385495</v>
      </c>
      <c r="AL2097" s="121">
        <f>IF(tech_base!$T73&gt;AL$2025,"",fuel_costs!AD$10*0.086/tech_proj!AL197/(1-tech_proj!AL477))</f>
        <v>21.465618545434371</v>
      </c>
      <c r="AM2097" s="121">
        <f>IF(tech_base!$T73&gt;AM$2025,"",fuel_costs!AE$10*0.086/tech_proj!AM197/(1-tech_proj!AM477))</f>
        <v>21.547966717417577</v>
      </c>
      <c r="AN2097" s="121">
        <f>IF(tech_base!$T73&gt;AN$2025,"",fuel_costs!AF$10*0.086/tech_proj!AN197/(1-tech_proj!AN477))</f>
        <v>21.6303293349347</v>
      </c>
      <c r="AO2097" s="121">
        <f>IF(tech_base!$T73&gt;AO$2025,"",fuel_costs!AG$10*0.086/tech_proj!AO197/(1-tech_proj!AO477))</f>
        <v>21.714403554937061</v>
      </c>
      <c r="AP2097" s="121">
        <f>IF(tech_base!$T73&gt;AP$2025,"",fuel_costs!AH$10*0.086/tech_proj!AP197/(1-tech_proj!AP477))</f>
        <v>21.798493506932854</v>
      </c>
      <c r="AQ2097" s="121">
        <f>IF(tech_base!$T73&gt;AQ$2025,"",fuel_costs!AI$10*0.086/tech_proj!AQ197/(1-tech_proj!AQ477))</f>
        <v>21.882599970672363</v>
      </c>
      <c r="AR2097" s="121">
        <f>IF(tech_base!$T73&gt;AR$2025,"",fuel_costs!AJ$10*0.086/tech_proj!AR197/(1-tech_proj!AR477))</f>
        <v>21.966723685865613</v>
      </c>
      <c r="AS2097" s="121">
        <f>IF(tech_base!$T73&gt;AS$2025,"",fuel_costs!AK$10*0.086/tech_proj!AS197/(1-tech_proj!AS477))</f>
        <v>22.050865352293162</v>
      </c>
      <c r="AT2097" s="121">
        <f>IF(tech_base!$T73&gt;AT$2025,"",fuel_costs!AL$10*0.086/tech_proj!AT197/(1-tech_proj!AT477))</f>
        <v>22.136754928889786</v>
      </c>
      <c r="AU2097" s="121">
        <f>IF(tech_base!$T73&gt;AU$2025,"",fuel_costs!AM$10*0.086/tech_proj!AU197/(1-tech_proj!AU477))</f>
        <v>22.222663381699245</v>
      </c>
      <c r="AV2097" s="121">
        <f>IF(tech_base!$T73&gt;AV$2025,"",fuel_costs!AN$10*0.086/tech_proj!AV197/(1-tech_proj!AV477))</f>
        <v>22.308591301050857</v>
      </c>
      <c r="AW2097" s="121">
        <f>IF(tech_base!$T73&gt;AW$2025,"",fuel_costs!AO$10*0.086/tech_proj!AW197/(1-tech_proj!AW477))</f>
        <v>22.39453923872183</v>
      </c>
      <c r="AX2097" s="122">
        <f>IF(tech_base!$T73&gt;AX$2025,"",fuel_costs!AP$10*0.086/tech_proj!AX197/(1-tech_proj!AX477))</f>
        <v>22.4805077084565</v>
      </c>
    </row>
    <row r="2098" spans="1:50" x14ac:dyDescent="0.25">
      <c r="A2098" s="356"/>
      <c r="B2098" s="376"/>
      <c r="C2098" s="378"/>
      <c r="D2098" s="2" t="s">
        <v>8</v>
      </c>
      <c r="E2098" s="76" t="str">
        <f>A2071&amp;"/"&amp;B2097&amp;"/"&amp;C2097&amp;"/"&amp;D2098</f>
        <v>Lignite fired power plants/Steam turbine/Electricity only/M</v>
      </c>
      <c r="F2098" s="76" t="str">
        <f>A2071</f>
        <v>Lignite fired power plants</v>
      </c>
      <c r="G2098" s="76" t="str">
        <f>B2097</f>
        <v>Steam turbine</v>
      </c>
      <c r="H2098" s="76" t="str">
        <f>C2097</f>
        <v>Electricity only</v>
      </c>
      <c r="I2098" s="76" t="str">
        <f t="shared" si="388"/>
        <v>M</v>
      </c>
      <c r="J2098" s="119">
        <f>IF(tech_base!$T74&gt;J$2025,"",fuel_costs!B$10*0.086/tech_proj!J198/(1-tech_proj!J478))</f>
        <v>20.66670144922076</v>
      </c>
      <c r="K2098" s="119">
        <f>IF(tech_base!$T74&gt;K$2025,"",fuel_costs!C$10*0.086/tech_proj!K198/(1-tech_proj!K478))</f>
        <v>20.679649127591723</v>
      </c>
      <c r="L2098" s="119">
        <f>IF(tech_base!$T74&gt;L$2025,"",fuel_costs!D$10*0.086/tech_proj!L198/(1-tech_proj!L478))</f>
        <v>20.692594875501964</v>
      </c>
      <c r="M2098" s="119">
        <f>IF(tech_base!$T74&gt;M$2025,"",fuel_costs!E$10*0.086/tech_proj!M198/(1-tech_proj!M478))</f>
        <v>20.705539830037857</v>
      </c>
      <c r="N2098" s="119">
        <f>IF(tech_base!$T74&gt;N$2025,"",fuel_costs!F$10*0.086/tech_proj!N198/(1-tech_proj!N478))</f>
        <v>20.71848512173273</v>
      </c>
      <c r="O2098" s="119">
        <f>IF(tech_base!$T74&gt;O$2025,"",fuel_costs!G$10*0.086/tech_proj!O198/(1-tech_proj!O478))</f>
        <v>20.731431872379215</v>
      </c>
      <c r="P2098" s="119">
        <f>IF(tech_base!$T74&gt;P$2025,"",fuel_costs!H$10*0.086/tech_proj!P198/(1-tech_proj!P478))</f>
        <v>20.812155092905066</v>
      </c>
      <c r="Q2098" s="119">
        <f>IF(tech_base!$T74&gt;Q$2025,"",fuel_costs!I$10*0.086/tech_proj!Q198/(1-tech_proj!Q478))</f>
        <v>20.892867681404844</v>
      </c>
      <c r="R2098" s="119">
        <f>IF(tech_base!$T74&gt;R$2025,"",fuel_costs!J$10*0.086/tech_proj!R198/(1-tech_proj!R478))</f>
        <v>20.973570798661779</v>
      </c>
      <c r="S2098" s="119">
        <f>IF(tech_base!$T74&gt;S$2025,"",fuel_costs!K$10*0.086/tech_proj!S198/(1-tech_proj!S478))</f>
        <v>21.054265602252602</v>
      </c>
      <c r="T2098" s="119">
        <f>IF(tech_base!$T74&gt;T$2025,"",fuel_costs!L$10*0.086/tech_proj!T198/(1-tech_proj!T478))</f>
        <v>21.134953244345564</v>
      </c>
      <c r="U2098" s="119">
        <f>IF(tech_base!$T74&gt;U$2025,"",fuel_costs!M$10*0.086/tech_proj!U198/(1-tech_proj!U478))</f>
        <v>21.217292341027367</v>
      </c>
      <c r="V2098" s="119">
        <f>IF(tech_base!$T74&gt;V$2025,"",fuel_costs!N$10*0.086/tech_proj!V198/(1-tech_proj!V478))</f>
        <v>21.299626213876621</v>
      </c>
      <c r="W2098" s="119">
        <f>IF(tech_base!$T74&gt;W$2025,"",fuel_costs!O$10*0.086/tech_proj!W198/(1-tech_proj!W478))</f>
        <v>21.381955989310754</v>
      </c>
      <c r="X2098" s="119">
        <f>IF(tech_base!$T74&gt;X$2025,"",fuel_costs!P$10*0.086/tech_proj!X198/(1-tech_proj!X478))</f>
        <v>21.464282780445792</v>
      </c>
      <c r="Y2098" s="119">
        <f>IF(tech_base!$T74&gt;Y$2025,"",fuel_costs!Q$10*0.086/tech_proj!Y198/(1-tech_proj!Y478))</f>
        <v>21.546607685226149</v>
      </c>
      <c r="Z2098" s="119">
        <f>IF(tech_base!$T74&gt;Z$2025,"",fuel_costs!R$10*0.086/tech_proj!Z198/(1-tech_proj!Z478))</f>
        <v>21.630621544936037</v>
      </c>
      <c r="AA2098" s="119">
        <f>IF(tech_base!$T74&gt;AA$2025,"",fuel_costs!S$10*0.086/tech_proj!AA198/(1-tech_proj!AA478))</f>
        <v>21.714635324862765</v>
      </c>
      <c r="AB2098" s="119">
        <f>IF(tech_base!$T74&gt;AB$2025,"",fuel_costs!T$10*0.086/tech_proj!AB198/(1-tech_proj!AB478))</f>
        <v>21.798650071315091</v>
      </c>
      <c r="AC2098" s="119">
        <f>IF(tech_base!$T74&gt;AC$2025,"",fuel_costs!U$10*0.086/tech_proj!AC198/(1-tech_proj!AC478))</f>
        <v>21.882666809102734</v>
      </c>
      <c r="AD2098" s="119">
        <f>IF(tech_base!$T74&gt;AD$2025,"",fuel_costs!V$10*0.086/tech_proj!AD198/(1-tech_proj!AD478))</f>
        <v>21.966686540122698</v>
      </c>
      <c r="AE2098" s="119">
        <f>IF(tech_base!$T74&gt;AE$2025,"",fuel_costs!W$10*0.086/tech_proj!AE198/(1-tech_proj!AE478))</f>
        <v>22.052432953786017</v>
      </c>
      <c r="AF2098" s="119">
        <f>IF(tech_base!$T74&gt;AF$2025,"",fuel_costs!X$10*0.086/tech_proj!AF198/(1-tech_proj!AF478))</f>
        <v>22.138183962666304</v>
      </c>
      <c r="AG2098" s="119">
        <f>IF(tech_base!$T74&gt;AG$2025,"",fuel_costs!Y$10*0.086/tech_proj!AG198/(1-tech_proj!AG478))</f>
        <v>22.223940497648421</v>
      </c>
      <c r="AH2098" s="119">
        <f>IF(tech_base!$T74&gt;AH$2025,"",fuel_costs!Z$10*0.086/tech_proj!AH198/(1-tech_proj!AH478))</f>
        <v>22.309703462287697</v>
      </c>
      <c r="AI2098" s="119">
        <f>IF(tech_base!$T74&gt;AI$2025,"",fuel_costs!AA$10*0.086/tech_proj!AI198/(1-tech_proj!AI478))</f>
        <v>22.395473731905437</v>
      </c>
      <c r="AJ2098" s="119">
        <f>IF(tech_base!$T74&gt;AJ$2025,"",fuel_costs!AB$10*0.086/tech_proj!AJ198/(1-tech_proj!AJ478))</f>
        <v>22.483008500613913</v>
      </c>
      <c r="AK2098" s="119">
        <f>IF(tech_base!$T74&gt;AK$2025,"",fuel_costs!AC$10*0.086/tech_proj!AK198/(1-tech_proj!AK478))</f>
        <v>22.570551921193978</v>
      </c>
      <c r="AL2098" s="119">
        <f>IF(tech_base!$T74&gt;AL$2025,"",fuel_costs!AD$10*0.086/tech_proj!AL198/(1-tech_proj!AL478))</f>
        <v>22.658104785825113</v>
      </c>
      <c r="AM2098" s="119">
        <f>IF(tech_base!$T74&gt;AM$2025,"",fuel_costs!AE$10*0.086/tech_proj!AM198/(1-tech_proj!AM478))</f>
        <v>22.745667856014318</v>
      </c>
      <c r="AN2098" s="119">
        <f>IF(tech_base!$T74&gt;AN$2025,"",fuel_costs!AF$10*0.086/tech_proj!AN198/(1-tech_proj!AN478))</f>
        <v>22.833241862187315</v>
      </c>
      <c r="AO2098" s="119">
        <f>IF(tech_base!$T74&gt;AO$2025,"",fuel_costs!AG$10*0.086/tech_proj!AO198/(1-tech_proj!AO478))</f>
        <v>22.922618193024242</v>
      </c>
      <c r="AP2098" s="119">
        <f>IF(tech_base!$T74&gt;AP$2025,"",fuel_costs!AH$10*0.086/tech_proj!AP198/(1-tech_proj!AP478))</f>
        <v>23.012006524886473</v>
      </c>
      <c r="AQ2098" s="119">
        <f>IF(tech_base!$T74&gt;AQ$2025,"",fuel_costs!AI$10*0.086/tech_proj!AQ198/(1-tech_proj!AQ478))</f>
        <v>23.10140749995924</v>
      </c>
      <c r="AR2098" s="119">
        <f>IF(tech_base!$T74&gt;AR$2025,"",fuel_costs!AJ$10*0.086/tech_proj!AR198/(1-tech_proj!AR478))</f>
        <v>23.190821728723741</v>
      </c>
      <c r="AS2098" s="119">
        <f>IF(tech_base!$T74&gt;AS$2025,"",fuel_costs!AK$10*0.086/tech_proj!AS198/(1-tech_proj!AS478))</f>
        <v>23.280249789980761</v>
      </c>
      <c r="AT2098" s="119">
        <f>IF(tech_base!$T74&gt;AT$2025,"",fuel_costs!AL$10*0.086/tech_proj!AT198/(1-tech_proj!AT478))</f>
        <v>23.371517988158654</v>
      </c>
      <c r="AU2098" s="119">
        <f>IF(tech_base!$T74&gt;AU$2025,"",fuel_costs!AM$10*0.086/tech_proj!AU198/(1-tech_proj!AU478))</f>
        <v>23.46280079696729</v>
      </c>
      <c r="AV2098" s="119">
        <f>IF(tech_base!$T74&gt;AV$2025,"",fuel_costs!AN$10*0.086/tech_proj!AV198/(1-tech_proj!AV478))</f>
        <v>23.554098707964727</v>
      </c>
      <c r="AW2098" s="119">
        <f>IF(tech_base!$T74&gt;AW$2025,"",fuel_costs!AO$10*0.086/tech_proj!AW198/(1-tech_proj!AW478))</f>
        <v>23.645412181903112</v>
      </c>
      <c r="AX2098" s="120">
        <f>IF(tech_base!$T74&gt;AX$2025,"",fuel_costs!AP$10*0.086/tech_proj!AX198/(1-tech_proj!AX478))</f>
        <v>23.736741649092011</v>
      </c>
    </row>
    <row r="2099" spans="1:50" x14ac:dyDescent="0.25">
      <c r="A2099" s="356"/>
      <c r="B2099" s="376"/>
      <c r="C2099" s="378"/>
      <c r="D2099" s="2" t="s">
        <v>10</v>
      </c>
      <c r="E2099" s="76" t="str">
        <f>A2071&amp;"/"&amp;B2097&amp;"/"&amp;C2097&amp;"/"&amp;D2099</f>
        <v>Lignite fired power plants/Steam turbine/Electricity only/S</v>
      </c>
      <c r="F2099" s="76" t="str">
        <f>A2071</f>
        <v>Lignite fired power plants</v>
      </c>
      <c r="G2099" s="76" t="str">
        <f>B2097</f>
        <v>Steam turbine</v>
      </c>
      <c r="H2099" s="76" t="str">
        <f>C2097</f>
        <v>Electricity only</v>
      </c>
      <c r="I2099" s="76" t="str">
        <f t="shared" si="388"/>
        <v>S</v>
      </c>
      <c r="J2099" s="119">
        <f>IF(tech_base!$T75&gt;J$2025,"",fuel_costs!B$10*0.086/tech_proj!J199/(1-tech_proj!J479))</f>
        <v>21.799992820641073</v>
      </c>
      <c r="K2099" s="119">
        <f>IF(tech_base!$T75&gt;K$2025,"",fuel_costs!C$10*0.086/tech_proj!K199/(1-tech_proj!K479))</f>
        <v>21.814037974993287</v>
      </c>
      <c r="L2099" s="119">
        <f>IF(tech_base!$T75&gt;L$2025,"",fuel_costs!D$10*0.086/tech_proj!L199/(1-tech_proj!L479))</f>
        <v>21.828081053657851</v>
      </c>
      <c r="M2099" s="119">
        <f>IF(tech_base!$T75&gt;M$2025,"",fuel_costs!E$10*0.086/tech_proj!M199/(1-tech_proj!M479))</f>
        <v>21.842123056812888</v>
      </c>
      <c r="N2099" s="119">
        <f>IF(tech_base!$T75&gt;N$2025,"",fuel_costs!F$10*0.086/tech_proj!N199/(1-tech_proj!N479))</f>
        <v>21.856164979649087</v>
      </c>
      <c r="O2099" s="119">
        <f>IF(tech_base!$T75&gt;O$2025,"",fuel_costs!G$10*0.086/tech_proj!O199/(1-tech_proj!O479))</f>
        <v>21.870207810435446</v>
      </c>
      <c r="P2099" s="119">
        <f>IF(tech_base!$T75&gt;P$2025,"",fuel_costs!H$10*0.086/tech_proj!P199/(1-tech_proj!P479))</f>
        <v>21.955750498555329</v>
      </c>
      <c r="Q2099" s="119">
        <f>IF(tech_base!$T75&gt;Q$2025,"",fuel_costs!I$10*0.086/tech_proj!Q199/(1-tech_proj!Q479))</f>
        <v>22.041283456990559</v>
      </c>
      <c r="R2099" s="119">
        <f>IF(tech_base!$T75&gt;R$2025,"",fuel_costs!J$10*0.086/tech_proj!R199/(1-tech_proj!R479))</f>
        <v>22.126807706947886</v>
      </c>
      <c r="S2099" s="119">
        <f>IF(tech_base!$T75&gt;S$2025,"",fuel_costs!K$10*0.086/tech_proj!S199/(1-tech_proj!S479))</f>
        <v>22.212324267578751</v>
      </c>
      <c r="T2099" s="119">
        <f>IF(tech_base!$T75&gt;T$2025,"",fuel_costs!L$10*0.086/tech_proj!T199/(1-tech_proj!T479))</f>
        <v>22.297834154028859</v>
      </c>
      <c r="U2099" s="119">
        <f>IF(tech_base!$T75&gt;U$2025,"",fuel_costs!M$10*0.086/tech_proj!U199/(1-tech_proj!U479))</f>
        <v>22.385087073843703</v>
      </c>
      <c r="V2099" s="119">
        <f>IF(tech_base!$T75&gt;V$2025,"",fuel_costs!N$10*0.086/tech_proj!V199/(1-tech_proj!V479))</f>
        <v>22.472335028960835</v>
      </c>
      <c r="W2099" s="119">
        <f>IF(tech_base!$T75&gt;W$2025,"",fuel_costs!O$10*0.086/tech_proj!W199/(1-tech_proj!W479))</f>
        <v>22.559579013941626</v>
      </c>
      <c r="X2099" s="119">
        <f>IF(tech_base!$T75&gt;X$2025,"",fuel_costs!P$10*0.086/tech_proj!X199/(1-tech_proj!X479))</f>
        <v>22.646820012320386</v>
      </c>
      <c r="Y2099" s="119">
        <f>IF(tech_base!$T75&gt;Y$2025,"",fuel_costs!Q$10*0.086/tech_proj!Y199/(1-tech_proj!Y479))</f>
        <v>22.734058994933282</v>
      </c>
      <c r="Z2099" s="119">
        <f>IF(tech_base!$T75&gt;Z$2025,"",fuel_costs!R$10*0.086/tech_proj!Z199/(1-tech_proj!Z479))</f>
        <v>22.823079832142493</v>
      </c>
      <c r="AA2099" s="119">
        <f>IF(tech_base!$T75&gt;AA$2025,"",fuel_costs!S$10*0.086/tech_proj!AA199/(1-tech_proj!AA479))</f>
        <v>22.912100253904221</v>
      </c>
      <c r="AB2099" s="119">
        <f>IF(tech_base!$T75&gt;AB$2025,"",fuel_costs!T$10*0.086/tech_proj!AB199/(1-tech_proj!AB479))</f>
        <v>23.001121187330703</v>
      </c>
      <c r="AC2099" s="119">
        <f>IF(tech_base!$T75&gt;AC$2025,"",fuel_costs!U$10*0.086/tech_proj!AC199/(1-tech_proj!AC479))</f>
        <v>23.09014354115147</v>
      </c>
      <c r="AD2099" s="119">
        <f>IF(tech_base!$T75&gt;AD$2025,"",fuel_costs!V$10*0.086/tech_proj!AD199/(1-tech_proj!AD479))</f>
        <v>23.179168204436007</v>
      </c>
      <c r="AE2099" s="119">
        <f>IF(tech_base!$T75&gt;AE$2025,"",fuel_costs!W$10*0.086/tech_proj!AE199/(1-tech_proj!AE479))</f>
        <v>23.270013873221934</v>
      </c>
      <c r="AF2099" s="119">
        <f>IF(tech_base!$T75&gt;AF$2025,"",fuel_costs!X$10*0.086/tech_proj!AF199/(1-tech_proj!AF479))</f>
        <v>23.360863276549601</v>
      </c>
      <c r="AG2099" s="119">
        <f>IF(tech_base!$T75&gt;AG$2025,"",fuel_costs!Y$10*0.086/tech_proj!AG199/(1-tech_proj!AG479))</f>
        <v>23.451717242238889</v>
      </c>
      <c r="AH2099" s="119">
        <f>IF(tech_base!$T75&gt;AH$2025,"",fuel_costs!Z$10*0.086/tech_proj!AH199/(1-tech_proj!AH479))</f>
        <v>23.542576574425702</v>
      </c>
      <c r="AI2099" s="119">
        <f>IF(tech_base!$T75&gt;AI$2025,"",fuel_costs!AA$10*0.086/tech_proj!AI199/(1-tech_proj!AI479))</f>
        <v>23.63344205273</v>
      </c>
      <c r="AJ2099" s="119">
        <f>IF(tech_base!$T75&gt;AJ$2025,"",fuel_costs!AB$10*0.086/tech_proj!AJ199/(1-tech_proj!AJ479))</f>
        <v>23.726167893581231</v>
      </c>
      <c r="AK2099" s="119">
        <f>IF(tech_base!$T75&gt;AK$2025,"",fuel_costs!AC$10*0.086/tech_proj!AK199/(1-tech_proj!AK479))</f>
        <v>23.818901084294627</v>
      </c>
      <c r="AL2099" s="119">
        <f>IF(tech_base!$T75&gt;AL$2025,"",fuel_costs!AD$10*0.086/tech_proj!AL199/(1-tech_proj!AL479))</f>
        <v>23.911642332053514</v>
      </c>
      <c r="AM2099" s="119">
        <f>IF(tech_base!$T75&gt;AM$2025,"",fuel_costs!AE$10*0.086/tech_proj!AM199/(1-tech_proj!AM479))</f>
        <v>24.004392317241042</v>
      </c>
      <c r="AN2099" s="119">
        <f>IF(tech_base!$T75&gt;AN$2025,"",fuel_costs!AF$10*0.086/tech_proj!AN199/(1-tech_proj!AN479))</f>
        <v>24.097151693046314</v>
      </c>
      <c r="AO2099" s="119">
        <f>IF(tech_base!$T75&gt;AO$2025,"",fuel_costs!AG$10*0.086/tech_proj!AO199/(1-tech_proj!AO479))</f>
        <v>24.191810922740149</v>
      </c>
      <c r="AP2099" s="119">
        <f>IF(tech_base!$T75&gt;AP$2025,"",fuel_costs!AH$10*0.086/tech_proj!AP199/(1-tech_proj!AP479))</f>
        <v>24.286480500255141</v>
      </c>
      <c r="AQ2099" s="119">
        <f>IF(tech_base!$T75&gt;AQ$2025,"",fuel_costs!AI$10*0.086/tech_proj!AQ199/(1-tech_proj!AQ479))</f>
        <v>24.381161001371282</v>
      </c>
      <c r="AR2099" s="119">
        <f>IF(tech_base!$T75&gt;AR$2025,"",fuel_costs!AJ$10*0.086/tech_proj!AR199/(1-tech_proj!AR479))</f>
        <v>24.475852974002461</v>
      </c>
      <c r="AS2099" s="119">
        <f>IF(tech_base!$T75&gt;AS$2025,"",fuel_costs!AK$10*0.086/tech_proj!AS199/(1-tech_proj!AS479))</f>
        <v>24.57055693818814</v>
      </c>
      <c r="AT2099" s="119">
        <f>IF(tech_base!$T75&gt;AT$2025,"",fuel_costs!AL$10*0.086/tech_proj!AT199/(1-tech_proj!AT479))</f>
        <v>24.667200360638805</v>
      </c>
      <c r="AU2099" s="119">
        <f>IF(tech_base!$T75&gt;AU$2025,"",fuel_costs!AM$10*0.086/tech_proj!AU199/(1-tech_proj!AU479))</f>
        <v>24.763856479379932</v>
      </c>
      <c r="AV2099" s="119">
        <f>IF(tech_base!$T75&gt;AV$2025,"",fuel_costs!AN$10*0.086/tech_proj!AV199/(1-tech_proj!AV479))</f>
        <v>24.860525737509047</v>
      </c>
      <c r="AW2099" s="119">
        <f>IF(tech_base!$T75&gt;AW$2025,"",fuel_costs!AO$10*0.086/tech_proj!AW199/(1-tech_proj!AW479))</f>
        <v>24.957208550919116</v>
      </c>
      <c r="AX2099" s="120">
        <f>IF(tech_base!$T75&gt;AX$2025,"",fuel_costs!AP$10*0.086/tech_proj!AX199/(1-tech_proj!AX479))</f>
        <v>25.053905308595979</v>
      </c>
    </row>
    <row r="2100" spans="1:50" x14ac:dyDescent="0.25">
      <c r="A2100" s="356"/>
      <c r="B2100" s="376"/>
      <c r="C2100" s="379"/>
      <c r="D2100" s="2" t="s">
        <v>20</v>
      </c>
      <c r="E2100" s="76" t="str">
        <f>A2071&amp;"/"&amp;B2097&amp;"/"&amp;C2097&amp;"/"&amp;D2100</f>
        <v>Lignite fired power plants/Steam turbine/Electricity only/XS</v>
      </c>
      <c r="F2100" s="76" t="str">
        <f>A2071</f>
        <v>Lignite fired power plants</v>
      </c>
      <c r="G2100" s="76" t="str">
        <f>B2097</f>
        <v>Steam turbine</v>
      </c>
      <c r="H2100" s="76" t="str">
        <f>C2097</f>
        <v>Electricity only</v>
      </c>
      <c r="I2100" s="76" t="str">
        <f t="shared" si="388"/>
        <v>XS</v>
      </c>
      <c r="J2100" s="119">
        <f>IF(tech_base!$T76&gt;J$2025,"",fuel_costs!B$10*0.086/tech_proj!J200/(1-tech_proj!J480))</f>
        <v>23.001239959172533</v>
      </c>
      <c r="K2100" s="119">
        <f>IF(tech_base!$T76&gt;K$2025,"",fuel_costs!C$10*0.086/tech_proj!K200/(1-tech_proj!K480))</f>
        <v>23.016748479222265</v>
      </c>
      <c r="L2100" s="119">
        <f>IF(tech_base!$T76&gt;L$2025,"",fuel_costs!D$10*0.086/tech_proj!L200/(1-tech_proj!L480))</f>
        <v>23.032261191822776</v>
      </c>
      <c r="M2100" s="119">
        <f>IF(tech_base!$T76&gt;M$2025,"",fuel_costs!E$10*0.086/tech_proj!M200/(1-tech_proj!M480))</f>
        <v>23.047778721829559</v>
      </c>
      <c r="N2100" s="119">
        <f>IF(tech_base!$T76&gt;N$2025,"",fuel_costs!F$10*0.086/tech_proj!N200/(1-tech_proj!N480))</f>
        <v>23.063301681358809</v>
      </c>
      <c r="O2100" s="119">
        <f>IF(tech_base!$T76&gt;O$2025,"",fuel_costs!G$10*0.086/tech_proj!O200/(1-tech_proj!O480))</f>
        <v>23.078830668824683</v>
      </c>
      <c r="P2100" s="119">
        <f>IF(tech_base!$T76&gt;P$2025,"",fuel_costs!H$10*0.086/tech_proj!P200/(1-tech_proj!P480))</f>
        <v>23.169817796603976</v>
      </c>
      <c r="Q2100" s="119">
        <f>IF(tech_base!$T76&gt;Q$2025,"",fuel_costs!I$10*0.086/tech_proj!Q200/(1-tech_proj!Q480))</f>
        <v>23.260803513560276</v>
      </c>
      <c r="R2100" s="119">
        <f>IF(tech_base!$T76&gt;R$2025,"",fuel_costs!J$10*0.086/tech_proj!R200/(1-tech_proj!R480))</f>
        <v>23.351788466268076</v>
      </c>
      <c r="S2100" s="119">
        <f>IF(tech_base!$T76&gt;S$2025,"",fuel_costs!K$10*0.086/tech_proj!S200/(1-tech_proj!S480))</f>
        <v>23.442773291042958</v>
      </c>
      <c r="T2100" s="119">
        <f>IF(tech_base!$T76&gt;T$2025,"",fuel_costs!L$10*0.086/tech_proj!T200/(1-tech_proj!T480))</f>
        <v>23.533758612971145</v>
      </c>
      <c r="U2100" s="119">
        <f>IF(tech_base!$T76&gt;U$2025,"",fuel_costs!M$10*0.086/tech_proj!U200/(1-tech_proj!U480))</f>
        <v>23.626590728200103</v>
      </c>
      <c r="V2100" s="119">
        <f>IF(tech_base!$T76&gt;V$2025,"",fuel_costs!N$10*0.086/tech_proj!V200/(1-tech_proj!V480))</f>
        <v>23.719424351743715</v>
      </c>
      <c r="W2100" s="119">
        <f>IF(tech_base!$T76&gt;W$2025,"",fuel_costs!O$10*0.086/tech_proj!W200/(1-tech_proj!W480))</f>
        <v>23.81226007260943</v>
      </c>
      <c r="X2100" s="119">
        <f>IF(tech_base!$T76&gt;X$2025,"",fuel_costs!P$10*0.086/tech_proj!X200/(1-tech_proj!X480))</f>
        <v>23.905098465386093</v>
      </c>
      <c r="Y2100" s="119">
        <f>IF(tech_base!$T76&gt;Y$2025,"",fuel_costs!Q$10*0.086/tech_proj!Y200/(1-tech_proj!Y480))</f>
        <v>23.997940089552419</v>
      </c>
      <c r="Z2100" s="119">
        <f>IF(tech_base!$T76&gt;Z$2025,"",fuel_costs!R$10*0.086/tech_proj!Z200/(1-tech_proj!Z480))</f>
        <v>24.092667581462095</v>
      </c>
      <c r="AA2100" s="119">
        <f>IF(tech_base!$T76&gt;AA$2025,"",fuel_costs!S$10*0.086/tech_proj!AA200/(1-tech_proj!AA480))</f>
        <v>24.187399180604732</v>
      </c>
      <c r="AB2100" s="119">
        <f>IF(tech_base!$T76&gt;AB$2025,"",fuel_costs!T$10*0.086/tech_proj!AB200/(1-tech_proj!AB480))</f>
        <v>24.282135400974873</v>
      </c>
      <c r="AC2100" s="119">
        <f>IF(tech_base!$T76&gt;AC$2025,"",fuel_costs!U$10*0.086/tech_proj!AC200/(1-tech_proj!AC480))</f>
        <v>24.37687673939617</v>
      </c>
      <c r="AD2100" s="119">
        <f>IF(tech_base!$T76&gt;AD$2025,"",fuel_costs!V$10*0.086/tech_proj!AD200/(1-tech_proj!AD480))</f>
        <v>24.471623675123105</v>
      </c>
      <c r="AE2100" s="119">
        <f>IF(tech_base!$T76&gt;AE$2025,"",fuel_costs!W$10*0.086/tech_proj!AE200/(1-tech_proj!AE480))</f>
        <v>24.568295917678945</v>
      </c>
      <c r="AF2100" s="119">
        <f>IF(tech_base!$T76&gt;AF$2025,"",fuel_costs!X$10*0.086/tech_proj!AF200/(1-tech_proj!AF480))</f>
        <v>24.664974474818695</v>
      </c>
      <c r="AG2100" s="119">
        <f>IF(tech_base!$T76&gt;AG$2025,"",fuel_costs!Y$10*0.086/tech_proj!AG200/(1-tech_proj!AG480))</f>
        <v>24.761659775071639</v>
      </c>
      <c r="AH2100" s="119">
        <f>IF(tech_base!$T76&gt;AH$2025,"",fuel_costs!Z$10*0.086/tech_proj!AH200/(1-tech_proj!AH480))</f>
        <v>24.858352228449615</v>
      </c>
      <c r="AI2100" s="119">
        <f>IF(tech_base!$T76&gt;AI$2025,"",fuel_costs!AA$10*0.086/tech_proj!AI200/(1-tech_proj!AI480))</f>
        <v>24.955052226322437</v>
      </c>
      <c r="AJ2100" s="119">
        <f>IF(tech_base!$T76&gt;AJ$2025,"",fuel_costs!AB$10*0.086/tech_proj!AJ200/(1-tech_proj!AJ480))</f>
        <v>25.053717310105828</v>
      </c>
      <c r="AK2100" s="119">
        <f>IF(tech_base!$T76&gt;AK$2025,"",fuel_costs!AC$10*0.086/tech_proj!AK200/(1-tech_proj!AK480))</f>
        <v>25.152390487172717</v>
      </c>
      <c r="AL2100" s="119">
        <f>IF(tech_base!$T76&gt;AL$2025,"",fuel_costs!AD$10*0.086/tech_proj!AL200/(1-tech_proj!AL480))</f>
        <v>25.251072096794161</v>
      </c>
      <c r="AM2100" s="119">
        <f>IF(tech_base!$T76&gt;AM$2025,"",fuel_costs!AE$10*0.086/tech_proj!AM200/(1-tech_proj!AM480))</f>
        <v>25.349762459631968</v>
      </c>
      <c r="AN2100" s="119">
        <f>IF(tech_base!$T76&gt;AN$2025,"",fuel_costs!AF$10*0.086/tech_proj!AN200/(1-tech_proj!AN480))</f>
        <v>25.448461877843727</v>
      </c>
      <c r="AO2100" s="119">
        <f>IF(tech_base!$T76&gt;AO$2025,"",fuel_costs!AG$10*0.086/tech_proj!AO200/(1-tech_proj!AO480))</f>
        <v>25.54916650793465</v>
      </c>
      <c r="AP2100" s="119">
        <f>IF(tech_base!$T76&gt;AP$2025,"",fuel_costs!AH$10*0.086/tech_proj!AP200/(1-tech_proj!AP480))</f>
        <v>25.649880575466828</v>
      </c>
      <c r="AQ2100" s="119">
        <f>IF(tech_base!$T76&gt;AQ$2025,"",fuel_costs!AI$10*0.086/tech_proj!AQ200/(1-tech_proj!AQ480))</f>
        <v>25.750604332349955</v>
      </c>
      <c r="AR2100" s="119">
        <f>IF(tech_base!$T76&gt;AR$2025,"",fuel_costs!AJ$10*0.086/tech_proj!AR200/(1-tech_proj!AR480))</f>
        <v>25.851338012800269</v>
      </c>
      <c r="AS2100" s="119">
        <f>IF(tech_base!$T76&gt;AS$2025,"",fuel_costs!AK$10*0.086/tech_proj!AS200/(1-tech_proj!AS480))</f>
        <v>25.952081833618863</v>
      </c>
      <c r="AT2100" s="119">
        <f>IF(tech_base!$T76&gt;AT$2025,"",fuel_costs!AL$10*0.086/tech_proj!AT200/(1-tech_proj!AT480))</f>
        <v>26.054871372310977</v>
      </c>
      <c r="AU2100" s="119">
        <f>IF(tech_base!$T76&gt;AU$2025,"",fuel_costs!AM$10*0.086/tech_proj!AU200/(1-tech_proj!AU480))</f>
        <v>26.157671277686685</v>
      </c>
      <c r="AV2100" s="119">
        <f>IF(tech_base!$T76&gt;AV$2025,"",fuel_costs!AN$10*0.086/tech_proj!AV200/(1-tech_proj!AV480))</f>
        <v>26.260481720551496</v>
      </c>
      <c r="AW2100" s="119">
        <f>IF(tech_base!$T76&gt;AW$2025,"",fuel_costs!AO$10*0.086/tech_proj!AW200/(1-tech_proj!AW480))</f>
        <v>26.363302855653462</v>
      </c>
      <c r="AX2100" s="120">
        <f>IF(tech_base!$T76&gt;AX$2025,"",fuel_costs!AP$10*0.086/tech_proj!AX200/(1-tech_proj!AX480))</f>
        <v>26.466134822075887</v>
      </c>
    </row>
    <row r="2101" spans="1:50" x14ac:dyDescent="0.25">
      <c r="A2101" s="356"/>
      <c r="B2101" s="376"/>
      <c r="C2101" s="361" t="s">
        <v>14</v>
      </c>
      <c r="D2101" s="58" t="s">
        <v>7</v>
      </c>
      <c r="E2101" s="78" t="str">
        <f>A2071&amp;"/"&amp;B2097&amp;"/"&amp;C2101&amp;"/"&amp;D2101</f>
        <v>Lignite fired power plants/Steam turbine/CHP/L</v>
      </c>
      <c r="F2101" s="78" t="str">
        <f>A2071</f>
        <v>Lignite fired power plants</v>
      </c>
      <c r="G2101" s="78" t="str">
        <f>B2097</f>
        <v>Steam turbine</v>
      </c>
      <c r="H2101" s="78" t="str">
        <f>C2101</f>
        <v>CHP</v>
      </c>
      <c r="I2101" s="78" t="str">
        <f t="shared" si="388"/>
        <v>L</v>
      </c>
      <c r="J2101" s="123">
        <f>IF(tech_base!$T77&gt;J$2025,"",fuel_costs!B$10*0.086/tech_proj!J201/(1-tech_proj!J481))</f>
        <v>21.745789870754844</v>
      </c>
      <c r="K2101" s="123">
        <f>IF(tech_base!$T77&gt;K$2025,"",fuel_costs!C$10*0.086/tech_proj!K201/(1-tech_proj!K481))</f>
        <v>21.759811229599435</v>
      </c>
      <c r="L2101" s="123">
        <f>IF(tech_base!$T77&gt;L$2025,"",fuel_costs!D$10*0.086/tech_proj!L201/(1-tech_proj!L481))</f>
        <v>21.773834394864089</v>
      </c>
      <c r="M2101" s="123">
        <f>IF(tech_base!$T77&gt;M$2025,"",fuel_costs!E$10*0.086/tech_proj!M201/(1-tech_proj!M481))</f>
        <v>21.787859799474194</v>
      </c>
      <c r="N2101" s="123">
        <f>IF(tech_base!$T77&gt;N$2025,"",fuel_costs!F$10*0.086/tech_proj!N201/(1-tech_proj!N481))</f>
        <v>21.801887871650152</v>
      </c>
      <c r="O2101" s="123">
        <f>IF(tech_base!$T77&gt;O$2025,"",fuel_costs!G$10*0.086/tech_proj!O201/(1-tech_proj!O481))</f>
        <v>21.815919034576559</v>
      </c>
      <c r="P2101" s="123">
        <f>IF(tech_base!$T77&gt;P$2025,"",fuel_costs!H$10*0.086/tech_proj!P201/(1-tech_proj!P481))</f>
        <v>21.90127427650328</v>
      </c>
      <c r="Q2101" s="123">
        <f>IF(tech_base!$T77&gt;Q$2025,"",fuel_costs!I$10*0.086/tech_proj!Q201/(1-tech_proj!Q481))</f>
        <v>21.986621053438604</v>
      </c>
      <c r="R2101" s="123">
        <f>IF(tech_base!$T77&gt;R$2025,"",fuel_costs!J$10*0.086/tech_proj!R201/(1-tech_proj!R481))</f>
        <v>22.071959841020728</v>
      </c>
      <c r="S2101" s="123">
        <f>IF(tech_base!$T77&gt;S$2025,"",fuel_costs!K$10*0.086/tech_proj!S201/(1-tech_proj!S481))</f>
        <v>22.157291113657259</v>
      </c>
      <c r="T2101" s="123">
        <f>IF(tech_base!$T77&gt;T$2025,"",fuel_costs!L$10*0.086/tech_proj!T201/(1-tech_proj!T481))</f>
        <v>22.242615344129476</v>
      </c>
      <c r="U2101" s="123">
        <f>IF(tech_base!$T77&gt;U$2025,"",fuel_costs!M$10*0.086/tech_proj!U201/(1-tech_proj!U481))</f>
        <v>22.329677372970718</v>
      </c>
      <c r="V2101" s="123">
        <f>IF(tech_base!$T77&gt;V$2025,"",fuel_costs!N$10*0.086/tech_proj!V201/(1-tech_proj!V481))</f>
        <v>22.416733001991336</v>
      </c>
      <c r="W2101" s="123">
        <f>IF(tech_base!$T77&gt;W$2025,"",fuel_costs!O$10*0.086/tech_proj!W201/(1-tech_proj!W481))</f>
        <v>22.503782698944804</v>
      </c>
      <c r="X2101" s="123">
        <f>IF(tech_base!$T77&gt;X$2025,"",fuel_costs!P$10*0.086/tech_proj!X201/(1-tech_proj!X481))</f>
        <v>22.590826928573186</v>
      </c>
      <c r="Y2101" s="123">
        <f>IF(tech_base!$T77&gt;Y$2025,"",fuel_costs!Q$10*0.086/tech_proj!Y201/(1-tech_proj!Y481))</f>
        <v>22.677866152254587</v>
      </c>
      <c r="Z2101" s="123">
        <f>IF(tech_base!$T77&gt;Z$2025,"",fuel_costs!R$10*0.086/tech_proj!Z201/(1-tech_proj!Z481))</f>
        <v>22.766679335538175</v>
      </c>
      <c r="AA2101" s="123">
        <f>IF(tech_base!$T77&gt;AA$2025,"",fuel_costs!S$10*0.086/tech_proj!AA201/(1-tech_proj!AA481))</f>
        <v>22.855488129269116</v>
      </c>
      <c r="AB2101" s="123">
        <f>IF(tech_base!$T77&gt;AB$2025,"",fuel_costs!T$10*0.086/tech_proj!AB201/(1-tech_proj!AB481))</f>
        <v>22.944292985306816</v>
      </c>
      <c r="AC2101" s="123">
        <f>IF(tech_base!$T77&gt;AC$2025,"",fuel_costs!U$10*0.086/tech_proj!AC201/(1-tech_proj!AC481))</f>
        <v>23.033094350943024</v>
      </c>
      <c r="AD2101" s="123">
        <f>IF(tech_base!$T77&gt;AD$2025,"",fuel_costs!V$10*0.086/tech_proj!AD201/(1-tech_proj!AD481))</f>
        <v>23.121892668601824</v>
      </c>
      <c r="AE2101" s="123">
        <f>IF(tech_base!$T77&gt;AE$2025,"",fuel_costs!W$10*0.086/tech_proj!AE201/(1-tech_proj!AE481))</f>
        <v>23.212501710581002</v>
      </c>
      <c r="AF2101" s="123">
        <f>IF(tech_base!$T77&gt;AF$2025,"",fuel_costs!X$10*0.086/tech_proj!AF201/(1-tech_proj!AF481))</f>
        <v>23.303108282136034</v>
      </c>
      <c r="AG2101" s="123">
        <f>IF(tech_base!$T77&gt;AG$2025,"",fuel_costs!Y$10*0.086/tech_proj!AG201/(1-tech_proj!AG481))</f>
        <v>23.393712812392085</v>
      </c>
      <c r="AH2101" s="123">
        <f>IF(tech_base!$T77&gt;AH$2025,"",fuel_costs!Z$10*0.086/tech_proj!AH201/(1-tech_proj!AH481))</f>
        <v>23.484315724612923</v>
      </c>
      <c r="AI2101" s="123">
        <f>IF(tech_base!$T77&gt;AI$2025,"",fuel_costs!AA$10*0.086/tech_proj!AI201/(1-tech_proj!AI481))</f>
        <v>23.574917435959147</v>
      </c>
      <c r="AJ2101" s="123">
        <f>IF(tech_base!$T77&gt;AJ$2025,"",fuel_costs!AB$10*0.086/tech_proj!AJ201/(1-tech_proj!AJ481))</f>
        <v>23.667367225880806</v>
      </c>
      <c r="AK2101" s="123">
        <f>IF(tech_base!$T77&gt;AK$2025,"",fuel_costs!AC$10*0.086/tech_proj!AK201/(1-tech_proj!AK481))</f>
        <v>23.759816343204271</v>
      </c>
      <c r="AL2101" s="123">
        <f>IF(tech_base!$T77&gt;AL$2025,"",fuel_costs!AD$10*0.086/tech_proj!AL201/(1-tech_proj!AL481))</f>
        <v>23.852265188795855</v>
      </c>
      <c r="AM2101" s="123">
        <f>IF(tech_base!$T77&gt;AM$2025,"",fuel_costs!AE$10*0.086/tech_proj!AM201/(1-tech_proj!AM481))</f>
        <v>23.944714156648885</v>
      </c>
      <c r="AN2101" s="123">
        <f>IF(tech_base!$T77&gt;AN$2025,"",fuel_costs!AF$10*0.086/tech_proj!AN201/(1-tech_proj!AN481))</f>
        <v>24.037163633702061</v>
      </c>
      <c r="AO2101" s="123">
        <f>IF(tech_base!$T77&gt;AO$2025,"",fuel_costs!AG$10*0.086/tech_proj!AO201/(1-tech_proj!AO481))</f>
        <v>24.131499125764329</v>
      </c>
      <c r="AP2101" s="123">
        <f>IF(tech_base!$T77&gt;AP$2025,"",fuel_costs!AH$10*0.086/tech_proj!AP201/(1-tech_proj!AP481))</f>
        <v>24.225835598193949</v>
      </c>
      <c r="AQ2101" s="123">
        <f>IF(tech_base!$T77&gt;AQ$2025,"",fuel_costs!AI$10*0.086/tech_proj!AQ201/(1-tech_proj!AQ481))</f>
        <v>24.320173419447745</v>
      </c>
      <c r="AR2101" s="123">
        <f>IF(tech_base!$T77&gt;AR$2025,"",fuel_costs!AJ$10*0.086/tech_proj!AR201/(1-tech_proj!AR481))</f>
        <v>24.414512950382452</v>
      </c>
      <c r="AS2101" s="123">
        <f>IF(tech_base!$T77&gt;AS$2025,"",fuel_costs!AK$10*0.086/tech_proj!AS201/(1-tech_proj!AS481))</f>
        <v>24.508854544132074</v>
      </c>
      <c r="AT2101" s="123">
        <f>IF(tech_base!$T77&gt;AT$2025,"",fuel_costs!AL$10*0.086/tech_proj!AT201/(1-tech_proj!AT481))</f>
        <v>24.605120670883775</v>
      </c>
      <c r="AU2101" s="123">
        <f>IF(tech_base!$T77&gt;AU$2025,"",fuel_costs!AM$10*0.086/tech_proj!AU201/(1-tech_proj!AU481))</f>
        <v>24.701389269268503</v>
      </c>
      <c r="AV2101" s="123">
        <f>IF(tech_base!$T77&gt;AV$2025,"",fuel_costs!AN$10*0.086/tech_proj!AV201/(1-tech_proj!AV481))</f>
        <v>24.797660672536317</v>
      </c>
      <c r="AW2101" s="123">
        <f>IF(tech_base!$T77&gt;AW$2025,"",fuel_costs!AO$10*0.086/tech_proj!AW201/(1-tech_proj!AW481))</f>
        <v>24.893935205882766</v>
      </c>
      <c r="AX2101" s="124">
        <f>IF(tech_base!$T77&gt;AX$2025,"",fuel_costs!AP$10*0.086/tech_proj!AX201/(1-tech_proj!AX481))</f>
        <v>24.990213186381339</v>
      </c>
    </row>
    <row r="2102" spans="1:50" x14ac:dyDescent="0.25">
      <c r="A2102" s="356"/>
      <c r="B2102" s="376"/>
      <c r="C2102" s="378"/>
      <c r="D2102" s="2" t="s">
        <v>8</v>
      </c>
      <c r="E2102" s="76" t="str">
        <f>A2071&amp;"/"&amp;B2097&amp;"/"&amp;C2101&amp;"/"&amp;D2102</f>
        <v>Lignite fired power plants/Steam turbine/CHP/M</v>
      </c>
      <c r="F2102" s="76" t="str">
        <f>A2071</f>
        <v>Lignite fired power plants</v>
      </c>
      <c r="G2102" s="76" t="str">
        <f>B2097</f>
        <v>Steam turbine</v>
      </c>
      <c r="H2102" s="76" t="str">
        <f>C2101</f>
        <v>CHP</v>
      </c>
      <c r="I2102" s="76" t="str">
        <f t="shared" si="388"/>
        <v>M</v>
      </c>
      <c r="J2102" s="119">
        <f>IF(tech_base!$T78&gt;J$2025,"",fuel_costs!B$10*0.086/tech_proj!J202/(1-tech_proj!J482))</f>
        <v>22.943773005988145</v>
      </c>
      <c r="K2102" s="119">
        <f>IF(tech_base!$T78&gt;K$2025,"",fuel_costs!C$10*0.086/tech_proj!K202/(1-tech_proj!K482))</f>
        <v>22.959316224697002</v>
      </c>
      <c r="L2102" s="119">
        <f>IF(tech_base!$T78&gt;L$2025,"",fuel_costs!D$10*0.086/tech_proj!L202/(1-tech_proj!L482))</f>
        <v>22.97486336632641</v>
      </c>
      <c r="M2102" s="119">
        <f>IF(tech_base!$T78&gt;M$2025,"",fuel_costs!E$10*0.086/tech_proj!M202/(1-tech_proj!M482))</f>
        <v>22.990414680401422</v>
      </c>
      <c r="N2102" s="119">
        <f>IF(tech_base!$T78&gt;N$2025,"",fuel_costs!F$10*0.086/tech_proj!N202/(1-tech_proj!N482))</f>
        <v>23.005970411682583</v>
      </c>
      <c r="O2102" s="119">
        <f>IF(tech_base!$T78&gt;O$2025,"",fuel_costs!G$10*0.086/tech_proj!O202/(1-tech_proj!O482))</f>
        <v>23.021530800023935</v>
      </c>
      <c r="P2102" s="119">
        <f>IF(tech_base!$T78&gt;P$2025,"",fuel_costs!H$10*0.086/tech_proj!P202/(1-tech_proj!P482))</f>
        <v>23.112360501566364</v>
      </c>
      <c r="Q2102" s="119">
        <f>IF(tech_base!$T78&gt;Q$2025,"",fuel_costs!I$10*0.086/tech_proj!Q202/(1-tech_proj!Q482))</f>
        <v>23.203187187043213</v>
      </c>
      <c r="R2102" s="119">
        <f>IF(tech_base!$T78&gt;R$2025,"",fuel_costs!J$10*0.086/tech_proj!R202/(1-tech_proj!R482))</f>
        <v>23.294011150937553</v>
      </c>
      <c r="S2102" s="119">
        <f>IF(tech_base!$T78&gt;S$2025,"",fuel_costs!K$10*0.086/tech_proj!S202/(1-tech_proj!S482))</f>
        <v>23.38483268499488</v>
      </c>
      <c r="T2102" s="119">
        <f>IF(tech_base!$T78&gt;T$2025,"",fuel_costs!L$10*0.086/tech_proj!T202/(1-tech_proj!T482))</f>
        <v>23.475652078025075</v>
      </c>
      <c r="U2102" s="119">
        <f>IF(tech_base!$T78&gt;U$2025,"",fuel_costs!M$10*0.086/tech_proj!U202/(1-tech_proj!U482))</f>
        <v>23.568310746150512</v>
      </c>
      <c r="V2102" s="119">
        <f>IF(tech_base!$T78&gt;V$2025,"",fuel_costs!N$10*0.086/tech_proj!V202/(1-tech_proj!V482))</f>
        <v>23.660967648223867</v>
      </c>
      <c r="W2102" s="119">
        <f>IF(tech_base!$T78&gt;W$2025,"",fuel_costs!O$10*0.086/tech_proj!W202/(1-tech_proj!W482))</f>
        <v>23.75362306507856</v>
      </c>
      <c r="X2102" s="119">
        <f>IF(tech_base!$T78&gt;X$2025,"",fuel_costs!P$10*0.086/tech_proj!X202/(1-tech_proj!X482))</f>
        <v>23.846277273950186</v>
      </c>
      <c r="Y2102" s="119">
        <f>IF(tech_base!$T78&gt;Y$2025,"",fuel_costs!Q$10*0.086/tech_proj!Y202/(1-tech_proj!Y482))</f>
        <v>23.938930548314005</v>
      </c>
      <c r="Z2102" s="119">
        <f>IF(tech_base!$T78&gt;Z$2025,"",fuel_costs!R$10*0.086/tech_proj!Z202/(1-tech_proj!Z482))</f>
        <v>24.033460625164498</v>
      </c>
      <c r="AA2102" s="119">
        <f>IF(tech_base!$T78&gt;AA$2025,"",fuel_costs!S$10*0.086/tech_proj!AA202/(1-tech_proj!AA482))</f>
        <v>24.127990112502125</v>
      </c>
      <c r="AB2102" s="119">
        <f>IF(tech_base!$T78&gt;AB$2025,"",fuel_costs!T$10*0.086/tech_proj!AB202/(1-tech_proj!AB482))</f>
        <v>24.222519273803353</v>
      </c>
      <c r="AC2102" s="119">
        <f>IF(tech_base!$T78&gt;AC$2025,"",fuel_costs!U$10*0.086/tech_proj!AC202/(1-tech_proj!AC482))</f>
        <v>24.317048368259641</v>
      </c>
      <c r="AD2102" s="119">
        <f>IF(tech_base!$T78&gt;AD$2025,"",fuel_costs!V$10*0.086/tech_proj!AD202/(1-tech_proj!AD482))</f>
        <v>24.411577650652379</v>
      </c>
      <c r="AE2102" s="119">
        <f>IF(tech_base!$T78&gt;AE$2025,"",fuel_costs!W$10*0.086/tech_proj!AE202/(1-tech_proj!AE482))</f>
        <v>24.508021910874223</v>
      </c>
      <c r="AF2102" s="119">
        <f>IF(tech_base!$T78&gt;AF$2025,"",fuel_costs!X$10*0.086/tech_proj!AF202/(1-tech_proj!AF482))</f>
        <v>24.604466668667175</v>
      </c>
      <c r="AG2102" s="119">
        <f>IF(tech_base!$T78&gt;AG$2025,"",fuel_costs!Y$10*0.086/tech_proj!AG202/(1-tech_proj!AG482))</f>
        <v>24.700912167292877</v>
      </c>
      <c r="AH2102" s="119">
        <f>IF(tech_base!$T78&gt;AH$2025,"",fuel_costs!Z$10*0.086/tech_proj!AH202/(1-tech_proj!AH482))</f>
        <v>24.797358645218917</v>
      </c>
      <c r="AI2102" s="119">
        <f>IF(tech_base!$T78&gt;AI$2025,"",fuel_costs!AA$10*0.086/tech_proj!AI202/(1-tech_proj!AI482))</f>
        <v>24.893806336031076</v>
      </c>
      <c r="AJ2102" s="119">
        <f>IF(tech_base!$T78&gt;AJ$2025,"",fuel_costs!AB$10*0.086/tech_proj!AJ202/(1-tech_proj!AJ482))</f>
        <v>24.992207832061808</v>
      </c>
      <c r="AK2102" s="119">
        <f>IF(tech_base!$T78&gt;AK$2025,"",fuel_costs!AC$10*0.086/tech_proj!AK202/(1-tech_proj!AK482))</f>
        <v>25.090610811497985</v>
      </c>
      <c r="AL2102" s="119">
        <f>IF(tech_base!$T78&gt;AL$2025,"",fuel_costs!AD$10*0.086/tech_proj!AL202/(1-tech_proj!AL482))</f>
        <v>25.189015495381639</v>
      </c>
      <c r="AM2102" s="119">
        <f>IF(tech_base!$T78&gt;AM$2025,"",fuel_costs!AE$10*0.086/tech_proj!AM202/(1-tech_proj!AM482))</f>
        <v>25.287422099625463</v>
      </c>
      <c r="AN2102" s="119">
        <f>IF(tech_base!$T78&gt;AN$2025,"",fuel_costs!AF$10*0.086/tech_proj!AN202/(1-tech_proj!AN482))</f>
        <v>25.385830834960501</v>
      </c>
      <c r="AO2102" s="119">
        <f>IF(tech_base!$T78&gt;AO$2025,"",fuel_costs!AG$10*0.086/tech_proj!AO202/(1-tech_proj!AO482))</f>
        <v>25.486232863289988</v>
      </c>
      <c r="AP2102" s="119">
        <f>IF(tech_base!$T78&gt;AP$2025,"",fuel_costs!AH$10*0.086/tech_proj!AP202/(1-tech_proj!AP482))</f>
        <v>25.586637251923591</v>
      </c>
      <c r="AQ2102" s="119">
        <f>IF(tech_base!$T78&gt;AQ$2025,"",fuel_costs!AI$10*0.086/tech_proj!AQ202/(1-tech_proj!AQ482))</f>
        <v>25.687044198493073</v>
      </c>
      <c r="AR2102" s="119">
        <f>IF(tech_base!$T78&gt;AR$2025,"",fuel_costs!AJ$10*0.086/tech_proj!AR202/(1-tech_proj!AR482))</f>
        <v>25.787453895327257</v>
      </c>
      <c r="AS2102" s="119">
        <f>IF(tech_base!$T78&gt;AS$2025,"",fuel_costs!AK$10*0.086/tech_proj!AS202/(1-tech_proj!AS482))</f>
        <v>25.887866529431879</v>
      </c>
      <c r="AT2102" s="119">
        <f>IF(tech_base!$T78&gt;AT$2025,"",fuel_costs!AL$10*0.086/tech_proj!AT202/(1-tech_proj!AT482))</f>
        <v>25.990312617029414</v>
      </c>
      <c r="AU2102" s="119">
        <f>IF(tech_base!$T78&gt;AU$2025,"",fuel_costs!AM$10*0.086/tech_proj!AU202/(1-tech_proj!AU482))</f>
        <v>26.092761829046641</v>
      </c>
      <c r="AV2102" s="119">
        <f>IF(tech_base!$T78&gt;AV$2025,"",fuel_costs!AN$10*0.086/tech_proj!AV202/(1-tech_proj!AV482))</f>
        <v>26.1952143392562</v>
      </c>
      <c r="AW2102" s="119">
        <f>IF(tech_base!$T78&gt;AW$2025,"",fuel_costs!AO$10*0.086/tech_proj!AW202/(1-tech_proj!AW482))</f>
        <v>26.297670316098149</v>
      </c>
      <c r="AX2102" s="120">
        <f>IF(tech_base!$T78&gt;AX$2025,"",fuel_costs!AP$10*0.086/tech_proj!AX202/(1-tech_proj!AX482))</f>
        <v>26.400129922688105</v>
      </c>
    </row>
    <row r="2103" spans="1:50" x14ac:dyDescent="0.25">
      <c r="A2103" s="356"/>
      <c r="B2103" s="376"/>
      <c r="C2103" s="378"/>
      <c r="D2103" s="2" t="s">
        <v>10</v>
      </c>
      <c r="E2103" s="76" t="str">
        <f>A2071&amp;"/"&amp;B2097&amp;"/"&amp;C2101&amp;"/"&amp;D2103</f>
        <v>Lignite fired power plants/Steam turbine/CHP/S</v>
      </c>
      <c r="F2103" s="76" t="str">
        <f>A2071</f>
        <v>Lignite fired power plants</v>
      </c>
      <c r="G2103" s="76" t="str">
        <f>B2097</f>
        <v>Steam turbine</v>
      </c>
      <c r="H2103" s="76" t="str">
        <f>C2101</f>
        <v>CHP</v>
      </c>
      <c r="I2103" s="76" t="str">
        <f t="shared" si="388"/>
        <v>S</v>
      </c>
      <c r="J2103" s="119">
        <f>IF(tech_base!$T79&gt;J$2025,"",fuel_costs!B$10*0.086/tech_proj!J203/(1-tech_proj!J483))</f>
        <v>24.214220469164971</v>
      </c>
      <c r="K2103" s="119">
        <f>IF(tech_base!$T79&gt;K$2025,"",fuel_costs!C$10*0.086/tech_proj!K203/(1-tech_proj!K483))</f>
        <v>24.231059198071886</v>
      </c>
      <c r="L2103" s="119">
        <f>IF(tech_base!$T79&gt;L$2025,"",fuel_costs!D$10*0.086/tech_proj!L203/(1-tech_proj!L483))</f>
        <v>24.247902939749874</v>
      </c>
      <c r="M2103" s="119">
        <f>IF(tech_base!$T79&gt;M$2025,"",fuel_costs!E$10*0.086/tech_proj!M203/(1-tech_proj!M483))</f>
        <v>24.26475183115252</v>
      </c>
      <c r="N2103" s="119">
        <f>IF(tech_base!$T79&gt;N$2025,"",fuel_costs!F$10*0.086/tech_proj!N203/(1-tech_proj!N483))</f>
        <v>24.281606004898471</v>
      </c>
      <c r="O2103" s="119">
        <f>IF(tech_base!$T79&gt;O$2025,"",fuel_costs!G$10*0.086/tech_proj!O203/(1-tech_proj!O483))</f>
        <v>24.298465589240198</v>
      </c>
      <c r="P2103" s="119">
        <f>IF(tech_base!$T79&gt;P$2025,"",fuel_costs!H$10*0.086/tech_proj!P203/(1-tech_proj!P483))</f>
        <v>24.394771245541079</v>
      </c>
      <c r="Q2103" s="119">
        <f>IF(tech_base!$T79&gt;Q$2025,"",fuel_costs!I$10*0.086/tech_proj!Q203/(1-tech_proj!Q483))</f>
        <v>24.491076816293642</v>
      </c>
      <c r="R2103" s="119">
        <f>IF(tech_base!$T79&gt;R$2025,"",fuel_costs!J$10*0.086/tech_proj!R203/(1-tech_proj!R483))</f>
        <v>24.587382485533276</v>
      </c>
      <c r="S2103" s="119">
        <f>IF(tech_base!$T79&gt;S$2025,"",fuel_costs!K$10*0.086/tech_proj!S203/(1-tech_proj!S483))</f>
        <v>24.683688434102354</v>
      </c>
      <c r="T2103" s="119">
        <f>IF(tech_base!$T79&gt;T$2025,"",fuel_costs!L$10*0.086/tech_proj!T203/(1-tech_proj!T483))</f>
        <v>24.779994839570175</v>
      </c>
      <c r="U2103" s="119">
        <f>IF(tech_base!$T79&gt;U$2025,"",fuel_costs!M$10*0.086/tech_proj!U203/(1-tech_proj!U483))</f>
        <v>24.878245337242664</v>
      </c>
      <c r="V2103" s="119">
        <f>IF(tech_base!$T79&gt;V$2025,"",fuel_costs!N$10*0.086/tech_proj!V203/(1-tech_proj!V483))</f>
        <v>24.976496502177305</v>
      </c>
      <c r="W2103" s="119">
        <f>IF(tech_base!$T79&gt;W$2025,"",fuel_costs!O$10*0.086/tech_proj!W203/(1-tech_proj!W483))</f>
        <v>25.074748503491232</v>
      </c>
      <c r="X2103" s="119">
        <f>IF(tech_base!$T79&gt;X$2025,"",fuel_costs!P$10*0.086/tech_proj!X203/(1-tech_proj!X483))</f>
        <v>25.173001506787013</v>
      </c>
      <c r="Y2103" s="119">
        <f>IF(tech_base!$T79&gt;Y$2025,"",fuel_costs!Q$10*0.086/tech_proj!Y203/(1-tech_proj!Y483))</f>
        <v>25.271255674098477</v>
      </c>
      <c r="Z2103" s="119">
        <f>IF(tech_base!$T79&gt;Z$2025,"",fuel_costs!R$10*0.086/tech_proj!Z203/(1-tech_proj!Z483))</f>
        <v>25.371493156901529</v>
      </c>
      <c r="AA2103" s="119">
        <f>IF(tech_base!$T79&gt;AA$2025,"",fuel_costs!S$10*0.086/tech_proj!AA203/(1-tech_proj!AA483))</f>
        <v>25.471731985734202</v>
      </c>
      <c r="AB2103" s="119">
        <f>IF(tech_base!$T79&gt;AB$2025,"",fuel_costs!T$10*0.086/tech_proj!AB203/(1-tech_proj!AB483))</f>
        <v>25.571972313555861</v>
      </c>
      <c r="AC2103" s="119">
        <f>IF(tech_base!$T79&gt;AC$2025,"",fuel_costs!U$10*0.086/tech_proj!AC203/(1-tech_proj!AC483))</f>
        <v>25.672214289609318</v>
      </c>
      <c r="AD2103" s="119">
        <f>IF(tech_base!$T79&gt;AD$2025,"",fuel_costs!V$10*0.086/tech_proj!AD203/(1-tech_proj!AD483))</f>
        <v>25.772458059390907</v>
      </c>
      <c r="AE2103" s="119">
        <f>IF(tech_base!$T79&gt;AE$2025,"",fuel_costs!W$10*0.086/tech_proj!AE203/(1-tech_proj!AE483))</f>
        <v>25.874725069607095</v>
      </c>
      <c r="AF2103" s="119">
        <f>IF(tech_base!$T79&gt;AF$2025,"",fuel_costs!X$10*0.086/tech_proj!AF203/(1-tech_proj!AF483))</f>
        <v>25.976994025976794</v>
      </c>
      <c r="AG2103" s="119">
        <f>IF(tech_base!$T79&gt;AG$2025,"",fuel_costs!Y$10*0.086/tech_proj!AG203/(1-tech_proj!AG483))</f>
        <v>26.079265064619058</v>
      </c>
      <c r="AH2103" s="119">
        <f>IF(tech_base!$T79&gt;AH$2025,"",fuel_costs!Z$10*0.086/tech_proj!AH203/(1-tech_proj!AH483))</f>
        <v>26.181538317844556</v>
      </c>
      <c r="AI2103" s="119">
        <f>IF(tech_base!$T79&gt;AI$2025,"",fuel_costs!AA$10*0.086/tech_proj!AI203/(1-tech_proj!AI483))</f>
        <v>26.283813914147558</v>
      </c>
      <c r="AJ2103" s="119">
        <f>IF(tech_base!$T79&gt;AJ$2025,"",fuel_costs!AB$10*0.086/tech_proj!AJ203/(1-tech_proj!AJ483))</f>
        <v>26.388153391638106</v>
      </c>
      <c r="AK2103" s="119">
        <f>IF(tech_base!$T79&gt;AK$2025,"",fuel_costs!AC$10*0.086/tech_proj!AK203/(1-tech_proj!AK483))</f>
        <v>26.492495334775018</v>
      </c>
      <c r="AL2103" s="119">
        <f>IF(tech_base!$T79&gt;AL$2025,"",fuel_costs!AD$10*0.086/tech_proj!AL203/(1-tech_proj!AL483))</f>
        <v>26.596839862657333</v>
      </c>
      <c r="AM2103" s="119">
        <f>IF(tech_base!$T79&gt;AM$2025,"",fuel_costs!AE$10*0.086/tech_proj!AM203/(1-tech_proj!AM483))</f>
        <v>26.701187090581172</v>
      </c>
      <c r="AN2103" s="119">
        <f>IF(tech_base!$T79&gt;AN$2025,"",fuel_costs!AF$10*0.086/tech_proj!AN203/(1-tech_proj!AN483))</f>
        <v>26.80553713005072</v>
      </c>
      <c r="AO2103" s="119">
        <f>IF(tech_base!$T79&gt;AO$2025,"",fuel_costs!AG$10*0.086/tech_proj!AO203/(1-tech_proj!AO483))</f>
        <v>26.91199242395604</v>
      </c>
      <c r="AP2103" s="119">
        <f>IF(tech_base!$T79&gt;AP$2025,"",fuel_costs!AH$10*0.086/tech_proj!AP203/(1-tech_proj!AP483))</f>
        <v>27.018450622693017</v>
      </c>
      <c r="AQ2103" s="119">
        <f>IF(tech_base!$T79&gt;AQ$2025,"",fuel_costs!AI$10*0.086/tech_proj!AQ203/(1-tech_proj!AQ483))</f>
        <v>27.124911828595291</v>
      </c>
      <c r="AR2103" s="119">
        <f>IF(tech_base!$T79&gt;AR$2025,"",fuel_costs!AJ$10*0.086/tech_proj!AR203/(1-tech_proj!AR483))</f>
        <v>27.231376140281327</v>
      </c>
      <c r="AS2103" s="119">
        <f>IF(tech_base!$T79&gt;AS$2025,"",fuel_costs!AK$10*0.086/tech_proj!AS203/(1-tech_proj!AS483))</f>
        <v>27.337843652681116</v>
      </c>
      <c r="AT2103" s="119">
        <f>IF(tech_base!$T79&gt;AT$2025,"",fuel_costs!AL$10*0.086/tech_proj!AT203/(1-tech_proj!AT483))</f>
        <v>27.446458544132785</v>
      </c>
      <c r="AU2103" s="119">
        <f>IF(tech_base!$T79&gt;AU$2025,"",fuel_costs!AM$10*0.086/tech_proj!AU203/(1-tech_proj!AU483))</f>
        <v>27.555076701569266</v>
      </c>
      <c r="AV2103" s="119">
        <f>IF(tech_base!$T79&gt;AV$2025,"",fuel_costs!AN$10*0.086/tech_proj!AV203/(1-tech_proj!AV483))</f>
        <v>27.663698211171493</v>
      </c>
      <c r="AW2103" s="119">
        <f>IF(tech_base!$T79&gt;AW$2025,"",fuel_costs!AO$10*0.086/tech_proj!AW203/(1-tech_proj!AW483))</f>
        <v>27.772323155559288</v>
      </c>
      <c r="AX2103" s="120">
        <f>IF(tech_base!$T79&gt;AX$2025,"",fuel_costs!AP$10*0.086/tech_proj!AX203/(1-tech_proj!AX483))</f>
        <v>27.880951613830455</v>
      </c>
    </row>
    <row r="2104" spans="1:50" x14ac:dyDescent="0.25">
      <c r="A2104" s="356"/>
      <c r="B2104" s="376"/>
      <c r="C2104" s="379"/>
      <c r="D2104" s="59" t="s">
        <v>20</v>
      </c>
      <c r="E2104" s="79" t="str">
        <f>A2071&amp;"/"&amp;B2097&amp;"/"&amp;C2101&amp;"/"&amp;D2104</f>
        <v>Lignite fired power plants/Steam turbine/CHP/XS</v>
      </c>
      <c r="F2104" s="79" t="str">
        <f>A2071</f>
        <v>Lignite fired power plants</v>
      </c>
      <c r="G2104" s="79" t="str">
        <f>B2097</f>
        <v>Steam turbine</v>
      </c>
      <c r="H2104" s="79" t="str">
        <f>C2101</f>
        <v>CHP</v>
      </c>
      <c r="I2104" s="79" t="str">
        <f t="shared" si="388"/>
        <v>XS</v>
      </c>
      <c r="J2104" s="125">
        <f>IF(tech_base!$T80&gt;J$2025,"",fuel_costs!B$10*0.086/tech_proj!J204/(1-tech_proj!J484))</f>
        <v>25.56225735858537</v>
      </c>
      <c r="K2104" s="125">
        <f>IF(tech_base!$T80&gt;K$2025,"",fuel_costs!C$10*0.086/tech_proj!K204/(1-tech_proj!K484))</f>
        <v>25.580405347663866</v>
      </c>
      <c r="L2104" s="125">
        <f>IF(tech_base!$T80&gt;L$2025,"",fuel_costs!D$10*0.086/tech_proj!L204/(1-tech_proj!L484))</f>
        <v>25.598558159973216</v>
      </c>
      <c r="M2104" s="125">
        <f>IF(tech_base!$T80&gt;M$2025,"",fuel_costs!E$10*0.086/tech_proj!M204/(1-tech_proj!M484))</f>
        <v>25.616715845324496</v>
      </c>
      <c r="N2104" s="125">
        <f>IF(tech_base!$T80&gt;N$2025,"",fuel_costs!F$10*0.086/tech_proj!N204/(1-tech_proj!N484))</f>
        <v>25.634878450513298</v>
      </c>
      <c r="O2104" s="125">
        <f>IF(tech_base!$T80&gt;O$2025,"",fuel_costs!G$10*0.086/tech_proj!O204/(1-tech_proj!O484))</f>
        <v>25.653046019349169</v>
      </c>
      <c r="P2104" s="125">
        <f>IF(tech_base!$T80&gt;P$2025,"",fuel_costs!H$10*0.086/tech_proj!P204/(1-tech_proj!P484))</f>
        <v>25.755088947067545</v>
      </c>
      <c r="Q2104" s="125">
        <f>IF(tech_base!$T80&gt;Q$2025,"",fuel_costs!I$10*0.086/tech_proj!Q204/(1-tech_proj!Q484))</f>
        <v>25.857133248039126</v>
      </c>
      <c r="R2104" s="125">
        <f>IF(tech_base!$T80&gt;R$2025,"",fuel_costs!J$10*0.086/tech_proj!R204/(1-tech_proj!R484))</f>
        <v>25.959179015033872</v>
      </c>
      <c r="S2104" s="125">
        <f>IF(tech_base!$T80&gt;S$2025,"",fuel_costs!K$10*0.086/tech_proj!S204/(1-tech_proj!S484))</f>
        <v>26.061226338229467</v>
      </c>
      <c r="T2104" s="125">
        <f>IF(tech_base!$T80&gt;T$2025,"",fuel_costs!L$10*0.086/tech_proj!T204/(1-tech_proj!T484))</f>
        <v>26.163275305205655</v>
      </c>
      <c r="U2104" s="125">
        <f>IF(tech_base!$T80&gt;U$2025,"",fuel_costs!M$10*0.086/tech_proj!U204/(1-tech_proj!U484))</f>
        <v>26.26737797953534</v>
      </c>
      <c r="V2104" s="125">
        <f>IF(tech_base!$T80&gt;V$2025,"",fuel_costs!N$10*0.086/tech_proj!V204/(1-tech_proj!V484))</f>
        <v>26.37148237995687</v>
      </c>
      <c r="W2104" s="125">
        <f>IF(tech_base!$T80&gt;W$2025,"",fuel_costs!O$10*0.086/tech_proj!W204/(1-tech_proj!W484))</f>
        <v>26.475588587679784</v>
      </c>
      <c r="X2104" s="125">
        <f>IF(tech_base!$T80&gt;X$2025,"",fuel_costs!P$10*0.086/tech_proj!X204/(1-tech_proj!X484))</f>
        <v>26.57969668132333</v>
      </c>
      <c r="Y2104" s="125">
        <f>IF(tech_base!$T80&gt;Y$2025,"",fuel_costs!Q$10*0.086/tech_proj!Y204/(1-tech_proj!Y484))</f>
        <v>26.683806736923611</v>
      </c>
      <c r="Z2104" s="125">
        <f>IF(tech_base!$T80&gt;Z$2025,"",fuel_costs!R$10*0.086/tech_proj!Z204/(1-tech_proj!Z484))</f>
        <v>26.790011634101639</v>
      </c>
      <c r="AA2104" s="125">
        <f>IF(tech_base!$T80&gt;AA$2025,"",fuel_costs!S$10*0.086/tech_proj!AA204/(1-tech_proj!AA484))</f>
        <v>26.896218555715222</v>
      </c>
      <c r="AB2104" s="125">
        <f>IF(tech_base!$T80&gt;AB$2025,"",fuel_costs!T$10*0.086/tech_proj!AB204/(1-tech_proj!AB484))</f>
        <v>27.002427571576362</v>
      </c>
      <c r="AC2104" s="125">
        <f>IF(tech_base!$T80&gt;AC$2025,"",fuel_costs!U$10*0.086/tech_proj!AC204/(1-tech_proj!AC484))</f>
        <v>27.108638748964403</v>
      </c>
      <c r="AD2104" s="125">
        <f>IF(tech_base!$T80&gt;AD$2025,"",fuel_costs!V$10*0.086/tech_proj!AD204/(1-tech_proj!AD484))</f>
        <v>27.214852152643907</v>
      </c>
      <c r="AE2104" s="125">
        <f>IF(tech_base!$T80&gt;AE$2025,"",fuel_costs!W$10*0.086/tech_proj!AE204/(1-tech_proj!AE484))</f>
        <v>27.323202303309856</v>
      </c>
      <c r="AF2104" s="125">
        <f>IF(tech_base!$T80&gt;AF$2025,"",fuel_costs!X$10*0.086/tech_proj!AF204/(1-tech_proj!AF484))</f>
        <v>27.431554723752658</v>
      </c>
      <c r="AG2104" s="125">
        <f>IF(tech_base!$T80&gt;AG$2025,"",fuel_costs!Y$10*0.086/tech_proj!AG204/(1-tech_proj!AG484))</f>
        <v>27.539909472792523</v>
      </c>
      <c r="AH2104" s="125">
        <f>IF(tech_base!$T80&gt;AH$2025,"",fuel_costs!Z$10*0.086/tech_proj!AH204/(1-tech_proj!AH484))</f>
        <v>27.648266606819782</v>
      </c>
      <c r="AI2104" s="125">
        <f>IF(tech_base!$T80&gt;AI$2025,"",fuel_costs!AA$10*0.086/tech_proj!AI204/(1-tech_proj!AI484))</f>
        <v>27.756626179821236</v>
      </c>
      <c r="AJ2104" s="125">
        <f>IF(tech_base!$T80&gt;AJ$2025,"",fuel_costs!AB$10*0.086/tech_proj!AJ204/(1-tech_proj!AJ484))</f>
        <v>27.867165195614536</v>
      </c>
      <c r="AK2104" s="125">
        <f>IF(tech_base!$T80&gt;AK$2025,"",fuel_costs!AC$10*0.086/tech_proj!AK204/(1-tech_proj!AK484))</f>
        <v>27.977706676081809</v>
      </c>
      <c r="AL2104" s="125">
        <f>IF(tech_base!$T80&gt;AL$2025,"",fuel_costs!AD$10*0.086/tech_proj!AL204/(1-tech_proj!AL484))</f>
        <v>28.088250669648058</v>
      </c>
      <c r="AM2104" s="125">
        <f>IF(tech_base!$T80&gt;AM$2025,"",fuel_costs!AE$10*0.086/tech_proj!AM204/(1-tech_proj!AM484))</f>
        <v>28.19879722244584</v>
      </c>
      <c r="AN2104" s="125">
        <f>IF(tech_base!$T80&gt;AN$2025,"",fuel_costs!AF$10*0.086/tech_proj!AN204/(1-tech_proj!AN484))</f>
        <v>28.309346378347886</v>
      </c>
      <c r="AO2104" s="125">
        <f>IF(tech_base!$T80&gt;AO$2025,"",fuel_costs!AG$10*0.086/tech_proj!AO204/(1-tech_proj!AO484))</f>
        <v>28.422118483546093</v>
      </c>
      <c r="AP2104" s="125">
        <f>IF(tech_base!$T80&gt;AP$2025,"",fuel_costs!AH$10*0.086/tech_proj!AP204/(1-tech_proj!AP484))</f>
        <v>28.534893201239782</v>
      </c>
      <c r="AQ2104" s="125">
        <f>IF(tech_base!$T80&gt;AQ$2025,"",fuel_costs!AI$10*0.086/tech_proj!AQ204/(1-tech_proj!AQ484))</f>
        <v>28.647670570195789</v>
      </c>
      <c r="AR2104" s="125">
        <f>IF(tech_base!$T80&gt;AR$2025,"",fuel_costs!AJ$10*0.086/tech_proj!AR204/(1-tech_proj!AR484))</f>
        <v>28.760450627050471</v>
      </c>
      <c r="AS2104" s="125">
        <f>IF(tech_base!$T80&gt;AS$2025,"",fuel_costs!AK$10*0.086/tech_proj!AS204/(1-tech_proj!AS484))</f>
        <v>28.873233406346746</v>
      </c>
      <c r="AT2104" s="125">
        <f>IF(tech_base!$T80&gt;AT$2025,"",fuel_costs!AL$10*0.086/tech_proj!AT204/(1-tech_proj!AT484))</f>
        <v>28.988283473301514</v>
      </c>
      <c r="AU2104" s="125">
        <f>IF(tech_base!$T80&gt;AU$2025,"",fuel_costs!AM$10*0.086/tech_proj!AU204/(1-tech_proj!AU484))</f>
        <v>29.103336257434385</v>
      </c>
      <c r="AV2104" s="125">
        <f>IF(tech_base!$T80&gt;AV$2025,"",fuel_costs!AN$10*0.086/tech_proj!AV204/(1-tech_proj!AV484))</f>
        <v>29.218391788684649</v>
      </c>
      <c r="AW2104" s="125">
        <f>IF(tech_base!$T80&gt;AW$2025,"",fuel_costs!AO$10*0.086/tech_proj!AW204/(1-tech_proj!AW484))</f>
        <v>29.333450095038764</v>
      </c>
      <c r="AX2104" s="126">
        <f>IF(tech_base!$T80&gt;AX$2025,"",fuel_costs!AP$10*0.086/tech_proj!AX204/(1-tech_proj!AX484))</f>
        <v>29.448511202569936</v>
      </c>
    </row>
    <row r="2105" spans="1:50" x14ac:dyDescent="0.25">
      <c r="A2105" s="356"/>
      <c r="B2105" s="376"/>
      <c r="C2105" s="361" t="s">
        <v>15</v>
      </c>
      <c r="D2105" s="58" t="s">
        <v>7</v>
      </c>
      <c r="E2105" s="78" t="str">
        <f>A2071&amp;"/"&amp;B2097&amp;"/"&amp;C2105&amp;"/"&amp;D2105</f>
        <v>Lignite fired power plants/Steam turbine/Electricity only with CCS/L</v>
      </c>
      <c r="F2105" s="78" t="str">
        <f>A2071</f>
        <v>Lignite fired power plants</v>
      </c>
      <c r="G2105" s="78" t="str">
        <f>B2097</f>
        <v>Steam turbine</v>
      </c>
      <c r="H2105" s="78" t="str">
        <f>C2105</f>
        <v>Electricity only with CCS</v>
      </c>
      <c r="I2105" s="78" t="str">
        <f t="shared" si="388"/>
        <v>L</v>
      </c>
      <c r="J2105" s="123" t="str">
        <f>IF(tech_base!$T81&gt;J$2025,"",fuel_costs!B$10*0.086/tech_proj!J205/(1-tech_proj!J485))</f>
        <v/>
      </c>
      <c r="K2105" s="123" t="str">
        <f>IF(tech_base!$T81&gt;K$2025,"",fuel_costs!C$10*0.086/tech_proj!K205/(1-tech_proj!K485))</f>
        <v/>
      </c>
      <c r="L2105" s="123" t="str">
        <f>IF(tech_base!$T81&gt;L$2025,"",fuel_costs!D$10*0.086/tech_proj!L205/(1-tech_proj!L485))</f>
        <v/>
      </c>
      <c r="M2105" s="123" t="str">
        <f>IF(tech_base!$T81&gt;M$2025,"",fuel_costs!E$10*0.086/tech_proj!M205/(1-tech_proj!M485))</f>
        <v/>
      </c>
      <c r="N2105" s="123" t="str">
        <f>IF(tech_base!$T81&gt;N$2025,"",fuel_costs!F$10*0.086/tech_proj!N205/(1-tech_proj!N485))</f>
        <v/>
      </c>
      <c r="O2105" s="123" t="str">
        <f>IF(tech_base!$T81&gt;O$2025,"",fuel_costs!G$10*0.086/tech_proj!O205/(1-tech_proj!O485))</f>
        <v/>
      </c>
      <c r="P2105" s="123" t="str">
        <f>IF(tech_base!$T81&gt;P$2025,"",fuel_costs!H$10*0.086/tech_proj!P205/(1-tech_proj!P485))</f>
        <v/>
      </c>
      <c r="Q2105" s="123" t="str">
        <f>IF(tech_base!$T81&gt;Q$2025,"",fuel_costs!I$10*0.086/tech_proj!Q205/(1-tech_proj!Q485))</f>
        <v/>
      </c>
      <c r="R2105" s="123" t="str">
        <f>IF(tech_base!$T81&gt;R$2025,"",fuel_costs!J$10*0.086/tech_proj!R205/(1-tech_proj!R485))</f>
        <v/>
      </c>
      <c r="S2105" s="123" t="str">
        <f>IF(tech_base!$T81&gt;S$2025,"",fuel_costs!K$10*0.086/tech_proj!S205/(1-tech_proj!S485))</f>
        <v/>
      </c>
      <c r="T2105" s="123" t="str">
        <f>IF(tech_base!$T81&gt;T$2025,"",fuel_costs!L$10*0.086/tech_proj!T205/(1-tech_proj!T485))</f>
        <v/>
      </c>
      <c r="U2105" s="123" t="str">
        <f>IF(tech_base!$T81&gt;U$2025,"",fuel_costs!M$10*0.086/tech_proj!U205/(1-tech_proj!U485))</f>
        <v/>
      </c>
      <c r="V2105" s="123" t="str">
        <f>IF(tech_base!$T81&gt;V$2025,"",fuel_costs!N$10*0.086/tech_proj!V205/(1-tech_proj!V485))</f>
        <v/>
      </c>
      <c r="W2105" s="123" t="str">
        <f>IF(tech_base!$T81&gt;W$2025,"",fuel_costs!O$10*0.086/tech_proj!W205/(1-tech_proj!W485))</f>
        <v/>
      </c>
      <c r="X2105" s="123" t="str">
        <f>IF(tech_base!$T81&gt;X$2025,"",fuel_costs!P$10*0.086/tech_proj!X205/(1-tech_proj!X485))</f>
        <v/>
      </c>
      <c r="Y2105" s="123" t="str">
        <f>IF(tech_base!$T81&gt;Y$2025,"",fuel_costs!Q$10*0.086/tech_proj!Y205/(1-tech_proj!Y485))</f>
        <v/>
      </c>
      <c r="Z2105" s="123" t="str">
        <f>IF(tech_base!$T81&gt;Z$2025,"",fuel_costs!R$10*0.086/tech_proj!Z205/(1-tech_proj!Z485))</f>
        <v/>
      </c>
      <c r="AA2105" s="123" t="str">
        <f>IF(tech_base!$T81&gt;AA$2025,"",fuel_costs!S$10*0.086/tech_proj!AA205/(1-tech_proj!AA485))</f>
        <v/>
      </c>
      <c r="AB2105" s="123" t="str">
        <f>IF(tech_base!$T81&gt;AB$2025,"",fuel_costs!T$10*0.086/tech_proj!AB205/(1-tech_proj!AB485))</f>
        <v/>
      </c>
      <c r="AC2105" s="123" t="str">
        <f>IF(tech_base!$T81&gt;AC$2025,"",fuel_costs!U$10*0.086/tech_proj!AC205/(1-tech_proj!AC485))</f>
        <v/>
      </c>
      <c r="AD2105" s="123" t="str">
        <f>IF(tech_base!$T81&gt;AD$2025,"",fuel_costs!V$10*0.086/tech_proj!AD205/(1-tech_proj!AD485))</f>
        <v/>
      </c>
      <c r="AE2105" s="123">
        <f>IF(tech_base!$T81&gt;AE$2025,"",fuel_costs!W$10*0.086/tech_proj!AE205/(1-tech_proj!AE485))</f>
        <v>28.91958311733547</v>
      </c>
      <c r="AF2105" s="123">
        <f>IF(tech_base!$T81&gt;AF$2025,"",fuel_costs!X$10*0.086/tech_proj!AF205/(1-tech_proj!AF485))</f>
        <v>29.034800579954336</v>
      </c>
      <c r="AG2105" s="123">
        <f>IF(tech_base!$T81&gt;AG$2025,"",fuel_costs!Y$10*0.086/tech_proj!AG205/(1-tech_proj!AG485))</f>
        <v>29.150018042573205</v>
      </c>
      <c r="AH2105" s="123">
        <f>IF(tech_base!$T81&gt;AH$2025,"",fuel_costs!Z$10*0.086/tech_proj!AH205/(1-tech_proj!AH485))</f>
        <v>29.265235505192074</v>
      </c>
      <c r="AI2105" s="123">
        <f>IF(tech_base!$T81&gt;AI$2025,"",fuel_costs!AA$10*0.086/tech_proj!AI205/(1-tech_proj!AI485))</f>
        <v>29.380452967810939</v>
      </c>
      <c r="AJ2105" s="123">
        <f>IF(tech_base!$T81&gt;AJ$2025,"",fuel_costs!AB$10*0.086/tech_proj!AJ205/(1-tech_proj!AJ485))</f>
        <v>29.497974779682178</v>
      </c>
      <c r="AK2105" s="123">
        <f>IF(tech_base!$T81&gt;AK$2025,"",fuel_costs!AC$10*0.086/tech_proj!AK205/(1-tech_proj!AK485))</f>
        <v>29.615496591553423</v>
      </c>
      <c r="AL2105" s="123">
        <f>IF(tech_base!$T81&gt;AL$2025,"",fuel_costs!AD$10*0.086/tech_proj!AL205/(1-tech_proj!AL485))</f>
        <v>29.733018403424673</v>
      </c>
      <c r="AM2105" s="123">
        <f>IF(tech_base!$T81&gt;AM$2025,"",fuel_costs!AE$10*0.086/tech_proj!AM205/(1-tech_proj!AM485))</f>
        <v>29.850540215295915</v>
      </c>
      <c r="AN2105" s="123">
        <f>IF(tech_base!$T81&gt;AN$2025,"",fuel_costs!AF$10*0.086/tech_proj!AN205/(1-tech_proj!AN485))</f>
        <v>29.968062027167161</v>
      </c>
      <c r="AO2105" s="123">
        <f>IF(tech_base!$T81&gt;AO$2025,"",fuel_costs!AG$10*0.086/tech_proj!AO205/(1-tech_proj!AO485))</f>
        <v>30.087934275275828</v>
      </c>
      <c r="AP2105" s="123">
        <f>IF(tech_base!$T81&gt;AP$2025,"",fuel_costs!AH$10*0.086/tech_proj!AP205/(1-tech_proj!AP485))</f>
        <v>30.207806523384495</v>
      </c>
      <c r="AQ2105" s="123">
        <f>IF(tech_base!$T81&gt;AQ$2025,"",fuel_costs!AI$10*0.086/tech_proj!AQ205/(1-tech_proj!AQ485))</f>
        <v>30.327678771493165</v>
      </c>
      <c r="AR2105" s="123">
        <f>IF(tech_base!$T81&gt;AR$2025,"",fuel_costs!AJ$10*0.086/tech_proj!AR205/(1-tech_proj!AR485))</f>
        <v>30.447551019601832</v>
      </c>
      <c r="AS2105" s="123">
        <f>IF(tech_base!$T81&gt;AS$2025,"",fuel_costs!AK$10*0.086/tech_proj!AS205/(1-tech_proj!AS485))</f>
        <v>30.567423267710502</v>
      </c>
      <c r="AT2105" s="123">
        <f>IF(tech_base!$T81&gt;AT$2025,"",fuel_costs!AL$10*0.086/tech_proj!AT205/(1-tech_proj!AT485))</f>
        <v>30.689692960781343</v>
      </c>
      <c r="AU2105" s="123">
        <f>IF(tech_base!$T81&gt;AU$2025,"",fuel_costs!AM$10*0.086/tech_proj!AU205/(1-tech_proj!AU485))</f>
        <v>30.811962653852181</v>
      </c>
      <c r="AV2105" s="123">
        <f>IF(tech_base!$T81&gt;AV$2025,"",fuel_costs!AN$10*0.086/tech_proj!AV205/(1-tech_proj!AV485))</f>
        <v>30.934232346923029</v>
      </c>
      <c r="AW2105" s="123">
        <f>IF(tech_base!$T81&gt;AW$2025,"",fuel_costs!AO$10*0.086/tech_proj!AW205/(1-tech_proj!AW485))</f>
        <v>31.05650203999387</v>
      </c>
      <c r="AX2105" s="124">
        <f>IF(tech_base!$T81&gt;AX$2025,"",fuel_costs!AP$10*0.086/tech_proj!AX205/(1-tech_proj!AX485))</f>
        <v>31.178771733064711</v>
      </c>
    </row>
    <row r="2106" spans="1:50" x14ac:dyDescent="0.25">
      <c r="A2106" s="356"/>
      <c r="B2106" s="376"/>
      <c r="C2106" s="379"/>
      <c r="D2106" s="59" t="s">
        <v>8</v>
      </c>
      <c r="E2106" s="79" t="str">
        <f>A2071&amp;"/"&amp;B2097&amp;"/"&amp;C2105&amp;"/"&amp;D2106</f>
        <v>Lignite fired power plants/Steam turbine/Electricity only with CCS/M</v>
      </c>
      <c r="F2106" s="79" t="str">
        <f>A2071</f>
        <v>Lignite fired power plants</v>
      </c>
      <c r="G2106" s="79" t="str">
        <f>B2097</f>
        <v>Steam turbine</v>
      </c>
      <c r="H2106" s="79" t="str">
        <f>C2105</f>
        <v>Electricity only with CCS</v>
      </c>
      <c r="I2106" s="79" t="str">
        <f t="shared" si="388"/>
        <v>M</v>
      </c>
      <c r="J2106" s="125" t="str">
        <f>IF(tech_base!$T82&gt;J$2025,"",fuel_costs!B$10*0.086/tech_proj!J206/(1-tech_proj!J486))</f>
        <v/>
      </c>
      <c r="K2106" s="125" t="str">
        <f>IF(tech_base!$T82&gt;K$2025,"",fuel_costs!C$10*0.086/tech_proj!K206/(1-tech_proj!K486))</f>
        <v/>
      </c>
      <c r="L2106" s="125" t="str">
        <f>IF(tech_base!$T82&gt;L$2025,"",fuel_costs!D$10*0.086/tech_proj!L206/(1-tech_proj!L486))</f>
        <v/>
      </c>
      <c r="M2106" s="125" t="str">
        <f>IF(tech_base!$T82&gt;M$2025,"",fuel_costs!E$10*0.086/tech_proj!M206/(1-tech_proj!M486))</f>
        <v/>
      </c>
      <c r="N2106" s="125" t="str">
        <f>IF(tech_base!$T82&gt;N$2025,"",fuel_costs!F$10*0.086/tech_proj!N206/(1-tech_proj!N486))</f>
        <v/>
      </c>
      <c r="O2106" s="125" t="str">
        <f>IF(tech_base!$T82&gt;O$2025,"",fuel_costs!G$10*0.086/tech_proj!O206/(1-tech_proj!O486))</f>
        <v/>
      </c>
      <c r="P2106" s="125" t="str">
        <f>IF(tech_base!$T82&gt;P$2025,"",fuel_costs!H$10*0.086/tech_proj!P206/(1-tech_proj!P486))</f>
        <v/>
      </c>
      <c r="Q2106" s="125" t="str">
        <f>IF(tech_base!$T82&gt;Q$2025,"",fuel_costs!I$10*0.086/tech_proj!Q206/(1-tech_proj!Q486))</f>
        <v/>
      </c>
      <c r="R2106" s="125" t="str">
        <f>IF(tech_base!$T82&gt;R$2025,"",fuel_costs!J$10*0.086/tech_proj!R206/(1-tech_proj!R486))</f>
        <v/>
      </c>
      <c r="S2106" s="125" t="str">
        <f>IF(tech_base!$T82&gt;S$2025,"",fuel_costs!K$10*0.086/tech_proj!S206/(1-tech_proj!S486))</f>
        <v/>
      </c>
      <c r="T2106" s="125" t="str">
        <f>IF(tech_base!$T82&gt;T$2025,"",fuel_costs!L$10*0.086/tech_proj!T206/(1-tech_proj!T486))</f>
        <v/>
      </c>
      <c r="U2106" s="125" t="str">
        <f>IF(tech_base!$T82&gt;U$2025,"",fuel_costs!M$10*0.086/tech_proj!U206/(1-tech_proj!U486))</f>
        <v/>
      </c>
      <c r="V2106" s="125" t="str">
        <f>IF(tech_base!$T82&gt;V$2025,"",fuel_costs!N$10*0.086/tech_proj!V206/(1-tech_proj!V486))</f>
        <v/>
      </c>
      <c r="W2106" s="125" t="str">
        <f>IF(tech_base!$T82&gt;W$2025,"",fuel_costs!O$10*0.086/tech_proj!W206/(1-tech_proj!W486))</f>
        <v/>
      </c>
      <c r="X2106" s="125" t="str">
        <f>IF(tech_base!$T82&gt;X$2025,"",fuel_costs!P$10*0.086/tech_proj!X206/(1-tech_proj!X486))</f>
        <v/>
      </c>
      <c r="Y2106" s="125" t="str">
        <f>IF(tech_base!$T82&gt;Y$2025,"",fuel_costs!Q$10*0.086/tech_proj!Y206/(1-tech_proj!Y486))</f>
        <v/>
      </c>
      <c r="Z2106" s="125" t="str">
        <f>IF(tech_base!$T82&gt;Z$2025,"",fuel_costs!R$10*0.086/tech_proj!Z206/(1-tech_proj!Z486))</f>
        <v/>
      </c>
      <c r="AA2106" s="125" t="str">
        <f>IF(tech_base!$T82&gt;AA$2025,"",fuel_costs!S$10*0.086/tech_proj!AA206/(1-tech_proj!AA486))</f>
        <v/>
      </c>
      <c r="AB2106" s="125" t="str">
        <f>IF(tech_base!$T82&gt;AB$2025,"",fuel_costs!T$10*0.086/tech_proj!AB206/(1-tech_proj!AB486))</f>
        <v/>
      </c>
      <c r="AC2106" s="125" t="str">
        <f>IF(tech_base!$T82&gt;AC$2025,"",fuel_costs!U$10*0.086/tech_proj!AC206/(1-tech_proj!AC486))</f>
        <v/>
      </c>
      <c r="AD2106" s="125" t="str">
        <f>IF(tech_base!$T82&gt;AD$2025,"",fuel_costs!V$10*0.086/tech_proj!AD206/(1-tech_proj!AD486))</f>
        <v/>
      </c>
      <c r="AE2106" s="125">
        <f>IF(tech_base!$T82&gt;AE$2025,"",fuel_costs!W$10*0.086/tech_proj!AE206/(1-tech_proj!AE486))</f>
        <v>31.030501593053391</v>
      </c>
      <c r="AF2106" s="125">
        <f>IF(tech_base!$T82&gt;AF$2025,"",fuel_costs!X$10*0.086/tech_proj!AF206/(1-tech_proj!AF486))</f>
        <v>31.154129089440051</v>
      </c>
      <c r="AG2106" s="125">
        <f>IF(tech_base!$T82&gt;AG$2025,"",fuel_costs!Y$10*0.086/tech_proj!AG206/(1-tech_proj!AG486))</f>
        <v>31.277756585826722</v>
      </c>
      <c r="AH2106" s="125">
        <f>IF(tech_base!$T82&gt;AH$2025,"",fuel_costs!Z$10*0.086/tech_proj!AH206/(1-tech_proj!AH486))</f>
        <v>31.401384082213394</v>
      </c>
      <c r="AI2106" s="125">
        <f>IF(tech_base!$T82&gt;AI$2025,"",fuel_costs!AA$10*0.086/tech_proj!AI206/(1-tech_proj!AI486))</f>
        <v>31.525011578600054</v>
      </c>
      <c r="AJ2106" s="125">
        <f>IF(tech_base!$T82&gt;AJ$2025,"",fuel_costs!AB$10*0.086/tech_proj!AJ206/(1-tech_proj!AJ486))</f>
        <v>31.651111624914453</v>
      </c>
      <c r="AK2106" s="125">
        <f>IF(tech_base!$T82&gt;AK$2025,"",fuel_costs!AC$10*0.086/tech_proj!AK206/(1-tech_proj!AK486))</f>
        <v>31.777211671228855</v>
      </c>
      <c r="AL2106" s="125">
        <f>IF(tech_base!$T82&gt;AL$2025,"",fuel_costs!AD$10*0.086/tech_proj!AL206/(1-tech_proj!AL486))</f>
        <v>31.903311717543261</v>
      </c>
      <c r="AM2106" s="125">
        <f>IF(tech_base!$T82&gt;AM$2025,"",fuel_costs!AE$10*0.086/tech_proj!AM206/(1-tech_proj!AM486))</f>
        <v>32.029411763857652</v>
      </c>
      <c r="AN2106" s="125">
        <f>IF(tech_base!$T82&gt;AN$2025,"",fuel_costs!AF$10*0.086/tech_proj!AN206/(1-tech_proj!AN486))</f>
        <v>32.155511810172058</v>
      </c>
      <c r="AO2106" s="125">
        <f>IF(tech_base!$T82&gt;AO$2025,"",fuel_costs!AG$10*0.086/tech_proj!AO206/(1-tech_proj!AO486))</f>
        <v>32.284133857412748</v>
      </c>
      <c r="AP2106" s="125">
        <f>IF(tech_base!$T82&gt;AP$2025,"",fuel_costs!AH$10*0.086/tech_proj!AP206/(1-tech_proj!AP486))</f>
        <v>32.412755904653437</v>
      </c>
      <c r="AQ2106" s="125">
        <f>IF(tech_base!$T82&gt;AQ$2025,"",fuel_costs!AI$10*0.086/tech_proj!AQ206/(1-tech_proj!AQ486))</f>
        <v>32.541377951894127</v>
      </c>
      <c r="AR2106" s="125">
        <f>IF(tech_base!$T82&gt;AR$2025,"",fuel_costs!AJ$10*0.086/tech_proj!AR206/(1-tech_proj!AR486))</f>
        <v>32.669999999134816</v>
      </c>
      <c r="AS2106" s="125">
        <f>IF(tech_base!$T82&gt;AS$2025,"",fuel_costs!AK$10*0.086/tech_proj!AS206/(1-tech_proj!AS486))</f>
        <v>32.798622046375499</v>
      </c>
      <c r="AT2106" s="125">
        <f>IF(tech_base!$T82&gt;AT$2025,"",fuel_costs!AL$10*0.086/tech_proj!AT206/(1-tech_proj!AT486))</f>
        <v>32.929816534561006</v>
      </c>
      <c r="AU2106" s="125">
        <f>IF(tech_base!$T82&gt;AU$2025,"",fuel_costs!AM$10*0.086/tech_proj!AU206/(1-tech_proj!AU486))</f>
        <v>33.061011022746506</v>
      </c>
      <c r="AV2106" s="125">
        <f>IF(tech_base!$T82&gt;AV$2025,"",fuel_costs!AN$10*0.086/tech_proj!AV206/(1-tech_proj!AV486))</f>
        <v>33.192205510931998</v>
      </c>
      <c r="AW2106" s="125">
        <f>IF(tech_base!$T82&gt;AW$2025,"",fuel_costs!AO$10*0.086/tech_proj!AW206/(1-tech_proj!AW486))</f>
        <v>33.323399999117505</v>
      </c>
      <c r="AX2106" s="126">
        <f>IF(tech_base!$T82&gt;AX$2025,"",fuel_costs!AP$10*0.086/tech_proj!AX206/(1-tech_proj!AX486))</f>
        <v>33.454594487303005</v>
      </c>
    </row>
    <row r="2107" spans="1:50" x14ac:dyDescent="0.25">
      <c r="A2107" s="356"/>
      <c r="B2107" s="376"/>
      <c r="C2107" s="361" t="s">
        <v>16</v>
      </c>
      <c r="D2107" s="2" t="s">
        <v>7</v>
      </c>
      <c r="E2107" s="76" t="str">
        <f>A2071&amp;"/"&amp;B2097&amp;"/"&amp;C2107&amp;"/"&amp;D2107</f>
        <v>Lignite fired power plants/Steam turbine/CHP with CCS/L</v>
      </c>
      <c r="F2107" s="76" t="str">
        <f>A2071</f>
        <v>Lignite fired power plants</v>
      </c>
      <c r="G2107" s="76" t="str">
        <f>B2097</f>
        <v>Steam turbine</v>
      </c>
      <c r="H2107" s="76" t="str">
        <f>C2107</f>
        <v>CHP with CCS</v>
      </c>
      <c r="I2107" s="76" t="str">
        <f t="shared" si="388"/>
        <v>L</v>
      </c>
      <c r="J2107" s="119" t="str">
        <f>IF(tech_base!$T83&gt;J$2025,"",fuel_costs!B$10*0.086/tech_proj!J207/(1-tech_proj!J487))</f>
        <v/>
      </c>
      <c r="K2107" s="119" t="str">
        <f>IF(tech_base!$T83&gt;K$2025,"",fuel_costs!C$10*0.086/tech_proj!K207/(1-tech_proj!K487))</f>
        <v/>
      </c>
      <c r="L2107" s="119" t="str">
        <f>IF(tech_base!$T83&gt;L$2025,"",fuel_costs!D$10*0.086/tech_proj!L207/(1-tech_proj!L487))</f>
        <v/>
      </c>
      <c r="M2107" s="119" t="str">
        <f>IF(tech_base!$T83&gt;M$2025,"",fuel_costs!E$10*0.086/tech_proj!M207/(1-tech_proj!M487))</f>
        <v/>
      </c>
      <c r="N2107" s="119" t="str">
        <f>IF(tech_base!$T83&gt;N$2025,"",fuel_costs!F$10*0.086/tech_proj!N207/(1-tech_proj!N487))</f>
        <v/>
      </c>
      <c r="O2107" s="119" t="str">
        <f>IF(tech_base!$T83&gt;O$2025,"",fuel_costs!G$10*0.086/tech_proj!O207/(1-tech_proj!O487))</f>
        <v/>
      </c>
      <c r="P2107" s="119" t="str">
        <f>IF(tech_base!$T83&gt;P$2025,"",fuel_costs!H$10*0.086/tech_proj!P207/(1-tech_proj!P487))</f>
        <v/>
      </c>
      <c r="Q2107" s="119" t="str">
        <f>IF(tech_base!$T83&gt;Q$2025,"",fuel_costs!I$10*0.086/tech_proj!Q207/(1-tech_proj!Q487))</f>
        <v/>
      </c>
      <c r="R2107" s="119" t="str">
        <f>IF(tech_base!$T83&gt;R$2025,"",fuel_costs!J$10*0.086/tech_proj!R207/(1-tech_proj!R487))</f>
        <v/>
      </c>
      <c r="S2107" s="119" t="str">
        <f>IF(tech_base!$T83&gt;S$2025,"",fuel_costs!K$10*0.086/tech_proj!S207/(1-tech_proj!S487))</f>
        <v/>
      </c>
      <c r="T2107" s="119" t="str">
        <f>IF(tech_base!$T83&gt;T$2025,"",fuel_costs!L$10*0.086/tech_proj!T207/(1-tech_proj!T487))</f>
        <v/>
      </c>
      <c r="U2107" s="119" t="str">
        <f>IF(tech_base!$T83&gt;U$2025,"",fuel_costs!M$10*0.086/tech_proj!U207/(1-tech_proj!U487))</f>
        <v/>
      </c>
      <c r="V2107" s="119" t="str">
        <f>IF(tech_base!$T83&gt;V$2025,"",fuel_costs!N$10*0.086/tech_proj!V207/(1-tech_proj!V487))</f>
        <v/>
      </c>
      <c r="W2107" s="119" t="str">
        <f>IF(tech_base!$T83&gt;W$2025,"",fuel_costs!O$10*0.086/tech_proj!W207/(1-tech_proj!W487))</f>
        <v/>
      </c>
      <c r="X2107" s="119" t="str">
        <f>IF(tech_base!$T83&gt;X$2025,"",fuel_costs!P$10*0.086/tech_proj!X207/(1-tech_proj!X487))</f>
        <v/>
      </c>
      <c r="Y2107" s="119" t="str">
        <f>IF(tech_base!$T83&gt;Y$2025,"",fuel_costs!Q$10*0.086/tech_proj!Y207/(1-tech_proj!Y487))</f>
        <v/>
      </c>
      <c r="Z2107" s="119" t="str">
        <f>IF(tech_base!$T83&gt;Z$2025,"",fuel_costs!R$10*0.086/tech_proj!Z207/(1-tech_proj!Z487))</f>
        <v/>
      </c>
      <c r="AA2107" s="119" t="str">
        <f>IF(tech_base!$T83&gt;AA$2025,"",fuel_costs!S$10*0.086/tech_proj!AA207/(1-tech_proj!AA487))</f>
        <v/>
      </c>
      <c r="AB2107" s="119" t="str">
        <f>IF(tech_base!$T83&gt;AB$2025,"",fuel_costs!T$10*0.086/tech_proj!AB207/(1-tech_proj!AB487))</f>
        <v/>
      </c>
      <c r="AC2107" s="119" t="str">
        <f>IF(tech_base!$T83&gt;AC$2025,"",fuel_costs!U$10*0.086/tech_proj!AC207/(1-tech_proj!AC487))</f>
        <v/>
      </c>
      <c r="AD2107" s="119" t="str">
        <f>IF(tech_base!$T83&gt;AD$2025,"",fuel_costs!V$10*0.086/tech_proj!AD207/(1-tech_proj!AD487))</f>
        <v/>
      </c>
      <c r="AE2107" s="119">
        <f>IF(tech_base!$T83&gt;AE$2025,"",fuel_costs!W$10*0.086/tech_proj!AE207/(1-tech_proj!AE487))</f>
        <v>33.235938806490026</v>
      </c>
      <c r="AF2107" s="119">
        <f>IF(tech_base!$T83&gt;AF$2025,"",fuel_costs!X$10*0.086/tech_proj!AF207/(1-tech_proj!AF487))</f>
        <v>33.368352905320663</v>
      </c>
      <c r="AG2107" s="119">
        <f>IF(tech_base!$T83&gt;AG$2025,"",fuel_costs!Y$10*0.086/tech_proj!AG207/(1-tech_proj!AG487))</f>
        <v>33.500767004151299</v>
      </c>
      <c r="AH2107" s="119">
        <f>IF(tech_base!$T83&gt;AH$2025,"",fuel_costs!Z$10*0.086/tech_proj!AH207/(1-tech_proj!AH487))</f>
        <v>33.633181102981943</v>
      </c>
      <c r="AI2107" s="119">
        <f>IF(tech_base!$T83&gt;AI$2025,"",fuel_costs!AA$10*0.086/tech_proj!AI207/(1-tech_proj!AI487))</f>
        <v>33.76559520181258</v>
      </c>
      <c r="AJ2107" s="119">
        <f>IF(tech_base!$T83&gt;AJ$2025,"",fuel_costs!AB$10*0.086/tech_proj!AJ207/(1-tech_proj!AJ487))</f>
        <v>33.900657582619829</v>
      </c>
      <c r="AK2107" s="119">
        <f>IF(tech_base!$T83&gt;AK$2025,"",fuel_costs!AC$10*0.086/tech_proj!AK207/(1-tech_proj!AK487))</f>
        <v>34.035719963427084</v>
      </c>
      <c r="AL2107" s="119">
        <f>IF(tech_base!$T83&gt;AL$2025,"",fuel_costs!AD$10*0.086/tech_proj!AL207/(1-tech_proj!AL487))</f>
        <v>34.170782344234333</v>
      </c>
      <c r="AM2107" s="119">
        <f>IF(tech_base!$T83&gt;AM$2025,"",fuel_costs!AE$10*0.086/tech_proj!AM207/(1-tech_proj!AM487))</f>
        <v>34.305844725041581</v>
      </c>
      <c r="AN2107" s="119">
        <f>IF(tech_base!$T83&gt;AN$2025,"",fuel_costs!AF$10*0.086/tech_proj!AN207/(1-tech_proj!AN487))</f>
        <v>34.440907105848829</v>
      </c>
      <c r="AO2107" s="119">
        <f>IF(tech_base!$T83&gt;AO$2025,"",fuel_costs!AG$10*0.086/tech_proj!AO207/(1-tech_proj!AO487))</f>
        <v>34.578670734272229</v>
      </c>
      <c r="AP2107" s="119">
        <f>IF(tech_base!$T83&gt;AP$2025,"",fuel_costs!AH$10*0.086/tech_proj!AP207/(1-tech_proj!AP487))</f>
        <v>34.716434362695622</v>
      </c>
      <c r="AQ2107" s="119">
        <f>IF(tech_base!$T83&gt;AQ$2025,"",fuel_costs!AI$10*0.086/tech_proj!AQ207/(1-tech_proj!AQ487))</f>
        <v>34.854197991119015</v>
      </c>
      <c r="AR2107" s="119">
        <f>IF(tech_base!$T83&gt;AR$2025,"",fuel_costs!AJ$10*0.086/tech_proj!AR207/(1-tech_proj!AR487))</f>
        <v>34.991961619542415</v>
      </c>
      <c r="AS2107" s="119">
        <f>IF(tech_base!$T83&gt;AS$2025,"",fuel_costs!AK$10*0.086/tech_proj!AS207/(1-tech_proj!AS487))</f>
        <v>35.129725247965808</v>
      </c>
      <c r="AT2107" s="119">
        <f>IF(tech_base!$T83&gt;AT$2025,"",fuel_costs!AL$10*0.086/tech_proj!AT207/(1-tech_proj!AT487))</f>
        <v>35.270244148957673</v>
      </c>
      <c r="AU2107" s="119">
        <f>IF(tech_base!$T83&gt;AU$2025,"",fuel_costs!AM$10*0.086/tech_proj!AU207/(1-tech_proj!AU487))</f>
        <v>35.41076304994953</v>
      </c>
      <c r="AV2107" s="119">
        <f>IF(tech_base!$T83&gt;AV$2025,"",fuel_costs!AN$10*0.086/tech_proj!AV207/(1-tech_proj!AV487))</f>
        <v>35.551281950941402</v>
      </c>
      <c r="AW2107" s="119">
        <f>IF(tech_base!$T83&gt;AW$2025,"",fuel_costs!AO$10*0.086/tech_proj!AW207/(1-tech_proj!AW487))</f>
        <v>35.691800851933259</v>
      </c>
      <c r="AX2107" s="120">
        <f>IF(tech_base!$T83&gt;AX$2025,"",fuel_costs!AP$10*0.086/tech_proj!AX207/(1-tech_proj!AX487))</f>
        <v>35.832319752925123</v>
      </c>
    </row>
    <row r="2108" spans="1:50" x14ac:dyDescent="0.25">
      <c r="A2108" s="357"/>
      <c r="B2108" s="380"/>
      <c r="C2108" s="381"/>
      <c r="D2108" s="4" t="s">
        <v>8</v>
      </c>
      <c r="E2108" s="80" t="str">
        <f>A2071&amp;"/"&amp;B2097&amp;"/"&amp;C2107&amp;"/"&amp;D2108</f>
        <v>Lignite fired power plants/Steam turbine/CHP with CCS/M</v>
      </c>
      <c r="F2108" s="80" t="str">
        <f>A2071</f>
        <v>Lignite fired power plants</v>
      </c>
      <c r="G2108" s="80" t="str">
        <f>B2097</f>
        <v>Steam turbine</v>
      </c>
      <c r="H2108" s="80" t="str">
        <f>C2107</f>
        <v>CHP with CCS</v>
      </c>
      <c r="I2108" s="80" t="str">
        <f t="shared" si="388"/>
        <v>M</v>
      </c>
      <c r="J2108" s="127" t="str">
        <f>IF(tech_base!$T84&gt;J$2025,"",fuel_costs!B$10*0.086/tech_proj!J208/(1-tech_proj!J488))</f>
        <v/>
      </c>
      <c r="K2108" s="127" t="str">
        <f>IF(tech_base!$T84&gt;K$2025,"",fuel_costs!C$10*0.086/tech_proj!K208/(1-tech_proj!K488))</f>
        <v/>
      </c>
      <c r="L2108" s="127" t="str">
        <f>IF(tech_base!$T84&gt;L$2025,"",fuel_costs!D$10*0.086/tech_proj!L208/(1-tech_proj!L488))</f>
        <v/>
      </c>
      <c r="M2108" s="127" t="str">
        <f>IF(tech_base!$T84&gt;M$2025,"",fuel_costs!E$10*0.086/tech_proj!M208/(1-tech_proj!M488))</f>
        <v/>
      </c>
      <c r="N2108" s="127" t="str">
        <f>IF(tech_base!$T84&gt;N$2025,"",fuel_costs!F$10*0.086/tech_proj!N208/(1-tech_proj!N488))</f>
        <v/>
      </c>
      <c r="O2108" s="127" t="str">
        <f>IF(tech_base!$T84&gt;O$2025,"",fuel_costs!G$10*0.086/tech_proj!O208/(1-tech_proj!O488))</f>
        <v/>
      </c>
      <c r="P2108" s="127" t="str">
        <f>IF(tech_base!$T84&gt;P$2025,"",fuel_costs!H$10*0.086/tech_proj!P208/(1-tech_proj!P488))</f>
        <v/>
      </c>
      <c r="Q2108" s="127" t="str">
        <f>IF(tech_base!$T84&gt;Q$2025,"",fuel_costs!I$10*0.086/tech_proj!Q208/(1-tech_proj!Q488))</f>
        <v/>
      </c>
      <c r="R2108" s="127" t="str">
        <f>IF(tech_base!$T84&gt;R$2025,"",fuel_costs!J$10*0.086/tech_proj!R208/(1-tech_proj!R488))</f>
        <v/>
      </c>
      <c r="S2108" s="127" t="str">
        <f>IF(tech_base!$T84&gt;S$2025,"",fuel_costs!K$10*0.086/tech_proj!S208/(1-tech_proj!S488))</f>
        <v/>
      </c>
      <c r="T2108" s="127" t="str">
        <f>IF(tech_base!$T84&gt;T$2025,"",fuel_costs!L$10*0.086/tech_proj!T208/(1-tech_proj!T488))</f>
        <v/>
      </c>
      <c r="U2108" s="127" t="str">
        <f>IF(tech_base!$T84&gt;U$2025,"",fuel_costs!M$10*0.086/tech_proj!U208/(1-tech_proj!U488))</f>
        <v/>
      </c>
      <c r="V2108" s="127" t="str">
        <f>IF(tech_base!$T84&gt;V$2025,"",fuel_costs!N$10*0.086/tech_proj!V208/(1-tech_proj!V488))</f>
        <v/>
      </c>
      <c r="W2108" s="127" t="str">
        <f>IF(tech_base!$T84&gt;W$2025,"",fuel_costs!O$10*0.086/tech_proj!W208/(1-tech_proj!W488))</f>
        <v/>
      </c>
      <c r="X2108" s="127" t="str">
        <f>IF(tech_base!$T84&gt;X$2025,"",fuel_costs!P$10*0.086/tech_proj!X208/(1-tech_proj!X488))</f>
        <v/>
      </c>
      <c r="Y2108" s="127" t="str">
        <f>IF(tech_base!$T84&gt;Y$2025,"",fuel_costs!Q$10*0.086/tech_proj!Y208/(1-tech_proj!Y488))</f>
        <v/>
      </c>
      <c r="Z2108" s="127" t="str">
        <f>IF(tech_base!$T84&gt;Z$2025,"",fuel_costs!R$10*0.086/tech_proj!Z208/(1-tech_proj!Z488))</f>
        <v/>
      </c>
      <c r="AA2108" s="127" t="str">
        <f>IF(tech_base!$T84&gt;AA$2025,"",fuel_costs!S$10*0.086/tech_proj!AA208/(1-tech_proj!AA488))</f>
        <v/>
      </c>
      <c r="AB2108" s="127" t="str">
        <f>IF(tech_base!$T84&gt;AB$2025,"",fuel_costs!T$10*0.086/tech_proj!AB208/(1-tech_proj!AB488))</f>
        <v/>
      </c>
      <c r="AC2108" s="127" t="str">
        <f>IF(tech_base!$T84&gt;AC$2025,"",fuel_costs!U$10*0.086/tech_proj!AC208/(1-tech_proj!AC488))</f>
        <v/>
      </c>
      <c r="AD2108" s="127" t="str">
        <f>IF(tech_base!$T84&gt;AD$2025,"",fuel_costs!V$10*0.086/tech_proj!AD208/(1-tech_proj!AD488))</f>
        <v/>
      </c>
      <c r="AE2108" s="127">
        <f>IF(tech_base!$T84&gt;AE$2025,"",fuel_costs!W$10*0.086/tech_proj!AE208/(1-tech_proj!AE488))</f>
        <v>35.778856848302574</v>
      </c>
      <c r="AF2108" s="127">
        <f>IF(tech_base!$T84&gt;AF$2025,"",fuel_costs!X$10*0.086/tech_proj!AF208/(1-tech_proj!AF488))</f>
        <v>35.921402094710153</v>
      </c>
      <c r="AG2108" s="127">
        <f>IF(tech_base!$T84&gt;AG$2025,"",fuel_costs!Y$10*0.086/tech_proj!AG208/(1-tech_proj!AG488))</f>
        <v>36.063947341117732</v>
      </c>
      <c r="AH2108" s="127">
        <f>IF(tech_base!$T84&gt;AH$2025,"",fuel_costs!Z$10*0.086/tech_proj!AH208/(1-tech_proj!AH488))</f>
        <v>36.206492587525318</v>
      </c>
      <c r="AI2108" s="127">
        <f>IF(tech_base!$T84&gt;AI$2025,"",fuel_costs!AA$10*0.086/tech_proj!AI208/(1-tech_proj!AI488))</f>
        <v>36.349037833932897</v>
      </c>
      <c r="AJ2108" s="127">
        <f>IF(tech_base!$T84&gt;AJ$2025,"",fuel_costs!AB$10*0.086/tech_proj!AJ208/(1-tech_proj!AJ488))</f>
        <v>36.494433985268621</v>
      </c>
      <c r="AK2108" s="127">
        <f>IF(tech_base!$T84&gt;AK$2025,"",fuel_costs!AC$10*0.086/tech_proj!AK208/(1-tech_proj!AK488))</f>
        <v>36.63983013660436</v>
      </c>
      <c r="AL2108" s="127">
        <f>IF(tech_base!$T84&gt;AL$2025,"",fuel_costs!AD$10*0.086/tech_proj!AL208/(1-tech_proj!AL488))</f>
        <v>36.785226287940091</v>
      </c>
      <c r="AM2108" s="127">
        <f>IF(tech_base!$T84&gt;AM$2025,"",fuel_costs!AE$10*0.086/tech_proj!AM208/(1-tech_proj!AM488))</f>
        <v>36.930622439275815</v>
      </c>
      <c r="AN2108" s="127">
        <f>IF(tech_base!$T84&gt;AN$2025,"",fuel_costs!AF$10*0.086/tech_proj!AN208/(1-tech_proj!AN488))</f>
        <v>37.076018590611554</v>
      </c>
      <c r="AO2108" s="127">
        <f>IF(tech_base!$T84&gt;AO$2025,"",fuel_costs!AG$10*0.086/tech_proj!AO208/(1-tech_proj!AO488))</f>
        <v>37.224322664974004</v>
      </c>
      <c r="AP2108" s="127">
        <f>IF(tech_base!$T84&gt;AP$2025,"",fuel_costs!AH$10*0.086/tech_proj!AP208/(1-tech_proj!AP488))</f>
        <v>37.372626739336454</v>
      </c>
      <c r="AQ2108" s="127">
        <f>IF(tech_base!$T84&gt;AQ$2025,"",fuel_costs!AI$10*0.086/tech_proj!AQ208/(1-tech_proj!AQ488))</f>
        <v>37.520930813698897</v>
      </c>
      <c r="AR2108" s="127">
        <f>IF(tech_base!$T84&gt;AR$2025,"",fuel_costs!AJ$10*0.086/tech_proj!AR208/(1-tech_proj!AR488))</f>
        <v>37.669234888061339</v>
      </c>
      <c r="AS2108" s="127">
        <f>IF(tech_base!$T84&gt;AS$2025,"",fuel_costs!AK$10*0.086/tech_proj!AS208/(1-tech_proj!AS488))</f>
        <v>37.817538962423789</v>
      </c>
      <c r="AT2108" s="127">
        <f>IF(tech_base!$T84&gt;AT$2025,"",fuel_costs!AL$10*0.086/tech_proj!AT208/(1-tech_proj!AT488))</f>
        <v>37.968809118273484</v>
      </c>
      <c r="AU2108" s="127">
        <f>IF(tech_base!$T84&gt;AU$2025,"",fuel_costs!AM$10*0.086/tech_proj!AU208/(1-tech_proj!AU488))</f>
        <v>38.120079274123178</v>
      </c>
      <c r="AV2108" s="127">
        <f>IF(tech_base!$T84&gt;AV$2025,"",fuel_costs!AN$10*0.086/tech_proj!AV208/(1-tech_proj!AV488))</f>
        <v>38.271349429972865</v>
      </c>
      <c r="AW2108" s="127">
        <f>IF(tech_base!$T84&gt;AW$2025,"",fuel_costs!AO$10*0.086/tech_proj!AW208/(1-tech_proj!AW488))</f>
        <v>38.422619585822567</v>
      </c>
      <c r="AX2108" s="128">
        <f>IF(tech_base!$T84&gt;AX$2025,"",fuel_costs!AP$10*0.086/tech_proj!AX208/(1-tech_proj!AX488))</f>
        <v>38.573889741672261</v>
      </c>
    </row>
    <row r="2109" spans="1:50" x14ac:dyDescent="0.25">
      <c r="A2109" s="356" t="s">
        <v>22</v>
      </c>
      <c r="B2109" s="358" t="s">
        <v>23</v>
      </c>
      <c r="C2109" s="353" t="s">
        <v>6</v>
      </c>
      <c r="D2109" s="3" t="s">
        <v>7</v>
      </c>
      <c r="E2109" s="77" t="str">
        <f>A2109&amp;"/"&amp;B2109&amp;"/"&amp;C2109&amp;"/"&amp;D2109</f>
        <v>Gas fired power plants (Natural gas, biogas)/Gas turbine combined cycle/Electricity only/L</v>
      </c>
      <c r="F2109" s="77" t="str">
        <f>A2109</f>
        <v>Gas fired power plants (Natural gas, biogas)</v>
      </c>
      <c r="G2109" s="77" t="str">
        <f>B2109</f>
        <v>Gas turbine combined cycle</v>
      </c>
      <c r="H2109" s="77" t="str">
        <f>C2109</f>
        <v>Electricity only</v>
      </c>
      <c r="I2109" s="77" t="str">
        <f t="shared" si="388"/>
        <v>L</v>
      </c>
      <c r="J2109" s="121">
        <f>IF(tech_base!$T85&gt;J$2025,"",fuel_costs!B$11*0.086/tech_proj!J209/(1-tech_proj!J489))</f>
        <v>51.558878983283329</v>
      </c>
      <c r="K2109" s="121">
        <f>IF(tech_base!$T85&gt;K$2025,"",fuel_costs!C$11*0.086/tech_proj!K209/(1-tech_proj!K489))</f>
        <v>58.99151051514518</v>
      </c>
      <c r="L2109" s="121">
        <f>IF(tech_base!$T85&gt;L$2025,"",fuel_costs!D$11*0.086/tech_proj!L209/(1-tech_proj!L489))</f>
        <v>65.992115469521679</v>
      </c>
      <c r="M2109" s="121">
        <f>IF(tech_base!$T85&gt;M$2025,"",fuel_costs!E$11*0.086/tech_proj!M209/(1-tech_proj!M489))</f>
        <v>64.451248424011368</v>
      </c>
      <c r="N2109" s="121">
        <f>IF(tech_base!$T85&gt;N$2025,"",fuel_costs!F$11*0.086/tech_proj!N209/(1-tech_proj!N489))</f>
        <v>54.2413555924363</v>
      </c>
      <c r="O2109" s="121">
        <f>IF(tech_base!$T85&gt;O$2025,"",fuel_costs!G$11*0.086/tech_proj!O209/(1-tech_proj!O489))</f>
        <v>45.592683003093597</v>
      </c>
      <c r="P2109" s="121">
        <f>IF(tech_base!$T85&gt;P$2025,"",fuel_costs!H$11*0.086/tech_proj!P209/(1-tech_proj!P489))</f>
        <v>30.760980543101716</v>
      </c>
      <c r="Q2109" s="121">
        <f>IF(tech_base!$T85&gt;Q$2025,"",fuel_costs!I$11*0.086/tech_proj!Q209/(1-tech_proj!Q489))</f>
        <v>36.184978285081847</v>
      </c>
      <c r="R2109" s="121">
        <f>IF(tech_base!$T85&gt;R$2025,"",fuel_costs!J$11*0.086/tech_proj!R209/(1-tech_proj!R489))</f>
        <v>39.947696501944321</v>
      </c>
      <c r="S2109" s="121">
        <f>IF(tech_base!$T85&gt;S$2025,"",fuel_costs!K$11*0.086/tech_proj!S209/(1-tech_proj!S489))</f>
        <v>43.727310969259626</v>
      </c>
      <c r="T2109" s="121">
        <f>IF(tech_base!$T85&gt;T$2025,"",fuel_costs!L$11*0.086/tech_proj!T209/(1-tech_proj!T489))</f>
        <v>47.444612921198647</v>
      </c>
      <c r="U2109" s="121">
        <f>IF(tech_base!$T85&gt;U$2025,"",fuel_costs!M$11*0.086/tech_proj!U209/(1-tech_proj!U489))</f>
        <v>51.046954791466433</v>
      </c>
      <c r="V2109" s="121">
        <f>IF(tech_base!$T85&gt;V$2025,"",fuel_costs!N$11*0.086/tech_proj!V209/(1-tech_proj!V489))</f>
        <v>53.345625036838548</v>
      </c>
      <c r="W2109" s="121">
        <f>IF(tech_base!$T85&gt;W$2025,"",fuel_costs!O$11*0.086/tech_proj!W209/(1-tech_proj!W489))</f>
        <v>56.063611331679191</v>
      </c>
      <c r="X2109" s="121">
        <f>IF(tech_base!$T85&gt;X$2025,"",fuel_costs!P$11*0.086/tech_proj!X209/(1-tech_proj!X489))</f>
        <v>58.602581050901655</v>
      </c>
      <c r="Y2109" s="121">
        <f>IF(tech_base!$T85&gt;Y$2025,"",fuel_costs!Q$11*0.086/tech_proj!Y209/(1-tech_proj!Y489))</f>
        <v>60.967037498863341</v>
      </c>
      <c r="Z2109" s="121">
        <f>IF(tech_base!$T85&gt;Z$2025,"",fuel_costs!R$11*0.086/tech_proj!Z209/(1-tech_proj!Z489))</f>
        <v>61.710142266012184</v>
      </c>
      <c r="AA2109" s="121">
        <f>IF(tech_base!$T85&gt;AA$2025,"",fuel_costs!S$11*0.086/tech_proj!AA209/(1-tech_proj!AA489))</f>
        <v>62.387349266432516</v>
      </c>
      <c r="AB2109" s="121">
        <f>IF(tech_base!$T85&gt;AB$2025,"",fuel_costs!T$11*0.086/tech_proj!AB209/(1-tech_proj!AB489))</f>
        <v>63.15024059618662</v>
      </c>
      <c r="AC2109" s="121">
        <f>IF(tech_base!$T85&gt;AC$2025,"",fuel_costs!U$11*0.086/tech_proj!AC209/(1-tech_proj!AC489))</f>
        <v>63.912820113922692</v>
      </c>
      <c r="AD2109" s="121">
        <f>IF(tech_base!$T85&gt;AD$2025,"",fuel_costs!V$11*0.086/tech_proj!AD209/(1-tech_proj!AD489))</f>
        <v>65.094933115568992</v>
      </c>
      <c r="AE2109" s="121">
        <f>IF(tech_base!$T85&gt;AE$2025,"",fuel_costs!W$11*0.086/tech_proj!AE209/(1-tech_proj!AE489))</f>
        <v>65.79478450647197</v>
      </c>
      <c r="AF2109" s="121">
        <f>IF(tech_base!$T85&gt;AF$2025,"",fuel_costs!X$11*0.086/tech_proj!AF209/(1-tech_proj!AF489))</f>
        <v>66.62397653852203</v>
      </c>
      <c r="AG2109" s="121">
        <f>IF(tech_base!$T85&gt;AG$2025,"",fuel_costs!Y$11*0.086/tech_proj!AG209/(1-tech_proj!AG489))</f>
        <v>67.365006974158774</v>
      </c>
      <c r="AH2109" s="121">
        <f>IF(tech_base!$T85&gt;AH$2025,"",fuel_costs!Z$11*0.086/tech_proj!AH209/(1-tech_proj!AH489))</f>
        <v>68.040458935136741</v>
      </c>
      <c r="AI2109" s="121">
        <f>IF(tech_base!$T85&gt;AI$2025,"",fuel_costs!AA$11*0.086/tech_proj!AI209/(1-tech_proj!AI489))</f>
        <v>68.609733086817187</v>
      </c>
      <c r="AJ2109" s="121">
        <f>IF(tech_base!$T85&gt;AJ$2025,"",fuel_costs!AB$11*0.086/tech_proj!AJ209/(1-tech_proj!AJ489))</f>
        <v>69.156402843045754</v>
      </c>
      <c r="AK2109" s="121">
        <f>IF(tech_base!$T85&gt;AK$2025,"",fuel_costs!AC$11*0.086/tech_proj!AK209/(1-tech_proj!AK489))</f>
        <v>69.603441831057197</v>
      </c>
      <c r="AL2109" s="121">
        <f>IF(tech_base!$T85&gt;AL$2025,"",fuel_costs!AD$11*0.086/tech_proj!AL209/(1-tech_proj!AL489))</f>
        <v>70.049493258408091</v>
      </c>
      <c r="AM2109" s="121">
        <f>IF(tech_base!$T85&gt;AM$2025,"",fuel_costs!AE$11*0.086/tech_proj!AM209/(1-tech_proj!AM489))</f>
        <v>70.560934702523582</v>
      </c>
      <c r="AN2109" s="121">
        <f>IF(tech_base!$T85&gt;AN$2025,"",fuel_costs!AF$11*0.086/tech_proj!AN209/(1-tech_proj!AN489))</f>
        <v>70.550170251733462</v>
      </c>
      <c r="AO2109" s="121">
        <f>IF(tech_base!$T85&gt;AO$2025,"",fuel_costs!AG$11*0.086/tech_proj!AO209/(1-tech_proj!AO489))</f>
        <v>70.713982264832353</v>
      </c>
      <c r="AP2109" s="121">
        <f>IF(tech_base!$T85&gt;AP$2025,"",fuel_costs!AH$11*0.086/tech_proj!AP209/(1-tech_proj!AP489))</f>
        <v>70.895137165899996</v>
      </c>
      <c r="AQ2109" s="121">
        <f>IF(tech_base!$T85&gt;AQ$2025,"",fuel_costs!AI$11*0.086/tech_proj!AQ209/(1-tech_proj!AQ489))</f>
        <v>71.122882387277613</v>
      </c>
      <c r="AR2109" s="121">
        <f>IF(tech_base!$T85&gt;AR$2025,"",fuel_costs!AJ$11*0.086/tech_proj!AR209/(1-tech_proj!AR489))</f>
        <v>71.471461950811459</v>
      </c>
      <c r="AS2109" s="121">
        <f>IF(tech_base!$T85&gt;AS$2025,"",fuel_costs!AK$11*0.086/tech_proj!AS209/(1-tech_proj!AS489))</f>
        <v>71.915746700182368</v>
      </c>
      <c r="AT2109" s="121">
        <f>IF(tech_base!$T85&gt;AT$2025,"",fuel_costs!AL$11*0.086/tech_proj!AT209/(1-tech_proj!AT489))</f>
        <v>72.339510064804756</v>
      </c>
      <c r="AU2109" s="121">
        <f>IF(tech_base!$T85&gt;AU$2025,"",fuel_costs!AM$11*0.086/tech_proj!AU209/(1-tech_proj!AU489))</f>
        <v>72.724854235236208</v>
      </c>
      <c r="AV2109" s="121">
        <f>IF(tech_base!$T85&gt;AV$2025,"",fuel_costs!AN$11*0.086/tech_proj!AV209/(1-tech_proj!AV489))</f>
        <v>73.037813881033969</v>
      </c>
      <c r="AW2109" s="121">
        <f>IF(tech_base!$T85&gt;AW$2025,"",fuel_costs!AO$11*0.086/tech_proj!AW209/(1-tech_proj!AW489))</f>
        <v>73.037975069586125</v>
      </c>
      <c r="AX2109" s="122">
        <f>IF(tech_base!$T85&gt;AX$2025,"",fuel_costs!AP$11*0.086/tech_proj!AX209/(1-tech_proj!AX489))</f>
        <v>73.059551857469728</v>
      </c>
    </row>
    <row r="2110" spans="1:50" x14ac:dyDescent="0.25">
      <c r="A2110" s="356"/>
      <c r="B2110" s="376"/>
      <c r="C2110" s="378"/>
      <c r="D2110" s="2" t="s">
        <v>8</v>
      </c>
      <c r="E2110" s="76" t="str">
        <f>A2109&amp;"/"&amp;B2109&amp;"/"&amp;C2109&amp;"/"&amp;D2110</f>
        <v>Gas fired power plants (Natural gas, biogas)/Gas turbine combined cycle/Electricity only/M</v>
      </c>
      <c r="F2110" s="76" t="str">
        <f>A2109</f>
        <v>Gas fired power plants (Natural gas, biogas)</v>
      </c>
      <c r="G2110" s="76" t="str">
        <f>B2109</f>
        <v>Gas turbine combined cycle</v>
      </c>
      <c r="H2110" s="76" t="str">
        <f>C2109</f>
        <v>Electricity only</v>
      </c>
      <c r="I2110" s="76" t="str">
        <f t="shared" si="388"/>
        <v>M</v>
      </c>
      <c r="J2110" s="119">
        <f>IF(tech_base!$T86&gt;J$2025,"",fuel_costs!B$11*0.086/tech_proj!J210/(1-tech_proj!J490))</f>
        <v>54.220669328316028</v>
      </c>
      <c r="K2110" s="119">
        <f>IF(tech_base!$T86&gt;K$2025,"",fuel_costs!C$11*0.086/tech_proj!K210/(1-tech_proj!K490))</f>
        <v>62.053474476941254</v>
      </c>
      <c r="L2110" s="119">
        <f>IF(tech_base!$T86&gt;L$2025,"",fuel_costs!D$11*0.086/tech_proj!L210/(1-tech_proj!L490))</f>
        <v>69.439173911325895</v>
      </c>
      <c r="M2110" s="119">
        <f>IF(tech_base!$T86&gt;M$2025,"",fuel_costs!E$11*0.086/tech_proj!M210/(1-tech_proj!M490))</f>
        <v>67.842731731569359</v>
      </c>
      <c r="N2110" s="119">
        <f>IF(tech_base!$T86&gt;N$2025,"",fuel_costs!F$11*0.086/tech_proj!N210/(1-tech_proj!N490))</f>
        <v>57.12003666398892</v>
      </c>
      <c r="O2110" s="119">
        <f>IF(tech_base!$T86&gt;O$2025,"",fuel_costs!G$11*0.086/tech_proj!O210/(1-tech_proj!O490))</f>
        <v>48.036145298110036</v>
      </c>
      <c r="P2110" s="119">
        <f>IF(tech_base!$T86&gt;P$2025,"",fuel_costs!H$11*0.086/tech_proj!P210/(1-tech_proj!P490))</f>
        <v>32.4279480576363</v>
      </c>
      <c r="Q2110" s="119">
        <f>IF(tech_base!$T86&gt;Q$2025,"",fuel_costs!I$11*0.086/tech_proj!Q210/(1-tech_proj!Q490))</f>
        <v>38.170363925675048</v>
      </c>
      <c r="R2110" s="119">
        <f>IF(tech_base!$T86&gt;R$2025,"",fuel_costs!J$11*0.086/tech_proj!R210/(1-tech_proj!R490))</f>
        <v>42.169690256665248</v>
      </c>
      <c r="S2110" s="119">
        <f>IF(tech_base!$T86&gt;S$2025,"",fuel_costs!K$11*0.086/tech_proj!S210/(1-tech_proj!S490))</f>
        <v>46.195685156303185</v>
      </c>
      <c r="T2110" s="119">
        <f>IF(tech_base!$T86&gt;T$2025,"",fuel_costs!L$11*0.086/tech_proj!T210/(1-tech_proj!T490))</f>
        <v>50.164782632190104</v>
      </c>
      <c r="U2110" s="119">
        <f>IF(tech_base!$T86&gt;U$2025,"",fuel_costs!M$11*0.086/tech_proj!U210/(1-tech_proj!U490))</f>
        <v>54.020515415092262</v>
      </c>
      <c r="V2110" s="119">
        <f>IF(tech_base!$T86&gt;V$2025,"",fuel_costs!N$11*0.086/tech_proj!V210/(1-tech_proj!V490))</f>
        <v>56.501924286401838</v>
      </c>
      <c r="W2110" s="119">
        <f>IF(tech_base!$T86&gt;W$2025,"",fuel_costs!O$11*0.086/tech_proj!W210/(1-tech_proj!W490))</f>
        <v>59.429176254234676</v>
      </c>
      <c r="X2110" s="119">
        <f>IF(tech_base!$T86&gt;X$2025,"",fuel_costs!P$11*0.086/tech_proj!X210/(1-tech_proj!X490))</f>
        <v>62.164621442162236</v>
      </c>
      <c r="Y2110" s="119">
        <f>IF(tech_base!$T86&gt;Y$2025,"",fuel_costs!Q$11*0.086/tech_proj!Y210/(1-tech_proj!Y490))</f>
        <v>64.707512160373469</v>
      </c>
      <c r="Z2110" s="119">
        <f>IF(tech_base!$T86&gt;Z$2025,"",fuel_costs!R$11*0.086/tech_proj!Z210/(1-tech_proj!Z490))</f>
        <v>65.515631719666487</v>
      </c>
      <c r="AA2110" s="119">
        <f>IF(tech_base!$T86&gt;AA$2025,"",fuel_costs!S$11*0.086/tech_proj!AA210/(1-tech_proj!AA490))</f>
        <v>66.234317850596526</v>
      </c>
      <c r="AB2110" s="119">
        <f>IF(tech_base!$T86&gt;AB$2025,"",fuel_costs!T$11*0.086/tech_proj!AB210/(1-tech_proj!AB490))</f>
        <v>67.020963362574605</v>
      </c>
      <c r="AC2110" s="119">
        <f>IF(tech_base!$T86&gt;AC$2025,"",fuel_costs!U$11*0.086/tech_proj!AC210/(1-tech_proj!AC490))</f>
        <v>67.782557901965816</v>
      </c>
      <c r="AD2110" s="119">
        <f>IF(tech_base!$T86&gt;AD$2025,"",fuel_costs!V$11*0.086/tech_proj!AD210/(1-tech_proj!AD490))</f>
        <v>68.964666342346305</v>
      </c>
      <c r="AE2110" s="119">
        <f>IF(tech_base!$T86&gt;AE$2025,"",fuel_costs!W$11*0.086/tech_proj!AE210/(1-tech_proj!AE490))</f>
        <v>69.614794520617266</v>
      </c>
      <c r="AF2110" s="119">
        <f>IF(tech_base!$T86&gt;AF$2025,"",fuel_costs!X$11*0.086/tech_proj!AF210/(1-tech_proj!AF490))</f>
        <v>70.3867844947316</v>
      </c>
      <c r="AG2110" s="119">
        <f>IF(tech_base!$T86&gt;AG$2025,"",fuel_costs!Y$11*0.086/tech_proj!AG210/(1-tech_proj!AG490))</f>
        <v>71.057613987028418</v>
      </c>
      <c r="AH2110" s="119">
        <f>IF(tech_base!$T86&gt;AH$2025,"",fuel_costs!Z$11*0.086/tech_proj!AH210/(1-tech_proj!AH490))</f>
        <v>71.658683321448166</v>
      </c>
      <c r="AI2110" s="119">
        <f>IF(tech_base!$T86&gt;AI$2025,"",fuel_costs!AA$11*0.086/tech_proj!AI210/(1-tech_proj!AI490))</f>
        <v>72.153820064910704</v>
      </c>
      <c r="AJ2110" s="119">
        <f>IF(tech_base!$T86&gt;AJ$2025,"",fuel_costs!AB$11*0.086/tech_proj!AJ210/(1-tech_proj!AJ490))</f>
        <v>72.635724616732858</v>
      </c>
      <c r="AK2110" s="119">
        <f>IF(tech_base!$T86&gt;AK$2025,"",fuel_costs!AC$11*0.086/tech_proj!AK210/(1-tech_proj!AK490))</f>
        <v>73.026133863930951</v>
      </c>
      <c r="AL2110" s="119">
        <f>IF(tech_base!$T86&gt;AL$2025,"",fuel_costs!AD$11*0.086/tech_proj!AL210/(1-tech_proj!AL490))</f>
        <v>73.429410796619948</v>
      </c>
      <c r="AM2110" s="119">
        <f>IF(tech_base!$T86&gt;AM$2025,"",fuel_costs!AE$11*0.086/tech_proj!AM210/(1-tech_proj!AM490))</f>
        <v>73.914381511506576</v>
      </c>
      <c r="AN2110" s="119">
        <f>IF(tech_base!$T86&gt;AN$2025,"",fuel_costs!AF$11*0.086/tech_proj!AN210/(1-tech_proj!AN490))</f>
        <v>73.864216927124147</v>
      </c>
      <c r="AO2110" s="119">
        <f>IF(tech_base!$T86&gt;AO$2025,"",fuel_costs!AG$11*0.086/tech_proj!AO210/(1-tech_proj!AO490))</f>
        <v>74.006924624871047</v>
      </c>
      <c r="AP2110" s="119">
        <f>IF(tech_base!$T86&gt;AP$2025,"",fuel_costs!AH$11*0.086/tech_proj!AP210/(1-tech_proj!AP490))</f>
        <v>74.175756309678434</v>
      </c>
      <c r="AQ2110" s="119">
        <f>IF(tech_base!$T86&gt;AQ$2025,"",fuel_costs!AI$11*0.086/tech_proj!AQ210/(1-tech_proj!AQ490))</f>
        <v>74.399466380362256</v>
      </c>
      <c r="AR2110" s="119">
        <f>IF(tech_base!$T86&gt;AR$2025,"",fuel_costs!AJ$11*0.086/tech_proj!AR210/(1-tech_proj!AR490))</f>
        <v>74.754144240597867</v>
      </c>
      <c r="AS2110" s="119">
        <f>IF(tech_base!$T86&gt;AS$2025,"",fuel_costs!AK$11*0.086/tech_proj!AS210/(1-tech_proj!AS490))</f>
        <v>75.212236658691594</v>
      </c>
      <c r="AT2110" s="119">
        <f>IF(tech_base!$T86&gt;AT$2025,"",fuel_costs!AL$11*0.086/tech_proj!AT210/(1-tech_proj!AT490))</f>
        <v>75.651228899475115</v>
      </c>
      <c r="AU2110" s="119">
        <f>IF(tech_base!$T86&gt;AU$2025,"",fuel_costs!AM$11*0.086/tech_proj!AU210/(1-tech_proj!AU490))</f>
        <v>76.051694505443422</v>
      </c>
      <c r="AV2110" s="119">
        <f>IF(tech_base!$T86&gt;AV$2025,"",fuel_costs!AN$11*0.086/tech_proj!AV210/(1-tech_proj!AV490))</f>
        <v>76.377590330684342</v>
      </c>
      <c r="AW2110" s="119">
        <f>IF(tech_base!$T86&gt;AW$2025,"",fuel_costs!AO$11*0.086/tech_proj!AW210/(1-tech_proj!AW490))</f>
        <v>76.377131561347454</v>
      </c>
      <c r="AX2110" s="120">
        <f>IF(tech_base!$T86&gt;AX$2025,"",fuel_costs!AP$11*0.086/tech_proj!AX210/(1-tech_proj!AX490))</f>
        <v>76.39954233036687</v>
      </c>
    </row>
    <row r="2111" spans="1:50" x14ac:dyDescent="0.25">
      <c r="A2111" s="356"/>
      <c r="B2111" s="376"/>
      <c r="C2111" s="378"/>
      <c r="D2111" s="2" t="s">
        <v>10</v>
      </c>
      <c r="E2111" s="76" t="str">
        <f>A2109&amp;"/"&amp;B2109&amp;"/"&amp;C2109&amp;"/"&amp;D2111</f>
        <v>Gas fired power plants (Natural gas, biogas)/Gas turbine combined cycle/Electricity only/S</v>
      </c>
      <c r="F2111" s="76" t="str">
        <f>A2109</f>
        <v>Gas fired power plants (Natural gas, biogas)</v>
      </c>
      <c r="G2111" s="76" t="str">
        <f>B2109</f>
        <v>Gas turbine combined cycle</v>
      </c>
      <c r="H2111" s="76" t="str">
        <f>C2109</f>
        <v>Electricity only</v>
      </c>
      <c r="I2111" s="76" t="str">
        <f t="shared" si="388"/>
        <v>S</v>
      </c>
      <c r="J2111" s="119">
        <f>IF(tech_base!$T87&gt;J$2025,"",fuel_costs!B$11*0.086/tech_proj!J211/(1-tech_proj!J491))</f>
        <v>57.024437424513557</v>
      </c>
      <c r="K2111" s="119">
        <f>IF(tech_base!$T87&gt;K$2025,"",fuel_costs!C$11*0.086/tech_proj!K211/(1-tech_proj!K491))</f>
        <v>65.267510692769207</v>
      </c>
      <c r="L2111" s="119">
        <f>IF(tech_base!$T87&gt;L$2025,"",fuel_costs!D$11*0.086/tech_proj!L211/(1-tech_proj!L491))</f>
        <v>73.043197413679295</v>
      </c>
      <c r="M2111" s="119">
        <f>IF(tech_base!$T87&gt;M$2025,"",fuel_costs!E$11*0.086/tech_proj!M211/(1-tech_proj!M491))</f>
        <v>71.373142350888671</v>
      </c>
      <c r="N2111" s="119">
        <f>IF(tech_base!$T87&gt;N$2025,"",fuel_costs!F$11*0.086/tech_proj!N211/(1-tech_proj!N491))</f>
        <v>60.102332228850166</v>
      </c>
      <c r="O2111" s="119">
        <f>IF(tech_base!$T87&gt;O$2025,"",fuel_costs!G$11*0.086/tech_proj!O211/(1-tech_proj!O491))</f>
        <v>50.554673566586864</v>
      </c>
      <c r="P2111" s="119">
        <f>IF(tech_base!$T87&gt;P$2025,"",fuel_costs!H$11*0.086/tech_proj!P211/(1-tech_proj!P491))</f>
        <v>34.137101188345717</v>
      </c>
      <c r="Q2111" s="119">
        <f>IF(tech_base!$T87&gt;Q$2025,"",fuel_costs!I$11*0.086/tech_proj!Q211/(1-tech_proj!Q491))</f>
        <v>40.195452936788882</v>
      </c>
      <c r="R2111" s="119">
        <f>IF(tech_base!$T87&gt;R$2025,"",fuel_costs!J$11*0.086/tech_proj!R211/(1-tech_proj!R491))</f>
        <v>44.425344315931468</v>
      </c>
      <c r="S2111" s="119">
        <f>IF(tech_base!$T87&gt;S$2025,"",fuel_costs!K$11*0.086/tech_proj!S211/(1-tech_proj!S491))</f>
        <v>48.691808297906249</v>
      </c>
      <c r="T2111" s="119">
        <f>IF(tech_base!$T87&gt;T$2025,"",fuel_costs!L$11*0.086/tech_proj!T211/(1-tech_proj!T491))</f>
        <v>52.909171863813867</v>
      </c>
      <c r="U2111" s="119">
        <f>IF(tech_base!$T87&gt;U$2025,"",fuel_costs!M$11*0.086/tech_proj!U211/(1-tech_proj!U491))</f>
        <v>57.020579239566302</v>
      </c>
      <c r="V2111" s="119">
        <f>IF(tech_base!$T87&gt;V$2025,"",fuel_costs!N$11*0.086/tech_proj!V211/(1-tech_proj!V491))</f>
        <v>59.696710521583697</v>
      </c>
      <c r="W2111" s="119">
        <f>IF(tech_base!$T87&gt;W$2025,"",fuel_costs!O$11*0.086/tech_proj!W211/(1-tech_proj!W491))</f>
        <v>62.861337587902817</v>
      </c>
      <c r="X2111" s="119">
        <f>IF(tech_base!$T87&gt;X$2025,"",fuel_costs!P$11*0.086/tech_proj!X211/(1-tech_proj!X491))</f>
        <v>65.843482092349461</v>
      </c>
      <c r="Y2111" s="119">
        <f>IF(tech_base!$T87&gt;Y$2025,"",fuel_costs!Q$11*0.086/tech_proj!Y211/(1-tech_proj!Y491))</f>
        <v>68.643544659836479</v>
      </c>
      <c r="Z2111" s="119">
        <f>IF(tech_base!$T87&gt;Z$2025,"",fuel_costs!R$11*0.086/tech_proj!Z211/(1-tech_proj!Z491))</f>
        <v>69.622211428625434</v>
      </c>
      <c r="AA2111" s="119">
        <f>IF(tech_base!$T87&gt;AA$2025,"",fuel_costs!S$11*0.086/tech_proj!AA211/(1-tech_proj!AA491))</f>
        <v>70.519027718811728</v>
      </c>
      <c r="AB2111" s="119">
        <f>IF(tech_base!$T87&gt;AB$2025,"",fuel_costs!T$11*0.086/tech_proj!AB211/(1-tech_proj!AB491))</f>
        <v>71.495886054100552</v>
      </c>
      <c r="AC2111" s="119">
        <f>IF(tech_base!$T87&gt;AC$2025,"",fuel_costs!U$11*0.086/tech_proj!AC211/(1-tech_proj!AC491))</f>
        <v>72.445066384161137</v>
      </c>
      <c r="AD2111" s="119">
        <f>IF(tech_base!$T87&gt;AD$2025,"",fuel_costs!V$11*0.086/tech_proj!AD211/(1-tech_proj!AD491))</f>
        <v>73.831456296479303</v>
      </c>
      <c r="AE2111" s="119">
        <f>IF(tech_base!$T87&gt;AE$2025,"",fuel_costs!W$11*0.086/tech_proj!AE211/(1-tech_proj!AE491))</f>
        <v>74.621401006828236</v>
      </c>
      <c r="AF2111" s="119">
        <f>IF(tech_base!$T87&gt;AF$2025,"",fuel_costs!X$11*0.086/tech_proj!AF211/(1-tech_proj!AF491))</f>
        <v>75.499423441920527</v>
      </c>
      <c r="AG2111" s="119">
        <f>IF(tech_base!$T87&gt;AG$2025,"",fuel_costs!Y$11*0.086/tech_proj!AG211/(1-tech_proj!AG491))</f>
        <v>76.213878740099446</v>
      </c>
      <c r="AH2111" s="119">
        <f>IF(tech_base!$T87&gt;AH$2025,"",fuel_costs!Z$11*0.086/tech_proj!AH211/(1-tech_proj!AH491))</f>
        <v>76.791377657858291</v>
      </c>
      <c r="AI2111" s="119">
        <f>IF(tech_base!$T87&gt;AI$2025,"",fuel_costs!AA$11*0.086/tech_proj!AI211/(1-tech_proj!AI491))</f>
        <v>77.194315051437172</v>
      </c>
      <c r="AJ2111" s="119">
        <f>IF(tech_base!$T87&gt;AJ$2025,"",fuel_costs!AB$11*0.086/tech_proj!AJ211/(1-tech_proj!AJ491))</f>
        <v>77.531755587127122</v>
      </c>
      <c r="AK2111" s="119">
        <f>IF(tech_base!$T87&gt;AK$2025,"",fuel_costs!AC$11*0.086/tech_proj!AK211/(1-tech_proj!AK491))</f>
        <v>77.736799971613308</v>
      </c>
      <c r="AL2111" s="119">
        <f>IF(tech_base!$T87&gt;AL$2025,"",fuel_costs!AD$11*0.086/tech_proj!AL211/(1-tech_proj!AL491))</f>
        <v>77.940576823702656</v>
      </c>
      <c r="AM2111" s="119">
        <f>IF(tech_base!$T87&gt;AM$2025,"",fuel_costs!AE$11*0.086/tech_proj!AM211/(1-tech_proj!AM491))</f>
        <v>78.234380242100542</v>
      </c>
      <c r="AN2111" s="119">
        <f>IF(tech_base!$T87&gt;AN$2025,"",fuel_costs!AF$11*0.086/tech_proj!AN211/(1-tech_proj!AN491))</f>
        <v>77.980661996324741</v>
      </c>
      <c r="AO2111" s="119">
        <f>IF(tech_base!$T87&gt;AO$2025,"",fuel_costs!AG$11*0.086/tech_proj!AO211/(1-tech_proj!AO491))</f>
        <v>77.958767987114754</v>
      </c>
      <c r="AP2111" s="119">
        <f>IF(tech_base!$T87&gt;AP$2025,"",fuel_costs!AH$11*0.086/tech_proj!AP211/(1-tech_proj!AP491))</f>
        <v>77.994901607600355</v>
      </c>
      <c r="AQ2111" s="119">
        <f>IF(tech_base!$T87&gt;AQ$2025,"",fuel_costs!AI$11*0.086/tech_proj!AQ211/(1-tech_proj!AQ491))</f>
        <v>78.117977700235144</v>
      </c>
      <c r="AR2111" s="119">
        <f>IF(tech_base!$T87&gt;AR$2025,"",fuel_costs!AJ$11*0.086/tech_proj!AR211/(1-tech_proj!AR491))</f>
        <v>78.404120758265194</v>
      </c>
      <c r="AS2111" s="119">
        <f>IF(tech_base!$T87&gt;AS$2025,"",fuel_costs!AK$11*0.086/tech_proj!AS211/(1-tech_proj!AS491))</f>
        <v>78.81971623010439</v>
      </c>
      <c r="AT2111" s="119">
        <f>IF(tech_base!$T87&gt;AT$2025,"",fuel_costs!AL$11*0.086/tech_proj!AT211/(1-tech_proj!AT491))</f>
        <v>79.231913487740371</v>
      </c>
      <c r="AU2111" s="119">
        <f>IF(tech_base!$T87&gt;AU$2025,"",fuel_costs!AM$11*0.086/tech_proj!AU211/(1-tech_proj!AU491))</f>
        <v>79.616567208191071</v>
      </c>
      <c r="AV2111" s="119">
        <f>IF(tech_base!$T87&gt;AV$2025,"",fuel_costs!AN$11*0.086/tech_proj!AV211/(1-tech_proj!AV491))</f>
        <v>79.932791593756363</v>
      </c>
      <c r="AW2111" s="119">
        <f>IF(tech_base!$T87&gt;AW$2025,"",fuel_costs!AO$11*0.086/tech_proj!AW211/(1-tech_proj!AW491))</f>
        <v>79.914644641035267</v>
      </c>
      <c r="AX2111" s="120">
        <f>IF(tech_base!$T87&gt;AX$2025,"",fuel_costs!AP$11*0.086/tech_proj!AX211/(1-tech_proj!AX491))</f>
        <v>79.925666234196029</v>
      </c>
    </row>
    <row r="2112" spans="1:50" x14ac:dyDescent="0.25">
      <c r="A2112" s="356"/>
      <c r="B2112" s="376"/>
      <c r="C2112" s="379"/>
      <c r="D2112" s="2" t="s">
        <v>20</v>
      </c>
      <c r="E2112" s="76" t="str">
        <f>A2109&amp;"/"&amp;B2109&amp;"/"&amp;C2109&amp;"/"&amp;D2112</f>
        <v>Gas fired power plants (Natural gas, biogas)/Gas turbine combined cycle/Electricity only/XS</v>
      </c>
      <c r="F2112" s="76" t="str">
        <f>A2109</f>
        <v>Gas fired power plants (Natural gas, biogas)</v>
      </c>
      <c r="G2112" s="76" t="str">
        <f>B2109</f>
        <v>Gas turbine combined cycle</v>
      </c>
      <c r="H2112" s="76" t="str">
        <f>C2109</f>
        <v>Electricity only</v>
      </c>
      <c r="I2112" s="76" t="str">
        <f t="shared" si="388"/>
        <v>XS</v>
      </c>
      <c r="J2112" s="119">
        <f>IF(tech_base!$T88&gt;J$2025,"",fuel_costs!B$11*0.086/tech_proj!J212/(1-tech_proj!J492))</f>
        <v>59.978241208916835</v>
      </c>
      <c r="K2112" s="119">
        <f>IF(tech_base!$T88&gt;K$2025,"",fuel_costs!C$11*0.086/tech_proj!K212/(1-tech_proj!K492))</f>
        <v>68.648823494154655</v>
      </c>
      <c r="L2112" s="119">
        <f>IF(tech_base!$T88&gt;L$2025,"",fuel_costs!D$11*0.086/tech_proj!L212/(1-tech_proj!L492))</f>
        <v>76.828140623652985</v>
      </c>
      <c r="M2112" s="119">
        <f>IF(tech_base!$T88&gt;M$2025,"",fuel_costs!E$11*0.086/tech_proj!M212/(1-tech_proj!M492))</f>
        <v>75.072595683213819</v>
      </c>
      <c r="N2112" s="119">
        <f>IF(tech_base!$T88&gt;N$2025,"",fuel_costs!F$11*0.086/tech_proj!N212/(1-tech_proj!N492))</f>
        <v>63.218781963515106</v>
      </c>
      <c r="O2112" s="119">
        <f>IF(tech_base!$T88&gt;O$2025,"",fuel_costs!G$11*0.086/tech_proj!O212/(1-tech_proj!O492))</f>
        <v>53.177406003770692</v>
      </c>
      <c r="P2112" s="119">
        <f>IF(tech_base!$T88&gt;P$2025,"",fuel_costs!H$11*0.086/tech_proj!P212/(1-tech_proj!P492))</f>
        <v>35.909334876281832</v>
      </c>
      <c r="Q2112" s="119">
        <f>IF(tech_base!$T88&gt;Q$2025,"",fuel_costs!I$11*0.086/tech_proj!Q212/(1-tech_proj!Q492))</f>
        <v>42.284159963540596</v>
      </c>
      <c r="R2112" s="119">
        <f>IF(tech_base!$T88&gt;R$2025,"",fuel_costs!J$11*0.086/tech_proj!R212/(1-tech_proj!R492))</f>
        <v>46.736759935724479</v>
      </c>
      <c r="S2112" s="119">
        <f>IF(tech_base!$T88&gt;S$2025,"",fuel_costs!K$11*0.086/tech_proj!S212/(1-tech_proj!S492))</f>
        <v>51.229494233054133</v>
      </c>
      <c r="T2112" s="119">
        <f>IF(tech_base!$T88&gt;T$2025,"",fuel_costs!L$11*0.086/tech_proj!T212/(1-tech_proj!T492))</f>
        <v>55.672923403887062</v>
      </c>
      <c r="U2112" s="119">
        <f>IF(tech_base!$T88&gt;U$2025,"",fuel_costs!M$11*0.086/tech_proj!U212/(1-tech_proj!U492))</f>
        <v>60.008165111785047</v>
      </c>
      <c r="V2112" s="119">
        <f>IF(tech_base!$T88&gt;V$2025,"",fuel_costs!N$11*0.086/tech_proj!V212/(1-tech_proj!V492))</f>
        <v>62.837244158657612</v>
      </c>
      <c r="W2112" s="119">
        <f>IF(tech_base!$T88&gt;W$2025,"",fuel_costs!O$11*0.086/tech_proj!W212/(1-tech_proj!W492))</f>
        <v>66.186286823453869</v>
      </c>
      <c r="X2112" s="119">
        <f>IF(tech_base!$T88&gt;X$2025,"",fuel_costs!P$11*0.086/tech_proj!X212/(1-tech_proj!X492))</f>
        <v>69.351203789279623</v>
      </c>
      <c r="Y2112" s="119">
        <f>IF(tech_base!$T88&gt;Y$2025,"",fuel_costs!Q$11*0.086/tech_proj!Y212/(1-tech_proj!Y492))</f>
        <v>72.335081816764287</v>
      </c>
      <c r="Z2112" s="119">
        <f>IF(tech_base!$T88&gt;Z$2025,"",fuel_costs!R$11*0.086/tech_proj!Z212/(1-tech_proj!Z492))</f>
        <v>73.412755058905461</v>
      </c>
      <c r="AA2112" s="119">
        <f>IF(tech_base!$T88&gt;AA$2025,"",fuel_costs!S$11*0.086/tech_proj!AA212/(1-tech_proj!AA492))</f>
        <v>74.419915495422345</v>
      </c>
      <c r="AB2112" s="119">
        <f>IF(tech_base!$T88&gt;AB$2025,"",fuel_costs!T$11*0.086/tech_proj!AB212/(1-tech_proj!AB492))</f>
        <v>75.531663679104682</v>
      </c>
      <c r="AC2112" s="119">
        <f>IF(tech_base!$T88&gt;AC$2025,"",fuel_costs!U$11*0.086/tech_proj!AC212/(1-tech_proj!AC492))</f>
        <v>76.639207095565922</v>
      </c>
      <c r="AD2112" s="119">
        <f>IF(tech_base!$T88&gt;AD$2025,"",fuel_costs!V$11*0.086/tech_proj!AD212/(1-tech_proj!AD492))</f>
        <v>78.240046811220552</v>
      </c>
      <c r="AE2112" s="119">
        <f>IF(tech_base!$T88&gt;AE$2025,"",fuel_costs!W$11*0.086/tech_proj!AE212/(1-tech_proj!AE492))</f>
        <v>79.243682554616981</v>
      </c>
      <c r="AF2112" s="119">
        <f>IF(tech_base!$T88&gt;AF$2025,"",fuel_costs!X$11*0.086/tech_proj!AF212/(1-tech_proj!AF492))</f>
        <v>80.376858922489077</v>
      </c>
      <c r="AG2112" s="119">
        <f>IF(tech_base!$T88&gt;AG$2025,"",fuel_costs!Y$11*0.086/tech_proj!AG212/(1-tech_proj!AG492))</f>
        <v>81.369836673600261</v>
      </c>
      <c r="AH2112" s="119">
        <f>IF(tech_base!$T88&gt;AH$2025,"",fuel_costs!Z$11*0.086/tech_proj!AH212/(1-tech_proj!AH492))</f>
        <v>82.241865098553163</v>
      </c>
      <c r="AI2112" s="119">
        <f>IF(tech_base!$T88&gt;AI$2025,"",fuel_costs!AA$11*0.086/tech_proj!AI212/(1-tech_proj!AI492))</f>
        <v>82.936176595002223</v>
      </c>
      <c r="AJ2112" s="119">
        <f>IF(tech_base!$T88&gt;AJ$2025,"",fuel_costs!AB$11*0.086/tech_proj!AJ212/(1-tech_proj!AJ492))</f>
        <v>83.546573423975502</v>
      </c>
      <c r="AK2112" s="119">
        <f>IF(tech_base!$T88&gt;AK$2025,"",fuel_costs!AC$11*0.086/tech_proj!AK212/(1-tech_proj!AK492))</f>
        <v>83.973694163505556</v>
      </c>
      <c r="AL2112" s="119">
        <f>IF(tech_base!$T88&gt;AL$2025,"",fuel_costs!AD$11*0.086/tech_proj!AL212/(1-tech_proj!AL492))</f>
        <v>84.332064361054108</v>
      </c>
      <c r="AM2112" s="119">
        <f>IF(tech_base!$T88&gt;AM$2025,"",fuel_costs!AE$11*0.086/tech_proj!AM212/(1-tech_proj!AM492))</f>
        <v>84.699529775388527</v>
      </c>
      <c r="AN2112" s="119">
        <f>IF(tech_base!$T88&gt;AN$2025,"",fuel_costs!AF$11*0.086/tech_proj!AN212/(1-tech_proj!AN492))</f>
        <v>84.37518381643352</v>
      </c>
      <c r="AO2112" s="119">
        <f>IF(tech_base!$T88&gt;AO$2025,"",fuel_costs!AG$11*0.086/tech_proj!AO212/(1-tech_proj!AO492))</f>
        <v>84.205376028682949</v>
      </c>
      <c r="AP2112" s="119">
        <f>IF(tech_base!$T88&gt;AP$2025,"",fuel_costs!AH$11*0.086/tech_proj!AP212/(1-tech_proj!AP492))</f>
        <v>84.016624369295002</v>
      </c>
      <c r="AQ2112" s="119">
        <f>IF(tech_base!$T88&gt;AQ$2025,"",fuel_costs!AI$11*0.086/tech_proj!AQ212/(1-tech_proj!AQ492))</f>
        <v>83.863515135412868</v>
      </c>
      <c r="AR2112" s="119">
        <f>IF(tech_base!$T88&gt;AR$2025,"",fuel_costs!AJ$11*0.086/tech_proj!AR212/(1-tech_proj!AR492))</f>
        <v>83.854718083704043</v>
      </c>
      <c r="AS2112" s="119">
        <f>IF(tech_base!$T88&gt;AS$2025,"",fuel_costs!AK$11*0.086/tech_proj!AS212/(1-tech_proj!AS492))</f>
        <v>83.979601520001452</v>
      </c>
      <c r="AT2112" s="119">
        <f>IF(tech_base!$T88&gt;AT$2025,"",fuel_costs!AL$11*0.086/tech_proj!AT212/(1-tech_proj!AT492))</f>
        <v>84.117625475523013</v>
      </c>
      <c r="AU2112" s="119">
        <f>IF(tech_base!$T88&gt;AU$2025,"",fuel_costs!AM$11*0.086/tech_proj!AU212/(1-tech_proj!AU492))</f>
        <v>84.258023085202609</v>
      </c>
      <c r="AV2112" s="119">
        <f>IF(tech_base!$T88&gt;AV$2025,"",fuel_costs!AN$11*0.086/tech_proj!AV212/(1-tech_proj!AV492))</f>
        <v>84.365179531655428</v>
      </c>
      <c r="AW2112" s="119">
        <f>IF(tech_base!$T88&gt;AW$2025,"",fuel_costs!AO$11*0.086/tech_proj!AW212/(1-tech_proj!AW492))</f>
        <v>84.160702430801194</v>
      </c>
      <c r="AX2112" s="120">
        <f>IF(tech_base!$T88&gt;AX$2025,"",fuel_costs!AP$11*0.086/tech_proj!AX212/(1-tech_proj!AX492))</f>
        <v>84.02568978117452</v>
      </c>
    </row>
    <row r="2113" spans="1:50" x14ac:dyDescent="0.25">
      <c r="A2113" s="356"/>
      <c r="B2113" s="376"/>
      <c r="C2113" s="361" t="s">
        <v>14</v>
      </c>
      <c r="D2113" s="58" t="s">
        <v>7</v>
      </c>
      <c r="E2113" s="78" t="str">
        <f>A2109&amp;"/"&amp;B2109&amp;"/"&amp;C2113&amp;"/"&amp;D2113</f>
        <v>Gas fired power plants (Natural gas, biogas)/Gas turbine combined cycle/CHP/L</v>
      </c>
      <c r="F2113" s="78" t="str">
        <f>A2109</f>
        <v>Gas fired power plants (Natural gas, biogas)</v>
      </c>
      <c r="G2113" s="78" t="str">
        <f>B2109</f>
        <v>Gas turbine combined cycle</v>
      </c>
      <c r="H2113" s="78" t="str">
        <f>C2113</f>
        <v>CHP</v>
      </c>
      <c r="I2113" s="78" t="str">
        <f t="shared" si="388"/>
        <v>L</v>
      </c>
      <c r="J2113" s="123">
        <f>IF(tech_base!$T89&gt;J$2025,"",fuel_costs!B$11*0.086/tech_proj!J213/(1-tech_proj!J493))</f>
        <v>56.890717554460522</v>
      </c>
      <c r="K2113" s="123">
        <f>IF(tech_base!$T89&gt;K$2025,"",fuel_costs!C$11*0.086/tech_proj!K213/(1-tech_proj!K493))</f>
        <v>65.096592491940513</v>
      </c>
      <c r="L2113" s="123">
        <f>IF(tech_base!$T89&gt;L$2025,"",fuel_costs!D$11*0.086/tech_proj!L213/(1-tech_proj!L493))</f>
        <v>72.827922999108992</v>
      </c>
      <c r="M2113" s="123">
        <f>IF(tech_base!$T89&gt;M$2025,"",fuel_costs!E$11*0.086/tech_proj!M213/(1-tech_proj!M493))</f>
        <v>71.134759442896893</v>
      </c>
      <c r="N2113" s="123">
        <f>IF(tech_base!$T89&gt;N$2025,"",fuel_costs!F$11*0.086/tech_proj!N213/(1-tech_proj!N493))</f>
        <v>59.87349363267829</v>
      </c>
      <c r="O2113" s="123">
        <f>IF(tech_base!$T89&gt;O$2025,"",fuel_costs!G$11*0.086/tech_proj!O213/(1-tech_proj!O493))</f>
        <v>50.334195323354493</v>
      </c>
      <c r="P2113" s="123">
        <f>IF(tech_base!$T89&gt;P$2025,"",fuel_costs!H$11*0.086/tech_proj!P213/(1-tech_proj!P493))</f>
        <v>33.965976617765598</v>
      </c>
      <c r="Q2113" s="123">
        <f>IF(tech_base!$T89&gt;Q$2025,"",fuel_costs!I$11*0.086/tech_proj!Q213/(1-tech_proj!Q493))</f>
        <v>39.963359910811839</v>
      </c>
      <c r="R2113" s="123">
        <f>IF(tech_base!$T89&gt;R$2025,"",fuel_costs!J$11*0.086/tech_proj!R213/(1-tech_proj!R493))</f>
        <v>44.129678196569216</v>
      </c>
      <c r="S2113" s="123">
        <f>IF(tech_base!$T89&gt;S$2025,"",fuel_costs!K$11*0.086/tech_proj!S213/(1-tech_proj!S493))</f>
        <v>48.318613379634897</v>
      </c>
      <c r="T2113" s="123">
        <f>IF(tech_base!$T89&gt;T$2025,"",fuel_costs!L$11*0.086/tech_proj!T213/(1-tech_proj!T493))</f>
        <v>52.44331571648965</v>
      </c>
      <c r="U2113" s="123">
        <f>IF(tech_base!$T89&gt;U$2025,"",fuel_costs!M$11*0.086/tech_proj!U213/(1-tech_proj!U493))</f>
        <v>56.446191531214907</v>
      </c>
      <c r="V2113" s="123">
        <f>IF(tech_base!$T89&gt;V$2025,"",fuel_costs!N$11*0.086/tech_proj!V213/(1-tech_proj!V493))</f>
        <v>59.012740603553766</v>
      </c>
      <c r="W2113" s="123">
        <f>IF(tech_base!$T89&gt;W$2025,"",fuel_costs!O$11*0.086/tech_proj!W213/(1-tech_proj!W493))</f>
        <v>62.048398077551433</v>
      </c>
      <c r="X2113" s="123">
        <f>IF(tech_base!$T89&gt;X$2025,"",fuel_costs!P$11*0.086/tech_proj!X213/(1-tech_proj!X493))</f>
        <v>64.891509837318409</v>
      </c>
      <c r="Y2113" s="123">
        <f>IF(tech_base!$T89&gt;Y$2025,"",fuel_costs!Q$11*0.086/tech_proj!Y213/(1-tech_proj!Y493))</f>
        <v>67.546764284105762</v>
      </c>
      <c r="Z2113" s="123">
        <f>IF(tech_base!$T89&gt;Z$2025,"",fuel_costs!R$11*0.086/tech_proj!Z213/(1-tech_proj!Z493))</f>
        <v>68.409658502408888</v>
      </c>
      <c r="AA2113" s="123">
        <f>IF(tech_base!$T89&gt;AA$2025,"",fuel_costs!S$11*0.086/tech_proj!AA213/(1-tech_proj!AA493))</f>
        <v>69.201777978643904</v>
      </c>
      <c r="AB2113" s="123">
        <f>IF(tech_base!$T89&gt;AB$2025,"",fuel_costs!T$11*0.086/tech_proj!AB213/(1-tech_proj!AB493))</f>
        <v>70.090399773237124</v>
      </c>
      <c r="AC2113" s="123">
        <f>IF(tech_base!$T89&gt;AC$2025,"",fuel_costs!U$11*0.086/tech_proj!AC213/(1-tech_proj!AC493))</f>
        <v>70.979255275704361</v>
      </c>
      <c r="AD2113" s="123">
        <f>IF(tech_base!$T89&gt;AD$2025,"",fuel_costs!V$11*0.086/tech_proj!AD213/(1-tech_proj!AD493))</f>
        <v>72.33391425716755</v>
      </c>
      <c r="AE2113" s="123">
        <f>IF(tech_base!$T89&gt;AE$2025,"",fuel_costs!W$11*0.086/tech_proj!AE213/(1-tech_proj!AE493))</f>
        <v>73.151603304627869</v>
      </c>
      <c r="AF2113" s="123">
        <f>IF(tech_base!$T89&gt;AF$2025,"",fuel_costs!X$11*0.086/tech_proj!AF213/(1-tech_proj!AF493))</f>
        <v>74.111002604682938</v>
      </c>
      <c r="AG2113" s="123">
        <f>IF(tech_base!$T89&gt;AG$2025,"",fuel_costs!Y$11*0.086/tech_proj!AG213/(1-tech_proj!AG493))</f>
        <v>74.969661687722294</v>
      </c>
      <c r="AH2113" s="123">
        <f>IF(tech_base!$T89&gt;AH$2025,"",fuel_costs!Z$11*0.086/tech_proj!AH213/(1-tech_proj!AH493))</f>
        <v>75.752197062734453</v>
      </c>
      <c r="AI2113" s="123">
        <f>IF(tech_base!$T89&gt;AI$2025,"",fuel_costs!AA$11*0.086/tech_proj!AI213/(1-tech_proj!AI493))</f>
        <v>76.413127197539609</v>
      </c>
      <c r="AJ2113" s="123">
        <f>IF(tech_base!$T89&gt;AJ$2025,"",fuel_costs!AB$11*0.086/tech_proj!AJ213/(1-tech_proj!AJ493))</f>
        <v>77.04545520969647</v>
      </c>
      <c r="AK2113" s="123">
        <f>IF(tech_base!$T89&gt;AK$2025,"",fuel_costs!AC$11*0.086/tech_proj!AK213/(1-tech_proj!AK493))</f>
        <v>77.563488118439025</v>
      </c>
      <c r="AL2113" s="123">
        <f>IF(tech_base!$T89&gt;AL$2025,"",fuel_costs!AD$11*0.086/tech_proj!AL213/(1-tech_proj!AL493))</f>
        <v>78.077363321193431</v>
      </c>
      <c r="AM2113" s="123">
        <f>IF(tech_base!$T89&gt;AM$2025,"",fuel_costs!AE$11*0.086/tech_proj!AM213/(1-tech_proj!AM493))</f>
        <v>78.661406686343867</v>
      </c>
      <c r="AN2113" s="123">
        <f>IF(tech_base!$T89&gt;AN$2025,"",fuel_costs!AF$11*0.086/tech_proj!AN213/(1-tech_proj!AN493))</f>
        <v>78.660850137398114</v>
      </c>
      <c r="AO2113" s="123">
        <f>IF(tech_base!$T89&gt;AO$2025,"",fuel_costs!AG$11*0.086/tech_proj!AO213/(1-tech_proj!AO493))</f>
        <v>78.852802191300555</v>
      </c>
      <c r="AP2113" s="123">
        <f>IF(tech_base!$T89&gt;AP$2025,"",fuel_costs!AH$11*0.086/tech_proj!AP213/(1-tech_proj!AP493))</f>
        <v>79.062326745131017</v>
      </c>
      <c r="AQ2113" s="123">
        <f>IF(tech_base!$T89&gt;AQ$2025,"",fuel_costs!AI$11*0.086/tech_proj!AQ213/(1-tech_proj!AQ493))</f>
        <v>79.322351951534415</v>
      </c>
      <c r="AR2113" s="123">
        <f>IF(tech_base!$T89&gt;AR$2025,"",fuel_costs!AJ$11*0.086/tech_proj!AR213/(1-tech_proj!AR493))</f>
        <v>79.715959336048471</v>
      </c>
      <c r="AS2113" s="123">
        <f>IF(tech_base!$T89&gt;AS$2025,"",fuel_costs!AK$11*0.086/tech_proj!AS213/(1-tech_proj!AS493))</f>
        <v>80.215361727393812</v>
      </c>
      <c r="AT2113" s="123">
        <f>IF(tech_base!$T89&gt;AT$2025,"",fuel_costs!AL$11*0.086/tech_proj!AT213/(1-tech_proj!AT493))</f>
        <v>80.69110892453476</v>
      </c>
      <c r="AU2113" s="123">
        <f>IF(tech_base!$T89&gt;AU$2025,"",fuel_costs!AM$11*0.086/tech_proj!AU213/(1-tech_proj!AU493))</f>
        <v>81.123382919054592</v>
      </c>
      <c r="AV2113" s="123">
        <f>IF(tech_base!$T89&gt;AV$2025,"",fuel_costs!AN$11*0.086/tech_proj!AV213/(1-tech_proj!AV493))</f>
        <v>81.474414708442282</v>
      </c>
      <c r="AW2113" s="123">
        <f>IF(tech_base!$T89&gt;AW$2025,"",fuel_costs!AO$11*0.086/tech_proj!AW213/(1-tech_proj!AW493))</f>
        <v>81.4761112069381</v>
      </c>
      <c r="AX2113" s="124">
        <f>IF(tech_base!$T89&gt;AX$2025,"",fuel_costs!AP$11*0.086/tech_proj!AX213/(1-tech_proj!AX493))</f>
        <v>81.501370869109365</v>
      </c>
    </row>
    <row r="2114" spans="1:50" x14ac:dyDescent="0.25">
      <c r="A2114" s="356"/>
      <c r="B2114" s="376"/>
      <c r="C2114" s="378"/>
      <c r="D2114" s="2" t="s">
        <v>8</v>
      </c>
      <c r="E2114" s="76" t="str">
        <f>A2109&amp;"/"&amp;B2109&amp;"/"&amp;C2113&amp;"/"&amp;D2114</f>
        <v>Gas fired power plants (Natural gas, biogas)/Gas turbine combined cycle/CHP/M</v>
      </c>
      <c r="F2114" s="76" t="str">
        <f>A2109</f>
        <v>Gas fired power plants (Natural gas, biogas)</v>
      </c>
      <c r="G2114" s="76" t="str">
        <f>B2109</f>
        <v>Gas turbine combined cycle</v>
      </c>
      <c r="H2114" s="76" t="str">
        <f>C2113</f>
        <v>CHP</v>
      </c>
      <c r="I2114" s="76" t="str">
        <f t="shared" si="388"/>
        <v>M</v>
      </c>
      <c r="J2114" s="119">
        <f>IF(tech_base!$T90&gt;J$2025,"",fuel_costs!B$11*0.086/tech_proj!J214/(1-tech_proj!J494))</f>
        <v>59.83735439884132</v>
      </c>
      <c r="K2114" s="119">
        <f>IF(tech_base!$T90&gt;K$2025,"",fuel_costs!C$11*0.086/tech_proj!K214/(1-tech_proj!K494))</f>
        <v>68.482665873871653</v>
      </c>
      <c r="L2114" s="119">
        <f>IF(tech_base!$T90&gt;L$2025,"",fuel_costs!D$11*0.086/tech_proj!L214/(1-tech_proj!L494))</f>
        <v>76.635169093774778</v>
      </c>
      <c r="M2114" s="119">
        <f>IF(tech_base!$T90&gt;M$2025,"",fuel_costs!E$11*0.086/tech_proj!M214/(1-tech_proj!M494))</f>
        <v>74.875276432748407</v>
      </c>
      <c r="N2114" s="119">
        <f>IF(tech_base!$T90&gt;N$2025,"",fuel_costs!F$11*0.086/tech_proj!N214/(1-tech_proj!N494))</f>
        <v>63.04321202348909</v>
      </c>
      <c r="O2114" s="119">
        <f>IF(tech_base!$T90&gt;O$2025,"",fuel_costs!G$11*0.086/tech_proj!O214/(1-tech_proj!O494))</f>
        <v>53.01964512430083</v>
      </c>
      <c r="P2114" s="119">
        <f>IF(tech_base!$T90&gt;P$2025,"",fuel_costs!H$11*0.086/tech_proj!P214/(1-tech_proj!P494))</f>
        <v>35.794153695744939</v>
      </c>
      <c r="Q2114" s="119">
        <f>IF(tech_base!$T90&gt;Q$2025,"",fuel_costs!I$11*0.086/tech_proj!Q214/(1-tech_proj!Q494))</f>
        <v>42.135619844531234</v>
      </c>
      <c r="R2114" s="119">
        <f>IF(tech_base!$T90&gt;R$2025,"",fuel_costs!J$11*0.086/tech_proj!R214/(1-tech_proj!R494))</f>
        <v>46.554546191453298</v>
      </c>
      <c r="S2114" s="119">
        <f>IF(tech_base!$T90&gt;S$2025,"",fuel_costs!K$11*0.086/tech_proj!S214/(1-tech_proj!S494))</f>
        <v>51.00489343278651</v>
      </c>
      <c r="T2114" s="119">
        <f>IF(tech_base!$T90&gt;T$2025,"",fuel_costs!L$11*0.086/tech_proj!T214/(1-tech_proj!T494))</f>
        <v>55.395009834998106</v>
      </c>
      <c r="U2114" s="119">
        <f>IF(tech_base!$T90&gt;U$2025,"",fuel_costs!M$11*0.086/tech_proj!U214/(1-tech_proj!U494))</f>
        <v>59.663266021528898</v>
      </c>
      <c r="V2114" s="119">
        <f>IF(tech_base!$T90&gt;V$2025,"",fuel_costs!N$11*0.086/tech_proj!V214/(1-tech_proj!V494))</f>
        <v>62.41753074856441</v>
      </c>
      <c r="W2114" s="119">
        <f>IF(tech_base!$T90&gt;W$2025,"",fuel_costs!O$11*0.086/tech_proj!W214/(1-tech_proj!W494))</f>
        <v>65.668931506063672</v>
      </c>
      <c r="X2114" s="119">
        <f>IF(tech_base!$T90&gt;X$2025,"",fuel_costs!P$11*0.086/tech_proj!X214/(1-tech_proj!X494))</f>
        <v>68.714076828220399</v>
      </c>
      <c r="Y2114" s="119">
        <f>IF(tech_base!$T90&gt;Y$2025,"",fuel_costs!Q$11*0.086/tech_proj!Y214/(1-tech_proj!Y494))</f>
        <v>71.552982598991278</v>
      </c>
      <c r="Z2114" s="119">
        <f>IF(tech_base!$T90&gt;Z$2025,"",fuel_costs!R$11*0.086/tech_proj!Z214/(1-tech_proj!Z494))</f>
        <v>72.480199356257557</v>
      </c>
      <c r="AA2114" s="119">
        <f>IF(tech_base!$T90&gt;AA$2025,"",fuel_costs!S$11*0.086/tech_proj!AA214/(1-tech_proj!AA494))</f>
        <v>73.314634175687402</v>
      </c>
      <c r="AB2114" s="119">
        <f>IF(tech_base!$T90&gt;AB$2025,"",fuel_costs!T$11*0.086/tech_proj!AB214/(1-tech_proj!AB494))</f>
        <v>74.230447585731767</v>
      </c>
      <c r="AC2114" s="119">
        <f>IF(tech_base!$T90&gt;AC$2025,"",fuel_costs!U$11*0.086/tech_proj!AC214/(1-tech_proj!AC494))</f>
        <v>75.124244922619823</v>
      </c>
      <c r="AD2114" s="119">
        <f>IF(tech_base!$T90&gt;AD$2025,"",fuel_costs!V$11*0.086/tech_proj!AD214/(1-tech_proj!AD494))</f>
        <v>76.489170789400703</v>
      </c>
      <c r="AE2114" s="119">
        <f>IF(tech_base!$T90&gt;AE$2025,"",fuel_costs!W$11*0.086/tech_proj!AE214/(1-tech_proj!AE494))</f>
        <v>77.267575023141063</v>
      </c>
      <c r="AF2114" s="119">
        <f>IF(tech_base!$T90&gt;AF$2025,"",fuel_costs!X$11*0.086/tech_proj!AF214/(1-tech_proj!AF494))</f>
        <v>78.182533515020836</v>
      </c>
      <c r="AG2114" s="119">
        <f>IF(tech_base!$T90&gt;AG$2025,"",fuel_costs!Y$11*0.086/tech_proj!AG214/(1-tech_proj!AG494))</f>
        <v>78.984408744739241</v>
      </c>
      <c r="AH2114" s="119">
        <f>IF(tech_base!$T90&gt;AH$2025,"",fuel_costs!Z$11*0.086/tech_proj!AH214/(1-tech_proj!AH494))</f>
        <v>79.705977984957215</v>
      </c>
      <c r="AI2114" s="119">
        <f>IF(tech_base!$T90&gt;AI$2025,"",fuel_costs!AA$11*0.086/tech_proj!AI214/(1-tech_proj!AI494))</f>
        <v>80.30529575871013</v>
      </c>
      <c r="AJ2114" s="119">
        <f>IF(tech_base!$T90&gt;AJ$2025,"",fuel_costs!AB$11*0.086/tech_proj!AJ214/(1-tech_proj!AJ494))</f>
        <v>80.884390478442384</v>
      </c>
      <c r="AK2114" s="119">
        <f>IF(tech_base!$T90&gt;AK$2025,"",fuel_costs!AC$11*0.086/tech_proj!AK214/(1-tech_proj!AK494))</f>
        <v>81.355621663294031</v>
      </c>
      <c r="AL2114" s="119">
        <f>IF(tech_base!$T90&gt;AL$2025,"",fuel_costs!AD$11*0.086/tech_proj!AL214/(1-tech_proj!AL494))</f>
        <v>81.835244320218635</v>
      </c>
      <c r="AM2114" s="119">
        <f>IF(tech_base!$T90&gt;AM$2025,"",fuel_costs!AE$11*0.086/tech_proj!AM214/(1-tech_proj!AM494))</f>
        <v>82.400436600670517</v>
      </c>
      <c r="AN2114" s="119">
        <f>IF(tech_base!$T90&gt;AN$2025,"",fuel_costs!AF$11*0.086/tech_proj!AN214/(1-tech_proj!AN494))</f>
        <v>82.364098678406179</v>
      </c>
      <c r="AO2114" s="119">
        <f>IF(tech_base!$T90&gt;AO$2025,"",fuel_costs!AG$11*0.086/tech_proj!AO214/(1-tech_proj!AO494))</f>
        <v>82.538549319121827</v>
      </c>
      <c r="AP2114" s="119">
        <f>IF(tech_base!$T90&gt;AP$2025,"",fuel_costs!AH$11*0.086/tech_proj!AP214/(1-tech_proj!AP494))</f>
        <v>82.738675726322114</v>
      </c>
      <c r="AQ2114" s="119">
        <f>IF(tech_base!$T90&gt;AQ$2025,"",fuel_costs!AI$11*0.086/tech_proj!AQ214/(1-tech_proj!AQ494))</f>
        <v>82.997257018945049</v>
      </c>
      <c r="AR2114" s="119">
        <f>IF(tech_base!$T90&gt;AR$2025,"",fuel_costs!AJ$11*0.086/tech_proj!AR214/(1-tech_proj!AR494))</f>
        <v>83.399790877512515</v>
      </c>
      <c r="AS2114" s="119">
        <f>IF(tech_base!$T90&gt;AS$2025,"",fuel_costs!AK$11*0.086/tech_proj!AS214/(1-tech_proj!AS494))</f>
        <v>83.91605002516259</v>
      </c>
      <c r="AT2114" s="119">
        <f>IF(tech_base!$T90&gt;AT$2025,"",fuel_costs!AL$11*0.086/tech_proj!AT214/(1-tech_proj!AT494))</f>
        <v>84.409737463055137</v>
      </c>
      <c r="AU2114" s="119">
        <f>IF(tech_base!$T90&gt;AU$2025,"",fuel_costs!AM$11*0.086/tech_proj!AU214/(1-tech_proj!AU494))</f>
        <v>84.859475680354507</v>
      </c>
      <c r="AV2114" s="119">
        <f>IF(tech_base!$T90&gt;AV$2025,"",fuel_costs!AN$11*0.086/tech_proj!AV214/(1-tech_proj!AV494))</f>
        <v>85.225277997608146</v>
      </c>
      <c r="AW2114" s="119">
        <f>IF(tech_base!$T90&gt;AW$2025,"",fuel_costs!AO$11*0.086/tech_proj!AW214/(1-tech_proj!AW494))</f>
        <v>85.226364082711612</v>
      </c>
      <c r="AX2114" s="120">
        <f>IF(tech_base!$T90&gt;AX$2025,"",fuel_costs!AP$11*0.086/tech_proj!AX214/(1-tech_proj!AX494))</f>
        <v>85.252549606450458</v>
      </c>
    </row>
    <row r="2115" spans="1:50" x14ac:dyDescent="0.25">
      <c r="A2115" s="356"/>
      <c r="B2115" s="376"/>
      <c r="C2115" s="378"/>
      <c r="D2115" s="2" t="s">
        <v>10</v>
      </c>
      <c r="E2115" s="76" t="str">
        <f>A2109&amp;"/"&amp;B2109&amp;"/"&amp;C2113&amp;"/"&amp;D2115</f>
        <v>Gas fired power plants (Natural gas, biogas)/Gas turbine combined cycle/CHP/S</v>
      </c>
      <c r="F2115" s="76" t="str">
        <f>A2109</f>
        <v>Gas fired power plants (Natural gas, biogas)</v>
      </c>
      <c r="G2115" s="76" t="str">
        <f>B2109</f>
        <v>Gas turbine combined cycle</v>
      </c>
      <c r="H2115" s="76" t="str">
        <f>C2113</f>
        <v>CHP</v>
      </c>
      <c r="I2115" s="76" t="str">
        <f t="shared" si="388"/>
        <v>S</v>
      </c>
      <c r="J2115" s="119">
        <f>IF(tech_base!$T91&gt;J$2025,"",fuel_costs!B$11*0.086/tech_proj!J215/(1-tech_proj!J495))</f>
        <v>62.942183565955951</v>
      </c>
      <c r="K2115" s="119">
        <f>IF(tech_base!$T91&gt;K$2025,"",fuel_costs!C$11*0.086/tech_proj!K215/(1-tech_proj!K495))</f>
        <v>72.04079567051825</v>
      </c>
      <c r="L2115" s="119">
        <f>IF(tech_base!$T91&gt;L$2025,"",fuel_costs!D$11*0.086/tech_proj!L215/(1-tech_proj!L495))</f>
        <v>80.623586393964075</v>
      </c>
      <c r="M2115" s="119">
        <f>IF(tech_base!$T91&gt;M$2025,"",fuel_costs!E$11*0.086/tech_proj!M215/(1-tech_proj!M495))</f>
        <v>78.780430494958239</v>
      </c>
      <c r="N2115" s="119">
        <f>IF(tech_base!$T91&gt;N$2025,"",fuel_costs!F$11*0.086/tech_proj!N215/(1-tech_proj!N495))</f>
        <v>66.340152925227741</v>
      </c>
      <c r="O2115" s="119">
        <f>IF(tech_base!$T91&gt;O$2025,"",fuel_costs!G$11*0.086/tech_proj!O215/(1-tech_proj!O495))</f>
        <v>55.801853936019228</v>
      </c>
      <c r="P2115" s="119">
        <f>IF(tech_base!$T91&gt;P$2025,"",fuel_costs!H$11*0.086/tech_proj!P215/(1-tech_proj!P495))</f>
        <v>37.680520108956081</v>
      </c>
      <c r="Q2115" s="119">
        <f>IF(tech_base!$T91&gt;Q$2025,"",fuel_costs!I$11*0.086/tech_proj!Q215/(1-tech_proj!Q495))</f>
        <v>44.368130388427538</v>
      </c>
      <c r="R2115" s="119">
        <f>IF(tech_base!$T91&gt;R$2025,"",fuel_costs!J$11*0.086/tech_proj!R215/(1-tech_proj!R495))</f>
        <v>49.037726835026405</v>
      </c>
      <c r="S2115" s="119">
        <f>IF(tech_base!$T91&gt;S$2025,"",fuel_costs!K$11*0.086/tech_proj!S215/(1-tech_proj!S495))</f>
        <v>53.748036496963373</v>
      </c>
      <c r="T2115" s="119">
        <f>IF(tech_base!$T91&gt;T$2025,"",fuel_costs!L$11*0.086/tech_proj!T215/(1-tech_proj!T495))</f>
        <v>58.404635081285569</v>
      </c>
      <c r="U2115" s="119">
        <f>IF(tech_base!$T91&gt;U$2025,"",fuel_costs!M$11*0.086/tech_proj!U215/(1-tech_proj!U495))</f>
        <v>62.944957871723382</v>
      </c>
      <c r="V2115" s="119">
        <f>IF(tech_base!$T91&gt;V$2025,"",fuel_costs!N$11*0.086/tech_proj!V215/(1-tech_proj!V495))</f>
        <v>65.901778121417493</v>
      </c>
      <c r="W2115" s="119">
        <f>IF(tech_base!$T91&gt;W$2025,"",fuel_costs!O$11*0.086/tech_proj!W215/(1-tech_proj!W495))</f>
        <v>69.399072839271696</v>
      </c>
      <c r="X2115" s="119">
        <f>IF(tech_base!$T91&gt;X$2025,"",fuel_costs!P$11*0.086/tech_proj!X215/(1-tech_proj!X495))</f>
        <v>72.696581886591872</v>
      </c>
      <c r="Y2115" s="119">
        <f>IF(tech_base!$T91&gt;Y$2025,"",fuel_costs!Q$11*0.086/tech_proj!Y215/(1-tech_proj!Y495))</f>
        <v>75.795315932209093</v>
      </c>
      <c r="Z2115" s="119">
        <f>IF(tech_base!$T91&gt;Z$2025,"",fuel_costs!R$11*0.086/tech_proj!Z215/(1-tech_proj!Z495))</f>
        <v>76.885671471154723</v>
      </c>
      <c r="AA2115" s="119">
        <f>IF(tech_base!$T91&gt;AA$2025,"",fuel_costs!S$11*0.086/tech_proj!AA215/(1-tech_proj!AA495))</f>
        <v>77.889018245304996</v>
      </c>
      <c r="AB2115" s="119">
        <f>IF(tech_base!$T91&gt;AB$2025,"",fuel_costs!T$11*0.086/tech_proj!AB215/(1-tech_proj!AB495))</f>
        <v>78.985137817713365</v>
      </c>
      <c r="AC2115" s="119">
        <f>IF(tech_base!$T91&gt;AC$2025,"",fuel_costs!U$11*0.086/tech_proj!AC215/(1-tech_proj!AC495))</f>
        <v>80.056218420936005</v>
      </c>
      <c r="AD2115" s="119">
        <f>IF(tech_base!$T91&gt;AD$2025,"",fuel_costs!V$11*0.086/tech_proj!AD215/(1-tech_proj!AD495))</f>
        <v>81.617437112957219</v>
      </c>
      <c r="AE2115" s="119">
        <f>IF(tech_base!$T91&gt;AE$2025,"",fuel_costs!W$11*0.086/tech_proj!AE215/(1-tech_proj!AE495))</f>
        <v>82.527576744012137</v>
      </c>
      <c r="AF2115" s="119">
        <f>IF(tech_base!$T91&gt;AF$2025,"",fuel_costs!X$11*0.086/tech_proj!AF215/(1-tech_proj!AF495))</f>
        <v>83.544282802520357</v>
      </c>
      <c r="AG2115" s="119">
        <f>IF(tech_base!$T91&gt;AG$2025,"",fuel_costs!Y$11*0.086/tech_proj!AG215/(1-tech_proj!AG495))</f>
        <v>84.389699431792209</v>
      </c>
      <c r="AH2115" s="119">
        <f>IF(tech_base!$T91&gt;AH$2025,"",fuel_costs!Z$11*0.086/tech_proj!AH215/(1-tech_proj!AH495))</f>
        <v>85.092720837337026</v>
      </c>
      <c r="AI2115" s="119">
        <f>IF(tech_base!$T91&gt;AI$2025,"",fuel_costs!AA$11*0.086/tech_proj!AI215/(1-tech_proj!AI495))</f>
        <v>85.609945364324417</v>
      </c>
      <c r="AJ2115" s="119">
        <f>IF(tech_base!$T91&gt;AJ$2025,"",fuel_costs!AB$11*0.086/tech_proj!AJ215/(1-tech_proj!AJ495))</f>
        <v>86.059432558320026</v>
      </c>
      <c r="AK2115" s="119">
        <f>IF(tech_base!$T91&gt;AK$2025,"",fuel_costs!AC$11*0.086/tech_proj!AK215/(1-tech_proj!AK495))</f>
        <v>86.363282729773061</v>
      </c>
      <c r="AL2115" s="119">
        <f>IF(tech_base!$T91&gt;AL$2025,"",fuel_costs!AD$11*0.086/tech_proj!AL215/(1-tech_proj!AL495))</f>
        <v>86.663242485517188</v>
      </c>
      <c r="AM2115" s="119">
        <f>IF(tech_base!$T91&gt;AM$2025,"",fuel_costs!AE$11*0.086/tech_proj!AM215/(1-tech_proj!AM495))</f>
        <v>87.057628422415931</v>
      </c>
      <c r="AN2115" s="119">
        <f>IF(tech_base!$T91&gt;AN$2025,"",fuel_costs!AF$11*0.086/tech_proj!AN215/(1-tech_proj!AN495))</f>
        <v>86.834387255270215</v>
      </c>
      <c r="AO2115" s="119">
        <f>IF(tech_base!$T91&gt;AO$2025,"",fuel_costs!AG$11*0.086/tech_proj!AO215/(1-tech_proj!AO495))</f>
        <v>86.859624758578107</v>
      </c>
      <c r="AP2115" s="119">
        <f>IF(tech_base!$T91&gt;AP$2025,"",fuel_costs!AH$11*0.086/tech_proj!AP215/(1-tech_proj!AP495))</f>
        <v>86.940085639806981</v>
      </c>
      <c r="AQ2115" s="119">
        <f>IF(tech_base!$T91&gt;AQ$2025,"",fuel_costs!AI$11*0.086/tech_proj!AQ215/(1-tech_proj!AQ495))</f>
        <v>87.108898331476695</v>
      </c>
      <c r="AR2115" s="119">
        <f>IF(tech_base!$T91&gt;AR$2025,"",fuel_costs!AJ$11*0.086/tech_proj!AR215/(1-tech_proj!AR495))</f>
        <v>87.452277002280567</v>
      </c>
      <c r="AS2115" s="119">
        <f>IF(tech_base!$T91&gt;AS$2025,"",fuel_costs!AK$11*0.086/tech_proj!AS215/(1-tech_proj!AS495))</f>
        <v>87.934167085075671</v>
      </c>
      <c r="AT2115" s="119">
        <f>IF(tech_base!$T91&gt;AT$2025,"",fuel_costs!AL$11*0.086/tech_proj!AT215/(1-tech_proj!AT495))</f>
        <v>88.407640630218594</v>
      </c>
      <c r="AU2115" s="119">
        <f>IF(tech_base!$T91&gt;AU$2025,"",fuel_costs!AM$11*0.086/tech_proj!AU215/(1-tech_proj!AU495))</f>
        <v>88.846818572936641</v>
      </c>
      <c r="AV2115" s="119">
        <f>IF(tech_base!$T91&gt;AV$2025,"",fuel_costs!AN$11*0.086/tech_proj!AV215/(1-tech_proj!AV495))</f>
        <v>89.206943863540474</v>
      </c>
      <c r="AW2115" s="119">
        <f>IF(tech_base!$T91&gt;AW$2025,"",fuel_costs!AO$11*0.086/tech_proj!AW215/(1-tech_proj!AW495))</f>
        <v>89.191885262055834</v>
      </c>
      <c r="AX2115" s="120">
        <f>IF(tech_base!$T91&gt;AX$2025,"",fuel_costs!AP$11*0.086/tech_proj!AX215/(1-tech_proj!AX495))</f>
        <v>89.20789378909349</v>
      </c>
    </row>
    <row r="2116" spans="1:50" x14ac:dyDescent="0.25">
      <c r="A2116" s="356"/>
      <c r="B2116" s="376"/>
      <c r="C2116" s="379"/>
      <c r="D2116" s="59" t="s">
        <v>20</v>
      </c>
      <c r="E2116" s="79" t="str">
        <f>A2109&amp;"/"&amp;B2109&amp;"/"&amp;C2113&amp;"/"&amp;D2116</f>
        <v>Gas fired power plants (Natural gas, biogas)/Gas turbine combined cycle/CHP/XS</v>
      </c>
      <c r="F2116" s="79" t="str">
        <f>A2109</f>
        <v>Gas fired power plants (Natural gas, biogas)</v>
      </c>
      <c r="G2116" s="79" t="str">
        <f>B2109</f>
        <v>Gas turbine combined cycle</v>
      </c>
      <c r="H2116" s="79" t="str">
        <f>C2113</f>
        <v>CHP</v>
      </c>
      <c r="I2116" s="79" t="str">
        <f t="shared" si="388"/>
        <v>XS</v>
      </c>
      <c r="J2116" s="125">
        <f>IF(tech_base!$T92&gt;J$2025,"",fuel_costs!B$11*0.086/tech_proj!J216/(1-tech_proj!J496))</f>
        <v>66.214292627585209</v>
      </c>
      <c r="K2116" s="125">
        <f>IF(tech_base!$T92&gt;K$2025,"",fuel_costs!C$11*0.086/tech_proj!K216/(1-tech_proj!K496))</f>
        <v>75.786387992844681</v>
      </c>
      <c r="L2116" s="125">
        <f>IF(tech_base!$T92&gt;L$2025,"",fuel_costs!D$11*0.086/tech_proj!L216/(1-tech_proj!L496))</f>
        <v>84.816150639124359</v>
      </c>
      <c r="M2116" s="125">
        <f>IF(tech_base!$T92&gt;M$2025,"",fuel_costs!E$11*0.086/tech_proj!M216/(1-tech_proj!M496))</f>
        <v>82.878109679256383</v>
      </c>
      <c r="N2116" s="125">
        <f>IF(tech_base!$T92&gt;N$2025,"",fuel_costs!F$11*0.086/tech_proj!N216/(1-tech_proj!N496))</f>
        <v>69.791857506983419</v>
      </c>
      <c r="O2116" s="125">
        <f>IF(tech_base!$T92&gt;O$2025,"",fuel_costs!G$11*0.086/tech_proj!O216/(1-tech_proj!O496))</f>
        <v>58.706486606336831</v>
      </c>
      <c r="P2116" s="125">
        <f>IF(tech_base!$T92&gt;P$2025,"",fuel_costs!H$11*0.086/tech_proj!P216/(1-tech_proj!P496))</f>
        <v>39.643018809261868</v>
      </c>
      <c r="Q2116" s="125">
        <f>IF(tech_base!$T92&gt;Q$2025,"",fuel_costs!I$11*0.086/tech_proj!Q216/(1-tech_proj!Q496))</f>
        <v>46.680728610985113</v>
      </c>
      <c r="R2116" s="125">
        <f>IF(tech_base!$T92&gt;R$2025,"",fuel_costs!J$11*0.086/tech_proj!R216/(1-tech_proj!R496))</f>
        <v>51.59638538681331</v>
      </c>
      <c r="S2116" s="125">
        <f>IF(tech_base!$T92&gt;S$2025,"",fuel_costs!K$11*0.086/tech_proj!S216/(1-tech_proj!S496))</f>
        <v>56.556401308704778</v>
      </c>
      <c r="T2116" s="125">
        <f>IF(tech_base!$T92&gt;T$2025,"",fuel_costs!L$11*0.086/tech_proj!T216/(1-tech_proj!T496))</f>
        <v>61.462059058131175</v>
      </c>
      <c r="U2116" s="125">
        <f>IF(tech_base!$T92&gt;U$2025,"",fuel_costs!M$11*0.086/tech_proj!U216/(1-tech_proj!U496))</f>
        <v>66.248383733192924</v>
      </c>
      <c r="V2116" s="125">
        <f>IF(tech_base!$T92&gt;V$2025,"",fuel_costs!N$11*0.086/tech_proj!V216/(1-tech_proj!V496))</f>
        <v>69.372058221899565</v>
      </c>
      <c r="W2116" s="125">
        <f>IF(tech_base!$T92&gt;W$2025,"",fuel_costs!O$11*0.086/tech_proj!W216/(1-tech_proj!W496))</f>
        <v>73.069956932148884</v>
      </c>
      <c r="X2116" s="125">
        <f>IF(tech_base!$T92&gt;X$2025,"",fuel_costs!P$11*0.086/tech_proj!X216/(1-tech_proj!X496))</f>
        <v>76.564843617222508</v>
      </c>
      <c r="Y2116" s="125">
        <f>IF(tech_base!$T92&gt;Y$2025,"",fuel_costs!Q$11*0.086/tech_proj!Y216/(1-tech_proj!Y496))</f>
        <v>79.860222853528811</v>
      </c>
      <c r="Z2116" s="125">
        <f>IF(tech_base!$T92&gt;Z$2025,"",fuel_costs!R$11*0.086/tech_proj!Z216/(1-tech_proj!Z496))</f>
        <v>81.05155199080113</v>
      </c>
      <c r="AA2116" s="125">
        <f>IF(tech_base!$T92&gt;AA$2025,"",fuel_costs!S$11*0.086/tech_proj!AA216/(1-tech_proj!AA496))</f>
        <v>82.165614785596091</v>
      </c>
      <c r="AB2116" s="125">
        <f>IF(tech_base!$T92&gt;AB$2025,"",fuel_costs!T$11*0.086/tech_proj!AB216/(1-tech_proj!AB496))</f>
        <v>83.395943777491652</v>
      </c>
      <c r="AC2116" s="125">
        <f>IF(tech_base!$T92&gt;AC$2025,"",fuel_costs!U$11*0.086/tech_proj!AC216/(1-tech_proj!AC496))</f>
        <v>84.622706601239756</v>
      </c>
      <c r="AD2116" s="125">
        <f>IF(tech_base!$T92&gt;AD$2025,"",fuel_costs!V$11*0.086/tech_proj!AD216/(1-tech_proj!AD496))</f>
        <v>86.395635913347647</v>
      </c>
      <c r="AE2116" s="125">
        <f>IF(tech_base!$T92&gt;AE$2025,"",fuel_costs!W$11*0.086/tech_proj!AE216/(1-tech_proj!AE496))</f>
        <v>87.511088072875239</v>
      </c>
      <c r="AF2116" s="125">
        <f>IF(tech_base!$T92&gt;AF$2025,"",fuel_costs!X$11*0.086/tech_proj!AF216/(1-tech_proj!AF496))</f>
        <v>88.772185336332768</v>
      </c>
      <c r="AG2116" s="125">
        <f>IF(tech_base!$T92&gt;AG$2025,"",fuel_costs!Y$11*0.086/tech_proj!AG216/(1-tech_proj!AG496))</f>
        <v>89.881845970988195</v>
      </c>
      <c r="AH2116" s="125">
        <f>IF(tech_base!$T92&gt;AH$2025,"",fuel_costs!Z$11*0.086/tech_proj!AH216/(1-tech_proj!AH496))</f>
        <v>90.862280556998826</v>
      </c>
      <c r="AI2116" s="125">
        <f>IF(tech_base!$T92&gt;AI$2025,"",fuel_costs!AA$11*0.086/tech_proj!AI216/(1-tech_proj!AI496))</f>
        <v>91.651874625834552</v>
      </c>
      <c r="AJ2116" s="125">
        <f>IF(tech_base!$T92&gt;AJ$2025,"",fuel_costs!AB$11*0.086/tech_proj!AJ216/(1-tech_proj!AJ496))</f>
        <v>92.355499633618763</v>
      </c>
      <c r="AK2116" s="125">
        <f>IF(tech_base!$T92&gt;AK$2025,"",fuel_costs!AC$11*0.086/tech_proj!AK216/(1-tech_proj!AK496))</f>
        <v>92.864557012715991</v>
      </c>
      <c r="AL2116" s="125">
        <f>IF(tech_base!$T92&gt;AL$2025,"",fuel_costs!AD$11*0.086/tech_proj!AL216/(1-tech_proj!AL496))</f>
        <v>93.306721677111739</v>
      </c>
      <c r="AM2116" s="125">
        <f>IF(tech_base!$T92&gt;AM$2025,"",fuel_costs!AE$11*0.086/tech_proj!AM216/(1-tech_proj!AM496))</f>
        <v>93.768859820172906</v>
      </c>
      <c r="AN2116" s="125">
        <f>IF(tech_base!$T92&gt;AN$2025,"",fuel_costs!AF$11*0.086/tech_proj!AN216/(1-tech_proj!AN496))</f>
        <v>93.474579055470372</v>
      </c>
      <c r="AO2116" s="125">
        <f>IF(tech_base!$T92&gt;AO$2025,"",fuel_costs!AG$11*0.086/tech_proj!AO216/(1-tech_proj!AO496))</f>
        <v>93.359493184127103</v>
      </c>
      <c r="AP2116" s="125">
        <f>IF(tech_base!$T92&gt;AP$2025,"",fuel_costs!AH$11*0.086/tech_proj!AP216/(1-tech_proj!AP496))</f>
        <v>93.229240729649774</v>
      </c>
      <c r="AQ2116" s="125">
        <f>IF(tech_base!$T92&gt;AQ$2025,"",fuel_costs!AI$11*0.086/tech_proj!AQ216/(1-tech_proj!AQ496))</f>
        <v>93.141136561596312</v>
      </c>
      <c r="AR2116" s="125">
        <f>IF(tech_base!$T92&gt;AR$2025,"",fuel_costs!AJ$11*0.086/tech_proj!AR216/(1-tech_proj!AR496))</f>
        <v>93.212287914719212</v>
      </c>
      <c r="AS2116" s="125">
        <f>IF(tech_base!$T92&gt;AS$2025,"",fuel_costs!AK$11*0.086/tech_proj!AS216/(1-tech_proj!AS496))</f>
        <v>93.427592034732413</v>
      </c>
      <c r="AT2116" s="125">
        <f>IF(tech_base!$T92&gt;AT$2025,"",fuel_costs!AL$11*0.086/tech_proj!AT216/(1-tech_proj!AT496))</f>
        <v>93.650229250805481</v>
      </c>
      <c r="AU2116" s="125">
        <f>IF(tech_base!$T92&gt;AU$2025,"",fuel_costs!AM$11*0.086/tech_proj!AU216/(1-tech_proj!AU496))</f>
        <v>93.866374200757747</v>
      </c>
      <c r="AV2116" s="125">
        <f>IF(tech_base!$T92&gt;AV$2025,"",fuel_costs!AN$11*0.086/tech_proj!AV216/(1-tech_proj!AV496))</f>
        <v>94.035662738232404</v>
      </c>
      <c r="AW2116" s="125">
        <f>IF(tech_base!$T92&gt;AW$2025,"",fuel_costs!AO$11*0.086/tech_proj!AW216/(1-tech_proj!AW496))</f>
        <v>93.84792681462369</v>
      </c>
      <c r="AX2116" s="126">
        <f>IF(tech_base!$T92&gt;AX$2025,"",fuel_costs!AP$11*0.086/tech_proj!AX216/(1-tech_proj!AX496))</f>
        <v>93.728900138918306</v>
      </c>
    </row>
    <row r="2117" spans="1:50" x14ac:dyDescent="0.25">
      <c r="A2117" s="356"/>
      <c r="B2117" s="376"/>
      <c r="C2117" s="361" t="s">
        <v>15</v>
      </c>
      <c r="D2117" s="58" t="s">
        <v>7</v>
      </c>
      <c r="E2117" s="78" t="str">
        <f>A2109&amp;"/"&amp;B2109&amp;"/"&amp;C2117&amp;"/"&amp;D2117</f>
        <v>Gas fired power plants (Natural gas, biogas)/Gas turbine combined cycle/Electricity only with CCS/L</v>
      </c>
      <c r="F2117" s="78" t="str">
        <f>A2109</f>
        <v>Gas fired power plants (Natural gas, biogas)</v>
      </c>
      <c r="G2117" s="78" t="str">
        <f>B2109</f>
        <v>Gas turbine combined cycle</v>
      </c>
      <c r="H2117" s="78" t="str">
        <f>C2117</f>
        <v>Electricity only with CCS</v>
      </c>
      <c r="I2117" s="78" t="str">
        <f t="shared" si="388"/>
        <v>L</v>
      </c>
      <c r="J2117" s="123" t="str">
        <f>IF(tech_base!$T93&gt;J$2025,"",fuel_costs!B$11*0.086/tech_proj!J217/(1-tech_proj!J497))</f>
        <v/>
      </c>
      <c r="K2117" s="123" t="str">
        <f>IF(tech_base!$T93&gt;K$2025,"",fuel_costs!C$11*0.086/tech_proj!K217/(1-tech_proj!K497))</f>
        <v/>
      </c>
      <c r="L2117" s="123" t="str">
        <f>IF(tech_base!$T93&gt;L$2025,"",fuel_costs!D$11*0.086/tech_proj!L217/(1-tech_proj!L497))</f>
        <v/>
      </c>
      <c r="M2117" s="123" t="str">
        <f>IF(tech_base!$T93&gt;M$2025,"",fuel_costs!E$11*0.086/tech_proj!M217/(1-tech_proj!M497))</f>
        <v/>
      </c>
      <c r="N2117" s="123" t="str">
        <f>IF(tech_base!$T93&gt;N$2025,"",fuel_costs!F$11*0.086/tech_proj!N217/(1-tech_proj!N497))</f>
        <v/>
      </c>
      <c r="O2117" s="123" t="str">
        <f>IF(tech_base!$T93&gt;O$2025,"",fuel_costs!G$11*0.086/tech_proj!O217/(1-tech_proj!O497))</f>
        <v/>
      </c>
      <c r="P2117" s="123" t="str">
        <f>IF(tech_base!$T93&gt;P$2025,"",fuel_costs!H$11*0.086/tech_proj!P217/(1-tech_proj!P497))</f>
        <v/>
      </c>
      <c r="Q2117" s="123" t="str">
        <f>IF(tech_base!$T93&gt;Q$2025,"",fuel_costs!I$11*0.086/tech_proj!Q217/(1-tech_proj!Q497))</f>
        <v/>
      </c>
      <c r="R2117" s="123" t="str">
        <f>IF(tech_base!$T93&gt;R$2025,"",fuel_costs!J$11*0.086/tech_proj!R217/(1-tech_proj!R497))</f>
        <v/>
      </c>
      <c r="S2117" s="123" t="str">
        <f>IF(tech_base!$T93&gt;S$2025,"",fuel_costs!K$11*0.086/tech_proj!S217/(1-tech_proj!S497))</f>
        <v/>
      </c>
      <c r="T2117" s="123" t="str">
        <f>IF(tech_base!$T93&gt;T$2025,"",fuel_costs!L$11*0.086/tech_proj!T217/(1-tech_proj!T497))</f>
        <v/>
      </c>
      <c r="U2117" s="123" t="str">
        <f>IF(tech_base!$T93&gt;U$2025,"",fuel_costs!M$11*0.086/tech_proj!U217/(1-tech_proj!U497))</f>
        <v/>
      </c>
      <c r="V2117" s="123" t="str">
        <f>IF(tech_base!$T93&gt;V$2025,"",fuel_costs!N$11*0.086/tech_proj!V217/(1-tech_proj!V497))</f>
        <v/>
      </c>
      <c r="W2117" s="123" t="str">
        <f>IF(tech_base!$T93&gt;W$2025,"",fuel_costs!O$11*0.086/tech_proj!W217/(1-tech_proj!W497))</f>
        <v/>
      </c>
      <c r="X2117" s="123" t="str">
        <f>IF(tech_base!$T93&gt;X$2025,"",fuel_costs!P$11*0.086/tech_proj!X217/(1-tech_proj!X497))</f>
        <v/>
      </c>
      <c r="Y2117" s="123" t="str">
        <f>IF(tech_base!$T93&gt;Y$2025,"",fuel_costs!Q$11*0.086/tech_proj!Y217/(1-tech_proj!Y497))</f>
        <v/>
      </c>
      <c r="Z2117" s="123" t="str">
        <f>IF(tech_base!$T93&gt;Z$2025,"",fuel_costs!R$11*0.086/tech_proj!Z217/(1-tech_proj!Z497))</f>
        <v/>
      </c>
      <c r="AA2117" s="123" t="str">
        <f>IF(tech_base!$T93&gt;AA$2025,"",fuel_costs!S$11*0.086/tech_proj!AA217/(1-tech_proj!AA497))</f>
        <v/>
      </c>
      <c r="AB2117" s="123" t="str">
        <f>IF(tech_base!$T93&gt;AB$2025,"",fuel_costs!T$11*0.086/tech_proj!AB217/(1-tech_proj!AB497))</f>
        <v/>
      </c>
      <c r="AC2117" s="123" t="str">
        <f>IF(tech_base!$T93&gt;AC$2025,"",fuel_costs!U$11*0.086/tech_proj!AC217/(1-tech_proj!AC497))</f>
        <v/>
      </c>
      <c r="AD2117" s="123" t="str">
        <f>IF(tech_base!$T93&gt;AD$2025,"",fuel_costs!V$11*0.086/tech_proj!AD217/(1-tech_proj!AD497))</f>
        <v/>
      </c>
      <c r="AE2117" s="123">
        <f>IF(tech_base!$T93&gt;AE$2025,"",fuel_costs!W$11*0.086/tech_proj!AE217/(1-tech_proj!AE497))</f>
        <v>83.213045996026025</v>
      </c>
      <c r="AF2117" s="123">
        <f>IF(tech_base!$T93&gt;AF$2025,"",fuel_costs!X$11*0.086/tech_proj!AF217/(1-tech_proj!AF497))</f>
        <v>84.447920977270599</v>
      </c>
      <c r="AG2117" s="123">
        <f>IF(tech_base!$T93&gt;AG$2025,"",fuel_costs!Y$11*0.086/tech_proj!AG217/(1-tech_proj!AG497))</f>
        <v>85.551785019213199</v>
      </c>
      <c r="AH2117" s="123">
        <f>IF(tech_base!$T93&gt;AH$2025,"",fuel_costs!Z$11*0.086/tech_proj!AH217/(1-tech_proj!AH497))</f>
        <v>86.549382635949073</v>
      </c>
      <c r="AI2117" s="123">
        <f>IF(tech_base!$T93&gt;AI$2025,"",fuel_costs!AA$11*0.086/tech_proj!AI217/(1-tech_proj!AI497))</f>
        <v>87.386061169684552</v>
      </c>
      <c r="AJ2117" s="123">
        <f>IF(tech_base!$T93&gt;AJ$2025,"",fuel_costs!AB$11*0.086/tech_proj!AJ217/(1-tech_proj!AJ497))</f>
        <v>88.16592601114364</v>
      </c>
      <c r="AK2117" s="123">
        <f>IF(tech_base!$T93&gt;AK$2025,"",fuel_costs!AC$11*0.086/tech_proj!AK217/(1-tech_proj!AK497))</f>
        <v>88.78891163706291</v>
      </c>
      <c r="AL2117" s="123">
        <f>IF(tech_base!$T93&gt;AL$2025,"",fuel_costs!AD$11*0.086/tech_proj!AL217/(1-tech_proj!AL497))</f>
        <v>89.378864769911161</v>
      </c>
      <c r="AM2117" s="123">
        <f>IF(tech_base!$T93&gt;AM$2025,"",fuel_costs!AE$11*0.086/tech_proj!AM217/(1-tech_proj!AM497))</f>
        <v>90.018121089055086</v>
      </c>
      <c r="AN2117" s="123">
        <f>IF(tech_base!$T93&gt;AN$2025,"",fuel_costs!AF$11*0.086/tech_proj!AN217/(1-tech_proj!AN497))</f>
        <v>89.954101910155444</v>
      </c>
      <c r="AO2117" s="123">
        <f>IF(tech_base!$T93&gt;AO$2025,"",fuel_costs!AG$11*0.086/tech_proj!AO217/(1-tech_proj!AO497))</f>
        <v>90.071839756101099</v>
      </c>
      <c r="AP2117" s="123">
        <f>IF(tech_base!$T93&gt;AP$2025,"",fuel_costs!AH$11*0.086/tech_proj!AP217/(1-tech_proj!AP497))</f>
        <v>90.165460527585779</v>
      </c>
      <c r="AQ2117" s="123">
        <f>IF(tech_base!$T93&gt;AQ$2025,"",fuel_costs!AI$11*0.086/tech_proj!AQ217/(1-tech_proj!AQ497))</f>
        <v>90.265369887208522</v>
      </c>
      <c r="AR2117" s="123">
        <f>IF(tech_base!$T93&gt;AR$2025,"",fuel_costs!AJ$11*0.086/tech_proj!AR217/(1-tech_proj!AR497))</f>
        <v>90.457168399816609</v>
      </c>
      <c r="AS2117" s="123">
        <f>IF(tech_base!$T93&gt;AS$2025,"",fuel_costs!AK$11*0.086/tech_proj!AS217/(1-tech_proj!AS497))</f>
        <v>90.698618618370858</v>
      </c>
      <c r="AT2117" s="123">
        <f>IF(tech_base!$T93&gt;AT$2025,"",fuel_costs!AL$11*0.086/tech_proj!AT217/(1-tech_proj!AT497))</f>
        <v>90.83261960212495</v>
      </c>
      <c r="AU2117" s="123">
        <f>IF(tech_base!$T93&gt;AU$2025,"",fuel_costs!AM$11*0.086/tech_proj!AU217/(1-tech_proj!AU497))</f>
        <v>90.828136550961801</v>
      </c>
      <c r="AV2117" s="123">
        <f>IF(tech_base!$T93&gt;AV$2025,"",fuel_costs!AN$11*0.086/tech_proj!AV217/(1-tech_proj!AV497))</f>
        <v>90.637339307212116</v>
      </c>
      <c r="AW2117" s="123">
        <f>IF(tech_base!$T93&gt;AW$2025,"",fuel_costs!AO$11*0.086/tech_proj!AW217/(1-tech_proj!AW497))</f>
        <v>89.964166481960106</v>
      </c>
      <c r="AX2117" s="124">
        <f>IF(tech_base!$T93&gt;AX$2025,"",fuel_costs!AP$11*0.086/tech_proj!AX217/(1-tech_proj!AX497))</f>
        <v>89.231657766706391</v>
      </c>
    </row>
    <row r="2118" spans="1:50" x14ac:dyDescent="0.25">
      <c r="A2118" s="356"/>
      <c r="B2118" s="376"/>
      <c r="C2118" s="379"/>
      <c r="D2118" s="59" t="s">
        <v>8</v>
      </c>
      <c r="E2118" s="79" t="str">
        <f>A2109&amp;"/"&amp;B2109&amp;"/"&amp;C2117&amp;"/"&amp;D2118</f>
        <v>Gas fired power plants (Natural gas, biogas)/Gas turbine combined cycle/Electricity only with CCS/M</v>
      </c>
      <c r="F2118" s="79" t="str">
        <f>A2109</f>
        <v>Gas fired power plants (Natural gas, biogas)</v>
      </c>
      <c r="G2118" s="79" t="str">
        <f>B2109</f>
        <v>Gas turbine combined cycle</v>
      </c>
      <c r="H2118" s="79" t="str">
        <f>C2117</f>
        <v>Electricity only with CCS</v>
      </c>
      <c r="I2118" s="79" t="str">
        <f t="shared" si="388"/>
        <v>M</v>
      </c>
      <c r="J2118" s="125" t="str">
        <f>IF(tech_base!$T94&gt;J$2025,"",fuel_costs!B$11*0.086/tech_proj!J218/(1-tech_proj!J498))</f>
        <v/>
      </c>
      <c r="K2118" s="125" t="str">
        <f>IF(tech_base!$T94&gt;K$2025,"",fuel_costs!C$11*0.086/tech_proj!K218/(1-tech_proj!K498))</f>
        <v/>
      </c>
      <c r="L2118" s="125" t="str">
        <f>IF(tech_base!$T94&gt;L$2025,"",fuel_costs!D$11*0.086/tech_proj!L218/(1-tech_proj!L498))</f>
        <v/>
      </c>
      <c r="M2118" s="125" t="str">
        <f>IF(tech_base!$T94&gt;M$2025,"",fuel_costs!E$11*0.086/tech_proj!M218/(1-tech_proj!M498))</f>
        <v/>
      </c>
      <c r="N2118" s="125" t="str">
        <f>IF(tech_base!$T94&gt;N$2025,"",fuel_costs!F$11*0.086/tech_proj!N218/(1-tech_proj!N498))</f>
        <v/>
      </c>
      <c r="O2118" s="125" t="str">
        <f>IF(tech_base!$T94&gt;O$2025,"",fuel_costs!G$11*0.086/tech_proj!O218/(1-tech_proj!O498))</f>
        <v/>
      </c>
      <c r="P2118" s="125" t="str">
        <f>IF(tech_base!$T94&gt;P$2025,"",fuel_costs!H$11*0.086/tech_proj!P218/(1-tech_proj!P498))</f>
        <v/>
      </c>
      <c r="Q2118" s="125" t="str">
        <f>IF(tech_base!$T94&gt;Q$2025,"",fuel_costs!I$11*0.086/tech_proj!Q218/(1-tech_proj!Q498))</f>
        <v/>
      </c>
      <c r="R2118" s="125" t="str">
        <f>IF(tech_base!$T94&gt;R$2025,"",fuel_costs!J$11*0.086/tech_proj!R218/(1-tech_proj!R498))</f>
        <v/>
      </c>
      <c r="S2118" s="125" t="str">
        <f>IF(tech_base!$T94&gt;S$2025,"",fuel_costs!K$11*0.086/tech_proj!S218/(1-tech_proj!S498))</f>
        <v/>
      </c>
      <c r="T2118" s="125" t="str">
        <f>IF(tech_base!$T94&gt;T$2025,"",fuel_costs!L$11*0.086/tech_proj!T218/(1-tech_proj!T498))</f>
        <v/>
      </c>
      <c r="U2118" s="125" t="str">
        <f>IF(tech_base!$T94&gt;U$2025,"",fuel_costs!M$11*0.086/tech_proj!U218/(1-tech_proj!U498))</f>
        <v/>
      </c>
      <c r="V2118" s="125" t="str">
        <f>IF(tech_base!$T94&gt;V$2025,"",fuel_costs!N$11*0.086/tech_proj!V218/(1-tech_proj!V498))</f>
        <v/>
      </c>
      <c r="W2118" s="125" t="str">
        <f>IF(tech_base!$T94&gt;W$2025,"",fuel_costs!O$11*0.086/tech_proj!W218/(1-tech_proj!W498))</f>
        <v/>
      </c>
      <c r="X2118" s="125" t="str">
        <f>IF(tech_base!$T94&gt;X$2025,"",fuel_costs!P$11*0.086/tech_proj!X218/(1-tech_proj!X498))</f>
        <v/>
      </c>
      <c r="Y2118" s="125" t="str">
        <f>IF(tech_base!$T94&gt;Y$2025,"",fuel_costs!Q$11*0.086/tech_proj!Y218/(1-tech_proj!Y498))</f>
        <v/>
      </c>
      <c r="Z2118" s="125" t="str">
        <f>IF(tech_base!$T94&gt;Z$2025,"",fuel_costs!R$11*0.086/tech_proj!Z218/(1-tech_proj!Z498))</f>
        <v/>
      </c>
      <c r="AA2118" s="125" t="str">
        <f>IF(tech_base!$T94&gt;AA$2025,"",fuel_costs!S$11*0.086/tech_proj!AA218/(1-tech_proj!AA498))</f>
        <v/>
      </c>
      <c r="AB2118" s="125" t="str">
        <f>IF(tech_base!$T94&gt;AB$2025,"",fuel_costs!T$11*0.086/tech_proj!AB218/(1-tech_proj!AB498))</f>
        <v/>
      </c>
      <c r="AC2118" s="125" t="str">
        <f>IF(tech_base!$T94&gt;AC$2025,"",fuel_costs!U$11*0.086/tech_proj!AC218/(1-tech_proj!AC498))</f>
        <v/>
      </c>
      <c r="AD2118" s="125" t="str">
        <f>IF(tech_base!$T94&gt;AD$2025,"",fuel_costs!V$11*0.086/tech_proj!AD218/(1-tech_proj!AD498))</f>
        <v/>
      </c>
      <c r="AE2118" s="125">
        <f>IF(tech_base!$T94&gt;AE$2025,"",fuel_costs!W$11*0.086/tech_proj!AE218/(1-tech_proj!AE498))</f>
        <v>88.250137598579357</v>
      </c>
      <c r="AF2118" s="125">
        <f>IF(tech_base!$T94&gt;AF$2025,"",fuel_costs!X$11*0.086/tech_proj!AF218/(1-tech_proj!AF498))</f>
        <v>89.561070212330137</v>
      </c>
      <c r="AG2118" s="125">
        <f>IF(tech_base!$T94&gt;AG$2025,"",fuel_costs!Y$11*0.086/tech_proj!AG218/(1-tech_proj!AG498))</f>
        <v>90.733469009766793</v>
      </c>
      <c r="AH2118" s="125">
        <f>IF(tech_base!$T94&gt;AH$2025,"",fuel_costs!Z$11*0.086/tech_proj!AH218/(1-tech_proj!AH498))</f>
        <v>91.793689869661165</v>
      </c>
      <c r="AI2118" s="125">
        <f>IF(tech_base!$T94&gt;AI$2025,"",fuel_costs!AA$11*0.086/tech_proj!AI218/(1-tech_proj!AI498))</f>
        <v>92.683910869954502</v>
      </c>
      <c r="AJ2118" s="125">
        <f>IF(tech_base!$T94&gt;AJ$2025,"",fuel_costs!AB$11*0.086/tech_proj!AJ218/(1-tech_proj!AJ498))</f>
        <v>93.514728594329839</v>
      </c>
      <c r="AK2118" s="125">
        <f>IF(tech_base!$T94&gt;AK$2025,"",fuel_costs!AC$11*0.086/tech_proj!AK218/(1-tech_proj!AK498))</f>
        <v>94.180236815346774</v>
      </c>
      <c r="AL2118" s="125">
        <f>IF(tech_base!$T94&gt;AL$2025,"",fuel_costs!AD$11*0.086/tech_proj!AL218/(1-tech_proj!AL498))</f>
        <v>94.81208702671276</v>
      </c>
      <c r="AM2118" s="125">
        <f>IF(tech_base!$T94&gt;AM$2025,"",fuel_costs!AE$11*0.086/tech_proj!AM218/(1-tech_proj!AM498))</f>
        <v>95.49799940031204</v>
      </c>
      <c r="AN2118" s="125">
        <f>IF(tech_base!$T94&gt;AN$2025,"",fuel_costs!AF$11*0.086/tech_proj!AN218/(1-tech_proj!AN498))</f>
        <v>95.439990060392176</v>
      </c>
      <c r="AO2118" s="125">
        <f>IF(tech_base!$T94&gt;AO$2025,"",fuel_costs!AG$11*0.086/tech_proj!AO218/(1-tech_proj!AO498))</f>
        <v>95.577488073486492</v>
      </c>
      <c r="AP2118" s="125">
        <f>IF(tech_base!$T94&gt;AP$2025,"",fuel_costs!AH$11*0.086/tech_proj!AP218/(1-tech_proj!AP498))</f>
        <v>95.692745337193429</v>
      </c>
      <c r="AQ2118" s="125">
        <f>IF(tech_base!$T94&gt;AQ$2025,"",fuel_costs!AI$11*0.086/tech_proj!AQ218/(1-tech_proj!AQ498))</f>
        <v>95.81882287474474</v>
      </c>
      <c r="AR2118" s="125">
        <f>IF(tech_base!$T94&gt;AR$2025,"",fuel_costs!AJ$11*0.086/tech_proj!AR218/(1-tech_proj!AR498))</f>
        <v>96.047549421370633</v>
      </c>
      <c r="AS2118" s="125">
        <f>IF(tech_base!$T94&gt;AS$2025,"",fuel_costs!AK$11*0.086/tech_proj!AS218/(1-tech_proj!AS498))</f>
        <v>96.335215151822368</v>
      </c>
      <c r="AT2118" s="125">
        <f>IF(tech_base!$T94&gt;AT$2025,"",fuel_costs!AL$11*0.086/tech_proj!AT218/(1-tech_proj!AT498))</f>
        <v>96.516118066670472</v>
      </c>
      <c r="AU2118" s="125">
        <f>IF(tech_base!$T94&gt;AU$2025,"",fuel_costs!AM$11*0.086/tech_proj!AU218/(1-tech_proj!AU498))</f>
        <v>96.558292661793786</v>
      </c>
      <c r="AV2118" s="125">
        <f>IF(tech_base!$T94&gt;AV$2025,"",fuel_costs!AN$11*0.086/tech_proj!AV218/(1-tech_proj!AV498))</f>
        <v>96.411651451997798</v>
      </c>
      <c r="AW2118" s="125">
        <f>IF(tech_base!$T94&gt;AW$2025,"",fuel_costs!AO$11*0.086/tech_proj!AW218/(1-tech_proj!AW498))</f>
        <v>95.761338467520702</v>
      </c>
      <c r="AX2118" s="126">
        <f>IF(tech_base!$T94&gt;AX$2025,"",fuel_costs!AP$11*0.086/tech_proj!AX218/(1-tech_proj!AX498))</f>
        <v>95.056860447593365</v>
      </c>
    </row>
    <row r="2119" spans="1:50" x14ac:dyDescent="0.25">
      <c r="A2119" s="356"/>
      <c r="B2119" s="376"/>
      <c r="C2119" s="361" t="s">
        <v>16</v>
      </c>
      <c r="D2119" s="2" t="s">
        <v>7</v>
      </c>
      <c r="E2119" s="76" t="str">
        <f>A2109&amp;"/"&amp;B2109&amp;"/"&amp;C2119&amp;"/"&amp;D2119</f>
        <v>Gas fired power plants (Natural gas, biogas)/Gas turbine combined cycle/CHP with CCS/L</v>
      </c>
      <c r="F2119" s="76" t="str">
        <f>A2109</f>
        <v>Gas fired power plants (Natural gas, biogas)</v>
      </c>
      <c r="G2119" s="76" t="str">
        <f>B2109</f>
        <v>Gas turbine combined cycle</v>
      </c>
      <c r="H2119" s="76" t="str">
        <f>C2119</f>
        <v>CHP with CCS</v>
      </c>
      <c r="I2119" s="76" t="str">
        <f t="shared" si="388"/>
        <v>L</v>
      </c>
      <c r="J2119" s="119" t="str">
        <f>IF(tech_base!$T95&gt;J$2025,"",fuel_costs!B$11*0.086/tech_proj!J219/(1-tech_proj!J499))</f>
        <v/>
      </c>
      <c r="K2119" s="119" t="str">
        <f>IF(tech_base!$T95&gt;K$2025,"",fuel_costs!C$11*0.086/tech_proj!K219/(1-tech_proj!K499))</f>
        <v/>
      </c>
      <c r="L2119" s="119" t="str">
        <f>IF(tech_base!$T95&gt;L$2025,"",fuel_costs!D$11*0.086/tech_proj!L219/(1-tech_proj!L499))</f>
        <v/>
      </c>
      <c r="M2119" s="119" t="str">
        <f>IF(tech_base!$T95&gt;M$2025,"",fuel_costs!E$11*0.086/tech_proj!M219/(1-tech_proj!M499))</f>
        <v/>
      </c>
      <c r="N2119" s="119" t="str">
        <f>IF(tech_base!$T95&gt;N$2025,"",fuel_costs!F$11*0.086/tech_proj!N219/(1-tech_proj!N499))</f>
        <v/>
      </c>
      <c r="O2119" s="119" t="str">
        <f>IF(tech_base!$T95&gt;O$2025,"",fuel_costs!G$11*0.086/tech_proj!O219/(1-tech_proj!O499))</f>
        <v/>
      </c>
      <c r="P2119" s="119" t="str">
        <f>IF(tech_base!$T95&gt;P$2025,"",fuel_costs!H$11*0.086/tech_proj!P219/(1-tech_proj!P499))</f>
        <v/>
      </c>
      <c r="Q2119" s="119" t="str">
        <f>IF(tech_base!$T95&gt;Q$2025,"",fuel_costs!I$11*0.086/tech_proj!Q219/(1-tech_proj!Q499))</f>
        <v/>
      </c>
      <c r="R2119" s="119" t="str">
        <f>IF(tech_base!$T95&gt;R$2025,"",fuel_costs!J$11*0.086/tech_proj!R219/(1-tech_proj!R499))</f>
        <v/>
      </c>
      <c r="S2119" s="119" t="str">
        <f>IF(tech_base!$T95&gt;S$2025,"",fuel_costs!K$11*0.086/tech_proj!S219/(1-tech_proj!S499))</f>
        <v/>
      </c>
      <c r="T2119" s="119" t="str">
        <f>IF(tech_base!$T95&gt;T$2025,"",fuel_costs!L$11*0.086/tech_proj!T219/(1-tech_proj!T499))</f>
        <v/>
      </c>
      <c r="U2119" s="119" t="str">
        <f>IF(tech_base!$T95&gt;U$2025,"",fuel_costs!M$11*0.086/tech_proj!U219/(1-tech_proj!U499))</f>
        <v/>
      </c>
      <c r="V2119" s="119" t="str">
        <f>IF(tech_base!$T95&gt;V$2025,"",fuel_costs!N$11*0.086/tech_proj!V219/(1-tech_proj!V499))</f>
        <v/>
      </c>
      <c r="W2119" s="119" t="str">
        <f>IF(tech_base!$T95&gt;W$2025,"",fuel_costs!O$11*0.086/tech_proj!W219/(1-tech_proj!W499))</f>
        <v/>
      </c>
      <c r="X2119" s="119" t="str">
        <f>IF(tech_base!$T95&gt;X$2025,"",fuel_costs!P$11*0.086/tech_proj!X219/(1-tech_proj!X499))</f>
        <v/>
      </c>
      <c r="Y2119" s="119" t="str">
        <f>IF(tech_base!$T95&gt;Y$2025,"",fuel_costs!Q$11*0.086/tech_proj!Y219/(1-tech_proj!Y499))</f>
        <v/>
      </c>
      <c r="Z2119" s="119" t="str">
        <f>IF(tech_base!$T95&gt;Z$2025,"",fuel_costs!R$11*0.086/tech_proj!Z219/(1-tech_proj!Z499))</f>
        <v/>
      </c>
      <c r="AA2119" s="119" t="str">
        <f>IF(tech_base!$T95&gt;AA$2025,"",fuel_costs!S$11*0.086/tech_proj!AA219/(1-tech_proj!AA499))</f>
        <v/>
      </c>
      <c r="AB2119" s="119" t="str">
        <f>IF(tech_base!$T95&gt;AB$2025,"",fuel_costs!T$11*0.086/tech_proj!AB219/(1-tech_proj!AB499))</f>
        <v/>
      </c>
      <c r="AC2119" s="119" t="str">
        <f>IF(tech_base!$T95&gt;AC$2025,"",fuel_costs!U$11*0.086/tech_proj!AC219/(1-tech_proj!AC499))</f>
        <v/>
      </c>
      <c r="AD2119" s="119" t="str">
        <f>IF(tech_base!$T95&gt;AD$2025,"",fuel_costs!V$11*0.086/tech_proj!AD219/(1-tech_proj!AD499))</f>
        <v/>
      </c>
      <c r="AE2119" s="119">
        <f>IF(tech_base!$T95&gt;AE$2025,"",fuel_costs!W$11*0.086/tech_proj!AE219/(1-tech_proj!AE499))</f>
        <v>93.393514913370694</v>
      </c>
      <c r="AF2119" s="119">
        <f>IF(tech_base!$T95&gt;AF$2025,"",fuel_costs!X$11*0.086/tech_proj!AF219/(1-tech_proj!AF499))</f>
        <v>94.783395064865843</v>
      </c>
      <c r="AG2119" s="119">
        <f>IF(tech_base!$T95&gt;AG$2025,"",fuel_costs!Y$11*0.086/tech_proj!AG219/(1-tech_proj!AG499))</f>
        <v>96.027453827971698</v>
      </c>
      <c r="AH2119" s="119">
        <f>IF(tech_base!$T95&gt;AH$2025,"",fuel_costs!Z$11*0.086/tech_proj!AH219/(1-tech_proj!AH499))</f>
        <v>97.153797742252394</v>
      </c>
      <c r="AI2119" s="119">
        <f>IF(tech_base!$T95&gt;AI$2025,"",fuel_costs!AA$11*0.086/tech_proj!AI219/(1-tech_proj!AI499))</f>
        <v>98.101494524905675</v>
      </c>
      <c r="AJ2119" s="119">
        <f>IF(tech_base!$T95&gt;AJ$2025,"",fuel_costs!AB$11*0.086/tech_proj!AJ219/(1-tech_proj!AJ499))</f>
        <v>98.98793655082126</v>
      </c>
      <c r="AK2119" s="119">
        <f>IF(tech_base!$T95&gt;AK$2025,"",fuel_costs!AC$11*0.086/tech_proj!AK219/(1-tech_proj!AK499))</f>
        <v>99.701435536765757</v>
      </c>
      <c r="AL2119" s="119">
        <f>IF(tech_base!$T95&gt;AL$2025,"",fuel_costs!AD$11*0.086/tech_proj!AL219/(1-tech_proj!AL499))</f>
        <v>100.38186322313835</v>
      </c>
      <c r="AM2119" s="119">
        <f>IF(tech_base!$T95&gt;AM$2025,"",fuel_costs!AE$11*0.086/tech_proj!AM219/(1-tech_proj!AM499))</f>
        <v>101.12274502877132</v>
      </c>
      <c r="AN2119" s="119">
        <f>IF(tech_base!$T95&gt;AN$2025,"",fuel_costs!AF$11*0.086/tech_proj!AN219/(1-tech_proj!AN499))</f>
        <v>101.07975575626705</v>
      </c>
      <c r="AO2119" s="119">
        <f>IF(tech_base!$T95&gt;AO$2025,"",fuel_costs!AG$11*0.086/tech_proj!AO219/(1-tech_proj!AO499))</f>
        <v>101.24844983029756</v>
      </c>
      <c r="AP2119" s="119">
        <f>IF(tech_base!$T95&gt;AP$2025,"",fuel_costs!AH$11*0.086/tech_proj!AP219/(1-tech_proj!AP499))</f>
        <v>101.39918760577901</v>
      </c>
      <c r="AQ2119" s="119">
        <f>IF(tech_base!$T95&gt;AQ$2025,"",fuel_costs!AI$11*0.086/tech_proj!AQ219/(1-tech_proj!AQ499))</f>
        <v>101.56799591363787</v>
      </c>
      <c r="AR2119" s="119">
        <f>IF(tech_base!$T95&gt;AR$2025,"",fuel_costs!AJ$11*0.086/tech_proj!AR219/(1-tech_proj!AR499))</f>
        <v>101.8532369099532</v>
      </c>
      <c r="AS2119" s="119">
        <f>IF(tech_base!$T95&gt;AS$2025,"",fuel_costs!AK$11*0.086/tech_proj!AS219/(1-tech_proj!AS499))</f>
        <v>102.20948280904364</v>
      </c>
      <c r="AT2119" s="119">
        <f>IF(tech_base!$T95&gt;AT$2025,"",fuel_costs!AL$11*0.086/tech_proj!AT219/(1-tech_proj!AT499))</f>
        <v>102.46132410360192</v>
      </c>
      <c r="AU2119" s="119">
        <f>IF(tech_base!$T95&gt;AU$2025,"",fuel_costs!AM$11*0.086/tech_proj!AU219/(1-tech_proj!AU499))</f>
        <v>102.57423658384113</v>
      </c>
      <c r="AV2119" s="119">
        <f>IF(tech_base!$T95&gt;AV$2025,"",fuel_costs!AN$11*0.086/tech_proj!AV219/(1-tech_proj!AV499))</f>
        <v>102.49314245835339</v>
      </c>
      <c r="AW2119" s="119">
        <f>IF(tech_base!$T95&gt;AW$2025,"",fuel_costs!AO$11*0.086/tech_proj!AW219/(1-tech_proj!AW499))</f>
        <v>101.87955452809504</v>
      </c>
      <c r="AX2119" s="120">
        <f>IF(tech_base!$T95&gt;AX$2025,"",fuel_costs!AP$11*0.086/tech_proj!AX219/(1-tech_proj!AX499))</f>
        <v>101.20604863631338</v>
      </c>
    </row>
    <row r="2120" spans="1:50" x14ac:dyDescent="0.25">
      <c r="A2120" s="356"/>
      <c r="B2120" s="380"/>
      <c r="C2120" s="381"/>
      <c r="D2120" s="4" t="s">
        <v>8</v>
      </c>
      <c r="E2120" s="80" t="str">
        <f>A2109&amp;"/"&amp;B2109&amp;"/"&amp;C2119&amp;"/"&amp;D2120</f>
        <v>Gas fired power plants (Natural gas, biogas)/Gas turbine combined cycle/CHP with CCS/M</v>
      </c>
      <c r="F2120" s="80" t="str">
        <f>A2109</f>
        <v>Gas fired power plants (Natural gas, biogas)</v>
      </c>
      <c r="G2120" s="80" t="str">
        <f>B2109</f>
        <v>Gas turbine combined cycle</v>
      </c>
      <c r="H2120" s="80" t="str">
        <f>C2119</f>
        <v>CHP with CCS</v>
      </c>
      <c r="I2120" s="80" t="str">
        <f t="shared" si="388"/>
        <v>M</v>
      </c>
      <c r="J2120" s="127" t="str">
        <f>IF(tech_base!$T96&gt;J$2025,"",fuel_costs!B$11*0.086/tech_proj!J220/(1-tech_proj!J500))</f>
        <v/>
      </c>
      <c r="K2120" s="127" t="str">
        <f>IF(tech_base!$T96&gt;K$2025,"",fuel_costs!C$11*0.086/tech_proj!K220/(1-tech_proj!K500))</f>
        <v/>
      </c>
      <c r="L2120" s="127" t="str">
        <f>IF(tech_base!$T96&gt;L$2025,"",fuel_costs!D$11*0.086/tech_proj!L220/(1-tech_proj!L500))</f>
        <v/>
      </c>
      <c r="M2120" s="127" t="str">
        <f>IF(tech_base!$T96&gt;M$2025,"",fuel_costs!E$11*0.086/tech_proj!M220/(1-tech_proj!M500))</f>
        <v/>
      </c>
      <c r="N2120" s="127" t="str">
        <f>IF(tech_base!$T96&gt;N$2025,"",fuel_costs!F$11*0.086/tech_proj!N220/(1-tech_proj!N500))</f>
        <v/>
      </c>
      <c r="O2120" s="127" t="str">
        <f>IF(tech_base!$T96&gt;O$2025,"",fuel_costs!G$11*0.086/tech_proj!O220/(1-tech_proj!O500))</f>
        <v/>
      </c>
      <c r="P2120" s="127" t="str">
        <f>IF(tech_base!$T96&gt;P$2025,"",fuel_costs!H$11*0.086/tech_proj!P220/(1-tech_proj!P500))</f>
        <v/>
      </c>
      <c r="Q2120" s="127" t="str">
        <f>IF(tech_base!$T96&gt;Q$2025,"",fuel_costs!I$11*0.086/tech_proj!Q220/(1-tech_proj!Q500))</f>
        <v/>
      </c>
      <c r="R2120" s="127" t="str">
        <f>IF(tech_base!$T96&gt;R$2025,"",fuel_costs!J$11*0.086/tech_proj!R220/(1-tech_proj!R500))</f>
        <v/>
      </c>
      <c r="S2120" s="127" t="str">
        <f>IF(tech_base!$T96&gt;S$2025,"",fuel_costs!K$11*0.086/tech_proj!S220/(1-tech_proj!S500))</f>
        <v/>
      </c>
      <c r="T2120" s="127" t="str">
        <f>IF(tech_base!$T96&gt;T$2025,"",fuel_costs!L$11*0.086/tech_proj!T220/(1-tech_proj!T500))</f>
        <v/>
      </c>
      <c r="U2120" s="127" t="str">
        <f>IF(tech_base!$T96&gt;U$2025,"",fuel_costs!M$11*0.086/tech_proj!U220/(1-tech_proj!U500))</f>
        <v/>
      </c>
      <c r="V2120" s="127" t="str">
        <f>IF(tech_base!$T96&gt;V$2025,"",fuel_costs!N$11*0.086/tech_proj!V220/(1-tech_proj!V500))</f>
        <v/>
      </c>
      <c r="W2120" s="127" t="str">
        <f>IF(tech_base!$T96&gt;W$2025,"",fuel_costs!O$11*0.086/tech_proj!W220/(1-tech_proj!W500))</f>
        <v/>
      </c>
      <c r="X2120" s="127" t="str">
        <f>IF(tech_base!$T96&gt;X$2025,"",fuel_costs!P$11*0.086/tech_proj!X220/(1-tech_proj!X500))</f>
        <v/>
      </c>
      <c r="Y2120" s="127" t="str">
        <f>IF(tech_base!$T96&gt;Y$2025,"",fuel_costs!Q$11*0.086/tech_proj!Y220/(1-tech_proj!Y500))</f>
        <v/>
      </c>
      <c r="Z2120" s="127" t="str">
        <f>IF(tech_base!$T96&gt;Z$2025,"",fuel_costs!R$11*0.086/tech_proj!Z220/(1-tech_proj!Z500))</f>
        <v/>
      </c>
      <c r="AA2120" s="127" t="str">
        <f>IF(tech_base!$T96&gt;AA$2025,"",fuel_costs!S$11*0.086/tech_proj!AA220/(1-tech_proj!AA500))</f>
        <v/>
      </c>
      <c r="AB2120" s="127" t="str">
        <f>IF(tech_base!$T96&gt;AB$2025,"",fuel_costs!T$11*0.086/tech_proj!AB220/(1-tech_proj!AB500))</f>
        <v/>
      </c>
      <c r="AC2120" s="127" t="str">
        <f>IF(tech_base!$T96&gt;AC$2025,"",fuel_costs!U$11*0.086/tech_proj!AC220/(1-tech_proj!AC500))</f>
        <v/>
      </c>
      <c r="AD2120" s="127" t="str">
        <f>IF(tech_base!$T96&gt;AD$2025,"",fuel_costs!V$11*0.086/tech_proj!AD220/(1-tech_proj!AD500))</f>
        <v/>
      </c>
      <c r="AE2120" s="127">
        <f>IF(tech_base!$T96&gt;AE$2025,"",fuel_costs!W$11*0.086/tech_proj!AE220/(1-tech_proj!AE500))</f>
        <v>99.166874619156189</v>
      </c>
      <c r="AF2120" s="127">
        <f>IF(tech_base!$T96&gt;AF$2025,"",fuel_costs!X$11*0.086/tech_proj!AF220/(1-tech_proj!AF500))</f>
        <v>100.64389650425831</v>
      </c>
      <c r="AG2120" s="127">
        <f>IF(tech_base!$T96&gt;AG$2025,"",fuel_costs!Y$11*0.086/tech_proj!AG220/(1-tech_proj!AG500))</f>
        <v>101.96646415058443</v>
      </c>
      <c r="AH2120" s="127">
        <f>IF(tech_base!$T96&gt;AH$2025,"",fuel_costs!Z$11*0.086/tech_proj!AH220/(1-tech_proj!AH500))</f>
        <v>103.16452809866276</v>
      </c>
      <c r="AI2120" s="127">
        <f>IF(tech_base!$T96&gt;AI$2025,"",fuel_costs!AA$11*0.086/tech_proj!AI220/(1-tech_proj!AI500))</f>
        <v>104.17352000040849</v>
      </c>
      <c r="AJ2120" s="127">
        <f>IF(tech_base!$T96&gt;AJ$2025,"",fuel_costs!AB$11*0.086/tech_proj!AJ220/(1-tech_proj!AJ500))</f>
        <v>105.11826738972533</v>
      </c>
      <c r="AK2120" s="127">
        <f>IF(tech_base!$T96&gt;AK$2025,"",fuel_costs!AC$11*0.086/tech_proj!AK220/(1-tech_proj!AK500))</f>
        <v>105.88038199245219</v>
      </c>
      <c r="AL2120" s="127">
        <f>IF(tech_base!$T96&gt;AL$2025,"",fuel_costs!AD$11*0.086/tech_proj!AL220/(1-tech_proj!AL500))</f>
        <v>106.60867322944486</v>
      </c>
      <c r="AM2120" s="127">
        <f>IF(tech_base!$T96&gt;AM$2025,"",fuel_costs!AE$11*0.086/tech_proj!AM220/(1-tech_proj!AM500))</f>
        <v>107.40282776446526</v>
      </c>
      <c r="AN2120" s="127">
        <f>IF(tech_base!$T96&gt;AN$2025,"",fuel_costs!AF$11*0.086/tech_proj!AN220/(1-tech_proj!AN500))</f>
        <v>107.36647441476215</v>
      </c>
      <c r="AO2120" s="127">
        <f>IF(tech_base!$T96&gt;AO$2025,"",fuel_costs!AG$11*0.086/tech_proj!AO220/(1-tech_proj!AO500))</f>
        <v>107.55749417508714</v>
      </c>
      <c r="AP2120" s="127">
        <f>IF(tech_base!$T96&gt;AP$2025,"",fuel_costs!AH$11*0.086/tech_proj!AP220/(1-tech_proj!AP500))</f>
        <v>107.73262279483204</v>
      </c>
      <c r="AQ2120" s="127">
        <f>IF(tech_base!$T96&gt;AQ$2025,"",fuel_costs!AI$11*0.086/tech_proj!AQ220/(1-tech_proj!AQ500))</f>
        <v>107.9309101875191</v>
      </c>
      <c r="AR2120" s="127">
        <f>IF(tech_base!$T96&gt;AR$2025,"",fuel_costs!AJ$11*0.086/tech_proj!AR220/(1-tech_proj!AR500))</f>
        <v>108.25783164554433</v>
      </c>
      <c r="AS2120" s="127">
        <f>IF(tech_base!$T96&gt;AS$2025,"",fuel_costs!AK$11*0.086/tech_proj!AS220/(1-tech_proj!AS500))</f>
        <v>108.66624752268636</v>
      </c>
      <c r="AT2120" s="127">
        <f>IF(tech_base!$T96&gt;AT$2025,"",fuel_costs!AL$11*0.086/tech_proj!AT220/(1-tech_proj!AT500))</f>
        <v>108.97087459987382</v>
      </c>
      <c r="AU2120" s="127">
        <f>IF(tech_base!$T96&gt;AU$2025,"",fuel_costs!AM$11*0.086/tech_proj!AU220/(1-tech_proj!AU500))</f>
        <v>109.13611373306001</v>
      </c>
      <c r="AV2120" s="127">
        <f>IF(tech_base!$T96&gt;AV$2025,"",fuel_costs!AN$11*0.086/tech_proj!AV220/(1-tech_proj!AV500))</f>
        <v>109.104313984391</v>
      </c>
      <c r="AW2120" s="127">
        <f>IF(tech_base!$T96&gt;AW$2025,"",fuel_costs!AO$11*0.086/tech_proj!AW220/(1-tech_proj!AW500))</f>
        <v>108.515520758045</v>
      </c>
      <c r="AX2120" s="128">
        <f>IF(tech_base!$T96&gt;AX$2025,"",fuel_costs!AP$11*0.086/tech_proj!AX220/(1-tech_proj!AX500))</f>
        <v>107.87270915128379</v>
      </c>
    </row>
    <row r="2121" spans="1:50" x14ac:dyDescent="0.25">
      <c r="A2121" s="356"/>
      <c r="B2121" s="358" t="s">
        <v>24</v>
      </c>
      <c r="C2121" s="353" t="s">
        <v>6</v>
      </c>
      <c r="D2121" s="3" t="s">
        <v>8</v>
      </c>
      <c r="E2121" s="77" t="str">
        <f>A2109&amp;"/"&amp;B2121&amp;"/"&amp;C2121&amp;"/"&amp;D2121</f>
        <v>Gas fired power plants (Natural gas, biogas)/Gas turbine /Electricity only/M</v>
      </c>
      <c r="F2121" s="77" t="str">
        <f>A2109</f>
        <v>Gas fired power plants (Natural gas, biogas)</v>
      </c>
      <c r="G2121" s="77" t="str">
        <f>B2121</f>
        <v xml:space="preserve">Gas turbine </v>
      </c>
      <c r="H2121" s="77" t="str">
        <f>C2121</f>
        <v>Electricity only</v>
      </c>
      <c r="I2121" s="77" t="str">
        <f t="shared" si="388"/>
        <v>M</v>
      </c>
      <c r="J2121" s="121">
        <f>IF(tech_base!$T97&gt;J$2025,"",fuel_costs!B$11*0.086/tech_proj!J221/(1-tech_proj!J501))</f>
        <v>77.243443916313225</v>
      </c>
      <c r="K2121" s="121">
        <f>IF(tech_base!$T97&gt;K$2025,"",fuel_costs!C$11*0.086/tech_proj!K221/(1-tech_proj!K501))</f>
        <v>88.40705747254303</v>
      </c>
      <c r="L2121" s="121">
        <f>IF(tech_base!$T97&gt;L$2025,"",fuel_costs!D$11*0.086/tech_proj!L221/(1-tech_proj!L501))</f>
        <v>98.937028764017001</v>
      </c>
      <c r="M2121" s="121">
        <f>IF(tech_base!$T97&gt;M$2025,"",fuel_costs!E$11*0.086/tech_proj!M221/(1-tech_proj!M501))</f>
        <v>96.672597846393117</v>
      </c>
      <c r="N2121" s="121">
        <f>IF(tech_base!$T97&gt;N$2025,"",fuel_costs!F$11*0.086/tech_proj!N221/(1-tech_proj!N501))</f>
        <v>81.404829198783375</v>
      </c>
      <c r="O2121" s="121">
        <f>IF(tech_base!$T97&gt;O$2025,"",fuel_costs!G$11*0.086/tech_proj!O221/(1-tech_proj!O501))</f>
        <v>68.471830601495896</v>
      </c>
      <c r="P2121" s="121">
        <f>IF(tech_base!$T97&gt;P$2025,"",fuel_costs!H$11*0.086/tech_proj!P221/(1-tech_proj!P501))</f>
        <v>46.235075943613367</v>
      </c>
      <c r="Q2121" s="121">
        <f>IF(tech_base!$T97&gt;Q$2025,"",fuel_costs!I$11*0.086/tech_proj!Q221/(1-tech_proj!Q501))</f>
        <v>54.440248668095187</v>
      </c>
      <c r="R2121" s="121">
        <f>IF(tech_base!$T97&gt;R$2025,"",fuel_costs!J$11*0.086/tech_proj!R221/(1-tech_proj!R501))</f>
        <v>60.169732458899581</v>
      </c>
      <c r="S2121" s="121">
        <f>IF(tech_base!$T97&gt;S$2025,"",fuel_costs!K$11*0.086/tech_proj!S221/(1-tech_proj!S501))</f>
        <v>65.950151724534763</v>
      </c>
      <c r="T2121" s="121">
        <f>IF(tech_base!$T97&gt;T$2025,"",fuel_costs!L$11*0.086/tech_proj!T221/(1-tech_proj!T501))</f>
        <v>71.666398514853668</v>
      </c>
      <c r="U2121" s="121">
        <f>IF(tech_base!$T97&gt;U$2025,"",fuel_costs!M$11*0.086/tech_proj!U221/(1-tech_proj!U501))</f>
        <v>77.242781024145955</v>
      </c>
      <c r="V2121" s="121">
        <f>IF(tech_base!$T97&gt;V$2025,"",fuel_costs!N$11*0.086/tech_proj!V221/(1-tech_proj!V501))</f>
        <v>80.880112197493247</v>
      </c>
      <c r="W2121" s="121">
        <f>IF(tech_base!$T97&gt;W$2025,"",fuel_costs!O$11*0.086/tech_proj!W221/(1-tech_proj!W501))</f>
        <v>85.186741649241455</v>
      </c>
      <c r="X2121" s="121">
        <f>IF(tech_base!$T97&gt;X$2025,"",fuel_costs!P$11*0.086/tech_proj!X221/(1-tech_proj!X501))</f>
        <v>89.256825904134374</v>
      </c>
      <c r="Y2121" s="121">
        <f>IF(tech_base!$T97&gt;Y$2025,"",fuel_costs!Q$11*0.086/tech_proj!Y221/(1-tech_proj!Y501))</f>
        <v>93.094999629683386</v>
      </c>
      <c r="Z2121" s="121">
        <f>IF(tech_base!$T97&gt;Z$2025,"",fuel_costs!R$11*0.086/tech_proj!Z221/(1-tech_proj!Z501))</f>
        <v>94.481910240704337</v>
      </c>
      <c r="AA2121" s="121">
        <f>IF(tech_base!$T97&gt;AA$2025,"",fuel_costs!S$11*0.086/tech_proj!AA221/(1-tech_proj!AA501))</f>
        <v>95.78123062700233</v>
      </c>
      <c r="AB2121" s="121">
        <f>IF(tech_base!$T97&gt;AB$2025,"",fuel_costs!T$11*0.086/tech_proj!AB221/(1-tech_proj!AB501))</f>
        <v>97.219814290610017</v>
      </c>
      <c r="AC2121" s="121">
        <f>IF(tech_base!$T97&gt;AC$2025,"",fuel_costs!U$11*0.086/tech_proj!AC221/(1-tech_proj!AC501))</f>
        <v>98.659683623489855</v>
      </c>
      <c r="AD2121" s="121">
        <f>IF(tech_base!$T97&gt;AD$2025,"",fuel_costs!V$11*0.086/tech_proj!AD221/(1-tech_proj!AD501))</f>
        <v>100.74417383278275</v>
      </c>
      <c r="AE2121" s="121">
        <f>IF(tech_base!$T97&gt;AE$2025,"",fuel_costs!W$11*0.086/tech_proj!AE221/(1-tech_proj!AE501))</f>
        <v>102.07294237939792</v>
      </c>
      <c r="AF2121" s="121">
        <f>IF(tech_base!$T97&gt;AF$2025,"",fuel_costs!X$11*0.086/tech_proj!AF221/(1-tech_proj!AF501))</f>
        <v>103.58645359934012</v>
      </c>
      <c r="AG2121" s="121">
        <f>IF(tech_base!$T97&gt;AG$2025,"",fuel_costs!Y$11*0.086/tech_proj!AG221/(1-tech_proj!AG501))</f>
        <v>104.94322836077006</v>
      </c>
      <c r="AH2121" s="121">
        <f>IF(tech_base!$T97&gt;AH$2025,"",fuel_costs!Z$11*0.086/tech_proj!AH221/(1-tech_proj!AH501))</f>
        <v>106.17522383142648</v>
      </c>
      <c r="AI2121" s="121">
        <f>IF(tech_base!$T97&gt;AI$2025,"",fuel_costs!AA$11*0.086/tech_proj!AI221/(1-tech_proj!AI501))</f>
        <v>107.21742932076098</v>
      </c>
      <c r="AJ2121" s="121">
        <f>IF(tech_base!$T97&gt;AJ$2025,"",fuel_costs!AB$11*0.086/tech_proj!AJ221/(1-tech_proj!AJ501))</f>
        <v>108.20014604869527</v>
      </c>
      <c r="AK2121" s="121">
        <f>IF(tech_base!$T97&gt;AK$2025,"",fuel_costs!AC$11*0.086/tech_proj!AK221/(1-tech_proj!AK501))</f>
        <v>109.00381848157002</v>
      </c>
      <c r="AL2121" s="121">
        <f>IF(tech_base!$T97&gt;AL$2025,"",fuel_costs!AD$11*0.086/tech_proj!AL221/(1-tech_proj!AL501))</f>
        <v>109.78451906770343</v>
      </c>
      <c r="AM2121" s="121">
        <f>IF(tech_base!$T97&gt;AM$2025,"",fuel_costs!AE$11*0.086/tech_proj!AM221/(1-tech_proj!AM501))</f>
        <v>110.64860622976698</v>
      </c>
      <c r="AN2121" s="121">
        <f>IF(tech_base!$T97&gt;AN$2025,"",fuel_costs!AF$11*0.086/tech_proj!AN221/(1-tech_proj!AN501))</f>
        <v>110.67680671922541</v>
      </c>
      <c r="AO2121" s="121">
        <f>IF(tech_base!$T97&gt;AO$2025,"",fuel_costs!AG$11*0.086/tech_proj!AO221/(1-tech_proj!AO501))</f>
        <v>110.96416742497023</v>
      </c>
      <c r="AP2121" s="121">
        <f>IF(tech_base!$T97&gt;AP$2025,"",fuel_costs!AH$11*0.086/tech_proj!AP221/(1-tech_proj!AP501))</f>
        <v>111.26652868961803</v>
      </c>
      <c r="AQ2121" s="121">
        <f>IF(tech_base!$T97&gt;AQ$2025,"",fuel_costs!AI$11*0.086/tech_proj!AQ221/(1-tech_proj!AQ501))</f>
        <v>111.63194991864766</v>
      </c>
      <c r="AR2121" s="121">
        <f>IF(tech_base!$T97&gt;AR$2025,"",fuel_costs!AJ$11*0.086/tech_proj!AR221/(1-tech_proj!AR501))</f>
        <v>112.17884962116729</v>
      </c>
      <c r="AS2121" s="121">
        <f>IF(tech_base!$T97&gt;AS$2025,"",fuel_costs!AK$11*0.086/tech_proj!AS221/(1-tech_proj!AS501))</f>
        <v>112.86937947412383</v>
      </c>
      <c r="AT2121" s="121">
        <f>IF(tech_base!$T97&gt;AT$2025,"",fuel_costs!AL$11*0.086/tech_proj!AT221/(1-tech_proj!AT501))</f>
        <v>113.52246552410807</v>
      </c>
      <c r="AU2121" s="121">
        <f>IF(tech_base!$T97&gt;AU$2025,"",fuel_costs!AM$11*0.086/tech_proj!AU221/(1-tech_proj!AU501))</f>
        <v>114.11118915082818</v>
      </c>
      <c r="AV2121" s="121">
        <f>IF(tech_base!$T97&gt;AV$2025,"",fuel_costs!AN$11*0.086/tech_proj!AV221/(1-tech_proj!AV501))</f>
        <v>114.58327444935117</v>
      </c>
      <c r="AW2121" s="121">
        <f>IF(tech_base!$T97&gt;AW$2025,"",fuel_costs!AO$11*0.086/tech_proj!AW221/(1-tech_proj!AW501))</f>
        <v>114.56251614795404</v>
      </c>
      <c r="AX2121" s="122">
        <f>IF(tech_base!$T97&gt;AX$2025,"",fuel_costs!AP$11*0.086/tech_proj!AX221/(1-tech_proj!AX501))</f>
        <v>114.57402388849596</v>
      </c>
    </row>
    <row r="2122" spans="1:50" x14ac:dyDescent="0.25">
      <c r="A2122" s="356"/>
      <c r="B2122" s="376"/>
      <c r="C2122" s="378"/>
      <c r="D2122" s="2" t="s">
        <v>10</v>
      </c>
      <c r="E2122" s="76" t="str">
        <f>A2109&amp;"/"&amp;B2121&amp;"/"&amp;C2121&amp;"/"&amp;D2122</f>
        <v>Gas fired power plants (Natural gas, biogas)/Gas turbine /Electricity only/S</v>
      </c>
      <c r="F2122" s="76" t="str">
        <f>A2109</f>
        <v>Gas fired power plants (Natural gas, biogas)</v>
      </c>
      <c r="G2122" s="76" t="str">
        <f>B2121</f>
        <v xml:space="preserve">Gas turbine </v>
      </c>
      <c r="H2122" s="76" t="str">
        <f>C2121</f>
        <v>Electricity only</v>
      </c>
      <c r="I2122" s="76" t="str">
        <f t="shared" si="388"/>
        <v>S</v>
      </c>
      <c r="J2122" s="119">
        <f>IF(tech_base!$T98&gt;J$2025,"",fuel_costs!B$11*0.086/tech_proj!J222/(1-tech_proj!J502))</f>
        <v>81.209731152067434</v>
      </c>
      <c r="K2122" s="119">
        <f>IF(tech_base!$T98&gt;K$2025,"",fuel_costs!C$11*0.086/tech_proj!K222/(1-tech_proj!K502))</f>
        <v>92.94654393925984</v>
      </c>
      <c r="L2122" s="119">
        <f>IF(tech_base!$T98&gt;L$2025,"",fuel_costs!D$11*0.086/tech_proj!L222/(1-tech_proj!L502))</f>
        <v>104.01716711448481</v>
      </c>
      <c r="M2122" s="119">
        <f>IF(tech_base!$T98&gt;M$2025,"",fuel_costs!E$11*0.086/tech_proj!M222/(1-tech_proj!M502))</f>
        <v>101.63642359519476</v>
      </c>
      <c r="N2122" s="119">
        <f>IF(tech_base!$T98&gt;N$2025,"",fuel_costs!F$11*0.086/tech_proj!N222/(1-tech_proj!N502))</f>
        <v>85.584665587146503</v>
      </c>
      <c r="O2122" s="119">
        <f>IF(tech_base!$T98&gt;O$2025,"",fuel_costs!G$11*0.086/tech_proj!O222/(1-tech_proj!O502))</f>
        <v>71.987568314495718</v>
      </c>
      <c r="P2122" s="119">
        <f>IF(tech_base!$T98&gt;P$2025,"",fuel_costs!H$11*0.086/tech_proj!P222/(1-tech_proj!P502))</f>
        <v>48.609022169808014</v>
      </c>
      <c r="Q2122" s="119">
        <f>IF(tech_base!$T98&gt;Q$2025,"",fuel_costs!I$11*0.086/tech_proj!Q222/(1-tech_proj!Q502))</f>
        <v>57.235452207418525</v>
      </c>
      <c r="R2122" s="119">
        <f>IF(tech_base!$T98&gt;R$2025,"",fuel_costs!J$11*0.086/tech_proj!R222/(1-tech_proj!R502))</f>
        <v>63.259064621829353</v>
      </c>
      <c r="S2122" s="119">
        <f>IF(tech_base!$T98&gt;S$2025,"",fuel_costs!K$11*0.086/tech_proj!S222/(1-tech_proj!S502))</f>
        <v>69.336210875890984</v>
      </c>
      <c r="T2122" s="119">
        <f>IF(tech_base!$T98&gt;T$2025,"",fuel_costs!L$11*0.086/tech_proj!T222/(1-tech_proj!T502))</f>
        <v>75.3458698488582</v>
      </c>
      <c r="U2122" s="119">
        <f>IF(tech_base!$T98&gt;U$2025,"",fuel_costs!M$11*0.086/tech_proj!U222/(1-tech_proj!U502))</f>
        <v>81.208460157596903</v>
      </c>
      <c r="V2122" s="119">
        <f>IF(tech_base!$T98&gt;V$2025,"",fuel_costs!N$11*0.086/tech_proj!V222/(1-tech_proj!V502))</f>
        <v>85.032422359581275</v>
      </c>
      <c r="W2122" s="119">
        <f>IF(tech_base!$T98&gt;W$2025,"",fuel_costs!O$11*0.086/tech_proj!W222/(1-tech_proj!W502))</f>
        <v>89.560016366170615</v>
      </c>
      <c r="X2122" s="119">
        <f>IF(tech_base!$T98&gt;X$2025,"",fuel_costs!P$11*0.086/tech_proj!X222/(1-tech_proj!X502))</f>
        <v>93.838888490339372</v>
      </c>
      <c r="Y2122" s="119">
        <f>IF(tech_base!$T98&gt;Y$2025,"",fuel_costs!Q$11*0.086/tech_proj!Y222/(1-tech_proj!Y502))</f>
        <v>97.8739071292202</v>
      </c>
      <c r="Z2122" s="119">
        <f>IF(tech_base!$T98&gt;Z$2025,"",fuel_costs!R$11*0.086/tech_proj!Z222/(1-tech_proj!Z502))</f>
        <v>99.331792784055764</v>
      </c>
      <c r="AA2122" s="119">
        <f>IF(tech_base!$T98&gt;AA$2025,"",fuel_costs!S$11*0.086/tech_proj!AA222/(1-tech_proj!AA502))</f>
        <v>100.69755528735941</v>
      </c>
      <c r="AB2122" s="119">
        <f>IF(tech_base!$T98&gt;AB$2025,"",fuel_costs!T$11*0.086/tech_proj!AB222/(1-tech_proj!AB502))</f>
        <v>102.20968743641239</v>
      </c>
      <c r="AC2122" s="119">
        <f>IF(tech_base!$T98&gt;AC$2025,"",fuel_costs!U$11*0.086/tech_proj!AC222/(1-tech_proj!AC502))</f>
        <v>103.72312370834895</v>
      </c>
      <c r="AD2122" s="119">
        <f>IF(tech_base!$T98&gt;AD$2025,"",fuel_costs!V$11*0.086/tech_proj!AD222/(1-tech_proj!AD502))</f>
        <v>105.91420862102837</v>
      </c>
      <c r="AE2122" s="119">
        <f>IF(tech_base!$T98&gt;AE$2025,"",fuel_costs!W$11*0.086/tech_proj!AE222/(1-tech_proj!AE502))</f>
        <v>107.31072807623116</v>
      </c>
      <c r="AF2122" s="119">
        <f>IF(tech_base!$T98&gt;AF$2025,"",fuel_costs!X$11*0.086/tech_proj!AF222/(1-tech_proj!AF502))</f>
        <v>108.90140500496936</v>
      </c>
      <c r="AG2122" s="119">
        <f>IF(tech_base!$T98&gt;AG$2025,"",fuel_costs!Y$11*0.086/tech_proj!AG222/(1-tech_proj!AG502))</f>
        <v>110.32723240824082</v>
      </c>
      <c r="AH2122" s="119">
        <f>IF(tech_base!$T98&gt;AH$2025,"",fuel_costs!Z$11*0.086/tech_proj!AH222/(1-tech_proj!AH502))</f>
        <v>111.62180395976344</v>
      </c>
      <c r="AI2122" s="119">
        <f>IF(tech_base!$T98&gt;AI$2025,"",fuel_costs!AA$11*0.086/tech_proj!AI222/(1-tech_proj!AI502))</f>
        <v>112.7167721893146</v>
      </c>
      <c r="AJ2122" s="119">
        <f>IF(tech_base!$T98&gt;AJ$2025,"",fuel_costs!AB$11*0.086/tech_proj!AJ222/(1-tech_proj!AJ502))</f>
        <v>113.74912124719485</v>
      </c>
      <c r="AK2122" s="119">
        <f>IF(tech_base!$T98&gt;AK$2025,"",fuel_costs!AC$11*0.086/tech_proj!AK222/(1-tech_proj!AK502))</f>
        <v>114.59316468300865</v>
      </c>
      <c r="AL2122" s="119">
        <f>IF(tech_base!$T98&gt;AL$2025,"",fuel_costs!AD$11*0.086/tech_proj!AL222/(1-tech_proj!AL502))</f>
        <v>115.4129808602065</v>
      </c>
      <c r="AM2122" s="119">
        <f>IF(tech_base!$T98&gt;AM$2025,"",fuel_costs!AE$11*0.086/tech_proj!AM222/(1-tech_proj!AM502))</f>
        <v>116.32038285320091</v>
      </c>
      <c r="AN2122" s="119">
        <f>IF(tech_base!$T98&gt;AN$2025,"",fuel_costs!AF$11*0.086/tech_proj!AN222/(1-tech_proj!AN502))</f>
        <v>116.34898684482864</v>
      </c>
      <c r="AO2122" s="119">
        <f>IF(tech_base!$T98&gt;AO$2025,"",fuel_costs!AG$11*0.086/tech_proj!AO222/(1-tech_proj!AO502))</f>
        <v>116.64998162537636</v>
      </c>
      <c r="AP2122" s="119">
        <f>IF(tech_base!$T98&gt;AP$2025,"",fuel_costs!AH$11*0.086/tech_proj!AP222/(1-tech_proj!AP502))</f>
        <v>116.96670178465554</v>
      </c>
      <c r="AQ2122" s="119">
        <f>IF(tech_base!$T98&gt;AQ$2025,"",fuel_costs!AI$11*0.086/tech_proj!AQ222/(1-tech_proj!AQ502))</f>
        <v>117.34968046387402</v>
      </c>
      <c r="AR2122" s="119">
        <f>IF(tech_base!$T98&gt;AR$2025,"",fuel_costs!AJ$11*0.086/tech_proj!AR222/(1-tech_proj!AR502))</f>
        <v>117.92341322090022</v>
      </c>
      <c r="AS2122" s="119">
        <f>IF(tech_base!$T98&gt;AS$2025,"",fuel_costs!AK$11*0.086/tech_proj!AS222/(1-tech_proj!AS502))</f>
        <v>118.6481252705664</v>
      </c>
      <c r="AT2122" s="119">
        <f>IF(tech_base!$T98&gt;AT$2025,"",fuel_costs!AL$11*0.086/tech_proj!AT222/(1-tech_proj!AT502))</f>
        <v>119.33348817398485</v>
      </c>
      <c r="AU2122" s="119">
        <f>IF(tech_base!$T98&gt;AU$2025,"",fuel_costs!AM$11*0.086/tech_proj!AU222/(1-tech_proj!AU502))</f>
        <v>119.95122695063986</v>
      </c>
      <c r="AV2122" s="119">
        <f>IF(tech_base!$T98&gt;AV$2025,"",fuel_costs!AN$11*0.086/tech_proj!AV222/(1-tech_proj!AV502))</f>
        <v>120.44641336391122</v>
      </c>
      <c r="AW2122" s="119">
        <f>IF(tech_base!$T98&gt;AW$2025,"",fuel_costs!AO$11*0.086/tech_proj!AW222/(1-tech_proj!AW502))</f>
        <v>120.42361874935486</v>
      </c>
      <c r="AX2122" s="120">
        <f>IF(tech_base!$T98&gt;AX$2025,"",fuel_costs!AP$11*0.086/tech_proj!AX222/(1-tech_proj!AX502))</f>
        <v>120.43484434615971</v>
      </c>
    </row>
    <row r="2123" spans="1:50" x14ac:dyDescent="0.25">
      <c r="A2123" s="356"/>
      <c r="B2123" s="376"/>
      <c r="C2123" s="379"/>
      <c r="D2123" s="59" t="s">
        <v>20</v>
      </c>
      <c r="E2123" s="76" t="str">
        <f>A2109&amp;"/"&amp;B2121&amp;"/"&amp;C2121&amp;"/"&amp;D2123</f>
        <v>Gas fired power plants (Natural gas, biogas)/Gas turbine /Electricity only/XS</v>
      </c>
      <c r="F2123" s="76" t="str">
        <f>A2109</f>
        <v>Gas fired power plants (Natural gas, biogas)</v>
      </c>
      <c r="G2123" s="76" t="str">
        <f>B2121</f>
        <v xml:space="preserve">Gas turbine </v>
      </c>
      <c r="H2123" s="76" t="str">
        <f>C2121</f>
        <v>Electricity only</v>
      </c>
      <c r="I2123" s="76" t="str">
        <f t="shared" si="388"/>
        <v>XS</v>
      </c>
      <c r="J2123" s="119">
        <f>IF(tech_base!$T99&gt;J$2025,"",fuel_costs!B$11*0.086/tech_proj!J223/(1-tech_proj!J503))</f>
        <v>85.385307019517413</v>
      </c>
      <c r="K2123" s="119">
        <f>IF(tech_base!$T99&gt;K$2025,"",fuel_costs!C$11*0.086/tech_proj!K223/(1-tech_proj!K503))</f>
        <v>97.726883848585771</v>
      </c>
      <c r="L2123" s="119">
        <f>IF(tech_base!$T99&gt;L$2025,"",fuel_costs!D$11*0.086/tech_proj!L223/(1-tech_proj!L503))</f>
        <v>109.36846148874453</v>
      </c>
      <c r="M2123" s="119">
        <f>IF(tech_base!$T99&gt;M$2025,"",fuel_costs!E$11*0.086/tech_proj!M223/(1-tech_proj!M503))</f>
        <v>106.86692646256752</v>
      </c>
      <c r="N2123" s="119">
        <f>IF(tech_base!$T99&gt;N$2025,"",fuel_costs!F$11*0.086/tech_proj!N223/(1-tech_proj!N503))</f>
        <v>89.990652283258257</v>
      </c>
      <c r="O2123" s="119">
        <f>IF(tech_base!$T99&gt;O$2025,"",fuel_costs!G$11*0.086/tech_proj!O223/(1-tech_proj!O503))</f>
        <v>75.694988105214506</v>
      </c>
      <c r="P2123" s="119">
        <f>IF(tech_base!$T99&gt;P$2025,"",fuel_costs!H$11*0.086/tech_proj!P223/(1-tech_proj!P503))</f>
        <v>51.113476254460807</v>
      </c>
      <c r="Q2123" s="119">
        <f>IF(tech_base!$T99&gt;Q$2025,"",fuel_costs!I$11*0.086/tech_proj!Q223/(1-tech_proj!Q503))</f>
        <v>60.185704502133021</v>
      </c>
      <c r="R2123" s="119">
        <f>IF(tech_base!$T99&gt;R$2025,"",fuel_costs!J$11*0.086/tech_proj!R223/(1-tech_proj!R503))</f>
        <v>66.521422555669872</v>
      </c>
      <c r="S2123" s="119">
        <f>IF(tech_base!$T99&gt;S$2025,"",fuel_costs!K$11*0.086/tech_proj!S223/(1-tech_proj!S503))</f>
        <v>72.913892834401935</v>
      </c>
      <c r="T2123" s="119">
        <f>IF(tech_base!$T99&gt;T$2025,"",fuel_costs!L$11*0.086/tech_proj!T223/(1-tech_proj!T503))</f>
        <v>79.235898821590553</v>
      </c>
      <c r="U2123" s="119">
        <f>IF(tech_base!$T99&gt;U$2025,"",fuel_costs!M$11*0.086/tech_proj!U223/(1-tech_proj!U503))</f>
        <v>85.403792141633161</v>
      </c>
      <c r="V2123" s="119">
        <f>IF(tech_base!$T99&gt;V$2025,"",fuel_costs!N$11*0.086/tech_proj!V223/(1-tech_proj!V503))</f>
        <v>89.428264120801785</v>
      </c>
      <c r="W2123" s="119">
        <f>IF(tech_base!$T99&gt;W$2025,"",fuel_costs!O$11*0.086/tech_proj!W223/(1-tech_proj!W503))</f>
        <v>94.193265054980984</v>
      </c>
      <c r="X2123" s="119">
        <f>IF(tech_base!$T99&gt;X$2025,"",fuel_costs!P$11*0.086/tech_proj!X223/(1-tech_proj!X503))</f>
        <v>98.69725565908854</v>
      </c>
      <c r="Y2123" s="119">
        <f>IF(tech_base!$T99&gt;Y$2025,"",fuel_costs!Q$11*0.086/tech_proj!Y223/(1-tech_proj!Y503))</f>
        <v>102.94536580637586</v>
      </c>
      <c r="Z2123" s="119">
        <f>IF(tech_base!$T99&gt;Z$2025,"",fuel_costs!R$11*0.086/tech_proj!Z223/(1-tech_proj!Z503))</f>
        <v>104.48331171370829</v>
      </c>
      <c r="AA2123" s="119">
        <f>IF(tech_base!$T99&gt;AA$2025,"",fuel_costs!S$11*0.086/tech_proj!AA223/(1-tech_proj!AA503))</f>
        <v>105.92475862309985</v>
      </c>
      <c r="AB2123" s="119">
        <f>IF(tech_base!$T99&gt;AB$2025,"",fuel_costs!T$11*0.086/tech_proj!AB223/(1-tech_proj!AB503))</f>
        <v>107.52058330424828</v>
      </c>
      <c r="AC2123" s="119">
        <f>IF(tech_base!$T99&gt;AC$2025,"",fuel_costs!U$11*0.086/tech_proj!AC223/(1-tech_proj!AC503))</f>
        <v>109.11819757672734</v>
      </c>
      <c r="AD2123" s="119">
        <f>IF(tech_base!$T99&gt;AD$2025,"",fuel_costs!V$11*0.086/tech_proj!AD223/(1-tech_proj!AD503))</f>
        <v>111.42915699461219</v>
      </c>
      <c r="AE2123" s="119">
        <f>IF(tech_base!$T99&gt;AE$2025,"",fuel_costs!W$11*0.086/tech_proj!AE223/(1-tech_proj!AE503))</f>
        <v>112.9046072456221</v>
      </c>
      <c r="AF2123" s="119">
        <f>IF(tech_base!$T99&gt;AF$2025,"",fuel_costs!X$11*0.086/tech_proj!AF223/(1-tech_proj!AF503))</f>
        <v>114.58470769556466</v>
      </c>
      <c r="AG2123" s="119">
        <f>IF(tech_base!$T99&gt;AG$2025,"",fuel_costs!Y$11*0.086/tech_proj!AG223/(1-tech_proj!AG503))</f>
        <v>116.09169396705926</v>
      </c>
      <c r="AH2123" s="119">
        <f>IF(tech_base!$T99&gt;AH$2025,"",fuel_costs!Z$11*0.086/tech_proj!AH223/(1-tech_proj!AH503))</f>
        <v>117.46084005204077</v>
      </c>
      <c r="AI2123" s="119">
        <f>IF(tech_base!$T99&gt;AI$2025,"",fuel_costs!AA$11*0.086/tech_proj!AI223/(1-tech_proj!AI503))</f>
        <v>118.62013507353146</v>
      </c>
      <c r="AJ2123" s="119">
        <f>IF(tech_base!$T99&gt;AJ$2025,"",fuel_costs!AB$11*0.086/tech_proj!AJ223/(1-tech_proj!AJ503))</f>
        <v>119.71363679137643</v>
      </c>
      <c r="AK2123" s="119">
        <f>IF(tech_base!$T99&gt;AK$2025,"",fuel_costs!AC$11*0.086/tech_proj!AK223/(1-tech_proj!AK503))</f>
        <v>120.60896515622645</v>
      </c>
      <c r="AL2123" s="119">
        <f>IF(tech_base!$T99&gt;AL$2025,"",fuel_costs!AD$11*0.086/tech_proj!AL223/(1-tech_proj!AL503))</f>
        <v>121.47869329761502</v>
      </c>
      <c r="AM2123" s="119">
        <f>IF(tech_base!$T99&gt;AM$2025,"",fuel_costs!AE$11*0.086/tech_proj!AM223/(1-tech_proj!AM503))</f>
        <v>122.44040949042754</v>
      </c>
      <c r="AN2123" s="119">
        <f>IF(tech_base!$T99&gt;AN$2025,"",fuel_costs!AF$11*0.086/tech_proj!AN223/(1-tech_proj!AN503))</f>
        <v>122.47673660335214</v>
      </c>
      <c r="AO2123" s="119">
        <f>IF(tech_base!$T99&gt;AO$2025,"",fuel_costs!AG$11*0.086/tech_proj!AO223/(1-tech_proj!AO503))</f>
        <v>122.79930324989115</v>
      </c>
      <c r="AP2123" s="119">
        <f>IF(tech_base!$T99&gt;AP$2025,"",fuel_costs!AH$11*0.086/tech_proj!AP223/(1-tech_proj!AP503))</f>
        <v>123.13783291578082</v>
      </c>
      <c r="AQ2123" s="119">
        <f>IF(tech_base!$T99&gt;AQ$2025,"",fuel_costs!AI$11*0.086/tech_proj!AQ223/(1-tech_proj!AQ503))</f>
        <v>123.54542261422699</v>
      </c>
      <c r="AR2123" s="119">
        <f>IF(tech_base!$T99&gt;AR$2025,"",fuel_costs!AJ$11*0.086/tech_proj!AR223/(1-tech_proj!AR503))</f>
        <v>124.15305174086484</v>
      </c>
      <c r="AS2123" s="119">
        <f>IF(tech_base!$T99&gt;AS$2025,"",fuel_costs!AK$11*0.086/tech_proj!AS223/(1-tech_proj!AS503))</f>
        <v>124.91876686864543</v>
      </c>
      <c r="AT2123" s="119">
        <f>IF(tech_base!$T99&gt;AT$2025,"",fuel_costs!AL$11*0.086/tech_proj!AT223/(1-tech_proj!AT503))</f>
        <v>125.64210462678912</v>
      </c>
      <c r="AU2123" s="119">
        <f>IF(tech_base!$T99&gt;AU$2025,"",fuel_costs!AM$11*0.086/tech_proj!AU223/(1-tech_proj!AU503))</f>
        <v>126.29322832215443</v>
      </c>
      <c r="AV2123" s="119">
        <f>IF(tech_base!$T99&gt;AV$2025,"",fuel_costs!AN$11*0.086/tech_proj!AV223/(1-tech_proj!AV503))</f>
        <v>126.8142617734249</v>
      </c>
      <c r="AW2123" s="119">
        <f>IF(tech_base!$T99&gt;AW$2025,"",fuel_costs!AO$11*0.086/tech_proj!AW223/(1-tech_proj!AW503))</f>
        <v>126.78885950753406</v>
      </c>
      <c r="AX2123" s="120">
        <f>IF(tech_base!$T99&gt;AX$2025,"",fuel_costs!AP$11*0.086/tech_proj!AX223/(1-tech_proj!AX503))</f>
        <v>126.79822776720415</v>
      </c>
    </row>
    <row r="2124" spans="1:50" x14ac:dyDescent="0.25">
      <c r="A2124" s="356"/>
      <c r="B2124" s="376"/>
      <c r="C2124" s="361" t="s">
        <v>14</v>
      </c>
      <c r="D2124" s="2" t="s">
        <v>8</v>
      </c>
      <c r="E2124" s="78" t="str">
        <f>A2109&amp;"/"&amp;B2121&amp;"/"&amp;C2124&amp;"/"&amp;D2124</f>
        <v>Gas fired power plants (Natural gas, biogas)/Gas turbine /CHP/M</v>
      </c>
      <c r="F2124" s="78" t="str">
        <f>A2109</f>
        <v>Gas fired power plants (Natural gas, biogas)</v>
      </c>
      <c r="G2124" s="78" t="str">
        <f>B2121</f>
        <v xml:space="preserve">Gas turbine </v>
      </c>
      <c r="H2124" s="78" t="str">
        <f>C2124</f>
        <v>CHP</v>
      </c>
      <c r="I2124" s="78" t="str">
        <f t="shared" si="388"/>
        <v>M</v>
      </c>
      <c r="J2124" s="123">
        <f>IF(tech_base!$T100&gt;J$2025,"",fuel_costs!B$11*0.086/tech_proj!J224/(1-tech_proj!J504))</f>
        <v>85.18621449896753</v>
      </c>
      <c r="K2124" s="123">
        <f>IF(tech_base!$T100&gt;K$2025,"",fuel_costs!C$11*0.086/tech_proj!K224/(1-tech_proj!K504))</f>
        <v>97.500593604465735</v>
      </c>
      <c r="L2124" s="123">
        <f>IF(tech_base!$T100&gt;L$2025,"",fuel_costs!D$11*0.086/tech_proj!L224/(1-tech_proj!L504))</f>
        <v>109.1171591732526</v>
      </c>
      <c r="M2124" s="123">
        <f>IF(tech_base!$T100&gt;M$2025,"",fuel_costs!E$11*0.086/tech_proj!M224/(1-tech_proj!M504))</f>
        <v>106.62346164821403</v>
      </c>
      <c r="N2124" s="123">
        <f>IF(tech_base!$T100&gt;N$2025,"",fuel_costs!F$11*0.086/tech_proj!N224/(1-tech_proj!N504))</f>
        <v>89.787569310068235</v>
      </c>
      <c r="O2124" s="123">
        <f>IF(tech_base!$T100&gt;O$2025,"",fuel_costs!G$11*0.086/tech_proj!O224/(1-tech_proj!O504))</f>
        <v>75.525953747413041</v>
      </c>
      <c r="P2124" s="123">
        <f>IF(tech_base!$T100&gt;P$2025,"",fuel_costs!H$11*0.086/tech_proj!P224/(1-tech_proj!P504))</f>
        <v>51.000660021657232</v>
      </c>
      <c r="Q2124" s="123">
        <f>IF(tech_base!$T100&gt;Q$2025,"",fuel_costs!I$11*0.086/tech_proj!Q224/(1-tech_proj!Q504))</f>
        <v>60.054576381468294</v>
      </c>
      <c r="R2124" s="123">
        <f>IF(tech_base!$T100&gt;R$2025,"",fuel_costs!J$11*0.086/tech_proj!R224/(1-tech_proj!R504))</f>
        <v>66.378565344530188</v>
      </c>
      <c r="S2124" s="123">
        <f>IF(tech_base!$T100&gt;S$2025,"",fuel_costs!K$11*0.086/tech_proj!S224/(1-tech_proj!S504))</f>
        <v>72.759798756317707</v>
      </c>
      <c r="T2124" s="123">
        <f>IF(tech_base!$T100&gt;T$2025,"",fuel_costs!L$11*0.086/tech_proj!T224/(1-tech_proj!T504))</f>
        <v>79.0714069906291</v>
      </c>
      <c r="U2124" s="123">
        <f>IF(tech_base!$T100&gt;U$2025,"",fuel_costs!M$11*0.086/tech_proj!U224/(1-tech_proj!U504))</f>
        <v>85.229987800985697</v>
      </c>
      <c r="V2124" s="123">
        <f>IF(tech_base!$T100&gt;V$2025,"",fuel_costs!N$11*0.086/tech_proj!V224/(1-tech_proj!V504))</f>
        <v>89.25026313296857</v>
      </c>
      <c r="W2124" s="123">
        <f>IF(tech_base!$T100&gt;W$2025,"",fuel_costs!O$11*0.086/tech_proj!W224/(1-tech_proj!W504))</f>
        <v>94.010368150200392</v>
      </c>
      <c r="X2124" s="123">
        <f>IF(tech_base!$T100&gt;X$2025,"",fuel_costs!P$11*0.086/tech_proj!X224/(1-tech_proj!X504))</f>
        <v>98.510851050231324</v>
      </c>
      <c r="Y2124" s="123">
        <f>IF(tech_base!$T100&gt;Y$2025,"",fuel_costs!Q$11*0.086/tech_proj!Y224/(1-tech_proj!Y504))</f>
        <v>102.75688098159239</v>
      </c>
      <c r="Z2124" s="123">
        <f>IF(tech_base!$T100&gt;Z$2025,"",fuel_costs!R$11*0.086/tech_proj!Z224/(1-tech_proj!Z504))</f>
        <v>104.2985619126017</v>
      </c>
      <c r="AA2124" s="123">
        <f>IF(tech_base!$T100&gt;AA$2025,"",fuel_costs!S$11*0.086/tech_proj!AA224/(1-tech_proj!AA504))</f>
        <v>105.74466009945179</v>
      </c>
      <c r="AB2124" s="123">
        <f>IF(tech_base!$T100&gt;AB$2025,"",fuel_costs!T$11*0.086/tech_proj!AB224/(1-tech_proj!AB504))</f>
        <v>107.34567962048398</v>
      </c>
      <c r="AC2124" s="123">
        <f>IF(tech_base!$T100&gt;AC$2025,"",fuel_costs!U$11*0.086/tech_proj!AC224/(1-tech_proj!AC504))</f>
        <v>108.94936062156786</v>
      </c>
      <c r="AD2124" s="123">
        <f>IF(tech_base!$T100&gt;AD$2025,"",fuel_costs!V$11*0.086/tech_proj!AD224/(1-tech_proj!AD504))</f>
        <v>111.26627667650234</v>
      </c>
      <c r="AE2124" s="123">
        <f>IF(tech_base!$T100&gt;AE$2025,"",fuel_costs!W$11*0.086/tech_proj!AE224/(1-tech_proj!AE504))</f>
        <v>112.74994789178257</v>
      </c>
      <c r="AF2124" s="123">
        <f>IF(tech_base!$T100&gt;AF$2025,"",fuel_costs!X$11*0.086/tech_proj!AF224/(1-tech_proj!AF504))</f>
        <v>114.4390314220972</v>
      </c>
      <c r="AG2124" s="123">
        <f>IF(tech_base!$T100&gt;AG$2025,"",fuel_costs!Y$11*0.086/tech_proj!AG224/(1-tech_proj!AG504))</f>
        <v>115.9563138540646</v>
      </c>
      <c r="AH2124" s="123">
        <f>IF(tech_base!$T100&gt;AH$2025,"",fuel_costs!Z$11*0.086/tech_proj!AH224/(1-tech_proj!AH504))</f>
        <v>117.33701703430667</v>
      </c>
      <c r="AI2124" s="123">
        <f>IF(tech_base!$T100&gt;AI$2025,"",fuel_costs!AA$11*0.086/tech_proj!AI224/(1-tech_proj!AI504))</f>
        <v>118.50917898695812</v>
      </c>
      <c r="AJ2124" s="123">
        <f>IF(tech_base!$T100&gt;AJ$2025,"",fuel_costs!AB$11*0.086/tech_proj!AJ224/(1-tech_proj!AJ504))</f>
        <v>119.61667822945329</v>
      </c>
      <c r="AK2124" s="123">
        <f>IF(tech_base!$T100&gt;AK$2025,"",fuel_costs!AC$11*0.086/tech_proj!AK224/(1-tech_proj!AK504))</f>
        <v>120.52719675569938</v>
      </c>
      <c r="AL2124" s="123">
        <f>IF(tech_base!$T100&gt;AL$2025,"",fuel_costs!AD$11*0.086/tech_proj!AL224/(1-tech_proj!AL504))</f>
        <v>121.41311312725158</v>
      </c>
      <c r="AM2124" s="123">
        <f>IF(tech_base!$T100&gt;AM$2025,"",fuel_costs!AE$11*0.086/tech_proj!AM224/(1-tech_proj!AM504))</f>
        <v>122.39191643698167</v>
      </c>
      <c r="AN2124" s="123">
        <f>IF(tech_base!$T100&gt;AN$2025,"",fuel_costs!AF$11*0.086/tech_proj!AN224/(1-tech_proj!AN504))</f>
        <v>122.4464593015571</v>
      </c>
      <c r="AO2124" s="123">
        <f>IF(tech_base!$T100&gt;AO$2025,"",fuel_costs!AG$11*0.086/tech_proj!AO224/(1-tech_proj!AO504))</f>
        <v>122.7877467113798</v>
      </c>
      <c r="AP2124" s="123">
        <f>IF(tech_base!$T100&gt;AP$2025,"",fuel_costs!AH$11*0.086/tech_proj!AP224/(1-tech_proj!AP504))</f>
        <v>123.14550092779358</v>
      </c>
      <c r="AQ2124" s="123">
        <f>IF(tech_base!$T100&gt;AQ$2025,"",fuel_costs!AI$11*0.086/tech_proj!AQ224/(1-tech_proj!AQ504))</f>
        <v>123.57269937536212</v>
      </c>
      <c r="AR2124" s="123">
        <f>IF(tech_base!$T100&gt;AR$2025,"",fuel_costs!AJ$11*0.086/tech_proj!AR224/(1-tech_proj!AR504))</f>
        <v>124.20024198445405</v>
      </c>
      <c r="AS2124" s="123">
        <f>IF(tech_base!$T100&gt;AS$2025,"",fuel_costs!AK$11*0.086/tech_proj!AS224/(1-tech_proj!AS504))</f>
        <v>124.98606274565195</v>
      </c>
      <c r="AT2124" s="123">
        <f>IF(tech_base!$T100&gt;AT$2025,"",fuel_costs!AL$11*0.086/tech_proj!AT224/(1-tech_proj!AT504))</f>
        <v>125.72942488105319</v>
      </c>
      <c r="AU2124" s="123">
        <f>IF(tech_base!$T100&gt;AU$2025,"",fuel_costs!AM$11*0.086/tech_proj!AU224/(1-tech_proj!AU504))</f>
        <v>126.4002164100602</v>
      </c>
      <c r="AV2124" s="123">
        <f>IF(tech_base!$T100&gt;AV$2025,"",fuel_costs!AN$11*0.086/tech_proj!AV224/(1-tech_proj!AV504))</f>
        <v>126.94022385664796</v>
      </c>
      <c r="AW2124" s="123">
        <f>IF(tech_base!$T100&gt;AW$2025,"",fuel_costs!AO$11*0.086/tech_proj!AW224/(1-tech_proj!AW504))</f>
        <v>126.93231685339184</v>
      </c>
      <c r="AX2124" s="124">
        <f>IF(tech_base!$T100&gt;AX$2025,"",fuel_costs!AP$11*0.086/tech_proj!AX224/(1-tech_proj!AX504))</f>
        <v>126.95796010276918</v>
      </c>
    </row>
    <row r="2125" spans="1:50" x14ac:dyDescent="0.25">
      <c r="A2125" s="356"/>
      <c r="B2125" s="376"/>
      <c r="C2125" s="378"/>
      <c r="D2125" s="2" t="s">
        <v>10</v>
      </c>
      <c r="E2125" s="76" t="str">
        <f>A2109&amp;"/"&amp;B2121&amp;"/"&amp;C2124&amp;"/"&amp;D2125</f>
        <v>Gas fired power plants (Natural gas, biogas)/Gas turbine /CHP/S</v>
      </c>
      <c r="F2125" s="76" t="str">
        <f>A2109</f>
        <v>Gas fired power plants (Natural gas, biogas)</v>
      </c>
      <c r="G2125" s="76" t="str">
        <f>B2121</f>
        <v xml:space="preserve">Gas turbine </v>
      </c>
      <c r="H2125" s="76" t="str">
        <f>C2124</f>
        <v>CHP</v>
      </c>
      <c r="I2125" s="76" t="str">
        <f t="shared" si="388"/>
        <v>S</v>
      </c>
      <c r="J2125" s="119">
        <f>IF(tech_base!$T101&gt;J$2025,"",fuel_costs!B$11*0.086/tech_proj!J225/(1-tech_proj!J505))</f>
        <v>89.57216967976133</v>
      </c>
      <c r="K2125" s="119">
        <f>IF(tech_base!$T101&gt;K$2025,"",fuel_costs!C$11*0.086/tech_proj!K225/(1-tech_proj!K505))</f>
        <v>102.52026033249201</v>
      </c>
      <c r="L2125" s="119">
        <f>IF(tech_base!$T101&gt;L$2025,"",fuel_costs!D$11*0.086/tech_proj!L225/(1-tech_proj!L505))</f>
        <v>114.73449805238916</v>
      </c>
      <c r="M2125" s="119">
        <f>IF(tech_base!$T101&gt;M$2025,"",fuel_costs!E$11*0.086/tech_proj!M225/(1-tech_proj!M505))</f>
        <v>112.11200647312062</v>
      </c>
      <c r="N2125" s="119">
        <f>IF(tech_base!$T101&gt;N$2025,"",fuel_costs!F$11*0.086/tech_proj!N225/(1-tech_proj!N505))</f>
        <v>94.409081689328659</v>
      </c>
      <c r="O2125" s="119">
        <f>IF(tech_base!$T101&gt;O$2025,"",fuel_costs!G$11*0.086/tech_proj!O225/(1-tech_proj!O505))</f>
        <v>79.413037168711696</v>
      </c>
      <c r="P2125" s="119">
        <f>IF(tech_base!$T101&gt;P$2025,"",fuel_costs!H$11*0.086/tech_proj!P225/(1-tech_proj!P505))</f>
        <v>53.625235554729514</v>
      </c>
      <c r="Q2125" s="119">
        <f>IF(tech_base!$T101&gt;Q$2025,"",fuel_costs!I$11*0.086/tech_proj!Q225/(1-tech_proj!Q505))</f>
        <v>63.144733212055044</v>
      </c>
      <c r="R2125" s="119">
        <f>IF(tech_base!$T101&gt;R$2025,"",fuel_costs!J$11*0.086/tech_proj!R225/(1-tech_proj!R505))</f>
        <v>69.793705001161598</v>
      </c>
      <c r="S2125" s="119">
        <f>IF(tech_base!$T101&gt;S$2025,"",fuel_costs!K$11*0.086/tech_proj!S225/(1-tech_proj!S505))</f>
        <v>76.502738809075595</v>
      </c>
      <c r="T2125" s="119">
        <f>IF(tech_base!$T101&gt;T$2025,"",fuel_costs!L$11*0.086/tech_proj!T225/(1-tech_proj!T505))</f>
        <v>83.138421199559062</v>
      </c>
      <c r="U2125" s="119">
        <f>IF(tech_base!$T101&gt;U$2025,"",fuel_costs!M$11*0.086/tech_proj!U225/(1-tech_proj!U505))</f>
        <v>89.613043544405784</v>
      </c>
      <c r="V2125" s="119">
        <f>IF(tech_base!$T101&gt;V$2025,"",fuel_costs!N$11*0.086/tech_proj!V225/(1-tech_proj!V505))</f>
        <v>93.839234151583142</v>
      </c>
      <c r="W2125" s="119">
        <f>IF(tech_base!$T101&gt;W$2025,"",fuel_costs!O$11*0.086/tech_proj!W225/(1-tech_proj!W505))</f>
        <v>98.84312614688524</v>
      </c>
      <c r="X2125" s="119">
        <f>IF(tech_base!$T101&gt;X$2025,"",fuel_costs!P$11*0.086/tech_proj!X225/(1-tech_proj!X505))</f>
        <v>103.57385644234793</v>
      </c>
      <c r="Y2125" s="119">
        <f>IF(tech_base!$T101&gt;Y$2025,"",fuel_costs!Q$11*0.086/tech_proj!Y225/(1-tech_proj!Y505))</f>
        <v>108.03684595284162</v>
      </c>
      <c r="Z2125" s="119">
        <f>IF(tech_base!$T101&gt;Z$2025,"",fuel_costs!R$11*0.086/tech_proj!Z225/(1-tech_proj!Z505))</f>
        <v>109.65633400849234</v>
      </c>
      <c r="AA2125" s="119">
        <f>IF(tech_base!$T101&gt;AA$2025,"",fuel_costs!S$11*0.086/tech_proj!AA225/(1-tech_proj!AA505))</f>
        <v>111.17515325977506</v>
      </c>
      <c r="AB2125" s="119">
        <f>IF(tech_base!$T101&gt;AB$2025,"",fuel_costs!T$11*0.086/tech_proj!AB225/(1-tech_proj!AB505))</f>
        <v>112.85665562352145</v>
      </c>
      <c r="AC2125" s="119">
        <f>IF(tech_base!$T101&gt;AC$2025,"",fuel_costs!U$11*0.086/tech_proj!AC225/(1-tech_proj!AC505))</f>
        <v>114.54074077375235</v>
      </c>
      <c r="AD2125" s="119">
        <f>IF(tech_base!$T101&gt;AD$2025,"",fuel_costs!V$11*0.086/tech_proj!AD225/(1-tech_proj!AD505))</f>
        <v>116.97441562568493</v>
      </c>
      <c r="AE2125" s="119">
        <f>IF(tech_base!$T101&gt;AE$2025,"",fuel_costs!W$11*0.086/tech_proj!AE225/(1-tech_proj!AE505))</f>
        <v>118.53182960752274</v>
      </c>
      <c r="AF2125" s="119">
        <f>IF(tech_base!$T101&gt;AF$2025,"",fuel_costs!X$11*0.086/tech_proj!AF225/(1-tech_proj!AF505))</f>
        <v>120.30490986345107</v>
      </c>
      <c r="AG2125" s="119">
        <f>IF(tech_base!$T101&gt;AG$2025,"",fuel_costs!Y$11*0.086/tech_proj!AG225/(1-tech_proj!AG505))</f>
        <v>121.89707916716402</v>
      </c>
      <c r="AH2125" s="119">
        <f>IF(tech_base!$T101&gt;AH$2025,"",fuel_costs!Z$11*0.086/tech_proj!AH225/(1-tech_proj!AH505))</f>
        <v>123.34535201526009</v>
      </c>
      <c r="AI2125" s="119">
        <f>IF(tech_base!$T101&gt;AI$2025,"",fuel_costs!AA$11*0.086/tech_proj!AI225/(1-tech_proj!AI505))</f>
        <v>124.5740713836154</v>
      </c>
      <c r="AJ2125" s="119">
        <f>IF(tech_base!$T101&gt;AJ$2025,"",fuel_costs!AB$11*0.086/tech_proj!AJ225/(1-tech_proj!AJ505))</f>
        <v>125.73447075888549</v>
      </c>
      <c r="AK2125" s="119">
        <f>IF(tech_base!$T101&gt;AK$2025,"",fuel_costs!AC$11*0.086/tech_proj!AK225/(1-tech_proj!AK505))</f>
        <v>126.68745426197366</v>
      </c>
      <c r="AL2125" s="119">
        <f>IF(tech_base!$T101&gt;AL$2025,"",fuel_costs!AD$11*0.086/tech_proj!AL225/(1-tech_proj!AL505))</f>
        <v>127.61420606250799</v>
      </c>
      <c r="AM2125" s="119">
        <f>IF(tech_base!$T101&gt;AM$2025,"",fuel_costs!AE$11*0.086/tech_proj!AM225/(1-tech_proj!AM505))</f>
        <v>128.63819721476213</v>
      </c>
      <c r="AN2125" s="119">
        <f>IF(tech_base!$T101&gt;AN$2025,"",fuel_costs!AF$11*0.086/tech_proj!AN225/(1-tech_proj!AN505))</f>
        <v>128.69038667628408</v>
      </c>
      <c r="AO2125" s="119">
        <f>IF(tech_base!$T101&gt;AO$2025,"",fuel_costs!AG$11*0.086/tech_proj!AO225/(1-tech_proj!AO505))</f>
        <v>129.0435901193344</v>
      </c>
      <c r="AP2125" s="119">
        <f>IF(tech_base!$T101&gt;AP$2025,"",fuel_costs!AH$11*0.086/tech_proj!AP225/(1-tech_proj!AP505))</f>
        <v>129.41373122986042</v>
      </c>
      <c r="AQ2125" s="119">
        <f>IF(tech_base!$T101&gt;AQ$2025,"",fuel_costs!AI$11*0.086/tech_proj!AQ225/(1-tech_proj!AQ505))</f>
        <v>129.85648118245913</v>
      </c>
      <c r="AR2125" s="119">
        <f>IF(tech_base!$T101&gt;AR$2025,"",fuel_costs!AJ$11*0.086/tech_proj!AR225/(1-tech_proj!AR505))</f>
        <v>130.50938651037546</v>
      </c>
      <c r="AS2125" s="119">
        <f>IF(tech_base!$T101&gt;AS$2025,"",fuel_costs!AK$11*0.086/tech_proj!AS225/(1-tech_proj!AS505))</f>
        <v>131.32822804755412</v>
      </c>
      <c r="AT2125" s="119">
        <f>IF(tech_base!$T101&gt;AT$2025,"",fuel_costs!AL$11*0.086/tech_proj!AT225/(1-tech_proj!AT505))</f>
        <v>132.10208852627281</v>
      </c>
      <c r="AU2125" s="119">
        <f>IF(tech_base!$T101&gt;AU$2025,"",fuel_costs!AM$11*0.086/tech_proj!AU225/(1-tech_proj!AU505))</f>
        <v>132.79936860266949</v>
      </c>
      <c r="AV2125" s="119">
        <f>IF(tech_base!$T101&gt;AV$2025,"",fuel_costs!AN$11*0.086/tech_proj!AV225/(1-tech_proj!AV505))</f>
        <v>133.35896464870825</v>
      </c>
      <c r="AW2125" s="119">
        <f>IF(tech_base!$T101&gt;AW$2025,"",fuel_costs!AO$11*0.086/tech_proj!AW225/(1-tech_proj!AW505))</f>
        <v>133.34275602469071</v>
      </c>
      <c r="AX2125" s="120">
        <f>IF(tech_base!$T101&gt;AX$2025,"",fuel_costs!AP$11*0.086/tech_proj!AX225/(1-tech_proj!AX505))</f>
        <v>133.36170334955676</v>
      </c>
    </row>
    <row r="2126" spans="1:50" x14ac:dyDescent="0.25">
      <c r="A2126" s="356"/>
      <c r="B2126" s="380"/>
      <c r="C2126" s="381"/>
      <c r="D2126" s="4" t="s">
        <v>20</v>
      </c>
      <c r="E2126" s="80" t="str">
        <f>A2109&amp;"/"&amp;B2121&amp;"/"&amp;C2124&amp;"/"&amp;D2126</f>
        <v>Gas fired power plants (Natural gas, biogas)/Gas turbine /CHP/XS</v>
      </c>
      <c r="F2126" s="80" t="str">
        <f>A2109</f>
        <v>Gas fired power plants (Natural gas, biogas)</v>
      </c>
      <c r="G2126" s="80" t="str">
        <f>B2121</f>
        <v xml:space="preserve">Gas turbine </v>
      </c>
      <c r="H2126" s="80" t="str">
        <f>C2124</f>
        <v>CHP</v>
      </c>
      <c r="I2126" s="80" t="str">
        <f t="shared" si="388"/>
        <v>XS</v>
      </c>
      <c r="J2126" s="127">
        <f>IF(tech_base!$T102&gt;J$2025,"",fuel_costs!B$11*0.086/tech_proj!J226/(1-tech_proj!J506))</f>
        <v>94.190809551356338</v>
      </c>
      <c r="K2126" s="127">
        <f>IF(tech_base!$T102&gt;K$2025,"",fuel_costs!C$11*0.086/tech_proj!K226/(1-tech_proj!K506))</f>
        <v>107.80654695154814</v>
      </c>
      <c r="L2126" s="127">
        <f>IF(tech_base!$T102&gt;L$2025,"",fuel_costs!D$11*0.086/tech_proj!L226/(1-tech_proj!L506))</f>
        <v>120.65059151363684</v>
      </c>
      <c r="M2126" s="127">
        <f>IF(tech_base!$T102&gt;M$2025,"",fuel_costs!E$11*0.086/tech_proj!M226/(1-tech_proj!M506))</f>
        <v>117.89287552019772</v>
      </c>
      <c r="N2126" s="127">
        <f>IF(tech_base!$T102&gt;N$2025,"",fuel_costs!F$11*0.086/tech_proj!N226/(1-tech_proj!N506))</f>
        <v>99.277128879543426</v>
      </c>
      <c r="O2126" s="127">
        <f>IF(tech_base!$T102&gt;O$2025,"",fuel_costs!G$11*0.086/tech_proj!O226/(1-tech_proj!O506))</f>
        <v>83.50783827828829</v>
      </c>
      <c r="P2126" s="127">
        <f>IF(tech_base!$T102&gt;P$2025,"",fuel_costs!H$11*0.086/tech_proj!P226/(1-tech_proj!P506))</f>
        <v>56.39033158781924</v>
      </c>
      <c r="Q2126" s="127">
        <f>IF(tech_base!$T102&gt;Q$2025,"",fuel_costs!I$11*0.086/tech_proj!Q226/(1-tech_proj!Q506))</f>
        <v>66.400686300353655</v>
      </c>
      <c r="R2126" s="127">
        <f>IF(tech_base!$T102&gt;R$2025,"",fuel_costs!J$11*0.086/tech_proj!R226/(1-tech_proj!R506))</f>
        <v>73.392501255145149</v>
      </c>
      <c r="S2126" s="127">
        <f>IF(tech_base!$T102&gt;S$2025,"",fuel_costs!K$11*0.086/tech_proj!S226/(1-tech_proj!S506))</f>
        <v>80.447475226794097</v>
      </c>
      <c r="T2126" s="127">
        <f>IF(tech_base!$T102&gt;T$2025,"",fuel_costs!L$11*0.086/tech_proj!T226/(1-tech_proj!T506))</f>
        <v>87.425315537237509</v>
      </c>
      <c r="U2126" s="127">
        <f>IF(tech_base!$T102&gt;U$2025,"",fuel_costs!M$11*0.086/tech_proj!U226/(1-tech_proj!U506))</f>
        <v>94.23379100881256</v>
      </c>
      <c r="V2126" s="127">
        <f>IF(tech_base!$T102&gt;V$2025,"",fuel_costs!N$11*0.086/tech_proj!V226/(1-tech_proj!V506))</f>
        <v>98.677898101803024</v>
      </c>
      <c r="W2126" s="127">
        <f>IF(tech_base!$T102&gt;W$2025,"",fuel_costs!O$11*0.086/tech_proj!W226/(1-tech_proj!W506))</f>
        <v>103.93980746081627</v>
      </c>
      <c r="X2126" s="127">
        <f>IF(tech_base!$T102&gt;X$2025,"",fuel_costs!P$11*0.086/tech_proj!X226/(1-tech_proj!X506))</f>
        <v>108.91446999150895</v>
      </c>
      <c r="Y2126" s="127">
        <f>IF(tech_base!$T102&gt;Y$2025,"",fuel_costs!Q$11*0.086/tech_proj!Y226/(1-tech_proj!Y506))</f>
        <v>113.60758612920587</v>
      </c>
      <c r="Z2126" s="127">
        <f>IF(tech_base!$T102&gt;Z$2025,"",fuel_costs!R$11*0.086/tech_proj!Z226/(1-tech_proj!Z506))</f>
        <v>115.31058039143996</v>
      </c>
      <c r="AA2126" s="127">
        <f>IF(tech_base!$T102&gt;AA$2025,"",fuel_costs!S$11*0.086/tech_proj!AA226/(1-tech_proj!AA506))</f>
        <v>116.9077150299328</v>
      </c>
      <c r="AB2126" s="127">
        <f>IF(tech_base!$T102&gt;AB$2025,"",fuel_costs!T$11*0.086/tech_proj!AB226/(1-tech_proj!AB506))</f>
        <v>118.6759212648609</v>
      </c>
      <c r="AC2126" s="127">
        <f>IF(tech_base!$T102&gt;AC$2025,"",fuel_costs!U$11*0.086/tech_proj!AC226/(1-tech_proj!AC506))</f>
        <v>120.44684346336052</v>
      </c>
      <c r="AD2126" s="127">
        <f>IF(tech_base!$T102&gt;AD$2025,"",fuel_costs!V$11*0.086/tech_proj!AD226/(1-tech_proj!AD506))</f>
        <v>123.00600670913039</v>
      </c>
      <c r="AE2126" s="127">
        <f>IF(tech_base!$T102&gt;AE$2025,"",fuel_costs!W$11*0.086/tech_proj!AE226/(1-tech_proj!AE506))</f>
        <v>124.64372615123355</v>
      </c>
      <c r="AF2126" s="127">
        <f>IF(tech_base!$T102&gt;AF$2025,"",fuel_costs!X$11*0.086/tech_proj!AF226/(1-tech_proj!AF506))</f>
        <v>126.50823233995824</v>
      </c>
      <c r="AG2126" s="127">
        <f>IF(tech_base!$T102&gt;AG$2025,"",fuel_costs!Y$11*0.086/tech_proj!AG226/(1-tech_proj!AG506))</f>
        <v>128.18249920427235</v>
      </c>
      <c r="AH2126" s="127">
        <f>IF(tech_base!$T102&gt;AH$2025,"",fuel_costs!Z$11*0.086/tech_proj!AH226/(1-tech_proj!AH506))</f>
        <v>129.70544983169515</v>
      </c>
      <c r="AI2126" s="127">
        <f>IF(tech_base!$T102&gt;AI$2025,"",fuel_costs!AA$11*0.086/tech_proj!AI226/(1-tech_proj!AI506))</f>
        <v>130.99752606955551</v>
      </c>
      <c r="AJ2126" s="127">
        <f>IF(tech_base!$T102&gt;AJ$2025,"",fuel_costs!AB$11*0.086/tech_proj!AJ226/(1-tech_proj!AJ506))</f>
        <v>132.21775950757922</v>
      </c>
      <c r="AK2126" s="127">
        <f>IF(tech_base!$T102&gt;AK$2025,"",fuel_costs!AC$11*0.086/tech_proj!AK226/(1-tech_proj!AK506))</f>
        <v>133.21988201913479</v>
      </c>
      <c r="AL2126" s="127">
        <f>IF(tech_base!$T102&gt;AL$2025,"",fuel_costs!AD$11*0.086/tech_proj!AL226/(1-tech_proj!AL506))</f>
        <v>134.19442023404676</v>
      </c>
      <c r="AM2126" s="127">
        <f>IF(tech_base!$T102&gt;AM$2025,"",fuel_costs!AE$11*0.086/tech_proj!AM226/(1-tech_proj!AM506))</f>
        <v>135.27121178603298</v>
      </c>
      <c r="AN2126" s="127">
        <f>IF(tech_base!$T102&gt;AN$2025,"",fuel_costs!AF$11*0.086/tech_proj!AN226/(1-tech_proj!AN506))</f>
        <v>135.32609231028928</v>
      </c>
      <c r="AO2126" s="127">
        <f>IF(tech_base!$T102&gt;AO$2025,"",fuel_costs!AG$11*0.086/tech_proj!AO226/(1-tech_proj!AO506))</f>
        <v>135.69750810111114</v>
      </c>
      <c r="AP2126" s="127">
        <f>IF(tech_base!$T102&gt;AP$2025,"",fuel_costs!AH$11*0.086/tech_proj!AP226/(1-tech_proj!AP506))</f>
        <v>136.08673492204588</v>
      </c>
      <c r="AQ2126" s="127">
        <f>IF(tech_base!$T102&gt;AQ$2025,"",fuel_costs!AI$11*0.086/tech_proj!AQ226/(1-tech_proj!AQ506))</f>
        <v>136.55231453916576</v>
      </c>
      <c r="AR2126" s="127">
        <f>IF(tech_base!$T102&gt;AR$2025,"",fuel_costs!AJ$11*0.086/tech_proj!AR226/(1-tech_proj!AR506))</f>
        <v>137.23888584380984</v>
      </c>
      <c r="AS2126" s="127">
        <f>IF(tech_base!$T102&gt;AS$2025,"",fuel_costs!AK$11*0.086/tech_proj!AS226/(1-tech_proj!AS506))</f>
        <v>138.09994958221068</v>
      </c>
      <c r="AT2126" s="127">
        <f>IF(tech_base!$T102&gt;AT$2025,"",fuel_costs!AL$11*0.086/tech_proj!AT226/(1-tech_proj!AT506))</f>
        <v>138.91371288872557</v>
      </c>
      <c r="AU2126" s="127">
        <f>IF(tech_base!$T102&gt;AU$2025,"",fuel_costs!AM$11*0.086/tech_proj!AU226/(1-tech_proj!AU506))</f>
        <v>139.6469470519109</v>
      </c>
      <c r="AV2126" s="127">
        <f>IF(tech_base!$T102&gt;AV$2025,"",fuel_costs!AN$11*0.086/tech_proj!AV226/(1-tech_proj!AV506))</f>
        <v>140.2353977368343</v>
      </c>
      <c r="AW2126" s="127">
        <f>IF(tech_base!$T102&gt;AW$2025,"",fuel_costs!AO$11*0.086/tech_proj!AW226/(1-tech_proj!AW506))</f>
        <v>140.2183533420922</v>
      </c>
      <c r="AX2126" s="128">
        <f>IF(tech_base!$T102&gt;AX$2025,"",fuel_costs!AP$11*0.086/tech_proj!AX226/(1-tech_proj!AX506))</f>
        <v>140.23827765423459</v>
      </c>
    </row>
    <row r="2127" spans="1:50" x14ac:dyDescent="0.25">
      <c r="A2127" s="356"/>
      <c r="B2127" s="358" t="s">
        <v>19</v>
      </c>
      <c r="C2127" s="353" t="s">
        <v>6</v>
      </c>
      <c r="D2127" s="3" t="s">
        <v>7</v>
      </c>
      <c r="E2127" s="77" t="str">
        <f>A2109&amp;"/"&amp;B2127&amp;"/"&amp;C2127&amp;"/"&amp;D2127</f>
        <v>Gas fired power plants (Natural gas, biogas)/Steam turbine/Electricity only/L</v>
      </c>
      <c r="F2127" s="77" t="str">
        <f>A2109</f>
        <v>Gas fired power plants (Natural gas, biogas)</v>
      </c>
      <c r="G2127" s="77" t="str">
        <f>B2127</f>
        <v>Steam turbine</v>
      </c>
      <c r="H2127" s="77" t="str">
        <f>C2127</f>
        <v>Electricity only</v>
      </c>
      <c r="I2127" s="77" t="str">
        <f t="shared" si="388"/>
        <v>L</v>
      </c>
      <c r="J2127" s="121">
        <f>IF(tech_base!$T103&gt;J$2025,"",fuel_costs!B$11*0.086/tech_proj!J227/(1-tech_proj!J507))</f>
        <v>67.098407258455026</v>
      </c>
      <c r="K2127" s="121">
        <f>IF(tech_base!$T103&gt;K$2025,"",fuel_costs!C$11*0.086/tech_proj!K227/(1-tech_proj!K507))</f>
        <v>76.7956732067437</v>
      </c>
      <c r="L2127" s="121">
        <f>IF(tech_base!$T103&gt;L$2025,"",fuel_costs!D$11*0.086/tech_proj!L227/(1-tech_proj!L507))</f>
        <v>85.942837517992544</v>
      </c>
      <c r="M2127" s="121">
        <f>IF(tech_base!$T103&gt;M$2025,"",fuel_costs!E$11*0.086/tech_proj!M227/(1-tech_proj!M507))</f>
        <v>83.976375186688841</v>
      </c>
      <c r="N2127" s="121">
        <f>IF(tech_base!$T103&gt;N$2025,"",fuel_costs!F$11*0.086/tech_proj!N227/(1-tech_proj!N507))</f>
        <v>70.714561474870095</v>
      </c>
      <c r="O2127" s="121">
        <f>IF(tech_base!$T103&gt;O$2025,"",fuel_costs!G$11*0.086/tech_proj!O227/(1-tech_proj!O507))</f>
        <v>59.480930359470051</v>
      </c>
      <c r="P2127" s="121">
        <f>IF(tech_base!$T103&gt;P$2025,"",fuel_costs!H$11*0.086/tech_proj!P227/(1-tech_proj!P507))</f>
        <v>40.164915511942667</v>
      </c>
      <c r="Q2127" s="121">
        <f>IF(tech_base!$T103&gt;Q$2025,"",fuel_costs!I$11*0.086/tech_proj!Q227/(1-tech_proj!Q507))</f>
        <v>47.294142246723624</v>
      </c>
      <c r="R2127" s="121">
        <f>IF(tech_base!$T103&gt;R$2025,"",fuel_costs!J$11*0.086/tech_proj!R227/(1-tech_proj!R507))</f>
        <v>52.273307415898991</v>
      </c>
      <c r="S2127" s="121">
        <f>IF(tech_base!$T103&gt;S$2025,"",fuel_costs!K$11*0.086/tech_proj!S227/(1-tech_proj!S507))</f>
        <v>57.29743777916557</v>
      </c>
      <c r="T2127" s="121">
        <f>IF(tech_base!$T103&gt;T$2025,"",fuel_costs!L$11*0.086/tech_proj!T227/(1-tech_proj!T507))</f>
        <v>62.266654720322634</v>
      </c>
      <c r="U2127" s="121">
        <f>IF(tech_base!$T103&gt;U$2025,"",fuel_costs!M$11*0.086/tech_proj!U227/(1-tech_proj!U507))</f>
        <v>67.115317656944015</v>
      </c>
      <c r="V2127" s="121">
        <f>IF(tech_base!$T103&gt;V$2025,"",fuel_costs!N$11*0.086/tech_proj!V227/(1-tech_proj!V507))</f>
        <v>70.28015872316017</v>
      </c>
      <c r="W2127" s="121">
        <f>IF(tech_base!$T103&gt;W$2025,"",fuel_costs!O$11*0.086/tech_proj!W227/(1-tech_proj!W507))</f>
        <v>74.027636825830342</v>
      </c>
      <c r="X2127" s="121">
        <f>IF(tech_base!$T103&gt;X$2025,"",fuel_costs!P$11*0.086/tech_proj!X227/(1-tech_proj!X507))</f>
        <v>77.570762856517845</v>
      </c>
      <c r="Y2127" s="121">
        <f>IF(tech_base!$T103&gt;Y$2025,"",fuel_costs!Q$11*0.086/tech_proj!Y227/(1-tech_proj!Y507))</f>
        <v>80.913647896659739</v>
      </c>
      <c r="Z2127" s="121">
        <f>IF(tech_base!$T103&gt;Z$2025,"",fuel_costs!R$11*0.086/tech_proj!Z227/(1-tech_proj!Z507))</f>
        <v>82.12722515458033</v>
      </c>
      <c r="AA2127" s="121">
        <f>IF(tech_base!$T103&gt;AA$2025,"",fuel_costs!S$11*0.086/tech_proj!AA227/(1-tech_proj!AA507))</f>
        <v>83.26574947863881</v>
      </c>
      <c r="AB2127" s="121">
        <f>IF(tech_base!$T103&gt;AB$2025,"",fuel_costs!T$11*0.086/tech_proj!AB227/(1-tech_proj!AB507))</f>
        <v>84.52649899882114</v>
      </c>
      <c r="AC2127" s="121">
        <f>IF(tech_base!$T103&gt;AC$2025,"",fuel_costs!U$11*0.086/tech_proj!AC227/(1-tech_proj!AC507))</f>
        <v>85.7896089275701</v>
      </c>
      <c r="AD2127" s="121">
        <f>IF(tech_base!$T103&gt;AD$2025,"",fuel_costs!V$11*0.086/tech_proj!AD227/(1-tech_proj!AD507))</f>
        <v>87.614638676595916</v>
      </c>
      <c r="AE2127" s="121">
        <f>IF(tech_base!$T103&gt;AE$2025,"",fuel_costs!W$11*0.086/tech_proj!AE227/(1-tech_proj!AE507))</f>
        <v>88.783879065158317</v>
      </c>
      <c r="AF2127" s="121">
        <f>IF(tech_base!$T103&gt;AF$2025,"",fuel_costs!X$11*0.086/tech_proj!AF227/(1-tech_proj!AF507))</f>
        <v>90.115237291203158</v>
      </c>
      <c r="AG2127" s="121">
        <f>IF(tech_base!$T103&gt;AG$2025,"",fuel_costs!Y$11*0.086/tech_proj!AG227/(1-tech_proj!AG507))</f>
        <v>91.311718357722398</v>
      </c>
      <c r="AH2127" s="121">
        <f>IF(tech_base!$T103&gt;AH$2025,"",fuel_costs!Z$11*0.086/tech_proj!AH227/(1-tech_proj!AH507))</f>
        <v>92.401093970429812</v>
      </c>
      <c r="AI2127" s="121">
        <f>IF(tech_base!$T103&gt;AI$2025,"",fuel_costs!AA$11*0.086/tech_proj!AI227/(1-tech_proj!AI507))</f>
        <v>93.326730800676145</v>
      </c>
      <c r="AJ2127" s="121">
        <f>IF(tech_base!$T103&gt;AJ$2025,"",fuel_costs!AB$11*0.086/tech_proj!AJ227/(1-tech_proj!AJ507))</f>
        <v>94.201969794443158</v>
      </c>
      <c r="AK2127" s="121">
        <f>IF(tech_base!$T103&gt;AK$2025,"",fuel_costs!AC$11*0.086/tech_proj!AK227/(1-tech_proj!AK507))</f>
        <v>94.922645491730293</v>
      </c>
      <c r="AL2127" s="121">
        <f>IF(tech_base!$T103&gt;AL$2025,"",fuel_costs!AD$11*0.086/tech_proj!AL227/(1-tech_proj!AL507))</f>
        <v>95.624553721448407</v>
      </c>
      <c r="AM2127" s="121">
        <f>IF(tech_base!$T103&gt;AM$2025,"",fuel_costs!AE$11*0.086/tech_proj!AM227/(1-tech_proj!AM507))</f>
        <v>96.400282064190336</v>
      </c>
      <c r="AN2127" s="121">
        <f>IF(tech_base!$T103&gt;AN$2025,"",fuel_costs!AF$11*0.086/tech_proj!AN227/(1-tech_proj!AN507))</f>
        <v>96.44870999115814</v>
      </c>
      <c r="AO2127" s="121">
        <f>IF(tech_base!$T103&gt;AO$2025,"",fuel_costs!AG$11*0.086/tech_proj!AO227/(1-tech_proj!AO507))</f>
        <v>96.72370288722837</v>
      </c>
      <c r="AP2127" s="121">
        <f>IF(tech_base!$T103&gt;AP$2025,"",fuel_costs!AH$11*0.086/tech_proj!AP227/(1-tech_proj!AP507))</f>
        <v>97.012432438662657</v>
      </c>
      <c r="AQ2127" s="121">
        <f>IF(tech_base!$T103&gt;AQ$2025,"",fuel_costs!AI$11*0.086/tech_proj!AQ227/(1-tech_proj!AQ507))</f>
        <v>97.356690851322114</v>
      </c>
      <c r="AR2127" s="121">
        <f>IF(tech_base!$T103&gt;AR$2025,"",fuel_costs!AJ$11*0.086/tech_proj!AR227/(1-tech_proj!AR507))</f>
        <v>97.859682896735322</v>
      </c>
      <c r="AS2127" s="121">
        <f>IF(tech_base!$T103&gt;AS$2025,"",fuel_costs!AK$11*0.086/tech_proj!AS227/(1-tech_proj!AS507))</f>
        <v>98.488359915538354</v>
      </c>
      <c r="AT2127" s="121">
        <f>IF(tech_base!$T103&gt;AT$2025,"",fuel_costs!AL$11*0.086/tech_proj!AT227/(1-tech_proj!AT507))</f>
        <v>99.084622420438521</v>
      </c>
      <c r="AU2127" s="121">
        <f>IF(tech_base!$T103&gt;AU$2025,"",fuel_costs!AM$11*0.086/tech_proj!AU227/(1-tech_proj!AU507))</f>
        <v>99.624784929888349</v>
      </c>
      <c r="AV2127" s="121">
        <f>IF(tech_base!$T103&gt;AV$2025,"",fuel_costs!AN$11*0.086/tech_proj!AV227/(1-tech_proj!AV507))</f>
        <v>100.06299418931657</v>
      </c>
      <c r="AW2127" s="121">
        <f>IF(tech_base!$T103&gt;AW$2025,"",fuel_costs!AO$11*0.086/tech_proj!AW227/(1-tech_proj!AW507))</f>
        <v>100.07040320913087</v>
      </c>
      <c r="AX2127" s="122">
        <f>IF(tech_base!$T103&gt;AX$2025,"",fuel_costs!AP$11*0.086/tech_proj!AX227/(1-tech_proj!AX507))</f>
        <v>100.10534397147882</v>
      </c>
    </row>
    <row r="2128" spans="1:50" x14ac:dyDescent="0.25">
      <c r="A2128" s="356"/>
      <c r="B2128" s="376"/>
      <c r="C2128" s="378"/>
      <c r="D2128" s="2" t="s">
        <v>8</v>
      </c>
      <c r="E2128" s="76" t="str">
        <f>A2109&amp;"/"&amp;B2127&amp;"/"&amp;C2127&amp;"/"&amp;D2128</f>
        <v>Gas fired power plants (Natural gas, biogas)/Steam turbine/Electricity only/M</v>
      </c>
      <c r="F2128" s="76" t="str">
        <f>A2109</f>
        <v>Gas fired power plants (Natural gas, biogas)</v>
      </c>
      <c r="G2128" s="76" t="str">
        <f>B2127</f>
        <v>Steam turbine</v>
      </c>
      <c r="H2128" s="76" t="str">
        <f>C2127</f>
        <v>Electricity only</v>
      </c>
      <c r="I2128" s="76" t="str">
        <f t="shared" si="388"/>
        <v>M</v>
      </c>
      <c r="J2128" s="119">
        <f>IF(tech_base!$T104&gt;J$2025,"",fuel_costs!B$11*0.086/tech_proj!J228/(1-tech_proj!J508))</f>
        <v>70.608105305241054</v>
      </c>
      <c r="K2128" s="119">
        <f>IF(tech_base!$T104&gt;K$2025,"",fuel_costs!C$11*0.086/tech_proj!K228/(1-tech_proj!K508))</f>
        <v>80.813321442138616</v>
      </c>
      <c r="L2128" s="119">
        <f>IF(tech_base!$T104&gt;L$2025,"",fuel_costs!D$11*0.086/tech_proj!L228/(1-tech_proj!L508))</f>
        <v>90.439815417317959</v>
      </c>
      <c r="M2128" s="119">
        <f>IF(tech_base!$T104&gt;M$2025,"",fuel_costs!E$11*0.086/tech_proj!M228/(1-tech_proj!M508))</f>
        <v>88.371208536329959</v>
      </c>
      <c r="N2128" s="119">
        <f>IF(tech_base!$T104&gt;N$2025,"",fuel_costs!F$11*0.086/tech_proj!N228/(1-tech_proj!N508))</f>
        <v>74.415967261728241</v>
      </c>
      <c r="O2128" s="119">
        <f>IF(tech_base!$T104&gt;O$2025,"",fuel_costs!G$11*0.086/tech_proj!O228/(1-tech_proj!O508))</f>
        <v>62.594843697733708</v>
      </c>
      <c r="P2128" s="119">
        <f>IF(tech_base!$T104&gt;P$2025,"",fuel_costs!H$11*0.086/tech_proj!P228/(1-tech_proj!P508))</f>
        <v>42.267942926792145</v>
      </c>
      <c r="Q2128" s="119">
        <f>IF(tech_base!$T104&gt;Q$2025,"",fuel_costs!I$11*0.086/tech_proj!Q228/(1-tech_proj!Q508))</f>
        <v>49.770840780583555</v>
      </c>
      <c r="R2128" s="119">
        <f>IF(tech_base!$T104&gt;R$2025,"",fuel_costs!J$11*0.086/tech_proj!R228/(1-tech_proj!R508))</f>
        <v>55.011171755953967</v>
      </c>
      <c r="S2128" s="119">
        <f>IF(tech_base!$T104&gt;S$2025,"",fuel_costs!K$11*0.086/tech_proj!S228/(1-tech_proj!S508))</f>
        <v>60.298892242540227</v>
      </c>
      <c r="T2128" s="119">
        <f>IF(tech_base!$T104&gt;T$2025,"",fuel_costs!L$11*0.086/tech_proj!T228/(1-tech_proj!T508))</f>
        <v>65.52888930020741</v>
      </c>
      <c r="U2128" s="119">
        <f>IF(tech_base!$T104&gt;U$2025,"",fuel_costs!M$11*0.086/tech_proj!U228/(1-tech_proj!U508))</f>
        <v>70.632079096868409</v>
      </c>
      <c r="V2128" s="119">
        <f>IF(tech_base!$T104&gt;V$2025,"",fuel_costs!N$11*0.086/tech_proj!V228/(1-tech_proj!V508))</f>
        <v>73.9632640052412</v>
      </c>
      <c r="W2128" s="119">
        <f>IF(tech_base!$T104&gt;W$2025,"",fuel_costs!O$11*0.086/tech_proj!W228/(1-tech_proj!W508))</f>
        <v>77.907657029576612</v>
      </c>
      <c r="X2128" s="119">
        <f>IF(tech_base!$T104&gt;X$2025,"",fuel_costs!P$11*0.086/tech_proj!X228/(1-tech_proj!X508))</f>
        <v>81.637025733724585</v>
      </c>
      <c r="Y2128" s="119">
        <f>IF(tech_base!$T104&gt;Y$2025,"",fuel_costs!Q$11*0.086/tech_proj!Y228/(1-tech_proj!Y508))</f>
        <v>85.155690931846635</v>
      </c>
      <c r="Z2128" s="119">
        <f>IF(tech_base!$T104&gt;Z$2025,"",fuel_costs!R$11*0.086/tech_proj!Z228/(1-tech_proj!Z508))</f>
        <v>86.433432876069702</v>
      </c>
      <c r="AA2128" s="119">
        <f>IF(tech_base!$T104&gt;AA$2025,"",fuel_costs!S$11*0.086/tech_proj!AA228/(1-tech_proj!AA508))</f>
        <v>87.632188719760947</v>
      </c>
      <c r="AB2128" s="119">
        <f>IF(tech_base!$T104&gt;AB$2025,"",fuel_costs!T$11*0.086/tech_proj!AB228/(1-tech_proj!AB508))</f>
        <v>88.959581314322449</v>
      </c>
      <c r="AC2128" s="119">
        <f>IF(tech_base!$T104&gt;AC$2025,"",fuel_costs!U$11*0.086/tech_proj!AC228/(1-tech_proj!AC508))</f>
        <v>90.289460663228922</v>
      </c>
      <c r="AD2128" s="119">
        <f>IF(tech_base!$T104&gt;AD$2025,"",fuel_costs!V$11*0.086/tech_proj!AD228/(1-tech_proj!AD508))</f>
        <v>92.210739340761549</v>
      </c>
      <c r="AE2128" s="119">
        <f>IF(tech_base!$T104&gt;AE$2025,"",fuel_costs!W$11*0.086/tech_proj!AE228/(1-tech_proj!AE508))</f>
        <v>93.441831821040509</v>
      </c>
      <c r="AF2128" s="119">
        <f>IF(tech_base!$T104&gt;AF$2025,"",fuel_costs!X$11*0.086/tech_proj!AF228/(1-tech_proj!AF508))</f>
        <v>94.843548887513009</v>
      </c>
      <c r="AG2128" s="119">
        <f>IF(tech_base!$T104&gt;AG$2025,"",fuel_costs!Y$11*0.086/tech_proj!AG228/(1-tech_proj!AG508))</f>
        <v>96.103313134509094</v>
      </c>
      <c r="AH2128" s="119">
        <f>IF(tech_base!$T104&gt;AH$2025,"",fuel_costs!Z$11*0.086/tech_proj!AH228/(1-tech_proj!AH508))</f>
        <v>97.250351265053382</v>
      </c>
      <c r="AI2128" s="119">
        <f>IF(tech_base!$T104&gt;AI$2025,"",fuel_costs!AA$11*0.086/tech_proj!AI228/(1-tech_proj!AI508))</f>
        <v>98.225055591961976</v>
      </c>
      <c r="AJ2128" s="119">
        <f>IF(tech_base!$T104&gt;AJ$2025,"",fuel_costs!AB$11*0.086/tech_proj!AJ228/(1-tech_proj!AJ508))</f>
        <v>99.146713740817091</v>
      </c>
      <c r="AK2128" s="119">
        <f>IF(tech_base!$T104&gt;AK$2025,"",fuel_costs!AC$11*0.086/tech_proj!AK228/(1-tech_proj!AK508))</f>
        <v>99.905691142881182</v>
      </c>
      <c r="AL2128" s="119">
        <f>IF(tech_base!$T104&gt;AL$2025,"",fuel_costs!AD$11*0.086/tech_proj!AL228/(1-tech_proj!AL508))</f>
        <v>100.6449106809729</v>
      </c>
      <c r="AM2128" s="119">
        <f>IF(tech_base!$T104&gt;AM$2025,"",fuel_costs!AE$11*0.086/tech_proj!AM228/(1-tech_proj!AM508))</f>
        <v>101.46182101261958</v>
      </c>
      <c r="AN2128" s="119">
        <f>IF(tech_base!$T104&gt;AN$2025,"",fuel_costs!AF$11*0.086/tech_proj!AN228/(1-tech_proj!AN508))</f>
        <v>101.51323575997634</v>
      </c>
      <c r="AO2128" s="119">
        <f>IF(tech_base!$T104&gt;AO$2025,"",fuel_costs!AG$11*0.086/tech_proj!AO228/(1-tech_proj!AO508))</f>
        <v>101.80310229327128</v>
      </c>
      <c r="AP2128" s="119">
        <f>IF(tech_base!$T104&gt;AP$2025,"",fuel_costs!AH$11*0.086/tech_proj!AP228/(1-tech_proj!AP508))</f>
        <v>102.10741800198089</v>
      </c>
      <c r="AQ2128" s="119">
        <f>IF(tech_base!$T104&gt;AQ$2025,"",fuel_costs!AI$11*0.086/tech_proj!AQ228/(1-tech_proj!AQ508))</f>
        <v>102.47017048678968</v>
      </c>
      <c r="AR2128" s="119">
        <f>IF(tech_base!$T104&gt;AR$2025,"",fuel_costs!AJ$11*0.086/tech_proj!AR228/(1-tech_proj!AR508))</f>
        <v>102.99998643165431</v>
      </c>
      <c r="AS2128" s="119">
        <f>IF(tech_base!$T104&gt;AS$2025,"",fuel_costs!AK$11*0.086/tech_proj!AS228/(1-tech_proj!AS508))</f>
        <v>103.66208314437957</v>
      </c>
      <c r="AT2128" s="119">
        <f>IF(tech_base!$T104&gt;AT$2025,"",fuel_costs!AL$11*0.086/tech_proj!AT228/(1-tech_proj!AT508))</f>
        <v>104.29005690868078</v>
      </c>
      <c r="AU2128" s="119">
        <f>IF(tech_base!$T104&gt;AU$2025,"",fuel_costs!AM$11*0.086/tech_proj!AU228/(1-tech_proj!AU508))</f>
        <v>104.85897750655228</v>
      </c>
      <c r="AV2128" s="119">
        <f>IF(tech_base!$T104&gt;AV$2025,"",fuel_costs!AN$11*0.086/tech_proj!AV228/(1-tech_proj!AV508))</f>
        <v>105.32058186050347</v>
      </c>
      <c r="AW2128" s="119">
        <f>IF(tech_base!$T104&gt;AW$2025,"",fuel_costs!AO$11*0.086/tech_proj!AW228/(1-tech_proj!AW508))</f>
        <v>105.32874222891512</v>
      </c>
      <c r="AX2128" s="120">
        <f>IF(tech_base!$T104&gt;AX$2025,"",fuel_costs!AP$11*0.086/tech_proj!AX228/(1-tech_proj!AX508))</f>
        <v>105.36587146054981</v>
      </c>
    </row>
    <row r="2129" spans="1:50" x14ac:dyDescent="0.25">
      <c r="A2129" s="356"/>
      <c r="B2129" s="376"/>
      <c r="C2129" s="378"/>
      <c r="D2129" s="2" t="s">
        <v>10</v>
      </c>
      <c r="E2129" s="76" t="str">
        <f>A2109&amp;"/"&amp;B2127&amp;"/"&amp;C2127&amp;"/"&amp;D2129</f>
        <v>Gas fired power plants (Natural gas, biogas)/Steam turbine/Electricity only/S</v>
      </c>
      <c r="F2129" s="76" t="str">
        <f>A2109</f>
        <v>Gas fired power plants (Natural gas, biogas)</v>
      </c>
      <c r="G2129" s="76" t="str">
        <f>B2127</f>
        <v>Steam turbine</v>
      </c>
      <c r="H2129" s="76" t="str">
        <f>C2127</f>
        <v>Electricity only</v>
      </c>
      <c r="I2129" s="76" t="str">
        <f t="shared" si="388"/>
        <v>S</v>
      </c>
      <c r="J2129" s="119">
        <f>IF(tech_base!$T105&gt;J$2025,"",fuel_costs!B$11*0.086/tech_proj!J229/(1-tech_proj!J509))</f>
        <v>74.309923250456293</v>
      </c>
      <c r="K2129" s="119">
        <f>IF(tech_base!$T105&gt;K$2025,"",fuel_costs!C$11*0.086/tech_proj!K229/(1-tech_proj!K509))</f>
        <v>85.050552841749294</v>
      </c>
      <c r="L2129" s="119">
        <f>IF(tech_base!$T105&gt;L$2025,"",fuel_costs!D$11*0.086/tech_proj!L229/(1-tech_proj!L509))</f>
        <v>95.182200056023873</v>
      </c>
      <c r="M2129" s="119">
        <f>IF(tech_base!$T105&gt;M$2025,"",fuel_costs!E$11*0.086/tech_proj!M229/(1-tech_proj!M509))</f>
        <v>93.005517153195186</v>
      </c>
      <c r="N2129" s="119">
        <f>IF(tech_base!$T105&gt;N$2025,"",fuel_costs!F$11*0.086/tech_proj!N229/(1-tech_proj!N509))</f>
        <v>78.31876923645973</v>
      </c>
      <c r="O2129" s="119">
        <f>IF(tech_base!$T105&gt;O$2025,"",fuel_costs!G$11*0.086/tech_proj!O229/(1-tech_proj!O509))</f>
        <v>65.87794558600082</v>
      </c>
      <c r="P2129" s="119">
        <f>IF(tech_base!$T105&gt;P$2025,"",fuel_costs!H$11*0.086/tech_proj!P229/(1-tech_proj!P509))</f>
        <v>44.485074829752939</v>
      </c>
      <c r="Q2129" s="119">
        <f>IF(tech_base!$T105&gt;Q$2025,"",fuel_costs!I$11*0.086/tech_proj!Q229/(1-tech_proj!Q509))</f>
        <v>52.381734694112673</v>
      </c>
      <c r="R2129" s="119">
        <f>IF(tech_base!$T105&gt;R$2025,"",fuel_costs!J$11*0.086/tech_proj!R229/(1-tech_proj!R509))</f>
        <v>57.897184190313354</v>
      </c>
      <c r="S2129" s="119">
        <f>IF(tech_base!$T105&gt;S$2025,"",fuel_costs!K$11*0.086/tech_proj!S229/(1-tech_proj!S509))</f>
        <v>63.462545849991706</v>
      </c>
      <c r="T2129" s="119">
        <f>IF(tech_base!$T105&gt;T$2025,"",fuel_costs!L$11*0.086/tech_proj!T229/(1-tech_proj!T509))</f>
        <v>68.967190646581358</v>
      </c>
      <c r="U2129" s="119">
        <f>IF(tech_base!$T105&gt;U$2025,"",fuel_costs!M$11*0.086/tech_proj!U229/(1-tech_proj!U509))</f>
        <v>74.338407684564814</v>
      </c>
      <c r="V2129" s="119">
        <f>IF(tech_base!$T105&gt;V$2025,"",fuel_costs!N$11*0.086/tech_proj!V229/(1-tech_proj!V509))</f>
        <v>77.84466103590907</v>
      </c>
      <c r="W2129" s="119">
        <f>IF(tech_base!$T105&gt;W$2025,"",fuel_costs!O$11*0.086/tech_proj!W229/(1-tech_proj!W509))</f>
        <v>81.996321774317323</v>
      </c>
      <c r="X2129" s="119">
        <f>IF(tech_base!$T105&gt;X$2025,"",fuel_costs!P$11*0.086/tech_proj!X229/(1-tech_proj!X509))</f>
        <v>85.921693832828566</v>
      </c>
      <c r="Y2129" s="119">
        <f>IF(tech_base!$T105&gt;Y$2025,"",fuel_costs!Q$11*0.086/tech_proj!Y229/(1-tech_proj!Y509))</f>
        <v>89.625321761508488</v>
      </c>
      <c r="Z2129" s="119">
        <f>IF(tech_base!$T105&gt;Z$2025,"",fuel_costs!R$11*0.086/tech_proj!Z229/(1-tech_proj!Z509))</f>
        <v>90.970414563141901</v>
      </c>
      <c r="AA2129" s="119">
        <f>IF(tech_base!$T105&gt;AA$2025,"",fuel_costs!S$11*0.086/tech_proj!AA229/(1-tech_proj!AA509))</f>
        <v>92.232376343042503</v>
      </c>
      <c r="AB2129" s="119">
        <f>IF(tech_base!$T105&gt;AB$2025,"",fuel_costs!T$11*0.086/tech_proj!AB229/(1-tech_proj!AB509))</f>
        <v>93.629728695562662</v>
      </c>
      <c r="AC2129" s="119">
        <f>IF(tech_base!$T105&gt;AC$2025,"",fuel_costs!U$11*0.086/tech_proj!AC229/(1-tech_proj!AC509))</f>
        <v>95.029699722822002</v>
      </c>
      <c r="AD2129" s="119">
        <f>IF(tech_base!$T105&gt;AD$2025,"",fuel_costs!V$11*0.086/tech_proj!AD229/(1-tech_proj!AD509))</f>
        <v>97.052121795101499</v>
      </c>
      <c r="AE2129" s="119">
        <f>IF(tech_base!$T105&gt;AE$2025,"",fuel_costs!W$11*0.086/tech_proj!AE229/(1-tech_proj!AE509))</f>
        <v>98.348122987647287</v>
      </c>
      <c r="AF2129" s="119">
        <f>IF(tech_base!$T105&gt;AF$2025,"",fuel_costs!X$11*0.086/tech_proj!AF229/(1-tech_proj!AF509))</f>
        <v>99.82370840994308</v>
      </c>
      <c r="AG2129" s="119">
        <f>IF(tech_base!$T105&gt;AG$2025,"",fuel_costs!Y$11*0.086/tech_proj!AG229/(1-tech_proj!AG509))</f>
        <v>101.14988788781973</v>
      </c>
      <c r="AH2129" s="119">
        <f>IF(tech_base!$T105&gt;AH$2025,"",fuel_costs!Z$11*0.086/tech_proj!AH229/(1-tech_proj!AH509))</f>
        <v>102.35742164802201</v>
      </c>
      <c r="AI2129" s="119">
        <f>IF(tech_base!$T105&gt;AI$2025,"",fuel_costs!AA$11*0.086/tech_proj!AI229/(1-tech_proj!AI509))</f>
        <v>103.38357055727764</v>
      </c>
      <c r="AJ2129" s="119">
        <f>IF(tech_base!$T105&gt;AJ$2025,"",fuel_costs!AB$11*0.086/tech_proj!AJ229/(1-tech_proj!AJ509))</f>
        <v>104.3538857931308</v>
      </c>
      <c r="AK2129" s="119">
        <f>IF(tech_base!$T105&gt;AK$2025,"",fuel_costs!AC$11*0.086/tech_proj!AK229/(1-tech_proj!AK509))</f>
        <v>105.15297406889131</v>
      </c>
      <c r="AL2129" s="119">
        <f>IF(tech_base!$T105&gt;AL$2025,"",fuel_costs!AD$11*0.086/tech_proj!AL229/(1-tech_proj!AL509))</f>
        <v>105.93126403547861</v>
      </c>
      <c r="AM2129" s="119">
        <f>IF(tech_base!$T105&gt;AM$2025,"",fuel_costs!AE$11*0.086/tech_proj!AM229/(1-tech_proj!AM509))</f>
        <v>106.79132290633521</v>
      </c>
      <c r="AN2129" s="119">
        <f>IF(tech_base!$T105&gt;AN$2025,"",fuel_costs!AF$11*0.086/tech_proj!AN229/(1-tech_proj!AN509))</f>
        <v>106.84567270516291</v>
      </c>
      <c r="AO2129" s="119">
        <f>IF(tech_base!$T105&gt;AO$2025,"",fuel_costs!AG$11*0.086/tech_proj!AO229/(1-tech_proj!AO509))</f>
        <v>107.15099471270319</v>
      </c>
      <c r="AP2129" s="119">
        <f>IF(tech_base!$T105&gt;AP$2025,"",fuel_costs!AH$11*0.086/tech_proj!AP229/(1-tech_proj!AP509))</f>
        <v>107.47152027811059</v>
      </c>
      <c r="AQ2129" s="119">
        <f>IF(tech_base!$T105&gt;AQ$2025,"",fuel_costs!AI$11*0.086/tech_proj!AQ229/(1-tech_proj!AQ509))</f>
        <v>107.85354811334906</v>
      </c>
      <c r="AR2129" s="119">
        <f>IF(tech_base!$T105&gt;AR$2025,"",fuel_costs!AJ$11*0.086/tech_proj!AR229/(1-tech_proj!AR509))</f>
        <v>108.41141238997788</v>
      </c>
      <c r="AS2129" s="119">
        <f>IF(tech_base!$T105&gt;AS$2025,"",fuel_costs!AK$11*0.086/tech_proj!AS229/(1-tech_proj!AS509))</f>
        <v>109.10850401299528</v>
      </c>
      <c r="AT2129" s="119">
        <f>IF(tech_base!$T105&gt;AT$2025,"",fuel_costs!AL$11*0.086/tech_proj!AT229/(1-tech_proj!AT509))</f>
        <v>109.76967688895731</v>
      </c>
      <c r="AU2129" s="119">
        <f>IF(tech_base!$T105&gt;AU$2025,"",fuel_costs!AM$11*0.086/tech_proj!AU229/(1-tech_proj!AU509))</f>
        <v>110.36869069415648</v>
      </c>
      <c r="AV2129" s="119">
        <f>IF(tech_base!$T105&gt;AV$2025,"",fuel_costs!AN$11*0.086/tech_proj!AV229/(1-tech_proj!AV509))</f>
        <v>110.85474602514438</v>
      </c>
      <c r="AW2129" s="119">
        <f>IF(tech_base!$T105&gt;AW$2025,"",fuel_costs!AO$11*0.086/tech_proj!AW229/(1-tech_proj!AW509))</f>
        <v>110.86352637672802</v>
      </c>
      <c r="AX2129" s="120">
        <f>IF(tech_base!$T105&gt;AX$2025,"",fuel_costs!AP$11*0.086/tech_proj!AX229/(1-tech_proj!AX509))</f>
        <v>110.90279279416495</v>
      </c>
    </row>
    <row r="2130" spans="1:50" x14ac:dyDescent="0.25">
      <c r="A2130" s="356"/>
      <c r="B2130" s="376"/>
      <c r="C2130" s="379"/>
      <c r="D2130" s="2" t="s">
        <v>20</v>
      </c>
      <c r="E2130" s="76" t="str">
        <f>A2109&amp;"/"&amp;B2127&amp;"/"&amp;C2127&amp;"/"&amp;D2130</f>
        <v>Gas fired power plants (Natural gas, biogas)/Steam turbine/Electricity only/XS</v>
      </c>
      <c r="F2130" s="76" t="str">
        <f>A2109</f>
        <v>Gas fired power plants (Natural gas, biogas)</v>
      </c>
      <c r="G2130" s="76" t="str">
        <f>B2127</f>
        <v>Steam turbine</v>
      </c>
      <c r="H2130" s="76" t="str">
        <f>C2127</f>
        <v>Electricity only</v>
      </c>
      <c r="I2130" s="76" t="str">
        <f t="shared" si="388"/>
        <v>XS</v>
      </c>
      <c r="J2130" s="119">
        <f>IF(tech_base!$T106&gt;J$2025,"",fuel_costs!B$11*0.086/tech_proj!J230/(1-tech_proj!J510))</f>
        <v>78.215299797017039</v>
      </c>
      <c r="K2130" s="119">
        <f>IF(tech_base!$T106&gt;K$2025,"",fuel_costs!C$11*0.086/tech_proj!K230/(1-tech_proj!K510))</f>
        <v>89.521404039882569</v>
      </c>
      <c r="L2130" s="119">
        <f>IF(tech_base!$T106&gt;L$2025,"",fuel_costs!D$11*0.086/tech_proj!L230/(1-tech_proj!L510))</f>
        <v>100.18673786182798</v>
      </c>
      <c r="M2130" s="119">
        <f>IF(tech_base!$T106&gt;M$2025,"",fuel_costs!E$11*0.086/tech_proj!M230/(1-tech_proj!M510))</f>
        <v>97.896659491038648</v>
      </c>
      <c r="N2130" s="119">
        <f>IF(tech_base!$T106&gt;N$2025,"",fuel_costs!F$11*0.086/tech_proj!N230/(1-tech_proj!N510))</f>
        <v>82.438406696179285</v>
      </c>
      <c r="O2130" s="119">
        <f>IF(tech_base!$T106&gt;O$2025,"",fuel_costs!G$11*0.086/tech_proj!O230/(1-tech_proj!O510))</f>
        <v>69.34390088247757</v>
      </c>
      <c r="P2130" s="119">
        <f>IF(tech_base!$T106&gt;P$2025,"",fuel_costs!H$11*0.086/tech_proj!P230/(1-tech_proj!P510))</f>
        <v>46.825987548943345</v>
      </c>
      <c r="Q2130" s="119">
        <f>IF(tech_base!$T106&gt;Q$2025,"",fuel_costs!I$11*0.086/tech_proj!Q230/(1-tech_proj!Q510))</f>
        <v>55.138736125346014</v>
      </c>
      <c r="R2130" s="119">
        <f>IF(tech_base!$T106&gt;R$2025,"",fuel_costs!J$11*0.086/tech_proj!R230/(1-tech_proj!R510))</f>
        <v>60.945072321220678</v>
      </c>
      <c r="S2130" s="119">
        <f>IF(tech_base!$T106&gt;S$2025,"",fuel_costs!K$11*0.086/tech_proj!S230/(1-tech_proj!S510))</f>
        <v>66.804048395625472</v>
      </c>
      <c r="T2130" s="119">
        <f>IF(tech_base!$T106&gt;T$2025,"",fuel_costs!L$11*0.086/tech_proj!T230/(1-tech_proj!T510))</f>
        <v>72.599207405586455</v>
      </c>
      <c r="U2130" s="119">
        <f>IF(tech_base!$T106&gt;U$2025,"",fuel_costs!M$11*0.086/tech_proj!U230/(1-tech_proj!U510))</f>
        <v>78.254003516735636</v>
      </c>
      <c r="V2130" s="119">
        <f>IF(tech_base!$T106&gt;V$2025,"",fuel_costs!N$11*0.086/tech_proj!V230/(1-tech_proj!V510))</f>
        <v>81.94567303901168</v>
      </c>
      <c r="W2130" s="119">
        <f>IF(tech_base!$T106&gt;W$2025,"",fuel_costs!O$11*0.086/tech_proj!W230/(1-tech_proj!W510))</f>
        <v>86.316806892990854</v>
      </c>
      <c r="X2130" s="119">
        <f>IF(tech_base!$T106&gt;X$2025,"",fuel_costs!P$11*0.086/tech_proj!X230/(1-tech_proj!X510))</f>
        <v>90.449785962715609</v>
      </c>
      <c r="Y2130" s="119">
        <f>IF(tech_base!$T106&gt;Y$2025,"",fuel_costs!Q$11*0.086/tech_proj!Y230/(1-tech_proj!Y510))</f>
        <v>94.349386084494924</v>
      </c>
      <c r="Z2130" s="119">
        <f>IF(tech_base!$T106&gt;Z$2025,"",fuel_costs!R$11*0.086/tech_proj!Z230/(1-tech_proj!Z510))</f>
        <v>95.766161817988475</v>
      </c>
      <c r="AA2130" s="119">
        <f>IF(tech_base!$T106&gt;AA$2025,"",fuel_costs!S$11*0.086/tech_proj!AA230/(1-tech_proj!AA510))</f>
        <v>97.095428859621961</v>
      </c>
      <c r="AB2130" s="119">
        <f>IF(tech_base!$T106&gt;AB$2025,"",fuel_costs!T$11*0.086/tech_proj!AB230/(1-tech_proj!AB510))</f>
        <v>98.567229804110099</v>
      </c>
      <c r="AC2130" s="119">
        <f>IF(tech_base!$T106&gt;AC$2025,"",fuel_costs!U$11*0.086/tech_proj!AC230/(1-tech_proj!AC510))</f>
        <v>100.04179285055997</v>
      </c>
      <c r="AD2130" s="119">
        <f>IF(tech_base!$T106&gt;AD$2025,"",fuel_costs!V$11*0.086/tech_proj!AD230/(1-tech_proj!AD510))</f>
        <v>102.17164622416288</v>
      </c>
      <c r="AE2130" s="119">
        <f>IF(tech_base!$T106&gt;AE$2025,"",fuel_costs!W$11*0.086/tech_proj!AE230/(1-tech_proj!AE510))</f>
        <v>103.53676814009712</v>
      </c>
      <c r="AF2130" s="119">
        <f>IF(tech_base!$T106&gt;AF$2025,"",fuel_costs!X$11*0.086/tech_proj!AF230/(1-tech_proj!AF510))</f>
        <v>105.09095229431333</v>
      </c>
      <c r="AG2130" s="119">
        <f>IF(tech_base!$T106&gt;AG$2025,"",fuel_costs!Y$11*0.086/tech_proj!AG230/(1-tech_proj!AG510))</f>
        <v>106.48785032317961</v>
      </c>
      <c r="AH2130" s="119">
        <f>IF(tech_base!$T106&gt;AH$2025,"",fuel_costs!Z$11*0.086/tech_proj!AH230/(1-tech_proj!AH510))</f>
        <v>107.75984228024781</v>
      </c>
      <c r="AI2130" s="119">
        <f>IF(tech_base!$T106&gt;AI$2025,"",fuel_costs!AA$11*0.086/tech_proj!AI230/(1-tech_proj!AI510))</f>
        <v>108.8408743448669</v>
      </c>
      <c r="AJ2130" s="119">
        <f>IF(tech_base!$T106&gt;AJ$2025,"",fuel_costs!AB$11*0.086/tech_proj!AJ230/(1-tech_proj!AJ510))</f>
        <v>109.8631219875916</v>
      </c>
      <c r="AK2130" s="119">
        <f>IF(tech_base!$T106&gt;AK$2025,"",fuel_costs!AC$11*0.086/tech_proj!AK230/(1-tech_proj!AK510))</f>
        <v>110.70509778038048</v>
      </c>
      <c r="AL2130" s="119">
        <f>IF(tech_base!$T106&gt;AL$2025,"",fuel_costs!AD$11*0.086/tech_proj!AL230/(1-tech_proj!AL510))</f>
        <v>111.52517054348139</v>
      </c>
      <c r="AM2130" s="119">
        <f>IF(tech_base!$T106&gt;AM$2025,"",fuel_costs!AE$11*0.086/tech_proj!AM230/(1-tech_proj!AM510))</f>
        <v>112.43132393133509</v>
      </c>
      <c r="AN2130" s="119">
        <f>IF(tech_base!$T106&gt;AN$2025,"",fuel_costs!AF$11*0.086/tech_proj!AN230/(1-tech_proj!AN510))</f>
        <v>112.48920530690854</v>
      </c>
      <c r="AO2130" s="119">
        <f>IF(tech_base!$T106&gt;AO$2025,"",fuel_costs!AG$11*0.086/tech_proj!AO230/(1-tech_proj!AO510))</f>
        <v>112.81130100844592</v>
      </c>
      <c r="AP2130" s="119">
        <f>IF(tech_base!$T106&gt;AP$2025,"",fuel_costs!AH$11*0.086/tech_proj!AP230/(1-tech_proj!AP510))</f>
        <v>113.14939111589808</v>
      </c>
      <c r="AQ2130" s="119">
        <f>IF(tech_base!$T106&gt;AQ$2025,"",fuel_costs!AI$11*0.086/tech_proj!AQ230/(1-tech_proj!AQ510))</f>
        <v>113.5522210706249</v>
      </c>
      <c r="AR2130" s="119">
        <f>IF(tech_base!$T106&gt;AR$2025,"",fuel_costs!AJ$11*0.086/tech_proj!AR230/(1-tech_proj!AR510))</f>
        <v>114.14016797897527</v>
      </c>
      <c r="AS2130" s="119">
        <f>IF(tech_base!$T106&gt;AS$2025,"",fuel_costs!AK$11*0.086/tech_proj!AS230/(1-tech_proj!AS510))</f>
        <v>114.87469104730442</v>
      </c>
      <c r="AT2130" s="119">
        <f>IF(tech_base!$T106&gt;AT$2025,"",fuel_costs!AL$11*0.086/tech_proj!AT230/(1-tech_proj!AT510))</f>
        <v>115.57138939552604</v>
      </c>
      <c r="AU2130" s="119">
        <f>IF(tech_base!$T106&gt;AU$2025,"",fuel_costs!AM$11*0.086/tech_proj!AU230/(1-tech_proj!AU510))</f>
        <v>116.20263513805023</v>
      </c>
      <c r="AV2130" s="119">
        <f>IF(tech_base!$T106&gt;AV$2025,"",fuel_costs!AN$11*0.086/tech_proj!AV230/(1-tech_proj!AV510))</f>
        <v>116.71494252868095</v>
      </c>
      <c r="AW2130" s="119">
        <f>IF(tech_base!$T106&gt;AW$2025,"",fuel_costs!AO$11*0.086/tech_proj!AW230/(1-tech_proj!AW510))</f>
        <v>116.7247325434101</v>
      </c>
      <c r="AX2130" s="120">
        <f>IF(tech_base!$T106&gt;AX$2025,"",fuel_costs!AP$11*0.086/tech_proj!AX230/(1-tech_proj!AX510))</f>
        <v>116.76660656524315</v>
      </c>
    </row>
    <row r="2131" spans="1:50" x14ac:dyDescent="0.25">
      <c r="A2131" s="356"/>
      <c r="B2131" s="376"/>
      <c r="C2131" s="361" t="s">
        <v>14</v>
      </c>
      <c r="D2131" s="58" t="s">
        <v>7</v>
      </c>
      <c r="E2131" s="78" t="str">
        <f>A2109&amp;"/"&amp;B2127&amp;"/"&amp;C2131&amp;"/"&amp;D2131</f>
        <v>Gas fired power plants (Natural gas, biogas)/Steam turbine/CHP/L</v>
      </c>
      <c r="F2131" s="78" t="str">
        <f>A2109</f>
        <v>Gas fired power plants (Natural gas, biogas)</v>
      </c>
      <c r="G2131" s="78" t="str">
        <f>B2127</f>
        <v>Steam turbine</v>
      </c>
      <c r="H2131" s="78" t="str">
        <f>C2131</f>
        <v>CHP</v>
      </c>
      <c r="I2131" s="78" t="str">
        <f t="shared" si="388"/>
        <v>L</v>
      </c>
      <c r="J2131" s="123">
        <f>IF(tech_base!$T107&gt;J$2025,"",fuel_costs!B$11*0.086/tech_proj!J231/(1-tech_proj!J511))</f>
        <v>74.133258092849559</v>
      </c>
      <c r="K2131" s="123">
        <f>IF(tech_base!$T107&gt;K$2025,"",fuel_costs!C$11*0.086/tech_proj!K231/(1-tech_proj!K511))</f>
        <v>84.848819835247255</v>
      </c>
      <c r="L2131" s="123">
        <f>IF(tech_base!$T107&gt;L$2025,"",fuel_costs!D$11*0.086/tech_proj!L231/(1-tech_proj!L511))</f>
        <v>94.956938418542208</v>
      </c>
      <c r="M2131" s="123">
        <f>IF(tech_base!$T107&gt;M$2025,"",fuel_costs!E$11*0.086/tech_proj!M231/(1-tech_proj!M511))</f>
        <v>92.785879082200594</v>
      </c>
      <c r="N2131" s="123">
        <f>IF(tech_base!$T107&gt;N$2025,"",fuel_costs!F$11*0.086/tech_proj!N231/(1-tech_proj!N511))</f>
        <v>78.134196459181837</v>
      </c>
      <c r="O2131" s="123">
        <f>IF(tech_base!$T107&gt;O$2025,"",fuel_costs!G$11*0.086/tech_proj!O231/(1-tech_proj!O511))</f>
        <v>65.722999754320924</v>
      </c>
      <c r="P2131" s="123">
        <f>IF(tech_base!$T107&gt;P$2025,"",fuel_costs!H$11*0.086/tech_proj!P231/(1-tech_proj!P511))</f>
        <v>44.380644399603312</v>
      </c>
      <c r="Q2131" s="123">
        <f>IF(tech_base!$T107&gt;Q$2025,"",fuel_costs!I$11*0.086/tech_proj!Q231/(1-tech_proj!Q511))</f>
        <v>52.258990779938927</v>
      </c>
      <c r="R2131" s="123">
        <f>IF(tech_base!$T107&gt;R$2025,"",fuel_costs!J$11*0.086/tech_proj!R231/(1-tech_proj!R511))</f>
        <v>57.761752925251614</v>
      </c>
      <c r="S2131" s="123">
        <f>IF(tech_base!$T107&gt;S$2025,"",fuel_costs!K$11*0.086/tech_proj!S231/(1-tech_proj!S511))</f>
        <v>63.314343873872502</v>
      </c>
      <c r="T2131" s="123">
        <f>IF(tech_base!$T107&gt;T$2025,"",fuel_costs!L$11*0.086/tech_proj!T231/(1-tech_proj!T511))</f>
        <v>68.806390221320783</v>
      </c>
      <c r="U2131" s="123">
        <f>IF(tech_base!$T107&gt;U$2025,"",fuel_costs!M$11*0.086/tech_proj!U231/(1-tech_proj!U511))</f>
        <v>74.165346883293452</v>
      </c>
      <c r="V2131" s="123">
        <f>IF(tech_base!$T107&gt;V$2025,"",fuel_costs!N$11*0.086/tech_proj!V231/(1-tech_proj!V511))</f>
        <v>77.663699109680707</v>
      </c>
      <c r="W2131" s="123">
        <f>IF(tech_base!$T107&gt;W$2025,"",fuel_costs!O$11*0.086/tech_proj!W231/(1-tech_proj!W511))</f>
        <v>81.805969858188092</v>
      </c>
      <c r="X2131" s="123">
        <f>IF(tech_base!$T107&gt;X$2025,"",fuel_costs!P$11*0.086/tech_proj!X231/(1-tech_proj!X511))</f>
        <v>85.722488375688698</v>
      </c>
      <c r="Y2131" s="123">
        <f>IF(tech_base!$T107&gt;Y$2025,"",fuel_costs!Q$11*0.086/tech_proj!Y231/(1-tech_proj!Y511))</f>
        <v>89.417784977472635</v>
      </c>
      <c r="Z2131" s="123">
        <f>IF(tech_base!$T107&gt;Z$2025,"",fuel_costs!R$11*0.086/tech_proj!Z231/(1-tech_proj!Z511))</f>
        <v>90.760007499241482</v>
      </c>
      <c r="AA2131" s="123">
        <f>IF(tech_base!$T107&gt;AA$2025,"",fuel_costs!S$11*0.086/tech_proj!AA231/(1-tech_proj!AA511))</f>
        <v>92.019283654963459</v>
      </c>
      <c r="AB2131" s="123">
        <f>IF(tech_base!$T107&gt;AB$2025,"",fuel_costs!T$11*0.086/tech_proj!AB231/(1-tech_proj!AB511))</f>
        <v>93.41362981612933</v>
      </c>
      <c r="AC2131" s="123">
        <f>IF(tech_base!$T107&gt;AC$2025,"",fuel_costs!U$11*0.086/tech_proj!AC231/(1-tech_proj!AC511))</f>
        <v>94.810580912124607</v>
      </c>
      <c r="AD2131" s="123">
        <f>IF(tech_base!$T107&gt;AD$2025,"",fuel_costs!V$11*0.086/tech_proj!AD231/(1-tech_proj!AD511))</f>
        <v>96.82854115141285</v>
      </c>
      <c r="AE2131" s="123">
        <f>IF(tech_base!$T107&gt;AE$2025,"",fuel_costs!W$11*0.086/tech_proj!AE231/(1-tech_proj!AE511))</f>
        <v>98.121746791604508</v>
      </c>
      <c r="AF2131" s="123">
        <f>IF(tech_base!$T107&gt;AF$2025,"",fuel_costs!X$11*0.086/tech_proj!AF231/(1-tech_proj!AF511))</f>
        <v>99.594114752049265</v>
      </c>
      <c r="AG2131" s="123">
        <f>IF(tech_base!$T107&gt;AG$2025,"",fuel_costs!Y$11*0.086/tech_proj!AG231/(1-tech_proj!AG511))</f>
        <v>100.91741172785541</v>
      </c>
      <c r="AH2131" s="123">
        <f>IF(tech_base!$T107&gt;AH$2025,"",fuel_costs!Z$11*0.086/tech_proj!AH231/(1-tech_proj!AH511))</f>
        <v>102.12232640560126</v>
      </c>
      <c r="AI2131" s="123">
        <f>IF(tech_base!$T107&gt;AI$2025,"",fuel_costs!AA$11*0.086/tech_proj!AI231/(1-tech_proj!AI511))</f>
        <v>103.14626303797581</v>
      </c>
      <c r="AJ2131" s="123">
        <f>IF(tech_base!$T107&gt;AJ$2025,"",fuel_costs!AB$11*0.086/tech_proj!AJ231/(1-tech_proj!AJ511))</f>
        <v>104.11448401107634</v>
      </c>
      <c r="AK2131" s="123">
        <f>IF(tech_base!$T107&gt;AK$2025,"",fuel_costs!AC$11*0.086/tech_proj!AK231/(1-tech_proj!AK511))</f>
        <v>104.9118604530003</v>
      </c>
      <c r="AL2131" s="123">
        <f>IF(tech_base!$T107&gt;AL$2025,"",fuel_costs!AD$11*0.086/tech_proj!AL231/(1-tech_proj!AL511))</f>
        <v>105.68847575270361</v>
      </c>
      <c r="AM2131" s="123">
        <f>IF(tech_base!$T107&gt;AM$2025,"",fuel_costs!AE$11*0.086/tech_proj!AM231/(1-tech_proj!AM511))</f>
        <v>106.54666219573718</v>
      </c>
      <c r="AN2131" s="123">
        <f>IF(tech_base!$T107&gt;AN$2025,"",fuel_costs!AF$11*0.086/tech_proj!AN231/(1-tech_proj!AN511))</f>
        <v>106.60097463588998</v>
      </c>
      <c r="AO2131" s="123">
        <f>IF(tech_base!$T107&gt;AO$2025,"",fuel_costs!AG$11*0.086/tech_proj!AO231/(1-tech_proj!AO511))</f>
        <v>106.90567348275398</v>
      </c>
      <c r="AP2131" s="123">
        <f>IF(tech_base!$T107&gt;AP$2025,"",fuel_costs!AH$11*0.086/tech_proj!AP231/(1-tech_proj!AP511))</f>
        <v>107.22553055136115</v>
      </c>
      <c r="AQ2131" s="123">
        <f>IF(tech_base!$T107&gt;AQ$2025,"",fuel_costs!AI$11*0.086/tech_proj!AQ231/(1-tech_proj!AQ511))</f>
        <v>107.60673891047675</v>
      </c>
      <c r="AR2131" s="123">
        <f>IF(tech_base!$T107&gt;AR$2025,"",fuel_costs!AJ$11*0.086/tech_proj!AR231/(1-tech_proj!AR511))</f>
        <v>108.16337149260971</v>
      </c>
      <c r="AS2131" s="123">
        <f>IF(tech_base!$T107&gt;AS$2025,"",fuel_costs!AK$11*0.086/tech_proj!AS231/(1-tech_proj!AS511))</f>
        <v>108.85890337905023</v>
      </c>
      <c r="AT2131" s="123">
        <f>IF(tech_base!$T107&gt;AT$2025,"",fuel_costs!AL$11*0.086/tech_proj!AT231/(1-tech_proj!AT511))</f>
        <v>109.51858941387469</v>
      </c>
      <c r="AU2131" s="123">
        <f>IF(tech_base!$T107&gt;AU$2025,"",fuel_costs!AM$11*0.086/tech_proj!AU231/(1-tech_proj!AU511))</f>
        <v>110.11624945106745</v>
      </c>
      <c r="AV2131" s="123">
        <f>IF(tech_base!$T107&gt;AV$2025,"",fuel_costs!AN$11*0.086/tech_proj!AV231/(1-tech_proj!AV511))</f>
        <v>110.60120044912104</v>
      </c>
      <c r="AW2131" s="123">
        <f>IF(tech_base!$T107&gt;AW$2025,"",fuel_costs!AO$11*0.086/tech_proj!AW231/(1-tech_proj!AW511))</f>
        <v>110.60995937438383</v>
      </c>
      <c r="AX2131" s="124">
        <f>IF(tech_base!$T107&gt;AX$2025,"",fuel_costs!AP$11*0.086/tech_proj!AX231/(1-tech_proj!AX511))</f>
        <v>110.64912623160677</v>
      </c>
    </row>
    <row r="2132" spans="1:50" x14ac:dyDescent="0.25">
      <c r="A2132" s="356"/>
      <c r="B2132" s="376"/>
      <c r="C2132" s="378"/>
      <c r="D2132" s="2" t="s">
        <v>8</v>
      </c>
      <c r="E2132" s="76" t="str">
        <f>A2109&amp;"/"&amp;B2127&amp;"/"&amp;C2131&amp;"/"&amp;D2132</f>
        <v>Gas fired power plants (Natural gas, biogas)/Steam turbine/CHP/M</v>
      </c>
      <c r="F2132" s="76" t="str">
        <f>A2109</f>
        <v>Gas fired power plants (Natural gas, biogas)</v>
      </c>
      <c r="G2132" s="76" t="str">
        <f>B2127</f>
        <v>Steam turbine</v>
      </c>
      <c r="H2132" s="76" t="str">
        <f>C2131</f>
        <v>CHP</v>
      </c>
      <c r="I2132" s="76" t="str">
        <f t="shared" si="388"/>
        <v>M</v>
      </c>
      <c r="J2132" s="119">
        <f>IF(tech_base!$T108&gt;J$2025,"",fuel_costs!B$11*0.086/tech_proj!J232/(1-tech_proj!J512))</f>
        <v>78.028898514338479</v>
      </c>
      <c r="K2132" s="119">
        <f>IF(tech_base!$T108&gt;K$2025,"",fuel_costs!C$11*0.086/tech_proj!K232/(1-tech_proj!K512))</f>
        <v>89.308142134113467</v>
      </c>
      <c r="L2132" s="119">
        <f>IF(tech_base!$T108&gt;L$2025,"",fuel_costs!D$11*0.086/tech_proj!L232/(1-tech_proj!L512))</f>
        <v>99.948152252499369</v>
      </c>
      <c r="M2132" s="119">
        <f>IF(tech_base!$T108&gt;M$2025,"",fuel_costs!E$11*0.086/tech_proj!M232/(1-tech_proj!M512))</f>
        <v>97.663599686102742</v>
      </c>
      <c r="N2132" s="119">
        <f>IF(tech_base!$T108&gt;N$2025,"",fuel_costs!F$11*0.086/tech_proj!N232/(1-tech_proj!N512))</f>
        <v>82.242200834161267</v>
      </c>
      <c r="O2132" s="119">
        <f>IF(tech_base!$T108&gt;O$2025,"",fuel_costs!G$11*0.086/tech_proj!O232/(1-tech_proj!O512))</f>
        <v>69.178898420583252</v>
      </c>
      <c r="P2132" s="119">
        <f>IF(tech_base!$T108&gt;P$2025,"",fuel_costs!H$11*0.086/tech_proj!P232/(1-tech_proj!P512))</f>
        <v>46.71458753472745</v>
      </c>
      <c r="Q2132" s="119">
        <f>IF(tech_base!$T108&gt;Q$2025,"",fuel_costs!I$11*0.086/tech_proj!Q232/(1-tech_proj!Q512))</f>
        <v>55.007580436993699</v>
      </c>
      <c r="R2132" s="119">
        <f>IF(tech_base!$T108&gt;R$2025,"",fuel_costs!J$11*0.086/tech_proj!R232/(1-tech_proj!R512))</f>
        <v>60.80012295504855</v>
      </c>
      <c r="S2132" s="119">
        <f>IF(tech_base!$T108&gt;S$2025,"",fuel_costs!K$11*0.086/tech_proj!S232/(1-tech_proj!S512))</f>
        <v>66.645178070388795</v>
      </c>
      <c r="T2132" s="119">
        <f>IF(tech_base!$T108&gt;T$2025,"",fuel_costs!L$11*0.086/tech_proj!T232/(1-tech_proj!T512))</f>
        <v>72.426564576159095</v>
      </c>
      <c r="U2132" s="119">
        <f>IF(tech_base!$T108&gt;U$2025,"",fuel_costs!M$11*0.086/tech_proj!U232/(1-tech_proj!U512))</f>
        <v>78.067917479409488</v>
      </c>
      <c r="V2132" s="119">
        <f>IF(tech_base!$T108&gt;V$2025,"",fuel_costs!N$11*0.086/tech_proj!V232/(1-tech_proj!V512))</f>
        <v>81.750806526451811</v>
      </c>
      <c r="W2132" s="119">
        <f>IF(tech_base!$T108&gt;W$2025,"",fuel_costs!O$11*0.086/tech_proj!W232/(1-tech_proj!W512))</f>
        <v>86.111537856800879</v>
      </c>
      <c r="X2132" s="119">
        <f>IF(tech_base!$T108&gt;X$2025,"",fuel_costs!P$11*0.086/tech_proj!X232/(1-tech_proj!X512))</f>
        <v>90.234673802010079</v>
      </c>
      <c r="Y2132" s="119">
        <f>IF(tech_base!$T108&gt;Y$2025,"",fuel_costs!Q$11*0.086/tech_proj!Y232/(1-tech_proj!Y512))</f>
        <v>94.124978349536022</v>
      </c>
      <c r="Z2132" s="119">
        <f>IF(tech_base!$T108&gt;Z$2025,"",fuel_costs!R$11*0.086/tech_proj!Z232/(1-tech_proj!Z512))</f>
        <v>95.538356598717286</v>
      </c>
      <c r="AA2132" s="119">
        <f>IF(tech_base!$T108&gt;AA$2025,"",fuel_costs!S$11*0.086/tech_proj!AA232/(1-tech_proj!AA512))</f>
        <v>96.864427635205303</v>
      </c>
      <c r="AB2132" s="119">
        <f>IF(tech_base!$T108&gt;AB$2025,"",fuel_costs!T$11*0.086/tech_proj!AB232/(1-tech_proj!AB512))</f>
        <v>98.332686750672025</v>
      </c>
      <c r="AC2132" s="119">
        <f>IF(tech_base!$T108&gt;AC$2025,"",fuel_costs!U$11*0.086/tech_proj!AC232/(1-tech_proj!AC512))</f>
        <v>99.803694606403425</v>
      </c>
      <c r="AD2132" s="119">
        <f>IF(tech_base!$T108&gt;AD$2025,"",fuel_costs!V$11*0.086/tech_proj!AD232/(1-tech_proj!AD512))</f>
        <v>101.92842606691973</v>
      </c>
      <c r="AE2132" s="119">
        <f>IF(tech_base!$T108&gt;AE$2025,"",fuel_costs!W$11*0.086/tech_proj!AE232/(1-tech_proj!AE512))</f>
        <v>103.29023940552005</v>
      </c>
      <c r="AF2132" s="119">
        <f>IF(tech_base!$T108&gt;AF$2025,"",fuel_costs!X$11*0.086/tech_proj!AF232/(1-tech_proj!AF512))</f>
        <v>104.84065800397519</v>
      </c>
      <c r="AG2132" s="119">
        <f>IF(tech_base!$T108&gt;AG$2025,"",fuel_costs!Y$11*0.086/tech_proj!AG232/(1-tech_proj!AG512))</f>
        <v>106.23415827951708</v>
      </c>
      <c r="AH2132" s="119">
        <f>IF(tech_base!$T108&gt;AH$2025,"",fuel_costs!Z$11*0.086/tech_proj!AH232/(1-tech_proj!AH512))</f>
        <v>107.50304347042226</v>
      </c>
      <c r="AI2132" s="119">
        <f>IF(tech_base!$T108&gt;AI$2025,"",fuel_costs!AA$11*0.086/tech_proj!AI232/(1-tech_proj!AI512))</f>
        <v>108.58141753987101</v>
      </c>
      <c r="AJ2132" s="119">
        <f>IF(tech_base!$T108&gt;AJ$2025,"",fuel_costs!AB$11*0.086/tech_proj!AJ232/(1-tech_proj!AJ512))</f>
        <v>109.60114128859728</v>
      </c>
      <c r="AK2132" s="119">
        <f>IF(tech_base!$T108&gt;AK$2025,"",fuel_costs!AC$11*0.086/tech_proj!AK232/(1-tech_proj!AK512))</f>
        <v>110.44101732629383</v>
      </c>
      <c r="AL2132" s="119">
        <f>IF(tech_base!$T108&gt;AL$2025,"",fuel_costs!AD$11*0.086/tech_proj!AL232/(1-tech_proj!AL512))</f>
        <v>111.25903712512573</v>
      </c>
      <c r="AM2132" s="119">
        <f>IF(tech_base!$T108&gt;AM$2025,"",fuel_costs!AE$11*0.086/tech_proj!AM232/(1-tech_proj!AM512))</f>
        <v>112.16292673985839</v>
      </c>
      <c r="AN2132" s="119">
        <f>IF(tech_base!$T108&gt;AN$2025,"",fuel_costs!AF$11*0.086/tech_proj!AN232/(1-tech_proj!AN512))</f>
        <v>112.22056478517537</v>
      </c>
      <c r="AO2132" s="119">
        <f>IF(tech_base!$T108&gt;AO$2025,"",fuel_costs!AG$11*0.086/tech_proj!AO232/(1-tech_proj!AO512))</f>
        <v>112.54178232016007</v>
      </c>
      <c r="AP2132" s="119">
        <f>IF(tech_base!$T108&gt;AP$2025,"",fuel_costs!AH$11*0.086/tech_proj!AP232/(1-tech_proj!AP512))</f>
        <v>112.87895209924895</v>
      </c>
      <c r="AQ2132" s="119">
        <f>IF(tech_base!$T108&gt;AQ$2025,"",fuel_costs!AI$11*0.086/tech_proj!AQ232/(1-tech_proj!AQ512))</f>
        <v>113.2807031225187</v>
      </c>
      <c r="AR2132" s="119">
        <f>IF(tech_base!$T108&gt;AR$2025,"",fuel_costs!AJ$11*0.086/tech_proj!AR232/(1-tech_proj!AR512))</f>
        <v>113.86712448913154</v>
      </c>
      <c r="AS2132" s="119">
        <f>IF(tech_base!$T108&gt;AS$2025,"",fuel_costs!AK$11*0.086/tech_proj!AS232/(1-tech_proj!AS512))</f>
        <v>114.5997671991915</v>
      </c>
      <c r="AT2132" s="119">
        <f>IF(tech_base!$T108&gt;AT$2025,"",fuel_costs!AL$11*0.086/tech_proj!AT232/(1-tech_proj!AT512))</f>
        <v>115.2946715465589</v>
      </c>
      <c r="AU2132" s="119">
        <f>IF(tech_base!$T108&gt;AU$2025,"",fuel_costs!AM$11*0.086/tech_proj!AU232/(1-tech_proj!AU512))</f>
        <v>115.92427607910321</v>
      </c>
      <c r="AV2132" s="119">
        <f>IF(tech_base!$T108&gt;AV$2025,"",fuel_costs!AN$11*0.086/tech_proj!AV232/(1-tech_proj!AV512))</f>
        <v>116.43522358411334</v>
      </c>
      <c r="AW2132" s="119">
        <f>IF(tech_base!$T108&gt;AW$2025,"",fuel_costs!AO$11*0.086/tech_proj!AW232/(1-tech_proj!AW512))</f>
        <v>116.44485530667998</v>
      </c>
      <c r="AX2132" s="120">
        <f>IF(tech_base!$T108&gt;AX$2025,"",fuel_costs!AP$11*0.086/tech_proj!AX232/(1-tech_proj!AX512))</f>
        <v>116.4864920603876</v>
      </c>
    </row>
    <row r="2133" spans="1:50" x14ac:dyDescent="0.25">
      <c r="A2133" s="356"/>
      <c r="B2133" s="376"/>
      <c r="C2133" s="378"/>
      <c r="D2133" s="2" t="s">
        <v>10</v>
      </c>
      <c r="E2133" s="76" t="str">
        <f>A2109&amp;"/"&amp;B2127&amp;"/"&amp;C2131&amp;"/"&amp;D2133</f>
        <v>Gas fired power plants (Natural gas, biogas)/Steam turbine/CHP/S</v>
      </c>
      <c r="F2133" s="76" t="str">
        <f>A2109</f>
        <v>Gas fired power plants (Natural gas, biogas)</v>
      </c>
      <c r="G2133" s="76" t="str">
        <f>B2127</f>
        <v>Steam turbine</v>
      </c>
      <c r="H2133" s="76" t="str">
        <f>C2131</f>
        <v>CHP</v>
      </c>
      <c r="I2133" s="76" t="str">
        <f t="shared" si="388"/>
        <v>S</v>
      </c>
      <c r="J2133" s="119">
        <f>IF(tech_base!$T109&gt;J$2025,"",fuel_costs!B$11*0.086/tech_proj!J233/(1-tech_proj!J513))</f>
        <v>82.139730734611106</v>
      </c>
      <c r="K2133" s="119">
        <f>IF(tech_base!$T109&gt;K$2025,"",fuel_costs!C$11*0.086/tech_proj!K233/(1-tech_proj!K513))</f>
        <v>94.013554757344494</v>
      </c>
      <c r="L2133" s="119">
        <f>IF(tech_base!$T109&gt;L$2025,"",fuel_costs!D$11*0.086/tech_proj!L233/(1-tech_proj!L513))</f>
        <v>105.21454578662653</v>
      </c>
      <c r="M2133" s="119">
        <f>IF(tech_base!$T109&gt;M$2025,"",fuel_costs!E$11*0.086/tech_proj!M233/(1-tech_proj!M513))</f>
        <v>102.8099891672054</v>
      </c>
      <c r="N2133" s="119">
        <f>IF(tech_base!$T109&gt;N$2025,"",fuel_costs!F$11*0.086/tech_proj!N233/(1-tech_proj!N513))</f>
        <v>86.576267023624041</v>
      </c>
      <c r="O2133" s="119">
        <f>IF(tech_base!$T109&gt;O$2025,"",fuel_costs!G$11*0.086/tech_proj!O233/(1-tech_proj!O513))</f>
        <v>72.824799359329873</v>
      </c>
      <c r="P2133" s="119">
        <f>IF(tech_base!$T109&gt;P$2025,"",fuel_costs!H$11*0.086/tech_proj!P233/(1-tech_proj!P513))</f>
        <v>49.176732765746792</v>
      </c>
      <c r="Q2133" s="119">
        <f>IF(tech_base!$T109&gt;Q$2025,"",fuel_costs!I$11*0.086/tech_proj!Q233/(1-tech_proj!Q513))</f>
        <v>57.907013857162816</v>
      </c>
      <c r="R2133" s="119">
        <f>IF(tech_base!$T109&gt;R$2025,"",fuel_costs!J$11*0.086/tech_proj!R233/(1-tech_proj!R513))</f>
        <v>64.005093448826102</v>
      </c>
      <c r="S2133" s="119">
        <f>IF(tech_base!$T109&gt;S$2025,"",fuel_costs!K$11*0.086/tech_proj!S233/(1-tech_proj!S513))</f>
        <v>70.158490936823512</v>
      </c>
      <c r="T2133" s="119">
        <f>IF(tech_base!$T109&gt;T$2025,"",fuel_costs!L$11*0.086/tech_proj!T233/(1-tech_proj!T513))</f>
        <v>76.244899637966114</v>
      </c>
      <c r="U2133" s="119">
        <f>IF(tech_base!$T109&gt;U$2025,"",fuel_costs!M$11*0.086/tech_proj!U233/(1-tech_proj!U513))</f>
        <v>82.183926771474248</v>
      </c>
      <c r="V2133" s="119">
        <f>IF(tech_base!$T109&gt;V$2025,"",fuel_costs!N$11*0.086/tech_proj!V233/(1-tech_proj!V513))</f>
        <v>86.061259905829104</v>
      </c>
      <c r="W2133" s="119">
        <f>IF(tech_base!$T109&gt;W$2025,"",fuel_costs!O$11*0.086/tech_proj!W233/(1-tech_proj!W513))</f>
        <v>90.652197640634043</v>
      </c>
      <c r="X2133" s="119">
        <f>IF(tech_base!$T109&gt;X$2025,"",fuel_costs!P$11*0.086/tech_proj!X233/(1-tech_proj!X513))</f>
        <v>94.993034329611262</v>
      </c>
      <c r="Y2133" s="119">
        <f>IF(tech_base!$T109&gt;Y$2025,"",fuel_costs!Q$11*0.086/tech_proj!Y233/(1-tech_proj!Y513))</f>
        <v>99.088782328538713</v>
      </c>
      <c r="Z2133" s="119">
        <f>IF(tech_base!$T109&gt;Z$2025,"",fuel_costs!R$11*0.086/tech_proj!Z233/(1-tech_proj!Z513))</f>
        <v>100.57699179010966</v>
      </c>
      <c r="AA2133" s="119">
        <f>IF(tech_base!$T109&gt;AA$2025,"",fuel_costs!S$11*0.086/tech_proj!AA233/(1-tech_proj!AA513))</f>
        <v>101.97329302912168</v>
      </c>
      <c r="AB2133" s="119">
        <f>IF(tech_base!$T109&gt;AB$2025,"",fuel_costs!T$11*0.086/tech_proj!AB233/(1-tech_proj!AB513))</f>
        <v>103.51928522819551</v>
      </c>
      <c r="AC2133" s="119">
        <f>IF(tech_base!$T109&gt;AC$2025,"",fuel_costs!U$11*0.086/tech_proj!AC233/(1-tech_proj!AC513))</f>
        <v>105.0681749702304</v>
      </c>
      <c r="AD2133" s="119">
        <f>IF(tech_base!$T109&gt;AD$2025,"",fuel_costs!V$11*0.086/tech_proj!AD233/(1-tech_proj!AD513))</f>
        <v>107.30527672062917</v>
      </c>
      <c r="AE2133" s="119">
        <f>IF(tech_base!$T109&gt;AE$2025,"",fuel_costs!W$11*0.086/tech_proj!AE233/(1-tech_proj!AE513))</f>
        <v>108.73922054369471</v>
      </c>
      <c r="AF2133" s="119">
        <f>IF(tech_base!$T109&gt;AF$2025,"",fuel_costs!X$11*0.086/tech_proj!AF233/(1-tech_proj!AF513))</f>
        <v>110.3717225870122</v>
      </c>
      <c r="AG2133" s="119">
        <f>IF(tech_base!$T109&gt;AG$2025,"",fuel_costs!Y$11*0.086/tech_proj!AG233/(1-tech_proj!AG513))</f>
        <v>111.83903100399725</v>
      </c>
      <c r="AH2133" s="119">
        <f>IF(tech_base!$T109&gt;AH$2025,"",fuel_costs!Z$11*0.086/tech_proj!AH233/(1-tech_proj!AH513))</f>
        <v>113.17515200699859</v>
      </c>
      <c r="AI2133" s="119">
        <f>IF(tech_base!$T109&gt;AI$2025,"",fuel_costs!AA$11*0.086/tech_proj!AI233/(1-tech_proj!AI513))</f>
        <v>114.31071144198839</v>
      </c>
      <c r="AJ2133" s="119">
        <f>IF(tech_base!$T109&gt;AJ$2025,"",fuel_costs!AB$11*0.086/tech_proj!AJ233/(1-tech_proj!AJ513))</f>
        <v>115.38452648907555</v>
      </c>
      <c r="AK2133" s="119">
        <f>IF(tech_base!$T109&gt;AK$2025,"",fuel_costs!AC$11*0.086/tech_proj!AK233/(1-tech_proj!AK513))</f>
        <v>116.26900362967466</v>
      </c>
      <c r="AL2133" s="119">
        <f>IF(tech_base!$T109&gt;AL$2025,"",fuel_costs!AD$11*0.086/tech_proj!AL233/(1-tech_proj!AL513))</f>
        <v>117.13047053902805</v>
      </c>
      <c r="AM2133" s="119">
        <f>IF(tech_base!$T109&gt;AM$2025,"",fuel_costs!AE$11*0.086/tech_proj!AM233/(1-tech_proj!AM513))</f>
        <v>118.08233832419188</v>
      </c>
      <c r="AN2133" s="119">
        <f>IF(tech_base!$T109&gt;AN$2025,"",fuel_costs!AF$11*0.086/tech_proj!AN233/(1-tech_proj!AN513))</f>
        <v>118.14329110828798</v>
      </c>
      <c r="AO2133" s="119">
        <f>IF(tech_base!$T109&gt;AO$2025,"",fuel_costs!AG$11*0.086/tech_proj!AO233/(1-tech_proj!AO513))</f>
        <v>118.48173065308978</v>
      </c>
      <c r="AP2133" s="119">
        <f>IF(tech_base!$T109&gt;AP$2025,"",fuel_costs!AH$11*0.086/tech_proj!AP233/(1-tech_proj!AP513))</f>
        <v>118.83696129905015</v>
      </c>
      <c r="AQ2133" s="119">
        <f>IF(tech_base!$T109&gt;AQ$2025,"",fuel_costs!AI$11*0.086/tech_proj!AQ233/(1-tech_proj!AQ513))</f>
        <v>119.26017904748215</v>
      </c>
      <c r="AR2133" s="119">
        <f>IF(tech_base!$T109&gt;AR$2025,"",fuel_costs!AJ$11*0.086/tech_proj!AR233/(1-tech_proj!AR513))</f>
        <v>119.87781259053452</v>
      </c>
      <c r="AS2133" s="119">
        <f>IF(tech_base!$T109&gt;AS$2025,"",fuel_costs!AK$11*0.086/tech_proj!AS233/(1-tech_proj!AS513))</f>
        <v>120.64938449446656</v>
      </c>
      <c r="AT2133" s="119">
        <f>IF(tech_base!$T109&gt;AT$2025,"",fuel_costs!AL$11*0.086/tech_proj!AT233/(1-tech_proj!AT513))</f>
        <v>121.3812245437919</v>
      </c>
      <c r="AU2133" s="119">
        <f>IF(tech_base!$T109&gt;AU$2025,"",fuel_costs!AM$11*0.086/tech_proj!AU233/(1-tech_proj!AU513))</f>
        <v>122.04431596184773</v>
      </c>
      <c r="AV2133" s="119">
        <f>IF(tech_base!$T109&gt;AV$2025,"",fuel_costs!AN$11*0.086/tech_proj!AV233/(1-tech_proj!AV513))</f>
        <v>122.58248408709153</v>
      </c>
      <c r="AW2133" s="119">
        <f>IF(tech_base!$T109&gt;AW$2025,"",fuel_costs!AO$11*0.086/tech_proj!AW233/(1-tech_proj!AW513))</f>
        <v>122.59286595244073</v>
      </c>
      <c r="AX2133" s="120">
        <f>IF(tech_base!$T109&gt;AX$2025,"",fuel_costs!AP$11*0.086/tech_proj!AX233/(1-tech_proj!AX513))</f>
        <v>122.63693847001204</v>
      </c>
    </row>
    <row r="2134" spans="1:50" x14ac:dyDescent="0.25">
      <c r="A2134" s="356"/>
      <c r="B2134" s="376"/>
      <c r="C2134" s="379"/>
      <c r="D2134" s="59" t="s">
        <v>20</v>
      </c>
      <c r="E2134" s="79" t="str">
        <f>A2109&amp;"/"&amp;B2127&amp;"/"&amp;C2131&amp;"/"&amp;D2134</f>
        <v>Gas fired power plants (Natural gas, biogas)/Steam turbine/CHP/XS</v>
      </c>
      <c r="F2134" s="79" t="str">
        <f>A2109</f>
        <v>Gas fired power plants (Natural gas, biogas)</v>
      </c>
      <c r="G2134" s="79" t="str">
        <f>B2127</f>
        <v>Steam turbine</v>
      </c>
      <c r="H2134" s="79" t="str">
        <f>C2131</f>
        <v>CHP</v>
      </c>
      <c r="I2134" s="79" t="str">
        <f t="shared" si="388"/>
        <v>XS</v>
      </c>
      <c r="J2134" s="125">
        <f>IF(tech_base!$T110&gt;J$2025,"",fuel_costs!B$11*0.086/tech_proj!J234/(1-tech_proj!J514))</f>
        <v>86.478779468992229</v>
      </c>
      <c r="K2134" s="125">
        <f>IF(tech_base!$T110&gt;K$2025,"",fuel_costs!C$11*0.086/tech_proj!K234/(1-tech_proj!K514))</f>
        <v>98.9801324598223</v>
      </c>
      <c r="L2134" s="125">
        <f>IF(tech_base!$T110&gt;L$2025,"",fuel_costs!D$11*0.086/tech_proj!L234/(1-tech_proj!L514))</f>
        <v>110.77317402315744</v>
      </c>
      <c r="M2134" s="125">
        <f>IF(tech_base!$T110&gt;M$2025,"",fuel_costs!E$11*0.086/tech_proj!M234/(1-tech_proj!M514))</f>
        <v>108.24188990130394</v>
      </c>
      <c r="N2134" s="125">
        <f>IF(tech_base!$T110&gt;N$2025,"",fuel_costs!F$11*0.086/tech_proj!N234/(1-tech_proj!N514))</f>
        <v>91.150724790396353</v>
      </c>
      <c r="O2134" s="125">
        <f>IF(tech_base!$T110&gt;O$2025,"",fuel_costs!G$11*0.086/tech_proj!O234/(1-tech_proj!O514))</f>
        <v>76.67287775761595</v>
      </c>
      <c r="P2134" s="125">
        <f>IF(tech_base!$T110&gt;P$2025,"",fuel_costs!H$11*0.086/tech_proj!P234/(1-tech_proj!P514))</f>
        <v>51.775382425741796</v>
      </c>
      <c r="Q2134" s="125">
        <f>IF(tech_base!$T110&gt;Q$2025,"",fuel_costs!I$11*0.086/tech_proj!Q234/(1-tech_proj!Q514))</f>
        <v>60.967160818638682</v>
      </c>
      <c r="R2134" s="125">
        <f>IF(tech_base!$T110&gt;R$2025,"",fuel_costs!J$11*0.086/tech_proj!R234/(1-tech_proj!R514))</f>
        <v>67.387675275960547</v>
      </c>
      <c r="S2134" s="125">
        <f>IF(tech_base!$T110&gt;S$2025,"",fuel_costs!K$11*0.086/tech_proj!S234/(1-tech_proj!S514))</f>
        <v>73.866461613263326</v>
      </c>
      <c r="T2134" s="125">
        <f>IF(tech_base!$T110&gt;T$2025,"",fuel_costs!L$11*0.086/tech_proj!T234/(1-tech_proj!T514))</f>
        <v>80.274748385601072</v>
      </c>
      <c r="U2134" s="125">
        <f>IF(tech_base!$T110&gt;U$2025,"",fuel_costs!M$11*0.086/tech_proj!U234/(1-tech_proj!U514))</f>
        <v>86.527892196933649</v>
      </c>
      <c r="V2134" s="125">
        <f>IF(tech_base!$T110&gt;V$2025,"",fuel_costs!N$11*0.086/tech_proj!V234/(1-tech_proj!V514))</f>
        <v>90.610389671519215</v>
      </c>
      <c r="W2134" s="125">
        <f>IF(tech_base!$T110&gt;W$2025,"",fuel_costs!O$11*0.086/tech_proj!W234/(1-tech_proj!W514))</f>
        <v>95.444230119408374</v>
      </c>
      <c r="X2134" s="125">
        <f>IF(tech_base!$T110&gt;X$2025,"",fuel_costs!P$11*0.086/tech_proj!X234/(1-tech_proj!X514))</f>
        <v>100.01476721447224</v>
      </c>
      <c r="Y2134" s="125">
        <f>IF(tech_base!$T110&gt;Y$2025,"",fuel_costs!Q$11*0.086/tech_proj!Y234/(1-tech_proj!Y514))</f>
        <v>104.32727592826774</v>
      </c>
      <c r="Z2134" s="125">
        <f>IF(tech_base!$T110&gt;Z$2025,"",fuel_costs!R$11*0.086/tech_proj!Z234/(1-tech_proj!Z514))</f>
        <v>105.89440363113853</v>
      </c>
      <c r="AA2134" s="125">
        <f>IF(tech_base!$T110&gt;AA$2025,"",fuel_costs!S$11*0.086/tech_proj!AA234/(1-tech_proj!AA514))</f>
        <v>107.36476668995158</v>
      </c>
      <c r="AB2134" s="125">
        <f>IF(tech_base!$T110&gt;AB$2025,"",fuel_costs!T$11*0.086/tech_proj!AB234/(1-tech_proj!AB514))</f>
        <v>108.99273777941619</v>
      </c>
      <c r="AC2134" s="125">
        <f>IF(tech_base!$T110&gt;AC$2025,"",fuel_costs!U$11*0.086/tech_proj!AC234/(1-tech_proj!AC514))</f>
        <v>110.62376254479628</v>
      </c>
      <c r="AD2134" s="125">
        <f>IF(tech_base!$T110&gt;AD$2025,"",fuel_costs!V$11*0.086/tech_proj!AD234/(1-tech_proj!AD514))</f>
        <v>112.9793935875407</v>
      </c>
      <c r="AE2134" s="125">
        <f>IF(tech_base!$T110&gt;AE$2025,"",fuel_costs!W$11*0.086/tech_proj!AE234/(1-tech_proj!AE514))</f>
        <v>114.48940105758868</v>
      </c>
      <c r="AF2134" s="125">
        <f>IF(tech_base!$T110&gt;AF$2025,"",fuel_costs!X$11*0.086/tech_proj!AF234/(1-tech_proj!AF514))</f>
        <v>116.20846907858186</v>
      </c>
      <c r="AG2134" s="125">
        <f>IF(tech_base!$T110&gt;AG$2025,"",fuel_costs!Y$11*0.086/tech_proj!AG234/(1-tech_proj!AG514))</f>
        <v>117.75361004274762</v>
      </c>
      <c r="AH2134" s="125">
        <f>IF(tech_base!$T110&gt;AH$2025,"",fuel_costs!Z$11*0.086/tech_proj!AH234/(1-tech_proj!AH514))</f>
        <v>119.16062748947438</v>
      </c>
      <c r="AI2134" s="125">
        <f>IF(tech_base!$T110&gt;AI$2025,"",fuel_costs!AA$11*0.086/tech_proj!AI234/(1-tech_proj!AI514))</f>
        <v>120.35647723810881</v>
      </c>
      <c r="AJ2134" s="125">
        <f>IF(tech_base!$T110&gt;AJ$2025,"",fuel_costs!AB$11*0.086/tech_proj!AJ234/(1-tech_proj!AJ514))</f>
        <v>121.48731734103607</v>
      </c>
      <c r="AK2134" s="125">
        <f>IF(tech_base!$T110&gt;AK$2025,"",fuel_costs!AC$11*0.086/tech_proj!AK234/(1-tech_proj!AK514))</f>
        <v>122.4188050680492</v>
      </c>
      <c r="AL2134" s="125">
        <f>IF(tech_base!$T110&gt;AL$2025,"",fuel_costs!AD$11*0.086/tech_proj!AL234/(1-tech_proj!AL514))</f>
        <v>123.32606481337947</v>
      </c>
      <c r="AM2134" s="125">
        <f>IF(tech_base!$T110&gt;AM$2025,"",fuel_costs!AE$11*0.086/tech_proj!AM234/(1-tech_proj!AM514))</f>
        <v>124.32850659978359</v>
      </c>
      <c r="AN2134" s="125">
        <f>IF(tech_base!$T110&gt;AN$2025,"",fuel_costs!AF$11*0.086/tech_proj!AN234/(1-tech_proj!AN514))</f>
        <v>124.39290480593732</v>
      </c>
      <c r="AO2134" s="125">
        <f>IF(tech_base!$T110&gt;AO$2025,"",fuel_costs!AG$11*0.086/tech_proj!AO234/(1-tech_proj!AO514))</f>
        <v>124.74946520234462</v>
      </c>
      <c r="AP2134" s="125">
        <f>IF(tech_base!$T110&gt;AP$2025,"",fuel_costs!AH$11*0.086/tech_proj!AP234/(1-tech_proj!AP514))</f>
        <v>125.12370230655831</v>
      </c>
      <c r="AQ2134" s="125">
        <f>IF(tech_base!$T110&gt;AQ$2025,"",fuel_costs!AI$11*0.086/tech_proj!AQ234/(1-tech_proj!AQ514))</f>
        <v>125.56952071250339</v>
      </c>
      <c r="AR2134" s="125">
        <f>IF(tech_base!$T110&gt;AR$2025,"",fuel_costs!AJ$11*0.086/tech_proj!AR234/(1-tech_proj!AR514))</f>
        <v>126.2200383003365</v>
      </c>
      <c r="AS2134" s="125">
        <f>IF(tech_base!$T110&gt;AS$2025,"",fuel_costs!AK$11*0.086/tech_proj!AS234/(1-tech_proj!AS514))</f>
        <v>127.03263709690104</v>
      </c>
      <c r="AT2134" s="125">
        <f>IF(tech_base!$T110&gt;AT$2025,"",fuel_costs!AL$11*0.086/tech_proj!AT234/(1-tech_proj!AT514))</f>
        <v>127.8034007411611</v>
      </c>
      <c r="AU2134" s="125">
        <f>IF(tech_base!$T110&gt;AU$2025,"",fuel_costs!AM$11*0.086/tech_proj!AU234/(1-tech_proj!AU514))</f>
        <v>128.5017769494946</v>
      </c>
      <c r="AV2134" s="125">
        <f>IF(tech_base!$T110&gt;AV$2025,"",fuel_costs!AN$11*0.086/tech_proj!AV234/(1-tech_proj!AV514))</f>
        <v>129.06861838442131</v>
      </c>
      <c r="AW2134" s="125">
        <f>IF(tech_base!$T110&gt;AW$2025,"",fuel_costs!AO$11*0.086/tech_proj!AW234/(1-tech_proj!AW514))</f>
        <v>129.07974439501828</v>
      </c>
      <c r="AX2134" s="126">
        <f>IF(tech_base!$T110&gt;AX$2025,"",fuel_costs!AP$11*0.086/tech_proj!AX234/(1-tech_proj!AX514))</f>
        <v>129.12634029892044</v>
      </c>
    </row>
    <row r="2135" spans="1:50" x14ac:dyDescent="0.25">
      <c r="A2135" s="356"/>
      <c r="B2135" s="376"/>
      <c r="C2135" s="361" t="s">
        <v>15</v>
      </c>
      <c r="D2135" s="58" t="s">
        <v>7</v>
      </c>
      <c r="E2135" s="78" t="str">
        <f>A2109&amp;"/"&amp;B2127&amp;"/"&amp;C2135&amp;"/"&amp;D2135</f>
        <v>Gas fired power plants (Natural gas, biogas)/Steam turbine/Electricity only with CCS/L</v>
      </c>
      <c r="F2135" s="78" t="str">
        <f>A2109</f>
        <v>Gas fired power plants (Natural gas, biogas)</v>
      </c>
      <c r="G2135" s="78" t="str">
        <f>B2127</f>
        <v>Steam turbine</v>
      </c>
      <c r="H2135" s="78" t="str">
        <f>C2135</f>
        <v>Electricity only with CCS</v>
      </c>
      <c r="I2135" s="78" t="str">
        <f t="shared" si="388"/>
        <v>L</v>
      </c>
      <c r="J2135" s="123" t="str">
        <f>IF(tech_base!$T111&gt;J$2025,"",fuel_costs!B$11*0.086/tech_proj!J235/(1-tech_proj!J515))</f>
        <v/>
      </c>
      <c r="K2135" s="123" t="str">
        <f>IF(tech_base!$T111&gt;K$2025,"",fuel_costs!C$11*0.086/tech_proj!K235/(1-tech_proj!K515))</f>
        <v/>
      </c>
      <c r="L2135" s="123" t="str">
        <f>IF(tech_base!$T111&gt;L$2025,"",fuel_costs!D$11*0.086/tech_proj!L235/(1-tech_proj!L515))</f>
        <v/>
      </c>
      <c r="M2135" s="123" t="str">
        <f>IF(tech_base!$T111&gt;M$2025,"",fuel_costs!E$11*0.086/tech_proj!M235/(1-tech_proj!M515))</f>
        <v/>
      </c>
      <c r="N2135" s="123" t="str">
        <f>IF(tech_base!$T111&gt;N$2025,"",fuel_costs!F$11*0.086/tech_proj!N235/(1-tech_proj!N515))</f>
        <v/>
      </c>
      <c r="O2135" s="123" t="str">
        <f>IF(tech_base!$T111&gt;O$2025,"",fuel_costs!G$11*0.086/tech_proj!O235/(1-tech_proj!O515))</f>
        <v/>
      </c>
      <c r="P2135" s="123" t="str">
        <f>IF(tech_base!$T111&gt;P$2025,"",fuel_costs!H$11*0.086/tech_proj!P235/(1-tech_proj!P515))</f>
        <v/>
      </c>
      <c r="Q2135" s="123" t="str">
        <f>IF(tech_base!$T111&gt;Q$2025,"",fuel_costs!I$11*0.086/tech_proj!Q235/(1-tech_proj!Q515))</f>
        <v/>
      </c>
      <c r="R2135" s="123" t="str">
        <f>IF(tech_base!$T111&gt;R$2025,"",fuel_costs!J$11*0.086/tech_proj!R235/(1-tech_proj!R515))</f>
        <v/>
      </c>
      <c r="S2135" s="123" t="str">
        <f>IF(tech_base!$T111&gt;S$2025,"",fuel_costs!K$11*0.086/tech_proj!S235/(1-tech_proj!S515))</f>
        <v/>
      </c>
      <c r="T2135" s="123" t="str">
        <f>IF(tech_base!$T111&gt;T$2025,"",fuel_costs!L$11*0.086/tech_proj!T235/(1-tech_proj!T515))</f>
        <v/>
      </c>
      <c r="U2135" s="123" t="str">
        <f>IF(tech_base!$T111&gt;U$2025,"",fuel_costs!M$11*0.086/tech_proj!U235/(1-tech_proj!U515))</f>
        <v/>
      </c>
      <c r="V2135" s="123" t="str">
        <f>IF(tech_base!$T111&gt;V$2025,"",fuel_costs!N$11*0.086/tech_proj!V235/(1-tech_proj!V515))</f>
        <v/>
      </c>
      <c r="W2135" s="123" t="str">
        <f>IF(tech_base!$T111&gt;W$2025,"",fuel_costs!O$11*0.086/tech_proj!W235/(1-tech_proj!W515))</f>
        <v/>
      </c>
      <c r="X2135" s="123" t="str">
        <f>IF(tech_base!$T111&gt;X$2025,"",fuel_costs!P$11*0.086/tech_proj!X235/(1-tech_proj!X515))</f>
        <v/>
      </c>
      <c r="Y2135" s="123" t="str">
        <f>IF(tech_base!$T111&gt;Y$2025,"",fuel_costs!Q$11*0.086/tech_proj!Y235/(1-tech_proj!Y515))</f>
        <v/>
      </c>
      <c r="Z2135" s="123" t="str">
        <f>IF(tech_base!$T111&gt;Z$2025,"",fuel_costs!R$11*0.086/tech_proj!Z235/(1-tech_proj!Z515))</f>
        <v/>
      </c>
      <c r="AA2135" s="123" t="str">
        <f>IF(tech_base!$T111&gt;AA$2025,"",fuel_costs!S$11*0.086/tech_proj!AA235/(1-tech_proj!AA515))</f>
        <v/>
      </c>
      <c r="AB2135" s="123" t="str">
        <f>IF(tech_base!$T111&gt;AB$2025,"",fuel_costs!T$11*0.086/tech_proj!AB235/(1-tech_proj!AB515))</f>
        <v/>
      </c>
      <c r="AC2135" s="123" t="str">
        <f>IF(tech_base!$T111&gt;AC$2025,"",fuel_costs!U$11*0.086/tech_proj!AC235/(1-tech_proj!AC515))</f>
        <v/>
      </c>
      <c r="AD2135" s="123" t="str">
        <f>IF(tech_base!$T111&gt;AD$2025,"",fuel_costs!V$11*0.086/tech_proj!AD235/(1-tech_proj!AD515))</f>
        <v/>
      </c>
      <c r="AE2135" s="123">
        <f>IF(tech_base!$T111&gt;AE$2025,"",fuel_costs!W$11*0.086/tech_proj!AE235/(1-tech_proj!AE515))</f>
        <v>113.1154535986212</v>
      </c>
      <c r="AF2135" s="123">
        <f>IF(tech_base!$T111&gt;AF$2025,"",fuel_costs!X$11*0.086/tech_proj!AF235/(1-tech_proj!AF515))</f>
        <v>114.81415928034974</v>
      </c>
      <c r="AG2135" s="123">
        <f>IF(tech_base!$T111&gt;AG$2025,"",fuel_costs!Y$11*0.086/tech_proj!AG235/(1-tech_proj!AG515))</f>
        <v>116.34102718409628</v>
      </c>
      <c r="AH2135" s="123">
        <f>IF(tech_base!$T111&gt;AH$2025,"",fuel_costs!Z$11*0.086/tech_proj!AH235/(1-tech_proj!AH515))</f>
        <v>117.73143013781802</v>
      </c>
      <c r="AI2135" s="123">
        <f>IF(tech_base!$T111&gt;AI$2025,"",fuel_costs!AA$11*0.086/tech_proj!AI235/(1-tech_proj!AI515))</f>
        <v>118.91319887708164</v>
      </c>
      <c r="AJ2135" s="123">
        <f>IF(tech_base!$T111&gt;AJ$2025,"",fuel_costs!AB$11*0.086/tech_proj!AJ235/(1-tech_proj!AJ515))</f>
        <v>120.03073764510565</v>
      </c>
      <c r="AK2135" s="123">
        <f>IF(tech_base!$T111&gt;AK$2025,"",fuel_costs!AC$11*0.086/tech_proj!AK235/(1-tech_proj!AK515))</f>
        <v>120.95131367463534</v>
      </c>
      <c r="AL2135" s="123">
        <f>IF(tech_base!$T111&gt;AL$2025,"",fuel_costs!AD$11*0.086/tech_proj!AL235/(1-tech_proj!AL515))</f>
        <v>121.84795114493362</v>
      </c>
      <c r="AM2135" s="123">
        <f>IF(tech_base!$T111&gt;AM$2025,"",fuel_costs!AE$11*0.086/tech_proj!AM235/(1-tech_proj!AM515))</f>
        <v>122.83862897187385</v>
      </c>
      <c r="AN2135" s="123">
        <f>IF(tech_base!$T111&gt;AN$2025,"",fuel_costs!AF$11*0.086/tech_proj!AN235/(1-tech_proj!AN515))</f>
        <v>122.90250158693085</v>
      </c>
      <c r="AO2135" s="123">
        <f>IF(tech_base!$T111&gt;AO$2025,"",fuel_costs!AG$11*0.086/tech_proj!AO235/(1-tech_proj!AO515))</f>
        <v>123.25503204964662</v>
      </c>
      <c r="AP2135" s="123">
        <f>IF(tech_base!$T111&gt;AP$2025,"",fuel_costs!AH$11*0.086/tech_proj!AP235/(1-tech_proj!AP515))</f>
        <v>123.62502429241131</v>
      </c>
      <c r="AQ2135" s="123">
        <f>IF(tech_base!$T111&gt;AQ$2025,"",fuel_costs!AI$11*0.086/tech_proj!AQ235/(1-tech_proj!AQ515))</f>
        <v>124.06573750635306</v>
      </c>
      <c r="AR2135" s="123">
        <f>IF(tech_base!$T111&gt;AR$2025,"",fuel_costs!AJ$11*0.086/tech_proj!AR235/(1-tech_proj!AR515))</f>
        <v>124.70869607042582</v>
      </c>
      <c r="AS2135" s="123">
        <f>IF(tech_base!$T111&gt;AS$2025,"",fuel_costs!AK$11*0.086/tech_proj!AS235/(1-tech_proj!AS515))</f>
        <v>125.51179337469478</v>
      </c>
      <c r="AT2135" s="123">
        <f>IF(tech_base!$T111&gt;AT$2025,"",fuel_costs!AL$11*0.086/tech_proj!AT235/(1-tech_proj!AT515))</f>
        <v>126.27355486965632</v>
      </c>
      <c r="AU2135" s="123">
        <f>IF(tech_base!$T111&gt;AU$2025,"",fuel_costs!AM$11*0.086/tech_proj!AU235/(1-tech_proj!AU515))</f>
        <v>126.96379371812597</v>
      </c>
      <c r="AV2135" s="123">
        <f>IF(tech_base!$T111&gt;AV$2025,"",fuel_costs!AN$11*0.086/tech_proj!AV235/(1-tech_proj!AV515))</f>
        <v>127.52407002401648</v>
      </c>
      <c r="AW2135" s="123">
        <f>IF(tech_base!$T111&gt;AW$2025,"",fuel_costs!AO$11*0.086/tech_proj!AW235/(1-tech_proj!AW515))</f>
        <v>127.53527789925813</v>
      </c>
      <c r="AX2135" s="124">
        <f>IF(tech_base!$T111&gt;AX$2025,"",fuel_costs!AP$11*0.086/tech_proj!AX235/(1-tech_proj!AX515))</f>
        <v>127.58152726740033</v>
      </c>
    </row>
    <row r="2136" spans="1:50" x14ac:dyDescent="0.25">
      <c r="A2136" s="356"/>
      <c r="B2136" s="376"/>
      <c r="C2136" s="379"/>
      <c r="D2136" s="59" t="s">
        <v>8</v>
      </c>
      <c r="E2136" s="79" t="str">
        <f>A2109&amp;"/"&amp;B2127&amp;"/"&amp;C2135&amp;"/"&amp;D2136</f>
        <v>Gas fired power plants (Natural gas, biogas)/Steam turbine/Electricity only with CCS/M</v>
      </c>
      <c r="F2136" s="79" t="str">
        <f>A2109</f>
        <v>Gas fired power plants (Natural gas, biogas)</v>
      </c>
      <c r="G2136" s="79" t="str">
        <f>B2127</f>
        <v>Steam turbine</v>
      </c>
      <c r="H2136" s="79" t="str">
        <f>C2135</f>
        <v>Electricity only with CCS</v>
      </c>
      <c r="I2136" s="79" t="str">
        <f t="shared" si="388"/>
        <v>M</v>
      </c>
      <c r="J2136" s="125" t="str">
        <f>IF(tech_base!$T112&gt;J$2025,"",fuel_costs!B$11*0.086/tech_proj!J236/(1-tech_proj!J516))</f>
        <v/>
      </c>
      <c r="K2136" s="125" t="str">
        <f>IF(tech_base!$T112&gt;K$2025,"",fuel_costs!C$11*0.086/tech_proj!K236/(1-tech_proj!K516))</f>
        <v/>
      </c>
      <c r="L2136" s="125" t="str">
        <f>IF(tech_base!$T112&gt;L$2025,"",fuel_costs!D$11*0.086/tech_proj!L236/(1-tech_proj!L516))</f>
        <v/>
      </c>
      <c r="M2136" s="125" t="str">
        <f>IF(tech_base!$T112&gt;M$2025,"",fuel_costs!E$11*0.086/tech_proj!M236/(1-tech_proj!M516))</f>
        <v/>
      </c>
      <c r="N2136" s="125" t="str">
        <f>IF(tech_base!$T112&gt;N$2025,"",fuel_costs!F$11*0.086/tech_proj!N236/(1-tech_proj!N516))</f>
        <v/>
      </c>
      <c r="O2136" s="125" t="str">
        <f>IF(tech_base!$T112&gt;O$2025,"",fuel_costs!G$11*0.086/tech_proj!O236/(1-tech_proj!O516))</f>
        <v/>
      </c>
      <c r="P2136" s="125" t="str">
        <f>IF(tech_base!$T112&gt;P$2025,"",fuel_costs!H$11*0.086/tech_proj!P236/(1-tech_proj!P516))</f>
        <v/>
      </c>
      <c r="Q2136" s="125" t="str">
        <f>IF(tech_base!$T112&gt;Q$2025,"",fuel_costs!I$11*0.086/tech_proj!Q236/(1-tech_proj!Q516))</f>
        <v/>
      </c>
      <c r="R2136" s="125" t="str">
        <f>IF(tech_base!$T112&gt;R$2025,"",fuel_costs!J$11*0.086/tech_proj!R236/(1-tech_proj!R516))</f>
        <v/>
      </c>
      <c r="S2136" s="125" t="str">
        <f>IF(tech_base!$T112&gt;S$2025,"",fuel_costs!K$11*0.086/tech_proj!S236/(1-tech_proj!S516))</f>
        <v/>
      </c>
      <c r="T2136" s="125" t="str">
        <f>IF(tech_base!$T112&gt;T$2025,"",fuel_costs!L$11*0.086/tech_proj!T236/(1-tech_proj!T516))</f>
        <v/>
      </c>
      <c r="U2136" s="125" t="str">
        <f>IF(tech_base!$T112&gt;U$2025,"",fuel_costs!M$11*0.086/tech_proj!U236/(1-tech_proj!U516))</f>
        <v/>
      </c>
      <c r="V2136" s="125" t="str">
        <f>IF(tech_base!$T112&gt;V$2025,"",fuel_costs!N$11*0.086/tech_proj!V236/(1-tech_proj!V516))</f>
        <v/>
      </c>
      <c r="W2136" s="125" t="str">
        <f>IF(tech_base!$T112&gt;W$2025,"",fuel_costs!O$11*0.086/tech_proj!W236/(1-tech_proj!W516))</f>
        <v/>
      </c>
      <c r="X2136" s="125" t="str">
        <f>IF(tech_base!$T112&gt;X$2025,"",fuel_costs!P$11*0.086/tech_proj!X236/(1-tech_proj!X516))</f>
        <v/>
      </c>
      <c r="Y2136" s="125" t="str">
        <f>IF(tech_base!$T112&gt;Y$2025,"",fuel_costs!Q$11*0.086/tech_proj!Y236/(1-tech_proj!Y516))</f>
        <v/>
      </c>
      <c r="Z2136" s="125" t="str">
        <f>IF(tech_base!$T112&gt;Z$2025,"",fuel_costs!R$11*0.086/tech_proj!Z236/(1-tech_proj!Z516))</f>
        <v/>
      </c>
      <c r="AA2136" s="125" t="str">
        <f>IF(tech_base!$T112&gt;AA$2025,"",fuel_costs!S$11*0.086/tech_proj!AA236/(1-tech_proj!AA516))</f>
        <v/>
      </c>
      <c r="AB2136" s="125" t="str">
        <f>IF(tech_base!$T112&gt;AB$2025,"",fuel_costs!T$11*0.086/tech_proj!AB236/(1-tech_proj!AB516))</f>
        <v/>
      </c>
      <c r="AC2136" s="125" t="str">
        <f>IF(tech_base!$T112&gt;AC$2025,"",fuel_costs!U$11*0.086/tech_proj!AC236/(1-tech_proj!AC516))</f>
        <v/>
      </c>
      <c r="AD2136" s="125" t="str">
        <f>IF(tech_base!$T112&gt;AD$2025,"",fuel_costs!V$11*0.086/tech_proj!AD236/(1-tech_proj!AD516))</f>
        <v/>
      </c>
      <c r="AE2136" s="125">
        <f>IF(tech_base!$T112&gt;AE$2025,"",fuel_costs!W$11*0.086/tech_proj!AE236/(1-tech_proj!AE516))</f>
        <v>120.37109526626848</v>
      </c>
      <c r="AF2136" s="125">
        <f>IF(tech_base!$T112&gt;AF$2025,"",fuel_costs!X$11*0.086/tech_proj!AF236/(1-tech_proj!AF516))</f>
        <v>122.17876218479809</v>
      </c>
      <c r="AG2136" s="125">
        <f>IF(tech_base!$T112&gt;AG$2025,"",fuel_costs!Y$11*0.086/tech_proj!AG236/(1-tech_proj!AG516))</f>
        <v>123.80356901758545</v>
      </c>
      <c r="AH2136" s="125">
        <f>IF(tech_base!$T112&gt;AH$2025,"",fuel_costs!Z$11*0.086/tech_proj!AH236/(1-tech_proj!AH516))</f>
        <v>125.28315753601032</v>
      </c>
      <c r="AI2136" s="125">
        <f>IF(tech_base!$T112&gt;AI$2025,"",fuel_costs!AA$11*0.086/tech_proj!AI236/(1-tech_proj!AI516))</f>
        <v>126.54072927330239</v>
      </c>
      <c r="AJ2136" s="125">
        <f>IF(tech_base!$T112&gt;AJ$2025,"",fuel_costs!AB$11*0.086/tech_proj!AJ236/(1-tech_proj!AJ516))</f>
        <v>127.7299510925146</v>
      </c>
      <c r="AK2136" s="125">
        <f>IF(tech_base!$T112&gt;AK$2025,"",fuel_costs!AC$11*0.086/tech_proj!AK236/(1-tech_proj!AK516))</f>
        <v>128.70957625799875</v>
      </c>
      <c r="AL2136" s="125">
        <f>IF(tech_base!$T112&gt;AL$2025,"",fuel_costs!AD$11*0.086/tech_proj!AL236/(1-tech_proj!AL516))</f>
        <v>129.66372735692423</v>
      </c>
      <c r="AM2136" s="125">
        <f>IF(tech_base!$T112&gt;AM$2025,"",fuel_costs!AE$11*0.086/tech_proj!AM236/(1-tech_proj!AM516))</f>
        <v>130.71795090720892</v>
      </c>
      <c r="AN2136" s="125">
        <f>IF(tech_base!$T112&gt;AN$2025,"",fuel_costs!AF$11*0.086/tech_proj!AN236/(1-tech_proj!AN516))</f>
        <v>130.78592054696489</v>
      </c>
      <c r="AO2136" s="125">
        <f>IF(tech_base!$T112&gt;AO$2025,"",fuel_costs!AG$11*0.086/tech_proj!AO236/(1-tech_proj!AO516))</f>
        <v>131.16106361152259</v>
      </c>
      <c r="AP2136" s="125">
        <f>IF(tech_base!$T112&gt;AP$2025,"",fuel_costs!AH$11*0.086/tech_proj!AP236/(1-tech_proj!AP516))</f>
        <v>131.55478851899318</v>
      </c>
      <c r="AQ2136" s="125">
        <f>IF(tech_base!$T112&gt;AQ$2025,"",fuel_costs!AI$11*0.086/tech_proj!AQ236/(1-tech_proj!AQ516))</f>
        <v>132.02377070111592</v>
      </c>
      <c r="AR2136" s="125">
        <f>IF(tech_base!$T112&gt;AR$2025,"",fuel_costs!AJ$11*0.086/tech_proj!AR236/(1-tech_proj!AR516))</f>
        <v>132.7079709947636</v>
      </c>
      <c r="AS2136" s="125">
        <f>IF(tech_base!$T112&gt;AS$2025,"",fuel_costs!AK$11*0.086/tech_proj!AS236/(1-tech_proj!AS516))</f>
        <v>133.56258191701002</v>
      </c>
      <c r="AT2136" s="125">
        <f>IF(tech_base!$T112&gt;AT$2025,"",fuel_costs!AL$11*0.086/tech_proj!AT236/(1-tech_proj!AT516))</f>
        <v>134.37320559894795</v>
      </c>
      <c r="AU2136" s="125">
        <f>IF(tech_base!$T112&gt;AU$2025,"",fuel_costs!AM$11*0.086/tech_proj!AU236/(1-tech_proj!AU516))</f>
        <v>135.10771890851248</v>
      </c>
      <c r="AV2136" s="125">
        <f>IF(tech_base!$T112&gt;AV$2025,"",fuel_costs!AN$11*0.086/tech_proj!AV236/(1-tech_proj!AV516))</f>
        <v>135.70393339951468</v>
      </c>
      <c r="AW2136" s="125">
        <f>IF(tech_base!$T112&gt;AW$2025,"",fuel_costs!AO$11*0.086/tech_proj!AW236/(1-tech_proj!AW516))</f>
        <v>135.71586018913999</v>
      </c>
      <c r="AX2136" s="126">
        <f>IF(tech_base!$T112&gt;AX$2025,"",fuel_costs!AP$11*0.086/tech_proj!AX236/(1-tech_proj!AX516))</f>
        <v>135.76507616203793</v>
      </c>
    </row>
    <row r="2137" spans="1:50" x14ac:dyDescent="0.25">
      <c r="A2137" s="356"/>
      <c r="B2137" s="376"/>
      <c r="C2137" s="361" t="s">
        <v>16</v>
      </c>
      <c r="D2137" s="2" t="s">
        <v>7</v>
      </c>
      <c r="E2137" s="76" t="str">
        <f>A2109&amp;"/"&amp;B2127&amp;"/"&amp;C2137&amp;"/"&amp;D2137</f>
        <v>Gas fired power plants (Natural gas, biogas)/Steam turbine/CHP with CCS/L</v>
      </c>
      <c r="F2137" s="76" t="str">
        <f>A2109</f>
        <v>Gas fired power plants (Natural gas, biogas)</v>
      </c>
      <c r="G2137" s="76" t="str">
        <f>B2127</f>
        <v>Steam turbine</v>
      </c>
      <c r="H2137" s="76" t="str">
        <f>C2137</f>
        <v>CHP with CCS</v>
      </c>
      <c r="I2137" s="76" t="str">
        <f t="shared" si="388"/>
        <v>L</v>
      </c>
      <c r="J2137" s="119" t="str">
        <f>IF(tech_base!$T113&gt;J$2025,"",fuel_costs!B$11*0.086/tech_proj!J237/(1-tech_proj!J517))</f>
        <v/>
      </c>
      <c r="K2137" s="119" t="str">
        <f>IF(tech_base!$T113&gt;K$2025,"",fuel_costs!C$11*0.086/tech_proj!K237/(1-tech_proj!K517))</f>
        <v/>
      </c>
      <c r="L2137" s="119" t="str">
        <f>IF(tech_base!$T113&gt;L$2025,"",fuel_costs!D$11*0.086/tech_proj!L237/(1-tech_proj!L517))</f>
        <v/>
      </c>
      <c r="M2137" s="119" t="str">
        <f>IF(tech_base!$T113&gt;M$2025,"",fuel_costs!E$11*0.086/tech_proj!M237/(1-tech_proj!M517))</f>
        <v/>
      </c>
      <c r="N2137" s="119" t="str">
        <f>IF(tech_base!$T113&gt;N$2025,"",fuel_costs!F$11*0.086/tech_proj!N237/(1-tech_proj!N517))</f>
        <v/>
      </c>
      <c r="O2137" s="119" t="str">
        <f>IF(tech_base!$T113&gt;O$2025,"",fuel_costs!G$11*0.086/tech_proj!O237/(1-tech_proj!O517))</f>
        <v/>
      </c>
      <c r="P2137" s="119" t="str">
        <f>IF(tech_base!$T113&gt;P$2025,"",fuel_costs!H$11*0.086/tech_proj!P237/(1-tech_proj!P517))</f>
        <v/>
      </c>
      <c r="Q2137" s="119" t="str">
        <f>IF(tech_base!$T113&gt;Q$2025,"",fuel_costs!I$11*0.086/tech_proj!Q237/(1-tech_proj!Q517))</f>
        <v/>
      </c>
      <c r="R2137" s="119" t="str">
        <f>IF(tech_base!$T113&gt;R$2025,"",fuel_costs!J$11*0.086/tech_proj!R237/(1-tech_proj!R517))</f>
        <v/>
      </c>
      <c r="S2137" s="119" t="str">
        <f>IF(tech_base!$T113&gt;S$2025,"",fuel_costs!K$11*0.086/tech_proj!S237/(1-tech_proj!S517))</f>
        <v/>
      </c>
      <c r="T2137" s="119" t="str">
        <f>IF(tech_base!$T113&gt;T$2025,"",fuel_costs!L$11*0.086/tech_proj!T237/(1-tech_proj!T517))</f>
        <v/>
      </c>
      <c r="U2137" s="119" t="str">
        <f>IF(tech_base!$T113&gt;U$2025,"",fuel_costs!M$11*0.086/tech_proj!U237/(1-tech_proj!U517))</f>
        <v/>
      </c>
      <c r="V2137" s="119" t="str">
        <f>IF(tech_base!$T113&gt;V$2025,"",fuel_costs!N$11*0.086/tech_proj!V237/(1-tech_proj!V517))</f>
        <v/>
      </c>
      <c r="W2137" s="119" t="str">
        <f>IF(tech_base!$T113&gt;W$2025,"",fuel_costs!O$11*0.086/tech_proj!W237/(1-tech_proj!W517))</f>
        <v/>
      </c>
      <c r="X2137" s="119" t="str">
        <f>IF(tech_base!$T113&gt;X$2025,"",fuel_costs!P$11*0.086/tech_proj!X237/(1-tech_proj!X517))</f>
        <v/>
      </c>
      <c r="Y2137" s="119" t="str">
        <f>IF(tech_base!$T113&gt;Y$2025,"",fuel_costs!Q$11*0.086/tech_proj!Y237/(1-tech_proj!Y517))</f>
        <v/>
      </c>
      <c r="Z2137" s="119" t="str">
        <f>IF(tech_base!$T113&gt;Z$2025,"",fuel_costs!R$11*0.086/tech_proj!Z237/(1-tech_proj!Z517))</f>
        <v/>
      </c>
      <c r="AA2137" s="119" t="str">
        <f>IF(tech_base!$T113&gt;AA$2025,"",fuel_costs!S$11*0.086/tech_proj!AA237/(1-tech_proj!AA517))</f>
        <v/>
      </c>
      <c r="AB2137" s="119" t="str">
        <f>IF(tech_base!$T113&gt;AB$2025,"",fuel_costs!T$11*0.086/tech_proj!AB237/(1-tech_proj!AB517))</f>
        <v/>
      </c>
      <c r="AC2137" s="119" t="str">
        <f>IF(tech_base!$T113&gt;AC$2025,"",fuel_costs!U$11*0.086/tech_proj!AC237/(1-tech_proj!AC517))</f>
        <v/>
      </c>
      <c r="AD2137" s="119" t="str">
        <f>IF(tech_base!$T113&gt;AD$2025,"",fuel_costs!V$11*0.086/tech_proj!AD237/(1-tech_proj!AD517))</f>
        <v/>
      </c>
      <c r="AE2137" s="119">
        <f>IF(tech_base!$T113&gt;AE$2025,"",fuel_costs!W$11*0.086/tech_proj!AE237/(1-tech_proj!AE517))</f>
        <v>127.82487539298027</v>
      </c>
      <c r="AF2137" s="119">
        <f>IF(tech_base!$T113&gt;AF$2025,"",fuel_costs!X$11*0.086/tech_proj!AF237/(1-tech_proj!AF517))</f>
        <v>129.74447908273595</v>
      </c>
      <c r="AG2137" s="119">
        <f>IF(tech_base!$T113&gt;AG$2025,"",fuel_costs!Y$11*0.086/tech_proj!AG237/(1-tech_proj!AG517))</f>
        <v>131.46989937968746</v>
      </c>
      <c r="AH2137" s="119">
        <f>IF(tech_base!$T113&gt;AH$2025,"",fuel_costs!Z$11*0.086/tech_proj!AH237/(1-tech_proj!AH517))</f>
        <v>133.04110895938084</v>
      </c>
      <c r="AI2137" s="119">
        <f>IF(tech_base!$T113&gt;AI$2025,"",fuel_costs!AA$11*0.086/tech_proj!AI237/(1-tech_proj!AI517))</f>
        <v>134.37655373756041</v>
      </c>
      <c r="AJ2137" s="119">
        <f>IF(tech_base!$T113&gt;AJ$2025,"",fuel_costs!AB$11*0.086/tech_proj!AJ237/(1-tech_proj!AJ517))</f>
        <v>135.6394161425186</v>
      </c>
      <c r="AK2137" s="119">
        <f>IF(tech_base!$T113&gt;AK$2025,"",fuel_costs!AC$11*0.086/tech_proj!AK237/(1-tech_proj!AK517))</f>
        <v>136.67970296912631</v>
      </c>
      <c r="AL2137" s="119">
        <f>IF(tech_base!$T113&gt;AL$2025,"",fuel_costs!AD$11*0.086/tech_proj!AL237/(1-tech_proj!AL517))</f>
        <v>137.69293828991849</v>
      </c>
      <c r="AM2137" s="119">
        <f>IF(tech_base!$T113&gt;AM$2025,"",fuel_costs!AE$11*0.086/tech_proj!AM237/(1-tech_proj!AM517))</f>
        <v>138.8124428823906</v>
      </c>
      <c r="AN2137" s="119">
        <f>IF(tech_base!$T113&gt;AN$2025,"",fuel_costs!AF$11*0.086/tech_proj!AN237/(1-tech_proj!AN517))</f>
        <v>138.88462142918453</v>
      </c>
      <c r="AO2137" s="119">
        <f>IF(tech_base!$T113&gt;AO$2025,"",fuel_costs!AG$11*0.086/tech_proj!AO237/(1-tech_proj!AO517))</f>
        <v>139.28299460486724</v>
      </c>
      <c r="AP2137" s="119">
        <f>IF(tech_base!$T113&gt;AP$2025,"",fuel_costs!AH$11*0.086/tech_proj!AP237/(1-tech_proj!AP517))</f>
        <v>139.70110027321903</v>
      </c>
      <c r="AQ2137" s="119">
        <f>IF(tech_base!$T113&gt;AQ$2025,"",fuel_costs!AI$11*0.086/tech_proj!AQ237/(1-tech_proj!AQ517))</f>
        <v>140.19912339794647</v>
      </c>
      <c r="AR2137" s="119">
        <f>IF(tech_base!$T113&gt;AR$2025,"",fuel_costs!AJ$11*0.086/tech_proj!AR237/(1-tech_proj!AR517))</f>
        <v>140.92569165825751</v>
      </c>
      <c r="AS2137" s="119">
        <f>IF(tech_base!$T113&gt;AS$2025,"",fuel_costs!AK$11*0.086/tech_proj!AS237/(1-tech_proj!AS517))</f>
        <v>141.83322294227537</v>
      </c>
      <c r="AT2137" s="119">
        <f>IF(tech_base!$T113&gt;AT$2025,"",fuel_costs!AL$11*0.086/tech_proj!AT237/(1-tech_proj!AT517))</f>
        <v>142.69404314919552</v>
      </c>
      <c r="AU2137" s="119">
        <f>IF(tech_base!$T113&gt;AU$2025,"",fuel_costs!AM$11*0.086/tech_proj!AU237/(1-tech_proj!AU517))</f>
        <v>143.47403997535952</v>
      </c>
      <c r="AV2137" s="119">
        <f>IF(tech_base!$T113&gt;AV$2025,"",fuel_costs!AN$11*0.086/tech_proj!AV237/(1-tech_proj!AV517))</f>
        <v>144.10717405834893</v>
      </c>
      <c r="AW2137" s="119">
        <f>IF(tech_base!$T113&gt;AW$2025,"",fuel_costs!AO$11*0.086/tech_proj!AW237/(1-tech_proj!AW517))</f>
        <v>144.1198393946103</v>
      </c>
      <c r="AX2137" s="120">
        <f>IF(tech_base!$T113&gt;AX$2025,"",fuel_costs!AP$11*0.086/tech_proj!AX237/(1-tech_proj!AX517))</f>
        <v>144.17210298487763</v>
      </c>
    </row>
    <row r="2138" spans="1:50" x14ac:dyDescent="0.25">
      <c r="A2138" s="356"/>
      <c r="B2138" s="380"/>
      <c r="C2138" s="381"/>
      <c r="D2138" s="4" t="s">
        <v>8</v>
      </c>
      <c r="E2138" s="80" t="str">
        <f>A2109&amp;"/"&amp;B2127&amp;"/"&amp;C2137&amp;"/"&amp;D2138</f>
        <v>Gas fired power plants (Natural gas, biogas)/Steam turbine/CHP with CCS/M</v>
      </c>
      <c r="F2138" s="80" t="str">
        <f>A2109</f>
        <v>Gas fired power plants (Natural gas, biogas)</v>
      </c>
      <c r="G2138" s="80" t="str">
        <f>B2127</f>
        <v>Steam turbine</v>
      </c>
      <c r="H2138" s="80" t="str">
        <f>C2137</f>
        <v>CHP with CCS</v>
      </c>
      <c r="I2138" s="80" t="str">
        <f t="shared" si="388"/>
        <v>M</v>
      </c>
      <c r="J2138" s="127" t="str">
        <f>IF(tech_base!$T114&gt;J$2025,"",fuel_costs!B$11*0.086/tech_proj!J238/(1-tech_proj!J518))</f>
        <v/>
      </c>
      <c r="K2138" s="127" t="str">
        <f>IF(tech_base!$T114&gt;K$2025,"",fuel_costs!C$11*0.086/tech_proj!K238/(1-tech_proj!K518))</f>
        <v/>
      </c>
      <c r="L2138" s="127" t="str">
        <f>IF(tech_base!$T114&gt;L$2025,"",fuel_costs!D$11*0.086/tech_proj!L238/(1-tech_proj!L518))</f>
        <v/>
      </c>
      <c r="M2138" s="127" t="str">
        <f>IF(tech_base!$T114&gt;M$2025,"",fuel_costs!E$11*0.086/tech_proj!M238/(1-tech_proj!M518))</f>
        <v/>
      </c>
      <c r="N2138" s="127" t="str">
        <f>IF(tech_base!$T114&gt;N$2025,"",fuel_costs!F$11*0.086/tech_proj!N238/(1-tech_proj!N518))</f>
        <v/>
      </c>
      <c r="O2138" s="127" t="str">
        <f>IF(tech_base!$T114&gt;O$2025,"",fuel_costs!G$11*0.086/tech_proj!O238/(1-tech_proj!O518))</f>
        <v/>
      </c>
      <c r="P2138" s="127" t="str">
        <f>IF(tech_base!$T114&gt;P$2025,"",fuel_costs!H$11*0.086/tech_proj!P238/(1-tech_proj!P518))</f>
        <v/>
      </c>
      <c r="Q2138" s="127" t="str">
        <f>IF(tech_base!$T114&gt;Q$2025,"",fuel_costs!I$11*0.086/tech_proj!Q238/(1-tech_proj!Q518))</f>
        <v/>
      </c>
      <c r="R2138" s="127" t="str">
        <f>IF(tech_base!$T114&gt;R$2025,"",fuel_costs!J$11*0.086/tech_proj!R238/(1-tech_proj!R518))</f>
        <v/>
      </c>
      <c r="S2138" s="127" t="str">
        <f>IF(tech_base!$T114&gt;S$2025,"",fuel_costs!K$11*0.086/tech_proj!S238/(1-tech_proj!S518))</f>
        <v/>
      </c>
      <c r="T2138" s="127" t="str">
        <f>IF(tech_base!$T114&gt;T$2025,"",fuel_costs!L$11*0.086/tech_proj!T238/(1-tech_proj!T518))</f>
        <v/>
      </c>
      <c r="U2138" s="127" t="str">
        <f>IF(tech_base!$T114&gt;U$2025,"",fuel_costs!M$11*0.086/tech_proj!U238/(1-tech_proj!U518))</f>
        <v/>
      </c>
      <c r="V2138" s="127" t="str">
        <f>IF(tech_base!$T114&gt;V$2025,"",fuel_costs!N$11*0.086/tech_proj!V238/(1-tech_proj!V518))</f>
        <v/>
      </c>
      <c r="W2138" s="127" t="str">
        <f>IF(tech_base!$T114&gt;W$2025,"",fuel_costs!O$11*0.086/tech_proj!W238/(1-tech_proj!W518))</f>
        <v/>
      </c>
      <c r="X2138" s="127" t="str">
        <f>IF(tech_base!$T114&gt;X$2025,"",fuel_costs!P$11*0.086/tech_proj!X238/(1-tech_proj!X518))</f>
        <v/>
      </c>
      <c r="Y2138" s="127" t="str">
        <f>IF(tech_base!$T114&gt;Y$2025,"",fuel_costs!Q$11*0.086/tech_proj!Y238/(1-tech_proj!Y518))</f>
        <v/>
      </c>
      <c r="Z2138" s="127" t="str">
        <f>IF(tech_base!$T114&gt;Z$2025,"",fuel_costs!R$11*0.086/tech_proj!Z238/(1-tech_proj!Z518))</f>
        <v/>
      </c>
      <c r="AA2138" s="127" t="str">
        <f>IF(tech_base!$T114&gt;AA$2025,"",fuel_costs!S$11*0.086/tech_proj!AA238/(1-tech_proj!AA518))</f>
        <v/>
      </c>
      <c r="AB2138" s="127" t="str">
        <f>IF(tech_base!$T114&gt;AB$2025,"",fuel_costs!T$11*0.086/tech_proj!AB238/(1-tech_proj!AB518))</f>
        <v/>
      </c>
      <c r="AC2138" s="127" t="str">
        <f>IF(tech_base!$T114&gt;AC$2025,"",fuel_costs!U$11*0.086/tech_proj!AC238/(1-tech_proj!AC518))</f>
        <v/>
      </c>
      <c r="AD2138" s="127" t="str">
        <f>IF(tech_base!$T114&gt;AD$2025,"",fuel_costs!V$11*0.086/tech_proj!AD238/(1-tech_proj!AD518))</f>
        <v/>
      </c>
      <c r="AE2138" s="127">
        <f>IF(tech_base!$T114&gt;AE$2025,"",fuel_costs!W$11*0.086/tech_proj!AE238/(1-tech_proj!AE518))</f>
        <v>136.262717850765</v>
      </c>
      <c r="AF2138" s="127">
        <f>IF(tech_base!$T114&gt;AF$2025,"",fuel_costs!X$11*0.086/tech_proj!AF238/(1-tech_proj!AF518))</f>
        <v>138.30903641871433</v>
      </c>
      <c r="AG2138" s="127">
        <f>IF(tech_base!$T114&gt;AG$2025,"",fuel_costs!Y$11*0.086/tech_proj!AG238/(1-tech_proj!AG518))</f>
        <v>140.14835336210797</v>
      </c>
      <c r="AH2138" s="127">
        <f>IF(tech_base!$T114&gt;AH$2025,"",fuel_costs!Z$11*0.086/tech_proj!AH238/(1-tech_proj!AH518))</f>
        <v>141.82327999109128</v>
      </c>
      <c r="AI2138" s="127">
        <f>IF(tech_base!$T114&gt;AI$2025,"",fuel_costs!AA$11*0.086/tech_proj!AI238/(1-tech_proj!AI518))</f>
        <v>143.24687875819285</v>
      </c>
      <c r="AJ2138" s="127">
        <f>IF(tech_base!$T114&gt;AJ$2025,"",fuel_costs!AB$11*0.086/tech_proj!AJ238/(1-tech_proj!AJ518))</f>
        <v>144.59310392009593</v>
      </c>
      <c r="AK2138" s="127">
        <f>IF(tech_base!$T114&gt;AK$2025,"",fuel_costs!AC$11*0.086/tech_proj!AK238/(1-tech_proj!AK518))</f>
        <v>145.70206107653451</v>
      </c>
      <c r="AL2138" s="127">
        <f>IF(tech_base!$T114&gt;AL$2025,"",fuel_costs!AD$11*0.086/tech_proj!AL238/(1-tech_proj!AL518))</f>
        <v>146.78218103134822</v>
      </c>
      <c r="AM2138" s="127">
        <f>IF(tech_base!$T114&gt;AM$2025,"",fuel_costs!AE$11*0.086/tech_proj!AM238/(1-tech_proj!AM518))</f>
        <v>147.97558519425218</v>
      </c>
      <c r="AN2138" s="127">
        <f>IF(tech_base!$T114&gt;AN$2025,"",fuel_costs!AF$11*0.086/tech_proj!AN238/(1-tech_proj!AN518))</f>
        <v>148.05252831605398</v>
      </c>
      <c r="AO2138" s="127">
        <f>IF(tech_base!$T114&gt;AO$2025,"",fuel_costs!AG$11*0.086/tech_proj!AO238/(1-tech_proj!AO518))</f>
        <v>148.47719848663289</v>
      </c>
      <c r="AP2138" s="127">
        <f>IF(tech_base!$T114&gt;AP$2025,"",fuel_costs!AH$11*0.086/tech_proj!AP238/(1-tech_proj!AP518))</f>
        <v>148.92290371062214</v>
      </c>
      <c r="AQ2138" s="127">
        <f>IF(tech_base!$T114&gt;AQ$2025,"",fuel_costs!AI$11*0.086/tech_proj!AQ238/(1-tech_proj!AQ518))</f>
        <v>149.45380181882882</v>
      </c>
      <c r="AR2138" s="127">
        <f>IF(tech_base!$T114&gt;AR$2025,"",fuel_costs!AJ$11*0.086/tech_proj!AR238/(1-tech_proj!AR518))</f>
        <v>150.22833154592391</v>
      </c>
      <c r="AS2138" s="127">
        <f>IF(tech_base!$T114&gt;AS$2025,"",fuel_costs!AK$11*0.086/tech_proj!AS238/(1-tech_proj!AS518))</f>
        <v>151.19576983925049</v>
      </c>
      <c r="AT2138" s="127">
        <f>IF(tech_base!$T114&gt;AT$2025,"",fuel_costs!AL$11*0.086/tech_proj!AT238/(1-tech_proj!AT518))</f>
        <v>152.11341361253938</v>
      </c>
      <c r="AU2138" s="127">
        <f>IF(tech_base!$T114&gt;AU$2025,"",fuel_costs!AM$11*0.086/tech_proj!AU238/(1-tech_proj!AU518))</f>
        <v>152.94489877629422</v>
      </c>
      <c r="AV2138" s="127">
        <f>IF(tech_base!$T114&gt;AV$2025,"",fuel_costs!AN$11*0.086/tech_proj!AV238/(1-tech_proj!AV518))</f>
        <v>153.61982664652965</v>
      </c>
      <c r="AW2138" s="127">
        <f>IF(tech_base!$T114&gt;AW$2025,"",fuel_costs!AO$11*0.086/tech_proj!AW238/(1-tech_proj!AW518))</f>
        <v>153.63332803376872</v>
      </c>
      <c r="AX2138" s="128">
        <f>IF(tech_base!$T114&gt;AX$2025,"",fuel_costs!AP$11*0.086/tech_proj!AX238/(1-tech_proj!AX518))</f>
        <v>153.68904159368864</v>
      </c>
    </row>
    <row r="2139" spans="1:50" x14ac:dyDescent="0.25">
      <c r="A2139" s="356"/>
      <c r="B2139" s="358" t="s">
        <v>25</v>
      </c>
      <c r="C2139" s="353" t="s">
        <v>6</v>
      </c>
      <c r="D2139" s="3" t="s">
        <v>10</v>
      </c>
      <c r="E2139" s="77" t="str">
        <f>A2109&amp;"/"&amp;B2139&amp;"/"&amp;C2139&amp;"/"&amp;D2139</f>
        <v>Gas fired power plants (Natural gas, biogas)/Internal combustion engine/Electricity only/S</v>
      </c>
      <c r="F2139" s="77" t="str">
        <f>A2109</f>
        <v>Gas fired power plants (Natural gas, biogas)</v>
      </c>
      <c r="G2139" s="77" t="str">
        <f>B2139</f>
        <v>Internal combustion engine</v>
      </c>
      <c r="H2139" s="77" t="str">
        <f>C2139</f>
        <v>Electricity only</v>
      </c>
      <c r="I2139" s="77" t="str">
        <f t="shared" si="388"/>
        <v>S</v>
      </c>
      <c r="J2139" s="121">
        <f>IF(tech_base!$T115&gt;J$2025,"",fuel_costs!B$11*0.086/tech_proj!J239/(1-tech_proj!J519))</f>
        <v>79.877108502006863</v>
      </c>
      <c r="K2139" s="121">
        <f>IF(tech_base!$T115&gt;K$2025,"",fuel_costs!C$11*0.086/tech_proj!K239/(1-tech_proj!K519))</f>
        <v>91.422605425875688</v>
      </c>
      <c r="L2139" s="121">
        <f>IF(tech_base!$T115&gt;L$2025,"",fuel_costs!D$11*0.086/tech_proj!L239/(1-tech_proj!L519))</f>
        <v>102.31339677402426</v>
      </c>
      <c r="M2139" s="121">
        <f>IF(tech_base!$T115&gt;M$2025,"",fuel_costs!E$11*0.086/tech_proj!M239/(1-tech_proj!M519))</f>
        <v>99.973559117656009</v>
      </c>
      <c r="N2139" s="121">
        <f>IF(tech_base!$T115&gt;N$2025,"",fuel_costs!F$11*0.086/tech_proj!N239/(1-tech_proj!N519))</f>
        <v>84.186280623312598</v>
      </c>
      <c r="O2139" s="121">
        <f>IF(tech_base!$T115&gt;O$2025,"",fuel_costs!G$11*0.086/tech_proj!O239/(1-tech_proj!O519))</f>
        <v>70.813143981458836</v>
      </c>
      <c r="P2139" s="121">
        <f>IF(tech_base!$T115&gt;P$2025,"",fuel_costs!H$11*0.086/tech_proj!P239/(1-tech_proj!P519))</f>
        <v>47.817386196883561</v>
      </c>
      <c r="Q2139" s="121">
        <f>IF(tech_base!$T115&gt;Q$2025,"",fuel_costs!I$11*0.086/tech_proj!Q239/(1-tech_proj!Q519))</f>
        <v>56.305181372179753</v>
      </c>
      <c r="R2139" s="121">
        <f>IF(tech_base!$T115&gt;R$2025,"",fuel_costs!J$11*0.086/tech_proj!R239/(1-tech_proj!R519))</f>
        <v>62.233207819767657</v>
      </c>
      <c r="S2139" s="121">
        <f>IF(tech_base!$T115&gt;S$2025,"",fuel_costs!K$11*0.086/tech_proj!S239/(1-tech_proj!S519))</f>
        <v>68.214666217033326</v>
      </c>
      <c r="T2139" s="121">
        <f>IF(tech_base!$T115&gt;T$2025,"",fuel_costs!L$11*0.086/tech_proj!T239/(1-tech_proj!T519))</f>
        <v>74.130609699194935</v>
      </c>
      <c r="U2139" s="121">
        <f>IF(tech_base!$T115&gt;U$2025,"",fuel_costs!M$11*0.086/tech_proj!U239/(1-tech_proj!U519))</f>
        <v>79.902852705308774</v>
      </c>
      <c r="V2139" s="121">
        <f>IF(tech_base!$T115&gt;V$2025,"",fuel_costs!N$11*0.086/tech_proj!V239/(1-tech_proj!V519))</f>
        <v>83.670249162240452</v>
      </c>
      <c r="W2139" s="121">
        <f>IF(tech_base!$T115&gt;W$2025,"",fuel_costs!O$11*0.086/tech_proj!W239/(1-tech_proj!W519))</f>
        <v>88.131058657012247</v>
      </c>
      <c r="X2139" s="121">
        <f>IF(tech_base!$T115&gt;X$2025,"",fuel_costs!P$11*0.086/tech_proj!X239/(1-tech_proj!X519))</f>
        <v>92.348319473466773</v>
      </c>
      <c r="Y2139" s="121">
        <f>IF(tech_base!$T115&gt;Y$2025,"",fuel_costs!Q$11*0.086/tech_proj!Y239/(1-tech_proj!Y519))</f>
        <v>96.326901196118456</v>
      </c>
      <c r="Z2139" s="121">
        <f>IF(tech_base!$T115&gt;Z$2025,"",fuel_costs!R$11*0.086/tech_proj!Z239/(1-tech_proj!Z519))</f>
        <v>97.77027868290088</v>
      </c>
      <c r="AA2139" s="121">
        <f>IF(tech_base!$T115&gt;AA$2025,"",fuel_costs!S$11*0.086/tech_proj!AA239/(1-tech_proj!AA519))</f>
        <v>99.124040471367735</v>
      </c>
      <c r="AB2139" s="121">
        <f>IF(tech_base!$T115&gt;AB$2025,"",fuel_costs!T$11*0.086/tech_proj!AB239/(1-tech_proj!AB519))</f>
        <v>100.62302312003891</v>
      </c>
      <c r="AC2139" s="121">
        <f>IF(tech_base!$T115&gt;AC$2025,"",fuel_costs!U$11*0.086/tech_proj!AC239/(1-tech_proj!AC519))</f>
        <v>102.12451533014621</v>
      </c>
      <c r="AD2139" s="121">
        <f>IF(tech_base!$T115&gt;AD$2025,"",fuel_costs!V$11*0.086/tech_proj!AD239/(1-tech_proj!AD519))</f>
        <v>104.29458883383343</v>
      </c>
      <c r="AE2139" s="121">
        <f>IF(tech_base!$T115&gt;AE$2025,"",fuel_costs!W$11*0.086/tech_proj!AE239/(1-tech_proj!AE519))</f>
        <v>105.68367829823129</v>
      </c>
      <c r="AF2139" s="121">
        <f>IF(tech_base!$T115&gt;AF$2025,"",fuel_costs!X$11*0.086/tech_proj!AF239/(1-tech_proj!AF519))</f>
        <v>107.26539538702983</v>
      </c>
      <c r="AG2139" s="121">
        <f>IF(tech_base!$T115&gt;AG$2025,"",fuel_costs!Y$11*0.086/tech_proj!AG239/(1-tech_proj!AG519))</f>
        <v>108.68620028028731</v>
      </c>
      <c r="AH2139" s="121">
        <f>IF(tech_base!$T115&gt;AH$2025,"",fuel_costs!Z$11*0.086/tech_proj!AH239/(1-tech_proj!AH519))</f>
        <v>109.97914679359316</v>
      </c>
      <c r="AI2139" s="121">
        <f>IF(tech_base!$T115&gt;AI$2025,"",fuel_costs!AA$11*0.086/tech_proj!AI239/(1-tech_proj!AI519))</f>
        <v>111.07682800350044</v>
      </c>
      <c r="AJ2139" s="121">
        <f>IF(tech_base!$T115&gt;AJ$2025,"",fuel_costs!AB$11*0.086/tech_proj!AJ239/(1-tech_proj!AJ519))</f>
        <v>112.11414375608591</v>
      </c>
      <c r="AK2139" s="121">
        <f>IF(tech_base!$T115&gt;AK$2025,"",fuel_costs!AC$11*0.086/tech_proj!AK239/(1-tech_proj!AK519))</f>
        <v>112.96712079361211</v>
      </c>
      <c r="AL2139" s="121">
        <f>IF(tech_base!$T115&gt;AL$2025,"",fuel_costs!AD$11*0.086/tech_proj!AL239/(1-tech_proj!AL519))</f>
        <v>113.79737337939753</v>
      </c>
      <c r="AM2139" s="121">
        <f>IF(tech_base!$T115&gt;AM$2025,"",fuel_costs!AE$11*0.086/tech_proj!AM239/(1-tech_proj!AM519))</f>
        <v>114.71507098454997</v>
      </c>
      <c r="AN2139" s="121">
        <f>IF(tech_base!$T115&gt;AN$2025,"",fuel_costs!AF$11*0.086/tech_proj!AN239/(1-tech_proj!AN519))</f>
        <v>114.76691406058637</v>
      </c>
      <c r="AO2139" s="121">
        <f>IF(tech_base!$T115&gt;AO$2025,"",fuel_costs!AG$11*0.086/tech_proj!AO239/(1-tech_proj!AO519))</f>
        <v>115.08799861452907</v>
      </c>
      <c r="AP2139" s="121">
        <f>IF(tech_base!$T115&gt;AP$2025,"",fuel_costs!AH$11*0.086/tech_proj!AP239/(1-tech_proj!AP519))</f>
        <v>115.42505263654239</v>
      </c>
      <c r="AQ2139" s="121">
        <f>IF(tech_base!$T115&gt;AQ$2025,"",fuel_costs!AI$11*0.086/tech_proj!AQ239/(1-tech_proj!AQ519))</f>
        <v>115.8277883561031</v>
      </c>
      <c r="AR2139" s="121">
        <f>IF(tech_base!$T115&gt;AR$2025,"",fuel_costs!AJ$11*0.086/tech_proj!AR239/(1-tech_proj!AR519))</f>
        <v>116.41896531706085</v>
      </c>
      <c r="AS2139" s="121">
        <f>IF(tech_base!$T115&gt;AS$2025,"",fuel_costs!AK$11*0.086/tech_proj!AS239/(1-tech_proj!AS519))</f>
        <v>117.15922669442747</v>
      </c>
      <c r="AT2139" s="121">
        <f>IF(tech_base!$T115&gt;AT$2025,"",fuel_costs!AL$11*0.086/tech_proj!AT239/(1-tech_proj!AT519))</f>
        <v>117.86047638148194</v>
      </c>
      <c r="AU2139" s="121">
        <f>IF(tech_base!$T115&gt;AU$2025,"",fuel_costs!AM$11*0.086/tech_proj!AU239/(1-tech_proj!AU519))</f>
        <v>118.49454289614181</v>
      </c>
      <c r="AV2139" s="121">
        <f>IF(tech_base!$T115&gt;AV$2025,"",fuel_costs!AN$11*0.086/tech_proj!AV239/(1-tech_proj!AV519))</f>
        <v>119.00689989875245</v>
      </c>
      <c r="AW2139" s="121">
        <f>IF(tech_base!$T115&gt;AW$2025,"",fuel_costs!AO$11*0.086/tech_proj!AW239/(1-tech_proj!AW519))</f>
        <v>119.00649586883695</v>
      </c>
      <c r="AX2139" s="122">
        <f>IF(tech_base!$T115&gt;AX$2025,"",fuel_costs!AP$11*0.086/tech_proj!AX239/(1-tech_proj!AX519))</f>
        <v>119.03846785805089</v>
      </c>
    </row>
    <row r="2140" spans="1:50" x14ac:dyDescent="0.25">
      <c r="A2140" s="356"/>
      <c r="B2140" s="376"/>
      <c r="C2140" s="379"/>
      <c r="D2140" s="59" t="s">
        <v>20</v>
      </c>
      <c r="E2140" s="76" t="str">
        <f>A2109&amp;"/"&amp;B2139&amp;"/"&amp;C2139&amp;"/"&amp;D2140</f>
        <v>Gas fired power plants (Natural gas, biogas)/Internal combustion engine/Electricity only/XS</v>
      </c>
      <c r="F2140" s="76" t="str">
        <f>A2109</f>
        <v>Gas fired power plants (Natural gas, biogas)</v>
      </c>
      <c r="G2140" s="76" t="str">
        <f>B2139</f>
        <v>Internal combustion engine</v>
      </c>
      <c r="H2140" s="76" t="str">
        <f>C2139</f>
        <v>Electricity only</v>
      </c>
      <c r="I2140" s="76" t="str">
        <f t="shared" si="388"/>
        <v>XS</v>
      </c>
      <c r="J2140" s="119">
        <f>IF(tech_base!$T116&gt;J$2025,"",fuel_costs!B$11*0.086/tech_proj!J240/(1-tech_proj!J520))</f>
        <v>83.974210907731475</v>
      </c>
      <c r="K2140" s="119">
        <f>IF(tech_base!$T116&gt;K$2025,"",fuel_costs!C$11*0.086/tech_proj!K240/(1-tech_proj!K520))</f>
        <v>96.112320377996099</v>
      </c>
      <c r="L2140" s="119">
        <f>IF(tech_base!$T116&gt;L$2025,"",fuel_costs!D$11*0.086/tech_proj!L240/(1-tech_proj!L520))</f>
        <v>107.56226191634559</v>
      </c>
      <c r="M2140" s="119">
        <f>IF(tech_base!$T116&gt;M$2025,"",fuel_costs!E$11*0.086/tech_proj!M240/(1-tech_proj!M520))</f>
        <v>105.1028800608734</v>
      </c>
      <c r="N2140" s="119">
        <f>IF(tech_base!$T116&gt;N$2025,"",fuel_costs!F$11*0.086/tech_proj!N240/(1-tech_proj!N520))</f>
        <v>88.506041061049061</v>
      </c>
      <c r="O2140" s="119">
        <f>IF(tech_base!$T116&gt;O$2025,"",fuel_costs!G$11*0.086/tech_proj!O240/(1-tech_proj!O520))</f>
        <v>74.447083611018371</v>
      </c>
      <c r="P2140" s="119">
        <f>IF(tech_base!$T116&gt;P$2025,"",fuel_costs!H$11*0.086/tech_proj!P240/(1-tech_proj!P520))</f>
        <v>50.271513508500647</v>
      </c>
      <c r="Q2140" s="119">
        <f>IF(tech_base!$T116&gt;Q$2025,"",fuel_costs!I$11*0.086/tech_proj!Q240/(1-tech_proj!Q520))</f>
        <v>59.195255859134988</v>
      </c>
      <c r="R2140" s="119">
        <f>IF(tech_base!$T116&gt;R$2025,"",fuel_costs!J$11*0.086/tech_proj!R240/(1-tech_proj!R520))</f>
        <v>65.427939112310071</v>
      </c>
      <c r="S2140" s="119">
        <f>IF(tech_base!$T116&gt;S$2025,"",fuel_costs!K$11*0.086/tech_proj!S240/(1-tech_proj!S520))</f>
        <v>71.716886805842222</v>
      </c>
      <c r="T2140" s="119">
        <f>IF(tech_base!$T116&gt;T$2025,"",fuel_costs!L$11*0.086/tech_proj!T240/(1-tech_proj!T520))</f>
        <v>77.937050469248462</v>
      </c>
      <c r="U2140" s="119">
        <f>IF(tech_base!$T116&gt;U$2025,"",fuel_costs!M$11*0.086/tech_proj!U240/(1-tech_proj!U520))</f>
        <v>84.006233199111094</v>
      </c>
      <c r="V2140" s="119">
        <f>IF(tech_base!$T116&gt;V$2025,"",fuel_costs!N$11*0.086/tech_proj!V240/(1-tech_proj!V520))</f>
        <v>87.967699428343153</v>
      </c>
      <c r="W2140" s="119">
        <f>IF(tech_base!$T116&gt;W$2025,"",fuel_costs!O$11*0.086/tech_proj!W240/(1-tech_proj!W520))</f>
        <v>92.658276822966997</v>
      </c>
      <c r="X2140" s="119">
        <f>IF(tech_base!$T116&gt;X$2025,"",fuel_costs!P$11*0.086/tech_proj!X240/(1-tech_proj!X520))</f>
        <v>97.092885261711871</v>
      </c>
      <c r="Y2140" s="119">
        <f>IF(tech_base!$T116&gt;Y$2025,"",fuel_costs!Q$11*0.086/tech_proj!Y240/(1-tech_proj!Y520))</f>
        <v>101.27664312146639</v>
      </c>
      <c r="Z2140" s="119">
        <f>IF(tech_base!$T116&gt;Z$2025,"",fuel_costs!R$11*0.086/tech_proj!Z240/(1-tech_proj!Z520))</f>
        <v>102.79499800250296</v>
      </c>
      <c r="AA2140" s="119">
        <f>IF(tech_base!$T116&gt;AA$2025,"",fuel_costs!S$11*0.086/tech_proj!AA240/(1-tech_proj!AA520))</f>
        <v>104.2191846570464</v>
      </c>
      <c r="AB2140" s="119">
        <f>IF(tech_base!$T116&gt;AB$2025,"",fuel_costs!T$11*0.086/tech_proj!AB240/(1-tech_proj!AB520))</f>
        <v>105.79611212316681</v>
      </c>
      <c r="AC2140" s="119">
        <f>IF(tech_base!$T116&gt;AC$2025,"",fuel_costs!U$11*0.086/tech_proj!AC240/(1-tech_proj!AC520))</f>
        <v>107.37573659248156</v>
      </c>
      <c r="AD2140" s="119">
        <f>IF(tech_base!$T116&gt;AD$2025,"",fuel_costs!V$11*0.086/tech_proj!AD240/(1-tech_proj!AD520))</f>
        <v>109.65838723348173</v>
      </c>
      <c r="AE2140" s="119">
        <f>IF(tech_base!$T116&gt;AE$2025,"",fuel_costs!W$11*0.086/tech_proj!AE240/(1-tech_proj!AE520))</f>
        <v>111.11995574317211</v>
      </c>
      <c r="AF2140" s="119">
        <f>IF(tech_base!$T116&gt;AF$2025,"",fuel_costs!X$11*0.086/tech_proj!AF240/(1-tech_proj!AF520))</f>
        <v>112.784123898212</v>
      </c>
      <c r="AG2140" s="119">
        <f>IF(tech_base!$T116&gt;AG$2025,"",fuel_costs!Y$11*0.086/tech_proj!AG240/(1-tech_proj!AG520))</f>
        <v>114.27916628629156</v>
      </c>
      <c r="AH2140" s="119">
        <f>IF(tech_base!$T116&gt;AH$2025,"",fuel_costs!Z$11*0.086/tech_proj!AH240/(1-tech_proj!AH520))</f>
        <v>115.63983432061907</v>
      </c>
      <c r="AI2140" s="119">
        <f>IF(tech_base!$T116&gt;AI$2025,"",fuel_costs!AA$11*0.086/tech_proj!AI240/(1-tech_proj!AI520))</f>
        <v>116.79524782422872</v>
      </c>
      <c r="AJ2140" s="119">
        <f>IF(tech_base!$T116&gt;AJ$2025,"",fuel_costs!AB$11*0.086/tech_proj!AJ240/(1-tech_proj!AJ520))</f>
        <v>117.88724732153671</v>
      </c>
      <c r="AK2140" s="119">
        <f>IF(tech_base!$T116&gt;AK$2025,"",fuel_costs!AC$11*0.086/tech_proj!AK240/(1-tech_proj!AK520))</f>
        <v>118.78547282277296</v>
      </c>
      <c r="AL2140" s="119">
        <f>IF(tech_base!$T116&gt;AL$2025,"",fuel_costs!AD$11*0.086/tech_proj!AL240/(1-tech_proj!AL520))</f>
        <v>119.65985817021338</v>
      </c>
      <c r="AM2140" s="119">
        <f>IF(tech_base!$T116&gt;AM$2025,"",fuel_costs!AE$11*0.086/tech_proj!AM240/(1-tech_proj!AM520))</f>
        <v>120.62624895406897</v>
      </c>
      <c r="AN2140" s="119">
        <f>IF(tech_base!$T116&gt;AN$2025,"",fuel_costs!AF$11*0.086/tech_proj!AN240/(1-tech_proj!AN520))</f>
        <v>120.68221389410574</v>
      </c>
      <c r="AO2140" s="119">
        <f>IF(tech_base!$T116&gt;AO$2025,"",fuel_costs!AG$11*0.086/tech_proj!AO240/(1-tech_proj!AO520))</f>
        <v>121.02133468290924</v>
      </c>
      <c r="AP2140" s="119">
        <f>IF(tech_base!$T116&gt;AP$2025,"",fuel_costs!AH$11*0.086/tech_proj!AP240/(1-tech_proj!AP520))</f>
        <v>121.37728791218245</v>
      </c>
      <c r="AQ2140" s="119">
        <f>IF(tech_base!$T116&gt;AQ$2025,"",fuel_costs!AI$11*0.086/tech_proj!AQ240/(1-tech_proj!AQ520))</f>
        <v>121.80234933486095</v>
      </c>
      <c r="AR2140" s="119">
        <f>IF(tech_base!$T116&gt;AR$2025,"",fuel_costs!AJ$11*0.086/tech_proj!AR240/(1-tech_proj!AR520))</f>
        <v>122.42561339374168</v>
      </c>
      <c r="AS2140" s="119">
        <f>IF(tech_base!$T116&gt;AS$2025,"",fuel_costs!AK$11*0.086/tech_proj!AS240/(1-tech_proj!AS520))</f>
        <v>123.20569814895912</v>
      </c>
      <c r="AT2140" s="119">
        <f>IF(tech_base!$T116&gt;AT$2025,"",fuel_costs!AL$11*0.086/tech_proj!AT240/(1-tech_proj!AT520))</f>
        <v>123.94480171739126</v>
      </c>
      <c r="AU2140" s="119">
        <f>IF(tech_base!$T116&gt;AU$2025,"",fuel_costs!AM$11*0.086/tech_proj!AU240/(1-tech_proj!AU520))</f>
        <v>124.61329403176671</v>
      </c>
      <c r="AV2140" s="119">
        <f>IF(tech_base!$T116&gt;AV$2025,"",fuel_costs!AN$11*0.086/tech_proj!AV240/(1-tech_proj!AV520))</f>
        <v>125.15382688864341</v>
      </c>
      <c r="AW2140" s="119">
        <f>IF(tech_base!$T116&gt;AW$2025,"",fuel_costs!AO$11*0.086/tech_proj!AW240/(1-tech_proj!AW520))</f>
        <v>125.15513627535525</v>
      </c>
      <c r="AX2140" s="120">
        <f>IF(tech_base!$T116&gt;AX$2025,"",fuel_costs!AP$11*0.086/tech_proj!AX240/(1-tech_proj!AX520))</f>
        <v>125.19050663757776</v>
      </c>
    </row>
    <row r="2141" spans="1:50" x14ac:dyDescent="0.25">
      <c r="A2141" s="356"/>
      <c r="B2141" s="376"/>
      <c r="C2141" s="361" t="s">
        <v>14</v>
      </c>
      <c r="D2141" s="2" t="s">
        <v>10</v>
      </c>
      <c r="E2141" s="78" t="str">
        <f>A2109&amp;"/"&amp;B2139&amp;"/"&amp;C2141&amp;"/"&amp;D2141</f>
        <v>Gas fired power plants (Natural gas, biogas)/Internal combustion engine/CHP/S</v>
      </c>
      <c r="F2141" s="78" t="str">
        <f>A2109</f>
        <v>Gas fired power plants (Natural gas, biogas)</v>
      </c>
      <c r="G2141" s="78" t="str">
        <f>B2139</f>
        <v>Internal combustion engine</v>
      </c>
      <c r="H2141" s="78" t="str">
        <f>C2141</f>
        <v>CHP</v>
      </c>
      <c r="I2141" s="78" t="str">
        <f t="shared" si="388"/>
        <v>S</v>
      </c>
      <c r="J2141" s="123">
        <f>IF(tech_base!$T117&gt;J$2025,"",fuel_costs!B$11*0.086/tech_proj!J241/(1-tech_proj!J521))</f>
        <v>88.081412990709296</v>
      </c>
      <c r="K2141" s="123">
        <f>IF(tech_base!$T117&gt;K$2025,"",fuel_costs!C$11*0.086/tech_proj!K241/(1-tech_proj!K521))</f>
        <v>100.81354423737042</v>
      </c>
      <c r="L2141" s="123">
        <f>IF(tech_base!$T117&gt;L$2025,"",fuel_costs!D$11*0.086/tech_proj!L241/(1-tech_proj!L521))</f>
        <v>112.82394845602373</v>
      </c>
      <c r="M2141" s="123">
        <f>IF(tech_base!$T117&gt;M$2025,"",fuel_costs!E$11*0.086/tech_proj!M241/(1-tech_proj!M521))</f>
        <v>110.24467013673956</v>
      </c>
      <c r="N2141" s="123">
        <f>IF(tech_base!$T117&gt;N$2025,"",fuel_costs!F$11*0.086/tech_proj!N241/(1-tech_proj!N521))</f>
        <v>92.836250278735079</v>
      </c>
      <c r="O2141" s="123">
        <f>IF(tech_base!$T117&gt;O$2025,"",fuel_costs!G$11*0.086/tech_proj!O241/(1-tech_proj!O521))</f>
        <v>78.089767751910358</v>
      </c>
      <c r="P2141" s="123">
        <f>IF(tech_base!$T117&gt;P$2025,"",fuel_costs!H$11*0.086/tech_proj!P241/(1-tech_proj!P521))</f>
        <v>52.731514749756386</v>
      </c>
      <c r="Q2141" s="123">
        <f>IF(tech_base!$T117&gt;Q$2025,"",fuel_costs!I$11*0.086/tech_proj!Q241/(1-tech_proj!Q521))</f>
        <v>62.092209519605476</v>
      </c>
      <c r="R2141" s="123">
        <f>IF(tech_base!$T117&gt;R$2025,"",fuel_costs!J$11*0.086/tech_proj!R241/(1-tech_proj!R521))</f>
        <v>68.630231403310574</v>
      </c>
      <c r="S2141" s="123">
        <f>IF(tech_base!$T117&gt;S$2025,"",fuel_costs!K$11*0.086/tech_proj!S241/(1-tech_proj!S521))</f>
        <v>75.227347420871112</v>
      </c>
      <c r="T2141" s="123">
        <f>IF(tech_base!$T117&gt;T$2025,"",fuel_costs!L$11*0.086/tech_proj!T241/(1-tech_proj!T521))</f>
        <v>81.752392844777447</v>
      </c>
      <c r="U2141" s="123">
        <f>IF(tech_base!$T117&gt;U$2025,"",fuel_costs!M$11*0.086/tech_proj!U241/(1-tech_proj!U521))</f>
        <v>88.119150014064601</v>
      </c>
      <c r="V2141" s="123">
        <f>IF(tech_base!$T117&gt;V$2025,"",fuel_costs!N$11*0.086/tech_proj!V241/(1-tech_proj!V521))</f>
        <v>92.275073261178719</v>
      </c>
      <c r="W2141" s="123">
        <f>IF(tech_base!$T117&gt;W$2025,"",fuel_costs!O$11*0.086/tech_proj!W241/(1-tech_proj!W521))</f>
        <v>97.195880727363487</v>
      </c>
      <c r="X2141" s="123">
        <f>IF(tech_base!$T117&gt;X$2025,"",fuel_costs!P$11*0.086/tech_proj!X241/(1-tech_proj!X521))</f>
        <v>101.84826256476603</v>
      </c>
      <c r="Y2141" s="123">
        <f>IF(tech_base!$T117&gt;Y$2025,"",fuel_costs!Q$11*0.086/tech_proj!Y241/(1-tech_proj!Y521))</f>
        <v>106.23758707527121</v>
      </c>
      <c r="Z2141" s="123">
        <f>IF(tech_base!$T117&gt;Z$2025,"",fuel_costs!R$11*0.086/tech_proj!Z241/(1-tech_proj!Z521))</f>
        <v>107.831009968115</v>
      </c>
      <c r="AA2141" s="123">
        <f>IF(tech_base!$T117&gt;AA$2025,"",fuel_costs!S$11*0.086/tech_proj!AA241/(1-tech_proj!AA521))</f>
        <v>109.32569890532434</v>
      </c>
      <c r="AB2141" s="123">
        <f>IF(tech_base!$T117&gt;AB$2025,"",fuel_costs!T$11*0.086/tech_proj!AB241/(1-tech_proj!AB521))</f>
        <v>110.98066257758822</v>
      </c>
      <c r="AC2141" s="123">
        <f>IF(tech_base!$T117&gt;AC$2025,"",fuel_costs!U$11*0.086/tech_proj!AC241/(1-tech_proj!AC521))</f>
        <v>112.63850842812339</v>
      </c>
      <c r="AD2141" s="123">
        <f>IF(tech_base!$T117&gt;AD$2025,"",fuel_costs!V$11*0.086/tech_proj!AD241/(1-tech_proj!AD521))</f>
        <v>115.0338981546281</v>
      </c>
      <c r="AE2141" s="123">
        <f>IF(tech_base!$T117&gt;AE$2025,"",fuel_costs!W$11*0.086/tech_proj!AE241/(1-tech_proj!AE521))</f>
        <v>116.56801760020689</v>
      </c>
      <c r="AF2141" s="123">
        <f>IF(tech_base!$T117&gt;AF$2025,"",fuel_costs!X$11*0.086/tech_proj!AF241/(1-tech_proj!AF521))</f>
        <v>118.31472871680391</v>
      </c>
      <c r="AG2141" s="123">
        <f>IF(tech_base!$T117&gt;AG$2025,"",fuel_costs!Y$11*0.086/tech_proj!AG241/(1-tech_proj!AG521))</f>
        <v>119.88408164304101</v>
      </c>
      <c r="AH2141" s="123">
        <f>IF(tech_base!$T117&gt;AH$2025,"",fuel_costs!Z$11*0.086/tech_proj!AH241/(1-tech_proj!AH521))</f>
        <v>121.31252989673285</v>
      </c>
      <c r="AI2141" s="123">
        <f>IF(tech_base!$T117&gt;AI$2025,"",fuel_costs!AA$11*0.086/tech_proj!AI241/(1-tech_proj!AI521))</f>
        <v>122.52571361051612</v>
      </c>
      <c r="AJ2141" s="123">
        <f>IF(tech_base!$T117&gt;AJ$2025,"",fuel_costs!AB$11*0.086/tech_proj!AJ241/(1-tech_proj!AJ521))</f>
        <v>123.67242958721583</v>
      </c>
      <c r="AK2141" s="123">
        <f>IF(tech_base!$T117&gt;AK$2025,"",fuel_costs!AC$11*0.086/tech_proj!AK241/(1-tech_proj!AK521))</f>
        <v>124.61591865762394</v>
      </c>
      <c r="AL2141" s="123">
        <f>IF(tech_base!$T117&gt;AL$2025,"",fuel_costs!AD$11*0.086/tech_proj!AL241/(1-tech_proj!AL521))</f>
        <v>125.53445255967208</v>
      </c>
      <c r="AM2141" s="123">
        <f>IF(tech_base!$T117&gt;AM$2025,"",fuel_costs!AE$11*0.086/tech_proj!AM241/(1-tech_proj!AM521))</f>
        <v>126.54956550990605</v>
      </c>
      <c r="AN2141" s="123">
        <f>IF(tech_base!$T117&gt;AN$2025,"",fuel_costs!AF$11*0.086/tech_proj!AN241/(1-tech_proj!AN521))</f>
        <v>126.60959487332167</v>
      </c>
      <c r="AO2141" s="123">
        <f>IF(tech_base!$T117&gt;AO$2025,"",fuel_costs!AG$11*0.086/tech_proj!AO241/(1-tech_proj!AO521))</f>
        <v>126.96672918699386</v>
      </c>
      <c r="AP2141" s="123">
        <f>IF(tech_base!$T117&gt;AP$2025,"",fuel_costs!AH$11*0.086/tech_proj!AP241/(1-tech_proj!AP521))</f>
        <v>127.34156772484397</v>
      </c>
      <c r="AQ2141" s="123">
        <f>IF(tech_base!$T117&gt;AQ$2025,"",fuel_costs!AI$11*0.086/tech_proj!AQ241/(1-tech_proj!AQ521))</f>
        <v>127.78895587001352</v>
      </c>
      <c r="AR2141" s="123">
        <f>IF(tech_base!$T117&gt;AR$2025,"",fuel_costs!AJ$11*0.086/tech_proj!AR241/(1-tech_proj!AR521))</f>
        <v>128.44433664823168</v>
      </c>
      <c r="AS2141" s="123">
        <f>IF(tech_base!$T117&gt;AS$2025,"",fuel_costs!AK$11*0.086/tech_proj!AS241/(1-tech_proj!AS521))</f>
        <v>129.26429989247595</v>
      </c>
      <c r="AT2141" s="123">
        <f>IF(tech_base!$T117&gt;AT$2025,"",fuel_costs!AL$11*0.086/tech_proj!AT241/(1-tech_proj!AT521))</f>
        <v>130.04131961045255</v>
      </c>
      <c r="AU2141" s="123">
        <f>IF(tech_base!$T117&gt;AU$2025,"",fuel_costs!AM$11*0.086/tech_proj!AU241/(1-tech_proj!AU521))</f>
        <v>130.74430548913693</v>
      </c>
      <c r="AV2141" s="123">
        <f>IF(tech_base!$T117&gt;AV$2025,"",fuel_costs!AN$11*0.086/tech_proj!AV241/(1-tech_proj!AV521))</f>
        <v>131.31308307183969</v>
      </c>
      <c r="AW2141" s="123">
        <f>IF(tech_base!$T117&gt;AW$2025,"",fuel_costs!AO$11*0.086/tech_proj!AW241/(1-tech_proj!AW521))</f>
        <v>131.31613644217109</v>
      </c>
      <c r="AX2141" s="124">
        <f>IF(tech_base!$T117&gt;AX$2025,"",fuel_costs!AP$11*0.086/tech_proj!AX241/(1-tech_proj!AX521))</f>
        <v>131.35495494050636</v>
      </c>
    </row>
    <row r="2142" spans="1:50" x14ac:dyDescent="0.25">
      <c r="A2142" s="356"/>
      <c r="B2142" s="380"/>
      <c r="C2142" s="381"/>
      <c r="D2142" s="4" t="s">
        <v>20</v>
      </c>
      <c r="E2142" s="80" t="str">
        <f>A2109&amp;"/"&amp;B2139&amp;"/"&amp;C2141&amp;"/"&amp;D2142</f>
        <v>Gas fired power plants (Natural gas, biogas)/Internal combustion engine/CHP/XS</v>
      </c>
      <c r="F2142" s="80" t="str">
        <f>A2109</f>
        <v>Gas fired power plants (Natural gas, biogas)</v>
      </c>
      <c r="G2142" s="80" t="str">
        <f>B2139</f>
        <v>Internal combustion engine</v>
      </c>
      <c r="H2142" s="80" t="str">
        <f>C2141</f>
        <v>CHP</v>
      </c>
      <c r="I2142" s="80" t="str">
        <f t="shared" si="388"/>
        <v>XS</v>
      </c>
      <c r="J2142" s="127">
        <f>IF(tech_base!$T118&gt;J$2025,"",fuel_costs!B$11*0.086/tech_proj!J242/(1-tech_proj!J522))</f>
        <v>92.611045040669694</v>
      </c>
      <c r="K2142" s="127">
        <f>IF(tech_base!$T118&gt;K$2025,"",fuel_costs!C$11*0.086/tech_proj!K242/(1-tech_proj!K522))</f>
        <v>105.99793269734955</v>
      </c>
      <c r="L2142" s="127">
        <f>IF(tech_base!$T118&gt;L$2025,"",fuel_costs!D$11*0.086/tech_proj!L242/(1-tech_proj!L522))</f>
        <v>118.6259781417122</v>
      </c>
      <c r="M2142" s="127">
        <f>IF(tech_base!$T118&gt;M$2025,"",fuel_costs!E$11*0.086/tech_proj!M242/(1-tech_proj!M522))</f>
        <v>115.91405910579888</v>
      </c>
      <c r="N2142" s="127">
        <f>IF(tech_base!$T118&gt;N$2025,"",fuel_costs!F$11*0.086/tech_proj!N242/(1-tech_proj!N522))</f>
        <v>97.61040228632217</v>
      </c>
      <c r="O2142" s="127">
        <f>IF(tech_base!$T118&gt;O$2025,"",fuel_costs!G$11*0.086/tech_proj!O242/(1-tech_proj!O522))</f>
        <v>82.105574296933924</v>
      </c>
      <c r="P2142" s="127">
        <f>IF(tech_base!$T118&gt;P$2025,"",fuel_costs!H$11*0.086/tech_proj!P242/(1-tech_proj!P522))</f>
        <v>55.443260067450694</v>
      </c>
      <c r="Q2142" s="127">
        <f>IF(tech_base!$T118&gt;Q$2025,"",fuel_costs!I$11*0.086/tech_proj!Q242/(1-tech_proj!Q522))</f>
        <v>65.285333389252358</v>
      </c>
      <c r="R2142" s="127">
        <f>IF(tech_base!$T118&gt;R$2025,"",fuel_costs!J$11*0.086/tech_proj!R242/(1-tech_proj!R522))</f>
        <v>72.159576417262869</v>
      </c>
      <c r="S2142" s="127">
        <f>IF(tech_base!$T118&gt;S$2025,"",fuel_costs!K$11*0.086/tech_proj!S242/(1-tech_proj!S522))</f>
        <v>79.095952525412585</v>
      </c>
      <c r="T2142" s="127">
        <f>IF(tech_base!$T118&gt;T$2025,"",fuel_costs!L$11*0.086/tech_proj!T242/(1-tech_proj!T522))</f>
        <v>85.956551772492588</v>
      </c>
      <c r="U2142" s="127">
        <f>IF(tech_base!$T118&gt;U$2025,"",fuel_costs!M$11*0.086/tech_proj!U242/(1-tech_proj!U522))</f>
        <v>92.650722709896314</v>
      </c>
      <c r="V2142" s="127">
        <f>IF(tech_base!$T118&gt;V$2025,"",fuel_costs!N$11*0.086/tech_proj!V242/(1-tech_proj!V522))</f>
        <v>97.02036645147264</v>
      </c>
      <c r="W2142" s="127">
        <f>IF(tech_base!$T118&gt;W$2025,"",fuel_costs!O$11*0.086/tech_proj!W242/(1-tech_proj!W522))</f>
        <v>102.19422897721762</v>
      </c>
      <c r="X2142" s="127">
        <f>IF(tech_base!$T118&gt;X$2025,"",fuel_costs!P$11*0.086/tech_proj!X242/(1-tech_proj!X522))</f>
        <v>107.08586194790496</v>
      </c>
      <c r="Y2142" s="127">
        <f>IF(tech_base!$T118&gt;Y$2025,"",fuel_costs!Q$11*0.086/tech_proj!Y242/(1-tech_proj!Y522))</f>
        <v>111.70090973311009</v>
      </c>
      <c r="Z2142" s="127">
        <f>IF(tech_base!$T118&gt;Z$2025,"",fuel_costs!R$11*0.086/tech_proj!Z242/(1-tech_proj!Z522))</f>
        <v>113.37627521928316</v>
      </c>
      <c r="AA2142" s="127">
        <f>IF(tech_base!$T118&gt;AA$2025,"",fuel_costs!S$11*0.086/tech_proj!AA242/(1-tech_proj!AA522))</f>
        <v>114.94782930527727</v>
      </c>
      <c r="AB2142" s="127">
        <f>IF(tech_base!$T118&gt;AB$2025,"",fuel_costs!T$11*0.086/tech_proj!AB242/(1-tech_proj!AB522))</f>
        <v>116.68790033716304</v>
      </c>
      <c r="AC2142" s="127">
        <f>IF(tech_base!$T118&gt;AC$2025,"",fuel_costs!U$11*0.086/tech_proj!AC242/(1-tech_proj!AC522))</f>
        <v>118.43100176482291</v>
      </c>
      <c r="AD2142" s="127">
        <f>IF(tech_base!$T118&gt;AD$2025,"",fuel_costs!V$11*0.086/tech_proj!AD242/(1-tech_proj!AD522))</f>
        <v>120.94957564231829</v>
      </c>
      <c r="AE2142" s="127">
        <f>IF(tech_base!$T118&gt;AE$2025,"",fuel_costs!W$11*0.086/tech_proj!AE242/(1-tech_proj!AE522))</f>
        <v>122.56258797089265</v>
      </c>
      <c r="AF2142" s="127">
        <f>IF(tech_base!$T118&gt;AF$2025,"",fuel_costs!X$11*0.086/tech_proj!AF242/(1-tech_proj!AF522))</f>
        <v>124.39912460671235</v>
      </c>
      <c r="AG2142" s="127">
        <f>IF(tech_base!$T118&gt;AG$2025,"",fuel_costs!Y$11*0.086/tech_proj!AG242/(1-tech_proj!AG522))</f>
        <v>126.04918231584314</v>
      </c>
      <c r="AH2142" s="127">
        <f>IF(tech_base!$T118&gt;AH$2025,"",fuel_costs!Z$11*0.086/tech_proj!AH242/(1-tech_proj!AH522))</f>
        <v>127.55108925703713</v>
      </c>
      <c r="AI2142" s="127">
        <f>IF(tech_base!$T118&gt;AI$2025,"",fuel_costs!AA$11*0.086/tech_proj!AI242/(1-tech_proj!AI522))</f>
        <v>128.82666156843547</v>
      </c>
      <c r="AJ2142" s="127">
        <f>IF(tech_base!$T118&gt;AJ$2025,"",fuel_costs!AB$11*0.086/tech_proj!AJ242/(1-tech_proj!AJ522))</f>
        <v>130.03234800512095</v>
      </c>
      <c r="AK2142" s="127">
        <f>IF(tech_base!$T118&gt;AK$2025,"",fuel_costs!AC$11*0.086/tech_proj!AK242/(1-tech_proj!AK522))</f>
        <v>131.02435648713936</v>
      </c>
      <c r="AL2142" s="127">
        <f>IF(tech_base!$T118&gt;AL$2025,"",fuel_costs!AD$11*0.086/tech_proj!AL242/(1-tech_proj!AL522))</f>
        <v>131.99012646840578</v>
      </c>
      <c r="AM2142" s="127">
        <f>IF(tech_base!$T118&gt;AM$2025,"",fuel_costs!AE$11*0.086/tech_proj!AM242/(1-tech_proj!AM522))</f>
        <v>133.05744212517669</v>
      </c>
      <c r="AN2142" s="127">
        <f>IF(tech_base!$T118&gt;AN$2025,"",fuel_costs!AF$11*0.086/tech_proj!AN242/(1-tech_proj!AN522))</f>
        <v>133.1205585295381</v>
      </c>
      <c r="AO2142" s="127">
        <f>IF(tech_base!$T118&gt;AO$2025,"",fuel_costs!AG$11*0.086/tech_proj!AO242/(1-tech_proj!AO522))</f>
        <v>133.49605865931636</v>
      </c>
      <c r="AP2142" s="127">
        <f>IF(tech_base!$T118&gt;AP$2025,"",fuel_costs!AH$11*0.086/tech_proj!AP242/(1-tech_proj!AP522))</f>
        <v>133.89017346212358</v>
      </c>
      <c r="AQ2142" s="127">
        <f>IF(tech_base!$T118&gt;AQ$2025,"",fuel_costs!AI$11*0.086/tech_proj!AQ242/(1-tech_proj!AQ522))</f>
        <v>134.36056877319027</v>
      </c>
      <c r="AR2142" s="127">
        <f>IF(tech_base!$T118&gt;AR$2025,"",fuel_costs!AJ$11*0.086/tech_proj!AR242/(1-tech_proj!AR522))</f>
        <v>135.04965284563528</v>
      </c>
      <c r="AS2142" s="127">
        <f>IF(tech_base!$T118&gt;AS$2025,"",fuel_costs!AK$11*0.086/tech_proj!AS242/(1-tech_proj!AS522))</f>
        <v>135.91178312222848</v>
      </c>
      <c r="AT2142" s="127">
        <f>IF(tech_base!$T118&gt;AT$2025,"",fuel_costs!AL$11*0.086/tech_proj!AT242/(1-tech_proj!AT522))</f>
        <v>136.7287614795876</v>
      </c>
      <c r="AU2142" s="127">
        <f>IF(tech_base!$T118&gt;AU$2025,"",fuel_costs!AM$11*0.086/tech_proj!AU242/(1-tech_proj!AU522))</f>
        <v>137.46789876932047</v>
      </c>
      <c r="AV2142" s="127">
        <f>IF(tech_base!$T118&gt;AV$2025,"",fuel_costs!AN$11*0.086/tech_proj!AV242/(1-tech_proj!AV522))</f>
        <v>138.06592603229555</v>
      </c>
      <c r="AW2142" s="127">
        <f>IF(tech_base!$T118&gt;AW$2025,"",fuel_costs!AO$11*0.086/tech_proj!AW242/(1-tech_proj!AW522))</f>
        <v>138.06913642376955</v>
      </c>
      <c r="AX2142" s="128">
        <f>IF(tech_base!$T118&gt;AX$2025,"",fuel_costs!AP$11*0.086/tech_proj!AX242/(1-tech_proj!AX522))</f>
        <v>138.10995118338425</v>
      </c>
    </row>
    <row r="2143" spans="1:50" x14ac:dyDescent="0.25">
      <c r="A2143" s="355" t="s">
        <v>26</v>
      </c>
      <c r="B2143" s="358" t="s">
        <v>19</v>
      </c>
      <c r="C2143" s="353" t="s">
        <v>6</v>
      </c>
      <c r="D2143" s="3" t="s">
        <v>7</v>
      </c>
      <c r="E2143" s="77" t="str">
        <f>A2143&amp;"/"&amp;B2143&amp;"/"&amp;C2143&amp;"/"&amp;D2143</f>
        <v>Derived gas fired power plants/Steam turbine/Electricity only/L</v>
      </c>
      <c r="F2143" s="77" t="str">
        <f>A2143</f>
        <v>Derived gas fired power plants</v>
      </c>
      <c r="G2143" s="77" t="str">
        <f>B2143</f>
        <v>Steam turbine</v>
      </c>
      <c r="H2143" s="77" t="str">
        <f>C2143</f>
        <v>Electricity only</v>
      </c>
      <c r="I2143" s="77" t="str">
        <f t="shared" si="388"/>
        <v>L</v>
      </c>
      <c r="J2143" s="121">
        <f>IF(tech_base!$T119&gt;J$2025,"",fuel_costs!B$12*0.086/tech_proj!J243/(1-tech_proj!J523))</f>
        <v>10.249284077150945</v>
      </c>
      <c r="K2143" s="121">
        <f>IF(tech_base!$T119&gt;K$2025,"",fuel_costs!C$12*0.086/tech_proj!K243/(1-tech_proj!K523))</f>
        <v>11.96427745270767</v>
      </c>
      <c r="L2143" s="121">
        <f>IF(tech_base!$T119&gt;L$2025,"",fuel_costs!D$12*0.086/tech_proj!L243/(1-tech_proj!L523))</f>
        <v>10.806600354419274</v>
      </c>
      <c r="M2143" s="121">
        <f>IF(tech_base!$T119&gt;M$2025,"",fuel_costs!E$12*0.086/tech_proj!M243/(1-tech_proj!M523))</f>
        <v>10.190983949535296</v>
      </c>
      <c r="N2143" s="121">
        <f>IF(tech_base!$T119&gt;N$2025,"",fuel_costs!F$12*0.086/tech_proj!N243/(1-tech_proj!N523))</f>
        <v>10.005391581109617</v>
      </c>
      <c r="O2143" s="121">
        <f>IF(tech_base!$T119&gt;O$2025,"",fuel_costs!G$12*0.086/tech_proj!O243/(1-tech_proj!O523))</f>
        <v>9.7023742806292859</v>
      </c>
      <c r="P2143" s="121">
        <f>IF(tech_base!$T119&gt;P$2025,"",fuel_costs!H$12*0.086/tech_proj!P243/(1-tech_proj!P523))</f>
        <v>10.07152798474913</v>
      </c>
      <c r="Q2143" s="121">
        <f>IF(tech_base!$T119&gt;Q$2025,"",fuel_costs!I$12*0.086/tech_proj!Q243/(1-tech_proj!Q523))</f>
        <v>11.79663886603012</v>
      </c>
      <c r="R2143" s="121">
        <f>IF(tech_base!$T119&gt;R$2025,"",fuel_costs!J$12*0.086/tech_proj!R243/(1-tech_proj!R523))</f>
        <v>11.889524656845948</v>
      </c>
      <c r="S2143" s="121">
        <f>IF(tech_base!$T119&gt;S$2025,"",fuel_costs!K$12*0.086/tech_proj!S243/(1-tech_proj!S523))</f>
        <v>11.982290895678101</v>
      </c>
      <c r="T2143" s="121">
        <f>IF(tech_base!$T119&gt;T$2025,"",fuel_costs!L$12*0.086/tech_proj!T243/(1-tech_proj!T523))</f>
        <v>12.074941687366026</v>
      </c>
      <c r="U2143" s="121">
        <f>IF(tech_base!$T119&gt;U$2025,"",fuel_costs!M$12*0.086/tech_proj!U243/(1-tech_proj!U523))</f>
        <v>12.307652587967548</v>
      </c>
      <c r="V2143" s="121">
        <f>IF(tech_base!$T119&gt;V$2025,"",fuel_costs!N$12*0.086/tech_proj!V243/(1-tech_proj!V523))</f>
        <v>12.361955057824201</v>
      </c>
      <c r="W2143" s="121">
        <f>IF(tech_base!$T119&gt;W$2025,"",fuel_costs!O$12*0.086/tech_proj!W243/(1-tech_proj!W523))</f>
        <v>12.404799869975609</v>
      </c>
      <c r="X2143" s="121">
        <f>IF(tech_base!$T119&gt;X$2025,"",fuel_costs!P$12*0.086/tech_proj!X243/(1-tech_proj!X523))</f>
        <v>12.502495550933768</v>
      </c>
      <c r="Y2143" s="121">
        <f>IF(tech_base!$T119&gt;Y$2025,"",fuel_costs!Q$12*0.086/tech_proj!Y243/(1-tech_proj!Y523))</f>
        <v>12.609302270383203</v>
      </c>
      <c r="Z2143" s="121">
        <f>IF(tech_base!$T119&gt;Z$2025,"",fuel_costs!R$12*0.086/tech_proj!Z243/(1-tech_proj!Z523))</f>
        <v>12.931275956486775</v>
      </c>
      <c r="AA2143" s="121">
        <f>IF(tech_base!$T119&gt;AA$2025,"",fuel_costs!S$12*0.086/tech_proj!AA243/(1-tech_proj!AA523))</f>
        <v>13.255096095133458</v>
      </c>
      <c r="AB2143" s="121">
        <f>IF(tech_base!$T119&gt;AB$2025,"",fuel_costs!T$12*0.086/tech_proj!AB243/(1-tech_proj!AB523))</f>
        <v>13.59071217712423</v>
      </c>
      <c r="AC2143" s="121">
        <f>IF(tech_base!$T119&gt;AC$2025,"",fuel_costs!U$12*0.086/tech_proj!AC243/(1-tech_proj!AC523))</f>
        <v>13.931309721138131</v>
      </c>
      <c r="AD2143" s="121">
        <f>IF(tech_base!$T119&gt;AD$2025,"",fuel_costs!V$12*0.086/tech_proj!AD243/(1-tech_proj!AD523))</f>
        <v>14.30208611473687</v>
      </c>
      <c r="AE2143" s="121">
        <f>IF(tech_base!$T119&gt;AE$2025,"",fuel_costs!W$12*0.086/tech_proj!AE243/(1-tech_proj!AE523))</f>
        <v>14.446782601840972</v>
      </c>
      <c r="AF2143" s="121">
        <f>IF(tech_base!$T119&gt;AF$2025,"",fuel_costs!X$12*0.086/tech_proj!AF243/(1-tech_proj!AF523))</f>
        <v>14.625035467657883</v>
      </c>
      <c r="AG2143" s="121">
        <f>IF(tech_base!$T119&gt;AG$2025,"",fuel_costs!Y$12*0.086/tech_proj!AG243/(1-tech_proj!AG523))</f>
        <v>14.809760567099342</v>
      </c>
      <c r="AH2143" s="121">
        <f>IF(tech_base!$T119&gt;AH$2025,"",fuel_costs!Z$12*0.086/tech_proj!AH243/(1-tech_proj!AH523))</f>
        <v>14.98617063174572</v>
      </c>
      <c r="AI2143" s="121">
        <f>IF(tech_base!$T119&gt;AI$2025,"",fuel_costs!AA$12*0.086/tech_proj!AI243/(1-tech_proj!AI523))</f>
        <v>15.151723469364718</v>
      </c>
      <c r="AJ2143" s="121">
        <f>IF(tech_base!$T119&gt;AJ$2025,"",fuel_costs!AB$12*0.086/tech_proj!AJ243/(1-tech_proj!AJ523))</f>
        <v>15.284676884552427</v>
      </c>
      <c r="AK2143" s="121">
        <f>IF(tech_base!$T119&gt;AK$2025,"",fuel_costs!AC$12*0.086/tech_proj!AK243/(1-tech_proj!AK523))</f>
        <v>15.43266809245986</v>
      </c>
      <c r="AL2143" s="121">
        <f>IF(tech_base!$T119&gt;AL$2025,"",fuel_costs!AD$12*0.086/tech_proj!AL243/(1-tech_proj!AL523))</f>
        <v>15.591916149108432</v>
      </c>
      <c r="AM2143" s="121">
        <f>IF(tech_base!$T119&gt;AM$2025,"",fuel_costs!AE$12*0.086/tech_proj!AM243/(1-tech_proj!AM523))</f>
        <v>15.76075074274816</v>
      </c>
      <c r="AN2143" s="121">
        <f>IF(tech_base!$T119&gt;AN$2025,"",fuel_costs!AF$12*0.086/tech_proj!AN243/(1-tech_proj!AN523))</f>
        <v>15.903950874344751</v>
      </c>
      <c r="AO2143" s="121">
        <f>IF(tech_base!$T119&gt;AO$2025,"",fuel_costs!AG$12*0.086/tech_proj!AO243/(1-tech_proj!AO523))</f>
        <v>16.045610857499696</v>
      </c>
      <c r="AP2143" s="121">
        <f>IF(tech_base!$T119&gt;AP$2025,"",fuel_costs!AH$12*0.086/tech_proj!AP243/(1-tech_proj!AP523))</f>
        <v>16.186365179795192</v>
      </c>
      <c r="AQ2143" s="121">
        <f>IF(tech_base!$T119&gt;AQ$2025,"",fuel_costs!AI$12*0.086/tech_proj!AQ243/(1-tech_proj!AQ523))</f>
        <v>16.32747392922608</v>
      </c>
      <c r="AR2143" s="121">
        <f>IF(tech_base!$T119&gt;AR$2025,"",fuel_costs!AJ$12*0.086/tech_proj!AR243/(1-tech_proj!AR523))</f>
        <v>16.478022950752486</v>
      </c>
      <c r="AS2143" s="121">
        <f>IF(tech_base!$T119&gt;AS$2025,"",fuel_costs!AK$12*0.086/tech_proj!AS243/(1-tech_proj!AS523))</f>
        <v>16.631488509558363</v>
      </c>
      <c r="AT2143" s="121">
        <f>IF(tech_base!$T119&gt;AT$2025,"",fuel_costs!AL$12*0.086/tech_proj!AT243/(1-tech_proj!AT523))</f>
        <v>16.750178137775997</v>
      </c>
      <c r="AU2143" s="121">
        <f>IF(tech_base!$T119&gt;AU$2025,"",fuel_costs!AM$12*0.086/tech_proj!AU243/(1-tech_proj!AU523))</f>
        <v>16.898706274871813</v>
      </c>
      <c r="AV2143" s="121">
        <f>IF(tech_base!$T119&gt;AV$2025,"",fuel_costs!AN$12*0.086/tech_proj!AV243/(1-tech_proj!AV523))</f>
        <v>17.031558124142069</v>
      </c>
      <c r="AW2143" s="121">
        <f>IF(tech_base!$T119&gt;AW$2025,"",fuel_costs!AO$12*0.086/tech_proj!AW243/(1-tech_proj!AW523))</f>
        <v>17.156215287134742</v>
      </c>
      <c r="AX2143" s="122">
        <f>IF(tech_base!$T119&gt;AX$2025,"",fuel_costs!AP$12*0.086/tech_proj!AX243/(1-tech_proj!AX523))</f>
        <v>17.303472260287368</v>
      </c>
    </row>
    <row r="2144" spans="1:50" x14ac:dyDescent="0.25">
      <c r="A2144" s="356"/>
      <c r="B2144" s="359"/>
      <c r="C2144" s="378"/>
      <c r="D2144" s="2" t="s">
        <v>8</v>
      </c>
      <c r="E2144" s="76" t="str">
        <f>A2143&amp;"/"&amp;B2143&amp;"/"&amp;C2143&amp;"/"&amp;D2144</f>
        <v>Derived gas fired power plants/Steam turbine/Electricity only/M</v>
      </c>
      <c r="F2144" s="76" t="str">
        <f>A2143</f>
        <v>Derived gas fired power plants</v>
      </c>
      <c r="G2144" s="76" t="str">
        <f>B2143</f>
        <v>Steam turbine</v>
      </c>
      <c r="H2144" s="76" t="str">
        <f>C2143</f>
        <v>Electricity only</v>
      </c>
      <c r="I2144" s="76" t="str">
        <f t="shared" si="388"/>
        <v>M</v>
      </c>
      <c r="J2144" s="119">
        <f>IF(tech_base!$T120&gt;J$2025,"",fuel_costs!B$12*0.086/tech_proj!J244/(1-tech_proj!J524))</f>
        <v>10.794371780025536</v>
      </c>
      <c r="K2144" s="119">
        <f>IF(tech_base!$T120&gt;K$2025,"",fuel_costs!C$12*0.086/tech_proj!K244/(1-tech_proj!K524))</f>
        <v>12.600685598025041</v>
      </c>
      <c r="L2144" s="119">
        <f>IF(tech_base!$T120&gt;L$2025,"",fuel_costs!D$12*0.086/tech_proj!L244/(1-tech_proj!L524))</f>
        <v>11.381527829457251</v>
      </c>
      <c r="M2144" s="119">
        <f>IF(tech_base!$T120&gt;M$2025,"",fuel_costs!E$12*0.086/tech_proj!M244/(1-tech_proj!M524))</f>
        <v>10.733250918007387</v>
      </c>
      <c r="N2144" s="119">
        <f>IF(tech_base!$T120&gt;N$2025,"",fuel_costs!F$12*0.086/tech_proj!N244/(1-tech_proj!N524))</f>
        <v>10.537870658968254</v>
      </c>
      <c r="O2144" s="119">
        <f>IF(tech_base!$T120&gt;O$2025,"",fuel_costs!G$12*0.086/tech_proj!O244/(1-tech_proj!O524))</f>
        <v>10.218810025489821</v>
      </c>
      <c r="P2144" s="119">
        <f>IF(tech_base!$T120&gt;P$2025,"",fuel_costs!H$12*0.086/tech_proj!P244/(1-tech_proj!P524))</f>
        <v>10.60769717813335</v>
      </c>
      <c r="Q2144" s="119">
        <f>IF(tech_base!$T120&gt;Q$2025,"",fuel_costs!I$12*0.086/tech_proj!Q244/(1-tech_proj!Q524))</f>
        <v>12.424742687955561</v>
      </c>
      <c r="R2144" s="119">
        <f>IF(tech_base!$T120&gt;R$2025,"",fuel_costs!J$12*0.086/tech_proj!R244/(1-tech_proj!R524))</f>
        <v>12.522669043613424</v>
      </c>
      <c r="S2144" s="119">
        <f>IF(tech_base!$T120&gt;S$2025,"",fuel_costs!K$12*0.086/tech_proj!S244/(1-tech_proj!S524))</f>
        <v>12.620468749286317</v>
      </c>
      <c r="T2144" s="119">
        <f>IF(tech_base!$T120&gt;T$2025,"",fuel_costs!L$12*0.086/tech_proj!T244/(1-tech_proj!T524))</f>
        <v>12.718146109830382</v>
      </c>
      <c r="U2144" s="119">
        <f>IF(tech_base!$T120&gt;U$2025,"",fuel_costs!M$12*0.086/tech_proj!U244/(1-tech_proj!U524))</f>
        <v>12.963344537042651</v>
      </c>
      <c r="V2144" s="119">
        <f>IF(tech_base!$T120&gt;V$2025,"",fuel_costs!N$12*0.086/tech_proj!V244/(1-tech_proj!V524))</f>
        <v>13.020629759997878</v>
      </c>
      <c r="W2144" s="119">
        <f>IF(tech_base!$T120&gt;W$2025,"",fuel_costs!O$12*0.086/tech_proj!W244/(1-tech_proj!W524))</f>
        <v>13.06584539513349</v>
      </c>
      <c r="X2144" s="119">
        <f>IF(tech_base!$T120&gt;X$2025,"",fuel_costs!P$12*0.086/tech_proj!X244/(1-tech_proj!X524))</f>
        <v>13.168833747334064</v>
      </c>
      <c r="Y2144" s="119">
        <f>IF(tech_base!$T120&gt;Y$2025,"",fuel_costs!Q$12*0.086/tech_proj!Y244/(1-tech_proj!Y524))</f>
        <v>13.281418035591932</v>
      </c>
      <c r="Z2144" s="119">
        <f>IF(tech_base!$T120&gt;Z$2025,"",fuel_costs!R$12*0.086/tech_proj!Z244/(1-tech_proj!Z524))</f>
        <v>13.620639149399567</v>
      </c>
      <c r="AA2144" s="119">
        <f>IF(tech_base!$T120&gt;AA$2025,"",fuel_costs!S$12*0.086/tech_proj!AA244/(1-tech_proj!AA524))</f>
        <v>13.961807274317993</v>
      </c>
      <c r="AB2144" s="119">
        <f>IF(tech_base!$T120&gt;AB$2025,"",fuel_costs!T$12*0.086/tech_proj!AB244/(1-tech_proj!AB524))</f>
        <v>14.315402352923133</v>
      </c>
      <c r="AC2144" s="119">
        <f>IF(tech_base!$T120&gt;AC$2025,"",fuel_costs!U$12*0.086/tech_proj!AC244/(1-tech_proj!AC524))</f>
        <v>14.674246602425127</v>
      </c>
      <c r="AD2144" s="119">
        <f>IF(tech_base!$T120&gt;AD$2025,"",fuel_costs!V$12*0.086/tech_proj!AD244/(1-tech_proj!AD524))</f>
        <v>15.064881277601719</v>
      </c>
      <c r="AE2144" s="119">
        <f>IF(tech_base!$T120&gt;AE$2025,"",fuel_costs!W$12*0.086/tech_proj!AE244/(1-tech_proj!AE524))</f>
        <v>15.217379104717136</v>
      </c>
      <c r="AF2144" s="119">
        <f>IF(tech_base!$T120&gt;AF$2025,"",fuel_costs!X$12*0.086/tech_proj!AF244/(1-tech_proj!AF524))</f>
        <v>15.40522296620578</v>
      </c>
      <c r="AG2144" s="119">
        <f>IF(tech_base!$T120&gt;AG$2025,"",fuel_costs!Y$12*0.086/tech_proj!AG244/(1-tech_proj!AG524))</f>
        <v>15.599884272485795</v>
      </c>
      <c r="AH2144" s="119">
        <f>IF(tech_base!$T120&gt;AH$2025,"",fuel_costs!Z$12*0.086/tech_proj!AH244/(1-tech_proj!AH524))</f>
        <v>15.785786823921688</v>
      </c>
      <c r="AI2144" s="119">
        <f>IF(tech_base!$T120&gt;AI$2025,"",fuel_costs!AA$12*0.086/tech_proj!AI244/(1-tech_proj!AI524))</f>
        <v>15.960252606996367</v>
      </c>
      <c r="AJ2144" s="119">
        <f>IF(tech_base!$T120&gt;AJ$2025,"",fuel_costs!AB$12*0.086/tech_proj!AJ244/(1-tech_proj!AJ524))</f>
        <v>16.100378908998074</v>
      </c>
      <c r="AK2144" s="119">
        <f>IF(tech_base!$T120&gt;AK$2025,"",fuel_costs!AC$12*0.086/tech_proj!AK244/(1-tech_proj!AK524))</f>
        <v>16.256344942454351</v>
      </c>
      <c r="AL2144" s="119">
        <f>IF(tech_base!$T120&gt;AL$2025,"",fuel_costs!AD$12*0.086/tech_proj!AL244/(1-tech_proj!AL524))</f>
        <v>16.424168158081969</v>
      </c>
      <c r="AM2144" s="119">
        <f>IF(tech_base!$T120&gt;AM$2025,"",fuel_costs!AE$12*0.086/tech_proj!AM244/(1-tech_proj!AM524))</f>
        <v>16.602089226471666</v>
      </c>
      <c r="AN2144" s="119">
        <f>IF(tech_base!$T120&gt;AN$2025,"",fuel_costs!AF$12*0.086/tech_proj!AN244/(1-tech_proj!AN524))</f>
        <v>16.753006939655329</v>
      </c>
      <c r="AO2144" s="119">
        <f>IF(tech_base!$T120&gt;AO$2025,"",fuel_costs!AG$12*0.086/tech_proj!AO244/(1-tech_proj!AO524))</f>
        <v>16.902301666678422</v>
      </c>
      <c r="AP2144" s="119">
        <f>IF(tech_base!$T120&gt;AP$2025,"",fuel_costs!AH$12*0.086/tech_proj!AP244/(1-tech_proj!AP524))</f>
        <v>17.050641745616534</v>
      </c>
      <c r="AQ2144" s="119">
        <f>IF(tech_base!$T120&gt;AQ$2025,"",fuel_costs!AI$12*0.086/tech_proj!AQ244/(1-tech_proj!AQ524))</f>
        <v>17.19935453458616</v>
      </c>
      <c r="AR2144" s="119">
        <f>IF(tech_base!$T120&gt;AR$2025,"",fuel_costs!AJ$12*0.086/tech_proj!AR244/(1-tech_proj!AR524))</f>
        <v>17.358011095793991</v>
      </c>
      <c r="AS2144" s="119">
        <f>IF(tech_base!$T120&gt;AS$2025,"",fuel_costs!AK$12*0.086/tech_proj!AS244/(1-tech_proj!AS524))</f>
        <v>17.519739385901758</v>
      </c>
      <c r="AT2144" s="119">
        <f>IF(tech_base!$T120&gt;AT$2025,"",fuel_costs!AL$12*0.086/tech_proj!AT244/(1-tech_proj!AT524))</f>
        <v>17.644833745547562</v>
      </c>
      <c r="AU2144" s="119">
        <f>IF(tech_base!$T120&gt;AU$2025,"",fuel_costs!AM$12*0.086/tech_proj!AU244/(1-tech_proj!AU524))</f>
        <v>17.801359623044213</v>
      </c>
      <c r="AV2144" s="119">
        <f>IF(tech_base!$T120&gt;AV$2025,"",fuel_costs!AN$12*0.086/tech_proj!AV244/(1-tech_proj!AV524))</f>
        <v>17.941371193071095</v>
      </c>
      <c r="AW2144" s="119">
        <f>IF(tech_base!$T120&gt;AW$2025,"",fuel_costs!AO$12*0.086/tech_proj!AW244/(1-tech_proj!AW524))</f>
        <v>18.072749571731212</v>
      </c>
      <c r="AX2144" s="120">
        <f>IF(tech_base!$T120&gt;AX$2025,"",fuel_costs!AP$12*0.086/tech_proj!AX244/(1-tech_proj!AX524))</f>
        <v>18.227934409289496</v>
      </c>
    </row>
    <row r="2145" spans="1:50" x14ac:dyDescent="0.25">
      <c r="A2145" s="356"/>
      <c r="B2145" s="359"/>
      <c r="C2145" s="378"/>
      <c r="D2145" s="2" t="s">
        <v>10</v>
      </c>
      <c r="E2145" s="76" t="str">
        <f>A2143&amp;"/"&amp;B2143&amp;"/"&amp;C2143&amp;"/"&amp;D2145</f>
        <v>Derived gas fired power plants/Steam turbine/Electricity only/S</v>
      </c>
      <c r="F2145" s="76" t="str">
        <f>A2143</f>
        <v>Derived gas fired power plants</v>
      </c>
      <c r="G2145" s="76" t="str">
        <f>B2143</f>
        <v>Steam turbine</v>
      </c>
      <c r="H2145" s="76" t="str">
        <f>C2143</f>
        <v>Electricity only</v>
      </c>
      <c r="I2145" s="76" t="str">
        <f t="shared" si="388"/>
        <v>S</v>
      </c>
      <c r="J2145" s="119">
        <f>IF(tech_base!$T121&gt;J$2025,"",fuel_costs!B$12*0.086/tech_proj!J245/(1-tech_proj!J525))</f>
        <v>11.370282007496668</v>
      </c>
      <c r="K2145" s="119">
        <f>IF(tech_base!$T121&gt;K$2025,"",fuel_costs!C$12*0.086/tech_proj!K245/(1-tech_proj!K525))</f>
        <v>13.273026733504667</v>
      </c>
      <c r="L2145" s="119">
        <f>IF(tech_base!$T121&gt;L$2025,"",fuel_costs!D$12*0.086/tech_proj!L245/(1-tech_proj!L525))</f>
        <v>11.988869851427808</v>
      </c>
      <c r="M2145" s="119">
        <f>IF(tech_base!$T121&gt;M$2025,"",fuel_costs!E$12*0.086/tech_proj!M245/(1-tech_proj!M525))</f>
        <v>11.306047592425143</v>
      </c>
      <c r="N2145" s="119">
        <f>IF(tech_base!$T121&gt;N$2025,"",fuel_costs!F$12*0.086/tech_proj!N245/(1-tech_proj!N525))</f>
        <v>11.100286701450557</v>
      </c>
      <c r="O2145" s="119">
        <f>IF(tech_base!$T121&gt;O$2025,"",fuel_costs!G$12*0.086/tech_proj!O245/(1-tech_proj!O525))</f>
        <v>10.764241248109688</v>
      </c>
      <c r="P2145" s="119">
        <f>IF(tech_base!$T121&gt;P$2025,"",fuel_costs!H$12*0.086/tech_proj!P245/(1-tech_proj!P525))</f>
        <v>11.173929726579571</v>
      </c>
      <c r="Q2145" s="119">
        <f>IF(tech_base!$T121&gt;Q$2025,"",fuel_costs!I$12*0.086/tech_proj!Q245/(1-tech_proj!Q525))</f>
        <v>13.088018855431097</v>
      </c>
      <c r="R2145" s="119">
        <f>IF(tech_base!$T121&gt;R$2025,"",fuel_costs!J$12*0.086/tech_proj!R245/(1-tech_proj!R525))</f>
        <v>13.191222905366306</v>
      </c>
      <c r="S2145" s="119">
        <f>IF(tech_base!$T121&gt;S$2025,"",fuel_costs!K$12*0.086/tech_proj!S245/(1-tech_proj!S525))</f>
        <v>13.294293164207469</v>
      </c>
      <c r="T2145" s="119">
        <f>IF(tech_base!$T121&gt;T$2025,"",fuel_costs!L$12*0.086/tech_proj!T245/(1-tech_proj!T525))</f>
        <v>13.397234156560197</v>
      </c>
      <c r="U2145" s="119">
        <f>IF(tech_base!$T121&gt;U$2025,"",fuel_costs!M$12*0.086/tech_proj!U245/(1-tech_proj!U525))</f>
        <v>13.655573285417589</v>
      </c>
      <c r="V2145" s="119">
        <f>IF(tech_base!$T121&gt;V$2025,"",fuel_costs!N$12*0.086/tech_proj!V245/(1-tech_proj!V525))</f>
        <v>13.715964830621511</v>
      </c>
      <c r="W2145" s="119">
        <f>IF(tech_base!$T121&gt;W$2025,"",fuel_costs!O$12*0.086/tech_proj!W245/(1-tech_proj!W525))</f>
        <v>13.763641487517951</v>
      </c>
      <c r="X2145" s="119">
        <f>IF(tech_base!$T121&gt;X$2025,"",fuel_costs!P$12*0.086/tech_proj!X245/(1-tech_proj!X525))</f>
        <v>13.872175688696236</v>
      </c>
      <c r="Y2145" s="119">
        <f>IF(tech_base!$T121&gt;Y$2025,"",fuel_costs!Q$12*0.086/tech_proj!Y245/(1-tech_proj!Y525))</f>
        <v>13.990817982699424</v>
      </c>
      <c r="Z2145" s="119">
        <f>IF(tech_base!$T121&gt;Z$2025,"",fuel_costs!R$12*0.086/tech_proj!Z245/(1-tech_proj!Z525))</f>
        <v>14.348202862649897</v>
      </c>
      <c r="AA2145" s="119">
        <f>IF(tech_base!$T121&gt;AA$2025,"",fuel_costs!S$12*0.086/tech_proj!AA245/(1-tech_proj!AA525))</f>
        <v>14.707639881390385</v>
      </c>
      <c r="AB2145" s="119">
        <f>IF(tech_base!$T121&gt;AB$2025,"",fuel_costs!T$12*0.086/tech_proj!AB245/(1-tech_proj!AB525))</f>
        <v>15.080168805633262</v>
      </c>
      <c r="AC2145" s="119">
        <f>IF(tech_base!$T121&gt;AC$2025,"",fuel_costs!U$12*0.086/tech_proj!AC245/(1-tech_proj!AC525))</f>
        <v>15.458228430019771</v>
      </c>
      <c r="AD2145" s="119">
        <f>IF(tech_base!$T121&gt;AD$2025,"",fuel_costs!V$12*0.086/tech_proj!AD245/(1-tech_proj!AD525))</f>
        <v>15.869778061070146</v>
      </c>
      <c r="AE2145" s="119">
        <f>IF(tech_base!$T121&gt;AE$2025,"",fuel_costs!W$12*0.086/tech_proj!AE245/(1-tech_proj!AE525))</f>
        <v>16.030467998440269</v>
      </c>
      <c r="AF2145" s="119">
        <f>IF(tech_base!$T121&gt;AF$2025,"",fuel_costs!X$12*0.086/tech_proj!AF245/(1-tech_proj!AF525))</f>
        <v>16.228392435448985</v>
      </c>
      <c r="AG2145" s="119">
        <f>IF(tech_base!$T121&gt;AG$2025,"",fuel_costs!Y$12*0.086/tech_proj!AG245/(1-tech_proj!AG525))</f>
        <v>16.433498577421989</v>
      </c>
      <c r="AH2145" s="119">
        <f>IF(tech_base!$T121&gt;AH$2025,"",fuel_costs!Z$12*0.086/tech_proj!AH245/(1-tech_proj!AH525))</f>
        <v>16.62937787195067</v>
      </c>
      <c r="AI2145" s="119">
        <f>IF(tech_base!$T121&gt;AI$2025,"",fuel_costs!AA$12*0.086/tech_proj!AI245/(1-tech_proj!AI525))</f>
        <v>16.813209098743727</v>
      </c>
      <c r="AJ2145" s="119">
        <f>IF(tech_base!$T121&gt;AJ$2025,"",fuel_costs!AB$12*0.086/tech_proj!AJ245/(1-tech_proj!AJ525))</f>
        <v>16.96086540404966</v>
      </c>
      <c r="AK2145" s="119">
        <f>IF(tech_base!$T121&gt;AK$2025,"",fuel_costs!AC$12*0.086/tech_proj!AK245/(1-tech_proj!AK525))</f>
        <v>17.125207689809873</v>
      </c>
      <c r="AL2145" s="119">
        <f>IF(tech_base!$T121&gt;AL$2025,"",fuel_costs!AD$12*0.086/tech_proj!AL245/(1-tech_proj!AL525))</f>
        <v>17.30204065043127</v>
      </c>
      <c r="AM2145" s="119">
        <f>IF(tech_base!$T121&gt;AM$2025,"",fuel_costs!AE$12*0.086/tech_proj!AM245/(1-tech_proj!AM525))</f>
        <v>17.489510993446029</v>
      </c>
      <c r="AN2145" s="119">
        <f>IF(tech_base!$T121&gt;AN$2025,"",fuel_costs!AF$12*0.086/tech_proj!AN245/(1-tech_proj!AN525))</f>
        <v>17.648534337359941</v>
      </c>
      <c r="AO2145" s="119">
        <f>IF(tech_base!$T121&gt;AO$2025,"",fuel_costs!AG$12*0.086/tech_proj!AO245/(1-tech_proj!AO525))</f>
        <v>17.8058476168883</v>
      </c>
      <c r="AP2145" s="119">
        <f>IF(tech_base!$T121&gt;AP$2025,"",fuel_costs!AH$12*0.086/tech_proj!AP245/(1-tech_proj!AP525))</f>
        <v>17.962154883872181</v>
      </c>
      <c r="AQ2145" s="119">
        <f>IF(tech_base!$T121&gt;AQ$2025,"",fuel_costs!AI$12*0.086/tech_proj!AQ245/(1-tech_proj!AQ525))</f>
        <v>18.11885444903783</v>
      </c>
      <c r="AR2145" s="119">
        <f>IF(tech_base!$T121&gt;AR$2025,"",fuel_costs!AJ$12*0.086/tech_proj!AR245/(1-tech_proj!AR525))</f>
        <v>18.286029075337698</v>
      </c>
      <c r="AS2145" s="119">
        <f>IF(tech_base!$T121&gt;AS$2025,"",fuel_costs!AK$12*0.086/tech_proj!AS245/(1-tech_proj!AS525))</f>
        <v>18.456439360671983</v>
      </c>
      <c r="AT2145" s="119">
        <f>IF(tech_base!$T121&gt;AT$2025,"",fuel_costs!AL$12*0.086/tech_proj!AT245/(1-tech_proj!AT525))</f>
        <v>18.588256702711533</v>
      </c>
      <c r="AU2145" s="119">
        <f>IF(tech_base!$T121&gt;AU$2025,"",fuel_costs!AM$12*0.086/tech_proj!AU245/(1-tech_proj!AU525))</f>
        <v>18.75318574671126</v>
      </c>
      <c r="AV2145" s="119">
        <f>IF(tech_base!$T121&gt;AV$2025,"",fuel_costs!AN$12*0.086/tech_proj!AV245/(1-tech_proj!AV525))</f>
        <v>18.900717126797879</v>
      </c>
      <c r="AW2145" s="119">
        <f>IF(tech_base!$T121&gt;AW$2025,"",fuel_costs!AO$12*0.086/tech_proj!AW245/(1-tech_proj!AW525))</f>
        <v>19.039153293700267</v>
      </c>
      <c r="AX2145" s="120">
        <f>IF(tech_base!$T121&gt;AX$2025,"",fuel_costs!AP$12*0.086/tech_proj!AX245/(1-tech_proj!AX525))</f>
        <v>19.202668554616316</v>
      </c>
    </row>
    <row r="2146" spans="1:50" x14ac:dyDescent="0.25">
      <c r="A2146" s="356"/>
      <c r="B2146" s="359"/>
      <c r="C2146" s="379"/>
      <c r="D2146" s="2" t="s">
        <v>20</v>
      </c>
      <c r="E2146" s="76" t="str">
        <f>A2143&amp;"/"&amp;B2143&amp;"/"&amp;C2143&amp;"/"&amp;D2146</f>
        <v>Derived gas fired power plants/Steam turbine/Electricity only/XS</v>
      </c>
      <c r="F2146" s="76" t="str">
        <f>A2143</f>
        <v>Derived gas fired power plants</v>
      </c>
      <c r="G2146" s="76" t="str">
        <f>B2143</f>
        <v>Steam turbine</v>
      </c>
      <c r="H2146" s="76" t="str">
        <f>C2143</f>
        <v>Electricity only</v>
      </c>
      <c r="I2146" s="76" t="str">
        <f t="shared" si="388"/>
        <v>XS</v>
      </c>
      <c r="J2146" s="119">
        <f>IF(tech_base!$T122&gt;J$2025,"",fuel_costs!B$12*0.086/tech_proj!J246/(1-tech_proj!J526))</f>
        <v>11.978959461414204</v>
      </c>
      <c r="K2146" s="119">
        <f>IF(tech_base!$T122&gt;K$2025,"",fuel_costs!C$12*0.086/tech_proj!K246/(1-tech_proj!K526))</f>
        <v>13.983718428533386</v>
      </c>
      <c r="L2146" s="119">
        <f>IF(tech_base!$T122&gt;L$2025,"",fuel_costs!D$12*0.086/tech_proj!L246/(1-tech_proj!L526))</f>
        <v>12.630940811847342</v>
      </c>
      <c r="M2146" s="119">
        <f>IF(tech_base!$T122&gt;M$2025,"",fuel_costs!E$12*0.086/tech_proj!M246/(1-tech_proj!M526))</f>
        <v>11.91167751987506</v>
      </c>
      <c r="N2146" s="119">
        <f>IF(tech_base!$T122&gt;N$2025,"",fuel_costs!F$12*0.086/tech_proj!N246/(1-tech_proj!N526))</f>
        <v>11.695017847669295</v>
      </c>
      <c r="O2146" s="119">
        <f>IF(tech_base!$T122&gt;O$2025,"",fuel_costs!G$12*0.086/tech_proj!O246/(1-tech_proj!O526))</f>
        <v>11.341084903099102</v>
      </c>
      <c r="P2146" s="119">
        <f>IF(tech_base!$T122&gt;P$2025,"",fuel_costs!H$12*0.086/tech_proj!P246/(1-tech_proj!P526))</f>
        <v>11.772847353704819</v>
      </c>
      <c r="Q2146" s="119">
        <f>IF(tech_base!$T122&gt;Q$2025,"",fuel_costs!I$12*0.086/tech_proj!Q246/(1-tech_proj!Q526))</f>
        <v>13.789667672797533</v>
      </c>
      <c r="R2146" s="119">
        <f>IF(tech_base!$T122&gt;R$2025,"",fuel_costs!J$12*0.086/tech_proj!R246/(1-tech_proj!R526))</f>
        <v>13.898539663110293</v>
      </c>
      <c r="S2146" s="119">
        <f>IF(tech_base!$T122&gt;S$2025,"",fuel_costs!K$12*0.086/tech_proj!S246/(1-tech_proj!S526))</f>
        <v>14.007270022561796</v>
      </c>
      <c r="T2146" s="119">
        <f>IF(tech_base!$T122&gt;T$2025,"",fuel_costs!L$12*0.086/tech_proj!T246/(1-tech_proj!T526))</f>
        <v>14.115863473475693</v>
      </c>
      <c r="U2146" s="119">
        <f>IF(tech_base!$T122&gt;U$2025,"",fuel_costs!M$12*0.086/tech_proj!U246/(1-tech_proj!U526))</f>
        <v>14.388191382961207</v>
      </c>
      <c r="V2146" s="119">
        <f>IF(tech_base!$T122&gt;V$2025,"",fuel_costs!N$12*0.086/tech_proj!V246/(1-tech_proj!V526))</f>
        <v>14.451952148413765</v>
      </c>
      <c r="W2146" s="119">
        <f>IF(tech_base!$T122&gt;W$2025,"",fuel_costs!O$12*0.086/tech_proj!W246/(1-tech_proj!W526))</f>
        <v>14.502314003165099</v>
      </c>
      <c r="X2146" s="119">
        <f>IF(tech_base!$T122&gt;X$2025,"",fuel_costs!P$12*0.086/tech_proj!X246/(1-tech_proj!X526))</f>
        <v>14.616798207978903</v>
      </c>
      <c r="Y2146" s="119">
        <f>IF(tech_base!$T122&gt;Y$2025,"",fuel_costs!Q$12*0.086/tech_proj!Y246/(1-tech_proj!Y526))</f>
        <v>14.741932379086412</v>
      </c>
      <c r="Z2146" s="119">
        <f>IF(tech_base!$T122&gt;Z$2025,"",fuel_costs!R$12*0.086/tech_proj!Z246/(1-tech_proj!Z526))</f>
        <v>15.118627740410613</v>
      </c>
      <c r="AA2146" s="119">
        <f>IF(tech_base!$T122&gt;AA$2025,"",fuel_costs!S$12*0.086/tech_proj!AA246/(1-tech_proj!AA526))</f>
        <v>15.497488794981033</v>
      </c>
      <c r="AB2146" s="119">
        <f>IF(tech_base!$T122&gt;AB$2025,"",fuel_costs!T$12*0.086/tech_proj!AB246/(1-tech_proj!AB526))</f>
        <v>15.890148156169005</v>
      </c>
      <c r="AC2146" s="119">
        <f>IF(tech_base!$T122&gt;AC$2025,"",fuel_costs!U$12*0.086/tech_proj!AC246/(1-tech_proj!AC526))</f>
        <v>16.288638586491107</v>
      </c>
      <c r="AD2146" s="119">
        <f>IF(tech_base!$T122&gt;AD$2025,"",fuel_costs!V$12*0.086/tech_proj!AD246/(1-tech_proj!AD526))</f>
        <v>16.722421540506293</v>
      </c>
      <c r="AE2146" s="119">
        <f>IF(tech_base!$T122&gt;AE$2025,"",fuel_costs!W$12*0.086/tech_proj!AE246/(1-tech_proj!AE526))</f>
        <v>16.891868339817155</v>
      </c>
      <c r="AF2146" s="119">
        <f>IF(tech_base!$T122&gt;AF$2025,"",fuel_costs!X$12*0.086/tech_proj!AF246/(1-tech_proj!AF526))</f>
        <v>17.100550305674325</v>
      </c>
      <c r="AG2146" s="119">
        <f>IF(tech_base!$T122&gt;AG$2025,"",fuel_costs!Y$12*0.086/tech_proj!AG246/(1-tech_proj!AG526))</f>
        <v>17.316800084015647</v>
      </c>
      <c r="AH2146" s="119">
        <f>IF(tech_base!$T122&gt;AH$2025,"",fuel_costs!Z$12*0.086/tech_proj!AH246/(1-tech_proj!AH526))</f>
        <v>17.523327141442213</v>
      </c>
      <c r="AI2146" s="119">
        <f>IF(tech_base!$T122&gt;AI$2025,"",fuel_costs!AA$12*0.086/tech_proj!AI246/(1-tech_proj!AI526))</f>
        <v>17.717158325003769</v>
      </c>
      <c r="AJ2146" s="119">
        <f>IF(tech_base!$T122&gt;AJ$2025,"",fuel_costs!AB$12*0.086/tech_proj!AJ246/(1-tech_proj!AJ526))</f>
        <v>17.872869156587758</v>
      </c>
      <c r="AK2146" s="119">
        <f>IF(tech_base!$T122&gt;AK$2025,"",fuel_costs!AC$12*0.086/tech_proj!AK246/(1-tech_proj!AK526))</f>
        <v>18.046162511420853</v>
      </c>
      <c r="AL2146" s="119">
        <f>IF(tech_base!$T122&gt;AL$2025,"",fuel_costs!AD$12*0.086/tech_proj!AL246/(1-tech_proj!AL526))</f>
        <v>18.232617745848192</v>
      </c>
      <c r="AM2146" s="119">
        <f>IF(tech_base!$T122&gt;AM$2025,"",fuel_costs!AE$12*0.086/tech_proj!AM246/(1-tech_proj!AM526))</f>
        <v>18.430282087040734</v>
      </c>
      <c r="AN2146" s="119">
        <f>IF(tech_base!$T122&gt;AN$2025,"",fuel_costs!AF$12*0.086/tech_proj!AN246/(1-tech_proj!AN526))</f>
        <v>18.597968704738832</v>
      </c>
      <c r="AO2146" s="119">
        <f>IF(tech_base!$T122&gt;AO$2025,"",fuel_costs!AG$12*0.086/tech_proj!AO246/(1-tech_proj!AO526))</f>
        <v>18.763852505406685</v>
      </c>
      <c r="AP2146" s="119">
        <f>IF(tech_base!$T122&gt;AP$2025,"",fuel_costs!AH$12*0.086/tech_proj!AP246/(1-tech_proj!AP526))</f>
        <v>18.928675374394583</v>
      </c>
      <c r="AQ2146" s="119">
        <f>IF(tech_base!$T122&gt;AQ$2025,"",fuel_costs!AI$12*0.086/tech_proj!AQ246/(1-tech_proj!AQ526))</f>
        <v>19.09391083650031</v>
      </c>
      <c r="AR2146" s="119">
        <f>IF(tech_base!$T122&gt;AR$2025,"",fuel_costs!AJ$12*0.086/tech_proj!AR246/(1-tech_proj!AR526))</f>
        <v>19.270184300330662</v>
      </c>
      <c r="AS2146" s="119">
        <f>IF(tech_base!$T122&gt;AS$2025,"",fuel_costs!AK$12*0.086/tech_proj!AS246/(1-tech_proj!AS526))</f>
        <v>19.449866856291262</v>
      </c>
      <c r="AT2146" s="119">
        <f>IF(tech_base!$T122&gt;AT$2025,"",fuel_costs!AL$12*0.086/tech_proj!AT246/(1-tech_proj!AT526))</f>
        <v>19.588878267376785</v>
      </c>
      <c r="AU2146" s="119">
        <f>IF(tech_base!$T122&gt;AU$2025,"",fuel_costs!AM$12*0.086/tech_proj!AU246/(1-tech_proj!AU526))</f>
        <v>19.762782854772869</v>
      </c>
      <c r="AV2146" s="119">
        <f>IF(tech_base!$T122&gt;AV$2025,"",fuel_costs!AN$12*0.086/tech_proj!AV246/(1-tech_proj!AV526))</f>
        <v>19.918352275321766</v>
      </c>
      <c r="AW2146" s="119">
        <f>IF(tech_base!$T122&gt;AW$2025,"",fuel_costs!AO$12*0.086/tech_proj!AW246/(1-tech_proj!AW526))</f>
        <v>20.064335764471707</v>
      </c>
      <c r="AX2146" s="120">
        <f>IF(tech_base!$T122&gt;AX$2025,"",fuel_costs!AP$12*0.086/tech_proj!AX246/(1-tech_proj!AX526))</f>
        <v>20.236747808493988</v>
      </c>
    </row>
    <row r="2147" spans="1:50" x14ac:dyDescent="0.25">
      <c r="A2147" s="356"/>
      <c r="B2147" s="359"/>
      <c r="C2147" s="361" t="s">
        <v>14</v>
      </c>
      <c r="D2147" s="58" t="s">
        <v>7</v>
      </c>
      <c r="E2147" s="78" t="str">
        <f>A2143&amp;"/"&amp;B2143&amp;"/"&amp;C2147&amp;"/"&amp;D2147</f>
        <v>Derived gas fired power plants/Steam turbine/CHP/L</v>
      </c>
      <c r="F2147" s="78" t="str">
        <f>A2143</f>
        <v>Derived gas fired power plants</v>
      </c>
      <c r="G2147" s="78" t="str">
        <f>B2143</f>
        <v>Steam turbine</v>
      </c>
      <c r="H2147" s="78" t="str">
        <f>C2147</f>
        <v>CHP</v>
      </c>
      <c r="I2147" s="78" t="str">
        <f t="shared" si="388"/>
        <v>L</v>
      </c>
      <c r="J2147" s="123">
        <f>IF(tech_base!$T123&gt;J$2025,"",fuel_costs!B$12*0.086/tech_proj!J247/(1-tech_proj!J527))</f>
        <v>11.342774323299556</v>
      </c>
      <c r="K2147" s="123">
        <f>IF(tech_base!$T123&gt;K$2025,"",fuel_costs!C$12*0.086/tech_proj!K247/(1-tech_proj!K527))</f>
        <v>13.240988694586434</v>
      </c>
      <c r="L2147" s="123">
        <f>IF(tech_base!$T123&gt;L$2025,"",fuel_costs!D$12*0.086/tech_proj!L247/(1-tech_proj!L527))</f>
        <v>11.959994802641924</v>
      </c>
      <c r="M2147" s="123">
        <f>IF(tech_base!$T123&gt;M$2025,"",fuel_costs!E$12*0.086/tech_proj!M247/(1-tech_proj!M527))</f>
        <v>11.278874506487414</v>
      </c>
      <c r="N2147" s="123">
        <f>IF(tech_base!$T123&gt;N$2025,"",fuel_costs!F$12*0.086/tech_proj!N247/(1-tech_proj!N527))</f>
        <v>11.073662235314858</v>
      </c>
      <c r="O2147" s="123">
        <f>IF(tech_base!$T123&gt;O$2025,"",fuel_costs!G$12*0.086/tech_proj!O247/(1-tech_proj!O527))</f>
        <v>10.738473095596476</v>
      </c>
      <c r="P2147" s="123">
        <f>IF(tech_base!$T123&gt;P$2025,"",fuel_costs!H$12*0.086/tech_proj!P247/(1-tech_proj!P527))</f>
        <v>11.147230837276794</v>
      </c>
      <c r="Q2147" s="123">
        <f>IF(tech_base!$T123&gt;Q$2025,"",fuel_costs!I$12*0.086/tech_proj!Q247/(1-tech_proj!Q527))</f>
        <v>13.056802481775007</v>
      </c>
      <c r="R2147" s="123">
        <f>IF(tech_base!$T123&gt;R$2025,"",fuel_costs!J$12*0.086/tech_proj!R247/(1-tech_proj!R527))</f>
        <v>13.159814321697006</v>
      </c>
      <c r="S2147" s="123">
        <f>IF(tech_base!$T123&gt;S$2025,"",fuel_costs!K$12*0.086/tech_proj!S247/(1-tech_proj!S527))</f>
        <v>13.262691035250198</v>
      </c>
      <c r="T2147" s="123">
        <f>IF(tech_base!$T123&gt;T$2025,"",fuel_costs!L$12*0.086/tech_proj!T247/(1-tech_proj!T527))</f>
        <v>13.365437122675894</v>
      </c>
      <c r="U2147" s="123">
        <f>IF(tech_base!$T123&gt;U$2025,"",fuel_costs!M$12*0.086/tech_proj!U247/(1-tech_proj!U527))</f>
        <v>13.623211396879039</v>
      </c>
      <c r="V2147" s="123">
        <f>IF(tech_base!$T123&gt;V$2025,"",fuel_costs!N$12*0.086/tech_proj!V247/(1-tech_proj!V527))</f>
        <v>13.683505892029103</v>
      </c>
      <c r="W2147" s="123">
        <f>IF(tech_base!$T123&gt;W$2025,"",fuel_costs!O$12*0.086/tech_proj!W247/(1-tech_proj!W527))</f>
        <v>13.731113561769847</v>
      </c>
      <c r="X2147" s="123">
        <f>IF(tech_base!$T123&gt;X$2025,"",fuel_costs!P$12*0.086/tech_proj!X247/(1-tech_proj!X527))</f>
        <v>13.83943309003444</v>
      </c>
      <c r="Y2147" s="123">
        <f>IF(tech_base!$T123&gt;Y$2025,"",fuel_costs!Q$12*0.086/tech_proj!Y247/(1-tech_proj!Y527))</f>
        <v>13.957835213034228</v>
      </c>
      <c r="Z2147" s="123">
        <f>IF(tech_base!$T123&gt;Z$2025,"",fuel_costs!R$12*0.086/tech_proj!Z247/(1-tech_proj!Z527))</f>
        <v>14.31441612273596</v>
      </c>
      <c r="AA2147" s="123">
        <f>IF(tech_base!$T123&gt;AA$2025,"",fuel_costs!S$12*0.086/tech_proj!AA247/(1-tech_proj!AA527))</f>
        <v>14.673043932887609</v>
      </c>
      <c r="AB2147" s="123">
        <f>IF(tech_base!$T123&gt;AB$2025,"",fuel_costs!T$12*0.086/tech_proj!AB247/(1-tech_proj!AB527))</f>
        <v>15.044732370728974</v>
      </c>
      <c r="AC2147" s="123">
        <f>IF(tech_base!$T123&gt;AC$2025,"",fuel_costs!U$12*0.086/tech_proj!AC247/(1-tech_proj!AC527))</f>
        <v>15.421937961949261</v>
      </c>
      <c r="AD2147" s="123">
        <f>IF(tech_base!$T123&gt;AD$2025,"",fuel_costs!V$12*0.086/tech_proj!AD247/(1-tech_proj!AD527))</f>
        <v>15.832554359541781</v>
      </c>
      <c r="AE2147" s="123">
        <f>IF(tech_base!$T123&gt;AE$2025,"",fuel_costs!W$12*0.086/tech_proj!AE247/(1-tech_proj!AE527))</f>
        <v>15.992898366385267</v>
      </c>
      <c r="AF2147" s="123">
        <f>IF(tech_base!$T123&gt;AF$2025,"",fuel_costs!X$12*0.086/tech_proj!AF247/(1-tech_proj!AF527))</f>
        <v>16.190388041762326</v>
      </c>
      <c r="AG2147" s="123">
        <f>IF(tech_base!$T123&gt;AG$2025,"",fuel_costs!Y$12*0.086/tech_proj!AG247/(1-tech_proj!AG527))</f>
        <v>16.395041101166726</v>
      </c>
      <c r="AH2147" s="123">
        <f>IF(tech_base!$T123&gt;AH$2025,"",fuel_costs!Z$12*0.086/tech_proj!AH247/(1-tech_proj!AH527))</f>
        <v>16.590487382407982</v>
      </c>
      <c r="AI2147" s="123">
        <f>IF(tech_base!$T123&gt;AI$2025,"",fuel_costs!AA$12*0.086/tech_proj!AI247/(1-tech_proj!AI527))</f>
        <v>16.773912203603164</v>
      </c>
      <c r="AJ2147" s="123">
        <f>IF(tech_base!$T123&gt;AJ$2025,"",fuel_costs!AB$12*0.086/tech_proj!AJ247/(1-tech_proj!AJ527))</f>
        <v>16.921245014273257</v>
      </c>
      <c r="AK2147" s="123">
        <f>IF(tech_base!$T123&gt;AK$2025,"",fuel_costs!AC$12*0.086/tech_proj!AK247/(1-tech_proj!AK527))</f>
        <v>17.085223165688568</v>
      </c>
      <c r="AL2147" s="123">
        <f>IF(tech_base!$T123&gt;AL$2025,"",fuel_costs!AD$12*0.086/tech_proj!AL247/(1-tech_proj!AL527))</f>
        <v>17.261661206032471</v>
      </c>
      <c r="AM2147" s="123">
        <f>IF(tech_base!$T123&gt;AM$2025,"",fuel_costs!AE$12*0.086/tech_proj!AM247/(1-tech_proj!AM527))</f>
        <v>17.44871020769093</v>
      </c>
      <c r="AN2147" s="123">
        <f>IF(tech_base!$T123&gt;AN$2025,"",fuel_costs!AF$12*0.086/tech_proj!AN247/(1-tech_proj!AN527))</f>
        <v>17.607376966443326</v>
      </c>
      <c r="AO2147" s="123">
        <f>IF(tech_base!$T123&gt;AO$2025,"",fuel_costs!AG$12*0.086/tech_proj!AO247/(1-tech_proj!AO527))</f>
        <v>17.764336026021045</v>
      </c>
      <c r="AP2147" s="123">
        <f>IF(tech_base!$T123&gt;AP$2025,"",fuel_costs!AH$12*0.086/tech_proj!AP247/(1-tech_proj!AP527))</f>
        <v>17.920289807370377</v>
      </c>
      <c r="AQ2147" s="123">
        <f>IF(tech_base!$T123&gt;AQ$2025,"",fuel_costs!AI$12*0.086/tech_proj!AQ247/(1-tech_proj!AQ527))</f>
        <v>18.076633376310649</v>
      </c>
      <c r="AR2147" s="123">
        <f>IF(tech_base!$T123&gt;AR$2025,"",fuel_costs!AJ$12*0.086/tech_proj!AR247/(1-tech_proj!AR527))</f>
        <v>18.243426021833635</v>
      </c>
      <c r="AS2147" s="123">
        <f>IF(tech_base!$T123&gt;AS$2025,"",fuel_costs!AK$12*0.086/tech_proj!AS247/(1-tech_proj!AS527))</f>
        <v>18.413445233633034</v>
      </c>
      <c r="AT2147" s="123">
        <f>IF(tech_base!$T123&gt;AT$2025,"",fuel_costs!AL$12*0.086/tech_proj!AT247/(1-tech_proj!AT527))</f>
        <v>18.544959857059073</v>
      </c>
      <c r="AU2147" s="123">
        <f>IF(tech_base!$T123&gt;AU$2025,"",fuel_costs!AM$12*0.086/tech_proj!AU247/(1-tech_proj!AU527))</f>
        <v>18.709507528276951</v>
      </c>
      <c r="AV2147" s="123">
        <f>IF(tech_base!$T123&gt;AV$2025,"",fuel_costs!AN$12*0.086/tech_proj!AV247/(1-tech_proj!AV527))</f>
        <v>18.856696553158216</v>
      </c>
      <c r="AW2147" s="123">
        <f>IF(tech_base!$T123&gt;AW$2025,"",fuel_costs!AO$12*0.086/tech_proj!AW247/(1-tech_proj!AW527))</f>
        <v>18.994810065538893</v>
      </c>
      <c r="AX2147" s="124">
        <f>IF(tech_base!$T123&gt;AX$2025,"",fuel_costs!AP$12*0.086/tech_proj!AX247/(1-tech_proj!AX527))</f>
        <v>19.157942802336205</v>
      </c>
    </row>
    <row r="2148" spans="1:50" x14ac:dyDescent="0.25">
      <c r="A2148" s="356"/>
      <c r="B2148" s="359"/>
      <c r="C2148" s="378"/>
      <c r="D2148" s="2" t="s">
        <v>8</v>
      </c>
      <c r="E2148" s="76" t="str">
        <f>A2143&amp;"/"&amp;B2143&amp;"/"&amp;C2147&amp;"/"&amp;D2148</f>
        <v>Derived gas fired power plants/Steam turbine/CHP/M</v>
      </c>
      <c r="F2148" s="76" t="str">
        <f>A2143</f>
        <v>Derived gas fired power plants</v>
      </c>
      <c r="G2148" s="76" t="str">
        <f>B2143</f>
        <v>Steam turbine</v>
      </c>
      <c r="H2148" s="76" t="str">
        <f>C2147</f>
        <v>CHP</v>
      </c>
      <c r="I2148" s="76" t="str">
        <f t="shared" si="388"/>
        <v>M</v>
      </c>
      <c r="J2148" s="119">
        <f>IF(tech_base!$T124&gt;J$2025,"",fuel_costs!B$12*0.086/tech_proj!J248/(1-tech_proj!J528))</f>
        <v>11.949881971482672</v>
      </c>
      <c r="K2148" s="119">
        <f>IF(tech_base!$T124&gt;K$2025,"",fuel_costs!C$12*0.086/tech_proj!K248/(1-tech_proj!K528))</f>
        <v>13.949787728038176</v>
      </c>
      <c r="L2148" s="119">
        <f>IF(tech_base!$T124&gt;L$2025,"",fuel_costs!D$12*0.086/tech_proj!L248/(1-tech_proj!L528))</f>
        <v>12.600303105711891</v>
      </c>
      <c r="M2148" s="119">
        <f>IF(tech_base!$T124&gt;M$2025,"",fuel_costs!E$12*0.086/tech_proj!M248/(1-tech_proj!M528))</f>
        <v>11.882793247768834</v>
      </c>
      <c r="N2148" s="119">
        <f>IF(tech_base!$T124&gt;N$2025,"",fuel_costs!F$12*0.086/tech_proj!N248/(1-tech_proj!N528))</f>
        <v>11.666666453996569</v>
      </c>
      <c r="O2148" s="119">
        <f>IF(tech_base!$T124&gt;O$2025,"",fuel_costs!G$12*0.086/tech_proj!O248/(1-tech_proj!O528))</f>
        <v>11.313597752407704</v>
      </c>
      <c r="P2148" s="119">
        <f>IF(tech_base!$T124&gt;P$2025,"",fuel_costs!H$12*0.086/tech_proj!P248/(1-tech_proj!P528))</f>
        <v>11.744319157459467</v>
      </c>
      <c r="Q2148" s="119">
        <f>IF(tech_base!$T124&gt;Q$2025,"",fuel_costs!I$12*0.086/tech_proj!Q248/(1-tech_proj!Q528))</f>
        <v>13.75625741195849</v>
      </c>
      <c r="R2148" s="119">
        <f>IF(tech_base!$T124&gt;R$2025,"",fuel_costs!J$12*0.086/tech_proj!R248/(1-tech_proj!R528))</f>
        <v>13.864869625702234</v>
      </c>
      <c r="S2148" s="119">
        <f>IF(tech_base!$T124&gt;S$2025,"",fuel_costs!K$12*0.086/tech_proj!S248/(1-tech_proj!S528))</f>
        <v>13.973339472712036</v>
      </c>
      <c r="T2148" s="119">
        <f>IF(tech_base!$T124&gt;T$2025,"",fuel_costs!L$12*0.086/tech_proj!T248/(1-tech_proj!T528))</f>
        <v>14.08167167572911</v>
      </c>
      <c r="U2148" s="119">
        <f>IF(tech_base!$T124&gt;U$2025,"",fuel_costs!M$12*0.086/tech_proj!U248/(1-tech_proj!U528))</f>
        <v>14.353340689688146</v>
      </c>
      <c r="V2148" s="119">
        <f>IF(tech_base!$T124&gt;V$2025,"",fuel_costs!N$12*0.086/tech_proj!V248/(1-tech_proj!V528))</f>
        <v>14.416946701844893</v>
      </c>
      <c r="W2148" s="119">
        <f>IF(tech_base!$T124&gt;W$2025,"",fuel_costs!O$12*0.086/tech_proj!W248/(1-tech_proj!W528))</f>
        <v>14.467185229140357</v>
      </c>
      <c r="X2148" s="119">
        <f>IF(tech_base!$T124&gt;X$2025,"",fuel_costs!P$12*0.086/tech_proj!X248/(1-tech_proj!X528))</f>
        <v>14.581389771837712</v>
      </c>
      <c r="Y2148" s="119">
        <f>IF(tech_base!$T124&gt;Y$2025,"",fuel_costs!Q$12*0.086/tech_proj!Y248/(1-tech_proj!Y528))</f>
        <v>14.706217475817887</v>
      </c>
      <c r="Z2148" s="119">
        <f>IF(tech_base!$T124&gt;Z$2025,"",fuel_costs!R$12*0.086/tech_proj!Z248/(1-tech_proj!Z528))</f>
        <v>15.081995851336625</v>
      </c>
      <c r="AA2148" s="119">
        <f>IF(tech_base!$T124&gt;AA$2025,"",fuel_costs!S$12*0.086/tech_proj!AA248/(1-tech_proj!AA528))</f>
        <v>15.459933514178209</v>
      </c>
      <c r="AB2148" s="119">
        <f>IF(tech_base!$T124&gt;AB$2025,"",fuel_costs!T$12*0.086/tech_proj!AB248/(1-tech_proj!AB528))</f>
        <v>15.851634850828077</v>
      </c>
      <c r="AC2148" s="119">
        <f>IF(tech_base!$T124&gt;AC$2025,"",fuel_costs!U$12*0.086/tech_proj!AC248/(1-tech_proj!AC528))</f>
        <v>16.249151891211529</v>
      </c>
      <c r="AD2148" s="119">
        <f>IF(tech_base!$T124&gt;AD$2025,"",fuel_costs!V$12*0.086/tech_proj!AD248/(1-tech_proj!AD528))</f>
        <v>16.681874618707603</v>
      </c>
      <c r="AE2148" s="119">
        <f>IF(tech_base!$T124&gt;AE$2025,"",fuel_costs!W$12*0.086/tech_proj!AE248/(1-tech_proj!AE528))</f>
        <v>16.850900951125304</v>
      </c>
      <c r="AF2148" s="119">
        <f>IF(tech_base!$T124&gt;AF$2025,"",fuel_costs!X$12*0.086/tech_proj!AF248/(1-tech_proj!AF528))</f>
        <v>17.059066241601972</v>
      </c>
      <c r="AG2148" s="119">
        <f>IF(tech_base!$T124&gt;AG$2025,"",fuel_costs!Y$12*0.086/tech_proj!AG248/(1-tech_proj!AG528))</f>
        <v>17.274779913323144</v>
      </c>
      <c r="AH2148" s="119">
        <f>IF(tech_base!$T124&gt;AH$2025,"",fuel_costs!Z$12*0.086/tech_proj!AH248/(1-tech_proj!AH528))</f>
        <v>17.480793393755924</v>
      </c>
      <c r="AI2148" s="119">
        <f>IF(tech_base!$T124&gt;AI$2025,"",fuel_costs!AA$12*0.086/tech_proj!AI248/(1-tech_proj!AI528))</f>
        <v>17.674140778962059</v>
      </c>
      <c r="AJ2148" s="119">
        <f>IF(tech_base!$T124&gt;AJ$2025,"",fuel_costs!AB$12*0.086/tech_proj!AJ248/(1-tech_proj!AJ528))</f>
        <v>17.829459382512557</v>
      </c>
      <c r="AK2148" s="119">
        <f>IF(tech_base!$T124&gt;AK$2025,"",fuel_costs!AC$12*0.086/tech_proj!AK248/(1-tech_proj!AK528))</f>
        <v>18.002316849331738</v>
      </c>
      <c r="AL2148" s="119">
        <f>IF(tech_base!$T124&gt;AL$2025,"",fuel_costs!AD$12*0.086/tech_proj!AL248/(1-tech_proj!AL528))</f>
        <v>18.188303251812581</v>
      </c>
      <c r="AM2148" s="119">
        <f>IF(tech_base!$T124&gt;AM$2025,"",fuel_costs!AE$12*0.086/tech_proj!AM248/(1-tech_proj!AM528))</f>
        <v>18.385470545363212</v>
      </c>
      <c r="AN2148" s="119">
        <f>IF(tech_base!$T124&gt;AN$2025,"",fuel_costs!AF$12*0.086/tech_proj!AN248/(1-tech_proj!AN528))</f>
        <v>18.55273206375194</v>
      </c>
      <c r="AO2148" s="119">
        <f>IF(tech_base!$T124&gt;AO$2025,"",fuel_costs!AG$12*0.086/tech_proj!AO248/(1-tech_proj!AO528))</f>
        <v>18.718194256410214</v>
      </c>
      <c r="AP2148" s="119">
        <f>IF(tech_base!$T124&gt;AP$2025,"",fuel_costs!AH$12*0.086/tech_proj!AP248/(1-tech_proj!AP528))</f>
        <v>18.882597225573011</v>
      </c>
      <c r="AQ2148" s="119">
        <f>IF(tech_base!$T124&gt;AQ$2025,"",fuel_costs!AI$12*0.086/tech_proj!AQ248/(1-tech_proj!AQ528))</f>
        <v>19.047410928642424</v>
      </c>
      <c r="AR2148" s="119">
        <f>IF(tech_base!$T124&gt;AR$2025,"",fuel_costs!AJ$12*0.086/tech_proj!AR248/(1-tech_proj!AR528))</f>
        <v>19.223234903584263</v>
      </c>
      <c r="AS2148" s="119">
        <f>IF(tech_base!$T124&gt;AS$2025,"",fuel_costs!AK$12*0.086/tech_proj!AS248/(1-tech_proj!AS528))</f>
        <v>19.402458818608011</v>
      </c>
      <c r="AT2148" s="119">
        <f>IF(tech_base!$T124&gt;AT$2025,"",fuel_costs!AL$12*0.086/tech_proj!AT248/(1-tech_proj!AT528))</f>
        <v>19.541109934712676</v>
      </c>
      <c r="AU2148" s="119">
        <f>IF(tech_base!$T124&gt;AU$2025,"",fuel_costs!AM$12*0.086/tech_proj!AU248/(1-tech_proj!AU528))</f>
        <v>19.714568375651989</v>
      </c>
      <c r="AV2148" s="119">
        <f>IF(tech_base!$T124&gt;AV$2025,"",fuel_costs!AN$12*0.086/tech_proj!AV248/(1-tech_proj!AV528))</f>
        <v>19.86973561901398</v>
      </c>
      <c r="AW2148" s="119">
        <f>IF(tech_base!$T124&gt;AW$2025,"",fuel_costs!AO$12*0.086/tech_proj!AW248/(1-tech_proj!AW528))</f>
        <v>20.015339616683494</v>
      </c>
      <c r="AX2148" s="120">
        <f>IF(tech_base!$T124&gt;AX$2025,"",fuel_costs!AP$12*0.086/tech_proj!AX248/(1-tech_proj!AX528))</f>
        <v>20.187306919893299</v>
      </c>
    </row>
    <row r="2149" spans="1:50" x14ac:dyDescent="0.25">
      <c r="A2149" s="356"/>
      <c r="B2149" s="359"/>
      <c r="C2149" s="378"/>
      <c r="D2149" s="2" t="s">
        <v>10</v>
      </c>
      <c r="E2149" s="76" t="str">
        <f>A2143&amp;"/"&amp;B2143&amp;"/"&amp;C2147&amp;"/"&amp;D2149</f>
        <v>Derived gas fired power plants/Steam turbine/CHP/S</v>
      </c>
      <c r="F2149" s="76" t="str">
        <f>A2143</f>
        <v>Derived gas fired power plants</v>
      </c>
      <c r="G2149" s="76" t="str">
        <f>B2143</f>
        <v>Steam turbine</v>
      </c>
      <c r="H2149" s="76" t="str">
        <f>C2147</f>
        <v>CHP</v>
      </c>
      <c r="I2149" s="76" t="str">
        <f t="shared" si="388"/>
        <v>S</v>
      </c>
      <c r="J2149" s="119">
        <f>IF(tech_base!$T125&gt;J$2025,"",fuel_costs!B$12*0.086/tech_proj!J249/(1-tech_proj!J529))</f>
        <v>12.591746047579106</v>
      </c>
      <c r="K2149" s="119">
        <f>IF(tech_base!$T125&gt;K$2025,"",fuel_costs!C$12*0.086/tech_proj!K249/(1-tech_proj!K529))</f>
        <v>14.699127607620815</v>
      </c>
      <c r="L2149" s="119">
        <f>IF(tech_base!$T125&gt;L$2025,"",fuel_costs!D$12*0.086/tech_proj!L249/(1-tech_proj!L529))</f>
        <v>13.277201587340363</v>
      </c>
      <c r="M2149" s="119">
        <f>IF(tech_base!$T125&gt;M$2025,"",fuel_costs!E$12*0.086/tech_proj!M249/(1-tech_proj!M529))</f>
        <v>12.521191811155974</v>
      </c>
      <c r="N2149" s="119">
        <f>IF(tech_base!$T125&gt;N$2025,"",fuel_costs!F$12*0.086/tech_proj!N249/(1-tech_proj!N529))</f>
        <v>12.293497462362133</v>
      </c>
      <c r="O2149" s="119">
        <f>IF(tech_base!$T125&gt;O$2025,"",fuel_costs!G$12*0.086/tech_proj!O249/(1-tech_proj!O529))</f>
        <v>11.921500739012817</v>
      </c>
      <c r="P2149" s="119">
        <f>IF(tech_base!$T125&gt;P$2025,"",fuel_costs!H$12*0.086/tech_proj!P249/(1-tech_proj!P529))</f>
        <v>12.375408388265203</v>
      </c>
      <c r="Q2149" s="119">
        <f>IF(tech_base!$T125&gt;Q$2025,"",fuel_costs!I$12*0.086/tech_proj!Q249/(1-tech_proj!Q529))</f>
        <v>14.495508772323552</v>
      </c>
      <c r="R2149" s="119">
        <f>IF(tech_base!$T125&gt;R$2025,"",fuel_costs!J$12*0.086/tech_proj!R249/(1-tech_proj!R529))</f>
        <v>14.610006543980445</v>
      </c>
      <c r="S2149" s="119">
        <f>IF(tech_base!$T125&gt;S$2025,"",fuel_costs!K$12*0.086/tech_proj!S249/(1-tech_proj!S529))</f>
        <v>14.724354276431788</v>
      </c>
      <c r="T2149" s="119">
        <f>IF(tech_base!$T125&gt;T$2025,"",fuel_costs!L$12*0.086/tech_proj!T249/(1-tech_proj!T529))</f>
        <v>14.838556935631805</v>
      </c>
      <c r="U2149" s="119">
        <f>IF(tech_base!$T125&gt;U$2025,"",fuel_costs!M$12*0.086/tech_proj!U249/(1-tech_proj!U529))</f>
        <v>15.12487621323459</v>
      </c>
      <c r="V2149" s="119">
        <f>IF(tech_base!$T125&gt;V$2025,"",fuel_costs!N$12*0.086/tech_proj!V249/(1-tech_proj!V529))</f>
        <v>15.191948814852596</v>
      </c>
      <c r="W2149" s="119">
        <f>IF(tech_base!$T125&gt;W$2025,"",fuel_costs!O$12*0.086/tech_proj!W249/(1-tech_proj!W529))</f>
        <v>15.24493494473273</v>
      </c>
      <c r="X2149" s="119">
        <f>IF(tech_base!$T125&gt;X$2025,"",fuel_costs!P$12*0.086/tech_proj!X249/(1-tech_proj!X529))</f>
        <v>15.3653256373464</v>
      </c>
      <c r="Y2149" s="119">
        <f>IF(tech_base!$T125&gt;Y$2025,"",fuel_costs!Q$12*0.086/tech_proj!Y249/(1-tech_proj!Y529))</f>
        <v>15.496910615870751</v>
      </c>
      <c r="Z2149" s="119">
        <f>IF(tech_base!$T125&gt;Z$2025,"",fuel_costs!R$12*0.086/tech_proj!Z249/(1-tech_proj!Z529))</f>
        <v>15.892939650110185</v>
      </c>
      <c r="AA2149" s="119">
        <f>IF(tech_base!$T125&gt;AA$2025,"",fuel_costs!S$12*0.086/tech_proj!AA249/(1-tech_proj!AA529))</f>
        <v>16.291245614441408</v>
      </c>
      <c r="AB2149" s="119">
        <f>IF(tech_base!$T125&gt;AB$2025,"",fuel_costs!T$12*0.086/tech_proj!AB249/(1-tech_proj!AB529))</f>
        <v>16.704056893715169</v>
      </c>
      <c r="AC2149" s="119">
        <f>IF(tech_base!$T125&gt;AC$2025,"",fuel_costs!U$12*0.086/tech_proj!AC249/(1-tech_proj!AC529))</f>
        <v>17.122998167036879</v>
      </c>
      <c r="AD2149" s="119">
        <f>IF(tech_base!$T125&gt;AD$2025,"",fuel_costs!V$12*0.086/tech_proj!AD249/(1-tech_proj!AD529))</f>
        <v>17.579040038948662</v>
      </c>
      <c r="AE2149" s="119">
        <f>IF(tech_base!$T125&gt;AE$2025,"",fuel_costs!W$12*0.086/tech_proj!AE249/(1-tech_proj!AE529))</f>
        <v>17.757204622264155</v>
      </c>
      <c r="AF2149" s="119">
        <f>IF(tech_base!$T125&gt;AF$2025,"",fuel_costs!X$12*0.086/tech_proj!AF249/(1-tech_proj!AF529))</f>
        <v>17.976613458339123</v>
      </c>
      <c r="AG2149" s="119">
        <f>IF(tech_base!$T125&gt;AG$2025,"",fuel_costs!Y$12*0.086/tech_proj!AG249/(1-tech_proj!AG529))</f>
        <v>18.203977046798997</v>
      </c>
      <c r="AH2149" s="119">
        <f>IF(tech_base!$T125&gt;AH$2025,"",fuel_costs!Z$12*0.086/tech_proj!AH249/(1-tech_proj!AH529))</f>
        <v>18.421119024013116</v>
      </c>
      <c r="AI2149" s="119">
        <f>IF(tech_base!$T125&gt;AI$2025,"",fuel_costs!AA$12*0.086/tech_proj!AI249/(1-tech_proj!AI529))</f>
        <v>18.624913840485846</v>
      </c>
      <c r="AJ2149" s="119">
        <f>IF(tech_base!$T125&gt;AJ$2025,"",fuel_costs!AB$12*0.086/tech_proj!AJ249/(1-tech_proj!AJ529))</f>
        <v>18.78863425237553</v>
      </c>
      <c r="AK2149" s="119">
        <f>IF(tech_base!$T125&gt;AK$2025,"",fuel_costs!AC$12*0.086/tech_proj!AK249/(1-tech_proj!AK529))</f>
        <v>18.970837123094721</v>
      </c>
      <c r="AL2149" s="119">
        <f>IF(tech_base!$T125&gt;AL$2025,"",fuel_costs!AD$12*0.086/tech_proj!AL249/(1-tech_proj!AL529))</f>
        <v>19.16687538412209</v>
      </c>
      <c r="AM2149" s="119">
        <f>IF(tech_base!$T125&gt;AM$2025,"",fuel_costs!AE$12*0.086/tech_proj!AM249/(1-tech_proj!AM529))</f>
        <v>19.374696263036128</v>
      </c>
      <c r="AN2149" s="119">
        <f>IF(tech_base!$T125&gt;AN$2025,"",fuel_costs!AF$12*0.086/tech_proj!AN249/(1-tech_proj!AN529))</f>
        <v>19.55100240463436</v>
      </c>
      <c r="AO2149" s="119">
        <f>IF(tech_base!$T125&gt;AO$2025,"",fuel_costs!AG$12*0.086/tech_proj!AO249/(1-tech_proj!AO529))</f>
        <v>19.725412426310857</v>
      </c>
      <c r="AP2149" s="119">
        <f>IF(tech_base!$T125&gt;AP$2025,"",fuel_costs!AH$12*0.086/tech_proj!AP249/(1-tech_proj!AP529))</f>
        <v>19.898706234393526</v>
      </c>
      <c r="AQ2149" s="119">
        <f>IF(tech_base!$T125&gt;AQ$2025,"",fuel_costs!AI$12*0.086/tech_proj!AQ249/(1-tech_proj!AQ529))</f>
        <v>20.07243287458067</v>
      </c>
      <c r="AR2149" s="119">
        <f>IF(tech_base!$T125&gt;AR$2025,"",fuel_costs!AJ$12*0.086/tech_proj!AR249/(1-tech_proj!AR529))</f>
        <v>20.257762309206505</v>
      </c>
      <c r="AS2149" s="119">
        <f>IF(tech_base!$T125&gt;AS$2025,"",fuel_costs!AK$12*0.086/tech_proj!AS249/(1-tech_proj!AS529))</f>
        <v>20.446674693358926</v>
      </c>
      <c r="AT2149" s="119">
        <f>IF(tech_base!$T125&gt;AT$2025,"",fuel_costs!AL$12*0.086/tech_proj!AT249/(1-tech_proj!AT529))</f>
        <v>20.592830647365766</v>
      </c>
      <c r="AU2149" s="119">
        <f>IF(tech_base!$T125&gt;AU$2025,"",fuel_costs!AM$12*0.086/tech_proj!AU249/(1-tech_proj!AU529))</f>
        <v>20.775667214244329</v>
      </c>
      <c r="AV2149" s="119">
        <f>IF(tech_base!$T125&gt;AV$2025,"",fuel_costs!AN$12*0.086/tech_proj!AV249/(1-tech_proj!AV529))</f>
        <v>20.939228049503892</v>
      </c>
      <c r="AW2149" s="119">
        <f>IF(tech_base!$T125&gt;AW$2025,"",fuel_costs!AO$12*0.086/tech_proj!AW249/(1-tech_proj!AW529))</f>
        <v>21.092710784781953</v>
      </c>
      <c r="AX2149" s="120">
        <f>IF(tech_base!$T125&gt;AX$2025,"",fuel_costs!AP$12*0.086/tech_proj!AX249/(1-tech_proj!AX529))</f>
        <v>21.273975808571812</v>
      </c>
    </row>
    <row r="2150" spans="1:50" x14ac:dyDescent="0.25">
      <c r="A2150" s="356"/>
      <c r="B2150" s="359"/>
      <c r="C2150" s="379"/>
      <c r="D2150" s="59" t="s">
        <v>20</v>
      </c>
      <c r="E2150" s="79" t="str">
        <f>A2143&amp;"/"&amp;B2143&amp;"/"&amp;C2147&amp;"/"&amp;D2150</f>
        <v>Derived gas fired power plants/Steam turbine/CHP/XS</v>
      </c>
      <c r="F2150" s="79" t="str">
        <f>A2143</f>
        <v>Derived gas fired power plants</v>
      </c>
      <c r="G2150" s="79" t="str">
        <f>B2143</f>
        <v>Steam turbine</v>
      </c>
      <c r="H2150" s="79" t="str">
        <f>C2147</f>
        <v>CHP</v>
      </c>
      <c r="I2150" s="79" t="str">
        <f t="shared" si="388"/>
        <v>XS</v>
      </c>
      <c r="J2150" s="125">
        <f>IF(tech_base!$T126&gt;J$2025,"",fuel_costs!B$12*0.086/tech_proj!J250/(1-tech_proj!J530))</f>
        <v>13.270607187475511</v>
      </c>
      <c r="K2150" s="125">
        <f>IF(tech_base!$T126&gt;K$2025,"",fuel_costs!C$12*0.086/tech_proj!K250/(1-tech_proj!K530))</f>
        <v>15.491650053649511</v>
      </c>
      <c r="L2150" s="125">
        <f>IF(tech_base!$T126&gt;L$2025,"",fuel_costs!D$12*0.086/tech_proj!L250/(1-tech_proj!L530))</f>
        <v>13.993099611498716</v>
      </c>
      <c r="M2150" s="125">
        <f>IF(tech_base!$T126&gt;M$2025,"",fuel_costs!E$12*0.086/tech_proj!M250/(1-tech_proj!M530))</f>
        <v>13.196363894855397</v>
      </c>
      <c r="N2150" s="125">
        <f>IF(tech_base!$T126&gt;N$2025,"",fuel_costs!F$12*0.086/tech_proj!N250/(1-tech_proj!N530))</f>
        <v>12.956428045250343</v>
      </c>
      <c r="O2150" s="125">
        <f>IF(tech_base!$T126&gt;O$2025,"",fuel_costs!G$12*0.086/tech_proj!O250/(1-tech_proj!O530))</f>
        <v>12.564405912072644</v>
      </c>
      <c r="P2150" s="125">
        <f>IF(tech_base!$T126&gt;P$2025,"",fuel_costs!H$12*0.086/tech_proj!P250/(1-tech_proj!P530))</f>
        <v>13.042827329758278</v>
      </c>
      <c r="Q2150" s="125">
        <f>IF(tech_base!$T126&gt;Q$2025,"",fuel_costs!I$12*0.086/tech_proj!Q250/(1-tech_proj!Q530))</f>
        <v>15.277307683860908</v>
      </c>
      <c r="R2150" s="125">
        <f>IF(tech_base!$T126&gt;R$2025,"",fuel_costs!J$12*0.086/tech_proj!R250/(1-tech_proj!R530))</f>
        <v>15.398021093394172</v>
      </c>
      <c r="S2150" s="125">
        <f>IF(tech_base!$T126&gt;S$2025,"",fuel_costs!K$12*0.086/tech_proj!S250/(1-tech_proj!S530))</f>
        <v>15.518576314574908</v>
      </c>
      <c r="T2150" s="125">
        <f>IF(tech_base!$T126&gt;T$2025,"",fuel_costs!L$12*0.086/tech_proj!T250/(1-tech_proj!T530))</f>
        <v>15.638978573523666</v>
      </c>
      <c r="U2150" s="125">
        <f>IF(tech_base!$T126&gt;U$2025,"",fuel_costs!M$12*0.086/tech_proj!U250/(1-tech_proj!U530))</f>
        <v>15.940782148693941</v>
      </c>
      <c r="V2150" s="125">
        <f>IF(tech_base!$T126&gt;V$2025,"",fuel_costs!N$12*0.086/tech_proj!V250/(1-tech_proj!V530))</f>
        <v>16.01151211155328</v>
      </c>
      <c r="W2150" s="125">
        <f>IF(tech_base!$T126&gt;W$2025,"",fuel_costs!O$12*0.086/tech_proj!W250/(1-tech_proj!W530))</f>
        <v>16.067395312565669</v>
      </c>
      <c r="X2150" s="125">
        <f>IF(tech_base!$T126&gt;X$2025,"",fuel_costs!P$12*0.086/tech_proj!X250/(1-tech_proj!X530))</f>
        <v>16.194319305235041</v>
      </c>
      <c r="Y2150" s="125">
        <f>IF(tech_base!$T126&gt;Y$2025,"",fuel_costs!Q$12*0.086/tech_proj!Y250/(1-tech_proj!Y530))</f>
        <v>16.333041502532591</v>
      </c>
      <c r="Z2150" s="125">
        <f>IF(tech_base!$T126&gt;Z$2025,"",fuel_costs!R$12*0.086/tech_proj!Z250/(1-tech_proj!Z530))</f>
        <v>16.750476368916626</v>
      </c>
      <c r="AA2150" s="125">
        <f>IF(tech_base!$T126&gt;AA$2025,"",fuel_costs!S$12*0.086/tech_proj!AA250/(1-tech_proj!AA530))</f>
        <v>17.170312252449435</v>
      </c>
      <c r="AB2150" s="125">
        <f>IF(tech_base!$T126&gt;AB$2025,"",fuel_costs!T$12*0.086/tech_proj!AB250/(1-tech_proj!AB530))</f>
        <v>17.605437379810539</v>
      </c>
      <c r="AC2150" s="125">
        <f>IF(tech_base!$T126&gt;AC$2025,"",fuel_costs!U$12*0.086/tech_proj!AC250/(1-tech_proj!AC530))</f>
        <v>18.047024524403014</v>
      </c>
      <c r="AD2150" s="125">
        <f>IF(tech_base!$T126&gt;AD$2025,"",fuel_costs!V$12*0.086/tech_proj!AD250/(1-tech_proj!AD530))</f>
        <v>18.527715661129637</v>
      </c>
      <c r="AE2150" s="125">
        <f>IF(tech_base!$T126&gt;AE$2025,"",fuel_costs!W$12*0.086/tech_proj!AE250/(1-tech_proj!AE530))</f>
        <v>18.715534226054086</v>
      </c>
      <c r="AF2150" s="125">
        <f>IF(tech_base!$T126&gt;AF$2025,"",fuel_costs!X$12*0.086/tech_proj!AF250/(1-tech_proj!AF530))</f>
        <v>18.946823113970378</v>
      </c>
      <c r="AG2150" s="125">
        <f>IF(tech_base!$T126&gt;AG$2025,"",fuel_costs!Y$12*0.086/tech_proj!AG250/(1-tech_proj!AG530))</f>
        <v>19.186496350424903</v>
      </c>
      <c r="AH2150" s="125">
        <f>IF(tech_base!$T126&gt;AH$2025,"",fuel_costs!Z$12*0.086/tech_proj!AH250/(1-tech_proj!AH530))</f>
        <v>19.415396540364597</v>
      </c>
      <c r="AI2150" s="125">
        <f>IF(tech_base!$T126&gt;AI$2025,"",fuel_costs!AA$12*0.086/tech_proj!AI250/(1-tech_proj!AI530))</f>
        <v>19.630229349033094</v>
      </c>
      <c r="AJ2150" s="125">
        <f>IF(tech_base!$T126&gt;AJ$2025,"",fuel_costs!AB$12*0.086/tech_proj!AJ250/(1-tech_proj!AJ530))</f>
        <v>19.802824730455832</v>
      </c>
      <c r="AK2150" s="125">
        <f>IF(tech_base!$T126&gt;AK$2025,"",fuel_costs!AC$12*0.086/tech_proj!AK250/(1-tech_proj!AK530))</f>
        <v>19.994900251715613</v>
      </c>
      <c r="AL2150" s="125">
        <f>IF(tech_base!$T126&gt;AL$2025,"",fuel_costs!AD$12*0.086/tech_proj!AL250/(1-tech_proj!AL530))</f>
        <v>20.201558083107674</v>
      </c>
      <c r="AM2150" s="125">
        <f>IF(tech_base!$T126&gt;AM$2025,"",fuel_costs!AE$12*0.086/tech_proj!AM250/(1-tech_proj!AM530))</f>
        <v>20.420634704425737</v>
      </c>
      <c r="AN2150" s="125">
        <f>IF(tech_base!$T126&gt;AN$2025,"",fuel_costs!AF$12*0.086/tech_proj!AN250/(1-tech_proj!AN530))</f>
        <v>20.606495338293225</v>
      </c>
      <c r="AO2150" s="125">
        <f>IF(tech_base!$T126&gt;AO$2025,"",fuel_costs!AG$12*0.086/tech_proj!AO250/(1-tech_proj!AO530))</f>
        <v>20.790357481666156</v>
      </c>
      <c r="AP2150" s="125">
        <f>IF(tech_base!$T126&gt;AP$2025,"",fuel_costs!AH$12*0.086/tech_proj!AP250/(1-tech_proj!AP530))</f>
        <v>20.973043130849678</v>
      </c>
      <c r="AQ2150" s="125">
        <f>IF(tech_base!$T126&gt;AQ$2025,"",fuel_costs!AI$12*0.086/tech_proj!AQ250/(1-tech_proj!AQ530))</f>
        <v>21.156184955107246</v>
      </c>
      <c r="AR2150" s="125">
        <f>IF(tech_base!$T126&gt;AR$2025,"",fuel_costs!AJ$12*0.086/tech_proj!AR250/(1-tech_proj!AR530))</f>
        <v>21.351556021519162</v>
      </c>
      <c r="AS2150" s="125">
        <f>IF(tech_base!$T126&gt;AS$2025,"",fuel_costs!AK$12*0.086/tech_proj!AS250/(1-tech_proj!AS530))</f>
        <v>21.55070350295567</v>
      </c>
      <c r="AT2150" s="125">
        <f>IF(tech_base!$T126&gt;AT$2025,"",fuel_costs!AL$12*0.086/tech_proj!AT250/(1-tech_proj!AT530))</f>
        <v>21.704785834121331</v>
      </c>
      <c r="AU2150" s="125">
        <f>IF(tech_base!$T126&gt;AU$2025,"",fuel_costs!AM$12*0.086/tech_proj!AU250/(1-tech_proj!AU530))</f>
        <v>21.897529348285239</v>
      </c>
      <c r="AV2150" s="125">
        <f>IF(tech_base!$T126&gt;AV$2025,"",fuel_costs!AN$12*0.086/tech_proj!AV250/(1-tech_proj!AV530))</f>
        <v>22.069956207413391</v>
      </c>
      <c r="AW2150" s="125">
        <f>IF(tech_base!$T126&gt;AW$2025,"",fuel_costs!AO$12*0.086/tech_proj!AW250/(1-tech_proj!AW530))</f>
        <v>22.231760636202957</v>
      </c>
      <c r="AX2150" s="126">
        <f>IF(tech_base!$T126&gt;AX$2025,"",fuel_costs!AP$12*0.086/tech_proj!AX250/(1-tech_proj!AX530))</f>
        <v>22.422847569953611</v>
      </c>
    </row>
    <row r="2151" spans="1:50" x14ac:dyDescent="0.25">
      <c r="A2151" s="356"/>
      <c r="B2151" s="359"/>
      <c r="C2151" s="361" t="s">
        <v>15</v>
      </c>
      <c r="D2151" s="58" t="s">
        <v>7</v>
      </c>
      <c r="E2151" s="78" t="str">
        <f>A2143&amp;"/"&amp;B2143&amp;"/"&amp;C2151&amp;"/"&amp;D2151</f>
        <v>Derived gas fired power plants/Steam turbine/Electricity only with CCS/L</v>
      </c>
      <c r="F2151" s="78" t="str">
        <f>A2143</f>
        <v>Derived gas fired power plants</v>
      </c>
      <c r="G2151" s="78" t="str">
        <f>B2143</f>
        <v>Steam turbine</v>
      </c>
      <c r="H2151" s="78" t="str">
        <f>C2151</f>
        <v>Electricity only with CCS</v>
      </c>
      <c r="I2151" s="78" t="str">
        <f t="shared" si="388"/>
        <v>L</v>
      </c>
      <c r="J2151" s="123" t="str">
        <f>IF(tech_base!$T127&gt;J$2025,"",fuel_costs!B$12*0.086/tech_proj!J251/(1-tech_proj!J531))</f>
        <v/>
      </c>
      <c r="K2151" s="123" t="str">
        <f>IF(tech_base!$T127&gt;K$2025,"",fuel_costs!C$12*0.086/tech_proj!K251/(1-tech_proj!K531))</f>
        <v/>
      </c>
      <c r="L2151" s="123" t="str">
        <f>IF(tech_base!$T127&gt;L$2025,"",fuel_costs!D$12*0.086/tech_proj!L251/(1-tech_proj!L531))</f>
        <v/>
      </c>
      <c r="M2151" s="123" t="str">
        <f>IF(tech_base!$T127&gt;M$2025,"",fuel_costs!E$12*0.086/tech_proj!M251/(1-tech_proj!M531))</f>
        <v/>
      </c>
      <c r="N2151" s="123" t="str">
        <f>IF(tech_base!$T127&gt;N$2025,"",fuel_costs!F$12*0.086/tech_proj!N251/(1-tech_proj!N531))</f>
        <v/>
      </c>
      <c r="O2151" s="123" t="str">
        <f>IF(tech_base!$T127&gt;O$2025,"",fuel_costs!G$12*0.086/tech_proj!O251/(1-tech_proj!O531))</f>
        <v/>
      </c>
      <c r="P2151" s="123" t="str">
        <f>IF(tech_base!$T127&gt;P$2025,"",fuel_costs!H$12*0.086/tech_proj!P251/(1-tech_proj!P531))</f>
        <v/>
      </c>
      <c r="Q2151" s="123" t="str">
        <f>IF(tech_base!$T127&gt;Q$2025,"",fuel_costs!I$12*0.086/tech_proj!Q251/(1-tech_proj!Q531))</f>
        <v/>
      </c>
      <c r="R2151" s="123" t="str">
        <f>IF(tech_base!$T127&gt;R$2025,"",fuel_costs!J$12*0.086/tech_proj!R251/(1-tech_proj!R531))</f>
        <v/>
      </c>
      <c r="S2151" s="123" t="str">
        <f>IF(tech_base!$T127&gt;S$2025,"",fuel_costs!K$12*0.086/tech_proj!S251/(1-tech_proj!S531))</f>
        <v/>
      </c>
      <c r="T2151" s="123" t="str">
        <f>IF(tech_base!$T127&gt;T$2025,"",fuel_costs!L$12*0.086/tech_proj!T251/(1-tech_proj!T531))</f>
        <v/>
      </c>
      <c r="U2151" s="123" t="str">
        <f>IF(tech_base!$T127&gt;U$2025,"",fuel_costs!M$12*0.086/tech_proj!U251/(1-tech_proj!U531))</f>
        <v/>
      </c>
      <c r="V2151" s="123" t="str">
        <f>IF(tech_base!$T127&gt;V$2025,"",fuel_costs!N$12*0.086/tech_proj!V251/(1-tech_proj!V531))</f>
        <v/>
      </c>
      <c r="W2151" s="123" t="str">
        <f>IF(tech_base!$T127&gt;W$2025,"",fuel_costs!O$12*0.086/tech_proj!W251/(1-tech_proj!W531))</f>
        <v/>
      </c>
      <c r="X2151" s="123" t="str">
        <f>IF(tech_base!$T127&gt;X$2025,"",fuel_costs!P$12*0.086/tech_proj!X251/(1-tech_proj!X531))</f>
        <v/>
      </c>
      <c r="Y2151" s="123" t="str">
        <f>IF(tech_base!$T127&gt;Y$2025,"",fuel_costs!Q$12*0.086/tech_proj!Y251/(1-tech_proj!Y531))</f>
        <v/>
      </c>
      <c r="Z2151" s="123" t="str">
        <f>IF(tech_base!$T127&gt;Z$2025,"",fuel_costs!R$12*0.086/tech_proj!Z251/(1-tech_proj!Z531))</f>
        <v/>
      </c>
      <c r="AA2151" s="123" t="str">
        <f>IF(tech_base!$T127&gt;AA$2025,"",fuel_costs!S$12*0.086/tech_proj!AA251/(1-tech_proj!AA531))</f>
        <v/>
      </c>
      <c r="AB2151" s="123" t="str">
        <f>IF(tech_base!$T127&gt;AB$2025,"",fuel_costs!T$12*0.086/tech_proj!AB251/(1-tech_proj!AB531))</f>
        <v/>
      </c>
      <c r="AC2151" s="123" t="str">
        <f>IF(tech_base!$T127&gt;AC$2025,"",fuel_costs!U$12*0.086/tech_proj!AC251/(1-tech_proj!AC531))</f>
        <v/>
      </c>
      <c r="AD2151" s="123" t="str">
        <f>IF(tech_base!$T127&gt;AD$2025,"",fuel_costs!V$12*0.086/tech_proj!AD251/(1-tech_proj!AD531))</f>
        <v/>
      </c>
      <c r="AE2151" s="123">
        <f>IF(tech_base!$T127&gt;AE$2025,"",fuel_costs!W$12*0.086/tech_proj!AE251/(1-tech_proj!AE531))</f>
        <v>20.018254030227887</v>
      </c>
      <c r="AF2151" s="123">
        <f>IF(tech_base!$T127&gt;AF$2025,"",fuel_costs!X$12*0.086/tech_proj!AF251/(1-tech_proj!AF531))</f>
        <v>20.265689324009909</v>
      </c>
      <c r="AG2151" s="123">
        <f>IF(tech_base!$T127&gt;AG$2025,"",fuel_costs!Y$12*0.086/tech_proj!AG251/(1-tech_proj!AG531))</f>
        <v>20.522092869841089</v>
      </c>
      <c r="AH2151" s="123">
        <f>IF(tech_base!$T127&gt;AH$2025,"",fuel_costs!Z$12*0.086/tech_proj!AH251/(1-tech_proj!AH531))</f>
        <v>20.766973699902405</v>
      </c>
      <c r="AI2151" s="123">
        <f>IF(tech_base!$T127&gt;AI$2025,"",fuel_costs!AA$12*0.086/tech_proj!AI251/(1-tech_proj!AI531))</f>
        <v>20.996808047759462</v>
      </c>
      <c r="AJ2151" s="123">
        <f>IF(tech_base!$T127&gt;AJ$2025,"",fuel_costs!AB$12*0.086/tech_proj!AJ251/(1-tech_proj!AJ531))</f>
        <v>21.181464602861574</v>
      </c>
      <c r="AK2151" s="123">
        <f>IF(tech_base!$T127&gt;AK$2025,"",fuel_costs!AC$12*0.086/tech_proj!AK251/(1-tech_proj!AK531))</f>
        <v>21.386957446981999</v>
      </c>
      <c r="AL2151" s="123">
        <f>IF(tech_base!$T127&gt;AL$2025,"",fuel_costs!AD$12*0.086/tech_proj!AL251/(1-tech_proj!AL531))</f>
        <v>21.608047872723635</v>
      </c>
      <c r="AM2151" s="123">
        <f>IF(tech_base!$T127&gt;AM$2025,"",fuel_costs!AE$12*0.086/tech_proj!AM251/(1-tech_proj!AM531))</f>
        <v>21.842421811161195</v>
      </c>
      <c r="AN2151" s="123">
        <f>IF(tech_base!$T127&gt;AN$2025,"",fuel_costs!AF$12*0.086/tech_proj!AN251/(1-tech_proj!AN531))</f>
        <v>22.041267134120069</v>
      </c>
      <c r="AO2151" s="123">
        <f>IF(tech_base!$T127&gt;AO$2025,"",fuel_costs!AG$12*0.086/tech_proj!AO251/(1-tech_proj!AO531))</f>
        <v>22.237974768792345</v>
      </c>
      <c r="AP2151" s="123">
        <f>IF(tech_base!$T127&gt;AP$2025,"",fuel_costs!AH$12*0.086/tech_proj!AP251/(1-tech_proj!AP531))</f>
        <v>22.433423928487947</v>
      </c>
      <c r="AQ2151" s="123">
        <f>IF(tech_base!$T127&gt;AQ$2025,"",fuel_costs!AI$12*0.086/tech_proj!AQ251/(1-tech_proj!AQ531))</f>
        <v>22.629360956760891</v>
      </c>
      <c r="AR2151" s="123">
        <f>IF(tech_base!$T127&gt;AR$2025,"",fuel_costs!AJ$12*0.086/tech_proj!AR251/(1-tech_proj!AR531))</f>
        <v>22.838378738474077</v>
      </c>
      <c r="AS2151" s="123">
        <f>IF(tech_base!$T127&gt;AS$2025,"",fuel_costs!AK$12*0.086/tech_proj!AS251/(1-tech_proj!AS531))</f>
        <v>23.051435879873839</v>
      </c>
      <c r="AT2151" s="123">
        <f>IF(tech_base!$T127&gt;AT$2025,"",fuel_costs!AL$12*0.086/tech_proj!AT251/(1-tech_proj!AT531))</f>
        <v>23.216289542995103</v>
      </c>
      <c r="AU2151" s="123">
        <f>IF(tech_base!$T127&gt;AU$2025,"",fuel_costs!AM$12*0.086/tech_proj!AU251/(1-tech_proj!AU531))</f>
        <v>23.422496591334436</v>
      </c>
      <c r="AV2151" s="123">
        <f>IF(tech_base!$T127&gt;AV$2025,"",fuel_costs!AN$12*0.086/tech_proj!AV251/(1-tech_proj!AV531))</f>
        <v>23.606972009979994</v>
      </c>
      <c r="AW2151" s="123">
        <f>IF(tech_base!$T127&gt;AW$2025,"",fuel_costs!AO$12*0.086/tech_proj!AW251/(1-tech_proj!AW531))</f>
        <v>23.78008505898336</v>
      </c>
      <c r="AX2151" s="124">
        <f>IF(tech_base!$T127&gt;AX$2025,"",fuel_costs!AP$12*0.086/tech_proj!AX251/(1-tech_proj!AX531))</f>
        <v>23.984519851521096</v>
      </c>
    </row>
    <row r="2152" spans="1:50" x14ac:dyDescent="0.25">
      <c r="A2152" s="356"/>
      <c r="B2152" s="359"/>
      <c r="C2152" s="379"/>
      <c r="D2152" s="59" t="s">
        <v>8</v>
      </c>
      <c r="E2152" s="79" t="str">
        <f>A2143&amp;"/"&amp;B2143&amp;"/"&amp;C2151&amp;"/"&amp;D2152</f>
        <v>Derived gas fired power plants/Steam turbine/Electricity only with CCS/M</v>
      </c>
      <c r="F2152" s="79" t="str">
        <f>A2143</f>
        <v>Derived gas fired power plants</v>
      </c>
      <c r="G2152" s="79" t="str">
        <f>B2143</f>
        <v>Steam turbine</v>
      </c>
      <c r="H2152" s="79" t="str">
        <f>C2151</f>
        <v>Electricity only with CCS</v>
      </c>
      <c r="I2152" s="79" t="str">
        <f t="shared" si="388"/>
        <v>M</v>
      </c>
      <c r="J2152" s="125" t="str">
        <f>IF(tech_base!$T128&gt;J$2025,"",fuel_costs!B$12*0.086/tech_proj!J252/(1-tech_proj!J532))</f>
        <v/>
      </c>
      <c r="K2152" s="125" t="str">
        <f>IF(tech_base!$T128&gt;K$2025,"",fuel_costs!C$12*0.086/tech_proj!K252/(1-tech_proj!K532))</f>
        <v/>
      </c>
      <c r="L2152" s="125" t="str">
        <f>IF(tech_base!$T128&gt;L$2025,"",fuel_costs!D$12*0.086/tech_proj!L252/(1-tech_proj!L532))</f>
        <v/>
      </c>
      <c r="M2152" s="125" t="str">
        <f>IF(tech_base!$T128&gt;M$2025,"",fuel_costs!E$12*0.086/tech_proj!M252/(1-tech_proj!M532))</f>
        <v/>
      </c>
      <c r="N2152" s="125" t="str">
        <f>IF(tech_base!$T128&gt;N$2025,"",fuel_costs!F$12*0.086/tech_proj!N252/(1-tech_proj!N532))</f>
        <v/>
      </c>
      <c r="O2152" s="125" t="str">
        <f>IF(tech_base!$T128&gt;O$2025,"",fuel_costs!G$12*0.086/tech_proj!O252/(1-tech_proj!O532))</f>
        <v/>
      </c>
      <c r="P2152" s="125" t="str">
        <f>IF(tech_base!$T128&gt;P$2025,"",fuel_costs!H$12*0.086/tech_proj!P252/(1-tech_proj!P532))</f>
        <v/>
      </c>
      <c r="Q2152" s="125" t="str">
        <f>IF(tech_base!$T128&gt;Q$2025,"",fuel_costs!I$12*0.086/tech_proj!Q252/(1-tech_proj!Q532))</f>
        <v/>
      </c>
      <c r="R2152" s="125" t="str">
        <f>IF(tech_base!$T128&gt;R$2025,"",fuel_costs!J$12*0.086/tech_proj!R252/(1-tech_proj!R532))</f>
        <v/>
      </c>
      <c r="S2152" s="125" t="str">
        <f>IF(tech_base!$T128&gt;S$2025,"",fuel_costs!K$12*0.086/tech_proj!S252/(1-tech_proj!S532))</f>
        <v/>
      </c>
      <c r="T2152" s="125" t="str">
        <f>IF(tech_base!$T128&gt;T$2025,"",fuel_costs!L$12*0.086/tech_proj!T252/(1-tech_proj!T532))</f>
        <v/>
      </c>
      <c r="U2152" s="125" t="str">
        <f>IF(tech_base!$T128&gt;U$2025,"",fuel_costs!M$12*0.086/tech_proj!U252/(1-tech_proj!U532))</f>
        <v/>
      </c>
      <c r="V2152" s="125" t="str">
        <f>IF(tech_base!$T128&gt;V$2025,"",fuel_costs!N$12*0.086/tech_proj!V252/(1-tech_proj!V532))</f>
        <v/>
      </c>
      <c r="W2152" s="125" t="str">
        <f>IF(tech_base!$T128&gt;W$2025,"",fuel_costs!O$12*0.086/tech_proj!W252/(1-tech_proj!W532))</f>
        <v/>
      </c>
      <c r="X2152" s="125" t="str">
        <f>IF(tech_base!$T128&gt;X$2025,"",fuel_costs!P$12*0.086/tech_proj!X252/(1-tech_proj!X532))</f>
        <v/>
      </c>
      <c r="Y2152" s="125" t="str">
        <f>IF(tech_base!$T128&gt;Y$2025,"",fuel_costs!Q$12*0.086/tech_proj!Y252/(1-tech_proj!Y532))</f>
        <v/>
      </c>
      <c r="Z2152" s="125" t="str">
        <f>IF(tech_base!$T128&gt;Z$2025,"",fuel_costs!R$12*0.086/tech_proj!Z252/(1-tech_proj!Z532))</f>
        <v/>
      </c>
      <c r="AA2152" s="125" t="str">
        <f>IF(tech_base!$T128&gt;AA$2025,"",fuel_costs!S$12*0.086/tech_proj!AA252/(1-tech_proj!AA532))</f>
        <v/>
      </c>
      <c r="AB2152" s="125" t="str">
        <f>IF(tech_base!$T128&gt;AB$2025,"",fuel_costs!T$12*0.086/tech_proj!AB252/(1-tech_proj!AB532))</f>
        <v/>
      </c>
      <c r="AC2152" s="125" t="str">
        <f>IF(tech_base!$T128&gt;AC$2025,"",fuel_costs!U$12*0.086/tech_proj!AC252/(1-tech_proj!AC532))</f>
        <v/>
      </c>
      <c r="AD2152" s="125" t="str">
        <f>IF(tech_base!$T128&gt;AD$2025,"",fuel_costs!V$12*0.086/tech_proj!AD252/(1-tech_proj!AD532))</f>
        <v/>
      </c>
      <c r="AE2152" s="125">
        <f>IF(tech_base!$T128&gt;AE$2025,"",fuel_costs!W$12*0.086/tech_proj!AE252/(1-tech_proj!AE532))</f>
        <v>21.446598948545969</v>
      </c>
      <c r="AF2152" s="125">
        <f>IF(tech_base!$T128&gt;AF$2025,"",fuel_costs!X$12*0.086/tech_proj!AF252/(1-tech_proj!AF532))</f>
        <v>21.711689275776582</v>
      </c>
      <c r="AG2152" s="125">
        <f>IF(tech_base!$T128&gt;AG$2025,"",fuel_costs!Y$12*0.086/tech_proj!AG252/(1-tech_proj!AG532))</f>
        <v>21.986387758877203</v>
      </c>
      <c r="AH2152" s="125">
        <f>IF(tech_base!$T128&gt;AH$2025,"",fuel_costs!Z$12*0.086/tech_proj!AH252/(1-tech_proj!AH532))</f>
        <v>22.248741355978215</v>
      </c>
      <c r="AI2152" s="125">
        <f>IF(tech_base!$T128&gt;AI$2025,"",fuel_costs!AA$12*0.086/tech_proj!AI252/(1-tech_proj!AI532))</f>
        <v>22.494974872430134</v>
      </c>
      <c r="AJ2152" s="125">
        <f>IF(tech_base!$T128&gt;AJ$2025,"",fuel_costs!AB$12*0.086/tech_proj!AJ252/(1-tech_proj!AJ532))</f>
        <v>22.692807064713993</v>
      </c>
      <c r="AK2152" s="125">
        <f>IF(tech_base!$T128&gt;AK$2025,"",fuel_costs!AC$12*0.086/tech_proj!AK252/(1-tech_proj!AK532))</f>
        <v>22.912962259467339</v>
      </c>
      <c r="AL2152" s="125">
        <f>IF(tech_base!$T128&gt;AL$2025,"",fuel_costs!AD$12*0.086/tech_proj!AL252/(1-tech_proj!AL532))</f>
        <v>23.149827956399957</v>
      </c>
      <c r="AM2152" s="125">
        <f>IF(tech_base!$T128&gt;AM$2025,"",fuel_costs!AE$12*0.086/tech_proj!AM252/(1-tech_proj!AM532))</f>
        <v>23.400924972856611</v>
      </c>
      <c r="AN2152" s="125">
        <f>IF(tech_base!$T128&gt;AN$2025,"",fuel_costs!AF$12*0.086/tech_proj!AN252/(1-tech_proj!AN532))</f>
        <v>23.613958331702666</v>
      </c>
      <c r="AO2152" s="125">
        <f>IF(tech_base!$T128&gt;AO$2025,"",fuel_costs!AG$12*0.086/tech_proj!AO252/(1-tech_proj!AO532))</f>
        <v>23.824701473665154</v>
      </c>
      <c r="AP2152" s="125">
        <f>IF(tech_base!$T128&gt;AP$2025,"",fuel_costs!AH$12*0.086/tech_proj!AP252/(1-tech_proj!AP532))</f>
        <v>24.034096345789983</v>
      </c>
      <c r="AQ2152" s="125">
        <f>IF(tech_base!$T128&gt;AQ$2025,"",fuel_costs!AI$12*0.086/tech_proj!AQ252/(1-tech_proj!AQ532))</f>
        <v>24.244013896950751</v>
      </c>
      <c r="AR2152" s="125">
        <f>IF(tech_base!$T128&gt;AR$2025,"",fuel_costs!AJ$12*0.086/tech_proj!AR252/(1-tech_proj!AR532))</f>
        <v>24.467945541076581</v>
      </c>
      <c r="AS2152" s="125">
        <f>IF(tech_base!$T128&gt;AS$2025,"",fuel_costs!AK$12*0.086/tech_proj!AS252/(1-tech_proj!AS532))</f>
        <v>24.696204761777075</v>
      </c>
      <c r="AT2152" s="125">
        <f>IF(tech_base!$T128&gt;AT$2025,"",fuel_costs!AL$12*0.086/tech_proj!AT252/(1-tech_proj!AT532))</f>
        <v>24.872821083701147</v>
      </c>
      <c r="AU2152" s="125">
        <f>IF(tech_base!$T128&gt;AU$2025,"",fuel_costs!AM$12*0.086/tech_proj!AU252/(1-tech_proj!AU532))</f>
        <v>25.09374144266048</v>
      </c>
      <c r="AV2152" s="125">
        <f>IF(tech_base!$T128&gt;AV$2025,"",fuel_costs!AN$12*0.086/tech_proj!AV252/(1-tech_proj!AV532))</f>
        <v>25.2913795740171</v>
      </c>
      <c r="AW2152" s="125">
        <f>IF(tech_base!$T128&gt;AW$2025,"",fuel_costs!AO$12*0.086/tech_proj!AW252/(1-tech_proj!AW532))</f>
        <v>25.476844606538364</v>
      </c>
      <c r="AX2152" s="126">
        <f>IF(tech_base!$T128&gt;AX$2025,"",fuel_costs!AP$12*0.086/tech_proj!AX252/(1-tech_proj!AX532))</f>
        <v>25.695866255482645</v>
      </c>
    </row>
    <row r="2153" spans="1:50" x14ac:dyDescent="0.25">
      <c r="A2153" s="356"/>
      <c r="B2153" s="359"/>
      <c r="C2153" s="361" t="s">
        <v>16</v>
      </c>
      <c r="D2153" s="2" t="s">
        <v>7</v>
      </c>
      <c r="E2153" s="76" t="str">
        <f>A2143&amp;"/"&amp;B2143&amp;"/"&amp;C2153&amp;"/"&amp;D2153</f>
        <v>Derived gas fired power plants/Steam turbine/CHP with CCS/L</v>
      </c>
      <c r="F2153" s="76" t="str">
        <f>A2143</f>
        <v>Derived gas fired power plants</v>
      </c>
      <c r="G2153" s="76" t="str">
        <f>B2143</f>
        <v>Steam turbine</v>
      </c>
      <c r="H2153" s="76" t="str">
        <f>C2153</f>
        <v>CHP with CCS</v>
      </c>
      <c r="I2153" s="76" t="str">
        <f t="shared" si="388"/>
        <v>L</v>
      </c>
      <c r="J2153" s="119" t="str">
        <f>IF(tech_base!$T129&gt;J$2025,"",fuel_costs!B$12*0.086/tech_proj!J253/(1-tech_proj!J533))</f>
        <v/>
      </c>
      <c r="K2153" s="119" t="str">
        <f>IF(tech_base!$T129&gt;K$2025,"",fuel_costs!C$12*0.086/tech_proj!K253/(1-tech_proj!K533))</f>
        <v/>
      </c>
      <c r="L2153" s="119" t="str">
        <f>IF(tech_base!$T129&gt;L$2025,"",fuel_costs!D$12*0.086/tech_proj!L253/(1-tech_proj!L533))</f>
        <v/>
      </c>
      <c r="M2153" s="119" t="str">
        <f>IF(tech_base!$T129&gt;M$2025,"",fuel_costs!E$12*0.086/tech_proj!M253/(1-tech_proj!M533))</f>
        <v/>
      </c>
      <c r="N2153" s="119" t="str">
        <f>IF(tech_base!$T129&gt;N$2025,"",fuel_costs!F$12*0.086/tech_proj!N253/(1-tech_proj!N533))</f>
        <v/>
      </c>
      <c r="O2153" s="119" t="str">
        <f>IF(tech_base!$T129&gt;O$2025,"",fuel_costs!G$12*0.086/tech_proj!O253/(1-tech_proj!O533))</f>
        <v/>
      </c>
      <c r="P2153" s="119" t="str">
        <f>IF(tech_base!$T129&gt;P$2025,"",fuel_costs!H$12*0.086/tech_proj!P253/(1-tech_proj!P533))</f>
        <v/>
      </c>
      <c r="Q2153" s="119" t="str">
        <f>IF(tech_base!$T129&gt;Q$2025,"",fuel_costs!I$12*0.086/tech_proj!Q253/(1-tech_proj!Q533))</f>
        <v/>
      </c>
      <c r="R2153" s="119" t="str">
        <f>IF(tech_base!$T129&gt;R$2025,"",fuel_costs!J$12*0.086/tech_proj!R253/(1-tech_proj!R533))</f>
        <v/>
      </c>
      <c r="S2153" s="119" t="str">
        <f>IF(tech_base!$T129&gt;S$2025,"",fuel_costs!K$12*0.086/tech_proj!S253/(1-tech_proj!S533))</f>
        <v/>
      </c>
      <c r="T2153" s="119" t="str">
        <f>IF(tech_base!$T129&gt;T$2025,"",fuel_costs!L$12*0.086/tech_proj!T253/(1-tech_proj!T533))</f>
        <v/>
      </c>
      <c r="U2153" s="119" t="str">
        <f>IF(tech_base!$T129&gt;U$2025,"",fuel_costs!M$12*0.086/tech_proj!U253/(1-tech_proj!U533))</f>
        <v/>
      </c>
      <c r="V2153" s="119" t="str">
        <f>IF(tech_base!$T129&gt;V$2025,"",fuel_costs!N$12*0.086/tech_proj!V253/(1-tech_proj!V533))</f>
        <v/>
      </c>
      <c r="W2153" s="119" t="str">
        <f>IF(tech_base!$T129&gt;W$2025,"",fuel_costs!O$12*0.086/tech_proj!W253/(1-tech_proj!W533))</f>
        <v/>
      </c>
      <c r="X2153" s="119" t="str">
        <f>IF(tech_base!$T129&gt;X$2025,"",fuel_costs!P$12*0.086/tech_proj!X253/(1-tech_proj!X533))</f>
        <v/>
      </c>
      <c r="Y2153" s="119" t="str">
        <f>IF(tech_base!$T129&gt;Y$2025,"",fuel_costs!Q$12*0.086/tech_proj!Y253/(1-tech_proj!Y533))</f>
        <v/>
      </c>
      <c r="Z2153" s="119" t="str">
        <f>IF(tech_base!$T129&gt;Z$2025,"",fuel_costs!R$12*0.086/tech_proj!Z253/(1-tech_proj!Z533))</f>
        <v/>
      </c>
      <c r="AA2153" s="119" t="str">
        <f>IF(tech_base!$T129&gt;AA$2025,"",fuel_costs!S$12*0.086/tech_proj!AA253/(1-tech_proj!AA533))</f>
        <v/>
      </c>
      <c r="AB2153" s="119" t="str">
        <f>IF(tech_base!$T129&gt;AB$2025,"",fuel_costs!T$12*0.086/tech_proj!AB253/(1-tech_proj!AB533))</f>
        <v/>
      </c>
      <c r="AC2153" s="119" t="str">
        <f>IF(tech_base!$T129&gt;AC$2025,"",fuel_costs!U$12*0.086/tech_proj!AC253/(1-tech_proj!AC533))</f>
        <v/>
      </c>
      <c r="AD2153" s="119" t="str">
        <f>IF(tech_base!$T129&gt;AD$2025,"",fuel_costs!V$12*0.086/tech_proj!AD253/(1-tech_proj!AD533))</f>
        <v/>
      </c>
      <c r="AE2153" s="119">
        <f>IF(tech_base!$T129&gt;AE$2025,"",fuel_costs!W$12*0.086/tech_proj!AE253/(1-tech_proj!AE533))</f>
        <v>22.934241507318625</v>
      </c>
      <c r="AF2153" s="119">
        <f>IF(tech_base!$T129&gt;AF$2025,"",fuel_costs!X$12*0.086/tech_proj!AF253/(1-tech_proj!AF533))</f>
        <v>23.217719815489872</v>
      </c>
      <c r="AG2153" s="119">
        <f>IF(tech_base!$T129&gt;AG$2025,"",fuel_costs!Y$12*0.086/tech_proj!AG253/(1-tech_proj!AG533))</f>
        <v>23.511472748914812</v>
      </c>
      <c r="AH2153" s="119">
        <f>IF(tech_base!$T129&gt;AH$2025,"",fuel_costs!Z$12*0.086/tech_proj!AH253/(1-tech_proj!AH533))</f>
        <v>23.792024493770203</v>
      </c>
      <c r="AI2153" s="119">
        <f>IF(tech_base!$T129&gt;AI$2025,"",fuel_costs!AA$12*0.086/tech_proj!AI253/(1-tech_proj!AI533))</f>
        <v>24.055337989166524</v>
      </c>
      <c r="AJ2153" s="119">
        <f>IF(tech_base!$T129&gt;AJ$2025,"",fuel_costs!AB$12*0.086/tech_proj!AJ253/(1-tech_proj!AJ533))</f>
        <v>24.266892804298081</v>
      </c>
      <c r="AK2153" s="119">
        <f>IF(tech_base!$T129&gt;AK$2025,"",fuel_costs!AC$12*0.086/tech_proj!AK253/(1-tech_proj!AK533))</f>
        <v>24.502319056156367</v>
      </c>
      <c r="AL2153" s="119">
        <f>IF(tech_base!$T129&gt;AL$2025,"",fuel_costs!AD$12*0.086/tech_proj!AL253/(1-tech_proj!AL533))</f>
        <v>24.755614933571948</v>
      </c>
      <c r="AM2153" s="119">
        <f>IF(tech_base!$T129&gt;AM$2025,"",fuel_costs!AE$12*0.086/tech_proj!AM253/(1-tech_proj!AM533))</f>
        <v>25.024129285474562</v>
      </c>
      <c r="AN2153" s="119">
        <f>IF(tech_base!$T129&gt;AN$2025,"",fuel_costs!AF$12*0.086/tech_proj!AN253/(1-tech_proj!AN533))</f>
        <v>25.25193969553596</v>
      </c>
      <c r="AO2153" s="119">
        <f>IF(tech_base!$T129&gt;AO$2025,"",fuel_costs!AG$12*0.086/tech_proj!AO253/(1-tech_proj!AO533))</f>
        <v>25.477301027902673</v>
      </c>
      <c r="AP2153" s="119">
        <f>IF(tech_base!$T129&gt;AP$2025,"",fuel_costs!AH$12*0.086/tech_proj!AP253/(1-tech_proj!AP533))</f>
        <v>25.701220567743302</v>
      </c>
      <c r="AQ2153" s="119">
        <f>IF(tech_base!$T129&gt;AQ$2025,"",fuel_costs!AI$12*0.086/tech_proj!AQ253/(1-tech_proj!AQ533))</f>
        <v>25.925699042232253</v>
      </c>
      <c r="AR2153" s="119">
        <f>IF(tech_base!$T129&gt;AR$2025,"",fuel_costs!AJ$12*0.086/tech_proj!AR253/(1-tech_proj!AR533))</f>
        <v>26.165163696736872</v>
      </c>
      <c r="AS2153" s="119">
        <f>IF(tech_base!$T129&gt;AS$2025,"",fuel_costs!AK$12*0.086/tech_proj!AS253/(1-tech_proj!AS533))</f>
        <v>26.409256110008414</v>
      </c>
      <c r="AT2153" s="119">
        <f>IF(tech_base!$T129&gt;AT$2025,"",fuel_costs!AL$12*0.086/tech_proj!AT253/(1-tech_proj!AT533))</f>
        <v>26.598123416701608</v>
      </c>
      <c r="AU2153" s="119">
        <f>IF(tech_base!$T129&gt;AU$2025,"",fuel_costs!AM$12*0.086/tech_proj!AU253/(1-tech_proj!AU533))</f>
        <v>26.834367908353297</v>
      </c>
      <c r="AV2153" s="119">
        <f>IF(tech_base!$T129&gt;AV$2025,"",fuel_costs!AN$12*0.086/tech_proj!AV253/(1-tech_proj!AV533))</f>
        <v>27.045715201528434</v>
      </c>
      <c r="AW2153" s="119">
        <f>IF(tech_base!$T129&gt;AW$2025,"",fuel_costs!AO$12*0.086/tech_proj!AW253/(1-tech_proj!AW533))</f>
        <v>27.244045009308692</v>
      </c>
      <c r="AX2153" s="120">
        <f>IF(tech_base!$T129&gt;AX$2025,"",fuel_costs!AP$12*0.086/tech_proj!AX253/(1-tech_proj!AX533))</f>
        <v>27.478259086993948</v>
      </c>
    </row>
    <row r="2154" spans="1:50" x14ac:dyDescent="0.25">
      <c r="A2154" s="357"/>
      <c r="B2154" s="362"/>
      <c r="C2154" s="381"/>
      <c r="D2154" s="4" t="s">
        <v>8</v>
      </c>
      <c r="E2154" s="80" t="str">
        <f>A2143&amp;"/"&amp;B2143&amp;"/"&amp;C2153&amp;"/"&amp;D2154</f>
        <v>Derived gas fired power plants/Steam turbine/CHP with CCS/M</v>
      </c>
      <c r="F2154" s="80" t="str">
        <f>A2143</f>
        <v>Derived gas fired power plants</v>
      </c>
      <c r="G2154" s="80" t="str">
        <f>B2143</f>
        <v>Steam turbine</v>
      </c>
      <c r="H2154" s="80" t="str">
        <f>C2153</f>
        <v>CHP with CCS</v>
      </c>
      <c r="I2154" s="80" t="str">
        <f t="shared" si="388"/>
        <v>M</v>
      </c>
      <c r="J2154" s="127" t="str">
        <f>IF(tech_base!$T130&gt;J$2025,"",fuel_costs!B$12*0.086/tech_proj!J254/(1-tech_proj!J534))</f>
        <v/>
      </c>
      <c r="K2154" s="127" t="str">
        <f>IF(tech_base!$T130&gt;K$2025,"",fuel_costs!C$12*0.086/tech_proj!K254/(1-tech_proj!K534))</f>
        <v/>
      </c>
      <c r="L2154" s="127" t="str">
        <f>IF(tech_base!$T130&gt;L$2025,"",fuel_costs!D$12*0.086/tech_proj!L254/(1-tech_proj!L534))</f>
        <v/>
      </c>
      <c r="M2154" s="127" t="str">
        <f>IF(tech_base!$T130&gt;M$2025,"",fuel_costs!E$12*0.086/tech_proj!M254/(1-tech_proj!M534))</f>
        <v/>
      </c>
      <c r="N2154" s="127" t="str">
        <f>IF(tech_base!$T130&gt;N$2025,"",fuel_costs!F$12*0.086/tech_proj!N254/(1-tech_proj!N534))</f>
        <v/>
      </c>
      <c r="O2154" s="127" t="str">
        <f>IF(tech_base!$T130&gt;O$2025,"",fuel_costs!G$12*0.086/tech_proj!O254/(1-tech_proj!O534))</f>
        <v/>
      </c>
      <c r="P2154" s="127" t="str">
        <f>IF(tech_base!$T130&gt;P$2025,"",fuel_costs!H$12*0.086/tech_proj!P254/(1-tech_proj!P534))</f>
        <v/>
      </c>
      <c r="Q2154" s="127" t="str">
        <f>IF(tech_base!$T130&gt;Q$2025,"",fuel_costs!I$12*0.086/tech_proj!Q254/(1-tech_proj!Q534))</f>
        <v/>
      </c>
      <c r="R2154" s="127" t="str">
        <f>IF(tech_base!$T130&gt;R$2025,"",fuel_costs!J$12*0.086/tech_proj!R254/(1-tech_proj!R534))</f>
        <v/>
      </c>
      <c r="S2154" s="127" t="str">
        <f>IF(tech_base!$T130&gt;S$2025,"",fuel_costs!K$12*0.086/tech_proj!S254/(1-tech_proj!S534))</f>
        <v/>
      </c>
      <c r="T2154" s="127" t="str">
        <f>IF(tech_base!$T130&gt;T$2025,"",fuel_costs!L$12*0.086/tech_proj!T254/(1-tech_proj!T534))</f>
        <v/>
      </c>
      <c r="U2154" s="127" t="str">
        <f>IF(tech_base!$T130&gt;U$2025,"",fuel_costs!M$12*0.086/tech_proj!U254/(1-tech_proj!U534))</f>
        <v/>
      </c>
      <c r="V2154" s="127" t="str">
        <f>IF(tech_base!$T130&gt;V$2025,"",fuel_costs!N$12*0.086/tech_proj!V254/(1-tech_proj!V534))</f>
        <v/>
      </c>
      <c r="W2154" s="127" t="str">
        <f>IF(tech_base!$T130&gt;W$2025,"",fuel_costs!O$12*0.086/tech_proj!W254/(1-tech_proj!W534))</f>
        <v/>
      </c>
      <c r="X2154" s="127" t="str">
        <f>IF(tech_base!$T130&gt;X$2025,"",fuel_costs!P$12*0.086/tech_proj!X254/(1-tech_proj!X534))</f>
        <v/>
      </c>
      <c r="Y2154" s="127" t="str">
        <f>IF(tech_base!$T130&gt;Y$2025,"",fuel_costs!Q$12*0.086/tech_proj!Y254/(1-tech_proj!Y534))</f>
        <v/>
      </c>
      <c r="Z2154" s="127" t="str">
        <f>IF(tech_base!$T130&gt;Z$2025,"",fuel_costs!R$12*0.086/tech_proj!Z254/(1-tech_proj!Z534))</f>
        <v/>
      </c>
      <c r="AA2154" s="127" t="str">
        <f>IF(tech_base!$T130&gt;AA$2025,"",fuel_costs!S$12*0.086/tech_proj!AA254/(1-tech_proj!AA534))</f>
        <v/>
      </c>
      <c r="AB2154" s="127" t="str">
        <f>IF(tech_base!$T130&gt;AB$2025,"",fuel_costs!T$12*0.086/tech_proj!AB254/(1-tech_proj!AB534))</f>
        <v/>
      </c>
      <c r="AC2154" s="127" t="str">
        <f>IF(tech_base!$T130&gt;AC$2025,"",fuel_costs!U$12*0.086/tech_proj!AC254/(1-tech_proj!AC534))</f>
        <v/>
      </c>
      <c r="AD2154" s="127" t="str">
        <f>IF(tech_base!$T130&gt;AD$2025,"",fuel_costs!V$12*0.086/tech_proj!AD254/(1-tech_proj!AD534))</f>
        <v/>
      </c>
      <c r="AE2154" s="127">
        <f>IF(tech_base!$T130&gt;AE$2025,"",fuel_costs!W$12*0.086/tech_proj!AE254/(1-tech_proj!AE534))</f>
        <v>24.643647202344798</v>
      </c>
      <c r="AF2154" s="127">
        <f>IF(tech_base!$T130&gt;AF$2025,"",fuel_costs!X$12*0.086/tech_proj!AF254/(1-tech_proj!AF534))</f>
        <v>24.948254590989436</v>
      </c>
      <c r="AG2154" s="127">
        <f>IF(tech_base!$T130&gt;AG$2025,"",fuel_costs!Y$12*0.086/tech_proj!AG254/(1-tech_proj!AG534))</f>
        <v>25.263902424978976</v>
      </c>
      <c r="AH2154" s="127">
        <f>IF(tech_base!$T130&gt;AH$2025,"",fuel_costs!Z$12*0.086/tech_proj!AH254/(1-tech_proj!AH534))</f>
        <v>25.565365118655247</v>
      </c>
      <c r="AI2154" s="127">
        <f>IF(tech_base!$T130&gt;AI$2025,"",fuel_costs!AA$12*0.086/tech_proj!AI254/(1-tech_proj!AI534))</f>
        <v>25.848304708442527</v>
      </c>
      <c r="AJ2154" s="127">
        <f>IF(tech_base!$T130&gt;AJ$2025,"",fuel_costs!AB$12*0.086/tech_proj!AJ254/(1-tech_proj!AJ534))</f>
        <v>26.075627780208194</v>
      </c>
      <c r="AK2154" s="127">
        <f>IF(tech_base!$T130&gt;AK$2025,"",fuel_costs!AC$12*0.086/tech_proj!AK254/(1-tech_proj!AK534))</f>
        <v>26.328601548323199</v>
      </c>
      <c r="AL2154" s="127">
        <f>IF(tech_base!$T130&gt;AL$2025,"",fuel_costs!AD$12*0.086/tech_proj!AL254/(1-tech_proj!AL534))</f>
        <v>26.600776856098086</v>
      </c>
      <c r="AM2154" s="127">
        <f>IF(tech_base!$T130&gt;AM$2025,"",fuel_costs!AE$12*0.086/tech_proj!AM254/(1-tech_proj!AM534))</f>
        <v>26.889304948685865</v>
      </c>
      <c r="AN2154" s="127">
        <f>IF(tech_base!$T130&gt;AN$2025,"",fuel_costs!AF$12*0.086/tech_proj!AN254/(1-tech_proj!AN534))</f>
        <v>27.134095227570093</v>
      </c>
      <c r="AO2154" s="127">
        <f>IF(tech_base!$T130&gt;AO$2025,"",fuel_costs!AG$12*0.086/tech_proj!AO254/(1-tech_proj!AO534))</f>
        <v>27.376253886539626</v>
      </c>
      <c r="AP2154" s="127">
        <f>IF(tech_base!$T130&gt;AP$2025,"",fuel_costs!AH$12*0.086/tech_proj!AP254/(1-tech_proj!AP534))</f>
        <v>27.616863288851139</v>
      </c>
      <c r="AQ2154" s="127">
        <f>IF(tech_base!$T130&gt;AQ$2025,"",fuel_costs!AI$12*0.086/tech_proj!AQ254/(1-tech_proj!AQ534))</f>
        <v>27.858073286053834</v>
      </c>
      <c r="AR2154" s="127">
        <f>IF(tech_base!$T130&gt;AR$2025,"",fuel_costs!AJ$12*0.086/tech_proj!AR254/(1-tech_proj!AR534))</f>
        <v>28.115386459509342</v>
      </c>
      <c r="AS2154" s="127">
        <f>IF(tech_base!$T130&gt;AS$2025,"",fuel_costs!AK$12*0.086/tech_proj!AS254/(1-tech_proj!AS534))</f>
        <v>28.377672322135901</v>
      </c>
      <c r="AT2154" s="127">
        <f>IF(tech_base!$T130&gt;AT$2025,"",fuel_costs!AL$12*0.086/tech_proj!AT254/(1-tech_proj!AT534))</f>
        <v>28.580616870039034</v>
      </c>
      <c r="AU2154" s="127">
        <f>IF(tech_base!$T130&gt;AU$2025,"",fuel_costs!AM$12*0.086/tech_proj!AU254/(1-tech_proj!AU534))</f>
        <v>28.834469865521953</v>
      </c>
      <c r="AV2154" s="127">
        <f>IF(tech_base!$T130&gt;AV$2025,"",fuel_costs!AN$12*0.086/tech_proj!AV254/(1-tech_proj!AV534))</f>
        <v>29.061569947664044</v>
      </c>
      <c r="AW2154" s="127">
        <f>IF(tech_base!$T130&gt;AW$2025,"",fuel_costs!AO$12*0.086/tech_proj!AW254/(1-tech_proj!AW534))</f>
        <v>29.274682284999717</v>
      </c>
      <c r="AX2154" s="128">
        <f>IF(tech_base!$T130&gt;AX$2025,"",fuel_costs!AP$12*0.086/tech_proj!AX254/(1-tech_proj!AX534))</f>
        <v>29.52635352943377</v>
      </c>
    </row>
    <row r="2155" spans="1:50" x14ac:dyDescent="0.25">
      <c r="A2155" s="356" t="s">
        <v>27</v>
      </c>
      <c r="B2155" s="365" t="s">
        <v>19</v>
      </c>
      <c r="C2155" s="353" t="s">
        <v>6</v>
      </c>
      <c r="D2155" s="2" t="s">
        <v>7</v>
      </c>
      <c r="E2155" s="77" t="str">
        <f>A2155&amp;"/"&amp;B2155&amp;"/"&amp;C2155&amp;"/"&amp;D2155</f>
        <v>Refinery gas fired power plants/Steam turbine/Electricity only/L</v>
      </c>
      <c r="F2155" s="77" t="str">
        <f>A2155</f>
        <v>Refinery gas fired power plants</v>
      </c>
      <c r="G2155" s="77" t="str">
        <f>B2155</f>
        <v>Steam turbine</v>
      </c>
      <c r="H2155" s="77" t="str">
        <f>C2155</f>
        <v>Electricity only</v>
      </c>
      <c r="I2155" s="77" t="str">
        <f t="shared" ref="I2155:I2218" si="389">D2155</f>
        <v>L</v>
      </c>
      <c r="J2155" s="121">
        <f>IF(tech_base!$T131&gt;J$2025,"",fuel_costs!B$13*0.086/tech_proj!J255/(1-tech_proj!J535))</f>
        <v>7.8280694841341871</v>
      </c>
      <c r="K2155" s="121">
        <f>IF(tech_base!$T131&gt;K$2025,"",fuel_costs!C$13*0.086/tech_proj!K255/(1-tech_proj!K535))</f>
        <v>8.4851921784213289</v>
      </c>
      <c r="L2155" s="121">
        <f>IF(tech_base!$T131&gt;L$2025,"",fuel_costs!D$13*0.086/tech_proj!L255/(1-tech_proj!L535))</f>
        <v>8.6630003822268247</v>
      </c>
      <c r="M2155" s="121">
        <f>IF(tech_base!$T131&gt;M$2025,"",fuel_costs!E$13*0.086/tech_proj!M255/(1-tech_proj!M535))</f>
        <v>8.4549178274122774</v>
      </c>
      <c r="N2155" s="121">
        <f>IF(tech_base!$T131&gt;N$2025,"",fuel_costs!F$13*0.086/tech_proj!N255/(1-tech_proj!N535))</f>
        <v>8.1423918757985163</v>
      </c>
      <c r="O2155" s="121">
        <f>IF(tech_base!$T131&gt;O$2025,"",fuel_costs!G$13*0.086/tech_proj!O255/(1-tech_proj!O535))</f>
        <v>7.1603603116207797</v>
      </c>
      <c r="P2155" s="121">
        <f>IF(tech_base!$T131&gt;P$2025,"",fuel_costs!H$13*0.086/tech_proj!P255/(1-tech_proj!P535))</f>
        <v>6.9385523657391523</v>
      </c>
      <c r="Q2155" s="121">
        <f>IF(tech_base!$T131&gt;Q$2025,"",fuel_costs!I$13*0.086/tech_proj!Q255/(1-tech_proj!Q535))</f>
        <v>7.2162857696500096</v>
      </c>
      <c r="R2155" s="121">
        <f>IF(tech_base!$T131&gt;R$2025,"",fuel_costs!J$13*0.086/tech_proj!R255/(1-tech_proj!R535))</f>
        <v>7.4646388176486935</v>
      </c>
      <c r="S2155" s="121">
        <f>IF(tech_base!$T131&gt;S$2025,"",fuel_costs!K$13*0.086/tech_proj!S255/(1-tech_proj!S535))</f>
        <v>7.6828890386306723</v>
      </c>
      <c r="T2155" s="121">
        <f>IF(tech_base!$T131&gt;T$2025,"",fuel_costs!L$13*0.086/tech_proj!T255/(1-tech_proj!T535))</f>
        <v>7.8933810508271041</v>
      </c>
      <c r="U2155" s="121">
        <f>IF(tech_base!$T131&gt;U$2025,"",fuel_costs!M$13*0.086/tech_proj!U255/(1-tech_proj!U535))</f>
        <v>8.0939571604614802</v>
      </c>
      <c r="V2155" s="121">
        <f>IF(tech_base!$T131&gt;V$2025,"",fuel_costs!N$13*0.086/tech_proj!V255/(1-tech_proj!V535))</f>
        <v>8.2298333498041103</v>
      </c>
      <c r="W2155" s="121">
        <f>IF(tech_base!$T131&gt;W$2025,"",fuel_costs!O$13*0.086/tech_proj!W255/(1-tech_proj!W535))</f>
        <v>8.3952054618609253</v>
      </c>
      <c r="X2155" s="121">
        <f>IF(tech_base!$T131&gt;X$2025,"",fuel_costs!P$13*0.086/tech_proj!X255/(1-tech_proj!X535))</f>
        <v>8.539216702443797</v>
      </c>
      <c r="Y2155" s="121">
        <f>IF(tech_base!$T131&gt;Y$2025,"",fuel_costs!Q$13*0.086/tech_proj!Y255/(1-tech_proj!Y535))</f>
        <v>8.6620126977877607</v>
      </c>
      <c r="Z2155" s="121">
        <f>IF(tech_base!$T131&gt;Z$2025,"",fuel_costs!R$13*0.086/tech_proj!Z255/(1-tech_proj!Z535))</f>
        <v>8.7423135466328912</v>
      </c>
      <c r="AA2155" s="121">
        <f>IF(tech_base!$T131&gt;AA$2025,"",fuel_costs!S$13*0.086/tech_proj!AA255/(1-tech_proj!AA535))</f>
        <v>8.8154405678985626</v>
      </c>
      <c r="AB2155" s="121">
        <f>IF(tech_base!$T131&gt;AB$2025,"",fuel_costs!T$13*0.086/tech_proj!AB255/(1-tech_proj!AB535))</f>
        <v>8.8669274037831229</v>
      </c>
      <c r="AC2155" s="121">
        <f>IF(tech_base!$T131&gt;AC$2025,"",fuel_costs!U$13*0.086/tech_proj!AC255/(1-tech_proj!AC535))</f>
        <v>8.94460303112335</v>
      </c>
      <c r="AD2155" s="121">
        <f>IF(tech_base!$T131&gt;AD$2025,"",fuel_costs!V$13*0.086/tech_proj!AD255/(1-tech_proj!AD535))</f>
        <v>8.9938257402756943</v>
      </c>
      <c r="AE2155" s="121">
        <f>IF(tech_base!$T131&gt;AE$2025,"",fuel_costs!W$13*0.086/tech_proj!AE255/(1-tech_proj!AE535))</f>
        <v>9.0409982360390604</v>
      </c>
      <c r="AF2155" s="121">
        <f>IF(tech_base!$T131&gt;AF$2025,"",fuel_costs!X$13*0.086/tech_proj!AF255/(1-tech_proj!AF535))</f>
        <v>9.0670002270857317</v>
      </c>
      <c r="AG2155" s="121">
        <f>IF(tech_base!$T131&gt;AG$2025,"",fuel_costs!Y$13*0.086/tech_proj!AG255/(1-tech_proj!AG535))</f>
        <v>9.0960993907791874</v>
      </c>
      <c r="AH2155" s="121">
        <f>IF(tech_base!$T131&gt;AH$2025,"",fuel_costs!Z$13*0.086/tech_proj!AH255/(1-tech_proj!AH535))</f>
        <v>9.1282844926983806</v>
      </c>
      <c r="AI2155" s="121">
        <f>IF(tech_base!$T131&gt;AI$2025,"",fuel_costs!AA$13*0.086/tech_proj!AI255/(1-tech_proj!AI535))</f>
        <v>9.1638500815988397</v>
      </c>
      <c r="AJ2155" s="121">
        <f>IF(tech_base!$T131&gt;AJ$2025,"",fuel_costs!AB$13*0.086/tech_proj!AJ255/(1-tech_proj!AJ535))</f>
        <v>9.2033608281207044</v>
      </c>
      <c r="AK2155" s="121">
        <f>IF(tech_base!$T131&gt;AK$2025,"",fuel_costs!AC$13*0.086/tech_proj!AK255/(1-tech_proj!AK535))</f>
        <v>9.2476130720988028</v>
      </c>
      <c r="AL2155" s="121">
        <f>IF(tech_base!$T131&gt;AL$2025,"",fuel_costs!AD$13*0.086/tech_proj!AL255/(1-tech_proj!AL535))</f>
        <v>9.2951571747323491</v>
      </c>
      <c r="AM2155" s="121">
        <f>IF(tech_base!$T131&gt;AM$2025,"",fuel_costs!AE$13*0.086/tech_proj!AM255/(1-tech_proj!AM535))</f>
        <v>9.3442143670775231</v>
      </c>
      <c r="AN2155" s="121">
        <f>IF(tech_base!$T131&gt;AN$2025,"",fuel_costs!AF$13*0.086/tech_proj!AN255/(1-tech_proj!AN535))</f>
        <v>9.394197005776121</v>
      </c>
      <c r="AO2155" s="121">
        <f>IF(tech_base!$T131&gt;AO$2025,"",fuel_costs!AG$13*0.086/tech_proj!AO255/(1-tech_proj!AO535))</f>
        <v>9.4028231863987219</v>
      </c>
      <c r="AP2155" s="121">
        <f>IF(tech_base!$T131&gt;AP$2025,"",fuel_costs!AH$13*0.086/tech_proj!AP255/(1-tech_proj!AP535))</f>
        <v>9.4225372497239874</v>
      </c>
      <c r="AQ2155" s="121">
        <f>IF(tech_base!$T131&gt;AQ$2025,"",fuel_costs!AI$13*0.086/tech_proj!AQ255/(1-tech_proj!AQ535))</f>
        <v>9.4432345083063662</v>
      </c>
      <c r="AR2155" s="121">
        <f>IF(tech_base!$T131&gt;AR$2025,"",fuel_costs!AJ$13*0.086/tech_proj!AR255/(1-tech_proj!AR535))</f>
        <v>9.483004020620232</v>
      </c>
      <c r="AS2155" s="121">
        <f>IF(tech_base!$T131&gt;AS$2025,"",fuel_costs!AK$13*0.086/tech_proj!AS255/(1-tech_proj!AS535))</f>
        <v>9.5058303431530256</v>
      </c>
      <c r="AT2155" s="121">
        <f>IF(tech_base!$T131&gt;AT$2025,"",fuel_costs!AL$13*0.086/tech_proj!AT255/(1-tech_proj!AT535))</f>
        <v>9.5286066588002711</v>
      </c>
      <c r="AU2155" s="121">
        <f>IF(tech_base!$T131&gt;AU$2025,"",fuel_costs!AM$13*0.086/tech_proj!AU255/(1-tech_proj!AU535))</f>
        <v>9.550988095104044</v>
      </c>
      <c r="AV2155" s="121">
        <f>IF(tech_base!$T131&gt;AV$2025,"",fuel_costs!AN$13*0.086/tech_proj!AV255/(1-tech_proj!AV535))</f>
        <v>9.572761981091281</v>
      </c>
      <c r="AW2155" s="121">
        <f>IF(tech_base!$T131&gt;AW$2025,"",fuel_costs!AO$13*0.086/tech_proj!AW255/(1-tech_proj!AW535))</f>
        <v>9.5937680789880542</v>
      </c>
      <c r="AX2155" s="122">
        <f>IF(tech_base!$T131&gt;AX$2025,"",fuel_costs!AP$13*0.086/tech_proj!AX255/(1-tech_proj!AX535))</f>
        <v>9.620228290804393</v>
      </c>
    </row>
    <row r="2156" spans="1:50" x14ac:dyDescent="0.25">
      <c r="A2156" s="356"/>
      <c r="B2156" s="366"/>
      <c r="C2156" s="378"/>
      <c r="D2156" s="2" t="s">
        <v>8</v>
      </c>
      <c r="E2156" s="76" t="str">
        <f>A2155&amp;"/"&amp;B2155&amp;"/"&amp;C2155&amp;"/"&amp;D2156</f>
        <v>Refinery gas fired power plants/Steam turbine/Electricity only/M</v>
      </c>
      <c r="F2156" s="76" t="str">
        <f>A2155</f>
        <v>Refinery gas fired power plants</v>
      </c>
      <c r="G2156" s="76" t="str">
        <f>B2155</f>
        <v>Steam turbine</v>
      </c>
      <c r="H2156" s="76" t="str">
        <f>C2155</f>
        <v>Electricity only</v>
      </c>
      <c r="I2156" s="76" t="str">
        <f t="shared" si="389"/>
        <v>M</v>
      </c>
      <c r="J2156" s="119">
        <f>IF(tech_base!$T132&gt;J$2025,"",fuel_costs!B$13*0.086/tech_proj!J256/(1-tech_proj!J536))</f>
        <v>8.2379804379035857</v>
      </c>
      <c r="K2156" s="119">
        <f>IF(tech_base!$T132&gt;K$2025,"",fuel_costs!C$13*0.086/tech_proj!K256/(1-tech_proj!K536))</f>
        <v>8.9295525308997696</v>
      </c>
      <c r="L2156" s="119">
        <f>IF(tech_base!$T132&gt;L$2025,"",fuel_costs!D$13*0.086/tech_proj!L256/(1-tech_proj!L536))</f>
        <v>9.116711968104223</v>
      </c>
      <c r="M2156" s="119">
        <f>IF(tech_base!$T132&gt;M$2025,"",fuel_costs!E$13*0.086/tech_proj!M256/(1-tech_proj!M536))</f>
        <v>8.8977692080658493</v>
      </c>
      <c r="N2156" s="119">
        <f>IF(tech_base!$T132&gt;N$2025,"",fuel_costs!F$13*0.086/tech_proj!N256/(1-tech_proj!N536))</f>
        <v>8.5689093800962546</v>
      </c>
      <c r="O2156" s="119">
        <f>IF(tech_base!$T132&gt;O$2025,"",fuel_costs!G$13*0.086/tech_proj!O256/(1-tech_proj!O536))</f>
        <v>7.5354673091998254</v>
      </c>
      <c r="P2156" s="119">
        <f>IF(tech_base!$T132&gt;P$2025,"",fuel_costs!H$13*0.086/tech_proj!P256/(1-tech_proj!P536))</f>
        <v>7.3020685779529764</v>
      </c>
      <c r="Q2156" s="119">
        <f>IF(tech_base!$T132&gt;Q$2025,"",fuel_costs!I$13*0.086/tech_proj!Q256/(1-tech_proj!Q536))</f>
        <v>7.5943821059287488</v>
      </c>
      <c r="R2156" s="119">
        <f>IF(tech_base!$T132&gt;R$2025,"",fuel_costs!J$13*0.086/tech_proj!R256/(1-tech_proj!R536))</f>
        <v>7.8557773443569712</v>
      </c>
      <c r="S2156" s="119">
        <f>IF(tech_base!$T132&gt;S$2025,"",fuel_costs!K$13*0.086/tech_proj!S256/(1-tech_proj!S536))</f>
        <v>8.0854935525142473</v>
      </c>
      <c r="T2156" s="119">
        <f>IF(tech_base!$T132&gt;T$2025,"",fuel_costs!L$13*0.086/tech_proj!T256/(1-tech_proj!T536))</f>
        <v>8.3070459524654972</v>
      </c>
      <c r="U2156" s="119">
        <f>IF(tech_base!$T132&gt;U$2025,"",fuel_costs!M$13*0.086/tech_proj!U256/(1-tech_proj!U536))</f>
        <v>8.5181636312471927</v>
      </c>
      <c r="V2156" s="119">
        <f>IF(tech_base!$T132&gt;V$2025,"",fuel_costs!N$13*0.086/tech_proj!V256/(1-tech_proj!V536))</f>
        <v>8.6611909754709373</v>
      </c>
      <c r="W2156" s="119">
        <f>IF(tech_base!$T132&gt;W$2025,"",fuel_costs!O$13*0.086/tech_proj!W256/(1-tech_proj!W536))</f>
        <v>8.8352606054428016</v>
      </c>
      <c r="X2156" s="119">
        <f>IF(tech_base!$T132&gt;X$2025,"",fuel_costs!P$13*0.086/tech_proj!X256/(1-tech_proj!X536))</f>
        <v>8.9868500519063605</v>
      </c>
      <c r="Y2156" s="119">
        <f>IF(tech_base!$T132&gt;Y$2025,"",fuel_costs!Q$13*0.086/tech_proj!Y256/(1-tech_proj!Y536))</f>
        <v>9.1161123304804814</v>
      </c>
      <c r="Z2156" s="119">
        <f>IF(tech_base!$T132&gt;Z$2025,"",fuel_costs!R$13*0.086/tech_proj!Z256/(1-tech_proj!Z536))</f>
        <v>9.2006516547329174</v>
      </c>
      <c r="AA2156" s="119">
        <f>IF(tech_base!$T132&gt;AA$2025,"",fuel_costs!S$13*0.086/tech_proj!AA256/(1-tech_proj!AA536))</f>
        <v>9.2776408414535982</v>
      </c>
      <c r="AB2156" s="119">
        <f>IF(tech_base!$T132&gt;AB$2025,"",fuel_costs!T$13*0.086/tech_proj!AB256/(1-tech_proj!AB536))</f>
        <v>9.33185493213246</v>
      </c>
      <c r="AC2156" s="119">
        <f>IF(tech_base!$T132&gt;AC$2025,"",fuel_costs!U$13*0.086/tech_proj!AC256/(1-tech_proj!AC536))</f>
        <v>9.4136307071528744</v>
      </c>
      <c r="AD2156" s="119">
        <f>IF(tech_base!$T132&gt;AD$2025,"",fuel_costs!V$13*0.086/tech_proj!AD256/(1-tech_proj!AD536))</f>
        <v>9.4654612852365023</v>
      </c>
      <c r="AE2156" s="119">
        <f>IF(tech_base!$T132&gt;AE$2025,"",fuel_costs!W$13*0.086/tech_proj!AE256/(1-tech_proj!AE536))</f>
        <v>9.515133751837185</v>
      </c>
      <c r="AF2156" s="119">
        <f>IF(tech_base!$T132&gt;AF$2025,"",fuel_costs!X$13*0.086/tech_proj!AF256/(1-tech_proj!AF536))</f>
        <v>9.5425250245233819</v>
      </c>
      <c r="AG2156" s="119">
        <f>IF(tech_base!$T132&gt;AG$2025,"",fuel_costs!Y$13*0.086/tech_proj!AG256/(1-tech_proj!AG536))</f>
        <v>9.5731754099177788</v>
      </c>
      <c r="AH2156" s="119">
        <f>IF(tech_base!$T132&gt;AH$2025,"",fuel_costs!Z$13*0.086/tech_proj!AH256/(1-tech_proj!AH536))</f>
        <v>9.6070731171624519</v>
      </c>
      <c r="AI2156" s="119">
        <f>IF(tech_base!$T132&gt;AI$2025,"",fuel_costs!AA$13*0.086/tech_proj!AI256/(1-tech_proj!AI536))</f>
        <v>9.6445281766958928</v>
      </c>
      <c r="AJ2156" s="119">
        <f>IF(tech_base!$T132&gt;AJ$2025,"",fuel_costs!AB$13*0.086/tech_proj!AJ256/(1-tech_proj!AJ536))</f>
        <v>9.6861349122481162</v>
      </c>
      <c r="AK2156" s="119">
        <f>IF(tech_base!$T132&gt;AK$2025,"",fuel_costs!AC$13*0.086/tech_proj!AK256/(1-tech_proj!AK536))</f>
        <v>9.7327314741709792</v>
      </c>
      <c r="AL2156" s="119">
        <f>IF(tech_base!$T132&gt;AL$2025,"",fuel_costs!AD$13*0.086/tech_proj!AL256/(1-tech_proj!AL536))</f>
        <v>9.7827922137288805</v>
      </c>
      <c r="AM2156" s="119">
        <f>IF(tech_base!$T132&gt;AM$2025,"",fuel_costs!AE$13*0.086/tech_proj!AM256/(1-tech_proj!AM536))</f>
        <v>9.8344450693057173</v>
      </c>
      <c r="AN2156" s="119">
        <f>IF(tech_base!$T132&gt;AN$2025,"",fuel_costs!AF$13*0.086/tech_proj!AN256/(1-tech_proj!AN536))</f>
        <v>9.8870715808101188</v>
      </c>
      <c r="AO2156" s="119">
        <f>IF(tech_base!$T132&gt;AO$2025,"",fuel_costs!AG$13*0.086/tech_proj!AO256/(1-tech_proj!AO536))</f>
        <v>9.8961714029366892</v>
      </c>
      <c r="AP2156" s="119">
        <f>IF(tech_base!$T132&gt;AP$2025,"",fuel_costs!AH$13*0.086/tech_proj!AP256/(1-tech_proj!AP536))</f>
        <v>9.9169403786687678</v>
      </c>
      <c r="AQ2156" s="119">
        <f>IF(tech_base!$T132&gt;AQ$2025,"",fuel_costs!AI$13*0.086/tech_proj!AQ256/(1-tech_proj!AQ536))</f>
        <v>9.9387436850229918</v>
      </c>
      <c r="AR2156" s="119">
        <f>IF(tech_base!$T132&gt;AR$2025,"",fuel_costs!AJ$13*0.086/tech_proj!AR256/(1-tech_proj!AR536))</f>
        <v>9.9806196093069666</v>
      </c>
      <c r="AS2156" s="119">
        <f>IF(tech_base!$T132&gt;AS$2025,"",fuel_costs!AK$13*0.086/tech_proj!AS256/(1-tech_proj!AS536))</f>
        <v>10.004662868240374</v>
      </c>
      <c r="AT2156" s="119">
        <f>IF(tech_base!$T132&gt;AT$2025,"",fuel_costs!AL$13*0.086/tech_proj!AT256/(1-tech_proj!AT536))</f>
        <v>10.028653078644243</v>
      </c>
      <c r="AU2156" s="119">
        <f>IF(tech_base!$T132&gt;AU$2025,"",fuel_costs!AM$13*0.086/tech_proj!AU256/(1-tech_proj!AU536))</f>
        <v>10.052227277055119</v>
      </c>
      <c r="AV2156" s="119">
        <f>IF(tech_base!$T132&gt;AV$2025,"",fuel_costs!AN$13*0.086/tech_proj!AV256/(1-tech_proj!AV536))</f>
        <v>10.075161637095926</v>
      </c>
      <c r="AW2156" s="119">
        <f>IF(tech_base!$T132&gt;AW$2025,"",fuel_costs!AO$13*0.086/tech_proj!AW256/(1-tech_proj!AW536))</f>
        <v>10.097287515991471</v>
      </c>
      <c r="AX2156" s="120">
        <f>IF(tech_base!$T132&gt;AX$2025,"",fuel_costs!AP$13*0.086/tech_proj!AX256/(1-tech_proj!AX536))</f>
        <v>10.125153381233309</v>
      </c>
    </row>
    <row r="2157" spans="1:50" x14ac:dyDescent="0.25">
      <c r="A2157" s="356"/>
      <c r="B2157" s="366"/>
      <c r="C2157" s="379"/>
      <c r="D2157" s="2" t="s">
        <v>10</v>
      </c>
      <c r="E2157" s="76" t="str">
        <f>A2155&amp;"/"&amp;B2155&amp;"/"&amp;C2155&amp;"/"&amp;D2157</f>
        <v>Refinery gas fired power plants/Steam turbine/Electricity only/S</v>
      </c>
      <c r="F2157" s="76" t="str">
        <f>A2155</f>
        <v>Refinery gas fired power plants</v>
      </c>
      <c r="G2157" s="76" t="str">
        <f>B2155</f>
        <v>Steam turbine</v>
      </c>
      <c r="H2157" s="76" t="str">
        <f>C2155</f>
        <v>Electricity only</v>
      </c>
      <c r="I2157" s="76" t="str">
        <f t="shared" si="389"/>
        <v>S</v>
      </c>
      <c r="J2157" s="119">
        <f>IF(tech_base!$T133&gt;J$2025,"",fuel_costs!B$13*0.086/tech_proj!J257/(1-tech_proj!J537))</f>
        <v>8.670378364504078</v>
      </c>
      <c r="K2157" s="119">
        <f>IF(tech_base!$T133&gt;K$2025,"",fuel_costs!C$13*0.086/tech_proj!K257/(1-tech_proj!K537))</f>
        <v>9.3982916778207102</v>
      </c>
      <c r="L2157" s="119">
        <f>IF(tech_base!$T133&gt;L$2025,"",fuel_costs!D$13*0.086/tech_proj!L257/(1-tech_proj!L537))</f>
        <v>9.5953173731072585</v>
      </c>
      <c r="M2157" s="119">
        <f>IF(tech_base!$T133&gt;M$2025,"",fuel_costs!E$13*0.086/tech_proj!M257/(1-tech_proj!M537))</f>
        <v>9.3649204442962422</v>
      </c>
      <c r="N2157" s="119">
        <f>IF(tech_base!$T133&gt;N$2025,"",fuel_costs!F$13*0.086/tech_proj!N257/(1-tech_proj!N537))</f>
        <v>9.0188322740744038</v>
      </c>
      <c r="O2157" s="119">
        <f>IF(tech_base!$T133&gt;O$2025,"",fuel_costs!G$13*0.086/tech_proj!O257/(1-tech_proj!O537))</f>
        <v>7.9311600625094902</v>
      </c>
      <c r="P2157" s="119">
        <f>IF(tech_base!$T133&gt;P$2025,"",fuel_costs!H$13*0.086/tech_proj!P257/(1-tech_proj!P537))</f>
        <v>7.6855359146393107</v>
      </c>
      <c r="Q2157" s="119">
        <f>IF(tech_base!$T133&gt;Q$2025,"",fuel_costs!I$13*0.086/tech_proj!Q257/(1-tech_proj!Q537))</f>
        <v>7.9932312721291794</v>
      </c>
      <c r="R2157" s="119">
        <f>IF(tech_base!$T133&gt;R$2025,"",fuel_costs!J$13*0.086/tech_proj!R257/(1-tech_proj!R537))</f>
        <v>8.2683860688241086</v>
      </c>
      <c r="S2157" s="119">
        <f>IF(tech_base!$T133&gt;S$2025,"",fuel_costs!K$13*0.086/tech_proj!S257/(1-tech_proj!S537))</f>
        <v>8.5101991728052955</v>
      </c>
      <c r="T2157" s="119">
        <f>IF(tech_base!$T133&gt;T$2025,"",fuel_costs!L$13*0.086/tech_proj!T257/(1-tech_proj!T537))</f>
        <v>8.7434206546397544</v>
      </c>
      <c r="U2157" s="119">
        <f>IF(tech_base!$T133&gt;U$2025,"",fuel_costs!M$13*0.086/tech_proj!U257/(1-tech_proj!U537))</f>
        <v>8.9656601593465091</v>
      </c>
      <c r="V2157" s="119">
        <f>IF(tech_base!$T133&gt;V$2025,"",fuel_costs!N$13*0.086/tech_proj!V257/(1-tech_proj!V537))</f>
        <v>9.1162328017795637</v>
      </c>
      <c r="W2157" s="119">
        <f>IF(tech_base!$T133&gt;W$2025,"",fuel_costs!O$13*0.086/tech_proj!W257/(1-tech_proj!W537))</f>
        <v>9.2994790189860783</v>
      </c>
      <c r="X2157" s="119">
        <f>IF(tech_base!$T133&gt;X$2025,"",fuel_costs!P$13*0.086/tech_proj!X257/(1-tech_proj!X537))</f>
        <v>9.4590643008497661</v>
      </c>
      <c r="Y2157" s="119">
        <f>IF(tech_base!$T133&gt;Y$2025,"",fuel_costs!Q$13*0.086/tech_proj!Y257/(1-tech_proj!Y537))</f>
        <v>9.5951494455634379</v>
      </c>
      <c r="Z2157" s="119">
        <f>IF(tech_base!$T133&gt;Z$2025,"",fuel_costs!R$13*0.086/tech_proj!Z257/(1-tech_proj!Z537))</f>
        <v>9.6841614856329041</v>
      </c>
      <c r="AA2157" s="119">
        <f>IF(tech_base!$T133&gt;AA$2025,"",fuel_costs!S$13*0.086/tech_proj!AA257/(1-tech_proj!AA537))</f>
        <v>9.7652264029972482</v>
      </c>
      <c r="AB2157" s="119">
        <f>IF(tech_base!$T133&gt;AB$2025,"",fuel_costs!T$13*0.086/tech_proj!AB257/(1-tech_proj!AB537))</f>
        <v>9.8223189678333007</v>
      </c>
      <c r="AC2157" s="119">
        <f>IF(tech_base!$T133&gt;AC$2025,"",fuel_costs!U$13*0.086/tech_proj!AC257/(1-tech_proj!AC537))</f>
        <v>9.9084215041553101</v>
      </c>
      <c r="AD2157" s="119">
        <f>IF(tech_base!$T133&gt;AD$2025,"",fuel_costs!V$13*0.086/tech_proj!AD257/(1-tech_proj!AD537))</f>
        <v>9.9630045823066951</v>
      </c>
      <c r="AE2157" s="119">
        <f>IF(tech_base!$T133&gt;AE$2025,"",fuel_costs!W$13*0.086/tech_proj!AE257/(1-tech_proj!AE537))</f>
        <v>10.01531570565564</v>
      </c>
      <c r="AF2157" s="119">
        <f>IF(tech_base!$T133&gt;AF$2025,"",fuel_costs!X$13*0.086/tech_proj!AF257/(1-tech_proj!AF537))</f>
        <v>10.044173909081039</v>
      </c>
      <c r="AG2157" s="119">
        <f>IF(tech_base!$T133&gt;AG$2025,"",fuel_costs!Y$13*0.086/tech_proj!AG257/(1-tech_proj!AG537))</f>
        <v>10.076462037837457</v>
      </c>
      <c r="AH2157" s="119">
        <f>IF(tech_base!$T133&gt;AH$2025,"",fuel_costs!Z$13*0.086/tech_proj!AH257/(1-tech_proj!AH537))</f>
        <v>10.11216771565755</v>
      </c>
      <c r="AI2157" s="119">
        <f>IF(tech_base!$T133&gt;AI$2025,"",fuel_costs!AA$13*0.086/tech_proj!AI257/(1-tech_proj!AI537))</f>
        <v>10.151617306848342</v>
      </c>
      <c r="AJ2157" s="119">
        <f>IF(tech_base!$T133&gt;AJ$2025,"",fuel_costs!AB$13*0.086/tech_proj!AJ257/(1-tech_proj!AJ537))</f>
        <v>10.195436419206185</v>
      </c>
      <c r="AK2157" s="119">
        <f>IF(tech_base!$T133&gt;AK$2025,"",fuel_costs!AC$13*0.086/tech_proj!AK257/(1-tech_proj!AK537))</f>
        <v>10.244507312865053</v>
      </c>
      <c r="AL2157" s="119">
        <f>IF(tech_base!$T133&gt;AL$2025,"",fuel_costs!AD$13*0.086/tech_proj!AL257/(1-tech_proj!AL537))</f>
        <v>10.297224154192055</v>
      </c>
      <c r="AM2157" s="119">
        <f>IF(tech_base!$T133&gt;AM$2025,"",fuel_costs!AE$13*0.086/tech_proj!AM257/(1-tech_proj!AM537))</f>
        <v>10.35161646336492</v>
      </c>
      <c r="AN2157" s="119">
        <f>IF(tech_base!$T133&gt;AN$2025,"",fuel_costs!AF$13*0.086/tech_proj!AN257/(1-tech_proj!AN537))</f>
        <v>10.407033270634209</v>
      </c>
      <c r="AO2157" s="119">
        <f>IF(tech_base!$T133&gt;AO$2025,"",fuel_costs!AG$13*0.086/tech_proj!AO257/(1-tech_proj!AO537))</f>
        <v>10.416633865538861</v>
      </c>
      <c r="AP2157" s="119">
        <f>IF(tech_base!$T133&gt;AP$2025,"",fuel_costs!AH$13*0.086/tech_proj!AP257/(1-tech_proj!AP537))</f>
        <v>10.438516806826344</v>
      </c>
      <c r="AQ2157" s="119">
        <f>IF(tech_base!$T133&gt;AQ$2025,"",fuel_costs!AI$13*0.086/tech_proj!AQ257/(1-tech_proj!AQ537))</f>
        <v>10.461488001834232</v>
      </c>
      <c r="AR2157" s="119">
        <f>IF(tech_base!$T133&gt;AR$2025,"",fuel_costs!AJ$13*0.086/tech_proj!AR257/(1-tech_proj!AR537))</f>
        <v>10.505587142750212</v>
      </c>
      <c r="AS2157" s="119">
        <f>IF(tech_base!$T133&gt;AS$2025,"",fuel_costs!AK$13*0.086/tech_proj!AS257/(1-tech_proj!AS537))</f>
        <v>10.530915232203176</v>
      </c>
      <c r="AT2157" s="119">
        <f>IF(tech_base!$T133&gt;AT$2025,"",fuel_costs!AL$13*0.086/tech_proj!AT257/(1-tech_proj!AT537))</f>
        <v>10.556187043208441</v>
      </c>
      <c r="AU2157" s="119">
        <f>IF(tech_base!$T133&gt;AU$2025,"",fuel_costs!AM$13*0.086/tech_proj!AU257/(1-tech_proj!AU537))</f>
        <v>10.581020527161844</v>
      </c>
      <c r="AV2157" s="119">
        <f>IF(tech_base!$T133&gt;AV$2025,"",fuel_costs!AN$13*0.086/tech_proj!AV257/(1-tech_proj!AV537))</f>
        <v>10.605180089288334</v>
      </c>
      <c r="AW2157" s="119">
        <f>IF(tech_base!$T133&gt;AW$2025,"",fuel_costs!AO$13*0.086/tech_proj!AW257/(1-tech_proj!AW537))</f>
        <v>10.628488219946233</v>
      </c>
      <c r="AX2157" s="120">
        <f>IF(tech_base!$T133&gt;AX$2025,"",fuel_costs!AP$13*0.086/tech_proj!AX257/(1-tech_proj!AX537))</f>
        <v>10.657837905974747</v>
      </c>
    </row>
    <row r="2158" spans="1:50" x14ac:dyDescent="0.25">
      <c r="A2158" s="356"/>
      <c r="B2158" s="366"/>
      <c r="C2158" s="361" t="s">
        <v>14</v>
      </c>
      <c r="D2158" s="58" t="s">
        <v>7</v>
      </c>
      <c r="E2158" s="78" t="str">
        <f>A2155&amp;"/"&amp;B2155&amp;"/"&amp;C2158&amp;"/"&amp;D2158</f>
        <v>Refinery gas fired power plants/Steam turbine/CHP/L</v>
      </c>
      <c r="F2158" s="78" t="str">
        <f>A2155</f>
        <v>Refinery gas fired power plants</v>
      </c>
      <c r="G2158" s="78" t="str">
        <f>B2155</f>
        <v>Steam turbine</v>
      </c>
      <c r="H2158" s="78" t="str">
        <f>C2158</f>
        <v>CHP</v>
      </c>
      <c r="I2158" s="78" t="str">
        <f t="shared" si="389"/>
        <v>L</v>
      </c>
      <c r="J2158" s="123">
        <f>IF(tech_base!$T134&gt;J$2025,"",fuel_costs!B$13*0.086/tech_proj!J258/(1-tech_proj!J538))</f>
        <v>8.6497415198363186</v>
      </c>
      <c r="K2158" s="123">
        <f>IF(tech_base!$T134&gt;K$2025,"",fuel_costs!C$13*0.086/tech_proj!K258/(1-tech_proj!K538))</f>
        <v>9.3759639377453237</v>
      </c>
      <c r="L2158" s="123">
        <f>IF(tech_base!$T134&gt;L$2025,"",fuel_costs!D$13*0.086/tech_proj!L258/(1-tech_proj!L538))</f>
        <v>9.572563155822019</v>
      </c>
      <c r="M2158" s="123">
        <f>IF(tech_base!$T134&gt;M$2025,"",fuel_costs!E$13*0.086/tech_proj!M258/(1-tech_proj!M538))</f>
        <v>9.3427523003328083</v>
      </c>
      <c r="N2158" s="123">
        <f>IF(tech_base!$T134&gt;N$2025,"",fuel_costs!F$13*0.086/tech_proj!N258/(1-tech_proj!N538))</f>
        <v>8.9975207714872205</v>
      </c>
      <c r="O2158" s="123">
        <f>IF(tech_base!$T134&gt;O$2025,"",fuel_costs!G$13*0.086/tech_proj!O258/(1-tech_proj!O538))</f>
        <v>7.912450885478731</v>
      </c>
      <c r="P2158" s="123">
        <f>IF(tech_base!$T134&gt;P$2025,"",fuel_costs!H$13*0.086/tech_proj!P258/(1-tech_proj!P538))</f>
        <v>7.6674366108829393</v>
      </c>
      <c r="Q2158" s="123">
        <f>IF(tech_base!$T134&gt;Q$2025,"",fuel_costs!I$13*0.086/tech_proj!Q258/(1-tech_proj!Q538))</f>
        <v>7.9744383114445716</v>
      </c>
      <c r="R2158" s="123">
        <f>IF(tech_base!$T134&gt;R$2025,"",fuel_costs!J$13*0.086/tech_proj!R258/(1-tech_proj!R538))</f>
        <v>8.2489774831410791</v>
      </c>
      <c r="S2158" s="123">
        <f>IF(tech_base!$T134&gt;S$2025,"",fuel_costs!K$13*0.086/tech_proj!S258/(1-tech_proj!S538))</f>
        <v>8.4902544405692311</v>
      </c>
      <c r="T2158" s="123">
        <f>IF(tech_base!$T134&gt;T$2025,"",fuel_costs!L$13*0.086/tech_proj!T258/(1-tech_proj!T538))</f>
        <v>8.7229609175923457</v>
      </c>
      <c r="U2158" s="123">
        <f>IF(tech_base!$T134&gt;U$2025,"",fuel_costs!M$13*0.086/tech_proj!U258/(1-tech_proj!U538))</f>
        <v>8.9447120035225858</v>
      </c>
      <c r="V2158" s="123">
        <f>IF(tech_base!$T134&gt;V$2025,"",fuel_costs!N$13*0.086/tech_proj!V258/(1-tech_proj!V538))</f>
        <v>9.0949642339648697</v>
      </c>
      <c r="W2158" s="123">
        <f>IF(tech_base!$T134&gt;W$2025,"",fuel_costs!O$13*0.086/tech_proj!W258/(1-tech_proj!W538))</f>
        <v>9.2778142008893614</v>
      </c>
      <c r="X2158" s="123">
        <f>IF(tech_base!$T134&gt;X$2025,"",fuel_costs!P$13*0.086/tech_proj!X258/(1-tech_proj!X538))</f>
        <v>9.4370587488138327</v>
      </c>
      <c r="Y2158" s="123">
        <f>IF(tech_base!$T134&gt;Y$2025,"",fuel_costs!Q$13*0.086/tech_proj!Y258/(1-tech_proj!Y538))</f>
        <v>9.5728580444987195</v>
      </c>
      <c r="Z2158" s="123">
        <f>IF(tech_base!$T134&gt;Z$2025,"",fuel_costs!R$13*0.086/tech_proj!Z258/(1-tech_proj!Z538))</f>
        <v>9.6616935670391779</v>
      </c>
      <c r="AA2158" s="123">
        <f>IF(tech_base!$T134&gt;AA$2025,"",fuel_costs!S$13*0.086/tech_proj!AA258/(1-tech_proj!AA538))</f>
        <v>9.7426001943605254</v>
      </c>
      <c r="AB2158" s="123">
        <f>IF(tech_base!$T134&gt;AB$2025,"",fuel_costs!T$13*0.086/tech_proj!AB258/(1-tech_proj!AB538))</f>
        <v>9.7995897024076299</v>
      </c>
      <c r="AC2158" s="123">
        <f>IF(tech_base!$T134&gt;AC$2025,"",fuel_costs!U$13*0.086/tech_proj!AC258/(1-tech_proj!AC538))</f>
        <v>9.8855217527440971</v>
      </c>
      <c r="AD2158" s="123">
        <f>IF(tech_base!$T134&gt;AD$2025,"",fuel_costs!V$13*0.086/tech_proj!AD258/(1-tech_proj!AD538))</f>
        <v>9.9400068841709306</v>
      </c>
      <c r="AE2158" s="123">
        <f>IF(tech_base!$T134&gt;AE$2025,"",fuel_costs!W$13*0.086/tech_proj!AE258/(1-tech_proj!AE538))</f>
        <v>9.9922249030702925</v>
      </c>
      <c r="AF2158" s="123">
        <f>IF(tech_base!$T134&gt;AF$2025,"",fuel_costs!X$13*0.086/tech_proj!AF258/(1-tech_proj!AF538))</f>
        <v>10.021043605245293</v>
      </c>
      <c r="AG2158" s="123">
        <f>IF(tech_base!$T134&gt;AG$2025,"",fuel_costs!Y$13*0.086/tech_proj!AG258/(1-tech_proj!AG538))</f>
        <v>10.053283817709968</v>
      </c>
      <c r="AH2158" s="123">
        <f>IF(tech_base!$T134&gt;AH$2025,"",fuel_costs!Z$13*0.086/tech_proj!AH258/(1-tech_proj!AH538))</f>
        <v>10.088933227004436</v>
      </c>
      <c r="AI2158" s="123">
        <f>IF(tech_base!$T134&gt;AI$2025,"",fuel_costs!AA$13*0.086/tech_proj!AI258/(1-tech_proj!AI538))</f>
        <v>10.128317481366892</v>
      </c>
      <c r="AJ2158" s="123">
        <f>IF(tech_base!$T134&gt;AJ$2025,"",fuel_costs!AB$13*0.086/tech_proj!AJ258/(1-tech_proj!AJ538))</f>
        <v>10.172060788362726</v>
      </c>
      <c r="AK2158" s="123">
        <f>IF(tech_base!$T134&gt;AK$2025,"",fuel_costs!AC$13*0.086/tech_proj!AK258/(1-tech_proj!AK538))</f>
        <v>10.221043424656445</v>
      </c>
      <c r="AL2158" s="123">
        <f>IF(tech_base!$T134&gt;AL$2025,"",fuel_costs!AD$13*0.086/tech_proj!AL258/(1-tech_proj!AL538))</f>
        <v>10.273663272726118</v>
      </c>
      <c r="AM2158" s="123">
        <f>IF(tech_base!$T134&gt;AM$2025,"",fuel_costs!AE$13*0.086/tech_proj!AM258/(1-tech_proj!AM538))</f>
        <v>10.327954386162279</v>
      </c>
      <c r="AN2158" s="123">
        <f>IF(tech_base!$T134&gt;AN$2025,"",fuel_costs!AF$13*0.086/tech_proj!AN258/(1-tech_proj!AN538))</f>
        <v>10.383267296916324</v>
      </c>
      <c r="AO2158" s="123">
        <f>IF(tech_base!$T134&gt;AO$2025,"",fuel_costs!AG$13*0.086/tech_proj!AO258/(1-tech_proj!AO538))</f>
        <v>10.392868172744075</v>
      </c>
      <c r="AP2158" s="123">
        <f>IF(tech_base!$T134&gt;AP$2025,"",fuel_costs!AH$13*0.086/tech_proj!AP258/(1-tech_proj!AP538))</f>
        <v>10.414722858882367</v>
      </c>
      <c r="AQ2158" s="123">
        <f>IF(tech_base!$T134&gt;AQ$2025,"",fuel_costs!AI$13*0.086/tech_proj!AQ258/(1-tech_proj!AQ538))</f>
        <v>10.437662842231941</v>
      </c>
      <c r="AR2158" s="123">
        <f>IF(tech_base!$T134&gt;AR$2025,"",fuel_costs!AJ$13*0.086/tech_proj!AR258/(1-tech_proj!AR538))</f>
        <v>10.481682231517782</v>
      </c>
      <c r="AS2158" s="123">
        <f>IF(tech_base!$T134&gt;AS$2025,"",fuel_costs!AK$13*0.086/tech_proj!AS258/(1-tech_proj!AS538))</f>
        <v>10.506972871581803</v>
      </c>
      <c r="AT2158" s="123">
        <f>IF(tech_base!$T134&gt;AT$2025,"",fuel_costs!AL$13*0.086/tech_proj!AT258/(1-tech_proj!AT538))</f>
        <v>10.532206922512231</v>
      </c>
      <c r="AU2158" s="123">
        <f>IF(tech_base!$T134&gt;AU$2025,"",fuel_costs!AM$13*0.086/tech_proj!AU258/(1-tech_proj!AU538))</f>
        <v>10.557003211238818</v>
      </c>
      <c r="AV2158" s="123">
        <f>IF(tech_base!$T134&gt;AV$2025,"",fuel_costs!AN$13*0.086/tech_proj!AV258/(1-tech_proj!AV538))</f>
        <v>10.581126683589604</v>
      </c>
      <c r="AW2158" s="123">
        <f>IF(tech_base!$T134&gt;AW$2025,"",fuel_costs!AO$13*0.086/tech_proj!AW258/(1-tech_proj!AW538))</f>
        <v>10.604400237305299</v>
      </c>
      <c r="AX2158" s="124">
        <f>IF(tech_base!$T134&gt;AX$2025,"",fuel_costs!AP$13*0.086/tech_proj!AX258/(1-tech_proj!AX538))</f>
        <v>10.633701253064753</v>
      </c>
    </row>
    <row r="2159" spans="1:50" x14ac:dyDescent="0.25">
      <c r="A2159" s="356"/>
      <c r="B2159" s="366"/>
      <c r="C2159" s="378"/>
      <c r="D2159" s="2" t="s">
        <v>8</v>
      </c>
      <c r="E2159" s="76" t="str">
        <f>A2155&amp;"/"&amp;B2155&amp;"/"&amp;C2158&amp;"/"&amp;D2159</f>
        <v>Refinery gas fired power plants/Steam turbine/CHP/M</v>
      </c>
      <c r="F2159" s="76" t="str">
        <f>A2155</f>
        <v>Refinery gas fired power plants</v>
      </c>
      <c r="G2159" s="76" t="str">
        <f>B2155</f>
        <v>Steam turbine</v>
      </c>
      <c r="H2159" s="76" t="str">
        <f>C2158</f>
        <v>CHP</v>
      </c>
      <c r="I2159" s="76" t="str">
        <f t="shared" si="389"/>
        <v>M</v>
      </c>
      <c r="J2159" s="119">
        <f>IF(tech_base!$T135&gt;J$2025,"",fuel_costs!B$13*0.086/tech_proj!J259/(1-tech_proj!J539))</f>
        <v>9.1048305947328689</v>
      </c>
      <c r="K2159" s="119">
        <f>IF(tech_base!$T135&gt;K$2025,"",fuel_costs!C$13*0.086/tech_proj!K259/(1-tech_proj!K539))</f>
        <v>9.8693056162084272</v>
      </c>
      <c r="L2159" s="119">
        <f>IF(tech_base!$T135&gt;L$2025,"",fuel_costs!D$13*0.086/tech_proj!L259/(1-tech_proj!L539))</f>
        <v>10.076293229663891</v>
      </c>
      <c r="M2159" s="119">
        <f>IF(tech_base!$T135&gt;M$2025,"",fuel_costs!E$13*0.086/tech_proj!M259/(1-tech_proj!M539))</f>
        <v>9.8344310155592165</v>
      </c>
      <c r="N2159" s="119">
        <f>IF(tech_base!$T135&gt;N$2025,"",fuel_costs!F$13*0.086/tech_proj!N259/(1-tech_proj!N539))</f>
        <v>9.4710704524840477</v>
      </c>
      <c r="O2159" s="119">
        <f>IF(tech_base!$T135&gt;O$2025,"",fuel_costs!G$13*0.086/tech_proj!O259/(1-tech_proj!O539))</f>
        <v>8.3289259742242567</v>
      </c>
      <c r="P2159" s="119">
        <f>IF(tech_base!$T135&gt;P$2025,"",fuel_costs!H$13*0.086/tech_proj!P259/(1-tech_proj!P539))</f>
        <v>8.071047350553096</v>
      </c>
      <c r="Q2159" s="119">
        <f>IF(tech_base!$T135&gt;Q$2025,"",fuel_costs!I$13*0.086/tech_proj!Q259/(1-tech_proj!Q539))</f>
        <v>8.3942421034513863</v>
      </c>
      <c r="R2159" s="119">
        <f>IF(tech_base!$T135&gt;R$2025,"",fuel_costs!J$13*0.086/tech_proj!R259/(1-tech_proj!R539))</f>
        <v>8.6832669899214672</v>
      </c>
      <c r="S2159" s="119">
        <f>IF(tech_base!$T135&gt;S$2025,"",fuel_costs!K$13*0.086/tech_proj!S259/(1-tech_proj!S539))</f>
        <v>8.9372797659360845</v>
      </c>
      <c r="T2159" s="119">
        <f>IF(tech_base!$T135&gt;T$2025,"",fuel_costs!L$13*0.086/tech_proj!T259/(1-tech_proj!T539))</f>
        <v>9.1822718747727556</v>
      </c>
      <c r="U2159" s="119">
        <f>IF(tech_base!$T135&gt;U$2025,"",fuel_costs!M$13*0.086/tech_proj!U259/(1-tech_proj!U539))</f>
        <v>9.4157326702063919</v>
      </c>
      <c r="V2159" s="119">
        <f>IF(tech_base!$T135&gt;V$2025,"",fuel_costs!N$13*0.086/tech_proj!V259/(1-tech_proj!V539))</f>
        <v>9.5739301337654528</v>
      </c>
      <c r="W2159" s="119">
        <f>IF(tech_base!$T135&gt;W$2025,"",fuel_costs!O$13*0.086/tech_proj!W259/(1-tech_proj!W539))</f>
        <v>9.7664424345085372</v>
      </c>
      <c r="X2159" s="119">
        <f>IF(tech_base!$T135&gt;X$2025,"",fuel_costs!P$13*0.086/tech_proj!X259/(1-tech_proj!X539))</f>
        <v>9.9341065234140515</v>
      </c>
      <c r="Y2159" s="119">
        <f>IF(tech_base!$T135&gt;Y$2025,"",fuel_costs!Q$13*0.086/tech_proj!Y259/(1-tech_proj!Y539))</f>
        <v>10.077090731951053</v>
      </c>
      <c r="Z2159" s="119">
        <f>IF(tech_base!$T135&gt;Z$2025,"",fuel_costs!R$13*0.086/tech_proj!Z259/(1-tech_proj!Z539))</f>
        <v>10.170637409189938</v>
      </c>
      <c r="AA2159" s="119">
        <f>IF(tech_base!$T135&gt;AA$2025,"",fuel_costs!S$13*0.086/tech_proj!AA259/(1-tech_proj!AA539))</f>
        <v>10.255837305469312</v>
      </c>
      <c r="AB2159" s="119">
        <f>IF(tech_base!$T135&gt;AB$2025,"",fuel_costs!T$13*0.086/tech_proj!AB259/(1-tech_proj!AB539))</f>
        <v>10.315859810288339</v>
      </c>
      <c r="AC2159" s="119">
        <f>IF(tech_base!$T135&gt;AC$2025,"",fuel_costs!U$13*0.086/tech_proj!AC259/(1-tech_proj!AC539))</f>
        <v>10.406349319329694</v>
      </c>
      <c r="AD2159" s="119">
        <f>IF(tech_base!$T135&gt;AD$2025,"",fuel_costs!V$13*0.086/tech_proj!AD259/(1-tech_proj!AD539))</f>
        <v>10.46373477903877</v>
      </c>
      <c r="AE2159" s="119">
        <f>IF(tech_base!$T135&gt;AE$2025,"",fuel_costs!W$13*0.086/tech_proj!AE259/(1-tech_proj!AE539))</f>
        <v>10.518733252500374</v>
      </c>
      <c r="AF2159" s="119">
        <f>IF(tech_base!$T135&gt;AF$2025,"",fuel_costs!X$13*0.086/tech_proj!AF259/(1-tech_proj!AF539))</f>
        <v>10.549098964678485</v>
      </c>
      <c r="AG2159" s="119">
        <f>IF(tech_base!$T135&gt;AG$2025,"",fuel_costs!Y$13*0.086/tech_proj!AG259/(1-tech_proj!AG539))</f>
        <v>10.583065939608892</v>
      </c>
      <c r="AH2159" s="119">
        <f>IF(tech_base!$T135&gt;AH$2025,"",fuel_costs!Z$13*0.086/tech_proj!AH259/(1-tech_proj!AH539))</f>
        <v>10.620621251042179</v>
      </c>
      <c r="AI2159" s="119">
        <f>IF(tech_base!$T135&gt;AI$2025,"",fuel_costs!AA$13*0.086/tech_proj!AI259/(1-tech_proj!AI539))</f>
        <v>10.662107744467606</v>
      </c>
      <c r="AJ2159" s="119">
        <f>IF(tech_base!$T135&gt;AJ$2025,"",fuel_costs!AB$13*0.086/tech_proj!AJ259/(1-tech_proj!AJ539))</f>
        <v>10.708182562410647</v>
      </c>
      <c r="AK2159" s="119">
        <f>IF(tech_base!$T135&gt;AK$2025,"",fuel_costs!AC$13*0.086/tech_proj!AK259/(1-tech_proj!AK539))</f>
        <v>10.759772418194745</v>
      </c>
      <c r="AL2159" s="119">
        <f>IF(tech_base!$T135&gt;AL$2025,"",fuel_costs!AD$13*0.086/tech_proj!AL259/(1-tech_proj!AL539))</f>
        <v>10.815190790290423</v>
      </c>
      <c r="AM2159" s="119">
        <f>IF(tech_base!$T135&gt;AM$2025,"",fuel_costs!AE$13*0.086/tech_proj!AM259/(1-tech_proj!AM539))</f>
        <v>10.872368132801361</v>
      </c>
      <c r="AN2159" s="119">
        <f>IF(tech_base!$T135&gt;AN$2025,"",fuel_costs!AF$13*0.086/tech_proj!AN259/(1-tech_proj!AN539))</f>
        <v>10.930620756867723</v>
      </c>
      <c r="AO2159" s="119">
        <f>IF(tech_base!$T135&gt;AO$2025,"",fuel_costs!AG$13*0.086/tech_proj!AO259/(1-tech_proj!AO539))</f>
        <v>10.940751164094722</v>
      </c>
      <c r="AP2159" s="119">
        <f>IF(tech_base!$T135&gt;AP$2025,"",fuel_costs!AH$13*0.086/tech_proj!AP259/(1-tech_proj!AP539))</f>
        <v>10.96378082748698</v>
      </c>
      <c r="AQ2159" s="119">
        <f>IF(tech_base!$T135&gt;AQ$2025,"",fuel_costs!AI$13*0.086/tech_proj!AQ259/(1-tech_proj!AQ539))</f>
        <v>10.987952503326689</v>
      </c>
      <c r="AR2159" s="119">
        <f>IF(tech_base!$T135&gt;AR$2025,"",fuel_costs!AJ$13*0.086/tech_proj!AR259/(1-tech_proj!AR539))</f>
        <v>11.034314478758251</v>
      </c>
      <c r="AS2159" s="119">
        <f>IF(tech_base!$T135&gt;AS$2025,"",fuel_costs!AK$13*0.086/tech_proj!AS259/(1-tech_proj!AS539))</f>
        <v>11.06095982556409</v>
      </c>
      <c r="AT2159" s="119">
        <f>IF(tech_base!$T135&gt;AT$2025,"",fuel_costs!AL$13*0.086/tech_proj!AT259/(1-tech_proj!AT539))</f>
        <v>11.087545137662143</v>
      </c>
      <c r="AU2159" s="119">
        <f>IF(tech_base!$T135&gt;AU$2025,"",fuel_costs!AM$13*0.086/tech_proj!AU259/(1-tech_proj!AU539))</f>
        <v>11.113669151638307</v>
      </c>
      <c r="AV2159" s="119">
        <f>IF(tech_base!$T135&gt;AV$2025,"",fuel_costs!AN$13*0.086/tech_proj!AV259/(1-tech_proj!AV539))</f>
        <v>11.139084425121853</v>
      </c>
      <c r="AW2159" s="119">
        <f>IF(tech_base!$T135&gt;AW$2025,"",fuel_costs!AO$13*0.086/tech_proj!AW259/(1-tech_proj!AW539))</f>
        <v>11.163604521983423</v>
      </c>
      <c r="AX2159" s="120">
        <f>IF(tech_base!$T135&gt;AX$2025,"",fuel_costs!AP$13*0.086/tech_proj!AX259/(1-tech_proj!AX539))</f>
        <v>11.194469506053084</v>
      </c>
    </row>
    <row r="2160" spans="1:50" x14ac:dyDescent="0.25">
      <c r="A2160" s="356"/>
      <c r="B2160" s="366"/>
      <c r="C2160" s="379"/>
      <c r="D2160" s="59" t="s">
        <v>10</v>
      </c>
      <c r="E2160" s="79" t="str">
        <f>A2155&amp;"/"&amp;B2155&amp;"/"&amp;C2158&amp;"/"&amp;D2160</f>
        <v>Refinery gas fired power plants/Steam turbine/CHP/S</v>
      </c>
      <c r="F2160" s="79" t="str">
        <f>A2155</f>
        <v>Refinery gas fired power plants</v>
      </c>
      <c r="G2160" s="79" t="str">
        <f>B2155</f>
        <v>Steam turbine</v>
      </c>
      <c r="H2160" s="79" t="str">
        <f>C2158</f>
        <v>CHP</v>
      </c>
      <c r="I2160" s="79" t="str">
        <f t="shared" si="389"/>
        <v>S</v>
      </c>
      <c r="J2160" s="125">
        <f>IF(tech_base!$T136&gt;J$2025,"",fuel_costs!B$13*0.086/tech_proj!J260/(1-tech_proj!J540))</f>
        <v>9.5851182871242635</v>
      </c>
      <c r="K2160" s="125">
        <f>IF(tech_base!$T136&gt;K$2025,"",fuel_costs!C$13*0.086/tech_proj!K260/(1-tech_proj!K540))</f>
        <v>10.389966187251563</v>
      </c>
      <c r="L2160" s="125">
        <f>IF(tech_base!$T136&gt;L$2025,"",fuel_costs!D$13*0.086/tech_proj!L260/(1-tech_proj!L540))</f>
        <v>10.60791965759168</v>
      </c>
      <c r="M2160" s="125">
        <f>IF(tech_base!$T136&gt;M$2025,"",fuel_costs!E$13*0.086/tech_proj!M260/(1-tech_proj!M540))</f>
        <v>10.353340792110671</v>
      </c>
      <c r="N2160" s="125">
        <f>IF(tech_base!$T136&gt;N$2025,"",fuel_costs!F$13*0.086/tech_proj!N260/(1-tech_proj!N540))</f>
        <v>9.9708491264916574</v>
      </c>
      <c r="O2160" s="125">
        <f>IF(tech_base!$T136&gt;O$2025,"",fuel_costs!G$13*0.086/tech_proj!O260/(1-tech_proj!O540))</f>
        <v>8.7684705176675877</v>
      </c>
      <c r="P2160" s="125">
        <f>IF(tech_base!$T136&gt;P$2025,"",fuel_costs!H$13*0.086/tech_proj!P260/(1-tech_proj!P540))</f>
        <v>8.4970165855097886</v>
      </c>
      <c r="Q2160" s="125">
        <f>IF(tech_base!$T136&gt;Q$2025,"",fuel_costs!I$13*0.086/tech_proj!Q260/(1-tech_proj!Q540))</f>
        <v>8.8373030784428774</v>
      </c>
      <c r="R2160" s="125">
        <f>IF(tech_base!$T136&gt;R$2025,"",fuel_costs!J$13*0.086/tech_proj!R260/(1-tech_proj!R540))</f>
        <v>9.1416178652536946</v>
      </c>
      <c r="S2160" s="125">
        <f>IF(tech_base!$T136&gt;S$2025,"",fuel_costs!K$13*0.086/tech_proj!S260/(1-tech_proj!S540))</f>
        <v>9.4090737622408387</v>
      </c>
      <c r="T2160" s="125">
        <f>IF(tech_base!$T136&gt;T$2025,"",fuel_costs!L$13*0.086/tech_proj!T260/(1-tech_proj!T540))</f>
        <v>9.6670339183501923</v>
      </c>
      <c r="U2160" s="125">
        <f>IF(tech_base!$T136&gt;U$2025,"",fuel_costs!M$13*0.086/tech_proj!U260/(1-tech_proj!U540))</f>
        <v>9.9128549766498324</v>
      </c>
      <c r="V2160" s="125">
        <f>IF(tech_base!$T136&gt;V$2025,"",fuel_costs!N$13*0.086/tech_proj!V260/(1-tech_proj!V540))</f>
        <v>10.079439650825535</v>
      </c>
      <c r="W2160" s="125">
        <f>IF(tech_base!$T136&gt;W$2025,"",fuel_costs!O$13*0.086/tech_proj!W260/(1-tech_proj!W540))</f>
        <v>10.282151445976288</v>
      </c>
      <c r="X2160" s="125">
        <f>IF(tech_base!$T136&gt;X$2025,"",fuel_costs!P$13*0.086/tech_proj!X260/(1-tech_proj!X540))</f>
        <v>10.458703382236596</v>
      </c>
      <c r="Y2160" s="125">
        <f>IF(tech_base!$T136&gt;Y$2025,"",fuel_costs!Q$13*0.086/tech_proj!Y260/(1-tech_proj!Y540))</f>
        <v>10.609272394353036</v>
      </c>
      <c r="Z2160" s="125">
        <f>IF(tech_base!$T136&gt;Z$2025,"",fuel_costs!R$13*0.086/tech_proj!Z260/(1-tech_proj!Z540))</f>
        <v>10.707793000680791</v>
      </c>
      <c r="AA2160" s="125">
        <f>IF(tech_base!$T136&gt;AA$2025,"",fuel_costs!S$13*0.086/tech_proj!AA260/(1-tech_proj!AA540))</f>
        <v>10.797525767051571</v>
      </c>
      <c r="AB2160" s="125">
        <f>IF(tech_base!$T136&gt;AB$2025,"",fuel_costs!T$13*0.086/tech_proj!AB260/(1-tech_proj!AB540))</f>
        <v>10.860750991841076</v>
      </c>
      <c r="AC2160" s="125">
        <f>IF(tech_base!$T136&gt;AC$2025,"",fuel_costs!U$13*0.086/tech_proj!AC260/(1-tech_proj!AC540))</f>
        <v>10.956052182107925</v>
      </c>
      <c r="AD2160" s="125">
        <f>IF(tech_base!$T136&gt;AD$2025,"",fuel_costs!V$13*0.086/tech_proj!AD260/(1-tech_proj!AD540))</f>
        <v>11.016500304743804</v>
      </c>
      <c r="AE2160" s="125">
        <f>IF(tech_base!$T136&gt;AE$2025,"",fuel_costs!W$13*0.086/tech_proj!AE260/(1-tech_proj!AE540))</f>
        <v>11.074434901198027</v>
      </c>
      <c r="AF2160" s="125">
        <f>IF(tech_base!$T136&gt;AF$2025,"",fuel_costs!X$13*0.086/tech_proj!AF260/(1-tech_proj!AF540))</f>
        <v>11.106434877357309</v>
      </c>
      <c r="AG2160" s="125">
        <f>IF(tech_base!$T136&gt;AG$2025,"",fuel_costs!Y$13*0.086/tech_proj!AG260/(1-tech_proj!AG540))</f>
        <v>11.142225809564566</v>
      </c>
      <c r="AH2160" s="125">
        <f>IF(tech_base!$T136&gt;AH$2025,"",fuel_costs!Z$13*0.086/tech_proj!AH260/(1-tech_proj!AH540))</f>
        <v>11.181794126559364</v>
      </c>
      <c r="AI2160" s="125">
        <f>IF(tech_base!$T136&gt;AI$2025,"",fuel_costs!AA$13*0.086/tech_proj!AI260/(1-tech_proj!AI540))</f>
        <v>11.225500826497701</v>
      </c>
      <c r="AJ2160" s="125">
        <f>IF(tech_base!$T136&gt;AJ$2025,"",fuel_costs!AB$13*0.086/tech_proj!AJ260/(1-tech_proj!AJ540))</f>
        <v>11.274037815213299</v>
      </c>
      <c r="AK2160" s="125">
        <f>IF(tech_base!$T136&gt;AK$2025,"",fuel_costs!AC$13*0.086/tech_proj!AK260/(1-tech_proj!AK540))</f>
        <v>11.328380820139188</v>
      </c>
      <c r="AL2160" s="125">
        <f>IF(tech_base!$T136&gt;AL$2025,"",fuel_costs!AD$13*0.086/tech_proj!AL260/(1-tech_proj!AL540))</f>
        <v>11.386754236458509</v>
      </c>
      <c r="AM2160" s="125">
        <f>IF(tech_base!$T136&gt;AM$2025,"",fuel_costs!AE$13*0.086/tech_proj!AM260/(1-tech_proj!AM540))</f>
        <v>11.446979173897635</v>
      </c>
      <c r="AN2160" s="125">
        <f>IF(tech_base!$T136&gt;AN$2025,"",fuel_costs!AF$13*0.086/tech_proj!AN260/(1-tech_proj!AN540))</f>
        <v>11.508335825310654</v>
      </c>
      <c r="AO2160" s="125">
        <f>IF(tech_base!$T136&gt;AO$2025,"",fuel_costs!AG$13*0.086/tech_proj!AO260/(1-tech_proj!AO540))</f>
        <v>11.519026361975925</v>
      </c>
      <c r="AP2160" s="125">
        <f>IF(tech_base!$T136&gt;AP$2025,"",fuel_costs!AH$13*0.086/tech_proj!AP260/(1-tech_proj!AP540))</f>
        <v>11.543297377719636</v>
      </c>
      <c r="AQ2160" s="125">
        <f>IF(tech_base!$T136&gt;AQ$2025,"",fuel_costs!AI$13*0.086/tech_proj!AQ260/(1-tech_proj!AQ540))</f>
        <v>11.568770242223763</v>
      </c>
      <c r="AR2160" s="125">
        <f>IF(tech_base!$T136&gt;AR$2025,"",fuel_costs!AJ$13*0.086/tech_proj!AR260/(1-tech_proj!AR540))</f>
        <v>11.617605906028777</v>
      </c>
      <c r="AS2160" s="125">
        <f>IF(tech_base!$T136&gt;AS$2025,"",fuel_costs!AK$13*0.086/tech_proj!AS260/(1-tech_proj!AS540))</f>
        <v>11.645682234103466</v>
      </c>
      <c r="AT2160" s="125">
        <f>IF(tech_base!$T136&gt;AT$2025,"",fuel_costs!AL$13*0.086/tech_proj!AT260/(1-tech_proj!AT540))</f>
        <v>11.673694867411722</v>
      </c>
      <c r="AU2160" s="125">
        <f>IF(tech_base!$T136&gt;AU$2025,"",fuel_costs!AM$13*0.086/tech_proj!AU260/(1-tech_proj!AU540))</f>
        <v>11.701221337888629</v>
      </c>
      <c r="AV2160" s="125">
        <f>IF(tech_base!$T136&gt;AV$2025,"",fuel_costs!AN$13*0.086/tech_proj!AV260/(1-tech_proj!AV540))</f>
        <v>11.728001127870959</v>
      </c>
      <c r="AW2160" s="125">
        <f>IF(tech_base!$T136&gt;AW$2025,"",fuel_costs!AO$13*0.086/tech_proj!AW260/(1-tech_proj!AW540))</f>
        <v>11.75383794965977</v>
      </c>
      <c r="AX2160" s="126">
        <f>IF(tech_base!$T136&gt;AX$2025,"",fuel_costs!AP$13*0.086/tech_proj!AX260/(1-tech_proj!AX540))</f>
        <v>11.786354675628319</v>
      </c>
    </row>
    <row r="2161" spans="1:50" x14ac:dyDescent="0.25">
      <c r="A2161" s="356"/>
      <c r="B2161" s="366"/>
      <c r="C2161" s="361" t="s">
        <v>15</v>
      </c>
      <c r="D2161" s="58" t="s">
        <v>7</v>
      </c>
      <c r="E2161" s="78" t="str">
        <f>A2155&amp;"/"&amp;B2155&amp;"/"&amp;C2161&amp;"/"&amp;D2161</f>
        <v>Refinery gas fired power plants/Steam turbine/Electricity only with CCS/L</v>
      </c>
      <c r="F2161" s="78" t="str">
        <f>A2155</f>
        <v>Refinery gas fired power plants</v>
      </c>
      <c r="G2161" s="78" t="str">
        <f>B2155</f>
        <v>Steam turbine</v>
      </c>
      <c r="H2161" s="78" t="str">
        <f>C2161</f>
        <v>Electricity only with CCS</v>
      </c>
      <c r="I2161" s="78" t="str">
        <f t="shared" si="389"/>
        <v>L</v>
      </c>
      <c r="J2161" s="123" t="str">
        <f>IF(tech_base!$T137&gt;J$2025,"",fuel_costs!B$13*0.086/tech_proj!J261/(1-tech_proj!J541))</f>
        <v/>
      </c>
      <c r="K2161" s="123" t="str">
        <f>IF(tech_base!$T137&gt;K$2025,"",fuel_costs!C$13*0.086/tech_proj!K261/(1-tech_proj!K541))</f>
        <v/>
      </c>
      <c r="L2161" s="123" t="str">
        <f>IF(tech_base!$T137&gt;L$2025,"",fuel_costs!D$13*0.086/tech_proj!L261/(1-tech_proj!L541))</f>
        <v/>
      </c>
      <c r="M2161" s="123" t="str">
        <f>IF(tech_base!$T137&gt;M$2025,"",fuel_costs!E$13*0.086/tech_proj!M261/(1-tech_proj!M541))</f>
        <v/>
      </c>
      <c r="N2161" s="123" t="str">
        <f>IF(tech_base!$T137&gt;N$2025,"",fuel_costs!F$13*0.086/tech_proj!N261/(1-tech_proj!N541))</f>
        <v/>
      </c>
      <c r="O2161" s="123" t="str">
        <f>IF(tech_base!$T137&gt;O$2025,"",fuel_costs!G$13*0.086/tech_proj!O261/(1-tech_proj!O541))</f>
        <v/>
      </c>
      <c r="P2161" s="123" t="str">
        <f>IF(tech_base!$T137&gt;P$2025,"",fuel_costs!H$13*0.086/tech_proj!P261/(1-tech_proj!P541))</f>
        <v/>
      </c>
      <c r="Q2161" s="123" t="str">
        <f>IF(tech_base!$T137&gt;Q$2025,"",fuel_costs!I$13*0.086/tech_proj!Q261/(1-tech_proj!Q541))</f>
        <v/>
      </c>
      <c r="R2161" s="123" t="str">
        <f>IF(tech_base!$T137&gt;R$2025,"",fuel_costs!J$13*0.086/tech_proj!R261/(1-tech_proj!R541))</f>
        <v/>
      </c>
      <c r="S2161" s="123" t="str">
        <f>IF(tech_base!$T137&gt;S$2025,"",fuel_costs!K$13*0.086/tech_proj!S261/(1-tech_proj!S541))</f>
        <v/>
      </c>
      <c r="T2161" s="123" t="str">
        <f>IF(tech_base!$T137&gt;T$2025,"",fuel_costs!L$13*0.086/tech_proj!T261/(1-tech_proj!T541))</f>
        <v/>
      </c>
      <c r="U2161" s="123" t="str">
        <f>IF(tech_base!$T137&gt;U$2025,"",fuel_costs!M$13*0.086/tech_proj!U261/(1-tech_proj!U541))</f>
        <v/>
      </c>
      <c r="V2161" s="123" t="str">
        <f>IF(tech_base!$T137&gt;V$2025,"",fuel_costs!N$13*0.086/tech_proj!V261/(1-tech_proj!V541))</f>
        <v/>
      </c>
      <c r="W2161" s="123" t="str">
        <f>IF(tech_base!$T137&gt;W$2025,"",fuel_costs!O$13*0.086/tech_proj!W261/(1-tech_proj!W541))</f>
        <v/>
      </c>
      <c r="X2161" s="123" t="str">
        <f>IF(tech_base!$T137&gt;X$2025,"",fuel_costs!P$13*0.086/tech_proj!X261/(1-tech_proj!X541))</f>
        <v/>
      </c>
      <c r="Y2161" s="123" t="str">
        <f>IF(tech_base!$T137&gt;Y$2025,"",fuel_costs!Q$13*0.086/tech_proj!Y261/(1-tech_proj!Y541))</f>
        <v/>
      </c>
      <c r="Z2161" s="123" t="str">
        <f>IF(tech_base!$T137&gt;Z$2025,"",fuel_costs!R$13*0.086/tech_proj!Z261/(1-tech_proj!Z541))</f>
        <v/>
      </c>
      <c r="AA2161" s="123" t="str">
        <f>IF(tech_base!$T137&gt;AA$2025,"",fuel_costs!S$13*0.086/tech_proj!AA261/(1-tech_proj!AA541))</f>
        <v/>
      </c>
      <c r="AB2161" s="123" t="str">
        <f>IF(tech_base!$T137&gt;AB$2025,"",fuel_costs!T$13*0.086/tech_proj!AB261/(1-tech_proj!AB541))</f>
        <v/>
      </c>
      <c r="AC2161" s="123" t="str">
        <f>IF(tech_base!$T137&gt;AC$2025,"",fuel_costs!U$13*0.086/tech_proj!AC261/(1-tech_proj!AC541))</f>
        <v/>
      </c>
      <c r="AD2161" s="123" t="str">
        <f>IF(tech_base!$T137&gt;AD$2025,"",fuel_costs!V$13*0.086/tech_proj!AD261/(1-tech_proj!AD541))</f>
        <v/>
      </c>
      <c r="AE2161" s="123">
        <f>IF(tech_base!$T137&gt;AE$2025,"",fuel_costs!W$13*0.086/tech_proj!AE261/(1-tech_proj!AE541))</f>
        <v>12.076107371906499</v>
      </c>
      <c r="AF2161" s="123">
        <f>IF(tech_base!$T137&gt;AF$2025,"",fuel_costs!X$13*0.086/tech_proj!AF261/(1-tech_proj!AF541))</f>
        <v>12.111100328725907</v>
      </c>
      <c r="AG2161" s="123">
        <f>IF(tech_base!$T137&gt;AG$2025,"",fuel_costs!Y$13*0.086/tech_proj!AG261/(1-tech_proj!AG541))</f>
        <v>12.150225302646527</v>
      </c>
      <c r="AH2161" s="123">
        <f>IF(tech_base!$T137&gt;AH$2025,"",fuel_costs!Z$13*0.086/tech_proj!AH261/(1-tech_proj!AH541))</f>
        <v>12.193467618465853</v>
      </c>
      <c r="AI2161" s="123">
        <f>IF(tech_base!$T137&gt;AI$2025,"",fuel_costs!AA$13*0.086/tech_proj!AI261/(1-tech_proj!AI541))</f>
        <v>12.24122105765535</v>
      </c>
      <c r="AJ2161" s="123">
        <f>IF(tech_base!$T137&gt;AJ$2025,"",fuel_costs!AB$13*0.086/tech_proj!AJ261/(1-tech_proj!AJ541))</f>
        <v>12.294240260783747</v>
      </c>
      <c r="AK2161" s="123">
        <f>IF(tech_base!$T137&gt;AK$2025,"",fuel_costs!AC$13*0.086/tech_proj!AK261/(1-tech_proj!AK541))</f>
        <v>12.353589392507933</v>
      </c>
      <c r="AL2161" s="123">
        <f>IF(tech_base!$T137&gt;AL$2025,"",fuel_costs!AD$13*0.086/tech_proj!AL261/(1-tech_proj!AL541))</f>
        <v>12.417332295395109</v>
      </c>
      <c r="AM2161" s="123">
        <f>IF(tech_base!$T137&gt;AM$2025,"",fuel_costs!AE$13*0.086/tech_proj!AM261/(1-tech_proj!AM541))</f>
        <v>12.483092964363349</v>
      </c>
      <c r="AN2161" s="123">
        <f>IF(tech_base!$T137&gt;AN$2025,"",fuel_costs!AF$13*0.086/tech_proj!AN261/(1-tech_proj!AN541))</f>
        <v>12.550086488487377</v>
      </c>
      <c r="AO2161" s="123">
        <f>IF(tech_base!$T137&gt;AO$2025,"",fuel_costs!AG$13*0.086/tech_proj!AO261/(1-tech_proj!AO541))</f>
        <v>12.561825899526971</v>
      </c>
      <c r="AP2161" s="123">
        <f>IF(tech_base!$T137&gt;AP$2025,"",fuel_costs!AH$13*0.086/tech_proj!AP261/(1-tech_proj!AP541))</f>
        <v>12.588373346570725</v>
      </c>
      <c r="AQ2161" s="123">
        <f>IF(tech_base!$T137&gt;AQ$2025,"",fuel_costs!AI$13*0.086/tech_proj!AQ261/(1-tech_proj!AQ541))</f>
        <v>12.616229726607186</v>
      </c>
      <c r="AR2161" s="123">
        <f>IF(tech_base!$T137&gt;AR$2025,"",fuel_costs!AJ$13*0.086/tech_proj!AR261/(1-tech_proj!AR541))</f>
        <v>12.669562687759843</v>
      </c>
      <c r="AS2161" s="123">
        <f>IF(tech_base!$T137&gt;AS$2025,"",fuel_costs!AK$13*0.086/tech_proj!AS261/(1-tech_proj!AS541))</f>
        <v>12.700255098916099</v>
      </c>
      <c r="AT2161" s="123">
        <f>IF(tech_base!$T137&gt;AT$2025,"",fuel_costs!AL$13*0.086/tech_proj!AT261/(1-tech_proj!AT541))</f>
        <v>12.730876455356313</v>
      </c>
      <c r="AU2161" s="123">
        <f>IF(tech_base!$T137&gt;AU$2025,"",fuel_costs!AM$13*0.086/tech_proj!AU261/(1-tech_proj!AU541))</f>
        <v>12.760966056982157</v>
      </c>
      <c r="AV2161" s="123">
        <f>IF(tech_base!$T137&gt;AV$2025,"",fuel_costs!AN$13*0.086/tech_proj!AV261/(1-tech_proj!AV541))</f>
        <v>12.790239812349407</v>
      </c>
      <c r="AW2161" s="123">
        <f>IF(tech_base!$T137&gt;AW$2025,"",fuel_costs!AO$13*0.086/tech_proj!AW261/(1-tech_proj!AW541))</f>
        <v>12.818483672099214</v>
      </c>
      <c r="AX2161" s="124">
        <f>IF(tech_base!$T137&gt;AX$2025,"",fuel_costs!AP$13*0.086/tech_proj!AX261/(1-tech_proj!AX541))</f>
        <v>12.854011034588259</v>
      </c>
    </row>
    <row r="2162" spans="1:50" x14ac:dyDescent="0.25">
      <c r="A2162" s="356"/>
      <c r="B2162" s="366"/>
      <c r="C2162" s="379"/>
      <c r="D2162" s="59" t="s">
        <v>8</v>
      </c>
      <c r="E2162" s="79" t="str">
        <f>A2155&amp;"/"&amp;B2155&amp;"/"&amp;C2161&amp;"/"&amp;D2162</f>
        <v>Refinery gas fired power plants/Steam turbine/Electricity only with CCS/M</v>
      </c>
      <c r="F2162" s="79" t="str">
        <f>A2155</f>
        <v>Refinery gas fired power plants</v>
      </c>
      <c r="G2162" s="79" t="str">
        <f>B2155</f>
        <v>Steam turbine</v>
      </c>
      <c r="H2162" s="79" t="str">
        <f>C2161</f>
        <v>Electricity only with CCS</v>
      </c>
      <c r="I2162" s="79" t="str">
        <f t="shared" si="389"/>
        <v>M</v>
      </c>
      <c r="J2162" s="125" t="str">
        <f>IF(tech_base!$T138&gt;J$2025,"",fuel_costs!B$13*0.086/tech_proj!J262/(1-tech_proj!J542))</f>
        <v/>
      </c>
      <c r="K2162" s="125" t="str">
        <f>IF(tech_base!$T138&gt;K$2025,"",fuel_costs!C$13*0.086/tech_proj!K262/(1-tech_proj!K542))</f>
        <v/>
      </c>
      <c r="L2162" s="125" t="str">
        <f>IF(tech_base!$T138&gt;L$2025,"",fuel_costs!D$13*0.086/tech_proj!L262/(1-tech_proj!L542))</f>
        <v/>
      </c>
      <c r="M2162" s="125" t="str">
        <f>IF(tech_base!$T138&gt;M$2025,"",fuel_costs!E$13*0.086/tech_proj!M262/(1-tech_proj!M542))</f>
        <v/>
      </c>
      <c r="N2162" s="125" t="str">
        <f>IF(tech_base!$T138&gt;N$2025,"",fuel_costs!F$13*0.086/tech_proj!N262/(1-tech_proj!N542))</f>
        <v/>
      </c>
      <c r="O2162" s="125" t="str">
        <f>IF(tech_base!$T138&gt;O$2025,"",fuel_costs!G$13*0.086/tech_proj!O262/(1-tech_proj!O542))</f>
        <v/>
      </c>
      <c r="P2162" s="125" t="str">
        <f>IF(tech_base!$T138&gt;P$2025,"",fuel_costs!H$13*0.086/tech_proj!P262/(1-tech_proj!P542))</f>
        <v/>
      </c>
      <c r="Q2162" s="125" t="str">
        <f>IF(tech_base!$T138&gt;Q$2025,"",fuel_costs!I$13*0.086/tech_proj!Q262/(1-tech_proj!Q542))</f>
        <v/>
      </c>
      <c r="R2162" s="125" t="str">
        <f>IF(tech_base!$T138&gt;R$2025,"",fuel_costs!J$13*0.086/tech_proj!R262/(1-tech_proj!R542))</f>
        <v/>
      </c>
      <c r="S2162" s="125" t="str">
        <f>IF(tech_base!$T138&gt;S$2025,"",fuel_costs!K$13*0.086/tech_proj!S262/(1-tech_proj!S542))</f>
        <v/>
      </c>
      <c r="T2162" s="125" t="str">
        <f>IF(tech_base!$T138&gt;T$2025,"",fuel_costs!L$13*0.086/tech_proj!T262/(1-tech_proj!T542))</f>
        <v/>
      </c>
      <c r="U2162" s="125" t="str">
        <f>IF(tech_base!$T138&gt;U$2025,"",fuel_costs!M$13*0.086/tech_proj!U262/(1-tech_proj!U542))</f>
        <v/>
      </c>
      <c r="V2162" s="125" t="str">
        <f>IF(tech_base!$T138&gt;V$2025,"",fuel_costs!N$13*0.086/tech_proj!V262/(1-tech_proj!V542))</f>
        <v/>
      </c>
      <c r="W2162" s="125" t="str">
        <f>IF(tech_base!$T138&gt;W$2025,"",fuel_costs!O$13*0.086/tech_proj!W262/(1-tech_proj!W542))</f>
        <v/>
      </c>
      <c r="X2162" s="125" t="str">
        <f>IF(tech_base!$T138&gt;X$2025,"",fuel_costs!P$13*0.086/tech_proj!X262/(1-tech_proj!X542))</f>
        <v/>
      </c>
      <c r="Y2162" s="125" t="str">
        <f>IF(tech_base!$T138&gt;Y$2025,"",fuel_costs!Q$13*0.086/tech_proj!Y262/(1-tech_proj!Y542))</f>
        <v/>
      </c>
      <c r="Z2162" s="125" t="str">
        <f>IF(tech_base!$T138&gt;Z$2025,"",fuel_costs!R$13*0.086/tech_proj!Z262/(1-tech_proj!Z542))</f>
        <v/>
      </c>
      <c r="AA2162" s="125" t="str">
        <f>IF(tech_base!$T138&gt;AA$2025,"",fuel_costs!S$13*0.086/tech_proj!AA262/(1-tech_proj!AA542))</f>
        <v/>
      </c>
      <c r="AB2162" s="125" t="str">
        <f>IF(tech_base!$T138&gt;AB$2025,"",fuel_costs!T$13*0.086/tech_proj!AB262/(1-tech_proj!AB542))</f>
        <v/>
      </c>
      <c r="AC2162" s="125" t="str">
        <f>IF(tech_base!$T138&gt;AC$2025,"",fuel_costs!U$13*0.086/tech_proj!AC262/(1-tech_proj!AC542))</f>
        <v/>
      </c>
      <c r="AD2162" s="125" t="str">
        <f>IF(tech_base!$T138&gt;AD$2025,"",fuel_costs!V$13*0.086/tech_proj!AD262/(1-tech_proj!AD542))</f>
        <v/>
      </c>
      <c r="AE2162" s="125">
        <f>IF(tech_base!$T138&gt;AE$2025,"",fuel_costs!W$13*0.086/tech_proj!AE262/(1-tech_proj!AE542))</f>
        <v>12.891633523543749</v>
      </c>
      <c r="AF2162" s="125">
        <f>IF(tech_base!$T138&gt;AF$2025,"",fuel_costs!X$13*0.086/tech_proj!AF262/(1-tech_proj!AF542))</f>
        <v>12.928989631876348</v>
      </c>
      <c r="AG2162" s="125">
        <f>IF(tech_base!$T138&gt;AG$2025,"",fuel_costs!Y$13*0.086/tech_proj!AG262/(1-tech_proj!AG542))</f>
        <v>12.9707568015337</v>
      </c>
      <c r="AH2162" s="125">
        <f>IF(tech_base!$T138&gt;AH$2025,"",fuel_costs!Z$13*0.086/tech_proj!AH262/(1-tech_proj!AH542))</f>
        <v>13.016919366264531</v>
      </c>
      <c r="AI2162" s="125">
        <f>IF(tech_base!$T138&gt;AI$2025,"",fuel_costs!AA$13*0.086/tech_proj!AI262/(1-tech_proj!AI542))</f>
        <v>13.06789770047113</v>
      </c>
      <c r="AJ2162" s="125">
        <f>IF(tech_base!$T138&gt;AJ$2025,"",fuel_costs!AB$13*0.086/tech_proj!AJ262/(1-tech_proj!AJ542))</f>
        <v>13.124497407263377</v>
      </c>
      <c r="AK2162" s="125">
        <f>IF(tech_base!$T138&gt;AK$2025,"",fuel_costs!AC$13*0.086/tech_proj!AK262/(1-tech_proj!AK542))</f>
        <v>13.187854516683309</v>
      </c>
      <c r="AL2162" s="125">
        <f>IF(tech_base!$T138&gt;AL$2025,"",fuel_costs!AD$13*0.086/tech_proj!AL262/(1-tech_proj!AL542))</f>
        <v>13.255902118318586</v>
      </c>
      <c r="AM2162" s="125">
        <f>IF(tech_base!$T138&gt;AM$2025,"",fuel_costs!AE$13*0.086/tech_proj!AM262/(1-tech_proj!AM542))</f>
        <v>13.326103750226387</v>
      </c>
      <c r="AN2162" s="125">
        <f>IF(tech_base!$T138&gt;AN$2025,"",fuel_costs!AF$13*0.086/tech_proj!AN262/(1-tech_proj!AN542))</f>
        <v>13.39762149471637</v>
      </c>
      <c r="AO2162" s="125">
        <f>IF(tech_base!$T138&gt;AO$2025,"",fuel_costs!AG$13*0.086/tech_proj!AO262/(1-tech_proj!AO542))</f>
        <v>13.41015369406206</v>
      </c>
      <c r="AP2162" s="125">
        <f>IF(tech_base!$T138&gt;AP$2025,"",fuel_costs!AH$13*0.086/tech_proj!AP262/(1-tech_proj!AP542))</f>
        <v>13.438493948726402</v>
      </c>
      <c r="AQ2162" s="125">
        <f>IF(tech_base!$T138&gt;AQ$2025,"",fuel_costs!AI$13*0.086/tech_proj!AQ262/(1-tech_proj!AQ542))</f>
        <v>13.468231531513885</v>
      </c>
      <c r="AR2162" s="125">
        <f>IF(tech_base!$T138&gt;AR$2025,"",fuel_costs!AJ$13*0.086/tech_proj!AR262/(1-tech_proj!AR542))</f>
        <v>13.525166185101426</v>
      </c>
      <c r="AS2162" s="125">
        <f>IF(tech_base!$T138&gt;AS$2025,"",fuel_costs!AK$13*0.086/tech_proj!AS262/(1-tech_proj!AS542))</f>
        <v>13.557931322442029</v>
      </c>
      <c r="AT2162" s="125">
        <f>IF(tech_base!$T138&gt;AT$2025,"",fuel_costs!AL$13*0.086/tech_proj!AT262/(1-tech_proj!AT542))</f>
        <v>13.590620606584983</v>
      </c>
      <c r="AU2162" s="125">
        <f>IF(tech_base!$T138&gt;AU$2025,"",fuel_costs!AM$13*0.086/tech_proj!AU262/(1-tech_proj!AU542))</f>
        <v>13.622742225338738</v>
      </c>
      <c r="AV2162" s="125">
        <f>IF(tech_base!$T138&gt;AV$2025,"",fuel_costs!AN$13*0.086/tech_proj!AV262/(1-tech_proj!AV542))</f>
        <v>13.653992901937592</v>
      </c>
      <c r="AW2162" s="125">
        <f>IF(tech_base!$T138&gt;AW$2025,"",fuel_costs!AO$13*0.086/tech_proj!AW262/(1-tech_proj!AW542))</f>
        <v>13.684144131797627</v>
      </c>
      <c r="AX2162" s="126">
        <f>IF(tech_base!$T138&gt;AX$2025,"",fuel_costs!AP$13*0.086/tech_proj!AX262/(1-tech_proj!AX542))</f>
        <v>13.722070735392787</v>
      </c>
    </row>
    <row r="2163" spans="1:50" x14ac:dyDescent="0.25">
      <c r="A2163" s="356"/>
      <c r="B2163" s="366"/>
      <c r="C2163" s="361" t="s">
        <v>16</v>
      </c>
      <c r="D2163" s="2" t="s">
        <v>7</v>
      </c>
      <c r="E2163" s="76" t="str">
        <f>A2155&amp;"/"&amp;B2155&amp;"/"&amp;C2163&amp;"/"&amp;D2163</f>
        <v>Refinery gas fired power plants/Steam turbine/CHP with CCS/L</v>
      </c>
      <c r="F2163" s="76" t="str">
        <f>A2155</f>
        <v>Refinery gas fired power plants</v>
      </c>
      <c r="G2163" s="76" t="str">
        <f>B2155</f>
        <v>Steam turbine</v>
      </c>
      <c r="H2163" s="76" t="str">
        <f>C2163</f>
        <v>CHP with CCS</v>
      </c>
      <c r="I2163" s="76" t="str">
        <f t="shared" si="389"/>
        <v>L</v>
      </c>
      <c r="J2163" s="119" t="str">
        <f>IF(tech_base!$T139&gt;J$2025,"",fuel_costs!B$13*0.086/tech_proj!J263/(1-tech_proj!J543))</f>
        <v/>
      </c>
      <c r="K2163" s="119" t="str">
        <f>IF(tech_base!$T139&gt;K$2025,"",fuel_costs!C$13*0.086/tech_proj!K263/(1-tech_proj!K543))</f>
        <v/>
      </c>
      <c r="L2163" s="119" t="str">
        <f>IF(tech_base!$T139&gt;L$2025,"",fuel_costs!D$13*0.086/tech_proj!L263/(1-tech_proj!L543))</f>
        <v/>
      </c>
      <c r="M2163" s="119" t="str">
        <f>IF(tech_base!$T139&gt;M$2025,"",fuel_costs!E$13*0.086/tech_proj!M263/(1-tech_proj!M543))</f>
        <v/>
      </c>
      <c r="N2163" s="119" t="str">
        <f>IF(tech_base!$T139&gt;N$2025,"",fuel_costs!F$13*0.086/tech_proj!N263/(1-tech_proj!N543))</f>
        <v/>
      </c>
      <c r="O2163" s="119" t="str">
        <f>IF(tech_base!$T139&gt;O$2025,"",fuel_costs!G$13*0.086/tech_proj!O263/(1-tech_proj!O543))</f>
        <v/>
      </c>
      <c r="P2163" s="119" t="str">
        <f>IF(tech_base!$T139&gt;P$2025,"",fuel_costs!H$13*0.086/tech_proj!P263/(1-tech_proj!P543))</f>
        <v/>
      </c>
      <c r="Q2163" s="119" t="str">
        <f>IF(tech_base!$T139&gt;Q$2025,"",fuel_costs!I$13*0.086/tech_proj!Q263/(1-tech_proj!Q543))</f>
        <v/>
      </c>
      <c r="R2163" s="119" t="str">
        <f>IF(tech_base!$T139&gt;R$2025,"",fuel_costs!J$13*0.086/tech_proj!R263/(1-tech_proj!R543))</f>
        <v/>
      </c>
      <c r="S2163" s="119" t="str">
        <f>IF(tech_base!$T139&gt;S$2025,"",fuel_costs!K$13*0.086/tech_proj!S263/(1-tech_proj!S543))</f>
        <v/>
      </c>
      <c r="T2163" s="119" t="str">
        <f>IF(tech_base!$T139&gt;T$2025,"",fuel_costs!L$13*0.086/tech_proj!T263/(1-tech_proj!T543))</f>
        <v/>
      </c>
      <c r="U2163" s="119" t="str">
        <f>IF(tech_base!$T139&gt;U$2025,"",fuel_costs!M$13*0.086/tech_proj!U263/(1-tech_proj!U543))</f>
        <v/>
      </c>
      <c r="V2163" s="119" t="str">
        <f>IF(tech_base!$T139&gt;V$2025,"",fuel_costs!N$13*0.086/tech_proj!V263/(1-tech_proj!V543))</f>
        <v/>
      </c>
      <c r="W2163" s="119" t="str">
        <f>IF(tech_base!$T139&gt;W$2025,"",fuel_costs!O$13*0.086/tech_proj!W263/(1-tech_proj!W543))</f>
        <v/>
      </c>
      <c r="X2163" s="119" t="str">
        <f>IF(tech_base!$T139&gt;X$2025,"",fuel_costs!P$13*0.086/tech_proj!X263/(1-tech_proj!X543))</f>
        <v/>
      </c>
      <c r="Y2163" s="119" t="str">
        <f>IF(tech_base!$T139&gt;Y$2025,"",fuel_costs!Q$13*0.086/tech_proj!Y263/(1-tech_proj!Y543))</f>
        <v/>
      </c>
      <c r="Z2163" s="119" t="str">
        <f>IF(tech_base!$T139&gt;Z$2025,"",fuel_costs!R$13*0.086/tech_proj!Z263/(1-tech_proj!Z543))</f>
        <v/>
      </c>
      <c r="AA2163" s="119" t="str">
        <f>IF(tech_base!$T139&gt;AA$2025,"",fuel_costs!S$13*0.086/tech_proj!AA263/(1-tech_proj!AA543))</f>
        <v/>
      </c>
      <c r="AB2163" s="119" t="str">
        <f>IF(tech_base!$T139&gt;AB$2025,"",fuel_costs!T$13*0.086/tech_proj!AB263/(1-tech_proj!AB543))</f>
        <v/>
      </c>
      <c r="AC2163" s="119" t="str">
        <f>IF(tech_base!$T139&gt;AC$2025,"",fuel_costs!U$13*0.086/tech_proj!AC263/(1-tech_proj!AC543))</f>
        <v/>
      </c>
      <c r="AD2163" s="119" t="str">
        <f>IF(tech_base!$T139&gt;AD$2025,"",fuel_costs!V$13*0.086/tech_proj!AD263/(1-tech_proj!AD543))</f>
        <v/>
      </c>
      <c r="AE2163" s="119">
        <f>IF(tech_base!$T139&gt;AE$2025,"",fuel_costs!W$13*0.086/tech_proj!AE263/(1-tech_proj!AE543))</f>
        <v>13.734856367051789</v>
      </c>
      <c r="AF2163" s="119">
        <f>IF(tech_base!$T139&gt;AF$2025,"",fuel_costs!X$13*0.086/tech_proj!AF263/(1-tech_proj!AF543))</f>
        <v>13.774655883648599</v>
      </c>
      <c r="AG2163" s="119">
        <f>IF(tech_base!$T139&gt;AG$2025,"",fuel_costs!Y$13*0.086/tech_proj!AG263/(1-tech_proj!AG543))</f>
        <v>13.819154982622701</v>
      </c>
      <c r="AH2163" s="119">
        <f>IF(tech_base!$T139&gt;AH$2025,"",fuel_costs!Z$13*0.086/tech_proj!AH263/(1-tech_proj!AH543))</f>
        <v>13.868336973016294</v>
      </c>
      <c r="AI2163" s="119">
        <f>IF(tech_base!$T139&gt;AI$2025,"",fuel_costs!AA$13*0.086/tech_proj!AI263/(1-tech_proj!AI543))</f>
        <v>13.922649725304861</v>
      </c>
      <c r="AJ2163" s="119">
        <f>IF(tech_base!$T139&gt;AJ$2025,"",fuel_costs!AB$13*0.086/tech_proj!AJ263/(1-tech_proj!AJ543))</f>
        <v>13.982951535916296</v>
      </c>
      <c r="AK2163" s="119">
        <f>IF(tech_base!$T139&gt;AK$2025,"",fuel_costs!AC$13*0.086/tech_proj!AK263/(1-tech_proj!AK543))</f>
        <v>14.050452740951728</v>
      </c>
      <c r="AL2163" s="119">
        <f>IF(tech_base!$T139&gt;AL$2025,"",fuel_costs!AD$13*0.086/tech_proj!AL263/(1-tech_proj!AL543))</f>
        <v>14.122951236419816</v>
      </c>
      <c r="AM2163" s="119">
        <f>IF(tech_base!$T139&gt;AM$2025,"",fuel_costs!AE$13*0.086/tech_proj!AM263/(1-tech_proj!AM543))</f>
        <v>14.197744654121717</v>
      </c>
      <c r="AN2163" s="119">
        <f>IF(tech_base!$T139&gt;AN$2025,"",fuel_costs!AF$13*0.086/tech_proj!AN263/(1-tech_proj!AN543))</f>
        <v>14.273940269399761</v>
      </c>
      <c r="AO2163" s="119">
        <f>IF(tech_base!$T139&gt;AO$2025,"",fuel_costs!AG$13*0.086/tech_proj!AO263/(1-tech_proj!AO543))</f>
        <v>14.287292181526485</v>
      </c>
      <c r="AP2163" s="119">
        <f>IF(tech_base!$T139&gt;AP$2025,"",fuel_costs!AH$13*0.086/tech_proj!AP263/(1-tech_proj!AP543))</f>
        <v>14.317486130688128</v>
      </c>
      <c r="AQ2163" s="119">
        <f>IF(tech_base!$T139&gt;AQ$2025,"",fuel_costs!AI$13*0.086/tech_proj!AQ263/(1-tech_proj!AQ543))</f>
        <v>14.3491688051563</v>
      </c>
      <c r="AR2163" s="119">
        <f>IF(tech_base!$T139&gt;AR$2025,"",fuel_costs!AJ$13*0.086/tech_proj!AR263/(1-tech_proj!AR543))</f>
        <v>14.409827470941718</v>
      </c>
      <c r="AS2163" s="119">
        <f>IF(tech_base!$T139&gt;AS$2025,"",fuel_costs!AK$13*0.086/tech_proj!AS263/(1-tech_proj!AS543))</f>
        <v>14.444735727866492</v>
      </c>
      <c r="AT2163" s="119">
        <f>IF(tech_base!$T139&gt;AT$2025,"",fuel_costs!AL$13*0.086/tech_proj!AT263/(1-tech_proj!AT543))</f>
        <v>14.479563170147193</v>
      </c>
      <c r="AU2163" s="119">
        <f>IF(tech_base!$T139&gt;AU$2025,"",fuel_costs!AM$13*0.086/tech_proj!AU263/(1-tech_proj!AU543))</f>
        <v>14.513785816878062</v>
      </c>
      <c r="AV2163" s="119">
        <f>IF(tech_base!$T139&gt;AV$2025,"",fuel_costs!AN$13*0.086/tech_proj!AV263/(1-tech_proj!AV543))</f>
        <v>14.547080554404888</v>
      </c>
      <c r="AW2163" s="119">
        <f>IF(tech_base!$T139&gt;AW$2025,"",fuel_costs!AO$13*0.086/tech_proj!AW263/(1-tech_proj!AW543))</f>
        <v>14.579203931994027</v>
      </c>
      <c r="AX2163" s="120">
        <f>IF(tech_base!$T139&gt;AX$2025,"",fuel_costs!AP$13*0.086/tech_proj!AX263/(1-tech_proj!AX543))</f>
        <v>14.619611259111901</v>
      </c>
    </row>
    <row r="2164" spans="1:50" x14ac:dyDescent="0.25">
      <c r="A2164" s="357"/>
      <c r="B2164" s="367"/>
      <c r="C2164" s="381"/>
      <c r="D2164" s="4" t="s">
        <v>8</v>
      </c>
      <c r="E2164" s="80" t="str">
        <f>A2155&amp;"/"&amp;B2155&amp;"/"&amp;C2163&amp;"/"&amp;D2164</f>
        <v>Refinery gas fired power plants/Steam turbine/CHP with CCS/M</v>
      </c>
      <c r="F2164" s="80" t="str">
        <f>A2155</f>
        <v>Refinery gas fired power plants</v>
      </c>
      <c r="G2164" s="80" t="str">
        <f>B2155</f>
        <v>Steam turbine</v>
      </c>
      <c r="H2164" s="80" t="str">
        <f>C2163</f>
        <v>CHP with CCS</v>
      </c>
      <c r="I2164" s="80" t="str">
        <f t="shared" si="389"/>
        <v>M</v>
      </c>
      <c r="J2164" s="127" t="str">
        <f>IF(tech_base!$T140&gt;J$2025,"",fuel_costs!B$13*0.086/tech_proj!J264/(1-tech_proj!J544))</f>
        <v/>
      </c>
      <c r="K2164" s="127" t="str">
        <f>IF(tech_base!$T140&gt;K$2025,"",fuel_costs!C$13*0.086/tech_proj!K264/(1-tech_proj!K544))</f>
        <v/>
      </c>
      <c r="L2164" s="127" t="str">
        <f>IF(tech_base!$T140&gt;L$2025,"",fuel_costs!D$13*0.086/tech_proj!L264/(1-tech_proj!L544))</f>
        <v/>
      </c>
      <c r="M2164" s="127" t="str">
        <f>IF(tech_base!$T140&gt;M$2025,"",fuel_costs!E$13*0.086/tech_proj!M264/(1-tech_proj!M544))</f>
        <v/>
      </c>
      <c r="N2164" s="127" t="str">
        <f>IF(tech_base!$T140&gt;N$2025,"",fuel_costs!F$13*0.086/tech_proj!N264/(1-tech_proj!N544))</f>
        <v/>
      </c>
      <c r="O2164" s="127" t="str">
        <f>IF(tech_base!$T140&gt;O$2025,"",fuel_costs!G$13*0.086/tech_proj!O264/(1-tech_proj!O544))</f>
        <v/>
      </c>
      <c r="P2164" s="127" t="str">
        <f>IF(tech_base!$T140&gt;P$2025,"",fuel_costs!H$13*0.086/tech_proj!P264/(1-tech_proj!P544))</f>
        <v/>
      </c>
      <c r="Q2164" s="127" t="str">
        <f>IF(tech_base!$T140&gt;Q$2025,"",fuel_costs!I$13*0.086/tech_proj!Q264/(1-tech_proj!Q544))</f>
        <v/>
      </c>
      <c r="R2164" s="127" t="str">
        <f>IF(tech_base!$T140&gt;R$2025,"",fuel_costs!J$13*0.086/tech_proj!R264/(1-tech_proj!R544))</f>
        <v/>
      </c>
      <c r="S2164" s="127" t="str">
        <f>IF(tech_base!$T140&gt;S$2025,"",fuel_costs!K$13*0.086/tech_proj!S264/(1-tech_proj!S544))</f>
        <v/>
      </c>
      <c r="T2164" s="127" t="str">
        <f>IF(tech_base!$T140&gt;T$2025,"",fuel_costs!L$13*0.086/tech_proj!T264/(1-tech_proj!T544))</f>
        <v/>
      </c>
      <c r="U2164" s="127" t="str">
        <f>IF(tech_base!$T140&gt;U$2025,"",fuel_costs!M$13*0.086/tech_proj!U264/(1-tech_proj!U544))</f>
        <v/>
      </c>
      <c r="V2164" s="127" t="str">
        <f>IF(tech_base!$T140&gt;V$2025,"",fuel_costs!N$13*0.086/tech_proj!V264/(1-tech_proj!V544))</f>
        <v/>
      </c>
      <c r="W2164" s="127" t="str">
        <f>IF(tech_base!$T140&gt;W$2025,"",fuel_costs!O$13*0.086/tech_proj!W264/(1-tech_proj!W544))</f>
        <v/>
      </c>
      <c r="X2164" s="127" t="str">
        <f>IF(tech_base!$T140&gt;X$2025,"",fuel_costs!P$13*0.086/tech_proj!X264/(1-tech_proj!X544))</f>
        <v/>
      </c>
      <c r="Y2164" s="127" t="str">
        <f>IF(tech_base!$T140&gt;Y$2025,"",fuel_costs!Q$13*0.086/tech_proj!Y264/(1-tech_proj!Y544))</f>
        <v/>
      </c>
      <c r="Z2164" s="127" t="str">
        <f>IF(tech_base!$T140&gt;Z$2025,"",fuel_costs!R$13*0.086/tech_proj!Z264/(1-tech_proj!Z544))</f>
        <v/>
      </c>
      <c r="AA2164" s="127" t="str">
        <f>IF(tech_base!$T140&gt;AA$2025,"",fuel_costs!S$13*0.086/tech_proj!AA264/(1-tech_proj!AA544))</f>
        <v/>
      </c>
      <c r="AB2164" s="127" t="str">
        <f>IF(tech_base!$T140&gt;AB$2025,"",fuel_costs!T$13*0.086/tech_proj!AB264/(1-tech_proj!AB544))</f>
        <v/>
      </c>
      <c r="AC2164" s="127" t="str">
        <f>IF(tech_base!$T140&gt;AC$2025,"",fuel_costs!U$13*0.086/tech_proj!AC264/(1-tech_proj!AC544))</f>
        <v/>
      </c>
      <c r="AD2164" s="127" t="str">
        <f>IF(tech_base!$T140&gt;AD$2025,"",fuel_costs!V$13*0.086/tech_proj!AD264/(1-tech_proj!AD544))</f>
        <v/>
      </c>
      <c r="AE2164" s="127">
        <f>IF(tech_base!$T140&gt;AE$2025,"",fuel_costs!W$13*0.086/tech_proj!AE264/(1-tech_proj!AE544))</f>
        <v>14.696107186646659</v>
      </c>
      <c r="AF2164" s="127">
        <f>IF(tech_base!$T140&gt;AF$2025,"",fuel_costs!X$13*0.086/tech_proj!AF264/(1-tech_proj!AF544))</f>
        <v>14.738692121374228</v>
      </c>
      <c r="AG2164" s="127">
        <f>IF(tech_base!$T140&gt;AG$2025,"",fuel_costs!Y$13*0.086/tech_proj!AG264/(1-tech_proj!AG544))</f>
        <v>14.786305544533233</v>
      </c>
      <c r="AH2164" s="127">
        <f>IF(tech_base!$T140&gt;AH$2025,"",fuel_costs!Z$13*0.086/tech_proj!AH264/(1-tech_proj!AH544))</f>
        <v>14.83892959702866</v>
      </c>
      <c r="AI2164" s="127">
        <f>IF(tech_base!$T140&gt;AI$2025,"",fuel_costs!AA$13*0.086/tech_proj!AI264/(1-tech_proj!AI544))</f>
        <v>14.89704349410219</v>
      </c>
      <c r="AJ2164" s="127">
        <f>IF(tech_base!$T140&gt;AJ$2025,"",fuel_costs!AB$13*0.086/tech_proj!AJ264/(1-tech_proj!AJ544))</f>
        <v>14.96156560111311</v>
      </c>
      <c r="AK2164" s="127">
        <f>IF(tech_base!$T140&gt;AK$2025,"",fuel_costs!AC$13*0.086/tech_proj!AK264/(1-tech_proj!AK544))</f>
        <v>15.033790961023549</v>
      </c>
      <c r="AL2164" s="127">
        <f>IF(tech_base!$T140&gt;AL$2025,"",fuel_costs!AD$13*0.086/tech_proj!AL264/(1-tech_proj!AL544))</f>
        <v>15.11136335288529</v>
      </c>
      <c r="AM2164" s="127">
        <f>IF(tech_base!$T140&gt;AM$2025,"",fuel_costs!AE$13*0.086/tech_proj!AM264/(1-tech_proj!AM544))</f>
        <v>15.19139127993661</v>
      </c>
      <c r="AN2164" s="127">
        <f>IF(tech_base!$T140&gt;AN$2025,"",fuel_costs!AF$13*0.086/tech_proj!AN264/(1-tech_proj!AN544))</f>
        <v>15.272919539086434</v>
      </c>
      <c r="AO2164" s="127">
        <f>IF(tech_base!$T140&gt;AO$2025,"",fuel_costs!AG$13*0.086/tech_proj!AO264/(1-tech_proj!AO544))</f>
        <v>15.287205901208992</v>
      </c>
      <c r="AP2164" s="127">
        <f>IF(tech_base!$T140&gt;AP$2025,"",fuel_costs!AH$13*0.086/tech_proj!AP264/(1-tech_proj!AP544))</f>
        <v>15.319513011047588</v>
      </c>
      <c r="AQ2164" s="127">
        <f>IF(tech_base!$T140&gt;AQ$2025,"",fuel_costs!AI$13*0.086/tech_proj!AQ264/(1-tech_proj!AQ544))</f>
        <v>15.353413036464733</v>
      </c>
      <c r="AR2164" s="127">
        <f>IF(tech_base!$T140&gt;AR$2025,"",fuel_costs!AJ$13*0.086/tech_proj!AR264/(1-tech_proj!AR544))</f>
        <v>15.418316973597992</v>
      </c>
      <c r="AS2164" s="127">
        <f>IF(tech_base!$T140&gt;AS$2025,"",fuel_costs!AK$13*0.086/tech_proj!AS264/(1-tech_proj!AS544))</f>
        <v>15.455668327828105</v>
      </c>
      <c r="AT2164" s="127">
        <f>IF(tech_base!$T140&gt;AT$2025,"",fuel_costs!AL$13*0.086/tech_proj!AT264/(1-tech_proj!AT544))</f>
        <v>15.492933211501862</v>
      </c>
      <c r="AU2164" s="127">
        <f>IF(tech_base!$T140&gt;AU$2025,"",fuel_costs!AM$13*0.086/tech_proj!AU264/(1-tech_proj!AU544))</f>
        <v>15.529550972265206</v>
      </c>
      <c r="AV2164" s="127">
        <f>IF(tech_base!$T140&gt;AV$2025,"",fuel_costs!AN$13*0.086/tech_proj!AV264/(1-tech_proj!AV544))</f>
        <v>15.565175882957339</v>
      </c>
      <c r="AW2164" s="127">
        <f>IF(tech_base!$T140&gt;AW$2025,"",fuel_costs!AO$13*0.086/tech_proj!AW264/(1-tech_proj!AW544))</f>
        <v>15.599547454645526</v>
      </c>
      <c r="AX2164" s="128">
        <f>IF(tech_base!$T140&gt;AX$2025,"",fuel_costs!AP$13*0.086/tech_proj!AX264/(1-tech_proj!AX544))</f>
        <v>15.642782738261211</v>
      </c>
    </row>
    <row r="2165" spans="1:50" x14ac:dyDescent="0.25">
      <c r="A2165" s="355" t="s">
        <v>28</v>
      </c>
      <c r="B2165" s="358" t="s">
        <v>23</v>
      </c>
      <c r="C2165" s="353" t="s">
        <v>6</v>
      </c>
      <c r="D2165" s="3" t="s">
        <v>7</v>
      </c>
      <c r="E2165" s="77" t="str">
        <f>A2165&amp;"/"&amp;B2165&amp;"/"&amp;C2165&amp;"/"&amp;D2165</f>
        <v>Diesel oil fired power plants/Gas turbine combined cycle/Electricity only/L</v>
      </c>
      <c r="F2165" s="77" t="str">
        <f>A2165</f>
        <v>Diesel oil fired power plants</v>
      </c>
      <c r="G2165" s="77" t="str">
        <f>B2165</f>
        <v>Gas turbine combined cycle</v>
      </c>
      <c r="H2165" s="77" t="str">
        <f>C2165</f>
        <v>Electricity only</v>
      </c>
      <c r="I2165" s="77" t="str">
        <f t="shared" si="389"/>
        <v>L</v>
      </c>
      <c r="J2165" s="121">
        <f>IF(tech_base!$T141&gt;J$2025,"",fuel_costs!B$14*0.086/tech_proj!J265/(1-tech_proj!J545))</f>
        <v>129.37215310259558</v>
      </c>
      <c r="K2165" s="121">
        <f>IF(tech_base!$T141&gt;K$2025,"",fuel_costs!C$14*0.086/tech_proj!K265/(1-tech_proj!K545))</f>
        <v>152.96500182686634</v>
      </c>
      <c r="L2165" s="121">
        <f>IF(tech_base!$T141&gt;L$2025,"",fuel_costs!D$14*0.086/tech_proj!L265/(1-tech_proj!L545))</f>
        <v>160.42415741678721</v>
      </c>
      <c r="M2165" s="121">
        <f>IF(tech_base!$T141&gt;M$2025,"",fuel_costs!E$14*0.086/tech_proj!M265/(1-tech_proj!M545))</f>
        <v>154.88853912070829</v>
      </c>
      <c r="N2165" s="121">
        <f>IF(tech_base!$T141&gt;N$2025,"",fuel_costs!F$14*0.086/tech_proj!N265/(1-tech_proj!N545))</f>
        <v>145.82599092400577</v>
      </c>
      <c r="O2165" s="121">
        <f>IF(tech_base!$T141&gt;O$2025,"",fuel_costs!G$14*0.086/tech_proj!O265/(1-tech_proj!O545))</f>
        <v>114.24229296272198</v>
      </c>
      <c r="P2165" s="121">
        <f>IF(tech_base!$T141&gt;P$2025,"",fuel_costs!H$14*0.086/tech_proj!P265/(1-tech_proj!P545))</f>
        <v>106.65384310296109</v>
      </c>
      <c r="Q2165" s="121">
        <f>IF(tech_base!$T141&gt;Q$2025,"",fuel_costs!I$14*0.086/tech_proj!Q265/(1-tech_proj!Q545))</f>
        <v>115.83281178359734</v>
      </c>
      <c r="R2165" s="121">
        <f>IF(tech_base!$T141&gt;R$2025,"",fuel_costs!J$14*0.086/tech_proj!R265/(1-tech_proj!R545))</f>
        <v>123.9924547399671</v>
      </c>
      <c r="S2165" s="121">
        <f>IF(tech_base!$T141&gt;S$2025,"",fuel_costs!K$14*0.086/tech_proj!S265/(1-tech_proj!S545))</f>
        <v>131.10409731591429</v>
      </c>
      <c r="T2165" s="121">
        <f>IF(tech_base!$T141&gt;T$2025,"",fuel_costs!L$14*0.086/tech_proj!T265/(1-tech_proj!T545))</f>
        <v>137.91252995981824</v>
      </c>
      <c r="U2165" s="121">
        <f>IF(tech_base!$T141&gt;U$2025,"",fuel_costs!M$14*0.086/tech_proj!U265/(1-tech_proj!U545))</f>
        <v>144.34191291759311</v>
      </c>
      <c r="V2165" s="121">
        <f>IF(tech_base!$T141&gt;V$2025,"",fuel_costs!N$14*0.086/tech_proj!V265/(1-tech_proj!V545))</f>
        <v>148.55859169101504</v>
      </c>
      <c r="W2165" s="121">
        <f>IF(tech_base!$T141&gt;W$2025,"",fuel_costs!O$14*0.086/tech_proj!W265/(1-tech_proj!W545))</f>
        <v>153.70968466799988</v>
      </c>
      <c r="X2165" s="121">
        <f>IF(tech_base!$T141&gt;X$2025,"",fuel_costs!P$14*0.086/tech_proj!X265/(1-tech_proj!X545))</f>
        <v>158.09791916051452</v>
      </c>
      <c r="Y2165" s="121">
        <f>IF(tech_base!$T141&gt;Y$2025,"",fuel_costs!Q$14*0.086/tech_proj!Y265/(1-tech_proj!Y545))</f>
        <v>161.73463752314009</v>
      </c>
      <c r="Z2165" s="121">
        <f>IF(tech_base!$T141&gt;Z$2025,"",fuel_costs!R$14*0.086/tech_proj!Z265/(1-tech_proj!Z545))</f>
        <v>163.92673959996117</v>
      </c>
      <c r="AA2165" s="121">
        <f>IF(tech_base!$T141&gt;AA$2025,"",fuel_costs!S$14*0.086/tech_proj!AA265/(1-tech_proj!AA545))</f>
        <v>165.85702435687</v>
      </c>
      <c r="AB2165" s="121">
        <f>IF(tech_base!$T141&gt;AB$2025,"",fuel_costs!T$14*0.086/tech_proj!AB265/(1-tech_proj!AB545))</f>
        <v>167.0606564508706</v>
      </c>
      <c r="AC2165" s="121">
        <f>IF(tech_base!$T141&gt;AC$2025,"",fuel_costs!U$14*0.086/tech_proj!AC265/(1-tech_proj!AC545))</f>
        <v>169.12499743016028</v>
      </c>
      <c r="AD2165" s="121">
        <f>IF(tech_base!$T141&gt;AD$2025,"",fuel_costs!V$14*0.086/tech_proj!AD265/(1-tech_proj!AD545))</f>
        <v>170.26376487997854</v>
      </c>
      <c r="AE2165" s="121">
        <f>IF(tech_base!$T141&gt;AE$2025,"",fuel_costs!W$14*0.086/tech_proj!AE265/(1-tech_proj!AE545))</f>
        <v>171.35802134410741</v>
      </c>
      <c r="AF2165" s="121">
        <f>IF(tech_base!$T141&gt;AF$2025,"",fuel_costs!X$14*0.086/tech_proj!AF265/(1-tech_proj!AF545))</f>
        <v>171.7906189482427</v>
      </c>
      <c r="AG2165" s="121">
        <f>IF(tech_base!$T141&gt;AG$2025,"",fuel_costs!Y$14*0.086/tech_proj!AG265/(1-tech_proj!AG545))</f>
        <v>172.36155894231871</v>
      </c>
      <c r="AH2165" s="121">
        <f>IF(tech_base!$T141&gt;AH$2025,"",fuel_costs!Z$14*0.086/tech_proj!AH265/(1-tech_proj!AH545))</f>
        <v>173.0728222075725</v>
      </c>
      <c r="AI2165" s="121">
        <f>IF(tech_base!$T141&gt;AI$2025,"",fuel_costs!AA$14*0.086/tech_proj!AI265/(1-tech_proj!AI545))</f>
        <v>173.93426936000446</v>
      </c>
      <c r="AJ2165" s="121">
        <f>IF(tech_base!$T141&gt;AJ$2025,"",fuel_costs!AB$14*0.086/tech_proj!AJ265/(1-tech_proj!AJ545))</f>
        <v>174.96422525053922</v>
      </c>
      <c r="AK2165" s="121">
        <f>IF(tech_base!$T141&gt;AK$2025,"",fuel_costs!AC$14*0.086/tech_proj!AK265/(1-tech_proj!AK545))</f>
        <v>176.18443119006619</v>
      </c>
      <c r="AL2165" s="121">
        <f>IF(tech_base!$T141&gt;AL$2025,"",fuel_costs!AD$14*0.086/tech_proj!AL265/(1-tech_proj!AL545))</f>
        <v>177.54445002869946</v>
      </c>
      <c r="AM2165" s="121">
        <f>IF(tech_base!$T141&gt;AM$2025,"",fuel_costs!AE$14*0.086/tech_proj!AM265/(1-tech_proj!AM545))</f>
        <v>178.98294948632886</v>
      </c>
      <c r="AN2165" s="121">
        <f>IF(tech_base!$T141&gt;AN$2025,"",fuel_costs!AF$14*0.086/tech_proj!AN265/(1-tech_proj!AN545))</f>
        <v>180.47719261637059</v>
      </c>
      <c r="AO2165" s="121">
        <f>IF(tech_base!$T141&gt;AO$2025,"",fuel_costs!AG$14*0.086/tech_proj!AO265/(1-tech_proj!AO545))</f>
        <v>180.6556091101873</v>
      </c>
      <c r="AP2165" s="121">
        <f>IF(tech_base!$T141&gt;AP$2025,"",fuel_costs!AH$14*0.086/tech_proj!AP265/(1-tech_proj!AP545))</f>
        <v>181.21213602298189</v>
      </c>
      <c r="AQ2165" s="121">
        <f>IF(tech_base!$T141&gt;AQ$2025,"",fuel_costs!AI$14*0.086/tech_proj!AQ265/(1-tech_proj!AQ545))</f>
        <v>181.81622534407168</v>
      </c>
      <c r="AR2165" s="121">
        <f>IF(tech_base!$T141&gt;AR$2025,"",fuel_costs!AJ$14*0.086/tech_proj!AR265/(1-tech_proj!AR545))</f>
        <v>183.05105808674693</v>
      </c>
      <c r="AS2165" s="121">
        <f>IF(tech_base!$T141&gt;AS$2025,"",fuel_costs!AK$14*0.086/tech_proj!AS265/(1-tech_proj!AS545))</f>
        <v>183.74775095946131</v>
      </c>
      <c r="AT2165" s="121">
        <f>IF(tech_base!$T141&gt;AT$2025,"",fuel_costs!AL$14*0.086/tech_proj!AT265/(1-tech_proj!AT545))</f>
        <v>184.45298409128304</v>
      </c>
      <c r="AU2165" s="121">
        <f>IF(tech_base!$T141&gt;AU$2025,"",fuel_costs!AM$14*0.086/tech_proj!AU265/(1-tech_proj!AU545))</f>
        <v>185.15245425718072</v>
      </c>
      <c r="AV2165" s="121">
        <f>IF(tech_base!$T141&gt;AV$2025,"",fuel_costs!AN$14*0.086/tech_proj!AV265/(1-tech_proj!AV545))</f>
        <v>185.83792515612342</v>
      </c>
      <c r="AW2165" s="121">
        <f>IF(tech_base!$T141&gt;AW$2025,"",fuel_costs!AO$14*0.086/tech_proj!AW265/(1-tech_proj!AW545))</f>
        <v>186.50310255598336</v>
      </c>
      <c r="AX2165" s="122">
        <f>IF(tech_base!$T141&gt;AX$2025,"",fuel_costs!AP$14*0.086/tech_proj!AX265/(1-tech_proj!AX545))</f>
        <v>187.34895743045388</v>
      </c>
    </row>
    <row r="2166" spans="1:50" x14ac:dyDescent="0.25">
      <c r="A2166" s="356"/>
      <c r="B2166" s="376"/>
      <c r="C2166" s="379"/>
      <c r="D2166" s="2" t="s">
        <v>8</v>
      </c>
      <c r="E2166" s="76" t="str">
        <f>A2165&amp;"/"&amp;B2165&amp;"/"&amp;C2165&amp;"/"&amp;D2166</f>
        <v>Diesel oil fired power plants/Gas turbine combined cycle/Electricity only/M</v>
      </c>
      <c r="F2166" s="76" t="str">
        <f>A2165</f>
        <v>Diesel oil fired power plants</v>
      </c>
      <c r="G2166" s="76" t="str">
        <f>B2165</f>
        <v>Gas turbine combined cycle</v>
      </c>
      <c r="H2166" s="76" t="str">
        <f>C2165</f>
        <v>Electricity only</v>
      </c>
      <c r="I2166" s="76" t="str">
        <f t="shared" si="389"/>
        <v>M</v>
      </c>
      <c r="J2166" s="119">
        <f>IF(tech_base!$T142&gt;J$2025,"",fuel_costs!B$14*0.086/tech_proj!J266/(1-tech_proj!J546))</f>
        <v>136.06566267950967</v>
      </c>
      <c r="K2166" s="119">
        <f>IF(tech_base!$T142&gt;K$2025,"",fuel_costs!C$14*0.086/tech_proj!K266/(1-tech_proj!K546))</f>
        <v>160.91922936710182</v>
      </c>
      <c r="L2166" s="119">
        <f>IF(tech_base!$T142&gt;L$2025,"",fuel_costs!D$14*0.086/tech_proj!L266/(1-tech_proj!L546))</f>
        <v>168.81557896591076</v>
      </c>
      <c r="M2166" s="119">
        <f>IF(tech_base!$T142&gt;M$2025,"",fuel_costs!E$14*0.086/tech_proj!M266/(1-tech_proj!M546))</f>
        <v>163.04594297553845</v>
      </c>
      <c r="N2166" s="119">
        <f>IF(tech_base!$T142&gt;N$2025,"",fuel_costs!F$14*0.086/tech_proj!N266/(1-tech_proj!N546))</f>
        <v>153.56662941829353</v>
      </c>
      <c r="O2166" s="119">
        <f>IF(tech_base!$T142&gt;O$2025,"",fuel_costs!G$14*0.086/tech_proj!O266/(1-tech_proj!O546))</f>
        <v>120.36079931090842</v>
      </c>
      <c r="P2166" s="119">
        <f>IF(tech_base!$T142&gt;P$2025,"",fuel_costs!H$14*0.086/tech_proj!P266/(1-tech_proj!P546))</f>
        <v>112.42346738327389</v>
      </c>
      <c r="Q2166" s="119">
        <f>IF(tech_base!$T142&gt;Q$2025,"",fuel_costs!I$14*0.086/tech_proj!Q266/(1-tech_proj!Q546))</f>
        <v>122.16878962769572</v>
      </c>
      <c r="R2166" s="119">
        <f>IF(tech_base!$T142&gt;R$2025,"",fuel_costs!J$14*0.086/tech_proj!R266/(1-tech_proj!R546))</f>
        <v>130.85670107876797</v>
      </c>
      <c r="S2166" s="119">
        <f>IF(tech_base!$T142&gt;S$2025,"",fuel_costs!K$14*0.086/tech_proj!S266/(1-tech_proj!S546))</f>
        <v>138.45483326729396</v>
      </c>
      <c r="T2166" s="119">
        <f>IF(tech_base!$T142&gt;T$2025,"",fuel_costs!L$14*0.086/tech_proj!T266/(1-tech_proj!T546))</f>
        <v>145.746306513582</v>
      </c>
      <c r="U2166" s="119">
        <f>IF(tech_base!$T142&gt;U$2025,"",fuel_costs!M$14*0.086/tech_proj!U266/(1-tech_proj!U546))</f>
        <v>152.64632090268719</v>
      </c>
      <c r="V2166" s="119">
        <f>IF(tech_base!$T142&gt;V$2025,"",fuel_costs!N$14*0.086/tech_proj!V266/(1-tech_proj!V546))</f>
        <v>157.20697792306504</v>
      </c>
      <c r="W2166" s="119">
        <f>IF(tech_base!$T142&gt;W$2025,"",fuel_costs!O$14*0.086/tech_proj!W266/(1-tech_proj!W546))</f>
        <v>162.74665046739113</v>
      </c>
      <c r="X2166" s="119">
        <f>IF(tech_base!$T142&gt;X$2025,"",fuel_costs!P$14*0.086/tech_proj!X266/(1-tech_proj!X546))</f>
        <v>167.45645200011344</v>
      </c>
      <c r="Y2166" s="119">
        <f>IF(tech_base!$T142&gt;Y$2025,"",fuel_costs!Q$14*0.086/tech_proj!Y266/(1-tech_proj!Y546))</f>
        <v>171.33259126787749</v>
      </c>
      <c r="Z2166" s="119">
        <f>IF(tech_base!$T142&gt;Z$2025,"",fuel_costs!R$14*0.086/tech_proj!Z266/(1-tech_proj!Z546))</f>
        <v>173.62501974025838</v>
      </c>
      <c r="AA2166" s="119">
        <f>IF(tech_base!$T142&gt;AA$2025,"",fuel_costs!S$14*0.086/tech_proj!AA266/(1-tech_proj!AA546))</f>
        <v>175.57343462505898</v>
      </c>
      <c r="AB2166" s="119">
        <f>IF(tech_base!$T142&gt;AB$2025,"",fuel_costs!T$14*0.086/tech_proj!AB266/(1-tech_proj!AB546))</f>
        <v>176.67736689817937</v>
      </c>
      <c r="AC2166" s="119">
        <f>IF(tech_base!$T142&gt;AC$2025,"",fuel_costs!U$14*0.086/tech_proj!AC266/(1-tech_proj!AC546))</f>
        <v>178.6131659577824</v>
      </c>
      <c r="AD2166" s="119">
        <f>IF(tech_base!$T142&gt;AD$2025,"",fuel_costs!V$14*0.086/tech_proj!AD266/(1-tech_proj!AD546))</f>
        <v>179.49832073725253</v>
      </c>
      <c r="AE2166" s="119">
        <f>IF(tech_base!$T142&gt;AE$2025,"",fuel_costs!W$14*0.086/tech_proj!AE266/(1-tech_proj!AE546))</f>
        <v>180.27843197017819</v>
      </c>
      <c r="AF2166" s="119">
        <f>IF(tech_base!$T142&gt;AF$2025,"",fuel_costs!X$14*0.086/tech_proj!AF266/(1-tech_proj!AF546))</f>
        <v>180.32600953841919</v>
      </c>
      <c r="AG2166" s="119">
        <f>IF(tech_base!$T142&gt;AG$2025,"",fuel_costs!Y$14*0.086/tech_proj!AG266/(1-tech_proj!AG546))</f>
        <v>180.50705542082554</v>
      </c>
      <c r="AH2166" s="119">
        <f>IF(tech_base!$T142&gt;AH$2025,"",fuel_costs!Z$14*0.086/tech_proj!AH266/(1-tech_proj!AH546))</f>
        <v>180.8454884426713</v>
      </c>
      <c r="AI2166" s="119">
        <f>IF(tech_base!$T142&gt;AI$2025,"",fuel_costs!AA$14*0.086/tech_proj!AI266/(1-tech_proj!AI546))</f>
        <v>181.36955446799411</v>
      </c>
      <c r="AJ2166" s="119">
        <f>IF(tech_base!$T142&gt;AJ$2025,"",fuel_costs!AB$14*0.086/tech_proj!AJ266/(1-tech_proj!AJ546))</f>
        <v>182.11048230807287</v>
      </c>
      <c r="AK2166" s="119">
        <f>IF(tech_base!$T142&gt;AK$2025,"",fuel_costs!AC$14*0.086/tech_proj!AK266/(1-tech_proj!AK546))</f>
        <v>183.09678805451952</v>
      </c>
      <c r="AL2166" s="119">
        <f>IF(tech_base!$T142&gt;AL$2025,"",fuel_costs!AD$14*0.086/tech_proj!AL266/(1-tech_proj!AL546))</f>
        <v>184.27663797691909</v>
      </c>
      <c r="AM2166" s="119">
        <f>IF(tech_base!$T142&gt;AM$2025,"",fuel_costs!AE$14*0.086/tech_proj!AM266/(1-tech_proj!AM546))</f>
        <v>185.58327733731446</v>
      </c>
      <c r="AN2166" s="119">
        <f>IF(tech_base!$T142&gt;AN$2025,"",fuel_costs!AF$14*0.086/tech_proj!AN266/(1-tech_proj!AN546))</f>
        <v>186.98779794247571</v>
      </c>
      <c r="AO2166" s="119">
        <f>IF(tech_base!$T142&gt;AO$2025,"",fuel_costs!AG$14*0.086/tech_proj!AO266/(1-tech_proj!AO546))</f>
        <v>187.06361444223953</v>
      </c>
      <c r="AP2166" s="119">
        <f>IF(tech_base!$T142&gt;AP$2025,"",fuel_costs!AH$14*0.086/tech_proj!AP266/(1-tech_proj!AP546))</f>
        <v>187.55938239136754</v>
      </c>
      <c r="AQ2166" s="119">
        <f>IF(tech_base!$T142&gt;AQ$2025,"",fuel_costs!AI$14*0.086/tech_proj!AQ266/(1-tech_proj!AQ546))</f>
        <v>188.12635899384981</v>
      </c>
      <c r="AR2166" s="119">
        <f>IF(tech_base!$T142&gt;AR$2025,"",fuel_costs!AJ$14*0.086/tech_proj!AR266/(1-tech_proj!AR546))</f>
        <v>189.36251939160078</v>
      </c>
      <c r="AS2166" s="119">
        <f>IF(tech_base!$T142&gt;AS$2025,"",fuel_costs!AK$14*0.086/tech_proj!AS266/(1-tech_proj!AS546))</f>
        <v>190.05428284242626</v>
      </c>
      <c r="AT2166" s="119">
        <f>IF(tech_base!$T142&gt;AT$2025,"",fuel_costs!AL$14*0.086/tech_proj!AT266/(1-tech_proj!AT546))</f>
        <v>190.76394179864977</v>
      </c>
      <c r="AU2166" s="119">
        <f>IF(tech_base!$T142&gt;AU$2025,"",fuel_costs!AM$14*0.086/tech_proj!AU266/(1-tech_proj!AU546))</f>
        <v>191.47413782568159</v>
      </c>
      <c r="AV2166" s="119">
        <f>IF(tech_base!$T142&gt;AV$2025,"",fuel_costs!AN$14*0.086/tech_proj!AV266/(1-tech_proj!AV546))</f>
        <v>192.17443852111418</v>
      </c>
      <c r="AW2166" s="119">
        <f>IF(tech_base!$T142&gt;AW$2025,"",fuel_costs!AO$14*0.086/tech_proj!AW266/(1-tech_proj!AW546))</f>
        <v>192.85693093532112</v>
      </c>
      <c r="AX2166" s="120">
        <f>IF(tech_base!$T142&gt;AX$2025,"",fuel_costs!AP$14*0.086/tech_proj!AX266/(1-tech_proj!AX546))</f>
        <v>193.72841600806319</v>
      </c>
    </row>
    <row r="2167" spans="1:50" x14ac:dyDescent="0.25">
      <c r="A2167" s="356"/>
      <c r="B2167" s="376"/>
      <c r="C2167" s="361" t="s">
        <v>14</v>
      </c>
      <c r="D2167" s="58" t="s">
        <v>7</v>
      </c>
      <c r="E2167" s="78" t="str">
        <f>A2165&amp;"/"&amp;B2165&amp;"/"&amp;C2167&amp;"/"&amp;D2167</f>
        <v>Diesel oil fired power plants/Gas turbine combined cycle/CHP/L</v>
      </c>
      <c r="F2167" s="78" t="str">
        <f>A2165</f>
        <v>Diesel oil fired power plants</v>
      </c>
      <c r="G2167" s="78" t="str">
        <f>B2165</f>
        <v>Gas turbine combined cycle</v>
      </c>
      <c r="H2167" s="78" t="str">
        <f>C2167</f>
        <v>CHP</v>
      </c>
      <c r="I2167" s="78" t="str">
        <f t="shared" si="389"/>
        <v>L</v>
      </c>
      <c r="J2167" s="123">
        <f>IF(tech_base!$T143&gt;J$2025,"",fuel_costs!B$14*0.086/tech_proj!J267/(1-tech_proj!J547))</f>
        <v>142.78137295153792</v>
      </c>
      <c r="K2167" s="123">
        <f>IF(tech_base!$T143&gt;K$2025,"",fuel_costs!C$14*0.086/tech_proj!K267/(1-tech_proj!K547))</f>
        <v>168.83155391152815</v>
      </c>
      <c r="L2167" s="123">
        <f>IF(tech_base!$T143&gt;L$2025,"",fuel_costs!D$14*0.086/tech_proj!L267/(1-tech_proj!L547))</f>
        <v>177.07956365071419</v>
      </c>
      <c r="M2167" s="123">
        <f>IF(tech_base!$T143&gt;M$2025,"",fuel_costs!E$14*0.086/tech_proj!M267/(1-tech_proj!M547))</f>
        <v>170.98681355713413</v>
      </c>
      <c r="N2167" s="123">
        <f>IF(tech_base!$T143&gt;N$2025,"",fuel_costs!F$14*0.086/tech_proj!N267/(1-tech_proj!N547))</f>
        <v>161.002197545961</v>
      </c>
      <c r="O2167" s="123">
        <f>IF(tech_base!$T143&gt;O$2025,"",fuel_costs!G$14*0.086/tech_proj!O267/(1-tech_proj!O547))</f>
        <v>126.15012746930589</v>
      </c>
      <c r="P2167" s="123">
        <f>IF(tech_base!$T143&gt;P$2025,"",fuel_costs!H$14*0.086/tech_proj!P267/(1-tech_proj!P547))</f>
        <v>117.79130757231016</v>
      </c>
      <c r="Q2167" s="123">
        <f>IF(tech_base!$T143&gt;Q$2025,"",fuel_costs!I$14*0.086/tech_proj!Q267/(1-tech_proj!Q547))</f>
        <v>127.95524097527199</v>
      </c>
      <c r="R2167" s="123">
        <f>IF(tech_base!$T143&gt;R$2025,"",fuel_costs!J$14*0.086/tech_proj!R267/(1-tech_proj!R547))</f>
        <v>137.00205424481717</v>
      </c>
      <c r="S2167" s="123">
        <f>IF(tech_base!$T143&gt;S$2025,"",fuel_costs!K$14*0.086/tech_proj!S267/(1-tech_proj!S547))</f>
        <v>144.90079178137211</v>
      </c>
      <c r="T2167" s="123">
        <f>IF(tech_base!$T143&gt;T$2025,"",fuel_costs!L$14*0.086/tech_proj!T267/(1-tech_proj!T547))</f>
        <v>152.47539325572376</v>
      </c>
      <c r="U2167" s="123">
        <f>IF(tech_base!$T143&gt;U$2025,"",fuel_costs!M$14*0.086/tech_proj!U267/(1-tech_proj!U547))</f>
        <v>159.64306770997115</v>
      </c>
      <c r="V2167" s="123">
        <f>IF(tech_base!$T143&gt;V$2025,"",fuel_costs!N$14*0.086/tech_proj!V267/(1-tech_proj!V547))</f>
        <v>164.37567610357794</v>
      </c>
      <c r="W2167" s="123">
        <f>IF(tech_base!$T143&gt;W$2025,"",fuel_costs!O$14*0.086/tech_proj!W267/(1-tech_proj!W547))</f>
        <v>170.1545388194522</v>
      </c>
      <c r="X2167" s="123">
        <f>IF(tech_base!$T143&gt;X$2025,"",fuel_costs!P$14*0.086/tech_proj!X267/(1-tech_proj!X547))</f>
        <v>175.10159056503059</v>
      </c>
      <c r="Y2167" s="123">
        <f>IF(tech_base!$T143&gt;Y$2025,"",fuel_costs!Q$14*0.086/tech_proj!Y267/(1-tech_proj!Y547))</f>
        <v>179.2277691689921</v>
      </c>
      <c r="Z2167" s="123">
        <f>IF(tech_base!$T143&gt;Z$2025,"",fuel_costs!R$14*0.086/tech_proj!Z267/(1-tech_proj!Z547))</f>
        <v>181.76216133896253</v>
      </c>
      <c r="AA2167" s="123">
        <f>IF(tech_base!$T143&gt;AA$2025,"",fuel_costs!S$14*0.086/tech_proj!AA267/(1-tech_proj!AA547))</f>
        <v>184.01252765074531</v>
      </c>
      <c r="AB2167" s="123">
        <f>IF(tech_base!$T143&gt;AB$2025,"",fuel_costs!T$14*0.086/tech_proj!AB267/(1-tech_proj!AB547))</f>
        <v>185.46011018979536</v>
      </c>
      <c r="AC2167" s="123">
        <f>IF(tech_base!$T143&gt;AC$2025,"",fuel_costs!U$14*0.086/tech_proj!AC267/(1-tech_proj!AC547))</f>
        <v>187.86421526895663</v>
      </c>
      <c r="AD2167" s="123">
        <f>IF(tech_base!$T143&gt;AD$2025,"",fuel_costs!V$14*0.086/tech_proj!AD267/(1-tech_proj!AD547))</f>
        <v>189.23863926095854</v>
      </c>
      <c r="AE2167" s="123">
        <f>IF(tech_base!$T143&gt;AE$2025,"",fuel_costs!W$14*0.086/tech_proj!AE267/(1-tech_proj!AE547))</f>
        <v>190.55906862178227</v>
      </c>
      <c r="AF2167" s="123">
        <f>IF(tech_base!$T143&gt;AF$2025,"",fuel_costs!X$14*0.086/tech_proj!AF267/(1-tech_proj!AF547))</f>
        <v>191.13683257215243</v>
      </c>
      <c r="AG2167" s="123">
        <f>IF(tech_base!$T143&gt;AG$2025,"",fuel_costs!Y$14*0.086/tech_proj!AG267/(1-tech_proj!AG547))</f>
        <v>191.85998568676075</v>
      </c>
      <c r="AH2167" s="123">
        <f>IF(tech_base!$T143&gt;AH$2025,"",fuel_costs!Z$14*0.086/tech_proj!AH267/(1-tech_proj!AH547))</f>
        <v>192.73015777019333</v>
      </c>
      <c r="AI2167" s="123">
        <f>IF(tech_base!$T143&gt;AI$2025,"",fuel_costs!AA$14*0.086/tech_proj!AI267/(1-tech_proj!AI547))</f>
        <v>193.75824996192196</v>
      </c>
      <c r="AJ2167" s="123">
        <f>IF(tech_base!$T143&gt;AJ$2025,"",fuel_costs!AB$14*0.086/tech_proj!AJ267/(1-tech_proj!AJ547))</f>
        <v>194.96501629666415</v>
      </c>
      <c r="AK2167" s="123">
        <f>IF(tech_base!$T143&gt;AK$2025,"",fuel_costs!AC$14*0.086/tech_proj!AK267/(1-tech_proj!AK547))</f>
        <v>196.37533862031688</v>
      </c>
      <c r="AL2167" s="123">
        <f>IF(tech_base!$T143&gt;AL$2025,"",fuel_costs!AD$14*0.086/tech_proj!AL267/(1-tech_proj!AL547))</f>
        <v>197.93383721215633</v>
      </c>
      <c r="AM2167" s="123">
        <f>IF(tech_base!$T143&gt;AM$2025,"",fuel_costs!AE$14*0.086/tech_proj!AM267/(1-tech_proj!AM547))</f>
        <v>199.57302784987232</v>
      </c>
      <c r="AN2167" s="123">
        <f>IF(tech_base!$T143&gt;AN$2025,"",fuel_costs!AF$14*0.086/tech_proj!AN267/(1-tech_proj!AN547))</f>
        <v>201.26844847587961</v>
      </c>
      <c r="AO2167" s="123">
        <f>IF(tech_base!$T143&gt;AO$2025,"",fuel_costs!AG$14*0.086/tech_proj!AO267/(1-tech_proj!AO547))</f>
        <v>201.491202564139</v>
      </c>
      <c r="AP2167" s="123">
        <f>IF(tech_base!$T143&gt;AP$2025,"",fuel_costs!AH$14*0.086/tech_proj!AP267/(1-tech_proj!AP547))</f>
        <v>202.1311402794822</v>
      </c>
      <c r="AQ2167" s="123">
        <f>IF(tech_base!$T143&gt;AQ$2025,"",fuel_costs!AI$14*0.086/tech_proj!AQ267/(1-tech_proj!AQ547))</f>
        <v>202.82041799375253</v>
      </c>
      <c r="AR2167" s="123">
        <f>IF(tech_base!$T143&gt;AR$2025,"",fuel_costs!AJ$14*0.086/tech_proj!AR267/(1-tech_proj!AR547))</f>
        <v>204.21030649644035</v>
      </c>
      <c r="AS2167" s="123">
        <f>IF(tech_base!$T143&gt;AS$2025,"",fuel_costs!AK$14*0.086/tech_proj!AS267/(1-tech_proj!AS547))</f>
        <v>204.99741591609359</v>
      </c>
      <c r="AT2167" s="123">
        <f>IF(tech_base!$T143&gt;AT$2025,"",fuel_costs!AL$14*0.086/tech_proj!AT267/(1-tech_proj!AT547))</f>
        <v>205.79205731333568</v>
      </c>
      <c r="AU2167" s="123">
        <f>IF(tech_base!$T143&gt;AU$2025,"",fuel_costs!AM$14*0.086/tech_proj!AU267/(1-tech_proj!AU547))</f>
        <v>206.57866612414927</v>
      </c>
      <c r="AV2167" s="123">
        <f>IF(tech_base!$T143&gt;AV$2025,"",fuel_costs!AN$14*0.086/tech_proj!AV267/(1-tech_proj!AV547))</f>
        <v>207.34837394428337</v>
      </c>
      <c r="AW2167" s="123">
        <f>IF(tech_base!$T143&gt;AW$2025,"",fuel_costs!AO$14*0.086/tech_proj!AW267/(1-tech_proj!AW547))</f>
        <v>208.09441829782011</v>
      </c>
      <c r="AX2167" s="124">
        <f>IF(tech_base!$T143&gt;AX$2025,"",fuel_costs!AP$14*0.086/tech_proj!AX267/(1-tech_proj!AX547))</f>
        <v>209.041249557626</v>
      </c>
    </row>
    <row r="2168" spans="1:50" x14ac:dyDescent="0.25">
      <c r="A2168" s="356"/>
      <c r="B2168" s="376"/>
      <c r="C2168" s="379"/>
      <c r="D2168" s="59" t="s">
        <v>8</v>
      </c>
      <c r="E2168" s="79" t="str">
        <f>A2165&amp;"/"&amp;B2165&amp;"/"&amp;C2167&amp;"/"&amp;D2168</f>
        <v>Diesel oil fired power plants/Gas turbine combined cycle/CHP/M</v>
      </c>
      <c r="F2168" s="79" t="str">
        <f>A2165</f>
        <v>Diesel oil fired power plants</v>
      </c>
      <c r="G2168" s="79" t="str">
        <f>B2165</f>
        <v>Gas turbine combined cycle</v>
      </c>
      <c r="H2168" s="79" t="str">
        <f>C2167</f>
        <v>CHP</v>
      </c>
      <c r="I2168" s="79" t="str">
        <f t="shared" si="389"/>
        <v>M</v>
      </c>
      <c r="J2168" s="125">
        <f>IF(tech_base!$T144&gt;J$2025,"",fuel_costs!B$14*0.086/tech_proj!J268/(1-tech_proj!J548))</f>
        <v>150.19442811806982</v>
      </c>
      <c r="K2168" s="125">
        <f>IF(tech_base!$T144&gt;K$2025,"",fuel_costs!C$14*0.086/tech_proj!K268/(1-tech_proj!K548))</f>
        <v>177.63305823061108</v>
      </c>
      <c r="L2168" s="125">
        <f>IF(tech_base!$T144&gt;L$2025,"",fuel_costs!D$14*0.086/tech_proj!L268/(1-tech_proj!L548))</f>
        <v>186.35536577796699</v>
      </c>
      <c r="M2168" s="125">
        <f>IF(tech_base!$T144&gt;M$2025,"",fuel_costs!E$14*0.086/tech_proj!M268/(1-tech_proj!M548))</f>
        <v>179.99344338232078</v>
      </c>
      <c r="N2168" s="125">
        <f>IF(tech_base!$T144&gt;N$2025,"",fuel_costs!F$14*0.086/tech_proj!N268/(1-tech_proj!N548))</f>
        <v>169.53745517346042</v>
      </c>
      <c r="O2168" s="125">
        <f>IF(tech_base!$T144&gt;O$2025,"",fuel_costs!G$14*0.086/tech_proj!O268/(1-tech_proj!O548))</f>
        <v>132.88687826435807</v>
      </c>
      <c r="P2168" s="125">
        <f>IF(tech_base!$T144&gt;P$2025,"",fuel_costs!H$14*0.086/tech_proj!P268/(1-tech_proj!P548))</f>
        <v>124.1337783740603</v>
      </c>
      <c r="Q2168" s="125">
        <f>IF(tech_base!$T144&gt;Q$2025,"",fuel_costs!I$14*0.086/tech_proj!Q268/(1-tech_proj!Q548))</f>
        <v>134.90839843522323</v>
      </c>
      <c r="R2168" s="125">
        <f>IF(tech_base!$T144&gt;R$2025,"",fuel_costs!J$14*0.086/tech_proj!R268/(1-tech_proj!R548))</f>
        <v>144.52155871329111</v>
      </c>
      <c r="S2168" s="125">
        <f>IF(tech_base!$T144&gt;S$2025,"",fuel_costs!K$14*0.086/tech_proj!S268/(1-tech_proj!S548))</f>
        <v>152.93891279973917</v>
      </c>
      <c r="T2168" s="125">
        <f>IF(tech_base!$T144&gt;T$2025,"",fuel_costs!L$14*0.086/tech_proj!T268/(1-tech_proj!T548))</f>
        <v>161.02729585489669</v>
      </c>
      <c r="U2168" s="125">
        <f>IF(tech_base!$T144&gt;U$2025,"",fuel_costs!M$14*0.086/tech_proj!U268/(1-tech_proj!U548))</f>
        <v>168.69546594608101</v>
      </c>
      <c r="V2168" s="125">
        <f>IF(tech_base!$T144&gt;V$2025,"",fuel_costs!N$14*0.086/tech_proj!V268/(1-tech_proj!V548))</f>
        <v>173.7928235252437</v>
      </c>
      <c r="W2168" s="125">
        <f>IF(tech_base!$T144&gt;W$2025,"",fuel_costs!O$14*0.086/tech_proj!W268/(1-tech_proj!W548))</f>
        <v>179.98985248340188</v>
      </c>
      <c r="X2168" s="125">
        <f>IF(tech_base!$T144&gt;X$2025,"",fuel_costs!P$14*0.086/tech_proj!X268/(1-tech_proj!X548))</f>
        <v>185.29002718956946</v>
      </c>
      <c r="Y2168" s="125">
        <f>IF(tech_base!$T144&gt;Y$2025,"",fuel_costs!Q$14*0.086/tech_proj!Y268/(1-tech_proj!Y548))</f>
        <v>189.69131757654583</v>
      </c>
      <c r="Z2168" s="125">
        <f>IF(tech_base!$T144&gt;Z$2025,"",fuel_costs!R$14*0.086/tech_proj!Z268/(1-tech_proj!Z548))</f>
        <v>192.36405240150799</v>
      </c>
      <c r="AA2168" s="125">
        <f>IF(tech_base!$T144&gt;AA$2025,"",fuel_costs!S$14*0.086/tech_proj!AA268/(1-tech_proj!AA548))</f>
        <v>194.68075925852378</v>
      </c>
      <c r="AB2168" s="125">
        <f>IF(tech_base!$T144&gt;AB$2025,"",fuel_costs!T$14*0.086/tech_proj!AB268/(1-tech_proj!AB548))</f>
        <v>196.08519629645559</v>
      </c>
      <c r="AC2168" s="125">
        <f>IF(tech_base!$T144&gt;AC$2025,"",fuel_costs!U$14*0.086/tech_proj!AC268/(1-tech_proj!AC548))</f>
        <v>198.43519010895022</v>
      </c>
      <c r="AD2168" s="125">
        <f>IF(tech_base!$T144&gt;AD$2025,"",fuel_costs!V$14*0.086/tech_proj!AD268/(1-tech_proj!AD548))</f>
        <v>199.63601680085509</v>
      </c>
      <c r="AE2168" s="125">
        <f>IF(tech_base!$T144&gt;AE$2025,"",fuel_costs!W$14*0.086/tech_proj!AE268/(1-tech_proj!AE548))</f>
        <v>200.73070066936515</v>
      </c>
      <c r="AF2168" s="125">
        <f>IF(tech_base!$T144&gt;AF$2025,"",fuel_costs!X$14*0.086/tech_proj!AF268/(1-tech_proj!AF548))</f>
        <v>201.01188122084679</v>
      </c>
      <c r="AG2168" s="125">
        <f>IF(tech_base!$T144&gt;AG$2025,"",fuel_costs!Y$14*0.086/tech_proj!AG268/(1-tech_proj!AG548))</f>
        <v>201.43527144910252</v>
      </c>
      <c r="AH2168" s="125">
        <f>IF(tech_base!$T144&gt;AH$2025,"",fuel_costs!Z$14*0.086/tech_proj!AH268/(1-tech_proj!AH548))</f>
        <v>202.02078991275906</v>
      </c>
      <c r="AI2168" s="125">
        <f>IF(tech_base!$T144&gt;AI$2025,"",fuel_costs!AA$14*0.086/tech_proj!AI268/(1-tech_proj!AI548))</f>
        <v>202.7948032986765</v>
      </c>
      <c r="AJ2168" s="125">
        <f>IF(tech_base!$T144&gt;AJ$2025,"",fuel_costs!AB$14*0.086/tech_proj!AJ268/(1-tech_proj!AJ548))</f>
        <v>203.78912148475379</v>
      </c>
      <c r="AK2168" s="125">
        <f>IF(tech_base!$T144&gt;AK$2025,"",fuel_costs!AC$14*0.086/tech_proj!AK268/(1-tech_proj!AK548))</f>
        <v>205.03466304769898</v>
      </c>
      <c r="AL2168" s="125">
        <f>IF(tech_base!$T144&gt;AL$2025,"",fuel_costs!AD$14*0.086/tech_proj!AL268/(1-tech_proj!AL548))</f>
        <v>206.47412264235047</v>
      </c>
      <c r="AM2168" s="125">
        <f>IF(tech_base!$T144&gt;AM$2025,"",fuel_costs!AE$14*0.086/tech_proj!AM268/(1-tech_proj!AM548))</f>
        <v>208.03457850159262</v>
      </c>
      <c r="AN2168" s="125">
        <f>IF(tech_base!$T144&gt;AN$2025,"",fuel_costs!AF$14*0.086/tech_proj!AN268/(1-tech_proj!AN548))</f>
        <v>209.68616413965117</v>
      </c>
      <c r="AO2168" s="125">
        <f>IF(tech_base!$T144&gt;AO$2025,"",fuel_costs!AG$14*0.086/tech_proj!AO268/(1-tech_proj!AO548))</f>
        <v>209.83148826276755</v>
      </c>
      <c r="AP2168" s="125">
        <f>IF(tech_base!$T144&gt;AP$2025,"",fuel_costs!AH$14*0.086/tech_proj!AP268/(1-tech_proj!AP548))</f>
        <v>210.43421185644908</v>
      </c>
      <c r="AQ2168" s="125">
        <f>IF(tech_base!$T144&gt;AQ$2025,"",fuel_costs!AI$14*0.086/tech_proj!AQ268/(1-tech_proj!AQ548))</f>
        <v>211.1059934380138</v>
      </c>
      <c r="AR2168" s="125">
        <f>IF(tech_base!$T144&gt;AR$2025,"",fuel_costs!AJ$14*0.086/tech_proj!AR268/(1-tech_proj!AR548))</f>
        <v>212.52028247694054</v>
      </c>
      <c r="AS2168" s="125">
        <f>IF(tech_base!$T144&gt;AS$2025,"",fuel_costs!AK$14*0.086/tech_proj!AS268/(1-tech_proj!AS548))</f>
        <v>213.31708559672242</v>
      </c>
      <c r="AT2168" s="125">
        <f>IF(tech_base!$T144&gt;AT$2025,"",fuel_costs!AL$14*0.086/tech_proj!AT268/(1-tech_proj!AT548))</f>
        <v>214.12892451986167</v>
      </c>
      <c r="AU2168" s="125">
        <f>IF(tech_base!$T144&gt;AU$2025,"",fuel_costs!AM$14*0.086/tech_proj!AU268/(1-tech_proj!AU548))</f>
        <v>214.93753301470781</v>
      </c>
      <c r="AV2168" s="125">
        <f>IF(tech_base!$T144&gt;AV$2025,"",fuel_costs!AN$14*0.086/tech_proj!AV268/(1-tech_proj!AV548))</f>
        <v>215.73214381945215</v>
      </c>
      <c r="AW2168" s="125">
        <f>IF(tech_base!$T144&gt;AW$2025,"",fuel_costs!AO$14*0.086/tech_proj!AW268/(1-tech_proj!AW548))</f>
        <v>216.50459675348682</v>
      </c>
      <c r="AX2168" s="126">
        <f>IF(tech_base!$T144&gt;AX$2025,"",fuel_costs!AP$14*0.086/tech_proj!AX268/(1-tech_proj!AX548))</f>
        <v>217.48760403256998</v>
      </c>
    </row>
    <row r="2169" spans="1:50" x14ac:dyDescent="0.25">
      <c r="A2169" s="356"/>
      <c r="B2169" s="376"/>
      <c r="C2169" s="361" t="s">
        <v>15</v>
      </c>
      <c r="D2169" s="58" t="s">
        <v>7</v>
      </c>
      <c r="E2169" s="78" t="str">
        <f>A2165&amp;"/"&amp;B2165&amp;"/"&amp;C2169&amp;"/"&amp;D2169</f>
        <v>Diesel oil fired power plants/Gas turbine combined cycle/Electricity only with CCS/L</v>
      </c>
      <c r="F2169" s="78" t="str">
        <f>A2165</f>
        <v>Diesel oil fired power plants</v>
      </c>
      <c r="G2169" s="78" t="str">
        <f>B2165</f>
        <v>Gas turbine combined cycle</v>
      </c>
      <c r="H2169" s="78" t="str">
        <f>C2169</f>
        <v>Electricity only with CCS</v>
      </c>
      <c r="I2169" s="78" t="str">
        <f t="shared" si="389"/>
        <v>L</v>
      </c>
      <c r="J2169" s="123" t="str">
        <f>IF(tech_base!$T145&gt;J$2025,"",fuel_costs!B$14*0.086/tech_proj!J269/(1-tech_proj!J549))</f>
        <v/>
      </c>
      <c r="K2169" s="123" t="str">
        <f>IF(tech_base!$T145&gt;K$2025,"",fuel_costs!C$14*0.086/tech_proj!K269/(1-tech_proj!K549))</f>
        <v/>
      </c>
      <c r="L2169" s="123" t="str">
        <f>IF(tech_base!$T145&gt;L$2025,"",fuel_costs!D$14*0.086/tech_proj!L269/(1-tech_proj!L549))</f>
        <v/>
      </c>
      <c r="M2169" s="123" t="str">
        <f>IF(tech_base!$T145&gt;M$2025,"",fuel_costs!E$14*0.086/tech_proj!M269/(1-tech_proj!M549))</f>
        <v/>
      </c>
      <c r="N2169" s="123" t="str">
        <f>IF(tech_base!$T145&gt;N$2025,"",fuel_costs!F$14*0.086/tech_proj!N269/(1-tech_proj!N549))</f>
        <v/>
      </c>
      <c r="O2169" s="123" t="str">
        <f>IF(tech_base!$T145&gt;O$2025,"",fuel_costs!G$14*0.086/tech_proj!O269/(1-tech_proj!O549))</f>
        <v/>
      </c>
      <c r="P2169" s="123" t="str">
        <f>IF(tech_base!$T145&gt;P$2025,"",fuel_costs!H$14*0.086/tech_proj!P269/(1-tech_proj!P549))</f>
        <v/>
      </c>
      <c r="Q2169" s="123" t="str">
        <f>IF(tech_base!$T145&gt;Q$2025,"",fuel_costs!I$14*0.086/tech_proj!Q269/(1-tech_proj!Q549))</f>
        <v/>
      </c>
      <c r="R2169" s="123" t="str">
        <f>IF(tech_base!$T145&gt;R$2025,"",fuel_costs!J$14*0.086/tech_proj!R269/(1-tech_proj!R549))</f>
        <v/>
      </c>
      <c r="S2169" s="123" t="str">
        <f>IF(tech_base!$T145&gt;S$2025,"",fuel_costs!K$14*0.086/tech_proj!S269/(1-tech_proj!S549))</f>
        <v/>
      </c>
      <c r="T2169" s="123" t="str">
        <f>IF(tech_base!$T145&gt;T$2025,"",fuel_costs!L$14*0.086/tech_proj!T269/(1-tech_proj!T549))</f>
        <v/>
      </c>
      <c r="U2169" s="123" t="str">
        <f>IF(tech_base!$T145&gt;U$2025,"",fuel_costs!M$14*0.086/tech_proj!U269/(1-tech_proj!U549))</f>
        <v/>
      </c>
      <c r="V2169" s="123" t="str">
        <f>IF(tech_base!$T145&gt;V$2025,"",fuel_costs!N$14*0.086/tech_proj!V269/(1-tech_proj!V549))</f>
        <v/>
      </c>
      <c r="W2169" s="123" t="str">
        <f>IF(tech_base!$T145&gt;W$2025,"",fuel_costs!O$14*0.086/tech_proj!W269/(1-tech_proj!W549))</f>
        <v/>
      </c>
      <c r="X2169" s="123" t="str">
        <f>IF(tech_base!$T145&gt;X$2025,"",fuel_costs!P$14*0.086/tech_proj!X269/(1-tech_proj!X549))</f>
        <v/>
      </c>
      <c r="Y2169" s="123" t="str">
        <f>IF(tech_base!$T145&gt;Y$2025,"",fuel_costs!Q$14*0.086/tech_proj!Y269/(1-tech_proj!Y549))</f>
        <v/>
      </c>
      <c r="Z2169" s="123" t="str">
        <f>IF(tech_base!$T145&gt;Z$2025,"",fuel_costs!R$14*0.086/tech_proj!Z269/(1-tech_proj!Z549))</f>
        <v/>
      </c>
      <c r="AA2169" s="123" t="str">
        <f>IF(tech_base!$T145&gt;AA$2025,"",fuel_costs!S$14*0.086/tech_proj!AA269/(1-tech_proj!AA549))</f>
        <v/>
      </c>
      <c r="AB2169" s="123" t="str">
        <f>IF(tech_base!$T145&gt;AB$2025,"",fuel_costs!T$14*0.086/tech_proj!AB269/(1-tech_proj!AB549))</f>
        <v/>
      </c>
      <c r="AC2169" s="123" t="str">
        <f>IF(tech_base!$T145&gt;AC$2025,"",fuel_costs!U$14*0.086/tech_proj!AC269/(1-tech_proj!AC549))</f>
        <v/>
      </c>
      <c r="AD2169" s="123" t="str">
        <f>IF(tech_base!$T145&gt;AD$2025,"",fuel_costs!V$14*0.086/tech_proj!AD269/(1-tech_proj!AD549))</f>
        <v/>
      </c>
      <c r="AE2169" s="123">
        <f>IF(tech_base!$T145&gt;AE$2025,"",fuel_costs!W$14*0.086/tech_proj!AE269/(1-tech_proj!AE549))</f>
        <v>201.52054263030001</v>
      </c>
      <c r="AF2169" s="123">
        <f>IF(tech_base!$T145&gt;AF$2025,"",fuel_costs!X$14*0.086/tech_proj!AF269/(1-tech_proj!AF549))</f>
        <v>202.46679070148895</v>
      </c>
      <c r="AG2169" s="123">
        <f>IF(tech_base!$T145&gt;AG$2025,"",fuel_costs!Y$14*0.086/tech_proj!AG269/(1-tech_proj!AG549))</f>
        <v>203.51983416196569</v>
      </c>
      <c r="AH2169" s="123">
        <f>IF(tech_base!$T145&gt;AH$2025,"",fuel_costs!Z$14*0.086/tech_proj!AH269/(1-tech_proj!AH549))</f>
        <v>204.67559859759135</v>
      </c>
      <c r="AI2169" s="123">
        <f>IF(tech_base!$T145&gt;AI$2025,"",fuel_costs!AA$14*0.086/tech_proj!AI269/(1-tech_proj!AI549))</f>
        <v>205.94069892050757</v>
      </c>
      <c r="AJ2169" s="123">
        <f>IF(tech_base!$T145&gt;AJ$2025,"",fuel_costs!AB$14*0.086/tech_proj!AJ269/(1-tech_proj!AJ549))</f>
        <v>207.33244792405623</v>
      </c>
      <c r="AK2169" s="123">
        <f>IF(tech_base!$T145&gt;AK$2025,"",fuel_costs!AC$14*0.086/tech_proj!AK269/(1-tech_proj!AK549))</f>
        <v>208.87196195403865</v>
      </c>
      <c r="AL2169" s="123">
        <f>IF(tech_base!$T145&gt;AL$2025,"",fuel_costs!AD$14*0.086/tech_proj!AL269/(1-tech_proj!AL549))</f>
        <v>210.49348233455297</v>
      </c>
      <c r="AM2169" s="123">
        <f>IF(tech_base!$T145&gt;AM$2025,"",fuel_costs!AE$14*0.086/tech_proj!AM269/(1-tech_proj!AM549))</f>
        <v>212.11607876036283</v>
      </c>
      <c r="AN2169" s="123">
        <f>IF(tech_base!$T145&gt;AN$2025,"",fuel_costs!AF$14*0.086/tech_proj!AN269/(1-tech_proj!AN549))</f>
        <v>213.70164233852722</v>
      </c>
      <c r="AO2169" s="123">
        <f>IF(tech_base!$T145&gt;AO$2025,"",fuel_costs!AG$14*0.086/tech_proj!AO269/(1-tech_proj!AO549))</f>
        <v>213.61357438518627</v>
      </c>
      <c r="AP2169" s="123">
        <f>IF(tech_base!$T145&gt;AP$2025,"",fuel_costs!AH$14*0.086/tech_proj!AP269/(1-tech_proj!AP549))</f>
        <v>213.84153166098142</v>
      </c>
      <c r="AQ2169" s="123">
        <f>IF(tech_base!$T145&gt;AQ$2025,"",fuel_costs!AI$14*0.086/tech_proj!AQ269/(1-tech_proj!AQ549))</f>
        <v>213.97318216875706</v>
      </c>
      <c r="AR2169" s="123">
        <f>IF(tech_base!$T145&gt;AR$2025,"",fuel_costs!AJ$14*0.086/tech_proj!AR269/(1-tech_proj!AR549))</f>
        <v>214.66769555414339</v>
      </c>
      <c r="AS2169" s="123">
        <f>IF(tech_base!$T145&gt;AS$2025,"",fuel_costs!AK$14*0.086/tech_proj!AS269/(1-tech_proj!AS549))</f>
        <v>214.52371533832198</v>
      </c>
      <c r="AT2169" s="123">
        <f>IF(tech_base!$T145&gt;AT$2025,"",fuel_costs!AL$14*0.086/tech_proj!AT269/(1-tech_proj!AT549))</f>
        <v>214.15680793444102</v>
      </c>
      <c r="AU2169" s="123">
        <f>IF(tech_base!$T145&gt;AU$2025,"",fuel_costs!AM$14*0.086/tech_proj!AU269/(1-tech_proj!AU549))</f>
        <v>213.52548212273561</v>
      </c>
      <c r="AV2169" s="123">
        <f>IF(tech_base!$T145&gt;AV$2025,"",fuel_costs!AN$14*0.086/tech_proj!AV269/(1-tech_proj!AV549))</f>
        <v>212.60331949559864</v>
      </c>
      <c r="AW2169" s="123">
        <f>IF(tech_base!$T145&gt;AW$2025,"",fuel_costs!AO$14*0.086/tech_proj!AW269/(1-tech_proj!AW549))</f>
        <v>211.38018278711937</v>
      </c>
      <c r="AX2169" s="124">
        <f>IF(tech_base!$T145&gt;AX$2025,"",fuel_costs!AP$14*0.086/tech_proj!AX269/(1-tech_proj!AX549))</f>
        <v>210.0988108212056</v>
      </c>
    </row>
    <row r="2170" spans="1:50" x14ac:dyDescent="0.25">
      <c r="A2170" s="356"/>
      <c r="B2170" s="376"/>
      <c r="C2170" s="379"/>
      <c r="D2170" s="59" t="s">
        <v>8</v>
      </c>
      <c r="E2170" s="79" t="str">
        <f>A2165&amp;"/"&amp;B2165&amp;"/"&amp;C2169&amp;"/"&amp;D2170</f>
        <v>Diesel oil fired power plants/Gas turbine combined cycle/Electricity only with CCS/M</v>
      </c>
      <c r="F2170" s="79" t="str">
        <f>A2165</f>
        <v>Diesel oil fired power plants</v>
      </c>
      <c r="G2170" s="79" t="str">
        <f>B2165</f>
        <v>Gas turbine combined cycle</v>
      </c>
      <c r="H2170" s="79" t="str">
        <f>C2169</f>
        <v>Electricity only with CCS</v>
      </c>
      <c r="I2170" s="79" t="str">
        <f t="shared" si="389"/>
        <v>M</v>
      </c>
      <c r="J2170" s="125" t="str">
        <f>IF(tech_base!$T146&gt;J$2025,"",fuel_costs!B$14*0.086/tech_proj!J270/(1-tech_proj!J550))</f>
        <v/>
      </c>
      <c r="K2170" s="125" t="str">
        <f>IF(tech_base!$T146&gt;K$2025,"",fuel_costs!C$14*0.086/tech_proj!K270/(1-tech_proj!K550))</f>
        <v/>
      </c>
      <c r="L2170" s="125" t="str">
        <f>IF(tech_base!$T146&gt;L$2025,"",fuel_costs!D$14*0.086/tech_proj!L270/(1-tech_proj!L550))</f>
        <v/>
      </c>
      <c r="M2170" s="125" t="str">
        <f>IF(tech_base!$T146&gt;M$2025,"",fuel_costs!E$14*0.086/tech_proj!M270/(1-tech_proj!M550))</f>
        <v/>
      </c>
      <c r="N2170" s="125" t="str">
        <f>IF(tech_base!$T146&gt;N$2025,"",fuel_costs!F$14*0.086/tech_proj!N270/(1-tech_proj!N550))</f>
        <v/>
      </c>
      <c r="O2170" s="125" t="str">
        <f>IF(tech_base!$T146&gt;O$2025,"",fuel_costs!G$14*0.086/tech_proj!O270/(1-tech_proj!O550))</f>
        <v/>
      </c>
      <c r="P2170" s="125" t="str">
        <f>IF(tech_base!$T146&gt;P$2025,"",fuel_costs!H$14*0.086/tech_proj!P270/(1-tech_proj!P550))</f>
        <v/>
      </c>
      <c r="Q2170" s="125" t="str">
        <f>IF(tech_base!$T146&gt;Q$2025,"",fuel_costs!I$14*0.086/tech_proj!Q270/(1-tech_proj!Q550))</f>
        <v/>
      </c>
      <c r="R2170" s="125" t="str">
        <f>IF(tech_base!$T146&gt;R$2025,"",fuel_costs!J$14*0.086/tech_proj!R270/(1-tech_proj!R550))</f>
        <v/>
      </c>
      <c r="S2170" s="125" t="str">
        <f>IF(tech_base!$T146&gt;S$2025,"",fuel_costs!K$14*0.086/tech_proj!S270/(1-tech_proj!S550))</f>
        <v/>
      </c>
      <c r="T2170" s="125" t="str">
        <f>IF(tech_base!$T146&gt;T$2025,"",fuel_costs!L$14*0.086/tech_proj!T270/(1-tech_proj!T550))</f>
        <v/>
      </c>
      <c r="U2170" s="125" t="str">
        <f>IF(tech_base!$T146&gt;U$2025,"",fuel_costs!M$14*0.086/tech_proj!U270/(1-tech_proj!U550))</f>
        <v/>
      </c>
      <c r="V2170" s="125" t="str">
        <f>IF(tech_base!$T146&gt;V$2025,"",fuel_costs!N$14*0.086/tech_proj!V270/(1-tech_proj!V550))</f>
        <v/>
      </c>
      <c r="W2170" s="125" t="str">
        <f>IF(tech_base!$T146&gt;W$2025,"",fuel_costs!O$14*0.086/tech_proj!W270/(1-tech_proj!W550))</f>
        <v/>
      </c>
      <c r="X2170" s="125" t="str">
        <f>IF(tech_base!$T146&gt;X$2025,"",fuel_costs!P$14*0.086/tech_proj!X270/(1-tech_proj!X550))</f>
        <v/>
      </c>
      <c r="Y2170" s="125" t="str">
        <f>IF(tech_base!$T146&gt;Y$2025,"",fuel_costs!Q$14*0.086/tech_proj!Y270/(1-tech_proj!Y550))</f>
        <v/>
      </c>
      <c r="Z2170" s="125" t="str">
        <f>IF(tech_base!$T146&gt;Z$2025,"",fuel_costs!R$14*0.086/tech_proj!Z270/(1-tech_proj!Z550))</f>
        <v/>
      </c>
      <c r="AA2170" s="125" t="str">
        <f>IF(tech_base!$T146&gt;AA$2025,"",fuel_costs!S$14*0.086/tech_proj!AA270/(1-tech_proj!AA550))</f>
        <v/>
      </c>
      <c r="AB2170" s="125" t="str">
        <f>IF(tech_base!$T146&gt;AB$2025,"",fuel_costs!T$14*0.086/tech_proj!AB270/(1-tech_proj!AB550))</f>
        <v/>
      </c>
      <c r="AC2170" s="125" t="str">
        <f>IF(tech_base!$T146&gt;AC$2025,"",fuel_costs!U$14*0.086/tech_proj!AC270/(1-tech_proj!AC550))</f>
        <v/>
      </c>
      <c r="AD2170" s="125" t="str">
        <f>IF(tech_base!$T146&gt;AD$2025,"",fuel_costs!V$14*0.086/tech_proj!AD270/(1-tech_proj!AD550))</f>
        <v/>
      </c>
      <c r="AE2170" s="125">
        <f>IF(tech_base!$T146&gt;AE$2025,"",fuel_costs!W$14*0.086/tech_proj!AE270/(1-tech_proj!AE550))</f>
        <v>212.84547667815752</v>
      </c>
      <c r="AF2170" s="125">
        <f>IF(tech_base!$T146&gt;AF$2025,"",fuel_costs!X$14*0.086/tech_proj!AF270/(1-tech_proj!AF550))</f>
        <v>213.84880418759607</v>
      </c>
      <c r="AG2170" s="125">
        <f>IF(tech_base!$T146&gt;AG$2025,"",fuel_costs!Y$14*0.086/tech_proj!AG270/(1-tech_proj!AG550))</f>
        <v>214.9660750140707</v>
      </c>
      <c r="AH2170" s="125">
        <f>IF(tech_base!$T146&gt;AH$2025,"",fuel_costs!Z$14*0.086/tech_proj!AH270/(1-tech_proj!AH550))</f>
        <v>216.19332084477529</v>
      </c>
      <c r="AI2170" s="125">
        <f>IF(tech_base!$T146&gt;AI$2025,"",fuel_costs!AA$14*0.086/tech_proj!AI270/(1-tech_proj!AI550))</f>
        <v>217.5379602506539</v>
      </c>
      <c r="AJ2170" s="125">
        <f>IF(tech_base!$T146&gt;AJ$2025,"",fuel_costs!AB$14*0.086/tech_proj!AJ270/(1-tech_proj!AJ550))</f>
        <v>219.01883652737672</v>
      </c>
      <c r="AK2170" s="125">
        <f>IF(tech_base!$T146&gt;AK$2025,"",fuel_costs!AC$14*0.086/tech_proj!AK270/(1-tech_proj!AK550))</f>
        <v>220.65897163010072</v>
      </c>
      <c r="AL2170" s="125">
        <f>IF(tech_base!$T146&gt;AL$2025,"",fuel_costs!AD$14*0.086/tech_proj!AL270/(1-tech_proj!AL550))</f>
        <v>222.38980802909788</v>
      </c>
      <c r="AM2170" s="125">
        <f>IF(tech_base!$T146&gt;AM$2025,"",fuel_costs!AE$14*0.086/tech_proj!AM270/(1-tech_proj!AM550))</f>
        <v>224.12697979214434</v>
      </c>
      <c r="AN2170" s="125">
        <f>IF(tech_base!$T146&gt;AN$2025,"",fuel_costs!AF$14*0.086/tech_proj!AN270/(1-tech_proj!AN550))</f>
        <v>225.83162694153231</v>
      </c>
      <c r="AO2170" s="125">
        <f>IF(tech_base!$T146&gt;AO$2025,"",fuel_costs!AG$14*0.086/tech_proj!AO270/(1-tech_proj!AO550))</f>
        <v>225.77570517497711</v>
      </c>
      <c r="AP2170" s="125">
        <f>IF(tech_base!$T146&gt;AP$2025,"",fuel_costs!AH$14*0.086/tech_proj!AP270/(1-tech_proj!AP550))</f>
        <v>226.06363386889552</v>
      </c>
      <c r="AQ2170" s="125">
        <f>IF(tech_base!$T146&gt;AQ$2025,"",fuel_costs!AI$14*0.086/tech_proj!AQ270/(1-tech_proj!AQ550))</f>
        <v>226.26196973315371</v>
      </c>
      <c r="AR2170" s="125">
        <f>IF(tech_base!$T146&gt;AR$2025,"",fuel_costs!AJ$14*0.086/tech_proj!AR270/(1-tech_proj!AR550))</f>
        <v>227.07062516834731</v>
      </c>
      <c r="AS2170" s="125">
        <f>IF(tech_base!$T146&gt;AS$2025,"",fuel_costs!AK$14*0.086/tech_proj!AS270/(1-tech_proj!AS550))</f>
        <v>227.01050007359387</v>
      </c>
      <c r="AT2170" s="125">
        <f>IF(tech_base!$T146&gt;AT$2025,"",fuel_costs!AL$14*0.086/tech_proj!AT270/(1-tech_proj!AT550))</f>
        <v>226.73550362081997</v>
      </c>
      <c r="AU2170" s="125">
        <f>IF(tech_base!$T146&gt;AU$2025,"",fuel_costs!AM$14*0.086/tech_proj!AU270/(1-tech_proj!AU550))</f>
        <v>226.20453891630106</v>
      </c>
      <c r="AV2170" s="125">
        <f>IF(tech_base!$T146&gt;AV$2025,"",fuel_costs!AN$14*0.086/tech_proj!AV270/(1-tech_proj!AV550))</f>
        <v>225.39181724378184</v>
      </c>
      <c r="AW2170" s="125">
        <f>IF(tech_base!$T146&gt;AW$2025,"",fuel_costs!AO$14*0.086/tech_proj!AW270/(1-tech_proj!AW550))</f>
        <v>224.28757460038182</v>
      </c>
      <c r="AX2170" s="126">
        <f>IF(tech_base!$T146&gt;AX$2025,"",fuel_costs!AP$14*0.086/tech_proj!AX270/(1-tech_proj!AX550))</f>
        <v>223.14870039757116</v>
      </c>
    </row>
    <row r="2171" spans="1:50" x14ac:dyDescent="0.25">
      <c r="A2171" s="356"/>
      <c r="B2171" s="376"/>
      <c r="C2171" s="361" t="s">
        <v>16</v>
      </c>
      <c r="D2171" s="2" t="s">
        <v>7</v>
      </c>
      <c r="E2171" s="76" t="str">
        <f>A2165&amp;"/"&amp;B2165&amp;"/"&amp;C2171&amp;"/"&amp;D2171</f>
        <v>Diesel oil fired power plants/Gas turbine combined cycle/CHP with CCS/L</v>
      </c>
      <c r="F2171" s="76" t="str">
        <f>A2165</f>
        <v>Diesel oil fired power plants</v>
      </c>
      <c r="G2171" s="76" t="str">
        <f>B2165</f>
        <v>Gas turbine combined cycle</v>
      </c>
      <c r="H2171" s="76" t="str">
        <f>C2171</f>
        <v>CHP with CCS</v>
      </c>
      <c r="I2171" s="76" t="str">
        <f t="shared" si="389"/>
        <v>L</v>
      </c>
      <c r="J2171" s="119" t="str">
        <f>IF(tech_base!$T147&gt;J$2025,"",fuel_costs!B$14*0.086/tech_proj!J271/(1-tech_proj!J551))</f>
        <v/>
      </c>
      <c r="K2171" s="119" t="str">
        <f>IF(tech_base!$T147&gt;K$2025,"",fuel_costs!C$14*0.086/tech_proj!K271/(1-tech_proj!K551))</f>
        <v/>
      </c>
      <c r="L2171" s="119" t="str">
        <f>IF(tech_base!$T147&gt;L$2025,"",fuel_costs!D$14*0.086/tech_proj!L271/(1-tech_proj!L551))</f>
        <v/>
      </c>
      <c r="M2171" s="119" t="str">
        <f>IF(tech_base!$T147&gt;M$2025,"",fuel_costs!E$14*0.086/tech_proj!M271/(1-tech_proj!M551))</f>
        <v/>
      </c>
      <c r="N2171" s="119" t="str">
        <f>IF(tech_base!$T147&gt;N$2025,"",fuel_costs!F$14*0.086/tech_proj!N271/(1-tech_proj!N551))</f>
        <v/>
      </c>
      <c r="O2171" s="119" t="str">
        <f>IF(tech_base!$T147&gt;O$2025,"",fuel_costs!G$14*0.086/tech_proj!O271/(1-tech_proj!O551))</f>
        <v/>
      </c>
      <c r="P2171" s="119" t="str">
        <f>IF(tech_base!$T147&gt;P$2025,"",fuel_costs!H$14*0.086/tech_proj!P271/(1-tech_proj!P551))</f>
        <v/>
      </c>
      <c r="Q2171" s="119" t="str">
        <f>IF(tech_base!$T147&gt;Q$2025,"",fuel_costs!I$14*0.086/tech_proj!Q271/(1-tech_proj!Q551))</f>
        <v/>
      </c>
      <c r="R2171" s="119" t="str">
        <f>IF(tech_base!$T147&gt;R$2025,"",fuel_costs!J$14*0.086/tech_proj!R271/(1-tech_proj!R551))</f>
        <v/>
      </c>
      <c r="S2171" s="119" t="str">
        <f>IF(tech_base!$T147&gt;S$2025,"",fuel_costs!K$14*0.086/tech_proj!S271/(1-tech_proj!S551))</f>
        <v/>
      </c>
      <c r="T2171" s="119" t="str">
        <f>IF(tech_base!$T147&gt;T$2025,"",fuel_costs!L$14*0.086/tech_proj!T271/(1-tech_proj!T551))</f>
        <v/>
      </c>
      <c r="U2171" s="119" t="str">
        <f>IF(tech_base!$T147&gt;U$2025,"",fuel_costs!M$14*0.086/tech_proj!U271/(1-tech_proj!U551))</f>
        <v/>
      </c>
      <c r="V2171" s="119" t="str">
        <f>IF(tech_base!$T147&gt;V$2025,"",fuel_costs!N$14*0.086/tech_proj!V271/(1-tech_proj!V551))</f>
        <v/>
      </c>
      <c r="W2171" s="119" t="str">
        <f>IF(tech_base!$T147&gt;W$2025,"",fuel_costs!O$14*0.086/tech_proj!W271/(1-tech_proj!W551))</f>
        <v/>
      </c>
      <c r="X2171" s="119" t="str">
        <f>IF(tech_base!$T147&gt;X$2025,"",fuel_costs!P$14*0.086/tech_proj!X271/(1-tech_proj!X551))</f>
        <v/>
      </c>
      <c r="Y2171" s="119" t="str">
        <f>IF(tech_base!$T147&gt;Y$2025,"",fuel_costs!Q$14*0.086/tech_proj!Y271/(1-tech_proj!Y551))</f>
        <v/>
      </c>
      <c r="Z2171" s="119" t="str">
        <f>IF(tech_base!$T147&gt;Z$2025,"",fuel_costs!R$14*0.086/tech_proj!Z271/(1-tech_proj!Z551))</f>
        <v/>
      </c>
      <c r="AA2171" s="119" t="str">
        <f>IF(tech_base!$T147&gt;AA$2025,"",fuel_costs!S$14*0.086/tech_proj!AA271/(1-tech_proj!AA551))</f>
        <v/>
      </c>
      <c r="AB2171" s="119" t="str">
        <f>IF(tech_base!$T147&gt;AB$2025,"",fuel_costs!T$14*0.086/tech_proj!AB271/(1-tech_proj!AB551))</f>
        <v/>
      </c>
      <c r="AC2171" s="119" t="str">
        <f>IF(tech_base!$T147&gt;AC$2025,"",fuel_costs!U$14*0.086/tech_proj!AC271/(1-tech_proj!AC551))</f>
        <v/>
      </c>
      <c r="AD2171" s="119" t="str">
        <f>IF(tech_base!$T147&gt;AD$2025,"",fuel_costs!V$14*0.086/tech_proj!AD271/(1-tech_proj!AD551))</f>
        <v/>
      </c>
      <c r="AE2171" s="119">
        <f>IF(tech_base!$T147&gt;AE$2025,"",fuel_costs!W$14*0.086/tech_proj!AE271/(1-tech_proj!AE551))</f>
        <v>224.31764716076876</v>
      </c>
      <c r="AF2171" s="119">
        <f>IF(tech_base!$T147&gt;AF$2025,"",fuel_costs!X$14*0.086/tech_proj!AF271/(1-tech_proj!AF551))</f>
        <v>225.38261473449401</v>
      </c>
      <c r="AG2171" s="119">
        <f>IF(tech_base!$T147&gt;AG$2025,"",fuel_costs!Y$14*0.086/tech_proj!AG271/(1-tech_proj!AG551))</f>
        <v>226.56986909041751</v>
      </c>
      <c r="AH2171" s="119">
        <f>IF(tech_base!$T147&gt;AH$2025,"",fuel_costs!Z$14*0.086/tech_proj!AH271/(1-tech_proj!AH551))</f>
        <v>227.87585931783943</v>
      </c>
      <c r="AI2171" s="119">
        <f>IF(tech_base!$T147&gt;AI$2025,"",fuel_costs!AA$14*0.086/tech_proj!AI271/(1-tech_proj!AI551))</f>
        <v>229.3092095040096</v>
      </c>
      <c r="AJ2171" s="119">
        <f>IF(tech_base!$T147&gt;AJ$2025,"",fuel_costs!AB$14*0.086/tech_proj!AJ271/(1-tech_proj!AJ551))</f>
        <v>230.89080539224724</v>
      </c>
      <c r="AK2171" s="119">
        <f>IF(tech_base!$T147&gt;AK$2025,"",fuel_costs!AC$14*0.086/tech_proj!AK271/(1-tech_proj!AK551))</f>
        <v>232.64621202760932</v>
      </c>
      <c r="AL2171" s="119">
        <f>IF(tech_base!$T147&gt;AL$2025,"",fuel_costs!AD$14*0.086/tech_proj!AL271/(1-tech_proj!AL551))</f>
        <v>234.50476225549835</v>
      </c>
      <c r="AM2171" s="119">
        <f>IF(tech_base!$T147&gt;AM$2025,"",fuel_costs!AE$14*0.086/tech_proj!AM271/(1-tech_proj!AM551))</f>
        <v>236.37944784598261</v>
      </c>
      <c r="AN2171" s="119">
        <f>IF(tech_base!$T147&gt;AN$2025,"",fuel_costs!AF$14*0.086/tech_proj!AN271/(1-tech_proj!AN551))</f>
        <v>238.23159887047029</v>
      </c>
      <c r="AO2171" s="119">
        <f>IF(tech_base!$T147&gt;AO$2025,"",fuel_costs!AG$14*0.086/tech_proj!AO271/(1-tech_proj!AO551))</f>
        <v>238.24046298396493</v>
      </c>
      <c r="AP2171" s="119">
        <f>IF(tech_base!$T147&gt;AP$2025,"",fuel_costs!AH$14*0.086/tech_proj!AP271/(1-tech_proj!AP551))</f>
        <v>238.62854055998923</v>
      </c>
      <c r="AQ2171" s="119">
        <f>IF(tech_base!$T147&gt;AQ$2025,"",fuel_costs!AI$14*0.086/tech_proj!AQ271/(1-tech_proj!AQ551))</f>
        <v>238.94144332497874</v>
      </c>
      <c r="AR2171" s="119">
        <f>IF(tech_base!$T147&gt;AR$2025,"",fuel_costs!AJ$14*0.086/tech_proj!AR271/(1-tech_proj!AR551))</f>
        <v>239.92140353782153</v>
      </c>
      <c r="AS2171" s="119">
        <f>IF(tech_base!$T147&gt;AS$2025,"",fuel_costs!AK$14*0.086/tech_proj!AS271/(1-tech_proj!AS551))</f>
        <v>240.00812734119324</v>
      </c>
      <c r="AT2171" s="119">
        <f>IF(tech_base!$T147&gt;AT$2025,"",fuel_costs!AL$14*0.086/tech_proj!AT271/(1-tech_proj!AT551))</f>
        <v>239.89269946516583</v>
      </c>
      <c r="AU2171" s="119">
        <f>IF(tech_base!$T147&gt;AU$2025,"",fuel_costs!AM$14*0.086/tech_proj!AU271/(1-tech_proj!AU551))</f>
        <v>239.52980638791701</v>
      </c>
      <c r="AV2171" s="119">
        <f>IF(tech_base!$T147&gt;AV$2025,"",fuel_costs!AN$14*0.086/tech_proj!AV271/(1-tech_proj!AV551))</f>
        <v>238.88677521737236</v>
      </c>
      <c r="AW2171" s="119">
        <f>IF(tech_base!$T147&gt;AW$2025,"",fuel_costs!AO$14*0.086/tech_proj!AW271/(1-tech_proj!AW551))</f>
        <v>237.94336872323882</v>
      </c>
      <c r="AX2171" s="120">
        <f>IF(tech_base!$T147&gt;AX$2025,"",fuel_costs!AP$14*0.086/tech_proj!AX271/(1-tech_proj!AX551))</f>
        <v>236.95750569772696</v>
      </c>
    </row>
    <row r="2172" spans="1:50" x14ac:dyDescent="0.25">
      <c r="A2172" s="356"/>
      <c r="B2172" s="380"/>
      <c r="C2172" s="381"/>
      <c r="D2172" s="4" t="s">
        <v>8</v>
      </c>
      <c r="E2172" s="80" t="str">
        <f>A2165&amp;"/"&amp;B2165&amp;"/"&amp;C2171&amp;"/"&amp;D2172</f>
        <v>Diesel oil fired power plants/Gas turbine combined cycle/CHP with CCS/M</v>
      </c>
      <c r="F2172" s="80" t="str">
        <f>A2165</f>
        <v>Diesel oil fired power plants</v>
      </c>
      <c r="G2172" s="80" t="str">
        <f>B2165</f>
        <v>Gas turbine combined cycle</v>
      </c>
      <c r="H2172" s="80" t="str">
        <f>C2171</f>
        <v>CHP with CCS</v>
      </c>
      <c r="I2172" s="80" t="str">
        <f t="shared" si="389"/>
        <v>M</v>
      </c>
      <c r="J2172" s="127" t="str">
        <f>IF(tech_base!$T148&gt;J$2025,"",fuel_costs!B$14*0.086/tech_proj!J272/(1-tech_proj!J552))</f>
        <v/>
      </c>
      <c r="K2172" s="127" t="str">
        <f>IF(tech_base!$T148&gt;K$2025,"",fuel_costs!C$14*0.086/tech_proj!K272/(1-tech_proj!K552))</f>
        <v/>
      </c>
      <c r="L2172" s="127" t="str">
        <f>IF(tech_base!$T148&gt;L$2025,"",fuel_costs!D$14*0.086/tech_proj!L272/(1-tech_proj!L552))</f>
        <v/>
      </c>
      <c r="M2172" s="127" t="str">
        <f>IF(tech_base!$T148&gt;M$2025,"",fuel_costs!E$14*0.086/tech_proj!M272/(1-tech_proj!M552))</f>
        <v/>
      </c>
      <c r="N2172" s="127" t="str">
        <f>IF(tech_base!$T148&gt;N$2025,"",fuel_costs!F$14*0.086/tech_proj!N272/(1-tech_proj!N552))</f>
        <v/>
      </c>
      <c r="O2172" s="127" t="str">
        <f>IF(tech_base!$T148&gt;O$2025,"",fuel_costs!G$14*0.086/tech_proj!O272/(1-tech_proj!O552))</f>
        <v/>
      </c>
      <c r="P2172" s="127" t="str">
        <f>IF(tech_base!$T148&gt;P$2025,"",fuel_costs!H$14*0.086/tech_proj!P272/(1-tech_proj!P552))</f>
        <v/>
      </c>
      <c r="Q2172" s="127" t="str">
        <f>IF(tech_base!$T148&gt;Q$2025,"",fuel_costs!I$14*0.086/tech_proj!Q272/(1-tech_proj!Q552))</f>
        <v/>
      </c>
      <c r="R2172" s="127" t="str">
        <f>IF(tech_base!$T148&gt;R$2025,"",fuel_costs!J$14*0.086/tech_proj!R272/(1-tech_proj!R552))</f>
        <v/>
      </c>
      <c r="S2172" s="127" t="str">
        <f>IF(tech_base!$T148&gt;S$2025,"",fuel_costs!K$14*0.086/tech_proj!S272/(1-tech_proj!S552))</f>
        <v/>
      </c>
      <c r="T2172" s="127" t="str">
        <f>IF(tech_base!$T148&gt;T$2025,"",fuel_costs!L$14*0.086/tech_proj!T272/(1-tech_proj!T552))</f>
        <v/>
      </c>
      <c r="U2172" s="127" t="str">
        <f>IF(tech_base!$T148&gt;U$2025,"",fuel_costs!M$14*0.086/tech_proj!U272/(1-tech_proj!U552))</f>
        <v/>
      </c>
      <c r="V2172" s="127" t="str">
        <f>IF(tech_base!$T148&gt;V$2025,"",fuel_costs!N$14*0.086/tech_proj!V272/(1-tech_proj!V552))</f>
        <v/>
      </c>
      <c r="W2172" s="127" t="str">
        <f>IF(tech_base!$T148&gt;W$2025,"",fuel_costs!O$14*0.086/tech_proj!W272/(1-tech_proj!W552))</f>
        <v/>
      </c>
      <c r="X2172" s="127" t="str">
        <f>IF(tech_base!$T148&gt;X$2025,"",fuel_costs!P$14*0.086/tech_proj!X272/(1-tech_proj!X552))</f>
        <v/>
      </c>
      <c r="Y2172" s="127" t="str">
        <f>IF(tech_base!$T148&gt;Y$2025,"",fuel_costs!Q$14*0.086/tech_proj!Y272/(1-tech_proj!Y552))</f>
        <v/>
      </c>
      <c r="Z2172" s="127" t="str">
        <f>IF(tech_base!$T148&gt;Z$2025,"",fuel_costs!R$14*0.086/tech_proj!Z272/(1-tech_proj!Z552))</f>
        <v/>
      </c>
      <c r="AA2172" s="127" t="str">
        <f>IF(tech_base!$T148&gt;AA$2025,"",fuel_costs!S$14*0.086/tech_proj!AA272/(1-tech_proj!AA552))</f>
        <v/>
      </c>
      <c r="AB2172" s="127" t="str">
        <f>IF(tech_base!$T148&gt;AB$2025,"",fuel_costs!T$14*0.086/tech_proj!AB272/(1-tech_proj!AB552))</f>
        <v/>
      </c>
      <c r="AC2172" s="127" t="str">
        <f>IF(tech_base!$T148&gt;AC$2025,"",fuel_costs!U$14*0.086/tech_proj!AC272/(1-tech_proj!AC552))</f>
        <v/>
      </c>
      <c r="AD2172" s="127" t="str">
        <f>IF(tech_base!$T148&gt;AD$2025,"",fuel_costs!V$14*0.086/tech_proj!AD272/(1-tech_proj!AD552))</f>
        <v/>
      </c>
      <c r="AE2172" s="127">
        <f>IF(tech_base!$T148&gt;AE$2025,"",fuel_costs!W$14*0.086/tech_proj!AE272/(1-tech_proj!AE552))</f>
        <v>237.0773545978852</v>
      </c>
      <c r="AF2172" s="127">
        <f>IF(tech_base!$T148&gt;AF$2025,"",fuel_costs!X$14*0.086/tech_proj!AF272/(1-tech_proj!AF552))</f>
        <v>238.20651746413267</v>
      </c>
      <c r="AG2172" s="127">
        <f>IF(tech_base!$T148&gt;AG$2025,"",fuel_costs!Y$14*0.086/tech_proj!AG272/(1-tech_proj!AG552))</f>
        <v>239.46598681628669</v>
      </c>
      <c r="AH2172" s="127">
        <f>IF(tech_base!$T148&gt;AH$2025,"",fuel_costs!Z$14*0.086/tech_proj!AH272/(1-tech_proj!AH552))</f>
        <v>240.85232150899529</v>
      </c>
      <c r="AI2172" s="127">
        <f>IF(tech_base!$T148&gt;AI$2025,"",fuel_costs!AA$14*0.086/tech_proj!AI272/(1-tech_proj!AI552))</f>
        <v>242.37503857062435</v>
      </c>
      <c r="AJ2172" s="127">
        <f>IF(tech_base!$T148&gt;AJ$2025,"",fuel_costs!AB$14*0.086/tech_proj!AJ272/(1-tech_proj!AJ552))</f>
        <v>244.05673208415996</v>
      </c>
      <c r="AK2172" s="127">
        <f>IF(tech_base!$T148&gt;AK$2025,"",fuel_costs!AC$14*0.086/tech_proj!AK272/(1-tech_proj!AK552))</f>
        <v>245.92509361171014</v>
      </c>
      <c r="AL2172" s="127">
        <f>IF(tech_base!$T148&gt;AL$2025,"",fuel_costs!AD$14*0.086/tech_proj!AL272/(1-tech_proj!AL552))</f>
        <v>247.90627732331694</v>
      </c>
      <c r="AM2172" s="127">
        <f>IF(tech_base!$T148&gt;AM$2025,"",fuel_costs!AE$14*0.086/tech_proj!AM272/(1-tech_proj!AM552))</f>
        <v>249.90937339413702</v>
      </c>
      <c r="AN2172" s="127">
        <f>IF(tech_base!$T148&gt;AN$2025,"",fuel_costs!AF$14*0.086/tech_proj!AN272/(1-tech_proj!AN552))</f>
        <v>251.89482825757213</v>
      </c>
      <c r="AO2172" s="127">
        <f>IF(tech_base!$T148&gt;AO$2025,"",fuel_costs!AG$14*0.086/tech_proj!AO272/(1-tech_proj!AO552))</f>
        <v>251.93884868480546</v>
      </c>
      <c r="AP2172" s="127">
        <f>IF(tech_base!$T148&gt;AP$2025,"",fuel_costs!AH$14*0.086/tech_proj!AP272/(1-tech_proj!AP552))</f>
        <v>252.39316037846137</v>
      </c>
      <c r="AQ2172" s="127">
        <f>IF(tech_base!$T148&gt;AQ$2025,"",fuel_costs!AI$14*0.086/tech_proj!AQ272/(1-tech_proj!AQ552))</f>
        <v>252.77954496123559</v>
      </c>
      <c r="AR2172" s="127">
        <f>IF(tech_base!$T148&gt;AR$2025,"",fuel_costs!AJ$14*0.086/tech_proj!AR272/(1-tech_proj!AR552))</f>
        <v>253.88605879287181</v>
      </c>
      <c r="AS2172" s="127">
        <f>IF(tech_base!$T148&gt;AS$2025,"",fuel_costs!AK$14*0.086/tech_proj!AS272/(1-tech_proj!AS552))</f>
        <v>254.0648284084057</v>
      </c>
      <c r="AT2172" s="127">
        <f>IF(tech_base!$T148&gt;AT$2025,"",fuel_costs!AL$14*0.086/tech_proj!AT272/(1-tech_proj!AT552))</f>
        <v>254.05010103550799</v>
      </c>
      <c r="AU2172" s="127">
        <f>IF(tech_base!$T148&gt;AU$2025,"",fuel_costs!AM$14*0.086/tech_proj!AU272/(1-tech_proj!AU552))</f>
        <v>253.79703983410488</v>
      </c>
      <c r="AV2172" s="127">
        <f>IF(tech_base!$T148&gt;AV$2025,"",fuel_costs!AN$14*0.086/tech_proj!AV272/(1-tech_proj!AV552))</f>
        <v>253.27379052281012</v>
      </c>
      <c r="AW2172" s="127">
        <f>IF(tech_base!$T148&gt;AW$2025,"",fuel_costs!AO$14*0.086/tech_proj!AW272/(1-tech_proj!AW552))</f>
        <v>252.4607584228537</v>
      </c>
      <c r="AX2172" s="128">
        <f>IF(tech_base!$T148&gt;AX$2025,"",fuel_costs!AP$14*0.086/tech_proj!AX272/(1-tech_proj!AX552))</f>
        <v>251.63214245014041</v>
      </c>
    </row>
    <row r="2173" spans="1:50" x14ac:dyDescent="0.25">
      <c r="A2173" s="356"/>
      <c r="B2173" s="358" t="s">
        <v>24</v>
      </c>
      <c r="C2173" s="353" t="s">
        <v>6</v>
      </c>
      <c r="D2173" s="3" t="s">
        <v>7</v>
      </c>
      <c r="E2173" s="77" t="str">
        <f>A2165&amp;"/"&amp;B2173&amp;"/"&amp;C2173&amp;"/"&amp;D2173</f>
        <v>Diesel oil fired power plants/Gas turbine /Electricity only/L</v>
      </c>
      <c r="F2173" s="77" t="str">
        <f>A2165</f>
        <v>Diesel oil fired power plants</v>
      </c>
      <c r="G2173" s="77" t="str">
        <f>B2173</f>
        <v xml:space="preserve">Gas turbine </v>
      </c>
      <c r="H2173" s="77" t="str">
        <f>C2173</f>
        <v>Electricity only</v>
      </c>
      <c r="I2173" s="77" t="str">
        <f t="shared" si="389"/>
        <v>L</v>
      </c>
      <c r="J2173" s="121">
        <f>IF(tech_base!$T149&gt;J$2025,"",fuel_costs!B$14*0.086/tech_proj!J273/(1-tech_proj!J553))</f>
        <v>188.87767917975248</v>
      </c>
      <c r="K2173" s="121">
        <f>IF(tech_base!$T149&gt;K$2025,"",fuel_costs!C$14*0.086/tech_proj!K273/(1-tech_proj!K553))</f>
        <v>223.39382513674977</v>
      </c>
      <c r="L2173" s="121">
        <f>IF(tech_base!$T149&gt;L$2025,"",fuel_costs!D$14*0.086/tech_proj!L273/(1-tech_proj!L553))</f>
        <v>234.37875841755312</v>
      </c>
      <c r="M2173" s="121">
        <f>IF(tech_base!$T149&gt;M$2025,"",fuel_costs!E$14*0.086/tech_proj!M273/(1-tech_proj!M553))</f>
        <v>226.39822005656771</v>
      </c>
      <c r="N2173" s="121">
        <f>IF(tech_base!$T149&gt;N$2025,"",fuel_costs!F$14*0.086/tech_proj!N273/(1-tech_proj!N553))</f>
        <v>213.27317779744325</v>
      </c>
      <c r="O2173" s="121">
        <f>IF(tech_base!$T149&gt;O$2025,"",fuel_costs!G$14*0.086/tech_proj!O273/(1-tech_proj!O553))</f>
        <v>167.19580221661315</v>
      </c>
      <c r="P2173" s="121">
        <f>IF(tech_base!$T149&gt;P$2025,"",fuel_costs!H$14*0.086/tech_proj!P273/(1-tech_proj!P553))</f>
        <v>156.21746234765132</v>
      </c>
      <c r="Q2173" s="121">
        <f>IF(tech_base!$T149&gt;Q$2025,"",fuel_costs!I$14*0.086/tech_proj!Q273/(1-tech_proj!Q553))</f>
        <v>169.8263407221508</v>
      </c>
      <c r="R2173" s="121">
        <f>IF(tech_base!$T149&gt;R$2025,"",fuel_costs!J$14*0.086/tech_proj!R273/(1-tech_proj!R553))</f>
        <v>181.99659632416754</v>
      </c>
      <c r="S2173" s="121">
        <f>IF(tech_base!$T149&gt;S$2025,"",fuel_costs!K$14*0.086/tech_proj!S273/(1-tech_proj!S553))</f>
        <v>192.69079202086991</v>
      </c>
      <c r="T2173" s="121">
        <f>IF(tech_base!$T149&gt;T$2025,"",fuel_costs!L$14*0.086/tech_proj!T273/(1-tech_proj!T553))</f>
        <v>203.00842749444581</v>
      </c>
      <c r="U2173" s="121">
        <f>IF(tech_base!$T149&gt;U$2025,"",fuel_costs!M$14*0.086/tech_proj!U273/(1-tech_proj!U553))</f>
        <v>212.84438028289182</v>
      </c>
      <c r="V2173" s="121">
        <f>IF(tech_base!$T149&gt;V$2025,"",fuel_costs!N$14*0.086/tech_proj!V273/(1-tech_proj!V553))</f>
        <v>219.49386197603124</v>
      </c>
      <c r="W2173" s="121">
        <f>IF(tech_base!$T149&gt;W$2025,"",fuel_costs!O$14*0.086/tech_proj!W273/(1-tech_proj!W553))</f>
        <v>227.60082842186671</v>
      </c>
      <c r="X2173" s="121">
        <f>IF(tech_base!$T149&gt;X$2025,"",fuel_costs!P$14*0.086/tech_proj!X273/(1-tech_proj!X553))</f>
        <v>234.65646157039296</v>
      </c>
      <c r="Y2173" s="121">
        <f>IF(tech_base!$T149&gt;Y$2025,"",fuel_costs!Q$14*0.086/tech_proj!Y273/(1-tech_proj!Y553))</f>
        <v>240.66668221815075</v>
      </c>
      <c r="Z2173" s="121">
        <f>IF(tech_base!$T149&gt;Z$2025,"",fuel_costs!R$14*0.086/tech_proj!Z273/(1-tech_proj!Z553))</f>
        <v>244.58149087918346</v>
      </c>
      <c r="AA2173" s="121">
        <f>IF(tech_base!$T149&gt;AA$2025,"",fuel_costs!S$14*0.086/tech_proj!AA273/(1-tech_proj!AA553))</f>
        <v>248.14150831918693</v>
      </c>
      <c r="AB2173" s="121">
        <f>IF(tech_base!$T149&gt;AB$2025,"",fuel_costs!T$14*0.086/tech_proj!AB273/(1-tech_proj!AB553))</f>
        <v>250.63148679271956</v>
      </c>
      <c r="AC2173" s="121">
        <f>IF(tech_base!$T149&gt;AC$2025,"",fuel_costs!U$14*0.086/tech_proj!AC273/(1-tech_proj!AC553))</f>
        <v>254.41411923553932</v>
      </c>
      <c r="AD2173" s="121">
        <f>IF(tech_base!$T149&gt;AD$2025,"",fuel_costs!V$14*0.086/tech_proj!AD273/(1-tech_proj!AD553))</f>
        <v>256.78914195207898</v>
      </c>
      <c r="AE2173" s="121">
        <f>IF(tech_base!$T149&gt;AE$2025,"",fuel_costs!W$14*0.086/tech_proj!AE273/(1-tech_proj!AE553))</f>
        <v>259.06293003222089</v>
      </c>
      <c r="AF2173" s="121">
        <f>IF(tech_base!$T149&gt;AF$2025,"",fuel_costs!X$14*0.086/tech_proj!AF273/(1-tech_proj!AF553))</f>
        <v>260.28762926584085</v>
      </c>
      <c r="AG2173" s="121">
        <f>IF(tech_base!$T149&gt;AG$2025,"",fuel_costs!Y$14*0.086/tech_proj!AG273/(1-tech_proj!AG553))</f>
        <v>261.66289605824147</v>
      </c>
      <c r="AH2173" s="121">
        <f>IF(tech_base!$T149&gt;AH$2025,"",fuel_costs!Z$14*0.086/tech_proj!AH273/(1-tech_proj!AH553))</f>
        <v>263.1882495850337</v>
      </c>
      <c r="AI2173" s="121">
        <f>IF(tech_base!$T149&gt;AI$2025,"",fuel_costs!AA$14*0.086/tech_proj!AI273/(1-tech_proj!AI553))</f>
        <v>264.87836490108049</v>
      </c>
      <c r="AJ2173" s="121">
        <f>IF(tech_base!$T149&gt;AJ$2025,"",fuel_costs!AB$14*0.086/tech_proj!AJ273/(1-tech_proj!AJ553))</f>
        <v>266.76348276159439</v>
      </c>
      <c r="AK2173" s="121">
        <f>IF(tech_base!$T149&gt;AK$2025,"",fuel_costs!AC$14*0.086/tech_proj!AK273/(1-tech_proj!AK553))</f>
        <v>268.88104917468252</v>
      </c>
      <c r="AL2173" s="121">
        <f>IF(tech_base!$T149&gt;AL$2025,"",fuel_costs!AD$14*0.086/tech_proj!AL273/(1-tech_proj!AL553))</f>
        <v>271.15953216918848</v>
      </c>
      <c r="AM2173" s="121">
        <f>IF(tech_base!$T149&gt;AM$2025,"",fuel_costs!AE$14*0.086/tech_proj!AM273/(1-tech_proj!AM553))</f>
        <v>273.51109764735691</v>
      </c>
      <c r="AN2173" s="121">
        <f>IF(tech_base!$T149&gt;AN$2025,"",fuel_costs!AF$14*0.086/tech_proj!AN273/(1-tech_proj!AN553))</f>
        <v>275.90689265439113</v>
      </c>
      <c r="AO2173" s="121">
        <f>IF(tech_base!$T149&gt;AO$2025,"",fuel_costs!AG$14*0.086/tech_proj!AO273/(1-tech_proj!AO553))</f>
        <v>276.25527739509261</v>
      </c>
      <c r="AP2173" s="121">
        <f>IF(tech_base!$T149&gt;AP$2025,"",fuel_costs!AH$14*0.086/tech_proj!AP273/(1-tech_proj!AP553))</f>
        <v>277.15137705336031</v>
      </c>
      <c r="AQ2173" s="121">
        <f>IF(tech_base!$T149&gt;AQ$2025,"",fuel_costs!AI$14*0.086/tech_proj!AQ273/(1-tech_proj!AQ553))</f>
        <v>278.09518425142454</v>
      </c>
      <c r="AR2173" s="121">
        <f>IF(tech_base!$T149&gt;AR$2025,"",fuel_costs!AJ$14*0.086/tech_proj!AR273/(1-tech_proj!AR553))</f>
        <v>279.98336519591976</v>
      </c>
      <c r="AS2173" s="121">
        <f>IF(tech_base!$T149&gt;AS$2025,"",fuel_costs!AK$14*0.086/tech_proj!AS273/(1-tech_proj!AS553))</f>
        <v>281.03204563016436</v>
      </c>
      <c r="AT2173" s="121">
        <f>IF(tech_base!$T149&gt;AT$2025,"",fuel_costs!AL$14*0.086/tech_proj!AT273/(1-tech_proj!AT553))</f>
        <v>282.08085186864696</v>
      </c>
      <c r="AU2173" s="121">
        <f>IF(tech_base!$T149&gt;AU$2025,"",fuel_costs!AM$14*0.086/tech_proj!AU273/(1-tech_proj!AU553))</f>
        <v>283.11085024767277</v>
      </c>
      <c r="AV2173" s="121">
        <f>IF(tech_base!$T149&gt;AV$2025,"",fuel_costs!AN$14*0.086/tech_proj!AV273/(1-tech_proj!AV553))</f>
        <v>284.11193659831679</v>
      </c>
      <c r="AW2173" s="121">
        <f>IF(tech_base!$T149&gt;AW$2025,"",fuel_costs!AO$14*0.086/tech_proj!AW273/(1-tech_proj!AW553))</f>
        <v>285.07658617577368</v>
      </c>
      <c r="AX2173" s="122">
        <f>IF(tech_base!$T149&gt;AX$2025,"",fuel_costs!AP$14*0.086/tech_proj!AX273/(1-tech_proj!AX553))</f>
        <v>286.31368847911762</v>
      </c>
    </row>
    <row r="2174" spans="1:50" x14ac:dyDescent="0.25">
      <c r="A2174" s="356"/>
      <c r="B2174" s="376"/>
      <c r="C2174" s="350"/>
      <c r="D2174" s="2" t="s">
        <v>8</v>
      </c>
      <c r="E2174" s="76" t="str">
        <f>A2165&amp;"/"&amp;B2173&amp;"/"&amp;C2173&amp;"/"&amp;D2174</f>
        <v>Diesel oil fired power plants/Gas turbine /Electricity only/M</v>
      </c>
      <c r="F2174" s="76" t="str">
        <f>A2165</f>
        <v>Diesel oil fired power plants</v>
      </c>
      <c r="G2174" s="76" t="str">
        <f>B2173</f>
        <v xml:space="preserve">Gas turbine </v>
      </c>
      <c r="H2174" s="76" t="str">
        <f>C2173</f>
        <v>Electricity only</v>
      </c>
      <c r="I2174" s="76" t="str">
        <f t="shared" si="389"/>
        <v>M</v>
      </c>
      <c r="J2174" s="119">
        <f>IF(tech_base!$T150&gt;J$2025,"",fuel_costs!B$14*0.086/tech_proj!J274/(1-tech_proj!J554))</f>
        <v>198.61816080420468</v>
      </c>
      <c r="K2174" s="119">
        <f>IF(tech_base!$T150&gt;K$2025,"",fuel_costs!C$14*0.086/tech_proj!K274/(1-tech_proj!K554))</f>
        <v>234.91424283473816</v>
      </c>
      <c r="L2174" s="119">
        <f>IF(tech_base!$T150&gt;L$2025,"",fuel_costs!D$14*0.086/tech_proj!L274/(1-tech_proj!L554))</f>
        <v>246.46558273093839</v>
      </c>
      <c r="M2174" s="119">
        <f>IF(tech_base!$T150&gt;M$2025,"",fuel_costs!E$14*0.086/tech_proj!M274/(1-tech_proj!M554))</f>
        <v>238.07339628849115</v>
      </c>
      <c r="N2174" s="119">
        <f>IF(tech_base!$T150&gt;N$2025,"",fuel_costs!F$14*0.086/tech_proj!N274/(1-tech_proj!N554))</f>
        <v>224.27140451929765</v>
      </c>
      <c r="O2174" s="119">
        <f>IF(tech_base!$T150&gt;O$2025,"",fuel_costs!G$14*0.086/tech_proj!O274/(1-tech_proj!O554))</f>
        <v>175.81778660147353</v>
      </c>
      <c r="P2174" s="119">
        <f>IF(tech_base!$T150&gt;P$2025,"",fuel_costs!H$14*0.086/tech_proj!P274/(1-tech_proj!P554))</f>
        <v>164.2732170950616</v>
      </c>
      <c r="Q2174" s="119">
        <f>IF(tech_base!$T150&gt;Q$2025,"",fuel_costs!I$14*0.086/tech_proj!Q274/(1-tech_proj!Q554))</f>
        <v>178.58375245966272</v>
      </c>
      <c r="R2174" s="119">
        <f>IF(tech_base!$T150&gt;R$2025,"",fuel_costs!J$14*0.086/tech_proj!R274/(1-tech_proj!R554))</f>
        <v>191.3814433744711</v>
      </c>
      <c r="S2174" s="119">
        <f>IF(tech_base!$T150&gt;S$2025,"",fuel_costs!K$14*0.086/tech_proj!S274/(1-tech_proj!S554))</f>
        <v>202.62691923053853</v>
      </c>
      <c r="T2174" s="119">
        <f>IF(tech_base!$T150&gt;T$2025,"",fuel_costs!L$14*0.086/tech_proj!T274/(1-tech_proj!T554))</f>
        <v>213.47637140401915</v>
      </c>
      <c r="U2174" s="119">
        <f>IF(tech_base!$T150&gt;U$2025,"",fuel_costs!M$14*0.086/tech_proj!U274/(1-tech_proj!U554))</f>
        <v>223.81925007707099</v>
      </c>
      <c r="V2174" s="119">
        <f>IF(tech_base!$T150&gt;V$2025,"",fuel_costs!N$14*0.086/tech_proj!V274/(1-tech_proj!V554))</f>
        <v>230.81129639977229</v>
      </c>
      <c r="W2174" s="119">
        <f>IF(tech_base!$T150&gt;W$2025,"",fuel_costs!O$14*0.086/tech_proj!W274/(1-tech_proj!W554))</f>
        <v>239.33591264731248</v>
      </c>
      <c r="X2174" s="119">
        <f>IF(tech_base!$T150&gt;X$2025,"",fuel_costs!P$14*0.086/tech_proj!X274/(1-tech_proj!X554))</f>
        <v>246.75491280278916</v>
      </c>
      <c r="Y2174" s="119">
        <f>IF(tech_base!$T150&gt;Y$2025,"",fuel_costs!Q$14*0.086/tech_proj!Y274/(1-tech_proj!Y554))</f>
        <v>253.07451677944383</v>
      </c>
      <c r="Z2174" s="119">
        <f>IF(tech_base!$T150&gt;Z$2025,"",fuel_costs!R$14*0.086/tech_proj!Z274/(1-tech_proj!Z554))</f>
        <v>257.19058765028052</v>
      </c>
      <c r="AA2174" s="119">
        <f>IF(tech_base!$T150&gt;AA$2025,"",fuel_costs!S$14*0.086/tech_proj!AA274/(1-tech_proj!AA554))</f>
        <v>260.93347990723146</v>
      </c>
      <c r="AB2174" s="119">
        <f>IF(tech_base!$T150&gt;AB$2025,"",fuel_costs!T$14*0.086/tech_proj!AB274/(1-tech_proj!AB554))</f>
        <v>263.55106630028865</v>
      </c>
      <c r="AC2174" s="119">
        <f>IF(tech_base!$T150&gt;AC$2025,"",fuel_costs!U$14*0.086/tech_proj!AC274/(1-tech_proj!AC554))</f>
        <v>267.52782138567773</v>
      </c>
      <c r="AD2174" s="119">
        <f>IF(tech_base!$T150&gt;AD$2025,"",fuel_costs!V$14*0.086/tech_proj!AD274/(1-tech_proj!AD554))</f>
        <v>270.02427963756588</v>
      </c>
      <c r="AE2174" s="119">
        <f>IF(tech_base!$T150&gt;AE$2025,"",fuel_costs!W$14*0.086/tech_proj!AE274/(1-tech_proj!AE554))</f>
        <v>272.41414522610717</v>
      </c>
      <c r="AF2174" s="119">
        <f>IF(tech_base!$T150&gt;AF$2025,"",fuel_costs!X$14*0.086/tech_proj!AF274/(1-tech_proj!AF554))</f>
        <v>273.70070756939202</v>
      </c>
      <c r="AG2174" s="119">
        <f>IF(tech_base!$T150&gt;AG$2025,"",fuel_costs!Y$14*0.086/tech_proj!AG274/(1-tech_proj!AG554))</f>
        <v>275.14544130159561</v>
      </c>
      <c r="AH2174" s="119">
        <f>IF(tech_base!$T150&gt;AH$2025,"",fuel_costs!Z$14*0.086/tech_proj!AH274/(1-tech_proj!AH554))</f>
        <v>276.74782837764246</v>
      </c>
      <c r="AI2174" s="119">
        <f>IF(tech_base!$T150&gt;AI$2025,"",fuel_costs!AA$14*0.086/tech_proj!AI274/(1-tech_proj!AI554))</f>
        <v>278.52328863754752</v>
      </c>
      <c r="AJ2174" s="119">
        <f>IF(tech_base!$T150&gt;AJ$2025,"",fuel_costs!AB$14*0.086/tech_proj!AJ274/(1-tech_proj!AJ554))</f>
        <v>280.50361088281471</v>
      </c>
      <c r="AK2174" s="119">
        <f>IF(tech_base!$T150&gt;AK$2025,"",fuel_costs!AC$14*0.086/tech_proj!AK274/(1-tech_proj!AK554))</f>
        <v>282.72816194772417</v>
      </c>
      <c r="AL2174" s="119">
        <f>IF(tech_base!$T150&gt;AL$2025,"",fuel_costs!AD$14*0.086/tech_proj!AL274/(1-tech_proj!AL554))</f>
        <v>285.12172145566336</v>
      </c>
      <c r="AM2174" s="119">
        <f>IF(tech_base!$T150&gt;AM$2025,"",fuel_costs!AE$14*0.086/tech_proj!AM274/(1-tech_proj!AM554))</f>
        <v>287.59193428375653</v>
      </c>
      <c r="AN2174" s="119">
        <f>IF(tech_base!$T150&gt;AN$2025,"",fuel_costs!AF$14*0.086/tech_proj!AN274/(1-tech_proj!AN554))</f>
        <v>290.10847081929728</v>
      </c>
      <c r="AO2174" s="119">
        <f>IF(tech_base!$T150&gt;AO$2025,"",fuel_costs!AG$14*0.086/tech_proj!AO274/(1-tech_proj!AO554))</f>
        <v>290.47206568470273</v>
      </c>
      <c r="AP2174" s="119">
        <f>IF(tech_base!$T150&gt;AP$2025,"",fuel_costs!AH$14*0.086/tech_proj!AP274/(1-tech_proj!AP554))</f>
        <v>291.41145531131338</v>
      </c>
      <c r="AQ2174" s="119">
        <f>IF(tech_base!$T150&gt;AQ$2025,"",fuel_costs!AI$14*0.086/tech_proj!AQ274/(1-tech_proj!AQ554))</f>
        <v>292.40092560817732</v>
      </c>
      <c r="AR2174" s="119">
        <f>IF(tech_base!$T150&gt;AR$2025,"",fuel_costs!AJ$14*0.086/tech_proj!AR274/(1-tech_proj!AR554))</f>
        <v>294.38329523549749</v>
      </c>
      <c r="AS2174" s="119">
        <f>IF(tech_base!$T150&gt;AS$2025,"",fuel_costs!AK$14*0.086/tech_proj!AS274/(1-tech_proj!AS554))</f>
        <v>295.48297423306093</v>
      </c>
      <c r="AT2174" s="119">
        <f>IF(tech_base!$T150&gt;AT$2025,"",fuel_costs!AL$14*0.086/tech_proj!AT274/(1-tech_proj!AT554))</f>
        <v>296.58282761101975</v>
      </c>
      <c r="AU2174" s="119">
        <f>IF(tech_base!$T150&gt;AU$2025,"",fuel_costs!AM$14*0.086/tech_proj!AU274/(1-tech_proj!AU554))</f>
        <v>297.66299809027015</v>
      </c>
      <c r="AV2174" s="119">
        <f>IF(tech_base!$T150&gt;AV$2025,"",fuel_costs!AN$14*0.086/tech_proj!AV274/(1-tech_proj!AV554))</f>
        <v>298.71291356342471</v>
      </c>
      <c r="AW2174" s="119">
        <f>IF(tech_base!$T150&gt;AW$2025,"",fuel_costs!AO$14*0.086/tech_proj!AW274/(1-tech_proj!AW554))</f>
        <v>299.72471353687934</v>
      </c>
      <c r="AX2174" s="120">
        <f>IF(tech_base!$T150&gt;AX$2025,"",fuel_costs!AP$14*0.086/tech_proj!AX274/(1-tech_proj!AX554))</f>
        <v>301.02320527061153</v>
      </c>
    </row>
    <row r="2175" spans="1:50" x14ac:dyDescent="0.25">
      <c r="A2175" s="356"/>
      <c r="B2175" s="376"/>
      <c r="C2175" s="350"/>
      <c r="D2175" s="2" t="s">
        <v>10</v>
      </c>
      <c r="E2175" s="76" t="str">
        <f>A2165&amp;"/"&amp;B2173&amp;"/"&amp;C2173&amp;"/"&amp;D2175</f>
        <v>Diesel oil fired power plants/Gas turbine /Electricity only/S</v>
      </c>
      <c r="F2175" s="76" t="str">
        <f>A2165</f>
        <v>Diesel oil fired power plants</v>
      </c>
      <c r="G2175" s="76" t="str">
        <f>B2173</f>
        <v xml:space="preserve">Gas turbine </v>
      </c>
      <c r="H2175" s="76" t="str">
        <f>C2173</f>
        <v>Electricity only</v>
      </c>
      <c r="I2175" s="76" t="str">
        <f t="shared" si="389"/>
        <v>S</v>
      </c>
      <c r="J2175" s="119">
        <f>IF(tech_base!$T151&gt;J$2025,"",fuel_costs!B$14*0.086/tech_proj!J275/(1-tech_proj!J555))</f>
        <v>208.87707187874568</v>
      </c>
      <c r="K2175" s="119">
        <f>IF(tech_base!$T151&gt;K$2025,"",fuel_costs!C$14*0.086/tech_proj!K275/(1-tech_proj!K555))</f>
        <v>247.05115975128638</v>
      </c>
      <c r="L2175" s="119">
        <f>IF(tech_base!$T151&gt;L$2025,"",fuel_costs!D$14*0.086/tech_proj!L275/(1-tech_proj!L555))</f>
        <v>259.20304898508192</v>
      </c>
      <c r="M2175" s="119">
        <f>IF(tech_base!$T151&gt;M$2025,"",fuel_costs!E$14*0.086/tech_proj!M275/(1-tech_proj!M555))</f>
        <v>250.38110693276187</v>
      </c>
      <c r="N2175" s="119">
        <f>IF(tech_base!$T151&gt;N$2025,"",fuel_costs!F$14*0.086/tech_proj!N275/(1-tech_proj!N555))</f>
        <v>235.86966361614515</v>
      </c>
      <c r="O2175" s="119">
        <f>IF(tech_base!$T151&gt;O$2025,"",fuel_costs!G$14*0.086/tech_proj!O275/(1-tech_proj!O555))</f>
        <v>184.91373586507657</v>
      </c>
      <c r="P2175" s="119">
        <f>IF(tech_base!$T151&gt;P$2025,"",fuel_costs!H$14*0.086/tech_proj!P275/(1-tech_proj!P555))</f>
        <v>172.77545257064165</v>
      </c>
      <c r="Q2175" s="119">
        <f>IF(tech_base!$T151&gt;Q$2025,"",fuel_costs!I$14*0.086/tech_proj!Q275/(1-tech_proj!Q555))</f>
        <v>187.83084722933816</v>
      </c>
      <c r="R2175" s="119">
        <f>IF(tech_base!$T151&gt;R$2025,"",fuel_costs!J$14*0.086/tech_proj!R275/(1-tech_proj!R555))</f>
        <v>201.29608612632643</v>
      </c>
      <c r="S2175" s="119">
        <f>IF(tech_base!$T151&gt;S$2025,"",fuel_costs!K$14*0.086/tech_proj!S275/(1-tech_proj!S555))</f>
        <v>213.12974519381271</v>
      </c>
      <c r="T2175" s="119">
        <f>IF(tech_base!$T151&gt;T$2025,"",fuel_costs!L$14*0.086/tech_proj!T275/(1-tech_proj!T555))</f>
        <v>224.54794921162119</v>
      </c>
      <c r="U2175" s="119">
        <f>IF(tech_base!$T151&gt;U$2025,"",fuel_costs!M$14*0.086/tech_proj!U275/(1-tech_proj!U555))</f>
        <v>235.43447559599346</v>
      </c>
      <c r="V2175" s="119">
        <f>IF(tech_base!$T151&gt;V$2025,"",fuel_costs!N$14*0.086/tech_proj!V275/(1-tech_proj!V555))</f>
        <v>242.79741187511996</v>
      </c>
      <c r="W2175" s="119">
        <f>IF(tech_base!$T151&gt;W$2025,"",fuel_costs!O$14*0.086/tech_proj!W275/(1-tech_proj!W555))</f>
        <v>251.77366394567991</v>
      </c>
      <c r="X2175" s="119">
        <f>IF(tech_base!$T151&gt;X$2025,"",fuel_costs!P$14*0.086/tech_proj!X275/(1-tech_proj!X555))</f>
        <v>259.5880961123147</v>
      </c>
      <c r="Y2175" s="119">
        <f>IF(tech_base!$T151&gt;Y$2025,"",fuel_costs!Q$14*0.086/tech_proj!Y275/(1-tech_proj!Y555))</f>
        <v>266.247191208316</v>
      </c>
      <c r="Z2175" s="119">
        <f>IF(tech_base!$T151&gt;Z$2025,"",fuel_costs!R$14*0.086/tech_proj!Z275/(1-tech_proj!Z555))</f>
        <v>270.58920681008016</v>
      </c>
      <c r="AA2175" s="119">
        <f>IF(tech_base!$T151&gt;AA$2025,"",fuel_costs!S$14*0.086/tech_proj!AA275/(1-tech_proj!AA555))</f>
        <v>274.53966877530797</v>
      </c>
      <c r="AB2175" s="119">
        <f>IF(tech_base!$T151&gt;AB$2025,"",fuel_costs!T$14*0.086/tech_proj!AB275/(1-tech_proj!AB555))</f>
        <v>277.30715315454796</v>
      </c>
      <c r="AC2175" s="119">
        <f>IF(tech_base!$T151&gt;AC$2025,"",fuel_costs!U$14*0.086/tech_proj!AC275/(1-tech_proj!AC555))</f>
        <v>281.50576432764944</v>
      </c>
      <c r="AD2175" s="119">
        <f>IF(tech_base!$T151&gt;AD$2025,"",fuel_costs!V$14*0.086/tech_proj!AD275/(1-tech_proj!AD555))</f>
        <v>284.14772196935371</v>
      </c>
      <c r="AE2175" s="119">
        <f>IF(tech_base!$T151&gt;AE$2025,"",fuel_costs!W$14*0.086/tech_proj!AE275/(1-tech_proj!AE555))</f>
        <v>286.67836621844106</v>
      </c>
      <c r="AF2175" s="119">
        <f>IF(tech_base!$T151&gt;AF$2025,"",fuel_costs!X$14*0.086/tech_proj!AF275/(1-tech_proj!AF555))</f>
        <v>288.04864828507056</v>
      </c>
      <c r="AG2175" s="119">
        <f>IF(tech_base!$T151&gt;AG$2025,"",fuel_costs!Y$14*0.086/tech_proj!AG275/(1-tech_proj!AG555))</f>
        <v>289.58595137094107</v>
      </c>
      <c r="AH2175" s="119">
        <f>IF(tech_base!$T151&gt;AH$2025,"",fuel_costs!Z$14*0.086/tech_proj!AH275/(1-tech_proj!AH555))</f>
        <v>291.28963427647403</v>
      </c>
      <c r="AI2175" s="119">
        <f>IF(tech_base!$T151&gt;AI$2025,"",fuel_costs!AA$14*0.086/tech_proj!AI275/(1-tech_proj!AI555))</f>
        <v>293.17580624618506</v>
      </c>
      <c r="AJ2175" s="119">
        <f>IF(tech_base!$T151&gt;AJ$2025,"",fuel_costs!AB$14*0.086/tech_proj!AJ275/(1-tech_proj!AJ555))</f>
        <v>295.27778444827072</v>
      </c>
      <c r="AK2175" s="119">
        <f>IF(tech_base!$T151&gt;AK$2025,"",fuel_costs!AC$14*0.086/tech_proj!AK275/(1-tech_proj!AK555))</f>
        <v>297.63684390833527</v>
      </c>
      <c r="AL2175" s="119">
        <f>IF(tech_base!$T151&gt;AL$2025,"",fuel_costs!AD$14*0.086/tech_proj!AL275/(1-tech_proj!AL555))</f>
        <v>300.17360518430331</v>
      </c>
      <c r="AM2175" s="119">
        <f>IF(tech_base!$T151&gt;AM$2025,"",fuel_costs!AE$14*0.086/tech_proj!AM275/(1-tech_proj!AM555))</f>
        <v>302.79060473556115</v>
      </c>
      <c r="AN2175" s="119">
        <f>IF(tech_base!$T151&gt;AN$2025,"",fuel_costs!AF$14*0.086/tech_proj!AN275/(1-tech_proj!AN555))</f>
        <v>305.4556433316277</v>
      </c>
      <c r="AO2175" s="119">
        <f>IF(tech_base!$T151&gt;AO$2025,"",fuel_costs!AG$14*0.086/tech_proj!AO275/(1-tech_proj!AO555))</f>
        <v>305.85271800609428</v>
      </c>
      <c r="AP2175" s="119">
        <f>IF(tech_base!$T151&gt;AP$2025,"",fuel_costs!AH$14*0.086/tech_proj!AP275/(1-tech_proj!AP555))</f>
        <v>306.85459091873861</v>
      </c>
      <c r="AQ2175" s="119">
        <f>IF(tech_base!$T151&gt;AQ$2025,"",fuel_costs!AI$14*0.086/tech_proj!AQ275/(1-tech_proj!AQ555))</f>
        <v>307.90747629819072</v>
      </c>
      <c r="AR2175" s="119">
        <f>IF(tech_base!$T151&gt;AR$2025,"",fuel_costs!AJ$14*0.086/tech_proj!AR275/(1-tech_proj!AR555))</f>
        <v>310.00397570629116</v>
      </c>
      <c r="AS2175" s="119">
        <f>IF(tech_base!$T151&gt;AS$2025,"",fuel_costs!AK$14*0.086/tech_proj!AS275/(1-tech_proj!AS555))</f>
        <v>311.16877702497902</v>
      </c>
      <c r="AT2175" s="119">
        <f>IF(tech_base!$T151&gt;AT$2025,"",fuel_costs!AL$14*0.086/tech_proj!AT275/(1-tech_proj!AT555))</f>
        <v>312.33137399231811</v>
      </c>
      <c r="AU2175" s="119">
        <f>IF(tech_base!$T151&gt;AU$2025,"",fuel_costs!AM$14*0.086/tech_proj!AU275/(1-tech_proj!AU555))</f>
        <v>313.47070820638123</v>
      </c>
      <c r="AV2175" s="119">
        <f>IF(tech_base!$T151&gt;AV$2025,"",fuel_costs!AN$14*0.086/tech_proj!AV275/(1-tech_proj!AV555))</f>
        <v>314.5755515139906</v>
      </c>
      <c r="AW2175" s="119">
        <f>IF(tech_base!$T151&gt;AW$2025,"",fuel_costs!AO$14*0.086/tech_proj!AW275/(1-tech_proj!AW555))</f>
        <v>315.63758983310646</v>
      </c>
      <c r="AX2175" s="120">
        <f>IF(tech_base!$T151&gt;AX$2025,"",fuel_costs!AP$14*0.086/tech_proj!AX275/(1-tech_proj!AX555))</f>
        <v>316.99889383349648</v>
      </c>
    </row>
    <row r="2176" spans="1:50" x14ac:dyDescent="0.25">
      <c r="A2176" s="356"/>
      <c r="B2176" s="376"/>
      <c r="C2176" s="360"/>
      <c r="D2176" s="2" t="s">
        <v>20</v>
      </c>
      <c r="E2176" s="76" t="str">
        <f>A2165&amp;"/"&amp;B2173&amp;"/"&amp;C2173&amp;"/"&amp;D2176</f>
        <v>Diesel oil fired power plants/Gas turbine /Electricity only/XS</v>
      </c>
      <c r="F2176" s="76" t="str">
        <f>A2165</f>
        <v>Diesel oil fired power plants</v>
      </c>
      <c r="G2176" s="76" t="str">
        <f>B2173</f>
        <v xml:space="preserve">Gas turbine </v>
      </c>
      <c r="H2176" s="76" t="str">
        <f>C2173</f>
        <v>Electricity only</v>
      </c>
      <c r="I2176" s="76" t="str">
        <f t="shared" si="389"/>
        <v>XS</v>
      </c>
      <c r="J2176" s="119">
        <f>IF(tech_base!$T152&gt;J$2025,"",fuel_costs!B$14*0.086/tech_proj!J276/(1-tech_proj!J556))</f>
        <v>219.68371669669702</v>
      </c>
      <c r="K2176" s="119">
        <f>IF(tech_base!$T152&gt;K$2025,"",fuel_costs!C$14*0.086/tech_proj!K276/(1-tech_proj!K556))</f>
        <v>259.83492682797265</v>
      </c>
      <c r="L2176" s="119">
        <f>IF(tech_base!$T152&gt;L$2025,"",fuel_costs!D$14*0.086/tech_proj!L276/(1-tech_proj!L556))</f>
        <v>272.61805844324999</v>
      </c>
      <c r="M2176" s="119">
        <f>IF(tech_base!$T152&gt;M$2025,"",fuel_costs!E$14*0.086/tech_proj!M276/(1-tech_proj!M556))</f>
        <v>263.34212396289882</v>
      </c>
      <c r="N2176" s="119">
        <f>IF(tech_base!$T152&gt;N$2025,"",fuel_costs!F$14*0.086/tech_proj!N276/(1-tech_proj!N556))</f>
        <v>248.08216640528596</v>
      </c>
      <c r="O2176" s="119">
        <f>IF(tech_base!$T152&gt;O$2025,"",fuel_costs!G$14*0.086/tech_proj!O276/(1-tech_proj!O556))</f>
        <v>194.49021735727507</v>
      </c>
      <c r="P2176" s="119">
        <f>IF(tech_base!$T152&gt;P$2025,"",fuel_costs!H$14*0.086/tech_proj!P276/(1-tech_proj!P556))</f>
        <v>181.72565766922224</v>
      </c>
      <c r="Q2176" s="119">
        <f>IF(tech_base!$T152&gt;Q$2025,"",fuel_costs!I$14*0.086/tech_proj!Q276/(1-tech_proj!Q556))</f>
        <v>197.56375882681627</v>
      </c>
      <c r="R2176" s="119">
        <f>IF(tech_base!$T152&gt;R$2025,"",fuel_costs!J$14*0.086/tech_proj!R276/(1-tech_proj!R556))</f>
        <v>211.73001196888239</v>
      </c>
      <c r="S2176" s="119">
        <f>IF(tech_base!$T152&gt;S$2025,"",fuel_costs!K$14*0.086/tech_proj!S276/(1-tech_proj!S556))</f>
        <v>224.18084726836312</v>
      </c>
      <c r="T2176" s="119">
        <f>IF(tech_base!$T152&gt;T$2025,"",fuel_costs!L$14*0.086/tech_proj!T276/(1-tech_proj!T556))</f>
        <v>236.1954630354204</v>
      </c>
      <c r="U2176" s="119">
        <f>IF(tech_base!$T152&gt;U$2025,"",fuel_costs!M$14*0.086/tech_proj!U276/(1-tech_proj!U556))</f>
        <v>247.65166490641278</v>
      </c>
      <c r="V2176" s="119">
        <f>IF(tech_base!$T152&gt;V$2025,"",fuel_costs!N$14*0.086/tech_proj!V276/(1-tech_proj!V556))</f>
        <v>255.40226777517523</v>
      </c>
      <c r="W2176" s="119">
        <f>IF(tech_base!$T152&gt;W$2025,"",fuel_costs!O$14*0.086/tech_proj!W276/(1-tech_proj!W556))</f>
        <v>264.85081698657444</v>
      </c>
      <c r="X2176" s="119">
        <f>IF(tech_base!$T152&gt;X$2025,"",fuel_costs!P$14*0.086/tech_proj!X276/(1-tech_proj!X556))</f>
        <v>273.07816703423862</v>
      </c>
      <c r="Y2176" s="119">
        <f>IF(tech_base!$T152&gt;Y$2025,"",fuel_costs!Q$14*0.086/tech_proj!Y276/(1-tech_proj!Y556))</f>
        <v>280.09112422291668</v>
      </c>
      <c r="Z2176" s="119">
        <f>IF(tech_base!$T152&gt;Z$2025,"",fuel_costs!R$14*0.086/tech_proj!Z276/(1-tech_proj!Z556))</f>
        <v>284.66747606620459</v>
      </c>
      <c r="AA2176" s="119">
        <f>IF(tech_base!$T152&gt;AA$2025,"",fuel_costs!S$14*0.086/tech_proj!AA276/(1-tech_proj!AA556))</f>
        <v>288.83283413089146</v>
      </c>
      <c r="AB2176" s="119">
        <f>IF(tech_base!$T152&gt;AB$2025,"",fuel_costs!T$14*0.086/tech_proj!AB276/(1-tech_proj!AB556))</f>
        <v>291.75455584692372</v>
      </c>
      <c r="AC2176" s="119">
        <f>IF(tech_base!$T152&gt;AC$2025,"",fuel_costs!U$14*0.086/tech_proj!AC276/(1-tech_proj!AC556))</f>
        <v>296.18295100006497</v>
      </c>
      <c r="AD2176" s="119">
        <f>IF(tech_base!$T152&gt;AD$2025,"",fuel_costs!V$14*0.086/tech_proj!AD276/(1-tech_proj!AD556))</f>
        <v>298.97455165127093</v>
      </c>
      <c r="AE2176" s="119">
        <f>IF(tech_base!$T152&gt;AE$2025,"",fuel_costs!W$14*0.086/tech_proj!AE276/(1-tech_proj!AE556))</f>
        <v>301.65001072455277</v>
      </c>
      <c r="AF2176" s="119">
        <f>IF(tech_base!$T152&gt;AF$2025,"",fuel_costs!X$14*0.086/tech_proj!AF276/(1-tech_proj!AF556))</f>
        <v>303.10544389202772</v>
      </c>
      <c r="AG2176" s="119">
        <f>IF(tech_base!$T152&gt;AG$2025,"",fuel_costs!Y$14*0.086/tech_proj!AG276/(1-tech_proj!AG556))</f>
        <v>304.73751382210315</v>
      </c>
      <c r="AH2176" s="119">
        <f>IF(tech_base!$T152&gt;AH$2025,"",fuel_costs!Z$14*0.086/tech_proj!AH276/(1-tech_proj!AH556))</f>
        <v>306.54554972867595</v>
      </c>
      <c r="AI2176" s="119">
        <f>IF(tech_base!$T152&gt;AI$2025,"",fuel_costs!AA$14*0.086/tech_proj!AI276/(1-tech_proj!AI556))</f>
        <v>308.54649391405258</v>
      </c>
      <c r="AJ2176" s="119">
        <f>IF(tech_base!$T152&gt;AJ$2025,"",fuel_costs!AB$14*0.086/tech_proj!AJ276/(1-tech_proj!AJ556))</f>
        <v>310.77538502445753</v>
      </c>
      <c r="AK2176" s="119">
        <f>IF(tech_base!$T152&gt;AK$2025,"",fuel_costs!AC$14*0.086/tech_proj!AK276/(1-tech_proj!AK556))</f>
        <v>313.27562423650312</v>
      </c>
      <c r="AL2176" s="119">
        <f>IF(tech_base!$T152&gt;AL$2025,"",fuel_costs!AD$14*0.086/tech_proj!AL276/(1-tech_proj!AL556))</f>
        <v>315.96359736855447</v>
      </c>
      <c r="AM2176" s="119">
        <f>IF(tech_base!$T152&gt;AM$2025,"",fuel_costs!AE$14*0.086/tech_proj!AM276/(1-tech_proj!AM556))</f>
        <v>318.73660781000638</v>
      </c>
      <c r="AN2176" s="119">
        <f>IF(tech_base!$T152&gt;AN$2025,"",fuel_costs!AF$14*0.086/tech_proj!AN276/(1-tech_proj!AN556))</f>
        <v>321.56061082362714</v>
      </c>
      <c r="AO2176" s="119">
        <f>IF(tech_base!$T152&gt;AO$2025,"",fuel_costs!AG$14*0.086/tech_proj!AO276/(1-tech_proj!AO556))</f>
        <v>321.99716814029148</v>
      </c>
      <c r="AP2176" s="119">
        <f>IF(tech_base!$T152&gt;AP$2025,"",fuel_costs!AH$14*0.086/tech_proj!AP276/(1-tech_proj!AP556))</f>
        <v>323.07022155712292</v>
      </c>
      <c r="AQ2176" s="119">
        <f>IF(tech_base!$T152&gt;AQ$2025,"",fuel_costs!AI$14*0.086/tech_proj!AQ276/(1-tech_proj!AQ556))</f>
        <v>324.19655153382701</v>
      </c>
      <c r="AR2176" s="119">
        <f>IF(tech_base!$T152&gt;AR$2025,"",fuel_costs!AJ$14*0.086/tech_proj!AR276/(1-tech_proj!AR556))</f>
        <v>326.42106856036861</v>
      </c>
      <c r="AS2176" s="119">
        <f>IF(tech_base!$T152&gt;AS$2025,"",fuel_costs!AK$14*0.086/tech_proj!AS276/(1-tech_proj!AS556))</f>
        <v>327.66363096545172</v>
      </c>
      <c r="AT2176" s="119">
        <f>IF(tech_base!$T152&gt;AT$2025,"",fuel_costs!AL$14*0.086/tech_proj!AT276/(1-tech_proj!AT556))</f>
        <v>328.90261223846306</v>
      </c>
      <c r="AU2176" s="119">
        <f>IF(tech_base!$T152&gt;AU$2025,"",fuel_costs!AM$14*0.086/tech_proj!AU276/(1-tech_proj!AU556))</f>
        <v>330.11554192865054</v>
      </c>
      <c r="AV2176" s="119">
        <f>IF(tech_base!$T152&gt;AV$2025,"",fuel_costs!AN$14*0.086/tech_proj!AV276/(1-tech_proj!AV556))</f>
        <v>331.2903073324394</v>
      </c>
      <c r="AW2176" s="119">
        <f>IF(tech_base!$T152&gt;AW$2025,"",fuel_costs!AO$14*0.086/tech_proj!AW276/(1-tech_proj!AW556))</f>
        <v>332.41788256518589</v>
      </c>
      <c r="AX2176" s="120">
        <f>IF(tech_base!$T152&gt;AX$2025,"",fuel_costs!AP$14*0.086/tech_proj!AX276/(1-tech_proj!AX556))</f>
        <v>333.85829091398813</v>
      </c>
    </row>
    <row r="2177" spans="1:50" x14ac:dyDescent="0.25">
      <c r="A2177" s="356"/>
      <c r="B2177" s="376"/>
      <c r="C2177" s="361" t="s">
        <v>14</v>
      </c>
      <c r="D2177" s="58" t="s">
        <v>7</v>
      </c>
      <c r="E2177" s="78" t="str">
        <f>A2165&amp;"/"&amp;B2173&amp;"/"&amp;C2177&amp;"/"&amp;D2177</f>
        <v>Diesel oil fired power plants/Gas turbine /CHP/L</v>
      </c>
      <c r="F2177" s="78" t="str">
        <f>A2165</f>
        <v>Diesel oil fired power plants</v>
      </c>
      <c r="G2177" s="78" t="str">
        <f>B2173</f>
        <v xml:space="preserve">Gas turbine </v>
      </c>
      <c r="H2177" s="78" t="str">
        <f>C2177</f>
        <v>CHP</v>
      </c>
      <c r="I2177" s="78" t="str">
        <f t="shared" si="389"/>
        <v>L</v>
      </c>
      <c r="J2177" s="123">
        <f>IF(tech_base!$T153&gt;J$2025,"",fuel_costs!B$14*0.086/tech_proj!J277/(1-tech_proj!J557))</f>
        <v>208.3878206093313</v>
      </c>
      <c r="K2177" s="123">
        <f>IF(tech_base!$T153&gt;K$2025,"",fuel_costs!C$14*0.086/tech_proj!K277/(1-tech_proj!K557))</f>
        <v>246.47078924851726</v>
      </c>
      <c r="L2177" s="123">
        <f>IF(tech_base!$T153&gt;L$2025,"",fuel_costs!D$14*0.086/tech_proj!L277/(1-tech_proj!L557))</f>
        <v>258.59217411319548</v>
      </c>
      <c r="M2177" s="123">
        <f>IF(tech_base!$T153&gt;M$2025,"",fuel_costs!E$14*0.086/tech_proj!M277/(1-tech_proj!M557))</f>
        <v>249.78895579252733</v>
      </c>
      <c r="N2177" s="123">
        <f>IF(tech_base!$T153&gt;N$2025,"",fuel_costs!F$14*0.086/tech_proj!N277/(1-tech_proj!N557))</f>
        <v>235.30970491727584</v>
      </c>
      <c r="O2177" s="123">
        <f>IF(tech_base!$T153&gt;O$2025,"",fuel_costs!G$14*0.086/tech_proj!O277/(1-tech_proj!O557))</f>
        <v>184.47292829413757</v>
      </c>
      <c r="P2177" s="123">
        <f>IF(tech_base!$T153&gt;P$2025,"",fuel_costs!H$14*0.086/tech_proj!P277/(1-tech_proj!P557))</f>
        <v>172.36172924149628</v>
      </c>
      <c r="Q2177" s="123">
        <f>IF(tech_base!$T153&gt;Q$2025,"",fuel_costs!I$14*0.086/tech_proj!Q277/(1-tech_proj!Q557))</f>
        <v>187.37888299136247</v>
      </c>
      <c r="R2177" s="123">
        <f>IF(tech_base!$T153&gt;R$2025,"",fuel_costs!J$14*0.086/tech_proj!R277/(1-tech_proj!R557))</f>
        <v>200.80917307927669</v>
      </c>
      <c r="S2177" s="123">
        <f>IF(tech_base!$T153&gt;S$2025,"",fuel_costs!K$14*0.086/tech_proj!S277/(1-tech_proj!S557))</f>
        <v>212.61128314023298</v>
      </c>
      <c r="T2177" s="123">
        <f>IF(tech_base!$T153&gt;T$2025,"",fuel_costs!L$14*0.086/tech_proj!T277/(1-tech_proj!T557))</f>
        <v>223.99837777712659</v>
      </c>
      <c r="U2177" s="123">
        <f>IF(tech_base!$T153&gt;U$2025,"",fuel_costs!M$14*0.086/tech_proj!U277/(1-tech_proj!U557))</f>
        <v>234.85448764455711</v>
      </c>
      <c r="V2177" s="123">
        <f>IF(tech_base!$T153&gt;V$2025,"",fuel_costs!N$14*0.086/tech_proj!V277/(1-tech_proj!V557))</f>
        <v>242.19509703196798</v>
      </c>
      <c r="W2177" s="123">
        <f>IF(tech_base!$T153&gt;W$2025,"",fuel_costs!O$14*0.086/tech_proj!W277/(1-tech_proj!W557))</f>
        <v>251.14441791799416</v>
      </c>
      <c r="X2177" s="123">
        <f>IF(tech_base!$T153&gt;X$2025,"",fuel_costs!P$14*0.086/tech_proj!X277/(1-tech_proj!X557))</f>
        <v>258.93417266117518</v>
      </c>
      <c r="Y2177" s="123">
        <f>IF(tech_base!$T153&gt;Y$2025,"",fuel_costs!Q$14*0.086/tech_proj!Y277/(1-tech_proj!Y557))</f>
        <v>265.57086051216874</v>
      </c>
      <c r="Z2177" s="123">
        <f>IF(tech_base!$T153&gt;Z$2025,"",fuel_costs!R$14*0.086/tech_proj!Z277/(1-tech_proj!Z557))</f>
        <v>269.89576164671718</v>
      </c>
      <c r="AA2177" s="123">
        <f>IF(tech_base!$T153&gt;AA$2025,"",fuel_costs!S$14*0.086/tech_proj!AA277/(1-tech_proj!AA557))</f>
        <v>273.82956427476302</v>
      </c>
      <c r="AB2177" s="123">
        <f>IF(tech_base!$T153&gt;AB$2025,"",fuel_costs!T$14*0.086/tech_proj!AB277/(1-tech_proj!AB557))</f>
        <v>276.58293400770538</v>
      </c>
      <c r="AC2177" s="123">
        <f>IF(tech_base!$T153&gt;AC$2025,"",fuel_costs!U$14*0.086/tech_proj!AC277/(1-tech_proj!AC557))</f>
        <v>280.76317574964037</v>
      </c>
      <c r="AD2177" s="123">
        <f>IF(tech_base!$T153&gt;AD$2025,"",fuel_costs!V$14*0.086/tech_proj!AD277/(1-tech_proj!AD557))</f>
        <v>283.39037177970971</v>
      </c>
      <c r="AE2177" s="123">
        <f>IF(tech_base!$T153&gt;AE$2025,"",fuel_costs!W$14*0.086/tech_proj!AE277/(1-tech_proj!AE557))</f>
        <v>285.90612528279166</v>
      </c>
      <c r="AF2177" s="123">
        <f>IF(tech_base!$T153&gt;AF$2025,"",fuel_costs!X$14*0.086/tech_proj!AF277/(1-tech_proj!AF557))</f>
        <v>287.26429497379462</v>
      </c>
      <c r="AG2177" s="123">
        <f>IF(tech_base!$T153&gt;AG$2025,"",fuel_costs!Y$14*0.086/tech_proj!AG277/(1-tech_proj!AG557))</f>
        <v>288.78876931639553</v>
      </c>
      <c r="AH2177" s="123">
        <f>IF(tech_base!$T153&gt;AH$2025,"",fuel_costs!Z$14*0.086/tech_proj!AH277/(1-tech_proj!AH557))</f>
        <v>290.47896556224453</v>
      </c>
      <c r="AI2177" s="123">
        <f>IF(tech_base!$T153&gt;AI$2025,"",fuel_costs!AA$14*0.086/tech_proj!AI277/(1-tech_proj!AI557))</f>
        <v>292.35101889696796</v>
      </c>
      <c r="AJ2177" s="123">
        <f>IF(tech_base!$T153&gt;AJ$2025,"",fuel_costs!AB$14*0.086/tech_proj!AJ277/(1-tech_proj!AJ557))</f>
        <v>294.4382368228172</v>
      </c>
      <c r="AK2177" s="123">
        <f>IF(tech_base!$T153&gt;AK$2025,"",fuel_costs!AC$14*0.086/tech_proj!AK277/(1-tech_proj!AK557))</f>
        <v>296.78187349621493</v>
      </c>
      <c r="AL2177" s="123">
        <f>IF(tech_base!$T153&gt;AL$2025,"",fuel_costs!AD$14*0.086/tech_proj!AL277/(1-tech_proj!AL557))</f>
        <v>299.3028894278624</v>
      </c>
      <c r="AM2177" s="123">
        <f>IF(tech_base!$T153&gt;AM$2025,"",fuel_costs!AE$14*0.086/tech_proj!AM277/(1-tech_proj!AM557))</f>
        <v>301.90423744752781</v>
      </c>
      <c r="AN2177" s="123">
        <f>IF(tech_base!$T153&gt;AN$2025,"",fuel_costs!AF$14*0.086/tech_proj!AN277/(1-tech_proj!AN557))</f>
        <v>304.55396422425883</v>
      </c>
      <c r="AO2177" s="123">
        <f>IF(tech_base!$T153&gt;AO$2025,"",fuel_costs!AG$14*0.086/tech_proj!AO277/(1-tech_proj!AO557))</f>
        <v>304.94311594120302</v>
      </c>
      <c r="AP2177" s="123">
        <f>IF(tech_base!$T153&gt;AP$2025,"",fuel_costs!AH$14*0.086/tech_proj!AP277/(1-tech_proj!AP557))</f>
        <v>305.93615407433384</v>
      </c>
      <c r="AQ2177" s="123">
        <f>IF(tech_base!$T153&gt;AQ$2025,"",fuel_costs!AI$14*0.086/tech_proj!AQ277/(1-tech_proj!AQ557))</f>
        <v>306.98107275228477</v>
      </c>
      <c r="AR2177" s="123">
        <f>IF(tech_base!$T153&gt;AR$2025,"",fuel_costs!AJ$14*0.086/tech_proj!AR277/(1-tech_proj!AR557))</f>
        <v>309.06761067673006</v>
      </c>
      <c r="AS2177" s="123">
        <f>IF(tech_base!$T153&gt;AS$2025,"",fuel_costs!AK$14*0.086/tech_proj!AS277/(1-tech_proj!AS557))</f>
        <v>310.22653435860394</v>
      </c>
      <c r="AT2177" s="123">
        <f>IF(tech_base!$T153&gt;AT$2025,"",fuel_costs!AL$14*0.086/tech_proj!AT277/(1-tech_proj!AT557))</f>
        <v>311.38464141137314</v>
      </c>
      <c r="AU2177" s="123">
        <f>IF(tech_base!$T153&gt;AU$2025,"",fuel_costs!AM$14*0.086/tech_proj!AU277/(1-tech_proj!AU557))</f>
        <v>312.52101016329317</v>
      </c>
      <c r="AV2177" s="123">
        <f>IF(tech_base!$T153&gt;AV$2025,"",fuel_costs!AN$14*0.086/tech_proj!AV277/(1-tech_proj!AV557))</f>
        <v>313.62448712327563</v>
      </c>
      <c r="AW2177" s="123">
        <f>IF(tech_base!$T153&gt;AW$2025,"",fuel_costs!AO$14*0.086/tech_proj!AW277/(1-tech_proj!AW557))</f>
        <v>314.68678813346997</v>
      </c>
      <c r="AX2177" s="124">
        <f>IF(tech_base!$T153&gt;AX$2025,"",fuel_costs!AP$14*0.086/tech_proj!AX277/(1-tech_proj!AX557))</f>
        <v>316.04892598573008</v>
      </c>
    </row>
    <row r="2178" spans="1:50" x14ac:dyDescent="0.25">
      <c r="A2178" s="356"/>
      <c r="B2178" s="376"/>
      <c r="C2178" s="378"/>
      <c r="D2178" s="2" t="s">
        <v>8</v>
      </c>
      <c r="E2178" s="76" t="str">
        <f>A2165&amp;"/"&amp;B2173&amp;"/"&amp;C2177&amp;"/"&amp;D2178</f>
        <v>Diesel oil fired power plants/Gas turbine /CHP/M</v>
      </c>
      <c r="F2178" s="76" t="str">
        <f>A2165</f>
        <v>Diesel oil fired power plants</v>
      </c>
      <c r="G2178" s="76" t="str">
        <f>B2173</f>
        <v xml:space="preserve">Gas turbine </v>
      </c>
      <c r="H2178" s="76" t="str">
        <f>C2177</f>
        <v>CHP</v>
      </c>
      <c r="I2178" s="76" t="str">
        <f t="shared" si="389"/>
        <v>M</v>
      </c>
      <c r="J2178" s="119">
        <f>IF(tech_base!$T154&gt;J$2025,"",fuel_costs!B$14*0.086/tech_proj!J278/(1-tech_proj!J558))</f>
        <v>219.16830392857594</v>
      </c>
      <c r="K2178" s="119">
        <f>IF(tech_base!$T154&gt;K$2025,"",fuel_costs!C$14*0.086/tech_proj!K278/(1-tech_proj!K558))</f>
        <v>259.2206024766603</v>
      </c>
      <c r="L2178" s="119">
        <f>IF(tech_base!$T154&gt;L$2025,"",fuel_costs!D$14*0.086/tech_proj!L278/(1-tech_proj!L558))</f>
        <v>271.96809050109192</v>
      </c>
      <c r="M2178" s="119">
        <f>IF(tech_base!$T154&gt;M$2025,"",fuel_costs!E$14*0.086/tech_proj!M278/(1-tech_proj!M558))</f>
        <v>262.70853300362984</v>
      </c>
      <c r="N2178" s="119">
        <f>IF(tech_base!$T154&gt;N$2025,"",fuel_costs!F$14*0.086/tech_proj!N278/(1-tech_proj!N558))</f>
        <v>247.47937104150554</v>
      </c>
      <c r="O2178" s="119">
        <f>IF(tech_base!$T154&gt;O$2025,"",fuel_costs!G$14*0.086/tech_proj!O278/(1-tech_proj!O558))</f>
        <v>194.01256450458629</v>
      </c>
      <c r="P2178" s="119">
        <f>IF(tech_base!$T154&gt;P$2025,"",fuel_costs!H$14*0.086/tech_proj!P278/(1-tech_proj!P558))</f>
        <v>181.27417047522596</v>
      </c>
      <c r="Q2178" s="119">
        <f>IF(tech_base!$T154&gt;Q$2025,"",fuel_costs!I$14*0.086/tech_proj!Q278/(1-tech_proj!Q558))</f>
        <v>197.06677252202417</v>
      </c>
      <c r="R2178" s="119">
        <f>IF(tech_base!$T154&gt;R$2025,"",fuel_costs!J$14*0.086/tech_proj!R278/(1-tech_proj!R558))</f>
        <v>211.1902045719219</v>
      </c>
      <c r="S2178" s="119">
        <f>IF(tech_base!$T154&gt;S$2025,"",fuel_costs!K$14*0.086/tech_proj!S278/(1-tech_proj!S558))</f>
        <v>223.60101572969631</v>
      </c>
      <c r="T2178" s="119">
        <f>IF(tech_base!$T154&gt;T$2025,"",fuel_costs!L$14*0.086/tech_proj!T278/(1-tech_proj!T558))</f>
        <v>235.57507464582909</v>
      </c>
      <c r="U2178" s="119">
        <f>IF(tech_base!$T154&gt;U$2025,"",fuel_costs!M$14*0.086/tech_proj!U278/(1-tech_proj!U558))</f>
        <v>246.99039991948845</v>
      </c>
      <c r="V2178" s="119">
        <f>IF(tech_base!$T154&gt;V$2025,"",fuel_costs!N$14*0.086/tech_proj!V278/(1-tech_proj!V558))</f>
        <v>254.70826247702013</v>
      </c>
      <c r="W2178" s="119">
        <f>IF(tech_base!$T154&gt;W$2025,"",fuel_costs!O$14*0.086/tech_proj!W278/(1-tech_proj!W558))</f>
        <v>264.11763975887771</v>
      </c>
      <c r="X2178" s="119">
        <f>IF(tech_base!$T154&gt;X$2025,"",fuel_costs!P$14*0.086/tech_proj!X278/(1-tech_proj!X558))</f>
        <v>272.30721078007019</v>
      </c>
      <c r="Y2178" s="119">
        <f>IF(tech_base!$T154&gt;Y$2025,"",fuel_costs!Q$14*0.086/tech_proj!Y278/(1-tech_proj!Y558))</f>
        <v>279.28382030901219</v>
      </c>
      <c r="Z2178" s="119">
        <f>IF(tech_base!$T154&gt;Z$2025,"",fuel_costs!R$14*0.086/tech_proj!Z278/(1-tech_proj!Z558))</f>
        <v>283.82894571345378</v>
      </c>
      <c r="AA2178" s="119">
        <f>IF(tech_base!$T154&gt;AA$2025,"",fuel_costs!S$14*0.086/tech_proj!AA278/(1-tech_proj!AA558))</f>
        <v>287.96247021746501</v>
      </c>
      <c r="AB2178" s="119">
        <f>IF(tech_base!$T154&gt;AB$2025,"",fuel_costs!T$14*0.086/tech_proj!AB278/(1-tech_proj!AB558))</f>
        <v>290.85433247549304</v>
      </c>
      <c r="AC2178" s="119">
        <f>IF(tech_base!$T154&gt;AC$2025,"",fuel_costs!U$14*0.086/tech_proj!AC278/(1-tech_proj!AC558))</f>
        <v>295.24637460639372</v>
      </c>
      <c r="AD2178" s="119">
        <f>IF(tech_base!$T154&gt;AD$2025,"",fuel_costs!V$14*0.086/tech_proj!AD278/(1-tech_proj!AD558))</f>
        <v>298.00493641648114</v>
      </c>
      <c r="AE2178" s="119">
        <f>IF(tech_base!$T154&gt;AE$2025,"",fuel_costs!W$14*0.086/tech_proj!AE278/(1-tech_proj!AE558))</f>
        <v>300.64601146521579</v>
      </c>
      <c r="AF2178" s="119">
        <f>IF(tech_base!$T154&gt;AF$2025,"",fuel_costs!X$14*0.086/tech_proj!AF278/(1-tech_proj!AF558))</f>
        <v>302.06955188647999</v>
      </c>
      <c r="AG2178" s="119">
        <f>IF(tech_base!$T154&gt;AG$2025,"",fuel_costs!Y$14*0.086/tech_proj!AG278/(1-tech_proj!AG558))</f>
        <v>303.66772455533908</v>
      </c>
      <c r="AH2178" s="119">
        <f>IF(tech_base!$T154&gt;AH$2025,"",fuel_costs!Z$14*0.086/tech_proj!AH278/(1-tech_proj!AH558))</f>
        <v>305.4399268157884</v>
      </c>
      <c r="AI2178" s="119">
        <f>IF(tech_base!$T154&gt;AI$2025,"",fuel_costs!AA$14*0.086/tech_proj!AI278/(1-tech_proj!AI558))</f>
        <v>307.40314065955869</v>
      </c>
      <c r="AJ2178" s="119">
        <f>IF(tech_base!$T154&gt;AJ$2025,"",fuel_costs!AB$14*0.086/tech_proj!AJ278/(1-tech_proj!AJ558))</f>
        <v>309.59240963251023</v>
      </c>
      <c r="AK2178" s="119">
        <f>IF(tech_base!$T154&gt;AK$2025,"",fuel_costs!AC$14*0.086/tech_proj!AK278/(1-tech_proj!AK558))</f>
        <v>312.05113744694887</v>
      </c>
      <c r="AL2178" s="119">
        <f>IF(tech_base!$T154&gt;AL$2025,"",fuel_costs!AD$14*0.086/tech_proj!AL278/(1-tech_proj!AL558))</f>
        <v>314.6962518624693</v>
      </c>
      <c r="AM2178" s="119">
        <f>IF(tech_base!$T154&gt;AM$2025,"",fuel_costs!AE$14*0.086/tech_proj!AM278/(1-tech_proj!AM558))</f>
        <v>317.42576094207072</v>
      </c>
      <c r="AN2178" s="119">
        <f>IF(tech_base!$T154&gt;AN$2025,"",fuel_costs!AF$14*0.086/tech_proj!AN278/(1-tech_proj!AN558))</f>
        <v>320.20612703746588</v>
      </c>
      <c r="AO2178" s="119">
        <f>IF(tech_base!$T154&gt;AO$2025,"",fuel_costs!AG$14*0.086/tech_proj!AO278/(1-tech_proj!AO558))</f>
        <v>320.60983867834108</v>
      </c>
      <c r="AP2178" s="119">
        <f>IF(tech_base!$T154&gt;AP$2025,"",fuel_costs!AH$14*0.086/tech_proj!AP278/(1-tech_proj!AP558))</f>
        <v>321.648664212548</v>
      </c>
      <c r="AQ2178" s="119">
        <f>IF(tech_base!$T154&gt;AQ$2025,"",fuel_costs!AI$14*0.086/tech_proj!AQ278/(1-tech_proj!AQ558))</f>
        <v>322.74230076257658</v>
      </c>
      <c r="AR2178" s="119">
        <f>IF(tech_base!$T154&gt;AR$2025,"",fuel_costs!AJ$14*0.086/tech_proj!AR278/(1-tech_proj!AR558))</f>
        <v>324.93136229981775</v>
      </c>
      <c r="AS2178" s="119">
        <f>IF(tech_base!$T154&gt;AS$2025,"",fuel_costs!AK$14*0.086/tech_proj!AS278/(1-tech_proj!AS558))</f>
        <v>326.14559927797939</v>
      </c>
      <c r="AT2178" s="119">
        <f>IF(tech_base!$T154&gt;AT$2025,"",fuel_costs!AL$14*0.086/tech_proj!AT278/(1-tech_proj!AT558))</f>
        <v>327.35946710505829</v>
      </c>
      <c r="AU2178" s="119">
        <f>IF(tech_base!$T154&gt;AU$2025,"",fuel_costs!AM$14*0.086/tech_proj!AU278/(1-tech_proj!AU558))</f>
        <v>328.55103908332472</v>
      </c>
      <c r="AV2178" s="119">
        <f>IF(tech_base!$T154&gt;AV$2025,"",fuel_costs!AN$14*0.086/tech_proj!AV278/(1-tech_proj!AV558))</f>
        <v>329.70865054681855</v>
      </c>
      <c r="AW2178" s="119">
        <f>IF(tech_base!$T154&gt;AW$2025,"",fuel_costs!AO$14*0.086/tech_proj!AW278/(1-tech_proj!AW558))</f>
        <v>330.82364335584776</v>
      </c>
      <c r="AX2178" s="120">
        <f>IF(tech_base!$T154&gt;AX$2025,"",fuel_costs!AP$14*0.086/tech_proj!AX278/(1-tech_proj!AX558))</f>
        <v>332.25455465929144</v>
      </c>
    </row>
    <row r="2179" spans="1:50" x14ac:dyDescent="0.25">
      <c r="A2179" s="356"/>
      <c r="B2179" s="376"/>
      <c r="C2179" s="378"/>
      <c r="D2179" s="2" t="s">
        <v>10</v>
      </c>
      <c r="E2179" s="76" t="str">
        <f>A2165&amp;"/"&amp;B2173&amp;"/"&amp;C2177&amp;"/"&amp;D2179</f>
        <v>Diesel oil fired power plants/Gas turbine /CHP/S</v>
      </c>
      <c r="F2179" s="76" t="str">
        <f>A2165</f>
        <v>Diesel oil fired power plants</v>
      </c>
      <c r="G2179" s="76" t="str">
        <f>B2173</f>
        <v xml:space="preserve">Gas turbine </v>
      </c>
      <c r="H2179" s="76" t="str">
        <f>C2177</f>
        <v>CHP</v>
      </c>
      <c r="I2179" s="76" t="str">
        <f t="shared" si="389"/>
        <v>S</v>
      </c>
      <c r="J2179" s="119">
        <f>IF(tech_base!$T155&gt;J$2025,"",fuel_costs!B$14*0.086/tech_proj!J279/(1-tech_proj!J559))</f>
        <v>230.52617252404013</v>
      </c>
      <c r="K2179" s="119">
        <f>IF(tech_base!$T155&gt;K$2025,"",fuel_costs!C$14*0.086/tech_proj!K279/(1-tech_proj!K559))</f>
        <v>272.65783929340512</v>
      </c>
      <c r="L2179" s="119">
        <f>IF(tech_base!$T155&gt;L$2025,"",fuel_costs!D$14*0.086/tech_proj!L279/(1-tech_proj!L559))</f>
        <v>286.07043697426241</v>
      </c>
      <c r="M2179" s="119">
        <f>IF(tech_base!$T155&gt;M$2025,"",fuel_costs!E$14*0.086/tech_proj!M279/(1-tech_proj!M559))</f>
        <v>276.33531068630577</v>
      </c>
      <c r="N2179" s="119">
        <f>IF(tech_base!$T155&gt;N$2025,"",fuel_costs!F$14*0.086/tech_proj!N279/(1-tech_proj!N559))</f>
        <v>260.32091320778136</v>
      </c>
      <c r="O2179" s="119">
        <f>IF(tech_base!$T155&gt;O$2025,"",fuel_costs!G$14*0.086/tech_proj!O279/(1-tech_proj!O559))</f>
        <v>204.08378098893849</v>
      </c>
      <c r="P2179" s="119">
        <f>IF(tech_base!$T155&gt;P$2025,"",fuel_costs!H$14*0.086/tech_proj!P279/(1-tech_proj!P559))</f>
        <v>190.68824728960232</v>
      </c>
      <c r="Q2179" s="119">
        <f>IF(tech_base!$T155&gt;Q$2025,"",fuel_costs!I$14*0.086/tech_proj!Q279/(1-tech_proj!Q559))</f>
        <v>207.30587662731716</v>
      </c>
      <c r="R2179" s="119">
        <f>IF(tech_base!$T155&gt;R$2025,"",fuel_costs!J$14*0.086/tech_proj!R279/(1-tech_proj!R559))</f>
        <v>222.16881239019457</v>
      </c>
      <c r="S2179" s="119">
        <f>IF(tech_base!$T155&gt;S$2025,"",fuel_costs!K$14*0.086/tech_proj!S279/(1-tech_proj!S559))</f>
        <v>235.23133476701074</v>
      </c>
      <c r="T2179" s="119">
        <f>IF(tech_base!$T155&gt;T$2025,"",fuel_costs!L$14*0.086/tech_proj!T279/(1-tech_proj!T559))</f>
        <v>247.83568702923597</v>
      </c>
      <c r="U2179" s="119">
        <f>IF(tech_base!$T155&gt;U$2025,"",fuel_costs!M$14*0.086/tech_proj!U279/(1-tech_proj!U559))</f>
        <v>259.85361872200139</v>
      </c>
      <c r="V2179" s="119">
        <f>IF(tech_base!$T155&gt;V$2025,"",fuel_costs!N$14*0.086/tech_proj!V279/(1-tech_proj!V559))</f>
        <v>267.9828882928785</v>
      </c>
      <c r="W2179" s="119">
        <f>IF(tech_base!$T155&gt;W$2025,"",fuel_costs!O$14*0.086/tech_proj!W279/(1-tech_proj!W559))</f>
        <v>277.89323212253663</v>
      </c>
      <c r="X2179" s="119">
        <f>IF(tech_base!$T155&gt;X$2025,"",fuel_costs!P$14*0.086/tech_proj!X279/(1-tech_proj!X559))</f>
        <v>286.52167517520638</v>
      </c>
      <c r="Y2179" s="119">
        <f>IF(tech_base!$T155&gt;Y$2025,"",fuel_costs!Q$14*0.086/tech_proj!Y279/(1-tech_proj!Y559))</f>
        <v>293.8753634786155</v>
      </c>
      <c r="Z2179" s="119">
        <f>IF(tech_base!$T155&gt;Z$2025,"",fuel_costs!R$14*0.086/tech_proj!Z279/(1-tech_proj!Z559))</f>
        <v>298.67196847534024</v>
      </c>
      <c r="AA2179" s="119">
        <f>IF(tech_base!$T155&gt;AA$2025,"",fuel_costs!S$14*0.086/tech_proj!AA279/(1-tech_proj!AA559))</f>
        <v>303.0368052403677</v>
      </c>
      <c r="AB2179" s="119">
        <f>IF(tech_base!$T155&gt;AB$2025,"",fuel_costs!T$14*0.086/tech_proj!AB279/(1-tech_proj!AB559))</f>
        <v>306.09628857614433</v>
      </c>
      <c r="AC2179" s="119">
        <f>IF(tech_base!$T155&gt;AC$2025,"",fuel_costs!U$14*0.086/tech_proj!AC279/(1-tech_proj!AC559))</f>
        <v>310.73591168289022</v>
      </c>
      <c r="AD2179" s="119">
        <f>IF(tech_base!$T155&gt;AD$2025,"",fuel_costs!V$14*0.086/tech_proj!AD279/(1-tech_proj!AD559))</f>
        <v>313.65769363630807</v>
      </c>
      <c r="AE2179" s="119">
        <f>IF(tech_base!$T155&gt;AE$2025,"",fuel_costs!W$14*0.086/tech_proj!AE279/(1-tech_proj!AE559))</f>
        <v>316.45702380821177</v>
      </c>
      <c r="AF2179" s="119">
        <f>IF(tech_base!$T155&gt;AF$2025,"",fuel_costs!X$14*0.086/tech_proj!AF279/(1-tech_proj!AF559))</f>
        <v>317.97585314562258</v>
      </c>
      <c r="AG2179" s="119">
        <f>IF(tech_base!$T155&gt;AG$2025,"",fuel_costs!Y$14*0.086/tech_proj!AG279/(1-tech_proj!AG559))</f>
        <v>319.67941834052692</v>
      </c>
      <c r="AH2179" s="119">
        <f>IF(tech_base!$T155&gt;AH$2025,"",fuel_costs!Z$14*0.086/tech_proj!AH279/(1-tech_proj!AH559))</f>
        <v>321.56700358857961</v>
      </c>
      <c r="AI2179" s="119">
        <f>IF(tech_base!$T155&gt;AI$2025,"",fuel_costs!AA$14*0.086/tech_proj!AI279/(1-tech_proj!AI559))</f>
        <v>323.65637673971531</v>
      </c>
      <c r="AJ2179" s="119">
        <f>IF(tech_base!$T155&gt;AJ$2025,"",fuel_costs!AB$14*0.086/tech_proj!AJ279/(1-tech_proj!AJ559))</f>
        <v>325.98429517182251</v>
      </c>
      <c r="AK2179" s="119">
        <f>IF(tech_base!$T155&gt;AK$2025,"",fuel_costs!AC$14*0.086/tech_proj!AK279/(1-tech_proj!AK559))</f>
        <v>328.59629461658096</v>
      </c>
      <c r="AL2179" s="119">
        <f>IF(tech_base!$T155&gt;AL$2025,"",fuel_costs!AD$14*0.086/tech_proj!AL279/(1-tech_proj!AL559))</f>
        <v>331.40469556660986</v>
      </c>
      <c r="AM2179" s="119">
        <f>IF(tech_base!$T155&gt;AM$2025,"",fuel_costs!AE$14*0.086/tech_proj!AM279/(1-tech_proj!AM559))</f>
        <v>334.30183144253249</v>
      </c>
      <c r="AN2179" s="119">
        <f>IF(tech_base!$T155&gt;AN$2025,"",fuel_costs!AF$14*0.086/tech_proj!AN279/(1-tech_proj!AN559))</f>
        <v>337.2520701931312</v>
      </c>
      <c r="AO2179" s="119">
        <f>IF(tech_base!$T155&gt;AO$2025,"",fuel_costs!AG$14*0.086/tech_proj!AO279/(1-tech_proj!AO559))</f>
        <v>337.69816933076618</v>
      </c>
      <c r="AP2179" s="119">
        <f>IF(tech_base!$T155&gt;AP$2025,"",fuel_costs!AH$14*0.086/tech_proj!AP279/(1-tech_proj!AP559))</f>
        <v>338.81179559570006</v>
      </c>
      <c r="AQ2179" s="119">
        <f>IF(tech_base!$T155&gt;AQ$2025,"",fuel_costs!AI$14*0.086/tech_proj!AQ279/(1-tech_proj!AQ559))</f>
        <v>339.98140375522888</v>
      </c>
      <c r="AR2179" s="119">
        <f>IF(tech_base!$T155&gt;AR$2025,"",fuel_costs!AJ$14*0.086/tech_proj!AR279/(1-tech_proj!AR559))</f>
        <v>342.30289406275955</v>
      </c>
      <c r="AS2179" s="119">
        <f>IF(tech_base!$T155&gt;AS$2025,"",fuel_costs!AK$14*0.086/tech_proj!AS279/(1-tech_proj!AS559))</f>
        <v>343.59504611835933</v>
      </c>
      <c r="AT2179" s="119">
        <f>IF(tech_base!$T155&gt;AT$2025,"",fuel_costs!AL$14*0.086/tech_proj!AT279/(1-tech_proj!AT559))</f>
        <v>344.88405119572184</v>
      </c>
      <c r="AU2179" s="119">
        <f>IF(tech_base!$T155&gt;AU$2025,"",fuel_costs!AM$14*0.086/tech_proj!AU279/(1-tech_proj!AU559))</f>
        <v>346.14653559704834</v>
      </c>
      <c r="AV2179" s="119">
        <f>IF(tech_base!$T155&gt;AV$2025,"",fuel_costs!AN$14*0.086/tech_proj!AV279/(1-tech_proj!AV559))</f>
        <v>347.36998948777239</v>
      </c>
      <c r="AW2179" s="119">
        <f>IF(tech_base!$T155&gt;AW$2025,"",fuel_costs!AO$14*0.086/tech_proj!AW279/(1-tech_proj!AW559))</f>
        <v>348.54513527039285</v>
      </c>
      <c r="AX2179" s="120">
        <f>IF(tech_base!$T155&gt;AX$2025,"",fuel_costs!AP$14*0.086/tech_proj!AX279/(1-tech_proj!AX559))</f>
        <v>350.04963082474859</v>
      </c>
    </row>
    <row r="2180" spans="1:50" x14ac:dyDescent="0.25">
      <c r="A2180" s="356"/>
      <c r="B2180" s="376"/>
      <c r="C2180" s="379"/>
      <c r="D2180" s="59" t="s">
        <v>20</v>
      </c>
      <c r="E2180" s="79" t="str">
        <f>A2165&amp;"/"&amp;B2173&amp;"/"&amp;C2177&amp;"/"&amp;D2180</f>
        <v>Diesel oil fired power plants/Gas turbine /CHP/XS</v>
      </c>
      <c r="F2180" s="79" t="str">
        <f>A2165</f>
        <v>Diesel oil fired power plants</v>
      </c>
      <c r="G2180" s="79" t="str">
        <f>B2173</f>
        <v xml:space="preserve">Gas turbine </v>
      </c>
      <c r="H2180" s="79" t="str">
        <f>C2177</f>
        <v>CHP</v>
      </c>
      <c r="I2180" s="79" t="str">
        <f t="shared" si="389"/>
        <v>XS</v>
      </c>
      <c r="J2180" s="125">
        <f>IF(tech_base!$T156&gt;J$2025,"",fuel_costs!B$14*0.086/tech_proj!J280/(1-tech_proj!J560))</f>
        <v>242.49444848748576</v>
      </c>
      <c r="K2180" s="125">
        <f>IF(tech_base!$T156&gt;K$2025,"",fuel_costs!C$14*0.086/tech_proj!K280/(1-tech_proj!K560))</f>
        <v>286.81508116698467</v>
      </c>
      <c r="L2180" s="125">
        <f>IF(tech_base!$T156&gt;L$2025,"",fuel_costs!D$14*0.086/tech_proj!L280/(1-tech_proj!L560))</f>
        <v>300.92595700952359</v>
      </c>
      <c r="M2180" s="125">
        <f>IF(tech_base!$T156&gt;M$2025,"",fuel_costs!E$14*0.086/tech_proj!M280/(1-tech_proj!M560))</f>
        <v>290.68725847623409</v>
      </c>
      <c r="N2180" s="125">
        <f>IF(tech_base!$T156&gt;N$2025,"",fuel_costs!F$14*0.086/tech_proj!N280/(1-tech_proj!N560))</f>
        <v>273.84316322600796</v>
      </c>
      <c r="O2180" s="125">
        <f>IF(tech_base!$T156&gt;O$2025,"",fuel_costs!G$14*0.086/tech_proj!O280/(1-tech_proj!O560))</f>
        <v>214.68657248747925</v>
      </c>
      <c r="P2180" s="125">
        <f>IF(tech_base!$T156&gt;P$2025,"",fuel_costs!H$14*0.086/tech_proj!P280/(1-tech_proj!P560))</f>
        <v>200.5968961268072</v>
      </c>
      <c r="Q2180" s="125">
        <f>IF(tech_base!$T156&gt;Q$2025,"",fuel_costs!I$14*0.086/tech_proj!Q280/(1-tech_proj!Q560))</f>
        <v>218.08016172328632</v>
      </c>
      <c r="R2180" s="125">
        <f>IF(tech_base!$T156&gt;R$2025,"",fuel_costs!J$14*0.086/tech_proj!R280/(1-tech_proj!R560))</f>
        <v>233.71808103265366</v>
      </c>
      <c r="S2180" s="125">
        <f>IF(tech_base!$T156&gt;S$2025,"",fuel_costs!K$14*0.086/tech_proj!S280/(1-tech_proj!S560))</f>
        <v>247.4625605464758</v>
      </c>
      <c r="T2180" s="125">
        <f>IF(tech_base!$T156&gt;T$2025,"",fuel_costs!L$14*0.086/tech_proj!T280/(1-tech_proj!T560))</f>
        <v>260.72564990516668</v>
      </c>
      <c r="U2180" s="125">
        <f>IF(tech_base!$T156&gt;U$2025,"",fuel_costs!M$14*0.086/tech_proj!U280/(1-tech_proj!U560))</f>
        <v>273.37247482203765</v>
      </c>
      <c r="V2180" s="125">
        <f>IF(tech_base!$T156&gt;V$2025,"",fuel_costs!N$14*0.086/tech_proj!V280/(1-tech_proj!V560))</f>
        <v>281.92898593345018</v>
      </c>
      <c r="W2180" s="125">
        <f>IF(tech_base!$T156&gt;W$2025,"",fuel_costs!O$14*0.086/tech_proj!W280/(1-tech_proj!W560))</f>
        <v>292.35994860947642</v>
      </c>
      <c r="X2180" s="125">
        <f>IF(tech_base!$T156&gt;X$2025,"",fuel_costs!P$14*0.086/tech_proj!X280/(1-tech_proj!X560))</f>
        <v>301.44303994579343</v>
      </c>
      <c r="Y2180" s="125">
        <f>IF(tech_base!$T156&gt;Y$2025,"",fuel_costs!Q$14*0.086/tech_proj!Y280/(1-tech_proj!Y560))</f>
        <v>309.18577327048183</v>
      </c>
      <c r="Z2180" s="125">
        <f>IF(tech_base!$T156&gt;Z$2025,"",fuel_costs!R$14*0.086/tech_proj!Z280/(1-tech_proj!Z560))</f>
        <v>314.23896979857204</v>
      </c>
      <c r="AA2180" s="125">
        <f>IF(tech_base!$T156&gt;AA$2025,"",fuel_costs!S$14*0.086/tech_proj!AA280/(1-tech_proj!AA560))</f>
        <v>318.83864987853804</v>
      </c>
      <c r="AB2180" s="125">
        <f>IF(tech_base!$T156&gt;AB$2025,"",fuel_costs!T$14*0.086/tech_proj!AB280/(1-tech_proj!AB560))</f>
        <v>322.06567151143435</v>
      </c>
      <c r="AC2180" s="125">
        <f>IF(tech_base!$T156&gt;AC$2025,"",fuel_costs!U$14*0.086/tech_proj!AC280/(1-tech_proj!AC560))</f>
        <v>326.95608757126081</v>
      </c>
      <c r="AD2180" s="125">
        <f>IF(tech_base!$T156&gt;AD$2025,"",fuel_costs!V$14*0.086/tech_proj!AD280/(1-tech_proj!AD560))</f>
        <v>330.03984727537051</v>
      </c>
      <c r="AE2180" s="125">
        <f>IF(tech_base!$T156&gt;AE$2025,"",fuel_costs!W$14*0.086/tech_proj!AE280/(1-tech_proj!AE560))</f>
        <v>332.99559567099891</v>
      </c>
      <c r="AF2180" s="125">
        <f>IF(tech_base!$T156&gt;AF$2025,"",fuel_costs!X$14*0.086/tech_proj!AF280/(1-tech_proj!AF560))</f>
        <v>334.60473706193801</v>
      </c>
      <c r="AG2180" s="125">
        <f>IF(tech_base!$T156&gt;AG$2025,"",fuel_costs!Y$14*0.086/tech_proj!AG280/(1-tech_proj!AG560))</f>
        <v>336.40906599263064</v>
      </c>
      <c r="AH2180" s="125">
        <f>IF(tech_base!$T156&gt;AH$2025,"",fuel_costs!Z$14*0.086/tech_proj!AH280/(1-tech_proj!AH560))</f>
        <v>338.40785078165584</v>
      </c>
      <c r="AI2180" s="125">
        <f>IF(tech_base!$T156&gt;AI$2025,"",fuel_costs!AA$14*0.086/tech_proj!AI280/(1-tech_proj!AI560))</f>
        <v>340.61980200592376</v>
      </c>
      <c r="AJ2180" s="125">
        <f>IF(tech_base!$T156&gt;AJ$2025,"",fuel_costs!AB$14*0.086/tech_proj!AJ280/(1-tech_proj!AJ560))</f>
        <v>343.08360636000765</v>
      </c>
      <c r="AK2180" s="125">
        <f>IF(tech_base!$T156&gt;AK$2025,"",fuel_costs!AC$14*0.086/tech_proj!AK280/(1-tech_proj!AK560))</f>
        <v>345.8471812710265</v>
      </c>
      <c r="AL2180" s="125">
        <f>IF(tech_base!$T156&gt;AL$2025,"",fuel_costs!AD$14*0.086/tech_proj!AL280/(1-tech_proj!AL560))</f>
        <v>348.8182200750918</v>
      </c>
      <c r="AM2180" s="125">
        <f>IF(tech_base!$T156&gt;AM$2025,"",fuel_costs!AE$14*0.086/tech_proj!AM280/(1-tech_proj!AM560))</f>
        <v>351.88334127930671</v>
      </c>
      <c r="AN2180" s="125">
        <f>IF(tech_base!$T156&gt;AN$2025,"",fuel_costs!AF$14*0.086/tech_proj!AN280/(1-tech_proj!AN560))</f>
        <v>355.00494549839516</v>
      </c>
      <c r="AO2180" s="125">
        <f>IF(tech_base!$T156&gt;AO$2025,"",fuel_costs!AG$14*0.086/tech_proj!AO280/(1-tech_proj!AO560))</f>
        <v>355.49093003437127</v>
      </c>
      <c r="AP2180" s="125">
        <f>IF(tech_base!$T156&gt;AP$2025,"",fuel_costs!AH$14*0.086/tech_proj!AP280/(1-tech_proj!AP560))</f>
        <v>356.6797014693135</v>
      </c>
      <c r="AQ2180" s="125">
        <f>IF(tech_base!$T156&gt;AQ$2025,"",fuel_costs!AI$14*0.086/tech_proj!AQ280/(1-tech_proj!AQ560))</f>
        <v>357.92734680780461</v>
      </c>
      <c r="AR2180" s="125">
        <f>IF(tech_base!$T156&gt;AR$2025,"",fuel_costs!AJ$14*0.086/tech_proj!AR280/(1-tech_proj!AR560))</f>
        <v>360.38746551275159</v>
      </c>
      <c r="AS2180" s="125">
        <f>IF(tech_base!$T156&gt;AS$2025,"",fuel_costs!AK$14*0.086/tech_proj!AS280/(1-tech_proj!AS560))</f>
        <v>361.76342831091927</v>
      </c>
      <c r="AT2180" s="125">
        <f>IF(tech_base!$T156&gt;AT$2025,"",fuel_costs!AL$14*0.086/tech_proj!AT280/(1-tech_proj!AT560))</f>
        <v>363.13534719353032</v>
      </c>
      <c r="AU2180" s="125">
        <f>IF(tech_base!$T156&gt;AU$2025,"",fuel_costs!AM$14*0.086/tech_proj!AU280/(1-tech_proj!AU560))</f>
        <v>364.47835201907833</v>
      </c>
      <c r="AV2180" s="125">
        <f>IF(tech_base!$T156&gt;AV$2025,"",fuel_costs!AN$14*0.086/tech_proj!AV280/(1-tech_proj!AV560))</f>
        <v>365.77900385300984</v>
      </c>
      <c r="AW2180" s="125">
        <f>IF(tech_base!$T156&gt;AW$2025,"",fuel_costs!AO$14*0.086/tech_proj!AW280/(1-tech_proj!AW560))</f>
        <v>367.02726927985697</v>
      </c>
      <c r="AX2180" s="126">
        <f>IF(tech_base!$T156&gt;AX$2025,"",fuel_costs!AP$14*0.086/tech_proj!AX280/(1-tech_proj!AX560))</f>
        <v>368.62059000032519</v>
      </c>
    </row>
    <row r="2181" spans="1:50" x14ac:dyDescent="0.25">
      <c r="A2181" s="356"/>
      <c r="B2181" s="376"/>
      <c r="C2181" s="361" t="s">
        <v>15</v>
      </c>
      <c r="D2181" s="58" t="s">
        <v>7</v>
      </c>
      <c r="E2181" s="78" t="str">
        <f>A2165&amp;"/"&amp;B2173&amp;"/"&amp;C2181&amp;"/"&amp;D2181</f>
        <v>Diesel oil fired power plants/Gas turbine /Electricity only with CCS/L</v>
      </c>
      <c r="F2181" s="78" t="str">
        <f>A2165</f>
        <v>Diesel oil fired power plants</v>
      </c>
      <c r="G2181" s="78" t="str">
        <f>B2173</f>
        <v xml:space="preserve">Gas turbine </v>
      </c>
      <c r="H2181" s="78" t="str">
        <f>C2181</f>
        <v>Electricity only with CCS</v>
      </c>
      <c r="I2181" s="78" t="str">
        <f t="shared" si="389"/>
        <v>L</v>
      </c>
      <c r="J2181" s="123" t="str">
        <f>IF(tech_base!$T157&gt;J$2025,"",fuel_costs!B$14*0.086/tech_proj!J281/(1-tech_proj!J561))</f>
        <v/>
      </c>
      <c r="K2181" s="123" t="str">
        <f>IF(tech_base!$T157&gt;K$2025,"",fuel_costs!C$14*0.086/tech_proj!K281/(1-tech_proj!K561))</f>
        <v/>
      </c>
      <c r="L2181" s="123" t="str">
        <f>IF(tech_base!$T157&gt;L$2025,"",fuel_costs!D$14*0.086/tech_proj!L281/(1-tech_proj!L561))</f>
        <v/>
      </c>
      <c r="M2181" s="123" t="str">
        <f>IF(tech_base!$T157&gt;M$2025,"",fuel_costs!E$14*0.086/tech_proj!M281/(1-tech_proj!M561))</f>
        <v/>
      </c>
      <c r="N2181" s="123" t="str">
        <f>IF(tech_base!$T157&gt;N$2025,"",fuel_costs!F$14*0.086/tech_proj!N281/(1-tech_proj!N561))</f>
        <v/>
      </c>
      <c r="O2181" s="123" t="str">
        <f>IF(tech_base!$T157&gt;O$2025,"",fuel_costs!G$14*0.086/tech_proj!O281/(1-tech_proj!O561))</f>
        <v/>
      </c>
      <c r="P2181" s="123" t="str">
        <f>IF(tech_base!$T157&gt;P$2025,"",fuel_costs!H$14*0.086/tech_proj!P281/(1-tech_proj!P561))</f>
        <v/>
      </c>
      <c r="Q2181" s="123" t="str">
        <f>IF(tech_base!$T157&gt;Q$2025,"",fuel_costs!I$14*0.086/tech_proj!Q281/(1-tech_proj!Q561))</f>
        <v/>
      </c>
      <c r="R2181" s="123" t="str">
        <f>IF(tech_base!$T157&gt;R$2025,"",fuel_costs!J$14*0.086/tech_proj!R281/(1-tech_proj!R561))</f>
        <v/>
      </c>
      <c r="S2181" s="123" t="str">
        <f>IF(tech_base!$T157&gt;S$2025,"",fuel_costs!K$14*0.086/tech_proj!S281/(1-tech_proj!S561))</f>
        <v/>
      </c>
      <c r="T2181" s="123" t="str">
        <f>IF(tech_base!$T157&gt;T$2025,"",fuel_costs!L$14*0.086/tech_proj!T281/(1-tech_proj!T561))</f>
        <v/>
      </c>
      <c r="U2181" s="123" t="str">
        <f>IF(tech_base!$T157&gt;U$2025,"",fuel_costs!M$14*0.086/tech_proj!U281/(1-tech_proj!U561))</f>
        <v/>
      </c>
      <c r="V2181" s="123" t="str">
        <f>IF(tech_base!$T157&gt;V$2025,"",fuel_costs!N$14*0.086/tech_proj!V281/(1-tech_proj!V561))</f>
        <v/>
      </c>
      <c r="W2181" s="123" t="str">
        <f>IF(tech_base!$T157&gt;W$2025,"",fuel_costs!O$14*0.086/tech_proj!W281/(1-tech_proj!W561))</f>
        <v/>
      </c>
      <c r="X2181" s="123" t="str">
        <f>IF(tech_base!$T157&gt;X$2025,"",fuel_costs!P$14*0.086/tech_proj!X281/(1-tech_proj!X561))</f>
        <v/>
      </c>
      <c r="Y2181" s="123" t="str">
        <f>IF(tech_base!$T157&gt;Y$2025,"",fuel_costs!Q$14*0.086/tech_proj!Y281/(1-tech_proj!Y561))</f>
        <v/>
      </c>
      <c r="Z2181" s="123" t="str">
        <f>IF(tech_base!$T157&gt;Z$2025,"",fuel_costs!R$14*0.086/tech_proj!Z281/(1-tech_proj!Z561))</f>
        <v/>
      </c>
      <c r="AA2181" s="123" t="str">
        <f>IF(tech_base!$T157&gt;AA$2025,"",fuel_costs!S$14*0.086/tech_proj!AA281/(1-tech_proj!AA561))</f>
        <v/>
      </c>
      <c r="AB2181" s="123" t="str">
        <f>IF(tech_base!$T157&gt;AB$2025,"",fuel_costs!T$14*0.086/tech_proj!AB281/(1-tech_proj!AB561))</f>
        <v/>
      </c>
      <c r="AC2181" s="123" t="str">
        <f>IF(tech_base!$T157&gt;AC$2025,"",fuel_costs!U$14*0.086/tech_proj!AC281/(1-tech_proj!AC561))</f>
        <v/>
      </c>
      <c r="AD2181" s="123" t="str">
        <f>IF(tech_base!$T157&gt;AD$2025,"",fuel_costs!V$14*0.086/tech_proj!AD281/(1-tech_proj!AD561))</f>
        <v/>
      </c>
      <c r="AE2181" s="123">
        <f>IF(tech_base!$T157&gt;AE$2025,"",fuel_costs!W$14*0.086/tech_proj!AE281/(1-tech_proj!AE561))</f>
        <v>309.51428320614895</v>
      </c>
      <c r="AF2181" s="123">
        <f>IF(tech_base!$T157&gt;AF$2025,"",fuel_costs!X$14*0.086/tech_proj!AF281/(1-tech_proj!AF561))</f>
        <v>311.03562024440589</v>
      </c>
      <c r="AG2181" s="123">
        <f>IF(tech_base!$T157&gt;AG$2025,"",fuel_costs!Y$14*0.086/tech_proj!AG281/(1-tech_proj!AG561))</f>
        <v>312.74093644845561</v>
      </c>
      <c r="AH2181" s="123">
        <f>IF(tech_base!$T157&gt;AH$2025,"",fuel_costs!Z$14*0.086/tech_proj!AH281/(1-tech_proj!AH561))</f>
        <v>314.62979322782661</v>
      </c>
      <c r="AI2181" s="123">
        <f>IF(tech_base!$T157&gt;AI$2025,"",fuel_costs!AA$14*0.086/tech_proj!AI281/(1-tech_proj!AI561))</f>
        <v>316.71984309347749</v>
      </c>
      <c r="AJ2181" s="123">
        <f>IF(tech_base!$T157&gt;AJ$2025,"",fuel_costs!AB$14*0.086/tech_proj!AJ281/(1-tech_proj!AJ561))</f>
        <v>319.04733521704031</v>
      </c>
      <c r="AK2181" s="123">
        <f>IF(tech_base!$T157&gt;AK$2025,"",fuel_costs!AC$14*0.086/tech_proj!AK281/(1-tech_proj!AK561))</f>
        <v>321.65713301395277</v>
      </c>
      <c r="AL2181" s="123">
        <f>IF(tech_base!$T157&gt;AL$2025,"",fuel_costs!AD$14*0.086/tech_proj!AL281/(1-tech_proj!AL561))</f>
        <v>324.46370125667767</v>
      </c>
      <c r="AM2181" s="123">
        <f>IF(tech_base!$T157&gt;AM$2025,"",fuel_costs!AE$14*0.086/tech_proj!AM281/(1-tech_proj!AM561))</f>
        <v>327.36186027915272</v>
      </c>
      <c r="AN2181" s="123">
        <f>IF(tech_base!$T157&gt;AN$2025,"",fuel_costs!AF$14*0.086/tech_proj!AN281/(1-tech_proj!AN561))</f>
        <v>330.31687965305582</v>
      </c>
      <c r="AO2181" s="123">
        <f>IF(tech_base!$T157&gt;AO$2025,"",fuel_costs!AG$14*0.086/tech_proj!AO281/(1-tech_proj!AO561))</f>
        <v>330.82368739431348</v>
      </c>
      <c r="AP2181" s="123">
        <f>IF(tech_base!$T157&gt;AP$2025,"",fuel_costs!AH$14*0.086/tech_proj!AP281/(1-tech_proj!AP561))</f>
        <v>331.98847424306092</v>
      </c>
      <c r="AQ2181" s="123">
        <f>IF(tech_base!$T157&gt;AQ$2025,"",fuel_costs!AI$14*0.086/tech_proj!AQ281/(1-tech_proj!AQ561))</f>
        <v>333.21223056161324</v>
      </c>
      <c r="AR2181" s="123">
        <f>IF(tech_base!$T157&gt;AR$2025,"",fuel_costs!AJ$14*0.086/tech_proj!AR281/(1-tech_proj!AR561))</f>
        <v>335.56920590909402</v>
      </c>
      <c r="AS2181" s="123">
        <f>IF(tech_base!$T157&gt;AS$2025,"",fuel_costs!AK$14*0.086/tech_proj!AS281/(1-tech_proj!AS561))</f>
        <v>336.92121411237167</v>
      </c>
      <c r="AT2181" s="123">
        <f>IF(tech_base!$T157&gt;AT$2025,"",fuel_costs!AL$14*0.086/tech_proj!AT281/(1-tech_proj!AT561))</f>
        <v>338.27376215957065</v>
      </c>
      <c r="AU2181" s="123">
        <f>IF(tech_base!$T157&gt;AU$2025,"",fuel_costs!AM$14*0.086/tech_proj!AU281/(1-tech_proj!AU561))</f>
        <v>339.60360241361406</v>
      </c>
      <c r="AV2181" s="123">
        <f>IF(tech_base!$T157&gt;AV$2025,"",fuel_costs!AN$14*0.086/tech_proj!AV281/(1-tech_proj!AV561))</f>
        <v>340.89806128811989</v>
      </c>
      <c r="AW2181" s="123">
        <f>IF(tech_base!$T157&gt;AW$2025,"",fuel_costs!AO$14*0.086/tech_proj!AW281/(1-tech_proj!AW561))</f>
        <v>342.14756497356973</v>
      </c>
      <c r="AX2181" s="124">
        <f>IF(tech_base!$T157&gt;AX$2025,"",fuel_costs!AP$14*0.086/tech_proj!AX281/(1-tech_proj!AX561))</f>
        <v>343.72241731961736</v>
      </c>
    </row>
    <row r="2182" spans="1:50" x14ac:dyDescent="0.25">
      <c r="A2182" s="356"/>
      <c r="B2182" s="376"/>
      <c r="C2182" s="379"/>
      <c r="D2182" s="59" t="s">
        <v>8</v>
      </c>
      <c r="E2182" s="79" t="str">
        <f>A2165&amp;"/"&amp;B2173&amp;"/"&amp;C2181&amp;"/"&amp;D2182</f>
        <v>Diesel oil fired power plants/Gas turbine /Electricity only with CCS/M</v>
      </c>
      <c r="F2182" s="79" t="str">
        <f>A2165</f>
        <v>Diesel oil fired power plants</v>
      </c>
      <c r="G2182" s="79" t="str">
        <f>B2173</f>
        <v xml:space="preserve">Gas turbine </v>
      </c>
      <c r="H2182" s="79" t="str">
        <f>C2181</f>
        <v>Electricity only with CCS</v>
      </c>
      <c r="I2182" s="79" t="str">
        <f t="shared" si="389"/>
        <v>M</v>
      </c>
      <c r="J2182" s="125" t="str">
        <f>IF(tech_base!$T158&gt;J$2025,"",fuel_costs!B$14*0.086/tech_proj!J282/(1-tech_proj!J562))</f>
        <v/>
      </c>
      <c r="K2182" s="125" t="str">
        <f>IF(tech_base!$T158&gt;K$2025,"",fuel_costs!C$14*0.086/tech_proj!K282/(1-tech_proj!K562))</f>
        <v/>
      </c>
      <c r="L2182" s="125" t="str">
        <f>IF(tech_base!$T158&gt;L$2025,"",fuel_costs!D$14*0.086/tech_proj!L282/(1-tech_proj!L562))</f>
        <v/>
      </c>
      <c r="M2182" s="125" t="str">
        <f>IF(tech_base!$T158&gt;M$2025,"",fuel_costs!E$14*0.086/tech_proj!M282/(1-tech_proj!M562))</f>
        <v/>
      </c>
      <c r="N2182" s="125" t="str">
        <f>IF(tech_base!$T158&gt;N$2025,"",fuel_costs!F$14*0.086/tech_proj!N282/(1-tech_proj!N562))</f>
        <v/>
      </c>
      <c r="O2182" s="125" t="str">
        <f>IF(tech_base!$T158&gt;O$2025,"",fuel_costs!G$14*0.086/tech_proj!O282/(1-tech_proj!O562))</f>
        <v/>
      </c>
      <c r="P2182" s="125" t="str">
        <f>IF(tech_base!$T158&gt;P$2025,"",fuel_costs!H$14*0.086/tech_proj!P282/(1-tech_proj!P562))</f>
        <v/>
      </c>
      <c r="Q2182" s="125" t="str">
        <f>IF(tech_base!$T158&gt;Q$2025,"",fuel_costs!I$14*0.086/tech_proj!Q282/(1-tech_proj!Q562))</f>
        <v/>
      </c>
      <c r="R2182" s="125" t="str">
        <f>IF(tech_base!$T158&gt;R$2025,"",fuel_costs!J$14*0.086/tech_proj!R282/(1-tech_proj!R562))</f>
        <v/>
      </c>
      <c r="S2182" s="125" t="str">
        <f>IF(tech_base!$T158&gt;S$2025,"",fuel_costs!K$14*0.086/tech_proj!S282/(1-tech_proj!S562))</f>
        <v/>
      </c>
      <c r="T2182" s="125" t="str">
        <f>IF(tech_base!$T158&gt;T$2025,"",fuel_costs!L$14*0.086/tech_proj!T282/(1-tech_proj!T562))</f>
        <v/>
      </c>
      <c r="U2182" s="125" t="str">
        <f>IF(tech_base!$T158&gt;U$2025,"",fuel_costs!M$14*0.086/tech_proj!U282/(1-tech_proj!U562))</f>
        <v/>
      </c>
      <c r="V2182" s="125" t="str">
        <f>IF(tech_base!$T158&gt;V$2025,"",fuel_costs!N$14*0.086/tech_proj!V282/(1-tech_proj!V562))</f>
        <v/>
      </c>
      <c r="W2182" s="125" t="str">
        <f>IF(tech_base!$T158&gt;W$2025,"",fuel_costs!O$14*0.086/tech_proj!W282/(1-tech_proj!W562))</f>
        <v/>
      </c>
      <c r="X2182" s="125" t="str">
        <f>IF(tech_base!$T158&gt;X$2025,"",fuel_costs!P$14*0.086/tech_proj!X282/(1-tech_proj!X562))</f>
        <v/>
      </c>
      <c r="Y2182" s="125" t="str">
        <f>IF(tech_base!$T158&gt;Y$2025,"",fuel_costs!Q$14*0.086/tech_proj!Y282/(1-tech_proj!Y562))</f>
        <v/>
      </c>
      <c r="Z2182" s="125" t="str">
        <f>IF(tech_base!$T158&gt;Z$2025,"",fuel_costs!R$14*0.086/tech_proj!Z282/(1-tech_proj!Z562))</f>
        <v/>
      </c>
      <c r="AA2182" s="125" t="str">
        <f>IF(tech_base!$T158&gt;AA$2025,"",fuel_costs!S$14*0.086/tech_proj!AA282/(1-tech_proj!AA562))</f>
        <v/>
      </c>
      <c r="AB2182" s="125" t="str">
        <f>IF(tech_base!$T158&gt;AB$2025,"",fuel_costs!T$14*0.086/tech_proj!AB282/(1-tech_proj!AB562))</f>
        <v/>
      </c>
      <c r="AC2182" s="125" t="str">
        <f>IF(tech_base!$T158&gt;AC$2025,"",fuel_costs!U$14*0.086/tech_proj!AC282/(1-tech_proj!AC562))</f>
        <v/>
      </c>
      <c r="AD2182" s="125" t="str">
        <f>IF(tech_base!$T158&gt;AD$2025,"",fuel_costs!V$14*0.086/tech_proj!AD282/(1-tech_proj!AD562))</f>
        <v/>
      </c>
      <c r="AE2182" s="125">
        <f>IF(tech_base!$T158&gt;AE$2025,"",fuel_costs!W$14*0.086/tech_proj!AE282/(1-tech_proj!AE562))</f>
        <v>327.76932792488384</v>
      </c>
      <c r="AF2182" s="125">
        <f>IF(tech_base!$T158&gt;AF$2025,"",fuel_costs!X$14*0.086/tech_proj!AF282/(1-tech_proj!AF562))</f>
        <v>329.38039289226242</v>
      </c>
      <c r="AG2182" s="125">
        <f>IF(tech_base!$T158&gt;AG$2025,"",fuel_costs!Y$14*0.086/tech_proj!AG282/(1-tech_proj!AG562))</f>
        <v>331.18628805261113</v>
      </c>
      <c r="AH2182" s="125">
        <f>IF(tech_base!$T158&gt;AH$2025,"",fuel_costs!Z$14*0.086/tech_proj!AH282/(1-tech_proj!AH562))</f>
        <v>333.18654894754513</v>
      </c>
      <c r="AI2182" s="125">
        <f>IF(tech_base!$T158&gt;AI$2025,"",fuel_costs!AA$14*0.086/tech_proj!AI282/(1-tech_proj!AI562))</f>
        <v>335.39986922697659</v>
      </c>
      <c r="AJ2182" s="125">
        <f>IF(tech_base!$T158&gt;AJ$2025,"",fuel_costs!AB$14*0.086/tech_proj!AJ282/(1-tech_proj!AJ562))</f>
        <v>337.86463602606665</v>
      </c>
      <c r="AK2182" s="125">
        <f>IF(tech_base!$T158&gt;AK$2025,"",fuel_costs!AC$14*0.086/tech_proj!AK282/(1-tech_proj!AK562))</f>
        <v>340.6283587888837</v>
      </c>
      <c r="AL2182" s="125">
        <f>IF(tech_base!$T158&gt;AL$2025,"",fuel_costs!AD$14*0.086/tech_proj!AL282/(1-tech_proj!AL562))</f>
        <v>343.60045744993499</v>
      </c>
      <c r="AM2182" s="125">
        <f>IF(tech_base!$T158&gt;AM$2025,"",fuel_costs!AE$14*0.086/tech_proj!AM282/(1-tech_proj!AM562))</f>
        <v>346.66954888305446</v>
      </c>
      <c r="AN2182" s="125">
        <f>IF(tech_base!$T158&gt;AN$2025,"",fuel_costs!AF$14*0.086/tech_proj!AN282/(1-tech_proj!AN562))</f>
        <v>349.79885427134286</v>
      </c>
      <c r="AO2182" s="125">
        <f>IF(tech_base!$T158&gt;AO$2025,"",fuel_costs!AG$14*0.086/tech_proj!AO282/(1-tech_proj!AO562))</f>
        <v>350.33555335682098</v>
      </c>
      <c r="AP2182" s="125">
        <f>IF(tech_base!$T158&gt;AP$2025,"",fuel_costs!AH$14*0.086/tech_proj!AP282/(1-tech_proj!AP562))</f>
        <v>351.56903892858503</v>
      </c>
      <c r="AQ2182" s="125">
        <f>IF(tech_base!$T158&gt;AQ$2025,"",fuel_costs!AI$14*0.086/tech_proj!AQ282/(1-tech_proj!AQ562))</f>
        <v>352.86497196896295</v>
      </c>
      <c r="AR2182" s="125">
        <f>IF(tech_base!$T158&gt;AR$2025,"",fuel_costs!AJ$14*0.086/tech_proj!AR282/(1-tech_proj!AR562))</f>
        <v>355.36096090225794</v>
      </c>
      <c r="AS2182" s="125">
        <f>IF(tech_base!$T158&gt;AS$2025,"",fuel_costs!AK$14*0.086/tech_proj!AS282/(1-tech_proj!AS562))</f>
        <v>356.79271007889326</v>
      </c>
      <c r="AT2182" s="125">
        <f>IF(tech_base!$T158&gt;AT$2025,"",fuel_costs!AL$14*0.086/tech_proj!AT282/(1-tech_proj!AT562))</f>
        <v>358.22503093925638</v>
      </c>
      <c r="AU2182" s="125">
        <f>IF(tech_base!$T158&gt;AU$2025,"",fuel_costs!AM$14*0.086/tech_proj!AU282/(1-tech_proj!AU562))</f>
        <v>359.63330470872552</v>
      </c>
      <c r="AV2182" s="125">
        <f>IF(tech_base!$T158&gt;AV$2025,"",fuel_costs!AN$14*0.086/tech_proj!AV282/(1-tech_proj!AV562))</f>
        <v>361.00411031720404</v>
      </c>
      <c r="AW2182" s="125">
        <f>IF(tech_base!$T158&gt;AW$2025,"",fuel_costs!AO$14*0.086/tech_proj!AW282/(1-tech_proj!AW562))</f>
        <v>362.32730929521944</v>
      </c>
      <c r="AX2182" s="126">
        <f>IF(tech_base!$T158&gt;AX$2025,"",fuel_costs!AP$14*0.086/tech_proj!AX282/(1-tech_proj!AX562))</f>
        <v>363.99504588461991</v>
      </c>
    </row>
    <row r="2183" spans="1:50" x14ac:dyDescent="0.25">
      <c r="A2183" s="356"/>
      <c r="B2183" s="376"/>
      <c r="C2183" s="361" t="s">
        <v>16</v>
      </c>
      <c r="D2183" s="2" t="s">
        <v>7</v>
      </c>
      <c r="E2183" s="76" t="str">
        <f>A2165&amp;"/"&amp;B2173&amp;"/"&amp;C2183&amp;"/"&amp;D2183</f>
        <v>Diesel oil fired power plants/Gas turbine /CHP with CCS/L</v>
      </c>
      <c r="F2183" s="76" t="str">
        <f>A2165</f>
        <v>Diesel oil fired power plants</v>
      </c>
      <c r="G2183" s="76" t="str">
        <f>B2173</f>
        <v xml:space="preserve">Gas turbine </v>
      </c>
      <c r="H2183" s="76" t="str">
        <f>C2183</f>
        <v>CHP with CCS</v>
      </c>
      <c r="I2183" s="76" t="str">
        <f t="shared" si="389"/>
        <v>L</v>
      </c>
      <c r="J2183" s="119" t="str">
        <f>IF(tech_base!$T159&gt;J$2025,"",fuel_costs!B$14*0.086/tech_proj!J283/(1-tech_proj!J563))</f>
        <v/>
      </c>
      <c r="K2183" s="119" t="str">
        <f>IF(tech_base!$T159&gt;K$2025,"",fuel_costs!C$14*0.086/tech_proj!K283/(1-tech_proj!K563))</f>
        <v/>
      </c>
      <c r="L2183" s="119" t="str">
        <f>IF(tech_base!$T159&gt;L$2025,"",fuel_costs!D$14*0.086/tech_proj!L283/(1-tech_proj!L563))</f>
        <v/>
      </c>
      <c r="M2183" s="119" t="str">
        <f>IF(tech_base!$T159&gt;M$2025,"",fuel_costs!E$14*0.086/tech_proj!M283/(1-tech_proj!M563))</f>
        <v/>
      </c>
      <c r="N2183" s="119" t="str">
        <f>IF(tech_base!$T159&gt;N$2025,"",fuel_costs!F$14*0.086/tech_proj!N283/(1-tech_proj!N563))</f>
        <v/>
      </c>
      <c r="O2183" s="119" t="str">
        <f>IF(tech_base!$T159&gt;O$2025,"",fuel_costs!G$14*0.086/tech_proj!O283/(1-tech_proj!O563))</f>
        <v/>
      </c>
      <c r="P2183" s="119" t="str">
        <f>IF(tech_base!$T159&gt;P$2025,"",fuel_costs!H$14*0.086/tech_proj!P283/(1-tech_proj!P563))</f>
        <v/>
      </c>
      <c r="Q2183" s="119" t="str">
        <f>IF(tech_base!$T159&gt;Q$2025,"",fuel_costs!I$14*0.086/tech_proj!Q283/(1-tech_proj!Q563))</f>
        <v/>
      </c>
      <c r="R2183" s="119" t="str">
        <f>IF(tech_base!$T159&gt;R$2025,"",fuel_costs!J$14*0.086/tech_proj!R283/(1-tech_proj!R563))</f>
        <v/>
      </c>
      <c r="S2183" s="119" t="str">
        <f>IF(tech_base!$T159&gt;S$2025,"",fuel_costs!K$14*0.086/tech_proj!S283/(1-tech_proj!S563))</f>
        <v/>
      </c>
      <c r="T2183" s="119" t="str">
        <f>IF(tech_base!$T159&gt;T$2025,"",fuel_costs!L$14*0.086/tech_proj!T283/(1-tech_proj!T563))</f>
        <v/>
      </c>
      <c r="U2183" s="119" t="str">
        <f>IF(tech_base!$T159&gt;U$2025,"",fuel_costs!M$14*0.086/tech_proj!U283/(1-tech_proj!U563))</f>
        <v/>
      </c>
      <c r="V2183" s="119" t="str">
        <f>IF(tech_base!$T159&gt;V$2025,"",fuel_costs!N$14*0.086/tech_proj!V283/(1-tech_proj!V563))</f>
        <v/>
      </c>
      <c r="W2183" s="119" t="str">
        <f>IF(tech_base!$T159&gt;W$2025,"",fuel_costs!O$14*0.086/tech_proj!W283/(1-tech_proj!W563))</f>
        <v/>
      </c>
      <c r="X2183" s="119" t="str">
        <f>IF(tech_base!$T159&gt;X$2025,"",fuel_costs!P$14*0.086/tech_proj!X283/(1-tech_proj!X563))</f>
        <v/>
      </c>
      <c r="Y2183" s="119" t="str">
        <f>IF(tech_base!$T159&gt;Y$2025,"",fuel_costs!Q$14*0.086/tech_proj!Y283/(1-tech_proj!Y563))</f>
        <v/>
      </c>
      <c r="Z2183" s="119" t="str">
        <f>IF(tech_base!$T159&gt;Z$2025,"",fuel_costs!R$14*0.086/tech_proj!Z283/(1-tech_proj!Z563))</f>
        <v/>
      </c>
      <c r="AA2183" s="119" t="str">
        <f>IF(tech_base!$T159&gt;AA$2025,"",fuel_costs!S$14*0.086/tech_proj!AA283/(1-tech_proj!AA563))</f>
        <v/>
      </c>
      <c r="AB2183" s="119" t="str">
        <f>IF(tech_base!$T159&gt;AB$2025,"",fuel_costs!T$14*0.086/tech_proj!AB283/(1-tech_proj!AB563))</f>
        <v/>
      </c>
      <c r="AC2183" s="119" t="str">
        <f>IF(tech_base!$T159&gt;AC$2025,"",fuel_costs!U$14*0.086/tech_proj!AC283/(1-tech_proj!AC563))</f>
        <v/>
      </c>
      <c r="AD2183" s="119" t="str">
        <f>IF(tech_base!$T159&gt;AD$2025,"",fuel_costs!V$14*0.086/tech_proj!AD283/(1-tech_proj!AD563))</f>
        <v/>
      </c>
      <c r="AE2183" s="119">
        <f>IF(tech_base!$T159&gt;AE$2025,"",fuel_costs!W$14*0.086/tech_proj!AE283/(1-tech_proj!AE563))</f>
        <v>346.33930202901018</v>
      </c>
      <c r="AF2183" s="119">
        <f>IF(tech_base!$T159&gt;AF$2025,"",fuel_costs!X$14*0.086/tech_proj!AF283/(1-tech_proj!AF563))</f>
        <v>348.04164287907639</v>
      </c>
      <c r="AG2183" s="119">
        <f>IF(tech_base!$T159&gt;AG$2025,"",fuel_costs!Y$14*0.086/tech_proj!AG283/(1-tech_proj!AG563))</f>
        <v>349.94985214726057</v>
      </c>
      <c r="AH2183" s="119">
        <f>IF(tech_base!$T159&gt;AH$2025,"",fuel_costs!Z$14*0.086/tech_proj!AH283/(1-tech_proj!AH563))</f>
        <v>352.06343906100051</v>
      </c>
      <c r="AI2183" s="119">
        <f>IF(tech_base!$T159&gt;AI$2025,"",fuel_costs!AA$14*0.086/tech_proj!AI283/(1-tech_proj!AI563))</f>
        <v>354.40215637051227</v>
      </c>
      <c r="AJ2183" s="119">
        <f>IF(tech_base!$T159&gt;AJ$2025,"",fuel_costs!AB$14*0.086/tech_proj!AJ283/(1-tech_proj!AJ563))</f>
        <v>357.00656605785417</v>
      </c>
      <c r="AK2183" s="119">
        <f>IF(tech_base!$T159&gt;AK$2025,"",fuel_costs!AC$14*0.086/tech_proj!AK283/(1-tech_proj!AK563))</f>
        <v>359.92686924404819</v>
      </c>
      <c r="AL2183" s="119">
        <f>IF(tech_base!$T159&gt;AL$2025,"",fuel_costs!AD$14*0.086/tech_proj!AL283/(1-tech_proj!AL563))</f>
        <v>363.06735399393841</v>
      </c>
      <c r="AM2183" s="119">
        <f>IF(tech_base!$T159&gt;AM$2025,"",fuel_costs!AE$14*0.086/tech_proj!AM283/(1-tech_proj!AM563))</f>
        <v>366.31032670141951</v>
      </c>
      <c r="AN2183" s="119">
        <f>IF(tech_base!$T159&gt;AN$2025,"",fuel_costs!AF$14*0.086/tech_proj!AN283/(1-tech_proj!AN563))</f>
        <v>369.61692482296127</v>
      </c>
      <c r="AO2183" s="119">
        <f>IF(tech_base!$T159&gt;AO$2025,"",fuel_costs!AG$14*0.086/tech_proj!AO283/(1-tech_proj!AO563))</f>
        <v>370.18403092724787</v>
      </c>
      <c r="AP2183" s="119">
        <f>IF(tech_base!$T159&gt;AP$2025,"",fuel_costs!AH$14*0.086/tech_proj!AP283/(1-tech_proj!AP563))</f>
        <v>371.48740038738697</v>
      </c>
      <c r="AQ2183" s="119">
        <f>IF(tech_base!$T159&gt;AQ$2025,"",fuel_costs!AI$14*0.086/tech_proj!AQ283/(1-tech_proj!AQ563))</f>
        <v>372.8567553161181</v>
      </c>
      <c r="AR2183" s="119">
        <f>IF(tech_base!$T159&gt;AR$2025,"",fuel_costs!AJ$14*0.086/tech_proj!AR283/(1-tech_proj!AR563))</f>
        <v>375.49415604699925</v>
      </c>
      <c r="AS2183" s="119">
        <f>IF(tech_base!$T159&gt;AS$2025,"",fuel_costs!AK$14*0.086/tech_proj!AS283/(1-tech_proj!AS563))</f>
        <v>377.00702185923325</v>
      </c>
      <c r="AT2183" s="119">
        <f>IF(tech_base!$T159&gt;AT$2025,"",fuel_costs!AL$14*0.086/tech_proj!AT283/(1-tech_proj!AT563))</f>
        <v>378.5204917442905</v>
      </c>
      <c r="AU2183" s="119">
        <f>IF(tech_base!$T159&gt;AU$2025,"",fuel_costs!AM$14*0.086/tech_proj!AU283/(1-tech_proj!AU563))</f>
        <v>380.0085521356383</v>
      </c>
      <c r="AV2183" s="119">
        <f>IF(tech_base!$T159&gt;AV$2025,"",fuel_costs!AN$14*0.086/tech_proj!AV283/(1-tech_proj!AV563))</f>
        <v>381.45702158414838</v>
      </c>
      <c r="AW2183" s="119">
        <f>IF(tech_base!$T159&gt;AW$2025,"",fuel_costs!AO$14*0.086/tech_proj!AW283/(1-tech_proj!AW563))</f>
        <v>382.85518721908659</v>
      </c>
      <c r="AX2183" s="120">
        <f>IF(tech_base!$T159&gt;AX$2025,"",fuel_costs!AP$14*0.086/tech_proj!AX283/(1-tech_proj!AX563))</f>
        <v>384.61741045699</v>
      </c>
    </row>
    <row r="2184" spans="1:50" x14ac:dyDescent="0.25">
      <c r="A2184" s="356"/>
      <c r="B2184" s="380"/>
      <c r="C2184" s="381"/>
      <c r="D2184" s="4" t="s">
        <v>8</v>
      </c>
      <c r="E2184" s="80" t="str">
        <f>A2165&amp;"/"&amp;B2173&amp;"/"&amp;C2183&amp;"/"&amp;D2184</f>
        <v>Diesel oil fired power plants/Gas turbine /CHP with CCS/M</v>
      </c>
      <c r="F2184" s="80" t="str">
        <f>A2165</f>
        <v>Diesel oil fired power plants</v>
      </c>
      <c r="G2184" s="80" t="str">
        <f>B2173</f>
        <v xml:space="preserve">Gas turbine </v>
      </c>
      <c r="H2184" s="80" t="str">
        <f>C2183</f>
        <v>CHP with CCS</v>
      </c>
      <c r="I2184" s="80" t="str">
        <f t="shared" si="389"/>
        <v>M</v>
      </c>
      <c r="J2184" s="127" t="str">
        <f>IF(tech_base!$T160&gt;J$2025,"",fuel_costs!B$14*0.086/tech_proj!J284/(1-tech_proj!J564))</f>
        <v/>
      </c>
      <c r="K2184" s="127" t="str">
        <f>IF(tech_base!$T160&gt;K$2025,"",fuel_costs!C$14*0.086/tech_proj!K284/(1-tech_proj!K564))</f>
        <v/>
      </c>
      <c r="L2184" s="127" t="str">
        <f>IF(tech_base!$T160&gt;L$2025,"",fuel_costs!D$14*0.086/tech_proj!L284/(1-tech_proj!L564))</f>
        <v/>
      </c>
      <c r="M2184" s="127" t="str">
        <f>IF(tech_base!$T160&gt;M$2025,"",fuel_costs!E$14*0.086/tech_proj!M284/(1-tech_proj!M564))</f>
        <v/>
      </c>
      <c r="N2184" s="127" t="str">
        <f>IF(tech_base!$T160&gt;N$2025,"",fuel_costs!F$14*0.086/tech_proj!N284/(1-tech_proj!N564))</f>
        <v/>
      </c>
      <c r="O2184" s="127" t="str">
        <f>IF(tech_base!$T160&gt;O$2025,"",fuel_costs!G$14*0.086/tech_proj!O284/(1-tech_proj!O564))</f>
        <v/>
      </c>
      <c r="P2184" s="127" t="str">
        <f>IF(tech_base!$T160&gt;P$2025,"",fuel_costs!H$14*0.086/tech_proj!P284/(1-tech_proj!P564))</f>
        <v/>
      </c>
      <c r="Q2184" s="127" t="str">
        <f>IF(tech_base!$T160&gt;Q$2025,"",fuel_costs!I$14*0.086/tech_proj!Q284/(1-tech_proj!Q564))</f>
        <v/>
      </c>
      <c r="R2184" s="127" t="str">
        <f>IF(tech_base!$T160&gt;R$2025,"",fuel_costs!J$14*0.086/tech_proj!R284/(1-tech_proj!R564))</f>
        <v/>
      </c>
      <c r="S2184" s="127" t="str">
        <f>IF(tech_base!$T160&gt;S$2025,"",fuel_costs!K$14*0.086/tech_proj!S284/(1-tech_proj!S564))</f>
        <v/>
      </c>
      <c r="T2184" s="127" t="str">
        <f>IF(tech_base!$T160&gt;T$2025,"",fuel_costs!L$14*0.086/tech_proj!T284/(1-tech_proj!T564))</f>
        <v/>
      </c>
      <c r="U2184" s="127" t="str">
        <f>IF(tech_base!$T160&gt;U$2025,"",fuel_costs!M$14*0.086/tech_proj!U284/(1-tech_proj!U564))</f>
        <v/>
      </c>
      <c r="V2184" s="127" t="str">
        <f>IF(tech_base!$T160&gt;V$2025,"",fuel_costs!N$14*0.086/tech_proj!V284/(1-tech_proj!V564))</f>
        <v/>
      </c>
      <c r="W2184" s="127" t="str">
        <f>IF(tech_base!$T160&gt;W$2025,"",fuel_costs!O$14*0.086/tech_proj!W284/(1-tech_proj!W564))</f>
        <v/>
      </c>
      <c r="X2184" s="127" t="str">
        <f>IF(tech_base!$T160&gt;X$2025,"",fuel_costs!P$14*0.086/tech_proj!X284/(1-tech_proj!X564))</f>
        <v/>
      </c>
      <c r="Y2184" s="127" t="str">
        <f>IF(tech_base!$T160&gt;Y$2025,"",fuel_costs!Q$14*0.086/tech_proj!Y284/(1-tech_proj!Y564))</f>
        <v/>
      </c>
      <c r="Z2184" s="127" t="str">
        <f>IF(tech_base!$T160&gt;Z$2025,"",fuel_costs!R$14*0.086/tech_proj!Z284/(1-tech_proj!Z564))</f>
        <v/>
      </c>
      <c r="AA2184" s="127" t="str">
        <f>IF(tech_base!$T160&gt;AA$2025,"",fuel_costs!S$14*0.086/tech_proj!AA284/(1-tech_proj!AA564))</f>
        <v/>
      </c>
      <c r="AB2184" s="127" t="str">
        <f>IF(tech_base!$T160&gt;AB$2025,"",fuel_costs!T$14*0.086/tech_proj!AB284/(1-tech_proj!AB564))</f>
        <v/>
      </c>
      <c r="AC2184" s="127" t="str">
        <f>IF(tech_base!$T160&gt;AC$2025,"",fuel_costs!U$14*0.086/tech_proj!AC284/(1-tech_proj!AC564))</f>
        <v/>
      </c>
      <c r="AD2184" s="127" t="str">
        <f>IF(tech_base!$T160&gt;AD$2025,"",fuel_costs!V$14*0.086/tech_proj!AD284/(1-tech_proj!AD564))</f>
        <v/>
      </c>
      <c r="AE2184" s="127">
        <f>IF(tech_base!$T160&gt;AE$2025,"",fuel_costs!W$14*0.086/tech_proj!AE284/(1-tech_proj!AE564))</f>
        <v>367.13983666935201</v>
      </c>
      <c r="AF2184" s="127">
        <f>IF(tech_base!$T160&gt;AF$2025,"",fuel_costs!X$14*0.086/tech_proj!AF284/(1-tech_proj!AF564))</f>
        <v>368.94441714285693</v>
      </c>
      <c r="AG2184" s="127">
        <f>IF(tech_base!$T160&gt;AG$2025,"",fuel_costs!Y$14*0.086/tech_proj!AG284/(1-tech_proj!AG564))</f>
        <v>370.9672301327422</v>
      </c>
      <c r="AH2184" s="127">
        <f>IF(tech_base!$T160&gt;AH$2025,"",fuel_costs!Z$14*0.086/tech_proj!AH284/(1-tech_proj!AH564))</f>
        <v>373.20775539150117</v>
      </c>
      <c r="AI2184" s="127">
        <f>IF(tech_base!$T160&gt;AI$2025,"",fuel_costs!AA$14*0.086/tech_proj!AI284/(1-tech_proj!AI564))</f>
        <v>375.68693198508919</v>
      </c>
      <c r="AJ2184" s="127">
        <f>IF(tech_base!$T160&gt;AJ$2025,"",fuel_costs!AB$14*0.086/tech_proj!AJ284/(1-tech_proj!AJ564))</f>
        <v>378.44775797748753</v>
      </c>
      <c r="AK2184" s="127">
        <f>IF(tech_base!$T160&gt;AK$2025,"",fuel_costs!AC$14*0.086/tech_proj!AK284/(1-tech_proj!AK564))</f>
        <v>381.54344948152158</v>
      </c>
      <c r="AL2184" s="127">
        <f>IF(tech_base!$T160&gt;AL$2025,"",fuel_costs!AD$14*0.086/tech_proj!AL284/(1-tech_proj!AL564))</f>
        <v>384.87254627008275</v>
      </c>
      <c r="AM2184" s="127">
        <f>IF(tech_base!$T160&gt;AM$2025,"",fuel_costs!AE$14*0.086/tech_proj!AM284/(1-tech_proj!AM564))</f>
        <v>388.31028626428076</v>
      </c>
      <c r="AN2184" s="127">
        <f>IF(tech_base!$T160&gt;AN$2025,"",fuel_costs!AF$14*0.086/tech_proj!AN284/(1-tech_proj!AN564))</f>
        <v>391.81547290397765</v>
      </c>
      <c r="AO2184" s="127">
        <f>IF(tech_base!$T160&gt;AO$2025,"",fuel_costs!AG$14*0.086/tech_proj!AO284/(1-tech_proj!AO564))</f>
        <v>392.41663841214313</v>
      </c>
      <c r="AP2184" s="127">
        <f>IF(tech_base!$T160&gt;AP$2025,"",fuel_costs!AH$14*0.086/tech_proj!AP284/(1-tech_proj!AP564))</f>
        <v>393.79828596964512</v>
      </c>
      <c r="AQ2184" s="127">
        <f>IF(tech_base!$T160&gt;AQ$2025,"",fuel_costs!AI$14*0.086/tech_proj!AQ284/(1-tech_proj!AQ564))</f>
        <v>395.24988196793754</v>
      </c>
      <c r="AR2184" s="127">
        <f>IF(tech_base!$T160&gt;AR$2025,"",fuel_costs!AJ$14*0.086/tech_proj!AR284/(1-tech_proj!AR564))</f>
        <v>398.04568038843053</v>
      </c>
      <c r="AS2184" s="127">
        <f>IF(tech_base!$T160&gt;AS$2025,"",fuel_costs!AK$14*0.086/tech_proj!AS284/(1-tech_proj!AS564))</f>
        <v>399.64940628367901</v>
      </c>
      <c r="AT2184" s="127">
        <f>IF(tech_base!$T160&gt;AT$2025,"",fuel_costs!AL$14*0.086/tech_proj!AT284/(1-tech_proj!AT564))</f>
        <v>401.25377253131148</v>
      </c>
      <c r="AU2184" s="127">
        <f>IF(tech_base!$T160&gt;AU$2025,"",fuel_costs!AM$14*0.086/tech_proj!AU284/(1-tech_proj!AU564))</f>
        <v>402.83120323534342</v>
      </c>
      <c r="AV2184" s="127">
        <f>IF(tech_base!$T160&gt;AV$2025,"",fuel_costs!AN$14*0.086/tech_proj!AV284/(1-tech_proj!AV564))</f>
        <v>404.36666523353733</v>
      </c>
      <c r="AW2184" s="127">
        <f>IF(tech_base!$T160&gt;AW$2025,"",fuel_costs!AO$14*0.086/tech_proj!AW284/(1-tech_proj!AW564))</f>
        <v>405.84880225882046</v>
      </c>
      <c r="AX2184" s="128">
        <f>IF(tech_base!$T160&gt;AX$2025,"",fuel_costs!AP$14*0.086/tech_proj!AX284/(1-tech_proj!AX564))</f>
        <v>407.71686155197165</v>
      </c>
    </row>
    <row r="2185" spans="1:50" x14ac:dyDescent="0.25">
      <c r="A2185" s="356"/>
      <c r="B2185" s="358" t="s">
        <v>19</v>
      </c>
      <c r="C2185" s="353" t="s">
        <v>6</v>
      </c>
      <c r="D2185" s="3" t="s">
        <v>7</v>
      </c>
      <c r="E2185" s="77" t="str">
        <f>A2165&amp;"/"&amp;B2185&amp;"/"&amp;C2185&amp;"/"&amp;D2185</f>
        <v>Diesel oil fired power plants/Steam turbine/Electricity only/L</v>
      </c>
      <c r="F2185" s="77" t="str">
        <f>A2165</f>
        <v>Diesel oil fired power plants</v>
      </c>
      <c r="G2185" s="77" t="str">
        <f>B2185</f>
        <v>Steam turbine</v>
      </c>
      <c r="H2185" s="77" t="str">
        <f>C2185</f>
        <v>Electricity only</v>
      </c>
      <c r="I2185" s="77" t="str">
        <f t="shared" si="389"/>
        <v>L</v>
      </c>
      <c r="J2185" s="121">
        <f>IF(tech_base!$T161&gt;J$2025,"",fuel_costs!B$14*0.086/tech_proj!J285/(1-tech_proj!J565))</f>
        <v>170.11289429276965</v>
      </c>
      <c r="K2185" s="121">
        <f>IF(tech_base!$T161&gt;K$2025,"",fuel_costs!C$14*0.086/tech_proj!K285/(1-tech_proj!K565))</f>
        <v>201.19954485360896</v>
      </c>
      <c r="L2185" s="121">
        <f>IF(tech_base!$T161&gt;L$2025,"",fuel_costs!D$14*0.086/tech_proj!L285/(1-tech_proj!L565))</f>
        <v>211.09361019123776</v>
      </c>
      <c r="M2185" s="121">
        <f>IF(tech_base!$T161&gt;M$2025,"",fuel_costs!E$14*0.086/tech_proj!M285/(1-tech_proj!M565))</f>
        <v>203.90729180462662</v>
      </c>
      <c r="N2185" s="121">
        <f>IF(tech_base!$T161&gt;N$2025,"",fuel_costs!F$14*0.086/tech_proj!N285/(1-tech_proj!N565))</f>
        <v>192.0883103822454</v>
      </c>
      <c r="O2185" s="121">
        <f>IF(tech_base!$T161&gt;O$2025,"",fuel_costs!G$14*0.086/tech_proj!O285/(1-tech_proj!O565))</f>
        <v>150.59036872179118</v>
      </c>
      <c r="P2185" s="121">
        <f>IF(tech_base!$T161&gt;P$2025,"",fuel_costs!H$14*0.086/tech_proj!P285/(1-tech_proj!P565))</f>
        <v>140.70543542450113</v>
      </c>
      <c r="Q2185" s="121">
        <f>IF(tech_base!$T161&gt;Q$2025,"",fuel_costs!I$14*0.086/tech_proj!Q285/(1-tech_proj!Q565))</f>
        <v>152.96720036755852</v>
      </c>
      <c r="R2185" s="121">
        <f>IF(tech_base!$T161&gt;R$2025,"",fuel_costs!J$14*0.086/tech_proj!R285/(1-tech_proj!R565))</f>
        <v>163.93480874105308</v>
      </c>
      <c r="S2185" s="121">
        <f>IF(tech_base!$T161&gt;S$2025,"",fuel_costs!K$14*0.086/tech_proj!S285/(1-tech_proj!S565))</f>
        <v>173.5746818199614</v>
      </c>
      <c r="T2185" s="121">
        <f>IF(tech_base!$T161&gt;T$2025,"",fuel_costs!L$14*0.086/tech_proj!T285/(1-tech_proj!T565))</f>
        <v>182.87739810464168</v>
      </c>
      <c r="U2185" s="121">
        <f>IF(tech_base!$T161&gt;U$2025,"",fuel_costs!M$14*0.086/tech_proj!U285/(1-tech_proj!U565))</f>
        <v>191.7484887689958</v>
      </c>
      <c r="V2185" s="121">
        <f>IF(tech_base!$T161&gt;V$2025,"",fuel_costs!N$14*0.086/tech_proj!V285/(1-tech_proj!V565))</f>
        <v>197.75131580467206</v>
      </c>
      <c r="W2185" s="121">
        <f>IF(tech_base!$T161&gt;W$2025,"",fuel_costs!O$14*0.086/tech_proj!W285/(1-tech_proj!W565))</f>
        <v>205.06981068373562</v>
      </c>
      <c r="X2185" s="121">
        <f>IF(tech_base!$T161&gt;X$2025,"",fuel_costs!P$14*0.086/tech_proj!X285/(1-tech_proj!X565))</f>
        <v>211.44389714107163</v>
      </c>
      <c r="Y2185" s="121">
        <f>IF(tech_base!$T161&gt;Y$2025,"",fuel_costs!Q$14*0.086/tech_proj!Y285/(1-tech_proj!Y565))</f>
        <v>216.87895450004677</v>
      </c>
      <c r="Z2185" s="121">
        <f>IF(tech_base!$T161&gt;Z$2025,"",fuel_costs!R$14*0.086/tech_proj!Z285/(1-tech_proj!Z565))</f>
        <v>220.42867267777606</v>
      </c>
      <c r="AA2185" s="121">
        <f>IF(tech_base!$T161&gt;AA$2025,"",fuel_costs!S$14*0.086/tech_proj!AA285/(1-tech_proj!AA565))</f>
        <v>223.66159306688385</v>
      </c>
      <c r="AB2185" s="121">
        <f>IF(tech_base!$T161&gt;AB$2025,"",fuel_costs!T$14*0.086/tech_proj!AB285/(1-tech_proj!AB565))</f>
        <v>225.93303584630942</v>
      </c>
      <c r="AC2185" s="121">
        <f>IF(tech_base!$T161&gt;AC$2025,"",fuel_costs!U$14*0.086/tech_proj!AC285/(1-tech_proj!AC565))</f>
        <v>229.37294606824915</v>
      </c>
      <c r="AD2185" s="121">
        <f>IF(tech_base!$T161&gt;AD$2025,"",fuel_costs!V$14*0.086/tech_proj!AD285/(1-tech_proj!AD565))</f>
        <v>231.5471308943232</v>
      </c>
      <c r="AE2185" s="121">
        <f>IF(tech_base!$T161&gt;AE$2025,"",fuel_costs!W$14*0.086/tech_proj!AE285/(1-tech_proj!AE565))</f>
        <v>233.63331348346571</v>
      </c>
      <c r="AF2185" s="121">
        <f>IF(tech_base!$T161&gt;AF$2025,"",fuel_costs!X$14*0.086/tech_proj!AF285/(1-tech_proj!AF565))</f>
        <v>234.7765989666035</v>
      </c>
      <c r="AG2185" s="121">
        <f>IF(tech_base!$T161&gt;AG$2025,"",fuel_costs!Y$14*0.086/tech_proj!AG285/(1-tech_proj!AG565))</f>
        <v>236.05883126647959</v>
      </c>
      <c r="AH2185" s="121">
        <f>IF(tech_base!$T161&gt;AH$2025,"",fuel_costs!Z$14*0.086/tech_proj!AH285/(1-tech_proj!AH565))</f>
        <v>237.47967003998596</v>
      </c>
      <c r="AI2185" s="121">
        <f>IF(tech_base!$T161&gt;AI$2025,"",fuel_costs!AA$14*0.086/tech_proj!AI285/(1-tech_proj!AI565))</f>
        <v>239.05243009546882</v>
      </c>
      <c r="AJ2185" s="121">
        <f>IF(tech_base!$T161&gt;AJ$2025,"",fuel_costs!AB$14*0.086/tech_proj!AJ285/(1-tech_proj!AJ565))</f>
        <v>240.80446162148084</v>
      </c>
      <c r="AK2185" s="121">
        <f>IF(tech_base!$T161&gt;AK$2025,"",fuel_costs!AC$14*0.086/tech_proj!AK285/(1-tech_proj!AK565))</f>
        <v>242.76961471037475</v>
      </c>
      <c r="AL2185" s="121">
        <f>IF(tech_base!$T161&gt;AL$2025,"",fuel_costs!AD$14*0.086/tech_proj!AL285/(1-tech_proj!AL565))</f>
        <v>244.88332132276287</v>
      </c>
      <c r="AM2185" s="121">
        <f>IF(tech_base!$T161&gt;AM$2025,"",fuel_costs!AE$14*0.086/tech_proj!AM285/(1-tech_proj!AM565))</f>
        <v>247.06619261753056</v>
      </c>
      <c r="AN2185" s="121">
        <f>IF(tech_base!$T161&gt;AN$2025,"",fuel_costs!AF$14*0.086/tech_proj!AN285/(1-tech_proj!AN565))</f>
        <v>249.29201414142628</v>
      </c>
      <c r="AO2185" s="121">
        <f>IF(tech_base!$T161&gt;AO$2025,"",fuel_costs!AG$14*0.086/tech_proj!AO285/(1-tech_proj!AO565))</f>
        <v>249.67022461111489</v>
      </c>
      <c r="AP2185" s="121">
        <f>IF(tech_base!$T161&gt;AP$2025,"",fuel_costs!AH$14*0.086/tech_proj!AP285/(1-tech_proj!AP565))</f>
        <v>250.54509741998143</v>
      </c>
      <c r="AQ2185" s="121">
        <f>IF(tech_base!$T161&gt;AQ$2025,"",fuel_costs!AI$14*0.086/tech_proj!AQ285/(1-tech_proj!AQ565))</f>
        <v>251.46455304344101</v>
      </c>
      <c r="AR2185" s="121">
        <f>IF(tech_base!$T161&gt;AR$2025,"",fuel_costs!AJ$14*0.086/tech_proj!AR285/(1-tech_proj!AR565))</f>
        <v>253.23927678101222</v>
      </c>
      <c r="AS2185" s="121">
        <f>IF(tech_base!$T161&gt;AS$2025,"",fuel_costs!AK$14*0.086/tech_proj!AS285/(1-tech_proj!AS565))</f>
        <v>254.2556578881462</v>
      </c>
      <c r="AT2185" s="121">
        <f>IF(tech_base!$T161&gt;AT$2025,"",fuel_costs!AL$14*0.086/tech_proj!AT285/(1-tech_proj!AT565))</f>
        <v>255.27251895500828</v>
      </c>
      <c r="AU2185" s="121">
        <f>IF(tech_base!$T161&gt;AU$2025,"",fuel_costs!AM$14*0.086/tech_proj!AU285/(1-tech_proj!AU565))</f>
        <v>256.2723156112632</v>
      </c>
      <c r="AV2185" s="121">
        <f>IF(tech_base!$T161&gt;AV$2025,"",fuel_costs!AN$14*0.086/tech_proj!AV285/(1-tech_proj!AV565))</f>
        <v>257.2454837812956</v>
      </c>
      <c r="AW2185" s="121">
        <f>IF(tech_base!$T161&gt;AW$2025,"",fuel_costs!AO$14*0.086/tech_proj!AW285/(1-tech_proj!AW565))</f>
        <v>258.18479897414016</v>
      </c>
      <c r="AX2185" s="122">
        <f>IF(tech_base!$T161&gt;AX$2025,"",fuel_costs!AP$14*0.086/tech_proj!AX285/(1-tech_proj!AX565))</f>
        <v>259.36968912396878</v>
      </c>
    </row>
    <row r="2186" spans="1:50" x14ac:dyDescent="0.25">
      <c r="A2186" s="356"/>
      <c r="B2186" s="376"/>
      <c r="C2186" s="378"/>
      <c r="D2186" s="2" t="s">
        <v>8</v>
      </c>
      <c r="E2186" s="76" t="str">
        <f>A2165&amp;"/"&amp;B2185&amp;"/"&amp;C2185&amp;"/"&amp;D2186</f>
        <v>Diesel oil fired power plants/Steam turbine/Electricity only/M</v>
      </c>
      <c r="F2186" s="76" t="str">
        <f>A2165</f>
        <v>Diesel oil fired power plants</v>
      </c>
      <c r="G2186" s="76" t="str">
        <f>B2185</f>
        <v>Steam turbine</v>
      </c>
      <c r="H2186" s="76" t="str">
        <f>C2185</f>
        <v>Electricity only</v>
      </c>
      <c r="I2186" s="76" t="str">
        <f t="shared" si="389"/>
        <v>M</v>
      </c>
      <c r="J2186" s="119">
        <f>IF(tech_base!$T162&gt;J$2025,"",fuel_costs!B$14*0.086/tech_proj!J286/(1-tech_proj!J566))</f>
        <v>179.06008275817595</v>
      </c>
      <c r="K2186" s="119">
        <f>IF(tech_base!$T162&gt;K$2025,"",fuel_costs!C$14*0.086/tech_proj!K286/(1-tech_proj!K566))</f>
        <v>211.7836356198107</v>
      </c>
      <c r="L2186" s="119">
        <f>IF(tech_base!$T162&gt;L$2025,"",fuel_costs!D$14*0.086/tech_proj!L286/(1-tech_proj!L566))</f>
        <v>222.20010863677393</v>
      </c>
      <c r="M2186" s="119">
        <f>IF(tech_base!$T162&gt;M$2025,"",fuel_costs!E$14*0.086/tech_proj!M286/(1-tech_proj!M566))</f>
        <v>214.6375127417048</v>
      </c>
      <c r="N2186" s="119">
        <f>IF(tech_base!$T162&gt;N$2025,"",fuel_costs!F$14*0.086/tech_proj!N286/(1-tech_proj!N566))</f>
        <v>202.19826080383072</v>
      </c>
      <c r="O2186" s="119">
        <f>IF(tech_base!$T162&gt;O$2025,"",fuel_costs!G$14*0.086/tech_proj!O286/(1-tech_proj!O566))</f>
        <v>158.51749612222804</v>
      </c>
      <c r="P2186" s="119">
        <f>IF(tech_base!$T162&gt;P$2025,"",fuel_costs!H$14*0.086/tech_proj!P286/(1-tech_proj!P566))</f>
        <v>148.11339257923802</v>
      </c>
      <c r="Q2186" s="119">
        <f>IF(tech_base!$T162&gt;Q$2025,"",fuel_costs!I$14*0.086/tech_proj!Q286/(1-tech_proj!Q566))</f>
        <v>161.02197270633224</v>
      </c>
      <c r="R2186" s="119">
        <f>IF(tech_base!$T162&gt;R$2025,"",fuel_costs!J$14*0.086/tech_proj!R286/(1-tech_proj!R566))</f>
        <v>172.56840901053911</v>
      </c>
      <c r="S2186" s="119">
        <f>IF(tech_base!$T162&gt;S$2025,"",fuel_costs!K$14*0.086/tech_proj!S286/(1-tech_proj!S566))</f>
        <v>182.71731744123935</v>
      </c>
      <c r="T2186" s="119">
        <f>IF(tech_base!$T162&gt;T$2025,"",fuel_costs!L$14*0.086/tech_proj!T286/(1-tech_proj!T566))</f>
        <v>192.51142456554473</v>
      </c>
      <c r="U2186" s="119">
        <f>IF(tech_base!$T162&gt;U$2025,"",fuel_costs!M$14*0.086/tech_proj!U286/(1-tech_proj!U566))</f>
        <v>201.85127201190349</v>
      </c>
      <c r="V2186" s="119">
        <f>IF(tech_base!$T162&gt;V$2025,"",fuel_costs!N$14*0.086/tech_proj!V286/(1-tech_proj!V566))</f>
        <v>208.1718094935203</v>
      </c>
      <c r="W2186" s="119">
        <f>IF(tech_base!$T162&gt;W$2025,"",fuel_costs!O$14*0.086/tech_proj!W286/(1-tech_proj!W566))</f>
        <v>215.87740512583781</v>
      </c>
      <c r="X2186" s="119">
        <f>IF(tech_base!$T162&gt;X$2025,"",fuel_costs!P$14*0.086/tech_proj!X286/(1-tech_proj!X566))</f>
        <v>222.58888123478857</v>
      </c>
      <c r="Y2186" s="119">
        <f>IF(tech_base!$T162&gt;Y$2025,"",fuel_costs!Q$14*0.086/tech_proj!Y286/(1-tech_proj!Y566))</f>
        <v>228.31187853304559</v>
      </c>
      <c r="Z2186" s="119">
        <f>IF(tech_base!$T162&gt;Z$2025,"",fuel_costs!R$14*0.086/tech_proj!Z286/(1-tech_proj!Z566))</f>
        <v>232.05017425271464</v>
      </c>
      <c r="AA2186" s="119">
        <f>IF(tech_base!$T162&gt;AA$2025,"",fuel_costs!S$14*0.086/tech_proj!AA286/(1-tech_proj!AA566))</f>
        <v>235.45497861764443</v>
      </c>
      <c r="AB2186" s="119">
        <f>IF(tech_base!$T162&gt;AB$2025,"",fuel_costs!T$14*0.086/tech_proj!AB286/(1-tech_proj!AB566))</f>
        <v>237.84760765538994</v>
      </c>
      <c r="AC2186" s="119">
        <f>IF(tech_base!$T162&gt;AC$2025,"",fuel_costs!U$14*0.086/tech_proj!AC286/(1-tech_proj!AC566))</f>
        <v>241.47032355805626</v>
      </c>
      <c r="AD2186" s="119">
        <f>IF(tech_base!$T162&gt;AD$2025,"",fuel_costs!V$14*0.086/tech_proj!AD286/(1-tech_proj!AD566))</f>
        <v>243.76055754534843</v>
      </c>
      <c r="AE2186" s="119">
        <f>IF(tech_base!$T162&gt;AE$2025,"",fuel_costs!W$14*0.086/tech_proj!AE286/(1-tech_proj!AE566))</f>
        <v>245.95813810639996</v>
      </c>
      <c r="AF2186" s="119">
        <f>IF(tech_base!$T162&gt;AF$2025,"",fuel_costs!X$14*0.086/tech_proj!AF286/(1-tech_proj!AF566))</f>
        <v>247.16306561643921</v>
      </c>
      <c r="AG2186" s="119">
        <f>IF(tech_base!$T162&gt;AG$2025,"",fuel_costs!Y$14*0.086/tech_proj!AG286/(1-tech_proj!AG566))</f>
        <v>248.51425062625728</v>
      </c>
      <c r="AH2186" s="119">
        <f>IF(tech_base!$T162&gt;AH$2025,"",fuel_costs!Z$14*0.086/tech_proj!AH286/(1-tech_proj!AH566))</f>
        <v>250.01133728257213</v>
      </c>
      <c r="AI2186" s="119">
        <f>IF(tech_base!$T162&gt;AI$2025,"",fuel_costs!AA$14*0.086/tech_proj!AI286/(1-tech_proj!AI566))</f>
        <v>251.66834541630254</v>
      </c>
      <c r="AJ2186" s="119">
        <f>IF(tech_base!$T162&gt;AJ$2025,"",fuel_costs!AB$14*0.086/tech_proj!AJ286/(1-tech_proj!AJ566))</f>
        <v>253.51407119267273</v>
      </c>
      <c r="AK2186" s="119">
        <f>IF(tech_base!$T162&gt;AK$2025,"",fuel_costs!AC$14*0.086/tech_proj!AK286/(1-tech_proj!AK566))</f>
        <v>255.58415421189159</v>
      </c>
      <c r="AL2186" s="119">
        <f>IF(tech_base!$T162&gt;AL$2025,"",fuel_costs!AD$14*0.086/tech_proj!AL286/(1-tech_proj!AL566))</f>
        <v>257.81062101575787</v>
      </c>
      <c r="AM2186" s="119">
        <f>IF(tech_base!$T162&gt;AM$2025,"",fuel_costs!AE$14*0.086/tech_proj!AM286/(1-tech_proj!AM566))</f>
        <v>260.10989352005697</v>
      </c>
      <c r="AN2186" s="119">
        <f>IF(tech_base!$T162&gt;AN$2025,"",fuel_costs!AF$14*0.086/tech_proj!AN286/(1-tech_proj!AN566))</f>
        <v>262.45437402288383</v>
      </c>
      <c r="AO2186" s="119">
        <f>IF(tech_base!$T162&gt;AO$2025,"",fuel_costs!AG$14*0.086/tech_proj!AO286/(1-tech_proj!AO566))</f>
        <v>262.85367354446436</v>
      </c>
      <c r="AP2186" s="119">
        <f>IF(tech_base!$T162&gt;AP$2025,"",fuel_costs!AH$14*0.086/tech_proj!AP286/(1-tech_proj!AP566))</f>
        <v>263.77583710757966</v>
      </c>
      <c r="AQ2186" s="119">
        <f>IF(tech_base!$T162&gt;AQ$2025,"",fuel_costs!AI$14*0.086/tech_proj!AQ286/(1-tech_proj!AQ566))</f>
        <v>264.74491680152397</v>
      </c>
      <c r="AR2186" s="119">
        <f>IF(tech_base!$T162&gt;AR$2025,"",fuel_costs!AJ$14*0.086/tech_proj!AR286/(1-tech_proj!AR566))</f>
        <v>266.61441616620345</v>
      </c>
      <c r="AS2186" s="119">
        <f>IF(tech_base!$T162&gt;AS$2025,"",fuel_costs!AK$14*0.086/tech_proj!AS286/(1-tech_proj!AS566))</f>
        <v>267.68550383335958</v>
      </c>
      <c r="AT2186" s="119">
        <f>IF(tech_base!$T162&gt;AT$2025,"",fuel_costs!AL$14*0.086/tech_proj!AT286/(1-tech_proj!AT566))</f>
        <v>268.75707770631897</v>
      </c>
      <c r="AU2186" s="119">
        <f>IF(tech_base!$T162&gt;AU$2025,"",fuel_costs!AM$14*0.086/tech_proj!AU286/(1-tech_proj!AU566))</f>
        <v>269.81066690175106</v>
      </c>
      <c r="AV2186" s="119">
        <f>IF(tech_base!$T162&gt;AV$2025,"",fuel_costs!AN$14*0.086/tech_proj!AV286/(1-tech_proj!AV566))</f>
        <v>270.8362021823101</v>
      </c>
      <c r="AW2186" s="119">
        <f>IF(tech_base!$T162&gt;AW$2025,"",fuel_costs!AO$14*0.086/tech_proj!AW286/(1-tech_proj!AW566))</f>
        <v>271.82607737936138</v>
      </c>
      <c r="AX2186" s="120">
        <f>IF(tech_base!$T162&gt;AX$2025,"",fuel_costs!AP$14*0.086/tech_proj!AX286/(1-tech_proj!AX566))</f>
        <v>273.07448504658834</v>
      </c>
    </row>
    <row r="2187" spans="1:50" x14ac:dyDescent="0.25">
      <c r="A2187" s="356"/>
      <c r="B2187" s="376"/>
      <c r="C2187" s="379"/>
      <c r="D2187" s="2" t="s">
        <v>10</v>
      </c>
      <c r="E2187" s="76" t="str">
        <f>A2165&amp;"/"&amp;B2185&amp;"/"&amp;C2185&amp;"/"&amp;D2187</f>
        <v>Diesel oil fired power plants/Steam turbine/Electricity only/S</v>
      </c>
      <c r="F2187" s="76" t="str">
        <f>A2165</f>
        <v>Diesel oil fired power plants</v>
      </c>
      <c r="G2187" s="76" t="str">
        <f>B2185</f>
        <v>Steam turbine</v>
      </c>
      <c r="H2187" s="76" t="str">
        <f>C2185</f>
        <v>Electricity only</v>
      </c>
      <c r="I2187" s="76" t="str">
        <f t="shared" si="389"/>
        <v>S</v>
      </c>
      <c r="J2187" s="119">
        <f>IF(tech_base!$T163&gt;J$2025,"",fuel_costs!B$14*0.086/tech_proj!J287/(1-tech_proj!J567))</f>
        <v>188.50236221166597</v>
      </c>
      <c r="K2187" s="119">
        <f>IF(tech_base!$T163&gt;K$2025,"",fuel_costs!C$14*0.086/tech_proj!K287/(1-tech_proj!K567))</f>
        <v>222.95249909074616</v>
      </c>
      <c r="L2187" s="119">
        <f>IF(tech_base!$T163&gt;L$2025,"",fuel_costs!D$14*0.086/tech_proj!L287/(1-tech_proj!L567))</f>
        <v>233.91932370267912</v>
      </c>
      <c r="M2187" s="119">
        <f>IF(tech_base!$T163&gt;M$2025,"",fuel_costs!E$14*0.086/tech_proj!M287/(1-tech_proj!M567))</f>
        <v>225.95882399597687</v>
      </c>
      <c r="N2187" s="119">
        <f>IF(tech_base!$T163&gt;N$2025,"",fuel_costs!F$14*0.086/tech_proj!N287/(1-tech_proj!N567))</f>
        <v>212.86433370690699</v>
      </c>
      <c r="O2187" s="119">
        <f>IF(tech_base!$T163&gt;O$2025,"",fuel_costs!G$14*0.086/tech_proj!O287/(1-tech_proj!O567))</f>
        <v>166.88006211551055</v>
      </c>
      <c r="P2187" s="119">
        <f>IF(tech_base!$T163&gt;P$2025,"",fuel_costs!H$14*0.086/tech_proj!P287/(1-tech_proj!P567))</f>
        <v>155.9277111284552</v>
      </c>
      <c r="Q2187" s="119">
        <f>IF(tech_base!$T163&gt;Q$2025,"",fuel_costs!I$14*0.086/tech_proj!Q287/(1-tech_proj!Q567))</f>
        <v>169.517993533122</v>
      </c>
      <c r="R2187" s="119">
        <f>IF(tech_base!$T163&gt;R$2025,"",fuel_costs!J$14*0.086/tech_proj!R287/(1-tech_proj!R567))</f>
        <v>181.67434499630718</v>
      </c>
      <c r="S2187" s="119">
        <f>IF(tech_base!$T163&gt;S$2025,"",fuel_costs!K$14*0.086/tech_proj!S287/(1-tech_proj!S567))</f>
        <v>192.35949491943043</v>
      </c>
      <c r="T2187" s="119">
        <f>IF(tech_base!$T163&gt;T$2025,"",fuel_costs!L$14*0.086/tech_proj!T287/(1-tech_proj!T567))</f>
        <v>202.67118069500981</v>
      </c>
      <c r="U2187" s="119">
        <f>IF(tech_base!$T163&gt;U$2025,"",fuel_costs!M$14*0.086/tech_proj!U287/(1-tech_proj!U567))</f>
        <v>212.50468826044826</v>
      </c>
      <c r="V2187" s="119">
        <f>IF(tech_base!$T163&gt;V$2025,"",fuel_costs!N$14*0.086/tech_proj!V287/(1-tech_proj!V567))</f>
        <v>219.15957112716259</v>
      </c>
      <c r="W2187" s="119">
        <f>IF(tech_base!$T163&gt;W$2025,"",fuel_costs!O$14*0.086/tech_proj!W287/(1-tech_proj!W567))</f>
        <v>227.27265091300944</v>
      </c>
      <c r="X2187" s="119">
        <f>IF(tech_base!$T163&gt;X$2025,"",fuel_costs!P$14*0.086/tech_proj!X287/(1-tech_proj!X567))</f>
        <v>234.33916816655915</v>
      </c>
      <c r="Y2187" s="119">
        <f>IF(tech_base!$T163&gt;Y$2025,"",fuel_costs!Q$14*0.086/tech_proj!Y287/(1-tech_proj!Y567))</f>
        <v>240.36504969333436</v>
      </c>
      <c r="Z2187" s="119">
        <f>IF(tech_base!$T163&gt;Z$2025,"",fuel_costs!R$14*0.086/tech_proj!Z287/(1-tech_proj!Z567))</f>
        <v>244.30146517200248</v>
      </c>
      <c r="AA2187" s="119">
        <f>IF(tech_base!$T163&gt;AA$2025,"",fuel_costs!S$14*0.086/tech_proj!AA287/(1-tech_proj!AA567))</f>
        <v>247.88678701291383</v>
      </c>
      <c r="AB2187" s="119">
        <f>IF(tech_base!$T163&gt;AB$2025,"",fuel_costs!T$14*0.086/tech_proj!AB287/(1-tech_proj!AB567))</f>
        <v>250.40649153338003</v>
      </c>
      <c r="AC2187" s="119">
        <f>IF(tech_base!$T163&gt;AC$2025,"",fuel_costs!U$14*0.086/tech_proj!AC287/(1-tech_proj!AC567))</f>
        <v>254.22123449162288</v>
      </c>
      <c r="AD2187" s="119">
        <f>IF(tech_base!$T163&gt;AD$2025,"",fuel_costs!V$14*0.086/tech_proj!AD287/(1-tech_proj!AD567))</f>
        <v>256.63313308917355</v>
      </c>
      <c r="AE2187" s="119">
        <f>IF(tech_base!$T163&gt;AE$2025,"",fuel_costs!W$14*0.086/tech_proj!AE287/(1-tech_proj!AE567))</f>
        <v>258.94748053613603</v>
      </c>
      <c r="AF2187" s="119">
        <f>IF(tech_base!$T163&gt;AF$2025,"",fuel_costs!X$14*0.086/tech_proj!AF287/(1-tech_proj!AF567))</f>
        <v>260.21674366452146</v>
      </c>
      <c r="AG2187" s="119">
        <f>IF(tech_base!$T163&gt;AG$2025,"",fuel_costs!Y$14*0.086/tech_proj!AG287/(1-tech_proj!AG567))</f>
        <v>261.63997827777695</v>
      </c>
      <c r="AH2187" s="119">
        <f>IF(tech_base!$T163&gt;AH$2025,"",fuel_costs!Z$14*0.086/tech_proj!AH287/(1-tech_proj!AH567))</f>
        <v>263.2168110155369</v>
      </c>
      <c r="AI2187" s="119">
        <f>IF(tech_base!$T163&gt;AI$2025,"",fuel_costs!AA$14*0.086/tech_proj!AI287/(1-tech_proj!AI567))</f>
        <v>264.96200349635234</v>
      </c>
      <c r="AJ2187" s="119">
        <f>IF(tech_base!$T163&gt;AJ$2025,"",fuel_costs!AB$14*0.086/tech_proj!AJ287/(1-tech_proj!AJ567))</f>
        <v>266.90587431826862</v>
      </c>
      <c r="AK2187" s="119">
        <f>IF(tech_base!$T163&gt;AK$2025,"",fuel_costs!AC$14*0.086/tech_proj!AK287/(1-tech_proj!AK567))</f>
        <v>269.08594726380312</v>
      </c>
      <c r="AL2187" s="119">
        <f>IF(tech_base!$T163&gt;AL$2025,"",fuel_costs!AD$14*0.086/tech_proj!AL287/(1-tech_proj!AL567))</f>
        <v>271.43065949811177</v>
      </c>
      <c r="AM2187" s="119">
        <f>IF(tech_base!$T163&gt;AM$2025,"",fuel_costs!AE$14*0.086/tech_proj!AM287/(1-tech_proj!AM567))</f>
        <v>273.85201841415221</v>
      </c>
      <c r="AN2187" s="119">
        <f>IF(tech_base!$T163&gt;AN$2025,"",fuel_costs!AF$14*0.086/tech_proj!AN287/(1-tech_proj!AN567))</f>
        <v>276.3209686495079</v>
      </c>
      <c r="AO2187" s="119">
        <f>IF(tech_base!$T163&gt;AO$2025,"",fuel_costs!AG$14*0.086/tech_proj!AO287/(1-tech_proj!AO567))</f>
        <v>276.74195616761915</v>
      </c>
      <c r="AP2187" s="119">
        <f>IF(tech_base!$T163&gt;AP$2025,"",fuel_costs!AH$14*0.086/tech_proj!AP287/(1-tech_proj!AP567))</f>
        <v>277.71342154614865</v>
      </c>
      <c r="AQ2187" s="119">
        <f>IF(tech_base!$T163&gt;AQ$2025,"",fuel_costs!AI$14*0.086/tech_proj!AQ287/(1-tech_proj!AQ567))</f>
        <v>278.7342709927176</v>
      </c>
      <c r="AR2187" s="119">
        <f>IF(tech_base!$T163&gt;AR$2025,"",fuel_costs!AJ$14*0.086/tech_proj!AR287/(1-tech_proj!AR567))</f>
        <v>280.70311017750726</v>
      </c>
      <c r="AS2187" s="119">
        <f>IF(tech_base!$T163&gt;AS$2025,"",fuel_costs!AK$14*0.086/tech_proj!AS287/(1-tech_proj!AS567))</f>
        <v>281.8313386670356</v>
      </c>
      <c r="AT2187" s="119">
        <f>IF(tech_base!$T163&gt;AT$2025,"",fuel_costs!AL$14*0.086/tech_proj!AT287/(1-tech_proj!AT567))</f>
        <v>282.96006899941381</v>
      </c>
      <c r="AU2187" s="119">
        <f>IF(tech_base!$T163&gt;AU$2025,"",fuel_costs!AM$14*0.086/tech_proj!AU287/(1-tech_proj!AU567))</f>
        <v>284.06985429329819</v>
      </c>
      <c r="AV2187" s="119">
        <f>IF(tech_base!$T163&gt;AV$2025,"",fuel_costs!AN$14*0.086/tech_proj!AV287/(1-tech_proj!AV567))</f>
        <v>285.15009320852874</v>
      </c>
      <c r="AW2187" s="119">
        <f>IF(tech_base!$T163&gt;AW$2025,"",fuel_costs!AO$14*0.086/tech_proj!AW287/(1-tech_proj!AW567))</f>
        <v>286.19277758524152</v>
      </c>
      <c r="AX2187" s="120">
        <f>IF(tech_base!$T163&gt;AX$2025,"",fuel_costs!AP$14*0.086/tech_proj!AX287/(1-tech_proj!AX567))</f>
        <v>287.50764930403631</v>
      </c>
    </row>
    <row r="2188" spans="1:50" x14ac:dyDescent="0.25">
      <c r="A2188" s="356"/>
      <c r="B2188" s="376"/>
      <c r="C2188" s="361" t="s">
        <v>14</v>
      </c>
      <c r="D2188" s="58" t="s">
        <v>7</v>
      </c>
      <c r="E2188" s="78" t="str">
        <f>A2165&amp;"/"&amp;B2185&amp;"/"&amp;C2188&amp;"/"&amp;D2188</f>
        <v>Diesel oil fired power plants/Steam turbine/CHP/L</v>
      </c>
      <c r="F2188" s="78" t="str">
        <f>A2165</f>
        <v>Diesel oil fired power plants</v>
      </c>
      <c r="G2188" s="78" t="str">
        <f>B2185</f>
        <v>Steam turbine</v>
      </c>
      <c r="H2188" s="78" t="str">
        <f>C2188</f>
        <v>CHP</v>
      </c>
      <c r="I2188" s="78" t="str">
        <f t="shared" si="389"/>
        <v>L</v>
      </c>
      <c r="J2188" s="123">
        <f>IF(tech_base!$T164&gt;J$2025,"",fuel_costs!B$14*0.086/tech_proj!J288/(1-tech_proj!J568))</f>
        <v>188.05161561437356</v>
      </c>
      <c r="K2188" s="123">
        <f>IF(tech_base!$T164&gt;K$2025,"",fuel_costs!C$14*0.086/tech_proj!K288/(1-tech_proj!K568))</f>
        <v>222.4205996375008</v>
      </c>
      <c r="L2188" s="123">
        <f>IF(tech_base!$T164&gt;L$2025,"",fuel_costs!D$14*0.086/tech_proj!L288/(1-tech_proj!L568))</f>
        <v>233.36249630893005</v>
      </c>
      <c r="M2188" s="123">
        <f>IF(tech_base!$T164&gt;M$2025,"",fuel_costs!E$14*0.086/tech_proj!M288/(1-tech_proj!M568))</f>
        <v>225.42209305663044</v>
      </c>
      <c r="N2188" s="123">
        <f>IF(tech_base!$T164&gt;N$2025,"",fuel_costs!F$14*0.086/tech_proj!N288/(1-tech_proj!N568))</f>
        <v>212.35974406153588</v>
      </c>
      <c r="O2188" s="123">
        <f>IF(tech_base!$T164&gt;O$2025,"",fuel_costs!G$14*0.086/tech_proj!O288/(1-tech_proj!O568))</f>
        <v>166.4852568147368</v>
      </c>
      <c r="P2188" s="123">
        <f>IF(tech_base!$T164&gt;P$2025,"",fuel_costs!H$14*0.086/tech_proj!P288/(1-tech_proj!P568))</f>
        <v>155.55951471478807</v>
      </c>
      <c r="Q2188" s="123">
        <f>IF(tech_base!$T164&gt;Q$2025,"",fuel_costs!I$14*0.086/tech_proj!Q288/(1-tech_proj!Q568))</f>
        <v>169.11843165340565</v>
      </c>
      <c r="R2188" s="123">
        <f>IF(tech_base!$T164&gt;R$2025,"",fuel_costs!J$14*0.086/tech_proj!R288/(1-tech_proj!R568))</f>
        <v>181.24687296930117</v>
      </c>
      <c r="S2188" s="123">
        <f>IF(tech_base!$T164&gt;S$2025,"",fuel_costs!K$14*0.086/tech_proj!S288/(1-tech_proj!S568))</f>
        <v>191.90763169261209</v>
      </c>
      <c r="T2188" s="123">
        <f>IF(tech_base!$T164&gt;T$2025,"",fuel_costs!L$14*0.086/tech_proj!T288/(1-tech_proj!T568))</f>
        <v>202.19584810038194</v>
      </c>
      <c r="U2188" s="123">
        <f>IF(tech_base!$T164&gt;U$2025,"",fuel_costs!M$14*0.086/tech_proj!U288/(1-tech_proj!U568))</f>
        <v>212.00704422832985</v>
      </c>
      <c r="V2188" s="123">
        <f>IF(tech_base!$T164&gt;V$2025,"",fuel_costs!N$14*0.086/tech_proj!V288/(1-tech_proj!V568))</f>
        <v>218.6470788177013</v>
      </c>
      <c r="W2188" s="123">
        <f>IF(tech_base!$T164&gt;W$2025,"",fuel_costs!O$14*0.086/tech_proj!W288/(1-tech_proj!W568))</f>
        <v>226.74191055404569</v>
      </c>
      <c r="X2188" s="123">
        <f>IF(tech_base!$T164&gt;X$2025,"",fuel_costs!P$14*0.086/tech_proj!X288/(1-tech_proj!X568))</f>
        <v>233.79263228095786</v>
      </c>
      <c r="Y2188" s="123">
        <f>IF(tech_base!$T164&gt;Y$2025,"",fuel_costs!Q$14*0.086/tech_proj!Y288/(1-tech_proj!Y568))</f>
        <v>239.80514483169944</v>
      </c>
      <c r="Z2188" s="123">
        <f>IF(tech_base!$T164&gt;Z$2025,"",fuel_costs!R$14*0.086/tech_proj!Z288/(1-tech_proj!Z568))</f>
        <v>243.73304723812319</v>
      </c>
      <c r="AA2188" s="123">
        <f>IF(tech_base!$T164&gt;AA$2025,"",fuel_costs!S$14*0.086/tech_proj!AA288/(1-tech_proj!AA568))</f>
        <v>247.31065380417803</v>
      </c>
      <c r="AB2188" s="123">
        <f>IF(tech_base!$T164&gt;AB$2025,"",fuel_costs!T$14*0.086/tech_proj!AB288/(1-tech_proj!AB568))</f>
        <v>249.82509642931481</v>
      </c>
      <c r="AC2188" s="123">
        <f>IF(tech_base!$T164&gt;AC$2025,"",fuel_costs!U$14*0.086/tech_proj!AC288/(1-tech_proj!AC568))</f>
        <v>253.63154735048775</v>
      </c>
      <c r="AD2188" s="123">
        <f>IF(tech_base!$T164&gt;AD$2025,"",fuel_costs!V$14*0.086/tech_proj!AD288/(1-tech_proj!AD568))</f>
        <v>256.03838404264627</v>
      </c>
      <c r="AE2188" s="123">
        <f>IF(tech_base!$T164&gt;AE$2025,"",fuel_costs!W$14*0.086/tech_proj!AE288/(1-tech_proj!AE568))</f>
        <v>258.34786840935175</v>
      </c>
      <c r="AF2188" s="123">
        <f>IF(tech_base!$T164&gt;AF$2025,"",fuel_costs!X$14*0.086/tech_proj!AF288/(1-tech_proj!AF568))</f>
        <v>259.61465911562891</v>
      </c>
      <c r="AG2188" s="123">
        <f>IF(tech_base!$T164&gt;AG$2025,"",fuel_costs!Y$14*0.086/tech_proj!AG288/(1-tech_proj!AG568))</f>
        <v>261.03503444976729</v>
      </c>
      <c r="AH2188" s="123">
        <f>IF(tech_base!$T164&gt;AH$2025,"",fuel_costs!Z$14*0.086/tech_proj!AH288/(1-tech_proj!AH568))</f>
        <v>262.60862311006304</v>
      </c>
      <c r="AI2188" s="123">
        <f>IF(tech_base!$T164&gt;AI$2025,"",fuel_costs!AA$14*0.086/tech_proj!AI288/(1-tech_proj!AI568))</f>
        <v>264.35015371749421</v>
      </c>
      <c r="AJ2188" s="123">
        <f>IF(tech_base!$T164&gt;AJ$2025,"",fuel_costs!AB$14*0.086/tech_proj!AJ288/(1-tech_proj!AJ568))</f>
        <v>266.28987594370142</v>
      </c>
      <c r="AK2188" s="123">
        <f>IF(tech_base!$T164&gt;AK$2025,"",fuel_costs!AC$14*0.086/tech_proj!AK288/(1-tech_proj!AK568))</f>
        <v>268.46522805806848</v>
      </c>
      <c r="AL2188" s="123">
        <f>IF(tech_base!$T164&gt;AL$2025,"",fuel_costs!AD$14*0.086/tech_proj!AL288/(1-tech_proj!AL568))</f>
        <v>270.80481327053786</v>
      </c>
      <c r="AM2188" s="123">
        <f>IF(tech_base!$T164&gt;AM$2025,"",fuel_costs!AE$14*0.086/tech_proj!AM288/(1-tech_proj!AM568))</f>
        <v>273.22084247980769</v>
      </c>
      <c r="AN2188" s="123">
        <f>IF(tech_base!$T164&gt;AN$2025,"",fuel_costs!AF$14*0.086/tech_proj!AN288/(1-tech_proj!AN568))</f>
        <v>275.68432766364663</v>
      </c>
      <c r="AO2188" s="123">
        <f>IF(tech_base!$T164&gt;AO$2025,"",fuel_costs!AG$14*0.086/tech_proj!AO288/(1-tech_proj!AO568))</f>
        <v>276.10454174256944</v>
      </c>
      <c r="AP2188" s="123">
        <f>IF(tech_base!$T164&gt;AP$2025,"",fuel_costs!AH$14*0.086/tech_proj!AP288/(1-tech_proj!AP568))</f>
        <v>277.07393841329935</v>
      </c>
      <c r="AQ2188" s="123">
        <f>IF(tech_base!$T164&gt;AQ$2025,"",fuel_costs!AI$14*0.086/tech_proj!AQ288/(1-tech_proj!AQ568))</f>
        <v>278.09257916360923</v>
      </c>
      <c r="AR2188" s="123">
        <f>IF(tech_base!$T164&gt;AR$2025,"",fuel_costs!AJ$14*0.086/tech_proj!AR288/(1-tech_proj!AR568))</f>
        <v>280.05700203319168</v>
      </c>
      <c r="AS2188" s="123">
        <f>IF(tech_base!$T164&gt;AS$2025,"",fuel_costs!AK$14*0.086/tech_proj!AS288/(1-tech_proj!AS568))</f>
        <v>281.18272449549289</v>
      </c>
      <c r="AT2188" s="123">
        <f>IF(tech_base!$T164&gt;AT$2025,"",fuel_costs!AL$14*0.086/tech_proj!AT288/(1-tech_proj!AT568))</f>
        <v>282.30892333965261</v>
      </c>
      <c r="AU2188" s="123">
        <f>IF(tech_base!$T164&gt;AU$2025,"",fuel_costs!AM$14*0.086/tech_proj!AU288/(1-tech_proj!AU568))</f>
        <v>283.41619705989598</v>
      </c>
      <c r="AV2188" s="123">
        <f>IF(tech_base!$T164&gt;AV$2025,"",fuel_costs!AN$14*0.086/tech_proj!AV288/(1-tech_proj!AV568))</f>
        <v>284.49396933025918</v>
      </c>
      <c r="AW2188" s="123">
        <f>IF(tech_base!$T164&gt;AW$2025,"",fuel_costs!AO$14*0.086/tech_proj!AW288/(1-tech_proj!AW568))</f>
        <v>285.53425104443801</v>
      </c>
      <c r="AX2188" s="124">
        <f>IF(tech_base!$T164&gt;AX$2025,"",fuel_costs!AP$14*0.086/tech_proj!AX288/(1-tech_proj!AX568))</f>
        <v>286.84607198132358</v>
      </c>
    </row>
    <row r="2189" spans="1:50" x14ac:dyDescent="0.25">
      <c r="A2189" s="356"/>
      <c r="B2189" s="376"/>
      <c r="C2189" s="378"/>
      <c r="D2189" s="2" t="s">
        <v>8</v>
      </c>
      <c r="E2189" s="76" t="str">
        <f>A2165&amp;"/"&amp;B2185&amp;"/"&amp;C2188&amp;"/"&amp;D2189</f>
        <v>Diesel oil fired power plants/Steam turbine/CHP/M</v>
      </c>
      <c r="F2189" s="76" t="str">
        <f>A2165</f>
        <v>Diesel oil fired power plants</v>
      </c>
      <c r="G2189" s="76" t="str">
        <f>B2185</f>
        <v>Steam turbine</v>
      </c>
      <c r="H2189" s="76" t="str">
        <f>C2188</f>
        <v>CHP</v>
      </c>
      <c r="I2189" s="76" t="str">
        <f t="shared" si="389"/>
        <v>M</v>
      </c>
      <c r="J2189" s="119">
        <f>IF(tech_base!$T165&gt;J$2025,"",fuel_costs!B$14*0.086/tech_proj!J289/(1-tech_proj!J569))</f>
        <v>197.99391406656974</v>
      </c>
      <c r="K2189" s="119">
        <f>IF(tech_base!$T165&gt;K$2025,"",fuel_costs!C$14*0.086/tech_proj!K289/(1-tech_proj!K569))</f>
        <v>234.18153014903044</v>
      </c>
      <c r="L2189" s="119">
        <f>IF(tech_base!$T165&gt;L$2025,"",fuel_costs!D$14*0.086/tech_proj!L289/(1-tech_proj!L569))</f>
        <v>245.70359512486448</v>
      </c>
      <c r="M2189" s="119">
        <f>IF(tech_base!$T165&gt;M$2025,"",fuel_costs!E$14*0.086/tech_proj!M289/(1-tech_proj!M569))</f>
        <v>237.3447894914857</v>
      </c>
      <c r="N2189" s="119">
        <f>IF(tech_base!$T165&gt;N$2025,"",fuel_costs!F$14*0.086/tech_proj!N289/(1-tech_proj!N569))</f>
        <v>223.59297274352008</v>
      </c>
      <c r="O2189" s="119">
        <f>IF(tech_base!$T165&gt;O$2025,"",fuel_costs!G$14*0.086/tech_proj!O289/(1-tech_proj!O569))</f>
        <v>175.29294136240978</v>
      </c>
      <c r="P2189" s="119">
        <f>IF(tech_base!$T165&gt;P$2025,"",fuel_costs!H$14*0.086/tech_proj!P289/(1-tech_proj!P569))</f>
        <v>163.79018661823886</v>
      </c>
      <c r="Q2189" s="119">
        <f>IF(tech_base!$T165&gt;Q$2025,"",fuel_costs!I$14*0.086/tech_proj!Q289/(1-tech_proj!Q569))</f>
        <v>178.06757726598664</v>
      </c>
      <c r="R2189" s="119">
        <f>IF(tech_base!$T165&gt;R$2025,"",fuel_costs!J$14*0.086/tech_proj!R289/(1-tech_proj!R569))</f>
        <v>190.8389413908574</v>
      </c>
      <c r="S2189" s="119">
        <f>IF(tech_base!$T165&gt;S$2025,"",fuel_costs!K$14*0.086/tech_proj!S289/(1-tech_proj!S569))</f>
        <v>202.06507261261035</v>
      </c>
      <c r="T2189" s="119">
        <f>IF(tech_base!$T165&gt;T$2025,"",fuel_costs!L$14*0.086/tech_proj!T289/(1-tech_proj!T569))</f>
        <v>212.89905239508334</v>
      </c>
      <c r="U2189" s="119">
        <f>IF(tech_base!$T165&gt;U$2025,"",fuel_costs!M$14*0.086/tech_proj!U289/(1-tech_proj!U569))</f>
        <v>223.23086214788691</v>
      </c>
      <c r="V2189" s="119">
        <f>IF(tech_base!$T165&gt;V$2025,"",fuel_costs!N$14*0.086/tech_proj!V289/(1-tech_proj!V569))</f>
        <v>230.22370386393845</v>
      </c>
      <c r="W2189" s="119">
        <f>IF(tech_base!$T165&gt;W$2025,"",fuel_costs!O$14*0.086/tech_proj!W289/(1-tech_proj!W569))</f>
        <v>238.74843449000443</v>
      </c>
      <c r="X2189" s="119">
        <f>IF(tech_base!$T165&gt;X$2025,"",fuel_costs!P$14*0.086/tech_proj!X289/(1-tech_proj!X569))</f>
        <v>246.17383274984579</v>
      </c>
      <c r="Y2189" s="119">
        <f>IF(tech_base!$T165&gt;Y$2025,"",fuel_costs!Q$14*0.086/tech_proj!Y289/(1-tech_proj!Y569))</f>
        <v>252.50609258227058</v>
      </c>
      <c r="Z2189" s="119">
        <f>IF(tech_base!$T165&gt;Z$2025,"",fuel_costs!R$14*0.086/tech_proj!Z289/(1-tech_proj!Z569))</f>
        <v>256.64336737005527</v>
      </c>
      <c r="AA2189" s="119">
        <f>IF(tech_base!$T165&gt;AA$2025,"",fuel_costs!S$14*0.086/tech_proj!AA289/(1-tech_proj!AA569))</f>
        <v>260.41181075490192</v>
      </c>
      <c r="AB2189" s="119">
        <f>IF(tech_base!$T165&gt;AB$2025,"",fuel_costs!T$14*0.086/tech_proj!AB289/(1-tech_proj!AB569))</f>
        <v>263.06078067205391</v>
      </c>
      <c r="AC2189" s="119">
        <f>IF(tech_base!$T165&gt;AC$2025,"",fuel_costs!U$14*0.086/tech_proj!AC289/(1-tech_proj!AC569))</f>
        <v>267.07022089408383</v>
      </c>
      <c r="AD2189" s="119">
        <f>IF(tech_base!$T165&gt;AD$2025,"",fuel_costs!V$14*0.086/tech_proj!AD289/(1-tech_proj!AD569))</f>
        <v>269.60589891506243</v>
      </c>
      <c r="AE2189" s="119">
        <f>IF(tech_base!$T165&gt;AE$2025,"",fuel_costs!W$14*0.086/tech_proj!AE289/(1-tech_proj!AE569))</f>
        <v>272.03906837519907</v>
      </c>
      <c r="AF2189" s="119">
        <f>IF(tech_base!$T165&gt;AF$2025,"",fuel_costs!X$14*0.086/tech_proj!AF289/(1-tech_proj!AF569))</f>
        <v>273.37428289546079</v>
      </c>
      <c r="AG2189" s="119">
        <f>IF(tech_base!$T165&gt;AG$2025,"",fuel_costs!Y$14*0.086/tech_proj!AG289/(1-tech_proj!AG569))</f>
        <v>274.87121399130405</v>
      </c>
      <c r="AH2189" s="119">
        <f>IF(tech_base!$T165&gt;AH$2025,"",fuel_costs!Z$14*0.086/tech_proj!AH289/(1-tech_proj!AH569))</f>
        <v>276.52947285752208</v>
      </c>
      <c r="AI2189" s="119">
        <f>IF(tech_base!$T165&gt;AI$2025,"",fuel_costs!AA$14*0.086/tech_proj!AI289/(1-tech_proj!AI569))</f>
        <v>278.36457105197474</v>
      </c>
      <c r="AJ2189" s="119">
        <f>IF(tech_base!$T165&gt;AJ$2025,"",fuel_costs!AB$14*0.086/tech_proj!AJ289/(1-tech_proj!AJ569))</f>
        <v>280.40836430406</v>
      </c>
      <c r="AK2189" s="119">
        <f>IF(tech_base!$T165&gt;AK$2025,"",fuel_costs!AC$14*0.086/tech_proj!AK289/(1-tech_proj!AK569))</f>
        <v>282.70027858793543</v>
      </c>
      <c r="AL2189" s="119">
        <f>IF(tech_base!$T165&gt;AL$2025,"",fuel_costs!AD$14*0.086/tech_proj!AL289/(1-tech_proj!AL569))</f>
        <v>285.16513406705172</v>
      </c>
      <c r="AM2189" s="119">
        <f>IF(tech_base!$T165&gt;AM$2025,"",fuel_costs!AE$14*0.086/tech_proj!AM289/(1-tech_proj!AM569))</f>
        <v>287.71048790324704</v>
      </c>
      <c r="AN2189" s="119">
        <f>IF(tech_base!$T165&gt;AN$2025,"",fuel_costs!AF$14*0.086/tech_proj!AN289/(1-tech_proj!AN569))</f>
        <v>290.30581538359843</v>
      </c>
      <c r="AO2189" s="119">
        <f>IF(tech_base!$T165&gt;AO$2025,"",fuel_costs!AG$14*0.086/tech_proj!AO289/(1-tech_proj!AO569))</f>
        <v>290.74949482855436</v>
      </c>
      <c r="AP2189" s="119">
        <f>IF(tech_base!$T165&gt;AP$2025,"",fuel_costs!AH$14*0.086/tech_proj!AP289/(1-tech_proj!AP569))</f>
        <v>291.77147203796233</v>
      </c>
      <c r="AQ2189" s="119">
        <f>IF(tech_base!$T165&gt;AQ$2025,"",fuel_costs!AI$14*0.086/tech_proj!AQ289/(1-tech_proj!AQ569))</f>
        <v>292.84529391968488</v>
      </c>
      <c r="AR2189" s="119">
        <f>IF(tech_base!$T165&gt;AR$2025,"",fuel_costs!AJ$14*0.086/tech_proj!AR289/(1-tech_proj!AR569))</f>
        <v>294.91506385175518</v>
      </c>
      <c r="AS2189" s="119">
        <f>IF(tech_base!$T165&gt;AS$2025,"",fuel_costs!AK$14*0.086/tech_proj!AS289/(1-tech_proj!AS569))</f>
        <v>296.10163015652819</v>
      </c>
      <c r="AT2189" s="119">
        <f>IF(tech_base!$T165&gt;AT$2025,"",fuel_costs!AL$14*0.086/tech_proj!AT289/(1-tech_proj!AT569))</f>
        <v>297.2886877130656</v>
      </c>
      <c r="AU2189" s="119">
        <f>IF(tech_base!$T165&gt;AU$2025,"",fuel_costs!AM$14*0.086/tech_proj!AU289/(1-tech_proj!AU569))</f>
        <v>298.4558055209398</v>
      </c>
      <c r="AV2189" s="119">
        <f>IF(tech_base!$T165&gt;AV$2025,"",fuel_costs!AN$14*0.086/tech_proj!AV289/(1-tech_proj!AV569))</f>
        <v>299.59184581389167</v>
      </c>
      <c r="AW2189" s="119">
        <f>IF(tech_base!$T165&gt;AW$2025,"",fuel_costs!AO$14*0.086/tech_proj!AW289/(1-tech_proj!AW569))</f>
        <v>300.68839520931073</v>
      </c>
      <c r="AX2189" s="120">
        <f>IF(tech_base!$T165&gt;AX$2025,"",fuel_costs!AP$14*0.086/tech_proj!AX289/(1-tech_proj!AX569))</f>
        <v>302.07088539038665</v>
      </c>
    </row>
    <row r="2190" spans="1:50" x14ac:dyDescent="0.25">
      <c r="A2190" s="356"/>
      <c r="B2190" s="376"/>
      <c r="C2190" s="379"/>
      <c r="D2190" s="59" t="s">
        <v>10</v>
      </c>
      <c r="E2190" s="79" t="str">
        <f>A2165&amp;"/"&amp;B2185&amp;"/"&amp;C2188&amp;"/"&amp;D2190</f>
        <v>Diesel oil fired power plants/Steam turbine/CHP/S</v>
      </c>
      <c r="F2190" s="79" t="str">
        <f>A2165</f>
        <v>Diesel oil fired power plants</v>
      </c>
      <c r="G2190" s="79" t="str">
        <f>B2185</f>
        <v>Steam turbine</v>
      </c>
      <c r="H2190" s="79" t="str">
        <f>C2188</f>
        <v>CHP</v>
      </c>
      <c r="I2190" s="79" t="str">
        <f t="shared" si="389"/>
        <v>S</v>
      </c>
      <c r="J2190" s="125">
        <f>IF(tech_base!$T166&gt;J$2025,"",fuel_costs!B$14*0.086/tech_proj!J290/(1-tech_proj!J570))</f>
        <v>208.49199235900855</v>
      </c>
      <c r="K2190" s="125">
        <f>IF(tech_base!$T166&gt;K$2025,"",fuel_costs!C$14*0.086/tech_proj!K290/(1-tech_proj!K570))</f>
        <v>246.59927670805268</v>
      </c>
      <c r="L2190" s="125">
        <f>IF(tech_base!$T166&gt;L$2025,"",fuel_costs!D$14*0.086/tech_proj!L290/(1-tech_proj!L570))</f>
        <v>258.73326315572109</v>
      </c>
      <c r="M2190" s="125">
        <f>IF(tech_base!$T166&gt;M$2025,"",fuel_costs!E$14*0.086/tech_proj!M290/(1-tech_proj!M570))</f>
        <v>249.93209390547887</v>
      </c>
      <c r="N2190" s="125">
        <f>IF(tech_base!$T166&gt;N$2025,"",fuel_costs!F$14*0.086/tech_proj!N290/(1-tech_proj!N570))</f>
        <v>235.45180398046352</v>
      </c>
      <c r="O2190" s="125">
        <f>IF(tech_base!$T166&gt;O$2025,"",fuel_costs!G$14*0.086/tech_proj!O290/(1-tech_proj!O570))</f>
        <v>184.59070258783416</v>
      </c>
      <c r="P2190" s="125">
        <f>IF(tech_base!$T166&gt;P$2025,"",fuel_costs!H$14*0.086/tech_proj!P290/(1-tech_proj!P570))</f>
        <v>172.47842207919985</v>
      </c>
      <c r="Q2190" s="125">
        <f>IF(tech_base!$T166&gt;Q$2025,"",fuel_costs!I$14*0.086/tech_proj!Q290/(1-tech_proj!Q570))</f>
        <v>187.51379226121929</v>
      </c>
      <c r="R2190" s="125">
        <f>IF(tech_base!$T166&gt;R$2025,"",fuel_costs!J$14*0.086/tech_proj!R290/(1-tech_proj!R570))</f>
        <v>200.96332936000633</v>
      </c>
      <c r="S2190" s="125">
        <f>IF(tech_base!$T166&gt;S$2025,"",fuel_costs!K$14*0.086/tech_proj!S290/(1-tech_proj!S570))</f>
        <v>212.78572893887878</v>
      </c>
      <c r="T2190" s="125">
        <f>IF(tech_base!$T166&gt;T$2025,"",fuel_costs!L$14*0.086/tech_proj!T290/(1-tech_proj!T570))</f>
        <v>224.19523585773265</v>
      </c>
      <c r="U2190" s="125">
        <f>IF(tech_base!$T166&gt;U$2025,"",fuel_costs!M$14*0.086/tech_proj!U290/(1-tech_proj!U570))</f>
        <v>235.07598802753495</v>
      </c>
      <c r="V2190" s="125">
        <f>IF(tech_base!$T166&gt;V$2025,"",fuel_costs!N$14*0.086/tech_proj!V290/(1-tech_proj!V570))</f>
        <v>242.4406446778481</v>
      </c>
      <c r="W2190" s="125">
        <f>IF(tech_base!$T166&gt;W$2025,"",fuel_costs!O$14*0.086/tech_proj!W290/(1-tech_proj!W570))</f>
        <v>251.41851910154702</v>
      </c>
      <c r="X2190" s="125">
        <f>IF(tech_base!$T166&gt;X$2025,"",fuel_costs!P$14*0.086/tech_proj!X290/(1-tech_proj!X570))</f>
        <v>259.23875966286334</v>
      </c>
      <c r="Y2190" s="125">
        <f>IF(tech_base!$T166&gt;Y$2025,"",fuel_costs!Q$14*0.086/tech_proj!Y290/(1-tech_proj!Y570))</f>
        <v>265.90787750618728</v>
      </c>
      <c r="Z2190" s="125">
        <f>IF(tech_base!$T166&gt;Z$2025,"",fuel_costs!R$14*0.086/tech_proj!Z290/(1-tech_proj!Z570))</f>
        <v>270.26553088016806</v>
      </c>
      <c r="AA2190" s="125">
        <f>IF(tech_base!$T166&gt;AA$2025,"",fuel_costs!S$14*0.086/tech_proj!AA290/(1-tech_proj!AA570))</f>
        <v>274.23478708635713</v>
      </c>
      <c r="AB2190" s="125">
        <f>IF(tech_base!$T166&gt;AB$2025,"",fuel_costs!T$14*0.086/tech_proj!AB290/(1-tech_proj!AB570))</f>
        <v>277.02515305913931</v>
      </c>
      <c r="AC2190" s="125">
        <f>IF(tech_base!$T166&gt;AC$2025,"",fuel_costs!U$14*0.086/tech_proj!AC290/(1-tech_proj!AC570))</f>
        <v>281.24821544074075</v>
      </c>
      <c r="AD2190" s="125">
        <f>IF(tech_base!$T166&gt;AD$2025,"",fuel_costs!V$14*0.086/tech_proj!AD290/(1-tech_proj!AD570))</f>
        <v>283.91928380459211</v>
      </c>
      <c r="AE2190" s="125">
        <f>IF(tech_base!$T166&gt;AE$2025,"",fuel_costs!W$14*0.086/tech_proj!AE290/(1-tech_proj!AE570))</f>
        <v>286.48240261569066</v>
      </c>
      <c r="AF2190" s="125">
        <f>IF(tech_base!$T166&gt;AF$2025,"",fuel_costs!X$14*0.086/tech_proj!AF290/(1-tech_proj!AF570))</f>
        <v>287.88927056479969</v>
      </c>
      <c r="AG2190" s="125">
        <f>IF(tech_base!$T166&gt;AG$2025,"",fuel_costs!Y$14*0.086/tech_proj!AG290/(1-tech_proj!AG570))</f>
        <v>289.46643650414239</v>
      </c>
      <c r="AH2190" s="125">
        <f>IF(tech_base!$T166&gt;AH$2025,"",fuel_costs!Z$14*0.086/tech_proj!AH290/(1-tech_proj!AH570))</f>
        <v>291.21349227972468</v>
      </c>
      <c r="AI2190" s="125">
        <f>IF(tech_base!$T166&gt;AI$2025,"",fuel_costs!AA$14*0.086/tech_proj!AI290/(1-tech_proj!AI570))</f>
        <v>293.14677442362847</v>
      </c>
      <c r="AJ2190" s="125">
        <f>IF(tech_base!$T166&gt;AJ$2025,"",fuel_costs!AB$14*0.086/tech_proj!AJ290/(1-tech_proj!AJ570))</f>
        <v>295.29983173989757</v>
      </c>
      <c r="AK2190" s="125">
        <f>IF(tech_base!$T166&gt;AK$2025,"",fuel_costs!AC$14*0.086/tech_proj!AK290/(1-tech_proj!AK570))</f>
        <v>297.7141856073834</v>
      </c>
      <c r="AL2190" s="125">
        <f>IF(tech_base!$T166&gt;AL$2025,"",fuel_costs!AD$14*0.086/tech_proj!AL290/(1-tech_proj!AL570))</f>
        <v>300.31066506036404</v>
      </c>
      <c r="AM2190" s="125">
        <f>IF(tech_base!$T166&gt;AM$2025,"",fuel_costs!AE$14*0.086/tech_proj!AM290/(1-tech_proj!AM570))</f>
        <v>302.99191842120359</v>
      </c>
      <c r="AN2190" s="125">
        <f>IF(tech_base!$T166&gt;AN$2025,"",fuel_costs!AF$14*0.086/tech_proj!AN290/(1-tech_proj!AN570))</f>
        <v>305.72580006303633</v>
      </c>
      <c r="AO2190" s="125">
        <f>IF(tech_base!$T166&gt;AO$2025,"",fuel_costs!AG$14*0.086/tech_proj!AO290/(1-tech_proj!AO570))</f>
        <v>306.19374115350683</v>
      </c>
      <c r="AP2190" s="125">
        <f>IF(tech_base!$T166&gt;AP$2025,"",fuel_costs!AH$14*0.086/tech_proj!AP290/(1-tech_proj!AP570))</f>
        <v>307.27068987237942</v>
      </c>
      <c r="AQ2190" s="125">
        <f>IF(tech_base!$T166&gt;AQ$2025,"",fuel_costs!AI$14*0.086/tech_proj!AQ290/(1-tech_proj!AQ570))</f>
        <v>308.40223027805774</v>
      </c>
      <c r="AR2190" s="125">
        <f>IF(tech_base!$T166&gt;AR$2025,"",fuel_costs!AJ$14*0.086/tech_proj!AR290/(1-tech_proj!AR570))</f>
        <v>310.58262227146889</v>
      </c>
      <c r="AS2190" s="125">
        <f>IF(tech_base!$T166&gt;AS$2025,"",fuel_costs!AK$14*0.086/tech_proj!AS290/(1-tech_proj!AS570))</f>
        <v>311.83288551270408</v>
      </c>
      <c r="AT2190" s="125">
        <f>IF(tech_base!$T166&gt;AT$2025,"",fuel_costs!AL$14*0.086/tech_proj!AT290/(1-tech_proj!AT570))</f>
        <v>313.08365979180343</v>
      </c>
      <c r="AU2190" s="125">
        <f>IF(tech_base!$T166&gt;AU$2025,"",fuel_costs!AM$14*0.086/tech_proj!AU290/(1-tech_proj!AU570))</f>
        <v>314.31342860332251</v>
      </c>
      <c r="AV2190" s="125">
        <f>IF(tech_base!$T166&gt;AV$2025,"",fuel_costs!AN$14*0.086/tech_proj!AV290/(1-tech_proj!AV570))</f>
        <v>315.51046229433655</v>
      </c>
      <c r="AW2190" s="125">
        <f>IF(tech_base!$T166&gt;AW$2025,"",fuel_costs!AO$14*0.086/tech_proj!AW290/(1-tech_proj!AW570))</f>
        <v>316.66590027272412</v>
      </c>
      <c r="AX2190" s="126">
        <f>IF(tech_base!$T166&gt;AX$2025,"",fuel_costs!AP$14*0.086/tech_proj!AX290/(1-tech_proj!AX570))</f>
        <v>318.12246696403474</v>
      </c>
    </row>
    <row r="2191" spans="1:50" x14ac:dyDescent="0.25">
      <c r="A2191" s="356"/>
      <c r="B2191" s="376"/>
      <c r="C2191" s="361" t="s">
        <v>15</v>
      </c>
      <c r="D2191" s="58" t="s">
        <v>7</v>
      </c>
      <c r="E2191" s="78" t="str">
        <f>A2165&amp;"/"&amp;B2185&amp;"/"&amp;C2191&amp;"/"&amp;D2191</f>
        <v>Diesel oil fired power plants/Steam turbine/Electricity only with CCS/L</v>
      </c>
      <c r="F2191" s="78" t="str">
        <f>A2165</f>
        <v>Diesel oil fired power plants</v>
      </c>
      <c r="G2191" s="78" t="str">
        <f>B2185</f>
        <v>Steam turbine</v>
      </c>
      <c r="H2191" s="78" t="str">
        <f>C2191</f>
        <v>Electricity only with CCS</v>
      </c>
      <c r="I2191" s="78" t="str">
        <f t="shared" si="389"/>
        <v>L</v>
      </c>
      <c r="J2191" s="123" t="str">
        <f>IF(tech_base!$T167&gt;J$2025,"",fuel_costs!B$14*0.086/tech_proj!J291/(1-tech_proj!J571))</f>
        <v/>
      </c>
      <c r="K2191" s="123" t="str">
        <f>IF(tech_base!$T167&gt;K$2025,"",fuel_costs!C$14*0.086/tech_proj!K291/(1-tech_proj!K571))</f>
        <v/>
      </c>
      <c r="L2191" s="123" t="str">
        <f>IF(tech_base!$T167&gt;L$2025,"",fuel_costs!D$14*0.086/tech_proj!L291/(1-tech_proj!L571))</f>
        <v/>
      </c>
      <c r="M2191" s="123" t="str">
        <f>IF(tech_base!$T167&gt;M$2025,"",fuel_costs!E$14*0.086/tech_proj!M291/(1-tech_proj!M571))</f>
        <v/>
      </c>
      <c r="N2191" s="123" t="str">
        <f>IF(tech_base!$T167&gt;N$2025,"",fuel_costs!F$14*0.086/tech_proj!N291/(1-tech_proj!N571))</f>
        <v/>
      </c>
      <c r="O2191" s="123" t="str">
        <f>IF(tech_base!$T167&gt;O$2025,"",fuel_costs!G$14*0.086/tech_proj!O291/(1-tech_proj!O571))</f>
        <v/>
      </c>
      <c r="P2191" s="123" t="str">
        <f>IF(tech_base!$T167&gt;P$2025,"",fuel_costs!H$14*0.086/tech_proj!P291/(1-tech_proj!P571))</f>
        <v/>
      </c>
      <c r="Q2191" s="123" t="str">
        <f>IF(tech_base!$T167&gt;Q$2025,"",fuel_costs!I$14*0.086/tech_proj!Q291/(1-tech_proj!Q571))</f>
        <v/>
      </c>
      <c r="R2191" s="123" t="str">
        <f>IF(tech_base!$T167&gt;R$2025,"",fuel_costs!J$14*0.086/tech_proj!R291/(1-tech_proj!R571))</f>
        <v/>
      </c>
      <c r="S2191" s="123" t="str">
        <f>IF(tech_base!$T167&gt;S$2025,"",fuel_costs!K$14*0.086/tech_proj!S291/(1-tech_proj!S571))</f>
        <v/>
      </c>
      <c r="T2191" s="123" t="str">
        <f>IF(tech_base!$T167&gt;T$2025,"",fuel_costs!L$14*0.086/tech_proj!T291/(1-tech_proj!T571))</f>
        <v/>
      </c>
      <c r="U2191" s="123" t="str">
        <f>IF(tech_base!$T167&gt;U$2025,"",fuel_costs!M$14*0.086/tech_proj!U291/(1-tech_proj!U571))</f>
        <v/>
      </c>
      <c r="V2191" s="123" t="str">
        <f>IF(tech_base!$T167&gt;V$2025,"",fuel_costs!N$14*0.086/tech_proj!V291/(1-tech_proj!V571))</f>
        <v/>
      </c>
      <c r="W2191" s="123" t="str">
        <f>IF(tech_base!$T167&gt;W$2025,"",fuel_costs!O$14*0.086/tech_proj!W291/(1-tech_proj!W571))</f>
        <v/>
      </c>
      <c r="X2191" s="123" t="str">
        <f>IF(tech_base!$T167&gt;X$2025,"",fuel_costs!P$14*0.086/tech_proj!X291/(1-tech_proj!X571))</f>
        <v/>
      </c>
      <c r="Y2191" s="123" t="str">
        <f>IF(tech_base!$T167&gt;Y$2025,"",fuel_costs!Q$14*0.086/tech_proj!Y291/(1-tech_proj!Y571))</f>
        <v/>
      </c>
      <c r="Z2191" s="123" t="str">
        <f>IF(tech_base!$T167&gt;Z$2025,"",fuel_costs!R$14*0.086/tech_proj!Z291/(1-tech_proj!Z571))</f>
        <v/>
      </c>
      <c r="AA2191" s="123" t="str">
        <f>IF(tech_base!$T167&gt;AA$2025,"",fuel_costs!S$14*0.086/tech_proj!AA291/(1-tech_proj!AA571))</f>
        <v/>
      </c>
      <c r="AB2191" s="123" t="str">
        <f>IF(tech_base!$T167&gt;AB$2025,"",fuel_costs!T$14*0.086/tech_proj!AB291/(1-tech_proj!AB571))</f>
        <v/>
      </c>
      <c r="AC2191" s="123" t="str">
        <f>IF(tech_base!$T167&gt;AC$2025,"",fuel_costs!U$14*0.086/tech_proj!AC291/(1-tech_proj!AC571))</f>
        <v/>
      </c>
      <c r="AD2191" s="123" t="str">
        <f>IF(tech_base!$T167&gt;AD$2025,"",fuel_costs!V$14*0.086/tech_proj!AD291/(1-tech_proj!AD571))</f>
        <v/>
      </c>
      <c r="AE2191" s="123">
        <f>IF(tech_base!$T167&gt;AE$2025,"",fuel_costs!W$14*0.086/tech_proj!AE291/(1-tech_proj!AE571))</f>
        <v>320.55530828009933</v>
      </c>
      <c r="AF2191" s="123">
        <f>IF(tech_base!$T167&gt;AF$2025,"",fuel_costs!X$14*0.086/tech_proj!AF291/(1-tech_proj!AF571))</f>
        <v>322.13091460832675</v>
      </c>
      <c r="AG2191" s="123">
        <f>IF(tech_base!$T167&gt;AG$2025,"",fuel_costs!Y$14*0.086/tech_proj!AG291/(1-tech_proj!AG571))</f>
        <v>323.89706302591088</v>
      </c>
      <c r="AH2191" s="123">
        <f>IF(tech_base!$T167&gt;AH$2025,"",fuel_costs!Z$14*0.086/tech_proj!AH291/(1-tech_proj!AH571))</f>
        <v>325.85329929693597</v>
      </c>
      <c r="AI2191" s="123">
        <f>IF(tech_base!$T167&gt;AI$2025,"",fuel_costs!AA$14*0.086/tech_proj!AI291/(1-tech_proj!AI571))</f>
        <v>328.01790563453193</v>
      </c>
      <c r="AJ2191" s="123">
        <f>IF(tech_base!$T167&gt;AJ$2025,"",fuel_costs!AB$14*0.086/tech_proj!AJ291/(1-tech_proj!AJ571))</f>
        <v>330.42842429447779</v>
      </c>
      <c r="AK2191" s="123">
        <f>IF(tech_base!$T167&gt;AK$2025,"",fuel_costs!AC$14*0.086/tech_proj!AK291/(1-tech_proj!AK571))</f>
        <v>333.13131906454174</v>
      </c>
      <c r="AL2191" s="123">
        <f>IF(tech_base!$T167&gt;AL$2025,"",fuel_costs!AD$14*0.086/tech_proj!AL291/(1-tech_proj!AL571))</f>
        <v>336.03800349582724</v>
      </c>
      <c r="AM2191" s="123">
        <f>IF(tech_base!$T167&gt;AM$2025,"",fuel_costs!AE$14*0.086/tech_proj!AM291/(1-tech_proj!AM571))</f>
        <v>339.03954594249842</v>
      </c>
      <c r="AN2191" s="123">
        <f>IF(tech_base!$T167&gt;AN$2025,"",fuel_costs!AF$14*0.086/tech_proj!AN291/(1-tech_proj!AN571))</f>
        <v>342.09997706885218</v>
      </c>
      <c r="AO2191" s="123">
        <f>IF(tech_base!$T167&gt;AO$2025,"",fuel_costs!AG$14*0.086/tech_proj!AO291/(1-tech_proj!AO571))</f>
        <v>342.62486370753891</v>
      </c>
      <c r="AP2191" s="123">
        <f>IF(tech_base!$T167&gt;AP$2025,"",fuel_costs!AH$14*0.086/tech_proj!AP291/(1-tech_proj!AP571))</f>
        <v>343.83120095153663</v>
      </c>
      <c r="AQ2191" s="123">
        <f>IF(tech_base!$T167&gt;AQ$2025,"",fuel_costs!AI$14*0.086/tech_proj!AQ291/(1-tech_proj!AQ571))</f>
        <v>345.09861123027969</v>
      </c>
      <c r="AR2191" s="123">
        <f>IF(tech_base!$T167&gt;AR$2025,"",fuel_costs!AJ$14*0.086/tech_proj!AR291/(1-tech_proj!AR571))</f>
        <v>347.53966484271365</v>
      </c>
      <c r="AS2191" s="123">
        <f>IF(tech_base!$T167&gt;AS$2025,"",fuel_costs!AK$14*0.086/tech_proj!AS291/(1-tech_proj!AS571))</f>
        <v>348.93990202049275</v>
      </c>
      <c r="AT2191" s="123">
        <f>IF(tech_base!$T167&gt;AT$2025,"",fuel_costs!AL$14*0.086/tech_proj!AT291/(1-tech_proj!AT571))</f>
        <v>350.34069829956059</v>
      </c>
      <c r="AU2191" s="123">
        <f>IF(tech_base!$T167&gt;AU$2025,"",fuel_costs!AM$14*0.086/tech_proj!AU291/(1-tech_proj!AU571))</f>
        <v>351.71797675075965</v>
      </c>
      <c r="AV2191" s="123">
        <f>IF(tech_base!$T167&gt;AV$2025,"",fuel_costs!AN$14*0.086/tech_proj!AV291/(1-tech_proj!AV571))</f>
        <v>353.05861169424224</v>
      </c>
      <c r="AW2191" s="123">
        <f>IF(tech_base!$T167&gt;AW$2025,"",fuel_costs!AO$14*0.086/tech_proj!AW291/(1-tech_proj!AW571))</f>
        <v>354.35268780258042</v>
      </c>
      <c r="AX2191" s="124">
        <f>IF(tech_base!$T167&gt;AX$2025,"",fuel_costs!AP$14*0.086/tech_proj!AX291/(1-tech_proj!AX571))</f>
        <v>355.98371844211539</v>
      </c>
    </row>
    <row r="2192" spans="1:50" x14ac:dyDescent="0.25">
      <c r="A2192" s="356"/>
      <c r="B2192" s="376"/>
      <c r="C2192" s="379"/>
      <c r="D2192" s="59" t="s">
        <v>8</v>
      </c>
      <c r="E2192" s="79" t="str">
        <f>A2165&amp;"/"&amp;B2185&amp;"/"&amp;C2191&amp;"/"&amp;D2192</f>
        <v>Diesel oil fired power plants/Steam turbine/Electricity only with CCS/M</v>
      </c>
      <c r="F2192" s="79" t="str">
        <f>A2165</f>
        <v>Diesel oil fired power plants</v>
      </c>
      <c r="G2192" s="79" t="str">
        <f>B2185</f>
        <v>Steam turbine</v>
      </c>
      <c r="H2192" s="79" t="str">
        <f>C2191</f>
        <v>Electricity only with CCS</v>
      </c>
      <c r="I2192" s="79" t="str">
        <f t="shared" si="389"/>
        <v>M</v>
      </c>
      <c r="J2192" s="125" t="str">
        <f>IF(tech_base!$T168&gt;J$2025,"",fuel_costs!B$14*0.086/tech_proj!J292/(1-tech_proj!J572))</f>
        <v/>
      </c>
      <c r="K2192" s="125" t="str">
        <f>IF(tech_base!$T168&gt;K$2025,"",fuel_costs!C$14*0.086/tech_proj!K292/(1-tech_proj!K572))</f>
        <v/>
      </c>
      <c r="L2192" s="125" t="str">
        <f>IF(tech_base!$T168&gt;L$2025,"",fuel_costs!D$14*0.086/tech_proj!L292/(1-tech_proj!L572))</f>
        <v/>
      </c>
      <c r="M2192" s="125" t="str">
        <f>IF(tech_base!$T168&gt;M$2025,"",fuel_costs!E$14*0.086/tech_proj!M292/(1-tech_proj!M572))</f>
        <v/>
      </c>
      <c r="N2192" s="125" t="str">
        <f>IF(tech_base!$T168&gt;N$2025,"",fuel_costs!F$14*0.086/tech_proj!N292/(1-tech_proj!N572))</f>
        <v/>
      </c>
      <c r="O2192" s="125" t="str">
        <f>IF(tech_base!$T168&gt;O$2025,"",fuel_costs!G$14*0.086/tech_proj!O292/(1-tech_proj!O572))</f>
        <v/>
      </c>
      <c r="P2192" s="125" t="str">
        <f>IF(tech_base!$T168&gt;P$2025,"",fuel_costs!H$14*0.086/tech_proj!P292/(1-tech_proj!P572))</f>
        <v/>
      </c>
      <c r="Q2192" s="125" t="str">
        <f>IF(tech_base!$T168&gt;Q$2025,"",fuel_costs!I$14*0.086/tech_proj!Q292/(1-tech_proj!Q572))</f>
        <v/>
      </c>
      <c r="R2192" s="125" t="str">
        <f>IF(tech_base!$T168&gt;R$2025,"",fuel_costs!J$14*0.086/tech_proj!R292/(1-tech_proj!R572))</f>
        <v/>
      </c>
      <c r="S2192" s="125" t="str">
        <f>IF(tech_base!$T168&gt;S$2025,"",fuel_costs!K$14*0.086/tech_proj!S292/(1-tech_proj!S572))</f>
        <v/>
      </c>
      <c r="T2192" s="125" t="str">
        <f>IF(tech_base!$T168&gt;T$2025,"",fuel_costs!L$14*0.086/tech_proj!T292/(1-tech_proj!T572))</f>
        <v/>
      </c>
      <c r="U2192" s="125" t="str">
        <f>IF(tech_base!$T168&gt;U$2025,"",fuel_costs!M$14*0.086/tech_proj!U292/(1-tech_proj!U572))</f>
        <v/>
      </c>
      <c r="V2192" s="125" t="str">
        <f>IF(tech_base!$T168&gt;V$2025,"",fuel_costs!N$14*0.086/tech_proj!V292/(1-tech_proj!V572))</f>
        <v/>
      </c>
      <c r="W2192" s="125" t="str">
        <f>IF(tech_base!$T168&gt;W$2025,"",fuel_costs!O$14*0.086/tech_proj!W292/(1-tech_proj!W572))</f>
        <v/>
      </c>
      <c r="X2192" s="125" t="str">
        <f>IF(tech_base!$T168&gt;X$2025,"",fuel_costs!P$14*0.086/tech_proj!X292/(1-tech_proj!X572))</f>
        <v/>
      </c>
      <c r="Y2192" s="125" t="str">
        <f>IF(tech_base!$T168&gt;Y$2025,"",fuel_costs!Q$14*0.086/tech_proj!Y292/(1-tech_proj!Y572))</f>
        <v/>
      </c>
      <c r="Z2192" s="125" t="str">
        <f>IF(tech_base!$T168&gt;Z$2025,"",fuel_costs!R$14*0.086/tech_proj!Z292/(1-tech_proj!Z572))</f>
        <v/>
      </c>
      <c r="AA2192" s="125" t="str">
        <f>IF(tech_base!$T168&gt;AA$2025,"",fuel_costs!S$14*0.086/tech_proj!AA292/(1-tech_proj!AA572))</f>
        <v/>
      </c>
      <c r="AB2192" s="125" t="str">
        <f>IF(tech_base!$T168&gt;AB$2025,"",fuel_costs!T$14*0.086/tech_proj!AB292/(1-tech_proj!AB572))</f>
        <v/>
      </c>
      <c r="AC2192" s="125" t="str">
        <f>IF(tech_base!$T168&gt;AC$2025,"",fuel_costs!U$14*0.086/tech_proj!AC292/(1-tech_proj!AC572))</f>
        <v/>
      </c>
      <c r="AD2192" s="125" t="str">
        <f>IF(tech_base!$T168&gt;AD$2025,"",fuel_costs!V$14*0.086/tech_proj!AD292/(1-tech_proj!AD572))</f>
        <v/>
      </c>
      <c r="AE2192" s="125">
        <f>IF(tech_base!$T168&gt;AE$2025,"",fuel_costs!W$14*0.086/tech_proj!AE292/(1-tech_proj!AE572))</f>
        <v>342.93303272765343</v>
      </c>
      <c r="AF2192" s="125">
        <f>IF(tech_base!$T168&gt;AF$2025,"",fuel_costs!X$14*0.086/tech_proj!AF292/(1-tech_proj!AF572))</f>
        <v>344.61863094601694</v>
      </c>
      <c r="AG2192" s="125">
        <f>IF(tech_base!$T168&gt;AG$2025,"",fuel_costs!Y$14*0.086/tech_proj!AG292/(1-tech_proj!AG572))</f>
        <v>346.50807285337117</v>
      </c>
      <c r="AH2192" s="125">
        <f>IF(tech_base!$T168&gt;AH$2025,"",fuel_costs!Z$14*0.086/tech_proj!AH292/(1-tech_proj!AH572))</f>
        <v>348.60087250393343</v>
      </c>
      <c r="AI2192" s="125">
        <f>IF(tech_base!$T168&gt;AI$2025,"",fuel_costs!AA$14*0.086/tech_proj!AI292/(1-tech_proj!AI572))</f>
        <v>350.91658837835172</v>
      </c>
      <c r="AJ2192" s="125">
        <f>IF(tech_base!$T168&gt;AJ$2025,"",fuel_costs!AB$14*0.086/tech_proj!AJ292/(1-tech_proj!AJ572))</f>
        <v>353.49538352898304</v>
      </c>
      <c r="AK2192" s="125">
        <f>IF(tech_base!$T168&gt;AK$2025,"",fuel_costs!AC$14*0.086/tech_proj!AK292/(1-tech_proj!AK572))</f>
        <v>356.38696534559676</v>
      </c>
      <c r="AL2192" s="125">
        <f>IF(tech_base!$T168&gt;AL$2025,"",fuel_costs!AD$14*0.086/tech_proj!AL292/(1-tech_proj!AL572))</f>
        <v>359.49656322607234</v>
      </c>
      <c r="AM2192" s="125">
        <f>IF(tech_base!$T168&gt;AM$2025,"",fuel_costs!AE$14*0.086/tech_proj!AM292/(1-tech_proj!AM572))</f>
        <v>362.70764108848698</v>
      </c>
      <c r="AN2192" s="125">
        <f>IF(tech_base!$T168&gt;AN$2025,"",fuel_costs!AF$14*0.086/tech_proj!AN292/(1-tech_proj!AN572))</f>
        <v>365.98171860492454</v>
      </c>
      <c r="AO2192" s="125">
        <f>IF(tech_base!$T168&gt;AO$2025,"",fuel_costs!AG$14*0.086/tech_proj!AO292/(1-tech_proj!AO572))</f>
        <v>366.54324718421668</v>
      </c>
      <c r="AP2192" s="125">
        <f>IF(tech_base!$T168&gt;AP$2025,"",fuel_costs!AH$14*0.086/tech_proj!AP292/(1-tech_proj!AP572))</f>
        <v>367.83379792192267</v>
      </c>
      <c r="AQ2192" s="125">
        <f>IF(tech_base!$T168&gt;AQ$2025,"",fuel_costs!AI$14*0.086/tech_proj!AQ292/(1-tech_proj!AQ572))</f>
        <v>369.18968515689488</v>
      </c>
      <c r="AR2192" s="125">
        <f>IF(tech_base!$T168&gt;AR$2025,"",fuel_costs!AJ$14*0.086/tech_proj!AR292/(1-tech_proj!AR572))</f>
        <v>371.80114688203116</v>
      </c>
      <c r="AS2192" s="125">
        <f>IF(tech_base!$T168&gt;AS$2025,"",fuel_costs!AK$14*0.086/tech_proj!AS292/(1-tech_proj!AS572))</f>
        <v>373.29913356174086</v>
      </c>
      <c r="AT2192" s="125">
        <f>IF(tech_base!$T168&gt;AT$2025,"",fuel_costs!AL$14*0.086/tech_proj!AT292/(1-tech_proj!AT572))</f>
        <v>374.79771837317872</v>
      </c>
      <c r="AU2192" s="125">
        <f>IF(tech_base!$T168&gt;AU$2025,"",fuel_costs!AM$14*0.086/tech_proj!AU292/(1-tech_proj!AU572))</f>
        <v>376.27114359491128</v>
      </c>
      <c r="AV2192" s="125">
        <f>IF(tech_base!$T168&gt;AV$2025,"",fuel_costs!AN$14*0.086/tech_proj!AV292/(1-tech_proj!AV572))</f>
        <v>377.70536725327418</v>
      </c>
      <c r="AW2192" s="125">
        <f>IF(tech_base!$T168&gt;AW$2025,"",fuel_costs!AO$14*0.086/tech_proj!AW292/(1-tech_proj!AW572))</f>
        <v>379.08978183930583</v>
      </c>
      <c r="AX2192" s="126">
        <f>IF(tech_base!$T168&gt;AX$2025,"",fuel_costs!AP$14*0.086/tech_proj!AX292/(1-tech_proj!AX572))</f>
        <v>380.83467349837235</v>
      </c>
    </row>
    <row r="2193" spans="1:50" x14ac:dyDescent="0.25">
      <c r="A2193" s="356"/>
      <c r="B2193" s="376"/>
      <c r="C2193" s="361" t="s">
        <v>16</v>
      </c>
      <c r="D2193" s="2" t="s">
        <v>7</v>
      </c>
      <c r="E2193" s="76" t="str">
        <f>A2165&amp;"/"&amp;B2185&amp;"/"&amp;C2193&amp;"/"&amp;D2193</f>
        <v>Diesel oil fired power plants/Steam turbine/CHP with CCS/L</v>
      </c>
      <c r="F2193" s="76" t="str">
        <f>A2165</f>
        <v>Diesel oil fired power plants</v>
      </c>
      <c r="G2193" s="76" t="str">
        <f>B2185</f>
        <v>Steam turbine</v>
      </c>
      <c r="H2193" s="76" t="str">
        <f>C2193</f>
        <v>CHP with CCS</v>
      </c>
      <c r="I2193" s="76" t="str">
        <f t="shared" si="389"/>
        <v>L</v>
      </c>
      <c r="J2193" s="119" t="str">
        <f>IF(tech_base!$T169&gt;J$2025,"",fuel_costs!B$14*0.086/tech_proj!J293/(1-tech_proj!J573))</f>
        <v/>
      </c>
      <c r="K2193" s="119" t="str">
        <f>IF(tech_base!$T169&gt;K$2025,"",fuel_costs!C$14*0.086/tech_proj!K293/(1-tech_proj!K573))</f>
        <v/>
      </c>
      <c r="L2193" s="119" t="str">
        <f>IF(tech_base!$T169&gt;L$2025,"",fuel_costs!D$14*0.086/tech_proj!L293/(1-tech_proj!L573))</f>
        <v/>
      </c>
      <c r="M2193" s="119" t="str">
        <f>IF(tech_base!$T169&gt;M$2025,"",fuel_costs!E$14*0.086/tech_proj!M293/(1-tech_proj!M573))</f>
        <v/>
      </c>
      <c r="N2193" s="119" t="str">
        <f>IF(tech_base!$T169&gt;N$2025,"",fuel_costs!F$14*0.086/tech_proj!N293/(1-tech_proj!N573))</f>
        <v/>
      </c>
      <c r="O2193" s="119" t="str">
        <f>IF(tech_base!$T169&gt;O$2025,"",fuel_costs!G$14*0.086/tech_proj!O293/(1-tech_proj!O573))</f>
        <v/>
      </c>
      <c r="P2193" s="119" t="str">
        <f>IF(tech_base!$T169&gt;P$2025,"",fuel_costs!H$14*0.086/tech_proj!P293/(1-tech_proj!P573))</f>
        <v/>
      </c>
      <c r="Q2193" s="119" t="str">
        <f>IF(tech_base!$T169&gt;Q$2025,"",fuel_costs!I$14*0.086/tech_proj!Q293/(1-tech_proj!Q573))</f>
        <v/>
      </c>
      <c r="R2193" s="119" t="str">
        <f>IF(tech_base!$T169&gt;R$2025,"",fuel_costs!J$14*0.086/tech_proj!R293/(1-tech_proj!R573))</f>
        <v/>
      </c>
      <c r="S2193" s="119" t="str">
        <f>IF(tech_base!$T169&gt;S$2025,"",fuel_costs!K$14*0.086/tech_proj!S293/(1-tech_proj!S573))</f>
        <v/>
      </c>
      <c r="T2193" s="119" t="str">
        <f>IF(tech_base!$T169&gt;T$2025,"",fuel_costs!L$14*0.086/tech_proj!T293/(1-tech_proj!T573))</f>
        <v/>
      </c>
      <c r="U2193" s="119" t="str">
        <f>IF(tech_base!$T169&gt;U$2025,"",fuel_costs!M$14*0.086/tech_proj!U293/(1-tech_proj!U573))</f>
        <v/>
      </c>
      <c r="V2193" s="119" t="str">
        <f>IF(tech_base!$T169&gt;V$2025,"",fuel_costs!N$14*0.086/tech_proj!V293/(1-tech_proj!V573))</f>
        <v/>
      </c>
      <c r="W2193" s="119" t="str">
        <f>IF(tech_base!$T169&gt;W$2025,"",fuel_costs!O$14*0.086/tech_proj!W293/(1-tech_proj!W573))</f>
        <v/>
      </c>
      <c r="X2193" s="119" t="str">
        <f>IF(tech_base!$T169&gt;X$2025,"",fuel_costs!P$14*0.086/tech_proj!X293/(1-tech_proj!X573))</f>
        <v/>
      </c>
      <c r="Y2193" s="119" t="str">
        <f>IF(tech_base!$T169&gt;Y$2025,"",fuel_costs!Q$14*0.086/tech_proj!Y293/(1-tech_proj!Y573))</f>
        <v/>
      </c>
      <c r="Z2193" s="119" t="str">
        <f>IF(tech_base!$T169&gt;Z$2025,"",fuel_costs!R$14*0.086/tech_proj!Z293/(1-tech_proj!Z573))</f>
        <v/>
      </c>
      <c r="AA2193" s="119" t="str">
        <f>IF(tech_base!$T169&gt;AA$2025,"",fuel_costs!S$14*0.086/tech_proj!AA293/(1-tech_proj!AA573))</f>
        <v/>
      </c>
      <c r="AB2193" s="119" t="str">
        <f>IF(tech_base!$T169&gt;AB$2025,"",fuel_costs!T$14*0.086/tech_proj!AB293/(1-tech_proj!AB573))</f>
        <v/>
      </c>
      <c r="AC2193" s="119" t="str">
        <f>IF(tech_base!$T169&gt;AC$2025,"",fuel_costs!U$14*0.086/tech_proj!AC293/(1-tech_proj!AC573))</f>
        <v/>
      </c>
      <c r="AD2193" s="119" t="str">
        <f>IF(tech_base!$T169&gt;AD$2025,"",fuel_costs!V$14*0.086/tech_proj!AD293/(1-tech_proj!AD573))</f>
        <v/>
      </c>
      <c r="AE2193" s="119">
        <f>IF(tech_base!$T169&gt;AE$2025,"",fuel_costs!W$14*0.086/tech_proj!AE293/(1-tech_proj!AE573))</f>
        <v>366.17134702642255</v>
      </c>
      <c r="AF2193" s="119">
        <f>IF(tech_base!$T169&gt;AF$2025,"",fuel_costs!X$14*0.086/tech_proj!AF293/(1-tech_proj!AF573))</f>
        <v>367.97116714072951</v>
      </c>
      <c r="AG2193" s="119">
        <f>IF(tech_base!$T169&gt;AG$2025,"",fuel_costs!Y$14*0.086/tech_proj!AG293/(1-tech_proj!AG573))</f>
        <v>369.98864408904524</v>
      </c>
      <c r="AH2193" s="119">
        <f>IF(tech_base!$T169&gt;AH$2025,"",fuel_costs!Z$14*0.086/tech_proj!AH293/(1-tech_proj!AH573))</f>
        <v>372.2232589962403</v>
      </c>
      <c r="AI2193" s="119">
        <f>IF(tech_base!$T169&gt;AI$2025,"",fuel_costs!AA$14*0.086/tech_proj!AI293/(1-tech_proj!AI573))</f>
        <v>374.69589569245397</v>
      </c>
      <c r="AJ2193" s="119">
        <f>IF(tech_base!$T169&gt;AJ$2025,"",fuel_costs!AB$14*0.086/tech_proj!AJ293/(1-tech_proj!AJ573))</f>
        <v>377.44943881573124</v>
      </c>
      <c r="AK2193" s="119">
        <f>IF(tech_base!$T169&gt;AK$2025,"",fuel_costs!AC$14*0.086/tech_proj!AK293/(1-tech_proj!AK573))</f>
        <v>380.53696409845145</v>
      </c>
      <c r="AL2193" s="119">
        <f>IF(tech_base!$T169&gt;AL$2025,"",fuel_costs!AD$14*0.086/tech_proj!AL293/(1-tech_proj!AL573))</f>
        <v>383.85727895860822</v>
      </c>
      <c r="AM2193" s="119">
        <f>IF(tech_base!$T169&gt;AM$2025,"",fuel_costs!AE$14*0.086/tech_proj!AM293/(1-tech_proj!AM573))</f>
        <v>387.28595043109618</v>
      </c>
      <c r="AN2193" s="119">
        <f>IF(tech_base!$T169&gt;AN$2025,"",fuel_costs!AF$14*0.086/tech_proj!AN293/(1-tech_proj!AN573))</f>
        <v>390.78189062947013</v>
      </c>
      <c r="AO2193" s="119">
        <f>IF(tech_base!$T169&gt;AO$2025,"",fuel_costs!AG$14*0.086/tech_proj!AO293/(1-tech_proj!AO573))</f>
        <v>391.38147030436403</v>
      </c>
      <c r="AP2193" s="119">
        <f>IF(tech_base!$T169&gt;AP$2025,"",fuel_costs!AH$14*0.086/tech_proj!AP293/(1-tech_proj!AP573))</f>
        <v>392.75947317061764</v>
      </c>
      <c r="AQ2193" s="119">
        <f>IF(tech_base!$T169&gt;AQ$2025,"",fuel_costs!AI$14*0.086/tech_proj!AQ293/(1-tech_proj!AQ573))</f>
        <v>394.20723995848488</v>
      </c>
      <c r="AR2193" s="119">
        <f>IF(tech_base!$T169&gt;AR$2025,"",fuel_costs!AJ$14*0.086/tech_proj!AR293/(1-tech_proj!AR573))</f>
        <v>396.99566325499643</v>
      </c>
      <c r="AS2193" s="119">
        <f>IF(tech_base!$T169&gt;AS$2025,"",fuel_costs!AK$14*0.086/tech_proj!AS293/(1-tech_proj!AS573))</f>
        <v>398.59515863161278</v>
      </c>
      <c r="AT2193" s="119">
        <f>IF(tech_base!$T169&gt;AT$2025,"",fuel_costs!AL$14*0.086/tech_proj!AT293/(1-tech_proj!AT573))</f>
        <v>400.1952926714074</v>
      </c>
      <c r="AU2193" s="119">
        <f>IF(tech_base!$T169&gt;AU$2025,"",fuel_costs!AM$14*0.086/tech_proj!AU293/(1-tech_proj!AU573))</f>
        <v>401.76856222171347</v>
      </c>
      <c r="AV2193" s="119">
        <f>IF(tech_base!$T169&gt;AV$2025,"",fuel_costs!AN$14*0.086/tech_proj!AV293/(1-tech_proj!AV573))</f>
        <v>403.29997377674147</v>
      </c>
      <c r="AW2193" s="119">
        <f>IF(tech_base!$T169&gt;AW$2025,"",fuel_costs!AO$14*0.086/tech_proj!AW293/(1-tech_proj!AW573))</f>
        <v>404.77820102647041</v>
      </c>
      <c r="AX2193" s="120">
        <f>IF(tech_base!$T169&gt;AX$2025,"",fuel_costs!AP$14*0.086/tech_proj!AX293/(1-tech_proj!AX573))</f>
        <v>406.64133250766247</v>
      </c>
    </row>
    <row r="2194" spans="1:50" x14ac:dyDescent="0.25">
      <c r="A2194" s="356"/>
      <c r="B2194" s="380"/>
      <c r="C2194" s="381"/>
      <c r="D2194" s="4" t="s">
        <v>8</v>
      </c>
      <c r="E2194" s="80" t="str">
        <f>A2165&amp;"/"&amp;B2185&amp;"/"&amp;C2193&amp;"/"&amp;D2194</f>
        <v>Diesel oil fired power plants/Steam turbine/CHP with CCS/M</v>
      </c>
      <c r="F2194" s="80" t="str">
        <f>A2165</f>
        <v>Diesel oil fired power plants</v>
      </c>
      <c r="G2194" s="80" t="str">
        <f>B2185</f>
        <v>Steam turbine</v>
      </c>
      <c r="H2194" s="80" t="str">
        <f>C2193</f>
        <v>CHP with CCS</v>
      </c>
      <c r="I2194" s="80" t="str">
        <f t="shared" si="389"/>
        <v>M</v>
      </c>
      <c r="J2194" s="127" t="str">
        <f>IF(tech_base!$T170&gt;J$2025,"",fuel_costs!B$14*0.086/tech_proj!J294/(1-tech_proj!J574))</f>
        <v/>
      </c>
      <c r="K2194" s="127" t="str">
        <f>IF(tech_base!$T170&gt;K$2025,"",fuel_costs!C$14*0.086/tech_proj!K294/(1-tech_proj!K574))</f>
        <v/>
      </c>
      <c r="L2194" s="127" t="str">
        <f>IF(tech_base!$T170&gt;L$2025,"",fuel_costs!D$14*0.086/tech_proj!L294/(1-tech_proj!L574))</f>
        <v/>
      </c>
      <c r="M2194" s="127" t="str">
        <f>IF(tech_base!$T170&gt;M$2025,"",fuel_costs!E$14*0.086/tech_proj!M294/(1-tech_proj!M574))</f>
        <v/>
      </c>
      <c r="N2194" s="127" t="str">
        <f>IF(tech_base!$T170&gt;N$2025,"",fuel_costs!F$14*0.086/tech_proj!N294/(1-tech_proj!N574))</f>
        <v/>
      </c>
      <c r="O2194" s="127" t="str">
        <f>IF(tech_base!$T170&gt;O$2025,"",fuel_costs!G$14*0.086/tech_proj!O294/(1-tech_proj!O574))</f>
        <v/>
      </c>
      <c r="P2194" s="127" t="str">
        <f>IF(tech_base!$T170&gt;P$2025,"",fuel_costs!H$14*0.086/tech_proj!P294/(1-tech_proj!P574))</f>
        <v/>
      </c>
      <c r="Q2194" s="127" t="str">
        <f>IF(tech_base!$T170&gt;Q$2025,"",fuel_costs!I$14*0.086/tech_proj!Q294/(1-tech_proj!Q574))</f>
        <v/>
      </c>
      <c r="R2194" s="127" t="str">
        <f>IF(tech_base!$T170&gt;R$2025,"",fuel_costs!J$14*0.086/tech_proj!R294/(1-tech_proj!R574))</f>
        <v/>
      </c>
      <c r="S2194" s="127" t="str">
        <f>IF(tech_base!$T170&gt;S$2025,"",fuel_costs!K$14*0.086/tech_proj!S294/(1-tech_proj!S574))</f>
        <v/>
      </c>
      <c r="T2194" s="127" t="str">
        <f>IF(tech_base!$T170&gt;T$2025,"",fuel_costs!L$14*0.086/tech_proj!T294/(1-tech_proj!T574))</f>
        <v/>
      </c>
      <c r="U2194" s="127" t="str">
        <f>IF(tech_base!$T170&gt;U$2025,"",fuel_costs!M$14*0.086/tech_proj!U294/(1-tech_proj!U574))</f>
        <v/>
      </c>
      <c r="V2194" s="127" t="str">
        <f>IF(tech_base!$T170&gt;V$2025,"",fuel_costs!N$14*0.086/tech_proj!V294/(1-tech_proj!V574))</f>
        <v/>
      </c>
      <c r="W2194" s="127" t="str">
        <f>IF(tech_base!$T170&gt;W$2025,"",fuel_costs!O$14*0.086/tech_proj!W294/(1-tech_proj!W574))</f>
        <v/>
      </c>
      <c r="X2194" s="127" t="str">
        <f>IF(tech_base!$T170&gt;X$2025,"",fuel_costs!P$14*0.086/tech_proj!X294/(1-tech_proj!X574))</f>
        <v/>
      </c>
      <c r="Y2194" s="127" t="str">
        <f>IF(tech_base!$T170&gt;Y$2025,"",fuel_costs!Q$14*0.086/tech_proj!Y294/(1-tech_proj!Y574))</f>
        <v/>
      </c>
      <c r="Z2194" s="127" t="str">
        <f>IF(tech_base!$T170&gt;Z$2025,"",fuel_costs!R$14*0.086/tech_proj!Z294/(1-tech_proj!Z574))</f>
        <v/>
      </c>
      <c r="AA2194" s="127" t="str">
        <f>IF(tech_base!$T170&gt;AA$2025,"",fuel_costs!S$14*0.086/tech_proj!AA294/(1-tech_proj!AA574))</f>
        <v/>
      </c>
      <c r="AB2194" s="127" t="str">
        <f>IF(tech_base!$T170&gt;AB$2025,"",fuel_costs!T$14*0.086/tech_proj!AB294/(1-tech_proj!AB574))</f>
        <v/>
      </c>
      <c r="AC2194" s="127" t="str">
        <f>IF(tech_base!$T170&gt;AC$2025,"",fuel_costs!U$14*0.086/tech_proj!AC294/(1-tech_proj!AC574))</f>
        <v/>
      </c>
      <c r="AD2194" s="127" t="str">
        <f>IF(tech_base!$T170&gt;AD$2025,"",fuel_costs!V$14*0.086/tech_proj!AD294/(1-tech_proj!AD574))</f>
        <v/>
      </c>
      <c r="AE2194" s="127">
        <f>IF(tech_base!$T170&gt;AE$2025,"",fuel_costs!W$14*0.086/tech_proj!AE294/(1-tech_proj!AE574))</f>
        <v>392.78800460281781</v>
      </c>
      <c r="AF2194" s="127">
        <f>IF(tech_base!$T170&gt;AF$2025,"",fuel_costs!X$14*0.086/tech_proj!AF294/(1-tech_proj!AF574))</f>
        <v>394.71865198165716</v>
      </c>
      <c r="AG2194" s="127">
        <f>IF(tech_base!$T170&gt;AG$2025,"",fuel_costs!Y$14*0.086/tech_proj!AG294/(1-tech_proj!AG574))</f>
        <v>396.88277746907261</v>
      </c>
      <c r="AH2194" s="127">
        <f>IF(tech_base!$T170&gt;AH$2025,"",fuel_costs!Z$14*0.086/tech_proj!AH294/(1-tech_proj!AH574))</f>
        <v>399.2798244733799</v>
      </c>
      <c r="AI2194" s="127">
        <f>IF(tech_base!$T170&gt;AI$2025,"",fuel_costs!AA$14*0.086/tech_proj!AI294/(1-tech_proj!AI574))</f>
        <v>401.9321948510746</v>
      </c>
      <c r="AJ2194" s="127">
        <f>IF(tech_base!$T170&gt;AJ$2025,"",fuel_costs!AB$14*0.086/tech_proj!AJ294/(1-tech_proj!AJ574))</f>
        <v>404.88589048499836</v>
      </c>
      <c r="AK2194" s="127">
        <f>IF(tech_base!$T170&gt;AK$2025,"",fuel_costs!AC$14*0.086/tech_proj!AK294/(1-tech_proj!AK574))</f>
        <v>408.19784513357689</v>
      </c>
      <c r="AL2194" s="127">
        <f>IF(tech_base!$T170&gt;AL$2025,"",fuel_costs!AD$14*0.086/tech_proj!AL294/(1-tech_proj!AL574))</f>
        <v>411.75951061932545</v>
      </c>
      <c r="AM2194" s="127">
        <f>IF(tech_base!$T170&gt;AM$2025,"",fuel_costs!AE$14*0.086/tech_proj!AM294/(1-tech_proj!AM574))</f>
        <v>415.43740905964211</v>
      </c>
      <c r="AN2194" s="127">
        <f>IF(tech_base!$T170&gt;AN$2025,"",fuel_costs!AF$14*0.086/tech_proj!AN294/(1-tech_proj!AN574))</f>
        <v>419.18746592750239</v>
      </c>
      <c r="AO2194" s="127">
        <f>IF(tech_base!$T170&gt;AO$2025,"",fuel_costs!AG$14*0.086/tech_proj!AO294/(1-tech_proj!AO574))</f>
        <v>419.83062849610445</v>
      </c>
      <c r="AP2194" s="127">
        <f>IF(tech_base!$T170&gt;AP$2025,"",fuel_costs!AH$14*0.086/tech_proj!AP294/(1-tech_proj!AP574))</f>
        <v>421.30879712007834</v>
      </c>
      <c r="AQ2194" s="127">
        <f>IF(tech_base!$T170&gt;AQ$2025,"",fuel_costs!AI$14*0.086/tech_proj!AQ294/(1-tech_proj!AQ574))</f>
        <v>422.86180074080011</v>
      </c>
      <c r="AR2194" s="127">
        <f>IF(tech_base!$T170&gt;AR$2025,"",fuel_costs!AJ$14*0.086/tech_proj!AR294/(1-tech_proj!AR574))</f>
        <v>425.85291195558818</v>
      </c>
      <c r="AS2194" s="127">
        <f>IF(tech_base!$T170&gt;AS$2025,"",fuel_costs!AK$14*0.086/tech_proj!AS294/(1-tech_proj!AS574))</f>
        <v>427.5686731762695</v>
      </c>
      <c r="AT2194" s="127">
        <f>IF(tech_base!$T170&gt;AT$2025,"",fuel_costs!AL$14*0.086/tech_proj!AT294/(1-tech_proj!AT574))</f>
        <v>429.28511948396664</v>
      </c>
      <c r="AU2194" s="127">
        <f>IF(tech_base!$T170&gt;AU$2025,"",fuel_costs!AM$14*0.086/tech_proj!AU294/(1-tech_proj!AU574))</f>
        <v>430.97274854720536</v>
      </c>
      <c r="AV2194" s="127">
        <f>IF(tech_base!$T170&gt;AV$2025,"",fuel_costs!AN$14*0.086/tech_proj!AV294/(1-tech_proj!AV574))</f>
        <v>432.61547699608576</v>
      </c>
      <c r="AW2194" s="127">
        <f>IF(tech_base!$T170&gt;AW$2025,"",fuel_costs!AO$14*0.086/tech_proj!AW294/(1-tech_proj!AW574))</f>
        <v>434.20115522155498</v>
      </c>
      <c r="AX2194" s="128">
        <f>IF(tech_base!$T170&gt;AX$2025,"",fuel_costs!AP$14*0.086/tech_proj!AX294/(1-tech_proj!AX574))</f>
        <v>436.19971601216031</v>
      </c>
    </row>
    <row r="2195" spans="1:50" x14ac:dyDescent="0.25">
      <c r="A2195" s="356"/>
      <c r="B2195" s="358" t="s">
        <v>25</v>
      </c>
      <c r="C2195" s="353" t="s">
        <v>6</v>
      </c>
      <c r="D2195" s="3" t="s">
        <v>10</v>
      </c>
      <c r="E2195" s="77" t="str">
        <f>A2165&amp;"/"&amp;B2195&amp;"/"&amp;C2195&amp;"/"&amp;D2195</f>
        <v>Diesel oil fired power plants/Internal combustion engine/Electricity only/S</v>
      </c>
      <c r="F2195" s="77" t="str">
        <f>A2165</f>
        <v>Diesel oil fired power plants</v>
      </c>
      <c r="G2195" s="77" t="str">
        <f>B2195</f>
        <v>Internal combustion engine</v>
      </c>
      <c r="H2195" s="77" t="str">
        <f>C2195</f>
        <v>Electricity only</v>
      </c>
      <c r="I2195" s="77" t="str">
        <f t="shared" si="389"/>
        <v>S</v>
      </c>
      <c r="J2195" s="121">
        <f>IF(tech_base!$T171&gt;J$2025,"",fuel_costs!B$14*0.086/tech_proj!J295/(1-tech_proj!J575))</f>
        <v>205.15824164544412</v>
      </c>
      <c r="K2195" s="121">
        <f>IF(tech_base!$T171&gt;K$2025,"",fuel_costs!C$14*0.086/tech_proj!K295/(1-tech_proj!K575))</f>
        <v>242.6528778998871</v>
      </c>
      <c r="L2195" s="121">
        <f>IF(tech_base!$T171&gt;L$2025,"",fuel_costs!D$14*0.086/tech_proj!L295/(1-tech_proj!L575))</f>
        <v>254.5889282418712</v>
      </c>
      <c r="M2195" s="121">
        <f>IF(tech_base!$T171&gt;M$2025,"",fuel_costs!E$14*0.086/tech_proj!M295/(1-tech_proj!M575))</f>
        <v>245.9248391685023</v>
      </c>
      <c r="N2195" s="121">
        <f>IF(tech_base!$T171&gt;N$2025,"",fuel_costs!F$14*0.086/tech_proj!N295/(1-tech_proj!N575))</f>
        <v>231.67278373376743</v>
      </c>
      <c r="O2195" s="121">
        <f>IF(tech_base!$T171&gt;O$2025,"",fuel_costs!G$14*0.086/tech_proj!O295/(1-tech_proj!O575))</f>
        <v>181.6247088063692</v>
      </c>
      <c r="P2195" s="121">
        <f>IF(tech_base!$T171&gt;P$2025,"",fuel_costs!H$14*0.086/tech_proj!P295/(1-tech_proj!P575))</f>
        <v>169.70375818024115</v>
      </c>
      <c r="Q2195" s="121">
        <f>IF(tech_base!$T171&gt;Q$2025,"",fuel_costs!I$14*0.086/tech_proj!Q295/(1-tech_proj!Q575))</f>
        <v>184.49344362814867</v>
      </c>
      <c r="R2195" s="121">
        <f>IF(tech_base!$T171&gt;R$2025,"",fuel_costs!J$14*0.086/tech_proj!R295/(1-tech_proj!R575))</f>
        <v>197.72200084073796</v>
      </c>
      <c r="S2195" s="121">
        <f>IF(tech_base!$T171&gt;S$2025,"",fuel_costs!K$14*0.086/tech_proj!S295/(1-tech_proj!S575))</f>
        <v>209.34883334944217</v>
      </c>
      <c r="T2195" s="121">
        <f>IF(tech_base!$T171&gt;T$2025,"",fuel_costs!L$14*0.086/tech_proj!T295/(1-tech_proj!T575))</f>
        <v>220.56859805850479</v>
      </c>
      <c r="U2195" s="121">
        <f>IF(tech_base!$T171&gt;U$2025,"",fuel_costs!M$14*0.086/tech_proj!U295/(1-tech_proj!U575))</f>
        <v>231.26728133412158</v>
      </c>
      <c r="V2195" s="121">
        <f>IF(tech_base!$T171&gt;V$2025,"",fuel_costs!N$14*0.086/tech_proj!V295/(1-tech_proj!V575))</f>
        <v>238.50600663767142</v>
      </c>
      <c r="W2195" s="121">
        <f>IF(tech_base!$T171&gt;W$2025,"",fuel_costs!O$14*0.086/tech_proj!W295/(1-tech_proj!W575))</f>
        <v>247.33093670534458</v>
      </c>
      <c r="X2195" s="121">
        <f>IF(tech_base!$T171&gt;X$2025,"",fuel_costs!P$14*0.086/tech_proj!X295/(1-tech_proj!X575))</f>
        <v>255.01615851979574</v>
      </c>
      <c r="Y2195" s="121">
        <f>IF(tech_base!$T171&gt;Y$2025,"",fuel_costs!Q$14*0.086/tech_proj!Y295/(1-tech_proj!Y575))</f>
        <v>261.5681312209943</v>
      </c>
      <c r="Z2195" s="121">
        <f>IF(tech_base!$T171&gt;Z$2025,"",fuel_costs!R$14*0.086/tech_proj!Z295/(1-tech_proj!Z575))</f>
        <v>265.84555277428763</v>
      </c>
      <c r="AA2195" s="121">
        <f>IF(tech_base!$T171&gt;AA$2025,"",fuel_costs!S$14*0.086/tech_proj!AA295/(1-tech_proj!AA575))</f>
        <v>269.74016894832289</v>
      </c>
      <c r="AB2195" s="121">
        <f>IF(tech_base!$T171&gt;AB$2025,"",fuel_costs!T$14*0.086/tech_proj!AB295/(1-tech_proj!AB575))</f>
        <v>272.47447735139156</v>
      </c>
      <c r="AC2195" s="121">
        <f>IF(tech_base!$T171&gt;AC$2025,"",fuel_costs!U$14*0.086/tech_proj!AC295/(1-tech_proj!AC575))</f>
        <v>276.6171633977134</v>
      </c>
      <c r="AD2195" s="121">
        <f>IF(tech_base!$T171&gt;AD$2025,"",fuel_costs!V$14*0.086/tech_proj!AD295/(1-tech_proj!AD575))</f>
        <v>279.23259764042007</v>
      </c>
      <c r="AE2195" s="121">
        <f>IF(tech_base!$T171&gt;AE$2025,"",fuel_costs!W$14*0.086/tech_proj!AE295/(1-tech_proj!AE575))</f>
        <v>281.74108534984981</v>
      </c>
      <c r="AF2195" s="121">
        <f>IF(tech_base!$T171&gt;AF$2025,"",fuel_costs!X$14*0.086/tech_proj!AF295/(1-tech_proj!AF575))</f>
        <v>283.11170469535847</v>
      </c>
      <c r="AG2195" s="121">
        <f>IF(tech_base!$T171&gt;AG$2025,"",fuel_costs!Y$14*0.086/tech_proj!AG295/(1-tech_proj!AG575))</f>
        <v>284.64905952554767</v>
      </c>
      <c r="AH2195" s="121">
        <f>IF(tech_base!$T171&gt;AH$2025,"",fuel_costs!Z$14*0.086/tech_proj!AH295/(1-tech_proj!AH575))</f>
        <v>286.35269868364145</v>
      </c>
      <c r="AI2195" s="121">
        <f>IF(tech_base!$T171&gt;AI$2025,"",fuel_costs!AA$14*0.086/tech_proj!AI295/(1-tech_proj!AI575))</f>
        <v>288.2386331153802</v>
      </c>
      <c r="AJ2195" s="121">
        <f>IF(tech_base!$T171&gt;AJ$2025,"",fuel_costs!AB$14*0.086/tech_proj!AJ295/(1-tech_proj!AJ575))</f>
        <v>290.33979111073091</v>
      </c>
      <c r="AK2195" s="121">
        <f>IF(tech_base!$T171&gt;AK$2025,"",fuel_costs!AC$14*0.086/tech_proj!AK295/(1-tech_proj!AK575))</f>
        <v>292.69692913448949</v>
      </c>
      <c r="AL2195" s="121">
        <f>IF(tech_base!$T171&gt;AL$2025,"",fuel_costs!AD$14*0.086/tech_proj!AL295/(1-tech_proj!AL575))</f>
        <v>295.23213964770059</v>
      </c>
      <c r="AM2195" s="121">
        <f>IF(tech_base!$T171&gt;AM$2025,"",fuel_costs!AE$14*0.086/tech_proj!AM295/(1-tech_proj!AM575))</f>
        <v>297.84965860069434</v>
      </c>
      <c r="AN2195" s="121">
        <f>IF(tech_base!$T171&gt;AN$2025,"",fuel_costs!AF$14*0.086/tech_proj!AN295/(1-tech_proj!AN575))</f>
        <v>300.51783939804773</v>
      </c>
      <c r="AO2195" s="121">
        <f>IF(tech_base!$T171&gt;AO$2025,"",fuel_costs!AG$14*0.086/tech_proj!AO295/(1-tech_proj!AO575))</f>
        <v>300.9577184266974</v>
      </c>
      <c r="AP2195" s="121">
        <f>IF(tech_base!$T171&gt;AP$2025,"",fuel_costs!AH$14*0.086/tech_proj!AP295/(1-tech_proj!AP575))</f>
        <v>301.99531581392444</v>
      </c>
      <c r="AQ2195" s="121">
        <f>IF(tech_base!$T171&gt;AQ$2025,"",fuel_costs!AI$14*0.086/tech_proj!AQ295/(1-tech_proj!AQ575))</f>
        <v>303.08562947539065</v>
      </c>
      <c r="AR2195" s="121">
        <f>IF(tech_base!$T171&gt;AR$2025,"",fuel_costs!AJ$14*0.086/tech_proj!AR295/(1-tech_proj!AR575))</f>
        <v>305.20567595725583</v>
      </c>
      <c r="AS2195" s="121">
        <f>IF(tech_base!$T171&gt;AS$2025,"",fuel_costs!AK$14*0.086/tech_proj!AS295/(1-tech_proj!AS575))</f>
        <v>306.41062979320799</v>
      </c>
      <c r="AT2195" s="121">
        <f>IF(tech_base!$T171&gt;AT$2025,"",fuel_costs!AL$14*0.086/tech_proj!AT295/(1-tech_proj!AT575))</f>
        <v>307.61507004458173</v>
      </c>
      <c r="AU2195" s="121">
        <f>IF(tech_base!$T171&gt;AU$2025,"",fuel_costs!AM$14*0.086/tech_proj!AU295/(1-tech_proj!AU575))</f>
        <v>308.79784199684235</v>
      </c>
      <c r="AV2195" s="121">
        <f>IF(tech_base!$T171&gt;AV$2025,"",fuel_costs!AN$14*0.086/tech_proj!AV295/(1-tech_proj!AV575))</f>
        <v>309.94741409269176</v>
      </c>
      <c r="AW2195" s="121">
        <f>IF(tech_base!$T171&gt;AW$2025,"",fuel_costs!AO$14*0.086/tech_proj!AW295/(1-tech_proj!AW575))</f>
        <v>311.05507922300671</v>
      </c>
      <c r="AX2195" s="122">
        <f>IF(tech_base!$T171&gt;AX$2025,"",fuel_costs!AP$14*0.086/tech_proj!AX295/(1-tech_proj!AX575))</f>
        <v>312.45746008329604</v>
      </c>
    </row>
    <row r="2196" spans="1:50" x14ac:dyDescent="0.25">
      <c r="A2196" s="356"/>
      <c r="B2196" s="376"/>
      <c r="C2196" s="379"/>
      <c r="D2196" s="59" t="s">
        <v>20</v>
      </c>
      <c r="E2196" s="76" t="str">
        <f>A2165&amp;"/"&amp;B2195&amp;"/"&amp;C2195&amp;"/"&amp;D2196</f>
        <v>Diesel oil fired power plants/Internal combustion engine/Electricity only/XS</v>
      </c>
      <c r="F2196" s="76" t="str">
        <f>A2165</f>
        <v>Diesel oil fired power plants</v>
      </c>
      <c r="G2196" s="76" t="str">
        <f>B2195</f>
        <v>Internal combustion engine</v>
      </c>
      <c r="H2196" s="76" t="str">
        <f>C2195</f>
        <v>Electricity only</v>
      </c>
      <c r="I2196" s="76" t="str">
        <f t="shared" si="389"/>
        <v>XS</v>
      </c>
      <c r="J2196" s="119">
        <f>IF(tech_base!$T172&gt;J$2025,"",fuel_costs!B$14*0.086/tech_proj!J296/(1-tech_proj!J576))</f>
        <v>215.70405441636237</v>
      </c>
      <c r="K2196" s="119">
        <f>IF(tech_base!$T172&gt;K$2025,"",fuel_costs!C$14*0.086/tech_proj!K296/(1-tech_proj!K576))</f>
        <v>255.12713885383636</v>
      </c>
      <c r="L2196" s="119">
        <f>IF(tech_base!$T172&gt;L$2025,"",fuel_costs!D$14*0.086/tech_proj!L296/(1-tech_proj!L576))</f>
        <v>267.67800058599227</v>
      </c>
      <c r="M2196" s="119">
        <f>IF(tech_base!$T172&gt;M$2025,"",fuel_costs!E$14*0.086/tech_proj!M296/(1-tech_proj!M576))</f>
        <v>258.56968313515586</v>
      </c>
      <c r="N2196" s="119">
        <f>IF(tech_base!$T172&gt;N$2025,"",fuel_costs!F$14*0.086/tech_proj!N296/(1-tech_proj!N576))</f>
        <v>243.58601646484561</v>
      </c>
      <c r="O2196" s="119">
        <f>IF(tech_base!$T172&gt;O$2025,"",fuel_costs!G$14*0.086/tech_proj!O296/(1-tech_proj!O576))</f>
        <v>190.9653123294739</v>
      </c>
      <c r="P2196" s="119">
        <f>IF(tech_base!$T172&gt;P$2025,"",fuel_costs!H$14*0.086/tech_proj!P296/(1-tech_proj!P576))</f>
        <v>178.4322416637381</v>
      </c>
      <c r="Q2196" s="119">
        <f>IF(tech_base!$T172&gt;Q$2025,"",fuel_costs!I$14*0.086/tech_proj!Q296/(1-tech_proj!Q576))</f>
        <v>193.98369222597762</v>
      </c>
      <c r="R2196" s="119">
        <f>IF(tech_base!$T172&gt;R$2025,"",fuel_costs!J$14*0.086/tech_proj!R296/(1-tech_proj!R576))</f>
        <v>207.89392274145243</v>
      </c>
      <c r="S2196" s="119">
        <f>IF(tech_base!$T172&gt;S$2025,"",fuel_costs!K$14*0.086/tech_proj!S296/(1-tech_proj!S576))</f>
        <v>220.12023066703642</v>
      </c>
      <c r="T2196" s="119">
        <f>IF(tech_base!$T172&gt;T$2025,"",fuel_costs!L$14*0.086/tech_proj!T296/(1-tech_proj!T576))</f>
        <v>231.91872804413489</v>
      </c>
      <c r="U2196" s="119">
        <f>IF(tech_base!$T172&gt;U$2025,"",fuel_costs!M$14*0.086/tech_proj!U296/(1-tech_proj!U576))</f>
        <v>243.16953575002225</v>
      </c>
      <c r="V2196" s="119">
        <f>IF(tech_base!$T172&gt;V$2025,"",fuel_costs!N$14*0.086/tech_proj!V296/(1-tech_proj!V576))</f>
        <v>250.78250539146063</v>
      </c>
      <c r="W2196" s="119">
        <f>IF(tech_base!$T172&gt;W$2025,"",fuel_costs!O$14*0.086/tech_proj!W296/(1-tech_proj!W576))</f>
        <v>260.06350917414676</v>
      </c>
      <c r="X2196" s="119">
        <f>IF(tech_base!$T172&gt;X$2025,"",fuel_costs!P$14*0.086/tech_proj!X296/(1-tech_proj!X576))</f>
        <v>268.1463276543281</v>
      </c>
      <c r="Y2196" s="119">
        <f>IF(tech_base!$T172&gt;Y$2025,"",fuel_costs!Q$14*0.086/tech_proj!Y296/(1-tech_proj!Y576))</f>
        <v>275.03773444146503</v>
      </c>
      <c r="Z2196" s="119">
        <f>IF(tech_base!$T172&gt;Z$2025,"",fuel_costs!R$14*0.086/tech_proj!Z296/(1-tech_proj!Z576))</f>
        <v>279.53762612833503</v>
      </c>
      <c r="AA2196" s="119">
        <f>IF(tech_base!$T172&gt;AA$2025,"",fuel_costs!S$14*0.086/tech_proj!AA296/(1-tech_proj!AA576))</f>
        <v>283.63514563857348</v>
      </c>
      <c r="AB2196" s="119">
        <f>IF(tech_base!$T172&gt;AB$2025,"",fuel_costs!T$14*0.086/tech_proj!AB296/(1-tech_proj!AB576))</f>
        <v>286.51272757778122</v>
      </c>
      <c r="AC2196" s="119">
        <f>IF(tech_base!$T172&gt;AC$2025,"",fuel_costs!U$14*0.086/tech_proj!AC296/(1-tech_proj!AC576))</f>
        <v>290.87139581308378</v>
      </c>
      <c r="AD2196" s="119">
        <f>IF(tech_base!$T172&gt;AD$2025,"",fuel_costs!V$14*0.086/tech_proj!AD296/(1-tech_proj!AD576))</f>
        <v>293.62426210616405</v>
      </c>
      <c r="AE2196" s="119">
        <f>IF(tech_base!$T172&gt;AE$2025,"",fuel_costs!W$14*0.086/tech_proj!AE296/(1-tech_proj!AE576))</f>
        <v>296.26480793669202</v>
      </c>
      <c r="AF2196" s="119">
        <f>IF(tech_base!$T172&gt;AF$2025,"",fuel_costs!X$14*0.086/tech_proj!AF296/(1-tech_proj!AF576))</f>
        <v>297.70895686236338</v>
      </c>
      <c r="AG2196" s="119">
        <f>IF(tech_base!$T172&gt;AG$2025,"",fuel_costs!Y$14*0.086/tech_proj!AG296/(1-tech_proj!AG576))</f>
        <v>299.32855874919102</v>
      </c>
      <c r="AH2196" s="119">
        <f>IF(tech_base!$T172&gt;AH$2025,"",fuel_costs!Z$14*0.086/tech_proj!AH296/(1-tech_proj!AH576))</f>
        <v>301.12314585922752</v>
      </c>
      <c r="AI2196" s="119">
        <f>IF(tech_base!$T172&gt;AI$2025,"",fuel_costs!AA$14*0.086/tech_proj!AI296/(1-tech_proj!AI576))</f>
        <v>303.10956185190122</v>
      </c>
      <c r="AJ2196" s="119">
        <f>IF(tech_base!$T172&gt;AJ$2025,"",fuel_costs!AB$14*0.086/tech_proj!AJ296/(1-tech_proj!AJ576))</f>
        <v>305.32244141617298</v>
      </c>
      <c r="AK2196" s="119">
        <f>IF(tech_base!$T172&gt;AK$2025,"",fuel_costs!AC$14*0.086/tech_proj!AK296/(1-tech_proj!AK576))</f>
        <v>307.8046529557173</v>
      </c>
      <c r="AL2196" s="119">
        <f>IF(tech_base!$T172&gt;AL$2025,"",fuel_costs!AD$14*0.086/tech_proj!AL296/(1-tech_proj!AL576))</f>
        <v>310.47427643981047</v>
      </c>
      <c r="AM2196" s="119">
        <f>IF(tech_base!$T172&gt;AM$2025,"",fuel_costs!AE$14*0.086/tech_proj!AM296/(1-tech_proj!AM576))</f>
        <v>313.23060933107973</v>
      </c>
      <c r="AN2196" s="119">
        <f>IF(tech_base!$T172&gt;AN$2025,"",fuel_costs!AF$14*0.086/tech_proj!AN296/(1-tech_proj!AN576))</f>
        <v>316.04037329592944</v>
      </c>
      <c r="AO2196" s="119">
        <f>IF(tech_base!$T172&gt;AO$2025,"",fuel_costs!AG$14*0.086/tech_proj!AO296/(1-tech_proj!AO576))</f>
        <v>316.50686202250068</v>
      </c>
      <c r="AP2196" s="119">
        <f>IF(tech_base!$T172&gt;AP$2025,"",fuel_costs!AH$14*0.086/tech_proj!AP296/(1-tech_proj!AP576))</f>
        <v>317.6020511943978</v>
      </c>
      <c r="AQ2196" s="119">
        <f>IF(tech_base!$T172&gt;AQ$2025,"",fuel_costs!AI$14*0.086/tech_proj!AQ296/(1-tech_proj!AQ576))</f>
        <v>318.75278665702314</v>
      </c>
      <c r="AR2196" s="119">
        <f>IF(tech_base!$T172&gt;AR$2025,"",fuel_costs!AJ$14*0.086/tech_proj!AR296/(1-tech_proj!AR576))</f>
        <v>320.98660056804505</v>
      </c>
      <c r="AS2196" s="119">
        <f>IF(tech_base!$T172&gt;AS$2025,"",fuel_costs!AK$14*0.086/tech_proj!AS296/(1-tech_proj!AS576))</f>
        <v>322.25811977475746</v>
      </c>
      <c r="AT2196" s="119">
        <f>IF(tech_base!$T172&gt;AT$2025,"",fuel_costs!AL$14*0.086/tech_proj!AT296/(1-tech_proj!AT576))</f>
        <v>323.5291944965158</v>
      </c>
      <c r="AU2196" s="119">
        <f>IF(tech_base!$T172&gt;AU$2025,"",fuel_costs!AM$14*0.086/tech_proj!AU296/(1-tech_proj!AU576))</f>
        <v>324.77756908685865</v>
      </c>
      <c r="AV2196" s="119">
        <f>IF(tech_base!$T172&gt;AV$2025,"",fuel_costs!AN$14*0.086/tech_proj!AV296/(1-tech_proj!AV576))</f>
        <v>325.99110714175049</v>
      </c>
      <c r="AW2196" s="119">
        <f>IF(tech_base!$T172&gt;AW$2025,"",fuel_costs!AO$14*0.086/tech_proj!AW296/(1-tech_proj!AW576))</f>
        <v>327.16064142465382</v>
      </c>
      <c r="AX2196" s="120">
        <f>IF(tech_base!$T172&gt;AX$2025,"",fuel_costs!AP$14*0.086/tech_proj!AX296/(1-tech_proj!AX576))</f>
        <v>328.6402184038584</v>
      </c>
    </row>
    <row r="2197" spans="1:50" x14ac:dyDescent="0.25">
      <c r="A2197" s="356"/>
      <c r="B2197" s="376"/>
      <c r="C2197" s="350" t="s">
        <v>14</v>
      </c>
      <c r="D2197" s="2" t="s">
        <v>10</v>
      </c>
      <c r="E2197" s="78" t="str">
        <f>A2165&amp;"/"&amp;B2195&amp;"/"&amp;C2197&amp;"/"&amp;D2197</f>
        <v>Diesel oil fired power plants/Internal combustion engine/CHP/S</v>
      </c>
      <c r="F2197" s="78" t="str">
        <f>A2165</f>
        <v>Diesel oil fired power plants</v>
      </c>
      <c r="G2197" s="78" t="str">
        <f>B2195</f>
        <v>Internal combustion engine</v>
      </c>
      <c r="H2197" s="78" t="str">
        <f>C2197</f>
        <v>CHP</v>
      </c>
      <c r="I2197" s="78" t="str">
        <f t="shared" si="389"/>
        <v>S</v>
      </c>
      <c r="J2197" s="123">
        <f>IF(tech_base!$T173&gt;J$2025,"",fuel_costs!B$14*0.086/tech_proj!J297/(1-tech_proj!J577))</f>
        <v>226.27809357517896</v>
      </c>
      <c r="K2197" s="123">
        <f>IF(tech_base!$T173&gt;K$2025,"",fuel_costs!C$14*0.086/tech_proj!K297/(1-tech_proj!K577))</f>
        <v>267.63465078087</v>
      </c>
      <c r="L2197" s="123">
        <f>IF(tech_base!$T173&gt;L$2025,"",fuel_costs!D$14*0.086/tech_proj!L297/(1-tech_proj!L577))</f>
        <v>280.80181412510103</v>
      </c>
      <c r="M2197" s="123">
        <f>IF(tech_base!$T173&gt;M$2025,"",fuel_costs!E$14*0.086/tech_proj!M297/(1-tech_proj!M577))</f>
        <v>271.24794096915298</v>
      </c>
      <c r="N2197" s="123">
        <f>IF(tech_base!$T173&gt;N$2025,"",fuel_costs!F$14*0.086/tech_proj!N297/(1-tech_proj!N577))</f>
        <v>255.5305856954071</v>
      </c>
      <c r="O2197" s="123">
        <f>IF(tech_base!$T173&gt;O$2025,"",fuel_costs!G$14*0.086/tech_proj!O297/(1-tech_proj!O577))</f>
        <v>200.33036889920163</v>
      </c>
      <c r="P2197" s="123">
        <f>IF(tech_base!$T173&gt;P$2025,"",fuel_costs!H$14*0.086/tech_proj!P297/(1-tech_proj!P577))</f>
        <v>187.18346372394035</v>
      </c>
      <c r="Q2197" s="123">
        <f>IF(tech_base!$T173&gt;Q$2025,"",fuel_costs!I$14*0.086/tech_proj!Q297/(1-tech_proj!Q577))</f>
        <v>203.49853870802781</v>
      </c>
      <c r="R2197" s="123">
        <f>IF(tech_base!$T173&gt;R$2025,"",fuel_costs!J$14*0.086/tech_proj!R297/(1-tech_proj!R577))</f>
        <v>218.09207163090412</v>
      </c>
      <c r="S2197" s="123">
        <f>IF(tech_base!$T173&gt;S$2025,"",fuel_costs!K$14*0.086/tech_proj!S297/(1-tech_proj!S577))</f>
        <v>230.91925112252119</v>
      </c>
      <c r="T2197" s="123">
        <f>IF(tech_base!$T173&gt;T$2025,"",fuel_costs!L$14*0.086/tech_proj!T297/(1-tech_proj!T577))</f>
        <v>243.29780404971166</v>
      </c>
      <c r="U2197" s="123">
        <f>IF(tech_base!$T173&gt;U$2025,"",fuel_costs!M$14*0.086/tech_proj!U297/(1-tech_proj!U577))</f>
        <v>255.10197143739634</v>
      </c>
      <c r="V2197" s="123">
        <f>IF(tech_base!$T173&gt;V$2025,"",fuel_costs!N$14*0.086/tech_proj!V297/(1-tech_proj!V577))</f>
        <v>263.08995257656926</v>
      </c>
      <c r="W2197" s="123">
        <f>IF(tech_base!$T173&gt;W$2025,"",fuel_costs!O$14*0.086/tech_proj!W297/(1-tech_proj!W577))</f>
        <v>272.82798780666036</v>
      </c>
      <c r="X2197" s="123">
        <f>IF(tech_base!$T173&gt;X$2025,"",fuel_costs!P$14*0.086/tech_proj!X297/(1-tech_proj!X577))</f>
        <v>281.30919810805955</v>
      </c>
      <c r="Y2197" s="123">
        <f>IF(tech_base!$T173&gt;Y$2025,"",fuel_costs!Q$14*0.086/tech_proj!Y297/(1-tech_proj!Y577))</f>
        <v>288.54067515956945</v>
      </c>
      <c r="Z2197" s="123">
        <f>IF(tech_base!$T173&gt;Z$2025,"",fuel_costs!R$14*0.086/tech_proj!Z297/(1-tech_proj!Z577))</f>
        <v>293.26337255906782</v>
      </c>
      <c r="AA2197" s="123">
        <f>IF(tech_base!$T173&gt;AA$2025,"",fuel_costs!S$14*0.086/tech_proj!AA297/(1-tech_proj!AA577))</f>
        <v>297.56407432795208</v>
      </c>
      <c r="AB2197" s="123">
        <f>IF(tech_base!$T173&gt;AB$2025,"",fuel_costs!T$14*0.086/tech_proj!AB297/(1-tech_proj!AB577))</f>
        <v>300.5850563077878</v>
      </c>
      <c r="AC2197" s="123">
        <f>IF(tech_base!$T173&gt;AC$2025,"",fuel_costs!U$14*0.086/tech_proj!AC297/(1-tech_proj!AC577))</f>
        <v>305.16000349976224</v>
      </c>
      <c r="AD2197" s="123">
        <f>IF(tech_base!$T173&gt;AD$2025,"",fuel_costs!V$14*0.086/tech_proj!AD297/(1-tech_proj!AD577))</f>
        <v>308.05040383749559</v>
      </c>
      <c r="AE2197" s="123">
        <f>IF(tech_base!$T173&gt;AE$2025,"",fuel_costs!W$14*0.086/tech_proj!AE297/(1-tech_proj!AE577))</f>
        <v>310.82309383278073</v>
      </c>
      <c r="AF2197" s="123">
        <f>IF(tech_base!$T173&gt;AF$2025,"",fuel_costs!X$14*0.086/tech_proj!AF297/(1-tech_proj!AF577))</f>
        <v>312.34071807964114</v>
      </c>
      <c r="AG2197" s="123">
        <f>IF(tech_base!$T173&gt;AG$2025,"",fuel_costs!Y$14*0.086/tech_proj!AG297/(1-tech_proj!AG577))</f>
        <v>314.04253430318369</v>
      </c>
      <c r="AH2197" s="123">
        <f>IF(tech_base!$T173&gt;AH$2025,"",fuel_costs!Z$14*0.086/tech_proj!AH297/(1-tech_proj!AH577))</f>
        <v>315.92805902850745</v>
      </c>
      <c r="AI2197" s="123">
        <f>IF(tech_base!$T173&gt;AI$2025,"",fuel_costs!AA$14*0.086/tech_proj!AI297/(1-tech_proj!AI577))</f>
        <v>318.01497159510353</v>
      </c>
      <c r="AJ2197" s="123">
        <f>IF(tech_base!$T173&gt;AJ$2025,"",fuel_costs!AB$14*0.086/tech_proj!AJ297/(1-tech_proj!AJ577))</f>
        <v>320.33961818883847</v>
      </c>
      <c r="AK2197" s="123">
        <f>IF(tech_base!$T173&gt;AK$2025,"",fuel_costs!AC$14*0.086/tech_proj!AK297/(1-tech_proj!AK577))</f>
        <v>322.94698526880779</v>
      </c>
      <c r="AL2197" s="123">
        <f>IF(tech_base!$T173&gt;AL$2025,"",fuel_costs!AD$14*0.086/tech_proj!AL297/(1-tech_proj!AL577))</f>
        <v>325.75113257461828</v>
      </c>
      <c r="AM2197" s="123">
        <f>IF(tech_base!$T173&gt;AM$2025,"",fuel_costs!AE$14*0.086/tech_proj!AM297/(1-tech_proj!AM577))</f>
        <v>328.64640967247942</v>
      </c>
      <c r="AN2197" s="123">
        <f>IF(tech_base!$T173&gt;AN$2025,"",fuel_costs!AF$14*0.086/tech_proj!AN297/(1-tech_proj!AN577))</f>
        <v>331.59790498708082</v>
      </c>
      <c r="AO2197" s="123">
        <f>IF(tech_base!$T173&gt;AO$2025,"",fuel_costs!AG$14*0.086/tech_proj!AO297/(1-tech_proj!AO577))</f>
        <v>332.09090765560251</v>
      </c>
      <c r="AP2197" s="123">
        <f>IF(tech_base!$T173&gt;AP$2025,"",fuel_costs!AH$14*0.086/tech_proj!AP297/(1-tech_proj!AP577))</f>
        <v>333.24368099473452</v>
      </c>
      <c r="AQ2197" s="123">
        <f>IF(tech_base!$T173&gt;AQ$2025,"",fuel_costs!AI$14*0.086/tech_proj!AQ297/(1-tech_proj!AQ577))</f>
        <v>334.4548577786519</v>
      </c>
      <c r="AR2197" s="123">
        <f>IF(tech_base!$T173&gt;AR$2025,"",fuel_costs!AJ$14*0.086/tech_proj!AR297/(1-tech_proj!AR577))</f>
        <v>336.80260068215813</v>
      </c>
      <c r="AS2197" s="123">
        <f>IF(tech_base!$T173&gt;AS$2025,"",fuel_costs!AK$14*0.086/tech_proj!AS297/(1-tech_proj!AS577))</f>
        <v>338.14076795182217</v>
      </c>
      <c r="AT2197" s="123">
        <f>IF(tech_base!$T173&gt;AT$2025,"",fuel_costs!AL$14*0.086/tech_proj!AT297/(1-tech_proj!AT577))</f>
        <v>339.47858927573157</v>
      </c>
      <c r="AU2197" s="123">
        <f>IF(tech_base!$T173&gt;AU$2025,"",fuel_costs!AM$14*0.086/tech_proj!AU297/(1-tech_proj!AU577))</f>
        <v>340.79270870861131</v>
      </c>
      <c r="AV2197" s="123">
        <f>IF(tech_base!$T173&gt;AV$2025,"",fuel_costs!AN$14*0.086/tech_proj!AV297/(1-tech_proj!AV577))</f>
        <v>342.07038681319739</v>
      </c>
      <c r="AW2197" s="123">
        <f>IF(tech_base!$T173&gt;AW$2025,"",fuel_costs!AO$14*0.086/tech_proj!AW297/(1-tech_proj!AW577))</f>
        <v>343.30199840405476</v>
      </c>
      <c r="AX2197" s="124">
        <f>IF(tech_base!$T173&gt;AX$2025,"",fuel_costs!AP$14*0.086/tech_proj!AX297/(1-tech_proj!AX577))</f>
        <v>344.85905578023556</v>
      </c>
    </row>
    <row r="2198" spans="1:50" x14ac:dyDescent="0.25">
      <c r="A2198" s="357"/>
      <c r="B2198" s="380"/>
      <c r="C2198" s="381"/>
      <c r="D2198" s="4" t="s">
        <v>20</v>
      </c>
      <c r="E2198" s="80" t="str">
        <f>A2165&amp;"/"&amp;B2195&amp;"/"&amp;C2197&amp;"/"&amp;D2198</f>
        <v>Diesel oil fired power plants/Internal combustion engine/CHP/XS</v>
      </c>
      <c r="F2198" s="80" t="str">
        <f>A2165</f>
        <v>Diesel oil fired power plants</v>
      </c>
      <c r="G2198" s="80" t="str">
        <f>B2195</f>
        <v>Internal combustion engine</v>
      </c>
      <c r="H2198" s="80" t="str">
        <f>C2197</f>
        <v>CHP</v>
      </c>
      <c r="I2198" s="80" t="str">
        <f t="shared" si="389"/>
        <v>XS</v>
      </c>
      <c r="J2198" s="127">
        <f>IF(tech_base!$T174&gt;J$2025,"",fuel_costs!B$14*0.086/tech_proj!J298/(1-tech_proj!J578))</f>
        <v>237.9422735794667</v>
      </c>
      <c r="K2198" s="127">
        <f>IF(tech_base!$T174&gt;K$2025,"",fuel_costs!C$14*0.086/tech_proj!K298/(1-tech_proj!K578))</f>
        <v>281.43067801783974</v>
      </c>
      <c r="L2198" s="127">
        <f>IF(tech_base!$T174&gt;L$2025,"",fuel_costs!D$14*0.086/tech_proj!L298/(1-tech_proj!L578))</f>
        <v>295.27658211406469</v>
      </c>
      <c r="M2198" s="127">
        <f>IF(tech_base!$T174&gt;M$2025,"",fuel_costs!E$14*0.086/tech_proj!M298/(1-tech_proj!M578))</f>
        <v>285.23022603823523</v>
      </c>
      <c r="N2198" s="127">
        <f>IF(tech_base!$T174&gt;N$2025,"",fuel_costs!F$14*0.086/tech_proj!N298/(1-tech_proj!N578))</f>
        <v>268.70267275456393</v>
      </c>
      <c r="O2198" s="127">
        <f>IF(tech_base!$T174&gt;O$2025,"",fuel_costs!G$14*0.086/tech_proj!O298/(1-tech_proj!O578))</f>
        <v>210.65699595463641</v>
      </c>
      <c r="P2198" s="127">
        <f>IF(tech_base!$T174&gt;P$2025,"",fuel_costs!H$14*0.086/tech_proj!P298/(1-tech_proj!P578))</f>
        <v>196.83239429519207</v>
      </c>
      <c r="Q2198" s="127">
        <f>IF(tech_base!$T174&gt;Q$2025,"",fuel_costs!I$14*0.086/tech_proj!Q298/(1-tech_proj!Q578))</f>
        <v>213.9884785364776</v>
      </c>
      <c r="R2198" s="127">
        <f>IF(tech_base!$T174&gt;R$2025,"",fuel_costs!J$14*0.086/tech_proj!R298/(1-tech_proj!R578))</f>
        <v>229.33427869044743</v>
      </c>
      <c r="S2198" s="127">
        <f>IF(tech_base!$T174&gt;S$2025,"",fuel_costs!K$14*0.086/tech_proj!S298/(1-tech_proj!S578))</f>
        <v>242.82267345117677</v>
      </c>
      <c r="T2198" s="127">
        <f>IF(tech_base!$T174&gt;T$2025,"",fuel_costs!L$14*0.086/tech_proj!T298/(1-tech_proj!T578))</f>
        <v>255.83931585160823</v>
      </c>
      <c r="U2198" s="127">
        <f>IF(tech_base!$T174&gt;U$2025,"",fuel_costs!M$14*0.086/tech_proj!U298/(1-tech_proj!U578))</f>
        <v>268.25196429477319</v>
      </c>
      <c r="V2198" s="127">
        <f>IF(tech_base!$T174&gt;V$2025,"",fuel_costs!N$14*0.086/tech_proj!V298/(1-tech_proj!V578))</f>
        <v>276.65170977403778</v>
      </c>
      <c r="W2198" s="127">
        <f>IF(tech_base!$T174&gt;W$2025,"",fuel_costs!O$14*0.086/tech_proj!W298/(1-tech_proj!W578))</f>
        <v>286.89172110803366</v>
      </c>
      <c r="X2198" s="127">
        <f>IF(tech_base!$T174&gt;X$2025,"",fuel_costs!P$14*0.086/tech_proj!X298/(1-tech_proj!X578))</f>
        <v>295.81012071948356</v>
      </c>
      <c r="Y2198" s="127">
        <f>IF(tech_base!$T174&gt;Y$2025,"",fuel_costs!Q$14*0.086/tech_proj!Y298/(1-tech_proj!Y578))</f>
        <v>303.41436584895013</v>
      </c>
      <c r="Z2198" s="127">
        <f>IF(tech_base!$T174&gt;Z$2025,"",fuel_costs!R$14*0.086/tech_proj!Z298/(1-tech_proj!Z578))</f>
        <v>308.38050878797526</v>
      </c>
      <c r="AA2198" s="127">
        <f>IF(tech_base!$T174&gt;AA$2025,"",fuel_costs!S$14*0.086/tech_proj!AA298/(1-tech_proj!AA578))</f>
        <v>312.90290307151901</v>
      </c>
      <c r="AB2198" s="127">
        <f>IF(tech_base!$T174&gt;AB$2025,"",fuel_costs!T$14*0.086/tech_proj!AB298/(1-tech_proj!AB578))</f>
        <v>316.07961058821849</v>
      </c>
      <c r="AC2198" s="127">
        <f>IF(tech_base!$T174&gt;AC$2025,"",fuel_costs!U$14*0.086/tech_proj!AC298/(1-tech_proj!AC578))</f>
        <v>320.890387094088</v>
      </c>
      <c r="AD2198" s="127">
        <f>IF(tech_base!$T174&gt;AD$2025,"",fuel_costs!V$14*0.086/tech_proj!AD298/(1-tech_proj!AD578))</f>
        <v>323.92978174802357</v>
      </c>
      <c r="AE2198" s="127">
        <f>IF(tech_base!$T174&gt;AE$2025,"",fuel_costs!W$14*0.086/tech_proj!AE298/(1-tech_proj!AE578))</f>
        <v>326.84539832842387</v>
      </c>
      <c r="AF2198" s="127">
        <f>IF(tech_base!$T174&gt;AF$2025,"",fuel_costs!X$14*0.086/tech_proj!AF298/(1-tech_proj!AF578))</f>
        <v>328.44125304874535</v>
      </c>
      <c r="AG2198" s="127">
        <f>IF(tech_base!$T174&gt;AG$2025,"",fuel_costs!Y$14*0.086/tech_proj!AG298/(1-tech_proj!AG578))</f>
        <v>330.23079447118806</v>
      </c>
      <c r="AH2198" s="127">
        <f>IF(tech_base!$T174&gt;AH$2025,"",fuel_costs!Z$14*0.086/tech_proj!AH298/(1-tech_proj!AH578))</f>
        <v>332.21351419869353</v>
      </c>
      <c r="AI2198" s="127">
        <f>IF(tech_base!$T174&gt;AI$2025,"",fuel_costs!AA$14*0.086/tech_proj!AI298/(1-tech_proj!AI578))</f>
        <v>334.40800290509782</v>
      </c>
      <c r="AJ2198" s="127">
        <f>IF(tech_base!$T174&gt;AJ$2025,"",fuel_costs!AB$14*0.086/tech_proj!AJ298/(1-tech_proj!AJ578))</f>
        <v>336.85248034894852</v>
      </c>
      <c r="AK2198" s="127">
        <f>IF(tech_base!$T174&gt;AK$2025,"",fuel_costs!AC$14*0.086/tech_proj!AK298/(1-tech_proj!AK578))</f>
        <v>339.5942519507056</v>
      </c>
      <c r="AL2198" s="127">
        <f>IF(tech_base!$T174&gt;AL$2025,"",fuel_costs!AD$14*0.086/tech_proj!AL298/(1-tech_proj!AL578))</f>
        <v>342.54294740263458</v>
      </c>
      <c r="AM2198" s="127">
        <f>IF(tech_base!$T174&gt;AM$2025,"",fuel_costs!AE$14*0.086/tech_proj!AM298/(1-tech_proj!AM578))</f>
        <v>345.58747020386079</v>
      </c>
      <c r="AN2198" s="127">
        <f>IF(tech_base!$T174&gt;AN$2025,"",fuel_costs!AF$14*0.086/tech_proj!AN298/(1-tech_proj!AN578))</f>
        <v>348.69110915767794</v>
      </c>
      <c r="AO2198" s="127">
        <f>IF(tech_base!$T174&gt;AO$2025,"",fuel_costs!AG$14*0.086/tech_proj!AO298/(1-tech_proj!AO578))</f>
        <v>349.20952512086455</v>
      </c>
      <c r="AP2198" s="127">
        <f>IF(tech_base!$T174&gt;AP$2025,"",fuel_costs!AH$14*0.086/tech_proj!AP298/(1-tech_proj!AP578))</f>
        <v>350.42172160396649</v>
      </c>
      <c r="AQ2198" s="127">
        <f>IF(tech_base!$T174&gt;AQ$2025,"",fuel_costs!AI$14*0.086/tech_proj!AQ298/(1-tech_proj!AQ578))</f>
        <v>351.69533211180931</v>
      </c>
      <c r="AR2198" s="127">
        <f>IF(tech_base!$T174&gt;AR$2025,"",fuel_costs!AJ$14*0.086/tech_proj!AR298/(1-tech_proj!AR578))</f>
        <v>354.16409643368434</v>
      </c>
      <c r="AS2198" s="127">
        <f>IF(tech_base!$T174&gt;AS$2025,"",fuel_costs!AK$14*0.086/tech_proj!AS298/(1-tech_proj!AS578))</f>
        <v>355.5712435310578</v>
      </c>
      <c r="AT2198" s="127">
        <f>IF(tech_base!$T174&gt;AT$2025,"",fuel_costs!AL$14*0.086/tech_proj!AT298/(1-tech_proj!AT578))</f>
        <v>356.97802684986954</v>
      </c>
      <c r="AU2198" s="127">
        <f>IF(tech_base!$T174&gt;AU$2025,"",fuel_costs!AM$14*0.086/tech_proj!AU298/(1-tech_proj!AU578))</f>
        <v>358.35988649290425</v>
      </c>
      <c r="AV2198" s="127">
        <f>IF(tech_base!$T174&gt;AV$2025,"",fuel_costs!AN$14*0.086/tech_proj!AV298/(1-tech_proj!AV578))</f>
        <v>359.70342633056384</v>
      </c>
      <c r="AW2198" s="127">
        <f>IF(tech_base!$T174&gt;AW$2025,"",fuel_costs!AO$14*0.086/tech_proj!AW298/(1-tech_proj!AW578))</f>
        <v>360.99852501848909</v>
      </c>
      <c r="AX2198" s="128">
        <f>IF(tech_base!$T174&gt;AX$2025,"",fuel_costs!AP$14*0.086/tech_proj!AX298/(1-tech_proj!AX578))</f>
        <v>362.63584556652978</v>
      </c>
    </row>
    <row r="2199" spans="1:50" x14ac:dyDescent="0.25">
      <c r="A2199" s="355" t="s">
        <v>29</v>
      </c>
      <c r="B2199" s="358" t="s">
        <v>13</v>
      </c>
      <c r="C2199" s="353" t="s">
        <v>6</v>
      </c>
      <c r="D2199" s="3" t="s">
        <v>7</v>
      </c>
      <c r="E2199" s="77" t="str">
        <f>A2199&amp;"/"&amp;B2199&amp;"/"&amp;C2199&amp;"/"&amp;D2199</f>
        <v>Fuel oil fired power plants/Integrated gasification combined cycle/Electricity only/L</v>
      </c>
      <c r="F2199" s="77" t="str">
        <f>A2199</f>
        <v>Fuel oil fired power plants</v>
      </c>
      <c r="G2199" s="77" t="str">
        <f>B2199</f>
        <v>Integrated gasification combined cycle</v>
      </c>
      <c r="H2199" s="77" t="str">
        <f>C2199</f>
        <v>Electricity only</v>
      </c>
      <c r="I2199" s="77" t="str">
        <f t="shared" si="389"/>
        <v>L</v>
      </c>
      <c r="J2199" s="121">
        <f>IF(tech_base!$T175&gt;J$2025,"",fuel_costs!B$15*0.086/tech_proj!J299/(1-tech_proj!J579))</f>
        <v>79.172778729929263</v>
      </c>
      <c r="K2199" s="121">
        <f>IF(tech_base!$T175&gt;K$2025,"",fuel_costs!C$15*0.086/tech_proj!K299/(1-tech_proj!K579))</f>
        <v>100.35811530557787</v>
      </c>
      <c r="L2199" s="121">
        <f>IF(tech_base!$T175&gt;L$2025,"",fuel_costs!D$15*0.086/tech_proj!L299/(1-tech_proj!L579))</f>
        <v>106.71551703846364</v>
      </c>
      <c r="M2199" s="121">
        <f>IF(tech_base!$T175&gt;M$2025,"",fuel_costs!E$15*0.086/tech_proj!M299/(1-tech_proj!M579))</f>
        <v>101.12605451100043</v>
      </c>
      <c r="N2199" s="121">
        <f>IF(tech_base!$T175&gt;N$2025,"",fuel_costs!F$15*0.086/tech_proj!N299/(1-tech_proj!N579))</f>
        <v>92.298152287798985</v>
      </c>
      <c r="O2199" s="121">
        <f>IF(tech_base!$T175&gt;O$2025,"",fuel_costs!G$15*0.086/tech_proj!O299/(1-tech_proj!O579))</f>
        <v>62.72129231938623</v>
      </c>
      <c r="P2199" s="121">
        <f>IF(tech_base!$T175&gt;P$2025,"",fuel_costs!H$15*0.086/tech_proj!P299/(1-tech_proj!P579))</f>
        <v>55.702887389032341</v>
      </c>
      <c r="Q2199" s="121">
        <f>IF(tech_base!$T175&gt;Q$2025,"",fuel_costs!I$15*0.086/tech_proj!Q299/(1-tech_proj!Q579))</f>
        <v>64.166673333220515</v>
      </c>
      <c r="R2199" s="121">
        <f>IF(tech_base!$T175&gt;R$2025,"",fuel_costs!J$15*0.086/tech_proj!R299/(1-tech_proj!R579))</f>
        <v>71.72375111561702</v>
      </c>
      <c r="S2199" s="121">
        <f>IF(tech_base!$T175&gt;S$2025,"",fuel_costs!K$15*0.086/tech_proj!S299/(1-tech_proj!S579))</f>
        <v>78.350973359652116</v>
      </c>
      <c r="T2199" s="121">
        <f>IF(tech_base!$T175&gt;T$2025,"",fuel_costs!L$15*0.086/tech_proj!T299/(1-tech_proj!T579))</f>
        <v>84.740834391868262</v>
      </c>
      <c r="U2199" s="121">
        <f>IF(tech_base!$T175&gt;U$2025,"",fuel_costs!M$15*0.086/tech_proj!U299/(1-tech_proj!U579))</f>
        <v>90.825348836508809</v>
      </c>
      <c r="V2199" s="121">
        <f>IF(tech_base!$T175&gt;V$2025,"",fuel_costs!N$15*0.086/tech_proj!V299/(1-tech_proj!V579))</f>
        <v>94.904508905845759</v>
      </c>
      <c r="W2199" s="121">
        <f>IF(tech_base!$T175&gt;W$2025,"",fuel_costs!O$15*0.086/tech_proj!W299/(1-tech_proj!W579))</f>
        <v>99.901475388421858</v>
      </c>
      <c r="X2199" s="121">
        <f>IF(tech_base!$T175&gt;X$2025,"",fuel_costs!P$15*0.086/tech_proj!X299/(1-tech_proj!X579))</f>
        <v>104.23746297094895</v>
      </c>
      <c r="Y2199" s="121">
        <f>IF(tech_base!$T175&gt;Y$2025,"",fuel_costs!Q$15*0.086/tech_proj!Y299/(1-tech_proj!Y579))</f>
        <v>107.91647087281331</v>
      </c>
      <c r="Z2199" s="121">
        <f>IF(tech_base!$T175&gt;Z$2025,"",fuel_costs!R$15*0.086/tech_proj!Z299/(1-tech_proj!Z579))</f>
        <v>110.27590231445743</v>
      </c>
      <c r="AA2199" s="121">
        <f>IF(tech_base!$T175&gt;AA$2025,"",fuel_costs!S$15*0.086/tech_proj!AA299/(1-tech_proj!AA579))</f>
        <v>112.41341096991293</v>
      </c>
      <c r="AB2199" s="121">
        <f>IF(tech_base!$T175&gt;AB$2025,"",fuel_costs!T$15*0.086/tech_proj!AB299/(1-tech_proj!AB579))</f>
        <v>113.87906412201848</v>
      </c>
      <c r="AC2199" s="121">
        <f>IF(tech_base!$T175&gt;AC$2025,"",fuel_costs!U$15*0.086/tech_proj!AC299/(1-tech_proj!AC579))</f>
        <v>116.15972476036558</v>
      </c>
      <c r="AD2199" s="121">
        <f>IF(tech_base!$T175&gt;AD$2025,"",fuel_costs!V$15*0.086/tech_proj!AD299/(1-tech_proj!AD579))</f>
        <v>117.5563381923982</v>
      </c>
      <c r="AE2199" s="121">
        <f>IF(tech_base!$T175&gt;AE$2025,"",fuel_costs!W$15*0.086/tech_proj!AE299/(1-tech_proj!AE579))</f>
        <v>118.88888057781351</v>
      </c>
      <c r="AF2199" s="121">
        <f>IF(tech_base!$T175&gt;AF$2025,"",fuel_costs!X$15*0.086/tech_proj!AF299/(1-tech_proj!AF579))</f>
        <v>119.56307747470785</v>
      </c>
      <c r="AG2199" s="121">
        <f>IF(tech_base!$T175&gt;AG$2025,"",fuel_costs!Y$15*0.086/tech_proj!AG299/(1-tech_proj!AG579))</f>
        <v>120.33387390955657</v>
      </c>
      <c r="AH2199" s="121">
        <f>IF(tech_base!$T175&gt;AH$2025,"",fuel_costs!Z$15*0.086/tech_proj!AH299/(1-tech_proj!AH579))</f>
        <v>121.20099540586108</v>
      </c>
      <c r="AI2199" s="121">
        <f>IF(tech_base!$T175&gt;AI$2025,"",fuel_costs!AA$15*0.086/tech_proj!AI299/(1-tech_proj!AI579))</f>
        <v>122.17369067390572</v>
      </c>
      <c r="AJ2199" s="121">
        <f>IF(tech_base!$T175&gt;AJ$2025,"",fuel_costs!AB$15*0.086/tech_proj!AJ299/(1-tech_proj!AJ579))</f>
        <v>123.26879347383149</v>
      </c>
      <c r="AK2199" s="121">
        <f>IF(tech_base!$T175&gt;AK$2025,"",fuel_costs!AC$15*0.086/tech_proj!AK299/(1-tech_proj!AK579))</f>
        <v>124.51205230193062</v>
      </c>
      <c r="AL2199" s="121">
        <f>IF(tech_base!$T175&gt;AL$2025,"",fuel_costs!AD$15*0.086/tech_proj!AL299/(1-tech_proj!AL579))</f>
        <v>125.8583959287929</v>
      </c>
      <c r="AM2199" s="121">
        <f>IF(tech_base!$T175&gt;AM$2025,"",fuel_costs!AE$15*0.086/tech_proj!AM299/(1-tech_proj!AM579))</f>
        <v>127.25244587650775</v>
      </c>
      <c r="AN2199" s="121">
        <f>IF(tech_base!$T175&gt;AN$2025,"",fuel_costs!AF$15*0.086/tech_proj!AN299/(1-tech_proj!AN579))</f>
        <v>128.66886875815564</v>
      </c>
      <c r="AO2199" s="121">
        <f>IF(tech_base!$T175&gt;AO$2025,"",fuel_costs!AG$15*0.086/tech_proj!AO299/(1-tech_proj!AO579))</f>
        <v>128.79958214226355</v>
      </c>
      <c r="AP2199" s="121">
        <f>IF(tech_base!$T175&gt;AP$2025,"",fuel_costs!AH$15*0.086/tech_proj!AP299/(1-tech_proj!AP579))</f>
        <v>129.27528761047898</v>
      </c>
      <c r="AQ2199" s="121">
        <f>IF(tech_base!$T175&gt;AQ$2025,"",fuel_costs!AI$15*0.086/tech_proj!AQ299/(1-tech_proj!AQ579))</f>
        <v>129.78061503479211</v>
      </c>
      <c r="AR2199" s="121">
        <f>IF(tech_base!$T175&gt;AR$2025,"",fuel_costs!AJ$15*0.086/tech_proj!AR299/(1-tech_proj!AR579))</f>
        <v>130.87976416263132</v>
      </c>
      <c r="AS2199" s="121">
        <f>IF(tech_base!$T175&gt;AS$2025,"",fuel_costs!AK$15*0.086/tech_proj!AS299/(1-tech_proj!AS579))</f>
        <v>131.44828295924609</v>
      </c>
      <c r="AT2199" s="121">
        <f>IF(tech_base!$T175&gt;AT$2025,"",fuel_costs!AL$15*0.086/tech_proj!AT299/(1-tech_proj!AT579))</f>
        <v>132.01178667657416</v>
      </c>
      <c r="AU2199" s="121">
        <f>IF(tech_base!$T175&gt;AU$2025,"",fuel_costs!AM$15*0.086/tech_proj!AU299/(1-tech_proj!AU579))</f>
        <v>132.55949252672704</v>
      </c>
      <c r="AV2199" s="121">
        <f>IF(tech_base!$T175&gt;AV$2025,"",fuel_costs!AN$15*0.086/tech_proj!AV299/(1-tech_proj!AV579))</f>
        <v>133.08367458908512</v>
      </c>
      <c r="AW2199" s="121">
        <f>IF(tech_base!$T175&gt;AW$2025,"",fuel_costs!AO$15*0.086/tech_proj!AW299/(1-tech_proj!AW579))</f>
        <v>133.57801214773198</v>
      </c>
      <c r="AX2199" s="122">
        <f>IF(tech_base!$T175&gt;AX$2025,"",fuel_costs!AP$15*0.086/tech_proj!AX299/(1-tech_proj!AX579))</f>
        <v>134.23529522741742</v>
      </c>
    </row>
    <row r="2200" spans="1:50" x14ac:dyDescent="0.25">
      <c r="A2200" s="356"/>
      <c r="B2200" s="376"/>
      <c r="C2200" s="379"/>
      <c r="D2200" s="2" t="s">
        <v>8</v>
      </c>
      <c r="E2200" s="76" t="str">
        <f>A2199&amp;"/"&amp;B2199&amp;"/"&amp;C2199&amp;"/"&amp;D2200</f>
        <v>Fuel oil fired power plants/Integrated gasification combined cycle/Electricity only/M</v>
      </c>
      <c r="F2200" s="76" t="str">
        <f>A2199</f>
        <v>Fuel oil fired power plants</v>
      </c>
      <c r="G2200" s="76" t="str">
        <f>B2199</f>
        <v>Integrated gasification combined cycle</v>
      </c>
      <c r="H2200" s="76" t="str">
        <f>C2199</f>
        <v>Electricity only</v>
      </c>
      <c r="I2200" s="76" t="str">
        <f t="shared" si="389"/>
        <v>M</v>
      </c>
      <c r="J2200" s="119">
        <f>IF(tech_base!$T176&gt;J$2025,"",fuel_costs!B$15*0.086/tech_proj!J300/(1-tech_proj!J580))</f>
        <v>83.39285115303727</v>
      </c>
      <c r="K2200" s="119">
        <f>IF(tech_base!$T176&gt;K$2025,"",fuel_costs!C$15*0.086/tech_proj!K300/(1-tech_proj!K580))</f>
        <v>105.70740986906478</v>
      </c>
      <c r="L2200" s="119">
        <f>IF(tech_base!$T176&gt;L$2025,"",fuel_costs!D$15*0.086/tech_proj!L300/(1-tech_proj!L580))</f>
        <v>112.40367422829702</v>
      </c>
      <c r="M2200" s="119">
        <f>IF(tech_base!$T176&gt;M$2025,"",fuel_costs!E$15*0.086/tech_proj!M300/(1-tech_proj!M580))</f>
        <v>106.51628181823355</v>
      </c>
      <c r="N2200" s="119">
        <f>IF(tech_base!$T176&gt;N$2025,"",fuel_costs!F$15*0.086/tech_proj!N300/(1-tech_proj!N580))</f>
        <v>97.217834196428555</v>
      </c>
      <c r="O2200" s="119">
        <f>IF(tech_base!$T176&gt;O$2025,"",fuel_costs!G$15*0.086/tech_proj!O300/(1-tech_proj!O580))</f>
        <v>66.064466580853434</v>
      </c>
      <c r="P2200" s="119">
        <f>IF(tech_base!$T176&gt;P$2025,"",fuel_costs!H$15*0.086/tech_proj!P300/(1-tech_proj!P580))</f>
        <v>58.671966190217368</v>
      </c>
      <c r="Q2200" s="119">
        <f>IF(tech_base!$T176&gt;Q$2025,"",fuel_costs!I$15*0.086/tech_proj!Q300/(1-tech_proj!Q580))</f>
        <v>67.586889384242355</v>
      </c>
      <c r="R2200" s="119">
        <f>IF(tech_base!$T176&gt;R$2025,"",fuel_costs!J$15*0.086/tech_proj!R300/(1-tech_proj!R580))</f>
        <v>75.546775001103782</v>
      </c>
      <c r="S2200" s="119">
        <f>IF(tech_base!$T176&gt;S$2025,"",fuel_costs!K$15*0.086/tech_proj!S300/(1-tech_proj!S580))</f>
        <v>82.527241861312604</v>
      </c>
      <c r="T2200" s="119">
        <f>IF(tech_base!$T176&gt;T$2025,"",fuel_costs!L$15*0.086/tech_proj!T300/(1-tech_proj!T580))</f>
        <v>89.257695667486203</v>
      </c>
      <c r="U2200" s="119">
        <f>IF(tech_base!$T176&gt;U$2025,"",fuel_costs!M$15*0.086/tech_proj!U300/(1-tech_proj!U580))</f>
        <v>95.666527283100621</v>
      </c>
      <c r="V2200" s="119">
        <f>IF(tech_base!$T176&gt;V$2025,"",fuel_costs!N$15*0.086/tech_proj!V300/(1-tech_proj!V580))</f>
        <v>99.963114998583123</v>
      </c>
      <c r="W2200" s="119">
        <f>IF(tech_base!$T176&gt;W$2025,"",fuel_costs!O$15*0.086/tech_proj!W300/(1-tech_proj!W580))</f>
        <v>105.22643010237218</v>
      </c>
      <c r="X2200" s="119">
        <f>IF(tech_base!$T176&gt;X$2025,"",fuel_costs!P$15*0.086/tech_proj!X300/(1-tech_proj!X580))</f>
        <v>109.79353476727906</v>
      </c>
      <c r="Y2200" s="119">
        <f>IF(tech_base!$T176&gt;Y$2025,"",fuel_costs!Q$15*0.086/tech_proj!Y300/(1-tech_proj!Y580))</f>
        <v>113.66864137933287</v>
      </c>
      <c r="Z2200" s="119">
        <f>IF(tech_base!$T176&gt;Z$2025,"",fuel_costs!R$15*0.086/tech_proj!Z300/(1-tech_proj!Z580))</f>
        <v>116.15383538382778</v>
      </c>
      <c r="AA2200" s="119">
        <f>IF(tech_base!$T176&gt;AA$2025,"",fuel_costs!S$15*0.086/tech_proj!AA300/(1-tech_proj!AA580))</f>
        <v>118.40527765985019</v>
      </c>
      <c r="AB2200" s="119">
        <f>IF(tech_base!$T176&gt;AB$2025,"",fuel_costs!T$15*0.086/tech_proj!AB300/(1-tech_proj!AB580))</f>
        <v>119.94905314829739</v>
      </c>
      <c r="AC2200" s="119">
        <f>IF(tech_base!$T176&gt;AC$2025,"",fuel_costs!U$15*0.086/tech_proj!AC300/(1-tech_proj!AC580))</f>
        <v>122.35127770319195</v>
      </c>
      <c r="AD2200" s="119">
        <f>IF(tech_base!$T176&gt;AD$2025,"",fuel_costs!V$15*0.086/tech_proj!AD300/(1-tech_proj!AD580))</f>
        <v>123.82233351207189</v>
      </c>
      <c r="AE2200" s="119">
        <f>IF(tech_base!$T176&gt;AE$2025,"",fuel_costs!W$15*0.086/tech_proj!AE300/(1-tech_proj!AE580))</f>
        <v>125.22590315538473</v>
      </c>
      <c r="AF2200" s="119">
        <f>IF(tech_base!$T176&gt;AF$2025,"",fuel_costs!X$15*0.086/tech_proj!AF300/(1-tech_proj!AF580))</f>
        <v>125.93603613761005</v>
      </c>
      <c r="AG2200" s="119">
        <f>IF(tech_base!$T176&gt;AG$2025,"",fuel_costs!Y$15*0.086/tech_proj!AG300/(1-tech_proj!AG580))</f>
        <v>126.74791761242724</v>
      </c>
      <c r="AH2200" s="119">
        <f>IF(tech_base!$T176&gt;AH$2025,"",fuel_costs!Z$15*0.086/tech_proj!AH300/(1-tech_proj!AH580))</f>
        <v>127.66125847317419</v>
      </c>
      <c r="AI2200" s="119">
        <f>IF(tech_base!$T176&gt;AI$2025,"",fuel_costs!AA$15*0.086/tech_proj!AI300/(1-tech_proj!AI580))</f>
        <v>128.68580040547153</v>
      </c>
      <c r="AJ2200" s="119">
        <f>IF(tech_base!$T176&gt;AJ$2025,"",fuel_costs!AB$15*0.086/tech_proj!AJ300/(1-tech_proj!AJ580))</f>
        <v>129.83927444360023</v>
      </c>
      <c r="AK2200" s="119">
        <f>IF(tech_base!$T176&gt;AK$2025,"",fuel_costs!AC$15*0.086/tech_proj!AK300/(1-tech_proj!AK580))</f>
        <v>131.14880153181872</v>
      </c>
      <c r="AL2200" s="119">
        <f>IF(tech_base!$T176&gt;AL$2025,"",fuel_costs!AD$15*0.086/tech_proj!AL300/(1-tech_proj!AL580))</f>
        <v>132.5669080512167</v>
      </c>
      <c r="AM2200" s="119">
        <f>IF(tech_base!$T176&gt;AM$2025,"",fuel_costs!AE$15*0.086/tech_proj!AM300/(1-tech_proj!AM580))</f>
        <v>134.03526373677681</v>
      </c>
      <c r="AN2200" s="119">
        <f>IF(tech_base!$T176&gt;AN$2025,"",fuel_costs!AF$15*0.086/tech_proj!AN300/(1-tech_proj!AN580))</f>
        <v>135.52718487979925</v>
      </c>
      <c r="AO2200" s="119">
        <f>IF(tech_base!$T176&gt;AO$2025,"",fuel_costs!AG$15*0.086/tech_proj!AO300/(1-tech_proj!AO580))</f>
        <v>135.66486555691435</v>
      </c>
      <c r="AP2200" s="119">
        <f>IF(tech_base!$T176&gt;AP$2025,"",fuel_costs!AH$15*0.086/tech_proj!AP300/(1-tech_proj!AP580))</f>
        <v>136.16592710786611</v>
      </c>
      <c r="AQ2200" s="119">
        <f>IF(tech_base!$T176&gt;AQ$2025,"",fuel_costs!AI$15*0.086/tech_proj!AQ300/(1-tech_proj!AQ580))</f>
        <v>136.69818952627938</v>
      </c>
      <c r="AR2200" s="119">
        <f>IF(tech_base!$T176&gt;AR$2025,"",fuel_costs!AJ$15*0.086/tech_proj!AR300/(1-tech_proj!AR580))</f>
        <v>137.85592556994601</v>
      </c>
      <c r="AS2200" s="119">
        <f>IF(tech_base!$T176&gt;AS$2025,"",fuel_costs!AK$15*0.086/tech_proj!AS300/(1-tech_proj!AS580))</f>
        <v>138.45474759115518</v>
      </c>
      <c r="AT2200" s="119">
        <f>IF(tech_base!$T176&gt;AT$2025,"",fuel_costs!AL$15*0.086/tech_proj!AT300/(1-tech_proj!AT580))</f>
        <v>139.0482872190066</v>
      </c>
      <c r="AU2200" s="119">
        <f>IF(tech_base!$T176&gt;AU$2025,"",fuel_costs!AM$15*0.086/tech_proj!AU300/(1-tech_proj!AU580))</f>
        <v>139.62518692077464</v>
      </c>
      <c r="AV2200" s="119">
        <f>IF(tech_base!$T176&gt;AV$2025,"",fuel_costs!AN$15*0.086/tech_proj!AV300/(1-tech_proj!AV580))</f>
        <v>140.17730896833388</v>
      </c>
      <c r="AW2200" s="119">
        <f>IF(tech_base!$T176&gt;AW$2025,"",fuel_costs!AO$15*0.086/tech_proj!AW300/(1-tech_proj!AW580))</f>
        <v>140.69799573857108</v>
      </c>
      <c r="AX2200" s="120">
        <f>IF(tech_base!$T176&gt;AX$2025,"",fuel_costs!AP$15*0.086/tech_proj!AX300/(1-tech_proj!AX580))</f>
        <v>141.39031336224059</v>
      </c>
    </row>
    <row r="2201" spans="1:50" x14ac:dyDescent="0.25">
      <c r="A2201" s="356"/>
      <c r="B2201" s="376"/>
      <c r="C2201" s="361" t="s">
        <v>14</v>
      </c>
      <c r="D2201" s="58" t="s">
        <v>7</v>
      </c>
      <c r="E2201" s="78" t="str">
        <f>A2199&amp;"/"&amp;B2199&amp;"/"&amp;C2201&amp;"/"&amp;D2201</f>
        <v>Fuel oil fired power plants/Integrated gasification combined cycle/CHP/L</v>
      </c>
      <c r="F2201" s="78" t="str">
        <f>A2199</f>
        <v>Fuel oil fired power plants</v>
      </c>
      <c r="G2201" s="78" t="str">
        <f>B2199</f>
        <v>Integrated gasification combined cycle</v>
      </c>
      <c r="H2201" s="78" t="str">
        <f>C2201</f>
        <v>CHP</v>
      </c>
      <c r="I2201" s="78" t="str">
        <f t="shared" si="389"/>
        <v>L</v>
      </c>
      <c r="J2201" s="123">
        <f>IF(tech_base!$T177&gt;J$2025,"",fuel_costs!B$15*0.086/tech_proj!J301/(1-tech_proj!J581))</f>
        <v>87.639550062399508</v>
      </c>
      <c r="K2201" s="123">
        <f>IF(tech_base!$T177&gt;K$2025,"",fuel_costs!C$15*0.086/tech_proj!K301/(1-tech_proj!K581))</f>
        <v>111.09045572965849</v>
      </c>
      <c r="L2201" s="123">
        <f>IF(tech_base!$T177&gt;L$2025,"",fuel_costs!D$15*0.086/tech_proj!L301/(1-tech_proj!L581))</f>
        <v>118.12772076410408</v>
      </c>
      <c r="M2201" s="123">
        <f>IF(tech_base!$T177&gt;M$2025,"",fuel_costs!E$15*0.086/tech_proj!M301/(1-tech_proj!M581))</f>
        <v>111.94051868713137</v>
      </c>
      <c r="N2201" s="123">
        <f>IF(tech_base!$T177&gt;N$2025,"",fuel_costs!F$15*0.086/tech_proj!N301/(1-tech_proj!N581))</f>
        <v>102.16855676729841</v>
      </c>
      <c r="O2201" s="123">
        <f>IF(tech_base!$T177&gt;O$2025,"",fuel_costs!G$15*0.086/tech_proj!O301/(1-tech_proj!O581))</f>
        <v>69.428734552236875</v>
      </c>
      <c r="P2201" s="123">
        <f>IF(tech_base!$T177&gt;P$2025,"",fuel_costs!H$15*0.086/tech_proj!P301/(1-tech_proj!P581))</f>
        <v>61.65977835139276</v>
      </c>
      <c r="Q2201" s="123">
        <f>IF(tech_base!$T177&gt;Q$2025,"",fuel_costs!I$15*0.086/tech_proj!Q301/(1-tech_proj!Q581))</f>
        <v>71.028685239243458</v>
      </c>
      <c r="R2201" s="123">
        <f>IF(tech_base!$T177&gt;R$2025,"",fuel_costs!J$15*0.086/tech_proj!R301/(1-tech_proj!R581))</f>
        <v>79.393920200807585</v>
      </c>
      <c r="S2201" s="123">
        <f>IF(tech_base!$T177&gt;S$2025,"",fuel_costs!K$15*0.086/tech_proj!S301/(1-tech_proj!S581))</f>
        <v>86.72986046901498</v>
      </c>
      <c r="T2201" s="123">
        <f>IF(tech_base!$T177&gt;T$2025,"",fuel_costs!L$15*0.086/tech_proj!T301/(1-tech_proj!T581))</f>
        <v>93.803056014354439</v>
      </c>
      <c r="U2201" s="123">
        <f>IF(tech_base!$T177&gt;U$2025,"",fuel_costs!M$15*0.086/tech_proj!U301/(1-tech_proj!U581))</f>
        <v>100.53825107546817</v>
      </c>
      <c r="V2201" s="123">
        <f>IF(tech_base!$T177&gt;V$2025,"",fuel_costs!N$15*0.086/tech_proj!V301/(1-tech_proj!V581))</f>
        <v>105.05363829370222</v>
      </c>
      <c r="W2201" s="123">
        <f>IF(tech_base!$T177&gt;W$2025,"",fuel_costs!O$15*0.086/tech_proj!W301/(1-tech_proj!W581))</f>
        <v>110.58498254149873</v>
      </c>
      <c r="X2201" s="123">
        <f>IF(tech_base!$T177&gt;X$2025,"",fuel_costs!P$15*0.086/tech_proj!X301/(1-tech_proj!X581))</f>
        <v>115.38466251869241</v>
      </c>
      <c r="Y2201" s="123">
        <f>IF(tech_base!$T177&gt;Y$2025,"",fuel_costs!Q$15*0.086/tech_proj!Y301/(1-tech_proj!Y581))</f>
        <v>119.45710512292703</v>
      </c>
      <c r="Z2201" s="123">
        <f>IF(tech_base!$T177&gt;Z$2025,"",fuel_costs!R$15*0.086/tech_proj!Z301/(1-tech_proj!Z581))</f>
        <v>122.06885518735416</v>
      </c>
      <c r="AA2201" s="123">
        <f>IF(tech_base!$T177&gt;AA$2025,"",fuel_costs!S$15*0.086/tech_proj!AA301/(1-tech_proj!AA581))</f>
        <v>124.43494994648366</v>
      </c>
      <c r="AB2201" s="123">
        <f>IF(tech_base!$T177&gt;AB$2025,"",fuel_costs!T$15*0.086/tech_proj!AB301/(1-tech_proj!AB581))</f>
        <v>126.05734068302998</v>
      </c>
      <c r="AC2201" s="123">
        <f>IF(tech_base!$T177&gt;AC$2025,"",fuel_costs!U$15*0.086/tech_proj!AC301/(1-tech_proj!AC581))</f>
        <v>128.58189616025496</v>
      </c>
      <c r="AD2201" s="123">
        <f>IF(tech_base!$T177&gt;AD$2025,"",fuel_costs!V$15*0.086/tech_proj!AD301/(1-tech_proj!AD581))</f>
        <v>130.12786403908822</v>
      </c>
      <c r="AE2201" s="123">
        <f>IF(tech_base!$T177&gt;AE$2025,"",fuel_costs!W$15*0.086/tech_proj!AE301/(1-tech_proj!AE581))</f>
        <v>131.60290908576061</v>
      </c>
      <c r="AF2201" s="123">
        <f>IF(tech_base!$T177&gt;AF$2025,"",fuel_costs!X$15*0.086/tech_proj!AF301/(1-tech_proj!AF581))</f>
        <v>132.34920489153041</v>
      </c>
      <c r="AG2201" s="123">
        <f>IF(tech_base!$T177&gt;AG$2025,"",fuel_costs!Y$15*0.086/tech_proj!AG301/(1-tech_proj!AG581))</f>
        <v>133.20243063178486</v>
      </c>
      <c r="AH2201" s="123">
        <f>IF(tech_base!$T177&gt;AH$2025,"",fuel_costs!Z$15*0.086/tech_proj!AH301/(1-tech_proj!AH581))</f>
        <v>134.16228247738937</v>
      </c>
      <c r="AI2201" s="123">
        <f>IF(tech_base!$T177&gt;AI$2025,"",fuel_costs!AA$15*0.086/tech_proj!AI301/(1-tech_proj!AI581))</f>
        <v>135.23899819972175</v>
      </c>
      <c r="AJ2201" s="123">
        <f>IF(tech_base!$T177&gt;AJ$2025,"",fuel_costs!AB$15*0.086/tech_proj!AJ301/(1-tech_proj!AJ581))</f>
        <v>136.45121176854133</v>
      </c>
      <c r="AK2201" s="123">
        <f>IF(tech_base!$T177&gt;AK$2025,"",fuel_costs!AC$15*0.086/tech_proj!AK301/(1-tech_proj!AK581))</f>
        <v>137.8274252355132</v>
      </c>
      <c r="AL2201" s="123">
        <f>IF(tech_base!$T177&gt;AL$2025,"",fuel_costs!AD$15*0.086/tech_proj!AL301/(1-tech_proj!AL581))</f>
        <v>139.31774743438513</v>
      </c>
      <c r="AM2201" s="123">
        <f>IF(tech_base!$T177&gt;AM$2025,"",fuel_costs!AE$15*0.086/tech_proj!AM301/(1-tech_proj!AM581))</f>
        <v>140.86087768877465</v>
      </c>
      <c r="AN2201" s="123">
        <f>IF(tech_base!$T177&gt;AN$2025,"",fuel_costs!AF$15*0.086/tech_proj!AN301/(1-tech_proj!AN581))</f>
        <v>142.4287734483658</v>
      </c>
      <c r="AO2201" s="123">
        <f>IF(tech_base!$T177&gt;AO$2025,"",fuel_costs!AG$15*0.086/tech_proj!AO301/(1-tech_proj!AO581))</f>
        <v>142.57346537852314</v>
      </c>
      <c r="AP2201" s="123">
        <f>IF(tech_base!$T177&gt;AP$2025,"",fuel_costs!AH$15*0.086/tech_proj!AP301/(1-tech_proj!AP581))</f>
        <v>143.10004299605049</v>
      </c>
      <c r="AQ2201" s="123">
        <f>IF(tech_base!$T177&gt;AQ$2025,"",fuel_costs!AI$15*0.086/tech_proj!AQ301/(1-tech_proj!AQ581))</f>
        <v>143.65941035452181</v>
      </c>
      <c r="AR2201" s="123">
        <f>IF(tech_base!$T177&gt;AR$2025,"",fuel_costs!AJ$15*0.086/tech_proj!AR301/(1-tech_proj!AR581))</f>
        <v>144.87610296731867</v>
      </c>
      <c r="AS2201" s="123">
        <f>IF(tech_base!$T177&gt;AS$2025,"",fuel_costs!AK$15*0.086/tech_proj!AS301/(1-tech_proj!AS581))</f>
        <v>145.50541941088187</v>
      </c>
      <c r="AT2201" s="123">
        <f>IF(tech_base!$T177&gt;AT$2025,"",fuel_costs!AL$15*0.086/tech_proj!AT301/(1-tech_proj!AT581))</f>
        <v>146.129184460402</v>
      </c>
      <c r="AU2201" s="123">
        <f>IF(tech_base!$T177&gt;AU$2025,"",fuel_costs!AM$15*0.086/tech_proj!AU301/(1-tech_proj!AU581))</f>
        <v>146.73546221197213</v>
      </c>
      <c r="AV2201" s="123">
        <f>IF(tech_base!$T177&gt;AV$2025,"",fuel_costs!AN$15*0.086/tech_proj!AV301/(1-tech_proj!AV581))</f>
        <v>147.31570053166723</v>
      </c>
      <c r="AW2201" s="123">
        <f>IF(tech_base!$T177&gt;AW$2025,"",fuel_costs!AO$15*0.086/tech_proj!AW301/(1-tech_proj!AW581))</f>
        <v>147.86290276346631</v>
      </c>
      <c r="AX2201" s="124">
        <f>IF(tech_base!$T177&gt;AX$2025,"",fuel_costs!AP$15*0.086/tech_proj!AX301/(1-tech_proj!AX581))</f>
        <v>148.59047598107131</v>
      </c>
    </row>
    <row r="2202" spans="1:50" x14ac:dyDescent="0.25">
      <c r="A2202" s="356"/>
      <c r="B2202" s="376"/>
      <c r="C2202" s="379"/>
      <c r="D2202" s="59" t="s">
        <v>8</v>
      </c>
      <c r="E2202" s="79" t="str">
        <f>A2199&amp;"/"&amp;B2199&amp;"/"&amp;C2201&amp;"/"&amp;D2202</f>
        <v>Fuel oil fired power plants/Integrated gasification combined cycle/CHP/M</v>
      </c>
      <c r="F2202" s="79" t="str">
        <f>A2199</f>
        <v>Fuel oil fired power plants</v>
      </c>
      <c r="G2202" s="79" t="str">
        <f>B2199</f>
        <v>Integrated gasification combined cycle</v>
      </c>
      <c r="H2202" s="79" t="str">
        <f>C2201</f>
        <v>CHP</v>
      </c>
      <c r="I2202" s="79" t="str">
        <f t="shared" si="389"/>
        <v>M</v>
      </c>
      <c r="J2202" s="125">
        <f>IF(tech_base!$T178&gt;J$2025,"",fuel_costs!B$15*0.086/tech_proj!J302/(1-tech_proj!J582))</f>
        <v>92.341974262645238</v>
      </c>
      <c r="K2202" s="125">
        <f>IF(tech_base!$T178&gt;K$2025,"",fuel_costs!C$15*0.086/tech_proj!K302/(1-tech_proj!K582))</f>
        <v>117.05117149174907</v>
      </c>
      <c r="L2202" s="125">
        <f>IF(tech_base!$T178&gt;L$2025,"",fuel_costs!D$15*0.086/tech_proj!L302/(1-tech_proj!L582))</f>
        <v>124.46603094992186</v>
      </c>
      <c r="M2202" s="125">
        <f>IF(tech_base!$T178&gt;M$2025,"",fuel_costs!E$15*0.086/tech_proj!M302/(1-tech_proj!M582))</f>
        <v>117.94684578132154</v>
      </c>
      <c r="N2202" s="125">
        <f>IF(tech_base!$T178&gt;N$2025,"",fuel_costs!F$15*0.086/tech_proj!N302/(1-tech_proj!N582))</f>
        <v>107.6505554026708</v>
      </c>
      <c r="O2202" s="125">
        <f>IF(tech_base!$T178&gt;O$2025,"",fuel_costs!G$15*0.086/tech_proj!O302/(1-tech_proj!O582))</f>
        <v>73.154031650617895</v>
      </c>
      <c r="P2202" s="125">
        <f>IF(tech_base!$T178&gt;P$2025,"",fuel_costs!H$15*0.086/tech_proj!P302/(1-tech_proj!P582))</f>
        <v>64.968221100071091</v>
      </c>
      <c r="Q2202" s="125">
        <f>IF(tech_base!$T178&gt;Q$2025,"",fuel_costs!I$15*0.086/tech_proj!Q302/(1-tech_proj!Q582))</f>
        <v>74.839829958070084</v>
      </c>
      <c r="R2202" s="125">
        <f>IF(tech_base!$T178&gt;R$2025,"",fuel_costs!J$15*0.086/tech_proj!R302/(1-tech_proj!R582))</f>
        <v>83.653913450873745</v>
      </c>
      <c r="S2202" s="125">
        <f>IF(tech_base!$T178&gt;S$2025,"",fuel_costs!K$15*0.086/tech_proj!S302/(1-tech_proj!S582))</f>
        <v>91.383473985550026</v>
      </c>
      <c r="T2202" s="125">
        <f>IF(tech_base!$T178&gt;T$2025,"",fuel_costs!L$15*0.086/tech_proj!T302/(1-tech_proj!T582))</f>
        <v>98.836191857074311</v>
      </c>
      <c r="U2202" s="125">
        <f>IF(tech_base!$T178&gt;U$2025,"",fuel_costs!M$15*0.086/tech_proj!U302/(1-tech_proj!U582))</f>
        <v>105.9327733496132</v>
      </c>
      <c r="V2202" s="125">
        <f>IF(tech_base!$T178&gt;V$2025,"",fuel_costs!N$15*0.086/tech_proj!V302/(1-tech_proj!V582))</f>
        <v>110.6904400650992</v>
      </c>
      <c r="W2202" s="125">
        <f>IF(tech_base!$T178&gt;W$2025,"",fuel_costs!O$15*0.086/tech_proj!W302/(1-tech_proj!W582))</f>
        <v>116.51857642367456</v>
      </c>
      <c r="X2202" s="125">
        <f>IF(tech_base!$T178&gt;X$2025,"",fuel_costs!P$15*0.086/tech_proj!X302/(1-tech_proj!X582))</f>
        <v>121.57579002880355</v>
      </c>
      <c r="Y2202" s="125">
        <f>IF(tech_base!$T178&gt;Y$2025,"",fuel_costs!Q$15*0.086/tech_proj!Y302/(1-tech_proj!Y582))</f>
        <v>125.8667453095938</v>
      </c>
      <c r="Z2202" s="125">
        <f>IF(tech_base!$T178&gt;Z$2025,"",fuel_costs!R$15*0.086/tech_proj!Z302/(1-tech_proj!Z582))</f>
        <v>128.61863252327845</v>
      </c>
      <c r="AA2202" s="125">
        <f>IF(tech_base!$T178&gt;AA$2025,"",fuel_costs!S$15*0.086/tech_proj!AA302/(1-tech_proj!AA582))</f>
        <v>131.11168344828835</v>
      </c>
      <c r="AB2202" s="125">
        <f>IF(tech_base!$T178&gt;AB$2025,"",fuel_costs!T$15*0.086/tech_proj!AB302/(1-tech_proj!AB582))</f>
        <v>132.8211258579247</v>
      </c>
      <c r="AC2202" s="125">
        <f>IF(tech_base!$T178&gt;AC$2025,"",fuel_costs!U$15*0.086/tech_proj!AC302/(1-tech_proj!AC582))</f>
        <v>135.4811399353195</v>
      </c>
      <c r="AD2202" s="125">
        <f>IF(tech_base!$T178&gt;AD$2025,"",fuel_costs!V$15*0.086/tech_proj!AD302/(1-tech_proj!AD582))</f>
        <v>137.11005891055902</v>
      </c>
      <c r="AE2202" s="125">
        <f>IF(tech_base!$T178&gt;AE$2025,"",fuel_costs!W$15*0.086/tech_proj!AE302/(1-tech_proj!AE582))</f>
        <v>138.66424958861575</v>
      </c>
      <c r="AF2202" s="125">
        <f>IF(tech_base!$T178&gt;AF$2025,"",fuel_costs!X$15*0.086/tech_proj!AF302/(1-tech_proj!AF582))</f>
        <v>139.45058895297402</v>
      </c>
      <c r="AG2202" s="125">
        <f>IF(tech_base!$T178&gt;AG$2025,"",fuel_costs!Y$15*0.086/tech_proj!AG302/(1-tech_proj!AG582))</f>
        <v>140.34959572891827</v>
      </c>
      <c r="AH2202" s="125">
        <f>IF(tech_base!$T178&gt;AH$2025,"",fuel_costs!Z$15*0.086/tech_proj!AH302/(1-tech_proj!AH582))</f>
        <v>141.36094978493131</v>
      </c>
      <c r="AI2202" s="125">
        <f>IF(tech_base!$T178&gt;AI$2025,"",fuel_costs!AA$15*0.086/tech_proj!AI302/(1-tech_proj!AI582))</f>
        <v>142.49543821451601</v>
      </c>
      <c r="AJ2202" s="125">
        <f>IF(tech_base!$T178&gt;AJ$2025,"",fuel_costs!AB$15*0.086/tech_proj!AJ302/(1-tech_proj!AJ582))</f>
        <v>143.77269481947422</v>
      </c>
      <c r="AK2202" s="125">
        <f>IF(tech_base!$T178&gt;AK$2025,"",fuel_costs!AC$15*0.086/tech_proj!AK302/(1-tech_proj!AK582))</f>
        <v>145.22275096942639</v>
      </c>
      <c r="AL2202" s="125">
        <f>IF(tech_base!$T178&gt;AL$2025,"",fuel_costs!AD$15*0.086/tech_proj!AL302/(1-tech_proj!AL582))</f>
        <v>146.79303851692401</v>
      </c>
      <c r="AM2202" s="125">
        <f>IF(tech_base!$T178&gt;AM$2025,"",fuel_costs!AE$15*0.086/tech_proj!AM302/(1-tech_proj!AM582))</f>
        <v>148.41896761096078</v>
      </c>
      <c r="AN2202" s="125">
        <f>IF(tech_base!$T178&gt;AN$2025,"",fuel_costs!AF$15*0.086/tech_proj!AN302/(1-tech_proj!AN582))</f>
        <v>150.07099103846119</v>
      </c>
      <c r="AO2202" s="125">
        <f>IF(tech_base!$T178&gt;AO$2025,"",fuel_costs!AG$15*0.086/tech_proj!AO302/(1-tech_proj!AO582))</f>
        <v>150.22344661908758</v>
      </c>
      <c r="AP2202" s="125">
        <f>IF(tech_base!$T178&gt;AP$2025,"",fuel_costs!AH$15*0.086/tech_proj!AP302/(1-tech_proj!AP582))</f>
        <v>150.77827850458192</v>
      </c>
      <c r="AQ2202" s="125">
        <f>IF(tech_base!$T178&gt;AQ$2025,"",fuel_costs!AI$15*0.086/tech_proj!AQ302/(1-tech_proj!AQ582))</f>
        <v>151.36765951101728</v>
      </c>
      <c r="AR2202" s="125">
        <f>IF(tech_base!$T178&gt;AR$2025,"",fuel_costs!AJ$15*0.086/tech_proj!AR302/(1-tech_proj!AR582))</f>
        <v>152.64963548940196</v>
      </c>
      <c r="AS2202" s="125">
        <f>IF(tech_base!$T178&gt;AS$2025,"",fuel_costs!AK$15*0.086/tech_proj!AS302/(1-tech_proj!AS582))</f>
        <v>153.31271879817294</v>
      </c>
      <c r="AT2202" s="125">
        <f>IF(tech_base!$T178&gt;AT$2025,"",fuel_costs!AL$15*0.086/tech_proj!AT302/(1-tech_proj!AT582))</f>
        <v>153.96995284498988</v>
      </c>
      <c r="AU2202" s="125">
        <f>IF(tech_base!$T178&gt;AU$2025,"",fuel_costs!AM$15*0.086/tech_proj!AU302/(1-tech_proj!AU582))</f>
        <v>154.60876128811447</v>
      </c>
      <c r="AV2202" s="125">
        <f>IF(tech_base!$T178&gt;AV$2025,"",fuel_costs!AN$15*0.086/tech_proj!AV302/(1-tech_proj!AV582))</f>
        <v>155.2201331167619</v>
      </c>
      <c r="AW2202" s="125">
        <f>IF(tech_base!$T178&gt;AW$2025,"",fuel_costs!AO$15*0.086/tech_proj!AW302/(1-tech_proj!AW582))</f>
        <v>155.79669625942154</v>
      </c>
      <c r="AX2202" s="126">
        <f>IF(tech_base!$T178&gt;AX$2025,"",fuel_costs!AP$15*0.086/tech_proj!AX302/(1-tech_proj!AX582))</f>
        <v>156.56330844862643</v>
      </c>
    </row>
    <row r="2203" spans="1:50" x14ac:dyDescent="0.25">
      <c r="A2203" s="356"/>
      <c r="B2203" s="376"/>
      <c r="C2203" s="361" t="s">
        <v>15</v>
      </c>
      <c r="D2203" s="58" t="s">
        <v>7</v>
      </c>
      <c r="E2203" s="78" t="str">
        <f>A2199&amp;"/"&amp;B2199&amp;"/"&amp;C2203&amp;"/"&amp;D2203</f>
        <v>Fuel oil fired power plants/Integrated gasification combined cycle/Electricity only with CCS/L</v>
      </c>
      <c r="F2203" s="78" t="str">
        <f>A2199</f>
        <v>Fuel oil fired power plants</v>
      </c>
      <c r="G2203" s="78" t="str">
        <f>B2199</f>
        <v>Integrated gasification combined cycle</v>
      </c>
      <c r="H2203" s="78" t="str">
        <f>C2203</f>
        <v>Electricity only with CCS</v>
      </c>
      <c r="I2203" s="78" t="str">
        <f t="shared" si="389"/>
        <v>L</v>
      </c>
      <c r="J2203" s="123" t="str">
        <f>IF(tech_base!$T179&gt;J$2025,"",fuel_costs!B$15*0.086/tech_proj!J303/(1-tech_proj!J583))</f>
        <v/>
      </c>
      <c r="K2203" s="123" t="str">
        <f>IF(tech_base!$T179&gt;K$2025,"",fuel_costs!C$15*0.086/tech_proj!K303/(1-tech_proj!K583))</f>
        <v/>
      </c>
      <c r="L2203" s="123" t="str">
        <f>IF(tech_base!$T179&gt;L$2025,"",fuel_costs!D$15*0.086/tech_proj!L303/(1-tech_proj!L583))</f>
        <v/>
      </c>
      <c r="M2203" s="123" t="str">
        <f>IF(tech_base!$T179&gt;M$2025,"",fuel_costs!E$15*0.086/tech_proj!M303/(1-tech_proj!M583))</f>
        <v/>
      </c>
      <c r="N2203" s="123" t="str">
        <f>IF(tech_base!$T179&gt;N$2025,"",fuel_costs!F$15*0.086/tech_proj!N303/(1-tech_proj!N583))</f>
        <v/>
      </c>
      <c r="O2203" s="123" t="str">
        <f>IF(tech_base!$T179&gt;O$2025,"",fuel_costs!G$15*0.086/tech_proj!O303/(1-tech_proj!O583))</f>
        <v/>
      </c>
      <c r="P2203" s="123" t="str">
        <f>IF(tech_base!$T179&gt;P$2025,"",fuel_costs!H$15*0.086/tech_proj!P303/(1-tech_proj!P583))</f>
        <v/>
      </c>
      <c r="Q2203" s="123" t="str">
        <f>IF(tech_base!$T179&gt;Q$2025,"",fuel_costs!I$15*0.086/tech_proj!Q303/(1-tech_proj!Q583))</f>
        <v/>
      </c>
      <c r="R2203" s="123" t="str">
        <f>IF(tech_base!$T179&gt;R$2025,"",fuel_costs!J$15*0.086/tech_proj!R303/(1-tech_proj!R583))</f>
        <v/>
      </c>
      <c r="S2203" s="123" t="str">
        <f>IF(tech_base!$T179&gt;S$2025,"",fuel_costs!K$15*0.086/tech_proj!S303/(1-tech_proj!S583))</f>
        <v/>
      </c>
      <c r="T2203" s="123" t="str">
        <f>IF(tech_base!$T179&gt;T$2025,"",fuel_costs!L$15*0.086/tech_proj!T303/(1-tech_proj!T583))</f>
        <v/>
      </c>
      <c r="U2203" s="123" t="str">
        <f>IF(tech_base!$T179&gt;U$2025,"",fuel_costs!M$15*0.086/tech_proj!U303/(1-tech_proj!U583))</f>
        <v/>
      </c>
      <c r="V2203" s="123" t="str">
        <f>IF(tech_base!$T179&gt;V$2025,"",fuel_costs!N$15*0.086/tech_proj!V303/(1-tech_proj!V583))</f>
        <v/>
      </c>
      <c r="W2203" s="123" t="str">
        <f>IF(tech_base!$T179&gt;W$2025,"",fuel_costs!O$15*0.086/tech_proj!W303/(1-tech_proj!W583))</f>
        <v/>
      </c>
      <c r="X2203" s="123" t="str">
        <f>IF(tech_base!$T179&gt;X$2025,"",fuel_costs!P$15*0.086/tech_proj!X303/(1-tech_proj!X583))</f>
        <v/>
      </c>
      <c r="Y2203" s="123" t="str">
        <f>IF(tech_base!$T179&gt;Y$2025,"",fuel_costs!Q$15*0.086/tech_proj!Y303/(1-tech_proj!Y583))</f>
        <v/>
      </c>
      <c r="Z2203" s="123" t="str">
        <f>IF(tech_base!$T179&gt;Z$2025,"",fuel_costs!R$15*0.086/tech_proj!Z303/(1-tech_proj!Z583))</f>
        <v/>
      </c>
      <c r="AA2203" s="123" t="str">
        <f>IF(tech_base!$T179&gt;AA$2025,"",fuel_costs!S$15*0.086/tech_proj!AA303/(1-tech_proj!AA583))</f>
        <v/>
      </c>
      <c r="AB2203" s="123" t="str">
        <f>IF(tech_base!$T179&gt;AB$2025,"",fuel_costs!T$15*0.086/tech_proj!AB303/(1-tech_proj!AB583))</f>
        <v/>
      </c>
      <c r="AC2203" s="123" t="str">
        <f>IF(tech_base!$T179&gt;AC$2025,"",fuel_costs!U$15*0.086/tech_proj!AC303/(1-tech_proj!AC583))</f>
        <v/>
      </c>
      <c r="AD2203" s="123" t="str">
        <f>IF(tech_base!$T179&gt;AD$2025,"",fuel_costs!V$15*0.086/tech_proj!AD303/(1-tech_proj!AD583))</f>
        <v/>
      </c>
      <c r="AE2203" s="123">
        <f>IF(tech_base!$T179&gt;AE$2025,"",fuel_costs!W$15*0.086/tech_proj!AE303/(1-tech_proj!AE583))</f>
        <v>145.33641627579169</v>
      </c>
      <c r="AF2203" s="123">
        <f>IF(tech_base!$T179&gt;AF$2025,"",fuel_costs!X$15*0.086/tech_proj!AF303/(1-tech_proj!AF583))</f>
        <v>146.16059226586464</v>
      </c>
      <c r="AG2203" s="123">
        <f>IF(tech_base!$T179&gt;AG$2025,"",fuel_costs!Y$15*0.086/tech_proj!AG303/(1-tech_proj!AG583))</f>
        <v>147.10285693329709</v>
      </c>
      <c r="AH2203" s="123">
        <f>IF(tech_base!$T179&gt;AH$2025,"",fuel_costs!Z$15*0.086/tech_proj!AH303/(1-tech_proj!AH583))</f>
        <v>148.16287474266755</v>
      </c>
      <c r="AI2203" s="123">
        <f>IF(tech_base!$T179&gt;AI$2025,"",fuel_costs!AA$15*0.086/tech_proj!AI303/(1-tech_proj!AI583))</f>
        <v>149.35195183464592</v>
      </c>
      <c r="AJ2203" s="123">
        <f>IF(tech_base!$T179&gt;AJ$2025,"",fuel_costs!AB$15*0.086/tech_proj!AJ303/(1-tech_proj!AJ583))</f>
        <v>150.69066673902779</v>
      </c>
      <c r="AK2203" s="123">
        <f>IF(tech_base!$T179&gt;AK$2025,"",fuel_costs!AC$15*0.086/tech_proj!AK303/(1-tech_proj!AK583))</f>
        <v>152.21049585762148</v>
      </c>
      <c r="AL2203" s="123">
        <f>IF(tech_base!$T179&gt;AL$2025,"",fuel_costs!AD$15*0.086/tech_proj!AL303/(1-tech_proj!AL583))</f>
        <v>153.85634159906442</v>
      </c>
      <c r="AM2203" s="123">
        <f>IF(tech_base!$T179&gt;AM$2025,"",fuel_costs!AE$15*0.086/tech_proj!AM303/(1-tech_proj!AM583))</f>
        <v>155.56050621501205</v>
      </c>
      <c r="AN2203" s="123">
        <f>IF(tech_base!$T179&gt;AN$2025,"",fuel_costs!AF$15*0.086/tech_proj!AN303/(1-tech_proj!AN583))</f>
        <v>157.30063191492491</v>
      </c>
      <c r="AO2203" s="123">
        <f>IF(tech_base!$T179&gt;AO$2025,"",fuel_costs!AG$15*0.086/tech_proj!AO303/(1-tech_proj!AO583))</f>
        <v>157.46342729189502</v>
      </c>
      <c r="AP2203" s="123">
        <f>IF(tech_base!$T179&gt;AP$2025,"",fuel_costs!AH$15*0.086/tech_proj!AP303/(1-tech_proj!AP583))</f>
        <v>158.04904055357926</v>
      </c>
      <c r="AQ2203" s="123">
        <f>IF(tech_base!$T179&gt;AQ$2025,"",fuel_costs!AI$15*0.086/tech_proj!AQ303/(1-tech_proj!AQ583))</f>
        <v>158.67228865828108</v>
      </c>
      <c r="AR2203" s="123">
        <f>IF(tech_base!$T179&gt;AR$2025,"",fuel_costs!AJ$15*0.086/tech_proj!AR303/(1-tech_proj!AR583))</f>
        <v>160.0234882087226</v>
      </c>
      <c r="AS2203" s="123">
        <f>IF(tech_base!$T179&gt;AS$2025,"",fuel_costs!AK$15*0.086/tech_proj!AS303/(1-tech_proj!AS583))</f>
        <v>160.71401946927395</v>
      </c>
      <c r="AT2203" s="123">
        <f>IF(tech_base!$T179&gt;AT$2025,"",fuel_costs!AL$15*0.086/tech_proj!AT303/(1-tech_proj!AT583))</f>
        <v>161.40689826057667</v>
      </c>
      <c r="AU2203" s="123">
        <f>IF(tech_base!$T179&gt;AU$2025,"",fuel_costs!AM$15*0.086/tech_proj!AU303/(1-tech_proj!AU583))</f>
        <v>162.07897614805626</v>
      </c>
      <c r="AV2203" s="123">
        <f>IF(tech_base!$T179&gt;AV$2025,"",fuel_costs!AN$15*0.086/tech_proj!AV303/(1-tech_proj!AV583))</f>
        <v>162.71861253409085</v>
      </c>
      <c r="AW2203" s="123">
        <f>IF(tech_base!$T179&gt;AW$2025,"",fuel_costs!AO$15*0.086/tech_proj!AW303/(1-tech_proj!AW583))</f>
        <v>163.31444160304758</v>
      </c>
      <c r="AX2203" s="124">
        <f>IF(tech_base!$T179&gt;AX$2025,"",fuel_costs!AP$15*0.086/tech_proj!AX303/(1-tech_proj!AX583))</f>
        <v>164.09673176548071</v>
      </c>
    </row>
    <row r="2204" spans="1:50" x14ac:dyDescent="0.25">
      <c r="A2204" s="356"/>
      <c r="B2204" s="376"/>
      <c r="C2204" s="379"/>
      <c r="D2204" s="59" t="s">
        <v>8</v>
      </c>
      <c r="E2204" s="79" t="str">
        <f>A2199&amp;"/"&amp;B2199&amp;"/"&amp;C2203&amp;"/"&amp;D2204</f>
        <v>Fuel oil fired power plants/Integrated gasification combined cycle/Electricity only with CCS/M</v>
      </c>
      <c r="F2204" s="79" t="str">
        <f>A2199</f>
        <v>Fuel oil fired power plants</v>
      </c>
      <c r="G2204" s="79" t="str">
        <f>B2199</f>
        <v>Integrated gasification combined cycle</v>
      </c>
      <c r="H2204" s="79" t="str">
        <f>C2203</f>
        <v>Electricity only with CCS</v>
      </c>
      <c r="I2204" s="79" t="str">
        <f t="shared" si="389"/>
        <v>M</v>
      </c>
      <c r="J2204" s="125" t="str">
        <f>IF(tech_base!$T180&gt;J$2025,"",fuel_costs!B$15*0.086/tech_proj!J304/(1-tech_proj!J584))</f>
        <v/>
      </c>
      <c r="K2204" s="125" t="str">
        <f>IF(tech_base!$T180&gt;K$2025,"",fuel_costs!C$15*0.086/tech_proj!K304/(1-tech_proj!K584))</f>
        <v/>
      </c>
      <c r="L2204" s="125" t="str">
        <f>IF(tech_base!$T180&gt;L$2025,"",fuel_costs!D$15*0.086/tech_proj!L304/(1-tech_proj!L584))</f>
        <v/>
      </c>
      <c r="M2204" s="125" t="str">
        <f>IF(tech_base!$T180&gt;M$2025,"",fuel_costs!E$15*0.086/tech_proj!M304/(1-tech_proj!M584))</f>
        <v/>
      </c>
      <c r="N2204" s="125" t="str">
        <f>IF(tech_base!$T180&gt;N$2025,"",fuel_costs!F$15*0.086/tech_proj!N304/(1-tech_proj!N584))</f>
        <v/>
      </c>
      <c r="O2204" s="125" t="str">
        <f>IF(tech_base!$T180&gt;O$2025,"",fuel_costs!G$15*0.086/tech_proj!O304/(1-tech_proj!O584))</f>
        <v/>
      </c>
      <c r="P2204" s="125" t="str">
        <f>IF(tech_base!$T180&gt;P$2025,"",fuel_costs!H$15*0.086/tech_proj!P304/(1-tech_proj!P584))</f>
        <v/>
      </c>
      <c r="Q2204" s="125" t="str">
        <f>IF(tech_base!$T180&gt;Q$2025,"",fuel_costs!I$15*0.086/tech_proj!Q304/(1-tech_proj!Q584))</f>
        <v/>
      </c>
      <c r="R2204" s="125" t="str">
        <f>IF(tech_base!$T180&gt;R$2025,"",fuel_costs!J$15*0.086/tech_proj!R304/(1-tech_proj!R584))</f>
        <v/>
      </c>
      <c r="S2204" s="125" t="str">
        <f>IF(tech_base!$T180&gt;S$2025,"",fuel_costs!K$15*0.086/tech_proj!S304/(1-tech_proj!S584))</f>
        <v/>
      </c>
      <c r="T2204" s="125" t="str">
        <f>IF(tech_base!$T180&gt;T$2025,"",fuel_costs!L$15*0.086/tech_proj!T304/(1-tech_proj!T584))</f>
        <v/>
      </c>
      <c r="U2204" s="125" t="str">
        <f>IF(tech_base!$T180&gt;U$2025,"",fuel_costs!M$15*0.086/tech_proj!U304/(1-tech_proj!U584))</f>
        <v/>
      </c>
      <c r="V2204" s="125" t="str">
        <f>IF(tech_base!$T180&gt;V$2025,"",fuel_costs!N$15*0.086/tech_proj!V304/(1-tech_proj!V584))</f>
        <v/>
      </c>
      <c r="W2204" s="125" t="str">
        <f>IF(tech_base!$T180&gt;W$2025,"",fuel_costs!O$15*0.086/tech_proj!W304/(1-tech_proj!W584))</f>
        <v/>
      </c>
      <c r="X2204" s="125" t="str">
        <f>IF(tech_base!$T180&gt;X$2025,"",fuel_costs!P$15*0.086/tech_proj!X304/(1-tech_proj!X584))</f>
        <v/>
      </c>
      <c r="Y2204" s="125" t="str">
        <f>IF(tech_base!$T180&gt;Y$2025,"",fuel_costs!Q$15*0.086/tech_proj!Y304/(1-tech_proj!Y584))</f>
        <v/>
      </c>
      <c r="Z2204" s="125" t="str">
        <f>IF(tech_base!$T180&gt;Z$2025,"",fuel_costs!R$15*0.086/tech_proj!Z304/(1-tech_proj!Z584))</f>
        <v/>
      </c>
      <c r="AA2204" s="125" t="str">
        <f>IF(tech_base!$T180&gt;AA$2025,"",fuel_costs!S$15*0.086/tech_proj!AA304/(1-tech_proj!AA584))</f>
        <v/>
      </c>
      <c r="AB2204" s="125" t="str">
        <f>IF(tech_base!$T180&gt;AB$2025,"",fuel_costs!T$15*0.086/tech_proj!AB304/(1-tech_proj!AB584))</f>
        <v/>
      </c>
      <c r="AC2204" s="125" t="str">
        <f>IF(tech_base!$T180&gt;AC$2025,"",fuel_costs!U$15*0.086/tech_proj!AC304/(1-tech_proj!AC584))</f>
        <v/>
      </c>
      <c r="AD2204" s="125" t="str">
        <f>IF(tech_base!$T180&gt;AD$2025,"",fuel_costs!V$15*0.086/tech_proj!AD304/(1-tech_proj!AD584))</f>
        <v/>
      </c>
      <c r="AE2204" s="125">
        <f>IF(tech_base!$T180&gt;AE$2025,"",fuel_costs!W$15*0.086/tech_proj!AE304/(1-tech_proj!AE584))</f>
        <v>154.43515424557191</v>
      </c>
      <c r="AF2204" s="125">
        <f>IF(tech_base!$T180&gt;AF$2025,"",fuel_costs!X$15*0.086/tech_proj!AF304/(1-tech_proj!AF584))</f>
        <v>155.31092749919941</v>
      </c>
      <c r="AG2204" s="125">
        <f>IF(tech_base!$T180&gt;AG$2025,"",fuel_costs!Y$15*0.086/tech_proj!AG304/(1-tech_proj!AG584))</f>
        <v>156.31218233253003</v>
      </c>
      <c r="AH2204" s="125">
        <f>IF(tech_base!$T180&gt;AH$2025,"",fuel_costs!Z$15*0.086/tech_proj!AH304/(1-tech_proj!AH584))</f>
        <v>157.4385622040588</v>
      </c>
      <c r="AI2204" s="125">
        <f>IF(tech_base!$T180&gt;AI$2025,"",fuel_costs!AA$15*0.086/tech_proj!AI304/(1-tech_proj!AI584))</f>
        <v>158.70208107162938</v>
      </c>
      <c r="AJ2204" s="125">
        <f>IF(tech_base!$T180&gt;AJ$2025,"",fuel_costs!AB$15*0.086/tech_proj!AJ304/(1-tech_proj!AJ584))</f>
        <v>160.12460577704621</v>
      </c>
      <c r="AK2204" s="125">
        <f>IF(tech_base!$T180&gt;AK$2025,"",fuel_costs!AC$15*0.086/tech_proj!AK304/(1-tech_proj!AK584))</f>
        <v>161.73958329177682</v>
      </c>
      <c r="AL2204" s="125">
        <f>IF(tech_base!$T180&gt;AL$2025,"",fuel_costs!AD$15*0.086/tech_proj!AL304/(1-tech_proj!AL584))</f>
        <v>163.48846665808904</v>
      </c>
      <c r="AM2204" s="125">
        <f>IF(tech_base!$T180&gt;AM$2025,"",fuel_costs!AE$15*0.086/tech_proj!AM304/(1-tech_proj!AM584))</f>
        <v>165.29931993263446</v>
      </c>
      <c r="AN2204" s="125">
        <f>IF(tech_base!$T180&gt;AN$2025,"",fuel_costs!AF$15*0.086/tech_proj!AN304/(1-tech_proj!AN584))</f>
        <v>167.14838562283813</v>
      </c>
      <c r="AO2204" s="125">
        <f>IF(tech_base!$T180&gt;AO$2025,"",fuel_costs!AG$15*0.086/tech_proj!AO304/(1-tech_proj!AO584))</f>
        <v>167.32137275020159</v>
      </c>
      <c r="AP2204" s="125">
        <f>IF(tech_base!$T180&gt;AP$2025,"",fuel_costs!AH$15*0.086/tech_proj!AP304/(1-tech_proj!AP584))</f>
        <v>167.94364813522856</v>
      </c>
      <c r="AQ2204" s="125">
        <f>IF(tech_base!$T180&gt;AQ$2025,"",fuel_costs!AI$15*0.086/tech_proj!AQ304/(1-tech_proj!AQ584))</f>
        <v>168.60591448009447</v>
      </c>
      <c r="AR2204" s="125">
        <f>IF(tech_base!$T180&gt;AR$2025,"",fuel_costs!AJ$15*0.086/tech_proj!AR304/(1-tech_proj!AR584))</f>
        <v>170.04170542868241</v>
      </c>
      <c r="AS2204" s="125">
        <f>IF(tech_base!$T180&gt;AS$2025,"",fuel_costs!AK$15*0.086/tech_proj!AS304/(1-tech_proj!AS584))</f>
        <v>170.77546716897649</v>
      </c>
      <c r="AT2204" s="125">
        <f>IF(tech_base!$T180&gt;AT$2025,"",fuel_costs!AL$15*0.086/tech_proj!AT304/(1-tech_proj!AT584))</f>
        <v>171.51172340640338</v>
      </c>
      <c r="AU2204" s="125">
        <f>IF(tech_base!$T180&gt;AU$2025,"",fuel_costs!AM$15*0.086/tech_proj!AU304/(1-tech_proj!AU584))</f>
        <v>172.22587650634625</v>
      </c>
      <c r="AV2204" s="125">
        <f>IF(tech_base!$T180&gt;AV$2025,"",fuel_costs!AN$15*0.086/tech_proj!AV304/(1-tech_proj!AV584))</f>
        <v>172.90555711544349</v>
      </c>
      <c r="AW2204" s="125">
        <f>IF(tech_base!$T180&gt;AW$2025,"",fuel_costs!AO$15*0.086/tech_proj!AW304/(1-tech_proj!AW584))</f>
        <v>173.53868786495718</v>
      </c>
      <c r="AX2204" s="126">
        <f>IF(tech_base!$T180&gt;AX$2025,"",fuel_costs!AP$15*0.086/tech_proj!AX304/(1-tech_proj!AX584))</f>
        <v>174.36995304264602</v>
      </c>
    </row>
    <row r="2205" spans="1:50" x14ac:dyDescent="0.25">
      <c r="A2205" s="356"/>
      <c r="B2205" s="376"/>
      <c r="C2205" s="361" t="s">
        <v>16</v>
      </c>
      <c r="D2205" s="2" t="s">
        <v>7</v>
      </c>
      <c r="E2205" s="76" t="str">
        <f>A2199&amp;"/"&amp;B2199&amp;"/"&amp;C2205&amp;"/"&amp;D2205</f>
        <v>Fuel oil fired power plants/Integrated gasification combined cycle/CHP with CCS/L</v>
      </c>
      <c r="F2205" s="76" t="str">
        <f>A2199</f>
        <v>Fuel oil fired power plants</v>
      </c>
      <c r="G2205" s="76" t="str">
        <f>B2199</f>
        <v>Integrated gasification combined cycle</v>
      </c>
      <c r="H2205" s="76" t="str">
        <f>C2205</f>
        <v>CHP with CCS</v>
      </c>
      <c r="I2205" s="76" t="str">
        <f t="shared" si="389"/>
        <v>L</v>
      </c>
      <c r="J2205" s="119" t="str">
        <f>IF(tech_base!$T181&gt;J$2025,"",fuel_costs!B$15*0.086/tech_proj!J305/(1-tech_proj!J585))</f>
        <v/>
      </c>
      <c r="K2205" s="119" t="str">
        <f>IF(tech_base!$T181&gt;K$2025,"",fuel_costs!C$15*0.086/tech_proj!K305/(1-tech_proj!K585))</f>
        <v/>
      </c>
      <c r="L2205" s="119" t="str">
        <f>IF(tech_base!$T181&gt;L$2025,"",fuel_costs!D$15*0.086/tech_proj!L305/(1-tech_proj!L585))</f>
        <v/>
      </c>
      <c r="M2205" s="119" t="str">
        <f>IF(tech_base!$T181&gt;M$2025,"",fuel_costs!E$15*0.086/tech_proj!M305/(1-tech_proj!M585))</f>
        <v/>
      </c>
      <c r="N2205" s="119" t="str">
        <f>IF(tech_base!$T181&gt;N$2025,"",fuel_costs!F$15*0.086/tech_proj!N305/(1-tech_proj!N585))</f>
        <v/>
      </c>
      <c r="O2205" s="119" t="str">
        <f>IF(tech_base!$T181&gt;O$2025,"",fuel_costs!G$15*0.086/tech_proj!O305/(1-tech_proj!O585))</f>
        <v/>
      </c>
      <c r="P2205" s="119" t="str">
        <f>IF(tech_base!$T181&gt;P$2025,"",fuel_costs!H$15*0.086/tech_proj!P305/(1-tech_proj!P585))</f>
        <v/>
      </c>
      <c r="Q2205" s="119" t="str">
        <f>IF(tech_base!$T181&gt;Q$2025,"",fuel_costs!I$15*0.086/tech_proj!Q305/(1-tech_proj!Q585))</f>
        <v/>
      </c>
      <c r="R2205" s="119" t="str">
        <f>IF(tech_base!$T181&gt;R$2025,"",fuel_costs!J$15*0.086/tech_proj!R305/(1-tech_proj!R585))</f>
        <v/>
      </c>
      <c r="S2205" s="119" t="str">
        <f>IF(tech_base!$T181&gt;S$2025,"",fuel_costs!K$15*0.086/tech_proj!S305/(1-tech_proj!S585))</f>
        <v/>
      </c>
      <c r="T2205" s="119" t="str">
        <f>IF(tech_base!$T181&gt;T$2025,"",fuel_costs!L$15*0.086/tech_proj!T305/(1-tech_proj!T585))</f>
        <v/>
      </c>
      <c r="U2205" s="119" t="str">
        <f>IF(tech_base!$T181&gt;U$2025,"",fuel_costs!M$15*0.086/tech_proj!U305/(1-tech_proj!U585))</f>
        <v/>
      </c>
      <c r="V2205" s="119" t="str">
        <f>IF(tech_base!$T181&gt;V$2025,"",fuel_costs!N$15*0.086/tech_proj!V305/(1-tech_proj!V585))</f>
        <v/>
      </c>
      <c r="W2205" s="119" t="str">
        <f>IF(tech_base!$T181&gt;W$2025,"",fuel_costs!O$15*0.086/tech_proj!W305/(1-tech_proj!W585))</f>
        <v/>
      </c>
      <c r="X2205" s="119" t="str">
        <f>IF(tech_base!$T181&gt;X$2025,"",fuel_costs!P$15*0.086/tech_proj!X305/(1-tech_proj!X585))</f>
        <v/>
      </c>
      <c r="Y2205" s="119" t="str">
        <f>IF(tech_base!$T181&gt;Y$2025,"",fuel_costs!Q$15*0.086/tech_proj!Y305/(1-tech_proj!Y585))</f>
        <v/>
      </c>
      <c r="Z2205" s="119" t="str">
        <f>IF(tech_base!$T181&gt;Z$2025,"",fuel_costs!R$15*0.086/tech_proj!Z305/(1-tech_proj!Z585))</f>
        <v/>
      </c>
      <c r="AA2205" s="119" t="str">
        <f>IF(tech_base!$T181&gt;AA$2025,"",fuel_costs!S$15*0.086/tech_proj!AA305/(1-tech_proj!AA585))</f>
        <v/>
      </c>
      <c r="AB2205" s="119" t="str">
        <f>IF(tech_base!$T181&gt;AB$2025,"",fuel_costs!T$15*0.086/tech_proj!AB305/(1-tech_proj!AB585))</f>
        <v/>
      </c>
      <c r="AC2205" s="119" t="str">
        <f>IF(tech_base!$T181&gt;AC$2025,"",fuel_costs!U$15*0.086/tech_proj!AC305/(1-tech_proj!AC585))</f>
        <v/>
      </c>
      <c r="AD2205" s="119" t="str">
        <f>IF(tech_base!$T181&gt;AD$2025,"",fuel_costs!V$15*0.086/tech_proj!AD305/(1-tech_proj!AD585))</f>
        <v/>
      </c>
      <c r="AE2205" s="119">
        <f>IF(tech_base!$T181&gt;AE$2025,"",fuel_costs!W$15*0.086/tech_proj!AE305/(1-tech_proj!AE585))</f>
        <v>163.75499705401833</v>
      </c>
      <c r="AF2205" s="119">
        <f>IF(tech_base!$T181&gt;AF$2025,"",fuel_costs!X$15*0.086/tech_proj!AF305/(1-tech_proj!AF585))</f>
        <v>164.68362141592829</v>
      </c>
      <c r="AG2205" s="119">
        <f>IF(tech_base!$T181&gt;AG$2025,"",fuel_costs!Y$15*0.086/tech_proj!AG305/(1-tech_proj!AG585))</f>
        <v>165.74529991188561</v>
      </c>
      <c r="AH2205" s="119">
        <f>IF(tech_base!$T181&gt;AH$2025,"",fuel_costs!Z$15*0.086/tech_proj!AH305/(1-tech_proj!AH585))</f>
        <v>166.93965448384142</v>
      </c>
      <c r="AI2205" s="119">
        <f>IF(tech_base!$T181&gt;AI$2025,"",fuel_costs!AA$15*0.086/tech_proj!AI305/(1-tech_proj!AI585))</f>
        <v>168.27942410719874</v>
      </c>
      <c r="AJ2205" s="119">
        <f>IF(tech_base!$T181&gt;AJ$2025,"",fuel_costs!AB$15*0.086/tech_proj!AJ305/(1-tech_proj!AJ585))</f>
        <v>169.78779524253227</v>
      </c>
      <c r="AK2205" s="119">
        <f>IF(tech_base!$T181&gt;AK$2025,"",fuel_costs!AC$15*0.086/tech_proj!AK305/(1-tech_proj!AK585))</f>
        <v>171.50023331700388</v>
      </c>
      <c r="AL2205" s="119">
        <f>IF(tech_base!$T181&gt;AL$2025,"",fuel_costs!AD$15*0.086/tech_proj!AL305/(1-tech_proj!AL585))</f>
        <v>173.35465818482177</v>
      </c>
      <c r="AM2205" s="119">
        <f>IF(tech_base!$T181&gt;AM$2025,"",fuel_costs!AE$15*0.086/tech_proj!AM305/(1-tech_proj!AM585))</f>
        <v>175.27479271693042</v>
      </c>
      <c r="AN2205" s="119">
        <f>IF(tech_base!$T181&gt;AN$2025,"",fuel_costs!AF$15*0.086/tech_proj!AN305/(1-tech_proj!AN585))</f>
        <v>177.2354457051128</v>
      </c>
      <c r="AO2205" s="119">
        <f>IF(tech_base!$T181&gt;AO$2025,"",fuel_costs!AG$15*0.086/tech_proj!AO305/(1-tech_proj!AO585))</f>
        <v>177.41887224857155</v>
      </c>
      <c r="AP2205" s="119">
        <f>IF(tech_base!$T181&gt;AP$2025,"",fuel_costs!AH$15*0.086/tech_proj!AP305/(1-tech_proj!AP585))</f>
        <v>178.07870066872414</v>
      </c>
      <c r="AQ2205" s="119">
        <f>IF(tech_base!$T181&gt;AQ$2025,"",fuel_costs!AI$15*0.086/tech_proj!AQ305/(1-tech_proj!AQ585))</f>
        <v>178.78093342060166</v>
      </c>
      <c r="AR2205" s="119">
        <f>IF(tech_base!$T181&gt;AR$2025,"",fuel_costs!AJ$15*0.086/tech_proj!AR305/(1-tech_proj!AR585))</f>
        <v>180.30337138950046</v>
      </c>
      <c r="AS2205" s="119">
        <f>IF(tech_base!$T181&gt;AS$2025,"",fuel_costs!AK$15*0.086/tech_proj!AS305/(1-tech_proj!AS585))</f>
        <v>181.08141413635553</v>
      </c>
      <c r="AT2205" s="119">
        <f>IF(tech_base!$T181&gt;AT$2025,"",fuel_costs!AL$15*0.086/tech_proj!AT305/(1-tech_proj!AT585))</f>
        <v>181.86210191809678</v>
      </c>
      <c r="AU2205" s="119">
        <f>IF(tech_base!$T181&gt;AU$2025,"",fuel_costs!AM$15*0.086/tech_proj!AU305/(1-tech_proj!AU585))</f>
        <v>182.61935268362717</v>
      </c>
      <c r="AV2205" s="119">
        <f>IF(tech_base!$T181&gt;AV$2025,"",fuel_costs!AN$15*0.086/tech_proj!AV305/(1-tech_proj!AV585))</f>
        <v>183.34005061463975</v>
      </c>
      <c r="AW2205" s="119">
        <f>IF(tech_base!$T181&gt;AW$2025,"",fuel_costs!AO$15*0.086/tech_proj!AW305/(1-tech_proj!AW585))</f>
        <v>184.01138949812065</v>
      </c>
      <c r="AX2205" s="120">
        <f>IF(tech_base!$T181&gt;AX$2025,"",fuel_costs!AP$15*0.086/tech_proj!AX305/(1-tech_proj!AX585))</f>
        <v>184.89281981357257</v>
      </c>
    </row>
    <row r="2206" spans="1:50" x14ac:dyDescent="0.25">
      <c r="A2206" s="356"/>
      <c r="B2206" s="380"/>
      <c r="C2206" s="354"/>
      <c r="D2206" s="4" t="s">
        <v>8</v>
      </c>
      <c r="E2206" s="80" t="str">
        <f>A2199&amp;"/"&amp;B2199&amp;"/"&amp;C2205&amp;"/"&amp;D2206</f>
        <v>Fuel oil fired power plants/Integrated gasification combined cycle/CHP with CCS/M</v>
      </c>
      <c r="F2206" s="80" t="str">
        <f>A2199</f>
        <v>Fuel oil fired power plants</v>
      </c>
      <c r="G2206" s="80" t="str">
        <f>B2199</f>
        <v>Integrated gasification combined cycle</v>
      </c>
      <c r="H2206" s="80" t="str">
        <f>C2205</f>
        <v>CHP with CCS</v>
      </c>
      <c r="I2206" s="80" t="str">
        <f t="shared" si="389"/>
        <v>M</v>
      </c>
      <c r="J2206" s="127" t="str">
        <f>IF(tech_base!$T182&gt;J$2025,"",fuel_costs!B$15*0.086/tech_proj!J306/(1-tech_proj!J586))</f>
        <v/>
      </c>
      <c r="K2206" s="127" t="str">
        <f>IF(tech_base!$T182&gt;K$2025,"",fuel_costs!C$15*0.086/tech_proj!K306/(1-tech_proj!K586))</f>
        <v/>
      </c>
      <c r="L2206" s="127" t="str">
        <f>IF(tech_base!$T182&gt;L$2025,"",fuel_costs!D$15*0.086/tech_proj!L306/(1-tech_proj!L586))</f>
        <v/>
      </c>
      <c r="M2206" s="127" t="str">
        <f>IF(tech_base!$T182&gt;M$2025,"",fuel_costs!E$15*0.086/tech_proj!M306/(1-tech_proj!M586))</f>
        <v/>
      </c>
      <c r="N2206" s="127" t="str">
        <f>IF(tech_base!$T182&gt;N$2025,"",fuel_costs!F$15*0.086/tech_proj!N306/(1-tech_proj!N586))</f>
        <v/>
      </c>
      <c r="O2206" s="127" t="str">
        <f>IF(tech_base!$T182&gt;O$2025,"",fuel_costs!G$15*0.086/tech_proj!O306/(1-tech_proj!O586))</f>
        <v/>
      </c>
      <c r="P2206" s="127" t="str">
        <f>IF(tech_base!$T182&gt;P$2025,"",fuel_costs!H$15*0.086/tech_proj!P306/(1-tech_proj!P586))</f>
        <v/>
      </c>
      <c r="Q2206" s="127" t="str">
        <f>IF(tech_base!$T182&gt;Q$2025,"",fuel_costs!I$15*0.086/tech_proj!Q306/(1-tech_proj!Q586))</f>
        <v/>
      </c>
      <c r="R2206" s="127" t="str">
        <f>IF(tech_base!$T182&gt;R$2025,"",fuel_costs!J$15*0.086/tech_proj!R306/(1-tech_proj!R586))</f>
        <v/>
      </c>
      <c r="S2206" s="127" t="str">
        <f>IF(tech_base!$T182&gt;S$2025,"",fuel_costs!K$15*0.086/tech_proj!S306/(1-tech_proj!S586))</f>
        <v/>
      </c>
      <c r="T2206" s="127" t="str">
        <f>IF(tech_base!$T182&gt;T$2025,"",fuel_costs!L$15*0.086/tech_proj!T306/(1-tech_proj!T586))</f>
        <v/>
      </c>
      <c r="U2206" s="127" t="str">
        <f>IF(tech_base!$T182&gt;U$2025,"",fuel_costs!M$15*0.086/tech_proj!U306/(1-tech_proj!U586))</f>
        <v/>
      </c>
      <c r="V2206" s="127" t="str">
        <f>IF(tech_base!$T182&gt;V$2025,"",fuel_costs!N$15*0.086/tech_proj!V306/(1-tech_proj!V586))</f>
        <v/>
      </c>
      <c r="W2206" s="127" t="str">
        <f>IF(tech_base!$T182&gt;W$2025,"",fuel_costs!O$15*0.086/tech_proj!W306/(1-tech_proj!W586))</f>
        <v/>
      </c>
      <c r="X2206" s="127" t="str">
        <f>IF(tech_base!$T182&gt;X$2025,"",fuel_costs!P$15*0.086/tech_proj!X306/(1-tech_proj!X586))</f>
        <v/>
      </c>
      <c r="Y2206" s="127" t="str">
        <f>IF(tech_base!$T182&gt;Y$2025,"",fuel_costs!Q$15*0.086/tech_proj!Y306/(1-tech_proj!Y586))</f>
        <v/>
      </c>
      <c r="Z2206" s="127" t="str">
        <f>IF(tech_base!$T182&gt;Z$2025,"",fuel_costs!R$15*0.086/tech_proj!Z306/(1-tech_proj!Z586))</f>
        <v/>
      </c>
      <c r="AA2206" s="127" t="str">
        <f>IF(tech_base!$T182&gt;AA$2025,"",fuel_costs!S$15*0.086/tech_proj!AA306/(1-tech_proj!AA586))</f>
        <v/>
      </c>
      <c r="AB2206" s="127" t="str">
        <f>IF(tech_base!$T182&gt;AB$2025,"",fuel_costs!T$15*0.086/tech_proj!AB306/(1-tech_proj!AB586))</f>
        <v/>
      </c>
      <c r="AC2206" s="127" t="str">
        <f>IF(tech_base!$T182&gt;AC$2025,"",fuel_costs!U$15*0.086/tech_proj!AC306/(1-tech_proj!AC586))</f>
        <v/>
      </c>
      <c r="AD2206" s="127" t="str">
        <f>IF(tech_base!$T182&gt;AD$2025,"",fuel_costs!V$15*0.086/tech_proj!AD306/(1-tech_proj!AD586))</f>
        <v/>
      </c>
      <c r="AE2206" s="127">
        <f>IF(tech_base!$T182&gt;AE$2025,"",fuel_costs!W$15*0.086/tech_proj!AE306/(1-tech_proj!AE586))</f>
        <v>174.2719495142851</v>
      </c>
      <c r="AF2206" s="127">
        <f>IF(tech_base!$T182&gt;AF$2025,"",fuel_costs!X$15*0.086/tech_proj!AF306/(1-tech_proj!AF586))</f>
        <v>175.26021357234694</v>
      </c>
      <c r="AG2206" s="127">
        <f>IF(tech_base!$T182&gt;AG$2025,"",fuel_costs!Y$15*0.086/tech_proj!AG306/(1-tech_proj!AG586))</f>
        <v>176.39007699377791</v>
      </c>
      <c r="AH2206" s="127">
        <f>IF(tech_base!$T182&gt;AH$2025,"",fuel_costs!Z$15*0.086/tech_proj!AH306/(1-tech_proj!AH586))</f>
        <v>177.66113744024102</v>
      </c>
      <c r="AI2206" s="127">
        <f>IF(tech_base!$T182&gt;AI$2025,"",fuel_costs!AA$15*0.086/tech_proj!AI306/(1-tech_proj!AI586))</f>
        <v>179.08695203132476</v>
      </c>
      <c r="AJ2206" s="127">
        <f>IF(tech_base!$T182&gt;AJ$2025,"",fuel_costs!AB$15*0.086/tech_proj!AJ306/(1-tech_proj!AJ586))</f>
        <v>180.69219634798483</v>
      </c>
      <c r="AK2206" s="127">
        <f>IF(tech_base!$T182&gt;AK$2025,"",fuel_costs!AC$15*0.086/tech_proj!AK306/(1-tech_proj!AK586))</f>
        <v>182.51461353847955</v>
      </c>
      <c r="AL2206" s="127">
        <f>IF(tech_base!$T182&gt;AL$2025,"",fuel_costs!AD$15*0.086/tech_proj!AL306/(1-tech_proj!AL586))</f>
        <v>184.48813644010914</v>
      </c>
      <c r="AM2206" s="127">
        <f>IF(tech_base!$T182&gt;AM$2025,"",fuel_costs!AE$15*0.086/tech_proj!AM306/(1-tech_proj!AM586))</f>
        <v>186.53158912405925</v>
      </c>
      <c r="AN2206" s="127">
        <f>IF(tech_base!$T182&gt;AN$2025,"",fuel_costs!AF$15*0.086/tech_proj!AN306/(1-tech_proj!AN586))</f>
        <v>188.61816250941277</v>
      </c>
      <c r="AO2206" s="127">
        <f>IF(tech_base!$T182&gt;AO$2025,"",fuel_costs!AG$15*0.086/tech_proj!AO306/(1-tech_proj!AO586))</f>
        <v>188.81336938490537</v>
      </c>
      <c r="AP2206" s="127">
        <f>IF(tech_base!$T182&gt;AP$2025,"",fuel_costs!AH$15*0.086/tech_proj!AP306/(1-tech_proj!AP586))</f>
        <v>189.51557443020849</v>
      </c>
      <c r="AQ2206" s="127">
        <f>IF(tech_base!$T182&gt;AQ$2025,"",fuel_costs!AI$15*0.086/tech_proj!AQ306/(1-tech_proj!AQ586))</f>
        <v>190.26290717048576</v>
      </c>
      <c r="AR2206" s="127">
        <f>IF(tech_base!$T182&gt;AR$2025,"",fuel_costs!AJ$15*0.086/tech_proj!AR306/(1-tech_proj!AR586))</f>
        <v>191.88312174486629</v>
      </c>
      <c r="AS2206" s="127">
        <f>IF(tech_base!$T182&gt;AS$2025,"",fuel_costs!AK$15*0.086/tech_proj!AS306/(1-tech_proj!AS586))</f>
        <v>192.71113327879925</v>
      </c>
      <c r="AT2206" s="127">
        <f>IF(tech_base!$T182&gt;AT$2025,"",fuel_costs!AL$15*0.086/tech_proj!AT306/(1-tech_proj!AT586))</f>
        <v>193.54195972155597</v>
      </c>
      <c r="AU2206" s="127">
        <f>IF(tech_base!$T182&gt;AU$2025,"",fuel_costs!AM$15*0.086/tech_proj!AU306/(1-tech_proj!AU586))</f>
        <v>194.34784393610997</v>
      </c>
      <c r="AV2206" s="127">
        <f>IF(tech_base!$T182&gt;AV$2025,"",fuel_costs!AN$15*0.086/tech_proj!AV306/(1-tech_proj!AV586))</f>
        <v>195.11482775772146</v>
      </c>
      <c r="AW2206" s="127">
        <f>IF(tech_base!$T182&gt;AW$2025,"",fuel_costs!AO$15*0.086/tech_proj!AW306/(1-tech_proj!AW586))</f>
        <v>195.82928251094262</v>
      </c>
      <c r="AX2206" s="128">
        <f>IF(tech_base!$T182&gt;AX$2025,"",fuel_costs!AP$15*0.086/tech_proj!AX306/(1-tech_proj!AX586))</f>
        <v>196.76732154607589</v>
      </c>
    </row>
    <row r="2207" spans="1:50" x14ac:dyDescent="0.25">
      <c r="A2207" s="356"/>
      <c r="B2207" s="358" t="s">
        <v>17</v>
      </c>
      <c r="C2207" s="353" t="s">
        <v>6</v>
      </c>
      <c r="D2207" s="3" t="s">
        <v>7</v>
      </c>
      <c r="E2207" s="77" t="str">
        <f>A2199&amp;"/"&amp;B2207&amp;"/"&amp;C2207&amp;"/"&amp;D2207</f>
        <v>Fuel oil fired power plants/Supercritical steam turbine/Electricity only/L</v>
      </c>
      <c r="F2207" s="77" t="str">
        <f>A2199</f>
        <v>Fuel oil fired power plants</v>
      </c>
      <c r="G2207" s="77" t="str">
        <f>B2207</f>
        <v>Supercritical steam turbine</v>
      </c>
      <c r="H2207" s="77" t="str">
        <f>C2207</f>
        <v>Electricity only</v>
      </c>
      <c r="I2207" s="77" t="str">
        <f t="shared" si="389"/>
        <v>L</v>
      </c>
      <c r="J2207" s="121">
        <f>IF(tech_base!$T183&gt;J$2025,"",fuel_costs!B$15*0.086/tech_proj!J307/(1-tech_proj!J587))</f>
        <v>80.761941710610472</v>
      </c>
      <c r="K2207" s="121">
        <f>IF(tech_base!$T183&gt;K$2025,"",fuel_costs!C$15*0.086/tech_proj!K307/(1-tech_proj!K587))</f>
        <v>102.37251222599657</v>
      </c>
      <c r="L2207" s="121">
        <f>IF(tech_base!$T183&gt;L$2025,"",fuel_costs!D$15*0.086/tech_proj!L307/(1-tech_proj!L587))</f>
        <v>108.8575202858206</v>
      </c>
      <c r="M2207" s="121">
        <f>IF(tech_base!$T183&gt;M$2025,"",fuel_costs!E$15*0.086/tech_proj!M307/(1-tech_proj!M587))</f>
        <v>103.1558655747175</v>
      </c>
      <c r="N2207" s="121">
        <f>IF(tech_base!$T183&gt;N$2025,"",fuel_costs!F$15*0.086/tech_proj!N307/(1-tech_proj!N587))</f>
        <v>94.150768921369291</v>
      </c>
      <c r="O2207" s="121">
        <f>IF(tech_base!$T183&gt;O$2025,"",fuel_costs!G$15*0.086/tech_proj!O307/(1-tech_proj!O587))</f>
        <v>63.980239617351593</v>
      </c>
      <c r="P2207" s="121">
        <f>IF(tech_base!$T183&gt;P$2025,"",fuel_costs!H$15*0.086/tech_proj!P307/(1-tech_proj!P587))</f>
        <v>56.820960645721527</v>
      </c>
      <c r="Q2207" s="121">
        <f>IF(tech_base!$T183&gt;Q$2025,"",fuel_costs!I$15*0.086/tech_proj!Q307/(1-tech_proj!Q587))</f>
        <v>65.454632446067365</v>
      </c>
      <c r="R2207" s="121">
        <f>IF(tech_base!$T183&gt;R$2025,"",fuel_costs!J$15*0.086/tech_proj!R307/(1-tech_proj!R587))</f>
        <v>73.163396558621329</v>
      </c>
      <c r="S2207" s="121">
        <f>IF(tech_base!$T183&gt;S$2025,"",fuel_costs!K$15*0.086/tech_proj!S307/(1-tech_proj!S587))</f>
        <v>79.92364099063461</v>
      </c>
      <c r="T2207" s="121">
        <f>IF(tech_base!$T183&gt;T$2025,"",fuel_costs!L$15*0.086/tech_proj!T307/(1-tech_proj!T587))</f>
        <v>86.441759875701081</v>
      </c>
      <c r="U2207" s="121">
        <f>IF(tech_base!$T183&gt;U$2025,"",fuel_costs!M$15*0.086/tech_proj!U307/(1-tech_proj!U587))</f>
        <v>92.648403229620257</v>
      </c>
      <c r="V2207" s="121">
        <f>IF(tech_base!$T183&gt;V$2025,"",fuel_costs!N$15*0.086/tech_proj!V307/(1-tech_proj!V587))</f>
        <v>96.809440558773673</v>
      </c>
      <c r="W2207" s="121">
        <f>IF(tech_base!$T183&gt;W$2025,"",fuel_costs!O$15*0.086/tech_proj!W307/(1-tech_proj!W587))</f>
        <v>101.90670659224597</v>
      </c>
      <c r="X2207" s="121">
        <f>IF(tech_base!$T183&gt;X$2025,"",fuel_costs!P$15*0.086/tech_proj!X307/(1-tech_proj!X587))</f>
        <v>106.32972649903125</v>
      </c>
      <c r="Y2207" s="121">
        <f>IF(tech_base!$T183&gt;Y$2025,"",fuel_costs!Q$15*0.086/tech_proj!Y307/(1-tech_proj!Y587))</f>
        <v>110.08257977119922</v>
      </c>
      <c r="Z2207" s="121">
        <f>IF(tech_base!$T183&gt;Z$2025,"",fuel_costs!R$15*0.086/tech_proj!Z307/(1-tech_proj!Z587))</f>
        <v>112.4893699283345</v>
      </c>
      <c r="AA2207" s="121">
        <f>IF(tech_base!$T183&gt;AA$2025,"",fuel_costs!S$15*0.086/tech_proj!AA307/(1-tech_proj!AA587))</f>
        <v>114.66978284559093</v>
      </c>
      <c r="AB2207" s="121">
        <f>IF(tech_base!$T183&gt;AB$2025,"",fuel_costs!T$15*0.086/tech_proj!AB307/(1-tech_proj!AB587))</f>
        <v>116.16485471672098</v>
      </c>
      <c r="AC2207" s="121">
        <f>IF(tech_base!$T183&gt;AC$2025,"",fuel_costs!U$15*0.086/tech_proj!AC307/(1-tech_proj!AC587))</f>
        <v>118.49129297606483</v>
      </c>
      <c r="AD2207" s="121">
        <f>IF(tech_base!$T183&gt;AD$2025,"",fuel_costs!V$15*0.086/tech_proj!AD307/(1-tech_proj!AD587))</f>
        <v>119.91593935578618</v>
      </c>
      <c r="AE2207" s="121">
        <f>IF(tech_base!$T183&gt;AE$2025,"",fuel_costs!W$15*0.086/tech_proj!AE307/(1-tech_proj!AE587))</f>
        <v>121.27522864920525</v>
      </c>
      <c r="AF2207" s="121">
        <f>IF(tech_base!$T183&gt;AF$2025,"",fuel_costs!X$15*0.086/tech_proj!AF307/(1-tech_proj!AF587))</f>
        <v>121.96295808553324</v>
      </c>
      <c r="AG2207" s="121">
        <f>IF(tech_base!$T183&gt;AG$2025,"",fuel_costs!Y$15*0.086/tech_proj!AG307/(1-tech_proj!AG587))</f>
        <v>122.74922601424075</v>
      </c>
      <c r="AH2207" s="121">
        <f>IF(tech_base!$T183&gt;AH$2025,"",fuel_costs!Z$15*0.086/tech_proj!AH307/(1-tech_proj!AH587))</f>
        <v>123.63375244951273</v>
      </c>
      <c r="AI2207" s="121">
        <f>IF(tech_base!$T183&gt;AI$2025,"",fuel_costs!AA$15*0.086/tech_proj!AI307/(1-tech_proj!AI587))</f>
        <v>124.62597174256013</v>
      </c>
      <c r="AJ2207" s="121">
        <f>IF(tech_base!$T183&gt;AJ$2025,"",fuel_costs!AB$15*0.086/tech_proj!AJ307/(1-tech_proj!AJ587))</f>
        <v>125.74305554223858</v>
      </c>
      <c r="AK2207" s="121">
        <f>IF(tech_base!$T183&gt;AK$2025,"",fuel_costs!AC$15*0.086/tech_proj!AK307/(1-tech_proj!AK587))</f>
        <v>127.0112691709234</v>
      </c>
      <c r="AL2207" s="121">
        <f>IF(tech_base!$T183&gt;AL$2025,"",fuel_costs!AD$15*0.086/tech_proj!AL307/(1-tech_proj!AL587))</f>
        <v>128.38463672552206</v>
      </c>
      <c r="AM2207" s="121">
        <f>IF(tech_base!$T183&gt;AM$2025,"",fuel_costs!AE$15*0.086/tech_proj!AM307/(1-tech_proj!AM587))</f>
        <v>129.80666816644288</v>
      </c>
      <c r="AN2207" s="121">
        <f>IF(tech_base!$T183&gt;AN$2025,"",fuel_costs!AF$15*0.086/tech_proj!AN307/(1-tech_proj!AN587))</f>
        <v>131.25152161279513</v>
      </c>
      <c r="AO2207" s="121">
        <f>IF(tech_base!$T183&gt;AO$2025,"",fuel_costs!AG$15*0.086/tech_proj!AO307/(1-tech_proj!AO587))</f>
        <v>131.38485868744965</v>
      </c>
      <c r="AP2207" s="121">
        <f>IF(tech_base!$T183&gt;AP$2025,"",fuel_costs!AH$15*0.086/tech_proj!AP307/(1-tech_proj!AP587))</f>
        <v>131.87011255767806</v>
      </c>
      <c r="AQ2207" s="121">
        <f>IF(tech_base!$T183&gt;AQ$2025,"",fuel_costs!AI$15*0.086/tech_proj!AQ307/(1-tech_proj!AQ587))</f>
        <v>132.38558295851317</v>
      </c>
      <c r="AR2207" s="121">
        <f>IF(tech_base!$T183&gt;AR$2025,"",fuel_costs!AJ$15*0.086/tech_proj!AR307/(1-tech_proj!AR587))</f>
        <v>133.50679430435497</v>
      </c>
      <c r="AS2207" s="121">
        <f>IF(tech_base!$T183&gt;AS$2025,"",fuel_costs!AK$15*0.086/tech_proj!AS307/(1-tech_proj!AS587))</f>
        <v>134.08672446027654</v>
      </c>
      <c r="AT2207" s="121">
        <f>IF(tech_base!$T183&gt;AT$2025,"",fuel_costs!AL$15*0.086/tech_proj!AT307/(1-tech_proj!AT587))</f>
        <v>134.66153887379861</v>
      </c>
      <c r="AU2207" s="121">
        <f>IF(tech_base!$T183&gt;AU$2025,"",fuel_costs!AM$15*0.086/tech_proj!AU307/(1-tech_proj!AU587))</f>
        <v>135.22023832396565</v>
      </c>
      <c r="AV2207" s="121">
        <f>IF(tech_base!$T183&gt;AV$2025,"",fuel_costs!AN$15*0.086/tech_proj!AV307/(1-tech_proj!AV587))</f>
        <v>135.75494181479954</v>
      </c>
      <c r="AW2207" s="121">
        <f>IF(tech_base!$T183&gt;AW$2025,"",fuel_costs!AO$15*0.086/tech_proj!AW307/(1-tech_proj!AW587))</f>
        <v>136.25920176041785</v>
      </c>
      <c r="AX2207" s="122">
        <f>IF(tech_base!$T183&gt;AX$2025,"",fuel_costs!AP$15*0.086/tech_proj!AX307/(1-tech_proj!AX587))</f>
        <v>136.92967788390973</v>
      </c>
    </row>
    <row r="2208" spans="1:50" x14ac:dyDescent="0.25">
      <c r="A2208" s="356"/>
      <c r="B2208" s="376"/>
      <c r="C2208" s="379"/>
      <c r="D2208" s="2" t="s">
        <v>8</v>
      </c>
      <c r="E2208" s="76" t="str">
        <f>A2199&amp;"/"&amp;B2207&amp;"/"&amp;C2207&amp;"/"&amp;D2208</f>
        <v>Fuel oil fired power plants/Supercritical steam turbine/Electricity only/M</v>
      </c>
      <c r="F2208" s="76" t="str">
        <f>A2199</f>
        <v>Fuel oil fired power plants</v>
      </c>
      <c r="G2208" s="76" t="str">
        <f>B2207</f>
        <v>Supercritical steam turbine</v>
      </c>
      <c r="H2208" s="76" t="str">
        <f>C2207</f>
        <v>Electricity only</v>
      </c>
      <c r="I2208" s="76" t="str">
        <f t="shared" si="389"/>
        <v>M</v>
      </c>
      <c r="J2208" s="119">
        <f>IF(tech_base!$T184&gt;J$2025,"",fuel_costs!B$15*0.086/tech_proj!J308/(1-tech_proj!J588))</f>
        <v>85.02851372765366</v>
      </c>
      <c r="K2208" s="119">
        <f>IF(tech_base!$T184&gt;K$2025,"",fuel_costs!C$15*0.086/tech_proj!K308/(1-tech_proj!K588))</f>
        <v>107.78074891182237</v>
      </c>
      <c r="L2208" s="119">
        <f>IF(tech_base!$T184&gt;L$2025,"",fuel_costs!D$15*0.086/tech_proj!L308/(1-tech_proj!L588))</f>
        <v>114.60835341413275</v>
      </c>
      <c r="M2208" s="119">
        <f>IF(tech_base!$T184&gt;M$2025,"",fuel_costs!E$15*0.086/tech_proj!M308/(1-tech_proj!M588))</f>
        <v>108.60548602876776</v>
      </c>
      <c r="N2208" s="119">
        <f>IF(tech_base!$T184&gt;N$2025,"",fuel_costs!F$15*0.086/tech_proj!N308/(1-tech_proj!N588))</f>
        <v>99.124659191397782</v>
      </c>
      <c r="O2208" s="119">
        <f>IF(tech_base!$T184&gt;O$2025,"",fuel_costs!G$15*0.086/tech_proj!O308/(1-tech_proj!O588))</f>
        <v>67.360251219515021</v>
      </c>
      <c r="P2208" s="119">
        <f>IF(tech_base!$T184&gt;P$2025,"",fuel_costs!H$15*0.086/tech_proj!P308/(1-tech_proj!P588))</f>
        <v>59.822754752421382</v>
      </c>
      <c r="Q2208" s="119">
        <f>IF(tech_base!$T184&gt;Q$2025,"",fuel_costs!I$15*0.086/tech_proj!Q308/(1-tech_proj!Q588))</f>
        <v>68.912534735996417</v>
      </c>
      <c r="R2208" s="119">
        <f>IF(tech_base!$T184&gt;R$2025,"",fuel_costs!J$15*0.086/tech_proj!R308/(1-tech_proj!R588))</f>
        <v>77.028545090430796</v>
      </c>
      <c r="S2208" s="119">
        <f>IF(tech_base!$T184&gt;S$2025,"",fuel_costs!K$15*0.086/tech_proj!S308/(1-tech_proj!S588))</f>
        <v>84.145926425186616</v>
      </c>
      <c r="T2208" s="119">
        <f>IF(tech_base!$T184&gt;T$2025,"",fuel_costs!L$15*0.086/tech_proj!T308/(1-tech_proj!T588))</f>
        <v>91.008390964279513</v>
      </c>
      <c r="U2208" s="119">
        <f>IF(tech_base!$T184&gt;U$2025,"",fuel_costs!M$15*0.086/tech_proj!U308/(1-tech_proj!U588))</f>
        <v>97.54292503371029</v>
      </c>
      <c r="V2208" s="119">
        <f>IF(tech_base!$T184&gt;V$2025,"",fuel_costs!N$15*0.086/tech_proj!V308/(1-tech_proj!V588))</f>
        <v>101.92378577293047</v>
      </c>
      <c r="W2208" s="119">
        <f>IF(tech_base!$T184&gt;W$2025,"",fuel_costs!O$15*0.086/tech_proj!W308/(1-tech_proj!W588))</f>
        <v>107.29033523571609</v>
      </c>
      <c r="X2208" s="119">
        <f>IF(tech_base!$T184&gt;X$2025,"",fuel_costs!P$15*0.086/tech_proj!X308/(1-tech_proj!X588))</f>
        <v>111.94701882821036</v>
      </c>
      <c r="Y2208" s="119">
        <f>IF(tech_base!$T184&gt;Y$2025,"",fuel_costs!Q$15*0.086/tech_proj!Y308/(1-tech_proj!Y588))</f>
        <v>115.8981315579391</v>
      </c>
      <c r="Z2208" s="119">
        <f>IF(tech_base!$T184&gt;Z$2025,"",fuel_costs!R$15*0.086/tech_proj!Z308/(1-tech_proj!Z588))</f>
        <v>118.43207001435778</v>
      </c>
      <c r="AA2208" s="119">
        <f>IF(tech_base!$T184&gt;AA$2025,"",fuel_costs!S$15*0.086/tech_proj!AA308/(1-tech_proj!AA588))</f>
        <v>120.72767194937828</v>
      </c>
      <c r="AB2208" s="119">
        <f>IF(tech_base!$T184&gt;AB$2025,"",fuel_costs!T$15*0.086/tech_proj!AB308/(1-tech_proj!AB588))</f>
        <v>122.30172696125165</v>
      </c>
      <c r="AC2208" s="119">
        <f>IF(tech_base!$T184&gt;AC$2025,"",fuel_costs!U$15*0.086/tech_proj!AC308/(1-tech_proj!AC588))</f>
        <v>124.751068610069</v>
      </c>
      <c r="AD2208" s="119">
        <f>IF(tech_base!$T184&gt;AD$2025,"",fuel_costs!V$15*0.086/tech_proj!AD308/(1-tech_proj!AD588))</f>
        <v>126.25097762277261</v>
      </c>
      <c r="AE2208" s="119">
        <f>IF(tech_base!$T184&gt;AE$2025,"",fuel_costs!W$15*0.086/tech_proj!AE308/(1-tech_proj!AE588))</f>
        <v>127.68207680014851</v>
      </c>
      <c r="AF2208" s="119">
        <f>IF(tech_base!$T184&gt;AF$2025,"",fuel_costs!X$15*0.086/tech_proj!AF308/(1-tech_proj!AF588))</f>
        <v>128.40613828974546</v>
      </c>
      <c r="AG2208" s="119">
        <f>IF(tech_base!$T184&gt;AG$2025,"",fuel_costs!Y$15*0.086/tech_proj!AG308/(1-tech_proj!AG588))</f>
        <v>129.23394396100184</v>
      </c>
      <c r="AH2208" s="119">
        <f>IF(tech_base!$T184&gt;AH$2025,"",fuel_costs!Z$15*0.086/tech_proj!AH308/(1-tech_proj!AH588))</f>
        <v>130.16519903673407</v>
      </c>
      <c r="AI2208" s="119">
        <f>IF(tech_base!$T184&gt;AI$2025,"",fuel_costs!AA$15*0.086/tech_proj!AI308/(1-tech_proj!AI588))</f>
        <v>131.20983627542293</v>
      </c>
      <c r="AJ2208" s="119">
        <f>IF(tech_base!$T184&gt;AJ$2025,"",fuel_costs!AB$15*0.086/tech_proj!AJ308/(1-tech_proj!AJ588))</f>
        <v>132.38593448683358</v>
      </c>
      <c r="AK2208" s="119">
        <f>IF(tech_base!$T184&gt;AK$2025,"",fuel_costs!AC$15*0.086/tech_proj!AK308/(1-tech_proj!AK588))</f>
        <v>133.7211465638614</v>
      </c>
      <c r="AL2208" s="119">
        <f>IF(tech_base!$T184&gt;AL$2025,"",fuel_costs!AD$15*0.086/tech_proj!AL308/(1-tech_proj!AL588))</f>
        <v>135.16706774277188</v>
      </c>
      <c r="AM2208" s="119">
        <f>IF(tech_base!$T184&gt;AM$2025,"",fuel_costs!AE$15*0.086/tech_proj!AM308/(1-tech_proj!AM588))</f>
        <v>136.66422367209256</v>
      </c>
      <c r="AN2208" s="119">
        <f>IF(tech_base!$T184&gt;AN$2025,"",fuel_costs!AF$15*0.086/tech_proj!AN308/(1-tech_proj!AN588))</f>
        <v>138.18540727039959</v>
      </c>
      <c r="AO2208" s="119">
        <f>IF(tech_base!$T184&gt;AO$2025,"",fuel_costs!AG$15*0.086/tech_proj!AO308/(1-tech_proj!AO588))</f>
        <v>138.32578840837783</v>
      </c>
      <c r="AP2208" s="119">
        <f>IF(tech_base!$T184&gt;AP$2025,"",fuel_costs!AH$15*0.086/tech_proj!AP308/(1-tech_proj!AP588))</f>
        <v>138.83667775170196</v>
      </c>
      <c r="AQ2208" s="119">
        <f>IF(tech_base!$T184&gt;AQ$2025,"",fuel_costs!AI$15*0.086/tech_proj!AQ308/(1-tech_proj!AQ588))</f>
        <v>139.37937993450311</v>
      </c>
      <c r="AR2208" s="119">
        <f>IF(tech_base!$T184&gt;AR$2025,"",fuel_costs!AJ$15*0.086/tech_proj!AR308/(1-tech_proj!AR588))</f>
        <v>140.55982374618259</v>
      </c>
      <c r="AS2208" s="119">
        <f>IF(tech_base!$T184&gt;AS$2025,"",fuel_costs!AK$15*0.086/tech_proj!AS308/(1-tech_proj!AS588))</f>
        <v>141.17039102799151</v>
      </c>
      <c r="AT2208" s="119">
        <f>IF(tech_base!$T184&gt;AT$2025,"",fuel_costs!AL$15*0.086/tech_proj!AT308/(1-tech_proj!AT588))</f>
        <v>141.77557230788383</v>
      </c>
      <c r="AU2208" s="119">
        <f>IF(tech_base!$T184&gt;AU$2025,"",fuel_costs!AM$15*0.086/tech_proj!AU308/(1-tech_proj!AU588))</f>
        <v>142.36378728714206</v>
      </c>
      <c r="AV2208" s="119">
        <f>IF(tech_base!$T184&gt;AV$2025,"",fuel_costs!AN$15*0.086/tech_proj!AV308/(1-tech_proj!AV588))</f>
        <v>142.92673862471025</v>
      </c>
      <c r="AW2208" s="119">
        <f>IF(tech_base!$T184&gt;AW$2025,"",fuel_costs!AO$15*0.086/tech_proj!AW308/(1-tech_proj!AW588))</f>
        <v>143.45763811523943</v>
      </c>
      <c r="AX2208" s="120">
        <f>IF(tech_base!$T184&gt;AX$2025,"",fuel_costs!AP$15*0.086/tech_proj!AX308/(1-tech_proj!AX588))</f>
        <v>144.163534816865</v>
      </c>
    </row>
    <row r="2209" spans="1:50" x14ac:dyDescent="0.25">
      <c r="A2209" s="356"/>
      <c r="B2209" s="376"/>
      <c r="C2209" s="361" t="s">
        <v>14</v>
      </c>
      <c r="D2209" s="58" t="s">
        <v>7</v>
      </c>
      <c r="E2209" s="78" t="str">
        <f>A2199&amp;"/"&amp;B2207&amp;"/"&amp;C2209&amp;"/"&amp;D2209</f>
        <v>Fuel oil fired power plants/Supercritical steam turbine/CHP/L</v>
      </c>
      <c r="F2209" s="78" t="str">
        <f>A2199</f>
        <v>Fuel oil fired power plants</v>
      </c>
      <c r="G2209" s="78" t="str">
        <f>B2207</f>
        <v>Supercritical steam turbine</v>
      </c>
      <c r="H2209" s="78" t="str">
        <f>C2209</f>
        <v>CHP</v>
      </c>
      <c r="I2209" s="78" t="str">
        <f t="shared" si="389"/>
        <v>L</v>
      </c>
      <c r="J2209" s="123">
        <f>IF(tech_base!$T185&gt;J$2025,"",fuel_costs!B$15*0.086/tech_proj!J309/(1-tech_proj!J589))</f>
        <v>89.318138522837472</v>
      </c>
      <c r="K2209" s="123">
        <f>IF(tech_base!$T185&gt;K$2025,"",fuel_costs!C$15*0.086/tech_proj!K309/(1-tech_proj!K589))</f>
        <v>113.2182069209851</v>
      </c>
      <c r="L2209" s="123">
        <f>IF(tech_base!$T185&gt;L$2025,"",fuel_costs!D$15*0.086/tech_proj!L309/(1-tech_proj!L589))</f>
        <v>120.39025895366898</v>
      </c>
      <c r="M2209" s="123">
        <f>IF(tech_base!$T185&gt;M$2025,"",fuel_costs!E$15*0.086/tech_proj!M309/(1-tech_proj!M589))</f>
        <v>114.0845514074029</v>
      </c>
      <c r="N2209" s="123">
        <f>IF(tech_base!$T185&gt;N$2025,"",fuel_costs!F$15*0.086/tech_proj!N309/(1-tech_proj!N589))</f>
        <v>104.12542396124316</v>
      </c>
      <c r="O2209" s="123">
        <f>IF(tech_base!$T185&gt;O$2025,"",fuel_costs!G$15*0.086/tech_proj!O309/(1-tech_proj!O589))</f>
        <v>70.758525412176439</v>
      </c>
      <c r="P2209" s="123">
        <f>IF(tech_base!$T185&gt;P$2025,"",fuel_costs!H$15*0.086/tech_proj!P309/(1-tech_proj!P589))</f>
        <v>62.840767897095787</v>
      </c>
      <c r="Q2209" s="123">
        <f>IF(tech_base!$T185&gt;Q$2025,"",fuel_costs!I$15*0.086/tech_proj!Q309/(1-tech_proj!Q589))</f>
        <v>72.389120468746398</v>
      </c>
      <c r="R2209" s="123">
        <f>IF(tech_base!$T185&gt;R$2025,"",fuel_costs!J$15*0.086/tech_proj!R309/(1-tech_proj!R589))</f>
        <v>80.914577463232135</v>
      </c>
      <c r="S2209" s="123">
        <f>IF(tech_base!$T185&gt;S$2025,"",fuel_costs!K$15*0.086/tech_proj!S309/(1-tech_proj!S589))</f>
        <v>88.391025352392717</v>
      </c>
      <c r="T2209" s="123">
        <f>IF(tech_base!$T185&gt;T$2025,"",fuel_costs!L$15*0.086/tech_proj!T309/(1-tech_proj!T589))</f>
        <v>95.599696084589851</v>
      </c>
      <c r="U2209" s="123">
        <f>IF(tech_base!$T185&gt;U$2025,"",fuel_costs!M$15*0.086/tech_proj!U309/(1-tech_proj!U589))</f>
        <v>102.46389250068927</v>
      </c>
      <c r="V2209" s="123">
        <f>IF(tech_base!$T185&gt;V$2025,"",fuel_costs!N$15*0.086/tech_proj!V309/(1-tech_proj!V589))</f>
        <v>107.06576438108259</v>
      </c>
      <c r="W2209" s="123">
        <f>IF(tech_base!$T185&gt;W$2025,"",fuel_costs!O$15*0.086/tech_proj!W309/(1-tech_proj!W589))</f>
        <v>112.70305224244684</v>
      </c>
      <c r="X2209" s="123">
        <f>IF(tech_base!$T185&gt;X$2025,"",fuel_costs!P$15*0.086/tech_proj!X309/(1-tech_proj!X589))</f>
        <v>117.59466203235378</v>
      </c>
      <c r="Y2209" s="123">
        <f>IF(tech_base!$T185&gt;Y$2025,"",fuel_costs!Q$15*0.086/tech_proj!Y309/(1-tech_proj!Y589))</f>
        <v>121.74510543824015</v>
      </c>
      <c r="Z2209" s="123">
        <f>IF(tech_base!$T185&gt;Z$2025,"",fuel_costs!R$15*0.086/tech_proj!Z309/(1-tech_proj!Z589))</f>
        <v>124.4068791907918</v>
      </c>
      <c r="AA2209" s="123">
        <f>IF(tech_base!$T185&gt;AA$2025,"",fuel_costs!S$15*0.086/tech_proj!AA309/(1-tech_proj!AA589))</f>
        <v>126.8182925230558</v>
      </c>
      <c r="AB2209" s="123">
        <f>IF(tech_base!$T185&gt;AB$2025,"",fuel_costs!T$15*0.086/tech_proj!AB309/(1-tech_proj!AB589))</f>
        <v>128.47175743064417</v>
      </c>
      <c r="AC2209" s="123">
        <f>IF(tech_base!$T185&gt;AC$2025,"",fuel_costs!U$15*0.086/tech_proj!AC309/(1-tech_proj!AC589))</f>
        <v>131.04466653004988</v>
      </c>
      <c r="AD2209" s="123">
        <f>IF(tech_base!$T185&gt;AD$2025,"",fuel_costs!V$15*0.086/tech_proj!AD309/(1-tech_proj!AD589))</f>
        <v>132.62024482837717</v>
      </c>
      <c r="AE2209" s="123">
        <f>IF(tech_base!$T185&gt;AE$2025,"",fuel_costs!W$15*0.086/tech_proj!AE309/(1-tech_proj!AE589))</f>
        <v>134.12354188675215</v>
      </c>
      <c r="AF2209" s="123">
        <f>IF(tech_base!$T185&gt;AF$2025,"",fuel_costs!X$15*0.086/tech_proj!AF309/(1-tech_proj!AF589))</f>
        <v>134.88413173587051</v>
      </c>
      <c r="AG2209" s="123">
        <f>IF(tech_base!$T185&gt;AG$2025,"",fuel_costs!Y$15*0.086/tech_proj!AG309/(1-tech_proj!AG589))</f>
        <v>135.75369958286464</v>
      </c>
      <c r="AH2209" s="123">
        <f>IF(tech_base!$T185&gt;AH$2025,"",fuel_costs!Z$15*0.086/tech_proj!AH309/(1-tech_proj!AH589))</f>
        <v>136.73193577926298</v>
      </c>
      <c r="AI2209" s="123">
        <f>IF(tech_base!$T185&gt;AI$2025,"",fuel_costs!AA$15*0.086/tech_proj!AI309/(1-tech_proj!AI589))</f>
        <v>137.82927418376792</v>
      </c>
      <c r="AJ2209" s="123">
        <f>IF(tech_base!$T185&gt;AJ$2025,"",fuel_costs!AB$15*0.086/tech_proj!AJ309/(1-tech_proj!AJ589))</f>
        <v>139.06470566854844</v>
      </c>
      <c r="AK2209" s="123">
        <f>IF(tech_base!$T185&gt;AK$2025,"",fuel_costs!AC$15*0.086/tech_proj!AK309/(1-tech_proj!AK589))</f>
        <v>140.46727819422284</v>
      </c>
      <c r="AL2209" s="123">
        <f>IF(tech_base!$T185&gt;AL$2025,"",fuel_costs!AD$15*0.086/tech_proj!AL309/(1-tech_proj!AL589))</f>
        <v>141.9861450130019</v>
      </c>
      <c r="AM2209" s="123">
        <f>IF(tech_base!$T185&gt;AM$2025,"",fuel_costs!AE$15*0.086/tech_proj!AM309/(1-tech_proj!AM589))</f>
        <v>143.55883133695278</v>
      </c>
      <c r="AN2209" s="123">
        <f>IF(tech_base!$T185&gt;AN$2025,"",fuel_costs!AF$15*0.086/tech_proj!AN309/(1-tech_proj!AN589))</f>
        <v>145.15675750778345</v>
      </c>
      <c r="AO2209" s="123">
        <f>IF(tech_base!$T185&gt;AO$2025,"",fuel_costs!AG$15*0.086/tech_proj!AO309/(1-tech_proj!AO589))</f>
        <v>145.30422076896778</v>
      </c>
      <c r="AP2209" s="123">
        <f>IF(tech_base!$T185&gt;AP$2025,"",fuel_costs!AH$15*0.086/tech_proj!AP309/(1-tech_proj!AP589))</f>
        <v>145.84088409679003</v>
      </c>
      <c r="AQ2209" s="123">
        <f>IF(tech_base!$T185&gt;AQ$2025,"",fuel_costs!AI$15*0.086/tech_proj!AQ309/(1-tech_proj!AQ589))</f>
        <v>146.4109651979997</v>
      </c>
      <c r="AR2209" s="123">
        <f>IF(tech_base!$T185&gt;AR$2025,"",fuel_costs!AJ$15*0.086/tech_proj!AR309/(1-tech_proj!AR589))</f>
        <v>147.65096151532595</v>
      </c>
      <c r="AS2209" s="123">
        <f>IF(tech_base!$T185&gt;AS$2025,"",fuel_costs!AK$15*0.086/tech_proj!AS309/(1-tech_proj!AS589))</f>
        <v>148.29233145892857</v>
      </c>
      <c r="AT2209" s="123">
        <f>IF(tech_base!$T185&gt;AT$2025,"",fuel_costs!AL$15*0.086/tech_proj!AT309/(1-tech_proj!AT589))</f>
        <v>148.9280436808543</v>
      </c>
      <c r="AU2209" s="123">
        <f>IF(tech_base!$T185&gt;AU$2025,"",fuel_costs!AM$15*0.086/tech_proj!AU309/(1-tech_proj!AU589))</f>
        <v>149.54593366499392</v>
      </c>
      <c r="AV2209" s="123">
        <f>IF(tech_base!$T185&gt;AV$2025,"",fuel_costs!AN$15*0.086/tech_proj!AV309/(1-tech_proj!AV589))</f>
        <v>150.13728547565341</v>
      </c>
      <c r="AW2209" s="123">
        <f>IF(tech_base!$T185&gt;AW$2025,"",fuel_costs!AO$15*0.086/tech_proj!AW309/(1-tech_proj!AW589))</f>
        <v>150.69496844761119</v>
      </c>
      <c r="AX2209" s="124">
        <f>IF(tech_base!$T185&gt;AX$2025,"",fuel_costs!AP$15*0.086/tech_proj!AX309/(1-tech_proj!AX589))</f>
        <v>151.43647710881811</v>
      </c>
    </row>
    <row r="2210" spans="1:50" x14ac:dyDescent="0.25">
      <c r="A2210" s="356"/>
      <c r="B2210" s="376"/>
      <c r="C2210" s="379"/>
      <c r="D2210" s="59" t="s">
        <v>8</v>
      </c>
      <c r="E2210" s="79" t="str">
        <f>A2199&amp;"/"&amp;B2207&amp;"/"&amp;C2209&amp;"/"&amp;D2210</f>
        <v>Fuel oil fired power plants/Supercritical steam turbine/CHP/M</v>
      </c>
      <c r="F2210" s="79" t="str">
        <f>A2199</f>
        <v>Fuel oil fired power plants</v>
      </c>
      <c r="G2210" s="79" t="str">
        <f>B2207</f>
        <v>Supercritical steam turbine</v>
      </c>
      <c r="H2210" s="79" t="str">
        <f>C2209</f>
        <v>CHP</v>
      </c>
      <c r="I2210" s="79" t="str">
        <f t="shared" si="389"/>
        <v>M</v>
      </c>
      <c r="J2210" s="125">
        <f>IF(tech_base!$T186&gt;J$2025,"",fuel_costs!B$15*0.086/tech_proj!J310/(1-tech_proj!J590))</f>
        <v>94.063575408743645</v>
      </c>
      <c r="K2210" s="125">
        <f>IF(tech_base!$T186&gt;K$2025,"",fuel_costs!C$15*0.086/tech_proj!K310/(1-tech_proj!K590))</f>
        <v>119.23344485769634</v>
      </c>
      <c r="L2210" s="125">
        <f>IF(tech_base!$T186&gt;L$2025,"",fuel_costs!D$15*0.086/tech_proj!L310/(1-tech_proj!L590))</f>
        <v>126.78654513910557</v>
      </c>
      <c r="M2210" s="125">
        <f>IF(tech_base!$T186&gt;M$2025,"",fuel_costs!E$15*0.086/tech_proj!M310/(1-tech_proj!M590))</f>
        <v>120.14581787930015</v>
      </c>
      <c r="N2210" s="125">
        <f>IF(tech_base!$T186&gt;N$2025,"",fuel_costs!F$15*0.086/tech_proj!N310/(1-tech_proj!N590))</f>
        <v>109.65756598522817</v>
      </c>
      <c r="O2210" s="125">
        <f>IF(tech_base!$T186&gt;O$2025,"",fuel_costs!G$15*0.086/tech_proj!O310/(1-tech_proj!O590))</f>
        <v>74.517897495344272</v>
      </c>
      <c r="P2210" s="125">
        <f>IF(tech_base!$T186&gt;P$2025,"",fuel_costs!H$15*0.086/tech_proj!P310/(1-tech_proj!P590))</f>
        <v>66.179472698263353</v>
      </c>
      <c r="Q2210" s="125">
        <f>IF(tech_base!$T186&gt;Q$2025,"",fuel_costs!I$15*0.086/tech_proj!Q310/(1-tech_proj!Q590))</f>
        <v>76.235125413451584</v>
      </c>
      <c r="R2210" s="125">
        <f>IF(tech_base!$T186&gt;R$2025,"",fuel_costs!J$15*0.086/tech_proj!R310/(1-tech_proj!R590))</f>
        <v>85.213536519609676</v>
      </c>
      <c r="S2210" s="125">
        <f>IF(tech_base!$T186&gt;S$2025,"",fuel_costs!K$15*0.086/tech_proj!S310/(1-tech_proj!S590))</f>
        <v>93.087205087296894</v>
      </c>
      <c r="T2210" s="125">
        <f>IF(tech_base!$T186&gt;T$2025,"",fuel_costs!L$15*0.086/tech_proj!T310/(1-tech_proj!T590))</f>
        <v>100.67886960504157</v>
      </c>
      <c r="U2210" s="125">
        <f>IF(tech_base!$T186&gt;U$2025,"",fuel_costs!M$15*0.086/tech_proj!U310/(1-tech_proj!U590))</f>
        <v>107.90775802439779</v>
      </c>
      <c r="V2210" s="125">
        <f>IF(tech_base!$T186&gt;V$2025,"",fuel_costs!N$15*0.086/tech_proj!V310/(1-tech_proj!V590))</f>
        <v>112.75412551258806</v>
      </c>
      <c r="W2210" s="125">
        <f>IF(tech_base!$T186&gt;W$2025,"",fuel_costs!O$15*0.086/tech_proj!W310/(1-tech_proj!W590))</f>
        <v>118.69092021764845</v>
      </c>
      <c r="X2210" s="125">
        <f>IF(tech_base!$T186&gt;X$2025,"",fuel_costs!P$15*0.086/tech_proj!X310/(1-tech_proj!X590))</f>
        <v>123.84241927430885</v>
      </c>
      <c r="Y2210" s="125">
        <f>IF(tech_base!$T186&gt;Y$2025,"",fuel_costs!Q$15*0.086/tech_proj!Y310/(1-tech_proj!Y590))</f>
        <v>128.21337407415047</v>
      </c>
      <c r="Z2210" s="125">
        <f>IF(tech_base!$T186&gt;Z$2025,"",fuel_costs!R$15*0.086/tech_proj!Z310/(1-tech_proj!Z590))</f>
        <v>131.01656679888623</v>
      </c>
      <c r="AA2210" s="125">
        <f>IF(tech_base!$T186&gt;AA$2025,"",fuel_costs!S$15*0.086/tech_proj!AA310/(1-tech_proj!AA590))</f>
        <v>133.55609755459119</v>
      </c>
      <c r="AB2210" s="125">
        <f>IF(tech_base!$T186&gt;AB$2025,"",fuel_costs!T$15*0.086/tech_proj!AB310/(1-tech_proj!AB590))</f>
        <v>135.29741038973145</v>
      </c>
      <c r="AC2210" s="125">
        <f>IF(tech_base!$T186&gt;AC$2025,"",fuel_costs!U$15*0.086/tech_proj!AC310/(1-tech_proj!AC590))</f>
        <v>138.00701711793158</v>
      </c>
      <c r="AD2210" s="125">
        <f>IF(tech_base!$T186&gt;AD$2025,"",fuel_costs!V$15*0.086/tech_proj!AD310/(1-tech_proj!AD590))</f>
        <v>139.6663052594908</v>
      </c>
      <c r="AE2210" s="125">
        <f>IF(tech_base!$T186&gt;AE$2025,"",fuel_costs!W$15*0.086/tech_proj!AE310/(1-tech_proj!AE590))</f>
        <v>141.2494718878016</v>
      </c>
      <c r="AF2210" s="125">
        <f>IF(tech_base!$T186&gt;AF$2025,"",fuel_costs!X$15*0.086/tech_proj!AF310/(1-tech_proj!AF590))</f>
        <v>142.05047157063058</v>
      </c>
      <c r="AG2210" s="125">
        <f>IF(tech_base!$T186&gt;AG$2025,"",fuel_costs!Y$15*0.086/tech_proj!AG310/(1-tech_proj!AG590))</f>
        <v>142.96623920866568</v>
      </c>
      <c r="AH2210" s="125">
        <f>IF(tech_base!$T186&gt;AH$2025,"",fuel_costs!Z$15*0.086/tech_proj!AH310/(1-tech_proj!AH590))</f>
        <v>143.99644870193623</v>
      </c>
      <c r="AI2210" s="125">
        <f>IF(tech_base!$T186&gt;AI$2025,"",fuel_costs!AA$15*0.086/tech_proj!AI310/(1-tech_proj!AI590))</f>
        <v>145.15208825587374</v>
      </c>
      <c r="AJ2210" s="125">
        <f>IF(tech_base!$T186&gt;AJ$2025,"",fuel_costs!AB$15*0.086/tech_proj!AJ310/(1-tech_proj!AJ590))</f>
        <v>146.45315772007081</v>
      </c>
      <c r="AK2210" s="125">
        <f>IF(tech_base!$T186&gt;AK$2025,"",fuel_costs!AC$15*0.086/tech_proj!AK310/(1-tech_proj!AK590))</f>
        <v>147.93024836164608</v>
      </c>
      <c r="AL2210" s="125">
        <f>IF(tech_base!$T186&gt;AL$2025,"",fuel_costs!AD$15*0.086/tech_proj!AL310/(1-tech_proj!AL590))</f>
        <v>149.52981196548819</v>
      </c>
      <c r="AM2210" s="125">
        <f>IF(tech_base!$T186&gt;AM$2025,"",fuel_costs!AE$15*0.086/tech_proj!AM310/(1-tech_proj!AM590))</f>
        <v>151.186054483232</v>
      </c>
      <c r="AN2210" s="125">
        <f>IF(tech_base!$T186&gt;AN$2025,"",fuel_costs!AF$15*0.086/tech_proj!AN310/(1-tech_proj!AN590))</f>
        <v>152.86887783079996</v>
      </c>
      <c r="AO2210" s="125">
        <f>IF(tech_base!$T186&gt;AO$2025,"",fuel_costs!AG$15*0.086/tech_proj!AO310/(1-tech_proj!AO590))</f>
        <v>153.02417575592278</v>
      </c>
      <c r="AP2210" s="125">
        <f>IF(tech_base!$T186&gt;AP$2025,"",fuel_costs!AH$15*0.086/tech_proj!AP310/(1-tech_proj!AP590))</f>
        <v>153.58935179116685</v>
      </c>
      <c r="AQ2210" s="125">
        <f>IF(tech_base!$T186&gt;AQ$2025,"",fuel_costs!AI$15*0.086/tech_proj!AQ310/(1-tech_proj!AQ590))</f>
        <v>154.18972107269889</v>
      </c>
      <c r="AR2210" s="125">
        <f>IF(tech_base!$T186&gt;AR$2025,"",fuel_costs!AJ$15*0.086/tech_proj!AR310/(1-tech_proj!AR590))</f>
        <v>155.49559789716446</v>
      </c>
      <c r="AS2210" s="125">
        <f>IF(tech_base!$T186&gt;AS$2025,"",fuel_costs!AK$15*0.086/tech_proj!AS310/(1-tech_proj!AS590))</f>
        <v>156.17104356870118</v>
      </c>
      <c r="AT2210" s="125">
        <f>IF(tech_base!$T186&gt;AT$2025,"",fuel_costs!AL$15*0.086/tech_proj!AT310/(1-tech_proj!AT590))</f>
        <v>156.84053092607692</v>
      </c>
      <c r="AU2210" s="125">
        <f>IF(tech_base!$T186&gt;AU$2025,"",fuel_costs!AM$15*0.086/tech_proj!AU310/(1-tech_proj!AU590))</f>
        <v>157.49124915731906</v>
      </c>
      <c r="AV2210" s="125">
        <f>IF(tech_base!$T186&gt;AV$2025,"",fuel_costs!AN$15*0.086/tech_proj!AV310/(1-tech_proj!AV590))</f>
        <v>158.1140192525651</v>
      </c>
      <c r="AW2210" s="125">
        <f>IF(tech_base!$T186&gt;AW$2025,"",fuel_costs!AO$15*0.086/tech_proj!AW310/(1-tech_proj!AW590))</f>
        <v>158.70133169720933</v>
      </c>
      <c r="AX2210" s="126">
        <f>IF(tech_base!$T186&gt;AX$2025,"",fuel_costs!AP$15*0.086/tech_proj!AX310/(1-tech_proj!AX590))</f>
        <v>159.48223641626413</v>
      </c>
    </row>
    <row r="2211" spans="1:50" x14ac:dyDescent="0.25">
      <c r="A2211" s="356"/>
      <c r="B2211" s="376"/>
      <c r="C2211" s="361" t="s">
        <v>15</v>
      </c>
      <c r="D2211" s="58" t="s">
        <v>7</v>
      </c>
      <c r="E2211" s="78" t="str">
        <f>A2199&amp;"/"&amp;B2207&amp;"/"&amp;C2211&amp;"/"&amp;D2211</f>
        <v>Fuel oil fired power plants/Supercritical steam turbine/Electricity only with CCS/L</v>
      </c>
      <c r="F2211" s="78" t="str">
        <f>A2199</f>
        <v>Fuel oil fired power plants</v>
      </c>
      <c r="G2211" s="78" t="str">
        <f>B2207</f>
        <v>Supercritical steam turbine</v>
      </c>
      <c r="H2211" s="78" t="str">
        <f>C2211</f>
        <v>Electricity only with CCS</v>
      </c>
      <c r="I2211" s="78" t="str">
        <f t="shared" si="389"/>
        <v>L</v>
      </c>
      <c r="J2211" s="123" t="str">
        <f>IF(tech_base!$T187&gt;J$2025,"",fuel_costs!B$15*0.086/tech_proj!J311/(1-tech_proj!J591))</f>
        <v/>
      </c>
      <c r="K2211" s="123" t="str">
        <f>IF(tech_base!$T187&gt;K$2025,"",fuel_costs!C$15*0.086/tech_proj!K311/(1-tech_proj!K591))</f>
        <v/>
      </c>
      <c r="L2211" s="123" t="str">
        <f>IF(tech_base!$T187&gt;L$2025,"",fuel_costs!D$15*0.086/tech_proj!L311/(1-tech_proj!L591))</f>
        <v/>
      </c>
      <c r="M2211" s="123" t="str">
        <f>IF(tech_base!$T187&gt;M$2025,"",fuel_costs!E$15*0.086/tech_proj!M311/(1-tech_proj!M591))</f>
        <v/>
      </c>
      <c r="N2211" s="123" t="str">
        <f>IF(tech_base!$T187&gt;N$2025,"",fuel_costs!F$15*0.086/tech_proj!N311/(1-tech_proj!N591))</f>
        <v/>
      </c>
      <c r="O2211" s="123" t="str">
        <f>IF(tech_base!$T187&gt;O$2025,"",fuel_costs!G$15*0.086/tech_proj!O311/(1-tech_proj!O591))</f>
        <v/>
      </c>
      <c r="P2211" s="123" t="str">
        <f>IF(tech_base!$T187&gt;P$2025,"",fuel_costs!H$15*0.086/tech_proj!P311/(1-tech_proj!P591))</f>
        <v/>
      </c>
      <c r="Q2211" s="123" t="str">
        <f>IF(tech_base!$T187&gt;Q$2025,"",fuel_costs!I$15*0.086/tech_proj!Q311/(1-tech_proj!Q591))</f>
        <v/>
      </c>
      <c r="R2211" s="123" t="str">
        <f>IF(tech_base!$T187&gt;R$2025,"",fuel_costs!J$15*0.086/tech_proj!R311/(1-tech_proj!R591))</f>
        <v/>
      </c>
      <c r="S2211" s="123" t="str">
        <f>IF(tech_base!$T187&gt;S$2025,"",fuel_costs!K$15*0.086/tech_proj!S311/(1-tech_proj!S591))</f>
        <v/>
      </c>
      <c r="T2211" s="123" t="str">
        <f>IF(tech_base!$T187&gt;T$2025,"",fuel_costs!L$15*0.086/tech_proj!T311/(1-tech_proj!T591))</f>
        <v/>
      </c>
      <c r="U2211" s="123" t="str">
        <f>IF(tech_base!$T187&gt;U$2025,"",fuel_costs!M$15*0.086/tech_proj!U311/(1-tech_proj!U591))</f>
        <v/>
      </c>
      <c r="V2211" s="123" t="str">
        <f>IF(tech_base!$T187&gt;V$2025,"",fuel_costs!N$15*0.086/tech_proj!V311/(1-tech_proj!V591))</f>
        <v/>
      </c>
      <c r="W2211" s="123" t="str">
        <f>IF(tech_base!$T187&gt;W$2025,"",fuel_costs!O$15*0.086/tech_proj!W311/(1-tech_proj!W591))</f>
        <v/>
      </c>
      <c r="X2211" s="123" t="str">
        <f>IF(tech_base!$T187&gt;X$2025,"",fuel_costs!P$15*0.086/tech_proj!X311/(1-tech_proj!X591))</f>
        <v/>
      </c>
      <c r="Y2211" s="123" t="str">
        <f>IF(tech_base!$T187&gt;Y$2025,"",fuel_costs!Q$15*0.086/tech_proj!Y311/(1-tech_proj!Y591))</f>
        <v/>
      </c>
      <c r="Z2211" s="123" t="str">
        <f>IF(tech_base!$T187&gt;Z$2025,"",fuel_costs!R$15*0.086/tech_proj!Z311/(1-tech_proj!Z591))</f>
        <v/>
      </c>
      <c r="AA2211" s="123" t="str">
        <f>IF(tech_base!$T187&gt;AA$2025,"",fuel_costs!S$15*0.086/tech_proj!AA311/(1-tech_proj!AA591))</f>
        <v/>
      </c>
      <c r="AB2211" s="123" t="str">
        <f>IF(tech_base!$T187&gt;AB$2025,"",fuel_costs!T$15*0.086/tech_proj!AB311/(1-tech_proj!AB591))</f>
        <v/>
      </c>
      <c r="AC2211" s="123" t="str">
        <f>IF(tech_base!$T187&gt;AC$2025,"",fuel_costs!U$15*0.086/tech_proj!AC311/(1-tech_proj!AC591))</f>
        <v/>
      </c>
      <c r="AD2211" s="123" t="str">
        <f>IF(tech_base!$T187&gt;AD$2025,"",fuel_costs!V$15*0.086/tech_proj!AD311/(1-tech_proj!AD591))</f>
        <v/>
      </c>
      <c r="AE2211" s="123">
        <f>IF(tech_base!$T187&gt;AE$2025,"",fuel_costs!W$15*0.086/tech_proj!AE311/(1-tech_proj!AE591))</f>
        <v>150.36981470478511</v>
      </c>
      <c r="AF2211" s="123">
        <f>IF(tech_base!$T187&gt;AF$2025,"",fuel_costs!X$15*0.086/tech_proj!AF311/(1-tech_proj!AF591))</f>
        <v>151.22253416826928</v>
      </c>
      <c r="AG2211" s="123">
        <f>IF(tech_base!$T187&gt;AG$2025,"",fuel_costs!Y$15*0.086/tech_proj!AG311/(1-tech_proj!AG591))</f>
        <v>152.19743204366353</v>
      </c>
      <c r="AH2211" s="123">
        <f>IF(tech_base!$T187&gt;AH$2025,"",fuel_costs!Z$15*0.086/tech_proj!AH311/(1-tech_proj!AH591))</f>
        <v>153.2941611750351</v>
      </c>
      <c r="AI2211" s="123">
        <f>IF(tech_base!$T187&gt;AI$2025,"",fuel_costs!AA$15*0.086/tech_proj!AI311/(1-tech_proj!AI591))</f>
        <v>154.52441926569281</v>
      </c>
      <c r="AJ2211" s="123">
        <f>IF(tech_base!$T187&gt;AJ$2025,"",fuel_costs!AB$15*0.086/tech_proj!AJ311/(1-tech_proj!AJ591))</f>
        <v>155.90949753632009</v>
      </c>
      <c r="AK2211" s="123">
        <f>IF(tech_base!$T187&gt;AK$2025,"",fuel_costs!AC$15*0.086/tech_proj!AK311/(1-tech_proj!AK591))</f>
        <v>157.48196250278932</v>
      </c>
      <c r="AL2211" s="123">
        <f>IF(tech_base!$T187&gt;AL$2025,"",fuel_costs!AD$15*0.086/tech_proj!AL311/(1-tech_proj!AL591))</f>
        <v>159.18480839313935</v>
      </c>
      <c r="AM2211" s="123">
        <f>IF(tech_base!$T187&gt;AM$2025,"",fuel_costs!AE$15*0.086/tech_proj!AM311/(1-tech_proj!AM591))</f>
        <v>160.94799290045668</v>
      </c>
      <c r="AN2211" s="123">
        <f>IF(tech_base!$T187&gt;AN$2025,"",fuel_costs!AF$15*0.086/tech_proj!AN311/(1-tech_proj!AN591))</f>
        <v>162.74838392263791</v>
      </c>
      <c r="AO2211" s="123">
        <f>IF(tech_base!$T187&gt;AO$2025,"",fuel_costs!AG$15*0.086/tech_proj!AO311/(1-tech_proj!AO591))</f>
        <v>162.91681734969683</v>
      </c>
      <c r="AP2211" s="123">
        <f>IF(tech_base!$T187&gt;AP$2025,"",fuel_costs!AH$15*0.086/tech_proj!AP311/(1-tech_proj!AP591))</f>
        <v>163.52271200366312</v>
      </c>
      <c r="AQ2211" s="123">
        <f>IF(tech_base!$T187&gt;AQ$2025,"",fuel_costs!AI$15*0.086/tech_proj!AQ311/(1-tech_proj!AQ591))</f>
        <v>164.16754489840903</v>
      </c>
      <c r="AR2211" s="123">
        <f>IF(tech_base!$T187&gt;AR$2025,"",fuel_costs!AJ$15*0.086/tech_proj!AR311/(1-tech_proj!AR591))</f>
        <v>165.56554019260653</v>
      </c>
      <c r="AS2211" s="123">
        <f>IF(tech_base!$T187&gt;AS$2025,"",fuel_costs!AK$15*0.086/tech_proj!AS311/(1-tech_proj!AS591))</f>
        <v>166.27998644329662</v>
      </c>
      <c r="AT2211" s="123">
        <f>IF(tech_base!$T187&gt;AT$2025,"",fuel_costs!AL$15*0.086/tech_proj!AT311/(1-tech_proj!AT591))</f>
        <v>166.99686152616195</v>
      </c>
      <c r="AU2211" s="123">
        <f>IF(tech_base!$T187&gt;AU$2025,"",fuel_costs!AM$15*0.086/tech_proj!AU311/(1-tech_proj!AU591))</f>
        <v>167.69221531289435</v>
      </c>
      <c r="AV2211" s="123">
        <f>IF(tech_base!$T187&gt;AV$2025,"",fuel_costs!AN$15*0.086/tech_proj!AV311/(1-tech_proj!AV591))</f>
        <v>168.35400406007213</v>
      </c>
      <c r="AW2211" s="123">
        <f>IF(tech_base!$T187&gt;AW$2025,"",fuel_costs!AO$15*0.086/tech_proj!AW311/(1-tech_proj!AW591))</f>
        <v>168.97046832271596</v>
      </c>
      <c r="AX2211" s="124">
        <f>IF(tech_base!$T187&gt;AX$2025,"",fuel_costs!AP$15*0.086/tech_proj!AX311/(1-tech_proj!AX591))</f>
        <v>169.77985133754976</v>
      </c>
    </row>
    <row r="2212" spans="1:50" x14ac:dyDescent="0.25">
      <c r="A2212" s="356"/>
      <c r="B2212" s="376"/>
      <c r="C2212" s="379"/>
      <c r="D2212" s="59" t="s">
        <v>8</v>
      </c>
      <c r="E2212" s="79" t="str">
        <f>A2199&amp;"/"&amp;B2207&amp;"/"&amp;C2211&amp;"/"&amp;D2212</f>
        <v>Fuel oil fired power plants/Supercritical steam turbine/Electricity only with CCS/M</v>
      </c>
      <c r="F2212" s="79" t="str">
        <f>A2199</f>
        <v>Fuel oil fired power plants</v>
      </c>
      <c r="G2212" s="79" t="str">
        <f>B2207</f>
        <v>Supercritical steam turbine</v>
      </c>
      <c r="H2212" s="79" t="str">
        <f>C2211</f>
        <v>Electricity only with CCS</v>
      </c>
      <c r="I2212" s="79" t="str">
        <f t="shared" si="389"/>
        <v>M</v>
      </c>
      <c r="J2212" s="125" t="str">
        <f>IF(tech_base!$T188&gt;J$2025,"",fuel_costs!B$15*0.086/tech_proj!J312/(1-tech_proj!J592))</f>
        <v/>
      </c>
      <c r="K2212" s="125" t="str">
        <f>IF(tech_base!$T188&gt;K$2025,"",fuel_costs!C$15*0.086/tech_proj!K312/(1-tech_proj!K592))</f>
        <v/>
      </c>
      <c r="L2212" s="125" t="str">
        <f>IF(tech_base!$T188&gt;L$2025,"",fuel_costs!D$15*0.086/tech_proj!L312/(1-tech_proj!L592))</f>
        <v/>
      </c>
      <c r="M2212" s="125" t="str">
        <f>IF(tech_base!$T188&gt;M$2025,"",fuel_costs!E$15*0.086/tech_proj!M312/(1-tech_proj!M592))</f>
        <v/>
      </c>
      <c r="N2212" s="125" t="str">
        <f>IF(tech_base!$T188&gt;N$2025,"",fuel_costs!F$15*0.086/tech_proj!N312/(1-tech_proj!N592))</f>
        <v/>
      </c>
      <c r="O2212" s="125" t="str">
        <f>IF(tech_base!$T188&gt;O$2025,"",fuel_costs!G$15*0.086/tech_proj!O312/(1-tech_proj!O592))</f>
        <v/>
      </c>
      <c r="P2212" s="125" t="str">
        <f>IF(tech_base!$T188&gt;P$2025,"",fuel_costs!H$15*0.086/tech_proj!P312/(1-tech_proj!P592))</f>
        <v/>
      </c>
      <c r="Q2212" s="125" t="str">
        <f>IF(tech_base!$T188&gt;Q$2025,"",fuel_costs!I$15*0.086/tech_proj!Q312/(1-tech_proj!Q592))</f>
        <v/>
      </c>
      <c r="R2212" s="125" t="str">
        <f>IF(tech_base!$T188&gt;R$2025,"",fuel_costs!J$15*0.086/tech_proj!R312/(1-tech_proj!R592))</f>
        <v/>
      </c>
      <c r="S2212" s="125" t="str">
        <f>IF(tech_base!$T188&gt;S$2025,"",fuel_costs!K$15*0.086/tech_proj!S312/(1-tech_proj!S592))</f>
        <v/>
      </c>
      <c r="T2212" s="125" t="str">
        <f>IF(tech_base!$T188&gt;T$2025,"",fuel_costs!L$15*0.086/tech_proj!T312/(1-tech_proj!T592))</f>
        <v/>
      </c>
      <c r="U2212" s="125" t="str">
        <f>IF(tech_base!$T188&gt;U$2025,"",fuel_costs!M$15*0.086/tech_proj!U312/(1-tech_proj!U592))</f>
        <v/>
      </c>
      <c r="V2212" s="125" t="str">
        <f>IF(tech_base!$T188&gt;V$2025,"",fuel_costs!N$15*0.086/tech_proj!V312/(1-tech_proj!V592))</f>
        <v/>
      </c>
      <c r="W2212" s="125" t="str">
        <f>IF(tech_base!$T188&gt;W$2025,"",fuel_costs!O$15*0.086/tech_proj!W312/(1-tech_proj!W592))</f>
        <v/>
      </c>
      <c r="X2212" s="125" t="str">
        <f>IF(tech_base!$T188&gt;X$2025,"",fuel_costs!P$15*0.086/tech_proj!X312/(1-tech_proj!X592))</f>
        <v/>
      </c>
      <c r="Y2212" s="125" t="str">
        <f>IF(tech_base!$T188&gt;Y$2025,"",fuel_costs!Q$15*0.086/tech_proj!Y312/(1-tech_proj!Y592))</f>
        <v/>
      </c>
      <c r="Z2212" s="125" t="str">
        <f>IF(tech_base!$T188&gt;Z$2025,"",fuel_costs!R$15*0.086/tech_proj!Z312/(1-tech_proj!Z592))</f>
        <v/>
      </c>
      <c r="AA2212" s="125" t="str">
        <f>IF(tech_base!$T188&gt;AA$2025,"",fuel_costs!S$15*0.086/tech_proj!AA312/(1-tech_proj!AA592))</f>
        <v/>
      </c>
      <c r="AB2212" s="125" t="str">
        <f>IF(tech_base!$T188&gt;AB$2025,"",fuel_costs!T$15*0.086/tech_proj!AB312/(1-tech_proj!AB592))</f>
        <v/>
      </c>
      <c r="AC2212" s="125" t="str">
        <f>IF(tech_base!$T188&gt;AC$2025,"",fuel_costs!U$15*0.086/tech_proj!AC312/(1-tech_proj!AC592))</f>
        <v/>
      </c>
      <c r="AD2212" s="125" t="str">
        <f>IF(tech_base!$T188&gt;AD$2025,"",fuel_costs!V$15*0.086/tech_proj!AD312/(1-tech_proj!AD592))</f>
        <v/>
      </c>
      <c r="AE2212" s="125">
        <f>IF(tech_base!$T188&gt;AE$2025,"",fuel_costs!W$15*0.086/tech_proj!AE312/(1-tech_proj!AE592))</f>
        <v>159.84094461599341</v>
      </c>
      <c r="AF2212" s="125">
        <f>IF(tech_base!$T188&gt;AF$2025,"",fuel_costs!X$15*0.086/tech_proj!AF312/(1-tech_proj!AF592))</f>
        <v>160.74737310899476</v>
      </c>
      <c r="AG2212" s="125">
        <f>IF(tech_base!$T188&gt;AG$2025,"",fuel_costs!Y$15*0.086/tech_proj!AG312/(1-tech_proj!AG592))</f>
        <v>161.78367549197685</v>
      </c>
      <c r="AH2212" s="125">
        <f>IF(tech_base!$T188&gt;AH$2025,"",fuel_costs!Z$15*0.086/tech_proj!AH312/(1-tech_proj!AH592))</f>
        <v>162.94948274318929</v>
      </c>
      <c r="AI2212" s="125">
        <f>IF(tech_base!$T188&gt;AI$2025,"",fuel_costs!AA$15*0.086/tech_proj!AI312/(1-tech_proj!AI592))</f>
        <v>164.25722935256209</v>
      </c>
      <c r="AJ2212" s="125">
        <f>IF(tech_base!$T188&gt;AJ$2025,"",fuel_costs!AB$15*0.086/tech_proj!AJ312/(1-tech_proj!AJ592))</f>
        <v>165.7295475806506</v>
      </c>
      <c r="AK2212" s="125">
        <f>IF(tech_base!$T188&gt;AK$2025,"",fuel_costs!AC$15*0.086/tech_proj!AK312/(1-tech_proj!AK592))</f>
        <v>167.40105516420019</v>
      </c>
      <c r="AL2212" s="125">
        <f>IF(tech_base!$T188&gt;AL$2025,"",fuel_costs!AD$15*0.086/tech_proj!AL312/(1-tech_proj!AL592))</f>
        <v>169.21115578967073</v>
      </c>
      <c r="AM2212" s="125">
        <f>IF(tech_base!$T188&gt;AM$2025,"",fuel_costs!AE$15*0.086/tech_proj!AM312/(1-tech_proj!AM592))</f>
        <v>171.08539549486144</v>
      </c>
      <c r="AN2212" s="125">
        <f>IF(tech_base!$T188&gt;AN$2025,"",fuel_costs!AF$15*0.086/tech_proj!AN312/(1-tech_proj!AN592))</f>
        <v>172.99918518881421</v>
      </c>
      <c r="AO2212" s="125">
        <f>IF(tech_base!$T188&gt;AO$2025,"",fuel_costs!AG$15*0.086/tech_proj!AO312/(1-tech_proj!AO592))</f>
        <v>173.17822749287544</v>
      </c>
      <c r="AP2212" s="125">
        <f>IF(tech_base!$T188&gt;AP$2025,"",fuel_costs!AH$15*0.086/tech_proj!AP312/(1-tech_proj!AP592))</f>
        <v>173.82228477270843</v>
      </c>
      <c r="AQ2212" s="125">
        <f>IF(tech_base!$T188&gt;AQ$2025,"",fuel_costs!AI$15*0.086/tech_proj!AQ312/(1-tech_proj!AQ592))</f>
        <v>174.50773284097937</v>
      </c>
      <c r="AR2212" s="125">
        <f>IF(tech_base!$T188&gt;AR$2025,"",fuel_costs!AJ$15*0.086/tech_proj!AR312/(1-tech_proj!AR592))</f>
        <v>175.99378167885249</v>
      </c>
      <c r="AS2212" s="125">
        <f>IF(tech_base!$T188&gt;AS$2025,"",fuel_costs!AK$15*0.086/tech_proj!AS312/(1-tech_proj!AS592))</f>
        <v>176.75322774062928</v>
      </c>
      <c r="AT2212" s="125">
        <f>IF(tech_base!$T188&gt;AT$2025,"",fuel_costs!AL$15*0.086/tech_proj!AT312/(1-tech_proj!AT592))</f>
        <v>177.51525561598328</v>
      </c>
      <c r="AU2212" s="125">
        <f>IF(tech_base!$T188&gt;AU$2025,"",fuel_costs!AM$15*0.086/tech_proj!AU312/(1-tech_proj!AU592))</f>
        <v>178.25440666389693</v>
      </c>
      <c r="AV2212" s="125">
        <f>IF(tech_base!$T188&gt;AV$2025,"",fuel_costs!AN$15*0.086/tech_proj!AV312/(1-tech_proj!AV592))</f>
        <v>178.95787855879018</v>
      </c>
      <c r="AW2212" s="125">
        <f>IF(tech_base!$T188&gt;AW$2025,"",fuel_costs!AO$15*0.086/tech_proj!AW312/(1-tech_proj!AW592))</f>
        <v>179.61317118022782</v>
      </c>
      <c r="AX2212" s="126">
        <f>IF(tech_base!$T188&gt;AX$2025,"",fuel_costs!AP$15*0.086/tech_proj!AX312/(1-tech_proj!AX592))</f>
        <v>180.47353365324926</v>
      </c>
    </row>
    <row r="2213" spans="1:50" x14ac:dyDescent="0.25">
      <c r="A2213" s="356"/>
      <c r="B2213" s="376"/>
      <c r="C2213" s="361" t="s">
        <v>16</v>
      </c>
      <c r="D2213" s="2" t="s">
        <v>7</v>
      </c>
      <c r="E2213" s="76" t="str">
        <f>A2199&amp;"/"&amp;B2207&amp;"/"&amp;C2213&amp;"/"&amp;D2213</f>
        <v>Fuel oil fired power plants/Supercritical steam turbine/CHP with CCS/L</v>
      </c>
      <c r="F2213" s="76" t="str">
        <f>A2199</f>
        <v>Fuel oil fired power plants</v>
      </c>
      <c r="G2213" s="76" t="str">
        <f>B2207</f>
        <v>Supercritical steam turbine</v>
      </c>
      <c r="H2213" s="76" t="str">
        <f>C2213</f>
        <v>CHP with CCS</v>
      </c>
      <c r="I2213" s="76" t="str">
        <f t="shared" si="389"/>
        <v>L</v>
      </c>
      <c r="J2213" s="119" t="str">
        <f>IF(tech_base!$T189&gt;J$2025,"",fuel_costs!B$15*0.086/tech_proj!J313/(1-tech_proj!J593))</f>
        <v/>
      </c>
      <c r="K2213" s="119" t="str">
        <f>IF(tech_base!$T189&gt;K$2025,"",fuel_costs!C$15*0.086/tech_proj!K313/(1-tech_proj!K593))</f>
        <v/>
      </c>
      <c r="L2213" s="119" t="str">
        <f>IF(tech_base!$T189&gt;L$2025,"",fuel_costs!D$15*0.086/tech_proj!L313/(1-tech_proj!L593))</f>
        <v/>
      </c>
      <c r="M2213" s="119" t="str">
        <f>IF(tech_base!$T189&gt;M$2025,"",fuel_costs!E$15*0.086/tech_proj!M313/(1-tech_proj!M593))</f>
        <v/>
      </c>
      <c r="N2213" s="119" t="str">
        <f>IF(tech_base!$T189&gt;N$2025,"",fuel_costs!F$15*0.086/tech_proj!N313/(1-tech_proj!N593))</f>
        <v/>
      </c>
      <c r="O2213" s="119" t="str">
        <f>IF(tech_base!$T189&gt;O$2025,"",fuel_costs!G$15*0.086/tech_proj!O313/(1-tech_proj!O593))</f>
        <v/>
      </c>
      <c r="P2213" s="119" t="str">
        <f>IF(tech_base!$T189&gt;P$2025,"",fuel_costs!H$15*0.086/tech_proj!P313/(1-tech_proj!P593))</f>
        <v/>
      </c>
      <c r="Q2213" s="119" t="str">
        <f>IF(tech_base!$T189&gt;Q$2025,"",fuel_costs!I$15*0.086/tech_proj!Q313/(1-tech_proj!Q593))</f>
        <v/>
      </c>
      <c r="R2213" s="119" t="str">
        <f>IF(tech_base!$T189&gt;R$2025,"",fuel_costs!J$15*0.086/tech_proj!R313/(1-tech_proj!R593))</f>
        <v/>
      </c>
      <c r="S2213" s="119" t="str">
        <f>IF(tech_base!$T189&gt;S$2025,"",fuel_costs!K$15*0.086/tech_proj!S313/(1-tech_proj!S593))</f>
        <v/>
      </c>
      <c r="T2213" s="119" t="str">
        <f>IF(tech_base!$T189&gt;T$2025,"",fuel_costs!L$15*0.086/tech_proj!T313/(1-tech_proj!T593))</f>
        <v/>
      </c>
      <c r="U2213" s="119" t="str">
        <f>IF(tech_base!$T189&gt;U$2025,"",fuel_costs!M$15*0.086/tech_proj!U313/(1-tech_proj!U593))</f>
        <v/>
      </c>
      <c r="V2213" s="119" t="str">
        <f>IF(tech_base!$T189&gt;V$2025,"",fuel_costs!N$15*0.086/tech_proj!V313/(1-tech_proj!V593))</f>
        <v/>
      </c>
      <c r="W2213" s="119" t="str">
        <f>IF(tech_base!$T189&gt;W$2025,"",fuel_costs!O$15*0.086/tech_proj!W313/(1-tech_proj!W593))</f>
        <v/>
      </c>
      <c r="X2213" s="119" t="str">
        <f>IF(tech_base!$T189&gt;X$2025,"",fuel_costs!P$15*0.086/tech_proj!X313/(1-tech_proj!X593))</f>
        <v/>
      </c>
      <c r="Y2213" s="119" t="str">
        <f>IF(tech_base!$T189&gt;Y$2025,"",fuel_costs!Q$15*0.086/tech_proj!Y313/(1-tech_proj!Y593))</f>
        <v/>
      </c>
      <c r="Z2213" s="119" t="str">
        <f>IF(tech_base!$T189&gt;Z$2025,"",fuel_costs!R$15*0.086/tech_proj!Z313/(1-tech_proj!Z593))</f>
        <v/>
      </c>
      <c r="AA2213" s="119" t="str">
        <f>IF(tech_base!$T189&gt;AA$2025,"",fuel_costs!S$15*0.086/tech_proj!AA313/(1-tech_proj!AA593))</f>
        <v/>
      </c>
      <c r="AB2213" s="119" t="str">
        <f>IF(tech_base!$T189&gt;AB$2025,"",fuel_costs!T$15*0.086/tech_proj!AB313/(1-tech_proj!AB593))</f>
        <v/>
      </c>
      <c r="AC2213" s="119" t="str">
        <f>IF(tech_base!$T189&gt;AC$2025,"",fuel_costs!U$15*0.086/tech_proj!AC313/(1-tech_proj!AC593))</f>
        <v/>
      </c>
      <c r="AD2213" s="119" t="str">
        <f>IF(tech_base!$T189&gt;AD$2025,"",fuel_costs!V$15*0.086/tech_proj!AD313/(1-tech_proj!AD593))</f>
        <v/>
      </c>
      <c r="AE2213" s="119">
        <f>IF(tech_base!$T189&gt;AE$2025,"",fuel_costs!W$15*0.086/tech_proj!AE313/(1-tech_proj!AE593))</f>
        <v>169.54927105508261</v>
      </c>
      <c r="AF2213" s="119">
        <f>IF(tech_base!$T189&gt;AF$2025,"",fuel_costs!X$15*0.086/tech_proj!AF313/(1-tech_proj!AF593))</f>
        <v>170.51075367532835</v>
      </c>
      <c r="AG2213" s="119">
        <f>IF(tech_base!$T189&gt;AG$2025,"",fuel_costs!Y$15*0.086/tech_proj!AG313/(1-tech_proj!AG593))</f>
        <v>171.60999839043794</v>
      </c>
      <c r="AH2213" s="119">
        <f>IF(tech_base!$T189&gt;AH$2025,"",fuel_costs!Z$15*0.086/tech_proj!AH313/(1-tech_proj!AH593))</f>
        <v>172.84661376523235</v>
      </c>
      <c r="AI2213" s="119">
        <f>IF(tech_base!$T189&gt;AI$2025,"",fuel_costs!AA$15*0.086/tech_proj!AI313/(1-tech_proj!AI593))</f>
        <v>174.23378952846747</v>
      </c>
      <c r="AJ2213" s="119">
        <f>IF(tech_base!$T189&gt;AJ$2025,"",fuel_costs!AB$15*0.086/tech_proj!AJ313/(1-tech_proj!AJ593))</f>
        <v>175.79553256579277</v>
      </c>
      <c r="AK2213" s="119">
        <f>IF(tech_base!$T189&gt;AK$2025,"",fuel_costs!AC$15*0.086/tech_proj!AK313/(1-tech_proj!AK593))</f>
        <v>177.56856320593772</v>
      </c>
      <c r="AL2213" s="119">
        <f>IF(tech_base!$T189&gt;AL$2025,"",fuel_costs!AD$15*0.086/tech_proj!AL313/(1-tech_proj!AL593))</f>
        <v>179.48860467167222</v>
      </c>
      <c r="AM2213" s="119">
        <f>IF(tech_base!$T189&gt;AM$2025,"",fuel_costs!AE$15*0.086/tech_proj!AM313/(1-tech_proj!AM593))</f>
        <v>181.47668085929121</v>
      </c>
      <c r="AN2213" s="119">
        <f>IF(tech_base!$T189&gt;AN$2025,"",fuel_costs!AF$15*0.086/tech_proj!AN313/(1-tech_proj!AN593))</f>
        <v>183.50670919991421</v>
      </c>
      <c r="AO2213" s="119">
        <f>IF(tech_base!$T189&gt;AO$2025,"",fuel_costs!AG$15*0.086/tech_proj!AO313/(1-tech_proj!AO593))</f>
        <v>183.69662607143002</v>
      </c>
      <c r="AP2213" s="119">
        <f>IF(tech_base!$T189&gt;AP$2025,"",fuel_costs!AH$15*0.086/tech_proj!AP313/(1-tech_proj!AP593))</f>
        <v>184.37980172817899</v>
      </c>
      <c r="AQ2213" s="119">
        <f>IF(tech_base!$T189&gt;AQ$2025,"",fuel_costs!AI$15*0.086/tech_proj!AQ313/(1-tech_proj!AQ593))</f>
        <v>185.10688214302925</v>
      </c>
      <c r="AR2213" s="119">
        <f>IF(tech_base!$T189&gt;AR$2025,"",fuel_costs!AJ$15*0.086/tech_proj!AR313/(1-tech_proj!AR593))</f>
        <v>186.68318975193975</v>
      </c>
      <c r="AS2213" s="119">
        <f>IF(tech_base!$T189&gt;AS$2025,"",fuel_costs!AK$15*0.086/tech_proj!AS313/(1-tech_proj!AS593))</f>
        <v>187.48876260743842</v>
      </c>
      <c r="AT2213" s="119">
        <f>IF(tech_base!$T189&gt;AT$2025,"",fuel_costs!AL$15*0.086/tech_proj!AT313/(1-tech_proj!AT593))</f>
        <v>188.29707408920757</v>
      </c>
      <c r="AU2213" s="119">
        <f>IF(tech_base!$T189&gt;AU$2025,"",fuel_costs!AM$15*0.086/tech_proj!AU313/(1-tech_proj!AU593))</f>
        <v>189.0811192640808</v>
      </c>
      <c r="AV2213" s="119">
        <f>IF(tech_base!$T189&gt;AV$2025,"",fuel_costs!AN$15*0.086/tech_proj!AV313/(1-tech_proj!AV593))</f>
        <v>189.82731822626437</v>
      </c>
      <c r="AW2213" s="119">
        <f>IF(tech_base!$T189&gt;AW$2025,"",fuel_costs!AO$15*0.086/tech_proj!AW313/(1-tech_proj!AW593))</f>
        <v>190.52241163026949</v>
      </c>
      <c r="AX2213" s="120">
        <f>IF(tech_base!$T189&gt;AX$2025,"",fuel_costs!AP$15*0.086/tech_proj!AX313/(1-tech_proj!AX593))</f>
        <v>191.43503029937446</v>
      </c>
    </row>
    <row r="2214" spans="1:50" x14ac:dyDescent="0.25">
      <c r="A2214" s="356"/>
      <c r="B2214" s="380"/>
      <c r="C2214" s="381"/>
      <c r="D2214" s="4" t="s">
        <v>8</v>
      </c>
      <c r="E2214" s="80" t="str">
        <f>A2199&amp;"/"&amp;B2207&amp;"/"&amp;C2213&amp;"/"&amp;D2214</f>
        <v>Fuel oil fired power plants/Supercritical steam turbine/CHP with CCS/M</v>
      </c>
      <c r="F2214" s="80" t="str">
        <f>A2199</f>
        <v>Fuel oil fired power plants</v>
      </c>
      <c r="G2214" s="80" t="str">
        <f>B2207</f>
        <v>Supercritical steam turbine</v>
      </c>
      <c r="H2214" s="80" t="str">
        <f>C2213</f>
        <v>CHP with CCS</v>
      </c>
      <c r="I2214" s="80" t="str">
        <f t="shared" si="389"/>
        <v>M</v>
      </c>
      <c r="J2214" s="127" t="str">
        <f>IF(tech_base!$T190&gt;J$2025,"",fuel_costs!B$15*0.086/tech_proj!J314/(1-tech_proj!J594))</f>
        <v/>
      </c>
      <c r="K2214" s="127" t="str">
        <f>IF(tech_base!$T190&gt;K$2025,"",fuel_costs!C$15*0.086/tech_proj!K314/(1-tech_proj!K594))</f>
        <v/>
      </c>
      <c r="L2214" s="127" t="str">
        <f>IF(tech_base!$T190&gt;L$2025,"",fuel_costs!D$15*0.086/tech_proj!L314/(1-tech_proj!L594))</f>
        <v/>
      </c>
      <c r="M2214" s="127" t="str">
        <f>IF(tech_base!$T190&gt;M$2025,"",fuel_costs!E$15*0.086/tech_proj!M314/(1-tech_proj!M594))</f>
        <v/>
      </c>
      <c r="N2214" s="127" t="str">
        <f>IF(tech_base!$T190&gt;N$2025,"",fuel_costs!F$15*0.086/tech_proj!N314/(1-tech_proj!N594))</f>
        <v/>
      </c>
      <c r="O2214" s="127" t="str">
        <f>IF(tech_base!$T190&gt;O$2025,"",fuel_costs!G$15*0.086/tech_proj!O314/(1-tech_proj!O594))</f>
        <v/>
      </c>
      <c r="P2214" s="127" t="str">
        <f>IF(tech_base!$T190&gt;P$2025,"",fuel_costs!H$15*0.086/tech_proj!P314/(1-tech_proj!P594))</f>
        <v/>
      </c>
      <c r="Q2214" s="127" t="str">
        <f>IF(tech_base!$T190&gt;Q$2025,"",fuel_costs!I$15*0.086/tech_proj!Q314/(1-tech_proj!Q594))</f>
        <v/>
      </c>
      <c r="R2214" s="127" t="str">
        <f>IF(tech_base!$T190&gt;R$2025,"",fuel_costs!J$15*0.086/tech_proj!R314/(1-tech_proj!R594))</f>
        <v/>
      </c>
      <c r="S2214" s="127" t="str">
        <f>IF(tech_base!$T190&gt;S$2025,"",fuel_costs!K$15*0.086/tech_proj!S314/(1-tech_proj!S594))</f>
        <v/>
      </c>
      <c r="T2214" s="127" t="str">
        <f>IF(tech_base!$T190&gt;T$2025,"",fuel_costs!L$15*0.086/tech_proj!T314/(1-tech_proj!T594))</f>
        <v/>
      </c>
      <c r="U2214" s="127" t="str">
        <f>IF(tech_base!$T190&gt;U$2025,"",fuel_costs!M$15*0.086/tech_proj!U314/(1-tech_proj!U594))</f>
        <v/>
      </c>
      <c r="V2214" s="127" t="str">
        <f>IF(tech_base!$T190&gt;V$2025,"",fuel_costs!N$15*0.086/tech_proj!V314/(1-tech_proj!V594))</f>
        <v/>
      </c>
      <c r="W2214" s="127" t="str">
        <f>IF(tech_base!$T190&gt;W$2025,"",fuel_costs!O$15*0.086/tech_proj!W314/(1-tech_proj!W594))</f>
        <v/>
      </c>
      <c r="X2214" s="127" t="str">
        <f>IF(tech_base!$T190&gt;X$2025,"",fuel_costs!P$15*0.086/tech_proj!X314/(1-tech_proj!X594))</f>
        <v/>
      </c>
      <c r="Y2214" s="127" t="str">
        <f>IF(tech_base!$T190&gt;Y$2025,"",fuel_costs!Q$15*0.086/tech_proj!Y314/(1-tech_proj!Y594))</f>
        <v/>
      </c>
      <c r="Z2214" s="127" t="str">
        <f>IF(tech_base!$T190&gt;Z$2025,"",fuel_costs!R$15*0.086/tech_proj!Z314/(1-tech_proj!Z594))</f>
        <v/>
      </c>
      <c r="AA2214" s="127" t="str">
        <f>IF(tech_base!$T190&gt;AA$2025,"",fuel_costs!S$15*0.086/tech_proj!AA314/(1-tech_proj!AA594))</f>
        <v/>
      </c>
      <c r="AB2214" s="127" t="str">
        <f>IF(tech_base!$T190&gt;AB$2025,"",fuel_costs!T$15*0.086/tech_proj!AB314/(1-tech_proj!AB594))</f>
        <v/>
      </c>
      <c r="AC2214" s="127" t="str">
        <f>IF(tech_base!$T190&gt;AC$2025,"",fuel_costs!U$15*0.086/tech_proj!AC314/(1-tech_proj!AC594))</f>
        <v/>
      </c>
      <c r="AD2214" s="127" t="str">
        <f>IF(tech_base!$T190&gt;AD$2025,"",fuel_costs!V$15*0.086/tech_proj!AD314/(1-tech_proj!AD594))</f>
        <v/>
      </c>
      <c r="AE2214" s="127">
        <f>IF(tech_base!$T190&gt;AE$2025,"",fuel_costs!W$15*0.086/tech_proj!AE314/(1-tech_proj!AE594))</f>
        <v>180.51317544108895</v>
      </c>
      <c r="AF2214" s="127">
        <f>IF(tech_base!$T190&gt;AF$2025,"",fuel_costs!X$15*0.086/tech_proj!AF314/(1-tech_proj!AF594))</f>
        <v>181.53683233935769</v>
      </c>
      <c r="AG2214" s="127">
        <f>IF(tech_base!$T190&gt;AG$2025,"",fuel_costs!Y$15*0.086/tech_proj!AG314/(1-tech_proj!AG594))</f>
        <v>182.70715971898298</v>
      </c>
      <c r="AH2214" s="127">
        <f>IF(tech_base!$T190&gt;AH$2025,"",fuel_costs!Z$15*0.086/tech_proj!AH314/(1-tech_proj!AH594))</f>
        <v>184.02374083262802</v>
      </c>
      <c r="AI2214" s="127">
        <f>IF(tech_base!$T190&gt;AI$2025,"",fuel_costs!AA$15*0.086/tech_proj!AI314/(1-tech_proj!AI594))</f>
        <v>185.500618322919</v>
      </c>
      <c r="AJ2214" s="127">
        <f>IF(tech_base!$T190&gt;AJ$2025,"",fuel_costs!AB$15*0.086/tech_proj!AJ314/(1-tech_proj!AJ594))</f>
        <v>187.16335148087521</v>
      </c>
      <c r="AK2214" s="127">
        <f>IF(tech_base!$T190&gt;AK$2025,"",fuel_costs!AC$15*0.086/tech_proj!AK314/(1-tech_proj!AK594))</f>
        <v>189.0510351554511</v>
      </c>
      <c r="AL2214" s="127">
        <f>IF(tech_base!$T190&gt;AL$2025,"",fuel_costs!AD$15*0.086/tech_proj!AL314/(1-tech_proj!AL594))</f>
        <v>191.09523611132363</v>
      </c>
      <c r="AM2214" s="127">
        <f>IF(tech_base!$T190&gt;AM$2025,"",fuel_costs!AE$15*0.086/tech_proj!AM314/(1-tech_proj!AM594))</f>
        <v>193.21187125468163</v>
      </c>
      <c r="AN2214" s="127">
        <f>IF(tech_base!$T190&gt;AN$2025,"",fuel_costs!AF$15*0.086/tech_proj!AN314/(1-tech_proj!AN594))</f>
        <v>195.37317138720897</v>
      </c>
      <c r="AO2214" s="127">
        <f>IF(tech_base!$T190&gt;AO$2025,"",fuel_costs!AG$15*0.086/tech_proj!AO314/(1-tech_proj!AO594))</f>
        <v>195.57536923408747</v>
      </c>
      <c r="AP2214" s="127">
        <f>IF(tech_base!$T190&gt;AP$2025,"",fuel_costs!AH$15*0.086/tech_proj!AP314/(1-tech_proj!AP594))</f>
        <v>196.30272244779573</v>
      </c>
      <c r="AQ2214" s="127">
        <f>IF(tech_base!$T190&gt;AQ$2025,"",fuel_costs!AI$15*0.086/tech_proj!AQ314/(1-tech_proj!AQ594))</f>
        <v>197.0768195209881</v>
      </c>
      <c r="AR2214" s="127">
        <f>IF(tech_base!$T190&gt;AR$2025,"",fuel_costs!AJ$15*0.086/tech_proj!AR314/(1-tech_proj!AR594))</f>
        <v>198.75505906861758</v>
      </c>
      <c r="AS2214" s="127">
        <f>IF(tech_base!$T190&gt;AS$2025,"",fuel_costs!AK$15*0.086/tech_proj!AS314/(1-tech_proj!AS594))</f>
        <v>199.61272429649088</v>
      </c>
      <c r="AT2214" s="127">
        <f>IF(tech_base!$T190&gt;AT$2025,"",fuel_costs!AL$15*0.086/tech_proj!AT314/(1-tech_proj!AT594))</f>
        <v>200.47330524391489</v>
      </c>
      <c r="AU2214" s="127">
        <f>IF(tech_base!$T190&gt;AU$2025,"",fuel_costs!AM$15*0.086/tech_proj!AU314/(1-tech_proj!AU594))</f>
        <v>201.30805070359693</v>
      </c>
      <c r="AV2214" s="127">
        <f>IF(tech_base!$T190&gt;AV$2025,"",fuel_costs!AN$15*0.086/tech_proj!AV314/(1-tech_proj!AV594))</f>
        <v>202.10250262507319</v>
      </c>
      <c r="AW2214" s="127">
        <f>IF(tech_base!$T190&gt;AW$2025,"",fuel_costs!AO$15*0.086/tech_proj!AW314/(1-tech_proj!AW594))</f>
        <v>202.84254424721826</v>
      </c>
      <c r="AX2214" s="128">
        <f>IF(tech_base!$T190&gt;AX$2025,"",fuel_costs!AP$15*0.086/tech_proj!AX314/(1-tech_proj!AX594))</f>
        <v>203.81417740672291</v>
      </c>
    </row>
    <row r="2215" spans="1:50" x14ac:dyDescent="0.25">
      <c r="A2215" s="356"/>
      <c r="B2215" s="358" t="s">
        <v>19</v>
      </c>
      <c r="C2215" s="353" t="s">
        <v>6</v>
      </c>
      <c r="D2215" s="3" t="s">
        <v>7</v>
      </c>
      <c r="E2215" s="77" t="str">
        <f>A2199&amp;"/"&amp;B2215&amp;"/"&amp;C2215&amp;"/"&amp;D2215</f>
        <v>Fuel oil fired power plants/Steam turbine/Electricity only/L</v>
      </c>
      <c r="F2215" s="77" t="str">
        <f>A2199</f>
        <v>Fuel oil fired power plants</v>
      </c>
      <c r="G2215" s="77" t="str">
        <f>B2215</f>
        <v>Steam turbine</v>
      </c>
      <c r="H2215" s="77" t="str">
        <f>C2215</f>
        <v>Electricity only</v>
      </c>
      <c r="I2215" s="77" t="str">
        <f t="shared" si="389"/>
        <v>L</v>
      </c>
      <c r="J2215" s="121">
        <f>IF(tech_base!$T191&gt;J$2025,"",fuel_costs!B$15*0.086/tech_proj!J315/(1-tech_proj!J595))</f>
        <v>86.861213228134744</v>
      </c>
      <c r="K2215" s="121">
        <f>IF(tech_base!$T191&gt;K$2025,"",fuel_costs!C$15*0.086/tech_proj!K315/(1-tech_proj!K595))</f>
        <v>110.09093791519756</v>
      </c>
      <c r="L2215" s="121">
        <f>IF(tech_base!$T191&gt;L$2025,"",fuel_costs!D$15*0.086/tech_proj!L315/(1-tech_proj!L595))</f>
        <v>117.05126502667416</v>
      </c>
      <c r="M2215" s="121">
        <f>IF(tech_base!$T191&gt;M$2025,"",fuel_costs!E$15*0.086/tech_proj!M315/(1-tech_proj!M595))</f>
        <v>110.90765394570981</v>
      </c>
      <c r="N2215" s="121">
        <f>IF(tech_base!$T191&gt;N$2025,"",fuel_costs!F$15*0.086/tech_proj!N315/(1-tech_proj!N595))</f>
        <v>101.21430314314871</v>
      </c>
      <c r="O2215" s="121">
        <f>IF(tech_base!$T191&gt;O$2025,"",fuel_costs!G$15*0.086/tech_proj!O315/(1-tech_proj!O595))</f>
        <v>68.772509688440138</v>
      </c>
      <c r="P2215" s="121">
        <f>IF(tech_base!$T191&gt;P$2025,"",fuel_costs!H$15*0.086/tech_proj!P315/(1-tech_proj!P595))</f>
        <v>61.070179108520875</v>
      </c>
      <c r="Q2215" s="121">
        <f>IF(tech_base!$T191&gt;Q$2025,"",fuel_costs!I$15*0.086/tech_proj!Q315/(1-tech_proj!Q595))</f>
        <v>70.341769453748952</v>
      </c>
      <c r="R2215" s="121">
        <f>IF(tech_base!$T191&gt;R$2025,"",fuel_costs!J$15*0.086/tech_proj!R315/(1-tech_proj!R595))</f>
        <v>78.617594584386907</v>
      </c>
      <c r="S2215" s="121">
        <f>IF(tech_base!$T191&gt;S$2025,"",fuel_costs!K$15*0.086/tech_proj!S315/(1-tech_proj!S595))</f>
        <v>85.872657322118087</v>
      </c>
      <c r="T2215" s="121">
        <f>IF(tech_base!$T191&gt;T$2025,"",fuel_costs!L$15*0.086/tech_proj!T315/(1-tech_proj!T595))</f>
        <v>92.866224127585923</v>
      </c>
      <c r="U2215" s="121">
        <f>IF(tech_base!$T191&gt;U$2025,"",fuel_costs!M$15*0.086/tech_proj!U315/(1-tech_proj!U595))</f>
        <v>99.523927170383359</v>
      </c>
      <c r="V2215" s="121">
        <f>IF(tech_base!$T191&gt;V$2025,"",fuel_costs!N$15*0.086/tech_proj!V315/(1-tech_proj!V595))</f>
        <v>103.98328180718322</v>
      </c>
      <c r="W2215" s="121">
        <f>IF(tech_base!$T191&gt;W$2025,"",fuel_costs!O$15*0.086/tech_proj!W315/(1-tech_proj!W595))</f>
        <v>109.44746678911061</v>
      </c>
      <c r="X2215" s="121">
        <f>IF(tech_base!$T191&gt;X$2025,"",fuel_costs!P$15*0.086/tech_proj!X315/(1-tech_proj!X595))</f>
        <v>114.18674754955053</v>
      </c>
      <c r="Y2215" s="121">
        <f>IF(tech_base!$T191&gt;Y$2025,"",fuel_costs!Q$15*0.086/tech_proj!Y315/(1-tech_proj!Y595))</f>
        <v>118.20575071929844</v>
      </c>
      <c r="Z2215" s="121">
        <f>IF(tech_base!$T191&gt;Z$2025,"",fuel_costs!R$15*0.086/tech_proj!Z315/(1-tech_proj!Z595))</f>
        <v>120.77900660119003</v>
      </c>
      <c r="AA2215" s="121">
        <f>IF(tech_base!$T191&gt;AA$2025,"",fuel_costs!S$15*0.086/tech_proj!AA315/(1-tech_proj!AA595))</f>
        <v>123.10902679487786</v>
      </c>
      <c r="AB2215" s="121">
        <f>IF(tech_base!$T191&gt;AB$2025,"",fuel_costs!T$15*0.086/tech_proj!AB315/(1-tech_proj!AB595))</f>
        <v>124.70319767963335</v>
      </c>
      <c r="AC2215" s="121">
        <f>IF(tech_base!$T191&gt;AC$2025,"",fuel_costs!U$15*0.086/tech_proj!AC315/(1-tech_proj!AC595))</f>
        <v>127.18977575200083</v>
      </c>
      <c r="AD2215" s="121">
        <f>IF(tech_base!$T191&gt;AD$2025,"",fuel_costs!V$15*0.086/tech_proj!AD315/(1-tech_proj!AD595))</f>
        <v>128.70831609563251</v>
      </c>
      <c r="AE2215" s="121">
        <f>IF(tech_base!$T191&gt;AE$2025,"",fuel_costs!W$15*0.086/tech_proj!AE315/(1-tech_proj!AE595))</f>
        <v>130.15676216286337</v>
      </c>
      <c r="AF2215" s="121">
        <f>IF(tech_base!$T191&gt;AF$2025,"",fuel_costs!X$15*0.086/tech_proj!AF315/(1-tech_proj!AF595))</f>
        <v>130.88459454311453</v>
      </c>
      <c r="AG2215" s="121">
        <f>IF(tech_base!$T191&gt;AG$2025,"",fuel_costs!Y$15*0.086/tech_proj!AG315/(1-tech_proj!AG595))</f>
        <v>131.71835575379396</v>
      </c>
      <c r="AH2215" s="121">
        <f>IF(tech_base!$T191&gt;AH$2025,"",fuel_costs!Z$15*0.086/tech_proj!AH315/(1-tech_proj!AH595))</f>
        <v>132.65772576400121</v>
      </c>
      <c r="AI2215" s="121">
        <f>IF(tech_base!$T191&gt;AI$2025,"",fuel_costs!AA$15*0.086/tech_proj!AI315/(1-tech_proj!AI595))</f>
        <v>133.71280801559573</v>
      </c>
      <c r="AJ2215" s="121">
        <f>IF(tech_base!$T191&gt;AJ$2025,"",fuel_costs!AB$15*0.086/tech_proj!AJ315/(1-tech_proj!AJ595))</f>
        <v>134.90200477625496</v>
      </c>
      <c r="AK2215" s="121">
        <f>IF(tech_base!$T191&gt;AK$2025,"",fuel_costs!AC$15*0.086/tech_proj!AK315/(1-tech_proj!AK595))</f>
        <v>136.25346966936681</v>
      </c>
      <c r="AL2215" s="121">
        <f>IF(tech_base!$T191&gt;AL$2025,"",fuel_costs!AD$15*0.086/tech_proj!AL315/(1-tech_proj!AL595))</f>
        <v>137.71785719574001</v>
      </c>
      <c r="AM2215" s="121">
        <f>IF(tech_base!$T191&gt;AM$2025,"",fuel_costs!AE$15*0.086/tech_proj!AM315/(1-tech_proj!AM595))</f>
        <v>139.23455791482539</v>
      </c>
      <c r="AN2215" s="121">
        <f>IF(tech_base!$T191&gt;AN$2025,"",fuel_costs!AF$15*0.086/tech_proj!AN315/(1-tech_proj!AN595))</f>
        <v>140.78355697196025</v>
      </c>
      <c r="AO2215" s="121">
        <f>IF(tech_base!$T191&gt;AO$2025,"",fuel_costs!AG$15*0.086/tech_proj!AO315/(1-tech_proj!AO595))</f>
        <v>140.92104674695415</v>
      </c>
      <c r="AP2215" s="121">
        <f>IF(tech_base!$T191&gt;AP$2025,"",fuel_costs!AH$15*0.086/tech_proj!AP315/(1-tech_proj!AP595))</f>
        <v>141.43719055668504</v>
      </c>
      <c r="AQ2215" s="121">
        <f>IF(tech_base!$T191&gt;AQ$2025,"",fuel_costs!AI$15*0.086/tech_proj!AQ315/(1-tech_proj!AQ595))</f>
        <v>141.98724233701441</v>
      </c>
      <c r="AR2215" s="121">
        <f>IF(tech_base!$T191&gt;AR$2025,"",fuel_costs!AJ$15*0.086/tech_proj!AR315/(1-tech_proj!AR595))</f>
        <v>143.18888838943309</v>
      </c>
      <c r="AS2215" s="121">
        <f>IF(tech_base!$T191&gt;AS$2025,"",fuel_costs!AK$15*0.086/tech_proj!AS315/(1-tech_proj!AS595))</f>
        <v>143.81249113483119</v>
      </c>
      <c r="AT2215" s="121">
        <f>IF(tech_base!$T191&gt;AT$2025,"",fuel_costs!AL$15*0.086/tech_proj!AT315/(1-tech_proj!AT595))</f>
        <v>144.43383856922375</v>
      </c>
      <c r="AU2215" s="121">
        <f>IF(tech_base!$T191&gt;AU$2025,"",fuel_costs!AM$15*0.086/tech_proj!AU315/(1-tech_proj!AU595))</f>
        <v>145.04207409204528</v>
      </c>
      <c r="AV2215" s="121">
        <f>IF(tech_base!$T191&gt;AV$2025,"",fuel_costs!AN$15*0.086/tech_proj!AV315/(1-tech_proj!AV595))</f>
        <v>145.62992009871101</v>
      </c>
      <c r="AW2215" s="121">
        <f>IF(tech_base!$T191&gt;AW$2025,"",fuel_costs!AO$15*0.086/tech_proj!AW315/(1-tech_proj!AW595))</f>
        <v>146.19188489808843</v>
      </c>
      <c r="AX2215" s="122">
        <f>IF(tech_base!$T191&gt;AX$2025,"",fuel_costs!AP$15*0.086/tech_proj!AX315/(1-tech_proj!AX595))</f>
        <v>146.94066029162977</v>
      </c>
    </row>
    <row r="2216" spans="1:50" x14ac:dyDescent="0.25">
      <c r="A2216" s="356"/>
      <c r="B2216" s="376"/>
      <c r="C2216" s="378"/>
      <c r="D2216" s="2" t="s">
        <v>8</v>
      </c>
      <c r="E2216" s="76" t="str">
        <f>A2199&amp;"/"&amp;B2215&amp;"/"&amp;C2215&amp;"/"&amp;D2216</f>
        <v>Fuel oil fired power plants/Steam turbine/Electricity only/M</v>
      </c>
      <c r="F2216" s="76" t="str">
        <f>A2199</f>
        <v>Fuel oil fired power plants</v>
      </c>
      <c r="G2216" s="76" t="str">
        <f>B2215</f>
        <v>Steam turbine</v>
      </c>
      <c r="H2216" s="76" t="str">
        <f>C2215</f>
        <v>Electricity only</v>
      </c>
      <c r="I2216" s="76" t="str">
        <f t="shared" si="389"/>
        <v>M</v>
      </c>
      <c r="J2216" s="119">
        <f>IF(tech_base!$T192&gt;J$2025,"",fuel_costs!B$15*0.086/tech_proj!J316/(1-tech_proj!J596))</f>
        <v>91.434781742674275</v>
      </c>
      <c r="K2216" s="119">
        <f>IF(tech_base!$T192&gt;K$2025,"",fuel_costs!C$15*0.086/tech_proj!K316/(1-tech_proj!K596))</f>
        <v>115.88763852151587</v>
      </c>
      <c r="L2216" s="119">
        <f>IF(tech_base!$T192&gt;L$2025,"",fuel_costs!D$15*0.086/tech_proj!L316/(1-tech_proj!L596))</f>
        <v>123.21445294930864</v>
      </c>
      <c r="M2216" s="119">
        <f>IF(tech_base!$T192&gt;M$2025,"",fuel_costs!E$15*0.086/tech_proj!M316/(1-tech_proj!M596))</f>
        <v>116.74735771285965</v>
      </c>
      <c r="N2216" s="119">
        <f>IF(tech_base!$T192&gt;N$2025,"",fuel_costs!F$15*0.086/tech_proj!N316/(1-tech_proj!N596))</f>
        <v>106.54361565068604</v>
      </c>
      <c r="O2216" s="119">
        <f>IF(tech_base!$T192&gt;O$2025,"",fuel_costs!G$15*0.086/tech_proj!O316/(1-tech_proj!O596))</f>
        <v>72.393640148025241</v>
      </c>
      <c r="P2216" s="119">
        <f>IF(tech_base!$T192&gt;P$2025,"",fuel_costs!H$15*0.086/tech_proj!P316/(1-tech_proj!P596))</f>
        <v>64.285752987444681</v>
      </c>
      <c r="Q2216" s="119">
        <f>IF(tech_base!$T192&gt;Q$2025,"",fuel_costs!I$15*0.086/tech_proj!Q316/(1-tech_proj!Q596))</f>
        <v>74.045527323049129</v>
      </c>
      <c r="R2216" s="119">
        <f>IF(tech_base!$T192&gt;R$2025,"",fuel_costs!J$15*0.086/tech_proj!R316/(1-tech_proj!R596))</f>
        <v>82.757105672444339</v>
      </c>
      <c r="S2216" s="119">
        <f>IF(tech_base!$T192&gt;S$2025,"",fuel_costs!K$15*0.086/tech_proj!S316/(1-tech_proj!S596))</f>
        <v>90.394174662162229</v>
      </c>
      <c r="T2216" s="119">
        <f>IF(tech_base!$T192&gt;T$2025,"",fuel_costs!L$15*0.086/tech_proj!T316/(1-tech_proj!T596))</f>
        <v>97.755978978448695</v>
      </c>
      <c r="U2216" s="119">
        <f>IF(tech_base!$T192&gt;U$2025,"",fuel_costs!M$15*0.086/tech_proj!U316/(1-tech_proj!U596))</f>
        <v>104.76423504582478</v>
      </c>
      <c r="V2216" s="119">
        <f>IF(tech_base!$T192&gt;V$2025,"",fuel_costs!N$15*0.086/tech_proj!V316/(1-tech_proj!V596))</f>
        <v>109.45839142213602</v>
      </c>
      <c r="W2216" s="119">
        <f>IF(tech_base!$T192&gt;W$2025,"",fuel_costs!O$15*0.086/tech_proj!W316/(1-tech_proj!W596))</f>
        <v>115.21028622830137</v>
      </c>
      <c r="X2216" s="119">
        <f>IF(tech_base!$T192&gt;X$2025,"",fuel_costs!P$15*0.086/tech_proj!X316/(1-tech_proj!X596))</f>
        <v>120.19910788809048</v>
      </c>
      <c r="Y2216" s="119">
        <f>IF(tech_base!$T192&gt;Y$2025,"",fuel_costs!Q$15*0.086/tech_proj!Y316/(1-tech_proj!Y596))</f>
        <v>124.42972664175518</v>
      </c>
      <c r="Z2216" s="119">
        <f>IF(tech_base!$T192&gt;Z$2025,"",fuel_costs!R$15*0.086/tech_proj!Z316/(1-tech_proj!Z596))</f>
        <v>127.13847409282809</v>
      </c>
      <c r="AA2216" s="119">
        <f>IF(tech_base!$T192&gt;AA$2025,"",fuel_costs!S$15*0.086/tech_proj!AA316/(1-tech_proj!AA596))</f>
        <v>129.59117858483566</v>
      </c>
      <c r="AB2216" s="119">
        <f>IF(tech_base!$T192&gt;AB$2025,"",fuel_costs!T$15*0.086/tech_proj!AB316/(1-tech_proj!AB596))</f>
        <v>131.26928854313553</v>
      </c>
      <c r="AC2216" s="119">
        <f>IF(tech_base!$T192&gt;AC$2025,"",fuel_costs!U$15*0.086/tech_proj!AC316/(1-tech_proj!AC596))</f>
        <v>133.88679427306238</v>
      </c>
      <c r="AD2216" s="119">
        <f>IF(tech_base!$T192&gt;AD$2025,"",fuel_costs!V$15*0.086/tech_proj!AD316/(1-tech_proj!AD596))</f>
        <v>135.48529145871339</v>
      </c>
      <c r="AE2216" s="119">
        <f>IF(tech_base!$T192&gt;AE$2025,"",fuel_costs!W$15*0.086/tech_proj!AE316/(1-tech_proj!AE596))</f>
        <v>137.0100036415314</v>
      </c>
      <c r="AF2216" s="119">
        <f>IF(tech_base!$T192&gt;AF$2025,"",fuel_costs!X$15*0.086/tech_proj!AF316/(1-tech_proj!AF596))</f>
        <v>137.77615912520776</v>
      </c>
      <c r="AG2216" s="119">
        <f>IF(tech_base!$T192&gt;AG$2025,"",fuel_costs!Y$15*0.086/tech_proj!AG316/(1-tech_proj!AG596))</f>
        <v>138.65382098935595</v>
      </c>
      <c r="AH2216" s="119">
        <f>IF(tech_base!$T192&gt;AH$2025,"",fuel_costs!Z$15*0.086/tech_proj!AH316/(1-tech_proj!AH596))</f>
        <v>139.64265235224894</v>
      </c>
      <c r="AI2216" s="119">
        <f>IF(tech_base!$T192&gt;AI$2025,"",fuel_costs!AA$15*0.086/tech_proj!AI316/(1-tech_proj!AI596))</f>
        <v>140.75328863983728</v>
      </c>
      <c r="AJ2216" s="119">
        <f>IF(tech_base!$T192&gt;AJ$2025,"",fuel_costs!AB$15*0.086/tech_proj!AJ316/(1-tech_proj!AJ596))</f>
        <v>142.00510106818078</v>
      </c>
      <c r="AK2216" s="119">
        <f>IF(tech_base!$T192&gt;AK$2025,"",fuel_costs!AC$15*0.086/tech_proj!AK316/(1-tech_proj!AK596))</f>
        <v>143.4277256544851</v>
      </c>
      <c r="AL2216" s="119">
        <f>IF(tech_base!$T192&gt;AL$2025,"",fuel_costs!AD$15*0.086/tech_proj!AL316/(1-tech_proj!AL596))</f>
        <v>144.96921867403302</v>
      </c>
      <c r="AM2216" s="119">
        <f>IF(tech_base!$T192&gt;AM$2025,"",fuel_costs!AE$15*0.086/tech_proj!AM316/(1-tech_proj!AM596))</f>
        <v>146.56577937200871</v>
      </c>
      <c r="AN2216" s="119">
        <f>IF(tech_base!$T192&gt;AN$2025,"",fuel_costs!AF$15*0.086/tech_proj!AN316/(1-tech_proj!AN596))</f>
        <v>148.19633903661696</v>
      </c>
      <c r="AO2216" s="119">
        <f>IF(tech_base!$T192&gt;AO$2025,"",fuel_costs!AG$15*0.086/tech_proj!AO316/(1-tech_proj!AO596))</f>
        <v>148.34106816370618</v>
      </c>
      <c r="AP2216" s="119">
        <f>IF(tech_base!$T192&gt;AP$2025,"",fuel_costs!AH$15*0.086/tech_proj!AP316/(1-tech_proj!AP596))</f>
        <v>148.88438888001517</v>
      </c>
      <c r="AQ2216" s="119">
        <f>IF(tech_base!$T192&gt;AQ$2025,"",fuel_costs!AI$15*0.086/tech_proj!AQ316/(1-tech_proj!AQ596))</f>
        <v>149.46340294869373</v>
      </c>
      <c r="AR2216" s="119">
        <f>IF(tech_base!$T192&gt;AR$2025,"",fuel_costs!AJ$15*0.086/tech_proj!AR316/(1-tech_proj!AR596))</f>
        <v>150.72832017067955</v>
      </c>
      <c r="AS2216" s="119">
        <f>IF(tech_base!$T192&gt;AS$2025,"",fuel_costs!AK$15*0.086/tech_proj!AS316/(1-tech_proj!AS596))</f>
        <v>151.3847579384765</v>
      </c>
      <c r="AT2216" s="119">
        <f>IF(tech_base!$T192&gt;AT$2025,"",fuel_costs!AL$15*0.086/tech_proj!AT316/(1-tech_proj!AT596))</f>
        <v>152.03882164468834</v>
      </c>
      <c r="AU2216" s="119">
        <f>IF(tech_base!$T192&gt;AU$2025,"",fuel_costs!AM$15*0.086/tech_proj!AU316/(1-tech_proj!AU596))</f>
        <v>152.67908304802916</v>
      </c>
      <c r="AV2216" s="119">
        <f>IF(tech_base!$T192&gt;AV$2025,"",fuel_costs!AN$15*0.086/tech_proj!AV316/(1-tech_proj!AV596))</f>
        <v>153.29788135074932</v>
      </c>
      <c r="AW2216" s="119">
        <f>IF(tech_base!$T192&gt;AW$2025,"",fuel_costs!AO$15*0.086/tech_proj!AW316/(1-tech_proj!AW596))</f>
        <v>153.88943570359015</v>
      </c>
      <c r="AX2216" s="120">
        <f>IF(tech_base!$T192&gt;AX$2025,"",fuel_costs!AP$15*0.086/tech_proj!AX316/(1-tech_proj!AX596))</f>
        <v>154.6776369287206</v>
      </c>
    </row>
    <row r="2217" spans="1:50" x14ac:dyDescent="0.25">
      <c r="A2217" s="356"/>
      <c r="B2217" s="376"/>
      <c r="C2217" s="378"/>
      <c r="D2217" s="2" t="s">
        <v>10</v>
      </c>
      <c r="E2217" s="76" t="str">
        <f>A2199&amp;"/"&amp;B2215&amp;"/"&amp;C2215&amp;"/"&amp;D2217</f>
        <v>Fuel oil fired power plants/Steam turbine/Electricity only/S</v>
      </c>
      <c r="F2217" s="76" t="str">
        <f>A2199</f>
        <v>Fuel oil fired power plants</v>
      </c>
      <c r="G2217" s="76" t="str">
        <f>B2215</f>
        <v>Steam turbine</v>
      </c>
      <c r="H2217" s="76" t="str">
        <f>C2215</f>
        <v>Electricity only</v>
      </c>
      <c r="I2217" s="76" t="str">
        <f t="shared" si="389"/>
        <v>S</v>
      </c>
      <c r="J2217" s="119">
        <f>IF(tech_base!$T193&gt;J$2025,"",fuel_costs!B$15*0.086/tech_proj!J317/(1-tech_proj!J597))</f>
        <v>96.261975947106549</v>
      </c>
      <c r="K2217" s="119">
        <f>IF(tech_base!$T193&gt;K$2025,"",fuel_costs!C$15*0.086/tech_proj!K317/(1-tech_proj!K597))</f>
        <v>122.00579319279581</v>
      </c>
      <c r="L2217" s="119">
        <f>IF(tech_base!$T193&gt;L$2025,"",fuel_costs!D$15*0.086/tech_proj!L317/(1-tech_proj!L597))</f>
        <v>129.71941836666034</v>
      </c>
      <c r="M2217" s="119">
        <f>IF(tech_base!$T193&gt;M$2025,"",fuel_costs!E$15*0.086/tech_proj!M317/(1-tech_proj!M597))</f>
        <v>122.91090027066153</v>
      </c>
      <c r="N2217" s="119">
        <f>IF(tech_base!$T193&gt;N$2025,"",fuel_costs!F$15*0.086/tech_proj!N317/(1-tech_proj!N597))</f>
        <v>112.16846337477935</v>
      </c>
      <c r="O2217" s="119">
        <f>IF(tech_base!$T193&gt;O$2025,"",fuel_costs!G$15*0.086/tech_proj!O317/(1-tech_proj!O597))</f>
        <v>76.215579168383869</v>
      </c>
      <c r="P2217" s="119">
        <f>IF(tech_base!$T193&gt;P$2025,"",fuel_costs!H$15*0.086/tech_proj!P317/(1-tech_proj!P597))</f>
        <v>67.679645424590689</v>
      </c>
      <c r="Q2217" s="119">
        <f>IF(tech_base!$T193&gt;Q$2025,"",fuel_costs!I$15*0.086/tech_proj!Q317/(1-tech_proj!Q597))</f>
        <v>77.954675828088256</v>
      </c>
      <c r="R2217" s="119">
        <f>IF(tech_base!$T193&gt;R$2025,"",fuel_costs!J$15*0.086/tech_proj!R317/(1-tech_proj!R597))</f>
        <v>87.126171943110208</v>
      </c>
      <c r="S2217" s="119">
        <f>IF(tech_base!$T193&gt;S$2025,"",fuel_costs!K$15*0.086/tech_proj!S317/(1-tech_proj!S597))</f>
        <v>95.166431211881488</v>
      </c>
      <c r="T2217" s="119">
        <f>IF(tech_base!$T193&gt;T$2025,"",fuel_costs!L$15*0.086/tech_proj!T317/(1-tech_proj!T597))</f>
        <v>102.91689352518441</v>
      </c>
      <c r="U2217" s="119">
        <f>IF(tech_base!$T193&gt;U$2025,"",fuel_costs!M$15*0.086/tech_proj!U317/(1-tech_proj!U597))</f>
        <v>110.29514241615384</v>
      </c>
      <c r="V2217" s="119">
        <f>IF(tech_base!$T193&gt;V$2025,"",fuel_costs!N$15*0.086/tech_proj!V317/(1-tech_proj!V597))</f>
        <v>115.23712138275899</v>
      </c>
      <c r="W2217" s="119">
        <f>IF(tech_base!$T193&gt;W$2025,"",fuel_costs!O$15*0.086/tech_proj!W317/(1-tech_proj!W597))</f>
        <v>121.29268086382852</v>
      </c>
      <c r="X2217" s="119">
        <f>IF(tech_base!$T193&gt;X$2025,"",fuel_costs!P$15*0.086/tech_proj!X317/(1-tech_proj!X597))</f>
        <v>126.54488162885632</v>
      </c>
      <c r="Y2217" s="119">
        <f>IF(tech_base!$T193&gt;Y$2025,"",fuel_costs!Q$15*0.086/tech_proj!Y317/(1-tech_proj!Y597))</f>
        <v>130.99885103683033</v>
      </c>
      <c r="Z2217" s="119">
        <f>IF(tech_base!$T193&gt;Z$2025,"",fuel_costs!R$15*0.086/tech_proj!Z317/(1-tech_proj!Z597))</f>
        <v>133.85060369607325</v>
      </c>
      <c r="AA2217" s="119">
        <f>IF(tech_base!$T193&gt;AA$2025,"",fuel_costs!S$15*0.086/tech_proj!AA317/(1-tech_proj!AA597))</f>
        <v>136.43279590252979</v>
      </c>
      <c r="AB2217" s="119">
        <f>IF(tech_base!$T193&gt;AB$2025,"",fuel_costs!T$15*0.086/tech_proj!AB317/(1-tech_proj!AB597))</f>
        <v>138.19949974721203</v>
      </c>
      <c r="AC2217" s="119">
        <f>IF(tech_base!$T193&gt;AC$2025,"",fuel_costs!U$15*0.086/tech_proj!AC317/(1-tech_proj!AC597))</f>
        <v>140.95519368351674</v>
      </c>
      <c r="AD2217" s="119">
        <f>IF(tech_base!$T193&gt;AD$2025,"",fuel_costs!V$15*0.086/tech_proj!AD317/(1-tech_proj!AD597))</f>
        <v>142.63808169072726</v>
      </c>
      <c r="AE2217" s="119">
        <f>IF(tech_base!$T193&gt;AE$2025,"",fuel_costs!W$15*0.086/tech_proj!AE317/(1-tech_proj!AE597))</f>
        <v>144.24328930069069</v>
      </c>
      <c r="AF2217" s="119">
        <f>IF(tech_base!$T193&gt;AF$2025,"",fuel_costs!X$15*0.086/tech_proj!AF317/(1-tech_proj!AF597))</f>
        <v>145.04989308248739</v>
      </c>
      <c r="AG2217" s="119">
        <f>IF(tech_base!$T193&gt;AG$2025,"",fuel_costs!Y$15*0.086/tech_proj!AG317/(1-tech_proj!AG597))</f>
        <v>145.97389009594443</v>
      </c>
      <c r="AH2217" s="119">
        <f>IF(tech_base!$T193&gt;AH$2025,"",fuel_costs!Z$15*0.086/tech_proj!AH317/(1-tech_proj!AH597))</f>
        <v>147.01492567405117</v>
      </c>
      <c r="AI2217" s="119">
        <f>IF(tech_base!$T193&gt;AI$2025,"",fuel_costs!AA$15*0.086/tech_proj!AI317/(1-tech_proj!AI597))</f>
        <v>148.18419672784663</v>
      </c>
      <c r="AJ2217" s="119">
        <f>IF(tech_base!$T193&gt;AJ$2025,"",fuel_costs!AB$15*0.086/tech_proj!AJ317/(1-tech_proj!AJ597))</f>
        <v>149.50209715447662</v>
      </c>
      <c r="AK2217" s="119">
        <f>IF(tech_base!$T193&gt;AK$2025,"",fuel_costs!AC$15*0.086/tech_proj!AK317/(1-tech_proj!AK597))</f>
        <v>150.99982757061076</v>
      </c>
      <c r="AL2217" s="119">
        <f>IF(tech_base!$T193&gt;AL$2025,"",fuel_costs!AD$15*0.086/tech_proj!AL317/(1-tech_proj!AL597))</f>
        <v>152.62270194229086</v>
      </c>
      <c r="AM2217" s="119">
        <f>IF(tech_base!$T193&gt;AM$2025,"",fuel_costs!AE$15*0.086/tech_proj!AM317/(1-tech_proj!AM597))</f>
        <v>154.30355122718507</v>
      </c>
      <c r="AN2217" s="119">
        <f>IF(tech_base!$T193&gt;AN$2025,"",fuel_costs!AF$15*0.086/tech_proj!AN317/(1-tech_proj!AN597))</f>
        <v>156.02019441507588</v>
      </c>
      <c r="AO2217" s="119">
        <f>IF(tech_base!$T193&gt;AO$2025,"",fuel_costs!AG$15*0.086/tech_proj!AO317/(1-tech_proj!AO597))</f>
        <v>156.17256435007411</v>
      </c>
      <c r="AP2217" s="119">
        <f>IF(tech_base!$T193&gt;AP$2025,"",fuel_costs!AH$15*0.086/tech_proj!AP317/(1-tech_proj!AP597))</f>
        <v>156.74456905909273</v>
      </c>
      <c r="AQ2217" s="119">
        <f>IF(tech_base!$T193&gt;AQ$2025,"",fuel_costs!AI$15*0.086/tech_proj!AQ317/(1-tech_proj!AQ597))</f>
        <v>157.35415150999236</v>
      </c>
      <c r="AR2217" s="119">
        <f>IF(tech_base!$T193&gt;AR$2025,"",fuel_costs!AJ$15*0.086/tech_proj!AR317/(1-tech_proj!AR597))</f>
        <v>158.685848582782</v>
      </c>
      <c r="AS2217" s="119">
        <f>IF(tech_base!$T193&gt;AS$2025,"",fuel_costs!AK$15*0.086/tech_proj!AS317/(1-tech_proj!AS597))</f>
        <v>159.37694222800204</v>
      </c>
      <c r="AT2217" s="119">
        <f>IF(tech_base!$T193&gt;AT$2025,"",fuel_costs!AL$15*0.086/tech_proj!AT317/(1-tech_proj!AT597))</f>
        <v>160.06553647578437</v>
      </c>
      <c r="AU2217" s="119">
        <f>IF(tech_base!$T193&gt;AU$2025,"",fuel_costs!AM$15*0.086/tech_proj!AU317/(1-tech_proj!AU597))</f>
        <v>160.73959974398039</v>
      </c>
      <c r="AV2217" s="119">
        <f>IF(tech_base!$T193&gt;AV$2025,"",fuel_costs!AN$15*0.086/tech_proj!AV317/(1-tech_proj!AV597))</f>
        <v>161.39106679182871</v>
      </c>
      <c r="AW2217" s="119">
        <f>IF(tech_base!$T193&gt;AW$2025,"",fuel_costs!AO$15*0.086/tech_proj!AW317/(1-tech_proj!AW597))</f>
        <v>162.01385157677882</v>
      </c>
      <c r="AX2217" s="120">
        <f>IF(tech_base!$T193&gt;AX$2025,"",fuel_costs!AP$15*0.086/tech_proj!AX317/(1-tech_proj!AX597))</f>
        <v>162.84366497960968</v>
      </c>
    </row>
    <row r="2218" spans="1:50" x14ac:dyDescent="0.25">
      <c r="A2218" s="356"/>
      <c r="B2218" s="376"/>
      <c r="C2218" s="379"/>
      <c r="D2218" s="2" t="s">
        <v>20</v>
      </c>
      <c r="E2218" s="76" t="str">
        <f>A2199&amp;"/"&amp;B2215&amp;"/"&amp;C2215&amp;"/"&amp;D2218</f>
        <v>Fuel oil fired power plants/Steam turbine/Electricity only/XS</v>
      </c>
      <c r="F2218" s="76" t="str">
        <f>A2199</f>
        <v>Fuel oil fired power plants</v>
      </c>
      <c r="G2218" s="76" t="str">
        <f>B2215</f>
        <v>Steam turbine</v>
      </c>
      <c r="H2218" s="76" t="str">
        <f>C2215</f>
        <v>Electricity only</v>
      </c>
      <c r="I2218" s="76" t="str">
        <f t="shared" si="389"/>
        <v>XS</v>
      </c>
      <c r="J2218" s="119">
        <f>IF(tech_base!$T194&gt;J$2025,"",fuel_costs!B$15*0.086/tech_proj!J318/(1-tech_proj!J598))</f>
        <v>101.3582545619757</v>
      </c>
      <c r="K2218" s="119">
        <f>IF(tech_base!$T194&gt;K$2025,"",fuel_costs!C$15*0.086/tech_proj!K318/(1-tech_proj!K598))</f>
        <v>128.46499485182102</v>
      </c>
      <c r="L2218" s="119">
        <f>IF(tech_base!$T194&gt;L$2025,"",fuel_costs!D$15*0.086/tech_proj!L318/(1-tech_proj!L598))</f>
        <v>136.58699293336696</v>
      </c>
      <c r="M2218" s="119">
        <f>IF(tech_base!$T194&gt;M$2025,"",fuel_costs!E$15*0.086/tech_proj!M318/(1-tech_proj!M598))</f>
        <v>129.41801989313709</v>
      </c>
      <c r="N2218" s="119">
        <f>IF(tech_base!$T194&gt;N$2025,"",fuel_costs!F$15*0.086/tech_proj!N318/(1-tech_proj!N598))</f>
        <v>118.10685946041261</v>
      </c>
      <c r="O2218" s="119">
        <f>IF(tech_base!$T194&gt;O$2025,"",fuel_costs!G$15*0.086/tech_proj!O318/(1-tech_proj!O598))</f>
        <v>80.250566217155097</v>
      </c>
      <c r="P2218" s="119">
        <f>IF(tech_base!$T194&gt;P$2025,"",fuel_costs!H$15*0.086/tech_proj!P318/(1-tech_proj!P598))</f>
        <v>71.26272510112662</v>
      </c>
      <c r="Q2218" s="119">
        <f>IF(tech_base!$T194&gt;Q$2025,"",fuel_costs!I$15*0.086/tech_proj!Q318/(1-tech_proj!Q598))</f>
        <v>82.081733718215489</v>
      </c>
      <c r="R2218" s="119">
        <f>IF(tech_base!$T194&gt;R$2025,"",fuel_costs!J$15*0.086/tech_proj!R318/(1-tech_proj!R598))</f>
        <v>91.738784997230994</v>
      </c>
      <c r="S2218" s="119">
        <f>IF(tech_base!$T194&gt;S$2025,"",fuel_costs!K$15*0.086/tech_proj!S318/(1-tech_proj!S598))</f>
        <v>100.20470975817912</v>
      </c>
      <c r="T2218" s="119">
        <f>IF(tech_base!$T194&gt;T$2025,"",fuel_costs!L$15*0.086/tech_proj!T318/(1-tech_proj!T598))</f>
        <v>108.36549520223035</v>
      </c>
      <c r="U2218" s="119">
        <f>IF(tech_base!$T194&gt;U$2025,"",fuel_costs!M$15*0.086/tech_proj!U318/(1-tech_proj!U598))</f>
        <v>116.13436158955051</v>
      </c>
      <c r="V2218" s="119">
        <f>IF(tech_base!$T194&gt;V$2025,"",fuel_costs!N$15*0.086/tech_proj!V318/(1-tech_proj!V598))</f>
        <v>121.33797763013884</v>
      </c>
      <c r="W2218" s="119">
        <f>IF(tech_base!$T194&gt;W$2025,"",fuel_costs!O$15*0.086/tech_proj!W318/(1-tech_proj!W598))</f>
        <v>127.71412909969406</v>
      </c>
      <c r="X2218" s="119">
        <f>IF(tech_base!$T194&gt;X$2025,"",fuel_costs!P$15*0.086/tech_proj!X318/(1-tech_proj!X598))</f>
        <v>133.2443906273071</v>
      </c>
      <c r="Y2218" s="119">
        <f>IF(tech_base!$T194&gt;Y$2025,"",fuel_costs!Q$15*0.086/tech_proj!Y318/(1-tech_proj!Y598))</f>
        <v>137.93416102338475</v>
      </c>
      <c r="Z2218" s="119">
        <f>IF(tech_base!$T194&gt;Z$2025,"",fuel_costs!R$15*0.086/tech_proj!Z318/(1-tech_proj!Z598))</f>
        <v>140.936890493037</v>
      </c>
      <c r="AA2218" s="119">
        <f>IF(tech_base!$T194&gt;AA$2025,"",fuel_costs!S$15*0.086/tech_proj!AA318/(1-tech_proj!AA598))</f>
        <v>143.65578850458192</v>
      </c>
      <c r="AB2218" s="119">
        <f>IF(tech_base!$T194&gt;AB$2025,"",fuel_costs!T$15*0.086/tech_proj!AB318/(1-tech_proj!AB598))</f>
        <v>145.51602476363522</v>
      </c>
      <c r="AC2218" s="119">
        <f>IF(tech_base!$T194&gt;AC$2025,"",fuel_costs!U$15*0.086/tech_proj!AC318/(1-tech_proj!AC598))</f>
        <v>148.41760999230684</v>
      </c>
      <c r="AD2218" s="119">
        <f>IF(tech_base!$T194&gt;AD$2025,"",fuel_costs!V$15*0.086/tech_proj!AD318/(1-tech_proj!AD598))</f>
        <v>150.18959305577383</v>
      </c>
      <c r="AE2218" s="119">
        <f>IF(tech_base!$T194&gt;AE$2025,"",fuel_costs!W$15*0.086/tech_proj!AE318/(1-tech_proj!AE598))</f>
        <v>151.8797831848949</v>
      </c>
      <c r="AF2218" s="119">
        <f>IF(tech_base!$T194&gt;AF$2025,"",fuel_costs!X$15*0.086/tech_proj!AF318/(1-tech_proj!AF598))</f>
        <v>152.72908999209082</v>
      </c>
      <c r="AG2218" s="119">
        <f>IF(tech_base!$T194&gt;AG$2025,"",fuel_costs!Y$15*0.086/tech_proj!AG318/(1-tech_proj!AG598))</f>
        <v>153.70200503547139</v>
      </c>
      <c r="AH2218" s="119">
        <f>IF(tech_base!$T194&gt;AH$2025,"",fuel_costs!Z$15*0.086/tech_proj!AH318/(1-tech_proj!AH598))</f>
        <v>154.79815487132973</v>
      </c>
      <c r="AI2218" s="119">
        <f>IF(tech_base!$T194&gt;AI$2025,"",fuel_costs!AA$15*0.086/tech_proj!AI318/(1-tech_proj!AI598))</f>
        <v>156.02932919490343</v>
      </c>
      <c r="AJ2218" s="119">
        <f>IF(tech_base!$T194&gt;AJ$2025,"",fuel_costs!AB$15*0.086/tech_proj!AJ318/(1-tech_proj!AJ598))</f>
        <v>157.41700159218621</v>
      </c>
      <c r="AK2218" s="119">
        <f>IF(tech_base!$T194&gt;AK$2025,"",fuel_costs!AC$15*0.086/tech_proj!AK318/(1-tech_proj!AK598))</f>
        <v>158.99402449546793</v>
      </c>
      <c r="AL2218" s="119">
        <f>IF(tech_base!$T194&gt;AL$2025,"",fuel_costs!AD$15*0.086/tech_proj!AL318/(1-tech_proj!AL598))</f>
        <v>160.7028166957989</v>
      </c>
      <c r="AM2218" s="119">
        <f>IF(tech_base!$T194&gt;AM$2025,"",fuel_costs!AE$15*0.086/tech_proj!AM318/(1-tech_proj!AM598))</f>
        <v>162.47265310339799</v>
      </c>
      <c r="AN2218" s="119">
        <f>IF(tech_base!$T194&gt;AN$2025,"",fuel_costs!AF$15*0.086/tech_proj!AN318/(1-tech_proj!AN598))</f>
        <v>164.28017840628522</v>
      </c>
      <c r="AO2218" s="119">
        <f>IF(tech_base!$T194&gt;AO$2025,"",fuel_costs!AG$15*0.086/tech_proj!AO318/(1-tech_proj!AO598))</f>
        <v>164.44061507410953</v>
      </c>
      <c r="AP2218" s="119">
        <f>IF(tech_base!$T194&gt;AP$2025,"",fuel_costs!AH$15*0.086/tech_proj!AP318/(1-tech_proj!AP598))</f>
        <v>165.04290272026401</v>
      </c>
      <c r="AQ2218" s="119">
        <f>IF(tech_base!$T194&gt;AQ$2025,"",fuel_costs!AI$15*0.086/tech_proj!AQ318/(1-tech_proj!AQ598))</f>
        <v>165.68475754016455</v>
      </c>
      <c r="AR2218" s="119">
        <f>IF(tech_base!$T194&gt;AR$2025,"",fuel_costs!AJ$15*0.086/tech_proj!AR318/(1-tech_proj!AR598))</f>
        <v>167.08695700236359</v>
      </c>
      <c r="AS2218" s="119">
        <f>IF(tech_base!$T194&gt;AS$2025,"",fuel_costs!AK$15*0.086/tech_proj!AS318/(1-tech_proj!AS598))</f>
        <v>167.81463836282998</v>
      </c>
      <c r="AT2218" s="119">
        <f>IF(tech_base!$T194&gt;AT$2025,"",fuel_costs!AL$15*0.086/tech_proj!AT318/(1-tech_proj!AT598))</f>
        <v>168.53968800335457</v>
      </c>
      <c r="AU2218" s="119">
        <f>IF(tech_base!$T194&gt;AU$2025,"",fuel_costs!AM$15*0.086/tech_proj!AU318/(1-tech_proj!AU598))</f>
        <v>169.24943736863077</v>
      </c>
      <c r="AV2218" s="119">
        <f>IF(tech_base!$T194&gt;AV$2025,"",fuel_costs!AN$15*0.086/tech_proj!AV318/(1-tech_proj!AV598))</f>
        <v>169.93539422984071</v>
      </c>
      <c r="AW2218" s="119">
        <f>IF(tech_base!$T194&gt;AW$2025,"",fuel_costs!AO$15*0.086/tech_proj!AW318/(1-tech_proj!AW598))</f>
        <v>170.59115033861815</v>
      </c>
      <c r="AX2218" s="120">
        <f>IF(tech_base!$T194&gt;AX$2025,"",fuel_costs!AP$15*0.086/tech_proj!AX318/(1-tech_proj!AX598))</f>
        <v>171.46489552507975</v>
      </c>
    </row>
    <row r="2219" spans="1:50" x14ac:dyDescent="0.25">
      <c r="A2219" s="356"/>
      <c r="B2219" s="376"/>
      <c r="C2219" s="361" t="s">
        <v>14</v>
      </c>
      <c r="D2219" s="58" t="s">
        <v>7</v>
      </c>
      <c r="E2219" s="78" t="str">
        <f>A2199&amp;"/"&amp;B2215&amp;"/"&amp;C2219&amp;"/"&amp;D2219</f>
        <v>Fuel oil fired power plants/Steam turbine/CHP/L</v>
      </c>
      <c r="F2219" s="78" t="str">
        <f>A2199</f>
        <v>Fuel oil fired power plants</v>
      </c>
      <c r="G2219" s="78" t="str">
        <f>B2215</f>
        <v>Steam turbine</v>
      </c>
      <c r="H2219" s="78" t="str">
        <f>C2219</f>
        <v>CHP</v>
      </c>
      <c r="I2219" s="78" t="str">
        <f t="shared" ref="I2219:I2282" si="390">D2219</f>
        <v>L</v>
      </c>
      <c r="J2219" s="123">
        <f>IF(tech_base!$T195&gt;J$2025,"",fuel_costs!B$15*0.086/tech_proj!J319/(1-tech_proj!J599))</f>
        <v>96.031527124686136</v>
      </c>
      <c r="K2219" s="123">
        <f>IF(tech_base!$T195&gt;K$2025,"",fuel_costs!C$15*0.086/tech_proj!K319/(1-tech_proj!K599))</f>
        <v>121.70923428391576</v>
      </c>
      <c r="L2219" s="123">
        <f>IF(tech_base!$T195&gt;L$2025,"",fuel_costs!D$15*0.086/tech_proj!L319/(1-tech_proj!L599))</f>
        <v>129.3991507609507</v>
      </c>
      <c r="M2219" s="123">
        <f>IF(tech_base!$T195&gt;M$2025,"",fuel_costs!E$15*0.086/tech_proj!M319/(1-tech_proj!M599))</f>
        <v>122.60256646802596</v>
      </c>
      <c r="N2219" s="123">
        <f>IF(tech_base!$T195&gt;N$2025,"",fuel_costs!F$15*0.086/tech_proj!N319/(1-tech_proj!N599))</f>
        <v>111.88247540444219</v>
      </c>
      <c r="O2219" s="123">
        <f>IF(tech_base!$T195&gt;O$2025,"",fuel_costs!G$15*0.086/tech_proj!O319/(1-tech_proj!O599))</f>
        <v>76.018032884411824</v>
      </c>
      <c r="P2219" s="123">
        <f>IF(tech_base!$T195&gt;P$2025,"",fuel_costs!H$15*0.086/tech_proj!P319/(1-tech_proj!P599))</f>
        <v>67.501279581672264</v>
      </c>
      <c r="Q2219" s="123">
        <f>IF(tech_base!$T195&gt;Q$2025,"",fuel_costs!I$15*0.086/tech_proj!Q319/(1-tech_proj!Q599))</f>
        <v>77.745754102373354</v>
      </c>
      <c r="R2219" s="123">
        <f>IF(tech_base!$T195&gt;R$2025,"",fuel_costs!J$15*0.086/tech_proj!R319/(1-tech_proj!R599))</f>
        <v>86.888697607655757</v>
      </c>
      <c r="S2219" s="123">
        <f>IF(tech_base!$T195&gt;S$2025,"",fuel_costs!K$15*0.086/tech_proj!S319/(1-tech_proj!S599))</f>
        <v>94.902617463610895</v>
      </c>
      <c r="T2219" s="123">
        <f>IF(tech_base!$T195&gt;T$2025,"",fuel_costs!L$15*0.086/tech_proj!T319/(1-tech_proj!T599))</f>
        <v>102.62672794475189</v>
      </c>
      <c r="U2219" s="123">
        <f>IF(tech_base!$T195&gt;U$2025,"",fuel_costs!M$15*0.086/tech_proj!U319/(1-tech_proj!U599))</f>
        <v>109.97888324132039</v>
      </c>
      <c r="V2219" s="123">
        <f>IF(tech_base!$T195&gt;V$2025,"",fuel_costs!N$15*0.086/tech_proj!V319/(1-tech_proj!V599))</f>
        <v>114.90109640088019</v>
      </c>
      <c r="W2219" s="123">
        <f>IF(tech_base!$T195&gt;W$2025,"",fuel_costs!O$15*0.086/tech_proj!W319/(1-tech_proj!W599))</f>
        <v>120.93305152689429</v>
      </c>
      <c r="X2219" s="123">
        <f>IF(tech_base!$T195&gt;X$2025,"",fuel_costs!P$15*0.086/tech_proj!X319/(1-tech_proj!X599))</f>
        <v>126.16342905499587</v>
      </c>
      <c r="Y2219" s="123">
        <f>IF(tech_base!$T195&gt;Y$2025,"",fuel_costs!Q$15*0.086/tech_proj!Y319/(1-tech_proj!Y599))</f>
        <v>130.59746772473736</v>
      </c>
      <c r="Z2219" s="123">
        <f>IF(tech_base!$T195&gt;Z$2025,"",fuel_costs!R$15*0.086/tech_proj!Z319/(1-tech_proj!Z599))</f>
        <v>133.43381501965663</v>
      </c>
      <c r="AA2219" s="123">
        <f>IF(tech_base!$T195&gt;AA$2025,"",fuel_costs!S$15*0.086/tech_proj!AA319/(1-tech_proj!AA599))</f>
        <v>136.00116290077679</v>
      </c>
      <c r="AB2219" s="123">
        <f>IF(tech_base!$T195&gt;AB$2025,"",fuel_costs!T$15*0.086/tech_proj!AB319/(1-tech_proj!AB599))</f>
        <v>137.75539138498482</v>
      </c>
      <c r="AC2219" s="123">
        <f>IF(tech_base!$T195&gt;AC$2025,"",fuel_costs!U$15*0.086/tech_proj!AC319/(1-tech_proj!AC599))</f>
        <v>140.49522588271782</v>
      </c>
      <c r="AD2219" s="123">
        <f>IF(tech_base!$T195&gt;AD$2025,"",fuel_costs!V$15*0.086/tech_proj!AD319/(1-tech_proj!AD599))</f>
        <v>142.16556737060347</v>
      </c>
      <c r="AE2219" s="123">
        <f>IF(tech_base!$T195&gt;AE$2025,"",fuel_costs!W$15*0.086/tech_proj!AE319/(1-tech_proj!AE599))</f>
        <v>143.75836875972442</v>
      </c>
      <c r="AF2219" s="123">
        <f>IF(tech_base!$T195&gt;AF$2025,"",fuel_costs!X$15*0.086/tech_proj!AF319/(1-tech_proj!AF599))</f>
        <v>144.55519038655589</v>
      </c>
      <c r="AG2219" s="123">
        <f>IF(tech_base!$T195&gt;AG$2025,"",fuel_costs!Y$15*0.086/tech_proj!AG319/(1-tech_proj!AG599))</f>
        <v>145.46899005061962</v>
      </c>
      <c r="AH2219" s="123">
        <f>IF(tech_base!$T195&gt;AH$2025,"",fuel_costs!Z$15*0.086/tech_proj!AH319/(1-tech_proj!AH599))</f>
        <v>146.49940933962355</v>
      </c>
      <c r="AI2219" s="123">
        <f>IF(tech_base!$T195&gt;AI$2025,"",fuel_costs!AA$15*0.086/tech_proj!AI319/(1-tech_proj!AI599))</f>
        <v>147.65760034163128</v>
      </c>
      <c r="AJ2219" s="123">
        <f>IF(tech_base!$T195&gt;AJ$2025,"",fuel_costs!AB$15*0.086/tech_proj!AJ319/(1-tech_proj!AJ599))</f>
        <v>148.96387688367929</v>
      </c>
      <c r="AK2219" s="123">
        <f>IF(tech_base!$T195&gt;AK$2025,"",fuel_costs!AC$15*0.086/tech_proj!AK319/(1-tech_proj!AK599))</f>
        <v>150.44931641291492</v>
      </c>
      <c r="AL2219" s="123">
        <f>IF(tech_base!$T195&gt;AL$2025,"",fuel_costs!AD$15*0.086/tech_proj!AL319/(1-tech_proj!AL599))</f>
        <v>152.05942126282952</v>
      </c>
      <c r="AM2219" s="123">
        <f>IF(tech_base!$T195&gt;AM$2025,"",fuel_costs!AE$15*0.086/tech_proj!AM319/(1-tech_proj!AM599))</f>
        <v>153.7272673798976</v>
      </c>
      <c r="AN2219" s="123">
        <f>IF(tech_base!$T195&gt;AN$2025,"",fuel_costs!AF$15*0.086/tech_proj!AN319/(1-tech_proj!AN599))</f>
        <v>155.43076051113121</v>
      </c>
      <c r="AO2219" s="123">
        <f>IF(tech_base!$T195&gt;AO$2025,"",fuel_costs!AG$15*0.086/tech_proj!AO319/(1-tech_proj!AO599))</f>
        <v>155.57595165517327</v>
      </c>
      <c r="AP2219" s="123">
        <f>IF(tech_base!$T195&gt;AP$2025,"",fuel_costs!AH$15*0.086/tech_proj!AP319/(1-tech_proj!AP599))</f>
        <v>156.13929151898532</v>
      </c>
      <c r="AQ2219" s="123">
        <f>IF(tech_base!$T195&gt;AQ$2025,"",fuel_costs!AI$15*0.086/tech_proj!AQ319/(1-tech_proj!AQ599))</f>
        <v>156.74016755518119</v>
      </c>
      <c r="AR2219" s="123">
        <f>IF(tech_base!$T195&gt;AR$2025,"",fuel_costs!AJ$15*0.086/tech_proj!AR319/(1-tech_proj!AR599))</f>
        <v>158.0604193306549</v>
      </c>
      <c r="AS2219" s="123">
        <f>IF(tech_base!$T195&gt;AS$2025,"",fuel_costs!AK$15*0.086/tech_proj!AS319/(1-tech_proj!AS599))</f>
        <v>158.74267341033891</v>
      </c>
      <c r="AT2219" s="123">
        <f>IF(tech_base!$T195&gt;AT$2025,"",fuel_costs!AL$15*0.086/tech_proj!AT319/(1-tech_proj!AT599))</f>
        <v>159.42254848356302</v>
      </c>
      <c r="AU2219" s="123">
        <f>IF(tech_base!$T195&gt;AU$2025,"",fuel_costs!AM$15*0.086/tech_proj!AU319/(1-tech_proj!AU599))</f>
        <v>160.08806562098135</v>
      </c>
      <c r="AV2219" s="123">
        <f>IF(tech_base!$T195&gt;AV$2025,"",fuel_costs!AN$15*0.086/tech_proj!AV319/(1-tech_proj!AV599))</f>
        <v>160.73119713310828</v>
      </c>
      <c r="AW2219" s="123">
        <f>IF(tech_base!$T195&gt;AW$2025,"",fuel_costs!AO$15*0.086/tech_proj!AW319/(1-tech_proj!AW599))</f>
        <v>161.34588684297435</v>
      </c>
      <c r="AX2219" s="124">
        <f>IF(tech_base!$T195&gt;AX$2025,"",fuel_costs!AP$15*0.086/tech_proj!AX319/(1-tech_proj!AX599))</f>
        <v>162.1668707216069</v>
      </c>
    </row>
    <row r="2220" spans="1:50" x14ac:dyDescent="0.25">
      <c r="A2220" s="356"/>
      <c r="B2220" s="376"/>
      <c r="C2220" s="378"/>
      <c r="D2220" s="2" t="s">
        <v>8</v>
      </c>
      <c r="E2220" s="76" t="str">
        <f>A2199&amp;"/"&amp;B2215&amp;"/"&amp;C2219&amp;"/"&amp;D2220</f>
        <v>Fuel oil fired power plants/Steam turbine/CHP/M</v>
      </c>
      <c r="F2220" s="76" t="str">
        <f>A2199</f>
        <v>Fuel oil fired power plants</v>
      </c>
      <c r="G2220" s="76" t="str">
        <f>B2215</f>
        <v>Steam turbine</v>
      </c>
      <c r="H2220" s="76" t="str">
        <f>C2219</f>
        <v>CHP</v>
      </c>
      <c r="I2220" s="76" t="str">
        <f t="shared" si="390"/>
        <v>M</v>
      </c>
      <c r="J2220" s="119">
        <f>IF(tech_base!$T196&gt;J$2025,"",fuel_costs!B$15*0.086/tech_proj!J320/(1-tech_proj!J600))</f>
        <v>101.1149271799863</v>
      </c>
      <c r="K2220" s="119">
        <f>IF(tech_base!$T196&gt;K$2025,"",fuel_costs!C$15*0.086/tech_proj!K320/(1-tech_proj!K600))</f>
        <v>128.15187605807071</v>
      </c>
      <c r="L2220" s="119">
        <f>IF(tech_base!$T196&gt;L$2025,"",fuel_costs!D$15*0.086/tech_proj!L320/(1-tech_proj!L600))</f>
        <v>136.2488559549538</v>
      </c>
      <c r="M2220" s="119">
        <f>IF(tech_base!$T196&gt;M$2025,"",fuel_costs!E$15*0.086/tech_proj!M320/(1-tech_proj!M600))</f>
        <v>129.09249651312771</v>
      </c>
      <c r="N2220" s="119">
        <f>IF(tech_base!$T196&gt;N$2025,"",fuel_costs!F$15*0.086/tech_proj!N320/(1-tech_proj!N600))</f>
        <v>117.80494064775348</v>
      </c>
      <c r="O2220" s="119">
        <f>IF(tech_base!$T196&gt;O$2025,"",fuel_costs!G$15*0.086/tech_proj!O320/(1-tech_proj!O600))</f>
        <v>80.04202463106698</v>
      </c>
      <c r="P2220" s="119">
        <f>IF(tech_base!$T196&gt;P$2025,"",fuel_costs!H$15*0.086/tech_proj!P320/(1-tech_proj!P600))</f>
        <v>71.074439549364754</v>
      </c>
      <c r="Q2220" s="119">
        <f>IF(tech_base!$T196&gt;Q$2025,"",fuel_costs!I$15*0.086/tech_proj!Q320/(1-tech_proj!Q600))</f>
        <v>81.861202252960624</v>
      </c>
      <c r="R2220" s="119">
        <f>IF(tech_base!$T196&gt;R$2025,"",fuel_costs!J$15*0.086/tech_proj!R320/(1-tech_proj!R600))</f>
        <v>91.488124727566415</v>
      </c>
      <c r="S2220" s="119">
        <f>IF(tech_base!$T196&gt;S$2025,"",fuel_costs!K$15*0.086/tech_proj!S320/(1-tech_proj!S600))</f>
        <v>99.926259024952216</v>
      </c>
      <c r="T2220" s="119">
        <f>IF(tech_base!$T196&gt;T$2025,"",fuel_costs!L$15*0.086/tech_proj!T320/(1-tech_proj!T600))</f>
        <v>108.0592429752821</v>
      </c>
      <c r="U2220" s="119">
        <f>IF(tech_base!$T196&gt;U$2025,"",fuel_costs!M$15*0.086/tech_proj!U320/(1-tech_proj!U600))</f>
        <v>115.80058240502203</v>
      </c>
      <c r="V2220" s="119">
        <f>IF(tech_base!$T196&gt;V$2025,"",fuel_costs!N$15*0.086/tech_proj!V320/(1-tech_proj!V600))</f>
        <v>120.98335144031022</v>
      </c>
      <c r="W2220" s="119">
        <f>IF(tech_base!$T196&gt;W$2025,"",fuel_costs!O$15*0.086/tech_proj!W320/(1-tech_proj!W600))</f>
        <v>127.33460629985176</v>
      </c>
      <c r="X2220" s="119">
        <f>IF(tech_base!$T196&gt;X$2025,"",fuel_costs!P$15*0.086/tech_proj!X320/(1-tech_proj!X600))</f>
        <v>132.84185229200548</v>
      </c>
      <c r="Y2220" s="119">
        <f>IF(tech_base!$T196&gt;Y$2025,"",fuel_costs!Q$15*0.086/tech_proj!Y320/(1-tech_proj!Y600))</f>
        <v>137.51060546742909</v>
      </c>
      <c r="Z2220" s="119">
        <f>IF(tech_base!$T196&gt;Z$2025,"",fuel_costs!R$15*0.086/tech_proj!Z320/(1-tech_proj!Z600))</f>
        <v>140.49709395480406</v>
      </c>
      <c r="AA2220" s="119">
        <f>IF(tech_base!$T196&gt;AA$2025,"",fuel_costs!S$15*0.086/tech_proj!AA320/(1-tech_proj!AA600))</f>
        <v>143.2003436251764</v>
      </c>
      <c r="AB2220" s="119">
        <f>IF(tech_base!$T196&gt;AB$2025,"",fuel_costs!T$15*0.086/tech_proj!AB320/(1-tech_proj!AB600))</f>
        <v>145.04743166749654</v>
      </c>
      <c r="AC2220" s="119">
        <f>IF(tech_base!$T196&gt;AC$2025,"",fuel_costs!U$15*0.086/tech_proj!AC320/(1-tech_proj!AC600))</f>
        <v>147.93229848174369</v>
      </c>
      <c r="AD2220" s="119">
        <f>IF(tech_base!$T196&gt;AD$2025,"",fuel_costs!V$15*0.086/tech_proj!AD320/(1-tech_proj!AD600))</f>
        <v>149.69105899477793</v>
      </c>
      <c r="AE2220" s="119">
        <f>IF(tech_base!$T196&gt;AE$2025,"",fuel_costs!W$15*0.086/tech_proj!AE320/(1-tech_proj!AE600))</f>
        <v>151.36817484720029</v>
      </c>
      <c r="AF2220" s="119">
        <f>IF(tech_base!$T196&gt;AF$2025,"",fuel_costs!X$15*0.086/tech_proj!AF320/(1-tech_proj!AF600))</f>
        <v>152.20717598760589</v>
      </c>
      <c r="AG2220" s="119">
        <f>IF(tech_base!$T196&gt;AG$2025,"",fuel_costs!Y$15*0.086/tech_proj!AG320/(1-tech_proj!AG600))</f>
        <v>153.1693473625225</v>
      </c>
      <c r="AH2220" s="119">
        <f>IF(tech_base!$T196&gt;AH$2025,"",fuel_costs!Z$15*0.086/tech_proj!AH320/(1-tech_proj!AH600))</f>
        <v>154.25431158721102</v>
      </c>
      <c r="AI2220" s="119">
        <f>IF(tech_base!$T196&gt;AI$2025,"",fuel_costs!AA$15*0.086/tech_proj!AI320/(1-tech_proj!AI600))</f>
        <v>155.47381108216823</v>
      </c>
      <c r="AJ2220" s="119">
        <f>IF(tech_base!$T196&gt;AJ$2025,"",fuel_costs!AB$15*0.086/tech_proj!AJ320/(1-tech_proj!AJ600))</f>
        <v>156.8492349807658</v>
      </c>
      <c r="AK2220" s="119">
        <f>IF(tech_base!$T196&gt;AK$2025,"",fuel_costs!AC$15*0.086/tech_proj!AK320/(1-tech_proj!AK600))</f>
        <v>158.41330580548475</v>
      </c>
      <c r="AL2220" s="119">
        <f>IF(tech_base!$T196&gt;AL$2025,"",fuel_costs!AD$15*0.086/tech_proj!AL320/(1-tech_proj!AL600))</f>
        <v>160.10864107220263</v>
      </c>
      <c r="AM2220" s="119">
        <f>IF(tech_base!$T196&gt;AM$2025,"",fuel_costs!AE$15*0.086/tech_proj!AM320/(1-tech_proj!AM600))</f>
        <v>161.86477412271427</v>
      </c>
      <c r="AN2220" s="119">
        <f>IF(tech_base!$T196&gt;AN$2025,"",fuel_costs!AF$15*0.086/tech_proj!AN320/(1-tech_proj!AN600))</f>
        <v>163.65844115138336</v>
      </c>
      <c r="AO2220" s="119">
        <f>IF(tech_base!$T196&gt;AO$2025,"",fuel_costs!AG$15*0.086/tech_proj!AO320/(1-tech_proj!AO600))</f>
        <v>163.81131794504228</v>
      </c>
      <c r="AP2220" s="119">
        <f>IF(tech_base!$T196&gt;AP$2025,"",fuel_costs!AH$15*0.086/tech_proj!AP320/(1-tech_proj!AP600))</f>
        <v>164.40447803540491</v>
      </c>
      <c r="AQ2220" s="119">
        <f>IF(tech_base!$T196&gt;AQ$2025,"",fuel_costs!AI$15*0.086/tech_proj!AQ320/(1-tech_proj!AQ600))</f>
        <v>165.0371612641664</v>
      </c>
      <c r="AR2220" s="119">
        <f>IF(tech_base!$T196&gt;AR$2025,"",fuel_costs!AJ$15*0.086/tech_proj!AR320/(1-tech_proj!AR600))</f>
        <v>166.42730017097497</v>
      </c>
      <c r="AS2220" s="119">
        <f>IF(tech_base!$T196&gt;AS$2025,"",fuel_costs!AK$15*0.086/tech_proj!AS320/(1-tech_proj!AS600))</f>
        <v>167.14566916552329</v>
      </c>
      <c r="AT2220" s="119">
        <f>IF(tech_base!$T196&gt;AT$2025,"",fuel_costs!AL$15*0.086/tech_proj!AT320/(1-tech_proj!AT600))</f>
        <v>167.861533221619</v>
      </c>
      <c r="AU2220" s="119">
        <f>IF(tech_base!$T196&gt;AU$2025,"",fuel_costs!AM$15*0.086/tech_proj!AU320/(1-tech_proj!AU600))</f>
        <v>168.56227930888798</v>
      </c>
      <c r="AV2220" s="119">
        <f>IF(tech_base!$T196&gt;AV$2025,"",fuel_costs!AN$15*0.086/tech_proj!AV320/(1-tech_proj!AV600))</f>
        <v>169.23945479451194</v>
      </c>
      <c r="AW2220" s="119">
        <f>IF(tech_base!$T196&gt;AW$2025,"",fuel_costs!AO$15*0.086/tech_proj!AW320/(1-tech_proj!AW600))</f>
        <v>169.8866829196119</v>
      </c>
      <c r="AX2220" s="120">
        <f>IF(tech_base!$T196&gt;AX$2025,"",fuel_costs!AP$15*0.086/tech_proj!AX320/(1-tech_proj!AX600))</f>
        <v>170.75112533336303</v>
      </c>
    </row>
    <row r="2221" spans="1:50" x14ac:dyDescent="0.25">
      <c r="A2221" s="356"/>
      <c r="B2221" s="376"/>
      <c r="C2221" s="378"/>
      <c r="D2221" s="2" t="s">
        <v>10</v>
      </c>
      <c r="E2221" s="76" t="str">
        <f>A2199&amp;"/"&amp;B2215&amp;"/"&amp;C2219&amp;"/"&amp;D2221</f>
        <v>Fuel oil fired power plants/Steam turbine/CHP/S</v>
      </c>
      <c r="F2221" s="76" t="str">
        <f>A2199</f>
        <v>Fuel oil fired power plants</v>
      </c>
      <c r="G2221" s="76" t="str">
        <f>B2215</f>
        <v>Steam turbine</v>
      </c>
      <c r="H2221" s="76" t="str">
        <f>C2219</f>
        <v>CHP</v>
      </c>
      <c r="I2221" s="76" t="str">
        <f t="shared" si="390"/>
        <v>S</v>
      </c>
      <c r="J2221" s="119">
        <f>IF(tech_base!$T197&gt;J$2025,"",fuel_costs!B$15*0.086/tech_proj!J321/(1-tech_proj!J601))</f>
        <v>106.48316967086461</v>
      </c>
      <c r="K2221" s="119">
        <f>IF(tech_base!$T197&gt;K$2025,"",fuel_costs!C$15*0.086/tech_proj!K321/(1-tech_proj!K601))</f>
        <v>134.95552380353308</v>
      </c>
      <c r="L2221" s="119">
        <f>IF(tech_base!$T197&gt;L$2025,"",fuel_costs!D$15*0.086/tech_proj!L321/(1-tech_proj!L601))</f>
        <v>143.4823764476206</v>
      </c>
      <c r="M2221" s="119">
        <f>IF(tech_base!$T197&gt;M$2025,"",fuel_costs!E$15*0.086/tech_proj!M321/(1-tech_proj!M601))</f>
        <v>135.94608227304013</v>
      </c>
      <c r="N2221" s="119">
        <f>IF(tech_base!$T197&gt;N$2025,"",fuel_costs!F$15*0.086/tech_proj!N321/(1-tech_proj!N601))</f>
        <v>124.05926437282504</v>
      </c>
      <c r="O2221" s="119">
        <f>IF(tech_base!$T197&gt;O$2025,"",fuel_costs!G$15*0.086/tech_proj!O321/(1-tech_proj!O601))</f>
        <v>84.291496095508393</v>
      </c>
      <c r="P2221" s="119">
        <f>IF(tech_base!$T197&gt;P$2025,"",fuel_costs!H$15*0.086/tech_proj!P321/(1-tech_proj!P601))</f>
        <v>74.847817398167493</v>
      </c>
      <c r="Q2221" s="119">
        <f>IF(tech_base!$T197&gt;Q$2025,"",fuel_costs!I$15*0.086/tech_proj!Q321/(1-tech_proj!Q601))</f>
        <v>86.207254775022918</v>
      </c>
      <c r="R2221" s="119">
        <f>IF(tech_base!$T197&gt;R$2025,"",fuel_costs!J$15*0.086/tech_proj!R321/(1-tech_proj!R601))</f>
        <v>96.345275420055941</v>
      </c>
      <c r="S2221" s="119">
        <f>IF(tech_base!$T197&gt;S$2025,"",fuel_costs!K$15*0.086/tech_proj!S321/(1-tech_proj!S601))</f>
        <v>105.23139452386238</v>
      </c>
      <c r="T2221" s="119">
        <f>IF(tech_base!$T197&gt;T$2025,"",fuel_costs!L$15*0.086/tech_proj!T321/(1-tech_proj!T601))</f>
        <v>113.79616269475623</v>
      </c>
      <c r="U2221" s="119">
        <f>IF(tech_base!$T197&gt;U$2025,"",fuel_costs!M$15*0.086/tech_proj!U321/(1-tech_proj!U601))</f>
        <v>121.94849373989899</v>
      </c>
      <c r="V2221" s="119">
        <f>IF(tech_base!$T197&gt;V$2025,"",fuel_costs!N$15*0.086/tech_proj!V321/(1-tech_proj!V601))</f>
        <v>127.40641859769117</v>
      </c>
      <c r="W2221" s="119">
        <f>IF(tech_base!$T197&gt;W$2025,"",fuel_costs!O$15*0.086/tech_proj!W321/(1-tech_proj!W601))</f>
        <v>134.09486478158288</v>
      </c>
      <c r="X2221" s="119">
        <f>IF(tech_base!$T197&gt;X$2025,"",fuel_costs!P$15*0.086/tech_proj!X321/(1-tech_proj!X601))</f>
        <v>139.89449324156132</v>
      </c>
      <c r="Y2221" s="119">
        <f>IF(tech_base!$T197&gt;Y$2025,"",fuel_costs!Q$15*0.086/tech_proj!Y321/(1-tech_proj!Y601))</f>
        <v>144.81111287819607</v>
      </c>
      <c r="Z2221" s="119">
        <f>IF(tech_base!$T197&gt;Z$2025,"",fuel_costs!R$15*0.086/tech_proj!Z321/(1-tech_proj!Z601))</f>
        <v>147.95615554588426</v>
      </c>
      <c r="AA2221" s="119">
        <f>IF(tech_base!$T197&gt;AA$2025,"",fuel_costs!S$15*0.086/tech_proj!AA321/(1-tech_proj!AA601))</f>
        <v>150.80292210489668</v>
      </c>
      <c r="AB2221" s="119">
        <f>IF(tech_base!$T197&gt;AB$2025,"",fuel_costs!T$15*0.086/tech_proj!AB321/(1-tech_proj!AB601))</f>
        <v>152.74807298313746</v>
      </c>
      <c r="AC2221" s="119">
        <f>IF(tech_base!$T197&gt;AC$2025,"",fuel_costs!U$15*0.086/tech_proj!AC321/(1-tech_proj!AC601))</f>
        <v>155.78609883180889</v>
      </c>
      <c r="AD2221" s="119">
        <f>IF(tech_base!$T197&gt;AD$2025,"",fuel_costs!V$15*0.086/tech_proj!AD321/(1-tech_proj!AD601))</f>
        <v>157.63823282767754</v>
      </c>
      <c r="AE2221" s="119">
        <f>IF(tech_base!$T197&gt;AE$2025,"",fuel_costs!W$15*0.086/tech_proj!AE321/(1-tech_proj!AE601))</f>
        <v>159.40438760671734</v>
      </c>
      <c r="AF2221" s="119">
        <f>IF(tech_base!$T197&gt;AF$2025,"",fuel_costs!X$15*0.086/tech_proj!AF321/(1-tech_proj!AF601))</f>
        <v>160.28793174089674</v>
      </c>
      <c r="AG2221" s="119">
        <f>IF(tech_base!$T197&gt;AG$2025,"",fuel_costs!Y$15*0.086/tech_proj!AG321/(1-tech_proj!AG601))</f>
        <v>161.30118527947002</v>
      </c>
      <c r="AH2221" s="119">
        <f>IF(tech_base!$T197&gt;AH$2025,"",fuel_costs!Z$15*0.086/tech_proj!AH321/(1-tech_proj!AH601))</f>
        <v>162.44375080215167</v>
      </c>
      <c r="AI2221" s="119">
        <f>IF(tech_base!$T197&gt;AI$2025,"",fuel_costs!AA$15*0.086/tech_proj!AI321/(1-tech_proj!AI601))</f>
        <v>163.72799414046631</v>
      </c>
      <c r="AJ2221" s="119">
        <f>IF(tech_base!$T197&gt;AJ$2025,"",fuel_costs!AB$15*0.086/tech_proj!AJ321/(1-tech_proj!AJ601))</f>
        <v>165.1764399876657</v>
      </c>
      <c r="AK2221" s="119">
        <f>IF(tech_base!$T197&gt;AK$2025,"",fuel_costs!AC$15*0.086/tech_proj!AK321/(1-tech_proj!AK601))</f>
        <v>166.82354812145635</v>
      </c>
      <c r="AL2221" s="119">
        <f>IF(tech_base!$T197&gt;AL$2025,"",fuel_costs!AD$15*0.086/tech_proj!AL321/(1-tech_proj!AL601))</f>
        <v>168.60888959268721</v>
      </c>
      <c r="AM2221" s="119">
        <f>IF(tech_base!$T197&gt;AM$2025,"",fuel_costs!AE$15*0.086/tech_proj!AM321/(1-tech_proj!AM601))</f>
        <v>170.45825663272254</v>
      </c>
      <c r="AN2221" s="119">
        <f>IF(tech_base!$T197&gt;AN$2025,"",fuel_costs!AF$15*0.086/tech_proj!AN321/(1-tech_proj!AN601))</f>
        <v>172.34715034874961</v>
      </c>
      <c r="AO2221" s="119">
        <f>IF(tech_base!$T197&gt;AO$2025,"",fuel_costs!AG$15*0.086/tech_proj!AO321/(1-tech_proj!AO601))</f>
        <v>172.50814344850178</v>
      </c>
      <c r="AP2221" s="119">
        <f>IF(tech_base!$T197&gt;AP$2025,"",fuel_costs!AH$15*0.086/tech_proj!AP321/(1-tech_proj!AP601))</f>
        <v>173.13279470727824</v>
      </c>
      <c r="AQ2221" s="119">
        <f>IF(tech_base!$T197&gt;AQ$2025,"",fuel_costs!AI$15*0.086/tech_proj!AQ321/(1-tech_proj!AQ601))</f>
        <v>173.79906740780837</v>
      </c>
      <c r="AR2221" s="119">
        <f>IF(tech_base!$T197&gt;AR$2025,"",fuel_costs!AJ$15*0.086/tech_proj!AR321/(1-tech_proj!AR601))</f>
        <v>175.26300949042772</v>
      </c>
      <c r="AS2221" s="119">
        <f>IF(tech_base!$T197&gt;AS$2025,"",fuel_costs!AK$15*0.086/tech_proj!AS321/(1-tech_proj!AS601))</f>
        <v>176.01951705727407</v>
      </c>
      <c r="AT2221" s="119">
        <f>IF(tech_base!$T197&gt;AT$2025,"",fuel_costs!AL$15*0.086/tech_proj!AT321/(1-tech_proj!AT601))</f>
        <v>176.77338669722172</v>
      </c>
      <c r="AU2221" s="119">
        <f>IF(tech_base!$T197&gt;AU$2025,"",fuel_costs!AM$15*0.086/tech_proj!AU321/(1-tech_proj!AU601))</f>
        <v>177.51133574775153</v>
      </c>
      <c r="AV2221" s="119">
        <f>IF(tech_base!$T197&gt;AV$2025,"",fuel_costs!AN$15*0.086/tech_proj!AV321/(1-tech_proj!AV601))</f>
        <v>178.22446282150483</v>
      </c>
      <c r="AW2221" s="119">
        <f>IF(tech_base!$T197&gt;AW$2025,"",fuel_costs!AO$15*0.086/tech_proj!AW321/(1-tech_proj!AW601))</f>
        <v>178.90605261425716</v>
      </c>
      <c r="AX2221" s="120">
        <f>IF(tech_base!$T197&gt;AX$2025,"",fuel_costs!AP$15*0.086/tech_proj!AX321/(1-tech_proj!AX601))</f>
        <v>179.81638871181775</v>
      </c>
    </row>
    <row r="2222" spans="1:50" x14ac:dyDescent="0.25">
      <c r="A2222" s="356"/>
      <c r="B2222" s="376"/>
      <c r="C2222" s="379"/>
      <c r="D2222" s="59" t="s">
        <v>20</v>
      </c>
      <c r="E2222" s="79" t="str">
        <f>A2199&amp;"/"&amp;B2215&amp;"/"&amp;C2219&amp;"/"&amp;D2222</f>
        <v>Fuel oil fired power plants/Steam turbine/CHP/XS</v>
      </c>
      <c r="F2222" s="79" t="str">
        <f>A2199</f>
        <v>Fuel oil fired power plants</v>
      </c>
      <c r="G2222" s="79" t="str">
        <f>B2215</f>
        <v>Steam turbine</v>
      </c>
      <c r="H2222" s="79" t="str">
        <f>C2219</f>
        <v>CHP</v>
      </c>
      <c r="I2222" s="79" t="str">
        <f t="shared" si="390"/>
        <v>XS</v>
      </c>
      <c r="J2222" s="125">
        <f>IF(tech_base!$T198&gt;J$2025,"",fuel_costs!B$15*0.086/tech_proj!J322/(1-tech_proj!J602))</f>
        <v>112.15394040572652</v>
      </c>
      <c r="K2222" s="125">
        <f>IF(tech_base!$T198&gt;K$2025,"",fuel_costs!C$15*0.086/tech_proj!K322/(1-tech_proj!K602))</f>
        <v>142.14259230702106</v>
      </c>
      <c r="L2222" s="125">
        <f>IF(tech_base!$T198&gt;L$2025,"",fuel_costs!D$15*0.086/tech_proj!L322/(1-tech_proj!L602))</f>
        <v>151.12354325212678</v>
      </c>
      <c r="M2222" s="125">
        <f>IF(tech_base!$T198&gt;M$2025,"",fuel_costs!E$15*0.086/tech_proj!M322/(1-tech_proj!M602))</f>
        <v>143.18590305651196</v>
      </c>
      <c r="N2222" s="125">
        <f>IF(tech_base!$T198&gt;N$2025,"",fuel_costs!F$15*0.086/tech_proj!N322/(1-tech_proj!N602))</f>
        <v>130.66605160472696</v>
      </c>
      <c r="O2222" s="125">
        <f>IF(tech_base!$T198&gt;O$2025,"",fuel_costs!G$15*0.086/tech_proj!O322/(1-tech_proj!O602))</f>
        <v>88.780447267168739</v>
      </c>
      <c r="P2222" s="125">
        <f>IF(tech_base!$T198&gt;P$2025,"",fuel_costs!H$15*0.086/tech_proj!P322/(1-tech_proj!P602))</f>
        <v>78.833844615255018</v>
      </c>
      <c r="Q2222" s="125">
        <f>IF(tech_base!$T198&gt;Q$2025,"",fuel_costs!I$15*0.086/tech_proj!Q322/(1-tech_proj!Q602))</f>
        <v>90.798229846689523</v>
      </c>
      <c r="R2222" s="125">
        <f>IF(tech_base!$T198&gt;R$2025,"",fuel_costs!J$15*0.086/tech_proj!R322/(1-tech_proj!R602))</f>
        <v>101.47615168888805</v>
      </c>
      <c r="S2222" s="125">
        <f>IF(tech_base!$T198&gt;S$2025,"",fuel_costs!K$15*0.086/tech_proj!S322/(1-tech_proj!S602))</f>
        <v>110.83550186119217</v>
      </c>
      <c r="T2222" s="125">
        <f>IF(tech_base!$T198&gt;T$2025,"",fuel_costs!L$15*0.086/tech_proj!T322/(1-tech_proj!T602))</f>
        <v>119.85638752787911</v>
      </c>
      <c r="U2222" s="125">
        <f>IF(tech_base!$T198&gt;U$2025,"",fuel_costs!M$15*0.086/tech_proj!U322/(1-tech_proj!U602))</f>
        <v>128.44287169275515</v>
      </c>
      <c r="V2222" s="125">
        <f>IF(tech_base!$T198&gt;V$2025,"",fuel_costs!N$15*0.086/tech_proj!V322/(1-tech_proj!V602))</f>
        <v>134.19145882752798</v>
      </c>
      <c r="W2222" s="125">
        <f>IF(tech_base!$T198&gt;W$2025,"",fuel_costs!O$15*0.086/tech_proj!W322/(1-tech_proj!W602))</f>
        <v>141.23609881179721</v>
      </c>
      <c r="X2222" s="125">
        <f>IF(tech_base!$T198&gt;X$2025,"",fuel_costs!P$15*0.086/tech_proj!X322/(1-tech_proj!X602))</f>
        <v>147.34458700468531</v>
      </c>
      <c r="Y2222" s="125">
        <f>IF(tech_base!$T198&gt;Y$2025,"",fuel_costs!Q$15*0.086/tech_proj!Y322/(1-tech_proj!Y602))</f>
        <v>152.52304166028182</v>
      </c>
      <c r="Z2222" s="125">
        <f>IF(tech_base!$T198&gt;Z$2025,"",fuel_costs!R$15*0.086/tech_proj!Z322/(1-tech_proj!Z602))</f>
        <v>155.83557385683113</v>
      </c>
      <c r="AA2222" s="125">
        <f>IF(tech_base!$T198&gt;AA$2025,"",fuel_costs!S$15*0.086/tech_proj!AA322/(1-tech_proj!AA602))</f>
        <v>158.83394522383088</v>
      </c>
      <c r="AB2222" s="125">
        <f>IF(tech_base!$T198&gt;AB$2025,"",fuel_costs!T$15*0.086/tech_proj!AB322/(1-tech_proj!AB602))</f>
        <v>160.88268528625269</v>
      </c>
      <c r="AC2222" s="125">
        <f>IF(tech_base!$T198&gt;AC$2025,"",fuel_costs!U$15*0.086/tech_proj!AC322/(1-tech_proj!AC602))</f>
        <v>164.08250147350677</v>
      </c>
      <c r="AD2222" s="125">
        <f>IF(tech_base!$T198&gt;AD$2025,"",fuel_costs!V$15*0.086/tech_proj!AD322/(1-tech_proj!AD602))</f>
        <v>166.03327103115745</v>
      </c>
      <c r="AE2222" s="125">
        <f>IF(tech_base!$T198&gt;AE$2025,"",fuel_costs!W$15*0.086/tech_proj!AE322/(1-tech_proj!AE602))</f>
        <v>167.89348254108882</v>
      </c>
      <c r="AF2222" s="125">
        <f>IF(tech_base!$T198&gt;AF$2025,"",fuel_costs!X$15*0.086/tech_proj!AF322/(1-tech_proj!AF602))</f>
        <v>168.82407989724265</v>
      </c>
      <c r="AG2222" s="125">
        <f>IF(tech_base!$T198&gt;AG$2025,"",fuel_costs!Y$15*0.086/tech_proj!AG322/(1-tech_proj!AG602))</f>
        <v>169.89129434373493</v>
      </c>
      <c r="AH2222" s="125">
        <f>IF(tech_base!$T198&gt;AH$2025,"",fuel_costs!Z$15*0.086/tech_proj!AH322/(1-tech_proj!AH602))</f>
        <v>171.09470729562739</v>
      </c>
      <c r="AI2222" s="125">
        <f>IF(tech_base!$T198&gt;AI$2025,"",fuel_costs!AA$15*0.086/tech_proj!AI322/(1-tech_proj!AI602))</f>
        <v>172.44734312790951</v>
      </c>
      <c r="AJ2222" s="125">
        <f>IF(tech_base!$T198&gt;AJ$2025,"",fuel_costs!AB$15*0.086/tech_proj!AJ322/(1-tech_proj!AJ602))</f>
        <v>173.97292608838907</v>
      </c>
      <c r="AK2222" s="125">
        <f>IF(tech_base!$T198&gt;AK$2025,"",fuel_costs!AC$15*0.086/tech_proj!AK322/(1-tech_proj!AK602))</f>
        <v>175.70775111331957</v>
      </c>
      <c r="AL2222" s="125">
        <f>IF(tech_base!$T198&gt;AL$2025,"",fuel_costs!AD$15*0.086/tech_proj!AL322/(1-tech_proj!AL602))</f>
        <v>177.58817110445261</v>
      </c>
      <c r="AM2222" s="125">
        <f>IF(tech_base!$T198&gt;AM$2025,"",fuel_costs!AE$15*0.086/tech_proj!AM322/(1-tech_proj!AM602))</f>
        <v>179.53602635178933</v>
      </c>
      <c r="AN2222" s="125">
        <f>IF(tech_base!$T198&gt;AN$2025,"",fuel_costs!AF$15*0.086/tech_proj!AN322/(1-tech_proj!AN602))</f>
        <v>181.52551327178674</v>
      </c>
      <c r="AO2222" s="125">
        <f>IF(tech_base!$T198&gt;AO$2025,"",fuel_costs!AG$15*0.086/tech_proj!AO322/(1-tech_proj!AO602))</f>
        <v>181.69508007348077</v>
      </c>
      <c r="AP2222" s="125">
        <f>IF(tech_base!$T198&gt;AP$2025,"",fuel_costs!AH$15*0.086/tech_proj!AP322/(1-tech_proj!AP602))</f>
        <v>182.35299719097199</v>
      </c>
      <c r="AQ2222" s="125">
        <f>IF(tech_base!$T198&gt;AQ$2025,"",fuel_costs!AI$15*0.086/tech_proj!AQ322/(1-tech_proj!AQ602))</f>
        <v>183.05475230382405</v>
      </c>
      <c r="AR2222" s="125">
        <f>IF(tech_base!$T198&gt;AR$2025,"",fuel_costs!AJ$15*0.086/tech_proj!AR322/(1-tech_proj!AR602))</f>
        <v>184.59665675312823</v>
      </c>
      <c r="AS2222" s="125">
        <f>IF(tech_base!$T198&gt;AS$2025,"",fuel_costs!AK$15*0.086/tech_proj!AS322/(1-tech_proj!AS602))</f>
        <v>185.39345219818139</v>
      </c>
      <c r="AT2222" s="125">
        <f>IF(tech_base!$T198&gt;AT$2025,"",fuel_costs!AL$15*0.086/tech_proj!AT322/(1-tech_proj!AT602))</f>
        <v>186.18746923330266</v>
      </c>
      <c r="AU2222" s="125">
        <f>IF(tech_base!$T198&gt;AU$2025,"",fuel_costs!AM$15*0.086/tech_proj!AU322/(1-tech_proj!AU602))</f>
        <v>186.96471782659114</v>
      </c>
      <c r="AV2222" s="125">
        <f>IF(tech_base!$T198&gt;AV$2025,"",fuel_costs!AN$15*0.086/tech_proj!AV322/(1-tech_proj!AV602))</f>
        <v>187.71582254650755</v>
      </c>
      <c r="AW2222" s="125">
        <f>IF(tech_base!$T198&gt;AW$2025,"",fuel_costs!AO$15*0.086/tech_proj!AW322/(1-tech_proj!AW602))</f>
        <v>188.43371046469949</v>
      </c>
      <c r="AX2222" s="126">
        <f>IF(tech_base!$T198&gt;AX$2025,"",fuel_costs!AP$15*0.086/tech_proj!AX322/(1-tech_proj!AX602))</f>
        <v>189.39252659264318</v>
      </c>
    </row>
    <row r="2223" spans="1:50" x14ac:dyDescent="0.25">
      <c r="A2223" s="356"/>
      <c r="B2223" s="376"/>
      <c r="C2223" s="361" t="s">
        <v>15</v>
      </c>
      <c r="D2223" s="58" t="s">
        <v>7</v>
      </c>
      <c r="E2223" s="78" t="str">
        <f>A2199&amp;"/"&amp;B2215&amp;"/"&amp;C2223&amp;"/"&amp;D2223</f>
        <v>Fuel oil fired power plants/Steam turbine/Electricity only with CCS/L</v>
      </c>
      <c r="F2223" s="78" t="str">
        <f>A2199</f>
        <v>Fuel oil fired power plants</v>
      </c>
      <c r="G2223" s="78" t="str">
        <f>B2215</f>
        <v>Steam turbine</v>
      </c>
      <c r="H2223" s="78" t="str">
        <f>C2223</f>
        <v>Electricity only with CCS</v>
      </c>
      <c r="I2223" s="78" t="str">
        <f t="shared" si="390"/>
        <v>L</v>
      </c>
      <c r="J2223" s="123" t="str">
        <f>IF(tech_base!$T199&gt;J$2025,"",fuel_costs!B$15*0.086/tech_proj!J323/(1-tech_proj!J603))</f>
        <v/>
      </c>
      <c r="K2223" s="123" t="str">
        <f>IF(tech_base!$T199&gt;K$2025,"",fuel_costs!C$15*0.086/tech_proj!K323/(1-tech_proj!K603))</f>
        <v/>
      </c>
      <c r="L2223" s="123" t="str">
        <f>IF(tech_base!$T199&gt;L$2025,"",fuel_costs!D$15*0.086/tech_proj!L323/(1-tech_proj!L603))</f>
        <v/>
      </c>
      <c r="M2223" s="123" t="str">
        <f>IF(tech_base!$T199&gt;M$2025,"",fuel_costs!E$15*0.086/tech_proj!M323/(1-tech_proj!M603))</f>
        <v/>
      </c>
      <c r="N2223" s="123" t="str">
        <f>IF(tech_base!$T199&gt;N$2025,"",fuel_costs!F$15*0.086/tech_proj!N323/(1-tech_proj!N603))</f>
        <v/>
      </c>
      <c r="O2223" s="123" t="str">
        <f>IF(tech_base!$T199&gt;O$2025,"",fuel_costs!G$15*0.086/tech_proj!O323/(1-tech_proj!O603))</f>
        <v/>
      </c>
      <c r="P2223" s="123" t="str">
        <f>IF(tech_base!$T199&gt;P$2025,"",fuel_costs!H$15*0.086/tech_proj!P323/(1-tech_proj!P603))</f>
        <v/>
      </c>
      <c r="Q2223" s="123" t="str">
        <f>IF(tech_base!$T199&gt;Q$2025,"",fuel_costs!I$15*0.086/tech_proj!Q323/(1-tech_proj!Q603))</f>
        <v/>
      </c>
      <c r="R2223" s="123" t="str">
        <f>IF(tech_base!$T199&gt;R$2025,"",fuel_costs!J$15*0.086/tech_proj!R323/(1-tech_proj!R603))</f>
        <v/>
      </c>
      <c r="S2223" s="123" t="str">
        <f>IF(tech_base!$T199&gt;S$2025,"",fuel_costs!K$15*0.086/tech_proj!S323/(1-tech_proj!S603))</f>
        <v/>
      </c>
      <c r="T2223" s="123" t="str">
        <f>IF(tech_base!$T199&gt;T$2025,"",fuel_costs!L$15*0.086/tech_proj!T323/(1-tech_proj!T603))</f>
        <v/>
      </c>
      <c r="U2223" s="123" t="str">
        <f>IF(tech_base!$T199&gt;U$2025,"",fuel_costs!M$15*0.086/tech_proj!U323/(1-tech_proj!U603))</f>
        <v/>
      </c>
      <c r="V2223" s="123" t="str">
        <f>IF(tech_base!$T199&gt;V$2025,"",fuel_costs!N$15*0.086/tech_proj!V323/(1-tech_proj!V603))</f>
        <v/>
      </c>
      <c r="W2223" s="123" t="str">
        <f>IF(tech_base!$T199&gt;W$2025,"",fuel_costs!O$15*0.086/tech_proj!W323/(1-tech_proj!W603))</f>
        <v/>
      </c>
      <c r="X2223" s="123" t="str">
        <f>IF(tech_base!$T199&gt;X$2025,"",fuel_costs!P$15*0.086/tech_proj!X323/(1-tech_proj!X603))</f>
        <v/>
      </c>
      <c r="Y2223" s="123" t="str">
        <f>IF(tech_base!$T199&gt;Y$2025,"",fuel_costs!Q$15*0.086/tech_proj!Y323/(1-tech_proj!Y603))</f>
        <v/>
      </c>
      <c r="Z2223" s="123" t="str">
        <f>IF(tech_base!$T199&gt;Z$2025,"",fuel_costs!R$15*0.086/tech_proj!Z323/(1-tech_proj!Z603))</f>
        <v/>
      </c>
      <c r="AA2223" s="123" t="str">
        <f>IF(tech_base!$T199&gt;AA$2025,"",fuel_costs!S$15*0.086/tech_proj!AA323/(1-tech_proj!AA603))</f>
        <v/>
      </c>
      <c r="AB2223" s="123" t="str">
        <f>IF(tech_base!$T199&gt;AB$2025,"",fuel_costs!T$15*0.086/tech_proj!AB323/(1-tech_proj!AB603))</f>
        <v/>
      </c>
      <c r="AC2223" s="123" t="str">
        <f>IF(tech_base!$T199&gt;AC$2025,"",fuel_costs!U$15*0.086/tech_proj!AC323/(1-tech_proj!AC603))</f>
        <v/>
      </c>
      <c r="AD2223" s="123" t="str">
        <f>IF(tech_base!$T199&gt;AD$2025,"",fuel_costs!V$15*0.086/tech_proj!AD323/(1-tech_proj!AD603))</f>
        <v/>
      </c>
      <c r="AE2223" s="123">
        <f>IF(tech_base!$T199&gt;AE$2025,"",fuel_costs!W$15*0.086/tech_proj!AE323/(1-tech_proj!AE603))</f>
        <v>171.55520394355568</v>
      </c>
      <c r="AF2223" s="123">
        <f>IF(tech_base!$T199&gt;AF$2025,"",fuel_costs!X$15*0.086/tech_proj!AF323/(1-tech_proj!AF603))</f>
        <v>172.52806183895086</v>
      </c>
      <c r="AG2223" s="123">
        <f>IF(tech_base!$T199&gt;AG$2025,"",fuel_costs!Y$15*0.086/tech_proj!AG323/(1-tech_proj!AG603))</f>
        <v>173.6403116888676</v>
      </c>
      <c r="AH2223" s="123">
        <f>IF(tech_base!$T199&gt;AH$2025,"",fuel_costs!Z$15*0.086/tech_proj!AH323/(1-tech_proj!AH603))</f>
        <v>174.8915574270676</v>
      </c>
      <c r="AI2223" s="123">
        <f>IF(tech_base!$T199&gt;AI$2025,"",fuel_costs!AA$15*0.086/tech_proj!AI323/(1-tech_proj!AI603))</f>
        <v>176.29514482963475</v>
      </c>
      <c r="AJ2223" s="123">
        <f>IF(tech_base!$T199&gt;AJ$2025,"",fuel_costs!AB$15*0.086/tech_proj!AJ323/(1-tech_proj!AJ603))</f>
        <v>177.87536480704014</v>
      </c>
      <c r="AK2223" s="123">
        <f>IF(tech_base!$T199&gt;AK$2025,"",fuel_costs!AC$15*0.086/tech_proj!AK323/(1-tech_proj!AK603))</f>
        <v>179.66937212523987</v>
      </c>
      <c r="AL2223" s="123">
        <f>IF(tech_base!$T199&gt;AL$2025,"",fuel_costs!AD$15*0.086/tech_proj!AL323/(1-tech_proj!AL603))</f>
        <v>181.61212955017243</v>
      </c>
      <c r="AM2223" s="123">
        <f>IF(tech_base!$T199&gt;AM$2025,"",fuel_costs!AE$15*0.086/tech_proj!AM323/(1-tech_proj!AM603))</f>
        <v>183.62372661396338</v>
      </c>
      <c r="AN2223" s="123">
        <f>IF(tech_base!$T199&gt;AN$2025,"",fuel_costs!AF$15*0.086/tech_proj!AN323/(1-tech_proj!AN603))</f>
        <v>185.67777216555788</v>
      </c>
      <c r="AO2223" s="123">
        <f>IF(tech_base!$T199&gt;AO$2025,"",fuel_costs!AG$15*0.086/tech_proj!AO323/(1-tech_proj!AO603))</f>
        <v>185.86993593849812</v>
      </c>
      <c r="AP2223" s="123">
        <f>IF(tech_base!$T199&gt;AP$2025,"",fuel_costs!AH$15*0.086/tech_proj!AP323/(1-tech_proj!AP603))</f>
        <v>186.56119422815931</v>
      </c>
      <c r="AQ2223" s="123">
        <f>IF(tech_base!$T199&gt;AQ$2025,"",fuel_costs!AI$15*0.086/tech_proj!AQ323/(1-tech_proj!AQ603))</f>
        <v>187.29687671193997</v>
      </c>
      <c r="AR2223" s="123">
        <f>IF(tech_base!$T199&gt;AR$2025,"",fuel_costs!AJ$15*0.086/tech_proj!AR323/(1-tech_proj!AR603))</f>
        <v>188.89183357398727</v>
      </c>
      <c r="AS2223" s="123">
        <f>IF(tech_base!$T199&gt;AS$2025,"",fuel_costs!AK$15*0.086/tech_proj!AS323/(1-tech_proj!AS603))</f>
        <v>189.72400457676767</v>
      </c>
      <c r="AT2223" s="123">
        <f>IF(tech_base!$T199&gt;AT$2025,"",fuel_costs!AL$15*0.086/tech_proj!AT323/(1-tech_proj!AT603))</f>
        <v>190.55292149978746</v>
      </c>
      <c r="AU2223" s="123">
        <f>IF(tech_base!$T199&gt;AU$2025,"",fuel_costs!AM$15*0.086/tech_proj!AU323/(1-tech_proj!AU603))</f>
        <v>191.36426459076642</v>
      </c>
      <c r="AV2223" s="123">
        <f>IF(tech_base!$T199&gt;AV$2025,"",fuel_costs!AN$15*0.086/tech_proj!AV323/(1-tech_proj!AV603))</f>
        <v>192.14843412603182</v>
      </c>
      <c r="AW2223" s="123">
        <f>IF(tech_base!$T199&gt;AW$2025,"",fuel_costs!AO$15*0.086/tech_proj!AW323/(1-tech_proj!AW603))</f>
        <v>192.89818568409999</v>
      </c>
      <c r="AX2223" s="124">
        <f>IF(tech_base!$T199&gt;AX$2025,"",fuel_costs!AP$15*0.086/tech_proj!AX323/(1-tech_proj!AX603))</f>
        <v>193.89417615172906</v>
      </c>
    </row>
    <row r="2224" spans="1:50" x14ac:dyDescent="0.25">
      <c r="A2224" s="356"/>
      <c r="B2224" s="376"/>
      <c r="C2224" s="379"/>
      <c r="D2224" s="59" t="s">
        <v>8</v>
      </c>
      <c r="E2224" s="79" t="str">
        <f>A2199&amp;"/"&amp;B2215&amp;"/"&amp;C2223&amp;"/"&amp;D2224</f>
        <v>Fuel oil fired power plants/Steam turbine/Electricity only with CCS/M</v>
      </c>
      <c r="F2224" s="79" t="str">
        <f>A2199</f>
        <v>Fuel oil fired power plants</v>
      </c>
      <c r="G2224" s="79" t="str">
        <f>B2215</f>
        <v>Steam turbine</v>
      </c>
      <c r="H2224" s="79" t="str">
        <f>C2223</f>
        <v>Electricity only with CCS</v>
      </c>
      <c r="I2224" s="79" t="str">
        <f t="shared" si="390"/>
        <v>M</v>
      </c>
      <c r="J2224" s="125" t="str">
        <f>IF(tech_base!$T200&gt;J$2025,"",fuel_costs!B$15*0.086/tech_proj!J324/(1-tech_proj!J604))</f>
        <v/>
      </c>
      <c r="K2224" s="125" t="str">
        <f>IF(tech_base!$T200&gt;K$2025,"",fuel_costs!C$15*0.086/tech_proj!K324/(1-tech_proj!K604))</f>
        <v/>
      </c>
      <c r="L2224" s="125" t="str">
        <f>IF(tech_base!$T200&gt;L$2025,"",fuel_costs!D$15*0.086/tech_proj!L324/(1-tech_proj!L604))</f>
        <v/>
      </c>
      <c r="M2224" s="125" t="str">
        <f>IF(tech_base!$T200&gt;M$2025,"",fuel_costs!E$15*0.086/tech_proj!M324/(1-tech_proj!M604))</f>
        <v/>
      </c>
      <c r="N2224" s="125" t="str">
        <f>IF(tech_base!$T200&gt;N$2025,"",fuel_costs!F$15*0.086/tech_proj!N324/(1-tech_proj!N604))</f>
        <v/>
      </c>
      <c r="O2224" s="125" t="str">
        <f>IF(tech_base!$T200&gt;O$2025,"",fuel_costs!G$15*0.086/tech_proj!O324/(1-tech_proj!O604))</f>
        <v/>
      </c>
      <c r="P2224" s="125" t="str">
        <f>IF(tech_base!$T200&gt;P$2025,"",fuel_costs!H$15*0.086/tech_proj!P324/(1-tech_proj!P604))</f>
        <v/>
      </c>
      <c r="Q2224" s="125" t="str">
        <f>IF(tech_base!$T200&gt;Q$2025,"",fuel_costs!I$15*0.086/tech_proj!Q324/(1-tech_proj!Q604))</f>
        <v/>
      </c>
      <c r="R2224" s="125" t="str">
        <f>IF(tech_base!$T200&gt;R$2025,"",fuel_costs!J$15*0.086/tech_proj!R324/(1-tech_proj!R604))</f>
        <v/>
      </c>
      <c r="S2224" s="125" t="str">
        <f>IF(tech_base!$T200&gt;S$2025,"",fuel_costs!K$15*0.086/tech_proj!S324/(1-tech_proj!S604))</f>
        <v/>
      </c>
      <c r="T2224" s="125" t="str">
        <f>IF(tech_base!$T200&gt;T$2025,"",fuel_costs!L$15*0.086/tech_proj!T324/(1-tech_proj!T604))</f>
        <v/>
      </c>
      <c r="U2224" s="125" t="str">
        <f>IF(tech_base!$T200&gt;U$2025,"",fuel_costs!M$15*0.086/tech_proj!U324/(1-tech_proj!U604))</f>
        <v/>
      </c>
      <c r="V2224" s="125" t="str">
        <f>IF(tech_base!$T200&gt;V$2025,"",fuel_costs!N$15*0.086/tech_proj!V324/(1-tech_proj!V604))</f>
        <v/>
      </c>
      <c r="W2224" s="125" t="str">
        <f>IF(tech_base!$T200&gt;W$2025,"",fuel_costs!O$15*0.086/tech_proj!W324/(1-tech_proj!W604))</f>
        <v/>
      </c>
      <c r="X2224" s="125" t="str">
        <f>IF(tech_base!$T200&gt;X$2025,"",fuel_costs!P$15*0.086/tech_proj!X324/(1-tech_proj!X604))</f>
        <v/>
      </c>
      <c r="Y2224" s="125" t="str">
        <f>IF(tech_base!$T200&gt;Y$2025,"",fuel_costs!Q$15*0.086/tech_proj!Y324/(1-tech_proj!Y604))</f>
        <v/>
      </c>
      <c r="Z2224" s="125" t="str">
        <f>IF(tech_base!$T200&gt;Z$2025,"",fuel_costs!R$15*0.086/tech_proj!Z324/(1-tech_proj!Z604))</f>
        <v/>
      </c>
      <c r="AA2224" s="125" t="str">
        <f>IF(tech_base!$T200&gt;AA$2025,"",fuel_costs!S$15*0.086/tech_proj!AA324/(1-tech_proj!AA604))</f>
        <v/>
      </c>
      <c r="AB2224" s="125" t="str">
        <f>IF(tech_base!$T200&gt;AB$2025,"",fuel_costs!T$15*0.086/tech_proj!AB324/(1-tech_proj!AB604))</f>
        <v/>
      </c>
      <c r="AC2224" s="125" t="str">
        <f>IF(tech_base!$T200&gt;AC$2025,"",fuel_costs!U$15*0.086/tech_proj!AC324/(1-tech_proj!AC604))</f>
        <v/>
      </c>
      <c r="AD2224" s="125" t="str">
        <f>IF(tech_base!$T200&gt;AD$2025,"",fuel_costs!V$15*0.086/tech_proj!AD324/(1-tech_proj!AD604))</f>
        <v/>
      </c>
      <c r="AE2224" s="125">
        <f>IF(tech_base!$T200&gt;AE$2025,"",fuel_costs!W$15*0.086/tech_proj!AE324/(1-tech_proj!AE604))</f>
        <v>183.02279779005005</v>
      </c>
      <c r="AF2224" s="125">
        <f>IF(tech_base!$T200&gt;AF$2025,"",fuel_costs!X$15*0.086/tech_proj!AF324/(1-tech_proj!AF604))</f>
        <v>184.06068629342619</v>
      </c>
      <c r="AG2224" s="125">
        <f>IF(tech_base!$T200&gt;AG$2025,"",fuel_costs!Y$15*0.086/tech_proj!AG324/(1-tech_proj!AG604))</f>
        <v>185.24728439534272</v>
      </c>
      <c r="AH2224" s="125">
        <f>IF(tech_base!$T200&gt;AH$2025,"",fuel_costs!Z$15*0.086/tech_proj!AH324/(1-tech_proj!AH604))</f>
        <v>186.5821695545454</v>
      </c>
      <c r="AI2224" s="125">
        <f>IF(tech_base!$T200&gt;AI$2025,"",fuel_costs!AA$15*0.086/tech_proj!AI324/(1-tech_proj!AI604))</f>
        <v>188.07957964444995</v>
      </c>
      <c r="AJ2224" s="125">
        <f>IF(tech_base!$T200&gt;AJ$2025,"",fuel_costs!AB$15*0.086/tech_proj!AJ324/(1-tech_proj!AJ604))</f>
        <v>189.76542929948937</v>
      </c>
      <c r="AK2224" s="125">
        <f>IF(tech_base!$T200&gt;AK$2025,"",fuel_costs!AC$15*0.086/tech_proj!AK324/(1-tech_proj!AK604))</f>
        <v>191.67935689296982</v>
      </c>
      <c r="AL2224" s="125">
        <f>IF(tech_base!$T200&gt;AL$2025,"",fuel_costs!AD$15*0.086/tech_proj!AL324/(1-tech_proj!AL604))</f>
        <v>193.75197778213584</v>
      </c>
      <c r="AM2224" s="125">
        <f>IF(tech_base!$T200&gt;AM$2025,"",fuel_costs!AE$15*0.086/tech_proj!AM324/(1-tech_proj!AM604))</f>
        <v>195.89803989029787</v>
      </c>
      <c r="AN2224" s="125">
        <f>IF(tech_base!$T200&gt;AN$2025,"",fuel_costs!AF$15*0.086/tech_proj!AN324/(1-tech_proj!AN604))</f>
        <v>198.08938795202567</v>
      </c>
      <c r="AO2224" s="125">
        <f>IF(tech_base!$T200&gt;AO$2025,"",fuel_costs!AG$15*0.086/tech_proj!AO324/(1-tech_proj!AO604))</f>
        <v>198.29439689695391</v>
      </c>
      <c r="AP2224" s="125">
        <f>IF(tech_base!$T200&gt;AP$2025,"",fuel_costs!AH$15*0.086/tech_proj!AP324/(1-tech_proj!AP604))</f>
        <v>199.03186229153897</v>
      </c>
      <c r="AQ2224" s="125">
        <f>IF(tech_base!$T200&gt;AQ$2025,"",fuel_costs!AI$15*0.086/tech_proj!AQ324/(1-tech_proj!AQ604))</f>
        <v>199.81672141193599</v>
      </c>
      <c r="AR2224" s="125">
        <f>IF(tech_base!$T200&gt;AR$2025,"",fuel_costs!AJ$15*0.086/tech_proj!AR324/(1-tech_proj!AR604))</f>
        <v>201.51829303748914</v>
      </c>
      <c r="AS2224" s="125">
        <f>IF(tech_base!$T200&gt;AS$2025,"",fuel_costs!AK$15*0.086/tech_proj!AS324/(1-tech_proj!AS604))</f>
        <v>202.40609044419872</v>
      </c>
      <c r="AT2224" s="125">
        <f>IF(tech_base!$T200&gt;AT$2025,"",fuel_costs!AL$15*0.086/tech_proj!AT324/(1-tech_proj!AT604))</f>
        <v>203.29041625244707</v>
      </c>
      <c r="AU2224" s="125">
        <f>IF(tech_base!$T200&gt;AU$2025,"",fuel_costs!AM$15*0.086/tech_proj!AU324/(1-tech_proj!AU604))</f>
        <v>204.15599350726151</v>
      </c>
      <c r="AV2224" s="125">
        <f>IF(tech_base!$T200&gt;AV$2025,"",fuel_costs!AN$15*0.086/tech_proj!AV324/(1-tech_proj!AV604))</f>
        <v>204.99258079221042</v>
      </c>
      <c r="AW2224" s="125">
        <f>IF(tech_base!$T200&gt;AW$2025,"",fuel_costs!AO$15*0.086/tech_proj!AW324/(1-tech_proj!AW604))</f>
        <v>205.79244943303718</v>
      </c>
      <c r="AX2224" s="126">
        <f>IF(tech_base!$T200&gt;AX$2025,"",fuel_costs!AP$15*0.086/tech_proj!AX324/(1-tech_proj!AX604))</f>
        <v>206.85501680358266</v>
      </c>
    </row>
    <row r="2225" spans="1:50" x14ac:dyDescent="0.25">
      <c r="A2225" s="356"/>
      <c r="B2225" s="376"/>
      <c r="C2225" s="361" t="s">
        <v>16</v>
      </c>
      <c r="D2225" s="2" t="s">
        <v>7</v>
      </c>
      <c r="E2225" s="76" t="str">
        <f>A2199&amp;"/"&amp;B2215&amp;"/"&amp;C2225&amp;"/"&amp;D2225</f>
        <v>Fuel oil fired power plants/Steam turbine/CHP with CCS/L</v>
      </c>
      <c r="F2225" s="76" t="str">
        <f>A2199</f>
        <v>Fuel oil fired power plants</v>
      </c>
      <c r="G2225" s="76" t="str">
        <f>B2215</f>
        <v>Steam turbine</v>
      </c>
      <c r="H2225" s="76" t="str">
        <f>C2225</f>
        <v>CHP with CCS</v>
      </c>
      <c r="I2225" s="76" t="str">
        <f t="shared" si="390"/>
        <v>L</v>
      </c>
      <c r="J2225" s="119" t="str">
        <f>IF(tech_base!$T201&gt;J$2025,"",fuel_costs!B$15*0.086/tech_proj!J325/(1-tech_proj!J605))</f>
        <v/>
      </c>
      <c r="K2225" s="119" t="str">
        <f>IF(tech_base!$T201&gt;K$2025,"",fuel_costs!C$15*0.086/tech_proj!K325/(1-tech_proj!K605))</f>
        <v/>
      </c>
      <c r="L2225" s="119" t="str">
        <f>IF(tech_base!$T201&gt;L$2025,"",fuel_costs!D$15*0.086/tech_proj!L325/(1-tech_proj!L605))</f>
        <v/>
      </c>
      <c r="M2225" s="119" t="str">
        <f>IF(tech_base!$T201&gt;M$2025,"",fuel_costs!E$15*0.086/tech_proj!M325/(1-tech_proj!M605))</f>
        <v/>
      </c>
      <c r="N2225" s="119" t="str">
        <f>IF(tech_base!$T201&gt;N$2025,"",fuel_costs!F$15*0.086/tech_proj!N325/(1-tech_proj!N605))</f>
        <v/>
      </c>
      <c r="O2225" s="119" t="str">
        <f>IF(tech_base!$T201&gt;O$2025,"",fuel_costs!G$15*0.086/tech_proj!O325/(1-tech_proj!O605))</f>
        <v/>
      </c>
      <c r="P2225" s="119" t="str">
        <f>IF(tech_base!$T201&gt;P$2025,"",fuel_costs!H$15*0.086/tech_proj!P325/(1-tech_proj!P605))</f>
        <v/>
      </c>
      <c r="Q2225" s="119" t="str">
        <f>IF(tech_base!$T201&gt;Q$2025,"",fuel_costs!I$15*0.086/tech_proj!Q325/(1-tech_proj!Q605))</f>
        <v/>
      </c>
      <c r="R2225" s="119" t="str">
        <f>IF(tech_base!$T201&gt;R$2025,"",fuel_costs!J$15*0.086/tech_proj!R325/(1-tech_proj!R605))</f>
        <v/>
      </c>
      <c r="S2225" s="119" t="str">
        <f>IF(tech_base!$T201&gt;S$2025,"",fuel_costs!K$15*0.086/tech_proj!S325/(1-tech_proj!S605))</f>
        <v/>
      </c>
      <c r="T2225" s="119" t="str">
        <f>IF(tech_base!$T201&gt;T$2025,"",fuel_costs!L$15*0.086/tech_proj!T325/(1-tech_proj!T605))</f>
        <v/>
      </c>
      <c r="U2225" s="119" t="str">
        <f>IF(tech_base!$T201&gt;U$2025,"",fuel_costs!M$15*0.086/tech_proj!U325/(1-tech_proj!U605))</f>
        <v/>
      </c>
      <c r="V2225" s="119" t="str">
        <f>IF(tech_base!$T201&gt;V$2025,"",fuel_costs!N$15*0.086/tech_proj!V325/(1-tech_proj!V605))</f>
        <v/>
      </c>
      <c r="W2225" s="119" t="str">
        <f>IF(tech_base!$T201&gt;W$2025,"",fuel_costs!O$15*0.086/tech_proj!W325/(1-tech_proj!W605))</f>
        <v/>
      </c>
      <c r="X2225" s="119" t="str">
        <f>IF(tech_base!$T201&gt;X$2025,"",fuel_costs!P$15*0.086/tech_proj!X325/(1-tech_proj!X605))</f>
        <v/>
      </c>
      <c r="Y2225" s="119" t="str">
        <f>IF(tech_base!$T201&gt;Y$2025,"",fuel_costs!Q$15*0.086/tech_proj!Y325/(1-tech_proj!Y605))</f>
        <v/>
      </c>
      <c r="Z2225" s="119" t="str">
        <f>IF(tech_base!$T201&gt;Z$2025,"",fuel_costs!R$15*0.086/tech_proj!Z325/(1-tech_proj!Z605))</f>
        <v/>
      </c>
      <c r="AA2225" s="119" t="str">
        <f>IF(tech_base!$T201&gt;AA$2025,"",fuel_costs!S$15*0.086/tech_proj!AA325/(1-tech_proj!AA605))</f>
        <v/>
      </c>
      <c r="AB2225" s="119" t="str">
        <f>IF(tech_base!$T201&gt;AB$2025,"",fuel_costs!T$15*0.086/tech_proj!AB325/(1-tech_proj!AB605))</f>
        <v/>
      </c>
      <c r="AC2225" s="119" t="str">
        <f>IF(tech_base!$T201&gt;AC$2025,"",fuel_costs!U$15*0.086/tech_proj!AC325/(1-tech_proj!AC605))</f>
        <v/>
      </c>
      <c r="AD2225" s="119" t="str">
        <f>IF(tech_base!$T201&gt;AD$2025,"",fuel_costs!V$15*0.086/tech_proj!AD325/(1-tech_proj!AD605))</f>
        <v/>
      </c>
      <c r="AE2225" s="119">
        <f>IF(tech_base!$T201&gt;AE$2025,"",fuel_costs!W$15*0.086/tech_proj!AE325/(1-tech_proj!AE605))</f>
        <v>194.86433491414752</v>
      </c>
      <c r="AF2225" s="119">
        <f>IF(tech_base!$T201&gt;AF$2025,"",fuel_costs!X$15*0.086/tech_proj!AF325/(1-tech_proj!AF605))</f>
        <v>195.96937458880836</v>
      </c>
      <c r="AG2225" s="119">
        <f>IF(tech_base!$T201&gt;AG$2025,"",fuel_costs!Y$15*0.086/tech_proj!AG325/(1-tech_proj!AG605))</f>
        <v>197.23274534224637</v>
      </c>
      <c r="AH2225" s="119">
        <f>IF(tech_base!$T201&gt;AH$2025,"",fuel_costs!Z$15*0.086/tech_proj!AH325/(1-tech_proj!AH605))</f>
        <v>198.65399729487575</v>
      </c>
      <c r="AI2225" s="119">
        <f>IF(tech_base!$T201&gt;AI$2025,"",fuel_costs!AA$15*0.086/tech_proj!AI325/(1-tech_proj!AI605))</f>
        <v>200.2482895075743</v>
      </c>
      <c r="AJ2225" s="119">
        <f>IF(tech_base!$T201&gt;AJ$2025,"",fuel_costs!AB$15*0.086/tech_proj!AJ325/(1-tech_proj!AJ605))</f>
        <v>202.04321328625758</v>
      </c>
      <c r="AK2225" s="119">
        <f>IF(tech_base!$T201&gt;AK$2025,"",fuel_costs!AC$15*0.086/tech_proj!AK325/(1-tech_proj!AK605))</f>
        <v>204.08097159877792</v>
      </c>
      <c r="AL2225" s="119">
        <f>IF(tech_base!$T201&gt;AL$2025,"",fuel_costs!AD$15*0.086/tech_proj!AL325/(1-tech_proj!AL605))</f>
        <v>206.2876906303589</v>
      </c>
      <c r="AM2225" s="119">
        <f>IF(tech_base!$T201&gt;AM$2025,"",fuel_costs!AE$15*0.086/tech_proj!AM325/(1-tech_proj!AM605))</f>
        <v>208.57260251259976</v>
      </c>
      <c r="AN2225" s="119">
        <f>IF(tech_base!$T201&gt;AN$2025,"",fuel_costs!AF$15*0.086/tech_proj!AN325/(1-tech_proj!AN605))</f>
        <v>210.90573034022609</v>
      </c>
      <c r="AO2225" s="119">
        <f>IF(tech_base!$T201&gt;AO$2025,"",fuel_costs!AG$15*0.086/tech_proj!AO325/(1-tech_proj!AO605))</f>
        <v>211.12400332144628</v>
      </c>
      <c r="AP2225" s="119">
        <f>IF(tech_base!$T201&gt;AP$2025,"",fuel_costs!AH$15*0.086/tech_proj!AP325/(1-tech_proj!AP605))</f>
        <v>211.90918257437667</v>
      </c>
      <c r="AQ2225" s="119">
        <f>IF(tech_base!$T201&gt;AQ$2025,"",fuel_costs!AI$15*0.086/tech_proj!AQ325/(1-tech_proj!AQ605))</f>
        <v>212.74482191736664</v>
      </c>
      <c r="AR2225" s="119">
        <f>IF(tech_base!$T201&gt;AR$2025,"",fuel_costs!AJ$15*0.086/tech_proj!AR325/(1-tech_proj!AR605))</f>
        <v>214.55648487480082</v>
      </c>
      <c r="AS2225" s="119">
        <f>IF(tech_base!$T201&gt;AS$2025,"",fuel_costs!AK$15*0.086/tech_proj!AS325/(1-tech_proj!AS605))</f>
        <v>215.50172258991552</v>
      </c>
      <c r="AT2225" s="119">
        <f>IF(tech_base!$T201&gt;AT$2025,"",fuel_costs!AL$15*0.086/tech_proj!AT325/(1-tech_proj!AT605))</f>
        <v>216.44326409486732</v>
      </c>
      <c r="AU2225" s="119">
        <f>IF(tech_base!$T201&gt;AU$2025,"",fuel_costs!AM$15*0.086/tech_proj!AU325/(1-tech_proj!AU605))</f>
        <v>217.36484401885971</v>
      </c>
      <c r="AV2225" s="119">
        <f>IF(tech_base!$T201&gt;AV$2025,"",fuel_costs!AN$15*0.086/tech_proj!AV325/(1-tech_proj!AV605))</f>
        <v>218.25555832793833</v>
      </c>
      <c r="AW2225" s="119">
        <f>IF(tech_base!$T201&gt;AW$2025,"",fuel_costs!AO$15*0.086/tech_proj!AW325/(1-tech_proj!AW605))</f>
        <v>219.10717830422229</v>
      </c>
      <c r="AX2225" s="120">
        <f>IF(tech_base!$T201&gt;AX$2025,"",fuel_costs!AP$15*0.086/tech_proj!AX325/(1-tech_proj!AX605))</f>
        <v>220.2384935636488</v>
      </c>
    </row>
    <row r="2226" spans="1:50" x14ac:dyDescent="0.25">
      <c r="A2226" s="357"/>
      <c r="B2226" s="380"/>
      <c r="C2226" s="381"/>
      <c r="D2226" s="4" t="s">
        <v>8</v>
      </c>
      <c r="E2226" s="80" t="str">
        <f>A2199&amp;"/"&amp;B2215&amp;"/"&amp;C2225&amp;"/"&amp;D2226</f>
        <v>Fuel oil fired power plants/Steam turbine/CHP with CCS/M</v>
      </c>
      <c r="F2226" s="80" t="str">
        <f>A2199</f>
        <v>Fuel oil fired power plants</v>
      </c>
      <c r="G2226" s="80" t="str">
        <f>B2215</f>
        <v>Steam turbine</v>
      </c>
      <c r="H2226" s="80" t="str">
        <f>C2225</f>
        <v>CHP with CCS</v>
      </c>
      <c r="I2226" s="80" t="str">
        <f t="shared" si="390"/>
        <v>M</v>
      </c>
      <c r="J2226" s="127" t="str">
        <f>IF(tech_base!$T202&gt;J$2025,"",fuel_costs!B$15*0.086/tech_proj!J326/(1-tech_proj!J606))</f>
        <v/>
      </c>
      <c r="K2226" s="127" t="str">
        <f>IF(tech_base!$T202&gt;K$2025,"",fuel_costs!C$15*0.086/tech_proj!K326/(1-tech_proj!K606))</f>
        <v/>
      </c>
      <c r="L2226" s="127" t="str">
        <f>IF(tech_base!$T202&gt;L$2025,"",fuel_costs!D$15*0.086/tech_proj!L326/(1-tech_proj!L606))</f>
        <v/>
      </c>
      <c r="M2226" s="127" t="str">
        <f>IF(tech_base!$T202&gt;M$2025,"",fuel_costs!E$15*0.086/tech_proj!M326/(1-tech_proj!M606))</f>
        <v/>
      </c>
      <c r="N2226" s="127" t="str">
        <f>IF(tech_base!$T202&gt;N$2025,"",fuel_costs!F$15*0.086/tech_proj!N326/(1-tech_proj!N606))</f>
        <v/>
      </c>
      <c r="O2226" s="127" t="str">
        <f>IF(tech_base!$T202&gt;O$2025,"",fuel_costs!G$15*0.086/tech_proj!O326/(1-tech_proj!O606))</f>
        <v/>
      </c>
      <c r="P2226" s="127" t="str">
        <f>IF(tech_base!$T202&gt;P$2025,"",fuel_costs!H$15*0.086/tech_proj!P326/(1-tech_proj!P606))</f>
        <v/>
      </c>
      <c r="Q2226" s="127" t="str">
        <f>IF(tech_base!$T202&gt;Q$2025,"",fuel_costs!I$15*0.086/tech_proj!Q326/(1-tech_proj!Q606))</f>
        <v/>
      </c>
      <c r="R2226" s="127" t="str">
        <f>IF(tech_base!$T202&gt;R$2025,"",fuel_costs!J$15*0.086/tech_proj!R326/(1-tech_proj!R606))</f>
        <v/>
      </c>
      <c r="S2226" s="127" t="str">
        <f>IF(tech_base!$T202&gt;S$2025,"",fuel_costs!K$15*0.086/tech_proj!S326/(1-tech_proj!S606))</f>
        <v/>
      </c>
      <c r="T2226" s="127" t="str">
        <f>IF(tech_base!$T202&gt;T$2025,"",fuel_costs!L$15*0.086/tech_proj!T326/(1-tech_proj!T606))</f>
        <v/>
      </c>
      <c r="U2226" s="127" t="str">
        <f>IF(tech_base!$T202&gt;U$2025,"",fuel_costs!M$15*0.086/tech_proj!U326/(1-tech_proj!U606))</f>
        <v/>
      </c>
      <c r="V2226" s="127" t="str">
        <f>IF(tech_base!$T202&gt;V$2025,"",fuel_costs!N$15*0.086/tech_proj!V326/(1-tech_proj!V606))</f>
        <v/>
      </c>
      <c r="W2226" s="127" t="str">
        <f>IF(tech_base!$T202&gt;W$2025,"",fuel_costs!O$15*0.086/tech_proj!W326/(1-tech_proj!W606))</f>
        <v/>
      </c>
      <c r="X2226" s="127" t="str">
        <f>IF(tech_base!$T202&gt;X$2025,"",fuel_costs!P$15*0.086/tech_proj!X326/(1-tech_proj!X606))</f>
        <v/>
      </c>
      <c r="Y2226" s="127" t="str">
        <f>IF(tech_base!$T202&gt;Y$2025,"",fuel_costs!Q$15*0.086/tech_proj!Y326/(1-tech_proj!Y606))</f>
        <v/>
      </c>
      <c r="Z2226" s="127" t="str">
        <f>IF(tech_base!$T202&gt;Z$2025,"",fuel_costs!R$15*0.086/tech_proj!Z326/(1-tech_proj!Z606))</f>
        <v/>
      </c>
      <c r="AA2226" s="127" t="str">
        <f>IF(tech_base!$T202&gt;AA$2025,"",fuel_costs!S$15*0.086/tech_proj!AA326/(1-tech_proj!AA606))</f>
        <v/>
      </c>
      <c r="AB2226" s="127" t="str">
        <f>IF(tech_base!$T202&gt;AB$2025,"",fuel_costs!T$15*0.086/tech_proj!AB326/(1-tech_proj!AB606))</f>
        <v/>
      </c>
      <c r="AC2226" s="127" t="str">
        <f>IF(tech_base!$T202&gt;AC$2025,"",fuel_costs!U$15*0.086/tech_proj!AC326/(1-tech_proj!AC606))</f>
        <v/>
      </c>
      <c r="AD2226" s="127" t="str">
        <f>IF(tech_base!$T202&gt;AD$2025,"",fuel_costs!V$15*0.086/tech_proj!AD326/(1-tech_proj!AD606))</f>
        <v/>
      </c>
      <c r="AE2226" s="127">
        <f>IF(tech_base!$T202&gt;AE$2025,"",fuel_costs!W$15*0.086/tech_proj!AE326/(1-tech_proj!AE606))</f>
        <v>208.34415885674213</v>
      </c>
      <c r="AF2226" s="127">
        <f>IF(tech_base!$T202&gt;AF$2025,"",fuel_costs!X$15*0.086/tech_proj!AF326/(1-tech_proj!AF606))</f>
        <v>209.52564012483552</v>
      </c>
      <c r="AG2226" s="127">
        <f>IF(tech_base!$T202&gt;AG$2025,"",fuel_costs!Y$15*0.086/tech_proj!AG326/(1-tech_proj!AG606))</f>
        <v>210.8764050919867</v>
      </c>
      <c r="AH2226" s="127">
        <f>IF(tech_base!$T202&gt;AH$2025,"",fuel_costs!Z$15*0.086/tech_proj!AH326/(1-tech_proj!AH606))</f>
        <v>212.39597275799665</v>
      </c>
      <c r="AI2226" s="127">
        <f>IF(tech_base!$T202&gt;AI$2025,"",fuel_costs!AA$15*0.086/tech_proj!AI326/(1-tech_proj!AI606))</f>
        <v>214.10055081828088</v>
      </c>
      <c r="AJ2226" s="127">
        <f>IF(tech_base!$T202&gt;AJ$2025,"",fuel_costs!AB$15*0.086/tech_proj!AJ326/(1-tech_proj!AJ606))</f>
        <v>216.01963921917528</v>
      </c>
      <c r="AK2226" s="127">
        <f>IF(tech_base!$T202&gt;AK$2025,"",fuel_costs!AC$15*0.086/tech_proj!AK326/(1-tech_proj!AK606))</f>
        <v>218.19836033693358</v>
      </c>
      <c r="AL2226" s="127">
        <f>IF(tech_base!$T202&gt;AL$2025,"",fuel_costs!AD$15*0.086/tech_proj!AL326/(1-tech_proj!AL606))</f>
        <v>220.55773010395873</v>
      </c>
      <c r="AM2226" s="127">
        <f>IF(tech_base!$T202&gt;AM$2025,"",fuel_costs!AE$15*0.086/tech_proj!AM326/(1-tech_proj!AM606))</f>
        <v>223.0007017456241</v>
      </c>
      <c r="AN2226" s="127">
        <f>IF(tech_base!$T202&gt;AN$2025,"",fuel_costs!AF$15*0.086/tech_proj!AN326/(1-tech_proj!AN606))</f>
        <v>225.49522469137622</v>
      </c>
      <c r="AO2226" s="127">
        <f>IF(tech_base!$T202&gt;AO$2025,"",fuel_costs!AG$15*0.086/tech_proj!AO326/(1-tech_proj!AO606))</f>
        <v>225.7285967996869</v>
      </c>
      <c r="AP2226" s="127">
        <f>IF(tech_base!$T202&gt;AP$2025,"",fuel_costs!AH$15*0.086/tech_proj!AP326/(1-tech_proj!AP606))</f>
        <v>226.56809116419242</v>
      </c>
      <c r="AQ2226" s="127">
        <f>IF(tech_base!$T202&gt;AQ$2025,"",fuel_costs!AI$15*0.086/tech_proj!AQ326/(1-tech_proj!AQ606))</f>
        <v>227.46153621712915</v>
      </c>
      <c r="AR2226" s="127">
        <f>IF(tech_base!$T202&gt;AR$2025,"",fuel_costs!AJ$15*0.086/tech_proj!AR326/(1-tech_proj!AR606))</f>
        <v>229.39852173664369</v>
      </c>
      <c r="AS2226" s="127">
        <f>IF(tech_base!$T202&gt;AS$2025,"",fuel_costs!AK$15*0.086/tech_proj!AS326/(1-tech_proj!AS606))</f>
        <v>230.40914667610227</v>
      </c>
      <c r="AT2226" s="127">
        <f>IF(tech_base!$T202&gt;AT$2025,"",fuel_costs!AL$15*0.086/tech_proj!AT326/(1-tech_proj!AT606))</f>
        <v>231.41581971847461</v>
      </c>
      <c r="AU2226" s="127">
        <f>IF(tech_base!$T202&gt;AU$2025,"",fuel_costs!AM$15*0.086/tech_proj!AU326/(1-tech_proj!AU606))</f>
        <v>232.40115032896347</v>
      </c>
      <c r="AV2226" s="127">
        <f>IF(tech_base!$T202&gt;AV$2025,"",fuel_costs!AN$15*0.086/tech_proj!AV326/(1-tech_proj!AV606))</f>
        <v>233.35348018238895</v>
      </c>
      <c r="AW2226" s="127">
        <f>IF(tech_base!$T202&gt;AW$2025,"",fuel_costs!AO$15*0.086/tech_proj!AW326/(1-tech_proj!AW606))</f>
        <v>234.2640113357817</v>
      </c>
      <c r="AX2226" s="128">
        <f>IF(tech_base!$T202&gt;AX$2025,"",fuel_costs!AP$15*0.086/tech_proj!AX326/(1-tech_proj!AX606))</f>
        <v>235.47358581348618</v>
      </c>
    </row>
    <row r="2227" spans="1:50" x14ac:dyDescent="0.25">
      <c r="A2227" s="355" t="s">
        <v>30</v>
      </c>
      <c r="B2227" s="358" t="s">
        <v>13</v>
      </c>
      <c r="C2227" s="353" t="s">
        <v>6</v>
      </c>
      <c r="D2227" s="3" t="s">
        <v>7</v>
      </c>
      <c r="E2227" s="77" t="str">
        <f>A2227&amp;"/"&amp;B2227&amp;"/"&amp;C2227&amp;"/"&amp;D2227</f>
        <v>Biomass and waste fired power plants/Integrated gasification combined cycle/Electricity only/L</v>
      </c>
      <c r="F2227" s="77" t="str">
        <f>A2227</f>
        <v>Biomass and waste fired power plants</v>
      </c>
      <c r="G2227" s="77" t="str">
        <f>B2227</f>
        <v>Integrated gasification combined cycle</v>
      </c>
      <c r="H2227" s="77" t="str">
        <f>C2227</f>
        <v>Electricity only</v>
      </c>
      <c r="I2227" s="77" t="str">
        <f t="shared" si="390"/>
        <v>L</v>
      </c>
      <c r="J2227" s="121">
        <f>IF(tech_base!$T203&gt;J$2025,"",fuel_costs!B$16*0.086/tech_proj!J327/(1-tech_proj!J607))</f>
        <v>58.646904182086089</v>
      </c>
      <c r="K2227" s="121">
        <f>IF(tech_base!$T203&gt;K$2025,"",fuel_costs!C$16*0.086/tech_proj!K327/(1-tech_proj!K607))</f>
        <v>60.275069867417457</v>
      </c>
      <c r="L2227" s="121">
        <f>IF(tech_base!$T203&gt;L$2025,"",fuel_costs!D$16*0.086/tech_proj!L327/(1-tech_proj!L607))</f>
        <v>61.90379173041736</v>
      </c>
      <c r="M2227" s="121">
        <f>IF(tech_base!$T203&gt;M$2025,"",fuel_costs!E$16*0.086/tech_proj!M327/(1-tech_proj!M607))</f>
        <v>63.533046997356827</v>
      </c>
      <c r="N2227" s="121">
        <f>IF(tech_base!$T203&gt;N$2025,"",fuel_costs!F$16*0.086/tech_proj!N327/(1-tech_proj!N607))</f>
        <v>65.162805839822951</v>
      </c>
      <c r="O2227" s="121">
        <f>IF(tech_base!$T203&gt;O$2025,"",fuel_costs!G$16*0.086/tech_proj!O327/(1-tech_proj!O607))</f>
        <v>66.793029206842832</v>
      </c>
      <c r="P2227" s="121">
        <f>IF(tech_base!$T203&gt;P$2025,"",fuel_costs!H$16*0.086/tech_proj!P327/(1-tech_proj!P607))</f>
        <v>67.255417444054729</v>
      </c>
      <c r="Q2227" s="121">
        <f>IF(tech_base!$T203&gt;Q$2025,"",fuel_costs!I$16*0.086/tech_proj!Q327/(1-tech_proj!Q607))</f>
        <v>67.462182392982527</v>
      </c>
      <c r="R2227" s="121">
        <f>IF(tech_base!$T203&gt;R$2025,"",fuel_costs!J$16*0.086/tech_proj!R327/(1-tech_proj!R607))</f>
        <v>67.700259579524641</v>
      </c>
      <c r="S2227" s="121">
        <f>IF(tech_base!$T203&gt;S$2025,"",fuel_costs!K$16*0.086/tech_proj!S327/(1-tech_proj!S607))</f>
        <v>68.092155443770736</v>
      </c>
      <c r="T2227" s="121">
        <f>IF(tech_base!$T203&gt;T$2025,"",fuel_costs!L$16*0.086/tech_proj!T327/(1-tech_proj!T607))</f>
        <v>68.724814897192758</v>
      </c>
      <c r="U2227" s="121">
        <f>IF(tech_base!$T203&gt;U$2025,"",fuel_costs!M$16*0.086/tech_proj!U327/(1-tech_proj!U607))</f>
        <v>69.38175146642952</v>
      </c>
      <c r="V2227" s="121">
        <f>IF(tech_base!$T203&gt;V$2025,"",fuel_costs!N$16*0.086/tech_proj!V327/(1-tech_proj!V607))</f>
        <v>70.09559595112006</v>
      </c>
      <c r="W2227" s="121">
        <f>IF(tech_base!$T203&gt;W$2025,"",fuel_costs!O$16*0.086/tech_proj!W327/(1-tech_proj!W607))</f>
        <v>70.839080279791446</v>
      </c>
      <c r="X2227" s="121">
        <f>IF(tech_base!$T203&gt;X$2025,"",fuel_costs!P$16*0.086/tech_proj!X327/(1-tech_proj!X607))</f>
        <v>71.564117325614305</v>
      </c>
      <c r="Y2227" s="121">
        <f>IF(tech_base!$T203&gt;Y$2025,"",fuel_costs!Q$16*0.086/tech_proj!Y327/(1-tech_proj!Y607))</f>
        <v>72.310575739660109</v>
      </c>
      <c r="Z2227" s="121">
        <f>IF(tech_base!$T203&gt;Z$2025,"",fuel_costs!R$16*0.086/tech_proj!Z327/(1-tech_proj!Z607))</f>
        <v>73.049519072159711</v>
      </c>
      <c r="AA2227" s="121">
        <f>IF(tech_base!$T203&gt;AA$2025,"",fuel_costs!S$16*0.086/tech_proj!AA327/(1-tech_proj!AA607))</f>
        <v>73.854857577862617</v>
      </c>
      <c r="AB2227" s="121">
        <f>IF(tech_base!$T203&gt;AB$2025,"",fuel_costs!T$16*0.086/tech_proj!AB327/(1-tech_proj!AB607))</f>
        <v>74.903277906451748</v>
      </c>
      <c r="AC2227" s="121">
        <f>IF(tech_base!$T203&gt;AC$2025,"",fuel_costs!U$16*0.086/tech_proj!AC327/(1-tech_proj!AC607))</f>
        <v>76.470834664174362</v>
      </c>
      <c r="AD2227" s="121">
        <f>IF(tech_base!$T203&gt;AD$2025,"",fuel_costs!V$16*0.086/tech_proj!AD327/(1-tech_proj!AD607))</f>
        <v>78.003581005371601</v>
      </c>
      <c r="AE2227" s="121">
        <f>IF(tech_base!$T203&gt;AE$2025,"",fuel_costs!W$16*0.086/tech_proj!AE327/(1-tech_proj!AE607))</f>
        <v>79.052582906784011</v>
      </c>
      <c r="AF2227" s="121">
        <f>IF(tech_base!$T203&gt;AF$2025,"",fuel_costs!X$16*0.086/tech_proj!AF327/(1-tech_proj!AF607))</f>
        <v>79.675598417849628</v>
      </c>
      <c r="AG2227" s="121">
        <f>IF(tech_base!$T203&gt;AG$2025,"",fuel_costs!Y$16*0.086/tech_proj!AG327/(1-tech_proj!AG607))</f>
        <v>80.198347565661734</v>
      </c>
      <c r="AH2227" s="121">
        <f>IF(tech_base!$T203&gt;AH$2025,"",fuel_costs!Z$16*0.086/tech_proj!AH327/(1-tech_proj!AH607))</f>
        <v>80.645287756806241</v>
      </c>
      <c r="AI2227" s="121">
        <f>IF(tech_base!$T203&gt;AI$2025,"",fuel_costs!AA$16*0.086/tech_proj!AI327/(1-tech_proj!AI607))</f>
        <v>81.104440146955369</v>
      </c>
      <c r="AJ2227" s="121">
        <f>IF(tech_base!$T203&gt;AJ$2025,"",fuel_costs!AB$16*0.086/tech_proj!AJ327/(1-tech_proj!AJ607))</f>
        <v>81.546903494016078</v>
      </c>
      <c r="AK2227" s="121">
        <f>IF(tech_base!$T203&gt;AK$2025,"",fuel_costs!AC$16*0.086/tech_proj!AK327/(1-tech_proj!AK607))</f>
        <v>81.905168862215234</v>
      </c>
      <c r="AL2227" s="121">
        <f>IF(tech_base!$T203&gt;AL$2025,"",fuel_costs!AD$16*0.086/tech_proj!AL327/(1-tech_proj!AL607))</f>
        <v>82.158446298080619</v>
      </c>
      <c r="AM2227" s="121">
        <f>IF(tech_base!$T203&gt;AM$2025,"",fuel_costs!AE$16*0.086/tech_proj!AM327/(1-tech_proj!AM607))</f>
        <v>82.209470156388861</v>
      </c>
      <c r="AN2227" s="121">
        <f>IF(tech_base!$T203&gt;AN$2025,"",fuel_costs!AF$16*0.086/tech_proj!AN327/(1-tech_proj!AN607))</f>
        <v>82.151217763438439</v>
      </c>
      <c r="AO2227" s="121">
        <f>IF(tech_base!$T203&gt;AO$2025,"",fuel_costs!AG$16*0.086/tech_proj!AO327/(1-tech_proj!AO607))</f>
        <v>82.030792539543128</v>
      </c>
      <c r="AP2227" s="121">
        <f>IF(tech_base!$T203&gt;AP$2025,"",fuel_costs!AH$16*0.086/tech_proj!AP327/(1-tech_proj!AP607))</f>
        <v>81.854557584090998</v>
      </c>
      <c r="AQ2227" s="121">
        <f>IF(tech_base!$T203&gt;AQ$2025,"",fuel_costs!AI$16*0.086/tech_proj!AQ327/(1-tech_proj!AQ607))</f>
        <v>81.605459856719563</v>
      </c>
      <c r="AR2227" s="121">
        <f>IF(tech_base!$T203&gt;AR$2025,"",fuel_costs!AJ$16*0.086/tech_proj!AR327/(1-tech_proj!AR607))</f>
        <v>81.171383800792242</v>
      </c>
      <c r="AS2227" s="121">
        <f>IF(tech_base!$T203&gt;AS$2025,"",fuel_costs!AK$16*0.086/tech_proj!AS327/(1-tech_proj!AS607))</f>
        <v>80.728887915887142</v>
      </c>
      <c r="AT2227" s="121">
        <f>IF(tech_base!$T203&gt;AT$2025,"",fuel_costs!AL$16*0.086/tech_proj!AT327/(1-tech_proj!AT607))</f>
        <v>80.163552187856894</v>
      </c>
      <c r="AU2227" s="121">
        <f>IF(tech_base!$T203&gt;AU$2025,"",fuel_costs!AM$16*0.086/tech_proj!AU327/(1-tech_proj!AU607))</f>
        <v>79.717013966904247</v>
      </c>
      <c r="AV2227" s="121">
        <f>IF(tech_base!$T203&gt;AV$2025,"",fuel_costs!AN$16*0.086/tech_proj!AV327/(1-tech_proj!AV607))</f>
        <v>79.276595902542951</v>
      </c>
      <c r="AW2227" s="121">
        <f>IF(tech_base!$T203&gt;AW$2025,"",fuel_costs!AO$16*0.086/tech_proj!AW327/(1-tech_proj!AW607))</f>
        <v>78.859033401293999</v>
      </c>
      <c r="AX2227" s="122">
        <f>IF(tech_base!$T203&gt;AX$2025,"",fuel_costs!AP$16*0.086/tech_proj!AX327/(1-tech_proj!AX607))</f>
        <v>78.462390156199874</v>
      </c>
    </row>
    <row r="2228" spans="1:50" x14ac:dyDescent="0.25">
      <c r="A2228" s="356"/>
      <c r="B2228" s="376"/>
      <c r="C2228" s="379"/>
      <c r="D2228" s="2" t="s">
        <v>8</v>
      </c>
      <c r="E2228" s="76" t="str">
        <f>A2227&amp;"/"&amp;B2227&amp;"/"&amp;C2227&amp;"/"&amp;D2228</f>
        <v>Biomass and waste fired power plants/Integrated gasification combined cycle/Electricity only/M</v>
      </c>
      <c r="F2228" s="76" t="str">
        <f>A2227</f>
        <v>Biomass and waste fired power plants</v>
      </c>
      <c r="G2228" s="76" t="str">
        <f>B2227</f>
        <v>Integrated gasification combined cycle</v>
      </c>
      <c r="H2228" s="76" t="str">
        <f>C2227</f>
        <v>Electricity only</v>
      </c>
      <c r="I2228" s="76" t="str">
        <f t="shared" si="390"/>
        <v>M</v>
      </c>
      <c r="J2228" s="119">
        <f>IF(tech_base!$T204&gt;J$2025,"",fuel_costs!B$16*0.086/tech_proj!J328/(1-tech_proj!J608))</f>
        <v>61.783437724822548</v>
      </c>
      <c r="K2228" s="119">
        <f>IF(tech_base!$T204&gt;K$2025,"",fuel_costs!C$16*0.086/tech_proj!K328/(1-tech_proj!K608))</f>
        <v>63.497715159275053</v>
      </c>
      <c r="L2228" s="119">
        <f>IF(tech_base!$T204&gt;L$2025,"",fuel_costs!D$16*0.086/tech_proj!L328/(1-tech_proj!L608))</f>
        <v>65.212321416084919</v>
      </c>
      <c r="M2228" s="119">
        <f>IF(tech_base!$T204&gt;M$2025,"",fuel_costs!E$16*0.086/tech_proj!M328/(1-tech_proj!M608))</f>
        <v>66.927174022470169</v>
      </c>
      <c r="N2228" s="119">
        <f>IF(tech_base!$T204&gt;N$2025,"",fuel_costs!F$16*0.086/tech_proj!N328/(1-tech_proj!N608))</f>
        <v>68.64217040427468</v>
      </c>
      <c r="O2228" s="119">
        <f>IF(tech_base!$T204&gt;O$2025,"",fuel_costs!G$16*0.086/tech_proj!O328/(1-tech_proj!O608))</f>
        <v>70.357183054535895</v>
      </c>
      <c r="P2228" s="119">
        <f>IF(tech_base!$T204&gt;P$2025,"",fuel_costs!H$16*0.086/tech_proj!P328/(1-tech_proj!P608))</f>
        <v>70.841513353403982</v>
      </c>
      <c r="Q2228" s="119">
        <f>IF(tech_base!$T204&gt;Q$2025,"",fuel_costs!I$16*0.086/tech_proj!Q328/(1-tech_proj!Q608))</f>
        <v>71.056012935394179</v>
      </c>
      <c r="R2228" s="119">
        <f>IF(tech_base!$T204&gt;R$2025,"",fuel_costs!J$16*0.086/tech_proj!R328/(1-tech_proj!R608))</f>
        <v>71.302813076211265</v>
      </c>
      <c r="S2228" s="119">
        <f>IF(tech_base!$T204&gt;S$2025,"",fuel_costs!K$16*0.086/tech_proj!S328/(1-tech_proj!S608))</f>
        <v>71.710793262634667</v>
      </c>
      <c r="T2228" s="119">
        <f>IF(tech_base!$T204&gt;T$2025,"",fuel_costs!L$16*0.086/tech_proj!T328/(1-tech_proj!T608))</f>
        <v>72.371318065665662</v>
      </c>
      <c r="U2228" s="119">
        <f>IF(tech_base!$T204&gt;U$2025,"",fuel_costs!M$16*0.086/tech_proj!U328/(1-tech_proj!U608))</f>
        <v>73.056174993714521</v>
      </c>
      <c r="V2228" s="119">
        <f>IF(tech_base!$T204&gt;V$2025,"",fuel_costs!N$16*0.086/tech_proj!V328/(1-tech_proj!V608))</f>
        <v>73.799476328767682</v>
      </c>
      <c r="W2228" s="119">
        <f>IF(tech_base!$T204&gt;W$2025,"",fuel_costs!O$16*0.086/tech_proj!W328/(1-tech_proj!W608))</f>
        <v>74.572218865267899</v>
      </c>
      <c r="X2228" s="119">
        <f>IF(tech_base!$T204&gt;X$2025,"",fuel_costs!P$16*0.086/tech_proj!X328/(1-tech_proj!X608))</f>
        <v>75.323453557920075</v>
      </c>
      <c r="Y2228" s="119">
        <f>IF(tech_base!$T204&gt;Y$2025,"",fuel_costs!Q$16*0.086/tech_proj!Y328/(1-tech_proj!Y608))</f>
        <v>76.094776173120408</v>
      </c>
      <c r="Z2228" s="119">
        <f>IF(tech_base!$T204&gt;Z$2025,"",fuel_costs!R$16*0.086/tech_proj!Z328/(1-tech_proj!Z608))</f>
        <v>76.855310144430447</v>
      </c>
      <c r="AA2228" s="119">
        <f>IF(tech_base!$T204&gt;AA$2025,"",fuel_costs!S$16*0.086/tech_proj!AA328/(1-tech_proj!AA608))</f>
        <v>77.68233355762689</v>
      </c>
      <c r="AB2228" s="119">
        <f>IF(tech_base!$T204&gt;AB$2025,"",fuel_costs!T$16*0.086/tech_proj!AB328/(1-tech_proj!AB608))</f>
        <v>78.761056390743903</v>
      </c>
      <c r="AC2228" s="119">
        <f>IF(tech_base!$T204&gt;AC$2025,"",fuel_costs!U$16*0.086/tech_proj!AC328/(1-tech_proj!AC608))</f>
        <v>80.380817318613325</v>
      </c>
      <c r="AD2228" s="119">
        <f>IF(tech_base!$T204&gt;AD$2025,"",fuel_costs!V$16*0.086/tech_proj!AD328/(1-tech_proj!AD608))</f>
        <v>81.958292462914201</v>
      </c>
      <c r="AE2228" s="119">
        <f>IF(tech_base!$T204&gt;AE$2025,"",fuel_costs!W$16*0.086/tech_proj!AE328/(1-tech_proj!AE608))</f>
        <v>83.02134457724884</v>
      </c>
      <c r="AF2228" s="119">
        <f>IF(tech_base!$T204&gt;AF$2025,"",fuel_costs!X$16*0.086/tech_proj!AF328/(1-tech_proj!AF608))</f>
        <v>83.63074547330703</v>
      </c>
      <c r="AG2228" s="119">
        <f>IF(tech_base!$T204&gt;AG$2025,"",fuel_costs!Y$16*0.086/tech_proj!AG328/(1-tech_proj!AG608))</f>
        <v>84.12852938476037</v>
      </c>
      <c r="AH2228" s="119">
        <f>IF(tech_base!$T204&gt;AH$2025,"",fuel_costs!Z$16*0.086/tech_proj!AH328/(1-tech_proj!AH608))</f>
        <v>84.540385845369968</v>
      </c>
      <c r="AI2228" s="119">
        <f>IF(tech_base!$T204&gt;AI$2025,"",fuel_costs!AA$16*0.086/tech_proj!AI328/(1-tech_proj!AI608))</f>
        <v>84.958873876055208</v>
      </c>
      <c r="AJ2228" s="119">
        <f>IF(tech_base!$T204&gt;AJ$2025,"",fuel_costs!AB$16*0.086/tech_proj!AJ328/(1-tech_proj!AJ608))</f>
        <v>85.354357604824514</v>
      </c>
      <c r="AK2228" s="119">
        <f>IF(tech_base!$T204&gt;AK$2025,"",fuel_costs!AC$16*0.086/tech_proj!AK328/(1-tech_proj!AK608))</f>
        <v>85.657523136755415</v>
      </c>
      <c r="AL2228" s="119">
        <f>IF(tech_base!$T204&gt;AL$2025,"",fuel_costs!AD$16*0.086/tech_proj!AL328/(1-tech_proj!AL608))</f>
        <v>85.848865820192941</v>
      </c>
      <c r="AM2228" s="119">
        <f>IF(tech_base!$T204&gt;AM$2025,"",fuel_costs!AE$16*0.086/tech_proj!AM328/(1-tech_proj!AM608))</f>
        <v>85.829957532932127</v>
      </c>
      <c r="AN2228" s="119">
        <f>IF(tech_base!$T204&gt;AN$2025,"",fuel_costs!AF$16*0.086/tech_proj!AN328/(1-tech_proj!AN608))</f>
        <v>85.701969395786293</v>
      </c>
      <c r="AO2228" s="119">
        <f>IF(tech_base!$T204&gt;AO$2025,"",fuel_costs!AG$16*0.086/tech_proj!AO328/(1-tech_proj!AO608))</f>
        <v>85.518514282294362</v>
      </c>
      <c r="AP2228" s="119">
        <f>IF(tech_base!$T204&gt;AP$2025,"",fuel_costs!AH$16*0.086/tech_proj!AP328/(1-tech_proj!AP608))</f>
        <v>85.290726184100961</v>
      </c>
      <c r="AQ2228" s="119">
        <f>IF(tech_base!$T204&gt;AQ$2025,"",fuel_costs!AI$16*0.086/tech_proj!AQ328/(1-tech_proj!AQ608))</f>
        <v>85.004644103722001</v>
      </c>
      <c r="AR2228" s="119">
        <f>IF(tech_base!$T204&gt;AR$2025,"",fuel_costs!AJ$16*0.086/tech_proj!AR328/(1-tech_proj!AR608))</f>
        <v>84.545492056961649</v>
      </c>
      <c r="AS2228" s="119">
        <f>IF(tech_base!$T204&gt;AS$2025,"",fuel_costs!AK$16*0.086/tech_proj!AS328/(1-tech_proj!AS608))</f>
        <v>84.096040421596783</v>
      </c>
      <c r="AT2228" s="119">
        <f>IF(tech_base!$T204&gt;AT$2025,"",fuel_costs!AL$16*0.086/tech_proj!AT328/(1-tech_proj!AT608))</f>
        <v>83.531799858865938</v>
      </c>
      <c r="AU2228" s="119">
        <f>IF(tech_base!$T204&gt;AU$2025,"",fuel_costs!AM$16*0.086/tech_proj!AU328/(1-tech_proj!AU608))</f>
        <v>83.09487903964353</v>
      </c>
      <c r="AV2228" s="119">
        <f>IF(tech_base!$T204&gt;AV$2025,"",fuel_costs!AN$16*0.086/tech_proj!AV328/(1-tech_proj!AV608))</f>
        <v>82.654818391013663</v>
      </c>
      <c r="AW2228" s="119">
        <f>IF(tech_base!$T204&gt;AW$2025,"",fuel_costs!AO$16*0.086/tech_proj!AW328/(1-tech_proj!AW608))</f>
        <v>82.214845504381614</v>
      </c>
      <c r="AX2228" s="120">
        <f>IF(tech_base!$T204&gt;AX$2025,"",fuel_costs!AP$16*0.086/tech_proj!AX328/(1-tech_proj!AX608))</f>
        <v>81.760876579780557</v>
      </c>
    </row>
    <row r="2229" spans="1:50" x14ac:dyDescent="0.25">
      <c r="A2229" s="356"/>
      <c r="B2229" s="376"/>
      <c r="C2229" s="361" t="s">
        <v>14</v>
      </c>
      <c r="D2229" s="58" t="s">
        <v>7</v>
      </c>
      <c r="E2229" s="78" t="str">
        <f>A2227&amp;"/"&amp;B2227&amp;"/"&amp;C2229&amp;"/"&amp;D2229</f>
        <v>Biomass and waste fired power plants/Integrated gasification combined cycle/CHP/L</v>
      </c>
      <c r="F2229" s="78" t="str">
        <f>A2227</f>
        <v>Biomass and waste fired power plants</v>
      </c>
      <c r="G2229" s="78" t="str">
        <f>B2227</f>
        <v>Integrated gasification combined cycle</v>
      </c>
      <c r="H2229" s="78" t="str">
        <f>C2229</f>
        <v>CHP</v>
      </c>
      <c r="I2229" s="78" t="str">
        <f t="shared" si="390"/>
        <v>L</v>
      </c>
      <c r="J2229" s="123">
        <f>IF(tech_base!$T205&gt;J$2025,"",fuel_costs!B$16*0.086/tech_proj!J329/(1-tech_proj!J609))</f>
        <v>64.940841097957104</v>
      </c>
      <c r="K2229" s="123">
        <f>IF(tech_base!$T205&gt;K$2025,"",fuel_costs!C$16*0.086/tech_proj!K329/(1-tech_proj!K609))</f>
        <v>66.743758123725001</v>
      </c>
      <c r="L2229" s="123">
        <f>IF(tech_base!$T205&gt;L$2025,"",fuel_costs!D$16*0.086/tech_proj!L329/(1-tech_proj!L609))</f>
        <v>68.547297222717575</v>
      </c>
      <c r="M2229" s="123">
        <f>IF(tech_base!$T205&gt;M$2025,"",fuel_costs!E$16*0.086/tech_proj!M329/(1-tech_proj!M609))</f>
        <v>70.35143511707156</v>
      </c>
      <c r="N2229" s="123">
        <f>IF(tech_base!$T205&gt;N$2025,"",fuel_costs!F$16*0.086/tech_proj!N329/(1-tech_proj!N609))</f>
        <v>72.156141318116141</v>
      </c>
      <c r="O2229" s="123">
        <f>IF(tech_base!$T205&gt;O$2025,"",fuel_costs!G$16*0.086/tech_proj!O329/(1-tech_proj!O609))</f>
        <v>73.961375910550501</v>
      </c>
      <c r="P2229" s="123">
        <f>IF(tech_base!$T205&gt;P$2025,"",fuel_costs!H$16*0.086/tech_proj!P329/(1-tech_proj!P609))</f>
        <v>74.473458382107026</v>
      </c>
      <c r="Q2229" s="123">
        <f>IF(tech_base!$T205&gt;Q$2025,"",fuel_costs!I$16*0.086/tech_proj!Q329/(1-tech_proj!Q609))</f>
        <v>74.702503954885103</v>
      </c>
      <c r="R2229" s="123">
        <f>IF(tech_base!$T205&gt;R$2025,"",fuel_costs!J$16*0.086/tech_proj!R329/(1-tech_proj!R609))</f>
        <v>74.966248561018446</v>
      </c>
      <c r="S2229" s="123">
        <f>IF(tech_base!$T205&gt;S$2025,"",fuel_costs!K$16*0.086/tech_proj!S329/(1-tech_proj!S609))</f>
        <v>75.400354752107788</v>
      </c>
      <c r="T2229" s="123">
        <f>IF(tech_base!$T205&gt;T$2025,"",fuel_costs!L$16*0.086/tech_proj!T329/(1-tech_proj!T609))</f>
        <v>76.101110359994138</v>
      </c>
      <c r="U2229" s="123">
        <f>IF(tech_base!$T205&gt;U$2025,"",fuel_costs!M$16*0.086/tech_proj!U329/(1-tech_proj!U609))</f>
        <v>76.828807968217163</v>
      </c>
      <c r="V2229" s="123">
        <f>IF(tech_base!$T205&gt;V$2025,"",fuel_costs!N$16*0.086/tech_proj!V329/(1-tech_proj!V609))</f>
        <v>77.619598664157635</v>
      </c>
      <c r="W2229" s="123">
        <f>IF(tech_base!$T205&gt;W$2025,"",fuel_costs!O$16*0.086/tech_proj!W329/(1-tech_proj!W609))</f>
        <v>78.443310869641977</v>
      </c>
      <c r="X2229" s="123">
        <f>IF(tech_base!$T205&gt;X$2025,"",fuel_costs!P$16*0.086/tech_proj!X329/(1-tech_proj!X609))</f>
        <v>79.246725305148288</v>
      </c>
      <c r="Y2229" s="123">
        <f>IF(tech_base!$T205&gt;Y$2025,"",fuel_costs!Q$16*0.086/tech_proj!Y329/(1-tech_proj!Y609))</f>
        <v>80.074028735079651</v>
      </c>
      <c r="Z2229" s="123">
        <f>IF(tech_base!$T205&gt;Z$2025,"",fuel_costs!R$16*0.086/tech_proj!Z329/(1-tech_proj!Z609))</f>
        <v>80.893227717999693</v>
      </c>
      <c r="AA2229" s="123">
        <f>IF(tech_base!$T205&gt;AA$2025,"",fuel_costs!S$16*0.086/tech_proj!AA329/(1-tech_proj!AA609))</f>
        <v>81.78623323880818</v>
      </c>
      <c r="AB2229" s="123">
        <f>IF(tech_base!$T205&gt;AB$2025,"",fuel_costs!T$16*0.086/tech_proj!AB329/(1-tech_proj!AB609))</f>
        <v>82.948796430396925</v>
      </c>
      <c r="AC2229" s="123">
        <f>IF(tech_base!$T205&gt;AC$2025,"",fuel_costs!U$16*0.086/tech_proj!AC329/(1-tech_proj!AC609))</f>
        <v>84.686756916576016</v>
      </c>
      <c r="AD2229" s="123">
        <f>IF(tech_base!$T205&gt;AD$2025,"",fuel_costs!V$16*0.086/tech_proj!AD329/(1-tech_proj!AD609))</f>
        <v>86.386829178179042</v>
      </c>
      <c r="AE2229" s="123">
        <f>IF(tech_base!$T205&gt;AE$2025,"",fuel_costs!W$16*0.086/tech_proj!AE329/(1-tech_proj!AE609))</f>
        <v>87.552004868497406</v>
      </c>
      <c r="AF2229" s="123">
        <f>IF(tech_base!$T205&gt;AF$2025,"",fuel_costs!X$16*0.086/tech_proj!AF329/(1-tech_proj!AF609))</f>
        <v>88.246427771876412</v>
      </c>
      <c r="AG2229" s="123">
        <f>IF(tech_base!$T205&gt;AG$2025,"",fuel_costs!Y$16*0.086/tech_proj!AG329/(1-tech_proj!AG609))</f>
        <v>88.831090513808491</v>
      </c>
      <c r="AH2229" s="123">
        <f>IF(tech_base!$T205&gt;AH$2025,"",fuel_costs!Z$16*0.086/tech_proj!AH329/(1-tech_proj!AH609))</f>
        <v>89.333415776213485</v>
      </c>
      <c r="AI2229" s="123">
        <f>IF(tech_base!$T205&gt;AI$2025,"",fuel_costs!AA$16*0.086/tech_proj!AI329/(1-tech_proj!AI609))</f>
        <v>89.851331436992098</v>
      </c>
      <c r="AJ2229" s="123">
        <f>IF(tech_base!$T205&gt;AJ$2025,"",fuel_costs!AB$16*0.086/tech_proj!AJ329/(1-tech_proj!AJ609))</f>
        <v>90.353357698086199</v>
      </c>
      <c r="AK2229" s="123">
        <f>IF(tech_base!$T205&gt;AK$2025,"",fuel_costs!AC$16*0.086/tech_proj!AK329/(1-tech_proj!AK609))</f>
        <v>90.765330077607388</v>
      </c>
      <c r="AL2229" s="123">
        <f>IF(tech_base!$T205&gt;AL$2025,"",fuel_costs!AD$16*0.086/tech_proj!AL329/(1-tech_proj!AL609))</f>
        <v>91.064930862451703</v>
      </c>
      <c r="AM2229" s="123">
        <f>IF(tech_base!$T205&gt;AM$2025,"",fuel_costs!AE$16*0.086/tech_proj!AM329/(1-tech_proj!AM609))</f>
        <v>91.145134141473193</v>
      </c>
      <c r="AN2229" s="123">
        <f>IF(tech_base!$T205&gt;AN$2025,"",fuel_costs!AF$16*0.086/tech_proj!AN329/(1-tech_proj!AN609))</f>
        <v>91.109837290056134</v>
      </c>
      <c r="AO2229" s="123">
        <f>IF(tech_base!$T205&gt;AO$2025,"",fuel_costs!AG$16*0.086/tech_proj!AO329/(1-tech_proj!AO609))</f>
        <v>91.012177453871843</v>
      </c>
      <c r="AP2229" s="123">
        <f>IF(tech_base!$T205&gt;AP$2025,"",fuel_costs!AH$16*0.086/tech_proj!AP329/(1-tech_proj!AP609))</f>
        <v>90.860092820594829</v>
      </c>
      <c r="AQ2229" s="123">
        <f>IF(tech_base!$T205&gt;AQ$2025,"",fuel_costs!AI$16*0.086/tech_proj!AQ329/(1-tech_proj!AQ609))</f>
        <v>90.635346285480267</v>
      </c>
      <c r="AR2229" s="123">
        <f>IF(tech_base!$T205&gt;AR$2025,"",fuel_costs!AJ$16*0.086/tech_proj!AR329/(1-tech_proj!AR609))</f>
        <v>90.213636773595169</v>
      </c>
      <c r="AS2229" s="123">
        <f>IF(tech_base!$T205&gt;AS$2025,"",fuel_costs!AK$16*0.086/tech_proj!AS329/(1-tech_proj!AS609))</f>
        <v>89.790769405431448</v>
      </c>
      <c r="AT2229" s="123">
        <f>IF(tech_base!$T205&gt;AT$2025,"",fuel_costs!AL$16*0.086/tech_proj!AT329/(1-tech_proj!AT609))</f>
        <v>89.238435792415032</v>
      </c>
      <c r="AU2229" s="123">
        <f>IF(tech_base!$T205&gt;AU$2025,"",fuel_costs!AM$16*0.086/tech_proj!AU329/(1-tech_proj!AU609))</f>
        <v>88.823688412562333</v>
      </c>
      <c r="AV2229" s="123">
        <f>IF(tech_base!$T205&gt;AV$2025,"",fuel_costs!AN$16*0.086/tech_proj!AV329/(1-tech_proj!AV609))</f>
        <v>88.418528629393251</v>
      </c>
      <c r="AW2229" s="123">
        <f>IF(tech_base!$T205&gt;AW$2025,"",fuel_costs!AO$16*0.086/tech_proj!AW329/(1-tech_proj!AW609))</f>
        <v>88.038307377879022</v>
      </c>
      <c r="AX2229" s="124">
        <f>IF(tech_base!$T205&gt;AX$2025,"",fuel_costs!AP$16*0.086/tech_proj!AX329/(1-tech_proj!AX609))</f>
        <v>87.6773623787427</v>
      </c>
    </row>
    <row r="2230" spans="1:50" x14ac:dyDescent="0.25">
      <c r="A2230" s="356"/>
      <c r="B2230" s="376"/>
      <c r="C2230" s="379"/>
      <c r="D2230" s="59" t="s">
        <v>8</v>
      </c>
      <c r="E2230" s="79" t="str">
        <f>A2227&amp;"/"&amp;B2227&amp;"/"&amp;C2229&amp;"/"&amp;D2230</f>
        <v>Biomass and waste fired power plants/Integrated gasification combined cycle/CHP/M</v>
      </c>
      <c r="F2230" s="79" t="str">
        <f>A2227</f>
        <v>Biomass and waste fired power plants</v>
      </c>
      <c r="G2230" s="79" t="str">
        <f>B2227</f>
        <v>Integrated gasification combined cycle</v>
      </c>
      <c r="H2230" s="79" t="str">
        <f>C2229</f>
        <v>CHP</v>
      </c>
      <c r="I2230" s="79" t="str">
        <f t="shared" si="390"/>
        <v>M</v>
      </c>
      <c r="J2230" s="125">
        <f>IF(tech_base!$T206&gt;J$2025,"",fuel_costs!B$16*0.086/tech_proj!J330/(1-tech_proj!J610))</f>
        <v>68.438338975894027</v>
      </c>
      <c r="K2230" s="125">
        <f>IF(tech_base!$T206&gt;K$2025,"",fuel_costs!C$16*0.086/tech_proj!K330/(1-tech_proj!K610))</f>
        <v>70.337351833748954</v>
      </c>
      <c r="L2230" s="125">
        <f>IF(tech_base!$T206&gt;L$2025,"",fuel_costs!D$16*0.086/tech_proj!L330/(1-tech_proj!L610))</f>
        <v>72.23675279477267</v>
      </c>
      <c r="M2230" s="125">
        <f>IF(tech_base!$T206&gt;M$2025,"",fuel_costs!E$16*0.086/tech_proj!M330/(1-tech_proj!M610))</f>
        <v>74.136456398438099</v>
      </c>
      <c r="N2230" s="125">
        <f>IF(tech_base!$T206&gt;N$2025,"",fuel_costs!F$16*0.086/tech_proj!N330/(1-tech_proj!N610))</f>
        <v>76.036356355245033</v>
      </c>
      <c r="O2230" s="125">
        <f>IF(tech_base!$T206&gt;O$2025,"",fuel_costs!G$16*0.086/tech_proj!O330/(1-tech_proj!O610))</f>
        <v>77.936320540729298</v>
      </c>
      <c r="P2230" s="125">
        <f>IF(tech_base!$T206&gt;P$2025,"",fuel_costs!H$16*0.086/tech_proj!P330/(1-tech_proj!P610))</f>
        <v>78.473081765639421</v>
      </c>
      <c r="Q2230" s="125">
        <f>IF(tech_base!$T206&gt;Q$2025,"",fuel_costs!I$16*0.086/tech_proj!Q330/(1-tech_proj!Q610))</f>
        <v>78.711003635416546</v>
      </c>
      <c r="R2230" s="125">
        <f>IF(tech_base!$T206&gt;R$2025,"",fuel_costs!J$16*0.086/tech_proj!R330/(1-tech_proj!R610))</f>
        <v>78.984777677982237</v>
      </c>
      <c r="S2230" s="125">
        <f>IF(tech_base!$T206&gt;S$2025,"",fuel_costs!K$16*0.086/tech_proj!S330/(1-tech_proj!S610))</f>
        <v>79.437186018122659</v>
      </c>
      <c r="T2230" s="125">
        <f>IF(tech_base!$T206&gt;T$2025,"",fuel_costs!L$16*0.086/tech_proj!T330/(1-tech_proj!T610))</f>
        <v>80.169461564952073</v>
      </c>
      <c r="U2230" s="125">
        <f>IF(tech_base!$T206&gt;U$2025,"",fuel_costs!M$16*0.086/tech_proj!U330/(1-tech_proj!U610))</f>
        <v>80.928831700914898</v>
      </c>
      <c r="V2230" s="125">
        <f>IF(tech_base!$T206&gt;V$2025,"",fuel_costs!N$16*0.086/tech_proj!V330/(1-tech_proj!V610))</f>
        <v>81.753118211797656</v>
      </c>
      <c r="W2230" s="125">
        <f>IF(tech_base!$T206&gt;W$2025,"",fuel_costs!O$16*0.086/tech_proj!W330/(1-tech_proj!W610))</f>
        <v>82.610233965675349</v>
      </c>
      <c r="X2230" s="125">
        <f>IF(tech_base!$T206&gt;X$2025,"",fuel_costs!P$16*0.086/tech_proj!X330/(1-tech_proj!X610))</f>
        <v>83.443788115106315</v>
      </c>
      <c r="Y2230" s="125">
        <f>IF(tech_base!$T206&gt;Y$2025,"",fuel_costs!Q$16*0.086/tech_proj!Y330/(1-tech_proj!Y610))</f>
        <v>84.299920885257023</v>
      </c>
      <c r="Z2230" s="125">
        <f>IF(tech_base!$T206&gt;Z$2025,"",fuel_costs!R$16*0.086/tech_proj!Z330/(1-tech_proj!Z610))</f>
        <v>85.144501088200997</v>
      </c>
      <c r="AA2230" s="125">
        <f>IF(tech_base!$T206&gt;AA$2025,"",fuel_costs!S$16*0.086/tech_proj!AA330/(1-tech_proj!AA610))</f>
        <v>86.063233749152829</v>
      </c>
      <c r="AB2230" s="125">
        <f>IF(tech_base!$T206&gt;AB$2025,"",fuel_costs!T$16*0.086/tech_proj!AB330/(1-tech_proj!AB610))</f>
        <v>87.261436082352049</v>
      </c>
      <c r="AC2230" s="125">
        <f>IF(tech_base!$T206&gt;AC$2025,"",fuel_costs!U$16*0.086/tech_proj!AC330/(1-tech_proj!AC610))</f>
        <v>89.059859959183626</v>
      </c>
      <c r="AD2230" s="125">
        <f>IF(tech_base!$T206&gt;AD$2025,"",fuel_costs!V$16*0.086/tech_proj!AD330/(1-tech_proj!AD610))</f>
        <v>90.812430999620005</v>
      </c>
      <c r="AE2230" s="125">
        <f>IF(tech_base!$T206&gt;AE$2025,"",fuel_costs!W$16*0.086/tech_proj!AE330/(1-tech_proj!AE610))</f>
        <v>91.996193371234455</v>
      </c>
      <c r="AF2230" s="125">
        <f>IF(tech_base!$T206&gt;AF$2025,"",fuel_costs!X$16*0.086/tech_proj!AF330/(1-tech_proj!AF610))</f>
        <v>92.678638292543738</v>
      </c>
      <c r="AG2230" s="125">
        <f>IF(tech_base!$T206&gt;AG$2025,"",fuel_costs!Y$16*0.086/tech_proj!AG330/(1-tech_proj!AG610))</f>
        <v>93.239004503285202</v>
      </c>
      <c r="AH2230" s="125">
        <f>IF(tech_base!$T206&gt;AH$2025,"",fuel_costs!Z$16*0.086/tech_proj!AH330/(1-tech_proj!AH610))</f>
        <v>93.706060156609624</v>
      </c>
      <c r="AI2230" s="125">
        <f>IF(tech_base!$T206&gt;AI$2025,"",fuel_costs!AA$16*0.086/tech_proj!AI330/(1-tech_proj!AI610))</f>
        <v>94.182760054254516</v>
      </c>
      <c r="AJ2230" s="125">
        <f>IF(tech_base!$T206&gt;AJ$2025,"",fuel_costs!AB$16*0.086/tech_proj!AJ330/(1-tech_proj!AJ610))</f>
        <v>94.636689021849421</v>
      </c>
      <c r="AK2230" s="125">
        <f>IF(tech_base!$T206&gt;AK$2025,"",fuel_costs!AC$16*0.086/tech_proj!AK330/(1-tech_proj!AK610))</f>
        <v>94.991468942938937</v>
      </c>
      <c r="AL2230" s="125">
        <f>IF(tech_base!$T206&gt;AL$2025,"",fuel_costs!AD$16*0.086/tech_proj!AL330/(1-tech_proj!AL610))</f>
        <v>95.225955632032225</v>
      </c>
      <c r="AM2230" s="125">
        <f>IF(tech_base!$T206&gt;AM$2025,"",fuel_costs!AE$16*0.086/tech_proj!AM330/(1-tech_proj!AM610))</f>
        <v>95.231439448672177</v>
      </c>
      <c r="AN2230" s="125">
        <f>IF(tech_base!$T206&gt;AN$2025,"",fuel_costs!AF$16*0.086/tech_proj!AN330/(1-tech_proj!AN610))</f>
        <v>95.120600604384123</v>
      </c>
      <c r="AO2230" s="125">
        <f>IF(tech_base!$T206&gt;AO$2025,"",fuel_costs!AG$16*0.086/tech_proj!AO330/(1-tech_proj!AO610))</f>
        <v>94.953411481438067</v>
      </c>
      <c r="AP2230" s="125">
        <f>IF(tech_base!$T206&gt;AP$2025,"",fuel_costs!AH$16*0.086/tech_proj!AP330/(1-tech_proj!AP610))</f>
        <v>94.742673957262269</v>
      </c>
      <c r="AQ2230" s="125">
        <f>IF(tech_base!$T206&gt;AQ$2025,"",fuel_costs!AI$16*0.086/tech_proj!AQ330/(1-tech_proj!AQ610))</f>
        <v>94.473193581245567</v>
      </c>
      <c r="AR2230" s="125">
        <f>IF(tech_base!$T206&gt;AR$2025,"",fuel_costs!AJ$16*0.086/tech_proj!AR330/(1-tech_proj!AR610))</f>
        <v>94.017428077351099</v>
      </c>
      <c r="AS2230" s="125">
        <f>IF(tech_base!$T206&gt;AS$2025,"",fuel_costs!AK$16*0.086/tech_proj!AS330/(1-tech_proj!AS610))</f>
        <v>93.578307107411462</v>
      </c>
      <c r="AT2230" s="125">
        <f>IF(tech_base!$T206&gt;AT$2025,"",fuel_costs!AL$16*0.086/tech_proj!AT330/(1-tech_proj!AT610))</f>
        <v>93.016767412100577</v>
      </c>
      <c r="AU2230" s="125">
        <f>IF(tech_base!$T206&gt;AU$2025,"",fuel_costs!AM$16*0.086/tech_proj!AU330/(1-tech_proj!AU610))</f>
        <v>92.601452394105294</v>
      </c>
      <c r="AV2230" s="125">
        <f>IF(tech_base!$T206&gt;AV$2025,"",fuel_costs!AN$16*0.086/tech_proj!AV330/(1-tech_proj!AV610))</f>
        <v>92.185886123346648</v>
      </c>
      <c r="AW2230" s="125">
        <f>IF(tech_base!$T206&gt;AW$2025,"",fuel_costs!AO$16*0.086/tech_proj!AW330/(1-tech_proj!AW610))</f>
        <v>91.771967132262617</v>
      </c>
      <c r="AX2230" s="126">
        <f>IF(tech_base!$T206&gt;AX$2025,"",fuel_costs!AP$16*0.086/tech_proj!AX330/(1-tech_proj!AX610))</f>
        <v>91.341977339386034</v>
      </c>
    </row>
    <row r="2231" spans="1:50" x14ac:dyDescent="0.25">
      <c r="A2231" s="356"/>
      <c r="B2231" s="376"/>
      <c r="C2231" s="361" t="s">
        <v>15</v>
      </c>
      <c r="D2231" s="58" t="s">
        <v>7</v>
      </c>
      <c r="E2231" s="78" t="str">
        <f>A2227&amp;"/"&amp;B2227&amp;"/"&amp;C2231&amp;"/"&amp;D2231</f>
        <v>Biomass and waste fired power plants/Integrated gasification combined cycle/Electricity only with CCS/L</v>
      </c>
      <c r="F2231" s="78" t="str">
        <f>A2227</f>
        <v>Biomass and waste fired power plants</v>
      </c>
      <c r="G2231" s="78" t="str">
        <f>B2227</f>
        <v>Integrated gasification combined cycle</v>
      </c>
      <c r="H2231" s="78" t="str">
        <f>C2231</f>
        <v>Electricity only with CCS</v>
      </c>
      <c r="I2231" s="78" t="str">
        <f t="shared" si="390"/>
        <v>L</v>
      </c>
      <c r="J2231" s="123" t="str">
        <f>IF(tech_base!$T207&gt;J$2025,"",fuel_costs!B$16*0.086/tech_proj!J331/(1-tech_proj!J611))</f>
        <v/>
      </c>
      <c r="K2231" s="123" t="str">
        <f>IF(tech_base!$T207&gt;K$2025,"",fuel_costs!C$16*0.086/tech_proj!K331/(1-tech_proj!K611))</f>
        <v/>
      </c>
      <c r="L2231" s="123" t="str">
        <f>IF(tech_base!$T207&gt;L$2025,"",fuel_costs!D$16*0.086/tech_proj!L331/(1-tech_proj!L611))</f>
        <v/>
      </c>
      <c r="M2231" s="123" t="str">
        <f>IF(tech_base!$T207&gt;M$2025,"",fuel_costs!E$16*0.086/tech_proj!M331/(1-tech_proj!M611))</f>
        <v/>
      </c>
      <c r="N2231" s="123" t="str">
        <f>IF(tech_base!$T207&gt;N$2025,"",fuel_costs!F$16*0.086/tech_proj!N331/(1-tech_proj!N611))</f>
        <v/>
      </c>
      <c r="O2231" s="123" t="str">
        <f>IF(tech_base!$T207&gt;O$2025,"",fuel_costs!G$16*0.086/tech_proj!O331/(1-tech_proj!O611))</f>
        <v/>
      </c>
      <c r="P2231" s="123" t="str">
        <f>IF(tech_base!$T207&gt;P$2025,"",fuel_costs!H$16*0.086/tech_proj!P331/(1-tech_proj!P611))</f>
        <v/>
      </c>
      <c r="Q2231" s="123" t="str">
        <f>IF(tech_base!$T207&gt;Q$2025,"",fuel_costs!I$16*0.086/tech_proj!Q331/(1-tech_proj!Q611))</f>
        <v/>
      </c>
      <c r="R2231" s="123" t="str">
        <f>IF(tech_base!$T207&gt;R$2025,"",fuel_costs!J$16*0.086/tech_proj!R331/(1-tech_proj!R611))</f>
        <v/>
      </c>
      <c r="S2231" s="123" t="str">
        <f>IF(tech_base!$T207&gt;S$2025,"",fuel_costs!K$16*0.086/tech_proj!S331/(1-tech_proj!S611))</f>
        <v/>
      </c>
      <c r="T2231" s="123" t="str">
        <f>IF(tech_base!$T207&gt;T$2025,"",fuel_costs!L$16*0.086/tech_proj!T331/(1-tech_proj!T611))</f>
        <v/>
      </c>
      <c r="U2231" s="123" t="str">
        <f>IF(tech_base!$T207&gt;U$2025,"",fuel_costs!M$16*0.086/tech_proj!U331/(1-tech_proj!U611))</f>
        <v/>
      </c>
      <c r="V2231" s="123" t="str">
        <f>IF(tech_base!$T207&gt;V$2025,"",fuel_costs!N$16*0.086/tech_proj!V331/(1-tech_proj!V611))</f>
        <v/>
      </c>
      <c r="W2231" s="123" t="str">
        <f>IF(tech_base!$T207&gt;W$2025,"",fuel_costs!O$16*0.086/tech_proj!W331/(1-tech_proj!W611))</f>
        <v/>
      </c>
      <c r="X2231" s="123" t="str">
        <f>IF(tech_base!$T207&gt;X$2025,"",fuel_costs!P$16*0.086/tech_proj!X331/(1-tech_proj!X611))</f>
        <v/>
      </c>
      <c r="Y2231" s="123" t="str">
        <f>IF(tech_base!$T207&gt;Y$2025,"",fuel_costs!Q$16*0.086/tech_proj!Y331/(1-tech_proj!Y611))</f>
        <v/>
      </c>
      <c r="Z2231" s="123" t="str">
        <f>IF(tech_base!$T207&gt;Z$2025,"",fuel_costs!R$16*0.086/tech_proj!Z331/(1-tech_proj!Z611))</f>
        <v/>
      </c>
      <c r="AA2231" s="123" t="str">
        <f>IF(tech_base!$T207&gt;AA$2025,"",fuel_costs!S$16*0.086/tech_proj!AA331/(1-tech_proj!AA611))</f>
        <v/>
      </c>
      <c r="AB2231" s="123" t="str">
        <f>IF(tech_base!$T207&gt;AB$2025,"",fuel_costs!T$16*0.086/tech_proj!AB331/(1-tech_proj!AB611))</f>
        <v/>
      </c>
      <c r="AC2231" s="123" t="str">
        <f>IF(tech_base!$T207&gt;AC$2025,"",fuel_costs!U$16*0.086/tech_proj!AC331/(1-tech_proj!AC611))</f>
        <v/>
      </c>
      <c r="AD2231" s="123" t="str">
        <f>IF(tech_base!$T207&gt;AD$2025,"",fuel_costs!V$16*0.086/tech_proj!AD331/(1-tech_proj!AD611))</f>
        <v/>
      </c>
      <c r="AE2231" s="123">
        <f>IF(tech_base!$T207&gt;AE$2025,"",fuel_costs!W$16*0.086/tech_proj!AE331/(1-tech_proj!AE611))</f>
        <v>99.645360460944914</v>
      </c>
      <c r="AF2231" s="123">
        <f>IF(tech_base!$T207&gt;AF$2025,"",fuel_costs!X$16*0.086/tech_proj!AF331/(1-tech_proj!AF611))</f>
        <v>100.48844405073041</v>
      </c>
      <c r="AG2231" s="123">
        <f>IF(tech_base!$T207&gt;AG$2025,"",fuel_costs!Y$16*0.086/tech_proj!AG331/(1-tech_proj!AG611))</f>
        <v>101.22133451772677</v>
      </c>
      <c r="AH2231" s="123">
        <f>IF(tech_base!$T207&gt;AH$2025,"",fuel_costs!Z$16*0.086/tech_proj!AH331/(1-tech_proj!AH611))</f>
        <v>101.87881224624816</v>
      </c>
      <c r="AI2231" s="123">
        <f>IF(tech_base!$T207&gt;AI$2025,"",fuel_costs!AA$16*0.086/tech_proj!AI331/(1-tech_proj!AI611))</f>
        <v>102.57694416380357</v>
      </c>
      <c r="AJ2231" s="123">
        <f>IF(tech_base!$T207&gt;AJ$2025,"",fuel_costs!AB$16*0.086/tech_proj!AJ331/(1-tech_proj!AJ611))</f>
        <v>103.28518579305903</v>
      </c>
      <c r="AK2231" s="123">
        <f>IF(tech_base!$T207&gt;AK$2025,"",fuel_costs!AC$16*0.086/tech_proj!AK331/(1-tech_proj!AK611))</f>
        <v>103.92478902278491</v>
      </c>
      <c r="AL2231" s="123">
        <f>IF(tech_base!$T207&gt;AL$2025,"",fuel_costs!AD$16*0.086/tech_proj!AL331/(1-tech_proj!AL611))</f>
        <v>104.47652714909361</v>
      </c>
      <c r="AM2231" s="123">
        <f>IF(tech_base!$T207&gt;AM$2025,"",fuel_costs!AE$16*0.086/tech_proj!AM331/(1-tech_proj!AM611))</f>
        <v>104.82366258176495</v>
      </c>
      <c r="AN2231" s="123">
        <f>IF(tech_base!$T207&gt;AN$2025,"",fuel_costs!AF$16*0.086/tech_proj!AN331/(1-tech_proj!AN611))</f>
        <v>105.09067152286606</v>
      </c>
      <c r="AO2231" s="123">
        <f>IF(tech_base!$T207&gt;AO$2025,"",fuel_costs!AG$16*0.086/tech_proj!AO331/(1-tech_proj!AO611))</f>
        <v>105.34272600733684</v>
      </c>
      <c r="AP2231" s="123">
        <f>IF(tech_base!$T207&gt;AP$2025,"",fuel_costs!AH$16*0.086/tech_proj!AP331/(1-tech_proj!AP611))</f>
        <v>105.58988206108296</v>
      </c>
      <c r="AQ2231" s="123">
        <f>IF(tech_base!$T207&gt;AQ$2025,"",fuel_costs!AI$16*0.086/tech_proj!AQ331/(1-tech_proj!AQ611))</f>
        <v>105.80610154496868</v>
      </c>
      <c r="AR2231" s="123">
        <f>IF(tech_base!$T207&gt;AR$2025,"",fuel_costs!AJ$16*0.086/tech_proj!AR331/(1-tech_proj!AR611))</f>
        <v>105.83199049896994</v>
      </c>
      <c r="AS2231" s="123">
        <f>IF(tech_base!$T207&gt;AS$2025,"",fuel_costs!AK$16*0.086/tech_proj!AS331/(1-tech_proj!AS611))</f>
        <v>105.87117276080694</v>
      </c>
      <c r="AT2231" s="123">
        <f>IF(tech_base!$T207&gt;AT$2025,"",fuel_costs!AL$16*0.086/tech_proj!AT331/(1-tech_proj!AT611))</f>
        <v>105.73440479551964</v>
      </c>
      <c r="AU2231" s="123">
        <f>IF(tech_base!$T207&gt;AU$2025,"",fuel_costs!AM$16*0.086/tech_proj!AU331/(1-tech_proj!AU611))</f>
        <v>105.68686121061927</v>
      </c>
      <c r="AV2231" s="123">
        <f>IF(tech_base!$T207&gt;AV$2025,"",fuel_costs!AN$16*0.086/tech_proj!AV331/(1-tech_proj!AV611))</f>
        <v>105.5170708356964</v>
      </c>
      <c r="AW2231" s="123">
        <f>IF(tech_base!$T207&gt;AW$2025,"",fuel_costs!AO$16*0.086/tech_proj!AW331/(1-tech_proj!AW611))</f>
        <v>105.18044073585214</v>
      </c>
      <c r="AX2231" s="124">
        <f>IF(tech_base!$T207&gt;AX$2025,"",fuel_costs!AP$16*0.086/tech_proj!AX331/(1-tech_proj!AX611))</f>
        <v>104.6168224262543</v>
      </c>
    </row>
    <row r="2232" spans="1:50" x14ac:dyDescent="0.25">
      <c r="A2232" s="356"/>
      <c r="B2232" s="376"/>
      <c r="C2232" s="379"/>
      <c r="D2232" s="59" t="s">
        <v>8</v>
      </c>
      <c r="E2232" s="79" t="str">
        <f>A2227&amp;"/"&amp;B2227&amp;"/"&amp;C2231&amp;"/"&amp;D2232</f>
        <v>Biomass and waste fired power plants/Integrated gasification combined cycle/Electricity only with CCS/M</v>
      </c>
      <c r="F2232" s="79" t="str">
        <f>A2227</f>
        <v>Biomass and waste fired power plants</v>
      </c>
      <c r="G2232" s="79" t="str">
        <f>B2227</f>
        <v>Integrated gasification combined cycle</v>
      </c>
      <c r="H2232" s="79" t="str">
        <f>C2231</f>
        <v>Electricity only with CCS</v>
      </c>
      <c r="I2232" s="79" t="str">
        <f t="shared" si="390"/>
        <v>M</v>
      </c>
      <c r="J2232" s="125" t="str">
        <f>IF(tech_base!$T208&gt;J$2025,"",fuel_costs!B$16*0.086/tech_proj!J332/(1-tech_proj!J612))</f>
        <v/>
      </c>
      <c r="K2232" s="125" t="str">
        <f>IF(tech_base!$T208&gt;K$2025,"",fuel_costs!C$16*0.086/tech_proj!K332/(1-tech_proj!K612))</f>
        <v/>
      </c>
      <c r="L2232" s="125" t="str">
        <f>IF(tech_base!$T208&gt;L$2025,"",fuel_costs!D$16*0.086/tech_proj!L332/(1-tech_proj!L612))</f>
        <v/>
      </c>
      <c r="M2232" s="125" t="str">
        <f>IF(tech_base!$T208&gt;M$2025,"",fuel_costs!E$16*0.086/tech_proj!M332/(1-tech_proj!M612))</f>
        <v/>
      </c>
      <c r="N2232" s="125" t="str">
        <f>IF(tech_base!$T208&gt;N$2025,"",fuel_costs!F$16*0.086/tech_proj!N332/(1-tech_proj!N612))</f>
        <v/>
      </c>
      <c r="O2232" s="125" t="str">
        <f>IF(tech_base!$T208&gt;O$2025,"",fuel_costs!G$16*0.086/tech_proj!O332/(1-tech_proj!O612))</f>
        <v/>
      </c>
      <c r="P2232" s="125" t="str">
        <f>IF(tech_base!$T208&gt;P$2025,"",fuel_costs!H$16*0.086/tech_proj!P332/(1-tech_proj!P612))</f>
        <v/>
      </c>
      <c r="Q2232" s="125" t="str">
        <f>IF(tech_base!$T208&gt;Q$2025,"",fuel_costs!I$16*0.086/tech_proj!Q332/(1-tech_proj!Q612))</f>
        <v/>
      </c>
      <c r="R2232" s="125" t="str">
        <f>IF(tech_base!$T208&gt;R$2025,"",fuel_costs!J$16*0.086/tech_proj!R332/(1-tech_proj!R612))</f>
        <v/>
      </c>
      <c r="S2232" s="125" t="str">
        <f>IF(tech_base!$T208&gt;S$2025,"",fuel_costs!K$16*0.086/tech_proj!S332/(1-tech_proj!S612))</f>
        <v/>
      </c>
      <c r="T2232" s="125" t="str">
        <f>IF(tech_base!$T208&gt;T$2025,"",fuel_costs!L$16*0.086/tech_proj!T332/(1-tech_proj!T612))</f>
        <v/>
      </c>
      <c r="U2232" s="125" t="str">
        <f>IF(tech_base!$T208&gt;U$2025,"",fuel_costs!M$16*0.086/tech_proj!U332/(1-tech_proj!U612))</f>
        <v/>
      </c>
      <c r="V2232" s="125" t="str">
        <f>IF(tech_base!$T208&gt;V$2025,"",fuel_costs!N$16*0.086/tech_proj!V332/(1-tech_proj!V612))</f>
        <v/>
      </c>
      <c r="W2232" s="125" t="str">
        <f>IF(tech_base!$T208&gt;W$2025,"",fuel_costs!O$16*0.086/tech_proj!W332/(1-tech_proj!W612))</f>
        <v/>
      </c>
      <c r="X2232" s="125" t="str">
        <f>IF(tech_base!$T208&gt;X$2025,"",fuel_costs!P$16*0.086/tech_proj!X332/(1-tech_proj!X612))</f>
        <v/>
      </c>
      <c r="Y2232" s="125" t="str">
        <f>IF(tech_base!$T208&gt;Y$2025,"",fuel_costs!Q$16*0.086/tech_proj!Y332/(1-tech_proj!Y612))</f>
        <v/>
      </c>
      <c r="Z2232" s="125" t="str">
        <f>IF(tech_base!$T208&gt;Z$2025,"",fuel_costs!R$16*0.086/tech_proj!Z332/(1-tech_proj!Z612))</f>
        <v/>
      </c>
      <c r="AA2232" s="125" t="str">
        <f>IF(tech_base!$T208&gt;AA$2025,"",fuel_costs!S$16*0.086/tech_proj!AA332/(1-tech_proj!AA612))</f>
        <v/>
      </c>
      <c r="AB2232" s="125" t="str">
        <f>IF(tech_base!$T208&gt;AB$2025,"",fuel_costs!T$16*0.086/tech_proj!AB332/(1-tech_proj!AB612))</f>
        <v/>
      </c>
      <c r="AC2232" s="125" t="str">
        <f>IF(tech_base!$T208&gt;AC$2025,"",fuel_costs!U$16*0.086/tech_proj!AC332/(1-tech_proj!AC612))</f>
        <v/>
      </c>
      <c r="AD2232" s="125" t="str">
        <f>IF(tech_base!$T208&gt;AD$2025,"",fuel_costs!V$16*0.086/tech_proj!AD332/(1-tech_proj!AD612))</f>
        <v/>
      </c>
      <c r="AE2232" s="125">
        <f>IF(tech_base!$T208&gt;AE$2025,"",fuel_costs!W$16*0.086/tech_proj!AE332/(1-tech_proj!AE612))</f>
        <v>106.11032946222865</v>
      </c>
      <c r="AF2232" s="125">
        <f>IF(tech_base!$T208&gt;AF$2025,"",fuel_costs!X$16*0.086/tech_proj!AF332/(1-tech_proj!AF612))</f>
        <v>107.01185047886608</v>
      </c>
      <c r="AG2232" s="125">
        <f>IF(tech_base!$T208&gt;AG$2025,"",fuel_costs!Y$16*0.086/tech_proj!AG332/(1-tech_proj!AG612))</f>
        <v>107.79710849035175</v>
      </c>
      <c r="AH2232" s="125">
        <f>IF(tech_base!$T208&gt;AH$2025,"",fuel_costs!Z$16*0.086/tech_proj!AH332/(1-tech_proj!AH612))</f>
        <v>108.50338758008618</v>
      </c>
      <c r="AI2232" s="125">
        <f>IF(tech_base!$T208&gt;AI$2025,"",fuel_costs!AA$16*0.086/tech_proj!AI332/(1-tech_proj!AI612))</f>
        <v>109.25458724438749</v>
      </c>
      <c r="AJ2232" s="125">
        <f>IF(tech_base!$T208&gt;AJ$2025,"",fuel_costs!AB$16*0.086/tech_proj!AJ332/(1-tech_proj!AJ612))</f>
        <v>110.0184958380283</v>
      </c>
      <c r="AK2232" s="125">
        <f>IF(tech_base!$T208&gt;AK$2025,"",fuel_costs!AC$16*0.086/tech_proj!AK332/(1-tech_proj!AK612))</f>
        <v>110.71153551073851</v>
      </c>
      <c r="AL2232" s="125">
        <f>IF(tech_base!$T208&gt;AL$2025,"",fuel_costs!AD$16*0.086/tech_proj!AL332/(1-tech_proj!AL612))</f>
        <v>111.31344405435395</v>
      </c>
      <c r="AM2232" s="125">
        <f>IF(tech_base!$T208&gt;AM$2025,"",fuel_costs!AE$16*0.086/tech_proj!AM332/(1-tech_proj!AM612))</f>
        <v>111.69987485826401</v>
      </c>
      <c r="AN2232" s="125">
        <f>IF(tech_base!$T208&gt;AN$2025,"",fuel_costs!AF$16*0.086/tech_proj!AN332/(1-tech_proj!AN612))</f>
        <v>112.00315153771966</v>
      </c>
      <c r="AO2232" s="125">
        <f>IF(tech_base!$T208&gt;AO$2025,"",fuel_costs!AG$16*0.086/tech_proj!AO332/(1-tech_proj!AO612))</f>
        <v>112.2918915474021</v>
      </c>
      <c r="AP2232" s="125">
        <f>IF(tech_base!$T208&gt;AP$2025,"",fuel_costs!AH$16*0.086/tech_proj!AP332/(1-tech_proj!AP612))</f>
        <v>112.57505357334934</v>
      </c>
      <c r="AQ2232" s="125">
        <f>IF(tech_base!$T208&gt;AQ$2025,"",fuel_costs!AI$16*0.086/tech_proj!AQ332/(1-tech_proj!AQ612))</f>
        <v>112.82162019339702</v>
      </c>
      <c r="AR2232" s="125">
        <f>IF(tech_base!$T208&gt;AR$2025,"",fuel_costs!AJ$16*0.086/tech_proj!AR332/(1-tech_proj!AR612))</f>
        <v>112.85610435072067</v>
      </c>
      <c r="AS2232" s="125">
        <f>IF(tech_base!$T208&gt;AS$2025,"",fuel_costs!AK$16*0.086/tech_proj!AS332/(1-tech_proj!AS612))</f>
        <v>112.88697588044315</v>
      </c>
      <c r="AT2232" s="125">
        <f>IF(tech_base!$T208&gt;AT$2025,"",fuel_costs!AL$16*0.086/tech_proj!AT332/(1-tech_proj!AT612))</f>
        <v>112.69975116635435</v>
      </c>
      <c r="AU2232" s="125">
        <f>IF(tech_base!$T208&gt;AU$2025,"",fuel_costs!AM$16*0.086/tech_proj!AU332/(1-tech_proj!AU612))</f>
        <v>112.55973409480949</v>
      </c>
      <c r="AV2232" s="125">
        <f>IF(tech_base!$T208&gt;AV$2025,"",fuel_costs!AN$16*0.086/tech_proj!AV332/(1-tech_proj!AV612))</f>
        <v>112.22003109469105</v>
      </c>
      <c r="AW2232" s="125">
        <f>IF(tech_base!$T208&gt;AW$2025,"",fuel_costs!AO$16*0.086/tech_proj!AW332/(1-tech_proj!AW612))</f>
        <v>111.61083808331415</v>
      </c>
      <c r="AX2232" s="126">
        <f>IF(tech_base!$T208&gt;AX$2025,"",fuel_costs!AP$16*0.086/tech_proj!AX332/(1-tech_proj!AX612))</f>
        <v>110.65184890542002</v>
      </c>
    </row>
    <row r="2233" spans="1:50" x14ac:dyDescent="0.25">
      <c r="A2233" s="356"/>
      <c r="B2233" s="376"/>
      <c r="C2233" s="361" t="s">
        <v>16</v>
      </c>
      <c r="D2233" s="2" t="s">
        <v>7</v>
      </c>
      <c r="E2233" s="76" t="str">
        <f>A2227&amp;"/"&amp;B2227&amp;"/"&amp;C2233&amp;"/"&amp;D2233</f>
        <v>Biomass and waste fired power plants/Integrated gasification combined cycle/CHP with CCS/L</v>
      </c>
      <c r="F2233" s="76" t="str">
        <f>A2227</f>
        <v>Biomass and waste fired power plants</v>
      </c>
      <c r="G2233" s="76" t="str">
        <f>B2227</f>
        <v>Integrated gasification combined cycle</v>
      </c>
      <c r="H2233" s="76" t="str">
        <f>C2233</f>
        <v>CHP with CCS</v>
      </c>
      <c r="I2233" s="76" t="str">
        <f t="shared" si="390"/>
        <v>L</v>
      </c>
      <c r="J2233" s="119" t="str">
        <f>IF(tech_base!$T209&gt;J$2025,"",fuel_costs!B$16*0.086/tech_proj!J333/(1-tech_proj!J613))</f>
        <v/>
      </c>
      <c r="K2233" s="119" t="str">
        <f>IF(tech_base!$T209&gt;K$2025,"",fuel_costs!C$16*0.086/tech_proj!K333/(1-tech_proj!K613))</f>
        <v/>
      </c>
      <c r="L2233" s="119" t="str">
        <f>IF(tech_base!$T209&gt;L$2025,"",fuel_costs!D$16*0.086/tech_proj!L333/(1-tech_proj!L613))</f>
        <v/>
      </c>
      <c r="M2233" s="119" t="str">
        <f>IF(tech_base!$T209&gt;M$2025,"",fuel_costs!E$16*0.086/tech_proj!M333/(1-tech_proj!M613))</f>
        <v/>
      </c>
      <c r="N2233" s="119" t="str">
        <f>IF(tech_base!$T209&gt;N$2025,"",fuel_costs!F$16*0.086/tech_proj!N333/(1-tech_proj!N613))</f>
        <v/>
      </c>
      <c r="O2233" s="119" t="str">
        <f>IF(tech_base!$T209&gt;O$2025,"",fuel_costs!G$16*0.086/tech_proj!O333/(1-tech_proj!O613))</f>
        <v/>
      </c>
      <c r="P2233" s="119" t="str">
        <f>IF(tech_base!$T209&gt;P$2025,"",fuel_costs!H$16*0.086/tech_proj!P333/(1-tech_proj!P613))</f>
        <v/>
      </c>
      <c r="Q2233" s="119" t="str">
        <f>IF(tech_base!$T209&gt;Q$2025,"",fuel_costs!I$16*0.086/tech_proj!Q333/(1-tech_proj!Q613))</f>
        <v/>
      </c>
      <c r="R2233" s="119" t="str">
        <f>IF(tech_base!$T209&gt;R$2025,"",fuel_costs!J$16*0.086/tech_proj!R333/(1-tech_proj!R613))</f>
        <v/>
      </c>
      <c r="S2233" s="119" t="str">
        <f>IF(tech_base!$T209&gt;S$2025,"",fuel_costs!K$16*0.086/tech_proj!S333/(1-tech_proj!S613))</f>
        <v/>
      </c>
      <c r="T2233" s="119" t="str">
        <f>IF(tech_base!$T209&gt;T$2025,"",fuel_costs!L$16*0.086/tech_proj!T333/(1-tech_proj!T613))</f>
        <v/>
      </c>
      <c r="U2233" s="119" t="str">
        <f>IF(tech_base!$T209&gt;U$2025,"",fuel_costs!M$16*0.086/tech_proj!U333/(1-tech_proj!U613))</f>
        <v/>
      </c>
      <c r="V2233" s="119" t="str">
        <f>IF(tech_base!$T209&gt;V$2025,"",fuel_costs!N$16*0.086/tech_proj!V333/(1-tech_proj!V613))</f>
        <v/>
      </c>
      <c r="W2233" s="119" t="str">
        <f>IF(tech_base!$T209&gt;W$2025,"",fuel_costs!O$16*0.086/tech_proj!W333/(1-tech_proj!W613))</f>
        <v/>
      </c>
      <c r="X2233" s="119" t="str">
        <f>IF(tech_base!$T209&gt;X$2025,"",fuel_costs!P$16*0.086/tech_proj!X333/(1-tech_proj!X613))</f>
        <v/>
      </c>
      <c r="Y2233" s="119" t="str">
        <f>IF(tech_base!$T209&gt;Y$2025,"",fuel_costs!Q$16*0.086/tech_proj!Y333/(1-tech_proj!Y613))</f>
        <v/>
      </c>
      <c r="Z2233" s="119" t="str">
        <f>IF(tech_base!$T209&gt;Z$2025,"",fuel_costs!R$16*0.086/tech_proj!Z333/(1-tech_proj!Z613))</f>
        <v/>
      </c>
      <c r="AA2233" s="119" t="str">
        <f>IF(tech_base!$T209&gt;AA$2025,"",fuel_costs!S$16*0.086/tech_proj!AA333/(1-tech_proj!AA613))</f>
        <v/>
      </c>
      <c r="AB2233" s="119" t="str">
        <f>IF(tech_base!$T209&gt;AB$2025,"",fuel_costs!T$16*0.086/tech_proj!AB333/(1-tech_proj!AB613))</f>
        <v/>
      </c>
      <c r="AC2233" s="119" t="str">
        <f>IF(tech_base!$T209&gt;AC$2025,"",fuel_costs!U$16*0.086/tech_proj!AC333/(1-tech_proj!AC613))</f>
        <v/>
      </c>
      <c r="AD2233" s="119" t="str">
        <f>IF(tech_base!$T209&gt;AD$2025,"",fuel_costs!V$16*0.086/tech_proj!AD333/(1-tech_proj!AD613))</f>
        <v/>
      </c>
      <c r="AE2233" s="119">
        <f>IF(tech_base!$T209&gt;AE$2025,"",fuel_costs!W$16*0.086/tech_proj!AE333/(1-tech_proj!AE613))</f>
        <v>112.7357276018284</v>
      </c>
      <c r="AF2233" s="119">
        <f>IF(tech_base!$T209&gt;AF$2025,"",fuel_costs!X$16*0.086/tech_proj!AF333/(1-tech_proj!AF613))</f>
        <v>113.69010497075551</v>
      </c>
      <c r="AG2233" s="119">
        <f>IF(tech_base!$T209&gt;AG$2025,"",fuel_costs!Y$16*0.086/tech_proj!AG333/(1-tech_proj!AG613))</f>
        <v>114.52001029018554</v>
      </c>
      <c r="AH2233" s="119">
        <f>IF(tech_base!$T209&gt;AH$2025,"",fuel_costs!Z$16*0.086/tech_proj!AH333/(1-tech_proj!AH613))</f>
        <v>115.26486177603326</v>
      </c>
      <c r="AI2233" s="119">
        <f>IF(tech_base!$T209&gt;AI$2025,"",fuel_costs!AA$16*0.086/tech_proj!AI333/(1-tech_proj!AI613))</f>
        <v>116.05607056644604</v>
      </c>
      <c r="AJ2233" s="119">
        <f>IF(tech_base!$T209&gt;AJ$2025,"",fuel_costs!AB$16*0.086/tech_proj!AJ333/(1-tech_proj!AJ613))</f>
        <v>116.85920815268382</v>
      </c>
      <c r="AK2233" s="119">
        <f>IF(tech_base!$T209&gt;AK$2025,"",fuel_costs!AC$16*0.086/tech_proj!AK333/(1-tech_proj!AK613))</f>
        <v>117.58534958153598</v>
      </c>
      <c r="AL2233" s="119">
        <f>IF(tech_base!$T209&gt;AL$2025,"",fuel_costs!AD$16*0.086/tech_proj!AL333/(1-tech_proj!AL613))</f>
        <v>118.21296782319899</v>
      </c>
      <c r="AM2233" s="119">
        <f>IF(tech_base!$T209&gt;AM$2025,"",fuel_costs!AE$16*0.086/tech_proj!AM333/(1-tech_proj!AM613))</f>
        <v>118.6102727651257</v>
      </c>
      <c r="AN2233" s="119">
        <f>IF(tech_base!$T209&gt;AN$2025,"",fuel_costs!AF$16*0.086/tech_proj!AN333/(1-tech_proj!AN613))</f>
        <v>118.91849758409522</v>
      </c>
      <c r="AO2233" s="119">
        <f>IF(tech_base!$T209&gt;AO$2025,"",fuel_costs!AG$16*0.086/tech_proj!AO333/(1-tech_proj!AO613))</f>
        <v>119.21191433864655</v>
      </c>
      <c r="AP2233" s="119">
        <f>IF(tech_base!$T209&gt;AP$2025,"",fuel_costs!AH$16*0.086/tech_proj!AP333/(1-tech_proj!AP613))</f>
        <v>119.5026021991702</v>
      </c>
      <c r="AQ2233" s="119">
        <f>IF(tech_base!$T209&gt;AQ$2025,"",fuel_costs!AI$16*0.086/tech_proj!AQ333/(1-tech_proj!AQ613))</f>
        <v>119.76200079678922</v>
      </c>
      <c r="AR2233" s="119">
        <f>IF(tech_base!$T209&gt;AR$2025,"",fuel_costs!AJ$16*0.086/tech_proj!AR333/(1-tech_proj!AR613))</f>
        <v>119.81081958105315</v>
      </c>
      <c r="AS2233" s="119">
        <f>IF(tech_base!$T209&gt;AS$2025,"",fuel_costs!AK$16*0.086/tech_proj!AS333/(1-tech_proj!AS613))</f>
        <v>119.88096279553932</v>
      </c>
      <c r="AT2233" s="119">
        <f>IF(tech_base!$T209&gt;AT$2025,"",fuel_costs!AL$16*0.086/tech_proj!AT333/(1-tech_proj!AT613))</f>
        <v>119.75986073280973</v>
      </c>
      <c r="AU2233" s="119">
        <f>IF(tech_base!$T209&gt;AU$2025,"",fuel_costs!AM$16*0.086/tech_proj!AU333/(1-tech_proj!AU613))</f>
        <v>119.74982914039462</v>
      </c>
      <c r="AV2233" s="119">
        <f>IF(tech_base!$T209&gt;AV$2025,"",fuel_costs!AN$16*0.086/tech_proj!AV333/(1-tech_proj!AV613))</f>
        <v>119.61352117591589</v>
      </c>
      <c r="AW2233" s="119">
        <f>IF(tech_base!$T209&gt;AW$2025,"",fuel_costs!AO$16*0.086/tech_proj!AW333/(1-tech_proj!AW613))</f>
        <v>119.30237407364508</v>
      </c>
      <c r="AX2233" s="120">
        <f>IF(tech_base!$T209&gt;AX$2025,"",fuel_costs!AP$16*0.086/tech_proj!AX333/(1-tech_proj!AX613))</f>
        <v>118.74952425519075</v>
      </c>
    </row>
    <row r="2234" spans="1:50" x14ac:dyDescent="0.25">
      <c r="A2234" s="356"/>
      <c r="B2234" s="380"/>
      <c r="C2234" s="381"/>
      <c r="D2234" s="4" t="s">
        <v>8</v>
      </c>
      <c r="E2234" s="80" t="str">
        <f>A2227&amp;"/"&amp;B2227&amp;"/"&amp;C2233&amp;"/"&amp;D2234</f>
        <v>Biomass and waste fired power plants/Integrated gasification combined cycle/CHP with CCS/M</v>
      </c>
      <c r="F2234" s="80" t="str">
        <f>A2227</f>
        <v>Biomass and waste fired power plants</v>
      </c>
      <c r="G2234" s="80" t="str">
        <f>B2227</f>
        <v>Integrated gasification combined cycle</v>
      </c>
      <c r="H2234" s="80" t="str">
        <f>C2233</f>
        <v>CHP with CCS</v>
      </c>
      <c r="I2234" s="80" t="str">
        <f t="shared" si="390"/>
        <v>M</v>
      </c>
      <c r="J2234" s="127" t="str">
        <f>IF(tech_base!$T210&gt;J$2025,"",fuel_costs!B$16*0.086/tech_proj!J334/(1-tech_proj!J614))</f>
        <v/>
      </c>
      <c r="K2234" s="127" t="str">
        <f>IF(tech_base!$T210&gt;K$2025,"",fuel_costs!C$16*0.086/tech_proj!K334/(1-tech_proj!K614))</f>
        <v/>
      </c>
      <c r="L2234" s="127" t="str">
        <f>IF(tech_base!$T210&gt;L$2025,"",fuel_costs!D$16*0.086/tech_proj!L334/(1-tech_proj!L614))</f>
        <v/>
      </c>
      <c r="M2234" s="127" t="str">
        <f>IF(tech_base!$T210&gt;M$2025,"",fuel_costs!E$16*0.086/tech_proj!M334/(1-tech_proj!M614))</f>
        <v/>
      </c>
      <c r="N2234" s="127" t="str">
        <f>IF(tech_base!$T210&gt;N$2025,"",fuel_costs!F$16*0.086/tech_proj!N334/(1-tech_proj!N614))</f>
        <v/>
      </c>
      <c r="O2234" s="127" t="str">
        <f>IF(tech_base!$T210&gt;O$2025,"",fuel_costs!G$16*0.086/tech_proj!O334/(1-tech_proj!O614))</f>
        <v/>
      </c>
      <c r="P2234" s="127" t="str">
        <f>IF(tech_base!$T210&gt;P$2025,"",fuel_costs!H$16*0.086/tech_proj!P334/(1-tech_proj!P614))</f>
        <v/>
      </c>
      <c r="Q2234" s="127" t="str">
        <f>IF(tech_base!$T210&gt;Q$2025,"",fuel_costs!I$16*0.086/tech_proj!Q334/(1-tech_proj!Q614))</f>
        <v/>
      </c>
      <c r="R2234" s="127" t="str">
        <f>IF(tech_base!$T210&gt;R$2025,"",fuel_costs!J$16*0.086/tech_proj!R334/(1-tech_proj!R614))</f>
        <v/>
      </c>
      <c r="S2234" s="127" t="str">
        <f>IF(tech_base!$T210&gt;S$2025,"",fuel_costs!K$16*0.086/tech_proj!S334/(1-tech_proj!S614))</f>
        <v/>
      </c>
      <c r="T2234" s="127" t="str">
        <f>IF(tech_base!$T210&gt;T$2025,"",fuel_costs!L$16*0.086/tech_proj!T334/(1-tech_proj!T614))</f>
        <v/>
      </c>
      <c r="U2234" s="127" t="str">
        <f>IF(tech_base!$T210&gt;U$2025,"",fuel_costs!M$16*0.086/tech_proj!U334/(1-tech_proj!U614))</f>
        <v/>
      </c>
      <c r="V2234" s="127" t="str">
        <f>IF(tech_base!$T210&gt;V$2025,"",fuel_costs!N$16*0.086/tech_proj!V334/(1-tech_proj!V614))</f>
        <v/>
      </c>
      <c r="W2234" s="127" t="str">
        <f>IF(tech_base!$T210&gt;W$2025,"",fuel_costs!O$16*0.086/tech_proj!W334/(1-tech_proj!W614))</f>
        <v/>
      </c>
      <c r="X2234" s="127" t="str">
        <f>IF(tech_base!$T210&gt;X$2025,"",fuel_costs!P$16*0.086/tech_proj!X334/(1-tech_proj!X614))</f>
        <v/>
      </c>
      <c r="Y2234" s="127" t="str">
        <f>IF(tech_base!$T210&gt;Y$2025,"",fuel_costs!Q$16*0.086/tech_proj!Y334/(1-tech_proj!Y614))</f>
        <v/>
      </c>
      <c r="Z2234" s="127" t="str">
        <f>IF(tech_base!$T210&gt;Z$2025,"",fuel_costs!R$16*0.086/tech_proj!Z334/(1-tech_proj!Z614))</f>
        <v/>
      </c>
      <c r="AA2234" s="127" t="str">
        <f>IF(tech_base!$T210&gt;AA$2025,"",fuel_costs!S$16*0.086/tech_proj!AA334/(1-tech_proj!AA614))</f>
        <v/>
      </c>
      <c r="AB2234" s="127" t="str">
        <f>IF(tech_base!$T210&gt;AB$2025,"",fuel_costs!T$16*0.086/tech_proj!AB334/(1-tech_proj!AB614))</f>
        <v/>
      </c>
      <c r="AC2234" s="127" t="str">
        <f>IF(tech_base!$T210&gt;AC$2025,"",fuel_costs!U$16*0.086/tech_proj!AC334/(1-tech_proj!AC614))</f>
        <v/>
      </c>
      <c r="AD2234" s="127" t="str">
        <f>IF(tech_base!$T210&gt;AD$2025,"",fuel_costs!V$16*0.086/tech_proj!AD334/(1-tech_proj!AD614))</f>
        <v/>
      </c>
      <c r="AE2234" s="127">
        <f>IF(tech_base!$T210&gt;AE$2025,"",fuel_costs!W$16*0.086/tech_proj!AE334/(1-tech_proj!AE614))</f>
        <v>120.27162216075206</v>
      </c>
      <c r="AF2234" s="127">
        <f>IF(tech_base!$T210&gt;AF$2025,"",fuel_costs!X$16*0.086/tech_proj!AF334/(1-tech_proj!AF614))</f>
        <v>121.29399116943037</v>
      </c>
      <c r="AG2234" s="127">
        <f>IF(tech_base!$T210&gt;AG$2025,"",fuel_costs!Y$16*0.086/tech_proj!AG334/(1-tech_proj!AG614))</f>
        <v>122.1848133778274</v>
      </c>
      <c r="AH2234" s="127">
        <f>IF(tech_base!$T210&gt;AH$2025,"",fuel_costs!Z$16*0.086/tech_proj!AH334/(1-tech_proj!AH614))</f>
        <v>122.98644651696478</v>
      </c>
      <c r="AI2234" s="127">
        <f>IF(tech_base!$T210&gt;AI$2025,"",fuel_costs!AA$16*0.086/tech_proj!AI334/(1-tech_proj!AI614))</f>
        <v>123.8394685945217</v>
      </c>
      <c r="AJ2234" s="127">
        <f>IF(tech_base!$T210&gt;AJ$2025,"",fuel_costs!AB$16*0.086/tech_proj!AJ334/(1-tech_proj!AJ614))</f>
        <v>124.70757096192284</v>
      </c>
      <c r="AK2234" s="127">
        <f>IF(tech_base!$T210&gt;AK$2025,"",fuel_costs!AC$16*0.086/tech_proj!AK334/(1-tech_proj!AK614))</f>
        <v>125.49630284175939</v>
      </c>
      <c r="AL2234" s="127">
        <f>IF(tech_base!$T210&gt;AL$2025,"",fuel_costs!AD$16*0.086/tech_proj!AL334/(1-tech_proj!AL614))</f>
        <v>126.18309560768419</v>
      </c>
      <c r="AM2234" s="127">
        <f>IF(tech_base!$T210&gt;AM$2025,"",fuel_costs!AE$16*0.086/tech_proj!AM334/(1-tech_proj!AM614))</f>
        <v>126.62754597568298</v>
      </c>
      <c r="AN2234" s="127">
        <f>IF(tech_base!$T210&gt;AN$2025,"",fuel_costs!AF$16*0.086/tech_proj!AN334/(1-tech_proj!AN614))</f>
        <v>126.98042923858283</v>
      </c>
      <c r="AO2234" s="127">
        <f>IF(tech_base!$T210&gt;AO$2025,"",fuel_costs!AG$16*0.086/tech_proj!AO334/(1-tech_proj!AO614))</f>
        <v>127.32063613905986</v>
      </c>
      <c r="AP2234" s="127">
        <f>IF(tech_base!$T210&gt;AP$2025,"",fuel_costs!AH$16*0.086/tech_proj!AP334/(1-tech_proj!AP614))</f>
        <v>127.65987036034647</v>
      </c>
      <c r="AQ2234" s="127">
        <f>IF(tech_base!$T210&gt;AQ$2025,"",fuel_costs!AI$16*0.086/tech_proj!AQ334/(1-tech_proj!AQ614))</f>
        <v>127.96509477076943</v>
      </c>
      <c r="AR2234" s="127">
        <f>IF(tech_base!$T210&gt;AR$2025,"",fuel_costs!AJ$16*0.086/tech_proj!AR334/(1-tech_proj!AR614))</f>
        <v>128.04011714885127</v>
      </c>
      <c r="AS2234" s="127">
        <f>IF(tech_base!$T210&gt;AS$2025,"",fuel_costs!AK$16*0.086/tech_proj!AS334/(1-tech_proj!AS614))</f>
        <v>128.12521394079354</v>
      </c>
      <c r="AT2234" s="127">
        <f>IF(tech_base!$T210&gt;AT$2025,"",fuel_costs!AL$16*0.086/tech_proj!AT334/(1-tech_proj!AT614))</f>
        <v>127.98189266871961</v>
      </c>
      <c r="AU2234" s="127">
        <f>IF(tech_base!$T210&gt;AU$2025,"",fuel_costs!AM$16*0.086/tech_proj!AU334/(1-tech_proj!AU614))</f>
        <v>127.91752621655827</v>
      </c>
      <c r="AV2234" s="127">
        <f>IF(tech_base!$T210&gt;AV$2025,"",fuel_costs!AN$16*0.086/tech_proj!AV334/(1-tech_proj!AV614))</f>
        <v>127.65888951572768</v>
      </c>
      <c r="AW2234" s="127">
        <f>IF(tech_base!$T210&gt;AW$2025,"",fuel_costs!AO$16*0.086/tech_proj!AW334/(1-tech_proj!AW614))</f>
        <v>127.13370824673542</v>
      </c>
      <c r="AX2234" s="128">
        <f>IF(tech_base!$T210&gt;AX$2025,"",fuel_costs!AP$16*0.086/tech_proj!AX334/(1-tech_proj!AX614))</f>
        <v>126.25592101631725</v>
      </c>
    </row>
    <row r="2235" spans="1:50" x14ac:dyDescent="0.25">
      <c r="A2235" s="356"/>
      <c r="B2235" s="358" t="s">
        <v>18</v>
      </c>
      <c r="C2235" s="353" t="s">
        <v>6</v>
      </c>
      <c r="D2235" s="3" t="s">
        <v>7</v>
      </c>
      <c r="E2235" s="77" t="str">
        <f>A2227&amp;"/"&amp;B2235&amp;"/"&amp;C2235&amp;"/"&amp;D2235</f>
        <v>Biomass and waste fired power plants/Fluidized bed combustion/Electricity only/L</v>
      </c>
      <c r="F2235" s="77" t="str">
        <f>A2227</f>
        <v>Biomass and waste fired power plants</v>
      </c>
      <c r="G2235" s="77" t="str">
        <f>B2235</f>
        <v>Fluidized bed combustion</v>
      </c>
      <c r="H2235" s="77" t="str">
        <f>C2235</f>
        <v>Electricity only</v>
      </c>
      <c r="I2235" s="77" t="str">
        <f t="shared" si="390"/>
        <v>L</v>
      </c>
      <c r="J2235" s="121">
        <f>IF(tech_base!$T211&gt;J$2025,"",fuel_costs!B$16*0.086/tech_proj!J335/(1-tech_proj!J615))</f>
        <v>66.972565365653693</v>
      </c>
      <c r="K2235" s="121">
        <f>IF(tech_base!$T211&gt;K$2025,"",fuel_costs!C$16*0.086/tech_proj!K335/(1-tech_proj!K615))</f>
        <v>68.831372394967417</v>
      </c>
      <c r="L2235" s="121">
        <f>IF(tech_base!$T211&gt;L$2025,"",fuel_costs!D$16*0.086/tech_proj!L335/(1-tech_proj!L615))</f>
        <v>70.690690410281917</v>
      </c>
      <c r="M2235" s="121">
        <f>IF(tech_base!$T211&gt;M$2025,"",fuel_costs!E$16*0.086/tech_proj!M335/(1-tech_proj!M615))</f>
        <v>72.550468253951962</v>
      </c>
      <c r="N2235" s="121">
        <f>IF(tech_base!$T211&gt;N$2025,"",fuel_costs!F$16*0.086/tech_proj!N335/(1-tech_proj!N615))</f>
        <v>74.410642334087768</v>
      </c>
      <c r="O2235" s="121">
        <f>IF(tech_base!$T211&gt;O$2025,"",fuel_costs!G$16*0.086/tech_proj!O335/(1-tech_proj!O615))</f>
        <v>76.271133654089809</v>
      </c>
      <c r="P2235" s="121">
        <f>IF(tech_base!$T211&gt;P$2025,"",fuel_costs!H$16*0.086/tech_proj!P335/(1-tech_proj!P615))</f>
        <v>76.797840593868159</v>
      </c>
      <c r="Q2235" s="121">
        <f>IF(tech_base!$T211&gt;Q$2025,"",fuel_costs!I$16*0.086/tech_proj!Q335/(1-tech_proj!Q615))</f>
        <v>77.032415989406772</v>
      </c>
      <c r="R2235" s="121">
        <f>IF(tech_base!$T211&gt;R$2025,"",fuel_costs!J$16*0.086/tech_proj!R335/(1-tech_proj!R615))</f>
        <v>77.302475475765135</v>
      </c>
      <c r="S2235" s="121">
        <f>IF(tech_base!$T211&gt;S$2025,"",fuel_costs!K$16*0.086/tech_proj!S335/(1-tech_proj!S615))</f>
        <v>77.747857403055434</v>
      </c>
      <c r="T2235" s="121">
        <f>IF(tech_base!$T211&gt;T$2025,"",fuel_costs!L$16*0.086/tech_proj!T335/(1-tech_proj!T615))</f>
        <v>78.467777432291385</v>
      </c>
      <c r="U2235" s="121">
        <f>IF(tech_base!$T211&gt;U$2025,"",fuel_costs!M$16*0.086/tech_proj!U335/(1-tech_proj!U615))</f>
        <v>79.214996781708905</v>
      </c>
      <c r="V2235" s="121">
        <f>IF(tech_base!$T211&gt;V$2025,"",fuel_costs!N$16*0.086/tech_proj!V335/(1-tech_proj!V615))</f>
        <v>80.026724202158846</v>
      </c>
      <c r="W2235" s="121">
        <f>IF(tech_base!$T211&gt;W$2025,"",fuel_costs!O$16*0.086/tech_proj!W335/(1-tech_proj!W615))</f>
        <v>80.871785931441934</v>
      </c>
      <c r="X2235" s="121">
        <f>IF(tech_base!$T211&gt;X$2025,"",fuel_costs!P$16*0.086/tech_proj!X335/(1-tech_proj!X615))</f>
        <v>81.695260736039401</v>
      </c>
      <c r="Y2235" s="121">
        <f>IF(tech_base!$T211&gt;Y$2025,"",fuel_costs!Q$16*0.086/tech_proj!Y335/(1-tech_proj!Y615))</f>
        <v>82.542665664177761</v>
      </c>
      <c r="Z2235" s="121">
        <f>IF(tech_base!$T211&gt;Z$2025,"",fuel_costs!R$16*0.086/tech_proj!Z335/(1-tech_proj!Z615))</f>
        <v>83.381011238444955</v>
      </c>
      <c r="AA2235" s="121">
        <f>IF(tech_base!$T211&gt;AA$2025,"",fuel_costs!S$16*0.086/tech_proj!AA335/(1-tech_proj!AA615))</f>
        <v>84.29476312947024</v>
      </c>
      <c r="AB2235" s="121">
        <f>IF(tech_base!$T211&gt;AB$2025,"",fuel_costs!T$16*0.086/tech_proj!AB335/(1-tech_proj!AB615))</f>
        <v>85.485754726732878</v>
      </c>
      <c r="AC2235" s="121">
        <f>IF(tech_base!$T211&gt;AC$2025,"",fuel_costs!U$16*0.086/tech_proj!AC335/(1-tech_proj!AC615))</f>
        <v>87.269305580989197</v>
      </c>
      <c r="AD2235" s="121">
        <f>IF(tech_base!$T211&gt;AD$2025,"",fuel_costs!V$16*0.086/tech_proj!AD335/(1-tech_proj!AD615))</f>
        <v>89.013723221163843</v>
      </c>
      <c r="AE2235" s="121">
        <f>IF(tech_base!$T211&gt;AE$2025,"",fuel_costs!W$16*0.086/tech_proj!AE335/(1-tech_proj!AE615))</f>
        <v>90.207585670537512</v>
      </c>
      <c r="AF2235" s="121">
        <f>IF(tech_base!$T211&gt;AF$2025,"",fuel_costs!X$16*0.086/tech_proj!AF335/(1-tech_proj!AF615))</f>
        <v>90.918088927416193</v>
      </c>
      <c r="AG2235" s="121">
        <f>IF(tech_base!$T211&gt;AG$2025,"",fuel_costs!Y$16*0.086/tech_proj!AG335/(1-tech_proj!AG615))</f>
        <v>91.518651672257988</v>
      </c>
      <c r="AH2235" s="121">
        <f>IF(tech_base!$T211&gt;AH$2025,"",fuel_costs!Z$16*0.086/tech_proj!AH335/(1-tech_proj!AH615))</f>
        <v>92.039565288236645</v>
      </c>
      <c r="AI2235" s="121">
        <f>IF(tech_base!$T211&gt;AI$2025,"",fuel_costs!AA$16*0.086/tech_proj!AI335/(1-tech_proj!AI615))</f>
        <v>92.584543563303185</v>
      </c>
      <c r="AJ2235" s="121">
        <f>IF(tech_base!$T211&gt;AJ$2025,"",fuel_costs!AB$16*0.086/tech_proj!AJ335/(1-tech_proj!AJ615))</f>
        <v>93.124993185010752</v>
      </c>
      <c r="AK2235" s="121">
        <f>IF(tech_base!$T211&gt;AK$2025,"",fuel_costs!AC$16*0.086/tech_proj!AK335/(1-tech_proj!AK615))</f>
        <v>93.5895387529782</v>
      </c>
      <c r="AL2235" s="121">
        <f>IF(tech_base!$T211&gt;AL$2025,"",fuel_costs!AD$16*0.086/tech_proj!AL335/(1-tech_proj!AL615))</f>
        <v>93.961586323195576</v>
      </c>
      <c r="AM2235" s="121">
        <f>IF(tech_base!$T211&gt;AM$2025,"",fuel_costs!AE$16*0.086/tech_proj!AM335/(1-tech_proj!AM615))</f>
        <v>94.138470437373456</v>
      </c>
      <c r="AN2235" s="121">
        <f>IF(tech_base!$T211&gt;AN$2025,"",fuel_costs!AF$16*0.086/tech_proj!AN335/(1-tech_proj!AN615))</f>
        <v>94.23645111658179</v>
      </c>
      <c r="AO2235" s="121">
        <f>IF(tech_base!$T211&gt;AO$2025,"",fuel_costs!AG$16*0.086/tech_proj!AO335/(1-tech_proj!AO615))</f>
        <v>94.320691513100101</v>
      </c>
      <c r="AP2235" s="121">
        <f>IF(tech_base!$T211&gt;AP$2025,"",fuel_costs!AH$16*0.086/tech_proj!AP335/(1-tech_proj!AP615))</f>
        <v>94.410113321826984</v>
      </c>
      <c r="AQ2235" s="121">
        <f>IF(tech_base!$T211&gt;AQ$2025,"",fuel_costs!AI$16*0.086/tech_proj!AQ335/(1-tech_proj!AQ615))</f>
        <v>94.495490538831703</v>
      </c>
      <c r="AR2235" s="121">
        <f>IF(tech_base!$T211&gt;AR$2025,"",fuel_costs!AJ$16*0.086/tech_proj!AR335/(1-tech_proj!AR615))</f>
        <v>94.45340530675459</v>
      </c>
      <c r="AS2235" s="121">
        <f>IF(tech_base!$T211&gt;AS$2025,"",fuel_costs!AK$16*0.086/tech_proj!AS335/(1-tech_proj!AS615))</f>
        <v>94.489394844136314</v>
      </c>
      <c r="AT2235" s="121">
        <f>IF(tech_base!$T211&gt;AT$2025,"",fuel_costs!AL$16*0.086/tech_proj!AT335/(1-tech_proj!AT615))</f>
        <v>94.462543019356488</v>
      </c>
      <c r="AU2235" s="121">
        <f>IF(tech_base!$T211&gt;AU$2025,"",fuel_costs!AM$16*0.086/tech_proj!AU335/(1-tech_proj!AU615))</f>
        <v>94.640877009834611</v>
      </c>
      <c r="AV2235" s="121">
        <f>IF(tech_base!$T211&gt;AV$2025,"",fuel_costs!AN$16*0.086/tech_proj!AV335/(1-tech_proj!AV615))</f>
        <v>94.86736930553063</v>
      </c>
      <c r="AW2235" s="121">
        <f>IF(tech_base!$T211&gt;AW$2025,"",fuel_costs!AO$16*0.086/tech_proj!AW335/(1-tech_proj!AW615))</f>
        <v>95.129668512907031</v>
      </c>
      <c r="AX2235" s="122">
        <f>IF(tech_base!$T211&gt;AX$2025,"",fuel_costs!AP$16*0.086/tech_proj!AX335/(1-tech_proj!AX615))</f>
        <v>95.390546368709195</v>
      </c>
    </row>
    <row r="2236" spans="1:50" x14ac:dyDescent="0.25">
      <c r="A2236" s="356"/>
      <c r="B2236" s="376"/>
      <c r="C2236" s="378"/>
      <c r="D2236" s="2" t="s">
        <v>8</v>
      </c>
      <c r="E2236" s="76" t="str">
        <f>A2227&amp;"/"&amp;B2235&amp;"/"&amp;C2235&amp;"/"&amp;D2236</f>
        <v>Biomass and waste fired power plants/Fluidized bed combustion/Electricity only/M</v>
      </c>
      <c r="F2236" s="76" t="str">
        <f>A2227</f>
        <v>Biomass and waste fired power plants</v>
      </c>
      <c r="G2236" s="76" t="str">
        <f>B2235</f>
        <v>Fluidized bed combustion</v>
      </c>
      <c r="H2236" s="76" t="str">
        <f>C2235</f>
        <v>Electricity only</v>
      </c>
      <c r="I2236" s="76" t="str">
        <f t="shared" si="390"/>
        <v>M</v>
      </c>
      <c r="J2236" s="119">
        <f>IF(tech_base!$T212&gt;J$2025,"",fuel_costs!B$16*0.086/tech_proj!J336/(1-tech_proj!J616))</f>
        <v>70.578669466755031</v>
      </c>
      <c r="K2236" s="119">
        <f>IF(tech_base!$T212&gt;K$2025,"",fuel_costs!C$16*0.086/tech_proj!K336/(1-tech_proj!K616))</f>
        <v>72.536768013325457</v>
      </c>
      <c r="L2236" s="119">
        <f>IF(tech_base!$T212&gt;L$2025,"",fuel_costs!D$16*0.086/tech_proj!L336/(1-tech_proj!L616))</f>
        <v>74.495230826629708</v>
      </c>
      <c r="M2236" s="119">
        <f>IF(tech_base!$T212&gt;M$2025,"",fuel_costs!E$16*0.086/tech_proj!M336/(1-tech_proj!M616))</f>
        <v>76.453973625340424</v>
      </c>
      <c r="N2236" s="119">
        <f>IF(tech_base!$T212&gt;N$2025,"",fuel_costs!F$16*0.086/tech_proj!N336/(1-tech_proj!N616))</f>
        <v>78.41289440928432</v>
      </c>
      <c r="O2236" s="119">
        <f>IF(tech_base!$T212&gt;O$2025,"",fuel_costs!G$16*0.086/tech_proj!O336/(1-tech_proj!O616))</f>
        <v>80.371869831875742</v>
      </c>
      <c r="P2236" s="119">
        <f>IF(tech_base!$T212&gt;P$2025,"",fuel_costs!H$16*0.086/tech_proj!P336/(1-tech_proj!P616))</f>
        <v>80.925056223167445</v>
      </c>
      <c r="Q2236" s="119">
        <f>IF(tech_base!$T212&gt;Q$2025,"",fuel_costs!I$16*0.086/tech_proj!Q336/(1-tech_proj!Q616))</f>
        <v>81.170116024127054</v>
      </c>
      <c r="R2236" s="119">
        <f>IF(tech_base!$T212&gt;R$2025,"",fuel_costs!J$16*0.086/tech_proj!R336/(1-tech_proj!R616))</f>
        <v>81.452237890369048</v>
      </c>
      <c r="S2236" s="119">
        <f>IF(tech_base!$T212&gt;S$2025,"",fuel_costs!K$16*0.086/tech_proj!S336/(1-tech_proj!S616))</f>
        <v>81.918716455239831</v>
      </c>
      <c r="T2236" s="119">
        <f>IF(tech_base!$T212&gt;T$2025,"",fuel_costs!L$16*0.086/tech_proj!T336/(1-tech_proj!T616))</f>
        <v>82.674019025825501</v>
      </c>
      <c r="U2236" s="119">
        <f>IF(tech_base!$T212&gt;U$2025,"",fuel_costs!M$16*0.086/tech_proj!U336/(1-tech_proj!U616))</f>
        <v>83.457576257243886</v>
      </c>
      <c r="V2236" s="119">
        <f>IF(tech_base!$T212&gt;V$2025,"",fuel_costs!N$16*0.086/tech_proj!V336/(1-tech_proj!V616))</f>
        <v>84.30852627579192</v>
      </c>
      <c r="W2236" s="119">
        <f>IF(tech_base!$T212&gt;W$2025,"",fuel_costs!O$16*0.086/tech_proj!W336/(1-tech_proj!W616))</f>
        <v>85.193959370410383</v>
      </c>
      <c r="X2236" s="119">
        <f>IF(tech_base!$T212&gt;X$2025,"",fuel_costs!P$16*0.086/tech_proj!X336/(1-tech_proj!X616))</f>
        <v>86.055958085473733</v>
      </c>
      <c r="Y2236" s="119">
        <f>IF(tech_base!$T212&gt;Y$2025,"",fuel_costs!Q$16*0.086/tech_proj!Y336/(1-tech_proj!Y616))</f>
        <v>86.942416865681352</v>
      </c>
      <c r="Z2236" s="119">
        <f>IF(tech_base!$T212&gt;Z$2025,"",fuel_costs!R$16*0.086/tech_proj!Z336/(1-tech_proj!Z616))</f>
        <v>87.818541260903686</v>
      </c>
      <c r="AA2236" s="119">
        <f>IF(tech_base!$T212&gt;AA$2025,"",fuel_costs!S$16*0.086/tech_proj!AA336/(1-tech_proj!AA616))</f>
        <v>88.773259236675415</v>
      </c>
      <c r="AB2236" s="119">
        <f>IF(tech_base!$T212&gt;AB$2025,"",fuel_costs!T$16*0.086/tech_proj!AB336/(1-tech_proj!AB616))</f>
        <v>90.019081932869128</v>
      </c>
      <c r="AC2236" s="119">
        <f>IF(tech_base!$T212&gt;AC$2025,"",fuel_costs!U$16*0.086/tech_proj!AC336/(1-tech_proj!AC616))</f>
        <v>91.887958550576215</v>
      </c>
      <c r="AD2236" s="119">
        <f>IF(tech_base!$T212&gt;AD$2025,"",fuel_costs!V$16*0.086/tech_proj!AD336/(1-tech_proj!AD616))</f>
        <v>93.714708414053945</v>
      </c>
      <c r="AE2236" s="119">
        <f>IF(tech_base!$T212&gt;AE$2025,"",fuel_costs!W$16*0.086/tech_proj!AE336/(1-tech_proj!AE616))</f>
        <v>94.961102158824758</v>
      </c>
      <c r="AF2236" s="119">
        <f>IF(tech_base!$T212&gt;AF$2025,"",fuel_costs!X$16*0.086/tech_proj!AF336/(1-tech_proj!AF616))</f>
        <v>95.698280218233833</v>
      </c>
      <c r="AG2236" s="119">
        <f>IF(tech_base!$T212&gt;AG$2025,"",fuel_costs!Y$16*0.086/tech_proj!AG336/(1-tech_proj!AG616))</f>
        <v>96.319739712438405</v>
      </c>
      <c r="AH2236" s="119">
        <f>IF(tech_base!$T212&gt;AH$2025,"",fuel_costs!Z$16*0.086/tech_proj!AH336/(1-tech_proj!AH616))</f>
        <v>96.857818533587348</v>
      </c>
      <c r="AI2236" s="119">
        <f>IF(tech_base!$T212&gt;AI$2025,"",fuel_costs!AA$16*0.086/tech_proj!AI336/(1-tech_proj!AI616))</f>
        <v>97.422204051382678</v>
      </c>
      <c r="AJ2236" s="119">
        <f>IF(tech_base!$T212&gt;AJ$2025,"",fuel_costs!AB$16*0.086/tech_proj!AJ336/(1-tech_proj!AJ616))</f>
        <v>97.983431186930048</v>
      </c>
      <c r="AK2236" s="119">
        <f>IF(tech_base!$T212&gt;AK$2025,"",fuel_costs!AC$16*0.086/tech_proj!AK336/(1-tech_proj!AK616))</f>
        <v>98.46710059322767</v>
      </c>
      <c r="AL2236" s="119">
        <f>IF(tech_base!$T212&gt;AL$2025,"",fuel_costs!AD$16*0.086/tech_proj!AL336/(1-tech_proj!AL616))</f>
        <v>98.8564629911601</v>
      </c>
      <c r="AM2236" s="119">
        <f>IF(tech_base!$T212&gt;AM$2025,"",fuel_costs!AE$16*0.086/tech_proj!AM336/(1-tech_proj!AM616))</f>
        <v>99.04410716005917</v>
      </c>
      <c r="AN2236" s="119">
        <f>IF(tech_base!$T212&gt;AN$2025,"",fuel_costs!AF$16*0.086/tech_proj!AN336/(1-tech_proj!AN616))</f>
        <v>99.152697151348406</v>
      </c>
      <c r="AO2236" s="119">
        <f>IF(tech_base!$T212&gt;AO$2025,"",fuel_costs!AG$16*0.086/tech_proj!AO336/(1-tech_proj!AO616))</f>
        <v>99.250733304822191</v>
      </c>
      <c r="AP2236" s="119">
        <f>IF(tech_base!$T212&gt;AP$2025,"",fuel_costs!AH$16*0.086/tech_proj!AP336/(1-tech_proj!AP616))</f>
        <v>99.357499680844015</v>
      </c>
      <c r="AQ2236" s="119">
        <f>IF(tech_base!$T212&gt;AQ$2025,"",fuel_costs!AI$16*0.086/tech_proj!AQ336/(1-tech_proj!AQ616))</f>
        <v>99.461950709546912</v>
      </c>
      <c r="AR2236" s="119">
        <f>IF(tech_base!$T212&gt;AR$2025,"",fuel_costs!AJ$16*0.086/tech_proj!AR336/(1-tech_proj!AR616))</f>
        <v>99.432056044955232</v>
      </c>
      <c r="AS2236" s="119">
        <f>IF(tech_base!$T212&gt;AS$2025,"",fuel_costs!AK$16*0.086/tech_proj!AS336/(1-tech_proj!AS616))</f>
        <v>99.481385728396745</v>
      </c>
      <c r="AT2236" s="119">
        <f>IF(tech_base!$T212&gt;AT$2025,"",fuel_costs!AL$16*0.086/tech_proj!AT336/(1-tech_proj!AT616))</f>
        <v>99.458443912673104</v>
      </c>
      <c r="AU2236" s="119">
        <f>IF(tech_base!$T212&gt;AU$2025,"",fuel_costs!AM$16*0.086/tech_proj!AU336/(1-tech_proj!AU616))</f>
        <v>99.642376841227275</v>
      </c>
      <c r="AV2236" s="119">
        <f>IF(tech_base!$T212&gt;AV$2025,"",fuel_costs!AN$16*0.086/tech_proj!AV336/(1-tech_proj!AV616))</f>
        <v>99.865440202175634</v>
      </c>
      <c r="AW2236" s="119">
        <f>IF(tech_base!$T212&gt;AW$2025,"",fuel_costs!AO$16*0.086/tech_proj!AW336/(1-tech_proj!AW616))</f>
        <v>100.11340069100001</v>
      </c>
      <c r="AX2236" s="120">
        <f>IF(tech_base!$T212&gt;AX$2025,"",fuel_costs!AP$16*0.086/tech_proj!AX336/(1-tech_proj!AX616))</f>
        <v>100.34740202811706</v>
      </c>
    </row>
    <row r="2237" spans="1:50" x14ac:dyDescent="0.25">
      <c r="A2237" s="356"/>
      <c r="B2237" s="376"/>
      <c r="C2237" s="378"/>
      <c r="D2237" s="2" t="s">
        <v>10</v>
      </c>
      <c r="E2237" s="76" t="str">
        <f>A2227&amp;"/"&amp;B2235&amp;"/"&amp;C2235&amp;"/"&amp;D2237</f>
        <v>Biomass and waste fired power plants/Fluidized bed combustion/Electricity only/S</v>
      </c>
      <c r="F2237" s="76" t="str">
        <f>A2227</f>
        <v>Biomass and waste fired power plants</v>
      </c>
      <c r="G2237" s="76" t="str">
        <f>B2235</f>
        <v>Fluidized bed combustion</v>
      </c>
      <c r="H2237" s="76" t="str">
        <f>C2235</f>
        <v>Electricity only</v>
      </c>
      <c r="I2237" s="76" t="str">
        <f t="shared" si="390"/>
        <v>S</v>
      </c>
      <c r="J2237" s="119">
        <f>IF(tech_base!$T213&gt;J$2025,"",fuel_costs!B$16*0.086/tech_proj!J337/(1-tech_proj!J617))</f>
        <v>74.393608953407082</v>
      </c>
      <c r="K2237" s="119">
        <f>IF(tech_base!$T213&gt;K$2025,"",fuel_costs!C$16*0.086/tech_proj!K337/(1-tech_proj!K617))</f>
        <v>76.455472062898963</v>
      </c>
      <c r="L2237" s="119">
        <f>IF(tech_base!$T213&gt;L$2025,"",fuel_costs!D$16*0.086/tech_proj!L337/(1-tech_proj!L617))</f>
        <v>78.517316071099259</v>
      </c>
      <c r="M2237" s="119">
        <f>IF(tech_base!$T213&gt;M$2025,"",fuel_costs!E$16*0.086/tech_proj!M337/(1-tech_proj!M617))</f>
        <v>80.578991904208223</v>
      </c>
      <c r="N2237" s="119">
        <f>IF(tech_base!$T213&gt;N$2025,"",fuel_costs!F$16*0.086/tech_proj!N337/(1-tech_proj!N617))</f>
        <v>82.640324140699136</v>
      </c>
      <c r="O2237" s="119">
        <f>IF(tech_base!$T213&gt;O$2025,"",fuel_costs!G$16*0.086/tech_proj!O337/(1-tech_proj!O617))</f>
        <v>84.701106571878142</v>
      </c>
      <c r="P2237" s="119">
        <f>IF(tech_base!$T213&gt;P$2025,"",fuel_costs!H$16*0.086/tech_proj!P337/(1-tech_proj!P617))</f>
        <v>85.279759820058999</v>
      </c>
      <c r="Q2237" s="119">
        <f>IF(tech_base!$T213&gt;Q$2025,"",fuel_costs!I$16*0.086/tech_proj!Q337/(1-tech_proj!Q617))</f>
        <v>85.533107200410058</v>
      </c>
      <c r="R2237" s="119">
        <f>IF(tech_base!$T213&gt;R$2025,"",fuel_costs!J$16*0.086/tech_proj!R337/(1-tech_proj!R617))</f>
        <v>85.824859091838846</v>
      </c>
      <c r="S2237" s="119">
        <f>IF(tech_base!$T213&gt;S$2025,"",fuel_costs!K$16*0.086/tech_proj!S337/(1-tech_proj!S617))</f>
        <v>86.310128298205441</v>
      </c>
      <c r="T2237" s="119">
        <f>IF(tech_base!$T213&gt;T$2025,"",fuel_costs!L$16*0.086/tech_proj!T337/(1-tech_proj!T617))</f>
        <v>87.09885218816089</v>
      </c>
      <c r="U2237" s="119">
        <f>IF(tech_base!$T213&gt;U$2025,"",fuel_costs!M$16*0.086/tech_proj!U337/(1-tech_proj!U617))</f>
        <v>87.916375512437568</v>
      </c>
      <c r="V2237" s="119">
        <f>IF(tech_base!$T213&gt;V$2025,"",fuel_costs!N$16*0.086/tech_proj!V337/(1-tech_proj!V617))</f>
        <v>88.803821249856938</v>
      </c>
      <c r="W2237" s="119">
        <f>IF(tech_base!$T213&gt;W$2025,"",fuel_costs!O$16*0.086/tech_proj!W337/(1-tech_proj!W617))</f>
        <v>89.726410787394528</v>
      </c>
      <c r="X2237" s="119">
        <f>IF(tech_base!$T213&gt;X$2025,"",fuel_costs!P$16*0.086/tech_proj!X337/(1-tech_proj!X617))</f>
        <v>90.623045586739707</v>
      </c>
      <c r="Y2237" s="119">
        <f>IF(tech_base!$T213&gt;Y$2025,"",fuel_costs!Q$16*0.086/tech_proj!Y337/(1-tech_proj!Y617))</f>
        <v>91.544076901998068</v>
      </c>
      <c r="Z2237" s="119">
        <f>IF(tech_base!$T213&gt;Z$2025,"",fuel_costs!R$16*0.086/tech_proj!Z337/(1-tech_proj!Z617))</f>
        <v>92.452787943064507</v>
      </c>
      <c r="AA2237" s="119">
        <f>IF(tech_base!$T213&gt;AA$2025,"",fuel_costs!S$16*0.086/tech_proj!AA337/(1-tech_proj!AA617))</f>
        <v>93.442733729379881</v>
      </c>
      <c r="AB2237" s="119">
        <f>IF(tech_base!$T213&gt;AB$2025,"",fuel_costs!T$16*0.086/tech_proj!AB337/(1-tech_proj!AB617))</f>
        <v>94.737494258893392</v>
      </c>
      <c r="AC2237" s="119">
        <f>IF(tech_base!$T213&gt;AC$2025,"",fuel_costs!U$16*0.086/tech_proj!AC337/(1-tech_proj!AC617))</f>
        <v>96.686190126583455</v>
      </c>
      <c r="AD2237" s="119">
        <f>IF(tech_base!$T213&gt;AD$2025,"",fuel_costs!V$16*0.086/tech_proj!AD337/(1-tech_proj!AD617))</f>
        <v>98.588706076650936</v>
      </c>
      <c r="AE2237" s="119">
        <f>IF(tech_base!$T213&gt;AE$2025,"",fuel_costs!W$16*0.086/tech_proj!AE337/(1-tech_proj!AE617))</f>
        <v>99.879068074724245</v>
      </c>
      <c r="AF2237" s="119">
        <f>IF(tech_base!$T213&gt;AF$2025,"",fuel_costs!X$16*0.086/tech_proj!AF337/(1-tech_proj!AF617))</f>
        <v>100.63267531304119</v>
      </c>
      <c r="AG2237" s="119">
        <f>IF(tech_base!$T213&gt;AG$2025,"",fuel_costs!Y$16*0.086/tech_proj!AG337/(1-tech_proj!AG617))</f>
        <v>101.26388942059101</v>
      </c>
      <c r="AH2237" s="119">
        <f>IF(tech_base!$T213&gt;AH$2025,"",fuel_costs!Z$16*0.086/tech_proj!AH337/(1-tech_proj!AH617))</f>
        <v>101.80720991662407</v>
      </c>
      <c r="AI2237" s="119">
        <f>IF(tech_base!$T213&gt;AI$2025,"",fuel_costs!AA$16*0.086/tech_proj!AI337/(1-tech_proj!AI617))</f>
        <v>102.37850227884198</v>
      </c>
      <c r="AJ2237" s="119">
        <f>IF(tech_base!$T213&gt;AJ$2025,"",fuel_costs!AB$16*0.086/tech_proj!AJ337/(1-tech_proj!AJ617))</f>
        <v>102.94743904756064</v>
      </c>
      <c r="AK2237" s="119">
        <f>IF(tech_base!$T213&gt;AK$2025,"",fuel_costs!AC$16*0.086/tech_proj!AK337/(1-tech_proj!AK617))</f>
        <v>103.43660594389068</v>
      </c>
      <c r="AL2237" s="119">
        <f>IF(tech_base!$T213&gt;AL$2025,"",fuel_costs!AD$16*0.086/tech_proj!AL337/(1-tech_proj!AL617))</f>
        <v>103.82924218688017</v>
      </c>
      <c r="AM2237" s="119">
        <f>IF(tech_base!$T213&gt;AM$2025,"",fuel_costs!AE$16*0.086/tech_proj!AM337/(1-tech_proj!AM617))</f>
        <v>104.01336563795469</v>
      </c>
      <c r="AN2237" s="119">
        <f>IF(tech_base!$T213&gt;AN$2025,"",fuel_costs!AF$16*0.086/tech_proj!AN337/(1-tech_proj!AN617))</f>
        <v>104.11851966111718</v>
      </c>
      <c r="AO2237" s="119">
        <f>IF(tech_base!$T213&gt;AO$2025,"",fuel_costs!AG$16*0.086/tech_proj!AO337/(1-tech_proj!AO617))</f>
        <v>104.21710314157555</v>
      </c>
      <c r="AP2237" s="119">
        <f>IF(tech_base!$T213&gt;AP$2025,"",fuel_costs!AH$16*0.086/tech_proj!AP337/(1-tech_proj!AP617))</f>
        <v>104.32950281926463</v>
      </c>
      <c r="AQ2237" s="119">
        <f>IF(tech_base!$T213&gt;AQ$2025,"",fuel_costs!AI$16*0.086/tech_proj!AQ337/(1-tech_proj!AQ617))</f>
        <v>104.4438369364951</v>
      </c>
      <c r="AR2237" s="119">
        <f>IF(tech_base!$T213&gt;AR$2025,"",fuel_costs!AJ$16*0.086/tech_proj!AR337/(1-tech_proj!AR617))</f>
        <v>104.42066689620633</v>
      </c>
      <c r="AS2237" s="119">
        <f>IF(tech_base!$T213&gt;AS$2025,"",fuel_costs!AK$16*0.086/tech_proj!AS337/(1-tech_proj!AS617))</f>
        <v>104.48294972586622</v>
      </c>
      <c r="AT2237" s="119">
        <f>IF(tech_base!$T213&gt;AT$2025,"",fuel_costs!AL$16*0.086/tech_proj!AT337/(1-tech_proj!AT617))</f>
        <v>104.46980683568518</v>
      </c>
      <c r="AU2237" s="119">
        <f>IF(tech_base!$T213&gt;AU$2025,"",fuel_costs!AM$16*0.086/tech_proj!AU337/(1-tech_proj!AU617))</f>
        <v>104.67237718917542</v>
      </c>
      <c r="AV2237" s="119">
        <f>IF(tech_base!$T213&gt;AV$2025,"",fuel_costs!AN$16*0.086/tech_proj!AV337/(1-tech_proj!AV617))</f>
        <v>104.91234316105987</v>
      </c>
      <c r="AW2237" s="119">
        <f>IF(tech_base!$T213&gt;AW$2025,"",fuel_costs!AO$16*0.086/tech_proj!AW337/(1-tech_proj!AW617))</f>
        <v>105.17282811004607</v>
      </c>
      <c r="AX2237" s="120">
        <f>IF(tech_base!$T213&gt;AX$2025,"",fuel_costs!AP$16*0.086/tech_proj!AX337/(1-tech_proj!AX617))</f>
        <v>105.41159808986809</v>
      </c>
    </row>
    <row r="2238" spans="1:50" x14ac:dyDescent="0.25">
      <c r="A2238" s="356"/>
      <c r="B2238" s="376"/>
      <c r="C2238" s="379"/>
      <c r="D2238" s="2" t="s">
        <v>20</v>
      </c>
      <c r="E2238" s="76" t="str">
        <f>A2227&amp;"/"&amp;B2235&amp;"/"&amp;C2235&amp;"/"&amp;D2238</f>
        <v>Biomass and waste fired power plants/Fluidized bed combustion/Electricity only/XS</v>
      </c>
      <c r="F2238" s="76" t="str">
        <f>A2227</f>
        <v>Biomass and waste fired power plants</v>
      </c>
      <c r="G2238" s="76" t="str">
        <f>B2235</f>
        <v>Fluidized bed combustion</v>
      </c>
      <c r="H2238" s="76" t="str">
        <f>C2235</f>
        <v>Electricity only</v>
      </c>
      <c r="I2238" s="76" t="str">
        <f t="shared" si="390"/>
        <v>XS</v>
      </c>
      <c r="J2238" s="119">
        <f>IF(tech_base!$T214&gt;J$2025,"",fuel_costs!B$16*0.086/tech_proj!J338/(1-tech_proj!J618))</f>
        <v>78.43111589093958</v>
      </c>
      <c r="K2238" s="119">
        <f>IF(tech_base!$T214&gt;K$2025,"",fuel_costs!C$16*0.086/tech_proj!K338/(1-tech_proj!K618))</f>
        <v>80.604057047870768</v>
      </c>
      <c r="L2238" s="119">
        <f>IF(tech_base!$T214&gt;L$2025,"",fuel_costs!D$16*0.086/tech_proj!L338/(1-tech_proj!L618))</f>
        <v>82.776798400739693</v>
      </c>
      <c r="M2238" s="119">
        <f>IF(tech_base!$T214&gt;M$2025,"",fuel_costs!E$16*0.086/tech_proj!M338/(1-tech_proj!M618))</f>
        <v>84.949150282078165</v>
      </c>
      <c r="N2238" s="119">
        <f>IF(tech_base!$T214&gt;N$2025,"",fuel_costs!F$16*0.086/tech_proj!N338/(1-tech_proj!N618))</f>
        <v>87.120889607844276</v>
      </c>
      <c r="O2238" s="119">
        <f>IF(tech_base!$T214&gt;O$2025,"",fuel_costs!G$16*0.086/tech_proj!O338/(1-tech_proj!O618))</f>
        <v>89.291754287156067</v>
      </c>
      <c r="P2238" s="119">
        <f>IF(tech_base!$T214&gt;P$2025,"",fuel_costs!H$16*0.086/tech_proj!P338/(1-tech_proj!P618))</f>
        <v>89.899847104788805</v>
      </c>
      <c r="Q2238" s="119">
        <f>IF(tech_base!$T214&gt;Q$2025,"",fuel_costs!I$16*0.086/tech_proj!Q338/(1-tech_proj!Q618))</f>
        <v>90.164687765084693</v>
      </c>
      <c r="R2238" s="119">
        <f>IF(tech_base!$T214&gt;R$2025,"",fuel_costs!J$16*0.086/tech_proj!R338/(1-tech_proj!R618))</f>
        <v>90.469646863992025</v>
      </c>
      <c r="S2238" s="119">
        <f>IF(tech_base!$T214&gt;S$2025,"",fuel_costs!K$16*0.086/tech_proj!S338/(1-tech_proj!S618))</f>
        <v>90.978166040371377</v>
      </c>
      <c r="T2238" s="119">
        <f>IF(tech_base!$T214&gt;T$2025,"",fuel_costs!L$16*0.086/tech_proj!T338/(1-tech_proj!T618))</f>
        <v>91.806035789964227</v>
      </c>
      <c r="U2238" s="119">
        <f>IF(tech_base!$T214&gt;U$2025,"",fuel_costs!M$16*0.086/tech_proj!U338/(1-tech_proj!U618))</f>
        <v>92.663650259351201</v>
      </c>
      <c r="V2238" s="119">
        <f>IF(tech_base!$T214&gt;V$2025,"",fuel_costs!N$16*0.086/tech_proj!V338/(1-tech_proj!V618))</f>
        <v>93.594251590091744</v>
      </c>
      <c r="W2238" s="119">
        <f>IF(tech_base!$T214&gt;W$2025,"",fuel_costs!O$16*0.086/tech_proj!W338/(1-tech_proj!W618))</f>
        <v>94.561066297651678</v>
      </c>
      <c r="X2238" s="119">
        <f>IF(tech_base!$T214&gt;X$2025,"",fuel_costs!P$16*0.086/tech_proj!X338/(1-tech_proj!X618))</f>
        <v>95.499576789607644</v>
      </c>
      <c r="Y2238" s="119">
        <f>IF(tech_base!$T214&gt;Y$2025,"",fuel_costs!Q$16*0.086/tech_proj!Y338/(1-tech_proj!Y618))</f>
        <v>96.462706059392332</v>
      </c>
      <c r="Z2238" s="119">
        <f>IF(tech_base!$T214&gt;Z$2025,"",fuel_costs!R$16*0.086/tech_proj!Z338/(1-tech_proj!Z618))</f>
        <v>97.411606261589768</v>
      </c>
      <c r="AA2238" s="119">
        <f>IF(tech_base!$T214&gt;AA$2025,"",fuel_costs!S$16*0.086/tech_proj!AA338/(1-tech_proj!AA618))</f>
        <v>98.444672718544069</v>
      </c>
      <c r="AB2238" s="119">
        <f>IF(tech_base!$T214&gt;AB$2025,"",fuel_costs!T$16*0.086/tech_proj!AB338/(1-tech_proj!AB618))</f>
        <v>99.797210435693827</v>
      </c>
      <c r="AC2238" s="119">
        <f>IF(tech_base!$T214&gt;AC$2025,"",fuel_costs!U$16*0.086/tech_proj!AC338/(1-tech_proj!AC618))</f>
        <v>101.83660734062116</v>
      </c>
      <c r="AD2238" s="119">
        <f>IF(tech_base!$T214&gt;AD$2025,"",fuel_costs!V$16*0.086/tech_proj!AD338/(1-tech_proj!AD618))</f>
        <v>103.82502475486262</v>
      </c>
      <c r="AE2238" s="119">
        <f>IF(tech_base!$T214&gt;AE$2025,"",fuel_costs!W$16*0.086/tech_proj!AE338/(1-tech_proj!AE618))</f>
        <v>105.16627480330379</v>
      </c>
      <c r="AF2238" s="119">
        <f>IF(tech_base!$T214&gt;AF$2025,"",fuel_costs!X$16*0.086/tech_proj!AF338/(1-tech_proj!AF618))</f>
        <v>105.93981844384886</v>
      </c>
      <c r="AG2238" s="119">
        <f>IF(tech_base!$T214&gt;AG$2025,"",fuel_costs!Y$16*0.086/tech_proj!AG338/(1-tech_proj!AG618))</f>
        <v>106.58190606478001</v>
      </c>
      <c r="AH2238" s="119">
        <f>IF(tech_base!$T214&gt;AH$2025,"",fuel_costs!Z$16*0.086/tech_proj!AH338/(1-tech_proj!AH618))</f>
        <v>107.12876772437977</v>
      </c>
      <c r="AI2238" s="119">
        <f>IF(tech_base!$T214&gt;AI$2025,"",fuel_costs!AA$16*0.086/tech_proj!AI338/(1-tech_proj!AI618))</f>
        <v>107.70225885529771</v>
      </c>
      <c r="AJ2238" s="119">
        <f>IF(tech_base!$T214&gt;AJ$2025,"",fuel_costs!AB$16*0.086/tech_proj!AJ338/(1-tech_proj!AJ618))</f>
        <v>108.27042892910531</v>
      </c>
      <c r="AK2238" s="119">
        <f>IF(tech_base!$T214&gt;AK$2025,"",fuel_costs!AC$16*0.086/tech_proj!AK338/(1-tech_proj!AK618))</f>
        <v>108.7519502201967</v>
      </c>
      <c r="AL2238" s="119">
        <f>IF(tech_base!$T214&gt;AL$2025,"",fuel_costs!AD$16*0.086/tech_proj!AL338/(1-tech_proj!AL618))</f>
        <v>109.12947226878649</v>
      </c>
      <c r="AM2238" s="119">
        <f>IF(tech_base!$T214&gt;AM$2025,"",fuel_costs!AE$16*0.086/tech_proj!AM338/(1-tech_proj!AM618))</f>
        <v>109.2857784634204</v>
      </c>
      <c r="AN2238" s="119">
        <f>IF(tech_base!$T214&gt;AN$2025,"",fuel_costs!AF$16*0.086/tech_proj!AN338/(1-tech_proj!AN618))</f>
        <v>109.35767649871677</v>
      </c>
      <c r="AO2238" s="119">
        <f>IF(tech_base!$T214&gt;AO$2025,"",fuel_costs!AG$16*0.086/tech_proj!AO338/(1-tech_proj!AO618))</f>
        <v>109.42197334227612</v>
      </c>
      <c r="AP2238" s="119">
        <f>IF(tech_base!$T214&gt;AP$2025,"",fuel_costs!AH$16*0.086/tech_proj!AP338/(1-tech_proj!AP618))</f>
        <v>109.50095632702102</v>
      </c>
      <c r="AQ2238" s="119">
        <f>IF(tech_base!$T214&gt;AQ$2025,"",fuel_costs!AI$16*0.086/tech_proj!AQ338/(1-tech_proj!AQ618))</f>
        <v>109.58318496453438</v>
      </c>
      <c r="AR2238" s="119">
        <f>IF(tech_base!$T214&gt;AR$2025,"",fuel_costs!AJ$16*0.086/tech_proj!AR338/(1-tech_proj!AR618))</f>
        <v>109.52356231229317</v>
      </c>
      <c r="AS2238" s="119">
        <f>IF(tech_base!$T214&gt;AS$2025,"",fuel_costs!AK$16*0.086/tech_proj!AS338/(1-tech_proj!AS618))</f>
        <v>109.55720552697424</v>
      </c>
      <c r="AT2238" s="119">
        <f>IF(tech_base!$T214&gt;AT$2025,"",fuel_costs!AL$16*0.086/tech_proj!AT338/(1-tech_proj!AT618))</f>
        <v>109.5165450575094</v>
      </c>
      <c r="AU2238" s="119">
        <f>IF(tech_base!$T214&gt;AU$2025,"",fuel_costs!AM$16*0.086/tech_proj!AU338/(1-tech_proj!AU618))</f>
        <v>109.70777955051945</v>
      </c>
      <c r="AV2238" s="119">
        <f>IF(tech_base!$T214&gt;AV$2025,"",fuel_costs!AN$16*0.086/tech_proj!AV338/(1-tech_proj!AV618))</f>
        <v>109.94468551228233</v>
      </c>
      <c r="AW2238" s="119">
        <f>IF(tech_base!$T214&gt;AW$2025,"",fuel_costs!AO$16*0.086/tech_proj!AW338/(1-tech_proj!AW618))</f>
        <v>110.21000044147704</v>
      </c>
      <c r="AX2238" s="120">
        <f>IF(tech_base!$T214&gt;AX$2025,"",fuel_costs!AP$16*0.086/tech_proj!AX338/(1-tech_proj!AX618))</f>
        <v>110.45949799326017</v>
      </c>
    </row>
    <row r="2239" spans="1:50" x14ac:dyDescent="0.25">
      <c r="A2239" s="356"/>
      <c r="B2239" s="376"/>
      <c r="C2239" s="361" t="s">
        <v>14</v>
      </c>
      <c r="D2239" s="58" t="s">
        <v>7</v>
      </c>
      <c r="E2239" s="78" t="str">
        <f>A2227&amp;"/"&amp;B2235&amp;"/"&amp;C2239&amp;"/"&amp;D2239</f>
        <v>Biomass and waste fired power plants/Fluidized bed combustion/CHP/L</v>
      </c>
      <c r="F2239" s="78" t="str">
        <f>A2227</f>
        <v>Biomass and waste fired power plants</v>
      </c>
      <c r="G2239" s="78" t="str">
        <f>B2235</f>
        <v>Fluidized bed combustion</v>
      </c>
      <c r="H2239" s="78" t="str">
        <f>C2239</f>
        <v>CHP</v>
      </c>
      <c r="I2239" s="78" t="str">
        <f t="shared" si="390"/>
        <v>L</v>
      </c>
      <c r="J2239" s="123">
        <f>IF(tech_base!$T215&gt;J$2025,"",fuel_costs!B$16*0.086/tech_proj!J339/(1-tech_proj!J619))</f>
        <v>74.211277575516831</v>
      </c>
      <c r="K2239" s="123">
        <f>IF(tech_base!$T215&gt;K$2025,"",fuel_costs!C$16*0.086/tech_proj!K339/(1-tech_proj!K619))</f>
        <v>76.271547601645707</v>
      </c>
      <c r="L2239" s="123">
        <f>IF(tech_base!$T215&gt;L$2025,"",fuel_costs!D$16*0.086/tech_proj!L339/(1-tech_proj!L619))</f>
        <v>78.332539563707073</v>
      </c>
      <c r="M2239" s="123">
        <f>IF(tech_base!$T215&gt;M$2025,"",fuel_costs!E$16*0.086/tech_proj!M339/(1-tech_proj!M619))</f>
        <v>80.394235154495405</v>
      </c>
      <c r="N2239" s="123">
        <f>IF(tech_base!$T215&gt;N$2025,"",fuel_costs!F$16*0.086/tech_proj!N339/(1-tech_proj!N619))</f>
        <v>82.456611597387734</v>
      </c>
      <c r="O2239" s="123">
        <f>IF(tech_base!$T215&gt;O$2025,"",fuel_costs!G$16*0.086/tech_proj!O339/(1-tech_proj!O619))</f>
        <v>84.519640568248136</v>
      </c>
      <c r="P2239" s="123">
        <f>IF(tech_base!$T215&gt;P$2025,"",fuel_costs!H$16*0.086/tech_proj!P339/(1-tech_proj!P619))</f>
        <v>85.104985485861093</v>
      </c>
      <c r="Q2239" s="123">
        <f>IF(tech_base!$T215&gt;Q$2025,"",fuel_costs!I$16*0.086/tech_proj!Q339/(1-tech_proj!Q619))</f>
        <v>85.36698594878942</v>
      </c>
      <c r="R2239" s="123">
        <f>IF(tech_base!$T215&gt;R$2025,"",fuel_costs!J$16*0.086/tech_proj!R339/(1-tech_proj!R619))</f>
        <v>85.668775654077123</v>
      </c>
      <c r="S2239" s="123">
        <f>IF(tech_base!$T215&gt;S$2025,"",fuel_costs!K$16*0.086/tech_proj!S339/(1-tech_proj!S619))</f>
        <v>86.165440105720776</v>
      </c>
      <c r="T2239" s="123">
        <f>IF(tech_base!$T215&gt;T$2025,"",fuel_costs!L$16*0.086/tech_proj!T339/(1-tech_proj!T619))</f>
        <v>86.967093250751077</v>
      </c>
      <c r="U2239" s="123">
        <f>IF(tech_base!$T215&gt;U$2025,"",fuel_costs!M$16*0.086/tech_proj!U339/(1-tech_proj!U619))</f>
        <v>87.799909365609068</v>
      </c>
      <c r="V2239" s="123">
        <f>IF(tech_base!$T215&gt;V$2025,"",fuel_costs!N$16*0.086/tech_proj!V339/(1-tech_proj!V619))</f>
        <v>88.705342264607935</v>
      </c>
      <c r="W2239" s="123">
        <f>IF(tech_base!$T215&gt;W$2025,"",fuel_costs!O$16*0.086/tech_proj!W339/(1-tech_proj!W619))</f>
        <v>89.64910133291751</v>
      </c>
      <c r="X2239" s="123">
        <f>IF(tech_base!$T215&gt;X$2025,"",fuel_costs!P$16*0.086/tech_proj!X339/(1-tech_proj!X619))</f>
        <v>90.570616207775217</v>
      </c>
      <c r="Y2239" s="123">
        <f>IF(tech_base!$T215&gt;Y$2025,"",fuel_costs!Q$16*0.086/tech_proj!Y339/(1-tech_proj!Y619))</f>
        <v>91.520720492103692</v>
      </c>
      <c r="Z2239" s="123">
        <f>IF(tech_base!$T215&gt;Z$2025,"",fuel_costs!R$16*0.086/tech_proj!Z339/(1-tech_proj!Z619))</f>
        <v>92.463292302296153</v>
      </c>
      <c r="AA2239" s="123">
        <f>IF(tech_base!$T215&gt;AA$2025,"",fuel_costs!S$16*0.086/tech_proj!AA339/(1-tech_proj!AA619))</f>
        <v>93.492551045212039</v>
      </c>
      <c r="AB2239" s="123">
        <f>IF(tech_base!$T215&gt;AB$2025,"",fuel_costs!T$16*0.086/tech_proj!AB339/(1-tech_proj!AB619))</f>
        <v>94.833097710304898</v>
      </c>
      <c r="AC2239" s="123">
        <f>IF(tech_base!$T215&gt;AC$2025,"",fuel_costs!U$16*0.086/tech_proj!AC339/(1-tech_proj!AC619))</f>
        <v>96.835824096203339</v>
      </c>
      <c r="AD2239" s="123">
        <f>IF(tech_base!$T215&gt;AD$2025,"",fuel_costs!V$16*0.086/tech_proj!AD339/(1-tech_proj!AD619))</f>
        <v>98.801131760705388</v>
      </c>
      <c r="AE2239" s="123">
        <f>IF(tech_base!$T215&gt;AE$2025,"",fuel_costs!W$16*0.086/tech_proj!AE339/(1-tech_proj!AE619))</f>
        <v>100.16234850368592</v>
      </c>
      <c r="AF2239" s="123">
        <f>IF(tech_base!$T215&gt;AF$2025,"",fuel_costs!X$16*0.086/tech_proj!AF339/(1-tech_proj!AF619))</f>
        <v>100.99474242366139</v>
      </c>
      <c r="AG2239" s="123">
        <f>IF(tech_base!$T215&gt;AG$2025,"",fuel_costs!Y$16*0.086/tech_proj!AG339/(1-tech_proj!AG619))</f>
        <v>101.71395518886317</v>
      </c>
      <c r="AH2239" s="123">
        <f>IF(tech_base!$T215&gt;AH$2025,"",fuel_costs!Z$16*0.086/tech_proj!AH339/(1-tech_proj!AH619))</f>
        <v>102.35488024125897</v>
      </c>
      <c r="AI2239" s="123">
        <f>IF(tech_base!$T215&gt;AI$2025,"",fuel_costs!AA$16*0.086/tech_proj!AI339/(1-tech_proj!AI619))</f>
        <v>103.03418907831492</v>
      </c>
      <c r="AJ2239" s="123">
        <f>IF(tech_base!$T215&gt;AJ$2025,"",fuel_costs!AB$16*0.086/tech_proj!AJ339/(1-tech_proj!AJ619))</f>
        <v>103.72146241444712</v>
      </c>
      <c r="AK2239" s="123">
        <f>IF(tech_base!$T215&gt;AK$2025,"",fuel_costs!AC$16*0.086/tech_proj!AK339/(1-tech_proj!AK619))</f>
        <v>104.33828901605794</v>
      </c>
      <c r="AL2239" s="123">
        <f>IF(tech_base!$T215&gt;AL$2025,"",fuel_costs!AD$16*0.086/tech_proj!AL339/(1-tech_proj!AL619))</f>
        <v>104.86665136062322</v>
      </c>
      <c r="AM2239" s="123">
        <f>IF(tech_base!$T215&gt;AM$2025,"",fuel_costs!AE$16*0.086/tech_proj!AM339/(1-tech_proj!AM619))</f>
        <v>105.19153389138737</v>
      </c>
      <c r="AN2239" s="123">
        <f>IF(tech_base!$T215&gt;AN$2025,"",fuel_costs!AF$16*0.086/tech_proj!AN339/(1-tech_proj!AN619))</f>
        <v>105.4412025528422</v>
      </c>
      <c r="AO2239" s="123">
        <f>IF(tech_base!$T215&gt;AO$2025,"",fuel_costs!AG$16*0.086/tech_proj!AO339/(1-tech_proj!AO619))</f>
        <v>105.68594712553244</v>
      </c>
      <c r="AP2239" s="123">
        <f>IF(tech_base!$T215&gt;AP$2025,"",fuel_costs!AH$16*0.086/tech_proj!AP339/(1-tech_proj!AP619))</f>
        <v>105.94293516944305</v>
      </c>
      <c r="AQ2239" s="123">
        <f>IF(tech_base!$T215&gt;AQ$2025,"",fuel_costs!AI$16*0.086/tech_proj!AQ339/(1-tech_proj!AQ619))</f>
        <v>106.19601254437988</v>
      </c>
      <c r="AR2239" s="123">
        <f>IF(tech_base!$T215&gt;AR$2025,"",fuel_costs!AJ$16*0.086/tech_proj!AR339/(1-tech_proj!AR619))</f>
        <v>106.29867806319464</v>
      </c>
      <c r="AS2239" s="123">
        <f>IF(tech_base!$T215&gt;AS$2025,"",fuel_costs!AK$16*0.086/tech_proj!AS339/(1-tech_proj!AS619))</f>
        <v>106.4730199560136</v>
      </c>
      <c r="AT2239" s="123">
        <f>IF(tech_base!$T215&gt;AT$2025,"",fuel_costs!AL$16*0.086/tech_proj!AT339/(1-tech_proj!AT619))</f>
        <v>106.5509091968695</v>
      </c>
      <c r="AU2239" s="123">
        <f>IF(tech_base!$T215&gt;AU$2025,"",fuel_costs!AM$16*0.086/tech_proj!AU339/(1-tech_proj!AU619))</f>
        <v>106.82588980065113</v>
      </c>
      <c r="AV2239" s="123">
        <f>IF(tech_base!$T215&gt;AV$2025,"",fuel_costs!AN$16*0.086/tech_proj!AV339/(1-tech_proj!AV619))</f>
        <v>107.1142241681714</v>
      </c>
      <c r="AW2239" s="123">
        <f>IF(tech_base!$T215&gt;AW$2025,"",fuel_costs!AO$16*0.086/tech_proj!AW339/(1-tech_proj!AW619))</f>
        <v>107.39850467886411</v>
      </c>
      <c r="AX2239" s="124">
        <f>IF(tech_base!$T215&gt;AX$2025,"",fuel_costs!AP$16*0.086/tech_proj!AX339/(1-tech_proj!AX619))</f>
        <v>107.63754720832139</v>
      </c>
    </row>
    <row r="2240" spans="1:50" x14ac:dyDescent="0.25">
      <c r="A2240" s="356"/>
      <c r="B2240" s="376"/>
      <c r="C2240" s="378"/>
      <c r="D2240" s="2" t="s">
        <v>8</v>
      </c>
      <c r="E2240" s="76" t="str">
        <f>A2227&amp;"/"&amp;B2235&amp;"/"&amp;C2239&amp;"/"&amp;D2240</f>
        <v>Biomass and waste fired power plants/Fluidized bed combustion/CHP/M</v>
      </c>
      <c r="F2240" s="76" t="str">
        <f>A2227</f>
        <v>Biomass and waste fired power plants</v>
      </c>
      <c r="G2240" s="76" t="str">
        <f>B2235</f>
        <v>Fluidized bed combustion</v>
      </c>
      <c r="H2240" s="76" t="str">
        <f>C2239</f>
        <v>CHP</v>
      </c>
      <c r="I2240" s="76" t="str">
        <f t="shared" si="390"/>
        <v>M</v>
      </c>
      <c r="J2240" s="119">
        <f>IF(tech_base!$T216&gt;J$2025,"",fuel_costs!B$16*0.086/tech_proj!J340/(1-tech_proj!J620))</f>
        <v>78.238108776844996</v>
      </c>
      <c r="K2240" s="119">
        <f>IF(tech_base!$T216&gt;K$2025,"",fuel_costs!C$16*0.086/tech_proj!K340/(1-tech_proj!K620))</f>
        <v>80.409803737893839</v>
      </c>
      <c r="L2240" s="119">
        <f>IF(tech_base!$T216&gt;L$2025,"",fuel_costs!D$16*0.086/tech_proj!L340/(1-tech_proj!L620))</f>
        <v>82.582176172624429</v>
      </c>
      <c r="M2240" s="119">
        <f>IF(tech_base!$T216&gt;M$2025,"",fuel_costs!E$16*0.086/tech_proj!M340/(1-tech_proj!M620))</f>
        <v>84.755191250093802</v>
      </c>
      <c r="N2240" s="119">
        <f>IF(tech_base!$T216&gt;N$2025,"",fuel_costs!F$16*0.086/tech_proj!N340/(1-tech_proj!N620))</f>
        <v>86.928806757640672</v>
      </c>
      <c r="O2240" s="119">
        <f>IF(tech_base!$T216&gt;O$2025,"",fuel_costs!G$16*0.086/tech_proj!O340/(1-tech_proj!O620))</f>
        <v>89.102971562936347</v>
      </c>
      <c r="P2240" s="119">
        <f>IF(tech_base!$T216&gt;P$2025,"",fuel_costs!H$16*0.086/tech_proj!P340/(1-tech_proj!P620))</f>
        <v>89.719172454215624</v>
      </c>
      <c r="Q2240" s="119">
        <f>IF(tech_base!$T216&gt;Q$2025,"",fuel_costs!I$16*0.086/tech_proj!Q340/(1-tech_proj!Q620))</f>
        <v>89.994345427120123</v>
      </c>
      <c r="R2240" s="119">
        <f>IF(tech_base!$T216&gt;R$2025,"",fuel_costs!J$16*0.086/tech_proj!R340/(1-tech_proj!R620))</f>
        <v>90.311291828390338</v>
      </c>
      <c r="S2240" s="119">
        <f>IF(tech_base!$T216&gt;S$2025,"",fuel_costs!K$16*0.086/tech_proj!S340/(1-tech_proj!S620))</f>
        <v>90.833471072908083</v>
      </c>
      <c r="T2240" s="119">
        <f>IF(tech_base!$T216&gt;T$2025,"",fuel_costs!L$16*0.086/tech_proj!T340/(1-tech_proj!T620))</f>
        <v>91.676919979390902</v>
      </c>
      <c r="U2240" s="119">
        <f>IF(tech_base!$T216&gt;U$2025,"",fuel_costs!M$16*0.086/tech_proj!U340/(1-tech_proj!U620))</f>
        <v>92.552934734379761</v>
      </c>
      <c r="V2240" s="119">
        <f>IF(tech_base!$T216&gt;V$2025,"",fuel_costs!N$16*0.086/tech_proj!V340/(1-tech_proj!V620))</f>
        <v>93.505168074391563</v>
      </c>
      <c r="W2240" s="119">
        <f>IF(tech_base!$T216&gt;W$2025,"",fuel_costs!O$16*0.086/tech_proj!W340/(1-tech_proj!W620))</f>
        <v>94.497421853861539</v>
      </c>
      <c r="X2240" s="119">
        <f>IF(tech_base!$T216&gt;X$2025,"",fuel_costs!P$16*0.086/tech_proj!X340/(1-tech_proj!X620))</f>
        <v>95.465795753253161</v>
      </c>
      <c r="Y2240" s="119">
        <f>IF(tech_base!$T216&gt;Y$2025,"",fuel_costs!Q$16*0.086/tech_proj!Y340/(1-tech_proj!Y620))</f>
        <v>96.463813751593548</v>
      </c>
      <c r="Z2240" s="119">
        <f>IF(tech_base!$T216&gt;Z$2025,"",fuel_costs!R$16*0.086/tech_proj!Z340/(1-tech_proj!Z620))</f>
        <v>97.453339263072138</v>
      </c>
      <c r="AA2240" s="119">
        <f>IF(tech_base!$T216&gt;AA$2025,"",fuel_costs!S$16*0.086/tech_proj!AA340/(1-tech_proj!AA620))</f>
        <v>98.533607641492793</v>
      </c>
      <c r="AB2240" s="119">
        <f>IF(tech_base!$T216&gt;AB$2025,"",fuel_costs!T$16*0.086/tech_proj!AB340/(1-tech_proj!AB620))</f>
        <v>99.941236566517659</v>
      </c>
      <c r="AC2240" s="119">
        <f>IF(tech_base!$T216&gt;AC$2025,"",fuel_costs!U$16*0.086/tech_proj!AC340/(1-tech_proj!AC620))</f>
        <v>102.04587095542021</v>
      </c>
      <c r="AD2240" s="119">
        <f>IF(tech_base!$T216&gt;AD$2025,"",fuel_costs!V$16*0.086/tech_proj!AD340/(1-tech_proj!AD620))</f>
        <v>104.11011193062487</v>
      </c>
      <c r="AE2240" s="119">
        <f>IF(tech_base!$T216&gt;AE$2025,"",fuel_costs!W$16*0.086/tech_proj!AE340/(1-tech_proj!AE620))</f>
        <v>105.5368111852148</v>
      </c>
      <c r="AF2240" s="119">
        <f>IF(tech_base!$T216&gt;AF$2025,"",fuel_costs!X$16*0.086/tech_proj!AF340/(1-tech_proj!AF620))</f>
        <v>106.40535839362691</v>
      </c>
      <c r="AG2240" s="119">
        <f>IF(tech_base!$T216&gt;AG$2025,"",fuel_costs!Y$16*0.086/tech_proj!AG340/(1-tech_proj!AG620))</f>
        <v>107.15374421820225</v>
      </c>
      <c r="AH2240" s="119">
        <f>IF(tech_base!$T216&gt;AH$2025,"",fuel_costs!Z$16*0.086/tech_proj!AH340/(1-tech_proj!AH620))</f>
        <v>107.81877877984815</v>
      </c>
      <c r="AI2240" s="119">
        <f>IF(tech_base!$T216&gt;AI$2025,"",fuel_costs!AA$16*0.086/tech_proj!AI340/(1-tech_proj!AI620))</f>
        <v>108.52344317270122</v>
      </c>
      <c r="AJ2240" s="119">
        <f>IF(tech_base!$T216&gt;AJ$2025,"",fuel_costs!AB$16*0.086/tech_proj!AJ340/(1-tech_proj!AJ620))</f>
        <v>109.23581845792046</v>
      </c>
      <c r="AK2240" s="119">
        <f>IF(tech_base!$T216&gt;AK$2025,"",fuel_costs!AC$16*0.086/tech_proj!AK340/(1-tech_proj!AK620))</f>
        <v>109.87353566402737</v>
      </c>
      <c r="AL2240" s="119">
        <f>IF(tech_base!$T216&gt;AL$2025,"",fuel_costs!AD$16*0.086/tech_proj!AL340/(1-tech_proj!AL620))</f>
        <v>110.41794204475099</v>
      </c>
      <c r="AM2240" s="119">
        <f>IF(tech_base!$T216&gt;AM$2025,"",fuel_costs!AE$16*0.086/tech_proj!AM340/(1-tech_proj!AM620))</f>
        <v>110.74837054184067</v>
      </c>
      <c r="AN2240" s="119">
        <f>IF(tech_base!$T216&gt;AN$2025,"",fuel_costs!AF$16*0.086/tech_proj!AN340/(1-tech_proj!AN620))</f>
        <v>111.00040933052315</v>
      </c>
      <c r="AO2240" s="119">
        <f>IF(tech_base!$T216&gt;AO$2025,"",fuel_costs!AG$16*0.086/tech_proj!AO340/(1-tech_proj!AO620))</f>
        <v>111.24865001850176</v>
      </c>
      <c r="AP2240" s="119">
        <f>IF(tech_base!$T216&gt;AP$2025,"",fuel_costs!AH$16*0.086/tech_proj!AP340/(1-tech_proj!AP620))</f>
        <v>111.51180033534366</v>
      </c>
      <c r="AQ2240" s="119">
        <f>IF(tech_base!$T216&gt;AQ$2025,"",fuel_costs!AI$16*0.086/tech_proj!AQ340/(1-tech_proj!AQ620))</f>
        <v>111.77349185868414</v>
      </c>
      <c r="AR2240" s="119">
        <f>IF(tech_base!$T216&gt;AR$2025,"",fuel_costs!AJ$16*0.086/tech_proj!AR340/(1-tech_proj!AR620))</f>
        <v>111.88007530587753</v>
      </c>
      <c r="AS2240" s="119">
        <f>IF(tech_base!$T216&gt;AS$2025,"",fuel_costs!AK$16*0.086/tech_proj!AS340/(1-tech_proj!AS620))</f>
        <v>112.06561786259191</v>
      </c>
      <c r="AT2240" s="119">
        <f>IF(tech_base!$T216&gt;AT$2025,"",fuel_costs!AL$16*0.086/tech_proj!AT340/(1-tech_proj!AT620))</f>
        <v>112.15308910987605</v>
      </c>
      <c r="AU2240" s="119">
        <f>IF(tech_base!$T216&gt;AU$2025,"",fuel_costs!AM$16*0.086/tech_proj!AU340/(1-tech_proj!AU620))</f>
        <v>112.45085559496297</v>
      </c>
      <c r="AV2240" s="119">
        <f>IF(tech_base!$T216&gt;AV$2025,"",fuel_costs!AN$16*0.086/tech_proj!AV340/(1-tech_proj!AV620))</f>
        <v>112.76424594275734</v>
      </c>
      <c r="AW2240" s="119">
        <f>IF(tech_base!$T216&gt;AW$2025,"",fuel_costs!AO$16*0.086/tech_proj!AW340/(1-tech_proj!AW620))</f>
        <v>113.07291497850998</v>
      </c>
      <c r="AX2240" s="120">
        <f>IF(tech_base!$T216&gt;AX$2025,"",fuel_costs!AP$16*0.086/tech_proj!AX340/(1-tech_proj!AX620))</f>
        <v>113.33083643444014</v>
      </c>
    </row>
    <row r="2241" spans="1:50" x14ac:dyDescent="0.25">
      <c r="A2241" s="356"/>
      <c r="B2241" s="376"/>
      <c r="C2241" s="378"/>
      <c r="D2241" s="2" t="s">
        <v>10</v>
      </c>
      <c r="E2241" s="76" t="str">
        <f>A2227&amp;"/"&amp;B2235&amp;"/"&amp;C2239&amp;"/"&amp;D2241</f>
        <v>Biomass and waste fired power plants/Fluidized bed combustion/CHP/S</v>
      </c>
      <c r="F2241" s="76" t="str">
        <f>A2227</f>
        <v>Biomass and waste fired power plants</v>
      </c>
      <c r="G2241" s="76" t="str">
        <f>B2235</f>
        <v>Fluidized bed combustion</v>
      </c>
      <c r="H2241" s="76" t="str">
        <f>C2239</f>
        <v>CHP</v>
      </c>
      <c r="I2241" s="76" t="str">
        <f t="shared" si="390"/>
        <v>S</v>
      </c>
      <c r="J2241" s="119">
        <f>IF(tech_base!$T217&gt;J$2025,"",fuel_costs!B$16*0.086/tech_proj!J341/(1-tech_proj!J621))</f>
        <v>82.501612584165542</v>
      </c>
      <c r="K2241" s="119">
        <f>IF(tech_base!$T217&gt;K$2025,"",fuel_costs!C$16*0.086/tech_proj!K341/(1-tech_proj!K621))</f>
        <v>84.790570963706742</v>
      </c>
      <c r="L2241" s="119">
        <f>IF(tech_base!$T217&gt;L$2025,"",fuel_costs!D$16*0.086/tech_proj!L341/(1-tech_proj!L621))</f>
        <v>87.080027216119319</v>
      </c>
      <c r="M2241" s="119">
        <f>IF(tech_base!$T217&gt;M$2025,"",fuel_costs!E$16*0.086/tech_proj!M341/(1-tech_proj!M621))</f>
        <v>89.369910195443268</v>
      </c>
      <c r="N2241" s="119">
        <f>IF(tech_base!$T217&gt;N$2025,"",fuel_costs!F$16*0.086/tech_proj!N341/(1-tech_proj!N621))</f>
        <v>91.660135979161666</v>
      </c>
      <c r="O2241" s="119">
        <f>IF(tech_base!$T217&gt;O$2025,"",fuel_costs!G$16*0.086/tech_proj!O341/(1-tech_proj!O621))</f>
        <v>93.950605638251446</v>
      </c>
      <c r="P2241" s="119">
        <f>IF(tech_base!$T217&gt;P$2025,"",fuel_costs!H$16*0.086/tech_proj!P341/(1-tech_proj!P621))</f>
        <v>94.598004423230108</v>
      </c>
      <c r="Q2241" s="119">
        <f>IF(tech_base!$T217&gt;Q$2025,"",fuel_costs!I$16*0.086/tech_proj!Q341/(1-tech_proj!Q621))</f>
        <v>94.885487756385544</v>
      </c>
      <c r="R2241" s="119">
        <f>IF(tech_base!$T217&gt;R$2025,"",fuel_costs!J$16*0.086/tech_proj!R341/(1-tech_proj!R621))</f>
        <v>95.216636349148416</v>
      </c>
      <c r="S2241" s="119">
        <f>IF(tech_base!$T217&gt;S$2025,"",fuel_costs!K$16*0.086/tech_proj!S341/(1-tech_proj!S621))</f>
        <v>95.763729308106903</v>
      </c>
      <c r="T2241" s="119">
        <f>IF(tech_base!$T217&gt;T$2025,"",fuel_costs!L$16*0.086/tech_proj!T341/(1-tech_proj!T621))</f>
        <v>96.649016951088669</v>
      </c>
      <c r="U2241" s="119">
        <f>IF(tech_base!$T217&gt;U$2025,"",fuel_costs!M$16*0.086/tech_proj!U341/(1-tech_proj!U621))</f>
        <v>97.568042952763591</v>
      </c>
      <c r="V2241" s="119">
        <f>IF(tech_base!$T217&gt;V$2025,"",fuel_costs!N$16*0.086/tech_proj!V341/(1-tech_proj!V621))</f>
        <v>98.566744139866486</v>
      </c>
      <c r="W2241" s="119">
        <f>IF(tech_base!$T217&gt;W$2025,"",fuel_costs!O$16*0.086/tech_proj!W341/(1-tech_proj!W621))</f>
        <v>99.60687032326004</v>
      </c>
      <c r="X2241" s="119">
        <f>IF(tech_base!$T217&gt;X$2025,"",fuel_costs!P$16*0.086/tech_proj!X341/(1-tech_proj!X621))</f>
        <v>100.62097343801706</v>
      </c>
      <c r="Y2241" s="119">
        <f>IF(tech_base!$T217&gt;Y$2025,"",fuel_costs!Q$16*0.086/tech_proj!Y341/(1-tech_proj!Y621))</f>
        <v>101.66537339356617</v>
      </c>
      <c r="Z2241" s="119">
        <f>IF(tech_base!$T217&gt;Z$2025,"",fuel_costs!R$16*0.086/tech_proj!Z341/(1-tech_proj!Z621))</f>
        <v>102.69977249274437</v>
      </c>
      <c r="AA2241" s="119">
        <f>IF(tech_base!$T217&gt;AA$2025,"",fuel_costs!S$16*0.086/tech_proj!AA341/(1-tech_proj!AA621))</f>
        <v>103.82863664150879</v>
      </c>
      <c r="AB2241" s="119">
        <f>IF(tech_base!$T217&gt;AB$2025,"",fuel_costs!T$16*0.086/tech_proj!AB341/(1-tech_proj!AB621))</f>
        <v>105.301138455977</v>
      </c>
      <c r="AC2241" s="119">
        <f>IF(tech_base!$T217&gt;AC$2025,"",fuel_costs!U$16*0.086/tech_proj!AC341/(1-tech_proj!AC621))</f>
        <v>107.50647919171965</v>
      </c>
      <c r="AD2241" s="119">
        <f>IF(tech_base!$T217&gt;AD$2025,"",fuel_costs!V$16*0.086/tech_proj!AD341/(1-tech_proj!AD621))</f>
        <v>109.66751065811002</v>
      </c>
      <c r="AE2241" s="119">
        <f>IF(tech_base!$T217&gt;AE$2025,"",fuel_costs!W$16*0.086/tech_proj!AE341/(1-tech_proj!AE621))</f>
        <v>111.15518491363754</v>
      </c>
      <c r="AF2241" s="119">
        <f>IF(tech_base!$T217&gt;AF$2025,"",fuel_costs!X$16*0.086/tech_proj!AF341/(1-tech_proj!AF621))</f>
        <v>112.05329822248449</v>
      </c>
      <c r="AG2241" s="119">
        <f>IF(tech_base!$T217&gt;AG$2025,"",fuel_costs!Y$16*0.086/tech_proj!AG341/(1-tech_proj!AG621))</f>
        <v>112.82324604061299</v>
      </c>
      <c r="AH2241" s="119">
        <f>IF(tech_base!$T217&gt;AH$2025,"",fuel_costs!Z$16*0.086/tech_proj!AH341/(1-tech_proj!AH621))</f>
        <v>113.50385445989963</v>
      </c>
      <c r="AI2241" s="119">
        <f>IF(tech_base!$T217&gt;AI$2025,"",fuel_costs!AA$16*0.086/tech_proj!AI341/(1-tech_proj!AI621))</f>
        <v>114.22468147365643</v>
      </c>
      <c r="AJ2241" s="119">
        <f>IF(tech_base!$T217&gt;AJ$2025,"",fuel_costs!AB$16*0.086/tech_proj!AJ341/(1-tech_proj!AJ621))</f>
        <v>114.95225180668452</v>
      </c>
      <c r="AK2241" s="119">
        <f>IF(tech_base!$T217&gt;AK$2025,"",fuel_costs!AC$16*0.086/tech_proj!AK341/(1-tech_proj!AK621))</f>
        <v>115.6001178436549</v>
      </c>
      <c r="AL2241" s="119">
        <f>IF(tech_base!$T217&gt;AL$2025,"",fuel_costs!AD$16*0.086/tech_proj!AL341/(1-tech_proj!AL621))</f>
        <v>116.14902264171383</v>
      </c>
      <c r="AM2241" s="119">
        <f>IF(tech_base!$T217&gt;AM$2025,"",fuel_costs!AE$16*0.086/tech_proj!AM341/(1-tech_proj!AM621))</f>
        <v>116.47254661693263</v>
      </c>
      <c r="AN2241" s="119">
        <f>IF(tech_base!$T217&gt;AN$2025,"",fuel_costs!AF$16*0.086/tech_proj!AN341/(1-tech_proj!AN621))</f>
        <v>116.71392864368971</v>
      </c>
      <c r="AO2241" s="119">
        <f>IF(tech_base!$T217&gt;AO$2025,"",fuel_costs!AG$16*0.086/tech_proj!AO341/(1-tech_proj!AO621))</f>
        <v>116.95226732449441</v>
      </c>
      <c r="AP2241" s="119">
        <f>IF(tech_base!$T217&gt;AP$2025,"",fuel_costs!AH$16*0.086/tech_proj!AP341/(1-tech_proj!AP621))</f>
        <v>117.20794231025228</v>
      </c>
      <c r="AQ2241" s="119">
        <f>IF(tech_base!$T217&gt;AQ$2025,"",fuel_costs!AI$16*0.086/tech_proj!AQ341/(1-tech_proj!AQ621))</f>
        <v>117.4645028604795</v>
      </c>
      <c r="AR2241" s="119">
        <f>IF(tech_base!$T217&gt;AR$2025,"",fuel_costs!AJ$16*0.086/tech_proj!AR341/(1-tech_proj!AR621))</f>
        <v>117.56124449396177</v>
      </c>
      <c r="AS2241" s="119">
        <f>IF(tech_base!$T217&gt;AS$2025,"",fuel_costs!AK$16*0.086/tech_proj!AS341/(1-tech_proj!AS621))</f>
        <v>117.74479617605159</v>
      </c>
      <c r="AT2241" s="119">
        <f>IF(tech_base!$T217&gt;AT$2025,"",fuel_costs!AL$16*0.086/tech_proj!AT341/(1-tech_proj!AT621))</f>
        <v>117.82959227616928</v>
      </c>
      <c r="AU2241" s="119">
        <f>IF(tech_base!$T217&gt;AU$2025,"",fuel_costs!AM$16*0.086/tech_proj!AU341/(1-tech_proj!AU621))</f>
        <v>118.13974839146924</v>
      </c>
      <c r="AV2241" s="119">
        <f>IF(tech_base!$T217&gt;AV$2025,"",fuel_costs!AN$16*0.086/tech_proj!AV341/(1-tech_proj!AV621))</f>
        <v>118.47046825068885</v>
      </c>
      <c r="AW2241" s="119">
        <f>IF(tech_base!$T217&gt;AW$2025,"",fuel_costs!AO$16*0.086/tech_proj!AW341/(1-tech_proj!AW621))</f>
        <v>118.79962747433085</v>
      </c>
      <c r="AX2241" s="120">
        <f>IF(tech_base!$T217&gt;AX$2025,"",fuel_costs!AP$16*0.086/tech_proj!AX341/(1-tech_proj!AX621))</f>
        <v>119.07759938114089</v>
      </c>
    </row>
    <row r="2242" spans="1:50" x14ac:dyDescent="0.25">
      <c r="A2242" s="356"/>
      <c r="B2242" s="376"/>
      <c r="C2242" s="379"/>
      <c r="D2242" s="59" t="s">
        <v>20</v>
      </c>
      <c r="E2242" s="79" t="str">
        <f>A2227&amp;"/"&amp;B2235&amp;"/"&amp;C2239&amp;"/"&amp;D2242</f>
        <v>Biomass and waste fired power plants/Fluidized bed combustion/CHP/XS</v>
      </c>
      <c r="F2242" s="79" t="str">
        <f>A2227</f>
        <v>Biomass and waste fired power plants</v>
      </c>
      <c r="G2242" s="79" t="str">
        <f>B2235</f>
        <v>Fluidized bed combustion</v>
      </c>
      <c r="H2242" s="79" t="str">
        <f>C2239</f>
        <v>CHP</v>
      </c>
      <c r="I2242" s="79" t="str">
        <f t="shared" si="390"/>
        <v>XS</v>
      </c>
      <c r="J2242" s="125">
        <f>IF(tech_base!$T218&gt;J$2025,"",fuel_costs!B$16*0.086/tech_proj!J342/(1-tech_proj!J622))</f>
        <v>87.01774686105685</v>
      </c>
      <c r="K2242" s="125">
        <f>IF(tech_base!$T218&gt;K$2025,"",fuel_costs!C$16*0.086/tech_proj!K342/(1-tech_proj!K622))</f>
        <v>89.431601523952267</v>
      </c>
      <c r="L2242" s="125">
        <f>IF(tech_base!$T218&gt;L$2025,"",fuel_costs!D$16*0.086/tech_proj!L342/(1-tech_proj!L622))</f>
        <v>91.845893363149372</v>
      </c>
      <c r="M2242" s="125">
        <f>IF(tech_base!$T218&gt;M$2025,"",fuel_costs!E$16*0.086/tech_proj!M342/(1-tech_proj!M622))</f>
        <v>94.260531234675369</v>
      </c>
      <c r="N2242" s="125">
        <f>IF(tech_base!$T218&gt;N$2025,"",fuel_costs!F$16*0.086/tech_proj!N342/(1-tech_proj!N622))</f>
        <v>96.675407650936506</v>
      </c>
      <c r="O2242" s="125">
        <f>IF(tech_base!$T218&gt;O$2025,"",fuel_costs!G$16*0.086/tech_proj!O342/(1-tech_proj!O622))</f>
        <v>99.090395937382056</v>
      </c>
      <c r="P2242" s="125">
        <f>IF(tech_base!$T218&gt;P$2025,"",fuel_costs!H$16*0.086/tech_proj!P342/(1-tech_proj!P622))</f>
        <v>99.772270024146295</v>
      </c>
      <c r="Q2242" s="125">
        <f>IF(tech_base!$T218&gt;Q$2025,"",fuel_costs!I$16*0.086/tech_proj!Q342/(1-tech_proj!Q622))</f>
        <v>100.07438187704719</v>
      </c>
      <c r="R2242" s="125">
        <f>IF(tech_base!$T218&gt;R$2025,"",fuel_costs!J$16*0.086/tech_proj!R342/(1-tech_proj!R622))</f>
        <v>100.42236429912519</v>
      </c>
      <c r="S2242" s="125">
        <f>IF(tech_base!$T218&gt;S$2025,"",fuel_costs!K$16*0.086/tech_proj!S342/(1-tech_proj!S622))</f>
        <v>100.99788146041314</v>
      </c>
      <c r="T2242" s="125">
        <f>IF(tech_base!$T218&gt;T$2025,"",fuel_costs!L$16*0.086/tech_proj!T342/(1-tech_proj!T622))</f>
        <v>101.92981768544163</v>
      </c>
      <c r="U2242" s="125">
        <f>IF(tech_base!$T218&gt;U$2025,"",fuel_costs!M$16*0.086/tech_proj!U342/(1-tech_proj!U622))</f>
        <v>102.89702567581632</v>
      </c>
      <c r="V2242" s="125">
        <f>IF(tech_base!$T218&gt;V$2025,"",fuel_costs!N$16*0.086/tech_proj!V342/(1-tech_proj!V622))</f>
        <v>103.94789707521289</v>
      </c>
      <c r="W2242" s="125">
        <f>IF(tech_base!$T218&gt;W$2025,"",fuel_costs!O$16*0.086/tech_proj!W342/(1-tech_proj!W622))</f>
        <v>105.04202905765983</v>
      </c>
      <c r="X2242" s="125">
        <f>IF(tech_base!$T218&gt;X$2025,"",fuel_costs!P$16*0.086/tech_proj!X342/(1-tech_proj!X622))</f>
        <v>106.1082225845158</v>
      </c>
      <c r="Y2242" s="125">
        <f>IF(tech_base!$T218&gt;Y$2025,"",fuel_costs!Q$16*0.086/tech_proj!Y342/(1-tech_proj!Y622))</f>
        <v>107.20579008254978</v>
      </c>
      <c r="Z2242" s="125">
        <f>IF(tech_base!$T218&gt;Z$2025,"",fuel_costs!R$16*0.086/tech_proj!Z342/(1-tech_proj!Z622))</f>
        <v>108.29214481615323</v>
      </c>
      <c r="AA2242" s="125">
        <f>IF(tech_base!$T218&gt;AA$2025,"",fuel_costs!S$16*0.086/tech_proj!AA342/(1-tech_proj!AA622))</f>
        <v>109.47733340305957</v>
      </c>
      <c r="AB2242" s="125">
        <f>IF(tech_base!$T218&gt;AB$2025,"",fuel_costs!T$16*0.086/tech_proj!AB342/(1-tech_proj!AB622))</f>
        <v>111.02393603248737</v>
      </c>
      <c r="AC2242" s="125">
        <f>IF(tech_base!$T218&gt;AC$2025,"",fuel_costs!U$16*0.086/tech_proj!AC342/(1-tech_proj!AC622))</f>
        <v>113.34207702480158</v>
      </c>
      <c r="AD2242" s="125">
        <f>IF(tech_base!$T218&gt;AD$2025,"",fuel_costs!V$16*0.086/tech_proj!AD342/(1-tech_proj!AD622))</f>
        <v>115.61215424510907</v>
      </c>
      <c r="AE2242" s="125">
        <f>IF(tech_base!$T218&gt;AE$2025,"",fuel_costs!W$16*0.086/tech_proj!AE342/(1-tech_proj!AE622))</f>
        <v>117.17088197347113</v>
      </c>
      <c r="AF2242" s="125">
        <f>IF(tech_base!$T218&gt;AF$2025,"",fuel_costs!X$16*0.086/tech_proj!AF342/(1-tech_proj!AF622))</f>
        <v>118.10655551141356</v>
      </c>
      <c r="AG2242" s="125">
        <f>IF(tech_base!$T218&gt;AG$2025,"",fuel_costs!Y$16*0.086/tech_proj!AG342/(1-tech_proj!AG622))</f>
        <v>118.90542063361495</v>
      </c>
      <c r="AH2242" s="125">
        <f>IF(tech_base!$T218&gt;AH$2025,"",fuel_costs!Z$16*0.086/tech_proj!AH342/(1-tech_proj!AH622))</f>
        <v>119.6082290537675</v>
      </c>
      <c r="AI2242" s="125">
        <f>IF(tech_base!$T218&gt;AI$2025,"",fuel_costs!AA$16*0.086/tech_proj!AI342/(1-tech_proj!AI622))</f>
        <v>120.35131178636173</v>
      </c>
      <c r="AJ2242" s="125">
        <f>IF(tech_base!$T218&gt;AJ$2025,"",fuel_costs!AB$16*0.086/tech_proj!AJ342/(1-tech_proj!AJ622))</f>
        <v>121.09917088648189</v>
      </c>
      <c r="AK2242" s="125">
        <f>IF(tech_base!$T218&gt;AK$2025,"",fuel_costs!AC$16*0.086/tech_proj!AK342/(1-tech_proj!AK622))</f>
        <v>121.76053856573729</v>
      </c>
      <c r="AL2242" s="125">
        <f>IF(tech_base!$T218&gt;AL$2025,"",fuel_costs!AD$16*0.086/tech_proj!AL342/(1-tech_proj!AL622))</f>
        <v>122.31499127902012</v>
      </c>
      <c r="AM2242" s="125">
        <f>IF(tech_base!$T218&gt;AM$2025,"",fuel_costs!AE$16*0.086/tech_proj!AM342/(1-tech_proj!AM622))</f>
        <v>122.6293381153525</v>
      </c>
      <c r="AN2242" s="125">
        <f>IF(tech_base!$T218&gt;AN$2025,"",fuel_costs!AF$16*0.086/tech_proj!AN342/(1-tech_proj!AN622))</f>
        <v>122.85442415505513</v>
      </c>
      <c r="AO2242" s="125">
        <f>IF(tech_base!$T218&gt;AO$2025,"",fuel_costs!AG$16*0.086/tech_proj!AO342/(1-tech_proj!AO622))</f>
        <v>123.07354573297876</v>
      </c>
      <c r="AP2242" s="125">
        <f>IF(tech_base!$T218&gt;AP$2025,"",fuel_costs!AH$16*0.086/tech_proj!AP342/(1-tech_proj!AP622))</f>
        <v>123.30824046157743</v>
      </c>
      <c r="AQ2242" s="125">
        <f>IF(tech_base!$T218&gt;AQ$2025,"",fuel_costs!AI$16*0.086/tech_proj!AQ342/(1-tech_proj!AQ622))</f>
        <v>123.54140932229832</v>
      </c>
      <c r="AR2242" s="125">
        <f>IF(tech_base!$T218&gt;AR$2025,"",fuel_costs!AJ$16*0.086/tech_proj!AR342/(1-tech_proj!AR622))</f>
        <v>123.60445388729015</v>
      </c>
      <c r="AS2242" s="125">
        <f>IF(tech_base!$T218&gt;AS$2025,"",fuel_costs!AK$16*0.086/tech_proj!AS342/(1-tech_proj!AS622))</f>
        <v>123.75729977262091</v>
      </c>
      <c r="AT2242" s="125">
        <f>IF(tech_base!$T218&gt;AT$2025,"",fuel_costs!AL$16*0.086/tech_proj!AT342/(1-tech_proj!AT622))</f>
        <v>123.80560638031018</v>
      </c>
      <c r="AU2242" s="125">
        <f>IF(tech_base!$T218&gt;AU$2025,"",fuel_costs!AM$16*0.086/tech_proj!AU342/(1-tech_proj!AU622))</f>
        <v>124.0908243478345</v>
      </c>
      <c r="AV2242" s="125">
        <f>IF(tech_base!$T218&gt;AV$2025,"",fuel_costs!AN$16*0.086/tech_proj!AV342/(1-tech_proj!AV622))</f>
        <v>124.39874841731228</v>
      </c>
      <c r="AW2242" s="125">
        <f>IF(tech_base!$T218&gt;AW$2025,"",fuel_costs!AO$16*0.086/tech_proj!AW342/(1-tech_proj!AW622))</f>
        <v>124.70732652942628</v>
      </c>
      <c r="AX2242" s="126">
        <f>IF(tech_base!$T218&gt;AX$2025,"",fuel_costs!AP$16*0.086/tech_proj!AX342/(1-tech_proj!AX622))</f>
        <v>124.96572603094103</v>
      </c>
    </row>
    <row r="2243" spans="1:50" x14ac:dyDescent="0.25">
      <c r="A2243" s="356"/>
      <c r="B2243" s="376"/>
      <c r="C2243" s="361" t="s">
        <v>15</v>
      </c>
      <c r="D2243" s="58" t="s">
        <v>7</v>
      </c>
      <c r="E2243" s="78" t="str">
        <f>A2227&amp;"/"&amp;B2235&amp;"/"&amp;C2243&amp;"/"&amp;D2243</f>
        <v>Biomass and waste fired power plants/Fluidized bed combustion/Electricity only with CCS/L</v>
      </c>
      <c r="F2243" s="78" t="str">
        <f>A2227</f>
        <v>Biomass and waste fired power plants</v>
      </c>
      <c r="G2243" s="78" t="str">
        <f>B2235</f>
        <v>Fluidized bed combustion</v>
      </c>
      <c r="H2243" s="78" t="str">
        <f>C2243</f>
        <v>Electricity only with CCS</v>
      </c>
      <c r="I2243" s="78" t="str">
        <f t="shared" si="390"/>
        <v>L</v>
      </c>
      <c r="J2243" s="123" t="str">
        <f>IF(tech_base!$T219&gt;J$2025,"",fuel_costs!B$16*0.086/tech_proj!J343/(1-tech_proj!J623))</f>
        <v/>
      </c>
      <c r="K2243" s="123" t="str">
        <f>IF(tech_base!$T219&gt;K$2025,"",fuel_costs!C$16*0.086/tech_proj!K343/(1-tech_proj!K623))</f>
        <v/>
      </c>
      <c r="L2243" s="123" t="str">
        <f>IF(tech_base!$T219&gt;L$2025,"",fuel_costs!D$16*0.086/tech_proj!L343/(1-tech_proj!L623))</f>
        <v/>
      </c>
      <c r="M2243" s="123" t="str">
        <f>IF(tech_base!$T219&gt;M$2025,"",fuel_costs!E$16*0.086/tech_proj!M343/(1-tech_proj!M623))</f>
        <v/>
      </c>
      <c r="N2243" s="123" t="str">
        <f>IF(tech_base!$T219&gt;N$2025,"",fuel_costs!F$16*0.086/tech_proj!N343/(1-tech_proj!N623))</f>
        <v/>
      </c>
      <c r="O2243" s="123" t="str">
        <f>IF(tech_base!$T219&gt;O$2025,"",fuel_costs!G$16*0.086/tech_proj!O343/(1-tech_proj!O623))</f>
        <v/>
      </c>
      <c r="P2243" s="123" t="str">
        <f>IF(tech_base!$T219&gt;P$2025,"",fuel_costs!H$16*0.086/tech_proj!P343/(1-tech_proj!P623))</f>
        <v/>
      </c>
      <c r="Q2243" s="123" t="str">
        <f>IF(tech_base!$T219&gt;Q$2025,"",fuel_costs!I$16*0.086/tech_proj!Q343/(1-tech_proj!Q623))</f>
        <v/>
      </c>
      <c r="R2243" s="123" t="str">
        <f>IF(tech_base!$T219&gt;R$2025,"",fuel_costs!J$16*0.086/tech_proj!R343/(1-tech_proj!R623))</f>
        <v/>
      </c>
      <c r="S2243" s="123" t="str">
        <f>IF(tech_base!$T219&gt;S$2025,"",fuel_costs!K$16*0.086/tech_proj!S343/(1-tech_proj!S623))</f>
        <v/>
      </c>
      <c r="T2243" s="123" t="str">
        <f>IF(tech_base!$T219&gt;T$2025,"",fuel_costs!L$16*0.086/tech_proj!T343/(1-tech_proj!T623))</f>
        <v/>
      </c>
      <c r="U2243" s="123" t="str">
        <f>IF(tech_base!$T219&gt;U$2025,"",fuel_costs!M$16*0.086/tech_proj!U343/(1-tech_proj!U623))</f>
        <v/>
      </c>
      <c r="V2243" s="123" t="str">
        <f>IF(tech_base!$T219&gt;V$2025,"",fuel_costs!N$16*0.086/tech_proj!V343/(1-tech_proj!V623))</f>
        <v/>
      </c>
      <c r="W2243" s="123" t="str">
        <f>IF(tech_base!$T219&gt;W$2025,"",fuel_costs!O$16*0.086/tech_proj!W343/(1-tech_proj!W623))</f>
        <v/>
      </c>
      <c r="X2243" s="123" t="str">
        <f>IF(tech_base!$T219&gt;X$2025,"",fuel_costs!P$16*0.086/tech_proj!X343/(1-tech_proj!X623))</f>
        <v/>
      </c>
      <c r="Y2243" s="123" t="str">
        <f>IF(tech_base!$T219&gt;Y$2025,"",fuel_costs!Q$16*0.086/tech_proj!Y343/(1-tech_proj!Y623))</f>
        <v/>
      </c>
      <c r="Z2243" s="123" t="str">
        <f>IF(tech_base!$T219&gt;Z$2025,"",fuel_costs!R$16*0.086/tech_proj!Z343/(1-tech_proj!Z623))</f>
        <v/>
      </c>
      <c r="AA2243" s="123" t="str">
        <f>IF(tech_base!$T219&gt;AA$2025,"",fuel_costs!S$16*0.086/tech_proj!AA343/(1-tech_proj!AA623))</f>
        <v/>
      </c>
      <c r="AB2243" s="123" t="str">
        <f>IF(tech_base!$T219&gt;AB$2025,"",fuel_costs!T$16*0.086/tech_proj!AB343/(1-tech_proj!AB623))</f>
        <v/>
      </c>
      <c r="AC2243" s="123" t="str">
        <f>IF(tech_base!$T219&gt;AC$2025,"",fuel_costs!U$16*0.086/tech_proj!AC343/(1-tech_proj!AC623))</f>
        <v/>
      </c>
      <c r="AD2243" s="123" t="str">
        <f>IF(tech_base!$T219&gt;AD$2025,"",fuel_costs!V$16*0.086/tech_proj!AD343/(1-tech_proj!AD623))</f>
        <v/>
      </c>
      <c r="AE2243" s="123">
        <f>IF(tech_base!$T219&gt;AE$2025,"",fuel_costs!W$16*0.086/tech_proj!AE343/(1-tech_proj!AE623))</f>
        <v>118.82563169660534</v>
      </c>
      <c r="AF2243" s="123">
        <f>IF(tech_base!$T219&gt;AF$2025,"",fuel_costs!X$16*0.086/tech_proj!AF343/(1-tech_proj!AF623))</f>
        <v>119.8313161904007</v>
      </c>
      <c r="AG2243" s="123">
        <f>IF(tech_base!$T219&gt;AG$2025,"",fuel_costs!Y$16*0.086/tech_proj!AG343/(1-tech_proj!AG623))</f>
        <v>120.70628102559681</v>
      </c>
      <c r="AH2243" s="123">
        <f>IF(tech_base!$T219&gt;AH$2025,"",fuel_costs!Z$16*0.086/tech_proj!AH343/(1-tech_proj!AH623))</f>
        <v>121.4924143301261</v>
      </c>
      <c r="AI2243" s="123">
        <f>IF(tech_base!$T219&gt;AI$2025,"",fuel_costs!AA$16*0.086/tech_proj!AI343/(1-tech_proj!AI623))</f>
        <v>122.32873721823232</v>
      </c>
      <c r="AJ2243" s="123">
        <f>IF(tech_base!$T219&gt;AJ$2025,"",fuel_costs!AB$16*0.086/tech_proj!AJ343/(1-tech_proj!AJ623))</f>
        <v>123.17971799935769</v>
      </c>
      <c r="AK2243" s="123">
        <f>IF(tech_base!$T219&gt;AK$2025,"",fuel_costs!AC$16*0.086/tech_proj!AK343/(1-tech_proj!AK623))</f>
        <v>123.95272165834427</v>
      </c>
      <c r="AL2243" s="123">
        <f>IF(tech_base!$T219&gt;AL$2025,"",fuel_costs!AD$16*0.086/tech_proj!AL343/(1-tech_proj!AL623))</f>
        <v>124.62662169227907</v>
      </c>
      <c r="AM2243" s="123">
        <f>IF(tech_base!$T219&gt;AM$2025,"",fuel_costs!AE$16*0.086/tech_proj!AM343/(1-tech_proj!AM623))</f>
        <v>125.06466732920899</v>
      </c>
      <c r="AN2243" s="123">
        <f>IF(tech_base!$T219&gt;AN$2025,"",fuel_costs!AF$16*0.086/tech_proj!AN343/(1-tech_proj!AN623))</f>
        <v>125.41880191820334</v>
      </c>
      <c r="AO2243" s="123">
        <f>IF(tech_base!$T219&gt;AO$2025,"",fuel_costs!AG$16*0.086/tech_proj!AO343/(1-tech_proj!AO623))</f>
        <v>125.77160035634779</v>
      </c>
      <c r="AP2243" s="123">
        <f>IF(tech_base!$T219&gt;AP$2025,"",fuel_costs!AH$16*0.086/tech_proj!AP343/(1-tech_proj!AP623))</f>
        <v>126.14164673419205</v>
      </c>
      <c r="AQ2243" s="123">
        <f>IF(tech_base!$T219&gt;AQ$2025,"",fuel_costs!AI$16*0.086/tech_proj!AQ343/(1-tech_proj!AQ623))</f>
        <v>126.50662610923878</v>
      </c>
      <c r="AR2243" s="123">
        <f>IF(tech_base!$T219&gt;AR$2025,"",fuel_costs!AJ$16*0.086/tech_proj!AR343/(1-tech_proj!AR623))</f>
        <v>126.68718363984576</v>
      </c>
      <c r="AS2243" s="123">
        <f>IF(tech_base!$T219&gt;AS$2025,"",fuel_costs!AK$16*0.086/tech_proj!AS343/(1-tech_proj!AS623))</f>
        <v>126.94107480546353</v>
      </c>
      <c r="AT2243" s="123">
        <f>IF(tech_base!$T219&gt;AT$2025,"",fuel_costs!AL$16*0.086/tech_proj!AT343/(1-tech_proj!AT623))</f>
        <v>127.05866098892359</v>
      </c>
      <c r="AU2243" s="123">
        <f>IF(tech_base!$T219&gt;AU$2025,"",fuel_costs!AM$16*0.086/tech_proj!AU343/(1-tech_proj!AU623))</f>
        <v>127.37812769519562</v>
      </c>
      <c r="AV2243" s="123">
        <f>IF(tech_base!$T219&gt;AV$2025,"",fuel_costs!AN$16*0.086/tech_proj!AV343/(1-tech_proj!AV623))</f>
        <v>127.66600060136697</v>
      </c>
      <c r="AW2243" s="123">
        <f>IF(tech_base!$T219&gt;AW$2025,"",fuel_costs!AO$16*0.086/tech_proj!AW343/(1-tech_proj!AW623))</f>
        <v>127.885337674225</v>
      </c>
      <c r="AX2243" s="124">
        <f>IF(tech_base!$T219&gt;AX$2025,"",fuel_costs!AP$16*0.086/tech_proj!AX343/(1-tech_proj!AX623))</f>
        <v>127.97073906661588</v>
      </c>
    </row>
    <row r="2244" spans="1:50" x14ac:dyDescent="0.25">
      <c r="A2244" s="356"/>
      <c r="B2244" s="376"/>
      <c r="C2244" s="379"/>
      <c r="D2244" s="59" t="s">
        <v>8</v>
      </c>
      <c r="E2244" s="79" t="str">
        <f>A2227&amp;"/"&amp;B2235&amp;"/"&amp;C2243&amp;"/"&amp;D2244</f>
        <v>Biomass and waste fired power plants/Fluidized bed combustion/Electricity only with CCS/M</v>
      </c>
      <c r="F2244" s="79" t="str">
        <f>A2227</f>
        <v>Biomass and waste fired power plants</v>
      </c>
      <c r="G2244" s="79" t="str">
        <f>B2235</f>
        <v>Fluidized bed combustion</v>
      </c>
      <c r="H2244" s="79" t="str">
        <f>C2243</f>
        <v>Electricity only with CCS</v>
      </c>
      <c r="I2244" s="79" t="str">
        <f t="shared" si="390"/>
        <v>M</v>
      </c>
      <c r="J2244" s="125" t="str">
        <f>IF(tech_base!$T220&gt;J$2025,"",fuel_costs!B$16*0.086/tech_proj!J344/(1-tech_proj!J624))</f>
        <v/>
      </c>
      <c r="K2244" s="125" t="str">
        <f>IF(tech_base!$T220&gt;K$2025,"",fuel_costs!C$16*0.086/tech_proj!K344/(1-tech_proj!K624))</f>
        <v/>
      </c>
      <c r="L2244" s="125" t="str">
        <f>IF(tech_base!$T220&gt;L$2025,"",fuel_costs!D$16*0.086/tech_proj!L344/(1-tech_proj!L624))</f>
        <v/>
      </c>
      <c r="M2244" s="125" t="str">
        <f>IF(tech_base!$T220&gt;M$2025,"",fuel_costs!E$16*0.086/tech_proj!M344/(1-tech_proj!M624))</f>
        <v/>
      </c>
      <c r="N2244" s="125" t="str">
        <f>IF(tech_base!$T220&gt;N$2025,"",fuel_costs!F$16*0.086/tech_proj!N344/(1-tech_proj!N624))</f>
        <v/>
      </c>
      <c r="O2244" s="125" t="str">
        <f>IF(tech_base!$T220&gt;O$2025,"",fuel_costs!G$16*0.086/tech_proj!O344/(1-tech_proj!O624))</f>
        <v/>
      </c>
      <c r="P2244" s="125" t="str">
        <f>IF(tech_base!$T220&gt;P$2025,"",fuel_costs!H$16*0.086/tech_proj!P344/(1-tech_proj!P624))</f>
        <v/>
      </c>
      <c r="Q2244" s="125" t="str">
        <f>IF(tech_base!$T220&gt;Q$2025,"",fuel_costs!I$16*0.086/tech_proj!Q344/(1-tech_proj!Q624))</f>
        <v/>
      </c>
      <c r="R2244" s="125" t="str">
        <f>IF(tech_base!$T220&gt;R$2025,"",fuel_costs!J$16*0.086/tech_proj!R344/(1-tech_proj!R624))</f>
        <v/>
      </c>
      <c r="S2244" s="125" t="str">
        <f>IF(tech_base!$T220&gt;S$2025,"",fuel_costs!K$16*0.086/tech_proj!S344/(1-tech_proj!S624))</f>
        <v/>
      </c>
      <c r="T2244" s="125" t="str">
        <f>IF(tech_base!$T220&gt;T$2025,"",fuel_costs!L$16*0.086/tech_proj!T344/(1-tech_proj!T624))</f>
        <v/>
      </c>
      <c r="U2244" s="125" t="str">
        <f>IF(tech_base!$T220&gt;U$2025,"",fuel_costs!M$16*0.086/tech_proj!U344/(1-tech_proj!U624))</f>
        <v/>
      </c>
      <c r="V2244" s="125" t="str">
        <f>IF(tech_base!$T220&gt;V$2025,"",fuel_costs!N$16*0.086/tech_proj!V344/(1-tech_proj!V624))</f>
        <v/>
      </c>
      <c r="W2244" s="125" t="str">
        <f>IF(tech_base!$T220&gt;W$2025,"",fuel_costs!O$16*0.086/tech_proj!W344/(1-tech_proj!W624))</f>
        <v/>
      </c>
      <c r="X2244" s="125" t="str">
        <f>IF(tech_base!$T220&gt;X$2025,"",fuel_costs!P$16*0.086/tech_proj!X344/(1-tech_proj!X624))</f>
        <v/>
      </c>
      <c r="Y2244" s="125" t="str">
        <f>IF(tech_base!$T220&gt;Y$2025,"",fuel_costs!Q$16*0.086/tech_proj!Y344/(1-tech_proj!Y624))</f>
        <v/>
      </c>
      <c r="Z2244" s="125" t="str">
        <f>IF(tech_base!$T220&gt;Z$2025,"",fuel_costs!R$16*0.086/tech_proj!Z344/(1-tech_proj!Z624))</f>
        <v/>
      </c>
      <c r="AA2244" s="125" t="str">
        <f>IF(tech_base!$T220&gt;AA$2025,"",fuel_costs!S$16*0.086/tech_proj!AA344/(1-tech_proj!AA624))</f>
        <v/>
      </c>
      <c r="AB2244" s="125" t="str">
        <f>IF(tech_base!$T220&gt;AB$2025,"",fuel_costs!T$16*0.086/tech_proj!AB344/(1-tech_proj!AB624))</f>
        <v/>
      </c>
      <c r="AC2244" s="125" t="str">
        <f>IF(tech_base!$T220&gt;AC$2025,"",fuel_costs!U$16*0.086/tech_proj!AC344/(1-tech_proj!AC624))</f>
        <v/>
      </c>
      <c r="AD2244" s="125" t="str">
        <f>IF(tech_base!$T220&gt;AD$2025,"",fuel_costs!V$16*0.086/tech_proj!AD344/(1-tech_proj!AD624))</f>
        <v/>
      </c>
      <c r="AE2244" s="125">
        <f>IF(tech_base!$T220&gt;AE$2025,"",fuel_costs!W$16*0.086/tech_proj!AE344/(1-tech_proj!AE624))</f>
        <v>126.93725313568747</v>
      </c>
      <c r="AF2244" s="125">
        <f>IF(tech_base!$T220&gt;AF$2025,"",fuel_costs!X$16*0.086/tech_proj!AF344/(1-tech_proj!AF624))</f>
        <v>128.01098677218675</v>
      </c>
      <c r="AG2244" s="125">
        <f>IF(tech_base!$T220&gt;AG$2025,"",fuel_costs!Y$16*0.086/tech_proj!AG344/(1-tech_proj!AG624))</f>
        <v>128.94489641098627</v>
      </c>
      <c r="AH2244" s="125">
        <f>IF(tech_base!$T220&gt;AH$2025,"",fuel_costs!Z$16*0.086/tech_proj!AH344/(1-tech_proj!AH624))</f>
        <v>129.78367901374821</v>
      </c>
      <c r="AI2244" s="125">
        <f>IF(tech_base!$T220&gt;AI$2025,"",fuel_costs!AA$16*0.086/tech_proj!AI344/(1-tech_proj!AI624))</f>
        <v>130.67577715986178</v>
      </c>
      <c r="AJ2244" s="125">
        <f>IF(tech_base!$T220&gt;AJ$2025,"",fuel_costs!AB$16*0.086/tech_proj!AJ344/(1-tech_proj!AJ624))</f>
        <v>131.58314735693062</v>
      </c>
      <c r="AK2244" s="125">
        <f>IF(tech_base!$T220&gt;AK$2025,"",fuel_costs!AC$16*0.086/tech_proj!AK344/(1-tech_proj!AK624))</f>
        <v>132.40672540252638</v>
      </c>
      <c r="AL2244" s="125">
        <f>IF(tech_base!$T220&gt;AL$2025,"",fuel_costs!AD$16*0.086/tech_proj!AL344/(1-tech_proj!AL624))</f>
        <v>133.12380828847878</v>
      </c>
      <c r="AM2244" s="125">
        <f>IF(tech_base!$T220&gt;AM$2025,"",fuel_costs!AE$16*0.086/tech_proj!AM344/(1-tech_proj!AM624))</f>
        <v>133.58815523264204</v>
      </c>
      <c r="AN2244" s="125">
        <f>IF(tech_base!$T220&gt;AN$2025,"",fuel_costs!AF$16*0.086/tech_proj!AN344/(1-tech_proj!AN624))</f>
        <v>133.96186107333799</v>
      </c>
      <c r="AO2244" s="125">
        <f>IF(tech_base!$T220&gt;AO$2025,"",fuel_costs!AG$16*0.086/tech_proj!AO344/(1-tech_proj!AO624))</f>
        <v>134.33285792692109</v>
      </c>
      <c r="AP2244" s="125">
        <f>IF(tech_base!$T220&gt;AP$2025,"",fuel_costs!AH$16*0.086/tech_proj!AP344/(1-tech_proj!AP624))</f>
        <v>134.72065334700392</v>
      </c>
      <c r="AQ2244" s="125">
        <f>IF(tech_base!$T220&gt;AQ$2025,"",fuel_costs!AI$16*0.086/tech_proj!AQ344/(1-tech_proj!AQ624))</f>
        <v>135.10099129304007</v>
      </c>
      <c r="AR2244" s="125">
        <f>IF(tech_base!$T220&gt;AR$2025,"",fuel_costs!AJ$16*0.086/tech_proj!AR344/(1-tech_proj!AR624))</f>
        <v>135.28183500733337</v>
      </c>
      <c r="AS2244" s="125">
        <f>IF(tech_base!$T220&gt;AS$2025,"",fuel_costs!AK$16*0.086/tech_proj!AS344/(1-tech_proj!AS624))</f>
        <v>135.53784196268282</v>
      </c>
      <c r="AT2244" s="125">
        <f>IF(tech_base!$T220&gt;AT$2025,"",fuel_costs!AL$16*0.086/tech_proj!AT344/(1-tech_proj!AT624))</f>
        <v>135.64446196197918</v>
      </c>
      <c r="AU2244" s="125">
        <f>IF(tech_base!$T220&gt;AU$2025,"",fuel_costs!AM$16*0.086/tech_proj!AU344/(1-tech_proj!AU624))</f>
        <v>135.96192548780152</v>
      </c>
      <c r="AV2244" s="125">
        <f>IF(tech_base!$T220&gt;AV$2025,"",fuel_costs!AN$16*0.086/tech_proj!AV344/(1-tech_proj!AV624))</f>
        <v>136.24005888565645</v>
      </c>
      <c r="AW2244" s="125">
        <f>IF(tech_base!$T220&gt;AW$2025,"",fuel_costs!AO$16*0.086/tech_proj!AW344/(1-tech_proj!AW624))</f>
        <v>136.43854057604705</v>
      </c>
      <c r="AX2244" s="126">
        <f>IF(tech_base!$T220&gt;AX$2025,"",fuel_costs!AP$16*0.086/tech_proj!AX344/(1-tech_proj!AX624))</f>
        <v>136.48681456211236</v>
      </c>
    </row>
    <row r="2245" spans="1:50" x14ac:dyDescent="0.25">
      <c r="A2245" s="356"/>
      <c r="B2245" s="376"/>
      <c r="C2245" s="361" t="s">
        <v>16</v>
      </c>
      <c r="D2245" s="2" t="s">
        <v>7</v>
      </c>
      <c r="E2245" s="76" t="str">
        <f>A2227&amp;"/"&amp;B2235&amp;"/"&amp;C2245&amp;"/"&amp;D2245</f>
        <v>Biomass and waste fired power plants/Fluidized bed combustion/CHP with CCS/L</v>
      </c>
      <c r="F2245" s="76" t="str">
        <f>A2227</f>
        <v>Biomass and waste fired power plants</v>
      </c>
      <c r="G2245" s="76" t="str">
        <f>B2235</f>
        <v>Fluidized bed combustion</v>
      </c>
      <c r="H2245" s="76" t="str">
        <f>C2245</f>
        <v>CHP with CCS</v>
      </c>
      <c r="I2245" s="76" t="str">
        <f t="shared" si="390"/>
        <v>L</v>
      </c>
      <c r="J2245" s="119" t="str">
        <f>IF(tech_base!$T221&gt;J$2025,"",fuel_costs!B$16*0.086/tech_proj!J345/(1-tech_proj!J625))</f>
        <v/>
      </c>
      <c r="K2245" s="119" t="str">
        <f>IF(tech_base!$T221&gt;K$2025,"",fuel_costs!C$16*0.086/tech_proj!K345/(1-tech_proj!K625))</f>
        <v/>
      </c>
      <c r="L2245" s="119" t="str">
        <f>IF(tech_base!$T221&gt;L$2025,"",fuel_costs!D$16*0.086/tech_proj!L345/(1-tech_proj!L625))</f>
        <v/>
      </c>
      <c r="M2245" s="119" t="str">
        <f>IF(tech_base!$T221&gt;M$2025,"",fuel_costs!E$16*0.086/tech_proj!M345/(1-tech_proj!M625))</f>
        <v/>
      </c>
      <c r="N2245" s="119" t="str">
        <f>IF(tech_base!$T221&gt;N$2025,"",fuel_costs!F$16*0.086/tech_proj!N345/(1-tech_proj!N625))</f>
        <v/>
      </c>
      <c r="O2245" s="119" t="str">
        <f>IF(tech_base!$T221&gt;O$2025,"",fuel_costs!G$16*0.086/tech_proj!O345/(1-tech_proj!O625))</f>
        <v/>
      </c>
      <c r="P2245" s="119" t="str">
        <f>IF(tech_base!$T221&gt;P$2025,"",fuel_costs!H$16*0.086/tech_proj!P345/(1-tech_proj!P625))</f>
        <v/>
      </c>
      <c r="Q2245" s="119" t="str">
        <f>IF(tech_base!$T221&gt;Q$2025,"",fuel_costs!I$16*0.086/tech_proj!Q345/(1-tech_proj!Q625))</f>
        <v/>
      </c>
      <c r="R2245" s="119" t="str">
        <f>IF(tech_base!$T221&gt;R$2025,"",fuel_costs!J$16*0.086/tech_proj!R345/(1-tech_proj!R625))</f>
        <v/>
      </c>
      <c r="S2245" s="119" t="str">
        <f>IF(tech_base!$T221&gt;S$2025,"",fuel_costs!K$16*0.086/tech_proj!S345/(1-tech_proj!S625))</f>
        <v/>
      </c>
      <c r="T2245" s="119" t="str">
        <f>IF(tech_base!$T221&gt;T$2025,"",fuel_costs!L$16*0.086/tech_proj!T345/(1-tech_proj!T625))</f>
        <v/>
      </c>
      <c r="U2245" s="119" t="str">
        <f>IF(tech_base!$T221&gt;U$2025,"",fuel_costs!M$16*0.086/tech_proj!U345/(1-tech_proj!U625))</f>
        <v/>
      </c>
      <c r="V2245" s="119" t="str">
        <f>IF(tech_base!$T221&gt;V$2025,"",fuel_costs!N$16*0.086/tech_proj!V345/(1-tech_proj!V625))</f>
        <v/>
      </c>
      <c r="W2245" s="119" t="str">
        <f>IF(tech_base!$T221&gt;W$2025,"",fuel_costs!O$16*0.086/tech_proj!W345/(1-tech_proj!W625))</f>
        <v/>
      </c>
      <c r="X2245" s="119" t="str">
        <f>IF(tech_base!$T221&gt;X$2025,"",fuel_costs!P$16*0.086/tech_proj!X345/(1-tech_proj!X625))</f>
        <v/>
      </c>
      <c r="Y2245" s="119" t="str">
        <f>IF(tech_base!$T221&gt;Y$2025,"",fuel_costs!Q$16*0.086/tech_proj!Y345/(1-tech_proj!Y625))</f>
        <v/>
      </c>
      <c r="Z2245" s="119" t="str">
        <f>IF(tech_base!$T221&gt;Z$2025,"",fuel_costs!R$16*0.086/tech_proj!Z345/(1-tech_proj!Z625))</f>
        <v/>
      </c>
      <c r="AA2245" s="119" t="str">
        <f>IF(tech_base!$T221&gt;AA$2025,"",fuel_costs!S$16*0.086/tech_proj!AA345/(1-tech_proj!AA625))</f>
        <v/>
      </c>
      <c r="AB2245" s="119" t="str">
        <f>IF(tech_base!$T221&gt;AB$2025,"",fuel_costs!T$16*0.086/tech_proj!AB345/(1-tech_proj!AB625))</f>
        <v/>
      </c>
      <c r="AC2245" s="119" t="str">
        <f>IF(tech_base!$T221&gt;AC$2025,"",fuel_costs!U$16*0.086/tech_proj!AC345/(1-tech_proj!AC625))</f>
        <v/>
      </c>
      <c r="AD2245" s="119" t="str">
        <f>IF(tech_base!$T221&gt;AD$2025,"",fuel_costs!V$16*0.086/tech_proj!AD345/(1-tech_proj!AD625))</f>
        <v/>
      </c>
      <c r="AE2245" s="119">
        <f>IF(tech_base!$T221&gt;AE$2025,"",fuel_costs!W$16*0.086/tech_proj!AE345/(1-tech_proj!AE625))</f>
        <v>135.34741643573906</v>
      </c>
      <c r="AF2245" s="119">
        <f>IF(tech_base!$T221&gt;AF$2025,"",fuel_costs!X$16*0.086/tech_proj!AF345/(1-tech_proj!AF625))</f>
        <v>136.494864590307</v>
      </c>
      <c r="AG2245" s="119">
        <f>IF(tech_base!$T221&gt;AG$2025,"",fuel_costs!Y$16*0.086/tech_proj!AG345/(1-tech_proj!AG625))</f>
        <v>137.49399551267925</v>
      </c>
      <c r="AH2245" s="119">
        <f>IF(tech_base!$T221&gt;AH$2025,"",fuel_costs!Z$16*0.086/tech_proj!AH345/(1-tech_proj!AH625))</f>
        <v>138.3926834275843</v>
      </c>
      <c r="AI2245" s="119">
        <f>IF(tech_base!$T221&gt;AI$2025,"",fuel_costs!AA$16*0.086/tech_proj!AI345/(1-tech_proj!AI625))</f>
        <v>139.34949906971647</v>
      </c>
      <c r="AJ2245" s="119">
        <f>IF(tech_base!$T221&gt;AJ$2025,"",fuel_costs!AB$16*0.086/tech_proj!AJ345/(1-tech_proj!AJ625))</f>
        <v>140.32424575909619</v>
      </c>
      <c r="AK2245" s="119">
        <f>IF(tech_base!$T221&gt;AK$2025,"",fuel_costs!AC$16*0.086/tech_proj!AK345/(1-tech_proj!AK625))</f>
        <v>141.21174497360471</v>
      </c>
      <c r="AL2245" s="119">
        <f>IF(tech_base!$T221&gt;AL$2025,"",fuel_costs!AD$16*0.086/tech_proj!AL345/(1-tech_proj!AL625))</f>
        <v>141.98836123454817</v>
      </c>
      <c r="AM2245" s="119">
        <f>IF(tech_base!$T221&gt;AM$2025,"",fuel_costs!AE$16*0.086/tech_proj!AM345/(1-tech_proj!AM625))</f>
        <v>142.49882281037858</v>
      </c>
      <c r="AN2245" s="119">
        <f>IF(tech_base!$T221&gt;AN$2025,"",fuel_costs!AF$16*0.086/tech_proj!AN345/(1-tech_proj!AN625))</f>
        <v>142.91690332587407</v>
      </c>
      <c r="AO2245" s="119">
        <f>IF(tech_base!$T221&gt;AO$2025,"",fuel_costs!AG$16*0.086/tech_proj!AO345/(1-tech_proj!AO625))</f>
        <v>143.33754921978451</v>
      </c>
      <c r="AP2245" s="119">
        <f>IF(tech_base!$T221&gt;AP$2025,"",fuel_costs!AH$16*0.086/tech_proj!AP345/(1-tech_proj!AP625))</f>
        <v>143.78302514420633</v>
      </c>
      <c r="AQ2245" s="119">
        <f>IF(tech_base!$T221&gt;AQ$2025,"",fuel_costs!AI$16*0.086/tech_proj!AQ345/(1-tech_proj!AQ625))</f>
        <v>144.22923778071703</v>
      </c>
      <c r="AR2245" s="119">
        <f>IF(tech_base!$T221&gt;AR$2025,"",fuel_costs!AJ$16*0.086/tech_proj!AR345/(1-tech_proj!AR625))</f>
        <v>144.4732778591837</v>
      </c>
      <c r="AS2245" s="119">
        <f>IF(tech_base!$T221&gt;AS$2025,"",fuel_costs!AK$16*0.086/tech_proj!AS345/(1-tech_proj!AS625))</f>
        <v>144.81092882207574</v>
      </c>
      <c r="AT2245" s="119">
        <f>IF(tech_base!$T221&gt;AT$2025,"",fuel_costs!AL$16*0.086/tech_proj!AT345/(1-tech_proj!AT625))</f>
        <v>145.00528072724131</v>
      </c>
      <c r="AU2245" s="119">
        <f>IF(tech_base!$T221&gt;AU$2025,"",fuel_costs!AM$16*0.086/tech_proj!AU345/(1-tech_proj!AU625))</f>
        <v>145.44480207681693</v>
      </c>
      <c r="AV2245" s="119">
        <f>IF(tech_base!$T221&gt;AV$2025,"",fuel_costs!AN$16*0.086/tech_proj!AV345/(1-tech_proj!AV625))</f>
        <v>145.86589316223103</v>
      </c>
      <c r="AW2245" s="119">
        <f>IF(tech_base!$T221&gt;AW$2025,"",fuel_costs!AO$16*0.086/tech_proj!AW345/(1-tech_proj!AW625))</f>
        <v>146.22908123257659</v>
      </c>
      <c r="AX2245" s="120">
        <f>IF(tech_base!$T221&gt;AX$2025,"",fuel_costs!AP$16*0.086/tech_proj!AX345/(1-tech_proj!AX625))</f>
        <v>146.46190344949704</v>
      </c>
    </row>
    <row r="2246" spans="1:50" x14ac:dyDescent="0.25">
      <c r="A2246" s="356"/>
      <c r="B2246" s="380"/>
      <c r="C2246" s="381"/>
      <c r="D2246" s="4" t="s">
        <v>8</v>
      </c>
      <c r="E2246" s="80" t="str">
        <f>A2227&amp;"/"&amp;B2235&amp;"/"&amp;C2245&amp;"/"&amp;D2246</f>
        <v>Biomass and waste fired power plants/Fluidized bed combustion/CHP with CCS/M</v>
      </c>
      <c r="F2246" s="80" t="str">
        <f>A2227</f>
        <v>Biomass and waste fired power plants</v>
      </c>
      <c r="G2246" s="80" t="str">
        <f>B2235</f>
        <v>Fluidized bed combustion</v>
      </c>
      <c r="H2246" s="80" t="str">
        <f>C2245</f>
        <v>CHP with CCS</v>
      </c>
      <c r="I2246" s="80" t="str">
        <f t="shared" si="390"/>
        <v>M</v>
      </c>
      <c r="J2246" s="127" t="str">
        <f>IF(tech_base!$T222&gt;J$2025,"",fuel_costs!B$16*0.086/tech_proj!J346/(1-tech_proj!J626))</f>
        <v/>
      </c>
      <c r="K2246" s="127" t="str">
        <f>IF(tech_base!$T222&gt;K$2025,"",fuel_costs!C$16*0.086/tech_proj!K346/(1-tech_proj!K626))</f>
        <v/>
      </c>
      <c r="L2246" s="127" t="str">
        <f>IF(tech_base!$T222&gt;L$2025,"",fuel_costs!D$16*0.086/tech_proj!L346/(1-tech_proj!L626))</f>
        <v/>
      </c>
      <c r="M2246" s="127" t="str">
        <f>IF(tech_base!$T222&gt;M$2025,"",fuel_costs!E$16*0.086/tech_proj!M346/(1-tech_proj!M626))</f>
        <v/>
      </c>
      <c r="N2246" s="127" t="str">
        <f>IF(tech_base!$T222&gt;N$2025,"",fuel_costs!F$16*0.086/tech_proj!N346/(1-tech_proj!N626))</f>
        <v/>
      </c>
      <c r="O2246" s="127" t="str">
        <f>IF(tech_base!$T222&gt;O$2025,"",fuel_costs!G$16*0.086/tech_proj!O346/(1-tech_proj!O626))</f>
        <v/>
      </c>
      <c r="P2246" s="127" t="str">
        <f>IF(tech_base!$T222&gt;P$2025,"",fuel_costs!H$16*0.086/tech_proj!P346/(1-tech_proj!P626))</f>
        <v/>
      </c>
      <c r="Q2246" s="127" t="str">
        <f>IF(tech_base!$T222&gt;Q$2025,"",fuel_costs!I$16*0.086/tech_proj!Q346/(1-tech_proj!Q626))</f>
        <v/>
      </c>
      <c r="R2246" s="127" t="str">
        <f>IF(tech_base!$T222&gt;R$2025,"",fuel_costs!J$16*0.086/tech_proj!R346/(1-tech_proj!R626))</f>
        <v/>
      </c>
      <c r="S2246" s="127" t="str">
        <f>IF(tech_base!$T222&gt;S$2025,"",fuel_costs!K$16*0.086/tech_proj!S346/(1-tech_proj!S626))</f>
        <v/>
      </c>
      <c r="T2246" s="127" t="str">
        <f>IF(tech_base!$T222&gt;T$2025,"",fuel_costs!L$16*0.086/tech_proj!T346/(1-tech_proj!T626))</f>
        <v/>
      </c>
      <c r="U2246" s="127" t="str">
        <f>IF(tech_base!$T222&gt;U$2025,"",fuel_costs!M$16*0.086/tech_proj!U346/(1-tech_proj!U626))</f>
        <v/>
      </c>
      <c r="V2246" s="127" t="str">
        <f>IF(tech_base!$T222&gt;V$2025,"",fuel_costs!N$16*0.086/tech_proj!V346/(1-tech_proj!V626))</f>
        <v/>
      </c>
      <c r="W2246" s="127" t="str">
        <f>IF(tech_base!$T222&gt;W$2025,"",fuel_costs!O$16*0.086/tech_proj!W346/(1-tech_proj!W626))</f>
        <v/>
      </c>
      <c r="X2246" s="127" t="str">
        <f>IF(tech_base!$T222&gt;X$2025,"",fuel_costs!P$16*0.086/tech_proj!X346/(1-tech_proj!X626))</f>
        <v/>
      </c>
      <c r="Y2246" s="127" t="str">
        <f>IF(tech_base!$T222&gt;Y$2025,"",fuel_costs!Q$16*0.086/tech_proj!Y346/(1-tech_proj!Y626))</f>
        <v/>
      </c>
      <c r="Z2246" s="127" t="str">
        <f>IF(tech_base!$T222&gt;Z$2025,"",fuel_costs!R$16*0.086/tech_proj!Z346/(1-tech_proj!Z626))</f>
        <v/>
      </c>
      <c r="AA2246" s="127" t="str">
        <f>IF(tech_base!$T222&gt;AA$2025,"",fuel_costs!S$16*0.086/tech_proj!AA346/(1-tech_proj!AA626))</f>
        <v/>
      </c>
      <c r="AB2246" s="127" t="str">
        <f>IF(tech_base!$T222&gt;AB$2025,"",fuel_costs!T$16*0.086/tech_proj!AB346/(1-tech_proj!AB626))</f>
        <v/>
      </c>
      <c r="AC2246" s="127" t="str">
        <f>IF(tech_base!$T222&gt;AC$2025,"",fuel_costs!U$16*0.086/tech_proj!AC346/(1-tech_proj!AC626))</f>
        <v/>
      </c>
      <c r="AD2246" s="127" t="str">
        <f>IF(tech_base!$T222&gt;AD$2025,"",fuel_costs!V$16*0.086/tech_proj!AD346/(1-tech_proj!AD626))</f>
        <v/>
      </c>
      <c r="AE2246" s="127">
        <f>IF(tech_base!$T222&gt;AE$2025,"",fuel_costs!W$16*0.086/tech_proj!AE346/(1-tech_proj!AE626))</f>
        <v>144.9364435412644</v>
      </c>
      <c r="AF2246" s="127">
        <f>IF(tech_base!$T222&gt;AF$2025,"",fuel_costs!X$16*0.086/tech_proj!AF346/(1-tech_proj!AF626))</f>
        <v>146.16415172201079</v>
      </c>
      <c r="AG2246" s="127">
        <f>IF(tech_base!$T222&gt;AG$2025,"",fuel_costs!Y$16*0.086/tech_proj!AG346/(1-tech_proj!AG626))</f>
        <v>147.23272535167254</v>
      </c>
      <c r="AH2246" s="127">
        <f>IF(tech_base!$T222&gt;AH$2025,"",fuel_costs!Z$16*0.086/tech_proj!AH346/(1-tech_proj!AH626))</f>
        <v>148.19334378373492</v>
      </c>
      <c r="AI2246" s="127">
        <f>IF(tech_base!$T222&gt;AI$2025,"",fuel_costs!AA$16*0.086/tech_proj!AI346/(1-tech_proj!AI626))</f>
        <v>149.21569445525779</v>
      </c>
      <c r="AJ2246" s="127">
        <f>IF(tech_base!$T222&gt;AJ$2025,"",fuel_costs!AB$16*0.086/tech_proj!AJ346/(1-tech_proj!AJ626))</f>
        <v>150.25658547204287</v>
      </c>
      <c r="AK2246" s="127">
        <f>IF(tech_base!$T222&gt;AK$2025,"",fuel_costs!AC$16*0.086/tech_proj!AK346/(1-tech_proj!AK626))</f>
        <v>151.20320654948114</v>
      </c>
      <c r="AL2246" s="127">
        <f>IF(tech_base!$T222&gt;AL$2025,"",fuel_costs!AD$16*0.086/tech_proj!AL346/(1-tech_proj!AL626))</f>
        <v>152.03001848780281</v>
      </c>
      <c r="AM2246" s="127">
        <f>IF(tech_base!$T222&gt;AM$2025,"",fuel_costs!AE$16*0.086/tech_proj!AM346/(1-tech_proj!AM626))</f>
        <v>152.57048523626065</v>
      </c>
      <c r="AN2246" s="127">
        <f>IF(tech_base!$T222&gt;AN$2025,"",fuel_costs!AF$16*0.086/tech_proj!AN346/(1-tech_proj!AN626))</f>
        <v>153.01031563828221</v>
      </c>
      <c r="AO2246" s="127">
        <f>IF(tech_base!$T222&gt;AO$2025,"",fuel_costs!AG$16*0.086/tech_proj!AO346/(1-tech_proj!AO626))</f>
        <v>153.45070719188925</v>
      </c>
      <c r="AP2246" s="127">
        <f>IF(tech_base!$T222&gt;AP$2025,"",fuel_costs!AH$16*0.086/tech_proj!AP346/(1-tech_proj!AP626))</f>
        <v>153.91491631795697</v>
      </c>
      <c r="AQ2246" s="127">
        <f>IF(tech_base!$T222&gt;AQ$2025,"",fuel_costs!AI$16*0.086/tech_proj!AQ346/(1-tech_proj!AQ626))</f>
        <v>154.37643606243756</v>
      </c>
      <c r="AR2246" s="127">
        <f>IF(tech_base!$T222&gt;AR$2025,"",fuel_costs!AJ$16*0.086/tech_proj!AR346/(1-tech_proj!AR626))</f>
        <v>154.61724448198692</v>
      </c>
      <c r="AS2246" s="127">
        <f>IF(tech_base!$T222&gt;AS$2025,"",fuel_costs!AK$16*0.086/tech_proj!AS346/(1-tech_proj!AS626))</f>
        <v>154.95291441268697</v>
      </c>
      <c r="AT2246" s="127">
        <f>IF(tech_base!$T222&gt;AT$2025,"",fuel_costs!AL$16*0.086/tech_proj!AT346/(1-tech_proj!AT626))</f>
        <v>155.12875503123587</v>
      </c>
      <c r="AU2246" s="127">
        <f>IF(tech_base!$T222&gt;AU$2025,"",fuel_costs!AM$16*0.086/tech_proj!AU346/(1-tech_proj!AU626))</f>
        <v>155.55902475185104</v>
      </c>
      <c r="AV2246" s="127">
        <f>IF(tech_base!$T222&gt;AV$2025,"",fuel_costs!AN$16*0.086/tech_proj!AV346/(1-tech_proj!AV626))</f>
        <v>155.96021631435886</v>
      </c>
      <c r="AW2246" s="127">
        <f>IF(tech_base!$T222&gt;AW$2025,"",fuel_costs!AO$16*0.086/tech_proj!AW346/(1-tech_proj!AW626))</f>
        <v>156.28869243247297</v>
      </c>
      <c r="AX2246" s="128">
        <f>IF(tech_base!$T222&gt;AX$2025,"",fuel_costs!AP$16*0.086/tech_proj!AX346/(1-tech_proj!AX626))</f>
        <v>156.46580512392444</v>
      </c>
    </row>
    <row r="2247" spans="1:50" x14ac:dyDescent="0.25">
      <c r="A2247" s="356"/>
      <c r="B2247" s="358" t="s">
        <v>19</v>
      </c>
      <c r="C2247" s="353" t="s">
        <v>6</v>
      </c>
      <c r="D2247" s="3" t="s">
        <v>7</v>
      </c>
      <c r="E2247" s="77" t="str">
        <f>A2227&amp;"/"&amp;B2247&amp;"/"&amp;C2247&amp;"/"&amp;D2247</f>
        <v>Biomass and waste fired power plants/Steam turbine/Electricity only/L</v>
      </c>
      <c r="F2247" s="77" t="str">
        <f>A2227</f>
        <v>Biomass and waste fired power plants</v>
      </c>
      <c r="G2247" s="77" t="str">
        <f>B2247</f>
        <v>Steam turbine</v>
      </c>
      <c r="H2247" s="77" t="str">
        <f>C2247</f>
        <v>Electricity only</v>
      </c>
      <c r="I2247" s="77" t="str">
        <f t="shared" si="390"/>
        <v>L</v>
      </c>
      <c r="J2247" s="121">
        <f>IF(tech_base!$T223&gt;J$2025,"",fuel_costs!B$16*0.086/tech_proj!J347/(1-tech_proj!J627))</f>
        <v>66.385361031189589</v>
      </c>
      <c r="K2247" s="121">
        <f>IF(tech_base!$T223&gt;K$2025,"",fuel_costs!C$16*0.086/tech_proj!K347/(1-tech_proj!K627))</f>
        <v>68.218904517960624</v>
      </c>
      <c r="L2247" s="121">
        <f>IF(tech_base!$T223&gt;L$2025,"",fuel_costs!D$16*0.086/tech_proj!L347/(1-tech_proj!L627))</f>
        <v>70.052645653801605</v>
      </c>
      <c r="M2247" s="121">
        <f>IF(tech_base!$T223&gt;M$2025,"",fuel_costs!E$16*0.086/tech_proj!M347/(1-tech_proj!M627))</f>
        <v>71.886590136536171</v>
      </c>
      <c r="N2247" s="121">
        <f>IF(tech_base!$T223&gt;N$2025,"",fuel_costs!F$16*0.086/tech_proj!N347/(1-tech_proj!N627))</f>
        <v>73.720744146420159</v>
      </c>
      <c r="O2247" s="121">
        <f>IF(tech_base!$T223&gt;O$2025,"",fuel_costs!G$16*0.086/tech_proj!O347/(1-tech_proj!O627))</f>
        <v>75.555114329489129</v>
      </c>
      <c r="P2247" s="121">
        <f>IF(tech_base!$T223&gt;P$2025,"",fuel_costs!H$16*0.086/tech_proj!P347/(1-tech_proj!P627))</f>
        <v>76.068375273477756</v>
      </c>
      <c r="Q2247" s="121">
        <f>IF(tech_base!$T223&gt;Q$2025,"",fuel_costs!I$16*0.086/tech_proj!Q347/(1-tech_proj!Q627))</f>
        <v>76.292721146121224</v>
      </c>
      <c r="R2247" s="121">
        <f>IF(tech_base!$T223&gt;R$2025,"",fuel_costs!J$16*0.086/tech_proj!R347/(1-tech_proj!R627))</f>
        <v>76.552798241083053</v>
      </c>
      <c r="S2247" s="121">
        <f>IF(tech_base!$T223&gt;S$2025,"",fuel_costs!K$16*0.086/tech_proj!S347/(1-tech_proj!S627))</f>
        <v>76.987209490224501</v>
      </c>
      <c r="T2247" s="121">
        <f>IF(tech_base!$T223&gt;T$2025,"",fuel_costs!L$16*0.086/tech_proj!T347/(1-tech_proj!T627))</f>
        <v>77.694326877818199</v>
      </c>
      <c r="U2247" s="121">
        <f>IF(tech_base!$T223&gt;U$2025,"",fuel_costs!M$16*0.086/tech_proj!U347/(1-tech_proj!U627))</f>
        <v>78.429531896609305</v>
      </c>
      <c r="V2247" s="121">
        <f>IF(tech_base!$T223&gt;V$2025,"",fuel_costs!N$16*0.086/tech_proj!V347/(1-tech_proj!V627))</f>
        <v>79.229937475430262</v>
      </c>
      <c r="W2247" s="121">
        <f>IF(tech_base!$T223&gt;W$2025,"",fuel_costs!O$16*0.086/tech_proj!W347/(1-tech_proj!W627))</f>
        <v>80.065016803160304</v>
      </c>
      <c r="X2247" s="121">
        <f>IF(tech_base!$T223&gt;X$2025,"",fuel_costs!P$16*0.086/tech_proj!X347/(1-tech_proj!X627))</f>
        <v>80.880814446968344</v>
      </c>
      <c r="Y2247" s="121">
        <f>IF(tech_base!$T223&gt;Y$2025,"",fuel_costs!Q$16*0.086/tech_proj!Y347/(1-tech_proj!Y627))</f>
        <v>81.722902689303325</v>
      </c>
      <c r="Z2247" s="121">
        <f>IF(tech_base!$T223&gt;Z$2025,"",fuel_costs!R$16*0.086/tech_proj!Z347/(1-tech_proj!Z627))</f>
        <v>82.559237230332329</v>
      </c>
      <c r="AA2247" s="121">
        <f>IF(tech_base!$T223&gt;AA$2025,"",fuel_costs!S$16*0.086/tech_proj!AA347/(1-tech_proj!AA627))</f>
        <v>83.474202973750593</v>
      </c>
      <c r="AB2247" s="121">
        <f>IF(tech_base!$T223&gt;AB$2025,"",fuel_costs!T$16*0.086/tech_proj!AB347/(1-tech_proj!AB627))</f>
        <v>84.668637441652137</v>
      </c>
      <c r="AC2247" s="121">
        <f>IF(tech_base!$T223&gt;AC$2025,"",fuel_costs!U$16*0.086/tech_proj!AC347/(1-tech_proj!AC627))</f>
        <v>86.456206157905513</v>
      </c>
      <c r="AD2247" s="121">
        <f>IF(tech_base!$T223&gt;AD$2025,"",fuel_costs!V$16*0.086/tech_proj!AD347/(1-tech_proj!AD627))</f>
        <v>88.212820969448629</v>
      </c>
      <c r="AE2247" s="121">
        <f>IF(tech_base!$T223&gt;AE$2025,"",fuel_costs!W$16*0.086/tech_proj!AE347/(1-tech_proj!AE627))</f>
        <v>89.433166604920132</v>
      </c>
      <c r="AF2247" s="121">
        <f>IF(tech_base!$T223&gt;AF$2025,"",fuel_costs!X$16*0.086/tech_proj!AF347/(1-tech_proj!AF627))</f>
        <v>90.185098603210463</v>
      </c>
      <c r="AG2247" s="121">
        <f>IF(tech_base!$T223&gt;AG$2025,"",fuel_costs!Y$16*0.086/tech_proj!AG347/(1-tech_proj!AG627))</f>
        <v>90.840508609631968</v>
      </c>
      <c r="AH2247" s="121">
        <f>IF(tech_base!$T223&gt;AH$2025,"",fuel_costs!Z$16*0.086/tech_proj!AH347/(1-tech_proj!AH627))</f>
        <v>91.431486792453271</v>
      </c>
      <c r="AI2247" s="121">
        <f>IF(tech_base!$T223&gt;AI$2025,"",fuel_costs!AA$16*0.086/tech_proj!AI347/(1-tech_proj!AI627))</f>
        <v>92.063367197907922</v>
      </c>
      <c r="AJ2247" s="121">
        <f>IF(tech_base!$T223&gt;AJ$2025,"",fuel_costs!AB$16*0.086/tech_proj!AJ347/(1-tech_proj!AJ627))</f>
        <v>92.710319615088224</v>
      </c>
      <c r="AK2247" s="121">
        <f>IF(tech_base!$T223&gt;AK$2025,"",fuel_costs!AC$16*0.086/tech_proj!AK347/(1-tech_proj!AK627))</f>
        <v>93.303779235089152</v>
      </c>
      <c r="AL2247" s="121">
        <f>IF(tech_base!$T223&gt;AL$2025,"",fuel_costs!AD$16*0.086/tech_proj!AL347/(1-tech_proj!AL627))</f>
        <v>93.829286821285635</v>
      </c>
      <c r="AM2247" s="121">
        <f>IF(tech_base!$T223&gt;AM$2025,"",fuel_costs!AE$16*0.086/tech_proj!AM347/(1-tech_proj!AM627))</f>
        <v>94.185656794858986</v>
      </c>
      <c r="AN2247" s="121">
        <f>IF(tech_base!$T223&gt;AN$2025,"",fuel_costs!AF$16*0.086/tech_proj!AN347/(1-tech_proj!AN627))</f>
        <v>94.489481044120339</v>
      </c>
      <c r="AO2247" s="121">
        <f>IF(tech_base!$T223&gt;AO$2025,"",fuel_costs!AG$16*0.086/tech_proj!AO347/(1-tech_proj!AO627))</f>
        <v>94.805747587494324</v>
      </c>
      <c r="AP2247" s="121">
        <f>IF(tech_base!$T223&gt;AP$2025,"",fuel_costs!AH$16*0.086/tech_proj!AP347/(1-tech_proj!AP627))</f>
        <v>95.151969298881795</v>
      </c>
      <c r="AQ2247" s="121">
        <f>IF(tech_base!$T223&gt;AQ$2025,"",fuel_costs!AI$16*0.086/tech_proj!AQ347/(1-tech_proj!AQ627))</f>
        <v>95.515621346465011</v>
      </c>
      <c r="AR2247" s="121">
        <f>IF(tech_base!$T223&gt;AR$2025,"",fuel_costs!AJ$16*0.086/tech_proj!AR347/(1-tech_proj!AR627))</f>
        <v>95.766303494109493</v>
      </c>
      <c r="AS2247" s="121">
        <f>IF(tech_base!$T223&gt;AS$2025,"",fuel_costs!AK$16*0.086/tech_proj!AS347/(1-tech_proj!AS627))</f>
        <v>96.104673288768893</v>
      </c>
      <c r="AT2247" s="121">
        <f>IF(tech_base!$T223&gt;AT$2025,"",fuel_costs!AL$16*0.086/tech_proj!AT347/(1-tech_proj!AT627))</f>
        <v>96.378974489249643</v>
      </c>
      <c r="AU2247" s="121">
        <f>IF(tech_base!$T223&gt;AU$2025,"",fuel_costs!AM$16*0.086/tech_proj!AU347/(1-tech_proj!AU627))</f>
        <v>96.85340050454684</v>
      </c>
      <c r="AV2247" s="121">
        <f>IF(tech_base!$T223&gt;AV$2025,"",fuel_costs!AN$16*0.086/tech_proj!AV347/(1-tech_proj!AV627))</f>
        <v>97.359328406123026</v>
      </c>
      <c r="AW2247" s="121">
        <f>IF(tech_base!$T223&gt;AW$2025,"",fuel_costs!AO$16*0.086/tech_proj!AW347/(1-tech_proj!AW627))</f>
        <v>97.876367128048756</v>
      </c>
      <c r="AX2247" s="122">
        <f>IF(tech_base!$T223&gt;AX$2025,"",fuel_costs!AP$16*0.086/tech_proj!AX347/(1-tech_proj!AX627))</f>
        <v>98.36051762318337</v>
      </c>
    </row>
    <row r="2248" spans="1:50" x14ac:dyDescent="0.25">
      <c r="A2248" s="356"/>
      <c r="B2248" s="376"/>
      <c r="C2248" s="378"/>
      <c r="D2248" s="2" t="s">
        <v>8</v>
      </c>
      <c r="E2248" s="76" t="str">
        <f>A2227&amp;"/"&amp;B2247&amp;"/"&amp;C2247&amp;"/"&amp;D2248</f>
        <v>Biomass and waste fired power plants/Steam turbine/Electricity only/M</v>
      </c>
      <c r="F2248" s="76" t="str">
        <f>A2227</f>
        <v>Biomass and waste fired power plants</v>
      </c>
      <c r="G2248" s="76" t="str">
        <f>B2247</f>
        <v>Steam turbine</v>
      </c>
      <c r="H2248" s="76" t="str">
        <f>C2247</f>
        <v>Electricity only</v>
      </c>
      <c r="I2248" s="76" t="str">
        <f t="shared" si="390"/>
        <v>M</v>
      </c>
      <c r="J2248" s="119">
        <f>IF(tech_base!$T224&gt;J$2025,"",fuel_costs!B$16*0.086/tech_proj!J348/(1-tech_proj!J628))</f>
        <v>69.967949322133435</v>
      </c>
      <c r="K2248" s="119">
        <f>IF(tech_base!$T224&gt;K$2025,"",fuel_costs!C$16*0.086/tech_proj!K348/(1-tech_proj!K628))</f>
        <v>71.902996443546073</v>
      </c>
      <c r="L2248" s="119">
        <f>IF(tech_base!$T224&gt;L$2025,"",fuel_costs!D$16*0.086/tech_proj!L348/(1-tech_proj!L628))</f>
        <v>73.838384270576995</v>
      </c>
      <c r="M2248" s="119">
        <f>IF(tech_base!$T224&gt;M$2025,"",fuel_costs!E$16*0.086/tech_proj!M348/(1-tech_proj!M628))</f>
        <v>75.774117080546375</v>
      </c>
      <c r="N2248" s="119">
        <f>IF(tech_base!$T224&gt;N$2025,"",fuel_costs!F$16*0.086/tech_proj!N348/(1-tech_proj!N628))</f>
        <v>77.7101995400661</v>
      </c>
      <c r="O2248" s="119">
        <f>IF(tech_base!$T224&gt;O$2025,"",fuel_costs!G$16*0.086/tech_proj!O348/(1-tech_proj!O628))</f>
        <v>79.646636692551596</v>
      </c>
      <c r="P2248" s="119">
        <f>IF(tech_base!$T224&gt;P$2025,"",fuel_costs!H$16*0.086/tech_proj!P348/(1-tech_proj!P628))</f>
        <v>80.190498807312395</v>
      </c>
      <c r="Q2248" s="119">
        <f>IF(tech_base!$T224&gt;Q$2025,"",fuel_costs!I$16*0.086/tech_proj!Q348/(1-tech_proj!Q628))</f>
        <v>80.429804485988569</v>
      </c>
      <c r="R2248" s="119">
        <f>IF(tech_base!$T224&gt;R$2025,"",fuel_costs!J$16*0.086/tech_proj!R348/(1-tech_proj!R628))</f>
        <v>80.706783033698144</v>
      </c>
      <c r="S2248" s="119">
        <f>IF(tech_base!$T224&gt;S$2025,"",fuel_costs!K$16*0.086/tech_proj!S348/(1-tech_proj!S628))</f>
        <v>81.167565910014645</v>
      </c>
      <c r="T2248" s="119">
        <f>IF(tech_base!$T224&gt;T$2025,"",fuel_costs!L$16*0.086/tech_proj!T348/(1-tech_proj!T628))</f>
        <v>81.915887671342375</v>
      </c>
      <c r="U2248" s="119">
        <f>IF(tech_base!$T224&gt;U$2025,"",fuel_costs!M$16*0.086/tech_proj!U348/(1-tech_proj!U628))</f>
        <v>82.693857413390901</v>
      </c>
      <c r="V2248" s="119">
        <f>IF(tech_base!$T224&gt;V$2025,"",fuel_costs!N$16*0.086/tech_proj!V348/(1-tech_proj!V628))</f>
        <v>83.540608564132668</v>
      </c>
      <c r="W2248" s="119">
        <f>IF(tech_base!$T224&gt;W$2025,"",fuel_costs!O$16*0.086/tech_proj!W348/(1-tech_proj!W628))</f>
        <v>84.423957544829733</v>
      </c>
      <c r="X2248" s="119">
        <f>IF(tech_base!$T224&gt;X$2025,"",fuel_costs!P$16*0.086/tech_proj!X348/(1-tech_proj!X628))</f>
        <v>85.287011419571186</v>
      </c>
      <c r="Y2248" s="119">
        <f>IF(tech_base!$T224&gt;Y$2025,"",fuel_costs!Q$16*0.086/tech_proj!Y348/(1-tech_proj!Y628))</f>
        <v>86.177822889623101</v>
      </c>
      <c r="Z2248" s="119">
        <f>IF(tech_base!$T224&gt;Z$2025,"",fuel_costs!R$16*0.086/tech_proj!Z348/(1-tech_proj!Z628))</f>
        <v>87.062600651032426</v>
      </c>
      <c r="AA2248" s="119">
        <f>IF(tech_base!$T224&gt;AA$2025,"",fuel_costs!S$16*0.086/tech_proj!AA348/(1-tech_proj!AA628))</f>
        <v>88.030333026483831</v>
      </c>
      <c r="AB2248" s="119">
        <f>IF(tech_base!$T224&gt;AB$2025,"",fuel_costs!T$16*0.086/tech_proj!AB348/(1-tech_proj!AB628))</f>
        <v>89.292832504875634</v>
      </c>
      <c r="AC2248" s="119">
        <f>IF(tech_base!$T224&gt;AC$2025,"",fuel_costs!U$16*0.086/tech_proj!AC348/(1-tech_proj!AC628))</f>
        <v>91.180932311499916</v>
      </c>
      <c r="AD2248" s="119">
        <f>IF(tech_base!$T224&gt;AD$2025,"",fuel_costs!V$16*0.086/tech_proj!AD348/(1-tech_proj!AD628))</f>
        <v>93.036474854855939</v>
      </c>
      <c r="AE2248" s="119">
        <f>IF(tech_base!$T224&gt;AE$2025,"",fuel_costs!W$16*0.086/tech_proj!AE348/(1-tech_proj!AE628))</f>
        <v>94.326490746081689</v>
      </c>
      <c r="AF2248" s="119">
        <f>IF(tech_base!$T224&gt;AF$2025,"",fuel_costs!X$16*0.086/tech_proj!AF348/(1-tech_proj!AF628))</f>
        <v>95.122495364712989</v>
      </c>
      <c r="AG2248" s="119">
        <f>IF(tech_base!$T224&gt;AG$2025,"",fuel_costs!Y$16*0.086/tech_proj!AG348/(1-tech_proj!AG628))</f>
        <v>95.816705061209262</v>
      </c>
      <c r="AH2248" s="119">
        <f>IF(tech_base!$T224&gt;AH$2025,"",fuel_costs!Z$16*0.086/tech_proj!AH348/(1-tech_proj!AH628))</f>
        <v>96.442958078528491</v>
      </c>
      <c r="AI2248" s="119">
        <f>IF(tech_base!$T224&gt;AI$2025,"",fuel_costs!AA$16*0.086/tech_proj!AI348/(1-tech_proj!AI628))</f>
        <v>97.11235770077846</v>
      </c>
      <c r="AJ2248" s="119">
        <f>IF(tech_base!$T224&gt;AJ$2025,"",fuel_costs!AB$16*0.086/tech_proj!AJ348/(1-tech_proj!AJ628))</f>
        <v>97.797658739104278</v>
      </c>
      <c r="AK2248" s="119">
        <f>IF(tech_base!$T224&gt;AK$2025,"",fuel_costs!AC$16*0.086/tech_proj!AK348/(1-tech_proj!AK628))</f>
        <v>98.426531889547533</v>
      </c>
      <c r="AL2248" s="119">
        <f>IF(tech_base!$T224&gt;AL$2025,"",fuel_costs!AD$16*0.086/tech_proj!AL348/(1-tech_proj!AL628))</f>
        <v>98.983717405700517</v>
      </c>
      <c r="AM2248" s="119">
        <f>IF(tech_base!$T224&gt;AM$2025,"",fuel_costs!AE$16*0.086/tech_proj!AM348/(1-tech_proj!AM628))</f>
        <v>99.36246084450211</v>
      </c>
      <c r="AN2248" s="119">
        <f>IF(tech_base!$T224&gt;AN$2025,"",fuel_costs!AF$16*0.086/tech_proj!AN348/(1-tech_proj!AN628))</f>
        <v>99.685749855967174</v>
      </c>
      <c r="AO2248" s="119">
        <f>IF(tech_base!$T224&gt;AO$2025,"",fuel_costs!AG$16*0.086/tech_proj!AO348/(1-tech_proj!AO628))</f>
        <v>100.02214280412001</v>
      </c>
      <c r="AP2248" s="119">
        <f>IF(tech_base!$T224&gt;AP$2025,"",fuel_costs!AH$16*0.086/tech_proj!AP348/(1-tech_proj!AP628))</f>
        <v>100.39011695275633</v>
      </c>
      <c r="AQ2248" s="119">
        <f>IF(tech_base!$T224&gt;AQ$2025,"",fuel_costs!AI$16*0.086/tech_proj!AQ348/(1-tech_proj!AQ628))</f>
        <v>100.77645940774103</v>
      </c>
      <c r="AR2248" s="119">
        <f>IF(tech_base!$T224&gt;AR$2025,"",fuel_costs!AJ$16*0.086/tech_proj!AR348/(1-tech_proj!AR628))</f>
        <v>101.04358483739519</v>
      </c>
      <c r="AS2248" s="119">
        <f>IF(tech_base!$T224&gt;AS$2025,"",fuel_costs!AK$16*0.086/tech_proj!AS348/(1-tech_proj!AS628))</f>
        <v>101.40320374472324</v>
      </c>
      <c r="AT2248" s="119">
        <f>IF(tech_base!$T224&gt;AT$2025,"",fuel_costs!AL$16*0.086/tech_proj!AT348/(1-tech_proj!AT628))</f>
        <v>101.69519558644831</v>
      </c>
      <c r="AU2248" s="119">
        <f>IF(tech_base!$T224&gt;AU$2025,"",fuel_costs!AM$16*0.086/tech_proj!AU348/(1-tech_proj!AU628))</f>
        <v>102.19832787159073</v>
      </c>
      <c r="AV2248" s="119">
        <f>IF(tech_base!$T224&gt;AV$2025,"",fuel_costs!AN$16*0.086/tech_proj!AV348/(1-tech_proj!AV628))</f>
        <v>102.73468276033189</v>
      </c>
      <c r="AW2248" s="119">
        <f>IF(tech_base!$T224&gt;AW$2025,"",fuel_costs!AO$16*0.086/tech_proj!AW348/(1-tech_proj!AW628))</f>
        <v>103.28274456975447</v>
      </c>
      <c r="AX2248" s="120">
        <f>IF(tech_base!$T224&gt;AX$2025,"",fuel_costs!AP$16*0.086/tech_proj!AX348/(1-tech_proj!AX628))</f>
        <v>103.79608295002195</v>
      </c>
    </row>
    <row r="2249" spans="1:50" x14ac:dyDescent="0.25">
      <c r="A2249" s="356"/>
      <c r="B2249" s="376"/>
      <c r="C2249" s="378"/>
      <c r="D2249" s="2" t="s">
        <v>10</v>
      </c>
      <c r="E2249" s="76" t="str">
        <f>A2227&amp;"/"&amp;B2247&amp;"/"&amp;C2247&amp;"/"&amp;D2249</f>
        <v>Biomass and waste fired power plants/Steam turbine/Electricity only/S</v>
      </c>
      <c r="F2249" s="76" t="str">
        <f>A2227</f>
        <v>Biomass and waste fired power plants</v>
      </c>
      <c r="G2249" s="76" t="str">
        <f>B2247</f>
        <v>Steam turbine</v>
      </c>
      <c r="H2249" s="76" t="str">
        <f>C2247</f>
        <v>Electricity only</v>
      </c>
      <c r="I2249" s="76" t="str">
        <f t="shared" si="390"/>
        <v>S</v>
      </c>
      <c r="J2249" s="119">
        <f>IF(tech_base!$T225&gt;J$2025,"",fuel_costs!B$16*0.086/tech_proj!J349/(1-tech_proj!J629))</f>
        <v>73.758914528003118</v>
      </c>
      <c r="K2249" s="119">
        <f>IF(tech_base!$T225&gt;K$2025,"",fuel_costs!C$16*0.086/tech_proj!K349/(1-tech_proj!K629))</f>
        <v>75.800151707405803</v>
      </c>
      <c r="L2249" s="119">
        <f>IF(tech_base!$T225&gt;L$2025,"",fuel_costs!D$16*0.086/tech_proj!L349/(1-tech_proj!L629))</f>
        <v>77.841818662678918</v>
      </c>
      <c r="M2249" s="119">
        <f>IF(tech_base!$T225&gt;M$2025,"",fuel_costs!E$16*0.086/tech_proj!M349/(1-tech_proj!M629))</f>
        <v>79.88391905016644</v>
      </c>
      <c r="N2249" s="119">
        <f>IF(tech_base!$T225&gt;N$2025,"",fuel_costs!F$16*0.086/tech_proj!N349/(1-tech_proj!N629))</f>
        <v>81.92645687155175</v>
      </c>
      <c r="O2249" s="119">
        <f>IF(tech_base!$T225&gt;O$2025,"",fuel_costs!G$16*0.086/tech_proj!O349/(1-tech_proj!O629))</f>
        <v>83.969436463194185</v>
      </c>
      <c r="P2249" s="119">
        <f>IF(tech_base!$T225&gt;P$2025,"",fuel_costs!H$16*0.086/tech_proj!P349/(1-tech_proj!P629))</f>
        <v>84.544300392580794</v>
      </c>
      <c r="Q2249" s="119">
        <f>IF(tech_base!$T225&gt;Q$2025,"",fuel_costs!I$16*0.086/tech_proj!Q349/(1-tech_proj!Q629))</f>
        <v>84.798081242991842</v>
      </c>
      <c r="R2249" s="119">
        <f>IF(tech_base!$T225&gt;R$2025,"",fuel_costs!J$16*0.086/tech_proj!R349/(1-tech_proj!R629))</f>
        <v>85.091584041566961</v>
      </c>
      <c r="S2249" s="119">
        <f>IF(tech_base!$T225&gt;S$2025,"",fuel_costs!K$16*0.086/tech_proj!S349/(1-tech_proj!S629))</f>
        <v>85.578883548395183</v>
      </c>
      <c r="T2249" s="119">
        <f>IF(tech_base!$T225&gt;T$2025,"",fuel_costs!L$16*0.086/tech_proj!T349/(1-tech_proj!T629))</f>
        <v>86.369363255522813</v>
      </c>
      <c r="U2249" s="119">
        <f>IF(tech_base!$T225&gt;U$2025,"",fuel_costs!M$16*0.086/tech_proj!U349/(1-tech_proj!U629))</f>
        <v>87.19112175820699</v>
      </c>
      <c r="V2249" s="119">
        <f>IF(tech_base!$T225&gt;V$2025,"",fuel_costs!N$16*0.086/tech_proj!V349/(1-tech_proj!V629))</f>
        <v>88.085422131370251</v>
      </c>
      <c r="W2249" s="119">
        <f>IF(tech_base!$T225&gt;W$2025,"",fuel_costs!O$16*0.086/tech_proj!W349/(1-tech_proj!W629))</f>
        <v>89.01833211735584</v>
      </c>
      <c r="X2249" s="119">
        <f>IF(tech_base!$T225&gt;X$2025,"",fuel_costs!P$16*0.086/tech_proj!X349/(1-tech_proj!X629))</f>
        <v>89.929862640780101</v>
      </c>
      <c r="Y2249" s="119">
        <f>IF(tech_base!$T225&gt;Y$2025,"",fuel_costs!Q$16*0.086/tech_proj!Y349/(1-tech_proj!Y629))</f>
        <v>90.870681104702854</v>
      </c>
      <c r="Z2249" s="119">
        <f>IF(tech_base!$T225&gt;Z$2025,"",fuel_costs!R$16*0.086/tech_proj!Z349/(1-tech_proj!Z629))</f>
        <v>91.805155986620846</v>
      </c>
      <c r="AA2249" s="119">
        <f>IF(tech_base!$T225&gt;AA$2025,"",fuel_costs!S$16*0.086/tech_proj!AA349/(1-tech_proj!AA629))</f>
        <v>92.827123319018867</v>
      </c>
      <c r="AB2249" s="119">
        <f>IF(tech_base!$T225&gt;AB$2025,"",fuel_costs!T$16*0.086/tech_proj!AB349/(1-tech_proj!AB629))</f>
        <v>94.159944211708577</v>
      </c>
      <c r="AC2249" s="119">
        <f>IF(tech_base!$T225&gt;AC$2025,"",fuel_costs!U$16*0.086/tech_proj!AC349/(1-tech_proj!AC629))</f>
        <v>96.152504306638818</v>
      </c>
      <c r="AD2249" s="119">
        <f>IF(tech_base!$T225&gt;AD$2025,"",fuel_costs!V$16*0.086/tech_proj!AD349/(1-tech_proj!AD629))</f>
        <v>98.110779760832912</v>
      </c>
      <c r="AE2249" s="119">
        <f>IF(tech_base!$T225&gt;AE$2025,"",fuel_costs!W$16*0.086/tech_proj!AE349/(1-tech_proj!AE629))</f>
        <v>99.472720542616088</v>
      </c>
      <c r="AF2249" s="119">
        <f>IF(tech_base!$T225&gt;AF$2025,"",fuel_costs!X$16*0.086/tech_proj!AF349/(1-tech_proj!AF629))</f>
        <v>100.31371558186557</v>
      </c>
      <c r="AG2249" s="119">
        <f>IF(tech_base!$T225&gt;AG$2025,"",fuel_costs!Y$16*0.086/tech_proj!AG349/(1-tech_proj!AG629))</f>
        <v>101.04736720056313</v>
      </c>
      <c r="AH2249" s="119">
        <f>IF(tech_base!$T225&gt;AH$2025,"",fuel_costs!Z$16*0.086/tech_proj!AH349/(1-tech_proj!AH629))</f>
        <v>101.70935564033623</v>
      </c>
      <c r="AI2249" s="119">
        <f>IF(tech_base!$T225&gt;AI$2025,"",fuel_costs!AA$16*0.086/tech_proj!AI349/(1-tech_proj!AI629))</f>
        <v>102.41684885017352</v>
      </c>
      <c r="AJ2249" s="119">
        <f>IF(tech_base!$T225&gt;AJ$2025,"",fuel_costs!AB$16*0.086/tech_proj!AJ349/(1-tech_proj!AJ629))</f>
        <v>103.14111429904735</v>
      </c>
      <c r="AK2249" s="119">
        <f>IF(tech_base!$T225&gt;AK$2025,"",fuel_costs!AC$16*0.086/tech_proj!AK349/(1-tech_proj!AK629))</f>
        <v>103.80586962647075</v>
      </c>
      <c r="AL2249" s="119">
        <f>IF(tech_base!$T225&gt;AL$2025,"",fuel_costs!AD$16*0.086/tech_proj!AL349/(1-tech_proj!AL629))</f>
        <v>104.3950175274154</v>
      </c>
      <c r="AM2249" s="119">
        <f>IF(tech_base!$T225&gt;AM$2025,"",fuel_costs!AE$16*0.086/tech_proj!AM349/(1-tech_proj!AM629))</f>
        <v>104.79596190859989</v>
      </c>
      <c r="AN2249" s="119">
        <f>IF(tech_base!$T225&gt;AN$2025,"",fuel_costs!AF$16*0.086/tech_proj!AN349/(1-tech_proj!AN629))</f>
        <v>105.13840908740775</v>
      </c>
      <c r="AO2249" s="119">
        <f>IF(tech_base!$T225&gt;AO$2025,"",fuel_costs!AG$16*0.086/tech_proj!AO349/(1-tech_proj!AO629))</f>
        <v>105.49466554655592</v>
      </c>
      <c r="AP2249" s="119">
        <f>IF(tech_base!$T225&gt;AP$2025,"",fuel_costs!AH$16*0.086/tech_proj!AP349/(1-tech_proj!AP629))</f>
        <v>105.88421990281641</v>
      </c>
      <c r="AQ2249" s="119">
        <f>IF(tech_base!$T225&gt;AQ$2025,"",fuel_costs!AI$16*0.086/tech_proj!AQ349/(1-tech_proj!AQ629))</f>
        <v>106.29313689843636</v>
      </c>
      <c r="AR2249" s="119">
        <f>IF(tech_base!$T225&gt;AR$2025,"",fuel_costs!AJ$16*0.086/tech_proj!AR349/(1-tech_proj!AR629))</f>
        <v>106.57629798154238</v>
      </c>
      <c r="AS2249" s="119">
        <f>IF(tech_base!$T225&gt;AS$2025,"",fuel_costs!AK$16*0.086/tech_proj!AS349/(1-tech_proj!AS629))</f>
        <v>106.95700360938103</v>
      </c>
      <c r="AT2249" s="119">
        <f>IF(tech_base!$T225&gt;AT$2025,"",fuel_costs!AL$16*0.086/tech_proj!AT349/(1-tech_proj!AT629))</f>
        <v>107.26636481726331</v>
      </c>
      <c r="AU2249" s="119">
        <f>IF(tech_base!$T225&gt;AU$2025,"",fuel_costs!AM$16*0.086/tech_proj!AU349/(1-tech_proj!AU629))</f>
        <v>107.79842151874365</v>
      </c>
      <c r="AV2249" s="119">
        <f>IF(tech_base!$T225&gt;AV$2025,"",fuel_costs!AN$16*0.086/tech_proj!AV349/(1-tech_proj!AV629))</f>
        <v>108.36551233321491</v>
      </c>
      <c r="AW2249" s="119">
        <f>IF(tech_base!$T225&gt;AW$2025,"",fuel_costs!AO$16*0.086/tech_proj!AW349/(1-tech_proj!AW629))</f>
        <v>108.94494294219732</v>
      </c>
      <c r="AX2249" s="120">
        <f>IF(tech_base!$T225&gt;AX$2025,"",fuel_costs!AP$16*0.086/tech_proj!AX349/(1-tech_proj!AX629))</f>
        <v>109.48773705478865</v>
      </c>
    </row>
    <row r="2250" spans="1:50" x14ac:dyDescent="0.25">
      <c r="A2250" s="356"/>
      <c r="B2250" s="376"/>
      <c r="C2250" s="379"/>
      <c r="D2250" s="2" t="s">
        <v>20</v>
      </c>
      <c r="E2250" s="76" t="str">
        <f>A2227&amp;"/"&amp;B2247&amp;"/"&amp;C2247&amp;"/"&amp;D2250</f>
        <v>Biomass and waste fired power plants/Steam turbine/Electricity only/XS</v>
      </c>
      <c r="F2250" s="76" t="str">
        <f>A2227</f>
        <v>Biomass and waste fired power plants</v>
      </c>
      <c r="G2250" s="76" t="str">
        <f>B2247</f>
        <v>Steam turbine</v>
      </c>
      <c r="H2250" s="76" t="str">
        <f>C2247</f>
        <v>Electricity only</v>
      </c>
      <c r="I2250" s="76" t="str">
        <f t="shared" si="390"/>
        <v>XS</v>
      </c>
      <c r="J2250" s="119">
        <f>IF(tech_base!$T226&gt;J$2025,"",fuel_costs!B$16*0.086/tech_proj!J350/(1-tech_proj!J630))</f>
        <v>77.772060523734908</v>
      </c>
      <c r="K2250" s="119">
        <f>IF(tech_base!$T226&gt;K$2025,"",fuel_costs!C$16*0.086/tech_proj!K350/(1-tech_proj!K630))</f>
        <v>79.926753392739471</v>
      </c>
      <c r="L2250" s="119">
        <f>IF(tech_base!$T226&gt;L$2025,"",fuel_costs!D$16*0.086/tech_proj!L350/(1-tech_proj!L630))</f>
        <v>82.082047973248663</v>
      </c>
      <c r="M2250" s="119">
        <f>IF(tech_base!$T226&gt;M$2025,"",fuel_costs!E$16*0.086/tech_proj!M350/(1-tech_proj!M630))</f>
        <v>84.237948091222336</v>
      </c>
      <c r="N2250" s="119">
        <f>IF(tech_base!$T226&gt;N$2025,"",fuel_costs!F$16*0.086/tech_proj!N350/(1-tech_proj!N630))</f>
        <v>86.394457748856397</v>
      </c>
      <c r="O2250" s="119">
        <f>IF(tech_base!$T226&gt;O$2025,"",fuel_costs!G$16*0.086/tech_proj!O350/(1-tech_proj!O630))</f>
        <v>88.551581114504117</v>
      </c>
      <c r="P2250" s="119">
        <f>IF(tech_base!$T226&gt;P$2025,"",fuel_costs!H$16*0.086/tech_proj!P350/(1-tech_proj!P630))</f>
        <v>89.160574236934949</v>
      </c>
      <c r="Q2250" s="119">
        <f>IF(tech_base!$T226&gt;Q$2025,"",fuel_costs!I$16*0.086/tech_proj!Q350/(1-tech_proj!Q630))</f>
        <v>89.430992171491496</v>
      </c>
      <c r="R2250" s="119">
        <f>IF(tech_base!$T226&gt;R$2025,"",fuel_costs!J$16*0.086/tech_proj!R350/(1-tech_proj!R630))</f>
        <v>89.743331005820565</v>
      </c>
      <c r="S2250" s="119">
        <f>IF(tech_base!$T226&gt;S$2025,"",fuel_costs!K$16*0.086/tech_proj!S350/(1-tech_proj!S630))</f>
        <v>90.260095697986841</v>
      </c>
      <c r="T2250" s="119">
        <f>IF(tech_base!$T226&gt;T$2025,"",fuel_costs!L$16*0.086/tech_proj!T350/(1-tech_proj!T630))</f>
        <v>91.096674222445245</v>
      </c>
      <c r="U2250" s="119">
        <f>IF(tech_base!$T226&gt;U$2025,"",fuel_costs!M$16*0.086/tech_proj!U350/(1-tech_proj!U630))</f>
        <v>91.96630246005013</v>
      </c>
      <c r="V2250" s="119">
        <f>IF(tech_base!$T226&gt;V$2025,"",fuel_costs!N$16*0.086/tech_proj!V350/(1-tech_proj!V630))</f>
        <v>92.912506120894037</v>
      </c>
      <c r="W2250" s="119">
        <f>IF(tech_base!$T226&gt;W$2025,"",fuel_costs!O$16*0.086/tech_proj!W350/(1-tech_proj!W630))</f>
        <v>93.899497812632035</v>
      </c>
      <c r="X2250" s="119">
        <f>IF(tech_base!$T226&gt;X$2025,"",fuel_costs!P$16*0.086/tech_proj!X350/(1-tech_proj!X630))</f>
        <v>94.863999117411879</v>
      </c>
      <c r="Y2250" s="119">
        <f>IF(tech_base!$T226&gt;Y$2025,"",fuel_costs!Q$16*0.086/tech_proj!Y350/(1-tech_proj!Y630))</f>
        <v>95.859455077636881</v>
      </c>
      <c r="Z2250" s="119">
        <f>IF(tech_base!$T226&gt;Z$2025,"",fuel_costs!R$16*0.086/tech_proj!Z350/(1-tech_proj!Z630))</f>
        <v>96.848277838967505</v>
      </c>
      <c r="AA2250" s="119">
        <f>IF(tech_base!$T226&gt;AA$2025,"",fuel_costs!S$16*0.086/tech_proj!AA350/(1-tech_proj!AA630))</f>
        <v>97.92945864112572</v>
      </c>
      <c r="AB2250" s="119">
        <f>IF(tech_base!$T226&gt;AB$2025,"",fuel_costs!T$16*0.086/tech_proj!AB350/(1-tech_proj!AB630))</f>
        <v>99.338649916011477</v>
      </c>
      <c r="AC2250" s="119">
        <f>IF(tech_base!$T226&gt;AC$2025,"",fuel_costs!U$16*0.086/tech_proj!AC350/(1-tech_proj!AC630))</f>
        <v>101.44396582947689</v>
      </c>
      <c r="AD2250" s="119">
        <f>IF(tech_base!$T226&gt;AD$2025,"",fuel_costs!V$16*0.086/tech_proj!AD350/(1-tech_proj!AD630))</f>
        <v>103.51322901949672</v>
      </c>
      <c r="AE2250" s="119">
        <f>IF(tech_base!$T226&gt;AE$2025,"",fuel_costs!W$16*0.086/tech_proj!AE350/(1-tech_proj!AE630))</f>
        <v>104.95341603331383</v>
      </c>
      <c r="AF2250" s="119">
        <f>IF(tech_base!$T226&gt;AF$2025,"",fuel_costs!X$16*0.086/tech_proj!AF350/(1-tech_proj!AF630))</f>
        <v>105.84401118979032</v>
      </c>
      <c r="AG2250" s="119">
        <f>IF(tech_base!$T226&gt;AG$2025,"",fuel_costs!Y$16*0.086/tech_proj!AG350/(1-tech_proj!AG630))</f>
        <v>106.62137913264125</v>
      </c>
      <c r="AH2250" s="119">
        <f>IF(tech_base!$T226&gt;AH$2025,"",fuel_costs!Z$16*0.086/tech_proj!AH350/(1-tech_proj!AH630))</f>
        <v>107.32315696561143</v>
      </c>
      <c r="AI2250" s="119">
        <f>IF(tech_base!$T226&gt;AI$2025,"",fuel_costs!AA$16*0.086/tech_proj!AI350/(1-tech_proj!AI630))</f>
        <v>108.07297447700299</v>
      </c>
      <c r="AJ2250" s="119">
        <f>IF(tech_base!$T226&gt;AJ$2025,"",fuel_costs!AB$16*0.086/tech_proj!AJ350/(1-tech_proj!AJ630))</f>
        <v>108.84051375570061</v>
      </c>
      <c r="AK2250" s="119">
        <f>IF(tech_base!$T226&gt;AK$2025,"",fuel_costs!AC$16*0.086/tech_proj!AK350/(1-tech_proj!AK630))</f>
        <v>109.54527437516678</v>
      </c>
      <c r="AL2250" s="119">
        <f>IF(tech_base!$T226&gt;AL$2025,"",fuel_costs!AD$16*0.086/tech_proj!AL350/(1-tech_proj!AL630))</f>
        <v>110.17026091968235</v>
      </c>
      <c r="AM2250" s="119">
        <f>IF(tech_base!$T226&gt;AM$2025,"",fuel_costs!AE$16*0.086/tech_proj!AM350/(1-tech_proj!AM630))</f>
        <v>110.59663589750764</v>
      </c>
      <c r="AN2250" s="119">
        <f>IF(tech_base!$T226&gt;AN$2025,"",fuel_costs!AF$16*0.086/tech_proj!AN350/(1-tech_proj!AN630))</f>
        <v>110.96126992784845</v>
      </c>
      <c r="AO2250" s="119">
        <f>IF(tech_base!$T226&gt;AO$2025,"",fuel_costs!AG$16*0.086/tech_proj!AO350/(1-tech_proj!AO630))</f>
        <v>111.34046924265442</v>
      </c>
      <c r="AP2250" s="119">
        <f>IF(tech_base!$T226&gt;AP$2025,"",fuel_costs!AH$16*0.086/tech_proj!AP350/(1-tech_proj!AP630))</f>
        <v>111.75480267900781</v>
      </c>
      <c r="AQ2250" s="119">
        <f>IF(tech_base!$T226&gt;AQ$2025,"",fuel_costs!AI$16*0.086/tech_proj!AQ350/(1-tech_proj!AQ630))</f>
        <v>112.18956342159461</v>
      </c>
      <c r="AR2250" s="119">
        <f>IF(tech_base!$T226&gt;AR$2025,"",fuel_costs!AJ$16*0.086/tech_proj!AR350/(1-tech_proj!AR630))</f>
        <v>112.49157866741888</v>
      </c>
      <c r="AS2250" s="119">
        <f>IF(tech_base!$T226&gt;AS$2025,"",fuel_costs!AK$16*0.086/tech_proj!AS350/(1-tech_proj!AS630))</f>
        <v>112.89653672596732</v>
      </c>
      <c r="AT2250" s="119">
        <f>IF(tech_base!$T226&gt;AT$2025,"",fuel_costs!AL$16*0.086/tech_proj!AT350/(1-tech_proj!AT630))</f>
        <v>113.22617219826388</v>
      </c>
      <c r="AU2250" s="119">
        <f>IF(tech_base!$T226&gt;AU$2025,"",fuel_costs!AM$16*0.086/tech_proj!AU350/(1-tech_proj!AU630))</f>
        <v>113.79086306674675</v>
      </c>
      <c r="AV2250" s="119">
        <f>IF(tech_base!$T226&gt;AV$2025,"",fuel_costs!AN$16*0.086/tech_proj!AV350/(1-tech_proj!AV630))</f>
        <v>114.39252832528689</v>
      </c>
      <c r="AW2250" s="119">
        <f>IF(tech_base!$T226&gt;AW$2025,"",fuel_costs!AO$16*0.086/tech_proj!AW350/(1-tech_proj!AW630))</f>
        <v>115.00721238119409</v>
      </c>
      <c r="AX2250" s="120">
        <f>IF(tech_base!$T226&gt;AX$2025,"",fuel_costs!AP$16*0.086/tech_proj!AX350/(1-tech_proj!AX630))</f>
        <v>115.58321196772037</v>
      </c>
    </row>
    <row r="2251" spans="1:50" x14ac:dyDescent="0.25">
      <c r="A2251" s="356"/>
      <c r="B2251" s="376"/>
      <c r="C2251" s="361" t="s">
        <v>14</v>
      </c>
      <c r="D2251" s="58" t="s">
        <v>7</v>
      </c>
      <c r="E2251" s="78" t="str">
        <f>A2227&amp;"/"&amp;B2247&amp;"/"&amp;C2251&amp;"/"&amp;D2251</f>
        <v>Biomass and waste fired power plants/Steam turbine/CHP/L</v>
      </c>
      <c r="F2251" s="78" t="str">
        <f>A2227</f>
        <v>Biomass and waste fired power plants</v>
      </c>
      <c r="G2251" s="78" t="str">
        <f>B2247</f>
        <v>Steam turbine</v>
      </c>
      <c r="H2251" s="78" t="str">
        <f>C2251</f>
        <v>CHP</v>
      </c>
      <c r="I2251" s="78" t="str">
        <f t="shared" si="390"/>
        <v>L</v>
      </c>
      <c r="J2251" s="123">
        <f>IF(tech_base!$T227&gt;J$2025,"",fuel_costs!B$16*0.086/tech_proj!J351/(1-tech_proj!J631))</f>
        <v>73.577707838469081</v>
      </c>
      <c r="K2251" s="123">
        <f>IF(tech_base!$T227&gt;K$2025,"",fuel_costs!C$16*0.086/tech_proj!K351/(1-tech_proj!K631))</f>
        <v>75.613968885101187</v>
      </c>
      <c r="L2251" s="123">
        <f>IF(tech_base!$T227&gt;L$2025,"",fuel_costs!D$16*0.086/tech_proj!L351/(1-tech_proj!L631))</f>
        <v>77.650674509504199</v>
      </c>
      <c r="M2251" s="123">
        <f>IF(tech_base!$T227&gt;M$2025,"",fuel_costs!E$16*0.086/tech_proj!M351/(1-tech_proj!M631))</f>
        <v>79.687827350967211</v>
      </c>
      <c r="N2251" s="123">
        <f>IF(tech_base!$T227&gt;N$2025,"",fuel_costs!F$16*0.086/tech_proj!N351/(1-tech_proj!N631))</f>
        <v>81.725430186216329</v>
      </c>
      <c r="O2251" s="123">
        <f>IF(tech_base!$T227&gt;O$2025,"",fuel_costs!G$16*0.086/tech_proj!O351/(1-tech_proj!O631))</f>
        <v>83.763485925593841</v>
      </c>
      <c r="P2251" s="123">
        <f>IF(tech_base!$T227&gt;P$2025,"",fuel_costs!H$16*0.086/tech_proj!P351/(1-tech_proj!P631))</f>
        <v>84.337035771218197</v>
      </c>
      <c r="Q2251" s="123">
        <f>IF(tech_base!$T227&gt;Q$2025,"",fuel_costs!I$16*0.086/tech_proj!Q351/(1-tech_proj!Q631))</f>
        <v>84.590294655415349</v>
      </c>
      <c r="R2251" s="123">
        <f>IF(tech_base!$T227&gt;R$2025,"",fuel_costs!J$16*0.086/tech_proj!R351/(1-tech_proj!R631))</f>
        <v>84.883180706257804</v>
      </c>
      <c r="S2251" s="123">
        <f>IF(tech_base!$T227&gt;S$2025,"",fuel_costs!K$16*0.086/tech_proj!S351/(1-tech_proj!S631))</f>
        <v>85.369389570319257</v>
      </c>
      <c r="T2251" s="123">
        <f>IF(tech_base!$T227&gt;T$2025,"",fuel_costs!L$16*0.086/tech_proj!T351/(1-tech_proj!T631))</f>
        <v>86.158035710561194</v>
      </c>
      <c r="U2251" s="123">
        <f>IF(tech_base!$T227&gt;U$2025,"",fuel_costs!M$16*0.086/tech_proj!U351/(1-tech_proj!U631))</f>
        <v>86.977881639864194</v>
      </c>
      <c r="V2251" s="123">
        <f>IF(tech_base!$T227&gt;V$2025,"",fuel_costs!N$16*0.086/tech_proj!V351/(1-tech_proj!V631))</f>
        <v>87.870087514172255</v>
      </c>
      <c r="W2251" s="123">
        <f>IF(tech_base!$T227&gt;W$2025,"",fuel_costs!O$16*0.086/tech_proj!W351/(1-tech_proj!W631))</f>
        <v>88.800802032986738</v>
      </c>
      <c r="X2251" s="123">
        <f>IF(tech_base!$T227&gt;X$2025,"",fuel_costs!P$16*0.086/tech_proj!X351/(1-tech_proj!X631))</f>
        <v>89.710180554094876</v>
      </c>
      <c r="Y2251" s="123">
        <f>IF(tech_base!$T227&gt;Y$2025,"",fuel_costs!Q$16*0.086/tech_proj!Y351/(1-tech_proj!Y631))</f>
        <v>90.648764467429231</v>
      </c>
      <c r="Z2251" s="123">
        <f>IF(tech_base!$T227&gt;Z$2025,"",fuel_costs!R$16*0.086/tech_proj!Z351/(1-tech_proj!Z631))</f>
        <v>91.581007066370418</v>
      </c>
      <c r="AA2251" s="123">
        <f>IF(tech_base!$T227&gt;AA$2025,"",fuel_costs!S$16*0.086/tech_proj!AA351/(1-tech_proj!AA631))</f>
        <v>92.600513061300248</v>
      </c>
      <c r="AB2251" s="123">
        <f>IF(tech_base!$T227&gt;AB$2025,"",fuel_costs!T$16*0.086/tech_proj!AB351/(1-tech_proj!AB631))</f>
        <v>93.930096142019437</v>
      </c>
      <c r="AC2251" s="123">
        <f>IF(tech_base!$T227&gt;AC$2025,"",fuel_costs!U$16*0.086/tech_proj!AC351/(1-tech_proj!AC631))</f>
        <v>95.917787976190141</v>
      </c>
      <c r="AD2251" s="123">
        <f>IF(tech_base!$T227&gt;AD$2025,"",fuel_costs!V$16*0.086/tech_proj!AD351/(1-tech_proj!AD631))</f>
        <v>97.871256063816176</v>
      </c>
      <c r="AE2251" s="123">
        <f>IF(tech_base!$T227&gt;AE$2025,"",fuel_costs!W$16*0.086/tech_proj!AE351/(1-tech_proj!AE631))</f>
        <v>99.229819927983911</v>
      </c>
      <c r="AF2251" s="123">
        <f>IF(tech_base!$T227&gt;AF$2025,"",fuel_costs!X$16*0.086/tech_proj!AF351/(1-tech_proj!AF631))</f>
        <v>100.0686827888907</v>
      </c>
      <c r="AG2251" s="123">
        <f>IF(tech_base!$T227&gt;AG$2025,"",fuel_costs!Y$16*0.086/tech_proj!AG351/(1-tech_proj!AG631))</f>
        <v>100.80043540744425</v>
      </c>
      <c r="AH2251" s="123">
        <f>IF(tech_base!$T227&gt;AH$2025,"",fuel_costs!Z$16*0.086/tech_proj!AH351/(1-tech_proj!AH631))</f>
        <v>101.46066920752828</v>
      </c>
      <c r="AI2251" s="123">
        <f>IF(tech_base!$T227&gt;AI$2025,"",fuel_costs!AA$16*0.086/tech_proj!AI351/(1-tech_proj!AI631))</f>
        <v>102.1662639582658</v>
      </c>
      <c r="AJ2251" s="123">
        <f>IF(tech_base!$T227&gt;AJ$2025,"",fuel_costs!AB$16*0.086/tech_proj!AJ351/(1-tech_proj!AJ631))</f>
        <v>102.88855549374672</v>
      </c>
      <c r="AK2251" s="123">
        <f>IF(tech_base!$T227&gt;AK$2025,"",fuel_costs!AC$16*0.086/tech_proj!AK351/(1-tech_proj!AK631))</f>
        <v>103.55144660746447</v>
      </c>
      <c r="AL2251" s="123">
        <f>IF(tech_base!$T227&gt;AL$2025,"",fuel_costs!AD$16*0.086/tech_proj!AL351/(1-tech_proj!AL631))</f>
        <v>104.13887831693548</v>
      </c>
      <c r="AM2251" s="123">
        <f>IF(tech_base!$T227&gt;AM$2025,"",fuel_costs!AE$16*0.086/tech_proj!AM351/(1-tech_proj!AM631))</f>
        <v>104.53853028710726</v>
      </c>
      <c r="AN2251" s="123">
        <f>IF(tech_base!$T227&gt;AN$2025,"",fuel_costs!AF$16*0.086/tech_proj!AN351/(1-tech_proj!AN631))</f>
        <v>104.87979029804019</v>
      </c>
      <c r="AO2251" s="123">
        <f>IF(tech_base!$T227&gt;AO$2025,"",fuel_costs!AG$16*0.086/tech_proj!AO351/(1-tech_proj!AO631))</f>
        <v>105.23478628672103</v>
      </c>
      <c r="AP2251" s="123">
        <f>IF(tech_base!$T227&gt;AP$2025,"",fuel_costs!AH$16*0.086/tech_proj!AP351/(1-tech_proj!AP631))</f>
        <v>105.62295770628657</v>
      </c>
      <c r="AQ2251" s="123">
        <f>IF(tech_base!$T227&gt;AQ$2025,"",fuel_costs!AI$16*0.086/tech_proj!AQ351/(1-tech_proj!AQ631))</f>
        <v>106.03040247232744</v>
      </c>
      <c r="AR2251" s="123">
        <f>IF(tech_base!$T227&gt;AR$2025,"",fuel_costs!AJ$16*0.086/tech_proj!AR351/(1-tech_proj!AR631))</f>
        <v>106.31236036303122</v>
      </c>
      <c r="AS2251" s="123">
        <f>IF(tech_base!$T227&gt;AS$2025,"",fuel_costs!AK$16*0.086/tech_proj!AS351/(1-tech_proj!AS631))</f>
        <v>106.69157889560549</v>
      </c>
      <c r="AT2251" s="123">
        <f>IF(tech_base!$T227&gt;AT$2025,"",fuel_costs!AL$16*0.086/tech_proj!AT351/(1-tech_proj!AT631))</f>
        <v>106.99958705419481</v>
      </c>
      <c r="AU2251" s="123">
        <f>IF(tech_base!$T227&gt;AU$2025,"",fuel_costs!AM$16*0.086/tech_proj!AU351/(1-tech_proj!AU631))</f>
        <v>107.52969247900158</v>
      </c>
      <c r="AV2251" s="123">
        <f>IF(tech_base!$T227&gt;AV$2025,"",fuel_costs!AN$16*0.086/tech_proj!AV351/(1-tech_proj!AV631))</f>
        <v>108.094698282389</v>
      </c>
      <c r="AW2251" s="123">
        <f>IF(tech_base!$T227&gt;AW$2025,"",fuel_costs!AO$16*0.086/tech_proj!AW351/(1-tech_proj!AW631))</f>
        <v>108.67196580772664</v>
      </c>
      <c r="AX2251" s="124">
        <f>IF(tech_base!$T227&gt;AX$2025,"",fuel_costs!AP$16*0.086/tech_proj!AX351/(1-tech_proj!AX631))</f>
        <v>109.2126410955359</v>
      </c>
    </row>
    <row r="2252" spans="1:50" x14ac:dyDescent="0.25">
      <c r="A2252" s="356"/>
      <c r="B2252" s="376"/>
      <c r="C2252" s="378"/>
      <c r="D2252" s="2" t="s">
        <v>8</v>
      </c>
      <c r="E2252" s="76" t="str">
        <f>A2227&amp;"/"&amp;B2247&amp;"/"&amp;C2251&amp;"/"&amp;D2252</f>
        <v>Biomass and waste fired power plants/Steam turbine/CHP/M</v>
      </c>
      <c r="F2252" s="76" t="str">
        <f>A2227</f>
        <v>Biomass and waste fired power plants</v>
      </c>
      <c r="G2252" s="76" t="str">
        <f>B2247</f>
        <v>Steam turbine</v>
      </c>
      <c r="H2252" s="76" t="str">
        <f>C2251</f>
        <v>CHP</v>
      </c>
      <c r="I2252" s="76" t="str">
        <f t="shared" si="390"/>
        <v>M</v>
      </c>
      <c r="J2252" s="119">
        <f>IF(tech_base!$T228&gt;J$2025,"",fuel_costs!B$16*0.086/tech_proj!J352/(1-tech_proj!J632))</f>
        <v>77.580194257359864</v>
      </c>
      <c r="K2252" s="119">
        <f>IF(tech_base!$T228&gt;K$2025,"",fuel_costs!C$16*0.086/tech_proj!K352/(1-tech_proj!K632))</f>
        <v>79.729826478536538</v>
      </c>
      <c r="L2252" s="119">
        <f>IF(tech_base!$T228&gt;L$2025,"",fuel_costs!D$16*0.086/tech_proj!L352/(1-tech_proj!L632))</f>
        <v>81.880071405705053</v>
      </c>
      <c r="M2252" s="119">
        <f>IF(tech_base!$T228&gt;M$2025,"",fuel_costs!E$16*0.086/tech_proj!M352/(1-tech_proj!M632))</f>
        <v>84.0309313969409</v>
      </c>
      <c r="N2252" s="119">
        <f>IF(tech_base!$T228&gt;N$2025,"",fuel_costs!F$16*0.086/tech_proj!N352/(1-tech_proj!N632))</f>
        <v>86.182408879967909</v>
      </c>
      <c r="O2252" s="119">
        <f>IF(tech_base!$T228&gt;O$2025,"",fuel_costs!G$16*0.086/tech_proj!O352/(1-tech_proj!O632))</f>
        <v>88.334506349217179</v>
      </c>
      <c r="P2252" s="119">
        <f>IF(tech_base!$T228&gt;P$2025,"",fuel_costs!H$16*0.086/tech_proj!P352/(1-tech_proj!P632))</f>
        <v>88.942270101550875</v>
      </c>
      <c r="Q2252" s="119">
        <f>IF(tech_base!$T228&gt;Q$2025,"",fuel_costs!I$16*0.086/tech_proj!Q352/(1-tech_proj!Q632))</f>
        <v>89.21228199235253</v>
      </c>
      <c r="R2252" s="119">
        <f>IF(tech_base!$T228&gt;R$2025,"",fuel_costs!J$16*0.086/tech_proj!R352/(1-tech_proj!R632))</f>
        <v>89.52410439870583</v>
      </c>
      <c r="S2252" s="119">
        <f>IF(tech_base!$T228&gt;S$2025,"",fuel_costs!K$16*0.086/tech_proj!S352/(1-tech_proj!S632))</f>
        <v>90.039844777619919</v>
      </c>
      <c r="T2252" s="119">
        <f>IF(tech_base!$T228&gt;T$2025,"",fuel_costs!L$16*0.086/tech_proj!T352/(1-tech_proj!T632))</f>
        <v>90.874610089220113</v>
      </c>
      <c r="U2252" s="119">
        <f>IF(tech_base!$T228&gt;U$2025,"",fuel_costs!M$16*0.086/tech_proj!U352/(1-tech_proj!U632))</f>
        <v>91.742335515431478</v>
      </c>
      <c r="V2252" s="119">
        <f>IF(tech_base!$T228&gt;V$2025,"",fuel_costs!N$16*0.086/tech_proj!V352/(1-tech_proj!V632))</f>
        <v>92.686439636785224</v>
      </c>
      <c r="W2252" s="119">
        <f>IF(tech_base!$T228&gt;W$2025,"",fuel_costs!O$16*0.086/tech_proj!W352/(1-tech_proj!W632))</f>
        <v>93.671221086928298</v>
      </c>
      <c r="X2252" s="119">
        <f>IF(tech_base!$T228&gt;X$2025,"",fuel_costs!P$16*0.086/tech_proj!X352/(1-tech_proj!X632))</f>
        <v>94.633553928334138</v>
      </c>
      <c r="Y2252" s="119">
        <f>IF(tech_base!$T228&gt;Y$2025,"",fuel_costs!Q$16*0.086/tech_proj!Y352/(1-tech_proj!Y632))</f>
        <v>95.626751884468945</v>
      </c>
      <c r="Z2252" s="119">
        <f>IF(tech_base!$T228&gt;Z$2025,"",fuel_costs!R$16*0.086/tech_proj!Z352/(1-tech_proj!Z632))</f>
        <v>96.613316999403679</v>
      </c>
      <c r="AA2252" s="119">
        <f>IF(tech_base!$T228&gt;AA$2025,"",fuel_costs!S$16*0.086/tech_proj!AA352/(1-tech_proj!AA632))</f>
        <v>97.691999032807388</v>
      </c>
      <c r="AB2252" s="119">
        <f>IF(tech_base!$T228&gt;AB$2025,"",fuel_costs!T$16*0.086/tech_proj!AB352/(1-tech_proj!AB632))</f>
        <v>99.097878161058702</v>
      </c>
      <c r="AC2252" s="119">
        <f>IF(tech_base!$T228&gt;AC$2025,"",fuel_costs!U$16*0.086/tech_proj!AC352/(1-tech_proj!AC632))</f>
        <v>101.19817605026408</v>
      </c>
      <c r="AD2252" s="119">
        <f>IF(tech_base!$T228&gt;AD$2025,"",fuel_costs!V$16*0.086/tech_proj!AD352/(1-tech_proj!AD632))</f>
        <v>103.26248856200809</v>
      </c>
      <c r="AE2252" s="119">
        <f>IF(tech_base!$T228&gt;AE$2025,"",fuel_costs!W$16*0.086/tech_proj!AE352/(1-tech_proj!AE632))</f>
        <v>104.6992264040269</v>
      </c>
      <c r="AF2252" s="119">
        <f>IF(tech_base!$T228&gt;AF$2025,"",fuel_costs!X$16*0.086/tech_proj!AF352/(1-tech_proj!AF632))</f>
        <v>105.58767912749381</v>
      </c>
      <c r="AG2252" s="119">
        <f>IF(tech_base!$T228&gt;AG$2025,"",fuel_costs!Y$16*0.086/tech_proj!AG352/(1-tech_proj!AG632))</f>
        <v>106.36315318976402</v>
      </c>
      <c r="AH2252" s="119">
        <f>IF(tech_base!$T228&gt;AH$2025,"",fuel_costs!Z$16*0.086/tech_proj!AH352/(1-tech_proj!AH632))</f>
        <v>107.06319356567838</v>
      </c>
      <c r="AI2252" s="119">
        <f>IF(tech_base!$T228&gt;AI$2025,"",fuel_costs!AA$16*0.086/tech_proj!AI352/(1-tech_proj!AI632))</f>
        <v>107.81112969851603</v>
      </c>
      <c r="AJ2252" s="119">
        <f>IF(tech_base!$T228&gt;AJ$2025,"",fuel_costs!AB$16*0.086/tech_proj!AJ352/(1-tech_proj!AJ632))</f>
        <v>108.57671620269538</v>
      </c>
      <c r="AK2252" s="119">
        <f>IF(tech_base!$T228&gt;AK$2025,"",fuel_costs!AC$16*0.086/tech_proj!AK352/(1-tech_proj!AK632))</f>
        <v>109.27964697817865</v>
      </c>
      <c r="AL2252" s="119">
        <f>IF(tech_base!$T228&gt;AL$2025,"",fuel_costs!AD$16*0.086/tech_proj!AL352/(1-tech_proj!AL632))</f>
        <v>109.90296733037687</v>
      </c>
      <c r="AM2252" s="119">
        <f>IF(tech_base!$T228&gt;AM$2025,"",fuel_costs!AE$16*0.086/tech_proj!AM352/(1-tech_proj!AM632))</f>
        <v>110.32812800663422</v>
      </c>
      <c r="AN2252" s="119">
        <f>IF(tech_base!$T228&gt;AN$2025,"",fuel_costs!AF$16*0.086/tech_proj!AN352/(1-tech_proj!AN632))</f>
        <v>110.69166764876697</v>
      </c>
      <c r="AO2252" s="119">
        <f>IF(tech_base!$T228&gt;AO$2025,"",fuel_costs!AG$16*0.086/tech_proj!AO352/(1-tech_proj!AO632))</f>
        <v>111.0697069860945</v>
      </c>
      <c r="AP2252" s="119">
        <f>IF(tech_base!$T228&gt;AP$2025,"",fuel_costs!AH$16*0.086/tech_proj!AP352/(1-tech_proj!AP632))</f>
        <v>111.48276445021199</v>
      </c>
      <c r="AQ2252" s="119">
        <f>IF(tech_base!$T228&gt;AQ$2025,"",fuel_costs!AI$16*0.086/tech_proj!AQ352/(1-tech_proj!AQ632))</f>
        <v>111.91616859720658</v>
      </c>
      <c r="AR2252" s="119">
        <f>IF(tech_base!$T228&gt;AR$2025,"",fuel_costs!AJ$16*0.086/tech_proj!AR352/(1-tech_proj!AR632))</f>
        <v>112.21711999801329</v>
      </c>
      <c r="AS2252" s="119">
        <f>IF(tech_base!$T228&gt;AS$2025,"",fuel_costs!AK$16*0.086/tech_proj!AS352/(1-tech_proj!AS632))</f>
        <v>112.62073231726679</v>
      </c>
      <c r="AT2252" s="119">
        <f>IF(tech_base!$T228&gt;AT$2025,"",fuel_costs!AL$16*0.086/tech_proj!AT352/(1-tech_proj!AT632))</f>
        <v>112.9491752363342</v>
      </c>
      <c r="AU2252" s="119">
        <f>IF(tech_base!$T228&gt;AU$2025,"",fuel_costs!AM$16*0.086/tech_proj!AU352/(1-tech_proj!AU632))</f>
        <v>113.512067116739</v>
      </c>
      <c r="AV2252" s="119">
        <f>IF(tech_base!$T228&gt;AV$2025,"",fuel_costs!AN$16*0.086/tech_proj!AV352/(1-tech_proj!AV632))</f>
        <v>114.11181038198653</v>
      </c>
      <c r="AW2252" s="119">
        <f>IF(tech_base!$T228&gt;AW$2025,"",fuel_costs!AO$16*0.086/tech_proj!AW352/(1-tech_proj!AW632))</f>
        <v>114.72450784046758</v>
      </c>
      <c r="AX2252" s="120">
        <f>IF(tech_base!$T228&gt;AX$2025,"",fuel_costs!AP$16*0.086/tech_proj!AX352/(1-tech_proj!AX632))</f>
        <v>115.29858337127462</v>
      </c>
    </row>
    <row r="2253" spans="1:50" x14ac:dyDescent="0.25">
      <c r="A2253" s="356"/>
      <c r="B2253" s="376"/>
      <c r="C2253" s="378"/>
      <c r="D2253" s="2" t="s">
        <v>10</v>
      </c>
      <c r="E2253" s="76" t="str">
        <f>A2227&amp;"/"&amp;B2247&amp;"/"&amp;C2251&amp;"/"&amp;D2253</f>
        <v>Biomass and waste fired power plants/Steam turbine/CHP/S</v>
      </c>
      <c r="F2253" s="76" t="str">
        <f>A2227</f>
        <v>Biomass and waste fired power plants</v>
      </c>
      <c r="G2253" s="76" t="str">
        <f>B2247</f>
        <v>Steam turbine</v>
      </c>
      <c r="H2253" s="76" t="str">
        <f>C2251</f>
        <v>CHP</v>
      </c>
      <c r="I2253" s="76" t="str">
        <f t="shared" si="390"/>
        <v>S</v>
      </c>
      <c r="J2253" s="119">
        <f>IF(tech_base!$T229&gt;J$2025,"",fuel_costs!B$16*0.086/tech_proj!J353/(1-tech_proj!J633))</f>
        <v>81.8190511270369</v>
      </c>
      <c r="K2253" s="119">
        <f>IF(tech_base!$T229&gt;K$2025,"",fuel_costs!C$16*0.086/tech_proj!K353/(1-tech_proj!K633))</f>
        <v>84.08764481793564</v>
      </c>
      <c r="L2253" s="119">
        <f>IF(tech_base!$T229&gt;L$2025,"",fuel_costs!D$16*0.086/tech_proj!L353/(1-tech_proj!L633))</f>
        <v>86.356967096825528</v>
      </c>
      <c r="M2253" s="119">
        <f>IF(tech_base!$T229&gt;M$2025,"",fuel_costs!E$16*0.086/tech_proj!M353/(1-tech_proj!M633))</f>
        <v>88.627020100568544</v>
      </c>
      <c r="N2253" s="119">
        <f>IF(tech_base!$T229&gt;N$2025,"",fuel_costs!F$16*0.086/tech_proj!N353/(1-tech_proj!N633))</f>
        <v>90.897805995941894</v>
      </c>
      <c r="O2253" s="119">
        <f>IF(tech_base!$T229&gt;O$2025,"",fuel_costs!G$16*0.086/tech_proj!O353/(1-tech_proj!O633))</f>
        <v>93.169326977429364</v>
      </c>
      <c r="P2253" s="119">
        <f>IF(tech_base!$T229&gt;P$2025,"",fuel_costs!H$16*0.086/tech_proj!P353/(1-tech_proj!P633))</f>
        <v>93.812039519504708</v>
      </c>
      <c r="Q2253" s="119">
        <f>IF(tech_base!$T229&gt;Q$2025,"",fuel_costs!I$16*0.086/tech_proj!Q353/(1-tech_proj!Q633))</f>
        <v>94.098522899602429</v>
      </c>
      <c r="R2253" s="119">
        <f>IF(tech_base!$T229&gt;R$2025,"",fuel_costs!J$16*0.086/tech_proj!R353/(1-tech_proj!R633))</f>
        <v>94.429116007374461</v>
      </c>
      <c r="S2253" s="119">
        <f>IF(tech_base!$T229&gt;S$2025,"",fuel_costs!K$16*0.086/tech_proj!S353/(1-tech_proj!S633))</f>
        <v>94.974813086601131</v>
      </c>
      <c r="T2253" s="119">
        <f>IF(tech_base!$T229&gt;T$2025,"",fuel_costs!L$16*0.086/tech_proj!T353/(1-tech_proj!T633))</f>
        <v>95.857043173325181</v>
      </c>
      <c r="U2253" s="119">
        <f>IF(tech_base!$T229&gt;U$2025,"",fuel_costs!M$16*0.086/tech_proj!U353/(1-tech_proj!U633))</f>
        <v>96.774069327495639</v>
      </c>
      <c r="V2253" s="119">
        <f>IF(tech_base!$T229&gt;V$2025,"",fuel_costs!N$16*0.086/tech_proj!V353/(1-tech_proj!V633))</f>
        <v>97.771693603554581</v>
      </c>
      <c r="W2253" s="119">
        <f>IF(tech_base!$T229&gt;W$2025,"",fuel_costs!O$16*0.086/tech_proj!W353/(1-tech_proj!W633))</f>
        <v>98.812258935052071</v>
      </c>
      <c r="X2253" s="119">
        <f>IF(tech_base!$T229&gt;X$2025,"",fuel_costs!P$16*0.086/tech_proj!X353/(1-tech_proj!X633))</f>
        <v>99.829175307920579</v>
      </c>
      <c r="Y2253" s="119">
        <f>IF(tech_base!$T229&gt;Y$2025,"",fuel_costs!Q$16*0.086/tech_proj!Y353/(1-tech_proj!Y633))</f>
        <v>100.87868264487989</v>
      </c>
      <c r="Z2253" s="119">
        <f>IF(tech_base!$T229&gt;Z$2025,"",fuel_costs!R$16*0.086/tech_proj!Z353/(1-tech_proj!Z633))</f>
        <v>101.92122397853703</v>
      </c>
      <c r="AA2253" s="119">
        <f>IF(tech_base!$T229&gt;AA$2025,"",fuel_costs!S$16*0.086/tech_proj!AA353/(1-tech_proj!AA633))</f>
        <v>103.06097519177466</v>
      </c>
      <c r="AB2253" s="119">
        <f>IF(tech_base!$T229&gt;AB$2025,"",fuel_costs!T$16*0.086/tech_proj!AB353/(1-tech_proj!AB633))</f>
        <v>104.54594484270854</v>
      </c>
      <c r="AC2253" s="119">
        <f>IF(tech_base!$T229&gt;AC$2025,"",fuel_costs!U$16*0.086/tech_proj!AC353/(1-tech_proj!AC633))</f>
        <v>106.76356730743623</v>
      </c>
      <c r="AD2253" s="119">
        <f>IF(tech_base!$T229&gt;AD$2025,"",fuel_costs!V$16*0.086/tech_proj!AD353/(1-tech_proj!AD633))</f>
        <v>108.94329387902134</v>
      </c>
      <c r="AE2253" s="119">
        <f>IF(tech_base!$T229&gt;AE$2025,"",fuel_costs!W$16*0.086/tech_proj!AE353/(1-tech_proj!AE633))</f>
        <v>110.46097636905232</v>
      </c>
      <c r="AF2253" s="119">
        <f>IF(tech_base!$T229&gt;AF$2025,"",fuel_costs!X$16*0.086/tech_proj!AF353/(1-tech_proj!AF633))</f>
        <v>111.40023415605269</v>
      </c>
      <c r="AG2253" s="119">
        <f>IF(tech_base!$T229&gt;AG$2025,"",fuel_costs!Y$16*0.086/tech_proj!AG353/(1-tech_proj!AG633))</f>
        <v>112.22031454289862</v>
      </c>
      <c r="AH2253" s="119">
        <f>IF(tech_base!$T229&gt;AH$2025,"",fuel_costs!Z$16*0.086/tech_proj!AH353/(1-tech_proj!AH633))</f>
        <v>112.96082396915425</v>
      </c>
      <c r="AI2253" s="119">
        <f>IF(tech_base!$T229&gt;AI$2025,"",fuel_costs!AA$16*0.086/tech_proj!AI353/(1-tech_proj!AI633))</f>
        <v>113.75188309561113</v>
      </c>
      <c r="AJ2253" s="119">
        <f>IF(tech_base!$T229&gt;AJ$2025,"",fuel_costs!AB$16*0.086/tech_proj!AJ353/(1-tech_proj!AJ633))</f>
        <v>114.56158133874001</v>
      </c>
      <c r="AK2253" s="119">
        <f>IF(tech_base!$T229&gt;AK$2025,"",fuel_costs!AC$16*0.086/tech_proj!AK353/(1-tech_proj!AK633))</f>
        <v>115.30518495762807</v>
      </c>
      <c r="AL2253" s="119">
        <f>IF(tech_base!$T229&gt;AL$2025,"",fuel_costs!AD$16*0.086/tech_proj!AL353/(1-tech_proj!AL633))</f>
        <v>115.96480020345329</v>
      </c>
      <c r="AM2253" s="119">
        <f>IF(tech_base!$T229&gt;AM$2025,"",fuel_costs!AE$16*0.086/tech_proj!AM353/(1-tech_proj!AM633))</f>
        <v>116.41533229078119</v>
      </c>
      <c r="AN2253" s="119">
        <f>IF(tech_base!$T229&gt;AN$2025,"",fuel_costs!AF$16*0.086/tech_proj!AN353/(1-tech_proj!AN633))</f>
        <v>116.80084472312629</v>
      </c>
      <c r="AO2253" s="119">
        <f>IF(tech_base!$T229&gt;AO$2025,"",fuel_costs!AG$16*0.086/tech_proj!AO353/(1-tech_proj!AO633))</f>
        <v>117.20165706021119</v>
      </c>
      <c r="AP2253" s="119">
        <f>IF(tech_base!$T229&gt;AP$2025,"",fuel_costs!AH$16*0.086/tech_proj!AP353/(1-tech_proj!AP633))</f>
        <v>117.63942116455746</v>
      </c>
      <c r="AQ2253" s="119">
        <f>IF(tech_base!$T229&gt;AQ$2025,"",fuel_costs!AI$16*0.086/tech_proj!AQ353/(1-tech_proj!AQ633))</f>
        <v>118.09865644824981</v>
      </c>
      <c r="AR2253" s="119">
        <f>IF(tech_base!$T229&gt;AR$2025,"",fuel_costs!AJ$16*0.086/tech_proj!AR353/(1-tech_proj!AR633))</f>
        <v>118.41812052604101</v>
      </c>
      <c r="AS2253" s="119">
        <f>IF(tech_base!$T229&gt;AS$2025,"",fuel_costs!AK$16*0.086/tech_proj!AS353/(1-tech_proj!AS633))</f>
        <v>118.84591604349856</v>
      </c>
      <c r="AT2253" s="119">
        <f>IF(tech_base!$T229&gt;AT$2025,"",fuel_costs!AL$16*0.086/tech_proj!AT353/(1-tech_proj!AT633))</f>
        <v>119.19438476645244</v>
      </c>
      <c r="AU2253" s="119">
        <f>IF(tech_base!$T229&gt;AU$2025,"",fuel_costs!AM$16*0.086/tech_proj!AU353/(1-tech_proj!AU633))</f>
        <v>119.79026550596063</v>
      </c>
      <c r="AV2253" s="119">
        <f>IF(tech_base!$T229&gt;AV$2025,"",fuel_costs!AN$16*0.086/tech_proj!AV353/(1-tech_proj!AV633))</f>
        <v>120.42503969823724</v>
      </c>
      <c r="AW2253" s="119">
        <f>IF(tech_base!$T229&gt;AW$2025,"",fuel_costs!AO$16*0.086/tech_proj!AW353/(1-tech_proj!AW633))</f>
        <v>121.0734889793444</v>
      </c>
      <c r="AX2253" s="120">
        <f>IF(tech_base!$T229&gt;AX$2025,"",fuel_costs!AP$16*0.086/tech_proj!AX353/(1-tech_proj!AX633))</f>
        <v>121.68118227573919</v>
      </c>
    </row>
    <row r="2254" spans="1:50" x14ac:dyDescent="0.25">
      <c r="A2254" s="356"/>
      <c r="B2254" s="376"/>
      <c r="C2254" s="379"/>
      <c r="D2254" s="59" t="s">
        <v>20</v>
      </c>
      <c r="E2254" s="79" t="str">
        <f>A2227&amp;"/"&amp;B2247&amp;"/"&amp;C2251&amp;"/"&amp;D2254</f>
        <v>Biomass and waste fired power plants/Steam turbine/CHP/XS</v>
      </c>
      <c r="F2254" s="79" t="str">
        <f>A2227</f>
        <v>Biomass and waste fired power plants</v>
      </c>
      <c r="G2254" s="79" t="str">
        <f>B2247</f>
        <v>Steam turbine</v>
      </c>
      <c r="H2254" s="79" t="str">
        <f>C2251</f>
        <v>CHP</v>
      </c>
      <c r="I2254" s="79" t="str">
        <f t="shared" si="390"/>
        <v>XS</v>
      </c>
      <c r="J2254" s="125">
        <f>IF(tech_base!$T230&gt;J$2025,"",fuel_costs!B$16*0.086/tech_proj!J354/(1-tech_proj!J634))</f>
        <v>86.310344678057803</v>
      </c>
      <c r="K2254" s="125">
        <f>IF(tech_base!$T230&gt;K$2025,"",fuel_costs!C$16*0.086/tech_proj!K354/(1-tech_proj!K634))</f>
        <v>88.704757669328771</v>
      </c>
      <c r="L2254" s="125">
        <f>IF(tech_base!$T230&gt;L$2025,"",fuel_costs!D$16*0.086/tech_proj!L354/(1-tech_proj!L634))</f>
        <v>91.100005329935684</v>
      </c>
      <c r="M2254" s="125">
        <f>IF(tech_base!$T230&gt;M$2025,"",fuel_costs!E$16*0.086/tech_proj!M354/(1-tech_proj!M634))</f>
        <v>93.496089331814304</v>
      </c>
      <c r="N2254" s="125">
        <f>IF(tech_base!$T230&gt;N$2025,"",fuel_costs!F$16*0.086/tech_proj!N354/(1-tech_proj!N634))</f>
        <v>95.893011350422398</v>
      </c>
      <c r="O2254" s="125">
        <f>IF(tech_base!$T230&gt;O$2025,"",fuel_costs!G$16*0.086/tech_proj!O354/(1-tech_proj!O634))</f>
        <v>98.290773063447219</v>
      </c>
      <c r="P2254" s="125">
        <f>IF(tech_base!$T230&gt;P$2025,"",fuel_costs!H$16*0.086/tech_proj!P354/(1-tech_proj!P634))</f>
        <v>98.970230935557794</v>
      </c>
      <c r="Q2254" s="125">
        <f>IF(tech_base!$T230&gt;Q$2025,"",fuel_costs!I$16*0.086/tech_proj!Q354/(1-tech_proj!Q634))</f>
        <v>99.273881100683099</v>
      </c>
      <c r="R2254" s="125">
        <f>IF(tech_base!$T230&gt;R$2025,"",fuel_costs!J$16*0.086/tech_proj!R354/(1-tech_proj!R634))</f>
        <v>99.624070383214331</v>
      </c>
      <c r="S2254" s="125">
        <f>IF(tech_base!$T230&gt;S$2025,"",fuel_costs!K$16*0.086/tech_proj!S354/(1-tech_proj!S634))</f>
        <v>100.2012043110448</v>
      </c>
      <c r="T2254" s="125">
        <f>IF(tech_base!$T230&gt;T$2025,"",fuel_costs!L$16*0.086/tech_proj!T354/(1-tech_proj!T634))</f>
        <v>101.13340506771131</v>
      </c>
      <c r="U2254" s="125">
        <f>IF(tech_base!$T230&gt;U$2025,"",fuel_costs!M$16*0.086/tech_proj!U354/(1-tech_proj!U634))</f>
        <v>102.10233691699936</v>
      </c>
      <c r="V2254" s="125">
        <f>IF(tech_base!$T230&gt;V$2025,"",fuel_costs!N$16*0.086/tech_proj!V354/(1-tech_proj!V634))</f>
        <v>103.15632543500911</v>
      </c>
      <c r="W2254" s="125">
        <f>IF(tech_base!$T230&gt;W$2025,"",fuel_costs!O$16*0.086/tech_proj!W354/(1-tech_proj!W634))</f>
        <v>104.25564212802526</v>
      </c>
      <c r="X2254" s="125">
        <f>IF(tech_base!$T230&gt;X$2025,"",fuel_costs!P$16*0.086/tech_proj!X354/(1-tech_proj!X634))</f>
        <v>105.33002904232768</v>
      </c>
      <c r="Y2254" s="125">
        <f>IF(tech_base!$T230&gt;Y$2025,"",fuel_costs!Q$16*0.086/tech_proj!Y354/(1-tech_proj!Y634))</f>
        <v>106.43882432057487</v>
      </c>
      <c r="Z2254" s="125">
        <f>IF(tech_base!$T230&gt;Z$2025,"",fuel_costs!R$16*0.086/tech_proj!Z354/(1-tech_proj!Z634))</f>
        <v>107.54029103205164</v>
      </c>
      <c r="AA2254" s="125">
        <f>IF(tech_base!$T230&gt;AA$2025,"",fuel_costs!S$16*0.086/tech_proj!AA354/(1-tech_proj!AA634))</f>
        <v>108.74434907402367</v>
      </c>
      <c r="AB2254" s="125">
        <f>IF(tech_base!$T230&gt;AB$2025,"",fuel_costs!T$16*0.086/tech_proj!AB354/(1-tech_proj!AB634))</f>
        <v>110.31269072827682</v>
      </c>
      <c r="AC2254" s="125">
        <f>IF(tech_base!$T230&gt;AC$2025,"",fuel_costs!U$16*0.086/tech_proj!AC354/(1-tech_proj!AC634))</f>
        <v>112.654140690777</v>
      </c>
      <c r="AD2254" s="125">
        <f>IF(tech_base!$T230&gt;AD$2025,"",fuel_costs!V$16*0.086/tech_proj!AD354/(1-tech_proj!AD634))</f>
        <v>114.95565529039982</v>
      </c>
      <c r="AE2254" s="125">
        <f>IF(tech_base!$T230&gt;AE$2025,"",fuel_costs!W$16*0.086/tech_proj!AE354/(1-tech_proj!AE634))</f>
        <v>116.55862971380053</v>
      </c>
      <c r="AF2254" s="125">
        <f>IF(tech_base!$T230&gt;AF$2025,"",fuel_costs!X$16*0.086/tech_proj!AF354/(1-tech_proj!AF634))</f>
        <v>117.55127216460777</v>
      </c>
      <c r="AG2254" s="125">
        <f>IF(tech_base!$T230&gt;AG$2025,"",fuel_costs!Y$16*0.086/tech_proj!AG354/(1-tech_proj!AG634))</f>
        <v>118.41816943507204</v>
      </c>
      <c r="AH2254" s="125">
        <f>IF(tech_base!$T230&gt;AH$2025,"",fuel_costs!Z$16*0.086/tech_proj!AH354/(1-tech_proj!AH634))</f>
        <v>119.20111057122099</v>
      </c>
      <c r="AI2254" s="125">
        <f>IF(tech_base!$T230&gt;AI$2025,"",fuel_costs!AA$16*0.086/tech_proj!AI354/(1-tech_proj!AI634))</f>
        <v>120.03740254414936</v>
      </c>
      <c r="AJ2254" s="125">
        <f>IF(tech_base!$T230&gt;AJ$2025,"",fuel_costs!AB$16*0.086/tech_proj!AJ354/(1-tech_proj!AJ634))</f>
        <v>120.89337266375632</v>
      </c>
      <c r="AK2254" s="125">
        <f>IF(tech_base!$T230&gt;AK$2025,"",fuel_costs!AC$16*0.086/tech_proj!AK354/(1-tech_proj!AK634))</f>
        <v>121.67960313931226</v>
      </c>
      <c r="AL2254" s="125">
        <f>IF(tech_base!$T230&gt;AL$2025,"",fuel_costs!AD$16*0.086/tech_proj!AL354/(1-tech_proj!AL634))</f>
        <v>122.37720770560374</v>
      </c>
      <c r="AM2254" s="125">
        <f>IF(tech_base!$T230&gt;AM$2025,"",fuel_costs!AE$16*0.086/tech_proj!AM354/(1-tech_proj!AM634))</f>
        <v>122.85416897721235</v>
      </c>
      <c r="AN2254" s="125">
        <f>IF(tech_base!$T230&gt;AN$2025,"",fuel_costs!AF$16*0.086/tech_proj!AN354/(1-tech_proj!AN634))</f>
        <v>123.2625118606594</v>
      </c>
      <c r="AO2254" s="125">
        <f>IF(tech_base!$T230&gt;AO$2025,"",fuel_costs!AG$16*0.086/tech_proj!AO354/(1-tech_proj!AO634))</f>
        <v>123.68699758051679</v>
      </c>
      <c r="AP2254" s="125">
        <f>IF(tech_base!$T230&gt;AP$2025,"",fuel_costs!AH$16*0.086/tech_proj!AP354/(1-tech_proj!AP634))</f>
        <v>124.15047667661094</v>
      </c>
      <c r="AQ2254" s="125">
        <f>IF(tech_base!$T230&gt;AQ$2025,"",fuel_costs!AI$16*0.086/tech_proj!AQ354/(1-tech_proj!AQ634))</f>
        <v>124.63661266616093</v>
      </c>
      <c r="AR2254" s="125">
        <f>IF(tech_base!$T230&gt;AR$2025,"",fuel_costs!AJ$16*0.086/tech_proj!AR354/(1-tech_proj!AR634))</f>
        <v>124.9752352761075</v>
      </c>
      <c r="AS2254" s="125">
        <f>IF(tech_base!$T230&gt;AS$2025,"",fuel_costs!AK$16*0.086/tech_proj!AS354/(1-tech_proj!AS634))</f>
        <v>125.42818283740598</v>
      </c>
      <c r="AT2254" s="125">
        <f>IF(tech_base!$T230&gt;AT$2025,"",fuel_costs!AL$16*0.086/tech_proj!AT354/(1-tech_proj!AT634))</f>
        <v>125.79740513614558</v>
      </c>
      <c r="AU2254" s="125">
        <f>IF(tech_base!$T230&gt;AU$2025,"",fuel_costs!AM$16*0.086/tech_proj!AU354/(1-tech_proj!AU634))</f>
        <v>126.42774217225399</v>
      </c>
      <c r="AV2254" s="125">
        <f>IF(tech_base!$T230&gt;AV$2025,"",fuel_costs!AN$16*0.086/tech_proj!AV354/(1-tech_proj!AV634))</f>
        <v>127.09912770349298</v>
      </c>
      <c r="AW2254" s="125">
        <f>IF(tech_base!$T230&gt;AW$2025,"",fuel_costs!AO$16*0.086/tech_proj!AW354/(1-tech_proj!AW634))</f>
        <v>127.78494651406731</v>
      </c>
      <c r="AX2254" s="126">
        <f>IF(tech_base!$T230&gt;AX$2025,"",fuel_costs!AP$16*0.086/tech_proj!AX354/(1-tech_proj!AX634))</f>
        <v>128.42774978896725</v>
      </c>
    </row>
    <row r="2255" spans="1:50" x14ac:dyDescent="0.25">
      <c r="A2255" s="356"/>
      <c r="B2255" s="376"/>
      <c r="C2255" s="361" t="s">
        <v>15</v>
      </c>
      <c r="D2255" s="58" t="s">
        <v>7</v>
      </c>
      <c r="E2255" s="78" t="str">
        <f>A2227&amp;"/"&amp;B2247&amp;"/"&amp;C2255&amp;"/"&amp;D2255</f>
        <v>Biomass and waste fired power plants/Steam turbine/Electricity only with CCS/L</v>
      </c>
      <c r="F2255" s="78" t="str">
        <f>A2227</f>
        <v>Biomass and waste fired power plants</v>
      </c>
      <c r="G2255" s="78" t="str">
        <f>B2247</f>
        <v>Steam turbine</v>
      </c>
      <c r="H2255" s="78" t="str">
        <f>C2255</f>
        <v>Electricity only with CCS</v>
      </c>
      <c r="I2255" s="78" t="str">
        <f t="shared" si="390"/>
        <v>L</v>
      </c>
      <c r="J2255" s="123" t="str">
        <f>IF(tech_base!$T231&gt;J$2025,"",fuel_costs!B$16*0.086/tech_proj!J355/(1-tech_proj!J635))</f>
        <v/>
      </c>
      <c r="K2255" s="123" t="str">
        <f>IF(tech_base!$T231&gt;K$2025,"",fuel_costs!C$16*0.086/tech_proj!K355/(1-tech_proj!K635))</f>
        <v/>
      </c>
      <c r="L2255" s="123" t="str">
        <f>IF(tech_base!$T231&gt;L$2025,"",fuel_costs!D$16*0.086/tech_proj!L355/(1-tech_proj!L635))</f>
        <v/>
      </c>
      <c r="M2255" s="123" t="str">
        <f>IF(tech_base!$T231&gt;M$2025,"",fuel_costs!E$16*0.086/tech_proj!M355/(1-tech_proj!M635))</f>
        <v/>
      </c>
      <c r="N2255" s="123" t="str">
        <f>IF(tech_base!$T231&gt;N$2025,"",fuel_costs!F$16*0.086/tech_proj!N355/(1-tech_proj!N635))</f>
        <v/>
      </c>
      <c r="O2255" s="123" t="str">
        <f>IF(tech_base!$T231&gt;O$2025,"",fuel_costs!G$16*0.086/tech_proj!O355/(1-tech_proj!O635))</f>
        <v/>
      </c>
      <c r="P2255" s="123" t="str">
        <f>IF(tech_base!$T231&gt;P$2025,"",fuel_costs!H$16*0.086/tech_proj!P355/(1-tech_proj!P635))</f>
        <v/>
      </c>
      <c r="Q2255" s="123" t="str">
        <f>IF(tech_base!$T231&gt;Q$2025,"",fuel_costs!I$16*0.086/tech_proj!Q355/(1-tech_proj!Q635))</f>
        <v/>
      </c>
      <c r="R2255" s="123" t="str">
        <f>IF(tech_base!$T231&gt;R$2025,"",fuel_costs!J$16*0.086/tech_proj!R355/(1-tech_proj!R635))</f>
        <v/>
      </c>
      <c r="S2255" s="123" t="str">
        <f>IF(tech_base!$T231&gt;S$2025,"",fuel_costs!K$16*0.086/tech_proj!S355/(1-tech_proj!S635))</f>
        <v/>
      </c>
      <c r="T2255" s="123" t="str">
        <f>IF(tech_base!$T231&gt;T$2025,"",fuel_costs!L$16*0.086/tech_proj!T355/(1-tech_proj!T635))</f>
        <v/>
      </c>
      <c r="U2255" s="123" t="str">
        <f>IF(tech_base!$T231&gt;U$2025,"",fuel_costs!M$16*0.086/tech_proj!U355/(1-tech_proj!U635))</f>
        <v/>
      </c>
      <c r="V2255" s="123" t="str">
        <f>IF(tech_base!$T231&gt;V$2025,"",fuel_costs!N$16*0.086/tech_proj!V355/(1-tech_proj!V635))</f>
        <v/>
      </c>
      <c r="W2255" s="123" t="str">
        <f>IF(tech_base!$T231&gt;W$2025,"",fuel_costs!O$16*0.086/tech_proj!W355/(1-tech_proj!W635))</f>
        <v/>
      </c>
      <c r="X2255" s="123" t="str">
        <f>IF(tech_base!$T231&gt;X$2025,"",fuel_costs!P$16*0.086/tech_proj!X355/(1-tech_proj!X635))</f>
        <v/>
      </c>
      <c r="Y2255" s="123" t="str">
        <f>IF(tech_base!$T231&gt;Y$2025,"",fuel_costs!Q$16*0.086/tech_proj!Y355/(1-tech_proj!Y635))</f>
        <v/>
      </c>
      <c r="Z2255" s="123" t="str">
        <f>IF(tech_base!$T231&gt;Z$2025,"",fuel_costs!R$16*0.086/tech_proj!Z355/(1-tech_proj!Z635))</f>
        <v/>
      </c>
      <c r="AA2255" s="123" t="str">
        <f>IF(tech_base!$T231&gt;AA$2025,"",fuel_costs!S$16*0.086/tech_proj!AA355/(1-tech_proj!AA635))</f>
        <v/>
      </c>
      <c r="AB2255" s="123" t="str">
        <f>IF(tech_base!$T231&gt;AB$2025,"",fuel_costs!T$16*0.086/tech_proj!AB355/(1-tech_proj!AB635))</f>
        <v/>
      </c>
      <c r="AC2255" s="123" t="str">
        <f>IF(tech_base!$T231&gt;AC$2025,"",fuel_costs!U$16*0.086/tech_proj!AC355/(1-tech_proj!AC635))</f>
        <v/>
      </c>
      <c r="AD2255" s="123" t="str">
        <f>IF(tech_base!$T231&gt;AD$2025,"",fuel_costs!V$16*0.086/tech_proj!AD355/(1-tech_proj!AD635))</f>
        <v/>
      </c>
      <c r="AE2255" s="123">
        <f>IF(tech_base!$T231&gt;AE$2025,"",fuel_costs!W$16*0.086/tech_proj!AE355/(1-tech_proj!AE635))</f>
        <v>118.75589054510851</v>
      </c>
      <c r="AF2255" s="123">
        <f>IF(tech_base!$T231&gt;AF$2025,"",fuel_costs!X$16*0.086/tech_proj!AF355/(1-tech_proj!AF635))</f>
        <v>119.76945009078416</v>
      </c>
      <c r="AG2255" s="123">
        <f>IF(tech_base!$T231&gt;AG$2025,"",fuel_costs!Y$16*0.086/tech_proj!AG355/(1-tech_proj!AG635))</f>
        <v>120.65489885802874</v>
      </c>
      <c r="AH2255" s="123">
        <f>IF(tech_base!$T231&gt;AH$2025,"",fuel_costs!Z$16*0.086/tech_proj!AH355/(1-tech_proj!AH635))</f>
        <v>121.45480846974726</v>
      </c>
      <c r="AI2255" s="123">
        <f>IF(tech_base!$T231&gt;AI$2025,"",fuel_costs!AA$16*0.086/tech_proj!AI355/(1-tech_proj!AI635))</f>
        <v>122.30907933138118</v>
      </c>
      <c r="AJ2255" s="123">
        <f>IF(tech_base!$T231&gt;AJ$2025,"",fuel_costs!AB$16*0.086/tech_proj!AJ355/(1-tech_proj!AJ635))</f>
        <v>123.1834033116633</v>
      </c>
      <c r="AK2255" s="123">
        <f>IF(tech_base!$T231&gt;AK$2025,"",fuel_costs!AC$16*0.086/tech_proj!AK355/(1-tech_proj!AK635))</f>
        <v>123.98666781057685</v>
      </c>
      <c r="AL2255" s="123">
        <f>IF(tech_base!$T231&gt;AL$2025,"",fuel_costs!AD$16*0.086/tech_proj!AL355/(1-tech_proj!AL635))</f>
        <v>124.69962404114288</v>
      </c>
      <c r="AM2255" s="123">
        <f>IF(tech_base!$T231&gt;AM$2025,"",fuel_costs!AE$16*0.086/tech_proj!AM355/(1-tech_proj!AM635))</f>
        <v>125.1877420219493</v>
      </c>
      <c r="AN2255" s="123">
        <f>IF(tech_base!$T231&gt;AN$2025,"",fuel_costs!AF$16*0.086/tech_proj!AN355/(1-tech_proj!AN635))</f>
        <v>125.60592535631733</v>
      </c>
      <c r="AO2255" s="123">
        <f>IF(tech_base!$T231&gt;AO$2025,"",fuel_costs!AG$16*0.086/tech_proj!AO355/(1-tech_proj!AO635))</f>
        <v>126.04054451018115</v>
      </c>
      <c r="AP2255" s="123">
        <f>IF(tech_base!$T231&gt;AP$2025,"",fuel_costs!AH$16*0.086/tech_proj!AP355/(1-tech_proj!AP635))</f>
        <v>126.51488587588139</v>
      </c>
      <c r="AQ2255" s="123">
        <f>IF(tech_base!$T231&gt;AQ$2025,"",fuel_costs!AI$16*0.086/tech_proj!AQ355/(1-tech_proj!AQ635))</f>
        <v>127.0123033529684</v>
      </c>
      <c r="AR2255" s="123">
        <f>IF(tech_base!$T231&gt;AR$2025,"",fuel_costs!AJ$16*0.086/tech_proj!AR355/(1-tech_proj!AR635))</f>
        <v>127.35938128241561</v>
      </c>
      <c r="AS2255" s="123">
        <f>IF(tech_base!$T231&gt;AS$2025,"",fuel_costs!AK$16*0.086/tech_proj!AS355/(1-tech_proj!AS635))</f>
        <v>127.8229500675041</v>
      </c>
      <c r="AT2255" s="123">
        <f>IF(tech_base!$T231&gt;AT$2025,"",fuel_costs!AL$16*0.086/tech_proj!AT355/(1-tech_proj!AT635))</f>
        <v>128.2011803857786</v>
      </c>
      <c r="AU2255" s="123">
        <f>IF(tech_base!$T231&gt;AU$2025,"",fuel_costs!AM$16*0.086/tech_proj!AU355/(1-tech_proj!AU635))</f>
        <v>128.84550287189359</v>
      </c>
      <c r="AV2255" s="123">
        <f>IF(tech_base!$T231&gt;AV$2025,"",fuel_costs!AN$16*0.086/tech_proj!AV355/(1-tech_proj!AV635))</f>
        <v>129.53165128895697</v>
      </c>
      <c r="AW2255" s="123">
        <f>IF(tech_base!$T231&gt;AW$2025,"",fuel_costs!AO$16*0.086/tech_proj!AW355/(1-tech_proj!AW635))</f>
        <v>130.23250226937566</v>
      </c>
      <c r="AX2255" s="124">
        <f>IF(tech_base!$T231&gt;AX$2025,"",fuel_costs!AP$16*0.086/tech_proj!AX355/(1-tech_proj!AX635))</f>
        <v>130.88950620628034</v>
      </c>
    </row>
    <row r="2256" spans="1:50" x14ac:dyDescent="0.25">
      <c r="A2256" s="356"/>
      <c r="B2256" s="376"/>
      <c r="C2256" s="379"/>
      <c r="D2256" s="59" t="s">
        <v>8</v>
      </c>
      <c r="E2256" s="79" t="str">
        <f>A2227&amp;"/"&amp;B2247&amp;"/"&amp;C2255&amp;"/"&amp;D2256</f>
        <v>Biomass and waste fired power plants/Steam turbine/Electricity only with CCS/M</v>
      </c>
      <c r="F2256" s="79" t="str">
        <f>A2227</f>
        <v>Biomass and waste fired power plants</v>
      </c>
      <c r="G2256" s="79" t="str">
        <f>B2247</f>
        <v>Steam turbine</v>
      </c>
      <c r="H2256" s="79" t="str">
        <f>C2255</f>
        <v>Electricity only with CCS</v>
      </c>
      <c r="I2256" s="79" t="str">
        <f t="shared" si="390"/>
        <v>M</v>
      </c>
      <c r="J2256" s="125" t="str">
        <f>IF(tech_base!$T232&gt;J$2025,"",fuel_costs!B$16*0.086/tech_proj!J356/(1-tech_proj!J636))</f>
        <v/>
      </c>
      <c r="K2256" s="125" t="str">
        <f>IF(tech_base!$T232&gt;K$2025,"",fuel_costs!C$16*0.086/tech_proj!K356/(1-tech_proj!K636))</f>
        <v/>
      </c>
      <c r="L2256" s="125" t="str">
        <f>IF(tech_base!$T232&gt;L$2025,"",fuel_costs!D$16*0.086/tech_proj!L356/(1-tech_proj!L636))</f>
        <v/>
      </c>
      <c r="M2256" s="125" t="str">
        <f>IF(tech_base!$T232&gt;M$2025,"",fuel_costs!E$16*0.086/tech_proj!M356/(1-tech_proj!M636))</f>
        <v/>
      </c>
      <c r="N2256" s="125" t="str">
        <f>IF(tech_base!$T232&gt;N$2025,"",fuel_costs!F$16*0.086/tech_proj!N356/(1-tech_proj!N636))</f>
        <v/>
      </c>
      <c r="O2256" s="125" t="str">
        <f>IF(tech_base!$T232&gt;O$2025,"",fuel_costs!G$16*0.086/tech_proj!O356/(1-tech_proj!O636))</f>
        <v/>
      </c>
      <c r="P2256" s="125" t="str">
        <f>IF(tech_base!$T232&gt;P$2025,"",fuel_costs!H$16*0.086/tech_proj!P356/(1-tech_proj!P636))</f>
        <v/>
      </c>
      <c r="Q2256" s="125" t="str">
        <f>IF(tech_base!$T232&gt;Q$2025,"",fuel_costs!I$16*0.086/tech_proj!Q356/(1-tech_proj!Q636))</f>
        <v/>
      </c>
      <c r="R2256" s="125" t="str">
        <f>IF(tech_base!$T232&gt;R$2025,"",fuel_costs!J$16*0.086/tech_proj!R356/(1-tech_proj!R636))</f>
        <v/>
      </c>
      <c r="S2256" s="125" t="str">
        <f>IF(tech_base!$T232&gt;S$2025,"",fuel_costs!K$16*0.086/tech_proj!S356/(1-tech_proj!S636))</f>
        <v/>
      </c>
      <c r="T2256" s="125" t="str">
        <f>IF(tech_base!$T232&gt;T$2025,"",fuel_costs!L$16*0.086/tech_proj!T356/(1-tech_proj!T636))</f>
        <v/>
      </c>
      <c r="U2256" s="125" t="str">
        <f>IF(tech_base!$T232&gt;U$2025,"",fuel_costs!M$16*0.086/tech_proj!U356/(1-tech_proj!U636))</f>
        <v/>
      </c>
      <c r="V2256" s="125" t="str">
        <f>IF(tech_base!$T232&gt;V$2025,"",fuel_costs!N$16*0.086/tech_proj!V356/(1-tech_proj!V636))</f>
        <v/>
      </c>
      <c r="W2256" s="125" t="str">
        <f>IF(tech_base!$T232&gt;W$2025,"",fuel_costs!O$16*0.086/tech_proj!W356/(1-tech_proj!W636))</f>
        <v/>
      </c>
      <c r="X2256" s="125" t="str">
        <f>IF(tech_base!$T232&gt;X$2025,"",fuel_costs!P$16*0.086/tech_proj!X356/(1-tech_proj!X636))</f>
        <v/>
      </c>
      <c r="Y2256" s="125" t="str">
        <f>IF(tech_base!$T232&gt;Y$2025,"",fuel_costs!Q$16*0.086/tech_proj!Y356/(1-tech_proj!Y636))</f>
        <v/>
      </c>
      <c r="Z2256" s="125" t="str">
        <f>IF(tech_base!$T232&gt;Z$2025,"",fuel_costs!R$16*0.086/tech_proj!Z356/(1-tech_proj!Z636))</f>
        <v/>
      </c>
      <c r="AA2256" s="125" t="str">
        <f>IF(tech_base!$T232&gt;AA$2025,"",fuel_costs!S$16*0.086/tech_proj!AA356/(1-tech_proj!AA636))</f>
        <v/>
      </c>
      <c r="AB2256" s="125" t="str">
        <f>IF(tech_base!$T232&gt;AB$2025,"",fuel_costs!T$16*0.086/tech_proj!AB356/(1-tech_proj!AB636))</f>
        <v/>
      </c>
      <c r="AC2256" s="125" t="str">
        <f>IF(tech_base!$T232&gt;AC$2025,"",fuel_costs!U$16*0.086/tech_proj!AC356/(1-tech_proj!AC636))</f>
        <v/>
      </c>
      <c r="AD2256" s="125" t="str">
        <f>IF(tech_base!$T232&gt;AD$2025,"",fuel_costs!V$16*0.086/tech_proj!AD356/(1-tech_proj!AD636))</f>
        <v/>
      </c>
      <c r="AE2256" s="125">
        <f>IF(tech_base!$T232&gt;AE$2025,"",fuel_costs!W$16*0.086/tech_proj!AE356/(1-tech_proj!AE636))</f>
        <v>126.95301845158711</v>
      </c>
      <c r="AF2256" s="125">
        <f>IF(tech_base!$T232&gt;AF$2025,"",fuel_costs!X$16*0.086/tech_proj!AF356/(1-tech_proj!AF636))</f>
        <v>128.03653896676582</v>
      </c>
      <c r="AG2256" s="125">
        <f>IF(tech_base!$T232&gt;AG$2025,"",fuel_costs!Y$16*0.086/tech_proj!AG356/(1-tech_proj!AG636))</f>
        <v>128.98310585426887</v>
      </c>
      <c r="AH2256" s="125">
        <f>IF(tech_base!$T232&gt;AH$2025,"",fuel_costs!Z$16*0.086/tech_proj!AH356/(1-tech_proj!AH636))</f>
        <v>129.83822924419056</v>
      </c>
      <c r="AI2256" s="125">
        <f>IF(tech_base!$T232&gt;AI$2025,"",fuel_costs!AA$16*0.086/tech_proj!AI356/(1-tech_proj!AI636))</f>
        <v>130.75146617047568</v>
      </c>
      <c r="AJ2256" s="125">
        <f>IF(tech_base!$T232&gt;AJ$2025,"",fuel_costs!AB$16*0.086/tech_proj!AJ356/(1-tech_proj!AJ636))</f>
        <v>131.68614038235623</v>
      </c>
      <c r="AK2256" s="125">
        <f>IF(tech_base!$T232&gt;AK$2025,"",fuel_costs!AC$16*0.086/tech_proj!AK356/(1-tech_proj!AK636))</f>
        <v>132.54485023063393</v>
      </c>
      <c r="AL2256" s="125">
        <f>IF(tech_base!$T232&gt;AL$2025,"",fuel_costs!AD$16*0.086/tech_proj!AL356/(1-tech_proj!AL636))</f>
        <v>133.30701828039349</v>
      </c>
      <c r="AM2256" s="125">
        <f>IF(tech_base!$T232&gt;AM$2025,"",fuel_costs!AE$16*0.086/tech_proj!AM356/(1-tech_proj!AM636))</f>
        <v>133.82882861535396</v>
      </c>
      <c r="AN2256" s="125">
        <f>IF(tech_base!$T232&gt;AN$2025,"",fuel_costs!AF$16*0.086/tech_proj!AN356/(1-tech_proj!AN636))</f>
        <v>134.27587706339705</v>
      </c>
      <c r="AO2256" s="125">
        <f>IF(tech_base!$T232&gt;AO$2025,"",fuel_costs!AG$16*0.086/tech_proj!AO356/(1-tech_proj!AO636))</f>
        <v>134.7404958137312</v>
      </c>
      <c r="AP2256" s="125">
        <f>IF(tech_base!$T232&gt;AP$2025,"",fuel_costs!AH$16*0.086/tech_proj!AP356/(1-tech_proj!AP636))</f>
        <v>135.24757860243059</v>
      </c>
      <c r="AQ2256" s="125">
        <f>IF(tech_base!$T232&gt;AQ$2025,"",fuel_costs!AI$16*0.086/tech_proj!AQ356/(1-tech_proj!AQ636))</f>
        <v>135.77933033160298</v>
      </c>
      <c r="AR2256" s="125">
        <f>IF(tech_base!$T232&gt;AR$2025,"",fuel_costs!AJ$16*0.086/tech_proj!AR356/(1-tech_proj!AR636))</f>
        <v>136.15036532261689</v>
      </c>
      <c r="AS2256" s="125">
        <f>IF(tech_base!$T232&gt;AS$2025,"",fuel_costs!AK$16*0.086/tech_proj!AS356/(1-tech_proj!AS636))</f>
        <v>136.64593195309541</v>
      </c>
      <c r="AT2256" s="125">
        <f>IF(tech_base!$T232&gt;AT$2025,"",fuel_costs!AL$16*0.086/tech_proj!AT356/(1-tech_proj!AT636))</f>
        <v>137.05026962724739</v>
      </c>
      <c r="AU2256" s="125">
        <f>IF(tech_base!$T232&gt;AU$2025,"",fuel_costs!AM$16*0.086/tech_proj!AU356/(1-tech_proj!AU636))</f>
        <v>137.73906648686469</v>
      </c>
      <c r="AV2256" s="125">
        <f>IF(tech_base!$T232&gt;AV$2025,"",fuel_costs!AN$16*0.086/tech_proj!AV356/(1-tech_proj!AV636))</f>
        <v>138.47257631321631</v>
      </c>
      <c r="AW2256" s="125">
        <f>IF(tech_base!$T232&gt;AW$2025,"",fuel_costs!AO$16*0.086/tech_proj!AW356/(1-tech_proj!AW636))</f>
        <v>139.22180354767599</v>
      </c>
      <c r="AX2256" s="126">
        <f>IF(tech_base!$T232&gt;AX$2025,"",fuel_costs!AP$16*0.086/tech_proj!AX356/(1-tech_proj!AX636))</f>
        <v>139.92415719549729</v>
      </c>
    </row>
    <row r="2257" spans="1:50" x14ac:dyDescent="0.25">
      <c r="A2257" s="356"/>
      <c r="B2257" s="376"/>
      <c r="C2257" s="361" t="s">
        <v>16</v>
      </c>
      <c r="D2257" s="2" t="s">
        <v>7</v>
      </c>
      <c r="E2257" s="76" t="str">
        <f>A2227&amp;"/"&amp;B2247&amp;"/"&amp;C2257&amp;"/"&amp;D2257</f>
        <v>Biomass and waste fired power plants/Steam turbine/CHP with CCS/L</v>
      </c>
      <c r="F2257" s="76" t="str">
        <f>A2227</f>
        <v>Biomass and waste fired power plants</v>
      </c>
      <c r="G2257" s="76" t="str">
        <f>B2247</f>
        <v>Steam turbine</v>
      </c>
      <c r="H2257" s="76" t="str">
        <f>C2257</f>
        <v>CHP with CCS</v>
      </c>
      <c r="I2257" s="76" t="str">
        <f t="shared" si="390"/>
        <v>L</v>
      </c>
      <c r="J2257" s="119" t="str">
        <f>IF(tech_base!$T233&gt;J$2025,"",fuel_costs!B$16*0.086/tech_proj!J357/(1-tech_proj!J637))</f>
        <v/>
      </c>
      <c r="K2257" s="119" t="str">
        <f>IF(tech_base!$T233&gt;K$2025,"",fuel_costs!C$16*0.086/tech_proj!K357/(1-tech_proj!K637))</f>
        <v/>
      </c>
      <c r="L2257" s="119" t="str">
        <f>IF(tech_base!$T233&gt;L$2025,"",fuel_costs!D$16*0.086/tech_proj!L357/(1-tech_proj!L637))</f>
        <v/>
      </c>
      <c r="M2257" s="119" t="str">
        <f>IF(tech_base!$T233&gt;M$2025,"",fuel_costs!E$16*0.086/tech_proj!M357/(1-tech_proj!M637))</f>
        <v/>
      </c>
      <c r="N2257" s="119" t="str">
        <f>IF(tech_base!$T233&gt;N$2025,"",fuel_costs!F$16*0.086/tech_proj!N357/(1-tech_proj!N637))</f>
        <v/>
      </c>
      <c r="O2257" s="119" t="str">
        <f>IF(tech_base!$T233&gt;O$2025,"",fuel_costs!G$16*0.086/tech_proj!O357/(1-tech_proj!O637))</f>
        <v/>
      </c>
      <c r="P2257" s="119" t="str">
        <f>IF(tech_base!$T233&gt;P$2025,"",fuel_costs!H$16*0.086/tech_proj!P357/(1-tech_proj!P637))</f>
        <v/>
      </c>
      <c r="Q2257" s="119" t="str">
        <f>IF(tech_base!$T233&gt;Q$2025,"",fuel_costs!I$16*0.086/tech_proj!Q357/(1-tech_proj!Q637))</f>
        <v/>
      </c>
      <c r="R2257" s="119" t="str">
        <f>IF(tech_base!$T233&gt;R$2025,"",fuel_costs!J$16*0.086/tech_proj!R357/(1-tech_proj!R637))</f>
        <v/>
      </c>
      <c r="S2257" s="119" t="str">
        <f>IF(tech_base!$T233&gt;S$2025,"",fuel_costs!K$16*0.086/tech_proj!S357/(1-tech_proj!S637))</f>
        <v/>
      </c>
      <c r="T2257" s="119" t="str">
        <f>IF(tech_base!$T233&gt;T$2025,"",fuel_costs!L$16*0.086/tech_proj!T357/(1-tech_proj!T637))</f>
        <v/>
      </c>
      <c r="U2257" s="119" t="str">
        <f>IF(tech_base!$T233&gt;U$2025,"",fuel_costs!M$16*0.086/tech_proj!U357/(1-tech_proj!U637))</f>
        <v/>
      </c>
      <c r="V2257" s="119" t="str">
        <f>IF(tech_base!$T233&gt;V$2025,"",fuel_costs!N$16*0.086/tech_proj!V357/(1-tech_proj!V637))</f>
        <v/>
      </c>
      <c r="W2257" s="119" t="str">
        <f>IF(tech_base!$T233&gt;W$2025,"",fuel_costs!O$16*0.086/tech_proj!W357/(1-tech_proj!W637))</f>
        <v/>
      </c>
      <c r="X2257" s="119" t="str">
        <f>IF(tech_base!$T233&gt;X$2025,"",fuel_costs!P$16*0.086/tech_proj!X357/(1-tech_proj!X637))</f>
        <v/>
      </c>
      <c r="Y2257" s="119" t="str">
        <f>IF(tech_base!$T233&gt;Y$2025,"",fuel_costs!Q$16*0.086/tech_proj!Y357/(1-tech_proj!Y637))</f>
        <v/>
      </c>
      <c r="Z2257" s="119" t="str">
        <f>IF(tech_base!$T233&gt;Z$2025,"",fuel_costs!R$16*0.086/tech_proj!Z357/(1-tech_proj!Z637))</f>
        <v/>
      </c>
      <c r="AA2257" s="119" t="str">
        <f>IF(tech_base!$T233&gt;AA$2025,"",fuel_costs!S$16*0.086/tech_proj!AA357/(1-tech_proj!AA637))</f>
        <v/>
      </c>
      <c r="AB2257" s="119" t="str">
        <f>IF(tech_base!$T233&gt;AB$2025,"",fuel_costs!T$16*0.086/tech_proj!AB357/(1-tech_proj!AB637))</f>
        <v/>
      </c>
      <c r="AC2257" s="119" t="str">
        <f>IF(tech_base!$T233&gt;AC$2025,"",fuel_costs!U$16*0.086/tech_proj!AC357/(1-tech_proj!AC637))</f>
        <v/>
      </c>
      <c r="AD2257" s="119" t="str">
        <f>IF(tech_base!$T233&gt;AD$2025,"",fuel_costs!V$16*0.086/tech_proj!AD357/(1-tech_proj!AD637))</f>
        <v/>
      </c>
      <c r="AE2257" s="119">
        <f>IF(tech_base!$T233&gt;AE$2025,"",fuel_costs!W$16*0.086/tech_proj!AE357/(1-tech_proj!AE637))</f>
        <v>135.45267656199553</v>
      </c>
      <c r="AF2257" s="119">
        <f>IF(tech_base!$T233&gt;AF$2025,"",fuel_costs!X$16*0.086/tech_proj!AF357/(1-tech_proj!AF637))</f>
        <v>136.60874008597352</v>
      </c>
      <c r="AG2257" s="119">
        <f>IF(tech_base!$T233&gt;AG$2025,"",fuel_costs!Y$16*0.086/tech_proj!AG357/(1-tech_proj!AG637))</f>
        <v>137.61868077128415</v>
      </c>
      <c r="AH2257" s="119">
        <f>IF(tech_base!$T233&gt;AH$2025,"",fuel_costs!Z$16*0.086/tech_proj!AH357/(1-tech_proj!AH637))</f>
        <v>138.53105570626713</v>
      </c>
      <c r="AI2257" s="119">
        <f>IF(tech_base!$T233&gt;AI$2025,"",fuel_costs!AA$16*0.086/tech_proj!AI357/(1-tech_proj!AI637))</f>
        <v>139.5054349491501</v>
      </c>
      <c r="AJ2257" s="119">
        <f>IF(tech_base!$T233&gt;AJ$2025,"",fuel_costs!AB$16*0.086/tech_proj!AJ357/(1-tech_proj!AJ637))</f>
        <v>140.50268672982341</v>
      </c>
      <c r="AK2257" s="119">
        <f>IF(tech_base!$T233&gt;AK$2025,"",fuel_costs!AC$16*0.086/tech_proj!AK357/(1-tech_proj!AK637))</f>
        <v>141.41888824088647</v>
      </c>
      <c r="AL2257" s="119">
        <f>IF(tech_base!$T233&gt;AL$2025,"",fuel_costs!AD$16*0.086/tech_proj!AL357/(1-tech_proj!AL637))</f>
        <v>142.23208436327198</v>
      </c>
      <c r="AM2257" s="119">
        <f>IF(tech_base!$T233&gt;AM$2025,"",fuel_costs!AE$16*0.086/tech_proj!AM357/(1-tech_proj!AM637))</f>
        <v>142.78883053118653</v>
      </c>
      <c r="AN2257" s="119">
        <f>IF(tech_base!$T233&gt;AN$2025,"",fuel_costs!AF$16*0.086/tech_proj!AN357/(1-tech_proj!AN637))</f>
        <v>143.2658094134446</v>
      </c>
      <c r="AO2257" s="119">
        <f>IF(tech_base!$T233&gt;AO$2025,"",fuel_costs!AG$16*0.086/tech_proj!AO357/(1-tech_proj!AO637))</f>
        <v>143.76153495097995</v>
      </c>
      <c r="AP2257" s="119">
        <f>IF(tech_base!$T233&gt;AP$2025,"",fuel_costs!AH$16*0.086/tech_proj!AP357/(1-tech_proj!AP637))</f>
        <v>144.30256754560116</v>
      </c>
      <c r="AQ2257" s="119">
        <f>IF(tech_base!$T233&gt;AQ$2025,"",fuel_costs!AI$16*0.086/tech_proj!AQ357/(1-tech_proj!AQ637))</f>
        <v>144.86992069609229</v>
      </c>
      <c r="AR2257" s="119">
        <f>IF(tech_base!$T233&gt;AR$2025,"",fuel_costs!AJ$16*0.086/tech_proj!AR357/(1-tech_proj!AR637))</f>
        <v>145.2657969284495</v>
      </c>
      <c r="AS2257" s="119">
        <f>IF(tech_base!$T233&gt;AS$2025,"",fuel_costs!AK$16*0.086/tech_proj!AS357/(1-tech_proj!AS637))</f>
        <v>145.79454234413038</v>
      </c>
      <c r="AT2257" s="119">
        <f>IF(tech_base!$T233&gt;AT$2025,"",fuel_costs!AL$16*0.086/tech_proj!AT357/(1-tech_proj!AT637))</f>
        <v>146.22595091453488</v>
      </c>
      <c r="AU2257" s="119">
        <f>IF(tech_base!$T233&gt;AU$2025,"",fuel_costs!AM$16*0.086/tech_proj!AU357/(1-tech_proj!AU637))</f>
        <v>146.9608635568699</v>
      </c>
      <c r="AV2257" s="119">
        <f>IF(tech_base!$T233&gt;AV$2025,"",fuel_costs!AN$16*0.086/tech_proj!AV357/(1-tech_proj!AV637))</f>
        <v>147.74348275313375</v>
      </c>
      <c r="AW2257" s="119">
        <f>IF(tech_base!$T233&gt;AW$2025,"",fuel_costs!AO$16*0.086/tech_proj!AW357/(1-tech_proj!AW637))</f>
        <v>148.54287165698562</v>
      </c>
      <c r="AX2257" s="120">
        <f>IF(tech_base!$T233&gt;AX$2025,"",fuel_costs!AP$16*0.086/tech_proj!AX357/(1-tech_proj!AX637))</f>
        <v>149.29224873088924</v>
      </c>
    </row>
    <row r="2258" spans="1:50" x14ac:dyDescent="0.25">
      <c r="A2258" s="357"/>
      <c r="B2258" s="380"/>
      <c r="C2258" s="381"/>
      <c r="D2258" s="4" t="s">
        <v>8</v>
      </c>
      <c r="E2258" s="80" t="str">
        <f>A2227&amp;"/"&amp;B2247&amp;"/"&amp;C2257&amp;"/"&amp;D2258</f>
        <v>Biomass and waste fired power plants/Steam turbine/CHP with CCS/M</v>
      </c>
      <c r="F2258" s="80" t="str">
        <f>A2227</f>
        <v>Biomass and waste fired power plants</v>
      </c>
      <c r="G2258" s="80" t="str">
        <f>B2247</f>
        <v>Steam turbine</v>
      </c>
      <c r="H2258" s="80" t="str">
        <f>C2257</f>
        <v>CHP with CCS</v>
      </c>
      <c r="I2258" s="80" t="str">
        <f t="shared" si="390"/>
        <v>M</v>
      </c>
      <c r="J2258" s="127" t="str">
        <f>IF(tech_base!$T234&gt;J$2025,"",fuel_costs!B$16*0.086/tech_proj!J358/(1-tech_proj!J638))</f>
        <v/>
      </c>
      <c r="K2258" s="127" t="str">
        <f>IF(tech_base!$T234&gt;K$2025,"",fuel_costs!C$16*0.086/tech_proj!K358/(1-tech_proj!K638))</f>
        <v/>
      </c>
      <c r="L2258" s="127" t="str">
        <f>IF(tech_base!$T234&gt;L$2025,"",fuel_costs!D$16*0.086/tech_proj!L358/(1-tech_proj!L638))</f>
        <v/>
      </c>
      <c r="M2258" s="127" t="str">
        <f>IF(tech_base!$T234&gt;M$2025,"",fuel_costs!E$16*0.086/tech_proj!M358/(1-tech_proj!M638))</f>
        <v/>
      </c>
      <c r="N2258" s="127" t="str">
        <f>IF(tech_base!$T234&gt;N$2025,"",fuel_costs!F$16*0.086/tech_proj!N358/(1-tech_proj!N638))</f>
        <v/>
      </c>
      <c r="O2258" s="127" t="str">
        <f>IF(tech_base!$T234&gt;O$2025,"",fuel_costs!G$16*0.086/tech_proj!O358/(1-tech_proj!O638))</f>
        <v/>
      </c>
      <c r="P2258" s="127" t="str">
        <f>IF(tech_base!$T234&gt;P$2025,"",fuel_costs!H$16*0.086/tech_proj!P358/(1-tech_proj!P638))</f>
        <v/>
      </c>
      <c r="Q2258" s="127" t="str">
        <f>IF(tech_base!$T234&gt;Q$2025,"",fuel_costs!I$16*0.086/tech_proj!Q358/(1-tech_proj!Q638))</f>
        <v/>
      </c>
      <c r="R2258" s="127" t="str">
        <f>IF(tech_base!$T234&gt;R$2025,"",fuel_costs!J$16*0.086/tech_proj!R358/(1-tech_proj!R638))</f>
        <v/>
      </c>
      <c r="S2258" s="127" t="str">
        <f>IF(tech_base!$T234&gt;S$2025,"",fuel_costs!K$16*0.086/tech_proj!S358/(1-tech_proj!S638))</f>
        <v/>
      </c>
      <c r="T2258" s="127" t="str">
        <f>IF(tech_base!$T234&gt;T$2025,"",fuel_costs!L$16*0.086/tech_proj!T358/(1-tech_proj!T638))</f>
        <v/>
      </c>
      <c r="U2258" s="127" t="str">
        <f>IF(tech_base!$T234&gt;U$2025,"",fuel_costs!M$16*0.086/tech_proj!U358/(1-tech_proj!U638))</f>
        <v/>
      </c>
      <c r="V2258" s="127" t="str">
        <f>IF(tech_base!$T234&gt;V$2025,"",fuel_costs!N$16*0.086/tech_proj!V358/(1-tech_proj!V638))</f>
        <v/>
      </c>
      <c r="W2258" s="127" t="str">
        <f>IF(tech_base!$T234&gt;W$2025,"",fuel_costs!O$16*0.086/tech_proj!W358/(1-tech_proj!W638))</f>
        <v/>
      </c>
      <c r="X2258" s="127" t="str">
        <f>IF(tech_base!$T234&gt;X$2025,"",fuel_costs!P$16*0.086/tech_proj!X358/(1-tech_proj!X638))</f>
        <v/>
      </c>
      <c r="Y2258" s="127" t="str">
        <f>IF(tech_base!$T234&gt;Y$2025,"",fuel_costs!Q$16*0.086/tech_proj!Y358/(1-tech_proj!Y638))</f>
        <v/>
      </c>
      <c r="Z2258" s="127" t="str">
        <f>IF(tech_base!$T234&gt;Z$2025,"",fuel_costs!R$16*0.086/tech_proj!Z358/(1-tech_proj!Z638))</f>
        <v/>
      </c>
      <c r="AA2258" s="127" t="str">
        <f>IF(tech_base!$T234&gt;AA$2025,"",fuel_costs!S$16*0.086/tech_proj!AA358/(1-tech_proj!AA638))</f>
        <v/>
      </c>
      <c r="AB2258" s="127" t="str">
        <f>IF(tech_base!$T234&gt;AB$2025,"",fuel_costs!T$16*0.086/tech_proj!AB358/(1-tech_proj!AB638))</f>
        <v/>
      </c>
      <c r="AC2258" s="127" t="str">
        <f>IF(tech_base!$T234&gt;AC$2025,"",fuel_costs!U$16*0.086/tech_proj!AC358/(1-tech_proj!AC638))</f>
        <v/>
      </c>
      <c r="AD2258" s="127" t="str">
        <f>IF(tech_base!$T234&gt;AD$2025,"",fuel_costs!V$16*0.086/tech_proj!AD358/(1-tech_proj!AD638))</f>
        <v/>
      </c>
      <c r="AE2258" s="127">
        <f>IF(tech_base!$T234&gt;AE$2025,"",fuel_costs!W$16*0.086/tech_proj!AE358/(1-tech_proj!AE638))</f>
        <v>145.17212595203915</v>
      </c>
      <c r="AF2258" s="127">
        <f>IF(tech_base!$T234&gt;AF$2025,"",fuel_costs!X$16*0.086/tech_proj!AF358/(1-tech_proj!AF638))</f>
        <v>146.41114317762111</v>
      </c>
      <c r="AG2258" s="127">
        <f>IF(tech_base!$T234&gt;AG$2025,"",fuel_costs!Y$16*0.086/tech_proj!AG358/(1-tech_proj!AG638))</f>
        <v>147.49355247430927</v>
      </c>
      <c r="AH2258" s="127">
        <f>IF(tech_base!$T234&gt;AH$2025,"",fuel_costs!Z$16*0.086/tech_proj!AH358/(1-tech_proj!AH638))</f>
        <v>148.47139515958256</v>
      </c>
      <c r="AI2258" s="127">
        <f>IF(tech_base!$T234&gt;AI$2025,"",fuel_costs!AA$16*0.086/tech_proj!AI358/(1-tech_proj!AI638))</f>
        <v>149.51569129136197</v>
      </c>
      <c r="AJ2258" s="127">
        <f>IF(tech_base!$T234&gt;AJ$2025,"",fuel_costs!AB$16*0.086/tech_proj!AJ358/(1-tech_proj!AJ638))</f>
        <v>150.58450118707145</v>
      </c>
      <c r="AK2258" s="127">
        <f>IF(tech_base!$T234&gt;AK$2025,"",fuel_costs!AC$16*0.086/tech_proj!AK358/(1-tech_proj!AK638))</f>
        <v>151.56644502559445</v>
      </c>
      <c r="AL2258" s="127">
        <f>IF(tech_base!$T234&gt;AL$2025,"",fuel_costs!AD$16*0.086/tech_proj!AL358/(1-tech_proj!AL638))</f>
        <v>152.43799229139267</v>
      </c>
      <c r="AM2258" s="127">
        <f>IF(tech_base!$T234&gt;AM$2025,"",fuel_costs!AE$16*0.086/tech_proj!AM358/(1-tech_proj!AM638))</f>
        <v>153.03468795561466</v>
      </c>
      <c r="AN2258" s="127">
        <f>IF(tech_base!$T234&gt;AN$2025,"",fuel_costs!AF$16*0.086/tech_proj!AN358/(1-tech_proj!AN638))</f>
        <v>153.54589260752081</v>
      </c>
      <c r="AO2258" s="127">
        <f>IF(tech_base!$T234&gt;AO$2025,"",fuel_costs!AG$16*0.086/tech_proj!AO358/(1-tech_proj!AO638))</f>
        <v>154.0771890868472</v>
      </c>
      <c r="AP2258" s="127">
        <f>IF(tech_base!$T234&gt;AP$2025,"",fuel_costs!AH$16*0.086/tech_proj!AP358/(1-tech_proj!AP638))</f>
        <v>154.65704364538416</v>
      </c>
      <c r="AQ2258" s="127">
        <f>IF(tech_base!$T234&gt;AQ$2025,"",fuel_costs!AI$16*0.086/tech_proj!AQ358/(1-tech_proj!AQ638))</f>
        <v>155.26510739955214</v>
      </c>
      <c r="AR2258" s="127">
        <f>IF(tech_base!$T234&gt;AR$2025,"",fuel_costs!AJ$16*0.086/tech_proj!AR358/(1-tech_proj!AR638))</f>
        <v>155.68938985541692</v>
      </c>
      <c r="AS2258" s="127">
        <f>IF(tech_base!$T234&gt;AS$2025,"",fuel_costs!AK$16*0.086/tech_proj!AS358/(1-tech_proj!AS638))</f>
        <v>156.25607556462586</v>
      </c>
      <c r="AT2258" s="127">
        <f>IF(tech_base!$T234&gt;AT$2025,"",fuel_costs!AL$16*0.086/tech_proj!AT358/(1-tech_proj!AT638))</f>
        <v>156.71843999262509</v>
      </c>
      <c r="AU2258" s="127">
        <f>IF(tech_base!$T234&gt;AU$2025,"",fuel_costs!AM$16*0.086/tech_proj!AU358/(1-tech_proj!AU638))</f>
        <v>157.50608652265123</v>
      </c>
      <c r="AV2258" s="127">
        <f>IF(tech_base!$T234&gt;AV$2025,"",fuel_costs!AN$16*0.086/tech_proj!AV358/(1-tech_proj!AV638))</f>
        <v>158.34486280538121</v>
      </c>
      <c r="AW2258" s="127">
        <f>IF(tech_base!$T234&gt;AW$2025,"",fuel_costs!AO$16*0.086/tech_proj!AW358/(1-tech_proj!AW638))</f>
        <v>159.20161211133927</v>
      </c>
      <c r="AX2258" s="128">
        <f>IF(tech_base!$T234&gt;AX$2025,"",fuel_costs!AP$16*0.086/tech_proj!AX358/(1-tech_proj!AX638))</f>
        <v>160.00476097276845</v>
      </c>
    </row>
    <row r="2259" spans="1:50" x14ac:dyDescent="0.25">
      <c r="A2259" s="355" t="s">
        <v>31</v>
      </c>
      <c r="B2259" s="358" t="s">
        <v>32</v>
      </c>
      <c r="C2259" s="353" t="s">
        <v>6</v>
      </c>
      <c r="D2259" s="3" t="s">
        <v>8</v>
      </c>
      <c r="E2259" s="77" t="str">
        <f>A2259&amp;"/"&amp;B2259&amp;"/"&amp;C2259&amp;"/"&amp;D2259</f>
        <v>Fuel cells/Natural gas fuel cell power plant/Electricity only/M</v>
      </c>
      <c r="F2259" s="77" t="str">
        <f>A2259</f>
        <v>Fuel cells</v>
      </c>
      <c r="G2259" s="77" t="str">
        <f>B2259</f>
        <v>Natural gas fuel cell power plant</v>
      </c>
      <c r="H2259" s="77" t="str">
        <f>C2259</f>
        <v>Electricity only</v>
      </c>
      <c r="I2259" s="77" t="str">
        <f t="shared" si="390"/>
        <v>M</v>
      </c>
      <c r="J2259" s="121" t="str">
        <f>IF(tech_base!$T235&gt;J$2025,"",fuel_costs!B$17*0.086/tech_proj!J359/(1-tech_proj!J639))</f>
        <v/>
      </c>
      <c r="K2259" s="121" t="str">
        <f>IF(tech_base!$T235&gt;K$2025,"",fuel_costs!C$17*0.086/tech_proj!K359/(1-tech_proj!K639))</f>
        <v/>
      </c>
      <c r="L2259" s="121" t="str">
        <f>IF(tech_base!$T235&gt;L$2025,"",fuel_costs!D$17*0.086/tech_proj!L359/(1-tech_proj!L639))</f>
        <v/>
      </c>
      <c r="M2259" s="121" t="str">
        <f>IF(tech_base!$T235&gt;M$2025,"",fuel_costs!E$17*0.086/tech_proj!M359/(1-tech_proj!M639))</f>
        <v/>
      </c>
      <c r="N2259" s="121" t="str">
        <f>IF(tech_base!$T235&gt;N$2025,"",fuel_costs!F$17*0.086/tech_proj!N359/(1-tech_proj!N639))</f>
        <v/>
      </c>
      <c r="O2259" s="121" t="str">
        <f>IF(tech_base!$T235&gt;O$2025,"",fuel_costs!G$17*0.086/tech_proj!O359/(1-tech_proj!O639))</f>
        <v/>
      </c>
      <c r="P2259" s="121" t="str">
        <f>IF(tech_base!$T235&gt;P$2025,"",fuel_costs!H$17*0.086/tech_proj!P359/(1-tech_proj!P639))</f>
        <v/>
      </c>
      <c r="Q2259" s="121" t="str">
        <f>IF(tech_base!$T235&gt;Q$2025,"",fuel_costs!I$17*0.086/tech_proj!Q359/(1-tech_proj!Q639))</f>
        <v/>
      </c>
      <c r="R2259" s="121" t="str">
        <f>IF(tech_base!$T235&gt;R$2025,"",fuel_costs!J$17*0.086/tech_proj!R359/(1-tech_proj!R639))</f>
        <v/>
      </c>
      <c r="S2259" s="121" t="str">
        <f>IF(tech_base!$T235&gt;S$2025,"",fuel_costs!K$17*0.086/tech_proj!S359/(1-tech_proj!S639))</f>
        <v/>
      </c>
      <c r="T2259" s="121" t="str">
        <f>IF(tech_base!$T235&gt;T$2025,"",fuel_costs!L$17*0.086/tech_proj!T359/(1-tech_proj!T639))</f>
        <v/>
      </c>
      <c r="U2259" s="121" t="str">
        <f>IF(tech_base!$T235&gt;U$2025,"",fuel_costs!M$17*0.086/tech_proj!U359/(1-tech_proj!U639))</f>
        <v/>
      </c>
      <c r="V2259" s="121" t="str">
        <f>IF(tech_base!$T235&gt;V$2025,"",fuel_costs!N$17*0.086/tech_proj!V359/(1-tech_proj!V639))</f>
        <v/>
      </c>
      <c r="W2259" s="121" t="str">
        <f>IF(tech_base!$T235&gt;W$2025,"",fuel_costs!O$17*0.086/tech_proj!W359/(1-tech_proj!W639))</f>
        <v/>
      </c>
      <c r="X2259" s="121" t="str">
        <f>IF(tech_base!$T235&gt;X$2025,"",fuel_costs!P$17*0.086/tech_proj!X359/(1-tech_proj!X639))</f>
        <v/>
      </c>
      <c r="Y2259" s="121" t="str">
        <f>IF(tech_base!$T235&gt;Y$2025,"",fuel_costs!Q$17*0.086/tech_proj!Y359/(1-tech_proj!Y639))</f>
        <v/>
      </c>
      <c r="Z2259" s="121" t="str">
        <f>IF(tech_base!$T235&gt;Z$2025,"",fuel_costs!R$17*0.086/tech_proj!Z359/(1-tech_proj!Z639))</f>
        <v/>
      </c>
      <c r="AA2259" s="121" t="str">
        <f>IF(tech_base!$T235&gt;AA$2025,"",fuel_costs!S$17*0.086/tech_proj!AA359/(1-tech_proj!AA639))</f>
        <v/>
      </c>
      <c r="AB2259" s="121" t="str">
        <f>IF(tech_base!$T235&gt;AB$2025,"",fuel_costs!T$17*0.086/tech_proj!AB359/(1-tech_proj!AB639))</f>
        <v/>
      </c>
      <c r="AC2259" s="121" t="str">
        <f>IF(tech_base!$T235&gt;AC$2025,"",fuel_costs!U$17*0.086/tech_proj!AC359/(1-tech_proj!AC639))</f>
        <v/>
      </c>
      <c r="AD2259" s="121" t="str">
        <f>IF(tech_base!$T235&gt;AD$2025,"",fuel_costs!V$17*0.086/tech_proj!AD359/(1-tech_proj!AD639))</f>
        <v/>
      </c>
      <c r="AE2259" s="121">
        <f>IF(tech_base!$T235&gt;AE$2025,"",fuel_costs!W$17*0.086/tech_proj!AE359/(1-tech_proj!AE639))</f>
        <v>67.231415429562816</v>
      </c>
      <c r="AF2259" s="121">
        <f>IF(tech_base!$T235&gt;AF$2025,"",fuel_costs!X$17*0.086/tech_proj!AF359/(1-tech_proj!AF639))</f>
        <v>68.241059856982076</v>
      </c>
      <c r="AG2259" s="121">
        <f>IF(tech_base!$T235&gt;AG$2025,"",fuel_costs!Y$17*0.086/tech_proj!AG359/(1-tech_proj!AG639))</f>
        <v>69.148570608847209</v>
      </c>
      <c r="AH2259" s="121">
        <f>IF(tech_base!$T235&gt;AH$2025,"",fuel_costs!Z$17*0.086/tech_proj!AH359/(1-tech_proj!AH639))</f>
        <v>69.974971914966318</v>
      </c>
      <c r="AI2259" s="121">
        <f>IF(tech_base!$T235&gt;AI$2025,"",fuel_costs!AA$17*0.086/tech_proj!AI359/(1-tech_proj!AI639))</f>
        <v>70.564332684531095</v>
      </c>
      <c r="AJ2259" s="121">
        <f>IF(tech_base!$T235&gt;AJ$2025,"",fuel_costs!AB$17*0.086/tech_proj!AJ359/(1-tech_proj!AJ639))</f>
        <v>71.187962015765635</v>
      </c>
      <c r="AK2259" s="121">
        <f>IF(tech_base!$T235&gt;AK$2025,"",fuel_costs!AC$17*0.086/tech_proj!AK359/(1-tech_proj!AK639))</f>
        <v>71.680488220394722</v>
      </c>
      <c r="AL2259" s="121">
        <f>IF(tech_base!$T235&gt;AL$2025,"",fuel_costs!AD$17*0.086/tech_proj!AL359/(1-tech_proj!AL639))</f>
        <v>72.139766758000192</v>
      </c>
      <c r="AM2259" s="121">
        <f>IF(tech_base!$T235&gt;AM$2025,"",fuel_costs!AE$17*0.086/tech_proj!AM359/(1-tech_proj!AM639))</f>
        <v>72.629229643090142</v>
      </c>
      <c r="AN2259" s="121">
        <f>IF(tech_base!$T235&gt;AN$2025,"",fuel_costs!AF$17*0.086/tech_proj!AN359/(1-tech_proj!AN639))</f>
        <v>72.537800870234861</v>
      </c>
      <c r="AO2259" s="121">
        <f>IF(tech_base!$T235&gt;AO$2025,"",fuel_costs!AG$17*0.086/tech_proj!AO359/(1-tech_proj!AO639))</f>
        <v>72.574377866252206</v>
      </c>
      <c r="AP2259" s="121">
        <f>IF(tech_base!$T235&gt;AP$2025,"",fuel_costs!AH$17*0.086/tech_proj!AP359/(1-tech_proj!AP639))</f>
        <v>72.566122107409939</v>
      </c>
      <c r="AQ2259" s="121">
        <f>IF(tech_base!$T235&gt;AQ$2025,"",fuel_costs!AI$17*0.086/tech_proj!AQ359/(1-tech_proj!AQ639))</f>
        <v>72.529229556908575</v>
      </c>
      <c r="AR2259" s="121">
        <f>IF(tech_base!$T235&gt;AR$2025,"",fuel_costs!AJ$17*0.086/tech_proj!AR359/(1-tech_proj!AR639))</f>
        <v>72.522798101046803</v>
      </c>
      <c r="AS2259" s="121">
        <f>IF(tech_base!$T235&gt;AS$2025,"",fuel_costs!AK$17*0.086/tech_proj!AS359/(1-tech_proj!AS639))</f>
        <v>72.502783711322763</v>
      </c>
      <c r="AT2259" s="121">
        <f>IF(tech_base!$T235&gt;AT$2025,"",fuel_costs!AL$17*0.086/tech_proj!AT359/(1-tech_proj!AT639))</f>
        <v>72.335942524482419</v>
      </c>
      <c r="AU2259" s="121">
        <f>IF(tech_base!$T235&gt;AU$2025,"",fuel_costs!AM$17*0.086/tech_proj!AU359/(1-tech_proj!AU639))</f>
        <v>71.99707147673557</v>
      </c>
      <c r="AV2259" s="121">
        <f>IF(tech_base!$T235&gt;AV$2025,"",fuel_costs!AN$17*0.086/tech_proj!AV359/(1-tech_proj!AV639))</f>
        <v>71.460176762452377</v>
      </c>
      <c r="AW2259" s="121">
        <f>IF(tech_base!$T235&gt;AW$2025,"",fuel_costs!AO$17*0.086/tech_proj!AW359/(1-tech_proj!AW639))</f>
        <v>70.523220463682591</v>
      </c>
      <c r="AX2259" s="122">
        <f>IF(tech_base!$T235&gt;AX$2025,"",fuel_costs!AP$17*0.086/tech_proj!AX359/(1-tech_proj!AX639))</f>
        <v>69.569804234770487</v>
      </c>
    </row>
    <row r="2260" spans="1:50" x14ac:dyDescent="0.25">
      <c r="A2260" s="356"/>
      <c r="B2260" s="376"/>
      <c r="C2260" s="378"/>
      <c r="D2260" s="2" t="s">
        <v>10</v>
      </c>
      <c r="E2260" s="76" t="str">
        <f>A2259&amp;"/"&amp;B2259&amp;"/"&amp;C2259&amp;"/"&amp;D2260</f>
        <v>Fuel cells/Natural gas fuel cell power plant/Electricity only/S</v>
      </c>
      <c r="F2260" s="76" t="str">
        <f>A2259</f>
        <v>Fuel cells</v>
      </c>
      <c r="G2260" s="76" t="str">
        <f>B2259</f>
        <v>Natural gas fuel cell power plant</v>
      </c>
      <c r="H2260" s="76" t="str">
        <f>C2259</f>
        <v>Electricity only</v>
      </c>
      <c r="I2260" s="76" t="str">
        <f t="shared" si="390"/>
        <v>S</v>
      </c>
      <c r="J2260" s="119" t="str">
        <f>IF(tech_base!$T236&gt;J$2025,"",fuel_costs!B$17*0.086/tech_proj!J360/(1-tech_proj!J640))</f>
        <v/>
      </c>
      <c r="K2260" s="119" t="str">
        <f>IF(tech_base!$T236&gt;K$2025,"",fuel_costs!C$17*0.086/tech_proj!K360/(1-tech_proj!K640))</f>
        <v/>
      </c>
      <c r="L2260" s="119" t="str">
        <f>IF(tech_base!$T236&gt;L$2025,"",fuel_costs!D$17*0.086/tech_proj!L360/(1-tech_proj!L640))</f>
        <v/>
      </c>
      <c r="M2260" s="119" t="str">
        <f>IF(tech_base!$T236&gt;M$2025,"",fuel_costs!E$17*0.086/tech_proj!M360/(1-tech_proj!M640))</f>
        <v/>
      </c>
      <c r="N2260" s="119" t="str">
        <f>IF(tech_base!$T236&gt;N$2025,"",fuel_costs!F$17*0.086/tech_proj!N360/(1-tech_proj!N640))</f>
        <v/>
      </c>
      <c r="O2260" s="119" t="str">
        <f>IF(tech_base!$T236&gt;O$2025,"",fuel_costs!G$17*0.086/tech_proj!O360/(1-tech_proj!O640))</f>
        <v/>
      </c>
      <c r="P2260" s="119" t="str">
        <f>IF(tech_base!$T236&gt;P$2025,"",fuel_costs!H$17*0.086/tech_proj!P360/(1-tech_proj!P640))</f>
        <v/>
      </c>
      <c r="Q2260" s="119" t="str">
        <f>IF(tech_base!$T236&gt;Q$2025,"",fuel_costs!I$17*0.086/tech_proj!Q360/(1-tech_proj!Q640))</f>
        <v/>
      </c>
      <c r="R2260" s="119" t="str">
        <f>IF(tech_base!$T236&gt;R$2025,"",fuel_costs!J$17*0.086/tech_proj!R360/(1-tech_proj!R640))</f>
        <v/>
      </c>
      <c r="S2260" s="119" t="str">
        <f>IF(tech_base!$T236&gt;S$2025,"",fuel_costs!K$17*0.086/tech_proj!S360/(1-tech_proj!S640))</f>
        <v/>
      </c>
      <c r="T2260" s="119" t="str">
        <f>IF(tech_base!$T236&gt;T$2025,"",fuel_costs!L$17*0.086/tech_proj!T360/(1-tech_proj!T640))</f>
        <v/>
      </c>
      <c r="U2260" s="119" t="str">
        <f>IF(tech_base!$T236&gt;U$2025,"",fuel_costs!M$17*0.086/tech_proj!U360/(1-tech_proj!U640))</f>
        <v/>
      </c>
      <c r="V2260" s="119" t="str">
        <f>IF(tech_base!$T236&gt;V$2025,"",fuel_costs!N$17*0.086/tech_proj!V360/(1-tech_proj!V640))</f>
        <v/>
      </c>
      <c r="W2260" s="119" t="str">
        <f>IF(tech_base!$T236&gt;W$2025,"",fuel_costs!O$17*0.086/tech_proj!W360/(1-tech_proj!W640))</f>
        <v/>
      </c>
      <c r="X2260" s="119" t="str">
        <f>IF(tech_base!$T236&gt;X$2025,"",fuel_costs!P$17*0.086/tech_proj!X360/(1-tech_proj!X640))</f>
        <v/>
      </c>
      <c r="Y2260" s="119" t="str">
        <f>IF(tech_base!$T236&gt;Y$2025,"",fuel_costs!Q$17*0.086/tech_proj!Y360/(1-tech_proj!Y640))</f>
        <v/>
      </c>
      <c r="Z2260" s="119" t="str">
        <f>IF(tech_base!$T236&gt;Z$2025,"",fuel_costs!R$17*0.086/tech_proj!Z360/(1-tech_proj!Z640))</f>
        <v/>
      </c>
      <c r="AA2260" s="119" t="str">
        <f>IF(tech_base!$T236&gt;AA$2025,"",fuel_costs!S$17*0.086/tech_proj!AA360/(1-tech_proj!AA640))</f>
        <v/>
      </c>
      <c r="AB2260" s="119" t="str">
        <f>IF(tech_base!$T236&gt;AB$2025,"",fuel_costs!T$17*0.086/tech_proj!AB360/(1-tech_proj!AB640))</f>
        <v/>
      </c>
      <c r="AC2260" s="119">
        <f>IF(tech_base!$T236&gt;AC$2025,"",fuel_costs!U$17*0.086/tech_proj!AC360/(1-tech_proj!AC640))</f>
        <v>68.830817685063181</v>
      </c>
      <c r="AD2260" s="119">
        <f>IF(tech_base!$T236&gt;AD$2025,"",fuel_costs!V$17*0.086/tech_proj!AD360/(1-tech_proj!AD640))</f>
        <v>70.296676635008225</v>
      </c>
      <c r="AE2260" s="119">
        <f>IF(tech_base!$T236&gt;AE$2025,"",fuel_costs!W$17*0.086/tech_proj!AE360/(1-tech_proj!AE640))</f>
        <v>71.236384478801099</v>
      </c>
      <c r="AF2260" s="119">
        <f>IF(tech_base!$T236&gt;AF$2025,"",fuel_costs!X$17*0.086/tech_proj!AF360/(1-tech_proj!AF640))</f>
        <v>72.306173329132093</v>
      </c>
      <c r="AG2260" s="119">
        <f>IF(tech_base!$T236&gt;AG$2025,"",fuel_costs!Y$17*0.086/tech_proj!AG360/(1-tech_proj!AG640))</f>
        <v>73.2677444105299</v>
      </c>
      <c r="AH2260" s="119">
        <f>IF(tech_base!$T236&gt;AH$2025,"",fuel_costs!Z$17*0.086/tech_proj!AH360/(1-tech_proj!AH640))</f>
        <v>74.143374364180985</v>
      </c>
      <c r="AI2260" s="119">
        <f>IF(tech_base!$T236&gt;AI$2025,"",fuel_costs!AA$17*0.086/tech_proj!AI360/(1-tech_proj!AI640))</f>
        <v>74.79328389792768</v>
      </c>
      <c r="AJ2260" s="119">
        <f>IF(tech_base!$T236&gt;AJ$2025,"",fuel_costs!AB$17*0.086/tech_proj!AJ360/(1-tech_proj!AJ640))</f>
        <v>75.463186280782125</v>
      </c>
      <c r="AK2260" s="119">
        <f>IF(tech_base!$T236&gt;AK$2025,"",fuel_costs!AC$17*0.086/tech_proj!AK360/(1-tech_proj!AK640))</f>
        <v>75.997320037089295</v>
      </c>
      <c r="AL2260" s="119">
        <f>IF(tech_base!$T236&gt;AL$2025,"",fuel_costs!AD$17*0.086/tech_proj!AL360/(1-tech_proj!AL640))</f>
        <v>76.500477631874816</v>
      </c>
      <c r="AM2260" s="119">
        <f>IF(tech_base!$T236&gt;AM$2025,"",fuel_costs!AE$17*0.086/tech_proj!AM360/(1-tech_proj!AM640))</f>
        <v>77.041349464265124</v>
      </c>
      <c r="AN2260" s="119">
        <f>IF(tech_base!$T236&gt;AN$2025,"",fuel_costs!AF$17*0.086/tech_proj!AN360/(1-tech_proj!AN640))</f>
        <v>76.973386488944513</v>
      </c>
      <c r="AO2260" s="119">
        <f>IF(tech_base!$T236&gt;AO$2025,"",fuel_costs!AG$17*0.086/tech_proj!AO360/(1-tech_proj!AO640))</f>
        <v>77.050672305799139</v>
      </c>
      <c r="AP2260" s="119">
        <f>IF(tech_base!$T236&gt;AP$2025,"",fuel_costs!AH$17*0.086/tech_proj!AP360/(1-tech_proj!AP640))</f>
        <v>77.092539953120479</v>
      </c>
      <c r="AQ2260" s="119">
        <f>IF(tech_base!$T236&gt;AQ$2025,"",fuel_costs!AI$17*0.086/tech_proj!AQ360/(1-tech_proj!AQ640))</f>
        <v>77.119349895290156</v>
      </c>
      <c r="AR2260" s="119">
        <f>IF(tech_base!$T236&gt;AR$2025,"",fuel_costs!AJ$17*0.086/tech_proj!AR360/(1-tech_proj!AR640))</f>
        <v>77.197511123510438</v>
      </c>
      <c r="AS2260" s="119">
        <f>IF(tech_base!$T236&gt;AS$2025,"",fuel_costs!AK$17*0.086/tech_proj!AS360/(1-tech_proj!AS640))</f>
        <v>77.283758080139947</v>
      </c>
      <c r="AT2260" s="119">
        <f>IF(tech_base!$T236&gt;AT$2025,"",fuel_costs!AL$17*0.086/tech_proj!AT360/(1-tech_proj!AT640))</f>
        <v>77.238474797583436</v>
      </c>
      <c r="AU2260" s="119">
        <f>IF(tech_base!$T236&gt;AU$2025,"",fuel_costs!AM$17*0.086/tech_proj!AU360/(1-tech_proj!AU640))</f>
        <v>77.034205382002042</v>
      </c>
      <c r="AV2260" s="119">
        <f>IF(tech_base!$T236&gt;AV$2025,"",fuel_costs!AN$17*0.086/tech_proj!AV360/(1-tech_proj!AV640))</f>
        <v>76.637864302909534</v>
      </c>
      <c r="AW2260" s="119">
        <f>IF(tech_base!$T236&gt;AW$2025,"",fuel_costs!AO$17*0.086/tech_proj!AW360/(1-tech_proj!AW640))</f>
        <v>75.820294247990148</v>
      </c>
      <c r="AX2260" s="120">
        <f>IF(tech_base!$T236&gt;AX$2025,"",fuel_costs!AP$17*0.086/tech_proj!AX360/(1-tech_proj!AX640))</f>
        <v>74.974402507367742</v>
      </c>
    </row>
    <row r="2261" spans="1:50" x14ac:dyDescent="0.25">
      <c r="A2261" s="356"/>
      <c r="B2261" s="377"/>
      <c r="C2261" s="379"/>
      <c r="D2261" s="59" t="s">
        <v>20</v>
      </c>
      <c r="E2261" s="79" t="str">
        <f>A2259&amp;"/"&amp;B2259&amp;"/"&amp;C2259&amp;"/"&amp;D2261</f>
        <v>Fuel cells/Natural gas fuel cell power plant/Electricity only/XS</v>
      </c>
      <c r="F2261" s="79" t="str">
        <f>A2259</f>
        <v>Fuel cells</v>
      </c>
      <c r="G2261" s="79" t="str">
        <f>B2259</f>
        <v>Natural gas fuel cell power plant</v>
      </c>
      <c r="H2261" s="79" t="str">
        <f>C2259</f>
        <v>Electricity only</v>
      </c>
      <c r="I2261" s="79" t="str">
        <f t="shared" si="390"/>
        <v>XS</v>
      </c>
      <c r="J2261" s="125" t="str">
        <f>IF(tech_base!$T237&gt;J$2025,"",fuel_costs!B$17*0.086/tech_proj!J361/(1-tech_proj!J641))</f>
        <v/>
      </c>
      <c r="K2261" s="125" t="str">
        <f>IF(tech_base!$T237&gt;K$2025,"",fuel_costs!C$17*0.086/tech_proj!K361/(1-tech_proj!K641))</f>
        <v/>
      </c>
      <c r="L2261" s="125" t="str">
        <f>IF(tech_base!$T237&gt;L$2025,"",fuel_costs!D$17*0.086/tech_proj!L361/(1-tech_proj!L641))</f>
        <v/>
      </c>
      <c r="M2261" s="125" t="str">
        <f>IF(tech_base!$T237&gt;M$2025,"",fuel_costs!E$17*0.086/tech_proj!M361/(1-tech_proj!M641))</f>
        <v/>
      </c>
      <c r="N2261" s="125" t="str">
        <f>IF(tech_base!$T237&gt;N$2025,"",fuel_costs!F$17*0.086/tech_proj!N361/(1-tech_proj!N641))</f>
        <v/>
      </c>
      <c r="O2261" s="125" t="str">
        <f>IF(tech_base!$T237&gt;O$2025,"",fuel_costs!G$17*0.086/tech_proj!O361/(1-tech_proj!O641))</f>
        <v/>
      </c>
      <c r="P2261" s="125" t="str">
        <f>IF(tech_base!$T237&gt;P$2025,"",fuel_costs!H$17*0.086/tech_proj!P361/(1-tech_proj!P641))</f>
        <v/>
      </c>
      <c r="Q2261" s="125" t="str">
        <f>IF(tech_base!$T237&gt;Q$2025,"",fuel_costs!I$17*0.086/tech_proj!Q361/(1-tech_proj!Q641))</f>
        <v/>
      </c>
      <c r="R2261" s="125" t="str">
        <f>IF(tech_base!$T237&gt;R$2025,"",fuel_costs!J$17*0.086/tech_proj!R361/(1-tech_proj!R641))</f>
        <v/>
      </c>
      <c r="S2261" s="125" t="str">
        <f>IF(tech_base!$T237&gt;S$2025,"",fuel_costs!K$17*0.086/tech_proj!S361/(1-tech_proj!S641))</f>
        <v/>
      </c>
      <c r="T2261" s="125" t="str">
        <f>IF(tech_base!$T237&gt;T$2025,"",fuel_costs!L$17*0.086/tech_proj!T361/(1-tech_proj!T641))</f>
        <v/>
      </c>
      <c r="U2261" s="125" t="str">
        <f>IF(tech_base!$T237&gt;U$2025,"",fuel_costs!M$17*0.086/tech_proj!U361/(1-tech_proj!U641))</f>
        <v/>
      </c>
      <c r="V2261" s="125" t="str">
        <f>IF(tech_base!$T237&gt;V$2025,"",fuel_costs!N$17*0.086/tech_proj!V361/(1-tech_proj!V641))</f>
        <v/>
      </c>
      <c r="W2261" s="125" t="str">
        <f>IF(tech_base!$T237&gt;W$2025,"",fuel_costs!O$17*0.086/tech_proj!W361/(1-tech_proj!W641))</f>
        <v/>
      </c>
      <c r="X2261" s="125" t="str">
        <f>IF(tech_base!$T237&gt;X$2025,"",fuel_costs!P$17*0.086/tech_proj!X361/(1-tech_proj!X641))</f>
        <v/>
      </c>
      <c r="Y2261" s="125" t="str">
        <f>IF(tech_base!$T237&gt;Y$2025,"",fuel_costs!Q$17*0.086/tech_proj!Y361/(1-tech_proj!Y641))</f>
        <v/>
      </c>
      <c r="Z2261" s="125">
        <f>IF(tech_base!$T237&gt;Z$2025,"",fuel_costs!R$17*0.086/tech_proj!Z361/(1-tech_proj!Z641))</f>
        <v>69.850530412705382</v>
      </c>
      <c r="AA2261" s="125">
        <f>IF(tech_base!$T237&gt;AA$2025,"",fuel_costs!S$17*0.086/tech_proj!AA361/(1-tech_proj!AA641))</f>
        <v>70.820599092691012</v>
      </c>
      <c r="AB2261" s="125">
        <f>IF(tech_base!$T237&gt;AB$2025,"",fuel_costs!T$17*0.086/tech_proj!AB361/(1-tech_proj!AB641))</f>
        <v>71.894631946477929</v>
      </c>
      <c r="AC2261" s="125">
        <f>IF(tech_base!$T237&gt;AC$2025,"",fuel_costs!U$17*0.086/tech_proj!AC361/(1-tech_proj!AC641))</f>
        <v>72.970681075708939</v>
      </c>
      <c r="AD2261" s="125">
        <f>IF(tech_base!$T237&gt;AD$2025,"",fuel_costs!V$17*0.086/tech_proj!AD361/(1-tech_proj!AD641))</f>
        <v>74.524704833320442</v>
      </c>
      <c r="AE2261" s="125">
        <f>IF(tech_base!$T237&gt;AE$2025,"",fuel_costs!W$17*0.086/tech_proj!AE361/(1-tech_proj!AE641))</f>
        <v>75.520931867662824</v>
      </c>
      <c r="AF2261" s="125">
        <f>IF(tech_base!$T237&gt;AF$2025,"",fuel_costs!X$17*0.086/tech_proj!AF361/(1-tech_proj!AF641))</f>
        <v>76.655063694674269</v>
      </c>
      <c r="AG2261" s="125">
        <f>IF(tech_base!$T237&gt;AG$2025,"",fuel_costs!Y$17*0.086/tech_proj!AG361/(1-tech_proj!AG641))</f>
        <v>77.674468941802843</v>
      </c>
      <c r="AH2261" s="125">
        <f>IF(tech_base!$T237&gt;AH$2025,"",fuel_costs!Z$17*0.086/tech_proj!AH361/(1-tech_proj!AH641))</f>
        <v>78.602764089778077</v>
      </c>
      <c r="AI2261" s="125">
        <f>IF(tech_base!$T237&gt;AI$2025,"",fuel_costs!AA$17*0.086/tech_proj!AI361/(1-tech_proj!AI641))</f>
        <v>79.314192435143184</v>
      </c>
      <c r="AJ2261" s="125">
        <f>IF(tech_base!$T237&gt;AJ$2025,"",fuel_costs!AB$17*0.086/tech_proj!AJ361/(1-tech_proj!AJ641))</f>
        <v>80.032431548957391</v>
      </c>
      <c r="AK2261" s="125">
        <f>IF(tech_base!$T237&gt;AK$2025,"",fuel_costs!AC$17*0.086/tech_proj!AK361/(1-tech_proj!AK641))</f>
        <v>80.60951004519184</v>
      </c>
      <c r="AL2261" s="125">
        <f>IF(tech_base!$T237&gt;AL$2025,"",fuel_costs!AD$17*0.086/tech_proj!AL361/(1-tech_proj!AL641))</f>
        <v>81.157501540608749</v>
      </c>
      <c r="AM2261" s="125">
        <f>IF(tech_base!$T237&gt;AM$2025,"",fuel_costs!AE$17*0.086/tech_proj!AM361/(1-tech_proj!AM641))</f>
        <v>81.75053580114168</v>
      </c>
      <c r="AN2261" s="125">
        <f>IF(tech_base!$T237&gt;AN$2025,"",fuel_costs!AF$17*0.086/tech_proj!AN361/(1-tech_proj!AN641))</f>
        <v>81.704001681761127</v>
      </c>
      <c r="AO2261" s="125">
        <f>IF(tech_base!$T237&gt;AO$2025,"",fuel_costs!AG$17*0.086/tech_proj!AO361/(1-tech_proj!AO641))</f>
        <v>81.819957374502096</v>
      </c>
      <c r="AP2261" s="125">
        <f>IF(tech_base!$T237&gt;AP$2025,"",fuel_costs!AH$17*0.086/tech_proj!AP361/(1-tech_proj!AP641))</f>
        <v>81.909069502886283</v>
      </c>
      <c r="AQ2261" s="125">
        <f>IF(tech_base!$T237&gt;AQ$2025,"",fuel_costs!AI$17*0.086/tech_proj!AQ361/(1-tech_proj!AQ641))</f>
        <v>81.995792456478995</v>
      </c>
      <c r="AR2261" s="125">
        <f>IF(tech_base!$T237&gt;AR$2025,"",fuel_costs!AJ$17*0.086/tech_proj!AR361/(1-tech_proj!AR641))</f>
        <v>82.153967329921727</v>
      </c>
      <c r="AS2261" s="125">
        <f>IF(tech_base!$T237&gt;AS$2025,"",fuel_costs!AK$17*0.086/tech_proj!AS361/(1-tech_proj!AS641))</f>
        <v>82.340912599635047</v>
      </c>
      <c r="AT2261" s="125">
        <f>IF(tech_base!$T237&gt;AT$2025,"",fuel_costs!AL$17*0.086/tech_proj!AT361/(1-tech_proj!AT641))</f>
        <v>82.410345805971716</v>
      </c>
      <c r="AU2261" s="125">
        <f>IF(tech_base!$T237&gt;AU$2025,"",fuel_costs!AM$17*0.086/tech_proj!AU361/(1-tech_proj!AU641))</f>
        <v>82.33312863029029</v>
      </c>
      <c r="AV2261" s="125">
        <f>IF(tech_base!$T237&gt;AV$2025,"",fuel_costs!AN$17*0.086/tech_proj!AV361/(1-tech_proj!AV641))</f>
        <v>82.070338599270144</v>
      </c>
      <c r="AW2261" s="125">
        <f>IF(tech_base!$T237&gt;AW$2025,"",fuel_costs!AO$17*0.086/tech_proj!AW361/(1-tech_proj!AW641))</f>
        <v>81.367161829761173</v>
      </c>
      <c r="AX2261" s="126">
        <f>IF(tech_base!$T237&gt;AX$2025,"",fuel_costs!AP$17*0.086/tech_proj!AX361/(1-tech_proj!AX641))</f>
        <v>80.629861533510692</v>
      </c>
    </row>
    <row r="2262" spans="1:50" x14ac:dyDescent="0.25">
      <c r="A2262" s="356"/>
      <c r="B2262" s="359" t="s">
        <v>33</v>
      </c>
      <c r="C2262" s="350" t="s">
        <v>6</v>
      </c>
      <c r="D2262" s="2" t="s">
        <v>8</v>
      </c>
      <c r="E2262" s="76" t="str">
        <f>A2259&amp;"/"&amp;B2262&amp;"/"&amp;C2262&amp;"/"&amp;D2262</f>
        <v>Fuel cells/Hydrogen fuel cell power plant/Electricity only/M</v>
      </c>
      <c r="F2262" s="76" t="str">
        <f>A2259</f>
        <v>Fuel cells</v>
      </c>
      <c r="G2262" s="76" t="str">
        <f>B2262</f>
        <v>Hydrogen fuel cell power plant</v>
      </c>
      <c r="H2262" s="76" t="str">
        <f>C2262</f>
        <v>Electricity only</v>
      </c>
      <c r="I2262" s="76" t="str">
        <f t="shared" si="390"/>
        <v>M</v>
      </c>
      <c r="J2262" s="119" t="str">
        <f>IF(tech_base!$T238&gt;J$2025,"",fuel_costs!B$18*0.086/tech_proj!J362/(1-tech_proj!J642))</f>
        <v/>
      </c>
      <c r="K2262" s="119" t="str">
        <f>IF(tech_base!$T238&gt;K$2025,"",fuel_costs!C$18*0.086/tech_proj!K362/(1-tech_proj!K642))</f>
        <v/>
      </c>
      <c r="L2262" s="119" t="str">
        <f>IF(tech_base!$T238&gt;L$2025,"",fuel_costs!D$18*0.086/tech_proj!L362/(1-tech_proj!L642))</f>
        <v/>
      </c>
      <c r="M2262" s="119" t="str">
        <f>IF(tech_base!$T238&gt;M$2025,"",fuel_costs!E$18*0.086/tech_proj!M362/(1-tech_proj!M642))</f>
        <v/>
      </c>
      <c r="N2262" s="119" t="str">
        <f>IF(tech_base!$T238&gt;N$2025,"",fuel_costs!F$18*0.086/tech_proj!N362/(1-tech_proj!N642))</f>
        <v/>
      </c>
      <c r="O2262" s="119" t="str">
        <f>IF(tech_base!$T238&gt;O$2025,"",fuel_costs!G$18*0.086/tech_proj!O362/(1-tech_proj!O642))</f>
        <v/>
      </c>
      <c r="P2262" s="119" t="str">
        <f>IF(tech_base!$T238&gt;P$2025,"",fuel_costs!H$18*0.086/tech_proj!P362/(1-tech_proj!P642))</f>
        <v/>
      </c>
      <c r="Q2262" s="119" t="str">
        <f>IF(tech_base!$T238&gt;Q$2025,"",fuel_costs!I$18*0.086/tech_proj!Q362/(1-tech_proj!Q642))</f>
        <v/>
      </c>
      <c r="R2262" s="119" t="str">
        <f>IF(tech_base!$T238&gt;R$2025,"",fuel_costs!J$18*0.086/tech_proj!R362/(1-tech_proj!R642))</f>
        <v/>
      </c>
      <c r="S2262" s="119" t="str">
        <f>IF(tech_base!$T238&gt;S$2025,"",fuel_costs!K$18*0.086/tech_proj!S362/(1-tech_proj!S642))</f>
        <v/>
      </c>
      <c r="T2262" s="119" t="str">
        <f>IF(tech_base!$T238&gt;T$2025,"",fuel_costs!L$18*0.086/tech_proj!T362/(1-tech_proj!T642))</f>
        <v/>
      </c>
      <c r="U2262" s="119" t="str">
        <f>IF(tech_base!$T238&gt;U$2025,"",fuel_costs!M$18*0.086/tech_proj!U362/(1-tech_proj!U642))</f>
        <v/>
      </c>
      <c r="V2262" s="119" t="str">
        <f>IF(tech_base!$T238&gt;V$2025,"",fuel_costs!N$18*0.086/tech_proj!V362/(1-tech_proj!V642))</f>
        <v/>
      </c>
      <c r="W2262" s="119" t="str">
        <f>IF(tech_base!$T238&gt;W$2025,"",fuel_costs!O$18*0.086/tech_proj!W362/(1-tech_proj!W642))</f>
        <v/>
      </c>
      <c r="X2262" s="119" t="str">
        <f>IF(tech_base!$T238&gt;X$2025,"",fuel_costs!P$18*0.086/tech_proj!X362/(1-tech_proj!X642))</f>
        <v/>
      </c>
      <c r="Y2262" s="119" t="str">
        <f>IF(tech_base!$T238&gt;Y$2025,"",fuel_costs!Q$18*0.086/tech_proj!Y362/(1-tech_proj!Y642))</f>
        <v/>
      </c>
      <c r="Z2262" s="119" t="str">
        <f>IF(tech_base!$T238&gt;Z$2025,"",fuel_costs!R$18*0.086/tech_proj!Z362/(1-tech_proj!Z642))</f>
        <v/>
      </c>
      <c r="AA2262" s="119" t="str">
        <f>IF(tech_base!$T238&gt;AA$2025,"",fuel_costs!S$18*0.086/tech_proj!AA362/(1-tech_proj!AA642))</f>
        <v/>
      </c>
      <c r="AB2262" s="119" t="str">
        <f>IF(tech_base!$T238&gt;AB$2025,"",fuel_costs!T$18*0.086/tech_proj!AB362/(1-tech_proj!AB642))</f>
        <v/>
      </c>
      <c r="AC2262" s="119" t="str">
        <f>IF(tech_base!$T238&gt;AC$2025,"",fuel_costs!U$18*0.086/tech_proj!AC362/(1-tech_proj!AC642))</f>
        <v/>
      </c>
      <c r="AD2262" s="119" t="str">
        <f>IF(tech_base!$T238&gt;AD$2025,"",fuel_costs!V$18*0.086/tech_proj!AD362/(1-tech_proj!AD642))</f>
        <v/>
      </c>
      <c r="AE2262" s="119" t="str">
        <f>IF(tech_base!$T238&gt;AE$2025,"",fuel_costs!W$18*0.086/tech_proj!AE362/(1-tech_proj!AE642))</f>
        <v/>
      </c>
      <c r="AF2262" s="119" t="str">
        <f>IF(tech_base!$T238&gt;AF$2025,"",fuel_costs!X$18*0.086/tech_proj!AF362/(1-tech_proj!AF642))</f>
        <v/>
      </c>
      <c r="AG2262" s="119">
        <f>IF(tech_base!$T238&gt;AG$2025,"",fuel_costs!Y$18*0.086/tech_proj!AG362/(1-tech_proj!AG642))</f>
        <v>142.79205854897813</v>
      </c>
      <c r="AH2262" s="119">
        <f>IF(tech_base!$T238&gt;AH$2025,"",fuel_costs!Z$18*0.086/tech_proj!AH362/(1-tech_proj!AH642))</f>
        <v>139.42864817630411</v>
      </c>
      <c r="AI2262" s="119">
        <f>IF(tech_base!$T238&gt;AI$2025,"",fuel_costs!AA$18*0.086/tech_proj!AI362/(1-tech_proj!AI642))</f>
        <v>136.06523780363011</v>
      </c>
      <c r="AJ2262" s="119">
        <f>IF(tech_base!$T238&gt;AJ$2025,"",fuel_costs!AB$18*0.086/tech_proj!AJ362/(1-tech_proj!AJ642))</f>
        <v>133.07180257195023</v>
      </c>
      <c r="AK2262" s="119">
        <f>IF(tech_base!$T238&gt;AK$2025,"",fuel_costs!AC$18*0.086/tech_proj!AK362/(1-tech_proj!AK642))</f>
        <v>130.07836734027038</v>
      </c>
      <c r="AL2262" s="119">
        <f>IF(tech_base!$T238&gt;AL$2025,"",fuel_costs!AD$18*0.086/tech_proj!AL362/(1-tech_proj!AL642))</f>
        <v>127.08493210859052</v>
      </c>
      <c r="AM2262" s="119">
        <f>IF(tech_base!$T238&gt;AM$2025,"",fuel_costs!AE$18*0.086/tech_proj!AM362/(1-tech_proj!AM642))</f>
        <v>124.09149687691067</v>
      </c>
      <c r="AN2262" s="119">
        <f>IF(tech_base!$T238&gt;AN$2025,"",fuel_costs!AF$18*0.086/tech_proj!AN362/(1-tech_proj!AN642))</f>
        <v>120.33724370627507</v>
      </c>
      <c r="AO2262" s="119">
        <f>IF(tech_base!$T238&gt;AO$2025,"",fuel_costs!AG$18*0.086/tech_proj!AO362/(1-tech_proj!AO642))</f>
        <v>117.44113991278297</v>
      </c>
      <c r="AP2262" s="119">
        <f>IF(tech_base!$T238&gt;AP$2025,"",fuel_costs!AH$18*0.086/tech_proj!AP362/(1-tech_proj!AP642))</f>
        <v>114.4801173103294</v>
      </c>
      <c r="AQ2262" s="119">
        <f>IF(tech_base!$T238&gt;AQ$2025,"",fuel_costs!AI$18*0.086/tech_proj!AQ362/(1-tech_proj!AQ642))</f>
        <v>111.44003570593775</v>
      </c>
      <c r="AR2262" s="119">
        <f>IF(tech_base!$T238&gt;AR$2025,"",fuel_costs!AJ$18*0.086/tech_proj!AR362/(1-tech_proj!AR642))</f>
        <v>108.3065295057646</v>
      </c>
      <c r="AS2262" s="119">
        <f>IF(tech_base!$T238&gt;AS$2025,"",fuel_costs!AK$18*0.086/tech_proj!AS362/(1-tech_proj!AS642))</f>
        <v>105.06729066838612</v>
      </c>
      <c r="AT2262" s="119">
        <f>IF(tech_base!$T238&gt;AT$2025,"",fuel_costs!AL$18*0.086/tech_proj!AT362/(1-tech_proj!AT642))</f>
        <v>101.99944374760162</v>
      </c>
      <c r="AU2262" s="119">
        <f>IF(tech_base!$T238&gt;AU$2025,"",fuel_costs!AM$18*0.086/tech_proj!AU362/(1-tech_proj!AU642))</f>
        <v>98.819163248121498</v>
      </c>
      <c r="AV2262" s="119">
        <f>IF(tech_base!$T238&gt;AV$2025,"",fuel_costs!AN$18*0.086/tech_proj!AV362/(1-tech_proj!AV642))</f>
        <v>95.547693665781594</v>
      </c>
      <c r="AW2262" s="119">
        <f>IF(tech_base!$T238&gt;AW$2025,"",fuel_costs!AO$18*0.086/tech_proj!AW362/(1-tech_proj!AW642))</f>
        <v>92.229320779682908</v>
      </c>
      <c r="AX2262" s="120">
        <f>IF(tech_base!$T238&gt;AX$2025,"",fuel_costs!AP$18*0.086/tech_proj!AX362/(1-tech_proj!AX642))</f>
        <v>88.93143891068182</v>
      </c>
    </row>
    <row r="2263" spans="1:50" x14ac:dyDescent="0.25">
      <c r="A2263" s="356"/>
      <c r="B2263" s="376"/>
      <c r="C2263" s="378"/>
      <c r="D2263" s="2" t="s">
        <v>10</v>
      </c>
      <c r="E2263" s="76" t="str">
        <f>A2259&amp;"/"&amp;B2262&amp;"/"&amp;C2262&amp;"/"&amp;D2263</f>
        <v>Fuel cells/Hydrogen fuel cell power plant/Electricity only/S</v>
      </c>
      <c r="F2263" s="76" t="str">
        <f>A2259</f>
        <v>Fuel cells</v>
      </c>
      <c r="G2263" s="76" t="str">
        <f>B2262</f>
        <v>Hydrogen fuel cell power plant</v>
      </c>
      <c r="H2263" s="76" t="str">
        <f>C2262</f>
        <v>Electricity only</v>
      </c>
      <c r="I2263" s="76" t="str">
        <f t="shared" si="390"/>
        <v>S</v>
      </c>
      <c r="J2263" s="119" t="str">
        <f>IF(tech_base!$T239&gt;J$2025,"",fuel_costs!B$18*0.086/tech_proj!J363/(1-tech_proj!J643))</f>
        <v/>
      </c>
      <c r="K2263" s="119" t="str">
        <f>IF(tech_base!$T239&gt;K$2025,"",fuel_costs!C$18*0.086/tech_proj!K363/(1-tech_proj!K643))</f>
        <v/>
      </c>
      <c r="L2263" s="119" t="str">
        <f>IF(tech_base!$T239&gt;L$2025,"",fuel_costs!D$18*0.086/tech_proj!L363/(1-tech_proj!L643))</f>
        <v/>
      </c>
      <c r="M2263" s="119" t="str">
        <f>IF(tech_base!$T239&gt;M$2025,"",fuel_costs!E$18*0.086/tech_proj!M363/(1-tech_proj!M643))</f>
        <v/>
      </c>
      <c r="N2263" s="119" t="str">
        <f>IF(tech_base!$T239&gt;N$2025,"",fuel_costs!F$18*0.086/tech_proj!N363/(1-tech_proj!N643))</f>
        <v/>
      </c>
      <c r="O2263" s="119" t="str">
        <f>IF(tech_base!$T239&gt;O$2025,"",fuel_costs!G$18*0.086/tech_proj!O363/(1-tech_proj!O643))</f>
        <v/>
      </c>
      <c r="P2263" s="119" t="str">
        <f>IF(tech_base!$T239&gt;P$2025,"",fuel_costs!H$18*0.086/tech_proj!P363/(1-tech_proj!P643))</f>
        <v/>
      </c>
      <c r="Q2263" s="119" t="str">
        <f>IF(tech_base!$T239&gt;Q$2025,"",fuel_costs!I$18*0.086/tech_proj!Q363/(1-tech_proj!Q643))</f>
        <v/>
      </c>
      <c r="R2263" s="119" t="str">
        <f>IF(tech_base!$T239&gt;R$2025,"",fuel_costs!J$18*0.086/tech_proj!R363/(1-tech_proj!R643))</f>
        <v/>
      </c>
      <c r="S2263" s="119" t="str">
        <f>IF(tech_base!$T239&gt;S$2025,"",fuel_costs!K$18*0.086/tech_proj!S363/(1-tech_proj!S643))</f>
        <v/>
      </c>
      <c r="T2263" s="119" t="str">
        <f>IF(tech_base!$T239&gt;T$2025,"",fuel_costs!L$18*0.086/tech_proj!T363/(1-tech_proj!T643))</f>
        <v/>
      </c>
      <c r="U2263" s="119" t="str">
        <f>IF(tech_base!$T239&gt;U$2025,"",fuel_costs!M$18*0.086/tech_proj!U363/(1-tech_proj!U643))</f>
        <v/>
      </c>
      <c r="V2263" s="119" t="str">
        <f>IF(tech_base!$T239&gt;V$2025,"",fuel_costs!N$18*0.086/tech_proj!V363/(1-tech_proj!V643))</f>
        <v/>
      </c>
      <c r="W2263" s="119" t="str">
        <f>IF(tech_base!$T239&gt;W$2025,"",fuel_costs!O$18*0.086/tech_proj!W363/(1-tech_proj!W643))</f>
        <v/>
      </c>
      <c r="X2263" s="119" t="str">
        <f>IF(tech_base!$T239&gt;X$2025,"",fuel_costs!P$18*0.086/tech_proj!X363/(1-tech_proj!X643))</f>
        <v/>
      </c>
      <c r="Y2263" s="119" t="str">
        <f>IF(tech_base!$T239&gt;Y$2025,"",fuel_costs!Q$18*0.086/tech_proj!Y363/(1-tech_proj!Y643))</f>
        <v/>
      </c>
      <c r="Z2263" s="119" t="str">
        <f>IF(tech_base!$T239&gt;Z$2025,"",fuel_costs!R$18*0.086/tech_proj!Z363/(1-tech_proj!Z643))</f>
        <v/>
      </c>
      <c r="AA2263" s="119" t="str">
        <f>IF(tech_base!$T239&gt;AA$2025,"",fuel_costs!S$18*0.086/tech_proj!AA363/(1-tech_proj!AA643))</f>
        <v/>
      </c>
      <c r="AB2263" s="119" t="str">
        <f>IF(tech_base!$T239&gt;AB$2025,"",fuel_costs!T$18*0.086/tech_proj!AB363/(1-tech_proj!AB643))</f>
        <v/>
      </c>
      <c r="AC2263" s="119" t="str">
        <f>IF(tech_base!$T239&gt;AC$2025,"",fuel_costs!U$18*0.086/tech_proj!AC363/(1-tech_proj!AC643))</f>
        <v/>
      </c>
      <c r="AD2263" s="119" t="str">
        <f>IF(tech_base!$T239&gt;AD$2025,"",fuel_costs!V$18*0.086/tech_proj!AD363/(1-tech_proj!AD643))</f>
        <v/>
      </c>
      <c r="AE2263" s="119">
        <f>IF(tech_base!$T239&gt;AE$2025,"",fuel_costs!W$18*0.086/tech_proj!AE363/(1-tech_proj!AE643))</f>
        <v>157.29700337976163</v>
      </c>
      <c r="AF2263" s="119">
        <f>IF(tech_base!$T239&gt;AF$2025,"",fuel_costs!X$18*0.086/tech_proj!AF363/(1-tech_proj!AF643))</f>
        <v>153.75862498062588</v>
      </c>
      <c r="AG2263" s="119">
        <f>IF(tech_base!$T239&gt;AG$2025,"",fuel_costs!Y$18*0.086/tech_proj!AG363/(1-tech_proj!AG643))</f>
        <v>150.22024658149013</v>
      </c>
      <c r="AH2263" s="119">
        <f>IF(tech_base!$T239&gt;AH$2025,"",fuel_costs!Z$18*0.086/tech_proj!AH363/(1-tech_proj!AH643))</f>
        <v>146.68186818235441</v>
      </c>
      <c r="AI2263" s="119">
        <f>IF(tech_base!$T239&gt;AI$2025,"",fuel_costs!AA$18*0.086/tech_proj!AI363/(1-tech_proj!AI643))</f>
        <v>143.14348978321866</v>
      </c>
      <c r="AJ2263" s="119">
        <f>IF(tech_base!$T239&gt;AJ$2025,"",fuel_costs!AB$18*0.086/tech_proj!AJ363/(1-tech_proj!AJ643))</f>
        <v>139.99433300798785</v>
      </c>
      <c r="AK2263" s="119">
        <f>IF(tech_base!$T239&gt;AK$2025,"",fuel_costs!AC$18*0.086/tech_proj!AK363/(1-tech_proj!AK643))</f>
        <v>136.84517623275701</v>
      </c>
      <c r="AL2263" s="119">
        <f>IF(tech_base!$T239&gt;AL$2025,"",fuel_costs!AD$18*0.086/tech_proj!AL363/(1-tech_proj!AL643))</f>
        <v>133.69601945752623</v>
      </c>
      <c r="AM2263" s="119">
        <f>IF(tech_base!$T239&gt;AM$2025,"",fuel_costs!AE$18*0.086/tech_proj!AM363/(1-tech_proj!AM643))</f>
        <v>130.54686268229543</v>
      </c>
      <c r="AN2263" s="119">
        <f>IF(tech_base!$T239&gt;AN$2025,"",fuel_costs!AF$18*0.086/tech_proj!AN363/(1-tech_proj!AN643))</f>
        <v>126.85243668922828</v>
      </c>
      <c r="AO2263" s="119">
        <f>IF(tech_base!$T239&gt;AO$2025,"",fuel_costs!AG$18*0.086/tech_proj!AO363/(1-tech_proj!AO643))</f>
        <v>123.88241229425046</v>
      </c>
      <c r="AP2263" s="119">
        <f>IF(tech_base!$T239&gt;AP$2025,"",fuel_costs!AH$18*0.086/tech_proj!AP363/(1-tech_proj!AP643))</f>
        <v>120.86476263028729</v>
      </c>
      <c r="AQ2263" s="119">
        <f>IF(tech_base!$T239&gt;AQ$2025,"",fuel_costs!AI$18*0.086/tech_proj!AQ363/(1-tech_proj!AQ643))</f>
        <v>117.78847282068826</v>
      </c>
      <c r="AR2263" s="119">
        <f>IF(tech_base!$T239&gt;AR$2025,"",fuel_costs!AJ$18*0.086/tech_proj!AR363/(1-tech_proj!AR643))</f>
        <v>114.6417613049538</v>
      </c>
      <c r="AS2263" s="119">
        <f>IF(tech_base!$T239&gt;AS$2025,"",fuel_costs!AK$18*0.086/tech_proj!AS363/(1-tech_proj!AS643))</f>
        <v>111.41338170458482</v>
      </c>
      <c r="AT2263" s="119">
        <f>IF(tech_base!$T239&gt;AT$2025,"",fuel_costs!AL$18*0.086/tech_proj!AT363/(1-tech_proj!AT643))</f>
        <v>108.39628541052521</v>
      </c>
      <c r="AU2263" s="119">
        <f>IF(tech_base!$T239&gt;AU$2025,"",fuel_costs!AM$18*0.086/tech_proj!AU363/(1-tech_proj!AU643))</f>
        <v>105.2831416209393</v>
      </c>
      <c r="AV2263" s="119">
        <f>IF(tech_base!$T239&gt;AV$2025,"",fuel_costs!AN$18*0.086/tech_proj!AV363/(1-tech_proj!AV643))</f>
        <v>102.0815255683225</v>
      </c>
      <c r="AW2263" s="119">
        <f>IF(tech_base!$T239&gt;AW$2025,"",fuel_costs!AO$18*0.086/tech_proj!AW363/(1-tech_proj!AW643))</f>
        <v>98.814320504663897</v>
      </c>
      <c r="AX2263" s="120">
        <f>IF(tech_base!$T239&gt;AX$2025,"",fuel_costs!AP$18*0.086/tech_proj!AX363/(1-tech_proj!AX643))</f>
        <v>95.522205073175456</v>
      </c>
    </row>
    <row r="2264" spans="1:50" x14ac:dyDescent="0.25">
      <c r="A2264" s="357"/>
      <c r="B2264" s="380"/>
      <c r="C2264" s="381"/>
      <c r="D2264" s="4" t="s">
        <v>20</v>
      </c>
      <c r="E2264" s="76" t="str">
        <f>A2259&amp;"/"&amp;B2262&amp;"/"&amp;C2262&amp;"/"&amp;D2264</f>
        <v>Fuel cells/Hydrogen fuel cell power plant/Electricity only/XS</v>
      </c>
      <c r="F2264" s="76" t="str">
        <f>A2259</f>
        <v>Fuel cells</v>
      </c>
      <c r="G2264" s="76" t="str">
        <f>B2262</f>
        <v>Hydrogen fuel cell power plant</v>
      </c>
      <c r="H2264" s="76" t="str">
        <f>C2262</f>
        <v>Electricity only</v>
      </c>
      <c r="I2264" s="76" t="str">
        <f t="shared" si="390"/>
        <v>XS</v>
      </c>
      <c r="J2264" s="119" t="str">
        <f>IF(tech_base!$T240&gt;J$2025,"",fuel_costs!B$18*0.086/tech_proj!J364/(1-tech_proj!J644))</f>
        <v/>
      </c>
      <c r="K2264" s="119" t="str">
        <f>IF(tech_base!$T240&gt;K$2025,"",fuel_costs!C$18*0.086/tech_proj!K364/(1-tech_proj!K644))</f>
        <v/>
      </c>
      <c r="L2264" s="119" t="str">
        <f>IF(tech_base!$T240&gt;L$2025,"",fuel_costs!D$18*0.086/tech_proj!L364/(1-tech_proj!L644))</f>
        <v/>
      </c>
      <c r="M2264" s="119" t="str">
        <f>IF(tech_base!$T240&gt;M$2025,"",fuel_costs!E$18*0.086/tech_proj!M364/(1-tech_proj!M644))</f>
        <v/>
      </c>
      <c r="N2264" s="119" t="str">
        <f>IF(tech_base!$T240&gt;N$2025,"",fuel_costs!F$18*0.086/tech_proj!N364/(1-tech_proj!N644))</f>
        <v/>
      </c>
      <c r="O2264" s="119" t="str">
        <f>IF(tech_base!$T240&gt;O$2025,"",fuel_costs!G$18*0.086/tech_proj!O364/(1-tech_proj!O644))</f>
        <v/>
      </c>
      <c r="P2264" s="119" t="str">
        <f>IF(tech_base!$T240&gt;P$2025,"",fuel_costs!H$18*0.086/tech_proj!P364/(1-tech_proj!P644))</f>
        <v/>
      </c>
      <c r="Q2264" s="119" t="str">
        <f>IF(tech_base!$T240&gt;Q$2025,"",fuel_costs!I$18*0.086/tech_proj!Q364/(1-tech_proj!Q644))</f>
        <v/>
      </c>
      <c r="R2264" s="119" t="str">
        <f>IF(tech_base!$T240&gt;R$2025,"",fuel_costs!J$18*0.086/tech_proj!R364/(1-tech_proj!R644))</f>
        <v/>
      </c>
      <c r="S2264" s="119" t="str">
        <f>IF(tech_base!$T240&gt;S$2025,"",fuel_costs!K$18*0.086/tech_proj!S364/(1-tech_proj!S644))</f>
        <v/>
      </c>
      <c r="T2264" s="119" t="str">
        <f>IF(tech_base!$T240&gt;T$2025,"",fuel_costs!L$18*0.086/tech_proj!T364/(1-tech_proj!T644))</f>
        <v/>
      </c>
      <c r="U2264" s="119" t="str">
        <f>IF(tech_base!$T240&gt;U$2025,"",fuel_costs!M$18*0.086/tech_proj!U364/(1-tech_proj!U644))</f>
        <v/>
      </c>
      <c r="V2264" s="119" t="str">
        <f>IF(tech_base!$T240&gt;V$2025,"",fuel_costs!N$18*0.086/tech_proj!V364/(1-tech_proj!V644))</f>
        <v/>
      </c>
      <c r="W2264" s="119" t="str">
        <f>IF(tech_base!$T240&gt;W$2025,"",fuel_costs!O$18*0.086/tech_proj!W364/(1-tech_proj!W644))</f>
        <v/>
      </c>
      <c r="X2264" s="119" t="str">
        <f>IF(tech_base!$T240&gt;X$2025,"",fuel_costs!P$18*0.086/tech_proj!X364/(1-tech_proj!X644))</f>
        <v/>
      </c>
      <c r="Y2264" s="119" t="str">
        <f>IF(tech_base!$T240&gt;Y$2025,"",fuel_costs!Q$18*0.086/tech_proj!Y364/(1-tech_proj!Y644))</f>
        <v/>
      </c>
      <c r="Z2264" s="119" t="str">
        <f>IF(tech_base!$T240&gt;Z$2025,"",fuel_costs!R$18*0.086/tech_proj!Z364/(1-tech_proj!Z644))</f>
        <v/>
      </c>
      <c r="AA2264" s="119" t="str">
        <f>IF(tech_base!$T240&gt;AA$2025,"",fuel_costs!S$18*0.086/tech_proj!AA364/(1-tech_proj!AA644))</f>
        <v/>
      </c>
      <c r="AB2264" s="119">
        <f>IF(tech_base!$T240&gt;AB$2025,"",fuel_costs!T$18*0.086/tech_proj!AB364/(1-tech_proj!AB644))</f>
        <v>177.5850358934114</v>
      </c>
      <c r="AC2264" s="119">
        <f>IF(tech_base!$T240&gt;AC$2025,"",fuel_costs!U$18*0.086/tech_proj!AC364/(1-tech_proj!AC644))</f>
        <v>173.40209072247455</v>
      </c>
      <c r="AD2264" s="119">
        <f>IF(tech_base!$T240&gt;AD$2025,"",fuel_costs!V$18*0.086/tech_proj!AD364/(1-tech_proj!AD644))</f>
        <v>169.21914555153765</v>
      </c>
      <c r="AE2264" s="119">
        <f>IF(tech_base!$T240&gt;AE$2025,"",fuel_costs!W$18*0.086/tech_proj!AE364/(1-tech_proj!AE644))</f>
        <v>165.49632434940384</v>
      </c>
      <c r="AF2264" s="119">
        <f>IF(tech_base!$T240&gt;AF$2025,"",fuel_costs!X$18*0.086/tech_proj!AF364/(1-tech_proj!AF644))</f>
        <v>161.77350314727002</v>
      </c>
      <c r="AG2264" s="119">
        <f>IF(tech_base!$T240&gt;AG$2025,"",fuel_costs!Y$18*0.086/tech_proj!AG364/(1-tech_proj!AG644))</f>
        <v>158.05068194513618</v>
      </c>
      <c r="AH2264" s="119">
        <f>IF(tech_base!$T240&gt;AH$2025,"",fuel_costs!Z$18*0.086/tech_proj!AH364/(1-tech_proj!AH644))</f>
        <v>154.32786074300236</v>
      </c>
      <c r="AI2264" s="119">
        <f>IF(tech_base!$T240&gt;AI$2025,"",fuel_costs!AA$18*0.086/tech_proj!AI364/(1-tech_proj!AI644))</f>
        <v>150.60503954086855</v>
      </c>
      <c r="AJ2264" s="119">
        <f>IF(tech_base!$T240&gt;AJ$2025,"",fuel_costs!AB$18*0.086/tech_proj!AJ364/(1-tech_proj!AJ644))</f>
        <v>147.29172867096943</v>
      </c>
      <c r="AK2264" s="119">
        <f>IF(tech_base!$T240&gt;AK$2025,"",fuel_costs!AC$18*0.086/tech_proj!AK364/(1-tech_proj!AK644))</f>
        <v>143.97841780107026</v>
      </c>
      <c r="AL2264" s="119">
        <f>IF(tech_base!$T240&gt;AL$2025,"",fuel_costs!AD$18*0.086/tech_proj!AL364/(1-tech_proj!AL644))</f>
        <v>140.66510693117121</v>
      </c>
      <c r="AM2264" s="119">
        <f>IF(tech_base!$T240&gt;AM$2025,"",fuel_costs!AE$18*0.086/tech_proj!AM364/(1-tech_proj!AM644))</f>
        <v>137.3517960612721</v>
      </c>
      <c r="AN2264" s="119">
        <f>IF(tech_base!$T240&gt;AN$2025,"",fuel_costs!AF$18*0.086/tech_proj!AN364/(1-tech_proj!AN644))</f>
        <v>133.53704546785758</v>
      </c>
      <c r="AO2264" s="119">
        <f>IF(tech_base!$T240&gt;AO$2025,"",fuel_costs!AG$18*0.086/tech_proj!AO364/(1-tech_proj!AO644))</f>
        <v>130.43460954221084</v>
      </c>
      <c r="AP2264" s="119">
        <f>IF(tech_base!$T240&gt;AP$2025,"",fuel_costs!AH$18*0.086/tech_proj!AP364/(1-tech_proj!AP644))</f>
        <v>127.28862263997753</v>
      </c>
      <c r="AQ2264" s="119">
        <f>IF(tech_base!$T240&gt;AQ$2025,"",fuel_costs!AI$18*0.086/tech_proj!AQ364/(1-tech_proj!AQ644))</f>
        <v>124.08914233094396</v>
      </c>
      <c r="AR2264" s="119">
        <f>IF(tech_base!$T240&gt;AR$2025,"",fuel_costs!AJ$18*0.086/tech_proj!AR364/(1-tech_proj!AR644))</f>
        <v>120.82563636447787</v>
      </c>
      <c r="AS2264" s="119">
        <f>IF(tech_base!$T240&gt;AS$2025,"",fuel_costs!AK$18*0.086/tech_proj!AS364/(1-tech_proj!AS644))</f>
        <v>117.48822786220046</v>
      </c>
      <c r="AT2264" s="119">
        <f>IF(tech_base!$T240&gt;AT$2025,"",fuel_costs!AL$18*0.086/tech_proj!AT364/(1-tech_proj!AT644))</f>
        <v>114.38787453906681</v>
      </c>
      <c r="AU2264" s="119">
        <f>IF(tech_base!$T240&gt;AU$2025,"",fuel_costs!AM$18*0.086/tech_proj!AU364/(1-tech_proj!AU644))</f>
        <v>111.20199145428536</v>
      </c>
      <c r="AV2264" s="119">
        <f>IF(tech_base!$T240&gt;AV$2025,"",fuel_costs!AN$18*0.086/tech_proj!AV364/(1-tech_proj!AV644))</f>
        <v>107.93857500936043</v>
      </c>
      <c r="AW2264" s="119">
        <f>IF(tech_base!$T240&gt;AW$2025,"",fuel_costs!AO$18*0.086/tech_proj!AW364/(1-tech_proj!AW644))</f>
        <v>104.6195574542831</v>
      </c>
      <c r="AX2264" s="120">
        <f>IF(tech_base!$T240&gt;AX$2025,"",fuel_costs!AP$18*0.086/tech_proj!AX364/(1-tech_proj!AX644))</f>
        <v>101.28262359360821</v>
      </c>
    </row>
    <row r="2265" spans="1:50" x14ac:dyDescent="0.25">
      <c r="A2265" s="355" t="s">
        <v>34</v>
      </c>
      <c r="B2265" s="358" t="s">
        <v>35</v>
      </c>
      <c r="C2265" s="353" t="s">
        <v>6</v>
      </c>
      <c r="D2265" s="3" t="s">
        <v>7</v>
      </c>
      <c r="E2265" s="77" t="str">
        <f>A2265&amp;"/"&amp;B2265&amp;"/"&amp;C2265&amp;"/"&amp;D2265</f>
        <v>Wind power plants/Onshore/Electricity only/L</v>
      </c>
      <c r="F2265" s="77" t="str">
        <f>A2265</f>
        <v>Wind power plants</v>
      </c>
      <c r="G2265" s="77" t="str">
        <f>B2265</f>
        <v>Onshore</v>
      </c>
      <c r="H2265" s="77" t="str">
        <f>C2265</f>
        <v>Electricity only</v>
      </c>
      <c r="I2265" s="77" t="str">
        <f t="shared" si="390"/>
        <v>L</v>
      </c>
      <c r="J2265" s="121">
        <f>IF(tech_base!$T241&gt;J$2025,"",0)</f>
        <v>0</v>
      </c>
      <c r="K2265" s="121">
        <f>IF(tech_base!$T241&gt;K$2025,"",0)</f>
        <v>0</v>
      </c>
      <c r="L2265" s="121">
        <f>IF(tech_base!$T241&gt;L$2025,"",0)</f>
        <v>0</v>
      </c>
      <c r="M2265" s="121">
        <f>IF(tech_base!$T241&gt;M$2025,"",0)</f>
        <v>0</v>
      </c>
      <c r="N2265" s="121">
        <f>IF(tech_base!$T241&gt;N$2025,"",0)</f>
        <v>0</v>
      </c>
      <c r="O2265" s="121">
        <f>IF(tech_base!$T241&gt;O$2025,"",0)</f>
        <v>0</v>
      </c>
      <c r="P2265" s="121">
        <f>IF(tech_base!$T241&gt;P$2025,"",0)</f>
        <v>0</v>
      </c>
      <c r="Q2265" s="121">
        <f>IF(tech_base!$T241&gt;Q$2025,"",0)</f>
        <v>0</v>
      </c>
      <c r="R2265" s="121">
        <f>IF(tech_base!$T241&gt;R$2025,"",0)</f>
        <v>0</v>
      </c>
      <c r="S2265" s="121">
        <f>IF(tech_base!$T241&gt;S$2025,"",0)</f>
        <v>0</v>
      </c>
      <c r="T2265" s="121">
        <f>IF(tech_base!$T241&gt;T$2025,"",0)</f>
        <v>0</v>
      </c>
      <c r="U2265" s="121">
        <f>IF(tech_base!$T241&gt;U$2025,"",0)</f>
        <v>0</v>
      </c>
      <c r="V2265" s="121">
        <f>IF(tech_base!$T241&gt;V$2025,"",0)</f>
        <v>0</v>
      </c>
      <c r="W2265" s="121">
        <f>IF(tech_base!$T241&gt;W$2025,"",0)</f>
        <v>0</v>
      </c>
      <c r="X2265" s="121">
        <f>IF(tech_base!$T241&gt;X$2025,"",0)</f>
        <v>0</v>
      </c>
      <c r="Y2265" s="121">
        <f>IF(tech_base!$T241&gt;Y$2025,"",0)</f>
        <v>0</v>
      </c>
      <c r="Z2265" s="121">
        <f>IF(tech_base!$T241&gt;Z$2025,"",0)</f>
        <v>0</v>
      </c>
      <c r="AA2265" s="121">
        <f>IF(tech_base!$T241&gt;AA$2025,"",0)</f>
        <v>0</v>
      </c>
      <c r="AB2265" s="121">
        <f>IF(tech_base!$T241&gt;AB$2025,"",0)</f>
        <v>0</v>
      </c>
      <c r="AC2265" s="121">
        <f>IF(tech_base!$T241&gt;AC$2025,"",0)</f>
        <v>0</v>
      </c>
      <c r="AD2265" s="121">
        <f>IF(tech_base!$T241&gt;AD$2025,"",0)</f>
        <v>0</v>
      </c>
      <c r="AE2265" s="121">
        <f>IF(tech_base!$T241&gt;AE$2025,"",0)</f>
        <v>0</v>
      </c>
      <c r="AF2265" s="121">
        <f>IF(tech_base!$T241&gt;AF$2025,"",0)</f>
        <v>0</v>
      </c>
      <c r="AG2265" s="121">
        <f>IF(tech_base!$T241&gt;AG$2025,"",0)</f>
        <v>0</v>
      </c>
      <c r="AH2265" s="121">
        <f>IF(tech_base!$T241&gt;AH$2025,"",0)</f>
        <v>0</v>
      </c>
      <c r="AI2265" s="121">
        <f>IF(tech_base!$T241&gt;AI$2025,"",0)</f>
        <v>0</v>
      </c>
      <c r="AJ2265" s="121">
        <f>IF(tech_base!$T241&gt;AJ$2025,"",0)</f>
        <v>0</v>
      </c>
      <c r="AK2265" s="121">
        <f>IF(tech_base!$T241&gt;AK$2025,"",0)</f>
        <v>0</v>
      </c>
      <c r="AL2265" s="121">
        <f>IF(tech_base!$T241&gt;AL$2025,"",0)</f>
        <v>0</v>
      </c>
      <c r="AM2265" s="121">
        <f>IF(tech_base!$T241&gt;AM$2025,"",0)</f>
        <v>0</v>
      </c>
      <c r="AN2265" s="121">
        <f>IF(tech_base!$T241&gt;AN$2025,"",0)</f>
        <v>0</v>
      </c>
      <c r="AO2265" s="121">
        <f>IF(tech_base!$T241&gt;AO$2025,"",0)</f>
        <v>0</v>
      </c>
      <c r="AP2265" s="121">
        <f>IF(tech_base!$T241&gt;AP$2025,"",0)</f>
        <v>0</v>
      </c>
      <c r="AQ2265" s="121">
        <f>IF(tech_base!$T241&gt;AQ$2025,"",0)</f>
        <v>0</v>
      </c>
      <c r="AR2265" s="121">
        <f>IF(tech_base!$T241&gt;AR$2025,"",0)</f>
        <v>0</v>
      </c>
      <c r="AS2265" s="121">
        <f>IF(tech_base!$T241&gt;AS$2025,"",0)</f>
        <v>0</v>
      </c>
      <c r="AT2265" s="121">
        <f>IF(tech_base!$T241&gt;AT$2025,"",0)</f>
        <v>0</v>
      </c>
      <c r="AU2265" s="121">
        <f>IF(tech_base!$T241&gt;AU$2025,"",0)</f>
        <v>0</v>
      </c>
      <c r="AV2265" s="121">
        <f>IF(tech_base!$T241&gt;AV$2025,"",0)</f>
        <v>0</v>
      </c>
      <c r="AW2265" s="121">
        <f>IF(tech_base!$T241&gt;AW$2025,"",0)</f>
        <v>0</v>
      </c>
      <c r="AX2265" s="122">
        <f>IF(tech_base!$T241&gt;AX$2025,"",0)</f>
        <v>0</v>
      </c>
    </row>
    <row r="2266" spans="1:50" x14ac:dyDescent="0.25">
      <c r="A2266" s="356"/>
      <c r="B2266" s="376"/>
      <c r="C2266" s="378"/>
      <c r="D2266" s="2" t="s">
        <v>8</v>
      </c>
      <c r="E2266" s="76" t="str">
        <f>A2265&amp;"/"&amp;B2265&amp;"/"&amp;C2265&amp;"/"&amp;D2266</f>
        <v>Wind power plants/Onshore/Electricity only/M</v>
      </c>
      <c r="F2266" s="76" t="str">
        <f>A2265</f>
        <v>Wind power plants</v>
      </c>
      <c r="G2266" s="76" t="str">
        <f>B2265</f>
        <v>Onshore</v>
      </c>
      <c r="H2266" s="76" t="str">
        <f>C2265</f>
        <v>Electricity only</v>
      </c>
      <c r="I2266" s="76" t="str">
        <f t="shared" si="390"/>
        <v>M</v>
      </c>
      <c r="J2266" s="119">
        <f>IF(tech_base!$T242&gt;J$2025,"",0)</f>
        <v>0</v>
      </c>
      <c r="K2266" s="119">
        <f>IF(tech_base!$T242&gt;K$2025,"",0)</f>
        <v>0</v>
      </c>
      <c r="L2266" s="119">
        <f>IF(tech_base!$T242&gt;L$2025,"",0)</f>
        <v>0</v>
      </c>
      <c r="M2266" s="119">
        <f>IF(tech_base!$T242&gt;M$2025,"",0)</f>
        <v>0</v>
      </c>
      <c r="N2266" s="119">
        <f>IF(tech_base!$T242&gt;N$2025,"",0)</f>
        <v>0</v>
      </c>
      <c r="O2266" s="119">
        <f>IF(tech_base!$T242&gt;O$2025,"",0)</f>
        <v>0</v>
      </c>
      <c r="P2266" s="119">
        <f>IF(tech_base!$T242&gt;P$2025,"",0)</f>
        <v>0</v>
      </c>
      <c r="Q2266" s="119">
        <f>IF(tech_base!$T242&gt;Q$2025,"",0)</f>
        <v>0</v>
      </c>
      <c r="R2266" s="119">
        <f>IF(tech_base!$T242&gt;R$2025,"",0)</f>
        <v>0</v>
      </c>
      <c r="S2266" s="119">
        <f>IF(tech_base!$T242&gt;S$2025,"",0)</f>
        <v>0</v>
      </c>
      <c r="T2266" s="119">
        <f>IF(tech_base!$T242&gt;T$2025,"",0)</f>
        <v>0</v>
      </c>
      <c r="U2266" s="119">
        <f>IF(tech_base!$T242&gt;U$2025,"",0)</f>
        <v>0</v>
      </c>
      <c r="V2266" s="119">
        <f>IF(tech_base!$T242&gt;V$2025,"",0)</f>
        <v>0</v>
      </c>
      <c r="W2266" s="119">
        <f>IF(tech_base!$T242&gt;W$2025,"",0)</f>
        <v>0</v>
      </c>
      <c r="X2266" s="119">
        <f>IF(tech_base!$T242&gt;X$2025,"",0)</f>
        <v>0</v>
      </c>
      <c r="Y2266" s="119">
        <f>IF(tech_base!$T242&gt;Y$2025,"",0)</f>
        <v>0</v>
      </c>
      <c r="Z2266" s="119">
        <f>IF(tech_base!$T242&gt;Z$2025,"",0)</f>
        <v>0</v>
      </c>
      <c r="AA2266" s="119">
        <f>IF(tech_base!$T242&gt;AA$2025,"",0)</f>
        <v>0</v>
      </c>
      <c r="AB2266" s="119">
        <f>IF(tech_base!$T242&gt;AB$2025,"",0)</f>
        <v>0</v>
      </c>
      <c r="AC2266" s="119">
        <f>IF(tech_base!$T242&gt;AC$2025,"",0)</f>
        <v>0</v>
      </c>
      <c r="AD2266" s="119">
        <f>IF(tech_base!$T242&gt;AD$2025,"",0)</f>
        <v>0</v>
      </c>
      <c r="AE2266" s="119">
        <f>IF(tech_base!$T242&gt;AE$2025,"",0)</f>
        <v>0</v>
      </c>
      <c r="AF2266" s="119">
        <f>IF(tech_base!$T242&gt;AF$2025,"",0)</f>
        <v>0</v>
      </c>
      <c r="AG2266" s="119">
        <f>IF(tech_base!$T242&gt;AG$2025,"",0)</f>
        <v>0</v>
      </c>
      <c r="AH2266" s="119">
        <f>IF(tech_base!$T242&gt;AH$2025,"",0)</f>
        <v>0</v>
      </c>
      <c r="AI2266" s="119">
        <f>IF(tech_base!$T242&gt;AI$2025,"",0)</f>
        <v>0</v>
      </c>
      <c r="AJ2266" s="119">
        <f>IF(tech_base!$T242&gt;AJ$2025,"",0)</f>
        <v>0</v>
      </c>
      <c r="AK2266" s="119">
        <f>IF(tech_base!$T242&gt;AK$2025,"",0)</f>
        <v>0</v>
      </c>
      <c r="AL2266" s="119">
        <f>IF(tech_base!$T242&gt;AL$2025,"",0)</f>
        <v>0</v>
      </c>
      <c r="AM2266" s="119">
        <f>IF(tech_base!$T242&gt;AM$2025,"",0)</f>
        <v>0</v>
      </c>
      <c r="AN2266" s="119">
        <f>IF(tech_base!$T242&gt;AN$2025,"",0)</f>
        <v>0</v>
      </c>
      <c r="AO2266" s="119">
        <f>IF(tech_base!$T242&gt;AO$2025,"",0)</f>
        <v>0</v>
      </c>
      <c r="AP2266" s="119">
        <f>IF(tech_base!$T242&gt;AP$2025,"",0)</f>
        <v>0</v>
      </c>
      <c r="AQ2266" s="119">
        <f>IF(tech_base!$T242&gt;AQ$2025,"",0)</f>
        <v>0</v>
      </c>
      <c r="AR2266" s="119">
        <f>IF(tech_base!$T242&gt;AR$2025,"",0)</f>
        <v>0</v>
      </c>
      <c r="AS2266" s="119">
        <f>IF(tech_base!$T242&gt;AS$2025,"",0)</f>
        <v>0</v>
      </c>
      <c r="AT2266" s="119">
        <f>IF(tech_base!$T242&gt;AT$2025,"",0)</f>
        <v>0</v>
      </c>
      <c r="AU2266" s="119">
        <f>IF(tech_base!$T242&gt;AU$2025,"",0)</f>
        <v>0</v>
      </c>
      <c r="AV2266" s="119">
        <f>IF(tech_base!$T242&gt;AV$2025,"",0)</f>
        <v>0</v>
      </c>
      <c r="AW2266" s="119">
        <f>IF(tech_base!$T242&gt;AW$2025,"",0)</f>
        <v>0</v>
      </c>
      <c r="AX2266" s="120">
        <f>IF(tech_base!$T242&gt;AX$2025,"",0)</f>
        <v>0</v>
      </c>
    </row>
    <row r="2267" spans="1:50" x14ac:dyDescent="0.25">
      <c r="A2267" s="356"/>
      <c r="B2267" s="376"/>
      <c r="C2267" s="378"/>
      <c r="D2267" s="2" t="s">
        <v>10</v>
      </c>
      <c r="E2267" s="76" t="str">
        <f>A2265&amp;"/"&amp;B2265&amp;"/"&amp;C2265&amp;"/"&amp;D2267</f>
        <v>Wind power plants/Onshore/Electricity only/S</v>
      </c>
      <c r="F2267" s="76" t="str">
        <f>A2265</f>
        <v>Wind power plants</v>
      </c>
      <c r="G2267" s="76" t="str">
        <f>B2265</f>
        <v>Onshore</v>
      </c>
      <c r="H2267" s="76" t="str">
        <f>C2265</f>
        <v>Electricity only</v>
      </c>
      <c r="I2267" s="76" t="str">
        <f t="shared" si="390"/>
        <v>S</v>
      </c>
      <c r="J2267" s="119">
        <f>IF(tech_base!$T243&gt;J$2025,"",0)</f>
        <v>0</v>
      </c>
      <c r="K2267" s="119">
        <f>IF(tech_base!$T243&gt;K$2025,"",0)</f>
        <v>0</v>
      </c>
      <c r="L2267" s="119">
        <f>IF(tech_base!$T243&gt;L$2025,"",0)</f>
        <v>0</v>
      </c>
      <c r="M2267" s="119">
        <f>IF(tech_base!$T243&gt;M$2025,"",0)</f>
        <v>0</v>
      </c>
      <c r="N2267" s="119">
        <f>IF(tech_base!$T243&gt;N$2025,"",0)</f>
        <v>0</v>
      </c>
      <c r="O2267" s="119">
        <f>IF(tech_base!$T243&gt;O$2025,"",0)</f>
        <v>0</v>
      </c>
      <c r="P2267" s="119">
        <f>IF(tech_base!$T243&gt;P$2025,"",0)</f>
        <v>0</v>
      </c>
      <c r="Q2267" s="119">
        <f>IF(tech_base!$T243&gt;Q$2025,"",0)</f>
        <v>0</v>
      </c>
      <c r="R2267" s="119">
        <f>IF(tech_base!$T243&gt;R$2025,"",0)</f>
        <v>0</v>
      </c>
      <c r="S2267" s="119">
        <f>IF(tech_base!$T243&gt;S$2025,"",0)</f>
        <v>0</v>
      </c>
      <c r="T2267" s="119">
        <f>IF(tech_base!$T243&gt;T$2025,"",0)</f>
        <v>0</v>
      </c>
      <c r="U2267" s="119">
        <f>IF(tech_base!$T243&gt;U$2025,"",0)</f>
        <v>0</v>
      </c>
      <c r="V2267" s="119">
        <f>IF(tech_base!$T243&gt;V$2025,"",0)</f>
        <v>0</v>
      </c>
      <c r="W2267" s="119">
        <f>IF(tech_base!$T243&gt;W$2025,"",0)</f>
        <v>0</v>
      </c>
      <c r="X2267" s="119">
        <f>IF(tech_base!$T243&gt;X$2025,"",0)</f>
        <v>0</v>
      </c>
      <c r="Y2267" s="119">
        <f>IF(tech_base!$T243&gt;Y$2025,"",0)</f>
        <v>0</v>
      </c>
      <c r="Z2267" s="119">
        <f>IF(tech_base!$T243&gt;Z$2025,"",0)</f>
        <v>0</v>
      </c>
      <c r="AA2267" s="119">
        <f>IF(tech_base!$T243&gt;AA$2025,"",0)</f>
        <v>0</v>
      </c>
      <c r="AB2267" s="119">
        <f>IF(tech_base!$T243&gt;AB$2025,"",0)</f>
        <v>0</v>
      </c>
      <c r="AC2267" s="119">
        <f>IF(tech_base!$T243&gt;AC$2025,"",0)</f>
        <v>0</v>
      </c>
      <c r="AD2267" s="119">
        <f>IF(tech_base!$T243&gt;AD$2025,"",0)</f>
        <v>0</v>
      </c>
      <c r="AE2267" s="119">
        <f>IF(tech_base!$T243&gt;AE$2025,"",0)</f>
        <v>0</v>
      </c>
      <c r="AF2267" s="119">
        <f>IF(tech_base!$T243&gt;AF$2025,"",0)</f>
        <v>0</v>
      </c>
      <c r="AG2267" s="119">
        <f>IF(tech_base!$T243&gt;AG$2025,"",0)</f>
        <v>0</v>
      </c>
      <c r="AH2267" s="119">
        <f>IF(tech_base!$T243&gt;AH$2025,"",0)</f>
        <v>0</v>
      </c>
      <c r="AI2267" s="119">
        <f>IF(tech_base!$T243&gt;AI$2025,"",0)</f>
        <v>0</v>
      </c>
      <c r="AJ2267" s="119">
        <f>IF(tech_base!$T243&gt;AJ$2025,"",0)</f>
        <v>0</v>
      </c>
      <c r="AK2267" s="119">
        <f>IF(tech_base!$T243&gt;AK$2025,"",0)</f>
        <v>0</v>
      </c>
      <c r="AL2267" s="119">
        <f>IF(tech_base!$T243&gt;AL$2025,"",0)</f>
        <v>0</v>
      </c>
      <c r="AM2267" s="119">
        <f>IF(tech_base!$T243&gt;AM$2025,"",0)</f>
        <v>0</v>
      </c>
      <c r="AN2267" s="119">
        <f>IF(tech_base!$T243&gt;AN$2025,"",0)</f>
        <v>0</v>
      </c>
      <c r="AO2267" s="119">
        <f>IF(tech_base!$T243&gt;AO$2025,"",0)</f>
        <v>0</v>
      </c>
      <c r="AP2267" s="119">
        <f>IF(tech_base!$T243&gt;AP$2025,"",0)</f>
        <v>0</v>
      </c>
      <c r="AQ2267" s="119">
        <f>IF(tech_base!$T243&gt;AQ$2025,"",0)</f>
        <v>0</v>
      </c>
      <c r="AR2267" s="119">
        <f>IF(tech_base!$T243&gt;AR$2025,"",0)</f>
        <v>0</v>
      </c>
      <c r="AS2267" s="119">
        <f>IF(tech_base!$T243&gt;AS$2025,"",0)</f>
        <v>0</v>
      </c>
      <c r="AT2267" s="119">
        <f>IF(tech_base!$T243&gt;AT$2025,"",0)</f>
        <v>0</v>
      </c>
      <c r="AU2267" s="119">
        <f>IF(tech_base!$T243&gt;AU$2025,"",0)</f>
        <v>0</v>
      </c>
      <c r="AV2267" s="119">
        <f>IF(tech_base!$T243&gt;AV$2025,"",0)</f>
        <v>0</v>
      </c>
      <c r="AW2267" s="119">
        <f>IF(tech_base!$T243&gt;AW$2025,"",0)</f>
        <v>0</v>
      </c>
      <c r="AX2267" s="120">
        <f>IF(tech_base!$T243&gt;AX$2025,"",0)</f>
        <v>0</v>
      </c>
    </row>
    <row r="2268" spans="1:50" x14ac:dyDescent="0.25">
      <c r="A2268" s="356"/>
      <c r="B2268" s="377"/>
      <c r="C2268" s="379"/>
      <c r="D2268" s="59" t="s">
        <v>20</v>
      </c>
      <c r="E2268" s="79" t="str">
        <f>A2265&amp;"/"&amp;B2265&amp;"/"&amp;C2265&amp;"/"&amp;D2268</f>
        <v>Wind power plants/Onshore/Electricity only/XS</v>
      </c>
      <c r="F2268" s="79" t="str">
        <f>A2265</f>
        <v>Wind power plants</v>
      </c>
      <c r="G2268" s="79" t="str">
        <f>B2265</f>
        <v>Onshore</v>
      </c>
      <c r="H2268" s="79" t="str">
        <f>C2265</f>
        <v>Electricity only</v>
      </c>
      <c r="I2268" s="79" t="str">
        <f t="shared" si="390"/>
        <v>XS</v>
      </c>
      <c r="J2268" s="125">
        <f>IF(tech_base!$T244&gt;J$2025,"",0)</f>
        <v>0</v>
      </c>
      <c r="K2268" s="125">
        <f>IF(tech_base!$T244&gt;K$2025,"",0)</f>
        <v>0</v>
      </c>
      <c r="L2268" s="125">
        <f>IF(tech_base!$T244&gt;L$2025,"",0)</f>
        <v>0</v>
      </c>
      <c r="M2268" s="125">
        <f>IF(tech_base!$T244&gt;M$2025,"",0)</f>
        <v>0</v>
      </c>
      <c r="N2268" s="125">
        <f>IF(tech_base!$T244&gt;N$2025,"",0)</f>
        <v>0</v>
      </c>
      <c r="O2268" s="125">
        <f>IF(tech_base!$T244&gt;O$2025,"",0)</f>
        <v>0</v>
      </c>
      <c r="P2268" s="125">
        <f>IF(tech_base!$T244&gt;P$2025,"",0)</f>
        <v>0</v>
      </c>
      <c r="Q2268" s="125">
        <f>IF(tech_base!$T244&gt;Q$2025,"",0)</f>
        <v>0</v>
      </c>
      <c r="R2268" s="125">
        <f>IF(tech_base!$T244&gt;R$2025,"",0)</f>
        <v>0</v>
      </c>
      <c r="S2268" s="125">
        <f>IF(tech_base!$T244&gt;S$2025,"",0)</f>
        <v>0</v>
      </c>
      <c r="T2268" s="125">
        <f>IF(tech_base!$T244&gt;T$2025,"",0)</f>
        <v>0</v>
      </c>
      <c r="U2268" s="125">
        <f>IF(tech_base!$T244&gt;U$2025,"",0)</f>
        <v>0</v>
      </c>
      <c r="V2268" s="125">
        <f>IF(tech_base!$T244&gt;V$2025,"",0)</f>
        <v>0</v>
      </c>
      <c r="W2268" s="125">
        <f>IF(tech_base!$T244&gt;W$2025,"",0)</f>
        <v>0</v>
      </c>
      <c r="X2268" s="125">
        <f>IF(tech_base!$T244&gt;X$2025,"",0)</f>
        <v>0</v>
      </c>
      <c r="Y2268" s="125">
        <f>IF(tech_base!$T244&gt;Y$2025,"",0)</f>
        <v>0</v>
      </c>
      <c r="Z2268" s="125">
        <f>IF(tech_base!$T244&gt;Z$2025,"",0)</f>
        <v>0</v>
      </c>
      <c r="AA2268" s="125">
        <f>IF(tech_base!$T244&gt;AA$2025,"",0)</f>
        <v>0</v>
      </c>
      <c r="AB2268" s="125">
        <f>IF(tech_base!$T244&gt;AB$2025,"",0)</f>
        <v>0</v>
      </c>
      <c r="AC2268" s="125">
        <f>IF(tech_base!$T244&gt;AC$2025,"",0)</f>
        <v>0</v>
      </c>
      <c r="AD2268" s="125">
        <f>IF(tech_base!$T244&gt;AD$2025,"",0)</f>
        <v>0</v>
      </c>
      <c r="AE2268" s="125">
        <f>IF(tech_base!$T244&gt;AE$2025,"",0)</f>
        <v>0</v>
      </c>
      <c r="AF2268" s="125">
        <f>IF(tech_base!$T244&gt;AF$2025,"",0)</f>
        <v>0</v>
      </c>
      <c r="AG2268" s="125">
        <f>IF(tech_base!$T244&gt;AG$2025,"",0)</f>
        <v>0</v>
      </c>
      <c r="AH2268" s="125">
        <f>IF(tech_base!$T244&gt;AH$2025,"",0)</f>
        <v>0</v>
      </c>
      <c r="AI2268" s="125">
        <f>IF(tech_base!$T244&gt;AI$2025,"",0)</f>
        <v>0</v>
      </c>
      <c r="AJ2268" s="125">
        <f>IF(tech_base!$T244&gt;AJ$2025,"",0)</f>
        <v>0</v>
      </c>
      <c r="AK2268" s="125">
        <f>IF(tech_base!$T244&gt;AK$2025,"",0)</f>
        <v>0</v>
      </c>
      <c r="AL2268" s="125">
        <f>IF(tech_base!$T244&gt;AL$2025,"",0)</f>
        <v>0</v>
      </c>
      <c r="AM2268" s="125">
        <f>IF(tech_base!$T244&gt;AM$2025,"",0)</f>
        <v>0</v>
      </c>
      <c r="AN2268" s="125">
        <f>IF(tech_base!$T244&gt;AN$2025,"",0)</f>
        <v>0</v>
      </c>
      <c r="AO2268" s="125">
        <f>IF(tech_base!$T244&gt;AO$2025,"",0)</f>
        <v>0</v>
      </c>
      <c r="AP2268" s="125">
        <f>IF(tech_base!$T244&gt;AP$2025,"",0)</f>
        <v>0</v>
      </c>
      <c r="AQ2268" s="125">
        <f>IF(tech_base!$T244&gt;AQ$2025,"",0)</f>
        <v>0</v>
      </c>
      <c r="AR2268" s="125">
        <f>IF(tech_base!$T244&gt;AR$2025,"",0)</f>
        <v>0</v>
      </c>
      <c r="AS2268" s="125">
        <f>IF(tech_base!$T244&gt;AS$2025,"",0)</f>
        <v>0</v>
      </c>
      <c r="AT2268" s="125">
        <f>IF(tech_base!$T244&gt;AT$2025,"",0)</f>
        <v>0</v>
      </c>
      <c r="AU2268" s="125">
        <f>IF(tech_base!$T244&gt;AU$2025,"",0)</f>
        <v>0</v>
      </c>
      <c r="AV2268" s="125">
        <f>IF(tech_base!$T244&gt;AV$2025,"",0)</f>
        <v>0</v>
      </c>
      <c r="AW2268" s="125">
        <f>IF(tech_base!$T244&gt;AW$2025,"",0)</f>
        <v>0</v>
      </c>
      <c r="AX2268" s="126">
        <f>IF(tech_base!$T244&gt;AX$2025,"",0)</f>
        <v>0</v>
      </c>
    </row>
    <row r="2269" spans="1:50" x14ac:dyDescent="0.25">
      <c r="A2269" s="356"/>
      <c r="B2269" s="359" t="s">
        <v>36</v>
      </c>
      <c r="C2269" s="361" t="s">
        <v>6</v>
      </c>
      <c r="D2269" s="2" t="s">
        <v>7</v>
      </c>
      <c r="E2269" s="76" t="str">
        <f>A2265&amp;"/"&amp;B2269&amp;"/"&amp;C2269&amp;"/"&amp;D2269</f>
        <v>Wind power plants/Offshore/Electricity only/L</v>
      </c>
      <c r="F2269" s="76" t="str">
        <f>A2265</f>
        <v>Wind power plants</v>
      </c>
      <c r="G2269" s="76" t="str">
        <f>B2269</f>
        <v>Offshore</v>
      </c>
      <c r="H2269" s="76" t="str">
        <f>C2269</f>
        <v>Electricity only</v>
      </c>
      <c r="I2269" s="76" t="str">
        <f t="shared" si="390"/>
        <v>L</v>
      </c>
      <c r="J2269" s="119">
        <f>IF(tech_base!$T245&gt;J$2025,"",0)</f>
        <v>0</v>
      </c>
      <c r="K2269" s="119">
        <f>IF(tech_base!$T245&gt;K$2025,"",0)</f>
        <v>0</v>
      </c>
      <c r="L2269" s="119">
        <f>IF(tech_base!$T245&gt;L$2025,"",0)</f>
        <v>0</v>
      </c>
      <c r="M2269" s="119">
        <f>IF(tech_base!$T245&gt;M$2025,"",0)</f>
        <v>0</v>
      </c>
      <c r="N2269" s="119">
        <f>IF(tech_base!$T245&gt;N$2025,"",0)</f>
        <v>0</v>
      </c>
      <c r="O2269" s="119">
        <f>IF(tech_base!$T245&gt;O$2025,"",0)</f>
        <v>0</v>
      </c>
      <c r="P2269" s="119">
        <f>IF(tech_base!$T245&gt;P$2025,"",0)</f>
        <v>0</v>
      </c>
      <c r="Q2269" s="119">
        <f>IF(tech_base!$T245&gt;Q$2025,"",0)</f>
        <v>0</v>
      </c>
      <c r="R2269" s="119">
        <f>IF(tech_base!$T245&gt;R$2025,"",0)</f>
        <v>0</v>
      </c>
      <c r="S2269" s="119">
        <f>IF(tech_base!$T245&gt;S$2025,"",0)</f>
        <v>0</v>
      </c>
      <c r="T2269" s="119">
        <f>IF(tech_base!$T245&gt;T$2025,"",0)</f>
        <v>0</v>
      </c>
      <c r="U2269" s="119">
        <f>IF(tech_base!$T245&gt;U$2025,"",0)</f>
        <v>0</v>
      </c>
      <c r="V2269" s="119">
        <f>IF(tech_base!$T245&gt;V$2025,"",0)</f>
        <v>0</v>
      </c>
      <c r="W2269" s="119">
        <f>IF(tech_base!$T245&gt;W$2025,"",0)</f>
        <v>0</v>
      </c>
      <c r="X2269" s="119">
        <f>IF(tech_base!$T245&gt;X$2025,"",0)</f>
        <v>0</v>
      </c>
      <c r="Y2269" s="119">
        <f>IF(tech_base!$T245&gt;Y$2025,"",0)</f>
        <v>0</v>
      </c>
      <c r="Z2269" s="119">
        <f>IF(tech_base!$T245&gt;Z$2025,"",0)</f>
        <v>0</v>
      </c>
      <c r="AA2269" s="119">
        <f>IF(tech_base!$T245&gt;AA$2025,"",0)</f>
        <v>0</v>
      </c>
      <c r="AB2269" s="119">
        <f>IF(tech_base!$T245&gt;AB$2025,"",0)</f>
        <v>0</v>
      </c>
      <c r="AC2269" s="119">
        <f>IF(tech_base!$T245&gt;AC$2025,"",0)</f>
        <v>0</v>
      </c>
      <c r="AD2269" s="119">
        <f>IF(tech_base!$T245&gt;AD$2025,"",0)</f>
        <v>0</v>
      </c>
      <c r="AE2269" s="119">
        <f>IF(tech_base!$T245&gt;AE$2025,"",0)</f>
        <v>0</v>
      </c>
      <c r="AF2269" s="119">
        <f>IF(tech_base!$T245&gt;AF$2025,"",0)</f>
        <v>0</v>
      </c>
      <c r="AG2269" s="119">
        <f>IF(tech_base!$T245&gt;AG$2025,"",0)</f>
        <v>0</v>
      </c>
      <c r="AH2269" s="119">
        <f>IF(tech_base!$T245&gt;AH$2025,"",0)</f>
        <v>0</v>
      </c>
      <c r="AI2269" s="119">
        <f>IF(tech_base!$T245&gt;AI$2025,"",0)</f>
        <v>0</v>
      </c>
      <c r="AJ2269" s="119">
        <f>IF(tech_base!$T245&gt;AJ$2025,"",0)</f>
        <v>0</v>
      </c>
      <c r="AK2269" s="119">
        <f>IF(tech_base!$T245&gt;AK$2025,"",0)</f>
        <v>0</v>
      </c>
      <c r="AL2269" s="119">
        <f>IF(tech_base!$T245&gt;AL$2025,"",0)</f>
        <v>0</v>
      </c>
      <c r="AM2269" s="119">
        <f>IF(tech_base!$T245&gt;AM$2025,"",0)</f>
        <v>0</v>
      </c>
      <c r="AN2269" s="119">
        <f>IF(tech_base!$T245&gt;AN$2025,"",0)</f>
        <v>0</v>
      </c>
      <c r="AO2269" s="119">
        <f>IF(tech_base!$T245&gt;AO$2025,"",0)</f>
        <v>0</v>
      </c>
      <c r="AP2269" s="119">
        <f>IF(tech_base!$T245&gt;AP$2025,"",0)</f>
        <v>0</v>
      </c>
      <c r="AQ2269" s="119">
        <f>IF(tech_base!$T245&gt;AQ$2025,"",0)</f>
        <v>0</v>
      </c>
      <c r="AR2269" s="119">
        <f>IF(tech_base!$T245&gt;AR$2025,"",0)</f>
        <v>0</v>
      </c>
      <c r="AS2269" s="119">
        <f>IF(tech_base!$T245&gt;AS$2025,"",0)</f>
        <v>0</v>
      </c>
      <c r="AT2269" s="119">
        <f>IF(tech_base!$T245&gt;AT$2025,"",0)</f>
        <v>0</v>
      </c>
      <c r="AU2269" s="119">
        <f>IF(tech_base!$T245&gt;AU$2025,"",0)</f>
        <v>0</v>
      </c>
      <c r="AV2269" s="119">
        <f>IF(tech_base!$T245&gt;AV$2025,"",0)</f>
        <v>0</v>
      </c>
      <c r="AW2269" s="119">
        <f>IF(tech_base!$T245&gt;AW$2025,"",0)</f>
        <v>0</v>
      </c>
      <c r="AX2269" s="120">
        <f>IF(tech_base!$T245&gt;AX$2025,"",0)</f>
        <v>0</v>
      </c>
    </row>
    <row r="2270" spans="1:50" x14ac:dyDescent="0.25">
      <c r="A2270" s="356"/>
      <c r="B2270" s="376"/>
      <c r="C2270" s="378"/>
      <c r="D2270" s="2" t="s">
        <v>8</v>
      </c>
      <c r="E2270" s="76" t="str">
        <f>A2265&amp;"/"&amp;B2269&amp;"/"&amp;C2269&amp;"/"&amp;D2270</f>
        <v>Wind power plants/Offshore/Electricity only/M</v>
      </c>
      <c r="F2270" s="76" t="str">
        <f>A2265</f>
        <v>Wind power plants</v>
      </c>
      <c r="G2270" s="76" t="str">
        <f>B2269</f>
        <v>Offshore</v>
      </c>
      <c r="H2270" s="76" t="str">
        <f>C2269</f>
        <v>Electricity only</v>
      </c>
      <c r="I2270" s="76" t="str">
        <f t="shared" si="390"/>
        <v>M</v>
      </c>
      <c r="J2270" s="119">
        <f>IF(tech_base!$T246&gt;J$2025,"",0)</f>
        <v>0</v>
      </c>
      <c r="K2270" s="119">
        <f>IF(tech_base!$T246&gt;K$2025,"",0)</f>
        <v>0</v>
      </c>
      <c r="L2270" s="119">
        <f>IF(tech_base!$T246&gt;L$2025,"",0)</f>
        <v>0</v>
      </c>
      <c r="M2270" s="119">
        <f>IF(tech_base!$T246&gt;M$2025,"",0)</f>
        <v>0</v>
      </c>
      <c r="N2270" s="119">
        <f>IF(tech_base!$T246&gt;N$2025,"",0)</f>
        <v>0</v>
      </c>
      <c r="O2270" s="119">
        <f>IF(tech_base!$T246&gt;O$2025,"",0)</f>
        <v>0</v>
      </c>
      <c r="P2270" s="119">
        <f>IF(tech_base!$T246&gt;P$2025,"",0)</f>
        <v>0</v>
      </c>
      <c r="Q2270" s="119">
        <f>IF(tech_base!$T246&gt;Q$2025,"",0)</f>
        <v>0</v>
      </c>
      <c r="R2270" s="119">
        <f>IF(tech_base!$T246&gt;R$2025,"",0)</f>
        <v>0</v>
      </c>
      <c r="S2270" s="119">
        <f>IF(tech_base!$T246&gt;S$2025,"",0)</f>
        <v>0</v>
      </c>
      <c r="T2270" s="119">
        <f>IF(tech_base!$T246&gt;T$2025,"",0)</f>
        <v>0</v>
      </c>
      <c r="U2270" s="119">
        <f>IF(tech_base!$T246&gt;U$2025,"",0)</f>
        <v>0</v>
      </c>
      <c r="V2270" s="119">
        <f>IF(tech_base!$T246&gt;V$2025,"",0)</f>
        <v>0</v>
      </c>
      <c r="W2270" s="119">
        <f>IF(tech_base!$T246&gt;W$2025,"",0)</f>
        <v>0</v>
      </c>
      <c r="X2270" s="119">
        <f>IF(tech_base!$T246&gt;X$2025,"",0)</f>
        <v>0</v>
      </c>
      <c r="Y2270" s="119">
        <f>IF(tech_base!$T246&gt;Y$2025,"",0)</f>
        <v>0</v>
      </c>
      <c r="Z2270" s="119">
        <f>IF(tech_base!$T246&gt;Z$2025,"",0)</f>
        <v>0</v>
      </c>
      <c r="AA2270" s="119">
        <f>IF(tech_base!$T246&gt;AA$2025,"",0)</f>
        <v>0</v>
      </c>
      <c r="AB2270" s="119">
        <f>IF(tech_base!$T246&gt;AB$2025,"",0)</f>
        <v>0</v>
      </c>
      <c r="AC2270" s="119">
        <f>IF(tech_base!$T246&gt;AC$2025,"",0)</f>
        <v>0</v>
      </c>
      <c r="AD2270" s="119">
        <f>IF(tech_base!$T246&gt;AD$2025,"",0)</f>
        <v>0</v>
      </c>
      <c r="AE2270" s="119">
        <f>IF(tech_base!$T246&gt;AE$2025,"",0)</f>
        <v>0</v>
      </c>
      <c r="AF2270" s="119">
        <f>IF(tech_base!$T246&gt;AF$2025,"",0)</f>
        <v>0</v>
      </c>
      <c r="AG2270" s="119">
        <f>IF(tech_base!$T246&gt;AG$2025,"",0)</f>
        <v>0</v>
      </c>
      <c r="AH2270" s="119">
        <f>IF(tech_base!$T246&gt;AH$2025,"",0)</f>
        <v>0</v>
      </c>
      <c r="AI2270" s="119">
        <f>IF(tech_base!$T246&gt;AI$2025,"",0)</f>
        <v>0</v>
      </c>
      <c r="AJ2270" s="119">
        <f>IF(tech_base!$T246&gt;AJ$2025,"",0)</f>
        <v>0</v>
      </c>
      <c r="AK2270" s="119">
        <f>IF(tech_base!$T246&gt;AK$2025,"",0)</f>
        <v>0</v>
      </c>
      <c r="AL2270" s="119">
        <f>IF(tech_base!$T246&gt;AL$2025,"",0)</f>
        <v>0</v>
      </c>
      <c r="AM2270" s="119">
        <f>IF(tech_base!$T246&gt;AM$2025,"",0)</f>
        <v>0</v>
      </c>
      <c r="AN2270" s="119">
        <f>IF(tech_base!$T246&gt;AN$2025,"",0)</f>
        <v>0</v>
      </c>
      <c r="AO2270" s="119">
        <f>IF(tech_base!$T246&gt;AO$2025,"",0)</f>
        <v>0</v>
      </c>
      <c r="AP2270" s="119">
        <f>IF(tech_base!$T246&gt;AP$2025,"",0)</f>
        <v>0</v>
      </c>
      <c r="AQ2270" s="119">
        <f>IF(tech_base!$T246&gt;AQ$2025,"",0)</f>
        <v>0</v>
      </c>
      <c r="AR2270" s="119">
        <f>IF(tech_base!$T246&gt;AR$2025,"",0)</f>
        <v>0</v>
      </c>
      <c r="AS2270" s="119">
        <f>IF(tech_base!$T246&gt;AS$2025,"",0)</f>
        <v>0</v>
      </c>
      <c r="AT2270" s="119">
        <f>IF(tech_base!$T246&gt;AT$2025,"",0)</f>
        <v>0</v>
      </c>
      <c r="AU2270" s="119">
        <f>IF(tech_base!$T246&gt;AU$2025,"",0)</f>
        <v>0</v>
      </c>
      <c r="AV2270" s="119">
        <f>IF(tech_base!$T246&gt;AV$2025,"",0)</f>
        <v>0</v>
      </c>
      <c r="AW2270" s="119">
        <f>IF(tech_base!$T246&gt;AW$2025,"",0)</f>
        <v>0</v>
      </c>
      <c r="AX2270" s="120">
        <f>IF(tech_base!$T246&gt;AX$2025,"",0)</f>
        <v>0</v>
      </c>
    </row>
    <row r="2271" spans="1:50" x14ac:dyDescent="0.25">
      <c r="A2271" s="356"/>
      <c r="B2271" s="376"/>
      <c r="C2271" s="378"/>
      <c r="D2271" s="2" t="s">
        <v>10</v>
      </c>
      <c r="E2271" s="76" t="str">
        <f>A2265&amp;"/"&amp;B2269&amp;"/"&amp;C2269&amp;"/"&amp;D2271</f>
        <v>Wind power plants/Offshore/Electricity only/S</v>
      </c>
      <c r="F2271" s="76" t="str">
        <f>A2265</f>
        <v>Wind power plants</v>
      </c>
      <c r="G2271" s="76" t="str">
        <f>B2269</f>
        <v>Offshore</v>
      </c>
      <c r="H2271" s="76" t="str">
        <f>C2269</f>
        <v>Electricity only</v>
      </c>
      <c r="I2271" s="76" t="str">
        <f t="shared" si="390"/>
        <v>S</v>
      </c>
      <c r="J2271" s="119">
        <f>IF(tech_base!$T247&gt;J$2025,"",0)</f>
        <v>0</v>
      </c>
      <c r="K2271" s="119">
        <f>IF(tech_base!$T247&gt;K$2025,"",0)</f>
        <v>0</v>
      </c>
      <c r="L2271" s="119">
        <f>IF(tech_base!$T247&gt;L$2025,"",0)</f>
        <v>0</v>
      </c>
      <c r="M2271" s="119">
        <f>IF(tech_base!$T247&gt;M$2025,"",0)</f>
        <v>0</v>
      </c>
      <c r="N2271" s="119">
        <f>IF(tech_base!$T247&gt;N$2025,"",0)</f>
        <v>0</v>
      </c>
      <c r="O2271" s="119">
        <f>IF(tech_base!$T247&gt;O$2025,"",0)</f>
        <v>0</v>
      </c>
      <c r="P2271" s="119">
        <f>IF(tech_base!$T247&gt;P$2025,"",0)</f>
        <v>0</v>
      </c>
      <c r="Q2271" s="119">
        <f>IF(tech_base!$T247&gt;Q$2025,"",0)</f>
        <v>0</v>
      </c>
      <c r="R2271" s="119">
        <f>IF(tech_base!$T247&gt;R$2025,"",0)</f>
        <v>0</v>
      </c>
      <c r="S2271" s="119">
        <f>IF(tech_base!$T247&gt;S$2025,"",0)</f>
        <v>0</v>
      </c>
      <c r="T2271" s="119">
        <f>IF(tech_base!$T247&gt;T$2025,"",0)</f>
        <v>0</v>
      </c>
      <c r="U2271" s="119">
        <f>IF(tech_base!$T247&gt;U$2025,"",0)</f>
        <v>0</v>
      </c>
      <c r="V2271" s="119">
        <f>IF(tech_base!$T247&gt;V$2025,"",0)</f>
        <v>0</v>
      </c>
      <c r="W2271" s="119">
        <f>IF(tech_base!$T247&gt;W$2025,"",0)</f>
        <v>0</v>
      </c>
      <c r="X2271" s="119">
        <f>IF(tech_base!$T247&gt;X$2025,"",0)</f>
        <v>0</v>
      </c>
      <c r="Y2271" s="119">
        <f>IF(tech_base!$T247&gt;Y$2025,"",0)</f>
        <v>0</v>
      </c>
      <c r="Z2271" s="119">
        <f>IF(tech_base!$T247&gt;Z$2025,"",0)</f>
        <v>0</v>
      </c>
      <c r="AA2271" s="119">
        <f>IF(tech_base!$T247&gt;AA$2025,"",0)</f>
        <v>0</v>
      </c>
      <c r="AB2271" s="119">
        <f>IF(tech_base!$T247&gt;AB$2025,"",0)</f>
        <v>0</v>
      </c>
      <c r="AC2271" s="119">
        <f>IF(tech_base!$T247&gt;AC$2025,"",0)</f>
        <v>0</v>
      </c>
      <c r="AD2271" s="119">
        <f>IF(tech_base!$T247&gt;AD$2025,"",0)</f>
        <v>0</v>
      </c>
      <c r="AE2271" s="119">
        <f>IF(tech_base!$T247&gt;AE$2025,"",0)</f>
        <v>0</v>
      </c>
      <c r="AF2271" s="119">
        <f>IF(tech_base!$T247&gt;AF$2025,"",0)</f>
        <v>0</v>
      </c>
      <c r="AG2271" s="119">
        <f>IF(tech_base!$T247&gt;AG$2025,"",0)</f>
        <v>0</v>
      </c>
      <c r="AH2271" s="119">
        <f>IF(tech_base!$T247&gt;AH$2025,"",0)</f>
        <v>0</v>
      </c>
      <c r="AI2271" s="119">
        <f>IF(tech_base!$T247&gt;AI$2025,"",0)</f>
        <v>0</v>
      </c>
      <c r="AJ2271" s="119">
        <f>IF(tech_base!$T247&gt;AJ$2025,"",0)</f>
        <v>0</v>
      </c>
      <c r="AK2271" s="119">
        <f>IF(tech_base!$T247&gt;AK$2025,"",0)</f>
        <v>0</v>
      </c>
      <c r="AL2271" s="119">
        <f>IF(tech_base!$T247&gt;AL$2025,"",0)</f>
        <v>0</v>
      </c>
      <c r="AM2271" s="119">
        <f>IF(tech_base!$T247&gt;AM$2025,"",0)</f>
        <v>0</v>
      </c>
      <c r="AN2271" s="119">
        <f>IF(tech_base!$T247&gt;AN$2025,"",0)</f>
        <v>0</v>
      </c>
      <c r="AO2271" s="119">
        <f>IF(tech_base!$T247&gt;AO$2025,"",0)</f>
        <v>0</v>
      </c>
      <c r="AP2271" s="119">
        <f>IF(tech_base!$T247&gt;AP$2025,"",0)</f>
        <v>0</v>
      </c>
      <c r="AQ2271" s="119">
        <f>IF(tech_base!$T247&gt;AQ$2025,"",0)</f>
        <v>0</v>
      </c>
      <c r="AR2271" s="119">
        <f>IF(tech_base!$T247&gt;AR$2025,"",0)</f>
        <v>0</v>
      </c>
      <c r="AS2271" s="119">
        <f>IF(tech_base!$T247&gt;AS$2025,"",0)</f>
        <v>0</v>
      </c>
      <c r="AT2271" s="119">
        <f>IF(tech_base!$T247&gt;AT$2025,"",0)</f>
        <v>0</v>
      </c>
      <c r="AU2271" s="119">
        <f>IF(tech_base!$T247&gt;AU$2025,"",0)</f>
        <v>0</v>
      </c>
      <c r="AV2271" s="119">
        <f>IF(tech_base!$T247&gt;AV$2025,"",0)</f>
        <v>0</v>
      </c>
      <c r="AW2271" s="119">
        <f>IF(tech_base!$T247&gt;AW$2025,"",0)</f>
        <v>0</v>
      </c>
      <c r="AX2271" s="120">
        <f>IF(tech_base!$T247&gt;AX$2025,"",0)</f>
        <v>0</v>
      </c>
    </row>
    <row r="2272" spans="1:50" x14ac:dyDescent="0.25">
      <c r="A2272" s="357"/>
      <c r="B2272" s="380"/>
      <c r="C2272" s="381"/>
      <c r="D2272" s="4" t="s">
        <v>20</v>
      </c>
      <c r="E2272" s="80" t="str">
        <f>A2265&amp;"/"&amp;B2269&amp;"/"&amp;C2269&amp;"/"&amp;D2272</f>
        <v>Wind power plants/Offshore/Electricity only/XS</v>
      </c>
      <c r="F2272" s="80" t="str">
        <f>A2265</f>
        <v>Wind power plants</v>
      </c>
      <c r="G2272" s="80" t="str">
        <f>B2269</f>
        <v>Offshore</v>
      </c>
      <c r="H2272" s="80" t="str">
        <f>C2269</f>
        <v>Electricity only</v>
      </c>
      <c r="I2272" s="80" t="str">
        <f t="shared" si="390"/>
        <v>XS</v>
      </c>
      <c r="J2272" s="127">
        <f>IF(tech_base!$T248&gt;J$2025,"",0)</f>
        <v>0</v>
      </c>
      <c r="K2272" s="127">
        <f>IF(tech_base!$T248&gt;K$2025,"",0)</f>
        <v>0</v>
      </c>
      <c r="L2272" s="127">
        <f>IF(tech_base!$T248&gt;L$2025,"",0)</f>
        <v>0</v>
      </c>
      <c r="M2272" s="127">
        <f>IF(tech_base!$T248&gt;M$2025,"",0)</f>
        <v>0</v>
      </c>
      <c r="N2272" s="127">
        <f>IF(tech_base!$T248&gt;N$2025,"",0)</f>
        <v>0</v>
      </c>
      <c r="O2272" s="127">
        <f>IF(tech_base!$T248&gt;O$2025,"",0)</f>
        <v>0</v>
      </c>
      <c r="P2272" s="127">
        <f>IF(tech_base!$T248&gt;P$2025,"",0)</f>
        <v>0</v>
      </c>
      <c r="Q2272" s="127">
        <f>IF(tech_base!$T248&gt;Q$2025,"",0)</f>
        <v>0</v>
      </c>
      <c r="R2272" s="127">
        <f>IF(tech_base!$T248&gt;R$2025,"",0)</f>
        <v>0</v>
      </c>
      <c r="S2272" s="127">
        <f>IF(tech_base!$T248&gt;S$2025,"",0)</f>
        <v>0</v>
      </c>
      <c r="T2272" s="127">
        <f>IF(tech_base!$T248&gt;T$2025,"",0)</f>
        <v>0</v>
      </c>
      <c r="U2272" s="127">
        <f>IF(tech_base!$T248&gt;U$2025,"",0)</f>
        <v>0</v>
      </c>
      <c r="V2272" s="127">
        <f>IF(tech_base!$T248&gt;V$2025,"",0)</f>
        <v>0</v>
      </c>
      <c r="W2272" s="127">
        <f>IF(tech_base!$T248&gt;W$2025,"",0)</f>
        <v>0</v>
      </c>
      <c r="X2272" s="127">
        <f>IF(tech_base!$T248&gt;X$2025,"",0)</f>
        <v>0</v>
      </c>
      <c r="Y2272" s="127">
        <f>IF(tech_base!$T248&gt;Y$2025,"",0)</f>
        <v>0</v>
      </c>
      <c r="Z2272" s="127">
        <f>IF(tech_base!$T248&gt;Z$2025,"",0)</f>
        <v>0</v>
      </c>
      <c r="AA2272" s="127">
        <f>IF(tech_base!$T248&gt;AA$2025,"",0)</f>
        <v>0</v>
      </c>
      <c r="AB2272" s="127">
        <f>IF(tech_base!$T248&gt;AB$2025,"",0)</f>
        <v>0</v>
      </c>
      <c r="AC2272" s="127">
        <f>IF(tech_base!$T248&gt;AC$2025,"",0)</f>
        <v>0</v>
      </c>
      <c r="AD2272" s="127">
        <f>IF(tech_base!$T248&gt;AD$2025,"",0)</f>
        <v>0</v>
      </c>
      <c r="AE2272" s="127">
        <f>IF(tech_base!$T248&gt;AE$2025,"",0)</f>
        <v>0</v>
      </c>
      <c r="AF2272" s="127">
        <f>IF(tech_base!$T248&gt;AF$2025,"",0)</f>
        <v>0</v>
      </c>
      <c r="AG2272" s="127">
        <f>IF(tech_base!$T248&gt;AG$2025,"",0)</f>
        <v>0</v>
      </c>
      <c r="AH2272" s="127">
        <f>IF(tech_base!$T248&gt;AH$2025,"",0)</f>
        <v>0</v>
      </c>
      <c r="AI2272" s="127">
        <f>IF(tech_base!$T248&gt;AI$2025,"",0)</f>
        <v>0</v>
      </c>
      <c r="AJ2272" s="127">
        <f>IF(tech_base!$T248&gt;AJ$2025,"",0)</f>
        <v>0</v>
      </c>
      <c r="AK2272" s="127">
        <f>IF(tech_base!$T248&gt;AK$2025,"",0)</f>
        <v>0</v>
      </c>
      <c r="AL2272" s="127">
        <f>IF(tech_base!$T248&gt;AL$2025,"",0)</f>
        <v>0</v>
      </c>
      <c r="AM2272" s="127">
        <f>IF(tech_base!$T248&gt;AM$2025,"",0)</f>
        <v>0</v>
      </c>
      <c r="AN2272" s="127">
        <f>IF(tech_base!$T248&gt;AN$2025,"",0)</f>
        <v>0</v>
      </c>
      <c r="AO2272" s="127">
        <f>IF(tech_base!$T248&gt;AO$2025,"",0)</f>
        <v>0</v>
      </c>
      <c r="AP2272" s="127">
        <f>IF(tech_base!$T248&gt;AP$2025,"",0)</f>
        <v>0</v>
      </c>
      <c r="AQ2272" s="127">
        <f>IF(tech_base!$T248&gt;AQ$2025,"",0)</f>
        <v>0</v>
      </c>
      <c r="AR2272" s="127">
        <f>IF(tech_base!$T248&gt;AR$2025,"",0)</f>
        <v>0</v>
      </c>
      <c r="AS2272" s="127">
        <f>IF(tech_base!$T248&gt;AS$2025,"",0)</f>
        <v>0</v>
      </c>
      <c r="AT2272" s="127">
        <f>IF(tech_base!$T248&gt;AT$2025,"",0)</f>
        <v>0</v>
      </c>
      <c r="AU2272" s="127">
        <f>IF(tech_base!$T248&gt;AU$2025,"",0)</f>
        <v>0</v>
      </c>
      <c r="AV2272" s="127">
        <f>IF(tech_base!$T248&gt;AV$2025,"",0)</f>
        <v>0</v>
      </c>
      <c r="AW2272" s="127">
        <f>IF(tech_base!$T248&gt;AW$2025,"",0)</f>
        <v>0</v>
      </c>
      <c r="AX2272" s="128">
        <f>IF(tech_base!$T248&gt;AX$2025,"",0)</f>
        <v>0</v>
      </c>
    </row>
    <row r="2273" spans="1:50" x14ac:dyDescent="0.25">
      <c r="A2273" s="355" t="s">
        <v>37</v>
      </c>
      <c r="B2273" s="358" t="s">
        <v>37</v>
      </c>
      <c r="C2273" s="353" t="s">
        <v>6</v>
      </c>
      <c r="D2273" s="3" t="s">
        <v>7</v>
      </c>
      <c r="E2273" s="77" t="str">
        <f>A2273&amp;"/"&amp;B2273&amp;"/"&amp;C2273&amp;"/"&amp;D2273</f>
        <v>Solar PV power plants/Solar PV power plants/Electricity only/L</v>
      </c>
      <c r="F2273" s="77" t="str">
        <f>A2273</f>
        <v>Solar PV power plants</v>
      </c>
      <c r="G2273" s="77" t="str">
        <f>B2273</f>
        <v>Solar PV power plants</v>
      </c>
      <c r="H2273" s="77" t="str">
        <f>C2273</f>
        <v>Electricity only</v>
      </c>
      <c r="I2273" s="77" t="str">
        <f t="shared" si="390"/>
        <v>L</v>
      </c>
      <c r="J2273" s="121">
        <f>IF(tech_base!$T249&gt;J$2025,"",0)</f>
        <v>0</v>
      </c>
      <c r="K2273" s="121">
        <f>IF(tech_base!$T249&gt;K$2025,"",0)</f>
        <v>0</v>
      </c>
      <c r="L2273" s="121">
        <f>IF(tech_base!$T249&gt;L$2025,"",0)</f>
        <v>0</v>
      </c>
      <c r="M2273" s="121">
        <f>IF(tech_base!$T249&gt;M$2025,"",0)</f>
        <v>0</v>
      </c>
      <c r="N2273" s="121">
        <f>IF(tech_base!$T249&gt;N$2025,"",0)</f>
        <v>0</v>
      </c>
      <c r="O2273" s="121">
        <f>IF(tech_base!$T249&gt;O$2025,"",0)</f>
        <v>0</v>
      </c>
      <c r="P2273" s="121">
        <f>IF(tech_base!$T249&gt;P$2025,"",0)</f>
        <v>0</v>
      </c>
      <c r="Q2273" s="121">
        <f>IF(tech_base!$T249&gt;Q$2025,"",0)</f>
        <v>0</v>
      </c>
      <c r="R2273" s="121">
        <f>IF(tech_base!$T249&gt;R$2025,"",0)</f>
        <v>0</v>
      </c>
      <c r="S2273" s="121">
        <f>IF(tech_base!$T249&gt;S$2025,"",0)</f>
        <v>0</v>
      </c>
      <c r="T2273" s="121">
        <f>IF(tech_base!$T249&gt;T$2025,"",0)</f>
        <v>0</v>
      </c>
      <c r="U2273" s="121">
        <f>IF(tech_base!$T249&gt;U$2025,"",0)</f>
        <v>0</v>
      </c>
      <c r="V2273" s="121">
        <f>IF(tech_base!$T249&gt;V$2025,"",0)</f>
        <v>0</v>
      </c>
      <c r="W2273" s="121">
        <f>IF(tech_base!$T249&gt;W$2025,"",0)</f>
        <v>0</v>
      </c>
      <c r="X2273" s="121">
        <f>IF(tech_base!$T249&gt;X$2025,"",0)</f>
        <v>0</v>
      </c>
      <c r="Y2273" s="121">
        <f>IF(tech_base!$T249&gt;Y$2025,"",0)</f>
        <v>0</v>
      </c>
      <c r="Z2273" s="121">
        <f>IF(tech_base!$T249&gt;Z$2025,"",0)</f>
        <v>0</v>
      </c>
      <c r="AA2273" s="121">
        <f>IF(tech_base!$T249&gt;AA$2025,"",0)</f>
        <v>0</v>
      </c>
      <c r="AB2273" s="121">
        <f>IF(tech_base!$T249&gt;AB$2025,"",0)</f>
        <v>0</v>
      </c>
      <c r="AC2273" s="121">
        <f>IF(tech_base!$T249&gt;AC$2025,"",0)</f>
        <v>0</v>
      </c>
      <c r="AD2273" s="121">
        <f>IF(tech_base!$T249&gt;AD$2025,"",0)</f>
        <v>0</v>
      </c>
      <c r="AE2273" s="121">
        <f>IF(tech_base!$T249&gt;AE$2025,"",0)</f>
        <v>0</v>
      </c>
      <c r="AF2273" s="121">
        <f>IF(tech_base!$T249&gt;AF$2025,"",0)</f>
        <v>0</v>
      </c>
      <c r="AG2273" s="121">
        <f>IF(tech_base!$T249&gt;AG$2025,"",0)</f>
        <v>0</v>
      </c>
      <c r="AH2273" s="121">
        <f>IF(tech_base!$T249&gt;AH$2025,"",0)</f>
        <v>0</v>
      </c>
      <c r="AI2273" s="121">
        <f>IF(tech_base!$T249&gt;AI$2025,"",0)</f>
        <v>0</v>
      </c>
      <c r="AJ2273" s="121">
        <f>IF(tech_base!$T249&gt;AJ$2025,"",0)</f>
        <v>0</v>
      </c>
      <c r="AK2273" s="121">
        <f>IF(tech_base!$T249&gt;AK$2025,"",0)</f>
        <v>0</v>
      </c>
      <c r="AL2273" s="121">
        <f>IF(tech_base!$T249&gt;AL$2025,"",0)</f>
        <v>0</v>
      </c>
      <c r="AM2273" s="121">
        <f>IF(tech_base!$T249&gt;AM$2025,"",0)</f>
        <v>0</v>
      </c>
      <c r="AN2273" s="121">
        <f>IF(tech_base!$T249&gt;AN$2025,"",0)</f>
        <v>0</v>
      </c>
      <c r="AO2273" s="121">
        <f>IF(tech_base!$T249&gt;AO$2025,"",0)</f>
        <v>0</v>
      </c>
      <c r="AP2273" s="121">
        <f>IF(tech_base!$T249&gt;AP$2025,"",0)</f>
        <v>0</v>
      </c>
      <c r="AQ2273" s="121">
        <f>IF(tech_base!$T249&gt;AQ$2025,"",0)</f>
        <v>0</v>
      </c>
      <c r="AR2273" s="121">
        <f>IF(tech_base!$T249&gt;AR$2025,"",0)</f>
        <v>0</v>
      </c>
      <c r="AS2273" s="121">
        <f>IF(tech_base!$T249&gt;AS$2025,"",0)</f>
        <v>0</v>
      </c>
      <c r="AT2273" s="121">
        <f>IF(tech_base!$T249&gt;AT$2025,"",0)</f>
        <v>0</v>
      </c>
      <c r="AU2273" s="121">
        <f>IF(tech_base!$T249&gt;AU$2025,"",0)</f>
        <v>0</v>
      </c>
      <c r="AV2273" s="121">
        <f>IF(tech_base!$T249&gt;AV$2025,"",0)</f>
        <v>0</v>
      </c>
      <c r="AW2273" s="121">
        <f>IF(tech_base!$T249&gt;AW$2025,"",0)</f>
        <v>0</v>
      </c>
      <c r="AX2273" s="122">
        <f>IF(tech_base!$T249&gt;AX$2025,"",0)</f>
        <v>0</v>
      </c>
    </row>
    <row r="2274" spans="1:50" x14ac:dyDescent="0.25">
      <c r="A2274" s="356"/>
      <c r="B2274" s="376"/>
      <c r="C2274" s="378"/>
      <c r="D2274" s="2" t="s">
        <v>8</v>
      </c>
      <c r="E2274" s="76" t="str">
        <f>A2273&amp;"/"&amp;B2273&amp;"/"&amp;C2273&amp;"/"&amp;D2274</f>
        <v>Solar PV power plants/Solar PV power plants/Electricity only/M</v>
      </c>
      <c r="F2274" s="76" t="str">
        <f>A2273</f>
        <v>Solar PV power plants</v>
      </c>
      <c r="G2274" s="76" t="str">
        <f>B2273</f>
        <v>Solar PV power plants</v>
      </c>
      <c r="H2274" s="76" t="str">
        <f>C2273</f>
        <v>Electricity only</v>
      </c>
      <c r="I2274" s="76" t="str">
        <f t="shared" si="390"/>
        <v>M</v>
      </c>
      <c r="J2274" s="119">
        <f>IF(tech_base!$T250&gt;J$2025,"",0)</f>
        <v>0</v>
      </c>
      <c r="K2274" s="119">
        <f>IF(tech_base!$T250&gt;K$2025,"",0)</f>
        <v>0</v>
      </c>
      <c r="L2274" s="119">
        <f>IF(tech_base!$T250&gt;L$2025,"",0)</f>
        <v>0</v>
      </c>
      <c r="M2274" s="119">
        <f>IF(tech_base!$T250&gt;M$2025,"",0)</f>
        <v>0</v>
      </c>
      <c r="N2274" s="119">
        <f>IF(tech_base!$T250&gt;N$2025,"",0)</f>
        <v>0</v>
      </c>
      <c r="O2274" s="119">
        <f>IF(tech_base!$T250&gt;O$2025,"",0)</f>
        <v>0</v>
      </c>
      <c r="P2274" s="119">
        <f>IF(tech_base!$T250&gt;P$2025,"",0)</f>
        <v>0</v>
      </c>
      <c r="Q2274" s="119">
        <f>IF(tech_base!$T250&gt;Q$2025,"",0)</f>
        <v>0</v>
      </c>
      <c r="R2274" s="119">
        <f>IF(tech_base!$T250&gt;R$2025,"",0)</f>
        <v>0</v>
      </c>
      <c r="S2274" s="119">
        <f>IF(tech_base!$T250&gt;S$2025,"",0)</f>
        <v>0</v>
      </c>
      <c r="T2274" s="119">
        <f>IF(tech_base!$T250&gt;T$2025,"",0)</f>
        <v>0</v>
      </c>
      <c r="U2274" s="119">
        <f>IF(tech_base!$T250&gt;U$2025,"",0)</f>
        <v>0</v>
      </c>
      <c r="V2274" s="119">
        <f>IF(tech_base!$T250&gt;V$2025,"",0)</f>
        <v>0</v>
      </c>
      <c r="W2274" s="119">
        <f>IF(tech_base!$T250&gt;W$2025,"",0)</f>
        <v>0</v>
      </c>
      <c r="X2274" s="119">
        <f>IF(tech_base!$T250&gt;X$2025,"",0)</f>
        <v>0</v>
      </c>
      <c r="Y2274" s="119">
        <f>IF(tech_base!$T250&gt;Y$2025,"",0)</f>
        <v>0</v>
      </c>
      <c r="Z2274" s="119">
        <f>IF(tech_base!$T250&gt;Z$2025,"",0)</f>
        <v>0</v>
      </c>
      <c r="AA2274" s="119">
        <f>IF(tech_base!$T250&gt;AA$2025,"",0)</f>
        <v>0</v>
      </c>
      <c r="AB2274" s="119">
        <f>IF(tech_base!$T250&gt;AB$2025,"",0)</f>
        <v>0</v>
      </c>
      <c r="AC2274" s="119">
        <f>IF(tech_base!$T250&gt;AC$2025,"",0)</f>
        <v>0</v>
      </c>
      <c r="AD2274" s="119">
        <f>IF(tech_base!$T250&gt;AD$2025,"",0)</f>
        <v>0</v>
      </c>
      <c r="AE2274" s="119">
        <f>IF(tech_base!$T250&gt;AE$2025,"",0)</f>
        <v>0</v>
      </c>
      <c r="AF2274" s="119">
        <f>IF(tech_base!$T250&gt;AF$2025,"",0)</f>
        <v>0</v>
      </c>
      <c r="AG2274" s="119">
        <f>IF(tech_base!$T250&gt;AG$2025,"",0)</f>
        <v>0</v>
      </c>
      <c r="AH2274" s="119">
        <f>IF(tech_base!$T250&gt;AH$2025,"",0)</f>
        <v>0</v>
      </c>
      <c r="AI2274" s="119">
        <f>IF(tech_base!$T250&gt;AI$2025,"",0)</f>
        <v>0</v>
      </c>
      <c r="AJ2274" s="119">
        <f>IF(tech_base!$T250&gt;AJ$2025,"",0)</f>
        <v>0</v>
      </c>
      <c r="AK2274" s="119">
        <f>IF(tech_base!$T250&gt;AK$2025,"",0)</f>
        <v>0</v>
      </c>
      <c r="AL2274" s="119">
        <f>IF(tech_base!$T250&gt;AL$2025,"",0)</f>
        <v>0</v>
      </c>
      <c r="AM2274" s="119">
        <f>IF(tech_base!$T250&gt;AM$2025,"",0)</f>
        <v>0</v>
      </c>
      <c r="AN2274" s="119">
        <f>IF(tech_base!$T250&gt;AN$2025,"",0)</f>
        <v>0</v>
      </c>
      <c r="AO2274" s="119">
        <f>IF(tech_base!$T250&gt;AO$2025,"",0)</f>
        <v>0</v>
      </c>
      <c r="AP2274" s="119">
        <f>IF(tech_base!$T250&gt;AP$2025,"",0)</f>
        <v>0</v>
      </c>
      <c r="AQ2274" s="119">
        <f>IF(tech_base!$T250&gt;AQ$2025,"",0)</f>
        <v>0</v>
      </c>
      <c r="AR2274" s="119">
        <f>IF(tech_base!$T250&gt;AR$2025,"",0)</f>
        <v>0</v>
      </c>
      <c r="AS2274" s="119">
        <f>IF(tech_base!$T250&gt;AS$2025,"",0)</f>
        <v>0</v>
      </c>
      <c r="AT2274" s="119">
        <f>IF(tech_base!$T250&gt;AT$2025,"",0)</f>
        <v>0</v>
      </c>
      <c r="AU2274" s="119">
        <f>IF(tech_base!$T250&gt;AU$2025,"",0)</f>
        <v>0</v>
      </c>
      <c r="AV2274" s="119">
        <f>IF(tech_base!$T250&gt;AV$2025,"",0)</f>
        <v>0</v>
      </c>
      <c r="AW2274" s="119">
        <f>IF(tech_base!$T250&gt;AW$2025,"",0)</f>
        <v>0</v>
      </c>
      <c r="AX2274" s="120">
        <f>IF(tech_base!$T250&gt;AX$2025,"",0)</f>
        <v>0</v>
      </c>
    </row>
    <row r="2275" spans="1:50" x14ac:dyDescent="0.25">
      <c r="A2275" s="356"/>
      <c r="B2275" s="376"/>
      <c r="C2275" s="378"/>
      <c r="D2275" s="2" t="s">
        <v>10</v>
      </c>
      <c r="E2275" s="76" t="str">
        <f>A2273&amp;"/"&amp;B2273&amp;"/"&amp;C2273&amp;"/"&amp;D2275</f>
        <v>Solar PV power plants/Solar PV power plants/Electricity only/S</v>
      </c>
      <c r="F2275" s="76" t="str">
        <f>A2273</f>
        <v>Solar PV power plants</v>
      </c>
      <c r="G2275" s="76" t="str">
        <f>B2273</f>
        <v>Solar PV power plants</v>
      </c>
      <c r="H2275" s="76" t="str">
        <f>C2273</f>
        <v>Electricity only</v>
      </c>
      <c r="I2275" s="76" t="str">
        <f t="shared" si="390"/>
        <v>S</v>
      </c>
      <c r="J2275" s="119">
        <f>IF(tech_base!$T251&gt;J$2025,"",0)</f>
        <v>0</v>
      </c>
      <c r="K2275" s="119">
        <f>IF(tech_base!$T251&gt;K$2025,"",0)</f>
        <v>0</v>
      </c>
      <c r="L2275" s="119">
        <f>IF(tech_base!$T251&gt;L$2025,"",0)</f>
        <v>0</v>
      </c>
      <c r="M2275" s="119">
        <f>IF(tech_base!$T251&gt;M$2025,"",0)</f>
        <v>0</v>
      </c>
      <c r="N2275" s="119">
        <f>IF(tech_base!$T251&gt;N$2025,"",0)</f>
        <v>0</v>
      </c>
      <c r="O2275" s="119">
        <f>IF(tech_base!$T251&gt;O$2025,"",0)</f>
        <v>0</v>
      </c>
      <c r="P2275" s="119">
        <f>IF(tech_base!$T251&gt;P$2025,"",0)</f>
        <v>0</v>
      </c>
      <c r="Q2275" s="119">
        <f>IF(tech_base!$T251&gt;Q$2025,"",0)</f>
        <v>0</v>
      </c>
      <c r="R2275" s="119">
        <f>IF(tech_base!$T251&gt;R$2025,"",0)</f>
        <v>0</v>
      </c>
      <c r="S2275" s="119">
        <f>IF(tech_base!$T251&gt;S$2025,"",0)</f>
        <v>0</v>
      </c>
      <c r="T2275" s="119">
        <f>IF(tech_base!$T251&gt;T$2025,"",0)</f>
        <v>0</v>
      </c>
      <c r="U2275" s="119">
        <f>IF(tech_base!$T251&gt;U$2025,"",0)</f>
        <v>0</v>
      </c>
      <c r="V2275" s="119">
        <f>IF(tech_base!$T251&gt;V$2025,"",0)</f>
        <v>0</v>
      </c>
      <c r="W2275" s="119">
        <f>IF(tech_base!$T251&gt;W$2025,"",0)</f>
        <v>0</v>
      </c>
      <c r="X2275" s="119">
        <f>IF(tech_base!$T251&gt;X$2025,"",0)</f>
        <v>0</v>
      </c>
      <c r="Y2275" s="119">
        <f>IF(tech_base!$T251&gt;Y$2025,"",0)</f>
        <v>0</v>
      </c>
      <c r="Z2275" s="119">
        <f>IF(tech_base!$T251&gt;Z$2025,"",0)</f>
        <v>0</v>
      </c>
      <c r="AA2275" s="119">
        <f>IF(tech_base!$T251&gt;AA$2025,"",0)</f>
        <v>0</v>
      </c>
      <c r="AB2275" s="119">
        <f>IF(tech_base!$T251&gt;AB$2025,"",0)</f>
        <v>0</v>
      </c>
      <c r="AC2275" s="119">
        <f>IF(tech_base!$T251&gt;AC$2025,"",0)</f>
        <v>0</v>
      </c>
      <c r="AD2275" s="119">
        <f>IF(tech_base!$T251&gt;AD$2025,"",0)</f>
        <v>0</v>
      </c>
      <c r="AE2275" s="119">
        <f>IF(tech_base!$T251&gt;AE$2025,"",0)</f>
        <v>0</v>
      </c>
      <c r="AF2275" s="119">
        <f>IF(tech_base!$T251&gt;AF$2025,"",0)</f>
        <v>0</v>
      </c>
      <c r="AG2275" s="119">
        <f>IF(tech_base!$T251&gt;AG$2025,"",0)</f>
        <v>0</v>
      </c>
      <c r="AH2275" s="119">
        <f>IF(tech_base!$T251&gt;AH$2025,"",0)</f>
        <v>0</v>
      </c>
      <c r="AI2275" s="119">
        <f>IF(tech_base!$T251&gt;AI$2025,"",0)</f>
        <v>0</v>
      </c>
      <c r="AJ2275" s="119">
        <f>IF(tech_base!$T251&gt;AJ$2025,"",0)</f>
        <v>0</v>
      </c>
      <c r="AK2275" s="119">
        <f>IF(tech_base!$T251&gt;AK$2025,"",0)</f>
        <v>0</v>
      </c>
      <c r="AL2275" s="119">
        <f>IF(tech_base!$T251&gt;AL$2025,"",0)</f>
        <v>0</v>
      </c>
      <c r="AM2275" s="119">
        <f>IF(tech_base!$T251&gt;AM$2025,"",0)</f>
        <v>0</v>
      </c>
      <c r="AN2275" s="119">
        <f>IF(tech_base!$T251&gt;AN$2025,"",0)</f>
        <v>0</v>
      </c>
      <c r="AO2275" s="119">
        <f>IF(tech_base!$T251&gt;AO$2025,"",0)</f>
        <v>0</v>
      </c>
      <c r="AP2275" s="119">
        <f>IF(tech_base!$T251&gt;AP$2025,"",0)</f>
        <v>0</v>
      </c>
      <c r="AQ2275" s="119">
        <f>IF(tech_base!$T251&gt;AQ$2025,"",0)</f>
        <v>0</v>
      </c>
      <c r="AR2275" s="119">
        <f>IF(tech_base!$T251&gt;AR$2025,"",0)</f>
        <v>0</v>
      </c>
      <c r="AS2275" s="119">
        <f>IF(tech_base!$T251&gt;AS$2025,"",0)</f>
        <v>0</v>
      </c>
      <c r="AT2275" s="119">
        <f>IF(tech_base!$T251&gt;AT$2025,"",0)</f>
        <v>0</v>
      </c>
      <c r="AU2275" s="119">
        <f>IF(tech_base!$T251&gt;AU$2025,"",0)</f>
        <v>0</v>
      </c>
      <c r="AV2275" s="119">
        <f>IF(tech_base!$T251&gt;AV$2025,"",0)</f>
        <v>0</v>
      </c>
      <c r="AW2275" s="119">
        <f>IF(tech_base!$T251&gt;AW$2025,"",0)</f>
        <v>0</v>
      </c>
      <c r="AX2275" s="120">
        <f>IF(tech_base!$T251&gt;AX$2025,"",0)</f>
        <v>0</v>
      </c>
    </row>
    <row r="2276" spans="1:50" x14ac:dyDescent="0.25">
      <c r="A2276" s="357"/>
      <c r="B2276" s="380"/>
      <c r="C2276" s="381"/>
      <c r="D2276" s="4" t="s">
        <v>20</v>
      </c>
      <c r="E2276" s="80" t="str">
        <f>A2273&amp;"/"&amp;B2273&amp;"/"&amp;C2273&amp;"/"&amp;D2276</f>
        <v>Solar PV power plants/Solar PV power plants/Electricity only/XS</v>
      </c>
      <c r="F2276" s="80" t="str">
        <f>A2273</f>
        <v>Solar PV power plants</v>
      </c>
      <c r="G2276" s="80" t="str">
        <f>B2273</f>
        <v>Solar PV power plants</v>
      </c>
      <c r="H2276" s="80" t="str">
        <f>C2273</f>
        <v>Electricity only</v>
      </c>
      <c r="I2276" s="80" t="str">
        <f t="shared" si="390"/>
        <v>XS</v>
      </c>
      <c r="J2276" s="127">
        <f>IF(tech_base!$T252&gt;J$2025,"",0)</f>
        <v>0</v>
      </c>
      <c r="K2276" s="127">
        <f>IF(tech_base!$T252&gt;K$2025,"",0)</f>
        <v>0</v>
      </c>
      <c r="L2276" s="127">
        <f>IF(tech_base!$T252&gt;L$2025,"",0)</f>
        <v>0</v>
      </c>
      <c r="M2276" s="127">
        <f>IF(tech_base!$T252&gt;M$2025,"",0)</f>
        <v>0</v>
      </c>
      <c r="N2276" s="127">
        <f>IF(tech_base!$T252&gt;N$2025,"",0)</f>
        <v>0</v>
      </c>
      <c r="O2276" s="127">
        <f>IF(tech_base!$T252&gt;O$2025,"",0)</f>
        <v>0</v>
      </c>
      <c r="P2276" s="127">
        <f>IF(tech_base!$T252&gt;P$2025,"",0)</f>
        <v>0</v>
      </c>
      <c r="Q2276" s="127">
        <f>IF(tech_base!$T252&gt;Q$2025,"",0)</f>
        <v>0</v>
      </c>
      <c r="R2276" s="127">
        <f>IF(tech_base!$T252&gt;R$2025,"",0)</f>
        <v>0</v>
      </c>
      <c r="S2276" s="127">
        <f>IF(tech_base!$T252&gt;S$2025,"",0)</f>
        <v>0</v>
      </c>
      <c r="T2276" s="127">
        <f>IF(tech_base!$T252&gt;T$2025,"",0)</f>
        <v>0</v>
      </c>
      <c r="U2276" s="127">
        <f>IF(tech_base!$T252&gt;U$2025,"",0)</f>
        <v>0</v>
      </c>
      <c r="V2276" s="127">
        <f>IF(tech_base!$T252&gt;V$2025,"",0)</f>
        <v>0</v>
      </c>
      <c r="W2276" s="127">
        <f>IF(tech_base!$T252&gt;W$2025,"",0)</f>
        <v>0</v>
      </c>
      <c r="X2276" s="127">
        <f>IF(tech_base!$T252&gt;X$2025,"",0)</f>
        <v>0</v>
      </c>
      <c r="Y2276" s="127">
        <f>IF(tech_base!$T252&gt;Y$2025,"",0)</f>
        <v>0</v>
      </c>
      <c r="Z2276" s="127">
        <f>IF(tech_base!$T252&gt;Z$2025,"",0)</f>
        <v>0</v>
      </c>
      <c r="AA2276" s="127">
        <f>IF(tech_base!$T252&gt;AA$2025,"",0)</f>
        <v>0</v>
      </c>
      <c r="AB2276" s="127">
        <f>IF(tech_base!$T252&gt;AB$2025,"",0)</f>
        <v>0</v>
      </c>
      <c r="AC2276" s="127">
        <f>IF(tech_base!$T252&gt;AC$2025,"",0)</f>
        <v>0</v>
      </c>
      <c r="AD2276" s="127">
        <f>IF(tech_base!$T252&gt;AD$2025,"",0)</f>
        <v>0</v>
      </c>
      <c r="AE2276" s="127">
        <f>IF(tech_base!$T252&gt;AE$2025,"",0)</f>
        <v>0</v>
      </c>
      <c r="AF2276" s="127">
        <f>IF(tech_base!$T252&gt;AF$2025,"",0)</f>
        <v>0</v>
      </c>
      <c r="AG2276" s="127">
        <f>IF(tech_base!$T252&gt;AG$2025,"",0)</f>
        <v>0</v>
      </c>
      <c r="AH2276" s="127">
        <f>IF(tech_base!$T252&gt;AH$2025,"",0)</f>
        <v>0</v>
      </c>
      <c r="AI2276" s="127">
        <f>IF(tech_base!$T252&gt;AI$2025,"",0)</f>
        <v>0</v>
      </c>
      <c r="AJ2276" s="127">
        <f>IF(tech_base!$T252&gt;AJ$2025,"",0)</f>
        <v>0</v>
      </c>
      <c r="AK2276" s="127">
        <f>IF(tech_base!$T252&gt;AK$2025,"",0)</f>
        <v>0</v>
      </c>
      <c r="AL2276" s="127">
        <f>IF(tech_base!$T252&gt;AL$2025,"",0)</f>
        <v>0</v>
      </c>
      <c r="AM2276" s="127">
        <f>IF(tech_base!$T252&gt;AM$2025,"",0)</f>
        <v>0</v>
      </c>
      <c r="AN2276" s="127">
        <f>IF(tech_base!$T252&gt;AN$2025,"",0)</f>
        <v>0</v>
      </c>
      <c r="AO2276" s="127">
        <f>IF(tech_base!$T252&gt;AO$2025,"",0)</f>
        <v>0</v>
      </c>
      <c r="AP2276" s="127">
        <f>IF(tech_base!$T252&gt;AP$2025,"",0)</f>
        <v>0</v>
      </c>
      <c r="AQ2276" s="127">
        <f>IF(tech_base!$T252&gt;AQ$2025,"",0)</f>
        <v>0</v>
      </c>
      <c r="AR2276" s="127">
        <f>IF(tech_base!$T252&gt;AR$2025,"",0)</f>
        <v>0</v>
      </c>
      <c r="AS2276" s="127">
        <f>IF(tech_base!$T252&gt;AS$2025,"",0)</f>
        <v>0</v>
      </c>
      <c r="AT2276" s="127">
        <f>IF(tech_base!$T252&gt;AT$2025,"",0)</f>
        <v>0</v>
      </c>
      <c r="AU2276" s="127">
        <f>IF(tech_base!$T252&gt;AU$2025,"",0)</f>
        <v>0</v>
      </c>
      <c r="AV2276" s="127">
        <f>IF(tech_base!$T252&gt;AV$2025,"",0)</f>
        <v>0</v>
      </c>
      <c r="AW2276" s="127">
        <f>IF(tech_base!$T252&gt;AW$2025,"",0)</f>
        <v>0</v>
      </c>
      <c r="AX2276" s="128">
        <f>IF(tech_base!$T252&gt;AX$2025,"",0)</f>
        <v>0</v>
      </c>
    </row>
    <row r="2277" spans="1:50" x14ac:dyDescent="0.25">
      <c r="A2277" s="355" t="s">
        <v>38</v>
      </c>
      <c r="B2277" s="358" t="s">
        <v>38</v>
      </c>
      <c r="C2277" s="353" t="s">
        <v>6</v>
      </c>
      <c r="D2277" s="3" t="s">
        <v>7</v>
      </c>
      <c r="E2277" s="77" t="str">
        <f>A2277&amp;"/"&amp;B2277&amp;"/"&amp;C2277&amp;"/"&amp;D2277</f>
        <v>Solar thermal power plants/Solar thermal power plants/Electricity only/L</v>
      </c>
      <c r="F2277" s="77" t="str">
        <f>A2277</f>
        <v>Solar thermal power plants</v>
      </c>
      <c r="G2277" s="77" t="str">
        <f>B2277</f>
        <v>Solar thermal power plants</v>
      </c>
      <c r="H2277" s="77" t="str">
        <f>C2277</f>
        <v>Electricity only</v>
      </c>
      <c r="I2277" s="77" t="str">
        <f t="shared" si="390"/>
        <v>L</v>
      </c>
      <c r="J2277" s="121">
        <f>IF(tech_base!$T253&gt;J$2025,"",0)</f>
        <v>0</v>
      </c>
      <c r="K2277" s="121">
        <f>IF(tech_base!$T253&gt;K$2025,"",0)</f>
        <v>0</v>
      </c>
      <c r="L2277" s="121">
        <f>IF(tech_base!$T253&gt;L$2025,"",0)</f>
        <v>0</v>
      </c>
      <c r="M2277" s="121">
        <f>IF(tech_base!$T253&gt;M$2025,"",0)</f>
        <v>0</v>
      </c>
      <c r="N2277" s="121">
        <f>IF(tech_base!$T253&gt;N$2025,"",0)</f>
        <v>0</v>
      </c>
      <c r="O2277" s="121">
        <f>IF(tech_base!$T253&gt;O$2025,"",0)</f>
        <v>0</v>
      </c>
      <c r="P2277" s="121">
        <f>IF(tech_base!$T253&gt;P$2025,"",0)</f>
        <v>0</v>
      </c>
      <c r="Q2277" s="121">
        <f>IF(tech_base!$T253&gt;Q$2025,"",0)</f>
        <v>0</v>
      </c>
      <c r="R2277" s="121">
        <f>IF(tech_base!$T253&gt;R$2025,"",0)</f>
        <v>0</v>
      </c>
      <c r="S2277" s="121">
        <f>IF(tech_base!$T253&gt;S$2025,"",0)</f>
        <v>0</v>
      </c>
      <c r="T2277" s="121">
        <f>IF(tech_base!$T253&gt;T$2025,"",0)</f>
        <v>0</v>
      </c>
      <c r="U2277" s="121">
        <f>IF(tech_base!$T253&gt;U$2025,"",0)</f>
        <v>0</v>
      </c>
      <c r="V2277" s="121">
        <f>IF(tech_base!$T253&gt;V$2025,"",0)</f>
        <v>0</v>
      </c>
      <c r="W2277" s="121">
        <f>IF(tech_base!$T253&gt;W$2025,"",0)</f>
        <v>0</v>
      </c>
      <c r="X2277" s="121">
        <f>IF(tech_base!$T253&gt;X$2025,"",0)</f>
        <v>0</v>
      </c>
      <c r="Y2277" s="121">
        <f>IF(tech_base!$T253&gt;Y$2025,"",0)</f>
        <v>0</v>
      </c>
      <c r="Z2277" s="121">
        <f>IF(tech_base!$T253&gt;Z$2025,"",0)</f>
        <v>0</v>
      </c>
      <c r="AA2277" s="121">
        <f>IF(tech_base!$T253&gt;AA$2025,"",0)</f>
        <v>0</v>
      </c>
      <c r="AB2277" s="121">
        <f>IF(tech_base!$T253&gt;AB$2025,"",0)</f>
        <v>0</v>
      </c>
      <c r="AC2277" s="121">
        <f>IF(tech_base!$T253&gt;AC$2025,"",0)</f>
        <v>0</v>
      </c>
      <c r="AD2277" s="121">
        <f>IF(tech_base!$T253&gt;AD$2025,"",0)</f>
        <v>0</v>
      </c>
      <c r="AE2277" s="121">
        <f>IF(tech_base!$T253&gt;AE$2025,"",0)</f>
        <v>0</v>
      </c>
      <c r="AF2277" s="121">
        <f>IF(tech_base!$T253&gt;AF$2025,"",0)</f>
        <v>0</v>
      </c>
      <c r="AG2277" s="121">
        <f>IF(tech_base!$T253&gt;AG$2025,"",0)</f>
        <v>0</v>
      </c>
      <c r="AH2277" s="121">
        <f>IF(tech_base!$T253&gt;AH$2025,"",0)</f>
        <v>0</v>
      </c>
      <c r="AI2277" s="121">
        <f>IF(tech_base!$T253&gt;AI$2025,"",0)</f>
        <v>0</v>
      </c>
      <c r="AJ2277" s="121">
        <f>IF(tech_base!$T253&gt;AJ$2025,"",0)</f>
        <v>0</v>
      </c>
      <c r="AK2277" s="121">
        <f>IF(tech_base!$T253&gt;AK$2025,"",0)</f>
        <v>0</v>
      </c>
      <c r="AL2277" s="121">
        <f>IF(tech_base!$T253&gt;AL$2025,"",0)</f>
        <v>0</v>
      </c>
      <c r="AM2277" s="121">
        <f>IF(tech_base!$T253&gt;AM$2025,"",0)</f>
        <v>0</v>
      </c>
      <c r="AN2277" s="121">
        <f>IF(tech_base!$T253&gt;AN$2025,"",0)</f>
        <v>0</v>
      </c>
      <c r="AO2277" s="121">
        <f>IF(tech_base!$T253&gt;AO$2025,"",0)</f>
        <v>0</v>
      </c>
      <c r="AP2277" s="121">
        <f>IF(tech_base!$T253&gt;AP$2025,"",0)</f>
        <v>0</v>
      </c>
      <c r="AQ2277" s="121">
        <f>IF(tech_base!$T253&gt;AQ$2025,"",0)</f>
        <v>0</v>
      </c>
      <c r="AR2277" s="121">
        <f>IF(tech_base!$T253&gt;AR$2025,"",0)</f>
        <v>0</v>
      </c>
      <c r="AS2277" s="121">
        <f>IF(tech_base!$T253&gt;AS$2025,"",0)</f>
        <v>0</v>
      </c>
      <c r="AT2277" s="121">
        <f>IF(tech_base!$T253&gt;AT$2025,"",0)</f>
        <v>0</v>
      </c>
      <c r="AU2277" s="121">
        <f>IF(tech_base!$T253&gt;AU$2025,"",0)</f>
        <v>0</v>
      </c>
      <c r="AV2277" s="121">
        <f>IF(tech_base!$T253&gt;AV$2025,"",0)</f>
        <v>0</v>
      </c>
      <c r="AW2277" s="121">
        <f>IF(tech_base!$T253&gt;AW$2025,"",0)</f>
        <v>0</v>
      </c>
      <c r="AX2277" s="122">
        <f>IF(tech_base!$T253&gt;AX$2025,"",0)</f>
        <v>0</v>
      </c>
    </row>
    <row r="2278" spans="1:50" x14ac:dyDescent="0.25">
      <c r="A2278" s="382"/>
      <c r="B2278" s="376"/>
      <c r="C2278" s="378"/>
      <c r="D2278" s="2" t="s">
        <v>8</v>
      </c>
      <c r="E2278" s="76" t="str">
        <f>A2277&amp;"/"&amp;B2277&amp;"/"&amp;C2277&amp;"/"&amp;D2278</f>
        <v>Solar thermal power plants/Solar thermal power plants/Electricity only/M</v>
      </c>
      <c r="F2278" s="76" t="str">
        <f>A2277</f>
        <v>Solar thermal power plants</v>
      </c>
      <c r="G2278" s="76" t="str">
        <f>B2277</f>
        <v>Solar thermal power plants</v>
      </c>
      <c r="H2278" s="76" t="str">
        <f>C2277</f>
        <v>Electricity only</v>
      </c>
      <c r="I2278" s="76" t="str">
        <f t="shared" si="390"/>
        <v>M</v>
      </c>
      <c r="J2278" s="119">
        <f>IF(tech_base!$T254&gt;J$2025,"",0)</f>
        <v>0</v>
      </c>
      <c r="K2278" s="119">
        <f>IF(tech_base!$T254&gt;K$2025,"",0)</f>
        <v>0</v>
      </c>
      <c r="L2278" s="119">
        <f>IF(tech_base!$T254&gt;L$2025,"",0)</f>
        <v>0</v>
      </c>
      <c r="M2278" s="119">
        <f>IF(tech_base!$T254&gt;M$2025,"",0)</f>
        <v>0</v>
      </c>
      <c r="N2278" s="119">
        <f>IF(tech_base!$T254&gt;N$2025,"",0)</f>
        <v>0</v>
      </c>
      <c r="O2278" s="119">
        <f>IF(tech_base!$T254&gt;O$2025,"",0)</f>
        <v>0</v>
      </c>
      <c r="P2278" s="119">
        <f>IF(tech_base!$T254&gt;P$2025,"",0)</f>
        <v>0</v>
      </c>
      <c r="Q2278" s="119">
        <f>IF(tech_base!$T254&gt;Q$2025,"",0)</f>
        <v>0</v>
      </c>
      <c r="R2278" s="119">
        <f>IF(tech_base!$T254&gt;R$2025,"",0)</f>
        <v>0</v>
      </c>
      <c r="S2278" s="119">
        <f>IF(tech_base!$T254&gt;S$2025,"",0)</f>
        <v>0</v>
      </c>
      <c r="T2278" s="119">
        <f>IF(tech_base!$T254&gt;T$2025,"",0)</f>
        <v>0</v>
      </c>
      <c r="U2278" s="119">
        <f>IF(tech_base!$T254&gt;U$2025,"",0)</f>
        <v>0</v>
      </c>
      <c r="V2278" s="119">
        <f>IF(tech_base!$T254&gt;V$2025,"",0)</f>
        <v>0</v>
      </c>
      <c r="W2278" s="119">
        <f>IF(tech_base!$T254&gt;W$2025,"",0)</f>
        <v>0</v>
      </c>
      <c r="X2278" s="119">
        <f>IF(tech_base!$T254&gt;X$2025,"",0)</f>
        <v>0</v>
      </c>
      <c r="Y2278" s="119">
        <f>IF(tech_base!$T254&gt;Y$2025,"",0)</f>
        <v>0</v>
      </c>
      <c r="Z2278" s="119">
        <f>IF(tech_base!$T254&gt;Z$2025,"",0)</f>
        <v>0</v>
      </c>
      <c r="AA2278" s="119">
        <f>IF(tech_base!$T254&gt;AA$2025,"",0)</f>
        <v>0</v>
      </c>
      <c r="AB2278" s="119">
        <f>IF(tech_base!$T254&gt;AB$2025,"",0)</f>
        <v>0</v>
      </c>
      <c r="AC2278" s="119">
        <f>IF(tech_base!$T254&gt;AC$2025,"",0)</f>
        <v>0</v>
      </c>
      <c r="AD2278" s="119">
        <f>IF(tech_base!$T254&gt;AD$2025,"",0)</f>
        <v>0</v>
      </c>
      <c r="AE2278" s="119">
        <f>IF(tech_base!$T254&gt;AE$2025,"",0)</f>
        <v>0</v>
      </c>
      <c r="AF2278" s="119">
        <f>IF(tech_base!$T254&gt;AF$2025,"",0)</f>
        <v>0</v>
      </c>
      <c r="AG2278" s="119">
        <f>IF(tech_base!$T254&gt;AG$2025,"",0)</f>
        <v>0</v>
      </c>
      <c r="AH2278" s="119">
        <f>IF(tech_base!$T254&gt;AH$2025,"",0)</f>
        <v>0</v>
      </c>
      <c r="AI2278" s="119">
        <f>IF(tech_base!$T254&gt;AI$2025,"",0)</f>
        <v>0</v>
      </c>
      <c r="AJ2278" s="119">
        <f>IF(tech_base!$T254&gt;AJ$2025,"",0)</f>
        <v>0</v>
      </c>
      <c r="AK2278" s="119">
        <f>IF(tech_base!$T254&gt;AK$2025,"",0)</f>
        <v>0</v>
      </c>
      <c r="AL2278" s="119">
        <f>IF(tech_base!$T254&gt;AL$2025,"",0)</f>
        <v>0</v>
      </c>
      <c r="AM2278" s="119">
        <f>IF(tech_base!$T254&gt;AM$2025,"",0)</f>
        <v>0</v>
      </c>
      <c r="AN2278" s="119">
        <f>IF(tech_base!$T254&gt;AN$2025,"",0)</f>
        <v>0</v>
      </c>
      <c r="AO2278" s="119">
        <f>IF(tech_base!$T254&gt;AO$2025,"",0)</f>
        <v>0</v>
      </c>
      <c r="AP2278" s="119">
        <f>IF(tech_base!$T254&gt;AP$2025,"",0)</f>
        <v>0</v>
      </c>
      <c r="AQ2278" s="119">
        <f>IF(tech_base!$T254&gt;AQ$2025,"",0)</f>
        <v>0</v>
      </c>
      <c r="AR2278" s="119">
        <f>IF(tech_base!$T254&gt;AR$2025,"",0)</f>
        <v>0</v>
      </c>
      <c r="AS2278" s="119">
        <f>IF(tech_base!$T254&gt;AS$2025,"",0)</f>
        <v>0</v>
      </c>
      <c r="AT2278" s="119">
        <f>IF(tech_base!$T254&gt;AT$2025,"",0)</f>
        <v>0</v>
      </c>
      <c r="AU2278" s="119">
        <f>IF(tech_base!$T254&gt;AU$2025,"",0)</f>
        <v>0</v>
      </c>
      <c r="AV2278" s="119">
        <f>IF(tech_base!$T254&gt;AV$2025,"",0)</f>
        <v>0</v>
      </c>
      <c r="AW2278" s="119">
        <f>IF(tech_base!$T254&gt;AW$2025,"",0)</f>
        <v>0</v>
      </c>
      <c r="AX2278" s="120">
        <f>IF(tech_base!$T254&gt;AX$2025,"",0)</f>
        <v>0</v>
      </c>
    </row>
    <row r="2279" spans="1:50" x14ac:dyDescent="0.25">
      <c r="A2279" s="382"/>
      <c r="B2279" s="376"/>
      <c r="C2279" s="378"/>
      <c r="D2279" s="2" t="s">
        <v>10</v>
      </c>
      <c r="E2279" s="76" t="str">
        <f>A2277&amp;"/"&amp;B2277&amp;"/"&amp;C2277&amp;"/"&amp;D2279</f>
        <v>Solar thermal power plants/Solar thermal power plants/Electricity only/S</v>
      </c>
      <c r="F2279" s="76" t="str">
        <f>A2277</f>
        <v>Solar thermal power plants</v>
      </c>
      <c r="G2279" s="76" t="str">
        <f>B2277</f>
        <v>Solar thermal power plants</v>
      </c>
      <c r="H2279" s="76" t="str">
        <f>C2277</f>
        <v>Electricity only</v>
      </c>
      <c r="I2279" s="76" t="str">
        <f t="shared" si="390"/>
        <v>S</v>
      </c>
      <c r="J2279" s="119">
        <f>IF(tech_base!$T255&gt;J$2025,"",0)</f>
        <v>0</v>
      </c>
      <c r="K2279" s="119">
        <f>IF(tech_base!$T255&gt;K$2025,"",0)</f>
        <v>0</v>
      </c>
      <c r="L2279" s="119">
        <f>IF(tech_base!$T255&gt;L$2025,"",0)</f>
        <v>0</v>
      </c>
      <c r="M2279" s="119">
        <f>IF(tech_base!$T255&gt;M$2025,"",0)</f>
        <v>0</v>
      </c>
      <c r="N2279" s="119">
        <f>IF(tech_base!$T255&gt;N$2025,"",0)</f>
        <v>0</v>
      </c>
      <c r="O2279" s="119">
        <f>IF(tech_base!$T255&gt;O$2025,"",0)</f>
        <v>0</v>
      </c>
      <c r="P2279" s="119">
        <f>IF(tech_base!$T255&gt;P$2025,"",0)</f>
        <v>0</v>
      </c>
      <c r="Q2279" s="119">
        <f>IF(tech_base!$T255&gt;Q$2025,"",0)</f>
        <v>0</v>
      </c>
      <c r="R2279" s="119">
        <f>IF(tech_base!$T255&gt;R$2025,"",0)</f>
        <v>0</v>
      </c>
      <c r="S2279" s="119">
        <f>IF(tech_base!$T255&gt;S$2025,"",0)</f>
        <v>0</v>
      </c>
      <c r="T2279" s="119">
        <f>IF(tech_base!$T255&gt;T$2025,"",0)</f>
        <v>0</v>
      </c>
      <c r="U2279" s="119">
        <f>IF(tech_base!$T255&gt;U$2025,"",0)</f>
        <v>0</v>
      </c>
      <c r="V2279" s="119">
        <f>IF(tech_base!$T255&gt;V$2025,"",0)</f>
        <v>0</v>
      </c>
      <c r="W2279" s="119">
        <f>IF(tech_base!$T255&gt;W$2025,"",0)</f>
        <v>0</v>
      </c>
      <c r="X2279" s="119">
        <f>IF(tech_base!$T255&gt;X$2025,"",0)</f>
        <v>0</v>
      </c>
      <c r="Y2279" s="119">
        <f>IF(tech_base!$T255&gt;Y$2025,"",0)</f>
        <v>0</v>
      </c>
      <c r="Z2279" s="119">
        <f>IF(tech_base!$T255&gt;Z$2025,"",0)</f>
        <v>0</v>
      </c>
      <c r="AA2279" s="119">
        <f>IF(tech_base!$T255&gt;AA$2025,"",0)</f>
        <v>0</v>
      </c>
      <c r="AB2279" s="119">
        <f>IF(tech_base!$T255&gt;AB$2025,"",0)</f>
        <v>0</v>
      </c>
      <c r="AC2279" s="119">
        <f>IF(tech_base!$T255&gt;AC$2025,"",0)</f>
        <v>0</v>
      </c>
      <c r="AD2279" s="119">
        <f>IF(tech_base!$T255&gt;AD$2025,"",0)</f>
        <v>0</v>
      </c>
      <c r="AE2279" s="119">
        <f>IF(tech_base!$T255&gt;AE$2025,"",0)</f>
        <v>0</v>
      </c>
      <c r="AF2279" s="119">
        <f>IF(tech_base!$T255&gt;AF$2025,"",0)</f>
        <v>0</v>
      </c>
      <c r="AG2279" s="119">
        <f>IF(tech_base!$T255&gt;AG$2025,"",0)</f>
        <v>0</v>
      </c>
      <c r="AH2279" s="119">
        <f>IF(tech_base!$T255&gt;AH$2025,"",0)</f>
        <v>0</v>
      </c>
      <c r="AI2279" s="119">
        <f>IF(tech_base!$T255&gt;AI$2025,"",0)</f>
        <v>0</v>
      </c>
      <c r="AJ2279" s="119">
        <f>IF(tech_base!$T255&gt;AJ$2025,"",0)</f>
        <v>0</v>
      </c>
      <c r="AK2279" s="119">
        <f>IF(tech_base!$T255&gt;AK$2025,"",0)</f>
        <v>0</v>
      </c>
      <c r="AL2279" s="119">
        <f>IF(tech_base!$T255&gt;AL$2025,"",0)</f>
        <v>0</v>
      </c>
      <c r="AM2279" s="119">
        <f>IF(tech_base!$T255&gt;AM$2025,"",0)</f>
        <v>0</v>
      </c>
      <c r="AN2279" s="119">
        <f>IF(tech_base!$T255&gt;AN$2025,"",0)</f>
        <v>0</v>
      </c>
      <c r="AO2279" s="119">
        <f>IF(tech_base!$T255&gt;AO$2025,"",0)</f>
        <v>0</v>
      </c>
      <c r="AP2279" s="119">
        <f>IF(tech_base!$T255&gt;AP$2025,"",0)</f>
        <v>0</v>
      </c>
      <c r="AQ2279" s="119">
        <f>IF(tech_base!$T255&gt;AQ$2025,"",0)</f>
        <v>0</v>
      </c>
      <c r="AR2279" s="119">
        <f>IF(tech_base!$T255&gt;AR$2025,"",0)</f>
        <v>0</v>
      </c>
      <c r="AS2279" s="119">
        <f>IF(tech_base!$T255&gt;AS$2025,"",0)</f>
        <v>0</v>
      </c>
      <c r="AT2279" s="119">
        <f>IF(tech_base!$T255&gt;AT$2025,"",0)</f>
        <v>0</v>
      </c>
      <c r="AU2279" s="119">
        <f>IF(tech_base!$T255&gt;AU$2025,"",0)</f>
        <v>0</v>
      </c>
      <c r="AV2279" s="119">
        <f>IF(tech_base!$T255&gt;AV$2025,"",0)</f>
        <v>0</v>
      </c>
      <c r="AW2279" s="119">
        <f>IF(tech_base!$T255&gt;AW$2025,"",0)</f>
        <v>0</v>
      </c>
      <c r="AX2279" s="120">
        <f>IF(tech_base!$T255&gt;AX$2025,"",0)</f>
        <v>0</v>
      </c>
    </row>
    <row r="2280" spans="1:50" x14ac:dyDescent="0.25">
      <c r="A2280" s="375"/>
      <c r="B2280" s="380"/>
      <c r="C2280" s="381"/>
      <c r="D2280" s="4" t="s">
        <v>20</v>
      </c>
      <c r="E2280" s="80" t="str">
        <f>A2277&amp;"/"&amp;B2277&amp;"/"&amp;C2277&amp;"/"&amp;D2280</f>
        <v>Solar thermal power plants/Solar thermal power plants/Electricity only/XS</v>
      </c>
      <c r="F2280" s="80" t="str">
        <f>A2277</f>
        <v>Solar thermal power plants</v>
      </c>
      <c r="G2280" s="80" t="str">
        <f>B2277</f>
        <v>Solar thermal power plants</v>
      </c>
      <c r="H2280" s="80" t="str">
        <f>C2277</f>
        <v>Electricity only</v>
      </c>
      <c r="I2280" s="80" t="str">
        <f t="shared" si="390"/>
        <v>XS</v>
      </c>
      <c r="J2280" s="127">
        <f>IF(tech_base!$T256&gt;J$2025,"",0)</f>
        <v>0</v>
      </c>
      <c r="K2280" s="127">
        <f>IF(tech_base!$T256&gt;K$2025,"",0)</f>
        <v>0</v>
      </c>
      <c r="L2280" s="127">
        <f>IF(tech_base!$T256&gt;L$2025,"",0)</f>
        <v>0</v>
      </c>
      <c r="M2280" s="127">
        <f>IF(tech_base!$T256&gt;M$2025,"",0)</f>
        <v>0</v>
      </c>
      <c r="N2280" s="127">
        <f>IF(tech_base!$T256&gt;N$2025,"",0)</f>
        <v>0</v>
      </c>
      <c r="O2280" s="127">
        <f>IF(tech_base!$T256&gt;O$2025,"",0)</f>
        <v>0</v>
      </c>
      <c r="P2280" s="127">
        <f>IF(tech_base!$T256&gt;P$2025,"",0)</f>
        <v>0</v>
      </c>
      <c r="Q2280" s="127">
        <f>IF(tech_base!$T256&gt;Q$2025,"",0)</f>
        <v>0</v>
      </c>
      <c r="R2280" s="127">
        <f>IF(tech_base!$T256&gt;R$2025,"",0)</f>
        <v>0</v>
      </c>
      <c r="S2280" s="127">
        <f>IF(tech_base!$T256&gt;S$2025,"",0)</f>
        <v>0</v>
      </c>
      <c r="T2280" s="127">
        <f>IF(tech_base!$T256&gt;T$2025,"",0)</f>
        <v>0</v>
      </c>
      <c r="U2280" s="127">
        <f>IF(tech_base!$T256&gt;U$2025,"",0)</f>
        <v>0</v>
      </c>
      <c r="V2280" s="127">
        <f>IF(tech_base!$T256&gt;V$2025,"",0)</f>
        <v>0</v>
      </c>
      <c r="W2280" s="127">
        <f>IF(tech_base!$T256&gt;W$2025,"",0)</f>
        <v>0</v>
      </c>
      <c r="X2280" s="127">
        <f>IF(tech_base!$T256&gt;X$2025,"",0)</f>
        <v>0</v>
      </c>
      <c r="Y2280" s="127">
        <f>IF(tech_base!$T256&gt;Y$2025,"",0)</f>
        <v>0</v>
      </c>
      <c r="Z2280" s="127">
        <f>IF(tech_base!$T256&gt;Z$2025,"",0)</f>
        <v>0</v>
      </c>
      <c r="AA2280" s="127">
        <f>IF(tech_base!$T256&gt;AA$2025,"",0)</f>
        <v>0</v>
      </c>
      <c r="AB2280" s="127">
        <f>IF(tech_base!$T256&gt;AB$2025,"",0)</f>
        <v>0</v>
      </c>
      <c r="AC2280" s="127">
        <f>IF(tech_base!$T256&gt;AC$2025,"",0)</f>
        <v>0</v>
      </c>
      <c r="AD2280" s="127">
        <f>IF(tech_base!$T256&gt;AD$2025,"",0)</f>
        <v>0</v>
      </c>
      <c r="AE2280" s="127">
        <f>IF(tech_base!$T256&gt;AE$2025,"",0)</f>
        <v>0</v>
      </c>
      <c r="AF2280" s="127">
        <f>IF(tech_base!$T256&gt;AF$2025,"",0)</f>
        <v>0</v>
      </c>
      <c r="AG2280" s="127">
        <f>IF(tech_base!$T256&gt;AG$2025,"",0)</f>
        <v>0</v>
      </c>
      <c r="AH2280" s="127">
        <f>IF(tech_base!$T256&gt;AH$2025,"",0)</f>
        <v>0</v>
      </c>
      <c r="AI2280" s="127">
        <f>IF(tech_base!$T256&gt;AI$2025,"",0)</f>
        <v>0</v>
      </c>
      <c r="AJ2280" s="127">
        <f>IF(tech_base!$T256&gt;AJ$2025,"",0)</f>
        <v>0</v>
      </c>
      <c r="AK2280" s="127">
        <f>IF(tech_base!$T256&gt;AK$2025,"",0)</f>
        <v>0</v>
      </c>
      <c r="AL2280" s="127">
        <f>IF(tech_base!$T256&gt;AL$2025,"",0)</f>
        <v>0</v>
      </c>
      <c r="AM2280" s="127">
        <f>IF(tech_base!$T256&gt;AM$2025,"",0)</f>
        <v>0</v>
      </c>
      <c r="AN2280" s="127">
        <f>IF(tech_base!$T256&gt;AN$2025,"",0)</f>
        <v>0</v>
      </c>
      <c r="AO2280" s="127">
        <f>IF(tech_base!$T256&gt;AO$2025,"",0)</f>
        <v>0</v>
      </c>
      <c r="AP2280" s="127">
        <f>IF(tech_base!$T256&gt;AP$2025,"",0)</f>
        <v>0</v>
      </c>
      <c r="AQ2280" s="127">
        <f>IF(tech_base!$T256&gt;AQ$2025,"",0)</f>
        <v>0</v>
      </c>
      <c r="AR2280" s="127">
        <f>IF(tech_base!$T256&gt;AR$2025,"",0)</f>
        <v>0</v>
      </c>
      <c r="AS2280" s="127">
        <f>IF(tech_base!$T256&gt;AS$2025,"",0)</f>
        <v>0</v>
      </c>
      <c r="AT2280" s="127">
        <f>IF(tech_base!$T256&gt;AT$2025,"",0)</f>
        <v>0</v>
      </c>
      <c r="AU2280" s="127">
        <f>IF(tech_base!$T256&gt;AU$2025,"",0)</f>
        <v>0</v>
      </c>
      <c r="AV2280" s="127">
        <f>IF(tech_base!$T256&gt;AV$2025,"",0)</f>
        <v>0</v>
      </c>
      <c r="AW2280" s="127">
        <f>IF(tech_base!$T256&gt;AW$2025,"",0)</f>
        <v>0</v>
      </c>
      <c r="AX2280" s="128">
        <f>IF(tech_base!$T256&gt;AX$2025,"",0)</f>
        <v>0</v>
      </c>
    </row>
    <row r="2281" spans="1:50" x14ac:dyDescent="0.25">
      <c r="A2281" s="355" t="s">
        <v>39</v>
      </c>
      <c r="B2281" s="358" t="s">
        <v>39</v>
      </c>
      <c r="C2281" s="353" t="s">
        <v>6</v>
      </c>
      <c r="D2281" s="3" t="s">
        <v>7</v>
      </c>
      <c r="E2281" s="77" t="str">
        <f>A2281&amp;"/"&amp;B2281&amp;"/"&amp;C2281&amp;"/"&amp;D2281</f>
        <v>Geothermal power plants/Geothermal power plants/Electricity only/L</v>
      </c>
      <c r="F2281" s="77" t="str">
        <f>A2281</f>
        <v>Geothermal power plants</v>
      </c>
      <c r="G2281" s="77" t="str">
        <f>B2281</f>
        <v>Geothermal power plants</v>
      </c>
      <c r="H2281" s="77" t="str">
        <f>C2281</f>
        <v>Electricity only</v>
      </c>
      <c r="I2281" s="77" t="str">
        <f t="shared" si="390"/>
        <v>L</v>
      </c>
      <c r="J2281" s="121">
        <f>IF(tech_base!$T257&gt;J$2025,"",0)</f>
        <v>0</v>
      </c>
      <c r="K2281" s="121">
        <f>IF(tech_base!$T257&gt;K$2025,"",0)</f>
        <v>0</v>
      </c>
      <c r="L2281" s="121">
        <f>IF(tech_base!$T257&gt;L$2025,"",0)</f>
        <v>0</v>
      </c>
      <c r="M2281" s="121">
        <f>IF(tech_base!$T257&gt;M$2025,"",0)</f>
        <v>0</v>
      </c>
      <c r="N2281" s="121">
        <f>IF(tech_base!$T257&gt;N$2025,"",0)</f>
        <v>0</v>
      </c>
      <c r="O2281" s="121">
        <f>IF(tech_base!$T257&gt;O$2025,"",0)</f>
        <v>0</v>
      </c>
      <c r="P2281" s="121">
        <f>IF(tech_base!$T257&gt;P$2025,"",0)</f>
        <v>0</v>
      </c>
      <c r="Q2281" s="121">
        <f>IF(tech_base!$T257&gt;Q$2025,"",0)</f>
        <v>0</v>
      </c>
      <c r="R2281" s="121">
        <f>IF(tech_base!$T257&gt;R$2025,"",0)</f>
        <v>0</v>
      </c>
      <c r="S2281" s="121">
        <f>IF(tech_base!$T257&gt;S$2025,"",0)</f>
        <v>0</v>
      </c>
      <c r="T2281" s="121">
        <f>IF(tech_base!$T257&gt;T$2025,"",0)</f>
        <v>0</v>
      </c>
      <c r="U2281" s="121">
        <f>IF(tech_base!$T257&gt;U$2025,"",0)</f>
        <v>0</v>
      </c>
      <c r="V2281" s="121">
        <f>IF(tech_base!$T257&gt;V$2025,"",0)</f>
        <v>0</v>
      </c>
      <c r="W2281" s="121">
        <f>IF(tech_base!$T257&gt;W$2025,"",0)</f>
        <v>0</v>
      </c>
      <c r="X2281" s="121">
        <f>IF(tech_base!$T257&gt;X$2025,"",0)</f>
        <v>0</v>
      </c>
      <c r="Y2281" s="121">
        <f>IF(tech_base!$T257&gt;Y$2025,"",0)</f>
        <v>0</v>
      </c>
      <c r="Z2281" s="121">
        <f>IF(tech_base!$T257&gt;Z$2025,"",0)</f>
        <v>0</v>
      </c>
      <c r="AA2281" s="121">
        <f>IF(tech_base!$T257&gt;AA$2025,"",0)</f>
        <v>0</v>
      </c>
      <c r="AB2281" s="121">
        <f>IF(tech_base!$T257&gt;AB$2025,"",0)</f>
        <v>0</v>
      </c>
      <c r="AC2281" s="121">
        <f>IF(tech_base!$T257&gt;AC$2025,"",0)</f>
        <v>0</v>
      </c>
      <c r="AD2281" s="121">
        <f>IF(tech_base!$T257&gt;AD$2025,"",0)</f>
        <v>0</v>
      </c>
      <c r="AE2281" s="121">
        <f>IF(tech_base!$T257&gt;AE$2025,"",0)</f>
        <v>0</v>
      </c>
      <c r="AF2281" s="121">
        <f>IF(tech_base!$T257&gt;AF$2025,"",0)</f>
        <v>0</v>
      </c>
      <c r="AG2281" s="121">
        <f>IF(tech_base!$T257&gt;AG$2025,"",0)</f>
        <v>0</v>
      </c>
      <c r="AH2281" s="121">
        <f>IF(tech_base!$T257&gt;AH$2025,"",0)</f>
        <v>0</v>
      </c>
      <c r="AI2281" s="121">
        <f>IF(tech_base!$T257&gt;AI$2025,"",0)</f>
        <v>0</v>
      </c>
      <c r="AJ2281" s="121">
        <f>IF(tech_base!$T257&gt;AJ$2025,"",0)</f>
        <v>0</v>
      </c>
      <c r="AK2281" s="121">
        <f>IF(tech_base!$T257&gt;AK$2025,"",0)</f>
        <v>0</v>
      </c>
      <c r="AL2281" s="121">
        <f>IF(tech_base!$T257&gt;AL$2025,"",0)</f>
        <v>0</v>
      </c>
      <c r="AM2281" s="121">
        <f>IF(tech_base!$T257&gt;AM$2025,"",0)</f>
        <v>0</v>
      </c>
      <c r="AN2281" s="121">
        <f>IF(tech_base!$T257&gt;AN$2025,"",0)</f>
        <v>0</v>
      </c>
      <c r="AO2281" s="121">
        <f>IF(tech_base!$T257&gt;AO$2025,"",0)</f>
        <v>0</v>
      </c>
      <c r="AP2281" s="121">
        <f>IF(tech_base!$T257&gt;AP$2025,"",0)</f>
        <v>0</v>
      </c>
      <c r="AQ2281" s="121">
        <f>IF(tech_base!$T257&gt;AQ$2025,"",0)</f>
        <v>0</v>
      </c>
      <c r="AR2281" s="121">
        <f>IF(tech_base!$T257&gt;AR$2025,"",0)</f>
        <v>0</v>
      </c>
      <c r="AS2281" s="121">
        <f>IF(tech_base!$T257&gt;AS$2025,"",0)</f>
        <v>0</v>
      </c>
      <c r="AT2281" s="121">
        <f>IF(tech_base!$T257&gt;AT$2025,"",0)</f>
        <v>0</v>
      </c>
      <c r="AU2281" s="121">
        <f>IF(tech_base!$T257&gt;AU$2025,"",0)</f>
        <v>0</v>
      </c>
      <c r="AV2281" s="121">
        <f>IF(tech_base!$T257&gt;AV$2025,"",0)</f>
        <v>0</v>
      </c>
      <c r="AW2281" s="121">
        <f>IF(tech_base!$T257&gt;AW$2025,"",0)</f>
        <v>0</v>
      </c>
      <c r="AX2281" s="122">
        <f>IF(tech_base!$T257&gt;AX$2025,"",0)</f>
        <v>0</v>
      </c>
    </row>
    <row r="2282" spans="1:50" x14ac:dyDescent="0.25">
      <c r="A2282" s="356"/>
      <c r="B2282" s="376"/>
      <c r="C2282" s="378"/>
      <c r="D2282" s="2" t="s">
        <v>8</v>
      </c>
      <c r="E2282" s="76" t="str">
        <f>A2281&amp;"/"&amp;B2281&amp;"/"&amp;C2281&amp;"/"&amp;D2282</f>
        <v>Geothermal power plants/Geothermal power plants/Electricity only/M</v>
      </c>
      <c r="F2282" s="76" t="str">
        <f>A2281</f>
        <v>Geothermal power plants</v>
      </c>
      <c r="G2282" s="76" t="str">
        <f>B2281</f>
        <v>Geothermal power plants</v>
      </c>
      <c r="H2282" s="76" t="str">
        <f>C2281</f>
        <v>Electricity only</v>
      </c>
      <c r="I2282" s="76" t="str">
        <f t="shared" si="390"/>
        <v>M</v>
      </c>
      <c r="J2282" s="119">
        <f>IF(tech_base!$T258&gt;J$2025,"",0)</f>
        <v>0</v>
      </c>
      <c r="K2282" s="119">
        <f>IF(tech_base!$T258&gt;K$2025,"",0)</f>
        <v>0</v>
      </c>
      <c r="L2282" s="119">
        <f>IF(tech_base!$T258&gt;L$2025,"",0)</f>
        <v>0</v>
      </c>
      <c r="M2282" s="119">
        <f>IF(tech_base!$T258&gt;M$2025,"",0)</f>
        <v>0</v>
      </c>
      <c r="N2282" s="119">
        <f>IF(tech_base!$T258&gt;N$2025,"",0)</f>
        <v>0</v>
      </c>
      <c r="O2282" s="119">
        <f>IF(tech_base!$T258&gt;O$2025,"",0)</f>
        <v>0</v>
      </c>
      <c r="P2282" s="119">
        <f>IF(tech_base!$T258&gt;P$2025,"",0)</f>
        <v>0</v>
      </c>
      <c r="Q2282" s="119">
        <f>IF(tech_base!$T258&gt;Q$2025,"",0)</f>
        <v>0</v>
      </c>
      <c r="R2282" s="119">
        <f>IF(tech_base!$T258&gt;R$2025,"",0)</f>
        <v>0</v>
      </c>
      <c r="S2282" s="119">
        <f>IF(tech_base!$T258&gt;S$2025,"",0)</f>
        <v>0</v>
      </c>
      <c r="T2282" s="119">
        <f>IF(tech_base!$T258&gt;T$2025,"",0)</f>
        <v>0</v>
      </c>
      <c r="U2282" s="119">
        <f>IF(tech_base!$T258&gt;U$2025,"",0)</f>
        <v>0</v>
      </c>
      <c r="V2282" s="119">
        <f>IF(tech_base!$T258&gt;V$2025,"",0)</f>
        <v>0</v>
      </c>
      <c r="W2282" s="119">
        <f>IF(tech_base!$T258&gt;W$2025,"",0)</f>
        <v>0</v>
      </c>
      <c r="X2282" s="119">
        <f>IF(tech_base!$T258&gt;X$2025,"",0)</f>
        <v>0</v>
      </c>
      <c r="Y2282" s="119">
        <f>IF(tech_base!$T258&gt;Y$2025,"",0)</f>
        <v>0</v>
      </c>
      <c r="Z2282" s="119">
        <f>IF(tech_base!$T258&gt;Z$2025,"",0)</f>
        <v>0</v>
      </c>
      <c r="AA2282" s="119">
        <f>IF(tech_base!$T258&gt;AA$2025,"",0)</f>
        <v>0</v>
      </c>
      <c r="AB2282" s="119">
        <f>IF(tech_base!$T258&gt;AB$2025,"",0)</f>
        <v>0</v>
      </c>
      <c r="AC2282" s="119">
        <f>IF(tech_base!$T258&gt;AC$2025,"",0)</f>
        <v>0</v>
      </c>
      <c r="AD2282" s="119">
        <f>IF(tech_base!$T258&gt;AD$2025,"",0)</f>
        <v>0</v>
      </c>
      <c r="AE2282" s="119">
        <f>IF(tech_base!$T258&gt;AE$2025,"",0)</f>
        <v>0</v>
      </c>
      <c r="AF2282" s="119">
        <f>IF(tech_base!$T258&gt;AF$2025,"",0)</f>
        <v>0</v>
      </c>
      <c r="AG2282" s="119">
        <f>IF(tech_base!$T258&gt;AG$2025,"",0)</f>
        <v>0</v>
      </c>
      <c r="AH2282" s="119">
        <f>IF(tech_base!$T258&gt;AH$2025,"",0)</f>
        <v>0</v>
      </c>
      <c r="AI2282" s="119">
        <f>IF(tech_base!$T258&gt;AI$2025,"",0)</f>
        <v>0</v>
      </c>
      <c r="AJ2282" s="119">
        <f>IF(tech_base!$T258&gt;AJ$2025,"",0)</f>
        <v>0</v>
      </c>
      <c r="AK2282" s="119">
        <f>IF(tech_base!$T258&gt;AK$2025,"",0)</f>
        <v>0</v>
      </c>
      <c r="AL2282" s="119">
        <f>IF(tech_base!$T258&gt;AL$2025,"",0)</f>
        <v>0</v>
      </c>
      <c r="AM2282" s="119">
        <f>IF(tech_base!$T258&gt;AM$2025,"",0)</f>
        <v>0</v>
      </c>
      <c r="AN2282" s="119">
        <f>IF(tech_base!$T258&gt;AN$2025,"",0)</f>
        <v>0</v>
      </c>
      <c r="AO2282" s="119">
        <f>IF(tech_base!$T258&gt;AO$2025,"",0)</f>
        <v>0</v>
      </c>
      <c r="AP2282" s="119">
        <f>IF(tech_base!$T258&gt;AP$2025,"",0)</f>
        <v>0</v>
      </c>
      <c r="AQ2282" s="119">
        <f>IF(tech_base!$T258&gt;AQ$2025,"",0)</f>
        <v>0</v>
      </c>
      <c r="AR2282" s="119">
        <f>IF(tech_base!$T258&gt;AR$2025,"",0)</f>
        <v>0</v>
      </c>
      <c r="AS2282" s="119">
        <f>IF(tech_base!$T258&gt;AS$2025,"",0)</f>
        <v>0</v>
      </c>
      <c r="AT2282" s="119">
        <f>IF(tech_base!$T258&gt;AT$2025,"",0)</f>
        <v>0</v>
      </c>
      <c r="AU2282" s="119">
        <f>IF(tech_base!$T258&gt;AU$2025,"",0)</f>
        <v>0</v>
      </c>
      <c r="AV2282" s="119">
        <f>IF(tech_base!$T258&gt;AV$2025,"",0)</f>
        <v>0</v>
      </c>
      <c r="AW2282" s="119">
        <f>IF(tech_base!$T258&gt;AW$2025,"",0)</f>
        <v>0</v>
      </c>
      <c r="AX2282" s="120">
        <f>IF(tech_base!$T258&gt;AX$2025,"",0)</f>
        <v>0</v>
      </c>
    </row>
    <row r="2283" spans="1:50" x14ac:dyDescent="0.25">
      <c r="A2283" s="357"/>
      <c r="B2283" s="380"/>
      <c r="C2283" s="381"/>
      <c r="D2283" s="4" t="s">
        <v>10</v>
      </c>
      <c r="E2283" s="80" t="str">
        <f>A2281&amp;"/"&amp;B2281&amp;"/"&amp;C2281&amp;"/"&amp;D2283</f>
        <v>Geothermal power plants/Geothermal power plants/Electricity only/S</v>
      </c>
      <c r="F2283" s="80" t="str">
        <f>A2281</f>
        <v>Geothermal power plants</v>
      </c>
      <c r="G2283" s="80" t="str">
        <f>B2281</f>
        <v>Geothermal power plants</v>
      </c>
      <c r="H2283" s="80" t="str">
        <f>C2281</f>
        <v>Electricity only</v>
      </c>
      <c r="I2283" s="80" t="str">
        <f t="shared" ref="I2283:I2297" si="391">D2283</f>
        <v>S</v>
      </c>
      <c r="J2283" s="127">
        <f>IF(tech_base!$T259&gt;J$2025,"",0)</f>
        <v>0</v>
      </c>
      <c r="K2283" s="127">
        <f>IF(tech_base!$T259&gt;K$2025,"",0)</f>
        <v>0</v>
      </c>
      <c r="L2283" s="127">
        <f>IF(tech_base!$T259&gt;L$2025,"",0)</f>
        <v>0</v>
      </c>
      <c r="M2283" s="127">
        <f>IF(tech_base!$T259&gt;M$2025,"",0)</f>
        <v>0</v>
      </c>
      <c r="N2283" s="127">
        <f>IF(tech_base!$T259&gt;N$2025,"",0)</f>
        <v>0</v>
      </c>
      <c r="O2283" s="127">
        <f>IF(tech_base!$T259&gt;O$2025,"",0)</f>
        <v>0</v>
      </c>
      <c r="P2283" s="127">
        <f>IF(tech_base!$T259&gt;P$2025,"",0)</f>
        <v>0</v>
      </c>
      <c r="Q2283" s="127">
        <f>IF(tech_base!$T259&gt;Q$2025,"",0)</f>
        <v>0</v>
      </c>
      <c r="R2283" s="127">
        <f>IF(tech_base!$T259&gt;R$2025,"",0)</f>
        <v>0</v>
      </c>
      <c r="S2283" s="127">
        <f>IF(tech_base!$T259&gt;S$2025,"",0)</f>
        <v>0</v>
      </c>
      <c r="T2283" s="127">
        <f>IF(tech_base!$T259&gt;T$2025,"",0)</f>
        <v>0</v>
      </c>
      <c r="U2283" s="127">
        <f>IF(tech_base!$T259&gt;U$2025,"",0)</f>
        <v>0</v>
      </c>
      <c r="V2283" s="127">
        <f>IF(tech_base!$T259&gt;V$2025,"",0)</f>
        <v>0</v>
      </c>
      <c r="W2283" s="127">
        <f>IF(tech_base!$T259&gt;W$2025,"",0)</f>
        <v>0</v>
      </c>
      <c r="X2283" s="127">
        <f>IF(tech_base!$T259&gt;X$2025,"",0)</f>
        <v>0</v>
      </c>
      <c r="Y2283" s="127">
        <f>IF(tech_base!$T259&gt;Y$2025,"",0)</f>
        <v>0</v>
      </c>
      <c r="Z2283" s="127">
        <f>IF(tech_base!$T259&gt;Z$2025,"",0)</f>
        <v>0</v>
      </c>
      <c r="AA2283" s="127">
        <f>IF(tech_base!$T259&gt;AA$2025,"",0)</f>
        <v>0</v>
      </c>
      <c r="AB2283" s="127">
        <f>IF(tech_base!$T259&gt;AB$2025,"",0)</f>
        <v>0</v>
      </c>
      <c r="AC2283" s="127">
        <f>IF(tech_base!$T259&gt;AC$2025,"",0)</f>
        <v>0</v>
      </c>
      <c r="AD2283" s="127">
        <f>IF(tech_base!$T259&gt;AD$2025,"",0)</f>
        <v>0</v>
      </c>
      <c r="AE2283" s="127">
        <f>IF(tech_base!$T259&gt;AE$2025,"",0)</f>
        <v>0</v>
      </c>
      <c r="AF2283" s="127">
        <f>IF(tech_base!$T259&gt;AF$2025,"",0)</f>
        <v>0</v>
      </c>
      <c r="AG2283" s="127">
        <f>IF(tech_base!$T259&gt;AG$2025,"",0)</f>
        <v>0</v>
      </c>
      <c r="AH2283" s="127">
        <f>IF(tech_base!$T259&gt;AH$2025,"",0)</f>
        <v>0</v>
      </c>
      <c r="AI2283" s="127">
        <f>IF(tech_base!$T259&gt;AI$2025,"",0)</f>
        <v>0</v>
      </c>
      <c r="AJ2283" s="127">
        <f>IF(tech_base!$T259&gt;AJ$2025,"",0)</f>
        <v>0</v>
      </c>
      <c r="AK2283" s="127">
        <f>IF(tech_base!$T259&gt;AK$2025,"",0)</f>
        <v>0</v>
      </c>
      <c r="AL2283" s="127">
        <f>IF(tech_base!$T259&gt;AL$2025,"",0)</f>
        <v>0</v>
      </c>
      <c r="AM2283" s="127">
        <f>IF(tech_base!$T259&gt;AM$2025,"",0)</f>
        <v>0</v>
      </c>
      <c r="AN2283" s="127">
        <f>IF(tech_base!$T259&gt;AN$2025,"",0)</f>
        <v>0</v>
      </c>
      <c r="AO2283" s="127">
        <f>IF(tech_base!$T259&gt;AO$2025,"",0)</f>
        <v>0</v>
      </c>
      <c r="AP2283" s="127">
        <f>IF(tech_base!$T259&gt;AP$2025,"",0)</f>
        <v>0</v>
      </c>
      <c r="AQ2283" s="127">
        <f>IF(tech_base!$T259&gt;AQ$2025,"",0)</f>
        <v>0</v>
      </c>
      <c r="AR2283" s="127">
        <f>IF(tech_base!$T259&gt;AR$2025,"",0)</f>
        <v>0</v>
      </c>
      <c r="AS2283" s="127">
        <f>IF(tech_base!$T259&gt;AS$2025,"",0)</f>
        <v>0</v>
      </c>
      <c r="AT2283" s="127">
        <f>IF(tech_base!$T259&gt;AT$2025,"",0)</f>
        <v>0</v>
      </c>
      <c r="AU2283" s="127">
        <f>IF(tech_base!$T259&gt;AU$2025,"",0)</f>
        <v>0</v>
      </c>
      <c r="AV2283" s="127">
        <f>IF(tech_base!$T259&gt;AV$2025,"",0)</f>
        <v>0</v>
      </c>
      <c r="AW2283" s="127">
        <f>IF(tech_base!$T259&gt;AW$2025,"",0)</f>
        <v>0</v>
      </c>
      <c r="AX2283" s="128">
        <f>IF(tech_base!$T259&gt;AX$2025,"",0)</f>
        <v>0</v>
      </c>
    </row>
    <row r="2284" spans="1:50" x14ac:dyDescent="0.25">
      <c r="A2284" s="355" t="s">
        <v>40</v>
      </c>
      <c r="B2284" s="5" t="s">
        <v>41</v>
      </c>
      <c r="C2284" s="6" t="s">
        <v>6</v>
      </c>
      <c r="D2284" s="60" t="s">
        <v>8</v>
      </c>
      <c r="E2284" s="81" t="str">
        <f>A2284&amp;"/"&amp;B2284&amp;"/"&amp;C2284&amp;"/"&amp;D2284</f>
        <v>Tide, wave and ocean power plants/Tidal/Electricity only/M</v>
      </c>
      <c r="F2284" s="81" t="str">
        <f>A2284</f>
        <v>Tide, wave and ocean power plants</v>
      </c>
      <c r="G2284" s="81" t="str">
        <f>B2284</f>
        <v>Tidal</v>
      </c>
      <c r="H2284" s="81" t="str">
        <f>C2284</f>
        <v>Electricity only</v>
      </c>
      <c r="I2284" s="81" t="str">
        <f t="shared" si="391"/>
        <v>M</v>
      </c>
      <c r="J2284" s="129">
        <f>IF(tech_base!$T260&gt;J$2025,"",0)</f>
        <v>0</v>
      </c>
      <c r="K2284" s="129">
        <f>IF(tech_base!$T260&gt;K$2025,"",0)</f>
        <v>0</v>
      </c>
      <c r="L2284" s="129">
        <f>IF(tech_base!$T260&gt;L$2025,"",0)</f>
        <v>0</v>
      </c>
      <c r="M2284" s="129">
        <f>IF(tech_base!$T260&gt;M$2025,"",0)</f>
        <v>0</v>
      </c>
      <c r="N2284" s="129">
        <f>IF(tech_base!$T260&gt;N$2025,"",0)</f>
        <v>0</v>
      </c>
      <c r="O2284" s="129">
        <f>IF(tech_base!$T260&gt;O$2025,"",0)</f>
        <v>0</v>
      </c>
      <c r="P2284" s="129">
        <f>IF(tech_base!$T260&gt;P$2025,"",0)</f>
        <v>0</v>
      </c>
      <c r="Q2284" s="129">
        <f>IF(tech_base!$T260&gt;Q$2025,"",0)</f>
        <v>0</v>
      </c>
      <c r="R2284" s="129">
        <f>IF(tech_base!$T260&gt;R$2025,"",0)</f>
        <v>0</v>
      </c>
      <c r="S2284" s="129">
        <f>IF(tech_base!$T260&gt;S$2025,"",0)</f>
        <v>0</v>
      </c>
      <c r="T2284" s="129">
        <f>IF(tech_base!$T260&gt;T$2025,"",0)</f>
        <v>0</v>
      </c>
      <c r="U2284" s="129">
        <f>IF(tech_base!$T260&gt;U$2025,"",0)</f>
        <v>0</v>
      </c>
      <c r="V2284" s="129">
        <f>IF(tech_base!$T260&gt;V$2025,"",0)</f>
        <v>0</v>
      </c>
      <c r="W2284" s="129">
        <f>IF(tech_base!$T260&gt;W$2025,"",0)</f>
        <v>0</v>
      </c>
      <c r="X2284" s="129">
        <f>IF(tech_base!$T260&gt;X$2025,"",0)</f>
        <v>0</v>
      </c>
      <c r="Y2284" s="129">
        <f>IF(tech_base!$T260&gt;Y$2025,"",0)</f>
        <v>0</v>
      </c>
      <c r="Z2284" s="129">
        <f>IF(tech_base!$T260&gt;Z$2025,"",0)</f>
        <v>0</v>
      </c>
      <c r="AA2284" s="129">
        <f>IF(tech_base!$T260&gt;AA$2025,"",0)</f>
        <v>0</v>
      </c>
      <c r="AB2284" s="129">
        <f>IF(tech_base!$T260&gt;AB$2025,"",0)</f>
        <v>0</v>
      </c>
      <c r="AC2284" s="129">
        <f>IF(tech_base!$T260&gt;AC$2025,"",0)</f>
        <v>0</v>
      </c>
      <c r="AD2284" s="129">
        <f>IF(tech_base!$T260&gt;AD$2025,"",0)</f>
        <v>0</v>
      </c>
      <c r="AE2284" s="129">
        <f>IF(tech_base!$T260&gt;AE$2025,"",0)</f>
        <v>0</v>
      </c>
      <c r="AF2284" s="129">
        <f>IF(tech_base!$T260&gt;AF$2025,"",0)</f>
        <v>0</v>
      </c>
      <c r="AG2284" s="129">
        <f>IF(tech_base!$T260&gt;AG$2025,"",0)</f>
        <v>0</v>
      </c>
      <c r="AH2284" s="129">
        <f>IF(tech_base!$T260&gt;AH$2025,"",0)</f>
        <v>0</v>
      </c>
      <c r="AI2284" s="129">
        <f>IF(tech_base!$T260&gt;AI$2025,"",0)</f>
        <v>0</v>
      </c>
      <c r="AJ2284" s="129">
        <f>IF(tech_base!$T260&gt;AJ$2025,"",0)</f>
        <v>0</v>
      </c>
      <c r="AK2284" s="129">
        <f>IF(tech_base!$T260&gt;AK$2025,"",0)</f>
        <v>0</v>
      </c>
      <c r="AL2284" s="129">
        <f>IF(tech_base!$T260&gt;AL$2025,"",0)</f>
        <v>0</v>
      </c>
      <c r="AM2284" s="129">
        <f>IF(tech_base!$T260&gt;AM$2025,"",0)</f>
        <v>0</v>
      </c>
      <c r="AN2284" s="129">
        <f>IF(tech_base!$T260&gt;AN$2025,"",0)</f>
        <v>0</v>
      </c>
      <c r="AO2284" s="129">
        <f>IF(tech_base!$T260&gt;AO$2025,"",0)</f>
        <v>0</v>
      </c>
      <c r="AP2284" s="129">
        <f>IF(tech_base!$T260&gt;AP$2025,"",0)</f>
        <v>0</v>
      </c>
      <c r="AQ2284" s="129">
        <f>IF(tech_base!$T260&gt;AQ$2025,"",0)</f>
        <v>0</v>
      </c>
      <c r="AR2284" s="129">
        <f>IF(tech_base!$T260&gt;AR$2025,"",0)</f>
        <v>0</v>
      </c>
      <c r="AS2284" s="129">
        <f>IF(tech_base!$T260&gt;AS$2025,"",0)</f>
        <v>0</v>
      </c>
      <c r="AT2284" s="129">
        <f>IF(tech_base!$T260&gt;AT$2025,"",0)</f>
        <v>0</v>
      </c>
      <c r="AU2284" s="129">
        <f>IF(tech_base!$T260&gt;AU$2025,"",0)</f>
        <v>0</v>
      </c>
      <c r="AV2284" s="129">
        <f>IF(tech_base!$T260&gt;AV$2025,"",0)</f>
        <v>0</v>
      </c>
      <c r="AW2284" s="129">
        <f>IF(tech_base!$T260&gt;AW$2025,"",0)</f>
        <v>0</v>
      </c>
      <c r="AX2284" s="130">
        <f>IF(tech_base!$T260&gt;AX$2025,"",0)</f>
        <v>0</v>
      </c>
    </row>
    <row r="2285" spans="1:50" x14ac:dyDescent="0.25">
      <c r="A2285" s="375"/>
      <c r="B2285" s="279" t="s">
        <v>42</v>
      </c>
      <c r="C2285" s="7" t="s">
        <v>6</v>
      </c>
      <c r="D2285" s="4" t="s">
        <v>8</v>
      </c>
      <c r="E2285" s="80" t="str">
        <f>A2284&amp;"/"&amp;B2285&amp;"/"&amp;C2285&amp;"/"&amp;D2285</f>
        <v>Tide, wave and ocean power plants/Wave/Electricity only/M</v>
      </c>
      <c r="F2285" s="80" t="str">
        <f>A2284</f>
        <v>Tide, wave and ocean power plants</v>
      </c>
      <c r="G2285" s="80" t="str">
        <f>B2285</f>
        <v>Wave</v>
      </c>
      <c r="H2285" s="80" t="str">
        <f>C2285</f>
        <v>Electricity only</v>
      </c>
      <c r="I2285" s="80" t="str">
        <f t="shared" si="391"/>
        <v>M</v>
      </c>
      <c r="J2285" s="127">
        <f>IF(tech_base!$T261&gt;J$2025,"",0)</f>
        <v>0</v>
      </c>
      <c r="K2285" s="127">
        <f>IF(tech_base!$T261&gt;K$2025,"",0)</f>
        <v>0</v>
      </c>
      <c r="L2285" s="127">
        <f>IF(tech_base!$T261&gt;L$2025,"",0)</f>
        <v>0</v>
      </c>
      <c r="M2285" s="127">
        <f>IF(tech_base!$T261&gt;M$2025,"",0)</f>
        <v>0</v>
      </c>
      <c r="N2285" s="127">
        <f>IF(tech_base!$T261&gt;N$2025,"",0)</f>
        <v>0</v>
      </c>
      <c r="O2285" s="127">
        <f>IF(tech_base!$T261&gt;O$2025,"",0)</f>
        <v>0</v>
      </c>
      <c r="P2285" s="127">
        <f>IF(tech_base!$T261&gt;P$2025,"",0)</f>
        <v>0</v>
      </c>
      <c r="Q2285" s="127">
        <f>IF(tech_base!$T261&gt;Q$2025,"",0)</f>
        <v>0</v>
      </c>
      <c r="R2285" s="127">
        <f>IF(tech_base!$T261&gt;R$2025,"",0)</f>
        <v>0</v>
      </c>
      <c r="S2285" s="127">
        <f>IF(tech_base!$T261&gt;S$2025,"",0)</f>
        <v>0</v>
      </c>
      <c r="T2285" s="127">
        <f>IF(tech_base!$T261&gt;T$2025,"",0)</f>
        <v>0</v>
      </c>
      <c r="U2285" s="127">
        <f>IF(tech_base!$T261&gt;U$2025,"",0)</f>
        <v>0</v>
      </c>
      <c r="V2285" s="127">
        <f>IF(tech_base!$T261&gt;V$2025,"",0)</f>
        <v>0</v>
      </c>
      <c r="W2285" s="127">
        <f>IF(tech_base!$T261&gt;W$2025,"",0)</f>
        <v>0</v>
      </c>
      <c r="X2285" s="127">
        <f>IF(tech_base!$T261&gt;X$2025,"",0)</f>
        <v>0</v>
      </c>
      <c r="Y2285" s="127">
        <f>IF(tech_base!$T261&gt;Y$2025,"",0)</f>
        <v>0</v>
      </c>
      <c r="Z2285" s="127">
        <f>IF(tech_base!$T261&gt;Z$2025,"",0)</f>
        <v>0</v>
      </c>
      <c r="AA2285" s="127">
        <f>IF(tech_base!$T261&gt;AA$2025,"",0)</f>
        <v>0</v>
      </c>
      <c r="AB2285" s="127">
        <f>IF(tech_base!$T261&gt;AB$2025,"",0)</f>
        <v>0</v>
      </c>
      <c r="AC2285" s="127">
        <f>IF(tech_base!$T261&gt;AC$2025,"",0)</f>
        <v>0</v>
      </c>
      <c r="AD2285" s="127">
        <f>IF(tech_base!$T261&gt;AD$2025,"",0)</f>
        <v>0</v>
      </c>
      <c r="AE2285" s="127">
        <f>IF(tech_base!$T261&gt;AE$2025,"",0)</f>
        <v>0</v>
      </c>
      <c r="AF2285" s="127">
        <f>IF(tech_base!$T261&gt;AF$2025,"",0)</f>
        <v>0</v>
      </c>
      <c r="AG2285" s="127">
        <f>IF(tech_base!$T261&gt;AG$2025,"",0)</f>
        <v>0</v>
      </c>
      <c r="AH2285" s="127">
        <f>IF(tech_base!$T261&gt;AH$2025,"",0)</f>
        <v>0</v>
      </c>
      <c r="AI2285" s="127">
        <f>IF(tech_base!$T261&gt;AI$2025,"",0)</f>
        <v>0</v>
      </c>
      <c r="AJ2285" s="127">
        <f>IF(tech_base!$T261&gt;AJ$2025,"",0)</f>
        <v>0</v>
      </c>
      <c r="AK2285" s="127">
        <f>IF(tech_base!$T261&gt;AK$2025,"",0)</f>
        <v>0</v>
      </c>
      <c r="AL2285" s="127">
        <f>IF(tech_base!$T261&gt;AL$2025,"",0)</f>
        <v>0</v>
      </c>
      <c r="AM2285" s="127">
        <f>IF(tech_base!$T261&gt;AM$2025,"",0)</f>
        <v>0</v>
      </c>
      <c r="AN2285" s="127">
        <f>IF(tech_base!$T261&gt;AN$2025,"",0)</f>
        <v>0</v>
      </c>
      <c r="AO2285" s="127">
        <f>IF(tech_base!$T261&gt;AO$2025,"",0)</f>
        <v>0</v>
      </c>
      <c r="AP2285" s="127">
        <f>IF(tech_base!$T261&gt;AP$2025,"",0)</f>
        <v>0</v>
      </c>
      <c r="AQ2285" s="127">
        <f>IF(tech_base!$T261&gt;AQ$2025,"",0)</f>
        <v>0</v>
      </c>
      <c r="AR2285" s="127">
        <f>IF(tech_base!$T261&gt;AR$2025,"",0)</f>
        <v>0</v>
      </c>
      <c r="AS2285" s="127">
        <f>IF(tech_base!$T261&gt;AS$2025,"",0)</f>
        <v>0</v>
      </c>
      <c r="AT2285" s="127">
        <f>IF(tech_base!$T261&gt;AT$2025,"",0)</f>
        <v>0</v>
      </c>
      <c r="AU2285" s="127">
        <f>IF(tech_base!$T261&gt;AU$2025,"",0)</f>
        <v>0</v>
      </c>
      <c r="AV2285" s="127">
        <f>IF(tech_base!$T261&gt;AV$2025,"",0)</f>
        <v>0</v>
      </c>
      <c r="AW2285" s="127">
        <f>IF(tech_base!$T261&gt;AW$2025,"",0)</f>
        <v>0</v>
      </c>
      <c r="AX2285" s="128">
        <f>IF(tech_base!$T261&gt;AX$2025,"",0)</f>
        <v>0</v>
      </c>
    </row>
    <row r="2286" spans="1:50" x14ac:dyDescent="0.25">
      <c r="A2286" s="355" t="s">
        <v>43</v>
      </c>
      <c r="B2286" s="358" t="s">
        <v>44</v>
      </c>
      <c r="C2286" s="353" t="s">
        <v>6</v>
      </c>
      <c r="D2286" s="3" t="s">
        <v>7</v>
      </c>
      <c r="E2286" s="77" t="str">
        <f>A2286&amp;"/"&amp;B2286&amp;"/"&amp;C2286&amp;"/"&amp;D2286</f>
        <v>Hydro plants/Run-of-river/Electricity only/L</v>
      </c>
      <c r="F2286" s="77" t="str">
        <f>A2286</f>
        <v>Hydro plants</v>
      </c>
      <c r="G2286" s="77" t="str">
        <f>B2286</f>
        <v>Run-of-river</v>
      </c>
      <c r="H2286" s="77" t="str">
        <f>C2286</f>
        <v>Electricity only</v>
      </c>
      <c r="I2286" s="77" t="str">
        <f t="shared" si="391"/>
        <v>L</v>
      </c>
      <c r="J2286" s="121">
        <f>IF(tech_base!$T262&gt;J$2025,"",0)</f>
        <v>0</v>
      </c>
      <c r="K2286" s="121">
        <f>IF(tech_base!$T262&gt;K$2025,"",0)</f>
        <v>0</v>
      </c>
      <c r="L2286" s="121">
        <f>IF(tech_base!$T262&gt;L$2025,"",0)</f>
        <v>0</v>
      </c>
      <c r="M2286" s="121">
        <f>IF(tech_base!$T262&gt;M$2025,"",0)</f>
        <v>0</v>
      </c>
      <c r="N2286" s="121">
        <f>IF(tech_base!$T262&gt;N$2025,"",0)</f>
        <v>0</v>
      </c>
      <c r="O2286" s="121">
        <f>IF(tech_base!$T262&gt;O$2025,"",0)</f>
        <v>0</v>
      </c>
      <c r="P2286" s="121">
        <f>IF(tech_base!$T262&gt;P$2025,"",0)</f>
        <v>0</v>
      </c>
      <c r="Q2286" s="121">
        <f>IF(tech_base!$T262&gt;Q$2025,"",0)</f>
        <v>0</v>
      </c>
      <c r="R2286" s="121">
        <f>IF(tech_base!$T262&gt;R$2025,"",0)</f>
        <v>0</v>
      </c>
      <c r="S2286" s="121">
        <f>IF(tech_base!$T262&gt;S$2025,"",0)</f>
        <v>0</v>
      </c>
      <c r="T2286" s="121">
        <f>IF(tech_base!$T262&gt;T$2025,"",0)</f>
        <v>0</v>
      </c>
      <c r="U2286" s="121">
        <f>IF(tech_base!$T262&gt;U$2025,"",0)</f>
        <v>0</v>
      </c>
      <c r="V2286" s="121">
        <f>IF(tech_base!$T262&gt;V$2025,"",0)</f>
        <v>0</v>
      </c>
      <c r="W2286" s="121">
        <f>IF(tech_base!$T262&gt;W$2025,"",0)</f>
        <v>0</v>
      </c>
      <c r="X2286" s="121">
        <f>IF(tech_base!$T262&gt;X$2025,"",0)</f>
        <v>0</v>
      </c>
      <c r="Y2286" s="121">
        <f>IF(tech_base!$T262&gt;Y$2025,"",0)</f>
        <v>0</v>
      </c>
      <c r="Z2286" s="121">
        <f>IF(tech_base!$T262&gt;Z$2025,"",0)</f>
        <v>0</v>
      </c>
      <c r="AA2286" s="121">
        <f>IF(tech_base!$T262&gt;AA$2025,"",0)</f>
        <v>0</v>
      </c>
      <c r="AB2286" s="121">
        <f>IF(tech_base!$T262&gt;AB$2025,"",0)</f>
        <v>0</v>
      </c>
      <c r="AC2286" s="121">
        <f>IF(tech_base!$T262&gt;AC$2025,"",0)</f>
        <v>0</v>
      </c>
      <c r="AD2286" s="121">
        <f>IF(tech_base!$T262&gt;AD$2025,"",0)</f>
        <v>0</v>
      </c>
      <c r="AE2286" s="121">
        <f>IF(tech_base!$T262&gt;AE$2025,"",0)</f>
        <v>0</v>
      </c>
      <c r="AF2286" s="121">
        <f>IF(tech_base!$T262&gt;AF$2025,"",0)</f>
        <v>0</v>
      </c>
      <c r="AG2286" s="121">
        <f>IF(tech_base!$T262&gt;AG$2025,"",0)</f>
        <v>0</v>
      </c>
      <c r="AH2286" s="121">
        <f>IF(tech_base!$T262&gt;AH$2025,"",0)</f>
        <v>0</v>
      </c>
      <c r="AI2286" s="121">
        <f>IF(tech_base!$T262&gt;AI$2025,"",0)</f>
        <v>0</v>
      </c>
      <c r="AJ2286" s="121">
        <f>IF(tech_base!$T262&gt;AJ$2025,"",0)</f>
        <v>0</v>
      </c>
      <c r="AK2286" s="121">
        <f>IF(tech_base!$T262&gt;AK$2025,"",0)</f>
        <v>0</v>
      </c>
      <c r="AL2286" s="121">
        <f>IF(tech_base!$T262&gt;AL$2025,"",0)</f>
        <v>0</v>
      </c>
      <c r="AM2286" s="121">
        <f>IF(tech_base!$T262&gt;AM$2025,"",0)</f>
        <v>0</v>
      </c>
      <c r="AN2286" s="121">
        <f>IF(tech_base!$T262&gt;AN$2025,"",0)</f>
        <v>0</v>
      </c>
      <c r="AO2286" s="121">
        <f>IF(tech_base!$T262&gt;AO$2025,"",0)</f>
        <v>0</v>
      </c>
      <c r="AP2286" s="121">
        <f>IF(tech_base!$T262&gt;AP$2025,"",0)</f>
        <v>0</v>
      </c>
      <c r="AQ2286" s="121">
        <f>IF(tech_base!$T262&gt;AQ$2025,"",0)</f>
        <v>0</v>
      </c>
      <c r="AR2286" s="121">
        <f>IF(tech_base!$T262&gt;AR$2025,"",0)</f>
        <v>0</v>
      </c>
      <c r="AS2286" s="121">
        <f>IF(tech_base!$T262&gt;AS$2025,"",0)</f>
        <v>0</v>
      </c>
      <c r="AT2286" s="121">
        <f>IF(tech_base!$T262&gt;AT$2025,"",0)</f>
        <v>0</v>
      </c>
      <c r="AU2286" s="121">
        <f>IF(tech_base!$T262&gt;AU$2025,"",0)</f>
        <v>0</v>
      </c>
      <c r="AV2286" s="121">
        <f>IF(tech_base!$T262&gt;AV$2025,"",0)</f>
        <v>0</v>
      </c>
      <c r="AW2286" s="121">
        <f>IF(tech_base!$T262&gt;AW$2025,"",0)</f>
        <v>0</v>
      </c>
      <c r="AX2286" s="122">
        <f>IF(tech_base!$T262&gt;AX$2025,"",0)</f>
        <v>0</v>
      </c>
    </row>
    <row r="2287" spans="1:50" x14ac:dyDescent="0.25">
      <c r="A2287" s="356"/>
      <c r="B2287" s="376"/>
      <c r="C2287" s="378"/>
      <c r="D2287" s="2" t="s">
        <v>8</v>
      </c>
      <c r="E2287" s="76" t="str">
        <f>A2286&amp;"/"&amp;B2286&amp;"/"&amp;C2286&amp;"/"&amp;D2287</f>
        <v>Hydro plants/Run-of-river/Electricity only/M</v>
      </c>
      <c r="F2287" s="76" t="str">
        <f>A2286</f>
        <v>Hydro plants</v>
      </c>
      <c r="G2287" s="76" t="str">
        <f>B2286</f>
        <v>Run-of-river</v>
      </c>
      <c r="H2287" s="76" t="str">
        <f>C2286</f>
        <v>Electricity only</v>
      </c>
      <c r="I2287" s="76" t="str">
        <f t="shared" si="391"/>
        <v>M</v>
      </c>
      <c r="J2287" s="119">
        <f>IF(tech_base!$T263&gt;J$2025,"",0)</f>
        <v>0</v>
      </c>
      <c r="K2287" s="119">
        <f>IF(tech_base!$T263&gt;K$2025,"",0)</f>
        <v>0</v>
      </c>
      <c r="L2287" s="119">
        <f>IF(tech_base!$T263&gt;L$2025,"",0)</f>
        <v>0</v>
      </c>
      <c r="M2287" s="119">
        <f>IF(tech_base!$T263&gt;M$2025,"",0)</f>
        <v>0</v>
      </c>
      <c r="N2287" s="119">
        <f>IF(tech_base!$T263&gt;N$2025,"",0)</f>
        <v>0</v>
      </c>
      <c r="O2287" s="119">
        <f>IF(tech_base!$T263&gt;O$2025,"",0)</f>
        <v>0</v>
      </c>
      <c r="P2287" s="119">
        <f>IF(tech_base!$T263&gt;P$2025,"",0)</f>
        <v>0</v>
      </c>
      <c r="Q2287" s="119">
        <f>IF(tech_base!$T263&gt;Q$2025,"",0)</f>
        <v>0</v>
      </c>
      <c r="R2287" s="119">
        <f>IF(tech_base!$T263&gt;R$2025,"",0)</f>
        <v>0</v>
      </c>
      <c r="S2287" s="119">
        <f>IF(tech_base!$T263&gt;S$2025,"",0)</f>
        <v>0</v>
      </c>
      <c r="T2287" s="119">
        <f>IF(tech_base!$T263&gt;T$2025,"",0)</f>
        <v>0</v>
      </c>
      <c r="U2287" s="119">
        <f>IF(tech_base!$T263&gt;U$2025,"",0)</f>
        <v>0</v>
      </c>
      <c r="V2287" s="119">
        <f>IF(tech_base!$T263&gt;V$2025,"",0)</f>
        <v>0</v>
      </c>
      <c r="W2287" s="119">
        <f>IF(tech_base!$T263&gt;W$2025,"",0)</f>
        <v>0</v>
      </c>
      <c r="X2287" s="119">
        <f>IF(tech_base!$T263&gt;X$2025,"",0)</f>
        <v>0</v>
      </c>
      <c r="Y2287" s="119">
        <f>IF(tech_base!$T263&gt;Y$2025,"",0)</f>
        <v>0</v>
      </c>
      <c r="Z2287" s="119">
        <f>IF(tech_base!$T263&gt;Z$2025,"",0)</f>
        <v>0</v>
      </c>
      <c r="AA2287" s="119">
        <f>IF(tech_base!$T263&gt;AA$2025,"",0)</f>
        <v>0</v>
      </c>
      <c r="AB2287" s="119">
        <f>IF(tech_base!$T263&gt;AB$2025,"",0)</f>
        <v>0</v>
      </c>
      <c r="AC2287" s="119">
        <f>IF(tech_base!$T263&gt;AC$2025,"",0)</f>
        <v>0</v>
      </c>
      <c r="AD2287" s="119">
        <f>IF(tech_base!$T263&gt;AD$2025,"",0)</f>
        <v>0</v>
      </c>
      <c r="AE2287" s="119">
        <f>IF(tech_base!$T263&gt;AE$2025,"",0)</f>
        <v>0</v>
      </c>
      <c r="AF2287" s="119">
        <f>IF(tech_base!$T263&gt;AF$2025,"",0)</f>
        <v>0</v>
      </c>
      <c r="AG2287" s="119">
        <f>IF(tech_base!$T263&gt;AG$2025,"",0)</f>
        <v>0</v>
      </c>
      <c r="AH2287" s="119">
        <f>IF(tech_base!$T263&gt;AH$2025,"",0)</f>
        <v>0</v>
      </c>
      <c r="AI2287" s="119">
        <f>IF(tech_base!$T263&gt;AI$2025,"",0)</f>
        <v>0</v>
      </c>
      <c r="AJ2287" s="119">
        <f>IF(tech_base!$T263&gt;AJ$2025,"",0)</f>
        <v>0</v>
      </c>
      <c r="AK2287" s="119">
        <f>IF(tech_base!$T263&gt;AK$2025,"",0)</f>
        <v>0</v>
      </c>
      <c r="AL2287" s="119">
        <f>IF(tech_base!$T263&gt;AL$2025,"",0)</f>
        <v>0</v>
      </c>
      <c r="AM2287" s="119">
        <f>IF(tech_base!$T263&gt;AM$2025,"",0)</f>
        <v>0</v>
      </c>
      <c r="AN2287" s="119">
        <f>IF(tech_base!$T263&gt;AN$2025,"",0)</f>
        <v>0</v>
      </c>
      <c r="AO2287" s="119">
        <f>IF(tech_base!$T263&gt;AO$2025,"",0)</f>
        <v>0</v>
      </c>
      <c r="AP2287" s="119">
        <f>IF(tech_base!$T263&gt;AP$2025,"",0)</f>
        <v>0</v>
      </c>
      <c r="AQ2287" s="119">
        <f>IF(tech_base!$T263&gt;AQ$2025,"",0)</f>
        <v>0</v>
      </c>
      <c r="AR2287" s="119">
        <f>IF(tech_base!$T263&gt;AR$2025,"",0)</f>
        <v>0</v>
      </c>
      <c r="AS2287" s="119">
        <f>IF(tech_base!$T263&gt;AS$2025,"",0)</f>
        <v>0</v>
      </c>
      <c r="AT2287" s="119">
        <f>IF(tech_base!$T263&gt;AT$2025,"",0)</f>
        <v>0</v>
      </c>
      <c r="AU2287" s="119">
        <f>IF(tech_base!$T263&gt;AU$2025,"",0)</f>
        <v>0</v>
      </c>
      <c r="AV2287" s="119">
        <f>IF(tech_base!$T263&gt;AV$2025,"",0)</f>
        <v>0</v>
      </c>
      <c r="AW2287" s="119">
        <f>IF(tech_base!$T263&gt;AW$2025,"",0)</f>
        <v>0</v>
      </c>
      <c r="AX2287" s="120">
        <f>IF(tech_base!$T263&gt;AX$2025,"",0)</f>
        <v>0</v>
      </c>
    </row>
    <row r="2288" spans="1:50" x14ac:dyDescent="0.25">
      <c r="A2288" s="356"/>
      <c r="B2288" s="376"/>
      <c r="C2288" s="378"/>
      <c r="D2288" s="2" t="s">
        <v>10</v>
      </c>
      <c r="E2288" s="76" t="str">
        <f>A2286&amp;"/"&amp;B2286&amp;"/"&amp;C2286&amp;"/"&amp;D2288</f>
        <v>Hydro plants/Run-of-river/Electricity only/S</v>
      </c>
      <c r="F2288" s="76" t="str">
        <f>A2286</f>
        <v>Hydro plants</v>
      </c>
      <c r="G2288" s="76" t="str">
        <f>B2286</f>
        <v>Run-of-river</v>
      </c>
      <c r="H2288" s="76" t="str">
        <f>C2286</f>
        <v>Electricity only</v>
      </c>
      <c r="I2288" s="76" t="str">
        <f t="shared" si="391"/>
        <v>S</v>
      </c>
      <c r="J2288" s="119">
        <f>IF(tech_base!$T264&gt;J$2025,"",0)</f>
        <v>0</v>
      </c>
      <c r="K2288" s="119">
        <f>IF(tech_base!$T264&gt;K$2025,"",0)</f>
        <v>0</v>
      </c>
      <c r="L2288" s="119">
        <f>IF(tech_base!$T264&gt;L$2025,"",0)</f>
        <v>0</v>
      </c>
      <c r="M2288" s="119">
        <f>IF(tech_base!$T264&gt;M$2025,"",0)</f>
        <v>0</v>
      </c>
      <c r="N2288" s="119">
        <f>IF(tech_base!$T264&gt;N$2025,"",0)</f>
        <v>0</v>
      </c>
      <c r="O2288" s="119">
        <f>IF(tech_base!$T264&gt;O$2025,"",0)</f>
        <v>0</v>
      </c>
      <c r="P2288" s="119">
        <f>IF(tech_base!$T264&gt;P$2025,"",0)</f>
        <v>0</v>
      </c>
      <c r="Q2288" s="119">
        <f>IF(tech_base!$T264&gt;Q$2025,"",0)</f>
        <v>0</v>
      </c>
      <c r="R2288" s="119">
        <f>IF(tech_base!$T264&gt;R$2025,"",0)</f>
        <v>0</v>
      </c>
      <c r="S2288" s="119">
        <f>IF(tech_base!$T264&gt;S$2025,"",0)</f>
        <v>0</v>
      </c>
      <c r="T2288" s="119">
        <f>IF(tech_base!$T264&gt;T$2025,"",0)</f>
        <v>0</v>
      </c>
      <c r="U2288" s="119">
        <f>IF(tech_base!$T264&gt;U$2025,"",0)</f>
        <v>0</v>
      </c>
      <c r="V2288" s="119">
        <f>IF(tech_base!$T264&gt;V$2025,"",0)</f>
        <v>0</v>
      </c>
      <c r="W2288" s="119">
        <f>IF(tech_base!$T264&gt;W$2025,"",0)</f>
        <v>0</v>
      </c>
      <c r="X2288" s="119">
        <f>IF(tech_base!$T264&gt;X$2025,"",0)</f>
        <v>0</v>
      </c>
      <c r="Y2288" s="119">
        <f>IF(tech_base!$T264&gt;Y$2025,"",0)</f>
        <v>0</v>
      </c>
      <c r="Z2288" s="119">
        <f>IF(tech_base!$T264&gt;Z$2025,"",0)</f>
        <v>0</v>
      </c>
      <c r="AA2288" s="119">
        <f>IF(tech_base!$T264&gt;AA$2025,"",0)</f>
        <v>0</v>
      </c>
      <c r="AB2288" s="119">
        <f>IF(tech_base!$T264&gt;AB$2025,"",0)</f>
        <v>0</v>
      </c>
      <c r="AC2288" s="119">
        <f>IF(tech_base!$T264&gt;AC$2025,"",0)</f>
        <v>0</v>
      </c>
      <c r="AD2288" s="119">
        <f>IF(tech_base!$T264&gt;AD$2025,"",0)</f>
        <v>0</v>
      </c>
      <c r="AE2288" s="119">
        <f>IF(tech_base!$T264&gt;AE$2025,"",0)</f>
        <v>0</v>
      </c>
      <c r="AF2288" s="119">
        <f>IF(tech_base!$T264&gt;AF$2025,"",0)</f>
        <v>0</v>
      </c>
      <c r="AG2288" s="119">
        <f>IF(tech_base!$T264&gt;AG$2025,"",0)</f>
        <v>0</v>
      </c>
      <c r="AH2288" s="119">
        <f>IF(tech_base!$T264&gt;AH$2025,"",0)</f>
        <v>0</v>
      </c>
      <c r="AI2288" s="119">
        <f>IF(tech_base!$T264&gt;AI$2025,"",0)</f>
        <v>0</v>
      </c>
      <c r="AJ2288" s="119">
        <f>IF(tech_base!$T264&gt;AJ$2025,"",0)</f>
        <v>0</v>
      </c>
      <c r="AK2288" s="119">
        <f>IF(tech_base!$T264&gt;AK$2025,"",0)</f>
        <v>0</v>
      </c>
      <c r="AL2288" s="119">
        <f>IF(tech_base!$T264&gt;AL$2025,"",0)</f>
        <v>0</v>
      </c>
      <c r="AM2288" s="119">
        <f>IF(tech_base!$T264&gt;AM$2025,"",0)</f>
        <v>0</v>
      </c>
      <c r="AN2288" s="119">
        <f>IF(tech_base!$T264&gt;AN$2025,"",0)</f>
        <v>0</v>
      </c>
      <c r="AO2288" s="119">
        <f>IF(tech_base!$T264&gt;AO$2025,"",0)</f>
        <v>0</v>
      </c>
      <c r="AP2288" s="119">
        <f>IF(tech_base!$T264&gt;AP$2025,"",0)</f>
        <v>0</v>
      </c>
      <c r="AQ2288" s="119">
        <f>IF(tech_base!$T264&gt;AQ$2025,"",0)</f>
        <v>0</v>
      </c>
      <c r="AR2288" s="119">
        <f>IF(tech_base!$T264&gt;AR$2025,"",0)</f>
        <v>0</v>
      </c>
      <c r="AS2288" s="119">
        <f>IF(tech_base!$T264&gt;AS$2025,"",0)</f>
        <v>0</v>
      </c>
      <c r="AT2288" s="119">
        <f>IF(tech_base!$T264&gt;AT$2025,"",0)</f>
        <v>0</v>
      </c>
      <c r="AU2288" s="119">
        <f>IF(tech_base!$T264&gt;AU$2025,"",0)</f>
        <v>0</v>
      </c>
      <c r="AV2288" s="119">
        <f>IF(tech_base!$T264&gt;AV$2025,"",0)</f>
        <v>0</v>
      </c>
      <c r="AW2288" s="119">
        <f>IF(tech_base!$T264&gt;AW$2025,"",0)</f>
        <v>0</v>
      </c>
      <c r="AX2288" s="120">
        <f>IF(tech_base!$T264&gt;AX$2025,"",0)</f>
        <v>0</v>
      </c>
    </row>
    <row r="2289" spans="1:50" x14ac:dyDescent="0.25">
      <c r="A2289" s="356"/>
      <c r="B2289" s="377"/>
      <c r="C2289" s="379"/>
      <c r="D2289" s="59" t="s">
        <v>20</v>
      </c>
      <c r="E2289" s="79" t="str">
        <f>A2286&amp;"/"&amp;B2286&amp;"/"&amp;C2286&amp;"/"&amp;D2289</f>
        <v>Hydro plants/Run-of-river/Electricity only/XS</v>
      </c>
      <c r="F2289" s="79" t="str">
        <f>A2286</f>
        <v>Hydro plants</v>
      </c>
      <c r="G2289" s="79" t="str">
        <f>B2286</f>
        <v>Run-of-river</v>
      </c>
      <c r="H2289" s="79" t="str">
        <f>C2286</f>
        <v>Electricity only</v>
      </c>
      <c r="I2289" s="79" t="str">
        <f t="shared" si="391"/>
        <v>XS</v>
      </c>
      <c r="J2289" s="125">
        <f>IF(tech_base!$T265&gt;J$2025,"",0)</f>
        <v>0</v>
      </c>
      <c r="K2289" s="125">
        <f>IF(tech_base!$T265&gt;K$2025,"",0)</f>
        <v>0</v>
      </c>
      <c r="L2289" s="125">
        <f>IF(tech_base!$T265&gt;L$2025,"",0)</f>
        <v>0</v>
      </c>
      <c r="M2289" s="125">
        <f>IF(tech_base!$T265&gt;M$2025,"",0)</f>
        <v>0</v>
      </c>
      <c r="N2289" s="125">
        <f>IF(tech_base!$T265&gt;N$2025,"",0)</f>
        <v>0</v>
      </c>
      <c r="O2289" s="125">
        <f>IF(tech_base!$T265&gt;O$2025,"",0)</f>
        <v>0</v>
      </c>
      <c r="P2289" s="125">
        <f>IF(tech_base!$T265&gt;P$2025,"",0)</f>
        <v>0</v>
      </c>
      <c r="Q2289" s="125">
        <f>IF(tech_base!$T265&gt;Q$2025,"",0)</f>
        <v>0</v>
      </c>
      <c r="R2289" s="125">
        <f>IF(tech_base!$T265&gt;R$2025,"",0)</f>
        <v>0</v>
      </c>
      <c r="S2289" s="125">
        <f>IF(tech_base!$T265&gt;S$2025,"",0)</f>
        <v>0</v>
      </c>
      <c r="T2289" s="125">
        <f>IF(tech_base!$T265&gt;T$2025,"",0)</f>
        <v>0</v>
      </c>
      <c r="U2289" s="125">
        <f>IF(tech_base!$T265&gt;U$2025,"",0)</f>
        <v>0</v>
      </c>
      <c r="V2289" s="125">
        <f>IF(tech_base!$T265&gt;V$2025,"",0)</f>
        <v>0</v>
      </c>
      <c r="W2289" s="125">
        <f>IF(tech_base!$T265&gt;W$2025,"",0)</f>
        <v>0</v>
      </c>
      <c r="X2289" s="125">
        <f>IF(tech_base!$T265&gt;X$2025,"",0)</f>
        <v>0</v>
      </c>
      <c r="Y2289" s="125">
        <f>IF(tech_base!$T265&gt;Y$2025,"",0)</f>
        <v>0</v>
      </c>
      <c r="Z2289" s="125">
        <f>IF(tech_base!$T265&gt;Z$2025,"",0)</f>
        <v>0</v>
      </c>
      <c r="AA2289" s="125">
        <f>IF(tech_base!$T265&gt;AA$2025,"",0)</f>
        <v>0</v>
      </c>
      <c r="AB2289" s="125">
        <f>IF(tech_base!$T265&gt;AB$2025,"",0)</f>
        <v>0</v>
      </c>
      <c r="AC2289" s="125">
        <f>IF(tech_base!$T265&gt;AC$2025,"",0)</f>
        <v>0</v>
      </c>
      <c r="AD2289" s="125">
        <f>IF(tech_base!$T265&gt;AD$2025,"",0)</f>
        <v>0</v>
      </c>
      <c r="AE2289" s="125">
        <f>IF(tech_base!$T265&gt;AE$2025,"",0)</f>
        <v>0</v>
      </c>
      <c r="AF2289" s="125">
        <f>IF(tech_base!$T265&gt;AF$2025,"",0)</f>
        <v>0</v>
      </c>
      <c r="AG2289" s="125">
        <f>IF(tech_base!$T265&gt;AG$2025,"",0)</f>
        <v>0</v>
      </c>
      <c r="AH2289" s="125">
        <f>IF(tech_base!$T265&gt;AH$2025,"",0)</f>
        <v>0</v>
      </c>
      <c r="AI2289" s="125">
        <f>IF(tech_base!$T265&gt;AI$2025,"",0)</f>
        <v>0</v>
      </c>
      <c r="AJ2289" s="125">
        <f>IF(tech_base!$T265&gt;AJ$2025,"",0)</f>
        <v>0</v>
      </c>
      <c r="AK2289" s="125">
        <f>IF(tech_base!$T265&gt;AK$2025,"",0)</f>
        <v>0</v>
      </c>
      <c r="AL2289" s="125">
        <f>IF(tech_base!$T265&gt;AL$2025,"",0)</f>
        <v>0</v>
      </c>
      <c r="AM2289" s="125">
        <f>IF(tech_base!$T265&gt;AM$2025,"",0)</f>
        <v>0</v>
      </c>
      <c r="AN2289" s="125">
        <f>IF(tech_base!$T265&gt;AN$2025,"",0)</f>
        <v>0</v>
      </c>
      <c r="AO2289" s="125">
        <f>IF(tech_base!$T265&gt;AO$2025,"",0)</f>
        <v>0</v>
      </c>
      <c r="AP2289" s="125">
        <f>IF(tech_base!$T265&gt;AP$2025,"",0)</f>
        <v>0</v>
      </c>
      <c r="AQ2289" s="125">
        <f>IF(tech_base!$T265&gt;AQ$2025,"",0)</f>
        <v>0</v>
      </c>
      <c r="AR2289" s="125">
        <f>IF(tech_base!$T265&gt;AR$2025,"",0)</f>
        <v>0</v>
      </c>
      <c r="AS2289" s="125">
        <f>IF(tech_base!$T265&gt;AS$2025,"",0)</f>
        <v>0</v>
      </c>
      <c r="AT2289" s="125">
        <f>IF(tech_base!$T265&gt;AT$2025,"",0)</f>
        <v>0</v>
      </c>
      <c r="AU2289" s="125">
        <f>IF(tech_base!$T265&gt;AU$2025,"",0)</f>
        <v>0</v>
      </c>
      <c r="AV2289" s="125">
        <f>IF(tech_base!$T265&gt;AV$2025,"",0)</f>
        <v>0</v>
      </c>
      <c r="AW2289" s="125">
        <f>IF(tech_base!$T265&gt;AW$2025,"",0)</f>
        <v>0</v>
      </c>
      <c r="AX2289" s="126">
        <f>IF(tech_base!$T265&gt;AX$2025,"",0)</f>
        <v>0</v>
      </c>
    </row>
    <row r="2290" spans="1:50" x14ac:dyDescent="0.25">
      <c r="A2290" s="356"/>
      <c r="B2290" s="359" t="s">
        <v>45</v>
      </c>
      <c r="C2290" s="350" t="s">
        <v>6</v>
      </c>
      <c r="D2290" s="2" t="s">
        <v>7</v>
      </c>
      <c r="E2290" s="76" t="str">
        <f>A2286&amp;"/"&amp;B2290&amp;"/"&amp;C2290&amp;"/"&amp;D2290</f>
        <v>Hydro plants/Reservoirs (dams)/Electricity only/L</v>
      </c>
      <c r="F2290" s="76" t="str">
        <f>A2286</f>
        <v>Hydro plants</v>
      </c>
      <c r="G2290" s="76" t="str">
        <f>B2290</f>
        <v>Reservoirs (dams)</v>
      </c>
      <c r="H2290" s="76" t="str">
        <f>C2290</f>
        <v>Electricity only</v>
      </c>
      <c r="I2290" s="76" t="str">
        <f t="shared" si="391"/>
        <v>L</v>
      </c>
      <c r="J2290" s="119">
        <f>IF(tech_base!$T266&gt;J$2025,"",0)</f>
        <v>0</v>
      </c>
      <c r="K2290" s="119">
        <f>IF(tech_base!$T266&gt;K$2025,"",0)</f>
        <v>0</v>
      </c>
      <c r="L2290" s="119">
        <f>IF(tech_base!$T266&gt;L$2025,"",0)</f>
        <v>0</v>
      </c>
      <c r="M2290" s="119">
        <f>IF(tech_base!$T266&gt;M$2025,"",0)</f>
        <v>0</v>
      </c>
      <c r="N2290" s="119">
        <f>IF(tech_base!$T266&gt;N$2025,"",0)</f>
        <v>0</v>
      </c>
      <c r="O2290" s="119">
        <f>IF(tech_base!$T266&gt;O$2025,"",0)</f>
        <v>0</v>
      </c>
      <c r="P2290" s="119">
        <f>IF(tech_base!$T266&gt;P$2025,"",0)</f>
        <v>0</v>
      </c>
      <c r="Q2290" s="119">
        <f>IF(tech_base!$T266&gt;Q$2025,"",0)</f>
        <v>0</v>
      </c>
      <c r="R2290" s="119">
        <f>IF(tech_base!$T266&gt;R$2025,"",0)</f>
        <v>0</v>
      </c>
      <c r="S2290" s="119">
        <f>IF(tech_base!$T266&gt;S$2025,"",0)</f>
        <v>0</v>
      </c>
      <c r="T2290" s="119">
        <f>IF(tech_base!$T266&gt;T$2025,"",0)</f>
        <v>0</v>
      </c>
      <c r="U2290" s="119">
        <f>IF(tech_base!$T266&gt;U$2025,"",0)</f>
        <v>0</v>
      </c>
      <c r="V2290" s="119">
        <f>IF(tech_base!$T266&gt;V$2025,"",0)</f>
        <v>0</v>
      </c>
      <c r="W2290" s="119">
        <f>IF(tech_base!$T266&gt;W$2025,"",0)</f>
        <v>0</v>
      </c>
      <c r="X2290" s="119">
        <f>IF(tech_base!$T266&gt;X$2025,"",0)</f>
        <v>0</v>
      </c>
      <c r="Y2290" s="119">
        <f>IF(tech_base!$T266&gt;Y$2025,"",0)</f>
        <v>0</v>
      </c>
      <c r="Z2290" s="119">
        <f>IF(tech_base!$T266&gt;Z$2025,"",0)</f>
        <v>0</v>
      </c>
      <c r="AA2290" s="119">
        <f>IF(tech_base!$T266&gt;AA$2025,"",0)</f>
        <v>0</v>
      </c>
      <c r="AB2290" s="119">
        <f>IF(tech_base!$T266&gt;AB$2025,"",0)</f>
        <v>0</v>
      </c>
      <c r="AC2290" s="119">
        <f>IF(tech_base!$T266&gt;AC$2025,"",0)</f>
        <v>0</v>
      </c>
      <c r="AD2290" s="119">
        <f>IF(tech_base!$T266&gt;AD$2025,"",0)</f>
        <v>0</v>
      </c>
      <c r="AE2290" s="119">
        <f>IF(tech_base!$T266&gt;AE$2025,"",0)</f>
        <v>0</v>
      </c>
      <c r="AF2290" s="119">
        <f>IF(tech_base!$T266&gt;AF$2025,"",0)</f>
        <v>0</v>
      </c>
      <c r="AG2290" s="119">
        <f>IF(tech_base!$T266&gt;AG$2025,"",0)</f>
        <v>0</v>
      </c>
      <c r="AH2290" s="119">
        <f>IF(tech_base!$T266&gt;AH$2025,"",0)</f>
        <v>0</v>
      </c>
      <c r="AI2290" s="119">
        <f>IF(tech_base!$T266&gt;AI$2025,"",0)</f>
        <v>0</v>
      </c>
      <c r="AJ2290" s="119">
        <f>IF(tech_base!$T266&gt;AJ$2025,"",0)</f>
        <v>0</v>
      </c>
      <c r="AK2290" s="119">
        <f>IF(tech_base!$T266&gt;AK$2025,"",0)</f>
        <v>0</v>
      </c>
      <c r="AL2290" s="119">
        <f>IF(tech_base!$T266&gt;AL$2025,"",0)</f>
        <v>0</v>
      </c>
      <c r="AM2290" s="119">
        <f>IF(tech_base!$T266&gt;AM$2025,"",0)</f>
        <v>0</v>
      </c>
      <c r="AN2290" s="119">
        <f>IF(tech_base!$T266&gt;AN$2025,"",0)</f>
        <v>0</v>
      </c>
      <c r="AO2290" s="119">
        <f>IF(tech_base!$T266&gt;AO$2025,"",0)</f>
        <v>0</v>
      </c>
      <c r="AP2290" s="119">
        <f>IF(tech_base!$T266&gt;AP$2025,"",0)</f>
        <v>0</v>
      </c>
      <c r="AQ2290" s="119">
        <f>IF(tech_base!$T266&gt;AQ$2025,"",0)</f>
        <v>0</v>
      </c>
      <c r="AR2290" s="119">
        <f>IF(tech_base!$T266&gt;AR$2025,"",0)</f>
        <v>0</v>
      </c>
      <c r="AS2290" s="119">
        <f>IF(tech_base!$T266&gt;AS$2025,"",0)</f>
        <v>0</v>
      </c>
      <c r="AT2290" s="119">
        <f>IF(tech_base!$T266&gt;AT$2025,"",0)</f>
        <v>0</v>
      </c>
      <c r="AU2290" s="119">
        <f>IF(tech_base!$T266&gt;AU$2025,"",0)</f>
        <v>0</v>
      </c>
      <c r="AV2290" s="119">
        <f>IF(tech_base!$T266&gt;AV$2025,"",0)</f>
        <v>0</v>
      </c>
      <c r="AW2290" s="119">
        <f>IF(tech_base!$T266&gt;AW$2025,"",0)</f>
        <v>0</v>
      </c>
      <c r="AX2290" s="120">
        <f>IF(tech_base!$T266&gt;AX$2025,"",0)</f>
        <v>0</v>
      </c>
    </row>
    <row r="2291" spans="1:50" x14ac:dyDescent="0.25">
      <c r="A2291" s="356"/>
      <c r="B2291" s="376"/>
      <c r="C2291" s="378"/>
      <c r="D2291" s="2" t="s">
        <v>8</v>
      </c>
      <c r="E2291" s="76" t="str">
        <f>A2286&amp;"/"&amp;B2290&amp;"/"&amp;C2290&amp;"/"&amp;D2291</f>
        <v>Hydro plants/Reservoirs (dams)/Electricity only/M</v>
      </c>
      <c r="F2291" s="76" t="str">
        <f>A2286</f>
        <v>Hydro plants</v>
      </c>
      <c r="G2291" s="76" t="str">
        <f>B2290</f>
        <v>Reservoirs (dams)</v>
      </c>
      <c r="H2291" s="76" t="str">
        <f>C2290</f>
        <v>Electricity only</v>
      </c>
      <c r="I2291" s="76" t="str">
        <f t="shared" si="391"/>
        <v>M</v>
      </c>
      <c r="J2291" s="119">
        <f>IF(tech_base!$T267&gt;J$2025,"",0)</f>
        <v>0</v>
      </c>
      <c r="K2291" s="119">
        <f>IF(tech_base!$T267&gt;K$2025,"",0)</f>
        <v>0</v>
      </c>
      <c r="L2291" s="119">
        <f>IF(tech_base!$T267&gt;L$2025,"",0)</f>
        <v>0</v>
      </c>
      <c r="M2291" s="119">
        <f>IF(tech_base!$T267&gt;M$2025,"",0)</f>
        <v>0</v>
      </c>
      <c r="N2291" s="119">
        <f>IF(tech_base!$T267&gt;N$2025,"",0)</f>
        <v>0</v>
      </c>
      <c r="O2291" s="119">
        <f>IF(tech_base!$T267&gt;O$2025,"",0)</f>
        <v>0</v>
      </c>
      <c r="P2291" s="119">
        <f>IF(tech_base!$T267&gt;P$2025,"",0)</f>
        <v>0</v>
      </c>
      <c r="Q2291" s="119">
        <f>IF(tech_base!$T267&gt;Q$2025,"",0)</f>
        <v>0</v>
      </c>
      <c r="R2291" s="119">
        <f>IF(tech_base!$T267&gt;R$2025,"",0)</f>
        <v>0</v>
      </c>
      <c r="S2291" s="119">
        <f>IF(tech_base!$T267&gt;S$2025,"",0)</f>
        <v>0</v>
      </c>
      <c r="T2291" s="119">
        <f>IF(tech_base!$T267&gt;T$2025,"",0)</f>
        <v>0</v>
      </c>
      <c r="U2291" s="119">
        <f>IF(tech_base!$T267&gt;U$2025,"",0)</f>
        <v>0</v>
      </c>
      <c r="V2291" s="119">
        <f>IF(tech_base!$T267&gt;V$2025,"",0)</f>
        <v>0</v>
      </c>
      <c r="W2291" s="119">
        <f>IF(tech_base!$T267&gt;W$2025,"",0)</f>
        <v>0</v>
      </c>
      <c r="X2291" s="119">
        <f>IF(tech_base!$T267&gt;X$2025,"",0)</f>
        <v>0</v>
      </c>
      <c r="Y2291" s="119">
        <f>IF(tech_base!$T267&gt;Y$2025,"",0)</f>
        <v>0</v>
      </c>
      <c r="Z2291" s="119">
        <f>IF(tech_base!$T267&gt;Z$2025,"",0)</f>
        <v>0</v>
      </c>
      <c r="AA2291" s="119">
        <f>IF(tech_base!$T267&gt;AA$2025,"",0)</f>
        <v>0</v>
      </c>
      <c r="AB2291" s="119">
        <f>IF(tech_base!$T267&gt;AB$2025,"",0)</f>
        <v>0</v>
      </c>
      <c r="AC2291" s="119">
        <f>IF(tech_base!$T267&gt;AC$2025,"",0)</f>
        <v>0</v>
      </c>
      <c r="AD2291" s="119">
        <f>IF(tech_base!$T267&gt;AD$2025,"",0)</f>
        <v>0</v>
      </c>
      <c r="AE2291" s="119">
        <f>IF(tech_base!$T267&gt;AE$2025,"",0)</f>
        <v>0</v>
      </c>
      <c r="AF2291" s="119">
        <f>IF(tech_base!$T267&gt;AF$2025,"",0)</f>
        <v>0</v>
      </c>
      <c r="AG2291" s="119">
        <f>IF(tech_base!$T267&gt;AG$2025,"",0)</f>
        <v>0</v>
      </c>
      <c r="AH2291" s="119">
        <f>IF(tech_base!$T267&gt;AH$2025,"",0)</f>
        <v>0</v>
      </c>
      <c r="AI2291" s="119">
        <f>IF(tech_base!$T267&gt;AI$2025,"",0)</f>
        <v>0</v>
      </c>
      <c r="AJ2291" s="119">
        <f>IF(tech_base!$T267&gt;AJ$2025,"",0)</f>
        <v>0</v>
      </c>
      <c r="AK2291" s="119">
        <f>IF(tech_base!$T267&gt;AK$2025,"",0)</f>
        <v>0</v>
      </c>
      <c r="AL2291" s="119">
        <f>IF(tech_base!$T267&gt;AL$2025,"",0)</f>
        <v>0</v>
      </c>
      <c r="AM2291" s="119">
        <f>IF(tech_base!$T267&gt;AM$2025,"",0)</f>
        <v>0</v>
      </c>
      <c r="AN2291" s="119">
        <f>IF(tech_base!$T267&gt;AN$2025,"",0)</f>
        <v>0</v>
      </c>
      <c r="AO2291" s="119">
        <f>IF(tech_base!$T267&gt;AO$2025,"",0)</f>
        <v>0</v>
      </c>
      <c r="AP2291" s="119">
        <f>IF(tech_base!$T267&gt;AP$2025,"",0)</f>
        <v>0</v>
      </c>
      <c r="AQ2291" s="119">
        <f>IF(tech_base!$T267&gt;AQ$2025,"",0)</f>
        <v>0</v>
      </c>
      <c r="AR2291" s="119">
        <f>IF(tech_base!$T267&gt;AR$2025,"",0)</f>
        <v>0</v>
      </c>
      <c r="AS2291" s="119">
        <f>IF(tech_base!$T267&gt;AS$2025,"",0)</f>
        <v>0</v>
      </c>
      <c r="AT2291" s="119">
        <f>IF(tech_base!$T267&gt;AT$2025,"",0)</f>
        <v>0</v>
      </c>
      <c r="AU2291" s="119">
        <f>IF(tech_base!$T267&gt;AU$2025,"",0)</f>
        <v>0</v>
      </c>
      <c r="AV2291" s="119">
        <f>IF(tech_base!$T267&gt;AV$2025,"",0)</f>
        <v>0</v>
      </c>
      <c r="AW2291" s="119">
        <f>IF(tech_base!$T267&gt;AW$2025,"",0)</f>
        <v>0</v>
      </c>
      <c r="AX2291" s="120">
        <f>IF(tech_base!$T267&gt;AX$2025,"",0)</f>
        <v>0</v>
      </c>
    </row>
    <row r="2292" spans="1:50" x14ac:dyDescent="0.25">
      <c r="A2292" s="356"/>
      <c r="B2292" s="376"/>
      <c r="C2292" s="378"/>
      <c r="D2292" s="2" t="s">
        <v>10</v>
      </c>
      <c r="E2292" s="76" t="str">
        <f>A2286&amp;"/"&amp;B2290&amp;"/"&amp;C2290&amp;"/"&amp;D2292</f>
        <v>Hydro plants/Reservoirs (dams)/Electricity only/S</v>
      </c>
      <c r="F2292" s="76" t="str">
        <f>A2286</f>
        <v>Hydro plants</v>
      </c>
      <c r="G2292" s="76" t="str">
        <f>B2290</f>
        <v>Reservoirs (dams)</v>
      </c>
      <c r="H2292" s="76" t="str">
        <f>C2290</f>
        <v>Electricity only</v>
      </c>
      <c r="I2292" s="76" t="str">
        <f t="shared" si="391"/>
        <v>S</v>
      </c>
      <c r="J2292" s="119">
        <f>IF(tech_base!$T268&gt;J$2025,"",0)</f>
        <v>0</v>
      </c>
      <c r="K2292" s="119">
        <f>IF(tech_base!$T268&gt;K$2025,"",0)</f>
        <v>0</v>
      </c>
      <c r="L2292" s="119">
        <f>IF(tech_base!$T268&gt;L$2025,"",0)</f>
        <v>0</v>
      </c>
      <c r="M2292" s="119">
        <f>IF(tech_base!$T268&gt;M$2025,"",0)</f>
        <v>0</v>
      </c>
      <c r="N2292" s="119">
        <f>IF(tech_base!$T268&gt;N$2025,"",0)</f>
        <v>0</v>
      </c>
      <c r="O2292" s="119">
        <f>IF(tech_base!$T268&gt;O$2025,"",0)</f>
        <v>0</v>
      </c>
      <c r="P2292" s="119">
        <f>IF(tech_base!$T268&gt;P$2025,"",0)</f>
        <v>0</v>
      </c>
      <c r="Q2292" s="119">
        <f>IF(tech_base!$T268&gt;Q$2025,"",0)</f>
        <v>0</v>
      </c>
      <c r="R2292" s="119">
        <f>IF(tech_base!$T268&gt;R$2025,"",0)</f>
        <v>0</v>
      </c>
      <c r="S2292" s="119">
        <f>IF(tech_base!$T268&gt;S$2025,"",0)</f>
        <v>0</v>
      </c>
      <c r="T2292" s="119">
        <f>IF(tech_base!$T268&gt;T$2025,"",0)</f>
        <v>0</v>
      </c>
      <c r="U2292" s="119">
        <f>IF(tech_base!$T268&gt;U$2025,"",0)</f>
        <v>0</v>
      </c>
      <c r="V2292" s="119">
        <f>IF(tech_base!$T268&gt;V$2025,"",0)</f>
        <v>0</v>
      </c>
      <c r="W2292" s="119">
        <f>IF(tech_base!$T268&gt;W$2025,"",0)</f>
        <v>0</v>
      </c>
      <c r="X2292" s="119">
        <f>IF(tech_base!$T268&gt;X$2025,"",0)</f>
        <v>0</v>
      </c>
      <c r="Y2292" s="119">
        <f>IF(tech_base!$T268&gt;Y$2025,"",0)</f>
        <v>0</v>
      </c>
      <c r="Z2292" s="119">
        <f>IF(tech_base!$T268&gt;Z$2025,"",0)</f>
        <v>0</v>
      </c>
      <c r="AA2292" s="119">
        <f>IF(tech_base!$T268&gt;AA$2025,"",0)</f>
        <v>0</v>
      </c>
      <c r="AB2292" s="119">
        <f>IF(tech_base!$T268&gt;AB$2025,"",0)</f>
        <v>0</v>
      </c>
      <c r="AC2292" s="119">
        <f>IF(tech_base!$T268&gt;AC$2025,"",0)</f>
        <v>0</v>
      </c>
      <c r="AD2292" s="119">
        <f>IF(tech_base!$T268&gt;AD$2025,"",0)</f>
        <v>0</v>
      </c>
      <c r="AE2292" s="119">
        <f>IF(tech_base!$T268&gt;AE$2025,"",0)</f>
        <v>0</v>
      </c>
      <c r="AF2292" s="119">
        <f>IF(tech_base!$T268&gt;AF$2025,"",0)</f>
        <v>0</v>
      </c>
      <c r="AG2292" s="119">
        <f>IF(tech_base!$T268&gt;AG$2025,"",0)</f>
        <v>0</v>
      </c>
      <c r="AH2292" s="119">
        <f>IF(tech_base!$T268&gt;AH$2025,"",0)</f>
        <v>0</v>
      </c>
      <c r="AI2292" s="119">
        <f>IF(tech_base!$T268&gt;AI$2025,"",0)</f>
        <v>0</v>
      </c>
      <c r="AJ2292" s="119">
        <f>IF(tech_base!$T268&gt;AJ$2025,"",0)</f>
        <v>0</v>
      </c>
      <c r="AK2292" s="119">
        <f>IF(tech_base!$T268&gt;AK$2025,"",0)</f>
        <v>0</v>
      </c>
      <c r="AL2292" s="119">
        <f>IF(tech_base!$T268&gt;AL$2025,"",0)</f>
        <v>0</v>
      </c>
      <c r="AM2292" s="119">
        <f>IF(tech_base!$T268&gt;AM$2025,"",0)</f>
        <v>0</v>
      </c>
      <c r="AN2292" s="119">
        <f>IF(tech_base!$T268&gt;AN$2025,"",0)</f>
        <v>0</v>
      </c>
      <c r="AO2292" s="119">
        <f>IF(tech_base!$T268&gt;AO$2025,"",0)</f>
        <v>0</v>
      </c>
      <c r="AP2292" s="119">
        <f>IF(tech_base!$T268&gt;AP$2025,"",0)</f>
        <v>0</v>
      </c>
      <c r="AQ2292" s="119">
        <f>IF(tech_base!$T268&gt;AQ$2025,"",0)</f>
        <v>0</v>
      </c>
      <c r="AR2292" s="119">
        <f>IF(tech_base!$T268&gt;AR$2025,"",0)</f>
        <v>0</v>
      </c>
      <c r="AS2292" s="119">
        <f>IF(tech_base!$T268&gt;AS$2025,"",0)</f>
        <v>0</v>
      </c>
      <c r="AT2292" s="119">
        <f>IF(tech_base!$T268&gt;AT$2025,"",0)</f>
        <v>0</v>
      </c>
      <c r="AU2292" s="119">
        <f>IF(tech_base!$T268&gt;AU$2025,"",0)</f>
        <v>0</v>
      </c>
      <c r="AV2292" s="119">
        <f>IF(tech_base!$T268&gt;AV$2025,"",0)</f>
        <v>0</v>
      </c>
      <c r="AW2292" s="119">
        <f>IF(tech_base!$T268&gt;AW$2025,"",0)</f>
        <v>0</v>
      </c>
      <c r="AX2292" s="120">
        <f>IF(tech_base!$T268&gt;AX$2025,"",0)</f>
        <v>0</v>
      </c>
    </row>
    <row r="2293" spans="1:50" x14ac:dyDescent="0.25">
      <c r="A2293" s="357"/>
      <c r="B2293" s="380"/>
      <c r="C2293" s="381"/>
      <c r="D2293" s="4" t="s">
        <v>20</v>
      </c>
      <c r="E2293" s="80" t="str">
        <f>A2286&amp;"/"&amp;B2290&amp;"/"&amp;C2290&amp;"/"&amp;D2293</f>
        <v>Hydro plants/Reservoirs (dams)/Electricity only/XS</v>
      </c>
      <c r="F2293" s="80" t="str">
        <f>A2286</f>
        <v>Hydro plants</v>
      </c>
      <c r="G2293" s="80" t="str">
        <f>B2290</f>
        <v>Reservoirs (dams)</v>
      </c>
      <c r="H2293" s="80" t="str">
        <f>C2290</f>
        <v>Electricity only</v>
      </c>
      <c r="I2293" s="80" t="str">
        <f t="shared" si="391"/>
        <v>XS</v>
      </c>
      <c r="J2293" s="127">
        <f>IF(tech_base!$T269&gt;J$2025,"",0)</f>
        <v>0</v>
      </c>
      <c r="K2293" s="127">
        <f>IF(tech_base!$T269&gt;K$2025,"",0)</f>
        <v>0</v>
      </c>
      <c r="L2293" s="127">
        <f>IF(tech_base!$T269&gt;L$2025,"",0)</f>
        <v>0</v>
      </c>
      <c r="M2293" s="127">
        <f>IF(tech_base!$T269&gt;M$2025,"",0)</f>
        <v>0</v>
      </c>
      <c r="N2293" s="127">
        <f>IF(tech_base!$T269&gt;N$2025,"",0)</f>
        <v>0</v>
      </c>
      <c r="O2293" s="127">
        <f>IF(tech_base!$T269&gt;O$2025,"",0)</f>
        <v>0</v>
      </c>
      <c r="P2293" s="127">
        <f>IF(tech_base!$T269&gt;P$2025,"",0)</f>
        <v>0</v>
      </c>
      <c r="Q2293" s="127">
        <f>IF(tech_base!$T269&gt;Q$2025,"",0)</f>
        <v>0</v>
      </c>
      <c r="R2293" s="127">
        <f>IF(tech_base!$T269&gt;R$2025,"",0)</f>
        <v>0</v>
      </c>
      <c r="S2293" s="127">
        <f>IF(tech_base!$T269&gt;S$2025,"",0)</f>
        <v>0</v>
      </c>
      <c r="T2293" s="127">
        <f>IF(tech_base!$T269&gt;T$2025,"",0)</f>
        <v>0</v>
      </c>
      <c r="U2293" s="127">
        <f>IF(tech_base!$T269&gt;U$2025,"",0)</f>
        <v>0</v>
      </c>
      <c r="V2293" s="127">
        <f>IF(tech_base!$T269&gt;V$2025,"",0)</f>
        <v>0</v>
      </c>
      <c r="W2293" s="127">
        <f>IF(tech_base!$T269&gt;W$2025,"",0)</f>
        <v>0</v>
      </c>
      <c r="X2293" s="127">
        <f>IF(tech_base!$T269&gt;X$2025,"",0)</f>
        <v>0</v>
      </c>
      <c r="Y2293" s="127">
        <f>IF(tech_base!$T269&gt;Y$2025,"",0)</f>
        <v>0</v>
      </c>
      <c r="Z2293" s="127">
        <f>IF(tech_base!$T269&gt;Z$2025,"",0)</f>
        <v>0</v>
      </c>
      <c r="AA2293" s="127">
        <f>IF(tech_base!$T269&gt;AA$2025,"",0)</f>
        <v>0</v>
      </c>
      <c r="AB2293" s="127">
        <f>IF(tech_base!$T269&gt;AB$2025,"",0)</f>
        <v>0</v>
      </c>
      <c r="AC2293" s="127">
        <f>IF(tech_base!$T269&gt;AC$2025,"",0)</f>
        <v>0</v>
      </c>
      <c r="AD2293" s="127">
        <f>IF(tech_base!$T269&gt;AD$2025,"",0)</f>
        <v>0</v>
      </c>
      <c r="AE2293" s="127">
        <f>IF(tech_base!$T269&gt;AE$2025,"",0)</f>
        <v>0</v>
      </c>
      <c r="AF2293" s="127">
        <f>IF(tech_base!$T269&gt;AF$2025,"",0)</f>
        <v>0</v>
      </c>
      <c r="AG2293" s="127">
        <f>IF(tech_base!$T269&gt;AG$2025,"",0)</f>
        <v>0</v>
      </c>
      <c r="AH2293" s="127">
        <f>IF(tech_base!$T269&gt;AH$2025,"",0)</f>
        <v>0</v>
      </c>
      <c r="AI2293" s="127">
        <f>IF(tech_base!$T269&gt;AI$2025,"",0)</f>
        <v>0</v>
      </c>
      <c r="AJ2293" s="127">
        <f>IF(tech_base!$T269&gt;AJ$2025,"",0)</f>
        <v>0</v>
      </c>
      <c r="AK2293" s="127">
        <f>IF(tech_base!$T269&gt;AK$2025,"",0)</f>
        <v>0</v>
      </c>
      <c r="AL2293" s="127">
        <f>IF(tech_base!$T269&gt;AL$2025,"",0)</f>
        <v>0</v>
      </c>
      <c r="AM2293" s="127">
        <f>IF(tech_base!$T269&gt;AM$2025,"",0)</f>
        <v>0</v>
      </c>
      <c r="AN2293" s="127">
        <f>IF(tech_base!$T269&gt;AN$2025,"",0)</f>
        <v>0</v>
      </c>
      <c r="AO2293" s="127">
        <f>IF(tech_base!$T269&gt;AO$2025,"",0)</f>
        <v>0</v>
      </c>
      <c r="AP2293" s="127">
        <f>IF(tech_base!$T269&gt;AP$2025,"",0)</f>
        <v>0</v>
      </c>
      <c r="AQ2293" s="127">
        <f>IF(tech_base!$T269&gt;AQ$2025,"",0)</f>
        <v>0</v>
      </c>
      <c r="AR2293" s="127">
        <f>IF(tech_base!$T269&gt;AR$2025,"",0)</f>
        <v>0</v>
      </c>
      <c r="AS2293" s="127">
        <f>IF(tech_base!$T269&gt;AS$2025,"",0)</f>
        <v>0</v>
      </c>
      <c r="AT2293" s="127">
        <f>IF(tech_base!$T269&gt;AT$2025,"",0)</f>
        <v>0</v>
      </c>
      <c r="AU2293" s="127">
        <f>IF(tech_base!$T269&gt;AU$2025,"",0)</f>
        <v>0</v>
      </c>
      <c r="AV2293" s="127">
        <f>IF(tech_base!$T269&gt;AV$2025,"",0)</f>
        <v>0</v>
      </c>
      <c r="AW2293" s="127">
        <f>IF(tech_base!$T269&gt;AW$2025,"",0)</f>
        <v>0</v>
      </c>
      <c r="AX2293" s="128">
        <f>IF(tech_base!$T269&gt;AX$2025,"",0)</f>
        <v>0</v>
      </c>
    </row>
    <row r="2294" spans="1:50" x14ac:dyDescent="0.25">
      <c r="A2294" s="356" t="s">
        <v>46</v>
      </c>
      <c r="B2294" s="359" t="s">
        <v>46</v>
      </c>
      <c r="C2294" s="353" t="s">
        <v>6</v>
      </c>
      <c r="D2294" s="2" t="s">
        <v>7</v>
      </c>
      <c r="E2294" s="76" t="str">
        <f>A2294&amp;"/"&amp;B2294&amp;"/"&amp;C2294&amp;"/"&amp;D2294</f>
        <v>Pump storage/Pump storage/Electricity only/L</v>
      </c>
      <c r="F2294" s="76" t="str">
        <f>A2294</f>
        <v>Pump storage</v>
      </c>
      <c r="G2294" s="76" t="str">
        <f>B2294</f>
        <v>Pump storage</v>
      </c>
      <c r="H2294" s="76" t="str">
        <f>C2294</f>
        <v>Electricity only</v>
      </c>
      <c r="I2294" s="76" t="str">
        <f t="shared" si="391"/>
        <v>L</v>
      </c>
      <c r="J2294" s="119">
        <f>IF(tech_base!$T270&gt;J$2025,"",0)</f>
        <v>0</v>
      </c>
      <c r="K2294" s="119">
        <f>IF(tech_base!$T270&gt;K$2025,"",0)</f>
        <v>0</v>
      </c>
      <c r="L2294" s="119">
        <f>IF(tech_base!$T270&gt;L$2025,"",0)</f>
        <v>0</v>
      </c>
      <c r="M2294" s="119">
        <f>IF(tech_base!$T270&gt;M$2025,"",0)</f>
        <v>0</v>
      </c>
      <c r="N2294" s="119">
        <f>IF(tech_base!$T270&gt;N$2025,"",0)</f>
        <v>0</v>
      </c>
      <c r="O2294" s="119">
        <f>IF(tech_base!$T270&gt;O$2025,"",0)</f>
        <v>0</v>
      </c>
      <c r="P2294" s="119">
        <f>IF(tech_base!$T270&gt;P$2025,"",0)</f>
        <v>0</v>
      </c>
      <c r="Q2294" s="119">
        <f>IF(tech_base!$T270&gt;Q$2025,"",0)</f>
        <v>0</v>
      </c>
      <c r="R2294" s="119">
        <f>IF(tech_base!$T270&gt;R$2025,"",0)</f>
        <v>0</v>
      </c>
      <c r="S2294" s="119">
        <f>IF(tech_base!$T270&gt;S$2025,"",0)</f>
        <v>0</v>
      </c>
      <c r="T2294" s="119">
        <f>IF(tech_base!$T270&gt;T$2025,"",0)</f>
        <v>0</v>
      </c>
      <c r="U2294" s="119">
        <f>IF(tech_base!$T270&gt;U$2025,"",0)</f>
        <v>0</v>
      </c>
      <c r="V2294" s="119">
        <f>IF(tech_base!$T270&gt;V$2025,"",0)</f>
        <v>0</v>
      </c>
      <c r="W2294" s="119">
        <f>IF(tech_base!$T270&gt;W$2025,"",0)</f>
        <v>0</v>
      </c>
      <c r="X2294" s="119">
        <f>IF(tech_base!$T270&gt;X$2025,"",0)</f>
        <v>0</v>
      </c>
      <c r="Y2294" s="119">
        <f>IF(tech_base!$T270&gt;Y$2025,"",0)</f>
        <v>0</v>
      </c>
      <c r="Z2294" s="119">
        <f>IF(tech_base!$T270&gt;Z$2025,"",0)</f>
        <v>0</v>
      </c>
      <c r="AA2294" s="119">
        <f>IF(tech_base!$T270&gt;AA$2025,"",0)</f>
        <v>0</v>
      </c>
      <c r="AB2294" s="119">
        <f>IF(tech_base!$T270&gt;AB$2025,"",0)</f>
        <v>0</v>
      </c>
      <c r="AC2294" s="119">
        <f>IF(tech_base!$T270&gt;AC$2025,"",0)</f>
        <v>0</v>
      </c>
      <c r="AD2294" s="119">
        <f>IF(tech_base!$T270&gt;AD$2025,"",0)</f>
        <v>0</v>
      </c>
      <c r="AE2294" s="119">
        <f>IF(tech_base!$T270&gt;AE$2025,"",0)</f>
        <v>0</v>
      </c>
      <c r="AF2294" s="119">
        <f>IF(tech_base!$T270&gt;AF$2025,"",0)</f>
        <v>0</v>
      </c>
      <c r="AG2294" s="119">
        <f>IF(tech_base!$T270&gt;AG$2025,"",0)</f>
        <v>0</v>
      </c>
      <c r="AH2294" s="119">
        <f>IF(tech_base!$T270&gt;AH$2025,"",0)</f>
        <v>0</v>
      </c>
      <c r="AI2294" s="119">
        <f>IF(tech_base!$T270&gt;AI$2025,"",0)</f>
        <v>0</v>
      </c>
      <c r="AJ2294" s="119">
        <f>IF(tech_base!$T270&gt;AJ$2025,"",0)</f>
        <v>0</v>
      </c>
      <c r="AK2294" s="119">
        <f>IF(tech_base!$T270&gt;AK$2025,"",0)</f>
        <v>0</v>
      </c>
      <c r="AL2294" s="119">
        <f>IF(tech_base!$T270&gt;AL$2025,"",0)</f>
        <v>0</v>
      </c>
      <c r="AM2294" s="119">
        <f>IF(tech_base!$T270&gt;AM$2025,"",0)</f>
        <v>0</v>
      </c>
      <c r="AN2294" s="119">
        <f>IF(tech_base!$T270&gt;AN$2025,"",0)</f>
        <v>0</v>
      </c>
      <c r="AO2294" s="119">
        <f>IF(tech_base!$T270&gt;AO$2025,"",0)</f>
        <v>0</v>
      </c>
      <c r="AP2294" s="119">
        <f>IF(tech_base!$T270&gt;AP$2025,"",0)</f>
        <v>0</v>
      </c>
      <c r="AQ2294" s="119">
        <f>IF(tech_base!$T270&gt;AQ$2025,"",0)</f>
        <v>0</v>
      </c>
      <c r="AR2294" s="119">
        <f>IF(tech_base!$T270&gt;AR$2025,"",0)</f>
        <v>0</v>
      </c>
      <c r="AS2294" s="119">
        <f>IF(tech_base!$T270&gt;AS$2025,"",0)</f>
        <v>0</v>
      </c>
      <c r="AT2294" s="119">
        <f>IF(tech_base!$T270&gt;AT$2025,"",0)</f>
        <v>0</v>
      </c>
      <c r="AU2294" s="119">
        <f>IF(tech_base!$T270&gt;AU$2025,"",0)</f>
        <v>0</v>
      </c>
      <c r="AV2294" s="119">
        <f>IF(tech_base!$T270&gt;AV$2025,"",0)</f>
        <v>0</v>
      </c>
      <c r="AW2294" s="119">
        <f>IF(tech_base!$T270&gt;AW$2025,"",0)</f>
        <v>0</v>
      </c>
      <c r="AX2294" s="120">
        <f>IF(tech_base!$T270&gt;AX$2025,"",0)</f>
        <v>0</v>
      </c>
    </row>
    <row r="2295" spans="1:50" x14ac:dyDescent="0.25">
      <c r="A2295" s="382"/>
      <c r="B2295" s="376"/>
      <c r="C2295" s="378"/>
      <c r="D2295" s="2" t="s">
        <v>8</v>
      </c>
      <c r="E2295" s="76" t="str">
        <f>A2294&amp;"/"&amp;B2294&amp;"/"&amp;C2294&amp;"/"&amp;D2295</f>
        <v>Pump storage/Pump storage/Electricity only/M</v>
      </c>
      <c r="F2295" s="76" t="str">
        <f>A2294</f>
        <v>Pump storage</v>
      </c>
      <c r="G2295" s="76" t="str">
        <f>B2294</f>
        <v>Pump storage</v>
      </c>
      <c r="H2295" s="76" t="str">
        <f>C2294</f>
        <v>Electricity only</v>
      </c>
      <c r="I2295" s="76" t="str">
        <f t="shared" si="391"/>
        <v>M</v>
      </c>
      <c r="J2295" s="119">
        <f>IF(tech_base!$T271&gt;J$2025,"",0)</f>
        <v>0</v>
      </c>
      <c r="K2295" s="119">
        <f>IF(tech_base!$T271&gt;K$2025,"",0)</f>
        <v>0</v>
      </c>
      <c r="L2295" s="119">
        <f>IF(tech_base!$T271&gt;L$2025,"",0)</f>
        <v>0</v>
      </c>
      <c r="M2295" s="119">
        <f>IF(tech_base!$T271&gt;M$2025,"",0)</f>
        <v>0</v>
      </c>
      <c r="N2295" s="119">
        <f>IF(tech_base!$T271&gt;N$2025,"",0)</f>
        <v>0</v>
      </c>
      <c r="O2295" s="119">
        <f>IF(tech_base!$T271&gt;O$2025,"",0)</f>
        <v>0</v>
      </c>
      <c r="P2295" s="119">
        <f>IF(tech_base!$T271&gt;P$2025,"",0)</f>
        <v>0</v>
      </c>
      <c r="Q2295" s="119">
        <f>IF(tech_base!$T271&gt;Q$2025,"",0)</f>
        <v>0</v>
      </c>
      <c r="R2295" s="119">
        <f>IF(tech_base!$T271&gt;R$2025,"",0)</f>
        <v>0</v>
      </c>
      <c r="S2295" s="119">
        <f>IF(tech_base!$T271&gt;S$2025,"",0)</f>
        <v>0</v>
      </c>
      <c r="T2295" s="119">
        <f>IF(tech_base!$T271&gt;T$2025,"",0)</f>
        <v>0</v>
      </c>
      <c r="U2295" s="119">
        <f>IF(tech_base!$T271&gt;U$2025,"",0)</f>
        <v>0</v>
      </c>
      <c r="V2295" s="119">
        <f>IF(tech_base!$T271&gt;V$2025,"",0)</f>
        <v>0</v>
      </c>
      <c r="W2295" s="119">
        <f>IF(tech_base!$T271&gt;W$2025,"",0)</f>
        <v>0</v>
      </c>
      <c r="X2295" s="119">
        <f>IF(tech_base!$T271&gt;X$2025,"",0)</f>
        <v>0</v>
      </c>
      <c r="Y2295" s="119">
        <f>IF(tech_base!$T271&gt;Y$2025,"",0)</f>
        <v>0</v>
      </c>
      <c r="Z2295" s="119">
        <f>IF(tech_base!$T271&gt;Z$2025,"",0)</f>
        <v>0</v>
      </c>
      <c r="AA2295" s="119">
        <f>IF(tech_base!$T271&gt;AA$2025,"",0)</f>
        <v>0</v>
      </c>
      <c r="AB2295" s="119">
        <f>IF(tech_base!$T271&gt;AB$2025,"",0)</f>
        <v>0</v>
      </c>
      <c r="AC2295" s="119">
        <f>IF(tech_base!$T271&gt;AC$2025,"",0)</f>
        <v>0</v>
      </c>
      <c r="AD2295" s="119">
        <f>IF(tech_base!$T271&gt;AD$2025,"",0)</f>
        <v>0</v>
      </c>
      <c r="AE2295" s="119">
        <f>IF(tech_base!$T271&gt;AE$2025,"",0)</f>
        <v>0</v>
      </c>
      <c r="AF2295" s="119">
        <f>IF(tech_base!$T271&gt;AF$2025,"",0)</f>
        <v>0</v>
      </c>
      <c r="AG2295" s="119">
        <f>IF(tech_base!$T271&gt;AG$2025,"",0)</f>
        <v>0</v>
      </c>
      <c r="AH2295" s="119">
        <f>IF(tech_base!$T271&gt;AH$2025,"",0)</f>
        <v>0</v>
      </c>
      <c r="AI2295" s="119">
        <f>IF(tech_base!$T271&gt;AI$2025,"",0)</f>
        <v>0</v>
      </c>
      <c r="AJ2295" s="119">
        <f>IF(tech_base!$T271&gt;AJ$2025,"",0)</f>
        <v>0</v>
      </c>
      <c r="AK2295" s="119">
        <f>IF(tech_base!$T271&gt;AK$2025,"",0)</f>
        <v>0</v>
      </c>
      <c r="AL2295" s="119">
        <f>IF(tech_base!$T271&gt;AL$2025,"",0)</f>
        <v>0</v>
      </c>
      <c r="AM2295" s="119">
        <f>IF(tech_base!$T271&gt;AM$2025,"",0)</f>
        <v>0</v>
      </c>
      <c r="AN2295" s="119">
        <f>IF(tech_base!$T271&gt;AN$2025,"",0)</f>
        <v>0</v>
      </c>
      <c r="AO2295" s="119">
        <f>IF(tech_base!$T271&gt;AO$2025,"",0)</f>
        <v>0</v>
      </c>
      <c r="AP2295" s="119">
        <f>IF(tech_base!$T271&gt;AP$2025,"",0)</f>
        <v>0</v>
      </c>
      <c r="AQ2295" s="119">
        <f>IF(tech_base!$T271&gt;AQ$2025,"",0)</f>
        <v>0</v>
      </c>
      <c r="AR2295" s="119">
        <f>IF(tech_base!$T271&gt;AR$2025,"",0)</f>
        <v>0</v>
      </c>
      <c r="AS2295" s="119">
        <f>IF(tech_base!$T271&gt;AS$2025,"",0)</f>
        <v>0</v>
      </c>
      <c r="AT2295" s="119">
        <f>IF(tech_base!$T271&gt;AT$2025,"",0)</f>
        <v>0</v>
      </c>
      <c r="AU2295" s="119">
        <f>IF(tech_base!$T271&gt;AU$2025,"",0)</f>
        <v>0</v>
      </c>
      <c r="AV2295" s="119">
        <f>IF(tech_base!$T271&gt;AV$2025,"",0)</f>
        <v>0</v>
      </c>
      <c r="AW2295" s="119">
        <f>IF(tech_base!$T271&gt;AW$2025,"",0)</f>
        <v>0</v>
      </c>
      <c r="AX2295" s="120">
        <f>IF(tech_base!$T271&gt;AX$2025,"",0)</f>
        <v>0</v>
      </c>
    </row>
    <row r="2296" spans="1:50" x14ac:dyDescent="0.25">
      <c r="A2296" s="382"/>
      <c r="B2296" s="376"/>
      <c r="C2296" s="378"/>
      <c r="D2296" s="2" t="s">
        <v>10</v>
      </c>
      <c r="E2296" s="76" t="str">
        <f>A2294&amp;"/"&amp;B2294&amp;"/"&amp;C2294&amp;"/"&amp;D2296</f>
        <v>Pump storage/Pump storage/Electricity only/S</v>
      </c>
      <c r="F2296" s="76" t="str">
        <f>A2294</f>
        <v>Pump storage</v>
      </c>
      <c r="G2296" s="76" t="str">
        <f>B2294</f>
        <v>Pump storage</v>
      </c>
      <c r="H2296" s="76" t="str">
        <f>C2294</f>
        <v>Electricity only</v>
      </c>
      <c r="I2296" s="76" t="str">
        <f t="shared" si="391"/>
        <v>S</v>
      </c>
      <c r="J2296" s="119">
        <f>IF(tech_base!$T272&gt;J$2025,"",0)</f>
        <v>0</v>
      </c>
      <c r="K2296" s="119">
        <f>IF(tech_base!$T272&gt;K$2025,"",0)</f>
        <v>0</v>
      </c>
      <c r="L2296" s="119">
        <f>IF(tech_base!$T272&gt;L$2025,"",0)</f>
        <v>0</v>
      </c>
      <c r="M2296" s="119">
        <f>IF(tech_base!$T272&gt;M$2025,"",0)</f>
        <v>0</v>
      </c>
      <c r="N2296" s="119">
        <f>IF(tech_base!$T272&gt;N$2025,"",0)</f>
        <v>0</v>
      </c>
      <c r="O2296" s="119">
        <f>IF(tech_base!$T272&gt;O$2025,"",0)</f>
        <v>0</v>
      </c>
      <c r="P2296" s="119">
        <f>IF(tech_base!$T272&gt;P$2025,"",0)</f>
        <v>0</v>
      </c>
      <c r="Q2296" s="119">
        <f>IF(tech_base!$T272&gt;Q$2025,"",0)</f>
        <v>0</v>
      </c>
      <c r="R2296" s="119">
        <f>IF(tech_base!$T272&gt;R$2025,"",0)</f>
        <v>0</v>
      </c>
      <c r="S2296" s="119">
        <f>IF(tech_base!$T272&gt;S$2025,"",0)</f>
        <v>0</v>
      </c>
      <c r="T2296" s="119">
        <f>IF(tech_base!$T272&gt;T$2025,"",0)</f>
        <v>0</v>
      </c>
      <c r="U2296" s="119">
        <f>IF(tech_base!$T272&gt;U$2025,"",0)</f>
        <v>0</v>
      </c>
      <c r="V2296" s="119">
        <f>IF(tech_base!$T272&gt;V$2025,"",0)</f>
        <v>0</v>
      </c>
      <c r="W2296" s="119">
        <f>IF(tech_base!$T272&gt;W$2025,"",0)</f>
        <v>0</v>
      </c>
      <c r="X2296" s="119">
        <f>IF(tech_base!$T272&gt;X$2025,"",0)</f>
        <v>0</v>
      </c>
      <c r="Y2296" s="119">
        <f>IF(tech_base!$T272&gt;Y$2025,"",0)</f>
        <v>0</v>
      </c>
      <c r="Z2296" s="119">
        <f>IF(tech_base!$T272&gt;Z$2025,"",0)</f>
        <v>0</v>
      </c>
      <c r="AA2296" s="119">
        <f>IF(tech_base!$T272&gt;AA$2025,"",0)</f>
        <v>0</v>
      </c>
      <c r="AB2296" s="119">
        <f>IF(tech_base!$T272&gt;AB$2025,"",0)</f>
        <v>0</v>
      </c>
      <c r="AC2296" s="119">
        <f>IF(tech_base!$T272&gt;AC$2025,"",0)</f>
        <v>0</v>
      </c>
      <c r="AD2296" s="119">
        <f>IF(tech_base!$T272&gt;AD$2025,"",0)</f>
        <v>0</v>
      </c>
      <c r="AE2296" s="119">
        <f>IF(tech_base!$T272&gt;AE$2025,"",0)</f>
        <v>0</v>
      </c>
      <c r="AF2296" s="119">
        <f>IF(tech_base!$T272&gt;AF$2025,"",0)</f>
        <v>0</v>
      </c>
      <c r="AG2296" s="119">
        <f>IF(tech_base!$T272&gt;AG$2025,"",0)</f>
        <v>0</v>
      </c>
      <c r="AH2296" s="119">
        <f>IF(tech_base!$T272&gt;AH$2025,"",0)</f>
        <v>0</v>
      </c>
      <c r="AI2296" s="119">
        <f>IF(tech_base!$T272&gt;AI$2025,"",0)</f>
        <v>0</v>
      </c>
      <c r="AJ2296" s="119">
        <f>IF(tech_base!$T272&gt;AJ$2025,"",0)</f>
        <v>0</v>
      </c>
      <c r="AK2296" s="119">
        <f>IF(tech_base!$T272&gt;AK$2025,"",0)</f>
        <v>0</v>
      </c>
      <c r="AL2296" s="119">
        <f>IF(tech_base!$T272&gt;AL$2025,"",0)</f>
        <v>0</v>
      </c>
      <c r="AM2296" s="119">
        <f>IF(tech_base!$T272&gt;AM$2025,"",0)</f>
        <v>0</v>
      </c>
      <c r="AN2296" s="119">
        <f>IF(tech_base!$T272&gt;AN$2025,"",0)</f>
        <v>0</v>
      </c>
      <c r="AO2296" s="119">
        <f>IF(tech_base!$T272&gt;AO$2025,"",0)</f>
        <v>0</v>
      </c>
      <c r="AP2296" s="119">
        <f>IF(tech_base!$T272&gt;AP$2025,"",0)</f>
        <v>0</v>
      </c>
      <c r="AQ2296" s="119">
        <f>IF(tech_base!$T272&gt;AQ$2025,"",0)</f>
        <v>0</v>
      </c>
      <c r="AR2296" s="119">
        <f>IF(tech_base!$T272&gt;AR$2025,"",0)</f>
        <v>0</v>
      </c>
      <c r="AS2296" s="119">
        <f>IF(tech_base!$T272&gt;AS$2025,"",0)</f>
        <v>0</v>
      </c>
      <c r="AT2296" s="119">
        <f>IF(tech_base!$T272&gt;AT$2025,"",0)</f>
        <v>0</v>
      </c>
      <c r="AU2296" s="119">
        <f>IF(tech_base!$T272&gt;AU$2025,"",0)</f>
        <v>0</v>
      </c>
      <c r="AV2296" s="119">
        <f>IF(tech_base!$T272&gt;AV$2025,"",0)</f>
        <v>0</v>
      </c>
      <c r="AW2296" s="119">
        <f>IF(tech_base!$T272&gt;AW$2025,"",0)</f>
        <v>0</v>
      </c>
      <c r="AX2296" s="120">
        <f>IF(tech_base!$T272&gt;AX$2025,"",0)</f>
        <v>0</v>
      </c>
    </row>
    <row r="2297" spans="1:50" ht="11" thickBot="1" x14ac:dyDescent="0.3">
      <c r="A2297" s="383"/>
      <c r="B2297" s="384"/>
      <c r="C2297" s="385"/>
      <c r="D2297" s="158" t="s">
        <v>20</v>
      </c>
      <c r="E2297" s="82" t="str">
        <f>A2294&amp;"/"&amp;B2294&amp;"/"&amp;C2294&amp;"/"&amp;D2297</f>
        <v>Pump storage/Pump storage/Electricity only/XS</v>
      </c>
      <c r="F2297" s="82" t="str">
        <f>A2294</f>
        <v>Pump storage</v>
      </c>
      <c r="G2297" s="82" t="str">
        <f>B2294</f>
        <v>Pump storage</v>
      </c>
      <c r="H2297" s="82" t="str">
        <f>C2294</f>
        <v>Electricity only</v>
      </c>
      <c r="I2297" s="82" t="str">
        <f t="shared" si="391"/>
        <v>XS</v>
      </c>
      <c r="J2297" s="131">
        <f>IF(tech_base!$T273&gt;J$2025,"",0)</f>
        <v>0</v>
      </c>
      <c r="K2297" s="131">
        <f>IF(tech_base!$T273&gt;K$2025,"",0)</f>
        <v>0</v>
      </c>
      <c r="L2297" s="131">
        <f>IF(tech_base!$T273&gt;L$2025,"",0)</f>
        <v>0</v>
      </c>
      <c r="M2297" s="131">
        <f>IF(tech_base!$T273&gt;M$2025,"",0)</f>
        <v>0</v>
      </c>
      <c r="N2297" s="131">
        <f>IF(tech_base!$T273&gt;N$2025,"",0)</f>
        <v>0</v>
      </c>
      <c r="O2297" s="131">
        <f>IF(tech_base!$T273&gt;O$2025,"",0)</f>
        <v>0</v>
      </c>
      <c r="P2297" s="131">
        <f>IF(tech_base!$T273&gt;P$2025,"",0)</f>
        <v>0</v>
      </c>
      <c r="Q2297" s="131">
        <f>IF(tech_base!$T273&gt;Q$2025,"",0)</f>
        <v>0</v>
      </c>
      <c r="R2297" s="131">
        <f>IF(tech_base!$T273&gt;R$2025,"",0)</f>
        <v>0</v>
      </c>
      <c r="S2297" s="131">
        <f>IF(tech_base!$T273&gt;S$2025,"",0)</f>
        <v>0</v>
      </c>
      <c r="T2297" s="131">
        <f>IF(tech_base!$T273&gt;T$2025,"",0)</f>
        <v>0</v>
      </c>
      <c r="U2297" s="131">
        <f>IF(tech_base!$T273&gt;U$2025,"",0)</f>
        <v>0</v>
      </c>
      <c r="V2297" s="131">
        <f>IF(tech_base!$T273&gt;V$2025,"",0)</f>
        <v>0</v>
      </c>
      <c r="W2297" s="131">
        <f>IF(tech_base!$T273&gt;W$2025,"",0)</f>
        <v>0</v>
      </c>
      <c r="X2297" s="131">
        <f>IF(tech_base!$T273&gt;X$2025,"",0)</f>
        <v>0</v>
      </c>
      <c r="Y2297" s="131">
        <f>IF(tech_base!$T273&gt;Y$2025,"",0)</f>
        <v>0</v>
      </c>
      <c r="Z2297" s="131">
        <f>IF(tech_base!$T273&gt;Z$2025,"",0)</f>
        <v>0</v>
      </c>
      <c r="AA2297" s="131">
        <f>IF(tech_base!$T273&gt;AA$2025,"",0)</f>
        <v>0</v>
      </c>
      <c r="AB2297" s="131">
        <f>IF(tech_base!$T273&gt;AB$2025,"",0)</f>
        <v>0</v>
      </c>
      <c r="AC2297" s="131">
        <f>IF(tech_base!$T273&gt;AC$2025,"",0)</f>
        <v>0</v>
      </c>
      <c r="AD2297" s="131">
        <f>IF(tech_base!$T273&gt;AD$2025,"",0)</f>
        <v>0</v>
      </c>
      <c r="AE2297" s="131">
        <f>IF(tech_base!$T273&gt;AE$2025,"",0)</f>
        <v>0</v>
      </c>
      <c r="AF2297" s="131">
        <f>IF(tech_base!$T273&gt;AF$2025,"",0)</f>
        <v>0</v>
      </c>
      <c r="AG2297" s="131">
        <f>IF(tech_base!$T273&gt;AG$2025,"",0)</f>
        <v>0</v>
      </c>
      <c r="AH2297" s="131">
        <f>IF(tech_base!$T273&gt;AH$2025,"",0)</f>
        <v>0</v>
      </c>
      <c r="AI2297" s="131">
        <f>IF(tech_base!$T273&gt;AI$2025,"",0)</f>
        <v>0</v>
      </c>
      <c r="AJ2297" s="131">
        <f>IF(tech_base!$T273&gt;AJ$2025,"",0)</f>
        <v>0</v>
      </c>
      <c r="AK2297" s="131">
        <f>IF(tech_base!$T273&gt;AK$2025,"",0)</f>
        <v>0</v>
      </c>
      <c r="AL2297" s="131">
        <f>IF(tech_base!$T273&gt;AL$2025,"",0)</f>
        <v>0</v>
      </c>
      <c r="AM2297" s="131">
        <f>IF(tech_base!$T273&gt;AM$2025,"",0)</f>
        <v>0</v>
      </c>
      <c r="AN2297" s="131">
        <f>IF(tech_base!$T273&gt;AN$2025,"",0)</f>
        <v>0</v>
      </c>
      <c r="AO2297" s="131">
        <f>IF(tech_base!$T273&gt;AO$2025,"",0)</f>
        <v>0</v>
      </c>
      <c r="AP2297" s="131">
        <f>IF(tech_base!$T273&gt;AP$2025,"",0)</f>
        <v>0</v>
      </c>
      <c r="AQ2297" s="131">
        <f>IF(tech_base!$T273&gt;AQ$2025,"",0)</f>
        <v>0</v>
      </c>
      <c r="AR2297" s="131">
        <f>IF(tech_base!$T273&gt;AR$2025,"",0)</f>
        <v>0</v>
      </c>
      <c r="AS2297" s="131">
        <f>IF(tech_base!$T273&gt;AS$2025,"",0)</f>
        <v>0</v>
      </c>
      <c r="AT2297" s="131">
        <f>IF(tech_base!$T273&gt;AT$2025,"",0)</f>
        <v>0</v>
      </c>
      <c r="AU2297" s="131">
        <f>IF(tech_base!$T273&gt;AU$2025,"",0)</f>
        <v>0</v>
      </c>
      <c r="AV2297" s="131">
        <f>IF(tech_base!$T273&gt;AV$2025,"",0)</f>
        <v>0</v>
      </c>
      <c r="AW2297" s="131">
        <f>IF(tech_base!$T273&gt;AW$2025,"",0)</f>
        <v>0</v>
      </c>
      <c r="AX2297" s="132">
        <f>IF(tech_base!$T273&gt;AX$2025,"",0)</f>
        <v>0</v>
      </c>
    </row>
  </sheetData>
  <mergeCells count="1128">
    <mergeCell ref="A2294:A2297"/>
    <mergeCell ref="B2294:B2297"/>
    <mergeCell ref="C2294:C2297"/>
    <mergeCell ref="T1:AS1"/>
    <mergeCell ref="A2281:A2283"/>
    <mergeCell ref="B2281:B2283"/>
    <mergeCell ref="C2281:C2283"/>
    <mergeCell ref="A2284:A2285"/>
    <mergeCell ref="A2286:A2293"/>
    <mergeCell ref="B2286:B2289"/>
    <mergeCell ref="C2286:C2289"/>
    <mergeCell ref="B2290:B2293"/>
    <mergeCell ref="C2290:C2293"/>
    <mergeCell ref="A2273:A2276"/>
    <mergeCell ref="B2273:B2276"/>
    <mergeCell ref="C2273:C2276"/>
    <mergeCell ref="A2277:A2280"/>
    <mergeCell ref="B2277:B2280"/>
    <mergeCell ref="C2277:C2280"/>
    <mergeCell ref="A2259:A2264"/>
    <mergeCell ref="B2259:B2261"/>
    <mergeCell ref="C2259:C2261"/>
    <mergeCell ref="B2262:B2264"/>
    <mergeCell ref="C2262:C2264"/>
    <mergeCell ref="A2199:A2226"/>
    <mergeCell ref="B2199:B2206"/>
    <mergeCell ref="C2199:C2200"/>
    <mergeCell ref="C2201:C2202"/>
    <mergeCell ref="C2203:C2204"/>
    <mergeCell ref="C2205:C2206"/>
    <mergeCell ref="B2207:B2214"/>
    <mergeCell ref="C2207:C2208"/>
    <mergeCell ref="C2209:C2210"/>
    <mergeCell ref="C2211:C2212"/>
    <mergeCell ref="C2213:C2214"/>
    <mergeCell ref="B2215:B2226"/>
    <mergeCell ref="C2215:C2218"/>
    <mergeCell ref="C2219:C2222"/>
    <mergeCell ref="C2223:C2224"/>
    <mergeCell ref="C2225:C2226"/>
    <mergeCell ref="A2265:A2272"/>
    <mergeCell ref="B2265:B2268"/>
    <mergeCell ref="C2265:C2268"/>
    <mergeCell ref="B2269:B2272"/>
    <mergeCell ref="C2269:C2272"/>
    <mergeCell ref="C2245:C2246"/>
    <mergeCell ref="B2247:B2258"/>
    <mergeCell ref="C2247:C2250"/>
    <mergeCell ref="C2251:C2254"/>
    <mergeCell ref="C2255:C2256"/>
    <mergeCell ref="C2257:C2258"/>
    <mergeCell ref="A2227:A2258"/>
    <mergeCell ref="B2227:B2234"/>
    <mergeCell ref="C2227:C2228"/>
    <mergeCell ref="C2229:C2230"/>
    <mergeCell ref="C2231:C2232"/>
    <mergeCell ref="C2233:C2234"/>
    <mergeCell ref="B2235:B2246"/>
    <mergeCell ref="C2235:C2238"/>
    <mergeCell ref="C2239:C2242"/>
    <mergeCell ref="C2243:C2244"/>
    <mergeCell ref="C2183:C2184"/>
    <mergeCell ref="B2185:B2194"/>
    <mergeCell ref="C2185:C2187"/>
    <mergeCell ref="C2188:C2190"/>
    <mergeCell ref="C2191:C2192"/>
    <mergeCell ref="C2193:C2194"/>
    <mergeCell ref="A2165:A2198"/>
    <mergeCell ref="B2165:B2172"/>
    <mergeCell ref="C2165:C2166"/>
    <mergeCell ref="C2167:C2168"/>
    <mergeCell ref="C2169:C2170"/>
    <mergeCell ref="C2171:C2172"/>
    <mergeCell ref="B2173:B2184"/>
    <mergeCell ref="C2173:C2176"/>
    <mergeCell ref="C2177:C2180"/>
    <mergeCell ref="C2181:C2182"/>
    <mergeCell ref="B2195:B2198"/>
    <mergeCell ref="C2195:C2196"/>
    <mergeCell ref="C2197:C2198"/>
    <mergeCell ref="A2109:A2142"/>
    <mergeCell ref="B2109:B2120"/>
    <mergeCell ref="C2109:C2112"/>
    <mergeCell ref="C2113:C2116"/>
    <mergeCell ref="C2117:C2118"/>
    <mergeCell ref="C2119:C2120"/>
    <mergeCell ref="B2121:B2126"/>
    <mergeCell ref="C2121:C2123"/>
    <mergeCell ref="C2124:C2126"/>
    <mergeCell ref="B2127:B2138"/>
    <mergeCell ref="A2155:A2164"/>
    <mergeCell ref="B2155:B2164"/>
    <mergeCell ref="C2155:C2157"/>
    <mergeCell ref="C2158:C2160"/>
    <mergeCell ref="C2161:C2162"/>
    <mergeCell ref="C2163:C2164"/>
    <mergeCell ref="A2143:A2154"/>
    <mergeCell ref="B2143:B2154"/>
    <mergeCell ref="C2143:C2146"/>
    <mergeCell ref="C2147:C2150"/>
    <mergeCell ref="C2151:C2152"/>
    <mergeCell ref="C2153:C2154"/>
    <mergeCell ref="B2087:B2096"/>
    <mergeCell ref="C2087:C2089"/>
    <mergeCell ref="C2090:C2092"/>
    <mergeCell ref="C2093:C2094"/>
    <mergeCell ref="C2095:C2096"/>
    <mergeCell ref="B2097:B2108"/>
    <mergeCell ref="C2097:C2100"/>
    <mergeCell ref="C2101:C2104"/>
    <mergeCell ref="C2105:C2106"/>
    <mergeCell ref="C2107:C2108"/>
    <mergeCell ref="C2127:C2130"/>
    <mergeCell ref="C2131:C2134"/>
    <mergeCell ref="C2135:C2136"/>
    <mergeCell ref="C2137:C2138"/>
    <mergeCell ref="B2139:B2142"/>
    <mergeCell ref="C2139:C2140"/>
    <mergeCell ref="C2141:C2142"/>
    <mergeCell ref="A2033:A2070"/>
    <mergeCell ref="B2033:B2040"/>
    <mergeCell ref="C2033:C2034"/>
    <mergeCell ref="C2035:C2036"/>
    <mergeCell ref="C2037:C2038"/>
    <mergeCell ref="C2039:C2040"/>
    <mergeCell ref="B2041:B2048"/>
    <mergeCell ref="C2041:C2042"/>
    <mergeCell ref="A2071:A2108"/>
    <mergeCell ref="B2071:B2078"/>
    <mergeCell ref="C2071:C2072"/>
    <mergeCell ref="C2073:C2074"/>
    <mergeCell ref="C2075:C2076"/>
    <mergeCell ref="C2043:C2044"/>
    <mergeCell ref="C2045:C2046"/>
    <mergeCell ref="C2047:C2048"/>
    <mergeCell ref="B2049:B2058"/>
    <mergeCell ref="C2049:C2051"/>
    <mergeCell ref="C2052:C2054"/>
    <mergeCell ref="C2055:C2056"/>
    <mergeCell ref="C2057:C2058"/>
    <mergeCell ref="C2077:C2078"/>
    <mergeCell ref="B2079:B2086"/>
    <mergeCell ref="C2079:C2080"/>
    <mergeCell ref="C2081:C2082"/>
    <mergeCell ref="C2083:C2084"/>
    <mergeCell ref="C2085:C2086"/>
    <mergeCell ref="B2059:B2070"/>
    <mergeCell ref="C2059:C2062"/>
    <mergeCell ref="C2063:C2066"/>
    <mergeCell ref="C2067:C2068"/>
    <mergeCell ref="C2069:C2070"/>
    <mergeCell ref="A614:A617"/>
    <mergeCell ref="B614:B617"/>
    <mergeCell ref="C614:C617"/>
    <mergeCell ref="A2024:A2025"/>
    <mergeCell ref="B2024:B2025"/>
    <mergeCell ref="C2024:C2025"/>
    <mergeCell ref="A2026:A2032"/>
    <mergeCell ref="B2026:B2027"/>
    <mergeCell ref="C2026:C2027"/>
    <mergeCell ref="B2028:B2030"/>
    <mergeCell ref="A601:A603"/>
    <mergeCell ref="B601:B603"/>
    <mergeCell ref="C601:C603"/>
    <mergeCell ref="A604:A605"/>
    <mergeCell ref="A606:A613"/>
    <mergeCell ref="B606:B609"/>
    <mergeCell ref="C606:C609"/>
    <mergeCell ref="B610:B613"/>
    <mergeCell ref="C610:C613"/>
    <mergeCell ref="B2031:B2032"/>
    <mergeCell ref="C2031:C2032"/>
    <mergeCell ref="C739:C740"/>
    <mergeCell ref="C741:C742"/>
    <mergeCell ref="C673:C674"/>
    <mergeCell ref="C675:C676"/>
    <mergeCell ref="C677:C678"/>
    <mergeCell ref="B679:B686"/>
    <mergeCell ref="C679:C680"/>
    <mergeCell ref="C681:C682"/>
    <mergeCell ref="C683:C684"/>
    <mergeCell ref="C685:C686"/>
    <mergeCell ref="B687:B696"/>
    <mergeCell ref="B567:B578"/>
    <mergeCell ref="C567:C570"/>
    <mergeCell ref="C571:C574"/>
    <mergeCell ref="C575:C576"/>
    <mergeCell ref="C577:C578"/>
    <mergeCell ref="A547:A578"/>
    <mergeCell ref="B547:B554"/>
    <mergeCell ref="C547:C548"/>
    <mergeCell ref="C549:C550"/>
    <mergeCell ref="C551:C552"/>
    <mergeCell ref="C553:C554"/>
    <mergeCell ref="B555:B566"/>
    <mergeCell ref="C555:C558"/>
    <mergeCell ref="C559:C562"/>
    <mergeCell ref="C563:C564"/>
    <mergeCell ref="C597:C600"/>
    <mergeCell ref="A579:A584"/>
    <mergeCell ref="B579:B581"/>
    <mergeCell ref="C579:C581"/>
    <mergeCell ref="B582:B584"/>
    <mergeCell ref="C582:C584"/>
    <mergeCell ref="A585:A592"/>
    <mergeCell ref="B585:B588"/>
    <mergeCell ref="C585:C588"/>
    <mergeCell ref="B589:B592"/>
    <mergeCell ref="C589:C592"/>
    <mergeCell ref="A593:A596"/>
    <mergeCell ref="B593:B596"/>
    <mergeCell ref="C593:C596"/>
    <mergeCell ref="A597:A600"/>
    <mergeCell ref="B597:B600"/>
    <mergeCell ref="A519:A546"/>
    <mergeCell ref="B519:B526"/>
    <mergeCell ref="C519:C520"/>
    <mergeCell ref="C521:C522"/>
    <mergeCell ref="C523:C524"/>
    <mergeCell ref="C525:C526"/>
    <mergeCell ref="B527:B534"/>
    <mergeCell ref="C527:C528"/>
    <mergeCell ref="C529:C530"/>
    <mergeCell ref="C531:C532"/>
    <mergeCell ref="C533:C534"/>
    <mergeCell ref="B535:B546"/>
    <mergeCell ref="C535:C538"/>
    <mergeCell ref="C539:C542"/>
    <mergeCell ref="C543:C544"/>
    <mergeCell ref="C545:C546"/>
    <mergeCell ref="C565:C566"/>
    <mergeCell ref="A475:A484"/>
    <mergeCell ref="B475:B484"/>
    <mergeCell ref="C475:C477"/>
    <mergeCell ref="C478:C480"/>
    <mergeCell ref="C481:C482"/>
    <mergeCell ref="C483:C484"/>
    <mergeCell ref="A463:A474"/>
    <mergeCell ref="B463:B474"/>
    <mergeCell ref="C463:C466"/>
    <mergeCell ref="C467:C470"/>
    <mergeCell ref="C471:C472"/>
    <mergeCell ref="C473:C474"/>
    <mergeCell ref="C503:C504"/>
    <mergeCell ref="B505:B514"/>
    <mergeCell ref="C505:C507"/>
    <mergeCell ref="C508:C510"/>
    <mergeCell ref="C511:C512"/>
    <mergeCell ref="C513:C514"/>
    <mergeCell ref="A485:A518"/>
    <mergeCell ref="B485:B492"/>
    <mergeCell ref="C485:C486"/>
    <mergeCell ref="C487:C488"/>
    <mergeCell ref="C489:C490"/>
    <mergeCell ref="C491:C492"/>
    <mergeCell ref="B493:B504"/>
    <mergeCell ref="C493:C496"/>
    <mergeCell ref="C497:C500"/>
    <mergeCell ref="C501:C502"/>
    <mergeCell ref="B515:B518"/>
    <mergeCell ref="C515:C516"/>
    <mergeCell ref="C517:C518"/>
    <mergeCell ref="B417:B428"/>
    <mergeCell ref="C417:C420"/>
    <mergeCell ref="C421:C424"/>
    <mergeCell ref="C425:C426"/>
    <mergeCell ref="C427:C428"/>
    <mergeCell ref="B391:B398"/>
    <mergeCell ref="C391:C392"/>
    <mergeCell ref="C393:C394"/>
    <mergeCell ref="C395:C396"/>
    <mergeCell ref="C447:C450"/>
    <mergeCell ref="C451:C454"/>
    <mergeCell ref="C455:C456"/>
    <mergeCell ref="C457:C458"/>
    <mergeCell ref="B459:B462"/>
    <mergeCell ref="C459:C460"/>
    <mergeCell ref="C461:C462"/>
    <mergeCell ref="A429:A462"/>
    <mergeCell ref="B429:B440"/>
    <mergeCell ref="C429:C432"/>
    <mergeCell ref="C433:C436"/>
    <mergeCell ref="C437:C438"/>
    <mergeCell ref="C439:C440"/>
    <mergeCell ref="B441:B446"/>
    <mergeCell ref="C441:C443"/>
    <mergeCell ref="C444:C446"/>
    <mergeCell ref="B447:B458"/>
    <mergeCell ref="C359:C360"/>
    <mergeCell ref="B361:B368"/>
    <mergeCell ref="C361:C362"/>
    <mergeCell ref="C363:C364"/>
    <mergeCell ref="C365:C366"/>
    <mergeCell ref="C397:C398"/>
    <mergeCell ref="B399:B406"/>
    <mergeCell ref="C399:C400"/>
    <mergeCell ref="C401:C402"/>
    <mergeCell ref="C403:C404"/>
    <mergeCell ref="C405:C406"/>
    <mergeCell ref="B379:B390"/>
    <mergeCell ref="C379:C382"/>
    <mergeCell ref="C383:C386"/>
    <mergeCell ref="C387:C388"/>
    <mergeCell ref="C389:C390"/>
    <mergeCell ref="B407:B416"/>
    <mergeCell ref="C407:C409"/>
    <mergeCell ref="C410:C412"/>
    <mergeCell ref="C413:C414"/>
    <mergeCell ref="C415:C416"/>
    <mergeCell ref="D2024:D2025"/>
    <mergeCell ref="C2028:C2030"/>
    <mergeCell ref="A626:A632"/>
    <mergeCell ref="B626:B627"/>
    <mergeCell ref="C626:C627"/>
    <mergeCell ref="B628:B630"/>
    <mergeCell ref="C628:C630"/>
    <mergeCell ref="B631:B632"/>
    <mergeCell ref="C631:C632"/>
    <mergeCell ref="A633:A670"/>
    <mergeCell ref="B633:B640"/>
    <mergeCell ref="C633:C634"/>
    <mergeCell ref="C635:C636"/>
    <mergeCell ref="C637:C638"/>
    <mergeCell ref="C639:C640"/>
    <mergeCell ref="B641:B648"/>
    <mergeCell ref="C641:C642"/>
    <mergeCell ref="C643:C644"/>
    <mergeCell ref="C645:C646"/>
    <mergeCell ref="C647:C648"/>
    <mergeCell ref="B649:B658"/>
    <mergeCell ref="C649:C651"/>
    <mergeCell ref="C652:C654"/>
    <mergeCell ref="C655:C656"/>
    <mergeCell ref="C657:C658"/>
    <mergeCell ref="B659:B670"/>
    <mergeCell ref="C659:C662"/>
    <mergeCell ref="C663:C666"/>
    <mergeCell ref="C667:C668"/>
    <mergeCell ref="C669:C670"/>
    <mergeCell ref="A671:A708"/>
    <mergeCell ref="B671:B678"/>
    <mergeCell ref="C687:C689"/>
    <mergeCell ref="C690:C692"/>
    <mergeCell ref="C693:C694"/>
    <mergeCell ref="C695:C696"/>
    <mergeCell ref="D624:D625"/>
    <mergeCell ref="A344:A345"/>
    <mergeCell ref="B344:B345"/>
    <mergeCell ref="C344:C345"/>
    <mergeCell ref="D344:D345"/>
    <mergeCell ref="A346:A352"/>
    <mergeCell ref="B346:B347"/>
    <mergeCell ref="C346:C347"/>
    <mergeCell ref="B348:B350"/>
    <mergeCell ref="C348:C350"/>
    <mergeCell ref="B351:B352"/>
    <mergeCell ref="C351:C352"/>
    <mergeCell ref="A624:A625"/>
    <mergeCell ref="B624:B625"/>
    <mergeCell ref="C624:C625"/>
    <mergeCell ref="C671:C672"/>
    <mergeCell ref="A391:A428"/>
    <mergeCell ref="C367:C368"/>
    <mergeCell ref="B369:B378"/>
    <mergeCell ref="C369:C371"/>
    <mergeCell ref="C372:C374"/>
    <mergeCell ref="C375:C376"/>
    <mergeCell ref="C377:C378"/>
    <mergeCell ref="A353:A390"/>
    <mergeCell ref="B353:B360"/>
    <mergeCell ref="C353:C354"/>
    <mergeCell ref="C355:C356"/>
    <mergeCell ref="C357:C358"/>
    <mergeCell ref="A743:A754"/>
    <mergeCell ref="B743:B754"/>
    <mergeCell ref="C743:C746"/>
    <mergeCell ref="C747:C750"/>
    <mergeCell ref="C751:C752"/>
    <mergeCell ref="C753:C754"/>
    <mergeCell ref="A755:A764"/>
    <mergeCell ref="B755:B764"/>
    <mergeCell ref="C755:C757"/>
    <mergeCell ref="C758:C760"/>
    <mergeCell ref="C761:C762"/>
    <mergeCell ref="C763:C764"/>
    <mergeCell ref="B697:B708"/>
    <mergeCell ref="C697:C700"/>
    <mergeCell ref="C701:C704"/>
    <mergeCell ref="C705:C706"/>
    <mergeCell ref="C707:C708"/>
    <mergeCell ref="A709:A742"/>
    <mergeCell ref="B709:B720"/>
    <mergeCell ref="C709:C712"/>
    <mergeCell ref="C713:C716"/>
    <mergeCell ref="C717:C718"/>
    <mergeCell ref="C719:C720"/>
    <mergeCell ref="B721:B726"/>
    <mergeCell ref="C721:C723"/>
    <mergeCell ref="C724:C726"/>
    <mergeCell ref="B727:B738"/>
    <mergeCell ref="C727:C730"/>
    <mergeCell ref="C731:C734"/>
    <mergeCell ref="C735:C736"/>
    <mergeCell ref="C737:C738"/>
    <mergeCell ref="B739:B742"/>
    <mergeCell ref="A765:A798"/>
    <mergeCell ref="B765:B772"/>
    <mergeCell ref="C765:C766"/>
    <mergeCell ref="C767:C768"/>
    <mergeCell ref="C769:C770"/>
    <mergeCell ref="C771:C772"/>
    <mergeCell ref="B773:B784"/>
    <mergeCell ref="C773:C776"/>
    <mergeCell ref="C777:C780"/>
    <mergeCell ref="C781:C782"/>
    <mergeCell ref="C783:C784"/>
    <mergeCell ref="B785:B794"/>
    <mergeCell ref="C785:C787"/>
    <mergeCell ref="C788:C790"/>
    <mergeCell ref="C791:C792"/>
    <mergeCell ref="C793:C794"/>
    <mergeCell ref="B795:B798"/>
    <mergeCell ref="C795:C796"/>
    <mergeCell ref="C797:C798"/>
    <mergeCell ref="A827:A858"/>
    <mergeCell ref="B827:B834"/>
    <mergeCell ref="C827:C828"/>
    <mergeCell ref="C829:C830"/>
    <mergeCell ref="C831:C832"/>
    <mergeCell ref="C833:C834"/>
    <mergeCell ref="B835:B846"/>
    <mergeCell ref="C835:C838"/>
    <mergeCell ref="C839:C842"/>
    <mergeCell ref="C843:C844"/>
    <mergeCell ref="C845:C846"/>
    <mergeCell ref="B847:B858"/>
    <mergeCell ref="C847:C850"/>
    <mergeCell ref="C851:C854"/>
    <mergeCell ref="C855:C856"/>
    <mergeCell ref="C857:C858"/>
    <mergeCell ref="A799:A826"/>
    <mergeCell ref="B799:B806"/>
    <mergeCell ref="C799:C800"/>
    <mergeCell ref="C801:C802"/>
    <mergeCell ref="C803:C804"/>
    <mergeCell ref="C805:C806"/>
    <mergeCell ref="B807:B814"/>
    <mergeCell ref="C807:C808"/>
    <mergeCell ref="C809:C810"/>
    <mergeCell ref="C811:C812"/>
    <mergeCell ref="C813:C814"/>
    <mergeCell ref="B815:B826"/>
    <mergeCell ref="C815:C818"/>
    <mergeCell ref="C819:C822"/>
    <mergeCell ref="C823:C824"/>
    <mergeCell ref="C825:C826"/>
    <mergeCell ref="A873:A876"/>
    <mergeCell ref="B873:B876"/>
    <mergeCell ref="C873:C876"/>
    <mergeCell ref="A877:A880"/>
    <mergeCell ref="B877:B880"/>
    <mergeCell ref="C877:C880"/>
    <mergeCell ref="A881:A883"/>
    <mergeCell ref="B881:B883"/>
    <mergeCell ref="C881:C883"/>
    <mergeCell ref="A859:A864"/>
    <mergeCell ref="B859:B861"/>
    <mergeCell ref="C859:C861"/>
    <mergeCell ref="B862:B864"/>
    <mergeCell ref="C862:C864"/>
    <mergeCell ref="A865:A872"/>
    <mergeCell ref="B865:B868"/>
    <mergeCell ref="C865:C868"/>
    <mergeCell ref="B869:B872"/>
    <mergeCell ref="C869:C872"/>
    <mergeCell ref="A904:A905"/>
    <mergeCell ref="B904:B905"/>
    <mergeCell ref="C904:C905"/>
    <mergeCell ref="D904:D905"/>
    <mergeCell ref="A906:A912"/>
    <mergeCell ref="B906:B907"/>
    <mergeCell ref="C906:C907"/>
    <mergeCell ref="B908:B910"/>
    <mergeCell ref="C908:C910"/>
    <mergeCell ref="B911:B912"/>
    <mergeCell ref="C911:C912"/>
    <mergeCell ref="A884:A885"/>
    <mergeCell ref="A886:A893"/>
    <mergeCell ref="B886:B889"/>
    <mergeCell ref="C886:C889"/>
    <mergeCell ref="B890:B893"/>
    <mergeCell ref="C890:C893"/>
    <mergeCell ref="A894:A897"/>
    <mergeCell ref="B894:B897"/>
    <mergeCell ref="C894:C897"/>
    <mergeCell ref="A913:A950"/>
    <mergeCell ref="B913:B920"/>
    <mergeCell ref="C913:C914"/>
    <mergeCell ref="C915:C916"/>
    <mergeCell ref="C917:C918"/>
    <mergeCell ref="C919:C920"/>
    <mergeCell ref="B921:B928"/>
    <mergeCell ref="C921:C922"/>
    <mergeCell ref="C923:C924"/>
    <mergeCell ref="C925:C926"/>
    <mergeCell ref="C927:C928"/>
    <mergeCell ref="B929:B938"/>
    <mergeCell ref="C929:C931"/>
    <mergeCell ref="C932:C934"/>
    <mergeCell ref="C935:C936"/>
    <mergeCell ref="C937:C938"/>
    <mergeCell ref="B939:B950"/>
    <mergeCell ref="C939:C942"/>
    <mergeCell ref="C943:C946"/>
    <mergeCell ref="C947:C948"/>
    <mergeCell ref="C949:C950"/>
    <mergeCell ref="A951:A988"/>
    <mergeCell ref="B951:B958"/>
    <mergeCell ref="C951:C952"/>
    <mergeCell ref="C953:C954"/>
    <mergeCell ref="C955:C956"/>
    <mergeCell ref="C957:C958"/>
    <mergeCell ref="B959:B966"/>
    <mergeCell ref="C959:C960"/>
    <mergeCell ref="C961:C962"/>
    <mergeCell ref="C963:C964"/>
    <mergeCell ref="C965:C966"/>
    <mergeCell ref="B967:B976"/>
    <mergeCell ref="C967:C969"/>
    <mergeCell ref="C970:C972"/>
    <mergeCell ref="C973:C974"/>
    <mergeCell ref="C975:C976"/>
    <mergeCell ref="B977:B988"/>
    <mergeCell ref="C977:C980"/>
    <mergeCell ref="C981:C984"/>
    <mergeCell ref="C985:C986"/>
    <mergeCell ref="C987:C988"/>
    <mergeCell ref="A1023:A1034"/>
    <mergeCell ref="B1023:B1034"/>
    <mergeCell ref="C1023:C1026"/>
    <mergeCell ref="C1027:C1030"/>
    <mergeCell ref="C1031:C1032"/>
    <mergeCell ref="C1033:C1034"/>
    <mergeCell ref="A1035:A1044"/>
    <mergeCell ref="B1035:B1044"/>
    <mergeCell ref="C1035:C1037"/>
    <mergeCell ref="C1038:C1040"/>
    <mergeCell ref="C1041:C1042"/>
    <mergeCell ref="C1043:C1044"/>
    <mergeCell ref="A989:A1022"/>
    <mergeCell ref="B989:B1000"/>
    <mergeCell ref="C989:C992"/>
    <mergeCell ref="C993:C996"/>
    <mergeCell ref="C997:C998"/>
    <mergeCell ref="C999:C1000"/>
    <mergeCell ref="B1001:B1006"/>
    <mergeCell ref="C1001:C1003"/>
    <mergeCell ref="C1004:C1006"/>
    <mergeCell ref="B1007:B1018"/>
    <mergeCell ref="C1007:C1010"/>
    <mergeCell ref="C1011:C1014"/>
    <mergeCell ref="C1015:C1016"/>
    <mergeCell ref="C1017:C1018"/>
    <mergeCell ref="B1019:B1022"/>
    <mergeCell ref="C1019:C1020"/>
    <mergeCell ref="C1021:C1022"/>
    <mergeCell ref="A1045:A1078"/>
    <mergeCell ref="B1045:B1052"/>
    <mergeCell ref="C1045:C1046"/>
    <mergeCell ref="C1047:C1048"/>
    <mergeCell ref="C1049:C1050"/>
    <mergeCell ref="C1051:C1052"/>
    <mergeCell ref="B1053:B1064"/>
    <mergeCell ref="C1053:C1056"/>
    <mergeCell ref="C1057:C1060"/>
    <mergeCell ref="C1061:C1062"/>
    <mergeCell ref="C1063:C1064"/>
    <mergeCell ref="B1065:B1074"/>
    <mergeCell ref="C1065:C1067"/>
    <mergeCell ref="C1068:C1070"/>
    <mergeCell ref="C1071:C1072"/>
    <mergeCell ref="C1073:C1074"/>
    <mergeCell ref="B1075:B1078"/>
    <mergeCell ref="C1075:C1076"/>
    <mergeCell ref="C1077:C1078"/>
    <mergeCell ref="A1107:A1138"/>
    <mergeCell ref="B1107:B1114"/>
    <mergeCell ref="C1107:C1108"/>
    <mergeCell ref="C1109:C1110"/>
    <mergeCell ref="C1111:C1112"/>
    <mergeCell ref="C1113:C1114"/>
    <mergeCell ref="B1115:B1126"/>
    <mergeCell ref="C1115:C1118"/>
    <mergeCell ref="C1119:C1122"/>
    <mergeCell ref="C1123:C1124"/>
    <mergeCell ref="C1125:C1126"/>
    <mergeCell ref="B1127:B1138"/>
    <mergeCell ref="C1127:C1130"/>
    <mergeCell ref="C1131:C1134"/>
    <mergeCell ref="C1135:C1136"/>
    <mergeCell ref="C1137:C1138"/>
    <mergeCell ref="A1079:A1106"/>
    <mergeCell ref="B1079:B1086"/>
    <mergeCell ref="C1079:C1080"/>
    <mergeCell ref="C1081:C1082"/>
    <mergeCell ref="C1083:C1084"/>
    <mergeCell ref="C1085:C1086"/>
    <mergeCell ref="B1087:B1094"/>
    <mergeCell ref="C1087:C1088"/>
    <mergeCell ref="C1089:C1090"/>
    <mergeCell ref="C1091:C1092"/>
    <mergeCell ref="C1093:C1094"/>
    <mergeCell ref="B1095:B1106"/>
    <mergeCell ref="C1095:C1098"/>
    <mergeCell ref="C1099:C1102"/>
    <mergeCell ref="C1103:C1104"/>
    <mergeCell ref="C1105:C1106"/>
    <mergeCell ref="A1153:A1156"/>
    <mergeCell ref="B1153:B1156"/>
    <mergeCell ref="C1153:C1156"/>
    <mergeCell ref="A1157:A1160"/>
    <mergeCell ref="B1157:B1160"/>
    <mergeCell ref="C1157:C1160"/>
    <mergeCell ref="A1161:A1163"/>
    <mergeCell ref="B1161:B1163"/>
    <mergeCell ref="C1161:C1163"/>
    <mergeCell ref="A1139:A1144"/>
    <mergeCell ref="B1139:B1141"/>
    <mergeCell ref="C1139:C1141"/>
    <mergeCell ref="B1142:B1144"/>
    <mergeCell ref="C1142:C1144"/>
    <mergeCell ref="A1145:A1152"/>
    <mergeCell ref="B1145:B1148"/>
    <mergeCell ref="C1145:C1148"/>
    <mergeCell ref="B1149:B1152"/>
    <mergeCell ref="C1149:C1152"/>
    <mergeCell ref="A1184:A1185"/>
    <mergeCell ref="B1184:B1185"/>
    <mergeCell ref="C1184:C1185"/>
    <mergeCell ref="D1184:D1185"/>
    <mergeCell ref="A1186:A1192"/>
    <mergeCell ref="B1186:B1187"/>
    <mergeCell ref="C1186:C1187"/>
    <mergeCell ref="B1188:B1190"/>
    <mergeCell ref="C1188:C1190"/>
    <mergeCell ref="B1191:B1192"/>
    <mergeCell ref="C1191:C1192"/>
    <mergeCell ref="A1164:A1165"/>
    <mergeCell ref="A1166:A1173"/>
    <mergeCell ref="B1166:B1169"/>
    <mergeCell ref="C1166:C1169"/>
    <mergeCell ref="B1170:B1173"/>
    <mergeCell ref="C1170:C1173"/>
    <mergeCell ref="A1174:A1177"/>
    <mergeCell ref="B1174:B1177"/>
    <mergeCell ref="C1174:C1177"/>
    <mergeCell ref="A1193:A1230"/>
    <mergeCell ref="B1193:B1200"/>
    <mergeCell ref="C1193:C1194"/>
    <mergeCell ref="C1195:C1196"/>
    <mergeCell ref="C1197:C1198"/>
    <mergeCell ref="C1199:C1200"/>
    <mergeCell ref="B1201:B1208"/>
    <mergeCell ref="C1201:C1202"/>
    <mergeCell ref="C1203:C1204"/>
    <mergeCell ref="C1205:C1206"/>
    <mergeCell ref="C1207:C1208"/>
    <mergeCell ref="B1209:B1218"/>
    <mergeCell ref="C1209:C1211"/>
    <mergeCell ref="C1212:C1214"/>
    <mergeCell ref="C1215:C1216"/>
    <mergeCell ref="C1217:C1218"/>
    <mergeCell ref="B1219:B1230"/>
    <mergeCell ref="C1219:C1222"/>
    <mergeCell ref="C1223:C1226"/>
    <mergeCell ref="C1227:C1228"/>
    <mergeCell ref="C1229:C1230"/>
    <mergeCell ref="A1231:A1268"/>
    <mergeCell ref="B1231:B1238"/>
    <mergeCell ref="C1231:C1232"/>
    <mergeCell ref="C1233:C1234"/>
    <mergeCell ref="C1235:C1236"/>
    <mergeCell ref="C1237:C1238"/>
    <mergeCell ref="B1239:B1246"/>
    <mergeCell ref="C1239:C1240"/>
    <mergeCell ref="C1241:C1242"/>
    <mergeCell ref="C1243:C1244"/>
    <mergeCell ref="C1245:C1246"/>
    <mergeCell ref="B1247:B1256"/>
    <mergeCell ref="C1247:C1249"/>
    <mergeCell ref="C1250:C1252"/>
    <mergeCell ref="C1253:C1254"/>
    <mergeCell ref="C1255:C1256"/>
    <mergeCell ref="B1257:B1268"/>
    <mergeCell ref="C1257:C1260"/>
    <mergeCell ref="C1261:C1264"/>
    <mergeCell ref="C1265:C1266"/>
    <mergeCell ref="C1267:C1268"/>
    <mergeCell ref="A1303:A1314"/>
    <mergeCell ref="B1303:B1314"/>
    <mergeCell ref="C1303:C1306"/>
    <mergeCell ref="C1307:C1310"/>
    <mergeCell ref="C1311:C1312"/>
    <mergeCell ref="C1313:C1314"/>
    <mergeCell ref="A1315:A1324"/>
    <mergeCell ref="B1315:B1324"/>
    <mergeCell ref="C1315:C1317"/>
    <mergeCell ref="C1318:C1320"/>
    <mergeCell ref="C1321:C1322"/>
    <mergeCell ref="C1323:C1324"/>
    <mergeCell ref="A1269:A1302"/>
    <mergeCell ref="B1269:B1280"/>
    <mergeCell ref="C1269:C1272"/>
    <mergeCell ref="C1273:C1276"/>
    <mergeCell ref="C1277:C1278"/>
    <mergeCell ref="C1279:C1280"/>
    <mergeCell ref="B1281:B1286"/>
    <mergeCell ref="C1281:C1283"/>
    <mergeCell ref="C1284:C1286"/>
    <mergeCell ref="B1287:B1298"/>
    <mergeCell ref="C1287:C1290"/>
    <mergeCell ref="C1291:C1294"/>
    <mergeCell ref="C1295:C1296"/>
    <mergeCell ref="C1297:C1298"/>
    <mergeCell ref="B1299:B1302"/>
    <mergeCell ref="C1299:C1300"/>
    <mergeCell ref="C1301:C1302"/>
    <mergeCell ref="A1325:A1358"/>
    <mergeCell ref="B1325:B1332"/>
    <mergeCell ref="C1325:C1326"/>
    <mergeCell ref="C1327:C1328"/>
    <mergeCell ref="C1329:C1330"/>
    <mergeCell ref="C1331:C1332"/>
    <mergeCell ref="B1333:B1344"/>
    <mergeCell ref="C1333:C1336"/>
    <mergeCell ref="C1337:C1340"/>
    <mergeCell ref="C1341:C1342"/>
    <mergeCell ref="C1343:C1344"/>
    <mergeCell ref="B1345:B1354"/>
    <mergeCell ref="C1345:C1347"/>
    <mergeCell ref="C1348:C1350"/>
    <mergeCell ref="C1351:C1352"/>
    <mergeCell ref="C1353:C1354"/>
    <mergeCell ref="B1355:B1358"/>
    <mergeCell ref="C1355:C1356"/>
    <mergeCell ref="C1357:C1358"/>
    <mergeCell ref="A1387:A1418"/>
    <mergeCell ref="B1387:B1394"/>
    <mergeCell ref="C1387:C1388"/>
    <mergeCell ref="C1389:C1390"/>
    <mergeCell ref="C1391:C1392"/>
    <mergeCell ref="C1393:C1394"/>
    <mergeCell ref="B1395:B1406"/>
    <mergeCell ref="C1395:C1398"/>
    <mergeCell ref="C1399:C1402"/>
    <mergeCell ref="C1403:C1404"/>
    <mergeCell ref="C1405:C1406"/>
    <mergeCell ref="B1407:B1418"/>
    <mergeCell ref="C1407:C1410"/>
    <mergeCell ref="C1411:C1414"/>
    <mergeCell ref="C1415:C1416"/>
    <mergeCell ref="C1417:C1418"/>
    <mergeCell ref="A1359:A1386"/>
    <mergeCell ref="B1359:B1366"/>
    <mergeCell ref="C1359:C1360"/>
    <mergeCell ref="C1361:C1362"/>
    <mergeCell ref="C1363:C1364"/>
    <mergeCell ref="C1365:C1366"/>
    <mergeCell ref="B1367:B1374"/>
    <mergeCell ref="C1367:C1368"/>
    <mergeCell ref="C1369:C1370"/>
    <mergeCell ref="C1371:C1372"/>
    <mergeCell ref="C1373:C1374"/>
    <mergeCell ref="B1375:B1386"/>
    <mergeCell ref="C1375:C1378"/>
    <mergeCell ref="C1379:C1382"/>
    <mergeCell ref="C1383:C1384"/>
    <mergeCell ref="C1385:C1386"/>
    <mergeCell ref="A1433:A1436"/>
    <mergeCell ref="B1433:B1436"/>
    <mergeCell ref="C1433:C1436"/>
    <mergeCell ref="A1437:A1440"/>
    <mergeCell ref="B1437:B1440"/>
    <mergeCell ref="C1437:C1440"/>
    <mergeCell ref="A1441:A1443"/>
    <mergeCell ref="B1441:B1443"/>
    <mergeCell ref="C1441:C1443"/>
    <mergeCell ref="A1419:A1424"/>
    <mergeCell ref="B1419:B1421"/>
    <mergeCell ref="C1419:C1421"/>
    <mergeCell ref="B1422:B1424"/>
    <mergeCell ref="C1422:C1424"/>
    <mergeCell ref="A1425:A1432"/>
    <mergeCell ref="B1425:B1428"/>
    <mergeCell ref="C1425:C1428"/>
    <mergeCell ref="B1429:B1432"/>
    <mergeCell ref="C1429:C1432"/>
    <mergeCell ref="A1744:A1745"/>
    <mergeCell ref="B1744:B1745"/>
    <mergeCell ref="C1744:C1745"/>
    <mergeCell ref="D1744:D1745"/>
    <mergeCell ref="A1746:A1752"/>
    <mergeCell ref="B1746:B1747"/>
    <mergeCell ref="C1746:C1747"/>
    <mergeCell ref="B1748:B1750"/>
    <mergeCell ref="C1748:C1750"/>
    <mergeCell ref="B1751:B1752"/>
    <mergeCell ref="C1751:C1752"/>
    <mergeCell ref="A1444:A1445"/>
    <mergeCell ref="A1446:A1453"/>
    <mergeCell ref="B1446:B1449"/>
    <mergeCell ref="C1446:C1449"/>
    <mergeCell ref="B1450:B1453"/>
    <mergeCell ref="C1450:C1453"/>
    <mergeCell ref="A1454:A1457"/>
    <mergeCell ref="B1454:B1457"/>
    <mergeCell ref="C1454:C1457"/>
    <mergeCell ref="A1464:A1465"/>
    <mergeCell ref="B1464:B1465"/>
    <mergeCell ref="C1464:C1465"/>
    <mergeCell ref="D1464:D1465"/>
    <mergeCell ref="A1466:A1472"/>
    <mergeCell ref="B1466:B1467"/>
    <mergeCell ref="C1466:C1467"/>
    <mergeCell ref="B1468:B1470"/>
    <mergeCell ref="C1468:C1470"/>
    <mergeCell ref="B1471:B1472"/>
    <mergeCell ref="C1471:C1472"/>
    <mergeCell ref="A1473:A1510"/>
    <mergeCell ref="A1753:A1790"/>
    <mergeCell ref="B1753:B1760"/>
    <mergeCell ref="C1753:C1754"/>
    <mergeCell ref="C1755:C1756"/>
    <mergeCell ref="C1757:C1758"/>
    <mergeCell ref="C1759:C1760"/>
    <mergeCell ref="B1761:B1768"/>
    <mergeCell ref="C1761:C1762"/>
    <mergeCell ref="C1763:C1764"/>
    <mergeCell ref="C1765:C1766"/>
    <mergeCell ref="C1767:C1768"/>
    <mergeCell ref="B1769:B1778"/>
    <mergeCell ref="C1769:C1771"/>
    <mergeCell ref="C1772:C1774"/>
    <mergeCell ref="C1775:C1776"/>
    <mergeCell ref="C1777:C1778"/>
    <mergeCell ref="B1779:B1790"/>
    <mergeCell ref="C1779:C1782"/>
    <mergeCell ref="C1783:C1786"/>
    <mergeCell ref="C1787:C1788"/>
    <mergeCell ref="C1789:C1790"/>
    <mergeCell ref="A1791:A1828"/>
    <mergeCell ref="B1791:B1798"/>
    <mergeCell ref="C1791:C1792"/>
    <mergeCell ref="C1793:C1794"/>
    <mergeCell ref="C1795:C1796"/>
    <mergeCell ref="C1797:C1798"/>
    <mergeCell ref="B1799:B1806"/>
    <mergeCell ref="C1799:C1800"/>
    <mergeCell ref="C1801:C1802"/>
    <mergeCell ref="C1803:C1804"/>
    <mergeCell ref="C1805:C1806"/>
    <mergeCell ref="B1807:B1816"/>
    <mergeCell ref="C1807:C1809"/>
    <mergeCell ref="C1810:C1812"/>
    <mergeCell ref="C1813:C1814"/>
    <mergeCell ref="C1815:C1816"/>
    <mergeCell ref="B1817:B1828"/>
    <mergeCell ref="C1817:C1820"/>
    <mergeCell ref="C1821:C1824"/>
    <mergeCell ref="C1825:C1826"/>
    <mergeCell ref="C1827:C1828"/>
    <mergeCell ref="A1863:A1874"/>
    <mergeCell ref="B1863:B1874"/>
    <mergeCell ref="C1863:C1866"/>
    <mergeCell ref="C1867:C1870"/>
    <mergeCell ref="C1871:C1872"/>
    <mergeCell ref="C1873:C1874"/>
    <mergeCell ref="A1875:A1884"/>
    <mergeCell ref="B1875:B1884"/>
    <mergeCell ref="C1875:C1877"/>
    <mergeCell ref="C1878:C1880"/>
    <mergeCell ref="C1881:C1882"/>
    <mergeCell ref="C1883:C1884"/>
    <mergeCell ref="A1829:A1862"/>
    <mergeCell ref="B1829:B1840"/>
    <mergeCell ref="C1829:C1832"/>
    <mergeCell ref="C1833:C1836"/>
    <mergeCell ref="C1837:C1838"/>
    <mergeCell ref="C1839:C1840"/>
    <mergeCell ref="B1841:B1846"/>
    <mergeCell ref="C1841:C1843"/>
    <mergeCell ref="C1844:C1846"/>
    <mergeCell ref="B1847:B1858"/>
    <mergeCell ref="C1847:C1850"/>
    <mergeCell ref="C1851:C1854"/>
    <mergeCell ref="C1855:C1856"/>
    <mergeCell ref="C1857:C1858"/>
    <mergeCell ref="B1859:B1862"/>
    <mergeCell ref="C1859:C1860"/>
    <mergeCell ref="C1861:C1862"/>
    <mergeCell ref="A1885:A1918"/>
    <mergeCell ref="B1885:B1892"/>
    <mergeCell ref="C1885:C1886"/>
    <mergeCell ref="C1887:C1888"/>
    <mergeCell ref="C1889:C1890"/>
    <mergeCell ref="C1891:C1892"/>
    <mergeCell ref="B1893:B1904"/>
    <mergeCell ref="C1893:C1896"/>
    <mergeCell ref="C1897:C1900"/>
    <mergeCell ref="C1901:C1902"/>
    <mergeCell ref="C1903:C1904"/>
    <mergeCell ref="B1905:B1914"/>
    <mergeCell ref="C1905:C1907"/>
    <mergeCell ref="C1908:C1910"/>
    <mergeCell ref="C1911:C1912"/>
    <mergeCell ref="C1913:C1914"/>
    <mergeCell ref="B1915:B1918"/>
    <mergeCell ref="C1915:C1916"/>
    <mergeCell ref="C1917:C1918"/>
    <mergeCell ref="C1977:C1978"/>
    <mergeCell ref="A1919:A1946"/>
    <mergeCell ref="B1919:B1926"/>
    <mergeCell ref="C1919:C1920"/>
    <mergeCell ref="C1921:C1922"/>
    <mergeCell ref="C1923:C1924"/>
    <mergeCell ref="C1925:C1926"/>
    <mergeCell ref="B1927:B1934"/>
    <mergeCell ref="C1927:C1928"/>
    <mergeCell ref="C1929:C1930"/>
    <mergeCell ref="C1931:C1932"/>
    <mergeCell ref="C1933:C1934"/>
    <mergeCell ref="B1935:B1946"/>
    <mergeCell ref="C1935:C1938"/>
    <mergeCell ref="C1939:C1942"/>
    <mergeCell ref="C1943:C1944"/>
    <mergeCell ref="C1945:C1946"/>
    <mergeCell ref="A1947:A1978"/>
    <mergeCell ref="B1947:B1954"/>
    <mergeCell ref="C1947:C1948"/>
    <mergeCell ref="C1949:C1950"/>
    <mergeCell ref="C1951:C1952"/>
    <mergeCell ref="C1953:C1954"/>
    <mergeCell ref="B1955:B1966"/>
    <mergeCell ref="C1955:C1958"/>
    <mergeCell ref="C1959:C1962"/>
    <mergeCell ref="C1963:C1964"/>
    <mergeCell ref="C1965:C1966"/>
    <mergeCell ref="B1967:B1978"/>
    <mergeCell ref="C1967:C1970"/>
    <mergeCell ref="C1971:C1974"/>
    <mergeCell ref="C1975:C1976"/>
    <mergeCell ref="A2014:A2017"/>
    <mergeCell ref="B2014:B2017"/>
    <mergeCell ref="C2014:C2017"/>
    <mergeCell ref="A1993:A1996"/>
    <mergeCell ref="B1993:B1996"/>
    <mergeCell ref="C1993:C1996"/>
    <mergeCell ref="A1997:A2000"/>
    <mergeCell ref="B1997:B2000"/>
    <mergeCell ref="C1997:C2000"/>
    <mergeCell ref="A2001:A2003"/>
    <mergeCell ref="B2001:B2003"/>
    <mergeCell ref="C2001:C2003"/>
    <mergeCell ref="A1979:A1984"/>
    <mergeCell ref="B1979:B1981"/>
    <mergeCell ref="C1979:C1981"/>
    <mergeCell ref="B1982:B1984"/>
    <mergeCell ref="C1982:C1984"/>
    <mergeCell ref="A1985:A1992"/>
    <mergeCell ref="B1985:B1988"/>
    <mergeCell ref="C1985:C1988"/>
    <mergeCell ref="B1989:B1992"/>
    <mergeCell ref="C1989:C1992"/>
    <mergeCell ref="A2004:A2005"/>
    <mergeCell ref="A2006:A2013"/>
    <mergeCell ref="B2006:B2009"/>
    <mergeCell ref="C2006:C2009"/>
    <mergeCell ref="B2010:B2013"/>
    <mergeCell ref="C2010:C2013"/>
    <mergeCell ref="B1473:B1480"/>
    <mergeCell ref="C1473:C1474"/>
    <mergeCell ref="C1475:C1476"/>
    <mergeCell ref="C1477:C1478"/>
    <mergeCell ref="C1479:C1480"/>
    <mergeCell ref="B1481:B1488"/>
    <mergeCell ref="C1481:C1482"/>
    <mergeCell ref="C1483:C1484"/>
    <mergeCell ref="C1485:C1486"/>
    <mergeCell ref="C1487:C1488"/>
    <mergeCell ref="B1489:B1498"/>
    <mergeCell ref="C1489:C1491"/>
    <mergeCell ref="C1492:C1494"/>
    <mergeCell ref="C1495:C1496"/>
    <mergeCell ref="C1497:C1498"/>
    <mergeCell ref="B1499:B1510"/>
    <mergeCell ref="C1499:C1502"/>
    <mergeCell ref="C1503:C1506"/>
    <mergeCell ref="C1507:C1508"/>
    <mergeCell ref="C1509:C1510"/>
    <mergeCell ref="A1511:A1548"/>
    <mergeCell ref="B1511:B1518"/>
    <mergeCell ref="C1511:C1512"/>
    <mergeCell ref="C1513:C1514"/>
    <mergeCell ref="C1515:C1516"/>
    <mergeCell ref="C1517:C1518"/>
    <mergeCell ref="B1519:B1526"/>
    <mergeCell ref="C1519:C1520"/>
    <mergeCell ref="C1521:C1522"/>
    <mergeCell ref="C1523:C1524"/>
    <mergeCell ref="C1525:C1526"/>
    <mergeCell ref="B1527:B1536"/>
    <mergeCell ref="C1527:C1529"/>
    <mergeCell ref="C1530:C1532"/>
    <mergeCell ref="C1533:C1534"/>
    <mergeCell ref="C1535:C1536"/>
    <mergeCell ref="B1537:B1548"/>
    <mergeCell ref="C1537:C1540"/>
    <mergeCell ref="C1541:C1544"/>
    <mergeCell ref="C1545:C1546"/>
    <mergeCell ref="C1547:C1548"/>
    <mergeCell ref="B1635:B1638"/>
    <mergeCell ref="C1635:C1636"/>
    <mergeCell ref="C1637:C1638"/>
    <mergeCell ref="A1583:A1594"/>
    <mergeCell ref="B1583:B1594"/>
    <mergeCell ref="C1583:C1586"/>
    <mergeCell ref="C1587:C1590"/>
    <mergeCell ref="C1591:C1592"/>
    <mergeCell ref="C1593:C1594"/>
    <mergeCell ref="A1595:A1604"/>
    <mergeCell ref="B1595:B1604"/>
    <mergeCell ref="C1595:C1597"/>
    <mergeCell ref="C1598:C1600"/>
    <mergeCell ref="C1601:C1602"/>
    <mergeCell ref="C1603:C1604"/>
    <mergeCell ref="A1549:A1582"/>
    <mergeCell ref="B1549:B1560"/>
    <mergeCell ref="C1549:C1552"/>
    <mergeCell ref="C1553:C1556"/>
    <mergeCell ref="C1557:C1558"/>
    <mergeCell ref="C1559:C1560"/>
    <mergeCell ref="B1561:B1566"/>
    <mergeCell ref="C1561:C1563"/>
    <mergeCell ref="C1564:C1566"/>
    <mergeCell ref="B1567:B1578"/>
    <mergeCell ref="C1567:C1570"/>
    <mergeCell ref="C1571:C1574"/>
    <mergeCell ref="C1575:C1576"/>
    <mergeCell ref="C1577:C1578"/>
    <mergeCell ref="B1579:B1582"/>
    <mergeCell ref="C1579:C1580"/>
    <mergeCell ref="C1581:C1582"/>
    <mergeCell ref="A1639:A1666"/>
    <mergeCell ref="B1639:B1646"/>
    <mergeCell ref="C1639:C1640"/>
    <mergeCell ref="C1641:C1642"/>
    <mergeCell ref="C1643:C1644"/>
    <mergeCell ref="C1645:C1646"/>
    <mergeCell ref="B1647:B1654"/>
    <mergeCell ref="C1647:C1648"/>
    <mergeCell ref="C1649:C1650"/>
    <mergeCell ref="C1651:C1652"/>
    <mergeCell ref="C1653:C1654"/>
    <mergeCell ref="B1655:B1666"/>
    <mergeCell ref="C1655:C1658"/>
    <mergeCell ref="C1659:C1662"/>
    <mergeCell ref="C1663:C1664"/>
    <mergeCell ref="C1665:C1666"/>
    <mergeCell ref="A1605:A1638"/>
    <mergeCell ref="B1605:B1612"/>
    <mergeCell ref="C1605:C1606"/>
    <mergeCell ref="C1607:C1608"/>
    <mergeCell ref="C1609:C1610"/>
    <mergeCell ref="C1611:C1612"/>
    <mergeCell ref="B1613:B1624"/>
    <mergeCell ref="C1613:C1616"/>
    <mergeCell ref="C1617:C1620"/>
    <mergeCell ref="C1621:C1622"/>
    <mergeCell ref="C1623:C1624"/>
    <mergeCell ref="B1625:B1634"/>
    <mergeCell ref="C1625:C1627"/>
    <mergeCell ref="C1628:C1630"/>
    <mergeCell ref="C1631:C1632"/>
    <mergeCell ref="C1633:C1634"/>
    <mergeCell ref="A1699:A1704"/>
    <mergeCell ref="B1699:B1701"/>
    <mergeCell ref="C1699:C1701"/>
    <mergeCell ref="B1702:B1704"/>
    <mergeCell ref="C1702:C1704"/>
    <mergeCell ref="A1705:A1712"/>
    <mergeCell ref="B1705:B1708"/>
    <mergeCell ref="C1705:C1708"/>
    <mergeCell ref="B1709:B1712"/>
    <mergeCell ref="C1709:C1712"/>
    <mergeCell ref="A1667:A1698"/>
    <mergeCell ref="B1667:B1674"/>
    <mergeCell ref="C1667:C1668"/>
    <mergeCell ref="C1669:C1670"/>
    <mergeCell ref="C1671:C1672"/>
    <mergeCell ref="C1673:C1674"/>
    <mergeCell ref="B1675:B1686"/>
    <mergeCell ref="C1675:C1678"/>
    <mergeCell ref="C1679:C1682"/>
    <mergeCell ref="C1683:C1684"/>
    <mergeCell ref="C1685:C1686"/>
    <mergeCell ref="B1687:B1698"/>
    <mergeCell ref="C1687:C1690"/>
    <mergeCell ref="C1691:C1694"/>
    <mergeCell ref="C1695:C1696"/>
    <mergeCell ref="C1697:C1698"/>
    <mergeCell ref="A1724:A1725"/>
    <mergeCell ref="A1726:A1733"/>
    <mergeCell ref="B1726:B1729"/>
    <mergeCell ref="C1726:C1729"/>
    <mergeCell ref="B1730:B1733"/>
    <mergeCell ref="C1730:C1733"/>
    <mergeCell ref="A1734:A1737"/>
    <mergeCell ref="B1734:B1737"/>
    <mergeCell ref="C1734:C1737"/>
    <mergeCell ref="A1713:A1716"/>
    <mergeCell ref="B1713:B1716"/>
    <mergeCell ref="C1713:C1716"/>
    <mergeCell ref="A1717:A1720"/>
    <mergeCell ref="B1717:B1720"/>
    <mergeCell ref="C1717:C1720"/>
    <mergeCell ref="A1721:A1723"/>
    <mergeCell ref="B1721:B1723"/>
    <mergeCell ref="C1721:C1723"/>
  </mergeCells>
  <conditionalFormatting sqref="J10:AX16">
    <cfRule type="containsErrors" dxfId="1" priority="2">
      <formula>ISERROR(J10)</formula>
    </cfRule>
  </conditionalFormatting>
  <conditionalFormatting sqref="J18:AX24">
    <cfRule type="containsErrors" dxfId="0" priority="1">
      <formula>ISERROR(J18)</formula>
    </cfRule>
  </conditionalFormatting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3" name="Drop Down 1">
              <controlPr defaultSize="0" autoLine="0" autoPict="0">
                <anchor moveWithCells="1">
                  <from>
                    <xdr:col>0</xdr:col>
                    <xdr:colOff>6350</xdr:colOff>
                    <xdr:row>1</xdr:row>
                    <xdr:rowOff>6350</xdr:rowOff>
                  </from>
                  <to>
                    <xdr:col>0</xdr:col>
                    <xdr:colOff>2470150</xdr:colOff>
                    <xdr:row>3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4" r:id="rId4" name="Drop Down 2">
              <controlPr defaultSize="0" autoLine="0" autoPict="0">
                <anchor moveWithCells="1">
                  <from>
                    <xdr:col>1</xdr:col>
                    <xdr:colOff>31750</xdr:colOff>
                    <xdr:row>1</xdr:row>
                    <xdr:rowOff>19050</xdr:rowOff>
                  </from>
                  <to>
                    <xdr:col>1</xdr:col>
                    <xdr:colOff>2127250</xdr:colOff>
                    <xdr:row>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5" r:id="rId5" name="Drop Down 3">
              <controlPr defaultSize="0" autoLine="0" autoPict="0">
                <anchor moveWithCells="1">
                  <from>
                    <xdr:col>2</xdr:col>
                    <xdr:colOff>31750</xdr:colOff>
                    <xdr:row>1</xdr:row>
                    <xdr:rowOff>19050</xdr:rowOff>
                  </from>
                  <to>
                    <xdr:col>2</xdr:col>
                    <xdr:colOff>1530350</xdr:colOff>
                    <xdr:row>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6" r:id="rId6" name="Drop Down 4">
              <controlPr defaultSize="0" autoLine="0" autoPict="0">
                <anchor moveWithCells="1">
                  <from>
                    <xdr:col>3</xdr:col>
                    <xdr:colOff>19050</xdr:colOff>
                    <xdr:row>1</xdr:row>
                    <xdr:rowOff>19050</xdr:rowOff>
                  </from>
                  <to>
                    <xdr:col>3</xdr:col>
                    <xdr:colOff>527050</xdr:colOff>
                    <xdr:row>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7" r:id="rId7" name="Drop Down 5">
              <controlPr defaultSize="0" autoLine="0" autoPict="0">
                <anchor moveWithCells="1">
                  <from>
                    <xdr:col>0</xdr:col>
                    <xdr:colOff>6350</xdr:colOff>
                    <xdr:row>5</xdr:row>
                    <xdr:rowOff>6350</xdr:rowOff>
                  </from>
                  <to>
                    <xdr:col>0</xdr:col>
                    <xdr:colOff>2470150</xdr:colOff>
                    <xdr:row>7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8" r:id="rId8" name="Drop Down 6">
              <controlPr defaultSize="0" autoLine="0" autoPict="0">
                <anchor moveWithCells="1">
                  <from>
                    <xdr:col>1</xdr:col>
                    <xdr:colOff>31750</xdr:colOff>
                    <xdr:row>5</xdr:row>
                    <xdr:rowOff>19050</xdr:rowOff>
                  </from>
                  <to>
                    <xdr:col>1</xdr:col>
                    <xdr:colOff>2127250</xdr:colOff>
                    <xdr:row>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0" r:id="rId9" name="Drop Down 8">
              <controlPr defaultSize="0" autoLine="0" autoPict="0">
                <anchor moveWithCells="1">
                  <from>
                    <xdr:col>2</xdr:col>
                    <xdr:colOff>31750</xdr:colOff>
                    <xdr:row>5</xdr:row>
                    <xdr:rowOff>19050</xdr:rowOff>
                  </from>
                  <to>
                    <xdr:col>2</xdr:col>
                    <xdr:colOff>1530350</xdr:colOff>
                    <xdr:row>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1" r:id="rId10" name="Drop Down 9">
              <controlPr defaultSize="0" autoLine="0" autoPict="0">
                <anchor moveWithCells="1">
                  <from>
                    <xdr:col>3</xdr:col>
                    <xdr:colOff>19050</xdr:colOff>
                    <xdr:row>5</xdr:row>
                    <xdr:rowOff>19050</xdr:rowOff>
                  </from>
                  <to>
                    <xdr:col>3</xdr:col>
                    <xdr:colOff>527050</xdr:colOff>
                    <xdr:row>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8" r:id="rId11" name="Drop Down 16">
              <controlPr defaultSize="0" autoLine="0" autoPict="0">
                <anchor moveWithCells="1">
                  <from>
                    <xdr:col>19</xdr:col>
                    <xdr:colOff>0</xdr:colOff>
                    <xdr:row>3</xdr:row>
                    <xdr:rowOff>6350</xdr:rowOff>
                  </from>
                  <to>
                    <xdr:col>24</xdr:col>
                    <xdr:colOff>533400</xdr:colOff>
                    <xdr:row>4</xdr:row>
                    <xdr:rowOff>114300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9" r:id="rId12" name="Drop Down 17">
              <controlPr defaultSize="0" autoLine="0" autoPict="0">
                <anchor moveWithCells="1">
                  <from>
                    <xdr:col>29</xdr:col>
                    <xdr:colOff>19050</xdr:colOff>
                    <xdr:row>3</xdr:row>
                    <xdr:rowOff>19050</xdr:rowOff>
                  </from>
                  <to>
                    <xdr:col>34</xdr:col>
                    <xdr:colOff>336550</xdr:colOff>
                    <xdr:row>4</xdr:row>
                    <xdr:rowOff>120650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0" r:id="rId13" name="Drop Down 18">
              <controlPr defaultSize="0" autoLine="0" autoPict="0">
                <anchor moveWithCells="1">
                  <from>
                    <xdr:col>39</xdr:col>
                    <xdr:colOff>0</xdr:colOff>
                    <xdr:row>3</xdr:row>
                    <xdr:rowOff>6350</xdr:rowOff>
                  </from>
                  <to>
                    <xdr:col>44</xdr:col>
                    <xdr:colOff>533400</xdr:colOff>
                    <xdr:row>4</xdr:row>
                    <xdr:rowOff>114300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3"/>
  <dimension ref="A1:H161"/>
  <sheetViews>
    <sheetView showGridLines="0" topLeftCell="A49" workbookViewId="0"/>
  </sheetViews>
  <sheetFormatPr defaultColWidth="9.08984375" defaultRowHeight="10.5" x14ac:dyDescent="0.25"/>
  <cols>
    <col min="1" max="1" width="30.81640625" style="133" bestFit="1" customWidth="1"/>
    <col min="2" max="2" width="27.54296875" style="133" bestFit="1" customWidth="1"/>
    <col min="3" max="3" width="17" style="133" bestFit="1" customWidth="1"/>
    <col min="4" max="4" width="27.54296875" style="133" bestFit="1" customWidth="1"/>
    <col min="5" max="5" width="21.81640625" style="133" bestFit="1" customWidth="1"/>
    <col min="6" max="6" width="18.453125" style="133" bestFit="1" customWidth="1"/>
    <col min="7" max="7" width="19.81640625" style="133" bestFit="1" customWidth="1"/>
    <col min="8" max="11" width="9.08984375" style="133"/>
    <col min="12" max="13" width="30.81640625" style="133" bestFit="1" customWidth="1"/>
    <col min="14" max="14" width="27.54296875" style="133" bestFit="1" customWidth="1"/>
    <col min="15" max="15" width="17" style="133" bestFit="1" customWidth="1"/>
    <col min="16" max="16384" width="9.08984375" style="133"/>
  </cols>
  <sheetData>
    <row r="1" spans="1:8" x14ac:dyDescent="0.25">
      <c r="A1" s="134" t="s">
        <v>4</v>
      </c>
      <c r="B1" s="135"/>
      <c r="C1" s="135"/>
      <c r="D1" s="142" t="s">
        <v>5</v>
      </c>
      <c r="E1" s="135" t="s">
        <v>9</v>
      </c>
      <c r="F1" s="135" t="s">
        <v>11</v>
      </c>
      <c r="G1" s="148"/>
      <c r="H1" s="153">
        <v>0</v>
      </c>
    </row>
    <row r="2" spans="1:8" x14ac:dyDescent="0.25">
      <c r="A2" s="137" t="s">
        <v>12</v>
      </c>
      <c r="D2" s="143" t="s">
        <v>13</v>
      </c>
      <c r="E2" s="133" t="s">
        <v>17</v>
      </c>
      <c r="F2" s="133" t="s">
        <v>18</v>
      </c>
      <c r="G2" s="138" t="s">
        <v>19</v>
      </c>
      <c r="H2" s="154">
        <f>COUNTA($D$1:$G1)</f>
        <v>3</v>
      </c>
    </row>
    <row r="3" spans="1:8" x14ac:dyDescent="0.25">
      <c r="A3" s="137" t="s">
        <v>21</v>
      </c>
      <c r="D3" s="143" t="s">
        <v>13</v>
      </c>
      <c r="E3" s="133" t="s">
        <v>17</v>
      </c>
      <c r="F3" s="133" t="s">
        <v>18</v>
      </c>
      <c r="G3" s="138" t="s">
        <v>19</v>
      </c>
      <c r="H3" s="154">
        <f>COUNTA($D$1:$G2)</f>
        <v>7</v>
      </c>
    </row>
    <row r="4" spans="1:8" x14ac:dyDescent="0.25">
      <c r="A4" s="137" t="s">
        <v>22</v>
      </c>
      <c r="D4" s="143" t="s">
        <v>23</v>
      </c>
      <c r="E4" s="133" t="s">
        <v>24</v>
      </c>
      <c r="F4" s="133" t="s">
        <v>19</v>
      </c>
      <c r="G4" s="138" t="s">
        <v>25</v>
      </c>
      <c r="H4" s="154">
        <f>COUNTA($D$1:$G3)</f>
        <v>11</v>
      </c>
    </row>
    <row r="5" spans="1:8" x14ac:dyDescent="0.25">
      <c r="A5" s="137" t="s">
        <v>26</v>
      </c>
      <c r="D5" s="143" t="s">
        <v>19</v>
      </c>
      <c r="E5" s="151"/>
      <c r="F5" s="151"/>
      <c r="G5" s="149"/>
      <c r="H5" s="154">
        <f>COUNTA($D$1:$G4)</f>
        <v>15</v>
      </c>
    </row>
    <row r="6" spans="1:8" x14ac:dyDescent="0.25">
      <c r="A6" s="137" t="s">
        <v>27</v>
      </c>
      <c r="D6" s="143" t="s">
        <v>19</v>
      </c>
      <c r="E6" s="151"/>
      <c r="F6" s="151"/>
      <c r="G6" s="149"/>
      <c r="H6" s="154">
        <f>COUNTA($D$1:$G5)</f>
        <v>16</v>
      </c>
    </row>
    <row r="7" spans="1:8" x14ac:dyDescent="0.25">
      <c r="A7" s="137" t="s">
        <v>28</v>
      </c>
      <c r="D7" s="143" t="s">
        <v>23</v>
      </c>
      <c r="E7" s="133" t="s">
        <v>24</v>
      </c>
      <c r="F7" s="133" t="s">
        <v>19</v>
      </c>
      <c r="G7" s="138" t="s">
        <v>25</v>
      </c>
      <c r="H7" s="154">
        <f>COUNTA($D$1:$G6)</f>
        <v>17</v>
      </c>
    </row>
    <row r="8" spans="1:8" x14ac:dyDescent="0.25">
      <c r="A8" s="137" t="s">
        <v>29</v>
      </c>
      <c r="D8" s="143" t="s">
        <v>13</v>
      </c>
      <c r="E8" s="133" t="s">
        <v>17</v>
      </c>
      <c r="F8" s="133" t="s">
        <v>19</v>
      </c>
      <c r="G8" s="149"/>
      <c r="H8" s="154">
        <f>COUNTA($D$1:$G7)</f>
        <v>21</v>
      </c>
    </row>
    <row r="9" spans="1:8" x14ac:dyDescent="0.25">
      <c r="A9" s="137" t="s">
        <v>30</v>
      </c>
      <c r="D9" s="143" t="s">
        <v>13</v>
      </c>
      <c r="E9" s="133" t="s">
        <v>18</v>
      </c>
      <c r="F9" s="133" t="s">
        <v>19</v>
      </c>
      <c r="G9" s="149"/>
      <c r="H9" s="154">
        <f>COUNTA($D$1:$G8)</f>
        <v>24</v>
      </c>
    </row>
    <row r="10" spans="1:8" x14ac:dyDescent="0.25">
      <c r="A10" s="137" t="s">
        <v>31</v>
      </c>
      <c r="D10" s="143" t="s">
        <v>32</v>
      </c>
      <c r="E10" s="133" t="s">
        <v>33</v>
      </c>
      <c r="F10" s="151"/>
      <c r="G10" s="149"/>
      <c r="H10" s="154">
        <f>COUNTA($D$1:$G9)</f>
        <v>27</v>
      </c>
    </row>
    <row r="11" spans="1:8" x14ac:dyDescent="0.25">
      <c r="A11" s="137" t="s">
        <v>34</v>
      </c>
      <c r="D11" s="143" t="s">
        <v>35</v>
      </c>
      <c r="E11" s="133" t="s">
        <v>36</v>
      </c>
      <c r="F11" s="151"/>
      <c r="G11" s="149"/>
      <c r="H11" s="154">
        <f>COUNTA($D$1:$G10)</f>
        <v>29</v>
      </c>
    </row>
    <row r="12" spans="1:8" x14ac:dyDescent="0.25">
      <c r="A12" s="137" t="s">
        <v>37</v>
      </c>
      <c r="D12" s="143" t="s">
        <v>37</v>
      </c>
      <c r="E12" s="151"/>
      <c r="F12" s="151"/>
      <c r="G12" s="149"/>
      <c r="H12" s="154">
        <f>COUNTA($D$1:$G11)</f>
        <v>31</v>
      </c>
    </row>
    <row r="13" spans="1:8" x14ac:dyDescent="0.25">
      <c r="A13" s="137" t="s">
        <v>38</v>
      </c>
      <c r="D13" s="143" t="s">
        <v>38</v>
      </c>
      <c r="E13" s="151"/>
      <c r="F13" s="151"/>
      <c r="G13" s="149"/>
      <c r="H13" s="154">
        <f>COUNTA($D$1:$G12)</f>
        <v>32</v>
      </c>
    </row>
    <row r="14" spans="1:8" x14ac:dyDescent="0.25">
      <c r="A14" s="137" t="s">
        <v>39</v>
      </c>
      <c r="D14" s="143" t="s">
        <v>39</v>
      </c>
      <c r="E14" s="151"/>
      <c r="F14" s="151"/>
      <c r="G14" s="149"/>
      <c r="H14" s="154">
        <f>COUNTA($D$1:$G13)</f>
        <v>33</v>
      </c>
    </row>
    <row r="15" spans="1:8" x14ac:dyDescent="0.25">
      <c r="A15" s="137" t="s">
        <v>40</v>
      </c>
      <c r="D15" s="143" t="s">
        <v>41</v>
      </c>
      <c r="E15" s="133" t="s">
        <v>42</v>
      </c>
      <c r="F15" s="151"/>
      <c r="G15" s="149"/>
      <c r="H15" s="154">
        <f>COUNTA($D$1:$G14)</f>
        <v>34</v>
      </c>
    </row>
    <row r="16" spans="1:8" x14ac:dyDescent="0.25">
      <c r="A16" s="137" t="s">
        <v>43</v>
      </c>
      <c r="D16" s="143" t="s">
        <v>44</v>
      </c>
      <c r="E16" s="133" t="s">
        <v>45</v>
      </c>
      <c r="F16" s="151"/>
      <c r="G16" s="149"/>
      <c r="H16" s="154">
        <f>COUNTA($D$1:$G15)</f>
        <v>36</v>
      </c>
    </row>
    <row r="17" spans="1:8" x14ac:dyDescent="0.25">
      <c r="A17" s="139" t="s">
        <v>46</v>
      </c>
      <c r="B17" s="140"/>
      <c r="C17" s="140"/>
      <c r="D17" s="144" t="s">
        <v>46</v>
      </c>
      <c r="E17" s="152"/>
      <c r="F17" s="152"/>
      <c r="G17" s="150"/>
      <c r="H17" s="155">
        <f>COUNTA($D$1:$G16)</f>
        <v>38</v>
      </c>
    </row>
    <row r="18" spans="1:8" x14ac:dyDescent="0.25">
      <c r="A18" s="134" t="s">
        <v>4</v>
      </c>
      <c r="B18" s="135" t="s">
        <v>5</v>
      </c>
      <c r="C18" s="145"/>
      <c r="D18" s="135" t="s">
        <v>6</v>
      </c>
      <c r="E18" s="135"/>
      <c r="F18" s="135"/>
      <c r="G18" s="136"/>
      <c r="H18" s="154">
        <v>0</v>
      </c>
    </row>
    <row r="19" spans="1:8" x14ac:dyDescent="0.25">
      <c r="A19" s="137" t="s">
        <v>4</v>
      </c>
      <c r="B19" s="133" t="s">
        <v>9</v>
      </c>
      <c r="C19" s="146"/>
      <c r="D19" s="133" t="s">
        <v>6</v>
      </c>
      <c r="G19" s="138"/>
      <c r="H19" s="154">
        <f>COUNTA($D$18:$G18)</f>
        <v>1</v>
      </c>
    </row>
    <row r="20" spans="1:8" x14ac:dyDescent="0.25">
      <c r="A20" s="137" t="s">
        <v>4</v>
      </c>
      <c r="B20" s="133" t="s">
        <v>11</v>
      </c>
      <c r="C20" s="146"/>
      <c r="D20" s="133" t="s">
        <v>6</v>
      </c>
      <c r="G20" s="138"/>
      <c r="H20" s="154">
        <f>COUNTA($D$18:$G19)</f>
        <v>2</v>
      </c>
    </row>
    <row r="21" spans="1:8" x14ac:dyDescent="0.25">
      <c r="A21" s="137" t="s">
        <v>12</v>
      </c>
      <c r="B21" s="133" t="s">
        <v>13</v>
      </c>
      <c r="C21" s="146"/>
      <c r="D21" s="133" t="s">
        <v>6</v>
      </c>
      <c r="E21" s="133" t="s">
        <v>14</v>
      </c>
      <c r="F21" s="133" t="s">
        <v>15</v>
      </c>
      <c r="G21" s="138" t="s">
        <v>16</v>
      </c>
      <c r="H21" s="154">
        <f>COUNTA($D$18:$G20)</f>
        <v>3</v>
      </c>
    </row>
    <row r="22" spans="1:8" x14ac:dyDescent="0.25">
      <c r="A22" s="137" t="s">
        <v>12</v>
      </c>
      <c r="B22" s="133" t="s">
        <v>17</v>
      </c>
      <c r="C22" s="146"/>
      <c r="D22" s="133" t="s">
        <v>6</v>
      </c>
      <c r="E22" s="133" t="s">
        <v>14</v>
      </c>
      <c r="F22" s="133" t="s">
        <v>15</v>
      </c>
      <c r="G22" s="138" t="s">
        <v>16</v>
      </c>
      <c r="H22" s="154">
        <f>COUNTA($D$18:$G21)</f>
        <v>7</v>
      </c>
    </row>
    <row r="23" spans="1:8" x14ac:dyDescent="0.25">
      <c r="A23" s="137" t="s">
        <v>12</v>
      </c>
      <c r="B23" s="133" t="s">
        <v>18</v>
      </c>
      <c r="C23" s="146"/>
      <c r="D23" s="133" t="s">
        <v>6</v>
      </c>
      <c r="E23" s="133" t="s">
        <v>14</v>
      </c>
      <c r="F23" s="133" t="s">
        <v>15</v>
      </c>
      <c r="G23" s="138" t="s">
        <v>16</v>
      </c>
      <c r="H23" s="154">
        <f>COUNTA($D$18:$G22)</f>
        <v>11</v>
      </c>
    </row>
    <row r="24" spans="1:8" x14ac:dyDescent="0.25">
      <c r="A24" s="137" t="s">
        <v>12</v>
      </c>
      <c r="B24" s="133" t="s">
        <v>19</v>
      </c>
      <c r="C24" s="146"/>
      <c r="D24" s="133" t="s">
        <v>6</v>
      </c>
      <c r="E24" s="133" t="s">
        <v>14</v>
      </c>
      <c r="F24" s="133" t="s">
        <v>15</v>
      </c>
      <c r="G24" s="138" t="s">
        <v>16</v>
      </c>
      <c r="H24" s="154">
        <f>COUNTA($D$18:$G23)</f>
        <v>15</v>
      </c>
    </row>
    <row r="25" spans="1:8" x14ac:dyDescent="0.25">
      <c r="A25" s="137" t="s">
        <v>21</v>
      </c>
      <c r="B25" s="133" t="s">
        <v>13</v>
      </c>
      <c r="C25" s="146"/>
      <c r="D25" s="133" t="s">
        <v>6</v>
      </c>
      <c r="E25" s="133" t="s">
        <v>14</v>
      </c>
      <c r="F25" s="133" t="s">
        <v>15</v>
      </c>
      <c r="G25" s="138" t="s">
        <v>16</v>
      </c>
      <c r="H25" s="154">
        <f>COUNTA($D$18:$G24)</f>
        <v>19</v>
      </c>
    </row>
    <row r="26" spans="1:8" x14ac:dyDescent="0.25">
      <c r="A26" s="137" t="s">
        <v>21</v>
      </c>
      <c r="B26" s="133" t="s">
        <v>17</v>
      </c>
      <c r="C26" s="146"/>
      <c r="D26" s="133" t="s">
        <v>6</v>
      </c>
      <c r="E26" s="133" t="s">
        <v>14</v>
      </c>
      <c r="F26" s="133" t="s">
        <v>15</v>
      </c>
      <c r="G26" s="138" t="s">
        <v>16</v>
      </c>
      <c r="H26" s="154">
        <f>COUNTA($D$18:$G25)</f>
        <v>23</v>
      </c>
    </row>
    <row r="27" spans="1:8" x14ac:dyDescent="0.25">
      <c r="A27" s="137" t="s">
        <v>21</v>
      </c>
      <c r="B27" s="133" t="s">
        <v>18</v>
      </c>
      <c r="C27" s="146"/>
      <c r="D27" s="133" t="s">
        <v>6</v>
      </c>
      <c r="E27" s="133" t="s">
        <v>14</v>
      </c>
      <c r="F27" s="133" t="s">
        <v>15</v>
      </c>
      <c r="G27" s="138" t="s">
        <v>16</v>
      </c>
      <c r="H27" s="154">
        <f>COUNTA($D$18:$G26)</f>
        <v>27</v>
      </c>
    </row>
    <row r="28" spans="1:8" x14ac:dyDescent="0.25">
      <c r="A28" s="137" t="s">
        <v>21</v>
      </c>
      <c r="B28" s="133" t="s">
        <v>19</v>
      </c>
      <c r="C28" s="146"/>
      <c r="D28" s="133" t="s">
        <v>6</v>
      </c>
      <c r="E28" s="133" t="s">
        <v>14</v>
      </c>
      <c r="F28" s="133" t="s">
        <v>15</v>
      </c>
      <c r="G28" s="138" t="s">
        <v>16</v>
      </c>
      <c r="H28" s="154">
        <f>COUNTA($D$18:$G27)</f>
        <v>31</v>
      </c>
    </row>
    <row r="29" spans="1:8" x14ac:dyDescent="0.25">
      <c r="A29" s="137" t="s">
        <v>22</v>
      </c>
      <c r="B29" s="133" t="s">
        <v>23</v>
      </c>
      <c r="C29" s="146"/>
      <c r="D29" s="133" t="s">
        <v>6</v>
      </c>
      <c r="E29" s="133" t="s">
        <v>14</v>
      </c>
      <c r="F29" s="133" t="s">
        <v>15</v>
      </c>
      <c r="G29" s="138" t="s">
        <v>16</v>
      </c>
      <c r="H29" s="154">
        <f>COUNTA($D$18:$G28)</f>
        <v>35</v>
      </c>
    </row>
    <row r="30" spans="1:8" x14ac:dyDescent="0.25">
      <c r="A30" s="137" t="s">
        <v>22</v>
      </c>
      <c r="B30" s="133" t="s">
        <v>24</v>
      </c>
      <c r="C30" s="146"/>
      <c r="D30" s="133" t="s">
        <v>6</v>
      </c>
      <c r="E30" s="133" t="s">
        <v>14</v>
      </c>
      <c r="G30" s="138"/>
      <c r="H30" s="154">
        <f>COUNTA($D$18:$G29)</f>
        <v>39</v>
      </c>
    </row>
    <row r="31" spans="1:8" x14ac:dyDescent="0.25">
      <c r="A31" s="137" t="s">
        <v>22</v>
      </c>
      <c r="B31" s="133" t="s">
        <v>19</v>
      </c>
      <c r="C31" s="146"/>
      <c r="D31" s="133" t="s">
        <v>6</v>
      </c>
      <c r="E31" s="133" t="s">
        <v>14</v>
      </c>
      <c r="F31" s="133" t="s">
        <v>15</v>
      </c>
      <c r="G31" s="138" t="s">
        <v>16</v>
      </c>
      <c r="H31" s="154">
        <f>COUNTA($D$18:$G30)</f>
        <v>41</v>
      </c>
    </row>
    <row r="32" spans="1:8" x14ac:dyDescent="0.25">
      <c r="A32" s="137" t="s">
        <v>22</v>
      </c>
      <c r="B32" s="133" t="s">
        <v>25</v>
      </c>
      <c r="C32" s="146"/>
      <c r="D32" s="133" t="s">
        <v>6</v>
      </c>
      <c r="E32" s="133" t="s">
        <v>14</v>
      </c>
      <c r="G32" s="138"/>
      <c r="H32" s="154">
        <f>COUNTA($D$18:$G31)</f>
        <v>45</v>
      </c>
    </row>
    <row r="33" spans="1:8" x14ac:dyDescent="0.25">
      <c r="A33" s="137" t="s">
        <v>26</v>
      </c>
      <c r="B33" s="133" t="s">
        <v>19</v>
      </c>
      <c r="C33" s="146"/>
      <c r="D33" s="133" t="s">
        <v>6</v>
      </c>
      <c r="E33" s="133" t="s">
        <v>14</v>
      </c>
      <c r="F33" s="133" t="s">
        <v>15</v>
      </c>
      <c r="G33" s="138" t="s">
        <v>16</v>
      </c>
      <c r="H33" s="154">
        <f>COUNTA($D$18:$G32)</f>
        <v>47</v>
      </c>
    </row>
    <row r="34" spans="1:8" x14ac:dyDescent="0.25">
      <c r="A34" s="137" t="s">
        <v>27</v>
      </c>
      <c r="B34" s="133" t="s">
        <v>19</v>
      </c>
      <c r="C34" s="146"/>
      <c r="D34" s="133" t="s">
        <v>6</v>
      </c>
      <c r="E34" s="133" t="s">
        <v>14</v>
      </c>
      <c r="F34" s="133" t="s">
        <v>15</v>
      </c>
      <c r="G34" s="138" t="s">
        <v>16</v>
      </c>
      <c r="H34" s="154">
        <f>COUNTA($D$18:$G33)</f>
        <v>51</v>
      </c>
    </row>
    <row r="35" spans="1:8" x14ac:dyDescent="0.25">
      <c r="A35" s="137" t="s">
        <v>28</v>
      </c>
      <c r="B35" s="133" t="s">
        <v>23</v>
      </c>
      <c r="C35" s="146"/>
      <c r="D35" s="133" t="s">
        <v>6</v>
      </c>
      <c r="E35" s="133" t="s">
        <v>14</v>
      </c>
      <c r="F35" s="133" t="s">
        <v>15</v>
      </c>
      <c r="G35" s="138" t="s">
        <v>16</v>
      </c>
      <c r="H35" s="154">
        <f>COUNTA($D$18:$G34)</f>
        <v>55</v>
      </c>
    </row>
    <row r="36" spans="1:8" x14ac:dyDescent="0.25">
      <c r="A36" s="137" t="s">
        <v>28</v>
      </c>
      <c r="B36" s="133" t="s">
        <v>24</v>
      </c>
      <c r="C36" s="146"/>
      <c r="D36" s="133" t="s">
        <v>6</v>
      </c>
      <c r="E36" s="133" t="s">
        <v>14</v>
      </c>
      <c r="F36" s="133" t="s">
        <v>15</v>
      </c>
      <c r="G36" s="138" t="s">
        <v>16</v>
      </c>
      <c r="H36" s="154">
        <f>COUNTA($D$18:$G35)</f>
        <v>59</v>
      </c>
    </row>
    <row r="37" spans="1:8" x14ac:dyDescent="0.25">
      <c r="A37" s="137" t="s">
        <v>28</v>
      </c>
      <c r="B37" s="133" t="s">
        <v>19</v>
      </c>
      <c r="C37" s="146"/>
      <c r="D37" s="133" t="s">
        <v>6</v>
      </c>
      <c r="E37" s="133" t="s">
        <v>14</v>
      </c>
      <c r="F37" s="133" t="s">
        <v>15</v>
      </c>
      <c r="G37" s="138" t="s">
        <v>16</v>
      </c>
      <c r="H37" s="154">
        <f>COUNTA($D$18:$G36)</f>
        <v>63</v>
      </c>
    </row>
    <row r="38" spans="1:8" x14ac:dyDescent="0.25">
      <c r="A38" s="137" t="s">
        <v>28</v>
      </c>
      <c r="B38" s="133" t="s">
        <v>25</v>
      </c>
      <c r="C38" s="146"/>
      <c r="D38" s="133" t="s">
        <v>6</v>
      </c>
      <c r="E38" s="133" t="s">
        <v>14</v>
      </c>
      <c r="G38" s="138"/>
      <c r="H38" s="154">
        <f>COUNTA($D$18:$G37)</f>
        <v>67</v>
      </c>
    </row>
    <row r="39" spans="1:8" x14ac:dyDescent="0.25">
      <c r="A39" s="137" t="s">
        <v>29</v>
      </c>
      <c r="B39" s="133" t="s">
        <v>13</v>
      </c>
      <c r="C39" s="146"/>
      <c r="D39" s="133" t="s">
        <v>6</v>
      </c>
      <c r="E39" s="133" t="s">
        <v>14</v>
      </c>
      <c r="F39" s="133" t="s">
        <v>15</v>
      </c>
      <c r="G39" s="138" t="s">
        <v>16</v>
      </c>
      <c r="H39" s="154">
        <f>COUNTA($D$18:$G38)</f>
        <v>69</v>
      </c>
    </row>
    <row r="40" spans="1:8" x14ac:dyDescent="0.25">
      <c r="A40" s="137" t="s">
        <v>29</v>
      </c>
      <c r="B40" s="133" t="s">
        <v>17</v>
      </c>
      <c r="C40" s="146"/>
      <c r="D40" s="133" t="s">
        <v>6</v>
      </c>
      <c r="E40" s="133" t="s">
        <v>14</v>
      </c>
      <c r="F40" s="133" t="s">
        <v>15</v>
      </c>
      <c r="G40" s="138" t="s">
        <v>16</v>
      </c>
      <c r="H40" s="154">
        <f>COUNTA($D$18:$G39)</f>
        <v>73</v>
      </c>
    </row>
    <row r="41" spans="1:8" x14ac:dyDescent="0.25">
      <c r="A41" s="137" t="s">
        <v>29</v>
      </c>
      <c r="B41" s="133" t="s">
        <v>19</v>
      </c>
      <c r="C41" s="146"/>
      <c r="D41" s="133" t="s">
        <v>6</v>
      </c>
      <c r="E41" s="133" t="s">
        <v>14</v>
      </c>
      <c r="F41" s="133" t="s">
        <v>15</v>
      </c>
      <c r="G41" s="138" t="s">
        <v>16</v>
      </c>
      <c r="H41" s="154">
        <f>COUNTA($D$18:$G40)</f>
        <v>77</v>
      </c>
    </row>
    <row r="42" spans="1:8" x14ac:dyDescent="0.25">
      <c r="A42" s="137" t="s">
        <v>30</v>
      </c>
      <c r="B42" s="133" t="s">
        <v>13</v>
      </c>
      <c r="C42" s="146"/>
      <c r="D42" s="133" t="s">
        <v>6</v>
      </c>
      <c r="E42" s="133" t="s">
        <v>14</v>
      </c>
      <c r="F42" s="133" t="s">
        <v>15</v>
      </c>
      <c r="G42" s="138" t="s">
        <v>16</v>
      </c>
      <c r="H42" s="154">
        <f>COUNTA($D$18:$G41)</f>
        <v>81</v>
      </c>
    </row>
    <row r="43" spans="1:8" x14ac:dyDescent="0.25">
      <c r="A43" s="137" t="s">
        <v>30</v>
      </c>
      <c r="B43" s="133" t="s">
        <v>18</v>
      </c>
      <c r="C43" s="146"/>
      <c r="D43" s="133" t="s">
        <v>6</v>
      </c>
      <c r="E43" s="133" t="s">
        <v>14</v>
      </c>
      <c r="F43" s="133" t="s">
        <v>15</v>
      </c>
      <c r="G43" s="138" t="s">
        <v>16</v>
      </c>
      <c r="H43" s="154">
        <f>COUNTA($D$18:$G42)</f>
        <v>85</v>
      </c>
    </row>
    <row r="44" spans="1:8" x14ac:dyDescent="0.25">
      <c r="A44" s="137" t="s">
        <v>30</v>
      </c>
      <c r="B44" s="133" t="s">
        <v>19</v>
      </c>
      <c r="C44" s="146"/>
      <c r="D44" s="133" t="s">
        <v>6</v>
      </c>
      <c r="E44" s="133" t="s">
        <v>14</v>
      </c>
      <c r="F44" s="133" t="s">
        <v>15</v>
      </c>
      <c r="G44" s="138" t="s">
        <v>16</v>
      </c>
      <c r="H44" s="154">
        <f>COUNTA($D$18:$G43)</f>
        <v>89</v>
      </c>
    </row>
    <row r="45" spans="1:8" x14ac:dyDescent="0.25">
      <c r="A45" s="137" t="s">
        <v>31</v>
      </c>
      <c r="B45" s="133" t="s">
        <v>32</v>
      </c>
      <c r="C45" s="146"/>
      <c r="D45" s="133" t="s">
        <v>6</v>
      </c>
      <c r="G45" s="138"/>
      <c r="H45" s="154">
        <f>COUNTA($D$18:$G44)</f>
        <v>93</v>
      </c>
    </row>
    <row r="46" spans="1:8" x14ac:dyDescent="0.25">
      <c r="A46" s="137" t="s">
        <v>31</v>
      </c>
      <c r="B46" s="133" t="s">
        <v>33</v>
      </c>
      <c r="C46" s="146"/>
      <c r="D46" s="133" t="s">
        <v>6</v>
      </c>
      <c r="G46" s="138"/>
      <c r="H46" s="154">
        <f>COUNTA($D$18:$G45)</f>
        <v>94</v>
      </c>
    </row>
    <row r="47" spans="1:8" x14ac:dyDescent="0.25">
      <c r="A47" s="137" t="s">
        <v>34</v>
      </c>
      <c r="B47" s="133" t="s">
        <v>35</v>
      </c>
      <c r="C47" s="146"/>
      <c r="D47" s="133" t="s">
        <v>6</v>
      </c>
      <c r="G47" s="138"/>
      <c r="H47" s="154">
        <f>COUNTA($D$18:$G46)</f>
        <v>95</v>
      </c>
    </row>
    <row r="48" spans="1:8" x14ac:dyDescent="0.25">
      <c r="A48" s="137" t="s">
        <v>34</v>
      </c>
      <c r="B48" s="133" t="s">
        <v>36</v>
      </c>
      <c r="C48" s="146"/>
      <c r="D48" s="133" t="s">
        <v>6</v>
      </c>
      <c r="G48" s="138"/>
      <c r="H48" s="154">
        <f>COUNTA($D$18:$G47)</f>
        <v>96</v>
      </c>
    </row>
    <row r="49" spans="1:8" x14ac:dyDescent="0.25">
      <c r="A49" s="137" t="s">
        <v>37</v>
      </c>
      <c r="B49" s="133" t="s">
        <v>37</v>
      </c>
      <c r="C49" s="146"/>
      <c r="D49" s="133" t="s">
        <v>6</v>
      </c>
      <c r="G49" s="138"/>
      <c r="H49" s="154">
        <f>COUNTA($D$18:$G48)</f>
        <v>97</v>
      </c>
    </row>
    <row r="50" spans="1:8" x14ac:dyDescent="0.25">
      <c r="A50" s="137" t="s">
        <v>38</v>
      </c>
      <c r="B50" s="133" t="s">
        <v>38</v>
      </c>
      <c r="C50" s="146"/>
      <c r="D50" s="133" t="s">
        <v>6</v>
      </c>
      <c r="G50" s="138"/>
      <c r="H50" s="154">
        <f>COUNTA($D$18:$G49)</f>
        <v>98</v>
      </c>
    </row>
    <row r="51" spans="1:8" x14ac:dyDescent="0.25">
      <c r="A51" s="137" t="s">
        <v>39</v>
      </c>
      <c r="B51" s="133" t="s">
        <v>39</v>
      </c>
      <c r="C51" s="146"/>
      <c r="D51" s="133" t="s">
        <v>6</v>
      </c>
      <c r="G51" s="138"/>
      <c r="H51" s="154">
        <f>COUNTA($D$18:$G50)</f>
        <v>99</v>
      </c>
    </row>
    <row r="52" spans="1:8" x14ac:dyDescent="0.25">
      <c r="A52" s="137" t="s">
        <v>40</v>
      </c>
      <c r="B52" s="133" t="s">
        <v>41</v>
      </c>
      <c r="C52" s="146"/>
      <c r="D52" s="133" t="s">
        <v>6</v>
      </c>
      <c r="G52" s="138"/>
      <c r="H52" s="154">
        <f>COUNTA($D$18:$G51)</f>
        <v>100</v>
      </c>
    </row>
    <row r="53" spans="1:8" x14ac:dyDescent="0.25">
      <c r="A53" s="137" t="s">
        <v>40</v>
      </c>
      <c r="B53" s="133" t="s">
        <v>42</v>
      </c>
      <c r="C53" s="146"/>
      <c r="D53" s="133" t="s">
        <v>6</v>
      </c>
      <c r="G53" s="138"/>
      <c r="H53" s="154">
        <f>COUNTA($D$18:$G52)</f>
        <v>101</v>
      </c>
    </row>
    <row r="54" spans="1:8" x14ac:dyDescent="0.25">
      <c r="A54" s="137" t="s">
        <v>43</v>
      </c>
      <c r="B54" s="133" t="s">
        <v>44</v>
      </c>
      <c r="C54" s="146"/>
      <c r="D54" s="133" t="s">
        <v>6</v>
      </c>
      <c r="G54" s="138"/>
      <c r="H54" s="154">
        <f>COUNTA($D$18:$G53)</f>
        <v>102</v>
      </c>
    </row>
    <row r="55" spans="1:8" x14ac:dyDescent="0.25">
      <c r="A55" s="137" t="s">
        <v>43</v>
      </c>
      <c r="B55" s="133" t="s">
        <v>45</v>
      </c>
      <c r="C55" s="146"/>
      <c r="D55" s="133" t="s">
        <v>6</v>
      </c>
      <c r="G55" s="138"/>
      <c r="H55" s="154">
        <f>COUNTA($D$18:$G54)</f>
        <v>103</v>
      </c>
    </row>
    <row r="56" spans="1:8" x14ac:dyDescent="0.25">
      <c r="A56" s="139" t="s">
        <v>46</v>
      </c>
      <c r="B56" s="140" t="s">
        <v>46</v>
      </c>
      <c r="C56" s="147"/>
      <c r="D56" s="140" t="s">
        <v>6</v>
      </c>
      <c r="E56" s="140"/>
      <c r="F56" s="140"/>
      <c r="G56" s="141"/>
      <c r="H56" s="155">
        <f>COUNTA($D$18:$G55)</f>
        <v>104</v>
      </c>
    </row>
    <row r="57" spans="1:8" x14ac:dyDescent="0.25">
      <c r="A57" s="134" t="s">
        <v>4</v>
      </c>
      <c r="B57" s="135" t="s">
        <v>5</v>
      </c>
      <c r="C57" s="145" t="s">
        <v>6</v>
      </c>
      <c r="D57" s="135" t="s">
        <v>7</v>
      </c>
      <c r="E57" s="135" t="s">
        <v>8</v>
      </c>
      <c r="F57" s="135"/>
      <c r="G57" s="136"/>
      <c r="H57" s="154">
        <v>0</v>
      </c>
    </row>
    <row r="58" spans="1:8" x14ac:dyDescent="0.25">
      <c r="A58" s="137" t="s">
        <v>4</v>
      </c>
      <c r="B58" s="133" t="s">
        <v>9</v>
      </c>
      <c r="C58" s="146" t="s">
        <v>6</v>
      </c>
      <c r="D58" s="133" t="s">
        <v>7</v>
      </c>
      <c r="E58" s="133" t="s">
        <v>8</v>
      </c>
      <c r="F58" s="133" t="s">
        <v>10</v>
      </c>
      <c r="G58" s="138"/>
      <c r="H58" s="154">
        <f>COUNTA($D$57:$G57)</f>
        <v>2</v>
      </c>
    </row>
    <row r="59" spans="1:8" x14ac:dyDescent="0.25">
      <c r="A59" s="137" t="s">
        <v>4</v>
      </c>
      <c r="B59" s="133" t="s">
        <v>11</v>
      </c>
      <c r="C59" s="146" t="s">
        <v>6</v>
      </c>
      <c r="D59" s="133" t="s">
        <v>7</v>
      </c>
      <c r="E59" s="133" t="s">
        <v>8</v>
      </c>
      <c r="G59" s="138"/>
      <c r="H59" s="154">
        <f>COUNTA($D$57:$G58)</f>
        <v>5</v>
      </c>
    </row>
    <row r="60" spans="1:8" x14ac:dyDescent="0.25">
      <c r="A60" s="137" t="s">
        <v>12</v>
      </c>
      <c r="B60" s="133" t="s">
        <v>13</v>
      </c>
      <c r="C60" s="146" t="s">
        <v>6</v>
      </c>
      <c r="D60" s="133" t="s">
        <v>7</v>
      </c>
      <c r="E60" s="133" t="s">
        <v>8</v>
      </c>
      <c r="G60" s="138"/>
      <c r="H60" s="154">
        <f>COUNTA($D$57:$G59)</f>
        <v>7</v>
      </c>
    </row>
    <row r="61" spans="1:8" x14ac:dyDescent="0.25">
      <c r="A61" s="137" t="s">
        <v>12</v>
      </c>
      <c r="B61" s="133" t="s">
        <v>13</v>
      </c>
      <c r="C61" s="146" t="s">
        <v>14</v>
      </c>
      <c r="D61" s="133" t="s">
        <v>7</v>
      </c>
      <c r="E61" s="133" t="s">
        <v>8</v>
      </c>
      <c r="G61" s="138"/>
      <c r="H61" s="154">
        <f>COUNTA($D$57:$G60)</f>
        <v>9</v>
      </c>
    </row>
    <row r="62" spans="1:8" x14ac:dyDescent="0.25">
      <c r="A62" s="137" t="s">
        <v>12</v>
      </c>
      <c r="B62" s="133" t="s">
        <v>13</v>
      </c>
      <c r="C62" s="146" t="s">
        <v>15</v>
      </c>
      <c r="D62" s="133" t="s">
        <v>7</v>
      </c>
      <c r="E62" s="133" t="s">
        <v>8</v>
      </c>
      <c r="G62" s="138"/>
      <c r="H62" s="154">
        <f>COUNTA($D$57:$G61)</f>
        <v>11</v>
      </c>
    </row>
    <row r="63" spans="1:8" x14ac:dyDescent="0.25">
      <c r="A63" s="137" t="s">
        <v>12</v>
      </c>
      <c r="B63" s="133" t="s">
        <v>13</v>
      </c>
      <c r="C63" s="146" t="s">
        <v>16</v>
      </c>
      <c r="D63" s="133" t="s">
        <v>7</v>
      </c>
      <c r="E63" s="133" t="s">
        <v>8</v>
      </c>
      <c r="G63" s="138"/>
      <c r="H63" s="154">
        <f>COUNTA($D$57:$G62)</f>
        <v>13</v>
      </c>
    </row>
    <row r="64" spans="1:8" x14ac:dyDescent="0.25">
      <c r="A64" s="137" t="s">
        <v>12</v>
      </c>
      <c r="B64" s="133" t="s">
        <v>17</v>
      </c>
      <c r="C64" s="146" t="s">
        <v>6</v>
      </c>
      <c r="D64" s="133" t="s">
        <v>7</v>
      </c>
      <c r="E64" s="133" t="s">
        <v>8</v>
      </c>
      <c r="G64" s="138"/>
      <c r="H64" s="154">
        <f>COUNTA($D$57:$G63)</f>
        <v>15</v>
      </c>
    </row>
    <row r="65" spans="1:8" x14ac:dyDescent="0.25">
      <c r="A65" s="137" t="s">
        <v>12</v>
      </c>
      <c r="B65" s="133" t="s">
        <v>17</v>
      </c>
      <c r="C65" s="146" t="s">
        <v>14</v>
      </c>
      <c r="D65" s="133" t="s">
        <v>7</v>
      </c>
      <c r="E65" s="133" t="s">
        <v>8</v>
      </c>
      <c r="G65" s="138"/>
      <c r="H65" s="154">
        <f>COUNTA($D$57:$G64)</f>
        <v>17</v>
      </c>
    </row>
    <row r="66" spans="1:8" x14ac:dyDescent="0.25">
      <c r="A66" s="137" t="s">
        <v>12</v>
      </c>
      <c r="B66" s="133" t="s">
        <v>17</v>
      </c>
      <c r="C66" s="146" t="s">
        <v>15</v>
      </c>
      <c r="D66" s="133" t="s">
        <v>7</v>
      </c>
      <c r="E66" s="133" t="s">
        <v>8</v>
      </c>
      <c r="G66" s="138"/>
      <c r="H66" s="154">
        <f>COUNTA($D$57:$G65)</f>
        <v>19</v>
      </c>
    </row>
    <row r="67" spans="1:8" x14ac:dyDescent="0.25">
      <c r="A67" s="137" t="s">
        <v>12</v>
      </c>
      <c r="B67" s="133" t="s">
        <v>17</v>
      </c>
      <c r="C67" s="146" t="s">
        <v>16</v>
      </c>
      <c r="D67" s="133" t="s">
        <v>7</v>
      </c>
      <c r="E67" s="133" t="s">
        <v>8</v>
      </c>
      <c r="G67" s="138"/>
      <c r="H67" s="154">
        <f>COUNTA($D$57:$G66)</f>
        <v>21</v>
      </c>
    </row>
    <row r="68" spans="1:8" x14ac:dyDescent="0.25">
      <c r="A68" s="137" t="s">
        <v>12</v>
      </c>
      <c r="B68" s="133" t="s">
        <v>18</v>
      </c>
      <c r="C68" s="146" t="s">
        <v>6</v>
      </c>
      <c r="D68" s="133" t="s">
        <v>7</v>
      </c>
      <c r="E68" s="133" t="s">
        <v>8</v>
      </c>
      <c r="F68" s="133" t="s">
        <v>10</v>
      </c>
      <c r="G68" s="138"/>
      <c r="H68" s="154">
        <f>COUNTA($D$57:$G67)</f>
        <v>23</v>
      </c>
    </row>
    <row r="69" spans="1:8" x14ac:dyDescent="0.25">
      <c r="A69" s="137" t="s">
        <v>12</v>
      </c>
      <c r="B69" s="133" t="s">
        <v>18</v>
      </c>
      <c r="C69" s="146" t="s">
        <v>14</v>
      </c>
      <c r="D69" s="133" t="s">
        <v>7</v>
      </c>
      <c r="E69" s="133" t="s">
        <v>8</v>
      </c>
      <c r="F69" s="133" t="s">
        <v>10</v>
      </c>
      <c r="G69" s="138"/>
      <c r="H69" s="154">
        <f>COUNTA($D$57:$G68)</f>
        <v>26</v>
      </c>
    </row>
    <row r="70" spans="1:8" x14ac:dyDescent="0.25">
      <c r="A70" s="137" t="s">
        <v>12</v>
      </c>
      <c r="B70" s="133" t="s">
        <v>18</v>
      </c>
      <c r="C70" s="146" t="s">
        <v>15</v>
      </c>
      <c r="D70" s="133" t="s">
        <v>7</v>
      </c>
      <c r="E70" s="133" t="s">
        <v>8</v>
      </c>
      <c r="G70" s="138"/>
      <c r="H70" s="154">
        <f>COUNTA($D$57:$G69)</f>
        <v>29</v>
      </c>
    </row>
    <row r="71" spans="1:8" x14ac:dyDescent="0.25">
      <c r="A71" s="137" t="s">
        <v>12</v>
      </c>
      <c r="B71" s="133" t="s">
        <v>18</v>
      </c>
      <c r="C71" s="146" t="s">
        <v>16</v>
      </c>
      <c r="D71" s="133" t="s">
        <v>7</v>
      </c>
      <c r="E71" s="133" t="s">
        <v>8</v>
      </c>
      <c r="G71" s="138"/>
      <c r="H71" s="154">
        <f>COUNTA($D$57:$G70)</f>
        <v>31</v>
      </c>
    </row>
    <row r="72" spans="1:8" x14ac:dyDescent="0.25">
      <c r="A72" s="137" t="s">
        <v>12</v>
      </c>
      <c r="B72" s="133" t="s">
        <v>19</v>
      </c>
      <c r="C72" s="146" t="s">
        <v>6</v>
      </c>
      <c r="D72" s="133" t="s">
        <v>7</v>
      </c>
      <c r="E72" s="133" t="s">
        <v>8</v>
      </c>
      <c r="F72" s="133" t="s">
        <v>10</v>
      </c>
      <c r="G72" s="138" t="s">
        <v>20</v>
      </c>
      <c r="H72" s="154">
        <f>COUNTA($D$57:$G71)</f>
        <v>33</v>
      </c>
    </row>
    <row r="73" spans="1:8" x14ac:dyDescent="0.25">
      <c r="A73" s="137" t="s">
        <v>12</v>
      </c>
      <c r="B73" s="133" t="s">
        <v>19</v>
      </c>
      <c r="C73" s="146" t="s">
        <v>14</v>
      </c>
      <c r="D73" s="133" t="s">
        <v>7</v>
      </c>
      <c r="E73" s="133" t="s">
        <v>8</v>
      </c>
      <c r="F73" s="133" t="s">
        <v>10</v>
      </c>
      <c r="G73" s="138" t="s">
        <v>20</v>
      </c>
      <c r="H73" s="154">
        <f>COUNTA($D$57:$G72)</f>
        <v>37</v>
      </c>
    </row>
    <row r="74" spans="1:8" x14ac:dyDescent="0.25">
      <c r="A74" s="137" t="s">
        <v>12</v>
      </c>
      <c r="B74" s="133" t="s">
        <v>19</v>
      </c>
      <c r="C74" s="146" t="s">
        <v>15</v>
      </c>
      <c r="D74" s="133" t="s">
        <v>7</v>
      </c>
      <c r="E74" s="133" t="s">
        <v>8</v>
      </c>
      <c r="G74" s="138"/>
      <c r="H74" s="154">
        <f>COUNTA($D$57:$G73)</f>
        <v>41</v>
      </c>
    </row>
    <row r="75" spans="1:8" x14ac:dyDescent="0.25">
      <c r="A75" s="137" t="s">
        <v>12</v>
      </c>
      <c r="B75" s="133" t="s">
        <v>19</v>
      </c>
      <c r="C75" s="146" t="s">
        <v>16</v>
      </c>
      <c r="D75" s="133" t="s">
        <v>7</v>
      </c>
      <c r="E75" s="133" t="s">
        <v>8</v>
      </c>
      <c r="G75" s="138"/>
      <c r="H75" s="154">
        <f>COUNTA($D$57:$G74)</f>
        <v>43</v>
      </c>
    </row>
    <row r="76" spans="1:8" x14ac:dyDescent="0.25">
      <c r="A76" s="137" t="s">
        <v>21</v>
      </c>
      <c r="B76" s="133" t="s">
        <v>13</v>
      </c>
      <c r="C76" s="146" t="s">
        <v>6</v>
      </c>
      <c r="D76" s="133" t="s">
        <v>7</v>
      </c>
      <c r="E76" s="133" t="s">
        <v>8</v>
      </c>
      <c r="G76" s="138"/>
      <c r="H76" s="154">
        <f>COUNTA($D$57:$G75)</f>
        <v>45</v>
      </c>
    </row>
    <row r="77" spans="1:8" x14ac:dyDescent="0.25">
      <c r="A77" s="137" t="s">
        <v>21</v>
      </c>
      <c r="B77" s="133" t="s">
        <v>13</v>
      </c>
      <c r="C77" s="146" t="s">
        <v>14</v>
      </c>
      <c r="D77" s="133" t="s">
        <v>7</v>
      </c>
      <c r="E77" s="133" t="s">
        <v>8</v>
      </c>
      <c r="G77" s="138"/>
      <c r="H77" s="154">
        <f>COUNTA($D$57:$G76)</f>
        <v>47</v>
      </c>
    </row>
    <row r="78" spans="1:8" x14ac:dyDescent="0.25">
      <c r="A78" s="137" t="s">
        <v>21</v>
      </c>
      <c r="B78" s="133" t="s">
        <v>13</v>
      </c>
      <c r="C78" s="146" t="s">
        <v>15</v>
      </c>
      <c r="D78" s="133" t="s">
        <v>7</v>
      </c>
      <c r="E78" s="133" t="s">
        <v>8</v>
      </c>
      <c r="G78" s="138"/>
      <c r="H78" s="154">
        <f>COUNTA($D$57:$G77)</f>
        <v>49</v>
      </c>
    </row>
    <row r="79" spans="1:8" x14ac:dyDescent="0.25">
      <c r="A79" s="137" t="s">
        <v>21</v>
      </c>
      <c r="B79" s="133" t="s">
        <v>13</v>
      </c>
      <c r="C79" s="146" t="s">
        <v>16</v>
      </c>
      <c r="D79" s="133" t="s">
        <v>7</v>
      </c>
      <c r="E79" s="133" t="s">
        <v>8</v>
      </c>
      <c r="G79" s="138"/>
      <c r="H79" s="154">
        <f>COUNTA($D$57:$G78)</f>
        <v>51</v>
      </c>
    </row>
    <row r="80" spans="1:8" x14ac:dyDescent="0.25">
      <c r="A80" s="137" t="s">
        <v>21</v>
      </c>
      <c r="B80" s="133" t="s">
        <v>17</v>
      </c>
      <c r="C80" s="146" t="s">
        <v>6</v>
      </c>
      <c r="D80" s="133" t="s">
        <v>7</v>
      </c>
      <c r="E80" s="133" t="s">
        <v>8</v>
      </c>
      <c r="G80" s="138"/>
      <c r="H80" s="154">
        <f>COUNTA($D$57:$G79)</f>
        <v>53</v>
      </c>
    </row>
    <row r="81" spans="1:8" x14ac:dyDescent="0.25">
      <c r="A81" s="137" t="s">
        <v>21</v>
      </c>
      <c r="B81" s="133" t="s">
        <v>17</v>
      </c>
      <c r="C81" s="146" t="s">
        <v>14</v>
      </c>
      <c r="D81" s="133" t="s">
        <v>7</v>
      </c>
      <c r="E81" s="133" t="s">
        <v>8</v>
      </c>
      <c r="G81" s="138"/>
      <c r="H81" s="154">
        <f>COUNTA($D$57:$G80)</f>
        <v>55</v>
      </c>
    </row>
    <row r="82" spans="1:8" x14ac:dyDescent="0.25">
      <c r="A82" s="137" t="s">
        <v>21</v>
      </c>
      <c r="B82" s="133" t="s">
        <v>17</v>
      </c>
      <c r="C82" s="146" t="s">
        <v>15</v>
      </c>
      <c r="D82" s="133" t="s">
        <v>7</v>
      </c>
      <c r="E82" s="133" t="s">
        <v>8</v>
      </c>
      <c r="G82" s="138"/>
      <c r="H82" s="154">
        <f>COUNTA($D$57:$G81)</f>
        <v>57</v>
      </c>
    </row>
    <row r="83" spans="1:8" x14ac:dyDescent="0.25">
      <c r="A83" s="137" t="s">
        <v>21</v>
      </c>
      <c r="B83" s="133" t="s">
        <v>17</v>
      </c>
      <c r="C83" s="146" t="s">
        <v>16</v>
      </c>
      <c r="D83" s="133" t="s">
        <v>7</v>
      </c>
      <c r="E83" s="133" t="s">
        <v>8</v>
      </c>
      <c r="G83" s="138"/>
      <c r="H83" s="154">
        <f>COUNTA($D$57:$G82)</f>
        <v>59</v>
      </c>
    </row>
    <row r="84" spans="1:8" x14ac:dyDescent="0.25">
      <c r="A84" s="137" t="s">
        <v>21</v>
      </c>
      <c r="B84" s="133" t="s">
        <v>18</v>
      </c>
      <c r="C84" s="146" t="s">
        <v>6</v>
      </c>
      <c r="D84" s="133" t="s">
        <v>7</v>
      </c>
      <c r="E84" s="133" t="s">
        <v>8</v>
      </c>
      <c r="F84" s="133" t="s">
        <v>10</v>
      </c>
      <c r="G84" s="138"/>
      <c r="H84" s="154">
        <f>COUNTA($D$57:$G83)</f>
        <v>61</v>
      </c>
    </row>
    <row r="85" spans="1:8" x14ac:dyDescent="0.25">
      <c r="A85" s="137" t="s">
        <v>21</v>
      </c>
      <c r="B85" s="133" t="s">
        <v>18</v>
      </c>
      <c r="C85" s="146" t="s">
        <v>14</v>
      </c>
      <c r="D85" s="133" t="s">
        <v>7</v>
      </c>
      <c r="E85" s="133" t="s">
        <v>8</v>
      </c>
      <c r="F85" s="133" t="s">
        <v>10</v>
      </c>
      <c r="G85" s="138"/>
      <c r="H85" s="154">
        <f>COUNTA($D$57:$G84)</f>
        <v>64</v>
      </c>
    </row>
    <row r="86" spans="1:8" x14ac:dyDescent="0.25">
      <c r="A86" s="137" t="s">
        <v>21</v>
      </c>
      <c r="B86" s="133" t="s">
        <v>18</v>
      </c>
      <c r="C86" s="146" t="s">
        <v>15</v>
      </c>
      <c r="D86" s="133" t="s">
        <v>7</v>
      </c>
      <c r="E86" s="133" t="s">
        <v>8</v>
      </c>
      <c r="G86" s="138"/>
      <c r="H86" s="154">
        <f>COUNTA($D$57:$G85)</f>
        <v>67</v>
      </c>
    </row>
    <row r="87" spans="1:8" x14ac:dyDescent="0.25">
      <c r="A87" s="137" t="s">
        <v>21</v>
      </c>
      <c r="B87" s="133" t="s">
        <v>18</v>
      </c>
      <c r="C87" s="146" t="s">
        <v>16</v>
      </c>
      <c r="D87" s="133" t="s">
        <v>7</v>
      </c>
      <c r="E87" s="133" t="s">
        <v>8</v>
      </c>
      <c r="G87" s="138"/>
      <c r="H87" s="154">
        <f>COUNTA($D$57:$G86)</f>
        <v>69</v>
      </c>
    </row>
    <row r="88" spans="1:8" x14ac:dyDescent="0.25">
      <c r="A88" s="137" t="s">
        <v>21</v>
      </c>
      <c r="B88" s="133" t="s">
        <v>19</v>
      </c>
      <c r="C88" s="146" t="s">
        <v>6</v>
      </c>
      <c r="D88" s="133" t="s">
        <v>7</v>
      </c>
      <c r="E88" s="133" t="s">
        <v>8</v>
      </c>
      <c r="F88" s="133" t="s">
        <v>10</v>
      </c>
      <c r="G88" s="138" t="s">
        <v>20</v>
      </c>
      <c r="H88" s="154">
        <f>COUNTA($D$57:$G87)</f>
        <v>71</v>
      </c>
    </row>
    <row r="89" spans="1:8" x14ac:dyDescent="0.25">
      <c r="A89" s="137" t="s">
        <v>21</v>
      </c>
      <c r="B89" s="133" t="s">
        <v>19</v>
      </c>
      <c r="C89" s="146" t="s">
        <v>14</v>
      </c>
      <c r="D89" s="133" t="s">
        <v>7</v>
      </c>
      <c r="E89" s="133" t="s">
        <v>8</v>
      </c>
      <c r="F89" s="133" t="s">
        <v>10</v>
      </c>
      <c r="G89" s="138" t="s">
        <v>20</v>
      </c>
      <c r="H89" s="154">
        <f>COUNTA($D$57:$G88)</f>
        <v>75</v>
      </c>
    </row>
    <row r="90" spans="1:8" x14ac:dyDescent="0.25">
      <c r="A90" s="137" t="s">
        <v>21</v>
      </c>
      <c r="B90" s="133" t="s">
        <v>19</v>
      </c>
      <c r="C90" s="146" t="s">
        <v>15</v>
      </c>
      <c r="D90" s="133" t="s">
        <v>7</v>
      </c>
      <c r="E90" s="133" t="s">
        <v>8</v>
      </c>
      <c r="G90" s="138"/>
      <c r="H90" s="154">
        <f>COUNTA($D$57:$G89)</f>
        <v>79</v>
      </c>
    </row>
    <row r="91" spans="1:8" x14ac:dyDescent="0.25">
      <c r="A91" s="137" t="s">
        <v>21</v>
      </c>
      <c r="B91" s="133" t="s">
        <v>19</v>
      </c>
      <c r="C91" s="146" t="s">
        <v>16</v>
      </c>
      <c r="D91" s="133" t="s">
        <v>7</v>
      </c>
      <c r="E91" s="133" t="s">
        <v>8</v>
      </c>
      <c r="G91" s="138"/>
      <c r="H91" s="154">
        <f>COUNTA($D$57:$G90)</f>
        <v>81</v>
      </c>
    </row>
    <row r="92" spans="1:8" x14ac:dyDescent="0.25">
      <c r="A92" s="137" t="s">
        <v>22</v>
      </c>
      <c r="B92" s="133" t="s">
        <v>23</v>
      </c>
      <c r="C92" s="146" t="s">
        <v>6</v>
      </c>
      <c r="D92" s="133" t="s">
        <v>7</v>
      </c>
      <c r="E92" s="133" t="s">
        <v>8</v>
      </c>
      <c r="F92" s="133" t="s">
        <v>10</v>
      </c>
      <c r="G92" s="138" t="s">
        <v>20</v>
      </c>
      <c r="H92" s="154">
        <f>COUNTA($D$57:$G91)</f>
        <v>83</v>
      </c>
    </row>
    <row r="93" spans="1:8" x14ac:dyDescent="0.25">
      <c r="A93" s="137" t="s">
        <v>22</v>
      </c>
      <c r="B93" s="133" t="s">
        <v>23</v>
      </c>
      <c r="C93" s="146" t="s">
        <v>14</v>
      </c>
      <c r="D93" s="133" t="s">
        <v>7</v>
      </c>
      <c r="E93" s="133" t="s">
        <v>8</v>
      </c>
      <c r="F93" s="133" t="s">
        <v>10</v>
      </c>
      <c r="G93" s="138" t="s">
        <v>20</v>
      </c>
      <c r="H93" s="154">
        <f>COUNTA($D$57:$G92)</f>
        <v>87</v>
      </c>
    </row>
    <row r="94" spans="1:8" x14ac:dyDescent="0.25">
      <c r="A94" s="137" t="s">
        <v>22</v>
      </c>
      <c r="B94" s="133" t="s">
        <v>23</v>
      </c>
      <c r="C94" s="146" t="s">
        <v>15</v>
      </c>
      <c r="D94" s="133" t="s">
        <v>7</v>
      </c>
      <c r="E94" s="133" t="s">
        <v>8</v>
      </c>
      <c r="G94" s="138"/>
      <c r="H94" s="154">
        <f>COUNTA($D$57:$G93)</f>
        <v>91</v>
      </c>
    </row>
    <row r="95" spans="1:8" x14ac:dyDescent="0.25">
      <c r="A95" s="137" t="s">
        <v>22</v>
      </c>
      <c r="B95" s="133" t="s">
        <v>23</v>
      </c>
      <c r="C95" s="146" t="s">
        <v>16</v>
      </c>
      <c r="D95" s="133" t="s">
        <v>7</v>
      </c>
      <c r="E95" s="133" t="s">
        <v>8</v>
      </c>
      <c r="G95" s="138"/>
      <c r="H95" s="154">
        <f>COUNTA($D$57:$G94)</f>
        <v>93</v>
      </c>
    </row>
    <row r="96" spans="1:8" x14ac:dyDescent="0.25">
      <c r="A96" s="137" t="s">
        <v>22</v>
      </c>
      <c r="B96" s="133" t="s">
        <v>24</v>
      </c>
      <c r="C96" s="146" t="s">
        <v>6</v>
      </c>
      <c r="D96" s="133" t="s">
        <v>8</v>
      </c>
      <c r="E96" s="133" t="s">
        <v>10</v>
      </c>
      <c r="F96" s="133" t="s">
        <v>20</v>
      </c>
      <c r="G96" s="138"/>
      <c r="H96" s="154">
        <f>COUNTA($D$57:$G95)</f>
        <v>95</v>
      </c>
    </row>
    <row r="97" spans="1:8" x14ac:dyDescent="0.25">
      <c r="A97" s="137" t="s">
        <v>22</v>
      </c>
      <c r="B97" s="133" t="s">
        <v>24</v>
      </c>
      <c r="C97" s="146" t="s">
        <v>14</v>
      </c>
      <c r="D97" s="133" t="s">
        <v>8</v>
      </c>
      <c r="E97" s="133" t="s">
        <v>10</v>
      </c>
      <c r="F97" s="133" t="s">
        <v>20</v>
      </c>
      <c r="G97" s="138"/>
      <c r="H97" s="154">
        <f>COUNTA($D$57:$G96)</f>
        <v>98</v>
      </c>
    </row>
    <row r="98" spans="1:8" x14ac:dyDescent="0.25">
      <c r="A98" s="137" t="s">
        <v>22</v>
      </c>
      <c r="B98" s="133" t="s">
        <v>19</v>
      </c>
      <c r="C98" s="146" t="s">
        <v>6</v>
      </c>
      <c r="D98" s="133" t="s">
        <v>7</v>
      </c>
      <c r="E98" s="133" t="s">
        <v>8</v>
      </c>
      <c r="F98" s="133" t="s">
        <v>10</v>
      </c>
      <c r="G98" s="138" t="s">
        <v>20</v>
      </c>
      <c r="H98" s="154">
        <f>COUNTA($D$57:$G97)</f>
        <v>101</v>
      </c>
    </row>
    <row r="99" spans="1:8" x14ac:dyDescent="0.25">
      <c r="A99" s="137" t="s">
        <v>22</v>
      </c>
      <c r="B99" s="133" t="s">
        <v>19</v>
      </c>
      <c r="C99" s="146" t="s">
        <v>14</v>
      </c>
      <c r="D99" s="133" t="s">
        <v>7</v>
      </c>
      <c r="E99" s="133" t="s">
        <v>8</v>
      </c>
      <c r="F99" s="133" t="s">
        <v>10</v>
      </c>
      <c r="G99" s="138" t="s">
        <v>20</v>
      </c>
      <c r="H99" s="154">
        <f>COUNTA($D$57:$G98)</f>
        <v>105</v>
      </c>
    </row>
    <row r="100" spans="1:8" x14ac:dyDescent="0.25">
      <c r="A100" s="137" t="s">
        <v>22</v>
      </c>
      <c r="B100" s="133" t="s">
        <v>19</v>
      </c>
      <c r="C100" s="146" t="s">
        <v>15</v>
      </c>
      <c r="D100" s="133" t="s">
        <v>7</v>
      </c>
      <c r="E100" s="133" t="s">
        <v>8</v>
      </c>
      <c r="G100" s="138"/>
      <c r="H100" s="154">
        <f>COUNTA($D$57:$G99)</f>
        <v>109</v>
      </c>
    </row>
    <row r="101" spans="1:8" x14ac:dyDescent="0.25">
      <c r="A101" s="137" t="s">
        <v>22</v>
      </c>
      <c r="B101" s="133" t="s">
        <v>19</v>
      </c>
      <c r="C101" s="146" t="s">
        <v>16</v>
      </c>
      <c r="D101" s="133" t="s">
        <v>7</v>
      </c>
      <c r="E101" s="133" t="s">
        <v>8</v>
      </c>
      <c r="G101" s="138"/>
      <c r="H101" s="154">
        <f>COUNTA($D$57:$G100)</f>
        <v>111</v>
      </c>
    </row>
    <row r="102" spans="1:8" x14ac:dyDescent="0.25">
      <c r="A102" s="137" t="s">
        <v>22</v>
      </c>
      <c r="B102" s="133" t="s">
        <v>25</v>
      </c>
      <c r="C102" s="146" t="s">
        <v>6</v>
      </c>
      <c r="D102" s="133" t="s">
        <v>10</v>
      </c>
      <c r="E102" s="133" t="s">
        <v>20</v>
      </c>
      <c r="G102" s="138"/>
      <c r="H102" s="154">
        <f>COUNTA($D$57:$G101)</f>
        <v>113</v>
      </c>
    </row>
    <row r="103" spans="1:8" x14ac:dyDescent="0.25">
      <c r="A103" s="137" t="s">
        <v>22</v>
      </c>
      <c r="B103" s="133" t="s">
        <v>25</v>
      </c>
      <c r="C103" s="146" t="s">
        <v>14</v>
      </c>
      <c r="D103" s="133" t="s">
        <v>10</v>
      </c>
      <c r="E103" s="133" t="s">
        <v>20</v>
      </c>
      <c r="G103" s="138"/>
      <c r="H103" s="154">
        <f>COUNTA($D$57:$G102)</f>
        <v>115</v>
      </c>
    </row>
    <row r="104" spans="1:8" x14ac:dyDescent="0.25">
      <c r="A104" s="137" t="s">
        <v>26</v>
      </c>
      <c r="B104" s="133" t="s">
        <v>19</v>
      </c>
      <c r="C104" s="146" t="s">
        <v>6</v>
      </c>
      <c r="D104" s="133" t="s">
        <v>7</v>
      </c>
      <c r="E104" s="133" t="s">
        <v>8</v>
      </c>
      <c r="F104" s="133" t="s">
        <v>10</v>
      </c>
      <c r="G104" s="138" t="s">
        <v>20</v>
      </c>
      <c r="H104" s="154">
        <f>COUNTA($D$57:$G103)</f>
        <v>117</v>
      </c>
    </row>
    <row r="105" spans="1:8" x14ac:dyDescent="0.25">
      <c r="A105" s="137" t="s">
        <v>26</v>
      </c>
      <c r="B105" s="133" t="s">
        <v>19</v>
      </c>
      <c r="C105" s="146" t="s">
        <v>14</v>
      </c>
      <c r="D105" s="133" t="s">
        <v>7</v>
      </c>
      <c r="E105" s="133" t="s">
        <v>8</v>
      </c>
      <c r="F105" s="133" t="s">
        <v>10</v>
      </c>
      <c r="G105" s="138" t="s">
        <v>20</v>
      </c>
      <c r="H105" s="154">
        <f>COUNTA($D$57:$G104)</f>
        <v>121</v>
      </c>
    </row>
    <row r="106" spans="1:8" x14ac:dyDescent="0.25">
      <c r="A106" s="137" t="s">
        <v>26</v>
      </c>
      <c r="B106" s="133" t="s">
        <v>19</v>
      </c>
      <c r="C106" s="146" t="s">
        <v>15</v>
      </c>
      <c r="D106" s="133" t="s">
        <v>7</v>
      </c>
      <c r="E106" s="133" t="s">
        <v>8</v>
      </c>
      <c r="G106" s="138"/>
      <c r="H106" s="154">
        <f>COUNTA($D$57:$G105)</f>
        <v>125</v>
      </c>
    </row>
    <row r="107" spans="1:8" x14ac:dyDescent="0.25">
      <c r="A107" s="137" t="s">
        <v>26</v>
      </c>
      <c r="B107" s="133" t="s">
        <v>19</v>
      </c>
      <c r="C107" s="146" t="s">
        <v>16</v>
      </c>
      <c r="D107" s="133" t="s">
        <v>7</v>
      </c>
      <c r="E107" s="133" t="s">
        <v>8</v>
      </c>
      <c r="G107" s="138"/>
      <c r="H107" s="154">
        <f>COUNTA($D$57:$G106)</f>
        <v>127</v>
      </c>
    </row>
    <row r="108" spans="1:8" x14ac:dyDescent="0.25">
      <c r="A108" s="137" t="s">
        <v>27</v>
      </c>
      <c r="B108" s="133" t="s">
        <v>19</v>
      </c>
      <c r="C108" s="146" t="s">
        <v>6</v>
      </c>
      <c r="D108" s="133" t="s">
        <v>7</v>
      </c>
      <c r="E108" s="133" t="s">
        <v>8</v>
      </c>
      <c r="F108" s="133" t="s">
        <v>10</v>
      </c>
      <c r="G108" s="138"/>
      <c r="H108" s="154">
        <f>COUNTA($D$57:$G107)</f>
        <v>129</v>
      </c>
    </row>
    <row r="109" spans="1:8" x14ac:dyDescent="0.25">
      <c r="A109" s="137" t="s">
        <v>27</v>
      </c>
      <c r="B109" s="133" t="s">
        <v>19</v>
      </c>
      <c r="C109" s="146" t="s">
        <v>14</v>
      </c>
      <c r="D109" s="133" t="s">
        <v>7</v>
      </c>
      <c r="E109" s="133" t="s">
        <v>8</v>
      </c>
      <c r="F109" s="133" t="s">
        <v>10</v>
      </c>
      <c r="G109" s="138"/>
      <c r="H109" s="154">
        <f>COUNTA($D$57:$G108)</f>
        <v>132</v>
      </c>
    </row>
    <row r="110" spans="1:8" x14ac:dyDescent="0.25">
      <c r="A110" s="137" t="s">
        <v>27</v>
      </c>
      <c r="B110" s="133" t="s">
        <v>19</v>
      </c>
      <c r="C110" s="146" t="s">
        <v>15</v>
      </c>
      <c r="D110" s="133" t="s">
        <v>7</v>
      </c>
      <c r="E110" s="133" t="s">
        <v>8</v>
      </c>
      <c r="G110" s="138"/>
      <c r="H110" s="154">
        <f>COUNTA($D$57:$G109)</f>
        <v>135</v>
      </c>
    </row>
    <row r="111" spans="1:8" x14ac:dyDescent="0.25">
      <c r="A111" s="137" t="s">
        <v>27</v>
      </c>
      <c r="B111" s="133" t="s">
        <v>19</v>
      </c>
      <c r="C111" s="146" t="s">
        <v>16</v>
      </c>
      <c r="D111" s="133" t="s">
        <v>7</v>
      </c>
      <c r="E111" s="133" t="s">
        <v>8</v>
      </c>
      <c r="G111" s="138"/>
      <c r="H111" s="154">
        <f>COUNTA($D$57:$G110)</f>
        <v>137</v>
      </c>
    </row>
    <row r="112" spans="1:8" x14ac:dyDescent="0.25">
      <c r="A112" s="137" t="s">
        <v>28</v>
      </c>
      <c r="B112" s="133" t="s">
        <v>23</v>
      </c>
      <c r="C112" s="146" t="s">
        <v>6</v>
      </c>
      <c r="D112" s="133" t="s">
        <v>7</v>
      </c>
      <c r="E112" s="133" t="s">
        <v>8</v>
      </c>
      <c r="G112" s="138"/>
      <c r="H112" s="154">
        <f>COUNTA($D$57:$G111)</f>
        <v>139</v>
      </c>
    </row>
    <row r="113" spans="1:8" x14ac:dyDescent="0.25">
      <c r="A113" s="137" t="s">
        <v>28</v>
      </c>
      <c r="B113" s="133" t="s">
        <v>23</v>
      </c>
      <c r="C113" s="146" t="s">
        <v>14</v>
      </c>
      <c r="D113" s="133" t="s">
        <v>7</v>
      </c>
      <c r="E113" s="133" t="s">
        <v>8</v>
      </c>
      <c r="G113" s="138"/>
      <c r="H113" s="154">
        <f>COUNTA($D$57:$G112)</f>
        <v>141</v>
      </c>
    </row>
    <row r="114" spans="1:8" x14ac:dyDescent="0.25">
      <c r="A114" s="137" t="s">
        <v>28</v>
      </c>
      <c r="B114" s="133" t="s">
        <v>23</v>
      </c>
      <c r="C114" s="146" t="s">
        <v>15</v>
      </c>
      <c r="D114" s="133" t="s">
        <v>7</v>
      </c>
      <c r="E114" s="133" t="s">
        <v>8</v>
      </c>
      <c r="G114" s="138"/>
      <c r="H114" s="154">
        <f>COUNTA($D$57:$G113)</f>
        <v>143</v>
      </c>
    </row>
    <row r="115" spans="1:8" x14ac:dyDescent="0.25">
      <c r="A115" s="137" t="s">
        <v>28</v>
      </c>
      <c r="B115" s="133" t="s">
        <v>23</v>
      </c>
      <c r="C115" s="146" t="s">
        <v>16</v>
      </c>
      <c r="D115" s="133" t="s">
        <v>7</v>
      </c>
      <c r="E115" s="133" t="s">
        <v>8</v>
      </c>
      <c r="G115" s="138"/>
      <c r="H115" s="154">
        <f>COUNTA($D$57:$G114)</f>
        <v>145</v>
      </c>
    </row>
    <row r="116" spans="1:8" x14ac:dyDescent="0.25">
      <c r="A116" s="137" t="s">
        <v>28</v>
      </c>
      <c r="B116" s="133" t="s">
        <v>24</v>
      </c>
      <c r="C116" s="146" t="s">
        <v>6</v>
      </c>
      <c r="D116" s="133" t="s">
        <v>7</v>
      </c>
      <c r="E116" s="133" t="s">
        <v>8</v>
      </c>
      <c r="F116" s="133" t="s">
        <v>10</v>
      </c>
      <c r="G116" s="138" t="s">
        <v>20</v>
      </c>
      <c r="H116" s="154">
        <f>COUNTA($D$57:$G115)</f>
        <v>147</v>
      </c>
    </row>
    <row r="117" spans="1:8" x14ac:dyDescent="0.25">
      <c r="A117" s="137" t="s">
        <v>28</v>
      </c>
      <c r="B117" s="133" t="s">
        <v>24</v>
      </c>
      <c r="C117" s="146" t="s">
        <v>14</v>
      </c>
      <c r="D117" s="133" t="s">
        <v>7</v>
      </c>
      <c r="E117" s="133" t="s">
        <v>8</v>
      </c>
      <c r="F117" s="133" t="s">
        <v>10</v>
      </c>
      <c r="G117" s="138" t="s">
        <v>20</v>
      </c>
      <c r="H117" s="154">
        <f>COUNTA($D$57:$G116)</f>
        <v>151</v>
      </c>
    </row>
    <row r="118" spans="1:8" x14ac:dyDescent="0.25">
      <c r="A118" s="137" t="s">
        <v>28</v>
      </c>
      <c r="B118" s="133" t="s">
        <v>24</v>
      </c>
      <c r="C118" s="146" t="s">
        <v>15</v>
      </c>
      <c r="D118" s="133" t="s">
        <v>7</v>
      </c>
      <c r="E118" s="133" t="s">
        <v>8</v>
      </c>
      <c r="G118" s="138"/>
      <c r="H118" s="154">
        <f>COUNTA($D$57:$G117)</f>
        <v>155</v>
      </c>
    </row>
    <row r="119" spans="1:8" x14ac:dyDescent="0.25">
      <c r="A119" s="137" t="s">
        <v>28</v>
      </c>
      <c r="B119" s="133" t="s">
        <v>24</v>
      </c>
      <c r="C119" s="146" t="s">
        <v>16</v>
      </c>
      <c r="D119" s="133" t="s">
        <v>7</v>
      </c>
      <c r="E119" s="133" t="s">
        <v>8</v>
      </c>
      <c r="G119" s="138"/>
      <c r="H119" s="154">
        <f>COUNTA($D$57:$G118)</f>
        <v>157</v>
      </c>
    </row>
    <row r="120" spans="1:8" x14ac:dyDescent="0.25">
      <c r="A120" s="137" t="s">
        <v>28</v>
      </c>
      <c r="B120" s="133" t="s">
        <v>19</v>
      </c>
      <c r="C120" s="146" t="s">
        <v>6</v>
      </c>
      <c r="D120" s="133" t="s">
        <v>7</v>
      </c>
      <c r="E120" s="133" t="s">
        <v>8</v>
      </c>
      <c r="F120" s="133" t="s">
        <v>10</v>
      </c>
      <c r="G120" s="138"/>
      <c r="H120" s="154">
        <f>COUNTA($D$57:$G119)</f>
        <v>159</v>
      </c>
    </row>
    <row r="121" spans="1:8" x14ac:dyDescent="0.25">
      <c r="A121" s="137" t="s">
        <v>28</v>
      </c>
      <c r="B121" s="133" t="s">
        <v>19</v>
      </c>
      <c r="C121" s="146" t="s">
        <v>14</v>
      </c>
      <c r="D121" s="133" t="s">
        <v>7</v>
      </c>
      <c r="E121" s="133" t="s">
        <v>8</v>
      </c>
      <c r="F121" s="133" t="s">
        <v>10</v>
      </c>
      <c r="G121" s="138"/>
      <c r="H121" s="154">
        <f>COUNTA($D$57:$G120)</f>
        <v>162</v>
      </c>
    </row>
    <row r="122" spans="1:8" x14ac:dyDescent="0.25">
      <c r="A122" s="137" t="s">
        <v>28</v>
      </c>
      <c r="B122" s="133" t="s">
        <v>19</v>
      </c>
      <c r="C122" s="146" t="s">
        <v>15</v>
      </c>
      <c r="D122" s="133" t="s">
        <v>7</v>
      </c>
      <c r="E122" s="133" t="s">
        <v>8</v>
      </c>
      <c r="G122" s="138"/>
      <c r="H122" s="154">
        <f>COUNTA($D$57:$G121)</f>
        <v>165</v>
      </c>
    </row>
    <row r="123" spans="1:8" x14ac:dyDescent="0.25">
      <c r="A123" s="137" t="s">
        <v>28</v>
      </c>
      <c r="B123" s="133" t="s">
        <v>19</v>
      </c>
      <c r="C123" s="146" t="s">
        <v>16</v>
      </c>
      <c r="D123" s="133" t="s">
        <v>7</v>
      </c>
      <c r="E123" s="133" t="s">
        <v>8</v>
      </c>
      <c r="G123" s="138"/>
      <c r="H123" s="154">
        <f>COUNTA($D$57:$G122)</f>
        <v>167</v>
      </c>
    </row>
    <row r="124" spans="1:8" x14ac:dyDescent="0.25">
      <c r="A124" s="137" t="s">
        <v>28</v>
      </c>
      <c r="B124" s="133" t="s">
        <v>25</v>
      </c>
      <c r="C124" s="146" t="s">
        <v>6</v>
      </c>
      <c r="D124" s="133" t="s">
        <v>10</v>
      </c>
      <c r="E124" s="133" t="s">
        <v>20</v>
      </c>
      <c r="G124" s="138"/>
      <c r="H124" s="154">
        <f>COUNTA($D$57:$G123)</f>
        <v>169</v>
      </c>
    </row>
    <row r="125" spans="1:8" x14ac:dyDescent="0.25">
      <c r="A125" s="137" t="s">
        <v>28</v>
      </c>
      <c r="B125" s="133" t="s">
        <v>25</v>
      </c>
      <c r="C125" s="146" t="s">
        <v>14</v>
      </c>
      <c r="D125" s="133" t="s">
        <v>10</v>
      </c>
      <c r="E125" s="133" t="s">
        <v>20</v>
      </c>
      <c r="G125" s="138"/>
      <c r="H125" s="154">
        <f>COUNTA($D$57:$G124)</f>
        <v>171</v>
      </c>
    </row>
    <row r="126" spans="1:8" x14ac:dyDescent="0.25">
      <c r="A126" s="137" t="s">
        <v>29</v>
      </c>
      <c r="B126" s="133" t="s">
        <v>13</v>
      </c>
      <c r="C126" s="146" t="s">
        <v>6</v>
      </c>
      <c r="D126" s="133" t="s">
        <v>7</v>
      </c>
      <c r="E126" s="133" t="s">
        <v>8</v>
      </c>
      <c r="G126" s="138"/>
      <c r="H126" s="154">
        <f>COUNTA($D$57:$G125)</f>
        <v>173</v>
      </c>
    </row>
    <row r="127" spans="1:8" x14ac:dyDescent="0.25">
      <c r="A127" s="137" t="s">
        <v>29</v>
      </c>
      <c r="B127" s="133" t="s">
        <v>13</v>
      </c>
      <c r="C127" s="146" t="s">
        <v>14</v>
      </c>
      <c r="D127" s="133" t="s">
        <v>7</v>
      </c>
      <c r="E127" s="133" t="s">
        <v>8</v>
      </c>
      <c r="G127" s="138"/>
      <c r="H127" s="154">
        <f>COUNTA($D$57:$G126)</f>
        <v>175</v>
      </c>
    </row>
    <row r="128" spans="1:8" x14ac:dyDescent="0.25">
      <c r="A128" s="137" t="s">
        <v>29</v>
      </c>
      <c r="B128" s="133" t="s">
        <v>13</v>
      </c>
      <c r="C128" s="146" t="s">
        <v>15</v>
      </c>
      <c r="D128" s="133" t="s">
        <v>7</v>
      </c>
      <c r="E128" s="133" t="s">
        <v>8</v>
      </c>
      <c r="G128" s="138"/>
      <c r="H128" s="154">
        <f>COUNTA($D$57:$G127)</f>
        <v>177</v>
      </c>
    </row>
    <row r="129" spans="1:8" x14ac:dyDescent="0.25">
      <c r="A129" s="137" t="s">
        <v>29</v>
      </c>
      <c r="B129" s="133" t="s">
        <v>13</v>
      </c>
      <c r="C129" s="146" t="s">
        <v>16</v>
      </c>
      <c r="D129" s="133" t="s">
        <v>7</v>
      </c>
      <c r="E129" s="133" t="s">
        <v>8</v>
      </c>
      <c r="G129" s="138"/>
      <c r="H129" s="154">
        <f>COUNTA($D$57:$G128)</f>
        <v>179</v>
      </c>
    </row>
    <row r="130" spans="1:8" x14ac:dyDescent="0.25">
      <c r="A130" s="137" t="s">
        <v>29</v>
      </c>
      <c r="B130" s="133" t="s">
        <v>17</v>
      </c>
      <c r="C130" s="146" t="s">
        <v>6</v>
      </c>
      <c r="D130" s="133" t="s">
        <v>7</v>
      </c>
      <c r="E130" s="133" t="s">
        <v>8</v>
      </c>
      <c r="G130" s="138"/>
      <c r="H130" s="154">
        <f>COUNTA($D$57:$G129)</f>
        <v>181</v>
      </c>
    </row>
    <row r="131" spans="1:8" x14ac:dyDescent="0.25">
      <c r="A131" s="137" t="s">
        <v>29</v>
      </c>
      <c r="B131" s="133" t="s">
        <v>17</v>
      </c>
      <c r="C131" s="146" t="s">
        <v>14</v>
      </c>
      <c r="D131" s="133" t="s">
        <v>7</v>
      </c>
      <c r="E131" s="133" t="s">
        <v>8</v>
      </c>
      <c r="G131" s="138"/>
      <c r="H131" s="154">
        <f>COUNTA($D$57:$G130)</f>
        <v>183</v>
      </c>
    </row>
    <row r="132" spans="1:8" x14ac:dyDescent="0.25">
      <c r="A132" s="137" t="s">
        <v>29</v>
      </c>
      <c r="B132" s="133" t="s">
        <v>17</v>
      </c>
      <c r="C132" s="146" t="s">
        <v>15</v>
      </c>
      <c r="D132" s="133" t="s">
        <v>7</v>
      </c>
      <c r="E132" s="133" t="s">
        <v>8</v>
      </c>
      <c r="G132" s="138"/>
      <c r="H132" s="154">
        <f>COUNTA($D$57:$G131)</f>
        <v>185</v>
      </c>
    </row>
    <row r="133" spans="1:8" x14ac:dyDescent="0.25">
      <c r="A133" s="137" t="s">
        <v>29</v>
      </c>
      <c r="B133" s="133" t="s">
        <v>17</v>
      </c>
      <c r="C133" s="146" t="s">
        <v>16</v>
      </c>
      <c r="D133" s="133" t="s">
        <v>7</v>
      </c>
      <c r="E133" s="133" t="s">
        <v>8</v>
      </c>
      <c r="G133" s="138"/>
      <c r="H133" s="154">
        <f>COUNTA($D$57:$G132)</f>
        <v>187</v>
      </c>
    </row>
    <row r="134" spans="1:8" x14ac:dyDescent="0.25">
      <c r="A134" s="137" t="s">
        <v>29</v>
      </c>
      <c r="B134" s="133" t="s">
        <v>19</v>
      </c>
      <c r="C134" s="146" t="s">
        <v>6</v>
      </c>
      <c r="D134" s="133" t="s">
        <v>7</v>
      </c>
      <c r="E134" s="133" t="s">
        <v>8</v>
      </c>
      <c r="F134" s="133" t="s">
        <v>10</v>
      </c>
      <c r="G134" s="138" t="s">
        <v>20</v>
      </c>
      <c r="H134" s="154">
        <f>COUNTA($D$57:$G133)</f>
        <v>189</v>
      </c>
    </row>
    <row r="135" spans="1:8" x14ac:dyDescent="0.25">
      <c r="A135" s="137" t="s">
        <v>29</v>
      </c>
      <c r="B135" s="133" t="s">
        <v>19</v>
      </c>
      <c r="C135" s="146" t="s">
        <v>14</v>
      </c>
      <c r="D135" s="133" t="s">
        <v>7</v>
      </c>
      <c r="E135" s="133" t="s">
        <v>8</v>
      </c>
      <c r="F135" s="133" t="s">
        <v>10</v>
      </c>
      <c r="G135" s="138" t="s">
        <v>20</v>
      </c>
      <c r="H135" s="154">
        <f>COUNTA($D$57:$G134)</f>
        <v>193</v>
      </c>
    </row>
    <row r="136" spans="1:8" x14ac:dyDescent="0.25">
      <c r="A136" s="137" t="s">
        <v>29</v>
      </c>
      <c r="B136" s="133" t="s">
        <v>19</v>
      </c>
      <c r="C136" s="146" t="s">
        <v>15</v>
      </c>
      <c r="D136" s="133" t="s">
        <v>7</v>
      </c>
      <c r="E136" s="133" t="s">
        <v>8</v>
      </c>
      <c r="G136" s="138"/>
      <c r="H136" s="154">
        <f>COUNTA($D$57:$G135)</f>
        <v>197</v>
      </c>
    </row>
    <row r="137" spans="1:8" x14ac:dyDescent="0.25">
      <c r="A137" s="137" t="s">
        <v>29</v>
      </c>
      <c r="B137" s="133" t="s">
        <v>19</v>
      </c>
      <c r="C137" s="146" t="s">
        <v>16</v>
      </c>
      <c r="D137" s="133" t="s">
        <v>7</v>
      </c>
      <c r="E137" s="133" t="s">
        <v>8</v>
      </c>
      <c r="G137" s="138"/>
      <c r="H137" s="154">
        <f>COUNTA($D$57:$G136)</f>
        <v>199</v>
      </c>
    </row>
    <row r="138" spans="1:8" x14ac:dyDescent="0.25">
      <c r="A138" s="137" t="s">
        <v>30</v>
      </c>
      <c r="B138" s="133" t="s">
        <v>13</v>
      </c>
      <c r="C138" s="146" t="s">
        <v>6</v>
      </c>
      <c r="D138" s="133" t="s">
        <v>7</v>
      </c>
      <c r="E138" s="133" t="s">
        <v>8</v>
      </c>
      <c r="G138" s="138"/>
      <c r="H138" s="154">
        <f>COUNTA($D$57:$G137)</f>
        <v>201</v>
      </c>
    </row>
    <row r="139" spans="1:8" x14ac:dyDescent="0.25">
      <c r="A139" s="137" t="s">
        <v>30</v>
      </c>
      <c r="B139" s="133" t="s">
        <v>13</v>
      </c>
      <c r="C139" s="146" t="s">
        <v>14</v>
      </c>
      <c r="D139" s="133" t="s">
        <v>7</v>
      </c>
      <c r="E139" s="133" t="s">
        <v>8</v>
      </c>
      <c r="G139" s="138"/>
      <c r="H139" s="154">
        <f>COUNTA($D$57:$G138)</f>
        <v>203</v>
      </c>
    </row>
    <row r="140" spans="1:8" x14ac:dyDescent="0.25">
      <c r="A140" s="137" t="s">
        <v>30</v>
      </c>
      <c r="B140" s="133" t="s">
        <v>13</v>
      </c>
      <c r="C140" s="146" t="s">
        <v>15</v>
      </c>
      <c r="D140" s="133" t="s">
        <v>7</v>
      </c>
      <c r="E140" s="133" t="s">
        <v>8</v>
      </c>
      <c r="G140" s="138"/>
      <c r="H140" s="154">
        <f>COUNTA($D$57:$G139)</f>
        <v>205</v>
      </c>
    </row>
    <row r="141" spans="1:8" x14ac:dyDescent="0.25">
      <c r="A141" s="137" t="s">
        <v>30</v>
      </c>
      <c r="B141" s="133" t="s">
        <v>13</v>
      </c>
      <c r="C141" s="146" t="s">
        <v>16</v>
      </c>
      <c r="D141" s="133" t="s">
        <v>7</v>
      </c>
      <c r="E141" s="133" t="s">
        <v>8</v>
      </c>
      <c r="G141" s="138"/>
      <c r="H141" s="154">
        <f>COUNTA($D$57:$G140)</f>
        <v>207</v>
      </c>
    </row>
    <row r="142" spans="1:8" x14ac:dyDescent="0.25">
      <c r="A142" s="137" t="s">
        <v>30</v>
      </c>
      <c r="B142" s="133" t="s">
        <v>18</v>
      </c>
      <c r="C142" s="146" t="s">
        <v>6</v>
      </c>
      <c r="D142" s="133" t="s">
        <v>7</v>
      </c>
      <c r="E142" s="133" t="s">
        <v>8</v>
      </c>
      <c r="F142" s="133" t="s">
        <v>10</v>
      </c>
      <c r="G142" s="138" t="s">
        <v>20</v>
      </c>
      <c r="H142" s="154">
        <f>COUNTA($D$57:$G141)</f>
        <v>209</v>
      </c>
    </row>
    <row r="143" spans="1:8" x14ac:dyDescent="0.25">
      <c r="A143" s="137" t="s">
        <v>30</v>
      </c>
      <c r="B143" s="133" t="s">
        <v>18</v>
      </c>
      <c r="C143" s="146" t="s">
        <v>14</v>
      </c>
      <c r="D143" s="133" t="s">
        <v>7</v>
      </c>
      <c r="E143" s="133" t="s">
        <v>8</v>
      </c>
      <c r="F143" s="133" t="s">
        <v>10</v>
      </c>
      <c r="G143" s="138" t="s">
        <v>20</v>
      </c>
      <c r="H143" s="154">
        <f>COUNTA($D$57:$G142)</f>
        <v>213</v>
      </c>
    </row>
    <row r="144" spans="1:8" x14ac:dyDescent="0.25">
      <c r="A144" s="137" t="s">
        <v>30</v>
      </c>
      <c r="B144" s="133" t="s">
        <v>18</v>
      </c>
      <c r="C144" s="146" t="s">
        <v>15</v>
      </c>
      <c r="D144" s="133" t="s">
        <v>7</v>
      </c>
      <c r="E144" s="133" t="s">
        <v>8</v>
      </c>
      <c r="G144" s="138"/>
      <c r="H144" s="154">
        <f>COUNTA($D$57:$G143)</f>
        <v>217</v>
      </c>
    </row>
    <row r="145" spans="1:8" x14ac:dyDescent="0.25">
      <c r="A145" s="137" t="s">
        <v>30</v>
      </c>
      <c r="B145" s="133" t="s">
        <v>18</v>
      </c>
      <c r="C145" s="146" t="s">
        <v>16</v>
      </c>
      <c r="D145" s="133" t="s">
        <v>7</v>
      </c>
      <c r="E145" s="133" t="s">
        <v>8</v>
      </c>
      <c r="G145" s="138"/>
      <c r="H145" s="154">
        <f>COUNTA($D$57:$G144)</f>
        <v>219</v>
      </c>
    </row>
    <row r="146" spans="1:8" x14ac:dyDescent="0.25">
      <c r="A146" s="137" t="s">
        <v>30</v>
      </c>
      <c r="B146" s="133" t="s">
        <v>19</v>
      </c>
      <c r="C146" s="146" t="s">
        <v>6</v>
      </c>
      <c r="D146" s="133" t="s">
        <v>7</v>
      </c>
      <c r="E146" s="133" t="s">
        <v>8</v>
      </c>
      <c r="F146" s="133" t="s">
        <v>10</v>
      </c>
      <c r="G146" s="138" t="s">
        <v>20</v>
      </c>
      <c r="H146" s="154">
        <f>COUNTA($D$57:$G145)</f>
        <v>221</v>
      </c>
    </row>
    <row r="147" spans="1:8" x14ac:dyDescent="0.25">
      <c r="A147" s="137" t="s">
        <v>30</v>
      </c>
      <c r="B147" s="133" t="s">
        <v>19</v>
      </c>
      <c r="C147" s="146" t="s">
        <v>14</v>
      </c>
      <c r="D147" s="133" t="s">
        <v>7</v>
      </c>
      <c r="E147" s="133" t="s">
        <v>8</v>
      </c>
      <c r="F147" s="133" t="s">
        <v>10</v>
      </c>
      <c r="G147" s="138" t="s">
        <v>20</v>
      </c>
      <c r="H147" s="154">
        <f>COUNTA($D$57:$G146)</f>
        <v>225</v>
      </c>
    </row>
    <row r="148" spans="1:8" x14ac:dyDescent="0.25">
      <c r="A148" s="137" t="s">
        <v>30</v>
      </c>
      <c r="B148" s="133" t="s">
        <v>19</v>
      </c>
      <c r="C148" s="146" t="s">
        <v>15</v>
      </c>
      <c r="D148" s="133" t="s">
        <v>7</v>
      </c>
      <c r="E148" s="133" t="s">
        <v>8</v>
      </c>
      <c r="G148" s="138"/>
      <c r="H148" s="154">
        <f>COUNTA($D$57:$G147)</f>
        <v>229</v>
      </c>
    </row>
    <row r="149" spans="1:8" x14ac:dyDescent="0.25">
      <c r="A149" s="137" t="s">
        <v>30</v>
      </c>
      <c r="B149" s="133" t="s">
        <v>19</v>
      </c>
      <c r="C149" s="146" t="s">
        <v>16</v>
      </c>
      <c r="D149" s="133" t="s">
        <v>7</v>
      </c>
      <c r="E149" s="133" t="s">
        <v>8</v>
      </c>
      <c r="G149" s="138"/>
      <c r="H149" s="154">
        <f>COUNTA($D$57:$G148)</f>
        <v>231</v>
      </c>
    </row>
    <row r="150" spans="1:8" x14ac:dyDescent="0.25">
      <c r="A150" s="137" t="s">
        <v>31</v>
      </c>
      <c r="B150" s="133" t="s">
        <v>32</v>
      </c>
      <c r="C150" s="146" t="s">
        <v>6</v>
      </c>
      <c r="D150" s="133" t="s">
        <v>8</v>
      </c>
      <c r="E150" s="133" t="s">
        <v>10</v>
      </c>
      <c r="F150" s="133" t="s">
        <v>20</v>
      </c>
      <c r="G150" s="138"/>
      <c r="H150" s="154">
        <f>COUNTA($D$57:$G149)</f>
        <v>233</v>
      </c>
    </row>
    <row r="151" spans="1:8" x14ac:dyDescent="0.25">
      <c r="A151" s="137" t="s">
        <v>31</v>
      </c>
      <c r="B151" s="133" t="s">
        <v>33</v>
      </c>
      <c r="C151" s="146" t="s">
        <v>6</v>
      </c>
      <c r="D151" s="133" t="s">
        <v>8</v>
      </c>
      <c r="E151" s="133" t="s">
        <v>10</v>
      </c>
      <c r="F151" s="133" t="s">
        <v>20</v>
      </c>
      <c r="G151" s="138"/>
      <c r="H151" s="154">
        <f>COUNTA($D$57:$G150)</f>
        <v>236</v>
      </c>
    </row>
    <row r="152" spans="1:8" x14ac:dyDescent="0.25">
      <c r="A152" s="137" t="s">
        <v>34</v>
      </c>
      <c r="B152" s="133" t="s">
        <v>35</v>
      </c>
      <c r="C152" s="146" t="s">
        <v>6</v>
      </c>
      <c r="D152" s="133" t="s">
        <v>7</v>
      </c>
      <c r="E152" s="133" t="s">
        <v>8</v>
      </c>
      <c r="F152" s="133" t="s">
        <v>10</v>
      </c>
      <c r="G152" s="138" t="s">
        <v>20</v>
      </c>
      <c r="H152" s="154">
        <f>COUNTA($D$57:$G151)</f>
        <v>239</v>
      </c>
    </row>
    <row r="153" spans="1:8" x14ac:dyDescent="0.25">
      <c r="A153" s="137" t="s">
        <v>34</v>
      </c>
      <c r="B153" s="133" t="s">
        <v>36</v>
      </c>
      <c r="C153" s="146" t="s">
        <v>6</v>
      </c>
      <c r="D153" s="133" t="s">
        <v>7</v>
      </c>
      <c r="E153" s="133" t="s">
        <v>8</v>
      </c>
      <c r="F153" s="133" t="s">
        <v>10</v>
      </c>
      <c r="G153" s="138" t="s">
        <v>20</v>
      </c>
      <c r="H153" s="154">
        <f>COUNTA($D$57:$G152)</f>
        <v>243</v>
      </c>
    </row>
    <row r="154" spans="1:8" x14ac:dyDescent="0.25">
      <c r="A154" s="137" t="s">
        <v>37</v>
      </c>
      <c r="B154" s="133" t="s">
        <v>37</v>
      </c>
      <c r="C154" s="146" t="s">
        <v>6</v>
      </c>
      <c r="D154" s="133" t="s">
        <v>7</v>
      </c>
      <c r="E154" s="133" t="s">
        <v>8</v>
      </c>
      <c r="F154" s="133" t="s">
        <v>10</v>
      </c>
      <c r="G154" s="138" t="s">
        <v>20</v>
      </c>
      <c r="H154" s="154">
        <f>COUNTA($D$57:$G153)</f>
        <v>247</v>
      </c>
    </row>
    <row r="155" spans="1:8" x14ac:dyDescent="0.25">
      <c r="A155" s="137" t="s">
        <v>38</v>
      </c>
      <c r="B155" s="133" t="s">
        <v>38</v>
      </c>
      <c r="C155" s="146" t="s">
        <v>6</v>
      </c>
      <c r="D155" s="133" t="s">
        <v>7</v>
      </c>
      <c r="E155" s="133" t="s">
        <v>8</v>
      </c>
      <c r="F155" s="133" t="s">
        <v>10</v>
      </c>
      <c r="G155" s="138" t="s">
        <v>20</v>
      </c>
      <c r="H155" s="154">
        <f>COUNTA($D$57:$G154)</f>
        <v>251</v>
      </c>
    </row>
    <row r="156" spans="1:8" x14ac:dyDescent="0.25">
      <c r="A156" s="137" t="s">
        <v>39</v>
      </c>
      <c r="B156" s="133" t="s">
        <v>39</v>
      </c>
      <c r="C156" s="146" t="s">
        <v>6</v>
      </c>
      <c r="D156" s="133" t="s">
        <v>7</v>
      </c>
      <c r="E156" s="133" t="s">
        <v>8</v>
      </c>
      <c r="F156" s="133" t="s">
        <v>10</v>
      </c>
      <c r="G156" s="138"/>
      <c r="H156" s="154">
        <f>COUNTA($D$57:$G155)</f>
        <v>255</v>
      </c>
    </row>
    <row r="157" spans="1:8" x14ac:dyDescent="0.25">
      <c r="A157" s="137" t="s">
        <v>40</v>
      </c>
      <c r="B157" s="133" t="s">
        <v>41</v>
      </c>
      <c r="C157" s="146" t="s">
        <v>6</v>
      </c>
      <c r="D157" s="133" t="s">
        <v>8</v>
      </c>
      <c r="G157" s="138"/>
      <c r="H157" s="154">
        <f>COUNTA($D$57:$G156)</f>
        <v>258</v>
      </c>
    </row>
    <row r="158" spans="1:8" x14ac:dyDescent="0.25">
      <c r="A158" s="137" t="s">
        <v>40</v>
      </c>
      <c r="B158" s="133" t="s">
        <v>42</v>
      </c>
      <c r="C158" s="146" t="s">
        <v>6</v>
      </c>
      <c r="D158" s="133" t="s">
        <v>8</v>
      </c>
      <c r="G158" s="138"/>
      <c r="H158" s="154">
        <f>COUNTA($D$57:$G157)</f>
        <v>259</v>
      </c>
    </row>
    <row r="159" spans="1:8" x14ac:dyDescent="0.25">
      <c r="A159" s="137" t="s">
        <v>43</v>
      </c>
      <c r="B159" s="133" t="s">
        <v>44</v>
      </c>
      <c r="C159" s="146" t="s">
        <v>6</v>
      </c>
      <c r="D159" s="133" t="s">
        <v>7</v>
      </c>
      <c r="E159" s="133" t="s">
        <v>8</v>
      </c>
      <c r="F159" s="133" t="s">
        <v>10</v>
      </c>
      <c r="G159" s="138" t="s">
        <v>20</v>
      </c>
      <c r="H159" s="154">
        <f>COUNTA($D$57:$G158)</f>
        <v>260</v>
      </c>
    </row>
    <row r="160" spans="1:8" x14ac:dyDescent="0.25">
      <c r="A160" s="137" t="s">
        <v>43</v>
      </c>
      <c r="B160" s="133" t="s">
        <v>45</v>
      </c>
      <c r="C160" s="146" t="s">
        <v>6</v>
      </c>
      <c r="D160" s="133" t="s">
        <v>7</v>
      </c>
      <c r="E160" s="133" t="s">
        <v>8</v>
      </c>
      <c r="F160" s="133" t="s">
        <v>10</v>
      </c>
      <c r="G160" s="138" t="s">
        <v>20</v>
      </c>
      <c r="H160" s="154">
        <f>COUNTA($D$57:$G159)</f>
        <v>264</v>
      </c>
    </row>
    <row r="161" spans="1:8" x14ac:dyDescent="0.25">
      <c r="A161" s="139" t="s">
        <v>46</v>
      </c>
      <c r="B161" s="140" t="s">
        <v>46</v>
      </c>
      <c r="C161" s="147" t="s">
        <v>6</v>
      </c>
      <c r="D161" s="140" t="s">
        <v>7</v>
      </c>
      <c r="E161" s="140" t="s">
        <v>8</v>
      </c>
      <c r="F161" s="140" t="s">
        <v>10</v>
      </c>
      <c r="G161" s="141" t="s">
        <v>20</v>
      </c>
      <c r="H161" s="155">
        <f>COUNTA($D$57:$G160)</f>
        <v>268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4"/>
  <dimension ref="A1:AP25"/>
  <sheetViews>
    <sheetView showGridLines="0" zoomScaleNormal="100" workbookViewId="0">
      <selection activeCell="A15" sqref="A15"/>
    </sheetView>
  </sheetViews>
  <sheetFormatPr defaultColWidth="9.08984375" defaultRowHeight="10.5" x14ac:dyDescent="0.25"/>
  <cols>
    <col min="1" max="1" width="33.26953125" style="133" customWidth="1"/>
    <col min="2" max="16384" width="9.08984375" style="133"/>
  </cols>
  <sheetData>
    <row r="1" spans="1:42" x14ac:dyDescent="0.25">
      <c r="A1" s="217" t="s">
        <v>63</v>
      </c>
      <c r="B1" s="218">
        <v>2010</v>
      </c>
      <c r="C1" s="218">
        <v>2011</v>
      </c>
      <c r="D1" s="218">
        <v>2012</v>
      </c>
      <c r="E1" s="218">
        <v>2013</v>
      </c>
      <c r="F1" s="218">
        <v>2014</v>
      </c>
      <c r="G1" s="218">
        <v>2015</v>
      </c>
      <c r="H1" s="218">
        <v>2016</v>
      </c>
      <c r="I1" s="218">
        <v>2017</v>
      </c>
      <c r="J1" s="218">
        <v>2018</v>
      </c>
      <c r="K1" s="218">
        <v>2019</v>
      </c>
      <c r="L1" s="218">
        <v>2020</v>
      </c>
      <c r="M1" s="218">
        <v>2021</v>
      </c>
      <c r="N1" s="218">
        <v>2022</v>
      </c>
      <c r="O1" s="218">
        <v>2023</v>
      </c>
      <c r="P1" s="218">
        <v>2024</v>
      </c>
      <c r="Q1" s="218">
        <v>2025</v>
      </c>
      <c r="R1" s="218">
        <v>2026</v>
      </c>
      <c r="S1" s="218">
        <v>2027</v>
      </c>
      <c r="T1" s="218">
        <v>2028</v>
      </c>
      <c r="U1" s="218">
        <v>2029</v>
      </c>
      <c r="V1" s="218">
        <v>2030</v>
      </c>
      <c r="W1" s="218">
        <v>2031</v>
      </c>
      <c r="X1" s="218">
        <v>2032</v>
      </c>
      <c r="Y1" s="218">
        <v>2033</v>
      </c>
      <c r="Z1" s="218">
        <v>2034</v>
      </c>
      <c r="AA1" s="218">
        <v>2035</v>
      </c>
      <c r="AB1" s="218">
        <v>2036</v>
      </c>
      <c r="AC1" s="218">
        <v>2037</v>
      </c>
      <c r="AD1" s="218">
        <v>2038</v>
      </c>
      <c r="AE1" s="218">
        <v>2039</v>
      </c>
      <c r="AF1" s="218">
        <v>2040</v>
      </c>
      <c r="AG1" s="218">
        <v>2041</v>
      </c>
      <c r="AH1" s="218">
        <v>2042</v>
      </c>
      <c r="AI1" s="218">
        <v>2043</v>
      </c>
      <c r="AJ1" s="218">
        <v>2044</v>
      </c>
      <c r="AK1" s="218">
        <v>2045</v>
      </c>
      <c r="AL1" s="218">
        <v>2046</v>
      </c>
      <c r="AM1" s="218">
        <v>2047</v>
      </c>
      <c r="AN1" s="218">
        <v>2048</v>
      </c>
      <c r="AO1" s="218">
        <v>2049</v>
      </c>
      <c r="AP1" s="219">
        <v>2050</v>
      </c>
    </row>
    <row r="2" spans="1:42" x14ac:dyDescent="0.25">
      <c r="A2" s="134" t="s">
        <v>109</v>
      </c>
      <c r="B2" s="220">
        <v>432.50851312925124</v>
      </c>
      <c r="C2" s="220">
        <v>567.12379687892735</v>
      </c>
      <c r="D2" s="220">
        <v>605.46290308622417</v>
      </c>
      <c r="E2" s="220">
        <v>566.28321312019659</v>
      </c>
      <c r="F2" s="220">
        <v>506.11755877835003</v>
      </c>
      <c r="G2" s="220">
        <v>311.44361127136887</v>
      </c>
      <c r="H2" s="220">
        <v>265.79990061808246</v>
      </c>
      <c r="I2" s="220">
        <v>320.51601918564018</v>
      </c>
      <c r="J2" s="220">
        <v>369.33151110926087</v>
      </c>
      <c r="K2" s="220">
        <v>412.10058752465329</v>
      </c>
      <c r="L2" s="220">
        <v>453.31232714967712</v>
      </c>
      <c r="M2" s="220">
        <v>492.52733326070882</v>
      </c>
      <c r="N2" s="220">
        <v>518.74266980066523</v>
      </c>
      <c r="O2" s="220">
        <v>550.8855117234566</v>
      </c>
      <c r="P2" s="220">
        <v>578.73654815336147</v>
      </c>
      <c r="Q2" s="220">
        <v>602.32466783974905</v>
      </c>
      <c r="R2" s="220">
        <v>617.36740730552697</v>
      </c>
      <c r="S2" s="220">
        <v>630.96818049991873</v>
      </c>
      <c r="T2" s="220">
        <v>640.21955082949944</v>
      </c>
      <c r="U2" s="220">
        <v>654.73368687264315</v>
      </c>
      <c r="V2" s="220">
        <v>663.52902460493488</v>
      </c>
      <c r="W2" s="220">
        <v>671.90603488876968</v>
      </c>
      <c r="X2" s="220">
        <v>676.02740974151618</v>
      </c>
      <c r="Y2" s="220">
        <v>680.77053397217594</v>
      </c>
      <c r="Z2" s="220">
        <v>686.13319938610664</v>
      </c>
      <c r="AA2" s="220">
        <v>692.17465873539345</v>
      </c>
      <c r="AB2" s="220">
        <v>699.00274337804262</v>
      </c>
      <c r="AC2" s="220">
        <v>706.7832996756506</v>
      </c>
      <c r="AD2" s="220">
        <v>715.22499178667056</v>
      </c>
      <c r="AE2" s="220">
        <v>723.97029948663612</v>
      </c>
      <c r="AF2" s="220">
        <v>732.90111632350715</v>
      </c>
      <c r="AG2" s="220">
        <v>733.51203417023464</v>
      </c>
      <c r="AH2" s="220">
        <v>736.35113426988823</v>
      </c>
      <c r="AI2" s="220">
        <v>739.38719102630569</v>
      </c>
      <c r="AJ2" s="220">
        <v>746.25673832071448</v>
      </c>
      <c r="AK2" s="220">
        <v>749.71953594999934</v>
      </c>
      <c r="AL2" s="220">
        <v>753.16586426987737</v>
      </c>
      <c r="AM2" s="220">
        <v>756.53217882967215</v>
      </c>
      <c r="AN2" s="220">
        <v>759.77573206216141</v>
      </c>
      <c r="AO2" s="220">
        <v>762.86431571350431</v>
      </c>
      <c r="AP2" s="221">
        <v>767.04885642074248</v>
      </c>
    </row>
    <row r="3" spans="1:42" x14ac:dyDescent="0.25">
      <c r="A3" s="137" t="s">
        <v>110</v>
      </c>
      <c r="B3" s="222">
        <v>275.63555322475133</v>
      </c>
      <c r="C3" s="222">
        <v>329.17264103834253</v>
      </c>
      <c r="D3" s="222">
        <v>379.9418678117184</v>
      </c>
      <c r="E3" s="222">
        <v>375.46077323087246</v>
      </c>
      <c r="F3" s="222">
        <v>314.88574747362054</v>
      </c>
      <c r="G3" s="222">
        <v>264.42820318061251</v>
      </c>
      <c r="H3" s="222">
        <v>168.44346207809872</v>
      </c>
      <c r="I3" s="222">
        <v>203.73386612687136</v>
      </c>
      <c r="J3" s="222">
        <v>228.33521899377556</v>
      </c>
      <c r="K3" s="222">
        <v>253.14165854712579</v>
      </c>
      <c r="L3" s="222">
        <v>277.65790833744194</v>
      </c>
      <c r="M3" s="222">
        <v>301.55885192457242</v>
      </c>
      <c r="N3" s="222">
        <v>317.10316322434056</v>
      </c>
      <c r="O3" s="222">
        <v>335.52050262205051</v>
      </c>
      <c r="P3" s="222">
        <v>352.91295871661305</v>
      </c>
      <c r="Q3" s="222">
        <v>369.30195333070247</v>
      </c>
      <c r="R3" s="222">
        <v>375.14843895254739</v>
      </c>
      <c r="S3" s="222">
        <v>380.61939928824216</v>
      </c>
      <c r="T3" s="222">
        <v>386.69014051013028</v>
      </c>
      <c r="U3" s="222">
        <v>392.76787433419594</v>
      </c>
      <c r="V3" s="222">
        <v>401.61578507949235</v>
      </c>
      <c r="W3" s="222">
        <v>407.21959406296992</v>
      </c>
      <c r="X3" s="222">
        <v>413.61904365158699</v>
      </c>
      <c r="Y3" s="222">
        <v>419.34825239583358</v>
      </c>
      <c r="Z3" s="222">
        <v>424.54489193719417</v>
      </c>
      <c r="AA3" s="222">
        <v>428.93038976646147</v>
      </c>
      <c r="AB3" s="222">
        <v>433.0639189406225</v>
      </c>
      <c r="AC3" s="222">
        <v>436.43287058426239</v>
      </c>
      <c r="AD3" s="222">
        <v>439.70670664086305</v>
      </c>
      <c r="AE3" s="222">
        <v>443.34123938870096</v>
      </c>
      <c r="AF3" s="222">
        <v>443.39448191309845</v>
      </c>
      <c r="AG3" s="222">
        <v>444.56158386704135</v>
      </c>
      <c r="AH3" s="222">
        <v>445.79514097847141</v>
      </c>
      <c r="AI3" s="222">
        <v>447.30047690940381</v>
      </c>
      <c r="AJ3" s="222">
        <v>449.58432187178977</v>
      </c>
      <c r="AK3" s="222">
        <v>452.48351255268437</v>
      </c>
      <c r="AL3" s="222">
        <v>455.22103564589901</v>
      </c>
      <c r="AM3" s="222">
        <v>457.68102660933846</v>
      </c>
      <c r="AN3" s="222">
        <v>459.6388584659457</v>
      </c>
      <c r="AO3" s="222">
        <v>459.48250589597706</v>
      </c>
      <c r="AP3" s="223">
        <v>459.46103703892607</v>
      </c>
    </row>
    <row r="4" spans="1:42" x14ac:dyDescent="0.25">
      <c r="A4" s="137" t="s">
        <v>111</v>
      </c>
      <c r="B4" s="222">
        <v>116.29076462749241</v>
      </c>
      <c r="C4" s="222">
        <v>143.79838735267907</v>
      </c>
      <c r="D4" s="222">
        <v>115.7873394076418</v>
      </c>
      <c r="E4" s="222">
        <v>98.370520825767912</v>
      </c>
      <c r="F4" s="222">
        <v>89.261228283643405</v>
      </c>
      <c r="G4" s="222">
        <v>77.971582818877465</v>
      </c>
      <c r="H4" s="222">
        <v>83.936722499388168</v>
      </c>
      <c r="I4" s="222">
        <v>115.27498506814517</v>
      </c>
      <c r="J4" s="222">
        <v>115.84599118664826</v>
      </c>
      <c r="K4" s="222">
        <v>116.40825011504204</v>
      </c>
      <c r="L4" s="222">
        <v>116.96196132160706</v>
      </c>
      <c r="M4" s="222">
        <v>120.08622375805439</v>
      </c>
      <c r="N4" s="222">
        <v>119.91242614005225</v>
      </c>
      <c r="O4" s="222">
        <v>119.53029429698755</v>
      </c>
      <c r="P4" s="222">
        <v>120.14593274547505</v>
      </c>
      <c r="Q4" s="222">
        <v>120.91936465646005</v>
      </c>
      <c r="R4" s="222">
        <v>125.55242969707552</v>
      </c>
      <c r="S4" s="222">
        <v>130.17499845290172</v>
      </c>
      <c r="T4" s="222">
        <v>134.9644531834291</v>
      </c>
      <c r="U4" s="222">
        <v>139.79767116819374</v>
      </c>
      <c r="V4" s="222">
        <v>145.11886767464651</v>
      </c>
      <c r="W4" s="222">
        <v>146.41750382253187</v>
      </c>
      <c r="X4" s="222">
        <v>148.29051003565385</v>
      </c>
      <c r="Y4" s="222">
        <v>150.25847560038954</v>
      </c>
      <c r="Z4" s="222">
        <v>152.06373094099203</v>
      </c>
      <c r="AA4" s="222">
        <v>153.66454957882488</v>
      </c>
      <c r="AB4" s="222">
        <v>154.6894202520981</v>
      </c>
      <c r="AC4" s="222">
        <v>155.96158369642535</v>
      </c>
      <c r="AD4" s="222">
        <v>157.41338557510397</v>
      </c>
      <c r="AE4" s="222">
        <v>159.01414945521742</v>
      </c>
      <c r="AF4" s="222">
        <v>160.1670929275287</v>
      </c>
      <c r="AG4" s="222">
        <v>161.28264282804366</v>
      </c>
      <c r="AH4" s="222">
        <v>162.37243718880066</v>
      </c>
      <c r="AI4" s="222">
        <v>163.45781508901987</v>
      </c>
      <c r="AJ4" s="222">
        <v>164.68967061136723</v>
      </c>
      <c r="AK4" s="222">
        <v>165.95829693728578</v>
      </c>
      <c r="AL4" s="222">
        <v>166.64222331344425</v>
      </c>
      <c r="AM4" s="222">
        <v>167.80851899411974</v>
      </c>
      <c r="AN4" s="222">
        <v>168.70817164710215</v>
      </c>
      <c r="AO4" s="222">
        <v>169.46613277233001</v>
      </c>
      <c r="AP4" s="223">
        <v>170.58266168870551</v>
      </c>
    </row>
    <row r="5" spans="1:42" x14ac:dyDescent="0.25">
      <c r="A5" s="139" t="s">
        <v>64</v>
      </c>
      <c r="B5" s="224">
        <v>253.77538326845399</v>
      </c>
      <c r="C5" s="224">
        <v>253.77538326845399</v>
      </c>
      <c r="D5" s="224">
        <v>253.77538326845399</v>
      </c>
      <c r="E5" s="224">
        <v>253.77538326845399</v>
      </c>
      <c r="F5" s="224">
        <v>253.77538326845399</v>
      </c>
      <c r="G5" s="224">
        <v>253.77538326845399</v>
      </c>
      <c r="H5" s="224">
        <v>255.64674796235099</v>
      </c>
      <c r="I5" s="224">
        <v>256.32259096287601</v>
      </c>
      <c r="J5" s="224">
        <v>257.14597643369098</v>
      </c>
      <c r="K5" s="224">
        <v>258.690154326053</v>
      </c>
      <c r="L5" s="224">
        <v>261.36185044730701</v>
      </c>
      <c r="M5" s="224">
        <v>264.14445474954198</v>
      </c>
      <c r="N5" s="224">
        <v>267.19610808814002</v>
      </c>
      <c r="O5" s="224">
        <v>270.39049884140599</v>
      </c>
      <c r="P5" s="224">
        <v>273.504464550237</v>
      </c>
      <c r="Q5" s="224">
        <v>276.72642473610802</v>
      </c>
      <c r="R5" s="224">
        <v>279.91904341212398</v>
      </c>
      <c r="S5" s="224">
        <v>283.43596926414301</v>
      </c>
      <c r="T5" s="224">
        <v>288.10738640550801</v>
      </c>
      <c r="U5" s="224">
        <v>295.229671580017</v>
      </c>
      <c r="V5" s="224">
        <v>302.222629193665</v>
      </c>
      <c r="W5" s="224">
        <v>306.992754445711</v>
      </c>
      <c r="X5" s="224">
        <v>309.825794792762</v>
      </c>
      <c r="Y5" s="224">
        <v>312.25902724942398</v>
      </c>
      <c r="Z5" s="224">
        <v>314.42511906060901</v>
      </c>
      <c r="AA5" s="224">
        <v>316.75935374011698</v>
      </c>
      <c r="AB5" s="224">
        <v>319.14995410754699</v>
      </c>
      <c r="AC5" s="224">
        <v>321.31860179938099</v>
      </c>
      <c r="AD5" s="224">
        <v>323.20559144364802</v>
      </c>
      <c r="AE5" s="224">
        <v>324.392985436554</v>
      </c>
      <c r="AF5" s="224">
        <v>325.362516162904</v>
      </c>
      <c r="AG5" s="224">
        <v>326.37754156481202</v>
      </c>
      <c r="AH5" s="224">
        <v>327.515453708346</v>
      </c>
      <c r="AI5" s="224">
        <v>328.72448749074999</v>
      </c>
      <c r="AJ5" s="224">
        <v>329.46616997680502</v>
      </c>
      <c r="AK5" s="224">
        <v>330.56908359464597</v>
      </c>
      <c r="AL5" s="224">
        <v>331.40141464773399</v>
      </c>
      <c r="AM5" s="224">
        <v>333.05902252331703</v>
      </c>
      <c r="AN5" s="224">
        <v>334.84565125408301</v>
      </c>
      <c r="AO5" s="224">
        <v>336.67709309223602</v>
      </c>
      <c r="AP5" s="225">
        <v>338.37174419803199</v>
      </c>
    </row>
    <row r="7" spans="1:42" x14ac:dyDescent="0.25">
      <c r="A7" s="217" t="s">
        <v>67</v>
      </c>
      <c r="B7" s="218">
        <v>2010</v>
      </c>
      <c r="C7" s="218">
        <v>2011</v>
      </c>
      <c r="D7" s="218">
        <v>2012</v>
      </c>
      <c r="E7" s="218">
        <v>2013</v>
      </c>
      <c r="F7" s="218">
        <v>2014</v>
      </c>
      <c r="G7" s="218">
        <v>2015</v>
      </c>
      <c r="H7" s="218">
        <v>2016</v>
      </c>
      <c r="I7" s="218">
        <v>2017</v>
      </c>
      <c r="J7" s="218">
        <v>2018</v>
      </c>
      <c r="K7" s="218">
        <v>2019</v>
      </c>
      <c r="L7" s="218">
        <v>2020</v>
      </c>
      <c r="M7" s="218">
        <v>2021</v>
      </c>
      <c r="N7" s="218">
        <v>2022</v>
      </c>
      <c r="O7" s="218">
        <v>2023</v>
      </c>
      <c r="P7" s="218">
        <v>2024</v>
      </c>
      <c r="Q7" s="218">
        <v>2025</v>
      </c>
      <c r="R7" s="218">
        <v>2026</v>
      </c>
      <c r="S7" s="218">
        <v>2027</v>
      </c>
      <c r="T7" s="218">
        <v>2028</v>
      </c>
      <c r="U7" s="218">
        <v>2029</v>
      </c>
      <c r="V7" s="218">
        <v>2030</v>
      </c>
      <c r="W7" s="218">
        <v>2031</v>
      </c>
      <c r="X7" s="218">
        <v>2032</v>
      </c>
      <c r="Y7" s="218">
        <v>2033</v>
      </c>
      <c r="Z7" s="218">
        <v>2034</v>
      </c>
      <c r="AA7" s="218">
        <v>2035</v>
      </c>
      <c r="AB7" s="218">
        <v>2036</v>
      </c>
      <c r="AC7" s="218">
        <v>2037</v>
      </c>
      <c r="AD7" s="218">
        <v>2038</v>
      </c>
      <c r="AE7" s="218">
        <v>2039</v>
      </c>
      <c r="AF7" s="218">
        <v>2040</v>
      </c>
      <c r="AG7" s="218">
        <v>2041</v>
      </c>
      <c r="AH7" s="218">
        <v>2042</v>
      </c>
      <c r="AI7" s="218">
        <v>2043</v>
      </c>
      <c r="AJ7" s="218">
        <v>2044</v>
      </c>
      <c r="AK7" s="218">
        <v>2045</v>
      </c>
      <c r="AL7" s="218">
        <v>2046</v>
      </c>
      <c r="AM7" s="218">
        <v>2047</v>
      </c>
      <c r="AN7" s="218">
        <v>2048</v>
      </c>
      <c r="AO7" s="218">
        <v>2049</v>
      </c>
      <c r="AP7" s="219">
        <v>2050</v>
      </c>
    </row>
    <row r="8" spans="1:42" x14ac:dyDescent="0.25">
      <c r="A8" s="137" t="s">
        <v>4</v>
      </c>
      <c r="B8" s="222">
        <v>33.450000000000003</v>
      </c>
      <c r="C8" s="222">
        <v>33.450000000000003</v>
      </c>
      <c r="D8" s="222">
        <v>33.450000000000003</v>
      </c>
      <c r="E8" s="222">
        <v>33.450000000000003</v>
      </c>
      <c r="F8" s="222">
        <v>33.450000000000003</v>
      </c>
      <c r="G8" s="222">
        <v>33.450000000000003</v>
      </c>
      <c r="H8" s="222">
        <v>33.450000000000003</v>
      </c>
      <c r="I8" s="222">
        <v>33.450000000000003</v>
      </c>
      <c r="J8" s="222">
        <v>33.450000000000003</v>
      </c>
      <c r="K8" s="222">
        <v>33.450000000000003</v>
      </c>
      <c r="L8" s="222">
        <v>33.450000000000003</v>
      </c>
      <c r="M8" s="222">
        <v>33.450000000000003</v>
      </c>
      <c r="N8" s="222">
        <v>33.450000000000003</v>
      </c>
      <c r="O8" s="222">
        <v>33.450000000000003</v>
      </c>
      <c r="P8" s="222">
        <v>33.450000000000003</v>
      </c>
      <c r="Q8" s="222">
        <v>33.450000000000003</v>
      </c>
      <c r="R8" s="222">
        <v>33.450000000000003</v>
      </c>
      <c r="S8" s="222">
        <v>33.450000000000003</v>
      </c>
      <c r="T8" s="222">
        <v>33.450000000000003</v>
      </c>
      <c r="U8" s="222">
        <v>33.450000000000003</v>
      </c>
      <c r="V8" s="222">
        <v>33.450000000000003</v>
      </c>
      <c r="W8" s="222">
        <v>33.450000000000003</v>
      </c>
      <c r="X8" s="222">
        <v>33.450000000000003</v>
      </c>
      <c r="Y8" s="222">
        <v>33.450000000000003</v>
      </c>
      <c r="Z8" s="222">
        <v>33.450000000000003</v>
      </c>
      <c r="AA8" s="222">
        <v>33.450000000000003</v>
      </c>
      <c r="AB8" s="222">
        <v>33.450000000000003</v>
      </c>
      <c r="AC8" s="222">
        <v>33.450000000000003</v>
      </c>
      <c r="AD8" s="222">
        <v>33.450000000000003</v>
      </c>
      <c r="AE8" s="222">
        <v>33.450000000000003</v>
      </c>
      <c r="AF8" s="222">
        <v>33.450000000000003</v>
      </c>
      <c r="AG8" s="222">
        <v>33.450000000000003</v>
      </c>
      <c r="AH8" s="222">
        <v>33.450000000000003</v>
      </c>
      <c r="AI8" s="222">
        <v>33.450000000000003</v>
      </c>
      <c r="AJ8" s="222">
        <v>33.450000000000003</v>
      </c>
      <c r="AK8" s="222">
        <v>33.450000000000003</v>
      </c>
      <c r="AL8" s="222">
        <v>33.450000000000003</v>
      </c>
      <c r="AM8" s="222">
        <v>33.450000000000003</v>
      </c>
      <c r="AN8" s="222">
        <v>33.450000000000003</v>
      </c>
      <c r="AO8" s="222">
        <v>33.450000000000003</v>
      </c>
      <c r="AP8" s="223">
        <v>33.450000000000003</v>
      </c>
    </row>
    <row r="9" spans="1:42" x14ac:dyDescent="0.25">
      <c r="A9" s="137" t="s">
        <v>12</v>
      </c>
      <c r="B9" s="222">
        <f>(B$4+7.54355073276415)*1.05+3.99416685537934</f>
        <v>134.02019798364873</v>
      </c>
      <c r="C9" s="222">
        <f>(C$4+11.6381182796937)*1.0504+4.08130700537217</f>
        <v>167.35181252161652</v>
      </c>
      <c r="D9" s="222">
        <f>(D$4+15.7326858266233)*1.0508+4.16844715536501</f>
        <v>142.36968967153078</v>
      </c>
      <c r="E9" s="222">
        <f>(E$4+19.8272533735528)*1.0512+4.25558730535784</f>
        <v>128.50508754368377</v>
      </c>
      <c r="F9" s="222">
        <f>(F$4+23.9218209204824)*1.0516+4.34272745535067</f>
        <v>123.36602199840938</v>
      </c>
      <c r="G9" s="222">
        <f>(G$4+28.0163884674119)*1.052+4.42986760534351</f>
        <v>115.92921339851992</v>
      </c>
      <c r="H9" s="222">
        <f>(H$4+28.2405195751512)*1.0524+4.42986760534351</f>
        <v>122.48519716458873</v>
      </c>
      <c r="I9" s="222">
        <f>(I$4+28.4646506828905)*1.0528+4.42986760534351</f>
        <v>155.75895612403386</v>
      </c>
      <c r="J9" s="222">
        <f>(J$4+28.6887817906298)*1.0532+4.42986760534351</f>
        <v>156.65389050501275</v>
      </c>
      <c r="K9" s="222">
        <f>(K$4+28.9129128983691)*1.0536+4.42986760534351</f>
        <v>157.54024495627348</v>
      </c>
      <c r="L9" s="222">
        <f>(L$4+29.1370440061084)*1.054+4.42986760534351</f>
        <v>158.41821922075562</v>
      </c>
      <c r="M9" s="222">
        <f>(M$4+29.3701403581573)*1.0544+4.42986760534351</f>
        <v>162.01665792947711</v>
      </c>
      <c r="N9" s="222">
        <f>(N$4+29.6032367102061)*1.0548+4.42986760534351</f>
        <v>162.13898877979599</v>
      </c>
      <c r="O9" s="222">
        <f>(O$4+29.836333062255)*1.0552+4.42986760534351</f>
        <v>162.04153279481625</v>
      </c>
      <c r="P9" s="222">
        <f>(P$4+30.0694294143039)*1.0556+4.42986760534351</f>
        <v>162.99720390120618</v>
      </c>
      <c r="Q9" s="222">
        <f>(Q$4+30.3025257663527)*1.056+4.42986760534351</f>
        <v>164.12018389183376</v>
      </c>
      <c r="R9" s="222">
        <f>(R$4+30.5449459724836)*1.0564+4.42986760534351</f>
        <v>169.33113526266575</v>
      </c>
      <c r="S9" s="222">
        <f>(S$4+30.7873661786144)*1.0568+4.42986760534351</f>
        <v>174.53489454792972</v>
      </c>
      <c r="T9" s="222">
        <f>(T$4+31.0297863847452)*1.0572+4.42986760534351</f>
        <v>179.91897767681735</v>
      </c>
      <c r="U9" s="222">
        <f>(U$4+31.272206590876)*1.0576+4.42986760534351</f>
        <v>185.3533703233357</v>
      </c>
      <c r="V9" s="222">
        <f>(V$4+31.5146267970068)*1.058+4.42986760534351</f>
        <v>191.30810475635272</v>
      </c>
      <c r="W9" s="222">
        <f>(W$4+31.7667438113829)*1.0584+4.42986760534351</f>
        <v>193.02007530107889</v>
      </c>
      <c r="X9" s="222">
        <f>(X$4+32.0188608257589)*1.0588+4.42986760534351</f>
        <v>195.34142947340732</v>
      </c>
      <c r="Y9" s="222">
        <f>(Y$4+32.270977840135)*1.0592+4.42986760534351</f>
        <v>197.7650646895471</v>
      </c>
      <c r="Z9" s="222">
        <f>(Z$4+32.5230948545111)*1.0596+4.42986760534351</f>
        <v>200.01806821825863</v>
      </c>
      <c r="AA9" s="222">
        <f>(AA$4+32.7752118688871)*1.06+4.42986760534351</f>
        <v>202.05601473991823</v>
      </c>
      <c r="AB9" s="222">
        <f>(AB$4+33.0374135638382)*1.0604+4.42986760534351</f>
        <v>203.49540218376234</v>
      </c>
      <c r="AC9" s="222">
        <f>(AC$4+33.2996152587893)*1.0608+4.42986760534351</f>
        <v>205.19814745703519</v>
      </c>
      <c r="AD9" s="222">
        <f>(AD$4+33.5618169537404)*1.0612+4.42986760534351</f>
        <v>207.09275252895313</v>
      </c>
      <c r="AE9" s="222">
        <f>(AE$4+33.8240186486915)*1.0616+4.42986760534351</f>
        <v>209.14686686445322</v>
      </c>
      <c r="AF9" s="222">
        <f>(AF$4+34.0862203436426)*1.062+4.42986760534351</f>
        <v>210.72688629932742</v>
      </c>
      <c r="AG9" s="222">
        <f>(AG$4+34.3589101063917)*1.0624+4.42986760534351</f>
        <v>212.27945344288764</v>
      </c>
      <c r="AH9" s="222">
        <f>(AH$4+34.6315998691409)*1.0628+4.42986760534351</f>
        <v>213.80575819052379</v>
      </c>
      <c r="AI9" s="222">
        <f>(AI$4+34.90428963189)*1.0632+4.42986760534351</f>
        <v>215.32845734461489</v>
      </c>
      <c r="AJ9" s="222">
        <f>(AJ$4+35.1769793946392)*1.0636+4.42986760534351</f>
        <v>217.00803655173198</v>
      </c>
      <c r="AK9" s="222">
        <f>(AK$4+35.4496691573883)*1.064+4.42986760534351</f>
        <v>218.72794353007671</v>
      </c>
      <c r="AL9" s="222">
        <f>(AL$4+35.7332665106474)*1.0644+4.42986760534351</f>
        <v>219.83833897410665</v>
      </c>
      <c r="AM9" s="222">
        <f>(AM$4+36.0168638639065)*1.0648+4.42986760534351</f>
        <v>221.46313527256984</v>
      </c>
      <c r="AN9" s="222">
        <f>(AN$4+36.3004612171656)*1.0652+4.42986760534351</f>
        <v>222.8050633323615</v>
      </c>
      <c r="AO9" s="222">
        <f>(AO$4+36.5840585704247)*1.0656+4.42986760534351</f>
        <v>223.99695150018294</v>
      </c>
      <c r="AP9" s="223">
        <f>(AP$4+36.8676559236838)*1.066+4.42986760534351</f>
        <v>225.57190618015053</v>
      </c>
    </row>
    <row r="10" spans="1:42" x14ac:dyDescent="0.25">
      <c r="A10" s="137" t="s">
        <v>21</v>
      </c>
      <c r="B10" s="222">
        <v>85.918970133644777</v>
      </c>
      <c r="C10" s="222">
        <v>85.981965463186796</v>
      </c>
      <c r="D10" s="222">
        <v>86.044960792728816</v>
      </c>
      <c r="E10" s="222">
        <v>86.107956122270835</v>
      </c>
      <c r="F10" s="222">
        <v>86.170951451812869</v>
      </c>
      <c r="G10" s="222">
        <v>86.233946781354888</v>
      </c>
      <c r="H10" s="222">
        <v>86.57888256848031</v>
      </c>
      <c r="I10" s="222">
        <v>86.923818355605732</v>
      </c>
      <c r="J10" s="222">
        <v>87.268754142731154</v>
      </c>
      <c r="K10" s="222">
        <v>87.613689929856577</v>
      </c>
      <c r="L10" s="222">
        <v>87.958625716981985</v>
      </c>
      <c r="M10" s="222">
        <v>88.310460219849915</v>
      </c>
      <c r="N10" s="222">
        <v>88.662294722717846</v>
      </c>
      <c r="O10" s="222">
        <v>89.014129225585776</v>
      </c>
      <c r="P10" s="222">
        <v>89.365963728453693</v>
      </c>
      <c r="Q10" s="222">
        <v>89.717798231321623</v>
      </c>
      <c r="R10" s="222">
        <v>90.076669424246916</v>
      </c>
      <c r="S10" s="222">
        <v>90.435540617172194</v>
      </c>
      <c r="T10" s="222">
        <v>90.794411810097486</v>
      </c>
      <c r="U10" s="222">
        <v>91.153283003022779</v>
      </c>
      <c r="V10" s="222">
        <v>91.512154195948057</v>
      </c>
      <c r="W10" s="222">
        <v>91.878202812731843</v>
      </c>
      <c r="X10" s="222">
        <v>92.244251429515629</v>
      </c>
      <c r="Y10" s="222">
        <v>92.610300046299429</v>
      </c>
      <c r="Z10" s="222">
        <v>92.976348663083229</v>
      </c>
      <c r="AA10" s="222">
        <v>93.342397279867015</v>
      </c>
      <c r="AB10" s="222">
        <v>93.715766868986478</v>
      </c>
      <c r="AC10" s="222">
        <v>94.089136458105941</v>
      </c>
      <c r="AD10" s="222">
        <v>94.462506047225418</v>
      </c>
      <c r="AE10" s="222">
        <v>94.835875636344895</v>
      </c>
      <c r="AF10" s="222">
        <v>95.209245225464358</v>
      </c>
      <c r="AG10" s="222">
        <v>95.590082206366219</v>
      </c>
      <c r="AH10" s="222">
        <v>95.97091918726808</v>
      </c>
      <c r="AI10" s="222">
        <v>96.351756168169942</v>
      </c>
      <c r="AJ10" s="222">
        <v>96.732593149071789</v>
      </c>
      <c r="AK10" s="222">
        <v>97.113430129973651</v>
      </c>
      <c r="AL10" s="222">
        <v>97.501883850493542</v>
      </c>
      <c r="AM10" s="222">
        <v>97.890337571013433</v>
      </c>
      <c r="AN10" s="222">
        <v>98.278791291533324</v>
      </c>
      <c r="AO10" s="222">
        <v>98.667245012053229</v>
      </c>
      <c r="AP10" s="223">
        <v>99.05569873257312</v>
      </c>
    </row>
    <row r="11" spans="1:42" x14ac:dyDescent="0.25">
      <c r="A11" s="137" t="s">
        <v>22</v>
      </c>
      <c r="B11" s="222">
        <f>(B$3+40.8631351145839)*1.025+17.6689580895606</f>
        <v>342.08011363737916</v>
      </c>
      <c r="C11" s="222">
        <f>(C$3+34.4899856285991)*1.0254+18.6328302182585</f>
        <v>391.53248760254047</v>
      </c>
      <c r="D11" s="222">
        <f>(D$3+28.1168361426143)*1.0258+19.5967023469563</f>
        <v>438.18332086331083</v>
      </c>
      <c r="E11" s="222">
        <f>(E$3+21.7436866566296)*1.0262+20.5605744756542</f>
        <v>428.17179121220886</v>
      </c>
      <c r="F11" s="222">
        <f>(F$3+15.3705371706448)*1.0266+21.524446604352</f>
        <v>360.56554842015481</v>
      </c>
      <c r="G11" s="222">
        <f>(G$3+8.99738768466)*1.027+22.4883187330499</f>
        <v>303.29640055168471</v>
      </c>
      <c r="H11" s="222">
        <f>(H$3+9.01538246002932)*1.0274+22.4883187330499</f>
        <v>204.80953561152268</v>
      </c>
      <c r="I11" s="222">
        <f>(I$3+9.03337723539864)*1.0278+22.4883187330499</f>
        <v>241.17049146079103</v>
      </c>
      <c r="J11" s="222">
        <f>(J$3+9.05137201076796)*1.0282+22.4883187330499</f>
        <v>266.56921160392153</v>
      </c>
      <c r="K11" s="222">
        <f>(K$3+9.06936678613728)*1.0286+22.4883187330499</f>
        <v>292.19857939084426</v>
      </c>
      <c r="L11" s="222">
        <f>(L$3+9.0873615615066)*1.029+22.4883187330499</f>
        <v>317.54920145906789</v>
      </c>
      <c r="M11" s="222">
        <f>(M$3+9.10553628462961)*1.0294+22.4883187330499</f>
        <v>342.28623995560253</v>
      </c>
      <c r="N11" s="222">
        <f>(N$3+9.12371100775263)*1.0298+22.4883187330499</f>
        <v>358.43675381725944</v>
      </c>
      <c r="O11" s="222">
        <f>(O$3+9.14188573087564)*1.0302+22.4883187330499</f>
        <v>377.55951121423442</v>
      </c>
      <c r="P11" s="222">
        <f>(P$3+9.16006045399865)*1.0306+22.4883187330499</f>
        <v>395.64077229028226</v>
      </c>
      <c r="Q11" s="222">
        <f>(Q$3+9.17823517712166)*1.031+22.4883187330499</f>
        <v>412.70139308461654</v>
      </c>
      <c r="R11" s="222">
        <f>(R$3+9.19659164747591)*1.0314+22.4883187330499</f>
        <v>418.90178329391392</v>
      </c>
      <c r="S11" s="222">
        <f>(S$3+9.21494811783015)*1.0318+22.4883187330499</f>
        <v>424.71939838663531</v>
      </c>
      <c r="T11" s="222">
        <f>(T$3+9.23330458818439)*1.0322+22.4883187330499</f>
        <v>431.16049876353031</v>
      </c>
      <c r="U11" s="222">
        <f>(U$3+9.25166105853864)*1.0326+22.4883187330499</f>
        <v>437.61369097958755</v>
      </c>
      <c r="V11" s="222">
        <f>(V$3+9.27001752889288)*1.033+22.4883187330499</f>
        <v>446.93335282751178</v>
      </c>
      <c r="W11" s="222">
        <f>(W$3+9.28855756395067)*1.0334+22.4883187330499</f>
        <v>452.90784262430969</v>
      </c>
      <c r="X11" s="222">
        <f>(X$3+9.30709759900845)*1.0338+22.4883187330499</f>
        <v>459.70936355791548</v>
      </c>
      <c r="Y11" s="222">
        <f>(Y$3+9.32563763406624)*1.0342+22.4883187330499</f>
        <v>465.82285580197231</v>
      </c>
      <c r="Z11" s="222">
        <f>(Z$3+9.34417766912402)*1.0346+22.4883187330499</f>
        <v>471.38995014774667</v>
      </c>
      <c r="AA11" s="222">
        <f>(AA$3+9.36271770418181)*1.035+22.4883187330499</f>
        <v>476.12168496516563</v>
      </c>
      <c r="AB11" s="222">
        <f>(AB$3+9.38144313959017)*1.0354+22.4883187330499</f>
        <v>480.5962466309021</v>
      </c>
      <c r="AC11" s="222">
        <f>(AC$3+9.40016857499854)*1.0358+22.4883187330499</f>
        <v>484.28218069421234</v>
      </c>
      <c r="AD11" s="222">
        <f>(AD$3+9.4188940104069)*1.0362+22.4883187330499</f>
        <v>487.87226612789584</v>
      </c>
      <c r="AE11" s="222">
        <f>(AE$3+9.43761944581526)*1.0366+22.4883187330499</f>
        <v>491.83888380090934</v>
      </c>
      <c r="AF11" s="222">
        <f>(AF$3+9.45634488122363)*1.037+22.4883187330499</f>
        <v>492.09462611876182</v>
      </c>
      <c r="AG11" s="222">
        <f>(AG$3+9.47525757098607)*1.0374+22.4883187330499</f>
        <v>493.50613804085958</v>
      </c>
      <c r="AH11" s="222">
        <f>(AH$3+9.49417026074852)*1.0378+22.4883187330499</f>
        <v>494.98756593711238</v>
      </c>
      <c r="AI11" s="222">
        <f>(AI$3+9.51308295051097)*1.0382+22.4883187330499</f>
        <v>496.75215657961343</v>
      </c>
      <c r="AJ11" s="222">
        <f>(AJ$3+9.53199564027341)*1.0386+22.4883187330499</f>
        <v>499.32652610107868</v>
      </c>
      <c r="AK11" s="222">
        <f>(AK$3+9.55090833003586)*1.039+22.4883187330499</f>
        <v>502.54208203019613</v>
      </c>
      <c r="AL11" s="222">
        <f>(AL$3+9.57001014669594)*1.0394+22.4883187330499</f>
        <v>505.59213172987313</v>
      </c>
      <c r="AM11" s="222">
        <f>(AM$3+9.58911196335601)*1.0398+22.4883187330499</f>
        <v>508.35580882093763</v>
      </c>
      <c r="AN11" s="222">
        <f>(AN$3+9.60821378001608)*1.0402+22.4883187330499</f>
        <v>510.59912328329932</v>
      </c>
      <c r="AO11" s="222">
        <f>(AO$3+9.62731559667615)*1.0406+22.4883187330499</f>
        <v>510.64399897830481</v>
      </c>
      <c r="AP11" s="223">
        <f>(AP$3+9.64641741333622)*1.041+22.4883187330499</f>
        <v>510.82917881785488</v>
      </c>
    </row>
    <row r="12" spans="1:42" x14ac:dyDescent="0.25">
      <c r="A12" s="137" t="s">
        <v>26</v>
      </c>
      <c r="B12" s="222">
        <f>(B$4+82.6200171126463)*0.2</f>
        <v>39.78215634802774</v>
      </c>
      <c r="C12" s="222">
        <f>(C$4+87.2487771279665)*0.201</f>
        <v>46.440480060609758</v>
      </c>
      <c r="D12" s="222">
        <f>(D$4+91.8775371432867)*0.202</f>
        <v>41.948305063287563</v>
      </c>
      <c r="E12" s="222">
        <f>(E$4+96.5062971586069)*0.203</f>
        <v>39.559994050828088</v>
      </c>
      <c r="F12" s="222">
        <f>(F$4+101.135057173927)*0.204</f>
        <v>38.840842233344361</v>
      </c>
      <c r="G12" s="222">
        <f>(G$4+105.763817189247)*0.205</f>
        <v>37.665757001665519</v>
      </c>
      <c r="H12" s="222">
        <f>(H$4+105.869581006437)*0.206</f>
        <v>39.100098522199978</v>
      </c>
      <c r="I12" s="222">
        <f>(I$4+105.975344823626)*0.207</f>
        <v>45.798818287596632</v>
      </c>
      <c r="J12" s="222">
        <f>(J$4+106.081108640815)*0.208</f>
        <v>46.160836764112361</v>
      </c>
      <c r="K12" s="222">
        <f>(K$4+106.186872458004)*0.209</f>
        <v>46.522380617766622</v>
      </c>
      <c r="L12" s="222">
        <f>(L$4+106.292636275194)*0.21</f>
        <v>46.883465495328224</v>
      </c>
      <c r="M12" s="222">
        <f>(M$4+106.398928911469)*0.211</f>
        <v>47.788367213269431</v>
      </c>
      <c r="N12" s="222">
        <f>(N$4+106.505221547744)*0.212</f>
        <v>48.000541309812803</v>
      </c>
      <c r="O12" s="222">
        <f>(O$4+106.611514184019)*0.213</f>
        <v>48.168205206454388</v>
      </c>
      <c r="P12" s="222">
        <f>(P$4+106.717806820294)*0.214</f>
        <v>48.548840267074574</v>
      </c>
      <c r="Q12" s="222">
        <f>(Q$4+106.824099456569)*0.215</f>
        <v>48.964844784301249</v>
      </c>
      <c r="R12" s="222">
        <f>(R$4+106.930923556026)*0.216</f>
        <v>50.216404302669929</v>
      </c>
      <c r="S12" s="222">
        <f>(S$4+107.037747655483)*0.217</f>
        <v>51.475165905519482</v>
      </c>
      <c r="T12" s="222">
        <f>(T$4+107.144571754939)*0.218</f>
        <v>52.779767436564242</v>
      </c>
      <c r="U12" s="222">
        <f>(U$4+107.251395854396)*0.219</f>
        <v>54.103745677947153</v>
      </c>
      <c r="V12" s="222">
        <f>(V$4+107.358219953852)*0.22</f>
        <v>55.544959278269673</v>
      </c>
      <c r="W12" s="222">
        <f>(W$4+107.465578173806)*0.221</f>
        <v>56.108161121190669</v>
      </c>
      <c r="X12" s="222">
        <f>(X$4+107.57293639376)*0.222</f>
        <v>56.801685107329874</v>
      </c>
      <c r="Y12" s="222">
        <f>(Y$4+107.680294613714)*0.223</f>
        <v>57.520345757745091</v>
      </c>
      <c r="Z12" s="222">
        <f>(Z$4+107.787652833668)*0.224</f>
        <v>58.206709965523842</v>
      </c>
      <c r="AA12" s="222">
        <f>(AA$4+107.895011053622)*0.225</f>
        <v>58.850901142300543</v>
      </c>
      <c r="AB12" s="222">
        <f>(AB$4+108.002906064675)*0.226</f>
        <v>59.368465747590726</v>
      </c>
      <c r="AC12" s="222">
        <f>(AC$4+108.110801075729)*0.227</f>
        <v>59.944431343279042</v>
      </c>
      <c r="AD12" s="222">
        <f>(AD$4+108.218696086782)*0.228</f>
        <v>60.564114618910011</v>
      </c>
      <c r="AE12" s="222">
        <f>(AE$4+108.326591097836)*0.229</f>
        <v>61.221029586649237</v>
      </c>
      <c r="AF12" s="222">
        <f>(AF$4+108.43448610889)*0.23</f>
        <v>61.778363178376303</v>
      </c>
      <c r="AG12" s="222">
        <f>(AG$4+108.542920594999)*0.231</f>
        <v>62.329705150722866</v>
      </c>
      <c r="AH12" s="222">
        <f>(AH$4+108.651355081107)*0.232</f>
        <v>62.877519806618572</v>
      </c>
      <c r="AI12" s="222">
        <f>(AI$4+108.759789567216)*0.233</f>
        <v>63.426701884902968</v>
      </c>
      <c r="AJ12" s="222">
        <f>(AJ$4+108.868224053325)*0.234</f>
        <v>64.012547351537989</v>
      </c>
      <c r="AK12" s="222">
        <f>(AK$4+108.976658539434)*0.235</f>
        <v>64.609714537029149</v>
      </c>
      <c r="AL12" s="222">
        <f>(AL$4+109.085635197974)*0.236</f>
        <v>65.07177460869471</v>
      </c>
      <c r="AM12" s="222">
        <f>(AM$4+109.194611856513)*0.237</f>
        <v>65.649742011599955</v>
      </c>
      <c r="AN12" s="222">
        <f>(AN$4+109.303588515052)*0.238</f>
        <v>66.166798918592676</v>
      </c>
      <c r="AO12" s="222">
        <f>(AO$4+109.412565173592)*0.239</f>
        <v>66.652008809075355</v>
      </c>
      <c r="AP12" s="223">
        <f>(AP$4+109.521541832131)*0.24</f>
        <v>67.225008845000758</v>
      </c>
    </row>
    <row r="13" spans="1:42" x14ac:dyDescent="0.25">
      <c r="A13" s="137" t="s">
        <v>27</v>
      </c>
      <c r="B13" s="222">
        <f>(B$2+1139.87468230279)*0.02</f>
        <v>31.447663908640827</v>
      </c>
      <c r="C13" s="222">
        <f>(C$2+1137.31275865761)*0.02</f>
        <v>34.088731110730748</v>
      </c>
      <c r="D13" s="222">
        <f>(D$2+1134.75083501244)*0.02</f>
        <v>34.804274761973282</v>
      </c>
      <c r="E13" s="222">
        <f>(E$2+1132.18891136727)*0.02</f>
        <v>33.969442489749333</v>
      </c>
      <c r="F13" s="222">
        <f>(F$2+1129.6269877221)*0.02</f>
        <v>32.714890930008998</v>
      </c>
      <c r="G13" s="222">
        <f>(G$2+1127.06506407693)*0.02</f>
        <v>28.770173506965975</v>
      </c>
      <c r="H13" s="222">
        <f>(H$2+1128.192129141)*0.02</f>
        <v>27.879840595181651</v>
      </c>
      <c r="I13" s="222">
        <f>(I$2+1129.31919420508)*0.02</f>
        <v>28.996704267814405</v>
      </c>
      <c r="J13" s="222">
        <f>(J$2+1130.44625926916)*0.02</f>
        <v>29.995555407568418</v>
      </c>
      <c r="K13" s="222">
        <f>(K$2+1131.57332433323)*0.02</f>
        <v>30.873478237157666</v>
      </c>
      <c r="L13" s="222">
        <f>(L$2+1132.70038939731)*0.02</f>
        <v>31.720254330939742</v>
      </c>
      <c r="M13" s="222">
        <f>(M$2+1133.83308978671)*0.02</f>
        <v>32.52720846094838</v>
      </c>
      <c r="N13" s="222">
        <f>(N$2+1134.96579017611)*0.02</f>
        <v>33.074169199535504</v>
      </c>
      <c r="O13" s="222">
        <f>(O$2+1136.0984905655)*0.02</f>
        <v>33.739680045779131</v>
      </c>
      <c r="P13" s="222">
        <f>(P$2+1137.2311909549)*0.02</f>
        <v>34.319354782165227</v>
      </c>
      <c r="Q13" s="222">
        <f>(Q$2+1138.3638913443)*0.02</f>
        <v>34.813771183680984</v>
      </c>
      <c r="R13" s="222">
        <f>(R$2+1139.50225523564)*0.02</f>
        <v>35.137393250823337</v>
      </c>
      <c r="S13" s="222">
        <f>(S$2+1140.64061912699)*0.02</f>
        <v>35.432175992538177</v>
      </c>
      <c r="T13" s="222">
        <f>(T$2+1141.77898301833)*0.02</f>
        <v>35.639970676956594</v>
      </c>
      <c r="U13" s="222">
        <f>(U$2+1142.91734690967)*0.02</f>
        <v>35.953020675646265</v>
      </c>
      <c r="V13" s="222">
        <f>(V$2+1144.05571080102)*0.02</f>
        <v>36.151694708119102</v>
      </c>
      <c r="W13" s="222">
        <f>(W$2+1145.19976651182)*0.02</f>
        <v>36.342116028011795</v>
      </c>
      <c r="X13" s="222">
        <f>(X$2+1146.34382222262)*0.02</f>
        <v>36.44742463928273</v>
      </c>
      <c r="Y13" s="222">
        <f>(Y$2+1147.48787793342)*0.02</f>
        <v>36.565168238111923</v>
      </c>
      <c r="Z13" s="222">
        <f>(Z$2+1148.63193364422)*0.02</f>
        <v>36.695302660606529</v>
      </c>
      <c r="AA13" s="222">
        <f>(AA$2+1149.77598935502)*0.02</f>
        <v>36.839012961808272</v>
      </c>
      <c r="AB13" s="222">
        <f>(AB$2+1150.92576534438)*0.02</f>
        <v>36.998570174448453</v>
      </c>
      <c r="AC13" s="222">
        <f>(AC$2+1152.07554133373)*0.02</f>
        <v>37.177176820187611</v>
      </c>
      <c r="AD13" s="222">
        <f>(AD$2+1153.22531732309)*0.02</f>
        <v>37.369006182195207</v>
      </c>
      <c r="AE13" s="222">
        <f>(AE$2+1154.37509331244)*0.02</f>
        <v>37.566907855981519</v>
      </c>
      <c r="AF13" s="222">
        <f>(AF$2+1155.5248693018)*0.02</f>
        <v>37.768519712506141</v>
      </c>
      <c r="AG13" s="222">
        <f>(AG$2+1156.6803941711)*0.02</f>
        <v>37.803848566826694</v>
      </c>
      <c r="AH13" s="222">
        <f>(AH$2+1157.8359190404)*0.02</f>
        <v>37.883741066205765</v>
      </c>
      <c r="AI13" s="222">
        <f>(AI$2+1158.9914439097)*0.02</f>
        <v>37.967572698720112</v>
      </c>
      <c r="AJ13" s="222">
        <f>(AJ$2+1160.14696877901)*0.02</f>
        <v>38.128074141994489</v>
      </c>
      <c r="AK13" s="222">
        <f>(AK$2+1161.30249364831)*0.02</f>
        <v>38.220440591966188</v>
      </c>
      <c r="AL13" s="222">
        <f>(AL$2+1162.46379614196)*0.02</f>
        <v>38.312593208236748</v>
      </c>
      <c r="AM13" s="222">
        <f>(AM$2+1163.6250986356)*0.02</f>
        <v>38.403145549305442</v>
      </c>
      <c r="AN13" s="222">
        <f>(AN$2+1164.78640112925)*0.02</f>
        <v>38.491242663828224</v>
      </c>
      <c r="AO13" s="222">
        <f>(AO$2+1165.9477036229)*0.02</f>
        <v>38.576240386728088</v>
      </c>
      <c r="AP13" s="223">
        <f>(AP$2+1167.10900611655)*0.02</f>
        <v>38.683157250745857</v>
      </c>
    </row>
    <row r="14" spans="1:42" x14ac:dyDescent="0.25">
      <c r="A14" s="137" t="s">
        <v>28</v>
      </c>
      <c r="B14" s="222">
        <f>(B$2+142.766765676215)*1.03+203.198094570823</f>
        <v>795.73163174045317</v>
      </c>
      <c r="C14" s="222">
        <f>(C$2+148.3277771089)*1.0304+203.976808479523</f>
        <v>941.17811031658027</v>
      </c>
      <c r="D14" s="222">
        <f>(D$2+153.888788541584)*1.0308+204.755522388222</f>
        <v>987.49524611816651</v>
      </c>
      <c r="E14" s="222">
        <f>(E$2+159.449799974268)*1.0312+205.534236296922</f>
        <v>953.91011939993382</v>
      </c>
      <c r="F14" s="222">
        <f>(F$2+165.010811406952)*1.0316+206.312950205621</f>
        <v>898.64897688877863</v>
      </c>
      <c r="G14" s="222">
        <f>(G$2+170.571822839636)*1.032+207.091664114321</f>
        <v>704.53159211687807</v>
      </c>
      <c r="H14" s="222">
        <f>(H$2+171.254110130995)*1.0324+207.091664114321</f>
        <v>658.30622481166859</v>
      </c>
      <c r="I14" s="222">
        <f>(I$2+171.936397422353)*1.0328+207.091664114321</f>
        <v>715.69651998705638</v>
      </c>
      <c r="J14" s="222">
        <f>(J$2+172.618684713712)*1.0332+207.091664114321</f>
        <v>767.03460643861661</v>
      </c>
      <c r="K14" s="222">
        <f>(K$2+173.30097200507)*1.0336+207.091664114321</f>
        <v>812.16271604424298</v>
      </c>
      <c r="L14" s="222">
        <f>(L$2+173.983259296429)*1.034+207.091664114321</f>
        <v>855.71530049959472</v>
      </c>
      <c r="M14" s="222">
        <f>(M$2+174.679192333615)*1.0344+207.091664114321</f>
        <v>897.25009418908951</v>
      </c>
      <c r="N14" s="222">
        <f>(N$2+175.3751253708)*1.0348+207.091664114321</f>
        <v>925.36475855775313</v>
      </c>
      <c r="O14" s="222">
        <f>(O$2+176.071058407986)*1.0352+207.091664114321</f>
        <v>959.63710551439033</v>
      </c>
      <c r="P14" s="222">
        <f>(P$2+176.766991445172)*1.0356+207.091664114321</f>
        <v>989.49112972256239</v>
      </c>
      <c r="Q14" s="222">
        <f>(Q$2+177.462924482357)*1.036+207.091664114321</f>
        <v>1014.951609760023</v>
      </c>
      <c r="R14" s="222">
        <f>(R$2+178.172776180287)*1.0364+207.091664114321</f>
        <v>1031.5895102790184</v>
      </c>
      <c r="S14" s="222">
        <f>(S$2+178.882627878216)*1.0368+207.091664114321</f>
        <v>1046.7449822407709</v>
      </c>
      <c r="T14" s="222">
        <f>(T$2+179.592479576146)*1.0372+207.091664114321</f>
        <v>1057.4007020510562</v>
      </c>
      <c r="U14" s="222">
        <f>(U$2+180.302331274075)*1.0376+207.091664114321</f>
        <v>1073.5250365433558</v>
      </c>
      <c r="V14" s="222">
        <f>(V$2+181.012182972005)*1.038+207.091664114321</f>
        <v>1083.7254375791847</v>
      </c>
      <c r="W14" s="222">
        <f>(W$2+181.736231703893)*1.0384+207.091664114321</f>
        <v>1093.513793744142</v>
      </c>
      <c r="X14" s="222">
        <f>(X$2+182.460280435781)*1.0388+207.091664114321</f>
        <v>1098.8886766704973</v>
      </c>
      <c r="Y14" s="222">
        <f>(Y$2+183.184329167669)*1.0392+207.091664114321</f>
        <v>1104.9135578892478</v>
      </c>
      <c r="Z14" s="222">
        <f>(Z$2+183.908377899557)*1.0396+207.091664114321</f>
        <v>1111.586887860497</v>
      </c>
      <c r="AA14" s="222">
        <f>(AA$2+184.632426631445)*1.04+207.091664114321</f>
        <v>1118.9710328958331</v>
      </c>
      <c r="AB14" s="222">
        <f>(AB$2+185.37095633797)*1.0404+207.091664114321</f>
        <v>1127.1940612988606</v>
      </c>
      <c r="AC14" s="222">
        <f>(AC$2+186.109486044496)*1.0408+207.091664114321</f>
        <v>1136.4144754918495</v>
      </c>
      <c r="AD14" s="222">
        <f>(AD$2+186.848015751022)*1.0412+207.091664114321</f>
        <v>1146.3300795625664</v>
      </c>
      <c r="AE14" s="222">
        <f>(AE$2+187.586545457548)*1.0416+207.091664114321</f>
        <v>1156.5692738081832</v>
      </c>
      <c r="AF14" s="222">
        <f>(AF$2+188.325075164074)*1.042+207.091664114321</f>
        <v>1167.0093556443805</v>
      </c>
      <c r="AG14" s="222">
        <f>(AG$2+189.07837546473)*1.0424+207.091664114321</f>
        <v>1168.7999071178081</v>
      </c>
      <c r="AH14" s="222">
        <f>(AH$2+189.831675765386)*1.0428+207.091664114321</f>
        <v>1172.9150984191049</v>
      </c>
      <c r="AI14" s="222">
        <f>(AI$2+190.584976066042)*1.0432+207.091664114321</f>
        <v>1177.238628825058</v>
      </c>
      <c r="AJ14" s="222">
        <f>(AJ$2+191.338276366699)*1.0436+207.091664114321</f>
        <v>1185.5658214421057</v>
      </c>
      <c r="AK14" s="222">
        <f>(AK$2+192.091576667355)*1.044+207.091664114321</f>
        <v>1190.342465686839</v>
      </c>
      <c r="AL14" s="222">
        <f>(AL$2+192.859942974024)*1.0444+207.091664114321</f>
        <v>1195.1210171998516</v>
      </c>
      <c r="AM14" s="222">
        <f>(AM$2+193.628309280694)*1.0448+207.091664114321</f>
        <v>1199.8193420920315</v>
      </c>
      <c r="AN14" s="222">
        <f>(AN$2+194.396675587363)*1.0452+207.091664114321</f>
        <v>1204.3926645896038</v>
      </c>
      <c r="AO14" s="222">
        <f>(AO$2+195.165041894033)*1.0456+207.091664114321</f>
        <v>1208.807160428762</v>
      </c>
      <c r="AP14" s="223">
        <f>(AP$2+195.933408200702)*1.046+207.091664114321</f>
        <v>1214.371112908352</v>
      </c>
    </row>
    <row r="15" spans="1:42" x14ac:dyDescent="0.25">
      <c r="A15" s="137" t="s">
        <v>29</v>
      </c>
      <c r="B15" s="222">
        <f>(B$2+43.1184299781623)*0.85+32.5791747572926</f>
        <v>436.86207639859407</v>
      </c>
      <c r="C15" s="222">
        <f>(C$2+46.5304851560515)*0.8502+32.0303297243418</f>
        <v>553.75920031048076</v>
      </c>
      <c r="D15" s="222">
        <f>(D$2+49.9425403339406)*0.8504+31.481484691391</f>
        <v>588.83827377589921</v>
      </c>
      <c r="E15" s="222">
        <f>(E$2+53.3545955118298)*0.8506+30.9326396584403</f>
        <v>557.99655968084187</v>
      </c>
      <c r="F15" s="222">
        <f>(F$2+56.766650689719)*0.8508+30.3837946254895</f>
        <v>509.28568004092261</v>
      </c>
      <c r="G15" s="222">
        <f>(G$2+60.1787058676082)*0.851+29.8349495925387</f>
        <v>346.08554147780814</v>
      </c>
      <c r="H15" s="222">
        <f>(H$2+60.2388845734758)*0.8512+29.8349495925387</f>
        <v>307.35916354759308</v>
      </c>
      <c r="I15" s="222">
        <f>(I$2+60.2990632793434)*0.8514+29.8349495925387</f>
        <v>354.06091080322574</v>
      </c>
      <c r="J15" s="222">
        <f>(J$2+60.359241985211)*0.8516+29.8349495925387</f>
        <v>395.75959492779094</v>
      </c>
      <c r="K15" s="222">
        <f>(K$2+60.4194206910786)*0.8518+29.8349495925387</f>
        <v>432.32749259069908</v>
      </c>
      <c r="L15" s="222">
        <f>(L$2+60.4795993969462)*0.852+29.8349495925387</f>
        <v>467.58567101026176</v>
      </c>
      <c r="M15" s="222">
        <f>(M$2+60.5400789963432)*0.8522+29.8349495925387</f>
        <v>501.15899831799834</v>
      </c>
      <c r="N15" s="222">
        <f>(N$2+60.6005585957401)*0.8524+29.8349495925387</f>
        <v>523.66711747763463</v>
      </c>
      <c r="O15" s="222">
        <f>(O$2+60.6610381951371)*0.8526+29.8349495925387</f>
        <v>551.2395380531317</v>
      </c>
      <c r="P15" s="222">
        <f>(P$2+60.721517794534)*0.8528+29.8349495925387</f>
        <v>575.1647882329039</v>
      </c>
      <c r="Q15" s="222">
        <f>(Q$2+60.7819973939309)*0.853+29.8349495925387</f>
        <v>595.46493503686759</v>
      </c>
      <c r="R15" s="222">
        <f>(R$2+60.8427793913249)*0.8532+29.8349495925387</f>
        <v>608.48388088229274</v>
      </c>
      <c r="S15" s="222">
        <f>(S$2+60.9035613887188)*0.8534+29.8349495925387</f>
        <v>620.27829412030201</v>
      </c>
      <c r="T15" s="222">
        <f>(T$2+60.9643433861127)*0.8536+29.8349495925387</f>
        <v>628.3655216949852</v>
      </c>
      <c r="U15" s="222">
        <f>(U$2+61.0251253835067)*0.8538+29.8349495925387</f>
        <v>640.94982349683949</v>
      </c>
      <c r="V15" s="222">
        <f>(V$2+61.0859073809006)*0.854+29.8349495925387</f>
        <v>648.65610150844213</v>
      </c>
      <c r="W15" s="222">
        <f>(W$2+61.1469932882815)*0.8542+29.8349495925387</f>
        <v>656.00884626137577</v>
      </c>
      <c r="X15" s="222">
        <f>(X$2+61.2080791956624)*0.8544+29.8349495925387</f>
        <v>659.72895134046416</v>
      </c>
      <c r="Y15" s="222">
        <f>(Y$2+61.2691651030433)*0.8546+29.8349495925387</f>
        <v>663.9820764222211</v>
      </c>
      <c r="Z15" s="222">
        <f>(Z$2+61.3302510104242)*0.8548+29.8349495925387</f>
        <v>668.76670699149327</v>
      </c>
      <c r="AA15" s="222">
        <f>(AA$2+61.3913369178051)*0.855+29.8349495925387</f>
        <v>674.13387587602347</v>
      </c>
      <c r="AB15" s="222">
        <f>(AB$2+61.4527282547229)*0.8552+29.8349495925387</f>
        <v>680.17646893287974</v>
      </c>
      <c r="AC15" s="222">
        <f>(AC$2+61.5141195916407)*0.8554+29.8349495925387</f>
        <v>687.03656203377966</v>
      </c>
      <c r="AD15" s="222">
        <f>(AD$2+61.5755109285585)*0.8556+29.8349495925387</f>
        <v>694.46545971568867</v>
      </c>
      <c r="AE15" s="222">
        <f>(AE$2+61.6369022654763)*0.8558+29.8349495925387</f>
        <v>702.15759285199658</v>
      </c>
      <c r="AF15" s="222">
        <f>(AF$2+61.6982936023941)*0.856+29.8349495925387</f>
        <v>710.01204448911017</v>
      </c>
      <c r="AG15" s="222">
        <f>(AG$2+61.7599918959965)*0.8562+29.8349495925387</f>
        <v>710.74685831044576</v>
      </c>
      <c r="AH15" s="222">
        <f>(AH$2+61.8216901895989)*0.8564+29.8349495925387</f>
        <v>713.39015645964355</v>
      </c>
      <c r="AI15" s="222">
        <f>(AI$2+61.8833884832013)*0.8566+29.8349495925387</f>
        <v>716.20332800038238</v>
      </c>
      <c r="AJ15" s="222">
        <f>(AJ$2+61.9450867768037)*0.8568+29.8349495925387</f>
        <v>722.3022733360923</v>
      </c>
      <c r="AK15" s="222">
        <f>(AK$2+62.0067850704061)*0.857+29.8349495925387</f>
        <v>725.4844067070261</v>
      </c>
      <c r="AL15" s="222">
        <f>(AL$2+62.0687918554765)*0.8572+29.8349495925387</f>
        <v>728.65409682319205</v>
      </c>
      <c r="AM15" s="222">
        <f>(AM$2+62.1307986405469)*0.8574+29.8349495925387</f>
        <v>731.75658647550461</v>
      </c>
      <c r="AN15" s="222">
        <f>(AN$2+62.1928054256173)*0.8576+29.8349495925387</f>
        <v>734.75516734205769</v>
      </c>
      <c r="AO15" s="222">
        <f>(AO$2+62.2548122106877)*0.8578+29.8349495925387</f>
        <v>737.6221375259106</v>
      </c>
      <c r="AP15" s="223">
        <f>(AP$2+62.3168189957581)*0.858+29.8349495925387</f>
        <v>741.43069909989617</v>
      </c>
    </row>
    <row r="16" spans="1:42" x14ac:dyDescent="0.25">
      <c r="A16" s="137" t="s">
        <v>30</v>
      </c>
      <c r="B16" s="222">
        <f>(B$5+20.9432757503314)*1.028</f>
        <v>282.4107814713114</v>
      </c>
      <c r="C16" s="222">
        <f>(C$5+28.5161304421512)*1.0282</f>
        <v>290.25213439724428</v>
      </c>
      <c r="D16" s="222">
        <f>(D$5+36.088985133971)*1.0284</f>
        <v>298.09651646505387</v>
      </c>
      <c r="E16" s="222">
        <f>(E$5+43.6618398257909)*1.0286</f>
        <v>305.94392767474028</v>
      </c>
      <c r="F16" s="222">
        <f>(F$5+51.2346945176107)*1.0288</f>
        <v>313.79436802630335</v>
      </c>
      <c r="G16" s="222">
        <f>(G$5+58.8075492094306)*1.029</f>
        <v>321.64783751974323</v>
      </c>
      <c r="H16" s="222">
        <f>(H$5+59.0427794062683)*1.0292</f>
        <v>323.87846156778295</v>
      </c>
      <c r="I16" s="222">
        <f>(I$5+59.278009603106)*1.0294</f>
        <v>324.8792582226219</v>
      </c>
      <c r="J16" s="222">
        <f>(J$5+59.5132397999437)*1.0296</f>
        <v>326.03232903415028</v>
      </c>
      <c r="K16" s="222">
        <f>(K$5+59.7484699967815)*1.0298</f>
        <v>327.928095327655</v>
      </c>
      <c r="L16" s="222">
        <f>(L$5+59.9837001936192)*1.03</f>
        <v>330.98591716015397</v>
      </c>
      <c r="M16" s="222">
        <f>(M$5+60.2236349943936)*1.0302</f>
        <v>334.16400605420245</v>
      </c>
      <c r="N16" s="222">
        <f>(N$5+60.4635697951681)*1.0304</f>
        <v>337.62053209096069</v>
      </c>
      <c r="O16" s="222">
        <f>(O$5+60.7035045959426)*1.0306</f>
        <v>341.22547994253142</v>
      </c>
      <c r="P16" s="222">
        <f>(P$5+60.9434393967171)*1.0308</f>
        <v>344.74889938852027</v>
      </c>
      <c r="Q16" s="222">
        <f>(Q$5+61.1833741974916)*1.031</f>
        <v>348.38500270054118</v>
      </c>
      <c r="R16" s="222">
        <f>(R$5+61.4281076942815)*1.0312</f>
        <v>351.99718222092531</v>
      </c>
      <c r="S16" s="222">
        <f>(S$5+61.6728411910715)*1.0314</f>
        <v>355.94522710350827</v>
      </c>
      <c r="T16" s="222">
        <f>(T$5+61.9175746878615)*1.0316</f>
        <v>361.08574986392</v>
      </c>
      <c r="U16" s="222">
        <f>(U$5+62.1623081846514)*1.0318</f>
        <v>368.75704472118485</v>
      </c>
      <c r="V16" s="222">
        <f>(V$5+62.4070416814414)*1.032</f>
        <v>376.29782034310983</v>
      </c>
      <c r="W16" s="222">
        <f>(W$5+62.6566698481671)*1.0322</f>
        <v>381.55213575614096</v>
      </c>
      <c r="X16" s="222">
        <f>(X$5+62.9062980148929)*1.0324</f>
        <v>384.80861261462292</v>
      </c>
      <c r="Y16" s="222">
        <f>(Y$5+63.1559261816187)*1.0326</f>
        <v>387.65348091289468</v>
      </c>
      <c r="Z16" s="222">
        <f>(Z$5+63.4055543483445)*1.0328</f>
        <v>390.22351949676715</v>
      </c>
      <c r="AA16" s="222">
        <f>(AA$5+63.6551825150702)*1.033</f>
        <v>392.96821595160833</v>
      </c>
      <c r="AB16" s="222">
        <f>(AB$5+63.9098032451305)*1.0332</f>
        <v>395.77734129678635</v>
      </c>
      <c r="AC16" s="222">
        <f>(AC$5+64.1644239751908)*1.0334</f>
        <v>398.35815883544251</v>
      </c>
      <c r="AD16" s="222">
        <f>(AD$5+64.4190447052511)*1.0336</f>
        <v>400.64882392350216</v>
      </c>
      <c r="AE16" s="222">
        <f>(AE$5+64.6736654353113)*1.0338</f>
        <v>402.21710367133437</v>
      </c>
      <c r="AF16" s="222">
        <f>(AF$5+64.9282861653716)*1.034</f>
        <v>403.56068960743698</v>
      </c>
      <c r="AG16" s="222">
        <f>(AG$5+65.1879993100331)*1.0342</f>
        <v>404.95708237276483</v>
      </c>
      <c r="AH16" s="222">
        <f>(AH$5+65.4477124546946)*1.0344</f>
        <v>406.48109907904916</v>
      </c>
      <c r="AI16" s="222">
        <f>(AI$5+65.7074255993561)*1.0346</f>
        <v>408.07925728302376</v>
      </c>
      <c r="AJ16" s="222">
        <f>(AJ$5+65.9671387440176)*1.0348</f>
        <v>409.19438786430726</v>
      </c>
      <c r="AK16" s="222">
        <f>(AK$5+66.2268518886791)*1.035</f>
        <v>410.6837932252414</v>
      </c>
      <c r="AL16" s="222">
        <f>(AL$5+66.4917592962338)*1.0352</f>
        <v>411.89901366679538</v>
      </c>
      <c r="AM16" s="222">
        <f>(AM$5+66.7566667037885)*1.0354</f>
        <v>413.96916462574507</v>
      </c>
      <c r="AN16" s="222">
        <f>(AN$5+67.0215741113432)*1.0356</f>
        <v>416.1736985884354</v>
      </c>
      <c r="AO16" s="222">
        <f>(AO$5+67.2864815188979)*1.0358</f>
        <v>418.42547058221254</v>
      </c>
      <c r="AP16" s="223">
        <f>(AP$5+67.5513889264526)*1.036</f>
        <v>420.53636591696608</v>
      </c>
    </row>
    <row r="17" spans="1:42" x14ac:dyDescent="0.25">
      <c r="A17" s="137" t="s">
        <v>65</v>
      </c>
      <c r="B17" s="222">
        <f>(B$3+40.8631351145839)*1.025+17.6689580895606</f>
        <v>342.08011363737916</v>
      </c>
      <c r="C17" s="222">
        <f>(C$3+34.4899856285991)*1.0254+18.6328302182585</f>
        <v>391.53248760254047</v>
      </c>
      <c r="D17" s="222">
        <f>(D$3+28.1168361426143)*1.0258+19.5967023469563</f>
        <v>438.18332086331083</v>
      </c>
      <c r="E17" s="222">
        <f>(E$3+21.7436866566296)*1.0262+20.5605744756542</f>
        <v>428.17179121220886</v>
      </c>
      <c r="F17" s="222">
        <f>(F$3+15.3705371706448)*1.0266+21.524446604352</f>
        <v>360.56554842015481</v>
      </c>
      <c r="G17" s="222">
        <f>(G$3+8.99738768466)*1.027+22.4883187330499</f>
        <v>303.29640055168471</v>
      </c>
      <c r="H17" s="222">
        <f>(H$3+9.01538246002932)*1.0274+22.4883187330499</f>
        <v>204.80953561152268</v>
      </c>
      <c r="I17" s="222">
        <f>(I$3+9.03337723539864)*1.0278+22.4883187330499</f>
        <v>241.17049146079103</v>
      </c>
      <c r="J17" s="222">
        <f>(J$3+9.05137201076796)*1.0282+22.4883187330499</f>
        <v>266.56921160392153</v>
      </c>
      <c r="K17" s="222">
        <f>(K$3+9.06936678613728)*1.0286+22.4883187330499</f>
        <v>292.19857939084426</v>
      </c>
      <c r="L17" s="222">
        <f>(L$3+9.0873615615066)*1.029+22.4883187330499</f>
        <v>317.54920145906789</v>
      </c>
      <c r="M17" s="222">
        <f>(M$3+9.10553628462961)*1.0294+22.4883187330499</f>
        <v>342.28623995560253</v>
      </c>
      <c r="N17" s="222">
        <f>(N$3+9.12371100775263)*1.0298+22.4883187330499</f>
        <v>358.43675381725944</v>
      </c>
      <c r="O17" s="222">
        <f>(O$3+9.14188573087564)*1.0302+22.4883187330499</f>
        <v>377.55951121423442</v>
      </c>
      <c r="P17" s="222">
        <f>(P$3+9.16006045399865)*1.0306+22.4883187330499</f>
        <v>395.64077229028226</v>
      </c>
      <c r="Q17" s="222">
        <f>(Q$3+9.17823517712166)*1.031+22.4883187330499</f>
        <v>412.70139308461654</v>
      </c>
      <c r="R17" s="222">
        <f>(R$3+9.19659164747591)*1.0314+22.4883187330499</f>
        <v>418.90178329391392</v>
      </c>
      <c r="S17" s="222">
        <f>(S$3+9.21494811783015)*1.0318+22.4883187330499</f>
        <v>424.71939838663531</v>
      </c>
      <c r="T17" s="222">
        <f>(T$3+9.23330458818439)*1.0322+22.4883187330499</f>
        <v>431.16049876353031</v>
      </c>
      <c r="U17" s="222">
        <f>(U$3+9.25166105853864)*1.0326+22.4883187330499</f>
        <v>437.61369097958755</v>
      </c>
      <c r="V17" s="222">
        <f>(V$3+9.27001752889288)*1.033+22.4883187330499</f>
        <v>446.93335282751178</v>
      </c>
      <c r="W17" s="222">
        <f>(W$3+9.28855756395067)*1.0334+22.4883187330499</f>
        <v>452.90784262430969</v>
      </c>
      <c r="X17" s="222">
        <f>(X$3+9.30709759900845)*1.0338+22.4883187330499</f>
        <v>459.70936355791548</v>
      </c>
      <c r="Y17" s="222">
        <f>(Y$3+9.32563763406624)*1.0342+22.4883187330499</f>
        <v>465.82285580197231</v>
      </c>
      <c r="Z17" s="222">
        <f>(Z$3+9.34417766912402)*1.0346+22.4883187330499</f>
        <v>471.38995014774667</v>
      </c>
      <c r="AA17" s="222">
        <f>(AA$3+9.36271770418181)*1.035+22.4883187330499</f>
        <v>476.12168496516563</v>
      </c>
      <c r="AB17" s="222">
        <f>(AB$3+9.38144313959017)*1.0354+22.4883187330499</f>
        <v>480.5962466309021</v>
      </c>
      <c r="AC17" s="222">
        <f>(AC$3+9.40016857499854)*1.0358+22.4883187330499</f>
        <v>484.28218069421234</v>
      </c>
      <c r="AD17" s="222">
        <f>(AD$3+9.4188940104069)*1.0362+22.4883187330499</f>
        <v>487.87226612789584</v>
      </c>
      <c r="AE17" s="222">
        <f>(AE$3+9.43761944581526)*1.0366+22.4883187330499</f>
        <v>491.83888380090934</v>
      </c>
      <c r="AF17" s="222">
        <f>(AF$3+9.45634488122363)*1.037+22.4883187330499</f>
        <v>492.09462611876182</v>
      </c>
      <c r="AG17" s="222">
        <f>(AG$3+9.47525757098607)*1.0374+22.4883187330499</f>
        <v>493.50613804085958</v>
      </c>
      <c r="AH17" s="222">
        <f>(AH$3+9.49417026074852)*1.0378+22.4883187330499</f>
        <v>494.98756593711238</v>
      </c>
      <c r="AI17" s="222">
        <f>(AI$3+9.51308295051097)*1.0382+22.4883187330499</f>
        <v>496.75215657961343</v>
      </c>
      <c r="AJ17" s="222">
        <f>(AJ$3+9.53199564027341)*1.0386+22.4883187330499</f>
        <v>499.32652610107868</v>
      </c>
      <c r="AK17" s="222">
        <f>(AK$3+9.55090833003586)*1.039+22.4883187330499</f>
        <v>502.54208203019613</v>
      </c>
      <c r="AL17" s="222">
        <f>(AL$3+9.57001014669594)*1.0394+22.4883187330499</f>
        <v>505.59213172987313</v>
      </c>
      <c r="AM17" s="222">
        <f>(AM$3+9.58911196335601)*1.0398+22.4883187330499</f>
        <v>508.35580882093763</v>
      </c>
      <c r="AN17" s="222">
        <f>(AN$3+9.60821378001608)*1.0402+22.4883187330499</f>
        <v>510.59912328329932</v>
      </c>
      <c r="AO17" s="222">
        <f>(AO$3+9.62731559667615)*1.0406+22.4883187330499</f>
        <v>510.64399897830481</v>
      </c>
      <c r="AP17" s="223">
        <f>(AP$3+9.64641741333622)*1.041+22.4883187330499</f>
        <v>510.82917881785488</v>
      </c>
    </row>
    <row r="18" spans="1:42" x14ac:dyDescent="0.25">
      <c r="A18" s="137" t="s">
        <v>66</v>
      </c>
      <c r="B18" s="222">
        <v>2024.274796962912</v>
      </c>
      <c r="C18" s="222">
        <v>1987.0762731215902</v>
      </c>
      <c r="D18" s="222">
        <v>1949.8777492802687</v>
      </c>
      <c r="E18" s="222">
        <v>1912.679225438947</v>
      </c>
      <c r="F18" s="222">
        <v>1875.4807015976253</v>
      </c>
      <c r="G18" s="222">
        <v>1838.2821777563038</v>
      </c>
      <c r="H18" s="222">
        <v>1797.8399698456651</v>
      </c>
      <c r="I18" s="222">
        <v>1757.3977619350264</v>
      </c>
      <c r="J18" s="222">
        <v>1716.9555540243878</v>
      </c>
      <c r="K18" s="222">
        <v>1676.5133461137491</v>
      </c>
      <c r="L18" s="222">
        <v>1636.0711382031104</v>
      </c>
      <c r="M18" s="222">
        <v>1600.077573162642</v>
      </c>
      <c r="N18" s="222">
        <v>1564.0840081221736</v>
      </c>
      <c r="O18" s="222">
        <v>1528.0904430817052</v>
      </c>
      <c r="P18" s="222">
        <v>1492.0968780412368</v>
      </c>
      <c r="Q18" s="222">
        <v>1456.1033130007684</v>
      </c>
      <c r="R18" s="222">
        <v>1424.0690401147515</v>
      </c>
      <c r="S18" s="222">
        <v>1392.0347672287346</v>
      </c>
      <c r="T18" s="222">
        <v>1360.0004943427177</v>
      </c>
      <c r="U18" s="222">
        <v>1327.9662214567009</v>
      </c>
      <c r="V18" s="222">
        <v>1295.931948570684</v>
      </c>
      <c r="W18" s="222">
        <v>1267.4214457021289</v>
      </c>
      <c r="X18" s="222">
        <v>1238.9109428335739</v>
      </c>
      <c r="Y18" s="222">
        <v>1210.4004399650189</v>
      </c>
      <c r="Z18" s="222">
        <v>1181.8899370964639</v>
      </c>
      <c r="AA18" s="222">
        <v>1153.3794342279089</v>
      </c>
      <c r="AB18" s="222">
        <v>1128.0050866748948</v>
      </c>
      <c r="AC18" s="222">
        <v>1102.6307391218807</v>
      </c>
      <c r="AD18" s="222">
        <v>1077.2563915688668</v>
      </c>
      <c r="AE18" s="222">
        <v>1051.8820440158529</v>
      </c>
      <c r="AF18" s="222">
        <v>1026.5076964628388</v>
      </c>
      <c r="AG18" s="222">
        <v>1003.9245271406563</v>
      </c>
      <c r="AH18" s="222">
        <v>981.34135781847385</v>
      </c>
      <c r="AI18" s="222">
        <v>958.75818849629138</v>
      </c>
      <c r="AJ18" s="222">
        <v>936.17501917410891</v>
      </c>
      <c r="AK18" s="222">
        <v>913.59184985192655</v>
      </c>
      <c r="AL18" s="222">
        <v>893.49282915518415</v>
      </c>
      <c r="AM18" s="222">
        <v>873.39380845844175</v>
      </c>
      <c r="AN18" s="222">
        <v>853.29478776169935</v>
      </c>
      <c r="AO18" s="222">
        <v>833.19576706495695</v>
      </c>
      <c r="AP18" s="223">
        <v>813.09674636821467</v>
      </c>
    </row>
    <row r="19" spans="1:42" x14ac:dyDescent="0.25">
      <c r="A19" s="137" t="s">
        <v>34</v>
      </c>
      <c r="B19" s="222">
        <v>0</v>
      </c>
      <c r="C19" s="222">
        <v>0</v>
      </c>
      <c r="D19" s="222">
        <v>0</v>
      </c>
      <c r="E19" s="222">
        <v>0</v>
      </c>
      <c r="F19" s="222">
        <v>0</v>
      </c>
      <c r="G19" s="222">
        <v>0</v>
      </c>
      <c r="H19" s="222">
        <v>0</v>
      </c>
      <c r="I19" s="222">
        <v>0</v>
      </c>
      <c r="J19" s="222">
        <v>0</v>
      </c>
      <c r="K19" s="222">
        <v>0</v>
      </c>
      <c r="L19" s="222">
        <v>0</v>
      </c>
      <c r="M19" s="222">
        <v>0</v>
      </c>
      <c r="N19" s="222">
        <v>0</v>
      </c>
      <c r="O19" s="222">
        <v>0</v>
      </c>
      <c r="P19" s="222">
        <v>0</v>
      </c>
      <c r="Q19" s="222">
        <v>0</v>
      </c>
      <c r="R19" s="222">
        <v>0</v>
      </c>
      <c r="S19" s="222">
        <v>0</v>
      </c>
      <c r="T19" s="222">
        <v>0</v>
      </c>
      <c r="U19" s="222">
        <v>0</v>
      </c>
      <c r="V19" s="222">
        <v>0</v>
      </c>
      <c r="W19" s="222">
        <v>0</v>
      </c>
      <c r="X19" s="222">
        <v>0</v>
      </c>
      <c r="Y19" s="222">
        <v>0</v>
      </c>
      <c r="Z19" s="222">
        <v>0</v>
      </c>
      <c r="AA19" s="222">
        <v>0</v>
      </c>
      <c r="AB19" s="222">
        <v>0</v>
      </c>
      <c r="AC19" s="222">
        <v>0</v>
      </c>
      <c r="AD19" s="222">
        <v>0</v>
      </c>
      <c r="AE19" s="222">
        <v>0</v>
      </c>
      <c r="AF19" s="222">
        <v>0</v>
      </c>
      <c r="AG19" s="222">
        <v>0</v>
      </c>
      <c r="AH19" s="222">
        <v>0</v>
      </c>
      <c r="AI19" s="222">
        <v>0</v>
      </c>
      <c r="AJ19" s="222">
        <v>0</v>
      </c>
      <c r="AK19" s="222">
        <v>0</v>
      </c>
      <c r="AL19" s="222">
        <v>0</v>
      </c>
      <c r="AM19" s="222">
        <v>0</v>
      </c>
      <c r="AN19" s="222">
        <v>0</v>
      </c>
      <c r="AO19" s="222">
        <v>0</v>
      </c>
      <c r="AP19" s="223">
        <v>0</v>
      </c>
    </row>
    <row r="20" spans="1:42" x14ac:dyDescent="0.25">
      <c r="A20" s="137" t="s">
        <v>37</v>
      </c>
      <c r="B20" s="222">
        <v>0</v>
      </c>
      <c r="C20" s="222">
        <v>0</v>
      </c>
      <c r="D20" s="222">
        <v>0</v>
      </c>
      <c r="E20" s="222">
        <v>0</v>
      </c>
      <c r="F20" s="222">
        <v>0</v>
      </c>
      <c r="G20" s="222">
        <v>0</v>
      </c>
      <c r="H20" s="222">
        <v>0</v>
      </c>
      <c r="I20" s="222">
        <v>0</v>
      </c>
      <c r="J20" s="222">
        <v>0</v>
      </c>
      <c r="K20" s="222">
        <v>0</v>
      </c>
      <c r="L20" s="222">
        <v>0</v>
      </c>
      <c r="M20" s="222">
        <v>0</v>
      </c>
      <c r="N20" s="222">
        <v>0</v>
      </c>
      <c r="O20" s="222">
        <v>0</v>
      </c>
      <c r="P20" s="222">
        <v>0</v>
      </c>
      <c r="Q20" s="222">
        <v>0</v>
      </c>
      <c r="R20" s="222">
        <v>0</v>
      </c>
      <c r="S20" s="222">
        <v>0</v>
      </c>
      <c r="T20" s="222">
        <v>0</v>
      </c>
      <c r="U20" s="222">
        <v>0</v>
      </c>
      <c r="V20" s="222">
        <v>0</v>
      </c>
      <c r="W20" s="222">
        <v>0</v>
      </c>
      <c r="X20" s="222">
        <v>0</v>
      </c>
      <c r="Y20" s="222">
        <v>0</v>
      </c>
      <c r="Z20" s="222">
        <v>0</v>
      </c>
      <c r="AA20" s="222">
        <v>0</v>
      </c>
      <c r="AB20" s="222">
        <v>0</v>
      </c>
      <c r="AC20" s="222">
        <v>0</v>
      </c>
      <c r="AD20" s="222">
        <v>0</v>
      </c>
      <c r="AE20" s="222">
        <v>0</v>
      </c>
      <c r="AF20" s="222">
        <v>0</v>
      </c>
      <c r="AG20" s="222">
        <v>0</v>
      </c>
      <c r="AH20" s="222">
        <v>0</v>
      </c>
      <c r="AI20" s="222">
        <v>0</v>
      </c>
      <c r="AJ20" s="222">
        <v>0</v>
      </c>
      <c r="AK20" s="222">
        <v>0</v>
      </c>
      <c r="AL20" s="222">
        <v>0</v>
      </c>
      <c r="AM20" s="222">
        <v>0</v>
      </c>
      <c r="AN20" s="222">
        <v>0</v>
      </c>
      <c r="AO20" s="222">
        <v>0</v>
      </c>
      <c r="AP20" s="223">
        <v>0</v>
      </c>
    </row>
    <row r="21" spans="1:42" x14ac:dyDescent="0.25">
      <c r="A21" s="137" t="s">
        <v>38</v>
      </c>
      <c r="B21" s="222">
        <v>0</v>
      </c>
      <c r="C21" s="222">
        <v>0</v>
      </c>
      <c r="D21" s="222">
        <v>0</v>
      </c>
      <c r="E21" s="222">
        <v>0</v>
      </c>
      <c r="F21" s="222">
        <v>0</v>
      </c>
      <c r="G21" s="222">
        <v>0</v>
      </c>
      <c r="H21" s="222">
        <v>0</v>
      </c>
      <c r="I21" s="222">
        <v>0</v>
      </c>
      <c r="J21" s="222">
        <v>0</v>
      </c>
      <c r="K21" s="222">
        <v>0</v>
      </c>
      <c r="L21" s="222">
        <v>0</v>
      </c>
      <c r="M21" s="222">
        <v>0</v>
      </c>
      <c r="N21" s="222">
        <v>0</v>
      </c>
      <c r="O21" s="222">
        <v>0</v>
      </c>
      <c r="P21" s="222">
        <v>0</v>
      </c>
      <c r="Q21" s="222">
        <v>0</v>
      </c>
      <c r="R21" s="222">
        <v>0</v>
      </c>
      <c r="S21" s="222">
        <v>0</v>
      </c>
      <c r="T21" s="222">
        <v>0</v>
      </c>
      <c r="U21" s="222">
        <v>0</v>
      </c>
      <c r="V21" s="222">
        <v>0</v>
      </c>
      <c r="W21" s="222">
        <v>0</v>
      </c>
      <c r="X21" s="222">
        <v>0</v>
      </c>
      <c r="Y21" s="222">
        <v>0</v>
      </c>
      <c r="Z21" s="222">
        <v>0</v>
      </c>
      <c r="AA21" s="222">
        <v>0</v>
      </c>
      <c r="AB21" s="222">
        <v>0</v>
      </c>
      <c r="AC21" s="222">
        <v>0</v>
      </c>
      <c r="AD21" s="222">
        <v>0</v>
      </c>
      <c r="AE21" s="222">
        <v>0</v>
      </c>
      <c r="AF21" s="222">
        <v>0</v>
      </c>
      <c r="AG21" s="222">
        <v>0</v>
      </c>
      <c r="AH21" s="222">
        <v>0</v>
      </c>
      <c r="AI21" s="222">
        <v>0</v>
      </c>
      <c r="AJ21" s="222">
        <v>0</v>
      </c>
      <c r="AK21" s="222">
        <v>0</v>
      </c>
      <c r="AL21" s="222">
        <v>0</v>
      </c>
      <c r="AM21" s="222">
        <v>0</v>
      </c>
      <c r="AN21" s="222">
        <v>0</v>
      </c>
      <c r="AO21" s="222">
        <v>0</v>
      </c>
      <c r="AP21" s="223">
        <v>0</v>
      </c>
    </row>
    <row r="22" spans="1:42" x14ac:dyDescent="0.25">
      <c r="A22" s="137" t="s">
        <v>39</v>
      </c>
      <c r="B22" s="222">
        <v>0</v>
      </c>
      <c r="C22" s="222">
        <v>0</v>
      </c>
      <c r="D22" s="222">
        <v>0</v>
      </c>
      <c r="E22" s="222">
        <v>0</v>
      </c>
      <c r="F22" s="222">
        <v>0</v>
      </c>
      <c r="G22" s="222">
        <v>0</v>
      </c>
      <c r="H22" s="222">
        <v>0</v>
      </c>
      <c r="I22" s="222">
        <v>0</v>
      </c>
      <c r="J22" s="222">
        <v>0</v>
      </c>
      <c r="K22" s="222">
        <v>0</v>
      </c>
      <c r="L22" s="222">
        <v>0</v>
      </c>
      <c r="M22" s="222">
        <v>0</v>
      </c>
      <c r="N22" s="222">
        <v>0</v>
      </c>
      <c r="O22" s="222">
        <v>0</v>
      </c>
      <c r="P22" s="222">
        <v>0</v>
      </c>
      <c r="Q22" s="222">
        <v>0</v>
      </c>
      <c r="R22" s="222">
        <v>0</v>
      </c>
      <c r="S22" s="222">
        <v>0</v>
      </c>
      <c r="T22" s="222">
        <v>0</v>
      </c>
      <c r="U22" s="222">
        <v>0</v>
      </c>
      <c r="V22" s="222">
        <v>0</v>
      </c>
      <c r="W22" s="222">
        <v>0</v>
      </c>
      <c r="X22" s="222">
        <v>0</v>
      </c>
      <c r="Y22" s="222">
        <v>0</v>
      </c>
      <c r="Z22" s="222">
        <v>0</v>
      </c>
      <c r="AA22" s="222">
        <v>0</v>
      </c>
      <c r="AB22" s="222">
        <v>0</v>
      </c>
      <c r="AC22" s="222">
        <v>0</v>
      </c>
      <c r="AD22" s="222">
        <v>0</v>
      </c>
      <c r="AE22" s="222">
        <v>0</v>
      </c>
      <c r="AF22" s="222">
        <v>0</v>
      </c>
      <c r="AG22" s="222">
        <v>0</v>
      </c>
      <c r="AH22" s="222">
        <v>0</v>
      </c>
      <c r="AI22" s="222">
        <v>0</v>
      </c>
      <c r="AJ22" s="222">
        <v>0</v>
      </c>
      <c r="AK22" s="222">
        <v>0</v>
      </c>
      <c r="AL22" s="222">
        <v>0</v>
      </c>
      <c r="AM22" s="222">
        <v>0</v>
      </c>
      <c r="AN22" s="222">
        <v>0</v>
      </c>
      <c r="AO22" s="222">
        <v>0</v>
      </c>
      <c r="AP22" s="223">
        <v>0</v>
      </c>
    </row>
    <row r="23" spans="1:42" x14ac:dyDescent="0.25">
      <c r="A23" s="137" t="s">
        <v>40</v>
      </c>
      <c r="B23" s="222">
        <v>0</v>
      </c>
      <c r="C23" s="222">
        <v>0</v>
      </c>
      <c r="D23" s="222">
        <v>0</v>
      </c>
      <c r="E23" s="222">
        <v>0</v>
      </c>
      <c r="F23" s="222">
        <v>0</v>
      </c>
      <c r="G23" s="222">
        <v>0</v>
      </c>
      <c r="H23" s="222">
        <v>0</v>
      </c>
      <c r="I23" s="222">
        <v>0</v>
      </c>
      <c r="J23" s="222">
        <v>0</v>
      </c>
      <c r="K23" s="222">
        <v>0</v>
      </c>
      <c r="L23" s="222">
        <v>0</v>
      </c>
      <c r="M23" s="222">
        <v>0</v>
      </c>
      <c r="N23" s="222">
        <v>0</v>
      </c>
      <c r="O23" s="222">
        <v>0</v>
      </c>
      <c r="P23" s="222">
        <v>0</v>
      </c>
      <c r="Q23" s="222">
        <v>0</v>
      </c>
      <c r="R23" s="222">
        <v>0</v>
      </c>
      <c r="S23" s="222">
        <v>0</v>
      </c>
      <c r="T23" s="222">
        <v>0</v>
      </c>
      <c r="U23" s="222">
        <v>0</v>
      </c>
      <c r="V23" s="222">
        <v>0</v>
      </c>
      <c r="W23" s="222">
        <v>0</v>
      </c>
      <c r="X23" s="222">
        <v>0</v>
      </c>
      <c r="Y23" s="222">
        <v>0</v>
      </c>
      <c r="Z23" s="222">
        <v>0</v>
      </c>
      <c r="AA23" s="222">
        <v>0</v>
      </c>
      <c r="AB23" s="222">
        <v>0</v>
      </c>
      <c r="AC23" s="222">
        <v>0</v>
      </c>
      <c r="AD23" s="222">
        <v>0</v>
      </c>
      <c r="AE23" s="222">
        <v>0</v>
      </c>
      <c r="AF23" s="222">
        <v>0</v>
      </c>
      <c r="AG23" s="222">
        <v>0</v>
      </c>
      <c r="AH23" s="222">
        <v>0</v>
      </c>
      <c r="AI23" s="222">
        <v>0</v>
      </c>
      <c r="AJ23" s="222">
        <v>0</v>
      </c>
      <c r="AK23" s="222">
        <v>0</v>
      </c>
      <c r="AL23" s="222">
        <v>0</v>
      </c>
      <c r="AM23" s="222">
        <v>0</v>
      </c>
      <c r="AN23" s="222">
        <v>0</v>
      </c>
      <c r="AO23" s="222">
        <v>0</v>
      </c>
      <c r="AP23" s="223">
        <v>0</v>
      </c>
    </row>
    <row r="24" spans="1:42" x14ac:dyDescent="0.25">
      <c r="A24" s="137" t="s">
        <v>43</v>
      </c>
      <c r="B24" s="222">
        <v>0</v>
      </c>
      <c r="C24" s="222">
        <v>0</v>
      </c>
      <c r="D24" s="222">
        <v>0</v>
      </c>
      <c r="E24" s="222">
        <v>0</v>
      </c>
      <c r="F24" s="222">
        <v>0</v>
      </c>
      <c r="G24" s="222">
        <v>0</v>
      </c>
      <c r="H24" s="222">
        <v>0</v>
      </c>
      <c r="I24" s="222">
        <v>0</v>
      </c>
      <c r="J24" s="222">
        <v>0</v>
      </c>
      <c r="K24" s="222">
        <v>0</v>
      </c>
      <c r="L24" s="222">
        <v>0</v>
      </c>
      <c r="M24" s="222">
        <v>0</v>
      </c>
      <c r="N24" s="222">
        <v>0</v>
      </c>
      <c r="O24" s="222">
        <v>0</v>
      </c>
      <c r="P24" s="222">
        <v>0</v>
      </c>
      <c r="Q24" s="222">
        <v>0</v>
      </c>
      <c r="R24" s="222">
        <v>0</v>
      </c>
      <c r="S24" s="222">
        <v>0</v>
      </c>
      <c r="T24" s="222">
        <v>0</v>
      </c>
      <c r="U24" s="222">
        <v>0</v>
      </c>
      <c r="V24" s="222">
        <v>0</v>
      </c>
      <c r="W24" s="222">
        <v>0</v>
      </c>
      <c r="X24" s="222">
        <v>0</v>
      </c>
      <c r="Y24" s="222">
        <v>0</v>
      </c>
      <c r="Z24" s="222">
        <v>0</v>
      </c>
      <c r="AA24" s="222">
        <v>0</v>
      </c>
      <c r="AB24" s="222">
        <v>0</v>
      </c>
      <c r="AC24" s="222">
        <v>0</v>
      </c>
      <c r="AD24" s="222">
        <v>0</v>
      </c>
      <c r="AE24" s="222">
        <v>0</v>
      </c>
      <c r="AF24" s="222">
        <v>0</v>
      </c>
      <c r="AG24" s="222">
        <v>0</v>
      </c>
      <c r="AH24" s="222">
        <v>0</v>
      </c>
      <c r="AI24" s="222">
        <v>0</v>
      </c>
      <c r="AJ24" s="222">
        <v>0</v>
      </c>
      <c r="AK24" s="222">
        <v>0</v>
      </c>
      <c r="AL24" s="222">
        <v>0</v>
      </c>
      <c r="AM24" s="222">
        <v>0</v>
      </c>
      <c r="AN24" s="222">
        <v>0</v>
      </c>
      <c r="AO24" s="222">
        <v>0</v>
      </c>
      <c r="AP24" s="223">
        <v>0</v>
      </c>
    </row>
    <row r="25" spans="1:42" x14ac:dyDescent="0.25">
      <c r="A25" s="139" t="s">
        <v>46</v>
      </c>
      <c r="B25" s="224">
        <v>0</v>
      </c>
      <c r="C25" s="224">
        <v>0</v>
      </c>
      <c r="D25" s="224">
        <v>0</v>
      </c>
      <c r="E25" s="224">
        <v>0</v>
      </c>
      <c r="F25" s="224">
        <v>0</v>
      </c>
      <c r="G25" s="224">
        <v>0</v>
      </c>
      <c r="H25" s="224">
        <v>0</v>
      </c>
      <c r="I25" s="224">
        <v>0</v>
      </c>
      <c r="J25" s="224">
        <v>0</v>
      </c>
      <c r="K25" s="224">
        <v>0</v>
      </c>
      <c r="L25" s="224">
        <v>0</v>
      </c>
      <c r="M25" s="224">
        <v>0</v>
      </c>
      <c r="N25" s="224">
        <v>0</v>
      </c>
      <c r="O25" s="224">
        <v>0</v>
      </c>
      <c r="P25" s="224">
        <v>0</v>
      </c>
      <c r="Q25" s="224">
        <v>0</v>
      </c>
      <c r="R25" s="224">
        <v>0</v>
      </c>
      <c r="S25" s="224">
        <v>0</v>
      </c>
      <c r="T25" s="224">
        <v>0</v>
      </c>
      <c r="U25" s="224">
        <v>0</v>
      </c>
      <c r="V25" s="224">
        <v>0</v>
      </c>
      <c r="W25" s="224">
        <v>0</v>
      </c>
      <c r="X25" s="224">
        <v>0</v>
      </c>
      <c r="Y25" s="224">
        <v>0</v>
      </c>
      <c r="Z25" s="224">
        <v>0</v>
      </c>
      <c r="AA25" s="224">
        <v>0</v>
      </c>
      <c r="AB25" s="224">
        <v>0</v>
      </c>
      <c r="AC25" s="224">
        <v>0</v>
      </c>
      <c r="AD25" s="224">
        <v>0</v>
      </c>
      <c r="AE25" s="224">
        <v>0</v>
      </c>
      <c r="AF25" s="224">
        <v>0</v>
      </c>
      <c r="AG25" s="224">
        <v>0</v>
      </c>
      <c r="AH25" s="224">
        <v>0</v>
      </c>
      <c r="AI25" s="224">
        <v>0</v>
      </c>
      <c r="AJ25" s="224">
        <v>0</v>
      </c>
      <c r="AK25" s="224">
        <v>0</v>
      </c>
      <c r="AL25" s="224">
        <v>0</v>
      </c>
      <c r="AM25" s="224">
        <v>0</v>
      </c>
      <c r="AN25" s="224">
        <v>0</v>
      </c>
      <c r="AO25" s="224">
        <v>0</v>
      </c>
      <c r="AP25" s="225"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Cover</vt:lpstr>
      <vt:lpstr>tech_base</vt:lpstr>
      <vt:lpstr>tech_proj</vt:lpstr>
      <vt:lpstr>tech_cost</vt:lpstr>
      <vt:lpstr>visuD</vt:lpstr>
      <vt:lpstr>fuel_costs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JRC C.6</dc:creator>
  <cp:lastModifiedBy>Mannhardt  Jacob</cp:lastModifiedBy>
  <dcterms:created xsi:type="dcterms:W3CDTF">2018-01-15T09:20:55Z</dcterms:created>
  <dcterms:modified xsi:type="dcterms:W3CDTF">2024-03-08T10:12:48Z</dcterms:modified>
</cp:coreProperties>
</file>